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tables/table2.xml" ContentType="application/vnd.openxmlformats-officedocument.spreadsheetml.table+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omments/comment4.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PO Live" sheetId="1" state="visible" r:id="rId1"/>
    <sheet xmlns:r="http://schemas.openxmlformats.org/officeDocument/2006/relationships" name="AH" sheetId="2" state="visible" r:id="rId2"/>
    <sheet xmlns:r="http://schemas.openxmlformats.org/officeDocument/2006/relationships" name="Screener" sheetId="3" state="visible" r:id="rId3"/>
    <sheet xmlns:r="http://schemas.openxmlformats.org/officeDocument/2006/relationships" name="Database" sheetId="4" state="visible" r:id="rId4"/>
    <sheet xmlns:r="http://schemas.openxmlformats.org/officeDocument/2006/relationships" name="Pipeline" sheetId="5" state="visible" r:id="rId5"/>
    <sheet xmlns:r="http://schemas.openxmlformats.org/officeDocument/2006/relationships" name="CS League" sheetId="6" state="visible" r:id="rId6"/>
    <sheet xmlns:r="http://schemas.openxmlformats.org/officeDocument/2006/relationships" name="SM League" sheetId="7" state="visible" r:id="rId7"/>
    <sheet xmlns:r="http://schemas.openxmlformats.org/officeDocument/2006/relationships" name="Analogs" sheetId="8" state="visible" r:id="rId8"/>
    <sheet xmlns:r="http://schemas.openxmlformats.org/officeDocument/2006/relationships" name="Taxonomy" sheetId="9" state="visible" r:id="rId9"/>
    <sheet xmlns:r="http://schemas.openxmlformats.org/officeDocument/2006/relationships" name="Notes" sheetId="10" state="visible" r:id="rId10"/>
    <sheet xmlns:r="http://schemas.openxmlformats.org/officeDocument/2006/relationships" name="SizeBench" sheetId="11" state="hidden" r:id="rId11"/>
    <sheet xmlns:r="http://schemas.openxmlformats.org/officeDocument/2006/relationships" name="BBG Verify" sheetId="12" state="visible" r:id="rId12"/>
    <sheet xmlns:r="http://schemas.openxmlformats.org/officeDocument/2006/relationships" name="Verify (BBG)" sheetId="13" state="visible" r:id="rId13"/>
    <sheet xmlns:r="http://schemas.openxmlformats.org/officeDocument/2006/relationships" name="Verification" sheetId="14" state="hidden" r:id="rId14"/>
    <sheet xmlns:r="http://schemas.openxmlformats.org/officeDocument/2006/relationships" name="Market Data" sheetId="15" state="hidden" r:id="rId15"/>
    <sheet xmlns:r="http://schemas.openxmlformats.org/officeDocument/2006/relationships" name="AH History" sheetId="16" state="hidden" r:id="rId16"/>
    <sheet xmlns:r="http://schemas.openxmlformats.org/officeDocument/2006/relationships" name="Live History" sheetId="17" state="hidden" r:id="rId17"/>
    <sheet xmlns:r="http://schemas.openxmlformats.org/officeDocument/2006/relationships" name="Chart Data" sheetId="18" state="hidden" r:id="rId18"/>
    <sheet xmlns:r="http://schemas.openxmlformats.org/officeDocument/2006/relationships" name="Calc (scoring engine)" sheetId="19" state="hidden" r:id="rId19"/>
  </sheets>
  <definedNames>
    <definedName name="AllDeals">'Calc (scoring engine)'!$AA$3:$AA$539</definedName>
    <definedName name="A_PX">Screener!$B$53</definedName>
    <definedName name="A_FX">Screener!$B$54</definedName>
    <definedName name="A_HKD">Screener!$B$55</definedName>
    <definedName name="H_TRM">Screener!$B$57</definedName>
    <definedName name="AnalogKey">Analogs!$G$13:$G$154</definedName>
    <definedName name="AnalogN">Analogs!$C$13:$C$154</definedName>
    <definedName name="AnalogMed">Analogs!$D$13:$D$154</definedName>
    <definedName name="AnalogHit">Analogs!$E$13:$E$154</definedName>
    <definedName name="SubsecKey">Analogs!$A$158:$A$203</definedName>
    <definedName name="SubsecN">Analogs!$B$158:$B$203</definedName>
    <definedName name="SubsecMed">Analogs!$C$158:$C$203</definedName>
    <definedName name="SubsecHit">Analogs!$D$158:$D$203</definedName>
    <definedName name="SubsecPE">Analogs!$E$158:$E$203</definedName>
    <definedName name="SubsecPS">Analogs!$F$158:$F$203</definedName>
    <definedName name="W_SUB">Notes!$B$26</definedName>
    <definedName name="W_SEC">Notes!$B$27</definedName>
    <definedName name="W_SIZE">Notes!$B$28</definedName>
    <definedName name="W_PROF">Notes!$B$29</definedName>
    <definedName name="W_AH">Notes!$B$30</definedName>
    <definedName name="W_REC">Notes!$B$31</definedName>
    <definedName name="W_CS">Notes!$B$32</definedName>
    <definedName name="W_PE">Notes!$B$33</definedName>
    <definedName name="W_PEHW">Notes!$B$34</definedName>
    <definedName name="W_SIZEHW">Notes!$B$35</definedName>
    <definedName name="W_RECD">Notes!$B$36</definedName>
    <definedName name="AHPairList">'Market Data'!$X$5:$X$66</definedName>
    <definedName name="AHViewList">'Market Data'!$AV$5:$AV$15</definedName>
    <definedName name="AHChartDates">'Chart Data'!$A$5:INDEX('Chart Data'!$A$5:$A$3004,AH!$U$6)</definedName>
    <definedName name="AHChartPremium">'Chart Data'!$B$5:INDEX('Chart Data'!$B$5:$B$3004,AH!$U$6)</definedName>
    <definedName name="AHChartH">'Chart Data'!$C$5:INDEX('Chart Data'!$C$5:$C$3004,AH!$U$6)</definedName>
    <definedName name="AHChartA">'Chart Data'!$D$5:INDEX('Chart Data'!$D$5:$D$3004,AH!$U$6)</definedName>
    <definedName name="SubsectorList">Taxonomy!$J$4:$J$50</definedName>
    <definedName name="_xlnm.Print_Titles" localSheetId="2">'Screener'!$19:$20</definedName>
    <definedName name="_xlnm._FilterDatabase" localSheetId="3" hidden="1">'Database'!$A$4:$CC$528</definedName>
    <definedName name="_xlnm.Print_Titles" localSheetId="3">'Database'!$1:$4</definedName>
    <definedName name="_xlnm._FilterDatabase" localSheetId="5" hidden="1">'CS League'!$A$4:$K$1082</definedName>
    <definedName name="_xlnm._FilterDatabase" localSheetId="6" hidden="1">'SM League'!$A$4:$R$69</definedName>
    <definedName name="_xlnm._FilterDatabase" localSheetId="8" hidden="1">'Taxonomy'!$A$3:$E$50</definedName>
  </definedNames>
  <calcPr calcId="124519" fullCalcOnLoad="1"/>
</workbook>
</file>

<file path=xl/styles.xml><?xml version="1.0" encoding="utf-8"?>
<styleSheet xmlns="http://schemas.openxmlformats.org/spreadsheetml/2006/main">
  <numFmts count="12">
    <numFmt numFmtId="164" formatCode="yyyy-mm-dd"/>
    <numFmt numFmtId="165" formatCode="0.000"/>
    <numFmt numFmtId="166" formatCode="0.0&quot;%&quot;"/>
    <numFmt numFmtId="167" formatCode="#,##0.0"/>
    <numFmt numFmtId="168" formatCode="0.0&quot;%&quot;;;&quot;none&quot;"/>
    <numFmt numFmtId="169" formatCode="+0.0&quot;%&quot;;-0.0&quot;%&quot;"/>
    <numFmt numFmtId="170" formatCode="0.0"/>
    <numFmt numFmtId="171" formatCode="+0.0%;-0.0%"/>
    <numFmt numFmtId="172" formatCode="0.0000"/>
    <numFmt numFmtId="173" formatCode="0&quot;%&quot;"/>
    <numFmt numFmtId="174" formatCode="+0.0%;(0.0%);0.0%"/>
    <numFmt numFmtId="175" formatCode="dd-mmm-yy"/>
  </numFmts>
  <fonts count="21">
    <font>
      <name val="Calibri"/>
      <family val="2"/>
      <color theme="1"/>
      <sz val="11"/>
      <scheme val="minor"/>
    </font>
    <font>
      <name val="Arial"/>
      <b val="1"/>
      <color rgb="001F3864"/>
      <sz val="16"/>
    </font>
    <font>
      <name val="Arial"/>
      <i val="1"/>
      <color rgb="00808080"/>
      <sz val="9"/>
    </font>
    <font>
      <name val="Arial"/>
      <b val="1"/>
      <color rgb="00FFFFFF"/>
      <sz val="10"/>
    </font>
    <font>
      <name val="Arial"/>
      <sz val="10"/>
    </font>
    <font>
      <name val="Arial"/>
      <color rgb="000000FF"/>
      <sz val="10"/>
      <u val="single"/>
    </font>
    <font>
      <name val="Arial"/>
      <color rgb="000000FF"/>
      <sz val="10"/>
    </font>
    <font>
      <name val="Arial"/>
      <color rgb="00808080"/>
      <sz val="10"/>
    </font>
    <font>
      <name val="Arial"/>
      <b val="1"/>
      <sz val="10"/>
    </font>
    <font>
      <name val="Arial"/>
      <b val="1"/>
      <color rgb="00C00000"/>
      <sz val="10"/>
    </font>
    <font>
      <name val="Arial"/>
      <b val="1"/>
      <color rgb="FF1F3864"/>
      <sz val="18"/>
    </font>
    <font>
      <name val="Arial"/>
      <color rgb="FF24374B"/>
      <sz val="10"/>
    </font>
    <font>
      <name val="Arial"/>
      <b val="1"/>
      <color rgb="FF24374B"/>
      <sz val="10"/>
    </font>
    <font>
      <name val="Arial"/>
      <color rgb="FF0000FF"/>
      <sz val="10"/>
    </font>
    <font>
      <name val="Arial"/>
      <b val="1"/>
      <color rgb="FFFFFFFF"/>
      <sz val="10"/>
    </font>
    <font>
      <name val="Arial"/>
      <b val="1"/>
      <color rgb="FF24374B"/>
      <sz val="22"/>
    </font>
    <font>
      <name val="Arial"/>
      <b val="1"/>
      <color rgb="FFFFFFFF"/>
      <sz val="12"/>
    </font>
    <font>
      <name val="Arial"/>
      <color rgb="0024374B"/>
      <sz val="10"/>
    </font>
    <font>
      <name val="Arial"/>
      <b val="1"/>
      <color rgb="001F3864"/>
      <sz val="15"/>
    </font>
    <font>
      <name val="Arial"/>
      <b val="1"/>
      <color rgb="0024374B"/>
      <sz val="10"/>
    </font>
    <font>
      <name val="Arial"/>
      <i val="1"/>
      <color rgb="0064748B"/>
      <sz val="9"/>
    </font>
  </fonts>
  <fills count="29">
    <fill>
      <patternFill/>
    </fill>
    <fill>
      <patternFill patternType="gray125"/>
    </fill>
    <fill>
      <patternFill patternType="solid">
        <fgColor rgb="001F4E79"/>
      </patternFill>
    </fill>
    <fill>
      <patternFill patternType="solid">
        <fgColor rgb="00274E13"/>
      </patternFill>
    </fill>
    <fill>
      <patternFill patternType="solid">
        <fgColor rgb="007A5C00"/>
      </patternFill>
    </fill>
    <fill>
      <patternFill patternType="solid">
        <fgColor rgb="00134F4A"/>
      </patternFill>
    </fill>
    <fill>
      <patternFill patternType="solid">
        <fgColor rgb="00434343"/>
      </patternFill>
    </fill>
    <fill>
      <patternFill patternType="solid">
        <fgColor rgb="00742323"/>
      </patternFill>
    </fill>
    <fill>
      <patternFill patternType="solid">
        <fgColor rgb="00274E63"/>
      </patternFill>
    </fill>
    <fill>
      <patternFill patternType="solid">
        <fgColor rgb="00305496"/>
      </patternFill>
    </fill>
    <fill>
      <patternFill patternType="solid">
        <fgColor rgb="001F7A6D"/>
      </patternFill>
    </fill>
    <fill>
      <patternFill patternType="solid">
        <fgColor rgb="00F2F2F2"/>
      </patternFill>
    </fill>
    <fill>
      <patternFill patternType="solid">
        <fgColor rgb="00FFC000"/>
      </patternFill>
    </fill>
    <fill>
      <patternFill patternType="solid">
        <fgColor rgb="001F3864"/>
      </patternFill>
    </fill>
    <fill>
      <patternFill patternType="solid">
        <fgColor rgb="00FDE9D9"/>
      </patternFill>
    </fill>
    <fill>
      <patternFill patternType="solid">
        <fgColor rgb="00DDEBF7"/>
      </patternFill>
    </fill>
    <fill>
      <patternFill patternType="solid">
        <fgColor rgb="00E2F0D9"/>
      </patternFill>
    </fill>
    <fill>
      <patternFill patternType="solid">
        <fgColor rgb="00EDEDED"/>
      </patternFill>
    </fill>
    <fill>
      <patternFill patternType="solid">
        <fgColor rgb="00375623"/>
      </patternFill>
    </fill>
    <fill>
      <patternFill patternType="solid">
        <fgColor rgb="00595959"/>
      </patternFill>
    </fill>
    <fill>
      <patternFill patternType="solid">
        <fgColor rgb="00E4E7EC"/>
      </patternFill>
    </fill>
    <fill>
      <patternFill patternType="solid">
        <fgColor rgb="0044546A"/>
      </patternFill>
    </fill>
    <fill>
      <patternFill patternType="solid">
        <fgColor rgb="00FBFCFE"/>
      </patternFill>
    </fill>
    <fill>
      <patternFill patternType="solid">
        <fgColor rgb="00F2F6FB"/>
      </patternFill>
    </fill>
    <fill>
      <patternFill patternType="solid">
        <fgColor rgb="FFE9F2FF"/>
      </patternFill>
    </fill>
    <fill>
      <patternFill patternType="solid">
        <fgColor rgb="FF117F80"/>
      </patternFill>
    </fill>
    <fill>
      <patternFill patternType="solid">
        <fgColor rgb="FFF3F7FB"/>
      </patternFill>
    </fill>
    <fill>
      <patternFill patternType="solid">
        <fgColor rgb="FF1F3864"/>
      </patternFill>
    </fill>
    <fill>
      <patternFill patternType="solid">
        <fgColor rgb="00E9F2FF"/>
      </patternFill>
    </fill>
  </fills>
  <borders count="21">
    <border>
      <left/>
      <right/>
      <top/>
      <bottom/>
      <diagonal/>
    </border>
    <border>
      <bottom style="hair">
        <color rgb="00E1E7EF"/>
      </bottom>
    </border>
    <border>
      <left/>
      <right/>
      <top/>
      <bottom style="hair">
        <color rgb="00E1E7EF"/>
      </bottom>
      <diagonal/>
    </border>
    <border>
      <left style="medium">
        <color rgb="00305496"/>
      </left>
      <right/>
      <top/>
      <bottom/>
    </border>
    <border>
      <left style="medium">
        <color rgb="00305496"/>
      </left>
      <bottom style="hair">
        <color rgb="00E1E7EF"/>
      </bottom>
    </border>
    <border>
      <top style="medium">
        <color rgb="00305496"/>
      </top>
      <bottom style="hair">
        <color rgb="00E1E7EF"/>
      </bottom>
    </border>
    <border>
      <left style="medium">
        <color rgb="00305496"/>
      </left>
      <top style="medium">
        <color rgb="00305496"/>
      </top>
      <bottom style="hair">
        <color rgb="00E1E7EF"/>
      </bottom>
    </border>
    <border>
      <left style="thin">
        <color rgb="00B8C4D0"/>
      </left>
      <top style="thin">
        <color rgb="00B8C4D0"/>
      </top>
      <bottom style="hair">
        <color rgb="00E1E7EF"/>
      </bottom>
    </border>
    <border>
      <left/>
      <right/>
      <top style="thin">
        <color rgb="00B8C4D0"/>
      </top>
      <bottom style="hair">
        <color rgb="00E1E7EF"/>
      </bottom>
    </border>
    <border>
      <left/>
      <right style="thin">
        <color rgb="00B8C4D0"/>
      </right>
      <top style="thin">
        <color rgb="00B8C4D0"/>
      </top>
      <bottom style="hair">
        <color rgb="00E1E7EF"/>
      </bottom>
    </border>
    <border>
      <left style="thin">
        <color rgb="00B8C4D0"/>
      </left>
      <bottom style="hair">
        <color rgb="00E1E7EF"/>
      </bottom>
    </border>
    <border>
      <left/>
      <right/>
      <top/>
      <bottom/>
    </border>
    <border>
      <left/>
      <right style="thin">
        <color rgb="00B8C4D0"/>
      </right>
      <top/>
      <bottom/>
    </border>
    <border>
      <right style="thin">
        <color rgb="00B8C4D0"/>
      </right>
      <bottom style="hair">
        <color rgb="00E1E7EF"/>
      </bottom>
    </border>
    <border>
      <left style="thin">
        <color rgb="00B8C4D0"/>
      </left>
      <bottom style="thin">
        <color rgb="00B8C4D0"/>
      </bottom>
    </border>
    <border>
      <bottom style="thin">
        <color rgb="00B8C4D0"/>
      </bottom>
    </border>
    <border>
      <left/>
      <right style="thin">
        <color rgb="00B8C4D0"/>
      </right>
      <top/>
      <bottom style="thin">
        <color rgb="00B8C4D0"/>
      </bottom>
    </border>
    <border>
      <left/>
      <right/>
      <top/>
      <bottom style="hair">
        <color rgb="FFE1E7EF"/>
      </bottom>
      <diagonal/>
    </border>
    <border>
      <left/>
      <right/>
      <top style="hair">
        <color rgb="FFE1E7EF"/>
      </top>
      <bottom style="hair">
        <color rgb="FFE1E7EF"/>
      </bottom>
      <diagonal/>
    </border>
    <border>
      <left/>
      <right/>
      <top style="hair">
        <color rgb="FFE1E7EF"/>
      </top>
      <bottom/>
      <diagonal/>
    </border>
    <border>
      <right/>
      <bottom style="hair">
        <color rgb="00E1E7EF"/>
      </bottom>
    </border>
  </borders>
  <cellStyleXfs count="1">
    <xf numFmtId="0" fontId="0" fillId="0" borderId="0"/>
  </cellStyleXfs>
  <cellXfs count="271">
    <xf numFmtId="0" fontId="0" fillId="0" borderId="0" pivotButton="0" quotePrefix="0" xfId="0"/>
    <xf numFmtId="0" fontId="18" fillId="0" borderId="0" applyAlignment="1" pivotButton="0" quotePrefix="0" xfId="0">
      <alignment vertical="center" wrapText="1"/>
    </xf>
    <xf numFmtId="0" fontId="11" fillId="0" borderId="0" applyAlignment="1" pivotButton="0" quotePrefix="0" xfId="0">
      <alignment vertical="center" wrapText="1"/>
    </xf>
    <xf numFmtId="0" fontId="11" fillId="0" borderId="0" pivotButton="0" quotePrefix="0" xfId="0"/>
    <xf numFmtId="0" fontId="12" fillId="0" borderId="0" applyAlignment="1" pivotButton="0" quotePrefix="0" xfId="0">
      <alignment vertical="center" wrapText="1"/>
    </xf>
    <xf numFmtId="0" fontId="13" fillId="24" borderId="0" applyAlignment="1" pivotButton="0" quotePrefix="0" xfId="0">
      <alignment vertical="center" wrapText="1"/>
    </xf>
    <xf numFmtId="0" fontId="14" fillId="27" borderId="17" applyAlignment="1" pivotButton="0" quotePrefix="0" xfId="0">
      <alignment vertical="center" wrapText="1"/>
    </xf>
    <xf numFmtId="0" fontId="3" fillId="13" borderId="0" applyAlignment="1" pivotButton="0" quotePrefix="0" xfId="0">
      <alignment vertical="center" wrapText="1"/>
    </xf>
    <xf numFmtId="49" fontId="17" fillId="0" borderId="18" applyAlignment="1" pivotButton="0" quotePrefix="0" xfId="0">
      <alignment vertical="center" wrapText="1"/>
    </xf>
    <xf numFmtId="0" fontId="17" fillId="0" borderId="18" applyAlignment="1" pivotButton="0" quotePrefix="0" xfId="0">
      <alignment vertical="center" wrapText="1"/>
    </xf>
    <xf numFmtId="2" fontId="17" fillId="0" borderId="18" applyAlignment="1" pivotButton="0" quotePrefix="0" xfId="0">
      <alignment vertical="center" wrapText="1"/>
    </xf>
    <xf numFmtId="174" fontId="17" fillId="0" borderId="18" applyAlignment="1" pivotButton="0" quotePrefix="0" xfId="0">
      <alignment vertical="center" wrapText="1"/>
    </xf>
    <xf numFmtId="175" fontId="17" fillId="0" borderId="18" applyAlignment="1" pivotButton="0" quotePrefix="0" xfId="0">
      <alignment vertical="center" wrapText="1"/>
    </xf>
    <xf numFmtId="164" fontId="17" fillId="0" borderId="18" applyAlignment="1" pivotButton="0" quotePrefix="0" xfId="0">
      <alignment vertical="center" wrapText="1"/>
    </xf>
    <xf numFmtId="175" fontId="17" fillId="0" borderId="0" applyAlignment="1" pivotButton="0" quotePrefix="0" xfId="0">
      <alignment vertical="center" wrapText="1"/>
    </xf>
    <xf numFmtId="0" fontId="17" fillId="0" borderId="0" applyAlignment="1" pivotButton="0" quotePrefix="0" xfId="0">
      <alignment vertical="center" wrapText="1"/>
    </xf>
    <xf numFmtId="49" fontId="6" fillId="24" borderId="0" applyAlignment="1" pivotButton="0" quotePrefix="0" xfId="0">
      <alignment vertical="center" wrapText="1"/>
    </xf>
    <xf numFmtId="0" fontId="6" fillId="28" borderId="0" pivotButton="0" quotePrefix="0" xfId="0"/>
    <xf numFmtId="0" fontId="6" fillId="24" borderId="0" applyAlignment="1" pivotButton="0" quotePrefix="0" xfId="0">
      <alignment vertical="center" wrapText="1"/>
    </xf>
    <xf numFmtId="0" fontId="19" fillId="0" borderId="0" applyAlignment="1" pivotButton="0" quotePrefix="0" xfId="0">
      <alignment vertical="center" wrapText="1"/>
    </xf>
    <xf numFmtId="2" fontId="1" fillId="0" borderId="0" applyAlignment="1" pivotButton="0" quotePrefix="0" xfId="0">
      <alignment vertical="center" wrapText="1"/>
    </xf>
    <xf numFmtId="174" fontId="1" fillId="0" borderId="0" applyAlignment="1" pivotButton="0" quotePrefix="0" xfId="0">
      <alignment vertical="center" wrapText="1"/>
    </xf>
    <xf numFmtId="172" fontId="1" fillId="0" borderId="0" applyAlignment="1" pivotButton="0" quotePrefix="0" xfId="0">
      <alignment vertical="center" wrapText="1"/>
    </xf>
    <xf numFmtId="0" fontId="20" fillId="0" borderId="0" applyAlignment="1" pivotButton="0" quotePrefix="0" xfId="0">
      <alignment vertical="center" wrapText="1"/>
    </xf>
    <xf numFmtId="0" fontId="16" fillId="27" borderId="0" applyAlignment="1" pivotButton="0" quotePrefix="0" xfId="0">
      <alignment vertical="center" wrapText="1"/>
    </xf>
    <xf numFmtId="49" fontId="17" fillId="0" borderId="19" applyAlignment="1" pivotButton="0" quotePrefix="0" xfId="0">
      <alignment vertical="center" wrapText="1"/>
    </xf>
    <xf numFmtId="0" fontId="17" fillId="0" borderId="19" applyAlignment="1" pivotButton="0" quotePrefix="0" xfId="0">
      <alignment vertical="center" wrapText="1"/>
    </xf>
    <xf numFmtId="2" fontId="17" fillId="0" borderId="19" applyAlignment="1" pivotButton="0" quotePrefix="0" xfId="0">
      <alignment vertical="center" wrapText="1"/>
    </xf>
    <xf numFmtId="174" fontId="17" fillId="0" borderId="19" applyAlignment="1" pivotButton="0" quotePrefix="0" xfId="0">
      <alignment vertical="center" wrapText="1"/>
    </xf>
    <xf numFmtId="175" fontId="17" fillId="0" borderId="19" applyAlignment="1" pivotButton="0" quotePrefix="0" xfId="0">
      <alignment vertical="center" wrapText="1"/>
    </xf>
    <xf numFmtId="164" fontId="17" fillId="0" borderId="19" applyAlignment="1" pivotButton="0" quotePrefix="0" xfId="0">
      <alignment vertical="center" wrapText="1"/>
    </xf>
    <xf numFmtId="49" fontId="17" fillId="0" borderId="0" applyAlignment="1" pivotButton="0" quotePrefix="0" xfId="0">
      <alignment vertical="center" wrapText="1"/>
    </xf>
    <xf numFmtId="2" fontId="17" fillId="0" borderId="0" applyAlignment="1" pivotButton="0" quotePrefix="0" xfId="0">
      <alignment vertical="center" wrapText="1"/>
    </xf>
    <xf numFmtId="174" fontId="17" fillId="0" borderId="0" applyAlignment="1" pivotButton="0" quotePrefix="0" xfId="0">
      <alignment vertical="center" wrapText="1"/>
    </xf>
    <xf numFmtId="164" fontId="17" fillId="0" borderId="0" applyAlignment="1" pivotButton="0" quotePrefix="0" xfId="0">
      <alignment vertical="center" wrapText="1"/>
    </xf>
    <xf numFmtId="0" fontId="1" fillId="0" borderId="0" applyAlignment="1" pivotButton="0" quotePrefix="0" xfId="0">
      <alignment vertical="center"/>
    </xf>
    <xf numFmtId="0" fontId="2" fillId="0" borderId="0" applyAlignment="1" pivotButton="0" quotePrefix="0" xfId="0">
      <alignment vertical="center" wrapText="1"/>
    </xf>
    <xf numFmtId="0" fontId="3" fillId="13" borderId="7" applyAlignment="1" pivotButton="0" quotePrefix="0" xfId="0">
      <alignment horizontal="left" vertical="center" indent="1"/>
    </xf>
    <xf numFmtId="0" fontId="0" fillId="22" borderId="8" pivotButton="0" quotePrefix="0" xfId="0"/>
    <xf numFmtId="0" fontId="0" fillId="22" borderId="9" pivotButton="0" quotePrefix="0" xfId="0"/>
    <xf numFmtId="0" fontId="4" fillId="0" borderId="10" applyAlignment="1" pivotButton="0" quotePrefix="0" xfId="0">
      <alignment vertical="center"/>
    </xf>
    <xf numFmtId="0" fontId="6" fillId="15" borderId="20" applyAlignment="1" pivotButton="0" quotePrefix="0" xfId="0">
      <alignment vertical="center" wrapText="1"/>
    </xf>
    <xf numFmtId="0" fontId="0" fillId="0" borderId="2" pivotButton="0" quotePrefix="0" xfId="0"/>
    <xf numFmtId="0" fontId="4" fillId="11" borderId="1" applyAlignment="1" pivotButton="0" quotePrefix="0" xfId="0">
      <alignment vertical="center"/>
    </xf>
    <xf numFmtId="0" fontId="3" fillId="13" borderId="10" applyAlignment="1" pivotButton="0" quotePrefix="0" xfId="0">
      <alignment horizontal="center" vertical="center" wrapText="1"/>
    </xf>
    <xf numFmtId="0" fontId="3" fillId="13" borderId="1" applyAlignment="1" pivotButton="0" quotePrefix="0" xfId="0">
      <alignment horizontal="center" vertical="center" wrapText="1"/>
    </xf>
    <xf numFmtId="0" fontId="3" fillId="13" borderId="13" applyAlignment="1" pivotButton="0" quotePrefix="0" xfId="0">
      <alignment horizontal="center" vertical="center" wrapText="1"/>
    </xf>
    <xf numFmtId="0" fontId="6" fillId="15" borderId="1" pivotButton="0" quotePrefix="0" xfId="0"/>
    <xf numFmtId="0" fontId="0" fillId="22" borderId="12" pivotButton="0" quotePrefix="0" xfId="0"/>
    <xf numFmtId="0" fontId="3" fillId="19" borderId="1" applyAlignment="1" pivotButton="0" quotePrefix="0" xfId="0">
      <alignment horizontal="left" vertical="center" indent="1"/>
    </xf>
    <xf numFmtId="0" fontId="0" fillId="23" borderId="12" pivotButton="0" quotePrefix="0" xfId="0"/>
    <xf numFmtId="0" fontId="4" fillId="0" borderId="1" applyAlignment="1" pivotButton="0" quotePrefix="0" xfId="0">
      <alignment vertical="center"/>
    </xf>
    <xf numFmtId="9" fontId="4" fillId="11" borderId="1" applyAlignment="1" pivotButton="0" quotePrefix="0" xfId="0">
      <alignment vertical="center"/>
    </xf>
    <xf numFmtId="3" fontId="4" fillId="11" borderId="1" applyAlignment="1" pivotButton="0" quotePrefix="0" xfId="0">
      <alignment vertical="center"/>
    </xf>
    <xf numFmtId="3" fontId="6" fillId="15" borderId="1" pivotButton="0" quotePrefix="0" xfId="0"/>
    <xf numFmtId="164" fontId="4" fillId="11" borderId="1" applyAlignment="1" pivotButton="0" quotePrefix="0" xfId="0">
      <alignment vertical="center"/>
    </xf>
    <xf numFmtId="164" fontId="6" fillId="15" borderId="1" pivotButton="0" quotePrefix="0" xfId="0"/>
    <xf numFmtId="169" fontId="4" fillId="11" borderId="1" applyAlignment="1" pivotButton="0" quotePrefix="0" xfId="0">
      <alignment vertical="center"/>
    </xf>
    <xf numFmtId="170" fontId="4" fillId="11" borderId="1" applyAlignment="1" pivotButton="0" quotePrefix="0" xfId="0">
      <alignment vertical="center"/>
    </xf>
    <xf numFmtId="170" fontId="6" fillId="15" borderId="1" pivotButton="0" quotePrefix="0" xfId="0"/>
    <xf numFmtId="167" fontId="4" fillId="11" borderId="1" applyAlignment="1" pivotButton="0" quotePrefix="0" xfId="0">
      <alignment vertical="center"/>
    </xf>
    <xf numFmtId="167" fontId="6" fillId="15" borderId="1" pivotButton="0" quotePrefix="0" xfId="0"/>
    <xf numFmtId="0" fontId="3" fillId="18" borderId="10" applyAlignment="1" pivotButton="0" quotePrefix="0" xfId="0">
      <alignment horizontal="left" vertical="center" indent="1"/>
    </xf>
    <xf numFmtId="0" fontId="3" fillId="18" borderId="1" applyAlignment="1" pivotButton="0" quotePrefix="0" xfId="0">
      <alignment horizontal="center" vertical="center" wrapText="1"/>
    </xf>
    <xf numFmtId="0" fontId="3" fillId="18" borderId="13" applyAlignment="1" pivotButton="0" quotePrefix="0" xfId="0">
      <alignment horizontal="center" vertical="center" wrapText="1"/>
    </xf>
    <xf numFmtId="166" fontId="4" fillId="11" borderId="1" applyAlignment="1" pivotButton="0" quotePrefix="0" xfId="0">
      <alignment vertical="center"/>
    </xf>
    <xf numFmtId="0" fontId="6" fillId="15" borderId="1" applyAlignment="1" pivotButton="0" quotePrefix="0" xfId="0">
      <alignment vertical="center"/>
    </xf>
    <xf numFmtId="0" fontId="0" fillId="22" borderId="11" pivotButton="0" quotePrefix="0" xfId="0"/>
    <xf numFmtId="0" fontId="4" fillId="0" borderId="14" applyAlignment="1" pivotButton="0" quotePrefix="0" xfId="0">
      <alignment vertical="center"/>
    </xf>
    <xf numFmtId="0" fontId="6" fillId="15" borderId="15" applyAlignment="1" pivotButton="0" quotePrefix="0" xfId="0">
      <alignment vertical="center"/>
    </xf>
    <xf numFmtId="0" fontId="4" fillId="0" borderId="15" applyAlignment="1" pivotButton="0" quotePrefix="0" xfId="0">
      <alignment vertical="center"/>
    </xf>
    <xf numFmtId="1" fontId="6" fillId="15" borderId="15" applyAlignment="1" pivotButton="0" quotePrefix="0" xfId="0">
      <alignment vertical="center"/>
    </xf>
    <xf numFmtId="0" fontId="0" fillId="22" borderId="16" pivotButton="0" quotePrefix="0" xfId="0"/>
    <xf numFmtId="0" fontId="3"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0" fontId="3" fillId="8" borderId="1" applyAlignment="1" pivotButton="0" quotePrefix="0" xfId="0">
      <alignment horizontal="center" vertical="center" wrapText="1"/>
    </xf>
    <xf numFmtId="0" fontId="3" fillId="19"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0" borderId="1" applyAlignment="1" pivotButton="0" quotePrefix="0" xfId="0">
      <alignment horizontal="center" vertical="center" wrapText="1"/>
    </xf>
    <xf numFmtId="0" fontId="4" fillId="11" borderId="1" applyAlignment="1" pivotButton="0" quotePrefix="0" xfId="0">
      <alignment horizontal="center" vertical="center"/>
    </xf>
    <xf numFmtId="49" fontId="4" fillId="11" borderId="1" applyAlignment="1" pivotButton="0" quotePrefix="0" xfId="0">
      <alignment vertical="center"/>
    </xf>
    <xf numFmtId="165" fontId="4" fillId="11" borderId="1" applyAlignment="1" pivotButton="0" quotePrefix="0" xfId="0">
      <alignment vertical="center"/>
    </xf>
    <xf numFmtId="2" fontId="4" fillId="11" borderId="1" applyAlignment="1" pivotButton="0" quotePrefix="0" xfId="0">
      <alignment vertical="center"/>
    </xf>
    <xf numFmtId="168" fontId="4" fillId="11" borderId="1" applyAlignment="1" pivotButton="0" quotePrefix="0" xfId="0">
      <alignment vertical="center"/>
    </xf>
    <xf numFmtId="1" fontId="4" fillId="11" borderId="1" applyAlignment="1" pivotButton="0" quotePrefix="0" xfId="0">
      <alignment vertical="center"/>
    </xf>
    <xf numFmtId="171" fontId="4" fillId="11" borderId="1" applyAlignment="1" pivotButton="0" quotePrefix="0" xfId="0">
      <alignment vertical="center"/>
    </xf>
    <xf numFmtId="0" fontId="8" fillId="20" borderId="1" applyAlignment="1" pivotButton="0" quotePrefix="0" xfId="0">
      <alignment vertical="center"/>
    </xf>
    <xf numFmtId="0" fontId="8" fillId="20" borderId="1" pivotButton="0" quotePrefix="0" xfId="0"/>
    <xf numFmtId="3" fontId="8" fillId="20" borderId="1" applyAlignment="1" pivotButton="0" quotePrefix="0" xfId="0">
      <alignment vertical="center"/>
    </xf>
    <xf numFmtId="165" fontId="8" fillId="20" borderId="1" applyAlignment="1" pivotButton="0" quotePrefix="0" xfId="0">
      <alignment vertical="center"/>
    </xf>
    <xf numFmtId="166" fontId="8" fillId="20" borderId="1" applyAlignment="1" pivotButton="0" quotePrefix="0" xfId="0">
      <alignment vertical="center"/>
    </xf>
    <xf numFmtId="167" fontId="8" fillId="20" borderId="1" applyAlignment="1" pivotButton="0" quotePrefix="0" xfId="0">
      <alignment vertical="center"/>
    </xf>
    <xf numFmtId="2" fontId="8" fillId="20" borderId="1" applyAlignment="1" pivotButton="0" quotePrefix="0" xfId="0">
      <alignment vertical="center"/>
    </xf>
    <xf numFmtId="168" fontId="8" fillId="20" borderId="1" applyAlignment="1" pivotButton="0" quotePrefix="0" xfId="0">
      <alignment vertical="center"/>
    </xf>
    <xf numFmtId="1" fontId="8" fillId="20" borderId="1" applyAlignment="1" pivotButton="0" quotePrefix="0" xfId="0">
      <alignment vertical="center"/>
    </xf>
    <xf numFmtId="169" fontId="8" fillId="20" borderId="1" applyAlignment="1" pivotButton="0" quotePrefix="0" xfId="0">
      <alignment vertical="center"/>
    </xf>
    <xf numFmtId="170" fontId="8" fillId="20" borderId="1" applyAlignment="1" pivotButton="0" quotePrefix="0" xfId="0">
      <alignment vertical="center"/>
    </xf>
    <xf numFmtId="171" fontId="8" fillId="20" borderId="1" applyAlignment="1" pivotButton="0" quotePrefix="0" xfId="0">
      <alignment vertical="center"/>
    </xf>
    <xf numFmtId="0" fontId="3" fillId="21" borderId="1" applyAlignment="1" pivotButton="0" quotePrefix="0" xfId="0">
      <alignment horizontal="left" vertical="center" indent="1"/>
    </xf>
    <xf numFmtId="0" fontId="3" fillId="21" borderId="1" applyAlignment="1" pivotButton="0" quotePrefix="0" xfId="0">
      <alignment horizontal="center" vertical="center" wrapText="1"/>
    </xf>
    <xf numFmtId="0" fontId="3" fillId="7" borderId="1" applyAlignment="1" pivotButton="0" quotePrefix="0" xfId="0">
      <alignment horizontal="left" vertical="center" indent="1"/>
    </xf>
    <xf numFmtId="0" fontId="2" fillId="0" borderId="0" applyAlignment="1" pivotButton="0" quotePrefix="0" xfId="0">
      <alignment vertical="center"/>
    </xf>
    <xf numFmtId="172" fontId="4" fillId="11" borderId="1" applyAlignment="1" pivotButton="0" quotePrefix="0" xfId="0">
      <alignment vertical="center"/>
    </xf>
    <xf numFmtId="49" fontId="4" fillId="0" borderId="0" applyAlignment="1" pivotButton="0" quotePrefix="0" xfId="0">
      <alignment vertical="center"/>
    </xf>
    <xf numFmtId="0" fontId="4" fillId="0" borderId="0" applyAlignment="1" pivotButton="0" quotePrefix="0" xfId="0">
      <alignment vertical="center"/>
    </xf>
    <xf numFmtId="164" fontId="4" fillId="0" borderId="0" applyAlignment="1" pivotButton="0" quotePrefix="0" xfId="0">
      <alignment vertical="center"/>
    </xf>
    <xf numFmtId="3" fontId="4" fillId="0" borderId="3" applyAlignment="1" pivotButton="0" quotePrefix="0" xfId="0">
      <alignment vertical="center"/>
    </xf>
    <xf numFmtId="165" fontId="4" fillId="0" borderId="0" applyAlignment="1" pivotButton="0" quotePrefix="0" xfId="0">
      <alignment vertical="center"/>
    </xf>
    <xf numFmtId="166" fontId="4" fillId="0" borderId="0" applyAlignment="1" pivotButton="0" quotePrefix="0" xfId="0">
      <alignment vertical="center"/>
    </xf>
    <xf numFmtId="3" fontId="4" fillId="0" borderId="0" applyAlignment="1" pivotButton="0" quotePrefix="0" xfId="0">
      <alignment vertical="center"/>
    </xf>
    <xf numFmtId="167" fontId="4" fillId="0" borderId="3" applyAlignment="1" pivotButton="0" quotePrefix="0" xfId="0">
      <alignment vertical="center"/>
    </xf>
    <xf numFmtId="2" fontId="4" fillId="0" borderId="0" applyAlignment="1" pivotButton="0" quotePrefix="0" xfId="0">
      <alignment vertical="center"/>
    </xf>
    <xf numFmtId="168" fontId="4" fillId="0" borderId="0" applyAlignment="1" pivotButton="0" quotePrefix="0" xfId="0">
      <alignment vertical="center"/>
    </xf>
    <xf numFmtId="1" fontId="4" fillId="0" borderId="0" applyAlignment="1" pivotButton="0" quotePrefix="0" xfId="0">
      <alignment vertical="center"/>
    </xf>
    <xf numFmtId="166" fontId="4" fillId="0" borderId="0" pivotButton="0" quotePrefix="0" xfId="0"/>
    <xf numFmtId="0" fontId="4" fillId="0" borderId="0" pivotButton="0" quotePrefix="0" xfId="0"/>
    <xf numFmtId="169" fontId="4" fillId="0" borderId="3" applyAlignment="1" pivotButton="0" quotePrefix="0" xfId="0">
      <alignment vertical="center"/>
    </xf>
    <xf numFmtId="169" fontId="4" fillId="0" borderId="0" applyAlignment="1" pivotButton="0" quotePrefix="0" xfId="0">
      <alignment vertical="center"/>
    </xf>
    <xf numFmtId="170" fontId="4" fillId="0" borderId="0" pivotButton="0" quotePrefix="0" xfId="0"/>
    <xf numFmtId="170" fontId="4" fillId="0" borderId="0" applyAlignment="1" pivotButton="0" quotePrefix="0" xfId="0">
      <alignment vertical="center"/>
    </xf>
    <xf numFmtId="170" fontId="4" fillId="11" borderId="0" applyAlignment="1" pivotButton="0" quotePrefix="0" xfId="0">
      <alignment vertical="center"/>
    </xf>
    <xf numFmtId="0" fontId="4" fillId="0" borderId="3" applyAlignment="1" pivotButton="0" quotePrefix="0" xfId="0">
      <alignment vertical="center"/>
    </xf>
    <xf numFmtId="0" fontId="4" fillId="11" borderId="0" applyAlignment="1" pivotButton="0" quotePrefix="0" xfId="0">
      <alignment vertical="center"/>
    </xf>
    <xf numFmtId="0" fontId="5" fillId="0" borderId="0" applyAlignment="1" pivotButton="0" quotePrefix="0" xfId="0">
      <alignment vertical="center"/>
    </xf>
    <xf numFmtId="0" fontId="4" fillId="0" borderId="3" pivotButton="0" quotePrefix="0" xfId="0"/>
    <xf numFmtId="165" fontId="4" fillId="0" borderId="0" pivotButton="0" quotePrefix="0" xfId="0"/>
    <xf numFmtId="169" fontId="4" fillId="0" borderId="3" pivotButton="0" quotePrefix="0" xfId="0"/>
    <xf numFmtId="3" fontId="4" fillId="0" borderId="0" pivotButton="0" quotePrefix="0" xfId="0"/>
    <xf numFmtId="3" fontId="4" fillId="0" borderId="3" pivotButton="0" quotePrefix="0" xfId="0"/>
    <xf numFmtId="2" fontId="4" fillId="11" borderId="0" applyAlignment="1" pivotButton="0" quotePrefix="0" xfId="0">
      <alignment vertical="center"/>
    </xf>
    <xf numFmtId="1" fontId="4" fillId="0" borderId="0" pivotButton="0" quotePrefix="0" xfId="0"/>
    <xf numFmtId="171" fontId="4" fillId="0" borderId="0" applyAlignment="1" pivotButton="0" quotePrefix="0" xfId="0">
      <alignment vertical="center"/>
    </xf>
    <xf numFmtId="3" fontId="4" fillId="11" borderId="0" applyAlignment="1" pivotButton="0" quotePrefix="0" xfId="0">
      <alignment vertical="center"/>
    </xf>
    <xf numFmtId="169" fontId="4" fillId="0" borderId="0" pivotButton="0" quotePrefix="0" xfId="0"/>
    <xf numFmtId="2" fontId="4" fillId="12" borderId="0" applyAlignment="1" pivotButton="0" quotePrefix="0" xfId="0">
      <alignment vertical="center"/>
    </xf>
    <xf numFmtId="169" fontId="4" fillId="12" borderId="3" applyAlignment="1" pivotButton="0" quotePrefix="0" xfId="0">
      <alignment vertical="center"/>
    </xf>
    <xf numFmtId="0" fontId="4" fillId="14" borderId="1" applyAlignment="1" pivotButton="0" quotePrefix="0" xfId="0">
      <alignment vertical="center"/>
    </xf>
    <xf numFmtId="0" fontId="6" fillId="15" borderId="1" applyAlignment="1" pivotButton="0" quotePrefix="0" xfId="0">
      <alignment vertical="center" wrapText="1"/>
    </xf>
    <xf numFmtId="3" fontId="6" fillId="15" borderId="4" applyAlignment="1" pivotButton="0" quotePrefix="0" xfId="0">
      <alignment vertical="center"/>
    </xf>
    <xf numFmtId="0" fontId="2" fillId="14" borderId="1" applyAlignment="1" pivotButton="0" quotePrefix="0" xfId="0">
      <alignment vertical="center"/>
    </xf>
    <xf numFmtId="0" fontId="4" fillId="14" borderId="1" applyAlignment="1" pivotButton="0" quotePrefix="0" xfId="0">
      <alignment vertical="top"/>
    </xf>
    <xf numFmtId="165" fontId="4" fillId="14" borderId="1" applyAlignment="1" pivotButton="0" quotePrefix="0" xfId="0">
      <alignment vertical="center"/>
    </xf>
    <xf numFmtId="170" fontId="4" fillId="14" borderId="1" applyAlignment="1" pivotButton="0" quotePrefix="0" xfId="0">
      <alignment vertical="top"/>
    </xf>
    <xf numFmtId="168" fontId="4" fillId="14" borderId="1" applyAlignment="1" pivotButton="0" quotePrefix="0" xfId="0">
      <alignment vertical="center"/>
    </xf>
    <xf numFmtId="0" fontId="4" fillId="14" borderId="1" applyAlignment="1" pivotButton="0" quotePrefix="0" xfId="0">
      <alignment vertical="center" wrapText="1"/>
    </xf>
    <xf numFmtId="3" fontId="4" fillId="14" borderId="1" applyAlignment="1" pivotButton="0" quotePrefix="0" xfId="0">
      <alignment vertical="center"/>
    </xf>
    <xf numFmtId="0" fontId="4" fillId="14" borderId="4" applyAlignment="1" pivotButton="0" quotePrefix="0" xfId="0">
      <alignment vertical="center"/>
    </xf>
    <xf numFmtId="165" fontId="4" fillId="14" borderId="4" applyAlignment="1" pivotButton="0" quotePrefix="0" xfId="0">
      <alignment vertical="top"/>
    </xf>
    <xf numFmtId="169" fontId="4" fillId="14" borderId="1" applyAlignment="1" pivotButton="0" quotePrefix="0" xfId="0">
      <alignment vertical="top"/>
    </xf>
    <xf numFmtId="0" fontId="4" fillId="14" borderId="4" applyAlignment="1" pivotButton="0" quotePrefix="0" xfId="0">
      <alignment vertical="center" wrapText="1"/>
    </xf>
    <xf numFmtId="0" fontId="5" fillId="14" borderId="1" applyAlignment="1" pivotButton="0" quotePrefix="0" xfId="0">
      <alignment vertical="center"/>
    </xf>
    <xf numFmtId="0" fontId="2" fillId="14" borderId="4" applyAlignment="1" pivotButton="0" quotePrefix="0" xfId="0">
      <alignment vertical="center" wrapText="1"/>
    </xf>
    <xf numFmtId="0" fontId="2" fillId="14" borderId="1" applyAlignment="1" pivotButton="0" quotePrefix="0" xfId="0">
      <alignment vertical="center" wrapText="1"/>
    </xf>
    <xf numFmtId="0" fontId="4" fillId="16" borderId="5" applyAlignment="1" pivotButton="0" quotePrefix="0" xfId="0">
      <alignment vertical="top"/>
    </xf>
    <xf numFmtId="0" fontId="4" fillId="16" borderId="5" applyAlignment="1" pivotButton="0" quotePrefix="0" xfId="0">
      <alignment vertical="center"/>
    </xf>
    <xf numFmtId="0" fontId="6" fillId="15" borderId="5" applyAlignment="1" pivotButton="0" quotePrefix="0" xfId="0">
      <alignment vertical="center" wrapText="1"/>
    </xf>
    <xf numFmtId="0" fontId="6" fillId="15" borderId="5" applyAlignment="1" pivotButton="0" quotePrefix="0" xfId="0">
      <alignment vertical="center"/>
    </xf>
    <xf numFmtId="3" fontId="6" fillId="15" borderId="6" applyAlignment="1" pivotButton="0" quotePrefix="0" xfId="0">
      <alignment vertical="center"/>
    </xf>
    <xf numFmtId="0" fontId="2" fillId="16" borderId="5" applyAlignment="1" pivotButton="0" quotePrefix="0" xfId="0">
      <alignment vertical="center"/>
    </xf>
    <xf numFmtId="165" fontId="4" fillId="16" borderId="5" applyAlignment="1" pivotButton="0" quotePrefix="0" xfId="0">
      <alignment vertical="top"/>
    </xf>
    <xf numFmtId="170" fontId="4" fillId="16" borderId="5" applyAlignment="1" pivotButton="0" quotePrefix="0" xfId="0">
      <alignment vertical="top"/>
    </xf>
    <xf numFmtId="168" fontId="4" fillId="16" borderId="5" applyAlignment="1" pivotButton="0" quotePrefix="0" xfId="0">
      <alignment vertical="center"/>
    </xf>
    <xf numFmtId="0" fontId="4" fillId="16" borderId="5" applyAlignment="1" pivotButton="0" quotePrefix="0" xfId="0">
      <alignment vertical="center" wrapText="1"/>
    </xf>
    <xf numFmtId="3" fontId="4" fillId="16" borderId="5" applyAlignment="1" pivotButton="0" quotePrefix="0" xfId="0">
      <alignment vertical="center"/>
    </xf>
    <xf numFmtId="0" fontId="4" fillId="16" borderId="6" applyAlignment="1" pivotButton="0" quotePrefix="0" xfId="0">
      <alignment vertical="center"/>
    </xf>
    <xf numFmtId="165" fontId="4" fillId="16" borderId="6" applyAlignment="1" pivotButton="0" quotePrefix="0" xfId="0">
      <alignment vertical="top"/>
    </xf>
    <xf numFmtId="169" fontId="4" fillId="16" borderId="5" applyAlignment="1" pivotButton="0" quotePrefix="0" xfId="0">
      <alignment vertical="top"/>
    </xf>
    <xf numFmtId="0" fontId="4" fillId="16" borderId="6" applyAlignment="1" pivotButton="0" quotePrefix="0" xfId="0">
      <alignment vertical="center" wrapText="1"/>
    </xf>
    <xf numFmtId="0" fontId="5" fillId="16" borderId="5" applyAlignment="1" pivotButton="0" quotePrefix="0" xfId="0">
      <alignment vertical="center"/>
    </xf>
    <xf numFmtId="0" fontId="2" fillId="16" borderId="6" applyAlignment="1" pivotButton="0" quotePrefix="0" xfId="0">
      <alignment vertical="center" wrapText="1"/>
    </xf>
    <xf numFmtId="0" fontId="2" fillId="16" borderId="5" applyAlignment="1" pivotButton="0" quotePrefix="0" xfId="0">
      <alignment vertical="center" wrapText="1"/>
    </xf>
    <xf numFmtId="0" fontId="4" fillId="16" borderId="1" applyAlignment="1" pivotButton="0" quotePrefix="0" xfId="0">
      <alignment vertical="top"/>
    </xf>
    <xf numFmtId="0" fontId="4" fillId="16" borderId="1" applyAlignment="1" pivotButton="0" quotePrefix="0" xfId="0">
      <alignment vertical="center"/>
    </xf>
    <xf numFmtId="0" fontId="6" fillId="15" borderId="1" applyAlignment="1" pivotButton="0" quotePrefix="0" xfId="0">
      <alignment vertical="top"/>
    </xf>
    <xf numFmtId="3" fontId="6" fillId="15" borderId="4" applyAlignment="1" pivotButton="0" quotePrefix="0" xfId="0">
      <alignment vertical="top"/>
    </xf>
    <xf numFmtId="0" fontId="2" fillId="16" borderId="1" applyAlignment="1" pivotButton="0" quotePrefix="0" xfId="0">
      <alignment vertical="top"/>
    </xf>
    <xf numFmtId="165" fontId="4" fillId="16" borderId="1" applyAlignment="1" pivotButton="0" quotePrefix="0" xfId="0">
      <alignment vertical="top"/>
    </xf>
    <xf numFmtId="170" fontId="4" fillId="16" borderId="1" applyAlignment="1" pivotButton="0" quotePrefix="0" xfId="0">
      <alignment vertical="top"/>
    </xf>
    <xf numFmtId="168" fontId="4" fillId="16" borderId="1" applyAlignment="1" pivotButton="0" quotePrefix="0" xfId="0">
      <alignment vertical="center"/>
    </xf>
    <xf numFmtId="0" fontId="4" fillId="16" borderId="1" applyAlignment="1" pivotButton="0" quotePrefix="0" xfId="0">
      <alignment vertical="center" wrapText="1"/>
    </xf>
    <xf numFmtId="3" fontId="4" fillId="16" borderId="1" applyAlignment="1" pivotButton="0" quotePrefix="0" xfId="0">
      <alignment vertical="center"/>
    </xf>
    <xf numFmtId="0" fontId="4" fillId="16" borderId="4" applyAlignment="1" pivotButton="0" quotePrefix="0" xfId="0">
      <alignment vertical="center"/>
    </xf>
    <xf numFmtId="165" fontId="4" fillId="16" borderId="4" applyAlignment="1" pivotButton="0" quotePrefix="0" xfId="0">
      <alignment vertical="top"/>
    </xf>
    <xf numFmtId="169" fontId="4" fillId="16" borderId="1" applyAlignment="1" pivotButton="0" quotePrefix="0" xfId="0">
      <alignment vertical="top"/>
    </xf>
    <xf numFmtId="0" fontId="4" fillId="16" borderId="4" applyAlignment="1" pivotButton="0" quotePrefix="0" xfId="0">
      <alignment vertical="center" wrapText="1"/>
    </xf>
    <xf numFmtId="0" fontId="5" fillId="16" borderId="1" applyAlignment="1" pivotButton="0" quotePrefix="0" xfId="0">
      <alignment vertical="center"/>
    </xf>
    <xf numFmtId="0" fontId="2" fillId="16" borderId="4" applyAlignment="1" pivotButton="0" quotePrefix="0" xfId="0">
      <alignment vertical="center" wrapText="1"/>
    </xf>
    <xf numFmtId="0" fontId="2" fillId="16" borderId="1" applyAlignment="1" pivotButton="0" quotePrefix="0" xfId="0">
      <alignment vertical="center" wrapText="1"/>
    </xf>
    <xf numFmtId="0" fontId="4" fillId="0" borderId="5" applyAlignment="1" pivotButton="0" quotePrefix="0" xfId="0">
      <alignment vertical="top"/>
    </xf>
    <xf numFmtId="0" fontId="4" fillId="0" borderId="5" applyAlignment="1" pivotButton="0" quotePrefix="0" xfId="0">
      <alignment vertical="center"/>
    </xf>
    <xf numFmtId="3" fontId="6" fillId="15" borderId="6" applyAlignment="1" pivotButton="0" quotePrefix="0" xfId="0">
      <alignment vertical="top"/>
    </xf>
    <xf numFmtId="0" fontId="2" fillId="0" borderId="5" applyAlignment="1" pivotButton="0" quotePrefix="0" xfId="0">
      <alignment vertical="top"/>
    </xf>
    <xf numFmtId="165" fontId="4" fillId="0" borderId="5" applyAlignment="1" pivotButton="0" quotePrefix="0" xfId="0">
      <alignment vertical="top"/>
    </xf>
    <xf numFmtId="170" fontId="4" fillId="0" borderId="5" applyAlignment="1" pivotButton="0" quotePrefix="0" xfId="0">
      <alignment vertical="top"/>
    </xf>
    <xf numFmtId="168" fontId="4" fillId="0" borderId="5" applyAlignment="1" pivotButton="0" quotePrefix="0" xfId="0">
      <alignment vertical="center"/>
    </xf>
    <xf numFmtId="0" fontId="4" fillId="0" borderId="5" applyAlignment="1" pivotButton="0" quotePrefix="0" xfId="0">
      <alignment vertical="center" wrapText="1"/>
    </xf>
    <xf numFmtId="3" fontId="4" fillId="0" borderId="5" applyAlignment="1" pivotButton="0" quotePrefix="0" xfId="0">
      <alignment vertical="center"/>
    </xf>
    <xf numFmtId="0" fontId="4" fillId="0" borderId="6" applyAlignment="1" pivotButton="0" quotePrefix="0" xfId="0">
      <alignment vertical="top"/>
    </xf>
    <xf numFmtId="165" fontId="4" fillId="0" borderId="6" applyAlignment="1" pivotButton="0" quotePrefix="0" xfId="0">
      <alignment vertical="top"/>
    </xf>
    <xf numFmtId="169" fontId="4" fillId="0" borderId="5" applyAlignment="1" pivotButton="0" quotePrefix="0" xfId="0">
      <alignment vertical="top"/>
    </xf>
    <xf numFmtId="0" fontId="4" fillId="0" borderId="6" applyAlignment="1" pivotButton="0" quotePrefix="0" xfId="0">
      <alignment vertical="center" wrapText="1"/>
    </xf>
    <xf numFmtId="0" fontId="2" fillId="0" borderId="6" applyAlignment="1" pivotButton="0" quotePrefix="0" xfId="0">
      <alignment vertical="top" wrapText="1"/>
    </xf>
    <xf numFmtId="0" fontId="2" fillId="0" borderId="5" applyAlignment="1" pivotButton="0" quotePrefix="0" xfId="0">
      <alignment vertical="center" wrapText="1"/>
    </xf>
    <xf numFmtId="0" fontId="4" fillId="0" borderId="1" applyAlignment="1" pivotButton="0" quotePrefix="0" xfId="0">
      <alignment vertical="top"/>
    </xf>
    <xf numFmtId="0" fontId="2" fillId="0" borderId="1" applyAlignment="1" pivotButton="0" quotePrefix="0" xfId="0">
      <alignment vertical="top"/>
    </xf>
    <xf numFmtId="165" fontId="4" fillId="0" borderId="1" applyAlignment="1" pivotButton="0" quotePrefix="0" xfId="0">
      <alignment vertical="top"/>
    </xf>
    <xf numFmtId="170" fontId="4" fillId="0" borderId="1" applyAlignment="1" pivotButton="0" quotePrefix="0" xfId="0">
      <alignment vertical="top"/>
    </xf>
    <xf numFmtId="168" fontId="4" fillId="0" borderId="1" applyAlignment="1" pivotButton="0" quotePrefix="0" xfId="0">
      <alignment vertical="center"/>
    </xf>
    <xf numFmtId="0" fontId="4" fillId="0" borderId="1" applyAlignment="1" pivotButton="0" quotePrefix="0" xfId="0">
      <alignment vertical="center" wrapText="1"/>
    </xf>
    <xf numFmtId="3" fontId="4" fillId="0" borderId="1" applyAlignment="1" pivotButton="0" quotePrefix="0" xfId="0">
      <alignment vertical="center"/>
    </xf>
    <xf numFmtId="0" fontId="4" fillId="0" borderId="4" applyAlignment="1" pivotButton="0" quotePrefix="0" xfId="0">
      <alignment vertical="top"/>
    </xf>
    <xf numFmtId="165" fontId="4" fillId="0" borderId="4" applyAlignment="1" pivotButton="0" quotePrefix="0" xfId="0">
      <alignment vertical="top"/>
    </xf>
    <xf numFmtId="169" fontId="4" fillId="0" borderId="1" applyAlignment="1" pivotButton="0" quotePrefix="0" xfId="0">
      <alignment vertical="top"/>
    </xf>
    <xf numFmtId="0" fontId="4" fillId="0" borderId="4" applyAlignment="1" pivotButton="0" quotePrefix="0" xfId="0">
      <alignment vertical="center" wrapText="1"/>
    </xf>
    <xf numFmtId="0" fontId="2" fillId="0" borderId="4" applyAlignment="1" pivotButton="0" quotePrefix="0" xfId="0">
      <alignment vertical="top" wrapText="1"/>
    </xf>
    <xf numFmtId="0" fontId="2" fillId="0" borderId="1" applyAlignment="1" pivotButton="0" quotePrefix="0" xfId="0">
      <alignment vertical="center" wrapText="1"/>
    </xf>
    <xf numFmtId="0" fontId="7" fillId="17" borderId="5" applyAlignment="1" pivotButton="0" quotePrefix="0" xfId="0">
      <alignment vertical="center"/>
    </xf>
    <xf numFmtId="0" fontId="2" fillId="17" borderId="5" applyAlignment="1" pivotButton="0" quotePrefix="0" xfId="0">
      <alignment vertical="center"/>
    </xf>
    <xf numFmtId="0" fontId="7" fillId="17" borderId="5" applyAlignment="1" pivotButton="0" quotePrefix="0" xfId="0">
      <alignment vertical="top"/>
    </xf>
    <xf numFmtId="165" fontId="7" fillId="17" borderId="5" applyAlignment="1" pivotButton="0" quotePrefix="0" xfId="0">
      <alignment vertical="top"/>
    </xf>
    <xf numFmtId="165" fontId="7" fillId="17" borderId="5" applyAlignment="1" pivotButton="0" quotePrefix="0" xfId="0">
      <alignment vertical="center"/>
    </xf>
    <xf numFmtId="170" fontId="7" fillId="17" borderId="5" applyAlignment="1" pivotButton="0" quotePrefix="0" xfId="0">
      <alignment vertical="center"/>
    </xf>
    <xf numFmtId="168" fontId="7" fillId="17" borderId="5" applyAlignment="1" pivotButton="0" quotePrefix="0" xfId="0">
      <alignment vertical="center"/>
    </xf>
    <xf numFmtId="0" fontId="7" fillId="17" borderId="5" applyAlignment="1" pivotButton="0" quotePrefix="0" xfId="0">
      <alignment vertical="center" wrapText="1"/>
    </xf>
    <xf numFmtId="3" fontId="7" fillId="17" borderId="5" applyAlignment="1" pivotButton="0" quotePrefix="0" xfId="0">
      <alignment vertical="center"/>
    </xf>
    <xf numFmtId="0" fontId="7" fillId="17" borderId="6" applyAlignment="1" pivotButton="0" quotePrefix="0" xfId="0">
      <alignment vertical="center"/>
    </xf>
    <xf numFmtId="165" fontId="7" fillId="17" borderId="6" applyAlignment="1" pivotButton="0" quotePrefix="0" xfId="0">
      <alignment vertical="center"/>
    </xf>
    <xf numFmtId="169" fontId="7" fillId="17" borderId="5" applyAlignment="1" pivotButton="0" quotePrefix="0" xfId="0">
      <alignment vertical="center"/>
    </xf>
    <xf numFmtId="0" fontId="7" fillId="17" borderId="6" applyAlignment="1" pivotButton="0" quotePrefix="0" xfId="0">
      <alignment vertical="center" wrapText="1"/>
    </xf>
    <xf numFmtId="0" fontId="5" fillId="17" borderId="5" applyAlignment="1" pivotButton="0" quotePrefix="0" xfId="0">
      <alignment vertical="center"/>
    </xf>
    <xf numFmtId="0" fontId="2" fillId="17" borderId="6" applyAlignment="1" pivotButton="0" quotePrefix="0" xfId="0">
      <alignment vertical="center" wrapText="1"/>
    </xf>
    <xf numFmtId="0" fontId="2" fillId="17" borderId="5" applyAlignment="1" pivotButton="0" quotePrefix="0" xfId="0">
      <alignment vertical="center" wrapText="1"/>
    </xf>
    <xf numFmtId="0" fontId="6" fillId="15" borderId="5" applyAlignment="1" pivotButton="0" quotePrefix="0" xfId="0">
      <alignment vertical="top" wrapText="1"/>
    </xf>
    <xf numFmtId="165" fontId="7" fillId="17" borderId="6" applyAlignment="1" pivotButton="0" quotePrefix="0" xfId="0">
      <alignment vertical="top"/>
    </xf>
    <xf numFmtId="170" fontId="7" fillId="17" borderId="5" applyAlignment="1" pivotButton="0" quotePrefix="0" xfId="0">
      <alignment vertical="top"/>
    </xf>
    <xf numFmtId="169" fontId="7" fillId="17" borderId="5" applyAlignment="1" pivotButton="0" quotePrefix="0" xfId="0">
      <alignment vertical="top"/>
    </xf>
    <xf numFmtId="0" fontId="2" fillId="17" borderId="5" applyAlignment="1" pivotButton="0" quotePrefix="0" xfId="0">
      <alignment vertical="top" wrapText="1"/>
    </xf>
    <xf numFmtId="0" fontId="8" fillId="0" borderId="0" applyAlignment="1" pivotButton="0" quotePrefix="0" xfId="0">
      <alignment vertical="center"/>
    </xf>
    <xf numFmtId="0" fontId="8" fillId="16" borderId="1" applyAlignment="1" pivotButton="0" quotePrefix="0" xfId="0">
      <alignment vertical="center"/>
    </xf>
    <xf numFmtId="1" fontId="4" fillId="0" borderId="1" applyAlignment="1" pivotButton="0" quotePrefix="0" xfId="0">
      <alignment vertical="center"/>
    </xf>
    <xf numFmtId="0" fontId="9" fillId="0" borderId="1" applyAlignment="1" pivotButton="0" quotePrefix="0" xfId="0">
      <alignment vertical="center"/>
    </xf>
    <xf numFmtId="173" fontId="4" fillId="0" borderId="1" applyAlignment="1" pivotButton="0" quotePrefix="0" xfId="0">
      <alignment vertical="center"/>
    </xf>
    <xf numFmtId="169" fontId="4" fillId="0" borderId="1" applyAlignment="1" pivotButton="0" quotePrefix="0" xfId="0">
      <alignment vertical="center"/>
    </xf>
    <xf numFmtId="0" fontId="2" fillId="0" borderId="1" applyAlignment="1" pivotButton="0" quotePrefix="0" xfId="0">
      <alignment vertical="center"/>
    </xf>
    <xf numFmtId="169" fontId="4" fillId="0" borderId="1" pivotButton="0" quotePrefix="0" xfId="0"/>
    <xf numFmtId="173" fontId="4" fillId="0" borderId="1" pivotButton="0" quotePrefix="0" xfId="0"/>
    <xf numFmtId="166" fontId="4" fillId="0" borderId="1" applyAlignment="1" pivotButton="0" quotePrefix="0" xfId="0">
      <alignment vertical="center"/>
    </xf>
    <xf numFmtId="170" fontId="4" fillId="0" borderId="1" applyAlignment="1" pivotButton="0" quotePrefix="0" xfId="0">
      <alignment vertical="center"/>
    </xf>
    <xf numFmtId="170" fontId="4" fillId="0" borderId="1" pivotButton="0" quotePrefix="0" xfId="0"/>
    <xf numFmtId="0" fontId="4" fillId="0" borderId="0" applyAlignment="1" pivotButton="0" quotePrefix="0" xfId="0">
      <alignment vertical="center" wrapText="1"/>
    </xf>
    <xf numFmtId="0" fontId="3" fillId="13" borderId="1" applyAlignment="1" pivotButton="0" quotePrefix="0" xfId="0">
      <alignment vertical="center" wrapText="1"/>
    </xf>
    <xf numFmtId="0" fontId="8" fillId="0" borderId="1" applyAlignment="1" pivotButton="0" quotePrefix="0" xfId="0">
      <alignment vertical="center"/>
    </xf>
    <xf numFmtId="3" fontId="6" fillId="15" borderId="1" applyAlignment="1" pivotButton="0" quotePrefix="0" xfId="0">
      <alignment vertical="center"/>
    </xf>
    <xf numFmtId="0" fontId="4" fillId="0" borderId="1" applyAlignment="1" pivotButton="0" quotePrefix="0" xfId="0">
      <alignment horizontal="center" vertical="center"/>
    </xf>
    <xf numFmtId="49" fontId="4" fillId="0" borderId="1" applyAlignment="1" pivotButton="0" quotePrefix="0" xfId="0">
      <alignment vertical="center"/>
    </xf>
    <xf numFmtId="164" fontId="4" fillId="0" borderId="1" applyAlignment="1" pivotButton="0" quotePrefix="0" xfId="0">
      <alignment vertical="center"/>
    </xf>
    <xf numFmtId="4" fontId="4" fillId="11" borderId="1" applyAlignment="1" pivotButton="0" quotePrefix="0" xfId="0">
      <alignment vertical="center"/>
    </xf>
    <xf numFmtId="4" fontId="4" fillId="0" borderId="1" applyAlignment="1" pivotButton="0" quotePrefix="0" xfId="0">
      <alignment vertical="center"/>
    </xf>
    <xf numFmtId="165" fontId="4" fillId="0" borderId="1" applyAlignment="1" pivotButton="0" quotePrefix="0" xfId="0">
      <alignment vertical="center"/>
    </xf>
    <xf numFmtId="1" fontId="4" fillId="0" borderId="1" pivotButton="0" quotePrefix="0" xfId="0"/>
    <xf numFmtId="167" fontId="4" fillId="0" borderId="1" applyAlignment="1" pivotButton="0" quotePrefix="0" xfId="0">
      <alignment vertical="center"/>
    </xf>
    <xf numFmtId="167" fontId="4" fillId="0" borderId="1" pivotButton="0" quotePrefix="0" xfId="0"/>
    <xf numFmtId="172" fontId="17" fillId="0" borderId="0" applyAlignment="1" pivotButton="0" quotePrefix="0" xfId="0">
      <alignment vertical="center" wrapText="1"/>
    </xf>
    <xf numFmtId="0" fontId="0" fillId="0" borderId="0" applyAlignment="1" pivotButton="0" quotePrefix="0" xfId="0">
      <alignment vertical="center" wrapText="1"/>
    </xf>
    <xf numFmtId="164" fontId="0" fillId="0" borderId="0" pivotButton="0" quotePrefix="0" xfId="0"/>
    <xf numFmtId="170" fontId="17" fillId="0" borderId="0" applyAlignment="1" pivotButton="0" quotePrefix="0" xfId="0">
      <alignment vertical="center" wrapText="1"/>
    </xf>
    <xf numFmtId="0" fontId="0" fillId="0" borderId="0" applyAlignment="1" pivotButton="0" quotePrefix="0" xfId="0">
      <alignment vertical="center"/>
    </xf>
  </cellXfs>
  <cellStyles count="1">
    <cellStyle name="Normal" xfId="0" builtinId="0" hidden="0"/>
  </cellStyles>
  <dxfs count="4">
    <dxf>
      <fill>
        <patternFill patternType="solid">
          <fgColor rgb="00C6EFCE"/>
        </patternFill>
      </fill>
    </dxf>
    <dxf>
      <fill>
        <patternFill patternType="solid">
          <fgColor rgb="00FFE699"/>
        </patternFill>
      </fill>
    </dxf>
    <dxf>
      <fill>
        <patternFill patternType="solid">
          <fgColor rgb="00F7F9FB"/>
        </patternFill>
      </fill>
    </dxf>
    <dxf>
      <fill>
        <patternFill patternType="solid">
          <f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975">
                <a:latin typeface="Arial"/>
                <a:ea typeface="Arial"/>
                <a:cs typeface="Arial"/>
              </a:rPr>
              <a:t>A premium since H listing</a:t>
            </a:r>
          </a:p>
        </rich>
      </tx>
      <overlay val="0"/>
      <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r>
            <a:t/>
          </a:r>
        </a:p>
      </txPr>
    </title>
    <plotArea>
      <lineChart>
        <grouping val="standard"/>
        <varyColors val="0"/>
        <ser>
          <idx val="0"/>
          <order val="0"/>
          <tx>
            <v>A premium</v>
          </tx>
          <spPr>
            <a:solidFill xmlns:a="http://schemas.openxmlformats.org/drawingml/2006/main">
              <a:srgbClr val="117F80"/>
            </a:solidFill>
            <a:ln xmlns:a="http://schemas.openxmlformats.org/drawingml/2006/main">
              <a:prstDash val="solid"/>
            </a:ln>
          </spPr>
          <marker>
            <symbol val="none"/>
            <spPr>
              <a:ln xmlns:a="http://schemas.openxmlformats.org/drawingml/2006/main">
                <a:prstDash val="solid"/>
              </a:ln>
            </spPr>
          </marker>
          <cat>
            <numRef>
              <f>'Chart Data'!AHChartDates</f>
            </numRef>
          </cat>
          <val>
            <numRef>
              <f>'Chart Data'!AHChartPremium</f>
            </numRef>
          </val>
          <smooth val="0"/>
        </ser>
        <smooth val="0"/>
        <axId val="48650112"/>
        <axId val="48672768"/>
      </lineChart>
      <dateAx>
        <axId val="48650112"/>
        <scaling>
          <orientation val="minMax"/>
        </scaling>
        <axPos val="b"/>
        <numFmt formatCode="mmm-yy" sourceLinked="0"/>
        <majorTickMark val="none"/>
        <minorTickMark val="none"/>
        <tickLblPos val="low"/>
        <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r>
              <a:t/>
            </a:r>
          </a:p>
        </txPr>
        <crossAx val="48672768"/>
        <majorUnit val="1"/>
        <majorTimeUnit val="months"/>
      </dateAx>
      <valAx>
        <axId val="48672768"/>
        <scaling>
          <orientation val="minMax"/>
        </scaling>
        <delete val="0"/>
        <axPos val="l"/>
        <majorGridlines>
          <spPr>
            <a:ln xmlns:a="http://schemas.openxmlformats.org/drawingml/2006/main" w="9525">
              <a:solidFill>
                <a:srgbClr val="CCCCCC"/>
              </a:solidFill>
              <a:prstDash val="dash"/>
            </a:ln>
          </spPr>
        </majorGridlines>
        <numFmt formatCode="0.0%" sourceLinked="0"/>
        <majorTickMark val="none"/>
        <minorTickMark val="none"/>
        <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r>
              <a:t/>
            </a:r>
          </a:p>
        </txPr>
        <crossAx val="48650112"/>
        <crossBetween val="between"/>
      </valAx>
    </plotArea>
    <legend>
      <legendPos val="b"/>
      <overlay val="0"/>
      <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r>
            <a:t/>
          </a:r>
        </a:p>
      </txPr>
    </legend>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975">
                <a:latin typeface="Arial"/>
                <a:ea typeface="Arial"/>
                <a:cs typeface="Arial"/>
              </a:rPr>
              <a:t>Price paths: Day 1 = 100</a:t>
            </a:r>
          </a:p>
        </rich>
      </tx>
      <overlay val="0"/>
      <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r>
            <a:t/>
          </a:r>
        </a:p>
      </txPr>
    </title>
    <plotArea>
      <lineChart>
        <grouping val="standard"/>
        <varyColors val="0"/>
        <ser>
          <idx val="0"/>
          <order val="0"/>
          <tx>
            <v>H close rebased</v>
          </tx>
          <spPr>
            <a:solidFill xmlns:a="http://schemas.openxmlformats.org/drawingml/2006/main">
              <a:srgbClr val="2A78D6"/>
            </a:solidFill>
            <a:ln xmlns:a="http://schemas.openxmlformats.org/drawingml/2006/main">
              <a:prstDash val="solid"/>
            </a:ln>
          </spPr>
          <marker>
            <symbol val="none"/>
            <spPr>
              <a:ln xmlns:a="http://schemas.openxmlformats.org/drawingml/2006/main">
                <a:prstDash val="solid"/>
              </a:ln>
            </spPr>
          </marker>
          <cat>
            <numRef>
              <f>'Chart Data'!AHChartDates</f>
            </numRef>
          </cat>
          <val>
            <numRef>
              <f>'Chart Data'!AHChartH</f>
            </numRef>
          </val>
          <smooth val="0"/>
        </ser>
        <ser>
          <idx val="1"/>
          <order val="1"/>
          <tx>
            <v>A in HK$ rebased</v>
          </tx>
          <spPr>
            <a:solidFill xmlns:a="http://schemas.openxmlformats.org/drawingml/2006/main">
              <a:srgbClr val="D99026"/>
            </a:solidFill>
            <a:ln xmlns:a="http://schemas.openxmlformats.org/drawingml/2006/main">
              <a:prstDash val="solid"/>
            </a:ln>
          </spPr>
          <marker>
            <symbol val="none"/>
            <spPr>
              <a:ln xmlns:a="http://schemas.openxmlformats.org/drawingml/2006/main">
                <a:prstDash val="solid"/>
              </a:ln>
            </spPr>
          </marker>
          <cat>
            <numRef>
              <f>'Chart Data'!AHChartDates</f>
            </numRef>
          </cat>
          <val>
            <numRef>
              <f>'Chart Data'!AHChartA</f>
            </numRef>
          </val>
          <smooth val="0"/>
        </ser>
        <smooth val="0"/>
        <axId val="48650112"/>
        <axId val="48672768"/>
      </lineChart>
      <dateAx>
        <axId val="48650112"/>
        <scaling>
          <orientation val="minMax"/>
        </scaling>
        <axPos val="b"/>
        <numFmt formatCode="mmm-yy" sourceLinked="0"/>
        <majorTickMark val="none"/>
        <minorTickMark val="none"/>
        <tickLblPos val="low"/>
        <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r>
              <a:t/>
            </a:r>
          </a:p>
        </txPr>
        <crossAx val="48672768"/>
        <majorUnit val="1"/>
        <majorTimeUnit val="months"/>
      </dateAx>
      <valAx>
        <axId val="48672768"/>
        <scaling>
          <orientation val="minMax"/>
        </scaling>
        <delete val="0"/>
        <axPos val="l"/>
        <majorGridlines>
          <spPr>
            <a:ln xmlns:a="http://schemas.openxmlformats.org/drawingml/2006/main" w="9525">
              <a:solidFill>
                <a:srgbClr val="CCCCCC"/>
              </a:solidFill>
              <a:prstDash val="dash"/>
            </a:ln>
          </spPr>
        </majorGridlines>
        <numFmt formatCode="0.0" sourceLinked="0"/>
        <majorTickMark val="none"/>
        <minorTickMark val="none"/>
        <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r>
              <a:t/>
            </a:r>
          </a:p>
        </txPr>
        <crossAx val="48650112"/>
        <crossBetween val="between"/>
      </valAx>
    </plotArea>
    <legend>
      <legendPos val="b"/>
      <overlay val="0"/>
      <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r>
            <a:t/>
          </a:r>
        </a:p>
      </txPr>
    </legend>
    <plotVisOnly val="1"/>
    <dispBlanksAs val="gap"/>
  </chart>
  <spPr>
    <a:ln xmlns:a="http://schemas.openxmlformats.org/drawingml/2006/main" w="9525">
      <a:solidFill>
        <a:srgbClr val="D9D9D9"/>
      </a:solidFill>
      <a:prstDash val="solid"/>
    </a:ln>
  </spPr>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A-share close, last month (Bloomberg)</a:t>
            </a:r>
          </a:p>
        </rich>
      </tx>
    </title>
    <plotArea>
      <lineChart>
        <grouping val="standard"/>
        <ser>
          <idx val="0"/>
          <order val="0"/>
          <tx>
            <strRef>
              <f>'Screener'!G55</f>
            </strRef>
          </tx>
          <spPr>
            <a:ln xmlns:a="http://schemas.openxmlformats.org/drawingml/2006/main">
              <a:prstDash val="solid"/>
            </a:ln>
          </spPr>
          <marker>
            <symbol val="none"/>
            <spPr>
              <a:ln xmlns:a="http://schemas.openxmlformats.org/drawingml/2006/main">
                <a:prstDash val="solid"/>
              </a:ln>
            </spPr>
          </marker>
          <cat>
            <numRef>
              <f>'Screener'!$F$56:$F$79</f>
            </numRef>
          </cat>
          <val>
            <numRef>
              <f>'Screener'!$G$56:$G$79</f>
            </numRef>
          </val>
        </ser>
        <axId val="10"/>
        <axId val="100"/>
      </lineChart>
      <catAx>
        <axId val="10"/>
        <scaling>
          <orientation val="minMax"/>
        </scaling>
        <delete val="0"/>
        <axPos val="l"/>
        <title>
          <tx>
            <rich>
              <a:bodyPr xmlns:a="http://schemas.openxmlformats.org/drawingml/2006/main"/>
              <a:p xmlns:a="http://schemas.openxmlformats.org/drawingml/2006/main">
                <a:pPr>
                  <a:defRPr/>
                </a:pPr>
                <a:r>
                  <a:t>session</a:t>
                </a:r>
              </a:p>
            </rich>
          </tx>
        </title>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CNY</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HK IPO methods</author>
  </authors>
  <commentList>
    <comment ref="B5" authorId="0" shapeId="0">
      <text>
        <t>Type H or A code (3986, 0501, 603986, 603986.SS) or choose an H code. Numeric 501 also matches 0501. The list contains actual A/H pairs in the IPO database; proxies and non-A/H IPOs have no pair history.</t>
      </text>
    </comment>
    <comment ref="M5" authorId="0" shapeId="0">
      <text>
        <t>Auto: use complete Bloomberg H/A/FX quotes for the ratio; otherwise use the complete dated snapshot. Bloomberg: never substitute a snapshot quote. Both tabs must be Snapshot to stop shared equity requests. History source is shown separately.</t>
      </text>
    </comment>
  </commentList>
</comments>
</file>

<file path=xl/comments/comment2.xml><?xml version="1.0" encoding="utf-8"?>
<comments xmlns="http://schemas.openxmlformats.org/spreadsheetml/2006/main">
  <authors>
    <author>HK IPO source review</author>
    <author>HK IPO methods</author>
    <author>HK IPO date review</author>
  </authors>
  <commentList>
    <comment ref="AI5" authorId="0" shapeId="0">
      <text>
        <t>Close: HK$4.4
Date: 2021-01-05
Venue: Phillip
Source: press:https://www.am730.com.hk/article/154295 — published closing quote 4.4, +0.9% vs offer; venue Phillip. GPT archive review, 4 October 2026.</t>
      </text>
    </comment>
    <comment ref="AK5" authorId="1" shapeId="0">
      <text>
        <t>China Biotech ETF (HS biotech proxy)
Previous trading close to listing-day close (2021-01-06).
Benchmark return in percent; not the index level or excess return.</t>
      </text>
    </comment>
    <comment ref="AP5" authorId="1" shapeId="0">
      <text>
        <t>Horizon close: 2021-01-13
5/21/63 traded sessions after debut; price-only return vs offer.</t>
      </text>
    </comment>
    <comment ref="AQ5" authorId="1" shapeId="0">
      <text>
        <t>Horizon close: 2021-02-04
5/21/63 traded sessions after debut; price-only return vs offer.</t>
      </text>
    </comment>
    <comment ref="AR5" authorId="1" shapeId="0">
      <text>
        <t>Horizon close: 2021-04-12
5/21/63 traded sessions after debut; price-only return vs offer.</t>
      </text>
    </comment>
    <comment ref="AI6" authorId="0" shapeId="0">
      <text>
        <t>Close: HK$2.02
Date: 2021-01-05
Venue: Phillip
Source: press:https://www.am730.com.hk/article/154295 — published closing quote 2.02, +1% vs offer; venue Phillip. GPT archive review, 4 October 2026.</t>
      </text>
    </comment>
    <comment ref="AK6" authorId="1" shapeId="0">
      <text>
        <t>Hang Seng Commerce &amp; Industry sub-index
Previous trading close to listing-day close (2021-01-06).
Benchmark return in percent; not the index level or excess return.</t>
      </text>
    </comment>
    <comment ref="AP6" authorId="1" shapeId="0">
      <text>
        <t>Horizon close: 2021-01-13
5/21/63 traded sessions after debut; price-only return vs offer.</t>
      </text>
    </comment>
    <comment ref="AQ6" authorId="1" shapeId="0">
      <text>
        <t>Horizon close: 2021-02-04
5/21/63 traded sessions after debut; price-only return vs offer.</t>
      </text>
    </comment>
    <comment ref="AR6" authorId="1" shapeId="0">
      <text>
        <t>Horizon close: 2021-04-12
5/21/63 traded sessions after debut; price-only return vs offer.</t>
      </text>
    </comment>
    <comment ref="AI7" authorId="0" shapeId="0">
      <text>
        <t>Close: HK$0.43
Date: 2021-01-12
Venue: Phillip
Source: press:https://www.aastocks.com/tc/stocks/analysis/stock-aafn-con/01440/AAFN/NOW.1068644/hk-stock-news — published closing quote 0.43, +7.5% vs offer; venue Phillip. GPT archive review, 4 October 2026.</t>
      </text>
    </comment>
    <comment ref="AK7" authorId="1" shapeId="0">
      <text>
        <t>Hang Seng Commerce &amp; Industry sub-index
Previous trading close to listing-day close (2021-01-13).
Benchmark return in percent; not the index level or excess return.</t>
      </text>
    </comment>
    <comment ref="AP7" authorId="1" shapeId="0">
      <text>
        <t>Horizon close: 2021-01-20
5/21/63 traded sessions after debut; price-only return vs offer.</t>
      </text>
    </comment>
    <comment ref="AQ7" authorId="1" shapeId="0">
      <text>
        <t>Horizon close: 2021-02-11
5/21/63 traded sessions after debut; price-only return vs offer.</t>
      </text>
    </comment>
    <comment ref="AR7" authorId="1" shapeId="0">
      <text>
        <t>Horizon close: 2021-04-19
5/21/63 traded sessions after debut; price-only return vs offer.</t>
      </text>
    </comment>
    <comment ref="AI8" authorId="0" shapeId="0">
      <text>
        <t>Close: HK$0.51
Date: 2021-01-12
Venue: Phillip
Source: press:https://orientaldaily.on.cc/cnt/finance/20210113/00202_016.html — published closing quote 0.51, +27.5% vs offer; venue Phillip. GPT archive review, 4 October 2026.</t>
      </text>
    </comment>
    <comment ref="AK8" authorId="1" shapeId="0">
      <text>
        <t>Hang Seng Commerce &amp; Industry sub-index
Previous trading close to listing-day close (2021-01-13).
Benchmark return in percent; not the index level or excess return.</t>
      </text>
    </comment>
    <comment ref="AP8" authorId="1" shapeId="0">
      <text>
        <t>Horizon close: 2021-01-20
5/21/63 traded sessions after debut; price-only return vs offer.</t>
      </text>
    </comment>
    <comment ref="AQ8" authorId="1" shapeId="0">
      <text>
        <t>Horizon close: 2021-02-11
5/21/63 traded sessions after debut; price-only return vs offer.</t>
      </text>
    </comment>
    <comment ref="AR8" authorId="1" shapeId="0">
      <text>
        <t>Horizon close: 2021-04-19
5/21/63 traded sessions after debut; price-only return vs offer.</t>
      </text>
    </comment>
    <comment ref="AI9" authorId="0" shapeId="0">
      <text>
        <t>Close: HK$1.65
Date: 2021-01-12
Venue: Phillip
Source: press:https://orientaldaily.on.cc/cnt/finance/20210113/00202_016.html — published closing quote 1.65, -4.62% vs offer; venue Phillip. GPT archive review, 4 October 2026.</t>
      </text>
    </comment>
    <comment ref="AK9" authorId="1" shapeId="0">
      <text>
        <t>Hang Seng Commerce &amp; Industry sub-index
Previous trading close to listing-day close (2021-01-13).
Benchmark return in percent; not the index level or excess return.</t>
      </text>
    </comment>
    <comment ref="AP9" authorId="1" shapeId="0">
      <text>
        <t>Horizon close: 2021-01-20
5/21/63 traded sessions after debut; price-only return vs offer.</t>
      </text>
    </comment>
    <comment ref="AQ9" authorId="1" shapeId="0">
      <text>
        <t>Horizon close: 2021-02-11
5/21/63 traded sessions after debut; price-only return vs offer.</t>
      </text>
    </comment>
    <comment ref="AR9" authorId="1" shapeId="0">
      <text>
        <t>Horizon close: 2021-04-19
5/21/63 traded sessions after debut; price-only return vs offer.</t>
      </text>
    </comment>
    <comment ref="AI10" authorId="0" shapeId="0">
      <text>
        <t>Close: HK$1.39
Date: 2021-01-14
Venue: Futu
Source: press:https://www.tkww.hk/epaper/view/newsDetail/1349787899578683392.html — published closing quote 1.39, +17.8% vs offer; venue Futu. GPT archive review, 4 October 2026.</t>
      </text>
    </comment>
    <comment ref="AK10" authorId="1" shapeId="0">
      <text>
        <t>China Biotech ETF (HS biotech proxy)
Previous trading close to listing-day close (2021-01-15).
Benchmark return in percent; not the index level or excess return.</t>
      </text>
    </comment>
    <comment ref="AP10" authorId="1" shapeId="0">
      <text>
        <t>Horizon close: 2021-01-22
5/21/63 traded sessions after debut; price-only return vs offer.</t>
      </text>
    </comment>
    <comment ref="AQ10" authorId="1" shapeId="0">
      <text>
        <t>Horizon close: 2021-02-17
5/21/63 traded sessions after debut; price-only return vs offer.</t>
      </text>
    </comment>
    <comment ref="AR10" authorId="1" shapeId="0">
      <text>
        <t>Horizon close: 2021-04-21
5/21/63 traded sessions after debut; price-only return vs offer.</t>
      </text>
    </comment>
    <comment ref="AI11" authorId="0" shapeId="0">
      <text>
        <t>etnet's story of the session gave only the Phillip open (13.5, +0.3% vs offer) on 2021-01-14; no close was published</t>
      </text>
    </comment>
    <comment ref="AK11" authorId="1" shapeId="0">
      <text>
        <t>Hang Seng Properties sub-index
Previous trading close to listing-day close (2021-01-15).
Benchmark return in percent; not the index level or excess return.</t>
      </text>
    </comment>
    <comment ref="AP11" authorId="1" shapeId="0">
      <text>
        <t>Horizon close: 2021-01-22
5/21/63 traded sessions after debut; price-only return vs offer.</t>
      </text>
    </comment>
    <comment ref="AQ11" authorId="1" shapeId="0">
      <text>
        <t>Horizon close: 2021-02-17
5/21/63 traded sessions after debut; price-only return vs offer.</t>
      </text>
    </comment>
    <comment ref="AR11" authorId="1" shapeId="0">
      <text>
        <t>Horizon close: 2021-04-21
5/21/63 traded sessions after debut; price-only return vs offer.</t>
      </text>
    </comment>
    <comment ref="AI12" authorId="0" shapeId="0">
      <text>
        <t>Close: HK$7.71
Date: 2021-01-14
Venue: Futu
Source: press:https://www.tkww.hk/epaper/view/newsDetail/1349787899578683392.html — published closing quote 7.71, +31.12% vs offer; venue Futu. GPT archive review, 4 October 2026.</t>
      </text>
    </comment>
    <comment ref="AK12" authorId="1" shapeId="0">
      <text>
        <t>Hang Seng Index
Previous trading close to listing-day close (2021-01-15).
Benchmark return in percent; not the index level or excess return.</t>
      </text>
    </comment>
    <comment ref="AP12" authorId="1" shapeId="0">
      <text>
        <t>Horizon close: 2021-01-22
5/21/63 traded sessions after debut; price-only return vs offer.</t>
      </text>
    </comment>
    <comment ref="AQ12" authorId="1" shapeId="0">
      <text>
        <t>Horizon close: 2021-02-17
5/21/63 traded sessions after debut; price-only return vs offer.</t>
      </text>
    </comment>
    <comment ref="AR12" authorId="1" shapeId="0">
      <text>
        <t>Horizon close: 2021-04-21
5/21/63 traded sessions after debut; price-only return vs offer.</t>
      </text>
    </comment>
    <comment ref="AI13" authorId="0" shapeId="0">
      <text>
        <t>Close: HK$58.25
Date: 2021-01-14
Venue: Phillip (etnet news story)
Source: etnet:news https://www.etnet.com.hk/www/tc/stocks/ipo-news-article/20210114557/</t>
      </text>
    </comment>
    <comment ref="AK13" authorId="1" shapeId="0">
      <text>
        <t>China Biotech ETF (HS biotech proxy)
Previous trading close to listing-day close (2021-01-15).
Benchmark return in percent; not the index level or excess return.</t>
      </text>
    </comment>
    <comment ref="AP13" authorId="1" shapeId="0">
      <text>
        <t>Horizon close: 2021-01-22
5/21/63 traded sessions after debut; price-only return vs offer.</t>
      </text>
    </comment>
    <comment ref="AQ13" authorId="1" shapeId="0">
      <text>
        <t>Horizon close: 2021-02-17
5/21/63 traded sessions after debut; price-only return vs offer.</t>
      </text>
    </comment>
    <comment ref="AR13" authorId="1" shapeId="0">
      <text>
        <t>Horizon close: 2021-04-21
5/21/63 traded sessions after debut; price-only return vs offer.</t>
      </text>
    </comment>
    <comment ref="AI14" authorId="0" shapeId="0">
      <text>
        <t>Close: HK$1.83
Date: 2021-01-14
Venue: Futu
Source: press:https://www.tkww.hk/epaper/view/newsDetail/1349787899578683392.html — published closing quote 1.83, +48.8% vs offer; venue Futu. GPT archive review, 4 October 2026.</t>
      </text>
    </comment>
    <comment ref="AK14" authorId="1" shapeId="0">
      <text>
        <t>Hang Seng Index
Previous trading close to listing-day close (2021-01-15).
Benchmark return in percent; not the index level or excess return.</t>
      </text>
    </comment>
    <comment ref="AP14" authorId="1" shapeId="0">
      <text>
        <t>Horizon close: 2021-01-22
5/21/63 traded sessions after debut; price-only return vs offer.</t>
      </text>
    </comment>
    <comment ref="AQ14" authorId="1" shapeId="0">
      <text>
        <t>Horizon close: 2021-02-17
5/21/63 traded sessions after debut; price-only return vs offer.</t>
      </text>
    </comment>
    <comment ref="AR14" authorId="1" shapeId="0">
      <text>
        <t>Horizon close: 2021-04-21
5/21/63 traded sessions after debut; price-only return vs offer.</t>
      </text>
    </comment>
    <comment ref="AI15" authorId="0" shapeId="0">
      <text>
        <t>Close: HK$0.234
Date: 2021-01-15
Venue: Phillip
Source: press:https://www.edigest.hk/投資/狂撈制裁股-港股通周吸702億-騰訊中移佔逾半-231682/ — published closing quote 0.234, -6.4% vs offer; venue Phillip. GPT archive review, 4 October 2026.</t>
      </text>
    </comment>
    <comment ref="AK15" authorId="1" shapeId="0">
      <text>
        <t>Hang Seng Properties sub-index
Previous trading close to listing-day close (2021-01-18).
Benchmark return in percent; not the index level or excess return.</t>
      </text>
    </comment>
    <comment ref="AP15" authorId="1" shapeId="0">
      <text>
        <t>Horizon close: 2021-01-25
5/21/63 traded sessions after debut; price-only return vs offer.</t>
      </text>
    </comment>
    <comment ref="AQ15" authorId="1" shapeId="0">
      <text>
        <t>Horizon close: 2021-02-18
5/21/63 traded sessions after debut; price-only return vs offer.</t>
      </text>
    </comment>
    <comment ref="AR15" authorId="1" shapeId="0">
      <text>
        <t>Horizon close: 2021-04-22
5/21/63 traded sessions after debut; price-only return vs offer.</t>
      </text>
    </comment>
    <comment ref="AI16" authorId="0" shapeId="0">
      <text>
        <t>Close: HK$3.32
Date: 2021-01-18
Venue: Livermore
Source: press:https://finance.ifeng.com/c/83EZJ1mRCqd — Eddid broker report syndicated by Phoenix: Livermore closing quote HK$3.32, +10.67% versus HK$3 offer; GPT archive review 4 October 2026.</t>
      </text>
    </comment>
    <comment ref="AK16" authorId="1" shapeId="0">
      <text>
        <t>China Biotech ETF (HS biotech proxy)
Previous trading close to listing-day close (2021-01-19).
Benchmark return in percent; not the index level or excess return.</t>
      </text>
    </comment>
    <comment ref="AP16" authorId="1" shapeId="0">
      <text>
        <t>Horizon close: 2021-01-26
5/21/63 traded sessions after debut; price-only return vs offer.</t>
      </text>
    </comment>
    <comment ref="AQ16" authorId="1" shapeId="0">
      <text>
        <t>Horizon close: 2021-02-19
5/21/63 traded sessions after debut; price-only return vs offer.</t>
      </text>
    </comment>
    <comment ref="AR16" authorId="1" shapeId="0">
      <text>
        <t>Horizon close: 2021-04-23
5/21/63 traded sessions after debut; price-only return vs offer.</t>
      </text>
    </comment>
    <comment ref="AI17" authorId="0" shapeId="0">
      <text>
        <t>Close: HK$4.69
Date: 2021-01-25
Venue: Phillip (etnet news story)
Source: etnet:news https://www.etnet.com.hk/www/tc/stocks/ipo-news-article/20210125939/</t>
      </text>
    </comment>
    <comment ref="AK17" authorId="1" shapeId="0">
      <text>
        <t>Hang Seng Properties sub-index
Previous trading close to listing-day close (2021-01-26).
Benchmark return in percent; not the index level or excess return.</t>
      </text>
    </comment>
    <comment ref="AP17" authorId="1" shapeId="0">
      <text>
        <t>Horizon close: 2021-02-02
5/21/63 traded sessions after debut; price-only return vs offer.</t>
      </text>
    </comment>
    <comment ref="AQ17" authorId="1" shapeId="0">
      <text>
        <t>Horizon close: 2021-02-26
5/21/63 traded sessions after debut; price-only return vs offer.</t>
      </text>
    </comment>
    <comment ref="AR17" authorId="1" shapeId="0">
      <text>
        <t>Horizon close: 2021-04-30
5/21/63 traded sessions after debut; price-only return vs offer.</t>
      </text>
    </comment>
    <comment ref="AI18" authorId="0" shapeId="0">
      <text>
        <t>Close: HK$20.2
Date: 2021-02-03
Venue: Phillip (etnet news story)
Source: etnet:news https://www.etnet.com.hk/www/tc/stocks/ipo-news-article/20210203534/</t>
      </text>
    </comment>
    <comment ref="AK18" authorId="1" shapeId="0">
      <text>
        <t>China Biotech ETF (HS biotech proxy)
Previous trading close to listing-day close (2021-02-04).
Benchmark return in percent; not the index level or excess return.</t>
      </text>
    </comment>
    <comment ref="AP18" authorId="1" shapeId="0">
      <text>
        <t>Horizon close: 2021-02-11
5/21/63 traded sessions after debut; price-only return vs offer.</t>
      </text>
    </comment>
    <comment ref="AQ18" authorId="1" shapeId="0">
      <text>
        <t>Horizon close: 2021-03-09
5/21/63 traded sessions after debut; price-only return vs offer.</t>
      </text>
    </comment>
    <comment ref="AR18" authorId="1" shapeId="0">
      <text>
        <t>Horizon close: 2021-05-11
5/21/63 traded sessions after debut; price-only return vs offer.</t>
      </text>
    </comment>
    <comment ref="AI19" authorId="0" shapeId="0">
      <text>
        <t>Close: HK$1.37
Date: 2021-02-04
Venue: Phillip (etnet news story)
Source: etnet:news https://www.etnet.com.hk/www/tc/stocks/ipo-news-article/20210204600/</t>
      </text>
    </comment>
    <comment ref="AK19" authorId="1" shapeId="0">
      <text>
        <t>China Biotech ETF (HS biotech proxy)
Previous trading close to listing-day close (2021-02-05).
Benchmark return in percent; not the index level or excess return.</t>
      </text>
    </comment>
    <comment ref="AP19" authorId="1" shapeId="0">
      <text>
        <t>Horizon close: 2021-02-16
5/21/63 traded sessions after debut; price-only return vs offer.</t>
      </text>
    </comment>
    <comment ref="AQ19" authorId="1" shapeId="0">
      <text>
        <t>Horizon close: 2021-03-10
5/21/63 traded sessions after debut; price-only return vs offer.</t>
      </text>
    </comment>
    <comment ref="AR19" authorId="1" shapeId="0">
      <text>
        <t>Horizon close: 2021-05-12
5/21/63 traded sessions after debut; price-only return vs offer.</t>
      </text>
    </comment>
    <comment ref="AI20" authorId="0" shapeId="0">
      <text>
        <t>Close: HK$335.6
Date: 2021-02-04
Venue: Bright Smart (etnet news story)
Source: etnet:news https://www.etnet.com.hk/www/tc/stocks/ipo-news-article/20210204606/</t>
      </text>
    </comment>
    <comment ref="AK20" authorId="1" shapeId="0">
      <text>
        <t>HSTECH (Hang Seng TECH ETF)
Previous trading close to listing-day close (2021-02-05).
Benchmark return in percent; not the index level or excess return.</t>
      </text>
    </comment>
    <comment ref="AP20" authorId="1" shapeId="0">
      <text>
        <t>Horizon close: 2021-02-16
5/21/63 traded sessions after debut; price-only return vs offer.</t>
      </text>
    </comment>
    <comment ref="AQ20" authorId="1" shapeId="0">
      <text>
        <t>Horizon close: 2021-03-10
5/21/63 traded sessions after debut; price-only return vs offer.</t>
      </text>
    </comment>
    <comment ref="AR20" authorId="1" shapeId="0">
      <text>
        <t>Horizon close: 2021-05-12
5/21/63 traded sessions after debut; price-only return vs offer.</t>
      </text>
    </comment>
    <comment ref="AI21" authorId="0" shapeId="0">
      <text>
        <t>Close: HK$31.95
Date: 2021-02-05
Venue: broker report; venue not stated
Source: press:https://www.swhyhk.com/storage/app/media/research/equities/申萬宏源香港財經早報2021.02.08.pdf — published closing quote 31.95, +16.78% vs offer; venue broker report; venue not stated. GPT archive review, 4 October 2026.</t>
      </text>
    </comment>
    <comment ref="AK21" authorId="1" shapeId="0">
      <text>
        <t>China Biotech ETF (HS biotech proxy)
Previous trading close to listing-day close (2021-02-08).
Benchmark return in percent; not the index level or excess return.</t>
      </text>
    </comment>
    <comment ref="AP21" authorId="1" shapeId="0">
      <text>
        <t>Horizon close: 2021-02-17
5/21/63 traded sessions after debut; price-only return vs offer.</t>
      </text>
    </comment>
    <comment ref="AQ21" authorId="1" shapeId="0">
      <text>
        <t>Horizon close: 2021-03-11
5/21/63 traded sessions after debut; price-only return vs offer.</t>
      </text>
    </comment>
    <comment ref="AR21" authorId="1" shapeId="0">
      <text>
        <t>Horizon close: 2021-05-13
5/21/63 traded sessions after debut; price-only return vs offer.</t>
      </text>
    </comment>
    <comment ref="AI22" authorId="0" shapeId="0">
      <text>
        <t>Close: HK$0.63
Date: 2021-02-18
Venue: Phillip
Source: press:https://orientaldaily.on.cc/cnt/finance/20210219/mobile/odn-20210219-0219_00202_009.html — published closing quote 0.63, +12.5% vs offer; venue Phillip. GPT archive review, 4 October 2026.</t>
      </text>
    </comment>
    <comment ref="AK22" authorId="1" shapeId="0">
      <text>
        <t>HSTECH (Hang Seng TECH ETF)
Previous trading close to listing-day close (2021-02-19).
Benchmark return in percent; not the index level or excess return.</t>
      </text>
    </comment>
    <comment ref="AP22" authorId="1" shapeId="0">
      <text>
        <t>Horizon close: 2021-02-26
5/21/63 traded sessions after debut; price-only return vs offer.</t>
      </text>
    </comment>
    <comment ref="AQ22" authorId="1" shapeId="0">
      <text>
        <t>Horizon close: 2021-03-22
5/21/63 traded sessions after debut; price-only return vs offer.</t>
      </text>
    </comment>
    <comment ref="AR22" authorId="1" shapeId="0">
      <text>
        <t>Horizon close: 2021-05-25
5/21/63 traded sessions after debut; price-only return vs offer.</t>
      </text>
    </comment>
    <comment ref="AI23" authorId="0" shapeId="0">
      <text>
        <t>Close: HK$145
Date: 2021-02-25
Venue: Phillip
Source: press:https://collection.news/appledaily/articles/RC6LGF2S7FC7VOFFRPMHZQYSGE — published closing quote 145, -3.97% vs offer; venue Phillip. GPT archive review, 4 October 2026.</t>
      </text>
    </comment>
    <comment ref="AK23" authorId="1" shapeId="0">
      <text>
        <t>China Biotech ETF (HS biotech proxy)
Previous trading close to listing-day close (2021-02-26).
Benchmark return in percent; not the index level or excess return.</t>
      </text>
    </comment>
    <comment ref="AP23" authorId="1" shapeId="0">
      <text>
        <t>Horizon close: 2021-03-05
5/21/63 traded sessions after debut; price-only return vs offer.</t>
      </text>
    </comment>
    <comment ref="AQ23" authorId="1" shapeId="0">
      <text>
        <t>Horizon close: 2021-03-29
5/21/63 traded sessions after debut; price-only return vs offer.</t>
      </text>
    </comment>
    <comment ref="AR23" authorId="1" shapeId="0">
      <text>
        <t>Horizon close: 2021-06-01
5/21/63 traded sessions after debut; price-only return vs offer.</t>
      </text>
    </comment>
    <comment ref="AI24" authorId="0" shapeId="0">
      <text>
        <t>Close: HK$7.36
Date: 2021-03-09
Venue: Phillip (etnet news story)
Source: etnet:news https://www.etnet.com.hk/www/tc/stocks/ipo-news-article/20210309537/</t>
      </text>
    </comment>
    <comment ref="AK24" authorId="1" shapeId="0">
      <text>
        <t>Hang Seng Commerce &amp; Industry sub-index
Previous trading close to listing-day close (2021-03-10).
Benchmark return in percent; not the index level or excess return.</t>
      </text>
    </comment>
    <comment ref="AP24" authorId="1" shapeId="0">
      <text>
        <t>Horizon close: 2021-03-17
5/21/63 traded sessions after debut; price-only return vs offer.</t>
      </text>
    </comment>
    <comment ref="AQ24" authorId="1" shapeId="0">
      <text>
        <t>Horizon close: 2021-04-13
5/21/63 traded sessions after debut; price-only return vs offer.</t>
      </text>
    </comment>
    <comment ref="AR24" authorId="1" shapeId="0">
      <text>
        <t>Horizon close: 2021-06-11
5/21/63 traded sessions after debut; price-only return vs offer.</t>
      </text>
    </comment>
    <comment ref="AI25" authorId="0" shapeId="0">
      <text>
        <t>Close: HK$0.56
Date: 2021-03-10
Venue: Phillip
Source: press:https://www.am730.com.hk/article/161490 — published closing quote 0.56, +3.7% vs offer; venue Phillip. GPT archive review, 4 October 2026.</t>
      </text>
    </comment>
    <comment ref="AK25" authorId="1" shapeId="0">
      <text>
        <t>Hang Seng Commerce &amp; Industry sub-index
Previous trading close to listing-day close (2021-03-11).
Benchmark return in percent; not the index level or excess return.</t>
      </text>
    </comment>
    <comment ref="AP25" authorId="1" shapeId="0">
      <text>
        <t>Horizon close: 2021-03-18
5/21/63 traded sessions after debut; price-only return vs offer.</t>
      </text>
    </comment>
    <comment ref="AQ25" authorId="1" shapeId="0">
      <text>
        <t>Horizon close: 2021-04-14
5/21/63 traded sessions after debut; price-only return vs offer.</t>
      </text>
    </comment>
    <comment ref="AR25" authorId="1" shapeId="0">
      <text>
        <t>Horizon close: 2021-06-15
5/21/63 traded sessions after debut; price-only return vs offer.</t>
      </text>
    </comment>
    <comment ref="AI26" authorId="0" shapeId="0">
      <text>
        <t>Close: HK$188.5
Date: 2021-03-12
Venue: Phillip
Source: press:https://orientaldaily.on.cc/content/產經/odn-20210313-0313_00202_006/汽車之家暗盤漲-「頂頭槌飛」賺182萬 — published closing quote 188.5, +6.92% vs offer; venue Phillip. GPT archive review, 4 October 2026.</t>
      </text>
    </comment>
    <comment ref="AK26" authorId="1" shapeId="0">
      <text>
        <t>HSTECH (Hang Seng TECH ETF)
Previous trading close to listing-day close (2021-03-15).
Benchmark return in percent; not the index level or excess return.</t>
      </text>
    </comment>
    <comment ref="AP26" authorId="1" shapeId="0">
      <text>
        <t>Horizon close: 2021-03-22
5/21/63 traded sessions after debut; price-only return vs offer.</t>
      </text>
    </comment>
    <comment ref="AQ26" authorId="1" shapeId="0">
      <text>
        <t>Horizon close: 2021-04-16
5/21/63 traded sessions after debut; price-only return vs offer.</t>
      </text>
    </comment>
    <comment ref="AR26" authorId="1" shapeId="0">
      <text>
        <t>Horizon close: 2021-06-17
5/21/63 traded sessions after debut; price-only return vs offer.</t>
      </text>
    </comment>
    <comment ref="AI27" authorId="0" shapeId="0">
      <text>
        <t>Close: HK$0.75
Date: 2021-03-15
Venue: Phillip
Source: press:https://orientaldaily.on.cc/cnt/finance/20210317/00202_009.html — published closing quote 0.75, +0% vs offer; venue Phillip. GPT archive review, 4 October 2026.</t>
      </text>
    </comment>
    <comment ref="AK27" authorId="1" shapeId="0">
      <text>
        <t>Hang Seng Commerce &amp; Industry sub-index
Previous trading close to listing-day close (2021-03-16).
Benchmark return in percent; not the index level or excess return.</t>
      </text>
    </comment>
    <comment ref="AP27" authorId="1" shapeId="0">
      <text>
        <t>Horizon close: 2021-03-23
5/21/63 traded sessions after debut; price-only return vs offer.</t>
      </text>
    </comment>
    <comment ref="AQ27" authorId="1" shapeId="0">
      <text>
        <t>Horizon close: 2021-04-19
5/21/63 traded sessions after debut; price-only return vs offer.</t>
      </text>
    </comment>
    <comment ref="AR27" authorId="1" shapeId="0">
      <text>
        <t>Horizon close: 2021-06-18
5/21/63 traded sessions after debut; price-only return vs offer.</t>
      </text>
    </comment>
    <comment ref="AI28" authorId="0" shapeId="0">
      <text>
        <t>Close: HK$254.8
Date: 2021-03-22
Venue: Phillip (etnet news story)
Source: etnet:news https://www.etnet.com.hk/www/tc/stocks/ipo-news-article/20210322536/</t>
      </text>
    </comment>
    <comment ref="AK28" authorId="1" shapeId="0">
      <text>
        <t>HSTECH (Hang Seng TECH ETF)
Previous trading close to listing-day close (2021-03-23).
Benchmark return in percent; not the index level or excess return.</t>
      </text>
    </comment>
    <comment ref="AP28" authorId="1" shapeId="0">
      <text>
        <t>Horizon close: 2021-03-30
5/21/63 traded sessions after debut; price-only return vs offer.</t>
      </text>
    </comment>
    <comment ref="AQ28" authorId="1" shapeId="0">
      <text>
        <t>Horizon close: 2021-04-26
5/21/63 traded sessions after debut; price-only return vs offer.</t>
      </text>
    </comment>
    <comment ref="AR28" authorId="1" shapeId="0">
      <text>
        <t>Horizon close: 2021-06-25
5/21/63 traded sessions after debut; price-only return vs offer.</t>
      </text>
    </comment>
    <comment ref="AI29" authorId="0" shapeId="0">
      <text>
        <t>Close: HK$1.56
Date: 2021-03-25
Venue: broker report; venue not stated
Source: press:https://www.swhyhk.com/storage/app/media/research/equities/2021/_2021.03.26.pdf — published closing quote 1.56, +4% vs offer; venue broker report; venue not stated. GPT archive review, 4 October 2026.</t>
      </text>
    </comment>
    <comment ref="AK29" authorId="1" shapeId="0">
      <text>
        <t>Hang Seng Commerce &amp; Industry sub-index
Previous trading close to listing-day close (2021-03-26).
Benchmark return in percent; not the index level or excess return.</t>
      </text>
    </comment>
    <comment ref="AP29" authorId="1" shapeId="0">
      <text>
        <t>Horizon close: 2021-04-07
5/21/63 traded sessions after debut; price-only return vs offer.</t>
      </text>
    </comment>
    <comment ref="AQ29" authorId="1" shapeId="0">
      <text>
        <t>Horizon close: 2021-04-29
5/21/63 traded sessions after debut; price-only return vs offer.</t>
      </text>
    </comment>
    <comment ref="AR29" authorId="1" shapeId="0">
      <text>
        <t>Horizon close: 2021-06-30
5/21/63 traded sessions after debut; price-only return vs offer.</t>
      </text>
    </comment>
    <comment ref="AI30" authorId="0" shapeId="0">
      <text>
        <t>Close: HK$755
Date: 2021-03-26
Venue: Phillip (etnet news story)
Source: etnet:news https://www.etnet.com.hk/www/tc/stocks/ipo-news-article/20210326529/</t>
      </text>
    </comment>
    <comment ref="AK30" authorId="1" shapeId="0">
      <text>
        <t>HSTECH (Hang Seng TECH ETF)
Previous trading close to listing-day close (2021-03-29).
Benchmark return in percent; not the index level or excess return.</t>
      </text>
    </comment>
    <comment ref="AP30" authorId="1" shapeId="0">
      <text>
        <t>Horizon close: 2021-04-08
5/21/63 traded sessions after debut; price-only return vs offer.</t>
      </text>
    </comment>
    <comment ref="AQ30" authorId="1" shapeId="0">
      <text>
        <t>Horizon close: 2021-04-30
5/21/63 traded sessions after debut; price-only return vs offer.</t>
      </text>
    </comment>
    <comment ref="AR30" authorId="1" shapeId="0">
      <text>
        <t>Horizon close: 2021-07-02
5/21/63 traded sessions after debut; price-only return vs offer.</t>
      </text>
    </comment>
    <comment ref="AI31" authorId="0" shapeId="0">
      <text>
        <t>Close: HK$1.34
Date: 2021-03-30
Venue: Bright Smart
Source: press:https://stock360.hkej.com/stockConnect/dealerReportDetail/2753902 — published closing quote 1.34, +6.35% vs offer; venue Bright Smart. GPT archive review, 4 October 2026.</t>
      </text>
    </comment>
    <comment ref="AK31" authorId="1" shapeId="0">
      <text>
        <t>HSTECH (Hang Seng TECH ETF)
Previous trading close to listing-day close (2021-03-31).
Benchmark return in percent; not the index level or excess return.</t>
      </text>
    </comment>
    <comment ref="AP31" authorId="1" shapeId="0">
      <text>
        <t>Horizon close: 2021-04-12
5/21/63 traded sessions after debut; price-only return vs offer.</t>
      </text>
    </comment>
    <comment ref="AQ31" authorId="1" shapeId="0">
      <text>
        <t>Horizon close: 2021-05-04
5/21/63 traded sessions after debut; price-only return vs offer.</t>
      </text>
    </comment>
    <comment ref="AR31" authorId="1" shapeId="0">
      <text>
        <t>Horizon close: 2021-07-06
5/21/63 traded sessions after debut; price-only return vs offer.</t>
      </text>
    </comment>
    <comment ref="AI32" authorId="0" shapeId="0">
      <text>
        <t>Close: HK$29.5
Date: 2021-03-30
Venue: Bright Smart
Source: press:https://stock360.hkej.com/stockConnect/dealerReportDetail/2753902 — published closing quote 29.5, -7.23% vs offer; venue Bright Smart. GPT archive review, 4 October 2026.</t>
      </text>
    </comment>
    <comment ref="AK32" authorId="1" shapeId="0">
      <text>
        <t>HSTECH (Hang Seng TECH ETF)
Previous trading close to listing-day close (2021-03-31).
Benchmark return in percent; not the index level or excess return.</t>
      </text>
    </comment>
    <comment ref="AP32" authorId="1" shapeId="0">
      <text>
        <t>Horizon close: 2021-04-12
5/21/63 traded sessions after debut; price-only return vs offer.</t>
      </text>
    </comment>
    <comment ref="AQ32" authorId="1" shapeId="0">
      <text>
        <t>Horizon close: 2021-05-04
5/21/63 traded sessions after debut; price-only return vs offer.</t>
      </text>
    </comment>
    <comment ref="AR32" authorId="1" shapeId="0">
      <text>
        <t>Horizon close: 2021-07-06
5/21/63 traded sessions after debut; price-only return vs offer.</t>
      </text>
    </comment>
    <comment ref="AI33" authorId="0" shapeId="0">
      <text>
        <t>Close: HK$0.395
Date: 2021-03-30
Venue: Phillip
Source: press:https://www.aastocks.com/tc/stocks/analysis/stock-aafn-con/02195/AAFN/NOW.1087877/hk-stock-news — published closing quote 0.395, -29.46% vs offer; venue Phillip. GPT archive review, 4 October 2026.</t>
      </text>
    </comment>
    <comment ref="AK33" authorId="1" shapeId="0">
      <text>
        <t>Hang Seng Commerce &amp; Industry sub-index
Previous trading close to listing-day close (2021-03-31).
Benchmark return in percent; not the index level or excess return.</t>
      </text>
    </comment>
    <comment ref="AP33" authorId="1" shapeId="0">
      <text>
        <t>Horizon close: 2021-04-12
5/21/63 traded sessions after debut; price-only return vs offer.</t>
      </text>
    </comment>
    <comment ref="AQ33" authorId="1" shapeId="0">
      <text>
        <t>Horizon close: 2021-05-04
5/21/63 traded sessions after debut; price-only return vs offer.</t>
      </text>
    </comment>
    <comment ref="AR33" authorId="1" shapeId="0">
      <text>
        <t>Horizon close: 2021-07-06
5/21/63 traded sessions after debut; price-only return vs offer.</t>
      </text>
    </comment>
    <comment ref="AI34" authorId="0" shapeId="0">
      <text>
        <t>Close: HK$18.28
Date: 2021-04-08
Venue: Phillip
Source: press:https://www.am730.com.hk/article/164627 — published closing quote 18.28, +4% vs offer; venue Phillip. GPT archive review, 4 October 2026.</t>
      </text>
    </comment>
    <comment ref="AK34" authorId="1" shapeId="0">
      <text>
        <t>HSTECH (Hang Seng TECH ETF)
Previous trading close to listing-day close (2021-04-09).
Benchmark return in percent; not the index level or excess return.</t>
      </text>
    </comment>
    <comment ref="AP34" authorId="1" shapeId="0">
      <text>
        <t>Horizon close: 2021-04-16
5/21/63 traded sessions after debut; price-only return vs offer.</t>
      </text>
    </comment>
    <comment ref="AQ34" authorId="1" shapeId="0">
      <text>
        <t>Horizon close: 2021-05-10
5/21/63 traded sessions after debut; price-only return vs offer.</t>
      </text>
    </comment>
    <comment ref="AR34" authorId="1" shapeId="0">
      <text>
        <t>Horizon close: 2021-07-12
5/21/63 traded sessions after debut; price-only return vs offer.</t>
      </text>
    </comment>
    <comment ref="AI35" authorId="0" shapeId="0">
      <text>
        <t>Close: HK$278
Date: 2021-04-16
Venue: Phillip (etnet news story)
Source: etnet:news https://www.etnet.com.hk/www/tc/stocks/ipo-news-article/20210416538/</t>
      </text>
    </comment>
    <comment ref="AK35" authorId="1" shapeId="0">
      <text>
        <t>HSTECH (Hang Seng TECH ETF)
Previous trading close to listing-day close (2021-04-19).
Benchmark return in percent; not the index level or excess return.</t>
      </text>
    </comment>
    <comment ref="AP35" authorId="1" shapeId="0">
      <text>
        <t>Horizon close: 2021-04-26
5/21/63 traded sessions after debut; price-only return vs offer.</t>
      </text>
    </comment>
    <comment ref="AQ35" authorId="1" shapeId="0">
      <text>
        <t>Horizon close: 2021-05-18
5/21/63 traded sessions after debut; price-only return vs offer.</t>
      </text>
    </comment>
    <comment ref="AR35" authorId="1" shapeId="0">
      <text>
        <t>Horizon close: 2021-07-20
5/21/63 traded sessions after debut; price-only return vs offer.</t>
      </text>
    </comment>
    <comment ref="AI36" authorId="0" shapeId="0">
      <text>
        <t>Close: HK$15.82
Date: 2021-04-28
Venue: Phillip
Source: press:https://www.singtao.ca/googleamp/amp.php?cat=61&amp;post_id=4909987&amp;region=toronto_sg — published closing quote 15.82, -5.8% vs offer; venue Phillip. GPT archive review, 4 October 2026.</t>
      </text>
    </comment>
    <comment ref="AK36" authorId="1" shapeId="0">
      <text>
        <t>China Biotech ETF (HS biotech proxy)
Previous trading close to listing-day close (2021-04-29).
Benchmark return in percent; not the index level or excess return.</t>
      </text>
    </comment>
    <comment ref="AP36" authorId="1" shapeId="0">
      <text>
        <t>Horizon close: 2021-05-06
5/21/63 traded sessions after debut; price-only return vs offer.</t>
      </text>
    </comment>
    <comment ref="AQ36" authorId="1" shapeId="0">
      <text>
        <t>Horizon close: 2021-05-31
5/21/63 traded sessions after debut; price-only return vs offer.</t>
      </text>
    </comment>
    <comment ref="AR36" authorId="1" shapeId="0">
      <text>
        <t>Horizon close: 2021-07-30
5/21/63 traded sessions after debut; price-only return vs offer.</t>
      </text>
    </comment>
    <comment ref="AI37" authorId="0" shapeId="0">
      <text>
        <t>Close: HK$4.94
Date: 2021-05-14
Venue: Phillip (etnet news story)
Source: etnet:news https://www.etnet.com.hk/www/tc/stocks/ipo-news-article/20210514609/</t>
      </text>
    </comment>
    <comment ref="AK37" authorId="1" shapeId="0">
      <text>
        <t>Hang Seng Properties sub-index
Previous trading close to listing-day close (2021-05-17).
Benchmark return in percent; not the index level or excess return.</t>
      </text>
    </comment>
    <comment ref="AP37" authorId="1" shapeId="0">
      <text>
        <t>Horizon close: 2021-05-25
5/21/63 traded sessions after debut; price-only return vs offer.</t>
      </text>
    </comment>
    <comment ref="AQ37" authorId="1" shapeId="0">
      <text>
        <t>Horizon close: 2021-06-17
5/21/63 traded sessions after debut; price-only return vs offer.</t>
      </text>
    </comment>
    <comment ref="AR37" authorId="1" shapeId="0">
      <text>
        <t>Horizon close: 2021-08-17
5/21/63 traded sessions after debut; price-only return vs offer.</t>
      </text>
    </comment>
    <comment ref="AI38" authorId="0" shapeId="0">
      <text>
        <t>Close: HK$3.68
Date: 2021-05-24
Venue: Phillip
Source: press:https://www.wenweipo.com/a/202105/25/AP60ac0db1e4b0a46dabeb883c.html — published closing quote 3.68, -3.2% vs offer; venue Phillip. GPT archive review, 4 October 2026.</t>
      </text>
    </comment>
    <comment ref="AK38" authorId="1" shapeId="0">
      <text>
        <t>Hang Seng Properties sub-index
Previous trading close to listing-day close (2021-05-25).
Benchmark return in percent; not the index level or excess return.</t>
      </text>
    </comment>
    <comment ref="AP38" authorId="1" shapeId="0">
      <text>
        <t>Horizon close: 2021-06-01
5/21/63 traded sessions after debut; price-only return vs offer.</t>
      </text>
    </comment>
    <comment ref="AQ38" authorId="1" shapeId="0">
      <text>
        <t>Horizon close: 2021-06-24
5/21/63 traded sessions after debut; price-only return vs offer.</t>
      </text>
    </comment>
    <comment ref="AR38" authorId="1" shapeId="0">
      <text>
        <t>Horizon close: 2021-08-24
5/21/63 traded sessions after debut; price-only return vs offer.</t>
      </text>
    </comment>
    <comment ref="AI39" authorId="0" shapeId="0">
      <text>
        <t>Close: HK$48.55
Date: 2021-05-27
Venue: Phillip (etnet news story)
Source: etnet:news https://www.etnet.com.hk/www/tc/stocks/ipo-news-article/20210527575/</t>
      </text>
    </comment>
    <comment ref="AK39" authorId="1" shapeId="0">
      <text>
        <t>Hang Seng Commerce &amp; Industry sub-index
Previous trading close to listing-day close (2021-05-28).
Benchmark return in percent; not the index level or excess return.</t>
      </text>
    </comment>
    <comment ref="AP39" authorId="1" shapeId="0">
      <text>
        <t>Horizon close: 2021-06-04
5/21/63 traded sessions after debut; price-only return vs offer.</t>
      </text>
    </comment>
    <comment ref="AQ39" authorId="1" shapeId="0">
      <text>
        <t>Horizon close: 2021-06-29
5/21/63 traded sessions after debut; price-only return vs offer.</t>
      </text>
    </comment>
    <comment ref="AR39" authorId="1" shapeId="0">
      <text>
        <t>Horizon close: 2021-08-27
5/21/63 traded sessions after debut; price-only return vs offer.</t>
      </text>
    </comment>
    <comment ref="AI40" authorId="0" shapeId="0">
      <text>
        <t>Close: HK$2.58
Date: 2021-05-28
Venue: Futu (富途)
Source: press:HKET 中原建業9982暗盤跌逾一成 (2021-05-28): 富途收報2.58元，較上市價3元低14%; 輝立/耀才2.60</t>
      </text>
    </comment>
    <comment ref="AK40" authorId="1" shapeId="0">
      <text>
        <t>Hang Seng Properties sub-index
Previous trading close to listing-day close (2021-05-31).
Benchmark return in percent; not the index level or excess return.</t>
      </text>
    </comment>
    <comment ref="AP40" authorId="1" shapeId="0">
      <text>
        <t>Horizon close: 2021-06-07
5/21/63 traded sessions after debut; price-only return vs offer.</t>
      </text>
    </comment>
    <comment ref="AQ40" authorId="1" shapeId="0">
      <text>
        <t>Horizon close: 2021-06-30
5/21/63 traded sessions after debut; price-only return vs offer.</t>
      </text>
    </comment>
    <comment ref="AR40" authorId="1" shapeId="0">
      <text>
        <t>Horizon close: 2021-08-30
5/21/63 traded sessions after debut; price-only return vs offer.</t>
      </text>
    </comment>
    <comment ref="AI41" authorId="0" shapeId="0">
      <text>
        <t>Close: HK$368.6
Date: 2021-06-15
Venue: Phillip (etnet news story)
Source: etnet:news https://www.etnet.com.hk/www/tc/stocks/ipo-news-article/20210615939/</t>
      </text>
    </comment>
    <comment ref="AK41" authorId="1" shapeId="0">
      <text>
        <t>China Biotech ETF (HS biotech proxy)
Previous trading close to listing-day close (2021-06-16).
Benchmark return in percent; not the index level or excess return.</t>
      </text>
    </comment>
    <comment ref="AP41" authorId="1" shapeId="0">
      <text>
        <t>Horizon close: 2021-06-23
5/21/63 traded sessions after debut; price-only return vs offer.</t>
      </text>
    </comment>
    <comment ref="AQ41" authorId="1" shapeId="0">
      <text>
        <t>Horizon close: 2021-07-16
5/21/63 traded sessions after debut; price-only return vs offer.</t>
      </text>
    </comment>
    <comment ref="AR41" authorId="1" shapeId="0">
      <text>
        <t>Horizon close: 2021-09-14
5/21/63 traded sessions after debut; price-only return vs offer.</t>
      </text>
    </comment>
    <comment ref="AI42" authorId="0" shapeId="0">
      <text>
        <t>Close: HK$27.55
Date: 2021-06-17
Venue: Phillip
Source: press:https://www.am730.com.hk/財經/科濟優然今首掛-暗盤齊破底-一手1萬入場-奈雪的茶招股/172327 — published closing quote 27.55, -16% vs offer; venue Phillip. GPT archive review, 4 October 2026.</t>
      </text>
    </comment>
    <comment ref="AK42" authorId="1" shapeId="0">
      <text>
        <t>China Biotech ETF (HS biotech proxy)
Previous trading close to listing-day close (2021-06-18).
Benchmark return in percent; not the index level or excess return.</t>
      </text>
    </comment>
    <comment ref="AP42" authorId="1" shapeId="0">
      <text>
        <t>Horizon close: 2021-06-25
5/21/63 traded sessions after debut; price-only return vs offer.</t>
      </text>
    </comment>
    <comment ref="AQ42" authorId="1" shapeId="0">
      <text>
        <t>Horizon close: 2021-07-20
5/21/63 traded sessions after debut; price-only return vs offer.</t>
      </text>
    </comment>
    <comment ref="AR42" authorId="1" shapeId="0">
      <text>
        <t>Horizon close: 2021-09-16
5/21/63 traded sessions after debut; price-only return vs offer.</t>
      </text>
    </comment>
    <comment ref="AI43" authorId="0" shapeId="0">
      <text>
        <t>Close: HK$6.4
Date: 2021-06-17
Venue: Phillip
Source: press:https://www.am730.com.hk/財經/科濟優然今首掛-暗盤齊破底-一手1萬入場-奈雪的茶招股/172327 — published closing quote 6.4, -8.3% vs offer; venue Phillip. GPT archive review, 4 October 2026.</t>
      </text>
    </comment>
    <comment ref="AK43" authorId="1" shapeId="0">
      <text>
        <t>Hang Seng Commerce &amp; Industry sub-index
Previous trading close to listing-day close (2021-06-18).
Benchmark return in percent; not the index level or excess return.</t>
      </text>
    </comment>
    <comment ref="AP43" authorId="1" shapeId="0">
      <text>
        <t>Horizon close: 2021-06-25
5/21/63 traded sessions after debut; price-only return vs offer.</t>
      </text>
    </comment>
    <comment ref="AQ43" authorId="1" shapeId="0">
      <text>
        <t>Horizon close: 2021-07-20
5/21/63 traded sessions after debut; price-only return vs offer.</t>
      </text>
    </comment>
    <comment ref="AR43" authorId="1" shapeId="0">
      <text>
        <t>Horizon close: 2021-09-16
5/21/63 traded sessions after debut; price-only return vs offer.</t>
      </text>
    </comment>
    <comment ref="AI44" authorId="0" shapeId="0">
      <text>
        <t>Close: HK$4
Date: 2021-06-25
Venue: Futu
Source: press:https://www.stheadline.com/opinion/3481130/超購千倍凍3080億-歸創通橋招股熱爆 — published closing quote 4, +61% vs offer; venue Futu. GPT archive review, 4 October 2026.</t>
      </text>
    </comment>
    <comment ref="AK44" authorId="1" shapeId="0">
      <text>
        <t>Hang Seng Commerce &amp; Industry sub-index
Previous trading close to listing-day close (2021-06-28).
Benchmark return in percent; not the index level or excess return.</t>
      </text>
    </comment>
    <comment ref="AP44" authorId="1" shapeId="0">
      <text>
        <t>Horizon close: 2021-07-06
5/21/63 traded sessions after debut; price-only return vs offer.</t>
      </text>
    </comment>
    <comment ref="AQ44" authorId="1" shapeId="0">
      <text>
        <t>Horizon close: 2021-07-28
5/21/63 traded sessions after debut; price-only return vs offer.</t>
      </text>
    </comment>
    <comment ref="AR44" authorId="1" shapeId="0">
      <text>
        <t>Horizon close: 2021-09-27
5/21/63 traded sessions after debut; price-only return vs offer.</t>
      </text>
    </comment>
    <comment ref="AI45" authorId="0" shapeId="0">
      <text>
        <t>Close: HK$4.9
Date: 2021-06-25
Venue: Futu
Source: press:https://www.stheadline.com/opinion/3481130/超購千倍凍3080億-歸創通橋招股熱爆 — published closing quote 4.9, +0.41% vs offer; venue Futu. GPT archive review, 4 October 2026.</t>
      </text>
    </comment>
    <comment ref="AK45" authorId="1" shapeId="0">
      <text>
        <t>Hang Seng Properties sub-index
Previous trading close to listing-day close (2021-06-28).
Benchmark return in percent; not the index level or excess return.</t>
      </text>
    </comment>
    <comment ref="AP45" authorId="1" shapeId="0">
      <text>
        <t>Horizon close: 2021-07-06
5/21/63 traded sessions after debut; price-only return vs offer.</t>
      </text>
    </comment>
    <comment ref="AQ45" authorId="1" shapeId="0">
      <text>
        <t>Horizon close: 2021-07-28
5/21/63 traded sessions after debut; price-only return vs offer.</t>
      </text>
    </comment>
    <comment ref="AR45" authorId="1" shapeId="0">
      <text>
        <t>Horizon close: 2021-09-27
5/21/63 traded sessions after debut; price-only return vs offer.</t>
      </text>
    </comment>
    <comment ref="AI46" authorId="0" shapeId="0">
      <text>
        <t>Close: HK$50.1
Date: 2021-06-29
Venue: Phillip (etnet news story)
Source: etnet:news https://www.etnet.com.hk/www/tc/stocks/ipo-news-article/20210629933/</t>
      </text>
    </comment>
    <comment ref="AK46" authorId="1" shapeId="0">
      <text>
        <t>China Biotech ETF (HS biotech proxy)
Previous trading close to listing-day close (2021-06-30).
Benchmark return in percent; not the index level or excess return.</t>
      </text>
    </comment>
    <comment ref="AP46" authorId="1" shapeId="0">
      <text>
        <t>Horizon close: 2021-07-08
5/21/63 traded sessions after debut; price-only return vs offer.</t>
      </text>
    </comment>
    <comment ref="AQ46" authorId="1" shapeId="0">
      <text>
        <t>Horizon close: 2021-07-30
5/21/63 traded sessions after debut; price-only return vs offer.</t>
      </text>
    </comment>
    <comment ref="AR46" authorId="1" shapeId="0">
      <text>
        <t>Horizon close: 2021-09-29
5/21/63 traded sessions after debut; price-only return vs offer.</t>
      </text>
    </comment>
    <comment ref="AI47" authorId="0" shapeId="0">
      <text>
        <t>Close: HK$19.54
Date: 2021-06-29
Venue: Phillip (etnet news story)
Source: etnet:news https://www.etnet.com.hk/www/tc/stocks/ipo-news-article/20210629934/</t>
      </text>
    </comment>
    <comment ref="AK47" authorId="1" shapeId="0">
      <text>
        <t>Hang Seng Commerce &amp; Industry sub-index
Previous trading close to listing-day close (2021-06-30).
Benchmark return in percent; not the index level or excess return.</t>
      </text>
    </comment>
    <comment ref="AP47" authorId="1" shapeId="0">
      <text>
        <t>Horizon close: 2021-07-08
5/21/63 traded sessions after debut; price-only return vs offer.</t>
      </text>
    </comment>
    <comment ref="AQ47" authorId="1" shapeId="0">
      <text>
        <t>Horizon close: 2021-07-30
5/21/63 traded sessions after debut; price-only return vs offer.</t>
      </text>
    </comment>
    <comment ref="AR47" authorId="1" shapeId="0">
      <text>
        <t>Horizon close: 2021-09-29
5/21/63 traded sessions after debut; price-only return vs offer.</t>
      </text>
    </comment>
    <comment ref="AI48" authorId="0" shapeId="0">
      <text>
        <t>Close: HK$3.92
Date: 2021-06-30
Venue: Phillip
Source: press:https://www.aastocks.com/tc/stocks/analysis/stock-aafn-con/00606/AAFN/NOW.1109358/hk-stock-news — published closing quote 3.92, +5.9% vs offer; venue Phillip. GPT archive review, 4 October 2026.</t>
      </text>
    </comment>
    <comment ref="AK48" authorId="1" shapeId="0">
      <text>
        <t>Hang Seng Properties sub-index
Previous trading close to listing-day close (2021-07-02).
Benchmark return in percent; not the index level or excess return.</t>
      </text>
    </comment>
    <comment ref="AP48" authorId="1" shapeId="0">
      <text>
        <t>Horizon close: 2021-07-09
5/21/63 traded sessions after debut; price-only return vs offer.</t>
      </text>
    </comment>
    <comment ref="AQ48" authorId="1" shapeId="0">
      <text>
        <t>Horizon close: 2021-08-02
5/21/63 traded sessions after debut; price-only return vs offer.</t>
      </text>
    </comment>
    <comment ref="AR48" authorId="1" shapeId="0">
      <text>
        <t>Horizon close: 2021-09-30
5/21/63 traded sessions after debut; price-only return vs offer.</t>
      </text>
    </comment>
    <comment ref="AI49" authorId="0" shapeId="0">
      <text>
        <t>Close: HK$55.6
Date: 2021-07-02
Venue: Phillip (etnet news story)
Source: etnet:news https://www.etnet.com.hk/www/tc/stocks/ipo-news-article/20210702601/</t>
      </text>
    </comment>
    <comment ref="AK49" authorId="1" shapeId="0">
      <text>
        <t>China Biotech ETF (HS biotech proxy)
Previous trading close to listing-day close (2021-07-05).
Benchmark return in percent; not the index level or excess return.</t>
      </text>
    </comment>
    <comment ref="AP49" authorId="1" shapeId="0">
      <text>
        <t>Horizon close: 2021-07-12
5/21/63 traded sessions after debut; price-only return vs offer.</t>
      </text>
    </comment>
    <comment ref="AQ49" authorId="1" shapeId="0">
      <text>
        <t>Horizon close: 2021-08-03
5/21/63 traded sessions after debut; price-only return vs offer.</t>
      </text>
    </comment>
    <comment ref="AR49" authorId="1" shapeId="0">
      <text>
        <t>Horizon close: 2021-10-04
5/21/63 traded sessions after debut; price-only return vs offer.</t>
      </text>
    </comment>
    <comment ref="AI50" authorId="0" shapeId="0">
      <text>
        <t>Close: HK$10.82
Date: 2021-07-06
Venue: Phillip (etnet news story)
Source: etnet:news https://www.etnet.com.hk/www/tc/stocks/ipo-news-article/20210706938/</t>
      </text>
    </comment>
    <comment ref="AK50" authorId="1" shapeId="0">
      <text>
        <t>China Biotech ETF (HS biotech proxy)
Previous trading close to listing-day close (2021-07-07).
Benchmark return in percent; not the index level or excess return.</t>
      </text>
    </comment>
    <comment ref="AP50" authorId="1" shapeId="0">
      <text>
        <t>Horizon close: 2021-07-14
5/21/63 traded sessions after debut; price-only return vs offer.</t>
      </text>
    </comment>
    <comment ref="AQ50" authorId="1" shapeId="0">
      <text>
        <t>Horizon close: 2021-08-05
5/21/63 traded sessions after debut; price-only return vs offer.</t>
      </text>
    </comment>
    <comment ref="AR50" authorId="1" shapeId="0">
      <text>
        <t>Horizon close: 2021-10-06
5/21/63 traded sessions after debut; price-only return vs offer.</t>
      </text>
    </comment>
    <comment ref="AI51" authorId="0" shapeId="0">
      <text>
        <t>Close: HK$164.3
Date: 2021-07-06
Venue: Phillip (etnet news story)
Source: etnet:news https://www.etnet.com.hk/www/tc/stocks/ipo-news-article/20210706939/</t>
      </text>
    </comment>
    <comment ref="AK51" authorId="1" shapeId="0">
      <text>
        <t>Hang Seng Commerce &amp; Industry sub-index
Previous trading close to listing-day close (2021-07-07).
Benchmark return in percent; not the index level or excess return.</t>
      </text>
    </comment>
    <comment ref="AP51" authorId="1" shapeId="0">
      <text>
        <t>Horizon close: 2021-07-14
5/21/63 traded sessions after debut; price-only return vs offer.</t>
      </text>
    </comment>
    <comment ref="AQ51" authorId="1" shapeId="0">
      <text>
        <t>Horizon close: 2021-08-05
5/21/63 traded sessions after debut; price-only return vs offer.</t>
      </text>
    </comment>
    <comment ref="AR51" authorId="1" shapeId="0">
      <text>
        <t>Horizon close: 2021-10-06
5/21/63 traded sessions after debut; price-only return vs offer.</t>
      </text>
    </comment>
    <comment ref="AI52" authorId="0" shapeId="0">
      <text>
        <t>Close: HK$5.3
Date: 2021-07-07
Venue: Phillip (etnet news story)
Source: etnet:news https://www.etnet.com.hk/www/tc/stocks/ipo-news-article/20210707924/</t>
      </text>
    </comment>
    <comment ref="AK52" authorId="1" shapeId="0">
      <text>
        <t>Hang Seng Properties sub-index
Previous trading close to listing-day close (2021-07-08).
Benchmark return in percent; not the index level or excess return.</t>
      </text>
    </comment>
    <comment ref="AP52" authorId="1" shapeId="0">
      <text>
        <t>Horizon close: 2021-07-15
5/21/63 traded sessions after debut; price-only return vs offer.</t>
      </text>
    </comment>
    <comment ref="AQ52" authorId="1" shapeId="0">
      <text>
        <t>Horizon close: 2021-08-06
5/21/63 traded sessions after debut; price-only return vs offer.</t>
      </text>
    </comment>
    <comment ref="AR52" authorId="1" shapeId="0">
      <text>
        <t>Horizon close: 2021-10-07
5/21/63 traded sessions after debut; price-only return vs offer.</t>
      </text>
    </comment>
    <comment ref="AI53" authorId="0" shapeId="0">
      <text>
        <t>Close: HK$71.5
Date: 2021-07-07
Venue: Phillip (etnet news story)
Source: etnet:news https://www.etnet.com.hk/www/tc/stocks/ipo-news-article/20210707939/</t>
      </text>
    </comment>
    <comment ref="AK53" authorId="1" shapeId="0">
      <text>
        <t>China Biotech ETF (HS biotech proxy)
Previous trading close to listing-day close (2021-07-08).
Benchmark return in percent; not the index level or excess return.</t>
      </text>
    </comment>
    <comment ref="AP53" authorId="1" shapeId="0">
      <text>
        <t>Horizon close: 2021-07-15
5/21/63 traded sessions after debut; price-only return vs offer.</t>
      </text>
    </comment>
    <comment ref="AQ53" authorId="1" shapeId="0">
      <text>
        <t>Horizon close: 2021-08-06
5/21/63 traded sessions after debut; price-only return vs offer.</t>
      </text>
    </comment>
    <comment ref="AR53" authorId="1" shapeId="0">
      <text>
        <t>Horizon close: 2021-10-07
5/21/63 traded sessions after debut; price-only return vs offer.</t>
      </text>
    </comment>
    <comment ref="AI54" authorId="0" shapeId="0">
      <text>
        <t>Close: HK$4.44
Date: 2021-07-08
Venue: Phillip (etnet news story)
Source: etnet:news https://www.etnet.com.hk/www/tc/stocks/ipo-news-article/20210708927/</t>
      </text>
    </comment>
    <comment ref="AK54" authorId="1" shapeId="0">
      <text>
        <t>HSTECH (Hang Seng TECH ETF)
Previous trading close to listing-day close (2021-07-09).
Benchmark return in percent; not the index level or excess return.</t>
      </text>
    </comment>
    <comment ref="AP54" authorId="1" shapeId="0">
      <text>
        <t>Horizon close: 2021-07-16
5/21/63 traded sessions after debut; price-only return vs offer.</t>
      </text>
    </comment>
    <comment ref="AQ54" authorId="1" shapeId="0">
      <text>
        <t>Horizon close: 2021-08-09
5/21/63 traded sessions after debut; price-only return vs offer.</t>
      </text>
    </comment>
    <comment ref="AR54" authorId="1" shapeId="0">
      <text>
        <t>Horizon close: 2021-10-08
5/21/63 traded sessions after debut; price-only return vs offer.</t>
      </text>
    </comment>
    <comment ref="AI55" authorId="0" shapeId="0">
      <text>
        <t>Close: HK$5.75
Date: 2021-07-09
Venue: Phillip
Source: press:https://news.now.com/home/finance/player?newsId=441657 — published closing quote 5.75, +37.23% vs offer; venue Phillip. GPT archive review, 4 October 2026.</t>
      </text>
    </comment>
    <comment ref="AK55" authorId="1" shapeId="0">
      <text>
        <t>Hang Seng Properties sub-index
Previous trading close to listing-day close (2021-07-12).
Benchmark return in percent; not the index level or excess return.</t>
      </text>
    </comment>
    <comment ref="AP55" authorId="1" shapeId="0">
      <text>
        <t>Horizon close: 2021-07-19
5/21/63 traded sessions after debut; price-only return vs offer.</t>
      </text>
    </comment>
    <comment ref="AQ55" authorId="1" shapeId="0">
      <text>
        <t>Horizon close: 2021-08-10
5/21/63 traded sessions after debut; price-only return vs offer.</t>
      </text>
    </comment>
    <comment ref="AR55" authorId="1" shapeId="0">
      <text>
        <t>Horizon close: 2021-10-11
5/21/63 traded sessions after debut; price-only return vs offer.</t>
      </text>
    </comment>
    <comment ref="AI56" authorId="0" shapeId="0">
      <text>
        <t>Close: HK$12.44
Date: 2021-07-09
Venue: Phillip
Source: press:https://news.now.com/home/finance/player?newsId=441657 — published closing quote 12.44, +4.89% vs offer; venue Phillip. GPT archive review, 4 October 2026.</t>
      </text>
    </comment>
    <comment ref="AK56" authorId="1" shapeId="0">
      <text>
        <t>HSTECH (Hang Seng TECH ETF)
Previous trading close to listing-day close (2021-07-12).
Benchmark return in percent; not the index level or excess return.</t>
      </text>
    </comment>
    <comment ref="AP56" authorId="1" shapeId="0">
      <text>
        <t>Horizon close: 2021-07-19
5/21/63 traded sessions after debut; price-only return vs offer.</t>
      </text>
    </comment>
    <comment ref="AQ56" authorId="1" shapeId="0">
      <text>
        <t>Horizon close: 2021-08-10
5/21/63 traded sessions after debut; price-only return vs offer.</t>
      </text>
    </comment>
    <comment ref="AR56" authorId="1" shapeId="0">
      <text>
        <t>Horizon close: 2021-10-11
5/21/63 traded sessions after debut; price-only return vs offer.</t>
      </text>
    </comment>
    <comment ref="AI57" authorId="0" shapeId="0">
      <text>
        <t>Close: HK$1.49
Date: 2021-07-12
Venue: Phillip (etnet news story)
Source: etnet:news https://www.etnet.com.hk/www/tc/stocks/ipo-news-article/20210712577/</t>
      </text>
    </comment>
    <comment ref="AK57" authorId="1" shapeId="0">
      <text>
        <t>Hang Seng Commerce &amp; Industry sub-index
Previous trading close to listing-day close (2021-07-13).
Benchmark return in percent; not the index level or excess return.</t>
      </text>
    </comment>
    <comment ref="AP57" authorId="1" shapeId="0">
      <text>
        <t>Horizon close: 2021-07-20
5/21/63 traded sessions after debut; price-only return vs offer.</t>
      </text>
    </comment>
    <comment ref="AQ57" authorId="1" shapeId="0">
      <text>
        <t>Horizon close: 2021-08-11
5/21/63 traded sessions after debut; price-only return vs offer.</t>
      </text>
    </comment>
    <comment ref="AR57" authorId="1" shapeId="0">
      <text>
        <t>Horizon close: 2021-10-12
5/21/63 traded sessions after debut; price-only return vs offer.</t>
      </text>
    </comment>
    <comment ref="AI58" authorId="0" shapeId="0">
      <text>
        <t>Close: HK$20.9
Date: 2021-07-12
Venue: Phillip (etnet news story)
Source: etnet:news https://www.etnet.com.hk/www/tc/stocks/ipo-news-article/20210712535/</t>
      </text>
    </comment>
    <comment ref="AK58" authorId="1" shapeId="0">
      <text>
        <t>China Biotech ETF (HS biotech proxy)
Previous trading close to listing-day close (2021-07-13).
Benchmark return in percent; not the index level or excess return.</t>
      </text>
    </comment>
    <comment ref="AP58" authorId="1" shapeId="0">
      <text>
        <t>Horizon close: 2021-07-20
5/21/63 traded sessions after debut; price-only return vs offer.</t>
      </text>
    </comment>
    <comment ref="AQ58" authorId="1" shapeId="0">
      <text>
        <t>Horizon close: 2021-08-11
5/21/63 traded sessions after debut; price-only return vs offer.</t>
      </text>
    </comment>
    <comment ref="AR58" authorId="1" shapeId="0">
      <text>
        <t>Horizon close: 2021-10-12
5/21/63 traded sessions after debut; price-only return vs offer.</t>
      </text>
    </comment>
    <comment ref="AI59" authorId="0" shapeId="0">
      <text>
        <t>Close: HK$29
Date: 2021-07-14
Venue: Phillip (etnet news story)
Source: etnet:news https://www.etnet.com.hk/www/tc/stocks/ipo-news-article/20210714579/</t>
      </text>
    </comment>
    <comment ref="AK59" authorId="1" shapeId="0">
      <text>
        <t>China Biotech ETF (HS biotech proxy)
Previous trading close to listing-day close (2021-07-15).
Benchmark return in percent; not the index level or excess return.</t>
      </text>
    </comment>
    <comment ref="AP59" authorId="1" shapeId="0">
      <text>
        <t>Horizon close: 2021-07-22
5/21/63 traded sessions after debut; price-only return vs offer.</t>
      </text>
    </comment>
    <comment ref="AQ59" authorId="1" shapeId="0">
      <text>
        <t>Horizon close: 2021-08-13
5/21/63 traded sessions after debut; price-only return vs offer.</t>
      </text>
    </comment>
    <comment ref="AR59" authorId="1" shapeId="0">
      <text>
        <t>Horizon close: 2021-10-18
5/21/63 traded sessions after debut; price-only return vs offer.</t>
      </text>
    </comment>
    <comment ref="AI60" authorId="0" shapeId="0">
      <text>
        <t>Close: HK$5.78
Date: 2021-07-14
Venue: Phillip (etnet news story)
Source: etnet:news https://www.etnet.com.hk/www/tc/stocks/ipo-news-article/20210714539/</t>
      </text>
    </comment>
    <comment ref="AK60" authorId="1" shapeId="0">
      <text>
        <t>Hang Seng Commerce &amp; Industry sub-index
Previous trading close to listing-day close (2021-07-15).
Benchmark return in percent; not the index level or excess return.</t>
      </text>
    </comment>
    <comment ref="AP60" authorId="1" shapeId="0">
      <text>
        <t>Horizon close: 2021-07-22
5/21/63 traded sessions after debut; price-only return vs offer.</t>
      </text>
    </comment>
    <comment ref="AQ60" authorId="1" shapeId="0">
      <text>
        <t>Horizon close: 2021-08-13
5/21/63 traded sessions after debut; price-only return vs offer.</t>
      </text>
    </comment>
    <comment ref="AR60" authorId="1" shapeId="0">
      <text>
        <t>Horizon close: 2021-10-18
5/21/63 traded sessions after debut; price-only return vs offer.</t>
      </text>
    </comment>
    <comment ref="AI61" authorId="0" shapeId="0">
      <text>
        <t>Close: HK$2.96
Date: 2021-07-14
Venue: Phillip (etnet news story)
Source: etnet:news https://www.etnet.com.hk/www/tc/stocks/ipo-news-article/20210714927/</t>
      </text>
    </comment>
    <comment ref="AK61" authorId="1" shapeId="0">
      <text>
        <t>Hang Seng Properties sub-index
Previous trading close to listing-day close (2021-07-15).
Benchmark return in percent; not the index level or excess return.</t>
      </text>
    </comment>
    <comment ref="AP61" authorId="1" shapeId="0">
      <text>
        <t>Horizon close: 2021-07-22
5/21/63 traded sessions after debut; price-only return vs offer.</t>
      </text>
    </comment>
    <comment ref="AQ61" authorId="1" shapeId="0">
      <text>
        <t>Horizon close: 2021-08-13
5/21/63 traded sessions after debut; price-only return vs offer.</t>
      </text>
    </comment>
    <comment ref="AR61" authorId="1" shapeId="0">
      <text>
        <t>Horizon close: 2021-10-18
5/21/63 traded sessions after debut; price-only return vs offer.</t>
      </text>
    </comment>
    <comment ref="AI62" authorId="0" shapeId="0">
      <text>
        <t>Close: HK$9.09
Date: 2021-07-15
Venue: Phillip (etnet news story)
Source: etnet:news https://www.etnet.com.hk/www/tc/stocks/ipo-news-article/20210715577/</t>
      </text>
    </comment>
    <comment ref="AK62" authorId="1" shapeId="0">
      <text>
        <t>China Biotech ETF (HS biotech proxy)
Previous trading close to listing-day close (2021-07-16).
Benchmark return in percent; not the index level or excess return.</t>
      </text>
    </comment>
    <comment ref="AP62" authorId="1" shapeId="0">
      <text>
        <t>Horizon close: 2021-07-23
5/21/63 traded sessions after debut; price-only return vs offer.</t>
      </text>
    </comment>
    <comment ref="AQ62" authorId="1" shapeId="0">
      <text>
        <t>Horizon close: 2021-08-16
5/21/63 traded sessions after debut; price-only return vs offer.</t>
      </text>
    </comment>
    <comment ref="AR62" authorId="1" shapeId="0">
      <text>
        <t>Horizon close: 2021-10-19
5/21/63 traded sessions after debut; price-only return vs offer.</t>
      </text>
    </comment>
    <comment ref="AI63" authorId="0" shapeId="0">
      <text>
        <t>Close: HK$3.29
Date: 2021-07-15
Venue: Phillip (etnet news story)
Source: etnet:news https://www.etnet.com.hk/www/tc/stocks/ipo-news-article/20210715928/</t>
      </text>
    </comment>
    <comment ref="AK63" authorId="1" shapeId="0">
      <text>
        <t>Hang Seng Commerce &amp; Industry sub-index
Previous trading close to listing-day close (2021-07-16).
Benchmark return in percent; not the index level or excess return.</t>
      </text>
    </comment>
    <comment ref="AP63" authorId="1" shapeId="0">
      <text>
        <t>Horizon close: 2021-07-23
5/21/63 traded sessions after debut; price-only return vs offer.</t>
      </text>
    </comment>
    <comment ref="AQ63" authorId="1" shapeId="0">
      <text>
        <t>Horizon close: 2021-08-16
5/21/63 traded sessions after debut; price-only return vs offer.</t>
      </text>
    </comment>
    <comment ref="AR63" authorId="1" shapeId="0">
      <text>
        <t>Horizon close: 2021-10-19
5/21/63 traded sessions after debut; price-only return vs offer.</t>
      </text>
    </comment>
    <comment ref="AI64" authorId="0" shapeId="0">
      <text>
        <t>Close: HK$3.6
Date: 2021-07-15
Venue: Phillip (etnet news story)
Source: etnet:news https://www.etnet.com.hk/www/tc/stocks/ipo-news-article/20210715926/</t>
      </text>
    </comment>
    <comment ref="AK64" authorId="1" shapeId="0">
      <text>
        <t>Hang Seng Properties sub-index
Previous trading close to listing-day close (2021-07-16).
Benchmark return in percent; not the index level or excess return.</t>
      </text>
    </comment>
    <comment ref="AP64" authorId="1" shapeId="0">
      <text>
        <t>Horizon close: 2021-07-23
5/21/63 traded sessions after debut; price-only return vs offer.</t>
      </text>
    </comment>
    <comment ref="AQ64" authorId="1" shapeId="0">
      <text>
        <t>Horizon close: 2021-08-16
5/21/63 traded sessions after debut; price-only return vs offer.</t>
      </text>
    </comment>
    <comment ref="AR64" authorId="1" shapeId="0">
      <text>
        <t>Horizon close: 2021-10-19
5/21/63 traded sessions after debut; price-only return vs offer.</t>
      </text>
    </comment>
    <comment ref="AI65" authorId="0" shapeId="0">
      <text>
        <t>Close: HK$3.95
Date: 2021-07-15
Venue: Phillip (etnet news story)
Source: etnet:news https://www.etnet.com.hk/www/tc/stocks/ipo-news-article/20210715929/</t>
      </text>
    </comment>
    <comment ref="AK65" authorId="1" shapeId="0">
      <text>
        <t>Hang Seng Commerce &amp; Industry sub-index
Previous trading close to listing-day close (2021-07-16).
Benchmark return in percent; not the index level or excess return.</t>
      </text>
    </comment>
    <comment ref="AP65" authorId="1" shapeId="0">
      <text>
        <t>Horizon close: 2021-07-23
5/21/63 traded sessions after debut; price-only return vs offer.</t>
      </text>
    </comment>
    <comment ref="AQ65" authorId="1" shapeId="0">
      <text>
        <t>Horizon close: 2021-08-16
5/21/63 traded sessions after debut; price-only return vs offer.</t>
      </text>
    </comment>
    <comment ref="AR65" authorId="1" shapeId="0">
      <text>
        <t>Horizon close: 2021-10-19
5/21/63 traded sessions after debut; price-only return vs offer.</t>
      </text>
    </comment>
    <comment ref="AI66" authorId="0" shapeId="0">
      <text>
        <t>Close: HK$4.78
Date: 2021-07-16
Venue: Phillip (etnet news story)
Source: etnet:news https://www.etnet.com.hk/www/tc/stocks/ipo-news-article/20210716537/</t>
      </text>
    </comment>
    <comment ref="AK66" authorId="1" shapeId="0">
      <text>
        <t>Hang Seng Properties sub-index
Previous trading close to listing-day close (2021-07-19).
Benchmark return in percent; not the index level or excess return.</t>
      </text>
    </comment>
    <comment ref="AP66" authorId="1" shapeId="0">
      <text>
        <t>Horizon close: 2021-07-26
5/21/63 traded sessions after debut; price-only return vs offer.</t>
      </text>
    </comment>
    <comment ref="AQ66" authorId="1" shapeId="0">
      <text>
        <t>Horizon close: 2021-08-17
5/21/63 traded sessions after debut; price-only return vs offer.</t>
      </text>
    </comment>
    <comment ref="AR66" authorId="1" shapeId="0">
      <text>
        <t>Horizon close: 2021-10-20
5/21/63 traded sessions after debut; price-only return vs offer.</t>
      </text>
    </comment>
    <comment ref="AI67" authorId="0" shapeId="0">
      <text>
        <t>Close: HK$115.9
Date: 2021-08-11
Venue: Phillip (etnet news story)
Source: etnet:news https://www.etnet.com.hk/www/tc/stocks/ipo-news-article/20210811939/</t>
      </text>
    </comment>
    <comment ref="AK67" authorId="1" shapeId="0">
      <text>
        <t>Hang Seng Commerce &amp; Industry sub-index
Previous trading close to listing-day close (2021-08-12).
Benchmark return in percent; not the index level or excess return.</t>
      </text>
    </comment>
    <comment ref="AP67" authorId="1" shapeId="0">
      <text>
        <t>Horizon close: 2021-08-19
5/21/63 traded sessions after debut; price-only return vs offer.</t>
      </text>
    </comment>
    <comment ref="AQ67" authorId="1" shapeId="0">
      <text>
        <t>Horizon close: 2021-09-10
5/21/63 traded sessions after debut; price-only return vs offer.</t>
      </text>
    </comment>
    <comment ref="AR67" authorId="1" shapeId="0">
      <text>
        <t>Horizon close: 2021-11-15
5/21/63 traded sessions after debut; price-only return vs offer.</t>
      </text>
    </comment>
    <comment ref="AI68" authorId="0" shapeId="0">
      <text>
        <t>Close: HK$145.5
Date: 2021-08-19
Venue: Phillip
Source: press:https://www.hkcd.com/content/2021-08/19/content_1288310.html — published closing quote 145.5, -14.9% vs offer; venue Phillip. GPT archive review, 4 October 2026.</t>
      </text>
    </comment>
    <comment ref="AK68" authorId="1" shapeId="0">
      <text>
        <t>China Biotech ETF (HS biotech proxy)
Previous trading close to listing-day close (2021-08-20).
Benchmark return in percent; not the index level or excess return.</t>
      </text>
    </comment>
    <comment ref="AP68" authorId="1" shapeId="0">
      <text>
        <t>Horizon close: 2021-08-27
5/21/63 traded sessions after debut; price-only return vs offer.</t>
      </text>
    </comment>
    <comment ref="AQ68" authorId="1" shapeId="0">
      <text>
        <t>Horizon close: 2021-09-20
5/21/63 traded sessions after debut; price-only return vs offer.</t>
      </text>
    </comment>
    <comment ref="AR68" authorId="1" shapeId="0">
      <text>
        <t>Horizon close: 2021-11-23
5/21/63 traded sessions after debut; price-only return vs offer.</t>
      </text>
    </comment>
    <comment ref="AI69" authorId="0" shapeId="0">
      <text>
        <t>Close: HK$17.76
Date: 2021-08-23
Venue: Phillip
Source: press:https://www.stheadline.com/daily-finance/1759894/先瑞達暗盤挫25-專家料新股續低迷 — published closing quote 17.76, -25.38% vs offer; venue Phillip. GPT archive review, 4 October 2026.</t>
      </text>
    </comment>
    <comment ref="AK69" authorId="1" shapeId="0">
      <text>
        <t>China Biotech ETF (HS biotech proxy)
Previous trading close to listing-day close (2021-08-24).
Benchmark return in percent; not the index level or excess return.</t>
      </text>
    </comment>
    <comment ref="AP69" authorId="1" shapeId="0">
      <text>
        <t>Horizon close: 2021-08-31
5/21/63 traded sessions after debut; price-only return vs offer.</t>
      </text>
    </comment>
    <comment ref="AQ69" authorId="1" shapeId="0">
      <text>
        <t>Horizon close: 2021-09-23
5/21/63 traded sessions after debut; price-only return vs offer.</t>
      </text>
    </comment>
    <comment ref="AR69" authorId="1" shapeId="0">
      <text>
        <t>Horizon close: 2021-11-25
5/21/63 traded sessions after debut; price-only return vs offer.</t>
      </text>
    </comment>
    <comment ref="AI70" authorId="0" shapeId="0">
      <text>
        <t>Close: HK$21
Date: 2021-09-09
Venue: Futu
Source: press:https://news.stcn.com/sd/202109/t20210910_3670946.html — published closing quote 21, +6.22% vs offer; venue Futu. GPT archive review, 4 October 2026.</t>
      </text>
    </comment>
    <comment ref="AK70" authorId="1" shapeId="0">
      <text>
        <t>Hang Seng Commerce &amp; Industry sub-index
Previous trading close to listing-day close (2021-09-10).
Benchmark return in percent; not the index level or excess return.</t>
      </text>
    </comment>
    <comment ref="AP70" authorId="1" shapeId="0">
      <text>
        <t>Horizon close: 2021-09-17
5/21/63 traded sessions after debut; price-only return vs offer.</t>
      </text>
    </comment>
    <comment ref="AQ70" authorId="1" shapeId="0">
      <text>
        <t>Horizon close: 2021-10-15
5/21/63 traded sessions after debut; price-only return vs offer.</t>
      </text>
    </comment>
    <comment ref="AR70" authorId="1" shapeId="0">
      <text>
        <t>Horizon close: 2021-12-14
5/21/63 traded sessions after debut; price-only return vs offer.</t>
      </text>
    </comment>
    <comment ref="AI71" authorId="0" shapeId="0">
      <text>
        <t>Close: HK$16.72
Date: 2021-09-23
Venue: Phillip
Source: press:https://www.wenweipo.com/epaper/view/newsDetail/1441097426827087872.html — published closing quote 16.72, -10.6% vs offer; venue Phillip. GPT archive review, 4 October 2026.</t>
      </text>
    </comment>
    <comment ref="AK71" authorId="1" shapeId="0">
      <text>
        <t>China Biotech ETF (HS biotech proxy)
Previous trading close to listing-day close (2021-09-24).
Benchmark return in percent; not the index level or excess return.</t>
      </text>
    </comment>
    <comment ref="AP71" authorId="1" shapeId="0">
      <text>
        <t>Horizon close: 2021-10-04
5/21/63 traded sessions after debut; price-only return vs offer.</t>
      </text>
    </comment>
    <comment ref="AQ71" authorId="1" shapeId="0">
      <text>
        <t>Horizon close: 2021-10-28
5/21/63 traded sessions after debut; price-only return vs offer.</t>
      </text>
    </comment>
    <comment ref="AR71" authorId="1" shapeId="0">
      <text>
        <t>Horizon close: 2021-12-28
5/21/63 traded sessions after debut; price-only return vs offer.</t>
      </text>
    </comment>
    <comment ref="AI72" authorId="0" shapeId="0">
      <text>
        <t>Close: HK$7.5
Date: 2021-09-28
Venue: Phillip (etnet news story)
Source: etnet:news https://www.etnet.com.hk/www/tc/stocks/ipo-news-article/20210928538/</t>
      </text>
    </comment>
    <comment ref="AK72" authorId="1" shapeId="0">
      <text>
        <t>Hang Seng Finance sub-index
Previous trading close to listing-day close (2021-09-29).
Benchmark return in percent; not the index level or excess return.</t>
      </text>
    </comment>
    <comment ref="AP72" authorId="1" shapeId="0">
      <text>
        <t>Horizon close: 2021-10-07
5/21/63 traded sessions after debut; price-only return vs offer.</t>
      </text>
    </comment>
    <comment ref="AQ72" authorId="1" shapeId="0">
      <text>
        <t>Horizon close: 2021-11-02
5/21/63 traded sessions after debut; price-only return vs offer.</t>
      </text>
    </comment>
    <comment ref="AR72" authorId="1" shapeId="0">
      <text>
        <t>Horizon close: 2021-12-31
5/21/63 traded sessions after debut; price-only return vs offer.</t>
      </text>
    </comment>
    <comment ref="AI73" authorId="0" shapeId="0">
      <text>
        <t>Close: HK$13.16
Date: 2021-09-28
Venue: Phillip (etnet news story)
Source: etnet:news https://www.etnet.com.hk/www/tc/stocks/ipo-news-article/20210928589/</t>
      </text>
    </comment>
    <comment ref="AK73" authorId="1" shapeId="0">
      <text>
        <t>China Biotech ETF (HS biotech proxy)
Previous trading close to listing-day close (2021-09-29).
Benchmark return in percent; not the index level or excess return.</t>
      </text>
    </comment>
    <comment ref="AP73" authorId="1" shapeId="0">
      <text>
        <t>Horizon close: 2021-10-07
5/21/63 traded sessions after debut; price-only return vs offer.</t>
      </text>
    </comment>
    <comment ref="AQ73" authorId="1" shapeId="0">
      <text>
        <t>Horizon close: 2021-11-02
5/21/63 traded sessions after debut; price-only return vs offer.</t>
      </text>
    </comment>
    <comment ref="AR73" authorId="1" shapeId="0">
      <text>
        <t>Horizon close: 2021-12-31
5/21/63 traded sessions after debut; price-only return vs offer.</t>
      </text>
    </comment>
    <comment ref="AI74" authorId="0" shapeId="0">
      <text>
        <t>close not verified in the captured sources; historical press archives may hold one</t>
      </text>
    </comment>
    <comment ref="AK74" authorId="1" shapeId="0">
      <text>
        <t>Hang Seng Finance sub-index
Previous trading close to listing-day close (2021-10-04).
Benchmark return in percent; not the index level or excess return.</t>
      </text>
    </comment>
    <comment ref="AP74" authorId="1" shapeId="0">
      <text>
        <t>Horizon close: 2021-10-11
5/21/63 traded sessions after debut; price-only return vs offer.</t>
      </text>
    </comment>
    <comment ref="AQ74" authorId="1" shapeId="0">
      <text>
        <t>Horizon close: 2021-11-04
5/21/63 traded sessions after debut; price-only return vs offer.</t>
      </text>
    </comment>
    <comment ref="AR74" authorId="1" shapeId="0">
      <text>
        <t>Horizon close: 2022-01-04
5/21/63 traded sessions after debut; price-only return vs offer.</t>
      </text>
    </comment>
    <comment ref="H75" authorId="2" shapeId="0">
      <text>
        <t>Formal listing 13 October 2021; first share trading 15 October after Typhoon Kompasu closure. Company announcement: https://www.abbisko.com/newsDetail/90.html</t>
      </text>
    </comment>
    <comment ref="AI75" authorId="0" shapeId="0">
      <text>
        <t>Close: HK$11.56
Date: 2021-10-12
Venue: Futu (etnet news story)
Source: etnet:news https://www.etnet.com.hk/www/tc/stocks/ipo-news-article/20211012203/</t>
      </text>
    </comment>
    <comment ref="AK75" authorId="1" shapeId="0">
      <text>
        <t>China Biotech ETF (HS biotech proxy)
Previous trading close to listing-day close (2021-10-15).
Benchmark return in percent; not the index level or excess return.</t>
      </text>
    </comment>
    <comment ref="AP75" authorId="1" shapeId="0">
      <text>
        <t>Horizon close: 2021-10-22
5/21/63 traded sessions after debut; price-only return vs offer.</t>
      </text>
    </comment>
    <comment ref="AQ75" authorId="1" shapeId="0">
      <text>
        <t>Horizon close: 2021-11-15
5/21/63 traded sessions after debut; price-only return vs offer.</t>
      </text>
    </comment>
    <comment ref="AR75" authorId="1" shapeId="0">
      <text>
        <t>Horizon close: 2022-01-13
5/21/63 traded sessions after debut; price-only return vs offer.</t>
      </text>
    </comment>
    <comment ref="AI76" authorId="0" shapeId="0">
      <text>
        <t>Close: HK$30.9
Date: 2021-10-18
Venue: Phillip
Source: press:https://www.stheadline.com/opinion/3482231/微泰今掛牌-暗盤升33 — published closing quote 30.9, +1.3% vs offer; venue Phillip. GPT archive review, 4 October 2026.</t>
      </text>
    </comment>
    <comment ref="AK76" authorId="1" shapeId="0">
      <text>
        <t>China Biotech ETF (HS biotech proxy)
Previous trading close to listing-day close (2021-10-19).
Benchmark return in percent; not the index level or excess return.</t>
      </text>
    </comment>
    <comment ref="AP76" authorId="1" shapeId="0">
      <text>
        <t>Horizon close: 2021-10-26
5/21/63 traded sessions after debut; price-only return vs offer.</t>
      </text>
    </comment>
    <comment ref="AQ76" authorId="1" shapeId="0">
      <text>
        <t>Horizon close: 2021-11-17
5/21/63 traded sessions after debut; price-only return vs offer.</t>
      </text>
    </comment>
    <comment ref="AR76" authorId="1" shapeId="0">
      <text>
        <t>Horizon close: 2022-01-17
5/21/63 traded sessions after debut; price-only return vs offer.</t>
      </text>
    </comment>
    <comment ref="AI77" authorId="0" shapeId="0">
      <text>
        <t>Close: HK$40.15
Date: 2021-11-01
Venue: Phillip (etnet news story)
Source: etnet:news https://www.etnet.com.hk/www/tc/stocks/ipo-news-article/20211101938/</t>
      </text>
    </comment>
    <comment ref="AK77" authorId="1" shapeId="0">
      <text>
        <t>China Biotech ETF (HS biotech proxy)
Previous trading close to listing-day close (2021-11-02).
Benchmark return in percent; not the index level or excess return.</t>
      </text>
    </comment>
    <comment ref="AP77" authorId="1" shapeId="0">
      <text>
        <t>Horizon close: 2021-11-09
5/21/63 traded sessions after debut; price-only return vs offer.</t>
      </text>
    </comment>
    <comment ref="AQ77" authorId="1" shapeId="0">
      <text>
        <t>Horizon close: 2021-12-01
5/21/63 traded sessions after debut; price-only return vs offer.</t>
      </text>
    </comment>
    <comment ref="AR77" authorId="1" shapeId="0">
      <text>
        <t>Horizon close: 2022-01-31
5/21/63 traded sessions after debut; price-only return vs offer.</t>
      </text>
    </comment>
    <comment ref="AI78" authorId="0" shapeId="0">
      <text>
        <t>Close: HK$73
Date: 2021-11-04
Venue: press; venue not stated for this quote
Source: press:https://www.am730.com.hk/財經/新股登場-三葉草鷹瞳暗盤齊破底/293172 — published closing quote 73, -2.8% vs offer; venue press; venue not stated for this quote. GPT archive review, 4 October 2026.</t>
      </text>
    </comment>
    <comment ref="AK78" authorId="1" shapeId="0">
      <text>
        <t>China Biotech ETF (HS biotech proxy)
Previous trading close to listing-day close (2021-11-05).
Benchmark return in percent; not the index level or excess return.</t>
      </text>
    </comment>
    <comment ref="AP78" authorId="1" shapeId="0">
      <text>
        <t>Horizon close: 2021-11-12
5/21/63 traded sessions after debut; price-only return vs offer.</t>
      </text>
    </comment>
    <comment ref="AQ78" authorId="1" shapeId="0">
      <text>
        <t>Horizon close: 2021-12-06
5/21/63 traded sessions after debut; price-only return vs offer.</t>
      </text>
    </comment>
    <comment ref="AR78" authorId="1" shapeId="0">
      <text>
        <t>Horizon close: 2022-02-08
5/21/63 traded sessions after debut; price-only return vs offer.</t>
      </text>
    </comment>
    <comment ref="AI79" authorId="0" shapeId="0">
      <text>
        <t>Close: HK$13.22
Date: 2021-11-04
Venue: Phillip
Source: press:https://www.am730.com.hk/財經/新股登場-三葉草鷹瞳暗盤齊破底/293172 — published closing quote 13.22, -1.2% vs offer; venue Phillip. GPT archive review, 4 October 2026.</t>
      </text>
    </comment>
    <comment ref="AK79" authorId="1" shapeId="0">
      <text>
        <t>China Biotech ETF (HS biotech proxy)
Previous trading close to listing-day close (2021-11-05).
Benchmark return in percent; not the index level or excess return.</t>
      </text>
    </comment>
    <comment ref="AP79" authorId="1" shapeId="0">
      <text>
        <t>Horizon close: 2021-11-12
5/21/63 traded sessions after debut; price-only return vs offer.</t>
      </text>
    </comment>
    <comment ref="AQ79" authorId="1" shapeId="0">
      <text>
        <t>Horizon close: 2021-12-06
5/21/63 traded sessions after debut; price-only return vs offer.</t>
      </text>
    </comment>
    <comment ref="AR79" authorId="1" shapeId="0">
      <text>
        <t>Horizon close: 2022-02-08
5/21/63 traded sessions after debut; price-only return vs offer.</t>
      </text>
    </comment>
    <comment ref="AI80" authorId="0" shapeId="0">
      <text>
        <t>Close: HK$6.4
Date: 2021-11-05
Venue: Bright Smart
Source: press:https://www.bastillepost.com/hongkong/article/9582755-三葉草上市翌日暴跌三成 — published closing quote 6.4, -4.5% vs offer; venue Bright Smart. GPT archive review, 4 October 2026.</t>
      </text>
    </comment>
    <comment ref="AK80" authorId="1" shapeId="0">
      <text>
        <t>Hang Seng Index
Previous trading close to listing-day close (2021-11-08).
Benchmark return in percent; not the index level or excess return.</t>
      </text>
    </comment>
    <comment ref="AP80" authorId="1" shapeId="0">
      <text>
        <t>Horizon close: 2021-11-15
5/21/63 traded sessions after debut; price-only return vs offer.</t>
      </text>
    </comment>
    <comment ref="AQ80" authorId="1" shapeId="0">
      <text>
        <t>Horizon close: 2021-12-07
5/21/63 traded sessions after debut; price-only return vs offer.</t>
      </text>
    </comment>
    <comment ref="AR80" authorId="1" shapeId="0">
      <text>
        <t>Horizon close: 2022-02-09
5/21/63 traded sessions after debut; price-only return vs offer.</t>
      </text>
    </comment>
    <comment ref="AI81" authorId="0" shapeId="0">
      <text>
        <t>Close: HK$8.2
Date: 2021-11-09
Venue: Phillip (etnet news story)
Source: etnet:news https://www.etnet.com.hk/www/tc/stocks/ipo-news-article/20211109933/</t>
      </text>
    </comment>
    <comment ref="AK81" authorId="1" shapeId="0">
      <text>
        <t>Hang Seng Properties sub-index
Previous trading close to listing-day close (2021-11-10).
Benchmark return in percent; not the index level or excess return.</t>
      </text>
    </comment>
    <comment ref="AP81" authorId="1" shapeId="0">
      <text>
        <t>Horizon close: 2021-11-17
5/21/63 traded sessions after debut; price-only return vs offer.</t>
      </text>
    </comment>
    <comment ref="AQ81" authorId="1" shapeId="0">
      <text>
        <t>Horizon close: 2021-12-09
5/21/63 traded sessions after debut; price-only return vs offer.</t>
      </text>
    </comment>
    <comment ref="AR81" authorId="1" shapeId="0">
      <text>
        <t>Horizon close: 2022-02-11
5/21/63 traded sessions after debut; price-only return vs offer.</t>
      </text>
    </comment>
    <comment ref="AI82" authorId="0" shapeId="0">
      <text>
        <t>Close: HK$1.03
Date: 2021-11-11
Venue: Phillip
Source: press:https://www.stheadline.com/realtime-finance/2177240/回應監管問詢-貝特押後上市 — published closing quote 1.03, +0.98% vs offer; venue Phillip. GPT archive review, 4 October 2026.</t>
      </text>
    </comment>
    <comment ref="AK82" authorId="1" shapeId="0">
      <text>
        <t>Hang Seng Commerce &amp; Industry sub-index
Previous trading close to listing-day close (2021-11-12).
Benchmark return in percent; not the index level or excess return.</t>
      </text>
    </comment>
    <comment ref="AP82" authorId="1" shapeId="0">
      <text>
        <t>Horizon close: 2021-11-19
5/21/63 traded sessions after debut; price-only return vs offer.</t>
      </text>
    </comment>
    <comment ref="AQ82" authorId="1" shapeId="0">
      <text>
        <t>Horizon close: 2021-12-13
5/21/63 traded sessions after debut; price-only return vs offer.</t>
      </text>
    </comment>
    <comment ref="AR82" authorId="1" shapeId="0">
      <text>
        <t>Horizon close: 2022-02-15
5/21/63 traded sessions after debut; price-only return vs offer.</t>
      </text>
    </comment>
    <comment ref="AI83" authorId="0" shapeId="0">
      <text>
        <t>Close: HK$200.4
Date: 2021-12-01
Venue: Phillip (etnet news story)
Source: etnet:news https://www.etnet.com.hk/www/tc/stocks/ipo-news-article/20211201939/</t>
      </text>
    </comment>
    <comment ref="AK83" authorId="1" shapeId="0">
      <text>
        <t>HSTECH (Hang Seng TECH ETF)
Previous trading close to listing-day close (2021-12-02).
Benchmark return in percent; not the index level or excess return.</t>
      </text>
    </comment>
    <comment ref="AP83" authorId="1" shapeId="0">
      <text>
        <t>Horizon close: 2021-12-09
5/21/63 traded sessions after debut; price-only return vs offer.</t>
      </text>
    </comment>
    <comment ref="AQ83" authorId="1" shapeId="0">
      <text>
        <t>Horizon close: 2022-01-03
5/21/63 traded sessions after debut; price-only return vs offer.</t>
      </text>
    </comment>
    <comment ref="AR83" authorId="1" shapeId="0">
      <text>
        <t>Horizon close: 2022-03-07
5/21/63 traded sessions after debut; price-only return vs offer.</t>
      </text>
    </comment>
    <comment ref="AI84" authorId="0" shapeId="0">
      <text>
        <t>Close: HK$256
Date: 2021-12-07
Venue: Phillip (etnet news story)
Source: etnet:news https://www.etnet.com.hk/www/tc/stocks/ipo-news-article/20211207939/</t>
      </text>
    </comment>
    <comment ref="AK84" authorId="1" shapeId="0">
      <text>
        <t>HSTECH (Hang Seng TECH ETF)
Previous trading close to listing-day close (2021-12-08).
Benchmark return in percent; not the index level or excess return.</t>
      </text>
    </comment>
    <comment ref="AP84" authorId="1" shapeId="0">
      <text>
        <t>Horizon close: 2021-12-15
5/21/63 traded sessions after debut; price-only return vs offer.</t>
      </text>
    </comment>
    <comment ref="AQ84" authorId="1" shapeId="0">
      <text>
        <t>Horizon close: 2022-01-07
5/21/63 traded sessions after debut; price-only return vs offer.</t>
      </text>
    </comment>
    <comment ref="AR84" authorId="1" shapeId="0">
      <text>
        <t>Horizon close: 2022-03-11
5/21/63 traded sessions after debut; price-only return vs offer.</t>
      </text>
    </comment>
    <comment ref="AI85" authorId="0" shapeId="0">
      <text>
        <t>Close: HK$11
Date: 2021-12-09
Venue: broker report; venue not stated
Source: press:https://www.swhyhk.com/storage/app/media/research/equities/2021/_2021.12.10.pdf — published closing quote 11, -9.69% vs offer; venue broker report; venue not stated. GPT archive review, 4 October 2026.</t>
      </text>
    </comment>
    <comment ref="AK85" authorId="1" shapeId="0">
      <text>
        <t>China Biotech ETF (HS biotech proxy)
Previous trading close to listing-day close (2021-12-10).
Benchmark return in percent; not the index level or excess return.</t>
      </text>
    </comment>
    <comment ref="AP85" authorId="1" shapeId="0">
      <text>
        <t>Horizon close: 2021-12-17
5/21/63 traded sessions after debut; price-only return vs offer.</t>
      </text>
    </comment>
    <comment ref="AQ85" authorId="1" shapeId="0">
      <text>
        <t>Horizon close: 2022-01-11
5/21/63 traded sessions after debut; price-only return vs offer.</t>
      </text>
    </comment>
    <comment ref="AR85" authorId="1" shapeId="0">
      <text>
        <t>Horizon close: 2022-03-15
5/21/63 traded sessions after debut; price-only return vs offer.</t>
      </text>
    </comment>
    <comment ref="AI86" authorId="0" shapeId="0">
      <text>
        <t>Close: HK$34.4
Date: 2021-12-09
Venue: broker report; venue not stated
Source: press:https://www.swhyhk.com/storage/app/media/research/equities/2021/_2021.12.10.pdf — published closing quote 34.4, +18.62% vs offer; venue broker report; venue not stated. GPT archive review, 4 October 2026.</t>
      </text>
    </comment>
    <comment ref="AK86" authorId="1" shapeId="0">
      <text>
        <t>China Biotech ETF (HS biotech proxy)
Previous trading close to listing-day close (2021-12-10).
Benchmark return in percent; not the index level or excess return.</t>
      </text>
    </comment>
    <comment ref="AP86" authorId="1" shapeId="0">
      <text>
        <t>Horizon close: 2021-12-17
5/21/63 traded sessions after debut; price-only return vs offer.</t>
      </text>
    </comment>
    <comment ref="AQ86" authorId="1" shapeId="0">
      <text>
        <t>Horizon close: 2022-01-11
5/21/63 traded sessions after debut; price-only return vs offer.</t>
      </text>
    </comment>
    <comment ref="AR86" authorId="1" shapeId="0">
      <text>
        <t>Horizon close: 2022-03-15
5/21/63 traded sessions after debut; price-only return vs offer.</t>
      </text>
    </comment>
    <comment ref="AI87" authorId="0" shapeId="0">
      <text>
        <t>Close: HK$371
Date: 2021-12-09
Venue: broker report; venue not stated
Source: press:https://www.swhyhk.com/storage/app/media/research/equities/2021/_2021.12.10.pdf — published closing quote 371, -4.38% vs offer; venue broker report; venue not stated. GPT archive review, 4 October 2026.</t>
      </text>
    </comment>
    <comment ref="AK87" authorId="1" shapeId="0">
      <text>
        <t>China Biotech ETF (HS biotech proxy)
Previous trading close to listing-day close (2021-12-10).
Benchmark return in percent; not the index level or excess return.</t>
      </text>
    </comment>
    <comment ref="AP87" authorId="1" shapeId="0">
      <text>
        <t>Horizon close: 2021-12-17
5/21/63 traded sessions after debut; price-only return vs offer.</t>
      </text>
    </comment>
    <comment ref="AQ87" authorId="1" shapeId="0">
      <text>
        <t>Horizon close: 2022-01-11
5/21/63 traded sessions after debut; price-only return vs offer.</t>
      </text>
    </comment>
    <comment ref="AR87" authorId="1" shapeId="0">
      <text>
        <t>Horizon close: 2022-03-15
5/21/63 traded sessions after debut; price-only return vs offer.</t>
      </text>
    </comment>
    <comment ref="AI88" authorId="0" shapeId="0">
      <text>
        <t>Close: HK$15.24
Date: 2021-12-10
Venue: Phillip (etnet news story)
Source: etnet:news https://www.etnet.com.hk/www/tc/stocks/ipo-news-article/20211210939/</t>
      </text>
    </comment>
    <comment ref="AK88" authorId="1" shapeId="0">
      <text>
        <t>China Biotech ETF (HS biotech proxy)
Previous trading close to listing-day close (2021-12-13).
Benchmark return in percent; not the index level or excess return.</t>
      </text>
    </comment>
    <comment ref="AP88" authorId="1" shapeId="0">
      <text>
        <t>Horizon close: 2021-12-20
5/21/63 traded sessions after debut; price-only return vs offer.</t>
      </text>
    </comment>
    <comment ref="AQ88" authorId="1" shapeId="0">
      <text>
        <t>Horizon close: 2022-01-12
5/21/63 traded sessions after debut; price-only return vs offer.</t>
      </text>
    </comment>
    <comment ref="AR88" authorId="1" shapeId="0">
      <text>
        <t>Horizon close: 2022-03-16
5/21/63 traded sessions after debut; price-only return vs offer.</t>
      </text>
    </comment>
    <comment ref="AI89" authorId="0" shapeId="0">
      <text>
        <t>Close: HK$16.04
Date: 2021-12-13
Venue: Phillip (etnet news story)
Source: etnet:news https://www.etnet.com.hk/www/tc/stocks/ipo-news-article/20211213559/</t>
      </text>
    </comment>
    <comment ref="AK89" authorId="1" shapeId="0">
      <text>
        <t>Hang Seng Commerce &amp; Industry sub-index
Previous trading close to listing-day close (2021-12-14).
Benchmark return in percent; not the index level or excess return.</t>
      </text>
    </comment>
    <comment ref="AP89" authorId="1" shapeId="0">
      <text>
        <t>Horizon close: 2021-12-21
5/21/63 traded sessions after debut; price-only return vs offer.</t>
      </text>
    </comment>
    <comment ref="AQ89" authorId="1" shapeId="0">
      <text>
        <t>Horizon close: 2022-01-13
5/21/63 traded sessions after debut; price-only return vs offer.</t>
      </text>
    </comment>
    <comment ref="AR89" authorId="1" shapeId="0">
      <text>
        <t>Horizon close: 2022-03-17
5/21/63 traded sessions after debut; price-only return vs offer.</t>
      </text>
    </comment>
    <comment ref="AI90" authorId="0" shapeId="0">
      <text>
        <t>Close: HK$4.48
Date: 2021-12-15
Venue: Phillip (same report context)
Source: press:https://orientaldaily.on.cc/content/產經/odn-20211216-1216_00202_003/港今年新股集資額量料縮 — published closing quote 4.48, +0.44% vs offer; venue Phillip (same report context). GPT archive review, 4 October 2026.</t>
      </text>
    </comment>
    <comment ref="AK90" authorId="1" shapeId="0">
      <text>
        <t>China Biotech ETF (HS biotech proxy)
Previous trading close to listing-day close (2021-12-16).
Benchmark return in percent; not the index level or excess return.</t>
      </text>
    </comment>
    <comment ref="AP90" authorId="1" shapeId="0">
      <text>
        <t>Horizon close: 2021-12-23
5/21/63 traded sessions after debut; price-only return vs offer.</t>
      </text>
    </comment>
    <comment ref="AQ90" authorId="1" shapeId="0">
      <text>
        <t>Horizon close: 2022-01-17
5/21/63 traded sessions after debut; price-only return vs offer.</t>
      </text>
    </comment>
    <comment ref="AR90" authorId="1" shapeId="0">
      <text>
        <t>Horizon close: 2022-03-21
5/21/63 traded sessions after debut; price-only return vs offer.</t>
      </text>
    </comment>
    <comment ref="AI91" authorId="0" shapeId="0">
      <text>
        <t>Close: HK$10.2
Date: 2021-12-15
Venue: Phillip
Source: press:https://orientaldaily.on.cc/content/產經/odn-20211216-1216_00202_003/港今年新股集資額量料縮 — published closing quote 10.2, -8.92% vs offer; venue Phillip. GPT archive review, 4 October 2026.</t>
      </text>
    </comment>
    <comment ref="AK91" authorId="1" shapeId="0">
      <text>
        <t>Hang Seng Index
Previous trading close to listing-day close (2021-12-16).
Benchmark return in percent; not the index level or excess return.</t>
      </text>
    </comment>
    <comment ref="AP91" authorId="1" shapeId="0">
      <text>
        <t>Horizon close: 2021-12-23
5/21/63 traded sessions after debut; price-only return vs offer.</t>
      </text>
    </comment>
    <comment ref="AQ91" authorId="1" shapeId="0">
      <text>
        <t>Horizon close: 2022-01-17
5/21/63 traded sessions after debut; price-only return vs offer.</t>
      </text>
    </comment>
    <comment ref="AR91" authorId="1" shapeId="0">
      <text>
        <t>Horizon close: 2022-03-21
5/21/63 traded sessions after debut; price-only return vs offer.</t>
      </text>
    </comment>
    <comment ref="AI92" authorId="0" shapeId="0">
      <text>
        <t>Close: HK$1.19
Date: 2021-12-16
Venue: Livermore
Source: press:https://hk.stockstar.com/IG2021121600009678.shtml — published closing quote 1.19, +7.21% vs offer; venue Livermore. GPT archive review, 4 October 2026.</t>
      </text>
    </comment>
    <comment ref="AK92" authorId="1" shapeId="0">
      <text>
        <t>Hang Seng Properties sub-index
Previous trading close to listing-day close (2021-12-17).
Benchmark return in percent; not the index level or excess return.</t>
      </text>
    </comment>
    <comment ref="AP92" authorId="1" shapeId="0">
      <text>
        <t>Horizon close: 2021-12-24
5/21/63 traded sessions after debut; price-only return vs offer.</t>
      </text>
    </comment>
    <comment ref="AQ92" authorId="1" shapeId="0">
      <text>
        <t>Horizon close: 2022-01-18
5/21/63 traded sessions after debut; price-only return vs offer.</t>
      </text>
    </comment>
    <comment ref="AR92" authorId="1" shapeId="0">
      <text>
        <t>Horizon close: 2022-03-22
5/21/63 traded sessions after debut; price-only return vs offer.</t>
      </text>
    </comment>
    <comment ref="AI93" authorId="0" shapeId="0">
      <text>
        <t>Close: HK$20.3
Date: 2021-12-22
Venue: Phillip
Source: press:https://www.bastillepost.com/hongkong/article/9856182-新股速遞｜百心安2185暗盤潛水-一手蝕最少475元 — published closing quote 20.3, -4.47% vs offer; venue Phillip. GPT archive review, 4 October 2026.</t>
      </text>
    </comment>
    <comment ref="AK93" authorId="1" shapeId="0">
      <text>
        <t>China Biotech ETF (HS biotech proxy)
Previous trading close to listing-day close (2021-12-23).
Benchmark return in percent; not the index level or excess return.</t>
      </text>
    </comment>
    <comment ref="AP93" authorId="1" shapeId="0">
      <text>
        <t>Horizon close: 2021-12-31
5/21/63 traded sessions after debut; price-only return vs offer.</t>
      </text>
    </comment>
    <comment ref="AQ93" authorId="1" shapeId="0">
      <text>
        <t>Horizon close: 2022-01-24
5/21/63 traded sessions after debut; price-only return vs offer.</t>
      </text>
    </comment>
    <comment ref="AR93" authorId="1" shapeId="0">
      <text>
        <t>Horizon close: 2022-03-28
5/21/63 traded sessions after debut; price-only return vs offer.</t>
      </text>
    </comment>
    <comment ref="AI94" authorId="0" shapeId="0">
      <text>
        <t>Close: HK$50.25
Date: 2021-12-29
Venue: Phillip (same report context)
Source: press:https://dw-media.tkww.hk/epaper/hker/20211230/p16-1230.pdf — published closing quote 50.25, +15.3% vs offer; venue Phillip (same report context). GPT archive review, 4 October 2026.</t>
      </text>
    </comment>
    <comment ref="AK94" authorId="1" shapeId="0">
      <text>
        <t>Hang Seng Commerce &amp; Industry sub-index
Previous trading close to listing-day close (2021-12-30).
Benchmark return in percent; not the index level or excess return.</t>
      </text>
    </comment>
    <comment ref="AP94" authorId="1" shapeId="0">
      <text>
        <t>Horizon close: 2022-01-06
5/21/63 traded sessions after debut; price-only return vs offer.</t>
      </text>
    </comment>
    <comment ref="AQ94" authorId="1" shapeId="0">
      <text>
        <t>Horizon close: 2022-01-28
5/21/63 traded sessions after debut; price-only return vs offer.</t>
      </text>
    </comment>
    <comment ref="AR94" authorId="1" shapeId="0">
      <text>
        <t>Horizon close: 2022-04-01
5/21/63 traded sessions after debut; price-only return vs offer.</t>
      </text>
    </comment>
    <comment ref="AI95" authorId="0" shapeId="0">
      <text>
        <t>Close: HK$65.95
Date: 2021-12-29
Venue: Phillip
Source: press:https://dw-media.tkww.hk/epaper/hker/20211230/p16-1230.pdf — published closing quote 65.95, +0.076% vs offer; venue Phillip. GPT archive review, 4 October 2026.</t>
      </text>
    </comment>
    <comment ref="AK95" authorId="1" shapeId="0">
      <text>
        <t>China Biotech ETF (HS biotech proxy)
Previous trading close to listing-day close (2021-12-30).
Benchmark return in percent; not the index level or excess return.</t>
      </text>
    </comment>
    <comment ref="AP95" authorId="1" shapeId="0">
      <text>
        <t>Horizon close: 2022-01-06
5/21/63 traded sessions after debut; price-only return vs offer.</t>
      </text>
    </comment>
    <comment ref="AQ95" authorId="1" shapeId="0">
      <text>
        <t>Horizon close: 2022-01-28
5/21/63 traded sessions after debut; price-only return vs offer.</t>
      </text>
    </comment>
    <comment ref="AR95" authorId="1" shapeId="0">
      <text>
        <t>Horizon close: 2022-04-01
5/21/63 traded sessions after debut; price-only return vs offer.</t>
      </text>
    </comment>
    <comment ref="AI96" authorId="0" shapeId="0">
      <text>
        <t>Close: HK$3.83
Date: 2021-12-29
Venue: Phillip (etnet news story)
Source: etnet:news https://www.etnet.com.hk/www/tc/stocks/ipo-news-article/20211229939/</t>
      </text>
    </comment>
    <comment ref="AK96" authorId="1" shapeId="0">
      <text>
        <t>HSTECH (Hang Seng TECH ETF)
Previous trading close to listing-day close (2021-12-30).
Benchmark return in percent; not the index level or excess return.</t>
      </text>
    </comment>
    <comment ref="AP96" authorId="1" shapeId="0">
      <text>
        <t>Horizon close: 2022-01-06
5/21/63 traded sessions after debut; price-only return vs offer.</t>
      </text>
    </comment>
    <comment ref="AQ96" authorId="1" shapeId="0">
      <text>
        <t>Horizon close: 2022-01-28
5/21/63 traded sessions after debut; price-only return vs offer.</t>
      </text>
    </comment>
    <comment ref="AR96" authorId="1" shapeId="0">
      <text>
        <t>Horizon close: 2022-04-01
5/21/63 traded sessions after debut; price-only return vs offer.</t>
      </text>
    </comment>
    <comment ref="AI97" authorId="0" shapeId="0">
      <text>
        <t>Close: HK$1.26
Date: 2022-01-10
Venue: Phillip (etnet news story)
Source: etnet:news https://www.etnet.com.hk/www/tc/stocks/ipo-news-article/20220110208/</t>
      </text>
    </comment>
    <comment ref="AK97" authorId="1" shapeId="0">
      <text>
        <t>Hang Seng Commerce &amp; Industry sub-index
Previous trading close to listing-day close (2022-01-11).
Benchmark return in percent; not the index level or excess return.</t>
      </text>
    </comment>
    <comment ref="AP97" authorId="1" shapeId="0">
      <text>
        <t>Horizon close: 2022-01-18
5/21/63 traded sessions after debut; price-only return vs offer.</t>
      </text>
    </comment>
    <comment ref="AQ97" authorId="1" shapeId="0">
      <text>
        <t>Horizon close: 2022-02-14
5/21/63 traded sessions after debut; price-only return vs offer.</t>
      </text>
    </comment>
    <comment ref="AR97" authorId="1" shapeId="0">
      <text>
        <t>Horizon close: 2022-04-14
5/21/63 traded sessions after debut; price-only return vs offer.</t>
      </text>
    </comment>
    <comment ref="AI98" authorId="0" shapeId="0">
      <text>
        <t>Close: HK$27.85
Date: 2022-01-13
Venue: Phillip
Source: press:https://www.stheadline.com/realtime-finance/3020145/新股速遞｜金力永磁6680雙暗盤潛水-一手蝕最多1190元 — published closing quote 27.85, -17.6% vs offer; venue Phillip. GPT archive review, 4 October 2026.</t>
      </text>
    </comment>
    <comment ref="AK98" authorId="1" shapeId="0">
      <text>
        <t>Hang Seng Commerce &amp; Industry sub-index
Previous trading close to listing-day close (2022-01-14).
Benchmark return in percent; not the index level or excess return.</t>
      </text>
    </comment>
    <comment ref="AP98" authorId="1" shapeId="0">
      <text>
        <t>Horizon close: 2022-01-21
5/21/63 traded sessions after debut; price-only return vs offer.</t>
      </text>
    </comment>
    <comment ref="AQ98" authorId="1" shapeId="0">
      <text>
        <t>Horizon close: 2022-02-17
5/21/63 traded sessions after debut; price-only return vs offer.</t>
      </text>
    </comment>
    <comment ref="AR98" authorId="1" shapeId="0">
      <text>
        <t>Horizon close: 2022-04-21
5/21/63 traded sessions after debut; price-only return vs offer.</t>
      </text>
    </comment>
    <comment ref="AI99" authorId="0" shapeId="0">
      <text>
        <t>Close: HK$2.27
Date: 2022-01-14
Venue: Phillip
Source: press:https://www.wenweipo.com/a/202201/15/AP61e1ddd2e4b03103e0c418ac.html — published closing quote 2.27, +10.73% vs offer; venue Phillip. GPT archive review, 4 October 2026.</t>
      </text>
    </comment>
    <comment ref="AK99" authorId="1" shapeId="0">
      <text>
        <t>Hang Seng Index
Previous trading close to listing-day close (2022-01-17).
Benchmark return in percent; not the index level or excess return.</t>
      </text>
    </comment>
    <comment ref="AP99" authorId="1" shapeId="0">
      <text>
        <t>Horizon close: 2022-01-24
5/21/63 traded sessions after debut; price-only return vs offer.</t>
      </text>
    </comment>
    <comment ref="AQ99" authorId="1" shapeId="0">
      <text>
        <t>Horizon close: 2022-02-18
5/21/63 traded sessions after debut; price-only return vs offer.</t>
      </text>
    </comment>
    <comment ref="AR99" authorId="1" shapeId="0">
      <text>
        <t>Horizon close: 2022-04-22
5/21/63 traded sessions after debut; price-only return vs offer.</t>
      </text>
    </comment>
    <comment ref="AI100" authorId="0" shapeId="0">
      <text>
        <t>Close: HK$25.15
Date: 2022-01-26
Venue: Phillip (etnet news story)
Source: etnet:news https://www.etnet.com.hk/www/tc/stocks/ipo-news-article/20220126395/</t>
      </text>
    </comment>
    <comment ref="AK100" authorId="1" shapeId="0">
      <text>
        <t>HSTECH (Hang Seng TECH ETF)
Previous trading close to listing-day close (2022-01-27).
Benchmark return in percent; not the index level or excess return.</t>
      </text>
    </comment>
    <comment ref="AP100" authorId="1" shapeId="0">
      <text>
        <t>Horizon close: 2022-02-08
5/21/63 traded sessions after debut; price-only return vs offer.</t>
      </text>
    </comment>
    <comment ref="AQ100" authorId="1" shapeId="0">
      <text>
        <t>Horizon close: 2022-03-02
5/21/63 traded sessions after debut; price-only return vs offer.</t>
      </text>
    </comment>
    <comment ref="AR100" authorId="1" shapeId="0">
      <text>
        <t>Horizon close: 2022-05-05
5/21/63 traded sessions after debut; price-only return vs offer.</t>
      </text>
    </comment>
    <comment ref="AI101" authorId="0" shapeId="0">
      <text>
        <t>Close: HK$45.1
Date: 2022-02-17
Venue: Phillip (etnet news story)
Source: etnet:news https://www.etnet.com.hk/www/tc/stocks/ipo-news-article/20220217302/</t>
      </text>
    </comment>
    <comment ref="AK101" authorId="1" shapeId="0">
      <text>
        <t>HSTECH (Hang Seng TECH ETF)
Previous trading close to listing-day close (2022-02-18).
Benchmark return in percent; not the index level or excess return.</t>
      </text>
    </comment>
    <comment ref="AP101" authorId="1" shapeId="0">
      <text>
        <t>Horizon close: 2022-02-25
5/21/63 traded sessions after debut; price-only return vs offer.</t>
      </text>
    </comment>
    <comment ref="AQ101" authorId="1" shapeId="0">
      <text>
        <t>Horizon close: 2022-03-21
5/21/63 traded sessions after debut; price-only return vs offer.</t>
      </text>
    </comment>
    <comment ref="AR101" authorId="1" shapeId="0">
      <text>
        <t>Horizon close: 2022-05-25
5/21/63 traded sessions after debut; price-only return vs offer.</t>
      </text>
    </comment>
    <comment ref="AI102" authorId="0" shapeId="0">
      <text>
        <t>Close: HK$1.6
Date: 2022-02-17
Venue: Phillip (etnet news story)
Source: etnet:news https://www.etnet.com.hk/www/tc/stocks/ipo-news-article/20220217303/</t>
      </text>
    </comment>
    <comment ref="AK102" authorId="1" shapeId="0">
      <text>
        <t>China Biotech ETF (HS biotech proxy)
Previous trading close to listing-day close (2022-02-18).
Benchmark return in percent; not the index level or excess return.</t>
      </text>
    </comment>
    <comment ref="AP102" authorId="1" shapeId="0">
      <text>
        <t>Horizon close: 2022-02-25
5/21/63 traded sessions after debut; price-only return vs offer.</t>
      </text>
    </comment>
    <comment ref="AQ102" authorId="1" shapeId="0">
      <text>
        <t>Horizon close: 2022-03-21
5/21/63 traded sessions after debut; price-only return vs offer.</t>
      </text>
    </comment>
    <comment ref="AR102" authorId="1" shapeId="0">
      <text>
        <t>Horizon close: 2022-05-25
5/21/63 traded sessions after debut; price-only return vs offer.</t>
      </text>
    </comment>
    <comment ref="AI103" authorId="0" shapeId="0">
      <text>
        <t>Close: HK$7.16
Date: 2022-02-22
Venue: Phillip (etnet news story)
Source: etnet:news https://www.etnet.com.hk/www/tc/stocks/ipo-news-article/20220222388/</t>
      </text>
    </comment>
    <comment ref="AK103" authorId="1" shapeId="0">
      <text>
        <t>China Biotech ETF (HS biotech proxy)
Previous trading close to listing-day close (2022-02-23).
Benchmark return in percent; not the index level or excess return.</t>
      </text>
    </comment>
    <comment ref="AP103" authorId="1" shapeId="0">
      <text>
        <t>Horizon close: 2022-03-02
5/21/63 traded sessions after debut; price-only return vs offer.</t>
      </text>
    </comment>
    <comment ref="AQ103" authorId="1" shapeId="0">
      <text>
        <t>Horizon close: 2022-03-24
5/21/63 traded sessions after debut; price-only return vs offer.</t>
      </text>
    </comment>
    <comment ref="AR103" authorId="1" shapeId="0">
      <text>
        <t>Horizon close: 2022-05-30
5/21/63 traded sessions after debut; price-only return vs offer.</t>
      </text>
    </comment>
    <comment ref="AI104" authorId="0" shapeId="0">
      <text>
        <t>Close: HK$13.84
Date: 2022-03-21
Venue: Phillip (etnet news story)
Source: etnet:news https://www.etnet.com.hk/www/tc/stocks/ipo-news-article/20220321399/</t>
      </text>
    </comment>
    <comment ref="AK104" authorId="1" shapeId="0">
      <text>
        <t>China Biotech ETF (HS biotech proxy)
Previous trading close to listing-day close (2022-03-22).
Benchmark return in percent; not the index level or excess return.</t>
      </text>
    </comment>
    <comment ref="AP104" authorId="1" shapeId="0">
      <text>
        <t>Horizon close: 2022-03-29
5/21/63 traded sessions after debut; price-only return vs offer.</t>
      </text>
    </comment>
    <comment ref="AQ104" authorId="1" shapeId="0">
      <text>
        <t>Horizon close: 2022-04-25
5/21/63 traded sessions after debut; price-only return vs offer.</t>
      </text>
    </comment>
    <comment ref="AR104" authorId="1" shapeId="0">
      <text>
        <t>Horizon close: 2022-06-27
5/21/63 traded sessions after debut; price-only return vs offer.</t>
      </text>
    </comment>
    <comment ref="AI105" authorId="0" shapeId="0">
      <text>
        <t>Close: HK$23.15
Date: 2022-03-30
Venue: Phillip (etnet news story)
Source: etnet:news https://www.etnet.com.hk/www/tc/stocks/ipo-news-article/20220330211/</t>
      </text>
    </comment>
    <comment ref="AK105" authorId="1" shapeId="0">
      <text>
        <t>Hang Seng Commerce &amp; Industry sub-index
Previous trading close to listing-day close (2022-03-31).
Benchmark return in percent; not the index level or excess return.</t>
      </text>
    </comment>
    <comment ref="AP105" authorId="1" shapeId="0">
      <text>
        <t>Horizon close: 2022-04-08
5/21/63 traded sessions after debut; price-only return vs offer.</t>
      </text>
    </comment>
    <comment ref="AQ105" authorId="1" shapeId="0">
      <text>
        <t>Horizon close: 2022-05-05
5/21/63 traded sessions after debut; price-only return vs offer.</t>
      </text>
    </comment>
    <comment ref="AR105" authorId="1" shapeId="0">
      <text>
        <t>Horizon close: 2022-07-07
5/21/63 traded sessions after debut; price-only return vs offer.</t>
      </text>
    </comment>
    <comment ref="AI106" authorId="0" shapeId="0">
      <text>
        <t>Close: HK$25.5
Date: 2022-03-30
Venue: Phillip (etnet news story)
Source: etnet:news https://www.etnet.com.hk/www/tc/stocks/ipo-news-article/20220330212/</t>
      </text>
    </comment>
    <comment ref="AK106" authorId="1" shapeId="0">
      <text>
        <t>China Biotech ETF (HS biotech proxy)
Previous trading close to listing-day close (2022-03-31).
Benchmark return in percent; not the index level or excess return.</t>
      </text>
    </comment>
    <comment ref="AP106" authorId="1" shapeId="0">
      <text>
        <t>Horizon close: 2022-04-08
5/21/63 traded sessions after debut; price-only return vs offer.</t>
      </text>
    </comment>
    <comment ref="AQ106" authorId="1" shapeId="0">
      <text>
        <t>Horizon close: 2022-05-05
5/21/63 traded sessions after debut; price-only return vs offer.</t>
      </text>
    </comment>
    <comment ref="AR106" authorId="1" shapeId="0">
      <text>
        <t>Horizon close: 2022-07-07
5/21/63 traded sessions after debut; price-only return vs offer.</t>
      </text>
    </comment>
    <comment ref="AI107" authorId="0" shapeId="0">
      <text>
        <t>Close: HK$4.57
Date: 2022-03-30
Venue: Phillip (etnet news story)
Source: etnet:news https://www.etnet.com.hk/www/tc/stocks/ipo-news-article/20220330213/</t>
      </text>
    </comment>
    <comment ref="AK107" authorId="1" shapeId="0">
      <text>
        <t>Hang Seng Properties sub-index
Previous trading close to listing-day close (2022-03-31).
Benchmark return in percent; not the index level or excess return.</t>
      </text>
    </comment>
    <comment ref="AP107" authorId="1" shapeId="0">
      <text>
        <t>Horizon close: 2022-04-08
5/21/63 traded sessions after debut; price-only return vs offer.</t>
      </text>
    </comment>
    <comment ref="AQ107" authorId="1" shapeId="0">
      <text>
        <t>Horizon close: 2022-05-05
5/21/63 traded sessions after debut; price-only return vs offer.</t>
      </text>
    </comment>
    <comment ref="AR107" authorId="1" shapeId="0">
      <text>
        <t>Horizon close: 2022-07-07
5/21/63 traded sessions after debut; price-only return vs offer.</t>
      </text>
    </comment>
    <comment ref="AI108" authorId="0" shapeId="0">
      <text>
        <t>Close: HK$24.8
Date: 2022-04-21
Venue: Phillip (etnet news story)
Source: etnet:news https://www.etnet.com.hk/www/tc/stocks/ipo-news-article/20220421409/</t>
      </text>
    </comment>
    <comment ref="AK108" authorId="1" shapeId="0">
      <text>
        <t>HSTECH (Hang Seng TECH ETF)
Previous trading close to listing-day close (2022-04-22).
Benchmark return in percent; not the index level or excess return.</t>
      </text>
    </comment>
    <comment ref="AP108" authorId="1" shapeId="0">
      <text>
        <t>Horizon close: 2022-04-29
5/21/63 traded sessions after debut; price-only return vs offer.</t>
      </text>
    </comment>
    <comment ref="AQ108" authorId="1" shapeId="0">
      <text>
        <t>Horizon close: 2022-05-25
5/21/63 traded sessions after debut; price-only return vs offer.</t>
      </text>
    </comment>
    <comment ref="AR108" authorId="1" shapeId="0">
      <text>
        <t>Horizon close: 2022-07-26
5/21/63 traded sessions after debut; price-only return vs offer.</t>
      </text>
    </comment>
    <comment ref="AI109" authorId="0" shapeId="0">
      <text>
        <t>Close: HK$12.26
Date: 2022-04-28
Venue: Phillip (etnet news story)
Source: etnet:news https://www.etnet.com.hk/www/tc/stocks/ipo-news-article/20220428405/</t>
      </text>
    </comment>
    <comment ref="AK109" authorId="1" shapeId="0">
      <text>
        <t>Hang Seng Properties sub-index
Previous trading close to listing-day close (2022-04-29).
Benchmark return in percent; not the index level or excess return.</t>
      </text>
    </comment>
    <comment ref="AP109" authorId="1" shapeId="0">
      <text>
        <t>Horizon close: 2022-05-10
5/21/63 traded sessions after debut; price-only return vs offer.</t>
      </text>
    </comment>
    <comment ref="AQ109" authorId="1" shapeId="0">
      <text>
        <t>Horizon close: 2022-06-01
5/21/63 traded sessions after debut; price-only return vs offer.</t>
      </text>
    </comment>
    <comment ref="AR109" authorId="1" shapeId="0">
      <text>
        <t>Horizon close: 2022-08-02
5/21/63 traded sessions after debut; price-only return vs offer.</t>
      </text>
    </comment>
    <comment ref="AI110" authorId="0" shapeId="0">
      <text>
        <t>Close: HK$7.59
Date: 2022-05-17
Venue: Phillip (etnet news story)
Source: etnet:news https://www.etnet.com.hk/www/tc/stocks/ipo-news-article/20220517422/</t>
      </text>
    </comment>
    <comment ref="AK110" authorId="1" shapeId="0">
      <text>
        <t>China Biotech ETF (HS biotech proxy)
Previous trading close to listing-day close (2022-05-18).
Benchmark return in percent; not the index level or excess return.</t>
      </text>
    </comment>
    <comment ref="AP110" authorId="1" shapeId="0">
      <text>
        <t>Horizon close: 2022-05-25
5/21/63 traded sessions after debut; price-only return vs offer.</t>
      </text>
    </comment>
    <comment ref="AQ110" authorId="1" shapeId="0">
      <text>
        <t>Horizon close: 2022-06-17
5/21/63 traded sessions after debut; price-only return vs offer.</t>
      </text>
    </comment>
    <comment ref="AR110" authorId="1" shapeId="0">
      <text>
        <t>Horizon close: 2022-08-17
5/21/63 traded sessions after debut; price-only return vs offer.</t>
      </text>
    </comment>
    <comment ref="AI111" authorId="0" shapeId="0">
      <text>
        <t>Close: HK$2.15
Date: 2022-06-09
Venue: Phillip (etnet news story)
Source: etnet:news https://www.etnet.com.hk/www/tc/stocks/ipo-news-article/20220609361/</t>
      </text>
    </comment>
    <comment ref="AK111" authorId="1" shapeId="0">
      <text>
        <t>Hang Seng Commerce &amp; Industry sub-index
Previous trading close to listing-day close (2022-06-10).
Benchmark return in percent; not the index level or excess return.</t>
      </text>
    </comment>
    <comment ref="AP111" authorId="1" shapeId="0">
      <text>
        <t>Horizon close: 2022-06-17
5/21/63 traded sessions after debut; price-only return vs offer.</t>
      </text>
    </comment>
    <comment ref="AQ111" authorId="1" shapeId="0">
      <text>
        <t>Horizon close: 2022-07-12
5/21/63 traded sessions after debut; price-only return vs offer.</t>
      </text>
    </comment>
    <comment ref="AR111" authorId="1" shapeId="0">
      <text>
        <t>Horizon close: 2022-09-08
5/21/63 traded sessions after debut; price-only return vs offer.</t>
      </text>
    </comment>
    <comment ref="AI112" authorId="0" shapeId="0">
      <text>
        <t>Close: HK$19.54
Date: 2022-06-21
Venue: Phillip (etnet news story)
Source: etnet:news https://www.etnet.com.hk/www/tc/stocks/ipo-news-article/20220621404/</t>
      </text>
    </comment>
    <comment ref="AK112" authorId="1" shapeId="0">
      <text>
        <t>China Biotech ETF (HS biotech proxy)
Previous trading close to listing-day close (2022-06-22).
Benchmark return in percent; not the index level or excess return.</t>
      </text>
    </comment>
    <comment ref="AP112" authorId="1" shapeId="0">
      <text>
        <t>Horizon close: 2022-06-29
5/21/63 traded sessions after debut; price-only return vs offer.</t>
      </text>
    </comment>
    <comment ref="AQ112" authorId="1" shapeId="0">
      <text>
        <t>Horizon close: 2022-07-22
5/21/63 traded sessions after debut; price-only return vs offer.</t>
      </text>
    </comment>
    <comment ref="AR112" authorId="1" shapeId="0">
      <text>
        <t>Horizon close: 2022-09-21
5/21/63 traded sessions after debut; price-only return vs offer.</t>
      </text>
    </comment>
    <comment ref="AI113" authorId="0" shapeId="0">
      <text>
        <t>Close: HK$21.1
Date: 2022-06-23
Venue: Phillip (etnet news story)
Source: etnet:news https://www.etnet.com.hk/www/tc/stocks/ipo-news-article/20220623407/</t>
      </text>
    </comment>
    <comment ref="AK113" authorId="1" shapeId="0">
      <text>
        <t>Hang Seng Commerce &amp; Industry sub-index
Previous trading close to listing-day close (2022-06-24).
Benchmark return in percent; not the index level or excess return.</t>
      </text>
    </comment>
    <comment ref="AP113" authorId="1" shapeId="0">
      <text>
        <t>Horizon close: 2022-07-04
5/21/63 traded sessions after debut; price-only return vs offer.</t>
      </text>
    </comment>
    <comment ref="AQ113" authorId="1" shapeId="0">
      <text>
        <t>Horizon close: 2022-07-26
5/21/63 traded sessions after debut; price-only return vs offer.</t>
      </text>
    </comment>
    <comment ref="AR113" authorId="1" shapeId="0">
      <text>
        <t>Horizon close: 2022-09-23
5/21/63 traded sessions after debut; price-only return vs offer.</t>
      </text>
    </comment>
    <comment ref="AI114" authorId="0" shapeId="0">
      <text>
        <t>Close: HK$10.82
Date: 2022-06-29
Venue: Phillip (etnet news story)
Source: etnet:news https://www.etnet.com.hk/www/tc/stocks/ipo-news-article/20220629405/</t>
      </text>
    </comment>
    <comment ref="AK114" authorId="1" shapeId="0">
      <text>
        <t>HSTECH (Hang Seng TECH ETF)
Previous trading close to listing-day close (2022-06-30).
Benchmark return in percent; not the index level or excess return.</t>
      </text>
    </comment>
    <comment ref="AP114" authorId="1" shapeId="0">
      <text>
        <t>Horizon close: 2022-07-08
5/21/63 traded sessions after debut; price-only return vs offer.</t>
      </text>
    </comment>
    <comment ref="AQ114" authorId="1" shapeId="0">
      <text>
        <t>Horizon close: 2022-08-01
5/21/63 traded sessions after debut; price-only return vs offer.</t>
      </text>
    </comment>
    <comment ref="AR114" authorId="1" shapeId="0">
      <text>
        <t>Horizon close: 2022-09-29
5/21/63 traded sessions after debut; price-only return vs offer.</t>
      </text>
    </comment>
    <comment ref="AI115" authorId="0" shapeId="0">
      <text>
        <t>Close: HK$0.65
Date: 2022-06-29
Venue: Phillip (etnet news story)
Source: etnet:news https://www.etnet.com.hk/www/tc/stocks/ipo-news-article/20220629406/</t>
      </text>
    </comment>
    <comment ref="AK115" authorId="1" shapeId="0">
      <text>
        <t>Hang Seng Commerce &amp; Industry sub-index
Previous trading close to listing-day close (2022-06-30).
Benchmark return in percent; not the index level or excess return.</t>
      </text>
    </comment>
    <comment ref="AP115" authorId="1" shapeId="0">
      <text>
        <t>Horizon close: 2022-07-08
5/21/63 traded sessions after debut; price-only return vs offer.</t>
      </text>
    </comment>
    <comment ref="AQ115" authorId="1" shapeId="0">
      <text>
        <t>Horizon close: 2022-08-01
5/21/63 traded sessions after debut; price-only return vs offer.</t>
      </text>
    </comment>
    <comment ref="AR115" authorId="1" shapeId="0">
      <text>
        <t>Horizon close: 2022-09-29
5/21/63 traded sessions after debut; price-only return vs offer.</t>
      </text>
    </comment>
    <comment ref="AI116" authorId="0" shapeId="0">
      <text>
        <t>Close: HK$19.62
Date: 2022-07-04
Venue: Phillip (etnet news story)
Source: etnet:news https://www.etnet.com.hk/www/tc/stocks/ipo-news-article/20220704408/</t>
      </text>
    </comment>
    <comment ref="AK116" authorId="1" shapeId="0">
      <text>
        <t>HSTECH (Hang Seng TECH ETF)
Previous trading close to listing-day close (2022-07-05).
Benchmark return in percent; not the index level or excess return.</t>
      </text>
    </comment>
    <comment ref="AP116" authorId="1" shapeId="0">
      <text>
        <t>Horizon close: 2022-07-12
5/21/63 traded sessions after debut; price-only return vs offer.</t>
      </text>
    </comment>
    <comment ref="AQ116" authorId="1" shapeId="0">
      <text>
        <t>Horizon close: 2022-08-03
5/21/63 traded sessions after debut; price-only return vs offer.</t>
      </text>
    </comment>
    <comment ref="AR116" authorId="1" shapeId="0">
      <text>
        <t>Horizon close: 2022-10-03
5/21/63 traded sessions after debut; price-only return vs offer.</t>
      </text>
    </comment>
    <comment ref="AI117" authorId="0" shapeId="0">
      <text>
        <t>Close: HK$30.4
Date: 2022-07-05
Venue: Phillip (etnet news story)
Source: etnet:news https://www.etnet.com.hk/www/tc/stocks/ipo-news-article/20220705393/</t>
      </text>
    </comment>
    <comment ref="AK117" authorId="1" shapeId="0">
      <text>
        <t>China Biotech ETF (HS biotech proxy)
Previous trading close to listing-day close (2022-07-06).
Benchmark return in percent; not the index level or excess return.</t>
      </text>
    </comment>
    <comment ref="AP117" authorId="1" shapeId="0">
      <text>
        <t>Horizon close: 2022-07-13
5/21/63 traded sessions after debut; price-only return vs offer.</t>
      </text>
    </comment>
    <comment ref="AQ117" authorId="1" shapeId="0">
      <text>
        <t>Horizon close: 2022-08-04
5/21/63 traded sessions after debut; price-only return vs offer.</t>
      </text>
    </comment>
    <comment ref="AR117" authorId="1" shapeId="0">
      <text>
        <t>Horizon close: 2022-10-05
5/21/63 traded sessions after debut; price-only return vs offer.</t>
      </text>
    </comment>
    <comment ref="AI118" authorId="0" shapeId="0">
      <text>
        <t>Close: HK$5.64
Date: 2022-07-07
Venue: Phillip (etnet news story)
Source: etnet:news https://www.etnet.com.hk/www/tc/stocks/ipo-news-article/20220707365/</t>
      </text>
    </comment>
    <comment ref="AK118" authorId="1" shapeId="0">
      <text>
        <t>Hang Seng Properties sub-index
Previous trading close to listing-day close (2022-07-08).
Benchmark return in percent; not the index level or excess return.</t>
      </text>
    </comment>
    <comment ref="AP118" authorId="1" shapeId="0">
      <text>
        <t>Horizon close: 2022-07-15
5/21/63 traded sessions after debut; price-only return vs offer.</t>
      </text>
    </comment>
    <comment ref="AQ118" authorId="1" shapeId="0">
      <text>
        <t>Horizon close: 2022-08-08
5/21/63 traded sessions after debut; price-only return vs offer.</t>
      </text>
    </comment>
    <comment ref="AR118" authorId="1" shapeId="0">
      <text>
        <t>Horizon close: 2022-10-07
5/21/63 traded sessions after debut; price-only return vs offer.</t>
      </text>
    </comment>
    <comment ref="AI119" authorId="0" shapeId="0">
      <text>
        <t>Close: HK$6.2
Date: 2022-07-07
Venue: Phillip (etnet news story)
Source: etnet:news https://www.etnet.com.hk/www/tc/stocks/ipo-news-article/20220707366/</t>
      </text>
    </comment>
    <comment ref="AK119" authorId="1" shapeId="0">
      <text>
        <t>HSTECH (Hang Seng TECH ETF)
Previous trading close to listing-day close (2022-07-08).
Benchmark return in percent; not the index level or excess return.</t>
      </text>
    </comment>
    <comment ref="AP119" authorId="1" shapeId="0">
      <text>
        <t>Horizon close: 2022-07-15
5/21/63 traded sessions after debut; price-only return vs offer.</t>
      </text>
    </comment>
    <comment ref="AQ119" authorId="1" shapeId="0">
      <text>
        <t>Horizon close: 2022-08-08
5/21/63 traded sessions after debut; price-only return vs offer.</t>
      </text>
    </comment>
    <comment ref="AR119" authorId="1" shapeId="0">
      <text>
        <t>Horizon close: 2022-10-07
5/21/63 traded sessions after debut; price-only return vs offer.</t>
      </text>
    </comment>
    <comment ref="AI120" authorId="0" shapeId="0">
      <text>
        <t>Close: HK$6.2
Date: 2022-07-07
Venue: Phillip (etnet news story)
Source: etnet:news https://www.etnet.com.hk/www/tc/stocks/ipo-news-article/20220707364/</t>
      </text>
    </comment>
    <comment ref="AK120" authorId="1" shapeId="0">
      <text>
        <t>China Biotech ETF (HS biotech proxy)
Previous trading close to listing-day close (2022-07-08).
Benchmark return in percent; not the index level or excess return.</t>
      </text>
    </comment>
    <comment ref="AP120" authorId="1" shapeId="0">
      <text>
        <t>Horizon close: 2022-07-15
5/21/63 traded sessions after debut; price-only return vs offer.</t>
      </text>
    </comment>
    <comment ref="AQ120" authorId="1" shapeId="0">
      <text>
        <t>Horizon close: 2022-08-08
5/21/63 traded sessions after debut; price-only return vs offer.</t>
      </text>
    </comment>
    <comment ref="AR120" authorId="1" shapeId="0">
      <text>
        <t>Horizon close: 2022-10-07
5/21/63 traded sessions after debut; price-only return vs offer.</t>
      </text>
    </comment>
    <comment ref="AI121" authorId="0" shapeId="0">
      <text>
        <t>Close: HK$4.6
Date: 2022-07-11
Venue: Phillip (etnet news story)
Source: etnet:news https://www.etnet.com.hk/www/tc/stocks/ipo-news-article/20220711404/</t>
      </text>
    </comment>
    <comment ref="AK121" authorId="1" shapeId="0">
      <text>
        <t>China Biotech ETF (HS biotech proxy)
Previous trading close to listing-day close (2022-07-12).
Benchmark return in percent; not the index level or excess return.</t>
      </text>
    </comment>
    <comment ref="AP121" authorId="1" shapeId="0">
      <text>
        <t>Horizon close: 2022-07-19
5/21/63 traded sessions after debut; price-only return vs offer.</t>
      </text>
    </comment>
    <comment ref="AQ121" authorId="1" shapeId="0">
      <text>
        <t>Horizon close: 2022-08-10
5/21/63 traded sessions after debut; price-only return vs offer.</t>
      </text>
    </comment>
    <comment ref="AR121" authorId="1" shapeId="0">
      <text>
        <t>Horizon close: 2022-10-11
5/21/63 traded sessions after debut; price-only return vs offer.</t>
      </text>
    </comment>
    <comment ref="AI122" authorId="0" shapeId="0">
      <text>
        <t>Close: HK$7.37
Date: 2022-07-11
Venue: Phillip (etnet news story)
Source: etnet:news https://www.etnet.com.hk/www/tc/stocks/ipo-news-article/20220711405/</t>
      </text>
    </comment>
    <comment ref="AK122" authorId="1" shapeId="0">
      <text>
        <t>HSTECH (Hang Seng TECH ETF)
Previous trading close to listing-day close (2022-07-12).
Benchmark return in percent; not the index level or excess return.</t>
      </text>
    </comment>
    <comment ref="AP122" authorId="1" shapeId="0">
      <text>
        <t>Horizon close: 2022-07-19
5/21/63 traded sessions after debut; price-only return vs offer.</t>
      </text>
    </comment>
    <comment ref="AQ122" authorId="1" shapeId="0">
      <text>
        <t>Horizon close: 2022-08-10
5/21/63 traded sessions after debut; price-only return vs offer.</t>
      </text>
    </comment>
    <comment ref="AR122" authorId="1" shapeId="0">
      <text>
        <t>Horizon close: 2022-10-11
5/21/63 traded sessions after debut; price-only return vs offer.</t>
      </text>
    </comment>
    <comment ref="AI123" authorId="0" shapeId="0">
      <text>
        <t>Close: HK$13.2
Date: 2022-07-12
Venue: Phillip (etnet news story)
Source: etnet:news https://www.etnet.com.hk/www/tc/stocks/ipo-news-article/20220712390/</t>
      </text>
    </comment>
    <comment ref="AK123" authorId="1" shapeId="0">
      <text>
        <t>Hang Seng Commerce &amp; Industry sub-index
Previous trading close to listing-day close (2022-07-13).
Benchmark return in percent; not the index level or excess return.</t>
      </text>
    </comment>
    <comment ref="AP123" authorId="1" shapeId="0">
      <text>
        <t>Horizon close: 2022-07-20
5/21/63 traded sessions after debut; price-only return vs offer.</t>
      </text>
    </comment>
    <comment ref="AQ123" authorId="1" shapeId="0">
      <text>
        <t>Horizon close: 2022-08-11
5/21/63 traded sessions after debut; price-only return vs offer.</t>
      </text>
    </comment>
    <comment ref="AR123" authorId="1" shapeId="0">
      <text>
        <t>Horizon close: 2022-10-12
5/21/63 traded sessions after debut; price-only return vs offer.</t>
      </text>
    </comment>
    <comment ref="AI124" authorId="0" shapeId="0">
      <text>
        <t>Close: HK$5.59
Date: 2022-07-12
Venue: Phillip (etnet news story)
Source: etnet:news https://www.etnet.com.hk/www/tc/stocks/ipo-news-article/20220712389/</t>
      </text>
    </comment>
    <comment ref="AK124" authorId="1" shapeId="0">
      <text>
        <t>Hang Seng Commerce &amp; Industry sub-index
Previous trading close to listing-day close (2022-07-13).
Benchmark return in percent; not the index level or excess return.</t>
      </text>
    </comment>
    <comment ref="AP124" authorId="1" shapeId="0">
      <text>
        <t>Horizon close: 2022-07-20
5/21/63 traded sessions after debut; price-only return vs offer.</t>
      </text>
    </comment>
    <comment ref="AQ124" authorId="1" shapeId="0">
      <text>
        <t>Horizon close: 2022-08-11
5/21/63 traded sessions after debut; price-only return vs offer.</t>
      </text>
    </comment>
    <comment ref="AR124" authorId="1" shapeId="0">
      <text>
        <t>Horizon close: 2022-10-12
5/21/63 traded sessions after debut; price-only return vs offer.</t>
      </text>
    </comment>
    <comment ref="AI125" authorId="0" shapeId="0">
      <text>
        <t>Close: HK$275
Date: 2022-07-12
Venue: Phillip (etnet news story)
Source: etnet:news https://www.etnet.com.hk/www/tc/stocks/ipo-news-article/20220712387/</t>
      </text>
    </comment>
    <comment ref="AK125" authorId="1" shapeId="0">
      <text>
        <t>Hang Seng Finance sub-index
Previous trading close to listing-day close (2022-07-13).
Benchmark return in percent; not the index level or excess return.</t>
      </text>
    </comment>
    <comment ref="AP125" authorId="1" shapeId="0">
      <text>
        <t>Horizon close: 2022-07-20
5/21/63 traded sessions after debut; price-only return vs offer.</t>
      </text>
    </comment>
    <comment ref="AQ125" authorId="1" shapeId="0">
      <text>
        <t>Horizon close: 2022-08-11
5/21/63 traded sessions after debut; price-only return vs offer.</t>
      </text>
    </comment>
    <comment ref="AR125" authorId="1" shapeId="0">
      <text>
        <t>Horizon close: 2022-10-12
5/21/63 traded sessions after debut; price-only return vs offer.</t>
      </text>
    </comment>
    <comment ref="AI126" authorId="0" shapeId="0">
      <text>
        <t>Close: HK$75.5
Date: 2022-07-12
Venue: Phillip (etnet news story)
Source: etnet:news https://www.etnet.com.hk/www/tc/stocks/ipo-news-article/20220712388/</t>
      </text>
    </comment>
    <comment ref="AK126" authorId="1" shapeId="0">
      <text>
        <t>Hang Seng Commerce &amp; Industry sub-index
Previous trading close to listing-day close (2022-07-13).
Benchmark return in percent; not the index level or excess return.</t>
      </text>
    </comment>
    <comment ref="AP126" authorId="1" shapeId="0">
      <text>
        <t>Horizon close: 2022-07-20
5/21/63 traded sessions after debut; price-only return vs offer.</t>
      </text>
    </comment>
    <comment ref="AQ126" authorId="1" shapeId="0">
      <text>
        <t>Horizon close: 2022-08-11
5/21/63 traded sessions after debut; price-only return vs offer.</t>
      </text>
    </comment>
    <comment ref="AR126" authorId="1" shapeId="0">
      <text>
        <t>Horizon close: 2022-10-12
5/21/63 traded sessions after debut; price-only return vs offer.</t>
      </text>
    </comment>
    <comment ref="AI127" authorId="0" shapeId="0">
      <text>
        <t>Close: HK$1.71
Date: 2022-07-14
Venue: Phillip (etnet news story)
Source: etnet:news https://www.etnet.com.hk/www/tc/stocks/ipo-news-article/20220714384/</t>
      </text>
    </comment>
    <comment ref="AK127" authorId="1" shapeId="0">
      <text>
        <t>Hang Seng Commerce &amp; Industry sub-index
Previous trading close to listing-day close (2022-07-15).
Benchmark return in percent; not the index level or excess return.</t>
      </text>
    </comment>
    <comment ref="AP127" authorId="1" shapeId="0">
      <text>
        <t>Horizon close: 2022-07-22
5/21/63 traded sessions after debut; price-only return vs offer.</t>
      </text>
    </comment>
    <comment ref="AQ127" authorId="1" shapeId="0">
      <text>
        <t>Horizon close: 2022-08-15
5/21/63 traded sessions after debut; price-only return vs offer.</t>
      </text>
    </comment>
    <comment ref="AR127" authorId="1" shapeId="0">
      <text>
        <t>Horizon close: 2022-10-14
5/21/63 traded sessions after debut; price-only return vs offer.</t>
      </text>
    </comment>
    <comment ref="AI128" authorId="0" shapeId="0">
      <text>
        <t>Close: HK$1.13
Date: 2022-07-14
Venue: Phillip (etnet news story)
Source: etnet:news https://www.etnet.com.hk/www/tc/stocks/ipo-news-article/20220714383/</t>
      </text>
    </comment>
    <comment ref="AK128" authorId="1" shapeId="0">
      <text>
        <t>HSTECH (Hang Seng TECH ETF)
Previous trading close to listing-day close (2022-07-15).
Benchmark return in percent; not the index level or excess return.</t>
      </text>
    </comment>
    <comment ref="AP128" authorId="1" shapeId="0">
      <text>
        <t>Horizon close: 2022-07-22
5/21/63 traded sessions after debut; price-only return vs offer.</t>
      </text>
    </comment>
    <comment ref="AQ128" authorId="1" shapeId="0">
      <text>
        <t>Horizon close: 2022-08-15
5/21/63 traded sessions after debut; price-only return vs offer.</t>
      </text>
    </comment>
    <comment ref="AR128" authorId="1" shapeId="0">
      <text>
        <t>Horizon close: 2022-10-14
5/21/63 traded sessions after debut; price-only return vs offer.</t>
      </text>
    </comment>
    <comment ref="AI129" authorId="0" shapeId="0">
      <text>
        <t>Close: HK$24.55
Date: 2022-07-14
Venue: Phillip (etnet news story)
Source: etnet:news https://www.etnet.com.hk/www/tc/stocks/ipo-news-article/20220714385/</t>
      </text>
    </comment>
    <comment ref="AK129" authorId="1" shapeId="0">
      <text>
        <t>China Biotech ETF (HS biotech proxy)
Previous trading close to listing-day close (2022-07-15).
Benchmark return in percent; not the index level or excess return.</t>
      </text>
    </comment>
    <comment ref="AP129" authorId="1" shapeId="0">
      <text>
        <t>Horizon close: 2022-07-22
5/21/63 traded sessions after debut; price-only return vs offer.</t>
      </text>
    </comment>
    <comment ref="AQ129" authorId="1" shapeId="0">
      <text>
        <t>Horizon close: 2022-08-15
5/21/63 traded sessions after debut; price-only return vs offer.</t>
      </text>
    </comment>
    <comment ref="AR129" authorId="1" shapeId="0">
      <text>
        <t>Horizon close: 2022-10-14
5/21/63 traded sessions after debut; price-only return vs offer.</t>
      </text>
    </comment>
    <comment ref="AI130" authorId="0" shapeId="0">
      <text>
        <t>Close: HK$0.375
Date: 2022-07-15
Venue: Phillip (etnet news story)
Source: etnet:news https://www.etnet.com.hk/www/tc/stocks/ipo-news-article/20220715426/</t>
      </text>
    </comment>
    <comment ref="AK130" authorId="1" shapeId="0">
      <text>
        <t>Hang Seng Commerce &amp; Industry sub-index
Previous trading close to listing-day close (2022-07-18).
Benchmark return in percent; not the index level or excess return.</t>
      </text>
    </comment>
    <comment ref="AP130" authorId="1" shapeId="0">
      <text>
        <t>Horizon close: 2022-07-25
5/21/63 traded sessions after debut; price-only return vs offer.</t>
      </text>
    </comment>
    <comment ref="AQ130" authorId="1" shapeId="0">
      <text>
        <t>Horizon close: 2022-08-16
5/21/63 traded sessions after debut; price-only return vs offer.</t>
      </text>
    </comment>
    <comment ref="AR130" authorId="1" shapeId="0">
      <text>
        <t>Horizon close: 2022-10-17
5/21/63 traded sessions after debut; price-only return vs offer.</t>
      </text>
    </comment>
    <comment ref="AI131" authorId="0" shapeId="0">
      <text>
        <t>Close: HK$27.05
Date: 2022-08-09
Venue: Phillip (etnet news story)
Source: etnet:news https://www.etnet.com.hk/www/tc/stocks/ipo-news-article/20220809365/</t>
      </text>
    </comment>
    <comment ref="AK131" authorId="1" shapeId="0">
      <text>
        <t>Hang Seng Index
Previous trading close to listing-day close (2022-08-10).
Benchmark return in percent; not the index level or excess return.</t>
      </text>
    </comment>
    <comment ref="AP131" authorId="1" shapeId="0">
      <text>
        <t>Horizon close: 2022-08-17
5/21/63 traded sessions after debut; price-only return vs offer.</t>
      </text>
    </comment>
    <comment ref="AQ131" authorId="1" shapeId="0">
      <text>
        <t>Horizon close: 2022-09-08
5/21/63 traded sessions after debut; price-only return vs offer.</t>
      </text>
    </comment>
    <comment ref="AR131" authorId="1" shapeId="0">
      <text>
        <t>Horizon close: 2022-11-09
5/21/63 traded sessions after debut; price-only return vs offer.</t>
      </text>
    </comment>
    <comment ref="AI132" authorId="0" shapeId="0">
      <text>
        <t>Close: HK$0.86
Date: 2022-08-18
Venue: Phillip (etnet news story)
Source: etnet:news https://www.etnet.com.hk/www/tc/stocks/ipo-news-article/20220818381/</t>
      </text>
    </comment>
    <comment ref="AK132" authorId="1" shapeId="0">
      <text>
        <t>Hang Seng Commerce &amp; Industry sub-index
Previous trading close to listing-day close (2022-08-19).
Benchmark return in percent; not the index level or excess return.</t>
      </text>
    </comment>
    <comment ref="AP132" authorId="1" shapeId="0">
      <text>
        <t>Horizon close: 2022-08-26
5/21/63 traded sessions after debut; price-only return vs offer.</t>
      </text>
    </comment>
    <comment ref="AQ132" authorId="1" shapeId="0">
      <text>
        <t>Horizon close: 2022-09-20
5/21/63 traded sessions after debut; price-only return vs offer.</t>
      </text>
    </comment>
    <comment ref="AR132" authorId="1" shapeId="0">
      <text>
        <t>Horizon close: 2022-11-18
5/21/63 traded sessions after debut; price-only return vs offer.</t>
      </text>
    </comment>
    <comment ref="AI133" authorId="0" shapeId="0">
      <text>
        <t>Close: HK$8.49
Date: 2022-08-23
Venue: Phillip (etnet news story)
Source: etnet:news https://www.etnet.com.hk/www/tc/stocks/ipo-news-article/20220823383/</t>
      </text>
    </comment>
    <comment ref="AK133" authorId="1" shapeId="0">
      <text>
        <t>Hang Seng Properties sub-index
Previous trading close to listing-day close (2022-08-24).
Benchmark return in percent; not the index level or excess return.</t>
      </text>
    </comment>
    <comment ref="AP133" authorId="1" shapeId="0">
      <text>
        <t>Horizon close: 2022-08-31
5/21/63 traded sessions after debut; price-only return vs offer.</t>
      </text>
    </comment>
    <comment ref="AQ133" authorId="1" shapeId="0">
      <text>
        <t>Horizon close: 2022-09-23
5/21/63 traded sessions after debut; price-only return vs offer.</t>
      </text>
    </comment>
    <comment ref="AR133" authorId="1" shapeId="0">
      <text>
        <t>Horizon close: 2022-11-23
5/21/63 traded sessions after debut; price-only return vs offer.</t>
      </text>
    </comment>
    <comment ref="AI134" authorId="0" shapeId="0">
      <text>
        <t>Close: HK$150.5
Date: 2022-08-24
Venue: Phillip (etnet news story)
Source: etnet:news https://www.etnet.com.hk/www/tc/stocks/ipo-news-article/20220824396/</t>
      </text>
    </comment>
    <comment ref="AK134" authorId="1" shapeId="0">
      <text>
        <t>Hang Seng Commerce &amp; Industry sub-index
Previous trading close to listing-day close (2022-08-25).
Benchmark return in percent; not the index level or excess return.</t>
      </text>
    </comment>
    <comment ref="AP134" authorId="1" shapeId="0">
      <text>
        <t>Horizon close: 2022-09-01
5/21/63 traded sessions after debut; price-only return vs offer.</t>
      </text>
    </comment>
    <comment ref="AQ134" authorId="1" shapeId="0">
      <text>
        <t>Horizon close: 2022-09-26
5/21/63 traded sessions after debut; price-only return vs offer.</t>
      </text>
    </comment>
    <comment ref="AR134" authorId="1" shapeId="0">
      <text>
        <t>Horizon close: 2022-11-24
5/21/63 traded sessions after debut; price-only return vs offer.</t>
      </text>
    </comment>
    <comment ref="AI135" authorId="0" shapeId="0">
      <text>
        <t>Close: HK$26.5
Date: 2022-08-31
Venue: Phillip (etnet news story)
Source: etnet:news https://www.etnet.com.hk/www/tc/stocks/ipo-news-article/20220831405/</t>
      </text>
    </comment>
    <comment ref="AK135" authorId="1" shapeId="0">
      <text>
        <t>China Biotech ETF (HS biotech proxy)
Previous trading close to listing-day close (2022-09-01).
Benchmark return in percent; not the index level or excess return.</t>
      </text>
    </comment>
    <comment ref="AP135" authorId="1" shapeId="0">
      <text>
        <t>Horizon close: 2022-09-08
5/21/63 traded sessions after debut; price-only return vs offer.</t>
      </text>
    </comment>
    <comment ref="AQ135" authorId="1" shapeId="0">
      <text>
        <t>Horizon close: 2022-10-03
5/21/63 traded sessions after debut; price-only return vs offer.</t>
      </text>
    </comment>
    <comment ref="AR135" authorId="1" shapeId="0">
      <text>
        <t>Horizon close: 2022-12-01
5/21/63 traded sessions after debut; price-only return vs offer.</t>
      </text>
    </comment>
    <comment ref="AI136" authorId="0" shapeId="0">
      <text>
        <t>Close: HK$12.1
Date: 2022-09-13
Venue: Phillip (etnet news story)
Source: etnet:news https://www.etnet.com.hk/www/tc/stocks/ipo-news-article/20220913399/</t>
      </text>
    </comment>
    <comment ref="AK136" authorId="1" shapeId="0">
      <text>
        <t>China Biotech ETF (HS biotech proxy)
Previous trading close to listing-day close (2022-09-14).
Benchmark return in percent; not the index level or excess return.</t>
      </text>
    </comment>
    <comment ref="AP136" authorId="1" shapeId="0">
      <text>
        <t>Horizon close: 2022-09-21
5/21/63 traded sessions after debut; price-only return vs offer.</t>
      </text>
    </comment>
    <comment ref="AQ136" authorId="1" shapeId="0">
      <text>
        <t>Horizon close: 2022-10-14
5/21/63 traded sessions after debut; price-only return vs offer.</t>
      </text>
    </comment>
    <comment ref="AR136" authorId="1" shapeId="0">
      <text>
        <t>Horizon close: 2022-12-13
5/21/63 traded sessions after debut; price-only return vs offer.</t>
      </text>
    </comment>
    <comment ref="AI137" authorId="0" shapeId="0">
      <text>
        <t>Close: HK$0.88
Date: 2022-09-23
Venue: Phillip (etnet news story)
Source: etnet:news https://www.etnet.com.hk/www/tc/stocks/ipo-news-article/20220923406/</t>
      </text>
    </comment>
    <comment ref="AK137" authorId="1" shapeId="0">
      <text>
        <t>Hang Seng Commerce &amp; Industry sub-index
Previous trading close to listing-day close (2022-09-26).
Benchmark return in percent; not the index level or excess return.</t>
      </text>
    </comment>
    <comment ref="AP137" authorId="1" shapeId="0">
      <text>
        <t>Horizon close: 2022-10-03
5/21/63 traded sessions after debut; price-only return vs offer.</t>
      </text>
    </comment>
    <comment ref="AQ137" authorId="1" shapeId="0">
      <text>
        <t>Horizon close: 2022-10-26
5/21/63 traded sessions after debut; price-only return vs offer.</t>
      </text>
    </comment>
    <comment ref="AR137" authorId="1" shapeId="0">
      <text>
        <t>Horizon close: 2022-12-23
5/21/63 traded sessions after debut; price-only return vs offer.</t>
      </text>
    </comment>
    <comment ref="AI138" authorId="0" shapeId="0">
      <text>
        <t>Close: HK$41
Date: 2022-09-28
Venue: Phillip (etnet news story)
Source: etnet:news https://www.etnet.com.hk/www/tc/stocks/ipo-news-article/20220928175/</t>
      </text>
    </comment>
    <comment ref="AK138" authorId="1" shapeId="0">
      <text>
        <t>Hang Seng Commerce &amp; Industry sub-index
Previous trading close to listing-day close (2022-09-29).
Benchmark return in percent; not the index level or excess return.</t>
      </text>
    </comment>
    <comment ref="AP138" authorId="1" shapeId="0">
      <text>
        <t>Horizon close: 2022-10-07
5/21/63 traded sessions after debut; price-only return vs offer.</t>
      </text>
    </comment>
    <comment ref="AQ138" authorId="1" shapeId="0">
      <text>
        <t>Horizon close: 2022-10-31
5/21/63 traded sessions after debut; price-only return vs offer.</t>
      </text>
    </comment>
    <comment ref="AR138" authorId="1" shapeId="0">
      <text>
        <t>Horizon close: 2022-12-30
5/21/63 traded sessions after debut; price-only return vs offer.</t>
      </text>
    </comment>
    <comment ref="AI139" authorId="0" shapeId="0">
      <text>
        <t>Close: HK$45.3
Date: 2022-09-28
Venue: Phillip (etnet news story)
Source: etnet:news https://www.etnet.com.hk/www/tc/stocks/ipo-news-article/20220928174/</t>
      </text>
    </comment>
    <comment ref="AK139" authorId="1" shapeId="0">
      <text>
        <t>Hang Seng Properties sub-index
Previous trading close to listing-day close (2022-09-29).
Benchmark return in percent; not the index level or excess return.</t>
      </text>
    </comment>
    <comment ref="AP139" authorId="1" shapeId="0">
      <text>
        <t>Horizon close: 2022-10-07
5/21/63 traded sessions after debut; price-only return vs offer.</t>
      </text>
    </comment>
    <comment ref="AQ139" authorId="1" shapeId="0">
      <text>
        <t>Horizon close: 2022-10-31
5/21/63 traded sessions after debut; price-only return vs offer.</t>
      </text>
    </comment>
    <comment ref="AR139" authorId="1" shapeId="0">
      <text>
        <t>Horizon close: 2022-12-30
5/21/63 traded sessions after debut; price-only return vs offer.</t>
      </text>
    </comment>
    <comment ref="AI140" authorId="0" shapeId="0">
      <text>
        <t>Close: HK$15.98
Date: 2022-10-05
Venue: Phillip (etnet news story)
Source: etnet:news https://www.etnet.com.hk/www/tc/stocks/ipo-news-article/20221005969/</t>
      </text>
    </comment>
    <comment ref="AK140" authorId="1" shapeId="0">
      <text>
        <t>China Biotech ETF (HS biotech proxy)
Previous trading close to listing-day close (2022-10-06).
Benchmark return in percent; not the index level or excess return.</t>
      </text>
    </comment>
    <comment ref="AP140" authorId="1" shapeId="0">
      <text>
        <t>Horizon close: 2022-10-13
5/21/63 traded sessions after debut; price-only return vs offer.</t>
      </text>
    </comment>
    <comment ref="AQ140" authorId="1" shapeId="0">
      <text>
        <t>Horizon close: 2022-11-04
5/21/63 traded sessions after debut; price-only return vs offer.</t>
      </text>
    </comment>
    <comment ref="AR140" authorId="1" shapeId="0">
      <text>
        <t>Horizon close: 2023-01-06
5/21/63 traded sessions after debut; price-only return vs offer.</t>
      </text>
    </comment>
    <comment ref="AI141" authorId="0" shapeId="0">
      <text>
        <t>Close: HK$38
Date: 2022-10-05
Venue: Phillip (etnet news story)
Source: etnet:news https://www.etnet.com.hk/www/tc/stocks/ipo-news-article/20221005970/</t>
      </text>
    </comment>
    <comment ref="AK141" authorId="1" shapeId="0">
      <text>
        <t>Hang Seng Commerce &amp; Industry sub-index
Previous trading close to listing-day close (2022-10-06).
Benchmark return in percent; not the index level or excess return.</t>
      </text>
    </comment>
    <comment ref="AP141" authorId="1" shapeId="0">
      <text>
        <t>Horizon close: 2022-10-13
5/21/63 traded sessions after debut; price-only return vs offer.</t>
      </text>
    </comment>
    <comment ref="AQ141" authorId="1" shapeId="0">
      <text>
        <t>Horizon close: 2022-11-04
5/21/63 traded sessions after debut; price-only return vs offer.</t>
      </text>
    </comment>
    <comment ref="AR141" authorId="1" shapeId="0">
      <text>
        <t>Horizon close: 2023-01-06
5/21/63 traded sessions after debut; price-only return vs offer.</t>
      </text>
    </comment>
    <comment ref="AI142" authorId="0" shapeId="0">
      <text>
        <t>Close: HK$28
Date: 2022-10-07
Venue: Phillip (etnet news story)
Source: etnet:news https://www.etnet.com.hk/www/tc/stocks/ipo-news-article/20221007394/</t>
      </text>
    </comment>
    <comment ref="AK142" authorId="1" shapeId="0">
      <text>
        <t>China Biotech ETF (HS biotech proxy)
Previous trading close to listing-day close (2022-10-10).
Benchmark return in percent; not the index level or excess return.</t>
      </text>
    </comment>
    <comment ref="AP142" authorId="1" shapeId="0">
      <text>
        <t>Horizon close: 2022-10-17
5/21/63 traded sessions after debut; price-only return vs offer.</t>
      </text>
    </comment>
    <comment ref="AQ142" authorId="1" shapeId="0">
      <text>
        <t>Horizon close: 2022-11-08
5/21/63 traded sessions after debut; price-only return vs offer.</t>
      </text>
    </comment>
    <comment ref="AR142" authorId="1" shapeId="0">
      <text>
        <t>Horizon close: 2023-01-10
5/21/63 traded sessions after debut; price-only return vs offer.</t>
      </text>
    </comment>
    <comment ref="AI143" authorId="0" shapeId="0">
      <text>
        <t>Close: HK$0.62
Date: 2022-10-07
Venue: Phillip (etnet news story)
Source: etnet:news https://www.etnet.com.hk/www/tc/stocks/ipo-news-article/20221007393/</t>
      </text>
    </comment>
    <comment ref="AK143" authorId="1" shapeId="0">
      <text>
        <t>Hang Seng Commerce &amp; Industry sub-index
Previous trading close to listing-day close (2022-10-10).
Benchmark return in percent; not the index level or excess return.</t>
      </text>
    </comment>
    <comment ref="AP143" authorId="1" shapeId="0">
      <text>
        <t>Horizon close: 2022-10-17
5/21/63 traded sessions after debut; price-only return vs offer.</t>
      </text>
    </comment>
    <comment ref="AQ143" authorId="1" shapeId="0">
      <text>
        <t>Horizon close: 2022-11-08
5/21/63 traded sessions after debut; price-only return vs offer.</t>
      </text>
    </comment>
    <comment ref="AR143" authorId="1" shapeId="0">
      <text>
        <t>Horizon close: 2023-01-10
5/21/63 traded sessions after debut; price-only return vs offer.</t>
      </text>
    </comment>
    <comment ref="AI144" authorId="0" shapeId="0">
      <text>
        <t>Close: HK$0.98
Date: 2022-10-14
Venue: Phillip (etnet news story)
Source: etnet:news https://www.etnet.com.hk/www/tc/stocks/ipo-news-article/20221014984/</t>
      </text>
    </comment>
    <comment ref="AK144" authorId="1" shapeId="0">
      <text>
        <t>Hang Seng Index
Previous trading close to listing-day close (2022-10-17).
Benchmark return in percent; not the index level or excess return.</t>
      </text>
    </comment>
    <comment ref="AP144" authorId="1" shapeId="0">
      <text>
        <t>Horizon close: 2022-10-24
5/21/63 traded sessions after debut; price-only return vs offer.</t>
      </text>
    </comment>
    <comment ref="AQ144" authorId="1" shapeId="0">
      <text>
        <t>Horizon close: 2022-11-15
5/21/63 traded sessions after debut; price-only return vs offer.</t>
      </text>
    </comment>
    <comment ref="AR144" authorId="1" shapeId="0">
      <text>
        <t>Horizon close: 2023-01-17
5/21/63 traded sessions after debut; price-only return vs offer.</t>
      </text>
    </comment>
    <comment ref="AI145" authorId="0" shapeId="0">
      <text>
        <t>Close: HK$2.11
Date: 2022-10-17
Venue: Phillip (etnet news story)
Source: etnet:news https://www.etnet.com.hk/www/tc/stocks/ipo-news-article/20221017404/</t>
      </text>
    </comment>
    <comment ref="AK145" authorId="1" shapeId="0">
      <text>
        <t>Hang Seng Index
Previous trading close to listing-day close (2022-10-18).
Benchmark return in percent; not the index level or excess return.</t>
      </text>
    </comment>
    <comment ref="AP145" authorId="1" shapeId="0">
      <text>
        <t>Horizon close: 2022-10-25
5/21/63 traded sessions after debut; price-only return vs offer.</t>
      </text>
    </comment>
    <comment ref="AQ145" authorId="1" shapeId="0">
      <text>
        <t>Horizon close: 2022-11-16
5/21/63 traded sessions after debut; price-only return vs offer.</t>
      </text>
    </comment>
    <comment ref="AR145" authorId="1" shapeId="0">
      <text>
        <t>Horizon close: 2023-01-18
5/21/63 traded sessions after debut; price-only return vs offer.</t>
      </text>
    </comment>
    <comment ref="AI146" authorId="0" shapeId="0">
      <text>
        <t>Close: HK$25.75
Date: 2022-11-03
Venue: Phillip (etnet news story)
Source: etnet:news https://www.etnet.com.hk/www/tc/stocks/ipo-news-article/20221103403/</t>
      </text>
    </comment>
    <comment ref="AK146" authorId="1" shapeId="0">
      <text>
        <t>Hang Seng Commerce &amp; Industry sub-index
Previous trading close to listing-day close (2022-11-04).
Benchmark return in percent; not the index level or excess return.</t>
      </text>
    </comment>
    <comment ref="AP146" authorId="1" shapeId="0">
      <text>
        <t>Horizon close: 2022-11-11
5/21/63 traded sessions after debut; price-only return vs offer.</t>
      </text>
    </comment>
    <comment ref="AQ146" authorId="1" shapeId="0">
      <text>
        <t>Horizon close: 2022-12-05
5/21/63 traded sessions after debut; price-only return vs offer.</t>
      </text>
    </comment>
    <comment ref="AR146" authorId="1" shapeId="0">
      <text>
        <t>Horizon close: 2023-02-09
5/21/63 traded sessions after debut; price-only return vs offer.</t>
      </text>
    </comment>
    <comment ref="AI147" authorId="0" shapeId="0">
      <text>
        <t>Close: HK$29.25
Date: 2022-11-07
Venue: Phillip (etnet news story)
Source: etnet:news https://www.etnet.com.hk/www/tc/stocks/ipo-news-article/20221107197/</t>
      </text>
    </comment>
    <comment ref="AK147" authorId="1" shapeId="0">
      <text>
        <t>China Biotech ETF (HS biotech proxy)
Previous trading close to listing-day close (2022-11-08).
Benchmark return in percent; not the index level or excess return.</t>
      </text>
    </comment>
    <comment ref="AP147" authorId="1" shapeId="0">
      <text>
        <t>Horizon close: 2022-11-15
5/21/63 traded sessions after debut; price-only return vs offer.</t>
      </text>
    </comment>
    <comment ref="AQ147" authorId="1" shapeId="0">
      <text>
        <t>Horizon close: 2022-12-07
5/21/63 traded sessions after debut; price-only return vs offer.</t>
      </text>
    </comment>
    <comment ref="AR147" authorId="1" shapeId="0">
      <text>
        <t>Horizon close: 2023-02-13
5/21/63 traded sessions after debut; price-only return vs offer.</t>
      </text>
    </comment>
    <comment ref="AI148" authorId="0" shapeId="0">
      <text>
        <t>Close: HK$2.8
Date: 2022-11-08
Venue: Phillip (etnet news story)
Source: etnet:news https://www.etnet.com.hk/www/tc/stocks/ipo-news-article/20221108409/</t>
      </text>
    </comment>
    <comment ref="AK148" authorId="1" shapeId="0">
      <text>
        <t>Hang Seng Index
Previous trading close to listing-day close (2022-11-09).
Benchmark return in percent; not the index level or excess return.</t>
      </text>
    </comment>
    <comment ref="AP148" authorId="1" shapeId="0">
      <text>
        <t>Horizon close: 2022-11-16
5/21/63 traded sessions after debut; price-only return vs offer.</t>
      </text>
    </comment>
    <comment ref="AQ148" authorId="1" shapeId="0">
      <text>
        <t>Horizon close: 2022-12-08
5/21/63 traded sessions after debut; price-only return vs offer.</t>
      </text>
    </comment>
    <comment ref="AR148" authorId="1" shapeId="0">
      <text>
        <t>Horizon close: 2023-02-14
5/21/63 traded sessions after debut; price-only return vs offer.</t>
      </text>
    </comment>
    <comment ref="AI149" authorId="0" shapeId="0">
      <text>
        <t>Close: HK$8.5
Date: 2022-11-10
Venue: Phillip (etnet news story)
Source: etnet:news https://www.etnet.com.hk/www/tc/stocks/ipo-news-article/20221110405/</t>
      </text>
    </comment>
    <comment ref="AK149" authorId="1" shapeId="0">
      <text>
        <t>HSTECH (Hang Seng TECH ETF)
Previous trading close to listing-day close (2022-11-11).
Benchmark return in percent; not the index level or excess return.</t>
      </text>
    </comment>
    <comment ref="AP149" authorId="1" shapeId="0">
      <text>
        <t>Horizon close: 2022-11-18
5/21/63 traded sessions after debut; price-only return vs offer.</t>
      </text>
    </comment>
    <comment ref="AQ149" authorId="1" shapeId="0">
      <text>
        <t>Horizon close: 2022-12-12
5/21/63 traded sessions after debut; price-only return vs offer.</t>
      </text>
    </comment>
    <comment ref="AR149" authorId="1" shapeId="0">
      <text>
        <t>Horizon close: 2023-02-16
5/21/63 traded sessions after debut; price-only return vs offer.</t>
      </text>
    </comment>
    <comment ref="AI150" authorId="0" shapeId="0">
      <text>
        <t>Close: HK$1.82
Date: 2022-11-15
Venue: Phillip (etnet news story)
Source: etnet:news https://www.etnet.com.hk/www/tc/stocks/ipo-news-article/20221115093/</t>
      </text>
    </comment>
    <comment ref="AK150" authorId="1" shapeId="0">
      <text>
        <t>Hang Seng Commerce &amp; Industry sub-index
Previous trading close to listing-day close (2022-11-16).
Benchmark return in percent; not the index level or excess return.</t>
      </text>
    </comment>
    <comment ref="AP150" authorId="1" shapeId="0">
      <text>
        <t>Horizon close: 2022-11-23
5/21/63 traded sessions after debut; price-only return vs offer.</t>
      </text>
    </comment>
    <comment ref="AQ150" authorId="1" shapeId="0">
      <text>
        <t>Horizon close: 2022-12-15
5/21/63 traded sessions after debut; price-only return vs offer.</t>
      </text>
    </comment>
    <comment ref="AR150" authorId="1" shapeId="0">
      <text>
        <t>Horizon close: 2023-02-21
5/21/63 traded sessions after debut; price-only return vs offer.</t>
      </text>
    </comment>
    <comment ref="AI151" authorId="0" shapeId="0">
      <text>
        <t>Close: HK$7.9
Date: 2022-11-23
Venue: Phillip (etnet news story)
Source: etnet:news https://www.etnet.com.hk/www/tc/stocks/ipo-news-article/20221123390/</t>
      </text>
    </comment>
    <comment ref="AK151" authorId="1" shapeId="0">
      <text>
        <t>HSTECH (Hang Seng TECH ETF)
Previous trading close to listing-day close (2022-11-24).
Benchmark return in percent; not the index level or excess return.</t>
      </text>
    </comment>
    <comment ref="AP151" authorId="1" shapeId="0">
      <text>
        <t>Horizon close: 2022-12-01
5/21/63 traded sessions after debut; price-only return vs offer.</t>
      </text>
    </comment>
    <comment ref="AQ151" authorId="1" shapeId="0">
      <text>
        <t>Horizon close: 2022-12-23
5/21/63 traded sessions after debut; price-only return vs offer.</t>
      </text>
    </comment>
    <comment ref="AR151" authorId="1" shapeId="0">
      <text>
        <t>Horizon close: 2023-03-01
5/21/63 traded sessions after debut; price-only return vs offer.</t>
      </text>
    </comment>
    <comment ref="AI152" authorId="0" shapeId="0">
      <text>
        <t>Close: HK$50.45
Date: 2022-11-28
Venue: Phillip (etnet news story)
Source: etnet:news https://www.etnet.com.hk/www/tc/stocks/ipo-news-article/20221128383/</t>
      </text>
    </comment>
    <comment ref="AK152" authorId="1" shapeId="0">
      <text>
        <t>HSTECH (Hang Seng TECH ETF)
Previous trading close to listing-day close (2022-11-29).
Benchmark return in percent; not the index level or excess return.</t>
      </text>
    </comment>
    <comment ref="AP152" authorId="1" shapeId="0">
      <text>
        <t>Horizon close: 2022-12-06
5/21/63 traded sessions after debut; price-only return vs offer.</t>
      </text>
    </comment>
    <comment ref="AQ152" authorId="1" shapeId="0">
      <text>
        <t>Horizon close: 2022-12-30
5/21/63 traded sessions after debut; price-only return vs offer.</t>
      </text>
    </comment>
    <comment ref="AR152" authorId="1" shapeId="0">
      <text>
        <t>Horizon close: 2023-03-06
5/21/63 traded sessions after debut; price-only return vs offer.</t>
      </text>
    </comment>
    <comment ref="AI153" authorId="0" shapeId="0">
      <text>
        <t>Close: HK$15.5
Date: 2022-11-30
Venue: Phillip (etnet news story)
Source: etnet:news https://www.etnet.com.hk/www/tc/stocks/ipo-news-article/20221130194/</t>
      </text>
    </comment>
    <comment ref="AK153" authorId="1" shapeId="0">
      <text>
        <t>Hang Seng Commerce &amp; Industry sub-index
Previous trading close to listing-day close (2022-12-01).
Benchmark return in percent; not the index level or excess return.</t>
      </text>
    </comment>
    <comment ref="AP153" authorId="1" shapeId="0">
      <text>
        <t>Horizon close: 2022-12-08
5/21/63 traded sessions after debut; price-only return vs offer.</t>
      </text>
    </comment>
    <comment ref="AQ153" authorId="1" shapeId="0">
      <text>
        <t>Horizon close: 2023-01-04
5/21/63 traded sessions after debut; price-only return vs offer.</t>
      </text>
    </comment>
    <comment ref="AR153" authorId="1" shapeId="0">
      <text>
        <t>Horizon close: 2023-03-08
5/21/63 traded sessions after debut; price-only return vs offer.</t>
      </text>
    </comment>
    <comment ref="AI154" authorId="0" shapeId="0">
      <text>
        <t>Close: HK$5.82
Date: 2022-12-08
Venue: Phillip (etnet news story)
Source: etnet:news https://www.etnet.com.hk/www/tc/stocks/ipo-news-article/20221208425/</t>
      </text>
    </comment>
    <comment ref="AK154" authorId="1" shapeId="0">
      <text>
        <t>Hang Seng Finance sub-index
Previous trading close to listing-day close (2022-12-09).
Benchmark return in percent; not the index level or excess return.</t>
      </text>
    </comment>
    <comment ref="AP154" authorId="1" shapeId="0">
      <text>
        <t>Horizon close: 2022-12-16
5/21/63 traded sessions after debut; price-only return vs offer.</t>
      </text>
    </comment>
    <comment ref="AQ154" authorId="1" shapeId="0">
      <text>
        <t>Horizon close: 2023-01-12
5/21/63 traded sessions after debut; price-only return vs offer.</t>
      </text>
    </comment>
    <comment ref="AR154" authorId="1" shapeId="0">
      <text>
        <t>Horizon close: 2023-03-16
5/21/63 traded sessions after debut; price-only return vs offer.</t>
      </text>
    </comment>
    <comment ref="AI155" authorId="0" shapeId="0">
      <text>
        <t>Close: HK$49.6
Date: 2022-12-09
Venue: Phillip (etnet news story)
Source: etnet:news https://www.etnet.com.hk/www/tc/stocks/ipo-news-article/20221209199/</t>
      </text>
    </comment>
    <comment ref="AK155" authorId="1" shapeId="0">
      <text>
        <t>China Biotech ETF (HS biotech proxy)
Previous trading close to listing-day close (2022-12-12).
Benchmark return in percent; not the index level or excess return.</t>
      </text>
    </comment>
    <comment ref="AP155" authorId="1" shapeId="0">
      <text>
        <t>Horizon close: 2022-12-19
5/21/63 traded sessions after debut; price-only return vs offer.</t>
      </text>
    </comment>
    <comment ref="AQ155" authorId="1" shapeId="0">
      <text>
        <t>Horizon close: 2023-01-13
5/21/63 traded sessions after debut; price-only return vs offer.</t>
      </text>
    </comment>
    <comment ref="AR155" authorId="1" shapeId="0">
      <text>
        <t>Horizon close: 2023-03-17
5/21/63 traded sessions after debut; price-only return vs offer.</t>
      </text>
    </comment>
    <comment ref="AI156" authorId="0" shapeId="0">
      <text>
        <t>Close: HK$2.29
Date: 2022-12-09
Venue: Phillip (etnet news story)
Source: etnet:news https://www.etnet.com.hk/www/tc/stocks/ipo-news-article/20221209197/</t>
      </text>
    </comment>
    <comment ref="AK156" authorId="1" shapeId="0">
      <text>
        <t>HSTECH (Hang Seng TECH ETF)
Previous trading close to listing-day close (2022-12-12).
Benchmark return in percent; not the index level or excess return.</t>
      </text>
    </comment>
    <comment ref="AP156" authorId="1" shapeId="0">
      <text>
        <t>Horizon close: 2022-12-19
5/21/63 traded sessions after debut; price-only return vs offer.</t>
      </text>
    </comment>
    <comment ref="AQ156" authorId="1" shapeId="0">
      <text>
        <t>Horizon close: 2023-01-13
5/21/63 traded sessions after debut; price-only return vs offer.</t>
      </text>
    </comment>
    <comment ref="AR156" authorId="1" shapeId="0">
      <text>
        <t>Horizon close: 2023-03-17
5/21/63 traded sessions after debut; price-only return vs offer.</t>
      </text>
    </comment>
    <comment ref="AI157" authorId="0" shapeId="0">
      <text>
        <t>Close: HK$0.81
Date: 2022-12-13
Venue: Phillip (etnet news story)
Source: etnet:news https://www.etnet.com.hk/www/tc/stocks/ipo-news-article/20221213410/</t>
      </text>
    </comment>
    <comment ref="AK157" authorId="1" shapeId="0">
      <text>
        <t>China Biotech ETF (HS biotech proxy)
Previous trading close to listing-day close (2022-12-14).
Benchmark return in percent; not the index level or excess return.</t>
      </text>
    </comment>
    <comment ref="AP157" authorId="1" shapeId="0">
      <text>
        <t>Horizon close: 2022-12-21
5/21/63 traded sessions after debut; price-only return vs offer.</t>
      </text>
    </comment>
    <comment ref="AQ157" authorId="1" shapeId="0">
      <text>
        <t>Horizon close: 2023-01-17
5/21/63 traded sessions after debut; price-only return vs offer.</t>
      </text>
    </comment>
    <comment ref="AR157" authorId="1" shapeId="0">
      <text>
        <t>Horizon close: 2023-03-21
5/21/63 traded sessions after debut; price-only return vs offer.</t>
      </text>
    </comment>
    <comment ref="AI158" authorId="0" shapeId="0">
      <text>
        <t>Close: HK$28.95
Date: 2022-12-14
Venue: Phillip (etnet news story)
Source: etnet:news https://www.etnet.com.hk/www/tc/stocks/ipo-news-article/20221214419/</t>
      </text>
    </comment>
    <comment ref="AK158" authorId="1" shapeId="0">
      <text>
        <t>China Biotech ETF (HS biotech proxy)
Previous trading close to listing-day close (2022-12-15).
Benchmark return in percent; not the index level or excess return.</t>
      </text>
    </comment>
    <comment ref="AP158" authorId="1" shapeId="0">
      <text>
        <t>Horizon close: 2022-12-22
5/21/63 traded sessions after debut; price-only return vs offer.</t>
      </text>
    </comment>
    <comment ref="AQ158" authorId="1" shapeId="0">
      <text>
        <t>Horizon close: 2023-01-18
5/21/63 traded sessions after debut; price-only return vs offer.</t>
      </text>
    </comment>
    <comment ref="AR158" authorId="1" shapeId="0">
      <text>
        <t>Horizon close: 2023-03-22
5/21/63 traded sessions after debut; price-only return vs offer.</t>
      </text>
    </comment>
    <comment ref="AI159" authorId="0" shapeId="0">
      <text>
        <t>Close: HK$10.34
Date: 2022-12-14
Venue: Phillip (etnet news story)
Source: etnet:news https://www.etnet.com.hk/www/tc/stocks/ipo-news-article/20221214420/</t>
      </text>
    </comment>
    <comment ref="AK159" authorId="1" shapeId="0">
      <text>
        <t>Hang Seng Commerce &amp; Industry sub-index
Previous trading close to listing-day close (2022-12-15).
Benchmark return in percent; not the index level or excess return.</t>
      </text>
    </comment>
    <comment ref="AP159" authorId="1" shapeId="0">
      <text>
        <t>Horizon close: 2022-12-22
5/21/63 traded sessions after debut; price-only return vs offer.</t>
      </text>
    </comment>
    <comment ref="AQ159" authorId="1" shapeId="0">
      <text>
        <t>Horizon close: 2023-01-18
5/21/63 traded sessions after debut; price-only return vs offer.</t>
      </text>
    </comment>
    <comment ref="AR159" authorId="1" shapeId="0">
      <text>
        <t>Horizon close: 2023-03-22
5/21/63 traded sessions after debut; price-only return vs offer.</t>
      </text>
    </comment>
    <comment ref="AI160" authorId="0" shapeId="0">
      <text>
        <t>Close: HK$0.4
Date: 2022-12-14
Venue: Phillip (etnet news story)
Source: etnet:news https://www.etnet.com.hk/www/tc/stocks/ipo-news-article/20221214421/</t>
      </text>
    </comment>
    <comment ref="AK160" authorId="1" shapeId="0">
      <text>
        <t>Hang Seng Commerce &amp; Industry sub-index
Previous trading close to listing-day close (2022-12-15).
Benchmark return in percent; not the index level or excess return.</t>
      </text>
    </comment>
    <comment ref="AP160" authorId="1" shapeId="0">
      <text>
        <t>Horizon close: 2022-12-22
5/21/63 traded sessions after debut; price-only return vs offer.</t>
      </text>
    </comment>
    <comment ref="AQ160" authorId="1" shapeId="0">
      <text>
        <t>Horizon close: 2023-01-18
5/21/63 traded sessions after debut; price-only return vs offer.</t>
      </text>
    </comment>
    <comment ref="AR160" authorId="1" shapeId="0">
      <text>
        <t>Horizon close: 2023-03-22
5/21/63 traded sessions after debut; price-only return vs offer.</t>
      </text>
    </comment>
    <comment ref="AI161" authorId="0" shapeId="0">
      <text>
        <t>Close: HK$24.85
Date: 2022-12-21
Venue: Phillip (etnet news story)
Source: etnet:news https://www.etnet.com.hk/www/tc/stocks/ipo-news-article/20221221302/</t>
      </text>
    </comment>
    <comment ref="AK161" authorId="1" shapeId="0">
      <text>
        <t>Hang Seng Commerce &amp; Industry sub-index
Previous trading close to listing-day close (2022-12-22).
Benchmark return in percent; not the index level or excess return.</t>
      </text>
    </comment>
    <comment ref="AP161" authorId="1" shapeId="0">
      <text>
        <t>Horizon close: 2023-01-03
5/21/63 traded sessions after debut; price-only return vs offer.</t>
      </text>
    </comment>
    <comment ref="AQ161" authorId="1" shapeId="0">
      <text>
        <t>Horizon close: 2023-01-30
5/21/63 traded sessions after debut; price-only return vs offer.</t>
      </text>
    </comment>
    <comment ref="AR161" authorId="1" shapeId="0">
      <text>
        <t>Horizon close: 2023-03-29
5/21/63 traded sessions after debut; price-only return vs offer.</t>
      </text>
    </comment>
    <comment ref="AI162" authorId="0" shapeId="0">
      <text>
        <t>Close: HK$24
Date: 2022-12-22
Venue: Phillip
Source: press:https://www.am730.com.hk/article/354269 — published closing quote 24, +29% vs offer; venue Phillip. GPT archive review, 4 October 2026.</t>
      </text>
    </comment>
    <comment ref="AK162" authorId="1" shapeId="0">
      <text>
        <t>China Biotech ETF (HS biotech proxy)
Previous trading close to listing-day close (2022-12-23).
Benchmark return in percent; not the index level or excess return.</t>
      </text>
    </comment>
    <comment ref="AP162" authorId="1" shapeId="0">
      <text>
        <t>Horizon close: 2023-01-04
5/21/63 traded sessions after debut; price-only return vs offer.</t>
      </text>
    </comment>
    <comment ref="AQ162" authorId="1" shapeId="0">
      <text>
        <t>Horizon close: 2023-01-31
5/21/63 traded sessions after debut; price-only return vs offer.</t>
      </text>
    </comment>
    <comment ref="AR162" authorId="1" shapeId="0">
      <text>
        <t>Horizon close: 2023-03-30
5/21/63 traded sessions after debut; price-only return vs offer.</t>
      </text>
    </comment>
    <comment ref="AI163" authorId="0" shapeId="0">
      <text>
        <t>Close: HK$8.6
Date: 2022-12-22
Venue: Phillip
Source: press:https://www.am730.com.hk/article/354269 — published closing quote 8.6, -2.3% vs offer; venue Phillip. GPT archive review, 4 October 2026.</t>
      </text>
    </comment>
    <comment ref="AK163" authorId="1" shapeId="0">
      <text>
        <t>China Biotech ETF (HS biotech proxy)
Previous trading close to listing-day close (2022-12-23).
Benchmark return in percent; not the index level or excess return.</t>
      </text>
    </comment>
    <comment ref="AP163" authorId="1" shapeId="0">
      <text>
        <t>Horizon close: 2023-01-04
5/21/63 traded sessions after debut; price-only return vs offer.</t>
      </text>
    </comment>
    <comment ref="AQ163" authorId="1" shapeId="0">
      <text>
        <t>Horizon close: 2023-01-31
5/21/63 traded sessions after debut; price-only return vs offer.</t>
      </text>
    </comment>
    <comment ref="AR163" authorId="1" shapeId="0">
      <text>
        <t>Horizon close: 2023-03-30
5/21/63 traded sessions after debut; price-only return vs offer.</t>
      </text>
    </comment>
    <comment ref="AI164" authorId="0" shapeId="0">
      <text>
        <t>Close: HK$1.38
Date: 2022-12-28
Venue: Phillip (etnet news story)
Source: etnet:news https://www.etnet.com.hk/www/tc/stocks/ipo-news-article/20221228423/</t>
      </text>
    </comment>
    <comment ref="AK164" authorId="1" shapeId="0">
      <text>
        <t>China Biotech ETF (HS biotech proxy)
Previous trading close to listing-day close (2022-12-29).
Benchmark return in percent; not the index level or excess return.</t>
      </text>
    </comment>
    <comment ref="AP164" authorId="1" shapeId="0">
      <text>
        <t>Horizon close: 2023-01-06
5/21/63 traded sessions after debut; price-only return vs offer.</t>
      </text>
    </comment>
    <comment ref="AQ164" authorId="1" shapeId="0">
      <text>
        <t>Horizon close: 2023-02-02
5/21/63 traded sessions after debut; price-only return vs offer.</t>
      </text>
    </comment>
    <comment ref="AR164" authorId="1" shapeId="0">
      <text>
        <t>Horizon close: 2023-04-03
5/21/63 traded sessions after debut; price-only return vs offer.</t>
      </text>
    </comment>
    <comment ref="AI165" authorId="0" shapeId="0">
      <text>
        <t>Close: HK$36.4
Date: 2022-12-28
Venue: Phillip (etnet news story)
Source: etnet:news https://www.etnet.com.hk/www/tc/stocks/ipo-news-article/20221228424/</t>
      </text>
    </comment>
    <comment ref="AK165" authorId="1" shapeId="0">
      <text>
        <t>Hang Seng Index
Previous trading close to listing-day close (2022-12-29).
Benchmark return in percent; not the index level or excess return.</t>
      </text>
    </comment>
    <comment ref="AP165" authorId="1" shapeId="0">
      <text>
        <t>Horizon close: 2023-01-06
5/21/63 traded sessions after debut; price-only return vs offer.</t>
      </text>
    </comment>
    <comment ref="AQ165" authorId="1" shapeId="0">
      <text>
        <t>Horizon close: 2023-02-02
5/21/63 traded sessions after debut; price-only return vs offer.</t>
      </text>
    </comment>
    <comment ref="AR165" authorId="1" shapeId="0">
      <text>
        <t>Horizon close: 2023-04-03
5/21/63 traded sessions after debut; price-only return vs offer.</t>
      </text>
    </comment>
    <comment ref="AI166" authorId="0" shapeId="0">
      <text>
        <t>Close: HK$6.34
Date: 2022-12-29
Venue: Phillip (etnet news story)
Source: etnet:news https://www.etnet.com.hk/www/tc/stocks/ipo-news-article/20221229386/</t>
      </text>
    </comment>
    <comment ref="AK166" authorId="1" shapeId="0">
      <text>
        <t>Hang Seng Commerce &amp; Industry sub-index
Previous trading close to listing-day close (2022-12-30).
Benchmark return in percent; not the index level or excess return.</t>
      </text>
    </comment>
    <comment ref="AP166" authorId="1" shapeId="0">
      <text>
        <t>Horizon close: 2023-01-09
5/21/63 traded sessions after debut; price-only return vs offer.</t>
      </text>
    </comment>
    <comment ref="AQ166" authorId="1" shapeId="0">
      <text>
        <t>Horizon close: 2023-02-03
5/21/63 traded sessions after debut; price-only return vs offer.</t>
      </text>
    </comment>
    <comment ref="AR166" authorId="1" shapeId="0">
      <text>
        <t>Horizon close: 2023-04-04
5/21/63 traded sessions after debut; price-only return vs offer.</t>
      </text>
    </comment>
    <comment ref="AI167" authorId="0" shapeId="0">
      <text>
        <t>Close: HK$18.04
Date: 2022-12-29
Venue: Phillip (etnet news story)
Source: etnet:news https://www.etnet.com.hk/www/tc/stocks/ipo-news-article/20221229388/</t>
      </text>
    </comment>
    <comment ref="AK167" authorId="1" shapeId="0">
      <text>
        <t>China Biotech ETF (HS biotech proxy)
Previous trading close to listing-day close (2022-12-30).
Benchmark return in percent; not the index level or excess return.</t>
      </text>
    </comment>
    <comment ref="AP167" authorId="1" shapeId="0">
      <text>
        <t>Horizon close: 2023-01-09
5/21/63 traded sessions after debut; price-only return vs offer.</t>
      </text>
    </comment>
    <comment ref="AQ167" authorId="1" shapeId="0">
      <text>
        <t>Horizon close: 2023-02-03
5/21/63 traded sessions after debut; price-only return vs offer.</t>
      </text>
    </comment>
    <comment ref="AR167" authorId="1" shapeId="0">
      <text>
        <t>Horizon close: 2023-04-04
5/21/63 traded sessions after debut; price-only return vs offer.</t>
      </text>
    </comment>
    <comment ref="AI168" authorId="0" shapeId="0">
      <text>
        <t>Close: HK$19.5
Date: 2022-12-29
Venue: Phillip (etnet news story)
Source: etnet:news https://www.etnet.com.hk/www/tc/stocks/ipo-news-article/20221229387/</t>
      </text>
    </comment>
    <comment ref="AK168" authorId="1" shapeId="0">
      <text>
        <t>China Biotech ETF (HS biotech proxy)
Previous trading close to listing-day close (2022-12-30).
Benchmark return in percent; not the index level or excess return.</t>
      </text>
    </comment>
    <comment ref="AP168" authorId="1" shapeId="0">
      <text>
        <t>Horizon close: 2023-01-09
5/21/63 traded sessions after debut; price-only return vs offer.</t>
      </text>
    </comment>
    <comment ref="AQ168" authorId="1" shapeId="0">
      <text>
        <t>Horizon close: 2023-02-03
5/21/63 traded sessions after debut; price-only return vs offer.</t>
      </text>
    </comment>
    <comment ref="AR168" authorId="1" shapeId="0">
      <text>
        <t>Horizon close: 2023-04-04
5/21/63 traded sessions after debut; price-only return vs offer.</t>
      </text>
    </comment>
    <comment ref="AI169" authorId="0" shapeId="0">
      <text>
        <t>Close: HK$10.4
Date: 2023-01-06
Venue: Phillip (etnet news story)
Source: etnet:news https://www.etnet.com.hk/www/tc/stocks/ipo-news-article/20230106424/</t>
      </text>
    </comment>
    <comment ref="AK169" authorId="1" shapeId="0">
      <text>
        <t>Hang Seng Commerce &amp; Industry sub-index
Previous trading close to listing-day close (2023-01-09).
Benchmark return in percent; not the index level or excess return.</t>
      </text>
    </comment>
    <comment ref="AP169" authorId="1" shapeId="0">
      <text>
        <t>Horizon close: 2023-01-16
5/21/63 traded sessions after debut; price-only return vs offer.</t>
      </text>
    </comment>
    <comment ref="AQ169" authorId="1" shapeId="0">
      <text>
        <t>Horizon close: 2023-02-10
5/21/63 traded sessions after debut; price-only return vs offer.</t>
      </text>
    </comment>
    <comment ref="AR169" authorId="1" shapeId="0">
      <text>
        <t>Horizon close: 2023-04-14
5/21/63 traded sessions after debut; price-only return vs offer.</t>
      </text>
    </comment>
    <comment ref="AI170" authorId="0" shapeId="0">
      <text>
        <t>Close: HK$60.05
Date: 2023-01-11
Venue: Phillip (etnet news story)
Source: etnet:news https://www.etnet.com.hk/www/tc/stocks/ipo-news-article/20230111424/</t>
      </text>
    </comment>
    <comment ref="AK170" authorId="1" shapeId="0">
      <text>
        <t>Hang Seng Commerce &amp; Industry sub-index
Previous trading close to listing-day close (2023-01-12).
Benchmark return in percent; not the index level or excess return.</t>
      </text>
    </comment>
    <comment ref="AP170" authorId="1" shapeId="0">
      <text>
        <t>Horizon close: 2023-01-19
5/21/63 traded sessions after debut; price-only return vs offer.</t>
      </text>
    </comment>
    <comment ref="AQ170" authorId="1" shapeId="0">
      <text>
        <t>Horizon close: 2023-02-15
5/21/63 traded sessions after debut; price-only return vs offer.</t>
      </text>
    </comment>
    <comment ref="AR170" authorId="1" shapeId="0">
      <text>
        <t>Horizon close: 2023-04-19
5/21/63 traded sessions after debut; price-only return vs offer.</t>
      </text>
    </comment>
    <comment ref="AI171" authorId="0" shapeId="0">
      <text>
        <t>Close: HK$0.7
Date: 2023-01-12
Venue: Phillip (etnet news story)
Source: etnet:news https://www.etnet.com.hk/www/tc/stocks/ipo-news-article/20230112405/</t>
      </text>
    </comment>
    <comment ref="AK171" authorId="1" shapeId="0">
      <text>
        <t>Hang Seng Commerce &amp; Industry sub-index
Previous trading close to listing-day close (2023-01-13).
Benchmark return in percent; not the index level or excess return.</t>
      </text>
    </comment>
    <comment ref="AP171" authorId="1" shapeId="0">
      <text>
        <t>Horizon close: 2023-01-20
5/21/63 traded sessions after debut; price-only return vs offer.</t>
      </text>
    </comment>
    <comment ref="AQ171" authorId="1" shapeId="0">
      <text>
        <t>Horizon close: 2023-02-16
5/21/63 traded sessions after debut; price-only return vs offer.</t>
      </text>
    </comment>
    <comment ref="AR171" authorId="1" shapeId="0">
      <text>
        <t>Horizon close: 2023-04-20
5/21/63 traded sessions after debut; price-only return vs offer.</t>
      </text>
    </comment>
    <comment ref="AI172" authorId="0" shapeId="0">
      <text>
        <t>Close: HK$6.52
Date: 2023-01-13
Venue: Phillip (etnet news story)
Source: etnet:news https://www.etnet.com.hk/www/tc/stocks/ipo-news-article/20230113414/</t>
      </text>
    </comment>
    <comment ref="AK172" authorId="1" shapeId="0">
      <text>
        <t>Hang Seng Commerce &amp; Industry sub-index
Previous trading close to listing-day close (2023-01-16).
Benchmark return in percent; not the index level or excess return.</t>
      </text>
    </comment>
    <comment ref="AP172" authorId="1" shapeId="0">
      <text>
        <t>Horizon close: 2023-01-26
5/21/63 traded sessions after debut; price-only return vs offer.</t>
      </text>
    </comment>
    <comment ref="AQ172" authorId="1" shapeId="0">
      <text>
        <t>Horizon close: 2023-02-17
5/21/63 traded sessions after debut; price-only return vs offer.</t>
      </text>
    </comment>
    <comment ref="AR172" authorId="1" shapeId="0">
      <text>
        <t>Horizon close: 2023-04-21
5/21/63 traded sessions after debut; price-only return vs offer.</t>
      </text>
    </comment>
    <comment ref="AI173" authorId="0" shapeId="0">
      <text>
        <t>Close: HK$28.65
Date: 2023-01-13
Venue: Phillip (etnet news story)
Source: etnet:news https://www.etnet.com.hk/www/tc/stocks/ipo-news-article/20230113416/</t>
      </text>
    </comment>
    <comment ref="AK173" authorId="1" shapeId="0">
      <text>
        <t>Hang Seng Commerce &amp; Industry sub-index
Previous trading close to listing-day close (2023-01-16).
Benchmark return in percent; not the index level or excess return.</t>
      </text>
    </comment>
    <comment ref="AP173" authorId="1" shapeId="0">
      <text>
        <t>Horizon close: 2023-01-26
5/21/63 traded sessions after debut; price-only return vs offer.</t>
      </text>
    </comment>
    <comment ref="AQ173" authorId="1" shapeId="0">
      <text>
        <t>Horizon close: 2023-02-17
5/21/63 traded sessions after debut; price-only return vs offer.</t>
      </text>
    </comment>
    <comment ref="AR173" authorId="1" shapeId="0">
      <text>
        <t>Horizon close: 2023-04-21
5/21/63 traded sessions after debut; price-only return vs offer.</t>
      </text>
    </comment>
    <comment ref="AI174" authorId="0" shapeId="0">
      <text>
        <t>Close: HK$5.61
Date: 2023-01-13
Venue: Phillip (etnet news story)
Source: etnet:news https://www.etnet.com.hk/www/tc/stocks/ipo-news-article/20230113415/</t>
      </text>
    </comment>
    <comment ref="AK174" authorId="1" shapeId="0">
      <text>
        <t>HSTECH (Hang Seng TECH ETF)
Previous trading close to listing-day close (2023-01-16).
Benchmark return in percent; not the index level or excess return.</t>
      </text>
    </comment>
    <comment ref="AP174" authorId="1" shapeId="0">
      <text>
        <t>Horizon close: 2023-01-26
5/21/63 traded sessions after debut; price-only return vs offer.</t>
      </text>
    </comment>
    <comment ref="AQ174" authorId="1" shapeId="0">
      <text>
        <t>Horizon close: 2023-02-17
5/21/63 traded sessions after debut; price-only return vs offer.</t>
      </text>
    </comment>
    <comment ref="AR174" authorId="1" shapeId="0">
      <text>
        <t>Horizon close: 2023-04-21
5/21/63 traded sessions after debut; price-only return vs offer.</t>
      </text>
    </comment>
    <comment ref="AI175" authorId="0" shapeId="0">
      <text>
        <t>Close: HK$1.65
Date: 2023-01-16
Venue: Phillip (etnet news story)
Source: etnet:news https://www.etnet.com.hk/www/tc/stocks/ipo-news-article/20230116181/</t>
      </text>
    </comment>
    <comment ref="AK175" authorId="1" shapeId="0">
      <text>
        <t>Hang Seng Commerce &amp; Industry sub-index
Previous trading close to listing-day close (2023-01-17).
Benchmark return in percent; not the index level or excess return.</t>
      </text>
    </comment>
    <comment ref="AP175" authorId="1" shapeId="0">
      <text>
        <t>Horizon close: 2023-01-27
5/21/63 traded sessions after debut; price-only return vs offer.</t>
      </text>
    </comment>
    <comment ref="AQ175" authorId="1" shapeId="0">
      <text>
        <t>Horizon close: 2023-02-20
5/21/63 traded sessions after debut; price-only return vs offer.</t>
      </text>
    </comment>
    <comment ref="AR175" authorId="1" shapeId="0">
      <text>
        <t>Horizon close: 2023-04-24
5/21/63 traded sessions after debut; price-only return vs offer.</t>
      </text>
    </comment>
    <comment ref="AI176" authorId="0" shapeId="0">
      <text>
        <t>Close: HK$1.3
Date: 2023-01-16
Venue: Phillip (etnet news story)
Source: etnet:news https://www.etnet.com.hk/www/tc/stocks/ipo-news-article/20230116180/</t>
      </text>
    </comment>
    <comment ref="AK176" authorId="1" shapeId="0">
      <text>
        <t>Hang Seng Properties sub-index
Previous trading close to listing-day close (2023-01-17).
Benchmark return in percent; not the index level or excess return.</t>
      </text>
    </comment>
    <comment ref="AP176" authorId="1" shapeId="0">
      <text>
        <t>Horizon close: 2023-01-27
5/21/63 traded sessions after debut; price-only return vs offer.</t>
      </text>
    </comment>
    <comment ref="AQ176" authorId="1" shapeId="0">
      <text>
        <t>Horizon close: 2023-02-20
5/21/63 traded sessions after debut; price-only return vs offer.</t>
      </text>
    </comment>
    <comment ref="AR176" authorId="1" shapeId="0">
      <text>
        <t>Horizon close: 2023-04-24
5/21/63 traded sessions after debut; price-only return vs offer.</t>
      </text>
    </comment>
    <comment ref="AI177" authorId="0" shapeId="0">
      <text>
        <t>Close: HK$5.82
Date: 2023-01-18
Venue: Phillip (etnet news story)
Source: etnet:news https://www.etnet.com.hk/www/tc/stocks/ipo-news-article/20230118382/</t>
      </text>
    </comment>
    <comment ref="AK177" authorId="1" shapeId="0">
      <text>
        <t>Hang Seng Index
Previous trading close to listing-day close (2023-01-19).
Benchmark return in percent; not the index level or excess return.</t>
      </text>
    </comment>
    <comment ref="AP177" authorId="1" shapeId="0">
      <text>
        <t>Horizon close: 2023-01-31
5/21/63 traded sessions after debut; price-only return vs offer.</t>
      </text>
    </comment>
    <comment ref="AQ177" authorId="1" shapeId="0">
      <text>
        <t>Horizon close: 2023-02-22
5/21/63 traded sessions after debut; price-only return vs offer.</t>
      </text>
    </comment>
    <comment ref="AR177" authorId="1" shapeId="0">
      <text>
        <t>Horizon close: 2023-04-26
5/21/63 traded sessions after debut; price-only return vs offer.</t>
      </text>
    </comment>
    <comment ref="AI178" authorId="0" shapeId="0">
      <text>
        <t>Close: HK$1.17
Date: 2023-01-19
Venue: Phillip (etnet news story)
Source: etnet:news https://www.etnet.com.hk/www/tc/stocks/ipo-news-article/20230119296/</t>
      </text>
    </comment>
    <comment ref="AK178" authorId="1" shapeId="0">
      <text>
        <t>Hang Seng Commerce &amp; Industry sub-index
Previous trading close to listing-day close (2023-01-20).
Benchmark return in percent; not the index level or excess return.</t>
      </text>
    </comment>
    <comment ref="AP178" authorId="1" shapeId="0">
      <text>
        <t>Horizon close: 2023-02-01
5/21/63 traded sessions after debut; price-only return vs offer.</t>
      </text>
    </comment>
    <comment ref="AQ178" authorId="1" shapeId="0">
      <text>
        <t>Horizon close: 2023-02-23
5/21/63 traded sessions after debut; price-only return vs offer.</t>
      </text>
    </comment>
    <comment ref="AR178" authorId="1" shapeId="0">
      <text>
        <t>Horizon close: 2023-04-27
5/21/63 traded sessions after debut; price-only return vs offer.</t>
      </text>
    </comment>
    <comment ref="AI179" authorId="0" shapeId="0">
      <text>
        <t>Close: HK$2.91
Date: 2023-03-08
Venue: Phillip (etnet news story)
Source: etnet:news https://www.etnet.com.hk/www/tc/stocks/ipo-news-article/20230308406/</t>
      </text>
    </comment>
    <comment ref="AK179" authorId="1" shapeId="0">
      <text>
        <t>Hang Seng Commerce &amp; Industry sub-index
Previous trading close to listing-day close (2023-03-09).
Benchmark return in percent; not the index level or excess return.</t>
      </text>
    </comment>
    <comment ref="AP179" authorId="1" shapeId="0">
      <text>
        <t>Horizon close: 2023-03-16
5/21/63 traded sessions after debut; price-only return vs offer.</t>
      </text>
    </comment>
    <comment ref="AQ179" authorId="1" shapeId="0">
      <text>
        <t>Horizon close: 2023-04-12
5/21/63 traded sessions after debut; price-only return vs offer.</t>
      </text>
    </comment>
    <comment ref="AR179" authorId="1" shapeId="0">
      <text>
        <t>Horizon close: 2023-06-13
5/21/63 traded sessions after debut; price-only return vs offer.</t>
      </text>
    </comment>
    <comment ref="AI180" authorId="0" shapeId="0">
      <text>
        <t>Close: HK$17.7
Date: 2023-03-09
Venue: Phillip (etnet news story)
Source: etnet:news https://www.etnet.com.hk/www/tc/stocks/ipo-news-article/20230309388/</t>
      </text>
    </comment>
    <comment ref="AK180" authorId="1" shapeId="0">
      <text>
        <t>Hang Seng Finance sub-index
Previous trading close to listing-day close (2023-03-10).
Benchmark return in percent; not the index level or excess return.</t>
      </text>
    </comment>
    <comment ref="AP180" authorId="1" shapeId="0">
      <text>
        <t>Horizon close: 2023-03-17
5/21/63 traded sessions after debut; price-only return vs offer.</t>
      </text>
    </comment>
    <comment ref="AQ180" authorId="1" shapeId="0">
      <text>
        <t>Horizon close: 2023-04-13
5/21/63 traded sessions after debut; price-only return vs offer.</t>
      </text>
    </comment>
    <comment ref="AR180" authorId="1" shapeId="0">
      <text>
        <t>Horizon close: 2023-06-14
5/21/63 traded sessions after debut; price-only return vs offer.</t>
      </text>
    </comment>
    <comment ref="AI181" authorId="0" shapeId="0">
      <text>
        <t>Close: HK$45.35
Date: 2023-03-27
Venue: Phillip (etnet news story)
Source: etnet:news https://www.etnet.com.hk/www/tc/stocks/ipo-news-article/20230327395/</t>
      </text>
    </comment>
    <comment ref="AK181" authorId="1" shapeId="0">
      <text>
        <t>Hang Seng Commerce &amp; Industry sub-index
Previous trading close to listing-day close (2023-03-28).
Benchmark return in percent; not the index level or excess return.</t>
      </text>
    </comment>
    <comment ref="AP181" authorId="1" shapeId="0">
      <text>
        <t>Horizon close: 2023-04-04
5/21/63 traded sessions after debut; price-only return vs offer.</t>
      </text>
    </comment>
    <comment ref="AQ181" authorId="1" shapeId="0">
      <text>
        <t>Horizon close: 2023-05-02
5/21/63 traded sessions after debut; price-only return vs offer.</t>
      </text>
    </comment>
    <comment ref="AR181" authorId="1" shapeId="0">
      <text>
        <t>Horizon close: 2023-07-03
5/21/63 traded sessions after debut; price-only return vs offer.</t>
      </text>
    </comment>
    <comment ref="AI182" authorId="0" shapeId="0">
      <text>
        <t>Close: HK$3.28
Date: 2023-03-28
Venue: Phillip (etnet news story)
Source: etnet:news https://www.etnet.com.hk/www/tc/stocks/ipo-news-article/20230328180/</t>
      </text>
    </comment>
    <comment ref="AK182" authorId="1" shapeId="0">
      <text>
        <t>Hang Seng Commerce &amp; Industry sub-index
Previous trading close to listing-day close (2023-03-29).
Benchmark return in percent; not the index level or excess return.</t>
      </text>
    </comment>
    <comment ref="AP182" authorId="1" shapeId="0">
      <text>
        <t>Horizon close: 2023-04-06
5/21/63 traded sessions after debut; price-only return vs offer.</t>
      </text>
    </comment>
    <comment ref="AQ182" authorId="1" shapeId="0">
      <text>
        <t>Horizon close: 2023-05-03
5/21/63 traded sessions after debut; price-only return vs offer.</t>
      </text>
    </comment>
    <comment ref="AR182" authorId="1" shapeId="0">
      <text>
        <t>Horizon close: 2023-07-04
5/21/63 traded sessions after debut; price-only return vs offer.</t>
      </text>
    </comment>
    <comment ref="AI183" authorId="0" shapeId="0">
      <text>
        <t>Close: HK$2.69
Date: 2023-03-29
Venue: Phillip (etnet news story)
Source: etnet:news https://www.etnet.com.hk/www/tc/stocks/ipo-news-article/20230329408/</t>
      </text>
    </comment>
    <comment ref="AK183" authorId="1" shapeId="0">
      <text>
        <t>Hang Seng Commerce &amp; Industry sub-index
Previous trading close to listing-day close (2023-03-30).
Benchmark return in percent; not the index level or excess return.</t>
      </text>
    </comment>
    <comment ref="AP183" authorId="1" shapeId="0">
      <text>
        <t>Horizon close: 2023-04-11
5/21/63 traded sessions after debut; price-only return vs offer.</t>
      </text>
    </comment>
    <comment ref="AQ183" authorId="1" shapeId="0">
      <text>
        <t>Horizon close: 2023-05-04
5/21/63 traded sessions after debut; price-only return vs offer.</t>
      </text>
    </comment>
    <comment ref="AR183" authorId="1" shapeId="0">
      <text>
        <t>Horizon close: 2023-07-05
5/21/63 traded sessions after debut; price-only return vs offer.</t>
      </text>
    </comment>
    <comment ref="AI184" authorId="0" shapeId="0">
      <text>
        <t>Close: HK$0.81
Date: 2023-03-30
Venue: Phillip (etnet news story)
Source: etnet:news https://www.etnet.com.hk/www/tc/stocks/ipo-news-article/20230330204/</t>
      </text>
    </comment>
    <comment ref="AK184" authorId="1" shapeId="0">
      <text>
        <t>Hang Seng Index
Previous trading close to listing-day close (2023-03-31).
Benchmark return in percent; not the index level or excess return.</t>
      </text>
    </comment>
    <comment ref="AP184" authorId="1" shapeId="0">
      <text>
        <t>Horizon close: 2023-04-12
5/21/63 traded sessions after debut; price-only return vs offer.</t>
      </text>
    </comment>
    <comment ref="AQ184" authorId="1" shapeId="0">
      <text>
        <t>Horizon close: 2023-05-05
5/21/63 traded sessions after debut; price-only return vs offer.</t>
      </text>
    </comment>
    <comment ref="AR184" authorId="1" shapeId="0">
      <text>
        <t>Horizon close: 2023-07-06
5/21/63 traded sessions after debut; price-only return vs offer.</t>
      </text>
    </comment>
    <comment ref="AI185" authorId="0" shapeId="0">
      <text>
        <t>Close: HK$0.62
Date: 2023-03-30
Venue: Phillip (etnet news story)
Source: etnet:news https://www.etnet.com.hk/www/tc/stocks/ipo-news-article/20230330205/</t>
      </text>
    </comment>
    <comment ref="AK185" authorId="1" shapeId="0">
      <text>
        <t>Hang Seng Commerce &amp; Industry sub-index
Previous trading close to listing-day close (2023-03-31).
Benchmark return in percent; not the index level or excess return.</t>
      </text>
    </comment>
    <comment ref="AP185" authorId="1" shapeId="0">
      <text>
        <t>Horizon close: 2023-04-12
5/21/63 traded sessions after debut; price-only return vs offer.</t>
      </text>
    </comment>
    <comment ref="AQ185" authorId="1" shapeId="0">
      <text>
        <t>Horizon close: 2023-05-05
5/21/63 traded sessions after debut; price-only return vs offer.</t>
      </text>
    </comment>
    <comment ref="AR185" authorId="1" shapeId="0">
      <text>
        <t>Horizon close: 2023-07-06
5/21/63 traded sessions after debut; price-only return vs offer.</t>
      </text>
    </comment>
    <comment ref="AI186" authorId="0" shapeId="0">
      <text>
        <t>Close: HK$29.75
Date: 2023-04-12
Venue: Phillip (etnet news story)
Source: etnet:news https://www.etnet.com.hk/www/tc/stocks/ipo-news-article/20230412412/</t>
      </text>
    </comment>
    <comment ref="AK186" authorId="1" shapeId="0">
      <text>
        <t>HSTECH (Hang Seng TECH ETF)
Previous trading close to listing-day close (2023-04-13).
Benchmark return in percent; not the index level or excess return.</t>
      </text>
    </comment>
    <comment ref="AP186" authorId="1" shapeId="0">
      <text>
        <t>Horizon close: 2023-04-20
5/21/63 traded sessions after debut; price-only return vs offer.</t>
      </text>
    </comment>
    <comment ref="AQ186" authorId="1" shapeId="0">
      <text>
        <t>Horizon close: 2023-05-15
5/21/63 traded sessions after debut; price-only return vs offer.</t>
      </text>
    </comment>
    <comment ref="AR186" authorId="1" shapeId="0">
      <text>
        <t>Horizon close: 2023-07-14
5/21/63 traded sessions after debut; price-only return vs offer.</t>
      </text>
    </comment>
    <comment ref="AI187" authorId="0" shapeId="0">
      <text>
        <t>Close: HK$10.28
Date: 2023-04-26
Venue: Phillip (etnet news story)
Source: etnet:news https://www.etnet.com.hk/www/tc/stocks/ipo-news-article/20230426382/</t>
      </text>
    </comment>
    <comment ref="AK187" authorId="1" shapeId="0">
      <text>
        <t>Hang Seng Commerce &amp; Industry sub-index
Previous trading close to listing-day close (2023-04-27).
Benchmark return in percent; not the index level or excess return.</t>
      </text>
    </comment>
    <comment ref="AP187" authorId="1" shapeId="0">
      <text>
        <t>Horizon close: 2023-05-05
5/21/63 traded sessions after debut; price-only return vs offer.</t>
      </text>
    </comment>
    <comment ref="AQ187" authorId="1" shapeId="0">
      <text>
        <t>Horizon close: 2023-05-30
5/21/63 traded sessions after debut; price-only return vs offer.</t>
      </text>
    </comment>
    <comment ref="AR187" authorId="1" shapeId="0">
      <text>
        <t>Horizon close: 2023-07-31
5/21/63 traded sessions after debut; price-only return vs offer.</t>
      </text>
    </comment>
    <comment ref="AI188" authorId="0" shapeId="0">
      <text>
        <t>Close: HK$8.85
Date: 2023-04-26
Venue: Phillip (etnet news story)
Source: etnet:news https://www.etnet.com.hk/www/tc/stocks/ipo-news-article/20230426381/</t>
      </text>
    </comment>
    <comment ref="AK188" authorId="1" shapeId="0">
      <text>
        <t>China Biotech ETF (HS biotech proxy)
Previous trading close to listing-day close (2023-04-27).
Benchmark return in percent; not the index level or excess return.</t>
      </text>
    </comment>
    <comment ref="AP188" authorId="1" shapeId="0">
      <text>
        <t>Horizon close: 2023-05-05
5/21/63 traded sessions after debut; price-only return vs offer.</t>
      </text>
    </comment>
    <comment ref="AQ188" authorId="1" shapeId="0">
      <text>
        <t>Horizon close: 2023-05-30
5/21/63 traded sessions after debut; price-only return vs offer.</t>
      </text>
    </comment>
    <comment ref="AR188" authorId="1" shapeId="0">
      <text>
        <t>Horizon close: 2023-07-31
5/21/63 traded sessions after debut; price-only return vs offer.</t>
      </text>
    </comment>
    <comment ref="AI189" authorId="0" shapeId="0">
      <text>
        <t>Close: HK$31.45
Date: 2023-05-05
Venue: Phillip (etnet news story)
Source: etnet:news https://www.etnet.com.hk/www/tc/stocks/ipo-news-article/20230505388/</t>
      </text>
    </comment>
    <comment ref="AK189" authorId="1" shapeId="0">
      <text>
        <t>China Biotech ETF (HS biotech proxy)
Previous trading close to listing-day close (2023-05-08).
Benchmark return in percent; not the index level or excess return.</t>
      </text>
    </comment>
    <comment ref="AP189" authorId="1" shapeId="0">
      <text>
        <t>Horizon close: 2023-05-15
5/21/63 traded sessions after debut; price-only return vs offer.</t>
      </text>
    </comment>
    <comment ref="AQ189" authorId="1" shapeId="0">
      <text>
        <t>Horizon close: 2023-06-07
5/21/63 traded sessions after debut; price-only return vs offer.</t>
      </text>
    </comment>
    <comment ref="AR189" authorId="1" shapeId="0">
      <text>
        <t>Horizon close: 2023-08-08
5/21/63 traded sessions after debut; price-only return vs offer.</t>
      </text>
    </comment>
    <comment ref="AI190" authorId="0" shapeId="0">
      <text>
        <t>Close: HK$0.9
Date: 2023-05-08
Venue: Phillip (etnet news story)
Source: etnet:news https://www.etnet.com.hk/www/tc/stocks/ipo-news-article/20230508412/</t>
      </text>
    </comment>
    <comment ref="AK190" authorId="1" shapeId="0">
      <text>
        <t>Hang Seng Commerce &amp; Industry sub-index
Previous trading close to listing-day close (2023-05-09).
Benchmark return in percent; not the index level or excess return.</t>
      </text>
    </comment>
    <comment ref="AP190" authorId="1" shapeId="0">
      <text>
        <t>Horizon close: 2023-05-16
5/21/63 traded sessions after debut; price-only return vs offer.</t>
      </text>
    </comment>
    <comment ref="AQ190" authorId="1" shapeId="0">
      <text>
        <t>Horizon close: 2023-06-08
5/21/63 traded sessions after debut; price-only return vs offer.</t>
      </text>
    </comment>
    <comment ref="AR190" authorId="1" shapeId="0">
      <text>
        <t>Horizon close: 2023-08-09
5/21/63 traded sessions after debut; price-only return vs offer.</t>
      </text>
    </comment>
    <comment ref="AI191" authorId="0" shapeId="0">
      <text>
        <t>Close: HK$10.2
Date: 2023-05-10
Venue: Phillip (etnet news story)
Source: etnet:news https://www.etnet.com.hk/www/tc/stocks/ipo-news-article/20230510405/</t>
      </text>
    </comment>
    <comment ref="AK191" authorId="1" shapeId="0">
      <text>
        <t>Hang Seng Index
Previous trading close to listing-day close (2023-05-11).
Benchmark return in percent; not the index level or excess return.</t>
      </text>
    </comment>
    <comment ref="AP191" authorId="1" shapeId="0">
      <text>
        <t>Horizon close: 2023-05-18
5/21/63 traded sessions after debut; price-only return vs offer.</t>
      </text>
    </comment>
    <comment ref="AQ191" authorId="1" shapeId="0">
      <text>
        <t>Horizon close: 2023-06-12
5/21/63 traded sessions after debut; price-only return vs offer.</t>
      </text>
    </comment>
    <comment ref="AR191" authorId="1" shapeId="0">
      <text>
        <t>Horizon close: 2023-08-11
5/21/63 traded sessions after debut; price-only return vs offer.</t>
      </text>
    </comment>
    <comment ref="AI192" authorId="0" shapeId="0">
      <text>
        <t>Close: HK$3.6
Date: 2023-05-24
Venue: Phillip (etnet news story)
Source: etnet:news https://www.etnet.com.hk/www/tc/stocks/ipo-news-article/20230524387/</t>
      </text>
    </comment>
    <comment ref="AK192" authorId="1" shapeId="0">
      <text>
        <t>Hang Seng Commerce &amp; Industry sub-index
Previous trading close to listing-day close (2023-05-25).
Benchmark return in percent; not the index level or excess return.</t>
      </text>
    </comment>
    <comment ref="AP192" authorId="1" shapeId="0">
      <text>
        <t>Horizon close: 2023-06-02
5/21/63 traded sessions after debut; price-only return vs offer.</t>
      </text>
    </comment>
    <comment ref="AQ192" authorId="1" shapeId="0">
      <text>
        <t>Horizon close: 2023-06-27
5/21/63 traded sessions after debut; price-only return vs offer.</t>
      </text>
    </comment>
    <comment ref="AR192" authorId="1" shapeId="0">
      <text>
        <t>Horizon close: 2023-08-25
5/21/63 traded sessions after debut; price-only return vs offer.</t>
      </text>
    </comment>
    <comment ref="AI193" authorId="0" shapeId="0">
      <text>
        <t>Close: HK$9.78
Date: 2023-05-24
Venue: Phillip (etnet news story)
Source: etnet:news https://www.etnet.com.hk/www/tc/stocks/ipo-news-article/20230524386/</t>
      </text>
    </comment>
    <comment ref="AK193" authorId="1" shapeId="0">
      <text>
        <t>HSTECH (Hang Seng TECH ETF)
Previous trading close to listing-day close (2023-05-25).
Benchmark return in percent; not the index level or excess return.</t>
      </text>
    </comment>
    <comment ref="AP193" authorId="1" shapeId="0">
      <text>
        <t>Horizon close: 2023-06-02
5/21/63 traded sessions after debut; price-only return vs offer.</t>
      </text>
    </comment>
    <comment ref="AQ193" authorId="1" shapeId="0">
      <text>
        <t>Horizon close: 2023-06-27
5/21/63 traded sessions after debut; price-only return vs offer.</t>
      </text>
    </comment>
    <comment ref="AR193" authorId="1" shapeId="0">
      <text>
        <t>Horizon close: 2023-08-25
5/21/63 traded sessions after debut; price-only return vs offer.</t>
      </text>
    </comment>
    <comment ref="AI194" authorId="0" shapeId="0">
      <text>
        <t>Close: HK$21.5
Date: 2023-06-09
Venue: Phillip (etnet news story)
Source: etnet:news https://www.etnet.com.hk/www/tc/stocks/ipo-news-article/20230609306/</t>
      </text>
    </comment>
    <comment ref="AK194" authorId="1" shapeId="0">
      <text>
        <t>China Biotech ETF (HS biotech proxy)
Previous trading close to listing-day close (2023-06-12).
Benchmark return in percent; not the index level or excess return.</t>
      </text>
    </comment>
    <comment ref="AP194" authorId="1" shapeId="0">
      <text>
        <t>Horizon close: 2023-06-19
5/21/63 traded sessions after debut; price-only return vs offer.</t>
      </text>
    </comment>
    <comment ref="AQ194" authorId="1" shapeId="0">
      <text>
        <t>Horizon close: 2023-07-12
5/21/63 traded sessions after debut; price-only return vs offer.</t>
      </text>
    </comment>
    <comment ref="AR194" authorId="1" shapeId="0">
      <text>
        <t>Horizon close: 2023-09-13
5/21/63 traded sessions after debut; price-only return vs offer.</t>
      </text>
    </comment>
    <comment ref="AI195" authorId="0" shapeId="0">
      <text>
        <t>Close: HK$26
Date: 2023-06-27
Venue: Phillip (etnet news story)
Source: etnet:news https://www.etnet.com.hk/www/tc/stocks/ipo-news-article/20230627388/</t>
      </text>
    </comment>
    <comment ref="AK195" authorId="1" shapeId="0">
      <text>
        <t>China Biotech ETF (HS biotech proxy)
Previous trading close to listing-day close (2023-06-28).
Benchmark return in percent; not the index level or excess return.</t>
      </text>
    </comment>
    <comment ref="AP195" authorId="1" shapeId="0">
      <text>
        <t>Horizon close: 2023-07-05
5/21/63 traded sessions after debut; price-only return vs offer.</t>
      </text>
    </comment>
    <comment ref="AQ195" authorId="1" shapeId="0">
      <text>
        <t>Horizon close: 2023-07-28
5/21/63 traded sessions after debut; price-only return vs offer.</t>
      </text>
    </comment>
    <comment ref="AR195" authorId="1" shapeId="0">
      <text>
        <t>Horizon close: 2023-09-28
5/21/63 traded sessions after debut; price-only return vs offer.</t>
      </text>
    </comment>
    <comment ref="AI196" authorId="0" shapeId="0">
      <text>
        <t>Close: HK$13.14
Date: 2023-06-28
Venue: Phillip (etnet news story)
Source: etnet:news https://www.etnet.com.hk/www/tc/stocks/ipo-news-article/20230628304/</t>
      </text>
    </comment>
    <comment ref="AK196" authorId="1" shapeId="0">
      <text>
        <t>China Biotech ETF (HS biotech proxy)
Previous trading close to listing-day close (2023-06-29).
Benchmark return in percent; not the index level or excess return.</t>
      </text>
    </comment>
    <comment ref="AP196" authorId="1" shapeId="0">
      <text>
        <t>Horizon close: 2023-07-06
5/21/63 traded sessions after debut; price-only return vs offer.</t>
      </text>
    </comment>
    <comment ref="AQ196" authorId="1" shapeId="0">
      <text>
        <t>Horizon close: 2023-07-31
5/21/63 traded sessions after debut; price-only return vs offer.</t>
      </text>
    </comment>
    <comment ref="AR196" authorId="1" shapeId="0">
      <text>
        <t>Horizon close: 2023-09-29
5/21/63 traded sessions after debut; price-only return vs offer.</t>
      </text>
    </comment>
    <comment ref="AI197" authorId="0" shapeId="0">
      <text>
        <t>Close: HK$12.46
Date: 2023-06-29
Venue: Phillip (etnet news story)
Source: etnet:news https://www.etnet.com.hk/www/tc/stocks/ipo-news-article/20230629398/</t>
      </text>
    </comment>
    <comment ref="AK197" authorId="1" shapeId="0">
      <text>
        <t>China Biotech ETF (HS biotech proxy)
Previous trading close to listing-day close (2023-06-30).
Benchmark return in percent; not the index level or excess return.</t>
      </text>
    </comment>
    <comment ref="AP197" authorId="1" shapeId="0">
      <text>
        <t>Horizon close: 2023-07-07
5/21/63 traded sessions after debut; price-only return vs offer.</t>
      </text>
    </comment>
    <comment ref="AQ197" authorId="1" shapeId="0">
      <text>
        <t>Horizon close: 2023-08-01
5/21/63 traded sessions after debut; price-only return vs offer.</t>
      </text>
    </comment>
    <comment ref="AR197" authorId="1" shapeId="0">
      <text>
        <t>Horizon close: 2023-10-03
5/21/63 traded sessions after debut; price-only return vs offer.</t>
      </text>
    </comment>
    <comment ref="AI198" authorId="0" shapeId="0">
      <text>
        <t>Close: HK$3.49
Date: 2023-07-07
Venue: Phillip (etnet news story)
Source: etnet:news https://www.etnet.com.hk/www/tc/stocks/ipo-news-article/20230707381/</t>
      </text>
    </comment>
    <comment ref="AK198" authorId="1" shapeId="0">
      <text>
        <t>Hang Seng Commerce &amp; Industry sub-index
Previous trading close to listing-day close (2023-07-10).
Benchmark return in percent; not the index level or excess return.</t>
      </text>
    </comment>
    <comment ref="AP198" authorId="1" shapeId="0">
      <text>
        <t>Horizon close: 2023-07-18
5/21/63 traded sessions after debut; price-only return vs offer.</t>
      </text>
    </comment>
    <comment ref="AQ198" authorId="1" shapeId="0">
      <text>
        <t>Horizon close: 2023-08-09
5/21/63 traded sessions after debut; price-only return vs offer.</t>
      </text>
    </comment>
    <comment ref="AR198" authorId="1" shapeId="0">
      <text>
        <t>Horizon close: 2023-10-11
5/21/63 traded sessions after debut; price-only return vs offer.</t>
      </text>
    </comment>
    <comment ref="AI199" authorId="0" shapeId="0">
      <text>
        <t>Close: HK$60.6
Date: 2023-07-10
Venue: Phillip (etnet news story)
Source: etnet:news https://www.etnet.com.hk/www/tc/stocks/ipo-news-article/20230710363/</t>
      </text>
    </comment>
    <comment ref="AK199" authorId="1" shapeId="0">
      <text>
        <t>China Biotech ETF (HS biotech proxy)
Previous trading close to listing-day close (2023-07-11).
Benchmark return in percent; not the index level or excess return.</t>
      </text>
    </comment>
    <comment ref="AP199" authorId="1" shapeId="0">
      <text>
        <t>Horizon close: 2023-07-19
5/21/63 traded sessions after debut; price-only return vs offer.</t>
      </text>
    </comment>
    <comment ref="AQ199" authorId="1" shapeId="0">
      <text>
        <t>Horizon close: 2023-08-10
5/21/63 traded sessions after debut; price-only return vs offer.</t>
      </text>
    </comment>
    <comment ref="AR199" authorId="1" shapeId="0">
      <text>
        <t>Horizon close: 2023-10-12
5/21/63 traded sessions after debut; price-only return vs offer.</t>
      </text>
    </comment>
    <comment ref="AI200" authorId="0" shapeId="0">
      <text>
        <t>Close: HK$29.5
Date: 2023-07-11
Venue: Phillip (etnet news story)
Source: etnet:news https://www.etnet.com.hk/www/tc/stocks/ipo-news-article/20230711386/</t>
      </text>
    </comment>
    <comment ref="AK200" authorId="1" shapeId="0">
      <text>
        <t>HSTECH (Hang Seng TECH ETF)
Previous trading close to listing-day close (2023-07-12).
Benchmark return in percent; not the index level or excess return.</t>
      </text>
    </comment>
    <comment ref="AP200" authorId="1" shapeId="0">
      <text>
        <t>Horizon close: 2023-07-20
5/21/63 traded sessions after debut; price-only return vs offer.</t>
      </text>
    </comment>
    <comment ref="AQ200" authorId="1" shapeId="0">
      <text>
        <t>Horizon close: 2023-08-11
5/21/63 traded sessions after debut; price-only return vs offer.</t>
      </text>
    </comment>
    <comment ref="AR200" authorId="1" shapeId="0">
      <text>
        <t>Horizon close: 2023-10-13
5/21/63 traded sessions after debut; price-only return vs offer.</t>
      </text>
    </comment>
    <comment ref="AI201" authorId="0" shapeId="0">
      <text>
        <t>Close: HK$5.67
Date: 2023-07-12
Venue: Phillip (etnet news story)
Source: etnet:news https://www.etnet.com.hk/www/tc/stocks/ipo-news-article/20230712362/</t>
      </text>
    </comment>
    <comment ref="AK201" authorId="1" shapeId="0">
      <text>
        <t>Hang Seng Index
Previous trading close to listing-day close (2023-07-13).
Benchmark return in percent; not the index level or excess return.</t>
      </text>
    </comment>
    <comment ref="AP201" authorId="1" shapeId="0">
      <text>
        <t>Horizon close: 2023-07-21
5/21/63 traded sessions after debut; price-only return vs offer.</t>
      </text>
    </comment>
    <comment ref="AQ201" authorId="1" shapeId="0">
      <text>
        <t>Horizon close: 2023-08-14
5/21/63 traded sessions after debut; price-only return vs offer.</t>
      </text>
    </comment>
    <comment ref="AR201" authorId="1" shapeId="0">
      <text>
        <t>Horizon close: 2023-10-16
5/21/63 traded sessions after debut; price-only return vs offer.</t>
      </text>
    </comment>
    <comment ref="H202" authorId="2" shapeId="0">
      <text>
        <t>scheduled 2023-07-17, exchange closed that day; first dealings 2023-07-18</t>
      </text>
    </comment>
    <comment ref="AI202" authorId="0" shapeId="0">
      <text>
        <t>Close: HK$0.94
Date: 2023-07-14
Venue: Phillip (etnet news story)
Source: etnet:news https://www.etnet.com.hk/www/tc/stocks/ipo-news-article/20230714305/</t>
      </text>
    </comment>
    <comment ref="AK202" authorId="1" shapeId="0">
      <text>
        <t>Hang Seng Index
Previous trading close to listing-day close (2023-07-18).
Benchmark return in percent; not the index level or excess return.</t>
      </text>
    </comment>
    <comment ref="AP202" authorId="1" shapeId="0">
      <text>
        <t>Horizon close: 2023-07-25
5/21/63 traded sessions after debut; price-only return vs offer.</t>
      </text>
    </comment>
    <comment ref="AQ202" authorId="1" shapeId="0">
      <text>
        <t>Horizon close: 2023-08-16
5/21/63 traded sessions after debut; price-only return vs offer.</t>
      </text>
    </comment>
    <comment ref="AR202" authorId="1" shapeId="0">
      <text>
        <t>Horizon close: 2023-10-18
5/21/63 traded sessions after debut; price-only return vs offer.</t>
      </text>
    </comment>
    <comment ref="AI203" authorId="0" shapeId="0">
      <text>
        <t>close not verified in the captured sources; historical press archives may hold one</t>
      </text>
    </comment>
    <comment ref="AK203" authorId="1" shapeId="0">
      <text>
        <t>Hang Seng Properties sub-index
Previous trading close to listing-day close (2023-07-18).
Benchmark return in percent; not the index level or excess return.</t>
      </text>
    </comment>
    <comment ref="AP203" authorId="1" shapeId="0">
      <text>
        <t>Horizon close: 2023-07-25
5/21/63 traded sessions after debut; price-only return vs offer.</t>
      </text>
    </comment>
    <comment ref="AQ203" authorId="1" shapeId="0">
      <text>
        <t>Horizon close: 2023-08-16
5/21/63 traded sessions after debut; price-only return vs offer.</t>
      </text>
    </comment>
    <comment ref="AR203" authorId="1" shapeId="0">
      <text>
        <t>Horizon close: 2023-10-18
5/21/63 traded sessions after debut; price-only return vs offer.</t>
      </text>
    </comment>
    <comment ref="AI204" authorId="0" shapeId="0">
      <text>
        <t>Close: HK$21
Date: 2023-09-04
Venue: Phillip (etnet news story)
Source: etnet:news https://www.etnet.com.hk/www/tc/stocks/ipo-news-article/20230904979/</t>
      </text>
    </comment>
    <comment ref="AK204" authorId="1" shapeId="0">
      <text>
        <t>China Biotech ETF (HS biotech proxy)
Previous trading close to listing-day close (2023-09-05).
Benchmark return in percent; not the index level or excess return.</t>
      </text>
    </comment>
    <comment ref="AP204" authorId="1" shapeId="0">
      <text>
        <t>Horizon close: 2023-09-13
5/21/63 traded sessions after debut; price-only return vs offer.</t>
      </text>
    </comment>
    <comment ref="AQ204" authorId="1" shapeId="0">
      <text>
        <t>Horizon close: 2023-10-06
5/21/63 traded sessions after debut; price-only return vs offer.</t>
      </text>
    </comment>
    <comment ref="AR204" authorId="1" shapeId="0">
      <text>
        <t>Horizon close: 2023-12-06
5/21/63 traded sessions after debut; price-only return vs offer.</t>
      </text>
    </comment>
    <comment ref="AI205" authorId="0" shapeId="0">
      <text>
        <t>Close: HK$16.6
Date: 2023-09-22
Venue: Phillip (etnet news story)
Source: etnet:news https://www.etnet.com.hk/www/tc/stocks/ipo-news-article/20230922414/</t>
      </text>
    </comment>
    <comment ref="AK205" authorId="1" shapeId="0">
      <text>
        <t>China Biotech ETF (HS biotech proxy)
Previous trading close to listing-day close (2023-09-25).
Benchmark return in percent; not the index level or excess return.</t>
      </text>
    </comment>
    <comment ref="AP205" authorId="1" shapeId="0">
      <text>
        <t>Horizon close: 2023-10-03
5/21/63 traded sessions after debut; price-only return vs offer.</t>
      </text>
    </comment>
    <comment ref="AQ205" authorId="1" shapeId="0">
      <text>
        <t>Horizon close: 2023-10-26
5/21/63 traded sessions after debut; price-only return vs offer.</t>
      </text>
    </comment>
    <comment ref="AR205" authorId="1" shapeId="0">
      <text>
        <t>Horizon close: 2023-12-27
5/21/63 traded sessions after debut; price-only return vs offer.</t>
      </text>
    </comment>
    <comment ref="AI206" authorId="0" shapeId="0">
      <text>
        <t>Close: HK$5.07
Date: 2023-09-22
Venue: Phillip (etnet news story)
Source: etnet:news https://www.etnet.com.hk/www/tc/stocks/ipo-news-article/20230922413/</t>
      </text>
    </comment>
    <comment ref="AK206" authorId="1" shapeId="0">
      <text>
        <t>Hang Seng Commerce &amp; Industry sub-index
Previous trading close to listing-day close (2023-09-25).
Benchmark return in percent; not the index level or excess return.</t>
      </text>
    </comment>
    <comment ref="AP206" authorId="1" shapeId="0">
      <text>
        <t>Horizon close: 2023-10-03
5/21/63 traded sessions after debut; price-only return vs offer.</t>
      </text>
    </comment>
    <comment ref="AQ206" authorId="1" shapeId="0">
      <text>
        <t>Horizon close: 2023-10-26
5/21/63 traded sessions after debut; price-only return vs offer.</t>
      </text>
    </comment>
    <comment ref="AR206" authorId="1" shapeId="0">
      <text>
        <t>Horizon close: 2023-12-27
5/21/63 traded sessions after debut; price-only return vs offer.</t>
      </text>
    </comment>
    <comment ref="AI207" authorId="0" shapeId="0">
      <text>
        <t>Close: HK$27
Date: 2023-09-25
Venue: Phillip (etnet news story)
Source: etnet:news https://www.etnet.com.hk/www/tc/stocks/ipo-news-article/20230925403/</t>
      </text>
    </comment>
    <comment ref="AK207" authorId="1" shapeId="0">
      <text>
        <t>HSTECH (Hang Seng TECH ETF)
Previous trading close to listing-day close (2023-09-26).
Benchmark return in percent; not the index level or excess return.</t>
      </text>
    </comment>
    <comment ref="AP207" authorId="1" shapeId="0">
      <text>
        <t>Horizon close: 2023-10-04
5/21/63 traded sessions after debut; price-only return vs offer.</t>
      </text>
    </comment>
    <comment ref="AQ207" authorId="1" shapeId="0">
      <text>
        <t>Horizon close: 2023-10-27
5/21/63 traded sessions after debut; price-only return vs offer.</t>
      </text>
    </comment>
    <comment ref="AR207" authorId="1" shapeId="0">
      <text>
        <t>Horizon close: 2023-12-28
5/21/63 traded sessions after debut; price-only return vs offer.</t>
      </text>
    </comment>
    <comment ref="AI208" authorId="0" shapeId="0">
      <text>
        <t>Close: HK$3.61
Date: 2023-09-27
Venue: Phillip (etnet news story)
Source: etnet:news https://www.etnet.com.hk/www/tc/stocks/ipo-news-article/20230927387/</t>
      </text>
    </comment>
    <comment ref="AK208" authorId="1" shapeId="0">
      <text>
        <t>China Biotech ETF (HS biotech proxy)
Previous trading close to listing-day close (2023-09-28).
Benchmark return in percent; not the index level or excess return.</t>
      </text>
    </comment>
    <comment ref="AP208" authorId="1" shapeId="0">
      <text>
        <t>Horizon close: 2023-10-06
5/21/63 traded sessions after debut; price-only return vs offer.</t>
      </text>
    </comment>
    <comment ref="AQ208" authorId="1" shapeId="0">
      <text>
        <t>Horizon close: 2023-10-31
5/21/63 traded sessions after debut; price-only return vs offer.</t>
      </text>
    </comment>
    <comment ref="AR208" authorId="1" shapeId="0">
      <text>
        <t>Horizon close: 2024-01-02
5/21/63 traded sessions after debut; price-only return vs offer.</t>
      </text>
    </comment>
    <comment ref="AI209" authorId="0" shapeId="0">
      <text>
        <t>Close: HK$13.9
Date: 2023-09-27
Venue: Phillip (etnet news story)
Source: etnet:news https://www.etnet.com.hk/www/tc/stocks/ipo-news-article/20230927388/</t>
      </text>
    </comment>
    <comment ref="AK209" authorId="1" shapeId="0">
      <text>
        <t>Hang Seng Index
Previous trading close to listing-day close (2023-09-28).
Benchmark return in percent; not the index level or excess return.</t>
      </text>
    </comment>
    <comment ref="AP209" authorId="1" shapeId="0">
      <text>
        <t>Horizon close: 2023-10-06
5/21/63 traded sessions after debut; price-only return vs offer.</t>
      </text>
    </comment>
    <comment ref="AQ209" authorId="1" shapeId="0">
      <text>
        <t>Horizon close: 2023-10-31
5/21/63 traded sessions after debut; price-only return vs offer.</t>
      </text>
    </comment>
    <comment ref="AR209" authorId="1" shapeId="0">
      <text>
        <t>Horizon close: 2024-01-02
5/21/63 traded sessions after debut; price-only return vs offer.</t>
      </text>
    </comment>
    <comment ref="AI210" authorId="0" shapeId="0">
      <text>
        <t>Close: HK$61
Date: 2023-09-27
Venue: Phillip (etnet news story)
Source: etnet:news https://www.etnet.com.hk/www/tc/stocks/ipo-news-article/20230927389/</t>
      </text>
    </comment>
    <comment ref="AK210" authorId="1" shapeId="0">
      <text>
        <t>HSTECH (Hang Seng TECH ETF)
Previous trading close to listing-day close (2023-09-28).
Benchmark return in percent; not the index level or excess return.</t>
      </text>
    </comment>
    <comment ref="AP210" authorId="1" shapeId="0">
      <text>
        <t>Horizon close: 2023-10-06
5/21/63 traded sessions after debut; price-only return vs offer.</t>
      </text>
    </comment>
    <comment ref="AQ210" authorId="1" shapeId="0">
      <text>
        <t>Horizon close: 2023-10-31
5/21/63 traded sessions after debut; price-only return vs offer.</t>
      </text>
    </comment>
    <comment ref="AR210" authorId="1" shapeId="0">
      <text>
        <t>Horizon close: 2024-01-02
5/21/63 traded sessions after debut; price-only return vs offer.</t>
      </text>
    </comment>
    <comment ref="AI211" authorId="0" shapeId="0">
      <text>
        <t>Close: HK$5.39
Date: 2023-10-05
Venue: Phillip (etnet news story)
Source: etnet:news https://www.etnet.com.hk/www/tc/stocks/ipo-news-article/20231005396/</t>
      </text>
    </comment>
    <comment ref="AK211" authorId="1" shapeId="0">
      <text>
        <t>Hang Seng Finance sub-index
Previous trading close to listing-day close (2023-10-06).
Benchmark return in percent; not the index level or excess return.</t>
      </text>
    </comment>
    <comment ref="AP211" authorId="1" shapeId="0">
      <text>
        <t>Horizon close: 2023-10-13
5/21/63 traded sessions after debut; price-only return vs offer.</t>
      </text>
    </comment>
    <comment ref="AQ211" authorId="1" shapeId="0">
      <text>
        <t>Horizon close: 2023-11-07
5/21/63 traded sessions after debut; price-only return vs offer.</t>
      </text>
    </comment>
    <comment ref="AR211" authorId="1" shapeId="0">
      <text>
        <t>Horizon close: 2024-01-09
5/21/63 traded sessions after debut; price-only return vs offer.</t>
      </text>
    </comment>
    <comment ref="AI212" authorId="0" shapeId="0">
      <text>
        <t>Close: HK$1.42
Date: 2023-10-10
Venue: Phillip (etnet news story)
Source: etnet:news https://www.etnet.com.hk/www/tc/stocks/ipo-news-article/20231010394/</t>
      </text>
    </comment>
    <comment ref="AK212" authorId="1" shapeId="0">
      <text>
        <t>HSTECH (Hang Seng TECH ETF)
Previous trading close to listing-day close (2023-10-11).
Benchmark return in percent; not the index level or excess return.</t>
      </text>
    </comment>
    <comment ref="AP212" authorId="1" shapeId="0">
      <text>
        <t>Horizon close: 2023-10-18
5/21/63 traded sessions after debut; price-only return vs offer.</t>
      </text>
    </comment>
    <comment ref="AQ212" authorId="1" shapeId="0">
      <text>
        <t>Horizon close: 2023-11-10
5/21/63 traded sessions after debut; price-only return vs offer.</t>
      </text>
    </comment>
    <comment ref="AR212" authorId="1" shapeId="0">
      <text>
        <t>Horizon close: 2024-01-12
5/21/63 traded sessions after debut; price-only return vs offer.</t>
      </text>
    </comment>
    <comment ref="AI213" authorId="0" shapeId="0">
      <text>
        <t>Close: HK$16.36
Date: 2023-10-11
Venue: Phillip (etnet news story)
Source: etnet:news https://www.etnet.com.hk/www/tc/stocks/ipo-news-article/20231011404/</t>
      </text>
    </comment>
    <comment ref="AK213" authorId="1" shapeId="0">
      <text>
        <t>Hang Seng Commerce &amp; Industry sub-index
Previous trading close to listing-day close (2023-10-12).
Benchmark return in percent; not the index level or excess return.</t>
      </text>
    </comment>
    <comment ref="AP213" authorId="1" shapeId="0">
      <text>
        <t>Horizon close: 2023-10-19
5/21/63 traded sessions after debut; price-only return vs offer.</t>
      </text>
    </comment>
    <comment ref="AQ213" authorId="1" shapeId="0">
      <text>
        <t>Horizon close: 2023-11-13
5/21/63 traded sessions after debut; price-only return vs offer.</t>
      </text>
    </comment>
    <comment ref="AR213" authorId="1" shapeId="0">
      <text>
        <t>Horizon close: 2024-01-15
5/21/63 traded sessions after debut; price-only return vs offer.</t>
      </text>
    </comment>
    <comment ref="AI214" authorId="0" shapeId="0">
      <text>
        <t>Close: HK$7.58
Date: 2023-10-11
Venue: Phillip (etnet news story)
Source: etnet:news https://www.etnet.com.hk/www/tc/stocks/ipo-news-article/20231011405/</t>
      </text>
    </comment>
    <comment ref="AK214" authorId="1" shapeId="0">
      <text>
        <t>Hang Seng Commerce &amp; Industry sub-index
Previous trading close to listing-day close (2023-10-12).
Benchmark return in percent; not the index level or excess return.</t>
      </text>
    </comment>
    <comment ref="AP214" authorId="1" shapeId="0">
      <text>
        <t>Horizon close: 2023-10-19
5/21/63 traded sessions after debut; price-only return vs offer.</t>
      </text>
    </comment>
    <comment ref="AQ214" authorId="1" shapeId="0">
      <text>
        <t>Horizon close: 2023-11-13
5/21/63 traded sessions after debut; price-only return vs offer.</t>
      </text>
    </comment>
    <comment ref="AR214" authorId="1" shapeId="0">
      <text>
        <t>Horizon close: 2024-01-15
5/21/63 traded sessions after debut; price-only return vs offer.</t>
      </text>
    </comment>
    <comment ref="AI215" authorId="0" shapeId="0">
      <text>
        <t>Close: HK$11.86
Date: 2023-10-26
Venue: Phillip (etnet news story)
Source: etnet:news https://www.etnet.com.hk/www/tc/stocks/ipo-news-article/20231026398/</t>
      </text>
    </comment>
    <comment ref="AK215" authorId="1" shapeId="0">
      <text>
        <t>Hang Seng Commerce &amp; Industry sub-index
Previous trading close to listing-day close (2023-10-27).
Benchmark return in percent; not the index level or excess return.</t>
      </text>
    </comment>
    <comment ref="AP215" authorId="1" shapeId="0">
      <text>
        <t>Horizon close: 2023-11-03
5/21/63 traded sessions after debut; price-only return vs offer.</t>
      </text>
    </comment>
    <comment ref="AQ215" authorId="1" shapeId="0">
      <text>
        <t>Horizon close: 2023-11-27
5/21/63 traded sessions after debut; price-only return vs offer.</t>
      </text>
    </comment>
    <comment ref="AR215" authorId="1" shapeId="0">
      <text>
        <t>Horizon close: 2024-01-29
5/21/63 traded sessions after debut; price-only return vs offer.</t>
      </text>
    </comment>
    <comment ref="AI216" authorId="0" shapeId="0">
      <text>
        <t>Close: HK$5.97
Date: 2023-11-01
Venue: Phillip (etnet news story)
Source: etnet:news https://www.etnet.com.hk/www/tc/stocks/ipo-news-article/20231101396/</t>
      </text>
    </comment>
    <comment ref="AK216" authorId="1" shapeId="0">
      <text>
        <t>Hang Seng Commerce &amp; Industry sub-index
Previous trading close to listing-day close (2023-11-02).
Benchmark return in percent; not the index level or excess return.</t>
      </text>
    </comment>
    <comment ref="AP216" authorId="1" shapeId="0">
      <text>
        <t>Horizon close: 2023-11-09
5/21/63 traded sessions after debut; price-only return vs offer.</t>
      </text>
    </comment>
    <comment ref="AQ216" authorId="1" shapeId="0">
      <text>
        <t>Horizon close: 2023-12-01
5/21/63 traded sessions after debut; price-only return vs offer.</t>
      </text>
    </comment>
    <comment ref="AR216" authorId="1" shapeId="0">
      <text>
        <t>Horizon close: 2024-02-02
5/21/63 traded sessions after debut; price-only return vs offer.</t>
      </text>
    </comment>
    <comment ref="AI217" authorId="0" shapeId="0">
      <text>
        <t>Close: HK$12.5
Date: 2023-11-02
Venue: Phillip (etnet news story)
Source: etnet:news https://www.etnet.com.hk/www/tc/stocks/ipo-news-article/20231102396/</t>
      </text>
    </comment>
    <comment ref="AK217" authorId="1" shapeId="0">
      <text>
        <t>Hang Seng Commerce &amp; Industry sub-index
Previous trading close to listing-day close (2023-11-03).
Benchmark return in percent; not the index level or excess return.</t>
      </text>
    </comment>
    <comment ref="AP217" authorId="1" shapeId="0">
      <text>
        <t>Horizon close: 2023-11-10
5/21/63 traded sessions after debut; price-only return vs offer.</t>
      </text>
    </comment>
    <comment ref="AQ217" authorId="1" shapeId="0">
      <text>
        <t>Horizon close: 2023-12-04
5/21/63 traded sessions after debut; price-only return vs offer.</t>
      </text>
    </comment>
    <comment ref="AR217" authorId="1" shapeId="0">
      <text>
        <t>Horizon close: 2024-02-05
5/21/63 traded sessions after debut; price-only return vs offer.</t>
      </text>
    </comment>
    <comment ref="AI218" authorId="0" shapeId="0">
      <text>
        <t>Close: HK$2.12
Date: 2023-11-08
Venue: Phillip (etnet news story)
Source: etnet:news https://www.etnet.com.hk/www/tc/stocks/ipo-news-article/20231108393/</t>
      </text>
    </comment>
    <comment ref="AK218" authorId="1" shapeId="0">
      <text>
        <t>Hang Seng Commerce &amp; Industry sub-index
Previous trading close to listing-day close (2023-11-09).
Benchmark return in percent; not the index level or excess return.</t>
      </text>
    </comment>
    <comment ref="AP218" authorId="1" shapeId="0">
      <text>
        <t>Horizon close: 2023-11-16
5/21/63 traded sessions after debut; price-only return vs offer.</t>
      </text>
    </comment>
    <comment ref="AQ218" authorId="1" shapeId="0">
      <text>
        <t>Horizon close: 2023-12-08
5/21/63 traded sessions after debut; price-only return vs offer.</t>
      </text>
    </comment>
    <comment ref="AR218" authorId="1" shapeId="0">
      <text>
        <t>Horizon close: 2024-02-09
5/21/63 traded sessions after debut; price-only return vs offer.</t>
      </text>
    </comment>
    <comment ref="AI219" authorId="0" shapeId="0">
      <text>
        <t>Close: HK$1.61
Date: 2023-11-09
Venue: Phillip (etnet news story)
Source: etnet:news https://www.etnet.com.hk/www/tc/stocks/ipo-news-article/20231109368/</t>
      </text>
    </comment>
    <comment ref="AK219" authorId="1" shapeId="0">
      <text>
        <t>Hang Seng Commerce &amp; Industry sub-index
Previous trading close to listing-day close (2023-11-10).
Benchmark return in percent; not the index level or excess return.</t>
      </text>
    </comment>
    <comment ref="AP219" authorId="1" shapeId="0">
      <text>
        <t>Horizon close: 2023-11-17
5/21/63 traded sessions after debut; price-only return vs offer.</t>
      </text>
    </comment>
    <comment ref="AQ219" authorId="1" shapeId="0">
      <text>
        <t>Horizon close: 2023-12-11
5/21/63 traded sessions after debut; price-only return vs offer.</t>
      </text>
    </comment>
    <comment ref="AR219" authorId="1" shapeId="0">
      <text>
        <t>Horizon close: 2024-02-14
5/21/63 traded sessions after debut; price-only return vs offer.</t>
      </text>
    </comment>
    <comment ref="AI220" authorId="0" shapeId="0">
      <text>
        <t>Close: HK$15.5
Date: 2023-11-09
Venue: Phillip (etnet news story)
Source: etnet:news https://www.etnet.com.hk/www/tc/stocks/ipo-news-article/20231109381/</t>
      </text>
    </comment>
    <comment ref="AK220" authorId="1" shapeId="0">
      <text>
        <t>Hang Seng Commerce &amp; Industry sub-index
Previous trading close to listing-day close (2023-11-10).
Benchmark return in percent; not the index level or excess return.</t>
      </text>
    </comment>
    <comment ref="AP220" authorId="1" shapeId="0">
      <text>
        <t>Horizon close: 2023-11-17
5/21/63 traded sessions after debut; price-only return vs offer.</t>
      </text>
    </comment>
    <comment ref="AQ220" authorId="1" shapeId="0">
      <text>
        <t>Horizon close: 2023-12-11
5/21/63 traded sessions after debut; price-only return vs offer.</t>
      </text>
    </comment>
    <comment ref="AR220" authorId="1" shapeId="0">
      <text>
        <t>Horizon close: 2024-02-14
5/21/63 traded sessions after debut; price-only return vs offer.</t>
      </text>
    </comment>
    <comment ref="AI221" authorId="0" shapeId="0">
      <text>
        <t>Close: HK$25.15
Date: 2023-11-16
Venue: Phillip (etnet news story)
Source: etnet:news https://www.etnet.com.hk/www/tc/stocks/ipo-news-article/20231116410/</t>
      </text>
    </comment>
    <comment ref="AK221" authorId="1" shapeId="0">
      <text>
        <t>China Biotech ETF (HS biotech proxy)
Previous trading close to listing-day close (2023-11-17).
Benchmark return in percent; not the index level or excess return.</t>
      </text>
    </comment>
    <comment ref="AP221" authorId="1" shapeId="0">
      <text>
        <t>Horizon close: 2023-11-24
5/21/63 traded sessions after debut; price-only return vs offer.</t>
      </text>
    </comment>
    <comment ref="AQ221" authorId="1" shapeId="0">
      <text>
        <t>Horizon close: 2023-12-18
5/21/63 traded sessions after debut; price-only return vs offer.</t>
      </text>
    </comment>
    <comment ref="AR221" authorId="1" shapeId="0">
      <text>
        <t>Horizon close: 2024-02-21
5/21/63 traded sessions after debut; price-only return vs offer.</t>
      </text>
    </comment>
    <comment ref="AI222" authorId="0" shapeId="0">
      <text>
        <t>Close: HK$2.14
Date: 2023-11-21
Venue: Phillip (etnet news story)
Source: etnet:news https://www.etnet.com.hk/www/tc/stocks/ipo-news-article/20231121387/</t>
      </text>
    </comment>
    <comment ref="AK222" authorId="1" shapeId="0">
      <text>
        <t>Hang Seng Commerce &amp; Industry sub-index
Previous trading close to listing-day close (2023-11-22).
Benchmark return in percent; not the index level or excess return.</t>
      </text>
    </comment>
    <comment ref="AP222" authorId="1" shapeId="0">
      <text>
        <t>Horizon close: 2023-11-29
5/21/63 traded sessions after debut; price-only return vs offer.</t>
      </text>
    </comment>
    <comment ref="AQ222" authorId="1" shapeId="0">
      <text>
        <t>Horizon close: 2023-12-21
5/21/63 traded sessions after debut; price-only return vs offer.</t>
      </text>
    </comment>
    <comment ref="AR222" authorId="1" shapeId="0">
      <text>
        <t>Horizon close: 2024-02-26
5/21/63 traded sessions after debut; price-only return vs offer.</t>
      </text>
    </comment>
    <comment ref="AI223" authorId="0" shapeId="0">
      <text>
        <t>Close: HK$0.305
Date: 2023-12-04
Venue: Bright Smart
Source: press:https://www.hkej.com/instantnews/hongkong/article/3630246/【新股追蹤】三新股周二掛牌+K+CASH暗盤收跌9%25 — published closing quote 0.305, -4.69% vs offer; venue Bright Smart. GPT archive review, 4 October 2026.</t>
      </text>
    </comment>
    <comment ref="AK223" authorId="1" shapeId="0">
      <text>
        <t>Hang Seng Properties sub-index
Previous trading close to listing-day close (2023-12-05).
Benchmark return in percent; not the index level or excess return.</t>
      </text>
    </comment>
    <comment ref="AP223" authorId="1" shapeId="0">
      <text>
        <t>Horizon close: 2023-12-12
5/21/63 traded sessions after debut; price-only return vs offer.</t>
      </text>
    </comment>
    <comment ref="AQ223" authorId="1" shapeId="0">
      <text>
        <t>Horizon close: 2024-01-08
5/21/63 traded sessions after debut; price-only return vs offer.</t>
      </text>
    </comment>
    <comment ref="AR223" authorId="1" shapeId="0">
      <text>
        <t>Horizon close: 2024-03-08
5/21/63 traded sessions after debut; price-only return vs offer.</t>
      </text>
    </comment>
    <comment ref="AI224" authorId="0" shapeId="0">
      <text>
        <t>Close: HK$19
Date: 2023-12-04
Venue: Phillip (cross-checked with Ming Pao report)
Source: press:https://www.aastocks.com/tc/stocks/analysis/stock-aafn/09663 — published closing quote 19, -3.4% vs offer; venue Phillip (cross-checked with Ming Pao report). GPT archive review, 4 October 2026.</t>
      </text>
    </comment>
    <comment ref="AK224" authorId="1" shapeId="0">
      <text>
        <t>Hang Seng Commerce &amp; Industry sub-index
Previous trading close to listing-day close (2023-12-05).
Benchmark return in percent; not the index level or excess return.</t>
      </text>
    </comment>
    <comment ref="AP224" authorId="1" shapeId="0">
      <text>
        <t>Horizon close: 2023-12-12
5/21/63 traded sessions after debut; price-only return vs offer.</t>
      </text>
    </comment>
    <comment ref="AQ224" authorId="1" shapeId="0">
      <text>
        <t>Horizon close: 2024-01-08
5/21/63 traded sessions after debut; price-only return vs offer.</t>
      </text>
    </comment>
    <comment ref="AR224" authorId="1" shapeId="0">
      <text>
        <t>Horizon close: 2024-03-08
5/21/63 traded sessions after debut; price-only return vs offer.</t>
      </text>
    </comment>
    <comment ref="AI225" authorId="0" shapeId="0">
      <text>
        <t>Close: HK$1.69
Date: 2023-12-04
Venue: Phillip
Source: press:https://www.singtao.ca/6475005/2023-12-04/news-FINI分配結果「靠估」股民難部署+3新股暗盤潛水+港交所：適時探討改進/?variant=zh-sg — published closing quote 1.69, -6.1% vs offer; venue Phillip. GPT archive review, 4 October 2026.</t>
      </text>
    </comment>
    <comment ref="AK225" authorId="1" shapeId="0">
      <text>
        <t>HSTECH (Hang Seng TECH ETF)
Previous trading close to listing-day close (2023-12-05).
Benchmark return in percent; not the index level or excess return.</t>
      </text>
    </comment>
    <comment ref="AP225" authorId="1" shapeId="0">
      <text>
        <t>Horizon close: 2023-12-12
5/21/63 traded sessions after debut; price-only return vs offer.</t>
      </text>
    </comment>
    <comment ref="AQ225" authorId="1" shapeId="0">
      <text>
        <t>Horizon close: 2024-01-08
5/21/63 traded sessions after debut; price-only return vs offer.</t>
      </text>
    </comment>
    <comment ref="AR225" authorId="1" shapeId="0">
      <text>
        <t>Horizon close: 2024-03-08
5/21/63 traded sessions after debut; price-only return vs offer.</t>
      </text>
    </comment>
    <comment ref="AI226" authorId="0" shapeId="0">
      <text>
        <t>Close: HK$37.1
Date: 2023-12-05
Venue: Phillip (etnet news story)
Source: etnet:news https://www.etnet.com.hk/www/tc/stocks/ipo-news-article/20231205425/</t>
      </text>
    </comment>
    <comment ref="AK226" authorId="1" shapeId="0">
      <text>
        <t>Hang Seng Commerce &amp; Industry sub-index
Previous trading close to listing-day close (2023-12-06).
Benchmark return in percent; not the index level or excess return.</t>
      </text>
    </comment>
    <comment ref="AP226" authorId="1" shapeId="0">
      <text>
        <t>Horizon close: 2023-12-13
5/21/63 traded sessions after debut; price-only return vs offer.</t>
      </text>
    </comment>
    <comment ref="AQ226" authorId="1" shapeId="0">
      <text>
        <t>Horizon close: 2024-01-09
5/21/63 traded sessions after debut; price-only return vs offer.</t>
      </text>
    </comment>
    <comment ref="AR226" authorId="1" shapeId="0">
      <text>
        <t>Horizon close: 2024-03-11
5/21/63 traded sessions after debut; price-only return vs offer.</t>
      </text>
    </comment>
    <comment ref="AI227" authorId="0" shapeId="0">
      <text>
        <t>Close: HK$10.6
Date: 2023-12-11
Venue: Phillip (etnet news story)
Source: etnet:news https://www.etnet.com.hk/www/tc/stocks/ipo-news-article/20231211396/</t>
      </text>
    </comment>
    <comment ref="AK227" authorId="1" shapeId="0">
      <text>
        <t>Hang Seng Commerce &amp; Industry sub-index
Previous trading close to listing-day close (2023-12-12).
Benchmark return in percent; not the index level or excess return.</t>
      </text>
    </comment>
    <comment ref="AP227" authorId="1" shapeId="0">
      <text>
        <t>Horizon close: 2023-12-19
5/21/63 traded sessions after debut; price-only return vs offer.</t>
      </text>
    </comment>
    <comment ref="AQ227" authorId="1" shapeId="0">
      <text>
        <t>Horizon close: 2024-01-15
5/21/63 traded sessions after debut; price-only return vs offer.</t>
      </text>
    </comment>
    <comment ref="AR227" authorId="1" shapeId="0">
      <text>
        <t>Horizon close: 2024-03-15
5/21/63 traded sessions after debut; price-only return vs offer.</t>
      </text>
    </comment>
    <comment ref="AI228" authorId="0" shapeId="0">
      <text>
        <t>Close: HK$18.42
Date: 2023-12-15
Venue: AAStocks; venue not stated
Source: press:https://hk.finance.yahoo.com/news/新股表現-瑞浦蘭鈞-00666-hk-高開1-012147159.html — published closing quote 18.42, +0.7% vs offer; venue AAStocks; venue not stated. GPT archive review, 4 October 2026.</t>
      </text>
    </comment>
    <comment ref="AK228" authorId="1" shapeId="0">
      <text>
        <t>Hang Seng Commerce &amp; Industry sub-index
Previous trading close to listing-day close (2023-12-18).
Benchmark return in percent; not the index level or excess return.</t>
      </text>
    </comment>
    <comment ref="AP228" authorId="1" shapeId="0">
      <text>
        <t>Horizon close: 2023-12-27
5/21/63 traded sessions after debut; price-only return vs offer.</t>
      </text>
    </comment>
    <comment ref="AQ228" authorId="1" shapeId="0">
      <text>
        <t>Horizon close: 2024-01-19
5/21/63 traded sessions after debut; price-only return vs offer.</t>
      </text>
    </comment>
    <comment ref="AR228" authorId="1" shapeId="0">
      <text>
        <t>Horizon close: 2024-03-21
5/21/63 traded sessions after debut; price-only return vs offer.</t>
      </text>
    </comment>
    <comment ref="AI229" authorId="0" shapeId="0">
      <text>
        <t>Close: HK$1.1
Date: 2023-12-19
Venue: Phillip (etnet news story)
Source: etnet:news https://www.etnet.com.hk/www/tc/stocks/ipo-news-article/20231219390/</t>
      </text>
    </comment>
    <comment ref="AK229" authorId="1" shapeId="0">
      <text>
        <t>Hang Seng Commerce &amp; Industry sub-index
Previous trading close to listing-day close (2023-12-20).
Benchmark return in percent; not the index level or excess return.</t>
      </text>
    </comment>
    <comment ref="AP229" authorId="1" shapeId="0">
      <text>
        <t>Horizon close: 2023-12-29
5/21/63 traded sessions after debut; price-only return vs offer.</t>
      </text>
    </comment>
    <comment ref="AQ229" authorId="1" shapeId="0">
      <text>
        <t>Horizon close: 2024-01-23
5/21/63 traded sessions after debut; price-only return vs offer.</t>
      </text>
    </comment>
    <comment ref="AR229" authorId="1" shapeId="0">
      <text>
        <t>Horizon close: 2024-03-25
5/21/63 traded sessions after debut; price-only return vs offer.</t>
      </text>
    </comment>
    <comment ref="AI230" authorId="0" shapeId="0">
      <text>
        <t>Close: HK$30.05
Date: 2023-12-19
Venue: Phillip (etnet news story)
Source: etnet:news https://www.etnet.com.hk/www/tc/stocks/ipo-news-article/20231219389/</t>
      </text>
    </comment>
    <comment ref="AK230" authorId="1" shapeId="0">
      <text>
        <t>HSTECH (Hang Seng TECH ETF)
Previous trading close to listing-day close (2023-12-20).
Benchmark return in percent; not the index level or excess return.</t>
      </text>
    </comment>
    <comment ref="AP230" authorId="1" shapeId="0">
      <text>
        <t>Horizon close: 2023-12-29
5/21/63 traded sessions after debut; price-only return vs offer.</t>
      </text>
    </comment>
    <comment ref="AQ230" authorId="1" shapeId="0">
      <text>
        <t>Horizon close: 2024-01-23
5/21/63 traded sessions after debut; price-only return vs offer.</t>
      </text>
    </comment>
    <comment ref="AR230" authorId="1" shapeId="0">
      <text>
        <t>Horizon close: 2024-03-25
5/21/63 traded sessions after debut; price-only return vs offer.</t>
      </text>
    </comment>
    <comment ref="AI231" authorId="0" shapeId="0">
      <text>
        <t>Close: HK$1.16
Date: 2023-12-21
Venue: Bright Smart
Source: press:https://www.hkej.com/dailynews/headline/article/3644190/%25E5%259B%259B%25E8%2582%25A1%25E6%259A%2597%25E7%259B%25A4%25E5%2585%25A9%25E9%259A%25BB%25E6%258F%259A-%25E6%25B3%259B%25E9%2581%25A0%25E5%259C%258B%25E9%259A%259B%25E5%258D%2587%25E4%25B8%2589%25E6%2588%2590 — published closing quote 1.16, +29% vs offer; venue Bright Smart. GPT archive review, 4 October 2026.</t>
      </text>
    </comment>
    <comment ref="AK231" authorId="1" shapeId="0">
      <text>
        <t>Hang Seng Commerce &amp; Industry sub-index
Previous trading close to listing-day close (2023-12-22).
Benchmark return in percent; not the index level or excess return.</t>
      </text>
    </comment>
    <comment ref="AP231" authorId="1" shapeId="0">
      <text>
        <t>Horizon close: 2024-01-03
5/21/63 traded sessions after debut; price-only return vs offer.</t>
      </text>
    </comment>
    <comment ref="AQ231" authorId="1" shapeId="0">
      <text>
        <t>Horizon close: 2024-01-25
5/21/63 traded sessions after debut; price-only return vs offer.</t>
      </text>
    </comment>
    <comment ref="AR231" authorId="1" shapeId="0">
      <text>
        <t>Horizon close: 2024-03-27
5/21/63 traded sessions after debut; price-only return vs offer.</t>
      </text>
    </comment>
    <comment ref="AI232" authorId="0" shapeId="0">
      <text>
        <t>close not verified in the captured sources; historical press archives may hold one</t>
      </text>
    </comment>
    <comment ref="AK232" authorId="1" shapeId="0">
      <text>
        <t>Hang Seng Commerce &amp; Industry sub-index
Previous trading close to listing-day close (2023-12-22).
Benchmark return in percent; not the index level or excess return.</t>
      </text>
    </comment>
    <comment ref="AP232" authorId="1" shapeId="0">
      <text>
        <t>Horizon close: 2024-01-03
5/21/63 traded sessions after debut; price-only return vs offer.</t>
      </text>
    </comment>
    <comment ref="AQ232" authorId="1" shapeId="0">
      <text>
        <t>Horizon close: 2024-01-25
5/21/63 traded sessions after debut; price-only return vs offer.</t>
      </text>
    </comment>
    <comment ref="AR232" authorId="1" shapeId="0">
      <text>
        <t>Horizon close: 2024-03-27
5/21/63 traded sessions after debut; price-only return vs offer.</t>
      </text>
    </comment>
    <comment ref="AI233" authorId="0" shapeId="0">
      <text>
        <t>Close: HK$11.9
Date: 2023-12-21
Venue: Phillip (etnet news story)
Source: etnet:news https://www.etnet.com.hk/www/tc/stocks/ipo-news-article/20231221384/</t>
      </text>
    </comment>
    <comment ref="AK233" authorId="1" shapeId="0">
      <text>
        <t>China Biotech ETF (HS biotech proxy)
Previous trading close to listing-day close (2023-12-22).
Benchmark return in percent; not the index level or excess return.</t>
      </text>
    </comment>
    <comment ref="AP233" authorId="1" shapeId="0">
      <text>
        <t>Horizon close: 2024-01-03
5/21/63 traded sessions after debut; price-only return vs offer.</t>
      </text>
    </comment>
    <comment ref="AQ233" authorId="1" shapeId="0">
      <text>
        <t>Horizon close: 2024-01-25
5/21/63 traded sessions after debut; price-only return vs offer.</t>
      </text>
    </comment>
    <comment ref="AR233" authorId="1" shapeId="0">
      <text>
        <t>Horizon close: 2024-03-27
5/21/63 traded sessions after debut; price-only return vs offer.</t>
      </text>
    </comment>
    <comment ref="AI234" authorId="0" shapeId="0">
      <text>
        <t>close not verified in the captured sources; historical press archives may hold one</t>
      </text>
    </comment>
    <comment ref="AK234" authorId="1" shapeId="0">
      <text>
        <t>Hang Seng Commerce &amp; Industry sub-index
Previous trading close to listing-day close (2023-12-22).
Benchmark return in percent; not the index level or excess return.</t>
      </text>
    </comment>
    <comment ref="AP234" authorId="1" shapeId="0">
      <text>
        <t>Horizon close: 2024-01-03
5/21/63 traded sessions after debut; price-only return vs offer.</t>
      </text>
    </comment>
    <comment ref="AQ234" authorId="1" shapeId="0">
      <text>
        <t>Horizon close: 2024-01-25
5/21/63 traded sessions after debut; price-only return vs offer.</t>
      </text>
    </comment>
    <comment ref="AR234" authorId="1" shapeId="0">
      <text>
        <t>Horizon close: 2024-03-27
5/21/63 traded sessions after debut; price-only return vs offer.</t>
      </text>
    </comment>
    <comment ref="AI235" authorId="0" shapeId="0">
      <text>
        <t>Close: HK$26.35
Date: 2023-12-27
Venue: Phillip (etnet news story)
Source: etnet:news https://www.etnet.com.hk/www/tc/stocks/ipo-news-article/20231227408/</t>
      </text>
    </comment>
    <comment ref="AK235" authorId="1" shapeId="0">
      <text>
        <t>HSTECH (Hang Seng TECH ETF)
Previous trading close to listing-day close (2023-12-28).
Benchmark return in percent; not the index level or excess return.</t>
      </text>
    </comment>
    <comment ref="AP235" authorId="1" shapeId="0">
      <text>
        <t>Horizon close: 2024-01-05
5/21/63 traded sessions after debut; price-only return vs offer.</t>
      </text>
    </comment>
    <comment ref="AQ235" authorId="1" shapeId="0">
      <text>
        <t>Horizon close: 2024-01-29
5/21/63 traded sessions after debut; price-only return vs offer.</t>
      </text>
    </comment>
    <comment ref="AR235" authorId="1" shapeId="0">
      <text>
        <t>Horizon close: 2024-04-02
5/21/63 traded sessions after debut; price-only return vs offer.</t>
      </text>
    </comment>
    <comment ref="AI236" authorId="0" shapeId="0">
      <text>
        <t>Close: HK$89.95
Date: 2023-12-28
Venue: Phillip (etnet news story)
Source: etnet:news https://www.etnet.com.hk/www/tc/stocks/ipo-news-article/20231228427/</t>
      </text>
    </comment>
    <comment ref="AK236" authorId="1" shapeId="0">
      <text>
        <t>HSTECH (Hang Seng TECH ETF)
Previous trading close to listing-day close (2023-12-29).
Benchmark return in percent; not the index level or excess return.</t>
      </text>
    </comment>
    <comment ref="AP236" authorId="1" shapeId="0">
      <text>
        <t>Horizon close: 2024-01-08
5/21/63 traded sessions after debut; price-only return vs offer.</t>
      </text>
    </comment>
    <comment ref="AQ236" authorId="1" shapeId="0">
      <text>
        <t>Horizon close: 2024-01-30
5/21/63 traded sessions after debut; price-only return vs offer.</t>
      </text>
    </comment>
    <comment ref="AR236" authorId="1" shapeId="0">
      <text>
        <t>Horizon close: 2024-04-03
5/21/63 traded sessions after debut; price-only return vs offer.</t>
      </text>
    </comment>
    <comment ref="AI237" authorId="0" shapeId="0">
      <text>
        <t>Close: HK$42
Date: 2024-01-04
Venue: Phillip (etnet news story)
Source: etnet:news https://www.etnet.com.hk/www/tc/stocks/ipo-news-article/20240104358/</t>
      </text>
    </comment>
    <comment ref="AK237" authorId="1" shapeId="0">
      <text>
        <t>HSTECH (Hang Seng TECH ETF)
Previous trading close to listing-day close (2024-01-05).
Benchmark return in percent; not the index level or excess return.</t>
      </text>
    </comment>
    <comment ref="AP237" authorId="1" shapeId="0">
      <text>
        <t>Horizon close: 2024-01-12
5/21/63 traded sessions after debut; price-only return vs offer.</t>
      </text>
    </comment>
    <comment ref="AQ237" authorId="1" shapeId="0">
      <text>
        <t>Horizon close: 2024-02-05
5/21/63 traded sessions after debut; price-only return vs offer.</t>
      </text>
    </comment>
    <comment ref="AR237" authorId="1" shapeId="0">
      <text>
        <t>Horizon close: 2024-04-10
5/21/63 traded sessions after debut; price-only return vs offer.</t>
      </text>
    </comment>
    <comment ref="AI238" authorId="0" shapeId="0">
      <text>
        <t>Close: HK$11.02
Date: 2024-01-08
Venue: Phillip (etnet news story)
Source: etnet:news https://www.etnet.com.hk/www/tc/stocks/ipo-news-article/20240108406/</t>
      </text>
    </comment>
    <comment ref="AK238" authorId="1" shapeId="0">
      <text>
        <t>China Biotech ETF (HS biotech proxy)
Previous trading close to listing-day close (2024-01-09).
Benchmark return in percent; not the index level or excess return.</t>
      </text>
    </comment>
    <comment ref="AP238" authorId="1" shapeId="0">
      <text>
        <t>Horizon close: 2024-01-16
5/21/63 traded sessions after debut; price-only return vs offer.</t>
      </text>
    </comment>
    <comment ref="AQ238" authorId="1" shapeId="0">
      <text>
        <t>Horizon close: 2024-02-07
5/21/63 traded sessions after debut; price-only return vs offer.</t>
      </text>
    </comment>
    <comment ref="AR238" authorId="1" shapeId="0">
      <text>
        <t>Horizon close: 2024-04-12
5/21/63 traded sessions after debut; price-only return vs offer.</t>
      </text>
    </comment>
    <comment ref="AI239" authorId="0" shapeId="0">
      <text>
        <t>Close: HK$0.88
Date: 2024-01-08
Venue: Phillip (etnet news story)
Source: etnet:news https://www.etnet.com.hk/www/tc/stocks/ipo-news-article/20240108407/</t>
      </text>
    </comment>
    <comment ref="AK239" authorId="1" shapeId="0">
      <text>
        <t>Hang Seng Commerce &amp; Industry sub-index
Previous trading close to listing-day close (2024-01-09).
Benchmark return in percent; not the index level or excess return.</t>
      </text>
    </comment>
    <comment ref="AP239" authorId="1" shapeId="0">
      <text>
        <t>Horizon close: 2024-01-16
5/21/63 traded sessions after debut; price-only return vs offer.</t>
      </text>
    </comment>
    <comment ref="AQ239" authorId="1" shapeId="0">
      <text>
        <t>Horizon close: 2024-02-07
5/21/63 traded sessions after debut; price-only return vs offer.</t>
      </text>
    </comment>
    <comment ref="AR239" authorId="1" shapeId="0">
      <text>
        <t>Horizon close: 2024-04-12
5/21/63 traded sessions after debut; price-only return vs offer.</t>
      </text>
    </comment>
    <comment ref="AI240" authorId="0" shapeId="0">
      <text>
        <t>Close: HK$6.08
Date: 2024-01-08
Venue: Phillip (etnet news story)
Source: etnet:news https://www.etnet.com.hk/www/tc/stocks/ipo-news-article/20240108405/</t>
      </text>
    </comment>
    <comment ref="AK240" authorId="1" shapeId="0">
      <text>
        <t>HSTECH (Hang Seng TECH ETF)
Previous trading close to listing-day close (2024-01-09).
Benchmark return in percent; not the index level or excess return.</t>
      </text>
    </comment>
    <comment ref="AP240" authorId="1" shapeId="0">
      <text>
        <t>Horizon close: 2024-01-16
5/21/63 traded sessions after debut; price-only return vs offer.</t>
      </text>
    </comment>
    <comment ref="AQ240" authorId="1" shapeId="0">
      <text>
        <t>Horizon close: 2024-02-07
5/21/63 traded sessions after debut; price-only return vs offer.</t>
      </text>
    </comment>
    <comment ref="AR240" authorId="1" shapeId="0">
      <text>
        <t>Horizon close: 2024-04-12
5/21/63 traded sessions after debut; price-only return vs offer.</t>
      </text>
    </comment>
    <comment ref="AI241" authorId="0" shapeId="0">
      <text>
        <t>Close: HK$1.645
Date: 2024-01-11
Venue: three venues, range (1.61-1.68, midpoint shown)
Source: press:HKET 經緯天地2477 暗盤 (2024-01-11): 暗盤收報介乎1.61元至1.68元，較招股價1元高61%至68%; midpoint shown</t>
      </text>
    </comment>
    <comment ref="AK241" authorId="1" shapeId="0">
      <text>
        <t>China Biotech ETF (HS biotech proxy)
Previous trading close to listing-day close (2024-01-12).
Benchmark return in percent; not the index level or excess return.</t>
      </text>
    </comment>
    <comment ref="AP241" authorId="1" shapeId="0">
      <text>
        <t>Horizon close: 2024-01-19
5/21/63 traded sessions after debut; price-only return vs offer.</t>
      </text>
    </comment>
    <comment ref="AQ241" authorId="1" shapeId="0">
      <text>
        <t>Horizon close: 2024-02-14
5/21/63 traded sessions after debut; price-only return vs offer.</t>
      </text>
    </comment>
    <comment ref="AR241" authorId="1" shapeId="0">
      <text>
        <t>Horizon close: 2024-04-17
5/21/63 traded sessions after debut; price-only return vs offer.</t>
      </text>
    </comment>
    <comment ref="AI242" authorId="0" shapeId="0">
      <text>
        <t>Close: HK$0.66
Date: 2024-03-07
Venue: Phillip (etnet news story)
Source: etnet:news https://www.etnet.com.hk/www/tc/stocks/ipo-news-article/20240307987/</t>
      </text>
    </comment>
    <comment ref="AK242" authorId="1" shapeId="0">
      <text>
        <t>Hang Seng Commerce &amp; Industry sub-index
Previous trading close to listing-day close (2024-03-08).
Benchmark return in percent; not the index level or excess return.</t>
      </text>
    </comment>
    <comment ref="AP242" authorId="1" shapeId="0">
      <text>
        <t>Horizon close: 2024-03-15
5/21/63 traded sessions after debut; price-only return vs offer.</t>
      </text>
    </comment>
    <comment ref="AQ242" authorId="1" shapeId="0">
      <text>
        <t>Horizon close: 2024-04-11
5/21/63 traded sessions after debut; price-only return vs offer.</t>
      </text>
    </comment>
    <comment ref="AR242" authorId="1" shapeId="0">
      <text>
        <t>Horizon close: 2024-06-13
5/21/63 traded sessions after debut; price-only return vs offer.</t>
      </text>
    </comment>
    <comment ref="AI243" authorId="0" shapeId="0">
      <text>
        <t>Close: HK$0.92
Date: 2024-03-07
Venue: Phillip (etnet news story)
Source: etnet:news https://www.etnet.com.hk/www/tc/stocks/ipo-news-article/20240307986/</t>
      </text>
    </comment>
    <comment ref="AK243" authorId="1" shapeId="0">
      <text>
        <t>Hang Seng Index
Previous trading close to listing-day close (2024-03-08).
Benchmark return in percent; not the index level or excess return.</t>
      </text>
    </comment>
    <comment ref="AP243" authorId="1" shapeId="0">
      <text>
        <t>Horizon close: 2024-03-15
5/21/63 traded sessions after debut; price-only return vs offer.</t>
      </text>
    </comment>
    <comment ref="AQ243" authorId="1" shapeId="0">
      <text>
        <t>Horizon close: 2024-04-11
5/21/63 traded sessions after debut; price-only return vs offer.</t>
      </text>
    </comment>
    <comment ref="AR243" authorId="1" shapeId="0">
      <text>
        <t>Horizon close: 2024-06-13
5/21/63 traded sessions after debut; price-only return vs offer.</t>
      </text>
    </comment>
    <comment ref="AI244" authorId="0" shapeId="0">
      <text>
        <t>Close: HK$27.35
Date: 2024-03-19
Venue: Phillip (etnet news story)
Source: etnet:news https://www.etnet.com.hk/www/tc/stocks/ipo-news-article/20240319367/</t>
      </text>
    </comment>
    <comment ref="AK244" authorId="1" shapeId="0">
      <text>
        <t>China Biotech ETF (HS biotech proxy)
Previous trading close to listing-day close (2024-03-20).
Benchmark return in percent; not the index level or excess return.</t>
      </text>
    </comment>
    <comment ref="AP244" authorId="1" shapeId="0">
      <text>
        <t>Horizon close: 2024-03-27
5/21/63 traded sessions after debut; price-only return vs offer.</t>
      </text>
    </comment>
    <comment ref="AQ244" authorId="1" shapeId="0">
      <text>
        <t>Horizon close: 2024-04-23
5/21/63 traded sessions after debut; price-only return vs offer.</t>
      </text>
    </comment>
    <comment ref="AR244" authorId="1" shapeId="0">
      <text>
        <t>Horizon close: 2024-06-25
5/21/63 traded sessions after debut; price-only return vs offer.</t>
      </text>
    </comment>
    <comment ref="AI245" authorId="0" shapeId="0">
      <text>
        <t>Close: HK$4.74
Date: 2024-03-20
Venue: Phillip (etnet news story)
Source: etnet:news https://www.etnet.com.hk/www/tc/stocks/ipo-news-article/20240320392/</t>
      </text>
    </comment>
    <comment ref="AK245" authorId="1" shapeId="0">
      <text>
        <t>Hang Seng Commerce &amp; Industry sub-index
Previous trading close to listing-day close (2024-03-21).
Benchmark return in percent; not the index level or excess return.</t>
      </text>
    </comment>
    <comment ref="AP245" authorId="1" shapeId="0">
      <text>
        <t>Horizon close: 2024-03-28
5/21/63 traded sessions after debut; price-only return vs offer.</t>
      </text>
    </comment>
    <comment ref="AQ245" authorId="1" shapeId="0">
      <text>
        <t>Horizon close: 2024-04-24
5/21/63 traded sessions after debut; price-only return vs offer.</t>
      </text>
    </comment>
    <comment ref="AR245" authorId="1" shapeId="0">
      <text>
        <t>Horizon close: 2024-06-26
5/21/63 traded sessions after debut; price-only return vs offer.</t>
      </text>
    </comment>
    <comment ref="AI246" authorId="0" shapeId="0">
      <text>
        <t>Close: HK$2.9
Date: 2024-03-25
Venue: Phillip (etnet news story)
Source: etnet:news https://www.etnet.com.hk/www/tc/stocks/ipo-news-article/20240325173/</t>
      </text>
    </comment>
    <comment ref="AK246" authorId="1" shapeId="0">
      <text>
        <t>Hang Seng Commerce &amp; Industry sub-index
Previous trading close to listing-day close (2024-03-26).
Benchmark return in percent; not the index level or excess return.</t>
      </text>
    </comment>
    <comment ref="AP246" authorId="1" shapeId="0">
      <text>
        <t>Horizon close: 2024-04-05
5/21/63 traded sessions after debut; price-only return vs offer.</t>
      </text>
    </comment>
    <comment ref="AQ246" authorId="1" shapeId="0">
      <text>
        <t>Horizon close: 2024-04-29
5/21/63 traded sessions after debut; price-only return vs offer.</t>
      </text>
    </comment>
    <comment ref="AR246" authorId="1" shapeId="0">
      <text>
        <t>Horizon close: 2024-07-02
5/21/63 traded sessions after debut; price-only return vs offer.</t>
      </text>
    </comment>
    <comment ref="AI247" authorId="0" shapeId="0">
      <text>
        <t>Close: HK$2.2
Date: 2024-03-27
Venue: Phillip (etnet news story); Futu closed 2.25
Source: etnet:news https://www.etnet.com.hk/www/tc/stocks/ipo-news-article/20240327066/</t>
      </text>
    </comment>
    <comment ref="AK247" authorId="1" shapeId="0">
      <text>
        <t>Hang Seng Commerce &amp; Industry sub-index
Previous trading close to listing-day close (2024-03-28).
Benchmark return in percent; not the index level or excess return.</t>
      </text>
    </comment>
    <comment ref="AP247" authorId="1" shapeId="0">
      <text>
        <t>Horizon close: 2024-04-09
5/21/63 traded sessions after debut; price-only return vs offer.</t>
      </text>
    </comment>
    <comment ref="AQ247" authorId="1" shapeId="0">
      <text>
        <t>Horizon close: 2024-05-02
5/21/63 traded sessions after debut; price-only return vs offer.</t>
      </text>
    </comment>
    <comment ref="AR247" authorId="1" shapeId="0">
      <text>
        <t>Horizon close: 2024-07-04
5/21/63 traded sessions after debut; price-only return vs offer.</t>
      </text>
    </comment>
    <comment ref="AI248" authorId="0" shapeId="0">
      <text>
        <t>Close: HK$9.88
Date: 2024-03-27
Venue: Phillip (etnet news story)
Source: etnet:news https://www.etnet.com.hk/www/tc/stocks/ipo-news-article/20240327065/</t>
      </text>
    </comment>
    <comment ref="AK248" authorId="1" shapeId="0">
      <text>
        <t>HSTECH (Hang Seng TECH ETF)
Previous trading close to listing-day close (2024-03-28).
Benchmark return in percent; not the index level or excess return.</t>
      </text>
    </comment>
    <comment ref="AP248" authorId="1" shapeId="0">
      <text>
        <t>Horizon close: 2024-04-09
5/21/63 traded sessions after debut; price-only return vs offer.</t>
      </text>
    </comment>
    <comment ref="AQ248" authorId="1" shapeId="0">
      <text>
        <t>Horizon close: 2024-05-02
5/21/63 traded sessions after debut; price-only return vs offer.</t>
      </text>
    </comment>
    <comment ref="AR248" authorId="1" shapeId="0">
      <text>
        <t>Horizon close: 2024-07-04
5/21/63 traded sessions after debut; price-only return vs offer.</t>
      </text>
    </comment>
    <comment ref="AI249" authorId="0" shapeId="0">
      <text>
        <t>Close: HK$1.86
Date: 2024-04-22
Venue: Phillip (etnet news story)
Source: etnet:news https://www.etnet.com.hk/www/tc/stocks/ipo-news-article/20240422878/</t>
      </text>
    </comment>
    <comment ref="AK249" authorId="1" shapeId="0">
      <text>
        <t>Hang Seng Commerce &amp; Industry sub-index
Previous trading close to listing-day close (2024-04-23).
Benchmark return in percent; not the index level or excess return.</t>
      </text>
    </comment>
    <comment ref="AP249" authorId="1" shapeId="0">
      <text>
        <t>Horizon close: 2024-04-30
5/21/63 traded sessions after debut; price-only return vs offer.</t>
      </text>
    </comment>
    <comment ref="AQ249" authorId="1" shapeId="0">
      <text>
        <t>Horizon close: 2024-05-24
5/21/63 traded sessions after debut; price-only return vs offer.</t>
      </text>
    </comment>
    <comment ref="AR249" authorId="1" shapeId="0">
      <text>
        <t>Horizon close: 2024-07-25
5/21/63 traded sessions after debut; price-only return vs offer.</t>
      </text>
    </comment>
    <comment ref="AI250" authorId="0" shapeId="0">
      <text>
        <t>Close: HK$15.26
Date: 2024-04-22
Venue: Phillip (etnet news story); Bright Smart closed 16
Source: etnet:news https://www.etnet.com.hk/www/tc/stocks/ipo-news-article/20240422431/</t>
      </text>
    </comment>
    <comment ref="AK250" authorId="1" shapeId="0">
      <text>
        <t>Hang Seng Commerce &amp; Industry sub-index
Previous trading close to listing-day close (2024-04-23).
Benchmark return in percent; not the index level or excess return.</t>
      </text>
    </comment>
    <comment ref="AP250" authorId="1" shapeId="0">
      <text>
        <t>Horizon close: 2024-04-30
5/21/63 traded sessions after debut; price-only return vs offer.</t>
      </text>
    </comment>
    <comment ref="AQ250" authorId="1" shapeId="0">
      <text>
        <t>Horizon close: 2024-05-24
5/21/63 traded sessions after debut; price-only return vs offer.</t>
      </text>
    </comment>
    <comment ref="AR250" authorId="1" shapeId="0">
      <text>
        <t>Horizon close: 2024-07-25
5/21/63 traded sessions after debut; price-only return vs offer.</t>
      </text>
    </comment>
    <comment ref="AI251" authorId="0" shapeId="0">
      <text>
        <t>Close: HK$3.11
Date: 2024-04-23
Venue: Phillip (etnet news story)
Source: etnet:news https://www.etnet.com.hk/www/tc/stocks/ipo-news-article/20240423425/</t>
      </text>
    </comment>
    <comment ref="AK251" authorId="1" shapeId="0">
      <text>
        <t>HSTECH (Hang Seng TECH ETF)
Previous trading close to listing-day close (2024-04-24).
Benchmark return in percent; not the index level or excess return.</t>
      </text>
    </comment>
    <comment ref="AP251" authorId="1" shapeId="0">
      <text>
        <t>Horizon close: 2024-05-02
5/21/63 traded sessions after debut; price-only return vs offer.</t>
      </text>
    </comment>
    <comment ref="AQ251" authorId="1" shapeId="0">
      <text>
        <t>Horizon close: 2024-05-27
5/21/63 traded sessions after debut; price-only return vs offer.</t>
      </text>
    </comment>
    <comment ref="AR251" authorId="1" shapeId="0">
      <text>
        <t>Horizon close: 2024-07-26
5/21/63 traded sessions after debut; price-only return vs offer.</t>
      </text>
    </comment>
    <comment ref="AI252" authorId="0" shapeId="0">
      <text>
        <t>Close: HK$46
Date: 2024-05-14
Venue: Phillip (etnet news story)
Source: etnet:news https://www.etnet.com.hk/www/tc/stocks/ipo-news-article/20240514983/</t>
      </text>
    </comment>
    <comment ref="AK252" authorId="1" shapeId="0">
      <text>
        <t>HSTECH (Hang Seng TECH ETF)
Previous trading close to listing-day close (2024-05-16).
Benchmark return in percent; not the index level or excess return.</t>
      </text>
    </comment>
    <comment ref="AP252" authorId="1" shapeId="0">
      <text>
        <t>Horizon close: 2024-05-23
5/21/63 traded sessions after debut; price-only return vs offer.</t>
      </text>
    </comment>
    <comment ref="AQ252" authorId="1" shapeId="0">
      <text>
        <t>Horizon close: 2024-06-17
5/21/63 traded sessions after debut; price-only return vs offer.</t>
      </text>
    </comment>
    <comment ref="AR252" authorId="1" shapeId="0">
      <text>
        <t>Horizon close: 2024-08-15
5/21/63 traded sessions after debut; price-only return vs offer.</t>
      </text>
    </comment>
    <comment ref="AI253" authorId="0" shapeId="0">
      <text>
        <t>Close: HK$3.57
Date: 2024-05-16
Venue: Phillip (etnet news story)
Source: etnet:news https://www.etnet.com.hk/www/tc/stocks/ipo-news-article/20240516206/</t>
      </text>
    </comment>
    <comment ref="AK253" authorId="1" shapeId="0">
      <text>
        <t>Hang Seng Properties sub-index
Previous trading close to listing-day close (2024-05-17).
Benchmark return in percent; not the index level or excess return.</t>
      </text>
    </comment>
    <comment ref="AP253" authorId="1" shapeId="0">
      <text>
        <t>Horizon close: 2024-05-24
5/21/63 traded sessions after debut; price-only return vs offer.</t>
      </text>
    </comment>
    <comment ref="AQ253" authorId="1" shapeId="0">
      <text>
        <t>Horizon close: 2024-06-18
5/21/63 traded sessions after debut; price-only return vs offer.</t>
      </text>
    </comment>
    <comment ref="AR253" authorId="1" shapeId="0">
      <text>
        <t>Horizon close: 2024-08-16
5/21/63 traded sessions after debut; price-only return vs offer.</t>
      </text>
    </comment>
    <comment ref="AI254" authorId="0" shapeId="0">
      <text>
        <t>Close: HK$14.7
Date: 2024-05-23
Venue: Phillip (輝立), as published by AAStocks
Source: aastocks:AASTOCKS news headline: 《新股》盛禾生物暗盤收報14.7元 高上市價8.9%</t>
      </text>
    </comment>
    <comment ref="AK254" authorId="1" shapeId="0">
      <text>
        <t>China Biotech ETF (HS biotech proxy)
Previous trading close to listing-day close (2024-05-24).
Benchmark return in percent; not the index level or excess return.</t>
      </text>
    </comment>
    <comment ref="AP254" authorId="1" shapeId="0">
      <text>
        <t>Horizon close: 2024-05-31
5/21/63 traded sessions after debut; price-only return vs offer.</t>
      </text>
    </comment>
    <comment ref="AQ254" authorId="1" shapeId="0">
      <text>
        <t>Horizon close: 2024-06-25
5/21/63 traded sessions after debut; price-only return vs offer.</t>
      </text>
    </comment>
    <comment ref="AR254" authorId="1" shapeId="0">
      <text>
        <t>Horizon close: 2024-08-23
5/21/63 traded sessions after debut; price-only return vs offer.</t>
      </text>
    </comment>
    <comment ref="AI255" authorId="0" shapeId="0">
      <text>
        <t>Close: HK$33
Date: 2024-05-24
Venue: Phillip (etnet news story)
Source: etnet:news https://www.etnet.com.hk/www/tc/stocks/ipo-news-article/20240524973/</t>
      </text>
    </comment>
    <comment ref="AK255" authorId="1" shapeId="0">
      <text>
        <t>Hang Seng Index
Previous trading close to listing-day close (2024-05-27).
Benchmark return in percent; not the index level or excess return.</t>
      </text>
    </comment>
    <comment ref="AP255" authorId="1" shapeId="0">
      <text>
        <t>Horizon close: 2024-06-03
5/21/63 traded sessions after debut; price-only return vs offer.</t>
      </text>
    </comment>
    <comment ref="AQ255" authorId="1" shapeId="0">
      <text>
        <t>Horizon close: 2024-06-26
5/21/63 traded sessions after debut; price-only return vs offer.</t>
      </text>
    </comment>
    <comment ref="AR255" authorId="1" shapeId="0">
      <text>
        <t>Horizon close: 2024-08-26
5/21/63 traded sessions after debut; price-only return vs offer.</t>
      </text>
    </comment>
    <comment ref="AI256" authorId="0" shapeId="0">
      <text>
        <t>Close: HK$3.21
Date: 2024-05-27
Venue: not stated (Sina/163)
Source: press:163.com 上演货源归边，EDA集团控股 (2024-05): 暗盘收涨40.79%; offer 2.28 -&gt; 3.21</t>
      </text>
    </comment>
    <comment ref="AK256" authorId="1" shapeId="0">
      <text>
        <t>Hang Seng Commerce &amp; Industry sub-index
Previous trading close to listing-day close (2024-05-28).
Benchmark return in percent; not the index level or excess return.</t>
      </text>
    </comment>
    <comment ref="AP256" authorId="1" shapeId="0">
      <text>
        <t>Horizon close: 2024-06-04
5/21/63 traded sessions after debut; price-only return vs offer.</t>
      </text>
    </comment>
    <comment ref="AQ256" authorId="1" shapeId="0">
      <text>
        <t>Horizon close: 2024-06-27
5/21/63 traded sessions after debut; price-only return vs offer.</t>
      </text>
    </comment>
    <comment ref="AR256" authorId="1" shapeId="0">
      <text>
        <t>Horizon close: 2024-08-27
5/21/63 traded sessions after debut; price-only return vs offer.</t>
      </text>
    </comment>
    <comment ref="AI257" authorId="0" shapeId="0">
      <text>
        <t>Close: HK$14.72
Date: 2024-05-30
Venue: Futu (富途)
Source: press:HKET 汽車街2443暗盤升逾4成 (2024-05-30): 富途升44.3%; 耀才收報15.26 +49.6%; 輝立 +42.7%; offer 10.20</t>
      </text>
    </comment>
    <comment ref="AK257" authorId="1" shapeId="0">
      <text>
        <t>Hang Seng Commerce &amp; Industry sub-index
Previous trading close to listing-day close (2024-05-31).
Benchmark return in percent; not the index level or excess return.</t>
      </text>
    </comment>
    <comment ref="AP257" authorId="1" shapeId="0">
      <text>
        <t>Horizon close: 2024-06-07
5/21/63 traded sessions after debut; price-only return vs offer.</t>
      </text>
    </comment>
    <comment ref="AQ257" authorId="1" shapeId="0">
      <text>
        <t>Horizon close: 2024-07-03
5/21/63 traded sessions after debut; price-only return vs offer.</t>
      </text>
    </comment>
    <comment ref="AR257" authorId="1" shapeId="0">
      <text>
        <t>Horizon close: 2024-08-30
5/21/63 traded sessions after debut; price-only return vs offer.</t>
      </text>
    </comment>
    <comment ref="AI258" authorId="0" shapeId="0">
      <text>
        <t>Close: HK$15.22
Date: 2024-06-06
Venue: Phillip (etnet news story)
Source: etnet:news https://www.etnet.com.hk/www/tc/stocks/ipo-news-article/20240606411/</t>
      </text>
    </comment>
    <comment ref="AK258" authorId="1" shapeId="0">
      <text>
        <t>China Biotech ETF (HS biotech proxy)
Previous trading close to listing-day close (2024-06-07).
Benchmark return in percent; not the index level or excess return.</t>
      </text>
    </comment>
    <comment ref="AP258" authorId="1" shapeId="0">
      <text>
        <t>Horizon close: 2024-06-17
5/21/63 traded sessions after debut; price-only return vs offer.</t>
      </text>
    </comment>
    <comment ref="AQ258" authorId="1" shapeId="0">
      <text>
        <t>Horizon close: 2024-07-10
5/21/63 traded sessions after debut; price-only return vs offer.</t>
      </text>
    </comment>
    <comment ref="AR258" authorId="1" shapeId="0">
      <text>
        <t>Horizon close: 2024-09-09
5/21/63 traded sessions after debut; price-only return vs offer.</t>
      </text>
    </comment>
    <comment ref="AI259" authorId="0" shapeId="0">
      <text>
        <t>Close: HK$8.35
Date: 2024-06-06
Venue: Phillip (etnet news story); press, venue not named, closed 8.3
Source: etnet:news https://www.etnet.com.hk/www/tc/stocks/ipo-news-article/20240606410/</t>
      </text>
    </comment>
    <comment ref="AK259" authorId="1" shapeId="0">
      <text>
        <t>HSTECH (Hang Seng TECH ETF)
Previous trading close to listing-day close (2024-06-07).
Benchmark return in percent; not the index level or excess return.</t>
      </text>
    </comment>
    <comment ref="AP259" authorId="1" shapeId="0">
      <text>
        <t>Horizon close: 2024-06-17
5/21/63 traded sessions after debut; price-only return vs offer.</t>
      </text>
    </comment>
    <comment ref="AQ259" authorId="1" shapeId="0">
      <text>
        <t>Horizon close: 2024-07-10
5/21/63 traded sessions after debut; price-only return vs offer.</t>
      </text>
    </comment>
    <comment ref="AR259" authorId="1" shapeId="0">
      <text>
        <t>Horizon close: 2024-09-09
5/21/63 traded sessions after debut; price-only return vs offer.</t>
      </text>
    </comment>
    <comment ref="AI260" authorId="0" shapeId="0">
      <text>
        <t>Close: HK$5.39
Date: 2024-06-12
Venue: Phillip (etnet news story)
Source: etnet:news https://www.etnet.com.hk/www/tc/stocks/ipo-news-article/20240612414/</t>
      </text>
    </comment>
    <comment ref="AK260" authorId="1" shapeId="0">
      <text>
        <t>HSTECH (Hang Seng TECH ETF)
Previous trading close to listing-day close (2024-06-13).
Benchmark return in percent; not the index level or excess return.</t>
      </text>
    </comment>
    <comment ref="AP260" authorId="1" shapeId="0">
      <text>
        <t>Horizon close: 2024-06-20
5/21/63 traded sessions after debut; price-only return vs offer.</t>
      </text>
    </comment>
    <comment ref="AQ260" authorId="1" shapeId="0">
      <text>
        <t>Horizon close: 2024-07-15
5/21/63 traded sessions after debut; price-only return vs offer.</t>
      </text>
    </comment>
    <comment ref="AR260" authorId="1" shapeId="0">
      <text>
        <t>Horizon close: 2024-09-12
5/21/63 traded sessions after debut; price-only return vs offer.</t>
      </text>
    </comment>
    <comment ref="AI261" authorId="0" shapeId="0">
      <text>
        <t>Close: HK$4.6
Date: 2024-06-13
Venue: Phillip (etnet news story)
Source: etnet:news https://www.etnet.com.hk/www/tc/stocks/ipo-news-article/20240613405/</t>
      </text>
    </comment>
    <comment ref="AK261" authorId="1" shapeId="0">
      <text>
        <t>HSTECH (Hang Seng TECH ETF)
Previous trading close to listing-day close (2024-06-14).
Benchmark return in percent; not the index level or excess return.</t>
      </text>
    </comment>
    <comment ref="AP261" authorId="1" shapeId="0">
      <text>
        <t>Horizon close: 2024-06-21
5/21/63 traded sessions after debut; price-only return vs offer.</t>
      </text>
    </comment>
    <comment ref="AQ261" authorId="1" shapeId="0">
      <text>
        <t>Horizon close: 2024-07-16
5/21/63 traded sessions after debut; price-only return vs offer.</t>
      </text>
    </comment>
    <comment ref="AR261" authorId="1" shapeId="0">
      <text>
        <t>Horizon close: 2024-09-13
5/21/63 traded sessions after debut; price-only return vs offer.</t>
      </text>
    </comment>
    <comment ref="AI262" authorId="0" shapeId="0">
      <text>
        <t>Close: HK$9.44
Date: 2024-06-17
Venue: Phillip (輝立), as published by AAStocks
Source: aastocks:AASTOCKS news headline: 《新股》武漢有機控股有限公司暗盤收報9.44元 高上市價71.6%</t>
      </text>
    </comment>
    <comment ref="AK262" authorId="1" shapeId="0">
      <text>
        <t>Hang Seng Commerce &amp; Industry sub-index
Previous trading close to listing-day close (2024-06-18).
Benchmark return in percent; not the index level or excess return.</t>
      </text>
    </comment>
    <comment ref="AP262" authorId="1" shapeId="0">
      <text>
        <t>Horizon close: 2024-06-25
5/21/63 traded sessions after debut; price-only return vs offer.</t>
      </text>
    </comment>
    <comment ref="AQ262" authorId="1" shapeId="0">
      <text>
        <t>Horizon close: 2024-07-18
5/21/63 traded sessions after debut; price-only return vs offer.</t>
      </text>
    </comment>
    <comment ref="AR262" authorId="1" shapeId="0">
      <text>
        <t>Horizon close: 2024-09-17
5/21/63 traded sessions after debut; price-only return vs offer.</t>
      </text>
    </comment>
    <comment ref="AI263" authorId="0" shapeId="0">
      <text>
        <t>Close: HK$5.58
Date: 2024-06-27
Venue: Phillip (etnet news story)
Source: etnet:news https://www.etnet.com.hk/www/tc/stocks/ipo-news-article/20240627199/</t>
      </text>
    </comment>
    <comment ref="AK263" authorId="1" shapeId="0">
      <text>
        <t>HSTECH (Hang Seng TECH ETF)
Previous trading close to listing-day close (2024-06-28).
Benchmark return in percent; not the index level or excess return.</t>
      </text>
    </comment>
    <comment ref="AP263" authorId="1" shapeId="0">
      <text>
        <t>Horizon close: 2024-07-08
5/21/63 traded sessions after debut; price-only return vs offer.</t>
      </text>
    </comment>
    <comment ref="AQ263" authorId="1" shapeId="0">
      <text>
        <t>Horizon close: 2024-07-30
5/21/63 traded sessions after debut; price-only return vs offer.</t>
      </text>
    </comment>
    <comment ref="AR263" authorId="1" shapeId="0">
      <text>
        <t>Horizon close: 2024-09-30
5/21/63 traded sessions after debut; price-only return vs offer.</t>
      </text>
    </comment>
    <comment ref="AI264" authorId="0" shapeId="0">
      <text>
        <t>Close: HK$110.5
Date: 2024-06-27
Venue: Phillip (etnet news story)
Source: etnet:news https://www.etnet.com.hk/www/tc/stocks/ipo-news-article/20240627200/</t>
      </text>
    </comment>
    <comment ref="AK264" authorId="1" shapeId="0">
      <text>
        <t>HSTECH (Hang Seng TECH ETF)
Previous trading close to listing-day close (2024-06-28).
Benchmark return in percent; not the index level or excess return.</t>
      </text>
    </comment>
    <comment ref="AP264" authorId="1" shapeId="0">
      <text>
        <t>Horizon close: 2024-07-08
5/21/63 traded sessions after debut; price-only return vs offer.</t>
      </text>
    </comment>
    <comment ref="AQ264" authorId="1" shapeId="0">
      <text>
        <t>Horizon close: 2024-07-30
5/21/63 traded sessions after debut; price-only return vs offer.</t>
      </text>
    </comment>
    <comment ref="AR264" authorId="1" shapeId="0">
      <text>
        <t>Horizon close: 2024-09-30
5/21/63 traded sessions after debut; price-only return vs offer.</t>
      </text>
    </comment>
    <comment ref="AI265" authorId="0" shapeId="0">
      <text>
        <t>Close: HK$61.3
Date: 2024-06-27
Venue: Phillip (etnet news story)
Source: etnet:news https://www.etnet.com.hk/www/tc/stocks/ipo-news-article/20240627198/</t>
      </text>
    </comment>
    <comment ref="AK265" authorId="1" shapeId="0">
      <text>
        <t>Hang Seng Commerce &amp; Industry sub-index
Previous trading close to listing-day close (2024-06-28).
Benchmark return in percent; not the index level or excess return.</t>
      </text>
    </comment>
    <comment ref="AP265" authorId="1" shapeId="0">
      <text>
        <t>Horizon close: 2024-07-08
5/21/63 traded sessions after debut; price-only return vs offer.</t>
      </text>
    </comment>
    <comment ref="AQ265" authorId="1" shapeId="0">
      <text>
        <t>Horizon close: 2024-07-30
5/21/63 traded sessions after debut; price-only return vs offer.</t>
      </text>
    </comment>
    <comment ref="AR265" authorId="1" shapeId="0">
      <text>
        <t>Horizon close: 2024-09-30
5/21/63 traded sessions after debut; price-only return vs offer.</t>
      </text>
    </comment>
    <comment ref="AI266" authorId="0" shapeId="0">
      <text>
        <t>Close: HK$0.77
Date: 2024-07-02
Venue: Phillip (輝立), as published by AAStocks
Source: aastocks:AASTOCKS news headline: 《新股》中贛通信(集團)控股有限公司暗盤收報0.77元 低上市價38.4%</t>
      </text>
    </comment>
    <comment ref="AK266" authorId="1" shapeId="0">
      <text>
        <t>Hang Seng Index
Previous trading close to listing-day close (2024-07-03).
Benchmark return in percent; not the index level or excess return.</t>
      </text>
    </comment>
    <comment ref="AP266" authorId="1" shapeId="0">
      <text>
        <t>Horizon close: 2024-07-10
5/21/63 traded sessions after debut; price-only return vs offer.</t>
      </text>
    </comment>
    <comment ref="AQ266" authorId="1" shapeId="0">
      <text>
        <t>Horizon close: 2024-08-01
5/21/63 traded sessions after debut; price-only return vs offer.</t>
      </text>
    </comment>
    <comment ref="AR266" authorId="1" shapeId="0">
      <text>
        <t>Horizon close: 2024-10-03
5/21/63 traded sessions after debut; price-only return vs offer.</t>
      </text>
    </comment>
    <comment ref="AI267" authorId="0" shapeId="0">
      <text>
        <t>Close: HK$7.52
Date: 2024-07-02
Venue: Phillip (輝立), as published by AAStocks
Source: aastocks:AASTOCKS news headline: 《新股》西安經發物業股份有限公司 - H股暗盤收報7.52元 高上市價0.3%</t>
      </text>
    </comment>
    <comment ref="AK267" authorId="1" shapeId="0">
      <text>
        <t>Hang Seng Properties sub-index
Previous trading close to listing-day close (2024-07-03).
Benchmark return in percent; not the index level or excess return.</t>
      </text>
    </comment>
    <comment ref="AP267" authorId="1" shapeId="0">
      <text>
        <t>Horizon close: 2024-07-10
5/21/63 traded sessions after debut; price-only return vs offer.</t>
      </text>
    </comment>
    <comment ref="AQ267" authorId="1" shapeId="0">
      <text>
        <t>Horizon close: 2024-08-01
5/21/63 traded sessions after debut; price-only return vs offer.</t>
      </text>
    </comment>
    <comment ref="AR267" authorId="1" shapeId="0">
      <text>
        <t>Horizon close: 2024-10-03
5/21/63 traded sessions after debut; price-only return vs offer.</t>
      </text>
    </comment>
    <comment ref="AI268" authorId="0" shapeId="0">
      <text>
        <t>Close: HK$34.65
Date: 2024-07-08
Venue: Phillip (etnet news story)
Source: etnet:news https://www.etnet.com.hk/www/tc/stocks/ipo-news-article/20240708427/</t>
      </text>
    </comment>
    <comment ref="AK268" authorId="1" shapeId="0">
      <text>
        <t>HSTECH (Hang Seng TECH ETF)
Previous trading close to listing-day close (2024-07-09).
Benchmark return in percent; not the index level or excess return.</t>
      </text>
    </comment>
    <comment ref="AP268" authorId="1" shapeId="0">
      <text>
        <t>Horizon close: 2024-07-16
5/21/63 traded sessions after debut; price-only return vs offer.</t>
      </text>
    </comment>
    <comment ref="AQ268" authorId="1" shapeId="0">
      <text>
        <t>Horizon close: 2024-08-07
5/21/63 traded sessions after debut; price-only return vs offer.</t>
      </text>
    </comment>
    <comment ref="AR268" authorId="1" shapeId="0">
      <text>
        <t>Horizon close: 2024-10-09
5/21/63 traded sessions after debut; price-only return vs offer.</t>
      </text>
    </comment>
    <comment ref="AI269" authorId="0" shapeId="0">
      <text>
        <t>Close: HK$5.03
Date: 2024-07-08
Venue: Phillip (etnet news story)
Source: etnet:news https://www.etnet.com.hk/www/tc/stocks/ipo-news-article/20240708428/</t>
      </text>
    </comment>
    <comment ref="AK269" authorId="1" shapeId="0">
      <text>
        <t>China Biotech ETF (HS biotech proxy)
Previous trading close to listing-day close (2024-07-09).
Benchmark return in percent; not the index level or excess return.</t>
      </text>
    </comment>
    <comment ref="AP269" authorId="1" shapeId="0">
      <text>
        <t>Horizon close: 2024-07-16
5/21/63 traded sessions after debut; price-only return vs offer.</t>
      </text>
    </comment>
    <comment ref="AQ269" authorId="1" shapeId="0">
      <text>
        <t>Horizon close: 2024-08-07
5/21/63 traded sessions after debut; price-only return vs offer.</t>
      </text>
    </comment>
    <comment ref="AR269" authorId="1" shapeId="0">
      <text>
        <t>Horizon close: 2024-10-09
5/21/63 traded sessions after debut; price-only return vs offer.</t>
      </text>
    </comment>
    <comment ref="AI270" authorId="0" shapeId="0">
      <text>
        <t>Close: HK$1.19
Date: 2024-07-09
Venue: Phillip (etnet news story)
Source: etnet:news https://www.etnet.com.hk/www/tc/stocks/ipo-news-article/20240709412/</t>
      </text>
    </comment>
    <comment ref="AK270" authorId="1" shapeId="0">
      <text>
        <t>Hang Seng Commerce &amp; Industry sub-index
Previous trading close to listing-day close (2024-07-10).
Benchmark return in percent; not the index level or excess return.</t>
      </text>
    </comment>
    <comment ref="AP270" authorId="1" shapeId="0">
      <text>
        <t>Horizon close: 2024-07-17
5/21/63 traded sessions after debut; price-only return vs offer.</t>
      </text>
    </comment>
    <comment ref="AQ270" authorId="1" shapeId="0">
      <text>
        <t>Horizon close: 2024-08-08
5/21/63 traded sessions after debut; price-only return vs offer.</t>
      </text>
    </comment>
    <comment ref="AR270" authorId="1" shapeId="0">
      <text>
        <t>Horizon close: 2024-10-10
5/21/63 traded sessions after debut; price-only return vs offer.</t>
      </text>
    </comment>
    <comment ref="AI271" authorId="0" shapeId="0">
      <text>
        <t>Close: HK$125
Date: 2024-07-09
Venue: Phillip (etnet news story)
Source: etnet:news https://www.etnet.com.hk/www/tc/stocks/ipo-news-article/20240709410/</t>
      </text>
    </comment>
    <comment ref="AK271" authorId="1" shapeId="0">
      <text>
        <t>Hang Seng Index
Previous trading close to listing-day close (2024-07-10).
Benchmark return in percent; not the index level or excess return.</t>
      </text>
    </comment>
    <comment ref="AP271" authorId="1" shapeId="0">
      <text>
        <t>Horizon close: 2024-07-17
5/21/63 traded sessions after debut; price-only return vs offer.</t>
      </text>
    </comment>
    <comment ref="AQ271" authorId="1" shapeId="0">
      <text>
        <t>Horizon close: 2024-08-08
5/21/63 traded sessions after debut; price-only return vs offer.</t>
      </text>
    </comment>
    <comment ref="AR271" authorId="1" shapeId="0">
      <text>
        <t>Horizon close: 2024-10-10
5/21/63 traded sessions after debut; price-only return vs offer.</t>
      </text>
    </comment>
    <comment ref="AI272" authorId="0" shapeId="0">
      <text>
        <t>Close: HK$35.1
Date: 2024-07-09
Venue: Phillip (etnet news story)
Source: etnet:news https://www.etnet.com.hk/www/tc/stocks/ipo-news-article/20240709411/</t>
      </text>
    </comment>
    <comment ref="AK272" authorId="1" shapeId="0">
      <text>
        <t>HSTECH (Hang Seng TECH ETF)
Previous trading close to listing-day close (2024-07-10).
Benchmark return in percent; not the index level or excess return.</t>
      </text>
    </comment>
    <comment ref="AP272" authorId="1" shapeId="0">
      <text>
        <t>Horizon close: 2024-07-17
5/21/63 traded sessions after debut; price-only return vs offer.</t>
      </text>
    </comment>
    <comment ref="AQ272" authorId="1" shapeId="0">
      <text>
        <t>Horizon close: 2024-08-08
5/21/63 traded sessions after debut; price-only return vs offer.</t>
      </text>
    </comment>
    <comment ref="AR272" authorId="1" shapeId="0">
      <text>
        <t>Horizon close: 2024-10-10
5/21/63 traded sessions after debut; price-only return vs offer.</t>
      </text>
    </comment>
    <comment ref="AI273" authorId="0" shapeId="0">
      <text>
        <t>Close: HK$26.1
Date: 2024-07-11
Venue: not stated (etnet)
Source: press:etnet 《新股上市》西銳(2507)暗盤報26.1元，低招股價逾5% (2024-07-11)</t>
      </text>
    </comment>
    <comment ref="AK273" authorId="1" shapeId="0">
      <text>
        <t>Hang Seng Commerce &amp; Industry sub-index
Previous trading close to listing-day close (2024-07-12).
Benchmark return in percent; not the index level or excess return.</t>
      </text>
    </comment>
    <comment ref="AP273" authorId="1" shapeId="0">
      <text>
        <t>Horizon close: 2024-07-19
5/21/63 traded sessions after debut; price-only return vs offer.</t>
      </text>
    </comment>
    <comment ref="AQ273" authorId="1" shapeId="0">
      <text>
        <t>Horizon close: 2024-08-12
5/21/63 traded sessions after debut; price-only return vs offer.</t>
      </text>
    </comment>
    <comment ref="AR273" authorId="1" shapeId="0">
      <text>
        <t>Horizon close: 2024-10-15
5/21/63 traded sessions after debut; price-only return vs offer.</t>
      </text>
    </comment>
    <comment ref="AI274" authorId="0" shapeId="0">
      <text>
        <t>Close: HK$5.5
Date: 2024-07-12
Venue: Phillip (etnet news story)
Source: etnet:news https://www.etnet.com.hk/www/tc/stocks/ipo-news-article/20240712978/</t>
      </text>
    </comment>
    <comment ref="AK274" authorId="1" shapeId="0">
      <text>
        <t>Hang Seng Commerce &amp; Industry sub-index
Previous trading close to listing-day close (2024-07-15).
Benchmark return in percent; not the index level or excess return.</t>
      </text>
    </comment>
    <comment ref="AP274" authorId="1" shapeId="0">
      <text>
        <t>Horizon close: 2024-07-22
5/21/63 traded sessions after debut; price-only return vs offer.</t>
      </text>
    </comment>
    <comment ref="AQ274" authorId="1" shapeId="0">
      <text>
        <t>Horizon close: 2024-08-13
5/21/63 traded sessions after debut; price-only return vs offer.</t>
      </text>
    </comment>
    <comment ref="AR274" authorId="1" shapeId="0">
      <text>
        <t>Horizon close: 2024-10-16
5/21/63 traded sessions after debut; price-only return vs offer.</t>
      </text>
    </comment>
    <comment ref="AI275" authorId="0" shapeId="0">
      <text>
        <t>Close: HK$7.22
Date: 2024-08-05
Venue: Phillip (輝立), as published by AAStocks
Source: aastocks:AASTOCKS news headline: 《新股》眾淼控股(青島)股份有限公司- H股暗盤收報7.22元 高上市價3.1%</t>
      </text>
    </comment>
    <comment ref="AK275" authorId="1" shapeId="0">
      <text>
        <t>Hang Seng Finance sub-index
Previous trading close to listing-day close (2024-08-06).
Benchmark return in percent; not the index level or excess return.</t>
      </text>
    </comment>
    <comment ref="AP275" authorId="1" shapeId="0">
      <text>
        <t>Horizon close: 2024-08-13
5/21/63 traded sessions after debut; price-only return vs offer.</t>
      </text>
    </comment>
    <comment ref="AQ275" authorId="1" shapeId="0">
      <text>
        <t>Horizon close: 2024-09-04
5/21/63 traded sessions after debut; price-only return vs offer.</t>
      </text>
    </comment>
    <comment ref="AR275" authorId="1" shapeId="0">
      <text>
        <t>Horizon close: 2024-11-07
5/21/63 traded sessions after debut; price-only return vs offer.</t>
      </text>
    </comment>
    <comment ref="AI276" authorId="0" shapeId="0">
      <text>
        <t>Close: HK$22.65
Date: 2024-08-07
Venue: AAStocks headline (venue not stated)
Source: press:AAStocks 《新股》黑芝麻智能國際控股有限公司(02533.HK)暗盤收報22.65元 低上市價19.1% (http://www.aastocks.com/tc/stocks/news/aafn-con/NOW.1369717/popular-news/AAFN)</t>
      </text>
    </comment>
    <comment ref="AK276" authorId="1" shapeId="0">
      <text>
        <t>HSTECH (Hang Seng TECH ETF)
Previous trading close to listing-day close (2024-08-08).
Benchmark return in percent; not the index level or excess return.</t>
      </text>
    </comment>
    <comment ref="AP276" authorId="1" shapeId="0">
      <text>
        <t>Horizon close: 2024-08-15
5/21/63 traded sessions after debut; price-only return vs offer.</t>
      </text>
    </comment>
    <comment ref="AQ276" authorId="1" shapeId="0">
      <text>
        <t>Horizon close: 2024-09-09
5/21/63 traded sessions after debut; price-only return vs offer.</t>
      </text>
    </comment>
    <comment ref="AR276" authorId="1" shapeId="0">
      <text>
        <t>Horizon close: 2024-11-11
5/21/63 traded sessions after debut; price-only return vs offer.</t>
      </text>
    </comment>
    <comment ref="AI277" authorId="0" shapeId="0">
      <text>
        <t>Close: HK$13.2
Date: 2024-08-19
Venue: Phillip (etnet news story)
Source: etnet:news https://www.etnet.com.hk/www/tc/stocks/ipo-news-article/20240819189/</t>
      </text>
    </comment>
    <comment ref="AK277" authorId="1" shapeId="0">
      <text>
        <t>China Biotech ETF (HS biotech proxy)
Previous trading close to listing-day close (2024-08-20).
Benchmark return in percent; not the index level or excess return.</t>
      </text>
    </comment>
    <comment ref="AP277" authorId="1" shapeId="0">
      <text>
        <t>Horizon close: 2024-08-27
5/21/63 traded sessions after debut; price-only return vs offer.</t>
      </text>
    </comment>
    <comment ref="AQ277" authorId="1" shapeId="0">
      <text>
        <t>Horizon close: 2024-09-20
5/21/63 traded sessions after debut; price-only return vs offer.</t>
      </text>
    </comment>
    <comment ref="AR277" authorId="1" shapeId="0">
      <text>
        <t>Horizon close: 2024-11-21
5/21/63 traded sessions after debut; price-only return vs offer.</t>
      </text>
    </comment>
    <comment ref="AI278" authorId="0" shapeId="0">
      <text>
        <t>Close: HK$58
Date: 2024-09-16
Venue: Bright Smart (耀才)
Source: press:HKET 美的上市｜美的集團0300暗盤收升逾5% (2024-09-16): 於耀才暗盤收報58元，高定價5.8%</t>
      </text>
    </comment>
    <comment ref="AK278" authorId="1" shapeId="0">
      <text>
        <t>HSTECH (Hang Seng TECH ETF)
Previous trading close to listing-day close (2024-09-17).
Benchmark return in percent; not the index level or excess return.</t>
      </text>
    </comment>
    <comment ref="AP278" authorId="1" shapeId="0">
      <text>
        <t>Horizon close: 2024-09-25
5/21/63 traded sessions after debut; price-only return vs offer.</t>
      </text>
    </comment>
    <comment ref="AQ278" authorId="1" shapeId="0">
      <text>
        <t>Horizon close: 2024-10-21
5/21/63 traded sessions after debut; price-only return vs offer.</t>
      </text>
    </comment>
    <comment ref="AR278" authorId="1" shapeId="0">
      <text>
        <t>Horizon close: 2024-12-18
5/21/63 traded sessions after debut; price-only return vs offer.</t>
      </text>
    </comment>
    <comment ref="AI279" authorId="0" shapeId="0">
      <text>
        <t>Close: HK$10.26
Date: 2024-09-30
Venue: Phillip (etnet; venues 10.26-10.44)
Source: etnet:ipo-info 暗盤數據</t>
      </text>
    </comment>
    <comment ref="AK279" authorId="1" shapeId="0">
      <text>
        <t>Hang Seng Commerce &amp; Industry sub-index
Previous trading close to listing-day close (2024-10-02).
Benchmark return in percent; not the index level or excess return.</t>
      </text>
    </comment>
    <comment ref="AP279" authorId="1" shapeId="0">
      <text>
        <t>Horizon close: 2024-10-09
5/21/63 traded sessions after debut; price-only return vs offer.</t>
      </text>
    </comment>
    <comment ref="AQ279" authorId="1" shapeId="0">
      <text>
        <t>Horizon close: 2024-11-01
5/21/63 traded sessions after debut; price-only return vs offer.</t>
      </text>
    </comment>
    <comment ref="AR279" authorId="1" shapeId="0">
      <text>
        <t>Horizon close: 2025-01-03
5/21/63 traded sessions after debut; price-only return vs offer.</t>
      </text>
    </comment>
    <comment ref="AI280" authorId="0" shapeId="0">
      <text>
        <t>Close: HK$11.62
Date: 2024-10-07
Venue: Futu (etnet; venues 11.28-11.62)
Source: etnet:ipo-info 暗盤數據</t>
      </text>
    </comment>
    <comment ref="AK280" authorId="1" shapeId="0">
      <text>
        <t>HSTECH (Hang Seng TECH ETF)
Previous trading close to listing-day close (2024-10-08).
Benchmark return in percent; not the index level or excess return.</t>
      </text>
    </comment>
    <comment ref="AP280" authorId="1" shapeId="0">
      <text>
        <t>Horizon close: 2024-10-16
5/21/63 traded sessions after debut; price-only return vs offer.</t>
      </text>
    </comment>
    <comment ref="AQ280" authorId="1" shapeId="0">
      <text>
        <t>Horizon close: 2024-11-07
5/21/63 traded sessions after debut; price-only return vs offer.</t>
      </text>
    </comment>
    <comment ref="AR280" authorId="1" shapeId="0">
      <text>
        <t>Horizon close: 2025-01-09
5/21/63 traded sessions after debut; price-only return vs offer.</t>
      </text>
    </comment>
    <comment ref="AI281" authorId="0" shapeId="0">
      <text>
        <t>Close: HK$0.57
Date: 2024-10-08
Venue: Phillip (etnet; venues 0.55-0.59)
Source: etnet:ipo-info 暗盤數據</t>
      </text>
    </comment>
    <comment ref="AK281" authorId="1" shapeId="0">
      <text>
        <t>Hang Seng Commerce &amp; Industry sub-index
Previous trading close to listing-day close (2024-10-09).
Benchmark return in percent; not the index level or excess return.</t>
      </text>
    </comment>
    <comment ref="AP281" authorId="1" shapeId="0">
      <text>
        <t>Horizon close: 2024-10-17
5/21/63 traded sessions after debut; price-only return vs offer.</t>
      </text>
    </comment>
    <comment ref="AQ281" authorId="1" shapeId="0">
      <text>
        <t>Horizon close: 2024-11-08
5/21/63 traded sessions after debut; price-only return vs offer.</t>
      </text>
    </comment>
    <comment ref="AR281" authorId="1" shapeId="0">
      <text>
        <t>Horizon close: 2025-01-10
5/21/63 traded sessions after debut; price-only return vs offer.</t>
      </text>
    </comment>
    <comment ref="AI282" authorId="0" shapeId="0">
      <text>
        <t>Close: HK$1.84
Date: 2024-10-15
Venue: Phillip (etnet; venues 1.84-1.85)
Source: etnet:ipo-info 暗盤數據</t>
      </text>
    </comment>
    <comment ref="AK282" authorId="1" shapeId="0">
      <text>
        <t>HSTECH (Hang Seng TECH ETF)
Previous trading close to listing-day close (2024-10-16).
Benchmark return in percent; not the index level or excess return.</t>
      </text>
    </comment>
    <comment ref="AP282" authorId="1" shapeId="0">
      <text>
        <t>Horizon close: 2024-10-23
5/21/63 traded sessions after debut; price-only return vs offer.</t>
      </text>
    </comment>
    <comment ref="AQ282" authorId="1" shapeId="0">
      <text>
        <t>Horizon close: 2024-11-14
5/21/63 traded sessions after debut; price-only return vs offer.</t>
      </text>
    </comment>
    <comment ref="AR282" authorId="1" shapeId="0">
      <text>
        <t>Horizon close: 2025-01-16
5/21/63 traded sessions after debut; price-only return vs offer.</t>
      </text>
    </comment>
    <comment ref="AI283" authorId="0" shapeId="0">
      <text>
        <t>Close: HK$16
Date: 2024-10-22
Venue: Phillip (etnet; venues 15.88-16.0)
Source: etnet:ipo-info 暗盤數據</t>
      </text>
    </comment>
    <comment ref="AK283" authorId="1" shapeId="0">
      <text>
        <t>Hang Seng Commerce &amp; Industry sub-index
Previous trading close to listing-day close (2024-10-23).
Benchmark return in percent; not the index level or excess return.</t>
      </text>
    </comment>
    <comment ref="AP283" authorId="1" shapeId="0">
      <text>
        <t>Horizon close: 2024-10-30
5/21/63 traded sessions after debut; price-only return vs offer.</t>
      </text>
    </comment>
    <comment ref="AQ283" authorId="1" shapeId="0">
      <text>
        <t>Horizon close: 2024-11-21
5/21/63 traded sessions after debut; price-only return vs offer.</t>
      </text>
    </comment>
    <comment ref="AR283" authorId="1" shapeId="0">
      <text>
        <t>Horizon close: 2025-01-23
5/21/63 traded sessions after debut; price-only return vs offer.</t>
      </text>
    </comment>
    <comment ref="AI284" authorId="0" shapeId="0">
      <text>
        <t>Close: HK$5.02
Date: 2024-10-23
Venue: Phillip (etnet; venues 5.02-5.43)
Source: etnet:ipo-info 暗盤數據</t>
      </text>
    </comment>
    <comment ref="AK284" authorId="1" shapeId="0">
      <text>
        <t>HSTECH (Hang Seng TECH ETF)
Previous trading close to listing-day close (2024-10-24).
Benchmark return in percent; not the index level or excess return.</t>
      </text>
    </comment>
    <comment ref="AP284" authorId="1" shapeId="0">
      <text>
        <t>Horizon close: 2024-10-31
5/21/63 traded sessions after debut; price-only return vs offer.</t>
      </text>
    </comment>
    <comment ref="AQ284" authorId="1" shapeId="0">
      <text>
        <t>Horizon close: 2024-11-22
5/21/63 traded sessions after debut; price-only return vs offer.</t>
      </text>
    </comment>
    <comment ref="AR284" authorId="1" shapeId="0">
      <text>
        <t>Horizon close: 2025-01-24
5/21/63 traded sessions after debut; price-only return vs offer.</t>
      </text>
    </comment>
    <comment ref="AI285" authorId="0" shapeId="0">
      <text>
        <t>Close: HK$5.45
Date: 2024-10-29
Venue: Phillip (etnet; venues 5.45-5.82)
Source: etnet:ipo-info 暗盤數據</t>
      </text>
    </comment>
    <comment ref="AK285" authorId="1" shapeId="0">
      <text>
        <t>Hang Seng Commerce &amp; Industry sub-index
Previous trading close to listing-day close (2024-10-30).
Benchmark return in percent; not the index level or excess return.</t>
      </text>
    </comment>
    <comment ref="AP285" authorId="1" shapeId="0">
      <text>
        <t>Horizon close: 2024-11-06
5/21/63 traded sessions after debut; price-only return vs offer.</t>
      </text>
    </comment>
    <comment ref="AQ285" authorId="1" shapeId="0">
      <text>
        <t>Horizon close: 2024-11-28
5/21/63 traded sessions after debut; price-only return vs offer.</t>
      </text>
    </comment>
    <comment ref="AR285" authorId="1" shapeId="0">
      <text>
        <t>Horizon close: 2025-02-04
5/21/63 traded sessions after debut; price-only return vs offer.</t>
      </text>
    </comment>
    <comment ref="AI286" authorId="0" shapeId="0">
      <text>
        <t>Close: HK$20
Date: 2024-10-30
Venue: Futu (etnet; venues 20.0-20.9)
Source: etnet:ipo-info 暗盤數據</t>
      </text>
    </comment>
    <comment ref="AK286" authorId="1" shapeId="0">
      <text>
        <t>China Biotech ETF (HS biotech proxy)
Previous trading close to listing-day close (2024-10-31).
Benchmark return in percent; not the index level or excess return.</t>
      </text>
    </comment>
    <comment ref="AP286" authorId="1" shapeId="0">
      <text>
        <t>Horizon close: 2024-11-07
5/21/63 traded sessions after debut; price-only return vs offer.</t>
      </text>
    </comment>
    <comment ref="AQ286" authorId="1" shapeId="0">
      <text>
        <t>Horizon close: 2024-11-29
5/21/63 traded sessions after debut; price-only return vs offer.</t>
      </text>
    </comment>
    <comment ref="AR286" authorId="1" shapeId="0">
      <text>
        <t>Horizon close: 2025-02-05
5/21/63 traded sessions after debut; price-only return vs offer.</t>
      </text>
    </comment>
    <comment ref="AI287" authorId="0" shapeId="0">
      <text>
        <t>Close: HK$4.19
Date: 2024-10-31
Venue: Phillip (etnet; venues 4.19-4.4)
Source: etnet:ipo-info 暗盤數據</t>
      </text>
    </comment>
    <comment ref="AK287" authorId="1" shapeId="0">
      <text>
        <t>Hang Seng Commerce &amp; Industry sub-index
Previous trading close to listing-day close (2024-11-01).
Benchmark return in percent; not the index level or excess return.</t>
      </text>
    </comment>
    <comment ref="AP287" authorId="1" shapeId="0">
      <text>
        <t>Horizon close: 2024-11-08
5/21/63 traded sessions after debut; price-only return vs offer.</t>
      </text>
    </comment>
    <comment ref="AQ287" authorId="1" shapeId="0">
      <text>
        <t>Horizon close: 2024-12-02
5/21/63 traded sessions after debut; price-only return vs offer.</t>
      </text>
    </comment>
    <comment ref="AR287" authorId="1" shapeId="0">
      <text>
        <t>Horizon close: 2025-02-06
5/21/63 traded sessions after debut; price-only return vs offer.</t>
      </text>
    </comment>
    <comment ref="AI288" authorId="0" shapeId="0">
      <text>
        <t>Close: HK$13.82
Date: 2024-11-07
Venue: Phillip (etnet; venues 13.0-13.82)
Source: etnet:ipo-info 暗盤數據</t>
      </text>
    </comment>
    <comment ref="AK288" authorId="1" shapeId="0">
      <text>
        <t>Hang Seng Commerce &amp; Industry sub-index
Previous trading close to listing-day close (2024-11-08).
Benchmark return in percent; not the index level or excess return.</t>
      </text>
    </comment>
    <comment ref="AP288" authorId="1" shapeId="0">
      <text>
        <t>Horizon close: 2024-11-15
5/21/63 traded sessions after debut; price-only return vs offer.</t>
      </text>
    </comment>
    <comment ref="AQ288" authorId="1" shapeId="0">
      <text>
        <t>Horizon close: 2024-12-09
5/21/63 traded sessions after debut; price-only return vs offer.</t>
      </text>
    </comment>
    <comment ref="AR288" authorId="1" shapeId="0">
      <text>
        <t>Horizon close: 2025-02-13
5/21/63 traded sessions after debut; price-only return vs offer.</t>
      </text>
    </comment>
    <comment ref="AI289" authorId="0" shapeId="0">
      <text>
        <t>Close: HK$4.08
Date: 2024-11-07
Venue: Phillip (etnet; venues 4.08-4.16)
Source: etnet:ipo-info 暗盤數據</t>
      </text>
    </comment>
    <comment ref="AK289" authorId="1" shapeId="0">
      <text>
        <t>HSTECH (Hang Seng TECH ETF)
Previous trading close to listing-day close (2024-11-08).
Benchmark return in percent; not the index level or excess return.</t>
      </text>
    </comment>
    <comment ref="AP289" authorId="1" shapeId="0">
      <text>
        <t>Horizon close: 2024-11-15
5/21/63 traded sessions after debut; price-only return vs offer.</t>
      </text>
    </comment>
    <comment ref="AQ289" authorId="1" shapeId="0">
      <text>
        <t>Horizon close: 2024-12-09
5/21/63 traded sessions after debut; price-only return vs offer.</t>
      </text>
    </comment>
    <comment ref="AR289" authorId="1" shapeId="0">
      <text>
        <t>Horizon close: 2025-02-13
5/21/63 traded sessions after debut; price-only return vs offer.</t>
      </text>
    </comment>
    <comment ref="AI290" authorId="0" shapeId="0">
      <text>
        <t>Close: HK$80.7
Date: 2024-11-14
Venue: Phillip (輝立)
Source: press:stockfisher.com.hk (2024-11-14): 輝立暗盤收報80.7元，較上市價65元高24.2%; 富途/耀才81元 +24.6%</t>
      </text>
    </comment>
    <comment ref="AK290" authorId="1" shapeId="0">
      <text>
        <t>Hang Seng Commerce &amp; Industry sub-index
Previous trading close to listing-day close (2024-11-15).
Benchmark return in percent; not the index level or excess return.</t>
      </text>
    </comment>
    <comment ref="AP290" authorId="1" shapeId="0">
      <text>
        <t>Horizon close: 2024-11-22
5/21/63 traded sessions after debut; price-only return vs offer.</t>
      </text>
    </comment>
    <comment ref="AQ290" authorId="1" shapeId="0">
      <text>
        <t>Horizon close: 2024-12-16
5/21/63 traded sessions after debut; price-only return vs offer.</t>
      </text>
    </comment>
    <comment ref="AR290" authorId="1" shapeId="0">
      <text>
        <t>Horizon close: 2025-02-20
5/21/63 traded sessions after debut; price-only return vs offer.</t>
      </text>
    </comment>
    <comment ref="AI291" authorId="0" shapeId="0">
      <text>
        <t>Close: HK$34
Date: 2024-11-26
Venue: Phillip (etnet; venues 34.0-34.3)
Source: etnet:ipo-info 暗盤數據</t>
      </text>
    </comment>
    <comment ref="AK291" authorId="1" shapeId="0">
      <text>
        <t>Hang Seng Commerce &amp; Industry sub-index
Previous trading close to listing-day close (2024-11-27).
Benchmark return in percent; not the index level or excess return.</t>
      </text>
    </comment>
    <comment ref="AP291" authorId="1" shapeId="0">
      <text>
        <t>Horizon close: 2024-12-04
5/21/63 traded sessions after debut; price-only return vs offer.</t>
      </text>
    </comment>
    <comment ref="AQ291" authorId="1" shapeId="0">
      <text>
        <t>Horizon close: 2024-12-30
5/21/63 traded sessions after debut; price-only return vs offer.</t>
      </text>
    </comment>
    <comment ref="AR291" authorId="1" shapeId="0">
      <text>
        <t>Horizon close: 2025-03-04
5/21/63 traded sessions after debut; price-only return vs offer.</t>
      </text>
    </comment>
    <comment ref="AI292" authorId="0" shapeId="0">
      <text>
        <t>Close: HK$8.88
Date: 2024-11-27
Venue: Phillip (etnet; venues 8.88-8.9)
Source: etnet:ipo-info 暗盤數據</t>
      </text>
    </comment>
    <comment ref="AK292" authorId="1" shapeId="0">
      <text>
        <t>China Biotech ETF (HS biotech proxy)
Previous trading close to listing-day close (2024-11-28).
Benchmark return in percent; not the index level or excess return.</t>
      </text>
    </comment>
    <comment ref="AP292" authorId="1" shapeId="0">
      <text>
        <t>Horizon close: 2024-12-05
5/21/63 traded sessions after debut; price-only return vs offer.</t>
      </text>
    </comment>
    <comment ref="AQ292" authorId="1" shapeId="0">
      <text>
        <t>Horizon close: 2024-12-31
5/21/63 traded sessions after debut; price-only return vs offer.</t>
      </text>
    </comment>
    <comment ref="AR292" authorId="1" shapeId="0">
      <text>
        <t>Horizon close: 2025-03-05
5/21/63 traded sessions after debut; price-only return vs offer.</t>
      </text>
    </comment>
    <comment ref="AI293" authorId="0" shapeId="0">
      <text>
        <t>Close: HK$12.54
Date: 2024-11-28
Venue: not stated (華盛通)
Source: press:華盛通 暗盘收盘 (2024-11-28): 梦金园收涨4.5%，报12.54港元; 中金在线: 暗盘先杀跌-20%后收升</t>
      </text>
    </comment>
    <comment ref="AK293" authorId="1" shapeId="0">
      <text>
        <t>Hang Seng Commerce &amp; Industry sub-index
Previous trading close to listing-day close (2024-11-29).
Benchmark return in percent; not the index level or excess return.</t>
      </text>
    </comment>
    <comment ref="AP293" authorId="1" shapeId="0">
      <text>
        <t>Horizon close: 2024-12-06
5/21/63 traded sessions after debut; price-only return vs offer.</t>
      </text>
    </comment>
    <comment ref="AQ293" authorId="1" shapeId="0">
      <text>
        <t>Horizon close: 2025-01-02
5/21/63 traded sessions after debut; price-only return vs offer.</t>
      </text>
    </comment>
    <comment ref="AR293" authorId="1" shapeId="0">
      <text>
        <t>Horizon close: 2025-03-06
5/21/63 traded sessions after debut; price-only return vs offer.</t>
      </text>
    </comment>
    <comment ref="AI294" authorId="0" shapeId="0">
      <text>
        <t>Close: HK$21.95
Date: 2024-12-05
Venue: Phillip (etnet; venues 21.95-22.85)
Source: etnet:ipo-info 暗盤數據</t>
      </text>
    </comment>
    <comment ref="AK294" authorId="1" shapeId="0">
      <text>
        <t>HSTECH (Hang Seng TECH ETF)
Previous trading close to listing-day close (2024-12-06).
Benchmark return in percent; not the index level or excess return.</t>
      </text>
    </comment>
    <comment ref="AP294" authorId="1" shapeId="0">
      <text>
        <t>Horizon close: 2024-12-13
5/21/63 traded sessions after debut; price-only return vs offer.</t>
      </text>
    </comment>
    <comment ref="AQ294" authorId="1" shapeId="0">
      <text>
        <t>Horizon close: 2025-01-09
5/21/63 traded sessions after debut; price-only return vs offer.</t>
      </text>
    </comment>
    <comment ref="AR294" authorId="1" shapeId="0">
      <text>
        <t>Horizon close: 2025-03-13
5/21/63 traded sessions after debut; price-only return vs offer.</t>
      </text>
    </comment>
    <comment ref="AI295" authorId="0" shapeId="0">
      <text>
        <t>Close: HK$135.6
Date: 2024-12-05
Venue: Phillip (etnet; venues 135.2-136.6)
Source: etnet:ipo-info 暗盤數據</t>
      </text>
    </comment>
    <comment ref="AK295" authorId="1" shapeId="0">
      <text>
        <t>Hang Seng Commerce &amp; Industry sub-index
Previous trading close to listing-day close (2024-12-06).
Benchmark return in percent; not the index level or excess return.</t>
      </text>
    </comment>
    <comment ref="AP295" authorId="1" shapeId="0">
      <text>
        <t>Horizon close: 2024-12-13
5/21/63 traded sessions after debut; price-only return vs offer.</t>
      </text>
    </comment>
    <comment ref="AQ295" authorId="1" shapeId="0">
      <text>
        <t>Horizon close: 2025-01-09
5/21/63 traded sessions after debut; price-only return vs offer.</t>
      </text>
    </comment>
    <comment ref="AR295" authorId="1" shapeId="0">
      <text>
        <t>Horizon close: 2025-03-13
5/21/63 traded sessions after debut; price-only return vs offer.</t>
      </text>
    </comment>
    <comment ref="AI296" authorId="0" shapeId="0">
      <text>
        <t>Close: HK$44.9
Date: 2024-12-09
Venue: Futu (etnet; venues 44.9-46.0)
Source: etnet:ipo-info 暗盤數據</t>
      </text>
    </comment>
    <comment ref="AK296" authorId="1" shapeId="0">
      <text>
        <t>Hang Seng Commerce &amp; Industry sub-index
Previous trading close to listing-day close (2024-12-10).
Benchmark return in percent; not the index level or excess return.</t>
      </text>
    </comment>
    <comment ref="AP296" authorId="1" shapeId="0">
      <text>
        <t>Horizon close: 2024-12-17
5/21/63 traded sessions after debut; price-only return vs offer.</t>
      </text>
    </comment>
    <comment ref="AQ296" authorId="1" shapeId="0">
      <text>
        <t>Horizon close: 2025-01-13
5/21/63 traded sessions after debut; price-only return vs offer.</t>
      </text>
    </comment>
    <comment ref="AR296" authorId="1" shapeId="0">
      <text>
        <t>Horizon close: 2025-03-17
5/21/63 traded sessions after debut; price-only return vs offer.</t>
      </text>
    </comment>
    <comment ref="AI297" authorId="0" shapeId="0">
      <text>
        <t>Close: HK$4.79
Date: 2024-12-18
Venue: Phillip (etnet; venues 4.79-4.85)
Source: etnet:ipo-info 暗盤數據</t>
      </text>
    </comment>
    <comment ref="AK297" authorId="1" shapeId="0">
      <text>
        <t>China Biotech ETF (HS biotech proxy)
Previous trading close to listing-day close (2024-12-19).
Benchmark return in percent; not the index level or excess return.</t>
      </text>
    </comment>
    <comment ref="AP297" authorId="1" shapeId="0">
      <text>
        <t>Horizon close: 2024-12-30
5/21/63 traded sessions after debut; price-only return vs offer.</t>
      </text>
    </comment>
    <comment ref="AQ297" authorId="1" shapeId="0">
      <text>
        <t>Horizon close: 2025-01-22
5/21/63 traded sessions after debut; price-only return vs offer.</t>
      </text>
    </comment>
    <comment ref="AR297" authorId="1" shapeId="0">
      <text>
        <t>Horizon close: 2025-03-26
5/21/63 traded sessions after debut; price-only return vs offer.</t>
      </text>
    </comment>
    <comment ref="AI298" authorId="0" shapeId="0">
      <text>
        <t>Close: HK$8.43
Date: 2024-12-19
Venue: Phillip (etnet; venues 8.38-8.56)
Source: etnet:ipo-info 暗盤數據</t>
      </text>
    </comment>
    <comment ref="AK298" authorId="1" shapeId="0">
      <text>
        <t>Hang Seng Commerce &amp; Industry sub-index
Previous trading close to listing-day close (2024-12-20).
Benchmark return in percent; not the index level or excess return.</t>
      </text>
    </comment>
    <comment ref="AP298" authorId="1" shapeId="0">
      <text>
        <t>Horizon close: 2024-12-31
5/21/63 traded sessions after debut; price-only return vs offer.</t>
      </text>
    </comment>
    <comment ref="AQ298" authorId="1" shapeId="0">
      <text>
        <t>Horizon close: 2025-01-23
5/21/63 traded sessions after debut; price-only return vs offer.</t>
      </text>
    </comment>
    <comment ref="AR298" authorId="1" shapeId="0">
      <text>
        <t>Horizon close: 2025-03-27
5/21/63 traded sessions after debut; price-only return vs offer.</t>
      </text>
    </comment>
    <comment ref="AI299" authorId="0" shapeId="0">
      <text>
        <t>Close: HK$20.45
Date: 2024-12-20
Venue: Phillip (etnet; venues 20.3-20.45)
Source: etnet:ipo-info 暗盤數據</t>
      </text>
    </comment>
    <comment ref="AK299" authorId="1" shapeId="0">
      <text>
        <t>HSTECH (Hang Seng TECH ETF)
Previous trading close to listing-day close (2024-12-23).
Benchmark return in percent; not the index level or excess return.</t>
      </text>
    </comment>
    <comment ref="AP299" authorId="1" shapeId="0">
      <text>
        <t>Horizon close: 2025-01-02
5/21/63 traded sessions after debut; price-only return vs offer.</t>
      </text>
    </comment>
    <comment ref="AQ299" authorId="1" shapeId="0">
      <text>
        <t>Horizon close: 2025-01-24
5/21/63 traded sessions after debut; price-only return vs offer.</t>
      </text>
    </comment>
    <comment ref="AR299" authorId="1" shapeId="0">
      <text>
        <t>Horizon close: 2025-03-28
5/21/63 traded sessions after debut; price-only return vs offer.</t>
      </text>
    </comment>
    <comment ref="AI300" authorId="0" shapeId="0">
      <text>
        <t>Close: HK$18.3
Date: 2024-12-24
Venue: Futu (etnet; venues 18.3-18.98)
Source: etnet:ipo-info 暗盤數據</t>
      </text>
    </comment>
    <comment ref="AK300" authorId="1" shapeId="0">
      <text>
        <t>HSTECH (Hang Seng TECH ETF)
Previous trading close to listing-day close (2024-12-27).
Benchmark return in percent; not the index level or excess return.</t>
      </text>
    </comment>
    <comment ref="AP300" authorId="1" shapeId="0">
      <text>
        <t>Horizon close: 2025-01-06
5/21/63 traded sessions after debut; price-only return vs offer.</t>
      </text>
    </comment>
    <comment ref="AQ300" authorId="1" shapeId="0">
      <text>
        <t>Horizon close: 2025-01-28
5/21/63 traded sessions after debut; price-only return vs offer.</t>
      </text>
    </comment>
    <comment ref="AR300" authorId="1" shapeId="0">
      <text>
        <t>Horizon close: 2025-04-01
5/21/63 traded sessions after debut; price-only return vs offer.</t>
      </text>
    </comment>
    <comment ref="AI301" authorId="0" shapeId="0">
      <text>
        <t>Close: HK$9.62
Date: 2024-12-27
Venue: Phillip (etnet; venues 9.62-9.7)
Source: etnet:ipo-info 暗盤數據</t>
      </text>
    </comment>
    <comment ref="AK301" authorId="1" shapeId="0">
      <text>
        <t>China Biotech ETF (HS biotech proxy)
Previous trading close to listing-day close (2024-12-30).
Benchmark return in percent; not the index level or excess return.</t>
      </text>
    </comment>
    <comment ref="AP301" authorId="1" shapeId="0">
      <text>
        <t>Horizon close: 2025-01-07
5/21/63 traded sessions after debut; price-only return vs offer.</t>
      </text>
    </comment>
    <comment ref="AQ301" authorId="1" shapeId="0">
      <text>
        <t>Horizon close: 2025-02-03
5/21/63 traded sessions after debut; price-only return vs offer.</t>
      </text>
    </comment>
    <comment ref="AR301" authorId="1" shapeId="0">
      <text>
        <t>Horizon close: 2025-04-02
5/21/63 traded sessions after debut; price-only return vs offer.</t>
      </text>
    </comment>
    <comment ref="AI302" authorId="0" shapeId="0">
      <text>
        <t>Close: HK$31.15
Date: 2024-12-27
Venue: Phillip (etnet; venues 31.1-31.3)
Source: etnet:ipo-info 暗盤數據</t>
      </text>
    </comment>
    <comment ref="AK302" authorId="1" shapeId="0">
      <text>
        <t>HSTECH (Hang Seng TECH ETF)
Previous trading close to listing-day close (2024-12-30).
Benchmark return in percent; not the index level or excess return.</t>
      </text>
    </comment>
    <comment ref="AP302" authorId="1" shapeId="0">
      <text>
        <t>Horizon close: 2025-01-07
5/21/63 traded sessions after debut; price-only return vs offer.</t>
      </text>
    </comment>
    <comment ref="AQ302" authorId="1" shapeId="0">
      <text>
        <t>Horizon close: 2025-02-03
5/21/63 traded sessions after debut; price-only return vs offer.</t>
      </text>
    </comment>
    <comment ref="AR302" authorId="1" shapeId="0">
      <text>
        <t>Horizon close: 2025-04-02
5/21/63 traded sessions after debut; price-only return vs offer.</t>
      </text>
    </comment>
    <comment ref="AI303" authorId="0" shapeId="0">
      <text>
        <t>Close: HK$86.6
Date: 2024-12-27
Venue: Phillip (etnet; venues 82.0-86.6)
Source: etnet:ipo-info 暗盤數據</t>
      </text>
    </comment>
    <comment ref="AK303" authorId="1" shapeId="0">
      <text>
        <t>China Biotech ETF (HS biotech proxy)
Previous trading close to listing-day close (2024-12-30).
Benchmark return in percent; not the index level or excess return.</t>
      </text>
    </comment>
    <comment ref="AP303" authorId="1" shapeId="0">
      <text>
        <t>Horizon close: 2025-01-07
5/21/63 traded sessions after debut; price-only return vs offer.</t>
      </text>
    </comment>
    <comment ref="AQ303" authorId="1" shapeId="0">
      <text>
        <t>Horizon close: 2025-02-03
5/21/63 traded sessions after debut; price-only return vs offer.</t>
      </text>
    </comment>
    <comment ref="AR303" authorId="1" shapeId="0">
      <text>
        <t>Horizon close: 2025-04-02
5/21/63 traded sessions after debut; price-only return vs offer.</t>
      </text>
    </comment>
    <comment ref="AI304" authorId="0" shapeId="0">
      <text>
        <t>Close: HK$3.21
Date: 2025-01-07
Venue: Phillip (etnet; venues 3.21-3.25)
Source: etnet:ipo-info 暗盤數據</t>
      </text>
    </comment>
    <comment ref="AK304" authorId="1" shapeId="0">
      <text>
        <t>China Biotech ETF (HS biotech proxy)
Previous trading close to listing-day close (2025-01-08).
Benchmark return in percent; not the index level or excess return.</t>
      </text>
    </comment>
    <comment ref="AP304" authorId="1" shapeId="0">
      <text>
        <t>Horizon close: 2025-01-15
5/21/63 traded sessions after debut; price-only return vs offer.</t>
      </text>
    </comment>
    <comment ref="AQ304" authorId="1" shapeId="0">
      <text>
        <t>Horizon close: 2025-02-11
5/21/63 traded sessions after debut; price-only return vs offer.</t>
      </text>
    </comment>
    <comment ref="AR304" authorId="1" shapeId="0">
      <text>
        <t>Horizon close: 2025-04-11
5/21/63 traded sessions after debut; price-only return vs offer.</t>
      </text>
    </comment>
    <comment ref="AI305" authorId="0" shapeId="0">
      <text>
        <t>Close: HK$2.06
Date: 2025-01-08
Venue: Phillip (etnet; venues 2.06-2.09)
Source: etnet:ipo-info 暗盤數據</t>
      </text>
    </comment>
    <comment ref="AK305" authorId="1" shapeId="0">
      <text>
        <t>Hang Seng Commerce &amp; Industry sub-index
Previous trading close to listing-day close (2025-01-09).
Benchmark return in percent; not the index level or excess return.</t>
      </text>
    </comment>
    <comment ref="AP305" authorId="1" shapeId="0">
      <text>
        <t>Horizon close: 2025-01-16
5/21/63 traded sessions after debut; price-only return vs offer.</t>
      </text>
    </comment>
    <comment ref="AQ305" authorId="1" shapeId="0">
      <text>
        <t>Horizon close: 2025-02-12
5/21/63 traded sessions after debut; price-only return vs offer.</t>
      </text>
    </comment>
    <comment ref="AR305" authorId="1" shapeId="0">
      <text>
        <t>Horizon close: 2025-04-14
5/21/63 traded sessions after debut; price-only return vs offer.</t>
      </text>
    </comment>
    <comment ref="AI306" authorId="0" shapeId="0">
      <text>
        <t>Close: HK$33.85
Date: 2025-01-08
Venue: Futu (etnet; venues 33.3-34.0)
Source: etnet:ipo-info 暗盤數據</t>
      </text>
    </comment>
    <comment ref="AK306" authorId="1" shapeId="0">
      <text>
        <t>Hang Seng Commerce &amp; Industry sub-index
Previous trading close to listing-day close (2025-01-09).
Benchmark return in percent; not the index level or excess return.</t>
      </text>
    </comment>
    <comment ref="AP306" authorId="1" shapeId="0">
      <text>
        <t>Horizon close: 2025-01-16
5/21/63 traded sessions after debut; price-only return vs offer.</t>
      </text>
    </comment>
    <comment ref="AQ306" authorId="1" shapeId="0">
      <text>
        <t>Horizon close: 2025-02-12
5/21/63 traded sessions after debut; price-only return vs offer.</t>
      </text>
    </comment>
    <comment ref="AR306" authorId="1" shapeId="0">
      <text>
        <t>Horizon close: 2025-04-14
5/21/63 traded sessions after debut; price-only return vs offer.</t>
      </text>
    </comment>
    <comment ref="AI307" authorId="0" shapeId="0">
      <text>
        <t>Close: HK$104.7
Date: 2025-01-09
Venue: Futu (etnet; venues 104.7-105.3)
Source: etnet:ipo-info 暗盤數據</t>
      </text>
    </comment>
    <comment ref="AK307" authorId="1" shapeId="0">
      <text>
        <t>Hang Seng Commerce &amp; Industry sub-index
Previous trading close to listing-day close (2025-01-10).
Benchmark return in percent; not the index level or excess return.</t>
      </text>
    </comment>
    <comment ref="AP307" authorId="1" shapeId="0">
      <text>
        <t>Horizon close: 2025-01-17
5/21/63 traded sessions after debut; price-only return vs offer.</t>
      </text>
    </comment>
    <comment ref="AQ307" authorId="1" shapeId="0">
      <text>
        <t>Horizon close: 2025-02-13
5/21/63 traded sessions after debut; price-only return vs offer.</t>
      </text>
    </comment>
    <comment ref="AR307" authorId="1" shapeId="0">
      <text>
        <t>Horizon close: 2025-04-15
5/21/63 traded sessions after debut; price-only return vs offer.</t>
      </text>
    </comment>
    <comment ref="AI308" authorId="0" shapeId="0">
      <text>
        <t>Close: HK$0.8
Date: 2025-01-09
Venue: Phillip (etnet; venues 0.79-0.8)
Source: etnet:ipo-info 暗盤數據</t>
      </text>
    </comment>
    <comment ref="AK308" authorId="1" shapeId="0">
      <text>
        <t>Hang Seng Commerce &amp; Industry sub-index
Previous trading close to listing-day close (2025-01-10).
Benchmark return in percent; not the index level or excess return.</t>
      </text>
    </comment>
    <comment ref="AP308" authorId="1" shapeId="0">
      <text>
        <t>Horizon close: 2025-01-17
5/21/63 traded sessions after debut; price-only return vs offer.</t>
      </text>
    </comment>
    <comment ref="AQ308" authorId="1" shapeId="0">
      <text>
        <t>Horizon close: 2025-02-13
5/21/63 traded sessions after debut; price-only return vs offer.</t>
      </text>
    </comment>
    <comment ref="AR308" authorId="1" shapeId="0">
      <text>
        <t>Horizon close: 2025-04-15
5/21/63 traded sessions after debut; price-only return vs offer.</t>
      </text>
    </comment>
    <comment ref="AI309" authorId="0" shapeId="0">
      <text>
        <t>Close: HK$2.55
Date: 2025-01-10
Venue: Futu (etnet; venues 2.54-2.59)
Source: etnet:ipo-info 暗盤數據</t>
      </text>
    </comment>
    <comment ref="AK309" authorId="1" shapeId="0">
      <text>
        <t>Hang Seng Finance sub-index
Previous trading close to listing-day close (2025-01-13).
Benchmark return in percent; not the index level or excess return.</t>
      </text>
    </comment>
    <comment ref="AP309" authorId="1" shapeId="0">
      <text>
        <t>Horizon close: 2025-01-20
5/21/63 traded sessions after debut; price-only return vs offer.</t>
      </text>
    </comment>
    <comment ref="AQ309" authorId="1" shapeId="0">
      <text>
        <t>Horizon close: 2025-02-14
5/21/63 traded sessions after debut; price-only return vs offer.</t>
      </text>
    </comment>
    <comment ref="AR309" authorId="1" shapeId="0">
      <text>
        <t>Horizon close: 2025-04-16
5/21/63 traded sessions after debut; price-only return vs offer.</t>
      </text>
    </comment>
    <comment ref="AI310" authorId="0" shapeId="0">
      <text>
        <t>Close: HK$13
Date: 2025-01-14
Venue: Futu (etnet; venues 13.0-13.04)
Source: etnet:ipo-info 暗盤數據</t>
      </text>
    </comment>
    <comment ref="AK310" authorId="1" shapeId="0">
      <text>
        <t>Hang Seng Commerce &amp; Industry sub-index
Previous trading close to listing-day close (2025-01-15).
Benchmark return in percent; not the index level or excess return.</t>
      </text>
    </comment>
    <comment ref="AP310" authorId="1" shapeId="0">
      <text>
        <t>Horizon close: 2025-01-22
5/21/63 traded sessions after debut; price-only return vs offer.</t>
      </text>
    </comment>
    <comment ref="AQ310" authorId="1" shapeId="0">
      <text>
        <t>Horizon close: 2025-02-18
5/21/63 traded sessions after debut; price-only return vs offer.</t>
      </text>
    </comment>
    <comment ref="AR310" authorId="1" shapeId="0">
      <text>
        <t>Horizon close: 2025-04-22
5/21/63 traded sessions after debut; price-only return vs offer.</t>
      </text>
    </comment>
    <comment ref="AI311" authorId="0" shapeId="0">
      <text>
        <t>Close: HK$11.02
Date: 2025-02-11
Venue: Phillip (etnet; venues 10.96-11.12)
Source: etnet:ipo-info 暗盤數據</t>
      </text>
    </comment>
    <comment ref="AK311" authorId="1" shapeId="0">
      <text>
        <t>Hang Seng Commerce &amp; Industry sub-index
Previous trading close to listing-day close (2025-02-12).
Benchmark return in percent; not the index level or excess return.</t>
      </text>
    </comment>
    <comment ref="AP311" authorId="1" shapeId="0">
      <text>
        <t>Horizon close: 2025-02-19
5/21/63 traded sessions after debut; price-only return vs offer.</t>
      </text>
    </comment>
    <comment ref="AQ311" authorId="1" shapeId="0">
      <text>
        <t>Horizon close: 2025-03-13
5/21/63 traded sessions after debut; price-only return vs offer.</t>
      </text>
    </comment>
    <comment ref="AR311" authorId="1" shapeId="0">
      <text>
        <t>Horizon close: 2025-05-19
5/21/63 traded sessions after debut; price-only return vs offer.</t>
      </text>
    </comment>
    <comment ref="AI312" authorId="0" shapeId="0">
      <text>
        <t>Close: HK$250
Date: 2025-02-28
Venue: Futu (etnet; venues 250.0-257.0)
Source: etnet:ipo-info 暗盤數據</t>
      </text>
    </comment>
    <comment ref="AK312" authorId="1" shapeId="0">
      <text>
        <t>Hang Seng Commerce &amp; Industry sub-index
Previous trading close to listing-day close (2025-03-03).
Benchmark return in percent; not the index level or excess return.</t>
      </text>
    </comment>
    <comment ref="AP312" authorId="1" shapeId="0">
      <text>
        <t>Horizon close: 2025-03-10
5/21/63 traded sessions after debut; price-only return vs offer.</t>
      </text>
    </comment>
    <comment ref="AQ312" authorId="1" shapeId="0">
      <text>
        <t>Horizon close: 2025-04-01
5/21/63 traded sessions after debut; price-only return vs offer.</t>
      </text>
    </comment>
    <comment ref="AR312" authorId="1" shapeId="0">
      <text>
        <t>Horizon close: 2025-06-05
5/21/63 traded sessions after debut; price-only return vs offer.</t>
      </text>
    </comment>
    <comment ref="AI313" authorId="0" shapeId="0">
      <text>
        <t>Close: HK$13.68
Date: 2025-03-07
Venue: Phillip (etnet; venues 13.68-13.8)
Source: etnet:ipo-info 暗盤數據</t>
      </text>
    </comment>
    <comment ref="AK313" authorId="1" shapeId="0">
      <text>
        <t>Hang Seng Commerce &amp; Industry sub-index
Previous trading close to listing-day close (2025-03-10).
Benchmark return in percent; not the index level or excess return.</t>
      </text>
    </comment>
    <comment ref="AP313" authorId="1" shapeId="0">
      <text>
        <t>Horizon close: 2025-03-17
5/21/63 traded sessions after debut; price-only return vs offer.</t>
      </text>
    </comment>
    <comment ref="AQ313" authorId="1" shapeId="0">
      <text>
        <t>Horizon close: 2025-04-09
5/21/63 traded sessions after debut; price-only return vs offer.</t>
      </text>
    </comment>
    <comment ref="AR313" authorId="1" shapeId="0">
      <text>
        <t>Horizon close: 2025-06-12
5/21/63 traded sessions after debut; price-only return vs offer.</t>
      </text>
    </comment>
    <comment ref="AI314" authorId="0" shapeId="0">
      <text>
        <t>Close: HK$63.85
Date: 2025-03-20
Venue: Futu (etnet; venues 63.85-64.9)
Source: etnet:ipo-info 暗盤數據</t>
      </text>
    </comment>
    <comment ref="AK314" authorId="1" shapeId="0">
      <text>
        <t>China Biotech ETF (HS biotech proxy)
Previous trading close to listing-day close (2025-03-21).
Benchmark return in percent; not the index level or excess return.</t>
      </text>
    </comment>
    <comment ref="AP314" authorId="1" shapeId="0">
      <text>
        <t>Horizon close: 2025-03-28
5/21/63 traded sessions after debut; price-only return vs offer.</t>
      </text>
    </comment>
    <comment ref="AQ314" authorId="1" shapeId="0">
      <text>
        <t>Horizon close: 2025-04-24
5/21/63 traded sessions after debut; price-only return vs offer.</t>
      </text>
    </comment>
    <comment ref="AR314" authorId="1" shapeId="0">
      <text>
        <t>Horizon close: 2025-06-25
5/21/63 traded sessions after debut; price-only return vs offer.</t>
      </text>
    </comment>
    <comment ref="AI315" authorId="0" shapeId="0">
      <text>
        <t>Close: HK$26.4
Date: 2025-03-24
Venue: Futu (etnet; venues 26.4-26.7)
Source: etnet:ipo-info 暗盤數據</t>
      </text>
    </comment>
    <comment ref="AK315" authorId="1" shapeId="0">
      <text>
        <t>Hang Seng Commerce &amp; Industry sub-index
Previous trading close to listing-day close (2025-03-25).
Benchmark return in percent; not the index level or excess return.</t>
      </text>
    </comment>
    <comment ref="AP315" authorId="1" shapeId="0">
      <text>
        <t>Horizon close: 2025-04-01
5/21/63 traded sessions after debut; price-only return vs offer.</t>
      </text>
    </comment>
    <comment ref="AQ315" authorId="1" shapeId="0">
      <text>
        <t>Horizon close: 2025-04-28
5/21/63 traded sessions after debut; price-only return vs offer.</t>
      </text>
    </comment>
    <comment ref="AR315" authorId="1" shapeId="0">
      <text>
        <t>Horizon close: 2025-06-27
5/21/63 traded sessions after debut; price-only return vs offer.</t>
      </text>
    </comment>
    <comment ref="AI316" authorId="0" shapeId="0">
      <text>
        <t>Close: HK$0.5
Date: 2025-03-26
Venue: Phillip (etnet; venues 0.48-0.5)
Source: etnet:ipo-info 暗盤數據</t>
      </text>
    </comment>
    <comment ref="AK316" authorId="1" shapeId="0">
      <text>
        <t>Hang Seng Commerce &amp; Industry sub-index
Previous trading close to listing-day close (2025-03-27).
Benchmark return in percent; not the index level or excess return.</t>
      </text>
    </comment>
    <comment ref="AP316" authorId="1" shapeId="0">
      <text>
        <t>Horizon close: 2025-04-03
5/21/63 traded sessions after debut; price-only return vs offer.</t>
      </text>
    </comment>
    <comment ref="AQ316" authorId="1" shapeId="0">
      <text>
        <t>Horizon close: 2025-04-30
5/21/63 traded sessions after debut; price-only return vs offer.</t>
      </text>
    </comment>
    <comment ref="AR316" authorId="1" shapeId="0">
      <text>
        <t>Horizon close: 2025-07-02
5/21/63 traded sessions after debut; price-only return vs offer.</t>
      </text>
    </comment>
    <comment ref="AI317" authorId="0" shapeId="0">
      <text>
        <t>Close: HK$3.2
Date: 2025-03-28
Venue: Futu (etnet; venues 3.2-3.31)
Source: etnet:ipo-info 暗盤數據</t>
      </text>
    </comment>
    <comment ref="AK317" authorId="1" shapeId="0">
      <text>
        <t>Hang Seng Commerce &amp; Industry sub-index
Previous trading close to listing-day close (2025-03-31).
Benchmark return in percent; not the index level or excess return.</t>
      </text>
    </comment>
    <comment ref="AP317" authorId="1" shapeId="0">
      <text>
        <t>Horizon close: 2025-04-08
5/21/63 traded sessions after debut; price-only return vs offer.</t>
      </text>
    </comment>
    <comment ref="AQ317" authorId="1" shapeId="0">
      <text>
        <t>Horizon close: 2025-05-06
5/21/63 traded sessions after debut; price-only return vs offer.</t>
      </text>
    </comment>
    <comment ref="AR317" authorId="1" shapeId="0">
      <text>
        <t>Horizon close: 2025-07-04
5/21/63 traded sessions after debut; price-only return vs offer.</t>
      </text>
    </comment>
    <comment ref="AI318" authorId="0" shapeId="0">
      <text>
        <t>Close: HK$8.28
Date: 2025-04-11
Venue: Phillip (etnet; venues 8.2-8.33)
Source: etnet:ipo-info 暗盤數據</t>
      </text>
    </comment>
    <comment ref="AK318" authorId="1" shapeId="0">
      <text>
        <t>Hang Seng Commerce &amp; Industry sub-index
Previous trading close to listing-day close (2025-04-14).
Benchmark return in percent; not the index level or excess return.</t>
      </text>
    </comment>
    <comment ref="AP318" authorId="1" shapeId="0">
      <text>
        <t>Horizon close: 2025-04-23
5/21/63 traded sessions after debut; price-only return vs offer.</t>
      </text>
    </comment>
    <comment ref="AQ318" authorId="1" shapeId="0">
      <text>
        <t>Horizon close: 2025-05-19
5/21/63 traded sessions after debut; price-only return vs offer.</t>
      </text>
    </comment>
    <comment ref="AR318" authorId="1" shapeId="0">
      <text>
        <t>Horizon close: 2025-07-17
5/21/63 traded sessions after debut; price-only return vs offer.</t>
      </text>
    </comment>
    <comment ref="AI319" authorId="0" shapeId="0">
      <text>
        <t>Close: HK$173
Date: 2025-04-14
Venue: Phillip (etnet; venues 172.0-177.0)
Source: etnet:ipo-info 暗盤數據</t>
      </text>
    </comment>
    <comment ref="AK319" authorId="1" shapeId="0">
      <text>
        <t>China Biotech ETF (HS biotech proxy)
Previous trading close to listing-day close (2025-04-15).
Benchmark return in percent; not the index level or excess return.</t>
      </text>
    </comment>
    <comment ref="AP319" authorId="1" shapeId="0">
      <text>
        <t>Horizon close: 2025-04-24
5/21/63 traded sessions after debut; price-only return vs offer.</t>
      </text>
    </comment>
    <comment ref="AQ319" authorId="1" shapeId="0">
      <text>
        <t>Horizon close: 2025-05-20
5/21/63 traded sessions after debut; price-only return vs offer.</t>
      </text>
    </comment>
    <comment ref="AR319" authorId="1" shapeId="0">
      <text>
        <t>Horizon close: 2025-07-18
5/21/63 traded sessions after debut; price-only return vs offer.</t>
      </text>
    </comment>
    <comment ref="AI320" authorId="0" shapeId="0">
      <text>
        <t>Close: HK$25.8
Date: 2025-05-06
Venue: Futu (富途)
Source: press:HKET 博雷頓1333暗盤收升逾四成 (2025-05-06): 富途收報25.8元 +43.3%; 耀才25.75 +43.1%; 輝立25.45 +41.4%</t>
      </text>
    </comment>
    <comment ref="AK320" authorId="1" shapeId="0">
      <text>
        <t>Hang Seng Commerce &amp; Industry sub-index
Previous trading close to listing-day close (2025-05-07).
Benchmark return in percent; not the index level or excess return.</t>
      </text>
    </comment>
    <comment ref="AP320" authorId="1" shapeId="0">
      <text>
        <t>Horizon close: 2025-05-14
5/21/63 traded sessions after debut; price-only return vs offer.</t>
      </text>
    </comment>
    <comment ref="AQ320" authorId="1" shapeId="0">
      <text>
        <t>Horizon close: 2025-06-05
5/21/63 traded sessions after debut; price-only return vs offer.</t>
      </text>
    </comment>
    <comment ref="AR320" authorId="1" shapeId="0">
      <text>
        <t>Horizon close: 2025-08-05
5/21/63 traded sessions after debut; price-only return vs offer.</t>
      </text>
    </comment>
    <comment ref="AI321" authorId="0" shapeId="0">
      <text>
        <t>Close: HK$22.15
Date: 2025-05-07
Venue: Phillip (etnet; venues 21.55-22.15)
Source: etnet:ipo-info 暗盤數據</t>
      </text>
    </comment>
    <comment ref="AK321" authorId="1" shapeId="0">
      <text>
        <t>Hang Seng Commerce &amp; Industry sub-index
Previous trading close to listing-day close (2025-05-08).
Benchmark return in percent; not the index level or excess return.</t>
      </text>
    </comment>
    <comment ref="AP321" authorId="1" shapeId="0">
      <text>
        <t>Horizon close: 2025-05-15
5/21/63 traded sessions after debut; price-only return vs offer.</t>
      </text>
    </comment>
    <comment ref="AQ321" authorId="1" shapeId="0">
      <text>
        <t>Horizon close: 2025-06-06
5/21/63 traded sessions after debut; price-only return vs offer.</t>
      </text>
    </comment>
    <comment ref="AR321" authorId="1" shapeId="0">
      <text>
        <t>Horizon close: 2025-08-06
5/21/63 traded sessions after debut; price-only return vs offer.</t>
      </text>
    </comment>
    <comment ref="AI322" authorId="0" shapeId="0">
      <text>
        <t>Close: HK$183.8
Date: 2025-05-07
Venue: Futu (etnet; venues 183.3-184.5)
Source: etnet:ipo-info 暗盤數據</t>
      </text>
    </comment>
    <comment ref="AK322" authorId="1" shapeId="0">
      <text>
        <t>Hang Seng Commerce &amp; Industry sub-index
Previous trading close to listing-day close (2025-05-08).
Benchmark return in percent; not the index level or excess return.</t>
      </text>
    </comment>
    <comment ref="AP322" authorId="1" shapeId="0">
      <text>
        <t>Horizon close: 2025-05-15
5/21/63 traded sessions after debut; price-only return vs offer.</t>
      </text>
    </comment>
    <comment ref="AQ322" authorId="1" shapeId="0">
      <text>
        <t>Horizon close: 2025-06-06
5/21/63 traded sessions after debut; price-only return vs offer.</t>
      </text>
    </comment>
    <comment ref="AR322" authorId="1" shapeId="0">
      <text>
        <t>Horizon close: 2025-08-06
5/21/63 traded sessions after debut; price-only return vs offer.</t>
      </text>
    </comment>
    <comment ref="AI323" authorId="0" shapeId="0">
      <text>
        <t>Close: HK$6.64
Date: 2025-05-15
Venue: Phillip (etnet; venues 6.63-6.64)
Source: etnet:ipo-info 暗盤數據</t>
      </text>
    </comment>
    <comment ref="AK323" authorId="1" shapeId="0">
      <text>
        <t>Hang Seng Commerce &amp; Industry sub-index
Previous trading close to listing-day close (2025-05-16).
Benchmark return in percent; not the index level or excess return.</t>
      </text>
    </comment>
    <comment ref="AP323" authorId="1" shapeId="0">
      <text>
        <t>Horizon close: 2025-05-23
5/21/63 traded sessions after debut; price-only return vs offer.</t>
      </text>
    </comment>
    <comment ref="AQ323" authorId="1" shapeId="0">
      <text>
        <t>Horizon close: 2025-06-16
5/21/63 traded sessions after debut; price-only return vs offer.</t>
      </text>
    </comment>
    <comment ref="AR323" authorId="1" shapeId="0">
      <text>
        <t>Horizon close: 2025-08-14
5/21/63 traded sessions after debut; price-only return vs offer.</t>
      </text>
    </comment>
    <comment ref="AI324" authorId="0" shapeId="0">
      <text>
        <t>Close: HK$284.8
Date: 2025-05-19
Venue: Futu (etnet; venues 284.8-287.0)
Source: etnet:ipo-info 暗盤數據</t>
      </text>
    </comment>
    <comment ref="AK324" authorId="1" shapeId="0">
      <text>
        <t>Hang Seng Commerce &amp; Industry sub-index
Previous trading close to listing-day close (2025-05-20).
Benchmark return in percent; not the index level or excess return.</t>
      </text>
    </comment>
    <comment ref="AP324" authorId="1" shapeId="0">
      <text>
        <t>Horizon close: 2025-05-27
5/21/63 traded sessions after debut; price-only return vs offer.</t>
      </text>
    </comment>
    <comment ref="AQ324" authorId="1" shapeId="0">
      <text>
        <t>Horizon close: 2025-06-18
5/21/63 traded sessions after debut; price-only return vs offer.</t>
      </text>
    </comment>
    <comment ref="AR324" authorId="1" shapeId="0">
      <text>
        <t>Horizon close: 2025-08-18
5/21/63 traded sessions after debut; price-only return vs offer.</t>
      </text>
    </comment>
    <comment ref="AI325" authorId="0" shapeId="0">
      <text>
        <t>Close: HK$31.2
Date: 2025-05-22
Venue: Phillip (etnet; venues 31.0-31.4)
Source: etnet:ipo-info 暗盤數據</t>
      </text>
    </comment>
    <comment ref="AK325" authorId="1" shapeId="0">
      <text>
        <t>China Biotech ETF (HS biotech proxy)
Previous trading close to listing-day close (2025-05-23).
Benchmark return in percent; not the index level or excess return.</t>
      </text>
    </comment>
    <comment ref="AP325" authorId="1" shapeId="0">
      <text>
        <t>Horizon close: 2025-05-30
5/21/63 traded sessions after debut; price-only return vs offer.</t>
      </text>
    </comment>
    <comment ref="AQ325" authorId="1" shapeId="0">
      <text>
        <t>Horizon close: 2025-06-23
5/21/63 traded sessions after debut; price-only return vs offer.</t>
      </text>
    </comment>
    <comment ref="AR325" authorId="1" shapeId="0">
      <text>
        <t>Horizon close: 2025-08-21
5/21/63 traded sessions after debut; price-only return vs offer.</t>
      </text>
    </comment>
    <comment ref="AI326" authorId="0" shapeId="0">
      <text>
        <t>Close: HK$58.25
Date: 2025-05-22
Venue: Futu (etnet; venues 58.25-58.85)
Source: etnet:ipo-info 暗盤數據</t>
      </text>
    </comment>
    <comment ref="AK326" authorId="1" shapeId="0">
      <text>
        <t>China Biotech ETF (HS biotech proxy)
Previous trading close to listing-day close (2025-05-23).
Benchmark return in percent; not the index level or excess return.</t>
      </text>
    </comment>
    <comment ref="AP326" authorId="1" shapeId="0">
      <text>
        <t>Horizon close: 2025-05-30
5/21/63 traded sessions after debut; price-only return vs offer.</t>
      </text>
    </comment>
    <comment ref="AQ326" authorId="1" shapeId="0">
      <text>
        <t>Horizon close: 2025-06-23
5/21/63 traded sessions after debut; price-only return vs offer.</t>
      </text>
    </comment>
    <comment ref="AR326" authorId="1" shapeId="0">
      <text>
        <t>Horizon close: 2025-08-21
5/21/63 traded sessions after debut; price-only return vs offer.</t>
      </text>
    </comment>
    <comment ref="AI327" authorId="0" shapeId="0">
      <text>
        <t>Close: HK$14.84
Date: 2025-05-26
Venue: Futu (etnet; venues 14.84-15.12)
Source: etnet:ipo-info 暗盤數據</t>
      </text>
    </comment>
    <comment ref="AK327" authorId="1" shapeId="0">
      <text>
        <t>China Biotech ETF (HS biotech proxy)
Previous trading close to listing-day close (2025-05-27).
Benchmark return in percent; not the index level or excess return.</t>
      </text>
    </comment>
    <comment ref="AP327" authorId="1" shapeId="0">
      <text>
        <t>Horizon close: 2025-06-03
5/21/63 traded sessions after debut; price-only return vs offer.</t>
      </text>
    </comment>
    <comment ref="AQ327" authorId="1" shapeId="0">
      <text>
        <t>Horizon close: 2025-06-25
5/21/63 traded sessions after debut; price-only return vs offer.</t>
      </text>
    </comment>
    <comment ref="AR327" authorId="1" shapeId="0">
      <text>
        <t>Horizon close: 2025-08-25
5/21/63 traded sessions after debut; price-only return vs offer.</t>
      </text>
    </comment>
    <comment ref="AI328" authorId="0" shapeId="0">
      <text>
        <t>Close: HK$9.51
Date: 2025-05-26
Venue: Futu (etnet; venues 9.51-9.7)
Source: etnet:ipo-info 暗盤數據</t>
      </text>
    </comment>
    <comment ref="AK328" authorId="1" shapeId="0">
      <text>
        <t>HSTECH (Hang Seng TECH ETF)
Previous trading close to listing-day close (2025-05-27).
Benchmark return in percent; not the index level or excess return.</t>
      </text>
    </comment>
    <comment ref="AP328" authorId="1" shapeId="0">
      <text>
        <t>Horizon close: 2025-06-03
5/21/63 traded sessions after debut; price-only return vs offer.</t>
      </text>
    </comment>
    <comment ref="AQ328" authorId="1" shapeId="0">
      <text>
        <t>Horizon close: 2025-06-25
5/21/63 traded sessions after debut; price-only return vs offer.</t>
      </text>
    </comment>
    <comment ref="AR328" authorId="1" shapeId="0">
      <text>
        <t>Horizon close: 2025-08-25
5/21/63 traded sessions after debut; price-only return vs offer.</t>
      </text>
    </comment>
    <comment ref="AI329" authorId="0" shapeId="0">
      <text>
        <t>Close: HK$7.95
Date: 2025-05-29
Venue: Phillip (etnet; venues 7.59-7.95)
Source: etnet:ipo-info 暗盤數據</t>
      </text>
    </comment>
    <comment ref="AK329" authorId="1" shapeId="0">
      <text>
        <t>Hang Seng Finance sub-index
Previous trading close to listing-day close (2025-05-30).
Benchmark return in percent; not the index level or excess return.</t>
      </text>
    </comment>
    <comment ref="AP329" authorId="1" shapeId="0">
      <text>
        <t>Horizon close: 2025-06-06
5/21/63 traded sessions after debut; price-only return vs offer.</t>
      </text>
    </comment>
    <comment ref="AQ329" authorId="1" shapeId="0">
      <text>
        <t>Horizon close: 2025-06-30
5/21/63 traded sessions after debut; price-only return vs offer.</t>
      </text>
    </comment>
    <comment ref="AR329" authorId="1" shapeId="0">
      <text>
        <t>Horizon close: 2025-08-28
5/21/63 traded sessions after debut; price-only return vs offer.</t>
      </text>
    </comment>
    <comment ref="AI330" authorId="0" shapeId="0">
      <text>
        <t>Close: HK$17.6
Date: 2025-06-09
Venue: Phillip (etnet; venues 17.48-17.88)
Source: etnet:ipo-info 暗盤數據</t>
      </text>
    </comment>
    <comment ref="AK330" authorId="1" shapeId="0">
      <text>
        <t>HSTECH (Hang Seng TECH ETF)
Previous trading close to listing-day close (2025-06-10).
Benchmark return in percent; not the index level or excess return.</t>
      </text>
    </comment>
    <comment ref="AP330" authorId="1" shapeId="0">
      <text>
        <t>Horizon close: 2025-06-17
5/21/63 traded sessions after debut; price-only return vs offer.</t>
      </text>
    </comment>
    <comment ref="AQ330" authorId="1" shapeId="0">
      <text>
        <t>Horizon close: 2025-07-10
5/21/63 traded sessions after debut; price-only return vs offer.</t>
      </text>
    </comment>
    <comment ref="AR330" authorId="1" shapeId="0">
      <text>
        <t>Horizon close: 2025-09-08
5/21/63 traded sessions after debut; price-only return vs offer.</t>
      </text>
    </comment>
    <comment ref="AI331" authorId="0" shapeId="0">
      <text>
        <t>Close: HK$32.6
Date: 2025-06-09
Venue: Phillip (etnet; venues 32.6-33.5)
Source: etnet:ipo-info 暗盤數據</t>
      </text>
    </comment>
    <comment ref="AK331" authorId="1" shapeId="0">
      <text>
        <t>Hang Seng Commerce &amp; Industry sub-index
Previous trading close to listing-day close (2025-06-10).
Benchmark return in percent; not the index level or excess return.</t>
      </text>
    </comment>
    <comment ref="AP331" authorId="1" shapeId="0">
      <text>
        <t>Horizon close: 2025-06-17
5/21/63 traded sessions after debut; price-only return vs offer.</t>
      </text>
    </comment>
    <comment ref="AQ331" authorId="1" shapeId="0">
      <text>
        <t>Horizon close: 2025-07-10
5/21/63 traded sessions after debut; price-only return vs offer.</t>
      </text>
    </comment>
    <comment ref="AR331" authorId="1" shapeId="0">
      <text>
        <t>Horizon close: 2025-09-08
5/21/63 traded sessions after debut; price-only return vs offer.</t>
      </text>
    </comment>
    <comment ref="AI332" authorId="0" shapeId="0">
      <text>
        <t>Close: HK$8.31
Date: 2025-06-09
Venue: Phillip (etnet; venues 8.31-8.7)
Source: etnet:ipo-info 暗盤數據</t>
      </text>
    </comment>
    <comment ref="AK332" authorId="1" shapeId="0">
      <text>
        <t>HSTECH (Hang Seng TECH ETF)
Previous trading close to listing-day close (2025-06-10).
Benchmark return in percent; not the index level or excess return.</t>
      </text>
    </comment>
    <comment ref="AP332" authorId="1" shapeId="0">
      <text>
        <t>Horizon close: 2025-06-17
5/21/63 traded sessions after debut; price-only return vs offer.</t>
      </text>
    </comment>
    <comment ref="AQ332" authorId="1" shapeId="0">
      <text>
        <t>Horizon close: 2025-07-10
5/21/63 traded sessions after debut; price-only return vs offer.</t>
      </text>
    </comment>
    <comment ref="AR332" authorId="1" shapeId="0">
      <text>
        <t>Horizon close: 2025-09-08
5/21/63 traded sessions after debut; price-only return vs offer.</t>
      </text>
    </comment>
    <comment ref="AI333" authorId="0" shapeId="0">
      <text>
        <t>Close: HK$38.2
Date: 2025-06-18
Venue: Phillip (etnet; venues 37.7-38.2)
Source: etnet:ipo-info 暗盤數據</t>
      </text>
    </comment>
    <comment ref="AK333" authorId="1" shapeId="0">
      <text>
        <t>Hang Seng Commerce &amp; Industry sub-index
Previous trading close to listing-day close (2025-06-19).
Benchmark return in percent; not the index level or excess return.</t>
      </text>
    </comment>
    <comment ref="AP333" authorId="1" shapeId="0">
      <text>
        <t>Horizon close: 2025-06-26
5/21/63 traded sessions after debut; price-only return vs offer.</t>
      </text>
    </comment>
    <comment ref="AQ333" authorId="1" shapeId="0">
      <text>
        <t>Horizon close: 2025-07-21
5/21/63 traded sessions after debut; price-only return vs offer.</t>
      </text>
    </comment>
    <comment ref="AR333" authorId="1" shapeId="0">
      <text>
        <t>Horizon close: 2025-09-17
5/21/63 traded sessions after debut; price-only return vs offer.</t>
      </text>
    </comment>
    <comment ref="AI334" authorId="0" shapeId="0">
      <text>
        <t>Close: HK$5.31
Date: 2025-06-20
Venue: three venues, range (5.25-5.37, midpoint shown)
Source: press:HKET 佰澤醫療2609 (2025-06-20): 暗盤收報5.25至5.37元，升24.4%至27.3%; offer 4.22; midpoint shown</t>
      </text>
    </comment>
    <comment ref="AK334" authorId="1" shapeId="0">
      <text>
        <t>China Biotech ETF (HS biotech proxy)
Previous trading close to listing-day close (2025-06-23).
Benchmark return in percent; not the index level or excess return.</t>
      </text>
    </comment>
    <comment ref="AP334" authorId="1" shapeId="0">
      <text>
        <t>Horizon close: 2025-06-30
5/21/63 traded sessions after debut; price-only return vs offer.</t>
      </text>
    </comment>
    <comment ref="AQ334" authorId="1" shapeId="0">
      <text>
        <t>Horizon close: 2025-07-23
5/21/63 traded sessions after debut; price-only return vs offer.</t>
      </text>
    </comment>
    <comment ref="AR334" authorId="1" shapeId="0">
      <text>
        <t>Horizon close: 2025-09-19
5/21/63 traded sessions after debut; price-only return vs offer.</t>
      </text>
    </comment>
    <comment ref="AI335" authorId="0" shapeId="0">
      <text>
        <t>Close: HK$21.85
Date: 2025-06-20
Venue: Phillip (etnet; venues 21.65-21.85)
Source: etnet:ipo-info 暗盤數據</t>
      </text>
    </comment>
    <comment ref="AK335" authorId="1" shapeId="0">
      <text>
        <t>Hang Seng Commerce &amp; Industry sub-index
Previous trading close to listing-day close (2025-06-23).
Benchmark return in percent; not the index level or excess return.</t>
      </text>
    </comment>
    <comment ref="AP335" authorId="1" shapeId="0">
      <text>
        <t>Horizon close: 2025-06-30
5/21/63 traded sessions after debut; price-only return vs offer.</t>
      </text>
    </comment>
    <comment ref="AQ335" authorId="1" shapeId="0">
      <text>
        <t>Horizon close: 2025-07-23
5/21/63 traded sessions after debut; price-only return vs offer.</t>
      </text>
    </comment>
    <comment ref="AR335" authorId="1" shapeId="0">
      <text>
        <t>Horizon close: 2025-09-19
5/21/63 traded sessions after debut; price-only return vs offer.</t>
      </text>
    </comment>
    <comment ref="AI336" authorId="0" shapeId="0">
      <text>
        <t>Close: HK$22.25
Date: 2025-06-20
Venue: Futu (etnet; venues 22.2-22.9)
Source: etnet:ipo-info 暗盤數據</t>
      </text>
    </comment>
    <comment ref="AK336" authorId="1" shapeId="0">
      <text>
        <t>China Biotech ETF (HS biotech proxy)
Previous trading close to listing-day close (2025-06-23).
Benchmark return in percent; not the index level or excess return.</t>
      </text>
    </comment>
    <comment ref="AP336" authorId="1" shapeId="0">
      <text>
        <t>Horizon close: 2025-06-30
5/21/63 traded sessions after debut; price-only return vs offer.</t>
      </text>
    </comment>
    <comment ref="AQ336" authorId="1" shapeId="0">
      <text>
        <t>Horizon close: 2025-07-23
5/21/63 traded sessions after debut; price-only return vs offer.</t>
      </text>
    </comment>
    <comment ref="AR336" authorId="1" shapeId="0">
      <text>
        <t>Horizon close: 2025-09-19
5/21/63 traded sessions after debut; price-only return vs offer.</t>
      </text>
    </comment>
    <comment ref="AI337" authorId="0" shapeId="0">
      <text>
        <t>Close: HK$2.72
Date: 2025-06-24
Venue: Phillip (etnet; venues 2.72-2.78)
Source: etnet:ipo-info 暗盤數據</t>
      </text>
    </comment>
    <comment ref="AK337" authorId="1" shapeId="0">
      <text>
        <t>HSTECH (Hang Seng TECH ETF)
Previous trading close to listing-day close (2025-06-25).
Benchmark return in percent; not the index level or excess return.</t>
      </text>
    </comment>
    <comment ref="AP337" authorId="1" shapeId="0">
      <text>
        <t>Horizon close: 2025-07-03
5/21/63 traded sessions after debut; price-only return vs offer.</t>
      </text>
    </comment>
    <comment ref="AQ337" authorId="1" shapeId="0">
      <text>
        <t>Horizon close: 2025-07-25
5/21/63 traded sessions after debut; price-only return vs offer.</t>
      </text>
    </comment>
    <comment ref="AR337" authorId="1" shapeId="0">
      <text>
        <t>Horizon close: 2025-09-23
5/21/63 traded sessions after debut; price-only return vs offer.</t>
      </text>
    </comment>
    <comment ref="AI338" authorId="0" shapeId="0">
      <text>
        <t>Close: HK$36
Date: 2025-06-24
Venue: Phillip (etnet; venues 34.9-36.0)
Source: etnet:ipo-info 暗盤數據</t>
      </text>
    </comment>
    <comment ref="AK338" authorId="1" shapeId="0">
      <text>
        <t>HSTECH (Hang Seng TECH ETF)
Previous trading close to listing-day close (2025-06-25).
Benchmark return in percent; not the index level or excess return.</t>
      </text>
    </comment>
    <comment ref="AP338" authorId="1" shapeId="0">
      <text>
        <t>Horizon close: 2025-07-03
5/21/63 traded sessions after debut; price-only return vs offer.</t>
      </text>
    </comment>
    <comment ref="AQ338" authorId="1" shapeId="0">
      <text>
        <t>Horizon close: 2025-07-25
5/21/63 traded sessions after debut; price-only return vs offer.</t>
      </text>
    </comment>
    <comment ref="AR338" authorId="1" shapeId="0">
      <text>
        <t>Horizon close: 2025-09-23
5/21/63 traded sessions after debut; price-only return vs offer.</t>
      </text>
    </comment>
    <comment ref="AI339" authorId="0" shapeId="0">
      <text>
        <t>Close: HK$27.1
Date: 2025-06-25
Venue: Phillip (etnet; venues 26.85-27.1)
Source: etnet:ipo-info 暗盤數據</t>
      </text>
    </comment>
    <comment ref="AK339" authorId="1" shapeId="0">
      <text>
        <t>Hang Seng Commerce &amp; Industry sub-index
Previous trading close to listing-day close (2025-06-26).
Benchmark return in percent; not the index level or excess return.</t>
      </text>
    </comment>
    <comment ref="AP339" authorId="1" shapeId="0">
      <text>
        <t>Horizon close: 2025-07-04
5/21/63 traded sessions after debut; price-only return vs offer.</t>
      </text>
    </comment>
    <comment ref="AQ339" authorId="1" shapeId="0">
      <text>
        <t>Horizon close: 2025-07-28
5/21/63 traded sessions after debut; price-only return vs offer.</t>
      </text>
    </comment>
    <comment ref="AR339" authorId="1" shapeId="0">
      <text>
        <t>Horizon close: 2025-09-24
5/21/63 traded sessions after debut; price-only return vs offer.</t>
      </text>
    </comment>
    <comment ref="AI340" authorId="0" shapeId="0">
      <text>
        <t>Close: HK$8.02
Date: 2025-06-25
Venue: Futu (etnet; venues 8.0-8.05)
Source: etnet:ipo-info 暗盤數據</t>
      </text>
    </comment>
    <comment ref="AK340" authorId="1" shapeId="0">
      <text>
        <t>China Biotech ETF (HS biotech proxy)
Previous trading close to listing-day close (2025-06-26).
Benchmark return in percent; not the index level or excess return.</t>
      </text>
    </comment>
    <comment ref="AP340" authorId="1" shapeId="0">
      <text>
        <t>Horizon close: 2025-07-04
5/21/63 traded sessions after debut; price-only return vs offer.</t>
      </text>
    </comment>
    <comment ref="AQ340" authorId="1" shapeId="0">
      <text>
        <t>Horizon close: 2025-07-28
5/21/63 traded sessions after debut; price-only return vs offer.</t>
      </text>
    </comment>
    <comment ref="AR340" authorId="1" shapeId="0">
      <text>
        <t>Horizon close: 2025-09-24
5/21/63 traded sessions after debut; price-only return vs offer.</t>
      </text>
    </comment>
    <comment ref="AI341" authorId="0" shapeId="0">
      <text>
        <t>Close: HK$2.81
Date: 2025-06-25
Venue: Phillip (etnet; venues 2.74-2.82)
Source: etnet:ipo-info 暗盤數據</t>
      </text>
    </comment>
    <comment ref="AK341" authorId="1" shapeId="0">
      <text>
        <t>Hang Seng Commerce &amp; Industry sub-index
Previous trading close to listing-day close (2025-06-26).
Benchmark return in percent; not the index level or excess return.</t>
      </text>
    </comment>
    <comment ref="AP341" authorId="1" shapeId="0">
      <text>
        <t>Horizon close: 2025-07-04
5/21/63 traded sessions after debut; price-only return vs offer.</t>
      </text>
    </comment>
    <comment ref="AQ341" authorId="1" shapeId="0">
      <text>
        <t>Horizon close: 2025-07-28
5/21/63 traded sessions after debut; price-only return vs offer.</t>
      </text>
    </comment>
    <comment ref="AR341" authorId="1" shapeId="0">
      <text>
        <t>Horizon close: 2025-09-24
5/21/63 traded sessions after debut; price-only return vs offer.</t>
      </text>
    </comment>
    <comment ref="AI342" authorId="0" shapeId="0">
      <text>
        <t>Close: HK$199.1
Date: 2025-06-27
Venue: Futu (etnet; venues 198.0-200.0)
Source: etnet:ipo-info 暗盤數據</t>
      </text>
    </comment>
    <comment ref="AK342" authorId="1" shapeId="0">
      <text>
        <t>HSTECH (Hang Seng TECH ETF)
Previous trading close to listing-day close (2025-06-30).
Benchmark return in percent; not the index level or excess return.</t>
      </text>
    </comment>
    <comment ref="AP342" authorId="1" shapeId="0">
      <text>
        <t>Horizon close: 2025-07-08
5/21/63 traded sessions after debut; price-only return vs offer.</t>
      </text>
    </comment>
    <comment ref="AQ342" authorId="1" shapeId="0">
      <text>
        <t>Horizon close: 2025-07-30
5/21/63 traded sessions after debut; price-only return vs offer.</t>
      </text>
    </comment>
    <comment ref="AR342" authorId="1" shapeId="0">
      <text>
        <t>Horizon close: 2025-09-26
5/21/63 traded sessions after debut; price-only return vs offer.</t>
      </text>
    </comment>
    <comment ref="AI343" authorId="0" shapeId="0">
      <text>
        <t>Close: HK$31.15
Date: 2025-06-27
Venue: Futu (etnet; venues 31.15-32.0)
Source: etnet:ipo-info 暗盤數據</t>
      </text>
    </comment>
    <comment ref="AK343" authorId="1" shapeId="0">
      <text>
        <t>China Biotech ETF (HS biotech proxy)
Previous trading close to listing-day close (2025-06-30).
Benchmark return in percent; not the index level or excess return.</t>
      </text>
    </comment>
    <comment ref="AP343" authorId="1" shapeId="0">
      <text>
        <t>Horizon close: 2025-07-08
5/21/63 traded sessions after debut; price-only return vs offer.</t>
      </text>
    </comment>
    <comment ref="AQ343" authorId="1" shapeId="0">
      <text>
        <t>Horizon close: 2025-07-30
5/21/63 traded sessions after debut; price-only return vs offer.</t>
      </text>
    </comment>
    <comment ref="AR343" authorId="1" shapeId="0">
      <text>
        <t>Horizon close: 2025-09-26
5/21/63 traded sessions after debut; price-only return vs offer.</t>
      </text>
    </comment>
    <comment ref="AI344" authorId="0" shapeId="0">
      <text>
        <t>Close: HK$44.75
Date: 2025-06-27
Venue: Futu (etnet; venues 43.9-44.75)
Source: etnet:ipo-info 暗盤數據</t>
      </text>
    </comment>
    <comment ref="AK344" authorId="1" shapeId="0">
      <text>
        <t>Hang Seng Commerce &amp; Industry sub-index
Previous trading close to listing-day close (2025-06-30).
Benchmark return in percent; not the index level or excess return.</t>
      </text>
    </comment>
    <comment ref="AP344" authorId="1" shapeId="0">
      <text>
        <t>Horizon close: 2025-07-08
5/21/63 traded sessions after debut; price-only return vs offer.</t>
      </text>
    </comment>
    <comment ref="AQ344" authorId="1" shapeId="0">
      <text>
        <t>Horizon close: 2025-07-30
5/21/63 traded sessions after debut; price-only return vs offer.</t>
      </text>
    </comment>
    <comment ref="AR344" authorId="1" shapeId="0">
      <text>
        <t>Horizon close: 2025-09-26
5/21/63 traded sessions after debut; price-only return vs offer.</t>
      </text>
    </comment>
    <comment ref="AI345" authorId="0" shapeId="0">
      <text>
        <t>Close: HK$10.46
Date: 2025-07-02
Venue: Futu (etnet; venues 10.46-10.6)
Source: etnet:ipo-info 暗盤數據</t>
      </text>
    </comment>
    <comment ref="AK345" authorId="1" shapeId="0">
      <text>
        <t>China Biotech ETF (HS biotech proxy)
Previous trading close to listing-day close (2025-07-03).
Benchmark return in percent; not the index level or excess return.</t>
      </text>
    </comment>
    <comment ref="AP345" authorId="1" shapeId="0">
      <text>
        <t>Horizon close: 2025-07-10
5/21/63 traded sessions after debut; price-only return vs offer.</t>
      </text>
    </comment>
    <comment ref="AQ345" authorId="1" shapeId="0">
      <text>
        <t>Horizon close: 2025-08-01
5/21/63 traded sessions after debut; price-only return vs offer.</t>
      </text>
    </comment>
    <comment ref="AR345" authorId="1" shapeId="0">
      <text>
        <t>Horizon close: 2025-09-30
5/21/63 traded sessions after debut; price-only return vs offer.</t>
      </text>
    </comment>
    <comment ref="AI346" authorId="0" shapeId="0">
      <text>
        <t>Close: HK$59.6
Date: 2025-07-03
Venue: Phillip (etnet; venues 59.6-59.9)
Source: etnet:ipo-info 暗盤數據</t>
      </text>
    </comment>
    <comment ref="AK346" authorId="1" shapeId="0">
      <text>
        <t>Hang Seng Commerce &amp; Industry sub-index
Previous trading close to listing-day close (2025-07-04).
Benchmark return in percent; not the index level or excess return.</t>
      </text>
    </comment>
    <comment ref="AP346" authorId="1" shapeId="0">
      <text>
        <t>Horizon close: 2025-07-11
5/21/63 traded sessions after debut; price-only return vs offer.</t>
      </text>
    </comment>
    <comment ref="AQ346" authorId="1" shapeId="0">
      <text>
        <t>Horizon close: 2025-08-04
5/21/63 traded sessions after debut; price-only return vs offer.</t>
      </text>
    </comment>
    <comment ref="AR346" authorId="1" shapeId="0">
      <text>
        <t>Horizon close: 2025-10-02
5/21/63 traded sessions after debut; price-only return vs offer.</t>
      </text>
    </comment>
    <comment ref="AI347" authorId="0" shapeId="0">
      <text>
        <t>follow-on public offering by an already-listed stock (dual-primary listed Dec 2022); no grey session</t>
      </text>
    </comment>
    <comment ref="AK347" authorId="1" shapeId="0">
      <text>
        <t>HSTECH (Hang Seng TECH ETF)
Previous trading close to listing-day close (2025-07-04).
Benchmark return in percent; not the index level or excess return.</t>
      </text>
    </comment>
    <comment ref="AP347" authorId="1" shapeId="0">
      <text>
        <t>Horizon close: 2025-07-11
5/21/63 traded sessions after debut; price-only return vs offer.</t>
      </text>
    </comment>
    <comment ref="AQ347" authorId="1" shapeId="0">
      <text>
        <t>Horizon close: 2025-08-04
5/21/63 traded sessions after debut; price-only return vs offer.</t>
      </text>
    </comment>
    <comment ref="AR347" authorId="1" shapeId="0">
      <text>
        <t>Horizon close: 2025-10-02
5/21/63 traded sessions after debut; price-only return vs offer.</t>
      </text>
    </comment>
    <comment ref="AI348" authorId="0" shapeId="0">
      <text>
        <t>Close: HK$36.75
Date: 2025-07-04
Venue: Phillip (etnet; venues 36.5-36.75)
Source: etnet:ipo-info 暗盤數據</t>
      </text>
    </comment>
    <comment ref="AK348" authorId="1" shapeId="0">
      <text>
        <t>Hang Seng Finance sub-index
Previous trading close to listing-day close (2025-07-07).
Benchmark return in percent; not the index level or excess return.</t>
      </text>
    </comment>
    <comment ref="AP348" authorId="1" shapeId="0">
      <text>
        <t>Horizon close: 2025-07-14
5/21/63 traded sessions after debut; price-only return vs offer.</t>
      </text>
    </comment>
    <comment ref="AQ348" authorId="1" shapeId="0">
      <text>
        <t>Horizon close: 2025-08-05
5/21/63 traded sessions after debut; price-only return vs offer.</t>
      </text>
    </comment>
    <comment ref="AR348" authorId="1" shapeId="0">
      <text>
        <t>Horizon close: 2025-10-03
5/21/63 traded sessions after debut; price-only return vs offer.</t>
      </text>
    </comment>
    <comment ref="AI349" authorId="0" shapeId="0">
      <text>
        <t>Close: HK$23.65
Date: 2025-07-08
Venue: Futu (etnet; venues 23.5-23.8)
Source: etnet:ipo-info 暗盤數據</t>
      </text>
    </comment>
    <comment ref="AK349" authorId="1" shapeId="0">
      <text>
        <t>China Biotech ETF (HS biotech proxy)
Previous trading close to listing-day close (2025-07-09).
Benchmark return in percent; not the index level or excess return.</t>
      </text>
    </comment>
    <comment ref="AP349" authorId="1" shapeId="0">
      <text>
        <t>Horizon close: 2025-07-16
5/21/63 traded sessions after debut; price-only return vs offer.</t>
      </text>
    </comment>
    <comment ref="AQ349" authorId="1" shapeId="0">
      <text>
        <t>Horizon close: 2025-08-07
5/21/63 traded sessions after debut; price-only return vs offer.</t>
      </text>
    </comment>
    <comment ref="AR349" authorId="1" shapeId="0">
      <text>
        <t>Horizon close: 2025-10-08
5/21/63 traded sessions after debut; price-only return vs offer.</t>
      </text>
    </comment>
    <comment ref="AI350" authorId="0" shapeId="0">
      <text>
        <t>Close: HK$16.58
Date: 2025-07-08
Venue: Phillip (etnet; venues 16.5-16.64)
Source: etnet:ipo-info 暗盤數據</t>
      </text>
    </comment>
    <comment ref="AK350" authorId="1" shapeId="0">
      <text>
        <t>HSTECH (Hang Seng TECH ETF)
Previous trading close to listing-day close (2025-07-09).
Benchmark return in percent; not the index level or excess return.</t>
      </text>
    </comment>
    <comment ref="AP350" authorId="1" shapeId="0">
      <text>
        <t>Horizon close: 2025-07-16
5/21/63 traded sessions after debut; price-only return vs offer.</t>
      </text>
    </comment>
    <comment ref="AQ350" authorId="1" shapeId="0">
      <text>
        <t>Horizon close: 2025-08-07
5/21/63 traded sessions after debut; price-only return vs offer.</t>
      </text>
    </comment>
    <comment ref="AR350" authorId="1" shapeId="0">
      <text>
        <t>Horizon close: 2025-10-08
5/21/63 traded sessions after debut; price-only return vs offer.</t>
      </text>
    </comment>
    <comment ref="AI351" authorId="0" shapeId="0">
      <text>
        <t>Close: HK$13.78
Date: 2025-07-08
Venue: Futu (etnet; venues 13.78-14.28)
Source: etnet:ipo-info 暗盤數據</t>
      </text>
    </comment>
    <comment ref="AK351" authorId="1" shapeId="0">
      <text>
        <t>HSTECH (Hang Seng TECH ETF)
Previous trading close to listing-day close (2025-07-09).
Benchmark return in percent; not the index level or excess return.</t>
      </text>
    </comment>
    <comment ref="AP351" authorId="1" shapeId="0">
      <text>
        <t>Horizon close: 2025-07-16
5/21/63 traded sessions after debut; price-only return vs offer.</t>
      </text>
    </comment>
    <comment ref="AQ351" authorId="1" shapeId="0">
      <text>
        <t>Horizon close: 2025-08-07
5/21/63 traded sessions after debut; price-only return vs offer.</t>
      </text>
    </comment>
    <comment ref="AR351" authorId="1" shapeId="0">
      <text>
        <t>Horizon close: 2025-10-08
5/21/63 traded sessions after debut; price-only return vs offer.</t>
      </text>
    </comment>
    <comment ref="AI352" authorId="0" shapeId="0">
      <text>
        <t>Close: HK$128.9
Date: 2025-07-08
Venue: Phillip (etnet; venues 127.5-128.9)
Source: etnet:ipo-info 暗盤數據</t>
      </text>
    </comment>
    <comment ref="AK352" authorId="1" shapeId="0">
      <text>
        <t>HSTECH (Hang Seng TECH ETF)
Previous trading close to listing-day close (2025-07-09).
Benchmark return in percent; not the index level or excess return.</t>
      </text>
    </comment>
    <comment ref="AP352" authorId="1" shapeId="0">
      <text>
        <t>Horizon close: 2025-07-16
5/21/63 traded sessions after debut; price-only return vs offer.</t>
      </text>
    </comment>
    <comment ref="AQ352" authorId="1" shapeId="0">
      <text>
        <t>Horizon close: 2025-08-07
5/21/63 traded sessions after debut; price-only return vs offer.</t>
      </text>
    </comment>
    <comment ref="AR352" authorId="1" shapeId="0">
      <text>
        <t>Horizon close: 2025-10-08
5/21/63 traded sessions after debut; price-only return vs offer.</t>
      </text>
    </comment>
    <comment ref="AI353" authorId="0" shapeId="0">
      <text>
        <t>Close: HK$18.82
Date: 2025-07-08
Venue: Futu (etnet; venues 18.76-18.88)
Source: etnet:ipo-info 暗盤數據</t>
      </text>
    </comment>
    <comment ref="AK353" authorId="1" shapeId="0">
      <text>
        <t>HSTECH (Hang Seng TECH ETF)
Previous trading close to listing-day close (2025-07-09).
Benchmark return in percent; not the index level or excess return.</t>
      </text>
    </comment>
    <comment ref="AP353" authorId="1" shapeId="0">
      <text>
        <t>Horizon close: 2025-07-16
5/21/63 traded sessions after debut; price-only return vs offer.</t>
      </text>
    </comment>
    <comment ref="AQ353" authorId="1" shapeId="0">
      <text>
        <t>Horizon close: 2025-08-07
5/21/63 traded sessions after debut; price-only return vs offer.</t>
      </text>
    </comment>
    <comment ref="AR353" authorId="1" shapeId="0">
      <text>
        <t>Horizon close: 2025-10-08
5/21/63 traded sessions after debut; price-only return vs offer.</t>
      </text>
    </comment>
    <comment ref="AI354" authorId="0" shapeId="0">
      <text>
        <t>Close: HK$69.75
Date: 2025-07-24
Venue: Futu (etnet; venues 69.75-70.05)
Source: etnet:ipo-info 暗盤數據</t>
      </text>
    </comment>
    <comment ref="AK354" authorId="1" shapeId="0">
      <text>
        <t>China Biotech ETF (HS biotech proxy)
Previous trading close to listing-day close (2025-07-25).
Benchmark return in percent; not the index level or excess return.</t>
      </text>
    </comment>
    <comment ref="AP354" authorId="1" shapeId="0">
      <text>
        <t>Horizon close: 2025-08-01
5/21/63 traded sessions after debut; price-only return vs offer.</t>
      </text>
    </comment>
    <comment ref="AQ354" authorId="1" shapeId="0">
      <text>
        <t>Horizon close: 2025-08-25
5/21/63 traded sessions after debut; price-only return vs offer.</t>
      </text>
    </comment>
    <comment ref="AR354" authorId="1" shapeId="0">
      <text>
        <t>Horizon close: 2025-10-24
5/21/63 traded sessions after debut; price-only return vs offer.</t>
      </text>
    </comment>
    <comment ref="AI355" authorId="0" shapeId="0">
      <text>
        <t>Close: HK$33.88
Date: 2025-08-08
Venue: Phillip (輝立)
Source: press:HKET/Yahoo (2025-08-08): 輝立交易場收報33.88元，較上市價12.9元高逾1.62倍; 富途亦炒高接近1.6倍</t>
      </text>
    </comment>
    <comment ref="AK355" authorId="1" shapeId="0">
      <text>
        <t>China Biotech ETF (HS biotech proxy)
Previous trading close to listing-day close (2025-08-11).
Benchmark return in percent; not the index level or excess return.</t>
      </text>
    </comment>
    <comment ref="AP355" authorId="1" shapeId="0">
      <text>
        <t>Horizon close: 2025-08-18
5/21/63 traded sessions after debut; price-only return vs offer.</t>
      </text>
    </comment>
    <comment ref="AQ355" authorId="1" shapeId="0">
      <text>
        <t>Horizon close: 2025-09-09
5/21/63 traded sessions after debut; price-only return vs offer.</t>
      </text>
    </comment>
    <comment ref="AR355" authorId="1" shapeId="0">
      <text>
        <t>Horizon close: 2025-11-11
5/21/63 traded sessions after debut; price-only return vs offer.</t>
      </text>
    </comment>
    <comment ref="AI356" authorId="0" shapeId="0">
      <text>
        <t>Close: HK$70
Date: 2025-08-14
Venue: Phillip (etnet; venues 70.0-71.0)
Source: etnet:ipo-info 暗盤數據</t>
      </text>
    </comment>
    <comment ref="AK356" authorId="1" shapeId="0">
      <text>
        <t>China Biotech ETF (HS biotech proxy)
Previous trading close to listing-day close (2025-08-15).
Benchmark return in percent; not the index level or excess return.</t>
      </text>
    </comment>
    <comment ref="AP356" authorId="1" shapeId="0">
      <text>
        <t>Horizon close: 2025-08-22
5/21/63 traded sessions after debut; price-only return vs offer.</t>
      </text>
    </comment>
    <comment ref="AQ356" authorId="1" shapeId="0">
      <text>
        <t>Horizon close: 2025-09-15
5/21/63 traded sessions after debut; price-only return vs offer.</t>
      </text>
    </comment>
    <comment ref="AR356" authorId="1" shapeId="0">
      <text>
        <t>Horizon close: 2025-11-17
5/21/63 traded sessions after debut; price-only return vs offer.</t>
      </text>
    </comment>
    <comment ref="AI357" authorId="0" shapeId="0">
      <text>
        <t>Close: HK$47.96
Date: 2025-08-19
Venue: Futu (etnet; venues 47.96-48.14)
Source: etnet:ipo-info 暗盤數據</t>
      </text>
    </comment>
    <comment ref="AK357" authorId="1" shapeId="0">
      <text>
        <t>HSTECH (Hang Seng TECH ETF)
Previous trading close to listing-day close (2025-08-20).
Benchmark return in percent; not the index level or excess return.</t>
      </text>
    </comment>
    <comment ref="AP357" authorId="1" shapeId="0">
      <text>
        <t>Horizon close: 2025-08-27
5/21/63 traded sessions after debut; price-only return vs offer.</t>
      </text>
    </comment>
    <comment ref="AQ357" authorId="1" shapeId="0">
      <text>
        <t>Horizon close: 2025-09-18
5/21/63 traded sessions after debut; price-only return vs offer.</t>
      </text>
    </comment>
    <comment ref="AR357" authorId="1" shapeId="0">
      <text>
        <t>Horizon close: 2025-11-20
5/21/63 traded sessions after debut; price-only return vs offer.</t>
      </text>
    </comment>
    <comment ref="AI358" authorId="0" shapeId="0">
      <text>
        <t>Close: HK$25.1
Date: 2025-08-25
Venue: Phillip (etnet; venues 25.1-26.62)
Source: etnet:ipo-info 暗盤數據</t>
      </text>
    </comment>
    <comment ref="AK358" authorId="1" shapeId="0">
      <text>
        <t>Hang Seng Commerce &amp; Industry sub-index
Previous trading close to listing-day close (2025-08-26).
Benchmark return in percent; not the index level or excess return.</t>
      </text>
    </comment>
    <comment ref="AP358" authorId="1" shapeId="0">
      <text>
        <t>Horizon close: 2025-09-02
5/21/63 traded sessions after debut; price-only return vs offer.</t>
      </text>
    </comment>
    <comment ref="AQ358" authorId="1" shapeId="0">
      <text>
        <t>Horizon close: 2025-09-24
5/21/63 traded sessions after debut; price-only return vs offer.</t>
      </text>
    </comment>
    <comment ref="AR358" authorId="1" shapeId="0">
      <text>
        <t>Horizon close: 2025-11-26
5/21/63 traded sessions after debut; price-only return vs offer.</t>
      </text>
    </comment>
    <comment ref="AI359" authorId="0" shapeId="0">
      <text>
        <t>Close: HK$22.16
Date: 2025-08-27
Venue: Phillip (etnet; venues 22.04-22.18)
Source: etnet:ipo-info 暗盤數據</t>
      </text>
    </comment>
    <comment ref="AK359" authorId="1" shapeId="0">
      <text>
        <t>Hang Seng Commerce &amp; Industry sub-index
Previous trading close to listing-day close (2025-08-28).
Benchmark return in percent; not the index level or excess return.</t>
      </text>
    </comment>
    <comment ref="AP359" authorId="1" shapeId="0">
      <text>
        <t>Horizon close: 2025-09-04
5/21/63 traded sessions after debut; price-only return vs offer.</t>
      </text>
    </comment>
    <comment ref="AQ359" authorId="1" shapeId="0">
      <text>
        <t>Horizon close: 2025-09-26
5/21/63 traded sessions after debut; price-only return vs offer.</t>
      </text>
    </comment>
    <comment ref="AR359" authorId="1" shapeId="0">
      <text>
        <t>Horizon close: 2025-11-28
5/21/63 traded sessions after debut; price-only return vs offer.</t>
      </text>
    </comment>
    <comment ref="AI360" authorId="0" shapeId="0">
      <text>
        <t>Close: HK$16.7
Date: 2025-09-01
Venue: Phillip (etnet; venues 16.6-16.7)
Source: etnet:ipo-info 暗盤數據</t>
      </text>
    </comment>
    <comment ref="AK360" authorId="1" shapeId="0">
      <text>
        <t>HSTECH (Hang Seng TECH ETF)
Previous trading close to listing-day close (2025-09-02).
Benchmark return in percent; not the index level or excess return.</t>
      </text>
    </comment>
    <comment ref="AP360" authorId="1" shapeId="0">
      <text>
        <t>Horizon close: 2025-09-09
5/21/63 traded sessions after debut; price-only return vs offer.</t>
      </text>
    </comment>
    <comment ref="AQ360" authorId="1" shapeId="0">
      <text>
        <t>Horizon close: 2025-10-02
5/21/63 traded sessions after debut; price-only return vs offer.</t>
      </text>
    </comment>
    <comment ref="AR360" authorId="1" shapeId="0">
      <text>
        <t>Horizon close: 2025-12-03
5/21/63 traded sessions after debut; price-only return vs offer.</t>
      </text>
    </comment>
    <comment ref="AI361" authorId="0" shapeId="0">
      <text>
        <t>Close: HK$68.1
Date: 2025-09-08
Venue: Phillip (etnet; venues 68.1-78.7)
Source: etnet:ipo-info 暗盤數據</t>
      </text>
    </comment>
    <comment ref="AK361" authorId="1" shapeId="0">
      <text>
        <t>HSTECH (Hang Seng TECH ETF)
Previous trading close to listing-day close (2025-09-09).
Benchmark return in percent; not the index level or excess return.</t>
      </text>
    </comment>
    <comment ref="AP361" authorId="1" shapeId="0">
      <text>
        <t>Horizon close: 2025-09-16
5/21/63 traded sessions after debut; price-only return vs offer.</t>
      </text>
    </comment>
    <comment ref="AQ361" authorId="1" shapeId="0">
      <text>
        <t>Horizon close: 2025-10-10
5/21/63 traded sessions after debut; price-only return vs offer.</t>
      </text>
    </comment>
    <comment ref="AR361" authorId="1" shapeId="0">
      <text>
        <t>Horizon close: 2025-12-10
5/21/63 traded sessions after debut; price-only return vs offer.</t>
      </text>
    </comment>
    <comment ref="AI362" authorId="0" shapeId="0">
      <text>
        <t>Close: HK$228.2
Date: 2025-09-15
Venue: Phillip (etnet; venues 228.2-228.2)
Source: etnet:ipo-info 暗盤數據</t>
      </text>
    </comment>
    <comment ref="AK362" authorId="1" shapeId="0">
      <text>
        <t>HSTECH (Hang Seng TECH ETF)
Previous trading close to listing-day close (2025-09-16).
Benchmark return in percent; not the index level or excess return.</t>
      </text>
    </comment>
    <comment ref="AP362" authorId="1" shapeId="0">
      <text>
        <t>Horizon close: 2025-09-23
5/21/63 traded sessions after debut; price-only return vs offer.</t>
      </text>
    </comment>
    <comment ref="AQ362" authorId="1" shapeId="0">
      <text>
        <t>Horizon close: 2025-10-17
5/21/63 traded sessions after debut; price-only return vs offer.</t>
      </text>
    </comment>
    <comment ref="AR362" authorId="1" shapeId="0">
      <text>
        <t>Horizon close: 2025-12-17
5/21/63 traded sessions after debut; price-only return vs offer.</t>
      </text>
    </comment>
    <comment ref="AI363" authorId="0" shapeId="0">
      <text>
        <t>Close: HK$29
Date: 2025-09-16
Venue: Phillip (etnet; venues 28.9-29.02)
Source: etnet:ipo-info 暗盤數據</t>
      </text>
    </comment>
    <comment ref="AK363" authorId="1" shapeId="0">
      <text>
        <t>China Biotech ETF (HS biotech proxy)
Previous trading close to listing-day close (2025-09-17).
Benchmark return in percent; not the index level or excess return.</t>
      </text>
    </comment>
    <comment ref="AP363" authorId="1" shapeId="0">
      <text>
        <t>Horizon close: 2025-09-24
5/21/63 traded sessions after debut; price-only return vs offer.</t>
      </text>
    </comment>
    <comment ref="AQ363" authorId="1" shapeId="0">
      <text>
        <t>Horizon close: 2025-10-20
5/21/63 traded sessions after debut; price-only return vs offer.</t>
      </text>
    </comment>
    <comment ref="AR363" authorId="1" shapeId="0">
      <text>
        <t>Horizon close: 2025-12-18
5/21/63 traded sessions after debut; price-only return vs offer.</t>
      </text>
    </comment>
    <comment ref="AI364" authorId="0" shapeId="0">
      <text>
        <t>Close: HK$41.22
Date: 2025-09-19
Venue: Phillip (etnet; venues 41.22-41.88)
Source: etnet:ipo-info 暗盤數據</t>
      </text>
    </comment>
    <comment ref="AK364" authorId="1" shapeId="0">
      <text>
        <t>China Biotech ETF (HS biotech proxy)
Previous trading close to listing-day close (2025-09-19).
Benchmark return in percent; not the index level or excess return.</t>
      </text>
    </comment>
    <comment ref="AP364" authorId="1" shapeId="0">
      <text>
        <t>Horizon close: 2025-09-26
5/21/63 traded sessions after debut; price-only return vs offer.</t>
      </text>
    </comment>
    <comment ref="AQ364" authorId="1" shapeId="0">
      <text>
        <t>Horizon close: 2025-10-22
5/21/63 traded sessions after debut; price-only return vs offer.</t>
      </text>
    </comment>
    <comment ref="AR364" authorId="1" shapeId="0">
      <text>
        <t>Horizon close: 2025-12-22
5/21/63 traded sessions after debut; price-only return vs offer.</t>
      </text>
    </comment>
    <comment ref="AI365" authorId="0" shapeId="0">
      <text>
        <t>Close: HK$109.8
Date: 2025-09-22
Venue: Futu (etnet; venues 100.7-109.8)
Source: etnet:ipo-info 暗盤數據</t>
      </text>
    </comment>
    <comment ref="AK365" authorId="1" shapeId="0">
      <text>
        <t>Hang Seng Commerce &amp; Industry sub-index
Previous trading close to listing-day close (2025-09-23).
Benchmark return in percent; not the index level or excess return.</t>
      </text>
    </comment>
    <comment ref="AP365" authorId="1" shapeId="0">
      <text>
        <t>Horizon close: 2025-09-30
5/21/63 traded sessions after debut; price-only return vs offer.</t>
      </text>
    </comment>
    <comment ref="AQ365" authorId="1" shapeId="0">
      <text>
        <t>Horizon close: 2025-10-24
5/21/63 traded sessions after debut; price-only return vs offer.</t>
      </text>
    </comment>
    <comment ref="AR365" authorId="1" shapeId="0">
      <text>
        <t>Horizon close: 2025-12-24
5/21/63 traded sessions after debut; price-only return vs offer.</t>
      </text>
    </comment>
    <comment ref="AI366" authorId="0" shapeId="0">
      <text>
        <t>Close: HK$33.68
Date: 2025-09-24
Venue: Phillip (etnet; venues 33.38-33.68)
Source: etnet:ipo-info 暗盤數據</t>
      </text>
    </comment>
    <comment ref="AK366" authorId="1" shapeId="0">
      <text>
        <t>Hang Seng Commerce &amp; Industry sub-index
Previous trading close to listing-day close (2025-09-25).
Benchmark return in percent; not the index level or excess return.</t>
      </text>
    </comment>
    <comment ref="AP366" authorId="1" shapeId="0">
      <text>
        <t>Horizon close: 2025-10-03
5/21/63 traded sessions after debut; price-only return vs offer.</t>
      </text>
    </comment>
    <comment ref="AQ366" authorId="1" shapeId="0">
      <text>
        <t>Horizon close: 2025-10-28
5/21/63 traded sessions after debut; price-only return vs offer.</t>
      </text>
    </comment>
    <comment ref="AR366" authorId="1" shapeId="0">
      <text>
        <t>Horizon close: 2025-12-30
5/21/63 traded sessions after debut; price-only return vs offer.</t>
      </text>
    </comment>
    <comment ref="AI367" authorId="0" shapeId="0">
      <text>
        <t>Close: HK$85.65
Date: 2025-09-29
Venue: Futu (etnet; venues 84.0-85.65)
Source: etnet:ipo-info 暗盤數據</t>
      </text>
    </comment>
    <comment ref="AK367" authorId="1" shapeId="0">
      <text>
        <t>Hang Seng Commerce &amp; Industry sub-index
Previous trading close to listing-day close (2025-09-30).
Benchmark return in percent; not the index level or excess return.</t>
      </text>
    </comment>
    <comment ref="AP367" authorId="1" shapeId="0">
      <text>
        <t>Horizon close: 2025-10-09
5/21/63 traded sessions after debut; price-only return vs offer.</t>
      </text>
    </comment>
    <comment ref="AQ367" authorId="1" shapeId="0">
      <text>
        <t>Horizon close: 2025-11-03
5/21/63 traded sessions after debut; price-only return vs offer.</t>
      </text>
    </comment>
    <comment ref="AR367" authorId="1" shapeId="0">
      <text>
        <t>Horizon close: 2026-01-05
5/21/63 traded sessions after debut; price-only return vs offer.</t>
      </text>
    </comment>
    <comment ref="AI368" authorId="0" shapeId="0">
      <text>
        <t>Close: HK$132.6
Date: 2025-09-29
Venue: Futu (etnet; venues 132.6-136.0)
Source: etnet:ipo-info 暗盤數據</t>
      </text>
    </comment>
    <comment ref="AK368" authorId="1" shapeId="0">
      <text>
        <t>Hang Seng Commerce &amp; Industry sub-index
Previous trading close to listing-day close (2025-09-30).
Benchmark return in percent; not the index level or excess return.</t>
      </text>
    </comment>
    <comment ref="AP368" authorId="1" shapeId="0">
      <text>
        <t>Horizon close: 2025-10-09
5/21/63 traded sessions after debut; price-only return vs offer.</t>
      </text>
    </comment>
    <comment ref="AQ368" authorId="1" shapeId="0">
      <text>
        <t>Horizon close: 2025-11-03
5/21/63 traded sessions after debut; price-only return vs offer.</t>
      </text>
    </comment>
    <comment ref="AR368" authorId="1" shapeId="0">
      <text>
        <t>Horizon close: 2026-01-05
5/21/63 traded sessions after debut; price-only return vs offer.</t>
      </text>
    </comment>
    <comment ref="AI369" authorId="0" shapeId="0">
      <text>
        <t>Close: HK$108.4
Date: 2025-09-29
Venue: Phillip (etnet; venues 108.2-108.6)
Source: etnet:ipo-info 暗盤數據</t>
      </text>
    </comment>
    <comment ref="AK369" authorId="1" shapeId="0">
      <text>
        <t>Hang Seng Commerce &amp; Industry sub-index
Previous trading close to listing-day close (2025-09-30).
Benchmark return in percent; not the index level or excess return.</t>
      </text>
    </comment>
    <comment ref="AP369" authorId="1" shapeId="0">
      <text>
        <t>Horizon close: 2025-10-09
5/21/63 traded sessions after debut; price-only return vs offer.</t>
      </text>
    </comment>
    <comment ref="AQ369" authorId="1" shapeId="0">
      <text>
        <t>Horizon close: 2025-11-03
5/21/63 traded sessions after debut; price-only return vs offer.</t>
      </text>
    </comment>
    <comment ref="AR369" authorId="1" shapeId="0">
      <text>
        <t>Horizon close: 2026-01-05
5/21/63 traded sessions after debut; price-only return vs offer.</t>
      </text>
    </comment>
    <comment ref="AI370" authorId="0" shapeId="0">
      <text>
        <t>Close: HK$48.3
Date: 2025-10-06
Venue: Futu (etnet; venues 46.9-48.3)
Source: etnet:ipo-info 暗盤數據</t>
      </text>
    </comment>
    <comment ref="AK370" authorId="1" shapeId="0">
      <text>
        <t>China Biotech ETF (HS biotech proxy)
Previous trading close to listing-day close (2025-10-08).
Benchmark return in percent; not the index level or excess return.</t>
      </text>
    </comment>
    <comment ref="AP370" authorId="1" shapeId="0">
      <text>
        <t>Horizon close: 2025-10-15
5/21/63 traded sessions after debut; price-only return vs offer.</t>
      </text>
    </comment>
    <comment ref="AQ370" authorId="1" shapeId="0">
      <text>
        <t>Horizon close: 2025-11-07
5/21/63 traded sessions after debut; price-only return vs offer.</t>
      </text>
    </comment>
    <comment ref="AR370" authorId="1" shapeId="0">
      <text>
        <t>Horizon close: 2026-01-09
5/21/63 traded sessions after debut; price-only return vs offer.</t>
      </text>
    </comment>
    <comment ref="AI371" authorId="0" shapeId="0">
      <text>
        <t>Close: HK$188.3
Date: 2025-10-09
Venue: Futu (etnet; venues 188.3-191.0)
Source: etnet:ipo-info 暗盤數據</t>
      </text>
    </comment>
    <comment ref="AK371" authorId="1" shapeId="0">
      <text>
        <t>Hang Seng Commerce &amp; Industry sub-index
Previous trading close to listing-day close (2025-10-10).
Benchmark return in percent; not the index level or excess return.</t>
      </text>
    </comment>
    <comment ref="AP371" authorId="1" shapeId="0">
      <text>
        <t>Horizon close: 2025-10-17
5/21/63 traded sessions after debut; price-only return vs offer.</t>
      </text>
    </comment>
    <comment ref="AQ371" authorId="1" shapeId="0">
      <text>
        <t>Horizon close: 2025-11-11
5/21/63 traded sessions after debut; price-only return vs offer.</t>
      </text>
    </comment>
    <comment ref="AR371" authorId="1" shapeId="0">
      <text>
        <t>Horizon close: 2026-01-13
5/21/63 traded sessions after debut; price-only return vs offer.</t>
      </text>
    </comment>
    <comment ref="AI372" authorId="0" shapeId="0">
      <text>
        <t>Close: HK$31.6
Date: 2025-10-14
Venue: Futu (etnet; venues 31.4-31.6)
Source: etnet:ipo-info 暗盤數據</t>
      </text>
    </comment>
    <comment ref="AK372" authorId="1" shapeId="0">
      <text>
        <t>China Biotech ETF (HS biotech proxy)
Previous trading close to listing-day close (2025-10-15).
Benchmark return in percent; not the index level or excess return.</t>
      </text>
    </comment>
    <comment ref="AP372" authorId="1" shapeId="0">
      <text>
        <t>Horizon close: 2025-10-22
5/21/63 traded sessions after debut; price-only return vs offer.</t>
      </text>
    </comment>
    <comment ref="AQ372" authorId="1" shapeId="0">
      <text>
        <t>Horizon close: 2025-11-14
5/21/63 traded sessions after debut; price-only return vs offer.</t>
      </text>
    </comment>
    <comment ref="AR372" authorId="1" shapeId="0">
      <text>
        <t>Horizon close: 2026-01-16
5/21/63 traded sessions after debut; price-only return vs offer.</t>
      </text>
    </comment>
    <comment ref="AI373" authorId="0" shapeId="0">
      <text>
        <t>Close: HK$147
Date: 2025-10-15
Venue: Futu (etnet; venues 141.1-147.0)
Source: etnet:ipo-info 暗盤數據</t>
      </text>
    </comment>
    <comment ref="AK373" authorId="1" shapeId="0">
      <text>
        <t>HSTECH (Hang Seng TECH ETF)
Previous trading close to listing-day close (2025-10-16).
Benchmark return in percent; not the index level or excess return.</t>
      </text>
    </comment>
    <comment ref="AP373" authorId="1" shapeId="0">
      <text>
        <t>Horizon close: 2025-10-23
5/21/63 traded sessions after debut; price-only return vs offer.</t>
      </text>
    </comment>
    <comment ref="AQ373" authorId="1" shapeId="0">
      <text>
        <t>Horizon close: 2025-11-17
5/21/63 traded sessions after debut; price-only return vs offer.</t>
      </text>
    </comment>
    <comment ref="AR373" authorId="1" shapeId="0">
      <text>
        <t>Horizon close: 2026-01-19
5/21/63 traded sessions after debut; price-only return vs offer.</t>
      </text>
    </comment>
    <comment ref="AI374" authorId="0" shapeId="0">
      <text>
        <t>Close: HK$107.6
Date: 2025-10-16
Venue: Futu (etnet; venues 107.6-108.1)
Source: etnet:ipo-info 暗盤數據</t>
      </text>
    </comment>
    <comment ref="AK374" authorId="1" shapeId="0">
      <text>
        <t>China Biotech ETF (HS biotech proxy)
Previous trading close to listing-day close (2025-10-20).
Benchmark return in percent; not the index level or excess return.</t>
      </text>
    </comment>
    <comment ref="AP374" authorId="1" shapeId="0">
      <text>
        <t>Horizon close: 2025-10-27
5/21/63 traded sessions after debut; price-only return vs offer.</t>
      </text>
    </comment>
    <comment ref="AQ374" authorId="1" shapeId="0">
      <text>
        <t>Horizon close: 2025-11-19
5/21/63 traded sessions after debut; price-only return vs offer.</t>
      </text>
    </comment>
    <comment ref="AR374" authorId="1" shapeId="0">
      <text>
        <t>Horizon close: 2026-01-21
5/21/63 traded sessions after debut; price-only return vs offer.</t>
      </text>
    </comment>
    <comment ref="AI375" authorId="0" shapeId="0">
      <text>
        <t>Close: HK$42
Date: 2025-10-20
Venue: Phillip (etnet; venues 40.92-42.0)
Source: etnet:ipo-info 暗盤數據</t>
      </text>
    </comment>
    <comment ref="AK375" authorId="1" shapeId="0">
      <text>
        <t>HSTECH (Hang Seng TECH ETF)
Previous trading close to listing-day close (2025-10-21).
Benchmark return in percent; not the index level or excess return.</t>
      </text>
    </comment>
    <comment ref="AP375" authorId="1" shapeId="0">
      <text>
        <t>Horizon close: 2025-10-28
5/21/63 traded sessions after debut; price-only return vs offer.</t>
      </text>
    </comment>
    <comment ref="AQ375" authorId="1" shapeId="0">
      <text>
        <t>Horizon close: 2025-11-20
5/21/63 traded sessions after debut; price-only return vs offer.</t>
      </text>
    </comment>
    <comment ref="AR375" authorId="1" shapeId="0">
      <text>
        <t>Horizon close: 2026-01-22
5/21/63 traded sessions after debut; price-only return vs offer.</t>
      </text>
    </comment>
    <comment ref="AI376" authorId="0" shapeId="0">
      <text>
        <t>Close: HK$21.5
Date: 2025-10-21
Venue: Futu (etnet; venues 21.3-21.5)
Source: etnet:ipo-info 暗盤數據</t>
      </text>
    </comment>
    <comment ref="AK376" authorId="1" shapeId="0">
      <text>
        <t>HSTECH (Hang Seng TECH ETF)
Previous trading close to listing-day close (2025-10-22).
Benchmark return in percent; not the index level or excess return.</t>
      </text>
    </comment>
    <comment ref="AP376" authorId="1" shapeId="0">
      <text>
        <t>Horizon close: 2025-10-30
5/21/63 traded sessions after debut; price-only return vs offer.</t>
      </text>
    </comment>
    <comment ref="AQ376" authorId="1" shapeId="0">
      <text>
        <t>Horizon close: 2025-11-21
5/21/63 traded sessions after debut; price-only return vs offer.</t>
      </text>
    </comment>
    <comment ref="AR376" authorId="1" shapeId="0">
      <text>
        <t>Horizon close: 2026-01-23
5/21/63 traded sessions after debut; price-only return vs offer.</t>
      </text>
    </comment>
    <comment ref="AI377" authorId="0" shapeId="0">
      <text>
        <t>Close: HK$51.9
Date: 2025-10-27
Venue: Futu (etnet; venues 51.05-52.0)
Source: etnet:ipo-info 暗盤數據</t>
      </text>
    </comment>
    <comment ref="AK377" authorId="1" shapeId="0">
      <text>
        <t>HSTECH (Hang Seng TECH ETF)
Previous trading close to listing-day close (2025-10-28).
Benchmark return in percent; not the index level or excess return.</t>
      </text>
    </comment>
    <comment ref="AP377" authorId="1" shapeId="0">
      <text>
        <t>Horizon close: 2025-11-05
5/21/63 traded sessions after debut; price-only return vs offer.</t>
      </text>
    </comment>
    <comment ref="AQ377" authorId="1" shapeId="0">
      <text>
        <t>Horizon close: 2025-11-27
5/21/63 traded sessions after debut; price-only return vs offer.</t>
      </text>
    </comment>
    <comment ref="AR377" authorId="1" shapeId="0">
      <text>
        <t>Horizon close: 2026-01-29
5/21/63 traded sessions after debut; price-only return vs offer.</t>
      </text>
    </comment>
    <comment ref="AI378" authorId="0" shapeId="0">
      <text>
        <t>Close: HK$20.76
Date: 2025-10-27
Venue: Phillip (etnet; venues 20.76-20.78)
Source: etnet:ipo-info 暗盤數據</t>
      </text>
    </comment>
    <comment ref="AK378" authorId="1" shapeId="0">
      <text>
        <t>Hang Seng Commerce &amp; Industry sub-index
Previous trading close to listing-day close (2025-10-28).
Benchmark return in percent; not the index level or excess return.</t>
      </text>
    </comment>
    <comment ref="AP378" authorId="1" shapeId="0">
      <text>
        <t>Horizon close: 2025-11-05
5/21/63 traded sessions after debut; price-only return vs offer.</t>
      </text>
    </comment>
    <comment ref="AQ378" authorId="1" shapeId="0">
      <text>
        <t>Horizon close: 2025-11-27
5/21/63 traded sessions after debut; price-only return vs offer.</t>
      </text>
    </comment>
    <comment ref="AR378" authorId="1" shapeId="0">
      <text>
        <t>Horizon close: 2026-01-29
5/21/63 traded sessions after debut; price-only return vs offer.</t>
      </text>
    </comment>
    <comment ref="AI379" authorId="0" shapeId="0">
      <text>
        <t>Close: HK$99.3
Date: 2025-10-27
Venue: Phillip (etnet; venues 94.3-99.3)
Source: etnet:ipo-info 暗盤數據</t>
      </text>
    </comment>
    <comment ref="AK379" authorId="1" shapeId="0">
      <text>
        <t>HSTECH (Hang Seng TECH ETF)
Previous trading close to listing-day close (2025-10-28).
Benchmark return in percent; not the index level or excess return.</t>
      </text>
    </comment>
    <comment ref="AP379" authorId="1" shapeId="0">
      <text>
        <t>Horizon close: 2025-11-05
5/21/63 traded sessions after debut; price-only return vs offer.</t>
      </text>
    </comment>
    <comment ref="AQ379" authorId="1" shapeId="0">
      <text>
        <t>Horizon close: 2025-11-27
5/21/63 traded sessions after debut; price-only return vs offer.</t>
      </text>
    </comment>
    <comment ref="AR379" authorId="1" shapeId="0">
      <text>
        <t>Horizon close: 2026-01-29
5/21/63 traded sessions after debut; price-only return vs offer.</t>
      </text>
    </comment>
    <comment ref="AI380" authorId="0" shapeId="0">
      <text>
        <t>Close: HK$80.1
Date: 2025-10-27
Venue: Phillip (etnet; venues 80.1-89.4)
Source: etnet:ipo-info 暗盤數據</t>
      </text>
    </comment>
    <comment ref="AK380" authorId="1" shapeId="0">
      <text>
        <t>Hang Seng Commerce &amp; Industry sub-index
Previous trading close to listing-day close (2025-10-28).
Benchmark return in percent; not the index level or excess return.</t>
      </text>
    </comment>
    <comment ref="AP380" authorId="1" shapeId="0">
      <text>
        <t>Horizon close: 2025-11-05
5/21/63 traded sessions after debut; price-only return vs offer.</t>
      </text>
    </comment>
    <comment ref="AQ380" authorId="1" shapeId="0">
      <text>
        <t>Horizon close: 2025-11-27
5/21/63 traded sessions after debut; price-only return vs offer.</t>
      </text>
    </comment>
    <comment ref="AR380" authorId="1" shapeId="0">
      <text>
        <t>Horizon close: 2026-01-29
5/21/63 traded sessions after debut; price-only return vs offer.</t>
      </text>
    </comment>
    <comment ref="AI381" authorId="0" shapeId="0">
      <text>
        <t>Close: HK$297
Date: 2025-10-31
Venue: Futu (etnet; venues 293.2-297.0)
Source: etnet:ipo-info 暗盤數據</t>
      </text>
    </comment>
    <comment ref="AK381" authorId="1" shapeId="0">
      <text>
        <t>HSTECH (Hang Seng TECH ETF)
Previous trading close to listing-day close (2025-11-03).
Benchmark return in percent; not the index level or excess return.</t>
      </text>
    </comment>
    <comment ref="AP381" authorId="1" shapeId="0">
      <text>
        <t>Horizon close: 2025-11-10
5/21/63 traded sessions after debut; price-only return vs offer.</t>
      </text>
    </comment>
    <comment ref="AQ381" authorId="1" shapeId="0">
      <text>
        <t>Horizon close: 2025-12-02
5/21/63 traded sessions after debut; price-only return vs offer.</t>
      </text>
    </comment>
    <comment ref="AR381" authorId="1" shapeId="0">
      <text>
        <t>Horizon close: 2026-02-03
5/21/63 traded sessions after debut; price-only return vs offer.</t>
      </text>
    </comment>
    <comment ref="AI382" authorId="0" shapeId="0">
      <text>
        <t>Close: HK$132.4
Date: 2025-11-04
Venue: Phillip (etnet; venues 131.7-132.4)
Source: etnet:ipo-info 暗盤數據</t>
      </text>
    </comment>
    <comment ref="AK382" authorId="1" shapeId="0">
      <text>
        <t>Hang Seng Commerce &amp; Industry sub-index
Previous trading close to listing-day close (2025-11-05).
Benchmark return in percent; not the index level or excess return.</t>
      </text>
    </comment>
    <comment ref="AP382" authorId="1" shapeId="0">
      <text>
        <t>Horizon close: 2025-11-12
5/21/63 traded sessions after debut; price-only return vs offer.</t>
      </text>
    </comment>
    <comment ref="AQ382" authorId="1" shapeId="0">
      <text>
        <t>Horizon close: 2025-12-04
5/21/63 traded sessions after debut; price-only return vs offer.</t>
      </text>
    </comment>
    <comment ref="AR382" authorId="1" shapeId="0">
      <text>
        <t>Horizon close: 2026-02-05
5/21/63 traded sessions after debut; price-only return vs offer.</t>
      </text>
    </comment>
    <comment ref="AI383" authorId="0" shapeId="0">
      <text>
        <t>Close: HK$85
Date: 2025-11-05
Venue: Futu (etnet; venues 85.0-85.0)
Source: etnet:ipo-info 暗盤數據</t>
      </text>
    </comment>
    <comment ref="AK383" authorId="1" shapeId="0">
      <text>
        <t>China Biotech ETF (HS biotech proxy)
Previous trading close to listing-day close (2025-11-06).
Benchmark return in percent; not the index level or excess return.</t>
      </text>
    </comment>
    <comment ref="AP383" authorId="1" shapeId="0">
      <text>
        <t>Horizon close: 2025-11-13
5/21/63 traded sessions after debut; price-only return vs offer.</t>
      </text>
    </comment>
    <comment ref="AQ383" authorId="1" shapeId="0">
      <text>
        <t>Horizon close: 2025-12-05
5/21/63 traded sessions after debut; price-only return vs offer.</t>
      </text>
    </comment>
    <comment ref="AR383" authorId="1" shapeId="0">
      <text>
        <t>Horizon close: 2026-02-06
5/21/63 traded sessions after debut; price-only return vs offer.</t>
      </text>
    </comment>
    <comment ref="AI384" authorId="0" shapeId="0">
      <text>
        <t>Close: HK$123.2
Date: 2025-11-05
Venue: Futu (etnet; venues 122.2-123.5)
Source: etnet:ipo-info 暗盤數據</t>
      </text>
    </comment>
    <comment ref="AK384" authorId="1" shapeId="0">
      <text>
        <t>HSTECH (Hang Seng TECH ETF)
Previous trading close to listing-day close (2025-11-06).
Benchmark return in percent; not the index level or excess return.</t>
      </text>
    </comment>
    <comment ref="AP384" authorId="1" shapeId="0">
      <text>
        <t>Horizon close: 2025-11-13
5/21/63 traded sessions after debut; price-only return vs offer.</t>
      </text>
    </comment>
    <comment ref="AQ384" authorId="1" shapeId="0">
      <text>
        <t>Horizon close: 2025-12-05
5/21/63 traded sessions after debut; price-only return vs offer.</t>
      </text>
    </comment>
    <comment ref="AR384" authorId="1" shapeId="0">
      <text>
        <t>Horizon close: 2026-02-06
5/21/63 traded sessions after debut; price-only return vs offer.</t>
      </text>
    </comment>
    <comment ref="AI385" authorId="0" shapeId="0">
      <text>
        <t>Close: HK$21.4
Date: 2025-11-05
Venue: Futu (etnet; venues 21.4-21.78)
Source: etnet:ipo-info 暗盤數據</t>
      </text>
    </comment>
    <comment ref="AK385" authorId="1" shapeId="0">
      <text>
        <t>Hang Seng Commerce &amp; Industry sub-index
Previous trading close to listing-day close (2025-11-06).
Benchmark return in percent; not the index level or excess return.</t>
      </text>
    </comment>
    <comment ref="AP385" authorId="1" shapeId="0">
      <text>
        <t>Horizon close: 2025-11-13
5/21/63 traded sessions after debut; price-only return vs offer.</t>
      </text>
    </comment>
    <comment ref="AQ385" authorId="1" shapeId="0">
      <text>
        <t>Horizon close: 2025-12-05
5/21/63 traded sessions after debut; price-only return vs offer.</t>
      </text>
    </comment>
    <comment ref="AR385" authorId="1" shapeId="0">
      <text>
        <t>Horizon close: 2026-02-06
5/21/63 traded sessions after debut; price-only return vs offer.</t>
      </text>
    </comment>
    <comment ref="AI386" authorId="0" shapeId="0">
      <text>
        <t>Close: HK$35.6
Date: 2025-11-07
Venue: Phillip (etnet; venues 35.2-35.6)
Source: etnet:ipo-info 暗盤數據</t>
      </text>
    </comment>
    <comment ref="AK386" authorId="1" shapeId="0">
      <text>
        <t>Hang Seng Commerce &amp; Industry sub-index
Previous trading close to listing-day close (2025-11-10).
Benchmark return in percent; not the index level or excess return.</t>
      </text>
    </comment>
    <comment ref="AP386" authorId="1" shapeId="0">
      <text>
        <t>Horizon close: 2025-11-17
5/21/63 traded sessions after debut; price-only return vs offer.</t>
      </text>
    </comment>
    <comment ref="AQ386" authorId="1" shapeId="0">
      <text>
        <t>Horizon close: 2025-12-09
5/21/63 traded sessions after debut; price-only return vs offer.</t>
      </text>
    </comment>
    <comment ref="AR386" authorId="1" shapeId="0">
      <text>
        <t>Horizon close: 2026-02-10
5/21/63 traded sessions after debut; price-only return vs offer.</t>
      </text>
    </comment>
    <comment ref="AI387" authorId="0" shapeId="0">
      <text>
        <t>Close: HK$33.18
Date: 2025-11-14
Venue: Futu (etnet; venues 33.12-33.22)
Source: etnet:ipo-info 暗盤數據</t>
      </text>
    </comment>
    <comment ref="AK387" authorId="1" shapeId="0">
      <text>
        <t>Hang Seng Commerce &amp; Industry sub-index
Previous trading close to listing-day close (2025-11-17).
Benchmark return in percent; not the index level or excess return.</t>
      </text>
    </comment>
    <comment ref="AP387" authorId="1" shapeId="0">
      <text>
        <t>Horizon close: 2025-11-24
5/21/63 traded sessions after debut; price-only return vs offer.</t>
      </text>
    </comment>
    <comment ref="AQ387" authorId="1" shapeId="0">
      <text>
        <t>Horizon close: 2025-12-16
5/21/63 traded sessions after debut; price-only return vs offer.</t>
      </text>
    </comment>
    <comment ref="AR387" authorId="1" shapeId="0">
      <text>
        <t>Horizon close: 2026-02-20
5/21/63 traded sessions after debut; price-only return vs offer.</t>
      </text>
    </comment>
    <comment ref="AI388" authorId="0" shapeId="0">
      <text>
        <t>Close: HK$14.35
Date: 2025-11-21
Venue: Phillip (etnet; venues 13.85-14.35)
Source: etnet:ipo-info 暗盤數據</t>
      </text>
    </comment>
    <comment ref="AK388" authorId="1" shapeId="0">
      <text>
        <t>Hang Seng Commerce &amp; Industry sub-index
Previous trading close to listing-day close (2025-11-24).
Benchmark return in percent; not the index level or excess return.</t>
      </text>
    </comment>
    <comment ref="AP388" authorId="1" shapeId="0">
      <text>
        <t>Horizon close: 2025-12-01
5/21/63 traded sessions after debut; price-only return vs offer.</t>
      </text>
    </comment>
    <comment ref="AQ388" authorId="1" shapeId="0">
      <text>
        <t>Horizon close: 2025-12-23
5/21/63 traded sessions after debut; price-only return vs offer.</t>
      </text>
    </comment>
    <comment ref="AR388" authorId="1" shapeId="0">
      <text>
        <t>Horizon close: 2026-02-27
5/21/63 traded sessions after debut; price-only return vs offer.</t>
      </text>
    </comment>
    <comment ref="AI389" authorId="0" shapeId="0">
      <text>
        <t>Close: HK$28
Date: 2025-11-26
Venue: Futu (etnet; venues 27.2-28.0)
Source: etnet:ipo-info 暗盤數據</t>
      </text>
    </comment>
    <comment ref="AK389" authorId="1" shapeId="0">
      <text>
        <t>HSTECH (Hang Seng TECH ETF)
Previous trading close to listing-day close (2025-11-27).
Benchmark return in percent; not the index level or excess return.</t>
      </text>
    </comment>
    <comment ref="AP389" authorId="1" shapeId="0">
      <text>
        <t>Horizon close: 2025-12-04
5/21/63 traded sessions after debut; price-only return vs offer.</t>
      </text>
    </comment>
    <comment ref="AQ389" authorId="1" shapeId="0">
      <text>
        <t>Horizon close: 2025-12-30
5/21/63 traded sessions after debut; price-only return vs offer.</t>
      </text>
    </comment>
    <comment ref="AR389" authorId="1" shapeId="0">
      <text>
        <t>Horizon close: 2026-03-04
5/21/63 traded sessions after debut; price-only return vs offer.</t>
      </text>
    </comment>
    <comment ref="AI390" authorId="0" shapeId="0">
      <text>
        <t>Close: HK$14.35
Date: 2025-11-27
Venue: Phillip (etnet; venues 14.35-14.66)
Source: etnet:ipo-info 暗盤數據</t>
      </text>
    </comment>
    <comment ref="AK390" authorId="1" shapeId="0">
      <text>
        <t>Hang Seng Commerce &amp; Industry sub-index
Previous trading close to listing-day close (2025-11-28).
Benchmark return in percent; not the index level or excess return.</t>
      </text>
    </comment>
    <comment ref="AP390" authorId="1" shapeId="0">
      <text>
        <t>Horizon close: 2025-12-05
5/21/63 traded sessions after debut; price-only return vs offer.</t>
      </text>
    </comment>
    <comment ref="AQ390" authorId="1" shapeId="0">
      <text>
        <t>Horizon close: 2025-12-31
5/21/63 traded sessions after debut; price-only return vs offer.</t>
      </text>
    </comment>
    <comment ref="AR390" authorId="1" shapeId="0">
      <text>
        <t>Horizon close: 2026-03-05
5/21/63 traded sessions after debut; price-only return vs offer.</t>
      </text>
    </comment>
    <comment ref="AI391" authorId="0" shapeId="0">
      <text>
        <t>Close: HK$65
Date: 2025-12-02
Venue: Phillip (etnet; venues 65.0-80.5)
Source: etnet:ipo-info 暗盤數據</t>
      </text>
    </comment>
    <comment ref="AK391" authorId="1" shapeId="0">
      <text>
        <t>Hang Seng Properties sub-index
Previous trading close to listing-day close (2025-12-03).
Benchmark return in percent; not the index level or excess return.</t>
      </text>
    </comment>
    <comment ref="AP391" authorId="1" shapeId="0">
      <text>
        <t>Horizon close: 2025-12-10
5/21/63 traded sessions after debut; price-only return vs offer.</t>
      </text>
    </comment>
    <comment ref="AQ391" authorId="1" shapeId="0">
      <text>
        <t>Horizon close: 2026-01-06
5/21/63 traded sessions after debut; price-only return vs offer.</t>
      </text>
    </comment>
    <comment ref="AR391" authorId="1" shapeId="0">
      <text>
        <t>Horizon close: 2026-03-10
5/21/63 traded sessions after debut; price-only return vs offer.</t>
      </text>
    </comment>
    <comment ref="AI392" authorId="0" shapeId="0">
      <text>
        <t>Close: HK$9.91
Date: 2025-12-02
Venue: Futu (etnet; venues 9.91-10.05)
Source: etnet:ipo-info 暗盤數據</t>
      </text>
    </comment>
    <comment ref="AK392" authorId="1" shapeId="0">
      <text>
        <t>Hang Seng Commerce &amp; Industry sub-index
Previous trading close to listing-day close (2025-12-03).
Benchmark return in percent; not the index level or excess return.</t>
      </text>
    </comment>
    <comment ref="AP392" authorId="1" shapeId="0">
      <text>
        <t>Horizon close: 2025-12-10
5/21/63 traded sessions after debut; price-only return vs offer.</t>
      </text>
    </comment>
    <comment ref="AQ392" authorId="1" shapeId="0">
      <text>
        <t>Horizon close: 2026-01-06
5/21/63 traded sessions after debut; price-only return vs offer.</t>
      </text>
    </comment>
    <comment ref="AR392" authorId="1" shapeId="0">
      <text>
        <t>Horizon close: 2026-03-10
5/21/63 traded sessions after debut; price-only return vs offer.</t>
      </text>
    </comment>
    <comment ref="AI393" authorId="0" shapeId="0">
      <text>
        <t>Close: HK$6.04
Date: 2025-12-04
Venue: Futu (etnet; venues 6.0-6.04)
Source: etnet:ipo-info 暗盤數據</t>
      </text>
    </comment>
    <comment ref="AK393" authorId="1" shapeId="0">
      <text>
        <t>Hang Seng Commerce &amp; Industry sub-index
Previous trading close to listing-day close (2025-12-05).
Benchmark return in percent; not the index level or excess return.</t>
      </text>
    </comment>
    <comment ref="AP393" authorId="1" shapeId="0">
      <text>
        <t>Horizon close: 2025-12-12
5/21/63 traded sessions after debut; price-only return vs offer.</t>
      </text>
    </comment>
    <comment ref="AQ393" authorId="1" shapeId="0">
      <text>
        <t>Horizon close: 2026-01-08
5/21/63 traded sessions after debut; price-only return vs offer.</t>
      </text>
    </comment>
    <comment ref="AR393" authorId="1" shapeId="0">
      <text>
        <t>Horizon close: 2026-03-12
5/21/63 traded sessions after debut; price-only return vs offer.</t>
      </text>
    </comment>
    <comment ref="AI394" authorId="0" shapeId="0">
      <text>
        <t>Close: HK$49.54
Date: 2025-12-04
Venue: Futu (etnet; venues 49.34-49.86)
Source: etnet:ipo-info 暗盤數據</t>
      </text>
    </comment>
    <comment ref="AK394" authorId="1" shapeId="0">
      <text>
        <t>HSTECH (Hang Seng TECH ETF)
Previous trading close to listing-day close (2025-12-05).
Benchmark return in percent; not the index level or excess return.</t>
      </text>
    </comment>
    <comment ref="AP394" authorId="1" shapeId="0">
      <text>
        <t>Horizon close: 2025-12-12
5/21/63 traded sessions after debut; price-only return vs offer.</t>
      </text>
    </comment>
    <comment ref="AQ394" authorId="1" shapeId="0">
      <text>
        <t>Horizon close: 2026-01-08
5/21/63 traded sessions after debut; price-only return vs offer.</t>
      </text>
    </comment>
    <comment ref="AR394" authorId="1" shapeId="0">
      <text>
        <t>Horizon close: 2026-03-12
5/21/63 traded sessions after debut; price-only return vs offer.</t>
      </text>
    </comment>
    <comment ref="AI395" authorId="0" shapeId="0">
      <text>
        <t>Close: HK$105.7
Date: 2025-12-05
Venue: Futu (etnet; venues 105.3-105.7)
Source: etnet:ipo-info 暗盤數據</t>
      </text>
    </comment>
    <comment ref="AK395" authorId="1" shapeId="0">
      <text>
        <t>HSTECH (Hang Seng TECH ETF)
Previous trading close to listing-day close (2025-12-08).
Benchmark return in percent; not the index level or excess return.</t>
      </text>
    </comment>
    <comment ref="AP395" authorId="1" shapeId="0">
      <text>
        <t>Horizon close: 2025-12-15
5/21/63 traded sessions after debut; price-only return vs offer.</t>
      </text>
    </comment>
    <comment ref="AQ395" authorId="1" shapeId="0">
      <text>
        <t>Horizon close: 2026-01-09
5/21/63 traded sessions after debut; price-only return vs offer.</t>
      </text>
    </comment>
    <comment ref="AR395" authorId="1" shapeId="0">
      <text>
        <t>Horizon close: 2026-03-13
5/21/63 traded sessions after debut; price-only return vs offer.</t>
      </text>
    </comment>
    <comment ref="AI396" authorId="0" shapeId="0">
      <text>
        <t>Close: HK$87.55
Date: 2025-12-05
Venue: Futu (etnet; venues 87.55-88.1)
Source: etnet:ipo-info 暗盤數據</t>
      </text>
    </comment>
    <comment ref="AK396" authorId="1" shapeId="0">
      <text>
        <t>HSTECH (Hang Seng TECH ETF)
Previous trading close to listing-day close (2025-12-08).
Benchmark return in percent; not the index level or excess return.</t>
      </text>
    </comment>
    <comment ref="AP396" authorId="1" shapeId="0">
      <text>
        <t>Horizon close: 2025-12-15
5/21/63 traded sessions after debut; price-only return vs offer.</t>
      </text>
    </comment>
    <comment ref="AQ396" authorId="1" shapeId="0">
      <text>
        <t>Horizon close: 2026-01-09
5/21/63 traded sessions after debut; price-only return vs offer.</t>
      </text>
    </comment>
    <comment ref="AR396" authorId="1" shapeId="0">
      <text>
        <t>Horizon close: 2026-03-13
5/21/63 traded sessions after debut; price-only return vs offer.</t>
      </text>
    </comment>
    <comment ref="AI397" authorId="0" shapeId="0">
      <text>
        <t>Close: HK$56
Date: 2025-12-09
Venue: Futu (etnet; venues 55.95-56.5)
Source: etnet:ipo-info 暗盤數據</t>
      </text>
    </comment>
    <comment ref="AK397" authorId="1" shapeId="0">
      <text>
        <t>China Biotech ETF (HS biotech proxy)
Previous trading close to listing-day close (2025-12-10).
Benchmark return in percent; not the index level or excess return.</t>
      </text>
    </comment>
    <comment ref="AP397" authorId="1" shapeId="0">
      <text>
        <t>Horizon close: 2025-12-17
5/21/63 traded sessions after debut; price-only return vs offer.</t>
      </text>
    </comment>
    <comment ref="AQ397" authorId="1" shapeId="0">
      <text>
        <t>Horizon close: 2026-01-13
5/21/63 traded sessions after debut; price-only return vs offer.</t>
      </text>
    </comment>
    <comment ref="AR397" authorId="1" shapeId="0">
      <text>
        <t>Horizon close: 2026-03-17
5/21/63 traded sessions after debut; price-only return vs offer.</t>
      </text>
    </comment>
    <comment ref="AI398" authorId="0" shapeId="0">
      <text>
        <t>Close: HK$13.73
Date: 2025-12-10
Venue: Phillip (etnet; venues 13.73-13.77)
Source: etnet:ipo-info 暗盤數據</t>
      </text>
    </comment>
    <comment ref="AK398" authorId="1" shapeId="0">
      <text>
        <t>HSTECH (Hang Seng TECH ETF)
Previous trading close to listing-day close (2025-12-11).
Benchmark return in percent; not the index level or excess return.</t>
      </text>
    </comment>
    <comment ref="AP398" authorId="1" shapeId="0">
      <text>
        <t>Horizon close: 2025-12-18
5/21/63 traded sessions after debut; price-only return vs offer.</t>
      </text>
    </comment>
    <comment ref="AQ398" authorId="1" shapeId="0">
      <text>
        <t>Horizon close: 2026-01-14
5/21/63 traded sessions after debut; price-only return vs offer.</t>
      </text>
    </comment>
    <comment ref="AR398" authorId="1" shapeId="0">
      <text>
        <t>Horizon close: 2026-03-18
5/21/63 traded sessions after debut; price-only return vs offer.</t>
      </text>
    </comment>
    <comment ref="AI399" authorId="0" shapeId="0">
      <text>
        <t>Close: HK$37.8
Date: 2025-12-15
Venue: Phillip (etnet; venues 37.8-37.96)
Source: etnet:ipo-info 暗盤數據</t>
      </text>
    </comment>
    <comment ref="AK399" authorId="1" shapeId="0">
      <text>
        <t>HSTECH (Hang Seng TECH ETF)
Previous trading close to listing-day close (2025-12-16).
Benchmark return in percent; not the index level or excess return.</t>
      </text>
    </comment>
    <comment ref="AP399" authorId="1" shapeId="0">
      <text>
        <t>Horizon close: 2025-12-23
5/21/63 traded sessions after debut; price-only return vs offer.</t>
      </text>
    </comment>
    <comment ref="AQ399" authorId="1" shapeId="0">
      <text>
        <t>Horizon close: 2026-01-19
5/21/63 traded sessions after debut; price-only return vs offer.</t>
      </text>
    </comment>
    <comment ref="AR399" authorId="1" shapeId="0">
      <text>
        <t>Horizon close: 2026-03-23
5/21/63 traded sessions after debut; price-only return vs offer.</t>
      </text>
    </comment>
    <comment ref="AI400" authorId="0" shapeId="0">
      <text>
        <t>Close: HK$6.61
Date: 2025-12-16
Venue: Futu (etnet; venues 6.56-6.68)
Source: etnet:ipo-info 暗盤數據</t>
      </text>
    </comment>
    <comment ref="AK400" authorId="1" shapeId="0">
      <text>
        <t>HSTECH (Hang Seng TECH ETF)
Previous trading close to listing-day close (2025-12-17).
Benchmark return in percent; not the index level or excess return.</t>
      </text>
    </comment>
    <comment ref="AP400" authorId="1" shapeId="0">
      <text>
        <t>Horizon close: 2025-12-24
5/21/63 traded sessions after debut; price-only return vs offer.</t>
      </text>
    </comment>
    <comment ref="AQ400" authorId="1" shapeId="0">
      <text>
        <t>Horizon close: 2026-01-20
5/21/63 traded sessions after debut; price-only return vs offer.</t>
      </text>
    </comment>
    <comment ref="AR400" authorId="1" shapeId="0">
      <text>
        <t>Horizon close: 2026-03-24
5/21/63 traded sessions after debut; price-only return vs offer.</t>
      </text>
    </comment>
    <comment ref="AI401" authorId="0" shapeId="0">
      <text>
        <t>Close: HK$10.22
Date: 2025-12-18
Venue: Futu (etnet; venues 10.2-10.22)
Source: etnet:ipo-info 暗盤數據</t>
      </text>
    </comment>
    <comment ref="AK401" authorId="1" shapeId="0">
      <text>
        <t>Hang Seng Commerce &amp; Industry sub-index
Previous trading close to listing-day close (2025-12-19).
Benchmark return in percent; not the index level or excess return.</t>
      </text>
    </comment>
    <comment ref="AP401" authorId="1" shapeId="0">
      <text>
        <t>Horizon close: 2025-12-30
5/21/63 traded sessions after debut; price-only return vs offer.</t>
      </text>
    </comment>
    <comment ref="AQ401" authorId="1" shapeId="0">
      <text>
        <t>Horizon close: 2026-01-22
5/21/63 traded sessions after debut; price-only return vs offer.</t>
      </text>
    </comment>
    <comment ref="AR401" authorId="1" shapeId="0">
      <text>
        <t>Horizon close: 2026-03-26
5/21/63 traded sessions after debut; price-only return vs offer.</t>
      </text>
    </comment>
    <comment ref="AI402" authorId="0" shapeId="0">
      <text>
        <t>Close: HK$247
Date: 2025-12-18
Venue: Phillip (etnet; venues 246.0-248.6)
Source: etnet:ipo-info 暗盤數據</t>
      </text>
    </comment>
    <comment ref="AK402" authorId="1" shapeId="0">
      <text>
        <t>HSTECH (Hang Seng TECH ETF)
Previous trading close to listing-day close (2025-12-19).
Benchmark return in percent; not the index level or excess return.</t>
      </text>
    </comment>
    <comment ref="AP402" authorId="1" shapeId="0">
      <text>
        <t>Horizon close: 2025-12-30
5/21/63 traded sessions after debut; price-only return vs offer.</t>
      </text>
    </comment>
    <comment ref="AQ402" authorId="1" shapeId="0">
      <text>
        <t>Horizon close: 2026-01-22
5/21/63 traded sessions after debut; price-only return vs offer.</t>
      </text>
    </comment>
    <comment ref="AR402" authorId="1" shapeId="0">
      <text>
        <t>Horizon close: 2026-03-26
5/21/63 traded sessions after debut; price-only return vs offer.</t>
      </text>
    </comment>
    <comment ref="AI403" authorId="0" shapeId="0">
      <text>
        <t>Close: HK$3.44
Date: 2025-12-19
Venue: Phillip (etnet; venues 3.44-4.01)
Source: etnet:ipo-info 暗盤數據</t>
      </text>
    </comment>
    <comment ref="AK403" authorId="1" shapeId="0">
      <text>
        <t>Hang Seng Index
Previous trading close to listing-day close (2025-12-22).
Benchmark return in percent; not the index level or excess return.</t>
      </text>
    </comment>
    <comment ref="AP403" authorId="1" shapeId="0">
      <text>
        <t>Horizon close: 2025-12-31
5/21/63 traded sessions after debut; price-only return vs offer.</t>
      </text>
    </comment>
    <comment ref="AQ403" authorId="1" shapeId="0">
      <text>
        <t>Horizon close: 2026-01-23
5/21/63 traded sessions after debut; price-only return vs offer.</t>
      </text>
    </comment>
    <comment ref="AR403" authorId="1" shapeId="0">
      <text>
        <t>Horizon close: 2026-03-27
5/21/63 traded sessions after debut; price-only return vs offer.</t>
      </text>
    </comment>
    <comment ref="AI404" authorId="0" shapeId="0">
      <text>
        <t>Close: HK$38.42
Date: 2025-12-19
Venue: Phillip (etnet; venues 38.4-40.4)
Source: etnet:ipo-info 暗盤數據</t>
      </text>
    </comment>
    <comment ref="AK404" authorId="1" shapeId="0">
      <text>
        <t>China Biotech ETF (HS biotech proxy)
Previous trading close to listing-day close (2025-12-22).
Benchmark return in percent; not the index level or excess return.</t>
      </text>
    </comment>
    <comment ref="AP404" authorId="1" shapeId="0">
      <text>
        <t>Horizon close: 2025-12-31
5/21/63 traded sessions after debut; price-only return vs offer.</t>
      </text>
    </comment>
    <comment ref="AQ404" authorId="1" shapeId="0">
      <text>
        <t>Horizon close: 2026-01-23
5/21/63 traded sessions after debut; price-only return vs offer.</t>
      </text>
    </comment>
    <comment ref="AR404" authorId="1" shapeId="0">
      <text>
        <t>Horizon close: 2026-03-27
5/21/63 traded sessions after debut; price-only return vs offer.</t>
      </text>
    </comment>
    <comment ref="AI405" authorId="0" shapeId="0">
      <text>
        <t>Close: HK$6.97
Date: 2025-12-19
Venue: Phillip (etnet; venues 6.97-7.1)
Source: etnet:ipo-info 暗盤數據</t>
      </text>
    </comment>
    <comment ref="AK405" authorId="1" shapeId="0">
      <text>
        <t>HSTECH (Hang Seng TECH ETF)
Previous trading close to listing-day close (2025-12-22).
Benchmark return in percent; not the index level or excess return.</t>
      </text>
    </comment>
    <comment ref="AP405" authorId="1" shapeId="0">
      <text>
        <t>Horizon close: 2025-12-31
5/21/63 traded sessions after debut; price-only return vs offer.</t>
      </text>
    </comment>
    <comment ref="AQ405" authorId="1" shapeId="0">
      <text>
        <t>Horizon close: 2026-01-23
5/21/63 traded sessions after debut; price-only return vs offer.</t>
      </text>
    </comment>
    <comment ref="AR405" authorId="1" shapeId="0">
      <text>
        <t>Horizon close: 2026-03-27
5/21/63 traded sessions after debut; price-only return vs offer.</t>
      </text>
    </comment>
    <comment ref="AI406" authorId="0" shapeId="0">
      <text>
        <t>Close: HK$11.11
Date: 2025-12-19
Venue: Phillip (etnet; venues 10.9-11.11)
Source: etnet:ipo-info 暗盤數據</t>
      </text>
    </comment>
    <comment ref="AK406" authorId="1" shapeId="0">
      <text>
        <t>Hang Seng Finance sub-index
Previous trading close to listing-day close (2025-12-22).
Benchmark return in percent; not the index level or excess return.</t>
      </text>
    </comment>
    <comment ref="AP406" authorId="1" shapeId="0">
      <text>
        <t>Horizon close: 2025-12-31
5/21/63 traded sessions after debut; price-only return vs offer.</t>
      </text>
    </comment>
    <comment ref="AQ406" authorId="1" shapeId="0">
      <text>
        <t>Horizon close: 2026-01-23
5/21/63 traded sessions after debut; price-only return vs offer.</t>
      </text>
    </comment>
    <comment ref="AR406" authorId="1" shapeId="0">
      <text>
        <t>Horizon close: 2026-03-27
5/21/63 traded sessions after debut; price-only return vs offer.</t>
      </text>
    </comment>
    <comment ref="AI407" authorId="0" shapeId="0">
      <text>
        <t>Close: HK$300.6
Date: 2025-12-22
Venue: Futu (etnet; venues 296.0-300.6)
Source: etnet:ipo-info 暗盤數據</t>
      </text>
    </comment>
    <comment ref="AK407" authorId="1" shapeId="0">
      <text>
        <t>HSTECH (Hang Seng TECH ETF)
Previous trading close to listing-day close (2025-12-23).
Benchmark return in percent; not the index level or excess return.</t>
      </text>
    </comment>
    <comment ref="AP407" authorId="1" shapeId="0">
      <text>
        <t>Horizon close: 2026-01-02
5/21/63 traded sessions after debut; price-only return vs offer.</t>
      </text>
    </comment>
    <comment ref="AQ407" authorId="1" shapeId="0">
      <text>
        <t>Horizon close: 2026-01-26
5/21/63 traded sessions after debut; price-only return vs offer.</t>
      </text>
    </comment>
    <comment ref="AR407" authorId="1" shapeId="0">
      <text>
        <t>Horizon close: 2026-03-30
5/21/63 traded sessions after debut; price-only return vs offer.</t>
      </text>
    </comment>
    <comment ref="AI408" authorId="0" shapeId="0">
      <text>
        <t>Close: HK$51.7
Date: 2025-12-22
Venue: Phillip (etnet; venues 51.7-51.7)
Source: etnet:ipo-info 暗盤數據</t>
      </text>
    </comment>
    <comment ref="AK408" authorId="1" shapeId="0">
      <text>
        <t>Hang Seng Finance sub-index
Previous trading close to listing-day close (2025-12-23).
Benchmark return in percent; not the index level or excess return.</t>
      </text>
    </comment>
    <comment ref="AP408" authorId="1" shapeId="0">
      <text>
        <t>Horizon close: 2026-01-02
5/21/63 traded sessions after debut; price-only return vs offer.</t>
      </text>
    </comment>
    <comment ref="AQ408" authorId="1" shapeId="0">
      <text>
        <t>Horizon close: 2026-01-26
5/21/63 traded sessions after debut; price-only return vs offer.</t>
      </text>
    </comment>
    <comment ref="AR408" authorId="1" shapeId="0">
      <text>
        <t>Horizon close: 2026-03-30
5/21/63 traded sessions after debut; price-only return vs offer.</t>
      </text>
    </comment>
    <comment ref="AI409" authorId="0" shapeId="0">
      <text>
        <t>Close: HK$32.66
Date: 2025-12-22
Venue: Futu (etnet; venues 27.26-32.66)
Source: etnet:ipo-info 暗盤數據</t>
      </text>
    </comment>
    <comment ref="AK409" authorId="1" shapeId="0">
      <text>
        <t>China Biotech ETF (HS biotech proxy)
Previous trading close to listing-day close (2025-12-23).
Benchmark return in percent; not the index level or excess return.</t>
      </text>
    </comment>
    <comment ref="AP409" authorId="1" shapeId="0">
      <text>
        <t>Horizon close: 2026-01-02
5/21/63 traded sessions after debut; price-only return vs offer.</t>
      </text>
    </comment>
    <comment ref="AQ409" authorId="1" shapeId="0">
      <text>
        <t>Horizon close: 2026-01-26
5/21/63 traded sessions after debut; price-only return vs offer.</t>
      </text>
    </comment>
    <comment ref="AR409" authorId="1" shapeId="0">
      <text>
        <t>Horizon close: 2026-03-30
5/21/63 traded sessions after debut; price-only return vs offer.</t>
      </text>
    </comment>
    <comment ref="AI410" authorId="0" shapeId="0">
      <text>
        <t>Close: HK$48.98
Date: 2025-12-29
Venue: Futu (etnet; venues 44.0-48.98)
Source: etnet:ipo-info 暗盤數據</t>
      </text>
    </comment>
    <comment ref="AK410" authorId="1" shapeId="0">
      <text>
        <t>HSTECH (Hang Seng TECH ETF)
Previous trading close to listing-day close (2025-12-30).
Benchmark return in percent; not the index level or excess return.</t>
      </text>
    </comment>
    <comment ref="AP410" authorId="1" shapeId="0">
      <text>
        <t>Horizon close: 2026-01-07
5/21/63 traded sessions after debut; price-only return vs offer.</t>
      </text>
    </comment>
    <comment ref="AQ410" authorId="1" shapeId="0">
      <text>
        <t>Horizon close: 2026-01-29
5/21/63 traded sessions after debut; price-only return vs offer.</t>
      </text>
    </comment>
    <comment ref="AR410" authorId="1" shapeId="0">
      <text>
        <t>Horizon close: 2026-04-02
5/21/63 traded sessions after debut; price-only return vs offer.</t>
      </text>
    </comment>
    <comment ref="AI411" authorId="0" shapeId="0">
      <text>
        <t>Close: HK$91.65
Date: 2025-12-29
Venue: Phillip (etnet; venues 91.65-92.35)
Source: etnet:ipo-info 暗盤數據</t>
      </text>
    </comment>
    <comment ref="AK411" authorId="1" shapeId="0">
      <text>
        <t>Hang Seng Commerce &amp; Industry sub-index
Previous trading close to listing-day close (2025-12-30).
Benchmark return in percent; not the index level or excess return.</t>
      </text>
    </comment>
    <comment ref="AP411" authorId="1" shapeId="0">
      <text>
        <t>Horizon close: 2026-01-07
5/21/63 traded sessions after debut; price-only return vs offer.</t>
      </text>
    </comment>
    <comment ref="AQ411" authorId="1" shapeId="0">
      <text>
        <t>Horizon close: 2026-01-29
5/21/63 traded sessions after debut; price-only return vs offer.</t>
      </text>
    </comment>
    <comment ref="AR411" authorId="1" shapeId="0">
      <text>
        <t>Horizon close: 2026-04-02
5/21/63 traded sessions after debut; price-only return vs offer.</t>
      </text>
    </comment>
    <comment ref="AI412" authorId="0" shapeId="0">
      <text>
        <t>Close: HK$8.07
Date: 2025-12-29
Venue: Phillip (etnet; venues 8.07-8.8)
Source: etnet:ipo-info 暗盤數據</t>
      </text>
    </comment>
    <comment ref="AK412" authorId="1" shapeId="0">
      <text>
        <t>Hang Seng Commerce &amp; Industry sub-index
Previous trading close to listing-day close (2025-12-30).
Benchmark return in percent; not the index level or excess return.</t>
      </text>
    </comment>
    <comment ref="AP412" authorId="1" shapeId="0">
      <text>
        <t>Horizon close: 2026-01-07
5/21/63 traded sessions after debut; price-only return vs offer.</t>
      </text>
    </comment>
    <comment ref="AQ412" authorId="1" shapeId="0">
      <text>
        <t>Horizon close: 2026-01-29
5/21/63 traded sessions after debut; price-only return vs offer.</t>
      </text>
    </comment>
    <comment ref="AR412" authorId="1" shapeId="0">
      <text>
        <t>Horizon close: 2026-04-02
5/21/63 traded sessions after debut; price-only return vs offer.</t>
      </text>
    </comment>
    <comment ref="AI413" authorId="0" shapeId="0">
      <text>
        <t>Close: HK$36.86
Date: 2025-12-29
Venue: Futu (etnet; venues 36.1-36.86)
Source: etnet:ipo-info 暗盤數據</t>
      </text>
    </comment>
    <comment ref="AK413" authorId="1" shapeId="0">
      <text>
        <t>HSTECH (Hang Seng TECH ETF)
Previous trading close to listing-day close (2025-12-30).
Benchmark return in percent; not the index level or excess return.</t>
      </text>
    </comment>
    <comment ref="AP413" authorId="1" shapeId="0">
      <text>
        <t>Horizon close: 2026-01-07
5/21/63 traded sessions after debut; price-only return vs offer.</t>
      </text>
    </comment>
    <comment ref="AQ413" authorId="1" shapeId="0">
      <text>
        <t>Horizon close: 2026-01-29
5/21/63 traded sessions after debut; price-only return vs offer.</t>
      </text>
    </comment>
    <comment ref="AR413" authorId="1" shapeId="0">
      <text>
        <t>Horizon close: 2026-04-02
5/21/63 traded sessions after debut; price-only return vs offer.</t>
      </text>
    </comment>
    <comment ref="AI414" authorId="0" shapeId="0">
      <text>
        <t>Close: HK$37.68
Date: 2025-12-29
Venue: Futu (etnet; venues 37.68-39.0)
Source: etnet:ipo-info 暗盤數據</t>
      </text>
    </comment>
    <comment ref="AK414" authorId="1" shapeId="0">
      <text>
        <t>HSTECH (Hang Seng TECH ETF)
Previous trading close to listing-day close (2025-12-30).
Benchmark return in percent; not the index level or excess return.</t>
      </text>
    </comment>
    <comment ref="AP414" authorId="1" shapeId="0">
      <text>
        <t>Horizon close: 2026-01-07
5/21/63 traded sessions after debut; price-only return vs offer.</t>
      </text>
    </comment>
    <comment ref="AQ414" authorId="1" shapeId="0">
      <text>
        <t>Horizon close: 2026-01-29
5/21/63 traded sessions after debut; price-only return vs offer.</t>
      </text>
    </comment>
    <comment ref="AR414" authorId="1" shapeId="0">
      <text>
        <t>Horizon close: 2026-04-02
5/21/63 traded sessions after debut; price-only return vs offer.</t>
      </text>
    </comment>
    <comment ref="AI415" authorId="0" shapeId="0">
      <text>
        <t>Close: HK$67.4
Date: 2025-12-29
Venue: Futu (etnet; venues 67.4-68.1)
Source: etnet:ipo-info 暗盤數據</t>
      </text>
    </comment>
    <comment ref="AK415" authorId="1" shapeId="0">
      <text>
        <t>HSTECH (Hang Seng TECH ETF)
Previous trading close to listing-day close (2025-12-30).
Benchmark return in percent; not the index level or excess return.</t>
      </text>
    </comment>
    <comment ref="AP415" authorId="1" shapeId="0">
      <text>
        <t>Horizon close: 2026-01-07
5/21/63 traded sessions after debut; price-only return vs offer.</t>
      </text>
    </comment>
    <comment ref="AQ415" authorId="1" shapeId="0">
      <text>
        <t>Horizon close: 2026-01-29
5/21/63 traded sessions after debut; price-only return vs offer.</t>
      </text>
    </comment>
    <comment ref="AR415" authorId="1" shapeId="0">
      <text>
        <t>Horizon close: 2026-04-02
5/21/63 traded sessions after debut; price-only return vs offer.</t>
      </text>
    </comment>
    <comment ref="AI416" authorId="0" shapeId="0">
      <text>
        <t>Close: HK$35.08
Date: 2025-12-31
Venue: Phillip (輝立), as published by AAStocks
Source: press:AASTOCKS headline on Yahoo HK: '壁仞科技暗盤收報35.08元 高上市價79%' — offer HK$19.60, 35.08/19.6-1 = +78.98%. Grey high/low 38.8/19.6.</t>
      </text>
    </comment>
    <comment ref="AK416" authorId="1" shapeId="0">
      <text>
        <t>HSTECH (Hang Seng TECH ETF)
Previous trading close to listing-day close (2026-01-02).
Benchmark return in percent; not the index level or excess return.</t>
      </text>
    </comment>
    <comment ref="AP416" authorId="1" shapeId="0">
      <text>
        <t>Horizon close: 2026-01-09
5/21/63 traded sessions after debut; price-only return vs offer.</t>
      </text>
    </comment>
    <comment ref="AQ416" authorId="1" shapeId="0">
      <text>
        <t>Horizon close: 2026-02-02
5/21/63 traded sessions after debut; price-only return vs offer.</t>
      </text>
    </comment>
    <comment ref="AR416" authorId="1" shapeId="0">
      <text>
        <t>Horizon close: 2026-04-09
5/21/63 traded sessions after debut; price-only return vs offer.</t>
      </text>
    </comment>
    <comment ref="AI417" authorId="0" shapeId="0">
      <text>
        <t>Close: HK$123.2
Date: 2026-01-07
Venue: Futu (etnet; venues 121.3-123.2)
Source: etnet:ipo-info 暗盤數據</t>
      </text>
    </comment>
    <comment ref="AK417" authorId="1" shapeId="0">
      <text>
        <t>HSTECH (Hang Seng TECH ETF)
Previous trading close to listing-day close (2026-01-08).
Benchmark return in percent; not the index level or excess return.</t>
      </text>
    </comment>
    <comment ref="AP417" authorId="1" shapeId="0">
      <text>
        <t>Horizon close: 2026-01-15
5/21/63 traded sessions after debut; price-only return vs offer.</t>
      </text>
    </comment>
    <comment ref="AQ417" authorId="1" shapeId="0">
      <text>
        <t>Horizon close: 2026-02-06
5/21/63 traded sessions after debut; price-only return vs offer.</t>
      </text>
    </comment>
    <comment ref="AR417" authorId="1" shapeId="0">
      <text>
        <t>Horizon close: 2026-04-15
5/21/63 traded sessions after debut; price-only return vs offer.</t>
      </text>
    </comment>
    <comment ref="AI418" authorId="0" shapeId="0">
      <text>
        <t>Close: HK$198
Date: 2026-01-07
Venue: Phillip (etnet; venues 198.0-198.9)
Source: etnet:ipo-info 暗盤數據</t>
      </text>
    </comment>
    <comment ref="AK418" authorId="1" shapeId="0">
      <text>
        <t>HSTECH (Hang Seng TECH ETF)
Previous trading close to listing-day close (2026-01-08).
Benchmark return in percent; not the index level or excess return.</t>
      </text>
    </comment>
    <comment ref="AP418" authorId="1" shapeId="0">
      <text>
        <t>Horizon close: 2026-01-15
5/21/63 traded sessions after debut; price-only return vs offer.</t>
      </text>
    </comment>
    <comment ref="AQ418" authorId="1" shapeId="0">
      <text>
        <t>Horizon close: 2026-02-06
5/21/63 traded sessions after debut; price-only return vs offer.</t>
      </text>
    </comment>
    <comment ref="AR418" authorId="1" shapeId="0">
      <text>
        <t>Horizon close: 2026-04-15
5/21/63 traded sessions after debut; price-only return vs offer.</t>
      </text>
    </comment>
    <comment ref="AI419" authorId="0" shapeId="0">
      <text>
        <t>Close: HK$60.15
Date: 2026-01-07
Venue: Futu (etnet; venues 59.55-60.15)
Source: etnet:ipo-info 暗盤數據</t>
      </text>
    </comment>
    <comment ref="AK419" authorId="1" shapeId="0">
      <text>
        <t>China Biotech ETF (HS biotech proxy)
Previous trading close to listing-day close (2026-01-08).
Benchmark return in percent; not the index level or excess return.</t>
      </text>
    </comment>
    <comment ref="AP419" authorId="1" shapeId="0">
      <text>
        <t>Horizon close: 2026-01-15
5/21/63 traded sessions after debut; price-only return vs offer.</t>
      </text>
    </comment>
    <comment ref="AQ419" authorId="1" shapeId="0">
      <text>
        <t>Horizon close: 2026-02-06
5/21/63 traded sessions after debut; price-only return vs offer.</t>
      </text>
    </comment>
    <comment ref="AR419" authorId="1" shapeId="0">
      <text>
        <t>Horizon close: 2026-04-15
5/21/63 traded sessions after debut; price-only return vs offer.</t>
      </text>
    </comment>
    <comment ref="AI420" authorId="0" shapeId="0">
      <text>
        <t>Close: HK$205.6
Date: 2026-01-08
Venue: AAStocks headline figure (search summary attributes it to Futu; a second platform printed 209.2 / +26.8%)
Source: press:AASTOCKS headline on Yahoo HK: 'MiniMax-WP(00100.HK)暗盤收報205.6元 高上市價24.6%' — offer HK$165.00, 205.6/165-1 = +24.61%.</t>
      </text>
    </comment>
    <comment ref="AK420" authorId="1" shapeId="0">
      <text>
        <t>HSTECH (Hang Seng TECH ETF)
Previous trading close to listing-day close (2026-01-09).
Benchmark return in percent; not the index level or excess return.</t>
      </text>
    </comment>
    <comment ref="AP420" authorId="1" shapeId="0">
      <text>
        <t>Horizon close: 2026-01-16
5/21/63 traded sessions after debut; price-only return vs offer.</t>
      </text>
    </comment>
    <comment ref="AQ420" authorId="1" shapeId="0">
      <text>
        <t>Horizon close: 2026-02-09
5/21/63 traded sessions after debut; price-only return vs offer.</t>
      </text>
    </comment>
    <comment ref="AR420" authorId="1" shapeId="0">
      <text>
        <t>Horizon close: 2026-04-16
5/21/63 traded sessions after debut; price-only return vs offer.</t>
      </text>
    </comment>
    <comment ref="AI421" authorId="0" shapeId="0">
      <text>
        <t>Close: HK$74.8
Date: 2026-01-08
Venue: Phillip (etnet; venues 74.6-78.0)
Source: etnet:ipo-info 暗盤數據</t>
      </text>
    </comment>
    <comment ref="AK421" authorId="1" shapeId="0">
      <text>
        <t>China Biotech ETF (HS biotech proxy)
Previous trading close to listing-day close (2026-01-09).
Benchmark return in percent; not the index level or excess return.</t>
      </text>
    </comment>
    <comment ref="AP421" authorId="1" shapeId="0">
      <text>
        <t>Horizon close: 2026-01-16
5/21/63 traded sessions after debut; price-only return vs offer.</t>
      </text>
    </comment>
    <comment ref="AQ421" authorId="1" shapeId="0">
      <text>
        <t>Horizon close: 2026-02-09
5/21/63 traded sessions after debut; price-only return vs offer.</t>
      </text>
    </comment>
    <comment ref="AR421" authorId="1" shapeId="0">
      <text>
        <t>Horizon close: 2026-04-16
5/21/63 traded sessions after debut; price-only return vs offer.</t>
      </text>
    </comment>
    <comment ref="AI422" authorId="0" shapeId="0">
      <text>
        <t>Close: HK$38.7
Date: 2026-01-08
Venue: Futu (etnet; venues 38.7-40.62)
Source: etnet:ipo-info 暗盤數據</t>
      </text>
    </comment>
    <comment ref="AK422" authorId="1" shapeId="0">
      <text>
        <t>Hang Seng Commerce &amp; Industry sub-index
Previous trading close to listing-day close (2026-01-09).
Benchmark return in percent; not the index level or excess return.</t>
      </text>
    </comment>
    <comment ref="AP422" authorId="1" shapeId="0">
      <text>
        <t>Horizon close: 2026-01-16
5/21/63 traded sessions after debut; price-only return vs offer.</t>
      </text>
    </comment>
    <comment ref="AQ422" authorId="1" shapeId="0">
      <text>
        <t>Horizon close: 2026-02-09
5/21/63 traded sessions after debut; price-only return vs offer.</t>
      </text>
    </comment>
    <comment ref="AR422" authorId="1" shapeId="0">
      <text>
        <t>Horizon close: 2026-04-16
5/21/63 traded sessions after debut; price-only return vs offer.</t>
      </text>
    </comment>
    <comment ref="AI423" authorId="0" shapeId="0">
      <text>
        <t>Close: HK$104.5
Date: 2026-01-09
Venue: press (HKET) — venue not stated
Source: press:HKET via search: '豪威集團暗盤昨日收104.5元，低上市價0.3%' — offer HK$104.80, 104.5/104.8-1 = -0.29%. Day-1 opened 108 (+3.1%).</t>
      </text>
    </comment>
    <comment ref="AK423" authorId="1" shapeId="0">
      <text>
        <t>HSTECH (Hang Seng TECH ETF)
Previous trading close to listing-day close (2026-01-12).
Benchmark return in percent; not the index level or excess return.</t>
      </text>
    </comment>
    <comment ref="AP423" authorId="1" shapeId="0">
      <text>
        <t>Horizon close: 2026-01-19
5/21/63 traded sessions after debut; price-only return vs offer.</t>
      </text>
    </comment>
    <comment ref="AQ423" authorId="1" shapeId="0">
      <text>
        <t>Horizon close: 2026-02-10
5/21/63 traded sessions after debut; price-only return vs offer.</t>
      </text>
    </comment>
    <comment ref="AR423" authorId="1" shapeId="0">
      <text>
        <t>Horizon close: 2026-04-17
5/21/63 traded sessions after debut; price-only return vs offer.</t>
      </text>
    </comment>
    <comment ref="AI424" authorId="0" shapeId="0">
      <text>
        <t>Close: HK$18.07
Date: 2026-01-12
Venue: Futu (etnet; venues 16.59-18.07)
Source: etnet:ipo-info 暗盤數據</t>
      </text>
    </comment>
    <comment ref="AK424" authorId="1" shapeId="0">
      <text>
        <t>Hang Seng Commerce &amp; Industry sub-index
Previous trading close to listing-day close (2026-01-13).
Benchmark return in percent; not the index level or excess return.</t>
      </text>
    </comment>
    <comment ref="AP424" authorId="1" shapeId="0">
      <text>
        <t>Horizon close: 2026-01-20
5/21/63 traded sessions after debut; price-only return vs offer.</t>
      </text>
    </comment>
    <comment ref="AQ424" authorId="1" shapeId="0">
      <text>
        <t>Horizon close: 2026-02-11
5/21/63 traded sessions after debut; price-only return vs offer.</t>
      </text>
    </comment>
    <comment ref="AR424" authorId="1" shapeId="0">
      <text>
        <t>Horizon close: 2026-04-20
5/21/63 traded sessions after debut; price-only return vs offer.</t>
      </text>
    </comment>
    <comment ref="AI425" authorId="0" shapeId="0">
      <text>
        <t>Close: HK$226.8
Date: 2026-01-12
Venue: Phillip (etnet; venues 224.2-226.8)
Source: etnet:ipo-info 暗盤數據</t>
      </text>
    </comment>
    <comment ref="AK425" authorId="1" shapeId="0">
      <text>
        <t>HSTECH (Hang Seng TECH ETF)
Previous trading close to listing-day close (2026-01-13).
Benchmark return in percent; not the index level or excess return.</t>
      </text>
    </comment>
    <comment ref="AP425" authorId="1" shapeId="0">
      <text>
        <t>Horizon close: 2026-01-20
5/21/63 traded sessions after debut; price-only return vs offer.</t>
      </text>
    </comment>
    <comment ref="AQ425" authorId="1" shapeId="0">
      <text>
        <t>Horizon close: 2026-02-11
5/21/63 traded sessions after debut; price-only return vs offer.</t>
      </text>
    </comment>
    <comment ref="AR425" authorId="1" shapeId="0">
      <text>
        <t>Horizon close: 2026-04-20
5/21/63 traded sessions after debut; price-only return vs offer.</t>
      </text>
    </comment>
    <comment ref="AI426" authorId="0" shapeId="0">
      <text>
        <t>Close: HK$36.22
Date: 2026-01-21
Venue: Phillip (etnet; venues 36.22-37.12)
Source: etnet:ipo-info 暗盤數據</t>
      </text>
    </comment>
    <comment ref="AK426" authorId="1" shapeId="0">
      <text>
        <t>HSTECH (Hang Seng TECH ETF)
Previous trading close to listing-day close (2026-01-22).
Benchmark return in percent; not the index level or excess return.</t>
      </text>
    </comment>
    <comment ref="AP426" authorId="1" shapeId="0">
      <text>
        <t>Horizon close: 2026-01-29
5/21/63 traded sessions after debut; price-only return vs offer.</t>
      </text>
    </comment>
    <comment ref="AQ426" authorId="1" shapeId="0">
      <text>
        <t>Horizon close: 2026-02-25
5/21/63 traded sessions after debut; price-only return vs offer.</t>
      </text>
    </comment>
    <comment ref="AR426" authorId="1" shapeId="0">
      <text>
        <t>Horizon close: 2026-04-29
5/21/63 traded sessions after debut; price-only return vs offer.</t>
      </text>
    </comment>
    <comment ref="AI427" authorId="0" shapeId="0">
      <text>
        <t>Close: HK$408
Date: 2026-01-27
Venue: Phillip (etnet; venues 408.0-416.8)
Source: etnet:ipo-info 暗盤數據</t>
      </text>
    </comment>
    <comment ref="AK427" authorId="1" shapeId="0">
      <text>
        <t>Hang Seng Commerce &amp; Industry sub-index
Previous trading close to listing-day close (2026-01-28).
Benchmark return in percent; not the index level or excess return.</t>
      </text>
    </comment>
    <comment ref="AP427" authorId="1" shapeId="0">
      <text>
        <t>Horizon close: 2026-02-04
5/21/63 traded sessions after debut; price-only return vs offer.</t>
      </text>
    </comment>
    <comment ref="AQ427" authorId="1" shapeId="0">
      <text>
        <t>Horizon close: 2026-03-03
5/21/63 traded sessions after debut; price-only return vs offer.</t>
      </text>
    </comment>
    <comment ref="AR427" authorId="1" shapeId="0">
      <text>
        <t>Horizon close: 2026-05-06
5/21/63 traded sessions after debut; price-only return vs offer.</t>
      </text>
    </comment>
    <comment ref="AI428" authorId="0" shapeId="0">
      <text>
        <t>Close: HK$250
Date: 2026-02-02
Venue: Phillip (輝立)
Source: press:Ming Pao 2026-02-03 '東鵬飲料3暗盤表現一般': 富途 247.8 (-0.08%), 輝立 250 (+0.8%), 耀才 249.2 (+0.5%) — offer HK$248.00; the Phillip print is recorded to match the scrape's venue. 250/248-1 = +0.81%.</t>
      </text>
    </comment>
    <comment ref="AK428" authorId="1" shapeId="0">
      <text>
        <t>Hang Seng Commerce &amp; Industry sub-index
Previous trading close to listing-day close (2026-02-03).
Benchmark return in percent; not the index level or excess return.</t>
      </text>
    </comment>
    <comment ref="AP428" authorId="1" shapeId="0">
      <text>
        <t>Horizon close: 2026-02-10
5/21/63 traded sessions after debut; price-only return vs offer.</t>
      </text>
    </comment>
    <comment ref="AQ428" authorId="1" shapeId="0">
      <text>
        <t>Horizon close: 2026-03-09
5/21/63 traded sessions after debut; price-only return vs offer.</t>
      </text>
    </comment>
    <comment ref="AR428" authorId="1" shapeId="0">
      <text>
        <t>Horizon close: 2026-05-12
5/21/63 traded sessions after debut; price-only return vs offer.</t>
      </text>
    </comment>
    <comment ref="AI429" authorId="0" shapeId="0">
      <text>
        <t>Close: HK$47.2
Date: 2026-02-03
Venue: Phillip (etnet; venues 47.1-49.0)
Source: etnet:ipo-info 暗盤數據</t>
      </text>
    </comment>
    <comment ref="AK429" authorId="1" shapeId="0">
      <text>
        <t>HSTECH (Hang Seng TECH ETF)
Previous trading close to listing-day close (2026-02-04).
Benchmark return in percent; not the index level or excess return.</t>
      </text>
    </comment>
    <comment ref="AP429" authorId="1" shapeId="0">
      <text>
        <t>Horizon close: 2026-02-11
5/21/63 traded sessions after debut; price-only return vs offer.</t>
      </text>
    </comment>
    <comment ref="AQ429" authorId="1" shapeId="0">
      <text>
        <t>Horizon close: 2026-03-10
5/21/63 traded sessions after debut; price-only return vs offer.</t>
      </text>
    </comment>
    <comment ref="AR429" authorId="1" shapeId="0">
      <text>
        <t>Horizon close: 2026-05-13
5/21/63 traded sessions after debut; price-only return vs offer.</t>
      </text>
    </comment>
    <comment ref="AI430" authorId="0" shapeId="0">
      <text>
        <t>Close: HK$88.8
Date: 2026-02-05
Venue: Phillip (etnet; venues 88.8-94.05)
Source: etnet:ipo-info 暗盤數據</t>
      </text>
    </comment>
    <comment ref="AK430" authorId="1" shapeId="0">
      <text>
        <t>China Biotech ETF (HS biotech proxy)
Previous trading close to listing-day close (2026-02-06).
Benchmark return in percent; not the index level or excess return.</t>
      </text>
    </comment>
    <comment ref="AP430" authorId="1" shapeId="0">
      <text>
        <t>Horizon close: 2026-02-13
5/21/63 traded sessions after debut; price-only return vs offer.</t>
      </text>
    </comment>
    <comment ref="AQ430" authorId="1" shapeId="0">
      <text>
        <t>Horizon close: 2026-03-12
5/21/63 traded sessions after debut; price-only return vs offer.</t>
      </text>
    </comment>
    <comment ref="AR430" authorId="1" shapeId="0">
      <text>
        <t>Horizon close: 2026-05-15
5/21/63 traded sessions after debut; price-only return vs offer.</t>
      </text>
    </comment>
    <comment ref="AI431" authorId="0" shapeId="0">
      <text>
        <t>Close: HK$118.2
Date: 2026-02-05
Venue: Phillip (etnet; venues 116.6-118.2)
Source: etnet:ipo-info 暗盤數據</t>
      </text>
    </comment>
    <comment ref="AK431" authorId="1" shapeId="0">
      <text>
        <t>Hang Seng Commerce &amp; Industry sub-index
Previous trading close to listing-day close (2026-02-06).
Benchmark return in percent; not the index level or excess return.</t>
      </text>
    </comment>
    <comment ref="AP431" authorId="1" shapeId="0">
      <text>
        <t>Horizon close: 2026-02-13
5/21/63 traded sessions after debut; price-only return vs offer.</t>
      </text>
    </comment>
    <comment ref="AQ431" authorId="1" shapeId="0">
      <text>
        <t>Horizon close: 2026-03-12
5/21/63 traded sessions after debut; price-only return vs offer.</t>
      </text>
    </comment>
    <comment ref="AR431" authorId="1" shapeId="0">
      <text>
        <t>Horizon close: 2026-05-15
5/21/63 traded sessions after debut; price-only return vs offer.</t>
      </text>
    </comment>
    <comment ref="AI432" authorId="0" shapeId="0">
      <text>
        <t>Close: HK$41
Date: 2026-02-05
Venue: Phillip (etnet; venues 39.74-41.0)
Source: etnet:ipo-info 暗盤數據</t>
      </text>
    </comment>
    <comment ref="AK432" authorId="1" shapeId="0">
      <text>
        <t>Hang Seng Commerce &amp; Industry sub-index
Previous trading close to listing-day close (2026-02-06).
Benchmark return in percent; not the index level or excess return.</t>
      </text>
    </comment>
    <comment ref="AP432" authorId="1" shapeId="0">
      <text>
        <t>Horizon close: 2026-02-13
5/21/63 traded sessions after debut; price-only return vs offer.</t>
      </text>
    </comment>
    <comment ref="AQ432" authorId="1" shapeId="0">
      <text>
        <t>Horizon close: 2026-03-12
5/21/63 traded sessions after debut; price-only return vs offer.</t>
      </text>
    </comment>
    <comment ref="AR432" authorId="1" shapeId="0">
      <text>
        <t>Horizon close: 2026-05-15
5/21/63 traded sessions after debut; price-only return vs offer.</t>
      </text>
    </comment>
    <comment ref="AI433" authorId="0" shapeId="0">
      <text>
        <t>Close: HK$149.4
Date: 2026-02-06
Venue: Futu (etnet; venues 149.4-151.6)
Source: etnet:ipo-info 暗盤數據</t>
      </text>
    </comment>
    <comment ref="AK433" authorId="1" shapeId="0">
      <text>
        <t>HSTECH (Hang Seng TECH ETF)
Previous trading close to listing-day close (2026-02-09).
Benchmark return in percent; not the index level or excess return.</t>
      </text>
    </comment>
    <comment ref="AP433" authorId="1" shapeId="0">
      <text>
        <t>Horizon close: 2026-02-16
5/21/63 traded sessions after debut; price-only return vs offer.</t>
      </text>
    </comment>
    <comment ref="AQ433" authorId="1" shapeId="0">
      <text>
        <t>Horizon close: 2026-03-13
5/21/63 traded sessions after debut; price-only return vs offer.</t>
      </text>
    </comment>
    <comment ref="AR433" authorId="1" shapeId="0">
      <text>
        <t>Horizon close: 2026-05-18
5/21/63 traded sessions after debut; price-only return vs offer.</t>
      </text>
    </comment>
    <comment ref="AI434" authorId="0" shapeId="0">
      <text>
        <t>Close: HK$24.48
Date: 2026-02-09
Venue: Futu (etnet; venues 24.48-24.7)
Source: etnet:ipo-info 暗盤數據</t>
      </text>
    </comment>
    <comment ref="AK434" authorId="1" shapeId="0">
      <text>
        <t>Hang Seng Commerce &amp; Industry sub-index
Previous trading close to listing-day close (2026-02-10).
Benchmark return in percent; not the index level or excess return.</t>
      </text>
    </comment>
    <comment ref="AP434" authorId="1" shapeId="0">
      <text>
        <t>Horizon close: 2026-02-20
5/21/63 traded sessions after debut; price-only return vs offer.</t>
      </text>
    </comment>
    <comment ref="AQ434" authorId="1" shapeId="0">
      <text>
        <t>Horizon close: 2026-03-16
5/21/63 traded sessions after debut; price-only return vs offer.</t>
      </text>
    </comment>
    <comment ref="AR434" authorId="1" shapeId="0">
      <text>
        <t>Horizon close: 2026-05-19
5/21/63 traded sessions after debut; price-only return vs offer.</t>
      </text>
    </comment>
    <comment ref="AI435" authorId="0" shapeId="0">
      <text>
        <t>Close: HK$27
Date: 2026-02-09
Venue: Phillip (etnet; venues 27.0-27.04)
Source: etnet:ipo-info 暗盤數據</t>
      </text>
    </comment>
    <comment ref="AK435" authorId="1" shapeId="0">
      <text>
        <t>HSTECH (Hang Seng TECH ETF)
Previous trading close to listing-day close (2026-02-10).
Benchmark return in percent; not the index level or excess return.</t>
      </text>
    </comment>
    <comment ref="AP435" authorId="1" shapeId="0">
      <text>
        <t>Horizon close: 2026-02-20
5/21/63 traded sessions after debut; price-only return vs offer.</t>
      </text>
    </comment>
    <comment ref="AQ435" authorId="1" shapeId="0">
      <text>
        <t>Horizon close: 2026-03-16
5/21/63 traded sessions after debut; price-only return vs offer.</t>
      </text>
    </comment>
    <comment ref="AR435" authorId="1" shapeId="0">
      <text>
        <t>Horizon close: 2026-05-19
5/21/63 traded sessions after debut; price-only return vs offer.</t>
      </text>
    </comment>
    <comment ref="AI436" authorId="0" shapeId="0">
      <text>
        <t>Close: HK$46.66
Date: 2026-02-10
Venue: Phillip (輝立), as published by AAStocks
Source: press:AASTOCKS NOW.1502421: '先導智能(00470.HK)暗盤收報46.66元 高上市價1.9%' — 根據輝立交易平台; offer HK$45.80, 46.66/45.8-1 = +1.88%.</t>
      </text>
    </comment>
    <comment ref="AK436" authorId="1" shapeId="0">
      <text>
        <t>Hang Seng Commerce &amp; Industry sub-index
Previous trading close to listing-day close (2026-02-11).
Benchmark return in percent; not the index level or excess return.</t>
      </text>
    </comment>
    <comment ref="AP436" authorId="1" shapeId="0">
      <text>
        <t>Horizon close: 2026-02-23
5/21/63 traded sessions after debut; price-only return vs offer.</t>
      </text>
    </comment>
    <comment ref="AQ436" authorId="1" shapeId="0">
      <text>
        <t>Horizon close: 2026-03-17
5/21/63 traded sessions after debut; price-only return vs offer.</t>
      </text>
    </comment>
    <comment ref="AR436" authorId="1" shapeId="0">
      <text>
        <t>Horizon close: 2026-05-20
5/21/63 traded sessions after debut; price-only return vs offer.</t>
      </text>
    </comment>
    <comment ref="AI437" authorId="0" shapeId="0">
      <text>
        <t>Close: HK$84
Date: 2026-02-12
Venue: Futu (etnet; venues 84.0-85.2)
Source: etnet:ipo-info 暗盤數據</t>
      </text>
    </comment>
    <comment ref="AK437" authorId="1" shapeId="0">
      <text>
        <t>HSTECH (Hang Seng TECH ETF)
Previous trading close to listing-day close (2026-02-13).
Benchmark return in percent; not the index level or excess return.</t>
      </text>
    </comment>
    <comment ref="AP437" authorId="1" shapeId="0">
      <text>
        <t>Horizon close: 2026-02-25
5/21/63 traded sessions after debut; price-only return vs offer.</t>
      </text>
    </comment>
    <comment ref="AQ437" authorId="1" shapeId="0">
      <text>
        <t>Horizon close: 2026-03-19
5/21/63 traded sessions after debut; price-only return vs offer.</t>
      </text>
    </comment>
    <comment ref="AR437" authorId="1" shapeId="0">
      <text>
        <t>Horizon close: 2026-05-22
5/21/63 traded sessions after debut; price-only return vs offer.</t>
      </text>
    </comment>
    <comment ref="AI438" authorId="0" shapeId="0">
      <text>
        <t>Close: HK$21.08
Date: 2026-02-12
Venue: Futu (etnet; venues 21.0-21.08)
Source: etnet:ipo-info 暗盤數據</t>
      </text>
    </comment>
    <comment ref="AK438" authorId="1" shapeId="0">
      <text>
        <t>Hang Seng Commerce &amp; Industry sub-index
Previous trading close to listing-day close (2026-02-13).
Benchmark return in percent; not the index level or excess return.</t>
      </text>
    </comment>
    <comment ref="AP438" authorId="1" shapeId="0">
      <text>
        <t>Horizon close: 2026-02-25
5/21/63 traded sessions after debut; price-only return vs offer.</t>
      </text>
    </comment>
    <comment ref="AQ438" authorId="1" shapeId="0">
      <text>
        <t>Horizon close: 2026-03-19
5/21/63 traded sessions after debut; price-only return vs offer.</t>
      </text>
    </comment>
    <comment ref="AR438" authorId="1" shapeId="0">
      <text>
        <t>Horizon close: 2026-05-22
5/21/63 traded sessions after debut; price-only return vs offer.</t>
      </text>
    </comment>
    <comment ref="AI439" authorId="0" shapeId="0">
      <text>
        <t>Close: HK$14.1
Date: 2026-03-06
Venue: Phillip (etnet; venues 13.9-14.2)
Source: etnet:ipo-info 暗盤數據</t>
      </text>
    </comment>
    <comment ref="AK439" authorId="1" shapeId="0">
      <text>
        <t>HSTECH (Hang Seng TECH ETF)
Previous trading close to listing-day close (2026-03-09).
Benchmark return in percent; not the index level or excess return.</t>
      </text>
    </comment>
    <comment ref="AP439" authorId="1" shapeId="0">
      <text>
        <t>Horizon close: 2026-03-16
5/21/63 traded sessions after debut; price-only return vs offer.</t>
      </text>
    </comment>
    <comment ref="AQ439" authorId="1" shapeId="0">
      <text>
        <t>Horizon close: 2026-04-10
5/21/63 traded sessions after debut; price-only return vs offer.</t>
      </text>
    </comment>
    <comment ref="AR439" authorId="1" shapeId="0">
      <text>
        <t>Horizon close: 2026-06-11
5/21/63 traded sessions after debut; price-only return vs offer.</t>
      </text>
    </comment>
    <comment ref="AI440" authorId="0" shapeId="0">
      <text>
        <t>Close: HK$10.9
Date: 2026-03-06
Venue: Phillip (etnet; venues 10.9-14.0)
Source: etnet:ipo-info 暗盤數據</t>
      </text>
    </comment>
    <comment ref="AK440" authorId="1" shapeId="0">
      <text>
        <t>Hang Seng Commerce &amp; Industry sub-index
Previous trading close to listing-day close (2026-03-09).
Benchmark return in percent; not the index level or excess return.</t>
      </text>
    </comment>
    <comment ref="AP440" authorId="1" shapeId="0">
      <text>
        <t>Horizon close: 2026-03-16
5/21/63 traded sessions after debut; price-only return vs offer.</t>
      </text>
    </comment>
    <comment ref="AQ440" authorId="1" shapeId="0">
      <text>
        <t>Horizon close: pending: 15 traded sessions after debut; 21 needed
5/21/63 traded sessions after debut; price-only return vs offer.</t>
      </text>
    </comment>
    <comment ref="AR440" authorId="1" shapeId="0">
      <text>
        <t>Horizon close: pending: 15 traded sessions after debut; 63 needed
5/21/63 traded sessions after debut; price-only return vs offer.</t>
      </text>
    </comment>
    <comment ref="AI441" authorId="0" shapeId="0">
      <text>
        <t>Close: HK$82.8
Date: 2026-03-06
Venue: Phillip (etnet; venues 82.55-84.1)
Source: etnet:ipo-info 暗盤數據</t>
      </text>
    </comment>
    <comment ref="AK441" authorId="1" shapeId="0">
      <text>
        <t>Hang Seng Commerce &amp; Industry sub-index
Previous trading close to listing-day close (2026-03-09).
Benchmark return in percent; not the index level or excess return.</t>
      </text>
    </comment>
    <comment ref="AP441" authorId="1" shapeId="0">
      <text>
        <t>Horizon close: 2026-03-16
5/21/63 traded sessions after debut; price-only return vs offer.</t>
      </text>
    </comment>
    <comment ref="AQ441" authorId="1" shapeId="0">
      <text>
        <t>Horizon close: 2026-04-10
5/21/63 traded sessions after debut; price-only return vs offer.</t>
      </text>
    </comment>
    <comment ref="AR441" authorId="1" shapeId="0">
      <text>
        <t>Horizon close: 2026-06-11
5/21/63 traded sessions after debut; price-only return vs offer.</t>
      </text>
    </comment>
    <comment ref="AI442" authorId="0" shapeId="0">
      <text>
        <t>Close: HK$29.4
Date: 2026-03-09
Venue: Futu (etnet; venues 28.9-29.4)
Source: etnet:ipo-info 暗盤數據</t>
      </text>
    </comment>
    <comment ref="AK442" authorId="1" shapeId="0">
      <text>
        <t>HSTECH (Hang Seng TECH ETF)
Previous trading close to listing-day close (2026-03-10).
Benchmark return in percent; not the index level or excess return.</t>
      </text>
    </comment>
    <comment ref="AP442" authorId="1" shapeId="0">
      <text>
        <t>Horizon close: 2026-03-17
5/21/63 traded sessions after debut; price-only return vs offer.</t>
      </text>
    </comment>
    <comment ref="AQ442" authorId="1" shapeId="0">
      <text>
        <t>Horizon close: 2026-04-13
5/21/63 traded sessions after debut; price-only return vs offer.</t>
      </text>
    </comment>
    <comment ref="AR442" authorId="1" shapeId="0">
      <text>
        <t>Horizon close: 2026-06-12
5/21/63 traded sessions after debut; price-only return vs offer.</t>
      </text>
    </comment>
    <comment ref="AI443" authorId="0" shapeId="0">
      <text>
        <t>Close: HK$95
Date: 2026-03-19
Venue: Futu (etnet; venues 95.0-97.1)
Source: etnet:ipo-info 暗盤數據</t>
      </text>
    </comment>
    <comment ref="AK443" authorId="1" shapeId="0">
      <text>
        <t>HSTECH (Hang Seng TECH ETF)
Previous trading close to listing-day close (2026-03-20).
Benchmark return in percent; not the index level or excess return.</t>
      </text>
    </comment>
    <comment ref="AP443" authorId="1" shapeId="0">
      <text>
        <t>Horizon close: 2026-03-27
5/21/63 traded sessions after debut; price-only return vs offer.</t>
      </text>
    </comment>
    <comment ref="AQ443" authorId="1" shapeId="0">
      <text>
        <t>Horizon close: 2026-04-23
5/21/63 traded sessions after debut; price-only return vs offer.</t>
      </text>
    </comment>
    <comment ref="AR443" authorId="1" shapeId="0">
      <text>
        <t>Horizon close: 2026-06-25
5/21/63 traded sessions after debut; price-only return vs offer.</t>
      </text>
    </comment>
    <comment ref="AI444" authorId="0" shapeId="0">
      <text>
        <t>Close: HK$11.7
Date: 2026-03-20
Venue: Futu (etnet; venues 11.64-11.79)
Source: etnet:ipo-info 暗盤數據</t>
      </text>
    </comment>
    <comment ref="AK444" authorId="1" shapeId="0">
      <text>
        <t>HSTECH (Hang Seng TECH ETF)
Previous trading close to listing-day close (2026-03-23).
Benchmark return in percent; not the index level or excess return.</t>
      </text>
    </comment>
    <comment ref="AP444" authorId="1" shapeId="0">
      <text>
        <t>Horizon close: 2026-03-30
5/21/63 traded sessions after debut; price-only return vs offer.</t>
      </text>
    </comment>
    <comment ref="AQ444" authorId="1" shapeId="0">
      <text>
        <t>Horizon close: 2026-04-24
5/21/63 traded sessions after debut; price-only return vs offer.</t>
      </text>
    </comment>
    <comment ref="AR444" authorId="1" shapeId="0">
      <text>
        <t>Horizon close: 2026-06-26
5/21/63 traded sessions after debut; price-only return vs offer.</t>
      </text>
    </comment>
    <comment ref="AI445" authorId="0" shapeId="0">
      <text>
        <t>Close: HK$60.9
Date: 2026-03-20
Venue: Futu (etnet; venues 60.1-60.9)
Source: etnet:ipo-info 暗盤數據</t>
      </text>
    </comment>
    <comment ref="AK445" authorId="1" shapeId="0">
      <text>
        <t>HSTECH (Hang Seng TECH ETF)
Previous trading close to listing-day close (2026-03-23).
Benchmark return in percent; not the index level or excess return.</t>
      </text>
    </comment>
    <comment ref="AP445" authorId="1" shapeId="0">
      <text>
        <t>Horizon close: 2026-03-30
5/21/63 traded sessions after debut; price-only return vs offer.</t>
      </text>
    </comment>
    <comment ref="AQ445" authorId="1" shapeId="0">
      <text>
        <t>Horizon close: 2026-04-24
5/21/63 traded sessions after debut; price-only return vs offer.</t>
      </text>
    </comment>
    <comment ref="AR445" authorId="1" shapeId="0">
      <text>
        <t>Horizon close: 2026-06-26
5/21/63 traded sessions after debut; price-only return vs offer.</t>
      </text>
    </comment>
    <comment ref="AI446" authorId="0" shapeId="0">
      <text>
        <t>Close: HK$30.52
Date: 2026-03-23
Venue: Futu (etnet; venues 30.42-30.52)
Source: etnet:ipo-info 暗盤數據</t>
      </text>
    </comment>
    <comment ref="AK446" authorId="1" shapeId="0">
      <text>
        <t>HSTECH (Hang Seng TECH ETF)
Previous trading close to listing-day close (2026-03-24).
Benchmark return in percent; not the index level or excess return.</t>
      </text>
    </comment>
    <comment ref="AP446" authorId="1" shapeId="0">
      <text>
        <t>Horizon close: 2026-03-31
5/21/63 traded sessions after debut; price-only return vs offer.</t>
      </text>
    </comment>
    <comment ref="AQ446" authorId="1" shapeId="0">
      <text>
        <t>Horizon close: 2026-04-27
5/21/63 traded sessions after debut; price-only return vs offer.</t>
      </text>
    </comment>
    <comment ref="AR446" authorId="1" shapeId="0">
      <text>
        <t>Horizon close: 2026-06-29
5/21/63 traded sessions after debut; price-only return vs offer.</t>
      </text>
    </comment>
    <comment ref="AI447" authorId="0" shapeId="0">
      <text>
        <t>Close: HK$44.66
Date: 2026-03-23
Venue: Phillip (etnet; venues 44.66-49.8)
Source: etnet:ipo-info 暗盤數據</t>
      </text>
    </comment>
    <comment ref="AK447" authorId="1" shapeId="0">
      <text>
        <t>Hang Seng Commerce &amp; Industry sub-index
Previous trading close to listing-day close (2026-03-24).
Benchmark return in percent; not the index level or excess return.</t>
      </text>
    </comment>
    <comment ref="AP447" authorId="1" shapeId="0">
      <text>
        <t>Horizon close: 2026-03-31
5/21/63 traded sessions after debut; price-only return vs offer.</t>
      </text>
    </comment>
    <comment ref="AQ447" authorId="1" shapeId="0">
      <text>
        <t>Horizon close: 2026-04-27
5/21/63 traded sessions after debut; price-only return vs offer.</t>
      </text>
    </comment>
    <comment ref="AR447" authorId="1" shapeId="0">
      <text>
        <t>Horizon close: 2026-06-29
5/21/63 traded sessions after debut; price-only return vs offer.</t>
      </text>
    </comment>
    <comment ref="AI448" authorId="0" shapeId="0">
      <text>
        <t>Close: HK$105
Date: 2026-03-27
Venue: Futu (etnet; venues 104.7-105.0)
Source: etnet:ipo-info 暗盤數據</t>
      </text>
    </comment>
    <comment ref="AK448" authorId="1" shapeId="0">
      <text>
        <t>HSTECH (Hang Seng TECH ETF)
Previous trading close to listing-day close (2026-03-30).
Benchmark return in percent; not the index level or excess return.</t>
      </text>
    </comment>
    <comment ref="AP448" authorId="1" shapeId="0">
      <text>
        <t>Horizon close: 2026-04-09
5/21/63 traded sessions after debut; price-only return vs offer.</t>
      </text>
    </comment>
    <comment ref="AQ448" authorId="1" shapeId="0">
      <text>
        <t>Horizon close: 2026-05-04
5/21/63 traded sessions after debut; price-only return vs offer.</t>
      </text>
    </comment>
    <comment ref="AR448" authorId="1" shapeId="0">
      <text>
        <t>Horizon close: 2026-07-06
5/21/63 traded sessions after debut; price-only return vs offer.</t>
      </text>
    </comment>
    <comment ref="AI449" authorId="0" shapeId="0">
      <text>
        <t>Close: HK$199.5
Date: 2026-03-27
Venue: Futu (etnet; venues 192.7-199.5)
Source: etnet:ipo-info 暗盤數據</t>
      </text>
    </comment>
    <comment ref="AK449" authorId="1" shapeId="0">
      <text>
        <t>China Biotech ETF (HS biotech proxy)
Previous trading close to listing-day close (2026-03-30).
Benchmark return in percent; not the index level or excess return.</t>
      </text>
    </comment>
    <comment ref="AP449" authorId="1" shapeId="0">
      <text>
        <t>Horizon close: 2026-04-09
5/21/63 traded sessions after debut; price-only return vs offer.</t>
      </text>
    </comment>
    <comment ref="AQ449" authorId="1" shapeId="0">
      <text>
        <t>Horizon close: 2026-05-04
5/21/63 traded sessions after debut; price-only return vs offer.</t>
      </text>
    </comment>
    <comment ref="AR449" authorId="1" shapeId="0">
      <text>
        <t>Horizon close: 2026-07-06
5/21/63 traded sessions after debut; price-only return vs offer.</t>
      </text>
    </comment>
    <comment ref="AI450" authorId="0" shapeId="0">
      <text>
        <t>Close: HK$61.8
Date: 2026-03-27
Venue: Futu (etnet; venues 61.55-62.2)
Source: etnet:ipo-info 暗盤數據</t>
      </text>
    </comment>
    <comment ref="AK450" authorId="1" shapeId="0">
      <text>
        <t>HSTECH (Hang Seng TECH ETF)
Previous trading close to listing-day close (2026-03-30).
Benchmark return in percent; not the index level or excess return.</t>
      </text>
    </comment>
    <comment ref="AP450" authorId="1" shapeId="0">
      <text>
        <t>Horizon close: 2026-04-09
5/21/63 traded sessions after debut; price-only return vs offer.</t>
      </text>
    </comment>
    <comment ref="AQ450" authorId="1" shapeId="0">
      <text>
        <t>Horizon close: 2026-05-04
5/21/63 traded sessions after debut; price-only return vs offer.</t>
      </text>
    </comment>
    <comment ref="AR450" authorId="1" shapeId="0">
      <text>
        <t>Horizon close: 2026-07-06
5/21/63 traded sessions after debut; price-only return vs offer.</t>
      </text>
    </comment>
    <comment ref="AI451" authorId="0" shapeId="0">
      <text>
        <t>Close: HK$18.77
Date: 2026-03-27
Venue: Futu (etnet; venues 17.91-18.77)
Source: etnet:ipo-info 暗盤數據</t>
      </text>
    </comment>
    <comment ref="AK451" authorId="1" shapeId="0">
      <text>
        <t>HSTECH (Hang Seng TECH ETF)
Previous trading close to listing-day close (2026-03-30).
Benchmark return in percent; not the index level or excess return.</t>
      </text>
    </comment>
    <comment ref="AP451" authorId="1" shapeId="0">
      <text>
        <t>Horizon close: 2026-04-09
5/21/63 traded sessions after debut; price-only return vs offer.</t>
      </text>
    </comment>
    <comment ref="AQ451" authorId="1" shapeId="0">
      <text>
        <t>Horizon close: 2026-05-04
5/21/63 traded sessions after debut; price-only return vs offer.</t>
      </text>
    </comment>
    <comment ref="AR451" authorId="1" shapeId="0">
      <text>
        <t>Horizon close: 2026-07-06
5/21/63 traded sessions after debut; price-only return vs offer.</t>
      </text>
    </comment>
    <comment ref="AI452" authorId="0" shapeId="0">
      <text>
        <t>Close: HK$41.96
Date: 2026-03-30
Venue: Futu (etnet; venues 41.96-42.2)
Source: etnet:ipo-info 暗盤數據</t>
      </text>
    </comment>
    <comment ref="AK452" authorId="1" shapeId="0">
      <text>
        <t>Hang Seng Commerce &amp; Industry sub-index
Previous trading close to listing-day close (2026-03-31).
Benchmark return in percent; not the index level or excess return.</t>
      </text>
    </comment>
    <comment ref="AP452" authorId="1" shapeId="0">
      <text>
        <t>Horizon close: 2026-04-10
5/21/63 traded sessions after debut; price-only return vs offer.</t>
      </text>
    </comment>
    <comment ref="AQ452" authorId="1" shapeId="0">
      <text>
        <t>Horizon close: 2026-05-05
5/21/63 traded sessions after debut; price-only return vs offer.</t>
      </text>
    </comment>
    <comment ref="AR452" authorId="1" shapeId="0">
      <text>
        <t>Horizon close: 2026-07-07
5/21/63 traded sessions after debut; price-only return vs offer.</t>
      </text>
    </comment>
    <comment ref="AI453" authorId="0" shapeId="0">
      <text>
        <t>Close: HK$83.5
Date: 2026-03-30
Venue: Futu (etnet; venues 83.5-84.6)
Source: etnet:ipo-info 暗盤數據</t>
      </text>
    </comment>
    <comment ref="AK453" authorId="1" shapeId="0">
      <text>
        <t>HSTECH (Hang Seng TECH ETF)
Previous trading close to listing-day close (2026-03-31).
Benchmark return in percent; not the index level or excess return.</t>
      </text>
    </comment>
    <comment ref="AP453" authorId="1" shapeId="0">
      <text>
        <t>Horizon close: 2026-04-10
5/21/63 traded sessions after debut; price-only return vs offer.</t>
      </text>
    </comment>
    <comment ref="AQ453" authorId="1" shapeId="0">
      <text>
        <t>Horizon close: 2026-05-05
5/21/63 traded sessions after debut; price-only return vs offer.</t>
      </text>
    </comment>
    <comment ref="AR453" authorId="1" shapeId="0">
      <text>
        <t>Horizon close: 2026-07-07
5/21/63 traded sessions after debut; price-only return vs offer.</t>
      </text>
    </comment>
    <comment ref="AI454" authorId="0" shapeId="0">
      <text>
        <t>Close: HK$578
Date: 2026-04-15
Venue: Phillip (etnet; venues 578.0-598.0)
Source: etnet:ipo-info 暗盤數據</t>
      </text>
    </comment>
    <comment ref="AK454" authorId="1" shapeId="0">
      <text>
        <t>Hang Seng Commerce &amp; Industry sub-index
Previous trading close to listing-day close (2026-04-16).
Benchmark return in percent; not the index level or excess return.</t>
      </text>
    </comment>
    <comment ref="AP454" authorId="1" shapeId="0">
      <text>
        <t>Horizon close: 2026-04-23
5/21/63 traded sessions after debut; price-only return vs offer.</t>
      </text>
    </comment>
    <comment ref="AQ454" authorId="1" shapeId="0">
      <text>
        <t>Horizon close: 2026-05-18
5/21/63 traded sessions after debut; price-only return vs offer.</t>
      </text>
    </comment>
    <comment ref="AR454" authorId="1" shapeId="0">
      <text>
        <t>Horizon close: 2026-07-20
5/21/63 traded sessions after debut; price-only return vs offer.</t>
      </text>
    </comment>
    <comment ref="AI455" authorId="0" shapeId="0">
      <text>
        <t>Close: HK$20.52
Date: 2026-04-16
Venue: Futu (etnet; venues 19.5-20.52)
Source: etnet:ipo-info 暗盤數據</t>
      </text>
    </comment>
    <comment ref="AK455" authorId="1" shapeId="0">
      <text>
        <t>HSTECH (Hang Seng TECH ETF)
Previous trading close to listing-day close (2026-04-17).
Benchmark return in percent; not the index level or excess return.</t>
      </text>
    </comment>
    <comment ref="AP455" authorId="1" shapeId="0">
      <text>
        <t>Horizon close: 2026-04-24
5/21/63 traded sessions after debut; price-only return vs offer.</t>
      </text>
    </comment>
    <comment ref="AQ455" authorId="1" shapeId="0">
      <text>
        <t>Horizon close: 2026-05-19
5/21/63 traded sessions after debut; price-only return vs offer.</t>
      </text>
    </comment>
    <comment ref="AR455" authorId="1" shapeId="0">
      <text>
        <t>Horizon close: 2026-07-21
5/21/63 traded sessions after debut; price-only return vs offer.</t>
      </text>
    </comment>
    <comment ref="AI456" authorId="0" shapeId="0">
      <text>
        <t>Close: HK$68.3
Date: 2026-04-16
Venue: Phillip (etnet; venues 68.3-68.6)
Source: etnet:ipo-info 暗盤數據</t>
      </text>
    </comment>
    <comment ref="AK456" authorId="1" shapeId="0">
      <text>
        <t>HSTECH (Hang Seng TECH ETF)
Previous trading close to listing-day close (2026-04-17).
Benchmark return in percent; not the index level or excess return.</t>
      </text>
    </comment>
    <comment ref="AP456" authorId="1" shapeId="0">
      <text>
        <t>Horizon close: 2026-04-24
5/21/63 traded sessions after debut; price-only return vs offer.</t>
      </text>
    </comment>
    <comment ref="AQ456" authorId="1" shapeId="0">
      <text>
        <t>Horizon close: 2026-05-19
5/21/63 traded sessions after debut; price-only return vs offer.</t>
      </text>
    </comment>
    <comment ref="AR456" authorId="1" shapeId="0">
      <text>
        <t>Horizon close: 2026-07-21
5/21/63 traded sessions after debut; price-only return vs offer.</t>
      </text>
    </comment>
    <comment ref="AI457" authorId="0" shapeId="0">
      <text>
        <t>Close: HK$333
Date: 2026-04-20
Venue: Phillip (etnet; venues 333.0-336.2)
Source: etnet:ipo-info 暗盤數據</t>
      </text>
    </comment>
    <comment ref="AK457" authorId="1" shapeId="0">
      <text>
        <t>HSTECH (Hang Seng TECH ETF)
Previous trading close to listing-day close (2026-04-21).
Benchmark return in percent; not the index level or excess return.</t>
      </text>
    </comment>
    <comment ref="AP457" authorId="1" shapeId="0">
      <text>
        <t>Horizon close: 2026-04-28
5/21/63 traded sessions after debut; price-only return vs offer.</t>
      </text>
    </comment>
    <comment ref="AQ457" authorId="1" shapeId="0">
      <text>
        <t>Horizon close: 2026-05-21
5/21/63 traded sessions after debut; price-only return vs offer.</t>
      </text>
    </comment>
    <comment ref="AR457" authorId="1" shapeId="0">
      <text>
        <t>Horizon close: 2026-07-23
5/21/63 traded sessions after debut; price-only return vs offer.</t>
      </text>
    </comment>
    <comment ref="AI458" authorId="0" shapeId="0">
      <text>
        <t>Close: HK$91.15
Date: 2026-04-22
Venue: Futu (etnet; venues 91.15-94.0)
Source: etnet:ipo-info 暗盤數據</t>
      </text>
    </comment>
    <comment ref="AK458" authorId="1" shapeId="0">
      <text>
        <t>HSTECH (Hang Seng TECH ETF)
Previous trading close to listing-day close (2026-04-23).
Benchmark return in percent; not the index level or excess return.</t>
      </text>
    </comment>
    <comment ref="AP458" authorId="1" shapeId="0">
      <text>
        <t>Horizon close: 2026-04-30
5/21/63 traded sessions after debut; price-only return vs offer.</t>
      </text>
    </comment>
    <comment ref="AQ458" authorId="1" shapeId="0">
      <text>
        <t>Horizon close: 2026-05-26
5/21/63 traded sessions after debut; price-only return vs offer.</t>
      </text>
    </comment>
    <comment ref="AR458" authorId="1" shapeId="0">
      <text>
        <t>Horizon close: 2026-07-27
5/21/63 traded sessions after debut; price-only return vs offer.</t>
      </text>
    </comment>
    <comment ref="AI459" authorId="0" shapeId="0">
      <text>
        <t>Close: HK$28.5
Date: 2026-04-27
Venue: Futu (etnet; venues 28.1-28.5)
Source: etnet:ipo-info 暗盤數據</t>
      </text>
    </comment>
    <comment ref="AK459" authorId="1" shapeId="0">
      <text>
        <t>China Biotech ETF (HS biotech proxy)
Previous trading close to listing-day close (2026-04-28).
Benchmark return in percent; not the index level or excess return.</t>
      </text>
    </comment>
    <comment ref="AP459" authorId="1" shapeId="0">
      <text>
        <t>Horizon close: 2026-05-06
5/21/63 traded sessions after debut; price-only return vs offer.</t>
      </text>
    </comment>
    <comment ref="AQ459" authorId="1" shapeId="0">
      <text>
        <t>Horizon close: 2026-05-29
5/21/63 traded sessions after debut; price-only return vs offer.</t>
      </text>
    </comment>
    <comment ref="AR459" authorId="1" shapeId="0">
      <text>
        <t>Horizon close: 2026-07-30
5/21/63 traded sessions after debut; price-only return vs offer.</t>
      </text>
    </comment>
    <comment ref="AI460" authorId="0" shapeId="0">
      <text>
        <t>Close: HK$826
Date: 2026-04-27
Venue: Futu (etnet; venues 818.5-826.5)
Source: etnet:ipo-info 暗盤數據</t>
      </text>
    </comment>
    <comment ref="AK460" authorId="1" shapeId="0">
      <text>
        <t>HSTECH (Hang Seng TECH ETF)
Previous trading close to listing-day close (2026-04-28).
Benchmark return in percent; not the index level or excess return.</t>
      </text>
    </comment>
    <comment ref="AP460" authorId="1" shapeId="0">
      <text>
        <t>Horizon close: 2026-05-06
5/21/63 traded sessions after debut; price-only return vs offer.</t>
      </text>
    </comment>
    <comment ref="AQ460" authorId="1" shapeId="0">
      <text>
        <t>Horizon close: 2026-05-29
5/21/63 traded sessions after debut; price-only return vs offer.</t>
      </text>
    </comment>
    <comment ref="AR460" authorId="1" shapeId="0">
      <text>
        <t>Horizon close: 2026-07-30
5/21/63 traded sessions after debut; price-only return vs offer.</t>
      </text>
    </comment>
    <comment ref="AI461" authorId="0" shapeId="0">
      <text>
        <t>Close: HK$95
Date: 2026-04-28
Venue: Futu (etnet; venues 93.0-95.0)
Source: etnet:ipo-info 暗盤數據</t>
      </text>
    </comment>
    <comment ref="AK461" authorId="1" shapeId="0">
      <text>
        <t>HSTECH (Hang Seng TECH ETF)
Previous trading close to listing-day close (2026-04-29).
Benchmark return in percent; not the index level or excess return.</t>
      </text>
    </comment>
    <comment ref="AP461" authorId="1" shapeId="0">
      <text>
        <t>Horizon close: 2026-05-07
5/21/63 traded sessions after debut; price-only return vs offer.</t>
      </text>
    </comment>
    <comment ref="AQ461" authorId="1" shapeId="0">
      <text>
        <t>Horizon close: 2026-06-01
5/21/63 traded sessions after debut; price-only return vs offer.</t>
      </text>
    </comment>
    <comment ref="AR461" authorId="1" shapeId="0">
      <text>
        <t>Horizon close: 2026-07-31
5/21/63 traded sessions after debut; price-only return vs offer.</t>
      </text>
    </comment>
    <comment ref="AI462" authorId="0" shapeId="0">
      <text>
        <t>Close: HK$309.2
Date: 2026-05-04
Venue: Futu (etnet; venues 290.0-309.2)
Source: etnet:ipo-info 暗盤數據</t>
      </text>
    </comment>
    <comment ref="AK462" authorId="1" shapeId="0">
      <text>
        <t>China Biotech ETF (HS biotech proxy)
Previous trading close to listing-day close (2026-05-05).
Benchmark return in percent; not the index level or excess return.</t>
      </text>
    </comment>
    <comment ref="AP462" authorId="1" shapeId="0">
      <text>
        <t>Horizon close: 2026-05-12
5/21/63 traded sessions after debut; price-only return vs offer.</t>
      </text>
    </comment>
    <comment ref="AQ462" authorId="1" shapeId="0">
      <text>
        <t>Horizon close: 2026-06-04
5/21/63 traded sessions after debut; price-only return vs offer.</t>
      </text>
    </comment>
    <comment ref="AR462" authorId="1" shapeId="0">
      <text>
        <t>Horizon close: 2026-08-05
5/21/63 traded sessions after debut; price-only return vs offer.</t>
      </text>
    </comment>
    <comment ref="AI463" authorId="0" shapeId="0">
      <text>
        <t>Close: HK$40.2
Date: 2026-05-05
Venue: Futu (etnet; venues 39.74-40.2)
Source: etnet:ipo-info 暗盤數據</t>
      </text>
    </comment>
    <comment ref="AK463" authorId="1" shapeId="0">
      <text>
        <t>China Biotech ETF (HS biotech proxy)
Previous trading close to listing-day close (2026-05-06).
Benchmark return in percent; not the index level or excess return.</t>
      </text>
    </comment>
    <comment ref="AP463" authorId="1" shapeId="0">
      <text>
        <t>Horizon close: 2026-05-13
5/21/63 traded sessions after debut; price-only return vs offer.</t>
      </text>
    </comment>
    <comment ref="AQ463" authorId="1" shapeId="0">
      <text>
        <t>Horizon close: 2026-06-05
5/21/63 traded sessions after debut; price-only return vs offer.</t>
      </text>
    </comment>
    <comment ref="AR463" authorId="1" shapeId="0">
      <text>
        <t>Horizon close: 2026-08-06
5/21/63 traded sessions after debut; price-only return vs offer.</t>
      </text>
    </comment>
    <comment ref="AI464" authorId="0" shapeId="0">
      <text>
        <t>Close: HK$49.8
Date: 2026-05-08
Venue: Phillip (etnet; venues 49.8-65.5)
Source: etnet:ipo-info 暗盤數據</t>
      </text>
    </comment>
    <comment ref="AK464" authorId="1" shapeId="0">
      <text>
        <t>HSTECH (Hang Seng TECH ETF)
Previous trading close to listing-day close (2026-05-11).
Benchmark return in percent; not the index level or excess return.</t>
      </text>
    </comment>
    <comment ref="AP464" authorId="1" shapeId="0">
      <text>
        <t>Horizon close: 2026-05-18
5/21/63 traded sessions after debut; price-only return vs offer.</t>
      </text>
    </comment>
    <comment ref="AQ464" authorId="1" shapeId="0">
      <text>
        <t>Horizon close: 2026-06-10
5/21/63 traded sessions after debut; price-only return vs offer.</t>
      </text>
    </comment>
    <comment ref="AR464" authorId="1" shapeId="0">
      <text>
        <t>Horizon close: 2026-08-11
5/21/63 traded sessions after debut; price-only return vs offer.</t>
      </text>
    </comment>
    <comment ref="AI465" authorId="0" shapeId="0">
      <text>
        <t>Close: HK$32.16
Date: 2026-05-12
Venue: Futu (etnet; venues 32.16-32.3)
Source: etnet:ipo-info 暗盤數據</t>
      </text>
    </comment>
    <comment ref="AK465" authorId="1" shapeId="0">
      <text>
        <t>China Biotech ETF (HS biotech proxy)
Previous trading close to listing-day close (2026-05-13).
Benchmark return in percent; not the index level or excess return.</t>
      </text>
    </comment>
    <comment ref="AP465" authorId="1" shapeId="0">
      <text>
        <t>Horizon close: 2026-05-20
5/21/63 traded sessions after debut; price-only return vs offer.</t>
      </text>
    </comment>
    <comment ref="AQ465" authorId="1" shapeId="0">
      <text>
        <t>Horizon close: 2026-06-12
5/21/63 traded sessions after debut; price-only return vs offer.</t>
      </text>
    </comment>
    <comment ref="AR465" authorId="1" shapeId="0">
      <text>
        <t>Horizon close: 2026-08-13
5/21/63 traded sessions after debut; price-only return vs offer.</t>
      </text>
    </comment>
    <comment ref="AI466" authorId="0" shapeId="0">
      <text>
        <t>Close: HK$29.4
Date: 2026-05-12
Venue: Futu (etnet; venues 29.4-30.32)
Source: etnet:ipo-info 暗盤數據</t>
      </text>
    </comment>
    <comment ref="AK466" authorId="1" shapeId="0">
      <text>
        <t>China Biotech ETF (HS biotech proxy)
Previous trading close to listing-day close (2026-05-13).
Benchmark return in percent; not the index level or excess return.</t>
      </text>
    </comment>
    <comment ref="AP466" authorId="1" shapeId="0">
      <text>
        <t>Horizon close: 2026-05-20
5/21/63 traded sessions after debut; price-only return vs offer.</t>
      </text>
    </comment>
    <comment ref="AQ466" authorId="1" shapeId="0">
      <text>
        <t>Horizon close: 2026-06-12
5/21/63 traded sessions after debut; price-only return vs offer.</t>
      </text>
    </comment>
    <comment ref="AR466" authorId="1" shapeId="0">
      <text>
        <t>Horizon close: 2026-08-13
5/21/63 traded sessions after debut; price-only return vs offer.</t>
      </text>
    </comment>
    <comment ref="AI467" authorId="0" shapeId="0">
      <text>
        <t>Close: HK$54.65
Date: 2026-05-15
Venue: Futu (etnet; venues 53.55-54.65)
Source: etnet:ipo-info 暗盤數據</t>
      </text>
    </comment>
    <comment ref="AK467" authorId="1" shapeId="0">
      <text>
        <t>HSTECH (Hang Seng TECH ETF)
Previous trading close to listing-day close (2026-05-18).
Benchmark return in percent; not the index level or excess return.</t>
      </text>
    </comment>
    <comment ref="AP467" authorId="1" shapeId="0">
      <text>
        <t>Horizon close: 2026-05-26
5/21/63 traded sessions after debut; price-only return vs offer.</t>
      </text>
    </comment>
    <comment ref="AQ467" authorId="1" shapeId="0">
      <text>
        <t>Horizon close: 2026-06-17
5/21/63 traded sessions after debut; price-only return vs offer.</t>
      </text>
    </comment>
    <comment ref="AR467" authorId="1" shapeId="0">
      <text>
        <t>Horizon close: 2026-08-18
5/21/63 traded sessions after debut; price-only return vs offer.</t>
      </text>
    </comment>
    <comment ref="AI468" authorId="0" shapeId="0">
      <text>
        <t>Close: HK$59.55
Date: 2026-05-19
Venue: Futu (etnet; venues 59.3-60.35)
Source: etnet:ipo-info 暗盤數據</t>
      </text>
    </comment>
    <comment ref="AK468" authorId="1" shapeId="0">
      <text>
        <t>HSTECH (Hang Seng TECH ETF)
Previous trading close to listing-day close (2026-05-20).
Benchmark return in percent; not the index level or excess return.</t>
      </text>
    </comment>
    <comment ref="AP468" authorId="1" shapeId="0">
      <text>
        <t>Horizon close: 2026-05-28
5/21/63 traded sessions after debut; price-only return vs offer.</t>
      </text>
    </comment>
    <comment ref="AQ468" authorId="1" shapeId="0">
      <text>
        <t>Horizon close: 2026-06-22
5/21/63 traded sessions after debut; price-only return vs offer.</t>
      </text>
    </comment>
    <comment ref="AR468" authorId="1" shapeId="0">
      <text>
        <t>Horizon close: 2026-08-20
5/21/63 traded sessions after debut; price-only return vs offer.</t>
      </text>
    </comment>
    <comment ref="AI469" authorId="0" shapeId="0">
      <text>
        <t>Close: HK$39
Date: 2026-05-19
Venue: Phillip (etnet; venues 38.8-39.78)
Source: etnet:ipo-info 暗盤數據</t>
      </text>
    </comment>
    <comment ref="AK469" authorId="1" shapeId="0">
      <text>
        <t>Hang Seng Commerce &amp; Industry sub-index
Previous trading close to listing-day close (2026-05-20).
Benchmark return in percent; not the index level or excess return.</t>
      </text>
    </comment>
    <comment ref="AP469" authorId="1" shapeId="0">
      <text>
        <t>Horizon close: 2026-05-28
5/21/63 traded sessions after debut; price-only return vs offer.</t>
      </text>
    </comment>
    <comment ref="AQ469" authorId="1" shapeId="0">
      <text>
        <t>Horizon close: 2026-06-22
5/21/63 traded sessions after debut; price-only return vs offer.</t>
      </text>
    </comment>
    <comment ref="AR469" authorId="1" shapeId="0">
      <text>
        <t>Horizon close: 2026-08-20
5/21/63 traded sessions after debut; price-only return vs offer.</t>
      </text>
    </comment>
    <comment ref="AI470" authorId="0" shapeId="0">
      <text>
        <t>Close: HK$147.5
Date: 2026-05-21
Venue: Futu (etnet; venues 145.6-147.5)
Source: etnet:ipo-info 暗盤數據</t>
      </text>
    </comment>
    <comment ref="AK470" authorId="1" shapeId="0">
      <text>
        <t>China Biotech ETF (HS biotech proxy)
Previous trading close to listing-day close (2026-05-22).
Benchmark return in percent; not the index level or excess return.</t>
      </text>
    </comment>
    <comment ref="AP470" authorId="1" shapeId="0">
      <text>
        <t>Horizon close: 2026-06-01
5/21/63 traded sessions after debut; price-only return vs offer.</t>
      </text>
    </comment>
    <comment ref="AQ470" authorId="1" shapeId="0">
      <text>
        <t>Horizon close: 2026-06-24
5/21/63 traded sessions after debut; price-only return vs offer.</t>
      </text>
    </comment>
    <comment ref="AR470" authorId="1" shapeId="0">
      <text>
        <t>Horizon close: 2026-08-24
5/21/63 traded sessions after debut; price-only return vs offer.</t>
      </text>
    </comment>
    <comment ref="AI471" authorId="0" shapeId="0">
      <text>
        <t>Close: HK$25.14
Date: 2026-05-26
Venue: Futu (etnet; venues 25.08-25.36)
Source: etnet:ipo-info 暗盤數據</t>
      </text>
    </comment>
    <comment ref="AK471" authorId="1" shapeId="0">
      <text>
        <t>HSTECH (Hang Seng TECH ETF)
Previous trading close to listing-day close (2026-05-27).
Benchmark return in percent; not the index level or excess return.</t>
      </text>
    </comment>
    <comment ref="AP471" authorId="1" shapeId="0">
      <text>
        <t>Horizon close: 2026-06-03
5/21/63 traded sessions after debut; price-only return vs offer.</t>
      </text>
    </comment>
    <comment ref="AQ471" authorId="1" shapeId="0">
      <text>
        <t>Horizon close: 2026-06-26
5/21/63 traded sessions after debut; price-only return vs offer.</t>
      </text>
    </comment>
    <comment ref="AR471" authorId="1" shapeId="0">
      <text>
        <t>Horizon close: 2026-08-26
5/21/63 traded sessions after debut; price-only return vs offer.</t>
      </text>
    </comment>
    <comment ref="AI472" authorId="0" shapeId="0">
      <text>
        <t>Close: HK$149
Date: 2026-05-26
Venue: Futu (etnet; venues 148.6-149.0)
Source: etnet:ipo-info 暗盤數據</t>
      </text>
    </comment>
    <comment ref="AK472" authorId="1" shapeId="0">
      <text>
        <t>HSTECH (Hang Seng TECH ETF)
Previous trading close to listing-day close (2026-05-27).
Benchmark return in percent; not the index level or excess return.</t>
      </text>
    </comment>
    <comment ref="AP472" authorId="1" shapeId="0">
      <text>
        <t>Horizon close: 2026-06-03
5/21/63 traded sessions after debut; price-only return vs offer.</t>
      </text>
    </comment>
    <comment ref="AQ472" authorId="1" shapeId="0">
      <text>
        <t>Horizon close: 2026-06-26
5/21/63 traded sessions after debut; price-only return vs offer.</t>
      </text>
    </comment>
    <comment ref="AR472" authorId="1" shapeId="0">
      <text>
        <t>Horizon close: 2026-08-26
5/21/63 traded sessions after debut; price-only return vs offer.</t>
      </text>
    </comment>
    <comment ref="AI473" authorId="0" shapeId="0">
      <text>
        <t>Close: HK$63.5
Date: 2026-05-26
Venue: Futu (etnet; venues 63.2-63.5)
Source: etnet:ipo-info 暗盤數據</t>
      </text>
    </comment>
    <comment ref="AK473" authorId="1" shapeId="0">
      <text>
        <t>HSTECH (Hang Seng TECH ETF)
Previous trading close to listing-day close (2026-05-27).
Benchmark return in percent; not the index level or excess return.</t>
      </text>
    </comment>
    <comment ref="AP473" authorId="1" shapeId="0">
      <text>
        <t>Horizon close: 2026-06-03
5/21/63 traded sessions after debut; price-only return vs offer.</t>
      </text>
    </comment>
    <comment ref="AQ473" authorId="1" shapeId="0">
      <text>
        <t>Horizon close: 2026-06-26
5/21/63 traded sessions after debut; price-only return vs offer.</t>
      </text>
    </comment>
    <comment ref="AR473" authorId="1" shapeId="0">
      <text>
        <t>Horizon close: 2026-08-26
5/21/63 traded sessions after debut; price-only return vs offer.</t>
      </text>
    </comment>
    <comment ref="AI474" authorId="0" shapeId="0">
      <text>
        <t>Close: HK$32.08
Date: 2026-05-28
Venue: Futu (etnet; venues 30.2-32.08)
Source: etnet:ipo-info 暗盤數據</t>
      </text>
    </comment>
    <comment ref="AK474" authorId="1" shapeId="0">
      <text>
        <t>HSTECH (Hang Seng TECH ETF)
Previous trading close to listing-day close (2026-05-29).
Benchmark return in percent; not the index level or excess return.</t>
      </text>
    </comment>
    <comment ref="AP474" authorId="1" shapeId="0">
      <text>
        <t>Horizon close: 2026-06-05
5/21/63 traded sessions after debut; price-only return vs offer.</t>
      </text>
    </comment>
    <comment ref="AQ474" authorId="1" shapeId="0">
      <text>
        <t>Horizon close: 2026-06-30
5/21/63 traded sessions after debut; price-only return vs offer.</t>
      </text>
    </comment>
    <comment ref="AR474" authorId="1" shapeId="0">
      <text>
        <t>Horizon close: 2026-08-28
5/21/63 traded sessions after debut; price-only return vs offer.</t>
      </text>
    </comment>
    <comment ref="AI475" authorId="0" shapeId="0">
      <text>
        <t>Close: HK$36
Date: 2026-06-02
Venue: Futu (etnet; venues 30.3-36.0)
Source: etnet:ipo-info 暗盤數據</t>
      </text>
    </comment>
    <comment ref="AK475" authorId="1" shapeId="0">
      <text>
        <t>Hang Seng Commerce &amp; Industry sub-index
Previous trading close to listing-day close (2026-06-03).
Benchmark return in percent; not the index level or excess return.</t>
      </text>
    </comment>
    <comment ref="AP475" authorId="1" shapeId="0">
      <text>
        <t>Horizon close: 2026-06-10
5/21/63 traded sessions after debut; price-only return vs offer.</t>
      </text>
    </comment>
    <comment ref="AQ475" authorId="1" shapeId="0">
      <text>
        <t>Horizon close: 2026-07-06
5/21/63 traded sessions after debut; price-only return vs offer.</t>
      </text>
    </comment>
    <comment ref="AR475" authorId="1" shapeId="0">
      <text>
        <t>Horizon close: 2026-09-02
5/21/63 traded sessions after debut; price-only return vs offer.</t>
      </text>
    </comment>
    <comment ref="AI476" authorId="0" shapeId="0">
      <text>
        <t>Close: HK$5.1
Date: 2026-06-04
Venue: Phillip (etnet; venues 5.1-5.26)
Source: etnet:ipo-info 暗盤數據</t>
      </text>
    </comment>
    <comment ref="AK476" authorId="1" shapeId="0">
      <text>
        <t>Hang Seng Commerce &amp; Industry sub-index
Previous trading close to listing-day close (2026-06-05).
Benchmark return in percent; not the index level or excess return.</t>
      </text>
    </comment>
    <comment ref="AP476" authorId="1" shapeId="0">
      <text>
        <t>Horizon close: 2026-06-12
5/21/63 traded sessions after debut; price-only return vs offer.</t>
      </text>
    </comment>
    <comment ref="AQ476" authorId="1" shapeId="0">
      <text>
        <t>Horizon close: 2026-07-08
5/21/63 traded sessions after debut; price-only return vs offer.</t>
      </text>
    </comment>
    <comment ref="AR476" authorId="1" shapeId="0">
      <text>
        <t>Horizon close: 2026-09-04
5/21/63 traded sessions after debut; price-only return vs offer.</t>
      </text>
    </comment>
    <comment ref="AI477" authorId="0" shapeId="0">
      <text>
        <t>Close: HK$63.1
Date: 2026-06-04
Venue: Futu (etnet; venues 63.1-63.4)
Source: etnet:ipo-info 暗盤數據</t>
      </text>
    </comment>
    <comment ref="AK477" authorId="1" shapeId="0">
      <text>
        <t>Hang Seng Commerce &amp; Industry sub-index
Previous trading close to listing-day close (2026-06-05).
Benchmark return in percent; not the index level or excess return.</t>
      </text>
    </comment>
    <comment ref="AP477" authorId="1" shapeId="0">
      <text>
        <t>Horizon close: 2026-06-12
5/21/63 traded sessions after debut; price-only return vs offer.</t>
      </text>
    </comment>
    <comment ref="AQ477" authorId="1" shapeId="0">
      <text>
        <t>Horizon close: 2026-07-08
5/21/63 traded sessions after debut; price-only return vs offer.</t>
      </text>
    </comment>
    <comment ref="AR477" authorId="1" shapeId="0">
      <text>
        <t>Horizon close: 2026-09-04
5/21/63 traded sessions after debut; price-only return vs offer.</t>
      </text>
    </comment>
    <comment ref="AI478" authorId="0" shapeId="0">
      <text>
        <t>Close: HK$150.9
Date: 2026-06-04
Venue: Futu (etnet; venues 149.8-151.0)
Source: etnet:ipo-info 暗盤數據</t>
      </text>
    </comment>
    <comment ref="AK478" authorId="1" shapeId="0">
      <text>
        <t>China Biotech ETF (HS biotech proxy)
Previous trading close to listing-day close (2026-06-05).
Benchmark return in percent; not the index level or excess return.</t>
      </text>
    </comment>
    <comment ref="AP478" authorId="1" shapeId="0">
      <text>
        <t>Horizon close: 2026-06-12
5/21/63 traded sessions after debut; price-only return vs offer.</t>
      </text>
    </comment>
    <comment ref="AQ478" authorId="1" shapeId="0">
      <text>
        <t>Horizon close: 2026-07-08
5/21/63 traded sessions after debut; price-only return vs offer.</t>
      </text>
    </comment>
    <comment ref="AR478" authorId="1" shapeId="0">
      <text>
        <t>Horizon close: 2026-09-04
5/21/63 traded sessions after debut; price-only return vs offer.</t>
      </text>
    </comment>
    <comment ref="AI479" authorId="0" shapeId="0">
      <text>
        <t>Close: HK$99.25
Date: 2026-06-12
Venue: Futu (etnet; venues 98.1-100.0)
Source: etnet:ipo-info 暗盤數據</t>
      </text>
    </comment>
    <comment ref="AK479" authorId="1" shapeId="0">
      <text>
        <t>Hang Seng Commerce &amp; Industry sub-index
Previous trading close to listing-day close (2026-06-15).
Benchmark return in percent; not the index level or excess return.</t>
      </text>
    </comment>
    <comment ref="AP479" authorId="1" shapeId="0">
      <text>
        <t>Horizon close: 2026-06-23
5/21/63 traded sessions after debut; price-only return vs offer.</t>
      </text>
    </comment>
    <comment ref="AQ479" authorId="1" shapeId="0">
      <text>
        <t>Horizon close: 2026-07-16
5/21/63 traded sessions after debut; price-only return vs offer.</t>
      </text>
    </comment>
    <comment ref="AR479" authorId="1" shapeId="0">
      <text>
        <t>Horizon close: 2026-09-14
5/21/63 traded sessions after debut; price-only return vs offer.</t>
      </text>
    </comment>
    <comment ref="AI480" authorId="0" shapeId="0">
      <text>
        <t>Close: HK$31.4
Date: 2026-06-16
Venue: Futu (etnet; venues 31.4-31.58)
Source: etnet:ipo-info 暗盤數據</t>
      </text>
    </comment>
    <comment ref="AK480" authorId="1" shapeId="0">
      <text>
        <t>HSTECH (Hang Seng TECH ETF)
Previous trading close to listing-day close (2026-06-17).
Benchmark return in percent; not the index level or excess return.</t>
      </text>
    </comment>
    <comment ref="AP480" authorId="1" shapeId="0">
      <text>
        <t>Horizon close: 2026-06-25
5/21/63 traded sessions after debut; price-only return vs offer.</t>
      </text>
    </comment>
    <comment ref="AQ480" authorId="1" shapeId="0">
      <text>
        <t>Horizon close: 2026-07-20
5/21/63 traded sessions after debut; price-only return vs offer.</t>
      </text>
    </comment>
    <comment ref="AR480" authorId="1" shapeId="0">
      <text>
        <t>Horizon close: 2026-09-16
5/21/63 traded sessions after debut; price-only return vs offer.</t>
      </text>
    </comment>
    <comment ref="AI481" authorId="0" shapeId="0">
      <text>
        <t>Close: HK$26.2
Date: 2026-06-18
Venue: Futu (etnet; venues 26.08-26.2)
Source: etnet:ipo-info 暗盤數據</t>
      </text>
    </comment>
    <comment ref="AK481" authorId="1" shapeId="0">
      <text>
        <t>HSTECH (Hang Seng TECH ETF)
Previous trading close to listing-day close (2026-06-22).
Benchmark return in percent; not the index level or excess return.</t>
      </text>
    </comment>
    <comment ref="AP481" authorId="1" shapeId="0">
      <text>
        <t>Horizon close: 2026-06-29
5/21/63 traded sessions after debut; price-only return vs offer.</t>
      </text>
    </comment>
    <comment ref="AQ481" authorId="1" shapeId="0">
      <text>
        <t>Horizon close: 2026-07-22
5/21/63 traded sessions after debut; price-only return vs offer.</t>
      </text>
    </comment>
    <comment ref="AR481" authorId="1" shapeId="0">
      <text>
        <t>Horizon close: 2026-09-18
5/21/63 traded sessions after debut; price-only return vs offer.</t>
      </text>
    </comment>
    <comment ref="AI482" authorId="0" shapeId="0">
      <text>
        <t>Close: HK$81.8
Date: 2026-06-22
Venue: Phillip (etnet; venues 78.0-81.8)
Source: etnet:ipo-info 暗盤數據</t>
      </text>
    </comment>
    <comment ref="AK482" authorId="1" shapeId="0">
      <text>
        <t>China Biotech ETF (HS biotech proxy)
Previous trading close to listing-day close (2026-06-23).
Benchmark return in percent; not the index level or excess return.</t>
      </text>
    </comment>
    <comment ref="AP482" authorId="1" shapeId="0">
      <text>
        <t>Horizon close: 2026-06-30
5/21/63 traded sessions after debut; price-only return vs offer.</t>
      </text>
    </comment>
    <comment ref="AQ482" authorId="1" shapeId="0">
      <text>
        <t>Horizon close: 2026-07-23
5/21/63 traded sessions after debut; price-only return vs offer.</t>
      </text>
    </comment>
    <comment ref="AR482" authorId="1" shapeId="0">
      <text>
        <t>Horizon close: 2026-09-21
5/21/63 traded sessions after debut; price-only return vs offer.</t>
      </text>
    </comment>
    <comment ref="AI483" authorId="0" shapeId="0">
      <text>
        <t>Close: HK$12.64
Date: 2026-06-22
Venue: Futu (etnet; venues 12.6-12.68)
Source: etnet:ipo-info 暗盤數據</t>
      </text>
    </comment>
    <comment ref="AK483" authorId="1" shapeId="0">
      <text>
        <t>Hang Seng Commerce &amp; Industry sub-index
Previous trading close to listing-day close (2026-06-23).
Benchmark return in percent; not the index level or excess return.</t>
      </text>
    </comment>
    <comment ref="AP483" authorId="1" shapeId="0">
      <text>
        <t>Horizon close: 2026-06-30
5/21/63 traded sessions after debut; price-only return vs offer.</t>
      </text>
    </comment>
    <comment ref="AQ483" authorId="1" shapeId="0">
      <text>
        <t>Horizon close: 2026-07-23
5/21/63 traded sessions after debut; price-only return vs offer.</t>
      </text>
    </comment>
    <comment ref="AR483" authorId="1" shapeId="0">
      <text>
        <t>Horizon close: 2026-09-21
5/21/63 traded sessions after debut; price-only return vs offer.</t>
      </text>
    </comment>
    <comment ref="AI484" authorId="0" shapeId="0">
      <text>
        <t>Close: HK$35.5
Date: 2026-06-23
Venue: Futu (etnet; venues 35.5-35.6)
Source: etnet:ipo-info 暗盤數據</t>
      </text>
    </comment>
    <comment ref="AK484" authorId="1" shapeId="0">
      <text>
        <t>China Biotech ETF (HS biotech proxy)
Previous trading close to listing-day close (2026-06-24).
Benchmark return in percent; not the index level or excess return.</t>
      </text>
    </comment>
    <comment ref="AP484" authorId="1" shapeId="0">
      <text>
        <t>Horizon close: 2026-07-02
5/21/63 traded sessions after debut; price-only return vs offer.</t>
      </text>
    </comment>
    <comment ref="AQ484" authorId="1" shapeId="0">
      <text>
        <t>Horizon close: 2026-07-24
5/21/63 traded sessions after debut; price-only return vs offer.</t>
      </text>
    </comment>
    <comment ref="AR484" authorId="1" shapeId="0">
      <text>
        <t>Horizon close: 2026-09-22
5/21/63 traded sessions after debut; price-only return vs offer.</t>
      </text>
    </comment>
    <comment ref="AI485" authorId="0" shapeId="0">
      <text>
        <t>Close: HK$94.2
Date: 2026-06-23
Venue: Futu (etnet; venues 94.2-95.1)
Source: etnet:ipo-info 暗盤數據</t>
      </text>
    </comment>
    <comment ref="AK485" authorId="1" shapeId="0">
      <text>
        <t>HSTECH (Hang Seng TECH ETF)
Previous trading close to listing-day close (2026-06-24).
Benchmark return in percent; not the index level or excess return.</t>
      </text>
    </comment>
    <comment ref="AP485" authorId="1" shapeId="0">
      <text>
        <t>Horizon close: 2026-07-02
5/21/63 traded sessions after debut; price-only return vs offer.</t>
      </text>
    </comment>
    <comment ref="AQ485" authorId="1" shapeId="0">
      <text>
        <t>Horizon close: 2026-07-24
5/21/63 traded sessions after debut; price-only return vs offer.</t>
      </text>
    </comment>
    <comment ref="AR485" authorId="1" shapeId="0">
      <text>
        <t>Horizon close: 2026-09-22
5/21/63 traded sessions after debut; price-only return vs offer.</t>
      </text>
    </comment>
    <comment ref="AI486" authorId="0" shapeId="0">
      <text>
        <t>Close: HK$119.9
Date: 2026-06-25
Venue: Futu (etnet; venues 118.0-119.9)
Source: etnet:ipo-info 暗盤數據</t>
      </text>
    </comment>
    <comment ref="AK486" authorId="1" shapeId="0">
      <text>
        <t>HSTECH (Hang Seng TECH ETF)
Previous trading close to listing-day close (2026-06-26).
Benchmark return in percent; not the index level or excess return.</t>
      </text>
    </comment>
    <comment ref="AP486" authorId="1" shapeId="0">
      <text>
        <t>Horizon close: 2026-07-06
5/21/63 traded sessions after debut; price-only return vs offer.</t>
      </text>
    </comment>
    <comment ref="AQ486" authorId="1" shapeId="0">
      <text>
        <t>Horizon close: 2026-07-28
5/21/63 traded sessions after debut; price-only return vs offer.</t>
      </text>
    </comment>
    <comment ref="AR486" authorId="1" shapeId="0">
      <text>
        <t>Horizon close: 2026-09-24
5/21/63 traded sessions after debut; price-only return vs offer.</t>
      </text>
    </comment>
    <comment ref="AI487" authorId="0" shapeId="0">
      <text>
        <t>Close: HK$115.4
Date: 2026-06-25
Venue: Futu (etnet; venues 115.4-118.1)
Source: etnet:ipo-info 暗盤數據</t>
      </text>
    </comment>
    <comment ref="AK487" authorId="1" shapeId="0">
      <text>
        <t>HSTECH (Hang Seng TECH ETF)
Previous trading close to listing-day close (2026-06-26).
Benchmark return in percent; not the index level or excess return.</t>
      </text>
    </comment>
    <comment ref="AP487" authorId="1" shapeId="0">
      <text>
        <t>Horizon close: 2026-07-06
5/21/63 traded sessions after debut; price-only return vs offer.</t>
      </text>
    </comment>
    <comment ref="AQ487" authorId="1" shapeId="0">
      <text>
        <t>Horizon close: 2026-07-28
5/21/63 traded sessions after debut; price-only return vs offer.</t>
      </text>
    </comment>
    <comment ref="AR487" authorId="1" shapeId="0">
      <text>
        <t>Horizon close: 2026-09-24
5/21/63 traded sessions after debut; price-only return vs offer.</t>
      </text>
    </comment>
    <comment ref="AI488" authorId="0" shapeId="0">
      <text>
        <t>Close: HK$111
Date: 2026-06-25
Venue: Phillip (etnet; venues 105.7-111.0)
Source: etnet:ipo-info 暗盤數據</t>
      </text>
    </comment>
    <comment ref="AK488" authorId="1" shapeId="0">
      <text>
        <t>HSTECH (Hang Seng TECH ETF)
Previous trading close to listing-day close (2026-06-26).
Benchmark return in percent; not the index level or excess return.</t>
      </text>
    </comment>
    <comment ref="AP488" authorId="1" shapeId="0">
      <text>
        <t>Horizon close: 2026-07-06
5/21/63 traded sessions after debut; price-only return vs offer.</t>
      </text>
    </comment>
    <comment ref="AQ488" authorId="1" shapeId="0">
      <text>
        <t>Horizon close: 2026-07-28
5/21/63 traded sessions after debut; price-only return vs offer.</t>
      </text>
    </comment>
    <comment ref="AR488" authorId="1" shapeId="0">
      <text>
        <t>Horizon close: 2026-09-24
5/21/63 traded sessions after debut; price-only return vs offer.</t>
      </text>
    </comment>
    <comment ref="AI489" authorId="0" shapeId="0">
      <text>
        <t>Close: HK$12.35
Date: 2026-06-25
Venue: Futu (etnet; venues 12.17-12.35)
Source: etnet:ipo-info 暗盤數據</t>
      </text>
    </comment>
    <comment ref="AK489" authorId="1" shapeId="0">
      <text>
        <t>HSTECH (Hang Seng TECH ETF)
Previous trading close to listing-day close (2026-06-26).
Benchmark return in percent; not the index level or excess return.</t>
      </text>
    </comment>
    <comment ref="AP489" authorId="1" shapeId="0">
      <text>
        <t>Horizon close: 2026-07-06
5/21/63 traded sessions after debut; price-only return vs offer.</t>
      </text>
    </comment>
    <comment ref="AQ489" authorId="1" shapeId="0">
      <text>
        <t>Horizon close: 2026-07-28
5/21/63 traded sessions after debut; price-only return vs offer.</t>
      </text>
    </comment>
    <comment ref="AR489" authorId="1" shapeId="0">
      <text>
        <t>Horizon close: 2026-09-24
5/21/63 traded sessions after debut; price-only return vs offer.</t>
      </text>
    </comment>
    <comment ref="AI490" authorId="0" shapeId="0">
      <text>
        <t>Close: HK$445.2
Date: 2026-06-25
Venue: Futu (etnet; venues 437.2-445.2)
Source: etnet:ipo-info 暗盤數據</t>
      </text>
    </comment>
    <comment ref="AK490" authorId="1" shapeId="0">
      <text>
        <t>HSTECH (Hang Seng TECH ETF)
Previous trading close to listing-day close (2026-06-26).
Benchmark return in percent; not the index level or excess return.</t>
      </text>
    </comment>
    <comment ref="AP490" authorId="1" shapeId="0">
      <text>
        <t>Horizon close: 2026-07-06
5/21/63 traded sessions after debut; price-only return vs offer.</t>
      </text>
    </comment>
    <comment ref="AQ490" authorId="1" shapeId="0">
      <text>
        <t>Horizon close: 2026-07-28
5/21/63 traded sessions after debut; price-only return vs offer.</t>
      </text>
    </comment>
    <comment ref="AR490" authorId="1" shapeId="0">
      <text>
        <t>Horizon close: 2026-09-24
5/21/63 traded sessions after debut; price-only return vs offer.</t>
      </text>
    </comment>
    <comment ref="AI491" authorId="0" shapeId="0">
      <text>
        <t>Close: HK$26.6
Date: 2026-06-25
Venue: Futu (etnet; venues 25.18-26.6)
Source: etnet:ipo-info 暗盤數據</t>
      </text>
    </comment>
    <comment ref="AK491" authorId="1" shapeId="0">
      <text>
        <t>Hang Seng Commerce &amp; Industry sub-index
Previous trading close to listing-day close (2026-06-26).
Benchmark return in percent; not the index level or excess return.</t>
      </text>
    </comment>
    <comment ref="AP491" authorId="1" shapeId="0">
      <text>
        <t>Horizon close: 2026-07-06
5/21/63 traded sessions after debut; price-only return vs offer.</t>
      </text>
    </comment>
    <comment ref="AQ491" authorId="1" shapeId="0">
      <text>
        <t>Horizon close: 2026-07-28
5/21/63 traded sessions after debut; price-only return vs offer.</t>
      </text>
    </comment>
    <comment ref="AR491" authorId="1" shapeId="0">
      <text>
        <t>Horizon close: 2026-09-24
5/21/63 traded sessions after debut; price-only return vs offer.</t>
      </text>
    </comment>
    <comment ref="AI492" authorId="0" shapeId="0">
      <text>
        <t>Close: HK$58.1
Date: 2026-06-26
Venue: Futu (etnet; venues 58.1-59.7)
Source: etnet:ipo-info 暗盤數據</t>
      </text>
    </comment>
    <comment ref="AK492" authorId="1" shapeId="0">
      <text>
        <t>Hang Seng Finance sub-index
Previous trading close to listing-day close (2026-06-29).
Benchmark return in percent; not the index level or excess return.</t>
      </text>
    </comment>
    <comment ref="AP492" authorId="1" shapeId="0">
      <text>
        <t>Horizon close: 2026-07-07
5/21/63 traded sessions after debut; price-only return vs offer.</t>
      </text>
    </comment>
    <comment ref="AQ492" authorId="1" shapeId="0">
      <text>
        <t>Horizon close: 2026-07-29
5/21/63 traded sessions after debut; price-only return vs offer.</t>
      </text>
    </comment>
    <comment ref="AR492" authorId="1" shapeId="0">
      <text>
        <t>Horizon close: 2026-09-25
5/21/63 traded sessions after debut; price-only return vs offer.</t>
      </text>
    </comment>
    <comment ref="AI493" authorId="0" shapeId="0">
      <text>
        <t>Close: HK$213
Date: 2026-06-26
Venue: Futu (etnet; venues 204.6-213.0)
Source: etnet:ipo-info 暗盤數據</t>
      </text>
    </comment>
    <comment ref="AK493" authorId="1" shapeId="0">
      <text>
        <t>HSTECH (Hang Seng TECH ETF)
Previous trading close to listing-day close (2026-06-29).
Benchmark return in percent; not the index level or excess return.</t>
      </text>
    </comment>
    <comment ref="AP493" authorId="1" shapeId="0">
      <text>
        <t>Horizon close: 2026-07-07
5/21/63 traded sessions after debut; price-only return vs offer.</t>
      </text>
    </comment>
    <comment ref="AQ493" authorId="1" shapeId="0">
      <text>
        <t>Horizon close: 2026-07-29
5/21/63 traded sessions after debut; price-only return vs offer.</t>
      </text>
    </comment>
    <comment ref="AR493" authorId="1" shapeId="0">
      <text>
        <t>Horizon close: 2026-09-25
5/21/63 traded sessions after debut; price-only return vs offer.</t>
      </text>
    </comment>
    <comment ref="AI494" authorId="0" shapeId="0">
      <text>
        <t>Close: HK$42.5
Date: 2026-06-26
Venue: Futu (etnet; venues 42.18-43.88)
Source: etnet:ipo-info 暗盤數據</t>
      </text>
    </comment>
    <comment ref="AK494" authorId="1" shapeId="0">
      <text>
        <t>China Biotech ETF (HS biotech proxy)
Previous trading close to listing-day close (2026-06-29).
Benchmark return in percent; not the index level or excess return.</t>
      </text>
    </comment>
    <comment ref="AP494" authorId="1" shapeId="0">
      <text>
        <t>Horizon close: 2026-07-07
5/21/63 traded sessions after debut; price-only return vs offer.</t>
      </text>
    </comment>
    <comment ref="AQ494" authorId="1" shapeId="0">
      <text>
        <t>Horizon close: 2026-07-29
5/21/63 traded sessions after debut; price-only return vs offer.</t>
      </text>
    </comment>
    <comment ref="AR494" authorId="1" shapeId="0">
      <text>
        <t>Horizon close: 2026-09-25
5/21/63 traded sessions after debut; price-only return vs offer.</t>
      </text>
    </comment>
    <comment ref="AI495" authorId="0" shapeId="0">
      <text>
        <t>Close: HK$344.2
Date: 2026-06-29
Venue: Futu (etnet; venues 344.2-350.0)
Source: etnet:ipo-info 暗盤數據</t>
      </text>
    </comment>
    <comment ref="AK495" authorId="1" shapeId="0">
      <text>
        <t>China Biotech ETF (HS biotech proxy)
Previous trading close to listing-day close (2026-06-30).
Benchmark return in percent; not the index level or excess return.</t>
      </text>
    </comment>
    <comment ref="AP495" authorId="1" shapeId="0">
      <text>
        <t>Horizon close: 2026-07-08
5/21/63 traded sessions after debut; price-only return vs offer.</t>
      </text>
    </comment>
    <comment ref="AQ495" authorId="1" shapeId="0">
      <text>
        <t>Horizon close: 2026-07-30
5/21/63 traded sessions after debut; price-only return vs offer.</t>
      </text>
    </comment>
    <comment ref="AR495" authorId="1" shapeId="0">
      <text>
        <t>Horizon close: 2026-09-28
5/21/63 traded sessions after debut; price-only return vs offer.</t>
      </text>
    </comment>
    <comment ref="AI496" authorId="0" shapeId="0">
      <text>
        <t>Close: HK$10.81
Date: 2026-06-29
Venue: Phillip (etnet; venues 10.54-10.81)
Source: etnet:ipo-info 暗盤數據</t>
      </text>
    </comment>
    <comment ref="AK496" authorId="1" shapeId="0">
      <text>
        <t>China Biotech ETF (HS biotech proxy)
Previous trading close to listing-day close (2026-06-30).
Benchmark return in percent; not the index level or excess return.</t>
      </text>
    </comment>
    <comment ref="AP496" authorId="1" shapeId="0">
      <text>
        <t>Horizon close: 2026-07-08
5/21/63 traded sessions after debut; price-only return vs offer.</t>
      </text>
    </comment>
    <comment ref="AQ496" authorId="1" shapeId="0">
      <text>
        <t>Horizon close: 2026-07-30
5/21/63 traded sessions after debut; price-only return vs offer.</t>
      </text>
    </comment>
    <comment ref="AR496" authorId="1" shapeId="0">
      <text>
        <t>Horizon close: 2026-09-28
5/21/63 traded sessions after debut; price-only return vs offer.</t>
      </text>
    </comment>
    <comment ref="AI497" authorId="0" shapeId="0">
      <text>
        <t>Close: HK$101
Date: 2026-06-29
Venue: Futu (etnet; venues 91.5-101.0)
Source: etnet:ipo-info 暗盤數據</t>
      </text>
    </comment>
    <comment ref="AK497" authorId="1" shapeId="0">
      <text>
        <t>Hang Seng Commerce &amp; Industry sub-index
Previous trading close to listing-day close (2026-06-30).
Benchmark return in percent; not the index level or excess return.</t>
      </text>
    </comment>
    <comment ref="AP497" authorId="1" shapeId="0">
      <text>
        <t>Horizon close: 2026-07-08
5/21/63 traded sessions after debut; price-only return vs offer.</t>
      </text>
    </comment>
    <comment ref="AQ497" authorId="1" shapeId="0">
      <text>
        <t>Horizon close: 2026-07-30
5/21/63 traded sessions after debut; price-only return vs offer.</t>
      </text>
    </comment>
    <comment ref="AR497" authorId="1" shapeId="0">
      <text>
        <t>Horizon close: 2026-09-28
5/21/63 traded sessions after debut; price-only return vs offer.</t>
      </text>
    </comment>
    <comment ref="AI498" authorId="0" shapeId="0">
      <text>
        <t>Close: HK$103.5
Date: 2026-06-29
Venue: Futu (etnet; venues 103.5-104.5)
Source: etnet:ipo-info 暗盤數據</t>
      </text>
    </comment>
    <comment ref="AK498" authorId="1" shapeId="0">
      <text>
        <t>Hang Seng Commerce &amp; Industry sub-index
Previous trading close to listing-day close (2026-06-30).
Benchmark return in percent; not the index level or excess return.</t>
      </text>
    </comment>
    <comment ref="AP498" authorId="1" shapeId="0">
      <text>
        <t>Horizon close: 2026-07-08
5/21/63 traded sessions after debut; price-only return vs offer.</t>
      </text>
    </comment>
    <comment ref="AQ498" authorId="1" shapeId="0">
      <text>
        <t>Horizon close: 2026-07-30
5/21/63 traded sessions after debut; price-only return vs offer.</t>
      </text>
    </comment>
    <comment ref="AR498" authorId="1" shapeId="0">
      <text>
        <t>Horizon close: 2026-09-28
5/21/63 traded sessions after debut; price-only return vs offer.</t>
      </text>
    </comment>
    <comment ref="AI499" authorId="0" shapeId="0">
      <text>
        <t>Close: HK$94.55
Date: 2026-06-30
Venue: Futu (etnet; venues 94.2-95.5)
Source: etnet:ipo-info 暗盤數據</t>
      </text>
    </comment>
    <comment ref="AK499" authorId="1" shapeId="0">
      <text>
        <t>HSTECH (Hang Seng TECH ETF)
Previous trading close to listing-day close (2026-07-02).
Benchmark return in percent; not the index level or excess return.</t>
      </text>
    </comment>
    <comment ref="AP499" authorId="1" shapeId="0">
      <text>
        <t>Horizon close: 2026-07-09
5/21/63 traded sessions after debut; price-only return vs offer.</t>
      </text>
    </comment>
    <comment ref="AQ499" authorId="1" shapeId="0">
      <text>
        <t>Horizon close: 2026-07-31
5/21/63 traded sessions after debut; price-only return vs offer.</t>
      </text>
    </comment>
    <comment ref="AR499" authorId="1" shapeId="0">
      <text>
        <t>Horizon close: 2026-09-29
5/21/63 traded sessions after debut; price-only return vs offer.</t>
      </text>
    </comment>
    <comment ref="AI500" authorId="0" shapeId="0">
      <text>
        <t>Close: HK$4.64
Date: 2026-07-06
Venue: Futu (etnet; venues 4.64-4.74)
Source: etnet:ipo-info 暗盤數據</t>
      </text>
    </comment>
    <comment ref="AK500" authorId="1" shapeId="0">
      <text>
        <t>China Biotech ETF (HS biotech proxy)
Previous trading close to listing-day close (2026-07-07).
Benchmark return in percent; not the index level or excess return.</t>
      </text>
    </comment>
    <comment ref="AP500" authorId="1" shapeId="0">
      <text>
        <t>Horizon close: 2026-07-14
5/21/63 traded sessions after debut; price-only return vs offer.</t>
      </text>
    </comment>
    <comment ref="AQ500" authorId="1" shapeId="0">
      <text>
        <t>Horizon close: 2026-08-05
5/21/63 traded sessions after debut; price-only return vs offer.</t>
      </text>
    </comment>
    <comment ref="AR500" authorId="1" shapeId="0">
      <text>
        <t>Horizon close: pending: 62 traded sessions after debut; 63 needed
5/21/63 traded sessions after debut; price-only return vs offer.</t>
      </text>
    </comment>
    <comment ref="AI501" authorId="0" shapeId="0">
      <text>
        <t>Close: HK$17.99
Date: 2026-07-07
Venue: Futu (etnet; venues 17.99-19.12)
Source: etnet:ipo-info 暗盤數據</t>
      </text>
    </comment>
    <comment ref="AK501" authorId="1" shapeId="0">
      <text>
        <t>HSTECH (Hang Seng TECH ETF)
Previous trading close to listing-day close (2026-07-08).
Benchmark return in percent; not the index level or excess return.</t>
      </text>
    </comment>
    <comment ref="AP501" authorId="1" shapeId="0">
      <text>
        <t>Horizon close: 2026-07-15
5/21/63 traded sessions after debut; price-only return vs offer.</t>
      </text>
    </comment>
    <comment ref="AQ501" authorId="1" shapeId="0">
      <text>
        <t>Horizon close: 2026-08-06
5/21/63 traded sessions after debut; price-only return vs offer.</t>
      </text>
    </comment>
    <comment ref="AR501" authorId="1" shapeId="0">
      <text>
        <t>Horizon close: pending: 61 traded sessions after debut; 63 needed
5/21/63 traded sessions after debut; price-only return vs offer.</t>
      </text>
    </comment>
    <comment ref="AI502" authorId="0" shapeId="0">
      <text>
        <t>Close: HK$34.76
Date: 2026-07-07
Venue: Futu (etnet; venues 34.76-37.1)
Source: etnet:ipo-info 暗盤數據</t>
      </text>
    </comment>
    <comment ref="AK502" authorId="1" shapeId="0">
      <text>
        <t>HSTECH (Hang Seng TECH ETF)
Previous trading close to listing-day close (2026-07-08).
Benchmark return in percent; not the index level or excess return.</t>
      </text>
    </comment>
    <comment ref="AP502" authorId="1" shapeId="0">
      <text>
        <t>Horizon close: 2026-07-15
5/21/63 traded sessions after debut; price-only return vs offer.</t>
      </text>
    </comment>
    <comment ref="AQ502" authorId="1" shapeId="0">
      <text>
        <t>Horizon close: 2026-08-06
5/21/63 traded sessions after debut; price-only return vs offer.</t>
      </text>
    </comment>
    <comment ref="AR502" authorId="1" shapeId="0">
      <text>
        <t>Horizon close: pending: 61 traded sessions after debut; 63 needed
5/21/63 traded sessions after debut; price-only return vs offer.</t>
      </text>
    </comment>
    <comment ref="AI503" authorId="0" shapeId="0">
      <text>
        <t>Close: HK$294.6
Date: 2026-07-07
Venue: Futu (etnet; venues 294.6-299.0)
Source: etnet:ipo-info 暗盤數據</t>
      </text>
    </comment>
    <comment ref="AK503" authorId="1" shapeId="0">
      <text>
        <t>HSTECH (Hang Seng TECH ETF)
Previous trading close to listing-day close (2026-07-08).
Benchmark return in percent; not the index level or excess return.</t>
      </text>
    </comment>
    <comment ref="AP503" authorId="1" shapeId="0">
      <text>
        <t>Horizon close: 2026-07-15
5/21/63 traded sessions after debut; price-only return vs offer.</t>
      </text>
    </comment>
    <comment ref="AQ503" authorId="1" shapeId="0">
      <text>
        <t>Horizon close: 2026-08-06
5/21/63 traded sessions after debut; price-only return vs offer.</t>
      </text>
    </comment>
    <comment ref="AR503" authorId="1" shapeId="0">
      <text>
        <t>Horizon close: pending: 61 traded sessions after debut; 63 needed
5/21/63 traded sessions after debut; price-only return vs offer.</t>
      </text>
    </comment>
    <comment ref="AI504" authorId="0" shapeId="0">
      <text>
        <t>Close: HK$91.5
Date: 2026-07-07
Venue: Futu (etnet; venues 91.5-95.8)
Source: etnet:ipo-info 暗盤數據</t>
      </text>
    </comment>
    <comment ref="AK504" authorId="1" shapeId="0">
      <text>
        <t>HSTECH (Hang Seng TECH ETF)
Previous trading close to listing-day close (2026-07-08).
Benchmark return in percent; not the index level or excess return.</t>
      </text>
    </comment>
    <comment ref="AP504" authorId="1" shapeId="0">
      <text>
        <t>Horizon close: 2026-07-15
5/21/63 traded sessions after debut; price-only return vs offer.</t>
      </text>
    </comment>
    <comment ref="AQ504" authorId="1" shapeId="0">
      <text>
        <t>Horizon close: 2026-08-06
5/21/63 traded sessions after debut; price-only return vs offer.</t>
      </text>
    </comment>
    <comment ref="AR504" authorId="1" shapeId="0">
      <text>
        <t>Horizon close: pending: 61 traded sessions after debut; 63 needed
5/21/63 traded sessions after debut; price-only return vs offer.</t>
      </text>
    </comment>
    <comment ref="AI505" authorId="0" shapeId="0">
      <text>
        <t>Close: HK$15.5
Date: 2026-07-08
Venue: Futu (etnet; venues 15.5-16.11)
Source: etnet:ipo-info 暗盤數據</t>
      </text>
    </comment>
    <comment ref="AK505" authorId="1" shapeId="0">
      <text>
        <t>Hang Seng Commerce &amp; Industry sub-index
Previous trading close to listing-day close (2026-07-09).
Benchmark return in percent; not the index level or excess return.</t>
      </text>
    </comment>
    <comment ref="AP505" authorId="1" shapeId="0">
      <text>
        <t>Horizon close: 2026-07-16
5/21/63 traded sessions after debut; price-only return vs offer.</t>
      </text>
    </comment>
    <comment ref="AQ505" authorId="1" shapeId="0">
      <text>
        <t>Horizon close: 2026-08-07
5/21/63 traded sessions after debut; price-only return vs offer.</t>
      </text>
    </comment>
    <comment ref="AR505" authorId="1" shapeId="0">
      <text>
        <t>Horizon close: pending: 60 traded sessions after debut; 63 needed
5/21/63 traded sessions after debut; price-only return vs offer.</t>
      </text>
    </comment>
    <comment ref="AI506" authorId="0" shapeId="0">
      <text>
        <t>Close: HK$81.3
Date: 2026-07-07
Venue: Futu (etnet; venues 81.3-82.2)
Source: etnet:ipo-info 暗盤數據</t>
      </text>
    </comment>
    <comment ref="AK506" authorId="1" shapeId="0">
      <text>
        <t>HSTECH (Hang Seng TECH ETF)
Previous trading close to listing-day close (2026-07-09).
Benchmark return in percent; not the index level or excess return.</t>
      </text>
    </comment>
    <comment ref="AP506" authorId="1" shapeId="0">
      <text>
        <t>Horizon close: 2026-07-16
5/21/63 traded sessions after debut; price-only return vs offer.</t>
      </text>
    </comment>
    <comment ref="AQ506" authorId="1" shapeId="0">
      <text>
        <t>Horizon close: 2026-08-07
5/21/63 traded sessions after debut; price-only return vs offer.</t>
      </text>
    </comment>
    <comment ref="AR506" authorId="1" shapeId="0">
      <text>
        <t>Horizon close: pending: 60 traded sessions after debut; 63 needed
5/21/63 traded sessions after debut; price-only return vs offer.</t>
      </text>
    </comment>
    <comment ref="AI507" authorId="0" shapeId="0">
      <text>
        <t>Close: HK$37.3
Date: 2026-07-08
Venue: Futu (etnet; venues 37.3-38.02)
Source: etnet:ipo-info 暗盤數據</t>
      </text>
    </comment>
    <comment ref="AK507" authorId="1" shapeId="0">
      <text>
        <t>HSTECH (Hang Seng TECH ETF)
Previous trading close to listing-day close (2026-07-09).
Benchmark return in percent; not the index level or excess return.</t>
      </text>
    </comment>
    <comment ref="AP507" authorId="1" shapeId="0">
      <text>
        <t>Horizon close: 2026-07-16
5/21/63 traded sessions after debut; price-only return vs offer.</t>
      </text>
    </comment>
    <comment ref="AQ507" authorId="1" shapeId="0">
      <text>
        <t>Horizon close: 2026-08-07
5/21/63 traded sessions after debut; price-only return vs offer.</t>
      </text>
    </comment>
    <comment ref="AR507" authorId="1" shapeId="0">
      <text>
        <t>Horizon close: pending: 60 traded sessions after debut; 63 needed
5/21/63 traded sessions after debut; price-only return vs offer.</t>
      </text>
    </comment>
    <comment ref="AI508" authorId="0" shapeId="0">
      <text>
        <t>Close: HK$38
Date: 2026-07-08
Venue: Futu (etnet; venues 38.0-38.08)
Source: etnet:ipo-info 暗盤數據</t>
      </text>
    </comment>
    <comment ref="AK508" authorId="1" shapeId="0">
      <text>
        <t>Hang Seng Commerce &amp; Industry sub-index
Previous trading close to listing-day close (2026-07-09).
Benchmark return in percent; not the index level or excess return.</t>
      </text>
    </comment>
    <comment ref="AP508" authorId="1" shapeId="0">
      <text>
        <t>Horizon close: 2026-07-16
5/21/63 traded sessions after debut; price-only return vs offer.</t>
      </text>
    </comment>
    <comment ref="AQ508" authorId="1" shapeId="0">
      <text>
        <t>Horizon close: 2026-08-07
5/21/63 traded sessions after debut; price-only return vs offer.</t>
      </text>
    </comment>
    <comment ref="AR508" authorId="1" shapeId="0">
      <text>
        <t>Horizon close: pending: 60 traded sessions after debut; 63 needed
5/21/63 traded sessions after debut; price-only return vs offer.</t>
      </text>
    </comment>
    <comment ref="AI509" authorId="0" shapeId="0">
      <text>
        <t>Close: HK$60.15
Date: 2026-07-08
Venue: press (bastillepost) — venue not stated
Source: press:bastillepost.com, via search: '立訊精密…暗盤收報60.15元，較招股價低4.9%' — offer HK$63.28, 60.15/63.28-1 = -4.95%, rounds to the published -4.9%.</t>
      </text>
    </comment>
    <comment ref="AK509" authorId="1" shapeId="0">
      <text>
        <t>HSTECH (Hang Seng TECH ETF)
Previous trading close to listing-day close (2026-07-09).
Benchmark return in percent; not the index level or excess return.</t>
      </text>
    </comment>
    <comment ref="AP509" authorId="1" shapeId="0">
      <text>
        <t>Horizon close: 2026-07-16
5/21/63 traded sessions after debut; price-only return vs offer.</t>
      </text>
    </comment>
    <comment ref="AQ509" authorId="1" shapeId="0">
      <text>
        <t>Horizon close: 2026-08-07
5/21/63 traded sessions after debut; price-only return vs offer.</t>
      </text>
    </comment>
    <comment ref="AR509" authorId="1" shapeId="0">
      <text>
        <t>Horizon close: pending: 60 traded sessions after debut; 63 needed
5/21/63 traded sessions after debut; price-only return vs offer.</t>
      </text>
    </comment>
    <comment ref="AI510" authorId="0" shapeId="0">
      <text>
        <t>Close: HK$96
Date: 2026-07-08
Venue: Livermore (利弗莫爾) — NOT Phillip; the only published print found
Source: press:Zhitong via cn.investing.com '三环集团(06951)暗盘收跌超4%…利弗莫尔证券暗盘交易显示报价96港元，较招股价100.3港元下跌4.29%' — 96/100.3-1 = -4.29% exactly.</t>
      </text>
    </comment>
    <comment ref="AK510" authorId="1" shapeId="0">
      <text>
        <t>HSTECH (Hang Seng TECH ETF)
Previous trading close to listing-day close (2026-07-09).
Benchmark return in percent; not the index level or excess return.</t>
      </text>
    </comment>
    <comment ref="AP510" authorId="1" shapeId="0">
      <text>
        <t>Horizon close: 2026-07-16
5/21/63 traded sessions after debut; price-only return vs offer.</t>
      </text>
    </comment>
    <comment ref="AQ510" authorId="1" shapeId="0">
      <text>
        <t>Horizon close: 2026-08-07
5/21/63 traded sessions after debut; price-only return vs offer.</t>
      </text>
    </comment>
    <comment ref="AR510" authorId="1" shapeId="0">
      <text>
        <t>Horizon close: pending: 60 traded sessions after debut; 63 needed
5/21/63 traded sessions after debut; price-only return vs offer.</t>
      </text>
    </comment>
    <comment ref="AI511" authorId="0" shapeId="0">
      <text>
        <t>Close: HK$340
Date: 2026-07-08
Venue: Futu (etnet; venues 340.0-345.0)
Source: etnet:ipo-info 暗盤數據</t>
      </text>
    </comment>
    <comment ref="AK511" authorId="1" shapeId="0">
      <text>
        <t>HSTECH (Hang Seng TECH ETF)
Previous trading close to listing-day close (2026-07-09).
Benchmark return in percent; not the index level or excess return.</t>
      </text>
    </comment>
    <comment ref="AP511" authorId="1" shapeId="0">
      <text>
        <t>Horizon close: 2026-07-16
5/21/63 traded sessions after debut; price-only return vs offer.</t>
      </text>
    </comment>
    <comment ref="AQ511" authorId="1" shapeId="0">
      <text>
        <t>Horizon close: 2026-08-07
5/21/63 traded sessions after debut; price-only return vs offer.</t>
      </text>
    </comment>
    <comment ref="AR511" authorId="1" shapeId="0">
      <text>
        <t>Horizon close: pending: 60 traded sessions after debut; 63 needed
5/21/63 traded sessions after debut; price-only return vs offer.</t>
      </text>
    </comment>
    <comment ref="AI512" authorId="0" shapeId="0">
      <text>
        <t>Close: HK$2.73
Date: 2026-07-09
Venue: Futu (etnet; venues 2.73-2.75)
Source: etnet:ipo-info 暗盤數據</t>
      </text>
    </comment>
    <comment ref="AK512" authorId="1" shapeId="0">
      <text>
        <t>Hang Seng Commerce &amp; Industry sub-index
Previous trading close to listing-day close (2026-07-10).
Benchmark return in percent; not the index level or excess return.</t>
      </text>
    </comment>
    <comment ref="AP512" authorId="1" shapeId="0">
      <text>
        <t>Horizon close: 2026-07-17
5/21/63 traded sessions after debut; price-only return vs offer.</t>
      </text>
    </comment>
    <comment ref="AQ512" authorId="1" shapeId="0">
      <text>
        <t>Horizon close: 2026-08-10
5/21/63 traded sessions after debut; price-only return vs offer.</t>
      </text>
    </comment>
    <comment ref="AR512" authorId="1" shapeId="0">
      <text>
        <t>Horizon close: pending: 59 traded sessions after debut; 63 needed
5/21/63 traded sessions after debut; price-only return vs offer.</t>
      </text>
    </comment>
    <comment ref="AI513" authorId="0" shapeId="0">
      <text>
        <t>Close: HK$36.1
Date: 2026-07-09
Venue: Phillip (etnet; venues 35.48-36.1)
Source: etnet:ipo-info 暗盤數據</t>
      </text>
    </comment>
    <comment ref="AK513" authorId="1" shapeId="0">
      <text>
        <t>HSTECH (Hang Seng TECH ETF)
Previous trading close to listing-day close (2026-07-10).
Benchmark return in percent; not the index level or excess return.</t>
      </text>
    </comment>
    <comment ref="AP513" authorId="1" shapeId="0">
      <text>
        <t>Horizon close: 2026-07-17
5/21/63 traded sessions after debut; price-only return vs offer.</t>
      </text>
    </comment>
    <comment ref="AQ513" authorId="1" shapeId="0">
      <text>
        <t>Horizon close: 2026-08-10
5/21/63 traded sessions after debut; price-only return vs offer.</t>
      </text>
    </comment>
    <comment ref="AR513" authorId="1" shapeId="0">
      <text>
        <t>Horizon close: pending: 59 traded sessions after debut; 63 needed
5/21/63 traded sessions after debut; price-only return vs offer.</t>
      </text>
    </comment>
    <comment ref="AI514" authorId="0" shapeId="0">
      <text>
        <t>Close: HK$969.5
Date: 2026-07-29
Venue: Phillip (輝立)
Source: press:AASTOCKS news, syndicated on Yahoo HK Finance: 《新股》中際旭創(03308.HK)暗盤收報969.5元 低上市價1.1% — offer HK$980.00, so 969.5/980-1 = -1.07% which rounds to the published -1.1%. Futu's own print for the same session was 971.0 (-0.9%); the Phillip figure is recorded to match the scrape's venue.</t>
      </text>
    </comment>
    <comment ref="AK514" authorId="1" shapeId="0">
      <text>
        <t>HSTECH (Hang Seng TECH ETF)
Previous trading close to listing-day close (2026-07-30).
Benchmark return in percent; not the index level or excess return.</t>
      </text>
    </comment>
    <comment ref="AP514" authorId="1" shapeId="0">
      <text>
        <t>Horizon close: 2026-08-06
5/21/63 traded sessions after debut; price-only return vs offer.</t>
      </text>
    </comment>
    <comment ref="AQ514" authorId="1" shapeId="0">
      <text>
        <t>Horizon close: 2026-08-28
5/21/63 traded sessions after debut; price-only return vs offer.</t>
      </text>
    </comment>
    <comment ref="AR514" authorId="1" shapeId="0">
      <text>
        <t>Horizon close: pending: 45 traded sessions after debut; 63 needed
5/21/63 traded sessions after debut; price-only return vs offer.</t>
      </text>
    </comment>
    <comment ref="AI515" authorId="0" shapeId="0">
      <text>
        <t>Close: HK$16.7
Date: 2026-08-06
Venue: Futu (etnet; venues 16.65-16.7)
Source: etnet:ipo-info 暗盤數據</t>
      </text>
    </comment>
    <comment ref="AK515" authorId="1" shapeId="0">
      <text>
        <t>Hang Seng Commerce &amp; Industry sub-index
Previous trading close to listing-day close (2026-08-07).
Benchmark return in percent; not the index level or excess return.</t>
      </text>
    </comment>
    <comment ref="AP515" authorId="1" shapeId="0">
      <text>
        <t>Horizon close: 2026-08-14
5/21/63 traded sessions after debut; price-only return vs offer.</t>
      </text>
    </comment>
    <comment ref="AQ515" authorId="1" shapeId="0">
      <text>
        <t>Horizon close: 2026-09-07
5/21/63 traded sessions after debut; price-only return vs offer.</t>
      </text>
    </comment>
    <comment ref="AR515" authorId="1" shapeId="0">
      <text>
        <t>Horizon close: pending: 39 traded sessions after debut; 63 needed
5/21/63 traded sessions after debut; price-only return vs offer.</t>
      </text>
    </comment>
    <comment ref="AI516" authorId="0" shapeId="0">
      <text>
        <t>Close: HK$99.75
Date: 2026-08-24
Venue: Futu (etnet; venues 99.5-99.75)
Source: etnet:ipo-info 暗盤數據</t>
      </text>
    </comment>
    <comment ref="AK516" authorId="1" shapeId="0">
      <text>
        <t>HSTECH (Hang Seng TECH ETF)
Previous trading close to listing-day close (2026-08-25).
Benchmark return in percent; not the index level or excess return.</t>
      </text>
    </comment>
    <comment ref="AP516" authorId="1" shapeId="0">
      <text>
        <t>Horizon close: 2026-09-01
5/21/63 traded sessions after debut; price-only return vs offer.</t>
      </text>
    </comment>
    <comment ref="AQ516" authorId="1" shapeId="0">
      <text>
        <t>Horizon close: 2026-09-23
5/21/63 traded sessions after debut; price-only return vs offer.</t>
      </text>
    </comment>
    <comment ref="AR516" authorId="1" shapeId="0">
      <text>
        <t>Horizon close: pending: 27 traded sessions after debut; 63 needed
5/21/63 traded sessions after debut; price-only return vs offer.</t>
      </text>
    </comment>
    <comment ref="AI517" authorId="0" shapeId="0">
      <text>
        <t>Close: HK$42.2
Date: 2026-08-31
Venue: Futu (etnet; venues 41.8-42.2)
Source: etnet:ipo-info 暗盤數據</t>
      </text>
    </comment>
    <comment ref="AK517" authorId="1" shapeId="0">
      <text>
        <t>Hang Seng Commerce &amp; Industry sub-index
Previous trading close to listing-day close (2026-09-01).
Benchmark return in percent; not the index level or excess return.</t>
      </text>
    </comment>
    <comment ref="AP517" authorId="1" shapeId="0">
      <text>
        <t>Horizon close: 2026-09-08
5/21/63 traded sessions after debut; price-only return vs offer.</t>
      </text>
    </comment>
    <comment ref="AQ517" authorId="1" shapeId="0">
      <text>
        <t>Horizon close: 2026-09-30
5/21/63 traded sessions after debut; price-only return vs offer.</t>
      </text>
    </comment>
    <comment ref="AR517" authorId="1" shapeId="0">
      <text>
        <t>Horizon close: pending: 22 traded sessions after debut; 63 needed
5/21/63 traded sessions after debut; price-only return vs offer.</t>
      </text>
    </comment>
    <comment ref="AI518" authorId="0" shapeId="0">
      <text>
        <t>Close: HK$100.6
Date: 2026-08-31
Venue: Futu (etnet; venues 100.1-101.0)
Source: etnet:ipo-info 暗盤數據</t>
      </text>
    </comment>
    <comment ref="AK518" authorId="1" shapeId="0">
      <text>
        <t>HSTECH (Hang Seng TECH ETF)
Previous trading close to listing-day close (2026-09-01).
Benchmark return in percent; not the index level or excess return.</t>
      </text>
    </comment>
    <comment ref="AP518" authorId="1" shapeId="0">
      <text>
        <t>Horizon close: 2026-09-08
5/21/63 traded sessions after debut; price-only return vs offer.</t>
      </text>
    </comment>
    <comment ref="AQ518" authorId="1" shapeId="0">
      <text>
        <t>Horizon close: 2026-09-30
5/21/63 traded sessions after debut; price-only return vs offer.</t>
      </text>
    </comment>
    <comment ref="AR518" authorId="1" shapeId="0">
      <text>
        <t>Horizon close: pending: 22 traded sessions after debut; 63 needed
5/21/63 traded sessions after debut; price-only return vs offer.</t>
      </text>
    </comment>
    <comment ref="AI519" authorId="0" shapeId="0">
      <text>
        <t>Close: HK$11.9
Date: 2026-09-04
Venue: Phillip (etnet; venues 11.9-12.8)
Source: etnet:ipo-info 暗盤數據</t>
      </text>
    </comment>
    <comment ref="AK519" authorId="1" shapeId="0">
      <text>
        <t>China Biotech ETF (HS biotech proxy)
Previous trading close to listing-day close (2026-09-07).
Benchmark return in percent; not the index level or excess return.</t>
      </text>
    </comment>
    <comment ref="AP519" authorId="1" shapeId="0">
      <text>
        <t>Horizon close: 2026-09-14
5/21/63 traded sessions after debut; price-only return vs offer.</t>
      </text>
    </comment>
    <comment ref="AQ519" authorId="1" shapeId="0">
      <text>
        <t>Horizon close: pending: 18 traded sessions after debut; 21 needed
5/21/63 traded sessions after debut; price-only return vs offer.</t>
      </text>
    </comment>
    <comment ref="AR519" authorId="1" shapeId="0">
      <text>
        <t>Horizon close: pending: 18 traded sessions after debut; 63 needed
5/21/63 traded sessions after debut; price-only return vs offer.</t>
      </text>
    </comment>
    <comment ref="AI520" authorId="0" shapeId="0">
      <text>
        <t>Close: HK$234.4
Date: 2026-09-07
Venue: Phillip (etnet; venues 233.4-235.2)
Source: etnet:ipo-info 暗盤數據</t>
      </text>
    </comment>
    <comment ref="AK520" authorId="1" shapeId="0">
      <text>
        <t>HSTECH (Hang Seng TECH ETF)
Previous trading close to listing-day close (2026-09-08).
Benchmark return in percent; not the index level or excess return.</t>
      </text>
    </comment>
    <comment ref="AP520" authorId="1" shapeId="0">
      <text>
        <t>Horizon close: 2026-09-15
5/21/63 traded sessions after debut; price-only return vs offer.</t>
      </text>
    </comment>
    <comment ref="AQ520" authorId="1" shapeId="0">
      <text>
        <t>Horizon close: pending: 17 traded sessions after debut; 21 needed
5/21/63 traded sessions after debut; price-only return vs offer.</t>
      </text>
    </comment>
    <comment ref="AR520" authorId="1" shapeId="0">
      <text>
        <t>Horizon close: pending: 17 traded sessions after debut; 63 needed
5/21/63 traded sessions after debut; price-only return vs offer.</t>
      </text>
    </comment>
    <comment ref="AI521" authorId="0" shapeId="0">
      <text>
        <t>Close: HK$29.7
Date: 2026-09-08
Venue: Futu (etnet; venues 29.7-30.0)
Source: etnet:ipo-info 暗盤數據</t>
      </text>
    </comment>
    <comment ref="AK521" authorId="1" shapeId="0">
      <text>
        <t>HSTECH (Hang Seng TECH ETF)
Previous trading close to listing-day close (2026-09-09).
Benchmark return in percent; not the index level or excess return.</t>
      </text>
    </comment>
    <comment ref="AP521" authorId="1" shapeId="0">
      <text>
        <t>Horizon close: 2026-09-16
5/21/63 traded sessions after debut; price-only return vs offer.</t>
      </text>
    </comment>
    <comment ref="AQ521" authorId="1" shapeId="0">
      <text>
        <t>Horizon close: pending: 16 traded sessions after debut; 21 needed
5/21/63 traded sessions after debut; price-only return vs offer.</t>
      </text>
    </comment>
    <comment ref="AR521" authorId="1" shapeId="0">
      <text>
        <t>Horizon close: pending: 16 traded sessions after debut; 63 needed
5/21/63 traded sessions after debut; price-only return vs offer.</t>
      </text>
    </comment>
    <comment ref="AI522" authorId="0" shapeId="0">
      <text>
        <t>Close: HK$48.38
Date: 2026-09-18
Venue: Futu (etnet; venues 48.14-48.38)
Source: etnet:ipo-info 暗盤數據</t>
      </text>
    </comment>
    <comment ref="AK522" authorId="1" shapeId="0">
      <text>
        <t>HSTECH (Hang Seng TECH ETF)
Previous trading close to listing-day close (2026-09-21).
Benchmark return in percent; not the index level or excess return.</t>
      </text>
    </comment>
    <comment ref="AP522" authorId="1" shapeId="0">
      <text>
        <t>Horizon close: 2026-09-28
5/21/63 traded sessions after debut; price-only return vs offer.</t>
      </text>
    </comment>
    <comment ref="AQ522" authorId="1" shapeId="0">
      <text>
        <t>Horizon close: pending: 8 traded sessions after debut; 21 needed
5/21/63 traded sessions after debut; price-only return vs offer.</t>
      </text>
    </comment>
    <comment ref="AR522" authorId="1" shapeId="0">
      <text>
        <t>Horizon close: pending: 8 traded sessions after debut; 63 needed
5/21/63 traded sessions after debut; price-only return vs offer.</t>
      </text>
    </comment>
    <comment ref="AI523" authorId="0" shapeId="0">
      <text>
        <t>Close: HK$35.9
Date: 2026-09-21
Venue: Phillip (etnet; venues 35.9-37.8)
Source: etnet:ipo-info 暗盤數據</t>
      </text>
    </comment>
    <comment ref="AK523" authorId="1" shapeId="0">
      <text>
        <t>HSTECH (Hang Seng TECH ETF)
Previous trading close to listing-day close (2026-09-22).
Benchmark return in percent; not the index level or excess return.</t>
      </text>
    </comment>
    <comment ref="AP523" authorId="1" shapeId="0">
      <text>
        <t>Horizon close: 2026-09-29
5/21/63 traded sessions after debut; price-only return vs offer.</t>
      </text>
    </comment>
    <comment ref="AQ523" authorId="1" shapeId="0">
      <text>
        <t>Horizon close: pending: 7 traded sessions after debut; 21 needed
5/21/63 traded sessions after debut; price-only return vs offer.</t>
      </text>
    </comment>
    <comment ref="AR523" authorId="1" shapeId="0">
      <text>
        <t>Horizon close: pending: 7 traded sessions after debut; 63 needed
5/21/63 traded sessions after debut; price-only return vs offer.</t>
      </text>
    </comment>
    <comment ref="AI524" authorId="0" shapeId="0">
      <text>
        <t>Close: HK$36.14
Date: 2026-09-28
Venue: Futu (etnet; venues 36.14-36.74)
Source: etnet:ipo-info 暗盤數據</t>
      </text>
    </comment>
    <comment ref="AK524" authorId="1" shapeId="0">
      <text>
        <t>Hang Seng Commerce &amp; Industry sub-index
Previous trading close to listing-day close (2026-09-29).
Benchmark return in percent; not the index level or excess return.</t>
      </text>
    </comment>
    <comment ref="AP524" authorId="1" shapeId="0">
      <text>
        <t>Horizon close: pending: 2 traded sessions after debut; 5 needed
5/21/63 traded sessions after debut; price-only return vs offer.</t>
      </text>
    </comment>
    <comment ref="AQ524" authorId="1" shapeId="0">
      <text>
        <t>Horizon close: pending: 2 traded sessions after debut; 21 needed
5/21/63 traded sessions after debut; price-only return vs offer.</t>
      </text>
    </comment>
    <comment ref="AR524" authorId="1" shapeId="0">
      <text>
        <t>Horizon close: pending: 2 traded sessions after debut; 63 needed
5/21/63 traded sessions after debut; price-only return vs offer.</t>
      </text>
    </comment>
    <comment ref="AI525" authorId="0" shapeId="0">
      <text>
        <t>Close: HK$65.45
Date: 2026-09-28
Venue: Phillip (etnet; venues 65.45-65.55)
Source: etnet:ipo-info 暗盤數據</t>
      </text>
    </comment>
    <comment ref="AK525" authorId="1" shapeId="0">
      <text>
        <t>HSTECH (Hang Seng TECH ETF)
Previous trading close to listing-day close (2026-09-29).
Benchmark return in percent; not the index level or excess return.</t>
      </text>
    </comment>
    <comment ref="AP525" authorId="1" shapeId="0">
      <text>
        <t>Horizon close: pending: 2 traded sessions after debut; 5 needed
5/21/63 traded sessions after debut; price-only return vs offer.</t>
      </text>
    </comment>
    <comment ref="AQ525" authorId="1" shapeId="0">
      <text>
        <t>Horizon close: pending: 2 traded sessions after debut; 21 needed
5/21/63 traded sessions after debut; price-only return vs offer.</t>
      </text>
    </comment>
    <comment ref="AR525" authorId="1" shapeId="0">
      <text>
        <t>Horizon close: pending: 2 traded sessions after debut; 63 needed
5/21/63 traded sessions after debut; price-only return vs offer.</t>
      </text>
    </comment>
    <comment ref="AI526" authorId="0" shapeId="0">
      <text>
        <t>Close: HK$428
Date: 2026-09-28
Venue: Phillip (etnet; venues 428.0-428.0)
Source: etnet:ipo-info 暗盤數據</t>
      </text>
    </comment>
    <comment ref="AK526" authorId="1" shapeId="0">
      <text>
        <t>HSTECH (Hang Seng TECH ETF)
Previous trading close to listing-day close (2026-09-29).
Benchmark return in percent; not the index level or excess return.</t>
      </text>
    </comment>
    <comment ref="AP526" authorId="1" shapeId="0">
      <text>
        <t>Horizon close: pending: 2 traded sessions after debut; 5 needed
5/21/63 traded sessions after debut; price-only return vs offer.</t>
      </text>
    </comment>
    <comment ref="AQ526" authorId="1" shapeId="0">
      <text>
        <t>Horizon close: pending: 2 traded sessions after debut; 21 needed
5/21/63 traded sessions after debut; price-only return vs offer.</t>
      </text>
    </comment>
    <comment ref="AR526" authorId="1" shapeId="0">
      <text>
        <t>Horizon close: pending: 2 traded sessions after debut; 63 needed
5/21/63 traded sessions after debut; price-only return vs offer.</t>
      </text>
    </comment>
    <comment ref="AI527" authorId="0" shapeId="0">
      <text>
        <t>Close: HK$22.52
Date: 2026-09-28
Venue: Futu (etnet; venues 22.34-22.56)
Source: etnet:ipo-info 暗盤數據</t>
      </text>
    </comment>
    <comment ref="AK527" authorId="1" shapeId="0">
      <text>
        <t>HSTECH (Hang Seng TECH ETF)
Previous trading close to listing-day close (2026-09-29).
Benchmark return in percent; not the index level or excess return.</t>
      </text>
    </comment>
    <comment ref="AP527" authorId="1" shapeId="0">
      <text>
        <t>Horizon close: pending: 2 traded sessions after debut; 5 needed
5/21/63 traded sessions after debut; price-only return vs offer.</t>
      </text>
    </comment>
    <comment ref="AQ527" authorId="1" shapeId="0">
      <text>
        <t>Horizon close: pending: 2 traded sessions after debut; 21 needed
5/21/63 traded sessions after debut; price-only return vs offer.</t>
      </text>
    </comment>
    <comment ref="AR527" authorId="1" shapeId="0">
      <text>
        <t>Horizon close: pending: 2 traded sessions after debut; 63 needed
5/21/63 traded sessions after debut; price-only return vs offer.</t>
      </text>
    </comment>
    <comment ref="AI528" authorId="0" shapeId="0">
      <text>
        <t>Close: HK$170.8
Date: 2026-09-29
Venue: Futu (etnet; venues 169.0-170.8)
Source: etnet:ipo-info 暗盤數據</t>
      </text>
    </comment>
    <comment ref="AK528" authorId="1" shapeId="0">
      <text>
        <t>HSTECH (Hang Seng TECH ETF)
Previous trading close to listing-day close (2026-09-30).
Benchmark return in percent; not the index level or excess return.</t>
      </text>
    </comment>
    <comment ref="AP528" authorId="1" shapeId="0">
      <text>
        <t>Horizon close: pending: 1 traded sessions after debut; 5 needed
5/21/63 traded sessions after debut; price-only return vs offer.</t>
      </text>
    </comment>
    <comment ref="AQ528" authorId="1" shapeId="0">
      <text>
        <t>Horizon close: pending: 1 traded sessions after debut; 21 needed
5/21/63 traded sessions after debut; price-only return vs offer.</t>
      </text>
    </comment>
    <comment ref="AR528" authorId="1" shapeId="0">
      <text>
        <t>Horizon close: pending: 1 traded sessions after debut; 63 needed
5/21/63 traded sessions after debut; price-only return vs offer.</t>
      </text>
    </comment>
  </commentList>
</comments>
</file>

<file path=xl/comments/comment3.xml><?xml version="1.0" encoding="utf-8"?>
<comments xmlns="http://schemas.openxmlformats.org/spreadsheetml/2006/main">
  <authors>
    <author>ipo.py</author>
  </authors>
  <commentList>
    <comment ref="AC6" authorId="0" shapeId="0">
      <text>
        <t>We design the chip, chipsets and/or circuit board by integrating all necessary IP modules, and deliver the finalized design to manufacturers for production.  Software Building Blocks: including basic software (such as operating systems, drivers and firmware) and application-specific software algorithms, rigorously tested for performance. We also provide toolchains to help developers to debug issues, analyze and enhance performance more efficiently. Adopting RISC-V in Our Products. We adopt RISC-V as the fundamental architecture for products with computing and/or control needs.</t>
      </text>
    </comment>
    <comment ref="I7" authorId="0" shapeId="0">
      <text>
        <t>estimated (press report: Bamboo Works 2025-10 / Smartkarma 2026)</t>
      </text>
    </comment>
    <comment ref="AC7" authorId="0" shapeId="0">
      <text>
        <t>We operate our offline stores through two models to maximize market presence and adapt to consumer demands. Our permanent stores provide consistent brand presence in prime retail locations, offering our full product range throughout the year. In contrast, our seasonal offline stores are strategically opened during peak sales periods, primarily in the first and fourth quarters of each year.</t>
      </text>
    </comment>
    <comment ref="AC8" authorId="0" shapeId="0">
      <text>
        <t>We operate a tiered proprietary brand matrix tailored to distinct user segments and channels, comprising DENAGO TM, GOTRAX TM, TEKO TM and TAOMOTOR TM. This matrix enables precise coverage of key consumer cohorts and supports brand synergy through differentiated positioning and operations.  DENAGO TM; Premium, Professional, High-Performance . As one of our principal brands, DENAGO is positioned for E-mobility and powersports through a dedicated dealer network. The brand focuses on product quality and design, serving consumer demandin key markets.</t>
      </text>
    </comment>
    <comment ref="AC9" authorId="0" shapeId="0">
      <text>
        <t>We are a company that provides specialized solutions in integrated waste treatment and resource utilization, including the investment, management, and operation of green energy and environmental services projects. Our core business comprises (i) clean waste-to-energy incineration; (ii) the integrated treatment of various types of waste (including sludge, food waste, sewage and leachate, fly ash, and others); (iii) the interim treatment and transfer of household waste; and (iv) the collection, harmless treatment, compression, and resource utilization of food waste.</t>
      </text>
    </comment>
    <comment ref="AC10" authorId="0" shapeId="0">
      <text>
        <t>We manufacture our products through a combination of in-house production and engagement of ODM and OEM providers. During the Track Record Period, our in-house production was primarily focused on smartphones, while our feature phones, IoT products and others, as well as a portion of our smartphones, were manufactured by ODM and OEM providers. As of the Latest Practicable Date, we had six production bases in Chongqing, Shenzhen, Nanchang, Wuxi, Bangladesh and Ethiopia.</t>
      </text>
    </comment>
    <comment ref="AC11" authorId="0" shapeId="0">
      <text>
        <t>We are an integrated device manufacturer (“ IDM”) company in the magnetic sensor industry. We maintain a broad magnetic sensing technology portfolio with vertical integration across the industry value chain, from chip design and wafer manufacturing through module design and manufacturing. This has enabled us to provide one-stop magnetic sensor solutions to customers across diverse industries, including green energy, NEV and automotive, industrial automation and robotics, and AI infrastructure and data centers. The magnetic sensor industry is highly competitive.</t>
      </text>
    </comment>
    <comment ref="AC12" authorId="0" shapeId="0">
      <text>
        <t>We are an established innovator contributing to the advancement and commercialization in the intelligent mobile robotics industry. We ranked third among intelligent mobile robotic solution providers in terms of revenue in 2025, capturing approximately 4.2% market share, and ranked as the largest single-modal robotic solutions provider in China, with a market share of 2.2%, and third in multi-modal robotic solutions in China with 5.9% market share, according to Frost &amp; Sullivan. In 2025, the sales volume of our intelligent mobile robotic solutions exceeded 3.5 million sets.</t>
      </text>
    </comment>
    <comment ref="AC17" authorId="0" shapeId="0">
      <text>
        <t>We are an established fintech service provider in the banking industry based in the Greater Bay Area, delivering fintech software development services, consulting services, and system integration services to banks, regulatory authorities and other financial institutions across Chinese Mainland and Hong Kong to support their continuous digital transformation. Our comprehensive service offerings comprise three principal segments: (i) Fintech Software Development services :</t>
      </text>
    </comment>
    <comment ref="I18" authorId="0" shapeId="0">
      <text>
        <t>prospectus: net proceeds at the maximum price</t>
      </text>
    </comment>
    <comment ref="AC18" authorId="0" shapeId="0">
      <text>
        <t>We provide services and products to both ends of the shipping supply chain including container shipping lines and direct customers (as well as those i n the middle such as freight forwarders). As such, we play different roles in the various logistic services we provide resulting in the overlap of some of our customers and suppliers. For example, we provide container depot services to container shipping lines and container leasing companies (as our customer) and they may sell us used containers in respect of our container sales services (as our supplier).</t>
      </text>
    </comment>
  </commentList>
</comments>
</file>

<file path=xl/comments/comment4.xml><?xml version="1.0" encoding="utf-8"?>
<comments xmlns="http://schemas.openxmlformats.org/spreadsheetml/2006/main">
  <authors>
    <author>HK IPO methods</author>
  </authors>
  <commentList>
    <comment ref="M4" authorId="0" shapeId="0">
      <text>
        <t>CUR_MKT_CAP is already in local-currency millions. H cap is HK$m; A cap in column T is converted from CNYm using live CNYHKD. Bloomberg security cap need not have the same share-count basis as the filing-derived company cap.</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twoCellAnchor>
    <from>
      <col>0</col>
      <colOff>0</colOff>
      <row>13</row>
      <rowOff>0</rowOff>
    </from>
    <to>
      <col>7</col>
      <colOff>0</colOff>
      <row>29</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7</col>
      <colOff>0</colOff>
      <row>13</row>
      <rowOff>0</rowOff>
    </from>
    <to>
      <col>15</col>
      <colOff>0</colOff>
      <row>29</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oneCellAnchor>
    <from>
      <col>9</col>
      <colOff>0</colOff>
      <row>51</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IPOLiveQuotes" displayName="IPOLiveQuotes" ref="A8:Q532" headerRowCount="1">
  <autoFilter ref="A8:Q532"/>
  <tableColumns count="17">
    <tableColumn id="1" name="H code"/>
    <tableColumn id="2" name="Company"/>
    <tableColumn id="3" name="Sector"/>
    <tableColumn id="4" name="Subsector"/>
    <tableColumn id="5" name="H last (HK$)"/>
    <tableColumn id="6" name="Day change"/>
    <tableColumn id="7" name="Quote date"/>
    <tableColumn id="8" name="Quote time"/>
    <tableColumn id="9" name="H source"/>
    <tableColumn id="10" name="IPO date"/>
    <tableColumn id="11" name="A code"/>
    <tableColumn id="12" name="A last (CNY)"/>
    <tableColumn id="13" name="A premium"/>
    <tableColumn id="14" name="H since offer"/>
    <tableColumn id="15" name="Status"/>
    <tableColumn id="16" name="A quote date"/>
    <tableColumn id="17" name="A source"/>
  </tableColumns>
  <tableStyleInfo name="TableStyleMedium2" showRowStripes="1"/>
</table>
</file>

<file path=xl/tables/table2.xml><?xml version="1.0" encoding="utf-8"?>
<table xmlns="http://schemas.openxmlformats.org/spreadsheetml/2006/main" id="2" name="AHLivePairs" displayName="AHLivePairs" ref="A36:Q98" headerRowCount="1">
  <autoFilter ref="A36:Q98"/>
  <tableColumns count="17">
    <tableColumn id="1" name="H code"/>
    <tableColumn id="2" name="Company"/>
    <tableColumn id="3" name="Sector"/>
    <tableColumn id="4" name="Subsector"/>
    <tableColumn id="5" name="H last (HK$)"/>
    <tableColumn id="6" name="Day change"/>
    <tableColumn id="7" name="Quote date"/>
    <tableColumn id="8" name="Quote time"/>
    <tableColumn id="9" name="H source"/>
    <tableColumn id="10" name="IPO date"/>
    <tableColumn id="11" name="A code"/>
    <tableColumn id="12" name="A last (CNY)"/>
    <tableColumn id="13" name="A premium"/>
    <tableColumn id="14" name="H since offer"/>
    <tableColumn id="15" name="Status"/>
    <tableColumn id="16" name="A quote date"/>
    <tableColumn id="17" name="A sourc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2.xml" Id="rId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2.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tabColor rgb="002A78D6"/>
    <outlinePr summaryBelow="1" summaryRight="1"/>
    <pageSetUpPr fitToPage="1"/>
  </sheetPr>
  <dimension ref="A1:T532"/>
  <sheetViews>
    <sheetView showGridLines="0" zoomScale="90" workbookViewId="0">
      <pane xSplit="2" ySplit="8" topLeftCell="C9" activePane="bottomRight" state="frozen"/>
      <selection pane="topRight"/>
      <selection pane="bottomLeft"/>
      <selection pane="bottomRight" activeCell="A1" sqref="A1"/>
    </sheetView>
  </sheetViews>
  <sheetFormatPr baseColWidth="8" defaultRowHeight="15"/>
  <cols>
    <col width="9" customWidth="1" min="1" max="1"/>
    <col width="25" customWidth="1" min="2" max="2"/>
    <col width="18" customWidth="1" min="3" max="3"/>
    <col width="26" customWidth="1" min="4" max="4"/>
    <col width="13" customWidth="1" min="5" max="5"/>
    <col width="13" customWidth="1" min="6" max="6"/>
    <col width="15" customWidth="1" min="7" max="7"/>
    <col width="12" customWidth="1" min="8" max="8"/>
    <col width="13" customWidth="1" min="9" max="9"/>
    <col width="15" customWidth="1" min="10" max="10"/>
    <col width="12" customWidth="1" min="11" max="11"/>
    <col width="13" customWidth="1" min="12" max="12"/>
    <col width="13" customWidth="1" min="13" max="13"/>
    <col width="14" customWidth="1" min="14" max="14"/>
    <col width="18" customWidth="1" min="15" max="15"/>
    <col width="15" customWidth="1" min="16" max="16"/>
    <col width="15" customWidth="1" min="17" max="17"/>
    <col hidden="1" width="13" customWidth="1" min="20" max="20"/>
  </cols>
  <sheetData>
    <row r="1" ht="24" customHeight="1">
      <c r="A1" s="1" t="inlineStr">
        <is>
          <t>IPO live prices</t>
        </is>
      </c>
    </row>
    <row r="2" ht="24" customHeight="1"/>
    <row r="3" ht="24" customHeight="1">
      <c r="A3" s="2" t="inlineStr">
        <is>
          <t>Bloomberg live H quotes for every IPO. A prices and current premiums are shown where an A share exists.</t>
        </is>
      </c>
    </row>
    <row r="4" ht="24" customHeight="1">
      <c r="A4" s="3" t="n"/>
      <c r="B4" s="3" t="n"/>
      <c r="C4" s="3" t="n"/>
      <c r="D4" s="3" t="n"/>
      <c r="E4" s="3" t="n"/>
      <c r="F4" s="3" t="n"/>
      <c r="G4" s="3" t="n"/>
      <c r="H4" s="3" t="n"/>
      <c r="I4" s="3" t="n"/>
      <c r="J4" s="3" t="n"/>
      <c r="K4" s="3" t="n"/>
      <c r="L4" s="3" t="n"/>
      <c r="M4" s="3" t="n"/>
      <c r="N4" s="3" t="n"/>
      <c r="O4" s="3" t="n"/>
      <c r="P4" s="3" t="n"/>
      <c r="Q4" s="3" t="n"/>
    </row>
    <row r="5" ht="30" customHeight="1">
      <c r="A5" s="4" t="inlineStr">
        <is>
          <t>Sector</t>
        </is>
      </c>
      <c r="B5" s="5" t="inlineStr">
        <is>
          <t>All</t>
        </is>
      </c>
      <c r="G5" s="3" t="n"/>
      <c r="H5" s="3" t="n"/>
      <c r="I5" s="3" t="n"/>
      <c r="J5" s="3" t="n"/>
      <c r="K5" s="3" t="n"/>
      <c r="L5" s="4" t="inlineStr">
        <is>
          <t>Data mode</t>
        </is>
      </c>
      <c r="M5" s="5" t="inlineStr">
        <is>
          <t>Bloomberg</t>
        </is>
      </c>
    </row>
    <row r="6" ht="24" customHeight="1">
      <c r="A6" s="3" t="n"/>
      <c r="B6" s="3" t="n"/>
      <c r="C6" s="3" t="n"/>
      <c r="D6" s="3" t="n"/>
      <c r="E6" s="3" t="n"/>
      <c r="F6" s="3" t="n"/>
      <c r="G6" s="3" t="n"/>
      <c r="H6" s="3" t="n"/>
      <c r="I6" s="3" t="n"/>
      <c r="J6" s="3" t="n"/>
      <c r="K6" s="3" t="n"/>
      <c r="L6" s="3" t="n"/>
      <c r="M6" s="3" t="n"/>
      <c r="N6" s="3" t="n"/>
      <c r="O6" s="3" t="n"/>
      <c r="P6" s="3" t="n"/>
      <c r="Q6" s="3" t="n"/>
    </row>
    <row r="7" ht="24" customHeight="1">
      <c r="A7" s="2" t="inlineStr">
        <is>
          <t>Daily change is versus the previous trading day close.</t>
        </is>
      </c>
      <c r="H7" s="2">
        <f>"IPOs: "&amp;SUM('Market Data'!$R$5:$R$528)</f>
        <v/>
      </c>
      <c r="L7" s="2" t="inlineStr">
        <is>
          <t>Snapshot option cutoff: 2026-10-02</t>
        </is>
      </c>
    </row>
    <row r="8" ht="48" customHeight="1">
      <c r="A8" s="6" t="inlineStr">
        <is>
          <t>H code</t>
        </is>
      </c>
      <c r="B8" s="6" t="inlineStr">
        <is>
          <t>Company</t>
        </is>
      </c>
      <c r="C8" s="6" t="inlineStr">
        <is>
          <t>Sector</t>
        </is>
      </c>
      <c r="D8" s="6" t="inlineStr">
        <is>
          <t>Subsector</t>
        </is>
      </c>
      <c r="E8" s="6" t="inlineStr">
        <is>
          <t>H last (HK$)</t>
        </is>
      </c>
      <c r="F8" s="6" t="inlineStr">
        <is>
          <t>Day change</t>
        </is>
      </c>
      <c r="G8" s="6" t="inlineStr">
        <is>
          <t>Quote date</t>
        </is>
      </c>
      <c r="H8" s="6" t="inlineStr">
        <is>
          <t>Quote time</t>
        </is>
      </c>
      <c r="I8" s="6" t="inlineStr">
        <is>
          <t>H source</t>
        </is>
      </c>
      <c r="J8" s="6" t="inlineStr">
        <is>
          <t>IPO date</t>
        </is>
      </c>
      <c r="K8" s="6" t="inlineStr">
        <is>
          <t>A code</t>
        </is>
      </c>
      <c r="L8" s="6" t="inlineStr">
        <is>
          <t>A last (CNY)</t>
        </is>
      </c>
      <c r="M8" s="6" t="inlineStr">
        <is>
          <t>A premium</t>
        </is>
      </c>
      <c r="N8" s="6" t="inlineStr">
        <is>
          <t>H since offer</t>
        </is>
      </c>
      <c r="O8" s="6" t="inlineStr">
        <is>
          <t>Status</t>
        </is>
      </c>
      <c r="P8" s="7" t="inlineStr">
        <is>
          <t>A quote date</t>
        </is>
      </c>
      <c r="Q8" s="7" t="inlineStr">
        <is>
          <t>A source</t>
        </is>
      </c>
    </row>
    <row r="9" ht="34" customHeight="1">
      <c r="A9" s="8">
        <f>IF($T9=0,"",IF(INDEX('Market Data'!$A$5:$A$528,$T9)="","",INDEX('Market Data'!$A$5:$A$528,$T9)))</f>
        <v/>
      </c>
      <c r="B9" s="9">
        <f>IF($T9=0,"",IF(INDEX('Market Data'!$B$5:$B$528,$T9)="","",INDEX('Market Data'!$B$5:$B$528,$T9)))</f>
        <v/>
      </c>
      <c r="C9" s="9">
        <f>IF($T9=0,"",IF(INDEX('Market Data'!$C$5:$C$528,$T9)="","",INDEX('Market Data'!$C$5:$C$528,$T9)))</f>
        <v/>
      </c>
      <c r="D9" s="9">
        <f>IF($T9=0,"",IF(INDEX('Market Data'!$D$5:$D$528,$T9)="","",INDEX('Market Data'!$D$5:$D$528,$T9)))</f>
        <v/>
      </c>
      <c r="E9" s="10">
        <f>IF($T9=0,"",INDEX('Market Data'!$O$5:$O$528,$T9))</f>
        <v/>
      </c>
      <c r="F9" s="11">
        <f>IF($T9=0,"",IF(AND($I9="Bloomberg",ISNUMBER(INDEX('Market Data'!$L$5:$L$528,$T9))),INDEX('Market Data'!$L$5:$L$528,$T9),"unavailable"))</f>
        <v/>
      </c>
      <c r="G9" s="12">
        <f>IF($T9=0,"",IF($I9="Bloomberg",IF(AND(ISNUMBER(INDEX('Market Data'!$M$5:$M$528,$T9)),N(INDEX('Market Data'!$M$5:$M$528,$T9))&gt;0),INDEX('Market Data'!$M$5:$M$528,$T9),"date unavailable"),IF($I9="Snapshot",IF(AND(ISNUMBER(INDEX('Market Data'!$H$5:$H$528,$T9)),N(INDEX('Market Data'!$H$5:$H$528,$T9))&gt;0),INDEX('Market Data'!$H$5:$H$528,$T9),"date unavailable"),"date unavailable")))</f>
        <v/>
      </c>
      <c r="H9" s="9">
        <f>IF($T9=0,"",IF($I9="Bloomberg",IF(INDEX('Market Data'!$N$5:$N$528,$T9)="","time unavailable",INDEX('Market Data'!$N$5:$N$528,$T9)),""))</f>
        <v/>
      </c>
      <c r="I9" s="9">
        <f>IF($T9=0,"",INDEX('Market Data'!$P$5:$P$528,$T9))</f>
        <v/>
      </c>
      <c r="J9" s="13">
        <f>IF($T9=0,"",IF(INDEX('Market Data'!$E$5:$E$528,$T9)="","",INDEX('Market Data'!$E$5:$E$528,$T9)))</f>
        <v/>
      </c>
      <c r="K9" s="8">
        <f>IF($T9=0,"",IF(INDEX('Market Data'!$I$5:$I$528,$T9)="","",INDEX('Market Data'!$I$5:$I$528,$T9)))</f>
        <v/>
      </c>
      <c r="L9" s="10">
        <f>IF($T9=0,"",IF(INDEX('Market Data'!$J$5:$J$528,$T9)=0,"n/a",IF(AND($M$5&lt;&gt;"Snapshot",ISNUMBER(INDEX('Market Data'!$AH$5:$AH$66,INDEX('Market Data'!$J$5:$J$528,$T9)-4)),N(INDEX('Market Data'!$AH$5:$AH$66,INDEX('Market Data'!$J$5:$J$528,$T9)-4))&gt;0),INDEX('Market Data'!$AH$5:$AH$66,INDEX('Market Data'!$J$5:$J$528,$T9)-4),IF(AND($M$5&lt;&gt;"Bloomberg",ISNUMBER(INDEX('Market Data'!$AC$5:$AC$66,INDEX('Market Data'!$J$5:$J$528,$T9)-4)),N(INDEX('Market Data'!$AC$5:$AC$66,INDEX('Market Data'!$J$5:$J$528,$T9)-4))&gt;0),INDEX('Market Data'!$AC$5:$AC$66,INDEX('Market Data'!$J$5:$J$528,$T9)-4),"unavailable"))))</f>
        <v/>
      </c>
      <c r="M9" s="11">
        <f>IF($T9=0,"",IF(INDEX('Market Data'!$J$5:$J$528,$T9)=0,"n/a",IF(IF(INDEX('Market Data'!$J$5:$J$528,$T9)=0,0,IF(LEFT(INDEX('Market Data'!$AS$5:$AS$66,INDEX('Market Data'!$J$5:$J$528,$T9)-4),11)="First-month",1,0))=1,"class review",IF($I9="Bloomberg",IF(AND(ISNUMBER(INDEX('Market Data'!$AH$5:$AH$66,INDEX('Market Data'!$J$5:$J$528,$T9)-4)),N(INDEX('Market Data'!$AH$5:$AH$66,INDEX('Market Data'!$J$5:$J$528,$T9)-4))&gt;0,ISNUMBER('Market Data'!$B$1),N('Market Data'!$B$1)&gt;0),INDEX('Market Data'!$AH$5:$AH$66,INDEX('Market Data'!$J$5:$J$528,$T9)-4)*'Market Data'!$B$1/$E9-1,"pending A/FX"),IF(AND($I9="Snapshot",$Q9="Snapshot",ISNUMBER($E9),$G9=INDEX('Market Data'!$AE$5:$AE$66,INDEX('Market Data'!$J$5:$J$528,$T9)-4)),IFERROR(INDEX('Market Data'!$AC$5:$AC$66,INDEX('Market Data'!$J$5:$J$528,$T9)-4)*INDEX('Market Data'!$AD$5:$AD$66,INDEX('Market Data'!$J$5:$J$528,$T9)-4)/$E9-1,"unavailable"),IF($I9="Unavailable","unavailable","date mismatch"))))))</f>
        <v/>
      </c>
      <c r="N9" s="11">
        <f>IF($T9=0,"",IFERROR(IF(AND(N(INDEX('Market Data'!$F$5:$F$528,$T9))&gt;0,ISNUMBER(INDEX('Market Data'!$T$5:$T$528,$T9))),$E9*INDEX('Market Data'!$T$5:$T$528,$T9)/INDEX('Market Data'!$F$5:$F$528,$T9)-1,"unavailable"),"unavailable"))</f>
        <v/>
      </c>
      <c r="O9" s="9">
        <f>IF($T9=0,"",IF(IF(INDEX('Market Data'!$J$5:$J$528,$T9)=0,0,IF(LEFT(INDEX('Market Data'!$AS$5:$AS$66,INDEX('Market Data'!$J$5:$J$528,$T9)-4),11)="First-month",1,0))=1,"Class ratio review",IF($I9="Bloomberg",IF(ISNUMBER($G9),IF($G9&lt;TODAY(),"Older quote","See quote time"),"Date unavailable"),IF($I9="Snapshot",IF($G9&lt;DATEVALUE("2026-10-02"),"Older snapshot","Dated close"),"No valid quote"))))</f>
        <v/>
      </c>
      <c r="P9" s="14">
        <f>IF($T9=0,"",IF(INDEX('Market Data'!$J$5:$J$528,$T9)=0,"n/a",IF($Q9="Bloomberg",IF(AND(ISNUMBER(INDEX('Market Data'!$AK$5:$AK$66,INDEX('Market Data'!$J$5:$J$528,$T9)-4)),N(INDEX('Market Data'!$AK$5:$AK$66,INDEX('Market Data'!$J$5:$J$528,$T9)-4))&gt;0),INDEX('Market Data'!$AK$5:$AK$66,INDEX('Market Data'!$J$5:$J$528,$T9)-4),"date unavailable"),IF($Q9="Snapshot",IF(AND(ISNUMBER(INDEX('Market Data'!$AF$5:$AF$66,INDEX('Market Data'!$J$5:$J$528,$T9)-4)),N(INDEX('Market Data'!$AF$5:$AF$66,INDEX('Market Data'!$J$5:$J$528,$T9)-4))&gt;0),INDEX('Market Data'!$AF$5:$AF$66,INDEX('Market Data'!$J$5:$J$528,$T9)-4),"date unavailable"),"date unavailable"))))</f>
        <v/>
      </c>
      <c r="Q9" s="15">
        <f>IF($T9=0,"",IF(INDEX('Market Data'!$J$5:$J$528,$T9)=0,"n/a",IF(AND($M$5&lt;&gt;"Snapshot",ISNUMBER(INDEX('Market Data'!$AH$5:$AH$66,INDEX('Market Data'!$J$5:$J$528,$T9)-4)),N(INDEX('Market Data'!$AH$5:$AH$66,INDEX('Market Data'!$J$5:$J$528,$T9)-4))&gt;0),"Bloomberg",IF(AND($M$5&lt;&gt;"Bloomberg",ISNUMBER(INDEX('Market Data'!$AC$5:$AC$66,INDEX('Market Data'!$J$5:$J$528,$T9)-4)),N(INDEX('Market Data'!$AC$5:$AC$66,INDEX('Market Data'!$J$5:$J$528,$T9)-4))&gt;0),"Snapshot","Unavailable"))))</f>
        <v/>
      </c>
      <c r="T9">
        <f>IFERROR(MATCH(1,'Market Data'!$S$5:$S$528,0),0)</f>
        <v/>
      </c>
    </row>
    <row r="10" ht="34" customHeight="1">
      <c r="A10" s="8">
        <f>IF($T10=0,"",IF(INDEX('Market Data'!$A$5:$A$528,$T10)="","",INDEX('Market Data'!$A$5:$A$528,$T10)))</f>
        <v/>
      </c>
      <c r="B10" s="9">
        <f>IF($T10=0,"",IF(INDEX('Market Data'!$B$5:$B$528,$T10)="","",INDEX('Market Data'!$B$5:$B$528,$T10)))</f>
        <v/>
      </c>
      <c r="C10" s="9">
        <f>IF($T10=0,"",IF(INDEX('Market Data'!$C$5:$C$528,$T10)="","",INDEX('Market Data'!$C$5:$C$528,$T10)))</f>
        <v/>
      </c>
      <c r="D10" s="9">
        <f>IF($T10=0,"",IF(INDEX('Market Data'!$D$5:$D$528,$T10)="","",INDEX('Market Data'!$D$5:$D$528,$T10)))</f>
        <v/>
      </c>
      <c r="E10" s="10">
        <f>IF($T10=0,"",INDEX('Market Data'!$O$5:$O$528,$T10))</f>
        <v/>
      </c>
      <c r="F10" s="11">
        <f>IF($T10=0,"",IF(AND($I10="Bloomberg",ISNUMBER(INDEX('Market Data'!$L$5:$L$528,$T10))),INDEX('Market Data'!$L$5:$L$528,$T10),"unavailable"))</f>
        <v/>
      </c>
      <c r="G10" s="12">
        <f>IF($T10=0,"",IF($I10="Bloomberg",IF(AND(ISNUMBER(INDEX('Market Data'!$M$5:$M$528,$T10)),N(INDEX('Market Data'!$M$5:$M$528,$T10))&gt;0),INDEX('Market Data'!$M$5:$M$528,$T10),"date unavailable"),IF($I10="Snapshot",IF(AND(ISNUMBER(INDEX('Market Data'!$H$5:$H$528,$T10)),N(INDEX('Market Data'!$H$5:$H$528,$T10))&gt;0),INDEX('Market Data'!$H$5:$H$528,$T10),"date unavailable"),"date unavailable")))</f>
        <v/>
      </c>
      <c r="H10" s="9">
        <f>IF($T10=0,"",IF($I10="Bloomberg",IF(INDEX('Market Data'!$N$5:$N$528,$T10)="","time unavailable",INDEX('Market Data'!$N$5:$N$528,$T10)),""))</f>
        <v/>
      </c>
      <c r="I10" s="9">
        <f>IF($T10=0,"",INDEX('Market Data'!$P$5:$P$528,$T10))</f>
        <v/>
      </c>
      <c r="J10" s="13">
        <f>IF($T10=0,"",IF(INDEX('Market Data'!$E$5:$E$528,$T10)="","",INDEX('Market Data'!$E$5:$E$528,$T10)))</f>
        <v/>
      </c>
      <c r="K10" s="8">
        <f>IF($T10=0,"",IF(INDEX('Market Data'!$I$5:$I$528,$T10)="","",INDEX('Market Data'!$I$5:$I$528,$T10)))</f>
        <v/>
      </c>
      <c r="L10" s="10">
        <f>IF($T10=0,"",IF(INDEX('Market Data'!$J$5:$J$528,$T10)=0,"n/a",IF(AND($M$5&lt;&gt;"Snapshot",ISNUMBER(INDEX('Market Data'!$AH$5:$AH$66,INDEX('Market Data'!$J$5:$J$528,$T10)-4)),N(INDEX('Market Data'!$AH$5:$AH$66,INDEX('Market Data'!$J$5:$J$528,$T10)-4))&gt;0),INDEX('Market Data'!$AH$5:$AH$66,INDEX('Market Data'!$J$5:$J$528,$T10)-4),IF(AND($M$5&lt;&gt;"Bloomberg",ISNUMBER(INDEX('Market Data'!$AC$5:$AC$66,INDEX('Market Data'!$J$5:$J$528,$T10)-4)),N(INDEX('Market Data'!$AC$5:$AC$66,INDEX('Market Data'!$J$5:$J$528,$T10)-4))&gt;0),INDEX('Market Data'!$AC$5:$AC$66,INDEX('Market Data'!$J$5:$J$528,$T10)-4),"unavailable"))))</f>
        <v/>
      </c>
      <c r="M10" s="11">
        <f>IF($T10=0,"",IF(INDEX('Market Data'!$J$5:$J$528,$T10)=0,"n/a",IF(IF(INDEX('Market Data'!$J$5:$J$528,$T10)=0,0,IF(LEFT(INDEX('Market Data'!$AS$5:$AS$66,INDEX('Market Data'!$J$5:$J$528,$T10)-4),11)="First-month",1,0))=1,"class review",IF($I10="Bloomberg",IF(AND(ISNUMBER(INDEX('Market Data'!$AH$5:$AH$66,INDEX('Market Data'!$J$5:$J$528,$T10)-4)),N(INDEX('Market Data'!$AH$5:$AH$66,INDEX('Market Data'!$J$5:$J$528,$T10)-4))&gt;0,ISNUMBER('Market Data'!$B$1),N('Market Data'!$B$1)&gt;0),INDEX('Market Data'!$AH$5:$AH$66,INDEX('Market Data'!$J$5:$J$528,$T10)-4)*'Market Data'!$B$1/$E10-1,"pending A/FX"),IF(AND($I10="Snapshot",$Q10="Snapshot",ISNUMBER($E10),$G10=INDEX('Market Data'!$AE$5:$AE$66,INDEX('Market Data'!$J$5:$J$528,$T10)-4)),IFERROR(INDEX('Market Data'!$AC$5:$AC$66,INDEX('Market Data'!$J$5:$J$528,$T10)-4)*INDEX('Market Data'!$AD$5:$AD$66,INDEX('Market Data'!$J$5:$J$528,$T10)-4)/$E10-1,"unavailable"),IF($I10="Unavailable","unavailable","date mismatch"))))))</f>
        <v/>
      </c>
      <c r="N10" s="11">
        <f>IF($T10=0,"",IFERROR(IF(AND(N(INDEX('Market Data'!$F$5:$F$528,$T10))&gt;0,ISNUMBER(INDEX('Market Data'!$T$5:$T$528,$T10))),$E10*INDEX('Market Data'!$T$5:$T$528,$T10)/INDEX('Market Data'!$F$5:$F$528,$T10)-1,"unavailable"),"unavailable"))</f>
        <v/>
      </c>
      <c r="O10" s="9">
        <f>IF($T10=0,"",IF(IF(INDEX('Market Data'!$J$5:$J$528,$T10)=0,0,IF(LEFT(INDEX('Market Data'!$AS$5:$AS$66,INDEX('Market Data'!$J$5:$J$528,$T10)-4),11)="First-month",1,0))=1,"Class ratio review",IF($I10="Bloomberg",IF(ISNUMBER($G10),IF($G10&lt;TODAY(),"Older quote","See quote time"),"Date unavailable"),IF($I10="Snapshot",IF($G10&lt;DATEVALUE("2026-10-02"),"Older snapshot","Dated close"),"No valid quote"))))</f>
        <v/>
      </c>
      <c r="P10" s="14">
        <f>IF($T10=0,"",IF(INDEX('Market Data'!$J$5:$J$528,$T10)=0,"n/a",IF($Q10="Bloomberg",IF(AND(ISNUMBER(INDEX('Market Data'!$AK$5:$AK$66,INDEX('Market Data'!$J$5:$J$528,$T10)-4)),N(INDEX('Market Data'!$AK$5:$AK$66,INDEX('Market Data'!$J$5:$J$528,$T10)-4))&gt;0),INDEX('Market Data'!$AK$5:$AK$66,INDEX('Market Data'!$J$5:$J$528,$T10)-4),"date unavailable"),IF($Q10="Snapshot",IF(AND(ISNUMBER(INDEX('Market Data'!$AF$5:$AF$66,INDEX('Market Data'!$J$5:$J$528,$T10)-4)),N(INDEX('Market Data'!$AF$5:$AF$66,INDEX('Market Data'!$J$5:$J$528,$T10)-4))&gt;0),INDEX('Market Data'!$AF$5:$AF$66,INDEX('Market Data'!$J$5:$J$528,$T10)-4),"date unavailable"),"date unavailable"))))</f>
        <v/>
      </c>
      <c r="Q10" s="15">
        <f>IF($T10=0,"",IF(INDEX('Market Data'!$J$5:$J$528,$T10)=0,"n/a",IF(AND($M$5&lt;&gt;"Snapshot",ISNUMBER(INDEX('Market Data'!$AH$5:$AH$66,INDEX('Market Data'!$J$5:$J$528,$T10)-4)),N(INDEX('Market Data'!$AH$5:$AH$66,INDEX('Market Data'!$J$5:$J$528,$T10)-4))&gt;0),"Bloomberg",IF(AND($M$5&lt;&gt;"Bloomberg",ISNUMBER(INDEX('Market Data'!$AC$5:$AC$66,INDEX('Market Data'!$J$5:$J$528,$T10)-4)),N(INDEX('Market Data'!$AC$5:$AC$66,INDEX('Market Data'!$J$5:$J$528,$T10)-4))&gt;0),"Snapshot","Unavailable"))))</f>
        <v/>
      </c>
      <c r="T10">
        <f>IFERROR(MATCH(2,'Market Data'!$S$5:$S$528,0),0)</f>
        <v/>
      </c>
    </row>
    <row r="11" ht="34" customHeight="1">
      <c r="A11" s="8">
        <f>IF($T11=0,"",IF(INDEX('Market Data'!$A$5:$A$528,$T11)="","",INDEX('Market Data'!$A$5:$A$528,$T11)))</f>
        <v/>
      </c>
      <c r="B11" s="9">
        <f>IF($T11=0,"",IF(INDEX('Market Data'!$B$5:$B$528,$T11)="","",INDEX('Market Data'!$B$5:$B$528,$T11)))</f>
        <v/>
      </c>
      <c r="C11" s="9">
        <f>IF($T11=0,"",IF(INDEX('Market Data'!$C$5:$C$528,$T11)="","",INDEX('Market Data'!$C$5:$C$528,$T11)))</f>
        <v/>
      </c>
      <c r="D11" s="9">
        <f>IF($T11=0,"",IF(INDEX('Market Data'!$D$5:$D$528,$T11)="","",INDEX('Market Data'!$D$5:$D$528,$T11)))</f>
        <v/>
      </c>
      <c r="E11" s="10">
        <f>IF($T11=0,"",INDEX('Market Data'!$O$5:$O$528,$T11))</f>
        <v/>
      </c>
      <c r="F11" s="11">
        <f>IF($T11=0,"",IF(AND($I11="Bloomberg",ISNUMBER(INDEX('Market Data'!$L$5:$L$528,$T11))),INDEX('Market Data'!$L$5:$L$528,$T11),"unavailable"))</f>
        <v/>
      </c>
      <c r="G11" s="12">
        <f>IF($T11=0,"",IF($I11="Bloomberg",IF(AND(ISNUMBER(INDEX('Market Data'!$M$5:$M$528,$T11)),N(INDEX('Market Data'!$M$5:$M$528,$T11))&gt;0),INDEX('Market Data'!$M$5:$M$528,$T11),"date unavailable"),IF($I11="Snapshot",IF(AND(ISNUMBER(INDEX('Market Data'!$H$5:$H$528,$T11)),N(INDEX('Market Data'!$H$5:$H$528,$T11))&gt;0),INDEX('Market Data'!$H$5:$H$528,$T11),"date unavailable"),"date unavailable")))</f>
        <v/>
      </c>
      <c r="H11" s="9">
        <f>IF($T11=0,"",IF($I11="Bloomberg",IF(INDEX('Market Data'!$N$5:$N$528,$T11)="","time unavailable",INDEX('Market Data'!$N$5:$N$528,$T11)),""))</f>
        <v/>
      </c>
      <c r="I11" s="9">
        <f>IF($T11=0,"",INDEX('Market Data'!$P$5:$P$528,$T11))</f>
        <v/>
      </c>
      <c r="J11" s="13">
        <f>IF($T11=0,"",IF(INDEX('Market Data'!$E$5:$E$528,$T11)="","",INDEX('Market Data'!$E$5:$E$528,$T11)))</f>
        <v/>
      </c>
      <c r="K11" s="8">
        <f>IF($T11=0,"",IF(INDEX('Market Data'!$I$5:$I$528,$T11)="","",INDEX('Market Data'!$I$5:$I$528,$T11)))</f>
        <v/>
      </c>
      <c r="L11" s="10">
        <f>IF($T11=0,"",IF(INDEX('Market Data'!$J$5:$J$528,$T11)=0,"n/a",IF(AND($M$5&lt;&gt;"Snapshot",ISNUMBER(INDEX('Market Data'!$AH$5:$AH$66,INDEX('Market Data'!$J$5:$J$528,$T11)-4)),N(INDEX('Market Data'!$AH$5:$AH$66,INDEX('Market Data'!$J$5:$J$528,$T11)-4))&gt;0),INDEX('Market Data'!$AH$5:$AH$66,INDEX('Market Data'!$J$5:$J$528,$T11)-4),IF(AND($M$5&lt;&gt;"Bloomberg",ISNUMBER(INDEX('Market Data'!$AC$5:$AC$66,INDEX('Market Data'!$J$5:$J$528,$T11)-4)),N(INDEX('Market Data'!$AC$5:$AC$66,INDEX('Market Data'!$J$5:$J$528,$T11)-4))&gt;0),INDEX('Market Data'!$AC$5:$AC$66,INDEX('Market Data'!$J$5:$J$528,$T11)-4),"unavailable"))))</f>
        <v/>
      </c>
      <c r="M11" s="11">
        <f>IF($T11=0,"",IF(INDEX('Market Data'!$J$5:$J$528,$T11)=0,"n/a",IF(IF(INDEX('Market Data'!$J$5:$J$528,$T11)=0,0,IF(LEFT(INDEX('Market Data'!$AS$5:$AS$66,INDEX('Market Data'!$J$5:$J$528,$T11)-4),11)="First-month",1,0))=1,"class review",IF($I11="Bloomberg",IF(AND(ISNUMBER(INDEX('Market Data'!$AH$5:$AH$66,INDEX('Market Data'!$J$5:$J$528,$T11)-4)),N(INDEX('Market Data'!$AH$5:$AH$66,INDEX('Market Data'!$J$5:$J$528,$T11)-4))&gt;0,ISNUMBER('Market Data'!$B$1),N('Market Data'!$B$1)&gt;0),INDEX('Market Data'!$AH$5:$AH$66,INDEX('Market Data'!$J$5:$J$528,$T11)-4)*'Market Data'!$B$1/$E11-1,"pending A/FX"),IF(AND($I11="Snapshot",$Q11="Snapshot",ISNUMBER($E11),$G11=INDEX('Market Data'!$AE$5:$AE$66,INDEX('Market Data'!$J$5:$J$528,$T11)-4)),IFERROR(INDEX('Market Data'!$AC$5:$AC$66,INDEX('Market Data'!$J$5:$J$528,$T11)-4)*INDEX('Market Data'!$AD$5:$AD$66,INDEX('Market Data'!$J$5:$J$528,$T11)-4)/$E11-1,"unavailable"),IF($I11="Unavailable","unavailable","date mismatch"))))))</f>
        <v/>
      </c>
      <c r="N11" s="11">
        <f>IF($T11=0,"",IFERROR(IF(AND(N(INDEX('Market Data'!$F$5:$F$528,$T11))&gt;0,ISNUMBER(INDEX('Market Data'!$T$5:$T$528,$T11))),$E11*INDEX('Market Data'!$T$5:$T$528,$T11)/INDEX('Market Data'!$F$5:$F$528,$T11)-1,"unavailable"),"unavailable"))</f>
        <v/>
      </c>
      <c r="O11" s="9">
        <f>IF($T11=0,"",IF(IF(INDEX('Market Data'!$J$5:$J$528,$T11)=0,0,IF(LEFT(INDEX('Market Data'!$AS$5:$AS$66,INDEX('Market Data'!$J$5:$J$528,$T11)-4),11)="First-month",1,0))=1,"Class ratio review",IF($I11="Bloomberg",IF(ISNUMBER($G11),IF($G11&lt;TODAY(),"Older quote","See quote time"),"Date unavailable"),IF($I11="Snapshot",IF($G11&lt;DATEVALUE("2026-10-02"),"Older snapshot","Dated close"),"No valid quote"))))</f>
        <v/>
      </c>
      <c r="P11" s="14">
        <f>IF($T11=0,"",IF(INDEX('Market Data'!$J$5:$J$528,$T11)=0,"n/a",IF($Q11="Bloomberg",IF(AND(ISNUMBER(INDEX('Market Data'!$AK$5:$AK$66,INDEX('Market Data'!$J$5:$J$528,$T11)-4)),N(INDEX('Market Data'!$AK$5:$AK$66,INDEX('Market Data'!$J$5:$J$528,$T11)-4))&gt;0),INDEX('Market Data'!$AK$5:$AK$66,INDEX('Market Data'!$J$5:$J$528,$T11)-4),"date unavailable"),IF($Q11="Snapshot",IF(AND(ISNUMBER(INDEX('Market Data'!$AF$5:$AF$66,INDEX('Market Data'!$J$5:$J$528,$T11)-4)),N(INDEX('Market Data'!$AF$5:$AF$66,INDEX('Market Data'!$J$5:$J$528,$T11)-4))&gt;0),INDEX('Market Data'!$AF$5:$AF$66,INDEX('Market Data'!$J$5:$J$528,$T11)-4),"date unavailable"),"date unavailable"))))</f>
        <v/>
      </c>
      <c r="Q11" s="15">
        <f>IF($T11=0,"",IF(INDEX('Market Data'!$J$5:$J$528,$T11)=0,"n/a",IF(AND($M$5&lt;&gt;"Snapshot",ISNUMBER(INDEX('Market Data'!$AH$5:$AH$66,INDEX('Market Data'!$J$5:$J$528,$T11)-4)),N(INDEX('Market Data'!$AH$5:$AH$66,INDEX('Market Data'!$J$5:$J$528,$T11)-4))&gt;0),"Bloomberg",IF(AND($M$5&lt;&gt;"Bloomberg",ISNUMBER(INDEX('Market Data'!$AC$5:$AC$66,INDEX('Market Data'!$J$5:$J$528,$T11)-4)),N(INDEX('Market Data'!$AC$5:$AC$66,INDEX('Market Data'!$J$5:$J$528,$T11)-4))&gt;0),"Snapshot","Unavailable"))))</f>
        <v/>
      </c>
      <c r="T11">
        <f>IFERROR(MATCH(3,'Market Data'!$S$5:$S$528,0),0)</f>
        <v/>
      </c>
    </row>
    <row r="12" ht="34" customHeight="1">
      <c r="A12" s="8">
        <f>IF($T12=0,"",IF(INDEX('Market Data'!$A$5:$A$528,$T12)="","",INDEX('Market Data'!$A$5:$A$528,$T12)))</f>
        <v/>
      </c>
      <c r="B12" s="9">
        <f>IF($T12=0,"",IF(INDEX('Market Data'!$B$5:$B$528,$T12)="","",INDEX('Market Data'!$B$5:$B$528,$T12)))</f>
        <v/>
      </c>
      <c r="C12" s="9">
        <f>IF($T12=0,"",IF(INDEX('Market Data'!$C$5:$C$528,$T12)="","",INDEX('Market Data'!$C$5:$C$528,$T12)))</f>
        <v/>
      </c>
      <c r="D12" s="9">
        <f>IF($T12=0,"",IF(INDEX('Market Data'!$D$5:$D$528,$T12)="","",INDEX('Market Data'!$D$5:$D$528,$T12)))</f>
        <v/>
      </c>
      <c r="E12" s="10">
        <f>IF($T12=0,"",INDEX('Market Data'!$O$5:$O$528,$T12))</f>
        <v/>
      </c>
      <c r="F12" s="11">
        <f>IF($T12=0,"",IF(AND($I12="Bloomberg",ISNUMBER(INDEX('Market Data'!$L$5:$L$528,$T12))),INDEX('Market Data'!$L$5:$L$528,$T12),"unavailable"))</f>
        <v/>
      </c>
      <c r="G12" s="12">
        <f>IF($T12=0,"",IF($I12="Bloomberg",IF(AND(ISNUMBER(INDEX('Market Data'!$M$5:$M$528,$T12)),N(INDEX('Market Data'!$M$5:$M$528,$T12))&gt;0),INDEX('Market Data'!$M$5:$M$528,$T12),"date unavailable"),IF($I12="Snapshot",IF(AND(ISNUMBER(INDEX('Market Data'!$H$5:$H$528,$T12)),N(INDEX('Market Data'!$H$5:$H$528,$T12))&gt;0),INDEX('Market Data'!$H$5:$H$528,$T12),"date unavailable"),"date unavailable")))</f>
        <v/>
      </c>
      <c r="H12" s="9">
        <f>IF($T12=0,"",IF($I12="Bloomberg",IF(INDEX('Market Data'!$N$5:$N$528,$T12)="","time unavailable",INDEX('Market Data'!$N$5:$N$528,$T12)),""))</f>
        <v/>
      </c>
      <c r="I12" s="9">
        <f>IF($T12=0,"",INDEX('Market Data'!$P$5:$P$528,$T12))</f>
        <v/>
      </c>
      <c r="J12" s="13">
        <f>IF($T12=0,"",IF(INDEX('Market Data'!$E$5:$E$528,$T12)="","",INDEX('Market Data'!$E$5:$E$528,$T12)))</f>
        <v/>
      </c>
      <c r="K12" s="8">
        <f>IF($T12=0,"",IF(INDEX('Market Data'!$I$5:$I$528,$T12)="","",INDEX('Market Data'!$I$5:$I$528,$T12)))</f>
        <v/>
      </c>
      <c r="L12" s="10">
        <f>IF($T12=0,"",IF(INDEX('Market Data'!$J$5:$J$528,$T12)=0,"n/a",IF(AND($M$5&lt;&gt;"Snapshot",ISNUMBER(INDEX('Market Data'!$AH$5:$AH$66,INDEX('Market Data'!$J$5:$J$528,$T12)-4)),N(INDEX('Market Data'!$AH$5:$AH$66,INDEX('Market Data'!$J$5:$J$528,$T12)-4))&gt;0),INDEX('Market Data'!$AH$5:$AH$66,INDEX('Market Data'!$J$5:$J$528,$T12)-4),IF(AND($M$5&lt;&gt;"Bloomberg",ISNUMBER(INDEX('Market Data'!$AC$5:$AC$66,INDEX('Market Data'!$J$5:$J$528,$T12)-4)),N(INDEX('Market Data'!$AC$5:$AC$66,INDEX('Market Data'!$J$5:$J$528,$T12)-4))&gt;0),INDEX('Market Data'!$AC$5:$AC$66,INDEX('Market Data'!$J$5:$J$528,$T12)-4),"unavailable"))))</f>
        <v/>
      </c>
      <c r="M12" s="11">
        <f>IF($T12=0,"",IF(INDEX('Market Data'!$J$5:$J$528,$T12)=0,"n/a",IF(IF(INDEX('Market Data'!$J$5:$J$528,$T12)=0,0,IF(LEFT(INDEX('Market Data'!$AS$5:$AS$66,INDEX('Market Data'!$J$5:$J$528,$T12)-4),11)="First-month",1,0))=1,"class review",IF($I12="Bloomberg",IF(AND(ISNUMBER(INDEX('Market Data'!$AH$5:$AH$66,INDEX('Market Data'!$J$5:$J$528,$T12)-4)),N(INDEX('Market Data'!$AH$5:$AH$66,INDEX('Market Data'!$J$5:$J$528,$T12)-4))&gt;0,ISNUMBER('Market Data'!$B$1),N('Market Data'!$B$1)&gt;0),INDEX('Market Data'!$AH$5:$AH$66,INDEX('Market Data'!$J$5:$J$528,$T12)-4)*'Market Data'!$B$1/$E12-1,"pending A/FX"),IF(AND($I12="Snapshot",$Q12="Snapshot",ISNUMBER($E12),$G12=INDEX('Market Data'!$AE$5:$AE$66,INDEX('Market Data'!$J$5:$J$528,$T12)-4)),IFERROR(INDEX('Market Data'!$AC$5:$AC$66,INDEX('Market Data'!$J$5:$J$528,$T12)-4)*INDEX('Market Data'!$AD$5:$AD$66,INDEX('Market Data'!$J$5:$J$528,$T12)-4)/$E12-1,"unavailable"),IF($I12="Unavailable","unavailable","date mismatch"))))))</f>
        <v/>
      </c>
      <c r="N12" s="11">
        <f>IF($T12=0,"",IFERROR(IF(AND(N(INDEX('Market Data'!$F$5:$F$528,$T12))&gt;0,ISNUMBER(INDEX('Market Data'!$T$5:$T$528,$T12))),$E12*INDEX('Market Data'!$T$5:$T$528,$T12)/INDEX('Market Data'!$F$5:$F$528,$T12)-1,"unavailable"),"unavailable"))</f>
        <v/>
      </c>
      <c r="O12" s="9">
        <f>IF($T12=0,"",IF(IF(INDEX('Market Data'!$J$5:$J$528,$T12)=0,0,IF(LEFT(INDEX('Market Data'!$AS$5:$AS$66,INDEX('Market Data'!$J$5:$J$528,$T12)-4),11)="First-month",1,0))=1,"Class ratio review",IF($I12="Bloomberg",IF(ISNUMBER($G12),IF($G12&lt;TODAY(),"Older quote","See quote time"),"Date unavailable"),IF($I12="Snapshot",IF($G12&lt;DATEVALUE("2026-10-02"),"Older snapshot","Dated close"),"No valid quote"))))</f>
        <v/>
      </c>
      <c r="P12" s="14">
        <f>IF($T12=0,"",IF(INDEX('Market Data'!$J$5:$J$528,$T12)=0,"n/a",IF($Q12="Bloomberg",IF(AND(ISNUMBER(INDEX('Market Data'!$AK$5:$AK$66,INDEX('Market Data'!$J$5:$J$528,$T12)-4)),N(INDEX('Market Data'!$AK$5:$AK$66,INDEX('Market Data'!$J$5:$J$528,$T12)-4))&gt;0),INDEX('Market Data'!$AK$5:$AK$66,INDEX('Market Data'!$J$5:$J$528,$T12)-4),"date unavailable"),IF($Q12="Snapshot",IF(AND(ISNUMBER(INDEX('Market Data'!$AF$5:$AF$66,INDEX('Market Data'!$J$5:$J$528,$T12)-4)),N(INDEX('Market Data'!$AF$5:$AF$66,INDEX('Market Data'!$J$5:$J$528,$T12)-4))&gt;0),INDEX('Market Data'!$AF$5:$AF$66,INDEX('Market Data'!$J$5:$J$528,$T12)-4),"date unavailable"),"date unavailable"))))</f>
        <v/>
      </c>
      <c r="Q12" s="15">
        <f>IF($T12=0,"",IF(INDEX('Market Data'!$J$5:$J$528,$T12)=0,"n/a",IF(AND($M$5&lt;&gt;"Snapshot",ISNUMBER(INDEX('Market Data'!$AH$5:$AH$66,INDEX('Market Data'!$J$5:$J$528,$T12)-4)),N(INDEX('Market Data'!$AH$5:$AH$66,INDEX('Market Data'!$J$5:$J$528,$T12)-4))&gt;0),"Bloomberg",IF(AND($M$5&lt;&gt;"Bloomberg",ISNUMBER(INDEX('Market Data'!$AC$5:$AC$66,INDEX('Market Data'!$J$5:$J$528,$T12)-4)),N(INDEX('Market Data'!$AC$5:$AC$66,INDEX('Market Data'!$J$5:$J$528,$T12)-4))&gt;0),"Snapshot","Unavailable"))))</f>
        <v/>
      </c>
      <c r="T12">
        <f>IFERROR(MATCH(4,'Market Data'!$S$5:$S$528,0),0)</f>
        <v/>
      </c>
    </row>
    <row r="13" ht="34" customHeight="1">
      <c r="A13" s="8">
        <f>IF($T13=0,"",IF(INDEX('Market Data'!$A$5:$A$528,$T13)="","",INDEX('Market Data'!$A$5:$A$528,$T13)))</f>
        <v/>
      </c>
      <c r="B13" s="9">
        <f>IF($T13=0,"",IF(INDEX('Market Data'!$B$5:$B$528,$T13)="","",INDEX('Market Data'!$B$5:$B$528,$T13)))</f>
        <v/>
      </c>
      <c r="C13" s="9">
        <f>IF($T13=0,"",IF(INDEX('Market Data'!$C$5:$C$528,$T13)="","",INDEX('Market Data'!$C$5:$C$528,$T13)))</f>
        <v/>
      </c>
      <c r="D13" s="9">
        <f>IF($T13=0,"",IF(INDEX('Market Data'!$D$5:$D$528,$T13)="","",INDEX('Market Data'!$D$5:$D$528,$T13)))</f>
        <v/>
      </c>
      <c r="E13" s="10">
        <f>IF($T13=0,"",INDEX('Market Data'!$O$5:$O$528,$T13))</f>
        <v/>
      </c>
      <c r="F13" s="11">
        <f>IF($T13=0,"",IF(AND($I13="Bloomberg",ISNUMBER(INDEX('Market Data'!$L$5:$L$528,$T13))),INDEX('Market Data'!$L$5:$L$528,$T13),"unavailable"))</f>
        <v/>
      </c>
      <c r="G13" s="12">
        <f>IF($T13=0,"",IF($I13="Bloomberg",IF(AND(ISNUMBER(INDEX('Market Data'!$M$5:$M$528,$T13)),N(INDEX('Market Data'!$M$5:$M$528,$T13))&gt;0),INDEX('Market Data'!$M$5:$M$528,$T13),"date unavailable"),IF($I13="Snapshot",IF(AND(ISNUMBER(INDEX('Market Data'!$H$5:$H$528,$T13)),N(INDEX('Market Data'!$H$5:$H$528,$T13))&gt;0),INDEX('Market Data'!$H$5:$H$528,$T13),"date unavailable"),"date unavailable")))</f>
        <v/>
      </c>
      <c r="H13" s="9">
        <f>IF($T13=0,"",IF($I13="Bloomberg",IF(INDEX('Market Data'!$N$5:$N$528,$T13)="","time unavailable",INDEX('Market Data'!$N$5:$N$528,$T13)),""))</f>
        <v/>
      </c>
      <c r="I13" s="9">
        <f>IF($T13=0,"",INDEX('Market Data'!$P$5:$P$528,$T13))</f>
        <v/>
      </c>
      <c r="J13" s="13">
        <f>IF($T13=0,"",IF(INDEX('Market Data'!$E$5:$E$528,$T13)="","",INDEX('Market Data'!$E$5:$E$528,$T13)))</f>
        <v/>
      </c>
      <c r="K13" s="8">
        <f>IF($T13=0,"",IF(INDEX('Market Data'!$I$5:$I$528,$T13)="","",INDEX('Market Data'!$I$5:$I$528,$T13)))</f>
        <v/>
      </c>
      <c r="L13" s="10">
        <f>IF($T13=0,"",IF(INDEX('Market Data'!$J$5:$J$528,$T13)=0,"n/a",IF(AND($M$5&lt;&gt;"Snapshot",ISNUMBER(INDEX('Market Data'!$AH$5:$AH$66,INDEX('Market Data'!$J$5:$J$528,$T13)-4)),N(INDEX('Market Data'!$AH$5:$AH$66,INDEX('Market Data'!$J$5:$J$528,$T13)-4))&gt;0),INDEX('Market Data'!$AH$5:$AH$66,INDEX('Market Data'!$J$5:$J$528,$T13)-4),IF(AND($M$5&lt;&gt;"Bloomberg",ISNUMBER(INDEX('Market Data'!$AC$5:$AC$66,INDEX('Market Data'!$J$5:$J$528,$T13)-4)),N(INDEX('Market Data'!$AC$5:$AC$66,INDEX('Market Data'!$J$5:$J$528,$T13)-4))&gt;0),INDEX('Market Data'!$AC$5:$AC$66,INDEX('Market Data'!$J$5:$J$528,$T13)-4),"unavailable"))))</f>
        <v/>
      </c>
      <c r="M13" s="11">
        <f>IF($T13=0,"",IF(INDEX('Market Data'!$J$5:$J$528,$T13)=0,"n/a",IF(IF(INDEX('Market Data'!$J$5:$J$528,$T13)=0,0,IF(LEFT(INDEX('Market Data'!$AS$5:$AS$66,INDEX('Market Data'!$J$5:$J$528,$T13)-4),11)="First-month",1,0))=1,"class review",IF($I13="Bloomberg",IF(AND(ISNUMBER(INDEX('Market Data'!$AH$5:$AH$66,INDEX('Market Data'!$J$5:$J$528,$T13)-4)),N(INDEX('Market Data'!$AH$5:$AH$66,INDEX('Market Data'!$J$5:$J$528,$T13)-4))&gt;0,ISNUMBER('Market Data'!$B$1),N('Market Data'!$B$1)&gt;0),INDEX('Market Data'!$AH$5:$AH$66,INDEX('Market Data'!$J$5:$J$528,$T13)-4)*'Market Data'!$B$1/$E13-1,"pending A/FX"),IF(AND($I13="Snapshot",$Q13="Snapshot",ISNUMBER($E13),$G13=INDEX('Market Data'!$AE$5:$AE$66,INDEX('Market Data'!$J$5:$J$528,$T13)-4)),IFERROR(INDEX('Market Data'!$AC$5:$AC$66,INDEX('Market Data'!$J$5:$J$528,$T13)-4)*INDEX('Market Data'!$AD$5:$AD$66,INDEX('Market Data'!$J$5:$J$528,$T13)-4)/$E13-1,"unavailable"),IF($I13="Unavailable","unavailable","date mismatch"))))))</f>
        <v/>
      </c>
      <c r="N13" s="11">
        <f>IF($T13=0,"",IFERROR(IF(AND(N(INDEX('Market Data'!$F$5:$F$528,$T13))&gt;0,ISNUMBER(INDEX('Market Data'!$T$5:$T$528,$T13))),$E13*INDEX('Market Data'!$T$5:$T$528,$T13)/INDEX('Market Data'!$F$5:$F$528,$T13)-1,"unavailable"),"unavailable"))</f>
        <v/>
      </c>
      <c r="O13" s="9">
        <f>IF($T13=0,"",IF(IF(INDEX('Market Data'!$J$5:$J$528,$T13)=0,0,IF(LEFT(INDEX('Market Data'!$AS$5:$AS$66,INDEX('Market Data'!$J$5:$J$528,$T13)-4),11)="First-month",1,0))=1,"Class ratio review",IF($I13="Bloomberg",IF(ISNUMBER($G13),IF($G13&lt;TODAY(),"Older quote","See quote time"),"Date unavailable"),IF($I13="Snapshot",IF($G13&lt;DATEVALUE("2026-10-02"),"Older snapshot","Dated close"),"No valid quote"))))</f>
        <v/>
      </c>
      <c r="P13" s="14">
        <f>IF($T13=0,"",IF(INDEX('Market Data'!$J$5:$J$528,$T13)=0,"n/a",IF($Q13="Bloomberg",IF(AND(ISNUMBER(INDEX('Market Data'!$AK$5:$AK$66,INDEX('Market Data'!$J$5:$J$528,$T13)-4)),N(INDEX('Market Data'!$AK$5:$AK$66,INDEX('Market Data'!$J$5:$J$528,$T13)-4))&gt;0),INDEX('Market Data'!$AK$5:$AK$66,INDEX('Market Data'!$J$5:$J$528,$T13)-4),"date unavailable"),IF($Q13="Snapshot",IF(AND(ISNUMBER(INDEX('Market Data'!$AF$5:$AF$66,INDEX('Market Data'!$J$5:$J$528,$T13)-4)),N(INDEX('Market Data'!$AF$5:$AF$66,INDEX('Market Data'!$J$5:$J$528,$T13)-4))&gt;0),INDEX('Market Data'!$AF$5:$AF$66,INDEX('Market Data'!$J$5:$J$528,$T13)-4),"date unavailable"),"date unavailable"))))</f>
        <v/>
      </c>
      <c r="Q13" s="15">
        <f>IF($T13=0,"",IF(INDEX('Market Data'!$J$5:$J$528,$T13)=0,"n/a",IF(AND($M$5&lt;&gt;"Snapshot",ISNUMBER(INDEX('Market Data'!$AH$5:$AH$66,INDEX('Market Data'!$J$5:$J$528,$T13)-4)),N(INDEX('Market Data'!$AH$5:$AH$66,INDEX('Market Data'!$J$5:$J$528,$T13)-4))&gt;0),"Bloomberg",IF(AND($M$5&lt;&gt;"Bloomberg",ISNUMBER(INDEX('Market Data'!$AC$5:$AC$66,INDEX('Market Data'!$J$5:$J$528,$T13)-4)),N(INDEX('Market Data'!$AC$5:$AC$66,INDEX('Market Data'!$J$5:$J$528,$T13)-4))&gt;0),"Snapshot","Unavailable"))))</f>
        <v/>
      </c>
      <c r="T13">
        <f>IFERROR(MATCH(5,'Market Data'!$S$5:$S$528,0),0)</f>
        <v/>
      </c>
    </row>
    <row r="14" ht="34" customHeight="1">
      <c r="A14" s="8">
        <f>IF($T14=0,"",IF(INDEX('Market Data'!$A$5:$A$528,$T14)="","",INDEX('Market Data'!$A$5:$A$528,$T14)))</f>
        <v/>
      </c>
      <c r="B14" s="9">
        <f>IF($T14=0,"",IF(INDEX('Market Data'!$B$5:$B$528,$T14)="","",INDEX('Market Data'!$B$5:$B$528,$T14)))</f>
        <v/>
      </c>
      <c r="C14" s="9">
        <f>IF($T14=0,"",IF(INDEX('Market Data'!$C$5:$C$528,$T14)="","",INDEX('Market Data'!$C$5:$C$528,$T14)))</f>
        <v/>
      </c>
      <c r="D14" s="9">
        <f>IF($T14=0,"",IF(INDEX('Market Data'!$D$5:$D$528,$T14)="","",INDEX('Market Data'!$D$5:$D$528,$T14)))</f>
        <v/>
      </c>
      <c r="E14" s="10">
        <f>IF($T14=0,"",INDEX('Market Data'!$O$5:$O$528,$T14))</f>
        <v/>
      </c>
      <c r="F14" s="11">
        <f>IF($T14=0,"",IF(AND($I14="Bloomberg",ISNUMBER(INDEX('Market Data'!$L$5:$L$528,$T14))),INDEX('Market Data'!$L$5:$L$528,$T14),"unavailable"))</f>
        <v/>
      </c>
      <c r="G14" s="12">
        <f>IF($T14=0,"",IF($I14="Bloomberg",IF(AND(ISNUMBER(INDEX('Market Data'!$M$5:$M$528,$T14)),N(INDEX('Market Data'!$M$5:$M$528,$T14))&gt;0),INDEX('Market Data'!$M$5:$M$528,$T14),"date unavailable"),IF($I14="Snapshot",IF(AND(ISNUMBER(INDEX('Market Data'!$H$5:$H$528,$T14)),N(INDEX('Market Data'!$H$5:$H$528,$T14))&gt;0),INDEX('Market Data'!$H$5:$H$528,$T14),"date unavailable"),"date unavailable")))</f>
        <v/>
      </c>
      <c r="H14" s="9">
        <f>IF($T14=0,"",IF($I14="Bloomberg",IF(INDEX('Market Data'!$N$5:$N$528,$T14)="","time unavailable",INDEX('Market Data'!$N$5:$N$528,$T14)),""))</f>
        <v/>
      </c>
      <c r="I14" s="9">
        <f>IF($T14=0,"",INDEX('Market Data'!$P$5:$P$528,$T14))</f>
        <v/>
      </c>
      <c r="J14" s="13">
        <f>IF($T14=0,"",IF(INDEX('Market Data'!$E$5:$E$528,$T14)="","",INDEX('Market Data'!$E$5:$E$528,$T14)))</f>
        <v/>
      </c>
      <c r="K14" s="8">
        <f>IF($T14=0,"",IF(INDEX('Market Data'!$I$5:$I$528,$T14)="","",INDEX('Market Data'!$I$5:$I$528,$T14)))</f>
        <v/>
      </c>
      <c r="L14" s="10">
        <f>IF($T14=0,"",IF(INDEX('Market Data'!$J$5:$J$528,$T14)=0,"n/a",IF(AND($M$5&lt;&gt;"Snapshot",ISNUMBER(INDEX('Market Data'!$AH$5:$AH$66,INDEX('Market Data'!$J$5:$J$528,$T14)-4)),N(INDEX('Market Data'!$AH$5:$AH$66,INDEX('Market Data'!$J$5:$J$528,$T14)-4))&gt;0),INDEX('Market Data'!$AH$5:$AH$66,INDEX('Market Data'!$J$5:$J$528,$T14)-4),IF(AND($M$5&lt;&gt;"Bloomberg",ISNUMBER(INDEX('Market Data'!$AC$5:$AC$66,INDEX('Market Data'!$J$5:$J$528,$T14)-4)),N(INDEX('Market Data'!$AC$5:$AC$66,INDEX('Market Data'!$J$5:$J$528,$T14)-4))&gt;0),INDEX('Market Data'!$AC$5:$AC$66,INDEX('Market Data'!$J$5:$J$528,$T14)-4),"unavailable"))))</f>
        <v/>
      </c>
      <c r="M14" s="11">
        <f>IF($T14=0,"",IF(INDEX('Market Data'!$J$5:$J$528,$T14)=0,"n/a",IF(IF(INDEX('Market Data'!$J$5:$J$528,$T14)=0,0,IF(LEFT(INDEX('Market Data'!$AS$5:$AS$66,INDEX('Market Data'!$J$5:$J$528,$T14)-4),11)="First-month",1,0))=1,"class review",IF($I14="Bloomberg",IF(AND(ISNUMBER(INDEX('Market Data'!$AH$5:$AH$66,INDEX('Market Data'!$J$5:$J$528,$T14)-4)),N(INDEX('Market Data'!$AH$5:$AH$66,INDEX('Market Data'!$J$5:$J$528,$T14)-4))&gt;0,ISNUMBER('Market Data'!$B$1),N('Market Data'!$B$1)&gt;0),INDEX('Market Data'!$AH$5:$AH$66,INDEX('Market Data'!$J$5:$J$528,$T14)-4)*'Market Data'!$B$1/$E14-1,"pending A/FX"),IF(AND($I14="Snapshot",$Q14="Snapshot",ISNUMBER($E14),$G14=INDEX('Market Data'!$AE$5:$AE$66,INDEX('Market Data'!$J$5:$J$528,$T14)-4)),IFERROR(INDEX('Market Data'!$AC$5:$AC$66,INDEX('Market Data'!$J$5:$J$528,$T14)-4)*INDEX('Market Data'!$AD$5:$AD$66,INDEX('Market Data'!$J$5:$J$528,$T14)-4)/$E14-1,"unavailable"),IF($I14="Unavailable","unavailable","date mismatch"))))))</f>
        <v/>
      </c>
      <c r="N14" s="11">
        <f>IF($T14=0,"",IFERROR(IF(AND(N(INDEX('Market Data'!$F$5:$F$528,$T14))&gt;0,ISNUMBER(INDEX('Market Data'!$T$5:$T$528,$T14))),$E14*INDEX('Market Data'!$T$5:$T$528,$T14)/INDEX('Market Data'!$F$5:$F$528,$T14)-1,"unavailable"),"unavailable"))</f>
        <v/>
      </c>
      <c r="O14" s="9">
        <f>IF($T14=0,"",IF(IF(INDEX('Market Data'!$J$5:$J$528,$T14)=0,0,IF(LEFT(INDEX('Market Data'!$AS$5:$AS$66,INDEX('Market Data'!$J$5:$J$528,$T14)-4),11)="First-month",1,0))=1,"Class ratio review",IF($I14="Bloomberg",IF(ISNUMBER($G14),IF($G14&lt;TODAY(),"Older quote","See quote time"),"Date unavailable"),IF($I14="Snapshot",IF($G14&lt;DATEVALUE("2026-10-02"),"Older snapshot","Dated close"),"No valid quote"))))</f>
        <v/>
      </c>
      <c r="P14" s="14">
        <f>IF($T14=0,"",IF(INDEX('Market Data'!$J$5:$J$528,$T14)=0,"n/a",IF($Q14="Bloomberg",IF(AND(ISNUMBER(INDEX('Market Data'!$AK$5:$AK$66,INDEX('Market Data'!$J$5:$J$528,$T14)-4)),N(INDEX('Market Data'!$AK$5:$AK$66,INDEX('Market Data'!$J$5:$J$528,$T14)-4))&gt;0),INDEX('Market Data'!$AK$5:$AK$66,INDEX('Market Data'!$J$5:$J$528,$T14)-4),"date unavailable"),IF($Q14="Snapshot",IF(AND(ISNUMBER(INDEX('Market Data'!$AF$5:$AF$66,INDEX('Market Data'!$J$5:$J$528,$T14)-4)),N(INDEX('Market Data'!$AF$5:$AF$66,INDEX('Market Data'!$J$5:$J$528,$T14)-4))&gt;0),INDEX('Market Data'!$AF$5:$AF$66,INDEX('Market Data'!$J$5:$J$528,$T14)-4),"date unavailable"),"date unavailable"))))</f>
        <v/>
      </c>
      <c r="Q14" s="15">
        <f>IF($T14=0,"",IF(INDEX('Market Data'!$J$5:$J$528,$T14)=0,"n/a",IF(AND($M$5&lt;&gt;"Snapshot",ISNUMBER(INDEX('Market Data'!$AH$5:$AH$66,INDEX('Market Data'!$J$5:$J$528,$T14)-4)),N(INDEX('Market Data'!$AH$5:$AH$66,INDEX('Market Data'!$J$5:$J$528,$T14)-4))&gt;0),"Bloomberg",IF(AND($M$5&lt;&gt;"Bloomberg",ISNUMBER(INDEX('Market Data'!$AC$5:$AC$66,INDEX('Market Data'!$J$5:$J$528,$T14)-4)),N(INDEX('Market Data'!$AC$5:$AC$66,INDEX('Market Data'!$J$5:$J$528,$T14)-4))&gt;0),"Snapshot","Unavailable"))))</f>
        <v/>
      </c>
      <c r="T14">
        <f>IFERROR(MATCH(6,'Market Data'!$S$5:$S$528,0),0)</f>
        <v/>
      </c>
    </row>
    <row r="15" ht="34" customHeight="1">
      <c r="A15" s="8">
        <f>IF($T15=0,"",IF(INDEX('Market Data'!$A$5:$A$528,$T15)="","",INDEX('Market Data'!$A$5:$A$528,$T15)))</f>
        <v/>
      </c>
      <c r="B15" s="9">
        <f>IF($T15=0,"",IF(INDEX('Market Data'!$B$5:$B$528,$T15)="","",INDEX('Market Data'!$B$5:$B$528,$T15)))</f>
        <v/>
      </c>
      <c r="C15" s="9">
        <f>IF($T15=0,"",IF(INDEX('Market Data'!$C$5:$C$528,$T15)="","",INDEX('Market Data'!$C$5:$C$528,$T15)))</f>
        <v/>
      </c>
      <c r="D15" s="9">
        <f>IF($T15=0,"",IF(INDEX('Market Data'!$D$5:$D$528,$T15)="","",INDEX('Market Data'!$D$5:$D$528,$T15)))</f>
        <v/>
      </c>
      <c r="E15" s="10">
        <f>IF($T15=0,"",INDEX('Market Data'!$O$5:$O$528,$T15))</f>
        <v/>
      </c>
      <c r="F15" s="11">
        <f>IF($T15=0,"",IF(AND($I15="Bloomberg",ISNUMBER(INDEX('Market Data'!$L$5:$L$528,$T15))),INDEX('Market Data'!$L$5:$L$528,$T15),"unavailable"))</f>
        <v/>
      </c>
      <c r="G15" s="12">
        <f>IF($T15=0,"",IF($I15="Bloomberg",IF(AND(ISNUMBER(INDEX('Market Data'!$M$5:$M$528,$T15)),N(INDEX('Market Data'!$M$5:$M$528,$T15))&gt;0),INDEX('Market Data'!$M$5:$M$528,$T15),"date unavailable"),IF($I15="Snapshot",IF(AND(ISNUMBER(INDEX('Market Data'!$H$5:$H$528,$T15)),N(INDEX('Market Data'!$H$5:$H$528,$T15))&gt;0),INDEX('Market Data'!$H$5:$H$528,$T15),"date unavailable"),"date unavailable")))</f>
        <v/>
      </c>
      <c r="H15" s="9">
        <f>IF($T15=0,"",IF($I15="Bloomberg",IF(INDEX('Market Data'!$N$5:$N$528,$T15)="","time unavailable",INDEX('Market Data'!$N$5:$N$528,$T15)),""))</f>
        <v/>
      </c>
      <c r="I15" s="9">
        <f>IF($T15=0,"",INDEX('Market Data'!$P$5:$P$528,$T15))</f>
        <v/>
      </c>
      <c r="J15" s="13">
        <f>IF($T15=0,"",IF(INDEX('Market Data'!$E$5:$E$528,$T15)="","",INDEX('Market Data'!$E$5:$E$528,$T15)))</f>
        <v/>
      </c>
      <c r="K15" s="8">
        <f>IF($T15=0,"",IF(INDEX('Market Data'!$I$5:$I$528,$T15)="","",INDEX('Market Data'!$I$5:$I$528,$T15)))</f>
        <v/>
      </c>
      <c r="L15" s="10">
        <f>IF($T15=0,"",IF(INDEX('Market Data'!$J$5:$J$528,$T15)=0,"n/a",IF(AND($M$5&lt;&gt;"Snapshot",ISNUMBER(INDEX('Market Data'!$AH$5:$AH$66,INDEX('Market Data'!$J$5:$J$528,$T15)-4)),N(INDEX('Market Data'!$AH$5:$AH$66,INDEX('Market Data'!$J$5:$J$528,$T15)-4))&gt;0),INDEX('Market Data'!$AH$5:$AH$66,INDEX('Market Data'!$J$5:$J$528,$T15)-4),IF(AND($M$5&lt;&gt;"Bloomberg",ISNUMBER(INDEX('Market Data'!$AC$5:$AC$66,INDEX('Market Data'!$J$5:$J$528,$T15)-4)),N(INDEX('Market Data'!$AC$5:$AC$66,INDEX('Market Data'!$J$5:$J$528,$T15)-4))&gt;0),INDEX('Market Data'!$AC$5:$AC$66,INDEX('Market Data'!$J$5:$J$528,$T15)-4),"unavailable"))))</f>
        <v/>
      </c>
      <c r="M15" s="11">
        <f>IF($T15=0,"",IF(INDEX('Market Data'!$J$5:$J$528,$T15)=0,"n/a",IF(IF(INDEX('Market Data'!$J$5:$J$528,$T15)=0,0,IF(LEFT(INDEX('Market Data'!$AS$5:$AS$66,INDEX('Market Data'!$J$5:$J$528,$T15)-4),11)="First-month",1,0))=1,"class review",IF($I15="Bloomberg",IF(AND(ISNUMBER(INDEX('Market Data'!$AH$5:$AH$66,INDEX('Market Data'!$J$5:$J$528,$T15)-4)),N(INDEX('Market Data'!$AH$5:$AH$66,INDEX('Market Data'!$J$5:$J$528,$T15)-4))&gt;0,ISNUMBER('Market Data'!$B$1),N('Market Data'!$B$1)&gt;0),INDEX('Market Data'!$AH$5:$AH$66,INDEX('Market Data'!$J$5:$J$528,$T15)-4)*'Market Data'!$B$1/$E15-1,"pending A/FX"),IF(AND($I15="Snapshot",$Q15="Snapshot",ISNUMBER($E15),$G15=INDEX('Market Data'!$AE$5:$AE$66,INDEX('Market Data'!$J$5:$J$528,$T15)-4)),IFERROR(INDEX('Market Data'!$AC$5:$AC$66,INDEX('Market Data'!$J$5:$J$528,$T15)-4)*INDEX('Market Data'!$AD$5:$AD$66,INDEX('Market Data'!$J$5:$J$528,$T15)-4)/$E15-1,"unavailable"),IF($I15="Unavailable","unavailable","date mismatch"))))))</f>
        <v/>
      </c>
      <c r="N15" s="11">
        <f>IF($T15=0,"",IFERROR(IF(AND(N(INDEX('Market Data'!$F$5:$F$528,$T15))&gt;0,ISNUMBER(INDEX('Market Data'!$T$5:$T$528,$T15))),$E15*INDEX('Market Data'!$T$5:$T$528,$T15)/INDEX('Market Data'!$F$5:$F$528,$T15)-1,"unavailable"),"unavailable"))</f>
        <v/>
      </c>
      <c r="O15" s="9">
        <f>IF($T15=0,"",IF(IF(INDEX('Market Data'!$J$5:$J$528,$T15)=0,0,IF(LEFT(INDEX('Market Data'!$AS$5:$AS$66,INDEX('Market Data'!$J$5:$J$528,$T15)-4),11)="First-month",1,0))=1,"Class ratio review",IF($I15="Bloomberg",IF(ISNUMBER($G15),IF($G15&lt;TODAY(),"Older quote","See quote time"),"Date unavailable"),IF($I15="Snapshot",IF($G15&lt;DATEVALUE("2026-10-02"),"Older snapshot","Dated close"),"No valid quote"))))</f>
        <v/>
      </c>
      <c r="P15" s="14">
        <f>IF($T15=0,"",IF(INDEX('Market Data'!$J$5:$J$528,$T15)=0,"n/a",IF($Q15="Bloomberg",IF(AND(ISNUMBER(INDEX('Market Data'!$AK$5:$AK$66,INDEX('Market Data'!$J$5:$J$528,$T15)-4)),N(INDEX('Market Data'!$AK$5:$AK$66,INDEX('Market Data'!$J$5:$J$528,$T15)-4))&gt;0),INDEX('Market Data'!$AK$5:$AK$66,INDEX('Market Data'!$J$5:$J$528,$T15)-4),"date unavailable"),IF($Q15="Snapshot",IF(AND(ISNUMBER(INDEX('Market Data'!$AF$5:$AF$66,INDEX('Market Data'!$J$5:$J$528,$T15)-4)),N(INDEX('Market Data'!$AF$5:$AF$66,INDEX('Market Data'!$J$5:$J$528,$T15)-4))&gt;0),INDEX('Market Data'!$AF$5:$AF$66,INDEX('Market Data'!$J$5:$J$528,$T15)-4),"date unavailable"),"date unavailable"))))</f>
        <v/>
      </c>
      <c r="Q15" s="15">
        <f>IF($T15=0,"",IF(INDEX('Market Data'!$J$5:$J$528,$T15)=0,"n/a",IF(AND($M$5&lt;&gt;"Snapshot",ISNUMBER(INDEX('Market Data'!$AH$5:$AH$66,INDEX('Market Data'!$J$5:$J$528,$T15)-4)),N(INDEX('Market Data'!$AH$5:$AH$66,INDEX('Market Data'!$J$5:$J$528,$T15)-4))&gt;0),"Bloomberg",IF(AND($M$5&lt;&gt;"Bloomberg",ISNUMBER(INDEX('Market Data'!$AC$5:$AC$66,INDEX('Market Data'!$J$5:$J$528,$T15)-4)),N(INDEX('Market Data'!$AC$5:$AC$66,INDEX('Market Data'!$J$5:$J$528,$T15)-4))&gt;0),"Snapshot","Unavailable"))))</f>
        <v/>
      </c>
      <c r="T15">
        <f>IFERROR(MATCH(7,'Market Data'!$S$5:$S$528,0),0)</f>
        <v/>
      </c>
    </row>
    <row r="16" ht="34" customHeight="1">
      <c r="A16" s="8">
        <f>IF($T16=0,"",IF(INDEX('Market Data'!$A$5:$A$528,$T16)="","",INDEX('Market Data'!$A$5:$A$528,$T16)))</f>
        <v/>
      </c>
      <c r="B16" s="9">
        <f>IF($T16=0,"",IF(INDEX('Market Data'!$B$5:$B$528,$T16)="","",INDEX('Market Data'!$B$5:$B$528,$T16)))</f>
        <v/>
      </c>
      <c r="C16" s="9">
        <f>IF($T16=0,"",IF(INDEX('Market Data'!$C$5:$C$528,$T16)="","",INDEX('Market Data'!$C$5:$C$528,$T16)))</f>
        <v/>
      </c>
      <c r="D16" s="9">
        <f>IF($T16=0,"",IF(INDEX('Market Data'!$D$5:$D$528,$T16)="","",INDEX('Market Data'!$D$5:$D$528,$T16)))</f>
        <v/>
      </c>
      <c r="E16" s="10">
        <f>IF($T16=0,"",INDEX('Market Data'!$O$5:$O$528,$T16))</f>
        <v/>
      </c>
      <c r="F16" s="11">
        <f>IF($T16=0,"",IF(AND($I16="Bloomberg",ISNUMBER(INDEX('Market Data'!$L$5:$L$528,$T16))),INDEX('Market Data'!$L$5:$L$528,$T16),"unavailable"))</f>
        <v/>
      </c>
      <c r="G16" s="12">
        <f>IF($T16=0,"",IF($I16="Bloomberg",IF(AND(ISNUMBER(INDEX('Market Data'!$M$5:$M$528,$T16)),N(INDEX('Market Data'!$M$5:$M$528,$T16))&gt;0),INDEX('Market Data'!$M$5:$M$528,$T16),"date unavailable"),IF($I16="Snapshot",IF(AND(ISNUMBER(INDEX('Market Data'!$H$5:$H$528,$T16)),N(INDEX('Market Data'!$H$5:$H$528,$T16))&gt;0),INDEX('Market Data'!$H$5:$H$528,$T16),"date unavailable"),"date unavailable")))</f>
        <v/>
      </c>
      <c r="H16" s="9">
        <f>IF($T16=0,"",IF($I16="Bloomberg",IF(INDEX('Market Data'!$N$5:$N$528,$T16)="","time unavailable",INDEX('Market Data'!$N$5:$N$528,$T16)),""))</f>
        <v/>
      </c>
      <c r="I16" s="9">
        <f>IF($T16=0,"",INDEX('Market Data'!$P$5:$P$528,$T16))</f>
        <v/>
      </c>
      <c r="J16" s="13">
        <f>IF($T16=0,"",IF(INDEX('Market Data'!$E$5:$E$528,$T16)="","",INDEX('Market Data'!$E$5:$E$528,$T16)))</f>
        <v/>
      </c>
      <c r="K16" s="8">
        <f>IF($T16=0,"",IF(INDEX('Market Data'!$I$5:$I$528,$T16)="","",INDEX('Market Data'!$I$5:$I$528,$T16)))</f>
        <v/>
      </c>
      <c r="L16" s="10">
        <f>IF($T16=0,"",IF(INDEX('Market Data'!$J$5:$J$528,$T16)=0,"n/a",IF(AND($M$5&lt;&gt;"Snapshot",ISNUMBER(INDEX('Market Data'!$AH$5:$AH$66,INDEX('Market Data'!$J$5:$J$528,$T16)-4)),N(INDEX('Market Data'!$AH$5:$AH$66,INDEX('Market Data'!$J$5:$J$528,$T16)-4))&gt;0),INDEX('Market Data'!$AH$5:$AH$66,INDEX('Market Data'!$J$5:$J$528,$T16)-4),IF(AND($M$5&lt;&gt;"Bloomberg",ISNUMBER(INDEX('Market Data'!$AC$5:$AC$66,INDEX('Market Data'!$J$5:$J$528,$T16)-4)),N(INDEX('Market Data'!$AC$5:$AC$66,INDEX('Market Data'!$J$5:$J$528,$T16)-4))&gt;0),INDEX('Market Data'!$AC$5:$AC$66,INDEX('Market Data'!$J$5:$J$528,$T16)-4),"unavailable"))))</f>
        <v/>
      </c>
      <c r="M16" s="11">
        <f>IF($T16=0,"",IF(INDEX('Market Data'!$J$5:$J$528,$T16)=0,"n/a",IF(IF(INDEX('Market Data'!$J$5:$J$528,$T16)=0,0,IF(LEFT(INDEX('Market Data'!$AS$5:$AS$66,INDEX('Market Data'!$J$5:$J$528,$T16)-4),11)="First-month",1,0))=1,"class review",IF($I16="Bloomberg",IF(AND(ISNUMBER(INDEX('Market Data'!$AH$5:$AH$66,INDEX('Market Data'!$J$5:$J$528,$T16)-4)),N(INDEX('Market Data'!$AH$5:$AH$66,INDEX('Market Data'!$J$5:$J$528,$T16)-4))&gt;0,ISNUMBER('Market Data'!$B$1),N('Market Data'!$B$1)&gt;0),INDEX('Market Data'!$AH$5:$AH$66,INDEX('Market Data'!$J$5:$J$528,$T16)-4)*'Market Data'!$B$1/$E16-1,"pending A/FX"),IF(AND($I16="Snapshot",$Q16="Snapshot",ISNUMBER($E16),$G16=INDEX('Market Data'!$AE$5:$AE$66,INDEX('Market Data'!$J$5:$J$528,$T16)-4)),IFERROR(INDEX('Market Data'!$AC$5:$AC$66,INDEX('Market Data'!$J$5:$J$528,$T16)-4)*INDEX('Market Data'!$AD$5:$AD$66,INDEX('Market Data'!$J$5:$J$528,$T16)-4)/$E16-1,"unavailable"),IF($I16="Unavailable","unavailable","date mismatch"))))))</f>
        <v/>
      </c>
      <c r="N16" s="11">
        <f>IF($T16=0,"",IFERROR(IF(AND(N(INDEX('Market Data'!$F$5:$F$528,$T16))&gt;0,ISNUMBER(INDEX('Market Data'!$T$5:$T$528,$T16))),$E16*INDEX('Market Data'!$T$5:$T$528,$T16)/INDEX('Market Data'!$F$5:$F$528,$T16)-1,"unavailable"),"unavailable"))</f>
        <v/>
      </c>
      <c r="O16" s="9">
        <f>IF($T16=0,"",IF(IF(INDEX('Market Data'!$J$5:$J$528,$T16)=0,0,IF(LEFT(INDEX('Market Data'!$AS$5:$AS$66,INDEX('Market Data'!$J$5:$J$528,$T16)-4),11)="First-month",1,0))=1,"Class ratio review",IF($I16="Bloomberg",IF(ISNUMBER($G16),IF($G16&lt;TODAY(),"Older quote","See quote time"),"Date unavailable"),IF($I16="Snapshot",IF($G16&lt;DATEVALUE("2026-10-02"),"Older snapshot","Dated close"),"No valid quote"))))</f>
        <v/>
      </c>
      <c r="P16" s="14">
        <f>IF($T16=0,"",IF(INDEX('Market Data'!$J$5:$J$528,$T16)=0,"n/a",IF($Q16="Bloomberg",IF(AND(ISNUMBER(INDEX('Market Data'!$AK$5:$AK$66,INDEX('Market Data'!$J$5:$J$528,$T16)-4)),N(INDEX('Market Data'!$AK$5:$AK$66,INDEX('Market Data'!$J$5:$J$528,$T16)-4))&gt;0),INDEX('Market Data'!$AK$5:$AK$66,INDEX('Market Data'!$J$5:$J$528,$T16)-4),"date unavailable"),IF($Q16="Snapshot",IF(AND(ISNUMBER(INDEX('Market Data'!$AF$5:$AF$66,INDEX('Market Data'!$J$5:$J$528,$T16)-4)),N(INDEX('Market Data'!$AF$5:$AF$66,INDEX('Market Data'!$J$5:$J$528,$T16)-4))&gt;0),INDEX('Market Data'!$AF$5:$AF$66,INDEX('Market Data'!$J$5:$J$528,$T16)-4),"date unavailable"),"date unavailable"))))</f>
        <v/>
      </c>
      <c r="Q16" s="15">
        <f>IF($T16=0,"",IF(INDEX('Market Data'!$J$5:$J$528,$T16)=0,"n/a",IF(AND($M$5&lt;&gt;"Snapshot",ISNUMBER(INDEX('Market Data'!$AH$5:$AH$66,INDEX('Market Data'!$J$5:$J$528,$T16)-4)),N(INDEX('Market Data'!$AH$5:$AH$66,INDEX('Market Data'!$J$5:$J$528,$T16)-4))&gt;0),"Bloomberg",IF(AND($M$5&lt;&gt;"Bloomberg",ISNUMBER(INDEX('Market Data'!$AC$5:$AC$66,INDEX('Market Data'!$J$5:$J$528,$T16)-4)),N(INDEX('Market Data'!$AC$5:$AC$66,INDEX('Market Data'!$J$5:$J$528,$T16)-4))&gt;0),"Snapshot","Unavailable"))))</f>
        <v/>
      </c>
      <c r="T16">
        <f>IFERROR(MATCH(8,'Market Data'!$S$5:$S$528,0),0)</f>
        <v/>
      </c>
    </row>
    <row r="17" ht="34" customHeight="1">
      <c r="A17" s="8">
        <f>IF($T17=0,"",IF(INDEX('Market Data'!$A$5:$A$528,$T17)="","",INDEX('Market Data'!$A$5:$A$528,$T17)))</f>
        <v/>
      </c>
      <c r="B17" s="9">
        <f>IF($T17=0,"",IF(INDEX('Market Data'!$B$5:$B$528,$T17)="","",INDEX('Market Data'!$B$5:$B$528,$T17)))</f>
        <v/>
      </c>
      <c r="C17" s="9">
        <f>IF($T17=0,"",IF(INDEX('Market Data'!$C$5:$C$528,$T17)="","",INDEX('Market Data'!$C$5:$C$528,$T17)))</f>
        <v/>
      </c>
      <c r="D17" s="9">
        <f>IF($T17=0,"",IF(INDEX('Market Data'!$D$5:$D$528,$T17)="","",INDEX('Market Data'!$D$5:$D$528,$T17)))</f>
        <v/>
      </c>
      <c r="E17" s="10">
        <f>IF($T17=0,"",INDEX('Market Data'!$O$5:$O$528,$T17))</f>
        <v/>
      </c>
      <c r="F17" s="11">
        <f>IF($T17=0,"",IF(AND($I17="Bloomberg",ISNUMBER(INDEX('Market Data'!$L$5:$L$528,$T17))),INDEX('Market Data'!$L$5:$L$528,$T17),"unavailable"))</f>
        <v/>
      </c>
      <c r="G17" s="12">
        <f>IF($T17=0,"",IF($I17="Bloomberg",IF(AND(ISNUMBER(INDEX('Market Data'!$M$5:$M$528,$T17)),N(INDEX('Market Data'!$M$5:$M$528,$T17))&gt;0),INDEX('Market Data'!$M$5:$M$528,$T17),"date unavailable"),IF($I17="Snapshot",IF(AND(ISNUMBER(INDEX('Market Data'!$H$5:$H$528,$T17)),N(INDEX('Market Data'!$H$5:$H$528,$T17))&gt;0),INDEX('Market Data'!$H$5:$H$528,$T17),"date unavailable"),"date unavailable")))</f>
        <v/>
      </c>
      <c r="H17" s="9">
        <f>IF($T17=0,"",IF($I17="Bloomberg",IF(INDEX('Market Data'!$N$5:$N$528,$T17)="","time unavailable",INDEX('Market Data'!$N$5:$N$528,$T17)),""))</f>
        <v/>
      </c>
      <c r="I17" s="9">
        <f>IF($T17=0,"",INDEX('Market Data'!$P$5:$P$528,$T17))</f>
        <v/>
      </c>
      <c r="J17" s="13">
        <f>IF($T17=0,"",IF(INDEX('Market Data'!$E$5:$E$528,$T17)="","",INDEX('Market Data'!$E$5:$E$528,$T17)))</f>
        <v/>
      </c>
      <c r="K17" s="8">
        <f>IF($T17=0,"",IF(INDEX('Market Data'!$I$5:$I$528,$T17)="","",INDEX('Market Data'!$I$5:$I$528,$T17)))</f>
        <v/>
      </c>
      <c r="L17" s="10">
        <f>IF($T17=0,"",IF(INDEX('Market Data'!$J$5:$J$528,$T17)=0,"n/a",IF(AND($M$5&lt;&gt;"Snapshot",ISNUMBER(INDEX('Market Data'!$AH$5:$AH$66,INDEX('Market Data'!$J$5:$J$528,$T17)-4)),N(INDEX('Market Data'!$AH$5:$AH$66,INDEX('Market Data'!$J$5:$J$528,$T17)-4))&gt;0),INDEX('Market Data'!$AH$5:$AH$66,INDEX('Market Data'!$J$5:$J$528,$T17)-4),IF(AND($M$5&lt;&gt;"Bloomberg",ISNUMBER(INDEX('Market Data'!$AC$5:$AC$66,INDEX('Market Data'!$J$5:$J$528,$T17)-4)),N(INDEX('Market Data'!$AC$5:$AC$66,INDEX('Market Data'!$J$5:$J$528,$T17)-4))&gt;0),INDEX('Market Data'!$AC$5:$AC$66,INDEX('Market Data'!$J$5:$J$528,$T17)-4),"unavailable"))))</f>
        <v/>
      </c>
      <c r="M17" s="11">
        <f>IF($T17=0,"",IF(INDEX('Market Data'!$J$5:$J$528,$T17)=0,"n/a",IF(IF(INDEX('Market Data'!$J$5:$J$528,$T17)=0,0,IF(LEFT(INDEX('Market Data'!$AS$5:$AS$66,INDEX('Market Data'!$J$5:$J$528,$T17)-4),11)="First-month",1,0))=1,"class review",IF($I17="Bloomberg",IF(AND(ISNUMBER(INDEX('Market Data'!$AH$5:$AH$66,INDEX('Market Data'!$J$5:$J$528,$T17)-4)),N(INDEX('Market Data'!$AH$5:$AH$66,INDEX('Market Data'!$J$5:$J$528,$T17)-4))&gt;0,ISNUMBER('Market Data'!$B$1),N('Market Data'!$B$1)&gt;0),INDEX('Market Data'!$AH$5:$AH$66,INDEX('Market Data'!$J$5:$J$528,$T17)-4)*'Market Data'!$B$1/$E17-1,"pending A/FX"),IF(AND($I17="Snapshot",$Q17="Snapshot",ISNUMBER($E17),$G17=INDEX('Market Data'!$AE$5:$AE$66,INDEX('Market Data'!$J$5:$J$528,$T17)-4)),IFERROR(INDEX('Market Data'!$AC$5:$AC$66,INDEX('Market Data'!$J$5:$J$528,$T17)-4)*INDEX('Market Data'!$AD$5:$AD$66,INDEX('Market Data'!$J$5:$J$528,$T17)-4)/$E17-1,"unavailable"),IF($I17="Unavailable","unavailable","date mismatch"))))))</f>
        <v/>
      </c>
      <c r="N17" s="11">
        <f>IF($T17=0,"",IFERROR(IF(AND(N(INDEX('Market Data'!$F$5:$F$528,$T17))&gt;0,ISNUMBER(INDEX('Market Data'!$T$5:$T$528,$T17))),$E17*INDEX('Market Data'!$T$5:$T$528,$T17)/INDEX('Market Data'!$F$5:$F$528,$T17)-1,"unavailable"),"unavailable"))</f>
        <v/>
      </c>
      <c r="O17" s="9">
        <f>IF($T17=0,"",IF(IF(INDEX('Market Data'!$J$5:$J$528,$T17)=0,0,IF(LEFT(INDEX('Market Data'!$AS$5:$AS$66,INDEX('Market Data'!$J$5:$J$528,$T17)-4),11)="First-month",1,0))=1,"Class ratio review",IF($I17="Bloomberg",IF(ISNUMBER($G17),IF($G17&lt;TODAY(),"Older quote","See quote time"),"Date unavailable"),IF($I17="Snapshot",IF($G17&lt;DATEVALUE("2026-10-02"),"Older snapshot","Dated close"),"No valid quote"))))</f>
        <v/>
      </c>
      <c r="P17" s="14">
        <f>IF($T17=0,"",IF(INDEX('Market Data'!$J$5:$J$528,$T17)=0,"n/a",IF($Q17="Bloomberg",IF(AND(ISNUMBER(INDEX('Market Data'!$AK$5:$AK$66,INDEX('Market Data'!$J$5:$J$528,$T17)-4)),N(INDEX('Market Data'!$AK$5:$AK$66,INDEX('Market Data'!$J$5:$J$528,$T17)-4))&gt;0),INDEX('Market Data'!$AK$5:$AK$66,INDEX('Market Data'!$J$5:$J$528,$T17)-4),"date unavailable"),IF($Q17="Snapshot",IF(AND(ISNUMBER(INDEX('Market Data'!$AF$5:$AF$66,INDEX('Market Data'!$J$5:$J$528,$T17)-4)),N(INDEX('Market Data'!$AF$5:$AF$66,INDEX('Market Data'!$J$5:$J$528,$T17)-4))&gt;0),INDEX('Market Data'!$AF$5:$AF$66,INDEX('Market Data'!$J$5:$J$528,$T17)-4),"date unavailable"),"date unavailable"))))</f>
        <v/>
      </c>
      <c r="Q17" s="15">
        <f>IF($T17=0,"",IF(INDEX('Market Data'!$J$5:$J$528,$T17)=0,"n/a",IF(AND($M$5&lt;&gt;"Snapshot",ISNUMBER(INDEX('Market Data'!$AH$5:$AH$66,INDEX('Market Data'!$J$5:$J$528,$T17)-4)),N(INDEX('Market Data'!$AH$5:$AH$66,INDEX('Market Data'!$J$5:$J$528,$T17)-4))&gt;0),"Bloomberg",IF(AND($M$5&lt;&gt;"Bloomberg",ISNUMBER(INDEX('Market Data'!$AC$5:$AC$66,INDEX('Market Data'!$J$5:$J$528,$T17)-4)),N(INDEX('Market Data'!$AC$5:$AC$66,INDEX('Market Data'!$J$5:$J$528,$T17)-4))&gt;0),"Snapshot","Unavailable"))))</f>
        <v/>
      </c>
      <c r="T17">
        <f>IFERROR(MATCH(9,'Market Data'!$S$5:$S$528,0),0)</f>
        <v/>
      </c>
    </row>
    <row r="18" ht="34" customHeight="1">
      <c r="A18" s="8">
        <f>IF($T18=0,"",IF(INDEX('Market Data'!$A$5:$A$528,$T18)="","",INDEX('Market Data'!$A$5:$A$528,$T18)))</f>
        <v/>
      </c>
      <c r="B18" s="9">
        <f>IF($T18=0,"",IF(INDEX('Market Data'!$B$5:$B$528,$T18)="","",INDEX('Market Data'!$B$5:$B$528,$T18)))</f>
        <v/>
      </c>
      <c r="C18" s="9">
        <f>IF($T18=0,"",IF(INDEX('Market Data'!$C$5:$C$528,$T18)="","",INDEX('Market Data'!$C$5:$C$528,$T18)))</f>
        <v/>
      </c>
      <c r="D18" s="9">
        <f>IF($T18=0,"",IF(INDEX('Market Data'!$D$5:$D$528,$T18)="","",INDEX('Market Data'!$D$5:$D$528,$T18)))</f>
        <v/>
      </c>
      <c r="E18" s="10">
        <f>IF($T18=0,"",INDEX('Market Data'!$O$5:$O$528,$T18))</f>
        <v/>
      </c>
      <c r="F18" s="11">
        <f>IF($T18=0,"",IF(AND($I18="Bloomberg",ISNUMBER(INDEX('Market Data'!$L$5:$L$528,$T18))),INDEX('Market Data'!$L$5:$L$528,$T18),"unavailable"))</f>
        <v/>
      </c>
      <c r="G18" s="12">
        <f>IF($T18=0,"",IF($I18="Bloomberg",IF(AND(ISNUMBER(INDEX('Market Data'!$M$5:$M$528,$T18)),N(INDEX('Market Data'!$M$5:$M$528,$T18))&gt;0),INDEX('Market Data'!$M$5:$M$528,$T18),"date unavailable"),IF($I18="Snapshot",IF(AND(ISNUMBER(INDEX('Market Data'!$H$5:$H$528,$T18)),N(INDEX('Market Data'!$H$5:$H$528,$T18))&gt;0),INDEX('Market Data'!$H$5:$H$528,$T18),"date unavailable"),"date unavailable")))</f>
        <v/>
      </c>
      <c r="H18" s="9">
        <f>IF($T18=0,"",IF($I18="Bloomberg",IF(INDEX('Market Data'!$N$5:$N$528,$T18)="","time unavailable",INDEX('Market Data'!$N$5:$N$528,$T18)),""))</f>
        <v/>
      </c>
      <c r="I18" s="9">
        <f>IF($T18=0,"",INDEX('Market Data'!$P$5:$P$528,$T18))</f>
        <v/>
      </c>
      <c r="J18" s="13">
        <f>IF($T18=0,"",IF(INDEX('Market Data'!$E$5:$E$528,$T18)="","",INDEX('Market Data'!$E$5:$E$528,$T18)))</f>
        <v/>
      </c>
      <c r="K18" s="8">
        <f>IF($T18=0,"",IF(INDEX('Market Data'!$I$5:$I$528,$T18)="","",INDEX('Market Data'!$I$5:$I$528,$T18)))</f>
        <v/>
      </c>
      <c r="L18" s="10">
        <f>IF($T18=0,"",IF(INDEX('Market Data'!$J$5:$J$528,$T18)=0,"n/a",IF(AND($M$5&lt;&gt;"Snapshot",ISNUMBER(INDEX('Market Data'!$AH$5:$AH$66,INDEX('Market Data'!$J$5:$J$528,$T18)-4)),N(INDEX('Market Data'!$AH$5:$AH$66,INDEX('Market Data'!$J$5:$J$528,$T18)-4))&gt;0),INDEX('Market Data'!$AH$5:$AH$66,INDEX('Market Data'!$J$5:$J$528,$T18)-4),IF(AND($M$5&lt;&gt;"Bloomberg",ISNUMBER(INDEX('Market Data'!$AC$5:$AC$66,INDEX('Market Data'!$J$5:$J$528,$T18)-4)),N(INDEX('Market Data'!$AC$5:$AC$66,INDEX('Market Data'!$J$5:$J$528,$T18)-4))&gt;0),INDEX('Market Data'!$AC$5:$AC$66,INDEX('Market Data'!$J$5:$J$528,$T18)-4),"unavailable"))))</f>
        <v/>
      </c>
      <c r="M18" s="11">
        <f>IF($T18=0,"",IF(INDEX('Market Data'!$J$5:$J$528,$T18)=0,"n/a",IF(IF(INDEX('Market Data'!$J$5:$J$528,$T18)=0,0,IF(LEFT(INDEX('Market Data'!$AS$5:$AS$66,INDEX('Market Data'!$J$5:$J$528,$T18)-4),11)="First-month",1,0))=1,"class review",IF($I18="Bloomberg",IF(AND(ISNUMBER(INDEX('Market Data'!$AH$5:$AH$66,INDEX('Market Data'!$J$5:$J$528,$T18)-4)),N(INDEX('Market Data'!$AH$5:$AH$66,INDEX('Market Data'!$J$5:$J$528,$T18)-4))&gt;0,ISNUMBER('Market Data'!$B$1),N('Market Data'!$B$1)&gt;0),INDEX('Market Data'!$AH$5:$AH$66,INDEX('Market Data'!$J$5:$J$528,$T18)-4)*'Market Data'!$B$1/$E18-1,"pending A/FX"),IF(AND($I18="Snapshot",$Q18="Snapshot",ISNUMBER($E18),$G18=INDEX('Market Data'!$AE$5:$AE$66,INDEX('Market Data'!$J$5:$J$528,$T18)-4)),IFERROR(INDEX('Market Data'!$AC$5:$AC$66,INDEX('Market Data'!$J$5:$J$528,$T18)-4)*INDEX('Market Data'!$AD$5:$AD$66,INDEX('Market Data'!$J$5:$J$528,$T18)-4)/$E18-1,"unavailable"),IF($I18="Unavailable","unavailable","date mismatch"))))))</f>
        <v/>
      </c>
      <c r="N18" s="11">
        <f>IF($T18=0,"",IFERROR(IF(AND(N(INDEX('Market Data'!$F$5:$F$528,$T18))&gt;0,ISNUMBER(INDEX('Market Data'!$T$5:$T$528,$T18))),$E18*INDEX('Market Data'!$T$5:$T$528,$T18)/INDEX('Market Data'!$F$5:$F$528,$T18)-1,"unavailable"),"unavailable"))</f>
        <v/>
      </c>
      <c r="O18" s="9">
        <f>IF($T18=0,"",IF(IF(INDEX('Market Data'!$J$5:$J$528,$T18)=0,0,IF(LEFT(INDEX('Market Data'!$AS$5:$AS$66,INDEX('Market Data'!$J$5:$J$528,$T18)-4),11)="First-month",1,0))=1,"Class ratio review",IF($I18="Bloomberg",IF(ISNUMBER($G18),IF($G18&lt;TODAY(),"Older quote","See quote time"),"Date unavailable"),IF($I18="Snapshot",IF($G18&lt;DATEVALUE("2026-10-02"),"Older snapshot","Dated close"),"No valid quote"))))</f>
        <v/>
      </c>
      <c r="P18" s="14">
        <f>IF($T18=0,"",IF(INDEX('Market Data'!$J$5:$J$528,$T18)=0,"n/a",IF($Q18="Bloomberg",IF(AND(ISNUMBER(INDEX('Market Data'!$AK$5:$AK$66,INDEX('Market Data'!$J$5:$J$528,$T18)-4)),N(INDEX('Market Data'!$AK$5:$AK$66,INDEX('Market Data'!$J$5:$J$528,$T18)-4))&gt;0),INDEX('Market Data'!$AK$5:$AK$66,INDEX('Market Data'!$J$5:$J$528,$T18)-4),"date unavailable"),IF($Q18="Snapshot",IF(AND(ISNUMBER(INDEX('Market Data'!$AF$5:$AF$66,INDEX('Market Data'!$J$5:$J$528,$T18)-4)),N(INDEX('Market Data'!$AF$5:$AF$66,INDEX('Market Data'!$J$5:$J$528,$T18)-4))&gt;0),INDEX('Market Data'!$AF$5:$AF$66,INDEX('Market Data'!$J$5:$J$528,$T18)-4),"date unavailable"),"date unavailable"))))</f>
        <v/>
      </c>
      <c r="Q18" s="15">
        <f>IF($T18=0,"",IF(INDEX('Market Data'!$J$5:$J$528,$T18)=0,"n/a",IF(AND($M$5&lt;&gt;"Snapshot",ISNUMBER(INDEX('Market Data'!$AH$5:$AH$66,INDEX('Market Data'!$J$5:$J$528,$T18)-4)),N(INDEX('Market Data'!$AH$5:$AH$66,INDEX('Market Data'!$J$5:$J$528,$T18)-4))&gt;0),"Bloomberg",IF(AND($M$5&lt;&gt;"Bloomberg",ISNUMBER(INDEX('Market Data'!$AC$5:$AC$66,INDEX('Market Data'!$J$5:$J$528,$T18)-4)),N(INDEX('Market Data'!$AC$5:$AC$66,INDEX('Market Data'!$J$5:$J$528,$T18)-4))&gt;0),"Snapshot","Unavailable"))))</f>
        <v/>
      </c>
      <c r="T18">
        <f>IFERROR(MATCH(10,'Market Data'!$S$5:$S$528,0),0)</f>
        <v/>
      </c>
    </row>
    <row r="19" ht="34" customHeight="1">
      <c r="A19" s="8">
        <f>IF($T19=0,"",IF(INDEX('Market Data'!$A$5:$A$528,$T19)="","",INDEX('Market Data'!$A$5:$A$528,$T19)))</f>
        <v/>
      </c>
      <c r="B19" s="9">
        <f>IF($T19=0,"",IF(INDEX('Market Data'!$B$5:$B$528,$T19)="","",INDEX('Market Data'!$B$5:$B$528,$T19)))</f>
        <v/>
      </c>
      <c r="C19" s="9">
        <f>IF($T19=0,"",IF(INDEX('Market Data'!$C$5:$C$528,$T19)="","",INDEX('Market Data'!$C$5:$C$528,$T19)))</f>
        <v/>
      </c>
      <c r="D19" s="9">
        <f>IF($T19=0,"",IF(INDEX('Market Data'!$D$5:$D$528,$T19)="","",INDEX('Market Data'!$D$5:$D$528,$T19)))</f>
        <v/>
      </c>
      <c r="E19" s="10">
        <f>IF($T19=0,"",INDEX('Market Data'!$O$5:$O$528,$T19))</f>
        <v/>
      </c>
      <c r="F19" s="11">
        <f>IF($T19=0,"",IF(AND($I19="Bloomberg",ISNUMBER(INDEX('Market Data'!$L$5:$L$528,$T19))),INDEX('Market Data'!$L$5:$L$528,$T19),"unavailable"))</f>
        <v/>
      </c>
      <c r="G19" s="12">
        <f>IF($T19=0,"",IF($I19="Bloomberg",IF(AND(ISNUMBER(INDEX('Market Data'!$M$5:$M$528,$T19)),N(INDEX('Market Data'!$M$5:$M$528,$T19))&gt;0),INDEX('Market Data'!$M$5:$M$528,$T19),"date unavailable"),IF($I19="Snapshot",IF(AND(ISNUMBER(INDEX('Market Data'!$H$5:$H$528,$T19)),N(INDEX('Market Data'!$H$5:$H$528,$T19))&gt;0),INDEX('Market Data'!$H$5:$H$528,$T19),"date unavailable"),"date unavailable")))</f>
        <v/>
      </c>
      <c r="H19" s="9">
        <f>IF($T19=0,"",IF($I19="Bloomberg",IF(INDEX('Market Data'!$N$5:$N$528,$T19)="","time unavailable",INDEX('Market Data'!$N$5:$N$528,$T19)),""))</f>
        <v/>
      </c>
      <c r="I19" s="9">
        <f>IF($T19=0,"",INDEX('Market Data'!$P$5:$P$528,$T19))</f>
        <v/>
      </c>
      <c r="J19" s="13">
        <f>IF($T19=0,"",IF(INDEX('Market Data'!$E$5:$E$528,$T19)="","",INDEX('Market Data'!$E$5:$E$528,$T19)))</f>
        <v/>
      </c>
      <c r="K19" s="8">
        <f>IF($T19=0,"",IF(INDEX('Market Data'!$I$5:$I$528,$T19)="","",INDEX('Market Data'!$I$5:$I$528,$T19)))</f>
        <v/>
      </c>
      <c r="L19" s="10">
        <f>IF($T19=0,"",IF(INDEX('Market Data'!$J$5:$J$528,$T19)=0,"n/a",IF(AND($M$5&lt;&gt;"Snapshot",ISNUMBER(INDEX('Market Data'!$AH$5:$AH$66,INDEX('Market Data'!$J$5:$J$528,$T19)-4)),N(INDEX('Market Data'!$AH$5:$AH$66,INDEX('Market Data'!$J$5:$J$528,$T19)-4))&gt;0),INDEX('Market Data'!$AH$5:$AH$66,INDEX('Market Data'!$J$5:$J$528,$T19)-4),IF(AND($M$5&lt;&gt;"Bloomberg",ISNUMBER(INDEX('Market Data'!$AC$5:$AC$66,INDEX('Market Data'!$J$5:$J$528,$T19)-4)),N(INDEX('Market Data'!$AC$5:$AC$66,INDEX('Market Data'!$J$5:$J$528,$T19)-4))&gt;0),INDEX('Market Data'!$AC$5:$AC$66,INDEX('Market Data'!$J$5:$J$528,$T19)-4),"unavailable"))))</f>
        <v/>
      </c>
      <c r="M19" s="11">
        <f>IF($T19=0,"",IF(INDEX('Market Data'!$J$5:$J$528,$T19)=0,"n/a",IF(IF(INDEX('Market Data'!$J$5:$J$528,$T19)=0,0,IF(LEFT(INDEX('Market Data'!$AS$5:$AS$66,INDEX('Market Data'!$J$5:$J$528,$T19)-4),11)="First-month",1,0))=1,"class review",IF($I19="Bloomberg",IF(AND(ISNUMBER(INDEX('Market Data'!$AH$5:$AH$66,INDEX('Market Data'!$J$5:$J$528,$T19)-4)),N(INDEX('Market Data'!$AH$5:$AH$66,INDEX('Market Data'!$J$5:$J$528,$T19)-4))&gt;0,ISNUMBER('Market Data'!$B$1),N('Market Data'!$B$1)&gt;0),INDEX('Market Data'!$AH$5:$AH$66,INDEX('Market Data'!$J$5:$J$528,$T19)-4)*'Market Data'!$B$1/$E19-1,"pending A/FX"),IF(AND($I19="Snapshot",$Q19="Snapshot",ISNUMBER($E19),$G19=INDEX('Market Data'!$AE$5:$AE$66,INDEX('Market Data'!$J$5:$J$528,$T19)-4)),IFERROR(INDEX('Market Data'!$AC$5:$AC$66,INDEX('Market Data'!$J$5:$J$528,$T19)-4)*INDEX('Market Data'!$AD$5:$AD$66,INDEX('Market Data'!$J$5:$J$528,$T19)-4)/$E19-1,"unavailable"),IF($I19="Unavailable","unavailable","date mismatch"))))))</f>
        <v/>
      </c>
      <c r="N19" s="11">
        <f>IF($T19=0,"",IFERROR(IF(AND(N(INDEX('Market Data'!$F$5:$F$528,$T19))&gt;0,ISNUMBER(INDEX('Market Data'!$T$5:$T$528,$T19))),$E19*INDEX('Market Data'!$T$5:$T$528,$T19)/INDEX('Market Data'!$F$5:$F$528,$T19)-1,"unavailable"),"unavailable"))</f>
        <v/>
      </c>
      <c r="O19" s="9">
        <f>IF($T19=0,"",IF(IF(INDEX('Market Data'!$J$5:$J$528,$T19)=0,0,IF(LEFT(INDEX('Market Data'!$AS$5:$AS$66,INDEX('Market Data'!$J$5:$J$528,$T19)-4),11)="First-month",1,0))=1,"Class ratio review",IF($I19="Bloomberg",IF(ISNUMBER($G19),IF($G19&lt;TODAY(),"Older quote","See quote time"),"Date unavailable"),IF($I19="Snapshot",IF($G19&lt;DATEVALUE("2026-10-02"),"Older snapshot","Dated close"),"No valid quote"))))</f>
        <v/>
      </c>
      <c r="P19" s="14">
        <f>IF($T19=0,"",IF(INDEX('Market Data'!$J$5:$J$528,$T19)=0,"n/a",IF($Q19="Bloomberg",IF(AND(ISNUMBER(INDEX('Market Data'!$AK$5:$AK$66,INDEX('Market Data'!$J$5:$J$528,$T19)-4)),N(INDEX('Market Data'!$AK$5:$AK$66,INDEX('Market Data'!$J$5:$J$528,$T19)-4))&gt;0),INDEX('Market Data'!$AK$5:$AK$66,INDEX('Market Data'!$J$5:$J$528,$T19)-4),"date unavailable"),IF($Q19="Snapshot",IF(AND(ISNUMBER(INDEX('Market Data'!$AF$5:$AF$66,INDEX('Market Data'!$J$5:$J$528,$T19)-4)),N(INDEX('Market Data'!$AF$5:$AF$66,INDEX('Market Data'!$J$5:$J$528,$T19)-4))&gt;0),INDEX('Market Data'!$AF$5:$AF$66,INDEX('Market Data'!$J$5:$J$528,$T19)-4),"date unavailable"),"date unavailable"))))</f>
        <v/>
      </c>
      <c r="Q19" s="15">
        <f>IF($T19=0,"",IF(INDEX('Market Data'!$J$5:$J$528,$T19)=0,"n/a",IF(AND($M$5&lt;&gt;"Snapshot",ISNUMBER(INDEX('Market Data'!$AH$5:$AH$66,INDEX('Market Data'!$J$5:$J$528,$T19)-4)),N(INDEX('Market Data'!$AH$5:$AH$66,INDEX('Market Data'!$J$5:$J$528,$T19)-4))&gt;0),"Bloomberg",IF(AND($M$5&lt;&gt;"Bloomberg",ISNUMBER(INDEX('Market Data'!$AC$5:$AC$66,INDEX('Market Data'!$J$5:$J$528,$T19)-4)),N(INDEX('Market Data'!$AC$5:$AC$66,INDEX('Market Data'!$J$5:$J$528,$T19)-4))&gt;0),"Snapshot","Unavailable"))))</f>
        <v/>
      </c>
      <c r="T19">
        <f>IFERROR(MATCH(11,'Market Data'!$S$5:$S$528,0),0)</f>
        <v/>
      </c>
    </row>
    <row r="20" ht="34" customHeight="1">
      <c r="A20" s="8">
        <f>IF($T20=0,"",IF(INDEX('Market Data'!$A$5:$A$528,$T20)="","",INDEX('Market Data'!$A$5:$A$528,$T20)))</f>
        <v/>
      </c>
      <c r="B20" s="9">
        <f>IF($T20=0,"",IF(INDEX('Market Data'!$B$5:$B$528,$T20)="","",INDEX('Market Data'!$B$5:$B$528,$T20)))</f>
        <v/>
      </c>
      <c r="C20" s="9">
        <f>IF($T20=0,"",IF(INDEX('Market Data'!$C$5:$C$528,$T20)="","",INDEX('Market Data'!$C$5:$C$528,$T20)))</f>
        <v/>
      </c>
      <c r="D20" s="9">
        <f>IF($T20=0,"",IF(INDEX('Market Data'!$D$5:$D$528,$T20)="","",INDEX('Market Data'!$D$5:$D$528,$T20)))</f>
        <v/>
      </c>
      <c r="E20" s="10">
        <f>IF($T20=0,"",INDEX('Market Data'!$O$5:$O$528,$T20))</f>
        <v/>
      </c>
      <c r="F20" s="11">
        <f>IF($T20=0,"",IF(AND($I20="Bloomberg",ISNUMBER(INDEX('Market Data'!$L$5:$L$528,$T20))),INDEX('Market Data'!$L$5:$L$528,$T20),"unavailable"))</f>
        <v/>
      </c>
      <c r="G20" s="12">
        <f>IF($T20=0,"",IF($I20="Bloomberg",IF(AND(ISNUMBER(INDEX('Market Data'!$M$5:$M$528,$T20)),N(INDEX('Market Data'!$M$5:$M$528,$T20))&gt;0),INDEX('Market Data'!$M$5:$M$528,$T20),"date unavailable"),IF($I20="Snapshot",IF(AND(ISNUMBER(INDEX('Market Data'!$H$5:$H$528,$T20)),N(INDEX('Market Data'!$H$5:$H$528,$T20))&gt;0),INDEX('Market Data'!$H$5:$H$528,$T20),"date unavailable"),"date unavailable")))</f>
        <v/>
      </c>
      <c r="H20" s="9">
        <f>IF($T20=0,"",IF($I20="Bloomberg",IF(INDEX('Market Data'!$N$5:$N$528,$T20)="","time unavailable",INDEX('Market Data'!$N$5:$N$528,$T20)),""))</f>
        <v/>
      </c>
      <c r="I20" s="9">
        <f>IF($T20=0,"",INDEX('Market Data'!$P$5:$P$528,$T20))</f>
        <v/>
      </c>
      <c r="J20" s="13">
        <f>IF($T20=0,"",IF(INDEX('Market Data'!$E$5:$E$528,$T20)="","",INDEX('Market Data'!$E$5:$E$528,$T20)))</f>
        <v/>
      </c>
      <c r="K20" s="8">
        <f>IF($T20=0,"",IF(INDEX('Market Data'!$I$5:$I$528,$T20)="","",INDEX('Market Data'!$I$5:$I$528,$T20)))</f>
        <v/>
      </c>
      <c r="L20" s="10">
        <f>IF($T20=0,"",IF(INDEX('Market Data'!$J$5:$J$528,$T20)=0,"n/a",IF(AND($M$5&lt;&gt;"Snapshot",ISNUMBER(INDEX('Market Data'!$AH$5:$AH$66,INDEX('Market Data'!$J$5:$J$528,$T20)-4)),N(INDEX('Market Data'!$AH$5:$AH$66,INDEX('Market Data'!$J$5:$J$528,$T20)-4))&gt;0),INDEX('Market Data'!$AH$5:$AH$66,INDEX('Market Data'!$J$5:$J$528,$T20)-4),IF(AND($M$5&lt;&gt;"Bloomberg",ISNUMBER(INDEX('Market Data'!$AC$5:$AC$66,INDEX('Market Data'!$J$5:$J$528,$T20)-4)),N(INDEX('Market Data'!$AC$5:$AC$66,INDEX('Market Data'!$J$5:$J$528,$T20)-4))&gt;0),INDEX('Market Data'!$AC$5:$AC$66,INDEX('Market Data'!$J$5:$J$528,$T20)-4),"unavailable"))))</f>
        <v/>
      </c>
      <c r="M20" s="11">
        <f>IF($T20=0,"",IF(INDEX('Market Data'!$J$5:$J$528,$T20)=0,"n/a",IF(IF(INDEX('Market Data'!$J$5:$J$528,$T20)=0,0,IF(LEFT(INDEX('Market Data'!$AS$5:$AS$66,INDEX('Market Data'!$J$5:$J$528,$T20)-4),11)="First-month",1,0))=1,"class review",IF($I20="Bloomberg",IF(AND(ISNUMBER(INDEX('Market Data'!$AH$5:$AH$66,INDEX('Market Data'!$J$5:$J$528,$T20)-4)),N(INDEX('Market Data'!$AH$5:$AH$66,INDEX('Market Data'!$J$5:$J$528,$T20)-4))&gt;0,ISNUMBER('Market Data'!$B$1),N('Market Data'!$B$1)&gt;0),INDEX('Market Data'!$AH$5:$AH$66,INDEX('Market Data'!$J$5:$J$528,$T20)-4)*'Market Data'!$B$1/$E20-1,"pending A/FX"),IF(AND($I20="Snapshot",$Q20="Snapshot",ISNUMBER($E20),$G20=INDEX('Market Data'!$AE$5:$AE$66,INDEX('Market Data'!$J$5:$J$528,$T20)-4)),IFERROR(INDEX('Market Data'!$AC$5:$AC$66,INDEX('Market Data'!$J$5:$J$528,$T20)-4)*INDEX('Market Data'!$AD$5:$AD$66,INDEX('Market Data'!$J$5:$J$528,$T20)-4)/$E20-1,"unavailable"),IF($I20="Unavailable","unavailable","date mismatch"))))))</f>
        <v/>
      </c>
      <c r="N20" s="11">
        <f>IF($T20=0,"",IFERROR(IF(AND(N(INDEX('Market Data'!$F$5:$F$528,$T20))&gt;0,ISNUMBER(INDEX('Market Data'!$T$5:$T$528,$T20))),$E20*INDEX('Market Data'!$T$5:$T$528,$T20)/INDEX('Market Data'!$F$5:$F$528,$T20)-1,"unavailable"),"unavailable"))</f>
        <v/>
      </c>
      <c r="O20" s="9">
        <f>IF($T20=0,"",IF(IF(INDEX('Market Data'!$J$5:$J$528,$T20)=0,0,IF(LEFT(INDEX('Market Data'!$AS$5:$AS$66,INDEX('Market Data'!$J$5:$J$528,$T20)-4),11)="First-month",1,0))=1,"Class ratio review",IF($I20="Bloomberg",IF(ISNUMBER($G20),IF($G20&lt;TODAY(),"Older quote","See quote time"),"Date unavailable"),IF($I20="Snapshot",IF($G20&lt;DATEVALUE("2026-10-02"),"Older snapshot","Dated close"),"No valid quote"))))</f>
        <v/>
      </c>
      <c r="P20" s="14">
        <f>IF($T20=0,"",IF(INDEX('Market Data'!$J$5:$J$528,$T20)=0,"n/a",IF($Q20="Bloomberg",IF(AND(ISNUMBER(INDEX('Market Data'!$AK$5:$AK$66,INDEX('Market Data'!$J$5:$J$528,$T20)-4)),N(INDEX('Market Data'!$AK$5:$AK$66,INDEX('Market Data'!$J$5:$J$528,$T20)-4))&gt;0),INDEX('Market Data'!$AK$5:$AK$66,INDEX('Market Data'!$J$5:$J$528,$T20)-4),"date unavailable"),IF($Q20="Snapshot",IF(AND(ISNUMBER(INDEX('Market Data'!$AF$5:$AF$66,INDEX('Market Data'!$J$5:$J$528,$T20)-4)),N(INDEX('Market Data'!$AF$5:$AF$66,INDEX('Market Data'!$J$5:$J$528,$T20)-4))&gt;0),INDEX('Market Data'!$AF$5:$AF$66,INDEX('Market Data'!$J$5:$J$528,$T20)-4),"date unavailable"),"date unavailable"))))</f>
        <v/>
      </c>
      <c r="Q20" s="15">
        <f>IF($T20=0,"",IF(INDEX('Market Data'!$J$5:$J$528,$T20)=0,"n/a",IF(AND($M$5&lt;&gt;"Snapshot",ISNUMBER(INDEX('Market Data'!$AH$5:$AH$66,INDEX('Market Data'!$J$5:$J$528,$T20)-4)),N(INDEX('Market Data'!$AH$5:$AH$66,INDEX('Market Data'!$J$5:$J$528,$T20)-4))&gt;0),"Bloomberg",IF(AND($M$5&lt;&gt;"Bloomberg",ISNUMBER(INDEX('Market Data'!$AC$5:$AC$66,INDEX('Market Data'!$J$5:$J$528,$T20)-4)),N(INDEX('Market Data'!$AC$5:$AC$66,INDEX('Market Data'!$J$5:$J$528,$T20)-4))&gt;0),"Snapshot","Unavailable"))))</f>
        <v/>
      </c>
      <c r="T20">
        <f>IFERROR(MATCH(12,'Market Data'!$S$5:$S$528,0),0)</f>
        <v/>
      </c>
    </row>
    <row r="21" ht="34" customHeight="1">
      <c r="A21" s="8">
        <f>IF($T21=0,"",IF(INDEX('Market Data'!$A$5:$A$528,$T21)="","",INDEX('Market Data'!$A$5:$A$528,$T21)))</f>
        <v/>
      </c>
      <c r="B21" s="9">
        <f>IF($T21=0,"",IF(INDEX('Market Data'!$B$5:$B$528,$T21)="","",INDEX('Market Data'!$B$5:$B$528,$T21)))</f>
        <v/>
      </c>
      <c r="C21" s="9">
        <f>IF($T21=0,"",IF(INDEX('Market Data'!$C$5:$C$528,$T21)="","",INDEX('Market Data'!$C$5:$C$528,$T21)))</f>
        <v/>
      </c>
      <c r="D21" s="9">
        <f>IF($T21=0,"",IF(INDEX('Market Data'!$D$5:$D$528,$T21)="","",INDEX('Market Data'!$D$5:$D$528,$T21)))</f>
        <v/>
      </c>
      <c r="E21" s="10">
        <f>IF($T21=0,"",INDEX('Market Data'!$O$5:$O$528,$T21))</f>
        <v/>
      </c>
      <c r="F21" s="11">
        <f>IF($T21=0,"",IF(AND($I21="Bloomberg",ISNUMBER(INDEX('Market Data'!$L$5:$L$528,$T21))),INDEX('Market Data'!$L$5:$L$528,$T21),"unavailable"))</f>
        <v/>
      </c>
      <c r="G21" s="12">
        <f>IF($T21=0,"",IF($I21="Bloomberg",IF(AND(ISNUMBER(INDEX('Market Data'!$M$5:$M$528,$T21)),N(INDEX('Market Data'!$M$5:$M$528,$T21))&gt;0),INDEX('Market Data'!$M$5:$M$528,$T21),"date unavailable"),IF($I21="Snapshot",IF(AND(ISNUMBER(INDEX('Market Data'!$H$5:$H$528,$T21)),N(INDEX('Market Data'!$H$5:$H$528,$T21))&gt;0),INDEX('Market Data'!$H$5:$H$528,$T21),"date unavailable"),"date unavailable")))</f>
        <v/>
      </c>
      <c r="H21" s="9">
        <f>IF($T21=0,"",IF($I21="Bloomberg",IF(INDEX('Market Data'!$N$5:$N$528,$T21)="","time unavailable",INDEX('Market Data'!$N$5:$N$528,$T21)),""))</f>
        <v/>
      </c>
      <c r="I21" s="9">
        <f>IF($T21=0,"",INDEX('Market Data'!$P$5:$P$528,$T21))</f>
        <v/>
      </c>
      <c r="J21" s="13">
        <f>IF($T21=0,"",IF(INDEX('Market Data'!$E$5:$E$528,$T21)="","",INDEX('Market Data'!$E$5:$E$528,$T21)))</f>
        <v/>
      </c>
      <c r="K21" s="8">
        <f>IF($T21=0,"",IF(INDEX('Market Data'!$I$5:$I$528,$T21)="","",INDEX('Market Data'!$I$5:$I$528,$T21)))</f>
        <v/>
      </c>
      <c r="L21" s="10">
        <f>IF($T21=0,"",IF(INDEX('Market Data'!$J$5:$J$528,$T21)=0,"n/a",IF(AND($M$5&lt;&gt;"Snapshot",ISNUMBER(INDEX('Market Data'!$AH$5:$AH$66,INDEX('Market Data'!$J$5:$J$528,$T21)-4)),N(INDEX('Market Data'!$AH$5:$AH$66,INDEX('Market Data'!$J$5:$J$528,$T21)-4))&gt;0),INDEX('Market Data'!$AH$5:$AH$66,INDEX('Market Data'!$J$5:$J$528,$T21)-4),IF(AND($M$5&lt;&gt;"Bloomberg",ISNUMBER(INDEX('Market Data'!$AC$5:$AC$66,INDEX('Market Data'!$J$5:$J$528,$T21)-4)),N(INDEX('Market Data'!$AC$5:$AC$66,INDEX('Market Data'!$J$5:$J$528,$T21)-4))&gt;0),INDEX('Market Data'!$AC$5:$AC$66,INDEX('Market Data'!$J$5:$J$528,$T21)-4),"unavailable"))))</f>
        <v/>
      </c>
      <c r="M21" s="11">
        <f>IF($T21=0,"",IF(INDEX('Market Data'!$J$5:$J$528,$T21)=0,"n/a",IF(IF(INDEX('Market Data'!$J$5:$J$528,$T21)=0,0,IF(LEFT(INDEX('Market Data'!$AS$5:$AS$66,INDEX('Market Data'!$J$5:$J$528,$T21)-4),11)="First-month",1,0))=1,"class review",IF($I21="Bloomberg",IF(AND(ISNUMBER(INDEX('Market Data'!$AH$5:$AH$66,INDEX('Market Data'!$J$5:$J$528,$T21)-4)),N(INDEX('Market Data'!$AH$5:$AH$66,INDEX('Market Data'!$J$5:$J$528,$T21)-4))&gt;0,ISNUMBER('Market Data'!$B$1),N('Market Data'!$B$1)&gt;0),INDEX('Market Data'!$AH$5:$AH$66,INDEX('Market Data'!$J$5:$J$528,$T21)-4)*'Market Data'!$B$1/$E21-1,"pending A/FX"),IF(AND($I21="Snapshot",$Q21="Snapshot",ISNUMBER($E21),$G21=INDEX('Market Data'!$AE$5:$AE$66,INDEX('Market Data'!$J$5:$J$528,$T21)-4)),IFERROR(INDEX('Market Data'!$AC$5:$AC$66,INDEX('Market Data'!$J$5:$J$528,$T21)-4)*INDEX('Market Data'!$AD$5:$AD$66,INDEX('Market Data'!$J$5:$J$528,$T21)-4)/$E21-1,"unavailable"),IF($I21="Unavailable","unavailable","date mismatch"))))))</f>
        <v/>
      </c>
      <c r="N21" s="11">
        <f>IF($T21=0,"",IFERROR(IF(AND(N(INDEX('Market Data'!$F$5:$F$528,$T21))&gt;0,ISNUMBER(INDEX('Market Data'!$T$5:$T$528,$T21))),$E21*INDEX('Market Data'!$T$5:$T$528,$T21)/INDEX('Market Data'!$F$5:$F$528,$T21)-1,"unavailable"),"unavailable"))</f>
        <v/>
      </c>
      <c r="O21" s="9">
        <f>IF($T21=0,"",IF(IF(INDEX('Market Data'!$J$5:$J$528,$T21)=0,0,IF(LEFT(INDEX('Market Data'!$AS$5:$AS$66,INDEX('Market Data'!$J$5:$J$528,$T21)-4),11)="First-month",1,0))=1,"Class ratio review",IF($I21="Bloomberg",IF(ISNUMBER($G21),IF($G21&lt;TODAY(),"Older quote","See quote time"),"Date unavailable"),IF($I21="Snapshot",IF($G21&lt;DATEVALUE("2026-10-02"),"Older snapshot","Dated close"),"No valid quote"))))</f>
        <v/>
      </c>
      <c r="P21" s="14">
        <f>IF($T21=0,"",IF(INDEX('Market Data'!$J$5:$J$528,$T21)=0,"n/a",IF($Q21="Bloomberg",IF(AND(ISNUMBER(INDEX('Market Data'!$AK$5:$AK$66,INDEX('Market Data'!$J$5:$J$528,$T21)-4)),N(INDEX('Market Data'!$AK$5:$AK$66,INDEX('Market Data'!$J$5:$J$528,$T21)-4))&gt;0),INDEX('Market Data'!$AK$5:$AK$66,INDEX('Market Data'!$J$5:$J$528,$T21)-4),"date unavailable"),IF($Q21="Snapshot",IF(AND(ISNUMBER(INDEX('Market Data'!$AF$5:$AF$66,INDEX('Market Data'!$J$5:$J$528,$T21)-4)),N(INDEX('Market Data'!$AF$5:$AF$66,INDEX('Market Data'!$J$5:$J$528,$T21)-4))&gt;0),INDEX('Market Data'!$AF$5:$AF$66,INDEX('Market Data'!$J$5:$J$528,$T21)-4),"date unavailable"),"date unavailable"))))</f>
        <v/>
      </c>
      <c r="Q21" s="15">
        <f>IF($T21=0,"",IF(INDEX('Market Data'!$J$5:$J$528,$T21)=0,"n/a",IF(AND($M$5&lt;&gt;"Snapshot",ISNUMBER(INDEX('Market Data'!$AH$5:$AH$66,INDEX('Market Data'!$J$5:$J$528,$T21)-4)),N(INDEX('Market Data'!$AH$5:$AH$66,INDEX('Market Data'!$J$5:$J$528,$T21)-4))&gt;0),"Bloomberg",IF(AND($M$5&lt;&gt;"Bloomberg",ISNUMBER(INDEX('Market Data'!$AC$5:$AC$66,INDEX('Market Data'!$J$5:$J$528,$T21)-4)),N(INDEX('Market Data'!$AC$5:$AC$66,INDEX('Market Data'!$J$5:$J$528,$T21)-4))&gt;0),"Snapshot","Unavailable"))))</f>
        <v/>
      </c>
      <c r="T21">
        <f>IFERROR(MATCH(13,'Market Data'!$S$5:$S$528,0),0)</f>
        <v/>
      </c>
    </row>
    <row r="22" ht="34" customHeight="1">
      <c r="A22" s="8">
        <f>IF($T22=0,"",IF(INDEX('Market Data'!$A$5:$A$528,$T22)="","",INDEX('Market Data'!$A$5:$A$528,$T22)))</f>
        <v/>
      </c>
      <c r="B22" s="9">
        <f>IF($T22=0,"",IF(INDEX('Market Data'!$B$5:$B$528,$T22)="","",INDEX('Market Data'!$B$5:$B$528,$T22)))</f>
        <v/>
      </c>
      <c r="C22" s="9">
        <f>IF($T22=0,"",IF(INDEX('Market Data'!$C$5:$C$528,$T22)="","",INDEX('Market Data'!$C$5:$C$528,$T22)))</f>
        <v/>
      </c>
      <c r="D22" s="9">
        <f>IF($T22=0,"",IF(INDEX('Market Data'!$D$5:$D$528,$T22)="","",INDEX('Market Data'!$D$5:$D$528,$T22)))</f>
        <v/>
      </c>
      <c r="E22" s="10">
        <f>IF($T22=0,"",INDEX('Market Data'!$O$5:$O$528,$T22))</f>
        <v/>
      </c>
      <c r="F22" s="11">
        <f>IF($T22=0,"",IF(AND($I22="Bloomberg",ISNUMBER(INDEX('Market Data'!$L$5:$L$528,$T22))),INDEX('Market Data'!$L$5:$L$528,$T22),"unavailable"))</f>
        <v/>
      </c>
      <c r="G22" s="12">
        <f>IF($T22=0,"",IF($I22="Bloomberg",IF(AND(ISNUMBER(INDEX('Market Data'!$M$5:$M$528,$T22)),N(INDEX('Market Data'!$M$5:$M$528,$T22))&gt;0),INDEX('Market Data'!$M$5:$M$528,$T22),"date unavailable"),IF($I22="Snapshot",IF(AND(ISNUMBER(INDEX('Market Data'!$H$5:$H$528,$T22)),N(INDEX('Market Data'!$H$5:$H$528,$T22))&gt;0),INDEX('Market Data'!$H$5:$H$528,$T22),"date unavailable"),"date unavailable")))</f>
        <v/>
      </c>
      <c r="H22" s="9">
        <f>IF($T22=0,"",IF($I22="Bloomberg",IF(INDEX('Market Data'!$N$5:$N$528,$T22)="","time unavailable",INDEX('Market Data'!$N$5:$N$528,$T22)),""))</f>
        <v/>
      </c>
      <c r="I22" s="9">
        <f>IF($T22=0,"",INDEX('Market Data'!$P$5:$P$528,$T22))</f>
        <v/>
      </c>
      <c r="J22" s="13">
        <f>IF($T22=0,"",IF(INDEX('Market Data'!$E$5:$E$528,$T22)="","",INDEX('Market Data'!$E$5:$E$528,$T22)))</f>
        <v/>
      </c>
      <c r="K22" s="8">
        <f>IF($T22=0,"",IF(INDEX('Market Data'!$I$5:$I$528,$T22)="","",INDEX('Market Data'!$I$5:$I$528,$T22)))</f>
        <v/>
      </c>
      <c r="L22" s="10">
        <f>IF($T22=0,"",IF(INDEX('Market Data'!$J$5:$J$528,$T22)=0,"n/a",IF(AND($M$5&lt;&gt;"Snapshot",ISNUMBER(INDEX('Market Data'!$AH$5:$AH$66,INDEX('Market Data'!$J$5:$J$528,$T22)-4)),N(INDEX('Market Data'!$AH$5:$AH$66,INDEX('Market Data'!$J$5:$J$528,$T22)-4))&gt;0),INDEX('Market Data'!$AH$5:$AH$66,INDEX('Market Data'!$J$5:$J$528,$T22)-4),IF(AND($M$5&lt;&gt;"Bloomberg",ISNUMBER(INDEX('Market Data'!$AC$5:$AC$66,INDEX('Market Data'!$J$5:$J$528,$T22)-4)),N(INDEX('Market Data'!$AC$5:$AC$66,INDEX('Market Data'!$J$5:$J$528,$T22)-4))&gt;0),INDEX('Market Data'!$AC$5:$AC$66,INDEX('Market Data'!$J$5:$J$528,$T22)-4),"unavailable"))))</f>
        <v/>
      </c>
      <c r="M22" s="11">
        <f>IF($T22=0,"",IF(INDEX('Market Data'!$J$5:$J$528,$T22)=0,"n/a",IF(IF(INDEX('Market Data'!$J$5:$J$528,$T22)=0,0,IF(LEFT(INDEX('Market Data'!$AS$5:$AS$66,INDEX('Market Data'!$J$5:$J$528,$T22)-4),11)="First-month",1,0))=1,"class review",IF($I22="Bloomberg",IF(AND(ISNUMBER(INDEX('Market Data'!$AH$5:$AH$66,INDEX('Market Data'!$J$5:$J$528,$T22)-4)),N(INDEX('Market Data'!$AH$5:$AH$66,INDEX('Market Data'!$J$5:$J$528,$T22)-4))&gt;0,ISNUMBER('Market Data'!$B$1),N('Market Data'!$B$1)&gt;0),INDEX('Market Data'!$AH$5:$AH$66,INDEX('Market Data'!$J$5:$J$528,$T22)-4)*'Market Data'!$B$1/$E22-1,"pending A/FX"),IF(AND($I22="Snapshot",$Q22="Snapshot",ISNUMBER($E22),$G22=INDEX('Market Data'!$AE$5:$AE$66,INDEX('Market Data'!$J$5:$J$528,$T22)-4)),IFERROR(INDEX('Market Data'!$AC$5:$AC$66,INDEX('Market Data'!$J$5:$J$528,$T22)-4)*INDEX('Market Data'!$AD$5:$AD$66,INDEX('Market Data'!$J$5:$J$528,$T22)-4)/$E22-1,"unavailable"),IF($I22="Unavailable","unavailable","date mismatch"))))))</f>
        <v/>
      </c>
      <c r="N22" s="11">
        <f>IF($T22=0,"",IFERROR(IF(AND(N(INDEX('Market Data'!$F$5:$F$528,$T22))&gt;0,ISNUMBER(INDEX('Market Data'!$T$5:$T$528,$T22))),$E22*INDEX('Market Data'!$T$5:$T$528,$T22)/INDEX('Market Data'!$F$5:$F$528,$T22)-1,"unavailable"),"unavailable"))</f>
        <v/>
      </c>
      <c r="O22" s="9">
        <f>IF($T22=0,"",IF(IF(INDEX('Market Data'!$J$5:$J$528,$T22)=0,0,IF(LEFT(INDEX('Market Data'!$AS$5:$AS$66,INDEX('Market Data'!$J$5:$J$528,$T22)-4),11)="First-month",1,0))=1,"Class ratio review",IF($I22="Bloomberg",IF(ISNUMBER($G22),IF($G22&lt;TODAY(),"Older quote","See quote time"),"Date unavailable"),IF($I22="Snapshot",IF($G22&lt;DATEVALUE("2026-10-02"),"Older snapshot","Dated close"),"No valid quote"))))</f>
        <v/>
      </c>
      <c r="P22" s="14">
        <f>IF($T22=0,"",IF(INDEX('Market Data'!$J$5:$J$528,$T22)=0,"n/a",IF($Q22="Bloomberg",IF(AND(ISNUMBER(INDEX('Market Data'!$AK$5:$AK$66,INDEX('Market Data'!$J$5:$J$528,$T22)-4)),N(INDEX('Market Data'!$AK$5:$AK$66,INDEX('Market Data'!$J$5:$J$528,$T22)-4))&gt;0),INDEX('Market Data'!$AK$5:$AK$66,INDEX('Market Data'!$J$5:$J$528,$T22)-4),"date unavailable"),IF($Q22="Snapshot",IF(AND(ISNUMBER(INDEX('Market Data'!$AF$5:$AF$66,INDEX('Market Data'!$J$5:$J$528,$T22)-4)),N(INDEX('Market Data'!$AF$5:$AF$66,INDEX('Market Data'!$J$5:$J$528,$T22)-4))&gt;0),INDEX('Market Data'!$AF$5:$AF$66,INDEX('Market Data'!$J$5:$J$528,$T22)-4),"date unavailable"),"date unavailable"))))</f>
        <v/>
      </c>
      <c r="Q22" s="15">
        <f>IF($T22=0,"",IF(INDEX('Market Data'!$J$5:$J$528,$T22)=0,"n/a",IF(AND($M$5&lt;&gt;"Snapshot",ISNUMBER(INDEX('Market Data'!$AH$5:$AH$66,INDEX('Market Data'!$J$5:$J$528,$T22)-4)),N(INDEX('Market Data'!$AH$5:$AH$66,INDEX('Market Data'!$J$5:$J$528,$T22)-4))&gt;0),"Bloomberg",IF(AND($M$5&lt;&gt;"Bloomberg",ISNUMBER(INDEX('Market Data'!$AC$5:$AC$66,INDEX('Market Data'!$J$5:$J$528,$T22)-4)),N(INDEX('Market Data'!$AC$5:$AC$66,INDEX('Market Data'!$J$5:$J$528,$T22)-4))&gt;0),"Snapshot","Unavailable"))))</f>
        <v/>
      </c>
      <c r="T22">
        <f>IFERROR(MATCH(14,'Market Data'!$S$5:$S$528,0),0)</f>
        <v/>
      </c>
    </row>
    <row r="23" ht="34" customHeight="1">
      <c r="A23" s="8">
        <f>IF($T23=0,"",IF(INDEX('Market Data'!$A$5:$A$528,$T23)="","",INDEX('Market Data'!$A$5:$A$528,$T23)))</f>
        <v/>
      </c>
      <c r="B23" s="9">
        <f>IF($T23=0,"",IF(INDEX('Market Data'!$B$5:$B$528,$T23)="","",INDEX('Market Data'!$B$5:$B$528,$T23)))</f>
        <v/>
      </c>
      <c r="C23" s="9">
        <f>IF($T23=0,"",IF(INDEX('Market Data'!$C$5:$C$528,$T23)="","",INDEX('Market Data'!$C$5:$C$528,$T23)))</f>
        <v/>
      </c>
      <c r="D23" s="9">
        <f>IF($T23=0,"",IF(INDEX('Market Data'!$D$5:$D$528,$T23)="","",INDEX('Market Data'!$D$5:$D$528,$T23)))</f>
        <v/>
      </c>
      <c r="E23" s="10">
        <f>IF($T23=0,"",INDEX('Market Data'!$O$5:$O$528,$T23))</f>
        <v/>
      </c>
      <c r="F23" s="11">
        <f>IF($T23=0,"",IF(AND($I23="Bloomberg",ISNUMBER(INDEX('Market Data'!$L$5:$L$528,$T23))),INDEX('Market Data'!$L$5:$L$528,$T23),"unavailable"))</f>
        <v/>
      </c>
      <c r="G23" s="12">
        <f>IF($T23=0,"",IF($I23="Bloomberg",IF(AND(ISNUMBER(INDEX('Market Data'!$M$5:$M$528,$T23)),N(INDEX('Market Data'!$M$5:$M$528,$T23))&gt;0),INDEX('Market Data'!$M$5:$M$528,$T23),"date unavailable"),IF($I23="Snapshot",IF(AND(ISNUMBER(INDEX('Market Data'!$H$5:$H$528,$T23)),N(INDEX('Market Data'!$H$5:$H$528,$T23))&gt;0),INDEX('Market Data'!$H$5:$H$528,$T23),"date unavailable"),"date unavailable")))</f>
        <v/>
      </c>
      <c r="H23" s="9">
        <f>IF($T23=0,"",IF($I23="Bloomberg",IF(INDEX('Market Data'!$N$5:$N$528,$T23)="","time unavailable",INDEX('Market Data'!$N$5:$N$528,$T23)),""))</f>
        <v/>
      </c>
      <c r="I23" s="9">
        <f>IF($T23=0,"",INDEX('Market Data'!$P$5:$P$528,$T23))</f>
        <v/>
      </c>
      <c r="J23" s="13">
        <f>IF($T23=0,"",IF(INDEX('Market Data'!$E$5:$E$528,$T23)="","",INDEX('Market Data'!$E$5:$E$528,$T23)))</f>
        <v/>
      </c>
      <c r="K23" s="8">
        <f>IF($T23=0,"",IF(INDEX('Market Data'!$I$5:$I$528,$T23)="","",INDEX('Market Data'!$I$5:$I$528,$T23)))</f>
        <v/>
      </c>
      <c r="L23" s="10">
        <f>IF($T23=0,"",IF(INDEX('Market Data'!$J$5:$J$528,$T23)=0,"n/a",IF(AND($M$5&lt;&gt;"Snapshot",ISNUMBER(INDEX('Market Data'!$AH$5:$AH$66,INDEX('Market Data'!$J$5:$J$528,$T23)-4)),N(INDEX('Market Data'!$AH$5:$AH$66,INDEX('Market Data'!$J$5:$J$528,$T23)-4))&gt;0),INDEX('Market Data'!$AH$5:$AH$66,INDEX('Market Data'!$J$5:$J$528,$T23)-4),IF(AND($M$5&lt;&gt;"Bloomberg",ISNUMBER(INDEX('Market Data'!$AC$5:$AC$66,INDEX('Market Data'!$J$5:$J$528,$T23)-4)),N(INDEX('Market Data'!$AC$5:$AC$66,INDEX('Market Data'!$J$5:$J$528,$T23)-4))&gt;0),INDEX('Market Data'!$AC$5:$AC$66,INDEX('Market Data'!$J$5:$J$528,$T23)-4),"unavailable"))))</f>
        <v/>
      </c>
      <c r="M23" s="11">
        <f>IF($T23=0,"",IF(INDEX('Market Data'!$J$5:$J$528,$T23)=0,"n/a",IF(IF(INDEX('Market Data'!$J$5:$J$528,$T23)=0,0,IF(LEFT(INDEX('Market Data'!$AS$5:$AS$66,INDEX('Market Data'!$J$5:$J$528,$T23)-4),11)="First-month",1,0))=1,"class review",IF($I23="Bloomberg",IF(AND(ISNUMBER(INDEX('Market Data'!$AH$5:$AH$66,INDEX('Market Data'!$J$5:$J$528,$T23)-4)),N(INDEX('Market Data'!$AH$5:$AH$66,INDEX('Market Data'!$J$5:$J$528,$T23)-4))&gt;0,ISNUMBER('Market Data'!$B$1),N('Market Data'!$B$1)&gt;0),INDEX('Market Data'!$AH$5:$AH$66,INDEX('Market Data'!$J$5:$J$528,$T23)-4)*'Market Data'!$B$1/$E23-1,"pending A/FX"),IF(AND($I23="Snapshot",$Q23="Snapshot",ISNUMBER($E23),$G23=INDEX('Market Data'!$AE$5:$AE$66,INDEX('Market Data'!$J$5:$J$528,$T23)-4)),IFERROR(INDEX('Market Data'!$AC$5:$AC$66,INDEX('Market Data'!$J$5:$J$528,$T23)-4)*INDEX('Market Data'!$AD$5:$AD$66,INDEX('Market Data'!$J$5:$J$528,$T23)-4)/$E23-1,"unavailable"),IF($I23="Unavailable","unavailable","date mismatch"))))))</f>
        <v/>
      </c>
      <c r="N23" s="11">
        <f>IF($T23=0,"",IFERROR(IF(AND(N(INDEX('Market Data'!$F$5:$F$528,$T23))&gt;0,ISNUMBER(INDEX('Market Data'!$T$5:$T$528,$T23))),$E23*INDEX('Market Data'!$T$5:$T$528,$T23)/INDEX('Market Data'!$F$5:$F$528,$T23)-1,"unavailable"),"unavailable"))</f>
        <v/>
      </c>
      <c r="O23" s="9">
        <f>IF($T23=0,"",IF(IF(INDEX('Market Data'!$J$5:$J$528,$T23)=0,0,IF(LEFT(INDEX('Market Data'!$AS$5:$AS$66,INDEX('Market Data'!$J$5:$J$528,$T23)-4),11)="First-month",1,0))=1,"Class ratio review",IF($I23="Bloomberg",IF(ISNUMBER($G23),IF($G23&lt;TODAY(),"Older quote","See quote time"),"Date unavailable"),IF($I23="Snapshot",IF($G23&lt;DATEVALUE("2026-10-02"),"Older snapshot","Dated close"),"No valid quote"))))</f>
        <v/>
      </c>
      <c r="P23" s="14">
        <f>IF($T23=0,"",IF(INDEX('Market Data'!$J$5:$J$528,$T23)=0,"n/a",IF($Q23="Bloomberg",IF(AND(ISNUMBER(INDEX('Market Data'!$AK$5:$AK$66,INDEX('Market Data'!$J$5:$J$528,$T23)-4)),N(INDEX('Market Data'!$AK$5:$AK$66,INDEX('Market Data'!$J$5:$J$528,$T23)-4))&gt;0),INDEX('Market Data'!$AK$5:$AK$66,INDEX('Market Data'!$J$5:$J$528,$T23)-4),"date unavailable"),IF($Q23="Snapshot",IF(AND(ISNUMBER(INDEX('Market Data'!$AF$5:$AF$66,INDEX('Market Data'!$J$5:$J$528,$T23)-4)),N(INDEX('Market Data'!$AF$5:$AF$66,INDEX('Market Data'!$J$5:$J$528,$T23)-4))&gt;0),INDEX('Market Data'!$AF$5:$AF$66,INDEX('Market Data'!$J$5:$J$528,$T23)-4),"date unavailable"),"date unavailable"))))</f>
        <v/>
      </c>
      <c r="Q23" s="15">
        <f>IF($T23=0,"",IF(INDEX('Market Data'!$J$5:$J$528,$T23)=0,"n/a",IF(AND($M$5&lt;&gt;"Snapshot",ISNUMBER(INDEX('Market Data'!$AH$5:$AH$66,INDEX('Market Data'!$J$5:$J$528,$T23)-4)),N(INDEX('Market Data'!$AH$5:$AH$66,INDEX('Market Data'!$J$5:$J$528,$T23)-4))&gt;0),"Bloomberg",IF(AND($M$5&lt;&gt;"Bloomberg",ISNUMBER(INDEX('Market Data'!$AC$5:$AC$66,INDEX('Market Data'!$J$5:$J$528,$T23)-4)),N(INDEX('Market Data'!$AC$5:$AC$66,INDEX('Market Data'!$J$5:$J$528,$T23)-4))&gt;0),"Snapshot","Unavailable"))))</f>
        <v/>
      </c>
      <c r="T23">
        <f>IFERROR(MATCH(15,'Market Data'!$S$5:$S$528,0),0)</f>
        <v/>
      </c>
    </row>
    <row r="24" ht="34" customHeight="1">
      <c r="A24" s="8">
        <f>IF($T24=0,"",IF(INDEX('Market Data'!$A$5:$A$528,$T24)="","",INDEX('Market Data'!$A$5:$A$528,$T24)))</f>
        <v/>
      </c>
      <c r="B24" s="9">
        <f>IF($T24=0,"",IF(INDEX('Market Data'!$B$5:$B$528,$T24)="","",INDEX('Market Data'!$B$5:$B$528,$T24)))</f>
        <v/>
      </c>
      <c r="C24" s="9">
        <f>IF($T24=0,"",IF(INDEX('Market Data'!$C$5:$C$528,$T24)="","",INDEX('Market Data'!$C$5:$C$528,$T24)))</f>
        <v/>
      </c>
      <c r="D24" s="9">
        <f>IF($T24=0,"",IF(INDEX('Market Data'!$D$5:$D$528,$T24)="","",INDEX('Market Data'!$D$5:$D$528,$T24)))</f>
        <v/>
      </c>
      <c r="E24" s="10">
        <f>IF($T24=0,"",INDEX('Market Data'!$O$5:$O$528,$T24))</f>
        <v/>
      </c>
      <c r="F24" s="11">
        <f>IF($T24=0,"",IF(AND($I24="Bloomberg",ISNUMBER(INDEX('Market Data'!$L$5:$L$528,$T24))),INDEX('Market Data'!$L$5:$L$528,$T24),"unavailable"))</f>
        <v/>
      </c>
      <c r="G24" s="12">
        <f>IF($T24=0,"",IF($I24="Bloomberg",IF(AND(ISNUMBER(INDEX('Market Data'!$M$5:$M$528,$T24)),N(INDEX('Market Data'!$M$5:$M$528,$T24))&gt;0),INDEX('Market Data'!$M$5:$M$528,$T24),"date unavailable"),IF($I24="Snapshot",IF(AND(ISNUMBER(INDEX('Market Data'!$H$5:$H$528,$T24)),N(INDEX('Market Data'!$H$5:$H$528,$T24))&gt;0),INDEX('Market Data'!$H$5:$H$528,$T24),"date unavailable"),"date unavailable")))</f>
        <v/>
      </c>
      <c r="H24" s="9">
        <f>IF($T24=0,"",IF($I24="Bloomberg",IF(INDEX('Market Data'!$N$5:$N$528,$T24)="","time unavailable",INDEX('Market Data'!$N$5:$N$528,$T24)),""))</f>
        <v/>
      </c>
      <c r="I24" s="9">
        <f>IF($T24=0,"",INDEX('Market Data'!$P$5:$P$528,$T24))</f>
        <v/>
      </c>
      <c r="J24" s="13">
        <f>IF($T24=0,"",IF(INDEX('Market Data'!$E$5:$E$528,$T24)="","",INDEX('Market Data'!$E$5:$E$528,$T24)))</f>
        <v/>
      </c>
      <c r="K24" s="8">
        <f>IF($T24=0,"",IF(INDEX('Market Data'!$I$5:$I$528,$T24)="","",INDEX('Market Data'!$I$5:$I$528,$T24)))</f>
        <v/>
      </c>
      <c r="L24" s="10">
        <f>IF($T24=0,"",IF(INDEX('Market Data'!$J$5:$J$528,$T24)=0,"n/a",IF(AND($M$5&lt;&gt;"Snapshot",ISNUMBER(INDEX('Market Data'!$AH$5:$AH$66,INDEX('Market Data'!$J$5:$J$528,$T24)-4)),N(INDEX('Market Data'!$AH$5:$AH$66,INDEX('Market Data'!$J$5:$J$528,$T24)-4))&gt;0),INDEX('Market Data'!$AH$5:$AH$66,INDEX('Market Data'!$J$5:$J$528,$T24)-4),IF(AND($M$5&lt;&gt;"Bloomberg",ISNUMBER(INDEX('Market Data'!$AC$5:$AC$66,INDEX('Market Data'!$J$5:$J$528,$T24)-4)),N(INDEX('Market Data'!$AC$5:$AC$66,INDEX('Market Data'!$J$5:$J$528,$T24)-4))&gt;0),INDEX('Market Data'!$AC$5:$AC$66,INDEX('Market Data'!$J$5:$J$528,$T24)-4),"unavailable"))))</f>
        <v/>
      </c>
      <c r="M24" s="11">
        <f>IF($T24=0,"",IF(INDEX('Market Data'!$J$5:$J$528,$T24)=0,"n/a",IF(IF(INDEX('Market Data'!$J$5:$J$528,$T24)=0,0,IF(LEFT(INDEX('Market Data'!$AS$5:$AS$66,INDEX('Market Data'!$J$5:$J$528,$T24)-4),11)="First-month",1,0))=1,"class review",IF($I24="Bloomberg",IF(AND(ISNUMBER(INDEX('Market Data'!$AH$5:$AH$66,INDEX('Market Data'!$J$5:$J$528,$T24)-4)),N(INDEX('Market Data'!$AH$5:$AH$66,INDEX('Market Data'!$J$5:$J$528,$T24)-4))&gt;0,ISNUMBER('Market Data'!$B$1),N('Market Data'!$B$1)&gt;0),INDEX('Market Data'!$AH$5:$AH$66,INDEX('Market Data'!$J$5:$J$528,$T24)-4)*'Market Data'!$B$1/$E24-1,"pending A/FX"),IF(AND($I24="Snapshot",$Q24="Snapshot",ISNUMBER($E24),$G24=INDEX('Market Data'!$AE$5:$AE$66,INDEX('Market Data'!$J$5:$J$528,$T24)-4)),IFERROR(INDEX('Market Data'!$AC$5:$AC$66,INDEX('Market Data'!$J$5:$J$528,$T24)-4)*INDEX('Market Data'!$AD$5:$AD$66,INDEX('Market Data'!$J$5:$J$528,$T24)-4)/$E24-1,"unavailable"),IF($I24="Unavailable","unavailable","date mismatch"))))))</f>
        <v/>
      </c>
      <c r="N24" s="11">
        <f>IF($T24=0,"",IFERROR(IF(AND(N(INDEX('Market Data'!$F$5:$F$528,$T24))&gt;0,ISNUMBER(INDEX('Market Data'!$T$5:$T$528,$T24))),$E24*INDEX('Market Data'!$T$5:$T$528,$T24)/INDEX('Market Data'!$F$5:$F$528,$T24)-1,"unavailable"),"unavailable"))</f>
        <v/>
      </c>
      <c r="O24" s="9">
        <f>IF($T24=0,"",IF(IF(INDEX('Market Data'!$J$5:$J$528,$T24)=0,0,IF(LEFT(INDEX('Market Data'!$AS$5:$AS$66,INDEX('Market Data'!$J$5:$J$528,$T24)-4),11)="First-month",1,0))=1,"Class ratio review",IF($I24="Bloomberg",IF(ISNUMBER($G24),IF($G24&lt;TODAY(),"Older quote","See quote time"),"Date unavailable"),IF($I24="Snapshot",IF($G24&lt;DATEVALUE("2026-10-02"),"Older snapshot","Dated close"),"No valid quote"))))</f>
        <v/>
      </c>
      <c r="P24" s="14">
        <f>IF($T24=0,"",IF(INDEX('Market Data'!$J$5:$J$528,$T24)=0,"n/a",IF($Q24="Bloomberg",IF(AND(ISNUMBER(INDEX('Market Data'!$AK$5:$AK$66,INDEX('Market Data'!$J$5:$J$528,$T24)-4)),N(INDEX('Market Data'!$AK$5:$AK$66,INDEX('Market Data'!$J$5:$J$528,$T24)-4))&gt;0),INDEX('Market Data'!$AK$5:$AK$66,INDEX('Market Data'!$J$5:$J$528,$T24)-4),"date unavailable"),IF($Q24="Snapshot",IF(AND(ISNUMBER(INDEX('Market Data'!$AF$5:$AF$66,INDEX('Market Data'!$J$5:$J$528,$T24)-4)),N(INDEX('Market Data'!$AF$5:$AF$66,INDEX('Market Data'!$J$5:$J$528,$T24)-4))&gt;0),INDEX('Market Data'!$AF$5:$AF$66,INDEX('Market Data'!$J$5:$J$528,$T24)-4),"date unavailable"),"date unavailable"))))</f>
        <v/>
      </c>
      <c r="Q24" s="15">
        <f>IF($T24=0,"",IF(INDEX('Market Data'!$J$5:$J$528,$T24)=0,"n/a",IF(AND($M$5&lt;&gt;"Snapshot",ISNUMBER(INDEX('Market Data'!$AH$5:$AH$66,INDEX('Market Data'!$J$5:$J$528,$T24)-4)),N(INDEX('Market Data'!$AH$5:$AH$66,INDEX('Market Data'!$J$5:$J$528,$T24)-4))&gt;0),"Bloomberg",IF(AND($M$5&lt;&gt;"Bloomberg",ISNUMBER(INDEX('Market Data'!$AC$5:$AC$66,INDEX('Market Data'!$J$5:$J$528,$T24)-4)),N(INDEX('Market Data'!$AC$5:$AC$66,INDEX('Market Data'!$J$5:$J$528,$T24)-4))&gt;0),"Snapshot","Unavailable"))))</f>
        <v/>
      </c>
      <c r="T24">
        <f>IFERROR(MATCH(16,'Market Data'!$S$5:$S$528,0),0)</f>
        <v/>
      </c>
    </row>
    <row r="25" ht="34" customHeight="1">
      <c r="A25" s="8">
        <f>IF($T25=0,"",IF(INDEX('Market Data'!$A$5:$A$528,$T25)="","",INDEX('Market Data'!$A$5:$A$528,$T25)))</f>
        <v/>
      </c>
      <c r="B25" s="9">
        <f>IF($T25=0,"",IF(INDEX('Market Data'!$B$5:$B$528,$T25)="","",INDEX('Market Data'!$B$5:$B$528,$T25)))</f>
        <v/>
      </c>
      <c r="C25" s="9">
        <f>IF($T25=0,"",IF(INDEX('Market Data'!$C$5:$C$528,$T25)="","",INDEX('Market Data'!$C$5:$C$528,$T25)))</f>
        <v/>
      </c>
      <c r="D25" s="9">
        <f>IF($T25=0,"",IF(INDEX('Market Data'!$D$5:$D$528,$T25)="","",INDEX('Market Data'!$D$5:$D$528,$T25)))</f>
        <v/>
      </c>
      <c r="E25" s="10">
        <f>IF($T25=0,"",INDEX('Market Data'!$O$5:$O$528,$T25))</f>
        <v/>
      </c>
      <c r="F25" s="11">
        <f>IF($T25=0,"",IF(AND($I25="Bloomberg",ISNUMBER(INDEX('Market Data'!$L$5:$L$528,$T25))),INDEX('Market Data'!$L$5:$L$528,$T25),"unavailable"))</f>
        <v/>
      </c>
      <c r="G25" s="12">
        <f>IF($T25=0,"",IF($I25="Bloomberg",IF(AND(ISNUMBER(INDEX('Market Data'!$M$5:$M$528,$T25)),N(INDEX('Market Data'!$M$5:$M$528,$T25))&gt;0),INDEX('Market Data'!$M$5:$M$528,$T25),"date unavailable"),IF($I25="Snapshot",IF(AND(ISNUMBER(INDEX('Market Data'!$H$5:$H$528,$T25)),N(INDEX('Market Data'!$H$5:$H$528,$T25))&gt;0),INDEX('Market Data'!$H$5:$H$528,$T25),"date unavailable"),"date unavailable")))</f>
        <v/>
      </c>
      <c r="H25" s="9">
        <f>IF($T25=0,"",IF($I25="Bloomberg",IF(INDEX('Market Data'!$N$5:$N$528,$T25)="","time unavailable",INDEX('Market Data'!$N$5:$N$528,$T25)),""))</f>
        <v/>
      </c>
      <c r="I25" s="9">
        <f>IF($T25=0,"",INDEX('Market Data'!$P$5:$P$528,$T25))</f>
        <v/>
      </c>
      <c r="J25" s="13">
        <f>IF($T25=0,"",IF(INDEX('Market Data'!$E$5:$E$528,$T25)="","",INDEX('Market Data'!$E$5:$E$528,$T25)))</f>
        <v/>
      </c>
      <c r="K25" s="8">
        <f>IF($T25=0,"",IF(INDEX('Market Data'!$I$5:$I$528,$T25)="","",INDEX('Market Data'!$I$5:$I$528,$T25)))</f>
        <v/>
      </c>
      <c r="L25" s="10">
        <f>IF($T25=0,"",IF(INDEX('Market Data'!$J$5:$J$528,$T25)=0,"n/a",IF(AND($M$5&lt;&gt;"Snapshot",ISNUMBER(INDEX('Market Data'!$AH$5:$AH$66,INDEX('Market Data'!$J$5:$J$528,$T25)-4)),N(INDEX('Market Data'!$AH$5:$AH$66,INDEX('Market Data'!$J$5:$J$528,$T25)-4))&gt;0),INDEX('Market Data'!$AH$5:$AH$66,INDEX('Market Data'!$J$5:$J$528,$T25)-4),IF(AND($M$5&lt;&gt;"Bloomberg",ISNUMBER(INDEX('Market Data'!$AC$5:$AC$66,INDEX('Market Data'!$J$5:$J$528,$T25)-4)),N(INDEX('Market Data'!$AC$5:$AC$66,INDEX('Market Data'!$J$5:$J$528,$T25)-4))&gt;0),INDEX('Market Data'!$AC$5:$AC$66,INDEX('Market Data'!$J$5:$J$528,$T25)-4),"unavailable"))))</f>
        <v/>
      </c>
      <c r="M25" s="11">
        <f>IF($T25=0,"",IF(INDEX('Market Data'!$J$5:$J$528,$T25)=0,"n/a",IF(IF(INDEX('Market Data'!$J$5:$J$528,$T25)=0,0,IF(LEFT(INDEX('Market Data'!$AS$5:$AS$66,INDEX('Market Data'!$J$5:$J$528,$T25)-4),11)="First-month",1,0))=1,"class review",IF($I25="Bloomberg",IF(AND(ISNUMBER(INDEX('Market Data'!$AH$5:$AH$66,INDEX('Market Data'!$J$5:$J$528,$T25)-4)),N(INDEX('Market Data'!$AH$5:$AH$66,INDEX('Market Data'!$J$5:$J$528,$T25)-4))&gt;0,ISNUMBER('Market Data'!$B$1),N('Market Data'!$B$1)&gt;0),INDEX('Market Data'!$AH$5:$AH$66,INDEX('Market Data'!$J$5:$J$528,$T25)-4)*'Market Data'!$B$1/$E25-1,"pending A/FX"),IF(AND($I25="Snapshot",$Q25="Snapshot",ISNUMBER($E25),$G25=INDEX('Market Data'!$AE$5:$AE$66,INDEX('Market Data'!$J$5:$J$528,$T25)-4)),IFERROR(INDEX('Market Data'!$AC$5:$AC$66,INDEX('Market Data'!$J$5:$J$528,$T25)-4)*INDEX('Market Data'!$AD$5:$AD$66,INDEX('Market Data'!$J$5:$J$528,$T25)-4)/$E25-1,"unavailable"),IF($I25="Unavailable","unavailable","date mismatch"))))))</f>
        <v/>
      </c>
      <c r="N25" s="11">
        <f>IF($T25=0,"",IFERROR(IF(AND(N(INDEX('Market Data'!$F$5:$F$528,$T25))&gt;0,ISNUMBER(INDEX('Market Data'!$T$5:$T$528,$T25))),$E25*INDEX('Market Data'!$T$5:$T$528,$T25)/INDEX('Market Data'!$F$5:$F$528,$T25)-1,"unavailable"),"unavailable"))</f>
        <v/>
      </c>
      <c r="O25" s="9">
        <f>IF($T25=0,"",IF(IF(INDEX('Market Data'!$J$5:$J$528,$T25)=0,0,IF(LEFT(INDEX('Market Data'!$AS$5:$AS$66,INDEX('Market Data'!$J$5:$J$528,$T25)-4),11)="First-month",1,0))=1,"Class ratio review",IF($I25="Bloomberg",IF(ISNUMBER($G25),IF($G25&lt;TODAY(),"Older quote","See quote time"),"Date unavailable"),IF($I25="Snapshot",IF($G25&lt;DATEVALUE("2026-10-02"),"Older snapshot","Dated close"),"No valid quote"))))</f>
        <v/>
      </c>
      <c r="P25" s="14">
        <f>IF($T25=0,"",IF(INDEX('Market Data'!$J$5:$J$528,$T25)=0,"n/a",IF($Q25="Bloomberg",IF(AND(ISNUMBER(INDEX('Market Data'!$AK$5:$AK$66,INDEX('Market Data'!$J$5:$J$528,$T25)-4)),N(INDEX('Market Data'!$AK$5:$AK$66,INDEX('Market Data'!$J$5:$J$528,$T25)-4))&gt;0),INDEX('Market Data'!$AK$5:$AK$66,INDEX('Market Data'!$J$5:$J$528,$T25)-4),"date unavailable"),IF($Q25="Snapshot",IF(AND(ISNUMBER(INDEX('Market Data'!$AF$5:$AF$66,INDEX('Market Data'!$J$5:$J$528,$T25)-4)),N(INDEX('Market Data'!$AF$5:$AF$66,INDEX('Market Data'!$J$5:$J$528,$T25)-4))&gt;0),INDEX('Market Data'!$AF$5:$AF$66,INDEX('Market Data'!$J$5:$J$528,$T25)-4),"date unavailable"),"date unavailable"))))</f>
        <v/>
      </c>
      <c r="Q25" s="15">
        <f>IF($T25=0,"",IF(INDEX('Market Data'!$J$5:$J$528,$T25)=0,"n/a",IF(AND($M$5&lt;&gt;"Snapshot",ISNUMBER(INDEX('Market Data'!$AH$5:$AH$66,INDEX('Market Data'!$J$5:$J$528,$T25)-4)),N(INDEX('Market Data'!$AH$5:$AH$66,INDEX('Market Data'!$J$5:$J$528,$T25)-4))&gt;0),"Bloomberg",IF(AND($M$5&lt;&gt;"Bloomberg",ISNUMBER(INDEX('Market Data'!$AC$5:$AC$66,INDEX('Market Data'!$J$5:$J$528,$T25)-4)),N(INDEX('Market Data'!$AC$5:$AC$66,INDEX('Market Data'!$J$5:$J$528,$T25)-4))&gt;0),"Snapshot","Unavailable"))))</f>
        <v/>
      </c>
      <c r="T25">
        <f>IFERROR(MATCH(17,'Market Data'!$S$5:$S$528,0),0)</f>
        <v/>
      </c>
    </row>
    <row r="26" ht="34" customHeight="1">
      <c r="A26" s="8">
        <f>IF($T26=0,"",IF(INDEX('Market Data'!$A$5:$A$528,$T26)="","",INDEX('Market Data'!$A$5:$A$528,$T26)))</f>
        <v/>
      </c>
      <c r="B26" s="9">
        <f>IF($T26=0,"",IF(INDEX('Market Data'!$B$5:$B$528,$T26)="","",INDEX('Market Data'!$B$5:$B$528,$T26)))</f>
        <v/>
      </c>
      <c r="C26" s="9">
        <f>IF($T26=0,"",IF(INDEX('Market Data'!$C$5:$C$528,$T26)="","",INDEX('Market Data'!$C$5:$C$528,$T26)))</f>
        <v/>
      </c>
      <c r="D26" s="9">
        <f>IF($T26=0,"",IF(INDEX('Market Data'!$D$5:$D$528,$T26)="","",INDEX('Market Data'!$D$5:$D$528,$T26)))</f>
        <v/>
      </c>
      <c r="E26" s="10">
        <f>IF($T26=0,"",INDEX('Market Data'!$O$5:$O$528,$T26))</f>
        <v/>
      </c>
      <c r="F26" s="11">
        <f>IF($T26=0,"",IF(AND($I26="Bloomberg",ISNUMBER(INDEX('Market Data'!$L$5:$L$528,$T26))),INDEX('Market Data'!$L$5:$L$528,$T26),"unavailable"))</f>
        <v/>
      </c>
      <c r="G26" s="12">
        <f>IF($T26=0,"",IF($I26="Bloomberg",IF(AND(ISNUMBER(INDEX('Market Data'!$M$5:$M$528,$T26)),N(INDEX('Market Data'!$M$5:$M$528,$T26))&gt;0),INDEX('Market Data'!$M$5:$M$528,$T26),"date unavailable"),IF($I26="Snapshot",IF(AND(ISNUMBER(INDEX('Market Data'!$H$5:$H$528,$T26)),N(INDEX('Market Data'!$H$5:$H$528,$T26))&gt;0),INDEX('Market Data'!$H$5:$H$528,$T26),"date unavailable"),"date unavailable")))</f>
        <v/>
      </c>
      <c r="H26" s="9">
        <f>IF($T26=0,"",IF($I26="Bloomberg",IF(INDEX('Market Data'!$N$5:$N$528,$T26)="","time unavailable",INDEX('Market Data'!$N$5:$N$528,$T26)),""))</f>
        <v/>
      </c>
      <c r="I26" s="9">
        <f>IF($T26=0,"",INDEX('Market Data'!$P$5:$P$528,$T26))</f>
        <v/>
      </c>
      <c r="J26" s="13">
        <f>IF($T26=0,"",IF(INDEX('Market Data'!$E$5:$E$528,$T26)="","",INDEX('Market Data'!$E$5:$E$528,$T26)))</f>
        <v/>
      </c>
      <c r="K26" s="8">
        <f>IF($T26=0,"",IF(INDEX('Market Data'!$I$5:$I$528,$T26)="","",INDEX('Market Data'!$I$5:$I$528,$T26)))</f>
        <v/>
      </c>
      <c r="L26" s="10">
        <f>IF($T26=0,"",IF(INDEX('Market Data'!$J$5:$J$528,$T26)=0,"n/a",IF(AND($M$5&lt;&gt;"Snapshot",ISNUMBER(INDEX('Market Data'!$AH$5:$AH$66,INDEX('Market Data'!$J$5:$J$528,$T26)-4)),N(INDEX('Market Data'!$AH$5:$AH$66,INDEX('Market Data'!$J$5:$J$528,$T26)-4))&gt;0),INDEX('Market Data'!$AH$5:$AH$66,INDEX('Market Data'!$J$5:$J$528,$T26)-4),IF(AND($M$5&lt;&gt;"Bloomberg",ISNUMBER(INDEX('Market Data'!$AC$5:$AC$66,INDEX('Market Data'!$J$5:$J$528,$T26)-4)),N(INDEX('Market Data'!$AC$5:$AC$66,INDEX('Market Data'!$J$5:$J$528,$T26)-4))&gt;0),INDEX('Market Data'!$AC$5:$AC$66,INDEX('Market Data'!$J$5:$J$528,$T26)-4),"unavailable"))))</f>
        <v/>
      </c>
      <c r="M26" s="11">
        <f>IF($T26=0,"",IF(INDEX('Market Data'!$J$5:$J$528,$T26)=0,"n/a",IF(IF(INDEX('Market Data'!$J$5:$J$528,$T26)=0,0,IF(LEFT(INDEX('Market Data'!$AS$5:$AS$66,INDEX('Market Data'!$J$5:$J$528,$T26)-4),11)="First-month",1,0))=1,"class review",IF($I26="Bloomberg",IF(AND(ISNUMBER(INDEX('Market Data'!$AH$5:$AH$66,INDEX('Market Data'!$J$5:$J$528,$T26)-4)),N(INDEX('Market Data'!$AH$5:$AH$66,INDEX('Market Data'!$J$5:$J$528,$T26)-4))&gt;0,ISNUMBER('Market Data'!$B$1),N('Market Data'!$B$1)&gt;0),INDEX('Market Data'!$AH$5:$AH$66,INDEX('Market Data'!$J$5:$J$528,$T26)-4)*'Market Data'!$B$1/$E26-1,"pending A/FX"),IF(AND($I26="Snapshot",$Q26="Snapshot",ISNUMBER($E26),$G26=INDEX('Market Data'!$AE$5:$AE$66,INDEX('Market Data'!$J$5:$J$528,$T26)-4)),IFERROR(INDEX('Market Data'!$AC$5:$AC$66,INDEX('Market Data'!$J$5:$J$528,$T26)-4)*INDEX('Market Data'!$AD$5:$AD$66,INDEX('Market Data'!$J$5:$J$528,$T26)-4)/$E26-1,"unavailable"),IF($I26="Unavailable","unavailable","date mismatch"))))))</f>
        <v/>
      </c>
      <c r="N26" s="11">
        <f>IF($T26=0,"",IFERROR(IF(AND(N(INDEX('Market Data'!$F$5:$F$528,$T26))&gt;0,ISNUMBER(INDEX('Market Data'!$T$5:$T$528,$T26))),$E26*INDEX('Market Data'!$T$5:$T$528,$T26)/INDEX('Market Data'!$F$5:$F$528,$T26)-1,"unavailable"),"unavailable"))</f>
        <v/>
      </c>
      <c r="O26" s="9">
        <f>IF($T26=0,"",IF(IF(INDEX('Market Data'!$J$5:$J$528,$T26)=0,0,IF(LEFT(INDEX('Market Data'!$AS$5:$AS$66,INDEX('Market Data'!$J$5:$J$528,$T26)-4),11)="First-month",1,0))=1,"Class ratio review",IF($I26="Bloomberg",IF(ISNUMBER($G26),IF($G26&lt;TODAY(),"Older quote","See quote time"),"Date unavailable"),IF($I26="Snapshot",IF($G26&lt;DATEVALUE("2026-10-02"),"Older snapshot","Dated close"),"No valid quote"))))</f>
        <v/>
      </c>
      <c r="P26" s="14">
        <f>IF($T26=0,"",IF(INDEX('Market Data'!$J$5:$J$528,$T26)=0,"n/a",IF($Q26="Bloomberg",IF(AND(ISNUMBER(INDEX('Market Data'!$AK$5:$AK$66,INDEX('Market Data'!$J$5:$J$528,$T26)-4)),N(INDEX('Market Data'!$AK$5:$AK$66,INDEX('Market Data'!$J$5:$J$528,$T26)-4))&gt;0),INDEX('Market Data'!$AK$5:$AK$66,INDEX('Market Data'!$J$5:$J$528,$T26)-4),"date unavailable"),IF($Q26="Snapshot",IF(AND(ISNUMBER(INDEX('Market Data'!$AF$5:$AF$66,INDEX('Market Data'!$J$5:$J$528,$T26)-4)),N(INDEX('Market Data'!$AF$5:$AF$66,INDEX('Market Data'!$J$5:$J$528,$T26)-4))&gt;0),INDEX('Market Data'!$AF$5:$AF$66,INDEX('Market Data'!$J$5:$J$528,$T26)-4),"date unavailable"),"date unavailable"))))</f>
        <v/>
      </c>
      <c r="Q26" s="15">
        <f>IF($T26=0,"",IF(INDEX('Market Data'!$J$5:$J$528,$T26)=0,"n/a",IF(AND($M$5&lt;&gt;"Snapshot",ISNUMBER(INDEX('Market Data'!$AH$5:$AH$66,INDEX('Market Data'!$J$5:$J$528,$T26)-4)),N(INDEX('Market Data'!$AH$5:$AH$66,INDEX('Market Data'!$J$5:$J$528,$T26)-4))&gt;0),"Bloomberg",IF(AND($M$5&lt;&gt;"Bloomberg",ISNUMBER(INDEX('Market Data'!$AC$5:$AC$66,INDEX('Market Data'!$J$5:$J$528,$T26)-4)),N(INDEX('Market Data'!$AC$5:$AC$66,INDEX('Market Data'!$J$5:$J$528,$T26)-4))&gt;0),"Snapshot","Unavailable"))))</f>
        <v/>
      </c>
      <c r="T26">
        <f>IFERROR(MATCH(18,'Market Data'!$S$5:$S$528,0),0)</f>
        <v/>
      </c>
    </row>
    <row r="27" ht="34" customHeight="1">
      <c r="A27" s="8">
        <f>IF($T27=0,"",IF(INDEX('Market Data'!$A$5:$A$528,$T27)="","",INDEX('Market Data'!$A$5:$A$528,$T27)))</f>
        <v/>
      </c>
      <c r="B27" s="9">
        <f>IF($T27=0,"",IF(INDEX('Market Data'!$B$5:$B$528,$T27)="","",INDEX('Market Data'!$B$5:$B$528,$T27)))</f>
        <v/>
      </c>
      <c r="C27" s="9">
        <f>IF($T27=0,"",IF(INDEX('Market Data'!$C$5:$C$528,$T27)="","",INDEX('Market Data'!$C$5:$C$528,$T27)))</f>
        <v/>
      </c>
      <c r="D27" s="9">
        <f>IF($T27=0,"",IF(INDEX('Market Data'!$D$5:$D$528,$T27)="","",INDEX('Market Data'!$D$5:$D$528,$T27)))</f>
        <v/>
      </c>
      <c r="E27" s="10">
        <f>IF($T27=0,"",INDEX('Market Data'!$O$5:$O$528,$T27))</f>
        <v/>
      </c>
      <c r="F27" s="11">
        <f>IF($T27=0,"",IF(AND($I27="Bloomberg",ISNUMBER(INDEX('Market Data'!$L$5:$L$528,$T27))),INDEX('Market Data'!$L$5:$L$528,$T27),"unavailable"))</f>
        <v/>
      </c>
      <c r="G27" s="12">
        <f>IF($T27=0,"",IF($I27="Bloomberg",IF(AND(ISNUMBER(INDEX('Market Data'!$M$5:$M$528,$T27)),N(INDEX('Market Data'!$M$5:$M$528,$T27))&gt;0),INDEX('Market Data'!$M$5:$M$528,$T27),"date unavailable"),IF($I27="Snapshot",IF(AND(ISNUMBER(INDEX('Market Data'!$H$5:$H$528,$T27)),N(INDEX('Market Data'!$H$5:$H$528,$T27))&gt;0),INDEX('Market Data'!$H$5:$H$528,$T27),"date unavailable"),"date unavailable")))</f>
        <v/>
      </c>
      <c r="H27" s="9">
        <f>IF($T27=0,"",IF($I27="Bloomberg",IF(INDEX('Market Data'!$N$5:$N$528,$T27)="","time unavailable",INDEX('Market Data'!$N$5:$N$528,$T27)),""))</f>
        <v/>
      </c>
      <c r="I27" s="9">
        <f>IF($T27=0,"",INDEX('Market Data'!$P$5:$P$528,$T27))</f>
        <v/>
      </c>
      <c r="J27" s="13">
        <f>IF($T27=0,"",IF(INDEX('Market Data'!$E$5:$E$528,$T27)="","",INDEX('Market Data'!$E$5:$E$528,$T27)))</f>
        <v/>
      </c>
      <c r="K27" s="8">
        <f>IF($T27=0,"",IF(INDEX('Market Data'!$I$5:$I$528,$T27)="","",INDEX('Market Data'!$I$5:$I$528,$T27)))</f>
        <v/>
      </c>
      <c r="L27" s="10">
        <f>IF($T27=0,"",IF(INDEX('Market Data'!$J$5:$J$528,$T27)=0,"n/a",IF(AND($M$5&lt;&gt;"Snapshot",ISNUMBER(INDEX('Market Data'!$AH$5:$AH$66,INDEX('Market Data'!$J$5:$J$528,$T27)-4)),N(INDEX('Market Data'!$AH$5:$AH$66,INDEX('Market Data'!$J$5:$J$528,$T27)-4))&gt;0),INDEX('Market Data'!$AH$5:$AH$66,INDEX('Market Data'!$J$5:$J$528,$T27)-4),IF(AND($M$5&lt;&gt;"Bloomberg",ISNUMBER(INDEX('Market Data'!$AC$5:$AC$66,INDEX('Market Data'!$J$5:$J$528,$T27)-4)),N(INDEX('Market Data'!$AC$5:$AC$66,INDEX('Market Data'!$J$5:$J$528,$T27)-4))&gt;0),INDEX('Market Data'!$AC$5:$AC$66,INDEX('Market Data'!$J$5:$J$528,$T27)-4),"unavailable"))))</f>
        <v/>
      </c>
      <c r="M27" s="11">
        <f>IF($T27=0,"",IF(INDEX('Market Data'!$J$5:$J$528,$T27)=0,"n/a",IF(IF(INDEX('Market Data'!$J$5:$J$528,$T27)=0,0,IF(LEFT(INDEX('Market Data'!$AS$5:$AS$66,INDEX('Market Data'!$J$5:$J$528,$T27)-4),11)="First-month",1,0))=1,"class review",IF($I27="Bloomberg",IF(AND(ISNUMBER(INDEX('Market Data'!$AH$5:$AH$66,INDEX('Market Data'!$J$5:$J$528,$T27)-4)),N(INDEX('Market Data'!$AH$5:$AH$66,INDEX('Market Data'!$J$5:$J$528,$T27)-4))&gt;0,ISNUMBER('Market Data'!$B$1),N('Market Data'!$B$1)&gt;0),INDEX('Market Data'!$AH$5:$AH$66,INDEX('Market Data'!$J$5:$J$528,$T27)-4)*'Market Data'!$B$1/$E27-1,"pending A/FX"),IF(AND($I27="Snapshot",$Q27="Snapshot",ISNUMBER($E27),$G27=INDEX('Market Data'!$AE$5:$AE$66,INDEX('Market Data'!$J$5:$J$528,$T27)-4)),IFERROR(INDEX('Market Data'!$AC$5:$AC$66,INDEX('Market Data'!$J$5:$J$528,$T27)-4)*INDEX('Market Data'!$AD$5:$AD$66,INDEX('Market Data'!$J$5:$J$528,$T27)-4)/$E27-1,"unavailable"),IF($I27="Unavailable","unavailable","date mismatch"))))))</f>
        <v/>
      </c>
      <c r="N27" s="11">
        <f>IF($T27=0,"",IFERROR(IF(AND(N(INDEX('Market Data'!$F$5:$F$528,$T27))&gt;0,ISNUMBER(INDEX('Market Data'!$T$5:$T$528,$T27))),$E27*INDEX('Market Data'!$T$5:$T$528,$T27)/INDEX('Market Data'!$F$5:$F$528,$T27)-1,"unavailable"),"unavailable"))</f>
        <v/>
      </c>
      <c r="O27" s="9">
        <f>IF($T27=0,"",IF(IF(INDEX('Market Data'!$J$5:$J$528,$T27)=0,0,IF(LEFT(INDEX('Market Data'!$AS$5:$AS$66,INDEX('Market Data'!$J$5:$J$528,$T27)-4),11)="First-month",1,0))=1,"Class ratio review",IF($I27="Bloomberg",IF(ISNUMBER($G27),IF($G27&lt;TODAY(),"Older quote","See quote time"),"Date unavailable"),IF($I27="Snapshot",IF($G27&lt;DATEVALUE("2026-10-02"),"Older snapshot","Dated close"),"No valid quote"))))</f>
        <v/>
      </c>
      <c r="P27" s="14">
        <f>IF($T27=0,"",IF(INDEX('Market Data'!$J$5:$J$528,$T27)=0,"n/a",IF($Q27="Bloomberg",IF(AND(ISNUMBER(INDEX('Market Data'!$AK$5:$AK$66,INDEX('Market Data'!$J$5:$J$528,$T27)-4)),N(INDEX('Market Data'!$AK$5:$AK$66,INDEX('Market Data'!$J$5:$J$528,$T27)-4))&gt;0),INDEX('Market Data'!$AK$5:$AK$66,INDEX('Market Data'!$J$5:$J$528,$T27)-4),"date unavailable"),IF($Q27="Snapshot",IF(AND(ISNUMBER(INDEX('Market Data'!$AF$5:$AF$66,INDEX('Market Data'!$J$5:$J$528,$T27)-4)),N(INDEX('Market Data'!$AF$5:$AF$66,INDEX('Market Data'!$J$5:$J$528,$T27)-4))&gt;0),INDEX('Market Data'!$AF$5:$AF$66,INDEX('Market Data'!$J$5:$J$528,$T27)-4),"date unavailable"),"date unavailable"))))</f>
        <v/>
      </c>
      <c r="Q27" s="15">
        <f>IF($T27=0,"",IF(INDEX('Market Data'!$J$5:$J$528,$T27)=0,"n/a",IF(AND($M$5&lt;&gt;"Snapshot",ISNUMBER(INDEX('Market Data'!$AH$5:$AH$66,INDEX('Market Data'!$J$5:$J$528,$T27)-4)),N(INDEX('Market Data'!$AH$5:$AH$66,INDEX('Market Data'!$J$5:$J$528,$T27)-4))&gt;0),"Bloomberg",IF(AND($M$5&lt;&gt;"Bloomberg",ISNUMBER(INDEX('Market Data'!$AC$5:$AC$66,INDEX('Market Data'!$J$5:$J$528,$T27)-4)),N(INDEX('Market Data'!$AC$5:$AC$66,INDEX('Market Data'!$J$5:$J$528,$T27)-4))&gt;0),"Snapshot","Unavailable"))))</f>
        <v/>
      </c>
      <c r="T27">
        <f>IFERROR(MATCH(19,'Market Data'!$S$5:$S$528,0),0)</f>
        <v/>
      </c>
    </row>
    <row r="28" ht="34" customHeight="1">
      <c r="A28" s="8">
        <f>IF($T28=0,"",IF(INDEX('Market Data'!$A$5:$A$528,$T28)="","",INDEX('Market Data'!$A$5:$A$528,$T28)))</f>
        <v/>
      </c>
      <c r="B28" s="9">
        <f>IF($T28=0,"",IF(INDEX('Market Data'!$B$5:$B$528,$T28)="","",INDEX('Market Data'!$B$5:$B$528,$T28)))</f>
        <v/>
      </c>
      <c r="C28" s="9">
        <f>IF($T28=0,"",IF(INDEX('Market Data'!$C$5:$C$528,$T28)="","",INDEX('Market Data'!$C$5:$C$528,$T28)))</f>
        <v/>
      </c>
      <c r="D28" s="9">
        <f>IF($T28=0,"",IF(INDEX('Market Data'!$D$5:$D$528,$T28)="","",INDEX('Market Data'!$D$5:$D$528,$T28)))</f>
        <v/>
      </c>
      <c r="E28" s="10">
        <f>IF($T28=0,"",INDEX('Market Data'!$O$5:$O$528,$T28))</f>
        <v/>
      </c>
      <c r="F28" s="11">
        <f>IF($T28=0,"",IF(AND($I28="Bloomberg",ISNUMBER(INDEX('Market Data'!$L$5:$L$528,$T28))),INDEX('Market Data'!$L$5:$L$528,$T28),"unavailable"))</f>
        <v/>
      </c>
      <c r="G28" s="12">
        <f>IF($T28=0,"",IF($I28="Bloomberg",IF(AND(ISNUMBER(INDEX('Market Data'!$M$5:$M$528,$T28)),N(INDEX('Market Data'!$M$5:$M$528,$T28))&gt;0),INDEX('Market Data'!$M$5:$M$528,$T28),"date unavailable"),IF($I28="Snapshot",IF(AND(ISNUMBER(INDEX('Market Data'!$H$5:$H$528,$T28)),N(INDEX('Market Data'!$H$5:$H$528,$T28))&gt;0),INDEX('Market Data'!$H$5:$H$528,$T28),"date unavailable"),"date unavailable")))</f>
        <v/>
      </c>
      <c r="H28" s="9">
        <f>IF($T28=0,"",IF($I28="Bloomberg",IF(INDEX('Market Data'!$N$5:$N$528,$T28)="","time unavailable",INDEX('Market Data'!$N$5:$N$528,$T28)),""))</f>
        <v/>
      </c>
      <c r="I28" s="9">
        <f>IF($T28=0,"",INDEX('Market Data'!$P$5:$P$528,$T28))</f>
        <v/>
      </c>
      <c r="J28" s="13">
        <f>IF($T28=0,"",IF(INDEX('Market Data'!$E$5:$E$528,$T28)="","",INDEX('Market Data'!$E$5:$E$528,$T28)))</f>
        <v/>
      </c>
      <c r="K28" s="8">
        <f>IF($T28=0,"",IF(INDEX('Market Data'!$I$5:$I$528,$T28)="","",INDEX('Market Data'!$I$5:$I$528,$T28)))</f>
        <v/>
      </c>
      <c r="L28" s="10">
        <f>IF($T28=0,"",IF(INDEX('Market Data'!$J$5:$J$528,$T28)=0,"n/a",IF(AND($M$5&lt;&gt;"Snapshot",ISNUMBER(INDEX('Market Data'!$AH$5:$AH$66,INDEX('Market Data'!$J$5:$J$528,$T28)-4)),N(INDEX('Market Data'!$AH$5:$AH$66,INDEX('Market Data'!$J$5:$J$528,$T28)-4))&gt;0),INDEX('Market Data'!$AH$5:$AH$66,INDEX('Market Data'!$J$5:$J$528,$T28)-4),IF(AND($M$5&lt;&gt;"Bloomberg",ISNUMBER(INDEX('Market Data'!$AC$5:$AC$66,INDEX('Market Data'!$J$5:$J$528,$T28)-4)),N(INDEX('Market Data'!$AC$5:$AC$66,INDEX('Market Data'!$J$5:$J$528,$T28)-4))&gt;0),INDEX('Market Data'!$AC$5:$AC$66,INDEX('Market Data'!$J$5:$J$528,$T28)-4),"unavailable"))))</f>
        <v/>
      </c>
      <c r="M28" s="11">
        <f>IF($T28=0,"",IF(INDEX('Market Data'!$J$5:$J$528,$T28)=0,"n/a",IF(IF(INDEX('Market Data'!$J$5:$J$528,$T28)=0,0,IF(LEFT(INDEX('Market Data'!$AS$5:$AS$66,INDEX('Market Data'!$J$5:$J$528,$T28)-4),11)="First-month",1,0))=1,"class review",IF($I28="Bloomberg",IF(AND(ISNUMBER(INDEX('Market Data'!$AH$5:$AH$66,INDEX('Market Data'!$J$5:$J$528,$T28)-4)),N(INDEX('Market Data'!$AH$5:$AH$66,INDEX('Market Data'!$J$5:$J$528,$T28)-4))&gt;0,ISNUMBER('Market Data'!$B$1),N('Market Data'!$B$1)&gt;0),INDEX('Market Data'!$AH$5:$AH$66,INDEX('Market Data'!$J$5:$J$528,$T28)-4)*'Market Data'!$B$1/$E28-1,"pending A/FX"),IF(AND($I28="Snapshot",$Q28="Snapshot",ISNUMBER($E28),$G28=INDEX('Market Data'!$AE$5:$AE$66,INDEX('Market Data'!$J$5:$J$528,$T28)-4)),IFERROR(INDEX('Market Data'!$AC$5:$AC$66,INDEX('Market Data'!$J$5:$J$528,$T28)-4)*INDEX('Market Data'!$AD$5:$AD$66,INDEX('Market Data'!$J$5:$J$528,$T28)-4)/$E28-1,"unavailable"),IF($I28="Unavailable","unavailable","date mismatch"))))))</f>
        <v/>
      </c>
      <c r="N28" s="11">
        <f>IF($T28=0,"",IFERROR(IF(AND(N(INDEX('Market Data'!$F$5:$F$528,$T28))&gt;0,ISNUMBER(INDEX('Market Data'!$T$5:$T$528,$T28))),$E28*INDEX('Market Data'!$T$5:$T$528,$T28)/INDEX('Market Data'!$F$5:$F$528,$T28)-1,"unavailable"),"unavailable"))</f>
        <v/>
      </c>
      <c r="O28" s="9">
        <f>IF($T28=0,"",IF(IF(INDEX('Market Data'!$J$5:$J$528,$T28)=0,0,IF(LEFT(INDEX('Market Data'!$AS$5:$AS$66,INDEX('Market Data'!$J$5:$J$528,$T28)-4),11)="First-month",1,0))=1,"Class ratio review",IF($I28="Bloomberg",IF(ISNUMBER($G28),IF($G28&lt;TODAY(),"Older quote","See quote time"),"Date unavailable"),IF($I28="Snapshot",IF($G28&lt;DATEVALUE("2026-10-02"),"Older snapshot","Dated close"),"No valid quote"))))</f>
        <v/>
      </c>
      <c r="P28" s="14">
        <f>IF($T28=0,"",IF(INDEX('Market Data'!$J$5:$J$528,$T28)=0,"n/a",IF($Q28="Bloomberg",IF(AND(ISNUMBER(INDEX('Market Data'!$AK$5:$AK$66,INDEX('Market Data'!$J$5:$J$528,$T28)-4)),N(INDEX('Market Data'!$AK$5:$AK$66,INDEX('Market Data'!$J$5:$J$528,$T28)-4))&gt;0),INDEX('Market Data'!$AK$5:$AK$66,INDEX('Market Data'!$J$5:$J$528,$T28)-4),"date unavailable"),IF($Q28="Snapshot",IF(AND(ISNUMBER(INDEX('Market Data'!$AF$5:$AF$66,INDEX('Market Data'!$J$5:$J$528,$T28)-4)),N(INDEX('Market Data'!$AF$5:$AF$66,INDEX('Market Data'!$J$5:$J$528,$T28)-4))&gt;0),INDEX('Market Data'!$AF$5:$AF$66,INDEX('Market Data'!$J$5:$J$528,$T28)-4),"date unavailable"),"date unavailable"))))</f>
        <v/>
      </c>
      <c r="Q28" s="15">
        <f>IF($T28=0,"",IF(INDEX('Market Data'!$J$5:$J$528,$T28)=0,"n/a",IF(AND($M$5&lt;&gt;"Snapshot",ISNUMBER(INDEX('Market Data'!$AH$5:$AH$66,INDEX('Market Data'!$J$5:$J$528,$T28)-4)),N(INDEX('Market Data'!$AH$5:$AH$66,INDEX('Market Data'!$J$5:$J$528,$T28)-4))&gt;0),"Bloomberg",IF(AND($M$5&lt;&gt;"Bloomberg",ISNUMBER(INDEX('Market Data'!$AC$5:$AC$66,INDEX('Market Data'!$J$5:$J$528,$T28)-4)),N(INDEX('Market Data'!$AC$5:$AC$66,INDEX('Market Data'!$J$5:$J$528,$T28)-4))&gt;0),"Snapshot","Unavailable"))))</f>
        <v/>
      </c>
      <c r="T28">
        <f>IFERROR(MATCH(20,'Market Data'!$S$5:$S$528,0),0)</f>
        <v/>
      </c>
    </row>
    <row r="29" ht="34" customHeight="1">
      <c r="A29" s="8">
        <f>IF($T29=0,"",IF(INDEX('Market Data'!$A$5:$A$528,$T29)="","",INDEX('Market Data'!$A$5:$A$528,$T29)))</f>
        <v/>
      </c>
      <c r="B29" s="9">
        <f>IF($T29=0,"",IF(INDEX('Market Data'!$B$5:$B$528,$T29)="","",INDEX('Market Data'!$B$5:$B$528,$T29)))</f>
        <v/>
      </c>
      <c r="C29" s="9">
        <f>IF($T29=0,"",IF(INDEX('Market Data'!$C$5:$C$528,$T29)="","",INDEX('Market Data'!$C$5:$C$528,$T29)))</f>
        <v/>
      </c>
      <c r="D29" s="9">
        <f>IF($T29=0,"",IF(INDEX('Market Data'!$D$5:$D$528,$T29)="","",INDEX('Market Data'!$D$5:$D$528,$T29)))</f>
        <v/>
      </c>
      <c r="E29" s="10">
        <f>IF($T29=0,"",INDEX('Market Data'!$O$5:$O$528,$T29))</f>
        <v/>
      </c>
      <c r="F29" s="11">
        <f>IF($T29=0,"",IF(AND($I29="Bloomberg",ISNUMBER(INDEX('Market Data'!$L$5:$L$528,$T29))),INDEX('Market Data'!$L$5:$L$528,$T29),"unavailable"))</f>
        <v/>
      </c>
      <c r="G29" s="12">
        <f>IF($T29=0,"",IF($I29="Bloomberg",IF(AND(ISNUMBER(INDEX('Market Data'!$M$5:$M$528,$T29)),N(INDEX('Market Data'!$M$5:$M$528,$T29))&gt;0),INDEX('Market Data'!$M$5:$M$528,$T29),"date unavailable"),IF($I29="Snapshot",IF(AND(ISNUMBER(INDEX('Market Data'!$H$5:$H$528,$T29)),N(INDEX('Market Data'!$H$5:$H$528,$T29))&gt;0),INDEX('Market Data'!$H$5:$H$528,$T29),"date unavailable"),"date unavailable")))</f>
        <v/>
      </c>
      <c r="H29" s="9">
        <f>IF($T29=0,"",IF($I29="Bloomberg",IF(INDEX('Market Data'!$N$5:$N$528,$T29)="","time unavailable",INDEX('Market Data'!$N$5:$N$528,$T29)),""))</f>
        <v/>
      </c>
      <c r="I29" s="9">
        <f>IF($T29=0,"",INDEX('Market Data'!$P$5:$P$528,$T29))</f>
        <v/>
      </c>
      <c r="J29" s="13">
        <f>IF($T29=0,"",IF(INDEX('Market Data'!$E$5:$E$528,$T29)="","",INDEX('Market Data'!$E$5:$E$528,$T29)))</f>
        <v/>
      </c>
      <c r="K29" s="8">
        <f>IF($T29=0,"",IF(INDEX('Market Data'!$I$5:$I$528,$T29)="","",INDEX('Market Data'!$I$5:$I$528,$T29)))</f>
        <v/>
      </c>
      <c r="L29" s="10">
        <f>IF($T29=0,"",IF(INDEX('Market Data'!$J$5:$J$528,$T29)=0,"n/a",IF(AND($M$5&lt;&gt;"Snapshot",ISNUMBER(INDEX('Market Data'!$AH$5:$AH$66,INDEX('Market Data'!$J$5:$J$528,$T29)-4)),N(INDEX('Market Data'!$AH$5:$AH$66,INDEX('Market Data'!$J$5:$J$528,$T29)-4))&gt;0),INDEX('Market Data'!$AH$5:$AH$66,INDEX('Market Data'!$J$5:$J$528,$T29)-4),IF(AND($M$5&lt;&gt;"Bloomberg",ISNUMBER(INDEX('Market Data'!$AC$5:$AC$66,INDEX('Market Data'!$J$5:$J$528,$T29)-4)),N(INDEX('Market Data'!$AC$5:$AC$66,INDEX('Market Data'!$J$5:$J$528,$T29)-4))&gt;0),INDEX('Market Data'!$AC$5:$AC$66,INDEX('Market Data'!$J$5:$J$528,$T29)-4),"unavailable"))))</f>
        <v/>
      </c>
      <c r="M29" s="11">
        <f>IF($T29=0,"",IF(INDEX('Market Data'!$J$5:$J$528,$T29)=0,"n/a",IF(IF(INDEX('Market Data'!$J$5:$J$528,$T29)=0,0,IF(LEFT(INDEX('Market Data'!$AS$5:$AS$66,INDEX('Market Data'!$J$5:$J$528,$T29)-4),11)="First-month",1,0))=1,"class review",IF($I29="Bloomberg",IF(AND(ISNUMBER(INDEX('Market Data'!$AH$5:$AH$66,INDEX('Market Data'!$J$5:$J$528,$T29)-4)),N(INDEX('Market Data'!$AH$5:$AH$66,INDEX('Market Data'!$J$5:$J$528,$T29)-4))&gt;0,ISNUMBER('Market Data'!$B$1),N('Market Data'!$B$1)&gt;0),INDEX('Market Data'!$AH$5:$AH$66,INDEX('Market Data'!$J$5:$J$528,$T29)-4)*'Market Data'!$B$1/$E29-1,"pending A/FX"),IF(AND($I29="Snapshot",$Q29="Snapshot",ISNUMBER($E29),$G29=INDEX('Market Data'!$AE$5:$AE$66,INDEX('Market Data'!$J$5:$J$528,$T29)-4)),IFERROR(INDEX('Market Data'!$AC$5:$AC$66,INDEX('Market Data'!$J$5:$J$528,$T29)-4)*INDEX('Market Data'!$AD$5:$AD$66,INDEX('Market Data'!$J$5:$J$528,$T29)-4)/$E29-1,"unavailable"),IF($I29="Unavailable","unavailable","date mismatch"))))))</f>
        <v/>
      </c>
      <c r="N29" s="11">
        <f>IF($T29=0,"",IFERROR(IF(AND(N(INDEX('Market Data'!$F$5:$F$528,$T29))&gt;0,ISNUMBER(INDEX('Market Data'!$T$5:$T$528,$T29))),$E29*INDEX('Market Data'!$T$5:$T$528,$T29)/INDEX('Market Data'!$F$5:$F$528,$T29)-1,"unavailable"),"unavailable"))</f>
        <v/>
      </c>
      <c r="O29" s="9">
        <f>IF($T29=0,"",IF(IF(INDEX('Market Data'!$J$5:$J$528,$T29)=0,0,IF(LEFT(INDEX('Market Data'!$AS$5:$AS$66,INDEX('Market Data'!$J$5:$J$528,$T29)-4),11)="First-month",1,0))=1,"Class ratio review",IF($I29="Bloomberg",IF(ISNUMBER($G29),IF($G29&lt;TODAY(),"Older quote","See quote time"),"Date unavailable"),IF($I29="Snapshot",IF($G29&lt;DATEVALUE("2026-10-02"),"Older snapshot","Dated close"),"No valid quote"))))</f>
        <v/>
      </c>
      <c r="P29" s="14">
        <f>IF($T29=0,"",IF(INDEX('Market Data'!$J$5:$J$528,$T29)=0,"n/a",IF($Q29="Bloomberg",IF(AND(ISNUMBER(INDEX('Market Data'!$AK$5:$AK$66,INDEX('Market Data'!$J$5:$J$528,$T29)-4)),N(INDEX('Market Data'!$AK$5:$AK$66,INDEX('Market Data'!$J$5:$J$528,$T29)-4))&gt;0),INDEX('Market Data'!$AK$5:$AK$66,INDEX('Market Data'!$J$5:$J$528,$T29)-4),"date unavailable"),IF($Q29="Snapshot",IF(AND(ISNUMBER(INDEX('Market Data'!$AF$5:$AF$66,INDEX('Market Data'!$J$5:$J$528,$T29)-4)),N(INDEX('Market Data'!$AF$5:$AF$66,INDEX('Market Data'!$J$5:$J$528,$T29)-4))&gt;0),INDEX('Market Data'!$AF$5:$AF$66,INDEX('Market Data'!$J$5:$J$528,$T29)-4),"date unavailable"),"date unavailable"))))</f>
        <v/>
      </c>
      <c r="Q29" s="15">
        <f>IF($T29=0,"",IF(INDEX('Market Data'!$J$5:$J$528,$T29)=0,"n/a",IF(AND($M$5&lt;&gt;"Snapshot",ISNUMBER(INDEX('Market Data'!$AH$5:$AH$66,INDEX('Market Data'!$J$5:$J$528,$T29)-4)),N(INDEX('Market Data'!$AH$5:$AH$66,INDEX('Market Data'!$J$5:$J$528,$T29)-4))&gt;0),"Bloomberg",IF(AND($M$5&lt;&gt;"Bloomberg",ISNUMBER(INDEX('Market Data'!$AC$5:$AC$66,INDEX('Market Data'!$J$5:$J$528,$T29)-4)),N(INDEX('Market Data'!$AC$5:$AC$66,INDEX('Market Data'!$J$5:$J$528,$T29)-4))&gt;0),"Snapshot","Unavailable"))))</f>
        <v/>
      </c>
      <c r="T29">
        <f>IFERROR(MATCH(21,'Market Data'!$S$5:$S$528,0),0)</f>
        <v/>
      </c>
    </row>
    <row r="30" ht="34" customHeight="1">
      <c r="A30" s="8">
        <f>IF($T30=0,"",IF(INDEX('Market Data'!$A$5:$A$528,$T30)="","",INDEX('Market Data'!$A$5:$A$528,$T30)))</f>
        <v/>
      </c>
      <c r="B30" s="9">
        <f>IF($T30=0,"",IF(INDEX('Market Data'!$B$5:$B$528,$T30)="","",INDEX('Market Data'!$B$5:$B$528,$T30)))</f>
        <v/>
      </c>
      <c r="C30" s="9">
        <f>IF($T30=0,"",IF(INDEX('Market Data'!$C$5:$C$528,$T30)="","",INDEX('Market Data'!$C$5:$C$528,$T30)))</f>
        <v/>
      </c>
      <c r="D30" s="9">
        <f>IF($T30=0,"",IF(INDEX('Market Data'!$D$5:$D$528,$T30)="","",INDEX('Market Data'!$D$5:$D$528,$T30)))</f>
        <v/>
      </c>
      <c r="E30" s="10">
        <f>IF($T30=0,"",INDEX('Market Data'!$O$5:$O$528,$T30))</f>
        <v/>
      </c>
      <c r="F30" s="11">
        <f>IF($T30=0,"",IF(AND($I30="Bloomberg",ISNUMBER(INDEX('Market Data'!$L$5:$L$528,$T30))),INDEX('Market Data'!$L$5:$L$528,$T30),"unavailable"))</f>
        <v/>
      </c>
      <c r="G30" s="12">
        <f>IF($T30=0,"",IF($I30="Bloomberg",IF(AND(ISNUMBER(INDEX('Market Data'!$M$5:$M$528,$T30)),N(INDEX('Market Data'!$M$5:$M$528,$T30))&gt;0),INDEX('Market Data'!$M$5:$M$528,$T30),"date unavailable"),IF($I30="Snapshot",IF(AND(ISNUMBER(INDEX('Market Data'!$H$5:$H$528,$T30)),N(INDEX('Market Data'!$H$5:$H$528,$T30))&gt;0),INDEX('Market Data'!$H$5:$H$528,$T30),"date unavailable"),"date unavailable")))</f>
        <v/>
      </c>
      <c r="H30" s="9">
        <f>IF($T30=0,"",IF($I30="Bloomberg",IF(INDEX('Market Data'!$N$5:$N$528,$T30)="","time unavailable",INDEX('Market Data'!$N$5:$N$528,$T30)),""))</f>
        <v/>
      </c>
      <c r="I30" s="9">
        <f>IF($T30=0,"",INDEX('Market Data'!$P$5:$P$528,$T30))</f>
        <v/>
      </c>
      <c r="J30" s="13">
        <f>IF($T30=0,"",IF(INDEX('Market Data'!$E$5:$E$528,$T30)="","",INDEX('Market Data'!$E$5:$E$528,$T30)))</f>
        <v/>
      </c>
      <c r="K30" s="8">
        <f>IF($T30=0,"",IF(INDEX('Market Data'!$I$5:$I$528,$T30)="","",INDEX('Market Data'!$I$5:$I$528,$T30)))</f>
        <v/>
      </c>
      <c r="L30" s="10">
        <f>IF($T30=0,"",IF(INDEX('Market Data'!$J$5:$J$528,$T30)=0,"n/a",IF(AND($M$5&lt;&gt;"Snapshot",ISNUMBER(INDEX('Market Data'!$AH$5:$AH$66,INDEX('Market Data'!$J$5:$J$528,$T30)-4)),N(INDEX('Market Data'!$AH$5:$AH$66,INDEX('Market Data'!$J$5:$J$528,$T30)-4))&gt;0),INDEX('Market Data'!$AH$5:$AH$66,INDEX('Market Data'!$J$5:$J$528,$T30)-4),IF(AND($M$5&lt;&gt;"Bloomberg",ISNUMBER(INDEX('Market Data'!$AC$5:$AC$66,INDEX('Market Data'!$J$5:$J$528,$T30)-4)),N(INDEX('Market Data'!$AC$5:$AC$66,INDEX('Market Data'!$J$5:$J$528,$T30)-4))&gt;0),INDEX('Market Data'!$AC$5:$AC$66,INDEX('Market Data'!$J$5:$J$528,$T30)-4),"unavailable"))))</f>
        <v/>
      </c>
      <c r="M30" s="11">
        <f>IF($T30=0,"",IF(INDEX('Market Data'!$J$5:$J$528,$T30)=0,"n/a",IF(IF(INDEX('Market Data'!$J$5:$J$528,$T30)=0,0,IF(LEFT(INDEX('Market Data'!$AS$5:$AS$66,INDEX('Market Data'!$J$5:$J$528,$T30)-4),11)="First-month",1,0))=1,"class review",IF($I30="Bloomberg",IF(AND(ISNUMBER(INDEX('Market Data'!$AH$5:$AH$66,INDEX('Market Data'!$J$5:$J$528,$T30)-4)),N(INDEX('Market Data'!$AH$5:$AH$66,INDEX('Market Data'!$J$5:$J$528,$T30)-4))&gt;0,ISNUMBER('Market Data'!$B$1),N('Market Data'!$B$1)&gt;0),INDEX('Market Data'!$AH$5:$AH$66,INDEX('Market Data'!$J$5:$J$528,$T30)-4)*'Market Data'!$B$1/$E30-1,"pending A/FX"),IF(AND($I30="Snapshot",$Q30="Snapshot",ISNUMBER($E30),$G30=INDEX('Market Data'!$AE$5:$AE$66,INDEX('Market Data'!$J$5:$J$528,$T30)-4)),IFERROR(INDEX('Market Data'!$AC$5:$AC$66,INDEX('Market Data'!$J$5:$J$528,$T30)-4)*INDEX('Market Data'!$AD$5:$AD$66,INDEX('Market Data'!$J$5:$J$528,$T30)-4)/$E30-1,"unavailable"),IF($I30="Unavailable","unavailable","date mismatch"))))))</f>
        <v/>
      </c>
      <c r="N30" s="11">
        <f>IF($T30=0,"",IFERROR(IF(AND(N(INDEX('Market Data'!$F$5:$F$528,$T30))&gt;0,ISNUMBER(INDEX('Market Data'!$T$5:$T$528,$T30))),$E30*INDEX('Market Data'!$T$5:$T$528,$T30)/INDEX('Market Data'!$F$5:$F$528,$T30)-1,"unavailable"),"unavailable"))</f>
        <v/>
      </c>
      <c r="O30" s="9">
        <f>IF($T30=0,"",IF(IF(INDEX('Market Data'!$J$5:$J$528,$T30)=0,0,IF(LEFT(INDEX('Market Data'!$AS$5:$AS$66,INDEX('Market Data'!$J$5:$J$528,$T30)-4),11)="First-month",1,0))=1,"Class ratio review",IF($I30="Bloomberg",IF(ISNUMBER($G30),IF($G30&lt;TODAY(),"Older quote","See quote time"),"Date unavailable"),IF($I30="Snapshot",IF($G30&lt;DATEVALUE("2026-10-02"),"Older snapshot","Dated close"),"No valid quote"))))</f>
        <v/>
      </c>
      <c r="P30" s="14">
        <f>IF($T30=0,"",IF(INDEX('Market Data'!$J$5:$J$528,$T30)=0,"n/a",IF($Q30="Bloomberg",IF(AND(ISNUMBER(INDEX('Market Data'!$AK$5:$AK$66,INDEX('Market Data'!$J$5:$J$528,$T30)-4)),N(INDEX('Market Data'!$AK$5:$AK$66,INDEX('Market Data'!$J$5:$J$528,$T30)-4))&gt;0),INDEX('Market Data'!$AK$5:$AK$66,INDEX('Market Data'!$J$5:$J$528,$T30)-4),"date unavailable"),IF($Q30="Snapshot",IF(AND(ISNUMBER(INDEX('Market Data'!$AF$5:$AF$66,INDEX('Market Data'!$J$5:$J$528,$T30)-4)),N(INDEX('Market Data'!$AF$5:$AF$66,INDEX('Market Data'!$J$5:$J$528,$T30)-4))&gt;0),INDEX('Market Data'!$AF$5:$AF$66,INDEX('Market Data'!$J$5:$J$528,$T30)-4),"date unavailable"),"date unavailable"))))</f>
        <v/>
      </c>
      <c r="Q30" s="15">
        <f>IF($T30=0,"",IF(INDEX('Market Data'!$J$5:$J$528,$T30)=0,"n/a",IF(AND($M$5&lt;&gt;"Snapshot",ISNUMBER(INDEX('Market Data'!$AH$5:$AH$66,INDEX('Market Data'!$J$5:$J$528,$T30)-4)),N(INDEX('Market Data'!$AH$5:$AH$66,INDEX('Market Data'!$J$5:$J$528,$T30)-4))&gt;0),"Bloomberg",IF(AND($M$5&lt;&gt;"Bloomberg",ISNUMBER(INDEX('Market Data'!$AC$5:$AC$66,INDEX('Market Data'!$J$5:$J$528,$T30)-4)),N(INDEX('Market Data'!$AC$5:$AC$66,INDEX('Market Data'!$J$5:$J$528,$T30)-4))&gt;0),"Snapshot","Unavailable"))))</f>
        <v/>
      </c>
      <c r="T30">
        <f>IFERROR(MATCH(22,'Market Data'!$S$5:$S$528,0),0)</f>
        <v/>
      </c>
    </row>
    <row r="31" ht="34" customHeight="1">
      <c r="A31" s="8">
        <f>IF($T31=0,"",IF(INDEX('Market Data'!$A$5:$A$528,$T31)="","",INDEX('Market Data'!$A$5:$A$528,$T31)))</f>
        <v/>
      </c>
      <c r="B31" s="9">
        <f>IF($T31=0,"",IF(INDEX('Market Data'!$B$5:$B$528,$T31)="","",INDEX('Market Data'!$B$5:$B$528,$T31)))</f>
        <v/>
      </c>
      <c r="C31" s="9">
        <f>IF($T31=0,"",IF(INDEX('Market Data'!$C$5:$C$528,$T31)="","",INDEX('Market Data'!$C$5:$C$528,$T31)))</f>
        <v/>
      </c>
      <c r="D31" s="9">
        <f>IF($T31=0,"",IF(INDEX('Market Data'!$D$5:$D$528,$T31)="","",INDEX('Market Data'!$D$5:$D$528,$T31)))</f>
        <v/>
      </c>
      <c r="E31" s="10">
        <f>IF($T31=0,"",INDEX('Market Data'!$O$5:$O$528,$T31))</f>
        <v/>
      </c>
      <c r="F31" s="11">
        <f>IF($T31=0,"",IF(AND($I31="Bloomberg",ISNUMBER(INDEX('Market Data'!$L$5:$L$528,$T31))),INDEX('Market Data'!$L$5:$L$528,$T31),"unavailable"))</f>
        <v/>
      </c>
      <c r="G31" s="12">
        <f>IF($T31=0,"",IF($I31="Bloomberg",IF(AND(ISNUMBER(INDEX('Market Data'!$M$5:$M$528,$T31)),N(INDEX('Market Data'!$M$5:$M$528,$T31))&gt;0),INDEX('Market Data'!$M$5:$M$528,$T31),"date unavailable"),IF($I31="Snapshot",IF(AND(ISNUMBER(INDEX('Market Data'!$H$5:$H$528,$T31)),N(INDEX('Market Data'!$H$5:$H$528,$T31))&gt;0),INDEX('Market Data'!$H$5:$H$528,$T31),"date unavailable"),"date unavailable")))</f>
        <v/>
      </c>
      <c r="H31" s="9">
        <f>IF($T31=0,"",IF($I31="Bloomberg",IF(INDEX('Market Data'!$N$5:$N$528,$T31)="","time unavailable",INDEX('Market Data'!$N$5:$N$528,$T31)),""))</f>
        <v/>
      </c>
      <c r="I31" s="9">
        <f>IF($T31=0,"",INDEX('Market Data'!$P$5:$P$528,$T31))</f>
        <v/>
      </c>
      <c r="J31" s="13">
        <f>IF($T31=0,"",IF(INDEX('Market Data'!$E$5:$E$528,$T31)="","",INDEX('Market Data'!$E$5:$E$528,$T31)))</f>
        <v/>
      </c>
      <c r="K31" s="8">
        <f>IF($T31=0,"",IF(INDEX('Market Data'!$I$5:$I$528,$T31)="","",INDEX('Market Data'!$I$5:$I$528,$T31)))</f>
        <v/>
      </c>
      <c r="L31" s="10">
        <f>IF($T31=0,"",IF(INDEX('Market Data'!$J$5:$J$528,$T31)=0,"n/a",IF(AND($M$5&lt;&gt;"Snapshot",ISNUMBER(INDEX('Market Data'!$AH$5:$AH$66,INDEX('Market Data'!$J$5:$J$528,$T31)-4)),N(INDEX('Market Data'!$AH$5:$AH$66,INDEX('Market Data'!$J$5:$J$528,$T31)-4))&gt;0),INDEX('Market Data'!$AH$5:$AH$66,INDEX('Market Data'!$J$5:$J$528,$T31)-4),IF(AND($M$5&lt;&gt;"Bloomberg",ISNUMBER(INDEX('Market Data'!$AC$5:$AC$66,INDEX('Market Data'!$J$5:$J$528,$T31)-4)),N(INDEX('Market Data'!$AC$5:$AC$66,INDEX('Market Data'!$J$5:$J$528,$T31)-4))&gt;0),INDEX('Market Data'!$AC$5:$AC$66,INDEX('Market Data'!$J$5:$J$528,$T31)-4),"unavailable"))))</f>
        <v/>
      </c>
      <c r="M31" s="11">
        <f>IF($T31=0,"",IF(INDEX('Market Data'!$J$5:$J$528,$T31)=0,"n/a",IF(IF(INDEX('Market Data'!$J$5:$J$528,$T31)=0,0,IF(LEFT(INDEX('Market Data'!$AS$5:$AS$66,INDEX('Market Data'!$J$5:$J$528,$T31)-4),11)="First-month",1,0))=1,"class review",IF($I31="Bloomberg",IF(AND(ISNUMBER(INDEX('Market Data'!$AH$5:$AH$66,INDEX('Market Data'!$J$5:$J$528,$T31)-4)),N(INDEX('Market Data'!$AH$5:$AH$66,INDEX('Market Data'!$J$5:$J$528,$T31)-4))&gt;0,ISNUMBER('Market Data'!$B$1),N('Market Data'!$B$1)&gt;0),INDEX('Market Data'!$AH$5:$AH$66,INDEX('Market Data'!$J$5:$J$528,$T31)-4)*'Market Data'!$B$1/$E31-1,"pending A/FX"),IF(AND($I31="Snapshot",$Q31="Snapshot",ISNUMBER($E31),$G31=INDEX('Market Data'!$AE$5:$AE$66,INDEX('Market Data'!$J$5:$J$528,$T31)-4)),IFERROR(INDEX('Market Data'!$AC$5:$AC$66,INDEX('Market Data'!$J$5:$J$528,$T31)-4)*INDEX('Market Data'!$AD$5:$AD$66,INDEX('Market Data'!$J$5:$J$528,$T31)-4)/$E31-1,"unavailable"),IF($I31="Unavailable","unavailable","date mismatch"))))))</f>
        <v/>
      </c>
      <c r="N31" s="11">
        <f>IF($T31=0,"",IFERROR(IF(AND(N(INDEX('Market Data'!$F$5:$F$528,$T31))&gt;0,ISNUMBER(INDEX('Market Data'!$T$5:$T$528,$T31))),$E31*INDEX('Market Data'!$T$5:$T$528,$T31)/INDEX('Market Data'!$F$5:$F$528,$T31)-1,"unavailable"),"unavailable"))</f>
        <v/>
      </c>
      <c r="O31" s="9">
        <f>IF($T31=0,"",IF(IF(INDEX('Market Data'!$J$5:$J$528,$T31)=0,0,IF(LEFT(INDEX('Market Data'!$AS$5:$AS$66,INDEX('Market Data'!$J$5:$J$528,$T31)-4),11)="First-month",1,0))=1,"Class ratio review",IF($I31="Bloomberg",IF(ISNUMBER($G31),IF($G31&lt;TODAY(),"Older quote","See quote time"),"Date unavailable"),IF($I31="Snapshot",IF($G31&lt;DATEVALUE("2026-10-02"),"Older snapshot","Dated close"),"No valid quote"))))</f>
        <v/>
      </c>
      <c r="P31" s="14">
        <f>IF($T31=0,"",IF(INDEX('Market Data'!$J$5:$J$528,$T31)=0,"n/a",IF($Q31="Bloomberg",IF(AND(ISNUMBER(INDEX('Market Data'!$AK$5:$AK$66,INDEX('Market Data'!$J$5:$J$528,$T31)-4)),N(INDEX('Market Data'!$AK$5:$AK$66,INDEX('Market Data'!$J$5:$J$528,$T31)-4))&gt;0),INDEX('Market Data'!$AK$5:$AK$66,INDEX('Market Data'!$J$5:$J$528,$T31)-4),"date unavailable"),IF($Q31="Snapshot",IF(AND(ISNUMBER(INDEX('Market Data'!$AF$5:$AF$66,INDEX('Market Data'!$J$5:$J$528,$T31)-4)),N(INDEX('Market Data'!$AF$5:$AF$66,INDEX('Market Data'!$J$5:$J$528,$T31)-4))&gt;0),INDEX('Market Data'!$AF$5:$AF$66,INDEX('Market Data'!$J$5:$J$528,$T31)-4),"date unavailable"),"date unavailable"))))</f>
        <v/>
      </c>
      <c r="Q31" s="15">
        <f>IF($T31=0,"",IF(INDEX('Market Data'!$J$5:$J$528,$T31)=0,"n/a",IF(AND($M$5&lt;&gt;"Snapshot",ISNUMBER(INDEX('Market Data'!$AH$5:$AH$66,INDEX('Market Data'!$J$5:$J$528,$T31)-4)),N(INDEX('Market Data'!$AH$5:$AH$66,INDEX('Market Data'!$J$5:$J$528,$T31)-4))&gt;0),"Bloomberg",IF(AND($M$5&lt;&gt;"Bloomberg",ISNUMBER(INDEX('Market Data'!$AC$5:$AC$66,INDEX('Market Data'!$J$5:$J$528,$T31)-4)),N(INDEX('Market Data'!$AC$5:$AC$66,INDEX('Market Data'!$J$5:$J$528,$T31)-4))&gt;0),"Snapshot","Unavailable"))))</f>
        <v/>
      </c>
      <c r="T31">
        <f>IFERROR(MATCH(23,'Market Data'!$S$5:$S$528,0),0)</f>
        <v/>
      </c>
    </row>
    <row r="32" ht="34" customHeight="1">
      <c r="A32" s="8">
        <f>IF($T32=0,"",IF(INDEX('Market Data'!$A$5:$A$528,$T32)="","",INDEX('Market Data'!$A$5:$A$528,$T32)))</f>
        <v/>
      </c>
      <c r="B32" s="9">
        <f>IF($T32=0,"",IF(INDEX('Market Data'!$B$5:$B$528,$T32)="","",INDEX('Market Data'!$B$5:$B$528,$T32)))</f>
        <v/>
      </c>
      <c r="C32" s="9">
        <f>IF($T32=0,"",IF(INDEX('Market Data'!$C$5:$C$528,$T32)="","",INDEX('Market Data'!$C$5:$C$528,$T32)))</f>
        <v/>
      </c>
      <c r="D32" s="9">
        <f>IF($T32=0,"",IF(INDEX('Market Data'!$D$5:$D$528,$T32)="","",INDEX('Market Data'!$D$5:$D$528,$T32)))</f>
        <v/>
      </c>
      <c r="E32" s="10">
        <f>IF($T32=0,"",INDEX('Market Data'!$O$5:$O$528,$T32))</f>
        <v/>
      </c>
      <c r="F32" s="11">
        <f>IF($T32=0,"",IF(AND($I32="Bloomberg",ISNUMBER(INDEX('Market Data'!$L$5:$L$528,$T32))),INDEX('Market Data'!$L$5:$L$528,$T32),"unavailable"))</f>
        <v/>
      </c>
      <c r="G32" s="12">
        <f>IF($T32=0,"",IF($I32="Bloomberg",IF(AND(ISNUMBER(INDEX('Market Data'!$M$5:$M$528,$T32)),N(INDEX('Market Data'!$M$5:$M$528,$T32))&gt;0),INDEX('Market Data'!$M$5:$M$528,$T32),"date unavailable"),IF($I32="Snapshot",IF(AND(ISNUMBER(INDEX('Market Data'!$H$5:$H$528,$T32)),N(INDEX('Market Data'!$H$5:$H$528,$T32))&gt;0),INDEX('Market Data'!$H$5:$H$528,$T32),"date unavailable"),"date unavailable")))</f>
        <v/>
      </c>
      <c r="H32" s="9">
        <f>IF($T32=0,"",IF($I32="Bloomberg",IF(INDEX('Market Data'!$N$5:$N$528,$T32)="","time unavailable",INDEX('Market Data'!$N$5:$N$528,$T32)),""))</f>
        <v/>
      </c>
      <c r="I32" s="9">
        <f>IF($T32=0,"",INDEX('Market Data'!$P$5:$P$528,$T32))</f>
        <v/>
      </c>
      <c r="J32" s="13">
        <f>IF($T32=0,"",IF(INDEX('Market Data'!$E$5:$E$528,$T32)="","",INDEX('Market Data'!$E$5:$E$528,$T32)))</f>
        <v/>
      </c>
      <c r="K32" s="8">
        <f>IF($T32=0,"",IF(INDEX('Market Data'!$I$5:$I$528,$T32)="","",INDEX('Market Data'!$I$5:$I$528,$T32)))</f>
        <v/>
      </c>
      <c r="L32" s="10">
        <f>IF($T32=0,"",IF(INDEX('Market Data'!$J$5:$J$528,$T32)=0,"n/a",IF(AND($M$5&lt;&gt;"Snapshot",ISNUMBER(INDEX('Market Data'!$AH$5:$AH$66,INDEX('Market Data'!$J$5:$J$528,$T32)-4)),N(INDEX('Market Data'!$AH$5:$AH$66,INDEX('Market Data'!$J$5:$J$528,$T32)-4))&gt;0),INDEX('Market Data'!$AH$5:$AH$66,INDEX('Market Data'!$J$5:$J$528,$T32)-4),IF(AND($M$5&lt;&gt;"Bloomberg",ISNUMBER(INDEX('Market Data'!$AC$5:$AC$66,INDEX('Market Data'!$J$5:$J$528,$T32)-4)),N(INDEX('Market Data'!$AC$5:$AC$66,INDEX('Market Data'!$J$5:$J$528,$T32)-4))&gt;0),INDEX('Market Data'!$AC$5:$AC$66,INDEX('Market Data'!$J$5:$J$528,$T32)-4),"unavailable"))))</f>
        <v/>
      </c>
      <c r="M32" s="11">
        <f>IF($T32=0,"",IF(INDEX('Market Data'!$J$5:$J$528,$T32)=0,"n/a",IF(IF(INDEX('Market Data'!$J$5:$J$528,$T32)=0,0,IF(LEFT(INDEX('Market Data'!$AS$5:$AS$66,INDEX('Market Data'!$J$5:$J$528,$T32)-4),11)="First-month",1,0))=1,"class review",IF($I32="Bloomberg",IF(AND(ISNUMBER(INDEX('Market Data'!$AH$5:$AH$66,INDEX('Market Data'!$J$5:$J$528,$T32)-4)),N(INDEX('Market Data'!$AH$5:$AH$66,INDEX('Market Data'!$J$5:$J$528,$T32)-4))&gt;0,ISNUMBER('Market Data'!$B$1),N('Market Data'!$B$1)&gt;0),INDEX('Market Data'!$AH$5:$AH$66,INDEX('Market Data'!$J$5:$J$528,$T32)-4)*'Market Data'!$B$1/$E32-1,"pending A/FX"),IF(AND($I32="Snapshot",$Q32="Snapshot",ISNUMBER($E32),$G32=INDEX('Market Data'!$AE$5:$AE$66,INDEX('Market Data'!$J$5:$J$528,$T32)-4)),IFERROR(INDEX('Market Data'!$AC$5:$AC$66,INDEX('Market Data'!$J$5:$J$528,$T32)-4)*INDEX('Market Data'!$AD$5:$AD$66,INDEX('Market Data'!$J$5:$J$528,$T32)-4)/$E32-1,"unavailable"),IF($I32="Unavailable","unavailable","date mismatch"))))))</f>
        <v/>
      </c>
      <c r="N32" s="11">
        <f>IF($T32=0,"",IFERROR(IF(AND(N(INDEX('Market Data'!$F$5:$F$528,$T32))&gt;0,ISNUMBER(INDEX('Market Data'!$T$5:$T$528,$T32))),$E32*INDEX('Market Data'!$T$5:$T$528,$T32)/INDEX('Market Data'!$F$5:$F$528,$T32)-1,"unavailable"),"unavailable"))</f>
        <v/>
      </c>
      <c r="O32" s="9">
        <f>IF($T32=0,"",IF(IF(INDEX('Market Data'!$J$5:$J$528,$T32)=0,0,IF(LEFT(INDEX('Market Data'!$AS$5:$AS$66,INDEX('Market Data'!$J$5:$J$528,$T32)-4),11)="First-month",1,0))=1,"Class ratio review",IF($I32="Bloomberg",IF(ISNUMBER($G32),IF($G32&lt;TODAY(),"Older quote","See quote time"),"Date unavailable"),IF($I32="Snapshot",IF($G32&lt;DATEVALUE("2026-10-02"),"Older snapshot","Dated close"),"No valid quote"))))</f>
        <v/>
      </c>
      <c r="P32" s="14">
        <f>IF($T32=0,"",IF(INDEX('Market Data'!$J$5:$J$528,$T32)=0,"n/a",IF($Q32="Bloomberg",IF(AND(ISNUMBER(INDEX('Market Data'!$AK$5:$AK$66,INDEX('Market Data'!$J$5:$J$528,$T32)-4)),N(INDEX('Market Data'!$AK$5:$AK$66,INDEX('Market Data'!$J$5:$J$528,$T32)-4))&gt;0),INDEX('Market Data'!$AK$5:$AK$66,INDEX('Market Data'!$J$5:$J$528,$T32)-4),"date unavailable"),IF($Q32="Snapshot",IF(AND(ISNUMBER(INDEX('Market Data'!$AF$5:$AF$66,INDEX('Market Data'!$J$5:$J$528,$T32)-4)),N(INDEX('Market Data'!$AF$5:$AF$66,INDEX('Market Data'!$J$5:$J$528,$T32)-4))&gt;0),INDEX('Market Data'!$AF$5:$AF$66,INDEX('Market Data'!$J$5:$J$528,$T32)-4),"date unavailable"),"date unavailable"))))</f>
        <v/>
      </c>
      <c r="Q32" s="15">
        <f>IF($T32=0,"",IF(INDEX('Market Data'!$J$5:$J$528,$T32)=0,"n/a",IF(AND($M$5&lt;&gt;"Snapshot",ISNUMBER(INDEX('Market Data'!$AH$5:$AH$66,INDEX('Market Data'!$J$5:$J$528,$T32)-4)),N(INDEX('Market Data'!$AH$5:$AH$66,INDEX('Market Data'!$J$5:$J$528,$T32)-4))&gt;0),"Bloomberg",IF(AND($M$5&lt;&gt;"Bloomberg",ISNUMBER(INDEX('Market Data'!$AC$5:$AC$66,INDEX('Market Data'!$J$5:$J$528,$T32)-4)),N(INDEX('Market Data'!$AC$5:$AC$66,INDEX('Market Data'!$J$5:$J$528,$T32)-4))&gt;0),"Snapshot","Unavailable"))))</f>
        <v/>
      </c>
      <c r="T32">
        <f>IFERROR(MATCH(24,'Market Data'!$S$5:$S$528,0),0)</f>
        <v/>
      </c>
    </row>
    <row r="33" ht="34" customHeight="1">
      <c r="A33" s="8">
        <f>IF($T33=0,"",IF(INDEX('Market Data'!$A$5:$A$528,$T33)="","",INDEX('Market Data'!$A$5:$A$528,$T33)))</f>
        <v/>
      </c>
      <c r="B33" s="9">
        <f>IF($T33=0,"",IF(INDEX('Market Data'!$B$5:$B$528,$T33)="","",INDEX('Market Data'!$B$5:$B$528,$T33)))</f>
        <v/>
      </c>
      <c r="C33" s="9">
        <f>IF($T33=0,"",IF(INDEX('Market Data'!$C$5:$C$528,$T33)="","",INDEX('Market Data'!$C$5:$C$528,$T33)))</f>
        <v/>
      </c>
      <c r="D33" s="9">
        <f>IF($T33=0,"",IF(INDEX('Market Data'!$D$5:$D$528,$T33)="","",INDEX('Market Data'!$D$5:$D$528,$T33)))</f>
        <v/>
      </c>
      <c r="E33" s="10">
        <f>IF($T33=0,"",INDEX('Market Data'!$O$5:$O$528,$T33))</f>
        <v/>
      </c>
      <c r="F33" s="11">
        <f>IF($T33=0,"",IF(AND($I33="Bloomberg",ISNUMBER(INDEX('Market Data'!$L$5:$L$528,$T33))),INDEX('Market Data'!$L$5:$L$528,$T33),"unavailable"))</f>
        <v/>
      </c>
      <c r="G33" s="12">
        <f>IF($T33=0,"",IF($I33="Bloomberg",IF(AND(ISNUMBER(INDEX('Market Data'!$M$5:$M$528,$T33)),N(INDEX('Market Data'!$M$5:$M$528,$T33))&gt;0),INDEX('Market Data'!$M$5:$M$528,$T33),"date unavailable"),IF($I33="Snapshot",IF(AND(ISNUMBER(INDEX('Market Data'!$H$5:$H$528,$T33)),N(INDEX('Market Data'!$H$5:$H$528,$T33))&gt;0),INDEX('Market Data'!$H$5:$H$528,$T33),"date unavailable"),"date unavailable")))</f>
        <v/>
      </c>
      <c r="H33" s="9">
        <f>IF($T33=0,"",IF($I33="Bloomberg",IF(INDEX('Market Data'!$N$5:$N$528,$T33)="","time unavailable",INDEX('Market Data'!$N$5:$N$528,$T33)),""))</f>
        <v/>
      </c>
      <c r="I33" s="9">
        <f>IF($T33=0,"",INDEX('Market Data'!$P$5:$P$528,$T33))</f>
        <v/>
      </c>
      <c r="J33" s="13">
        <f>IF($T33=0,"",IF(INDEX('Market Data'!$E$5:$E$528,$T33)="","",INDEX('Market Data'!$E$5:$E$528,$T33)))</f>
        <v/>
      </c>
      <c r="K33" s="8">
        <f>IF($T33=0,"",IF(INDEX('Market Data'!$I$5:$I$528,$T33)="","",INDEX('Market Data'!$I$5:$I$528,$T33)))</f>
        <v/>
      </c>
      <c r="L33" s="10">
        <f>IF($T33=0,"",IF(INDEX('Market Data'!$J$5:$J$528,$T33)=0,"n/a",IF(AND($M$5&lt;&gt;"Snapshot",ISNUMBER(INDEX('Market Data'!$AH$5:$AH$66,INDEX('Market Data'!$J$5:$J$528,$T33)-4)),N(INDEX('Market Data'!$AH$5:$AH$66,INDEX('Market Data'!$J$5:$J$528,$T33)-4))&gt;0),INDEX('Market Data'!$AH$5:$AH$66,INDEX('Market Data'!$J$5:$J$528,$T33)-4),IF(AND($M$5&lt;&gt;"Bloomberg",ISNUMBER(INDEX('Market Data'!$AC$5:$AC$66,INDEX('Market Data'!$J$5:$J$528,$T33)-4)),N(INDEX('Market Data'!$AC$5:$AC$66,INDEX('Market Data'!$J$5:$J$528,$T33)-4))&gt;0),INDEX('Market Data'!$AC$5:$AC$66,INDEX('Market Data'!$J$5:$J$528,$T33)-4),"unavailable"))))</f>
        <v/>
      </c>
      <c r="M33" s="11">
        <f>IF($T33=0,"",IF(INDEX('Market Data'!$J$5:$J$528,$T33)=0,"n/a",IF(IF(INDEX('Market Data'!$J$5:$J$528,$T33)=0,0,IF(LEFT(INDEX('Market Data'!$AS$5:$AS$66,INDEX('Market Data'!$J$5:$J$528,$T33)-4),11)="First-month",1,0))=1,"class review",IF($I33="Bloomberg",IF(AND(ISNUMBER(INDEX('Market Data'!$AH$5:$AH$66,INDEX('Market Data'!$J$5:$J$528,$T33)-4)),N(INDEX('Market Data'!$AH$5:$AH$66,INDEX('Market Data'!$J$5:$J$528,$T33)-4))&gt;0,ISNUMBER('Market Data'!$B$1),N('Market Data'!$B$1)&gt;0),INDEX('Market Data'!$AH$5:$AH$66,INDEX('Market Data'!$J$5:$J$528,$T33)-4)*'Market Data'!$B$1/$E33-1,"pending A/FX"),IF(AND($I33="Snapshot",$Q33="Snapshot",ISNUMBER($E33),$G33=INDEX('Market Data'!$AE$5:$AE$66,INDEX('Market Data'!$J$5:$J$528,$T33)-4)),IFERROR(INDEX('Market Data'!$AC$5:$AC$66,INDEX('Market Data'!$J$5:$J$528,$T33)-4)*INDEX('Market Data'!$AD$5:$AD$66,INDEX('Market Data'!$J$5:$J$528,$T33)-4)/$E33-1,"unavailable"),IF($I33="Unavailable","unavailable","date mismatch"))))))</f>
        <v/>
      </c>
      <c r="N33" s="11">
        <f>IF($T33=0,"",IFERROR(IF(AND(N(INDEX('Market Data'!$F$5:$F$528,$T33))&gt;0,ISNUMBER(INDEX('Market Data'!$T$5:$T$528,$T33))),$E33*INDEX('Market Data'!$T$5:$T$528,$T33)/INDEX('Market Data'!$F$5:$F$528,$T33)-1,"unavailable"),"unavailable"))</f>
        <v/>
      </c>
      <c r="O33" s="9">
        <f>IF($T33=0,"",IF(IF(INDEX('Market Data'!$J$5:$J$528,$T33)=0,0,IF(LEFT(INDEX('Market Data'!$AS$5:$AS$66,INDEX('Market Data'!$J$5:$J$528,$T33)-4),11)="First-month",1,0))=1,"Class ratio review",IF($I33="Bloomberg",IF(ISNUMBER($G33),IF($G33&lt;TODAY(),"Older quote","See quote time"),"Date unavailable"),IF($I33="Snapshot",IF($G33&lt;DATEVALUE("2026-10-02"),"Older snapshot","Dated close"),"No valid quote"))))</f>
        <v/>
      </c>
      <c r="P33" s="14">
        <f>IF($T33=0,"",IF(INDEX('Market Data'!$J$5:$J$528,$T33)=0,"n/a",IF($Q33="Bloomberg",IF(AND(ISNUMBER(INDEX('Market Data'!$AK$5:$AK$66,INDEX('Market Data'!$J$5:$J$528,$T33)-4)),N(INDEX('Market Data'!$AK$5:$AK$66,INDEX('Market Data'!$J$5:$J$528,$T33)-4))&gt;0),INDEX('Market Data'!$AK$5:$AK$66,INDEX('Market Data'!$J$5:$J$528,$T33)-4),"date unavailable"),IF($Q33="Snapshot",IF(AND(ISNUMBER(INDEX('Market Data'!$AF$5:$AF$66,INDEX('Market Data'!$J$5:$J$528,$T33)-4)),N(INDEX('Market Data'!$AF$5:$AF$66,INDEX('Market Data'!$J$5:$J$528,$T33)-4))&gt;0),INDEX('Market Data'!$AF$5:$AF$66,INDEX('Market Data'!$J$5:$J$528,$T33)-4),"date unavailable"),"date unavailable"))))</f>
        <v/>
      </c>
      <c r="Q33" s="15">
        <f>IF($T33=0,"",IF(INDEX('Market Data'!$J$5:$J$528,$T33)=0,"n/a",IF(AND($M$5&lt;&gt;"Snapshot",ISNUMBER(INDEX('Market Data'!$AH$5:$AH$66,INDEX('Market Data'!$J$5:$J$528,$T33)-4)),N(INDEX('Market Data'!$AH$5:$AH$66,INDEX('Market Data'!$J$5:$J$528,$T33)-4))&gt;0),"Bloomberg",IF(AND($M$5&lt;&gt;"Bloomberg",ISNUMBER(INDEX('Market Data'!$AC$5:$AC$66,INDEX('Market Data'!$J$5:$J$528,$T33)-4)),N(INDEX('Market Data'!$AC$5:$AC$66,INDEX('Market Data'!$J$5:$J$528,$T33)-4))&gt;0),"Snapshot","Unavailable"))))</f>
        <v/>
      </c>
      <c r="T33">
        <f>IFERROR(MATCH(25,'Market Data'!$S$5:$S$528,0),0)</f>
        <v/>
      </c>
    </row>
    <row r="34" ht="34" customHeight="1">
      <c r="A34" s="8">
        <f>IF($T34=0,"",IF(INDEX('Market Data'!$A$5:$A$528,$T34)="","",INDEX('Market Data'!$A$5:$A$528,$T34)))</f>
        <v/>
      </c>
      <c r="B34" s="9">
        <f>IF($T34=0,"",IF(INDEX('Market Data'!$B$5:$B$528,$T34)="","",INDEX('Market Data'!$B$5:$B$528,$T34)))</f>
        <v/>
      </c>
      <c r="C34" s="9">
        <f>IF($T34=0,"",IF(INDEX('Market Data'!$C$5:$C$528,$T34)="","",INDEX('Market Data'!$C$5:$C$528,$T34)))</f>
        <v/>
      </c>
      <c r="D34" s="9">
        <f>IF($T34=0,"",IF(INDEX('Market Data'!$D$5:$D$528,$T34)="","",INDEX('Market Data'!$D$5:$D$528,$T34)))</f>
        <v/>
      </c>
      <c r="E34" s="10">
        <f>IF($T34=0,"",INDEX('Market Data'!$O$5:$O$528,$T34))</f>
        <v/>
      </c>
      <c r="F34" s="11">
        <f>IF($T34=0,"",IF(AND($I34="Bloomberg",ISNUMBER(INDEX('Market Data'!$L$5:$L$528,$T34))),INDEX('Market Data'!$L$5:$L$528,$T34),"unavailable"))</f>
        <v/>
      </c>
      <c r="G34" s="12">
        <f>IF($T34=0,"",IF($I34="Bloomberg",IF(AND(ISNUMBER(INDEX('Market Data'!$M$5:$M$528,$T34)),N(INDEX('Market Data'!$M$5:$M$528,$T34))&gt;0),INDEX('Market Data'!$M$5:$M$528,$T34),"date unavailable"),IF($I34="Snapshot",IF(AND(ISNUMBER(INDEX('Market Data'!$H$5:$H$528,$T34)),N(INDEX('Market Data'!$H$5:$H$528,$T34))&gt;0),INDEX('Market Data'!$H$5:$H$528,$T34),"date unavailable"),"date unavailable")))</f>
        <v/>
      </c>
      <c r="H34" s="9">
        <f>IF($T34=0,"",IF($I34="Bloomberg",IF(INDEX('Market Data'!$N$5:$N$528,$T34)="","time unavailable",INDEX('Market Data'!$N$5:$N$528,$T34)),""))</f>
        <v/>
      </c>
      <c r="I34" s="9">
        <f>IF($T34=0,"",INDEX('Market Data'!$P$5:$P$528,$T34))</f>
        <v/>
      </c>
      <c r="J34" s="13">
        <f>IF($T34=0,"",IF(INDEX('Market Data'!$E$5:$E$528,$T34)="","",INDEX('Market Data'!$E$5:$E$528,$T34)))</f>
        <v/>
      </c>
      <c r="K34" s="8">
        <f>IF($T34=0,"",IF(INDEX('Market Data'!$I$5:$I$528,$T34)="","",INDEX('Market Data'!$I$5:$I$528,$T34)))</f>
        <v/>
      </c>
      <c r="L34" s="10">
        <f>IF($T34=0,"",IF(INDEX('Market Data'!$J$5:$J$528,$T34)=0,"n/a",IF(AND($M$5&lt;&gt;"Snapshot",ISNUMBER(INDEX('Market Data'!$AH$5:$AH$66,INDEX('Market Data'!$J$5:$J$528,$T34)-4)),N(INDEX('Market Data'!$AH$5:$AH$66,INDEX('Market Data'!$J$5:$J$528,$T34)-4))&gt;0),INDEX('Market Data'!$AH$5:$AH$66,INDEX('Market Data'!$J$5:$J$528,$T34)-4),IF(AND($M$5&lt;&gt;"Bloomberg",ISNUMBER(INDEX('Market Data'!$AC$5:$AC$66,INDEX('Market Data'!$J$5:$J$528,$T34)-4)),N(INDEX('Market Data'!$AC$5:$AC$66,INDEX('Market Data'!$J$5:$J$528,$T34)-4))&gt;0),INDEX('Market Data'!$AC$5:$AC$66,INDEX('Market Data'!$J$5:$J$528,$T34)-4),"unavailable"))))</f>
        <v/>
      </c>
      <c r="M34" s="11">
        <f>IF($T34=0,"",IF(INDEX('Market Data'!$J$5:$J$528,$T34)=0,"n/a",IF(IF(INDEX('Market Data'!$J$5:$J$528,$T34)=0,0,IF(LEFT(INDEX('Market Data'!$AS$5:$AS$66,INDEX('Market Data'!$J$5:$J$528,$T34)-4),11)="First-month",1,0))=1,"class review",IF($I34="Bloomberg",IF(AND(ISNUMBER(INDEX('Market Data'!$AH$5:$AH$66,INDEX('Market Data'!$J$5:$J$528,$T34)-4)),N(INDEX('Market Data'!$AH$5:$AH$66,INDEX('Market Data'!$J$5:$J$528,$T34)-4))&gt;0,ISNUMBER('Market Data'!$B$1),N('Market Data'!$B$1)&gt;0),INDEX('Market Data'!$AH$5:$AH$66,INDEX('Market Data'!$J$5:$J$528,$T34)-4)*'Market Data'!$B$1/$E34-1,"pending A/FX"),IF(AND($I34="Snapshot",$Q34="Snapshot",ISNUMBER($E34),$G34=INDEX('Market Data'!$AE$5:$AE$66,INDEX('Market Data'!$J$5:$J$528,$T34)-4)),IFERROR(INDEX('Market Data'!$AC$5:$AC$66,INDEX('Market Data'!$J$5:$J$528,$T34)-4)*INDEX('Market Data'!$AD$5:$AD$66,INDEX('Market Data'!$J$5:$J$528,$T34)-4)/$E34-1,"unavailable"),IF($I34="Unavailable","unavailable","date mismatch"))))))</f>
        <v/>
      </c>
      <c r="N34" s="11">
        <f>IF($T34=0,"",IFERROR(IF(AND(N(INDEX('Market Data'!$F$5:$F$528,$T34))&gt;0,ISNUMBER(INDEX('Market Data'!$T$5:$T$528,$T34))),$E34*INDEX('Market Data'!$T$5:$T$528,$T34)/INDEX('Market Data'!$F$5:$F$528,$T34)-1,"unavailable"),"unavailable"))</f>
        <v/>
      </c>
      <c r="O34" s="9">
        <f>IF($T34=0,"",IF(IF(INDEX('Market Data'!$J$5:$J$528,$T34)=0,0,IF(LEFT(INDEX('Market Data'!$AS$5:$AS$66,INDEX('Market Data'!$J$5:$J$528,$T34)-4),11)="First-month",1,0))=1,"Class ratio review",IF($I34="Bloomberg",IF(ISNUMBER($G34),IF($G34&lt;TODAY(),"Older quote","See quote time"),"Date unavailable"),IF($I34="Snapshot",IF($G34&lt;DATEVALUE("2026-10-02"),"Older snapshot","Dated close"),"No valid quote"))))</f>
        <v/>
      </c>
      <c r="P34" s="14">
        <f>IF($T34=0,"",IF(INDEX('Market Data'!$J$5:$J$528,$T34)=0,"n/a",IF($Q34="Bloomberg",IF(AND(ISNUMBER(INDEX('Market Data'!$AK$5:$AK$66,INDEX('Market Data'!$J$5:$J$528,$T34)-4)),N(INDEX('Market Data'!$AK$5:$AK$66,INDEX('Market Data'!$J$5:$J$528,$T34)-4))&gt;0),INDEX('Market Data'!$AK$5:$AK$66,INDEX('Market Data'!$J$5:$J$528,$T34)-4),"date unavailable"),IF($Q34="Snapshot",IF(AND(ISNUMBER(INDEX('Market Data'!$AF$5:$AF$66,INDEX('Market Data'!$J$5:$J$528,$T34)-4)),N(INDEX('Market Data'!$AF$5:$AF$66,INDEX('Market Data'!$J$5:$J$528,$T34)-4))&gt;0),INDEX('Market Data'!$AF$5:$AF$66,INDEX('Market Data'!$J$5:$J$528,$T34)-4),"date unavailable"),"date unavailable"))))</f>
        <v/>
      </c>
      <c r="Q34" s="15">
        <f>IF($T34=0,"",IF(INDEX('Market Data'!$J$5:$J$528,$T34)=0,"n/a",IF(AND($M$5&lt;&gt;"Snapshot",ISNUMBER(INDEX('Market Data'!$AH$5:$AH$66,INDEX('Market Data'!$J$5:$J$528,$T34)-4)),N(INDEX('Market Data'!$AH$5:$AH$66,INDEX('Market Data'!$J$5:$J$528,$T34)-4))&gt;0),"Bloomberg",IF(AND($M$5&lt;&gt;"Bloomberg",ISNUMBER(INDEX('Market Data'!$AC$5:$AC$66,INDEX('Market Data'!$J$5:$J$528,$T34)-4)),N(INDEX('Market Data'!$AC$5:$AC$66,INDEX('Market Data'!$J$5:$J$528,$T34)-4))&gt;0),"Snapshot","Unavailable"))))</f>
        <v/>
      </c>
      <c r="T34">
        <f>IFERROR(MATCH(26,'Market Data'!$S$5:$S$528,0),0)</f>
        <v/>
      </c>
    </row>
    <row r="35" ht="34" customHeight="1">
      <c r="A35" s="8">
        <f>IF($T35=0,"",IF(INDEX('Market Data'!$A$5:$A$528,$T35)="","",INDEX('Market Data'!$A$5:$A$528,$T35)))</f>
        <v/>
      </c>
      <c r="B35" s="9">
        <f>IF($T35=0,"",IF(INDEX('Market Data'!$B$5:$B$528,$T35)="","",INDEX('Market Data'!$B$5:$B$528,$T35)))</f>
        <v/>
      </c>
      <c r="C35" s="9">
        <f>IF($T35=0,"",IF(INDEX('Market Data'!$C$5:$C$528,$T35)="","",INDEX('Market Data'!$C$5:$C$528,$T35)))</f>
        <v/>
      </c>
      <c r="D35" s="9">
        <f>IF($T35=0,"",IF(INDEX('Market Data'!$D$5:$D$528,$T35)="","",INDEX('Market Data'!$D$5:$D$528,$T35)))</f>
        <v/>
      </c>
      <c r="E35" s="10">
        <f>IF($T35=0,"",INDEX('Market Data'!$O$5:$O$528,$T35))</f>
        <v/>
      </c>
      <c r="F35" s="11">
        <f>IF($T35=0,"",IF(AND($I35="Bloomberg",ISNUMBER(INDEX('Market Data'!$L$5:$L$528,$T35))),INDEX('Market Data'!$L$5:$L$528,$T35),"unavailable"))</f>
        <v/>
      </c>
      <c r="G35" s="12">
        <f>IF($T35=0,"",IF($I35="Bloomberg",IF(AND(ISNUMBER(INDEX('Market Data'!$M$5:$M$528,$T35)),N(INDEX('Market Data'!$M$5:$M$528,$T35))&gt;0),INDEX('Market Data'!$M$5:$M$528,$T35),"date unavailable"),IF($I35="Snapshot",IF(AND(ISNUMBER(INDEX('Market Data'!$H$5:$H$528,$T35)),N(INDEX('Market Data'!$H$5:$H$528,$T35))&gt;0),INDEX('Market Data'!$H$5:$H$528,$T35),"date unavailable"),"date unavailable")))</f>
        <v/>
      </c>
      <c r="H35" s="9">
        <f>IF($T35=0,"",IF($I35="Bloomberg",IF(INDEX('Market Data'!$N$5:$N$528,$T35)="","time unavailable",INDEX('Market Data'!$N$5:$N$528,$T35)),""))</f>
        <v/>
      </c>
      <c r="I35" s="9">
        <f>IF($T35=0,"",INDEX('Market Data'!$P$5:$P$528,$T35))</f>
        <v/>
      </c>
      <c r="J35" s="13">
        <f>IF($T35=0,"",IF(INDEX('Market Data'!$E$5:$E$528,$T35)="","",INDEX('Market Data'!$E$5:$E$528,$T35)))</f>
        <v/>
      </c>
      <c r="K35" s="8">
        <f>IF($T35=0,"",IF(INDEX('Market Data'!$I$5:$I$528,$T35)="","",INDEX('Market Data'!$I$5:$I$528,$T35)))</f>
        <v/>
      </c>
      <c r="L35" s="10">
        <f>IF($T35=0,"",IF(INDEX('Market Data'!$J$5:$J$528,$T35)=0,"n/a",IF(AND($M$5&lt;&gt;"Snapshot",ISNUMBER(INDEX('Market Data'!$AH$5:$AH$66,INDEX('Market Data'!$J$5:$J$528,$T35)-4)),N(INDEX('Market Data'!$AH$5:$AH$66,INDEX('Market Data'!$J$5:$J$528,$T35)-4))&gt;0),INDEX('Market Data'!$AH$5:$AH$66,INDEX('Market Data'!$J$5:$J$528,$T35)-4),IF(AND($M$5&lt;&gt;"Bloomberg",ISNUMBER(INDEX('Market Data'!$AC$5:$AC$66,INDEX('Market Data'!$J$5:$J$528,$T35)-4)),N(INDEX('Market Data'!$AC$5:$AC$66,INDEX('Market Data'!$J$5:$J$528,$T35)-4))&gt;0),INDEX('Market Data'!$AC$5:$AC$66,INDEX('Market Data'!$J$5:$J$528,$T35)-4),"unavailable"))))</f>
        <v/>
      </c>
      <c r="M35" s="11">
        <f>IF($T35=0,"",IF(INDEX('Market Data'!$J$5:$J$528,$T35)=0,"n/a",IF(IF(INDEX('Market Data'!$J$5:$J$528,$T35)=0,0,IF(LEFT(INDEX('Market Data'!$AS$5:$AS$66,INDEX('Market Data'!$J$5:$J$528,$T35)-4),11)="First-month",1,0))=1,"class review",IF($I35="Bloomberg",IF(AND(ISNUMBER(INDEX('Market Data'!$AH$5:$AH$66,INDEX('Market Data'!$J$5:$J$528,$T35)-4)),N(INDEX('Market Data'!$AH$5:$AH$66,INDEX('Market Data'!$J$5:$J$528,$T35)-4))&gt;0,ISNUMBER('Market Data'!$B$1),N('Market Data'!$B$1)&gt;0),INDEX('Market Data'!$AH$5:$AH$66,INDEX('Market Data'!$J$5:$J$528,$T35)-4)*'Market Data'!$B$1/$E35-1,"pending A/FX"),IF(AND($I35="Snapshot",$Q35="Snapshot",ISNUMBER($E35),$G35=INDEX('Market Data'!$AE$5:$AE$66,INDEX('Market Data'!$J$5:$J$528,$T35)-4)),IFERROR(INDEX('Market Data'!$AC$5:$AC$66,INDEX('Market Data'!$J$5:$J$528,$T35)-4)*INDEX('Market Data'!$AD$5:$AD$66,INDEX('Market Data'!$J$5:$J$528,$T35)-4)/$E35-1,"unavailable"),IF($I35="Unavailable","unavailable","date mismatch"))))))</f>
        <v/>
      </c>
      <c r="N35" s="11">
        <f>IF($T35=0,"",IFERROR(IF(AND(N(INDEX('Market Data'!$F$5:$F$528,$T35))&gt;0,ISNUMBER(INDEX('Market Data'!$T$5:$T$528,$T35))),$E35*INDEX('Market Data'!$T$5:$T$528,$T35)/INDEX('Market Data'!$F$5:$F$528,$T35)-1,"unavailable"),"unavailable"))</f>
        <v/>
      </c>
      <c r="O35" s="9">
        <f>IF($T35=0,"",IF(IF(INDEX('Market Data'!$J$5:$J$528,$T35)=0,0,IF(LEFT(INDEX('Market Data'!$AS$5:$AS$66,INDEX('Market Data'!$J$5:$J$528,$T35)-4),11)="First-month",1,0))=1,"Class ratio review",IF($I35="Bloomberg",IF(ISNUMBER($G35),IF($G35&lt;TODAY(),"Older quote","See quote time"),"Date unavailable"),IF($I35="Snapshot",IF($G35&lt;DATEVALUE("2026-10-02"),"Older snapshot","Dated close"),"No valid quote"))))</f>
        <v/>
      </c>
      <c r="P35" s="14">
        <f>IF($T35=0,"",IF(INDEX('Market Data'!$J$5:$J$528,$T35)=0,"n/a",IF($Q35="Bloomberg",IF(AND(ISNUMBER(INDEX('Market Data'!$AK$5:$AK$66,INDEX('Market Data'!$J$5:$J$528,$T35)-4)),N(INDEX('Market Data'!$AK$5:$AK$66,INDEX('Market Data'!$J$5:$J$528,$T35)-4))&gt;0),INDEX('Market Data'!$AK$5:$AK$66,INDEX('Market Data'!$J$5:$J$528,$T35)-4),"date unavailable"),IF($Q35="Snapshot",IF(AND(ISNUMBER(INDEX('Market Data'!$AF$5:$AF$66,INDEX('Market Data'!$J$5:$J$528,$T35)-4)),N(INDEX('Market Data'!$AF$5:$AF$66,INDEX('Market Data'!$J$5:$J$528,$T35)-4))&gt;0),INDEX('Market Data'!$AF$5:$AF$66,INDEX('Market Data'!$J$5:$J$528,$T35)-4),"date unavailable"),"date unavailable"))))</f>
        <v/>
      </c>
      <c r="Q35" s="15">
        <f>IF($T35=0,"",IF(INDEX('Market Data'!$J$5:$J$528,$T35)=0,"n/a",IF(AND($M$5&lt;&gt;"Snapshot",ISNUMBER(INDEX('Market Data'!$AH$5:$AH$66,INDEX('Market Data'!$J$5:$J$528,$T35)-4)),N(INDEX('Market Data'!$AH$5:$AH$66,INDEX('Market Data'!$J$5:$J$528,$T35)-4))&gt;0),"Bloomberg",IF(AND($M$5&lt;&gt;"Bloomberg",ISNUMBER(INDEX('Market Data'!$AC$5:$AC$66,INDEX('Market Data'!$J$5:$J$528,$T35)-4)),N(INDEX('Market Data'!$AC$5:$AC$66,INDEX('Market Data'!$J$5:$J$528,$T35)-4))&gt;0),"Snapshot","Unavailable"))))</f>
        <v/>
      </c>
      <c r="T35">
        <f>IFERROR(MATCH(27,'Market Data'!$S$5:$S$528,0),0)</f>
        <v/>
      </c>
    </row>
    <row r="36" ht="34" customHeight="1">
      <c r="A36" s="8">
        <f>IF($T36=0,"",IF(INDEX('Market Data'!$A$5:$A$528,$T36)="","",INDEX('Market Data'!$A$5:$A$528,$T36)))</f>
        <v/>
      </c>
      <c r="B36" s="9">
        <f>IF($T36=0,"",IF(INDEX('Market Data'!$B$5:$B$528,$T36)="","",INDEX('Market Data'!$B$5:$B$528,$T36)))</f>
        <v/>
      </c>
      <c r="C36" s="9">
        <f>IF($T36=0,"",IF(INDEX('Market Data'!$C$5:$C$528,$T36)="","",INDEX('Market Data'!$C$5:$C$528,$T36)))</f>
        <v/>
      </c>
      <c r="D36" s="9">
        <f>IF($T36=0,"",IF(INDEX('Market Data'!$D$5:$D$528,$T36)="","",INDEX('Market Data'!$D$5:$D$528,$T36)))</f>
        <v/>
      </c>
      <c r="E36" s="10">
        <f>IF($T36=0,"",INDEX('Market Data'!$O$5:$O$528,$T36))</f>
        <v/>
      </c>
      <c r="F36" s="11">
        <f>IF($T36=0,"",IF(AND($I36="Bloomberg",ISNUMBER(INDEX('Market Data'!$L$5:$L$528,$T36))),INDEX('Market Data'!$L$5:$L$528,$T36),"unavailable"))</f>
        <v/>
      </c>
      <c r="G36" s="12">
        <f>IF($T36=0,"",IF($I36="Bloomberg",IF(AND(ISNUMBER(INDEX('Market Data'!$M$5:$M$528,$T36)),N(INDEX('Market Data'!$M$5:$M$528,$T36))&gt;0),INDEX('Market Data'!$M$5:$M$528,$T36),"date unavailable"),IF($I36="Snapshot",IF(AND(ISNUMBER(INDEX('Market Data'!$H$5:$H$528,$T36)),N(INDEX('Market Data'!$H$5:$H$528,$T36))&gt;0),INDEX('Market Data'!$H$5:$H$528,$T36),"date unavailable"),"date unavailable")))</f>
        <v/>
      </c>
      <c r="H36" s="9">
        <f>IF($T36=0,"",IF($I36="Bloomberg",IF(INDEX('Market Data'!$N$5:$N$528,$T36)="","time unavailable",INDEX('Market Data'!$N$5:$N$528,$T36)),""))</f>
        <v/>
      </c>
      <c r="I36" s="9">
        <f>IF($T36=0,"",INDEX('Market Data'!$P$5:$P$528,$T36))</f>
        <v/>
      </c>
      <c r="J36" s="13">
        <f>IF($T36=0,"",IF(INDEX('Market Data'!$E$5:$E$528,$T36)="","",INDEX('Market Data'!$E$5:$E$528,$T36)))</f>
        <v/>
      </c>
      <c r="K36" s="8">
        <f>IF($T36=0,"",IF(INDEX('Market Data'!$I$5:$I$528,$T36)="","",INDEX('Market Data'!$I$5:$I$528,$T36)))</f>
        <v/>
      </c>
      <c r="L36" s="10">
        <f>IF($T36=0,"",IF(INDEX('Market Data'!$J$5:$J$528,$T36)=0,"n/a",IF(AND($M$5&lt;&gt;"Snapshot",ISNUMBER(INDEX('Market Data'!$AH$5:$AH$66,INDEX('Market Data'!$J$5:$J$528,$T36)-4)),N(INDEX('Market Data'!$AH$5:$AH$66,INDEX('Market Data'!$J$5:$J$528,$T36)-4))&gt;0),INDEX('Market Data'!$AH$5:$AH$66,INDEX('Market Data'!$J$5:$J$528,$T36)-4),IF(AND($M$5&lt;&gt;"Bloomberg",ISNUMBER(INDEX('Market Data'!$AC$5:$AC$66,INDEX('Market Data'!$J$5:$J$528,$T36)-4)),N(INDEX('Market Data'!$AC$5:$AC$66,INDEX('Market Data'!$J$5:$J$528,$T36)-4))&gt;0),INDEX('Market Data'!$AC$5:$AC$66,INDEX('Market Data'!$J$5:$J$528,$T36)-4),"unavailable"))))</f>
        <v/>
      </c>
      <c r="M36" s="11">
        <f>IF($T36=0,"",IF(INDEX('Market Data'!$J$5:$J$528,$T36)=0,"n/a",IF(IF(INDEX('Market Data'!$J$5:$J$528,$T36)=0,0,IF(LEFT(INDEX('Market Data'!$AS$5:$AS$66,INDEX('Market Data'!$J$5:$J$528,$T36)-4),11)="First-month",1,0))=1,"class review",IF($I36="Bloomberg",IF(AND(ISNUMBER(INDEX('Market Data'!$AH$5:$AH$66,INDEX('Market Data'!$J$5:$J$528,$T36)-4)),N(INDEX('Market Data'!$AH$5:$AH$66,INDEX('Market Data'!$J$5:$J$528,$T36)-4))&gt;0,ISNUMBER('Market Data'!$B$1),N('Market Data'!$B$1)&gt;0),INDEX('Market Data'!$AH$5:$AH$66,INDEX('Market Data'!$J$5:$J$528,$T36)-4)*'Market Data'!$B$1/$E36-1,"pending A/FX"),IF(AND($I36="Snapshot",$Q36="Snapshot",ISNUMBER($E36),$G36=INDEX('Market Data'!$AE$5:$AE$66,INDEX('Market Data'!$J$5:$J$528,$T36)-4)),IFERROR(INDEX('Market Data'!$AC$5:$AC$66,INDEX('Market Data'!$J$5:$J$528,$T36)-4)*INDEX('Market Data'!$AD$5:$AD$66,INDEX('Market Data'!$J$5:$J$528,$T36)-4)/$E36-1,"unavailable"),IF($I36="Unavailable","unavailable","date mismatch"))))))</f>
        <v/>
      </c>
      <c r="N36" s="11">
        <f>IF($T36=0,"",IFERROR(IF(AND(N(INDEX('Market Data'!$F$5:$F$528,$T36))&gt;0,ISNUMBER(INDEX('Market Data'!$T$5:$T$528,$T36))),$E36*INDEX('Market Data'!$T$5:$T$528,$T36)/INDEX('Market Data'!$F$5:$F$528,$T36)-1,"unavailable"),"unavailable"))</f>
        <v/>
      </c>
      <c r="O36" s="9">
        <f>IF($T36=0,"",IF(IF(INDEX('Market Data'!$J$5:$J$528,$T36)=0,0,IF(LEFT(INDEX('Market Data'!$AS$5:$AS$66,INDEX('Market Data'!$J$5:$J$528,$T36)-4),11)="First-month",1,0))=1,"Class ratio review",IF($I36="Bloomberg",IF(ISNUMBER($G36),IF($G36&lt;TODAY(),"Older quote","See quote time"),"Date unavailable"),IF($I36="Snapshot",IF($G36&lt;DATEVALUE("2026-10-02"),"Older snapshot","Dated close"),"No valid quote"))))</f>
        <v/>
      </c>
      <c r="P36" s="14">
        <f>IF($T36=0,"",IF(INDEX('Market Data'!$J$5:$J$528,$T36)=0,"n/a",IF($Q36="Bloomberg",IF(AND(ISNUMBER(INDEX('Market Data'!$AK$5:$AK$66,INDEX('Market Data'!$J$5:$J$528,$T36)-4)),N(INDEX('Market Data'!$AK$5:$AK$66,INDEX('Market Data'!$J$5:$J$528,$T36)-4))&gt;0),INDEX('Market Data'!$AK$5:$AK$66,INDEX('Market Data'!$J$5:$J$528,$T36)-4),"date unavailable"),IF($Q36="Snapshot",IF(AND(ISNUMBER(INDEX('Market Data'!$AF$5:$AF$66,INDEX('Market Data'!$J$5:$J$528,$T36)-4)),N(INDEX('Market Data'!$AF$5:$AF$66,INDEX('Market Data'!$J$5:$J$528,$T36)-4))&gt;0),INDEX('Market Data'!$AF$5:$AF$66,INDEX('Market Data'!$J$5:$J$528,$T36)-4),"date unavailable"),"date unavailable"))))</f>
        <v/>
      </c>
      <c r="Q36" s="15">
        <f>IF($T36=0,"",IF(INDEX('Market Data'!$J$5:$J$528,$T36)=0,"n/a",IF(AND($M$5&lt;&gt;"Snapshot",ISNUMBER(INDEX('Market Data'!$AH$5:$AH$66,INDEX('Market Data'!$J$5:$J$528,$T36)-4)),N(INDEX('Market Data'!$AH$5:$AH$66,INDEX('Market Data'!$J$5:$J$528,$T36)-4))&gt;0),"Bloomberg",IF(AND($M$5&lt;&gt;"Bloomberg",ISNUMBER(INDEX('Market Data'!$AC$5:$AC$66,INDEX('Market Data'!$J$5:$J$528,$T36)-4)),N(INDEX('Market Data'!$AC$5:$AC$66,INDEX('Market Data'!$J$5:$J$528,$T36)-4))&gt;0),"Snapshot","Unavailable"))))</f>
        <v/>
      </c>
      <c r="T36">
        <f>IFERROR(MATCH(28,'Market Data'!$S$5:$S$528,0),0)</f>
        <v/>
      </c>
    </row>
    <row r="37" ht="34" customHeight="1">
      <c r="A37" s="8">
        <f>IF($T37=0,"",IF(INDEX('Market Data'!$A$5:$A$528,$T37)="","",INDEX('Market Data'!$A$5:$A$528,$T37)))</f>
        <v/>
      </c>
      <c r="B37" s="9">
        <f>IF($T37=0,"",IF(INDEX('Market Data'!$B$5:$B$528,$T37)="","",INDEX('Market Data'!$B$5:$B$528,$T37)))</f>
        <v/>
      </c>
      <c r="C37" s="9">
        <f>IF($T37=0,"",IF(INDEX('Market Data'!$C$5:$C$528,$T37)="","",INDEX('Market Data'!$C$5:$C$528,$T37)))</f>
        <v/>
      </c>
      <c r="D37" s="9">
        <f>IF($T37=0,"",IF(INDEX('Market Data'!$D$5:$D$528,$T37)="","",INDEX('Market Data'!$D$5:$D$528,$T37)))</f>
        <v/>
      </c>
      <c r="E37" s="10">
        <f>IF($T37=0,"",INDEX('Market Data'!$O$5:$O$528,$T37))</f>
        <v/>
      </c>
      <c r="F37" s="11">
        <f>IF($T37=0,"",IF(AND($I37="Bloomberg",ISNUMBER(INDEX('Market Data'!$L$5:$L$528,$T37))),INDEX('Market Data'!$L$5:$L$528,$T37),"unavailable"))</f>
        <v/>
      </c>
      <c r="G37" s="12">
        <f>IF($T37=0,"",IF($I37="Bloomberg",IF(AND(ISNUMBER(INDEX('Market Data'!$M$5:$M$528,$T37)),N(INDEX('Market Data'!$M$5:$M$528,$T37))&gt;0),INDEX('Market Data'!$M$5:$M$528,$T37),"date unavailable"),IF($I37="Snapshot",IF(AND(ISNUMBER(INDEX('Market Data'!$H$5:$H$528,$T37)),N(INDEX('Market Data'!$H$5:$H$528,$T37))&gt;0),INDEX('Market Data'!$H$5:$H$528,$T37),"date unavailable"),"date unavailable")))</f>
        <v/>
      </c>
      <c r="H37" s="9">
        <f>IF($T37=0,"",IF($I37="Bloomberg",IF(INDEX('Market Data'!$N$5:$N$528,$T37)="","time unavailable",INDEX('Market Data'!$N$5:$N$528,$T37)),""))</f>
        <v/>
      </c>
      <c r="I37" s="9">
        <f>IF($T37=0,"",INDEX('Market Data'!$P$5:$P$528,$T37))</f>
        <v/>
      </c>
      <c r="J37" s="13">
        <f>IF($T37=0,"",IF(INDEX('Market Data'!$E$5:$E$528,$T37)="","",INDEX('Market Data'!$E$5:$E$528,$T37)))</f>
        <v/>
      </c>
      <c r="K37" s="8">
        <f>IF($T37=0,"",IF(INDEX('Market Data'!$I$5:$I$528,$T37)="","",INDEX('Market Data'!$I$5:$I$528,$T37)))</f>
        <v/>
      </c>
      <c r="L37" s="10">
        <f>IF($T37=0,"",IF(INDEX('Market Data'!$J$5:$J$528,$T37)=0,"n/a",IF(AND($M$5&lt;&gt;"Snapshot",ISNUMBER(INDEX('Market Data'!$AH$5:$AH$66,INDEX('Market Data'!$J$5:$J$528,$T37)-4)),N(INDEX('Market Data'!$AH$5:$AH$66,INDEX('Market Data'!$J$5:$J$528,$T37)-4))&gt;0),INDEX('Market Data'!$AH$5:$AH$66,INDEX('Market Data'!$J$5:$J$528,$T37)-4),IF(AND($M$5&lt;&gt;"Bloomberg",ISNUMBER(INDEX('Market Data'!$AC$5:$AC$66,INDEX('Market Data'!$J$5:$J$528,$T37)-4)),N(INDEX('Market Data'!$AC$5:$AC$66,INDEX('Market Data'!$J$5:$J$528,$T37)-4))&gt;0),INDEX('Market Data'!$AC$5:$AC$66,INDEX('Market Data'!$J$5:$J$528,$T37)-4),"unavailable"))))</f>
        <v/>
      </c>
      <c r="M37" s="11">
        <f>IF($T37=0,"",IF(INDEX('Market Data'!$J$5:$J$528,$T37)=0,"n/a",IF(IF(INDEX('Market Data'!$J$5:$J$528,$T37)=0,0,IF(LEFT(INDEX('Market Data'!$AS$5:$AS$66,INDEX('Market Data'!$J$5:$J$528,$T37)-4),11)="First-month",1,0))=1,"class review",IF($I37="Bloomberg",IF(AND(ISNUMBER(INDEX('Market Data'!$AH$5:$AH$66,INDEX('Market Data'!$J$5:$J$528,$T37)-4)),N(INDEX('Market Data'!$AH$5:$AH$66,INDEX('Market Data'!$J$5:$J$528,$T37)-4))&gt;0,ISNUMBER('Market Data'!$B$1),N('Market Data'!$B$1)&gt;0),INDEX('Market Data'!$AH$5:$AH$66,INDEX('Market Data'!$J$5:$J$528,$T37)-4)*'Market Data'!$B$1/$E37-1,"pending A/FX"),IF(AND($I37="Snapshot",$Q37="Snapshot",ISNUMBER($E37),$G37=INDEX('Market Data'!$AE$5:$AE$66,INDEX('Market Data'!$J$5:$J$528,$T37)-4)),IFERROR(INDEX('Market Data'!$AC$5:$AC$66,INDEX('Market Data'!$J$5:$J$528,$T37)-4)*INDEX('Market Data'!$AD$5:$AD$66,INDEX('Market Data'!$J$5:$J$528,$T37)-4)/$E37-1,"unavailable"),IF($I37="Unavailable","unavailable","date mismatch"))))))</f>
        <v/>
      </c>
      <c r="N37" s="11">
        <f>IF($T37=0,"",IFERROR(IF(AND(N(INDEX('Market Data'!$F$5:$F$528,$T37))&gt;0,ISNUMBER(INDEX('Market Data'!$T$5:$T$528,$T37))),$E37*INDEX('Market Data'!$T$5:$T$528,$T37)/INDEX('Market Data'!$F$5:$F$528,$T37)-1,"unavailable"),"unavailable"))</f>
        <v/>
      </c>
      <c r="O37" s="9">
        <f>IF($T37=0,"",IF(IF(INDEX('Market Data'!$J$5:$J$528,$T37)=0,0,IF(LEFT(INDEX('Market Data'!$AS$5:$AS$66,INDEX('Market Data'!$J$5:$J$528,$T37)-4),11)="First-month",1,0))=1,"Class ratio review",IF($I37="Bloomberg",IF(ISNUMBER($G37),IF($G37&lt;TODAY(),"Older quote","See quote time"),"Date unavailable"),IF($I37="Snapshot",IF($G37&lt;DATEVALUE("2026-10-02"),"Older snapshot","Dated close"),"No valid quote"))))</f>
        <v/>
      </c>
      <c r="P37" s="14">
        <f>IF($T37=0,"",IF(INDEX('Market Data'!$J$5:$J$528,$T37)=0,"n/a",IF($Q37="Bloomberg",IF(AND(ISNUMBER(INDEX('Market Data'!$AK$5:$AK$66,INDEX('Market Data'!$J$5:$J$528,$T37)-4)),N(INDEX('Market Data'!$AK$5:$AK$66,INDEX('Market Data'!$J$5:$J$528,$T37)-4))&gt;0),INDEX('Market Data'!$AK$5:$AK$66,INDEX('Market Data'!$J$5:$J$528,$T37)-4),"date unavailable"),IF($Q37="Snapshot",IF(AND(ISNUMBER(INDEX('Market Data'!$AF$5:$AF$66,INDEX('Market Data'!$J$5:$J$528,$T37)-4)),N(INDEX('Market Data'!$AF$5:$AF$66,INDEX('Market Data'!$J$5:$J$528,$T37)-4))&gt;0),INDEX('Market Data'!$AF$5:$AF$66,INDEX('Market Data'!$J$5:$J$528,$T37)-4),"date unavailable"),"date unavailable"))))</f>
        <v/>
      </c>
      <c r="Q37" s="15">
        <f>IF($T37=0,"",IF(INDEX('Market Data'!$J$5:$J$528,$T37)=0,"n/a",IF(AND($M$5&lt;&gt;"Snapshot",ISNUMBER(INDEX('Market Data'!$AH$5:$AH$66,INDEX('Market Data'!$J$5:$J$528,$T37)-4)),N(INDEX('Market Data'!$AH$5:$AH$66,INDEX('Market Data'!$J$5:$J$528,$T37)-4))&gt;0),"Bloomberg",IF(AND($M$5&lt;&gt;"Bloomberg",ISNUMBER(INDEX('Market Data'!$AC$5:$AC$66,INDEX('Market Data'!$J$5:$J$528,$T37)-4)),N(INDEX('Market Data'!$AC$5:$AC$66,INDEX('Market Data'!$J$5:$J$528,$T37)-4))&gt;0),"Snapshot","Unavailable"))))</f>
        <v/>
      </c>
      <c r="T37">
        <f>IFERROR(MATCH(29,'Market Data'!$S$5:$S$528,0),0)</f>
        <v/>
      </c>
    </row>
    <row r="38" ht="34" customHeight="1">
      <c r="A38" s="8">
        <f>IF($T38=0,"",IF(INDEX('Market Data'!$A$5:$A$528,$T38)="","",INDEX('Market Data'!$A$5:$A$528,$T38)))</f>
        <v/>
      </c>
      <c r="B38" s="9">
        <f>IF($T38=0,"",IF(INDEX('Market Data'!$B$5:$B$528,$T38)="","",INDEX('Market Data'!$B$5:$B$528,$T38)))</f>
        <v/>
      </c>
      <c r="C38" s="9">
        <f>IF($T38=0,"",IF(INDEX('Market Data'!$C$5:$C$528,$T38)="","",INDEX('Market Data'!$C$5:$C$528,$T38)))</f>
        <v/>
      </c>
      <c r="D38" s="9">
        <f>IF($T38=0,"",IF(INDEX('Market Data'!$D$5:$D$528,$T38)="","",INDEX('Market Data'!$D$5:$D$528,$T38)))</f>
        <v/>
      </c>
      <c r="E38" s="10">
        <f>IF($T38=0,"",INDEX('Market Data'!$O$5:$O$528,$T38))</f>
        <v/>
      </c>
      <c r="F38" s="11">
        <f>IF($T38=0,"",IF(AND($I38="Bloomberg",ISNUMBER(INDEX('Market Data'!$L$5:$L$528,$T38))),INDEX('Market Data'!$L$5:$L$528,$T38),"unavailable"))</f>
        <v/>
      </c>
      <c r="G38" s="12">
        <f>IF($T38=0,"",IF($I38="Bloomberg",IF(AND(ISNUMBER(INDEX('Market Data'!$M$5:$M$528,$T38)),N(INDEX('Market Data'!$M$5:$M$528,$T38))&gt;0),INDEX('Market Data'!$M$5:$M$528,$T38),"date unavailable"),IF($I38="Snapshot",IF(AND(ISNUMBER(INDEX('Market Data'!$H$5:$H$528,$T38)),N(INDEX('Market Data'!$H$5:$H$528,$T38))&gt;0),INDEX('Market Data'!$H$5:$H$528,$T38),"date unavailable"),"date unavailable")))</f>
        <v/>
      </c>
      <c r="H38" s="9">
        <f>IF($T38=0,"",IF($I38="Bloomberg",IF(INDEX('Market Data'!$N$5:$N$528,$T38)="","time unavailable",INDEX('Market Data'!$N$5:$N$528,$T38)),""))</f>
        <v/>
      </c>
      <c r="I38" s="9">
        <f>IF($T38=0,"",INDEX('Market Data'!$P$5:$P$528,$T38))</f>
        <v/>
      </c>
      <c r="J38" s="13">
        <f>IF($T38=0,"",IF(INDEX('Market Data'!$E$5:$E$528,$T38)="","",INDEX('Market Data'!$E$5:$E$528,$T38)))</f>
        <v/>
      </c>
      <c r="K38" s="8">
        <f>IF($T38=0,"",IF(INDEX('Market Data'!$I$5:$I$528,$T38)="","",INDEX('Market Data'!$I$5:$I$528,$T38)))</f>
        <v/>
      </c>
      <c r="L38" s="10">
        <f>IF($T38=0,"",IF(INDEX('Market Data'!$J$5:$J$528,$T38)=0,"n/a",IF(AND($M$5&lt;&gt;"Snapshot",ISNUMBER(INDEX('Market Data'!$AH$5:$AH$66,INDEX('Market Data'!$J$5:$J$528,$T38)-4)),N(INDEX('Market Data'!$AH$5:$AH$66,INDEX('Market Data'!$J$5:$J$528,$T38)-4))&gt;0),INDEX('Market Data'!$AH$5:$AH$66,INDEX('Market Data'!$J$5:$J$528,$T38)-4),IF(AND($M$5&lt;&gt;"Bloomberg",ISNUMBER(INDEX('Market Data'!$AC$5:$AC$66,INDEX('Market Data'!$J$5:$J$528,$T38)-4)),N(INDEX('Market Data'!$AC$5:$AC$66,INDEX('Market Data'!$J$5:$J$528,$T38)-4))&gt;0),INDEX('Market Data'!$AC$5:$AC$66,INDEX('Market Data'!$J$5:$J$528,$T38)-4),"unavailable"))))</f>
        <v/>
      </c>
      <c r="M38" s="11">
        <f>IF($T38=0,"",IF(INDEX('Market Data'!$J$5:$J$528,$T38)=0,"n/a",IF(IF(INDEX('Market Data'!$J$5:$J$528,$T38)=0,0,IF(LEFT(INDEX('Market Data'!$AS$5:$AS$66,INDEX('Market Data'!$J$5:$J$528,$T38)-4),11)="First-month",1,0))=1,"class review",IF($I38="Bloomberg",IF(AND(ISNUMBER(INDEX('Market Data'!$AH$5:$AH$66,INDEX('Market Data'!$J$5:$J$528,$T38)-4)),N(INDEX('Market Data'!$AH$5:$AH$66,INDEX('Market Data'!$J$5:$J$528,$T38)-4))&gt;0,ISNUMBER('Market Data'!$B$1),N('Market Data'!$B$1)&gt;0),INDEX('Market Data'!$AH$5:$AH$66,INDEX('Market Data'!$J$5:$J$528,$T38)-4)*'Market Data'!$B$1/$E38-1,"pending A/FX"),IF(AND($I38="Snapshot",$Q38="Snapshot",ISNUMBER($E38),$G38=INDEX('Market Data'!$AE$5:$AE$66,INDEX('Market Data'!$J$5:$J$528,$T38)-4)),IFERROR(INDEX('Market Data'!$AC$5:$AC$66,INDEX('Market Data'!$J$5:$J$528,$T38)-4)*INDEX('Market Data'!$AD$5:$AD$66,INDEX('Market Data'!$J$5:$J$528,$T38)-4)/$E38-1,"unavailable"),IF($I38="Unavailable","unavailable","date mismatch"))))))</f>
        <v/>
      </c>
      <c r="N38" s="11">
        <f>IF($T38=0,"",IFERROR(IF(AND(N(INDEX('Market Data'!$F$5:$F$528,$T38))&gt;0,ISNUMBER(INDEX('Market Data'!$T$5:$T$528,$T38))),$E38*INDEX('Market Data'!$T$5:$T$528,$T38)/INDEX('Market Data'!$F$5:$F$528,$T38)-1,"unavailable"),"unavailable"))</f>
        <v/>
      </c>
      <c r="O38" s="9">
        <f>IF($T38=0,"",IF(IF(INDEX('Market Data'!$J$5:$J$528,$T38)=0,0,IF(LEFT(INDEX('Market Data'!$AS$5:$AS$66,INDEX('Market Data'!$J$5:$J$528,$T38)-4),11)="First-month",1,0))=1,"Class ratio review",IF($I38="Bloomberg",IF(ISNUMBER($G38),IF($G38&lt;TODAY(),"Older quote","See quote time"),"Date unavailable"),IF($I38="Snapshot",IF($G38&lt;DATEVALUE("2026-10-02"),"Older snapshot","Dated close"),"No valid quote"))))</f>
        <v/>
      </c>
      <c r="P38" s="14">
        <f>IF($T38=0,"",IF(INDEX('Market Data'!$J$5:$J$528,$T38)=0,"n/a",IF($Q38="Bloomberg",IF(AND(ISNUMBER(INDEX('Market Data'!$AK$5:$AK$66,INDEX('Market Data'!$J$5:$J$528,$T38)-4)),N(INDEX('Market Data'!$AK$5:$AK$66,INDEX('Market Data'!$J$5:$J$528,$T38)-4))&gt;0),INDEX('Market Data'!$AK$5:$AK$66,INDEX('Market Data'!$J$5:$J$528,$T38)-4),"date unavailable"),IF($Q38="Snapshot",IF(AND(ISNUMBER(INDEX('Market Data'!$AF$5:$AF$66,INDEX('Market Data'!$J$5:$J$528,$T38)-4)),N(INDEX('Market Data'!$AF$5:$AF$66,INDEX('Market Data'!$J$5:$J$528,$T38)-4))&gt;0),INDEX('Market Data'!$AF$5:$AF$66,INDEX('Market Data'!$J$5:$J$528,$T38)-4),"date unavailable"),"date unavailable"))))</f>
        <v/>
      </c>
      <c r="Q38" s="15">
        <f>IF($T38=0,"",IF(INDEX('Market Data'!$J$5:$J$528,$T38)=0,"n/a",IF(AND($M$5&lt;&gt;"Snapshot",ISNUMBER(INDEX('Market Data'!$AH$5:$AH$66,INDEX('Market Data'!$J$5:$J$528,$T38)-4)),N(INDEX('Market Data'!$AH$5:$AH$66,INDEX('Market Data'!$J$5:$J$528,$T38)-4))&gt;0),"Bloomberg",IF(AND($M$5&lt;&gt;"Bloomberg",ISNUMBER(INDEX('Market Data'!$AC$5:$AC$66,INDEX('Market Data'!$J$5:$J$528,$T38)-4)),N(INDEX('Market Data'!$AC$5:$AC$66,INDEX('Market Data'!$J$5:$J$528,$T38)-4))&gt;0),"Snapshot","Unavailable"))))</f>
        <v/>
      </c>
      <c r="T38">
        <f>IFERROR(MATCH(30,'Market Data'!$S$5:$S$528,0),0)</f>
        <v/>
      </c>
    </row>
    <row r="39" ht="34" customHeight="1">
      <c r="A39" s="8">
        <f>IF($T39=0,"",IF(INDEX('Market Data'!$A$5:$A$528,$T39)="","",INDEX('Market Data'!$A$5:$A$528,$T39)))</f>
        <v/>
      </c>
      <c r="B39" s="9">
        <f>IF($T39=0,"",IF(INDEX('Market Data'!$B$5:$B$528,$T39)="","",INDEX('Market Data'!$B$5:$B$528,$T39)))</f>
        <v/>
      </c>
      <c r="C39" s="9">
        <f>IF($T39=0,"",IF(INDEX('Market Data'!$C$5:$C$528,$T39)="","",INDEX('Market Data'!$C$5:$C$528,$T39)))</f>
        <v/>
      </c>
      <c r="D39" s="9">
        <f>IF($T39=0,"",IF(INDEX('Market Data'!$D$5:$D$528,$T39)="","",INDEX('Market Data'!$D$5:$D$528,$T39)))</f>
        <v/>
      </c>
      <c r="E39" s="10">
        <f>IF($T39=0,"",INDEX('Market Data'!$O$5:$O$528,$T39))</f>
        <v/>
      </c>
      <c r="F39" s="11">
        <f>IF($T39=0,"",IF(AND($I39="Bloomberg",ISNUMBER(INDEX('Market Data'!$L$5:$L$528,$T39))),INDEX('Market Data'!$L$5:$L$528,$T39),"unavailable"))</f>
        <v/>
      </c>
      <c r="G39" s="12">
        <f>IF($T39=0,"",IF($I39="Bloomberg",IF(AND(ISNUMBER(INDEX('Market Data'!$M$5:$M$528,$T39)),N(INDEX('Market Data'!$M$5:$M$528,$T39))&gt;0),INDEX('Market Data'!$M$5:$M$528,$T39),"date unavailable"),IF($I39="Snapshot",IF(AND(ISNUMBER(INDEX('Market Data'!$H$5:$H$528,$T39)),N(INDEX('Market Data'!$H$5:$H$528,$T39))&gt;0),INDEX('Market Data'!$H$5:$H$528,$T39),"date unavailable"),"date unavailable")))</f>
        <v/>
      </c>
      <c r="H39" s="9">
        <f>IF($T39=0,"",IF($I39="Bloomberg",IF(INDEX('Market Data'!$N$5:$N$528,$T39)="","time unavailable",INDEX('Market Data'!$N$5:$N$528,$T39)),""))</f>
        <v/>
      </c>
      <c r="I39" s="9">
        <f>IF($T39=0,"",INDEX('Market Data'!$P$5:$P$528,$T39))</f>
        <v/>
      </c>
      <c r="J39" s="13">
        <f>IF($T39=0,"",IF(INDEX('Market Data'!$E$5:$E$528,$T39)="","",INDEX('Market Data'!$E$5:$E$528,$T39)))</f>
        <v/>
      </c>
      <c r="K39" s="8">
        <f>IF($T39=0,"",IF(INDEX('Market Data'!$I$5:$I$528,$T39)="","",INDEX('Market Data'!$I$5:$I$528,$T39)))</f>
        <v/>
      </c>
      <c r="L39" s="10">
        <f>IF($T39=0,"",IF(INDEX('Market Data'!$J$5:$J$528,$T39)=0,"n/a",IF(AND($M$5&lt;&gt;"Snapshot",ISNUMBER(INDEX('Market Data'!$AH$5:$AH$66,INDEX('Market Data'!$J$5:$J$528,$T39)-4)),N(INDEX('Market Data'!$AH$5:$AH$66,INDEX('Market Data'!$J$5:$J$528,$T39)-4))&gt;0),INDEX('Market Data'!$AH$5:$AH$66,INDEX('Market Data'!$J$5:$J$528,$T39)-4),IF(AND($M$5&lt;&gt;"Bloomberg",ISNUMBER(INDEX('Market Data'!$AC$5:$AC$66,INDEX('Market Data'!$J$5:$J$528,$T39)-4)),N(INDEX('Market Data'!$AC$5:$AC$66,INDEX('Market Data'!$J$5:$J$528,$T39)-4))&gt;0),INDEX('Market Data'!$AC$5:$AC$66,INDEX('Market Data'!$J$5:$J$528,$T39)-4),"unavailable"))))</f>
        <v/>
      </c>
      <c r="M39" s="11">
        <f>IF($T39=0,"",IF(INDEX('Market Data'!$J$5:$J$528,$T39)=0,"n/a",IF(IF(INDEX('Market Data'!$J$5:$J$528,$T39)=0,0,IF(LEFT(INDEX('Market Data'!$AS$5:$AS$66,INDEX('Market Data'!$J$5:$J$528,$T39)-4),11)="First-month",1,0))=1,"class review",IF($I39="Bloomberg",IF(AND(ISNUMBER(INDEX('Market Data'!$AH$5:$AH$66,INDEX('Market Data'!$J$5:$J$528,$T39)-4)),N(INDEX('Market Data'!$AH$5:$AH$66,INDEX('Market Data'!$J$5:$J$528,$T39)-4))&gt;0,ISNUMBER('Market Data'!$B$1),N('Market Data'!$B$1)&gt;0),INDEX('Market Data'!$AH$5:$AH$66,INDEX('Market Data'!$J$5:$J$528,$T39)-4)*'Market Data'!$B$1/$E39-1,"pending A/FX"),IF(AND($I39="Snapshot",$Q39="Snapshot",ISNUMBER($E39),$G39=INDEX('Market Data'!$AE$5:$AE$66,INDEX('Market Data'!$J$5:$J$528,$T39)-4)),IFERROR(INDEX('Market Data'!$AC$5:$AC$66,INDEX('Market Data'!$J$5:$J$528,$T39)-4)*INDEX('Market Data'!$AD$5:$AD$66,INDEX('Market Data'!$J$5:$J$528,$T39)-4)/$E39-1,"unavailable"),IF($I39="Unavailable","unavailable","date mismatch"))))))</f>
        <v/>
      </c>
      <c r="N39" s="11">
        <f>IF($T39=0,"",IFERROR(IF(AND(N(INDEX('Market Data'!$F$5:$F$528,$T39))&gt;0,ISNUMBER(INDEX('Market Data'!$T$5:$T$528,$T39))),$E39*INDEX('Market Data'!$T$5:$T$528,$T39)/INDEX('Market Data'!$F$5:$F$528,$T39)-1,"unavailable"),"unavailable"))</f>
        <v/>
      </c>
      <c r="O39" s="9">
        <f>IF($T39=0,"",IF(IF(INDEX('Market Data'!$J$5:$J$528,$T39)=0,0,IF(LEFT(INDEX('Market Data'!$AS$5:$AS$66,INDEX('Market Data'!$J$5:$J$528,$T39)-4),11)="First-month",1,0))=1,"Class ratio review",IF($I39="Bloomberg",IF(ISNUMBER($G39),IF($G39&lt;TODAY(),"Older quote","See quote time"),"Date unavailable"),IF($I39="Snapshot",IF($G39&lt;DATEVALUE("2026-10-02"),"Older snapshot","Dated close"),"No valid quote"))))</f>
        <v/>
      </c>
      <c r="P39" s="14">
        <f>IF($T39=0,"",IF(INDEX('Market Data'!$J$5:$J$528,$T39)=0,"n/a",IF($Q39="Bloomberg",IF(AND(ISNUMBER(INDEX('Market Data'!$AK$5:$AK$66,INDEX('Market Data'!$J$5:$J$528,$T39)-4)),N(INDEX('Market Data'!$AK$5:$AK$66,INDEX('Market Data'!$J$5:$J$528,$T39)-4))&gt;0),INDEX('Market Data'!$AK$5:$AK$66,INDEX('Market Data'!$J$5:$J$528,$T39)-4),"date unavailable"),IF($Q39="Snapshot",IF(AND(ISNUMBER(INDEX('Market Data'!$AF$5:$AF$66,INDEX('Market Data'!$J$5:$J$528,$T39)-4)),N(INDEX('Market Data'!$AF$5:$AF$66,INDEX('Market Data'!$J$5:$J$528,$T39)-4))&gt;0),INDEX('Market Data'!$AF$5:$AF$66,INDEX('Market Data'!$J$5:$J$528,$T39)-4),"date unavailable"),"date unavailable"))))</f>
        <v/>
      </c>
      <c r="Q39" s="15">
        <f>IF($T39=0,"",IF(INDEX('Market Data'!$J$5:$J$528,$T39)=0,"n/a",IF(AND($M$5&lt;&gt;"Snapshot",ISNUMBER(INDEX('Market Data'!$AH$5:$AH$66,INDEX('Market Data'!$J$5:$J$528,$T39)-4)),N(INDEX('Market Data'!$AH$5:$AH$66,INDEX('Market Data'!$J$5:$J$528,$T39)-4))&gt;0),"Bloomberg",IF(AND($M$5&lt;&gt;"Bloomberg",ISNUMBER(INDEX('Market Data'!$AC$5:$AC$66,INDEX('Market Data'!$J$5:$J$528,$T39)-4)),N(INDEX('Market Data'!$AC$5:$AC$66,INDEX('Market Data'!$J$5:$J$528,$T39)-4))&gt;0),"Snapshot","Unavailable"))))</f>
        <v/>
      </c>
      <c r="T39">
        <f>IFERROR(MATCH(31,'Market Data'!$S$5:$S$528,0),0)</f>
        <v/>
      </c>
    </row>
    <row r="40" ht="34" customHeight="1">
      <c r="A40" s="8">
        <f>IF($T40=0,"",IF(INDEX('Market Data'!$A$5:$A$528,$T40)="","",INDEX('Market Data'!$A$5:$A$528,$T40)))</f>
        <v/>
      </c>
      <c r="B40" s="9">
        <f>IF($T40=0,"",IF(INDEX('Market Data'!$B$5:$B$528,$T40)="","",INDEX('Market Data'!$B$5:$B$528,$T40)))</f>
        <v/>
      </c>
      <c r="C40" s="9">
        <f>IF($T40=0,"",IF(INDEX('Market Data'!$C$5:$C$528,$T40)="","",INDEX('Market Data'!$C$5:$C$528,$T40)))</f>
        <v/>
      </c>
      <c r="D40" s="9">
        <f>IF($T40=0,"",IF(INDEX('Market Data'!$D$5:$D$528,$T40)="","",INDEX('Market Data'!$D$5:$D$528,$T40)))</f>
        <v/>
      </c>
      <c r="E40" s="10">
        <f>IF($T40=0,"",INDEX('Market Data'!$O$5:$O$528,$T40))</f>
        <v/>
      </c>
      <c r="F40" s="11">
        <f>IF($T40=0,"",IF(AND($I40="Bloomberg",ISNUMBER(INDEX('Market Data'!$L$5:$L$528,$T40))),INDEX('Market Data'!$L$5:$L$528,$T40),"unavailable"))</f>
        <v/>
      </c>
      <c r="G40" s="12">
        <f>IF($T40=0,"",IF($I40="Bloomberg",IF(AND(ISNUMBER(INDEX('Market Data'!$M$5:$M$528,$T40)),N(INDEX('Market Data'!$M$5:$M$528,$T40))&gt;0),INDEX('Market Data'!$M$5:$M$528,$T40),"date unavailable"),IF($I40="Snapshot",IF(AND(ISNUMBER(INDEX('Market Data'!$H$5:$H$528,$T40)),N(INDEX('Market Data'!$H$5:$H$528,$T40))&gt;0),INDEX('Market Data'!$H$5:$H$528,$T40),"date unavailable"),"date unavailable")))</f>
        <v/>
      </c>
      <c r="H40" s="9">
        <f>IF($T40=0,"",IF($I40="Bloomberg",IF(INDEX('Market Data'!$N$5:$N$528,$T40)="","time unavailable",INDEX('Market Data'!$N$5:$N$528,$T40)),""))</f>
        <v/>
      </c>
      <c r="I40" s="9">
        <f>IF($T40=0,"",INDEX('Market Data'!$P$5:$P$528,$T40))</f>
        <v/>
      </c>
      <c r="J40" s="13">
        <f>IF($T40=0,"",IF(INDEX('Market Data'!$E$5:$E$528,$T40)="","",INDEX('Market Data'!$E$5:$E$528,$T40)))</f>
        <v/>
      </c>
      <c r="K40" s="8">
        <f>IF($T40=0,"",IF(INDEX('Market Data'!$I$5:$I$528,$T40)="","",INDEX('Market Data'!$I$5:$I$528,$T40)))</f>
        <v/>
      </c>
      <c r="L40" s="10">
        <f>IF($T40=0,"",IF(INDEX('Market Data'!$J$5:$J$528,$T40)=0,"n/a",IF(AND($M$5&lt;&gt;"Snapshot",ISNUMBER(INDEX('Market Data'!$AH$5:$AH$66,INDEX('Market Data'!$J$5:$J$528,$T40)-4)),N(INDEX('Market Data'!$AH$5:$AH$66,INDEX('Market Data'!$J$5:$J$528,$T40)-4))&gt;0),INDEX('Market Data'!$AH$5:$AH$66,INDEX('Market Data'!$J$5:$J$528,$T40)-4),IF(AND($M$5&lt;&gt;"Bloomberg",ISNUMBER(INDEX('Market Data'!$AC$5:$AC$66,INDEX('Market Data'!$J$5:$J$528,$T40)-4)),N(INDEX('Market Data'!$AC$5:$AC$66,INDEX('Market Data'!$J$5:$J$528,$T40)-4))&gt;0),INDEX('Market Data'!$AC$5:$AC$66,INDEX('Market Data'!$J$5:$J$528,$T40)-4),"unavailable"))))</f>
        <v/>
      </c>
      <c r="M40" s="11">
        <f>IF($T40=0,"",IF(INDEX('Market Data'!$J$5:$J$528,$T40)=0,"n/a",IF(IF(INDEX('Market Data'!$J$5:$J$528,$T40)=0,0,IF(LEFT(INDEX('Market Data'!$AS$5:$AS$66,INDEX('Market Data'!$J$5:$J$528,$T40)-4),11)="First-month",1,0))=1,"class review",IF($I40="Bloomberg",IF(AND(ISNUMBER(INDEX('Market Data'!$AH$5:$AH$66,INDEX('Market Data'!$J$5:$J$528,$T40)-4)),N(INDEX('Market Data'!$AH$5:$AH$66,INDEX('Market Data'!$J$5:$J$528,$T40)-4))&gt;0,ISNUMBER('Market Data'!$B$1),N('Market Data'!$B$1)&gt;0),INDEX('Market Data'!$AH$5:$AH$66,INDEX('Market Data'!$J$5:$J$528,$T40)-4)*'Market Data'!$B$1/$E40-1,"pending A/FX"),IF(AND($I40="Snapshot",$Q40="Snapshot",ISNUMBER($E40),$G40=INDEX('Market Data'!$AE$5:$AE$66,INDEX('Market Data'!$J$5:$J$528,$T40)-4)),IFERROR(INDEX('Market Data'!$AC$5:$AC$66,INDEX('Market Data'!$J$5:$J$528,$T40)-4)*INDEX('Market Data'!$AD$5:$AD$66,INDEX('Market Data'!$J$5:$J$528,$T40)-4)/$E40-1,"unavailable"),IF($I40="Unavailable","unavailable","date mismatch"))))))</f>
        <v/>
      </c>
      <c r="N40" s="11">
        <f>IF($T40=0,"",IFERROR(IF(AND(N(INDEX('Market Data'!$F$5:$F$528,$T40))&gt;0,ISNUMBER(INDEX('Market Data'!$T$5:$T$528,$T40))),$E40*INDEX('Market Data'!$T$5:$T$528,$T40)/INDEX('Market Data'!$F$5:$F$528,$T40)-1,"unavailable"),"unavailable"))</f>
        <v/>
      </c>
      <c r="O40" s="9">
        <f>IF($T40=0,"",IF(IF(INDEX('Market Data'!$J$5:$J$528,$T40)=0,0,IF(LEFT(INDEX('Market Data'!$AS$5:$AS$66,INDEX('Market Data'!$J$5:$J$528,$T40)-4),11)="First-month",1,0))=1,"Class ratio review",IF($I40="Bloomberg",IF(ISNUMBER($G40),IF($G40&lt;TODAY(),"Older quote","See quote time"),"Date unavailable"),IF($I40="Snapshot",IF($G40&lt;DATEVALUE("2026-10-02"),"Older snapshot","Dated close"),"No valid quote"))))</f>
        <v/>
      </c>
      <c r="P40" s="14">
        <f>IF($T40=0,"",IF(INDEX('Market Data'!$J$5:$J$528,$T40)=0,"n/a",IF($Q40="Bloomberg",IF(AND(ISNUMBER(INDEX('Market Data'!$AK$5:$AK$66,INDEX('Market Data'!$J$5:$J$528,$T40)-4)),N(INDEX('Market Data'!$AK$5:$AK$66,INDEX('Market Data'!$J$5:$J$528,$T40)-4))&gt;0),INDEX('Market Data'!$AK$5:$AK$66,INDEX('Market Data'!$J$5:$J$528,$T40)-4),"date unavailable"),IF($Q40="Snapshot",IF(AND(ISNUMBER(INDEX('Market Data'!$AF$5:$AF$66,INDEX('Market Data'!$J$5:$J$528,$T40)-4)),N(INDEX('Market Data'!$AF$5:$AF$66,INDEX('Market Data'!$J$5:$J$528,$T40)-4))&gt;0),INDEX('Market Data'!$AF$5:$AF$66,INDEX('Market Data'!$J$5:$J$528,$T40)-4),"date unavailable"),"date unavailable"))))</f>
        <v/>
      </c>
      <c r="Q40" s="15">
        <f>IF($T40=0,"",IF(INDEX('Market Data'!$J$5:$J$528,$T40)=0,"n/a",IF(AND($M$5&lt;&gt;"Snapshot",ISNUMBER(INDEX('Market Data'!$AH$5:$AH$66,INDEX('Market Data'!$J$5:$J$528,$T40)-4)),N(INDEX('Market Data'!$AH$5:$AH$66,INDEX('Market Data'!$J$5:$J$528,$T40)-4))&gt;0),"Bloomberg",IF(AND($M$5&lt;&gt;"Bloomberg",ISNUMBER(INDEX('Market Data'!$AC$5:$AC$66,INDEX('Market Data'!$J$5:$J$528,$T40)-4)),N(INDEX('Market Data'!$AC$5:$AC$66,INDEX('Market Data'!$J$5:$J$528,$T40)-4))&gt;0),"Snapshot","Unavailable"))))</f>
        <v/>
      </c>
      <c r="T40">
        <f>IFERROR(MATCH(32,'Market Data'!$S$5:$S$528,0),0)</f>
        <v/>
      </c>
    </row>
    <row r="41" ht="34" customHeight="1">
      <c r="A41" s="8">
        <f>IF($T41=0,"",IF(INDEX('Market Data'!$A$5:$A$528,$T41)="","",INDEX('Market Data'!$A$5:$A$528,$T41)))</f>
        <v/>
      </c>
      <c r="B41" s="9">
        <f>IF($T41=0,"",IF(INDEX('Market Data'!$B$5:$B$528,$T41)="","",INDEX('Market Data'!$B$5:$B$528,$T41)))</f>
        <v/>
      </c>
      <c r="C41" s="9">
        <f>IF($T41=0,"",IF(INDEX('Market Data'!$C$5:$C$528,$T41)="","",INDEX('Market Data'!$C$5:$C$528,$T41)))</f>
        <v/>
      </c>
      <c r="D41" s="9">
        <f>IF($T41=0,"",IF(INDEX('Market Data'!$D$5:$D$528,$T41)="","",INDEX('Market Data'!$D$5:$D$528,$T41)))</f>
        <v/>
      </c>
      <c r="E41" s="10">
        <f>IF($T41=0,"",INDEX('Market Data'!$O$5:$O$528,$T41))</f>
        <v/>
      </c>
      <c r="F41" s="11">
        <f>IF($T41=0,"",IF(AND($I41="Bloomberg",ISNUMBER(INDEX('Market Data'!$L$5:$L$528,$T41))),INDEX('Market Data'!$L$5:$L$528,$T41),"unavailable"))</f>
        <v/>
      </c>
      <c r="G41" s="12">
        <f>IF($T41=0,"",IF($I41="Bloomberg",IF(AND(ISNUMBER(INDEX('Market Data'!$M$5:$M$528,$T41)),N(INDEX('Market Data'!$M$5:$M$528,$T41))&gt;0),INDEX('Market Data'!$M$5:$M$528,$T41),"date unavailable"),IF($I41="Snapshot",IF(AND(ISNUMBER(INDEX('Market Data'!$H$5:$H$528,$T41)),N(INDEX('Market Data'!$H$5:$H$528,$T41))&gt;0),INDEX('Market Data'!$H$5:$H$528,$T41),"date unavailable"),"date unavailable")))</f>
        <v/>
      </c>
      <c r="H41" s="9">
        <f>IF($T41=0,"",IF($I41="Bloomberg",IF(INDEX('Market Data'!$N$5:$N$528,$T41)="","time unavailable",INDEX('Market Data'!$N$5:$N$528,$T41)),""))</f>
        <v/>
      </c>
      <c r="I41" s="9">
        <f>IF($T41=0,"",INDEX('Market Data'!$P$5:$P$528,$T41))</f>
        <v/>
      </c>
      <c r="J41" s="13">
        <f>IF($T41=0,"",IF(INDEX('Market Data'!$E$5:$E$528,$T41)="","",INDEX('Market Data'!$E$5:$E$528,$T41)))</f>
        <v/>
      </c>
      <c r="K41" s="8">
        <f>IF($T41=0,"",IF(INDEX('Market Data'!$I$5:$I$528,$T41)="","",INDEX('Market Data'!$I$5:$I$528,$T41)))</f>
        <v/>
      </c>
      <c r="L41" s="10">
        <f>IF($T41=0,"",IF(INDEX('Market Data'!$J$5:$J$528,$T41)=0,"n/a",IF(AND($M$5&lt;&gt;"Snapshot",ISNUMBER(INDEX('Market Data'!$AH$5:$AH$66,INDEX('Market Data'!$J$5:$J$528,$T41)-4)),N(INDEX('Market Data'!$AH$5:$AH$66,INDEX('Market Data'!$J$5:$J$528,$T41)-4))&gt;0),INDEX('Market Data'!$AH$5:$AH$66,INDEX('Market Data'!$J$5:$J$528,$T41)-4),IF(AND($M$5&lt;&gt;"Bloomberg",ISNUMBER(INDEX('Market Data'!$AC$5:$AC$66,INDEX('Market Data'!$J$5:$J$528,$T41)-4)),N(INDEX('Market Data'!$AC$5:$AC$66,INDEX('Market Data'!$J$5:$J$528,$T41)-4))&gt;0),INDEX('Market Data'!$AC$5:$AC$66,INDEX('Market Data'!$J$5:$J$528,$T41)-4),"unavailable"))))</f>
        <v/>
      </c>
      <c r="M41" s="11">
        <f>IF($T41=0,"",IF(INDEX('Market Data'!$J$5:$J$528,$T41)=0,"n/a",IF(IF(INDEX('Market Data'!$J$5:$J$528,$T41)=0,0,IF(LEFT(INDEX('Market Data'!$AS$5:$AS$66,INDEX('Market Data'!$J$5:$J$528,$T41)-4),11)="First-month",1,0))=1,"class review",IF($I41="Bloomberg",IF(AND(ISNUMBER(INDEX('Market Data'!$AH$5:$AH$66,INDEX('Market Data'!$J$5:$J$528,$T41)-4)),N(INDEX('Market Data'!$AH$5:$AH$66,INDEX('Market Data'!$J$5:$J$528,$T41)-4))&gt;0,ISNUMBER('Market Data'!$B$1),N('Market Data'!$B$1)&gt;0),INDEX('Market Data'!$AH$5:$AH$66,INDEX('Market Data'!$J$5:$J$528,$T41)-4)*'Market Data'!$B$1/$E41-1,"pending A/FX"),IF(AND($I41="Snapshot",$Q41="Snapshot",ISNUMBER($E41),$G41=INDEX('Market Data'!$AE$5:$AE$66,INDEX('Market Data'!$J$5:$J$528,$T41)-4)),IFERROR(INDEX('Market Data'!$AC$5:$AC$66,INDEX('Market Data'!$J$5:$J$528,$T41)-4)*INDEX('Market Data'!$AD$5:$AD$66,INDEX('Market Data'!$J$5:$J$528,$T41)-4)/$E41-1,"unavailable"),IF($I41="Unavailable","unavailable","date mismatch"))))))</f>
        <v/>
      </c>
      <c r="N41" s="11">
        <f>IF($T41=0,"",IFERROR(IF(AND(N(INDEX('Market Data'!$F$5:$F$528,$T41))&gt;0,ISNUMBER(INDEX('Market Data'!$T$5:$T$528,$T41))),$E41*INDEX('Market Data'!$T$5:$T$528,$T41)/INDEX('Market Data'!$F$5:$F$528,$T41)-1,"unavailable"),"unavailable"))</f>
        <v/>
      </c>
      <c r="O41" s="9">
        <f>IF($T41=0,"",IF(IF(INDEX('Market Data'!$J$5:$J$528,$T41)=0,0,IF(LEFT(INDEX('Market Data'!$AS$5:$AS$66,INDEX('Market Data'!$J$5:$J$528,$T41)-4),11)="First-month",1,0))=1,"Class ratio review",IF($I41="Bloomberg",IF(ISNUMBER($G41),IF($G41&lt;TODAY(),"Older quote","See quote time"),"Date unavailable"),IF($I41="Snapshot",IF($G41&lt;DATEVALUE("2026-10-02"),"Older snapshot","Dated close"),"No valid quote"))))</f>
        <v/>
      </c>
      <c r="P41" s="14">
        <f>IF($T41=0,"",IF(INDEX('Market Data'!$J$5:$J$528,$T41)=0,"n/a",IF($Q41="Bloomberg",IF(AND(ISNUMBER(INDEX('Market Data'!$AK$5:$AK$66,INDEX('Market Data'!$J$5:$J$528,$T41)-4)),N(INDEX('Market Data'!$AK$5:$AK$66,INDEX('Market Data'!$J$5:$J$528,$T41)-4))&gt;0),INDEX('Market Data'!$AK$5:$AK$66,INDEX('Market Data'!$J$5:$J$528,$T41)-4),"date unavailable"),IF($Q41="Snapshot",IF(AND(ISNUMBER(INDEX('Market Data'!$AF$5:$AF$66,INDEX('Market Data'!$J$5:$J$528,$T41)-4)),N(INDEX('Market Data'!$AF$5:$AF$66,INDEX('Market Data'!$J$5:$J$528,$T41)-4))&gt;0),INDEX('Market Data'!$AF$5:$AF$66,INDEX('Market Data'!$J$5:$J$528,$T41)-4),"date unavailable"),"date unavailable"))))</f>
        <v/>
      </c>
      <c r="Q41" s="15">
        <f>IF($T41=0,"",IF(INDEX('Market Data'!$J$5:$J$528,$T41)=0,"n/a",IF(AND($M$5&lt;&gt;"Snapshot",ISNUMBER(INDEX('Market Data'!$AH$5:$AH$66,INDEX('Market Data'!$J$5:$J$528,$T41)-4)),N(INDEX('Market Data'!$AH$5:$AH$66,INDEX('Market Data'!$J$5:$J$528,$T41)-4))&gt;0),"Bloomberg",IF(AND($M$5&lt;&gt;"Bloomberg",ISNUMBER(INDEX('Market Data'!$AC$5:$AC$66,INDEX('Market Data'!$J$5:$J$528,$T41)-4)),N(INDEX('Market Data'!$AC$5:$AC$66,INDEX('Market Data'!$J$5:$J$528,$T41)-4))&gt;0),"Snapshot","Unavailable"))))</f>
        <v/>
      </c>
      <c r="T41">
        <f>IFERROR(MATCH(33,'Market Data'!$S$5:$S$528,0),0)</f>
        <v/>
      </c>
    </row>
    <row r="42" ht="34" customHeight="1">
      <c r="A42" s="8">
        <f>IF($T42=0,"",IF(INDEX('Market Data'!$A$5:$A$528,$T42)="","",INDEX('Market Data'!$A$5:$A$528,$T42)))</f>
        <v/>
      </c>
      <c r="B42" s="9">
        <f>IF($T42=0,"",IF(INDEX('Market Data'!$B$5:$B$528,$T42)="","",INDEX('Market Data'!$B$5:$B$528,$T42)))</f>
        <v/>
      </c>
      <c r="C42" s="9">
        <f>IF($T42=0,"",IF(INDEX('Market Data'!$C$5:$C$528,$T42)="","",INDEX('Market Data'!$C$5:$C$528,$T42)))</f>
        <v/>
      </c>
      <c r="D42" s="9">
        <f>IF($T42=0,"",IF(INDEX('Market Data'!$D$5:$D$528,$T42)="","",INDEX('Market Data'!$D$5:$D$528,$T42)))</f>
        <v/>
      </c>
      <c r="E42" s="10">
        <f>IF($T42=0,"",INDEX('Market Data'!$O$5:$O$528,$T42))</f>
        <v/>
      </c>
      <c r="F42" s="11">
        <f>IF($T42=0,"",IF(AND($I42="Bloomberg",ISNUMBER(INDEX('Market Data'!$L$5:$L$528,$T42))),INDEX('Market Data'!$L$5:$L$528,$T42),"unavailable"))</f>
        <v/>
      </c>
      <c r="G42" s="12">
        <f>IF($T42=0,"",IF($I42="Bloomberg",IF(AND(ISNUMBER(INDEX('Market Data'!$M$5:$M$528,$T42)),N(INDEX('Market Data'!$M$5:$M$528,$T42))&gt;0),INDEX('Market Data'!$M$5:$M$528,$T42),"date unavailable"),IF($I42="Snapshot",IF(AND(ISNUMBER(INDEX('Market Data'!$H$5:$H$528,$T42)),N(INDEX('Market Data'!$H$5:$H$528,$T42))&gt;0),INDEX('Market Data'!$H$5:$H$528,$T42),"date unavailable"),"date unavailable")))</f>
        <v/>
      </c>
      <c r="H42" s="9">
        <f>IF($T42=0,"",IF($I42="Bloomberg",IF(INDEX('Market Data'!$N$5:$N$528,$T42)="","time unavailable",INDEX('Market Data'!$N$5:$N$528,$T42)),""))</f>
        <v/>
      </c>
      <c r="I42" s="9">
        <f>IF($T42=0,"",INDEX('Market Data'!$P$5:$P$528,$T42))</f>
        <v/>
      </c>
      <c r="J42" s="13">
        <f>IF($T42=0,"",IF(INDEX('Market Data'!$E$5:$E$528,$T42)="","",INDEX('Market Data'!$E$5:$E$528,$T42)))</f>
        <v/>
      </c>
      <c r="K42" s="8">
        <f>IF($T42=0,"",IF(INDEX('Market Data'!$I$5:$I$528,$T42)="","",INDEX('Market Data'!$I$5:$I$528,$T42)))</f>
        <v/>
      </c>
      <c r="L42" s="10">
        <f>IF($T42=0,"",IF(INDEX('Market Data'!$J$5:$J$528,$T42)=0,"n/a",IF(AND($M$5&lt;&gt;"Snapshot",ISNUMBER(INDEX('Market Data'!$AH$5:$AH$66,INDEX('Market Data'!$J$5:$J$528,$T42)-4)),N(INDEX('Market Data'!$AH$5:$AH$66,INDEX('Market Data'!$J$5:$J$528,$T42)-4))&gt;0),INDEX('Market Data'!$AH$5:$AH$66,INDEX('Market Data'!$J$5:$J$528,$T42)-4),IF(AND($M$5&lt;&gt;"Bloomberg",ISNUMBER(INDEX('Market Data'!$AC$5:$AC$66,INDEX('Market Data'!$J$5:$J$528,$T42)-4)),N(INDEX('Market Data'!$AC$5:$AC$66,INDEX('Market Data'!$J$5:$J$528,$T42)-4))&gt;0),INDEX('Market Data'!$AC$5:$AC$66,INDEX('Market Data'!$J$5:$J$528,$T42)-4),"unavailable"))))</f>
        <v/>
      </c>
      <c r="M42" s="11">
        <f>IF($T42=0,"",IF(INDEX('Market Data'!$J$5:$J$528,$T42)=0,"n/a",IF(IF(INDEX('Market Data'!$J$5:$J$528,$T42)=0,0,IF(LEFT(INDEX('Market Data'!$AS$5:$AS$66,INDEX('Market Data'!$J$5:$J$528,$T42)-4),11)="First-month",1,0))=1,"class review",IF($I42="Bloomberg",IF(AND(ISNUMBER(INDEX('Market Data'!$AH$5:$AH$66,INDEX('Market Data'!$J$5:$J$528,$T42)-4)),N(INDEX('Market Data'!$AH$5:$AH$66,INDEX('Market Data'!$J$5:$J$528,$T42)-4))&gt;0,ISNUMBER('Market Data'!$B$1),N('Market Data'!$B$1)&gt;0),INDEX('Market Data'!$AH$5:$AH$66,INDEX('Market Data'!$J$5:$J$528,$T42)-4)*'Market Data'!$B$1/$E42-1,"pending A/FX"),IF(AND($I42="Snapshot",$Q42="Snapshot",ISNUMBER($E42),$G42=INDEX('Market Data'!$AE$5:$AE$66,INDEX('Market Data'!$J$5:$J$528,$T42)-4)),IFERROR(INDEX('Market Data'!$AC$5:$AC$66,INDEX('Market Data'!$J$5:$J$528,$T42)-4)*INDEX('Market Data'!$AD$5:$AD$66,INDEX('Market Data'!$J$5:$J$528,$T42)-4)/$E42-1,"unavailable"),IF($I42="Unavailable","unavailable","date mismatch"))))))</f>
        <v/>
      </c>
      <c r="N42" s="11">
        <f>IF($T42=0,"",IFERROR(IF(AND(N(INDEX('Market Data'!$F$5:$F$528,$T42))&gt;0,ISNUMBER(INDEX('Market Data'!$T$5:$T$528,$T42))),$E42*INDEX('Market Data'!$T$5:$T$528,$T42)/INDEX('Market Data'!$F$5:$F$528,$T42)-1,"unavailable"),"unavailable"))</f>
        <v/>
      </c>
      <c r="O42" s="9">
        <f>IF($T42=0,"",IF(IF(INDEX('Market Data'!$J$5:$J$528,$T42)=0,0,IF(LEFT(INDEX('Market Data'!$AS$5:$AS$66,INDEX('Market Data'!$J$5:$J$528,$T42)-4),11)="First-month",1,0))=1,"Class ratio review",IF($I42="Bloomberg",IF(ISNUMBER($G42),IF($G42&lt;TODAY(),"Older quote","See quote time"),"Date unavailable"),IF($I42="Snapshot",IF($G42&lt;DATEVALUE("2026-10-02"),"Older snapshot","Dated close"),"No valid quote"))))</f>
        <v/>
      </c>
      <c r="P42" s="14">
        <f>IF($T42=0,"",IF(INDEX('Market Data'!$J$5:$J$528,$T42)=0,"n/a",IF($Q42="Bloomberg",IF(AND(ISNUMBER(INDEX('Market Data'!$AK$5:$AK$66,INDEX('Market Data'!$J$5:$J$528,$T42)-4)),N(INDEX('Market Data'!$AK$5:$AK$66,INDEX('Market Data'!$J$5:$J$528,$T42)-4))&gt;0),INDEX('Market Data'!$AK$5:$AK$66,INDEX('Market Data'!$J$5:$J$528,$T42)-4),"date unavailable"),IF($Q42="Snapshot",IF(AND(ISNUMBER(INDEX('Market Data'!$AF$5:$AF$66,INDEX('Market Data'!$J$5:$J$528,$T42)-4)),N(INDEX('Market Data'!$AF$5:$AF$66,INDEX('Market Data'!$J$5:$J$528,$T42)-4))&gt;0),INDEX('Market Data'!$AF$5:$AF$66,INDEX('Market Data'!$J$5:$J$528,$T42)-4),"date unavailable"),"date unavailable"))))</f>
        <v/>
      </c>
      <c r="Q42" s="15">
        <f>IF($T42=0,"",IF(INDEX('Market Data'!$J$5:$J$528,$T42)=0,"n/a",IF(AND($M$5&lt;&gt;"Snapshot",ISNUMBER(INDEX('Market Data'!$AH$5:$AH$66,INDEX('Market Data'!$J$5:$J$528,$T42)-4)),N(INDEX('Market Data'!$AH$5:$AH$66,INDEX('Market Data'!$J$5:$J$528,$T42)-4))&gt;0),"Bloomberg",IF(AND($M$5&lt;&gt;"Bloomberg",ISNUMBER(INDEX('Market Data'!$AC$5:$AC$66,INDEX('Market Data'!$J$5:$J$528,$T42)-4)),N(INDEX('Market Data'!$AC$5:$AC$66,INDEX('Market Data'!$J$5:$J$528,$T42)-4))&gt;0),"Snapshot","Unavailable"))))</f>
        <v/>
      </c>
      <c r="T42">
        <f>IFERROR(MATCH(34,'Market Data'!$S$5:$S$528,0),0)</f>
        <v/>
      </c>
    </row>
    <row r="43" ht="34" customHeight="1">
      <c r="A43" s="8">
        <f>IF($T43=0,"",IF(INDEX('Market Data'!$A$5:$A$528,$T43)="","",INDEX('Market Data'!$A$5:$A$528,$T43)))</f>
        <v/>
      </c>
      <c r="B43" s="9">
        <f>IF($T43=0,"",IF(INDEX('Market Data'!$B$5:$B$528,$T43)="","",INDEX('Market Data'!$B$5:$B$528,$T43)))</f>
        <v/>
      </c>
      <c r="C43" s="9">
        <f>IF($T43=0,"",IF(INDEX('Market Data'!$C$5:$C$528,$T43)="","",INDEX('Market Data'!$C$5:$C$528,$T43)))</f>
        <v/>
      </c>
      <c r="D43" s="9">
        <f>IF($T43=0,"",IF(INDEX('Market Data'!$D$5:$D$528,$T43)="","",INDEX('Market Data'!$D$5:$D$528,$T43)))</f>
        <v/>
      </c>
      <c r="E43" s="10">
        <f>IF($T43=0,"",INDEX('Market Data'!$O$5:$O$528,$T43))</f>
        <v/>
      </c>
      <c r="F43" s="11">
        <f>IF($T43=0,"",IF(AND($I43="Bloomberg",ISNUMBER(INDEX('Market Data'!$L$5:$L$528,$T43))),INDEX('Market Data'!$L$5:$L$528,$T43),"unavailable"))</f>
        <v/>
      </c>
      <c r="G43" s="12">
        <f>IF($T43=0,"",IF($I43="Bloomberg",IF(AND(ISNUMBER(INDEX('Market Data'!$M$5:$M$528,$T43)),N(INDEX('Market Data'!$M$5:$M$528,$T43))&gt;0),INDEX('Market Data'!$M$5:$M$528,$T43),"date unavailable"),IF($I43="Snapshot",IF(AND(ISNUMBER(INDEX('Market Data'!$H$5:$H$528,$T43)),N(INDEX('Market Data'!$H$5:$H$528,$T43))&gt;0),INDEX('Market Data'!$H$5:$H$528,$T43),"date unavailable"),"date unavailable")))</f>
        <v/>
      </c>
      <c r="H43" s="9">
        <f>IF($T43=0,"",IF($I43="Bloomberg",IF(INDEX('Market Data'!$N$5:$N$528,$T43)="","time unavailable",INDEX('Market Data'!$N$5:$N$528,$T43)),""))</f>
        <v/>
      </c>
      <c r="I43" s="9">
        <f>IF($T43=0,"",INDEX('Market Data'!$P$5:$P$528,$T43))</f>
        <v/>
      </c>
      <c r="J43" s="13">
        <f>IF($T43=0,"",IF(INDEX('Market Data'!$E$5:$E$528,$T43)="","",INDEX('Market Data'!$E$5:$E$528,$T43)))</f>
        <v/>
      </c>
      <c r="K43" s="8">
        <f>IF($T43=0,"",IF(INDEX('Market Data'!$I$5:$I$528,$T43)="","",INDEX('Market Data'!$I$5:$I$528,$T43)))</f>
        <v/>
      </c>
      <c r="L43" s="10">
        <f>IF($T43=0,"",IF(INDEX('Market Data'!$J$5:$J$528,$T43)=0,"n/a",IF(AND($M$5&lt;&gt;"Snapshot",ISNUMBER(INDEX('Market Data'!$AH$5:$AH$66,INDEX('Market Data'!$J$5:$J$528,$T43)-4)),N(INDEX('Market Data'!$AH$5:$AH$66,INDEX('Market Data'!$J$5:$J$528,$T43)-4))&gt;0),INDEX('Market Data'!$AH$5:$AH$66,INDEX('Market Data'!$J$5:$J$528,$T43)-4),IF(AND($M$5&lt;&gt;"Bloomberg",ISNUMBER(INDEX('Market Data'!$AC$5:$AC$66,INDEX('Market Data'!$J$5:$J$528,$T43)-4)),N(INDEX('Market Data'!$AC$5:$AC$66,INDEX('Market Data'!$J$5:$J$528,$T43)-4))&gt;0),INDEX('Market Data'!$AC$5:$AC$66,INDEX('Market Data'!$J$5:$J$528,$T43)-4),"unavailable"))))</f>
        <v/>
      </c>
      <c r="M43" s="11">
        <f>IF($T43=0,"",IF(INDEX('Market Data'!$J$5:$J$528,$T43)=0,"n/a",IF(IF(INDEX('Market Data'!$J$5:$J$528,$T43)=0,0,IF(LEFT(INDEX('Market Data'!$AS$5:$AS$66,INDEX('Market Data'!$J$5:$J$528,$T43)-4),11)="First-month",1,0))=1,"class review",IF($I43="Bloomberg",IF(AND(ISNUMBER(INDEX('Market Data'!$AH$5:$AH$66,INDEX('Market Data'!$J$5:$J$528,$T43)-4)),N(INDEX('Market Data'!$AH$5:$AH$66,INDEX('Market Data'!$J$5:$J$528,$T43)-4))&gt;0,ISNUMBER('Market Data'!$B$1),N('Market Data'!$B$1)&gt;0),INDEX('Market Data'!$AH$5:$AH$66,INDEX('Market Data'!$J$5:$J$528,$T43)-4)*'Market Data'!$B$1/$E43-1,"pending A/FX"),IF(AND($I43="Snapshot",$Q43="Snapshot",ISNUMBER($E43),$G43=INDEX('Market Data'!$AE$5:$AE$66,INDEX('Market Data'!$J$5:$J$528,$T43)-4)),IFERROR(INDEX('Market Data'!$AC$5:$AC$66,INDEX('Market Data'!$J$5:$J$528,$T43)-4)*INDEX('Market Data'!$AD$5:$AD$66,INDEX('Market Data'!$J$5:$J$528,$T43)-4)/$E43-1,"unavailable"),IF($I43="Unavailable","unavailable","date mismatch"))))))</f>
        <v/>
      </c>
      <c r="N43" s="11">
        <f>IF($T43=0,"",IFERROR(IF(AND(N(INDEX('Market Data'!$F$5:$F$528,$T43))&gt;0,ISNUMBER(INDEX('Market Data'!$T$5:$T$528,$T43))),$E43*INDEX('Market Data'!$T$5:$T$528,$T43)/INDEX('Market Data'!$F$5:$F$528,$T43)-1,"unavailable"),"unavailable"))</f>
        <v/>
      </c>
      <c r="O43" s="9">
        <f>IF($T43=0,"",IF(IF(INDEX('Market Data'!$J$5:$J$528,$T43)=0,0,IF(LEFT(INDEX('Market Data'!$AS$5:$AS$66,INDEX('Market Data'!$J$5:$J$528,$T43)-4),11)="First-month",1,0))=1,"Class ratio review",IF($I43="Bloomberg",IF(ISNUMBER($G43),IF($G43&lt;TODAY(),"Older quote","See quote time"),"Date unavailable"),IF($I43="Snapshot",IF($G43&lt;DATEVALUE("2026-10-02"),"Older snapshot","Dated close"),"No valid quote"))))</f>
        <v/>
      </c>
      <c r="P43" s="14">
        <f>IF($T43=0,"",IF(INDEX('Market Data'!$J$5:$J$528,$T43)=0,"n/a",IF($Q43="Bloomberg",IF(AND(ISNUMBER(INDEX('Market Data'!$AK$5:$AK$66,INDEX('Market Data'!$J$5:$J$528,$T43)-4)),N(INDEX('Market Data'!$AK$5:$AK$66,INDEX('Market Data'!$J$5:$J$528,$T43)-4))&gt;0),INDEX('Market Data'!$AK$5:$AK$66,INDEX('Market Data'!$J$5:$J$528,$T43)-4),"date unavailable"),IF($Q43="Snapshot",IF(AND(ISNUMBER(INDEX('Market Data'!$AF$5:$AF$66,INDEX('Market Data'!$J$5:$J$528,$T43)-4)),N(INDEX('Market Data'!$AF$5:$AF$66,INDEX('Market Data'!$J$5:$J$528,$T43)-4))&gt;0),INDEX('Market Data'!$AF$5:$AF$66,INDEX('Market Data'!$J$5:$J$528,$T43)-4),"date unavailable"),"date unavailable"))))</f>
        <v/>
      </c>
      <c r="Q43" s="15">
        <f>IF($T43=0,"",IF(INDEX('Market Data'!$J$5:$J$528,$T43)=0,"n/a",IF(AND($M$5&lt;&gt;"Snapshot",ISNUMBER(INDEX('Market Data'!$AH$5:$AH$66,INDEX('Market Data'!$J$5:$J$528,$T43)-4)),N(INDEX('Market Data'!$AH$5:$AH$66,INDEX('Market Data'!$J$5:$J$528,$T43)-4))&gt;0),"Bloomberg",IF(AND($M$5&lt;&gt;"Bloomberg",ISNUMBER(INDEX('Market Data'!$AC$5:$AC$66,INDEX('Market Data'!$J$5:$J$528,$T43)-4)),N(INDEX('Market Data'!$AC$5:$AC$66,INDEX('Market Data'!$J$5:$J$528,$T43)-4))&gt;0),"Snapshot","Unavailable"))))</f>
        <v/>
      </c>
      <c r="T43">
        <f>IFERROR(MATCH(35,'Market Data'!$S$5:$S$528,0),0)</f>
        <v/>
      </c>
    </row>
    <row r="44" ht="34" customHeight="1">
      <c r="A44" s="8">
        <f>IF($T44=0,"",IF(INDEX('Market Data'!$A$5:$A$528,$T44)="","",INDEX('Market Data'!$A$5:$A$528,$T44)))</f>
        <v/>
      </c>
      <c r="B44" s="9">
        <f>IF($T44=0,"",IF(INDEX('Market Data'!$B$5:$B$528,$T44)="","",INDEX('Market Data'!$B$5:$B$528,$T44)))</f>
        <v/>
      </c>
      <c r="C44" s="9">
        <f>IF($T44=0,"",IF(INDEX('Market Data'!$C$5:$C$528,$T44)="","",INDEX('Market Data'!$C$5:$C$528,$T44)))</f>
        <v/>
      </c>
      <c r="D44" s="9">
        <f>IF($T44=0,"",IF(INDEX('Market Data'!$D$5:$D$528,$T44)="","",INDEX('Market Data'!$D$5:$D$528,$T44)))</f>
        <v/>
      </c>
      <c r="E44" s="10">
        <f>IF($T44=0,"",INDEX('Market Data'!$O$5:$O$528,$T44))</f>
        <v/>
      </c>
      <c r="F44" s="11">
        <f>IF($T44=0,"",IF(AND($I44="Bloomberg",ISNUMBER(INDEX('Market Data'!$L$5:$L$528,$T44))),INDEX('Market Data'!$L$5:$L$528,$T44),"unavailable"))</f>
        <v/>
      </c>
      <c r="G44" s="12">
        <f>IF($T44=0,"",IF($I44="Bloomberg",IF(AND(ISNUMBER(INDEX('Market Data'!$M$5:$M$528,$T44)),N(INDEX('Market Data'!$M$5:$M$528,$T44))&gt;0),INDEX('Market Data'!$M$5:$M$528,$T44),"date unavailable"),IF($I44="Snapshot",IF(AND(ISNUMBER(INDEX('Market Data'!$H$5:$H$528,$T44)),N(INDEX('Market Data'!$H$5:$H$528,$T44))&gt;0),INDEX('Market Data'!$H$5:$H$528,$T44),"date unavailable"),"date unavailable")))</f>
        <v/>
      </c>
      <c r="H44" s="9">
        <f>IF($T44=0,"",IF($I44="Bloomberg",IF(INDEX('Market Data'!$N$5:$N$528,$T44)="","time unavailable",INDEX('Market Data'!$N$5:$N$528,$T44)),""))</f>
        <v/>
      </c>
      <c r="I44" s="9">
        <f>IF($T44=0,"",INDEX('Market Data'!$P$5:$P$528,$T44))</f>
        <v/>
      </c>
      <c r="J44" s="13">
        <f>IF($T44=0,"",IF(INDEX('Market Data'!$E$5:$E$528,$T44)="","",INDEX('Market Data'!$E$5:$E$528,$T44)))</f>
        <v/>
      </c>
      <c r="K44" s="8">
        <f>IF($T44=0,"",IF(INDEX('Market Data'!$I$5:$I$528,$T44)="","",INDEX('Market Data'!$I$5:$I$528,$T44)))</f>
        <v/>
      </c>
      <c r="L44" s="10">
        <f>IF($T44=0,"",IF(INDEX('Market Data'!$J$5:$J$528,$T44)=0,"n/a",IF(AND($M$5&lt;&gt;"Snapshot",ISNUMBER(INDEX('Market Data'!$AH$5:$AH$66,INDEX('Market Data'!$J$5:$J$528,$T44)-4)),N(INDEX('Market Data'!$AH$5:$AH$66,INDEX('Market Data'!$J$5:$J$528,$T44)-4))&gt;0),INDEX('Market Data'!$AH$5:$AH$66,INDEX('Market Data'!$J$5:$J$528,$T44)-4),IF(AND($M$5&lt;&gt;"Bloomberg",ISNUMBER(INDEX('Market Data'!$AC$5:$AC$66,INDEX('Market Data'!$J$5:$J$528,$T44)-4)),N(INDEX('Market Data'!$AC$5:$AC$66,INDEX('Market Data'!$J$5:$J$528,$T44)-4))&gt;0),INDEX('Market Data'!$AC$5:$AC$66,INDEX('Market Data'!$J$5:$J$528,$T44)-4),"unavailable"))))</f>
        <v/>
      </c>
      <c r="M44" s="11">
        <f>IF($T44=0,"",IF(INDEX('Market Data'!$J$5:$J$528,$T44)=0,"n/a",IF(IF(INDEX('Market Data'!$J$5:$J$528,$T44)=0,0,IF(LEFT(INDEX('Market Data'!$AS$5:$AS$66,INDEX('Market Data'!$J$5:$J$528,$T44)-4),11)="First-month",1,0))=1,"class review",IF($I44="Bloomberg",IF(AND(ISNUMBER(INDEX('Market Data'!$AH$5:$AH$66,INDEX('Market Data'!$J$5:$J$528,$T44)-4)),N(INDEX('Market Data'!$AH$5:$AH$66,INDEX('Market Data'!$J$5:$J$528,$T44)-4))&gt;0,ISNUMBER('Market Data'!$B$1),N('Market Data'!$B$1)&gt;0),INDEX('Market Data'!$AH$5:$AH$66,INDEX('Market Data'!$J$5:$J$528,$T44)-4)*'Market Data'!$B$1/$E44-1,"pending A/FX"),IF(AND($I44="Snapshot",$Q44="Snapshot",ISNUMBER($E44),$G44=INDEX('Market Data'!$AE$5:$AE$66,INDEX('Market Data'!$J$5:$J$528,$T44)-4)),IFERROR(INDEX('Market Data'!$AC$5:$AC$66,INDEX('Market Data'!$J$5:$J$528,$T44)-4)*INDEX('Market Data'!$AD$5:$AD$66,INDEX('Market Data'!$J$5:$J$528,$T44)-4)/$E44-1,"unavailable"),IF($I44="Unavailable","unavailable","date mismatch"))))))</f>
        <v/>
      </c>
      <c r="N44" s="11">
        <f>IF($T44=0,"",IFERROR(IF(AND(N(INDEX('Market Data'!$F$5:$F$528,$T44))&gt;0,ISNUMBER(INDEX('Market Data'!$T$5:$T$528,$T44))),$E44*INDEX('Market Data'!$T$5:$T$528,$T44)/INDEX('Market Data'!$F$5:$F$528,$T44)-1,"unavailable"),"unavailable"))</f>
        <v/>
      </c>
      <c r="O44" s="9">
        <f>IF($T44=0,"",IF(IF(INDEX('Market Data'!$J$5:$J$528,$T44)=0,0,IF(LEFT(INDEX('Market Data'!$AS$5:$AS$66,INDEX('Market Data'!$J$5:$J$528,$T44)-4),11)="First-month",1,0))=1,"Class ratio review",IF($I44="Bloomberg",IF(ISNUMBER($G44),IF($G44&lt;TODAY(),"Older quote","See quote time"),"Date unavailable"),IF($I44="Snapshot",IF($G44&lt;DATEVALUE("2026-10-02"),"Older snapshot","Dated close"),"No valid quote"))))</f>
        <v/>
      </c>
      <c r="P44" s="14">
        <f>IF($T44=0,"",IF(INDEX('Market Data'!$J$5:$J$528,$T44)=0,"n/a",IF($Q44="Bloomberg",IF(AND(ISNUMBER(INDEX('Market Data'!$AK$5:$AK$66,INDEX('Market Data'!$J$5:$J$528,$T44)-4)),N(INDEX('Market Data'!$AK$5:$AK$66,INDEX('Market Data'!$J$5:$J$528,$T44)-4))&gt;0),INDEX('Market Data'!$AK$5:$AK$66,INDEX('Market Data'!$J$5:$J$528,$T44)-4),"date unavailable"),IF($Q44="Snapshot",IF(AND(ISNUMBER(INDEX('Market Data'!$AF$5:$AF$66,INDEX('Market Data'!$J$5:$J$528,$T44)-4)),N(INDEX('Market Data'!$AF$5:$AF$66,INDEX('Market Data'!$J$5:$J$528,$T44)-4))&gt;0),INDEX('Market Data'!$AF$5:$AF$66,INDEX('Market Data'!$J$5:$J$528,$T44)-4),"date unavailable"),"date unavailable"))))</f>
        <v/>
      </c>
      <c r="Q44" s="15">
        <f>IF($T44=0,"",IF(INDEX('Market Data'!$J$5:$J$528,$T44)=0,"n/a",IF(AND($M$5&lt;&gt;"Snapshot",ISNUMBER(INDEX('Market Data'!$AH$5:$AH$66,INDEX('Market Data'!$J$5:$J$528,$T44)-4)),N(INDEX('Market Data'!$AH$5:$AH$66,INDEX('Market Data'!$J$5:$J$528,$T44)-4))&gt;0),"Bloomberg",IF(AND($M$5&lt;&gt;"Bloomberg",ISNUMBER(INDEX('Market Data'!$AC$5:$AC$66,INDEX('Market Data'!$J$5:$J$528,$T44)-4)),N(INDEX('Market Data'!$AC$5:$AC$66,INDEX('Market Data'!$J$5:$J$528,$T44)-4))&gt;0),"Snapshot","Unavailable"))))</f>
        <v/>
      </c>
      <c r="T44">
        <f>IFERROR(MATCH(36,'Market Data'!$S$5:$S$528,0),0)</f>
        <v/>
      </c>
    </row>
    <row r="45" ht="34" customHeight="1">
      <c r="A45" s="8">
        <f>IF($T45=0,"",IF(INDEX('Market Data'!$A$5:$A$528,$T45)="","",INDEX('Market Data'!$A$5:$A$528,$T45)))</f>
        <v/>
      </c>
      <c r="B45" s="9">
        <f>IF($T45=0,"",IF(INDEX('Market Data'!$B$5:$B$528,$T45)="","",INDEX('Market Data'!$B$5:$B$528,$T45)))</f>
        <v/>
      </c>
      <c r="C45" s="9">
        <f>IF($T45=0,"",IF(INDEX('Market Data'!$C$5:$C$528,$T45)="","",INDEX('Market Data'!$C$5:$C$528,$T45)))</f>
        <v/>
      </c>
      <c r="D45" s="9">
        <f>IF($T45=0,"",IF(INDEX('Market Data'!$D$5:$D$528,$T45)="","",INDEX('Market Data'!$D$5:$D$528,$T45)))</f>
        <v/>
      </c>
      <c r="E45" s="10">
        <f>IF($T45=0,"",INDEX('Market Data'!$O$5:$O$528,$T45))</f>
        <v/>
      </c>
      <c r="F45" s="11">
        <f>IF($T45=0,"",IF(AND($I45="Bloomberg",ISNUMBER(INDEX('Market Data'!$L$5:$L$528,$T45))),INDEX('Market Data'!$L$5:$L$528,$T45),"unavailable"))</f>
        <v/>
      </c>
      <c r="G45" s="12">
        <f>IF($T45=0,"",IF($I45="Bloomberg",IF(AND(ISNUMBER(INDEX('Market Data'!$M$5:$M$528,$T45)),N(INDEX('Market Data'!$M$5:$M$528,$T45))&gt;0),INDEX('Market Data'!$M$5:$M$528,$T45),"date unavailable"),IF($I45="Snapshot",IF(AND(ISNUMBER(INDEX('Market Data'!$H$5:$H$528,$T45)),N(INDEX('Market Data'!$H$5:$H$528,$T45))&gt;0),INDEX('Market Data'!$H$5:$H$528,$T45),"date unavailable"),"date unavailable")))</f>
        <v/>
      </c>
      <c r="H45" s="9">
        <f>IF($T45=0,"",IF($I45="Bloomberg",IF(INDEX('Market Data'!$N$5:$N$528,$T45)="","time unavailable",INDEX('Market Data'!$N$5:$N$528,$T45)),""))</f>
        <v/>
      </c>
      <c r="I45" s="9">
        <f>IF($T45=0,"",INDEX('Market Data'!$P$5:$P$528,$T45))</f>
        <v/>
      </c>
      <c r="J45" s="13">
        <f>IF($T45=0,"",IF(INDEX('Market Data'!$E$5:$E$528,$T45)="","",INDEX('Market Data'!$E$5:$E$528,$T45)))</f>
        <v/>
      </c>
      <c r="K45" s="8">
        <f>IF($T45=0,"",IF(INDEX('Market Data'!$I$5:$I$528,$T45)="","",INDEX('Market Data'!$I$5:$I$528,$T45)))</f>
        <v/>
      </c>
      <c r="L45" s="10">
        <f>IF($T45=0,"",IF(INDEX('Market Data'!$J$5:$J$528,$T45)=0,"n/a",IF(AND($M$5&lt;&gt;"Snapshot",ISNUMBER(INDEX('Market Data'!$AH$5:$AH$66,INDEX('Market Data'!$J$5:$J$528,$T45)-4)),N(INDEX('Market Data'!$AH$5:$AH$66,INDEX('Market Data'!$J$5:$J$528,$T45)-4))&gt;0),INDEX('Market Data'!$AH$5:$AH$66,INDEX('Market Data'!$J$5:$J$528,$T45)-4),IF(AND($M$5&lt;&gt;"Bloomberg",ISNUMBER(INDEX('Market Data'!$AC$5:$AC$66,INDEX('Market Data'!$J$5:$J$528,$T45)-4)),N(INDEX('Market Data'!$AC$5:$AC$66,INDEX('Market Data'!$J$5:$J$528,$T45)-4))&gt;0),INDEX('Market Data'!$AC$5:$AC$66,INDEX('Market Data'!$J$5:$J$528,$T45)-4),"unavailable"))))</f>
        <v/>
      </c>
      <c r="M45" s="11">
        <f>IF($T45=0,"",IF(INDEX('Market Data'!$J$5:$J$528,$T45)=0,"n/a",IF(IF(INDEX('Market Data'!$J$5:$J$528,$T45)=0,0,IF(LEFT(INDEX('Market Data'!$AS$5:$AS$66,INDEX('Market Data'!$J$5:$J$528,$T45)-4),11)="First-month",1,0))=1,"class review",IF($I45="Bloomberg",IF(AND(ISNUMBER(INDEX('Market Data'!$AH$5:$AH$66,INDEX('Market Data'!$J$5:$J$528,$T45)-4)),N(INDEX('Market Data'!$AH$5:$AH$66,INDEX('Market Data'!$J$5:$J$528,$T45)-4))&gt;0,ISNUMBER('Market Data'!$B$1),N('Market Data'!$B$1)&gt;0),INDEX('Market Data'!$AH$5:$AH$66,INDEX('Market Data'!$J$5:$J$528,$T45)-4)*'Market Data'!$B$1/$E45-1,"pending A/FX"),IF(AND($I45="Snapshot",$Q45="Snapshot",ISNUMBER($E45),$G45=INDEX('Market Data'!$AE$5:$AE$66,INDEX('Market Data'!$J$5:$J$528,$T45)-4)),IFERROR(INDEX('Market Data'!$AC$5:$AC$66,INDEX('Market Data'!$J$5:$J$528,$T45)-4)*INDEX('Market Data'!$AD$5:$AD$66,INDEX('Market Data'!$J$5:$J$528,$T45)-4)/$E45-1,"unavailable"),IF($I45="Unavailable","unavailable","date mismatch"))))))</f>
        <v/>
      </c>
      <c r="N45" s="11">
        <f>IF($T45=0,"",IFERROR(IF(AND(N(INDEX('Market Data'!$F$5:$F$528,$T45))&gt;0,ISNUMBER(INDEX('Market Data'!$T$5:$T$528,$T45))),$E45*INDEX('Market Data'!$T$5:$T$528,$T45)/INDEX('Market Data'!$F$5:$F$528,$T45)-1,"unavailable"),"unavailable"))</f>
        <v/>
      </c>
      <c r="O45" s="9">
        <f>IF($T45=0,"",IF(IF(INDEX('Market Data'!$J$5:$J$528,$T45)=0,0,IF(LEFT(INDEX('Market Data'!$AS$5:$AS$66,INDEX('Market Data'!$J$5:$J$528,$T45)-4),11)="First-month",1,0))=1,"Class ratio review",IF($I45="Bloomberg",IF(ISNUMBER($G45),IF($G45&lt;TODAY(),"Older quote","See quote time"),"Date unavailable"),IF($I45="Snapshot",IF($G45&lt;DATEVALUE("2026-10-02"),"Older snapshot","Dated close"),"No valid quote"))))</f>
        <v/>
      </c>
      <c r="P45" s="14">
        <f>IF($T45=0,"",IF(INDEX('Market Data'!$J$5:$J$528,$T45)=0,"n/a",IF($Q45="Bloomberg",IF(AND(ISNUMBER(INDEX('Market Data'!$AK$5:$AK$66,INDEX('Market Data'!$J$5:$J$528,$T45)-4)),N(INDEX('Market Data'!$AK$5:$AK$66,INDEX('Market Data'!$J$5:$J$528,$T45)-4))&gt;0),INDEX('Market Data'!$AK$5:$AK$66,INDEX('Market Data'!$J$5:$J$528,$T45)-4),"date unavailable"),IF($Q45="Snapshot",IF(AND(ISNUMBER(INDEX('Market Data'!$AF$5:$AF$66,INDEX('Market Data'!$J$5:$J$528,$T45)-4)),N(INDEX('Market Data'!$AF$5:$AF$66,INDEX('Market Data'!$J$5:$J$528,$T45)-4))&gt;0),INDEX('Market Data'!$AF$5:$AF$66,INDEX('Market Data'!$J$5:$J$528,$T45)-4),"date unavailable"),"date unavailable"))))</f>
        <v/>
      </c>
      <c r="Q45" s="15">
        <f>IF($T45=0,"",IF(INDEX('Market Data'!$J$5:$J$528,$T45)=0,"n/a",IF(AND($M$5&lt;&gt;"Snapshot",ISNUMBER(INDEX('Market Data'!$AH$5:$AH$66,INDEX('Market Data'!$J$5:$J$528,$T45)-4)),N(INDEX('Market Data'!$AH$5:$AH$66,INDEX('Market Data'!$J$5:$J$528,$T45)-4))&gt;0),"Bloomberg",IF(AND($M$5&lt;&gt;"Bloomberg",ISNUMBER(INDEX('Market Data'!$AC$5:$AC$66,INDEX('Market Data'!$J$5:$J$528,$T45)-4)),N(INDEX('Market Data'!$AC$5:$AC$66,INDEX('Market Data'!$J$5:$J$528,$T45)-4))&gt;0),"Snapshot","Unavailable"))))</f>
        <v/>
      </c>
      <c r="T45">
        <f>IFERROR(MATCH(37,'Market Data'!$S$5:$S$528,0),0)</f>
        <v/>
      </c>
    </row>
    <row r="46" ht="34" customHeight="1">
      <c r="A46" s="8">
        <f>IF($T46=0,"",IF(INDEX('Market Data'!$A$5:$A$528,$T46)="","",INDEX('Market Data'!$A$5:$A$528,$T46)))</f>
        <v/>
      </c>
      <c r="B46" s="9">
        <f>IF($T46=0,"",IF(INDEX('Market Data'!$B$5:$B$528,$T46)="","",INDEX('Market Data'!$B$5:$B$528,$T46)))</f>
        <v/>
      </c>
      <c r="C46" s="9">
        <f>IF($T46=0,"",IF(INDEX('Market Data'!$C$5:$C$528,$T46)="","",INDEX('Market Data'!$C$5:$C$528,$T46)))</f>
        <v/>
      </c>
      <c r="D46" s="9">
        <f>IF($T46=0,"",IF(INDEX('Market Data'!$D$5:$D$528,$T46)="","",INDEX('Market Data'!$D$5:$D$528,$T46)))</f>
        <v/>
      </c>
      <c r="E46" s="10">
        <f>IF($T46=0,"",INDEX('Market Data'!$O$5:$O$528,$T46))</f>
        <v/>
      </c>
      <c r="F46" s="11">
        <f>IF($T46=0,"",IF(AND($I46="Bloomberg",ISNUMBER(INDEX('Market Data'!$L$5:$L$528,$T46))),INDEX('Market Data'!$L$5:$L$528,$T46),"unavailable"))</f>
        <v/>
      </c>
      <c r="G46" s="12">
        <f>IF($T46=0,"",IF($I46="Bloomberg",IF(AND(ISNUMBER(INDEX('Market Data'!$M$5:$M$528,$T46)),N(INDEX('Market Data'!$M$5:$M$528,$T46))&gt;0),INDEX('Market Data'!$M$5:$M$528,$T46),"date unavailable"),IF($I46="Snapshot",IF(AND(ISNUMBER(INDEX('Market Data'!$H$5:$H$528,$T46)),N(INDEX('Market Data'!$H$5:$H$528,$T46))&gt;0),INDEX('Market Data'!$H$5:$H$528,$T46),"date unavailable"),"date unavailable")))</f>
        <v/>
      </c>
      <c r="H46" s="9">
        <f>IF($T46=0,"",IF($I46="Bloomberg",IF(INDEX('Market Data'!$N$5:$N$528,$T46)="","time unavailable",INDEX('Market Data'!$N$5:$N$528,$T46)),""))</f>
        <v/>
      </c>
      <c r="I46" s="9">
        <f>IF($T46=0,"",INDEX('Market Data'!$P$5:$P$528,$T46))</f>
        <v/>
      </c>
      <c r="J46" s="13">
        <f>IF($T46=0,"",IF(INDEX('Market Data'!$E$5:$E$528,$T46)="","",INDEX('Market Data'!$E$5:$E$528,$T46)))</f>
        <v/>
      </c>
      <c r="K46" s="8">
        <f>IF($T46=0,"",IF(INDEX('Market Data'!$I$5:$I$528,$T46)="","",INDEX('Market Data'!$I$5:$I$528,$T46)))</f>
        <v/>
      </c>
      <c r="L46" s="10">
        <f>IF($T46=0,"",IF(INDEX('Market Data'!$J$5:$J$528,$T46)=0,"n/a",IF(AND($M$5&lt;&gt;"Snapshot",ISNUMBER(INDEX('Market Data'!$AH$5:$AH$66,INDEX('Market Data'!$J$5:$J$528,$T46)-4)),N(INDEX('Market Data'!$AH$5:$AH$66,INDEX('Market Data'!$J$5:$J$528,$T46)-4))&gt;0),INDEX('Market Data'!$AH$5:$AH$66,INDEX('Market Data'!$J$5:$J$528,$T46)-4),IF(AND($M$5&lt;&gt;"Bloomberg",ISNUMBER(INDEX('Market Data'!$AC$5:$AC$66,INDEX('Market Data'!$J$5:$J$528,$T46)-4)),N(INDEX('Market Data'!$AC$5:$AC$66,INDEX('Market Data'!$J$5:$J$528,$T46)-4))&gt;0),INDEX('Market Data'!$AC$5:$AC$66,INDEX('Market Data'!$J$5:$J$528,$T46)-4),"unavailable"))))</f>
        <v/>
      </c>
      <c r="M46" s="11">
        <f>IF($T46=0,"",IF(INDEX('Market Data'!$J$5:$J$528,$T46)=0,"n/a",IF(IF(INDEX('Market Data'!$J$5:$J$528,$T46)=0,0,IF(LEFT(INDEX('Market Data'!$AS$5:$AS$66,INDEX('Market Data'!$J$5:$J$528,$T46)-4),11)="First-month",1,0))=1,"class review",IF($I46="Bloomberg",IF(AND(ISNUMBER(INDEX('Market Data'!$AH$5:$AH$66,INDEX('Market Data'!$J$5:$J$528,$T46)-4)),N(INDEX('Market Data'!$AH$5:$AH$66,INDEX('Market Data'!$J$5:$J$528,$T46)-4))&gt;0,ISNUMBER('Market Data'!$B$1),N('Market Data'!$B$1)&gt;0),INDEX('Market Data'!$AH$5:$AH$66,INDEX('Market Data'!$J$5:$J$528,$T46)-4)*'Market Data'!$B$1/$E46-1,"pending A/FX"),IF(AND($I46="Snapshot",$Q46="Snapshot",ISNUMBER($E46),$G46=INDEX('Market Data'!$AE$5:$AE$66,INDEX('Market Data'!$J$5:$J$528,$T46)-4)),IFERROR(INDEX('Market Data'!$AC$5:$AC$66,INDEX('Market Data'!$J$5:$J$528,$T46)-4)*INDEX('Market Data'!$AD$5:$AD$66,INDEX('Market Data'!$J$5:$J$528,$T46)-4)/$E46-1,"unavailable"),IF($I46="Unavailable","unavailable","date mismatch"))))))</f>
        <v/>
      </c>
      <c r="N46" s="11">
        <f>IF($T46=0,"",IFERROR(IF(AND(N(INDEX('Market Data'!$F$5:$F$528,$T46))&gt;0,ISNUMBER(INDEX('Market Data'!$T$5:$T$528,$T46))),$E46*INDEX('Market Data'!$T$5:$T$528,$T46)/INDEX('Market Data'!$F$5:$F$528,$T46)-1,"unavailable"),"unavailable"))</f>
        <v/>
      </c>
      <c r="O46" s="9">
        <f>IF($T46=0,"",IF(IF(INDEX('Market Data'!$J$5:$J$528,$T46)=0,0,IF(LEFT(INDEX('Market Data'!$AS$5:$AS$66,INDEX('Market Data'!$J$5:$J$528,$T46)-4),11)="First-month",1,0))=1,"Class ratio review",IF($I46="Bloomberg",IF(ISNUMBER($G46),IF($G46&lt;TODAY(),"Older quote","See quote time"),"Date unavailable"),IF($I46="Snapshot",IF($G46&lt;DATEVALUE("2026-10-02"),"Older snapshot","Dated close"),"No valid quote"))))</f>
        <v/>
      </c>
      <c r="P46" s="14">
        <f>IF($T46=0,"",IF(INDEX('Market Data'!$J$5:$J$528,$T46)=0,"n/a",IF($Q46="Bloomberg",IF(AND(ISNUMBER(INDEX('Market Data'!$AK$5:$AK$66,INDEX('Market Data'!$J$5:$J$528,$T46)-4)),N(INDEX('Market Data'!$AK$5:$AK$66,INDEX('Market Data'!$J$5:$J$528,$T46)-4))&gt;0),INDEX('Market Data'!$AK$5:$AK$66,INDEX('Market Data'!$J$5:$J$528,$T46)-4),"date unavailable"),IF($Q46="Snapshot",IF(AND(ISNUMBER(INDEX('Market Data'!$AF$5:$AF$66,INDEX('Market Data'!$J$5:$J$528,$T46)-4)),N(INDEX('Market Data'!$AF$5:$AF$66,INDEX('Market Data'!$J$5:$J$528,$T46)-4))&gt;0),INDEX('Market Data'!$AF$5:$AF$66,INDEX('Market Data'!$J$5:$J$528,$T46)-4),"date unavailable"),"date unavailable"))))</f>
        <v/>
      </c>
      <c r="Q46" s="15">
        <f>IF($T46=0,"",IF(INDEX('Market Data'!$J$5:$J$528,$T46)=0,"n/a",IF(AND($M$5&lt;&gt;"Snapshot",ISNUMBER(INDEX('Market Data'!$AH$5:$AH$66,INDEX('Market Data'!$J$5:$J$528,$T46)-4)),N(INDEX('Market Data'!$AH$5:$AH$66,INDEX('Market Data'!$J$5:$J$528,$T46)-4))&gt;0),"Bloomberg",IF(AND($M$5&lt;&gt;"Bloomberg",ISNUMBER(INDEX('Market Data'!$AC$5:$AC$66,INDEX('Market Data'!$J$5:$J$528,$T46)-4)),N(INDEX('Market Data'!$AC$5:$AC$66,INDEX('Market Data'!$J$5:$J$528,$T46)-4))&gt;0),"Snapshot","Unavailable"))))</f>
        <v/>
      </c>
      <c r="T46">
        <f>IFERROR(MATCH(38,'Market Data'!$S$5:$S$528,0),0)</f>
        <v/>
      </c>
    </row>
    <row r="47" ht="34" customHeight="1">
      <c r="A47" s="8">
        <f>IF($T47=0,"",IF(INDEX('Market Data'!$A$5:$A$528,$T47)="","",INDEX('Market Data'!$A$5:$A$528,$T47)))</f>
        <v/>
      </c>
      <c r="B47" s="9">
        <f>IF($T47=0,"",IF(INDEX('Market Data'!$B$5:$B$528,$T47)="","",INDEX('Market Data'!$B$5:$B$528,$T47)))</f>
        <v/>
      </c>
      <c r="C47" s="9">
        <f>IF($T47=0,"",IF(INDEX('Market Data'!$C$5:$C$528,$T47)="","",INDEX('Market Data'!$C$5:$C$528,$T47)))</f>
        <v/>
      </c>
      <c r="D47" s="9">
        <f>IF($T47=0,"",IF(INDEX('Market Data'!$D$5:$D$528,$T47)="","",INDEX('Market Data'!$D$5:$D$528,$T47)))</f>
        <v/>
      </c>
      <c r="E47" s="10">
        <f>IF($T47=0,"",INDEX('Market Data'!$O$5:$O$528,$T47))</f>
        <v/>
      </c>
      <c r="F47" s="11">
        <f>IF($T47=0,"",IF(AND($I47="Bloomberg",ISNUMBER(INDEX('Market Data'!$L$5:$L$528,$T47))),INDEX('Market Data'!$L$5:$L$528,$T47),"unavailable"))</f>
        <v/>
      </c>
      <c r="G47" s="12">
        <f>IF($T47=0,"",IF($I47="Bloomberg",IF(AND(ISNUMBER(INDEX('Market Data'!$M$5:$M$528,$T47)),N(INDEX('Market Data'!$M$5:$M$528,$T47))&gt;0),INDEX('Market Data'!$M$5:$M$528,$T47),"date unavailable"),IF($I47="Snapshot",IF(AND(ISNUMBER(INDEX('Market Data'!$H$5:$H$528,$T47)),N(INDEX('Market Data'!$H$5:$H$528,$T47))&gt;0),INDEX('Market Data'!$H$5:$H$528,$T47),"date unavailable"),"date unavailable")))</f>
        <v/>
      </c>
      <c r="H47" s="9">
        <f>IF($T47=0,"",IF($I47="Bloomberg",IF(INDEX('Market Data'!$N$5:$N$528,$T47)="","time unavailable",INDEX('Market Data'!$N$5:$N$528,$T47)),""))</f>
        <v/>
      </c>
      <c r="I47" s="9">
        <f>IF($T47=0,"",INDEX('Market Data'!$P$5:$P$528,$T47))</f>
        <v/>
      </c>
      <c r="J47" s="13">
        <f>IF($T47=0,"",IF(INDEX('Market Data'!$E$5:$E$528,$T47)="","",INDEX('Market Data'!$E$5:$E$528,$T47)))</f>
        <v/>
      </c>
      <c r="K47" s="8">
        <f>IF($T47=0,"",IF(INDEX('Market Data'!$I$5:$I$528,$T47)="","",INDEX('Market Data'!$I$5:$I$528,$T47)))</f>
        <v/>
      </c>
      <c r="L47" s="10">
        <f>IF($T47=0,"",IF(INDEX('Market Data'!$J$5:$J$528,$T47)=0,"n/a",IF(AND($M$5&lt;&gt;"Snapshot",ISNUMBER(INDEX('Market Data'!$AH$5:$AH$66,INDEX('Market Data'!$J$5:$J$528,$T47)-4)),N(INDEX('Market Data'!$AH$5:$AH$66,INDEX('Market Data'!$J$5:$J$528,$T47)-4))&gt;0),INDEX('Market Data'!$AH$5:$AH$66,INDEX('Market Data'!$J$5:$J$528,$T47)-4),IF(AND($M$5&lt;&gt;"Bloomberg",ISNUMBER(INDEX('Market Data'!$AC$5:$AC$66,INDEX('Market Data'!$J$5:$J$528,$T47)-4)),N(INDEX('Market Data'!$AC$5:$AC$66,INDEX('Market Data'!$J$5:$J$528,$T47)-4))&gt;0),INDEX('Market Data'!$AC$5:$AC$66,INDEX('Market Data'!$J$5:$J$528,$T47)-4),"unavailable"))))</f>
        <v/>
      </c>
      <c r="M47" s="11">
        <f>IF($T47=0,"",IF(INDEX('Market Data'!$J$5:$J$528,$T47)=0,"n/a",IF(IF(INDEX('Market Data'!$J$5:$J$528,$T47)=0,0,IF(LEFT(INDEX('Market Data'!$AS$5:$AS$66,INDEX('Market Data'!$J$5:$J$528,$T47)-4),11)="First-month",1,0))=1,"class review",IF($I47="Bloomberg",IF(AND(ISNUMBER(INDEX('Market Data'!$AH$5:$AH$66,INDEX('Market Data'!$J$5:$J$528,$T47)-4)),N(INDEX('Market Data'!$AH$5:$AH$66,INDEX('Market Data'!$J$5:$J$528,$T47)-4))&gt;0,ISNUMBER('Market Data'!$B$1),N('Market Data'!$B$1)&gt;0),INDEX('Market Data'!$AH$5:$AH$66,INDEX('Market Data'!$J$5:$J$528,$T47)-4)*'Market Data'!$B$1/$E47-1,"pending A/FX"),IF(AND($I47="Snapshot",$Q47="Snapshot",ISNUMBER($E47),$G47=INDEX('Market Data'!$AE$5:$AE$66,INDEX('Market Data'!$J$5:$J$528,$T47)-4)),IFERROR(INDEX('Market Data'!$AC$5:$AC$66,INDEX('Market Data'!$J$5:$J$528,$T47)-4)*INDEX('Market Data'!$AD$5:$AD$66,INDEX('Market Data'!$J$5:$J$528,$T47)-4)/$E47-1,"unavailable"),IF($I47="Unavailable","unavailable","date mismatch"))))))</f>
        <v/>
      </c>
      <c r="N47" s="11">
        <f>IF($T47=0,"",IFERROR(IF(AND(N(INDEX('Market Data'!$F$5:$F$528,$T47))&gt;0,ISNUMBER(INDEX('Market Data'!$T$5:$T$528,$T47))),$E47*INDEX('Market Data'!$T$5:$T$528,$T47)/INDEX('Market Data'!$F$5:$F$528,$T47)-1,"unavailable"),"unavailable"))</f>
        <v/>
      </c>
      <c r="O47" s="9">
        <f>IF($T47=0,"",IF(IF(INDEX('Market Data'!$J$5:$J$528,$T47)=0,0,IF(LEFT(INDEX('Market Data'!$AS$5:$AS$66,INDEX('Market Data'!$J$5:$J$528,$T47)-4),11)="First-month",1,0))=1,"Class ratio review",IF($I47="Bloomberg",IF(ISNUMBER($G47),IF($G47&lt;TODAY(),"Older quote","See quote time"),"Date unavailable"),IF($I47="Snapshot",IF($G47&lt;DATEVALUE("2026-10-02"),"Older snapshot","Dated close"),"No valid quote"))))</f>
        <v/>
      </c>
      <c r="P47" s="14">
        <f>IF($T47=0,"",IF(INDEX('Market Data'!$J$5:$J$528,$T47)=0,"n/a",IF($Q47="Bloomberg",IF(AND(ISNUMBER(INDEX('Market Data'!$AK$5:$AK$66,INDEX('Market Data'!$J$5:$J$528,$T47)-4)),N(INDEX('Market Data'!$AK$5:$AK$66,INDEX('Market Data'!$J$5:$J$528,$T47)-4))&gt;0),INDEX('Market Data'!$AK$5:$AK$66,INDEX('Market Data'!$J$5:$J$528,$T47)-4),"date unavailable"),IF($Q47="Snapshot",IF(AND(ISNUMBER(INDEX('Market Data'!$AF$5:$AF$66,INDEX('Market Data'!$J$5:$J$528,$T47)-4)),N(INDEX('Market Data'!$AF$5:$AF$66,INDEX('Market Data'!$J$5:$J$528,$T47)-4))&gt;0),INDEX('Market Data'!$AF$5:$AF$66,INDEX('Market Data'!$J$5:$J$528,$T47)-4),"date unavailable"),"date unavailable"))))</f>
        <v/>
      </c>
      <c r="Q47" s="15">
        <f>IF($T47=0,"",IF(INDEX('Market Data'!$J$5:$J$528,$T47)=0,"n/a",IF(AND($M$5&lt;&gt;"Snapshot",ISNUMBER(INDEX('Market Data'!$AH$5:$AH$66,INDEX('Market Data'!$J$5:$J$528,$T47)-4)),N(INDEX('Market Data'!$AH$5:$AH$66,INDEX('Market Data'!$J$5:$J$528,$T47)-4))&gt;0),"Bloomberg",IF(AND($M$5&lt;&gt;"Bloomberg",ISNUMBER(INDEX('Market Data'!$AC$5:$AC$66,INDEX('Market Data'!$J$5:$J$528,$T47)-4)),N(INDEX('Market Data'!$AC$5:$AC$66,INDEX('Market Data'!$J$5:$J$528,$T47)-4))&gt;0),"Snapshot","Unavailable"))))</f>
        <v/>
      </c>
      <c r="T47">
        <f>IFERROR(MATCH(39,'Market Data'!$S$5:$S$528,0),0)</f>
        <v/>
      </c>
    </row>
    <row r="48" ht="34" customHeight="1">
      <c r="A48" s="8">
        <f>IF($T48=0,"",IF(INDEX('Market Data'!$A$5:$A$528,$T48)="","",INDEX('Market Data'!$A$5:$A$528,$T48)))</f>
        <v/>
      </c>
      <c r="B48" s="9">
        <f>IF($T48=0,"",IF(INDEX('Market Data'!$B$5:$B$528,$T48)="","",INDEX('Market Data'!$B$5:$B$528,$T48)))</f>
        <v/>
      </c>
      <c r="C48" s="9">
        <f>IF($T48=0,"",IF(INDEX('Market Data'!$C$5:$C$528,$T48)="","",INDEX('Market Data'!$C$5:$C$528,$T48)))</f>
        <v/>
      </c>
      <c r="D48" s="9">
        <f>IF($T48=0,"",IF(INDEX('Market Data'!$D$5:$D$528,$T48)="","",INDEX('Market Data'!$D$5:$D$528,$T48)))</f>
        <v/>
      </c>
      <c r="E48" s="10">
        <f>IF($T48=0,"",INDEX('Market Data'!$O$5:$O$528,$T48))</f>
        <v/>
      </c>
      <c r="F48" s="11">
        <f>IF($T48=0,"",IF(AND($I48="Bloomberg",ISNUMBER(INDEX('Market Data'!$L$5:$L$528,$T48))),INDEX('Market Data'!$L$5:$L$528,$T48),"unavailable"))</f>
        <v/>
      </c>
      <c r="G48" s="12">
        <f>IF($T48=0,"",IF($I48="Bloomberg",IF(AND(ISNUMBER(INDEX('Market Data'!$M$5:$M$528,$T48)),N(INDEX('Market Data'!$M$5:$M$528,$T48))&gt;0),INDEX('Market Data'!$M$5:$M$528,$T48),"date unavailable"),IF($I48="Snapshot",IF(AND(ISNUMBER(INDEX('Market Data'!$H$5:$H$528,$T48)),N(INDEX('Market Data'!$H$5:$H$528,$T48))&gt;0),INDEX('Market Data'!$H$5:$H$528,$T48),"date unavailable"),"date unavailable")))</f>
        <v/>
      </c>
      <c r="H48" s="9">
        <f>IF($T48=0,"",IF($I48="Bloomberg",IF(INDEX('Market Data'!$N$5:$N$528,$T48)="","time unavailable",INDEX('Market Data'!$N$5:$N$528,$T48)),""))</f>
        <v/>
      </c>
      <c r="I48" s="9">
        <f>IF($T48=0,"",INDEX('Market Data'!$P$5:$P$528,$T48))</f>
        <v/>
      </c>
      <c r="J48" s="13">
        <f>IF($T48=0,"",IF(INDEX('Market Data'!$E$5:$E$528,$T48)="","",INDEX('Market Data'!$E$5:$E$528,$T48)))</f>
        <v/>
      </c>
      <c r="K48" s="8">
        <f>IF($T48=0,"",IF(INDEX('Market Data'!$I$5:$I$528,$T48)="","",INDEX('Market Data'!$I$5:$I$528,$T48)))</f>
        <v/>
      </c>
      <c r="L48" s="10">
        <f>IF($T48=0,"",IF(INDEX('Market Data'!$J$5:$J$528,$T48)=0,"n/a",IF(AND($M$5&lt;&gt;"Snapshot",ISNUMBER(INDEX('Market Data'!$AH$5:$AH$66,INDEX('Market Data'!$J$5:$J$528,$T48)-4)),N(INDEX('Market Data'!$AH$5:$AH$66,INDEX('Market Data'!$J$5:$J$528,$T48)-4))&gt;0),INDEX('Market Data'!$AH$5:$AH$66,INDEX('Market Data'!$J$5:$J$528,$T48)-4),IF(AND($M$5&lt;&gt;"Bloomberg",ISNUMBER(INDEX('Market Data'!$AC$5:$AC$66,INDEX('Market Data'!$J$5:$J$528,$T48)-4)),N(INDEX('Market Data'!$AC$5:$AC$66,INDEX('Market Data'!$J$5:$J$528,$T48)-4))&gt;0),INDEX('Market Data'!$AC$5:$AC$66,INDEX('Market Data'!$J$5:$J$528,$T48)-4),"unavailable"))))</f>
        <v/>
      </c>
      <c r="M48" s="11">
        <f>IF($T48=0,"",IF(INDEX('Market Data'!$J$5:$J$528,$T48)=0,"n/a",IF(IF(INDEX('Market Data'!$J$5:$J$528,$T48)=0,0,IF(LEFT(INDEX('Market Data'!$AS$5:$AS$66,INDEX('Market Data'!$J$5:$J$528,$T48)-4),11)="First-month",1,0))=1,"class review",IF($I48="Bloomberg",IF(AND(ISNUMBER(INDEX('Market Data'!$AH$5:$AH$66,INDEX('Market Data'!$J$5:$J$528,$T48)-4)),N(INDEX('Market Data'!$AH$5:$AH$66,INDEX('Market Data'!$J$5:$J$528,$T48)-4))&gt;0,ISNUMBER('Market Data'!$B$1),N('Market Data'!$B$1)&gt;0),INDEX('Market Data'!$AH$5:$AH$66,INDEX('Market Data'!$J$5:$J$528,$T48)-4)*'Market Data'!$B$1/$E48-1,"pending A/FX"),IF(AND($I48="Snapshot",$Q48="Snapshot",ISNUMBER($E48),$G48=INDEX('Market Data'!$AE$5:$AE$66,INDEX('Market Data'!$J$5:$J$528,$T48)-4)),IFERROR(INDEX('Market Data'!$AC$5:$AC$66,INDEX('Market Data'!$J$5:$J$528,$T48)-4)*INDEX('Market Data'!$AD$5:$AD$66,INDEX('Market Data'!$J$5:$J$528,$T48)-4)/$E48-1,"unavailable"),IF($I48="Unavailable","unavailable","date mismatch"))))))</f>
        <v/>
      </c>
      <c r="N48" s="11">
        <f>IF($T48=0,"",IFERROR(IF(AND(N(INDEX('Market Data'!$F$5:$F$528,$T48))&gt;0,ISNUMBER(INDEX('Market Data'!$T$5:$T$528,$T48))),$E48*INDEX('Market Data'!$T$5:$T$528,$T48)/INDEX('Market Data'!$F$5:$F$528,$T48)-1,"unavailable"),"unavailable"))</f>
        <v/>
      </c>
      <c r="O48" s="9">
        <f>IF($T48=0,"",IF(IF(INDEX('Market Data'!$J$5:$J$528,$T48)=0,0,IF(LEFT(INDEX('Market Data'!$AS$5:$AS$66,INDEX('Market Data'!$J$5:$J$528,$T48)-4),11)="First-month",1,0))=1,"Class ratio review",IF($I48="Bloomberg",IF(ISNUMBER($G48),IF($G48&lt;TODAY(),"Older quote","See quote time"),"Date unavailable"),IF($I48="Snapshot",IF($G48&lt;DATEVALUE("2026-10-02"),"Older snapshot","Dated close"),"No valid quote"))))</f>
        <v/>
      </c>
      <c r="P48" s="14">
        <f>IF($T48=0,"",IF(INDEX('Market Data'!$J$5:$J$528,$T48)=0,"n/a",IF($Q48="Bloomberg",IF(AND(ISNUMBER(INDEX('Market Data'!$AK$5:$AK$66,INDEX('Market Data'!$J$5:$J$528,$T48)-4)),N(INDEX('Market Data'!$AK$5:$AK$66,INDEX('Market Data'!$J$5:$J$528,$T48)-4))&gt;0),INDEX('Market Data'!$AK$5:$AK$66,INDEX('Market Data'!$J$5:$J$528,$T48)-4),"date unavailable"),IF($Q48="Snapshot",IF(AND(ISNUMBER(INDEX('Market Data'!$AF$5:$AF$66,INDEX('Market Data'!$J$5:$J$528,$T48)-4)),N(INDEX('Market Data'!$AF$5:$AF$66,INDEX('Market Data'!$J$5:$J$528,$T48)-4))&gt;0),INDEX('Market Data'!$AF$5:$AF$66,INDEX('Market Data'!$J$5:$J$528,$T48)-4),"date unavailable"),"date unavailable"))))</f>
        <v/>
      </c>
      <c r="Q48" s="15">
        <f>IF($T48=0,"",IF(INDEX('Market Data'!$J$5:$J$528,$T48)=0,"n/a",IF(AND($M$5&lt;&gt;"Snapshot",ISNUMBER(INDEX('Market Data'!$AH$5:$AH$66,INDEX('Market Data'!$J$5:$J$528,$T48)-4)),N(INDEX('Market Data'!$AH$5:$AH$66,INDEX('Market Data'!$J$5:$J$528,$T48)-4))&gt;0),"Bloomberg",IF(AND($M$5&lt;&gt;"Bloomberg",ISNUMBER(INDEX('Market Data'!$AC$5:$AC$66,INDEX('Market Data'!$J$5:$J$528,$T48)-4)),N(INDEX('Market Data'!$AC$5:$AC$66,INDEX('Market Data'!$J$5:$J$528,$T48)-4))&gt;0),"Snapshot","Unavailable"))))</f>
        <v/>
      </c>
      <c r="T48">
        <f>IFERROR(MATCH(40,'Market Data'!$S$5:$S$528,0),0)</f>
        <v/>
      </c>
    </row>
    <row r="49" ht="34" customHeight="1">
      <c r="A49" s="8">
        <f>IF($T49=0,"",IF(INDEX('Market Data'!$A$5:$A$528,$T49)="","",INDEX('Market Data'!$A$5:$A$528,$T49)))</f>
        <v/>
      </c>
      <c r="B49" s="9">
        <f>IF($T49=0,"",IF(INDEX('Market Data'!$B$5:$B$528,$T49)="","",INDEX('Market Data'!$B$5:$B$528,$T49)))</f>
        <v/>
      </c>
      <c r="C49" s="9">
        <f>IF($T49=0,"",IF(INDEX('Market Data'!$C$5:$C$528,$T49)="","",INDEX('Market Data'!$C$5:$C$528,$T49)))</f>
        <v/>
      </c>
      <c r="D49" s="9">
        <f>IF($T49=0,"",IF(INDEX('Market Data'!$D$5:$D$528,$T49)="","",INDEX('Market Data'!$D$5:$D$528,$T49)))</f>
        <v/>
      </c>
      <c r="E49" s="10">
        <f>IF($T49=0,"",INDEX('Market Data'!$O$5:$O$528,$T49))</f>
        <v/>
      </c>
      <c r="F49" s="11">
        <f>IF($T49=0,"",IF(AND($I49="Bloomberg",ISNUMBER(INDEX('Market Data'!$L$5:$L$528,$T49))),INDEX('Market Data'!$L$5:$L$528,$T49),"unavailable"))</f>
        <v/>
      </c>
      <c r="G49" s="12">
        <f>IF($T49=0,"",IF($I49="Bloomberg",IF(AND(ISNUMBER(INDEX('Market Data'!$M$5:$M$528,$T49)),N(INDEX('Market Data'!$M$5:$M$528,$T49))&gt;0),INDEX('Market Data'!$M$5:$M$528,$T49),"date unavailable"),IF($I49="Snapshot",IF(AND(ISNUMBER(INDEX('Market Data'!$H$5:$H$528,$T49)),N(INDEX('Market Data'!$H$5:$H$528,$T49))&gt;0),INDEX('Market Data'!$H$5:$H$528,$T49),"date unavailable"),"date unavailable")))</f>
        <v/>
      </c>
      <c r="H49" s="9">
        <f>IF($T49=0,"",IF($I49="Bloomberg",IF(INDEX('Market Data'!$N$5:$N$528,$T49)="","time unavailable",INDEX('Market Data'!$N$5:$N$528,$T49)),""))</f>
        <v/>
      </c>
      <c r="I49" s="9">
        <f>IF($T49=0,"",INDEX('Market Data'!$P$5:$P$528,$T49))</f>
        <v/>
      </c>
      <c r="J49" s="13">
        <f>IF($T49=0,"",IF(INDEX('Market Data'!$E$5:$E$528,$T49)="","",INDEX('Market Data'!$E$5:$E$528,$T49)))</f>
        <v/>
      </c>
      <c r="K49" s="8">
        <f>IF($T49=0,"",IF(INDEX('Market Data'!$I$5:$I$528,$T49)="","",INDEX('Market Data'!$I$5:$I$528,$T49)))</f>
        <v/>
      </c>
      <c r="L49" s="10">
        <f>IF($T49=0,"",IF(INDEX('Market Data'!$J$5:$J$528,$T49)=0,"n/a",IF(AND($M$5&lt;&gt;"Snapshot",ISNUMBER(INDEX('Market Data'!$AH$5:$AH$66,INDEX('Market Data'!$J$5:$J$528,$T49)-4)),N(INDEX('Market Data'!$AH$5:$AH$66,INDEX('Market Data'!$J$5:$J$528,$T49)-4))&gt;0),INDEX('Market Data'!$AH$5:$AH$66,INDEX('Market Data'!$J$5:$J$528,$T49)-4),IF(AND($M$5&lt;&gt;"Bloomberg",ISNUMBER(INDEX('Market Data'!$AC$5:$AC$66,INDEX('Market Data'!$J$5:$J$528,$T49)-4)),N(INDEX('Market Data'!$AC$5:$AC$66,INDEX('Market Data'!$J$5:$J$528,$T49)-4))&gt;0),INDEX('Market Data'!$AC$5:$AC$66,INDEX('Market Data'!$J$5:$J$528,$T49)-4),"unavailable"))))</f>
        <v/>
      </c>
      <c r="M49" s="11">
        <f>IF($T49=0,"",IF(INDEX('Market Data'!$J$5:$J$528,$T49)=0,"n/a",IF(IF(INDEX('Market Data'!$J$5:$J$528,$T49)=0,0,IF(LEFT(INDEX('Market Data'!$AS$5:$AS$66,INDEX('Market Data'!$J$5:$J$528,$T49)-4),11)="First-month",1,0))=1,"class review",IF($I49="Bloomberg",IF(AND(ISNUMBER(INDEX('Market Data'!$AH$5:$AH$66,INDEX('Market Data'!$J$5:$J$528,$T49)-4)),N(INDEX('Market Data'!$AH$5:$AH$66,INDEX('Market Data'!$J$5:$J$528,$T49)-4))&gt;0,ISNUMBER('Market Data'!$B$1),N('Market Data'!$B$1)&gt;0),INDEX('Market Data'!$AH$5:$AH$66,INDEX('Market Data'!$J$5:$J$528,$T49)-4)*'Market Data'!$B$1/$E49-1,"pending A/FX"),IF(AND($I49="Snapshot",$Q49="Snapshot",ISNUMBER($E49),$G49=INDEX('Market Data'!$AE$5:$AE$66,INDEX('Market Data'!$J$5:$J$528,$T49)-4)),IFERROR(INDEX('Market Data'!$AC$5:$AC$66,INDEX('Market Data'!$J$5:$J$528,$T49)-4)*INDEX('Market Data'!$AD$5:$AD$66,INDEX('Market Data'!$J$5:$J$528,$T49)-4)/$E49-1,"unavailable"),IF($I49="Unavailable","unavailable","date mismatch"))))))</f>
        <v/>
      </c>
      <c r="N49" s="11">
        <f>IF($T49=0,"",IFERROR(IF(AND(N(INDEX('Market Data'!$F$5:$F$528,$T49))&gt;0,ISNUMBER(INDEX('Market Data'!$T$5:$T$528,$T49))),$E49*INDEX('Market Data'!$T$5:$T$528,$T49)/INDEX('Market Data'!$F$5:$F$528,$T49)-1,"unavailable"),"unavailable"))</f>
        <v/>
      </c>
      <c r="O49" s="9">
        <f>IF($T49=0,"",IF(IF(INDEX('Market Data'!$J$5:$J$528,$T49)=0,0,IF(LEFT(INDEX('Market Data'!$AS$5:$AS$66,INDEX('Market Data'!$J$5:$J$528,$T49)-4),11)="First-month",1,0))=1,"Class ratio review",IF($I49="Bloomberg",IF(ISNUMBER($G49),IF($G49&lt;TODAY(),"Older quote","See quote time"),"Date unavailable"),IF($I49="Snapshot",IF($G49&lt;DATEVALUE("2026-10-02"),"Older snapshot","Dated close"),"No valid quote"))))</f>
        <v/>
      </c>
      <c r="P49" s="14">
        <f>IF($T49=0,"",IF(INDEX('Market Data'!$J$5:$J$528,$T49)=0,"n/a",IF($Q49="Bloomberg",IF(AND(ISNUMBER(INDEX('Market Data'!$AK$5:$AK$66,INDEX('Market Data'!$J$5:$J$528,$T49)-4)),N(INDEX('Market Data'!$AK$5:$AK$66,INDEX('Market Data'!$J$5:$J$528,$T49)-4))&gt;0),INDEX('Market Data'!$AK$5:$AK$66,INDEX('Market Data'!$J$5:$J$528,$T49)-4),"date unavailable"),IF($Q49="Snapshot",IF(AND(ISNUMBER(INDEX('Market Data'!$AF$5:$AF$66,INDEX('Market Data'!$J$5:$J$528,$T49)-4)),N(INDEX('Market Data'!$AF$5:$AF$66,INDEX('Market Data'!$J$5:$J$528,$T49)-4))&gt;0),INDEX('Market Data'!$AF$5:$AF$66,INDEX('Market Data'!$J$5:$J$528,$T49)-4),"date unavailable"),"date unavailable"))))</f>
        <v/>
      </c>
      <c r="Q49" s="15">
        <f>IF($T49=0,"",IF(INDEX('Market Data'!$J$5:$J$528,$T49)=0,"n/a",IF(AND($M$5&lt;&gt;"Snapshot",ISNUMBER(INDEX('Market Data'!$AH$5:$AH$66,INDEX('Market Data'!$J$5:$J$528,$T49)-4)),N(INDEX('Market Data'!$AH$5:$AH$66,INDEX('Market Data'!$J$5:$J$528,$T49)-4))&gt;0),"Bloomberg",IF(AND($M$5&lt;&gt;"Bloomberg",ISNUMBER(INDEX('Market Data'!$AC$5:$AC$66,INDEX('Market Data'!$J$5:$J$528,$T49)-4)),N(INDEX('Market Data'!$AC$5:$AC$66,INDEX('Market Data'!$J$5:$J$528,$T49)-4))&gt;0),"Snapshot","Unavailable"))))</f>
        <v/>
      </c>
      <c r="T49">
        <f>IFERROR(MATCH(41,'Market Data'!$S$5:$S$528,0),0)</f>
        <v/>
      </c>
    </row>
    <row r="50" ht="34" customHeight="1">
      <c r="A50" s="8">
        <f>IF($T50=0,"",IF(INDEX('Market Data'!$A$5:$A$528,$T50)="","",INDEX('Market Data'!$A$5:$A$528,$T50)))</f>
        <v/>
      </c>
      <c r="B50" s="9">
        <f>IF($T50=0,"",IF(INDEX('Market Data'!$B$5:$B$528,$T50)="","",INDEX('Market Data'!$B$5:$B$528,$T50)))</f>
        <v/>
      </c>
      <c r="C50" s="9">
        <f>IF($T50=0,"",IF(INDEX('Market Data'!$C$5:$C$528,$T50)="","",INDEX('Market Data'!$C$5:$C$528,$T50)))</f>
        <v/>
      </c>
      <c r="D50" s="9">
        <f>IF($T50=0,"",IF(INDEX('Market Data'!$D$5:$D$528,$T50)="","",INDEX('Market Data'!$D$5:$D$528,$T50)))</f>
        <v/>
      </c>
      <c r="E50" s="10">
        <f>IF($T50=0,"",INDEX('Market Data'!$O$5:$O$528,$T50))</f>
        <v/>
      </c>
      <c r="F50" s="11">
        <f>IF($T50=0,"",IF(AND($I50="Bloomberg",ISNUMBER(INDEX('Market Data'!$L$5:$L$528,$T50))),INDEX('Market Data'!$L$5:$L$528,$T50),"unavailable"))</f>
        <v/>
      </c>
      <c r="G50" s="12">
        <f>IF($T50=0,"",IF($I50="Bloomberg",IF(AND(ISNUMBER(INDEX('Market Data'!$M$5:$M$528,$T50)),N(INDEX('Market Data'!$M$5:$M$528,$T50))&gt;0),INDEX('Market Data'!$M$5:$M$528,$T50),"date unavailable"),IF($I50="Snapshot",IF(AND(ISNUMBER(INDEX('Market Data'!$H$5:$H$528,$T50)),N(INDEX('Market Data'!$H$5:$H$528,$T50))&gt;0),INDEX('Market Data'!$H$5:$H$528,$T50),"date unavailable"),"date unavailable")))</f>
        <v/>
      </c>
      <c r="H50" s="9">
        <f>IF($T50=0,"",IF($I50="Bloomberg",IF(INDEX('Market Data'!$N$5:$N$528,$T50)="","time unavailable",INDEX('Market Data'!$N$5:$N$528,$T50)),""))</f>
        <v/>
      </c>
      <c r="I50" s="9">
        <f>IF($T50=0,"",INDEX('Market Data'!$P$5:$P$528,$T50))</f>
        <v/>
      </c>
      <c r="J50" s="13">
        <f>IF($T50=0,"",IF(INDEX('Market Data'!$E$5:$E$528,$T50)="","",INDEX('Market Data'!$E$5:$E$528,$T50)))</f>
        <v/>
      </c>
      <c r="K50" s="8">
        <f>IF($T50=0,"",IF(INDEX('Market Data'!$I$5:$I$528,$T50)="","",INDEX('Market Data'!$I$5:$I$528,$T50)))</f>
        <v/>
      </c>
      <c r="L50" s="10">
        <f>IF($T50=0,"",IF(INDEX('Market Data'!$J$5:$J$528,$T50)=0,"n/a",IF(AND($M$5&lt;&gt;"Snapshot",ISNUMBER(INDEX('Market Data'!$AH$5:$AH$66,INDEX('Market Data'!$J$5:$J$528,$T50)-4)),N(INDEX('Market Data'!$AH$5:$AH$66,INDEX('Market Data'!$J$5:$J$528,$T50)-4))&gt;0),INDEX('Market Data'!$AH$5:$AH$66,INDEX('Market Data'!$J$5:$J$528,$T50)-4),IF(AND($M$5&lt;&gt;"Bloomberg",ISNUMBER(INDEX('Market Data'!$AC$5:$AC$66,INDEX('Market Data'!$J$5:$J$528,$T50)-4)),N(INDEX('Market Data'!$AC$5:$AC$66,INDEX('Market Data'!$J$5:$J$528,$T50)-4))&gt;0),INDEX('Market Data'!$AC$5:$AC$66,INDEX('Market Data'!$J$5:$J$528,$T50)-4),"unavailable"))))</f>
        <v/>
      </c>
      <c r="M50" s="11">
        <f>IF($T50=0,"",IF(INDEX('Market Data'!$J$5:$J$528,$T50)=0,"n/a",IF(IF(INDEX('Market Data'!$J$5:$J$528,$T50)=0,0,IF(LEFT(INDEX('Market Data'!$AS$5:$AS$66,INDEX('Market Data'!$J$5:$J$528,$T50)-4),11)="First-month",1,0))=1,"class review",IF($I50="Bloomberg",IF(AND(ISNUMBER(INDEX('Market Data'!$AH$5:$AH$66,INDEX('Market Data'!$J$5:$J$528,$T50)-4)),N(INDEX('Market Data'!$AH$5:$AH$66,INDEX('Market Data'!$J$5:$J$528,$T50)-4))&gt;0,ISNUMBER('Market Data'!$B$1),N('Market Data'!$B$1)&gt;0),INDEX('Market Data'!$AH$5:$AH$66,INDEX('Market Data'!$J$5:$J$528,$T50)-4)*'Market Data'!$B$1/$E50-1,"pending A/FX"),IF(AND($I50="Snapshot",$Q50="Snapshot",ISNUMBER($E50),$G50=INDEX('Market Data'!$AE$5:$AE$66,INDEX('Market Data'!$J$5:$J$528,$T50)-4)),IFERROR(INDEX('Market Data'!$AC$5:$AC$66,INDEX('Market Data'!$J$5:$J$528,$T50)-4)*INDEX('Market Data'!$AD$5:$AD$66,INDEX('Market Data'!$J$5:$J$528,$T50)-4)/$E50-1,"unavailable"),IF($I50="Unavailable","unavailable","date mismatch"))))))</f>
        <v/>
      </c>
      <c r="N50" s="11">
        <f>IF($T50=0,"",IFERROR(IF(AND(N(INDEX('Market Data'!$F$5:$F$528,$T50))&gt;0,ISNUMBER(INDEX('Market Data'!$T$5:$T$528,$T50))),$E50*INDEX('Market Data'!$T$5:$T$528,$T50)/INDEX('Market Data'!$F$5:$F$528,$T50)-1,"unavailable"),"unavailable"))</f>
        <v/>
      </c>
      <c r="O50" s="9">
        <f>IF($T50=0,"",IF(IF(INDEX('Market Data'!$J$5:$J$528,$T50)=0,0,IF(LEFT(INDEX('Market Data'!$AS$5:$AS$66,INDEX('Market Data'!$J$5:$J$528,$T50)-4),11)="First-month",1,0))=1,"Class ratio review",IF($I50="Bloomberg",IF(ISNUMBER($G50),IF($G50&lt;TODAY(),"Older quote","See quote time"),"Date unavailable"),IF($I50="Snapshot",IF($G50&lt;DATEVALUE("2026-10-02"),"Older snapshot","Dated close"),"No valid quote"))))</f>
        <v/>
      </c>
      <c r="P50" s="14">
        <f>IF($T50=0,"",IF(INDEX('Market Data'!$J$5:$J$528,$T50)=0,"n/a",IF($Q50="Bloomberg",IF(AND(ISNUMBER(INDEX('Market Data'!$AK$5:$AK$66,INDEX('Market Data'!$J$5:$J$528,$T50)-4)),N(INDEX('Market Data'!$AK$5:$AK$66,INDEX('Market Data'!$J$5:$J$528,$T50)-4))&gt;0),INDEX('Market Data'!$AK$5:$AK$66,INDEX('Market Data'!$J$5:$J$528,$T50)-4),"date unavailable"),IF($Q50="Snapshot",IF(AND(ISNUMBER(INDEX('Market Data'!$AF$5:$AF$66,INDEX('Market Data'!$J$5:$J$528,$T50)-4)),N(INDEX('Market Data'!$AF$5:$AF$66,INDEX('Market Data'!$J$5:$J$528,$T50)-4))&gt;0),INDEX('Market Data'!$AF$5:$AF$66,INDEX('Market Data'!$J$5:$J$528,$T50)-4),"date unavailable"),"date unavailable"))))</f>
        <v/>
      </c>
      <c r="Q50" s="15">
        <f>IF($T50=0,"",IF(INDEX('Market Data'!$J$5:$J$528,$T50)=0,"n/a",IF(AND($M$5&lt;&gt;"Snapshot",ISNUMBER(INDEX('Market Data'!$AH$5:$AH$66,INDEX('Market Data'!$J$5:$J$528,$T50)-4)),N(INDEX('Market Data'!$AH$5:$AH$66,INDEX('Market Data'!$J$5:$J$528,$T50)-4))&gt;0),"Bloomberg",IF(AND($M$5&lt;&gt;"Bloomberg",ISNUMBER(INDEX('Market Data'!$AC$5:$AC$66,INDEX('Market Data'!$J$5:$J$528,$T50)-4)),N(INDEX('Market Data'!$AC$5:$AC$66,INDEX('Market Data'!$J$5:$J$528,$T50)-4))&gt;0),"Snapshot","Unavailable"))))</f>
        <v/>
      </c>
      <c r="T50">
        <f>IFERROR(MATCH(42,'Market Data'!$S$5:$S$528,0),0)</f>
        <v/>
      </c>
    </row>
    <row r="51" ht="34" customHeight="1">
      <c r="A51" s="8">
        <f>IF($T51=0,"",IF(INDEX('Market Data'!$A$5:$A$528,$T51)="","",INDEX('Market Data'!$A$5:$A$528,$T51)))</f>
        <v/>
      </c>
      <c r="B51" s="9">
        <f>IF($T51=0,"",IF(INDEX('Market Data'!$B$5:$B$528,$T51)="","",INDEX('Market Data'!$B$5:$B$528,$T51)))</f>
        <v/>
      </c>
      <c r="C51" s="9">
        <f>IF($T51=0,"",IF(INDEX('Market Data'!$C$5:$C$528,$T51)="","",INDEX('Market Data'!$C$5:$C$528,$T51)))</f>
        <v/>
      </c>
      <c r="D51" s="9">
        <f>IF($T51=0,"",IF(INDEX('Market Data'!$D$5:$D$528,$T51)="","",INDEX('Market Data'!$D$5:$D$528,$T51)))</f>
        <v/>
      </c>
      <c r="E51" s="10">
        <f>IF($T51=0,"",INDEX('Market Data'!$O$5:$O$528,$T51))</f>
        <v/>
      </c>
      <c r="F51" s="11">
        <f>IF($T51=0,"",IF(AND($I51="Bloomberg",ISNUMBER(INDEX('Market Data'!$L$5:$L$528,$T51))),INDEX('Market Data'!$L$5:$L$528,$T51),"unavailable"))</f>
        <v/>
      </c>
      <c r="G51" s="12">
        <f>IF($T51=0,"",IF($I51="Bloomberg",IF(AND(ISNUMBER(INDEX('Market Data'!$M$5:$M$528,$T51)),N(INDEX('Market Data'!$M$5:$M$528,$T51))&gt;0),INDEX('Market Data'!$M$5:$M$528,$T51),"date unavailable"),IF($I51="Snapshot",IF(AND(ISNUMBER(INDEX('Market Data'!$H$5:$H$528,$T51)),N(INDEX('Market Data'!$H$5:$H$528,$T51))&gt;0),INDEX('Market Data'!$H$5:$H$528,$T51),"date unavailable"),"date unavailable")))</f>
        <v/>
      </c>
      <c r="H51" s="9">
        <f>IF($T51=0,"",IF($I51="Bloomberg",IF(INDEX('Market Data'!$N$5:$N$528,$T51)="","time unavailable",INDEX('Market Data'!$N$5:$N$528,$T51)),""))</f>
        <v/>
      </c>
      <c r="I51" s="9">
        <f>IF($T51=0,"",INDEX('Market Data'!$P$5:$P$528,$T51))</f>
        <v/>
      </c>
      <c r="J51" s="13">
        <f>IF($T51=0,"",IF(INDEX('Market Data'!$E$5:$E$528,$T51)="","",INDEX('Market Data'!$E$5:$E$528,$T51)))</f>
        <v/>
      </c>
      <c r="K51" s="8">
        <f>IF($T51=0,"",IF(INDEX('Market Data'!$I$5:$I$528,$T51)="","",INDEX('Market Data'!$I$5:$I$528,$T51)))</f>
        <v/>
      </c>
      <c r="L51" s="10">
        <f>IF($T51=0,"",IF(INDEX('Market Data'!$J$5:$J$528,$T51)=0,"n/a",IF(AND($M$5&lt;&gt;"Snapshot",ISNUMBER(INDEX('Market Data'!$AH$5:$AH$66,INDEX('Market Data'!$J$5:$J$528,$T51)-4)),N(INDEX('Market Data'!$AH$5:$AH$66,INDEX('Market Data'!$J$5:$J$528,$T51)-4))&gt;0),INDEX('Market Data'!$AH$5:$AH$66,INDEX('Market Data'!$J$5:$J$528,$T51)-4),IF(AND($M$5&lt;&gt;"Bloomberg",ISNUMBER(INDEX('Market Data'!$AC$5:$AC$66,INDEX('Market Data'!$J$5:$J$528,$T51)-4)),N(INDEX('Market Data'!$AC$5:$AC$66,INDEX('Market Data'!$J$5:$J$528,$T51)-4))&gt;0),INDEX('Market Data'!$AC$5:$AC$66,INDEX('Market Data'!$J$5:$J$528,$T51)-4),"unavailable"))))</f>
        <v/>
      </c>
      <c r="M51" s="11">
        <f>IF($T51=0,"",IF(INDEX('Market Data'!$J$5:$J$528,$T51)=0,"n/a",IF(IF(INDEX('Market Data'!$J$5:$J$528,$T51)=0,0,IF(LEFT(INDEX('Market Data'!$AS$5:$AS$66,INDEX('Market Data'!$J$5:$J$528,$T51)-4),11)="First-month",1,0))=1,"class review",IF($I51="Bloomberg",IF(AND(ISNUMBER(INDEX('Market Data'!$AH$5:$AH$66,INDEX('Market Data'!$J$5:$J$528,$T51)-4)),N(INDEX('Market Data'!$AH$5:$AH$66,INDEX('Market Data'!$J$5:$J$528,$T51)-4))&gt;0,ISNUMBER('Market Data'!$B$1),N('Market Data'!$B$1)&gt;0),INDEX('Market Data'!$AH$5:$AH$66,INDEX('Market Data'!$J$5:$J$528,$T51)-4)*'Market Data'!$B$1/$E51-1,"pending A/FX"),IF(AND($I51="Snapshot",$Q51="Snapshot",ISNUMBER($E51),$G51=INDEX('Market Data'!$AE$5:$AE$66,INDEX('Market Data'!$J$5:$J$528,$T51)-4)),IFERROR(INDEX('Market Data'!$AC$5:$AC$66,INDEX('Market Data'!$J$5:$J$528,$T51)-4)*INDEX('Market Data'!$AD$5:$AD$66,INDEX('Market Data'!$J$5:$J$528,$T51)-4)/$E51-1,"unavailable"),IF($I51="Unavailable","unavailable","date mismatch"))))))</f>
        <v/>
      </c>
      <c r="N51" s="11">
        <f>IF($T51=0,"",IFERROR(IF(AND(N(INDEX('Market Data'!$F$5:$F$528,$T51))&gt;0,ISNUMBER(INDEX('Market Data'!$T$5:$T$528,$T51))),$E51*INDEX('Market Data'!$T$5:$T$528,$T51)/INDEX('Market Data'!$F$5:$F$528,$T51)-1,"unavailable"),"unavailable"))</f>
        <v/>
      </c>
      <c r="O51" s="9">
        <f>IF($T51=0,"",IF(IF(INDEX('Market Data'!$J$5:$J$528,$T51)=0,0,IF(LEFT(INDEX('Market Data'!$AS$5:$AS$66,INDEX('Market Data'!$J$5:$J$528,$T51)-4),11)="First-month",1,0))=1,"Class ratio review",IF($I51="Bloomberg",IF(ISNUMBER($G51),IF($G51&lt;TODAY(),"Older quote","See quote time"),"Date unavailable"),IF($I51="Snapshot",IF($G51&lt;DATEVALUE("2026-10-02"),"Older snapshot","Dated close"),"No valid quote"))))</f>
        <v/>
      </c>
      <c r="P51" s="14">
        <f>IF($T51=0,"",IF(INDEX('Market Data'!$J$5:$J$528,$T51)=0,"n/a",IF($Q51="Bloomberg",IF(AND(ISNUMBER(INDEX('Market Data'!$AK$5:$AK$66,INDEX('Market Data'!$J$5:$J$528,$T51)-4)),N(INDEX('Market Data'!$AK$5:$AK$66,INDEX('Market Data'!$J$5:$J$528,$T51)-4))&gt;0),INDEX('Market Data'!$AK$5:$AK$66,INDEX('Market Data'!$J$5:$J$528,$T51)-4),"date unavailable"),IF($Q51="Snapshot",IF(AND(ISNUMBER(INDEX('Market Data'!$AF$5:$AF$66,INDEX('Market Data'!$J$5:$J$528,$T51)-4)),N(INDEX('Market Data'!$AF$5:$AF$66,INDEX('Market Data'!$J$5:$J$528,$T51)-4))&gt;0),INDEX('Market Data'!$AF$5:$AF$66,INDEX('Market Data'!$J$5:$J$528,$T51)-4),"date unavailable"),"date unavailable"))))</f>
        <v/>
      </c>
      <c r="Q51" s="15">
        <f>IF($T51=0,"",IF(INDEX('Market Data'!$J$5:$J$528,$T51)=0,"n/a",IF(AND($M$5&lt;&gt;"Snapshot",ISNUMBER(INDEX('Market Data'!$AH$5:$AH$66,INDEX('Market Data'!$J$5:$J$528,$T51)-4)),N(INDEX('Market Data'!$AH$5:$AH$66,INDEX('Market Data'!$J$5:$J$528,$T51)-4))&gt;0),"Bloomberg",IF(AND($M$5&lt;&gt;"Bloomberg",ISNUMBER(INDEX('Market Data'!$AC$5:$AC$66,INDEX('Market Data'!$J$5:$J$528,$T51)-4)),N(INDEX('Market Data'!$AC$5:$AC$66,INDEX('Market Data'!$J$5:$J$528,$T51)-4))&gt;0),"Snapshot","Unavailable"))))</f>
        <v/>
      </c>
      <c r="T51">
        <f>IFERROR(MATCH(43,'Market Data'!$S$5:$S$528,0),0)</f>
        <v/>
      </c>
    </row>
    <row r="52" ht="34" customHeight="1">
      <c r="A52" s="8">
        <f>IF($T52=0,"",IF(INDEX('Market Data'!$A$5:$A$528,$T52)="","",INDEX('Market Data'!$A$5:$A$528,$T52)))</f>
        <v/>
      </c>
      <c r="B52" s="9">
        <f>IF($T52=0,"",IF(INDEX('Market Data'!$B$5:$B$528,$T52)="","",INDEX('Market Data'!$B$5:$B$528,$T52)))</f>
        <v/>
      </c>
      <c r="C52" s="9">
        <f>IF($T52=0,"",IF(INDEX('Market Data'!$C$5:$C$528,$T52)="","",INDEX('Market Data'!$C$5:$C$528,$T52)))</f>
        <v/>
      </c>
      <c r="D52" s="9">
        <f>IF($T52=0,"",IF(INDEX('Market Data'!$D$5:$D$528,$T52)="","",INDEX('Market Data'!$D$5:$D$528,$T52)))</f>
        <v/>
      </c>
      <c r="E52" s="10">
        <f>IF($T52=0,"",INDEX('Market Data'!$O$5:$O$528,$T52))</f>
        <v/>
      </c>
      <c r="F52" s="11">
        <f>IF($T52=0,"",IF(AND($I52="Bloomberg",ISNUMBER(INDEX('Market Data'!$L$5:$L$528,$T52))),INDEX('Market Data'!$L$5:$L$528,$T52),"unavailable"))</f>
        <v/>
      </c>
      <c r="G52" s="12">
        <f>IF($T52=0,"",IF($I52="Bloomberg",IF(AND(ISNUMBER(INDEX('Market Data'!$M$5:$M$528,$T52)),N(INDEX('Market Data'!$M$5:$M$528,$T52))&gt;0),INDEX('Market Data'!$M$5:$M$528,$T52),"date unavailable"),IF($I52="Snapshot",IF(AND(ISNUMBER(INDEX('Market Data'!$H$5:$H$528,$T52)),N(INDEX('Market Data'!$H$5:$H$528,$T52))&gt;0),INDEX('Market Data'!$H$5:$H$528,$T52),"date unavailable"),"date unavailable")))</f>
        <v/>
      </c>
      <c r="H52" s="9">
        <f>IF($T52=0,"",IF($I52="Bloomberg",IF(INDEX('Market Data'!$N$5:$N$528,$T52)="","time unavailable",INDEX('Market Data'!$N$5:$N$528,$T52)),""))</f>
        <v/>
      </c>
      <c r="I52" s="9">
        <f>IF($T52=0,"",INDEX('Market Data'!$P$5:$P$528,$T52))</f>
        <v/>
      </c>
      <c r="J52" s="13">
        <f>IF($T52=0,"",IF(INDEX('Market Data'!$E$5:$E$528,$T52)="","",INDEX('Market Data'!$E$5:$E$528,$T52)))</f>
        <v/>
      </c>
      <c r="K52" s="8">
        <f>IF($T52=0,"",IF(INDEX('Market Data'!$I$5:$I$528,$T52)="","",INDEX('Market Data'!$I$5:$I$528,$T52)))</f>
        <v/>
      </c>
      <c r="L52" s="10">
        <f>IF($T52=0,"",IF(INDEX('Market Data'!$J$5:$J$528,$T52)=0,"n/a",IF(AND($M$5&lt;&gt;"Snapshot",ISNUMBER(INDEX('Market Data'!$AH$5:$AH$66,INDEX('Market Data'!$J$5:$J$528,$T52)-4)),N(INDEX('Market Data'!$AH$5:$AH$66,INDEX('Market Data'!$J$5:$J$528,$T52)-4))&gt;0),INDEX('Market Data'!$AH$5:$AH$66,INDEX('Market Data'!$J$5:$J$528,$T52)-4),IF(AND($M$5&lt;&gt;"Bloomberg",ISNUMBER(INDEX('Market Data'!$AC$5:$AC$66,INDEX('Market Data'!$J$5:$J$528,$T52)-4)),N(INDEX('Market Data'!$AC$5:$AC$66,INDEX('Market Data'!$J$5:$J$528,$T52)-4))&gt;0),INDEX('Market Data'!$AC$5:$AC$66,INDEX('Market Data'!$J$5:$J$528,$T52)-4),"unavailable"))))</f>
        <v/>
      </c>
      <c r="M52" s="11">
        <f>IF($T52=0,"",IF(INDEX('Market Data'!$J$5:$J$528,$T52)=0,"n/a",IF(IF(INDEX('Market Data'!$J$5:$J$528,$T52)=0,0,IF(LEFT(INDEX('Market Data'!$AS$5:$AS$66,INDEX('Market Data'!$J$5:$J$528,$T52)-4),11)="First-month",1,0))=1,"class review",IF($I52="Bloomberg",IF(AND(ISNUMBER(INDEX('Market Data'!$AH$5:$AH$66,INDEX('Market Data'!$J$5:$J$528,$T52)-4)),N(INDEX('Market Data'!$AH$5:$AH$66,INDEX('Market Data'!$J$5:$J$528,$T52)-4))&gt;0,ISNUMBER('Market Data'!$B$1),N('Market Data'!$B$1)&gt;0),INDEX('Market Data'!$AH$5:$AH$66,INDEX('Market Data'!$J$5:$J$528,$T52)-4)*'Market Data'!$B$1/$E52-1,"pending A/FX"),IF(AND($I52="Snapshot",$Q52="Snapshot",ISNUMBER($E52),$G52=INDEX('Market Data'!$AE$5:$AE$66,INDEX('Market Data'!$J$5:$J$528,$T52)-4)),IFERROR(INDEX('Market Data'!$AC$5:$AC$66,INDEX('Market Data'!$J$5:$J$528,$T52)-4)*INDEX('Market Data'!$AD$5:$AD$66,INDEX('Market Data'!$J$5:$J$528,$T52)-4)/$E52-1,"unavailable"),IF($I52="Unavailable","unavailable","date mismatch"))))))</f>
        <v/>
      </c>
      <c r="N52" s="11">
        <f>IF($T52=0,"",IFERROR(IF(AND(N(INDEX('Market Data'!$F$5:$F$528,$T52))&gt;0,ISNUMBER(INDEX('Market Data'!$T$5:$T$528,$T52))),$E52*INDEX('Market Data'!$T$5:$T$528,$T52)/INDEX('Market Data'!$F$5:$F$528,$T52)-1,"unavailable"),"unavailable"))</f>
        <v/>
      </c>
      <c r="O52" s="9">
        <f>IF($T52=0,"",IF(IF(INDEX('Market Data'!$J$5:$J$528,$T52)=0,0,IF(LEFT(INDEX('Market Data'!$AS$5:$AS$66,INDEX('Market Data'!$J$5:$J$528,$T52)-4),11)="First-month",1,0))=1,"Class ratio review",IF($I52="Bloomberg",IF(ISNUMBER($G52),IF($G52&lt;TODAY(),"Older quote","See quote time"),"Date unavailable"),IF($I52="Snapshot",IF($G52&lt;DATEVALUE("2026-10-02"),"Older snapshot","Dated close"),"No valid quote"))))</f>
        <v/>
      </c>
      <c r="P52" s="14">
        <f>IF($T52=0,"",IF(INDEX('Market Data'!$J$5:$J$528,$T52)=0,"n/a",IF($Q52="Bloomberg",IF(AND(ISNUMBER(INDEX('Market Data'!$AK$5:$AK$66,INDEX('Market Data'!$J$5:$J$528,$T52)-4)),N(INDEX('Market Data'!$AK$5:$AK$66,INDEX('Market Data'!$J$5:$J$528,$T52)-4))&gt;0),INDEX('Market Data'!$AK$5:$AK$66,INDEX('Market Data'!$J$5:$J$528,$T52)-4),"date unavailable"),IF($Q52="Snapshot",IF(AND(ISNUMBER(INDEX('Market Data'!$AF$5:$AF$66,INDEX('Market Data'!$J$5:$J$528,$T52)-4)),N(INDEX('Market Data'!$AF$5:$AF$66,INDEX('Market Data'!$J$5:$J$528,$T52)-4))&gt;0),INDEX('Market Data'!$AF$5:$AF$66,INDEX('Market Data'!$J$5:$J$528,$T52)-4),"date unavailable"),"date unavailable"))))</f>
        <v/>
      </c>
      <c r="Q52" s="15">
        <f>IF($T52=0,"",IF(INDEX('Market Data'!$J$5:$J$528,$T52)=0,"n/a",IF(AND($M$5&lt;&gt;"Snapshot",ISNUMBER(INDEX('Market Data'!$AH$5:$AH$66,INDEX('Market Data'!$J$5:$J$528,$T52)-4)),N(INDEX('Market Data'!$AH$5:$AH$66,INDEX('Market Data'!$J$5:$J$528,$T52)-4))&gt;0),"Bloomberg",IF(AND($M$5&lt;&gt;"Bloomberg",ISNUMBER(INDEX('Market Data'!$AC$5:$AC$66,INDEX('Market Data'!$J$5:$J$528,$T52)-4)),N(INDEX('Market Data'!$AC$5:$AC$66,INDEX('Market Data'!$J$5:$J$528,$T52)-4))&gt;0),"Snapshot","Unavailable"))))</f>
        <v/>
      </c>
      <c r="T52">
        <f>IFERROR(MATCH(44,'Market Data'!$S$5:$S$528,0),0)</f>
        <v/>
      </c>
    </row>
    <row r="53" ht="34" customHeight="1">
      <c r="A53" s="8">
        <f>IF($T53=0,"",IF(INDEX('Market Data'!$A$5:$A$528,$T53)="","",INDEX('Market Data'!$A$5:$A$528,$T53)))</f>
        <v/>
      </c>
      <c r="B53" s="9">
        <f>IF($T53=0,"",IF(INDEX('Market Data'!$B$5:$B$528,$T53)="","",INDEX('Market Data'!$B$5:$B$528,$T53)))</f>
        <v/>
      </c>
      <c r="C53" s="9">
        <f>IF($T53=0,"",IF(INDEX('Market Data'!$C$5:$C$528,$T53)="","",INDEX('Market Data'!$C$5:$C$528,$T53)))</f>
        <v/>
      </c>
      <c r="D53" s="9">
        <f>IF($T53=0,"",IF(INDEX('Market Data'!$D$5:$D$528,$T53)="","",INDEX('Market Data'!$D$5:$D$528,$T53)))</f>
        <v/>
      </c>
      <c r="E53" s="10">
        <f>IF($T53=0,"",INDEX('Market Data'!$O$5:$O$528,$T53))</f>
        <v/>
      </c>
      <c r="F53" s="11">
        <f>IF($T53=0,"",IF(AND($I53="Bloomberg",ISNUMBER(INDEX('Market Data'!$L$5:$L$528,$T53))),INDEX('Market Data'!$L$5:$L$528,$T53),"unavailable"))</f>
        <v/>
      </c>
      <c r="G53" s="12">
        <f>IF($T53=0,"",IF($I53="Bloomberg",IF(AND(ISNUMBER(INDEX('Market Data'!$M$5:$M$528,$T53)),N(INDEX('Market Data'!$M$5:$M$528,$T53))&gt;0),INDEX('Market Data'!$M$5:$M$528,$T53),"date unavailable"),IF($I53="Snapshot",IF(AND(ISNUMBER(INDEX('Market Data'!$H$5:$H$528,$T53)),N(INDEX('Market Data'!$H$5:$H$528,$T53))&gt;0),INDEX('Market Data'!$H$5:$H$528,$T53),"date unavailable"),"date unavailable")))</f>
        <v/>
      </c>
      <c r="H53" s="9">
        <f>IF($T53=0,"",IF($I53="Bloomberg",IF(INDEX('Market Data'!$N$5:$N$528,$T53)="","time unavailable",INDEX('Market Data'!$N$5:$N$528,$T53)),""))</f>
        <v/>
      </c>
      <c r="I53" s="9">
        <f>IF($T53=0,"",INDEX('Market Data'!$P$5:$P$528,$T53))</f>
        <v/>
      </c>
      <c r="J53" s="13">
        <f>IF($T53=0,"",IF(INDEX('Market Data'!$E$5:$E$528,$T53)="","",INDEX('Market Data'!$E$5:$E$528,$T53)))</f>
        <v/>
      </c>
      <c r="K53" s="8">
        <f>IF($T53=0,"",IF(INDEX('Market Data'!$I$5:$I$528,$T53)="","",INDEX('Market Data'!$I$5:$I$528,$T53)))</f>
        <v/>
      </c>
      <c r="L53" s="10">
        <f>IF($T53=0,"",IF(INDEX('Market Data'!$J$5:$J$528,$T53)=0,"n/a",IF(AND($M$5&lt;&gt;"Snapshot",ISNUMBER(INDEX('Market Data'!$AH$5:$AH$66,INDEX('Market Data'!$J$5:$J$528,$T53)-4)),N(INDEX('Market Data'!$AH$5:$AH$66,INDEX('Market Data'!$J$5:$J$528,$T53)-4))&gt;0),INDEX('Market Data'!$AH$5:$AH$66,INDEX('Market Data'!$J$5:$J$528,$T53)-4),IF(AND($M$5&lt;&gt;"Bloomberg",ISNUMBER(INDEX('Market Data'!$AC$5:$AC$66,INDEX('Market Data'!$J$5:$J$528,$T53)-4)),N(INDEX('Market Data'!$AC$5:$AC$66,INDEX('Market Data'!$J$5:$J$528,$T53)-4))&gt;0),INDEX('Market Data'!$AC$5:$AC$66,INDEX('Market Data'!$J$5:$J$528,$T53)-4),"unavailable"))))</f>
        <v/>
      </c>
      <c r="M53" s="11">
        <f>IF($T53=0,"",IF(INDEX('Market Data'!$J$5:$J$528,$T53)=0,"n/a",IF(IF(INDEX('Market Data'!$J$5:$J$528,$T53)=0,0,IF(LEFT(INDEX('Market Data'!$AS$5:$AS$66,INDEX('Market Data'!$J$5:$J$528,$T53)-4),11)="First-month",1,0))=1,"class review",IF($I53="Bloomberg",IF(AND(ISNUMBER(INDEX('Market Data'!$AH$5:$AH$66,INDEX('Market Data'!$J$5:$J$528,$T53)-4)),N(INDEX('Market Data'!$AH$5:$AH$66,INDEX('Market Data'!$J$5:$J$528,$T53)-4))&gt;0,ISNUMBER('Market Data'!$B$1),N('Market Data'!$B$1)&gt;0),INDEX('Market Data'!$AH$5:$AH$66,INDEX('Market Data'!$J$5:$J$528,$T53)-4)*'Market Data'!$B$1/$E53-1,"pending A/FX"),IF(AND($I53="Snapshot",$Q53="Snapshot",ISNUMBER($E53),$G53=INDEX('Market Data'!$AE$5:$AE$66,INDEX('Market Data'!$J$5:$J$528,$T53)-4)),IFERROR(INDEX('Market Data'!$AC$5:$AC$66,INDEX('Market Data'!$J$5:$J$528,$T53)-4)*INDEX('Market Data'!$AD$5:$AD$66,INDEX('Market Data'!$J$5:$J$528,$T53)-4)/$E53-1,"unavailable"),IF($I53="Unavailable","unavailable","date mismatch"))))))</f>
        <v/>
      </c>
      <c r="N53" s="11">
        <f>IF($T53=0,"",IFERROR(IF(AND(N(INDEX('Market Data'!$F$5:$F$528,$T53))&gt;0,ISNUMBER(INDEX('Market Data'!$T$5:$T$528,$T53))),$E53*INDEX('Market Data'!$T$5:$T$528,$T53)/INDEX('Market Data'!$F$5:$F$528,$T53)-1,"unavailable"),"unavailable"))</f>
        <v/>
      </c>
      <c r="O53" s="9">
        <f>IF($T53=0,"",IF(IF(INDEX('Market Data'!$J$5:$J$528,$T53)=0,0,IF(LEFT(INDEX('Market Data'!$AS$5:$AS$66,INDEX('Market Data'!$J$5:$J$528,$T53)-4),11)="First-month",1,0))=1,"Class ratio review",IF($I53="Bloomberg",IF(ISNUMBER($G53),IF($G53&lt;TODAY(),"Older quote","See quote time"),"Date unavailable"),IF($I53="Snapshot",IF($G53&lt;DATEVALUE("2026-10-02"),"Older snapshot","Dated close"),"No valid quote"))))</f>
        <v/>
      </c>
      <c r="P53" s="14">
        <f>IF($T53=0,"",IF(INDEX('Market Data'!$J$5:$J$528,$T53)=0,"n/a",IF($Q53="Bloomberg",IF(AND(ISNUMBER(INDEX('Market Data'!$AK$5:$AK$66,INDEX('Market Data'!$J$5:$J$528,$T53)-4)),N(INDEX('Market Data'!$AK$5:$AK$66,INDEX('Market Data'!$J$5:$J$528,$T53)-4))&gt;0),INDEX('Market Data'!$AK$5:$AK$66,INDEX('Market Data'!$J$5:$J$528,$T53)-4),"date unavailable"),IF($Q53="Snapshot",IF(AND(ISNUMBER(INDEX('Market Data'!$AF$5:$AF$66,INDEX('Market Data'!$J$5:$J$528,$T53)-4)),N(INDEX('Market Data'!$AF$5:$AF$66,INDEX('Market Data'!$J$5:$J$528,$T53)-4))&gt;0),INDEX('Market Data'!$AF$5:$AF$66,INDEX('Market Data'!$J$5:$J$528,$T53)-4),"date unavailable"),"date unavailable"))))</f>
        <v/>
      </c>
      <c r="Q53" s="15">
        <f>IF($T53=0,"",IF(INDEX('Market Data'!$J$5:$J$528,$T53)=0,"n/a",IF(AND($M$5&lt;&gt;"Snapshot",ISNUMBER(INDEX('Market Data'!$AH$5:$AH$66,INDEX('Market Data'!$J$5:$J$528,$T53)-4)),N(INDEX('Market Data'!$AH$5:$AH$66,INDEX('Market Data'!$J$5:$J$528,$T53)-4))&gt;0),"Bloomberg",IF(AND($M$5&lt;&gt;"Bloomberg",ISNUMBER(INDEX('Market Data'!$AC$5:$AC$66,INDEX('Market Data'!$J$5:$J$528,$T53)-4)),N(INDEX('Market Data'!$AC$5:$AC$66,INDEX('Market Data'!$J$5:$J$528,$T53)-4))&gt;0),"Snapshot","Unavailable"))))</f>
        <v/>
      </c>
      <c r="T53">
        <f>IFERROR(MATCH(45,'Market Data'!$S$5:$S$528,0),0)</f>
        <v/>
      </c>
    </row>
    <row r="54" ht="34" customHeight="1">
      <c r="A54" s="8">
        <f>IF($T54=0,"",IF(INDEX('Market Data'!$A$5:$A$528,$T54)="","",INDEX('Market Data'!$A$5:$A$528,$T54)))</f>
        <v/>
      </c>
      <c r="B54" s="9">
        <f>IF($T54=0,"",IF(INDEX('Market Data'!$B$5:$B$528,$T54)="","",INDEX('Market Data'!$B$5:$B$528,$T54)))</f>
        <v/>
      </c>
      <c r="C54" s="9">
        <f>IF($T54=0,"",IF(INDEX('Market Data'!$C$5:$C$528,$T54)="","",INDEX('Market Data'!$C$5:$C$528,$T54)))</f>
        <v/>
      </c>
      <c r="D54" s="9">
        <f>IF($T54=0,"",IF(INDEX('Market Data'!$D$5:$D$528,$T54)="","",INDEX('Market Data'!$D$5:$D$528,$T54)))</f>
        <v/>
      </c>
      <c r="E54" s="10">
        <f>IF($T54=0,"",INDEX('Market Data'!$O$5:$O$528,$T54))</f>
        <v/>
      </c>
      <c r="F54" s="11">
        <f>IF($T54=0,"",IF(AND($I54="Bloomberg",ISNUMBER(INDEX('Market Data'!$L$5:$L$528,$T54))),INDEX('Market Data'!$L$5:$L$528,$T54),"unavailable"))</f>
        <v/>
      </c>
      <c r="G54" s="12">
        <f>IF($T54=0,"",IF($I54="Bloomberg",IF(AND(ISNUMBER(INDEX('Market Data'!$M$5:$M$528,$T54)),N(INDEX('Market Data'!$M$5:$M$528,$T54))&gt;0),INDEX('Market Data'!$M$5:$M$528,$T54),"date unavailable"),IF($I54="Snapshot",IF(AND(ISNUMBER(INDEX('Market Data'!$H$5:$H$528,$T54)),N(INDEX('Market Data'!$H$5:$H$528,$T54))&gt;0),INDEX('Market Data'!$H$5:$H$528,$T54),"date unavailable"),"date unavailable")))</f>
        <v/>
      </c>
      <c r="H54" s="9">
        <f>IF($T54=0,"",IF($I54="Bloomberg",IF(INDEX('Market Data'!$N$5:$N$528,$T54)="","time unavailable",INDEX('Market Data'!$N$5:$N$528,$T54)),""))</f>
        <v/>
      </c>
      <c r="I54" s="9">
        <f>IF($T54=0,"",INDEX('Market Data'!$P$5:$P$528,$T54))</f>
        <v/>
      </c>
      <c r="J54" s="13">
        <f>IF($T54=0,"",IF(INDEX('Market Data'!$E$5:$E$528,$T54)="","",INDEX('Market Data'!$E$5:$E$528,$T54)))</f>
        <v/>
      </c>
      <c r="K54" s="8">
        <f>IF($T54=0,"",IF(INDEX('Market Data'!$I$5:$I$528,$T54)="","",INDEX('Market Data'!$I$5:$I$528,$T54)))</f>
        <v/>
      </c>
      <c r="L54" s="10">
        <f>IF($T54=0,"",IF(INDEX('Market Data'!$J$5:$J$528,$T54)=0,"n/a",IF(AND($M$5&lt;&gt;"Snapshot",ISNUMBER(INDEX('Market Data'!$AH$5:$AH$66,INDEX('Market Data'!$J$5:$J$528,$T54)-4)),N(INDEX('Market Data'!$AH$5:$AH$66,INDEX('Market Data'!$J$5:$J$528,$T54)-4))&gt;0),INDEX('Market Data'!$AH$5:$AH$66,INDEX('Market Data'!$J$5:$J$528,$T54)-4),IF(AND($M$5&lt;&gt;"Bloomberg",ISNUMBER(INDEX('Market Data'!$AC$5:$AC$66,INDEX('Market Data'!$J$5:$J$528,$T54)-4)),N(INDEX('Market Data'!$AC$5:$AC$66,INDEX('Market Data'!$J$5:$J$528,$T54)-4))&gt;0),INDEX('Market Data'!$AC$5:$AC$66,INDEX('Market Data'!$J$5:$J$528,$T54)-4),"unavailable"))))</f>
        <v/>
      </c>
      <c r="M54" s="11">
        <f>IF($T54=0,"",IF(INDEX('Market Data'!$J$5:$J$528,$T54)=0,"n/a",IF(IF(INDEX('Market Data'!$J$5:$J$528,$T54)=0,0,IF(LEFT(INDEX('Market Data'!$AS$5:$AS$66,INDEX('Market Data'!$J$5:$J$528,$T54)-4),11)="First-month",1,0))=1,"class review",IF($I54="Bloomberg",IF(AND(ISNUMBER(INDEX('Market Data'!$AH$5:$AH$66,INDEX('Market Data'!$J$5:$J$528,$T54)-4)),N(INDEX('Market Data'!$AH$5:$AH$66,INDEX('Market Data'!$J$5:$J$528,$T54)-4))&gt;0,ISNUMBER('Market Data'!$B$1),N('Market Data'!$B$1)&gt;0),INDEX('Market Data'!$AH$5:$AH$66,INDEX('Market Data'!$J$5:$J$528,$T54)-4)*'Market Data'!$B$1/$E54-1,"pending A/FX"),IF(AND($I54="Snapshot",$Q54="Snapshot",ISNUMBER($E54),$G54=INDEX('Market Data'!$AE$5:$AE$66,INDEX('Market Data'!$J$5:$J$528,$T54)-4)),IFERROR(INDEX('Market Data'!$AC$5:$AC$66,INDEX('Market Data'!$J$5:$J$528,$T54)-4)*INDEX('Market Data'!$AD$5:$AD$66,INDEX('Market Data'!$J$5:$J$528,$T54)-4)/$E54-1,"unavailable"),IF($I54="Unavailable","unavailable","date mismatch"))))))</f>
        <v/>
      </c>
      <c r="N54" s="11">
        <f>IF($T54=0,"",IFERROR(IF(AND(N(INDEX('Market Data'!$F$5:$F$528,$T54))&gt;0,ISNUMBER(INDEX('Market Data'!$T$5:$T$528,$T54))),$E54*INDEX('Market Data'!$T$5:$T$528,$T54)/INDEX('Market Data'!$F$5:$F$528,$T54)-1,"unavailable"),"unavailable"))</f>
        <v/>
      </c>
      <c r="O54" s="9">
        <f>IF($T54=0,"",IF(IF(INDEX('Market Data'!$J$5:$J$528,$T54)=0,0,IF(LEFT(INDEX('Market Data'!$AS$5:$AS$66,INDEX('Market Data'!$J$5:$J$528,$T54)-4),11)="First-month",1,0))=1,"Class ratio review",IF($I54="Bloomberg",IF(ISNUMBER($G54),IF($G54&lt;TODAY(),"Older quote","See quote time"),"Date unavailable"),IF($I54="Snapshot",IF($G54&lt;DATEVALUE("2026-10-02"),"Older snapshot","Dated close"),"No valid quote"))))</f>
        <v/>
      </c>
      <c r="P54" s="14">
        <f>IF($T54=0,"",IF(INDEX('Market Data'!$J$5:$J$528,$T54)=0,"n/a",IF($Q54="Bloomberg",IF(AND(ISNUMBER(INDEX('Market Data'!$AK$5:$AK$66,INDEX('Market Data'!$J$5:$J$528,$T54)-4)),N(INDEX('Market Data'!$AK$5:$AK$66,INDEX('Market Data'!$J$5:$J$528,$T54)-4))&gt;0),INDEX('Market Data'!$AK$5:$AK$66,INDEX('Market Data'!$J$5:$J$528,$T54)-4),"date unavailable"),IF($Q54="Snapshot",IF(AND(ISNUMBER(INDEX('Market Data'!$AF$5:$AF$66,INDEX('Market Data'!$J$5:$J$528,$T54)-4)),N(INDEX('Market Data'!$AF$5:$AF$66,INDEX('Market Data'!$J$5:$J$528,$T54)-4))&gt;0),INDEX('Market Data'!$AF$5:$AF$66,INDEX('Market Data'!$J$5:$J$528,$T54)-4),"date unavailable"),"date unavailable"))))</f>
        <v/>
      </c>
      <c r="Q54" s="15">
        <f>IF($T54=0,"",IF(INDEX('Market Data'!$J$5:$J$528,$T54)=0,"n/a",IF(AND($M$5&lt;&gt;"Snapshot",ISNUMBER(INDEX('Market Data'!$AH$5:$AH$66,INDEX('Market Data'!$J$5:$J$528,$T54)-4)),N(INDEX('Market Data'!$AH$5:$AH$66,INDEX('Market Data'!$J$5:$J$528,$T54)-4))&gt;0),"Bloomberg",IF(AND($M$5&lt;&gt;"Bloomberg",ISNUMBER(INDEX('Market Data'!$AC$5:$AC$66,INDEX('Market Data'!$J$5:$J$528,$T54)-4)),N(INDEX('Market Data'!$AC$5:$AC$66,INDEX('Market Data'!$J$5:$J$528,$T54)-4))&gt;0),"Snapshot","Unavailable"))))</f>
        <v/>
      </c>
      <c r="T54">
        <f>IFERROR(MATCH(46,'Market Data'!$S$5:$S$528,0),0)</f>
        <v/>
      </c>
    </row>
    <row r="55" ht="34" customHeight="1">
      <c r="A55" s="8">
        <f>IF($T55=0,"",IF(INDEX('Market Data'!$A$5:$A$528,$T55)="","",INDEX('Market Data'!$A$5:$A$528,$T55)))</f>
        <v/>
      </c>
      <c r="B55" s="9">
        <f>IF($T55=0,"",IF(INDEX('Market Data'!$B$5:$B$528,$T55)="","",INDEX('Market Data'!$B$5:$B$528,$T55)))</f>
        <v/>
      </c>
      <c r="C55" s="9">
        <f>IF($T55=0,"",IF(INDEX('Market Data'!$C$5:$C$528,$T55)="","",INDEX('Market Data'!$C$5:$C$528,$T55)))</f>
        <v/>
      </c>
      <c r="D55" s="9">
        <f>IF($T55=0,"",IF(INDEX('Market Data'!$D$5:$D$528,$T55)="","",INDEX('Market Data'!$D$5:$D$528,$T55)))</f>
        <v/>
      </c>
      <c r="E55" s="10">
        <f>IF($T55=0,"",INDEX('Market Data'!$O$5:$O$528,$T55))</f>
        <v/>
      </c>
      <c r="F55" s="11">
        <f>IF($T55=0,"",IF(AND($I55="Bloomberg",ISNUMBER(INDEX('Market Data'!$L$5:$L$528,$T55))),INDEX('Market Data'!$L$5:$L$528,$T55),"unavailable"))</f>
        <v/>
      </c>
      <c r="G55" s="12">
        <f>IF($T55=0,"",IF($I55="Bloomberg",IF(AND(ISNUMBER(INDEX('Market Data'!$M$5:$M$528,$T55)),N(INDEX('Market Data'!$M$5:$M$528,$T55))&gt;0),INDEX('Market Data'!$M$5:$M$528,$T55),"date unavailable"),IF($I55="Snapshot",IF(AND(ISNUMBER(INDEX('Market Data'!$H$5:$H$528,$T55)),N(INDEX('Market Data'!$H$5:$H$528,$T55))&gt;0),INDEX('Market Data'!$H$5:$H$528,$T55),"date unavailable"),"date unavailable")))</f>
        <v/>
      </c>
      <c r="H55" s="9">
        <f>IF($T55=0,"",IF($I55="Bloomberg",IF(INDEX('Market Data'!$N$5:$N$528,$T55)="","time unavailable",INDEX('Market Data'!$N$5:$N$528,$T55)),""))</f>
        <v/>
      </c>
      <c r="I55" s="9">
        <f>IF($T55=0,"",INDEX('Market Data'!$P$5:$P$528,$T55))</f>
        <v/>
      </c>
      <c r="J55" s="13">
        <f>IF($T55=0,"",IF(INDEX('Market Data'!$E$5:$E$528,$T55)="","",INDEX('Market Data'!$E$5:$E$528,$T55)))</f>
        <v/>
      </c>
      <c r="K55" s="8">
        <f>IF($T55=0,"",IF(INDEX('Market Data'!$I$5:$I$528,$T55)="","",INDEX('Market Data'!$I$5:$I$528,$T55)))</f>
        <v/>
      </c>
      <c r="L55" s="10">
        <f>IF($T55=0,"",IF(INDEX('Market Data'!$J$5:$J$528,$T55)=0,"n/a",IF(AND($M$5&lt;&gt;"Snapshot",ISNUMBER(INDEX('Market Data'!$AH$5:$AH$66,INDEX('Market Data'!$J$5:$J$528,$T55)-4)),N(INDEX('Market Data'!$AH$5:$AH$66,INDEX('Market Data'!$J$5:$J$528,$T55)-4))&gt;0),INDEX('Market Data'!$AH$5:$AH$66,INDEX('Market Data'!$J$5:$J$528,$T55)-4),IF(AND($M$5&lt;&gt;"Bloomberg",ISNUMBER(INDEX('Market Data'!$AC$5:$AC$66,INDEX('Market Data'!$J$5:$J$528,$T55)-4)),N(INDEX('Market Data'!$AC$5:$AC$66,INDEX('Market Data'!$J$5:$J$528,$T55)-4))&gt;0),INDEX('Market Data'!$AC$5:$AC$66,INDEX('Market Data'!$J$5:$J$528,$T55)-4),"unavailable"))))</f>
        <v/>
      </c>
      <c r="M55" s="11">
        <f>IF($T55=0,"",IF(INDEX('Market Data'!$J$5:$J$528,$T55)=0,"n/a",IF(IF(INDEX('Market Data'!$J$5:$J$528,$T55)=0,0,IF(LEFT(INDEX('Market Data'!$AS$5:$AS$66,INDEX('Market Data'!$J$5:$J$528,$T55)-4),11)="First-month",1,0))=1,"class review",IF($I55="Bloomberg",IF(AND(ISNUMBER(INDEX('Market Data'!$AH$5:$AH$66,INDEX('Market Data'!$J$5:$J$528,$T55)-4)),N(INDEX('Market Data'!$AH$5:$AH$66,INDEX('Market Data'!$J$5:$J$528,$T55)-4))&gt;0,ISNUMBER('Market Data'!$B$1),N('Market Data'!$B$1)&gt;0),INDEX('Market Data'!$AH$5:$AH$66,INDEX('Market Data'!$J$5:$J$528,$T55)-4)*'Market Data'!$B$1/$E55-1,"pending A/FX"),IF(AND($I55="Snapshot",$Q55="Snapshot",ISNUMBER($E55),$G55=INDEX('Market Data'!$AE$5:$AE$66,INDEX('Market Data'!$J$5:$J$528,$T55)-4)),IFERROR(INDEX('Market Data'!$AC$5:$AC$66,INDEX('Market Data'!$J$5:$J$528,$T55)-4)*INDEX('Market Data'!$AD$5:$AD$66,INDEX('Market Data'!$J$5:$J$528,$T55)-4)/$E55-1,"unavailable"),IF($I55="Unavailable","unavailable","date mismatch"))))))</f>
        <v/>
      </c>
      <c r="N55" s="11">
        <f>IF($T55=0,"",IFERROR(IF(AND(N(INDEX('Market Data'!$F$5:$F$528,$T55))&gt;0,ISNUMBER(INDEX('Market Data'!$T$5:$T$528,$T55))),$E55*INDEX('Market Data'!$T$5:$T$528,$T55)/INDEX('Market Data'!$F$5:$F$528,$T55)-1,"unavailable"),"unavailable"))</f>
        <v/>
      </c>
      <c r="O55" s="9">
        <f>IF($T55=0,"",IF(IF(INDEX('Market Data'!$J$5:$J$528,$T55)=0,0,IF(LEFT(INDEX('Market Data'!$AS$5:$AS$66,INDEX('Market Data'!$J$5:$J$528,$T55)-4),11)="First-month",1,0))=1,"Class ratio review",IF($I55="Bloomberg",IF(ISNUMBER($G55),IF($G55&lt;TODAY(),"Older quote","See quote time"),"Date unavailable"),IF($I55="Snapshot",IF($G55&lt;DATEVALUE("2026-10-02"),"Older snapshot","Dated close"),"No valid quote"))))</f>
        <v/>
      </c>
      <c r="P55" s="14">
        <f>IF($T55=0,"",IF(INDEX('Market Data'!$J$5:$J$528,$T55)=0,"n/a",IF($Q55="Bloomberg",IF(AND(ISNUMBER(INDEX('Market Data'!$AK$5:$AK$66,INDEX('Market Data'!$J$5:$J$528,$T55)-4)),N(INDEX('Market Data'!$AK$5:$AK$66,INDEX('Market Data'!$J$5:$J$528,$T55)-4))&gt;0),INDEX('Market Data'!$AK$5:$AK$66,INDEX('Market Data'!$J$5:$J$528,$T55)-4),"date unavailable"),IF($Q55="Snapshot",IF(AND(ISNUMBER(INDEX('Market Data'!$AF$5:$AF$66,INDEX('Market Data'!$J$5:$J$528,$T55)-4)),N(INDEX('Market Data'!$AF$5:$AF$66,INDEX('Market Data'!$J$5:$J$528,$T55)-4))&gt;0),INDEX('Market Data'!$AF$5:$AF$66,INDEX('Market Data'!$J$5:$J$528,$T55)-4),"date unavailable"),"date unavailable"))))</f>
        <v/>
      </c>
      <c r="Q55" s="15">
        <f>IF($T55=0,"",IF(INDEX('Market Data'!$J$5:$J$528,$T55)=0,"n/a",IF(AND($M$5&lt;&gt;"Snapshot",ISNUMBER(INDEX('Market Data'!$AH$5:$AH$66,INDEX('Market Data'!$J$5:$J$528,$T55)-4)),N(INDEX('Market Data'!$AH$5:$AH$66,INDEX('Market Data'!$J$5:$J$528,$T55)-4))&gt;0),"Bloomberg",IF(AND($M$5&lt;&gt;"Bloomberg",ISNUMBER(INDEX('Market Data'!$AC$5:$AC$66,INDEX('Market Data'!$J$5:$J$528,$T55)-4)),N(INDEX('Market Data'!$AC$5:$AC$66,INDEX('Market Data'!$J$5:$J$528,$T55)-4))&gt;0),"Snapshot","Unavailable"))))</f>
        <v/>
      </c>
      <c r="T55">
        <f>IFERROR(MATCH(47,'Market Data'!$S$5:$S$528,0),0)</f>
        <v/>
      </c>
    </row>
    <row r="56" ht="34" customHeight="1">
      <c r="A56" s="8">
        <f>IF($T56=0,"",IF(INDEX('Market Data'!$A$5:$A$528,$T56)="","",INDEX('Market Data'!$A$5:$A$528,$T56)))</f>
        <v/>
      </c>
      <c r="B56" s="9">
        <f>IF($T56=0,"",IF(INDEX('Market Data'!$B$5:$B$528,$T56)="","",INDEX('Market Data'!$B$5:$B$528,$T56)))</f>
        <v/>
      </c>
      <c r="C56" s="9">
        <f>IF($T56=0,"",IF(INDEX('Market Data'!$C$5:$C$528,$T56)="","",INDEX('Market Data'!$C$5:$C$528,$T56)))</f>
        <v/>
      </c>
      <c r="D56" s="9">
        <f>IF($T56=0,"",IF(INDEX('Market Data'!$D$5:$D$528,$T56)="","",INDEX('Market Data'!$D$5:$D$528,$T56)))</f>
        <v/>
      </c>
      <c r="E56" s="10">
        <f>IF($T56=0,"",INDEX('Market Data'!$O$5:$O$528,$T56))</f>
        <v/>
      </c>
      <c r="F56" s="11">
        <f>IF($T56=0,"",IF(AND($I56="Bloomberg",ISNUMBER(INDEX('Market Data'!$L$5:$L$528,$T56))),INDEX('Market Data'!$L$5:$L$528,$T56),"unavailable"))</f>
        <v/>
      </c>
      <c r="G56" s="12">
        <f>IF($T56=0,"",IF($I56="Bloomberg",IF(AND(ISNUMBER(INDEX('Market Data'!$M$5:$M$528,$T56)),N(INDEX('Market Data'!$M$5:$M$528,$T56))&gt;0),INDEX('Market Data'!$M$5:$M$528,$T56),"date unavailable"),IF($I56="Snapshot",IF(AND(ISNUMBER(INDEX('Market Data'!$H$5:$H$528,$T56)),N(INDEX('Market Data'!$H$5:$H$528,$T56))&gt;0),INDEX('Market Data'!$H$5:$H$528,$T56),"date unavailable"),"date unavailable")))</f>
        <v/>
      </c>
      <c r="H56" s="9">
        <f>IF($T56=0,"",IF($I56="Bloomberg",IF(INDEX('Market Data'!$N$5:$N$528,$T56)="","time unavailable",INDEX('Market Data'!$N$5:$N$528,$T56)),""))</f>
        <v/>
      </c>
      <c r="I56" s="9">
        <f>IF($T56=0,"",INDEX('Market Data'!$P$5:$P$528,$T56))</f>
        <v/>
      </c>
      <c r="J56" s="13">
        <f>IF($T56=0,"",IF(INDEX('Market Data'!$E$5:$E$528,$T56)="","",INDEX('Market Data'!$E$5:$E$528,$T56)))</f>
        <v/>
      </c>
      <c r="K56" s="8">
        <f>IF($T56=0,"",IF(INDEX('Market Data'!$I$5:$I$528,$T56)="","",INDEX('Market Data'!$I$5:$I$528,$T56)))</f>
        <v/>
      </c>
      <c r="L56" s="10">
        <f>IF($T56=0,"",IF(INDEX('Market Data'!$J$5:$J$528,$T56)=0,"n/a",IF(AND($M$5&lt;&gt;"Snapshot",ISNUMBER(INDEX('Market Data'!$AH$5:$AH$66,INDEX('Market Data'!$J$5:$J$528,$T56)-4)),N(INDEX('Market Data'!$AH$5:$AH$66,INDEX('Market Data'!$J$5:$J$528,$T56)-4))&gt;0),INDEX('Market Data'!$AH$5:$AH$66,INDEX('Market Data'!$J$5:$J$528,$T56)-4),IF(AND($M$5&lt;&gt;"Bloomberg",ISNUMBER(INDEX('Market Data'!$AC$5:$AC$66,INDEX('Market Data'!$J$5:$J$528,$T56)-4)),N(INDEX('Market Data'!$AC$5:$AC$66,INDEX('Market Data'!$J$5:$J$528,$T56)-4))&gt;0),INDEX('Market Data'!$AC$5:$AC$66,INDEX('Market Data'!$J$5:$J$528,$T56)-4),"unavailable"))))</f>
        <v/>
      </c>
      <c r="M56" s="11">
        <f>IF($T56=0,"",IF(INDEX('Market Data'!$J$5:$J$528,$T56)=0,"n/a",IF(IF(INDEX('Market Data'!$J$5:$J$528,$T56)=0,0,IF(LEFT(INDEX('Market Data'!$AS$5:$AS$66,INDEX('Market Data'!$J$5:$J$528,$T56)-4),11)="First-month",1,0))=1,"class review",IF($I56="Bloomberg",IF(AND(ISNUMBER(INDEX('Market Data'!$AH$5:$AH$66,INDEX('Market Data'!$J$5:$J$528,$T56)-4)),N(INDEX('Market Data'!$AH$5:$AH$66,INDEX('Market Data'!$J$5:$J$528,$T56)-4))&gt;0,ISNUMBER('Market Data'!$B$1),N('Market Data'!$B$1)&gt;0),INDEX('Market Data'!$AH$5:$AH$66,INDEX('Market Data'!$J$5:$J$528,$T56)-4)*'Market Data'!$B$1/$E56-1,"pending A/FX"),IF(AND($I56="Snapshot",$Q56="Snapshot",ISNUMBER($E56),$G56=INDEX('Market Data'!$AE$5:$AE$66,INDEX('Market Data'!$J$5:$J$528,$T56)-4)),IFERROR(INDEX('Market Data'!$AC$5:$AC$66,INDEX('Market Data'!$J$5:$J$528,$T56)-4)*INDEX('Market Data'!$AD$5:$AD$66,INDEX('Market Data'!$J$5:$J$528,$T56)-4)/$E56-1,"unavailable"),IF($I56="Unavailable","unavailable","date mismatch"))))))</f>
        <v/>
      </c>
      <c r="N56" s="11">
        <f>IF($T56=0,"",IFERROR(IF(AND(N(INDEX('Market Data'!$F$5:$F$528,$T56))&gt;0,ISNUMBER(INDEX('Market Data'!$T$5:$T$528,$T56))),$E56*INDEX('Market Data'!$T$5:$T$528,$T56)/INDEX('Market Data'!$F$5:$F$528,$T56)-1,"unavailable"),"unavailable"))</f>
        <v/>
      </c>
      <c r="O56" s="9">
        <f>IF($T56=0,"",IF(IF(INDEX('Market Data'!$J$5:$J$528,$T56)=0,0,IF(LEFT(INDEX('Market Data'!$AS$5:$AS$66,INDEX('Market Data'!$J$5:$J$528,$T56)-4),11)="First-month",1,0))=1,"Class ratio review",IF($I56="Bloomberg",IF(ISNUMBER($G56),IF($G56&lt;TODAY(),"Older quote","See quote time"),"Date unavailable"),IF($I56="Snapshot",IF($G56&lt;DATEVALUE("2026-10-02"),"Older snapshot","Dated close"),"No valid quote"))))</f>
        <v/>
      </c>
      <c r="P56" s="14">
        <f>IF($T56=0,"",IF(INDEX('Market Data'!$J$5:$J$528,$T56)=0,"n/a",IF($Q56="Bloomberg",IF(AND(ISNUMBER(INDEX('Market Data'!$AK$5:$AK$66,INDEX('Market Data'!$J$5:$J$528,$T56)-4)),N(INDEX('Market Data'!$AK$5:$AK$66,INDEX('Market Data'!$J$5:$J$528,$T56)-4))&gt;0),INDEX('Market Data'!$AK$5:$AK$66,INDEX('Market Data'!$J$5:$J$528,$T56)-4),"date unavailable"),IF($Q56="Snapshot",IF(AND(ISNUMBER(INDEX('Market Data'!$AF$5:$AF$66,INDEX('Market Data'!$J$5:$J$528,$T56)-4)),N(INDEX('Market Data'!$AF$5:$AF$66,INDEX('Market Data'!$J$5:$J$528,$T56)-4))&gt;0),INDEX('Market Data'!$AF$5:$AF$66,INDEX('Market Data'!$J$5:$J$528,$T56)-4),"date unavailable"),"date unavailable"))))</f>
        <v/>
      </c>
      <c r="Q56" s="15">
        <f>IF($T56=0,"",IF(INDEX('Market Data'!$J$5:$J$528,$T56)=0,"n/a",IF(AND($M$5&lt;&gt;"Snapshot",ISNUMBER(INDEX('Market Data'!$AH$5:$AH$66,INDEX('Market Data'!$J$5:$J$528,$T56)-4)),N(INDEX('Market Data'!$AH$5:$AH$66,INDEX('Market Data'!$J$5:$J$528,$T56)-4))&gt;0),"Bloomberg",IF(AND($M$5&lt;&gt;"Bloomberg",ISNUMBER(INDEX('Market Data'!$AC$5:$AC$66,INDEX('Market Data'!$J$5:$J$528,$T56)-4)),N(INDEX('Market Data'!$AC$5:$AC$66,INDEX('Market Data'!$J$5:$J$528,$T56)-4))&gt;0),"Snapshot","Unavailable"))))</f>
        <v/>
      </c>
      <c r="T56">
        <f>IFERROR(MATCH(48,'Market Data'!$S$5:$S$528,0),0)</f>
        <v/>
      </c>
    </row>
    <row r="57" ht="34" customHeight="1">
      <c r="A57" s="8">
        <f>IF($T57=0,"",IF(INDEX('Market Data'!$A$5:$A$528,$T57)="","",INDEX('Market Data'!$A$5:$A$528,$T57)))</f>
        <v/>
      </c>
      <c r="B57" s="9">
        <f>IF($T57=0,"",IF(INDEX('Market Data'!$B$5:$B$528,$T57)="","",INDEX('Market Data'!$B$5:$B$528,$T57)))</f>
        <v/>
      </c>
      <c r="C57" s="9">
        <f>IF($T57=0,"",IF(INDEX('Market Data'!$C$5:$C$528,$T57)="","",INDEX('Market Data'!$C$5:$C$528,$T57)))</f>
        <v/>
      </c>
      <c r="D57" s="9">
        <f>IF($T57=0,"",IF(INDEX('Market Data'!$D$5:$D$528,$T57)="","",INDEX('Market Data'!$D$5:$D$528,$T57)))</f>
        <v/>
      </c>
      <c r="E57" s="10">
        <f>IF($T57=0,"",INDEX('Market Data'!$O$5:$O$528,$T57))</f>
        <v/>
      </c>
      <c r="F57" s="11">
        <f>IF($T57=0,"",IF(AND($I57="Bloomberg",ISNUMBER(INDEX('Market Data'!$L$5:$L$528,$T57))),INDEX('Market Data'!$L$5:$L$528,$T57),"unavailable"))</f>
        <v/>
      </c>
      <c r="G57" s="12">
        <f>IF($T57=0,"",IF($I57="Bloomberg",IF(AND(ISNUMBER(INDEX('Market Data'!$M$5:$M$528,$T57)),N(INDEX('Market Data'!$M$5:$M$528,$T57))&gt;0),INDEX('Market Data'!$M$5:$M$528,$T57),"date unavailable"),IF($I57="Snapshot",IF(AND(ISNUMBER(INDEX('Market Data'!$H$5:$H$528,$T57)),N(INDEX('Market Data'!$H$5:$H$528,$T57))&gt;0),INDEX('Market Data'!$H$5:$H$528,$T57),"date unavailable"),"date unavailable")))</f>
        <v/>
      </c>
      <c r="H57" s="9">
        <f>IF($T57=0,"",IF($I57="Bloomberg",IF(INDEX('Market Data'!$N$5:$N$528,$T57)="","time unavailable",INDEX('Market Data'!$N$5:$N$528,$T57)),""))</f>
        <v/>
      </c>
      <c r="I57" s="9">
        <f>IF($T57=0,"",INDEX('Market Data'!$P$5:$P$528,$T57))</f>
        <v/>
      </c>
      <c r="J57" s="13">
        <f>IF($T57=0,"",IF(INDEX('Market Data'!$E$5:$E$528,$T57)="","",INDEX('Market Data'!$E$5:$E$528,$T57)))</f>
        <v/>
      </c>
      <c r="K57" s="8">
        <f>IF($T57=0,"",IF(INDEX('Market Data'!$I$5:$I$528,$T57)="","",INDEX('Market Data'!$I$5:$I$528,$T57)))</f>
        <v/>
      </c>
      <c r="L57" s="10">
        <f>IF($T57=0,"",IF(INDEX('Market Data'!$J$5:$J$528,$T57)=0,"n/a",IF(AND($M$5&lt;&gt;"Snapshot",ISNUMBER(INDEX('Market Data'!$AH$5:$AH$66,INDEX('Market Data'!$J$5:$J$528,$T57)-4)),N(INDEX('Market Data'!$AH$5:$AH$66,INDEX('Market Data'!$J$5:$J$528,$T57)-4))&gt;0),INDEX('Market Data'!$AH$5:$AH$66,INDEX('Market Data'!$J$5:$J$528,$T57)-4),IF(AND($M$5&lt;&gt;"Bloomberg",ISNUMBER(INDEX('Market Data'!$AC$5:$AC$66,INDEX('Market Data'!$J$5:$J$528,$T57)-4)),N(INDEX('Market Data'!$AC$5:$AC$66,INDEX('Market Data'!$J$5:$J$528,$T57)-4))&gt;0),INDEX('Market Data'!$AC$5:$AC$66,INDEX('Market Data'!$J$5:$J$528,$T57)-4),"unavailable"))))</f>
        <v/>
      </c>
      <c r="M57" s="11">
        <f>IF($T57=0,"",IF(INDEX('Market Data'!$J$5:$J$528,$T57)=0,"n/a",IF(IF(INDEX('Market Data'!$J$5:$J$528,$T57)=0,0,IF(LEFT(INDEX('Market Data'!$AS$5:$AS$66,INDEX('Market Data'!$J$5:$J$528,$T57)-4),11)="First-month",1,0))=1,"class review",IF($I57="Bloomberg",IF(AND(ISNUMBER(INDEX('Market Data'!$AH$5:$AH$66,INDEX('Market Data'!$J$5:$J$528,$T57)-4)),N(INDEX('Market Data'!$AH$5:$AH$66,INDEX('Market Data'!$J$5:$J$528,$T57)-4))&gt;0,ISNUMBER('Market Data'!$B$1),N('Market Data'!$B$1)&gt;0),INDEX('Market Data'!$AH$5:$AH$66,INDEX('Market Data'!$J$5:$J$528,$T57)-4)*'Market Data'!$B$1/$E57-1,"pending A/FX"),IF(AND($I57="Snapshot",$Q57="Snapshot",ISNUMBER($E57),$G57=INDEX('Market Data'!$AE$5:$AE$66,INDEX('Market Data'!$J$5:$J$528,$T57)-4)),IFERROR(INDEX('Market Data'!$AC$5:$AC$66,INDEX('Market Data'!$J$5:$J$528,$T57)-4)*INDEX('Market Data'!$AD$5:$AD$66,INDEX('Market Data'!$J$5:$J$528,$T57)-4)/$E57-1,"unavailable"),IF($I57="Unavailable","unavailable","date mismatch"))))))</f>
        <v/>
      </c>
      <c r="N57" s="11">
        <f>IF($T57=0,"",IFERROR(IF(AND(N(INDEX('Market Data'!$F$5:$F$528,$T57))&gt;0,ISNUMBER(INDEX('Market Data'!$T$5:$T$528,$T57))),$E57*INDEX('Market Data'!$T$5:$T$528,$T57)/INDEX('Market Data'!$F$5:$F$528,$T57)-1,"unavailable"),"unavailable"))</f>
        <v/>
      </c>
      <c r="O57" s="9">
        <f>IF($T57=0,"",IF(IF(INDEX('Market Data'!$J$5:$J$528,$T57)=0,0,IF(LEFT(INDEX('Market Data'!$AS$5:$AS$66,INDEX('Market Data'!$J$5:$J$528,$T57)-4),11)="First-month",1,0))=1,"Class ratio review",IF($I57="Bloomberg",IF(ISNUMBER($G57),IF($G57&lt;TODAY(),"Older quote","See quote time"),"Date unavailable"),IF($I57="Snapshot",IF($G57&lt;DATEVALUE("2026-10-02"),"Older snapshot","Dated close"),"No valid quote"))))</f>
        <v/>
      </c>
      <c r="P57" s="14">
        <f>IF($T57=0,"",IF(INDEX('Market Data'!$J$5:$J$528,$T57)=0,"n/a",IF($Q57="Bloomberg",IF(AND(ISNUMBER(INDEX('Market Data'!$AK$5:$AK$66,INDEX('Market Data'!$J$5:$J$528,$T57)-4)),N(INDEX('Market Data'!$AK$5:$AK$66,INDEX('Market Data'!$J$5:$J$528,$T57)-4))&gt;0),INDEX('Market Data'!$AK$5:$AK$66,INDEX('Market Data'!$J$5:$J$528,$T57)-4),"date unavailable"),IF($Q57="Snapshot",IF(AND(ISNUMBER(INDEX('Market Data'!$AF$5:$AF$66,INDEX('Market Data'!$J$5:$J$528,$T57)-4)),N(INDEX('Market Data'!$AF$5:$AF$66,INDEX('Market Data'!$J$5:$J$528,$T57)-4))&gt;0),INDEX('Market Data'!$AF$5:$AF$66,INDEX('Market Data'!$J$5:$J$528,$T57)-4),"date unavailable"),"date unavailable"))))</f>
        <v/>
      </c>
      <c r="Q57" s="15">
        <f>IF($T57=0,"",IF(INDEX('Market Data'!$J$5:$J$528,$T57)=0,"n/a",IF(AND($M$5&lt;&gt;"Snapshot",ISNUMBER(INDEX('Market Data'!$AH$5:$AH$66,INDEX('Market Data'!$J$5:$J$528,$T57)-4)),N(INDEX('Market Data'!$AH$5:$AH$66,INDEX('Market Data'!$J$5:$J$528,$T57)-4))&gt;0),"Bloomberg",IF(AND($M$5&lt;&gt;"Bloomberg",ISNUMBER(INDEX('Market Data'!$AC$5:$AC$66,INDEX('Market Data'!$J$5:$J$528,$T57)-4)),N(INDEX('Market Data'!$AC$5:$AC$66,INDEX('Market Data'!$J$5:$J$528,$T57)-4))&gt;0),"Snapshot","Unavailable"))))</f>
        <v/>
      </c>
      <c r="T57">
        <f>IFERROR(MATCH(49,'Market Data'!$S$5:$S$528,0),0)</f>
        <v/>
      </c>
    </row>
    <row r="58" ht="34" customHeight="1">
      <c r="A58" s="8">
        <f>IF($T58=0,"",IF(INDEX('Market Data'!$A$5:$A$528,$T58)="","",INDEX('Market Data'!$A$5:$A$528,$T58)))</f>
        <v/>
      </c>
      <c r="B58" s="9">
        <f>IF($T58=0,"",IF(INDEX('Market Data'!$B$5:$B$528,$T58)="","",INDEX('Market Data'!$B$5:$B$528,$T58)))</f>
        <v/>
      </c>
      <c r="C58" s="9">
        <f>IF($T58=0,"",IF(INDEX('Market Data'!$C$5:$C$528,$T58)="","",INDEX('Market Data'!$C$5:$C$528,$T58)))</f>
        <v/>
      </c>
      <c r="D58" s="9">
        <f>IF($T58=0,"",IF(INDEX('Market Data'!$D$5:$D$528,$T58)="","",INDEX('Market Data'!$D$5:$D$528,$T58)))</f>
        <v/>
      </c>
      <c r="E58" s="10">
        <f>IF($T58=0,"",INDEX('Market Data'!$O$5:$O$528,$T58))</f>
        <v/>
      </c>
      <c r="F58" s="11">
        <f>IF($T58=0,"",IF(AND($I58="Bloomberg",ISNUMBER(INDEX('Market Data'!$L$5:$L$528,$T58))),INDEX('Market Data'!$L$5:$L$528,$T58),"unavailable"))</f>
        <v/>
      </c>
      <c r="G58" s="12">
        <f>IF($T58=0,"",IF($I58="Bloomberg",IF(AND(ISNUMBER(INDEX('Market Data'!$M$5:$M$528,$T58)),N(INDEX('Market Data'!$M$5:$M$528,$T58))&gt;0),INDEX('Market Data'!$M$5:$M$528,$T58),"date unavailable"),IF($I58="Snapshot",IF(AND(ISNUMBER(INDEX('Market Data'!$H$5:$H$528,$T58)),N(INDEX('Market Data'!$H$5:$H$528,$T58))&gt;0),INDEX('Market Data'!$H$5:$H$528,$T58),"date unavailable"),"date unavailable")))</f>
        <v/>
      </c>
      <c r="H58" s="9">
        <f>IF($T58=0,"",IF($I58="Bloomberg",IF(INDEX('Market Data'!$N$5:$N$528,$T58)="","time unavailable",INDEX('Market Data'!$N$5:$N$528,$T58)),""))</f>
        <v/>
      </c>
      <c r="I58" s="9">
        <f>IF($T58=0,"",INDEX('Market Data'!$P$5:$P$528,$T58))</f>
        <v/>
      </c>
      <c r="J58" s="13">
        <f>IF($T58=0,"",IF(INDEX('Market Data'!$E$5:$E$528,$T58)="","",INDEX('Market Data'!$E$5:$E$528,$T58)))</f>
        <v/>
      </c>
      <c r="K58" s="8">
        <f>IF($T58=0,"",IF(INDEX('Market Data'!$I$5:$I$528,$T58)="","",INDEX('Market Data'!$I$5:$I$528,$T58)))</f>
        <v/>
      </c>
      <c r="L58" s="10">
        <f>IF($T58=0,"",IF(INDEX('Market Data'!$J$5:$J$528,$T58)=0,"n/a",IF(AND($M$5&lt;&gt;"Snapshot",ISNUMBER(INDEX('Market Data'!$AH$5:$AH$66,INDEX('Market Data'!$J$5:$J$528,$T58)-4)),N(INDEX('Market Data'!$AH$5:$AH$66,INDEX('Market Data'!$J$5:$J$528,$T58)-4))&gt;0),INDEX('Market Data'!$AH$5:$AH$66,INDEX('Market Data'!$J$5:$J$528,$T58)-4),IF(AND($M$5&lt;&gt;"Bloomberg",ISNUMBER(INDEX('Market Data'!$AC$5:$AC$66,INDEX('Market Data'!$J$5:$J$528,$T58)-4)),N(INDEX('Market Data'!$AC$5:$AC$66,INDEX('Market Data'!$J$5:$J$528,$T58)-4))&gt;0),INDEX('Market Data'!$AC$5:$AC$66,INDEX('Market Data'!$J$5:$J$528,$T58)-4),"unavailable"))))</f>
        <v/>
      </c>
      <c r="M58" s="11">
        <f>IF($T58=0,"",IF(INDEX('Market Data'!$J$5:$J$528,$T58)=0,"n/a",IF(IF(INDEX('Market Data'!$J$5:$J$528,$T58)=0,0,IF(LEFT(INDEX('Market Data'!$AS$5:$AS$66,INDEX('Market Data'!$J$5:$J$528,$T58)-4),11)="First-month",1,0))=1,"class review",IF($I58="Bloomberg",IF(AND(ISNUMBER(INDEX('Market Data'!$AH$5:$AH$66,INDEX('Market Data'!$J$5:$J$528,$T58)-4)),N(INDEX('Market Data'!$AH$5:$AH$66,INDEX('Market Data'!$J$5:$J$528,$T58)-4))&gt;0,ISNUMBER('Market Data'!$B$1),N('Market Data'!$B$1)&gt;0),INDEX('Market Data'!$AH$5:$AH$66,INDEX('Market Data'!$J$5:$J$528,$T58)-4)*'Market Data'!$B$1/$E58-1,"pending A/FX"),IF(AND($I58="Snapshot",$Q58="Snapshot",ISNUMBER($E58),$G58=INDEX('Market Data'!$AE$5:$AE$66,INDEX('Market Data'!$J$5:$J$528,$T58)-4)),IFERROR(INDEX('Market Data'!$AC$5:$AC$66,INDEX('Market Data'!$J$5:$J$528,$T58)-4)*INDEX('Market Data'!$AD$5:$AD$66,INDEX('Market Data'!$J$5:$J$528,$T58)-4)/$E58-1,"unavailable"),IF($I58="Unavailable","unavailable","date mismatch"))))))</f>
        <v/>
      </c>
      <c r="N58" s="11">
        <f>IF($T58=0,"",IFERROR(IF(AND(N(INDEX('Market Data'!$F$5:$F$528,$T58))&gt;0,ISNUMBER(INDEX('Market Data'!$T$5:$T$528,$T58))),$E58*INDEX('Market Data'!$T$5:$T$528,$T58)/INDEX('Market Data'!$F$5:$F$528,$T58)-1,"unavailable"),"unavailable"))</f>
        <v/>
      </c>
      <c r="O58" s="9">
        <f>IF($T58=0,"",IF(IF(INDEX('Market Data'!$J$5:$J$528,$T58)=0,0,IF(LEFT(INDEX('Market Data'!$AS$5:$AS$66,INDEX('Market Data'!$J$5:$J$528,$T58)-4),11)="First-month",1,0))=1,"Class ratio review",IF($I58="Bloomberg",IF(ISNUMBER($G58),IF($G58&lt;TODAY(),"Older quote","See quote time"),"Date unavailable"),IF($I58="Snapshot",IF($G58&lt;DATEVALUE("2026-10-02"),"Older snapshot","Dated close"),"No valid quote"))))</f>
        <v/>
      </c>
      <c r="P58" s="14">
        <f>IF($T58=0,"",IF(INDEX('Market Data'!$J$5:$J$528,$T58)=0,"n/a",IF($Q58="Bloomberg",IF(AND(ISNUMBER(INDEX('Market Data'!$AK$5:$AK$66,INDEX('Market Data'!$J$5:$J$528,$T58)-4)),N(INDEX('Market Data'!$AK$5:$AK$66,INDEX('Market Data'!$J$5:$J$528,$T58)-4))&gt;0),INDEX('Market Data'!$AK$5:$AK$66,INDEX('Market Data'!$J$5:$J$528,$T58)-4),"date unavailable"),IF($Q58="Snapshot",IF(AND(ISNUMBER(INDEX('Market Data'!$AF$5:$AF$66,INDEX('Market Data'!$J$5:$J$528,$T58)-4)),N(INDEX('Market Data'!$AF$5:$AF$66,INDEX('Market Data'!$J$5:$J$528,$T58)-4))&gt;0),INDEX('Market Data'!$AF$5:$AF$66,INDEX('Market Data'!$J$5:$J$528,$T58)-4),"date unavailable"),"date unavailable"))))</f>
        <v/>
      </c>
      <c r="Q58" s="15">
        <f>IF($T58=0,"",IF(INDEX('Market Data'!$J$5:$J$528,$T58)=0,"n/a",IF(AND($M$5&lt;&gt;"Snapshot",ISNUMBER(INDEX('Market Data'!$AH$5:$AH$66,INDEX('Market Data'!$J$5:$J$528,$T58)-4)),N(INDEX('Market Data'!$AH$5:$AH$66,INDEX('Market Data'!$J$5:$J$528,$T58)-4))&gt;0),"Bloomberg",IF(AND($M$5&lt;&gt;"Bloomberg",ISNUMBER(INDEX('Market Data'!$AC$5:$AC$66,INDEX('Market Data'!$J$5:$J$528,$T58)-4)),N(INDEX('Market Data'!$AC$5:$AC$66,INDEX('Market Data'!$J$5:$J$528,$T58)-4))&gt;0),"Snapshot","Unavailable"))))</f>
        <v/>
      </c>
      <c r="T58">
        <f>IFERROR(MATCH(50,'Market Data'!$S$5:$S$528,0),0)</f>
        <v/>
      </c>
    </row>
    <row r="59" ht="34" customHeight="1">
      <c r="A59" s="8">
        <f>IF($T59=0,"",IF(INDEX('Market Data'!$A$5:$A$528,$T59)="","",INDEX('Market Data'!$A$5:$A$528,$T59)))</f>
        <v/>
      </c>
      <c r="B59" s="9">
        <f>IF($T59=0,"",IF(INDEX('Market Data'!$B$5:$B$528,$T59)="","",INDEX('Market Data'!$B$5:$B$528,$T59)))</f>
        <v/>
      </c>
      <c r="C59" s="9">
        <f>IF($T59=0,"",IF(INDEX('Market Data'!$C$5:$C$528,$T59)="","",INDEX('Market Data'!$C$5:$C$528,$T59)))</f>
        <v/>
      </c>
      <c r="D59" s="9">
        <f>IF($T59=0,"",IF(INDEX('Market Data'!$D$5:$D$528,$T59)="","",INDEX('Market Data'!$D$5:$D$528,$T59)))</f>
        <v/>
      </c>
      <c r="E59" s="10">
        <f>IF($T59=0,"",INDEX('Market Data'!$O$5:$O$528,$T59))</f>
        <v/>
      </c>
      <c r="F59" s="11">
        <f>IF($T59=0,"",IF(AND($I59="Bloomberg",ISNUMBER(INDEX('Market Data'!$L$5:$L$528,$T59))),INDEX('Market Data'!$L$5:$L$528,$T59),"unavailable"))</f>
        <v/>
      </c>
      <c r="G59" s="12">
        <f>IF($T59=0,"",IF($I59="Bloomberg",IF(AND(ISNUMBER(INDEX('Market Data'!$M$5:$M$528,$T59)),N(INDEX('Market Data'!$M$5:$M$528,$T59))&gt;0),INDEX('Market Data'!$M$5:$M$528,$T59),"date unavailable"),IF($I59="Snapshot",IF(AND(ISNUMBER(INDEX('Market Data'!$H$5:$H$528,$T59)),N(INDEX('Market Data'!$H$5:$H$528,$T59))&gt;0),INDEX('Market Data'!$H$5:$H$528,$T59),"date unavailable"),"date unavailable")))</f>
        <v/>
      </c>
      <c r="H59" s="9">
        <f>IF($T59=0,"",IF($I59="Bloomberg",IF(INDEX('Market Data'!$N$5:$N$528,$T59)="","time unavailable",INDEX('Market Data'!$N$5:$N$528,$T59)),""))</f>
        <v/>
      </c>
      <c r="I59" s="9">
        <f>IF($T59=0,"",INDEX('Market Data'!$P$5:$P$528,$T59))</f>
        <v/>
      </c>
      <c r="J59" s="13">
        <f>IF($T59=0,"",IF(INDEX('Market Data'!$E$5:$E$528,$T59)="","",INDEX('Market Data'!$E$5:$E$528,$T59)))</f>
        <v/>
      </c>
      <c r="K59" s="8">
        <f>IF($T59=0,"",IF(INDEX('Market Data'!$I$5:$I$528,$T59)="","",INDEX('Market Data'!$I$5:$I$528,$T59)))</f>
        <v/>
      </c>
      <c r="L59" s="10">
        <f>IF($T59=0,"",IF(INDEX('Market Data'!$J$5:$J$528,$T59)=0,"n/a",IF(AND($M$5&lt;&gt;"Snapshot",ISNUMBER(INDEX('Market Data'!$AH$5:$AH$66,INDEX('Market Data'!$J$5:$J$528,$T59)-4)),N(INDEX('Market Data'!$AH$5:$AH$66,INDEX('Market Data'!$J$5:$J$528,$T59)-4))&gt;0),INDEX('Market Data'!$AH$5:$AH$66,INDEX('Market Data'!$J$5:$J$528,$T59)-4),IF(AND($M$5&lt;&gt;"Bloomberg",ISNUMBER(INDEX('Market Data'!$AC$5:$AC$66,INDEX('Market Data'!$J$5:$J$528,$T59)-4)),N(INDEX('Market Data'!$AC$5:$AC$66,INDEX('Market Data'!$J$5:$J$528,$T59)-4))&gt;0),INDEX('Market Data'!$AC$5:$AC$66,INDEX('Market Data'!$J$5:$J$528,$T59)-4),"unavailable"))))</f>
        <v/>
      </c>
      <c r="M59" s="11">
        <f>IF($T59=0,"",IF(INDEX('Market Data'!$J$5:$J$528,$T59)=0,"n/a",IF(IF(INDEX('Market Data'!$J$5:$J$528,$T59)=0,0,IF(LEFT(INDEX('Market Data'!$AS$5:$AS$66,INDEX('Market Data'!$J$5:$J$528,$T59)-4),11)="First-month",1,0))=1,"class review",IF($I59="Bloomberg",IF(AND(ISNUMBER(INDEX('Market Data'!$AH$5:$AH$66,INDEX('Market Data'!$J$5:$J$528,$T59)-4)),N(INDEX('Market Data'!$AH$5:$AH$66,INDEX('Market Data'!$J$5:$J$528,$T59)-4))&gt;0,ISNUMBER('Market Data'!$B$1),N('Market Data'!$B$1)&gt;0),INDEX('Market Data'!$AH$5:$AH$66,INDEX('Market Data'!$J$5:$J$528,$T59)-4)*'Market Data'!$B$1/$E59-1,"pending A/FX"),IF(AND($I59="Snapshot",$Q59="Snapshot",ISNUMBER($E59),$G59=INDEX('Market Data'!$AE$5:$AE$66,INDEX('Market Data'!$J$5:$J$528,$T59)-4)),IFERROR(INDEX('Market Data'!$AC$5:$AC$66,INDEX('Market Data'!$J$5:$J$528,$T59)-4)*INDEX('Market Data'!$AD$5:$AD$66,INDEX('Market Data'!$J$5:$J$528,$T59)-4)/$E59-1,"unavailable"),IF($I59="Unavailable","unavailable","date mismatch"))))))</f>
        <v/>
      </c>
      <c r="N59" s="11">
        <f>IF($T59=0,"",IFERROR(IF(AND(N(INDEX('Market Data'!$F$5:$F$528,$T59))&gt;0,ISNUMBER(INDEX('Market Data'!$T$5:$T$528,$T59))),$E59*INDEX('Market Data'!$T$5:$T$528,$T59)/INDEX('Market Data'!$F$5:$F$528,$T59)-1,"unavailable"),"unavailable"))</f>
        <v/>
      </c>
      <c r="O59" s="9">
        <f>IF($T59=0,"",IF(IF(INDEX('Market Data'!$J$5:$J$528,$T59)=0,0,IF(LEFT(INDEX('Market Data'!$AS$5:$AS$66,INDEX('Market Data'!$J$5:$J$528,$T59)-4),11)="First-month",1,0))=1,"Class ratio review",IF($I59="Bloomberg",IF(ISNUMBER($G59),IF($G59&lt;TODAY(),"Older quote","See quote time"),"Date unavailable"),IF($I59="Snapshot",IF($G59&lt;DATEVALUE("2026-10-02"),"Older snapshot","Dated close"),"No valid quote"))))</f>
        <v/>
      </c>
      <c r="P59" s="14">
        <f>IF($T59=0,"",IF(INDEX('Market Data'!$J$5:$J$528,$T59)=0,"n/a",IF($Q59="Bloomberg",IF(AND(ISNUMBER(INDEX('Market Data'!$AK$5:$AK$66,INDEX('Market Data'!$J$5:$J$528,$T59)-4)),N(INDEX('Market Data'!$AK$5:$AK$66,INDEX('Market Data'!$J$5:$J$528,$T59)-4))&gt;0),INDEX('Market Data'!$AK$5:$AK$66,INDEX('Market Data'!$J$5:$J$528,$T59)-4),"date unavailable"),IF($Q59="Snapshot",IF(AND(ISNUMBER(INDEX('Market Data'!$AF$5:$AF$66,INDEX('Market Data'!$J$5:$J$528,$T59)-4)),N(INDEX('Market Data'!$AF$5:$AF$66,INDEX('Market Data'!$J$5:$J$528,$T59)-4))&gt;0),INDEX('Market Data'!$AF$5:$AF$66,INDEX('Market Data'!$J$5:$J$528,$T59)-4),"date unavailable"),"date unavailable"))))</f>
        <v/>
      </c>
      <c r="Q59" s="15">
        <f>IF($T59=0,"",IF(INDEX('Market Data'!$J$5:$J$528,$T59)=0,"n/a",IF(AND($M$5&lt;&gt;"Snapshot",ISNUMBER(INDEX('Market Data'!$AH$5:$AH$66,INDEX('Market Data'!$J$5:$J$528,$T59)-4)),N(INDEX('Market Data'!$AH$5:$AH$66,INDEX('Market Data'!$J$5:$J$528,$T59)-4))&gt;0),"Bloomberg",IF(AND($M$5&lt;&gt;"Bloomberg",ISNUMBER(INDEX('Market Data'!$AC$5:$AC$66,INDEX('Market Data'!$J$5:$J$528,$T59)-4)),N(INDEX('Market Data'!$AC$5:$AC$66,INDEX('Market Data'!$J$5:$J$528,$T59)-4))&gt;0),"Snapshot","Unavailable"))))</f>
        <v/>
      </c>
      <c r="T59">
        <f>IFERROR(MATCH(51,'Market Data'!$S$5:$S$528,0),0)</f>
        <v/>
      </c>
    </row>
    <row r="60" ht="34" customHeight="1">
      <c r="A60" s="8">
        <f>IF($T60=0,"",IF(INDEX('Market Data'!$A$5:$A$528,$T60)="","",INDEX('Market Data'!$A$5:$A$528,$T60)))</f>
        <v/>
      </c>
      <c r="B60" s="9">
        <f>IF($T60=0,"",IF(INDEX('Market Data'!$B$5:$B$528,$T60)="","",INDEX('Market Data'!$B$5:$B$528,$T60)))</f>
        <v/>
      </c>
      <c r="C60" s="9">
        <f>IF($T60=0,"",IF(INDEX('Market Data'!$C$5:$C$528,$T60)="","",INDEX('Market Data'!$C$5:$C$528,$T60)))</f>
        <v/>
      </c>
      <c r="D60" s="9">
        <f>IF($T60=0,"",IF(INDEX('Market Data'!$D$5:$D$528,$T60)="","",INDEX('Market Data'!$D$5:$D$528,$T60)))</f>
        <v/>
      </c>
      <c r="E60" s="10">
        <f>IF($T60=0,"",INDEX('Market Data'!$O$5:$O$528,$T60))</f>
        <v/>
      </c>
      <c r="F60" s="11">
        <f>IF($T60=0,"",IF(AND($I60="Bloomberg",ISNUMBER(INDEX('Market Data'!$L$5:$L$528,$T60))),INDEX('Market Data'!$L$5:$L$528,$T60),"unavailable"))</f>
        <v/>
      </c>
      <c r="G60" s="12">
        <f>IF($T60=0,"",IF($I60="Bloomberg",IF(AND(ISNUMBER(INDEX('Market Data'!$M$5:$M$528,$T60)),N(INDEX('Market Data'!$M$5:$M$528,$T60))&gt;0),INDEX('Market Data'!$M$5:$M$528,$T60),"date unavailable"),IF($I60="Snapshot",IF(AND(ISNUMBER(INDEX('Market Data'!$H$5:$H$528,$T60)),N(INDEX('Market Data'!$H$5:$H$528,$T60))&gt;0),INDEX('Market Data'!$H$5:$H$528,$T60),"date unavailable"),"date unavailable")))</f>
        <v/>
      </c>
      <c r="H60" s="9">
        <f>IF($T60=0,"",IF($I60="Bloomberg",IF(INDEX('Market Data'!$N$5:$N$528,$T60)="","time unavailable",INDEX('Market Data'!$N$5:$N$528,$T60)),""))</f>
        <v/>
      </c>
      <c r="I60" s="9">
        <f>IF($T60=0,"",INDEX('Market Data'!$P$5:$P$528,$T60))</f>
        <v/>
      </c>
      <c r="J60" s="13">
        <f>IF($T60=0,"",IF(INDEX('Market Data'!$E$5:$E$528,$T60)="","",INDEX('Market Data'!$E$5:$E$528,$T60)))</f>
        <v/>
      </c>
      <c r="K60" s="8">
        <f>IF($T60=0,"",IF(INDEX('Market Data'!$I$5:$I$528,$T60)="","",INDEX('Market Data'!$I$5:$I$528,$T60)))</f>
        <v/>
      </c>
      <c r="L60" s="10">
        <f>IF($T60=0,"",IF(INDEX('Market Data'!$J$5:$J$528,$T60)=0,"n/a",IF(AND($M$5&lt;&gt;"Snapshot",ISNUMBER(INDEX('Market Data'!$AH$5:$AH$66,INDEX('Market Data'!$J$5:$J$528,$T60)-4)),N(INDEX('Market Data'!$AH$5:$AH$66,INDEX('Market Data'!$J$5:$J$528,$T60)-4))&gt;0),INDEX('Market Data'!$AH$5:$AH$66,INDEX('Market Data'!$J$5:$J$528,$T60)-4),IF(AND($M$5&lt;&gt;"Bloomberg",ISNUMBER(INDEX('Market Data'!$AC$5:$AC$66,INDEX('Market Data'!$J$5:$J$528,$T60)-4)),N(INDEX('Market Data'!$AC$5:$AC$66,INDEX('Market Data'!$J$5:$J$528,$T60)-4))&gt;0),INDEX('Market Data'!$AC$5:$AC$66,INDEX('Market Data'!$J$5:$J$528,$T60)-4),"unavailable"))))</f>
        <v/>
      </c>
      <c r="M60" s="11">
        <f>IF($T60=0,"",IF(INDEX('Market Data'!$J$5:$J$528,$T60)=0,"n/a",IF(IF(INDEX('Market Data'!$J$5:$J$528,$T60)=0,0,IF(LEFT(INDEX('Market Data'!$AS$5:$AS$66,INDEX('Market Data'!$J$5:$J$528,$T60)-4),11)="First-month",1,0))=1,"class review",IF($I60="Bloomberg",IF(AND(ISNUMBER(INDEX('Market Data'!$AH$5:$AH$66,INDEX('Market Data'!$J$5:$J$528,$T60)-4)),N(INDEX('Market Data'!$AH$5:$AH$66,INDEX('Market Data'!$J$5:$J$528,$T60)-4))&gt;0,ISNUMBER('Market Data'!$B$1),N('Market Data'!$B$1)&gt;0),INDEX('Market Data'!$AH$5:$AH$66,INDEX('Market Data'!$J$5:$J$528,$T60)-4)*'Market Data'!$B$1/$E60-1,"pending A/FX"),IF(AND($I60="Snapshot",$Q60="Snapshot",ISNUMBER($E60),$G60=INDEX('Market Data'!$AE$5:$AE$66,INDEX('Market Data'!$J$5:$J$528,$T60)-4)),IFERROR(INDEX('Market Data'!$AC$5:$AC$66,INDEX('Market Data'!$J$5:$J$528,$T60)-4)*INDEX('Market Data'!$AD$5:$AD$66,INDEX('Market Data'!$J$5:$J$528,$T60)-4)/$E60-1,"unavailable"),IF($I60="Unavailable","unavailable","date mismatch"))))))</f>
        <v/>
      </c>
      <c r="N60" s="11">
        <f>IF($T60=0,"",IFERROR(IF(AND(N(INDEX('Market Data'!$F$5:$F$528,$T60))&gt;0,ISNUMBER(INDEX('Market Data'!$T$5:$T$528,$T60))),$E60*INDEX('Market Data'!$T$5:$T$528,$T60)/INDEX('Market Data'!$F$5:$F$528,$T60)-1,"unavailable"),"unavailable"))</f>
        <v/>
      </c>
      <c r="O60" s="9">
        <f>IF($T60=0,"",IF(IF(INDEX('Market Data'!$J$5:$J$528,$T60)=0,0,IF(LEFT(INDEX('Market Data'!$AS$5:$AS$66,INDEX('Market Data'!$J$5:$J$528,$T60)-4),11)="First-month",1,0))=1,"Class ratio review",IF($I60="Bloomberg",IF(ISNUMBER($G60),IF($G60&lt;TODAY(),"Older quote","See quote time"),"Date unavailable"),IF($I60="Snapshot",IF($G60&lt;DATEVALUE("2026-10-02"),"Older snapshot","Dated close"),"No valid quote"))))</f>
        <v/>
      </c>
      <c r="P60" s="14">
        <f>IF($T60=0,"",IF(INDEX('Market Data'!$J$5:$J$528,$T60)=0,"n/a",IF($Q60="Bloomberg",IF(AND(ISNUMBER(INDEX('Market Data'!$AK$5:$AK$66,INDEX('Market Data'!$J$5:$J$528,$T60)-4)),N(INDEX('Market Data'!$AK$5:$AK$66,INDEX('Market Data'!$J$5:$J$528,$T60)-4))&gt;0),INDEX('Market Data'!$AK$5:$AK$66,INDEX('Market Data'!$J$5:$J$528,$T60)-4),"date unavailable"),IF($Q60="Snapshot",IF(AND(ISNUMBER(INDEX('Market Data'!$AF$5:$AF$66,INDEX('Market Data'!$J$5:$J$528,$T60)-4)),N(INDEX('Market Data'!$AF$5:$AF$66,INDEX('Market Data'!$J$5:$J$528,$T60)-4))&gt;0),INDEX('Market Data'!$AF$5:$AF$66,INDEX('Market Data'!$J$5:$J$528,$T60)-4),"date unavailable"),"date unavailable"))))</f>
        <v/>
      </c>
      <c r="Q60" s="15">
        <f>IF($T60=0,"",IF(INDEX('Market Data'!$J$5:$J$528,$T60)=0,"n/a",IF(AND($M$5&lt;&gt;"Snapshot",ISNUMBER(INDEX('Market Data'!$AH$5:$AH$66,INDEX('Market Data'!$J$5:$J$528,$T60)-4)),N(INDEX('Market Data'!$AH$5:$AH$66,INDEX('Market Data'!$J$5:$J$528,$T60)-4))&gt;0),"Bloomberg",IF(AND($M$5&lt;&gt;"Bloomberg",ISNUMBER(INDEX('Market Data'!$AC$5:$AC$66,INDEX('Market Data'!$J$5:$J$528,$T60)-4)),N(INDEX('Market Data'!$AC$5:$AC$66,INDEX('Market Data'!$J$5:$J$528,$T60)-4))&gt;0),"Snapshot","Unavailable"))))</f>
        <v/>
      </c>
      <c r="T60">
        <f>IFERROR(MATCH(52,'Market Data'!$S$5:$S$528,0),0)</f>
        <v/>
      </c>
    </row>
    <row r="61" ht="34" customHeight="1">
      <c r="A61" s="8">
        <f>IF($T61=0,"",IF(INDEX('Market Data'!$A$5:$A$528,$T61)="","",INDEX('Market Data'!$A$5:$A$528,$T61)))</f>
        <v/>
      </c>
      <c r="B61" s="9">
        <f>IF($T61=0,"",IF(INDEX('Market Data'!$B$5:$B$528,$T61)="","",INDEX('Market Data'!$B$5:$B$528,$T61)))</f>
        <v/>
      </c>
      <c r="C61" s="9">
        <f>IF($T61=0,"",IF(INDEX('Market Data'!$C$5:$C$528,$T61)="","",INDEX('Market Data'!$C$5:$C$528,$T61)))</f>
        <v/>
      </c>
      <c r="D61" s="9">
        <f>IF($T61=0,"",IF(INDEX('Market Data'!$D$5:$D$528,$T61)="","",INDEX('Market Data'!$D$5:$D$528,$T61)))</f>
        <v/>
      </c>
      <c r="E61" s="10">
        <f>IF($T61=0,"",INDEX('Market Data'!$O$5:$O$528,$T61))</f>
        <v/>
      </c>
      <c r="F61" s="11">
        <f>IF($T61=0,"",IF(AND($I61="Bloomberg",ISNUMBER(INDEX('Market Data'!$L$5:$L$528,$T61))),INDEX('Market Data'!$L$5:$L$528,$T61),"unavailable"))</f>
        <v/>
      </c>
      <c r="G61" s="12">
        <f>IF($T61=0,"",IF($I61="Bloomberg",IF(AND(ISNUMBER(INDEX('Market Data'!$M$5:$M$528,$T61)),N(INDEX('Market Data'!$M$5:$M$528,$T61))&gt;0),INDEX('Market Data'!$M$5:$M$528,$T61),"date unavailable"),IF($I61="Snapshot",IF(AND(ISNUMBER(INDEX('Market Data'!$H$5:$H$528,$T61)),N(INDEX('Market Data'!$H$5:$H$528,$T61))&gt;0),INDEX('Market Data'!$H$5:$H$528,$T61),"date unavailable"),"date unavailable")))</f>
        <v/>
      </c>
      <c r="H61" s="9">
        <f>IF($T61=0,"",IF($I61="Bloomberg",IF(INDEX('Market Data'!$N$5:$N$528,$T61)="","time unavailable",INDEX('Market Data'!$N$5:$N$528,$T61)),""))</f>
        <v/>
      </c>
      <c r="I61" s="9">
        <f>IF($T61=0,"",INDEX('Market Data'!$P$5:$P$528,$T61))</f>
        <v/>
      </c>
      <c r="J61" s="13">
        <f>IF($T61=0,"",IF(INDEX('Market Data'!$E$5:$E$528,$T61)="","",INDEX('Market Data'!$E$5:$E$528,$T61)))</f>
        <v/>
      </c>
      <c r="K61" s="8">
        <f>IF($T61=0,"",IF(INDEX('Market Data'!$I$5:$I$528,$T61)="","",INDEX('Market Data'!$I$5:$I$528,$T61)))</f>
        <v/>
      </c>
      <c r="L61" s="10">
        <f>IF($T61=0,"",IF(INDEX('Market Data'!$J$5:$J$528,$T61)=0,"n/a",IF(AND($M$5&lt;&gt;"Snapshot",ISNUMBER(INDEX('Market Data'!$AH$5:$AH$66,INDEX('Market Data'!$J$5:$J$528,$T61)-4)),N(INDEX('Market Data'!$AH$5:$AH$66,INDEX('Market Data'!$J$5:$J$528,$T61)-4))&gt;0),INDEX('Market Data'!$AH$5:$AH$66,INDEX('Market Data'!$J$5:$J$528,$T61)-4),IF(AND($M$5&lt;&gt;"Bloomberg",ISNUMBER(INDEX('Market Data'!$AC$5:$AC$66,INDEX('Market Data'!$J$5:$J$528,$T61)-4)),N(INDEX('Market Data'!$AC$5:$AC$66,INDEX('Market Data'!$J$5:$J$528,$T61)-4))&gt;0),INDEX('Market Data'!$AC$5:$AC$66,INDEX('Market Data'!$J$5:$J$528,$T61)-4),"unavailable"))))</f>
        <v/>
      </c>
      <c r="M61" s="11">
        <f>IF($T61=0,"",IF(INDEX('Market Data'!$J$5:$J$528,$T61)=0,"n/a",IF(IF(INDEX('Market Data'!$J$5:$J$528,$T61)=0,0,IF(LEFT(INDEX('Market Data'!$AS$5:$AS$66,INDEX('Market Data'!$J$5:$J$528,$T61)-4),11)="First-month",1,0))=1,"class review",IF($I61="Bloomberg",IF(AND(ISNUMBER(INDEX('Market Data'!$AH$5:$AH$66,INDEX('Market Data'!$J$5:$J$528,$T61)-4)),N(INDEX('Market Data'!$AH$5:$AH$66,INDEX('Market Data'!$J$5:$J$528,$T61)-4))&gt;0,ISNUMBER('Market Data'!$B$1),N('Market Data'!$B$1)&gt;0),INDEX('Market Data'!$AH$5:$AH$66,INDEX('Market Data'!$J$5:$J$528,$T61)-4)*'Market Data'!$B$1/$E61-1,"pending A/FX"),IF(AND($I61="Snapshot",$Q61="Snapshot",ISNUMBER($E61),$G61=INDEX('Market Data'!$AE$5:$AE$66,INDEX('Market Data'!$J$5:$J$528,$T61)-4)),IFERROR(INDEX('Market Data'!$AC$5:$AC$66,INDEX('Market Data'!$J$5:$J$528,$T61)-4)*INDEX('Market Data'!$AD$5:$AD$66,INDEX('Market Data'!$J$5:$J$528,$T61)-4)/$E61-1,"unavailable"),IF($I61="Unavailable","unavailable","date mismatch"))))))</f>
        <v/>
      </c>
      <c r="N61" s="11">
        <f>IF($T61=0,"",IFERROR(IF(AND(N(INDEX('Market Data'!$F$5:$F$528,$T61))&gt;0,ISNUMBER(INDEX('Market Data'!$T$5:$T$528,$T61))),$E61*INDEX('Market Data'!$T$5:$T$528,$T61)/INDEX('Market Data'!$F$5:$F$528,$T61)-1,"unavailable"),"unavailable"))</f>
        <v/>
      </c>
      <c r="O61" s="9">
        <f>IF($T61=0,"",IF(IF(INDEX('Market Data'!$J$5:$J$528,$T61)=0,0,IF(LEFT(INDEX('Market Data'!$AS$5:$AS$66,INDEX('Market Data'!$J$5:$J$528,$T61)-4),11)="First-month",1,0))=1,"Class ratio review",IF($I61="Bloomberg",IF(ISNUMBER($G61),IF($G61&lt;TODAY(),"Older quote","See quote time"),"Date unavailable"),IF($I61="Snapshot",IF($G61&lt;DATEVALUE("2026-10-02"),"Older snapshot","Dated close"),"No valid quote"))))</f>
        <v/>
      </c>
      <c r="P61" s="14">
        <f>IF($T61=0,"",IF(INDEX('Market Data'!$J$5:$J$528,$T61)=0,"n/a",IF($Q61="Bloomberg",IF(AND(ISNUMBER(INDEX('Market Data'!$AK$5:$AK$66,INDEX('Market Data'!$J$5:$J$528,$T61)-4)),N(INDEX('Market Data'!$AK$5:$AK$66,INDEX('Market Data'!$J$5:$J$528,$T61)-4))&gt;0),INDEX('Market Data'!$AK$5:$AK$66,INDEX('Market Data'!$J$5:$J$528,$T61)-4),"date unavailable"),IF($Q61="Snapshot",IF(AND(ISNUMBER(INDEX('Market Data'!$AF$5:$AF$66,INDEX('Market Data'!$J$5:$J$528,$T61)-4)),N(INDEX('Market Data'!$AF$5:$AF$66,INDEX('Market Data'!$J$5:$J$528,$T61)-4))&gt;0),INDEX('Market Data'!$AF$5:$AF$66,INDEX('Market Data'!$J$5:$J$528,$T61)-4),"date unavailable"),"date unavailable"))))</f>
        <v/>
      </c>
      <c r="Q61" s="15">
        <f>IF($T61=0,"",IF(INDEX('Market Data'!$J$5:$J$528,$T61)=0,"n/a",IF(AND($M$5&lt;&gt;"Snapshot",ISNUMBER(INDEX('Market Data'!$AH$5:$AH$66,INDEX('Market Data'!$J$5:$J$528,$T61)-4)),N(INDEX('Market Data'!$AH$5:$AH$66,INDEX('Market Data'!$J$5:$J$528,$T61)-4))&gt;0),"Bloomberg",IF(AND($M$5&lt;&gt;"Bloomberg",ISNUMBER(INDEX('Market Data'!$AC$5:$AC$66,INDEX('Market Data'!$J$5:$J$528,$T61)-4)),N(INDEX('Market Data'!$AC$5:$AC$66,INDEX('Market Data'!$J$5:$J$528,$T61)-4))&gt;0),"Snapshot","Unavailable"))))</f>
        <v/>
      </c>
      <c r="T61">
        <f>IFERROR(MATCH(53,'Market Data'!$S$5:$S$528,0),0)</f>
        <v/>
      </c>
    </row>
    <row r="62" ht="34" customHeight="1">
      <c r="A62" s="8">
        <f>IF($T62=0,"",IF(INDEX('Market Data'!$A$5:$A$528,$T62)="","",INDEX('Market Data'!$A$5:$A$528,$T62)))</f>
        <v/>
      </c>
      <c r="B62" s="9">
        <f>IF($T62=0,"",IF(INDEX('Market Data'!$B$5:$B$528,$T62)="","",INDEX('Market Data'!$B$5:$B$528,$T62)))</f>
        <v/>
      </c>
      <c r="C62" s="9">
        <f>IF($T62=0,"",IF(INDEX('Market Data'!$C$5:$C$528,$T62)="","",INDEX('Market Data'!$C$5:$C$528,$T62)))</f>
        <v/>
      </c>
      <c r="D62" s="9">
        <f>IF($T62=0,"",IF(INDEX('Market Data'!$D$5:$D$528,$T62)="","",INDEX('Market Data'!$D$5:$D$528,$T62)))</f>
        <v/>
      </c>
      <c r="E62" s="10">
        <f>IF($T62=0,"",INDEX('Market Data'!$O$5:$O$528,$T62))</f>
        <v/>
      </c>
      <c r="F62" s="11">
        <f>IF($T62=0,"",IF(AND($I62="Bloomberg",ISNUMBER(INDEX('Market Data'!$L$5:$L$528,$T62))),INDEX('Market Data'!$L$5:$L$528,$T62),"unavailable"))</f>
        <v/>
      </c>
      <c r="G62" s="12">
        <f>IF($T62=0,"",IF($I62="Bloomberg",IF(AND(ISNUMBER(INDEX('Market Data'!$M$5:$M$528,$T62)),N(INDEX('Market Data'!$M$5:$M$528,$T62))&gt;0),INDEX('Market Data'!$M$5:$M$528,$T62),"date unavailable"),IF($I62="Snapshot",IF(AND(ISNUMBER(INDEX('Market Data'!$H$5:$H$528,$T62)),N(INDEX('Market Data'!$H$5:$H$528,$T62))&gt;0),INDEX('Market Data'!$H$5:$H$528,$T62),"date unavailable"),"date unavailable")))</f>
        <v/>
      </c>
      <c r="H62" s="9">
        <f>IF($T62=0,"",IF($I62="Bloomberg",IF(INDEX('Market Data'!$N$5:$N$528,$T62)="","time unavailable",INDEX('Market Data'!$N$5:$N$528,$T62)),""))</f>
        <v/>
      </c>
      <c r="I62" s="9">
        <f>IF($T62=0,"",INDEX('Market Data'!$P$5:$P$528,$T62))</f>
        <v/>
      </c>
      <c r="J62" s="13">
        <f>IF($T62=0,"",IF(INDEX('Market Data'!$E$5:$E$528,$T62)="","",INDEX('Market Data'!$E$5:$E$528,$T62)))</f>
        <v/>
      </c>
      <c r="K62" s="8">
        <f>IF($T62=0,"",IF(INDEX('Market Data'!$I$5:$I$528,$T62)="","",INDEX('Market Data'!$I$5:$I$528,$T62)))</f>
        <v/>
      </c>
      <c r="L62" s="10">
        <f>IF($T62=0,"",IF(INDEX('Market Data'!$J$5:$J$528,$T62)=0,"n/a",IF(AND($M$5&lt;&gt;"Snapshot",ISNUMBER(INDEX('Market Data'!$AH$5:$AH$66,INDEX('Market Data'!$J$5:$J$528,$T62)-4)),N(INDEX('Market Data'!$AH$5:$AH$66,INDEX('Market Data'!$J$5:$J$528,$T62)-4))&gt;0),INDEX('Market Data'!$AH$5:$AH$66,INDEX('Market Data'!$J$5:$J$528,$T62)-4),IF(AND($M$5&lt;&gt;"Bloomberg",ISNUMBER(INDEX('Market Data'!$AC$5:$AC$66,INDEX('Market Data'!$J$5:$J$528,$T62)-4)),N(INDEX('Market Data'!$AC$5:$AC$66,INDEX('Market Data'!$J$5:$J$528,$T62)-4))&gt;0),INDEX('Market Data'!$AC$5:$AC$66,INDEX('Market Data'!$J$5:$J$528,$T62)-4),"unavailable"))))</f>
        <v/>
      </c>
      <c r="M62" s="11">
        <f>IF($T62=0,"",IF(INDEX('Market Data'!$J$5:$J$528,$T62)=0,"n/a",IF(IF(INDEX('Market Data'!$J$5:$J$528,$T62)=0,0,IF(LEFT(INDEX('Market Data'!$AS$5:$AS$66,INDEX('Market Data'!$J$5:$J$528,$T62)-4),11)="First-month",1,0))=1,"class review",IF($I62="Bloomberg",IF(AND(ISNUMBER(INDEX('Market Data'!$AH$5:$AH$66,INDEX('Market Data'!$J$5:$J$528,$T62)-4)),N(INDEX('Market Data'!$AH$5:$AH$66,INDEX('Market Data'!$J$5:$J$528,$T62)-4))&gt;0,ISNUMBER('Market Data'!$B$1),N('Market Data'!$B$1)&gt;0),INDEX('Market Data'!$AH$5:$AH$66,INDEX('Market Data'!$J$5:$J$528,$T62)-4)*'Market Data'!$B$1/$E62-1,"pending A/FX"),IF(AND($I62="Snapshot",$Q62="Snapshot",ISNUMBER($E62),$G62=INDEX('Market Data'!$AE$5:$AE$66,INDEX('Market Data'!$J$5:$J$528,$T62)-4)),IFERROR(INDEX('Market Data'!$AC$5:$AC$66,INDEX('Market Data'!$J$5:$J$528,$T62)-4)*INDEX('Market Data'!$AD$5:$AD$66,INDEX('Market Data'!$J$5:$J$528,$T62)-4)/$E62-1,"unavailable"),IF($I62="Unavailable","unavailable","date mismatch"))))))</f>
        <v/>
      </c>
      <c r="N62" s="11">
        <f>IF($T62=0,"",IFERROR(IF(AND(N(INDEX('Market Data'!$F$5:$F$528,$T62))&gt;0,ISNUMBER(INDEX('Market Data'!$T$5:$T$528,$T62))),$E62*INDEX('Market Data'!$T$5:$T$528,$T62)/INDEX('Market Data'!$F$5:$F$528,$T62)-1,"unavailable"),"unavailable"))</f>
        <v/>
      </c>
      <c r="O62" s="9">
        <f>IF($T62=0,"",IF(IF(INDEX('Market Data'!$J$5:$J$528,$T62)=0,0,IF(LEFT(INDEX('Market Data'!$AS$5:$AS$66,INDEX('Market Data'!$J$5:$J$528,$T62)-4),11)="First-month",1,0))=1,"Class ratio review",IF($I62="Bloomberg",IF(ISNUMBER($G62),IF($G62&lt;TODAY(),"Older quote","See quote time"),"Date unavailable"),IF($I62="Snapshot",IF($G62&lt;DATEVALUE("2026-10-02"),"Older snapshot","Dated close"),"No valid quote"))))</f>
        <v/>
      </c>
      <c r="P62" s="14">
        <f>IF($T62=0,"",IF(INDEX('Market Data'!$J$5:$J$528,$T62)=0,"n/a",IF($Q62="Bloomberg",IF(AND(ISNUMBER(INDEX('Market Data'!$AK$5:$AK$66,INDEX('Market Data'!$J$5:$J$528,$T62)-4)),N(INDEX('Market Data'!$AK$5:$AK$66,INDEX('Market Data'!$J$5:$J$528,$T62)-4))&gt;0),INDEX('Market Data'!$AK$5:$AK$66,INDEX('Market Data'!$J$5:$J$528,$T62)-4),"date unavailable"),IF($Q62="Snapshot",IF(AND(ISNUMBER(INDEX('Market Data'!$AF$5:$AF$66,INDEX('Market Data'!$J$5:$J$528,$T62)-4)),N(INDEX('Market Data'!$AF$5:$AF$66,INDEX('Market Data'!$J$5:$J$528,$T62)-4))&gt;0),INDEX('Market Data'!$AF$5:$AF$66,INDEX('Market Data'!$J$5:$J$528,$T62)-4),"date unavailable"),"date unavailable"))))</f>
        <v/>
      </c>
      <c r="Q62" s="15">
        <f>IF($T62=0,"",IF(INDEX('Market Data'!$J$5:$J$528,$T62)=0,"n/a",IF(AND($M$5&lt;&gt;"Snapshot",ISNUMBER(INDEX('Market Data'!$AH$5:$AH$66,INDEX('Market Data'!$J$5:$J$528,$T62)-4)),N(INDEX('Market Data'!$AH$5:$AH$66,INDEX('Market Data'!$J$5:$J$528,$T62)-4))&gt;0),"Bloomberg",IF(AND($M$5&lt;&gt;"Bloomberg",ISNUMBER(INDEX('Market Data'!$AC$5:$AC$66,INDEX('Market Data'!$J$5:$J$528,$T62)-4)),N(INDEX('Market Data'!$AC$5:$AC$66,INDEX('Market Data'!$J$5:$J$528,$T62)-4))&gt;0),"Snapshot","Unavailable"))))</f>
        <v/>
      </c>
      <c r="T62">
        <f>IFERROR(MATCH(54,'Market Data'!$S$5:$S$528,0),0)</f>
        <v/>
      </c>
    </row>
    <row r="63" ht="34" customHeight="1">
      <c r="A63" s="8">
        <f>IF($T63=0,"",IF(INDEX('Market Data'!$A$5:$A$528,$T63)="","",INDEX('Market Data'!$A$5:$A$528,$T63)))</f>
        <v/>
      </c>
      <c r="B63" s="9">
        <f>IF($T63=0,"",IF(INDEX('Market Data'!$B$5:$B$528,$T63)="","",INDEX('Market Data'!$B$5:$B$528,$T63)))</f>
        <v/>
      </c>
      <c r="C63" s="9">
        <f>IF($T63=0,"",IF(INDEX('Market Data'!$C$5:$C$528,$T63)="","",INDEX('Market Data'!$C$5:$C$528,$T63)))</f>
        <v/>
      </c>
      <c r="D63" s="9">
        <f>IF($T63=0,"",IF(INDEX('Market Data'!$D$5:$D$528,$T63)="","",INDEX('Market Data'!$D$5:$D$528,$T63)))</f>
        <v/>
      </c>
      <c r="E63" s="10">
        <f>IF($T63=0,"",INDEX('Market Data'!$O$5:$O$528,$T63))</f>
        <v/>
      </c>
      <c r="F63" s="11">
        <f>IF($T63=0,"",IF(AND($I63="Bloomberg",ISNUMBER(INDEX('Market Data'!$L$5:$L$528,$T63))),INDEX('Market Data'!$L$5:$L$528,$T63),"unavailable"))</f>
        <v/>
      </c>
      <c r="G63" s="12">
        <f>IF($T63=0,"",IF($I63="Bloomberg",IF(AND(ISNUMBER(INDEX('Market Data'!$M$5:$M$528,$T63)),N(INDEX('Market Data'!$M$5:$M$528,$T63))&gt;0),INDEX('Market Data'!$M$5:$M$528,$T63),"date unavailable"),IF($I63="Snapshot",IF(AND(ISNUMBER(INDEX('Market Data'!$H$5:$H$528,$T63)),N(INDEX('Market Data'!$H$5:$H$528,$T63))&gt;0),INDEX('Market Data'!$H$5:$H$528,$T63),"date unavailable"),"date unavailable")))</f>
        <v/>
      </c>
      <c r="H63" s="9">
        <f>IF($T63=0,"",IF($I63="Bloomberg",IF(INDEX('Market Data'!$N$5:$N$528,$T63)="","time unavailable",INDEX('Market Data'!$N$5:$N$528,$T63)),""))</f>
        <v/>
      </c>
      <c r="I63" s="9">
        <f>IF($T63=0,"",INDEX('Market Data'!$P$5:$P$528,$T63))</f>
        <v/>
      </c>
      <c r="J63" s="13">
        <f>IF($T63=0,"",IF(INDEX('Market Data'!$E$5:$E$528,$T63)="","",INDEX('Market Data'!$E$5:$E$528,$T63)))</f>
        <v/>
      </c>
      <c r="K63" s="8">
        <f>IF($T63=0,"",IF(INDEX('Market Data'!$I$5:$I$528,$T63)="","",INDEX('Market Data'!$I$5:$I$528,$T63)))</f>
        <v/>
      </c>
      <c r="L63" s="10">
        <f>IF($T63=0,"",IF(INDEX('Market Data'!$J$5:$J$528,$T63)=0,"n/a",IF(AND($M$5&lt;&gt;"Snapshot",ISNUMBER(INDEX('Market Data'!$AH$5:$AH$66,INDEX('Market Data'!$J$5:$J$528,$T63)-4)),N(INDEX('Market Data'!$AH$5:$AH$66,INDEX('Market Data'!$J$5:$J$528,$T63)-4))&gt;0),INDEX('Market Data'!$AH$5:$AH$66,INDEX('Market Data'!$J$5:$J$528,$T63)-4),IF(AND($M$5&lt;&gt;"Bloomberg",ISNUMBER(INDEX('Market Data'!$AC$5:$AC$66,INDEX('Market Data'!$J$5:$J$528,$T63)-4)),N(INDEX('Market Data'!$AC$5:$AC$66,INDEX('Market Data'!$J$5:$J$528,$T63)-4))&gt;0),INDEX('Market Data'!$AC$5:$AC$66,INDEX('Market Data'!$J$5:$J$528,$T63)-4),"unavailable"))))</f>
        <v/>
      </c>
      <c r="M63" s="11">
        <f>IF($T63=0,"",IF(INDEX('Market Data'!$J$5:$J$528,$T63)=0,"n/a",IF(IF(INDEX('Market Data'!$J$5:$J$528,$T63)=0,0,IF(LEFT(INDEX('Market Data'!$AS$5:$AS$66,INDEX('Market Data'!$J$5:$J$528,$T63)-4),11)="First-month",1,0))=1,"class review",IF($I63="Bloomberg",IF(AND(ISNUMBER(INDEX('Market Data'!$AH$5:$AH$66,INDEX('Market Data'!$J$5:$J$528,$T63)-4)),N(INDEX('Market Data'!$AH$5:$AH$66,INDEX('Market Data'!$J$5:$J$528,$T63)-4))&gt;0,ISNUMBER('Market Data'!$B$1),N('Market Data'!$B$1)&gt;0),INDEX('Market Data'!$AH$5:$AH$66,INDEX('Market Data'!$J$5:$J$528,$T63)-4)*'Market Data'!$B$1/$E63-1,"pending A/FX"),IF(AND($I63="Snapshot",$Q63="Snapshot",ISNUMBER($E63),$G63=INDEX('Market Data'!$AE$5:$AE$66,INDEX('Market Data'!$J$5:$J$528,$T63)-4)),IFERROR(INDEX('Market Data'!$AC$5:$AC$66,INDEX('Market Data'!$J$5:$J$528,$T63)-4)*INDEX('Market Data'!$AD$5:$AD$66,INDEX('Market Data'!$J$5:$J$528,$T63)-4)/$E63-1,"unavailable"),IF($I63="Unavailable","unavailable","date mismatch"))))))</f>
        <v/>
      </c>
      <c r="N63" s="11">
        <f>IF($T63=0,"",IFERROR(IF(AND(N(INDEX('Market Data'!$F$5:$F$528,$T63))&gt;0,ISNUMBER(INDEX('Market Data'!$T$5:$T$528,$T63))),$E63*INDEX('Market Data'!$T$5:$T$528,$T63)/INDEX('Market Data'!$F$5:$F$528,$T63)-1,"unavailable"),"unavailable"))</f>
        <v/>
      </c>
      <c r="O63" s="9">
        <f>IF($T63=0,"",IF(IF(INDEX('Market Data'!$J$5:$J$528,$T63)=0,0,IF(LEFT(INDEX('Market Data'!$AS$5:$AS$66,INDEX('Market Data'!$J$5:$J$528,$T63)-4),11)="First-month",1,0))=1,"Class ratio review",IF($I63="Bloomberg",IF(ISNUMBER($G63),IF($G63&lt;TODAY(),"Older quote","See quote time"),"Date unavailable"),IF($I63="Snapshot",IF($G63&lt;DATEVALUE("2026-10-02"),"Older snapshot","Dated close"),"No valid quote"))))</f>
        <v/>
      </c>
      <c r="P63" s="14">
        <f>IF($T63=0,"",IF(INDEX('Market Data'!$J$5:$J$528,$T63)=0,"n/a",IF($Q63="Bloomberg",IF(AND(ISNUMBER(INDEX('Market Data'!$AK$5:$AK$66,INDEX('Market Data'!$J$5:$J$528,$T63)-4)),N(INDEX('Market Data'!$AK$5:$AK$66,INDEX('Market Data'!$J$5:$J$528,$T63)-4))&gt;0),INDEX('Market Data'!$AK$5:$AK$66,INDEX('Market Data'!$J$5:$J$528,$T63)-4),"date unavailable"),IF($Q63="Snapshot",IF(AND(ISNUMBER(INDEX('Market Data'!$AF$5:$AF$66,INDEX('Market Data'!$J$5:$J$528,$T63)-4)),N(INDEX('Market Data'!$AF$5:$AF$66,INDEX('Market Data'!$J$5:$J$528,$T63)-4))&gt;0),INDEX('Market Data'!$AF$5:$AF$66,INDEX('Market Data'!$J$5:$J$528,$T63)-4),"date unavailable"),"date unavailable"))))</f>
        <v/>
      </c>
      <c r="Q63" s="15">
        <f>IF($T63=0,"",IF(INDEX('Market Data'!$J$5:$J$528,$T63)=0,"n/a",IF(AND($M$5&lt;&gt;"Snapshot",ISNUMBER(INDEX('Market Data'!$AH$5:$AH$66,INDEX('Market Data'!$J$5:$J$528,$T63)-4)),N(INDEX('Market Data'!$AH$5:$AH$66,INDEX('Market Data'!$J$5:$J$528,$T63)-4))&gt;0),"Bloomberg",IF(AND($M$5&lt;&gt;"Bloomberg",ISNUMBER(INDEX('Market Data'!$AC$5:$AC$66,INDEX('Market Data'!$J$5:$J$528,$T63)-4)),N(INDEX('Market Data'!$AC$5:$AC$66,INDEX('Market Data'!$J$5:$J$528,$T63)-4))&gt;0),"Snapshot","Unavailable"))))</f>
        <v/>
      </c>
      <c r="T63">
        <f>IFERROR(MATCH(55,'Market Data'!$S$5:$S$528,0),0)</f>
        <v/>
      </c>
    </row>
    <row r="64" ht="34" customHeight="1">
      <c r="A64" s="8">
        <f>IF($T64=0,"",IF(INDEX('Market Data'!$A$5:$A$528,$T64)="","",INDEX('Market Data'!$A$5:$A$528,$T64)))</f>
        <v/>
      </c>
      <c r="B64" s="9">
        <f>IF($T64=0,"",IF(INDEX('Market Data'!$B$5:$B$528,$T64)="","",INDEX('Market Data'!$B$5:$B$528,$T64)))</f>
        <v/>
      </c>
      <c r="C64" s="9">
        <f>IF($T64=0,"",IF(INDEX('Market Data'!$C$5:$C$528,$T64)="","",INDEX('Market Data'!$C$5:$C$528,$T64)))</f>
        <v/>
      </c>
      <c r="D64" s="9">
        <f>IF($T64=0,"",IF(INDEX('Market Data'!$D$5:$D$528,$T64)="","",INDEX('Market Data'!$D$5:$D$528,$T64)))</f>
        <v/>
      </c>
      <c r="E64" s="10">
        <f>IF($T64=0,"",INDEX('Market Data'!$O$5:$O$528,$T64))</f>
        <v/>
      </c>
      <c r="F64" s="11">
        <f>IF($T64=0,"",IF(AND($I64="Bloomberg",ISNUMBER(INDEX('Market Data'!$L$5:$L$528,$T64))),INDEX('Market Data'!$L$5:$L$528,$T64),"unavailable"))</f>
        <v/>
      </c>
      <c r="G64" s="12">
        <f>IF($T64=0,"",IF($I64="Bloomberg",IF(AND(ISNUMBER(INDEX('Market Data'!$M$5:$M$528,$T64)),N(INDEX('Market Data'!$M$5:$M$528,$T64))&gt;0),INDEX('Market Data'!$M$5:$M$528,$T64),"date unavailable"),IF($I64="Snapshot",IF(AND(ISNUMBER(INDEX('Market Data'!$H$5:$H$528,$T64)),N(INDEX('Market Data'!$H$5:$H$528,$T64))&gt;0),INDEX('Market Data'!$H$5:$H$528,$T64),"date unavailable"),"date unavailable")))</f>
        <v/>
      </c>
      <c r="H64" s="9">
        <f>IF($T64=0,"",IF($I64="Bloomberg",IF(INDEX('Market Data'!$N$5:$N$528,$T64)="","time unavailable",INDEX('Market Data'!$N$5:$N$528,$T64)),""))</f>
        <v/>
      </c>
      <c r="I64" s="9">
        <f>IF($T64=0,"",INDEX('Market Data'!$P$5:$P$528,$T64))</f>
        <v/>
      </c>
      <c r="J64" s="13">
        <f>IF($T64=0,"",IF(INDEX('Market Data'!$E$5:$E$528,$T64)="","",INDEX('Market Data'!$E$5:$E$528,$T64)))</f>
        <v/>
      </c>
      <c r="K64" s="8">
        <f>IF($T64=0,"",IF(INDEX('Market Data'!$I$5:$I$528,$T64)="","",INDEX('Market Data'!$I$5:$I$528,$T64)))</f>
        <v/>
      </c>
      <c r="L64" s="10">
        <f>IF($T64=0,"",IF(INDEX('Market Data'!$J$5:$J$528,$T64)=0,"n/a",IF(AND($M$5&lt;&gt;"Snapshot",ISNUMBER(INDEX('Market Data'!$AH$5:$AH$66,INDEX('Market Data'!$J$5:$J$528,$T64)-4)),N(INDEX('Market Data'!$AH$5:$AH$66,INDEX('Market Data'!$J$5:$J$528,$T64)-4))&gt;0),INDEX('Market Data'!$AH$5:$AH$66,INDEX('Market Data'!$J$5:$J$528,$T64)-4),IF(AND($M$5&lt;&gt;"Bloomberg",ISNUMBER(INDEX('Market Data'!$AC$5:$AC$66,INDEX('Market Data'!$J$5:$J$528,$T64)-4)),N(INDEX('Market Data'!$AC$5:$AC$66,INDEX('Market Data'!$J$5:$J$528,$T64)-4))&gt;0),INDEX('Market Data'!$AC$5:$AC$66,INDEX('Market Data'!$J$5:$J$528,$T64)-4),"unavailable"))))</f>
        <v/>
      </c>
      <c r="M64" s="11">
        <f>IF($T64=0,"",IF(INDEX('Market Data'!$J$5:$J$528,$T64)=0,"n/a",IF(IF(INDEX('Market Data'!$J$5:$J$528,$T64)=0,0,IF(LEFT(INDEX('Market Data'!$AS$5:$AS$66,INDEX('Market Data'!$J$5:$J$528,$T64)-4),11)="First-month",1,0))=1,"class review",IF($I64="Bloomberg",IF(AND(ISNUMBER(INDEX('Market Data'!$AH$5:$AH$66,INDEX('Market Data'!$J$5:$J$528,$T64)-4)),N(INDEX('Market Data'!$AH$5:$AH$66,INDEX('Market Data'!$J$5:$J$528,$T64)-4))&gt;0,ISNUMBER('Market Data'!$B$1),N('Market Data'!$B$1)&gt;0),INDEX('Market Data'!$AH$5:$AH$66,INDEX('Market Data'!$J$5:$J$528,$T64)-4)*'Market Data'!$B$1/$E64-1,"pending A/FX"),IF(AND($I64="Snapshot",$Q64="Snapshot",ISNUMBER($E64),$G64=INDEX('Market Data'!$AE$5:$AE$66,INDEX('Market Data'!$J$5:$J$528,$T64)-4)),IFERROR(INDEX('Market Data'!$AC$5:$AC$66,INDEX('Market Data'!$J$5:$J$528,$T64)-4)*INDEX('Market Data'!$AD$5:$AD$66,INDEX('Market Data'!$J$5:$J$528,$T64)-4)/$E64-1,"unavailable"),IF($I64="Unavailable","unavailable","date mismatch"))))))</f>
        <v/>
      </c>
      <c r="N64" s="11">
        <f>IF($T64=0,"",IFERROR(IF(AND(N(INDEX('Market Data'!$F$5:$F$528,$T64))&gt;0,ISNUMBER(INDEX('Market Data'!$T$5:$T$528,$T64))),$E64*INDEX('Market Data'!$T$5:$T$528,$T64)/INDEX('Market Data'!$F$5:$F$528,$T64)-1,"unavailable"),"unavailable"))</f>
        <v/>
      </c>
      <c r="O64" s="9">
        <f>IF($T64=0,"",IF(IF(INDEX('Market Data'!$J$5:$J$528,$T64)=0,0,IF(LEFT(INDEX('Market Data'!$AS$5:$AS$66,INDEX('Market Data'!$J$5:$J$528,$T64)-4),11)="First-month",1,0))=1,"Class ratio review",IF($I64="Bloomberg",IF(ISNUMBER($G64),IF($G64&lt;TODAY(),"Older quote","See quote time"),"Date unavailable"),IF($I64="Snapshot",IF($G64&lt;DATEVALUE("2026-10-02"),"Older snapshot","Dated close"),"No valid quote"))))</f>
        <v/>
      </c>
      <c r="P64" s="14">
        <f>IF($T64=0,"",IF(INDEX('Market Data'!$J$5:$J$528,$T64)=0,"n/a",IF($Q64="Bloomberg",IF(AND(ISNUMBER(INDEX('Market Data'!$AK$5:$AK$66,INDEX('Market Data'!$J$5:$J$528,$T64)-4)),N(INDEX('Market Data'!$AK$5:$AK$66,INDEX('Market Data'!$J$5:$J$528,$T64)-4))&gt;0),INDEX('Market Data'!$AK$5:$AK$66,INDEX('Market Data'!$J$5:$J$528,$T64)-4),"date unavailable"),IF($Q64="Snapshot",IF(AND(ISNUMBER(INDEX('Market Data'!$AF$5:$AF$66,INDEX('Market Data'!$J$5:$J$528,$T64)-4)),N(INDEX('Market Data'!$AF$5:$AF$66,INDEX('Market Data'!$J$5:$J$528,$T64)-4))&gt;0),INDEX('Market Data'!$AF$5:$AF$66,INDEX('Market Data'!$J$5:$J$528,$T64)-4),"date unavailable"),"date unavailable"))))</f>
        <v/>
      </c>
      <c r="Q64" s="15">
        <f>IF($T64=0,"",IF(INDEX('Market Data'!$J$5:$J$528,$T64)=0,"n/a",IF(AND($M$5&lt;&gt;"Snapshot",ISNUMBER(INDEX('Market Data'!$AH$5:$AH$66,INDEX('Market Data'!$J$5:$J$528,$T64)-4)),N(INDEX('Market Data'!$AH$5:$AH$66,INDEX('Market Data'!$J$5:$J$528,$T64)-4))&gt;0),"Bloomberg",IF(AND($M$5&lt;&gt;"Bloomberg",ISNUMBER(INDEX('Market Data'!$AC$5:$AC$66,INDEX('Market Data'!$J$5:$J$528,$T64)-4)),N(INDEX('Market Data'!$AC$5:$AC$66,INDEX('Market Data'!$J$5:$J$528,$T64)-4))&gt;0),"Snapshot","Unavailable"))))</f>
        <v/>
      </c>
      <c r="T64">
        <f>IFERROR(MATCH(56,'Market Data'!$S$5:$S$528,0),0)</f>
        <v/>
      </c>
    </row>
    <row r="65" ht="34" customHeight="1">
      <c r="A65" s="8">
        <f>IF($T65=0,"",IF(INDEX('Market Data'!$A$5:$A$528,$T65)="","",INDEX('Market Data'!$A$5:$A$528,$T65)))</f>
        <v/>
      </c>
      <c r="B65" s="9">
        <f>IF($T65=0,"",IF(INDEX('Market Data'!$B$5:$B$528,$T65)="","",INDEX('Market Data'!$B$5:$B$528,$T65)))</f>
        <v/>
      </c>
      <c r="C65" s="9">
        <f>IF($T65=0,"",IF(INDEX('Market Data'!$C$5:$C$528,$T65)="","",INDEX('Market Data'!$C$5:$C$528,$T65)))</f>
        <v/>
      </c>
      <c r="D65" s="9">
        <f>IF($T65=0,"",IF(INDEX('Market Data'!$D$5:$D$528,$T65)="","",INDEX('Market Data'!$D$5:$D$528,$T65)))</f>
        <v/>
      </c>
      <c r="E65" s="10">
        <f>IF($T65=0,"",INDEX('Market Data'!$O$5:$O$528,$T65))</f>
        <v/>
      </c>
      <c r="F65" s="11">
        <f>IF($T65=0,"",IF(AND($I65="Bloomberg",ISNUMBER(INDEX('Market Data'!$L$5:$L$528,$T65))),INDEX('Market Data'!$L$5:$L$528,$T65),"unavailable"))</f>
        <v/>
      </c>
      <c r="G65" s="12">
        <f>IF($T65=0,"",IF($I65="Bloomberg",IF(AND(ISNUMBER(INDEX('Market Data'!$M$5:$M$528,$T65)),N(INDEX('Market Data'!$M$5:$M$528,$T65))&gt;0),INDEX('Market Data'!$M$5:$M$528,$T65),"date unavailable"),IF($I65="Snapshot",IF(AND(ISNUMBER(INDEX('Market Data'!$H$5:$H$528,$T65)),N(INDEX('Market Data'!$H$5:$H$528,$T65))&gt;0),INDEX('Market Data'!$H$5:$H$528,$T65),"date unavailable"),"date unavailable")))</f>
        <v/>
      </c>
      <c r="H65" s="9">
        <f>IF($T65=0,"",IF($I65="Bloomberg",IF(INDEX('Market Data'!$N$5:$N$528,$T65)="","time unavailable",INDEX('Market Data'!$N$5:$N$528,$T65)),""))</f>
        <v/>
      </c>
      <c r="I65" s="9">
        <f>IF($T65=0,"",INDEX('Market Data'!$P$5:$P$528,$T65))</f>
        <v/>
      </c>
      <c r="J65" s="13">
        <f>IF($T65=0,"",IF(INDEX('Market Data'!$E$5:$E$528,$T65)="","",INDEX('Market Data'!$E$5:$E$528,$T65)))</f>
        <v/>
      </c>
      <c r="K65" s="8">
        <f>IF($T65=0,"",IF(INDEX('Market Data'!$I$5:$I$528,$T65)="","",INDEX('Market Data'!$I$5:$I$528,$T65)))</f>
        <v/>
      </c>
      <c r="L65" s="10">
        <f>IF($T65=0,"",IF(INDEX('Market Data'!$J$5:$J$528,$T65)=0,"n/a",IF(AND($M$5&lt;&gt;"Snapshot",ISNUMBER(INDEX('Market Data'!$AH$5:$AH$66,INDEX('Market Data'!$J$5:$J$528,$T65)-4)),N(INDEX('Market Data'!$AH$5:$AH$66,INDEX('Market Data'!$J$5:$J$528,$T65)-4))&gt;0),INDEX('Market Data'!$AH$5:$AH$66,INDEX('Market Data'!$J$5:$J$528,$T65)-4),IF(AND($M$5&lt;&gt;"Bloomberg",ISNUMBER(INDEX('Market Data'!$AC$5:$AC$66,INDEX('Market Data'!$J$5:$J$528,$T65)-4)),N(INDEX('Market Data'!$AC$5:$AC$66,INDEX('Market Data'!$J$5:$J$528,$T65)-4))&gt;0),INDEX('Market Data'!$AC$5:$AC$66,INDEX('Market Data'!$J$5:$J$528,$T65)-4),"unavailable"))))</f>
        <v/>
      </c>
      <c r="M65" s="11">
        <f>IF($T65=0,"",IF(INDEX('Market Data'!$J$5:$J$528,$T65)=0,"n/a",IF(IF(INDEX('Market Data'!$J$5:$J$528,$T65)=0,0,IF(LEFT(INDEX('Market Data'!$AS$5:$AS$66,INDEX('Market Data'!$J$5:$J$528,$T65)-4),11)="First-month",1,0))=1,"class review",IF($I65="Bloomberg",IF(AND(ISNUMBER(INDEX('Market Data'!$AH$5:$AH$66,INDEX('Market Data'!$J$5:$J$528,$T65)-4)),N(INDEX('Market Data'!$AH$5:$AH$66,INDEX('Market Data'!$J$5:$J$528,$T65)-4))&gt;0,ISNUMBER('Market Data'!$B$1),N('Market Data'!$B$1)&gt;0),INDEX('Market Data'!$AH$5:$AH$66,INDEX('Market Data'!$J$5:$J$528,$T65)-4)*'Market Data'!$B$1/$E65-1,"pending A/FX"),IF(AND($I65="Snapshot",$Q65="Snapshot",ISNUMBER($E65),$G65=INDEX('Market Data'!$AE$5:$AE$66,INDEX('Market Data'!$J$5:$J$528,$T65)-4)),IFERROR(INDEX('Market Data'!$AC$5:$AC$66,INDEX('Market Data'!$J$5:$J$528,$T65)-4)*INDEX('Market Data'!$AD$5:$AD$66,INDEX('Market Data'!$J$5:$J$528,$T65)-4)/$E65-1,"unavailable"),IF($I65="Unavailable","unavailable","date mismatch"))))))</f>
        <v/>
      </c>
      <c r="N65" s="11">
        <f>IF($T65=0,"",IFERROR(IF(AND(N(INDEX('Market Data'!$F$5:$F$528,$T65))&gt;0,ISNUMBER(INDEX('Market Data'!$T$5:$T$528,$T65))),$E65*INDEX('Market Data'!$T$5:$T$528,$T65)/INDEX('Market Data'!$F$5:$F$528,$T65)-1,"unavailable"),"unavailable"))</f>
        <v/>
      </c>
      <c r="O65" s="9">
        <f>IF($T65=0,"",IF(IF(INDEX('Market Data'!$J$5:$J$528,$T65)=0,0,IF(LEFT(INDEX('Market Data'!$AS$5:$AS$66,INDEX('Market Data'!$J$5:$J$528,$T65)-4),11)="First-month",1,0))=1,"Class ratio review",IF($I65="Bloomberg",IF(ISNUMBER($G65),IF($G65&lt;TODAY(),"Older quote","See quote time"),"Date unavailable"),IF($I65="Snapshot",IF($G65&lt;DATEVALUE("2026-10-02"),"Older snapshot","Dated close"),"No valid quote"))))</f>
        <v/>
      </c>
      <c r="P65" s="14">
        <f>IF($T65=0,"",IF(INDEX('Market Data'!$J$5:$J$528,$T65)=0,"n/a",IF($Q65="Bloomberg",IF(AND(ISNUMBER(INDEX('Market Data'!$AK$5:$AK$66,INDEX('Market Data'!$J$5:$J$528,$T65)-4)),N(INDEX('Market Data'!$AK$5:$AK$66,INDEX('Market Data'!$J$5:$J$528,$T65)-4))&gt;0),INDEX('Market Data'!$AK$5:$AK$66,INDEX('Market Data'!$J$5:$J$528,$T65)-4),"date unavailable"),IF($Q65="Snapshot",IF(AND(ISNUMBER(INDEX('Market Data'!$AF$5:$AF$66,INDEX('Market Data'!$J$5:$J$528,$T65)-4)),N(INDEX('Market Data'!$AF$5:$AF$66,INDEX('Market Data'!$J$5:$J$528,$T65)-4))&gt;0),INDEX('Market Data'!$AF$5:$AF$66,INDEX('Market Data'!$J$5:$J$528,$T65)-4),"date unavailable"),"date unavailable"))))</f>
        <v/>
      </c>
      <c r="Q65" s="15">
        <f>IF($T65=0,"",IF(INDEX('Market Data'!$J$5:$J$528,$T65)=0,"n/a",IF(AND($M$5&lt;&gt;"Snapshot",ISNUMBER(INDEX('Market Data'!$AH$5:$AH$66,INDEX('Market Data'!$J$5:$J$528,$T65)-4)),N(INDEX('Market Data'!$AH$5:$AH$66,INDEX('Market Data'!$J$5:$J$528,$T65)-4))&gt;0),"Bloomberg",IF(AND($M$5&lt;&gt;"Bloomberg",ISNUMBER(INDEX('Market Data'!$AC$5:$AC$66,INDEX('Market Data'!$J$5:$J$528,$T65)-4)),N(INDEX('Market Data'!$AC$5:$AC$66,INDEX('Market Data'!$J$5:$J$528,$T65)-4))&gt;0),"Snapshot","Unavailable"))))</f>
        <v/>
      </c>
      <c r="T65">
        <f>IFERROR(MATCH(57,'Market Data'!$S$5:$S$528,0),0)</f>
        <v/>
      </c>
    </row>
    <row r="66" ht="34" customHeight="1">
      <c r="A66" s="8">
        <f>IF($T66=0,"",IF(INDEX('Market Data'!$A$5:$A$528,$T66)="","",INDEX('Market Data'!$A$5:$A$528,$T66)))</f>
        <v/>
      </c>
      <c r="B66" s="9">
        <f>IF($T66=0,"",IF(INDEX('Market Data'!$B$5:$B$528,$T66)="","",INDEX('Market Data'!$B$5:$B$528,$T66)))</f>
        <v/>
      </c>
      <c r="C66" s="9">
        <f>IF($T66=0,"",IF(INDEX('Market Data'!$C$5:$C$528,$T66)="","",INDEX('Market Data'!$C$5:$C$528,$T66)))</f>
        <v/>
      </c>
      <c r="D66" s="9">
        <f>IF($T66=0,"",IF(INDEX('Market Data'!$D$5:$D$528,$T66)="","",INDEX('Market Data'!$D$5:$D$528,$T66)))</f>
        <v/>
      </c>
      <c r="E66" s="10">
        <f>IF($T66=0,"",INDEX('Market Data'!$O$5:$O$528,$T66))</f>
        <v/>
      </c>
      <c r="F66" s="11">
        <f>IF($T66=0,"",IF(AND($I66="Bloomberg",ISNUMBER(INDEX('Market Data'!$L$5:$L$528,$T66))),INDEX('Market Data'!$L$5:$L$528,$T66),"unavailable"))</f>
        <v/>
      </c>
      <c r="G66" s="12">
        <f>IF($T66=0,"",IF($I66="Bloomberg",IF(AND(ISNUMBER(INDEX('Market Data'!$M$5:$M$528,$T66)),N(INDEX('Market Data'!$M$5:$M$528,$T66))&gt;0),INDEX('Market Data'!$M$5:$M$528,$T66),"date unavailable"),IF($I66="Snapshot",IF(AND(ISNUMBER(INDEX('Market Data'!$H$5:$H$528,$T66)),N(INDEX('Market Data'!$H$5:$H$528,$T66))&gt;0),INDEX('Market Data'!$H$5:$H$528,$T66),"date unavailable"),"date unavailable")))</f>
        <v/>
      </c>
      <c r="H66" s="9">
        <f>IF($T66=0,"",IF($I66="Bloomberg",IF(INDEX('Market Data'!$N$5:$N$528,$T66)="","time unavailable",INDEX('Market Data'!$N$5:$N$528,$T66)),""))</f>
        <v/>
      </c>
      <c r="I66" s="9">
        <f>IF($T66=0,"",INDEX('Market Data'!$P$5:$P$528,$T66))</f>
        <v/>
      </c>
      <c r="J66" s="13">
        <f>IF($T66=0,"",IF(INDEX('Market Data'!$E$5:$E$528,$T66)="","",INDEX('Market Data'!$E$5:$E$528,$T66)))</f>
        <v/>
      </c>
      <c r="K66" s="8">
        <f>IF($T66=0,"",IF(INDEX('Market Data'!$I$5:$I$528,$T66)="","",INDEX('Market Data'!$I$5:$I$528,$T66)))</f>
        <v/>
      </c>
      <c r="L66" s="10">
        <f>IF($T66=0,"",IF(INDEX('Market Data'!$J$5:$J$528,$T66)=0,"n/a",IF(AND($M$5&lt;&gt;"Snapshot",ISNUMBER(INDEX('Market Data'!$AH$5:$AH$66,INDEX('Market Data'!$J$5:$J$528,$T66)-4)),N(INDEX('Market Data'!$AH$5:$AH$66,INDEX('Market Data'!$J$5:$J$528,$T66)-4))&gt;0),INDEX('Market Data'!$AH$5:$AH$66,INDEX('Market Data'!$J$5:$J$528,$T66)-4),IF(AND($M$5&lt;&gt;"Bloomberg",ISNUMBER(INDEX('Market Data'!$AC$5:$AC$66,INDEX('Market Data'!$J$5:$J$528,$T66)-4)),N(INDEX('Market Data'!$AC$5:$AC$66,INDEX('Market Data'!$J$5:$J$528,$T66)-4))&gt;0),INDEX('Market Data'!$AC$5:$AC$66,INDEX('Market Data'!$J$5:$J$528,$T66)-4),"unavailable"))))</f>
        <v/>
      </c>
      <c r="M66" s="11">
        <f>IF($T66=0,"",IF(INDEX('Market Data'!$J$5:$J$528,$T66)=0,"n/a",IF(IF(INDEX('Market Data'!$J$5:$J$528,$T66)=0,0,IF(LEFT(INDEX('Market Data'!$AS$5:$AS$66,INDEX('Market Data'!$J$5:$J$528,$T66)-4),11)="First-month",1,0))=1,"class review",IF($I66="Bloomberg",IF(AND(ISNUMBER(INDEX('Market Data'!$AH$5:$AH$66,INDEX('Market Data'!$J$5:$J$528,$T66)-4)),N(INDEX('Market Data'!$AH$5:$AH$66,INDEX('Market Data'!$J$5:$J$528,$T66)-4))&gt;0,ISNUMBER('Market Data'!$B$1),N('Market Data'!$B$1)&gt;0),INDEX('Market Data'!$AH$5:$AH$66,INDEX('Market Data'!$J$5:$J$528,$T66)-4)*'Market Data'!$B$1/$E66-1,"pending A/FX"),IF(AND($I66="Snapshot",$Q66="Snapshot",ISNUMBER($E66),$G66=INDEX('Market Data'!$AE$5:$AE$66,INDEX('Market Data'!$J$5:$J$528,$T66)-4)),IFERROR(INDEX('Market Data'!$AC$5:$AC$66,INDEX('Market Data'!$J$5:$J$528,$T66)-4)*INDEX('Market Data'!$AD$5:$AD$66,INDEX('Market Data'!$J$5:$J$528,$T66)-4)/$E66-1,"unavailable"),IF($I66="Unavailable","unavailable","date mismatch"))))))</f>
        <v/>
      </c>
      <c r="N66" s="11">
        <f>IF($T66=0,"",IFERROR(IF(AND(N(INDEX('Market Data'!$F$5:$F$528,$T66))&gt;0,ISNUMBER(INDEX('Market Data'!$T$5:$T$528,$T66))),$E66*INDEX('Market Data'!$T$5:$T$528,$T66)/INDEX('Market Data'!$F$5:$F$528,$T66)-1,"unavailable"),"unavailable"))</f>
        <v/>
      </c>
      <c r="O66" s="9">
        <f>IF($T66=0,"",IF(IF(INDEX('Market Data'!$J$5:$J$528,$T66)=0,0,IF(LEFT(INDEX('Market Data'!$AS$5:$AS$66,INDEX('Market Data'!$J$5:$J$528,$T66)-4),11)="First-month",1,0))=1,"Class ratio review",IF($I66="Bloomberg",IF(ISNUMBER($G66),IF($G66&lt;TODAY(),"Older quote","See quote time"),"Date unavailable"),IF($I66="Snapshot",IF($G66&lt;DATEVALUE("2026-10-02"),"Older snapshot","Dated close"),"No valid quote"))))</f>
        <v/>
      </c>
      <c r="P66" s="14">
        <f>IF($T66=0,"",IF(INDEX('Market Data'!$J$5:$J$528,$T66)=0,"n/a",IF($Q66="Bloomberg",IF(AND(ISNUMBER(INDEX('Market Data'!$AK$5:$AK$66,INDEX('Market Data'!$J$5:$J$528,$T66)-4)),N(INDEX('Market Data'!$AK$5:$AK$66,INDEX('Market Data'!$J$5:$J$528,$T66)-4))&gt;0),INDEX('Market Data'!$AK$5:$AK$66,INDEX('Market Data'!$J$5:$J$528,$T66)-4),"date unavailable"),IF($Q66="Snapshot",IF(AND(ISNUMBER(INDEX('Market Data'!$AF$5:$AF$66,INDEX('Market Data'!$J$5:$J$528,$T66)-4)),N(INDEX('Market Data'!$AF$5:$AF$66,INDEX('Market Data'!$J$5:$J$528,$T66)-4))&gt;0),INDEX('Market Data'!$AF$5:$AF$66,INDEX('Market Data'!$J$5:$J$528,$T66)-4),"date unavailable"),"date unavailable"))))</f>
        <v/>
      </c>
      <c r="Q66" s="15">
        <f>IF($T66=0,"",IF(INDEX('Market Data'!$J$5:$J$528,$T66)=0,"n/a",IF(AND($M$5&lt;&gt;"Snapshot",ISNUMBER(INDEX('Market Data'!$AH$5:$AH$66,INDEX('Market Data'!$J$5:$J$528,$T66)-4)),N(INDEX('Market Data'!$AH$5:$AH$66,INDEX('Market Data'!$J$5:$J$528,$T66)-4))&gt;0),"Bloomberg",IF(AND($M$5&lt;&gt;"Bloomberg",ISNUMBER(INDEX('Market Data'!$AC$5:$AC$66,INDEX('Market Data'!$J$5:$J$528,$T66)-4)),N(INDEX('Market Data'!$AC$5:$AC$66,INDEX('Market Data'!$J$5:$J$528,$T66)-4))&gt;0),"Snapshot","Unavailable"))))</f>
        <v/>
      </c>
      <c r="T66">
        <f>IFERROR(MATCH(58,'Market Data'!$S$5:$S$528,0),0)</f>
        <v/>
      </c>
    </row>
    <row r="67" ht="34" customHeight="1">
      <c r="A67" s="8">
        <f>IF($T67=0,"",IF(INDEX('Market Data'!$A$5:$A$528,$T67)="","",INDEX('Market Data'!$A$5:$A$528,$T67)))</f>
        <v/>
      </c>
      <c r="B67" s="9">
        <f>IF($T67=0,"",IF(INDEX('Market Data'!$B$5:$B$528,$T67)="","",INDEX('Market Data'!$B$5:$B$528,$T67)))</f>
        <v/>
      </c>
      <c r="C67" s="9">
        <f>IF($T67=0,"",IF(INDEX('Market Data'!$C$5:$C$528,$T67)="","",INDEX('Market Data'!$C$5:$C$528,$T67)))</f>
        <v/>
      </c>
      <c r="D67" s="9">
        <f>IF($T67=0,"",IF(INDEX('Market Data'!$D$5:$D$528,$T67)="","",INDEX('Market Data'!$D$5:$D$528,$T67)))</f>
        <v/>
      </c>
      <c r="E67" s="10">
        <f>IF($T67=0,"",INDEX('Market Data'!$O$5:$O$528,$T67))</f>
        <v/>
      </c>
      <c r="F67" s="11">
        <f>IF($T67=0,"",IF(AND($I67="Bloomberg",ISNUMBER(INDEX('Market Data'!$L$5:$L$528,$T67))),INDEX('Market Data'!$L$5:$L$528,$T67),"unavailable"))</f>
        <v/>
      </c>
      <c r="G67" s="12">
        <f>IF($T67=0,"",IF($I67="Bloomberg",IF(AND(ISNUMBER(INDEX('Market Data'!$M$5:$M$528,$T67)),N(INDEX('Market Data'!$M$5:$M$528,$T67))&gt;0),INDEX('Market Data'!$M$5:$M$528,$T67),"date unavailable"),IF($I67="Snapshot",IF(AND(ISNUMBER(INDEX('Market Data'!$H$5:$H$528,$T67)),N(INDEX('Market Data'!$H$5:$H$528,$T67))&gt;0),INDEX('Market Data'!$H$5:$H$528,$T67),"date unavailable"),"date unavailable")))</f>
        <v/>
      </c>
      <c r="H67" s="9">
        <f>IF($T67=0,"",IF($I67="Bloomberg",IF(INDEX('Market Data'!$N$5:$N$528,$T67)="","time unavailable",INDEX('Market Data'!$N$5:$N$528,$T67)),""))</f>
        <v/>
      </c>
      <c r="I67" s="9">
        <f>IF($T67=0,"",INDEX('Market Data'!$P$5:$P$528,$T67))</f>
        <v/>
      </c>
      <c r="J67" s="13">
        <f>IF($T67=0,"",IF(INDEX('Market Data'!$E$5:$E$528,$T67)="","",INDEX('Market Data'!$E$5:$E$528,$T67)))</f>
        <v/>
      </c>
      <c r="K67" s="8">
        <f>IF($T67=0,"",IF(INDEX('Market Data'!$I$5:$I$528,$T67)="","",INDEX('Market Data'!$I$5:$I$528,$T67)))</f>
        <v/>
      </c>
      <c r="L67" s="10">
        <f>IF($T67=0,"",IF(INDEX('Market Data'!$J$5:$J$528,$T67)=0,"n/a",IF(AND($M$5&lt;&gt;"Snapshot",ISNUMBER(INDEX('Market Data'!$AH$5:$AH$66,INDEX('Market Data'!$J$5:$J$528,$T67)-4)),N(INDEX('Market Data'!$AH$5:$AH$66,INDEX('Market Data'!$J$5:$J$528,$T67)-4))&gt;0),INDEX('Market Data'!$AH$5:$AH$66,INDEX('Market Data'!$J$5:$J$528,$T67)-4),IF(AND($M$5&lt;&gt;"Bloomberg",ISNUMBER(INDEX('Market Data'!$AC$5:$AC$66,INDEX('Market Data'!$J$5:$J$528,$T67)-4)),N(INDEX('Market Data'!$AC$5:$AC$66,INDEX('Market Data'!$J$5:$J$528,$T67)-4))&gt;0),INDEX('Market Data'!$AC$5:$AC$66,INDEX('Market Data'!$J$5:$J$528,$T67)-4),"unavailable"))))</f>
        <v/>
      </c>
      <c r="M67" s="11">
        <f>IF($T67=0,"",IF(INDEX('Market Data'!$J$5:$J$528,$T67)=0,"n/a",IF(IF(INDEX('Market Data'!$J$5:$J$528,$T67)=0,0,IF(LEFT(INDEX('Market Data'!$AS$5:$AS$66,INDEX('Market Data'!$J$5:$J$528,$T67)-4),11)="First-month",1,0))=1,"class review",IF($I67="Bloomberg",IF(AND(ISNUMBER(INDEX('Market Data'!$AH$5:$AH$66,INDEX('Market Data'!$J$5:$J$528,$T67)-4)),N(INDEX('Market Data'!$AH$5:$AH$66,INDEX('Market Data'!$J$5:$J$528,$T67)-4))&gt;0,ISNUMBER('Market Data'!$B$1),N('Market Data'!$B$1)&gt;0),INDEX('Market Data'!$AH$5:$AH$66,INDEX('Market Data'!$J$5:$J$528,$T67)-4)*'Market Data'!$B$1/$E67-1,"pending A/FX"),IF(AND($I67="Snapshot",$Q67="Snapshot",ISNUMBER($E67),$G67=INDEX('Market Data'!$AE$5:$AE$66,INDEX('Market Data'!$J$5:$J$528,$T67)-4)),IFERROR(INDEX('Market Data'!$AC$5:$AC$66,INDEX('Market Data'!$J$5:$J$528,$T67)-4)*INDEX('Market Data'!$AD$5:$AD$66,INDEX('Market Data'!$J$5:$J$528,$T67)-4)/$E67-1,"unavailable"),IF($I67="Unavailable","unavailable","date mismatch"))))))</f>
        <v/>
      </c>
      <c r="N67" s="11">
        <f>IF($T67=0,"",IFERROR(IF(AND(N(INDEX('Market Data'!$F$5:$F$528,$T67))&gt;0,ISNUMBER(INDEX('Market Data'!$T$5:$T$528,$T67))),$E67*INDEX('Market Data'!$T$5:$T$528,$T67)/INDEX('Market Data'!$F$5:$F$528,$T67)-1,"unavailable"),"unavailable"))</f>
        <v/>
      </c>
      <c r="O67" s="9">
        <f>IF($T67=0,"",IF(IF(INDEX('Market Data'!$J$5:$J$528,$T67)=0,0,IF(LEFT(INDEX('Market Data'!$AS$5:$AS$66,INDEX('Market Data'!$J$5:$J$528,$T67)-4),11)="First-month",1,0))=1,"Class ratio review",IF($I67="Bloomberg",IF(ISNUMBER($G67),IF($G67&lt;TODAY(),"Older quote","See quote time"),"Date unavailable"),IF($I67="Snapshot",IF($G67&lt;DATEVALUE("2026-10-02"),"Older snapshot","Dated close"),"No valid quote"))))</f>
        <v/>
      </c>
      <c r="P67" s="14">
        <f>IF($T67=0,"",IF(INDEX('Market Data'!$J$5:$J$528,$T67)=0,"n/a",IF($Q67="Bloomberg",IF(AND(ISNUMBER(INDEX('Market Data'!$AK$5:$AK$66,INDEX('Market Data'!$J$5:$J$528,$T67)-4)),N(INDEX('Market Data'!$AK$5:$AK$66,INDEX('Market Data'!$J$5:$J$528,$T67)-4))&gt;0),INDEX('Market Data'!$AK$5:$AK$66,INDEX('Market Data'!$J$5:$J$528,$T67)-4),"date unavailable"),IF($Q67="Snapshot",IF(AND(ISNUMBER(INDEX('Market Data'!$AF$5:$AF$66,INDEX('Market Data'!$J$5:$J$528,$T67)-4)),N(INDEX('Market Data'!$AF$5:$AF$66,INDEX('Market Data'!$J$5:$J$528,$T67)-4))&gt;0),INDEX('Market Data'!$AF$5:$AF$66,INDEX('Market Data'!$J$5:$J$528,$T67)-4),"date unavailable"),"date unavailable"))))</f>
        <v/>
      </c>
      <c r="Q67" s="15">
        <f>IF($T67=0,"",IF(INDEX('Market Data'!$J$5:$J$528,$T67)=0,"n/a",IF(AND($M$5&lt;&gt;"Snapshot",ISNUMBER(INDEX('Market Data'!$AH$5:$AH$66,INDEX('Market Data'!$J$5:$J$528,$T67)-4)),N(INDEX('Market Data'!$AH$5:$AH$66,INDEX('Market Data'!$J$5:$J$528,$T67)-4))&gt;0),"Bloomberg",IF(AND($M$5&lt;&gt;"Bloomberg",ISNUMBER(INDEX('Market Data'!$AC$5:$AC$66,INDEX('Market Data'!$J$5:$J$528,$T67)-4)),N(INDEX('Market Data'!$AC$5:$AC$66,INDEX('Market Data'!$J$5:$J$528,$T67)-4))&gt;0),"Snapshot","Unavailable"))))</f>
        <v/>
      </c>
      <c r="T67">
        <f>IFERROR(MATCH(59,'Market Data'!$S$5:$S$528,0),0)</f>
        <v/>
      </c>
    </row>
    <row r="68" ht="34" customHeight="1">
      <c r="A68" s="8">
        <f>IF($T68=0,"",IF(INDEX('Market Data'!$A$5:$A$528,$T68)="","",INDEX('Market Data'!$A$5:$A$528,$T68)))</f>
        <v/>
      </c>
      <c r="B68" s="9">
        <f>IF($T68=0,"",IF(INDEX('Market Data'!$B$5:$B$528,$T68)="","",INDEX('Market Data'!$B$5:$B$528,$T68)))</f>
        <v/>
      </c>
      <c r="C68" s="9">
        <f>IF($T68=0,"",IF(INDEX('Market Data'!$C$5:$C$528,$T68)="","",INDEX('Market Data'!$C$5:$C$528,$T68)))</f>
        <v/>
      </c>
      <c r="D68" s="9">
        <f>IF($T68=0,"",IF(INDEX('Market Data'!$D$5:$D$528,$T68)="","",INDEX('Market Data'!$D$5:$D$528,$T68)))</f>
        <v/>
      </c>
      <c r="E68" s="10">
        <f>IF($T68=0,"",INDEX('Market Data'!$O$5:$O$528,$T68))</f>
        <v/>
      </c>
      <c r="F68" s="11">
        <f>IF($T68=0,"",IF(AND($I68="Bloomberg",ISNUMBER(INDEX('Market Data'!$L$5:$L$528,$T68))),INDEX('Market Data'!$L$5:$L$528,$T68),"unavailable"))</f>
        <v/>
      </c>
      <c r="G68" s="12">
        <f>IF($T68=0,"",IF($I68="Bloomberg",IF(AND(ISNUMBER(INDEX('Market Data'!$M$5:$M$528,$T68)),N(INDEX('Market Data'!$M$5:$M$528,$T68))&gt;0),INDEX('Market Data'!$M$5:$M$528,$T68),"date unavailable"),IF($I68="Snapshot",IF(AND(ISNUMBER(INDEX('Market Data'!$H$5:$H$528,$T68)),N(INDEX('Market Data'!$H$5:$H$528,$T68))&gt;0),INDEX('Market Data'!$H$5:$H$528,$T68),"date unavailable"),"date unavailable")))</f>
        <v/>
      </c>
      <c r="H68" s="9">
        <f>IF($T68=0,"",IF($I68="Bloomberg",IF(INDEX('Market Data'!$N$5:$N$528,$T68)="","time unavailable",INDEX('Market Data'!$N$5:$N$528,$T68)),""))</f>
        <v/>
      </c>
      <c r="I68" s="9">
        <f>IF($T68=0,"",INDEX('Market Data'!$P$5:$P$528,$T68))</f>
        <v/>
      </c>
      <c r="J68" s="13">
        <f>IF($T68=0,"",IF(INDEX('Market Data'!$E$5:$E$528,$T68)="","",INDEX('Market Data'!$E$5:$E$528,$T68)))</f>
        <v/>
      </c>
      <c r="K68" s="8">
        <f>IF($T68=0,"",IF(INDEX('Market Data'!$I$5:$I$528,$T68)="","",INDEX('Market Data'!$I$5:$I$528,$T68)))</f>
        <v/>
      </c>
      <c r="L68" s="10">
        <f>IF($T68=0,"",IF(INDEX('Market Data'!$J$5:$J$528,$T68)=0,"n/a",IF(AND($M$5&lt;&gt;"Snapshot",ISNUMBER(INDEX('Market Data'!$AH$5:$AH$66,INDEX('Market Data'!$J$5:$J$528,$T68)-4)),N(INDEX('Market Data'!$AH$5:$AH$66,INDEX('Market Data'!$J$5:$J$528,$T68)-4))&gt;0),INDEX('Market Data'!$AH$5:$AH$66,INDEX('Market Data'!$J$5:$J$528,$T68)-4),IF(AND($M$5&lt;&gt;"Bloomberg",ISNUMBER(INDEX('Market Data'!$AC$5:$AC$66,INDEX('Market Data'!$J$5:$J$528,$T68)-4)),N(INDEX('Market Data'!$AC$5:$AC$66,INDEX('Market Data'!$J$5:$J$528,$T68)-4))&gt;0),INDEX('Market Data'!$AC$5:$AC$66,INDEX('Market Data'!$J$5:$J$528,$T68)-4),"unavailable"))))</f>
        <v/>
      </c>
      <c r="M68" s="11">
        <f>IF($T68=0,"",IF(INDEX('Market Data'!$J$5:$J$528,$T68)=0,"n/a",IF(IF(INDEX('Market Data'!$J$5:$J$528,$T68)=0,0,IF(LEFT(INDEX('Market Data'!$AS$5:$AS$66,INDEX('Market Data'!$J$5:$J$528,$T68)-4),11)="First-month",1,0))=1,"class review",IF($I68="Bloomberg",IF(AND(ISNUMBER(INDEX('Market Data'!$AH$5:$AH$66,INDEX('Market Data'!$J$5:$J$528,$T68)-4)),N(INDEX('Market Data'!$AH$5:$AH$66,INDEX('Market Data'!$J$5:$J$528,$T68)-4))&gt;0,ISNUMBER('Market Data'!$B$1),N('Market Data'!$B$1)&gt;0),INDEX('Market Data'!$AH$5:$AH$66,INDEX('Market Data'!$J$5:$J$528,$T68)-4)*'Market Data'!$B$1/$E68-1,"pending A/FX"),IF(AND($I68="Snapshot",$Q68="Snapshot",ISNUMBER($E68),$G68=INDEX('Market Data'!$AE$5:$AE$66,INDEX('Market Data'!$J$5:$J$528,$T68)-4)),IFERROR(INDEX('Market Data'!$AC$5:$AC$66,INDEX('Market Data'!$J$5:$J$528,$T68)-4)*INDEX('Market Data'!$AD$5:$AD$66,INDEX('Market Data'!$J$5:$J$528,$T68)-4)/$E68-1,"unavailable"),IF($I68="Unavailable","unavailable","date mismatch"))))))</f>
        <v/>
      </c>
      <c r="N68" s="11">
        <f>IF($T68=0,"",IFERROR(IF(AND(N(INDEX('Market Data'!$F$5:$F$528,$T68))&gt;0,ISNUMBER(INDEX('Market Data'!$T$5:$T$528,$T68))),$E68*INDEX('Market Data'!$T$5:$T$528,$T68)/INDEX('Market Data'!$F$5:$F$528,$T68)-1,"unavailable"),"unavailable"))</f>
        <v/>
      </c>
      <c r="O68" s="9">
        <f>IF($T68=0,"",IF(IF(INDEX('Market Data'!$J$5:$J$528,$T68)=0,0,IF(LEFT(INDEX('Market Data'!$AS$5:$AS$66,INDEX('Market Data'!$J$5:$J$528,$T68)-4),11)="First-month",1,0))=1,"Class ratio review",IF($I68="Bloomberg",IF(ISNUMBER($G68),IF($G68&lt;TODAY(),"Older quote","See quote time"),"Date unavailable"),IF($I68="Snapshot",IF($G68&lt;DATEVALUE("2026-10-02"),"Older snapshot","Dated close"),"No valid quote"))))</f>
        <v/>
      </c>
      <c r="P68" s="14">
        <f>IF($T68=0,"",IF(INDEX('Market Data'!$J$5:$J$528,$T68)=0,"n/a",IF($Q68="Bloomberg",IF(AND(ISNUMBER(INDEX('Market Data'!$AK$5:$AK$66,INDEX('Market Data'!$J$5:$J$528,$T68)-4)),N(INDEX('Market Data'!$AK$5:$AK$66,INDEX('Market Data'!$J$5:$J$528,$T68)-4))&gt;0),INDEX('Market Data'!$AK$5:$AK$66,INDEX('Market Data'!$J$5:$J$528,$T68)-4),"date unavailable"),IF($Q68="Snapshot",IF(AND(ISNUMBER(INDEX('Market Data'!$AF$5:$AF$66,INDEX('Market Data'!$J$5:$J$528,$T68)-4)),N(INDEX('Market Data'!$AF$5:$AF$66,INDEX('Market Data'!$J$5:$J$528,$T68)-4))&gt;0),INDEX('Market Data'!$AF$5:$AF$66,INDEX('Market Data'!$J$5:$J$528,$T68)-4),"date unavailable"),"date unavailable"))))</f>
        <v/>
      </c>
      <c r="Q68" s="15">
        <f>IF($T68=0,"",IF(INDEX('Market Data'!$J$5:$J$528,$T68)=0,"n/a",IF(AND($M$5&lt;&gt;"Snapshot",ISNUMBER(INDEX('Market Data'!$AH$5:$AH$66,INDEX('Market Data'!$J$5:$J$528,$T68)-4)),N(INDEX('Market Data'!$AH$5:$AH$66,INDEX('Market Data'!$J$5:$J$528,$T68)-4))&gt;0),"Bloomberg",IF(AND($M$5&lt;&gt;"Bloomberg",ISNUMBER(INDEX('Market Data'!$AC$5:$AC$66,INDEX('Market Data'!$J$5:$J$528,$T68)-4)),N(INDEX('Market Data'!$AC$5:$AC$66,INDEX('Market Data'!$J$5:$J$528,$T68)-4))&gt;0),"Snapshot","Unavailable"))))</f>
        <v/>
      </c>
      <c r="T68">
        <f>IFERROR(MATCH(60,'Market Data'!$S$5:$S$528,0),0)</f>
        <v/>
      </c>
    </row>
    <row r="69" ht="34" customHeight="1">
      <c r="A69" s="8">
        <f>IF($T69=0,"",IF(INDEX('Market Data'!$A$5:$A$528,$T69)="","",INDEX('Market Data'!$A$5:$A$528,$T69)))</f>
        <v/>
      </c>
      <c r="B69" s="9">
        <f>IF($T69=0,"",IF(INDEX('Market Data'!$B$5:$B$528,$T69)="","",INDEX('Market Data'!$B$5:$B$528,$T69)))</f>
        <v/>
      </c>
      <c r="C69" s="9">
        <f>IF($T69=0,"",IF(INDEX('Market Data'!$C$5:$C$528,$T69)="","",INDEX('Market Data'!$C$5:$C$528,$T69)))</f>
        <v/>
      </c>
      <c r="D69" s="9">
        <f>IF($T69=0,"",IF(INDEX('Market Data'!$D$5:$D$528,$T69)="","",INDEX('Market Data'!$D$5:$D$528,$T69)))</f>
        <v/>
      </c>
      <c r="E69" s="10">
        <f>IF($T69=0,"",INDEX('Market Data'!$O$5:$O$528,$T69))</f>
        <v/>
      </c>
      <c r="F69" s="11">
        <f>IF($T69=0,"",IF(AND($I69="Bloomberg",ISNUMBER(INDEX('Market Data'!$L$5:$L$528,$T69))),INDEX('Market Data'!$L$5:$L$528,$T69),"unavailable"))</f>
        <v/>
      </c>
      <c r="G69" s="12">
        <f>IF($T69=0,"",IF($I69="Bloomberg",IF(AND(ISNUMBER(INDEX('Market Data'!$M$5:$M$528,$T69)),N(INDEX('Market Data'!$M$5:$M$528,$T69))&gt;0),INDEX('Market Data'!$M$5:$M$528,$T69),"date unavailable"),IF($I69="Snapshot",IF(AND(ISNUMBER(INDEX('Market Data'!$H$5:$H$528,$T69)),N(INDEX('Market Data'!$H$5:$H$528,$T69))&gt;0),INDEX('Market Data'!$H$5:$H$528,$T69),"date unavailable"),"date unavailable")))</f>
        <v/>
      </c>
      <c r="H69" s="9">
        <f>IF($T69=0,"",IF($I69="Bloomberg",IF(INDEX('Market Data'!$N$5:$N$528,$T69)="","time unavailable",INDEX('Market Data'!$N$5:$N$528,$T69)),""))</f>
        <v/>
      </c>
      <c r="I69" s="9">
        <f>IF($T69=0,"",INDEX('Market Data'!$P$5:$P$528,$T69))</f>
        <v/>
      </c>
      <c r="J69" s="13">
        <f>IF($T69=0,"",IF(INDEX('Market Data'!$E$5:$E$528,$T69)="","",INDEX('Market Data'!$E$5:$E$528,$T69)))</f>
        <v/>
      </c>
      <c r="K69" s="8">
        <f>IF($T69=0,"",IF(INDEX('Market Data'!$I$5:$I$528,$T69)="","",INDEX('Market Data'!$I$5:$I$528,$T69)))</f>
        <v/>
      </c>
      <c r="L69" s="10">
        <f>IF($T69=0,"",IF(INDEX('Market Data'!$J$5:$J$528,$T69)=0,"n/a",IF(AND($M$5&lt;&gt;"Snapshot",ISNUMBER(INDEX('Market Data'!$AH$5:$AH$66,INDEX('Market Data'!$J$5:$J$528,$T69)-4)),N(INDEX('Market Data'!$AH$5:$AH$66,INDEX('Market Data'!$J$5:$J$528,$T69)-4))&gt;0),INDEX('Market Data'!$AH$5:$AH$66,INDEX('Market Data'!$J$5:$J$528,$T69)-4),IF(AND($M$5&lt;&gt;"Bloomberg",ISNUMBER(INDEX('Market Data'!$AC$5:$AC$66,INDEX('Market Data'!$J$5:$J$528,$T69)-4)),N(INDEX('Market Data'!$AC$5:$AC$66,INDEX('Market Data'!$J$5:$J$528,$T69)-4))&gt;0),INDEX('Market Data'!$AC$5:$AC$66,INDEX('Market Data'!$J$5:$J$528,$T69)-4),"unavailable"))))</f>
        <v/>
      </c>
      <c r="M69" s="11">
        <f>IF($T69=0,"",IF(INDEX('Market Data'!$J$5:$J$528,$T69)=0,"n/a",IF(IF(INDEX('Market Data'!$J$5:$J$528,$T69)=0,0,IF(LEFT(INDEX('Market Data'!$AS$5:$AS$66,INDEX('Market Data'!$J$5:$J$528,$T69)-4),11)="First-month",1,0))=1,"class review",IF($I69="Bloomberg",IF(AND(ISNUMBER(INDEX('Market Data'!$AH$5:$AH$66,INDEX('Market Data'!$J$5:$J$528,$T69)-4)),N(INDEX('Market Data'!$AH$5:$AH$66,INDEX('Market Data'!$J$5:$J$528,$T69)-4))&gt;0,ISNUMBER('Market Data'!$B$1),N('Market Data'!$B$1)&gt;0),INDEX('Market Data'!$AH$5:$AH$66,INDEX('Market Data'!$J$5:$J$528,$T69)-4)*'Market Data'!$B$1/$E69-1,"pending A/FX"),IF(AND($I69="Snapshot",$Q69="Snapshot",ISNUMBER($E69),$G69=INDEX('Market Data'!$AE$5:$AE$66,INDEX('Market Data'!$J$5:$J$528,$T69)-4)),IFERROR(INDEX('Market Data'!$AC$5:$AC$66,INDEX('Market Data'!$J$5:$J$528,$T69)-4)*INDEX('Market Data'!$AD$5:$AD$66,INDEX('Market Data'!$J$5:$J$528,$T69)-4)/$E69-1,"unavailable"),IF($I69="Unavailable","unavailable","date mismatch"))))))</f>
        <v/>
      </c>
      <c r="N69" s="11">
        <f>IF($T69=0,"",IFERROR(IF(AND(N(INDEX('Market Data'!$F$5:$F$528,$T69))&gt;0,ISNUMBER(INDEX('Market Data'!$T$5:$T$528,$T69))),$E69*INDEX('Market Data'!$T$5:$T$528,$T69)/INDEX('Market Data'!$F$5:$F$528,$T69)-1,"unavailable"),"unavailable"))</f>
        <v/>
      </c>
      <c r="O69" s="9">
        <f>IF($T69=0,"",IF(IF(INDEX('Market Data'!$J$5:$J$528,$T69)=0,0,IF(LEFT(INDEX('Market Data'!$AS$5:$AS$66,INDEX('Market Data'!$J$5:$J$528,$T69)-4),11)="First-month",1,0))=1,"Class ratio review",IF($I69="Bloomberg",IF(ISNUMBER($G69),IF($G69&lt;TODAY(),"Older quote","See quote time"),"Date unavailable"),IF($I69="Snapshot",IF($G69&lt;DATEVALUE("2026-10-02"),"Older snapshot","Dated close"),"No valid quote"))))</f>
        <v/>
      </c>
      <c r="P69" s="14">
        <f>IF($T69=0,"",IF(INDEX('Market Data'!$J$5:$J$528,$T69)=0,"n/a",IF($Q69="Bloomberg",IF(AND(ISNUMBER(INDEX('Market Data'!$AK$5:$AK$66,INDEX('Market Data'!$J$5:$J$528,$T69)-4)),N(INDEX('Market Data'!$AK$5:$AK$66,INDEX('Market Data'!$J$5:$J$528,$T69)-4))&gt;0),INDEX('Market Data'!$AK$5:$AK$66,INDEX('Market Data'!$J$5:$J$528,$T69)-4),"date unavailable"),IF($Q69="Snapshot",IF(AND(ISNUMBER(INDEX('Market Data'!$AF$5:$AF$66,INDEX('Market Data'!$J$5:$J$528,$T69)-4)),N(INDEX('Market Data'!$AF$5:$AF$66,INDEX('Market Data'!$J$5:$J$528,$T69)-4))&gt;0),INDEX('Market Data'!$AF$5:$AF$66,INDEX('Market Data'!$J$5:$J$528,$T69)-4),"date unavailable"),"date unavailable"))))</f>
        <v/>
      </c>
      <c r="Q69" s="15">
        <f>IF($T69=0,"",IF(INDEX('Market Data'!$J$5:$J$528,$T69)=0,"n/a",IF(AND($M$5&lt;&gt;"Snapshot",ISNUMBER(INDEX('Market Data'!$AH$5:$AH$66,INDEX('Market Data'!$J$5:$J$528,$T69)-4)),N(INDEX('Market Data'!$AH$5:$AH$66,INDEX('Market Data'!$J$5:$J$528,$T69)-4))&gt;0),"Bloomberg",IF(AND($M$5&lt;&gt;"Bloomberg",ISNUMBER(INDEX('Market Data'!$AC$5:$AC$66,INDEX('Market Data'!$J$5:$J$528,$T69)-4)),N(INDEX('Market Data'!$AC$5:$AC$66,INDEX('Market Data'!$J$5:$J$528,$T69)-4))&gt;0),"Snapshot","Unavailable"))))</f>
        <v/>
      </c>
      <c r="T69">
        <f>IFERROR(MATCH(61,'Market Data'!$S$5:$S$528,0),0)</f>
        <v/>
      </c>
    </row>
    <row r="70" ht="34" customHeight="1">
      <c r="A70" s="8">
        <f>IF($T70=0,"",IF(INDEX('Market Data'!$A$5:$A$528,$T70)="","",INDEX('Market Data'!$A$5:$A$528,$T70)))</f>
        <v/>
      </c>
      <c r="B70" s="9">
        <f>IF($T70=0,"",IF(INDEX('Market Data'!$B$5:$B$528,$T70)="","",INDEX('Market Data'!$B$5:$B$528,$T70)))</f>
        <v/>
      </c>
      <c r="C70" s="9">
        <f>IF($T70=0,"",IF(INDEX('Market Data'!$C$5:$C$528,$T70)="","",INDEX('Market Data'!$C$5:$C$528,$T70)))</f>
        <v/>
      </c>
      <c r="D70" s="9">
        <f>IF($T70=0,"",IF(INDEX('Market Data'!$D$5:$D$528,$T70)="","",INDEX('Market Data'!$D$5:$D$528,$T70)))</f>
        <v/>
      </c>
      <c r="E70" s="10">
        <f>IF($T70=0,"",INDEX('Market Data'!$O$5:$O$528,$T70))</f>
        <v/>
      </c>
      <c r="F70" s="11">
        <f>IF($T70=0,"",IF(AND($I70="Bloomberg",ISNUMBER(INDEX('Market Data'!$L$5:$L$528,$T70))),INDEX('Market Data'!$L$5:$L$528,$T70),"unavailable"))</f>
        <v/>
      </c>
      <c r="G70" s="12">
        <f>IF($T70=0,"",IF($I70="Bloomberg",IF(AND(ISNUMBER(INDEX('Market Data'!$M$5:$M$528,$T70)),N(INDEX('Market Data'!$M$5:$M$528,$T70))&gt;0),INDEX('Market Data'!$M$5:$M$528,$T70),"date unavailable"),IF($I70="Snapshot",IF(AND(ISNUMBER(INDEX('Market Data'!$H$5:$H$528,$T70)),N(INDEX('Market Data'!$H$5:$H$528,$T70))&gt;0),INDEX('Market Data'!$H$5:$H$528,$T70),"date unavailable"),"date unavailable")))</f>
        <v/>
      </c>
      <c r="H70" s="9">
        <f>IF($T70=0,"",IF($I70="Bloomberg",IF(INDEX('Market Data'!$N$5:$N$528,$T70)="","time unavailable",INDEX('Market Data'!$N$5:$N$528,$T70)),""))</f>
        <v/>
      </c>
      <c r="I70" s="9">
        <f>IF($T70=0,"",INDEX('Market Data'!$P$5:$P$528,$T70))</f>
        <v/>
      </c>
      <c r="J70" s="13">
        <f>IF($T70=0,"",IF(INDEX('Market Data'!$E$5:$E$528,$T70)="","",INDEX('Market Data'!$E$5:$E$528,$T70)))</f>
        <v/>
      </c>
      <c r="K70" s="8">
        <f>IF($T70=0,"",IF(INDEX('Market Data'!$I$5:$I$528,$T70)="","",INDEX('Market Data'!$I$5:$I$528,$T70)))</f>
        <v/>
      </c>
      <c r="L70" s="10">
        <f>IF($T70=0,"",IF(INDEX('Market Data'!$J$5:$J$528,$T70)=0,"n/a",IF(AND($M$5&lt;&gt;"Snapshot",ISNUMBER(INDEX('Market Data'!$AH$5:$AH$66,INDEX('Market Data'!$J$5:$J$528,$T70)-4)),N(INDEX('Market Data'!$AH$5:$AH$66,INDEX('Market Data'!$J$5:$J$528,$T70)-4))&gt;0),INDEX('Market Data'!$AH$5:$AH$66,INDEX('Market Data'!$J$5:$J$528,$T70)-4),IF(AND($M$5&lt;&gt;"Bloomberg",ISNUMBER(INDEX('Market Data'!$AC$5:$AC$66,INDEX('Market Data'!$J$5:$J$528,$T70)-4)),N(INDEX('Market Data'!$AC$5:$AC$66,INDEX('Market Data'!$J$5:$J$528,$T70)-4))&gt;0),INDEX('Market Data'!$AC$5:$AC$66,INDEX('Market Data'!$J$5:$J$528,$T70)-4),"unavailable"))))</f>
        <v/>
      </c>
      <c r="M70" s="11">
        <f>IF($T70=0,"",IF(INDEX('Market Data'!$J$5:$J$528,$T70)=0,"n/a",IF(IF(INDEX('Market Data'!$J$5:$J$528,$T70)=0,0,IF(LEFT(INDEX('Market Data'!$AS$5:$AS$66,INDEX('Market Data'!$J$5:$J$528,$T70)-4),11)="First-month",1,0))=1,"class review",IF($I70="Bloomberg",IF(AND(ISNUMBER(INDEX('Market Data'!$AH$5:$AH$66,INDEX('Market Data'!$J$5:$J$528,$T70)-4)),N(INDEX('Market Data'!$AH$5:$AH$66,INDEX('Market Data'!$J$5:$J$528,$T70)-4))&gt;0,ISNUMBER('Market Data'!$B$1),N('Market Data'!$B$1)&gt;0),INDEX('Market Data'!$AH$5:$AH$66,INDEX('Market Data'!$J$5:$J$528,$T70)-4)*'Market Data'!$B$1/$E70-1,"pending A/FX"),IF(AND($I70="Snapshot",$Q70="Snapshot",ISNUMBER($E70),$G70=INDEX('Market Data'!$AE$5:$AE$66,INDEX('Market Data'!$J$5:$J$528,$T70)-4)),IFERROR(INDEX('Market Data'!$AC$5:$AC$66,INDEX('Market Data'!$J$5:$J$528,$T70)-4)*INDEX('Market Data'!$AD$5:$AD$66,INDEX('Market Data'!$J$5:$J$528,$T70)-4)/$E70-1,"unavailable"),IF($I70="Unavailable","unavailable","date mismatch"))))))</f>
        <v/>
      </c>
      <c r="N70" s="11">
        <f>IF($T70=0,"",IFERROR(IF(AND(N(INDEX('Market Data'!$F$5:$F$528,$T70))&gt;0,ISNUMBER(INDEX('Market Data'!$T$5:$T$528,$T70))),$E70*INDEX('Market Data'!$T$5:$T$528,$T70)/INDEX('Market Data'!$F$5:$F$528,$T70)-1,"unavailable"),"unavailable"))</f>
        <v/>
      </c>
      <c r="O70" s="9">
        <f>IF($T70=0,"",IF(IF(INDEX('Market Data'!$J$5:$J$528,$T70)=0,0,IF(LEFT(INDEX('Market Data'!$AS$5:$AS$66,INDEX('Market Data'!$J$5:$J$528,$T70)-4),11)="First-month",1,0))=1,"Class ratio review",IF($I70="Bloomberg",IF(ISNUMBER($G70),IF($G70&lt;TODAY(),"Older quote","See quote time"),"Date unavailable"),IF($I70="Snapshot",IF($G70&lt;DATEVALUE("2026-10-02"),"Older snapshot","Dated close"),"No valid quote"))))</f>
        <v/>
      </c>
      <c r="P70" s="14">
        <f>IF($T70=0,"",IF(INDEX('Market Data'!$J$5:$J$528,$T70)=0,"n/a",IF($Q70="Bloomberg",IF(AND(ISNUMBER(INDEX('Market Data'!$AK$5:$AK$66,INDEX('Market Data'!$J$5:$J$528,$T70)-4)),N(INDEX('Market Data'!$AK$5:$AK$66,INDEX('Market Data'!$J$5:$J$528,$T70)-4))&gt;0),INDEX('Market Data'!$AK$5:$AK$66,INDEX('Market Data'!$J$5:$J$528,$T70)-4),"date unavailable"),IF($Q70="Snapshot",IF(AND(ISNUMBER(INDEX('Market Data'!$AF$5:$AF$66,INDEX('Market Data'!$J$5:$J$528,$T70)-4)),N(INDEX('Market Data'!$AF$5:$AF$66,INDEX('Market Data'!$J$5:$J$528,$T70)-4))&gt;0),INDEX('Market Data'!$AF$5:$AF$66,INDEX('Market Data'!$J$5:$J$528,$T70)-4),"date unavailable"),"date unavailable"))))</f>
        <v/>
      </c>
      <c r="Q70" s="15">
        <f>IF($T70=0,"",IF(INDEX('Market Data'!$J$5:$J$528,$T70)=0,"n/a",IF(AND($M$5&lt;&gt;"Snapshot",ISNUMBER(INDEX('Market Data'!$AH$5:$AH$66,INDEX('Market Data'!$J$5:$J$528,$T70)-4)),N(INDEX('Market Data'!$AH$5:$AH$66,INDEX('Market Data'!$J$5:$J$528,$T70)-4))&gt;0),"Bloomberg",IF(AND($M$5&lt;&gt;"Bloomberg",ISNUMBER(INDEX('Market Data'!$AC$5:$AC$66,INDEX('Market Data'!$J$5:$J$528,$T70)-4)),N(INDEX('Market Data'!$AC$5:$AC$66,INDEX('Market Data'!$J$5:$J$528,$T70)-4))&gt;0),"Snapshot","Unavailable"))))</f>
        <v/>
      </c>
      <c r="T70">
        <f>IFERROR(MATCH(62,'Market Data'!$S$5:$S$528,0),0)</f>
        <v/>
      </c>
    </row>
    <row r="71" ht="34" customHeight="1">
      <c r="A71" s="8">
        <f>IF($T71=0,"",IF(INDEX('Market Data'!$A$5:$A$528,$T71)="","",INDEX('Market Data'!$A$5:$A$528,$T71)))</f>
        <v/>
      </c>
      <c r="B71" s="9">
        <f>IF($T71=0,"",IF(INDEX('Market Data'!$B$5:$B$528,$T71)="","",INDEX('Market Data'!$B$5:$B$528,$T71)))</f>
        <v/>
      </c>
      <c r="C71" s="9">
        <f>IF($T71=0,"",IF(INDEX('Market Data'!$C$5:$C$528,$T71)="","",INDEX('Market Data'!$C$5:$C$528,$T71)))</f>
        <v/>
      </c>
      <c r="D71" s="9">
        <f>IF($T71=0,"",IF(INDEX('Market Data'!$D$5:$D$528,$T71)="","",INDEX('Market Data'!$D$5:$D$528,$T71)))</f>
        <v/>
      </c>
      <c r="E71" s="10">
        <f>IF($T71=0,"",INDEX('Market Data'!$O$5:$O$528,$T71))</f>
        <v/>
      </c>
      <c r="F71" s="11">
        <f>IF($T71=0,"",IF(AND($I71="Bloomberg",ISNUMBER(INDEX('Market Data'!$L$5:$L$528,$T71))),INDEX('Market Data'!$L$5:$L$528,$T71),"unavailable"))</f>
        <v/>
      </c>
      <c r="G71" s="12">
        <f>IF($T71=0,"",IF($I71="Bloomberg",IF(AND(ISNUMBER(INDEX('Market Data'!$M$5:$M$528,$T71)),N(INDEX('Market Data'!$M$5:$M$528,$T71))&gt;0),INDEX('Market Data'!$M$5:$M$528,$T71),"date unavailable"),IF($I71="Snapshot",IF(AND(ISNUMBER(INDEX('Market Data'!$H$5:$H$528,$T71)),N(INDEX('Market Data'!$H$5:$H$528,$T71))&gt;0),INDEX('Market Data'!$H$5:$H$528,$T71),"date unavailable"),"date unavailable")))</f>
        <v/>
      </c>
      <c r="H71" s="9">
        <f>IF($T71=0,"",IF($I71="Bloomberg",IF(INDEX('Market Data'!$N$5:$N$528,$T71)="","time unavailable",INDEX('Market Data'!$N$5:$N$528,$T71)),""))</f>
        <v/>
      </c>
      <c r="I71" s="9">
        <f>IF($T71=0,"",INDEX('Market Data'!$P$5:$P$528,$T71))</f>
        <v/>
      </c>
      <c r="J71" s="13">
        <f>IF($T71=0,"",IF(INDEX('Market Data'!$E$5:$E$528,$T71)="","",INDEX('Market Data'!$E$5:$E$528,$T71)))</f>
        <v/>
      </c>
      <c r="K71" s="8">
        <f>IF($T71=0,"",IF(INDEX('Market Data'!$I$5:$I$528,$T71)="","",INDEX('Market Data'!$I$5:$I$528,$T71)))</f>
        <v/>
      </c>
      <c r="L71" s="10">
        <f>IF($T71=0,"",IF(INDEX('Market Data'!$J$5:$J$528,$T71)=0,"n/a",IF(AND($M$5&lt;&gt;"Snapshot",ISNUMBER(INDEX('Market Data'!$AH$5:$AH$66,INDEX('Market Data'!$J$5:$J$528,$T71)-4)),N(INDEX('Market Data'!$AH$5:$AH$66,INDEX('Market Data'!$J$5:$J$528,$T71)-4))&gt;0),INDEX('Market Data'!$AH$5:$AH$66,INDEX('Market Data'!$J$5:$J$528,$T71)-4),IF(AND($M$5&lt;&gt;"Bloomberg",ISNUMBER(INDEX('Market Data'!$AC$5:$AC$66,INDEX('Market Data'!$J$5:$J$528,$T71)-4)),N(INDEX('Market Data'!$AC$5:$AC$66,INDEX('Market Data'!$J$5:$J$528,$T71)-4))&gt;0),INDEX('Market Data'!$AC$5:$AC$66,INDEX('Market Data'!$J$5:$J$528,$T71)-4),"unavailable"))))</f>
        <v/>
      </c>
      <c r="M71" s="11">
        <f>IF($T71=0,"",IF(INDEX('Market Data'!$J$5:$J$528,$T71)=0,"n/a",IF(IF(INDEX('Market Data'!$J$5:$J$528,$T71)=0,0,IF(LEFT(INDEX('Market Data'!$AS$5:$AS$66,INDEX('Market Data'!$J$5:$J$528,$T71)-4),11)="First-month",1,0))=1,"class review",IF($I71="Bloomberg",IF(AND(ISNUMBER(INDEX('Market Data'!$AH$5:$AH$66,INDEX('Market Data'!$J$5:$J$528,$T71)-4)),N(INDEX('Market Data'!$AH$5:$AH$66,INDEX('Market Data'!$J$5:$J$528,$T71)-4))&gt;0,ISNUMBER('Market Data'!$B$1),N('Market Data'!$B$1)&gt;0),INDEX('Market Data'!$AH$5:$AH$66,INDEX('Market Data'!$J$5:$J$528,$T71)-4)*'Market Data'!$B$1/$E71-1,"pending A/FX"),IF(AND($I71="Snapshot",$Q71="Snapshot",ISNUMBER($E71),$G71=INDEX('Market Data'!$AE$5:$AE$66,INDEX('Market Data'!$J$5:$J$528,$T71)-4)),IFERROR(INDEX('Market Data'!$AC$5:$AC$66,INDEX('Market Data'!$J$5:$J$528,$T71)-4)*INDEX('Market Data'!$AD$5:$AD$66,INDEX('Market Data'!$J$5:$J$528,$T71)-4)/$E71-1,"unavailable"),IF($I71="Unavailable","unavailable","date mismatch"))))))</f>
        <v/>
      </c>
      <c r="N71" s="11">
        <f>IF($T71=0,"",IFERROR(IF(AND(N(INDEX('Market Data'!$F$5:$F$528,$T71))&gt;0,ISNUMBER(INDEX('Market Data'!$T$5:$T$528,$T71))),$E71*INDEX('Market Data'!$T$5:$T$528,$T71)/INDEX('Market Data'!$F$5:$F$528,$T71)-1,"unavailable"),"unavailable"))</f>
        <v/>
      </c>
      <c r="O71" s="9">
        <f>IF($T71=0,"",IF(IF(INDEX('Market Data'!$J$5:$J$528,$T71)=0,0,IF(LEFT(INDEX('Market Data'!$AS$5:$AS$66,INDEX('Market Data'!$J$5:$J$528,$T71)-4),11)="First-month",1,0))=1,"Class ratio review",IF($I71="Bloomberg",IF(ISNUMBER($G71),IF($G71&lt;TODAY(),"Older quote","See quote time"),"Date unavailable"),IF($I71="Snapshot",IF($G71&lt;DATEVALUE("2026-10-02"),"Older snapshot","Dated close"),"No valid quote"))))</f>
        <v/>
      </c>
      <c r="P71" s="14">
        <f>IF($T71=0,"",IF(INDEX('Market Data'!$J$5:$J$528,$T71)=0,"n/a",IF($Q71="Bloomberg",IF(AND(ISNUMBER(INDEX('Market Data'!$AK$5:$AK$66,INDEX('Market Data'!$J$5:$J$528,$T71)-4)),N(INDEX('Market Data'!$AK$5:$AK$66,INDEX('Market Data'!$J$5:$J$528,$T71)-4))&gt;0),INDEX('Market Data'!$AK$5:$AK$66,INDEX('Market Data'!$J$5:$J$528,$T71)-4),"date unavailable"),IF($Q71="Snapshot",IF(AND(ISNUMBER(INDEX('Market Data'!$AF$5:$AF$66,INDEX('Market Data'!$J$5:$J$528,$T71)-4)),N(INDEX('Market Data'!$AF$5:$AF$66,INDEX('Market Data'!$J$5:$J$528,$T71)-4))&gt;0),INDEX('Market Data'!$AF$5:$AF$66,INDEX('Market Data'!$J$5:$J$528,$T71)-4),"date unavailable"),"date unavailable"))))</f>
        <v/>
      </c>
      <c r="Q71" s="15">
        <f>IF($T71=0,"",IF(INDEX('Market Data'!$J$5:$J$528,$T71)=0,"n/a",IF(AND($M$5&lt;&gt;"Snapshot",ISNUMBER(INDEX('Market Data'!$AH$5:$AH$66,INDEX('Market Data'!$J$5:$J$528,$T71)-4)),N(INDEX('Market Data'!$AH$5:$AH$66,INDEX('Market Data'!$J$5:$J$528,$T71)-4))&gt;0),"Bloomberg",IF(AND($M$5&lt;&gt;"Bloomberg",ISNUMBER(INDEX('Market Data'!$AC$5:$AC$66,INDEX('Market Data'!$J$5:$J$528,$T71)-4)),N(INDEX('Market Data'!$AC$5:$AC$66,INDEX('Market Data'!$J$5:$J$528,$T71)-4))&gt;0),"Snapshot","Unavailable"))))</f>
        <v/>
      </c>
      <c r="T71">
        <f>IFERROR(MATCH(63,'Market Data'!$S$5:$S$528,0),0)</f>
        <v/>
      </c>
    </row>
    <row r="72" ht="34" customHeight="1">
      <c r="A72" s="8">
        <f>IF($T72=0,"",IF(INDEX('Market Data'!$A$5:$A$528,$T72)="","",INDEX('Market Data'!$A$5:$A$528,$T72)))</f>
        <v/>
      </c>
      <c r="B72" s="9">
        <f>IF($T72=0,"",IF(INDEX('Market Data'!$B$5:$B$528,$T72)="","",INDEX('Market Data'!$B$5:$B$528,$T72)))</f>
        <v/>
      </c>
      <c r="C72" s="9">
        <f>IF($T72=0,"",IF(INDEX('Market Data'!$C$5:$C$528,$T72)="","",INDEX('Market Data'!$C$5:$C$528,$T72)))</f>
        <v/>
      </c>
      <c r="D72" s="9">
        <f>IF($T72=0,"",IF(INDEX('Market Data'!$D$5:$D$528,$T72)="","",INDEX('Market Data'!$D$5:$D$528,$T72)))</f>
        <v/>
      </c>
      <c r="E72" s="10">
        <f>IF($T72=0,"",INDEX('Market Data'!$O$5:$O$528,$T72))</f>
        <v/>
      </c>
      <c r="F72" s="11">
        <f>IF($T72=0,"",IF(AND($I72="Bloomberg",ISNUMBER(INDEX('Market Data'!$L$5:$L$528,$T72))),INDEX('Market Data'!$L$5:$L$528,$T72),"unavailable"))</f>
        <v/>
      </c>
      <c r="G72" s="12">
        <f>IF($T72=0,"",IF($I72="Bloomberg",IF(AND(ISNUMBER(INDEX('Market Data'!$M$5:$M$528,$T72)),N(INDEX('Market Data'!$M$5:$M$528,$T72))&gt;0),INDEX('Market Data'!$M$5:$M$528,$T72),"date unavailable"),IF($I72="Snapshot",IF(AND(ISNUMBER(INDEX('Market Data'!$H$5:$H$528,$T72)),N(INDEX('Market Data'!$H$5:$H$528,$T72))&gt;0),INDEX('Market Data'!$H$5:$H$528,$T72),"date unavailable"),"date unavailable")))</f>
        <v/>
      </c>
      <c r="H72" s="9">
        <f>IF($T72=0,"",IF($I72="Bloomberg",IF(INDEX('Market Data'!$N$5:$N$528,$T72)="","time unavailable",INDEX('Market Data'!$N$5:$N$528,$T72)),""))</f>
        <v/>
      </c>
      <c r="I72" s="9">
        <f>IF($T72=0,"",INDEX('Market Data'!$P$5:$P$528,$T72))</f>
        <v/>
      </c>
      <c r="J72" s="13">
        <f>IF($T72=0,"",IF(INDEX('Market Data'!$E$5:$E$528,$T72)="","",INDEX('Market Data'!$E$5:$E$528,$T72)))</f>
        <v/>
      </c>
      <c r="K72" s="8">
        <f>IF($T72=0,"",IF(INDEX('Market Data'!$I$5:$I$528,$T72)="","",INDEX('Market Data'!$I$5:$I$528,$T72)))</f>
        <v/>
      </c>
      <c r="L72" s="10">
        <f>IF($T72=0,"",IF(INDEX('Market Data'!$J$5:$J$528,$T72)=0,"n/a",IF(AND($M$5&lt;&gt;"Snapshot",ISNUMBER(INDEX('Market Data'!$AH$5:$AH$66,INDEX('Market Data'!$J$5:$J$528,$T72)-4)),N(INDEX('Market Data'!$AH$5:$AH$66,INDEX('Market Data'!$J$5:$J$528,$T72)-4))&gt;0),INDEX('Market Data'!$AH$5:$AH$66,INDEX('Market Data'!$J$5:$J$528,$T72)-4),IF(AND($M$5&lt;&gt;"Bloomberg",ISNUMBER(INDEX('Market Data'!$AC$5:$AC$66,INDEX('Market Data'!$J$5:$J$528,$T72)-4)),N(INDEX('Market Data'!$AC$5:$AC$66,INDEX('Market Data'!$J$5:$J$528,$T72)-4))&gt;0),INDEX('Market Data'!$AC$5:$AC$66,INDEX('Market Data'!$J$5:$J$528,$T72)-4),"unavailable"))))</f>
        <v/>
      </c>
      <c r="M72" s="11">
        <f>IF($T72=0,"",IF(INDEX('Market Data'!$J$5:$J$528,$T72)=0,"n/a",IF(IF(INDEX('Market Data'!$J$5:$J$528,$T72)=0,0,IF(LEFT(INDEX('Market Data'!$AS$5:$AS$66,INDEX('Market Data'!$J$5:$J$528,$T72)-4),11)="First-month",1,0))=1,"class review",IF($I72="Bloomberg",IF(AND(ISNUMBER(INDEX('Market Data'!$AH$5:$AH$66,INDEX('Market Data'!$J$5:$J$528,$T72)-4)),N(INDEX('Market Data'!$AH$5:$AH$66,INDEX('Market Data'!$J$5:$J$528,$T72)-4))&gt;0,ISNUMBER('Market Data'!$B$1),N('Market Data'!$B$1)&gt;0),INDEX('Market Data'!$AH$5:$AH$66,INDEX('Market Data'!$J$5:$J$528,$T72)-4)*'Market Data'!$B$1/$E72-1,"pending A/FX"),IF(AND($I72="Snapshot",$Q72="Snapshot",ISNUMBER($E72),$G72=INDEX('Market Data'!$AE$5:$AE$66,INDEX('Market Data'!$J$5:$J$528,$T72)-4)),IFERROR(INDEX('Market Data'!$AC$5:$AC$66,INDEX('Market Data'!$J$5:$J$528,$T72)-4)*INDEX('Market Data'!$AD$5:$AD$66,INDEX('Market Data'!$J$5:$J$528,$T72)-4)/$E72-1,"unavailable"),IF($I72="Unavailable","unavailable","date mismatch"))))))</f>
        <v/>
      </c>
      <c r="N72" s="11">
        <f>IF($T72=0,"",IFERROR(IF(AND(N(INDEX('Market Data'!$F$5:$F$528,$T72))&gt;0,ISNUMBER(INDEX('Market Data'!$T$5:$T$528,$T72))),$E72*INDEX('Market Data'!$T$5:$T$528,$T72)/INDEX('Market Data'!$F$5:$F$528,$T72)-1,"unavailable"),"unavailable"))</f>
        <v/>
      </c>
      <c r="O72" s="9">
        <f>IF($T72=0,"",IF(IF(INDEX('Market Data'!$J$5:$J$528,$T72)=0,0,IF(LEFT(INDEX('Market Data'!$AS$5:$AS$66,INDEX('Market Data'!$J$5:$J$528,$T72)-4),11)="First-month",1,0))=1,"Class ratio review",IF($I72="Bloomberg",IF(ISNUMBER($G72),IF($G72&lt;TODAY(),"Older quote","See quote time"),"Date unavailable"),IF($I72="Snapshot",IF($G72&lt;DATEVALUE("2026-10-02"),"Older snapshot","Dated close"),"No valid quote"))))</f>
        <v/>
      </c>
      <c r="P72" s="14">
        <f>IF($T72=0,"",IF(INDEX('Market Data'!$J$5:$J$528,$T72)=0,"n/a",IF($Q72="Bloomberg",IF(AND(ISNUMBER(INDEX('Market Data'!$AK$5:$AK$66,INDEX('Market Data'!$J$5:$J$528,$T72)-4)),N(INDEX('Market Data'!$AK$5:$AK$66,INDEX('Market Data'!$J$5:$J$528,$T72)-4))&gt;0),INDEX('Market Data'!$AK$5:$AK$66,INDEX('Market Data'!$J$5:$J$528,$T72)-4),"date unavailable"),IF($Q72="Snapshot",IF(AND(ISNUMBER(INDEX('Market Data'!$AF$5:$AF$66,INDEX('Market Data'!$J$5:$J$528,$T72)-4)),N(INDEX('Market Data'!$AF$5:$AF$66,INDEX('Market Data'!$J$5:$J$528,$T72)-4))&gt;0),INDEX('Market Data'!$AF$5:$AF$66,INDEX('Market Data'!$J$5:$J$528,$T72)-4),"date unavailable"),"date unavailable"))))</f>
        <v/>
      </c>
      <c r="Q72" s="15">
        <f>IF($T72=0,"",IF(INDEX('Market Data'!$J$5:$J$528,$T72)=0,"n/a",IF(AND($M$5&lt;&gt;"Snapshot",ISNUMBER(INDEX('Market Data'!$AH$5:$AH$66,INDEX('Market Data'!$J$5:$J$528,$T72)-4)),N(INDEX('Market Data'!$AH$5:$AH$66,INDEX('Market Data'!$J$5:$J$528,$T72)-4))&gt;0),"Bloomberg",IF(AND($M$5&lt;&gt;"Bloomberg",ISNUMBER(INDEX('Market Data'!$AC$5:$AC$66,INDEX('Market Data'!$J$5:$J$528,$T72)-4)),N(INDEX('Market Data'!$AC$5:$AC$66,INDEX('Market Data'!$J$5:$J$528,$T72)-4))&gt;0),"Snapshot","Unavailable"))))</f>
        <v/>
      </c>
      <c r="T72">
        <f>IFERROR(MATCH(64,'Market Data'!$S$5:$S$528,0),0)</f>
        <v/>
      </c>
    </row>
    <row r="73" ht="34" customHeight="1">
      <c r="A73" s="8">
        <f>IF($T73=0,"",IF(INDEX('Market Data'!$A$5:$A$528,$T73)="","",INDEX('Market Data'!$A$5:$A$528,$T73)))</f>
        <v/>
      </c>
      <c r="B73" s="9">
        <f>IF($T73=0,"",IF(INDEX('Market Data'!$B$5:$B$528,$T73)="","",INDEX('Market Data'!$B$5:$B$528,$T73)))</f>
        <v/>
      </c>
      <c r="C73" s="9">
        <f>IF($T73=0,"",IF(INDEX('Market Data'!$C$5:$C$528,$T73)="","",INDEX('Market Data'!$C$5:$C$528,$T73)))</f>
        <v/>
      </c>
      <c r="D73" s="9">
        <f>IF($T73=0,"",IF(INDEX('Market Data'!$D$5:$D$528,$T73)="","",INDEX('Market Data'!$D$5:$D$528,$T73)))</f>
        <v/>
      </c>
      <c r="E73" s="10">
        <f>IF($T73=0,"",INDEX('Market Data'!$O$5:$O$528,$T73))</f>
        <v/>
      </c>
      <c r="F73" s="11">
        <f>IF($T73=0,"",IF(AND($I73="Bloomberg",ISNUMBER(INDEX('Market Data'!$L$5:$L$528,$T73))),INDEX('Market Data'!$L$5:$L$528,$T73),"unavailable"))</f>
        <v/>
      </c>
      <c r="G73" s="12">
        <f>IF($T73=0,"",IF($I73="Bloomberg",IF(AND(ISNUMBER(INDEX('Market Data'!$M$5:$M$528,$T73)),N(INDEX('Market Data'!$M$5:$M$528,$T73))&gt;0),INDEX('Market Data'!$M$5:$M$528,$T73),"date unavailable"),IF($I73="Snapshot",IF(AND(ISNUMBER(INDEX('Market Data'!$H$5:$H$528,$T73)),N(INDEX('Market Data'!$H$5:$H$528,$T73))&gt;0),INDEX('Market Data'!$H$5:$H$528,$T73),"date unavailable"),"date unavailable")))</f>
        <v/>
      </c>
      <c r="H73" s="9">
        <f>IF($T73=0,"",IF($I73="Bloomberg",IF(INDEX('Market Data'!$N$5:$N$528,$T73)="","time unavailable",INDEX('Market Data'!$N$5:$N$528,$T73)),""))</f>
        <v/>
      </c>
      <c r="I73" s="9">
        <f>IF($T73=0,"",INDEX('Market Data'!$P$5:$P$528,$T73))</f>
        <v/>
      </c>
      <c r="J73" s="13">
        <f>IF($T73=0,"",IF(INDEX('Market Data'!$E$5:$E$528,$T73)="","",INDEX('Market Data'!$E$5:$E$528,$T73)))</f>
        <v/>
      </c>
      <c r="K73" s="8">
        <f>IF($T73=0,"",IF(INDEX('Market Data'!$I$5:$I$528,$T73)="","",INDEX('Market Data'!$I$5:$I$528,$T73)))</f>
        <v/>
      </c>
      <c r="L73" s="10">
        <f>IF($T73=0,"",IF(INDEX('Market Data'!$J$5:$J$528,$T73)=0,"n/a",IF(AND($M$5&lt;&gt;"Snapshot",ISNUMBER(INDEX('Market Data'!$AH$5:$AH$66,INDEX('Market Data'!$J$5:$J$528,$T73)-4)),N(INDEX('Market Data'!$AH$5:$AH$66,INDEX('Market Data'!$J$5:$J$528,$T73)-4))&gt;0),INDEX('Market Data'!$AH$5:$AH$66,INDEX('Market Data'!$J$5:$J$528,$T73)-4),IF(AND($M$5&lt;&gt;"Bloomberg",ISNUMBER(INDEX('Market Data'!$AC$5:$AC$66,INDEX('Market Data'!$J$5:$J$528,$T73)-4)),N(INDEX('Market Data'!$AC$5:$AC$66,INDEX('Market Data'!$J$5:$J$528,$T73)-4))&gt;0),INDEX('Market Data'!$AC$5:$AC$66,INDEX('Market Data'!$J$5:$J$528,$T73)-4),"unavailable"))))</f>
        <v/>
      </c>
      <c r="M73" s="11">
        <f>IF($T73=0,"",IF(INDEX('Market Data'!$J$5:$J$528,$T73)=0,"n/a",IF(IF(INDEX('Market Data'!$J$5:$J$528,$T73)=0,0,IF(LEFT(INDEX('Market Data'!$AS$5:$AS$66,INDEX('Market Data'!$J$5:$J$528,$T73)-4),11)="First-month",1,0))=1,"class review",IF($I73="Bloomberg",IF(AND(ISNUMBER(INDEX('Market Data'!$AH$5:$AH$66,INDEX('Market Data'!$J$5:$J$528,$T73)-4)),N(INDEX('Market Data'!$AH$5:$AH$66,INDEX('Market Data'!$J$5:$J$528,$T73)-4))&gt;0,ISNUMBER('Market Data'!$B$1),N('Market Data'!$B$1)&gt;0),INDEX('Market Data'!$AH$5:$AH$66,INDEX('Market Data'!$J$5:$J$528,$T73)-4)*'Market Data'!$B$1/$E73-1,"pending A/FX"),IF(AND($I73="Snapshot",$Q73="Snapshot",ISNUMBER($E73),$G73=INDEX('Market Data'!$AE$5:$AE$66,INDEX('Market Data'!$J$5:$J$528,$T73)-4)),IFERROR(INDEX('Market Data'!$AC$5:$AC$66,INDEX('Market Data'!$J$5:$J$528,$T73)-4)*INDEX('Market Data'!$AD$5:$AD$66,INDEX('Market Data'!$J$5:$J$528,$T73)-4)/$E73-1,"unavailable"),IF($I73="Unavailable","unavailable","date mismatch"))))))</f>
        <v/>
      </c>
      <c r="N73" s="11">
        <f>IF($T73=0,"",IFERROR(IF(AND(N(INDEX('Market Data'!$F$5:$F$528,$T73))&gt;0,ISNUMBER(INDEX('Market Data'!$T$5:$T$528,$T73))),$E73*INDEX('Market Data'!$T$5:$T$528,$T73)/INDEX('Market Data'!$F$5:$F$528,$T73)-1,"unavailable"),"unavailable"))</f>
        <v/>
      </c>
      <c r="O73" s="9">
        <f>IF($T73=0,"",IF(IF(INDEX('Market Data'!$J$5:$J$528,$T73)=0,0,IF(LEFT(INDEX('Market Data'!$AS$5:$AS$66,INDEX('Market Data'!$J$5:$J$528,$T73)-4),11)="First-month",1,0))=1,"Class ratio review",IF($I73="Bloomberg",IF(ISNUMBER($G73),IF($G73&lt;TODAY(),"Older quote","See quote time"),"Date unavailable"),IF($I73="Snapshot",IF($G73&lt;DATEVALUE("2026-10-02"),"Older snapshot","Dated close"),"No valid quote"))))</f>
        <v/>
      </c>
      <c r="P73" s="14">
        <f>IF($T73=0,"",IF(INDEX('Market Data'!$J$5:$J$528,$T73)=0,"n/a",IF($Q73="Bloomberg",IF(AND(ISNUMBER(INDEX('Market Data'!$AK$5:$AK$66,INDEX('Market Data'!$J$5:$J$528,$T73)-4)),N(INDEX('Market Data'!$AK$5:$AK$66,INDEX('Market Data'!$J$5:$J$528,$T73)-4))&gt;0),INDEX('Market Data'!$AK$5:$AK$66,INDEX('Market Data'!$J$5:$J$528,$T73)-4),"date unavailable"),IF($Q73="Snapshot",IF(AND(ISNUMBER(INDEX('Market Data'!$AF$5:$AF$66,INDEX('Market Data'!$J$5:$J$528,$T73)-4)),N(INDEX('Market Data'!$AF$5:$AF$66,INDEX('Market Data'!$J$5:$J$528,$T73)-4))&gt;0),INDEX('Market Data'!$AF$5:$AF$66,INDEX('Market Data'!$J$5:$J$528,$T73)-4),"date unavailable"),"date unavailable"))))</f>
        <v/>
      </c>
      <c r="Q73" s="15">
        <f>IF($T73=0,"",IF(INDEX('Market Data'!$J$5:$J$528,$T73)=0,"n/a",IF(AND($M$5&lt;&gt;"Snapshot",ISNUMBER(INDEX('Market Data'!$AH$5:$AH$66,INDEX('Market Data'!$J$5:$J$528,$T73)-4)),N(INDEX('Market Data'!$AH$5:$AH$66,INDEX('Market Data'!$J$5:$J$528,$T73)-4))&gt;0),"Bloomberg",IF(AND($M$5&lt;&gt;"Bloomberg",ISNUMBER(INDEX('Market Data'!$AC$5:$AC$66,INDEX('Market Data'!$J$5:$J$528,$T73)-4)),N(INDEX('Market Data'!$AC$5:$AC$66,INDEX('Market Data'!$J$5:$J$528,$T73)-4))&gt;0),"Snapshot","Unavailable"))))</f>
        <v/>
      </c>
      <c r="T73">
        <f>IFERROR(MATCH(65,'Market Data'!$S$5:$S$528,0),0)</f>
        <v/>
      </c>
    </row>
    <row r="74" ht="34" customHeight="1">
      <c r="A74" s="8">
        <f>IF($T74=0,"",IF(INDEX('Market Data'!$A$5:$A$528,$T74)="","",INDEX('Market Data'!$A$5:$A$528,$T74)))</f>
        <v/>
      </c>
      <c r="B74" s="9">
        <f>IF($T74=0,"",IF(INDEX('Market Data'!$B$5:$B$528,$T74)="","",INDEX('Market Data'!$B$5:$B$528,$T74)))</f>
        <v/>
      </c>
      <c r="C74" s="9">
        <f>IF($T74=0,"",IF(INDEX('Market Data'!$C$5:$C$528,$T74)="","",INDEX('Market Data'!$C$5:$C$528,$T74)))</f>
        <v/>
      </c>
      <c r="D74" s="9">
        <f>IF($T74=0,"",IF(INDEX('Market Data'!$D$5:$D$528,$T74)="","",INDEX('Market Data'!$D$5:$D$528,$T74)))</f>
        <v/>
      </c>
      <c r="E74" s="10">
        <f>IF($T74=0,"",INDEX('Market Data'!$O$5:$O$528,$T74))</f>
        <v/>
      </c>
      <c r="F74" s="11">
        <f>IF($T74=0,"",IF(AND($I74="Bloomberg",ISNUMBER(INDEX('Market Data'!$L$5:$L$528,$T74))),INDEX('Market Data'!$L$5:$L$528,$T74),"unavailable"))</f>
        <v/>
      </c>
      <c r="G74" s="12">
        <f>IF($T74=0,"",IF($I74="Bloomberg",IF(AND(ISNUMBER(INDEX('Market Data'!$M$5:$M$528,$T74)),N(INDEX('Market Data'!$M$5:$M$528,$T74))&gt;0),INDEX('Market Data'!$M$5:$M$528,$T74),"date unavailable"),IF($I74="Snapshot",IF(AND(ISNUMBER(INDEX('Market Data'!$H$5:$H$528,$T74)),N(INDEX('Market Data'!$H$5:$H$528,$T74))&gt;0),INDEX('Market Data'!$H$5:$H$528,$T74),"date unavailable"),"date unavailable")))</f>
        <v/>
      </c>
      <c r="H74" s="9">
        <f>IF($T74=0,"",IF($I74="Bloomberg",IF(INDEX('Market Data'!$N$5:$N$528,$T74)="","time unavailable",INDEX('Market Data'!$N$5:$N$528,$T74)),""))</f>
        <v/>
      </c>
      <c r="I74" s="9">
        <f>IF($T74=0,"",INDEX('Market Data'!$P$5:$P$528,$T74))</f>
        <v/>
      </c>
      <c r="J74" s="13">
        <f>IF($T74=0,"",IF(INDEX('Market Data'!$E$5:$E$528,$T74)="","",INDEX('Market Data'!$E$5:$E$528,$T74)))</f>
        <v/>
      </c>
      <c r="K74" s="8">
        <f>IF($T74=0,"",IF(INDEX('Market Data'!$I$5:$I$528,$T74)="","",INDEX('Market Data'!$I$5:$I$528,$T74)))</f>
        <v/>
      </c>
      <c r="L74" s="10">
        <f>IF($T74=0,"",IF(INDEX('Market Data'!$J$5:$J$528,$T74)=0,"n/a",IF(AND($M$5&lt;&gt;"Snapshot",ISNUMBER(INDEX('Market Data'!$AH$5:$AH$66,INDEX('Market Data'!$J$5:$J$528,$T74)-4)),N(INDEX('Market Data'!$AH$5:$AH$66,INDEX('Market Data'!$J$5:$J$528,$T74)-4))&gt;0),INDEX('Market Data'!$AH$5:$AH$66,INDEX('Market Data'!$J$5:$J$528,$T74)-4),IF(AND($M$5&lt;&gt;"Bloomberg",ISNUMBER(INDEX('Market Data'!$AC$5:$AC$66,INDEX('Market Data'!$J$5:$J$528,$T74)-4)),N(INDEX('Market Data'!$AC$5:$AC$66,INDEX('Market Data'!$J$5:$J$528,$T74)-4))&gt;0),INDEX('Market Data'!$AC$5:$AC$66,INDEX('Market Data'!$J$5:$J$528,$T74)-4),"unavailable"))))</f>
        <v/>
      </c>
      <c r="M74" s="11">
        <f>IF($T74=0,"",IF(INDEX('Market Data'!$J$5:$J$528,$T74)=0,"n/a",IF(IF(INDEX('Market Data'!$J$5:$J$528,$T74)=0,0,IF(LEFT(INDEX('Market Data'!$AS$5:$AS$66,INDEX('Market Data'!$J$5:$J$528,$T74)-4),11)="First-month",1,0))=1,"class review",IF($I74="Bloomberg",IF(AND(ISNUMBER(INDEX('Market Data'!$AH$5:$AH$66,INDEX('Market Data'!$J$5:$J$528,$T74)-4)),N(INDEX('Market Data'!$AH$5:$AH$66,INDEX('Market Data'!$J$5:$J$528,$T74)-4))&gt;0,ISNUMBER('Market Data'!$B$1),N('Market Data'!$B$1)&gt;0),INDEX('Market Data'!$AH$5:$AH$66,INDEX('Market Data'!$J$5:$J$528,$T74)-4)*'Market Data'!$B$1/$E74-1,"pending A/FX"),IF(AND($I74="Snapshot",$Q74="Snapshot",ISNUMBER($E74),$G74=INDEX('Market Data'!$AE$5:$AE$66,INDEX('Market Data'!$J$5:$J$528,$T74)-4)),IFERROR(INDEX('Market Data'!$AC$5:$AC$66,INDEX('Market Data'!$J$5:$J$528,$T74)-4)*INDEX('Market Data'!$AD$5:$AD$66,INDEX('Market Data'!$J$5:$J$528,$T74)-4)/$E74-1,"unavailable"),IF($I74="Unavailable","unavailable","date mismatch"))))))</f>
        <v/>
      </c>
      <c r="N74" s="11">
        <f>IF($T74=0,"",IFERROR(IF(AND(N(INDEX('Market Data'!$F$5:$F$528,$T74))&gt;0,ISNUMBER(INDEX('Market Data'!$T$5:$T$528,$T74))),$E74*INDEX('Market Data'!$T$5:$T$528,$T74)/INDEX('Market Data'!$F$5:$F$528,$T74)-1,"unavailable"),"unavailable"))</f>
        <v/>
      </c>
      <c r="O74" s="9">
        <f>IF($T74=0,"",IF(IF(INDEX('Market Data'!$J$5:$J$528,$T74)=0,0,IF(LEFT(INDEX('Market Data'!$AS$5:$AS$66,INDEX('Market Data'!$J$5:$J$528,$T74)-4),11)="First-month",1,0))=1,"Class ratio review",IF($I74="Bloomberg",IF(ISNUMBER($G74),IF($G74&lt;TODAY(),"Older quote","See quote time"),"Date unavailable"),IF($I74="Snapshot",IF($G74&lt;DATEVALUE("2026-10-02"),"Older snapshot","Dated close"),"No valid quote"))))</f>
        <v/>
      </c>
      <c r="P74" s="14">
        <f>IF($T74=0,"",IF(INDEX('Market Data'!$J$5:$J$528,$T74)=0,"n/a",IF($Q74="Bloomberg",IF(AND(ISNUMBER(INDEX('Market Data'!$AK$5:$AK$66,INDEX('Market Data'!$J$5:$J$528,$T74)-4)),N(INDEX('Market Data'!$AK$5:$AK$66,INDEX('Market Data'!$J$5:$J$528,$T74)-4))&gt;0),INDEX('Market Data'!$AK$5:$AK$66,INDEX('Market Data'!$J$5:$J$528,$T74)-4),"date unavailable"),IF($Q74="Snapshot",IF(AND(ISNUMBER(INDEX('Market Data'!$AF$5:$AF$66,INDEX('Market Data'!$J$5:$J$528,$T74)-4)),N(INDEX('Market Data'!$AF$5:$AF$66,INDEX('Market Data'!$J$5:$J$528,$T74)-4))&gt;0),INDEX('Market Data'!$AF$5:$AF$66,INDEX('Market Data'!$J$5:$J$528,$T74)-4),"date unavailable"),"date unavailable"))))</f>
        <v/>
      </c>
      <c r="Q74" s="15">
        <f>IF($T74=0,"",IF(INDEX('Market Data'!$J$5:$J$528,$T74)=0,"n/a",IF(AND($M$5&lt;&gt;"Snapshot",ISNUMBER(INDEX('Market Data'!$AH$5:$AH$66,INDEX('Market Data'!$J$5:$J$528,$T74)-4)),N(INDEX('Market Data'!$AH$5:$AH$66,INDEX('Market Data'!$J$5:$J$528,$T74)-4))&gt;0),"Bloomberg",IF(AND($M$5&lt;&gt;"Bloomberg",ISNUMBER(INDEX('Market Data'!$AC$5:$AC$66,INDEX('Market Data'!$J$5:$J$528,$T74)-4)),N(INDEX('Market Data'!$AC$5:$AC$66,INDEX('Market Data'!$J$5:$J$528,$T74)-4))&gt;0),"Snapshot","Unavailable"))))</f>
        <v/>
      </c>
      <c r="T74">
        <f>IFERROR(MATCH(66,'Market Data'!$S$5:$S$528,0),0)</f>
        <v/>
      </c>
    </row>
    <row r="75" ht="34" customHeight="1">
      <c r="A75" s="8">
        <f>IF($T75=0,"",IF(INDEX('Market Data'!$A$5:$A$528,$T75)="","",INDEX('Market Data'!$A$5:$A$528,$T75)))</f>
        <v/>
      </c>
      <c r="B75" s="9">
        <f>IF($T75=0,"",IF(INDEX('Market Data'!$B$5:$B$528,$T75)="","",INDEX('Market Data'!$B$5:$B$528,$T75)))</f>
        <v/>
      </c>
      <c r="C75" s="9">
        <f>IF($T75=0,"",IF(INDEX('Market Data'!$C$5:$C$528,$T75)="","",INDEX('Market Data'!$C$5:$C$528,$T75)))</f>
        <v/>
      </c>
      <c r="D75" s="9">
        <f>IF($T75=0,"",IF(INDEX('Market Data'!$D$5:$D$528,$T75)="","",INDEX('Market Data'!$D$5:$D$528,$T75)))</f>
        <v/>
      </c>
      <c r="E75" s="10">
        <f>IF($T75=0,"",INDEX('Market Data'!$O$5:$O$528,$T75))</f>
        <v/>
      </c>
      <c r="F75" s="11">
        <f>IF($T75=0,"",IF(AND($I75="Bloomberg",ISNUMBER(INDEX('Market Data'!$L$5:$L$528,$T75))),INDEX('Market Data'!$L$5:$L$528,$T75),"unavailable"))</f>
        <v/>
      </c>
      <c r="G75" s="12">
        <f>IF($T75=0,"",IF($I75="Bloomberg",IF(AND(ISNUMBER(INDEX('Market Data'!$M$5:$M$528,$T75)),N(INDEX('Market Data'!$M$5:$M$528,$T75))&gt;0),INDEX('Market Data'!$M$5:$M$528,$T75),"date unavailable"),IF($I75="Snapshot",IF(AND(ISNUMBER(INDEX('Market Data'!$H$5:$H$528,$T75)),N(INDEX('Market Data'!$H$5:$H$528,$T75))&gt;0),INDEX('Market Data'!$H$5:$H$528,$T75),"date unavailable"),"date unavailable")))</f>
        <v/>
      </c>
      <c r="H75" s="9">
        <f>IF($T75=0,"",IF($I75="Bloomberg",IF(INDEX('Market Data'!$N$5:$N$528,$T75)="","time unavailable",INDEX('Market Data'!$N$5:$N$528,$T75)),""))</f>
        <v/>
      </c>
      <c r="I75" s="9">
        <f>IF($T75=0,"",INDEX('Market Data'!$P$5:$P$528,$T75))</f>
        <v/>
      </c>
      <c r="J75" s="13">
        <f>IF($T75=0,"",IF(INDEX('Market Data'!$E$5:$E$528,$T75)="","",INDEX('Market Data'!$E$5:$E$528,$T75)))</f>
        <v/>
      </c>
      <c r="K75" s="8">
        <f>IF($T75=0,"",IF(INDEX('Market Data'!$I$5:$I$528,$T75)="","",INDEX('Market Data'!$I$5:$I$528,$T75)))</f>
        <v/>
      </c>
      <c r="L75" s="10">
        <f>IF($T75=0,"",IF(INDEX('Market Data'!$J$5:$J$528,$T75)=0,"n/a",IF(AND($M$5&lt;&gt;"Snapshot",ISNUMBER(INDEX('Market Data'!$AH$5:$AH$66,INDEX('Market Data'!$J$5:$J$528,$T75)-4)),N(INDEX('Market Data'!$AH$5:$AH$66,INDEX('Market Data'!$J$5:$J$528,$T75)-4))&gt;0),INDEX('Market Data'!$AH$5:$AH$66,INDEX('Market Data'!$J$5:$J$528,$T75)-4),IF(AND($M$5&lt;&gt;"Bloomberg",ISNUMBER(INDEX('Market Data'!$AC$5:$AC$66,INDEX('Market Data'!$J$5:$J$528,$T75)-4)),N(INDEX('Market Data'!$AC$5:$AC$66,INDEX('Market Data'!$J$5:$J$528,$T75)-4))&gt;0),INDEX('Market Data'!$AC$5:$AC$66,INDEX('Market Data'!$J$5:$J$528,$T75)-4),"unavailable"))))</f>
        <v/>
      </c>
      <c r="M75" s="11">
        <f>IF($T75=0,"",IF(INDEX('Market Data'!$J$5:$J$528,$T75)=0,"n/a",IF(IF(INDEX('Market Data'!$J$5:$J$528,$T75)=0,0,IF(LEFT(INDEX('Market Data'!$AS$5:$AS$66,INDEX('Market Data'!$J$5:$J$528,$T75)-4),11)="First-month",1,0))=1,"class review",IF($I75="Bloomberg",IF(AND(ISNUMBER(INDEX('Market Data'!$AH$5:$AH$66,INDEX('Market Data'!$J$5:$J$528,$T75)-4)),N(INDEX('Market Data'!$AH$5:$AH$66,INDEX('Market Data'!$J$5:$J$528,$T75)-4))&gt;0,ISNUMBER('Market Data'!$B$1),N('Market Data'!$B$1)&gt;0),INDEX('Market Data'!$AH$5:$AH$66,INDEX('Market Data'!$J$5:$J$528,$T75)-4)*'Market Data'!$B$1/$E75-1,"pending A/FX"),IF(AND($I75="Snapshot",$Q75="Snapshot",ISNUMBER($E75),$G75=INDEX('Market Data'!$AE$5:$AE$66,INDEX('Market Data'!$J$5:$J$528,$T75)-4)),IFERROR(INDEX('Market Data'!$AC$5:$AC$66,INDEX('Market Data'!$J$5:$J$528,$T75)-4)*INDEX('Market Data'!$AD$5:$AD$66,INDEX('Market Data'!$J$5:$J$528,$T75)-4)/$E75-1,"unavailable"),IF($I75="Unavailable","unavailable","date mismatch"))))))</f>
        <v/>
      </c>
      <c r="N75" s="11">
        <f>IF($T75=0,"",IFERROR(IF(AND(N(INDEX('Market Data'!$F$5:$F$528,$T75))&gt;0,ISNUMBER(INDEX('Market Data'!$T$5:$T$528,$T75))),$E75*INDEX('Market Data'!$T$5:$T$528,$T75)/INDEX('Market Data'!$F$5:$F$528,$T75)-1,"unavailable"),"unavailable"))</f>
        <v/>
      </c>
      <c r="O75" s="9">
        <f>IF($T75=0,"",IF(IF(INDEX('Market Data'!$J$5:$J$528,$T75)=0,0,IF(LEFT(INDEX('Market Data'!$AS$5:$AS$66,INDEX('Market Data'!$J$5:$J$528,$T75)-4),11)="First-month",1,0))=1,"Class ratio review",IF($I75="Bloomberg",IF(ISNUMBER($G75),IF($G75&lt;TODAY(),"Older quote","See quote time"),"Date unavailable"),IF($I75="Snapshot",IF($G75&lt;DATEVALUE("2026-10-02"),"Older snapshot","Dated close"),"No valid quote"))))</f>
        <v/>
      </c>
      <c r="P75" s="14">
        <f>IF($T75=0,"",IF(INDEX('Market Data'!$J$5:$J$528,$T75)=0,"n/a",IF($Q75="Bloomberg",IF(AND(ISNUMBER(INDEX('Market Data'!$AK$5:$AK$66,INDEX('Market Data'!$J$5:$J$528,$T75)-4)),N(INDEX('Market Data'!$AK$5:$AK$66,INDEX('Market Data'!$J$5:$J$528,$T75)-4))&gt;0),INDEX('Market Data'!$AK$5:$AK$66,INDEX('Market Data'!$J$5:$J$528,$T75)-4),"date unavailable"),IF($Q75="Snapshot",IF(AND(ISNUMBER(INDEX('Market Data'!$AF$5:$AF$66,INDEX('Market Data'!$J$5:$J$528,$T75)-4)),N(INDEX('Market Data'!$AF$5:$AF$66,INDEX('Market Data'!$J$5:$J$528,$T75)-4))&gt;0),INDEX('Market Data'!$AF$5:$AF$66,INDEX('Market Data'!$J$5:$J$528,$T75)-4),"date unavailable"),"date unavailable"))))</f>
        <v/>
      </c>
      <c r="Q75" s="15">
        <f>IF($T75=0,"",IF(INDEX('Market Data'!$J$5:$J$528,$T75)=0,"n/a",IF(AND($M$5&lt;&gt;"Snapshot",ISNUMBER(INDEX('Market Data'!$AH$5:$AH$66,INDEX('Market Data'!$J$5:$J$528,$T75)-4)),N(INDEX('Market Data'!$AH$5:$AH$66,INDEX('Market Data'!$J$5:$J$528,$T75)-4))&gt;0),"Bloomberg",IF(AND($M$5&lt;&gt;"Bloomberg",ISNUMBER(INDEX('Market Data'!$AC$5:$AC$66,INDEX('Market Data'!$J$5:$J$528,$T75)-4)),N(INDEX('Market Data'!$AC$5:$AC$66,INDEX('Market Data'!$J$5:$J$528,$T75)-4))&gt;0),"Snapshot","Unavailable"))))</f>
        <v/>
      </c>
      <c r="T75">
        <f>IFERROR(MATCH(67,'Market Data'!$S$5:$S$528,0),0)</f>
        <v/>
      </c>
    </row>
    <row r="76" ht="34" customHeight="1">
      <c r="A76" s="8">
        <f>IF($T76=0,"",IF(INDEX('Market Data'!$A$5:$A$528,$T76)="","",INDEX('Market Data'!$A$5:$A$528,$T76)))</f>
        <v/>
      </c>
      <c r="B76" s="9">
        <f>IF($T76=0,"",IF(INDEX('Market Data'!$B$5:$B$528,$T76)="","",INDEX('Market Data'!$B$5:$B$528,$T76)))</f>
        <v/>
      </c>
      <c r="C76" s="9">
        <f>IF($T76=0,"",IF(INDEX('Market Data'!$C$5:$C$528,$T76)="","",INDEX('Market Data'!$C$5:$C$528,$T76)))</f>
        <v/>
      </c>
      <c r="D76" s="9">
        <f>IF($T76=0,"",IF(INDEX('Market Data'!$D$5:$D$528,$T76)="","",INDEX('Market Data'!$D$5:$D$528,$T76)))</f>
        <v/>
      </c>
      <c r="E76" s="10">
        <f>IF($T76=0,"",INDEX('Market Data'!$O$5:$O$528,$T76))</f>
        <v/>
      </c>
      <c r="F76" s="11">
        <f>IF($T76=0,"",IF(AND($I76="Bloomberg",ISNUMBER(INDEX('Market Data'!$L$5:$L$528,$T76))),INDEX('Market Data'!$L$5:$L$528,$T76),"unavailable"))</f>
        <v/>
      </c>
      <c r="G76" s="12">
        <f>IF($T76=0,"",IF($I76="Bloomberg",IF(AND(ISNUMBER(INDEX('Market Data'!$M$5:$M$528,$T76)),N(INDEX('Market Data'!$M$5:$M$528,$T76))&gt;0),INDEX('Market Data'!$M$5:$M$528,$T76),"date unavailable"),IF($I76="Snapshot",IF(AND(ISNUMBER(INDEX('Market Data'!$H$5:$H$528,$T76)),N(INDEX('Market Data'!$H$5:$H$528,$T76))&gt;0),INDEX('Market Data'!$H$5:$H$528,$T76),"date unavailable"),"date unavailable")))</f>
        <v/>
      </c>
      <c r="H76" s="9">
        <f>IF($T76=0,"",IF($I76="Bloomberg",IF(INDEX('Market Data'!$N$5:$N$528,$T76)="","time unavailable",INDEX('Market Data'!$N$5:$N$528,$T76)),""))</f>
        <v/>
      </c>
      <c r="I76" s="9">
        <f>IF($T76=0,"",INDEX('Market Data'!$P$5:$P$528,$T76))</f>
        <v/>
      </c>
      <c r="J76" s="13">
        <f>IF($T76=0,"",IF(INDEX('Market Data'!$E$5:$E$528,$T76)="","",INDEX('Market Data'!$E$5:$E$528,$T76)))</f>
        <v/>
      </c>
      <c r="K76" s="8">
        <f>IF($T76=0,"",IF(INDEX('Market Data'!$I$5:$I$528,$T76)="","",INDEX('Market Data'!$I$5:$I$528,$T76)))</f>
        <v/>
      </c>
      <c r="L76" s="10">
        <f>IF($T76=0,"",IF(INDEX('Market Data'!$J$5:$J$528,$T76)=0,"n/a",IF(AND($M$5&lt;&gt;"Snapshot",ISNUMBER(INDEX('Market Data'!$AH$5:$AH$66,INDEX('Market Data'!$J$5:$J$528,$T76)-4)),N(INDEX('Market Data'!$AH$5:$AH$66,INDEX('Market Data'!$J$5:$J$528,$T76)-4))&gt;0),INDEX('Market Data'!$AH$5:$AH$66,INDEX('Market Data'!$J$5:$J$528,$T76)-4),IF(AND($M$5&lt;&gt;"Bloomberg",ISNUMBER(INDEX('Market Data'!$AC$5:$AC$66,INDEX('Market Data'!$J$5:$J$528,$T76)-4)),N(INDEX('Market Data'!$AC$5:$AC$66,INDEX('Market Data'!$J$5:$J$528,$T76)-4))&gt;0),INDEX('Market Data'!$AC$5:$AC$66,INDEX('Market Data'!$J$5:$J$528,$T76)-4),"unavailable"))))</f>
        <v/>
      </c>
      <c r="M76" s="11">
        <f>IF($T76=0,"",IF(INDEX('Market Data'!$J$5:$J$528,$T76)=0,"n/a",IF(IF(INDEX('Market Data'!$J$5:$J$528,$T76)=0,0,IF(LEFT(INDEX('Market Data'!$AS$5:$AS$66,INDEX('Market Data'!$J$5:$J$528,$T76)-4),11)="First-month",1,0))=1,"class review",IF($I76="Bloomberg",IF(AND(ISNUMBER(INDEX('Market Data'!$AH$5:$AH$66,INDEX('Market Data'!$J$5:$J$528,$T76)-4)),N(INDEX('Market Data'!$AH$5:$AH$66,INDEX('Market Data'!$J$5:$J$528,$T76)-4))&gt;0,ISNUMBER('Market Data'!$B$1),N('Market Data'!$B$1)&gt;0),INDEX('Market Data'!$AH$5:$AH$66,INDEX('Market Data'!$J$5:$J$528,$T76)-4)*'Market Data'!$B$1/$E76-1,"pending A/FX"),IF(AND($I76="Snapshot",$Q76="Snapshot",ISNUMBER($E76),$G76=INDEX('Market Data'!$AE$5:$AE$66,INDEX('Market Data'!$J$5:$J$528,$T76)-4)),IFERROR(INDEX('Market Data'!$AC$5:$AC$66,INDEX('Market Data'!$J$5:$J$528,$T76)-4)*INDEX('Market Data'!$AD$5:$AD$66,INDEX('Market Data'!$J$5:$J$528,$T76)-4)/$E76-1,"unavailable"),IF($I76="Unavailable","unavailable","date mismatch"))))))</f>
        <v/>
      </c>
      <c r="N76" s="11">
        <f>IF($T76=0,"",IFERROR(IF(AND(N(INDEX('Market Data'!$F$5:$F$528,$T76))&gt;0,ISNUMBER(INDEX('Market Data'!$T$5:$T$528,$T76))),$E76*INDEX('Market Data'!$T$5:$T$528,$T76)/INDEX('Market Data'!$F$5:$F$528,$T76)-1,"unavailable"),"unavailable"))</f>
        <v/>
      </c>
      <c r="O76" s="9">
        <f>IF($T76=0,"",IF(IF(INDEX('Market Data'!$J$5:$J$528,$T76)=0,0,IF(LEFT(INDEX('Market Data'!$AS$5:$AS$66,INDEX('Market Data'!$J$5:$J$528,$T76)-4),11)="First-month",1,0))=1,"Class ratio review",IF($I76="Bloomberg",IF(ISNUMBER($G76),IF($G76&lt;TODAY(),"Older quote","See quote time"),"Date unavailable"),IF($I76="Snapshot",IF($G76&lt;DATEVALUE("2026-10-02"),"Older snapshot","Dated close"),"No valid quote"))))</f>
        <v/>
      </c>
      <c r="P76" s="14">
        <f>IF($T76=0,"",IF(INDEX('Market Data'!$J$5:$J$528,$T76)=0,"n/a",IF($Q76="Bloomberg",IF(AND(ISNUMBER(INDEX('Market Data'!$AK$5:$AK$66,INDEX('Market Data'!$J$5:$J$528,$T76)-4)),N(INDEX('Market Data'!$AK$5:$AK$66,INDEX('Market Data'!$J$5:$J$528,$T76)-4))&gt;0),INDEX('Market Data'!$AK$5:$AK$66,INDEX('Market Data'!$J$5:$J$528,$T76)-4),"date unavailable"),IF($Q76="Snapshot",IF(AND(ISNUMBER(INDEX('Market Data'!$AF$5:$AF$66,INDEX('Market Data'!$J$5:$J$528,$T76)-4)),N(INDEX('Market Data'!$AF$5:$AF$66,INDEX('Market Data'!$J$5:$J$528,$T76)-4))&gt;0),INDEX('Market Data'!$AF$5:$AF$66,INDEX('Market Data'!$J$5:$J$528,$T76)-4),"date unavailable"),"date unavailable"))))</f>
        <v/>
      </c>
      <c r="Q76" s="15">
        <f>IF($T76=0,"",IF(INDEX('Market Data'!$J$5:$J$528,$T76)=0,"n/a",IF(AND($M$5&lt;&gt;"Snapshot",ISNUMBER(INDEX('Market Data'!$AH$5:$AH$66,INDEX('Market Data'!$J$5:$J$528,$T76)-4)),N(INDEX('Market Data'!$AH$5:$AH$66,INDEX('Market Data'!$J$5:$J$528,$T76)-4))&gt;0),"Bloomberg",IF(AND($M$5&lt;&gt;"Bloomberg",ISNUMBER(INDEX('Market Data'!$AC$5:$AC$66,INDEX('Market Data'!$J$5:$J$528,$T76)-4)),N(INDEX('Market Data'!$AC$5:$AC$66,INDEX('Market Data'!$J$5:$J$528,$T76)-4))&gt;0),"Snapshot","Unavailable"))))</f>
        <v/>
      </c>
      <c r="T76">
        <f>IFERROR(MATCH(68,'Market Data'!$S$5:$S$528,0),0)</f>
        <v/>
      </c>
    </row>
    <row r="77" ht="34" customHeight="1">
      <c r="A77" s="8">
        <f>IF($T77=0,"",IF(INDEX('Market Data'!$A$5:$A$528,$T77)="","",INDEX('Market Data'!$A$5:$A$528,$T77)))</f>
        <v/>
      </c>
      <c r="B77" s="9">
        <f>IF($T77=0,"",IF(INDEX('Market Data'!$B$5:$B$528,$T77)="","",INDEX('Market Data'!$B$5:$B$528,$T77)))</f>
        <v/>
      </c>
      <c r="C77" s="9">
        <f>IF($T77=0,"",IF(INDEX('Market Data'!$C$5:$C$528,$T77)="","",INDEX('Market Data'!$C$5:$C$528,$T77)))</f>
        <v/>
      </c>
      <c r="D77" s="9">
        <f>IF($T77=0,"",IF(INDEX('Market Data'!$D$5:$D$528,$T77)="","",INDEX('Market Data'!$D$5:$D$528,$T77)))</f>
        <v/>
      </c>
      <c r="E77" s="10">
        <f>IF($T77=0,"",INDEX('Market Data'!$O$5:$O$528,$T77))</f>
        <v/>
      </c>
      <c r="F77" s="11">
        <f>IF($T77=0,"",IF(AND($I77="Bloomberg",ISNUMBER(INDEX('Market Data'!$L$5:$L$528,$T77))),INDEX('Market Data'!$L$5:$L$528,$T77),"unavailable"))</f>
        <v/>
      </c>
      <c r="G77" s="12">
        <f>IF($T77=0,"",IF($I77="Bloomberg",IF(AND(ISNUMBER(INDEX('Market Data'!$M$5:$M$528,$T77)),N(INDEX('Market Data'!$M$5:$M$528,$T77))&gt;0),INDEX('Market Data'!$M$5:$M$528,$T77),"date unavailable"),IF($I77="Snapshot",IF(AND(ISNUMBER(INDEX('Market Data'!$H$5:$H$528,$T77)),N(INDEX('Market Data'!$H$5:$H$528,$T77))&gt;0),INDEX('Market Data'!$H$5:$H$528,$T77),"date unavailable"),"date unavailable")))</f>
        <v/>
      </c>
      <c r="H77" s="9">
        <f>IF($T77=0,"",IF($I77="Bloomberg",IF(INDEX('Market Data'!$N$5:$N$528,$T77)="","time unavailable",INDEX('Market Data'!$N$5:$N$528,$T77)),""))</f>
        <v/>
      </c>
      <c r="I77" s="9">
        <f>IF($T77=0,"",INDEX('Market Data'!$P$5:$P$528,$T77))</f>
        <v/>
      </c>
      <c r="J77" s="13">
        <f>IF($T77=0,"",IF(INDEX('Market Data'!$E$5:$E$528,$T77)="","",INDEX('Market Data'!$E$5:$E$528,$T77)))</f>
        <v/>
      </c>
      <c r="K77" s="8">
        <f>IF($T77=0,"",IF(INDEX('Market Data'!$I$5:$I$528,$T77)="","",INDEX('Market Data'!$I$5:$I$528,$T77)))</f>
        <v/>
      </c>
      <c r="L77" s="10">
        <f>IF($T77=0,"",IF(INDEX('Market Data'!$J$5:$J$528,$T77)=0,"n/a",IF(AND($M$5&lt;&gt;"Snapshot",ISNUMBER(INDEX('Market Data'!$AH$5:$AH$66,INDEX('Market Data'!$J$5:$J$528,$T77)-4)),N(INDEX('Market Data'!$AH$5:$AH$66,INDEX('Market Data'!$J$5:$J$528,$T77)-4))&gt;0),INDEX('Market Data'!$AH$5:$AH$66,INDEX('Market Data'!$J$5:$J$528,$T77)-4),IF(AND($M$5&lt;&gt;"Bloomberg",ISNUMBER(INDEX('Market Data'!$AC$5:$AC$66,INDEX('Market Data'!$J$5:$J$528,$T77)-4)),N(INDEX('Market Data'!$AC$5:$AC$66,INDEX('Market Data'!$J$5:$J$528,$T77)-4))&gt;0),INDEX('Market Data'!$AC$5:$AC$66,INDEX('Market Data'!$J$5:$J$528,$T77)-4),"unavailable"))))</f>
        <v/>
      </c>
      <c r="M77" s="11">
        <f>IF($T77=0,"",IF(INDEX('Market Data'!$J$5:$J$528,$T77)=0,"n/a",IF(IF(INDEX('Market Data'!$J$5:$J$528,$T77)=0,0,IF(LEFT(INDEX('Market Data'!$AS$5:$AS$66,INDEX('Market Data'!$J$5:$J$528,$T77)-4),11)="First-month",1,0))=1,"class review",IF($I77="Bloomberg",IF(AND(ISNUMBER(INDEX('Market Data'!$AH$5:$AH$66,INDEX('Market Data'!$J$5:$J$528,$T77)-4)),N(INDEX('Market Data'!$AH$5:$AH$66,INDEX('Market Data'!$J$5:$J$528,$T77)-4))&gt;0,ISNUMBER('Market Data'!$B$1),N('Market Data'!$B$1)&gt;0),INDEX('Market Data'!$AH$5:$AH$66,INDEX('Market Data'!$J$5:$J$528,$T77)-4)*'Market Data'!$B$1/$E77-1,"pending A/FX"),IF(AND($I77="Snapshot",$Q77="Snapshot",ISNUMBER($E77),$G77=INDEX('Market Data'!$AE$5:$AE$66,INDEX('Market Data'!$J$5:$J$528,$T77)-4)),IFERROR(INDEX('Market Data'!$AC$5:$AC$66,INDEX('Market Data'!$J$5:$J$528,$T77)-4)*INDEX('Market Data'!$AD$5:$AD$66,INDEX('Market Data'!$J$5:$J$528,$T77)-4)/$E77-1,"unavailable"),IF($I77="Unavailable","unavailable","date mismatch"))))))</f>
        <v/>
      </c>
      <c r="N77" s="11">
        <f>IF($T77=0,"",IFERROR(IF(AND(N(INDEX('Market Data'!$F$5:$F$528,$T77))&gt;0,ISNUMBER(INDEX('Market Data'!$T$5:$T$528,$T77))),$E77*INDEX('Market Data'!$T$5:$T$528,$T77)/INDEX('Market Data'!$F$5:$F$528,$T77)-1,"unavailable"),"unavailable"))</f>
        <v/>
      </c>
      <c r="O77" s="9">
        <f>IF($T77=0,"",IF(IF(INDEX('Market Data'!$J$5:$J$528,$T77)=0,0,IF(LEFT(INDEX('Market Data'!$AS$5:$AS$66,INDEX('Market Data'!$J$5:$J$528,$T77)-4),11)="First-month",1,0))=1,"Class ratio review",IF($I77="Bloomberg",IF(ISNUMBER($G77),IF($G77&lt;TODAY(),"Older quote","See quote time"),"Date unavailable"),IF($I77="Snapshot",IF($G77&lt;DATEVALUE("2026-10-02"),"Older snapshot","Dated close"),"No valid quote"))))</f>
        <v/>
      </c>
      <c r="P77" s="14">
        <f>IF($T77=0,"",IF(INDEX('Market Data'!$J$5:$J$528,$T77)=0,"n/a",IF($Q77="Bloomberg",IF(AND(ISNUMBER(INDEX('Market Data'!$AK$5:$AK$66,INDEX('Market Data'!$J$5:$J$528,$T77)-4)),N(INDEX('Market Data'!$AK$5:$AK$66,INDEX('Market Data'!$J$5:$J$528,$T77)-4))&gt;0),INDEX('Market Data'!$AK$5:$AK$66,INDEX('Market Data'!$J$5:$J$528,$T77)-4),"date unavailable"),IF($Q77="Snapshot",IF(AND(ISNUMBER(INDEX('Market Data'!$AF$5:$AF$66,INDEX('Market Data'!$J$5:$J$528,$T77)-4)),N(INDEX('Market Data'!$AF$5:$AF$66,INDEX('Market Data'!$J$5:$J$528,$T77)-4))&gt;0),INDEX('Market Data'!$AF$5:$AF$66,INDEX('Market Data'!$J$5:$J$528,$T77)-4),"date unavailable"),"date unavailable"))))</f>
        <v/>
      </c>
      <c r="Q77" s="15">
        <f>IF($T77=0,"",IF(INDEX('Market Data'!$J$5:$J$528,$T77)=0,"n/a",IF(AND($M$5&lt;&gt;"Snapshot",ISNUMBER(INDEX('Market Data'!$AH$5:$AH$66,INDEX('Market Data'!$J$5:$J$528,$T77)-4)),N(INDEX('Market Data'!$AH$5:$AH$66,INDEX('Market Data'!$J$5:$J$528,$T77)-4))&gt;0),"Bloomberg",IF(AND($M$5&lt;&gt;"Bloomberg",ISNUMBER(INDEX('Market Data'!$AC$5:$AC$66,INDEX('Market Data'!$J$5:$J$528,$T77)-4)),N(INDEX('Market Data'!$AC$5:$AC$66,INDEX('Market Data'!$J$5:$J$528,$T77)-4))&gt;0),"Snapshot","Unavailable"))))</f>
        <v/>
      </c>
      <c r="T77">
        <f>IFERROR(MATCH(69,'Market Data'!$S$5:$S$528,0),0)</f>
        <v/>
      </c>
    </row>
    <row r="78" ht="34" customHeight="1">
      <c r="A78" s="8">
        <f>IF($T78=0,"",IF(INDEX('Market Data'!$A$5:$A$528,$T78)="","",INDEX('Market Data'!$A$5:$A$528,$T78)))</f>
        <v/>
      </c>
      <c r="B78" s="9">
        <f>IF($T78=0,"",IF(INDEX('Market Data'!$B$5:$B$528,$T78)="","",INDEX('Market Data'!$B$5:$B$528,$T78)))</f>
        <v/>
      </c>
      <c r="C78" s="9">
        <f>IF($T78=0,"",IF(INDEX('Market Data'!$C$5:$C$528,$T78)="","",INDEX('Market Data'!$C$5:$C$528,$T78)))</f>
        <v/>
      </c>
      <c r="D78" s="9">
        <f>IF($T78=0,"",IF(INDEX('Market Data'!$D$5:$D$528,$T78)="","",INDEX('Market Data'!$D$5:$D$528,$T78)))</f>
        <v/>
      </c>
      <c r="E78" s="10">
        <f>IF($T78=0,"",INDEX('Market Data'!$O$5:$O$528,$T78))</f>
        <v/>
      </c>
      <c r="F78" s="11">
        <f>IF($T78=0,"",IF(AND($I78="Bloomberg",ISNUMBER(INDEX('Market Data'!$L$5:$L$528,$T78))),INDEX('Market Data'!$L$5:$L$528,$T78),"unavailable"))</f>
        <v/>
      </c>
      <c r="G78" s="12">
        <f>IF($T78=0,"",IF($I78="Bloomberg",IF(AND(ISNUMBER(INDEX('Market Data'!$M$5:$M$528,$T78)),N(INDEX('Market Data'!$M$5:$M$528,$T78))&gt;0),INDEX('Market Data'!$M$5:$M$528,$T78),"date unavailable"),IF($I78="Snapshot",IF(AND(ISNUMBER(INDEX('Market Data'!$H$5:$H$528,$T78)),N(INDEX('Market Data'!$H$5:$H$528,$T78))&gt;0),INDEX('Market Data'!$H$5:$H$528,$T78),"date unavailable"),"date unavailable")))</f>
        <v/>
      </c>
      <c r="H78" s="9">
        <f>IF($T78=0,"",IF($I78="Bloomberg",IF(INDEX('Market Data'!$N$5:$N$528,$T78)="","time unavailable",INDEX('Market Data'!$N$5:$N$528,$T78)),""))</f>
        <v/>
      </c>
      <c r="I78" s="9">
        <f>IF($T78=0,"",INDEX('Market Data'!$P$5:$P$528,$T78))</f>
        <v/>
      </c>
      <c r="J78" s="13">
        <f>IF($T78=0,"",IF(INDEX('Market Data'!$E$5:$E$528,$T78)="","",INDEX('Market Data'!$E$5:$E$528,$T78)))</f>
        <v/>
      </c>
      <c r="K78" s="8">
        <f>IF($T78=0,"",IF(INDEX('Market Data'!$I$5:$I$528,$T78)="","",INDEX('Market Data'!$I$5:$I$528,$T78)))</f>
        <v/>
      </c>
      <c r="L78" s="10">
        <f>IF($T78=0,"",IF(INDEX('Market Data'!$J$5:$J$528,$T78)=0,"n/a",IF(AND($M$5&lt;&gt;"Snapshot",ISNUMBER(INDEX('Market Data'!$AH$5:$AH$66,INDEX('Market Data'!$J$5:$J$528,$T78)-4)),N(INDEX('Market Data'!$AH$5:$AH$66,INDEX('Market Data'!$J$5:$J$528,$T78)-4))&gt;0),INDEX('Market Data'!$AH$5:$AH$66,INDEX('Market Data'!$J$5:$J$528,$T78)-4),IF(AND($M$5&lt;&gt;"Bloomberg",ISNUMBER(INDEX('Market Data'!$AC$5:$AC$66,INDEX('Market Data'!$J$5:$J$528,$T78)-4)),N(INDEX('Market Data'!$AC$5:$AC$66,INDEX('Market Data'!$J$5:$J$528,$T78)-4))&gt;0),INDEX('Market Data'!$AC$5:$AC$66,INDEX('Market Data'!$J$5:$J$528,$T78)-4),"unavailable"))))</f>
        <v/>
      </c>
      <c r="M78" s="11">
        <f>IF($T78=0,"",IF(INDEX('Market Data'!$J$5:$J$528,$T78)=0,"n/a",IF(IF(INDEX('Market Data'!$J$5:$J$528,$T78)=0,0,IF(LEFT(INDEX('Market Data'!$AS$5:$AS$66,INDEX('Market Data'!$J$5:$J$528,$T78)-4),11)="First-month",1,0))=1,"class review",IF($I78="Bloomberg",IF(AND(ISNUMBER(INDEX('Market Data'!$AH$5:$AH$66,INDEX('Market Data'!$J$5:$J$528,$T78)-4)),N(INDEX('Market Data'!$AH$5:$AH$66,INDEX('Market Data'!$J$5:$J$528,$T78)-4))&gt;0,ISNUMBER('Market Data'!$B$1),N('Market Data'!$B$1)&gt;0),INDEX('Market Data'!$AH$5:$AH$66,INDEX('Market Data'!$J$5:$J$528,$T78)-4)*'Market Data'!$B$1/$E78-1,"pending A/FX"),IF(AND($I78="Snapshot",$Q78="Snapshot",ISNUMBER($E78),$G78=INDEX('Market Data'!$AE$5:$AE$66,INDEX('Market Data'!$J$5:$J$528,$T78)-4)),IFERROR(INDEX('Market Data'!$AC$5:$AC$66,INDEX('Market Data'!$J$5:$J$528,$T78)-4)*INDEX('Market Data'!$AD$5:$AD$66,INDEX('Market Data'!$J$5:$J$528,$T78)-4)/$E78-1,"unavailable"),IF($I78="Unavailable","unavailable","date mismatch"))))))</f>
        <v/>
      </c>
      <c r="N78" s="11">
        <f>IF($T78=0,"",IFERROR(IF(AND(N(INDEX('Market Data'!$F$5:$F$528,$T78))&gt;0,ISNUMBER(INDEX('Market Data'!$T$5:$T$528,$T78))),$E78*INDEX('Market Data'!$T$5:$T$528,$T78)/INDEX('Market Data'!$F$5:$F$528,$T78)-1,"unavailable"),"unavailable"))</f>
        <v/>
      </c>
      <c r="O78" s="9">
        <f>IF($T78=0,"",IF(IF(INDEX('Market Data'!$J$5:$J$528,$T78)=0,0,IF(LEFT(INDEX('Market Data'!$AS$5:$AS$66,INDEX('Market Data'!$J$5:$J$528,$T78)-4),11)="First-month",1,0))=1,"Class ratio review",IF($I78="Bloomberg",IF(ISNUMBER($G78),IF($G78&lt;TODAY(),"Older quote","See quote time"),"Date unavailable"),IF($I78="Snapshot",IF($G78&lt;DATEVALUE("2026-10-02"),"Older snapshot","Dated close"),"No valid quote"))))</f>
        <v/>
      </c>
      <c r="P78" s="14">
        <f>IF($T78=0,"",IF(INDEX('Market Data'!$J$5:$J$528,$T78)=0,"n/a",IF($Q78="Bloomberg",IF(AND(ISNUMBER(INDEX('Market Data'!$AK$5:$AK$66,INDEX('Market Data'!$J$5:$J$528,$T78)-4)),N(INDEX('Market Data'!$AK$5:$AK$66,INDEX('Market Data'!$J$5:$J$528,$T78)-4))&gt;0),INDEX('Market Data'!$AK$5:$AK$66,INDEX('Market Data'!$J$5:$J$528,$T78)-4),"date unavailable"),IF($Q78="Snapshot",IF(AND(ISNUMBER(INDEX('Market Data'!$AF$5:$AF$66,INDEX('Market Data'!$J$5:$J$528,$T78)-4)),N(INDEX('Market Data'!$AF$5:$AF$66,INDEX('Market Data'!$J$5:$J$528,$T78)-4))&gt;0),INDEX('Market Data'!$AF$5:$AF$66,INDEX('Market Data'!$J$5:$J$528,$T78)-4),"date unavailable"),"date unavailable"))))</f>
        <v/>
      </c>
      <c r="Q78" s="15">
        <f>IF($T78=0,"",IF(INDEX('Market Data'!$J$5:$J$528,$T78)=0,"n/a",IF(AND($M$5&lt;&gt;"Snapshot",ISNUMBER(INDEX('Market Data'!$AH$5:$AH$66,INDEX('Market Data'!$J$5:$J$528,$T78)-4)),N(INDEX('Market Data'!$AH$5:$AH$66,INDEX('Market Data'!$J$5:$J$528,$T78)-4))&gt;0),"Bloomberg",IF(AND($M$5&lt;&gt;"Bloomberg",ISNUMBER(INDEX('Market Data'!$AC$5:$AC$66,INDEX('Market Data'!$J$5:$J$528,$T78)-4)),N(INDEX('Market Data'!$AC$5:$AC$66,INDEX('Market Data'!$J$5:$J$528,$T78)-4))&gt;0),"Snapshot","Unavailable"))))</f>
        <v/>
      </c>
      <c r="T78">
        <f>IFERROR(MATCH(70,'Market Data'!$S$5:$S$528,0),0)</f>
        <v/>
      </c>
    </row>
    <row r="79" ht="34" customHeight="1">
      <c r="A79" s="8">
        <f>IF($T79=0,"",IF(INDEX('Market Data'!$A$5:$A$528,$T79)="","",INDEX('Market Data'!$A$5:$A$528,$T79)))</f>
        <v/>
      </c>
      <c r="B79" s="9">
        <f>IF($T79=0,"",IF(INDEX('Market Data'!$B$5:$B$528,$T79)="","",INDEX('Market Data'!$B$5:$B$528,$T79)))</f>
        <v/>
      </c>
      <c r="C79" s="9">
        <f>IF($T79=0,"",IF(INDEX('Market Data'!$C$5:$C$528,$T79)="","",INDEX('Market Data'!$C$5:$C$528,$T79)))</f>
        <v/>
      </c>
      <c r="D79" s="9">
        <f>IF($T79=0,"",IF(INDEX('Market Data'!$D$5:$D$528,$T79)="","",INDEX('Market Data'!$D$5:$D$528,$T79)))</f>
        <v/>
      </c>
      <c r="E79" s="10">
        <f>IF($T79=0,"",INDEX('Market Data'!$O$5:$O$528,$T79))</f>
        <v/>
      </c>
      <c r="F79" s="11">
        <f>IF($T79=0,"",IF(AND($I79="Bloomberg",ISNUMBER(INDEX('Market Data'!$L$5:$L$528,$T79))),INDEX('Market Data'!$L$5:$L$528,$T79),"unavailable"))</f>
        <v/>
      </c>
      <c r="G79" s="12">
        <f>IF($T79=0,"",IF($I79="Bloomberg",IF(AND(ISNUMBER(INDEX('Market Data'!$M$5:$M$528,$T79)),N(INDEX('Market Data'!$M$5:$M$528,$T79))&gt;0),INDEX('Market Data'!$M$5:$M$528,$T79),"date unavailable"),IF($I79="Snapshot",IF(AND(ISNUMBER(INDEX('Market Data'!$H$5:$H$528,$T79)),N(INDEX('Market Data'!$H$5:$H$528,$T79))&gt;0),INDEX('Market Data'!$H$5:$H$528,$T79),"date unavailable"),"date unavailable")))</f>
        <v/>
      </c>
      <c r="H79" s="9">
        <f>IF($T79=0,"",IF($I79="Bloomberg",IF(INDEX('Market Data'!$N$5:$N$528,$T79)="","time unavailable",INDEX('Market Data'!$N$5:$N$528,$T79)),""))</f>
        <v/>
      </c>
      <c r="I79" s="9">
        <f>IF($T79=0,"",INDEX('Market Data'!$P$5:$P$528,$T79))</f>
        <v/>
      </c>
      <c r="J79" s="13">
        <f>IF($T79=0,"",IF(INDEX('Market Data'!$E$5:$E$528,$T79)="","",INDEX('Market Data'!$E$5:$E$528,$T79)))</f>
        <v/>
      </c>
      <c r="K79" s="8">
        <f>IF($T79=0,"",IF(INDEX('Market Data'!$I$5:$I$528,$T79)="","",INDEX('Market Data'!$I$5:$I$528,$T79)))</f>
        <v/>
      </c>
      <c r="L79" s="10">
        <f>IF($T79=0,"",IF(INDEX('Market Data'!$J$5:$J$528,$T79)=0,"n/a",IF(AND($M$5&lt;&gt;"Snapshot",ISNUMBER(INDEX('Market Data'!$AH$5:$AH$66,INDEX('Market Data'!$J$5:$J$528,$T79)-4)),N(INDEX('Market Data'!$AH$5:$AH$66,INDEX('Market Data'!$J$5:$J$528,$T79)-4))&gt;0),INDEX('Market Data'!$AH$5:$AH$66,INDEX('Market Data'!$J$5:$J$528,$T79)-4),IF(AND($M$5&lt;&gt;"Bloomberg",ISNUMBER(INDEX('Market Data'!$AC$5:$AC$66,INDEX('Market Data'!$J$5:$J$528,$T79)-4)),N(INDEX('Market Data'!$AC$5:$AC$66,INDEX('Market Data'!$J$5:$J$528,$T79)-4))&gt;0),INDEX('Market Data'!$AC$5:$AC$66,INDEX('Market Data'!$J$5:$J$528,$T79)-4),"unavailable"))))</f>
        <v/>
      </c>
      <c r="M79" s="11">
        <f>IF($T79=0,"",IF(INDEX('Market Data'!$J$5:$J$528,$T79)=0,"n/a",IF(IF(INDEX('Market Data'!$J$5:$J$528,$T79)=0,0,IF(LEFT(INDEX('Market Data'!$AS$5:$AS$66,INDEX('Market Data'!$J$5:$J$528,$T79)-4),11)="First-month",1,0))=1,"class review",IF($I79="Bloomberg",IF(AND(ISNUMBER(INDEX('Market Data'!$AH$5:$AH$66,INDEX('Market Data'!$J$5:$J$528,$T79)-4)),N(INDEX('Market Data'!$AH$5:$AH$66,INDEX('Market Data'!$J$5:$J$528,$T79)-4))&gt;0,ISNUMBER('Market Data'!$B$1),N('Market Data'!$B$1)&gt;0),INDEX('Market Data'!$AH$5:$AH$66,INDEX('Market Data'!$J$5:$J$528,$T79)-4)*'Market Data'!$B$1/$E79-1,"pending A/FX"),IF(AND($I79="Snapshot",$Q79="Snapshot",ISNUMBER($E79),$G79=INDEX('Market Data'!$AE$5:$AE$66,INDEX('Market Data'!$J$5:$J$528,$T79)-4)),IFERROR(INDEX('Market Data'!$AC$5:$AC$66,INDEX('Market Data'!$J$5:$J$528,$T79)-4)*INDEX('Market Data'!$AD$5:$AD$66,INDEX('Market Data'!$J$5:$J$528,$T79)-4)/$E79-1,"unavailable"),IF($I79="Unavailable","unavailable","date mismatch"))))))</f>
        <v/>
      </c>
      <c r="N79" s="11">
        <f>IF($T79=0,"",IFERROR(IF(AND(N(INDEX('Market Data'!$F$5:$F$528,$T79))&gt;0,ISNUMBER(INDEX('Market Data'!$T$5:$T$528,$T79))),$E79*INDEX('Market Data'!$T$5:$T$528,$T79)/INDEX('Market Data'!$F$5:$F$528,$T79)-1,"unavailable"),"unavailable"))</f>
        <v/>
      </c>
      <c r="O79" s="9">
        <f>IF($T79=0,"",IF(IF(INDEX('Market Data'!$J$5:$J$528,$T79)=0,0,IF(LEFT(INDEX('Market Data'!$AS$5:$AS$66,INDEX('Market Data'!$J$5:$J$528,$T79)-4),11)="First-month",1,0))=1,"Class ratio review",IF($I79="Bloomberg",IF(ISNUMBER($G79),IF($G79&lt;TODAY(),"Older quote","See quote time"),"Date unavailable"),IF($I79="Snapshot",IF($G79&lt;DATEVALUE("2026-10-02"),"Older snapshot","Dated close"),"No valid quote"))))</f>
        <v/>
      </c>
      <c r="P79" s="14">
        <f>IF($T79=0,"",IF(INDEX('Market Data'!$J$5:$J$528,$T79)=0,"n/a",IF($Q79="Bloomberg",IF(AND(ISNUMBER(INDEX('Market Data'!$AK$5:$AK$66,INDEX('Market Data'!$J$5:$J$528,$T79)-4)),N(INDEX('Market Data'!$AK$5:$AK$66,INDEX('Market Data'!$J$5:$J$528,$T79)-4))&gt;0),INDEX('Market Data'!$AK$5:$AK$66,INDEX('Market Data'!$J$5:$J$528,$T79)-4),"date unavailable"),IF($Q79="Snapshot",IF(AND(ISNUMBER(INDEX('Market Data'!$AF$5:$AF$66,INDEX('Market Data'!$J$5:$J$528,$T79)-4)),N(INDEX('Market Data'!$AF$5:$AF$66,INDEX('Market Data'!$J$5:$J$528,$T79)-4))&gt;0),INDEX('Market Data'!$AF$5:$AF$66,INDEX('Market Data'!$J$5:$J$528,$T79)-4),"date unavailable"),"date unavailable"))))</f>
        <v/>
      </c>
      <c r="Q79" s="15">
        <f>IF($T79=0,"",IF(INDEX('Market Data'!$J$5:$J$528,$T79)=0,"n/a",IF(AND($M$5&lt;&gt;"Snapshot",ISNUMBER(INDEX('Market Data'!$AH$5:$AH$66,INDEX('Market Data'!$J$5:$J$528,$T79)-4)),N(INDEX('Market Data'!$AH$5:$AH$66,INDEX('Market Data'!$J$5:$J$528,$T79)-4))&gt;0),"Bloomberg",IF(AND($M$5&lt;&gt;"Bloomberg",ISNUMBER(INDEX('Market Data'!$AC$5:$AC$66,INDEX('Market Data'!$J$5:$J$528,$T79)-4)),N(INDEX('Market Data'!$AC$5:$AC$66,INDEX('Market Data'!$J$5:$J$528,$T79)-4))&gt;0),"Snapshot","Unavailable"))))</f>
        <v/>
      </c>
      <c r="T79">
        <f>IFERROR(MATCH(71,'Market Data'!$S$5:$S$528,0),0)</f>
        <v/>
      </c>
    </row>
    <row r="80" ht="34" customHeight="1">
      <c r="A80" s="8">
        <f>IF($T80=0,"",IF(INDEX('Market Data'!$A$5:$A$528,$T80)="","",INDEX('Market Data'!$A$5:$A$528,$T80)))</f>
        <v/>
      </c>
      <c r="B80" s="9">
        <f>IF($T80=0,"",IF(INDEX('Market Data'!$B$5:$B$528,$T80)="","",INDEX('Market Data'!$B$5:$B$528,$T80)))</f>
        <v/>
      </c>
      <c r="C80" s="9">
        <f>IF($T80=0,"",IF(INDEX('Market Data'!$C$5:$C$528,$T80)="","",INDEX('Market Data'!$C$5:$C$528,$T80)))</f>
        <v/>
      </c>
      <c r="D80" s="9">
        <f>IF($T80=0,"",IF(INDEX('Market Data'!$D$5:$D$528,$T80)="","",INDEX('Market Data'!$D$5:$D$528,$T80)))</f>
        <v/>
      </c>
      <c r="E80" s="10">
        <f>IF($T80=0,"",INDEX('Market Data'!$O$5:$O$528,$T80))</f>
        <v/>
      </c>
      <c r="F80" s="11">
        <f>IF($T80=0,"",IF(AND($I80="Bloomberg",ISNUMBER(INDEX('Market Data'!$L$5:$L$528,$T80))),INDEX('Market Data'!$L$5:$L$528,$T80),"unavailable"))</f>
        <v/>
      </c>
      <c r="G80" s="12">
        <f>IF($T80=0,"",IF($I80="Bloomberg",IF(AND(ISNUMBER(INDEX('Market Data'!$M$5:$M$528,$T80)),N(INDEX('Market Data'!$M$5:$M$528,$T80))&gt;0),INDEX('Market Data'!$M$5:$M$528,$T80),"date unavailable"),IF($I80="Snapshot",IF(AND(ISNUMBER(INDEX('Market Data'!$H$5:$H$528,$T80)),N(INDEX('Market Data'!$H$5:$H$528,$T80))&gt;0),INDEX('Market Data'!$H$5:$H$528,$T80),"date unavailable"),"date unavailable")))</f>
        <v/>
      </c>
      <c r="H80" s="9">
        <f>IF($T80=0,"",IF($I80="Bloomberg",IF(INDEX('Market Data'!$N$5:$N$528,$T80)="","time unavailable",INDEX('Market Data'!$N$5:$N$528,$T80)),""))</f>
        <v/>
      </c>
      <c r="I80" s="9">
        <f>IF($T80=0,"",INDEX('Market Data'!$P$5:$P$528,$T80))</f>
        <v/>
      </c>
      <c r="J80" s="13">
        <f>IF($T80=0,"",IF(INDEX('Market Data'!$E$5:$E$528,$T80)="","",INDEX('Market Data'!$E$5:$E$528,$T80)))</f>
        <v/>
      </c>
      <c r="K80" s="8">
        <f>IF($T80=0,"",IF(INDEX('Market Data'!$I$5:$I$528,$T80)="","",INDEX('Market Data'!$I$5:$I$528,$T80)))</f>
        <v/>
      </c>
      <c r="L80" s="10">
        <f>IF($T80=0,"",IF(INDEX('Market Data'!$J$5:$J$528,$T80)=0,"n/a",IF(AND($M$5&lt;&gt;"Snapshot",ISNUMBER(INDEX('Market Data'!$AH$5:$AH$66,INDEX('Market Data'!$J$5:$J$528,$T80)-4)),N(INDEX('Market Data'!$AH$5:$AH$66,INDEX('Market Data'!$J$5:$J$528,$T80)-4))&gt;0),INDEX('Market Data'!$AH$5:$AH$66,INDEX('Market Data'!$J$5:$J$528,$T80)-4),IF(AND($M$5&lt;&gt;"Bloomberg",ISNUMBER(INDEX('Market Data'!$AC$5:$AC$66,INDEX('Market Data'!$J$5:$J$528,$T80)-4)),N(INDEX('Market Data'!$AC$5:$AC$66,INDEX('Market Data'!$J$5:$J$528,$T80)-4))&gt;0),INDEX('Market Data'!$AC$5:$AC$66,INDEX('Market Data'!$J$5:$J$528,$T80)-4),"unavailable"))))</f>
        <v/>
      </c>
      <c r="M80" s="11">
        <f>IF($T80=0,"",IF(INDEX('Market Data'!$J$5:$J$528,$T80)=0,"n/a",IF(IF(INDEX('Market Data'!$J$5:$J$528,$T80)=0,0,IF(LEFT(INDEX('Market Data'!$AS$5:$AS$66,INDEX('Market Data'!$J$5:$J$528,$T80)-4),11)="First-month",1,0))=1,"class review",IF($I80="Bloomberg",IF(AND(ISNUMBER(INDEX('Market Data'!$AH$5:$AH$66,INDEX('Market Data'!$J$5:$J$528,$T80)-4)),N(INDEX('Market Data'!$AH$5:$AH$66,INDEX('Market Data'!$J$5:$J$528,$T80)-4))&gt;0,ISNUMBER('Market Data'!$B$1),N('Market Data'!$B$1)&gt;0),INDEX('Market Data'!$AH$5:$AH$66,INDEX('Market Data'!$J$5:$J$528,$T80)-4)*'Market Data'!$B$1/$E80-1,"pending A/FX"),IF(AND($I80="Snapshot",$Q80="Snapshot",ISNUMBER($E80),$G80=INDEX('Market Data'!$AE$5:$AE$66,INDEX('Market Data'!$J$5:$J$528,$T80)-4)),IFERROR(INDEX('Market Data'!$AC$5:$AC$66,INDEX('Market Data'!$J$5:$J$528,$T80)-4)*INDEX('Market Data'!$AD$5:$AD$66,INDEX('Market Data'!$J$5:$J$528,$T80)-4)/$E80-1,"unavailable"),IF($I80="Unavailable","unavailable","date mismatch"))))))</f>
        <v/>
      </c>
      <c r="N80" s="11">
        <f>IF($T80=0,"",IFERROR(IF(AND(N(INDEX('Market Data'!$F$5:$F$528,$T80))&gt;0,ISNUMBER(INDEX('Market Data'!$T$5:$T$528,$T80))),$E80*INDEX('Market Data'!$T$5:$T$528,$T80)/INDEX('Market Data'!$F$5:$F$528,$T80)-1,"unavailable"),"unavailable"))</f>
        <v/>
      </c>
      <c r="O80" s="9">
        <f>IF($T80=0,"",IF(IF(INDEX('Market Data'!$J$5:$J$528,$T80)=0,0,IF(LEFT(INDEX('Market Data'!$AS$5:$AS$66,INDEX('Market Data'!$J$5:$J$528,$T80)-4),11)="First-month",1,0))=1,"Class ratio review",IF($I80="Bloomberg",IF(ISNUMBER($G80),IF($G80&lt;TODAY(),"Older quote","See quote time"),"Date unavailable"),IF($I80="Snapshot",IF($G80&lt;DATEVALUE("2026-10-02"),"Older snapshot","Dated close"),"No valid quote"))))</f>
        <v/>
      </c>
      <c r="P80" s="14">
        <f>IF($T80=0,"",IF(INDEX('Market Data'!$J$5:$J$528,$T80)=0,"n/a",IF($Q80="Bloomberg",IF(AND(ISNUMBER(INDEX('Market Data'!$AK$5:$AK$66,INDEX('Market Data'!$J$5:$J$528,$T80)-4)),N(INDEX('Market Data'!$AK$5:$AK$66,INDEX('Market Data'!$J$5:$J$528,$T80)-4))&gt;0),INDEX('Market Data'!$AK$5:$AK$66,INDEX('Market Data'!$J$5:$J$528,$T80)-4),"date unavailable"),IF($Q80="Snapshot",IF(AND(ISNUMBER(INDEX('Market Data'!$AF$5:$AF$66,INDEX('Market Data'!$J$5:$J$528,$T80)-4)),N(INDEX('Market Data'!$AF$5:$AF$66,INDEX('Market Data'!$J$5:$J$528,$T80)-4))&gt;0),INDEX('Market Data'!$AF$5:$AF$66,INDEX('Market Data'!$J$5:$J$528,$T80)-4),"date unavailable"),"date unavailable"))))</f>
        <v/>
      </c>
      <c r="Q80" s="15">
        <f>IF($T80=0,"",IF(INDEX('Market Data'!$J$5:$J$528,$T80)=0,"n/a",IF(AND($M$5&lt;&gt;"Snapshot",ISNUMBER(INDEX('Market Data'!$AH$5:$AH$66,INDEX('Market Data'!$J$5:$J$528,$T80)-4)),N(INDEX('Market Data'!$AH$5:$AH$66,INDEX('Market Data'!$J$5:$J$528,$T80)-4))&gt;0),"Bloomberg",IF(AND($M$5&lt;&gt;"Bloomberg",ISNUMBER(INDEX('Market Data'!$AC$5:$AC$66,INDEX('Market Data'!$J$5:$J$528,$T80)-4)),N(INDEX('Market Data'!$AC$5:$AC$66,INDEX('Market Data'!$J$5:$J$528,$T80)-4))&gt;0),"Snapshot","Unavailable"))))</f>
        <v/>
      </c>
      <c r="T80">
        <f>IFERROR(MATCH(72,'Market Data'!$S$5:$S$528,0),0)</f>
        <v/>
      </c>
    </row>
    <row r="81" ht="34" customHeight="1">
      <c r="A81" s="8">
        <f>IF($T81=0,"",IF(INDEX('Market Data'!$A$5:$A$528,$T81)="","",INDEX('Market Data'!$A$5:$A$528,$T81)))</f>
        <v/>
      </c>
      <c r="B81" s="9">
        <f>IF($T81=0,"",IF(INDEX('Market Data'!$B$5:$B$528,$T81)="","",INDEX('Market Data'!$B$5:$B$528,$T81)))</f>
        <v/>
      </c>
      <c r="C81" s="9">
        <f>IF($T81=0,"",IF(INDEX('Market Data'!$C$5:$C$528,$T81)="","",INDEX('Market Data'!$C$5:$C$528,$T81)))</f>
        <v/>
      </c>
      <c r="D81" s="9">
        <f>IF($T81=0,"",IF(INDEX('Market Data'!$D$5:$D$528,$T81)="","",INDEX('Market Data'!$D$5:$D$528,$T81)))</f>
        <v/>
      </c>
      <c r="E81" s="10">
        <f>IF($T81=0,"",INDEX('Market Data'!$O$5:$O$528,$T81))</f>
        <v/>
      </c>
      <c r="F81" s="11">
        <f>IF($T81=0,"",IF(AND($I81="Bloomberg",ISNUMBER(INDEX('Market Data'!$L$5:$L$528,$T81))),INDEX('Market Data'!$L$5:$L$528,$T81),"unavailable"))</f>
        <v/>
      </c>
      <c r="G81" s="12">
        <f>IF($T81=0,"",IF($I81="Bloomberg",IF(AND(ISNUMBER(INDEX('Market Data'!$M$5:$M$528,$T81)),N(INDEX('Market Data'!$M$5:$M$528,$T81))&gt;0),INDEX('Market Data'!$M$5:$M$528,$T81),"date unavailable"),IF($I81="Snapshot",IF(AND(ISNUMBER(INDEX('Market Data'!$H$5:$H$528,$T81)),N(INDEX('Market Data'!$H$5:$H$528,$T81))&gt;0),INDEX('Market Data'!$H$5:$H$528,$T81),"date unavailable"),"date unavailable")))</f>
        <v/>
      </c>
      <c r="H81" s="9">
        <f>IF($T81=0,"",IF($I81="Bloomberg",IF(INDEX('Market Data'!$N$5:$N$528,$T81)="","time unavailable",INDEX('Market Data'!$N$5:$N$528,$T81)),""))</f>
        <v/>
      </c>
      <c r="I81" s="9">
        <f>IF($T81=0,"",INDEX('Market Data'!$P$5:$P$528,$T81))</f>
        <v/>
      </c>
      <c r="J81" s="13">
        <f>IF($T81=0,"",IF(INDEX('Market Data'!$E$5:$E$528,$T81)="","",INDEX('Market Data'!$E$5:$E$528,$T81)))</f>
        <v/>
      </c>
      <c r="K81" s="8">
        <f>IF($T81=0,"",IF(INDEX('Market Data'!$I$5:$I$528,$T81)="","",INDEX('Market Data'!$I$5:$I$528,$T81)))</f>
        <v/>
      </c>
      <c r="L81" s="10">
        <f>IF($T81=0,"",IF(INDEX('Market Data'!$J$5:$J$528,$T81)=0,"n/a",IF(AND($M$5&lt;&gt;"Snapshot",ISNUMBER(INDEX('Market Data'!$AH$5:$AH$66,INDEX('Market Data'!$J$5:$J$528,$T81)-4)),N(INDEX('Market Data'!$AH$5:$AH$66,INDEX('Market Data'!$J$5:$J$528,$T81)-4))&gt;0),INDEX('Market Data'!$AH$5:$AH$66,INDEX('Market Data'!$J$5:$J$528,$T81)-4),IF(AND($M$5&lt;&gt;"Bloomberg",ISNUMBER(INDEX('Market Data'!$AC$5:$AC$66,INDEX('Market Data'!$J$5:$J$528,$T81)-4)),N(INDEX('Market Data'!$AC$5:$AC$66,INDEX('Market Data'!$J$5:$J$528,$T81)-4))&gt;0),INDEX('Market Data'!$AC$5:$AC$66,INDEX('Market Data'!$J$5:$J$528,$T81)-4),"unavailable"))))</f>
        <v/>
      </c>
      <c r="M81" s="11">
        <f>IF($T81=0,"",IF(INDEX('Market Data'!$J$5:$J$528,$T81)=0,"n/a",IF(IF(INDEX('Market Data'!$J$5:$J$528,$T81)=0,0,IF(LEFT(INDEX('Market Data'!$AS$5:$AS$66,INDEX('Market Data'!$J$5:$J$528,$T81)-4),11)="First-month",1,0))=1,"class review",IF($I81="Bloomberg",IF(AND(ISNUMBER(INDEX('Market Data'!$AH$5:$AH$66,INDEX('Market Data'!$J$5:$J$528,$T81)-4)),N(INDEX('Market Data'!$AH$5:$AH$66,INDEX('Market Data'!$J$5:$J$528,$T81)-4))&gt;0,ISNUMBER('Market Data'!$B$1),N('Market Data'!$B$1)&gt;0),INDEX('Market Data'!$AH$5:$AH$66,INDEX('Market Data'!$J$5:$J$528,$T81)-4)*'Market Data'!$B$1/$E81-1,"pending A/FX"),IF(AND($I81="Snapshot",$Q81="Snapshot",ISNUMBER($E81),$G81=INDEX('Market Data'!$AE$5:$AE$66,INDEX('Market Data'!$J$5:$J$528,$T81)-4)),IFERROR(INDEX('Market Data'!$AC$5:$AC$66,INDEX('Market Data'!$J$5:$J$528,$T81)-4)*INDEX('Market Data'!$AD$5:$AD$66,INDEX('Market Data'!$J$5:$J$528,$T81)-4)/$E81-1,"unavailable"),IF($I81="Unavailable","unavailable","date mismatch"))))))</f>
        <v/>
      </c>
      <c r="N81" s="11">
        <f>IF($T81=0,"",IFERROR(IF(AND(N(INDEX('Market Data'!$F$5:$F$528,$T81))&gt;0,ISNUMBER(INDEX('Market Data'!$T$5:$T$528,$T81))),$E81*INDEX('Market Data'!$T$5:$T$528,$T81)/INDEX('Market Data'!$F$5:$F$528,$T81)-1,"unavailable"),"unavailable"))</f>
        <v/>
      </c>
      <c r="O81" s="9">
        <f>IF($T81=0,"",IF(IF(INDEX('Market Data'!$J$5:$J$528,$T81)=0,0,IF(LEFT(INDEX('Market Data'!$AS$5:$AS$66,INDEX('Market Data'!$J$5:$J$528,$T81)-4),11)="First-month",1,0))=1,"Class ratio review",IF($I81="Bloomberg",IF(ISNUMBER($G81),IF($G81&lt;TODAY(),"Older quote","See quote time"),"Date unavailable"),IF($I81="Snapshot",IF($G81&lt;DATEVALUE("2026-10-02"),"Older snapshot","Dated close"),"No valid quote"))))</f>
        <v/>
      </c>
      <c r="P81" s="14">
        <f>IF($T81=0,"",IF(INDEX('Market Data'!$J$5:$J$528,$T81)=0,"n/a",IF($Q81="Bloomberg",IF(AND(ISNUMBER(INDEX('Market Data'!$AK$5:$AK$66,INDEX('Market Data'!$J$5:$J$528,$T81)-4)),N(INDEX('Market Data'!$AK$5:$AK$66,INDEX('Market Data'!$J$5:$J$528,$T81)-4))&gt;0),INDEX('Market Data'!$AK$5:$AK$66,INDEX('Market Data'!$J$5:$J$528,$T81)-4),"date unavailable"),IF($Q81="Snapshot",IF(AND(ISNUMBER(INDEX('Market Data'!$AF$5:$AF$66,INDEX('Market Data'!$J$5:$J$528,$T81)-4)),N(INDEX('Market Data'!$AF$5:$AF$66,INDEX('Market Data'!$J$5:$J$528,$T81)-4))&gt;0),INDEX('Market Data'!$AF$5:$AF$66,INDEX('Market Data'!$J$5:$J$528,$T81)-4),"date unavailable"),"date unavailable"))))</f>
        <v/>
      </c>
      <c r="Q81" s="15">
        <f>IF($T81=0,"",IF(INDEX('Market Data'!$J$5:$J$528,$T81)=0,"n/a",IF(AND($M$5&lt;&gt;"Snapshot",ISNUMBER(INDEX('Market Data'!$AH$5:$AH$66,INDEX('Market Data'!$J$5:$J$528,$T81)-4)),N(INDEX('Market Data'!$AH$5:$AH$66,INDEX('Market Data'!$J$5:$J$528,$T81)-4))&gt;0),"Bloomberg",IF(AND($M$5&lt;&gt;"Bloomberg",ISNUMBER(INDEX('Market Data'!$AC$5:$AC$66,INDEX('Market Data'!$J$5:$J$528,$T81)-4)),N(INDEX('Market Data'!$AC$5:$AC$66,INDEX('Market Data'!$J$5:$J$528,$T81)-4))&gt;0),"Snapshot","Unavailable"))))</f>
        <v/>
      </c>
      <c r="T81">
        <f>IFERROR(MATCH(73,'Market Data'!$S$5:$S$528,0),0)</f>
        <v/>
      </c>
    </row>
    <row r="82" ht="34" customHeight="1">
      <c r="A82" s="8">
        <f>IF($T82=0,"",IF(INDEX('Market Data'!$A$5:$A$528,$T82)="","",INDEX('Market Data'!$A$5:$A$528,$T82)))</f>
        <v/>
      </c>
      <c r="B82" s="9">
        <f>IF($T82=0,"",IF(INDEX('Market Data'!$B$5:$B$528,$T82)="","",INDEX('Market Data'!$B$5:$B$528,$T82)))</f>
        <v/>
      </c>
      <c r="C82" s="9">
        <f>IF($T82=0,"",IF(INDEX('Market Data'!$C$5:$C$528,$T82)="","",INDEX('Market Data'!$C$5:$C$528,$T82)))</f>
        <v/>
      </c>
      <c r="D82" s="9">
        <f>IF($T82=0,"",IF(INDEX('Market Data'!$D$5:$D$528,$T82)="","",INDEX('Market Data'!$D$5:$D$528,$T82)))</f>
        <v/>
      </c>
      <c r="E82" s="10">
        <f>IF($T82=0,"",INDEX('Market Data'!$O$5:$O$528,$T82))</f>
        <v/>
      </c>
      <c r="F82" s="11">
        <f>IF($T82=0,"",IF(AND($I82="Bloomberg",ISNUMBER(INDEX('Market Data'!$L$5:$L$528,$T82))),INDEX('Market Data'!$L$5:$L$528,$T82),"unavailable"))</f>
        <v/>
      </c>
      <c r="G82" s="12">
        <f>IF($T82=0,"",IF($I82="Bloomberg",IF(AND(ISNUMBER(INDEX('Market Data'!$M$5:$M$528,$T82)),N(INDEX('Market Data'!$M$5:$M$528,$T82))&gt;0),INDEX('Market Data'!$M$5:$M$528,$T82),"date unavailable"),IF($I82="Snapshot",IF(AND(ISNUMBER(INDEX('Market Data'!$H$5:$H$528,$T82)),N(INDEX('Market Data'!$H$5:$H$528,$T82))&gt;0),INDEX('Market Data'!$H$5:$H$528,$T82),"date unavailable"),"date unavailable")))</f>
        <v/>
      </c>
      <c r="H82" s="9">
        <f>IF($T82=0,"",IF($I82="Bloomberg",IF(INDEX('Market Data'!$N$5:$N$528,$T82)="","time unavailable",INDEX('Market Data'!$N$5:$N$528,$T82)),""))</f>
        <v/>
      </c>
      <c r="I82" s="9">
        <f>IF($T82=0,"",INDEX('Market Data'!$P$5:$P$528,$T82))</f>
        <v/>
      </c>
      <c r="J82" s="13">
        <f>IF($T82=0,"",IF(INDEX('Market Data'!$E$5:$E$528,$T82)="","",INDEX('Market Data'!$E$5:$E$528,$T82)))</f>
        <v/>
      </c>
      <c r="K82" s="8">
        <f>IF($T82=0,"",IF(INDEX('Market Data'!$I$5:$I$528,$T82)="","",INDEX('Market Data'!$I$5:$I$528,$T82)))</f>
        <v/>
      </c>
      <c r="L82" s="10">
        <f>IF($T82=0,"",IF(INDEX('Market Data'!$J$5:$J$528,$T82)=0,"n/a",IF(AND($M$5&lt;&gt;"Snapshot",ISNUMBER(INDEX('Market Data'!$AH$5:$AH$66,INDEX('Market Data'!$J$5:$J$528,$T82)-4)),N(INDEX('Market Data'!$AH$5:$AH$66,INDEX('Market Data'!$J$5:$J$528,$T82)-4))&gt;0),INDEX('Market Data'!$AH$5:$AH$66,INDEX('Market Data'!$J$5:$J$528,$T82)-4),IF(AND($M$5&lt;&gt;"Bloomberg",ISNUMBER(INDEX('Market Data'!$AC$5:$AC$66,INDEX('Market Data'!$J$5:$J$528,$T82)-4)),N(INDEX('Market Data'!$AC$5:$AC$66,INDEX('Market Data'!$J$5:$J$528,$T82)-4))&gt;0),INDEX('Market Data'!$AC$5:$AC$66,INDEX('Market Data'!$J$5:$J$528,$T82)-4),"unavailable"))))</f>
        <v/>
      </c>
      <c r="M82" s="11">
        <f>IF($T82=0,"",IF(INDEX('Market Data'!$J$5:$J$528,$T82)=0,"n/a",IF(IF(INDEX('Market Data'!$J$5:$J$528,$T82)=0,0,IF(LEFT(INDEX('Market Data'!$AS$5:$AS$66,INDEX('Market Data'!$J$5:$J$528,$T82)-4),11)="First-month",1,0))=1,"class review",IF($I82="Bloomberg",IF(AND(ISNUMBER(INDEX('Market Data'!$AH$5:$AH$66,INDEX('Market Data'!$J$5:$J$528,$T82)-4)),N(INDEX('Market Data'!$AH$5:$AH$66,INDEX('Market Data'!$J$5:$J$528,$T82)-4))&gt;0,ISNUMBER('Market Data'!$B$1),N('Market Data'!$B$1)&gt;0),INDEX('Market Data'!$AH$5:$AH$66,INDEX('Market Data'!$J$5:$J$528,$T82)-4)*'Market Data'!$B$1/$E82-1,"pending A/FX"),IF(AND($I82="Snapshot",$Q82="Snapshot",ISNUMBER($E82),$G82=INDEX('Market Data'!$AE$5:$AE$66,INDEX('Market Data'!$J$5:$J$528,$T82)-4)),IFERROR(INDEX('Market Data'!$AC$5:$AC$66,INDEX('Market Data'!$J$5:$J$528,$T82)-4)*INDEX('Market Data'!$AD$5:$AD$66,INDEX('Market Data'!$J$5:$J$528,$T82)-4)/$E82-1,"unavailable"),IF($I82="Unavailable","unavailable","date mismatch"))))))</f>
        <v/>
      </c>
      <c r="N82" s="11">
        <f>IF($T82=0,"",IFERROR(IF(AND(N(INDEX('Market Data'!$F$5:$F$528,$T82))&gt;0,ISNUMBER(INDEX('Market Data'!$T$5:$T$528,$T82))),$E82*INDEX('Market Data'!$T$5:$T$528,$T82)/INDEX('Market Data'!$F$5:$F$528,$T82)-1,"unavailable"),"unavailable"))</f>
        <v/>
      </c>
      <c r="O82" s="9">
        <f>IF($T82=0,"",IF(IF(INDEX('Market Data'!$J$5:$J$528,$T82)=0,0,IF(LEFT(INDEX('Market Data'!$AS$5:$AS$66,INDEX('Market Data'!$J$5:$J$528,$T82)-4),11)="First-month",1,0))=1,"Class ratio review",IF($I82="Bloomberg",IF(ISNUMBER($G82),IF($G82&lt;TODAY(),"Older quote","See quote time"),"Date unavailable"),IF($I82="Snapshot",IF($G82&lt;DATEVALUE("2026-10-02"),"Older snapshot","Dated close"),"No valid quote"))))</f>
        <v/>
      </c>
      <c r="P82" s="14">
        <f>IF($T82=0,"",IF(INDEX('Market Data'!$J$5:$J$528,$T82)=0,"n/a",IF($Q82="Bloomberg",IF(AND(ISNUMBER(INDEX('Market Data'!$AK$5:$AK$66,INDEX('Market Data'!$J$5:$J$528,$T82)-4)),N(INDEX('Market Data'!$AK$5:$AK$66,INDEX('Market Data'!$J$5:$J$528,$T82)-4))&gt;0),INDEX('Market Data'!$AK$5:$AK$66,INDEX('Market Data'!$J$5:$J$528,$T82)-4),"date unavailable"),IF($Q82="Snapshot",IF(AND(ISNUMBER(INDEX('Market Data'!$AF$5:$AF$66,INDEX('Market Data'!$J$5:$J$528,$T82)-4)),N(INDEX('Market Data'!$AF$5:$AF$66,INDEX('Market Data'!$J$5:$J$528,$T82)-4))&gt;0),INDEX('Market Data'!$AF$5:$AF$66,INDEX('Market Data'!$J$5:$J$528,$T82)-4),"date unavailable"),"date unavailable"))))</f>
        <v/>
      </c>
      <c r="Q82" s="15">
        <f>IF($T82=0,"",IF(INDEX('Market Data'!$J$5:$J$528,$T82)=0,"n/a",IF(AND($M$5&lt;&gt;"Snapshot",ISNUMBER(INDEX('Market Data'!$AH$5:$AH$66,INDEX('Market Data'!$J$5:$J$528,$T82)-4)),N(INDEX('Market Data'!$AH$5:$AH$66,INDEX('Market Data'!$J$5:$J$528,$T82)-4))&gt;0),"Bloomberg",IF(AND($M$5&lt;&gt;"Bloomberg",ISNUMBER(INDEX('Market Data'!$AC$5:$AC$66,INDEX('Market Data'!$J$5:$J$528,$T82)-4)),N(INDEX('Market Data'!$AC$5:$AC$66,INDEX('Market Data'!$J$5:$J$528,$T82)-4))&gt;0),"Snapshot","Unavailable"))))</f>
        <v/>
      </c>
      <c r="T82">
        <f>IFERROR(MATCH(74,'Market Data'!$S$5:$S$528,0),0)</f>
        <v/>
      </c>
    </row>
    <row r="83" ht="34" customHeight="1">
      <c r="A83" s="8">
        <f>IF($T83=0,"",IF(INDEX('Market Data'!$A$5:$A$528,$T83)="","",INDEX('Market Data'!$A$5:$A$528,$T83)))</f>
        <v/>
      </c>
      <c r="B83" s="9">
        <f>IF($T83=0,"",IF(INDEX('Market Data'!$B$5:$B$528,$T83)="","",INDEX('Market Data'!$B$5:$B$528,$T83)))</f>
        <v/>
      </c>
      <c r="C83" s="9">
        <f>IF($T83=0,"",IF(INDEX('Market Data'!$C$5:$C$528,$T83)="","",INDEX('Market Data'!$C$5:$C$528,$T83)))</f>
        <v/>
      </c>
      <c r="D83" s="9">
        <f>IF($T83=0,"",IF(INDEX('Market Data'!$D$5:$D$528,$T83)="","",INDEX('Market Data'!$D$5:$D$528,$T83)))</f>
        <v/>
      </c>
      <c r="E83" s="10">
        <f>IF($T83=0,"",INDEX('Market Data'!$O$5:$O$528,$T83))</f>
        <v/>
      </c>
      <c r="F83" s="11">
        <f>IF($T83=0,"",IF(AND($I83="Bloomberg",ISNUMBER(INDEX('Market Data'!$L$5:$L$528,$T83))),INDEX('Market Data'!$L$5:$L$528,$T83),"unavailable"))</f>
        <v/>
      </c>
      <c r="G83" s="12">
        <f>IF($T83=0,"",IF($I83="Bloomberg",IF(AND(ISNUMBER(INDEX('Market Data'!$M$5:$M$528,$T83)),N(INDEX('Market Data'!$M$5:$M$528,$T83))&gt;0),INDEX('Market Data'!$M$5:$M$528,$T83),"date unavailable"),IF($I83="Snapshot",IF(AND(ISNUMBER(INDEX('Market Data'!$H$5:$H$528,$T83)),N(INDEX('Market Data'!$H$5:$H$528,$T83))&gt;0),INDEX('Market Data'!$H$5:$H$528,$T83),"date unavailable"),"date unavailable")))</f>
        <v/>
      </c>
      <c r="H83" s="9">
        <f>IF($T83=0,"",IF($I83="Bloomberg",IF(INDEX('Market Data'!$N$5:$N$528,$T83)="","time unavailable",INDEX('Market Data'!$N$5:$N$528,$T83)),""))</f>
        <v/>
      </c>
      <c r="I83" s="9">
        <f>IF($T83=0,"",INDEX('Market Data'!$P$5:$P$528,$T83))</f>
        <v/>
      </c>
      <c r="J83" s="13">
        <f>IF($T83=0,"",IF(INDEX('Market Data'!$E$5:$E$528,$T83)="","",INDEX('Market Data'!$E$5:$E$528,$T83)))</f>
        <v/>
      </c>
      <c r="K83" s="8">
        <f>IF($T83=0,"",IF(INDEX('Market Data'!$I$5:$I$528,$T83)="","",INDEX('Market Data'!$I$5:$I$528,$T83)))</f>
        <v/>
      </c>
      <c r="L83" s="10">
        <f>IF($T83=0,"",IF(INDEX('Market Data'!$J$5:$J$528,$T83)=0,"n/a",IF(AND($M$5&lt;&gt;"Snapshot",ISNUMBER(INDEX('Market Data'!$AH$5:$AH$66,INDEX('Market Data'!$J$5:$J$528,$T83)-4)),N(INDEX('Market Data'!$AH$5:$AH$66,INDEX('Market Data'!$J$5:$J$528,$T83)-4))&gt;0),INDEX('Market Data'!$AH$5:$AH$66,INDEX('Market Data'!$J$5:$J$528,$T83)-4),IF(AND($M$5&lt;&gt;"Bloomberg",ISNUMBER(INDEX('Market Data'!$AC$5:$AC$66,INDEX('Market Data'!$J$5:$J$528,$T83)-4)),N(INDEX('Market Data'!$AC$5:$AC$66,INDEX('Market Data'!$J$5:$J$528,$T83)-4))&gt;0),INDEX('Market Data'!$AC$5:$AC$66,INDEX('Market Data'!$J$5:$J$528,$T83)-4),"unavailable"))))</f>
        <v/>
      </c>
      <c r="M83" s="11">
        <f>IF($T83=0,"",IF(INDEX('Market Data'!$J$5:$J$528,$T83)=0,"n/a",IF(IF(INDEX('Market Data'!$J$5:$J$528,$T83)=0,0,IF(LEFT(INDEX('Market Data'!$AS$5:$AS$66,INDEX('Market Data'!$J$5:$J$528,$T83)-4),11)="First-month",1,0))=1,"class review",IF($I83="Bloomberg",IF(AND(ISNUMBER(INDEX('Market Data'!$AH$5:$AH$66,INDEX('Market Data'!$J$5:$J$528,$T83)-4)),N(INDEX('Market Data'!$AH$5:$AH$66,INDEX('Market Data'!$J$5:$J$528,$T83)-4))&gt;0,ISNUMBER('Market Data'!$B$1),N('Market Data'!$B$1)&gt;0),INDEX('Market Data'!$AH$5:$AH$66,INDEX('Market Data'!$J$5:$J$528,$T83)-4)*'Market Data'!$B$1/$E83-1,"pending A/FX"),IF(AND($I83="Snapshot",$Q83="Snapshot",ISNUMBER($E83),$G83=INDEX('Market Data'!$AE$5:$AE$66,INDEX('Market Data'!$J$5:$J$528,$T83)-4)),IFERROR(INDEX('Market Data'!$AC$5:$AC$66,INDEX('Market Data'!$J$5:$J$528,$T83)-4)*INDEX('Market Data'!$AD$5:$AD$66,INDEX('Market Data'!$J$5:$J$528,$T83)-4)/$E83-1,"unavailable"),IF($I83="Unavailable","unavailable","date mismatch"))))))</f>
        <v/>
      </c>
      <c r="N83" s="11">
        <f>IF($T83=0,"",IFERROR(IF(AND(N(INDEX('Market Data'!$F$5:$F$528,$T83))&gt;0,ISNUMBER(INDEX('Market Data'!$T$5:$T$528,$T83))),$E83*INDEX('Market Data'!$T$5:$T$528,$T83)/INDEX('Market Data'!$F$5:$F$528,$T83)-1,"unavailable"),"unavailable"))</f>
        <v/>
      </c>
      <c r="O83" s="9">
        <f>IF($T83=0,"",IF(IF(INDEX('Market Data'!$J$5:$J$528,$T83)=0,0,IF(LEFT(INDEX('Market Data'!$AS$5:$AS$66,INDEX('Market Data'!$J$5:$J$528,$T83)-4),11)="First-month",1,0))=1,"Class ratio review",IF($I83="Bloomberg",IF(ISNUMBER($G83),IF($G83&lt;TODAY(),"Older quote","See quote time"),"Date unavailable"),IF($I83="Snapshot",IF($G83&lt;DATEVALUE("2026-10-02"),"Older snapshot","Dated close"),"No valid quote"))))</f>
        <v/>
      </c>
      <c r="P83" s="14">
        <f>IF($T83=0,"",IF(INDEX('Market Data'!$J$5:$J$528,$T83)=0,"n/a",IF($Q83="Bloomberg",IF(AND(ISNUMBER(INDEX('Market Data'!$AK$5:$AK$66,INDEX('Market Data'!$J$5:$J$528,$T83)-4)),N(INDEX('Market Data'!$AK$5:$AK$66,INDEX('Market Data'!$J$5:$J$528,$T83)-4))&gt;0),INDEX('Market Data'!$AK$5:$AK$66,INDEX('Market Data'!$J$5:$J$528,$T83)-4),"date unavailable"),IF($Q83="Snapshot",IF(AND(ISNUMBER(INDEX('Market Data'!$AF$5:$AF$66,INDEX('Market Data'!$J$5:$J$528,$T83)-4)),N(INDEX('Market Data'!$AF$5:$AF$66,INDEX('Market Data'!$J$5:$J$528,$T83)-4))&gt;0),INDEX('Market Data'!$AF$5:$AF$66,INDEX('Market Data'!$J$5:$J$528,$T83)-4),"date unavailable"),"date unavailable"))))</f>
        <v/>
      </c>
      <c r="Q83" s="15">
        <f>IF($T83=0,"",IF(INDEX('Market Data'!$J$5:$J$528,$T83)=0,"n/a",IF(AND($M$5&lt;&gt;"Snapshot",ISNUMBER(INDEX('Market Data'!$AH$5:$AH$66,INDEX('Market Data'!$J$5:$J$528,$T83)-4)),N(INDEX('Market Data'!$AH$5:$AH$66,INDEX('Market Data'!$J$5:$J$528,$T83)-4))&gt;0),"Bloomberg",IF(AND($M$5&lt;&gt;"Bloomberg",ISNUMBER(INDEX('Market Data'!$AC$5:$AC$66,INDEX('Market Data'!$J$5:$J$528,$T83)-4)),N(INDEX('Market Data'!$AC$5:$AC$66,INDEX('Market Data'!$J$5:$J$528,$T83)-4))&gt;0),"Snapshot","Unavailable"))))</f>
        <v/>
      </c>
      <c r="T83">
        <f>IFERROR(MATCH(75,'Market Data'!$S$5:$S$528,0),0)</f>
        <v/>
      </c>
    </row>
    <row r="84" ht="34" customHeight="1">
      <c r="A84" s="8">
        <f>IF($T84=0,"",IF(INDEX('Market Data'!$A$5:$A$528,$T84)="","",INDEX('Market Data'!$A$5:$A$528,$T84)))</f>
        <v/>
      </c>
      <c r="B84" s="9">
        <f>IF($T84=0,"",IF(INDEX('Market Data'!$B$5:$B$528,$T84)="","",INDEX('Market Data'!$B$5:$B$528,$T84)))</f>
        <v/>
      </c>
      <c r="C84" s="9">
        <f>IF($T84=0,"",IF(INDEX('Market Data'!$C$5:$C$528,$T84)="","",INDEX('Market Data'!$C$5:$C$528,$T84)))</f>
        <v/>
      </c>
      <c r="D84" s="9">
        <f>IF($T84=0,"",IF(INDEX('Market Data'!$D$5:$D$528,$T84)="","",INDEX('Market Data'!$D$5:$D$528,$T84)))</f>
        <v/>
      </c>
      <c r="E84" s="10">
        <f>IF($T84=0,"",INDEX('Market Data'!$O$5:$O$528,$T84))</f>
        <v/>
      </c>
      <c r="F84" s="11">
        <f>IF($T84=0,"",IF(AND($I84="Bloomberg",ISNUMBER(INDEX('Market Data'!$L$5:$L$528,$T84))),INDEX('Market Data'!$L$5:$L$528,$T84),"unavailable"))</f>
        <v/>
      </c>
      <c r="G84" s="12">
        <f>IF($T84=0,"",IF($I84="Bloomberg",IF(AND(ISNUMBER(INDEX('Market Data'!$M$5:$M$528,$T84)),N(INDEX('Market Data'!$M$5:$M$528,$T84))&gt;0),INDEX('Market Data'!$M$5:$M$528,$T84),"date unavailable"),IF($I84="Snapshot",IF(AND(ISNUMBER(INDEX('Market Data'!$H$5:$H$528,$T84)),N(INDEX('Market Data'!$H$5:$H$528,$T84))&gt;0),INDEX('Market Data'!$H$5:$H$528,$T84),"date unavailable"),"date unavailable")))</f>
        <v/>
      </c>
      <c r="H84" s="9">
        <f>IF($T84=0,"",IF($I84="Bloomberg",IF(INDEX('Market Data'!$N$5:$N$528,$T84)="","time unavailable",INDEX('Market Data'!$N$5:$N$528,$T84)),""))</f>
        <v/>
      </c>
      <c r="I84" s="9">
        <f>IF($T84=0,"",INDEX('Market Data'!$P$5:$P$528,$T84))</f>
        <v/>
      </c>
      <c r="J84" s="13">
        <f>IF($T84=0,"",IF(INDEX('Market Data'!$E$5:$E$528,$T84)="","",INDEX('Market Data'!$E$5:$E$528,$T84)))</f>
        <v/>
      </c>
      <c r="K84" s="8">
        <f>IF($T84=0,"",IF(INDEX('Market Data'!$I$5:$I$528,$T84)="","",INDEX('Market Data'!$I$5:$I$528,$T84)))</f>
        <v/>
      </c>
      <c r="L84" s="10">
        <f>IF($T84=0,"",IF(INDEX('Market Data'!$J$5:$J$528,$T84)=0,"n/a",IF(AND($M$5&lt;&gt;"Snapshot",ISNUMBER(INDEX('Market Data'!$AH$5:$AH$66,INDEX('Market Data'!$J$5:$J$528,$T84)-4)),N(INDEX('Market Data'!$AH$5:$AH$66,INDEX('Market Data'!$J$5:$J$528,$T84)-4))&gt;0),INDEX('Market Data'!$AH$5:$AH$66,INDEX('Market Data'!$J$5:$J$528,$T84)-4),IF(AND($M$5&lt;&gt;"Bloomberg",ISNUMBER(INDEX('Market Data'!$AC$5:$AC$66,INDEX('Market Data'!$J$5:$J$528,$T84)-4)),N(INDEX('Market Data'!$AC$5:$AC$66,INDEX('Market Data'!$J$5:$J$528,$T84)-4))&gt;0),INDEX('Market Data'!$AC$5:$AC$66,INDEX('Market Data'!$J$5:$J$528,$T84)-4),"unavailable"))))</f>
        <v/>
      </c>
      <c r="M84" s="11">
        <f>IF($T84=0,"",IF(INDEX('Market Data'!$J$5:$J$528,$T84)=0,"n/a",IF(IF(INDEX('Market Data'!$J$5:$J$528,$T84)=0,0,IF(LEFT(INDEX('Market Data'!$AS$5:$AS$66,INDEX('Market Data'!$J$5:$J$528,$T84)-4),11)="First-month",1,0))=1,"class review",IF($I84="Bloomberg",IF(AND(ISNUMBER(INDEX('Market Data'!$AH$5:$AH$66,INDEX('Market Data'!$J$5:$J$528,$T84)-4)),N(INDEX('Market Data'!$AH$5:$AH$66,INDEX('Market Data'!$J$5:$J$528,$T84)-4))&gt;0,ISNUMBER('Market Data'!$B$1),N('Market Data'!$B$1)&gt;0),INDEX('Market Data'!$AH$5:$AH$66,INDEX('Market Data'!$J$5:$J$528,$T84)-4)*'Market Data'!$B$1/$E84-1,"pending A/FX"),IF(AND($I84="Snapshot",$Q84="Snapshot",ISNUMBER($E84),$G84=INDEX('Market Data'!$AE$5:$AE$66,INDEX('Market Data'!$J$5:$J$528,$T84)-4)),IFERROR(INDEX('Market Data'!$AC$5:$AC$66,INDEX('Market Data'!$J$5:$J$528,$T84)-4)*INDEX('Market Data'!$AD$5:$AD$66,INDEX('Market Data'!$J$5:$J$528,$T84)-4)/$E84-1,"unavailable"),IF($I84="Unavailable","unavailable","date mismatch"))))))</f>
        <v/>
      </c>
      <c r="N84" s="11">
        <f>IF($T84=0,"",IFERROR(IF(AND(N(INDEX('Market Data'!$F$5:$F$528,$T84))&gt;0,ISNUMBER(INDEX('Market Data'!$T$5:$T$528,$T84))),$E84*INDEX('Market Data'!$T$5:$T$528,$T84)/INDEX('Market Data'!$F$5:$F$528,$T84)-1,"unavailable"),"unavailable"))</f>
        <v/>
      </c>
      <c r="O84" s="9">
        <f>IF($T84=0,"",IF(IF(INDEX('Market Data'!$J$5:$J$528,$T84)=0,0,IF(LEFT(INDEX('Market Data'!$AS$5:$AS$66,INDEX('Market Data'!$J$5:$J$528,$T84)-4),11)="First-month",1,0))=1,"Class ratio review",IF($I84="Bloomberg",IF(ISNUMBER($G84),IF($G84&lt;TODAY(),"Older quote","See quote time"),"Date unavailable"),IF($I84="Snapshot",IF($G84&lt;DATEVALUE("2026-10-02"),"Older snapshot","Dated close"),"No valid quote"))))</f>
        <v/>
      </c>
      <c r="P84" s="14">
        <f>IF($T84=0,"",IF(INDEX('Market Data'!$J$5:$J$528,$T84)=0,"n/a",IF($Q84="Bloomberg",IF(AND(ISNUMBER(INDEX('Market Data'!$AK$5:$AK$66,INDEX('Market Data'!$J$5:$J$528,$T84)-4)),N(INDEX('Market Data'!$AK$5:$AK$66,INDEX('Market Data'!$J$5:$J$528,$T84)-4))&gt;0),INDEX('Market Data'!$AK$5:$AK$66,INDEX('Market Data'!$J$5:$J$528,$T84)-4),"date unavailable"),IF($Q84="Snapshot",IF(AND(ISNUMBER(INDEX('Market Data'!$AF$5:$AF$66,INDEX('Market Data'!$J$5:$J$528,$T84)-4)),N(INDEX('Market Data'!$AF$5:$AF$66,INDEX('Market Data'!$J$5:$J$528,$T84)-4))&gt;0),INDEX('Market Data'!$AF$5:$AF$66,INDEX('Market Data'!$J$5:$J$528,$T84)-4),"date unavailable"),"date unavailable"))))</f>
        <v/>
      </c>
      <c r="Q84" s="15">
        <f>IF($T84=0,"",IF(INDEX('Market Data'!$J$5:$J$528,$T84)=0,"n/a",IF(AND($M$5&lt;&gt;"Snapshot",ISNUMBER(INDEX('Market Data'!$AH$5:$AH$66,INDEX('Market Data'!$J$5:$J$528,$T84)-4)),N(INDEX('Market Data'!$AH$5:$AH$66,INDEX('Market Data'!$J$5:$J$528,$T84)-4))&gt;0),"Bloomberg",IF(AND($M$5&lt;&gt;"Bloomberg",ISNUMBER(INDEX('Market Data'!$AC$5:$AC$66,INDEX('Market Data'!$J$5:$J$528,$T84)-4)),N(INDEX('Market Data'!$AC$5:$AC$66,INDEX('Market Data'!$J$5:$J$528,$T84)-4))&gt;0),"Snapshot","Unavailable"))))</f>
        <v/>
      </c>
      <c r="T84">
        <f>IFERROR(MATCH(76,'Market Data'!$S$5:$S$528,0),0)</f>
        <v/>
      </c>
    </row>
    <row r="85" ht="34" customHeight="1">
      <c r="A85" s="8">
        <f>IF($T85=0,"",IF(INDEX('Market Data'!$A$5:$A$528,$T85)="","",INDEX('Market Data'!$A$5:$A$528,$T85)))</f>
        <v/>
      </c>
      <c r="B85" s="9">
        <f>IF($T85=0,"",IF(INDEX('Market Data'!$B$5:$B$528,$T85)="","",INDEX('Market Data'!$B$5:$B$528,$T85)))</f>
        <v/>
      </c>
      <c r="C85" s="9">
        <f>IF($T85=0,"",IF(INDEX('Market Data'!$C$5:$C$528,$T85)="","",INDEX('Market Data'!$C$5:$C$528,$T85)))</f>
        <v/>
      </c>
      <c r="D85" s="9">
        <f>IF($T85=0,"",IF(INDEX('Market Data'!$D$5:$D$528,$T85)="","",INDEX('Market Data'!$D$5:$D$528,$T85)))</f>
        <v/>
      </c>
      <c r="E85" s="10">
        <f>IF($T85=0,"",INDEX('Market Data'!$O$5:$O$528,$T85))</f>
        <v/>
      </c>
      <c r="F85" s="11">
        <f>IF($T85=0,"",IF(AND($I85="Bloomberg",ISNUMBER(INDEX('Market Data'!$L$5:$L$528,$T85))),INDEX('Market Data'!$L$5:$L$528,$T85),"unavailable"))</f>
        <v/>
      </c>
      <c r="G85" s="12">
        <f>IF($T85=0,"",IF($I85="Bloomberg",IF(AND(ISNUMBER(INDEX('Market Data'!$M$5:$M$528,$T85)),N(INDEX('Market Data'!$M$5:$M$528,$T85))&gt;0),INDEX('Market Data'!$M$5:$M$528,$T85),"date unavailable"),IF($I85="Snapshot",IF(AND(ISNUMBER(INDEX('Market Data'!$H$5:$H$528,$T85)),N(INDEX('Market Data'!$H$5:$H$528,$T85))&gt;0),INDEX('Market Data'!$H$5:$H$528,$T85),"date unavailable"),"date unavailable")))</f>
        <v/>
      </c>
      <c r="H85" s="9">
        <f>IF($T85=0,"",IF($I85="Bloomberg",IF(INDEX('Market Data'!$N$5:$N$528,$T85)="","time unavailable",INDEX('Market Data'!$N$5:$N$528,$T85)),""))</f>
        <v/>
      </c>
      <c r="I85" s="9">
        <f>IF($T85=0,"",INDEX('Market Data'!$P$5:$P$528,$T85))</f>
        <v/>
      </c>
      <c r="J85" s="13">
        <f>IF($T85=0,"",IF(INDEX('Market Data'!$E$5:$E$528,$T85)="","",INDEX('Market Data'!$E$5:$E$528,$T85)))</f>
        <v/>
      </c>
      <c r="K85" s="8">
        <f>IF($T85=0,"",IF(INDEX('Market Data'!$I$5:$I$528,$T85)="","",INDEX('Market Data'!$I$5:$I$528,$T85)))</f>
        <v/>
      </c>
      <c r="L85" s="10">
        <f>IF($T85=0,"",IF(INDEX('Market Data'!$J$5:$J$528,$T85)=0,"n/a",IF(AND($M$5&lt;&gt;"Snapshot",ISNUMBER(INDEX('Market Data'!$AH$5:$AH$66,INDEX('Market Data'!$J$5:$J$528,$T85)-4)),N(INDEX('Market Data'!$AH$5:$AH$66,INDEX('Market Data'!$J$5:$J$528,$T85)-4))&gt;0),INDEX('Market Data'!$AH$5:$AH$66,INDEX('Market Data'!$J$5:$J$528,$T85)-4),IF(AND($M$5&lt;&gt;"Bloomberg",ISNUMBER(INDEX('Market Data'!$AC$5:$AC$66,INDEX('Market Data'!$J$5:$J$528,$T85)-4)),N(INDEX('Market Data'!$AC$5:$AC$66,INDEX('Market Data'!$J$5:$J$528,$T85)-4))&gt;0),INDEX('Market Data'!$AC$5:$AC$66,INDEX('Market Data'!$J$5:$J$528,$T85)-4),"unavailable"))))</f>
        <v/>
      </c>
      <c r="M85" s="11">
        <f>IF($T85=0,"",IF(INDEX('Market Data'!$J$5:$J$528,$T85)=0,"n/a",IF(IF(INDEX('Market Data'!$J$5:$J$528,$T85)=0,0,IF(LEFT(INDEX('Market Data'!$AS$5:$AS$66,INDEX('Market Data'!$J$5:$J$528,$T85)-4),11)="First-month",1,0))=1,"class review",IF($I85="Bloomberg",IF(AND(ISNUMBER(INDEX('Market Data'!$AH$5:$AH$66,INDEX('Market Data'!$J$5:$J$528,$T85)-4)),N(INDEX('Market Data'!$AH$5:$AH$66,INDEX('Market Data'!$J$5:$J$528,$T85)-4))&gt;0,ISNUMBER('Market Data'!$B$1),N('Market Data'!$B$1)&gt;0),INDEX('Market Data'!$AH$5:$AH$66,INDEX('Market Data'!$J$5:$J$528,$T85)-4)*'Market Data'!$B$1/$E85-1,"pending A/FX"),IF(AND($I85="Snapshot",$Q85="Snapshot",ISNUMBER($E85),$G85=INDEX('Market Data'!$AE$5:$AE$66,INDEX('Market Data'!$J$5:$J$528,$T85)-4)),IFERROR(INDEX('Market Data'!$AC$5:$AC$66,INDEX('Market Data'!$J$5:$J$528,$T85)-4)*INDEX('Market Data'!$AD$5:$AD$66,INDEX('Market Data'!$J$5:$J$528,$T85)-4)/$E85-1,"unavailable"),IF($I85="Unavailable","unavailable","date mismatch"))))))</f>
        <v/>
      </c>
      <c r="N85" s="11">
        <f>IF($T85=0,"",IFERROR(IF(AND(N(INDEX('Market Data'!$F$5:$F$528,$T85))&gt;0,ISNUMBER(INDEX('Market Data'!$T$5:$T$528,$T85))),$E85*INDEX('Market Data'!$T$5:$T$528,$T85)/INDEX('Market Data'!$F$5:$F$528,$T85)-1,"unavailable"),"unavailable"))</f>
        <v/>
      </c>
      <c r="O85" s="9">
        <f>IF($T85=0,"",IF(IF(INDEX('Market Data'!$J$5:$J$528,$T85)=0,0,IF(LEFT(INDEX('Market Data'!$AS$5:$AS$66,INDEX('Market Data'!$J$5:$J$528,$T85)-4),11)="First-month",1,0))=1,"Class ratio review",IF($I85="Bloomberg",IF(ISNUMBER($G85),IF($G85&lt;TODAY(),"Older quote","See quote time"),"Date unavailable"),IF($I85="Snapshot",IF($G85&lt;DATEVALUE("2026-10-02"),"Older snapshot","Dated close"),"No valid quote"))))</f>
        <v/>
      </c>
      <c r="P85" s="14">
        <f>IF($T85=0,"",IF(INDEX('Market Data'!$J$5:$J$528,$T85)=0,"n/a",IF($Q85="Bloomberg",IF(AND(ISNUMBER(INDEX('Market Data'!$AK$5:$AK$66,INDEX('Market Data'!$J$5:$J$528,$T85)-4)),N(INDEX('Market Data'!$AK$5:$AK$66,INDEX('Market Data'!$J$5:$J$528,$T85)-4))&gt;0),INDEX('Market Data'!$AK$5:$AK$66,INDEX('Market Data'!$J$5:$J$528,$T85)-4),"date unavailable"),IF($Q85="Snapshot",IF(AND(ISNUMBER(INDEX('Market Data'!$AF$5:$AF$66,INDEX('Market Data'!$J$5:$J$528,$T85)-4)),N(INDEX('Market Data'!$AF$5:$AF$66,INDEX('Market Data'!$J$5:$J$528,$T85)-4))&gt;0),INDEX('Market Data'!$AF$5:$AF$66,INDEX('Market Data'!$J$5:$J$528,$T85)-4),"date unavailable"),"date unavailable"))))</f>
        <v/>
      </c>
      <c r="Q85" s="15">
        <f>IF($T85=0,"",IF(INDEX('Market Data'!$J$5:$J$528,$T85)=0,"n/a",IF(AND($M$5&lt;&gt;"Snapshot",ISNUMBER(INDEX('Market Data'!$AH$5:$AH$66,INDEX('Market Data'!$J$5:$J$528,$T85)-4)),N(INDEX('Market Data'!$AH$5:$AH$66,INDEX('Market Data'!$J$5:$J$528,$T85)-4))&gt;0),"Bloomberg",IF(AND($M$5&lt;&gt;"Bloomberg",ISNUMBER(INDEX('Market Data'!$AC$5:$AC$66,INDEX('Market Data'!$J$5:$J$528,$T85)-4)),N(INDEX('Market Data'!$AC$5:$AC$66,INDEX('Market Data'!$J$5:$J$528,$T85)-4))&gt;0),"Snapshot","Unavailable"))))</f>
        <v/>
      </c>
      <c r="T85">
        <f>IFERROR(MATCH(77,'Market Data'!$S$5:$S$528,0),0)</f>
        <v/>
      </c>
    </row>
    <row r="86" ht="34" customHeight="1">
      <c r="A86" s="8">
        <f>IF($T86=0,"",IF(INDEX('Market Data'!$A$5:$A$528,$T86)="","",INDEX('Market Data'!$A$5:$A$528,$T86)))</f>
        <v/>
      </c>
      <c r="B86" s="9">
        <f>IF($T86=0,"",IF(INDEX('Market Data'!$B$5:$B$528,$T86)="","",INDEX('Market Data'!$B$5:$B$528,$T86)))</f>
        <v/>
      </c>
      <c r="C86" s="9">
        <f>IF($T86=0,"",IF(INDEX('Market Data'!$C$5:$C$528,$T86)="","",INDEX('Market Data'!$C$5:$C$528,$T86)))</f>
        <v/>
      </c>
      <c r="D86" s="9">
        <f>IF($T86=0,"",IF(INDEX('Market Data'!$D$5:$D$528,$T86)="","",INDEX('Market Data'!$D$5:$D$528,$T86)))</f>
        <v/>
      </c>
      <c r="E86" s="10">
        <f>IF($T86=0,"",INDEX('Market Data'!$O$5:$O$528,$T86))</f>
        <v/>
      </c>
      <c r="F86" s="11">
        <f>IF($T86=0,"",IF(AND($I86="Bloomberg",ISNUMBER(INDEX('Market Data'!$L$5:$L$528,$T86))),INDEX('Market Data'!$L$5:$L$528,$T86),"unavailable"))</f>
        <v/>
      </c>
      <c r="G86" s="12">
        <f>IF($T86=0,"",IF($I86="Bloomberg",IF(AND(ISNUMBER(INDEX('Market Data'!$M$5:$M$528,$T86)),N(INDEX('Market Data'!$M$5:$M$528,$T86))&gt;0),INDEX('Market Data'!$M$5:$M$528,$T86),"date unavailable"),IF($I86="Snapshot",IF(AND(ISNUMBER(INDEX('Market Data'!$H$5:$H$528,$T86)),N(INDEX('Market Data'!$H$5:$H$528,$T86))&gt;0),INDEX('Market Data'!$H$5:$H$528,$T86),"date unavailable"),"date unavailable")))</f>
        <v/>
      </c>
      <c r="H86" s="9">
        <f>IF($T86=0,"",IF($I86="Bloomberg",IF(INDEX('Market Data'!$N$5:$N$528,$T86)="","time unavailable",INDEX('Market Data'!$N$5:$N$528,$T86)),""))</f>
        <v/>
      </c>
      <c r="I86" s="9">
        <f>IF($T86=0,"",INDEX('Market Data'!$P$5:$P$528,$T86))</f>
        <v/>
      </c>
      <c r="J86" s="13">
        <f>IF($T86=0,"",IF(INDEX('Market Data'!$E$5:$E$528,$T86)="","",INDEX('Market Data'!$E$5:$E$528,$T86)))</f>
        <v/>
      </c>
      <c r="K86" s="8">
        <f>IF($T86=0,"",IF(INDEX('Market Data'!$I$5:$I$528,$T86)="","",INDEX('Market Data'!$I$5:$I$528,$T86)))</f>
        <v/>
      </c>
      <c r="L86" s="10">
        <f>IF($T86=0,"",IF(INDEX('Market Data'!$J$5:$J$528,$T86)=0,"n/a",IF(AND($M$5&lt;&gt;"Snapshot",ISNUMBER(INDEX('Market Data'!$AH$5:$AH$66,INDEX('Market Data'!$J$5:$J$528,$T86)-4)),N(INDEX('Market Data'!$AH$5:$AH$66,INDEX('Market Data'!$J$5:$J$528,$T86)-4))&gt;0),INDEX('Market Data'!$AH$5:$AH$66,INDEX('Market Data'!$J$5:$J$528,$T86)-4),IF(AND($M$5&lt;&gt;"Bloomberg",ISNUMBER(INDEX('Market Data'!$AC$5:$AC$66,INDEX('Market Data'!$J$5:$J$528,$T86)-4)),N(INDEX('Market Data'!$AC$5:$AC$66,INDEX('Market Data'!$J$5:$J$528,$T86)-4))&gt;0),INDEX('Market Data'!$AC$5:$AC$66,INDEX('Market Data'!$J$5:$J$528,$T86)-4),"unavailable"))))</f>
        <v/>
      </c>
      <c r="M86" s="11">
        <f>IF($T86=0,"",IF(INDEX('Market Data'!$J$5:$J$528,$T86)=0,"n/a",IF(IF(INDEX('Market Data'!$J$5:$J$528,$T86)=0,0,IF(LEFT(INDEX('Market Data'!$AS$5:$AS$66,INDEX('Market Data'!$J$5:$J$528,$T86)-4),11)="First-month",1,0))=1,"class review",IF($I86="Bloomberg",IF(AND(ISNUMBER(INDEX('Market Data'!$AH$5:$AH$66,INDEX('Market Data'!$J$5:$J$528,$T86)-4)),N(INDEX('Market Data'!$AH$5:$AH$66,INDEX('Market Data'!$J$5:$J$528,$T86)-4))&gt;0,ISNUMBER('Market Data'!$B$1),N('Market Data'!$B$1)&gt;0),INDEX('Market Data'!$AH$5:$AH$66,INDEX('Market Data'!$J$5:$J$528,$T86)-4)*'Market Data'!$B$1/$E86-1,"pending A/FX"),IF(AND($I86="Snapshot",$Q86="Snapshot",ISNUMBER($E86),$G86=INDEX('Market Data'!$AE$5:$AE$66,INDEX('Market Data'!$J$5:$J$528,$T86)-4)),IFERROR(INDEX('Market Data'!$AC$5:$AC$66,INDEX('Market Data'!$J$5:$J$528,$T86)-4)*INDEX('Market Data'!$AD$5:$AD$66,INDEX('Market Data'!$J$5:$J$528,$T86)-4)/$E86-1,"unavailable"),IF($I86="Unavailable","unavailable","date mismatch"))))))</f>
        <v/>
      </c>
      <c r="N86" s="11">
        <f>IF($T86=0,"",IFERROR(IF(AND(N(INDEX('Market Data'!$F$5:$F$528,$T86))&gt;0,ISNUMBER(INDEX('Market Data'!$T$5:$T$528,$T86))),$E86*INDEX('Market Data'!$T$5:$T$528,$T86)/INDEX('Market Data'!$F$5:$F$528,$T86)-1,"unavailable"),"unavailable"))</f>
        <v/>
      </c>
      <c r="O86" s="9">
        <f>IF($T86=0,"",IF(IF(INDEX('Market Data'!$J$5:$J$528,$T86)=0,0,IF(LEFT(INDEX('Market Data'!$AS$5:$AS$66,INDEX('Market Data'!$J$5:$J$528,$T86)-4),11)="First-month",1,0))=1,"Class ratio review",IF($I86="Bloomberg",IF(ISNUMBER($G86),IF($G86&lt;TODAY(),"Older quote","See quote time"),"Date unavailable"),IF($I86="Snapshot",IF($G86&lt;DATEVALUE("2026-10-02"),"Older snapshot","Dated close"),"No valid quote"))))</f>
        <v/>
      </c>
      <c r="P86" s="14">
        <f>IF($T86=0,"",IF(INDEX('Market Data'!$J$5:$J$528,$T86)=0,"n/a",IF($Q86="Bloomberg",IF(AND(ISNUMBER(INDEX('Market Data'!$AK$5:$AK$66,INDEX('Market Data'!$J$5:$J$528,$T86)-4)),N(INDEX('Market Data'!$AK$5:$AK$66,INDEX('Market Data'!$J$5:$J$528,$T86)-4))&gt;0),INDEX('Market Data'!$AK$5:$AK$66,INDEX('Market Data'!$J$5:$J$528,$T86)-4),"date unavailable"),IF($Q86="Snapshot",IF(AND(ISNUMBER(INDEX('Market Data'!$AF$5:$AF$66,INDEX('Market Data'!$J$5:$J$528,$T86)-4)),N(INDEX('Market Data'!$AF$5:$AF$66,INDEX('Market Data'!$J$5:$J$528,$T86)-4))&gt;0),INDEX('Market Data'!$AF$5:$AF$66,INDEX('Market Data'!$J$5:$J$528,$T86)-4),"date unavailable"),"date unavailable"))))</f>
        <v/>
      </c>
      <c r="Q86" s="15">
        <f>IF($T86=0,"",IF(INDEX('Market Data'!$J$5:$J$528,$T86)=0,"n/a",IF(AND($M$5&lt;&gt;"Snapshot",ISNUMBER(INDEX('Market Data'!$AH$5:$AH$66,INDEX('Market Data'!$J$5:$J$528,$T86)-4)),N(INDEX('Market Data'!$AH$5:$AH$66,INDEX('Market Data'!$J$5:$J$528,$T86)-4))&gt;0),"Bloomberg",IF(AND($M$5&lt;&gt;"Bloomberg",ISNUMBER(INDEX('Market Data'!$AC$5:$AC$66,INDEX('Market Data'!$J$5:$J$528,$T86)-4)),N(INDEX('Market Data'!$AC$5:$AC$66,INDEX('Market Data'!$J$5:$J$528,$T86)-4))&gt;0),"Snapshot","Unavailable"))))</f>
        <v/>
      </c>
      <c r="T86">
        <f>IFERROR(MATCH(78,'Market Data'!$S$5:$S$528,0),0)</f>
        <v/>
      </c>
    </row>
    <row r="87" ht="34" customHeight="1">
      <c r="A87" s="8">
        <f>IF($T87=0,"",IF(INDEX('Market Data'!$A$5:$A$528,$T87)="","",INDEX('Market Data'!$A$5:$A$528,$T87)))</f>
        <v/>
      </c>
      <c r="B87" s="9">
        <f>IF($T87=0,"",IF(INDEX('Market Data'!$B$5:$B$528,$T87)="","",INDEX('Market Data'!$B$5:$B$528,$T87)))</f>
        <v/>
      </c>
      <c r="C87" s="9">
        <f>IF($T87=0,"",IF(INDEX('Market Data'!$C$5:$C$528,$T87)="","",INDEX('Market Data'!$C$5:$C$528,$T87)))</f>
        <v/>
      </c>
      <c r="D87" s="9">
        <f>IF($T87=0,"",IF(INDEX('Market Data'!$D$5:$D$528,$T87)="","",INDEX('Market Data'!$D$5:$D$528,$T87)))</f>
        <v/>
      </c>
      <c r="E87" s="10">
        <f>IF($T87=0,"",INDEX('Market Data'!$O$5:$O$528,$T87))</f>
        <v/>
      </c>
      <c r="F87" s="11">
        <f>IF($T87=0,"",IF(AND($I87="Bloomberg",ISNUMBER(INDEX('Market Data'!$L$5:$L$528,$T87))),INDEX('Market Data'!$L$5:$L$528,$T87),"unavailable"))</f>
        <v/>
      </c>
      <c r="G87" s="12">
        <f>IF($T87=0,"",IF($I87="Bloomberg",IF(AND(ISNUMBER(INDEX('Market Data'!$M$5:$M$528,$T87)),N(INDEX('Market Data'!$M$5:$M$528,$T87))&gt;0),INDEX('Market Data'!$M$5:$M$528,$T87),"date unavailable"),IF($I87="Snapshot",IF(AND(ISNUMBER(INDEX('Market Data'!$H$5:$H$528,$T87)),N(INDEX('Market Data'!$H$5:$H$528,$T87))&gt;0),INDEX('Market Data'!$H$5:$H$528,$T87),"date unavailable"),"date unavailable")))</f>
        <v/>
      </c>
      <c r="H87" s="9">
        <f>IF($T87=0,"",IF($I87="Bloomberg",IF(INDEX('Market Data'!$N$5:$N$528,$T87)="","time unavailable",INDEX('Market Data'!$N$5:$N$528,$T87)),""))</f>
        <v/>
      </c>
      <c r="I87" s="9">
        <f>IF($T87=0,"",INDEX('Market Data'!$P$5:$P$528,$T87))</f>
        <v/>
      </c>
      <c r="J87" s="13">
        <f>IF($T87=0,"",IF(INDEX('Market Data'!$E$5:$E$528,$T87)="","",INDEX('Market Data'!$E$5:$E$528,$T87)))</f>
        <v/>
      </c>
      <c r="K87" s="8">
        <f>IF($T87=0,"",IF(INDEX('Market Data'!$I$5:$I$528,$T87)="","",INDEX('Market Data'!$I$5:$I$528,$T87)))</f>
        <v/>
      </c>
      <c r="L87" s="10">
        <f>IF($T87=0,"",IF(INDEX('Market Data'!$J$5:$J$528,$T87)=0,"n/a",IF(AND($M$5&lt;&gt;"Snapshot",ISNUMBER(INDEX('Market Data'!$AH$5:$AH$66,INDEX('Market Data'!$J$5:$J$528,$T87)-4)),N(INDEX('Market Data'!$AH$5:$AH$66,INDEX('Market Data'!$J$5:$J$528,$T87)-4))&gt;0),INDEX('Market Data'!$AH$5:$AH$66,INDEX('Market Data'!$J$5:$J$528,$T87)-4),IF(AND($M$5&lt;&gt;"Bloomberg",ISNUMBER(INDEX('Market Data'!$AC$5:$AC$66,INDEX('Market Data'!$J$5:$J$528,$T87)-4)),N(INDEX('Market Data'!$AC$5:$AC$66,INDEX('Market Data'!$J$5:$J$528,$T87)-4))&gt;0),INDEX('Market Data'!$AC$5:$AC$66,INDEX('Market Data'!$J$5:$J$528,$T87)-4),"unavailable"))))</f>
        <v/>
      </c>
      <c r="M87" s="11">
        <f>IF($T87=0,"",IF(INDEX('Market Data'!$J$5:$J$528,$T87)=0,"n/a",IF(IF(INDEX('Market Data'!$J$5:$J$528,$T87)=0,0,IF(LEFT(INDEX('Market Data'!$AS$5:$AS$66,INDEX('Market Data'!$J$5:$J$528,$T87)-4),11)="First-month",1,0))=1,"class review",IF($I87="Bloomberg",IF(AND(ISNUMBER(INDEX('Market Data'!$AH$5:$AH$66,INDEX('Market Data'!$J$5:$J$528,$T87)-4)),N(INDEX('Market Data'!$AH$5:$AH$66,INDEX('Market Data'!$J$5:$J$528,$T87)-4))&gt;0,ISNUMBER('Market Data'!$B$1),N('Market Data'!$B$1)&gt;0),INDEX('Market Data'!$AH$5:$AH$66,INDEX('Market Data'!$J$5:$J$528,$T87)-4)*'Market Data'!$B$1/$E87-1,"pending A/FX"),IF(AND($I87="Snapshot",$Q87="Snapshot",ISNUMBER($E87),$G87=INDEX('Market Data'!$AE$5:$AE$66,INDEX('Market Data'!$J$5:$J$528,$T87)-4)),IFERROR(INDEX('Market Data'!$AC$5:$AC$66,INDEX('Market Data'!$J$5:$J$528,$T87)-4)*INDEX('Market Data'!$AD$5:$AD$66,INDEX('Market Data'!$J$5:$J$528,$T87)-4)/$E87-1,"unavailable"),IF($I87="Unavailable","unavailable","date mismatch"))))))</f>
        <v/>
      </c>
      <c r="N87" s="11">
        <f>IF($T87=0,"",IFERROR(IF(AND(N(INDEX('Market Data'!$F$5:$F$528,$T87))&gt;0,ISNUMBER(INDEX('Market Data'!$T$5:$T$528,$T87))),$E87*INDEX('Market Data'!$T$5:$T$528,$T87)/INDEX('Market Data'!$F$5:$F$528,$T87)-1,"unavailable"),"unavailable"))</f>
        <v/>
      </c>
      <c r="O87" s="9">
        <f>IF($T87=0,"",IF(IF(INDEX('Market Data'!$J$5:$J$528,$T87)=0,0,IF(LEFT(INDEX('Market Data'!$AS$5:$AS$66,INDEX('Market Data'!$J$5:$J$528,$T87)-4),11)="First-month",1,0))=1,"Class ratio review",IF($I87="Bloomberg",IF(ISNUMBER($G87),IF($G87&lt;TODAY(),"Older quote","See quote time"),"Date unavailable"),IF($I87="Snapshot",IF($G87&lt;DATEVALUE("2026-10-02"),"Older snapshot","Dated close"),"No valid quote"))))</f>
        <v/>
      </c>
      <c r="P87" s="14">
        <f>IF($T87=0,"",IF(INDEX('Market Data'!$J$5:$J$528,$T87)=0,"n/a",IF($Q87="Bloomberg",IF(AND(ISNUMBER(INDEX('Market Data'!$AK$5:$AK$66,INDEX('Market Data'!$J$5:$J$528,$T87)-4)),N(INDEX('Market Data'!$AK$5:$AK$66,INDEX('Market Data'!$J$5:$J$528,$T87)-4))&gt;0),INDEX('Market Data'!$AK$5:$AK$66,INDEX('Market Data'!$J$5:$J$528,$T87)-4),"date unavailable"),IF($Q87="Snapshot",IF(AND(ISNUMBER(INDEX('Market Data'!$AF$5:$AF$66,INDEX('Market Data'!$J$5:$J$528,$T87)-4)),N(INDEX('Market Data'!$AF$5:$AF$66,INDEX('Market Data'!$J$5:$J$528,$T87)-4))&gt;0),INDEX('Market Data'!$AF$5:$AF$66,INDEX('Market Data'!$J$5:$J$528,$T87)-4),"date unavailable"),"date unavailable"))))</f>
        <v/>
      </c>
      <c r="Q87" s="15">
        <f>IF($T87=0,"",IF(INDEX('Market Data'!$J$5:$J$528,$T87)=0,"n/a",IF(AND($M$5&lt;&gt;"Snapshot",ISNUMBER(INDEX('Market Data'!$AH$5:$AH$66,INDEX('Market Data'!$J$5:$J$528,$T87)-4)),N(INDEX('Market Data'!$AH$5:$AH$66,INDEX('Market Data'!$J$5:$J$528,$T87)-4))&gt;0),"Bloomberg",IF(AND($M$5&lt;&gt;"Bloomberg",ISNUMBER(INDEX('Market Data'!$AC$5:$AC$66,INDEX('Market Data'!$J$5:$J$528,$T87)-4)),N(INDEX('Market Data'!$AC$5:$AC$66,INDEX('Market Data'!$J$5:$J$528,$T87)-4))&gt;0),"Snapshot","Unavailable"))))</f>
        <v/>
      </c>
      <c r="T87">
        <f>IFERROR(MATCH(79,'Market Data'!$S$5:$S$528,0),0)</f>
        <v/>
      </c>
    </row>
    <row r="88" ht="34" customHeight="1">
      <c r="A88" s="8">
        <f>IF($T88=0,"",IF(INDEX('Market Data'!$A$5:$A$528,$T88)="","",INDEX('Market Data'!$A$5:$A$528,$T88)))</f>
        <v/>
      </c>
      <c r="B88" s="9">
        <f>IF($T88=0,"",IF(INDEX('Market Data'!$B$5:$B$528,$T88)="","",INDEX('Market Data'!$B$5:$B$528,$T88)))</f>
        <v/>
      </c>
      <c r="C88" s="9">
        <f>IF($T88=0,"",IF(INDEX('Market Data'!$C$5:$C$528,$T88)="","",INDEX('Market Data'!$C$5:$C$528,$T88)))</f>
        <v/>
      </c>
      <c r="D88" s="9">
        <f>IF($T88=0,"",IF(INDEX('Market Data'!$D$5:$D$528,$T88)="","",INDEX('Market Data'!$D$5:$D$528,$T88)))</f>
        <v/>
      </c>
      <c r="E88" s="10">
        <f>IF($T88=0,"",INDEX('Market Data'!$O$5:$O$528,$T88))</f>
        <v/>
      </c>
      <c r="F88" s="11">
        <f>IF($T88=0,"",IF(AND($I88="Bloomberg",ISNUMBER(INDEX('Market Data'!$L$5:$L$528,$T88))),INDEX('Market Data'!$L$5:$L$528,$T88),"unavailable"))</f>
        <v/>
      </c>
      <c r="G88" s="12">
        <f>IF($T88=0,"",IF($I88="Bloomberg",IF(AND(ISNUMBER(INDEX('Market Data'!$M$5:$M$528,$T88)),N(INDEX('Market Data'!$M$5:$M$528,$T88))&gt;0),INDEX('Market Data'!$M$5:$M$528,$T88),"date unavailable"),IF($I88="Snapshot",IF(AND(ISNUMBER(INDEX('Market Data'!$H$5:$H$528,$T88)),N(INDEX('Market Data'!$H$5:$H$528,$T88))&gt;0),INDEX('Market Data'!$H$5:$H$528,$T88),"date unavailable"),"date unavailable")))</f>
        <v/>
      </c>
      <c r="H88" s="9">
        <f>IF($T88=0,"",IF($I88="Bloomberg",IF(INDEX('Market Data'!$N$5:$N$528,$T88)="","time unavailable",INDEX('Market Data'!$N$5:$N$528,$T88)),""))</f>
        <v/>
      </c>
      <c r="I88" s="9">
        <f>IF($T88=0,"",INDEX('Market Data'!$P$5:$P$528,$T88))</f>
        <v/>
      </c>
      <c r="J88" s="13">
        <f>IF($T88=0,"",IF(INDEX('Market Data'!$E$5:$E$528,$T88)="","",INDEX('Market Data'!$E$5:$E$528,$T88)))</f>
        <v/>
      </c>
      <c r="K88" s="8">
        <f>IF($T88=0,"",IF(INDEX('Market Data'!$I$5:$I$528,$T88)="","",INDEX('Market Data'!$I$5:$I$528,$T88)))</f>
        <v/>
      </c>
      <c r="L88" s="10">
        <f>IF($T88=0,"",IF(INDEX('Market Data'!$J$5:$J$528,$T88)=0,"n/a",IF(AND($M$5&lt;&gt;"Snapshot",ISNUMBER(INDEX('Market Data'!$AH$5:$AH$66,INDEX('Market Data'!$J$5:$J$528,$T88)-4)),N(INDEX('Market Data'!$AH$5:$AH$66,INDEX('Market Data'!$J$5:$J$528,$T88)-4))&gt;0),INDEX('Market Data'!$AH$5:$AH$66,INDEX('Market Data'!$J$5:$J$528,$T88)-4),IF(AND($M$5&lt;&gt;"Bloomberg",ISNUMBER(INDEX('Market Data'!$AC$5:$AC$66,INDEX('Market Data'!$J$5:$J$528,$T88)-4)),N(INDEX('Market Data'!$AC$5:$AC$66,INDEX('Market Data'!$J$5:$J$528,$T88)-4))&gt;0),INDEX('Market Data'!$AC$5:$AC$66,INDEX('Market Data'!$J$5:$J$528,$T88)-4),"unavailable"))))</f>
        <v/>
      </c>
      <c r="M88" s="11">
        <f>IF($T88=0,"",IF(INDEX('Market Data'!$J$5:$J$528,$T88)=0,"n/a",IF(IF(INDEX('Market Data'!$J$5:$J$528,$T88)=0,0,IF(LEFT(INDEX('Market Data'!$AS$5:$AS$66,INDEX('Market Data'!$J$5:$J$528,$T88)-4),11)="First-month",1,0))=1,"class review",IF($I88="Bloomberg",IF(AND(ISNUMBER(INDEX('Market Data'!$AH$5:$AH$66,INDEX('Market Data'!$J$5:$J$528,$T88)-4)),N(INDEX('Market Data'!$AH$5:$AH$66,INDEX('Market Data'!$J$5:$J$528,$T88)-4))&gt;0,ISNUMBER('Market Data'!$B$1),N('Market Data'!$B$1)&gt;0),INDEX('Market Data'!$AH$5:$AH$66,INDEX('Market Data'!$J$5:$J$528,$T88)-4)*'Market Data'!$B$1/$E88-1,"pending A/FX"),IF(AND($I88="Snapshot",$Q88="Snapshot",ISNUMBER($E88),$G88=INDEX('Market Data'!$AE$5:$AE$66,INDEX('Market Data'!$J$5:$J$528,$T88)-4)),IFERROR(INDEX('Market Data'!$AC$5:$AC$66,INDEX('Market Data'!$J$5:$J$528,$T88)-4)*INDEX('Market Data'!$AD$5:$AD$66,INDEX('Market Data'!$J$5:$J$528,$T88)-4)/$E88-1,"unavailable"),IF($I88="Unavailable","unavailable","date mismatch"))))))</f>
        <v/>
      </c>
      <c r="N88" s="11">
        <f>IF($T88=0,"",IFERROR(IF(AND(N(INDEX('Market Data'!$F$5:$F$528,$T88))&gt;0,ISNUMBER(INDEX('Market Data'!$T$5:$T$528,$T88))),$E88*INDEX('Market Data'!$T$5:$T$528,$T88)/INDEX('Market Data'!$F$5:$F$528,$T88)-1,"unavailable"),"unavailable"))</f>
        <v/>
      </c>
      <c r="O88" s="9">
        <f>IF($T88=0,"",IF(IF(INDEX('Market Data'!$J$5:$J$528,$T88)=0,0,IF(LEFT(INDEX('Market Data'!$AS$5:$AS$66,INDEX('Market Data'!$J$5:$J$528,$T88)-4),11)="First-month",1,0))=1,"Class ratio review",IF($I88="Bloomberg",IF(ISNUMBER($G88),IF($G88&lt;TODAY(),"Older quote","See quote time"),"Date unavailable"),IF($I88="Snapshot",IF($G88&lt;DATEVALUE("2026-10-02"),"Older snapshot","Dated close"),"No valid quote"))))</f>
        <v/>
      </c>
      <c r="P88" s="14">
        <f>IF($T88=0,"",IF(INDEX('Market Data'!$J$5:$J$528,$T88)=0,"n/a",IF($Q88="Bloomberg",IF(AND(ISNUMBER(INDEX('Market Data'!$AK$5:$AK$66,INDEX('Market Data'!$J$5:$J$528,$T88)-4)),N(INDEX('Market Data'!$AK$5:$AK$66,INDEX('Market Data'!$J$5:$J$528,$T88)-4))&gt;0),INDEX('Market Data'!$AK$5:$AK$66,INDEX('Market Data'!$J$5:$J$528,$T88)-4),"date unavailable"),IF($Q88="Snapshot",IF(AND(ISNUMBER(INDEX('Market Data'!$AF$5:$AF$66,INDEX('Market Data'!$J$5:$J$528,$T88)-4)),N(INDEX('Market Data'!$AF$5:$AF$66,INDEX('Market Data'!$J$5:$J$528,$T88)-4))&gt;0),INDEX('Market Data'!$AF$5:$AF$66,INDEX('Market Data'!$J$5:$J$528,$T88)-4),"date unavailable"),"date unavailable"))))</f>
        <v/>
      </c>
      <c r="Q88" s="15">
        <f>IF($T88=0,"",IF(INDEX('Market Data'!$J$5:$J$528,$T88)=0,"n/a",IF(AND($M$5&lt;&gt;"Snapshot",ISNUMBER(INDEX('Market Data'!$AH$5:$AH$66,INDEX('Market Data'!$J$5:$J$528,$T88)-4)),N(INDEX('Market Data'!$AH$5:$AH$66,INDEX('Market Data'!$J$5:$J$528,$T88)-4))&gt;0),"Bloomberg",IF(AND($M$5&lt;&gt;"Bloomberg",ISNUMBER(INDEX('Market Data'!$AC$5:$AC$66,INDEX('Market Data'!$J$5:$J$528,$T88)-4)),N(INDEX('Market Data'!$AC$5:$AC$66,INDEX('Market Data'!$J$5:$J$528,$T88)-4))&gt;0),"Snapshot","Unavailable"))))</f>
        <v/>
      </c>
      <c r="T88">
        <f>IFERROR(MATCH(80,'Market Data'!$S$5:$S$528,0),0)</f>
        <v/>
      </c>
    </row>
    <row r="89" ht="34" customHeight="1">
      <c r="A89" s="8">
        <f>IF($T89=0,"",IF(INDEX('Market Data'!$A$5:$A$528,$T89)="","",INDEX('Market Data'!$A$5:$A$528,$T89)))</f>
        <v/>
      </c>
      <c r="B89" s="9">
        <f>IF($T89=0,"",IF(INDEX('Market Data'!$B$5:$B$528,$T89)="","",INDEX('Market Data'!$B$5:$B$528,$T89)))</f>
        <v/>
      </c>
      <c r="C89" s="9">
        <f>IF($T89=0,"",IF(INDEX('Market Data'!$C$5:$C$528,$T89)="","",INDEX('Market Data'!$C$5:$C$528,$T89)))</f>
        <v/>
      </c>
      <c r="D89" s="9">
        <f>IF($T89=0,"",IF(INDEX('Market Data'!$D$5:$D$528,$T89)="","",INDEX('Market Data'!$D$5:$D$528,$T89)))</f>
        <v/>
      </c>
      <c r="E89" s="10">
        <f>IF($T89=0,"",INDEX('Market Data'!$O$5:$O$528,$T89))</f>
        <v/>
      </c>
      <c r="F89" s="11">
        <f>IF($T89=0,"",IF(AND($I89="Bloomberg",ISNUMBER(INDEX('Market Data'!$L$5:$L$528,$T89))),INDEX('Market Data'!$L$5:$L$528,$T89),"unavailable"))</f>
        <v/>
      </c>
      <c r="G89" s="12">
        <f>IF($T89=0,"",IF($I89="Bloomberg",IF(AND(ISNUMBER(INDEX('Market Data'!$M$5:$M$528,$T89)),N(INDEX('Market Data'!$M$5:$M$528,$T89))&gt;0),INDEX('Market Data'!$M$5:$M$528,$T89),"date unavailable"),IF($I89="Snapshot",IF(AND(ISNUMBER(INDEX('Market Data'!$H$5:$H$528,$T89)),N(INDEX('Market Data'!$H$5:$H$528,$T89))&gt;0),INDEX('Market Data'!$H$5:$H$528,$T89),"date unavailable"),"date unavailable")))</f>
        <v/>
      </c>
      <c r="H89" s="9">
        <f>IF($T89=0,"",IF($I89="Bloomberg",IF(INDEX('Market Data'!$N$5:$N$528,$T89)="","time unavailable",INDEX('Market Data'!$N$5:$N$528,$T89)),""))</f>
        <v/>
      </c>
      <c r="I89" s="9">
        <f>IF($T89=0,"",INDEX('Market Data'!$P$5:$P$528,$T89))</f>
        <v/>
      </c>
      <c r="J89" s="13">
        <f>IF($T89=0,"",IF(INDEX('Market Data'!$E$5:$E$528,$T89)="","",INDEX('Market Data'!$E$5:$E$528,$T89)))</f>
        <v/>
      </c>
      <c r="K89" s="8">
        <f>IF($T89=0,"",IF(INDEX('Market Data'!$I$5:$I$528,$T89)="","",INDEX('Market Data'!$I$5:$I$528,$T89)))</f>
        <v/>
      </c>
      <c r="L89" s="10">
        <f>IF($T89=0,"",IF(INDEX('Market Data'!$J$5:$J$528,$T89)=0,"n/a",IF(AND($M$5&lt;&gt;"Snapshot",ISNUMBER(INDEX('Market Data'!$AH$5:$AH$66,INDEX('Market Data'!$J$5:$J$528,$T89)-4)),N(INDEX('Market Data'!$AH$5:$AH$66,INDEX('Market Data'!$J$5:$J$528,$T89)-4))&gt;0),INDEX('Market Data'!$AH$5:$AH$66,INDEX('Market Data'!$J$5:$J$528,$T89)-4),IF(AND($M$5&lt;&gt;"Bloomberg",ISNUMBER(INDEX('Market Data'!$AC$5:$AC$66,INDEX('Market Data'!$J$5:$J$528,$T89)-4)),N(INDEX('Market Data'!$AC$5:$AC$66,INDEX('Market Data'!$J$5:$J$528,$T89)-4))&gt;0),INDEX('Market Data'!$AC$5:$AC$66,INDEX('Market Data'!$J$5:$J$528,$T89)-4),"unavailable"))))</f>
        <v/>
      </c>
      <c r="M89" s="11">
        <f>IF($T89=0,"",IF(INDEX('Market Data'!$J$5:$J$528,$T89)=0,"n/a",IF(IF(INDEX('Market Data'!$J$5:$J$528,$T89)=0,0,IF(LEFT(INDEX('Market Data'!$AS$5:$AS$66,INDEX('Market Data'!$J$5:$J$528,$T89)-4),11)="First-month",1,0))=1,"class review",IF($I89="Bloomberg",IF(AND(ISNUMBER(INDEX('Market Data'!$AH$5:$AH$66,INDEX('Market Data'!$J$5:$J$528,$T89)-4)),N(INDEX('Market Data'!$AH$5:$AH$66,INDEX('Market Data'!$J$5:$J$528,$T89)-4))&gt;0,ISNUMBER('Market Data'!$B$1),N('Market Data'!$B$1)&gt;0),INDEX('Market Data'!$AH$5:$AH$66,INDEX('Market Data'!$J$5:$J$528,$T89)-4)*'Market Data'!$B$1/$E89-1,"pending A/FX"),IF(AND($I89="Snapshot",$Q89="Snapshot",ISNUMBER($E89),$G89=INDEX('Market Data'!$AE$5:$AE$66,INDEX('Market Data'!$J$5:$J$528,$T89)-4)),IFERROR(INDEX('Market Data'!$AC$5:$AC$66,INDEX('Market Data'!$J$5:$J$528,$T89)-4)*INDEX('Market Data'!$AD$5:$AD$66,INDEX('Market Data'!$J$5:$J$528,$T89)-4)/$E89-1,"unavailable"),IF($I89="Unavailable","unavailable","date mismatch"))))))</f>
        <v/>
      </c>
      <c r="N89" s="11">
        <f>IF($T89=0,"",IFERROR(IF(AND(N(INDEX('Market Data'!$F$5:$F$528,$T89))&gt;0,ISNUMBER(INDEX('Market Data'!$T$5:$T$528,$T89))),$E89*INDEX('Market Data'!$T$5:$T$528,$T89)/INDEX('Market Data'!$F$5:$F$528,$T89)-1,"unavailable"),"unavailable"))</f>
        <v/>
      </c>
      <c r="O89" s="9">
        <f>IF($T89=0,"",IF(IF(INDEX('Market Data'!$J$5:$J$528,$T89)=0,0,IF(LEFT(INDEX('Market Data'!$AS$5:$AS$66,INDEX('Market Data'!$J$5:$J$528,$T89)-4),11)="First-month",1,0))=1,"Class ratio review",IF($I89="Bloomberg",IF(ISNUMBER($G89),IF($G89&lt;TODAY(),"Older quote","See quote time"),"Date unavailable"),IF($I89="Snapshot",IF($G89&lt;DATEVALUE("2026-10-02"),"Older snapshot","Dated close"),"No valid quote"))))</f>
        <v/>
      </c>
      <c r="P89" s="14">
        <f>IF($T89=0,"",IF(INDEX('Market Data'!$J$5:$J$528,$T89)=0,"n/a",IF($Q89="Bloomberg",IF(AND(ISNUMBER(INDEX('Market Data'!$AK$5:$AK$66,INDEX('Market Data'!$J$5:$J$528,$T89)-4)),N(INDEX('Market Data'!$AK$5:$AK$66,INDEX('Market Data'!$J$5:$J$528,$T89)-4))&gt;0),INDEX('Market Data'!$AK$5:$AK$66,INDEX('Market Data'!$J$5:$J$528,$T89)-4),"date unavailable"),IF($Q89="Snapshot",IF(AND(ISNUMBER(INDEX('Market Data'!$AF$5:$AF$66,INDEX('Market Data'!$J$5:$J$528,$T89)-4)),N(INDEX('Market Data'!$AF$5:$AF$66,INDEX('Market Data'!$J$5:$J$528,$T89)-4))&gt;0),INDEX('Market Data'!$AF$5:$AF$66,INDEX('Market Data'!$J$5:$J$528,$T89)-4),"date unavailable"),"date unavailable"))))</f>
        <v/>
      </c>
      <c r="Q89" s="15">
        <f>IF($T89=0,"",IF(INDEX('Market Data'!$J$5:$J$528,$T89)=0,"n/a",IF(AND($M$5&lt;&gt;"Snapshot",ISNUMBER(INDEX('Market Data'!$AH$5:$AH$66,INDEX('Market Data'!$J$5:$J$528,$T89)-4)),N(INDEX('Market Data'!$AH$5:$AH$66,INDEX('Market Data'!$J$5:$J$528,$T89)-4))&gt;0),"Bloomberg",IF(AND($M$5&lt;&gt;"Bloomberg",ISNUMBER(INDEX('Market Data'!$AC$5:$AC$66,INDEX('Market Data'!$J$5:$J$528,$T89)-4)),N(INDEX('Market Data'!$AC$5:$AC$66,INDEX('Market Data'!$J$5:$J$528,$T89)-4))&gt;0),"Snapshot","Unavailable"))))</f>
        <v/>
      </c>
      <c r="T89">
        <f>IFERROR(MATCH(81,'Market Data'!$S$5:$S$528,0),0)</f>
        <v/>
      </c>
    </row>
    <row r="90" ht="34" customHeight="1">
      <c r="A90" s="8">
        <f>IF($T90=0,"",IF(INDEX('Market Data'!$A$5:$A$528,$T90)="","",INDEX('Market Data'!$A$5:$A$528,$T90)))</f>
        <v/>
      </c>
      <c r="B90" s="9">
        <f>IF($T90=0,"",IF(INDEX('Market Data'!$B$5:$B$528,$T90)="","",INDEX('Market Data'!$B$5:$B$528,$T90)))</f>
        <v/>
      </c>
      <c r="C90" s="9">
        <f>IF($T90=0,"",IF(INDEX('Market Data'!$C$5:$C$528,$T90)="","",INDEX('Market Data'!$C$5:$C$528,$T90)))</f>
        <v/>
      </c>
      <c r="D90" s="9">
        <f>IF($T90=0,"",IF(INDEX('Market Data'!$D$5:$D$528,$T90)="","",INDEX('Market Data'!$D$5:$D$528,$T90)))</f>
        <v/>
      </c>
      <c r="E90" s="10">
        <f>IF($T90=0,"",INDEX('Market Data'!$O$5:$O$528,$T90))</f>
        <v/>
      </c>
      <c r="F90" s="11">
        <f>IF($T90=0,"",IF(AND($I90="Bloomberg",ISNUMBER(INDEX('Market Data'!$L$5:$L$528,$T90))),INDEX('Market Data'!$L$5:$L$528,$T90),"unavailable"))</f>
        <v/>
      </c>
      <c r="G90" s="12">
        <f>IF($T90=0,"",IF($I90="Bloomberg",IF(AND(ISNUMBER(INDEX('Market Data'!$M$5:$M$528,$T90)),N(INDEX('Market Data'!$M$5:$M$528,$T90))&gt;0),INDEX('Market Data'!$M$5:$M$528,$T90),"date unavailable"),IF($I90="Snapshot",IF(AND(ISNUMBER(INDEX('Market Data'!$H$5:$H$528,$T90)),N(INDEX('Market Data'!$H$5:$H$528,$T90))&gt;0),INDEX('Market Data'!$H$5:$H$528,$T90),"date unavailable"),"date unavailable")))</f>
        <v/>
      </c>
      <c r="H90" s="9">
        <f>IF($T90=0,"",IF($I90="Bloomberg",IF(INDEX('Market Data'!$N$5:$N$528,$T90)="","time unavailable",INDEX('Market Data'!$N$5:$N$528,$T90)),""))</f>
        <v/>
      </c>
      <c r="I90" s="9">
        <f>IF($T90=0,"",INDEX('Market Data'!$P$5:$P$528,$T90))</f>
        <v/>
      </c>
      <c r="J90" s="13">
        <f>IF($T90=0,"",IF(INDEX('Market Data'!$E$5:$E$528,$T90)="","",INDEX('Market Data'!$E$5:$E$528,$T90)))</f>
        <v/>
      </c>
      <c r="K90" s="8">
        <f>IF($T90=0,"",IF(INDEX('Market Data'!$I$5:$I$528,$T90)="","",INDEX('Market Data'!$I$5:$I$528,$T90)))</f>
        <v/>
      </c>
      <c r="L90" s="10">
        <f>IF($T90=0,"",IF(INDEX('Market Data'!$J$5:$J$528,$T90)=0,"n/a",IF(AND($M$5&lt;&gt;"Snapshot",ISNUMBER(INDEX('Market Data'!$AH$5:$AH$66,INDEX('Market Data'!$J$5:$J$528,$T90)-4)),N(INDEX('Market Data'!$AH$5:$AH$66,INDEX('Market Data'!$J$5:$J$528,$T90)-4))&gt;0),INDEX('Market Data'!$AH$5:$AH$66,INDEX('Market Data'!$J$5:$J$528,$T90)-4),IF(AND($M$5&lt;&gt;"Bloomberg",ISNUMBER(INDEX('Market Data'!$AC$5:$AC$66,INDEX('Market Data'!$J$5:$J$528,$T90)-4)),N(INDEX('Market Data'!$AC$5:$AC$66,INDEX('Market Data'!$J$5:$J$528,$T90)-4))&gt;0),INDEX('Market Data'!$AC$5:$AC$66,INDEX('Market Data'!$J$5:$J$528,$T90)-4),"unavailable"))))</f>
        <v/>
      </c>
      <c r="M90" s="11">
        <f>IF($T90=0,"",IF(INDEX('Market Data'!$J$5:$J$528,$T90)=0,"n/a",IF(IF(INDEX('Market Data'!$J$5:$J$528,$T90)=0,0,IF(LEFT(INDEX('Market Data'!$AS$5:$AS$66,INDEX('Market Data'!$J$5:$J$528,$T90)-4),11)="First-month",1,0))=1,"class review",IF($I90="Bloomberg",IF(AND(ISNUMBER(INDEX('Market Data'!$AH$5:$AH$66,INDEX('Market Data'!$J$5:$J$528,$T90)-4)),N(INDEX('Market Data'!$AH$5:$AH$66,INDEX('Market Data'!$J$5:$J$528,$T90)-4))&gt;0,ISNUMBER('Market Data'!$B$1),N('Market Data'!$B$1)&gt;0),INDEX('Market Data'!$AH$5:$AH$66,INDEX('Market Data'!$J$5:$J$528,$T90)-4)*'Market Data'!$B$1/$E90-1,"pending A/FX"),IF(AND($I90="Snapshot",$Q90="Snapshot",ISNUMBER($E90),$G90=INDEX('Market Data'!$AE$5:$AE$66,INDEX('Market Data'!$J$5:$J$528,$T90)-4)),IFERROR(INDEX('Market Data'!$AC$5:$AC$66,INDEX('Market Data'!$J$5:$J$528,$T90)-4)*INDEX('Market Data'!$AD$5:$AD$66,INDEX('Market Data'!$J$5:$J$528,$T90)-4)/$E90-1,"unavailable"),IF($I90="Unavailable","unavailable","date mismatch"))))))</f>
        <v/>
      </c>
      <c r="N90" s="11">
        <f>IF($T90=0,"",IFERROR(IF(AND(N(INDEX('Market Data'!$F$5:$F$528,$T90))&gt;0,ISNUMBER(INDEX('Market Data'!$T$5:$T$528,$T90))),$E90*INDEX('Market Data'!$T$5:$T$528,$T90)/INDEX('Market Data'!$F$5:$F$528,$T90)-1,"unavailable"),"unavailable"))</f>
        <v/>
      </c>
      <c r="O90" s="9">
        <f>IF($T90=0,"",IF(IF(INDEX('Market Data'!$J$5:$J$528,$T90)=0,0,IF(LEFT(INDEX('Market Data'!$AS$5:$AS$66,INDEX('Market Data'!$J$5:$J$528,$T90)-4),11)="First-month",1,0))=1,"Class ratio review",IF($I90="Bloomberg",IF(ISNUMBER($G90),IF($G90&lt;TODAY(),"Older quote","See quote time"),"Date unavailable"),IF($I90="Snapshot",IF($G90&lt;DATEVALUE("2026-10-02"),"Older snapshot","Dated close"),"No valid quote"))))</f>
        <v/>
      </c>
      <c r="P90" s="14">
        <f>IF($T90=0,"",IF(INDEX('Market Data'!$J$5:$J$528,$T90)=0,"n/a",IF($Q90="Bloomberg",IF(AND(ISNUMBER(INDEX('Market Data'!$AK$5:$AK$66,INDEX('Market Data'!$J$5:$J$528,$T90)-4)),N(INDEX('Market Data'!$AK$5:$AK$66,INDEX('Market Data'!$J$5:$J$528,$T90)-4))&gt;0),INDEX('Market Data'!$AK$5:$AK$66,INDEX('Market Data'!$J$5:$J$528,$T90)-4),"date unavailable"),IF($Q90="Snapshot",IF(AND(ISNUMBER(INDEX('Market Data'!$AF$5:$AF$66,INDEX('Market Data'!$J$5:$J$528,$T90)-4)),N(INDEX('Market Data'!$AF$5:$AF$66,INDEX('Market Data'!$J$5:$J$528,$T90)-4))&gt;0),INDEX('Market Data'!$AF$5:$AF$66,INDEX('Market Data'!$J$5:$J$528,$T90)-4),"date unavailable"),"date unavailable"))))</f>
        <v/>
      </c>
      <c r="Q90" s="15">
        <f>IF($T90=0,"",IF(INDEX('Market Data'!$J$5:$J$528,$T90)=0,"n/a",IF(AND($M$5&lt;&gt;"Snapshot",ISNUMBER(INDEX('Market Data'!$AH$5:$AH$66,INDEX('Market Data'!$J$5:$J$528,$T90)-4)),N(INDEX('Market Data'!$AH$5:$AH$66,INDEX('Market Data'!$J$5:$J$528,$T90)-4))&gt;0),"Bloomberg",IF(AND($M$5&lt;&gt;"Bloomberg",ISNUMBER(INDEX('Market Data'!$AC$5:$AC$66,INDEX('Market Data'!$J$5:$J$528,$T90)-4)),N(INDEX('Market Data'!$AC$5:$AC$66,INDEX('Market Data'!$J$5:$J$528,$T90)-4))&gt;0),"Snapshot","Unavailable"))))</f>
        <v/>
      </c>
      <c r="T90">
        <f>IFERROR(MATCH(82,'Market Data'!$S$5:$S$528,0),0)</f>
        <v/>
      </c>
    </row>
    <row r="91" ht="34" customHeight="1">
      <c r="A91" s="8">
        <f>IF($T91=0,"",IF(INDEX('Market Data'!$A$5:$A$528,$T91)="","",INDEX('Market Data'!$A$5:$A$528,$T91)))</f>
        <v/>
      </c>
      <c r="B91" s="9">
        <f>IF($T91=0,"",IF(INDEX('Market Data'!$B$5:$B$528,$T91)="","",INDEX('Market Data'!$B$5:$B$528,$T91)))</f>
        <v/>
      </c>
      <c r="C91" s="9">
        <f>IF($T91=0,"",IF(INDEX('Market Data'!$C$5:$C$528,$T91)="","",INDEX('Market Data'!$C$5:$C$528,$T91)))</f>
        <v/>
      </c>
      <c r="D91" s="9">
        <f>IF($T91=0,"",IF(INDEX('Market Data'!$D$5:$D$528,$T91)="","",INDEX('Market Data'!$D$5:$D$528,$T91)))</f>
        <v/>
      </c>
      <c r="E91" s="10">
        <f>IF($T91=0,"",INDEX('Market Data'!$O$5:$O$528,$T91))</f>
        <v/>
      </c>
      <c r="F91" s="11">
        <f>IF($T91=0,"",IF(AND($I91="Bloomberg",ISNUMBER(INDEX('Market Data'!$L$5:$L$528,$T91))),INDEX('Market Data'!$L$5:$L$528,$T91),"unavailable"))</f>
        <v/>
      </c>
      <c r="G91" s="12">
        <f>IF($T91=0,"",IF($I91="Bloomberg",IF(AND(ISNUMBER(INDEX('Market Data'!$M$5:$M$528,$T91)),N(INDEX('Market Data'!$M$5:$M$528,$T91))&gt;0),INDEX('Market Data'!$M$5:$M$528,$T91),"date unavailable"),IF($I91="Snapshot",IF(AND(ISNUMBER(INDEX('Market Data'!$H$5:$H$528,$T91)),N(INDEX('Market Data'!$H$5:$H$528,$T91))&gt;0),INDEX('Market Data'!$H$5:$H$528,$T91),"date unavailable"),"date unavailable")))</f>
        <v/>
      </c>
      <c r="H91" s="9">
        <f>IF($T91=0,"",IF($I91="Bloomberg",IF(INDEX('Market Data'!$N$5:$N$528,$T91)="","time unavailable",INDEX('Market Data'!$N$5:$N$528,$T91)),""))</f>
        <v/>
      </c>
      <c r="I91" s="9">
        <f>IF($T91=0,"",INDEX('Market Data'!$P$5:$P$528,$T91))</f>
        <v/>
      </c>
      <c r="J91" s="13">
        <f>IF($T91=0,"",IF(INDEX('Market Data'!$E$5:$E$528,$T91)="","",INDEX('Market Data'!$E$5:$E$528,$T91)))</f>
        <v/>
      </c>
      <c r="K91" s="8">
        <f>IF($T91=0,"",IF(INDEX('Market Data'!$I$5:$I$528,$T91)="","",INDEX('Market Data'!$I$5:$I$528,$T91)))</f>
        <v/>
      </c>
      <c r="L91" s="10">
        <f>IF($T91=0,"",IF(INDEX('Market Data'!$J$5:$J$528,$T91)=0,"n/a",IF(AND($M$5&lt;&gt;"Snapshot",ISNUMBER(INDEX('Market Data'!$AH$5:$AH$66,INDEX('Market Data'!$J$5:$J$528,$T91)-4)),N(INDEX('Market Data'!$AH$5:$AH$66,INDEX('Market Data'!$J$5:$J$528,$T91)-4))&gt;0),INDEX('Market Data'!$AH$5:$AH$66,INDEX('Market Data'!$J$5:$J$528,$T91)-4),IF(AND($M$5&lt;&gt;"Bloomberg",ISNUMBER(INDEX('Market Data'!$AC$5:$AC$66,INDEX('Market Data'!$J$5:$J$528,$T91)-4)),N(INDEX('Market Data'!$AC$5:$AC$66,INDEX('Market Data'!$J$5:$J$528,$T91)-4))&gt;0),INDEX('Market Data'!$AC$5:$AC$66,INDEX('Market Data'!$J$5:$J$528,$T91)-4),"unavailable"))))</f>
        <v/>
      </c>
      <c r="M91" s="11">
        <f>IF($T91=0,"",IF(INDEX('Market Data'!$J$5:$J$528,$T91)=0,"n/a",IF(IF(INDEX('Market Data'!$J$5:$J$528,$T91)=0,0,IF(LEFT(INDEX('Market Data'!$AS$5:$AS$66,INDEX('Market Data'!$J$5:$J$528,$T91)-4),11)="First-month",1,0))=1,"class review",IF($I91="Bloomberg",IF(AND(ISNUMBER(INDEX('Market Data'!$AH$5:$AH$66,INDEX('Market Data'!$J$5:$J$528,$T91)-4)),N(INDEX('Market Data'!$AH$5:$AH$66,INDEX('Market Data'!$J$5:$J$528,$T91)-4))&gt;0,ISNUMBER('Market Data'!$B$1),N('Market Data'!$B$1)&gt;0),INDEX('Market Data'!$AH$5:$AH$66,INDEX('Market Data'!$J$5:$J$528,$T91)-4)*'Market Data'!$B$1/$E91-1,"pending A/FX"),IF(AND($I91="Snapshot",$Q91="Snapshot",ISNUMBER($E91),$G91=INDEX('Market Data'!$AE$5:$AE$66,INDEX('Market Data'!$J$5:$J$528,$T91)-4)),IFERROR(INDEX('Market Data'!$AC$5:$AC$66,INDEX('Market Data'!$J$5:$J$528,$T91)-4)*INDEX('Market Data'!$AD$5:$AD$66,INDEX('Market Data'!$J$5:$J$528,$T91)-4)/$E91-1,"unavailable"),IF($I91="Unavailable","unavailable","date mismatch"))))))</f>
        <v/>
      </c>
      <c r="N91" s="11">
        <f>IF($T91=0,"",IFERROR(IF(AND(N(INDEX('Market Data'!$F$5:$F$528,$T91))&gt;0,ISNUMBER(INDEX('Market Data'!$T$5:$T$528,$T91))),$E91*INDEX('Market Data'!$T$5:$T$528,$T91)/INDEX('Market Data'!$F$5:$F$528,$T91)-1,"unavailable"),"unavailable"))</f>
        <v/>
      </c>
      <c r="O91" s="9">
        <f>IF($T91=0,"",IF(IF(INDEX('Market Data'!$J$5:$J$528,$T91)=0,0,IF(LEFT(INDEX('Market Data'!$AS$5:$AS$66,INDEX('Market Data'!$J$5:$J$528,$T91)-4),11)="First-month",1,0))=1,"Class ratio review",IF($I91="Bloomberg",IF(ISNUMBER($G91),IF($G91&lt;TODAY(),"Older quote","See quote time"),"Date unavailable"),IF($I91="Snapshot",IF($G91&lt;DATEVALUE("2026-10-02"),"Older snapshot","Dated close"),"No valid quote"))))</f>
        <v/>
      </c>
      <c r="P91" s="14">
        <f>IF($T91=0,"",IF(INDEX('Market Data'!$J$5:$J$528,$T91)=0,"n/a",IF($Q91="Bloomberg",IF(AND(ISNUMBER(INDEX('Market Data'!$AK$5:$AK$66,INDEX('Market Data'!$J$5:$J$528,$T91)-4)),N(INDEX('Market Data'!$AK$5:$AK$66,INDEX('Market Data'!$J$5:$J$528,$T91)-4))&gt;0),INDEX('Market Data'!$AK$5:$AK$66,INDEX('Market Data'!$J$5:$J$528,$T91)-4),"date unavailable"),IF($Q91="Snapshot",IF(AND(ISNUMBER(INDEX('Market Data'!$AF$5:$AF$66,INDEX('Market Data'!$J$5:$J$528,$T91)-4)),N(INDEX('Market Data'!$AF$5:$AF$66,INDEX('Market Data'!$J$5:$J$528,$T91)-4))&gt;0),INDEX('Market Data'!$AF$5:$AF$66,INDEX('Market Data'!$J$5:$J$528,$T91)-4),"date unavailable"),"date unavailable"))))</f>
        <v/>
      </c>
      <c r="Q91" s="15">
        <f>IF($T91=0,"",IF(INDEX('Market Data'!$J$5:$J$528,$T91)=0,"n/a",IF(AND($M$5&lt;&gt;"Snapshot",ISNUMBER(INDEX('Market Data'!$AH$5:$AH$66,INDEX('Market Data'!$J$5:$J$528,$T91)-4)),N(INDEX('Market Data'!$AH$5:$AH$66,INDEX('Market Data'!$J$5:$J$528,$T91)-4))&gt;0),"Bloomberg",IF(AND($M$5&lt;&gt;"Bloomberg",ISNUMBER(INDEX('Market Data'!$AC$5:$AC$66,INDEX('Market Data'!$J$5:$J$528,$T91)-4)),N(INDEX('Market Data'!$AC$5:$AC$66,INDEX('Market Data'!$J$5:$J$528,$T91)-4))&gt;0),"Snapshot","Unavailable"))))</f>
        <v/>
      </c>
      <c r="T91">
        <f>IFERROR(MATCH(83,'Market Data'!$S$5:$S$528,0),0)</f>
        <v/>
      </c>
    </row>
    <row r="92" ht="34" customHeight="1">
      <c r="A92" s="8">
        <f>IF($T92=0,"",IF(INDEX('Market Data'!$A$5:$A$528,$T92)="","",INDEX('Market Data'!$A$5:$A$528,$T92)))</f>
        <v/>
      </c>
      <c r="B92" s="9">
        <f>IF($T92=0,"",IF(INDEX('Market Data'!$B$5:$B$528,$T92)="","",INDEX('Market Data'!$B$5:$B$528,$T92)))</f>
        <v/>
      </c>
      <c r="C92" s="9">
        <f>IF($T92=0,"",IF(INDEX('Market Data'!$C$5:$C$528,$T92)="","",INDEX('Market Data'!$C$5:$C$528,$T92)))</f>
        <v/>
      </c>
      <c r="D92" s="9">
        <f>IF($T92=0,"",IF(INDEX('Market Data'!$D$5:$D$528,$T92)="","",INDEX('Market Data'!$D$5:$D$528,$T92)))</f>
        <v/>
      </c>
      <c r="E92" s="10">
        <f>IF($T92=0,"",INDEX('Market Data'!$O$5:$O$528,$T92))</f>
        <v/>
      </c>
      <c r="F92" s="11">
        <f>IF($T92=0,"",IF(AND($I92="Bloomberg",ISNUMBER(INDEX('Market Data'!$L$5:$L$528,$T92))),INDEX('Market Data'!$L$5:$L$528,$T92),"unavailable"))</f>
        <v/>
      </c>
      <c r="G92" s="12">
        <f>IF($T92=0,"",IF($I92="Bloomberg",IF(AND(ISNUMBER(INDEX('Market Data'!$M$5:$M$528,$T92)),N(INDEX('Market Data'!$M$5:$M$528,$T92))&gt;0),INDEX('Market Data'!$M$5:$M$528,$T92),"date unavailable"),IF($I92="Snapshot",IF(AND(ISNUMBER(INDEX('Market Data'!$H$5:$H$528,$T92)),N(INDEX('Market Data'!$H$5:$H$528,$T92))&gt;0),INDEX('Market Data'!$H$5:$H$528,$T92),"date unavailable"),"date unavailable")))</f>
        <v/>
      </c>
      <c r="H92" s="9">
        <f>IF($T92=0,"",IF($I92="Bloomberg",IF(INDEX('Market Data'!$N$5:$N$528,$T92)="","time unavailable",INDEX('Market Data'!$N$5:$N$528,$T92)),""))</f>
        <v/>
      </c>
      <c r="I92" s="9">
        <f>IF($T92=0,"",INDEX('Market Data'!$P$5:$P$528,$T92))</f>
        <v/>
      </c>
      <c r="J92" s="13">
        <f>IF($T92=0,"",IF(INDEX('Market Data'!$E$5:$E$528,$T92)="","",INDEX('Market Data'!$E$5:$E$528,$T92)))</f>
        <v/>
      </c>
      <c r="K92" s="8">
        <f>IF($T92=0,"",IF(INDEX('Market Data'!$I$5:$I$528,$T92)="","",INDEX('Market Data'!$I$5:$I$528,$T92)))</f>
        <v/>
      </c>
      <c r="L92" s="10">
        <f>IF($T92=0,"",IF(INDEX('Market Data'!$J$5:$J$528,$T92)=0,"n/a",IF(AND($M$5&lt;&gt;"Snapshot",ISNUMBER(INDEX('Market Data'!$AH$5:$AH$66,INDEX('Market Data'!$J$5:$J$528,$T92)-4)),N(INDEX('Market Data'!$AH$5:$AH$66,INDEX('Market Data'!$J$5:$J$528,$T92)-4))&gt;0),INDEX('Market Data'!$AH$5:$AH$66,INDEX('Market Data'!$J$5:$J$528,$T92)-4),IF(AND($M$5&lt;&gt;"Bloomberg",ISNUMBER(INDEX('Market Data'!$AC$5:$AC$66,INDEX('Market Data'!$J$5:$J$528,$T92)-4)),N(INDEX('Market Data'!$AC$5:$AC$66,INDEX('Market Data'!$J$5:$J$528,$T92)-4))&gt;0),INDEX('Market Data'!$AC$5:$AC$66,INDEX('Market Data'!$J$5:$J$528,$T92)-4),"unavailable"))))</f>
        <v/>
      </c>
      <c r="M92" s="11">
        <f>IF($T92=0,"",IF(INDEX('Market Data'!$J$5:$J$528,$T92)=0,"n/a",IF(IF(INDEX('Market Data'!$J$5:$J$528,$T92)=0,0,IF(LEFT(INDEX('Market Data'!$AS$5:$AS$66,INDEX('Market Data'!$J$5:$J$528,$T92)-4),11)="First-month",1,0))=1,"class review",IF($I92="Bloomberg",IF(AND(ISNUMBER(INDEX('Market Data'!$AH$5:$AH$66,INDEX('Market Data'!$J$5:$J$528,$T92)-4)),N(INDEX('Market Data'!$AH$5:$AH$66,INDEX('Market Data'!$J$5:$J$528,$T92)-4))&gt;0,ISNUMBER('Market Data'!$B$1),N('Market Data'!$B$1)&gt;0),INDEX('Market Data'!$AH$5:$AH$66,INDEX('Market Data'!$J$5:$J$528,$T92)-4)*'Market Data'!$B$1/$E92-1,"pending A/FX"),IF(AND($I92="Snapshot",$Q92="Snapshot",ISNUMBER($E92),$G92=INDEX('Market Data'!$AE$5:$AE$66,INDEX('Market Data'!$J$5:$J$528,$T92)-4)),IFERROR(INDEX('Market Data'!$AC$5:$AC$66,INDEX('Market Data'!$J$5:$J$528,$T92)-4)*INDEX('Market Data'!$AD$5:$AD$66,INDEX('Market Data'!$J$5:$J$528,$T92)-4)/$E92-1,"unavailable"),IF($I92="Unavailable","unavailable","date mismatch"))))))</f>
        <v/>
      </c>
      <c r="N92" s="11">
        <f>IF($T92=0,"",IFERROR(IF(AND(N(INDEX('Market Data'!$F$5:$F$528,$T92))&gt;0,ISNUMBER(INDEX('Market Data'!$T$5:$T$528,$T92))),$E92*INDEX('Market Data'!$T$5:$T$528,$T92)/INDEX('Market Data'!$F$5:$F$528,$T92)-1,"unavailable"),"unavailable"))</f>
        <v/>
      </c>
      <c r="O92" s="9">
        <f>IF($T92=0,"",IF(IF(INDEX('Market Data'!$J$5:$J$528,$T92)=0,0,IF(LEFT(INDEX('Market Data'!$AS$5:$AS$66,INDEX('Market Data'!$J$5:$J$528,$T92)-4),11)="First-month",1,0))=1,"Class ratio review",IF($I92="Bloomberg",IF(ISNUMBER($G92),IF($G92&lt;TODAY(),"Older quote","See quote time"),"Date unavailable"),IF($I92="Snapshot",IF($G92&lt;DATEVALUE("2026-10-02"),"Older snapshot","Dated close"),"No valid quote"))))</f>
        <v/>
      </c>
      <c r="P92" s="14">
        <f>IF($T92=0,"",IF(INDEX('Market Data'!$J$5:$J$528,$T92)=0,"n/a",IF($Q92="Bloomberg",IF(AND(ISNUMBER(INDEX('Market Data'!$AK$5:$AK$66,INDEX('Market Data'!$J$5:$J$528,$T92)-4)),N(INDEX('Market Data'!$AK$5:$AK$66,INDEX('Market Data'!$J$5:$J$528,$T92)-4))&gt;0),INDEX('Market Data'!$AK$5:$AK$66,INDEX('Market Data'!$J$5:$J$528,$T92)-4),"date unavailable"),IF($Q92="Snapshot",IF(AND(ISNUMBER(INDEX('Market Data'!$AF$5:$AF$66,INDEX('Market Data'!$J$5:$J$528,$T92)-4)),N(INDEX('Market Data'!$AF$5:$AF$66,INDEX('Market Data'!$J$5:$J$528,$T92)-4))&gt;0),INDEX('Market Data'!$AF$5:$AF$66,INDEX('Market Data'!$J$5:$J$528,$T92)-4),"date unavailable"),"date unavailable"))))</f>
        <v/>
      </c>
      <c r="Q92" s="15">
        <f>IF($T92=0,"",IF(INDEX('Market Data'!$J$5:$J$528,$T92)=0,"n/a",IF(AND($M$5&lt;&gt;"Snapshot",ISNUMBER(INDEX('Market Data'!$AH$5:$AH$66,INDEX('Market Data'!$J$5:$J$528,$T92)-4)),N(INDEX('Market Data'!$AH$5:$AH$66,INDEX('Market Data'!$J$5:$J$528,$T92)-4))&gt;0),"Bloomberg",IF(AND($M$5&lt;&gt;"Bloomberg",ISNUMBER(INDEX('Market Data'!$AC$5:$AC$66,INDEX('Market Data'!$J$5:$J$528,$T92)-4)),N(INDEX('Market Data'!$AC$5:$AC$66,INDEX('Market Data'!$J$5:$J$528,$T92)-4))&gt;0),"Snapshot","Unavailable"))))</f>
        <v/>
      </c>
      <c r="T92">
        <f>IFERROR(MATCH(84,'Market Data'!$S$5:$S$528,0),0)</f>
        <v/>
      </c>
    </row>
    <row r="93" ht="34" customHeight="1">
      <c r="A93" s="8">
        <f>IF($T93=0,"",IF(INDEX('Market Data'!$A$5:$A$528,$T93)="","",INDEX('Market Data'!$A$5:$A$528,$T93)))</f>
        <v/>
      </c>
      <c r="B93" s="9">
        <f>IF($T93=0,"",IF(INDEX('Market Data'!$B$5:$B$528,$T93)="","",INDEX('Market Data'!$B$5:$B$528,$T93)))</f>
        <v/>
      </c>
      <c r="C93" s="9">
        <f>IF($T93=0,"",IF(INDEX('Market Data'!$C$5:$C$528,$T93)="","",INDEX('Market Data'!$C$5:$C$528,$T93)))</f>
        <v/>
      </c>
      <c r="D93" s="9">
        <f>IF($T93=0,"",IF(INDEX('Market Data'!$D$5:$D$528,$T93)="","",INDEX('Market Data'!$D$5:$D$528,$T93)))</f>
        <v/>
      </c>
      <c r="E93" s="10">
        <f>IF($T93=0,"",INDEX('Market Data'!$O$5:$O$528,$T93))</f>
        <v/>
      </c>
      <c r="F93" s="11">
        <f>IF($T93=0,"",IF(AND($I93="Bloomberg",ISNUMBER(INDEX('Market Data'!$L$5:$L$528,$T93))),INDEX('Market Data'!$L$5:$L$528,$T93),"unavailable"))</f>
        <v/>
      </c>
      <c r="G93" s="12">
        <f>IF($T93=0,"",IF($I93="Bloomberg",IF(AND(ISNUMBER(INDEX('Market Data'!$M$5:$M$528,$T93)),N(INDEX('Market Data'!$M$5:$M$528,$T93))&gt;0),INDEX('Market Data'!$M$5:$M$528,$T93),"date unavailable"),IF($I93="Snapshot",IF(AND(ISNUMBER(INDEX('Market Data'!$H$5:$H$528,$T93)),N(INDEX('Market Data'!$H$5:$H$528,$T93))&gt;0),INDEX('Market Data'!$H$5:$H$528,$T93),"date unavailable"),"date unavailable")))</f>
        <v/>
      </c>
      <c r="H93" s="9">
        <f>IF($T93=0,"",IF($I93="Bloomberg",IF(INDEX('Market Data'!$N$5:$N$528,$T93)="","time unavailable",INDEX('Market Data'!$N$5:$N$528,$T93)),""))</f>
        <v/>
      </c>
      <c r="I93" s="9">
        <f>IF($T93=0,"",INDEX('Market Data'!$P$5:$P$528,$T93))</f>
        <v/>
      </c>
      <c r="J93" s="13">
        <f>IF($T93=0,"",IF(INDEX('Market Data'!$E$5:$E$528,$T93)="","",INDEX('Market Data'!$E$5:$E$528,$T93)))</f>
        <v/>
      </c>
      <c r="K93" s="8">
        <f>IF($T93=0,"",IF(INDEX('Market Data'!$I$5:$I$528,$T93)="","",INDEX('Market Data'!$I$5:$I$528,$T93)))</f>
        <v/>
      </c>
      <c r="L93" s="10">
        <f>IF($T93=0,"",IF(INDEX('Market Data'!$J$5:$J$528,$T93)=0,"n/a",IF(AND($M$5&lt;&gt;"Snapshot",ISNUMBER(INDEX('Market Data'!$AH$5:$AH$66,INDEX('Market Data'!$J$5:$J$528,$T93)-4)),N(INDEX('Market Data'!$AH$5:$AH$66,INDEX('Market Data'!$J$5:$J$528,$T93)-4))&gt;0),INDEX('Market Data'!$AH$5:$AH$66,INDEX('Market Data'!$J$5:$J$528,$T93)-4),IF(AND($M$5&lt;&gt;"Bloomberg",ISNUMBER(INDEX('Market Data'!$AC$5:$AC$66,INDEX('Market Data'!$J$5:$J$528,$T93)-4)),N(INDEX('Market Data'!$AC$5:$AC$66,INDEX('Market Data'!$J$5:$J$528,$T93)-4))&gt;0),INDEX('Market Data'!$AC$5:$AC$66,INDEX('Market Data'!$J$5:$J$528,$T93)-4),"unavailable"))))</f>
        <v/>
      </c>
      <c r="M93" s="11">
        <f>IF($T93=0,"",IF(INDEX('Market Data'!$J$5:$J$528,$T93)=0,"n/a",IF(IF(INDEX('Market Data'!$J$5:$J$528,$T93)=0,0,IF(LEFT(INDEX('Market Data'!$AS$5:$AS$66,INDEX('Market Data'!$J$5:$J$528,$T93)-4),11)="First-month",1,0))=1,"class review",IF($I93="Bloomberg",IF(AND(ISNUMBER(INDEX('Market Data'!$AH$5:$AH$66,INDEX('Market Data'!$J$5:$J$528,$T93)-4)),N(INDEX('Market Data'!$AH$5:$AH$66,INDEX('Market Data'!$J$5:$J$528,$T93)-4))&gt;0,ISNUMBER('Market Data'!$B$1),N('Market Data'!$B$1)&gt;0),INDEX('Market Data'!$AH$5:$AH$66,INDEX('Market Data'!$J$5:$J$528,$T93)-4)*'Market Data'!$B$1/$E93-1,"pending A/FX"),IF(AND($I93="Snapshot",$Q93="Snapshot",ISNUMBER($E93),$G93=INDEX('Market Data'!$AE$5:$AE$66,INDEX('Market Data'!$J$5:$J$528,$T93)-4)),IFERROR(INDEX('Market Data'!$AC$5:$AC$66,INDEX('Market Data'!$J$5:$J$528,$T93)-4)*INDEX('Market Data'!$AD$5:$AD$66,INDEX('Market Data'!$J$5:$J$528,$T93)-4)/$E93-1,"unavailable"),IF($I93="Unavailable","unavailable","date mismatch"))))))</f>
        <v/>
      </c>
      <c r="N93" s="11">
        <f>IF($T93=0,"",IFERROR(IF(AND(N(INDEX('Market Data'!$F$5:$F$528,$T93))&gt;0,ISNUMBER(INDEX('Market Data'!$T$5:$T$528,$T93))),$E93*INDEX('Market Data'!$T$5:$T$528,$T93)/INDEX('Market Data'!$F$5:$F$528,$T93)-1,"unavailable"),"unavailable"))</f>
        <v/>
      </c>
      <c r="O93" s="9">
        <f>IF($T93=0,"",IF(IF(INDEX('Market Data'!$J$5:$J$528,$T93)=0,0,IF(LEFT(INDEX('Market Data'!$AS$5:$AS$66,INDEX('Market Data'!$J$5:$J$528,$T93)-4),11)="First-month",1,0))=1,"Class ratio review",IF($I93="Bloomberg",IF(ISNUMBER($G93),IF($G93&lt;TODAY(),"Older quote","See quote time"),"Date unavailable"),IF($I93="Snapshot",IF($G93&lt;DATEVALUE("2026-10-02"),"Older snapshot","Dated close"),"No valid quote"))))</f>
        <v/>
      </c>
      <c r="P93" s="14">
        <f>IF($T93=0,"",IF(INDEX('Market Data'!$J$5:$J$528,$T93)=0,"n/a",IF($Q93="Bloomberg",IF(AND(ISNUMBER(INDEX('Market Data'!$AK$5:$AK$66,INDEX('Market Data'!$J$5:$J$528,$T93)-4)),N(INDEX('Market Data'!$AK$5:$AK$66,INDEX('Market Data'!$J$5:$J$528,$T93)-4))&gt;0),INDEX('Market Data'!$AK$5:$AK$66,INDEX('Market Data'!$J$5:$J$528,$T93)-4),"date unavailable"),IF($Q93="Snapshot",IF(AND(ISNUMBER(INDEX('Market Data'!$AF$5:$AF$66,INDEX('Market Data'!$J$5:$J$528,$T93)-4)),N(INDEX('Market Data'!$AF$5:$AF$66,INDEX('Market Data'!$J$5:$J$528,$T93)-4))&gt;0),INDEX('Market Data'!$AF$5:$AF$66,INDEX('Market Data'!$J$5:$J$528,$T93)-4),"date unavailable"),"date unavailable"))))</f>
        <v/>
      </c>
      <c r="Q93" s="15">
        <f>IF($T93=0,"",IF(INDEX('Market Data'!$J$5:$J$528,$T93)=0,"n/a",IF(AND($M$5&lt;&gt;"Snapshot",ISNUMBER(INDEX('Market Data'!$AH$5:$AH$66,INDEX('Market Data'!$J$5:$J$528,$T93)-4)),N(INDEX('Market Data'!$AH$5:$AH$66,INDEX('Market Data'!$J$5:$J$528,$T93)-4))&gt;0),"Bloomberg",IF(AND($M$5&lt;&gt;"Bloomberg",ISNUMBER(INDEX('Market Data'!$AC$5:$AC$66,INDEX('Market Data'!$J$5:$J$528,$T93)-4)),N(INDEX('Market Data'!$AC$5:$AC$66,INDEX('Market Data'!$J$5:$J$528,$T93)-4))&gt;0),"Snapshot","Unavailable"))))</f>
        <v/>
      </c>
      <c r="T93">
        <f>IFERROR(MATCH(85,'Market Data'!$S$5:$S$528,0),0)</f>
        <v/>
      </c>
    </row>
    <row r="94" ht="34" customHeight="1">
      <c r="A94" s="8">
        <f>IF($T94=0,"",IF(INDEX('Market Data'!$A$5:$A$528,$T94)="","",INDEX('Market Data'!$A$5:$A$528,$T94)))</f>
        <v/>
      </c>
      <c r="B94" s="9">
        <f>IF($T94=0,"",IF(INDEX('Market Data'!$B$5:$B$528,$T94)="","",INDEX('Market Data'!$B$5:$B$528,$T94)))</f>
        <v/>
      </c>
      <c r="C94" s="9">
        <f>IF($T94=0,"",IF(INDEX('Market Data'!$C$5:$C$528,$T94)="","",INDEX('Market Data'!$C$5:$C$528,$T94)))</f>
        <v/>
      </c>
      <c r="D94" s="9">
        <f>IF($T94=0,"",IF(INDEX('Market Data'!$D$5:$D$528,$T94)="","",INDEX('Market Data'!$D$5:$D$528,$T94)))</f>
        <v/>
      </c>
      <c r="E94" s="10">
        <f>IF($T94=0,"",INDEX('Market Data'!$O$5:$O$528,$T94))</f>
        <v/>
      </c>
      <c r="F94" s="11">
        <f>IF($T94=0,"",IF(AND($I94="Bloomberg",ISNUMBER(INDEX('Market Data'!$L$5:$L$528,$T94))),INDEX('Market Data'!$L$5:$L$528,$T94),"unavailable"))</f>
        <v/>
      </c>
      <c r="G94" s="12">
        <f>IF($T94=0,"",IF($I94="Bloomberg",IF(AND(ISNUMBER(INDEX('Market Data'!$M$5:$M$528,$T94)),N(INDEX('Market Data'!$M$5:$M$528,$T94))&gt;0),INDEX('Market Data'!$M$5:$M$528,$T94),"date unavailable"),IF($I94="Snapshot",IF(AND(ISNUMBER(INDEX('Market Data'!$H$5:$H$528,$T94)),N(INDEX('Market Data'!$H$5:$H$528,$T94))&gt;0),INDEX('Market Data'!$H$5:$H$528,$T94),"date unavailable"),"date unavailable")))</f>
        <v/>
      </c>
      <c r="H94" s="9">
        <f>IF($T94=0,"",IF($I94="Bloomberg",IF(INDEX('Market Data'!$N$5:$N$528,$T94)="","time unavailable",INDEX('Market Data'!$N$5:$N$528,$T94)),""))</f>
        <v/>
      </c>
      <c r="I94" s="9">
        <f>IF($T94=0,"",INDEX('Market Data'!$P$5:$P$528,$T94))</f>
        <v/>
      </c>
      <c r="J94" s="13">
        <f>IF($T94=0,"",IF(INDEX('Market Data'!$E$5:$E$528,$T94)="","",INDEX('Market Data'!$E$5:$E$528,$T94)))</f>
        <v/>
      </c>
      <c r="K94" s="8">
        <f>IF($T94=0,"",IF(INDEX('Market Data'!$I$5:$I$528,$T94)="","",INDEX('Market Data'!$I$5:$I$528,$T94)))</f>
        <v/>
      </c>
      <c r="L94" s="10">
        <f>IF($T94=0,"",IF(INDEX('Market Data'!$J$5:$J$528,$T94)=0,"n/a",IF(AND($M$5&lt;&gt;"Snapshot",ISNUMBER(INDEX('Market Data'!$AH$5:$AH$66,INDEX('Market Data'!$J$5:$J$528,$T94)-4)),N(INDEX('Market Data'!$AH$5:$AH$66,INDEX('Market Data'!$J$5:$J$528,$T94)-4))&gt;0),INDEX('Market Data'!$AH$5:$AH$66,INDEX('Market Data'!$J$5:$J$528,$T94)-4),IF(AND($M$5&lt;&gt;"Bloomberg",ISNUMBER(INDEX('Market Data'!$AC$5:$AC$66,INDEX('Market Data'!$J$5:$J$528,$T94)-4)),N(INDEX('Market Data'!$AC$5:$AC$66,INDEX('Market Data'!$J$5:$J$528,$T94)-4))&gt;0),INDEX('Market Data'!$AC$5:$AC$66,INDEX('Market Data'!$J$5:$J$528,$T94)-4),"unavailable"))))</f>
        <v/>
      </c>
      <c r="M94" s="11">
        <f>IF($T94=0,"",IF(INDEX('Market Data'!$J$5:$J$528,$T94)=0,"n/a",IF(IF(INDEX('Market Data'!$J$5:$J$528,$T94)=0,0,IF(LEFT(INDEX('Market Data'!$AS$5:$AS$66,INDEX('Market Data'!$J$5:$J$528,$T94)-4),11)="First-month",1,0))=1,"class review",IF($I94="Bloomberg",IF(AND(ISNUMBER(INDEX('Market Data'!$AH$5:$AH$66,INDEX('Market Data'!$J$5:$J$528,$T94)-4)),N(INDEX('Market Data'!$AH$5:$AH$66,INDEX('Market Data'!$J$5:$J$528,$T94)-4))&gt;0,ISNUMBER('Market Data'!$B$1),N('Market Data'!$B$1)&gt;0),INDEX('Market Data'!$AH$5:$AH$66,INDEX('Market Data'!$J$5:$J$528,$T94)-4)*'Market Data'!$B$1/$E94-1,"pending A/FX"),IF(AND($I94="Snapshot",$Q94="Snapshot",ISNUMBER($E94),$G94=INDEX('Market Data'!$AE$5:$AE$66,INDEX('Market Data'!$J$5:$J$528,$T94)-4)),IFERROR(INDEX('Market Data'!$AC$5:$AC$66,INDEX('Market Data'!$J$5:$J$528,$T94)-4)*INDEX('Market Data'!$AD$5:$AD$66,INDEX('Market Data'!$J$5:$J$528,$T94)-4)/$E94-1,"unavailable"),IF($I94="Unavailable","unavailable","date mismatch"))))))</f>
        <v/>
      </c>
      <c r="N94" s="11">
        <f>IF($T94=0,"",IFERROR(IF(AND(N(INDEX('Market Data'!$F$5:$F$528,$T94))&gt;0,ISNUMBER(INDEX('Market Data'!$T$5:$T$528,$T94))),$E94*INDEX('Market Data'!$T$5:$T$528,$T94)/INDEX('Market Data'!$F$5:$F$528,$T94)-1,"unavailable"),"unavailable"))</f>
        <v/>
      </c>
      <c r="O94" s="9">
        <f>IF($T94=0,"",IF(IF(INDEX('Market Data'!$J$5:$J$528,$T94)=0,0,IF(LEFT(INDEX('Market Data'!$AS$5:$AS$66,INDEX('Market Data'!$J$5:$J$528,$T94)-4),11)="First-month",1,0))=1,"Class ratio review",IF($I94="Bloomberg",IF(ISNUMBER($G94),IF($G94&lt;TODAY(),"Older quote","See quote time"),"Date unavailable"),IF($I94="Snapshot",IF($G94&lt;DATEVALUE("2026-10-02"),"Older snapshot","Dated close"),"No valid quote"))))</f>
        <v/>
      </c>
      <c r="P94" s="14">
        <f>IF($T94=0,"",IF(INDEX('Market Data'!$J$5:$J$528,$T94)=0,"n/a",IF($Q94="Bloomberg",IF(AND(ISNUMBER(INDEX('Market Data'!$AK$5:$AK$66,INDEX('Market Data'!$J$5:$J$528,$T94)-4)),N(INDEX('Market Data'!$AK$5:$AK$66,INDEX('Market Data'!$J$5:$J$528,$T94)-4))&gt;0),INDEX('Market Data'!$AK$5:$AK$66,INDEX('Market Data'!$J$5:$J$528,$T94)-4),"date unavailable"),IF($Q94="Snapshot",IF(AND(ISNUMBER(INDEX('Market Data'!$AF$5:$AF$66,INDEX('Market Data'!$J$5:$J$528,$T94)-4)),N(INDEX('Market Data'!$AF$5:$AF$66,INDEX('Market Data'!$J$5:$J$528,$T94)-4))&gt;0),INDEX('Market Data'!$AF$5:$AF$66,INDEX('Market Data'!$J$5:$J$528,$T94)-4),"date unavailable"),"date unavailable"))))</f>
        <v/>
      </c>
      <c r="Q94" s="15">
        <f>IF($T94=0,"",IF(INDEX('Market Data'!$J$5:$J$528,$T94)=0,"n/a",IF(AND($M$5&lt;&gt;"Snapshot",ISNUMBER(INDEX('Market Data'!$AH$5:$AH$66,INDEX('Market Data'!$J$5:$J$528,$T94)-4)),N(INDEX('Market Data'!$AH$5:$AH$66,INDEX('Market Data'!$J$5:$J$528,$T94)-4))&gt;0),"Bloomberg",IF(AND($M$5&lt;&gt;"Bloomberg",ISNUMBER(INDEX('Market Data'!$AC$5:$AC$66,INDEX('Market Data'!$J$5:$J$528,$T94)-4)),N(INDEX('Market Data'!$AC$5:$AC$66,INDEX('Market Data'!$J$5:$J$528,$T94)-4))&gt;0),"Snapshot","Unavailable"))))</f>
        <v/>
      </c>
      <c r="T94">
        <f>IFERROR(MATCH(86,'Market Data'!$S$5:$S$528,0),0)</f>
        <v/>
      </c>
    </row>
    <row r="95" ht="34" customHeight="1">
      <c r="A95" s="8">
        <f>IF($T95=0,"",IF(INDEX('Market Data'!$A$5:$A$528,$T95)="","",INDEX('Market Data'!$A$5:$A$528,$T95)))</f>
        <v/>
      </c>
      <c r="B95" s="9">
        <f>IF($T95=0,"",IF(INDEX('Market Data'!$B$5:$B$528,$T95)="","",INDEX('Market Data'!$B$5:$B$528,$T95)))</f>
        <v/>
      </c>
      <c r="C95" s="9">
        <f>IF($T95=0,"",IF(INDEX('Market Data'!$C$5:$C$528,$T95)="","",INDEX('Market Data'!$C$5:$C$528,$T95)))</f>
        <v/>
      </c>
      <c r="D95" s="9">
        <f>IF($T95=0,"",IF(INDEX('Market Data'!$D$5:$D$528,$T95)="","",INDEX('Market Data'!$D$5:$D$528,$T95)))</f>
        <v/>
      </c>
      <c r="E95" s="10">
        <f>IF($T95=0,"",INDEX('Market Data'!$O$5:$O$528,$T95))</f>
        <v/>
      </c>
      <c r="F95" s="11">
        <f>IF($T95=0,"",IF(AND($I95="Bloomberg",ISNUMBER(INDEX('Market Data'!$L$5:$L$528,$T95))),INDEX('Market Data'!$L$5:$L$528,$T95),"unavailable"))</f>
        <v/>
      </c>
      <c r="G95" s="12">
        <f>IF($T95=0,"",IF($I95="Bloomberg",IF(AND(ISNUMBER(INDEX('Market Data'!$M$5:$M$528,$T95)),N(INDEX('Market Data'!$M$5:$M$528,$T95))&gt;0),INDEX('Market Data'!$M$5:$M$528,$T95),"date unavailable"),IF($I95="Snapshot",IF(AND(ISNUMBER(INDEX('Market Data'!$H$5:$H$528,$T95)),N(INDEX('Market Data'!$H$5:$H$528,$T95))&gt;0),INDEX('Market Data'!$H$5:$H$528,$T95),"date unavailable"),"date unavailable")))</f>
        <v/>
      </c>
      <c r="H95" s="9">
        <f>IF($T95=0,"",IF($I95="Bloomberg",IF(INDEX('Market Data'!$N$5:$N$528,$T95)="","time unavailable",INDEX('Market Data'!$N$5:$N$528,$T95)),""))</f>
        <v/>
      </c>
      <c r="I95" s="9">
        <f>IF($T95=0,"",INDEX('Market Data'!$P$5:$P$528,$T95))</f>
        <v/>
      </c>
      <c r="J95" s="13">
        <f>IF($T95=0,"",IF(INDEX('Market Data'!$E$5:$E$528,$T95)="","",INDEX('Market Data'!$E$5:$E$528,$T95)))</f>
        <v/>
      </c>
      <c r="K95" s="8">
        <f>IF($T95=0,"",IF(INDEX('Market Data'!$I$5:$I$528,$T95)="","",INDEX('Market Data'!$I$5:$I$528,$T95)))</f>
        <v/>
      </c>
      <c r="L95" s="10">
        <f>IF($T95=0,"",IF(INDEX('Market Data'!$J$5:$J$528,$T95)=0,"n/a",IF(AND($M$5&lt;&gt;"Snapshot",ISNUMBER(INDEX('Market Data'!$AH$5:$AH$66,INDEX('Market Data'!$J$5:$J$528,$T95)-4)),N(INDEX('Market Data'!$AH$5:$AH$66,INDEX('Market Data'!$J$5:$J$528,$T95)-4))&gt;0),INDEX('Market Data'!$AH$5:$AH$66,INDEX('Market Data'!$J$5:$J$528,$T95)-4),IF(AND($M$5&lt;&gt;"Bloomberg",ISNUMBER(INDEX('Market Data'!$AC$5:$AC$66,INDEX('Market Data'!$J$5:$J$528,$T95)-4)),N(INDEX('Market Data'!$AC$5:$AC$66,INDEX('Market Data'!$J$5:$J$528,$T95)-4))&gt;0),INDEX('Market Data'!$AC$5:$AC$66,INDEX('Market Data'!$J$5:$J$528,$T95)-4),"unavailable"))))</f>
        <v/>
      </c>
      <c r="M95" s="11">
        <f>IF($T95=0,"",IF(INDEX('Market Data'!$J$5:$J$528,$T95)=0,"n/a",IF(IF(INDEX('Market Data'!$J$5:$J$528,$T95)=0,0,IF(LEFT(INDEX('Market Data'!$AS$5:$AS$66,INDEX('Market Data'!$J$5:$J$528,$T95)-4),11)="First-month",1,0))=1,"class review",IF($I95="Bloomberg",IF(AND(ISNUMBER(INDEX('Market Data'!$AH$5:$AH$66,INDEX('Market Data'!$J$5:$J$528,$T95)-4)),N(INDEX('Market Data'!$AH$5:$AH$66,INDEX('Market Data'!$J$5:$J$528,$T95)-4))&gt;0,ISNUMBER('Market Data'!$B$1),N('Market Data'!$B$1)&gt;0),INDEX('Market Data'!$AH$5:$AH$66,INDEX('Market Data'!$J$5:$J$528,$T95)-4)*'Market Data'!$B$1/$E95-1,"pending A/FX"),IF(AND($I95="Snapshot",$Q95="Snapshot",ISNUMBER($E95),$G95=INDEX('Market Data'!$AE$5:$AE$66,INDEX('Market Data'!$J$5:$J$528,$T95)-4)),IFERROR(INDEX('Market Data'!$AC$5:$AC$66,INDEX('Market Data'!$J$5:$J$528,$T95)-4)*INDEX('Market Data'!$AD$5:$AD$66,INDEX('Market Data'!$J$5:$J$528,$T95)-4)/$E95-1,"unavailable"),IF($I95="Unavailable","unavailable","date mismatch"))))))</f>
        <v/>
      </c>
      <c r="N95" s="11">
        <f>IF($T95=0,"",IFERROR(IF(AND(N(INDEX('Market Data'!$F$5:$F$528,$T95))&gt;0,ISNUMBER(INDEX('Market Data'!$T$5:$T$528,$T95))),$E95*INDEX('Market Data'!$T$5:$T$528,$T95)/INDEX('Market Data'!$F$5:$F$528,$T95)-1,"unavailable"),"unavailable"))</f>
        <v/>
      </c>
      <c r="O95" s="9">
        <f>IF($T95=0,"",IF(IF(INDEX('Market Data'!$J$5:$J$528,$T95)=0,0,IF(LEFT(INDEX('Market Data'!$AS$5:$AS$66,INDEX('Market Data'!$J$5:$J$528,$T95)-4),11)="First-month",1,0))=1,"Class ratio review",IF($I95="Bloomberg",IF(ISNUMBER($G95),IF($G95&lt;TODAY(),"Older quote","See quote time"),"Date unavailable"),IF($I95="Snapshot",IF($G95&lt;DATEVALUE("2026-10-02"),"Older snapshot","Dated close"),"No valid quote"))))</f>
        <v/>
      </c>
      <c r="P95" s="14">
        <f>IF($T95=0,"",IF(INDEX('Market Data'!$J$5:$J$528,$T95)=0,"n/a",IF($Q95="Bloomberg",IF(AND(ISNUMBER(INDEX('Market Data'!$AK$5:$AK$66,INDEX('Market Data'!$J$5:$J$528,$T95)-4)),N(INDEX('Market Data'!$AK$5:$AK$66,INDEX('Market Data'!$J$5:$J$528,$T95)-4))&gt;0),INDEX('Market Data'!$AK$5:$AK$66,INDEX('Market Data'!$J$5:$J$528,$T95)-4),"date unavailable"),IF($Q95="Snapshot",IF(AND(ISNUMBER(INDEX('Market Data'!$AF$5:$AF$66,INDEX('Market Data'!$J$5:$J$528,$T95)-4)),N(INDEX('Market Data'!$AF$5:$AF$66,INDEX('Market Data'!$J$5:$J$528,$T95)-4))&gt;0),INDEX('Market Data'!$AF$5:$AF$66,INDEX('Market Data'!$J$5:$J$528,$T95)-4),"date unavailable"),"date unavailable"))))</f>
        <v/>
      </c>
      <c r="Q95" s="15">
        <f>IF($T95=0,"",IF(INDEX('Market Data'!$J$5:$J$528,$T95)=0,"n/a",IF(AND($M$5&lt;&gt;"Snapshot",ISNUMBER(INDEX('Market Data'!$AH$5:$AH$66,INDEX('Market Data'!$J$5:$J$528,$T95)-4)),N(INDEX('Market Data'!$AH$5:$AH$66,INDEX('Market Data'!$J$5:$J$528,$T95)-4))&gt;0),"Bloomberg",IF(AND($M$5&lt;&gt;"Bloomberg",ISNUMBER(INDEX('Market Data'!$AC$5:$AC$66,INDEX('Market Data'!$J$5:$J$528,$T95)-4)),N(INDEX('Market Data'!$AC$5:$AC$66,INDEX('Market Data'!$J$5:$J$528,$T95)-4))&gt;0),"Snapshot","Unavailable"))))</f>
        <v/>
      </c>
      <c r="T95">
        <f>IFERROR(MATCH(87,'Market Data'!$S$5:$S$528,0),0)</f>
        <v/>
      </c>
    </row>
    <row r="96" ht="34" customHeight="1">
      <c r="A96" s="8">
        <f>IF($T96=0,"",IF(INDEX('Market Data'!$A$5:$A$528,$T96)="","",INDEX('Market Data'!$A$5:$A$528,$T96)))</f>
        <v/>
      </c>
      <c r="B96" s="9">
        <f>IF($T96=0,"",IF(INDEX('Market Data'!$B$5:$B$528,$T96)="","",INDEX('Market Data'!$B$5:$B$528,$T96)))</f>
        <v/>
      </c>
      <c r="C96" s="9">
        <f>IF($T96=0,"",IF(INDEX('Market Data'!$C$5:$C$528,$T96)="","",INDEX('Market Data'!$C$5:$C$528,$T96)))</f>
        <v/>
      </c>
      <c r="D96" s="9">
        <f>IF($T96=0,"",IF(INDEX('Market Data'!$D$5:$D$528,$T96)="","",INDEX('Market Data'!$D$5:$D$528,$T96)))</f>
        <v/>
      </c>
      <c r="E96" s="10">
        <f>IF($T96=0,"",INDEX('Market Data'!$O$5:$O$528,$T96))</f>
        <v/>
      </c>
      <c r="F96" s="11">
        <f>IF($T96=0,"",IF(AND($I96="Bloomberg",ISNUMBER(INDEX('Market Data'!$L$5:$L$528,$T96))),INDEX('Market Data'!$L$5:$L$528,$T96),"unavailable"))</f>
        <v/>
      </c>
      <c r="G96" s="12">
        <f>IF($T96=0,"",IF($I96="Bloomberg",IF(AND(ISNUMBER(INDEX('Market Data'!$M$5:$M$528,$T96)),N(INDEX('Market Data'!$M$5:$M$528,$T96))&gt;0),INDEX('Market Data'!$M$5:$M$528,$T96),"date unavailable"),IF($I96="Snapshot",IF(AND(ISNUMBER(INDEX('Market Data'!$H$5:$H$528,$T96)),N(INDEX('Market Data'!$H$5:$H$528,$T96))&gt;0),INDEX('Market Data'!$H$5:$H$528,$T96),"date unavailable"),"date unavailable")))</f>
        <v/>
      </c>
      <c r="H96" s="9">
        <f>IF($T96=0,"",IF($I96="Bloomberg",IF(INDEX('Market Data'!$N$5:$N$528,$T96)="","time unavailable",INDEX('Market Data'!$N$5:$N$528,$T96)),""))</f>
        <v/>
      </c>
      <c r="I96" s="9">
        <f>IF($T96=0,"",INDEX('Market Data'!$P$5:$P$528,$T96))</f>
        <v/>
      </c>
      <c r="J96" s="13">
        <f>IF($T96=0,"",IF(INDEX('Market Data'!$E$5:$E$528,$T96)="","",INDEX('Market Data'!$E$5:$E$528,$T96)))</f>
        <v/>
      </c>
      <c r="K96" s="8">
        <f>IF($T96=0,"",IF(INDEX('Market Data'!$I$5:$I$528,$T96)="","",INDEX('Market Data'!$I$5:$I$528,$T96)))</f>
        <v/>
      </c>
      <c r="L96" s="10">
        <f>IF($T96=0,"",IF(INDEX('Market Data'!$J$5:$J$528,$T96)=0,"n/a",IF(AND($M$5&lt;&gt;"Snapshot",ISNUMBER(INDEX('Market Data'!$AH$5:$AH$66,INDEX('Market Data'!$J$5:$J$528,$T96)-4)),N(INDEX('Market Data'!$AH$5:$AH$66,INDEX('Market Data'!$J$5:$J$528,$T96)-4))&gt;0),INDEX('Market Data'!$AH$5:$AH$66,INDEX('Market Data'!$J$5:$J$528,$T96)-4),IF(AND($M$5&lt;&gt;"Bloomberg",ISNUMBER(INDEX('Market Data'!$AC$5:$AC$66,INDEX('Market Data'!$J$5:$J$528,$T96)-4)),N(INDEX('Market Data'!$AC$5:$AC$66,INDEX('Market Data'!$J$5:$J$528,$T96)-4))&gt;0),INDEX('Market Data'!$AC$5:$AC$66,INDEX('Market Data'!$J$5:$J$528,$T96)-4),"unavailable"))))</f>
        <v/>
      </c>
      <c r="M96" s="11">
        <f>IF($T96=0,"",IF(INDEX('Market Data'!$J$5:$J$528,$T96)=0,"n/a",IF(IF(INDEX('Market Data'!$J$5:$J$528,$T96)=0,0,IF(LEFT(INDEX('Market Data'!$AS$5:$AS$66,INDEX('Market Data'!$J$5:$J$528,$T96)-4),11)="First-month",1,0))=1,"class review",IF($I96="Bloomberg",IF(AND(ISNUMBER(INDEX('Market Data'!$AH$5:$AH$66,INDEX('Market Data'!$J$5:$J$528,$T96)-4)),N(INDEX('Market Data'!$AH$5:$AH$66,INDEX('Market Data'!$J$5:$J$528,$T96)-4))&gt;0,ISNUMBER('Market Data'!$B$1),N('Market Data'!$B$1)&gt;0),INDEX('Market Data'!$AH$5:$AH$66,INDEX('Market Data'!$J$5:$J$528,$T96)-4)*'Market Data'!$B$1/$E96-1,"pending A/FX"),IF(AND($I96="Snapshot",$Q96="Snapshot",ISNUMBER($E96),$G96=INDEX('Market Data'!$AE$5:$AE$66,INDEX('Market Data'!$J$5:$J$528,$T96)-4)),IFERROR(INDEX('Market Data'!$AC$5:$AC$66,INDEX('Market Data'!$J$5:$J$528,$T96)-4)*INDEX('Market Data'!$AD$5:$AD$66,INDEX('Market Data'!$J$5:$J$528,$T96)-4)/$E96-1,"unavailable"),IF($I96="Unavailable","unavailable","date mismatch"))))))</f>
        <v/>
      </c>
      <c r="N96" s="11">
        <f>IF($T96=0,"",IFERROR(IF(AND(N(INDEX('Market Data'!$F$5:$F$528,$T96))&gt;0,ISNUMBER(INDEX('Market Data'!$T$5:$T$528,$T96))),$E96*INDEX('Market Data'!$T$5:$T$528,$T96)/INDEX('Market Data'!$F$5:$F$528,$T96)-1,"unavailable"),"unavailable"))</f>
        <v/>
      </c>
      <c r="O96" s="9">
        <f>IF($T96=0,"",IF(IF(INDEX('Market Data'!$J$5:$J$528,$T96)=0,0,IF(LEFT(INDEX('Market Data'!$AS$5:$AS$66,INDEX('Market Data'!$J$5:$J$528,$T96)-4),11)="First-month",1,0))=1,"Class ratio review",IF($I96="Bloomberg",IF(ISNUMBER($G96),IF($G96&lt;TODAY(),"Older quote","See quote time"),"Date unavailable"),IF($I96="Snapshot",IF($G96&lt;DATEVALUE("2026-10-02"),"Older snapshot","Dated close"),"No valid quote"))))</f>
        <v/>
      </c>
      <c r="P96" s="14">
        <f>IF($T96=0,"",IF(INDEX('Market Data'!$J$5:$J$528,$T96)=0,"n/a",IF($Q96="Bloomberg",IF(AND(ISNUMBER(INDEX('Market Data'!$AK$5:$AK$66,INDEX('Market Data'!$J$5:$J$528,$T96)-4)),N(INDEX('Market Data'!$AK$5:$AK$66,INDEX('Market Data'!$J$5:$J$528,$T96)-4))&gt;0),INDEX('Market Data'!$AK$5:$AK$66,INDEX('Market Data'!$J$5:$J$528,$T96)-4),"date unavailable"),IF($Q96="Snapshot",IF(AND(ISNUMBER(INDEX('Market Data'!$AF$5:$AF$66,INDEX('Market Data'!$J$5:$J$528,$T96)-4)),N(INDEX('Market Data'!$AF$5:$AF$66,INDEX('Market Data'!$J$5:$J$528,$T96)-4))&gt;0),INDEX('Market Data'!$AF$5:$AF$66,INDEX('Market Data'!$J$5:$J$528,$T96)-4),"date unavailable"),"date unavailable"))))</f>
        <v/>
      </c>
      <c r="Q96" s="15">
        <f>IF($T96=0,"",IF(INDEX('Market Data'!$J$5:$J$528,$T96)=0,"n/a",IF(AND($M$5&lt;&gt;"Snapshot",ISNUMBER(INDEX('Market Data'!$AH$5:$AH$66,INDEX('Market Data'!$J$5:$J$528,$T96)-4)),N(INDEX('Market Data'!$AH$5:$AH$66,INDEX('Market Data'!$J$5:$J$528,$T96)-4))&gt;0),"Bloomberg",IF(AND($M$5&lt;&gt;"Bloomberg",ISNUMBER(INDEX('Market Data'!$AC$5:$AC$66,INDEX('Market Data'!$J$5:$J$528,$T96)-4)),N(INDEX('Market Data'!$AC$5:$AC$66,INDEX('Market Data'!$J$5:$J$528,$T96)-4))&gt;0),"Snapshot","Unavailable"))))</f>
        <v/>
      </c>
      <c r="T96">
        <f>IFERROR(MATCH(88,'Market Data'!$S$5:$S$528,0),0)</f>
        <v/>
      </c>
    </row>
    <row r="97" ht="34" customHeight="1">
      <c r="A97" s="8">
        <f>IF($T97=0,"",IF(INDEX('Market Data'!$A$5:$A$528,$T97)="","",INDEX('Market Data'!$A$5:$A$528,$T97)))</f>
        <v/>
      </c>
      <c r="B97" s="9">
        <f>IF($T97=0,"",IF(INDEX('Market Data'!$B$5:$B$528,$T97)="","",INDEX('Market Data'!$B$5:$B$528,$T97)))</f>
        <v/>
      </c>
      <c r="C97" s="9">
        <f>IF($T97=0,"",IF(INDEX('Market Data'!$C$5:$C$528,$T97)="","",INDEX('Market Data'!$C$5:$C$528,$T97)))</f>
        <v/>
      </c>
      <c r="D97" s="9">
        <f>IF($T97=0,"",IF(INDEX('Market Data'!$D$5:$D$528,$T97)="","",INDEX('Market Data'!$D$5:$D$528,$T97)))</f>
        <v/>
      </c>
      <c r="E97" s="10">
        <f>IF($T97=0,"",INDEX('Market Data'!$O$5:$O$528,$T97))</f>
        <v/>
      </c>
      <c r="F97" s="11">
        <f>IF($T97=0,"",IF(AND($I97="Bloomberg",ISNUMBER(INDEX('Market Data'!$L$5:$L$528,$T97))),INDEX('Market Data'!$L$5:$L$528,$T97),"unavailable"))</f>
        <v/>
      </c>
      <c r="G97" s="12">
        <f>IF($T97=0,"",IF($I97="Bloomberg",IF(AND(ISNUMBER(INDEX('Market Data'!$M$5:$M$528,$T97)),N(INDEX('Market Data'!$M$5:$M$528,$T97))&gt;0),INDEX('Market Data'!$M$5:$M$528,$T97),"date unavailable"),IF($I97="Snapshot",IF(AND(ISNUMBER(INDEX('Market Data'!$H$5:$H$528,$T97)),N(INDEX('Market Data'!$H$5:$H$528,$T97))&gt;0),INDEX('Market Data'!$H$5:$H$528,$T97),"date unavailable"),"date unavailable")))</f>
        <v/>
      </c>
      <c r="H97" s="9">
        <f>IF($T97=0,"",IF($I97="Bloomberg",IF(INDEX('Market Data'!$N$5:$N$528,$T97)="","time unavailable",INDEX('Market Data'!$N$5:$N$528,$T97)),""))</f>
        <v/>
      </c>
      <c r="I97" s="9">
        <f>IF($T97=0,"",INDEX('Market Data'!$P$5:$P$528,$T97))</f>
        <v/>
      </c>
      <c r="J97" s="13">
        <f>IF($T97=0,"",IF(INDEX('Market Data'!$E$5:$E$528,$T97)="","",INDEX('Market Data'!$E$5:$E$528,$T97)))</f>
        <v/>
      </c>
      <c r="K97" s="8">
        <f>IF($T97=0,"",IF(INDEX('Market Data'!$I$5:$I$528,$T97)="","",INDEX('Market Data'!$I$5:$I$528,$T97)))</f>
        <v/>
      </c>
      <c r="L97" s="10">
        <f>IF($T97=0,"",IF(INDEX('Market Data'!$J$5:$J$528,$T97)=0,"n/a",IF(AND($M$5&lt;&gt;"Snapshot",ISNUMBER(INDEX('Market Data'!$AH$5:$AH$66,INDEX('Market Data'!$J$5:$J$528,$T97)-4)),N(INDEX('Market Data'!$AH$5:$AH$66,INDEX('Market Data'!$J$5:$J$528,$T97)-4))&gt;0),INDEX('Market Data'!$AH$5:$AH$66,INDEX('Market Data'!$J$5:$J$528,$T97)-4),IF(AND($M$5&lt;&gt;"Bloomberg",ISNUMBER(INDEX('Market Data'!$AC$5:$AC$66,INDEX('Market Data'!$J$5:$J$528,$T97)-4)),N(INDEX('Market Data'!$AC$5:$AC$66,INDEX('Market Data'!$J$5:$J$528,$T97)-4))&gt;0),INDEX('Market Data'!$AC$5:$AC$66,INDEX('Market Data'!$J$5:$J$528,$T97)-4),"unavailable"))))</f>
        <v/>
      </c>
      <c r="M97" s="11">
        <f>IF($T97=0,"",IF(INDEX('Market Data'!$J$5:$J$528,$T97)=0,"n/a",IF(IF(INDEX('Market Data'!$J$5:$J$528,$T97)=0,0,IF(LEFT(INDEX('Market Data'!$AS$5:$AS$66,INDEX('Market Data'!$J$5:$J$528,$T97)-4),11)="First-month",1,0))=1,"class review",IF($I97="Bloomberg",IF(AND(ISNUMBER(INDEX('Market Data'!$AH$5:$AH$66,INDEX('Market Data'!$J$5:$J$528,$T97)-4)),N(INDEX('Market Data'!$AH$5:$AH$66,INDEX('Market Data'!$J$5:$J$528,$T97)-4))&gt;0,ISNUMBER('Market Data'!$B$1),N('Market Data'!$B$1)&gt;0),INDEX('Market Data'!$AH$5:$AH$66,INDEX('Market Data'!$J$5:$J$528,$T97)-4)*'Market Data'!$B$1/$E97-1,"pending A/FX"),IF(AND($I97="Snapshot",$Q97="Snapshot",ISNUMBER($E97),$G97=INDEX('Market Data'!$AE$5:$AE$66,INDEX('Market Data'!$J$5:$J$528,$T97)-4)),IFERROR(INDEX('Market Data'!$AC$5:$AC$66,INDEX('Market Data'!$J$5:$J$528,$T97)-4)*INDEX('Market Data'!$AD$5:$AD$66,INDEX('Market Data'!$J$5:$J$528,$T97)-4)/$E97-1,"unavailable"),IF($I97="Unavailable","unavailable","date mismatch"))))))</f>
        <v/>
      </c>
      <c r="N97" s="11">
        <f>IF($T97=0,"",IFERROR(IF(AND(N(INDEX('Market Data'!$F$5:$F$528,$T97))&gt;0,ISNUMBER(INDEX('Market Data'!$T$5:$T$528,$T97))),$E97*INDEX('Market Data'!$T$5:$T$528,$T97)/INDEX('Market Data'!$F$5:$F$528,$T97)-1,"unavailable"),"unavailable"))</f>
        <v/>
      </c>
      <c r="O97" s="9">
        <f>IF($T97=0,"",IF(IF(INDEX('Market Data'!$J$5:$J$528,$T97)=0,0,IF(LEFT(INDEX('Market Data'!$AS$5:$AS$66,INDEX('Market Data'!$J$5:$J$528,$T97)-4),11)="First-month",1,0))=1,"Class ratio review",IF($I97="Bloomberg",IF(ISNUMBER($G97),IF($G97&lt;TODAY(),"Older quote","See quote time"),"Date unavailable"),IF($I97="Snapshot",IF($G97&lt;DATEVALUE("2026-10-02"),"Older snapshot","Dated close"),"No valid quote"))))</f>
        <v/>
      </c>
      <c r="P97" s="14">
        <f>IF($T97=0,"",IF(INDEX('Market Data'!$J$5:$J$528,$T97)=0,"n/a",IF($Q97="Bloomberg",IF(AND(ISNUMBER(INDEX('Market Data'!$AK$5:$AK$66,INDEX('Market Data'!$J$5:$J$528,$T97)-4)),N(INDEX('Market Data'!$AK$5:$AK$66,INDEX('Market Data'!$J$5:$J$528,$T97)-4))&gt;0),INDEX('Market Data'!$AK$5:$AK$66,INDEX('Market Data'!$J$5:$J$528,$T97)-4),"date unavailable"),IF($Q97="Snapshot",IF(AND(ISNUMBER(INDEX('Market Data'!$AF$5:$AF$66,INDEX('Market Data'!$J$5:$J$528,$T97)-4)),N(INDEX('Market Data'!$AF$5:$AF$66,INDEX('Market Data'!$J$5:$J$528,$T97)-4))&gt;0),INDEX('Market Data'!$AF$5:$AF$66,INDEX('Market Data'!$J$5:$J$528,$T97)-4),"date unavailable"),"date unavailable"))))</f>
        <v/>
      </c>
      <c r="Q97" s="15">
        <f>IF($T97=0,"",IF(INDEX('Market Data'!$J$5:$J$528,$T97)=0,"n/a",IF(AND($M$5&lt;&gt;"Snapshot",ISNUMBER(INDEX('Market Data'!$AH$5:$AH$66,INDEX('Market Data'!$J$5:$J$528,$T97)-4)),N(INDEX('Market Data'!$AH$5:$AH$66,INDEX('Market Data'!$J$5:$J$528,$T97)-4))&gt;0),"Bloomberg",IF(AND($M$5&lt;&gt;"Bloomberg",ISNUMBER(INDEX('Market Data'!$AC$5:$AC$66,INDEX('Market Data'!$J$5:$J$528,$T97)-4)),N(INDEX('Market Data'!$AC$5:$AC$66,INDEX('Market Data'!$J$5:$J$528,$T97)-4))&gt;0),"Snapshot","Unavailable"))))</f>
        <v/>
      </c>
      <c r="T97">
        <f>IFERROR(MATCH(89,'Market Data'!$S$5:$S$528,0),0)</f>
        <v/>
      </c>
    </row>
    <row r="98" ht="34" customHeight="1">
      <c r="A98" s="8">
        <f>IF($T98=0,"",IF(INDEX('Market Data'!$A$5:$A$528,$T98)="","",INDEX('Market Data'!$A$5:$A$528,$T98)))</f>
        <v/>
      </c>
      <c r="B98" s="9">
        <f>IF($T98=0,"",IF(INDEX('Market Data'!$B$5:$B$528,$T98)="","",INDEX('Market Data'!$B$5:$B$528,$T98)))</f>
        <v/>
      </c>
      <c r="C98" s="9">
        <f>IF($T98=0,"",IF(INDEX('Market Data'!$C$5:$C$528,$T98)="","",INDEX('Market Data'!$C$5:$C$528,$T98)))</f>
        <v/>
      </c>
      <c r="D98" s="9">
        <f>IF($T98=0,"",IF(INDEX('Market Data'!$D$5:$D$528,$T98)="","",INDEX('Market Data'!$D$5:$D$528,$T98)))</f>
        <v/>
      </c>
      <c r="E98" s="10">
        <f>IF($T98=0,"",INDEX('Market Data'!$O$5:$O$528,$T98))</f>
        <v/>
      </c>
      <c r="F98" s="11">
        <f>IF($T98=0,"",IF(AND($I98="Bloomberg",ISNUMBER(INDEX('Market Data'!$L$5:$L$528,$T98))),INDEX('Market Data'!$L$5:$L$528,$T98),"unavailable"))</f>
        <v/>
      </c>
      <c r="G98" s="12">
        <f>IF($T98=0,"",IF($I98="Bloomberg",IF(AND(ISNUMBER(INDEX('Market Data'!$M$5:$M$528,$T98)),N(INDEX('Market Data'!$M$5:$M$528,$T98))&gt;0),INDEX('Market Data'!$M$5:$M$528,$T98),"date unavailable"),IF($I98="Snapshot",IF(AND(ISNUMBER(INDEX('Market Data'!$H$5:$H$528,$T98)),N(INDEX('Market Data'!$H$5:$H$528,$T98))&gt;0),INDEX('Market Data'!$H$5:$H$528,$T98),"date unavailable"),"date unavailable")))</f>
        <v/>
      </c>
      <c r="H98" s="9">
        <f>IF($T98=0,"",IF($I98="Bloomberg",IF(INDEX('Market Data'!$N$5:$N$528,$T98)="","time unavailable",INDEX('Market Data'!$N$5:$N$528,$T98)),""))</f>
        <v/>
      </c>
      <c r="I98" s="9">
        <f>IF($T98=0,"",INDEX('Market Data'!$P$5:$P$528,$T98))</f>
        <v/>
      </c>
      <c r="J98" s="13">
        <f>IF($T98=0,"",IF(INDEX('Market Data'!$E$5:$E$528,$T98)="","",INDEX('Market Data'!$E$5:$E$528,$T98)))</f>
        <v/>
      </c>
      <c r="K98" s="8">
        <f>IF($T98=0,"",IF(INDEX('Market Data'!$I$5:$I$528,$T98)="","",INDEX('Market Data'!$I$5:$I$528,$T98)))</f>
        <v/>
      </c>
      <c r="L98" s="10">
        <f>IF($T98=0,"",IF(INDEX('Market Data'!$J$5:$J$528,$T98)=0,"n/a",IF(AND($M$5&lt;&gt;"Snapshot",ISNUMBER(INDEX('Market Data'!$AH$5:$AH$66,INDEX('Market Data'!$J$5:$J$528,$T98)-4)),N(INDEX('Market Data'!$AH$5:$AH$66,INDEX('Market Data'!$J$5:$J$528,$T98)-4))&gt;0),INDEX('Market Data'!$AH$5:$AH$66,INDEX('Market Data'!$J$5:$J$528,$T98)-4),IF(AND($M$5&lt;&gt;"Bloomberg",ISNUMBER(INDEX('Market Data'!$AC$5:$AC$66,INDEX('Market Data'!$J$5:$J$528,$T98)-4)),N(INDEX('Market Data'!$AC$5:$AC$66,INDEX('Market Data'!$J$5:$J$528,$T98)-4))&gt;0),INDEX('Market Data'!$AC$5:$AC$66,INDEX('Market Data'!$J$5:$J$528,$T98)-4),"unavailable"))))</f>
        <v/>
      </c>
      <c r="M98" s="11">
        <f>IF($T98=0,"",IF(INDEX('Market Data'!$J$5:$J$528,$T98)=0,"n/a",IF(IF(INDEX('Market Data'!$J$5:$J$528,$T98)=0,0,IF(LEFT(INDEX('Market Data'!$AS$5:$AS$66,INDEX('Market Data'!$J$5:$J$528,$T98)-4),11)="First-month",1,0))=1,"class review",IF($I98="Bloomberg",IF(AND(ISNUMBER(INDEX('Market Data'!$AH$5:$AH$66,INDEX('Market Data'!$J$5:$J$528,$T98)-4)),N(INDEX('Market Data'!$AH$5:$AH$66,INDEX('Market Data'!$J$5:$J$528,$T98)-4))&gt;0,ISNUMBER('Market Data'!$B$1),N('Market Data'!$B$1)&gt;0),INDEX('Market Data'!$AH$5:$AH$66,INDEX('Market Data'!$J$5:$J$528,$T98)-4)*'Market Data'!$B$1/$E98-1,"pending A/FX"),IF(AND($I98="Snapshot",$Q98="Snapshot",ISNUMBER($E98),$G98=INDEX('Market Data'!$AE$5:$AE$66,INDEX('Market Data'!$J$5:$J$528,$T98)-4)),IFERROR(INDEX('Market Data'!$AC$5:$AC$66,INDEX('Market Data'!$J$5:$J$528,$T98)-4)*INDEX('Market Data'!$AD$5:$AD$66,INDEX('Market Data'!$J$5:$J$528,$T98)-4)/$E98-1,"unavailable"),IF($I98="Unavailable","unavailable","date mismatch"))))))</f>
        <v/>
      </c>
      <c r="N98" s="11">
        <f>IF($T98=0,"",IFERROR(IF(AND(N(INDEX('Market Data'!$F$5:$F$528,$T98))&gt;0,ISNUMBER(INDEX('Market Data'!$T$5:$T$528,$T98))),$E98*INDEX('Market Data'!$T$5:$T$528,$T98)/INDEX('Market Data'!$F$5:$F$528,$T98)-1,"unavailable"),"unavailable"))</f>
        <v/>
      </c>
      <c r="O98" s="9">
        <f>IF($T98=0,"",IF(IF(INDEX('Market Data'!$J$5:$J$528,$T98)=0,0,IF(LEFT(INDEX('Market Data'!$AS$5:$AS$66,INDEX('Market Data'!$J$5:$J$528,$T98)-4),11)="First-month",1,0))=1,"Class ratio review",IF($I98="Bloomberg",IF(ISNUMBER($G98),IF($G98&lt;TODAY(),"Older quote","See quote time"),"Date unavailable"),IF($I98="Snapshot",IF($G98&lt;DATEVALUE("2026-10-02"),"Older snapshot","Dated close"),"No valid quote"))))</f>
        <v/>
      </c>
      <c r="P98" s="14">
        <f>IF($T98=0,"",IF(INDEX('Market Data'!$J$5:$J$528,$T98)=0,"n/a",IF($Q98="Bloomberg",IF(AND(ISNUMBER(INDEX('Market Data'!$AK$5:$AK$66,INDEX('Market Data'!$J$5:$J$528,$T98)-4)),N(INDEX('Market Data'!$AK$5:$AK$66,INDEX('Market Data'!$J$5:$J$528,$T98)-4))&gt;0),INDEX('Market Data'!$AK$5:$AK$66,INDEX('Market Data'!$J$5:$J$528,$T98)-4),"date unavailable"),IF($Q98="Snapshot",IF(AND(ISNUMBER(INDEX('Market Data'!$AF$5:$AF$66,INDEX('Market Data'!$J$5:$J$528,$T98)-4)),N(INDEX('Market Data'!$AF$5:$AF$66,INDEX('Market Data'!$J$5:$J$528,$T98)-4))&gt;0),INDEX('Market Data'!$AF$5:$AF$66,INDEX('Market Data'!$J$5:$J$528,$T98)-4),"date unavailable"),"date unavailable"))))</f>
        <v/>
      </c>
      <c r="Q98" s="15">
        <f>IF($T98=0,"",IF(INDEX('Market Data'!$J$5:$J$528,$T98)=0,"n/a",IF(AND($M$5&lt;&gt;"Snapshot",ISNUMBER(INDEX('Market Data'!$AH$5:$AH$66,INDEX('Market Data'!$J$5:$J$528,$T98)-4)),N(INDEX('Market Data'!$AH$5:$AH$66,INDEX('Market Data'!$J$5:$J$528,$T98)-4))&gt;0),"Bloomberg",IF(AND($M$5&lt;&gt;"Bloomberg",ISNUMBER(INDEX('Market Data'!$AC$5:$AC$66,INDEX('Market Data'!$J$5:$J$528,$T98)-4)),N(INDEX('Market Data'!$AC$5:$AC$66,INDEX('Market Data'!$J$5:$J$528,$T98)-4))&gt;0),"Snapshot","Unavailable"))))</f>
        <v/>
      </c>
      <c r="T98">
        <f>IFERROR(MATCH(90,'Market Data'!$S$5:$S$528,0),0)</f>
        <v/>
      </c>
    </row>
    <row r="99" ht="34" customHeight="1">
      <c r="A99" s="8">
        <f>IF($T99=0,"",IF(INDEX('Market Data'!$A$5:$A$528,$T99)="","",INDEX('Market Data'!$A$5:$A$528,$T99)))</f>
        <v/>
      </c>
      <c r="B99" s="9">
        <f>IF($T99=0,"",IF(INDEX('Market Data'!$B$5:$B$528,$T99)="","",INDEX('Market Data'!$B$5:$B$528,$T99)))</f>
        <v/>
      </c>
      <c r="C99" s="9">
        <f>IF($T99=0,"",IF(INDEX('Market Data'!$C$5:$C$528,$T99)="","",INDEX('Market Data'!$C$5:$C$528,$T99)))</f>
        <v/>
      </c>
      <c r="D99" s="9">
        <f>IF($T99=0,"",IF(INDEX('Market Data'!$D$5:$D$528,$T99)="","",INDEX('Market Data'!$D$5:$D$528,$T99)))</f>
        <v/>
      </c>
      <c r="E99" s="10">
        <f>IF($T99=0,"",INDEX('Market Data'!$O$5:$O$528,$T99))</f>
        <v/>
      </c>
      <c r="F99" s="11">
        <f>IF($T99=0,"",IF(AND($I99="Bloomberg",ISNUMBER(INDEX('Market Data'!$L$5:$L$528,$T99))),INDEX('Market Data'!$L$5:$L$528,$T99),"unavailable"))</f>
        <v/>
      </c>
      <c r="G99" s="12">
        <f>IF($T99=0,"",IF($I99="Bloomberg",IF(AND(ISNUMBER(INDEX('Market Data'!$M$5:$M$528,$T99)),N(INDEX('Market Data'!$M$5:$M$528,$T99))&gt;0),INDEX('Market Data'!$M$5:$M$528,$T99),"date unavailable"),IF($I99="Snapshot",IF(AND(ISNUMBER(INDEX('Market Data'!$H$5:$H$528,$T99)),N(INDEX('Market Data'!$H$5:$H$528,$T99))&gt;0),INDEX('Market Data'!$H$5:$H$528,$T99),"date unavailable"),"date unavailable")))</f>
        <v/>
      </c>
      <c r="H99" s="9">
        <f>IF($T99=0,"",IF($I99="Bloomberg",IF(INDEX('Market Data'!$N$5:$N$528,$T99)="","time unavailable",INDEX('Market Data'!$N$5:$N$528,$T99)),""))</f>
        <v/>
      </c>
      <c r="I99" s="9">
        <f>IF($T99=0,"",INDEX('Market Data'!$P$5:$P$528,$T99))</f>
        <v/>
      </c>
      <c r="J99" s="13">
        <f>IF($T99=0,"",IF(INDEX('Market Data'!$E$5:$E$528,$T99)="","",INDEX('Market Data'!$E$5:$E$528,$T99)))</f>
        <v/>
      </c>
      <c r="K99" s="8">
        <f>IF($T99=0,"",IF(INDEX('Market Data'!$I$5:$I$528,$T99)="","",INDEX('Market Data'!$I$5:$I$528,$T99)))</f>
        <v/>
      </c>
      <c r="L99" s="10">
        <f>IF($T99=0,"",IF(INDEX('Market Data'!$J$5:$J$528,$T99)=0,"n/a",IF(AND($M$5&lt;&gt;"Snapshot",ISNUMBER(INDEX('Market Data'!$AH$5:$AH$66,INDEX('Market Data'!$J$5:$J$528,$T99)-4)),N(INDEX('Market Data'!$AH$5:$AH$66,INDEX('Market Data'!$J$5:$J$528,$T99)-4))&gt;0),INDEX('Market Data'!$AH$5:$AH$66,INDEX('Market Data'!$J$5:$J$528,$T99)-4),IF(AND($M$5&lt;&gt;"Bloomberg",ISNUMBER(INDEX('Market Data'!$AC$5:$AC$66,INDEX('Market Data'!$J$5:$J$528,$T99)-4)),N(INDEX('Market Data'!$AC$5:$AC$66,INDEX('Market Data'!$J$5:$J$528,$T99)-4))&gt;0),INDEX('Market Data'!$AC$5:$AC$66,INDEX('Market Data'!$J$5:$J$528,$T99)-4),"unavailable"))))</f>
        <v/>
      </c>
      <c r="M99" s="11">
        <f>IF($T99=0,"",IF(INDEX('Market Data'!$J$5:$J$528,$T99)=0,"n/a",IF(IF(INDEX('Market Data'!$J$5:$J$528,$T99)=0,0,IF(LEFT(INDEX('Market Data'!$AS$5:$AS$66,INDEX('Market Data'!$J$5:$J$528,$T99)-4),11)="First-month",1,0))=1,"class review",IF($I99="Bloomberg",IF(AND(ISNUMBER(INDEX('Market Data'!$AH$5:$AH$66,INDEX('Market Data'!$J$5:$J$528,$T99)-4)),N(INDEX('Market Data'!$AH$5:$AH$66,INDEX('Market Data'!$J$5:$J$528,$T99)-4))&gt;0,ISNUMBER('Market Data'!$B$1),N('Market Data'!$B$1)&gt;0),INDEX('Market Data'!$AH$5:$AH$66,INDEX('Market Data'!$J$5:$J$528,$T99)-4)*'Market Data'!$B$1/$E99-1,"pending A/FX"),IF(AND($I99="Snapshot",$Q99="Snapshot",ISNUMBER($E99),$G99=INDEX('Market Data'!$AE$5:$AE$66,INDEX('Market Data'!$J$5:$J$528,$T99)-4)),IFERROR(INDEX('Market Data'!$AC$5:$AC$66,INDEX('Market Data'!$J$5:$J$528,$T99)-4)*INDEX('Market Data'!$AD$5:$AD$66,INDEX('Market Data'!$J$5:$J$528,$T99)-4)/$E99-1,"unavailable"),IF($I99="Unavailable","unavailable","date mismatch"))))))</f>
        <v/>
      </c>
      <c r="N99" s="11">
        <f>IF($T99=0,"",IFERROR(IF(AND(N(INDEX('Market Data'!$F$5:$F$528,$T99))&gt;0,ISNUMBER(INDEX('Market Data'!$T$5:$T$528,$T99))),$E99*INDEX('Market Data'!$T$5:$T$528,$T99)/INDEX('Market Data'!$F$5:$F$528,$T99)-1,"unavailable"),"unavailable"))</f>
        <v/>
      </c>
      <c r="O99" s="9">
        <f>IF($T99=0,"",IF(IF(INDEX('Market Data'!$J$5:$J$528,$T99)=0,0,IF(LEFT(INDEX('Market Data'!$AS$5:$AS$66,INDEX('Market Data'!$J$5:$J$528,$T99)-4),11)="First-month",1,0))=1,"Class ratio review",IF($I99="Bloomberg",IF(ISNUMBER($G99),IF($G99&lt;TODAY(),"Older quote","See quote time"),"Date unavailable"),IF($I99="Snapshot",IF($G99&lt;DATEVALUE("2026-10-02"),"Older snapshot","Dated close"),"No valid quote"))))</f>
        <v/>
      </c>
      <c r="P99" s="14">
        <f>IF($T99=0,"",IF(INDEX('Market Data'!$J$5:$J$528,$T99)=0,"n/a",IF($Q99="Bloomberg",IF(AND(ISNUMBER(INDEX('Market Data'!$AK$5:$AK$66,INDEX('Market Data'!$J$5:$J$528,$T99)-4)),N(INDEX('Market Data'!$AK$5:$AK$66,INDEX('Market Data'!$J$5:$J$528,$T99)-4))&gt;0),INDEX('Market Data'!$AK$5:$AK$66,INDEX('Market Data'!$J$5:$J$528,$T99)-4),"date unavailable"),IF($Q99="Snapshot",IF(AND(ISNUMBER(INDEX('Market Data'!$AF$5:$AF$66,INDEX('Market Data'!$J$5:$J$528,$T99)-4)),N(INDEX('Market Data'!$AF$5:$AF$66,INDEX('Market Data'!$J$5:$J$528,$T99)-4))&gt;0),INDEX('Market Data'!$AF$5:$AF$66,INDEX('Market Data'!$J$5:$J$528,$T99)-4),"date unavailable"),"date unavailable"))))</f>
        <v/>
      </c>
      <c r="Q99" s="15">
        <f>IF($T99=0,"",IF(INDEX('Market Data'!$J$5:$J$528,$T99)=0,"n/a",IF(AND($M$5&lt;&gt;"Snapshot",ISNUMBER(INDEX('Market Data'!$AH$5:$AH$66,INDEX('Market Data'!$J$5:$J$528,$T99)-4)),N(INDEX('Market Data'!$AH$5:$AH$66,INDEX('Market Data'!$J$5:$J$528,$T99)-4))&gt;0),"Bloomberg",IF(AND($M$5&lt;&gt;"Bloomberg",ISNUMBER(INDEX('Market Data'!$AC$5:$AC$66,INDEX('Market Data'!$J$5:$J$528,$T99)-4)),N(INDEX('Market Data'!$AC$5:$AC$66,INDEX('Market Data'!$J$5:$J$528,$T99)-4))&gt;0),"Snapshot","Unavailable"))))</f>
        <v/>
      </c>
      <c r="T99">
        <f>IFERROR(MATCH(91,'Market Data'!$S$5:$S$528,0),0)</f>
        <v/>
      </c>
    </row>
    <row r="100" ht="34" customHeight="1">
      <c r="A100" s="8">
        <f>IF($T100=0,"",IF(INDEX('Market Data'!$A$5:$A$528,$T100)="","",INDEX('Market Data'!$A$5:$A$528,$T100)))</f>
        <v/>
      </c>
      <c r="B100" s="9">
        <f>IF($T100=0,"",IF(INDEX('Market Data'!$B$5:$B$528,$T100)="","",INDEX('Market Data'!$B$5:$B$528,$T100)))</f>
        <v/>
      </c>
      <c r="C100" s="9">
        <f>IF($T100=0,"",IF(INDEX('Market Data'!$C$5:$C$528,$T100)="","",INDEX('Market Data'!$C$5:$C$528,$T100)))</f>
        <v/>
      </c>
      <c r="D100" s="9">
        <f>IF($T100=0,"",IF(INDEX('Market Data'!$D$5:$D$528,$T100)="","",INDEX('Market Data'!$D$5:$D$528,$T100)))</f>
        <v/>
      </c>
      <c r="E100" s="10">
        <f>IF($T100=0,"",INDEX('Market Data'!$O$5:$O$528,$T100))</f>
        <v/>
      </c>
      <c r="F100" s="11">
        <f>IF($T100=0,"",IF(AND($I100="Bloomberg",ISNUMBER(INDEX('Market Data'!$L$5:$L$528,$T100))),INDEX('Market Data'!$L$5:$L$528,$T100),"unavailable"))</f>
        <v/>
      </c>
      <c r="G100" s="12">
        <f>IF($T100=0,"",IF($I100="Bloomberg",IF(AND(ISNUMBER(INDEX('Market Data'!$M$5:$M$528,$T100)),N(INDEX('Market Data'!$M$5:$M$528,$T100))&gt;0),INDEX('Market Data'!$M$5:$M$528,$T100),"date unavailable"),IF($I100="Snapshot",IF(AND(ISNUMBER(INDEX('Market Data'!$H$5:$H$528,$T100)),N(INDEX('Market Data'!$H$5:$H$528,$T100))&gt;0),INDEX('Market Data'!$H$5:$H$528,$T100),"date unavailable"),"date unavailable")))</f>
        <v/>
      </c>
      <c r="H100" s="9">
        <f>IF($T100=0,"",IF($I100="Bloomberg",IF(INDEX('Market Data'!$N$5:$N$528,$T100)="","time unavailable",INDEX('Market Data'!$N$5:$N$528,$T100)),""))</f>
        <v/>
      </c>
      <c r="I100" s="9">
        <f>IF($T100=0,"",INDEX('Market Data'!$P$5:$P$528,$T100))</f>
        <v/>
      </c>
      <c r="J100" s="13">
        <f>IF($T100=0,"",IF(INDEX('Market Data'!$E$5:$E$528,$T100)="","",INDEX('Market Data'!$E$5:$E$528,$T100)))</f>
        <v/>
      </c>
      <c r="K100" s="8">
        <f>IF($T100=0,"",IF(INDEX('Market Data'!$I$5:$I$528,$T100)="","",INDEX('Market Data'!$I$5:$I$528,$T100)))</f>
        <v/>
      </c>
      <c r="L100" s="10">
        <f>IF($T100=0,"",IF(INDEX('Market Data'!$J$5:$J$528,$T100)=0,"n/a",IF(AND($M$5&lt;&gt;"Snapshot",ISNUMBER(INDEX('Market Data'!$AH$5:$AH$66,INDEX('Market Data'!$J$5:$J$528,$T100)-4)),N(INDEX('Market Data'!$AH$5:$AH$66,INDEX('Market Data'!$J$5:$J$528,$T100)-4))&gt;0),INDEX('Market Data'!$AH$5:$AH$66,INDEX('Market Data'!$J$5:$J$528,$T100)-4),IF(AND($M$5&lt;&gt;"Bloomberg",ISNUMBER(INDEX('Market Data'!$AC$5:$AC$66,INDEX('Market Data'!$J$5:$J$528,$T100)-4)),N(INDEX('Market Data'!$AC$5:$AC$66,INDEX('Market Data'!$J$5:$J$528,$T100)-4))&gt;0),INDEX('Market Data'!$AC$5:$AC$66,INDEX('Market Data'!$J$5:$J$528,$T100)-4),"unavailable"))))</f>
        <v/>
      </c>
      <c r="M100" s="11">
        <f>IF($T100=0,"",IF(INDEX('Market Data'!$J$5:$J$528,$T100)=0,"n/a",IF(IF(INDEX('Market Data'!$J$5:$J$528,$T100)=0,0,IF(LEFT(INDEX('Market Data'!$AS$5:$AS$66,INDEX('Market Data'!$J$5:$J$528,$T100)-4),11)="First-month",1,0))=1,"class review",IF($I100="Bloomberg",IF(AND(ISNUMBER(INDEX('Market Data'!$AH$5:$AH$66,INDEX('Market Data'!$J$5:$J$528,$T100)-4)),N(INDEX('Market Data'!$AH$5:$AH$66,INDEX('Market Data'!$J$5:$J$528,$T100)-4))&gt;0,ISNUMBER('Market Data'!$B$1),N('Market Data'!$B$1)&gt;0),INDEX('Market Data'!$AH$5:$AH$66,INDEX('Market Data'!$J$5:$J$528,$T100)-4)*'Market Data'!$B$1/$E100-1,"pending A/FX"),IF(AND($I100="Snapshot",$Q100="Snapshot",ISNUMBER($E100),$G100=INDEX('Market Data'!$AE$5:$AE$66,INDEX('Market Data'!$J$5:$J$528,$T100)-4)),IFERROR(INDEX('Market Data'!$AC$5:$AC$66,INDEX('Market Data'!$J$5:$J$528,$T100)-4)*INDEX('Market Data'!$AD$5:$AD$66,INDEX('Market Data'!$J$5:$J$528,$T100)-4)/$E100-1,"unavailable"),IF($I100="Unavailable","unavailable","date mismatch"))))))</f>
        <v/>
      </c>
      <c r="N100" s="11">
        <f>IF($T100=0,"",IFERROR(IF(AND(N(INDEX('Market Data'!$F$5:$F$528,$T100))&gt;0,ISNUMBER(INDEX('Market Data'!$T$5:$T$528,$T100))),$E100*INDEX('Market Data'!$T$5:$T$528,$T100)/INDEX('Market Data'!$F$5:$F$528,$T100)-1,"unavailable"),"unavailable"))</f>
        <v/>
      </c>
      <c r="O100" s="9">
        <f>IF($T100=0,"",IF(IF(INDEX('Market Data'!$J$5:$J$528,$T100)=0,0,IF(LEFT(INDEX('Market Data'!$AS$5:$AS$66,INDEX('Market Data'!$J$5:$J$528,$T100)-4),11)="First-month",1,0))=1,"Class ratio review",IF($I100="Bloomberg",IF(ISNUMBER($G100),IF($G100&lt;TODAY(),"Older quote","See quote time"),"Date unavailable"),IF($I100="Snapshot",IF($G100&lt;DATEVALUE("2026-10-02"),"Older snapshot","Dated close"),"No valid quote"))))</f>
        <v/>
      </c>
      <c r="P100" s="14">
        <f>IF($T100=0,"",IF(INDEX('Market Data'!$J$5:$J$528,$T100)=0,"n/a",IF($Q100="Bloomberg",IF(AND(ISNUMBER(INDEX('Market Data'!$AK$5:$AK$66,INDEX('Market Data'!$J$5:$J$528,$T100)-4)),N(INDEX('Market Data'!$AK$5:$AK$66,INDEX('Market Data'!$J$5:$J$528,$T100)-4))&gt;0),INDEX('Market Data'!$AK$5:$AK$66,INDEX('Market Data'!$J$5:$J$528,$T100)-4),"date unavailable"),IF($Q100="Snapshot",IF(AND(ISNUMBER(INDEX('Market Data'!$AF$5:$AF$66,INDEX('Market Data'!$J$5:$J$528,$T100)-4)),N(INDEX('Market Data'!$AF$5:$AF$66,INDEX('Market Data'!$J$5:$J$528,$T100)-4))&gt;0),INDEX('Market Data'!$AF$5:$AF$66,INDEX('Market Data'!$J$5:$J$528,$T100)-4),"date unavailable"),"date unavailable"))))</f>
        <v/>
      </c>
      <c r="Q100" s="15">
        <f>IF($T100=0,"",IF(INDEX('Market Data'!$J$5:$J$528,$T100)=0,"n/a",IF(AND($M$5&lt;&gt;"Snapshot",ISNUMBER(INDEX('Market Data'!$AH$5:$AH$66,INDEX('Market Data'!$J$5:$J$528,$T100)-4)),N(INDEX('Market Data'!$AH$5:$AH$66,INDEX('Market Data'!$J$5:$J$528,$T100)-4))&gt;0),"Bloomberg",IF(AND($M$5&lt;&gt;"Bloomberg",ISNUMBER(INDEX('Market Data'!$AC$5:$AC$66,INDEX('Market Data'!$J$5:$J$528,$T100)-4)),N(INDEX('Market Data'!$AC$5:$AC$66,INDEX('Market Data'!$J$5:$J$528,$T100)-4))&gt;0),"Snapshot","Unavailable"))))</f>
        <v/>
      </c>
      <c r="T100">
        <f>IFERROR(MATCH(92,'Market Data'!$S$5:$S$528,0),0)</f>
        <v/>
      </c>
    </row>
    <row r="101" ht="34" customHeight="1">
      <c r="A101" s="8">
        <f>IF($T101=0,"",IF(INDEX('Market Data'!$A$5:$A$528,$T101)="","",INDEX('Market Data'!$A$5:$A$528,$T101)))</f>
        <v/>
      </c>
      <c r="B101" s="9">
        <f>IF($T101=0,"",IF(INDEX('Market Data'!$B$5:$B$528,$T101)="","",INDEX('Market Data'!$B$5:$B$528,$T101)))</f>
        <v/>
      </c>
      <c r="C101" s="9">
        <f>IF($T101=0,"",IF(INDEX('Market Data'!$C$5:$C$528,$T101)="","",INDEX('Market Data'!$C$5:$C$528,$T101)))</f>
        <v/>
      </c>
      <c r="D101" s="9">
        <f>IF($T101=0,"",IF(INDEX('Market Data'!$D$5:$D$528,$T101)="","",INDEX('Market Data'!$D$5:$D$528,$T101)))</f>
        <v/>
      </c>
      <c r="E101" s="10">
        <f>IF($T101=0,"",INDEX('Market Data'!$O$5:$O$528,$T101))</f>
        <v/>
      </c>
      <c r="F101" s="11">
        <f>IF($T101=0,"",IF(AND($I101="Bloomberg",ISNUMBER(INDEX('Market Data'!$L$5:$L$528,$T101))),INDEX('Market Data'!$L$5:$L$528,$T101),"unavailable"))</f>
        <v/>
      </c>
      <c r="G101" s="12">
        <f>IF($T101=0,"",IF($I101="Bloomberg",IF(AND(ISNUMBER(INDEX('Market Data'!$M$5:$M$528,$T101)),N(INDEX('Market Data'!$M$5:$M$528,$T101))&gt;0),INDEX('Market Data'!$M$5:$M$528,$T101),"date unavailable"),IF($I101="Snapshot",IF(AND(ISNUMBER(INDEX('Market Data'!$H$5:$H$528,$T101)),N(INDEX('Market Data'!$H$5:$H$528,$T101))&gt;0),INDEX('Market Data'!$H$5:$H$528,$T101),"date unavailable"),"date unavailable")))</f>
        <v/>
      </c>
      <c r="H101" s="9">
        <f>IF($T101=0,"",IF($I101="Bloomberg",IF(INDEX('Market Data'!$N$5:$N$528,$T101)="","time unavailable",INDEX('Market Data'!$N$5:$N$528,$T101)),""))</f>
        <v/>
      </c>
      <c r="I101" s="9">
        <f>IF($T101=0,"",INDEX('Market Data'!$P$5:$P$528,$T101))</f>
        <v/>
      </c>
      <c r="J101" s="13">
        <f>IF($T101=0,"",IF(INDEX('Market Data'!$E$5:$E$528,$T101)="","",INDEX('Market Data'!$E$5:$E$528,$T101)))</f>
        <v/>
      </c>
      <c r="K101" s="8">
        <f>IF($T101=0,"",IF(INDEX('Market Data'!$I$5:$I$528,$T101)="","",INDEX('Market Data'!$I$5:$I$528,$T101)))</f>
        <v/>
      </c>
      <c r="L101" s="10">
        <f>IF($T101=0,"",IF(INDEX('Market Data'!$J$5:$J$528,$T101)=0,"n/a",IF(AND($M$5&lt;&gt;"Snapshot",ISNUMBER(INDEX('Market Data'!$AH$5:$AH$66,INDEX('Market Data'!$J$5:$J$528,$T101)-4)),N(INDEX('Market Data'!$AH$5:$AH$66,INDEX('Market Data'!$J$5:$J$528,$T101)-4))&gt;0),INDEX('Market Data'!$AH$5:$AH$66,INDEX('Market Data'!$J$5:$J$528,$T101)-4),IF(AND($M$5&lt;&gt;"Bloomberg",ISNUMBER(INDEX('Market Data'!$AC$5:$AC$66,INDEX('Market Data'!$J$5:$J$528,$T101)-4)),N(INDEX('Market Data'!$AC$5:$AC$66,INDEX('Market Data'!$J$5:$J$528,$T101)-4))&gt;0),INDEX('Market Data'!$AC$5:$AC$66,INDEX('Market Data'!$J$5:$J$528,$T101)-4),"unavailable"))))</f>
        <v/>
      </c>
      <c r="M101" s="11">
        <f>IF($T101=0,"",IF(INDEX('Market Data'!$J$5:$J$528,$T101)=0,"n/a",IF(IF(INDEX('Market Data'!$J$5:$J$528,$T101)=0,0,IF(LEFT(INDEX('Market Data'!$AS$5:$AS$66,INDEX('Market Data'!$J$5:$J$528,$T101)-4),11)="First-month",1,0))=1,"class review",IF($I101="Bloomberg",IF(AND(ISNUMBER(INDEX('Market Data'!$AH$5:$AH$66,INDEX('Market Data'!$J$5:$J$528,$T101)-4)),N(INDEX('Market Data'!$AH$5:$AH$66,INDEX('Market Data'!$J$5:$J$528,$T101)-4))&gt;0,ISNUMBER('Market Data'!$B$1),N('Market Data'!$B$1)&gt;0),INDEX('Market Data'!$AH$5:$AH$66,INDEX('Market Data'!$J$5:$J$528,$T101)-4)*'Market Data'!$B$1/$E101-1,"pending A/FX"),IF(AND($I101="Snapshot",$Q101="Snapshot",ISNUMBER($E101),$G101=INDEX('Market Data'!$AE$5:$AE$66,INDEX('Market Data'!$J$5:$J$528,$T101)-4)),IFERROR(INDEX('Market Data'!$AC$5:$AC$66,INDEX('Market Data'!$J$5:$J$528,$T101)-4)*INDEX('Market Data'!$AD$5:$AD$66,INDEX('Market Data'!$J$5:$J$528,$T101)-4)/$E101-1,"unavailable"),IF($I101="Unavailable","unavailable","date mismatch"))))))</f>
        <v/>
      </c>
      <c r="N101" s="11">
        <f>IF($T101=0,"",IFERROR(IF(AND(N(INDEX('Market Data'!$F$5:$F$528,$T101))&gt;0,ISNUMBER(INDEX('Market Data'!$T$5:$T$528,$T101))),$E101*INDEX('Market Data'!$T$5:$T$528,$T101)/INDEX('Market Data'!$F$5:$F$528,$T101)-1,"unavailable"),"unavailable"))</f>
        <v/>
      </c>
      <c r="O101" s="9">
        <f>IF($T101=0,"",IF(IF(INDEX('Market Data'!$J$5:$J$528,$T101)=0,0,IF(LEFT(INDEX('Market Data'!$AS$5:$AS$66,INDEX('Market Data'!$J$5:$J$528,$T101)-4),11)="First-month",1,0))=1,"Class ratio review",IF($I101="Bloomberg",IF(ISNUMBER($G101),IF($G101&lt;TODAY(),"Older quote","See quote time"),"Date unavailable"),IF($I101="Snapshot",IF($G101&lt;DATEVALUE("2026-10-02"),"Older snapshot","Dated close"),"No valid quote"))))</f>
        <v/>
      </c>
      <c r="P101" s="14">
        <f>IF($T101=0,"",IF(INDEX('Market Data'!$J$5:$J$528,$T101)=0,"n/a",IF($Q101="Bloomberg",IF(AND(ISNUMBER(INDEX('Market Data'!$AK$5:$AK$66,INDEX('Market Data'!$J$5:$J$528,$T101)-4)),N(INDEX('Market Data'!$AK$5:$AK$66,INDEX('Market Data'!$J$5:$J$528,$T101)-4))&gt;0),INDEX('Market Data'!$AK$5:$AK$66,INDEX('Market Data'!$J$5:$J$528,$T101)-4),"date unavailable"),IF($Q101="Snapshot",IF(AND(ISNUMBER(INDEX('Market Data'!$AF$5:$AF$66,INDEX('Market Data'!$J$5:$J$528,$T101)-4)),N(INDEX('Market Data'!$AF$5:$AF$66,INDEX('Market Data'!$J$5:$J$528,$T101)-4))&gt;0),INDEX('Market Data'!$AF$5:$AF$66,INDEX('Market Data'!$J$5:$J$528,$T101)-4),"date unavailable"),"date unavailable"))))</f>
        <v/>
      </c>
      <c r="Q101" s="15">
        <f>IF($T101=0,"",IF(INDEX('Market Data'!$J$5:$J$528,$T101)=0,"n/a",IF(AND($M$5&lt;&gt;"Snapshot",ISNUMBER(INDEX('Market Data'!$AH$5:$AH$66,INDEX('Market Data'!$J$5:$J$528,$T101)-4)),N(INDEX('Market Data'!$AH$5:$AH$66,INDEX('Market Data'!$J$5:$J$528,$T101)-4))&gt;0),"Bloomberg",IF(AND($M$5&lt;&gt;"Bloomberg",ISNUMBER(INDEX('Market Data'!$AC$5:$AC$66,INDEX('Market Data'!$J$5:$J$528,$T101)-4)),N(INDEX('Market Data'!$AC$5:$AC$66,INDEX('Market Data'!$J$5:$J$528,$T101)-4))&gt;0),"Snapshot","Unavailable"))))</f>
        <v/>
      </c>
      <c r="T101">
        <f>IFERROR(MATCH(93,'Market Data'!$S$5:$S$528,0),0)</f>
        <v/>
      </c>
    </row>
    <row r="102" ht="34" customHeight="1">
      <c r="A102" s="8">
        <f>IF($T102=0,"",IF(INDEX('Market Data'!$A$5:$A$528,$T102)="","",INDEX('Market Data'!$A$5:$A$528,$T102)))</f>
        <v/>
      </c>
      <c r="B102" s="9">
        <f>IF($T102=0,"",IF(INDEX('Market Data'!$B$5:$B$528,$T102)="","",INDEX('Market Data'!$B$5:$B$528,$T102)))</f>
        <v/>
      </c>
      <c r="C102" s="9">
        <f>IF($T102=0,"",IF(INDEX('Market Data'!$C$5:$C$528,$T102)="","",INDEX('Market Data'!$C$5:$C$528,$T102)))</f>
        <v/>
      </c>
      <c r="D102" s="9">
        <f>IF($T102=0,"",IF(INDEX('Market Data'!$D$5:$D$528,$T102)="","",INDEX('Market Data'!$D$5:$D$528,$T102)))</f>
        <v/>
      </c>
      <c r="E102" s="10">
        <f>IF($T102=0,"",INDEX('Market Data'!$O$5:$O$528,$T102))</f>
        <v/>
      </c>
      <c r="F102" s="11">
        <f>IF($T102=0,"",IF(AND($I102="Bloomberg",ISNUMBER(INDEX('Market Data'!$L$5:$L$528,$T102))),INDEX('Market Data'!$L$5:$L$528,$T102),"unavailable"))</f>
        <v/>
      </c>
      <c r="G102" s="12">
        <f>IF($T102=0,"",IF($I102="Bloomberg",IF(AND(ISNUMBER(INDEX('Market Data'!$M$5:$M$528,$T102)),N(INDEX('Market Data'!$M$5:$M$528,$T102))&gt;0),INDEX('Market Data'!$M$5:$M$528,$T102),"date unavailable"),IF($I102="Snapshot",IF(AND(ISNUMBER(INDEX('Market Data'!$H$5:$H$528,$T102)),N(INDEX('Market Data'!$H$5:$H$528,$T102))&gt;0),INDEX('Market Data'!$H$5:$H$528,$T102),"date unavailable"),"date unavailable")))</f>
        <v/>
      </c>
      <c r="H102" s="9">
        <f>IF($T102=0,"",IF($I102="Bloomberg",IF(INDEX('Market Data'!$N$5:$N$528,$T102)="","time unavailable",INDEX('Market Data'!$N$5:$N$528,$T102)),""))</f>
        <v/>
      </c>
      <c r="I102" s="9">
        <f>IF($T102=0,"",INDEX('Market Data'!$P$5:$P$528,$T102))</f>
        <v/>
      </c>
      <c r="J102" s="13">
        <f>IF($T102=0,"",IF(INDEX('Market Data'!$E$5:$E$528,$T102)="","",INDEX('Market Data'!$E$5:$E$528,$T102)))</f>
        <v/>
      </c>
      <c r="K102" s="8">
        <f>IF($T102=0,"",IF(INDEX('Market Data'!$I$5:$I$528,$T102)="","",INDEX('Market Data'!$I$5:$I$528,$T102)))</f>
        <v/>
      </c>
      <c r="L102" s="10">
        <f>IF($T102=0,"",IF(INDEX('Market Data'!$J$5:$J$528,$T102)=0,"n/a",IF(AND($M$5&lt;&gt;"Snapshot",ISNUMBER(INDEX('Market Data'!$AH$5:$AH$66,INDEX('Market Data'!$J$5:$J$528,$T102)-4)),N(INDEX('Market Data'!$AH$5:$AH$66,INDEX('Market Data'!$J$5:$J$528,$T102)-4))&gt;0),INDEX('Market Data'!$AH$5:$AH$66,INDEX('Market Data'!$J$5:$J$528,$T102)-4),IF(AND($M$5&lt;&gt;"Bloomberg",ISNUMBER(INDEX('Market Data'!$AC$5:$AC$66,INDEX('Market Data'!$J$5:$J$528,$T102)-4)),N(INDEX('Market Data'!$AC$5:$AC$66,INDEX('Market Data'!$J$5:$J$528,$T102)-4))&gt;0),INDEX('Market Data'!$AC$5:$AC$66,INDEX('Market Data'!$J$5:$J$528,$T102)-4),"unavailable"))))</f>
        <v/>
      </c>
      <c r="M102" s="11">
        <f>IF($T102=0,"",IF(INDEX('Market Data'!$J$5:$J$528,$T102)=0,"n/a",IF(IF(INDEX('Market Data'!$J$5:$J$528,$T102)=0,0,IF(LEFT(INDEX('Market Data'!$AS$5:$AS$66,INDEX('Market Data'!$J$5:$J$528,$T102)-4),11)="First-month",1,0))=1,"class review",IF($I102="Bloomberg",IF(AND(ISNUMBER(INDEX('Market Data'!$AH$5:$AH$66,INDEX('Market Data'!$J$5:$J$528,$T102)-4)),N(INDEX('Market Data'!$AH$5:$AH$66,INDEX('Market Data'!$J$5:$J$528,$T102)-4))&gt;0,ISNUMBER('Market Data'!$B$1),N('Market Data'!$B$1)&gt;0),INDEX('Market Data'!$AH$5:$AH$66,INDEX('Market Data'!$J$5:$J$528,$T102)-4)*'Market Data'!$B$1/$E102-1,"pending A/FX"),IF(AND($I102="Snapshot",$Q102="Snapshot",ISNUMBER($E102),$G102=INDEX('Market Data'!$AE$5:$AE$66,INDEX('Market Data'!$J$5:$J$528,$T102)-4)),IFERROR(INDEX('Market Data'!$AC$5:$AC$66,INDEX('Market Data'!$J$5:$J$528,$T102)-4)*INDEX('Market Data'!$AD$5:$AD$66,INDEX('Market Data'!$J$5:$J$528,$T102)-4)/$E102-1,"unavailable"),IF($I102="Unavailable","unavailable","date mismatch"))))))</f>
        <v/>
      </c>
      <c r="N102" s="11">
        <f>IF($T102=0,"",IFERROR(IF(AND(N(INDEX('Market Data'!$F$5:$F$528,$T102))&gt;0,ISNUMBER(INDEX('Market Data'!$T$5:$T$528,$T102))),$E102*INDEX('Market Data'!$T$5:$T$528,$T102)/INDEX('Market Data'!$F$5:$F$528,$T102)-1,"unavailable"),"unavailable"))</f>
        <v/>
      </c>
      <c r="O102" s="9">
        <f>IF($T102=0,"",IF(IF(INDEX('Market Data'!$J$5:$J$528,$T102)=0,0,IF(LEFT(INDEX('Market Data'!$AS$5:$AS$66,INDEX('Market Data'!$J$5:$J$528,$T102)-4),11)="First-month",1,0))=1,"Class ratio review",IF($I102="Bloomberg",IF(ISNUMBER($G102),IF($G102&lt;TODAY(),"Older quote","See quote time"),"Date unavailable"),IF($I102="Snapshot",IF($G102&lt;DATEVALUE("2026-10-02"),"Older snapshot","Dated close"),"No valid quote"))))</f>
        <v/>
      </c>
      <c r="P102" s="14">
        <f>IF($T102=0,"",IF(INDEX('Market Data'!$J$5:$J$528,$T102)=0,"n/a",IF($Q102="Bloomberg",IF(AND(ISNUMBER(INDEX('Market Data'!$AK$5:$AK$66,INDEX('Market Data'!$J$5:$J$528,$T102)-4)),N(INDEX('Market Data'!$AK$5:$AK$66,INDEX('Market Data'!$J$5:$J$528,$T102)-4))&gt;0),INDEX('Market Data'!$AK$5:$AK$66,INDEX('Market Data'!$J$5:$J$528,$T102)-4),"date unavailable"),IF($Q102="Snapshot",IF(AND(ISNUMBER(INDEX('Market Data'!$AF$5:$AF$66,INDEX('Market Data'!$J$5:$J$528,$T102)-4)),N(INDEX('Market Data'!$AF$5:$AF$66,INDEX('Market Data'!$J$5:$J$528,$T102)-4))&gt;0),INDEX('Market Data'!$AF$5:$AF$66,INDEX('Market Data'!$J$5:$J$528,$T102)-4),"date unavailable"),"date unavailable"))))</f>
        <v/>
      </c>
      <c r="Q102" s="15">
        <f>IF($T102=0,"",IF(INDEX('Market Data'!$J$5:$J$528,$T102)=0,"n/a",IF(AND($M$5&lt;&gt;"Snapshot",ISNUMBER(INDEX('Market Data'!$AH$5:$AH$66,INDEX('Market Data'!$J$5:$J$528,$T102)-4)),N(INDEX('Market Data'!$AH$5:$AH$66,INDEX('Market Data'!$J$5:$J$528,$T102)-4))&gt;0),"Bloomberg",IF(AND($M$5&lt;&gt;"Bloomberg",ISNUMBER(INDEX('Market Data'!$AC$5:$AC$66,INDEX('Market Data'!$J$5:$J$528,$T102)-4)),N(INDEX('Market Data'!$AC$5:$AC$66,INDEX('Market Data'!$J$5:$J$528,$T102)-4))&gt;0),"Snapshot","Unavailable"))))</f>
        <v/>
      </c>
      <c r="T102">
        <f>IFERROR(MATCH(94,'Market Data'!$S$5:$S$528,0),0)</f>
        <v/>
      </c>
    </row>
    <row r="103" ht="34" customHeight="1">
      <c r="A103" s="8">
        <f>IF($T103=0,"",IF(INDEX('Market Data'!$A$5:$A$528,$T103)="","",INDEX('Market Data'!$A$5:$A$528,$T103)))</f>
        <v/>
      </c>
      <c r="B103" s="9">
        <f>IF($T103=0,"",IF(INDEX('Market Data'!$B$5:$B$528,$T103)="","",INDEX('Market Data'!$B$5:$B$528,$T103)))</f>
        <v/>
      </c>
      <c r="C103" s="9">
        <f>IF($T103=0,"",IF(INDEX('Market Data'!$C$5:$C$528,$T103)="","",INDEX('Market Data'!$C$5:$C$528,$T103)))</f>
        <v/>
      </c>
      <c r="D103" s="9">
        <f>IF($T103=0,"",IF(INDEX('Market Data'!$D$5:$D$528,$T103)="","",INDEX('Market Data'!$D$5:$D$528,$T103)))</f>
        <v/>
      </c>
      <c r="E103" s="10">
        <f>IF($T103=0,"",INDEX('Market Data'!$O$5:$O$528,$T103))</f>
        <v/>
      </c>
      <c r="F103" s="11">
        <f>IF($T103=0,"",IF(AND($I103="Bloomberg",ISNUMBER(INDEX('Market Data'!$L$5:$L$528,$T103))),INDEX('Market Data'!$L$5:$L$528,$T103),"unavailable"))</f>
        <v/>
      </c>
      <c r="G103" s="12">
        <f>IF($T103=0,"",IF($I103="Bloomberg",IF(AND(ISNUMBER(INDEX('Market Data'!$M$5:$M$528,$T103)),N(INDEX('Market Data'!$M$5:$M$528,$T103))&gt;0),INDEX('Market Data'!$M$5:$M$528,$T103),"date unavailable"),IF($I103="Snapshot",IF(AND(ISNUMBER(INDEX('Market Data'!$H$5:$H$528,$T103)),N(INDEX('Market Data'!$H$5:$H$528,$T103))&gt;0),INDEX('Market Data'!$H$5:$H$528,$T103),"date unavailable"),"date unavailable")))</f>
        <v/>
      </c>
      <c r="H103" s="9">
        <f>IF($T103=0,"",IF($I103="Bloomberg",IF(INDEX('Market Data'!$N$5:$N$528,$T103)="","time unavailable",INDEX('Market Data'!$N$5:$N$528,$T103)),""))</f>
        <v/>
      </c>
      <c r="I103" s="9">
        <f>IF($T103=0,"",INDEX('Market Data'!$P$5:$P$528,$T103))</f>
        <v/>
      </c>
      <c r="J103" s="13">
        <f>IF($T103=0,"",IF(INDEX('Market Data'!$E$5:$E$528,$T103)="","",INDEX('Market Data'!$E$5:$E$528,$T103)))</f>
        <v/>
      </c>
      <c r="K103" s="8">
        <f>IF($T103=0,"",IF(INDEX('Market Data'!$I$5:$I$528,$T103)="","",INDEX('Market Data'!$I$5:$I$528,$T103)))</f>
        <v/>
      </c>
      <c r="L103" s="10">
        <f>IF($T103=0,"",IF(INDEX('Market Data'!$J$5:$J$528,$T103)=0,"n/a",IF(AND($M$5&lt;&gt;"Snapshot",ISNUMBER(INDEX('Market Data'!$AH$5:$AH$66,INDEX('Market Data'!$J$5:$J$528,$T103)-4)),N(INDEX('Market Data'!$AH$5:$AH$66,INDEX('Market Data'!$J$5:$J$528,$T103)-4))&gt;0),INDEX('Market Data'!$AH$5:$AH$66,INDEX('Market Data'!$J$5:$J$528,$T103)-4),IF(AND($M$5&lt;&gt;"Bloomberg",ISNUMBER(INDEX('Market Data'!$AC$5:$AC$66,INDEX('Market Data'!$J$5:$J$528,$T103)-4)),N(INDEX('Market Data'!$AC$5:$AC$66,INDEX('Market Data'!$J$5:$J$528,$T103)-4))&gt;0),INDEX('Market Data'!$AC$5:$AC$66,INDEX('Market Data'!$J$5:$J$528,$T103)-4),"unavailable"))))</f>
        <v/>
      </c>
      <c r="M103" s="11">
        <f>IF($T103=0,"",IF(INDEX('Market Data'!$J$5:$J$528,$T103)=0,"n/a",IF(IF(INDEX('Market Data'!$J$5:$J$528,$T103)=0,0,IF(LEFT(INDEX('Market Data'!$AS$5:$AS$66,INDEX('Market Data'!$J$5:$J$528,$T103)-4),11)="First-month",1,0))=1,"class review",IF($I103="Bloomberg",IF(AND(ISNUMBER(INDEX('Market Data'!$AH$5:$AH$66,INDEX('Market Data'!$J$5:$J$528,$T103)-4)),N(INDEX('Market Data'!$AH$5:$AH$66,INDEX('Market Data'!$J$5:$J$528,$T103)-4))&gt;0,ISNUMBER('Market Data'!$B$1),N('Market Data'!$B$1)&gt;0),INDEX('Market Data'!$AH$5:$AH$66,INDEX('Market Data'!$J$5:$J$528,$T103)-4)*'Market Data'!$B$1/$E103-1,"pending A/FX"),IF(AND($I103="Snapshot",$Q103="Snapshot",ISNUMBER($E103),$G103=INDEX('Market Data'!$AE$5:$AE$66,INDEX('Market Data'!$J$5:$J$528,$T103)-4)),IFERROR(INDEX('Market Data'!$AC$5:$AC$66,INDEX('Market Data'!$J$5:$J$528,$T103)-4)*INDEX('Market Data'!$AD$5:$AD$66,INDEX('Market Data'!$J$5:$J$528,$T103)-4)/$E103-1,"unavailable"),IF($I103="Unavailable","unavailable","date mismatch"))))))</f>
        <v/>
      </c>
      <c r="N103" s="11">
        <f>IF($T103=0,"",IFERROR(IF(AND(N(INDEX('Market Data'!$F$5:$F$528,$T103))&gt;0,ISNUMBER(INDEX('Market Data'!$T$5:$T$528,$T103))),$E103*INDEX('Market Data'!$T$5:$T$528,$T103)/INDEX('Market Data'!$F$5:$F$528,$T103)-1,"unavailable"),"unavailable"))</f>
        <v/>
      </c>
      <c r="O103" s="9">
        <f>IF($T103=0,"",IF(IF(INDEX('Market Data'!$J$5:$J$528,$T103)=0,0,IF(LEFT(INDEX('Market Data'!$AS$5:$AS$66,INDEX('Market Data'!$J$5:$J$528,$T103)-4),11)="First-month",1,0))=1,"Class ratio review",IF($I103="Bloomberg",IF(ISNUMBER($G103),IF($G103&lt;TODAY(),"Older quote","See quote time"),"Date unavailable"),IF($I103="Snapshot",IF($G103&lt;DATEVALUE("2026-10-02"),"Older snapshot","Dated close"),"No valid quote"))))</f>
        <v/>
      </c>
      <c r="P103" s="14">
        <f>IF($T103=0,"",IF(INDEX('Market Data'!$J$5:$J$528,$T103)=0,"n/a",IF($Q103="Bloomberg",IF(AND(ISNUMBER(INDEX('Market Data'!$AK$5:$AK$66,INDEX('Market Data'!$J$5:$J$528,$T103)-4)),N(INDEX('Market Data'!$AK$5:$AK$66,INDEX('Market Data'!$J$5:$J$528,$T103)-4))&gt;0),INDEX('Market Data'!$AK$5:$AK$66,INDEX('Market Data'!$J$5:$J$528,$T103)-4),"date unavailable"),IF($Q103="Snapshot",IF(AND(ISNUMBER(INDEX('Market Data'!$AF$5:$AF$66,INDEX('Market Data'!$J$5:$J$528,$T103)-4)),N(INDEX('Market Data'!$AF$5:$AF$66,INDEX('Market Data'!$J$5:$J$528,$T103)-4))&gt;0),INDEX('Market Data'!$AF$5:$AF$66,INDEX('Market Data'!$J$5:$J$528,$T103)-4),"date unavailable"),"date unavailable"))))</f>
        <v/>
      </c>
      <c r="Q103" s="15">
        <f>IF($T103=0,"",IF(INDEX('Market Data'!$J$5:$J$528,$T103)=0,"n/a",IF(AND($M$5&lt;&gt;"Snapshot",ISNUMBER(INDEX('Market Data'!$AH$5:$AH$66,INDEX('Market Data'!$J$5:$J$528,$T103)-4)),N(INDEX('Market Data'!$AH$5:$AH$66,INDEX('Market Data'!$J$5:$J$528,$T103)-4))&gt;0),"Bloomberg",IF(AND($M$5&lt;&gt;"Bloomberg",ISNUMBER(INDEX('Market Data'!$AC$5:$AC$66,INDEX('Market Data'!$J$5:$J$528,$T103)-4)),N(INDEX('Market Data'!$AC$5:$AC$66,INDEX('Market Data'!$J$5:$J$528,$T103)-4))&gt;0),"Snapshot","Unavailable"))))</f>
        <v/>
      </c>
      <c r="T103">
        <f>IFERROR(MATCH(95,'Market Data'!$S$5:$S$528,0),0)</f>
        <v/>
      </c>
    </row>
    <row r="104" ht="34" customHeight="1">
      <c r="A104" s="8">
        <f>IF($T104=0,"",IF(INDEX('Market Data'!$A$5:$A$528,$T104)="","",INDEX('Market Data'!$A$5:$A$528,$T104)))</f>
        <v/>
      </c>
      <c r="B104" s="9">
        <f>IF($T104=0,"",IF(INDEX('Market Data'!$B$5:$B$528,$T104)="","",INDEX('Market Data'!$B$5:$B$528,$T104)))</f>
        <v/>
      </c>
      <c r="C104" s="9">
        <f>IF($T104=0,"",IF(INDEX('Market Data'!$C$5:$C$528,$T104)="","",INDEX('Market Data'!$C$5:$C$528,$T104)))</f>
        <v/>
      </c>
      <c r="D104" s="9">
        <f>IF($T104=0,"",IF(INDEX('Market Data'!$D$5:$D$528,$T104)="","",INDEX('Market Data'!$D$5:$D$528,$T104)))</f>
        <v/>
      </c>
      <c r="E104" s="10">
        <f>IF($T104=0,"",INDEX('Market Data'!$O$5:$O$528,$T104))</f>
        <v/>
      </c>
      <c r="F104" s="11">
        <f>IF($T104=0,"",IF(AND($I104="Bloomberg",ISNUMBER(INDEX('Market Data'!$L$5:$L$528,$T104))),INDEX('Market Data'!$L$5:$L$528,$T104),"unavailable"))</f>
        <v/>
      </c>
      <c r="G104" s="12">
        <f>IF($T104=0,"",IF($I104="Bloomberg",IF(AND(ISNUMBER(INDEX('Market Data'!$M$5:$M$528,$T104)),N(INDEX('Market Data'!$M$5:$M$528,$T104))&gt;0),INDEX('Market Data'!$M$5:$M$528,$T104),"date unavailable"),IF($I104="Snapshot",IF(AND(ISNUMBER(INDEX('Market Data'!$H$5:$H$528,$T104)),N(INDEX('Market Data'!$H$5:$H$528,$T104))&gt;0),INDEX('Market Data'!$H$5:$H$528,$T104),"date unavailable"),"date unavailable")))</f>
        <v/>
      </c>
      <c r="H104" s="9">
        <f>IF($T104=0,"",IF($I104="Bloomberg",IF(INDEX('Market Data'!$N$5:$N$528,$T104)="","time unavailable",INDEX('Market Data'!$N$5:$N$528,$T104)),""))</f>
        <v/>
      </c>
      <c r="I104" s="9">
        <f>IF($T104=0,"",INDEX('Market Data'!$P$5:$P$528,$T104))</f>
        <v/>
      </c>
      <c r="J104" s="13">
        <f>IF($T104=0,"",IF(INDEX('Market Data'!$E$5:$E$528,$T104)="","",INDEX('Market Data'!$E$5:$E$528,$T104)))</f>
        <v/>
      </c>
      <c r="K104" s="8">
        <f>IF($T104=0,"",IF(INDEX('Market Data'!$I$5:$I$528,$T104)="","",INDEX('Market Data'!$I$5:$I$528,$T104)))</f>
        <v/>
      </c>
      <c r="L104" s="10">
        <f>IF($T104=0,"",IF(INDEX('Market Data'!$J$5:$J$528,$T104)=0,"n/a",IF(AND($M$5&lt;&gt;"Snapshot",ISNUMBER(INDEX('Market Data'!$AH$5:$AH$66,INDEX('Market Data'!$J$5:$J$528,$T104)-4)),N(INDEX('Market Data'!$AH$5:$AH$66,INDEX('Market Data'!$J$5:$J$528,$T104)-4))&gt;0),INDEX('Market Data'!$AH$5:$AH$66,INDEX('Market Data'!$J$5:$J$528,$T104)-4),IF(AND($M$5&lt;&gt;"Bloomberg",ISNUMBER(INDEX('Market Data'!$AC$5:$AC$66,INDEX('Market Data'!$J$5:$J$528,$T104)-4)),N(INDEX('Market Data'!$AC$5:$AC$66,INDEX('Market Data'!$J$5:$J$528,$T104)-4))&gt;0),INDEX('Market Data'!$AC$5:$AC$66,INDEX('Market Data'!$J$5:$J$528,$T104)-4),"unavailable"))))</f>
        <v/>
      </c>
      <c r="M104" s="11">
        <f>IF($T104=0,"",IF(INDEX('Market Data'!$J$5:$J$528,$T104)=0,"n/a",IF(IF(INDEX('Market Data'!$J$5:$J$528,$T104)=0,0,IF(LEFT(INDEX('Market Data'!$AS$5:$AS$66,INDEX('Market Data'!$J$5:$J$528,$T104)-4),11)="First-month",1,0))=1,"class review",IF($I104="Bloomberg",IF(AND(ISNUMBER(INDEX('Market Data'!$AH$5:$AH$66,INDEX('Market Data'!$J$5:$J$528,$T104)-4)),N(INDEX('Market Data'!$AH$5:$AH$66,INDEX('Market Data'!$J$5:$J$528,$T104)-4))&gt;0,ISNUMBER('Market Data'!$B$1),N('Market Data'!$B$1)&gt;0),INDEX('Market Data'!$AH$5:$AH$66,INDEX('Market Data'!$J$5:$J$528,$T104)-4)*'Market Data'!$B$1/$E104-1,"pending A/FX"),IF(AND($I104="Snapshot",$Q104="Snapshot",ISNUMBER($E104),$G104=INDEX('Market Data'!$AE$5:$AE$66,INDEX('Market Data'!$J$5:$J$528,$T104)-4)),IFERROR(INDEX('Market Data'!$AC$5:$AC$66,INDEX('Market Data'!$J$5:$J$528,$T104)-4)*INDEX('Market Data'!$AD$5:$AD$66,INDEX('Market Data'!$J$5:$J$528,$T104)-4)/$E104-1,"unavailable"),IF($I104="Unavailable","unavailable","date mismatch"))))))</f>
        <v/>
      </c>
      <c r="N104" s="11">
        <f>IF($T104=0,"",IFERROR(IF(AND(N(INDEX('Market Data'!$F$5:$F$528,$T104))&gt;0,ISNUMBER(INDEX('Market Data'!$T$5:$T$528,$T104))),$E104*INDEX('Market Data'!$T$5:$T$528,$T104)/INDEX('Market Data'!$F$5:$F$528,$T104)-1,"unavailable"),"unavailable"))</f>
        <v/>
      </c>
      <c r="O104" s="9">
        <f>IF($T104=0,"",IF(IF(INDEX('Market Data'!$J$5:$J$528,$T104)=0,0,IF(LEFT(INDEX('Market Data'!$AS$5:$AS$66,INDEX('Market Data'!$J$5:$J$528,$T104)-4),11)="First-month",1,0))=1,"Class ratio review",IF($I104="Bloomberg",IF(ISNUMBER($G104),IF($G104&lt;TODAY(),"Older quote","See quote time"),"Date unavailable"),IF($I104="Snapshot",IF($G104&lt;DATEVALUE("2026-10-02"),"Older snapshot","Dated close"),"No valid quote"))))</f>
        <v/>
      </c>
      <c r="P104" s="14">
        <f>IF($T104=0,"",IF(INDEX('Market Data'!$J$5:$J$528,$T104)=0,"n/a",IF($Q104="Bloomberg",IF(AND(ISNUMBER(INDEX('Market Data'!$AK$5:$AK$66,INDEX('Market Data'!$J$5:$J$528,$T104)-4)),N(INDEX('Market Data'!$AK$5:$AK$66,INDEX('Market Data'!$J$5:$J$528,$T104)-4))&gt;0),INDEX('Market Data'!$AK$5:$AK$66,INDEX('Market Data'!$J$5:$J$528,$T104)-4),"date unavailable"),IF($Q104="Snapshot",IF(AND(ISNUMBER(INDEX('Market Data'!$AF$5:$AF$66,INDEX('Market Data'!$J$5:$J$528,$T104)-4)),N(INDEX('Market Data'!$AF$5:$AF$66,INDEX('Market Data'!$J$5:$J$528,$T104)-4))&gt;0),INDEX('Market Data'!$AF$5:$AF$66,INDEX('Market Data'!$J$5:$J$528,$T104)-4),"date unavailable"),"date unavailable"))))</f>
        <v/>
      </c>
      <c r="Q104" s="15">
        <f>IF($T104=0,"",IF(INDEX('Market Data'!$J$5:$J$528,$T104)=0,"n/a",IF(AND($M$5&lt;&gt;"Snapshot",ISNUMBER(INDEX('Market Data'!$AH$5:$AH$66,INDEX('Market Data'!$J$5:$J$528,$T104)-4)),N(INDEX('Market Data'!$AH$5:$AH$66,INDEX('Market Data'!$J$5:$J$528,$T104)-4))&gt;0),"Bloomberg",IF(AND($M$5&lt;&gt;"Bloomberg",ISNUMBER(INDEX('Market Data'!$AC$5:$AC$66,INDEX('Market Data'!$J$5:$J$528,$T104)-4)),N(INDEX('Market Data'!$AC$5:$AC$66,INDEX('Market Data'!$J$5:$J$528,$T104)-4))&gt;0),"Snapshot","Unavailable"))))</f>
        <v/>
      </c>
      <c r="T104">
        <f>IFERROR(MATCH(96,'Market Data'!$S$5:$S$528,0),0)</f>
        <v/>
      </c>
    </row>
    <row r="105" ht="34" customHeight="1">
      <c r="A105" s="8">
        <f>IF($T105=0,"",IF(INDEX('Market Data'!$A$5:$A$528,$T105)="","",INDEX('Market Data'!$A$5:$A$528,$T105)))</f>
        <v/>
      </c>
      <c r="B105" s="9">
        <f>IF($T105=0,"",IF(INDEX('Market Data'!$B$5:$B$528,$T105)="","",INDEX('Market Data'!$B$5:$B$528,$T105)))</f>
        <v/>
      </c>
      <c r="C105" s="9">
        <f>IF($T105=0,"",IF(INDEX('Market Data'!$C$5:$C$528,$T105)="","",INDEX('Market Data'!$C$5:$C$528,$T105)))</f>
        <v/>
      </c>
      <c r="D105" s="9">
        <f>IF($T105=0,"",IF(INDEX('Market Data'!$D$5:$D$528,$T105)="","",INDEX('Market Data'!$D$5:$D$528,$T105)))</f>
        <v/>
      </c>
      <c r="E105" s="10">
        <f>IF($T105=0,"",INDEX('Market Data'!$O$5:$O$528,$T105))</f>
        <v/>
      </c>
      <c r="F105" s="11">
        <f>IF($T105=0,"",IF(AND($I105="Bloomberg",ISNUMBER(INDEX('Market Data'!$L$5:$L$528,$T105))),INDEX('Market Data'!$L$5:$L$528,$T105),"unavailable"))</f>
        <v/>
      </c>
      <c r="G105" s="12">
        <f>IF($T105=0,"",IF($I105="Bloomberg",IF(AND(ISNUMBER(INDEX('Market Data'!$M$5:$M$528,$T105)),N(INDEX('Market Data'!$M$5:$M$528,$T105))&gt;0),INDEX('Market Data'!$M$5:$M$528,$T105),"date unavailable"),IF($I105="Snapshot",IF(AND(ISNUMBER(INDEX('Market Data'!$H$5:$H$528,$T105)),N(INDEX('Market Data'!$H$5:$H$528,$T105))&gt;0),INDEX('Market Data'!$H$5:$H$528,$T105),"date unavailable"),"date unavailable")))</f>
        <v/>
      </c>
      <c r="H105" s="9">
        <f>IF($T105=0,"",IF($I105="Bloomberg",IF(INDEX('Market Data'!$N$5:$N$528,$T105)="","time unavailable",INDEX('Market Data'!$N$5:$N$528,$T105)),""))</f>
        <v/>
      </c>
      <c r="I105" s="9">
        <f>IF($T105=0,"",INDEX('Market Data'!$P$5:$P$528,$T105))</f>
        <v/>
      </c>
      <c r="J105" s="13">
        <f>IF($T105=0,"",IF(INDEX('Market Data'!$E$5:$E$528,$T105)="","",INDEX('Market Data'!$E$5:$E$528,$T105)))</f>
        <v/>
      </c>
      <c r="K105" s="8">
        <f>IF($T105=0,"",IF(INDEX('Market Data'!$I$5:$I$528,$T105)="","",INDEX('Market Data'!$I$5:$I$528,$T105)))</f>
        <v/>
      </c>
      <c r="L105" s="10">
        <f>IF($T105=0,"",IF(INDEX('Market Data'!$J$5:$J$528,$T105)=0,"n/a",IF(AND($M$5&lt;&gt;"Snapshot",ISNUMBER(INDEX('Market Data'!$AH$5:$AH$66,INDEX('Market Data'!$J$5:$J$528,$T105)-4)),N(INDEX('Market Data'!$AH$5:$AH$66,INDEX('Market Data'!$J$5:$J$528,$T105)-4))&gt;0),INDEX('Market Data'!$AH$5:$AH$66,INDEX('Market Data'!$J$5:$J$528,$T105)-4),IF(AND($M$5&lt;&gt;"Bloomberg",ISNUMBER(INDEX('Market Data'!$AC$5:$AC$66,INDEX('Market Data'!$J$5:$J$528,$T105)-4)),N(INDEX('Market Data'!$AC$5:$AC$66,INDEX('Market Data'!$J$5:$J$528,$T105)-4))&gt;0),INDEX('Market Data'!$AC$5:$AC$66,INDEX('Market Data'!$J$5:$J$528,$T105)-4),"unavailable"))))</f>
        <v/>
      </c>
      <c r="M105" s="11">
        <f>IF($T105=0,"",IF(INDEX('Market Data'!$J$5:$J$528,$T105)=0,"n/a",IF(IF(INDEX('Market Data'!$J$5:$J$528,$T105)=0,0,IF(LEFT(INDEX('Market Data'!$AS$5:$AS$66,INDEX('Market Data'!$J$5:$J$528,$T105)-4),11)="First-month",1,0))=1,"class review",IF($I105="Bloomberg",IF(AND(ISNUMBER(INDEX('Market Data'!$AH$5:$AH$66,INDEX('Market Data'!$J$5:$J$528,$T105)-4)),N(INDEX('Market Data'!$AH$5:$AH$66,INDEX('Market Data'!$J$5:$J$528,$T105)-4))&gt;0,ISNUMBER('Market Data'!$B$1),N('Market Data'!$B$1)&gt;0),INDEX('Market Data'!$AH$5:$AH$66,INDEX('Market Data'!$J$5:$J$528,$T105)-4)*'Market Data'!$B$1/$E105-1,"pending A/FX"),IF(AND($I105="Snapshot",$Q105="Snapshot",ISNUMBER($E105),$G105=INDEX('Market Data'!$AE$5:$AE$66,INDEX('Market Data'!$J$5:$J$528,$T105)-4)),IFERROR(INDEX('Market Data'!$AC$5:$AC$66,INDEX('Market Data'!$J$5:$J$528,$T105)-4)*INDEX('Market Data'!$AD$5:$AD$66,INDEX('Market Data'!$J$5:$J$528,$T105)-4)/$E105-1,"unavailable"),IF($I105="Unavailable","unavailable","date mismatch"))))))</f>
        <v/>
      </c>
      <c r="N105" s="11">
        <f>IF($T105=0,"",IFERROR(IF(AND(N(INDEX('Market Data'!$F$5:$F$528,$T105))&gt;0,ISNUMBER(INDEX('Market Data'!$T$5:$T$528,$T105))),$E105*INDEX('Market Data'!$T$5:$T$528,$T105)/INDEX('Market Data'!$F$5:$F$528,$T105)-1,"unavailable"),"unavailable"))</f>
        <v/>
      </c>
      <c r="O105" s="9">
        <f>IF($T105=0,"",IF(IF(INDEX('Market Data'!$J$5:$J$528,$T105)=0,0,IF(LEFT(INDEX('Market Data'!$AS$5:$AS$66,INDEX('Market Data'!$J$5:$J$528,$T105)-4),11)="First-month",1,0))=1,"Class ratio review",IF($I105="Bloomberg",IF(ISNUMBER($G105),IF($G105&lt;TODAY(),"Older quote","See quote time"),"Date unavailable"),IF($I105="Snapshot",IF($G105&lt;DATEVALUE("2026-10-02"),"Older snapshot","Dated close"),"No valid quote"))))</f>
        <v/>
      </c>
      <c r="P105" s="14">
        <f>IF($T105=0,"",IF(INDEX('Market Data'!$J$5:$J$528,$T105)=0,"n/a",IF($Q105="Bloomberg",IF(AND(ISNUMBER(INDEX('Market Data'!$AK$5:$AK$66,INDEX('Market Data'!$J$5:$J$528,$T105)-4)),N(INDEX('Market Data'!$AK$5:$AK$66,INDEX('Market Data'!$J$5:$J$528,$T105)-4))&gt;0),INDEX('Market Data'!$AK$5:$AK$66,INDEX('Market Data'!$J$5:$J$528,$T105)-4),"date unavailable"),IF($Q105="Snapshot",IF(AND(ISNUMBER(INDEX('Market Data'!$AF$5:$AF$66,INDEX('Market Data'!$J$5:$J$528,$T105)-4)),N(INDEX('Market Data'!$AF$5:$AF$66,INDEX('Market Data'!$J$5:$J$528,$T105)-4))&gt;0),INDEX('Market Data'!$AF$5:$AF$66,INDEX('Market Data'!$J$5:$J$528,$T105)-4),"date unavailable"),"date unavailable"))))</f>
        <v/>
      </c>
      <c r="Q105" s="15">
        <f>IF($T105=0,"",IF(INDEX('Market Data'!$J$5:$J$528,$T105)=0,"n/a",IF(AND($M$5&lt;&gt;"Snapshot",ISNUMBER(INDEX('Market Data'!$AH$5:$AH$66,INDEX('Market Data'!$J$5:$J$528,$T105)-4)),N(INDEX('Market Data'!$AH$5:$AH$66,INDEX('Market Data'!$J$5:$J$528,$T105)-4))&gt;0),"Bloomberg",IF(AND($M$5&lt;&gt;"Bloomberg",ISNUMBER(INDEX('Market Data'!$AC$5:$AC$66,INDEX('Market Data'!$J$5:$J$528,$T105)-4)),N(INDEX('Market Data'!$AC$5:$AC$66,INDEX('Market Data'!$J$5:$J$528,$T105)-4))&gt;0),"Snapshot","Unavailable"))))</f>
        <v/>
      </c>
      <c r="T105">
        <f>IFERROR(MATCH(97,'Market Data'!$S$5:$S$528,0),0)</f>
        <v/>
      </c>
    </row>
    <row r="106" ht="34" customHeight="1">
      <c r="A106" s="8">
        <f>IF($T106=0,"",IF(INDEX('Market Data'!$A$5:$A$528,$T106)="","",INDEX('Market Data'!$A$5:$A$528,$T106)))</f>
        <v/>
      </c>
      <c r="B106" s="9">
        <f>IF($T106=0,"",IF(INDEX('Market Data'!$B$5:$B$528,$T106)="","",INDEX('Market Data'!$B$5:$B$528,$T106)))</f>
        <v/>
      </c>
      <c r="C106" s="9">
        <f>IF($T106=0,"",IF(INDEX('Market Data'!$C$5:$C$528,$T106)="","",INDEX('Market Data'!$C$5:$C$528,$T106)))</f>
        <v/>
      </c>
      <c r="D106" s="9">
        <f>IF($T106=0,"",IF(INDEX('Market Data'!$D$5:$D$528,$T106)="","",INDEX('Market Data'!$D$5:$D$528,$T106)))</f>
        <v/>
      </c>
      <c r="E106" s="10">
        <f>IF($T106=0,"",INDEX('Market Data'!$O$5:$O$528,$T106))</f>
        <v/>
      </c>
      <c r="F106" s="11">
        <f>IF($T106=0,"",IF(AND($I106="Bloomberg",ISNUMBER(INDEX('Market Data'!$L$5:$L$528,$T106))),INDEX('Market Data'!$L$5:$L$528,$T106),"unavailable"))</f>
        <v/>
      </c>
      <c r="G106" s="12">
        <f>IF($T106=0,"",IF($I106="Bloomberg",IF(AND(ISNUMBER(INDEX('Market Data'!$M$5:$M$528,$T106)),N(INDEX('Market Data'!$M$5:$M$528,$T106))&gt;0),INDEX('Market Data'!$M$5:$M$528,$T106),"date unavailable"),IF($I106="Snapshot",IF(AND(ISNUMBER(INDEX('Market Data'!$H$5:$H$528,$T106)),N(INDEX('Market Data'!$H$5:$H$528,$T106))&gt;0),INDEX('Market Data'!$H$5:$H$528,$T106),"date unavailable"),"date unavailable")))</f>
        <v/>
      </c>
      <c r="H106" s="9">
        <f>IF($T106=0,"",IF($I106="Bloomberg",IF(INDEX('Market Data'!$N$5:$N$528,$T106)="","time unavailable",INDEX('Market Data'!$N$5:$N$528,$T106)),""))</f>
        <v/>
      </c>
      <c r="I106" s="9">
        <f>IF($T106=0,"",INDEX('Market Data'!$P$5:$P$528,$T106))</f>
        <v/>
      </c>
      <c r="J106" s="13">
        <f>IF($T106=0,"",IF(INDEX('Market Data'!$E$5:$E$528,$T106)="","",INDEX('Market Data'!$E$5:$E$528,$T106)))</f>
        <v/>
      </c>
      <c r="K106" s="8">
        <f>IF($T106=0,"",IF(INDEX('Market Data'!$I$5:$I$528,$T106)="","",INDEX('Market Data'!$I$5:$I$528,$T106)))</f>
        <v/>
      </c>
      <c r="L106" s="10">
        <f>IF($T106=0,"",IF(INDEX('Market Data'!$J$5:$J$528,$T106)=0,"n/a",IF(AND($M$5&lt;&gt;"Snapshot",ISNUMBER(INDEX('Market Data'!$AH$5:$AH$66,INDEX('Market Data'!$J$5:$J$528,$T106)-4)),N(INDEX('Market Data'!$AH$5:$AH$66,INDEX('Market Data'!$J$5:$J$528,$T106)-4))&gt;0),INDEX('Market Data'!$AH$5:$AH$66,INDEX('Market Data'!$J$5:$J$528,$T106)-4),IF(AND($M$5&lt;&gt;"Bloomberg",ISNUMBER(INDEX('Market Data'!$AC$5:$AC$66,INDEX('Market Data'!$J$5:$J$528,$T106)-4)),N(INDEX('Market Data'!$AC$5:$AC$66,INDEX('Market Data'!$J$5:$J$528,$T106)-4))&gt;0),INDEX('Market Data'!$AC$5:$AC$66,INDEX('Market Data'!$J$5:$J$528,$T106)-4),"unavailable"))))</f>
        <v/>
      </c>
      <c r="M106" s="11">
        <f>IF($T106=0,"",IF(INDEX('Market Data'!$J$5:$J$528,$T106)=0,"n/a",IF(IF(INDEX('Market Data'!$J$5:$J$528,$T106)=0,0,IF(LEFT(INDEX('Market Data'!$AS$5:$AS$66,INDEX('Market Data'!$J$5:$J$528,$T106)-4),11)="First-month",1,0))=1,"class review",IF($I106="Bloomberg",IF(AND(ISNUMBER(INDEX('Market Data'!$AH$5:$AH$66,INDEX('Market Data'!$J$5:$J$528,$T106)-4)),N(INDEX('Market Data'!$AH$5:$AH$66,INDEX('Market Data'!$J$5:$J$528,$T106)-4))&gt;0,ISNUMBER('Market Data'!$B$1),N('Market Data'!$B$1)&gt;0),INDEX('Market Data'!$AH$5:$AH$66,INDEX('Market Data'!$J$5:$J$528,$T106)-4)*'Market Data'!$B$1/$E106-1,"pending A/FX"),IF(AND($I106="Snapshot",$Q106="Snapshot",ISNUMBER($E106),$G106=INDEX('Market Data'!$AE$5:$AE$66,INDEX('Market Data'!$J$5:$J$528,$T106)-4)),IFERROR(INDEX('Market Data'!$AC$5:$AC$66,INDEX('Market Data'!$J$5:$J$528,$T106)-4)*INDEX('Market Data'!$AD$5:$AD$66,INDEX('Market Data'!$J$5:$J$528,$T106)-4)/$E106-1,"unavailable"),IF($I106="Unavailable","unavailable","date mismatch"))))))</f>
        <v/>
      </c>
      <c r="N106" s="11">
        <f>IF($T106=0,"",IFERROR(IF(AND(N(INDEX('Market Data'!$F$5:$F$528,$T106))&gt;0,ISNUMBER(INDEX('Market Data'!$T$5:$T$528,$T106))),$E106*INDEX('Market Data'!$T$5:$T$528,$T106)/INDEX('Market Data'!$F$5:$F$528,$T106)-1,"unavailable"),"unavailable"))</f>
        <v/>
      </c>
      <c r="O106" s="9">
        <f>IF($T106=0,"",IF(IF(INDEX('Market Data'!$J$5:$J$528,$T106)=0,0,IF(LEFT(INDEX('Market Data'!$AS$5:$AS$66,INDEX('Market Data'!$J$5:$J$528,$T106)-4),11)="First-month",1,0))=1,"Class ratio review",IF($I106="Bloomberg",IF(ISNUMBER($G106),IF($G106&lt;TODAY(),"Older quote","See quote time"),"Date unavailable"),IF($I106="Snapshot",IF($G106&lt;DATEVALUE("2026-10-02"),"Older snapshot","Dated close"),"No valid quote"))))</f>
        <v/>
      </c>
      <c r="P106" s="14">
        <f>IF($T106=0,"",IF(INDEX('Market Data'!$J$5:$J$528,$T106)=0,"n/a",IF($Q106="Bloomberg",IF(AND(ISNUMBER(INDEX('Market Data'!$AK$5:$AK$66,INDEX('Market Data'!$J$5:$J$528,$T106)-4)),N(INDEX('Market Data'!$AK$5:$AK$66,INDEX('Market Data'!$J$5:$J$528,$T106)-4))&gt;0),INDEX('Market Data'!$AK$5:$AK$66,INDEX('Market Data'!$J$5:$J$528,$T106)-4),"date unavailable"),IF($Q106="Snapshot",IF(AND(ISNUMBER(INDEX('Market Data'!$AF$5:$AF$66,INDEX('Market Data'!$J$5:$J$528,$T106)-4)),N(INDEX('Market Data'!$AF$5:$AF$66,INDEX('Market Data'!$J$5:$J$528,$T106)-4))&gt;0),INDEX('Market Data'!$AF$5:$AF$66,INDEX('Market Data'!$J$5:$J$528,$T106)-4),"date unavailable"),"date unavailable"))))</f>
        <v/>
      </c>
      <c r="Q106" s="15">
        <f>IF($T106=0,"",IF(INDEX('Market Data'!$J$5:$J$528,$T106)=0,"n/a",IF(AND($M$5&lt;&gt;"Snapshot",ISNUMBER(INDEX('Market Data'!$AH$5:$AH$66,INDEX('Market Data'!$J$5:$J$528,$T106)-4)),N(INDEX('Market Data'!$AH$5:$AH$66,INDEX('Market Data'!$J$5:$J$528,$T106)-4))&gt;0),"Bloomberg",IF(AND($M$5&lt;&gt;"Bloomberg",ISNUMBER(INDEX('Market Data'!$AC$5:$AC$66,INDEX('Market Data'!$J$5:$J$528,$T106)-4)),N(INDEX('Market Data'!$AC$5:$AC$66,INDEX('Market Data'!$J$5:$J$528,$T106)-4))&gt;0),"Snapshot","Unavailable"))))</f>
        <v/>
      </c>
      <c r="T106">
        <f>IFERROR(MATCH(98,'Market Data'!$S$5:$S$528,0),0)</f>
        <v/>
      </c>
    </row>
    <row r="107" ht="34" customHeight="1">
      <c r="A107" s="8">
        <f>IF($T107=0,"",IF(INDEX('Market Data'!$A$5:$A$528,$T107)="","",INDEX('Market Data'!$A$5:$A$528,$T107)))</f>
        <v/>
      </c>
      <c r="B107" s="9">
        <f>IF($T107=0,"",IF(INDEX('Market Data'!$B$5:$B$528,$T107)="","",INDEX('Market Data'!$B$5:$B$528,$T107)))</f>
        <v/>
      </c>
      <c r="C107" s="9">
        <f>IF($T107=0,"",IF(INDEX('Market Data'!$C$5:$C$528,$T107)="","",INDEX('Market Data'!$C$5:$C$528,$T107)))</f>
        <v/>
      </c>
      <c r="D107" s="9">
        <f>IF($T107=0,"",IF(INDEX('Market Data'!$D$5:$D$528,$T107)="","",INDEX('Market Data'!$D$5:$D$528,$T107)))</f>
        <v/>
      </c>
      <c r="E107" s="10">
        <f>IF($T107=0,"",INDEX('Market Data'!$O$5:$O$528,$T107))</f>
        <v/>
      </c>
      <c r="F107" s="11">
        <f>IF($T107=0,"",IF(AND($I107="Bloomberg",ISNUMBER(INDEX('Market Data'!$L$5:$L$528,$T107))),INDEX('Market Data'!$L$5:$L$528,$T107),"unavailable"))</f>
        <v/>
      </c>
      <c r="G107" s="12">
        <f>IF($T107=0,"",IF($I107="Bloomberg",IF(AND(ISNUMBER(INDEX('Market Data'!$M$5:$M$528,$T107)),N(INDEX('Market Data'!$M$5:$M$528,$T107))&gt;0),INDEX('Market Data'!$M$5:$M$528,$T107),"date unavailable"),IF($I107="Snapshot",IF(AND(ISNUMBER(INDEX('Market Data'!$H$5:$H$528,$T107)),N(INDEX('Market Data'!$H$5:$H$528,$T107))&gt;0),INDEX('Market Data'!$H$5:$H$528,$T107),"date unavailable"),"date unavailable")))</f>
        <v/>
      </c>
      <c r="H107" s="9">
        <f>IF($T107=0,"",IF($I107="Bloomberg",IF(INDEX('Market Data'!$N$5:$N$528,$T107)="","time unavailable",INDEX('Market Data'!$N$5:$N$528,$T107)),""))</f>
        <v/>
      </c>
      <c r="I107" s="9">
        <f>IF($T107=0,"",INDEX('Market Data'!$P$5:$P$528,$T107))</f>
        <v/>
      </c>
      <c r="J107" s="13">
        <f>IF($T107=0,"",IF(INDEX('Market Data'!$E$5:$E$528,$T107)="","",INDEX('Market Data'!$E$5:$E$528,$T107)))</f>
        <v/>
      </c>
      <c r="K107" s="8">
        <f>IF($T107=0,"",IF(INDEX('Market Data'!$I$5:$I$528,$T107)="","",INDEX('Market Data'!$I$5:$I$528,$T107)))</f>
        <v/>
      </c>
      <c r="L107" s="10">
        <f>IF($T107=0,"",IF(INDEX('Market Data'!$J$5:$J$528,$T107)=0,"n/a",IF(AND($M$5&lt;&gt;"Snapshot",ISNUMBER(INDEX('Market Data'!$AH$5:$AH$66,INDEX('Market Data'!$J$5:$J$528,$T107)-4)),N(INDEX('Market Data'!$AH$5:$AH$66,INDEX('Market Data'!$J$5:$J$528,$T107)-4))&gt;0),INDEX('Market Data'!$AH$5:$AH$66,INDEX('Market Data'!$J$5:$J$528,$T107)-4),IF(AND($M$5&lt;&gt;"Bloomberg",ISNUMBER(INDEX('Market Data'!$AC$5:$AC$66,INDEX('Market Data'!$J$5:$J$528,$T107)-4)),N(INDEX('Market Data'!$AC$5:$AC$66,INDEX('Market Data'!$J$5:$J$528,$T107)-4))&gt;0),INDEX('Market Data'!$AC$5:$AC$66,INDEX('Market Data'!$J$5:$J$528,$T107)-4),"unavailable"))))</f>
        <v/>
      </c>
      <c r="M107" s="11">
        <f>IF($T107=0,"",IF(INDEX('Market Data'!$J$5:$J$528,$T107)=0,"n/a",IF(IF(INDEX('Market Data'!$J$5:$J$528,$T107)=0,0,IF(LEFT(INDEX('Market Data'!$AS$5:$AS$66,INDEX('Market Data'!$J$5:$J$528,$T107)-4),11)="First-month",1,0))=1,"class review",IF($I107="Bloomberg",IF(AND(ISNUMBER(INDEX('Market Data'!$AH$5:$AH$66,INDEX('Market Data'!$J$5:$J$528,$T107)-4)),N(INDEX('Market Data'!$AH$5:$AH$66,INDEX('Market Data'!$J$5:$J$528,$T107)-4))&gt;0,ISNUMBER('Market Data'!$B$1),N('Market Data'!$B$1)&gt;0),INDEX('Market Data'!$AH$5:$AH$66,INDEX('Market Data'!$J$5:$J$528,$T107)-4)*'Market Data'!$B$1/$E107-1,"pending A/FX"),IF(AND($I107="Snapshot",$Q107="Snapshot",ISNUMBER($E107),$G107=INDEX('Market Data'!$AE$5:$AE$66,INDEX('Market Data'!$J$5:$J$528,$T107)-4)),IFERROR(INDEX('Market Data'!$AC$5:$AC$66,INDEX('Market Data'!$J$5:$J$528,$T107)-4)*INDEX('Market Data'!$AD$5:$AD$66,INDEX('Market Data'!$J$5:$J$528,$T107)-4)/$E107-1,"unavailable"),IF($I107="Unavailable","unavailable","date mismatch"))))))</f>
        <v/>
      </c>
      <c r="N107" s="11">
        <f>IF($T107=0,"",IFERROR(IF(AND(N(INDEX('Market Data'!$F$5:$F$528,$T107))&gt;0,ISNUMBER(INDEX('Market Data'!$T$5:$T$528,$T107))),$E107*INDEX('Market Data'!$T$5:$T$528,$T107)/INDEX('Market Data'!$F$5:$F$528,$T107)-1,"unavailable"),"unavailable"))</f>
        <v/>
      </c>
      <c r="O107" s="9">
        <f>IF($T107=0,"",IF(IF(INDEX('Market Data'!$J$5:$J$528,$T107)=0,0,IF(LEFT(INDEX('Market Data'!$AS$5:$AS$66,INDEX('Market Data'!$J$5:$J$528,$T107)-4),11)="First-month",1,0))=1,"Class ratio review",IF($I107="Bloomberg",IF(ISNUMBER($G107),IF($G107&lt;TODAY(),"Older quote","See quote time"),"Date unavailable"),IF($I107="Snapshot",IF($G107&lt;DATEVALUE("2026-10-02"),"Older snapshot","Dated close"),"No valid quote"))))</f>
        <v/>
      </c>
      <c r="P107" s="14">
        <f>IF($T107=0,"",IF(INDEX('Market Data'!$J$5:$J$528,$T107)=0,"n/a",IF($Q107="Bloomberg",IF(AND(ISNUMBER(INDEX('Market Data'!$AK$5:$AK$66,INDEX('Market Data'!$J$5:$J$528,$T107)-4)),N(INDEX('Market Data'!$AK$5:$AK$66,INDEX('Market Data'!$J$5:$J$528,$T107)-4))&gt;0),INDEX('Market Data'!$AK$5:$AK$66,INDEX('Market Data'!$J$5:$J$528,$T107)-4),"date unavailable"),IF($Q107="Snapshot",IF(AND(ISNUMBER(INDEX('Market Data'!$AF$5:$AF$66,INDEX('Market Data'!$J$5:$J$528,$T107)-4)),N(INDEX('Market Data'!$AF$5:$AF$66,INDEX('Market Data'!$J$5:$J$528,$T107)-4))&gt;0),INDEX('Market Data'!$AF$5:$AF$66,INDEX('Market Data'!$J$5:$J$528,$T107)-4),"date unavailable"),"date unavailable"))))</f>
        <v/>
      </c>
      <c r="Q107" s="15">
        <f>IF($T107=0,"",IF(INDEX('Market Data'!$J$5:$J$528,$T107)=0,"n/a",IF(AND($M$5&lt;&gt;"Snapshot",ISNUMBER(INDEX('Market Data'!$AH$5:$AH$66,INDEX('Market Data'!$J$5:$J$528,$T107)-4)),N(INDEX('Market Data'!$AH$5:$AH$66,INDEX('Market Data'!$J$5:$J$528,$T107)-4))&gt;0),"Bloomberg",IF(AND($M$5&lt;&gt;"Bloomberg",ISNUMBER(INDEX('Market Data'!$AC$5:$AC$66,INDEX('Market Data'!$J$5:$J$528,$T107)-4)),N(INDEX('Market Data'!$AC$5:$AC$66,INDEX('Market Data'!$J$5:$J$528,$T107)-4))&gt;0),"Snapshot","Unavailable"))))</f>
        <v/>
      </c>
      <c r="T107">
        <f>IFERROR(MATCH(99,'Market Data'!$S$5:$S$528,0),0)</f>
        <v/>
      </c>
    </row>
    <row r="108" ht="34" customHeight="1">
      <c r="A108" s="8">
        <f>IF($T108=0,"",IF(INDEX('Market Data'!$A$5:$A$528,$T108)="","",INDEX('Market Data'!$A$5:$A$528,$T108)))</f>
        <v/>
      </c>
      <c r="B108" s="9">
        <f>IF($T108=0,"",IF(INDEX('Market Data'!$B$5:$B$528,$T108)="","",INDEX('Market Data'!$B$5:$B$528,$T108)))</f>
        <v/>
      </c>
      <c r="C108" s="9">
        <f>IF($T108=0,"",IF(INDEX('Market Data'!$C$5:$C$528,$T108)="","",INDEX('Market Data'!$C$5:$C$528,$T108)))</f>
        <v/>
      </c>
      <c r="D108" s="9">
        <f>IF($T108=0,"",IF(INDEX('Market Data'!$D$5:$D$528,$T108)="","",INDEX('Market Data'!$D$5:$D$528,$T108)))</f>
        <v/>
      </c>
      <c r="E108" s="10">
        <f>IF($T108=0,"",INDEX('Market Data'!$O$5:$O$528,$T108))</f>
        <v/>
      </c>
      <c r="F108" s="11">
        <f>IF($T108=0,"",IF(AND($I108="Bloomberg",ISNUMBER(INDEX('Market Data'!$L$5:$L$528,$T108))),INDEX('Market Data'!$L$5:$L$528,$T108),"unavailable"))</f>
        <v/>
      </c>
      <c r="G108" s="12">
        <f>IF($T108=0,"",IF($I108="Bloomberg",IF(AND(ISNUMBER(INDEX('Market Data'!$M$5:$M$528,$T108)),N(INDEX('Market Data'!$M$5:$M$528,$T108))&gt;0),INDEX('Market Data'!$M$5:$M$528,$T108),"date unavailable"),IF($I108="Snapshot",IF(AND(ISNUMBER(INDEX('Market Data'!$H$5:$H$528,$T108)),N(INDEX('Market Data'!$H$5:$H$528,$T108))&gt;0),INDEX('Market Data'!$H$5:$H$528,$T108),"date unavailable"),"date unavailable")))</f>
        <v/>
      </c>
      <c r="H108" s="9">
        <f>IF($T108=0,"",IF($I108="Bloomberg",IF(INDEX('Market Data'!$N$5:$N$528,$T108)="","time unavailable",INDEX('Market Data'!$N$5:$N$528,$T108)),""))</f>
        <v/>
      </c>
      <c r="I108" s="9">
        <f>IF($T108=0,"",INDEX('Market Data'!$P$5:$P$528,$T108))</f>
        <v/>
      </c>
      <c r="J108" s="13">
        <f>IF($T108=0,"",IF(INDEX('Market Data'!$E$5:$E$528,$T108)="","",INDEX('Market Data'!$E$5:$E$528,$T108)))</f>
        <v/>
      </c>
      <c r="K108" s="8">
        <f>IF($T108=0,"",IF(INDEX('Market Data'!$I$5:$I$528,$T108)="","",INDEX('Market Data'!$I$5:$I$528,$T108)))</f>
        <v/>
      </c>
      <c r="L108" s="10">
        <f>IF($T108=0,"",IF(INDEX('Market Data'!$J$5:$J$528,$T108)=0,"n/a",IF(AND($M$5&lt;&gt;"Snapshot",ISNUMBER(INDEX('Market Data'!$AH$5:$AH$66,INDEX('Market Data'!$J$5:$J$528,$T108)-4)),N(INDEX('Market Data'!$AH$5:$AH$66,INDEX('Market Data'!$J$5:$J$528,$T108)-4))&gt;0),INDEX('Market Data'!$AH$5:$AH$66,INDEX('Market Data'!$J$5:$J$528,$T108)-4),IF(AND($M$5&lt;&gt;"Bloomberg",ISNUMBER(INDEX('Market Data'!$AC$5:$AC$66,INDEX('Market Data'!$J$5:$J$528,$T108)-4)),N(INDEX('Market Data'!$AC$5:$AC$66,INDEX('Market Data'!$J$5:$J$528,$T108)-4))&gt;0),INDEX('Market Data'!$AC$5:$AC$66,INDEX('Market Data'!$J$5:$J$528,$T108)-4),"unavailable"))))</f>
        <v/>
      </c>
      <c r="M108" s="11">
        <f>IF($T108=0,"",IF(INDEX('Market Data'!$J$5:$J$528,$T108)=0,"n/a",IF(IF(INDEX('Market Data'!$J$5:$J$528,$T108)=0,0,IF(LEFT(INDEX('Market Data'!$AS$5:$AS$66,INDEX('Market Data'!$J$5:$J$528,$T108)-4),11)="First-month",1,0))=1,"class review",IF($I108="Bloomberg",IF(AND(ISNUMBER(INDEX('Market Data'!$AH$5:$AH$66,INDEX('Market Data'!$J$5:$J$528,$T108)-4)),N(INDEX('Market Data'!$AH$5:$AH$66,INDEX('Market Data'!$J$5:$J$528,$T108)-4))&gt;0,ISNUMBER('Market Data'!$B$1),N('Market Data'!$B$1)&gt;0),INDEX('Market Data'!$AH$5:$AH$66,INDEX('Market Data'!$J$5:$J$528,$T108)-4)*'Market Data'!$B$1/$E108-1,"pending A/FX"),IF(AND($I108="Snapshot",$Q108="Snapshot",ISNUMBER($E108),$G108=INDEX('Market Data'!$AE$5:$AE$66,INDEX('Market Data'!$J$5:$J$528,$T108)-4)),IFERROR(INDEX('Market Data'!$AC$5:$AC$66,INDEX('Market Data'!$J$5:$J$528,$T108)-4)*INDEX('Market Data'!$AD$5:$AD$66,INDEX('Market Data'!$J$5:$J$528,$T108)-4)/$E108-1,"unavailable"),IF($I108="Unavailable","unavailable","date mismatch"))))))</f>
        <v/>
      </c>
      <c r="N108" s="11">
        <f>IF($T108=0,"",IFERROR(IF(AND(N(INDEX('Market Data'!$F$5:$F$528,$T108))&gt;0,ISNUMBER(INDEX('Market Data'!$T$5:$T$528,$T108))),$E108*INDEX('Market Data'!$T$5:$T$528,$T108)/INDEX('Market Data'!$F$5:$F$528,$T108)-1,"unavailable"),"unavailable"))</f>
        <v/>
      </c>
      <c r="O108" s="9">
        <f>IF($T108=0,"",IF(IF(INDEX('Market Data'!$J$5:$J$528,$T108)=0,0,IF(LEFT(INDEX('Market Data'!$AS$5:$AS$66,INDEX('Market Data'!$J$5:$J$528,$T108)-4),11)="First-month",1,0))=1,"Class ratio review",IF($I108="Bloomberg",IF(ISNUMBER($G108),IF($G108&lt;TODAY(),"Older quote","See quote time"),"Date unavailable"),IF($I108="Snapshot",IF($G108&lt;DATEVALUE("2026-10-02"),"Older snapshot","Dated close"),"No valid quote"))))</f>
        <v/>
      </c>
      <c r="P108" s="14">
        <f>IF($T108=0,"",IF(INDEX('Market Data'!$J$5:$J$528,$T108)=0,"n/a",IF($Q108="Bloomberg",IF(AND(ISNUMBER(INDEX('Market Data'!$AK$5:$AK$66,INDEX('Market Data'!$J$5:$J$528,$T108)-4)),N(INDEX('Market Data'!$AK$5:$AK$66,INDEX('Market Data'!$J$5:$J$528,$T108)-4))&gt;0),INDEX('Market Data'!$AK$5:$AK$66,INDEX('Market Data'!$J$5:$J$528,$T108)-4),"date unavailable"),IF($Q108="Snapshot",IF(AND(ISNUMBER(INDEX('Market Data'!$AF$5:$AF$66,INDEX('Market Data'!$J$5:$J$528,$T108)-4)),N(INDEX('Market Data'!$AF$5:$AF$66,INDEX('Market Data'!$J$5:$J$528,$T108)-4))&gt;0),INDEX('Market Data'!$AF$5:$AF$66,INDEX('Market Data'!$J$5:$J$528,$T108)-4),"date unavailable"),"date unavailable"))))</f>
        <v/>
      </c>
      <c r="Q108" s="15">
        <f>IF($T108=0,"",IF(INDEX('Market Data'!$J$5:$J$528,$T108)=0,"n/a",IF(AND($M$5&lt;&gt;"Snapshot",ISNUMBER(INDEX('Market Data'!$AH$5:$AH$66,INDEX('Market Data'!$J$5:$J$528,$T108)-4)),N(INDEX('Market Data'!$AH$5:$AH$66,INDEX('Market Data'!$J$5:$J$528,$T108)-4))&gt;0),"Bloomberg",IF(AND($M$5&lt;&gt;"Bloomberg",ISNUMBER(INDEX('Market Data'!$AC$5:$AC$66,INDEX('Market Data'!$J$5:$J$528,$T108)-4)),N(INDEX('Market Data'!$AC$5:$AC$66,INDEX('Market Data'!$J$5:$J$528,$T108)-4))&gt;0),"Snapshot","Unavailable"))))</f>
        <v/>
      </c>
      <c r="T108">
        <f>IFERROR(MATCH(100,'Market Data'!$S$5:$S$528,0),0)</f>
        <v/>
      </c>
    </row>
    <row r="109" ht="34" customHeight="1">
      <c r="A109" s="8">
        <f>IF($T109=0,"",IF(INDEX('Market Data'!$A$5:$A$528,$T109)="","",INDEX('Market Data'!$A$5:$A$528,$T109)))</f>
        <v/>
      </c>
      <c r="B109" s="9">
        <f>IF($T109=0,"",IF(INDEX('Market Data'!$B$5:$B$528,$T109)="","",INDEX('Market Data'!$B$5:$B$528,$T109)))</f>
        <v/>
      </c>
      <c r="C109" s="9">
        <f>IF($T109=0,"",IF(INDEX('Market Data'!$C$5:$C$528,$T109)="","",INDEX('Market Data'!$C$5:$C$528,$T109)))</f>
        <v/>
      </c>
      <c r="D109" s="9">
        <f>IF($T109=0,"",IF(INDEX('Market Data'!$D$5:$D$528,$T109)="","",INDEX('Market Data'!$D$5:$D$528,$T109)))</f>
        <v/>
      </c>
      <c r="E109" s="10">
        <f>IF($T109=0,"",INDEX('Market Data'!$O$5:$O$528,$T109))</f>
        <v/>
      </c>
      <c r="F109" s="11">
        <f>IF($T109=0,"",IF(AND($I109="Bloomberg",ISNUMBER(INDEX('Market Data'!$L$5:$L$528,$T109))),INDEX('Market Data'!$L$5:$L$528,$T109),"unavailable"))</f>
        <v/>
      </c>
      <c r="G109" s="12">
        <f>IF($T109=0,"",IF($I109="Bloomberg",IF(AND(ISNUMBER(INDEX('Market Data'!$M$5:$M$528,$T109)),N(INDEX('Market Data'!$M$5:$M$528,$T109))&gt;0),INDEX('Market Data'!$M$5:$M$528,$T109),"date unavailable"),IF($I109="Snapshot",IF(AND(ISNUMBER(INDEX('Market Data'!$H$5:$H$528,$T109)),N(INDEX('Market Data'!$H$5:$H$528,$T109))&gt;0),INDEX('Market Data'!$H$5:$H$528,$T109),"date unavailable"),"date unavailable")))</f>
        <v/>
      </c>
      <c r="H109" s="9">
        <f>IF($T109=0,"",IF($I109="Bloomberg",IF(INDEX('Market Data'!$N$5:$N$528,$T109)="","time unavailable",INDEX('Market Data'!$N$5:$N$528,$T109)),""))</f>
        <v/>
      </c>
      <c r="I109" s="9">
        <f>IF($T109=0,"",INDEX('Market Data'!$P$5:$P$528,$T109))</f>
        <v/>
      </c>
      <c r="J109" s="13">
        <f>IF($T109=0,"",IF(INDEX('Market Data'!$E$5:$E$528,$T109)="","",INDEX('Market Data'!$E$5:$E$528,$T109)))</f>
        <v/>
      </c>
      <c r="K109" s="8">
        <f>IF($T109=0,"",IF(INDEX('Market Data'!$I$5:$I$528,$T109)="","",INDEX('Market Data'!$I$5:$I$528,$T109)))</f>
        <v/>
      </c>
      <c r="L109" s="10">
        <f>IF($T109=0,"",IF(INDEX('Market Data'!$J$5:$J$528,$T109)=0,"n/a",IF(AND($M$5&lt;&gt;"Snapshot",ISNUMBER(INDEX('Market Data'!$AH$5:$AH$66,INDEX('Market Data'!$J$5:$J$528,$T109)-4)),N(INDEX('Market Data'!$AH$5:$AH$66,INDEX('Market Data'!$J$5:$J$528,$T109)-4))&gt;0),INDEX('Market Data'!$AH$5:$AH$66,INDEX('Market Data'!$J$5:$J$528,$T109)-4),IF(AND($M$5&lt;&gt;"Bloomberg",ISNUMBER(INDEX('Market Data'!$AC$5:$AC$66,INDEX('Market Data'!$J$5:$J$528,$T109)-4)),N(INDEX('Market Data'!$AC$5:$AC$66,INDEX('Market Data'!$J$5:$J$528,$T109)-4))&gt;0),INDEX('Market Data'!$AC$5:$AC$66,INDEX('Market Data'!$J$5:$J$528,$T109)-4),"unavailable"))))</f>
        <v/>
      </c>
      <c r="M109" s="11">
        <f>IF($T109=0,"",IF(INDEX('Market Data'!$J$5:$J$528,$T109)=0,"n/a",IF(IF(INDEX('Market Data'!$J$5:$J$528,$T109)=0,0,IF(LEFT(INDEX('Market Data'!$AS$5:$AS$66,INDEX('Market Data'!$J$5:$J$528,$T109)-4),11)="First-month",1,0))=1,"class review",IF($I109="Bloomberg",IF(AND(ISNUMBER(INDEX('Market Data'!$AH$5:$AH$66,INDEX('Market Data'!$J$5:$J$528,$T109)-4)),N(INDEX('Market Data'!$AH$5:$AH$66,INDEX('Market Data'!$J$5:$J$528,$T109)-4))&gt;0,ISNUMBER('Market Data'!$B$1),N('Market Data'!$B$1)&gt;0),INDEX('Market Data'!$AH$5:$AH$66,INDEX('Market Data'!$J$5:$J$528,$T109)-4)*'Market Data'!$B$1/$E109-1,"pending A/FX"),IF(AND($I109="Snapshot",$Q109="Snapshot",ISNUMBER($E109),$G109=INDEX('Market Data'!$AE$5:$AE$66,INDEX('Market Data'!$J$5:$J$528,$T109)-4)),IFERROR(INDEX('Market Data'!$AC$5:$AC$66,INDEX('Market Data'!$J$5:$J$528,$T109)-4)*INDEX('Market Data'!$AD$5:$AD$66,INDEX('Market Data'!$J$5:$J$528,$T109)-4)/$E109-1,"unavailable"),IF($I109="Unavailable","unavailable","date mismatch"))))))</f>
        <v/>
      </c>
      <c r="N109" s="11">
        <f>IF($T109=0,"",IFERROR(IF(AND(N(INDEX('Market Data'!$F$5:$F$528,$T109))&gt;0,ISNUMBER(INDEX('Market Data'!$T$5:$T$528,$T109))),$E109*INDEX('Market Data'!$T$5:$T$528,$T109)/INDEX('Market Data'!$F$5:$F$528,$T109)-1,"unavailable"),"unavailable"))</f>
        <v/>
      </c>
      <c r="O109" s="9">
        <f>IF($T109=0,"",IF(IF(INDEX('Market Data'!$J$5:$J$528,$T109)=0,0,IF(LEFT(INDEX('Market Data'!$AS$5:$AS$66,INDEX('Market Data'!$J$5:$J$528,$T109)-4),11)="First-month",1,0))=1,"Class ratio review",IF($I109="Bloomberg",IF(ISNUMBER($G109),IF($G109&lt;TODAY(),"Older quote","See quote time"),"Date unavailable"),IF($I109="Snapshot",IF($G109&lt;DATEVALUE("2026-10-02"),"Older snapshot","Dated close"),"No valid quote"))))</f>
        <v/>
      </c>
      <c r="P109" s="14">
        <f>IF($T109=0,"",IF(INDEX('Market Data'!$J$5:$J$528,$T109)=0,"n/a",IF($Q109="Bloomberg",IF(AND(ISNUMBER(INDEX('Market Data'!$AK$5:$AK$66,INDEX('Market Data'!$J$5:$J$528,$T109)-4)),N(INDEX('Market Data'!$AK$5:$AK$66,INDEX('Market Data'!$J$5:$J$528,$T109)-4))&gt;0),INDEX('Market Data'!$AK$5:$AK$66,INDEX('Market Data'!$J$5:$J$528,$T109)-4),"date unavailable"),IF($Q109="Snapshot",IF(AND(ISNUMBER(INDEX('Market Data'!$AF$5:$AF$66,INDEX('Market Data'!$J$5:$J$528,$T109)-4)),N(INDEX('Market Data'!$AF$5:$AF$66,INDEX('Market Data'!$J$5:$J$528,$T109)-4))&gt;0),INDEX('Market Data'!$AF$5:$AF$66,INDEX('Market Data'!$J$5:$J$528,$T109)-4),"date unavailable"),"date unavailable"))))</f>
        <v/>
      </c>
      <c r="Q109" s="15">
        <f>IF($T109=0,"",IF(INDEX('Market Data'!$J$5:$J$528,$T109)=0,"n/a",IF(AND($M$5&lt;&gt;"Snapshot",ISNUMBER(INDEX('Market Data'!$AH$5:$AH$66,INDEX('Market Data'!$J$5:$J$528,$T109)-4)),N(INDEX('Market Data'!$AH$5:$AH$66,INDEX('Market Data'!$J$5:$J$528,$T109)-4))&gt;0),"Bloomberg",IF(AND($M$5&lt;&gt;"Bloomberg",ISNUMBER(INDEX('Market Data'!$AC$5:$AC$66,INDEX('Market Data'!$J$5:$J$528,$T109)-4)),N(INDEX('Market Data'!$AC$5:$AC$66,INDEX('Market Data'!$J$5:$J$528,$T109)-4))&gt;0),"Snapshot","Unavailable"))))</f>
        <v/>
      </c>
      <c r="T109">
        <f>IFERROR(MATCH(101,'Market Data'!$S$5:$S$528,0),0)</f>
        <v/>
      </c>
    </row>
    <row r="110" ht="34" customHeight="1">
      <c r="A110" s="8">
        <f>IF($T110=0,"",IF(INDEX('Market Data'!$A$5:$A$528,$T110)="","",INDEX('Market Data'!$A$5:$A$528,$T110)))</f>
        <v/>
      </c>
      <c r="B110" s="9">
        <f>IF($T110=0,"",IF(INDEX('Market Data'!$B$5:$B$528,$T110)="","",INDEX('Market Data'!$B$5:$B$528,$T110)))</f>
        <v/>
      </c>
      <c r="C110" s="9">
        <f>IF($T110=0,"",IF(INDEX('Market Data'!$C$5:$C$528,$T110)="","",INDEX('Market Data'!$C$5:$C$528,$T110)))</f>
        <v/>
      </c>
      <c r="D110" s="9">
        <f>IF($T110=0,"",IF(INDEX('Market Data'!$D$5:$D$528,$T110)="","",INDEX('Market Data'!$D$5:$D$528,$T110)))</f>
        <v/>
      </c>
      <c r="E110" s="10">
        <f>IF($T110=0,"",INDEX('Market Data'!$O$5:$O$528,$T110))</f>
        <v/>
      </c>
      <c r="F110" s="11">
        <f>IF($T110=0,"",IF(AND($I110="Bloomberg",ISNUMBER(INDEX('Market Data'!$L$5:$L$528,$T110))),INDEX('Market Data'!$L$5:$L$528,$T110),"unavailable"))</f>
        <v/>
      </c>
      <c r="G110" s="12">
        <f>IF($T110=0,"",IF($I110="Bloomberg",IF(AND(ISNUMBER(INDEX('Market Data'!$M$5:$M$528,$T110)),N(INDEX('Market Data'!$M$5:$M$528,$T110))&gt;0),INDEX('Market Data'!$M$5:$M$528,$T110),"date unavailable"),IF($I110="Snapshot",IF(AND(ISNUMBER(INDEX('Market Data'!$H$5:$H$528,$T110)),N(INDEX('Market Data'!$H$5:$H$528,$T110))&gt;0),INDEX('Market Data'!$H$5:$H$528,$T110),"date unavailable"),"date unavailable")))</f>
        <v/>
      </c>
      <c r="H110" s="9">
        <f>IF($T110=0,"",IF($I110="Bloomberg",IF(INDEX('Market Data'!$N$5:$N$528,$T110)="","time unavailable",INDEX('Market Data'!$N$5:$N$528,$T110)),""))</f>
        <v/>
      </c>
      <c r="I110" s="9">
        <f>IF($T110=0,"",INDEX('Market Data'!$P$5:$P$528,$T110))</f>
        <v/>
      </c>
      <c r="J110" s="13">
        <f>IF($T110=0,"",IF(INDEX('Market Data'!$E$5:$E$528,$T110)="","",INDEX('Market Data'!$E$5:$E$528,$T110)))</f>
        <v/>
      </c>
      <c r="K110" s="8">
        <f>IF($T110=0,"",IF(INDEX('Market Data'!$I$5:$I$528,$T110)="","",INDEX('Market Data'!$I$5:$I$528,$T110)))</f>
        <v/>
      </c>
      <c r="L110" s="10">
        <f>IF($T110=0,"",IF(INDEX('Market Data'!$J$5:$J$528,$T110)=0,"n/a",IF(AND($M$5&lt;&gt;"Snapshot",ISNUMBER(INDEX('Market Data'!$AH$5:$AH$66,INDEX('Market Data'!$J$5:$J$528,$T110)-4)),N(INDEX('Market Data'!$AH$5:$AH$66,INDEX('Market Data'!$J$5:$J$528,$T110)-4))&gt;0),INDEX('Market Data'!$AH$5:$AH$66,INDEX('Market Data'!$J$5:$J$528,$T110)-4),IF(AND($M$5&lt;&gt;"Bloomberg",ISNUMBER(INDEX('Market Data'!$AC$5:$AC$66,INDEX('Market Data'!$J$5:$J$528,$T110)-4)),N(INDEX('Market Data'!$AC$5:$AC$66,INDEX('Market Data'!$J$5:$J$528,$T110)-4))&gt;0),INDEX('Market Data'!$AC$5:$AC$66,INDEX('Market Data'!$J$5:$J$528,$T110)-4),"unavailable"))))</f>
        <v/>
      </c>
      <c r="M110" s="11">
        <f>IF($T110=0,"",IF(INDEX('Market Data'!$J$5:$J$528,$T110)=0,"n/a",IF(IF(INDEX('Market Data'!$J$5:$J$528,$T110)=0,0,IF(LEFT(INDEX('Market Data'!$AS$5:$AS$66,INDEX('Market Data'!$J$5:$J$528,$T110)-4),11)="First-month",1,0))=1,"class review",IF($I110="Bloomberg",IF(AND(ISNUMBER(INDEX('Market Data'!$AH$5:$AH$66,INDEX('Market Data'!$J$5:$J$528,$T110)-4)),N(INDEX('Market Data'!$AH$5:$AH$66,INDEX('Market Data'!$J$5:$J$528,$T110)-4))&gt;0,ISNUMBER('Market Data'!$B$1),N('Market Data'!$B$1)&gt;0),INDEX('Market Data'!$AH$5:$AH$66,INDEX('Market Data'!$J$5:$J$528,$T110)-4)*'Market Data'!$B$1/$E110-1,"pending A/FX"),IF(AND($I110="Snapshot",$Q110="Snapshot",ISNUMBER($E110),$G110=INDEX('Market Data'!$AE$5:$AE$66,INDEX('Market Data'!$J$5:$J$528,$T110)-4)),IFERROR(INDEX('Market Data'!$AC$5:$AC$66,INDEX('Market Data'!$J$5:$J$528,$T110)-4)*INDEX('Market Data'!$AD$5:$AD$66,INDEX('Market Data'!$J$5:$J$528,$T110)-4)/$E110-1,"unavailable"),IF($I110="Unavailable","unavailable","date mismatch"))))))</f>
        <v/>
      </c>
      <c r="N110" s="11">
        <f>IF($T110=0,"",IFERROR(IF(AND(N(INDEX('Market Data'!$F$5:$F$528,$T110))&gt;0,ISNUMBER(INDEX('Market Data'!$T$5:$T$528,$T110))),$E110*INDEX('Market Data'!$T$5:$T$528,$T110)/INDEX('Market Data'!$F$5:$F$528,$T110)-1,"unavailable"),"unavailable"))</f>
        <v/>
      </c>
      <c r="O110" s="9">
        <f>IF($T110=0,"",IF(IF(INDEX('Market Data'!$J$5:$J$528,$T110)=0,0,IF(LEFT(INDEX('Market Data'!$AS$5:$AS$66,INDEX('Market Data'!$J$5:$J$528,$T110)-4),11)="First-month",1,0))=1,"Class ratio review",IF($I110="Bloomberg",IF(ISNUMBER($G110),IF($G110&lt;TODAY(),"Older quote","See quote time"),"Date unavailable"),IF($I110="Snapshot",IF($G110&lt;DATEVALUE("2026-10-02"),"Older snapshot","Dated close"),"No valid quote"))))</f>
        <v/>
      </c>
      <c r="P110" s="14">
        <f>IF($T110=0,"",IF(INDEX('Market Data'!$J$5:$J$528,$T110)=0,"n/a",IF($Q110="Bloomberg",IF(AND(ISNUMBER(INDEX('Market Data'!$AK$5:$AK$66,INDEX('Market Data'!$J$5:$J$528,$T110)-4)),N(INDEX('Market Data'!$AK$5:$AK$66,INDEX('Market Data'!$J$5:$J$528,$T110)-4))&gt;0),INDEX('Market Data'!$AK$5:$AK$66,INDEX('Market Data'!$J$5:$J$528,$T110)-4),"date unavailable"),IF($Q110="Snapshot",IF(AND(ISNUMBER(INDEX('Market Data'!$AF$5:$AF$66,INDEX('Market Data'!$J$5:$J$528,$T110)-4)),N(INDEX('Market Data'!$AF$5:$AF$66,INDEX('Market Data'!$J$5:$J$528,$T110)-4))&gt;0),INDEX('Market Data'!$AF$5:$AF$66,INDEX('Market Data'!$J$5:$J$528,$T110)-4),"date unavailable"),"date unavailable"))))</f>
        <v/>
      </c>
      <c r="Q110" s="15">
        <f>IF($T110=0,"",IF(INDEX('Market Data'!$J$5:$J$528,$T110)=0,"n/a",IF(AND($M$5&lt;&gt;"Snapshot",ISNUMBER(INDEX('Market Data'!$AH$5:$AH$66,INDEX('Market Data'!$J$5:$J$528,$T110)-4)),N(INDEX('Market Data'!$AH$5:$AH$66,INDEX('Market Data'!$J$5:$J$528,$T110)-4))&gt;0),"Bloomberg",IF(AND($M$5&lt;&gt;"Bloomberg",ISNUMBER(INDEX('Market Data'!$AC$5:$AC$66,INDEX('Market Data'!$J$5:$J$528,$T110)-4)),N(INDEX('Market Data'!$AC$5:$AC$66,INDEX('Market Data'!$J$5:$J$528,$T110)-4))&gt;0),"Snapshot","Unavailable"))))</f>
        <v/>
      </c>
      <c r="T110">
        <f>IFERROR(MATCH(102,'Market Data'!$S$5:$S$528,0),0)</f>
        <v/>
      </c>
    </row>
    <row r="111" ht="34" customHeight="1">
      <c r="A111" s="8">
        <f>IF($T111=0,"",IF(INDEX('Market Data'!$A$5:$A$528,$T111)="","",INDEX('Market Data'!$A$5:$A$528,$T111)))</f>
        <v/>
      </c>
      <c r="B111" s="9">
        <f>IF($T111=0,"",IF(INDEX('Market Data'!$B$5:$B$528,$T111)="","",INDEX('Market Data'!$B$5:$B$528,$T111)))</f>
        <v/>
      </c>
      <c r="C111" s="9">
        <f>IF($T111=0,"",IF(INDEX('Market Data'!$C$5:$C$528,$T111)="","",INDEX('Market Data'!$C$5:$C$528,$T111)))</f>
        <v/>
      </c>
      <c r="D111" s="9">
        <f>IF($T111=0,"",IF(INDEX('Market Data'!$D$5:$D$528,$T111)="","",INDEX('Market Data'!$D$5:$D$528,$T111)))</f>
        <v/>
      </c>
      <c r="E111" s="10">
        <f>IF($T111=0,"",INDEX('Market Data'!$O$5:$O$528,$T111))</f>
        <v/>
      </c>
      <c r="F111" s="11">
        <f>IF($T111=0,"",IF(AND($I111="Bloomberg",ISNUMBER(INDEX('Market Data'!$L$5:$L$528,$T111))),INDEX('Market Data'!$L$5:$L$528,$T111),"unavailable"))</f>
        <v/>
      </c>
      <c r="G111" s="12">
        <f>IF($T111=0,"",IF($I111="Bloomberg",IF(AND(ISNUMBER(INDEX('Market Data'!$M$5:$M$528,$T111)),N(INDEX('Market Data'!$M$5:$M$528,$T111))&gt;0),INDEX('Market Data'!$M$5:$M$528,$T111),"date unavailable"),IF($I111="Snapshot",IF(AND(ISNUMBER(INDEX('Market Data'!$H$5:$H$528,$T111)),N(INDEX('Market Data'!$H$5:$H$528,$T111))&gt;0),INDEX('Market Data'!$H$5:$H$528,$T111),"date unavailable"),"date unavailable")))</f>
        <v/>
      </c>
      <c r="H111" s="9">
        <f>IF($T111=0,"",IF($I111="Bloomberg",IF(INDEX('Market Data'!$N$5:$N$528,$T111)="","time unavailable",INDEX('Market Data'!$N$5:$N$528,$T111)),""))</f>
        <v/>
      </c>
      <c r="I111" s="9">
        <f>IF($T111=0,"",INDEX('Market Data'!$P$5:$P$528,$T111))</f>
        <v/>
      </c>
      <c r="J111" s="13">
        <f>IF($T111=0,"",IF(INDEX('Market Data'!$E$5:$E$528,$T111)="","",INDEX('Market Data'!$E$5:$E$528,$T111)))</f>
        <v/>
      </c>
      <c r="K111" s="8">
        <f>IF($T111=0,"",IF(INDEX('Market Data'!$I$5:$I$528,$T111)="","",INDEX('Market Data'!$I$5:$I$528,$T111)))</f>
        <v/>
      </c>
      <c r="L111" s="10">
        <f>IF($T111=0,"",IF(INDEX('Market Data'!$J$5:$J$528,$T111)=0,"n/a",IF(AND($M$5&lt;&gt;"Snapshot",ISNUMBER(INDEX('Market Data'!$AH$5:$AH$66,INDEX('Market Data'!$J$5:$J$528,$T111)-4)),N(INDEX('Market Data'!$AH$5:$AH$66,INDEX('Market Data'!$J$5:$J$528,$T111)-4))&gt;0),INDEX('Market Data'!$AH$5:$AH$66,INDEX('Market Data'!$J$5:$J$528,$T111)-4),IF(AND($M$5&lt;&gt;"Bloomberg",ISNUMBER(INDEX('Market Data'!$AC$5:$AC$66,INDEX('Market Data'!$J$5:$J$528,$T111)-4)),N(INDEX('Market Data'!$AC$5:$AC$66,INDEX('Market Data'!$J$5:$J$528,$T111)-4))&gt;0),INDEX('Market Data'!$AC$5:$AC$66,INDEX('Market Data'!$J$5:$J$528,$T111)-4),"unavailable"))))</f>
        <v/>
      </c>
      <c r="M111" s="11">
        <f>IF($T111=0,"",IF(INDEX('Market Data'!$J$5:$J$528,$T111)=0,"n/a",IF(IF(INDEX('Market Data'!$J$5:$J$528,$T111)=0,0,IF(LEFT(INDEX('Market Data'!$AS$5:$AS$66,INDEX('Market Data'!$J$5:$J$528,$T111)-4),11)="First-month",1,0))=1,"class review",IF($I111="Bloomberg",IF(AND(ISNUMBER(INDEX('Market Data'!$AH$5:$AH$66,INDEX('Market Data'!$J$5:$J$528,$T111)-4)),N(INDEX('Market Data'!$AH$5:$AH$66,INDEX('Market Data'!$J$5:$J$528,$T111)-4))&gt;0,ISNUMBER('Market Data'!$B$1),N('Market Data'!$B$1)&gt;0),INDEX('Market Data'!$AH$5:$AH$66,INDEX('Market Data'!$J$5:$J$528,$T111)-4)*'Market Data'!$B$1/$E111-1,"pending A/FX"),IF(AND($I111="Snapshot",$Q111="Snapshot",ISNUMBER($E111),$G111=INDEX('Market Data'!$AE$5:$AE$66,INDEX('Market Data'!$J$5:$J$528,$T111)-4)),IFERROR(INDEX('Market Data'!$AC$5:$AC$66,INDEX('Market Data'!$J$5:$J$528,$T111)-4)*INDEX('Market Data'!$AD$5:$AD$66,INDEX('Market Data'!$J$5:$J$528,$T111)-4)/$E111-1,"unavailable"),IF($I111="Unavailable","unavailable","date mismatch"))))))</f>
        <v/>
      </c>
      <c r="N111" s="11">
        <f>IF($T111=0,"",IFERROR(IF(AND(N(INDEX('Market Data'!$F$5:$F$528,$T111))&gt;0,ISNUMBER(INDEX('Market Data'!$T$5:$T$528,$T111))),$E111*INDEX('Market Data'!$T$5:$T$528,$T111)/INDEX('Market Data'!$F$5:$F$528,$T111)-1,"unavailable"),"unavailable"))</f>
        <v/>
      </c>
      <c r="O111" s="9">
        <f>IF($T111=0,"",IF(IF(INDEX('Market Data'!$J$5:$J$528,$T111)=0,0,IF(LEFT(INDEX('Market Data'!$AS$5:$AS$66,INDEX('Market Data'!$J$5:$J$528,$T111)-4),11)="First-month",1,0))=1,"Class ratio review",IF($I111="Bloomberg",IF(ISNUMBER($G111),IF($G111&lt;TODAY(),"Older quote","See quote time"),"Date unavailable"),IF($I111="Snapshot",IF($G111&lt;DATEVALUE("2026-10-02"),"Older snapshot","Dated close"),"No valid quote"))))</f>
        <v/>
      </c>
      <c r="P111" s="14">
        <f>IF($T111=0,"",IF(INDEX('Market Data'!$J$5:$J$528,$T111)=0,"n/a",IF($Q111="Bloomberg",IF(AND(ISNUMBER(INDEX('Market Data'!$AK$5:$AK$66,INDEX('Market Data'!$J$5:$J$528,$T111)-4)),N(INDEX('Market Data'!$AK$5:$AK$66,INDEX('Market Data'!$J$5:$J$528,$T111)-4))&gt;0),INDEX('Market Data'!$AK$5:$AK$66,INDEX('Market Data'!$J$5:$J$528,$T111)-4),"date unavailable"),IF($Q111="Snapshot",IF(AND(ISNUMBER(INDEX('Market Data'!$AF$5:$AF$66,INDEX('Market Data'!$J$5:$J$528,$T111)-4)),N(INDEX('Market Data'!$AF$5:$AF$66,INDEX('Market Data'!$J$5:$J$528,$T111)-4))&gt;0),INDEX('Market Data'!$AF$5:$AF$66,INDEX('Market Data'!$J$5:$J$528,$T111)-4),"date unavailable"),"date unavailable"))))</f>
        <v/>
      </c>
      <c r="Q111" s="15">
        <f>IF($T111=0,"",IF(INDEX('Market Data'!$J$5:$J$528,$T111)=0,"n/a",IF(AND($M$5&lt;&gt;"Snapshot",ISNUMBER(INDEX('Market Data'!$AH$5:$AH$66,INDEX('Market Data'!$J$5:$J$528,$T111)-4)),N(INDEX('Market Data'!$AH$5:$AH$66,INDEX('Market Data'!$J$5:$J$528,$T111)-4))&gt;0),"Bloomberg",IF(AND($M$5&lt;&gt;"Bloomberg",ISNUMBER(INDEX('Market Data'!$AC$5:$AC$66,INDEX('Market Data'!$J$5:$J$528,$T111)-4)),N(INDEX('Market Data'!$AC$5:$AC$66,INDEX('Market Data'!$J$5:$J$528,$T111)-4))&gt;0),"Snapshot","Unavailable"))))</f>
        <v/>
      </c>
      <c r="T111">
        <f>IFERROR(MATCH(103,'Market Data'!$S$5:$S$528,0),0)</f>
        <v/>
      </c>
    </row>
    <row r="112" ht="34" customHeight="1">
      <c r="A112" s="8">
        <f>IF($T112=0,"",IF(INDEX('Market Data'!$A$5:$A$528,$T112)="","",INDEX('Market Data'!$A$5:$A$528,$T112)))</f>
        <v/>
      </c>
      <c r="B112" s="9">
        <f>IF($T112=0,"",IF(INDEX('Market Data'!$B$5:$B$528,$T112)="","",INDEX('Market Data'!$B$5:$B$528,$T112)))</f>
        <v/>
      </c>
      <c r="C112" s="9">
        <f>IF($T112=0,"",IF(INDEX('Market Data'!$C$5:$C$528,$T112)="","",INDEX('Market Data'!$C$5:$C$528,$T112)))</f>
        <v/>
      </c>
      <c r="D112" s="9">
        <f>IF($T112=0,"",IF(INDEX('Market Data'!$D$5:$D$528,$T112)="","",INDEX('Market Data'!$D$5:$D$528,$T112)))</f>
        <v/>
      </c>
      <c r="E112" s="10">
        <f>IF($T112=0,"",INDEX('Market Data'!$O$5:$O$528,$T112))</f>
        <v/>
      </c>
      <c r="F112" s="11">
        <f>IF($T112=0,"",IF(AND($I112="Bloomberg",ISNUMBER(INDEX('Market Data'!$L$5:$L$528,$T112))),INDEX('Market Data'!$L$5:$L$528,$T112),"unavailable"))</f>
        <v/>
      </c>
      <c r="G112" s="12">
        <f>IF($T112=0,"",IF($I112="Bloomberg",IF(AND(ISNUMBER(INDEX('Market Data'!$M$5:$M$528,$T112)),N(INDEX('Market Data'!$M$5:$M$528,$T112))&gt;0),INDEX('Market Data'!$M$5:$M$528,$T112),"date unavailable"),IF($I112="Snapshot",IF(AND(ISNUMBER(INDEX('Market Data'!$H$5:$H$528,$T112)),N(INDEX('Market Data'!$H$5:$H$528,$T112))&gt;0),INDEX('Market Data'!$H$5:$H$528,$T112),"date unavailable"),"date unavailable")))</f>
        <v/>
      </c>
      <c r="H112" s="9">
        <f>IF($T112=0,"",IF($I112="Bloomberg",IF(INDEX('Market Data'!$N$5:$N$528,$T112)="","time unavailable",INDEX('Market Data'!$N$5:$N$528,$T112)),""))</f>
        <v/>
      </c>
      <c r="I112" s="9">
        <f>IF($T112=0,"",INDEX('Market Data'!$P$5:$P$528,$T112))</f>
        <v/>
      </c>
      <c r="J112" s="13">
        <f>IF($T112=0,"",IF(INDEX('Market Data'!$E$5:$E$528,$T112)="","",INDEX('Market Data'!$E$5:$E$528,$T112)))</f>
        <v/>
      </c>
      <c r="K112" s="8">
        <f>IF($T112=0,"",IF(INDEX('Market Data'!$I$5:$I$528,$T112)="","",INDEX('Market Data'!$I$5:$I$528,$T112)))</f>
        <v/>
      </c>
      <c r="L112" s="10">
        <f>IF($T112=0,"",IF(INDEX('Market Data'!$J$5:$J$528,$T112)=0,"n/a",IF(AND($M$5&lt;&gt;"Snapshot",ISNUMBER(INDEX('Market Data'!$AH$5:$AH$66,INDEX('Market Data'!$J$5:$J$528,$T112)-4)),N(INDEX('Market Data'!$AH$5:$AH$66,INDEX('Market Data'!$J$5:$J$528,$T112)-4))&gt;0),INDEX('Market Data'!$AH$5:$AH$66,INDEX('Market Data'!$J$5:$J$528,$T112)-4),IF(AND($M$5&lt;&gt;"Bloomberg",ISNUMBER(INDEX('Market Data'!$AC$5:$AC$66,INDEX('Market Data'!$J$5:$J$528,$T112)-4)),N(INDEX('Market Data'!$AC$5:$AC$66,INDEX('Market Data'!$J$5:$J$528,$T112)-4))&gt;0),INDEX('Market Data'!$AC$5:$AC$66,INDEX('Market Data'!$J$5:$J$528,$T112)-4),"unavailable"))))</f>
        <v/>
      </c>
      <c r="M112" s="11">
        <f>IF($T112=0,"",IF(INDEX('Market Data'!$J$5:$J$528,$T112)=0,"n/a",IF(IF(INDEX('Market Data'!$J$5:$J$528,$T112)=0,0,IF(LEFT(INDEX('Market Data'!$AS$5:$AS$66,INDEX('Market Data'!$J$5:$J$528,$T112)-4),11)="First-month",1,0))=1,"class review",IF($I112="Bloomberg",IF(AND(ISNUMBER(INDEX('Market Data'!$AH$5:$AH$66,INDEX('Market Data'!$J$5:$J$528,$T112)-4)),N(INDEX('Market Data'!$AH$5:$AH$66,INDEX('Market Data'!$J$5:$J$528,$T112)-4))&gt;0,ISNUMBER('Market Data'!$B$1),N('Market Data'!$B$1)&gt;0),INDEX('Market Data'!$AH$5:$AH$66,INDEX('Market Data'!$J$5:$J$528,$T112)-4)*'Market Data'!$B$1/$E112-1,"pending A/FX"),IF(AND($I112="Snapshot",$Q112="Snapshot",ISNUMBER($E112),$G112=INDEX('Market Data'!$AE$5:$AE$66,INDEX('Market Data'!$J$5:$J$528,$T112)-4)),IFERROR(INDEX('Market Data'!$AC$5:$AC$66,INDEX('Market Data'!$J$5:$J$528,$T112)-4)*INDEX('Market Data'!$AD$5:$AD$66,INDEX('Market Data'!$J$5:$J$528,$T112)-4)/$E112-1,"unavailable"),IF($I112="Unavailable","unavailable","date mismatch"))))))</f>
        <v/>
      </c>
      <c r="N112" s="11">
        <f>IF($T112=0,"",IFERROR(IF(AND(N(INDEX('Market Data'!$F$5:$F$528,$T112))&gt;0,ISNUMBER(INDEX('Market Data'!$T$5:$T$528,$T112))),$E112*INDEX('Market Data'!$T$5:$T$528,$T112)/INDEX('Market Data'!$F$5:$F$528,$T112)-1,"unavailable"),"unavailable"))</f>
        <v/>
      </c>
      <c r="O112" s="9">
        <f>IF($T112=0,"",IF(IF(INDEX('Market Data'!$J$5:$J$528,$T112)=0,0,IF(LEFT(INDEX('Market Data'!$AS$5:$AS$66,INDEX('Market Data'!$J$5:$J$528,$T112)-4),11)="First-month",1,0))=1,"Class ratio review",IF($I112="Bloomberg",IF(ISNUMBER($G112),IF($G112&lt;TODAY(),"Older quote","See quote time"),"Date unavailable"),IF($I112="Snapshot",IF($G112&lt;DATEVALUE("2026-10-02"),"Older snapshot","Dated close"),"No valid quote"))))</f>
        <v/>
      </c>
      <c r="P112" s="14">
        <f>IF($T112=0,"",IF(INDEX('Market Data'!$J$5:$J$528,$T112)=0,"n/a",IF($Q112="Bloomberg",IF(AND(ISNUMBER(INDEX('Market Data'!$AK$5:$AK$66,INDEX('Market Data'!$J$5:$J$528,$T112)-4)),N(INDEX('Market Data'!$AK$5:$AK$66,INDEX('Market Data'!$J$5:$J$528,$T112)-4))&gt;0),INDEX('Market Data'!$AK$5:$AK$66,INDEX('Market Data'!$J$5:$J$528,$T112)-4),"date unavailable"),IF($Q112="Snapshot",IF(AND(ISNUMBER(INDEX('Market Data'!$AF$5:$AF$66,INDEX('Market Data'!$J$5:$J$528,$T112)-4)),N(INDEX('Market Data'!$AF$5:$AF$66,INDEX('Market Data'!$J$5:$J$528,$T112)-4))&gt;0),INDEX('Market Data'!$AF$5:$AF$66,INDEX('Market Data'!$J$5:$J$528,$T112)-4),"date unavailable"),"date unavailable"))))</f>
        <v/>
      </c>
      <c r="Q112" s="15">
        <f>IF($T112=0,"",IF(INDEX('Market Data'!$J$5:$J$528,$T112)=0,"n/a",IF(AND($M$5&lt;&gt;"Snapshot",ISNUMBER(INDEX('Market Data'!$AH$5:$AH$66,INDEX('Market Data'!$J$5:$J$528,$T112)-4)),N(INDEX('Market Data'!$AH$5:$AH$66,INDEX('Market Data'!$J$5:$J$528,$T112)-4))&gt;0),"Bloomberg",IF(AND($M$5&lt;&gt;"Bloomberg",ISNUMBER(INDEX('Market Data'!$AC$5:$AC$66,INDEX('Market Data'!$J$5:$J$528,$T112)-4)),N(INDEX('Market Data'!$AC$5:$AC$66,INDEX('Market Data'!$J$5:$J$528,$T112)-4))&gt;0),"Snapshot","Unavailable"))))</f>
        <v/>
      </c>
      <c r="T112">
        <f>IFERROR(MATCH(104,'Market Data'!$S$5:$S$528,0),0)</f>
        <v/>
      </c>
    </row>
    <row r="113" ht="34" customHeight="1">
      <c r="A113" s="8">
        <f>IF($T113=0,"",IF(INDEX('Market Data'!$A$5:$A$528,$T113)="","",INDEX('Market Data'!$A$5:$A$528,$T113)))</f>
        <v/>
      </c>
      <c r="B113" s="9">
        <f>IF($T113=0,"",IF(INDEX('Market Data'!$B$5:$B$528,$T113)="","",INDEX('Market Data'!$B$5:$B$528,$T113)))</f>
        <v/>
      </c>
      <c r="C113" s="9">
        <f>IF($T113=0,"",IF(INDEX('Market Data'!$C$5:$C$528,$T113)="","",INDEX('Market Data'!$C$5:$C$528,$T113)))</f>
        <v/>
      </c>
      <c r="D113" s="9">
        <f>IF($T113=0,"",IF(INDEX('Market Data'!$D$5:$D$528,$T113)="","",INDEX('Market Data'!$D$5:$D$528,$T113)))</f>
        <v/>
      </c>
      <c r="E113" s="10">
        <f>IF($T113=0,"",INDEX('Market Data'!$O$5:$O$528,$T113))</f>
        <v/>
      </c>
      <c r="F113" s="11">
        <f>IF($T113=0,"",IF(AND($I113="Bloomberg",ISNUMBER(INDEX('Market Data'!$L$5:$L$528,$T113))),INDEX('Market Data'!$L$5:$L$528,$T113),"unavailable"))</f>
        <v/>
      </c>
      <c r="G113" s="12">
        <f>IF($T113=0,"",IF($I113="Bloomberg",IF(AND(ISNUMBER(INDEX('Market Data'!$M$5:$M$528,$T113)),N(INDEX('Market Data'!$M$5:$M$528,$T113))&gt;0),INDEX('Market Data'!$M$5:$M$528,$T113),"date unavailable"),IF($I113="Snapshot",IF(AND(ISNUMBER(INDEX('Market Data'!$H$5:$H$528,$T113)),N(INDEX('Market Data'!$H$5:$H$528,$T113))&gt;0),INDEX('Market Data'!$H$5:$H$528,$T113),"date unavailable"),"date unavailable")))</f>
        <v/>
      </c>
      <c r="H113" s="9">
        <f>IF($T113=0,"",IF($I113="Bloomberg",IF(INDEX('Market Data'!$N$5:$N$528,$T113)="","time unavailable",INDEX('Market Data'!$N$5:$N$528,$T113)),""))</f>
        <v/>
      </c>
      <c r="I113" s="9">
        <f>IF($T113=0,"",INDEX('Market Data'!$P$5:$P$528,$T113))</f>
        <v/>
      </c>
      <c r="J113" s="13">
        <f>IF($T113=0,"",IF(INDEX('Market Data'!$E$5:$E$528,$T113)="","",INDEX('Market Data'!$E$5:$E$528,$T113)))</f>
        <v/>
      </c>
      <c r="K113" s="8">
        <f>IF($T113=0,"",IF(INDEX('Market Data'!$I$5:$I$528,$T113)="","",INDEX('Market Data'!$I$5:$I$528,$T113)))</f>
        <v/>
      </c>
      <c r="L113" s="10">
        <f>IF($T113=0,"",IF(INDEX('Market Data'!$J$5:$J$528,$T113)=0,"n/a",IF(AND($M$5&lt;&gt;"Snapshot",ISNUMBER(INDEX('Market Data'!$AH$5:$AH$66,INDEX('Market Data'!$J$5:$J$528,$T113)-4)),N(INDEX('Market Data'!$AH$5:$AH$66,INDEX('Market Data'!$J$5:$J$528,$T113)-4))&gt;0),INDEX('Market Data'!$AH$5:$AH$66,INDEX('Market Data'!$J$5:$J$528,$T113)-4),IF(AND($M$5&lt;&gt;"Bloomberg",ISNUMBER(INDEX('Market Data'!$AC$5:$AC$66,INDEX('Market Data'!$J$5:$J$528,$T113)-4)),N(INDEX('Market Data'!$AC$5:$AC$66,INDEX('Market Data'!$J$5:$J$528,$T113)-4))&gt;0),INDEX('Market Data'!$AC$5:$AC$66,INDEX('Market Data'!$J$5:$J$528,$T113)-4),"unavailable"))))</f>
        <v/>
      </c>
      <c r="M113" s="11">
        <f>IF($T113=0,"",IF(INDEX('Market Data'!$J$5:$J$528,$T113)=0,"n/a",IF(IF(INDEX('Market Data'!$J$5:$J$528,$T113)=0,0,IF(LEFT(INDEX('Market Data'!$AS$5:$AS$66,INDEX('Market Data'!$J$5:$J$528,$T113)-4),11)="First-month",1,0))=1,"class review",IF($I113="Bloomberg",IF(AND(ISNUMBER(INDEX('Market Data'!$AH$5:$AH$66,INDEX('Market Data'!$J$5:$J$528,$T113)-4)),N(INDEX('Market Data'!$AH$5:$AH$66,INDEX('Market Data'!$J$5:$J$528,$T113)-4))&gt;0,ISNUMBER('Market Data'!$B$1),N('Market Data'!$B$1)&gt;0),INDEX('Market Data'!$AH$5:$AH$66,INDEX('Market Data'!$J$5:$J$528,$T113)-4)*'Market Data'!$B$1/$E113-1,"pending A/FX"),IF(AND($I113="Snapshot",$Q113="Snapshot",ISNUMBER($E113),$G113=INDEX('Market Data'!$AE$5:$AE$66,INDEX('Market Data'!$J$5:$J$528,$T113)-4)),IFERROR(INDEX('Market Data'!$AC$5:$AC$66,INDEX('Market Data'!$J$5:$J$528,$T113)-4)*INDEX('Market Data'!$AD$5:$AD$66,INDEX('Market Data'!$J$5:$J$528,$T113)-4)/$E113-1,"unavailable"),IF($I113="Unavailable","unavailable","date mismatch"))))))</f>
        <v/>
      </c>
      <c r="N113" s="11">
        <f>IF($T113=0,"",IFERROR(IF(AND(N(INDEX('Market Data'!$F$5:$F$528,$T113))&gt;0,ISNUMBER(INDEX('Market Data'!$T$5:$T$528,$T113))),$E113*INDEX('Market Data'!$T$5:$T$528,$T113)/INDEX('Market Data'!$F$5:$F$528,$T113)-1,"unavailable"),"unavailable"))</f>
        <v/>
      </c>
      <c r="O113" s="9">
        <f>IF($T113=0,"",IF(IF(INDEX('Market Data'!$J$5:$J$528,$T113)=0,0,IF(LEFT(INDEX('Market Data'!$AS$5:$AS$66,INDEX('Market Data'!$J$5:$J$528,$T113)-4),11)="First-month",1,0))=1,"Class ratio review",IF($I113="Bloomberg",IF(ISNUMBER($G113),IF($G113&lt;TODAY(),"Older quote","See quote time"),"Date unavailable"),IF($I113="Snapshot",IF($G113&lt;DATEVALUE("2026-10-02"),"Older snapshot","Dated close"),"No valid quote"))))</f>
        <v/>
      </c>
      <c r="P113" s="14">
        <f>IF($T113=0,"",IF(INDEX('Market Data'!$J$5:$J$528,$T113)=0,"n/a",IF($Q113="Bloomberg",IF(AND(ISNUMBER(INDEX('Market Data'!$AK$5:$AK$66,INDEX('Market Data'!$J$5:$J$528,$T113)-4)),N(INDEX('Market Data'!$AK$5:$AK$66,INDEX('Market Data'!$J$5:$J$528,$T113)-4))&gt;0),INDEX('Market Data'!$AK$5:$AK$66,INDEX('Market Data'!$J$5:$J$528,$T113)-4),"date unavailable"),IF($Q113="Snapshot",IF(AND(ISNUMBER(INDEX('Market Data'!$AF$5:$AF$66,INDEX('Market Data'!$J$5:$J$528,$T113)-4)),N(INDEX('Market Data'!$AF$5:$AF$66,INDEX('Market Data'!$J$5:$J$528,$T113)-4))&gt;0),INDEX('Market Data'!$AF$5:$AF$66,INDEX('Market Data'!$J$5:$J$528,$T113)-4),"date unavailable"),"date unavailable"))))</f>
        <v/>
      </c>
      <c r="Q113" s="15">
        <f>IF($T113=0,"",IF(INDEX('Market Data'!$J$5:$J$528,$T113)=0,"n/a",IF(AND($M$5&lt;&gt;"Snapshot",ISNUMBER(INDEX('Market Data'!$AH$5:$AH$66,INDEX('Market Data'!$J$5:$J$528,$T113)-4)),N(INDEX('Market Data'!$AH$5:$AH$66,INDEX('Market Data'!$J$5:$J$528,$T113)-4))&gt;0),"Bloomberg",IF(AND($M$5&lt;&gt;"Bloomberg",ISNUMBER(INDEX('Market Data'!$AC$5:$AC$66,INDEX('Market Data'!$J$5:$J$528,$T113)-4)),N(INDEX('Market Data'!$AC$5:$AC$66,INDEX('Market Data'!$J$5:$J$528,$T113)-4))&gt;0),"Snapshot","Unavailable"))))</f>
        <v/>
      </c>
      <c r="T113">
        <f>IFERROR(MATCH(105,'Market Data'!$S$5:$S$528,0),0)</f>
        <v/>
      </c>
    </row>
    <row r="114" ht="34" customHeight="1">
      <c r="A114" s="8">
        <f>IF($T114=0,"",IF(INDEX('Market Data'!$A$5:$A$528,$T114)="","",INDEX('Market Data'!$A$5:$A$528,$T114)))</f>
        <v/>
      </c>
      <c r="B114" s="9">
        <f>IF($T114=0,"",IF(INDEX('Market Data'!$B$5:$B$528,$T114)="","",INDEX('Market Data'!$B$5:$B$528,$T114)))</f>
        <v/>
      </c>
      <c r="C114" s="9">
        <f>IF($T114=0,"",IF(INDEX('Market Data'!$C$5:$C$528,$T114)="","",INDEX('Market Data'!$C$5:$C$528,$T114)))</f>
        <v/>
      </c>
      <c r="D114" s="9">
        <f>IF($T114=0,"",IF(INDEX('Market Data'!$D$5:$D$528,$T114)="","",INDEX('Market Data'!$D$5:$D$528,$T114)))</f>
        <v/>
      </c>
      <c r="E114" s="10">
        <f>IF($T114=0,"",INDEX('Market Data'!$O$5:$O$528,$T114))</f>
        <v/>
      </c>
      <c r="F114" s="11">
        <f>IF($T114=0,"",IF(AND($I114="Bloomberg",ISNUMBER(INDEX('Market Data'!$L$5:$L$528,$T114))),INDEX('Market Data'!$L$5:$L$528,$T114),"unavailable"))</f>
        <v/>
      </c>
      <c r="G114" s="12">
        <f>IF($T114=0,"",IF($I114="Bloomberg",IF(AND(ISNUMBER(INDEX('Market Data'!$M$5:$M$528,$T114)),N(INDEX('Market Data'!$M$5:$M$528,$T114))&gt;0),INDEX('Market Data'!$M$5:$M$528,$T114),"date unavailable"),IF($I114="Snapshot",IF(AND(ISNUMBER(INDEX('Market Data'!$H$5:$H$528,$T114)),N(INDEX('Market Data'!$H$5:$H$528,$T114))&gt;0),INDEX('Market Data'!$H$5:$H$528,$T114),"date unavailable"),"date unavailable")))</f>
        <v/>
      </c>
      <c r="H114" s="9">
        <f>IF($T114=0,"",IF($I114="Bloomberg",IF(INDEX('Market Data'!$N$5:$N$528,$T114)="","time unavailable",INDEX('Market Data'!$N$5:$N$528,$T114)),""))</f>
        <v/>
      </c>
      <c r="I114" s="9">
        <f>IF($T114=0,"",INDEX('Market Data'!$P$5:$P$528,$T114))</f>
        <v/>
      </c>
      <c r="J114" s="13">
        <f>IF($T114=0,"",IF(INDEX('Market Data'!$E$5:$E$528,$T114)="","",INDEX('Market Data'!$E$5:$E$528,$T114)))</f>
        <v/>
      </c>
      <c r="K114" s="8">
        <f>IF($T114=0,"",IF(INDEX('Market Data'!$I$5:$I$528,$T114)="","",INDEX('Market Data'!$I$5:$I$528,$T114)))</f>
        <v/>
      </c>
      <c r="L114" s="10">
        <f>IF($T114=0,"",IF(INDEX('Market Data'!$J$5:$J$528,$T114)=0,"n/a",IF(AND($M$5&lt;&gt;"Snapshot",ISNUMBER(INDEX('Market Data'!$AH$5:$AH$66,INDEX('Market Data'!$J$5:$J$528,$T114)-4)),N(INDEX('Market Data'!$AH$5:$AH$66,INDEX('Market Data'!$J$5:$J$528,$T114)-4))&gt;0),INDEX('Market Data'!$AH$5:$AH$66,INDEX('Market Data'!$J$5:$J$528,$T114)-4),IF(AND($M$5&lt;&gt;"Bloomberg",ISNUMBER(INDEX('Market Data'!$AC$5:$AC$66,INDEX('Market Data'!$J$5:$J$528,$T114)-4)),N(INDEX('Market Data'!$AC$5:$AC$66,INDEX('Market Data'!$J$5:$J$528,$T114)-4))&gt;0),INDEX('Market Data'!$AC$5:$AC$66,INDEX('Market Data'!$J$5:$J$528,$T114)-4),"unavailable"))))</f>
        <v/>
      </c>
      <c r="M114" s="11">
        <f>IF($T114=0,"",IF(INDEX('Market Data'!$J$5:$J$528,$T114)=0,"n/a",IF(IF(INDEX('Market Data'!$J$5:$J$528,$T114)=0,0,IF(LEFT(INDEX('Market Data'!$AS$5:$AS$66,INDEX('Market Data'!$J$5:$J$528,$T114)-4),11)="First-month",1,0))=1,"class review",IF($I114="Bloomberg",IF(AND(ISNUMBER(INDEX('Market Data'!$AH$5:$AH$66,INDEX('Market Data'!$J$5:$J$528,$T114)-4)),N(INDEX('Market Data'!$AH$5:$AH$66,INDEX('Market Data'!$J$5:$J$528,$T114)-4))&gt;0,ISNUMBER('Market Data'!$B$1),N('Market Data'!$B$1)&gt;0),INDEX('Market Data'!$AH$5:$AH$66,INDEX('Market Data'!$J$5:$J$528,$T114)-4)*'Market Data'!$B$1/$E114-1,"pending A/FX"),IF(AND($I114="Snapshot",$Q114="Snapshot",ISNUMBER($E114),$G114=INDEX('Market Data'!$AE$5:$AE$66,INDEX('Market Data'!$J$5:$J$528,$T114)-4)),IFERROR(INDEX('Market Data'!$AC$5:$AC$66,INDEX('Market Data'!$J$5:$J$528,$T114)-4)*INDEX('Market Data'!$AD$5:$AD$66,INDEX('Market Data'!$J$5:$J$528,$T114)-4)/$E114-1,"unavailable"),IF($I114="Unavailable","unavailable","date mismatch"))))))</f>
        <v/>
      </c>
      <c r="N114" s="11">
        <f>IF($T114=0,"",IFERROR(IF(AND(N(INDEX('Market Data'!$F$5:$F$528,$T114))&gt;0,ISNUMBER(INDEX('Market Data'!$T$5:$T$528,$T114))),$E114*INDEX('Market Data'!$T$5:$T$528,$T114)/INDEX('Market Data'!$F$5:$F$528,$T114)-1,"unavailable"),"unavailable"))</f>
        <v/>
      </c>
      <c r="O114" s="9">
        <f>IF($T114=0,"",IF(IF(INDEX('Market Data'!$J$5:$J$528,$T114)=0,0,IF(LEFT(INDEX('Market Data'!$AS$5:$AS$66,INDEX('Market Data'!$J$5:$J$528,$T114)-4),11)="First-month",1,0))=1,"Class ratio review",IF($I114="Bloomberg",IF(ISNUMBER($G114),IF($G114&lt;TODAY(),"Older quote","See quote time"),"Date unavailable"),IF($I114="Snapshot",IF($G114&lt;DATEVALUE("2026-10-02"),"Older snapshot","Dated close"),"No valid quote"))))</f>
        <v/>
      </c>
      <c r="P114" s="14">
        <f>IF($T114=0,"",IF(INDEX('Market Data'!$J$5:$J$528,$T114)=0,"n/a",IF($Q114="Bloomberg",IF(AND(ISNUMBER(INDEX('Market Data'!$AK$5:$AK$66,INDEX('Market Data'!$J$5:$J$528,$T114)-4)),N(INDEX('Market Data'!$AK$5:$AK$66,INDEX('Market Data'!$J$5:$J$528,$T114)-4))&gt;0),INDEX('Market Data'!$AK$5:$AK$66,INDEX('Market Data'!$J$5:$J$528,$T114)-4),"date unavailable"),IF($Q114="Snapshot",IF(AND(ISNUMBER(INDEX('Market Data'!$AF$5:$AF$66,INDEX('Market Data'!$J$5:$J$528,$T114)-4)),N(INDEX('Market Data'!$AF$5:$AF$66,INDEX('Market Data'!$J$5:$J$528,$T114)-4))&gt;0),INDEX('Market Data'!$AF$5:$AF$66,INDEX('Market Data'!$J$5:$J$528,$T114)-4),"date unavailable"),"date unavailable"))))</f>
        <v/>
      </c>
      <c r="Q114" s="15">
        <f>IF($T114=0,"",IF(INDEX('Market Data'!$J$5:$J$528,$T114)=0,"n/a",IF(AND($M$5&lt;&gt;"Snapshot",ISNUMBER(INDEX('Market Data'!$AH$5:$AH$66,INDEX('Market Data'!$J$5:$J$528,$T114)-4)),N(INDEX('Market Data'!$AH$5:$AH$66,INDEX('Market Data'!$J$5:$J$528,$T114)-4))&gt;0),"Bloomberg",IF(AND($M$5&lt;&gt;"Bloomberg",ISNUMBER(INDEX('Market Data'!$AC$5:$AC$66,INDEX('Market Data'!$J$5:$J$528,$T114)-4)),N(INDEX('Market Data'!$AC$5:$AC$66,INDEX('Market Data'!$J$5:$J$528,$T114)-4))&gt;0),"Snapshot","Unavailable"))))</f>
        <v/>
      </c>
      <c r="T114">
        <f>IFERROR(MATCH(106,'Market Data'!$S$5:$S$528,0),0)</f>
        <v/>
      </c>
    </row>
    <row r="115" ht="34" customHeight="1">
      <c r="A115" s="8">
        <f>IF($T115=0,"",IF(INDEX('Market Data'!$A$5:$A$528,$T115)="","",INDEX('Market Data'!$A$5:$A$528,$T115)))</f>
        <v/>
      </c>
      <c r="B115" s="9">
        <f>IF($T115=0,"",IF(INDEX('Market Data'!$B$5:$B$528,$T115)="","",INDEX('Market Data'!$B$5:$B$528,$T115)))</f>
        <v/>
      </c>
      <c r="C115" s="9">
        <f>IF($T115=0,"",IF(INDEX('Market Data'!$C$5:$C$528,$T115)="","",INDEX('Market Data'!$C$5:$C$528,$T115)))</f>
        <v/>
      </c>
      <c r="D115" s="9">
        <f>IF($T115=0,"",IF(INDEX('Market Data'!$D$5:$D$528,$T115)="","",INDEX('Market Data'!$D$5:$D$528,$T115)))</f>
        <v/>
      </c>
      <c r="E115" s="10">
        <f>IF($T115=0,"",INDEX('Market Data'!$O$5:$O$528,$T115))</f>
        <v/>
      </c>
      <c r="F115" s="11">
        <f>IF($T115=0,"",IF(AND($I115="Bloomberg",ISNUMBER(INDEX('Market Data'!$L$5:$L$528,$T115))),INDEX('Market Data'!$L$5:$L$528,$T115),"unavailable"))</f>
        <v/>
      </c>
      <c r="G115" s="12">
        <f>IF($T115=0,"",IF($I115="Bloomberg",IF(AND(ISNUMBER(INDEX('Market Data'!$M$5:$M$528,$T115)),N(INDEX('Market Data'!$M$5:$M$528,$T115))&gt;0),INDEX('Market Data'!$M$5:$M$528,$T115),"date unavailable"),IF($I115="Snapshot",IF(AND(ISNUMBER(INDEX('Market Data'!$H$5:$H$528,$T115)),N(INDEX('Market Data'!$H$5:$H$528,$T115))&gt;0),INDEX('Market Data'!$H$5:$H$528,$T115),"date unavailable"),"date unavailable")))</f>
        <v/>
      </c>
      <c r="H115" s="9">
        <f>IF($T115=0,"",IF($I115="Bloomberg",IF(INDEX('Market Data'!$N$5:$N$528,$T115)="","time unavailable",INDEX('Market Data'!$N$5:$N$528,$T115)),""))</f>
        <v/>
      </c>
      <c r="I115" s="9">
        <f>IF($T115=0,"",INDEX('Market Data'!$P$5:$P$528,$T115))</f>
        <v/>
      </c>
      <c r="J115" s="13">
        <f>IF($T115=0,"",IF(INDEX('Market Data'!$E$5:$E$528,$T115)="","",INDEX('Market Data'!$E$5:$E$528,$T115)))</f>
        <v/>
      </c>
      <c r="K115" s="8">
        <f>IF($T115=0,"",IF(INDEX('Market Data'!$I$5:$I$528,$T115)="","",INDEX('Market Data'!$I$5:$I$528,$T115)))</f>
        <v/>
      </c>
      <c r="L115" s="10">
        <f>IF($T115=0,"",IF(INDEX('Market Data'!$J$5:$J$528,$T115)=0,"n/a",IF(AND($M$5&lt;&gt;"Snapshot",ISNUMBER(INDEX('Market Data'!$AH$5:$AH$66,INDEX('Market Data'!$J$5:$J$528,$T115)-4)),N(INDEX('Market Data'!$AH$5:$AH$66,INDEX('Market Data'!$J$5:$J$528,$T115)-4))&gt;0),INDEX('Market Data'!$AH$5:$AH$66,INDEX('Market Data'!$J$5:$J$528,$T115)-4),IF(AND($M$5&lt;&gt;"Bloomberg",ISNUMBER(INDEX('Market Data'!$AC$5:$AC$66,INDEX('Market Data'!$J$5:$J$528,$T115)-4)),N(INDEX('Market Data'!$AC$5:$AC$66,INDEX('Market Data'!$J$5:$J$528,$T115)-4))&gt;0),INDEX('Market Data'!$AC$5:$AC$66,INDEX('Market Data'!$J$5:$J$528,$T115)-4),"unavailable"))))</f>
        <v/>
      </c>
      <c r="M115" s="11">
        <f>IF($T115=0,"",IF(INDEX('Market Data'!$J$5:$J$528,$T115)=0,"n/a",IF(IF(INDEX('Market Data'!$J$5:$J$528,$T115)=0,0,IF(LEFT(INDEX('Market Data'!$AS$5:$AS$66,INDEX('Market Data'!$J$5:$J$528,$T115)-4),11)="First-month",1,0))=1,"class review",IF($I115="Bloomberg",IF(AND(ISNUMBER(INDEX('Market Data'!$AH$5:$AH$66,INDEX('Market Data'!$J$5:$J$528,$T115)-4)),N(INDEX('Market Data'!$AH$5:$AH$66,INDEX('Market Data'!$J$5:$J$528,$T115)-4))&gt;0,ISNUMBER('Market Data'!$B$1),N('Market Data'!$B$1)&gt;0),INDEX('Market Data'!$AH$5:$AH$66,INDEX('Market Data'!$J$5:$J$528,$T115)-4)*'Market Data'!$B$1/$E115-1,"pending A/FX"),IF(AND($I115="Snapshot",$Q115="Snapshot",ISNUMBER($E115),$G115=INDEX('Market Data'!$AE$5:$AE$66,INDEX('Market Data'!$J$5:$J$528,$T115)-4)),IFERROR(INDEX('Market Data'!$AC$5:$AC$66,INDEX('Market Data'!$J$5:$J$528,$T115)-4)*INDEX('Market Data'!$AD$5:$AD$66,INDEX('Market Data'!$J$5:$J$528,$T115)-4)/$E115-1,"unavailable"),IF($I115="Unavailable","unavailable","date mismatch"))))))</f>
        <v/>
      </c>
      <c r="N115" s="11">
        <f>IF($T115=0,"",IFERROR(IF(AND(N(INDEX('Market Data'!$F$5:$F$528,$T115))&gt;0,ISNUMBER(INDEX('Market Data'!$T$5:$T$528,$T115))),$E115*INDEX('Market Data'!$T$5:$T$528,$T115)/INDEX('Market Data'!$F$5:$F$528,$T115)-1,"unavailable"),"unavailable"))</f>
        <v/>
      </c>
      <c r="O115" s="9">
        <f>IF($T115=0,"",IF(IF(INDEX('Market Data'!$J$5:$J$528,$T115)=0,0,IF(LEFT(INDEX('Market Data'!$AS$5:$AS$66,INDEX('Market Data'!$J$5:$J$528,$T115)-4),11)="First-month",1,0))=1,"Class ratio review",IF($I115="Bloomberg",IF(ISNUMBER($G115),IF($G115&lt;TODAY(),"Older quote","See quote time"),"Date unavailable"),IF($I115="Snapshot",IF($G115&lt;DATEVALUE("2026-10-02"),"Older snapshot","Dated close"),"No valid quote"))))</f>
        <v/>
      </c>
      <c r="P115" s="14">
        <f>IF($T115=0,"",IF(INDEX('Market Data'!$J$5:$J$528,$T115)=0,"n/a",IF($Q115="Bloomberg",IF(AND(ISNUMBER(INDEX('Market Data'!$AK$5:$AK$66,INDEX('Market Data'!$J$5:$J$528,$T115)-4)),N(INDEX('Market Data'!$AK$5:$AK$66,INDEX('Market Data'!$J$5:$J$528,$T115)-4))&gt;0),INDEX('Market Data'!$AK$5:$AK$66,INDEX('Market Data'!$J$5:$J$528,$T115)-4),"date unavailable"),IF($Q115="Snapshot",IF(AND(ISNUMBER(INDEX('Market Data'!$AF$5:$AF$66,INDEX('Market Data'!$J$5:$J$528,$T115)-4)),N(INDEX('Market Data'!$AF$5:$AF$66,INDEX('Market Data'!$J$5:$J$528,$T115)-4))&gt;0),INDEX('Market Data'!$AF$5:$AF$66,INDEX('Market Data'!$J$5:$J$528,$T115)-4),"date unavailable"),"date unavailable"))))</f>
        <v/>
      </c>
      <c r="Q115" s="15">
        <f>IF($T115=0,"",IF(INDEX('Market Data'!$J$5:$J$528,$T115)=0,"n/a",IF(AND($M$5&lt;&gt;"Snapshot",ISNUMBER(INDEX('Market Data'!$AH$5:$AH$66,INDEX('Market Data'!$J$5:$J$528,$T115)-4)),N(INDEX('Market Data'!$AH$5:$AH$66,INDEX('Market Data'!$J$5:$J$528,$T115)-4))&gt;0),"Bloomberg",IF(AND($M$5&lt;&gt;"Bloomberg",ISNUMBER(INDEX('Market Data'!$AC$5:$AC$66,INDEX('Market Data'!$J$5:$J$528,$T115)-4)),N(INDEX('Market Data'!$AC$5:$AC$66,INDEX('Market Data'!$J$5:$J$528,$T115)-4))&gt;0),"Snapshot","Unavailable"))))</f>
        <v/>
      </c>
      <c r="T115">
        <f>IFERROR(MATCH(107,'Market Data'!$S$5:$S$528,0),0)</f>
        <v/>
      </c>
    </row>
    <row r="116" ht="34" customHeight="1">
      <c r="A116" s="8">
        <f>IF($T116=0,"",IF(INDEX('Market Data'!$A$5:$A$528,$T116)="","",INDEX('Market Data'!$A$5:$A$528,$T116)))</f>
        <v/>
      </c>
      <c r="B116" s="9">
        <f>IF($T116=0,"",IF(INDEX('Market Data'!$B$5:$B$528,$T116)="","",INDEX('Market Data'!$B$5:$B$528,$T116)))</f>
        <v/>
      </c>
      <c r="C116" s="9">
        <f>IF($T116=0,"",IF(INDEX('Market Data'!$C$5:$C$528,$T116)="","",INDEX('Market Data'!$C$5:$C$528,$T116)))</f>
        <v/>
      </c>
      <c r="D116" s="9">
        <f>IF($T116=0,"",IF(INDEX('Market Data'!$D$5:$D$528,$T116)="","",INDEX('Market Data'!$D$5:$D$528,$T116)))</f>
        <v/>
      </c>
      <c r="E116" s="10">
        <f>IF($T116=0,"",INDEX('Market Data'!$O$5:$O$528,$T116))</f>
        <v/>
      </c>
      <c r="F116" s="11">
        <f>IF($T116=0,"",IF(AND($I116="Bloomberg",ISNUMBER(INDEX('Market Data'!$L$5:$L$528,$T116))),INDEX('Market Data'!$L$5:$L$528,$T116),"unavailable"))</f>
        <v/>
      </c>
      <c r="G116" s="12">
        <f>IF($T116=0,"",IF($I116="Bloomberg",IF(AND(ISNUMBER(INDEX('Market Data'!$M$5:$M$528,$T116)),N(INDEX('Market Data'!$M$5:$M$528,$T116))&gt;0),INDEX('Market Data'!$M$5:$M$528,$T116),"date unavailable"),IF($I116="Snapshot",IF(AND(ISNUMBER(INDEX('Market Data'!$H$5:$H$528,$T116)),N(INDEX('Market Data'!$H$5:$H$528,$T116))&gt;0),INDEX('Market Data'!$H$5:$H$528,$T116),"date unavailable"),"date unavailable")))</f>
        <v/>
      </c>
      <c r="H116" s="9">
        <f>IF($T116=0,"",IF($I116="Bloomberg",IF(INDEX('Market Data'!$N$5:$N$528,$T116)="","time unavailable",INDEX('Market Data'!$N$5:$N$528,$T116)),""))</f>
        <v/>
      </c>
      <c r="I116" s="9">
        <f>IF($T116=0,"",INDEX('Market Data'!$P$5:$P$528,$T116))</f>
        <v/>
      </c>
      <c r="J116" s="13">
        <f>IF($T116=0,"",IF(INDEX('Market Data'!$E$5:$E$528,$T116)="","",INDEX('Market Data'!$E$5:$E$528,$T116)))</f>
        <v/>
      </c>
      <c r="K116" s="8">
        <f>IF($T116=0,"",IF(INDEX('Market Data'!$I$5:$I$528,$T116)="","",INDEX('Market Data'!$I$5:$I$528,$T116)))</f>
        <v/>
      </c>
      <c r="L116" s="10">
        <f>IF($T116=0,"",IF(INDEX('Market Data'!$J$5:$J$528,$T116)=0,"n/a",IF(AND($M$5&lt;&gt;"Snapshot",ISNUMBER(INDEX('Market Data'!$AH$5:$AH$66,INDEX('Market Data'!$J$5:$J$528,$T116)-4)),N(INDEX('Market Data'!$AH$5:$AH$66,INDEX('Market Data'!$J$5:$J$528,$T116)-4))&gt;0),INDEX('Market Data'!$AH$5:$AH$66,INDEX('Market Data'!$J$5:$J$528,$T116)-4),IF(AND($M$5&lt;&gt;"Bloomberg",ISNUMBER(INDEX('Market Data'!$AC$5:$AC$66,INDEX('Market Data'!$J$5:$J$528,$T116)-4)),N(INDEX('Market Data'!$AC$5:$AC$66,INDEX('Market Data'!$J$5:$J$528,$T116)-4))&gt;0),INDEX('Market Data'!$AC$5:$AC$66,INDEX('Market Data'!$J$5:$J$528,$T116)-4),"unavailable"))))</f>
        <v/>
      </c>
      <c r="M116" s="11">
        <f>IF($T116=0,"",IF(INDEX('Market Data'!$J$5:$J$528,$T116)=0,"n/a",IF(IF(INDEX('Market Data'!$J$5:$J$528,$T116)=0,0,IF(LEFT(INDEX('Market Data'!$AS$5:$AS$66,INDEX('Market Data'!$J$5:$J$528,$T116)-4),11)="First-month",1,0))=1,"class review",IF($I116="Bloomberg",IF(AND(ISNUMBER(INDEX('Market Data'!$AH$5:$AH$66,INDEX('Market Data'!$J$5:$J$528,$T116)-4)),N(INDEX('Market Data'!$AH$5:$AH$66,INDEX('Market Data'!$J$5:$J$528,$T116)-4))&gt;0,ISNUMBER('Market Data'!$B$1),N('Market Data'!$B$1)&gt;0),INDEX('Market Data'!$AH$5:$AH$66,INDEX('Market Data'!$J$5:$J$528,$T116)-4)*'Market Data'!$B$1/$E116-1,"pending A/FX"),IF(AND($I116="Snapshot",$Q116="Snapshot",ISNUMBER($E116),$G116=INDEX('Market Data'!$AE$5:$AE$66,INDEX('Market Data'!$J$5:$J$528,$T116)-4)),IFERROR(INDEX('Market Data'!$AC$5:$AC$66,INDEX('Market Data'!$J$5:$J$528,$T116)-4)*INDEX('Market Data'!$AD$5:$AD$66,INDEX('Market Data'!$J$5:$J$528,$T116)-4)/$E116-1,"unavailable"),IF($I116="Unavailable","unavailable","date mismatch"))))))</f>
        <v/>
      </c>
      <c r="N116" s="11">
        <f>IF($T116=0,"",IFERROR(IF(AND(N(INDEX('Market Data'!$F$5:$F$528,$T116))&gt;0,ISNUMBER(INDEX('Market Data'!$T$5:$T$528,$T116))),$E116*INDEX('Market Data'!$T$5:$T$528,$T116)/INDEX('Market Data'!$F$5:$F$528,$T116)-1,"unavailable"),"unavailable"))</f>
        <v/>
      </c>
      <c r="O116" s="9">
        <f>IF($T116=0,"",IF(IF(INDEX('Market Data'!$J$5:$J$528,$T116)=0,0,IF(LEFT(INDEX('Market Data'!$AS$5:$AS$66,INDEX('Market Data'!$J$5:$J$528,$T116)-4),11)="First-month",1,0))=1,"Class ratio review",IF($I116="Bloomberg",IF(ISNUMBER($G116),IF($G116&lt;TODAY(),"Older quote","See quote time"),"Date unavailable"),IF($I116="Snapshot",IF($G116&lt;DATEVALUE("2026-10-02"),"Older snapshot","Dated close"),"No valid quote"))))</f>
        <v/>
      </c>
      <c r="P116" s="14">
        <f>IF($T116=0,"",IF(INDEX('Market Data'!$J$5:$J$528,$T116)=0,"n/a",IF($Q116="Bloomberg",IF(AND(ISNUMBER(INDEX('Market Data'!$AK$5:$AK$66,INDEX('Market Data'!$J$5:$J$528,$T116)-4)),N(INDEX('Market Data'!$AK$5:$AK$66,INDEX('Market Data'!$J$5:$J$528,$T116)-4))&gt;0),INDEX('Market Data'!$AK$5:$AK$66,INDEX('Market Data'!$J$5:$J$528,$T116)-4),"date unavailable"),IF($Q116="Snapshot",IF(AND(ISNUMBER(INDEX('Market Data'!$AF$5:$AF$66,INDEX('Market Data'!$J$5:$J$528,$T116)-4)),N(INDEX('Market Data'!$AF$5:$AF$66,INDEX('Market Data'!$J$5:$J$528,$T116)-4))&gt;0),INDEX('Market Data'!$AF$5:$AF$66,INDEX('Market Data'!$J$5:$J$528,$T116)-4),"date unavailable"),"date unavailable"))))</f>
        <v/>
      </c>
      <c r="Q116" s="15">
        <f>IF($T116=0,"",IF(INDEX('Market Data'!$J$5:$J$528,$T116)=0,"n/a",IF(AND($M$5&lt;&gt;"Snapshot",ISNUMBER(INDEX('Market Data'!$AH$5:$AH$66,INDEX('Market Data'!$J$5:$J$528,$T116)-4)),N(INDEX('Market Data'!$AH$5:$AH$66,INDEX('Market Data'!$J$5:$J$528,$T116)-4))&gt;0),"Bloomberg",IF(AND($M$5&lt;&gt;"Bloomberg",ISNUMBER(INDEX('Market Data'!$AC$5:$AC$66,INDEX('Market Data'!$J$5:$J$528,$T116)-4)),N(INDEX('Market Data'!$AC$5:$AC$66,INDEX('Market Data'!$J$5:$J$528,$T116)-4))&gt;0),"Snapshot","Unavailable"))))</f>
        <v/>
      </c>
      <c r="T116">
        <f>IFERROR(MATCH(108,'Market Data'!$S$5:$S$528,0),0)</f>
        <v/>
      </c>
    </row>
    <row r="117" ht="34" customHeight="1">
      <c r="A117" s="8">
        <f>IF($T117=0,"",IF(INDEX('Market Data'!$A$5:$A$528,$T117)="","",INDEX('Market Data'!$A$5:$A$528,$T117)))</f>
        <v/>
      </c>
      <c r="B117" s="9">
        <f>IF($T117=0,"",IF(INDEX('Market Data'!$B$5:$B$528,$T117)="","",INDEX('Market Data'!$B$5:$B$528,$T117)))</f>
        <v/>
      </c>
      <c r="C117" s="9">
        <f>IF($T117=0,"",IF(INDEX('Market Data'!$C$5:$C$528,$T117)="","",INDEX('Market Data'!$C$5:$C$528,$T117)))</f>
        <v/>
      </c>
      <c r="D117" s="9">
        <f>IF($T117=0,"",IF(INDEX('Market Data'!$D$5:$D$528,$T117)="","",INDEX('Market Data'!$D$5:$D$528,$T117)))</f>
        <v/>
      </c>
      <c r="E117" s="10">
        <f>IF($T117=0,"",INDEX('Market Data'!$O$5:$O$528,$T117))</f>
        <v/>
      </c>
      <c r="F117" s="11">
        <f>IF($T117=0,"",IF(AND($I117="Bloomberg",ISNUMBER(INDEX('Market Data'!$L$5:$L$528,$T117))),INDEX('Market Data'!$L$5:$L$528,$T117),"unavailable"))</f>
        <v/>
      </c>
      <c r="G117" s="12">
        <f>IF($T117=0,"",IF($I117="Bloomberg",IF(AND(ISNUMBER(INDEX('Market Data'!$M$5:$M$528,$T117)),N(INDEX('Market Data'!$M$5:$M$528,$T117))&gt;0),INDEX('Market Data'!$M$5:$M$528,$T117),"date unavailable"),IF($I117="Snapshot",IF(AND(ISNUMBER(INDEX('Market Data'!$H$5:$H$528,$T117)),N(INDEX('Market Data'!$H$5:$H$528,$T117))&gt;0),INDEX('Market Data'!$H$5:$H$528,$T117),"date unavailable"),"date unavailable")))</f>
        <v/>
      </c>
      <c r="H117" s="9">
        <f>IF($T117=0,"",IF($I117="Bloomberg",IF(INDEX('Market Data'!$N$5:$N$528,$T117)="","time unavailable",INDEX('Market Data'!$N$5:$N$528,$T117)),""))</f>
        <v/>
      </c>
      <c r="I117" s="9">
        <f>IF($T117=0,"",INDEX('Market Data'!$P$5:$P$528,$T117))</f>
        <v/>
      </c>
      <c r="J117" s="13">
        <f>IF($T117=0,"",IF(INDEX('Market Data'!$E$5:$E$528,$T117)="","",INDEX('Market Data'!$E$5:$E$528,$T117)))</f>
        <v/>
      </c>
      <c r="K117" s="8">
        <f>IF($T117=0,"",IF(INDEX('Market Data'!$I$5:$I$528,$T117)="","",INDEX('Market Data'!$I$5:$I$528,$T117)))</f>
        <v/>
      </c>
      <c r="L117" s="10">
        <f>IF($T117=0,"",IF(INDEX('Market Data'!$J$5:$J$528,$T117)=0,"n/a",IF(AND($M$5&lt;&gt;"Snapshot",ISNUMBER(INDEX('Market Data'!$AH$5:$AH$66,INDEX('Market Data'!$J$5:$J$528,$T117)-4)),N(INDEX('Market Data'!$AH$5:$AH$66,INDEX('Market Data'!$J$5:$J$528,$T117)-4))&gt;0),INDEX('Market Data'!$AH$5:$AH$66,INDEX('Market Data'!$J$5:$J$528,$T117)-4),IF(AND($M$5&lt;&gt;"Bloomberg",ISNUMBER(INDEX('Market Data'!$AC$5:$AC$66,INDEX('Market Data'!$J$5:$J$528,$T117)-4)),N(INDEX('Market Data'!$AC$5:$AC$66,INDEX('Market Data'!$J$5:$J$528,$T117)-4))&gt;0),INDEX('Market Data'!$AC$5:$AC$66,INDEX('Market Data'!$J$5:$J$528,$T117)-4),"unavailable"))))</f>
        <v/>
      </c>
      <c r="M117" s="11">
        <f>IF($T117=0,"",IF(INDEX('Market Data'!$J$5:$J$528,$T117)=0,"n/a",IF(IF(INDEX('Market Data'!$J$5:$J$528,$T117)=0,0,IF(LEFT(INDEX('Market Data'!$AS$5:$AS$66,INDEX('Market Data'!$J$5:$J$528,$T117)-4),11)="First-month",1,0))=1,"class review",IF($I117="Bloomberg",IF(AND(ISNUMBER(INDEX('Market Data'!$AH$5:$AH$66,INDEX('Market Data'!$J$5:$J$528,$T117)-4)),N(INDEX('Market Data'!$AH$5:$AH$66,INDEX('Market Data'!$J$5:$J$528,$T117)-4))&gt;0,ISNUMBER('Market Data'!$B$1),N('Market Data'!$B$1)&gt;0),INDEX('Market Data'!$AH$5:$AH$66,INDEX('Market Data'!$J$5:$J$528,$T117)-4)*'Market Data'!$B$1/$E117-1,"pending A/FX"),IF(AND($I117="Snapshot",$Q117="Snapshot",ISNUMBER($E117),$G117=INDEX('Market Data'!$AE$5:$AE$66,INDEX('Market Data'!$J$5:$J$528,$T117)-4)),IFERROR(INDEX('Market Data'!$AC$5:$AC$66,INDEX('Market Data'!$J$5:$J$528,$T117)-4)*INDEX('Market Data'!$AD$5:$AD$66,INDEX('Market Data'!$J$5:$J$528,$T117)-4)/$E117-1,"unavailable"),IF($I117="Unavailable","unavailable","date mismatch"))))))</f>
        <v/>
      </c>
      <c r="N117" s="11">
        <f>IF($T117=0,"",IFERROR(IF(AND(N(INDEX('Market Data'!$F$5:$F$528,$T117))&gt;0,ISNUMBER(INDEX('Market Data'!$T$5:$T$528,$T117))),$E117*INDEX('Market Data'!$T$5:$T$528,$T117)/INDEX('Market Data'!$F$5:$F$528,$T117)-1,"unavailable"),"unavailable"))</f>
        <v/>
      </c>
      <c r="O117" s="9">
        <f>IF($T117=0,"",IF(IF(INDEX('Market Data'!$J$5:$J$528,$T117)=0,0,IF(LEFT(INDEX('Market Data'!$AS$5:$AS$66,INDEX('Market Data'!$J$5:$J$528,$T117)-4),11)="First-month",1,0))=1,"Class ratio review",IF($I117="Bloomberg",IF(ISNUMBER($G117),IF($G117&lt;TODAY(),"Older quote","See quote time"),"Date unavailable"),IF($I117="Snapshot",IF($G117&lt;DATEVALUE("2026-10-02"),"Older snapshot","Dated close"),"No valid quote"))))</f>
        <v/>
      </c>
      <c r="P117" s="14">
        <f>IF($T117=0,"",IF(INDEX('Market Data'!$J$5:$J$528,$T117)=0,"n/a",IF($Q117="Bloomberg",IF(AND(ISNUMBER(INDEX('Market Data'!$AK$5:$AK$66,INDEX('Market Data'!$J$5:$J$528,$T117)-4)),N(INDEX('Market Data'!$AK$5:$AK$66,INDEX('Market Data'!$J$5:$J$528,$T117)-4))&gt;0),INDEX('Market Data'!$AK$5:$AK$66,INDEX('Market Data'!$J$5:$J$528,$T117)-4),"date unavailable"),IF($Q117="Snapshot",IF(AND(ISNUMBER(INDEX('Market Data'!$AF$5:$AF$66,INDEX('Market Data'!$J$5:$J$528,$T117)-4)),N(INDEX('Market Data'!$AF$5:$AF$66,INDEX('Market Data'!$J$5:$J$528,$T117)-4))&gt;0),INDEX('Market Data'!$AF$5:$AF$66,INDEX('Market Data'!$J$5:$J$528,$T117)-4),"date unavailable"),"date unavailable"))))</f>
        <v/>
      </c>
      <c r="Q117" s="15">
        <f>IF($T117=0,"",IF(INDEX('Market Data'!$J$5:$J$528,$T117)=0,"n/a",IF(AND($M$5&lt;&gt;"Snapshot",ISNUMBER(INDEX('Market Data'!$AH$5:$AH$66,INDEX('Market Data'!$J$5:$J$528,$T117)-4)),N(INDEX('Market Data'!$AH$5:$AH$66,INDEX('Market Data'!$J$5:$J$528,$T117)-4))&gt;0),"Bloomberg",IF(AND($M$5&lt;&gt;"Bloomberg",ISNUMBER(INDEX('Market Data'!$AC$5:$AC$66,INDEX('Market Data'!$J$5:$J$528,$T117)-4)),N(INDEX('Market Data'!$AC$5:$AC$66,INDEX('Market Data'!$J$5:$J$528,$T117)-4))&gt;0),"Snapshot","Unavailable"))))</f>
        <v/>
      </c>
      <c r="T117">
        <f>IFERROR(MATCH(109,'Market Data'!$S$5:$S$528,0),0)</f>
        <v/>
      </c>
    </row>
    <row r="118" ht="34" customHeight="1">
      <c r="A118" s="8">
        <f>IF($T118=0,"",IF(INDEX('Market Data'!$A$5:$A$528,$T118)="","",INDEX('Market Data'!$A$5:$A$528,$T118)))</f>
        <v/>
      </c>
      <c r="B118" s="9">
        <f>IF($T118=0,"",IF(INDEX('Market Data'!$B$5:$B$528,$T118)="","",INDEX('Market Data'!$B$5:$B$528,$T118)))</f>
        <v/>
      </c>
      <c r="C118" s="9">
        <f>IF($T118=0,"",IF(INDEX('Market Data'!$C$5:$C$528,$T118)="","",INDEX('Market Data'!$C$5:$C$528,$T118)))</f>
        <v/>
      </c>
      <c r="D118" s="9">
        <f>IF($T118=0,"",IF(INDEX('Market Data'!$D$5:$D$528,$T118)="","",INDEX('Market Data'!$D$5:$D$528,$T118)))</f>
        <v/>
      </c>
      <c r="E118" s="10">
        <f>IF($T118=0,"",INDEX('Market Data'!$O$5:$O$528,$T118))</f>
        <v/>
      </c>
      <c r="F118" s="11">
        <f>IF($T118=0,"",IF(AND($I118="Bloomberg",ISNUMBER(INDEX('Market Data'!$L$5:$L$528,$T118))),INDEX('Market Data'!$L$5:$L$528,$T118),"unavailable"))</f>
        <v/>
      </c>
      <c r="G118" s="12">
        <f>IF($T118=0,"",IF($I118="Bloomberg",IF(AND(ISNUMBER(INDEX('Market Data'!$M$5:$M$528,$T118)),N(INDEX('Market Data'!$M$5:$M$528,$T118))&gt;0),INDEX('Market Data'!$M$5:$M$528,$T118),"date unavailable"),IF($I118="Snapshot",IF(AND(ISNUMBER(INDEX('Market Data'!$H$5:$H$528,$T118)),N(INDEX('Market Data'!$H$5:$H$528,$T118))&gt;0),INDEX('Market Data'!$H$5:$H$528,$T118),"date unavailable"),"date unavailable")))</f>
        <v/>
      </c>
      <c r="H118" s="9">
        <f>IF($T118=0,"",IF($I118="Bloomberg",IF(INDEX('Market Data'!$N$5:$N$528,$T118)="","time unavailable",INDEX('Market Data'!$N$5:$N$528,$T118)),""))</f>
        <v/>
      </c>
      <c r="I118" s="9">
        <f>IF($T118=0,"",INDEX('Market Data'!$P$5:$P$528,$T118))</f>
        <v/>
      </c>
      <c r="J118" s="13">
        <f>IF($T118=0,"",IF(INDEX('Market Data'!$E$5:$E$528,$T118)="","",INDEX('Market Data'!$E$5:$E$528,$T118)))</f>
        <v/>
      </c>
      <c r="K118" s="8">
        <f>IF($T118=0,"",IF(INDEX('Market Data'!$I$5:$I$528,$T118)="","",INDEX('Market Data'!$I$5:$I$528,$T118)))</f>
        <v/>
      </c>
      <c r="L118" s="10">
        <f>IF($T118=0,"",IF(INDEX('Market Data'!$J$5:$J$528,$T118)=0,"n/a",IF(AND($M$5&lt;&gt;"Snapshot",ISNUMBER(INDEX('Market Data'!$AH$5:$AH$66,INDEX('Market Data'!$J$5:$J$528,$T118)-4)),N(INDEX('Market Data'!$AH$5:$AH$66,INDEX('Market Data'!$J$5:$J$528,$T118)-4))&gt;0),INDEX('Market Data'!$AH$5:$AH$66,INDEX('Market Data'!$J$5:$J$528,$T118)-4),IF(AND($M$5&lt;&gt;"Bloomberg",ISNUMBER(INDEX('Market Data'!$AC$5:$AC$66,INDEX('Market Data'!$J$5:$J$528,$T118)-4)),N(INDEX('Market Data'!$AC$5:$AC$66,INDEX('Market Data'!$J$5:$J$528,$T118)-4))&gt;0),INDEX('Market Data'!$AC$5:$AC$66,INDEX('Market Data'!$J$5:$J$528,$T118)-4),"unavailable"))))</f>
        <v/>
      </c>
      <c r="M118" s="11">
        <f>IF($T118=0,"",IF(INDEX('Market Data'!$J$5:$J$528,$T118)=0,"n/a",IF(IF(INDEX('Market Data'!$J$5:$J$528,$T118)=0,0,IF(LEFT(INDEX('Market Data'!$AS$5:$AS$66,INDEX('Market Data'!$J$5:$J$528,$T118)-4),11)="First-month",1,0))=1,"class review",IF($I118="Bloomberg",IF(AND(ISNUMBER(INDEX('Market Data'!$AH$5:$AH$66,INDEX('Market Data'!$J$5:$J$528,$T118)-4)),N(INDEX('Market Data'!$AH$5:$AH$66,INDEX('Market Data'!$J$5:$J$528,$T118)-4))&gt;0,ISNUMBER('Market Data'!$B$1),N('Market Data'!$B$1)&gt;0),INDEX('Market Data'!$AH$5:$AH$66,INDEX('Market Data'!$J$5:$J$528,$T118)-4)*'Market Data'!$B$1/$E118-1,"pending A/FX"),IF(AND($I118="Snapshot",$Q118="Snapshot",ISNUMBER($E118),$G118=INDEX('Market Data'!$AE$5:$AE$66,INDEX('Market Data'!$J$5:$J$528,$T118)-4)),IFERROR(INDEX('Market Data'!$AC$5:$AC$66,INDEX('Market Data'!$J$5:$J$528,$T118)-4)*INDEX('Market Data'!$AD$5:$AD$66,INDEX('Market Data'!$J$5:$J$528,$T118)-4)/$E118-1,"unavailable"),IF($I118="Unavailable","unavailable","date mismatch"))))))</f>
        <v/>
      </c>
      <c r="N118" s="11">
        <f>IF($T118=0,"",IFERROR(IF(AND(N(INDEX('Market Data'!$F$5:$F$528,$T118))&gt;0,ISNUMBER(INDEX('Market Data'!$T$5:$T$528,$T118))),$E118*INDEX('Market Data'!$T$5:$T$528,$T118)/INDEX('Market Data'!$F$5:$F$528,$T118)-1,"unavailable"),"unavailable"))</f>
        <v/>
      </c>
      <c r="O118" s="9">
        <f>IF($T118=0,"",IF(IF(INDEX('Market Data'!$J$5:$J$528,$T118)=0,0,IF(LEFT(INDEX('Market Data'!$AS$5:$AS$66,INDEX('Market Data'!$J$5:$J$528,$T118)-4),11)="First-month",1,0))=1,"Class ratio review",IF($I118="Bloomberg",IF(ISNUMBER($G118),IF($G118&lt;TODAY(),"Older quote","See quote time"),"Date unavailable"),IF($I118="Snapshot",IF($G118&lt;DATEVALUE("2026-10-02"),"Older snapshot","Dated close"),"No valid quote"))))</f>
        <v/>
      </c>
      <c r="P118" s="14">
        <f>IF($T118=0,"",IF(INDEX('Market Data'!$J$5:$J$528,$T118)=0,"n/a",IF($Q118="Bloomberg",IF(AND(ISNUMBER(INDEX('Market Data'!$AK$5:$AK$66,INDEX('Market Data'!$J$5:$J$528,$T118)-4)),N(INDEX('Market Data'!$AK$5:$AK$66,INDEX('Market Data'!$J$5:$J$528,$T118)-4))&gt;0),INDEX('Market Data'!$AK$5:$AK$66,INDEX('Market Data'!$J$5:$J$528,$T118)-4),"date unavailable"),IF($Q118="Snapshot",IF(AND(ISNUMBER(INDEX('Market Data'!$AF$5:$AF$66,INDEX('Market Data'!$J$5:$J$528,$T118)-4)),N(INDEX('Market Data'!$AF$5:$AF$66,INDEX('Market Data'!$J$5:$J$528,$T118)-4))&gt;0),INDEX('Market Data'!$AF$5:$AF$66,INDEX('Market Data'!$J$5:$J$528,$T118)-4),"date unavailable"),"date unavailable"))))</f>
        <v/>
      </c>
      <c r="Q118" s="15">
        <f>IF($T118=0,"",IF(INDEX('Market Data'!$J$5:$J$528,$T118)=0,"n/a",IF(AND($M$5&lt;&gt;"Snapshot",ISNUMBER(INDEX('Market Data'!$AH$5:$AH$66,INDEX('Market Data'!$J$5:$J$528,$T118)-4)),N(INDEX('Market Data'!$AH$5:$AH$66,INDEX('Market Data'!$J$5:$J$528,$T118)-4))&gt;0),"Bloomberg",IF(AND($M$5&lt;&gt;"Bloomberg",ISNUMBER(INDEX('Market Data'!$AC$5:$AC$66,INDEX('Market Data'!$J$5:$J$528,$T118)-4)),N(INDEX('Market Data'!$AC$5:$AC$66,INDEX('Market Data'!$J$5:$J$528,$T118)-4))&gt;0),"Snapshot","Unavailable"))))</f>
        <v/>
      </c>
      <c r="T118">
        <f>IFERROR(MATCH(110,'Market Data'!$S$5:$S$528,0),0)</f>
        <v/>
      </c>
    </row>
    <row r="119" ht="34" customHeight="1">
      <c r="A119" s="8">
        <f>IF($T119=0,"",IF(INDEX('Market Data'!$A$5:$A$528,$T119)="","",INDEX('Market Data'!$A$5:$A$528,$T119)))</f>
        <v/>
      </c>
      <c r="B119" s="9">
        <f>IF($T119=0,"",IF(INDEX('Market Data'!$B$5:$B$528,$T119)="","",INDEX('Market Data'!$B$5:$B$528,$T119)))</f>
        <v/>
      </c>
      <c r="C119" s="9">
        <f>IF($T119=0,"",IF(INDEX('Market Data'!$C$5:$C$528,$T119)="","",INDEX('Market Data'!$C$5:$C$528,$T119)))</f>
        <v/>
      </c>
      <c r="D119" s="9">
        <f>IF($T119=0,"",IF(INDEX('Market Data'!$D$5:$D$528,$T119)="","",INDEX('Market Data'!$D$5:$D$528,$T119)))</f>
        <v/>
      </c>
      <c r="E119" s="10">
        <f>IF($T119=0,"",INDEX('Market Data'!$O$5:$O$528,$T119))</f>
        <v/>
      </c>
      <c r="F119" s="11">
        <f>IF($T119=0,"",IF(AND($I119="Bloomberg",ISNUMBER(INDEX('Market Data'!$L$5:$L$528,$T119))),INDEX('Market Data'!$L$5:$L$528,$T119),"unavailable"))</f>
        <v/>
      </c>
      <c r="G119" s="12">
        <f>IF($T119=0,"",IF($I119="Bloomberg",IF(AND(ISNUMBER(INDEX('Market Data'!$M$5:$M$528,$T119)),N(INDEX('Market Data'!$M$5:$M$528,$T119))&gt;0),INDEX('Market Data'!$M$5:$M$528,$T119),"date unavailable"),IF($I119="Snapshot",IF(AND(ISNUMBER(INDEX('Market Data'!$H$5:$H$528,$T119)),N(INDEX('Market Data'!$H$5:$H$528,$T119))&gt;0),INDEX('Market Data'!$H$5:$H$528,$T119),"date unavailable"),"date unavailable")))</f>
        <v/>
      </c>
      <c r="H119" s="9">
        <f>IF($T119=0,"",IF($I119="Bloomberg",IF(INDEX('Market Data'!$N$5:$N$528,$T119)="","time unavailable",INDEX('Market Data'!$N$5:$N$528,$T119)),""))</f>
        <v/>
      </c>
      <c r="I119" s="9">
        <f>IF($T119=0,"",INDEX('Market Data'!$P$5:$P$528,$T119))</f>
        <v/>
      </c>
      <c r="J119" s="13">
        <f>IF($T119=0,"",IF(INDEX('Market Data'!$E$5:$E$528,$T119)="","",INDEX('Market Data'!$E$5:$E$528,$T119)))</f>
        <v/>
      </c>
      <c r="K119" s="8">
        <f>IF($T119=0,"",IF(INDEX('Market Data'!$I$5:$I$528,$T119)="","",INDEX('Market Data'!$I$5:$I$528,$T119)))</f>
        <v/>
      </c>
      <c r="L119" s="10">
        <f>IF($T119=0,"",IF(INDEX('Market Data'!$J$5:$J$528,$T119)=0,"n/a",IF(AND($M$5&lt;&gt;"Snapshot",ISNUMBER(INDEX('Market Data'!$AH$5:$AH$66,INDEX('Market Data'!$J$5:$J$528,$T119)-4)),N(INDEX('Market Data'!$AH$5:$AH$66,INDEX('Market Data'!$J$5:$J$528,$T119)-4))&gt;0),INDEX('Market Data'!$AH$5:$AH$66,INDEX('Market Data'!$J$5:$J$528,$T119)-4),IF(AND($M$5&lt;&gt;"Bloomberg",ISNUMBER(INDEX('Market Data'!$AC$5:$AC$66,INDEX('Market Data'!$J$5:$J$528,$T119)-4)),N(INDEX('Market Data'!$AC$5:$AC$66,INDEX('Market Data'!$J$5:$J$528,$T119)-4))&gt;0),INDEX('Market Data'!$AC$5:$AC$66,INDEX('Market Data'!$J$5:$J$528,$T119)-4),"unavailable"))))</f>
        <v/>
      </c>
      <c r="M119" s="11">
        <f>IF($T119=0,"",IF(INDEX('Market Data'!$J$5:$J$528,$T119)=0,"n/a",IF(IF(INDEX('Market Data'!$J$5:$J$528,$T119)=0,0,IF(LEFT(INDEX('Market Data'!$AS$5:$AS$66,INDEX('Market Data'!$J$5:$J$528,$T119)-4),11)="First-month",1,0))=1,"class review",IF($I119="Bloomberg",IF(AND(ISNUMBER(INDEX('Market Data'!$AH$5:$AH$66,INDEX('Market Data'!$J$5:$J$528,$T119)-4)),N(INDEX('Market Data'!$AH$5:$AH$66,INDEX('Market Data'!$J$5:$J$528,$T119)-4))&gt;0,ISNUMBER('Market Data'!$B$1),N('Market Data'!$B$1)&gt;0),INDEX('Market Data'!$AH$5:$AH$66,INDEX('Market Data'!$J$5:$J$528,$T119)-4)*'Market Data'!$B$1/$E119-1,"pending A/FX"),IF(AND($I119="Snapshot",$Q119="Snapshot",ISNUMBER($E119),$G119=INDEX('Market Data'!$AE$5:$AE$66,INDEX('Market Data'!$J$5:$J$528,$T119)-4)),IFERROR(INDEX('Market Data'!$AC$5:$AC$66,INDEX('Market Data'!$J$5:$J$528,$T119)-4)*INDEX('Market Data'!$AD$5:$AD$66,INDEX('Market Data'!$J$5:$J$528,$T119)-4)/$E119-1,"unavailable"),IF($I119="Unavailable","unavailable","date mismatch"))))))</f>
        <v/>
      </c>
      <c r="N119" s="11">
        <f>IF($T119=0,"",IFERROR(IF(AND(N(INDEX('Market Data'!$F$5:$F$528,$T119))&gt;0,ISNUMBER(INDEX('Market Data'!$T$5:$T$528,$T119))),$E119*INDEX('Market Data'!$T$5:$T$528,$T119)/INDEX('Market Data'!$F$5:$F$528,$T119)-1,"unavailable"),"unavailable"))</f>
        <v/>
      </c>
      <c r="O119" s="9">
        <f>IF($T119=0,"",IF(IF(INDEX('Market Data'!$J$5:$J$528,$T119)=0,0,IF(LEFT(INDEX('Market Data'!$AS$5:$AS$66,INDEX('Market Data'!$J$5:$J$528,$T119)-4),11)="First-month",1,0))=1,"Class ratio review",IF($I119="Bloomberg",IF(ISNUMBER($G119),IF($G119&lt;TODAY(),"Older quote","See quote time"),"Date unavailable"),IF($I119="Snapshot",IF($G119&lt;DATEVALUE("2026-10-02"),"Older snapshot","Dated close"),"No valid quote"))))</f>
        <v/>
      </c>
      <c r="P119" s="14">
        <f>IF($T119=0,"",IF(INDEX('Market Data'!$J$5:$J$528,$T119)=0,"n/a",IF($Q119="Bloomberg",IF(AND(ISNUMBER(INDEX('Market Data'!$AK$5:$AK$66,INDEX('Market Data'!$J$5:$J$528,$T119)-4)),N(INDEX('Market Data'!$AK$5:$AK$66,INDEX('Market Data'!$J$5:$J$528,$T119)-4))&gt;0),INDEX('Market Data'!$AK$5:$AK$66,INDEX('Market Data'!$J$5:$J$528,$T119)-4),"date unavailable"),IF($Q119="Snapshot",IF(AND(ISNUMBER(INDEX('Market Data'!$AF$5:$AF$66,INDEX('Market Data'!$J$5:$J$528,$T119)-4)),N(INDEX('Market Data'!$AF$5:$AF$66,INDEX('Market Data'!$J$5:$J$528,$T119)-4))&gt;0),INDEX('Market Data'!$AF$5:$AF$66,INDEX('Market Data'!$J$5:$J$528,$T119)-4),"date unavailable"),"date unavailable"))))</f>
        <v/>
      </c>
      <c r="Q119" s="15">
        <f>IF($T119=0,"",IF(INDEX('Market Data'!$J$5:$J$528,$T119)=0,"n/a",IF(AND($M$5&lt;&gt;"Snapshot",ISNUMBER(INDEX('Market Data'!$AH$5:$AH$66,INDEX('Market Data'!$J$5:$J$528,$T119)-4)),N(INDEX('Market Data'!$AH$5:$AH$66,INDEX('Market Data'!$J$5:$J$528,$T119)-4))&gt;0),"Bloomberg",IF(AND($M$5&lt;&gt;"Bloomberg",ISNUMBER(INDEX('Market Data'!$AC$5:$AC$66,INDEX('Market Data'!$J$5:$J$528,$T119)-4)),N(INDEX('Market Data'!$AC$5:$AC$66,INDEX('Market Data'!$J$5:$J$528,$T119)-4))&gt;0),"Snapshot","Unavailable"))))</f>
        <v/>
      </c>
      <c r="T119">
        <f>IFERROR(MATCH(111,'Market Data'!$S$5:$S$528,0),0)</f>
        <v/>
      </c>
    </row>
    <row r="120" ht="34" customHeight="1">
      <c r="A120" s="8">
        <f>IF($T120=0,"",IF(INDEX('Market Data'!$A$5:$A$528,$T120)="","",INDEX('Market Data'!$A$5:$A$528,$T120)))</f>
        <v/>
      </c>
      <c r="B120" s="9">
        <f>IF($T120=0,"",IF(INDEX('Market Data'!$B$5:$B$528,$T120)="","",INDEX('Market Data'!$B$5:$B$528,$T120)))</f>
        <v/>
      </c>
      <c r="C120" s="9">
        <f>IF($T120=0,"",IF(INDEX('Market Data'!$C$5:$C$528,$T120)="","",INDEX('Market Data'!$C$5:$C$528,$T120)))</f>
        <v/>
      </c>
      <c r="D120" s="9">
        <f>IF($T120=0,"",IF(INDEX('Market Data'!$D$5:$D$528,$T120)="","",INDEX('Market Data'!$D$5:$D$528,$T120)))</f>
        <v/>
      </c>
      <c r="E120" s="10">
        <f>IF($T120=0,"",INDEX('Market Data'!$O$5:$O$528,$T120))</f>
        <v/>
      </c>
      <c r="F120" s="11">
        <f>IF($T120=0,"",IF(AND($I120="Bloomberg",ISNUMBER(INDEX('Market Data'!$L$5:$L$528,$T120))),INDEX('Market Data'!$L$5:$L$528,$T120),"unavailable"))</f>
        <v/>
      </c>
      <c r="G120" s="12">
        <f>IF($T120=0,"",IF($I120="Bloomberg",IF(AND(ISNUMBER(INDEX('Market Data'!$M$5:$M$528,$T120)),N(INDEX('Market Data'!$M$5:$M$528,$T120))&gt;0),INDEX('Market Data'!$M$5:$M$528,$T120),"date unavailable"),IF($I120="Snapshot",IF(AND(ISNUMBER(INDEX('Market Data'!$H$5:$H$528,$T120)),N(INDEX('Market Data'!$H$5:$H$528,$T120))&gt;0),INDEX('Market Data'!$H$5:$H$528,$T120),"date unavailable"),"date unavailable")))</f>
        <v/>
      </c>
      <c r="H120" s="9">
        <f>IF($T120=0,"",IF($I120="Bloomberg",IF(INDEX('Market Data'!$N$5:$N$528,$T120)="","time unavailable",INDEX('Market Data'!$N$5:$N$528,$T120)),""))</f>
        <v/>
      </c>
      <c r="I120" s="9">
        <f>IF($T120=0,"",INDEX('Market Data'!$P$5:$P$528,$T120))</f>
        <v/>
      </c>
      <c r="J120" s="13">
        <f>IF($T120=0,"",IF(INDEX('Market Data'!$E$5:$E$528,$T120)="","",INDEX('Market Data'!$E$5:$E$528,$T120)))</f>
        <v/>
      </c>
      <c r="K120" s="8">
        <f>IF($T120=0,"",IF(INDEX('Market Data'!$I$5:$I$528,$T120)="","",INDEX('Market Data'!$I$5:$I$528,$T120)))</f>
        <v/>
      </c>
      <c r="L120" s="10">
        <f>IF($T120=0,"",IF(INDEX('Market Data'!$J$5:$J$528,$T120)=0,"n/a",IF(AND($M$5&lt;&gt;"Snapshot",ISNUMBER(INDEX('Market Data'!$AH$5:$AH$66,INDEX('Market Data'!$J$5:$J$528,$T120)-4)),N(INDEX('Market Data'!$AH$5:$AH$66,INDEX('Market Data'!$J$5:$J$528,$T120)-4))&gt;0),INDEX('Market Data'!$AH$5:$AH$66,INDEX('Market Data'!$J$5:$J$528,$T120)-4),IF(AND($M$5&lt;&gt;"Bloomberg",ISNUMBER(INDEX('Market Data'!$AC$5:$AC$66,INDEX('Market Data'!$J$5:$J$528,$T120)-4)),N(INDEX('Market Data'!$AC$5:$AC$66,INDEX('Market Data'!$J$5:$J$528,$T120)-4))&gt;0),INDEX('Market Data'!$AC$5:$AC$66,INDEX('Market Data'!$J$5:$J$528,$T120)-4),"unavailable"))))</f>
        <v/>
      </c>
      <c r="M120" s="11">
        <f>IF($T120=0,"",IF(INDEX('Market Data'!$J$5:$J$528,$T120)=0,"n/a",IF(IF(INDEX('Market Data'!$J$5:$J$528,$T120)=0,0,IF(LEFT(INDEX('Market Data'!$AS$5:$AS$66,INDEX('Market Data'!$J$5:$J$528,$T120)-4),11)="First-month",1,0))=1,"class review",IF($I120="Bloomberg",IF(AND(ISNUMBER(INDEX('Market Data'!$AH$5:$AH$66,INDEX('Market Data'!$J$5:$J$528,$T120)-4)),N(INDEX('Market Data'!$AH$5:$AH$66,INDEX('Market Data'!$J$5:$J$528,$T120)-4))&gt;0,ISNUMBER('Market Data'!$B$1),N('Market Data'!$B$1)&gt;0),INDEX('Market Data'!$AH$5:$AH$66,INDEX('Market Data'!$J$5:$J$528,$T120)-4)*'Market Data'!$B$1/$E120-1,"pending A/FX"),IF(AND($I120="Snapshot",$Q120="Snapshot",ISNUMBER($E120),$G120=INDEX('Market Data'!$AE$5:$AE$66,INDEX('Market Data'!$J$5:$J$528,$T120)-4)),IFERROR(INDEX('Market Data'!$AC$5:$AC$66,INDEX('Market Data'!$J$5:$J$528,$T120)-4)*INDEX('Market Data'!$AD$5:$AD$66,INDEX('Market Data'!$J$5:$J$528,$T120)-4)/$E120-1,"unavailable"),IF($I120="Unavailable","unavailable","date mismatch"))))))</f>
        <v/>
      </c>
      <c r="N120" s="11">
        <f>IF($T120=0,"",IFERROR(IF(AND(N(INDEX('Market Data'!$F$5:$F$528,$T120))&gt;0,ISNUMBER(INDEX('Market Data'!$T$5:$T$528,$T120))),$E120*INDEX('Market Data'!$T$5:$T$528,$T120)/INDEX('Market Data'!$F$5:$F$528,$T120)-1,"unavailable"),"unavailable"))</f>
        <v/>
      </c>
      <c r="O120" s="9">
        <f>IF($T120=0,"",IF(IF(INDEX('Market Data'!$J$5:$J$528,$T120)=0,0,IF(LEFT(INDEX('Market Data'!$AS$5:$AS$66,INDEX('Market Data'!$J$5:$J$528,$T120)-4),11)="First-month",1,0))=1,"Class ratio review",IF($I120="Bloomberg",IF(ISNUMBER($G120),IF($G120&lt;TODAY(),"Older quote","See quote time"),"Date unavailable"),IF($I120="Snapshot",IF($G120&lt;DATEVALUE("2026-10-02"),"Older snapshot","Dated close"),"No valid quote"))))</f>
        <v/>
      </c>
      <c r="P120" s="14">
        <f>IF($T120=0,"",IF(INDEX('Market Data'!$J$5:$J$528,$T120)=0,"n/a",IF($Q120="Bloomberg",IF(AND(ISNUMBER(INDEX('Market Data'!$AK$5:$AK$66,INDEX('Market Data'!$J$5:$J$528,$T120)-4)),N(INDEX('Market Data'!$AK$5:$AK$66,INDEX('Market Data'!$J$5:$J$528,$T120)-4))&gt;0),INDEX('Market Data'!$AK$5:$AK$66,INDEX('Market Data'!$J$5:$J$528,$T120)-4),"date unavailable"),IF($Q120="Snapshot",IF(AND(ISNUMBER(INDEX('Market Data'!$AF$5:$AF$66,INDEX('Market Data'!$J$5:$J$528,$T120)-4)),N(INDEX('Market Data'!$AF$5:$AF$66,INDEX('Market Data'!$J$5:$J$528,$T120)-4))&gt;0),INDEX('Market Data'!$AF$5:$AF$66,INDEX('Market Data'!$J$5:$J$528,$T120)-4),"date unavailable"),"date unavailable"))))</f>
        <v/>
      </c>
      <c r="Q120" s="15">
        <f>IF($T120=0,"",IF(INDEX('Market Data'!$J$5:$J$528,$T120)=0,"n/a",IF(AND($M$5&lt;&gt;"Snapshot",ISNUMBER(INDEX('Market Data'!$AH$5:$AH$66,INDEX('Market Data'!$J$5:$J$528,$T120)-4)),N(INDEX('Market Data'!$AH$5:$AH$66,INDEX('Market Data'!$J$5:$J$528,$T120)-4))&gt;0),"Bloomberg",IF(AND($M$5&lt;&gt;"Bloomberg",ISNUMBER(INDEX('Market Data'!$AC$5:$AC$66,INDEX('Market Data'!$J$5:$J$528,$T120)-4)),N(INDEX('Market Data'!$AC$5:$AC$66,INDEX('Market Data'!$J$5:$J$528,$T120)-4))&gt;0),"Snapshot","Unavailable"))))</f>
        <v/>
      </c>
      <c r="T120">
        <f>IFERROR(MATCH(112,'Market Data'!$S$5:$S$528,0),0)</f>
        <v/>
      </c>
    </row>
    <row r="121" ht="34" customHeight="1">
      <c r="A121" s="8">
        <f>IF($T121=0,"",IF(INDEX('Market Data'!$A$5:$A$528,$T121)="","",INDEX('Market Data'!$A$5:$A$528,$T121)))</f>
        <v/>
      </c>
      <c r="B121" s="9">
        <f>IF($T121=0,"",IF(INDEX('Market Data'!$B$5:$B$528,$T121)="","",INDEX('Market Data'!$B$5:$B$528,$T121)))</f>
        <v/>
      </c>
      <c r="C121" s="9">
        <f>IF($T121=0,"",IF(INDEX('Market Data'!$C$5:$C$528,$T121)="","",INDEX('Market Data'!$C$5:$C$528,$T121)))</f>
        <v/>
      </c>
      <c r="D121" s="9">
        <f>IF($T121=0,"",IF(INDEX('Market Data'!$D$5:$D$528,$T121)="","",INDEX('Market Data'!$D$5:$D$528,$T121)))</f>
        <v/>
      </c>
      <c r="E121" s="10">
        <f>IF($T121=0,"",INDEX('Market Data'!$O$5:$O$528,$T121))</f>
        <v/>
      </c>
      <c r="F121" s="11">
        <f>IF($T121=0,"",IF(AND($I121="Bloomberg",ISNUMBER(INDEX('Market Data'!$L$5:$L$528,$T121))),INDEX('Market Data'!$L$5:$L$528,$T121),"unavailable"))</f>
        <v/>
      </c>
      <c r="G121" s="12">
        <f>IF($T121=0,"",IF($I121="Bloomberg",IF(AND(ISNUMBER(INDEX('Market Data'!$M$5:$M$528,$T121)),N(INDEX('Market Data'!$M$5:$M$528,$T121))&gt;0),INDEX('Market Data'!$M$5:$M$528,$T121),"date unavailable"),IF($I121="Snapshot",IF(AND(ISNUMBER(INDEX('Market Data'!$H$5:$H$528,$T121)),N(INDEX('Market Data'!$H$5:$H$528,$T121))&gt;0),INDEX('Market Data'!$H$5:$H$528,$T121),"date unavailable"),"date unavailable")))</f>
        <v/>
      </c>
      <c r="H121" s="9">
        <f>IF($T121=0,"",IF($I121="Bloomberg",IF(INDEX('Market Data'!$N$5:$N$528,$T121)="","time unavailable",INDEX('Market Data'!$N$5:$N$528,$T121)),""))</f>
        <v/>
      </c>
      <c r="I121" s="9">
        <f>IF($T121=0,"",INDEX('Market Data'!$P$5:$P$528,$T121))</f>
        <v/>
      </c>
      <c r="J121" s="13">
        <f>IF($T121=0,"",IF(INDEX('Market Data'!$E$5:$E$528,$T121)="","",INDEX('Market Data'!$E$5:$E$528,$T121)))</f>
        <v/>
      </c>
      <c r="K121" s="8">
        <f>IF($T121=0,"",IF(INDEX('Market Data'!$I$5:$I$528,$T121)="","",INDEX('Market Data'!$I$5:$I$528,$T121)))</f>
        <v/>
      </c>
      <c r="L121" s="10">
        <f>IF($T121=0,"",IF(INDEX('Market Data'!$J$5:$J$528,$T121)=0,"n/a",IF(AND($M$5&lt;&gt;"Snapshot",ISNUMBER(INDEX('Market Data'!$AH$5:$AH$66,INDEX('Market Data'!$J$5:$J$528,$T121)-4)),N(INDEX('Market Data'!$AH$5:$AH$66,INDEX('Market Data'!$J$5:$J$528,$T121)-4))&gt;0),INDEX('Market Data'!$AH$5:$AH$66,INDEX('Market Data'!$J$5:$J$528,$T121)-4),IF(AND($M$5&lt;&gt;"Bloomberg",ISNUMBER(INDEX('Market Data'!$AC$5:$AC$66,INDEX('Market Data'!$J$5:$J$528,$T121)-4)),N(INDEX('Market Data'!$AC$5:$AC$66,INDEX('Market Data'!$J$5:$J$528,$T121)-4))&gt;0),INDEX('Market Data'!$AC$5:$AC$66,INDEX('Market Data'!$J$5:$J$528,$T121)-4),"unavailable"))))</f>
        <v/>
      </c>
      <c r="M121" s="11">
        <f>IF($T121=0,"",IF(INDEX('Market Data'!$J$5:$J$528,$T121)=0,"n/a",IF(IF(INDEX('Market Data'!$J$5:$J$528,$T121)=0,0,IF(LEFT(INDEX('Market Data'!$AS$5:$AS$66,INDEX('Market Data'!$J$5:$J$528,$T121)-4),11)="First-month",1,0))=1,"class review",IF($I121="Bloomberg",IF(AND(ISNUMBER(INDEX('Market Data'!$AH$5:$AH$66,INDEX('Market Data'!$J$5:$J$528,$T121)-4)),N(INDEX('Market Data'!$AH$5:$AH$66,INDEX('Market Data'!$J$5:$J$528,$T121)-4))&gt;0,ISNUMBER('Market Data'!$B$1),N('Market Data'!$B$1)&gt;0),INDEX('Market Data'!$AH$5:$AH$66,INDEX('Market Data'!$J$5:$J$528,$T121)-4)*'Market Data'!$B$1/$E121-1,"pending A/FX"),IF(AND($I121="Snapshot",$Q121="Snapshot",ISNUMBER($E121),$G121=INDEX('Market Data'!$AE$5:$AE$66,INDEX('Market Data'!$J$5:$J$528,$T121)-4)),IFERROR(INDEX('Market Data'!$AC$5:$AC$66,INDEX('Market Data'!$J$5:$J$528,$T121)-4)*INDEX('Market Data'!$AD$5:$AD$66,INDEX('Market Data'!$J$5:$J$528,$T121)-4)/$E121-1,"unavailable"),IF($I121="Unavailable","unavailable","date mismatch"))))))</f>
        <v/>
      </c>
      <c r="N121" s="11">
        <f>IF($T121=0,"",IFERROR(IF(AND(N(INDEX('Market Data'!$F$5:$F$528,$T121))&gt;0,ISNUMBER(INDEX('Market Data'!$T$5:$T$528,$T121))),$E121*INDEX('Market Data'!$T$5:$T$528,$T121)/INDEX('Market Data'!$F$5:$F$528,$T121)-1,"unavailable"),"unavailable"))</f>
        <v/>
      </c>
      <c r="O121" s="9">
        <f>IF($T121=0,"",IF(IF(INDEX('Market Data'!$J$5:$J$528,$T121)=0,0,IF(LEFT(INDEX('Market Data'!$AS$5:$AS$66,INDEX('Market Data'!$J$5:$J$528,$T121)-4),11)="First-month",1,0))=1,"Class ratio review",IF($I121="Bloomberg",IF(ISNUMBER($G121),IF($G121&lt;TODAY(),"Older quote","See quote time"),"Date unavailable"),IF($I121="Snapshot",IF($G121&lt;DATEVALUE("2026-10-02"),"Older snapshot","Dated close"),"No valid quote"))))</f>
        <v/>
      </c>
      <c r="P121" s="14">
        <f>IF($T121=0,"",IF(INDEX('Market Data'!$J$5:$J$528,$T121)=0,"n/a",IF($Q121="Bloomberg",IF(AND(ISNUMBER(INDEX('Market Data'!$AK$5:$AK$66,INDEX('Market Data'!$J$5:$J$528,$T121)-4)),N(INDEX('Market Data'!$AK$5:$AK$66,INDEX('Market Data'!$J$5:$J$528,$T121)-4))&gt;0),INDEX('Market Data'!$AK$5:$AK$66,INDEX('Market Data'!$J$5:$J$528,$T121)-4),"date unavailable"),IF($Q121="Snapshot",IF(AND(ISNUMBER(INDEX('Market Data'!$AF$5:$AF$66,INDEX('Market Data'!$J$5:$J$528,$T121)-4)),N(INDEX('Market Data'!$AF$5:$AF$66,INDEX('Market Data'!$J$5:$J$528,$T121)-4))&gt;0),INDEX('Market Data'!$AF$5:$AF$66,INDEX('Market Data'!$J$5:$J$528,$T121)-4),"date unavailable"),"date unavailable"))))</f>
        <v/>
      </c>
      <c r="Q121" s="15">
        <f>IF($T121=0,"",IF(INDEX('Market Data'!$J$5:$J$528,$T121)=0,"n/a",IF(AND($M$5&lt;&gt;"Snapshot",ISNUMBER(INDEX('Market Data'!$AH$5:$AH$66,INDEX('Market Data'!$J$5:$J$528,$T121)-4)),N(INDEX('Market Data'!$AH$5:$AH$66,INDEX('Market Data'!$J$5:$J$528,$T121)-4))&gt;0),"Bloomberg",IF(AND($M$5&lt;&gt;"Bloomberg",ISNUMBER(INDEX('Market Data'!$AC$5:$AC$66,INDEX('Market Data'!$J$5:$J$528,$T121)-4)),N(INDEX('Market Data'!$AC$5:$AC$66,INDEX('Market Data'!$J$5:$J$528,$T121)-4))&gt;0),"Snapshot","Unavailable"))))</f>
        <v/>
      </c>
      <c r="T121">
        <f>IFERROR(MATCH(113,'Market Data'!$S$5:$S$528,0),0)</f>
        <v/>
      </c>
    </row>
    <row r="122" ht="34" customHeight="1">
      <c r="A122" s="8">
        <f>IF($T122=0,"",IF(INDEX('Market Data'!$A$5:$A$528,$T122)="","",INDEX('Market Data'!$A$5:$A$528,$T122)))</f>
        <v/>
      </c>
      <c r="B122" s="9">
        <f>IF($T122=0,"",IF(INDEX('Market Data'!$B$5:$B$528,$T122)="","",INDEX('Market Data'!$B$5:$B$528,$T122)))</f>
        <v/>
      </c>
      <c r="C122" s="9">
        <f>IF($T122=0,"",IF(INDEX('Market Data'!$C$5:$C$528,$T122)="","",INDEX('Market Data'!$C$5:$C$528,$T122)))</f>
        <v/>
      </c>
      <c r="D122" s="9">
        <f>IF($T122=0,"",IF(INDEX('Market Data'!$D$5:$D$528,$T122)="","",INDEX('Market Data'!$D$5:$D$528,$T122)))</f>
        <v/>
      </c>
      <c r="E122" s="10">
        <f>IF($T122=0,"",INDEX('Market Data'!$O$5:$O$528,$T122))</f>
        <v/>
      </c>
      <c r="F122" s="11">
        <f>IF($T122=0,"",IF(AND($I122="Bloomberg",ISNUMBER(INDEX('Market Data'!$L$5:$L$528,$T122))),INDEX('Market Data'!$L$5:$L$528,$T122),"unavailable"))</f>
        <v/>
      </c>
      <c r="G122" s="12">
        <f>IF($T122=0,"",IF($I122="Bloomberg",IF(AND(ISNUMBER(INDEX('Market Data'!$M$5:$M$528,$T122)),N(INDEX('Market Data'!$M$5:$M$528,$T122))&gt;0),INDEX('Market Data'!$M$5:$M$528,$T122),"date unavailable"),IF($I122="Snapshot",IF(AND(ISNUMBER(INDEX('Market Data'!$H$5:$H$528,$T122)),N(INDEX('Market Data'!$H$5:$H$528,$T122))&gt;0),INDEX('Market Data'!$H$5:$H$528,$T122),"date unavailable"),"date unavailable")))</f>
        <v/>
      </c>
      <c r="H122" s="9">
        <f>IF($T122=0,"",IF($I122="Bloomberg",IF(INDEX('Market Data'!$N$5:$N$528,$T122)="","time unavailable",INDEX('Market Data'!$N$5:$N$528,$T122)),""))</f>
        <v/>
      </c>
      <c r="I122" s="9">
        <f>IF($T122=0,"",INDEX('Market Data'!$P$5:$P$528,$T122))</f>
        <v/>
      </c>
      <c r="J122" s="13">
        <f>IF($T122=0,"",IF(INDEX('Market Data'!$E$5:$E$528,$T122)="","",INDEX('Market Data'!$E$5:$E$528,$T122)))</f>
        <v/>
      </c>
      <c r="K122" s="8">
        <f>IF($T122=0,"",IF(INDEX('Market Data'!$I$5:$I$528,$T122)="","",INDEX('Market Data'!$I$5:$I$528,$T122)))</f>
        <v/>
      </c>
      <c r="L122" s="10">
        <f>IF($T122=0,"",IF(INDEX('Market Data'!$J$5:$J$528,$T122)=0,"n/a",IF(AND($M$5&lt;&gt;"Snapshot",ISNUMBER(INDEX('Market Data'!$AH$5:$AH$66,INDEX('Market Data'!$J$5:$J$528,$T122)-4)),N(INDEX('Market Data'!$AH$5:$AH$66,INDEX('Market Data'!$J$5:$J$528,$T122)-4))&gt;0),INDEX('Market Data'!$AH$5:$AH$66,INDEX('Market Data'!$J$5:$J$528,$T122)-4),IF(AND($M$5&lt;&gt;"Bloomberg",ISNUMBER(INDEX('Market Data'!$AC$5:$AC$66,INDEX('Market Data'!$J$5:$J$528,$T122)-4)),N(INDEX('Market Data'!$AC$5:$AC$66,INDEX('Market Data'!$J$5:$J$528,$T122)-4))&gt;0),INDEX('Market Data'!$AC$5:$AC$66,INDEX('Market Data'!$J$5:$J$528,$T122)-4),"unavailable"))))</f>
        <v/>
      </c>
      <c r="M122" s="11">
        <f>IF($T122=0,"",IF(INDEX('Market Data'!$J$5:$J$528,$T122)=0,"n/a",IF(IF(INDEX('Market Data'!$J$5:$J$528,$T122)=0,0,IF(LEFT(INDEX('Market Data'!$AS$5:$AS$66,INDEX('Market Data'!$J$5:$J$528,$T122)-4),11)="First-month",1,0))=1,"class review",IF($I122="Bloomberg",IF(AND(ISNUMBER(INDEX('Market Data'!$AH$5:$AH$66,INDEX('Market Data'!$J$5:$J$528,$T122)-4)),N(INDEX('Market Data'!$AH$5:$AH$66,INDEX('Market Data'!$J$5:$J$528,$T122)-4))&gt;0,ISNUMBER('Market Data'!$B$1),N('Market Data'!$B$1)&gt;0),INDEX('Market Data'!$AH$5:$AH$66,INDEX('Market Data'!$J$5:$J$528,$T122)-4)*'Market Data'!$B$1/$E122-1,"pending A/FX"),IF(AND($I122="Snapshot",$Q122="Snapshot",ISNUMBER($E122),$G122=INDEX('Market Data'!$AE$5:$AE$66,INDEX('Market Data'!$J$5:$J$528,$T122)-4)),IFERROR(INDEX('Market Data'!$AC$5:$AC$66,INDEX('Market Data'!$J$5:$J$528,$T122)-4)*INDEX('Market Data'!$AD$5:$AD$66,INDEX('Market Data'!$J$5:$J$528,$T122)-4)/$E122-1,"unavailable"),IF($I122="Unavailable","unavailable","date mismatch"))))))</f>
        <v/>
      </c>
      <c r="N122" s="11">
        <f>IF($T122=0,"",IFERROR(IF(AND(N(INDEX('Market Data'!$F$5:$F$528,$T122))&gt;0,ISNUMBER(INDEX('Market Data'!$T$5:$T$528,$T122))),$E122*INDEX('Market Data'!$T$5:$T$528,$T122)/INDEX('Market Data'!$F$5:$F$528,$T122)-1,"unavailable"),"unavailable"))</f>
        <v/>
      </c>
      <c r="O122" s="9">
        <f>IF($T122=0,"",IF(IF(INDEX('Market Data'!$J$5:$J$528,$T122)=0,0,IF(LEFT(INDEX('Market Data'!$AS$5:$AS$66,INDEX('Market Data'!$J$5:$J$528,$T122)-4),11)="First-month",1,0))=1,"Class ratio review",IF($I122="Bloomberg",IF(ISNUMBER($G122),IF($G122&lt;TODAY(),"Older quote","See quote time"),"Date unavailable"),IF($I122="Snapshot",IF($G122&lt;DATEVALUE("2026-10-02"),"Older snapshot","Dated close"),"No valid quote"))))</f>
        <v/>
      </c>
      <c r="P122" s="14">
        <f>IF($T122=0,"",IF(INDEX('Market Data'!$J$5:$J$528,$T122)=0,"n/a",IF($Q122="Bloomberg",IF(AND(ISNUMBER(INDEX('Market Data'!$AK$5:$AK$66,INDEX('Market Data'!$J$5:$J$528,$T122)-4)),N(INDEX('Market Data'!$AK$5:$AK$66,INDEX('Market Data'!$J$5:$J$528,$T122)-4))&gt;0),INDEX('Market Data'!$AK$5:$AK$66,INDEX('Market Data'!$J$5:$J$528,$T122)-4),"date unavailable"),IF($Q122="Snapshot",IF(AND(ISNUMBER(INDEX('Market Data'!$AF$5:$AF$66,INDEX('Market Data'!$J$5:$J$528,$T122)-4)),N(INDEX('Market Data'!$AF$5:$AF$66,INDEX('Market Data'!$J$5:$J$528,$T122)-4))&gt;0),INDEX('Market Data'!$AF$5:$AF$66,INDEX('Market Data'!$J$5:$J$528,$T122)-4),"date unavailable"),"date unavailable"))))</f>
        <v/>
      </c>
      <c r="Q122" s="15">
        <f>IF($T122=0,"",IF(INDEX('Market Data'!$J$5:$J$528,$T122)=0,"n/a",IF(AND($M$5&lt;&gt;"Snapshot",ISNUMBER(INDEX('Market Data'!$AH$5:$AH$66,INDEX('Market Data'!$J$5:$J$528,$T122)-4)),N(INDEX('Market Data'!$AH$5:$AH$66,INDEX('Market Data'!$J$5:$J$528,$T122)-4))&gt;0),"Bloomberg",IF(AND($M$5&lt;&gt;"Bloomberg",ISNUMBER(INDEX('Market Data'!$AC$5:$AC$66,INDEX('Market Data'!$J$5:$J$528,$T122)-4)),N(INDEX('Market Data'!$AC$5:$AC$66,INDEX('Market Data'!$J$5:$J$528,$T122)-4))&gt;0),"Snapshot","Unavailable"))))</f>
        <v/>
      </c>
      <c r="T122">
        <f>IFERROR(MATCH(114,'Market Data'!$S$5:$S$528,0),0)</f>
        <v/>
      </c>
    </row>
    <row r="123" ht="34" customHeight="1">
      <c r="A123" s="8">
        <f>IF($T123=0,"",IF(INDEX('Market Data'!$A$5:$A$528,$T123)="","",INDEX('Market Data'!$A$5:$A$528,$T123)))</f>
        <v/>
      </c>
      <c r="B123" s="9">
        <f>IF($T123=0,"",IF(INDEX('Market Data'!$B$5:$B$528,$T123)="","",INDEX('Market Data'!$B$5:$B$528,$T123)))</f>
        <v/>
      </c>
      <c r="C123" s="9">
        <f>IF($T123=0,"",IF(INDEX('Market Data'!$C$5:$C$528,$T123)="","",INDEX('Market Data'!$C$5:$C$528,$T123)))</f>
        <v/>
      </c>
      <c r="D123" s="9">
        <f>IF($T123=0,"",IF(INDEX('Market Data'!$D$5:$D$528,$T123)="","",INDEX('Market Data'!$D$5:$D$528,$T123)))</f>
        <v/>
      </c>
      <c r="E123" s="10">
        <f>IF($T123=0,"",INDEX('Market Data'!$O$5:$O$528,$T123))</f>
        <v/>
      </c>
      <c r="F123" s="11">
        <f>IF($T123=0,"",IF(AND($I123="Bloomberg",ISNUMBER(INDEX('Market Data'!$L$5:$L$528,$T123))),INDEX('Market Data'!$L$5:$L$528,$T123),"unavailable"))</f>
        <v/>
      </c>
      <c r="G123" s="12">
        <f>IF($T123=0,"",IF($I123="Bloomberg",IF(AND(ISNUMBER(INDEX('Market Data'!$M$5:$M$528,$T123)),N(INDEX('Market Data'!$M$5:$M$528,$T123))&gt;0),INDEX('Market Data'!$M$5:$M$528,$T123),"date unavailable"),IF($I123="Snapshot",IF(AND(ISNUMBER(INDEX('Market Data'!$H$5:$H$528,$T123)),N(INDEX('Market Data'!$H$5:$H$528,$T123))&gt;0),INDEX('Market Data'!$H$5:$H$528,$T123),"date unavailable"),"date unavailable")))</f>
        <v/>
      </c>
      <c r="H123" s="9">
        <f>IF($T123=0,"",IF($I123="Bloomberg",IF(INDEX('Market Data'!$N$5:$N$528,$T123)="","time unavailable",INDEX('Market Data'!$N$5:$N$528,$T123)),""))</f>
        <v/>
      </c>
      <c r="I123" s="9">
        <f>IF($T123=0,"",INDEX('Market Data'!$P$5:$P$528,$T123))</f>
        <v/>
      </c>
      <c r="J123" s="13">
        <f>IF($T123=0,"",IF(INDEX('Market Data'!$E$5:$E$528,$T123)="","",INDEX('Market Data'!$E$5:$E$528,$T123)))</f>
        <v/>
      </c>
      <c r="K123" s="8">
        <f>IF($T123=0,"",IF(INDEX('Market Data'!$I$5:$I$528,$T123)="","",INDEX('Market Data'!$I$5:$I$528,$T123)))</f>
        <v/>
      </c>
      <c r="L123" s="10">
        <f>IF($T123=0,"",IF(INDEX('Market Data'!$J$5:$J$528,$T123)=0,"n/a",IF(AND($M$5&lt;&gt;"Snapshot",ISNUMBER(INDEX('Market Data'!$AH$5:$AH$66,INDEX('Market Data'!$J$5:$J$528,$T123)-4)),N(INDEX('Market Data'!$AH$5:$AH$66,INDEX('Market Data'!$J$5:$J$528,$T123)-4))&gt;0),INDEX('Market Data'!$AH$5:$AH$66,INDEX('Market Data'!$J$5:$J$528,$T123)-4),IF(AND($M$5&lt;&gt;"Bloomberg",ISNUMBER(INDEX('Market Data'!$AC$5:$AC$66,INDEX('Market Data'!$J$5:$J$528,$T123)-4)),N(INDEX('Market Data'!$AC$5:$AC$66,INDEX('Market Data'!$J$5:$J$528,$T123)-4))&gt;0),INDEX('Market Data'!$AC$5:$AC$66,INDEX('Market Data'!$J$5:$J$528,$T123)-4),"unavailable"))))</f>
        <v/>
      </c>
      <c r="M123" s="11">
        <f>IF($T123=0,"",IF(INDEX('Market Data'!$J$5:$J$528,$T123)=0,"n/a",IF(IF(INDEX('Market Data'!$J$5:$J$528,$T123)=0,0,IF(LEFT(INDEX('Market Data'!$AS$5:$AS$66,INDEX('Market Data'!$J$5:$J$528,$T123)-4),11)="First-month",1,0))=1,"class review",IF($I123="Bloomberg",IF(AND(ISNUMBER(INDEX('Market Data'!$AH$5:$AH$66,INDEX('Market Data'!$J$5:$J$528,$T123)-4)),N(INDEX('Market Data'!$AH$5:$AH$66,INDEX('Market Data'!$J$5:$J$528,$T123)-4))&gt;0,ISNUMBER('Market Data'!$B$1),N('Market Data'!$B$1)&gt;0),INDEX('Market Data'!$AH$5:$AH$66,INDEX('Market Data'!$J$5:$J$528,$T123)-4)*'Market Data'!$B$1/$E123-1,"pending A/FX"),IF(AND($I123="Snapshot",$Q123="Snapshot",ISNUMBER($E123),$G123=INDEX('Market Data'!$AE$5:$AE$66,INDEX('Market Data'!$J$5:$J$528,$T123)-4)),IFERROR(INDEX('Market Data'!$AC$5:$AC$66,INDEX('Market Data'!$J$5:$J$528,$T123)-4)*INDEX('Market Data'!$AD$5:$AD$66,INDEX('Market Data'!$J$5:$J$528,$T123)-4)/$E123-1,"unavailable"),IF($I123="Unavailable","unavailable","date mismatch"))))))</f>
        <v/>
      </c>
      <c r="N123" s="11">
        <f>IF($T123=0,"",IFERROR(IF(AND(N(INDEX('Market Data'!$F$5:$F$528,$T123))&gt;0,ISNUMBER(INDEX('Market Data'!$T$5:$T$528,$T123))),$E123*INDEX('Market Data'!$T$5:$T$528,$T123)/INDEX('Market Data'!$F$5:$F$528,$T123)-1,"unavailable"),"unavailable"))</f>
        <v/>
      </c>
      <c r="O123" s="9">
        <f>IF($T123=0,"",IF(IF(INDEX('Market Data'!$J$5:$J$528,$T123)=0,0,IF(LEFT(INDEX('Market Data'!$AS$5:$AS$66,INDEX('Market Data'!$J$5:$J$528,$T123)-4),11)="First-month",1,0))=1,"Class ratio review",IF($I123="Bloomberg",IF(ISNUMBER($G123),IF($G123&lt;TODAY(),"Older quote","See quote time"),"Date unavailable"),IF($I123="Snapshot",IF($G123&lt;DATEVALUE("2026-10-02"),"Older snapshot","Dated close"),"No valid quote"))))</f>
        <v/>
      </c>
      <c r="P123" s="14">
        <f>IF($T123=0,"",IF(INDEX('Market Data'!$J$5:$J$528,$T123)=0,"n/a",IF($Q123="Bloomberg",IF(AND(ISNUMBER(INDEX('Market Data'!$AK$5:$AK$66,INDEX('Market Data'!$J$5:$J$528,$T123)-4)),N(INDEX('Market Data'!$AK$5:$AK$66,INDEX('Market Data'!$J$5:$J$528,$T123)-4))&gt;0),INDEX('Market Data'!$AK$5:$AK$66,INDEX('Market Data'!$J$5:$J$528,$T123)-4),"date unavailable"),IF($Q123="Snapshot",IF(AND(ISNUMBER(INDEX('Market Data'!$AF$5:$AF$66,INDEX('Market Data'!$J$5:$J$528,$T123)-4)),N(INDEX('Market Data'!$AF$5:$AF$66,INDEX('Market Data'!$J$5:$J$528,$T123)-4))&gt;0),INDEX('Market Data'!$AF$5:$AF$66,INDEX('Market Data'!$J$5:$J$528,$T123)-4),"date unavailable"),"date unavailable"))))</f>
        <v/>
      </c>
      <c r="Q123" s="15">
        <f>IF($T123=0,"",IF(INDEX('Market Data'!$J$5:$J$528,$T123)=0,"n/a",IF(AND($M$5&lt;&gt;"Snapshot",ISNUMBER(INDEX('Market Data'!$AH$5:$AH$66,INDEX('Market Data'!$J$5:$J$528,$T123)-4)),N(INDEX('Market Data'!$AH$5:$AH$66,INDEX('Market Data'!$J$5:$J$528,$T123)-4))&gt;0),"Bloomberg",IF(AND($M$5&lt;&gt;"Bloomberg",ISNUMBER(INDEX('Market Data'!$AC$5:$AC$66,INDEX('Market Data'!$J$5:$J$528,$T123)-4)),N(INDEX('Market Data'!$AC$5:$AC$66,INDEX('Market Data'!$J$5:$J$528,$T123)-4))&gt;0),"Snapshot","Unavailable"))))</f>
        <v/>
      </c>
      <c r="T123">
        <f>IFERROR(MATCH(115,'Market Data'!$S$5:$S$528,0),0)</f>
        <v/>
      </c>
    </row>
    <row r="124" ht="34" customHeight="1">
      <c r="A124" s="8">
        <f>IF($T124=0,"",IF(INDEX('Market Data'!$A$5:$A$528,$T124)="","",INDEX('Market Data'!$A$5:$A$528,$T124)))</f>
        <v/>
      </c>
      <c r="B124" s="9">
        <f>IF($T124=0,"",IF(INDEX('Market Data'!$B$5:$B$528,$T124)="","",INDEX('Market Data'!$B$5:$B$528,$T124)))</f>
        <v/>
      </c>
      <c r="C124" s="9">
        <f>IF($T124=0,"",IF(INDEX('Market Data'!$C$5:$C$528,$T124)="","",INDEX('Market Data'!$C$5:$C$528,$T124)))</f>
        <v/>
      </c>
      <c r="D124" s="9">
        <f>IF($T124=0,"",IF(INDEX('Market Data'!$D$5:$D$528,$T124)="","",INDEX('Market Data'!$D$5:$D$528,$T124)))</f>
        <v/>
      </c>
      <c r="E124" s="10">
        <f>IF($T124=0,"",INDEX('Market Data'!$O$5:$O$528,$T124))</f>
        <v/>
      </c>
      <c r="F124" s="11">
        <f>IF($T124=0,"",IF(AND($I124="Bloomberg",ISNUMBER(INDEX('Market Data'!$L$5:$L$528,$T124))),INDEX('Market Data'!$L$5:$L$528,$T124),"unavailable"))</f>
        <v/>
      </c>
      <c r="G124" s="12">
        <f>IF($T124=0,"",IF($I124="Bloomberg",IF(AND(ISNUMBER(INDEX('Market Data'!$M$5:$M$528,$T124)),N(INDEX('Market Data'!$M$5:$M$528,$T124))&gt;0),INDEX('Market Data'!$M$5:$M$528,$T124),"date unavailable"),IF($I124="Snapshot",IF(AND(ISNUMBER(INDEX('Market Data'!$H$5:$H$528,$T124)),N(INDEX('Market Data'!$H$5:$H$528,$T124))&gt;0),INDEX('Market Data'!$H$5:$H$528,$T124),"date unavailable"),"date unavailable")))</f>
        <v/>
      </c>
      <c r="H124" s="9">
        <f>IF($T124=0,"",IF($I124="Bloomberg",IF(INDEX('Market Data'!$N$5:$N$528,$T124)="","time unavailable",INDEX('Market Data'!$N$5:$N$528,$T124)),""))</f>
        <v/>
      </c>
      <c r="I124" s="9">
        <f>IF($T124=0,"",INDEX('Market Data'!$P$5:$P$528,$T124))</f>
        <v/>
      </c>
      <c r="J124" s="13">
        <f>IF($T124=0,"",IF(INDEX('Market Data'!$E$5:$E$528,$T124)="","",INDEX('Market Data'!$E$5:$E$528,$T124)))</f>
        <v/>
      </c>
      <c r="K124" s="8">
        <f>IF($T124=0,"",IF(INDEX('Market Data'!$I$5:$I$528,$T124)="","",INDEX('Market Data'!$I$5:$I$528,$T124)))</f>
        <v/>
      </c>
      <c r="L124" s="10">
        <f>IF($T124=0,"",IF(INDEX('Market Data'!$J$5:$J$528,$T124)=0,"n/a",IF(AND($M$5&lt;&gt;"Snapshot",ISNUMBER(INDEX('Market Data'!$AH$5:$AH$66,INDEX('Market Data'!$J$5:$J$528,$T124)-4)),N(INDEX('Market Data'!$AH$5:$AH$66,INDEX('Market Data'!$J$5:$J$528,$T124)-4))&gt;0),INDEX('Market Data'!$AH$5:$AH$66,INDEX('Market Data'!$J$5:$J$528,$T124)-4),IF(AND($M$5&lt;&gt;"Bloomberg",ISNUMBER(INDEX('Market Data'!$AC$5:$AC$66,INDEX('Market Data'!$J$5:$J$528,$T124)-4)),N(INDEX('Market Data'!$AC$5:$AC$66,INDEX('Market Data'!$J$5:$J$528,$T124)-4))&gt;0),INDEX('Market Data'!$AC$5:$AC$66,INDEX('Market Data'!$J$5:$J$528,$T124)-4),"unavailable"))))</f>
        <v/>
      </c>
      <c r="M124" s="11">
        <f>IF($T124=0,"",IF(INDEX('Market Data'!$J$5:$J$528,$T124)=0,"n/a",IF(IF(INDEX('Market Data'!$J$5:$J$528,$T124)=0,0,IF(LEFT(INDEX('Market Data'!$AS$5:$AS$66,INDEX('Market Data'!$J$5:$J$528,$T124)-4),11)="First-month",1,0))=1,"class review",IF($I124="Bloomberg",IF(AND(ISNUMBER(INDEX('Market Data'!$AH$5:$AH$66,INDEX('Market Data'!$J$5:$J$528,$T124)-4)),N(INDEX('Market Data'!$AH$5:$AH$66,INDEX('Market Data'!$J$5:$J$528,$T124)-4))&gt;0,ISNUMBER('Market Data'!$B$1),N('Market Data'!$B$1)&gt;0),INDEX('Market Data'!$AH$5:$AH$66,INDEX('Market Data'!$J$5:$J$528,$T124)-4)*'Market Data'!$B$1/$E124-1,"pending A/FX"),IF(AND($I124="Snapshot",$Q124="Snapshot",ISNUMBER($E124),$G124=INDEX('Market Data'!$AE$5:$AE$66,INDEX('Market Data'!$J$5:$J$528,$T124)-4)),IFERROR(INDEX('Market Data'!$AC$5:$AC$66,INDEX('Market Data'!$J$5:$J$528,$T124)-4)*INDEX('Market Data'!$AD$5:$AD$66,INDEX('Market Data'!$J$5:$J$528,$T124)-4)/$E124-1,"unavailable"),IF($I124="Unavailable","unavailable","date mismatch"))))))</f>
        <v/>
      </c>
      <c r="N124" s="11">
        <f>IF($T124=0,"",IFERROR(IF(AND(N(INDEX('Market Data'!$F$5:$F$528,$T124))&gt;0,ISNUMBER(INDEX('Market Data'!$T$5:$T$528,$T124))),$E124*INDEX('Market Data'!$T$5:$T$528,$T124)/INDEX('Market Data'!$F$5:$F$528,$T124)-1,"unavailable"),"unavailable"))</f>
        <v/>
      </c>
      <c r="O124" s="9">
        <f>IF($T124=0,"",IF(IF(INDEX('Market Data'!$J$5:$J$528,$T124)=0,0,IF(LEFT(INDEX('Market Data'!$AS$5:$AS$66,INDEX('Market Data'!$J$5:$J$528,$T124)-4),11)="First-month",1,0))=1,"Class ratio review",IF($I124="Bloomberg",IF(ISNUMBER($G124),IF($G124&lt;TODAY(),"Older quote","See quote time"),"Date unavailable"),IF($I124="Snapshot",IF($G124&lt;DATEVALUE("2026-10-02"),"Older snapshot","Dated close"),"No valid quote"))))</f>
        <v/>
      </c>
      <c r="P124" s="14">
        <f>IF($T124=0,"",IF(INDEX('Market Data'!$J$5:$J$528,$T124)=0,"n/a",IF($Q124="Bloomberg",IF(AND(ISNUMBER(INDEX('Market Data'!$AK$5:$AK$66,INDEX('Market Data'!$J$5:$J$528,$T124)-4)),N(INDEX('Market Data'!$AK$5:$AK$66,INDEX('Market Data'!$J$5:$J$528,$T124)-4))&gt;0),INDEX('Market Data'!$AK$5:$AK$66,INDEX('Market Data'!$J$5:$J$528,$T124)-4),"date unavailable"),IF($Q124="Snapshot",IF(AND(ISNUMBER(INDEX('Market Data'!$AF$5:$AF$66,INDEX('Market Data'!$J$5:$J$528,$T124)-4)),N(INDEX('Market Data'!$AF$5:$AF$66,INDEX('Market Data'!$J$5:$J$528,$T124)-4))&gt;0),INDEX('Market Data'!$AF$5:$AF$66,INDEX('Market Data'!$J$5:$J$528,$T124)-4),"date unavailable"),"date unavailable"))))</f>
        <v/>
      </c>
      <c r="Q124" s="15">
        <f>IF($T124=0,"",IF(INDEX('Market Data'!$J$5:$J$528,$T124)=0,"n/a",IF(AND($M$5&lt;&gt;"Snapshot",ISNUMBER(INDEX('Market Data'!$AH$5:$AH$66,INDEX('Market Data'!$J$5:$J$528,$T124)-4)),N(INDEX('Market Data'!$AH$5:$AH$66,INDEX('Market Data'!$J$5:$J$528,$T124)-4))&gt;0),"Bloomberg",IF(AND($M$5&lt;&gt;"Bloomberg",ISNUMBER(INDEX('Market Data'!$AC$5:$AC$66,INDEX('Market Data'!$J$5:$J$528,$T124)-4)),N(INDEX('Market Data'!$AC$5:$AC$66,INDEX('Market Data'!$J$5:$J$528,$T124)-4))&gt;0),"Snapshot","Unavailable"))))</f>
        <v/>
      </c>
      <c r="T124">
        <f>IFERROR(MATCH(116,'Market Data'!$S$5:$S$528,0),0)</f>
        <v/>
      </c>
    </row>
    <row r="125" ht="34" customHeight="1">
      <c r="A125" s="8">
        <f>IF($T125=0,"",IF(INDEX('Market Data'!$A$5:$A$528,$T125)="","",INDEX('Market Data'!$A$5:$A$528,$T125)))</f>
        <v/>
      </c>
      <c r="B125" s="9">
        <f>IF($T125=0,"",IF(INDEX('Market Data'!$B$5:$B$528,$T125)="","",INDEX('Market Data'!$B$5:$B$528,$T125)))</f>
        <v/>
      </c>
      <c r="C125" s="9">
        <f>IF($T125=0,"",IF(INDEX('Market Data'!$C$5:$C$528,$T125)="","",INDEX('Market Data'!$C$5:$C$528,$T125)))</f>
        <v/>
      </c>
      <c r="D125" s="9">
        <f>IF($T125=0,"",IF(INDEX('Market Data'!$D$5:$D$528,$T125)="","",INDEX('Market Data'!$D$5:$D$528,$T125)))</f>
        <v/>
      </c>
      <c r="E125" s="10">
        <f>IF($T125=0,"",INDEX('Market Data'!$O$5:$O$528,$T125))</f>
        <v/>
      </c>
      <c r="F125" s="11">
        <f>IF($T125=0,"",IF(AND($I125="Bloomberg",ISNUMBER(INDEX('Market Data'!$L$5:$L$528,$T125))),INDEX('Market Data'!$L$5:$L$528,$T125),"unavailable"))</f>
        <v/>
      </c>
      <c r="G125" s="12">
        <f>IF($T125=0,"",IF($I125="Bloomberg",IF(AND(ISNUMBER(INDEX('Market Data'!$M$5:$M$528,$T125)),N(INDEX('Market Data'!$M$5:$M$528,$T125))&gt;0),INDEX('Market Data'!$M$5:$M$528,$T125),"date unavailable"),IF($I125="Snapshot",IF(AND(ISNUMBER(INDEX('Market Data'!$H$5:$H$528,$T125)),N(INDEX('Market Data'!$H$5:$H$528,$T125))&gt;0),INDEX('Market Data'!$H$5:$H$528,$T125),"date unavailable"),"date unavailable")))</f>
        <v/>
      </c>
      <c r="H125" s="9">
        <f>IF($T125=0,"",IF($I125="Bloomberg",IF(INDEX('Market Data'!$N$5:$N$528,$T125)="","time unavailable",INDEX('Market Data'!$N$5:$N$528,$T125)),""))</f>
        <v/>
      </c>
      <c r="I125" s="9">
        <f>IF($T125=0,"",INDEX('Market Data'!$P$5:$P$528,$T125))</f>
        <v/>
      </c>
      <c r="J125" s="13">
        <f>IF($T125=0,"",IF(INDEX('Market Data'!$E$5:$E$528,$T125)="","",INDEX('Market Data'!$E$5:$E$528,$T125)))</f>
        <v/>
      </c>
      <c r="K125" s="8">
        <f>IF($T125=0,"",IF(INDEX('Market Data'!$I$5:$I$528,$T125)="","",INDEX('Market Data'!$I$5:$I$528,$T125)))</f>
        <v/>
      </c>
      <c r="L125" s="10">
        <f>IF($T125=0,"",IF(INDEX('Market Data'!$J$5:$J$528,$T125)=0,"n/a",IF(AND($M$5&lt;&gt;"Snapshot",ISNUMBER(INDEX('Market Data'!$AH$5:$AH$66,INDEX('Market Data'!$J$5:$J$528,$T125)-4)),N(INDEX('Market Data'!$AH$5:$AH$66,INDEX('Market Data'!$J$5:$J$528,$T125)-4))&gt;0),INDEX('Market Data'!$AH$5:$AH$66,INDEX('Market Data'!$J$5:$J$528,$T125)-4),IF(AND($M$5&lt;&gt;"Bloomberg",ISNUMBER(INDEX('Market Data'!$AC$5:$AC$66,INDEX('Market Data'!$J$5:$J$528,$T125)-4)),N(INDEX('Market Data'!$AC$5:$AC$66,INDEX('Market Data'!$J$5:$J$528,$T125)-4))&gt;0),INDEX('Market Data'!$AC$5:$AC$66,INDEX('Market Data'!$J$5:$J$528,$T125)-4),"unavailable"))))</f>
        <v/>
      </c>
      <c r="M125" s="11">
        <f>IF($T125=0,"",IF(INDEX('Market Data'!$J$5:$J$528,$T125)=0,"n/a",IF(IF(INDEX('Market Data'!$J$5:$J$528,$T125)=0,0,IF(LEFT(INDEX('Market Data'!$AS$5:$AS$66,INDEX('Market Data'!$J$5:$J$528,$T125)-4),11)="First-month",1,0))=1,"class review",IF($I125="Bloomberg",IF(AND(ISNUMBER(INDEX('Market Data'!$AH$5:$AH$66,INDEX('Market Data'!$J$5:$J$528,$T125)-4)),N(INDEX('Market Data'!$AH$5:$AH$66,INDEX('Market Data'!$J$5:$J$528,$T125)-4))&gt;0,ISNUMBER('Market Data'!$B$1),N('Market Data'!$B$1)&gt;0),INDEX('Market Data'!$AH$5:$AH$66,INDEX('Market Data'!$J$5:$J$528,$T125)-4)*'Market Data'!$B$1/$E125-1,"pending A/FX"),IF(AND($I125="Snapshot",$Q125="Snapshot",ISNUMBER($E125),$G125=INDEX('Market Data'!$AE$5:$AE$66,INDEX('Market Data'!$J$5:$J$528,$T125)-4)),IFERROR(INDEX('Market Data'!$AC$5:$AC$66,INDEX('Market Data'!$J$5:$J$528,$T125)-4)*INDEX('Market Data'!$AD$5:$AD$66,INDEX('Market Data'!$J$5:$J$528,$T125)-4)/$E125-1,"unavailable"),IF($I125="Unavailable","unavailable","date mismatch"))))))</f>
        <v/>
      </c>
      <c r="N125" s="11">
        <f>IF($T125=0,"",IFERROR(IF(AND(N(INDEX('Market Data'!$F$5:$F$528,$T125))&gt;0,ISNUMBER(INDEX('Market Data'!$T$5:$T$528,$T125))),$E125*INDEX('Market Data'!$T$5:$T$528,$T125)/INDEX('Market Data'!$F$5:$F$528,$T125)-1,"unavailable"),"unavailable"))</f>
        <v/>
      </c>
      <c r="O125" s="9">
        <f>IF($T125=0,"",IF(IF(INDEX('Market Data'!$J$5:$J$528,$T125)=0,0,IF(LEFT(INDEX('Market Data'!$AS$5:$AS$66,INDEX('Market Data'!$J$5:$J$528,$T125)-4),11)="First-month",1,0))=1,"Class ratio review",IF($I125="Bloomberg",IF(ISNUMBER($G125),IF($G125&lt;TODAY(),"Older quote","See quote time"),"Date unavailable"),IF($I125="Snapshot",IF($G125&lt;DATEVALUE("2026-10-02"),"Older snapshot","Dated close"),"No valid quote"))))</f>
        <v/>
      </c>
      <c r="P125" s="14">
        <f>IF($T125=0,"",IF(INDEX('Market Data'!$J$5:$J$528,$T125)=0,"n/a",IF($Q125="Bloomberg",IF(AND(ISNUMBER(INDEX('Market Data'!$AK$5:$AK$66,INDEX('Market Data'!$J$5:$J$528,$T125)-4)),N(INDEX('Market Data'!$AK$5:$AK$66,INDEX('Market Data'!$J$5:$J$528,$T125)-4))&gt;0),INDEX('Market Data'!$AK$5:$AK$66,INDEX('Market Data'!$J$5:$J$528,$T125)-4),"date unavailable"),IF($Q125="Snapshot",IF(AND(ISNUMBER(INDEX('Market Data'!$AF$5:$AF$66,INDEX('Market Data'!$J$5:$J$528,$T125)-4)),N(INDEX('Market Data'!$AF$5:$AF$66,INDEX('Market Data'!$J$5:$J$528,$T125)-4))&gt;0),INDEX('Market Data'!$AF$5:$AF$66,INDEX('Market Data'!$J$5:$J$528,$T125)-4),"date unavailable"),"date unavailable"))))</f>
        <v/>
      </c>
      <c r="Q125" s="15">
        <f>IF($T125=0,"",IF(INDEX('Market Data'!$J$5:$J$528,$T125)=0,"n/a",IF(AND($M$5&lt;&gt;"Snapshot",ISNUMBER(INDEX('Market Data'!$AH$5:$AH$66,INDEX('Market Data'!$J$5:$J$528,$T125)-4)),N(INDEX('Market Data'!$AH$5:$AH$66,INDEX('Market Data'!$J$5:$J$528,$T125)-4))&gt;0),"Bloomberg",IF(AND($M$5&lt;&gt;"Bloomberg",ISNUMBER(INDEX('Market Data'!$AC$5:$AC$66,INDEX('Market Data'!$J$5:$J$528,$T125)-4)),N(INDEX('Market Data'!$AC$5:$AC$66,INDEX('Market Data'!$J$5:$J$528,$T125)-4))&gt;0),"Snapshot","Unavailable"))))</f>
        <v/>
      </c>
      <c r="T125">
        <f>IFERROR(MATCH(117,'Market Data'!$S$5:$S$528,0),0)</f>
        <v/>
      </c>
    </row>
    <row r="126" ht="34" customHeight="1">
      <c r="A126" s="8">
        <f>IF($T126=0,"",IF(INDEX('Market Data'!$A$5:$A$528,$T126)="","",INDEX('Market Data'!$A$5:$A$528,$T126)))</f>
        <v/>
      </c>
      <c r="B126" s="9">
        <f>IF($T126=0,"",IF(INDEX('Market Data'!$B$5:$B$528,$T126)="","",INDEX('Market Data'!$B$5:$B$528,$T126)))</f>
        <v/>
      </c>
      <c r="C126" s="9">
        <f>IF($T126=0,"",IF(INDEX('Market Data'!$C$5:$C$528,$T126)="","",INDEX('Market Data'!$C$5:$C$528,$T126)))</f>
        <v/>
      </c>
      <c r="D126" s="9">
        <f>IF($T126=0,"",IF(INDEX('Market Data'!$D$5:$D$528,$T126)="","",INDEX('Market Data'!$D$5:$D$528,$T126)))</f>
        <v/>
      </c>
      <c r="E126" s="10">
        <f>IF($T126=0,"",INDEX('Market Data'!$O$5:$O$528,$T126))</f>
        <v/>
      </c>
      <c r="F126" s="11">
        <f>IF($T126=0,"",IF(AND($I126="Bloomberg",ISNUMBER(INDEX('Market Data'!$L$5:$L$528,$T126))),INDEX('Market Data'!$L$5:$L$528,$T126),"unavailable"))</f>
        <v/>
      </c>
      <c r="G126" s="12">
        <f>IF($T126=0,"",IF($I126="Bloomberg",IF(AND(ISNUMBER(INDEX('Market Data'!$M$5:$M$528,$T126)),N(INDEX('Market Data'!$M$5:$M$528,$T126))&gt;0),INDEX('Market Data'!$M$5:$M$528,$T126),"date unavailable"),IF($I126="Snapshot",IF(AND(ISNUMBER(INDEX('Market Data'!$H$5:$H$528,$T126)),N(INDEX('Market Data'!$H$5:$H$528,$T126))&gt;0),INDEX('Market Data'!$H$5:$H$528,$T126),"date unavailable"),"date unavailable")))</f>
        <v/>
      </c>
      <c r="H126" s="9">
        <f>IF($T126=0,"",IF($I126="Bloomberg",IF(INDEX('Market Data'!$N$5:$N$528,$T126)="","time unavailable",INDEX('Market Data'!$N$5:$N$528,$T126)),""))</f>
        <v/>
      </c>
      <c r="I126" s="9">
        <f>IF($T126=0,"",INDEX('Market Data'!$P$5:$P$528,$T126))</f>
        <v/>
      </c>
      <c r="J126" s="13">
        <f>IF($T126=0,"",IF(INDEX('Market Data'!$E$5:$E$528,$T126)="","",INDEX('Market Data'!$E$5:$E$528,$T126)))</f>
        <v/>
      </c>
      <c r="K126" s="8">
        <f>IF($T126=0,"",IF(INDEX('Market Data'!$I$5:$I$528,$T126)="","",INDEX('Market Data'!$I$5:$I$528,$T126)))</f>
        <v/>
      </c>
      <c r="L126" s="10">
        <f>IF($T126=0,"",IF(INDEX('Market Data'!$J$5:$J$528,$T126)=0,"n/a",IF(AND($M$5&lt;&gt;"Snapshot",ISNUMBER(INDEX('Market Data'!$AH$5:$AH$66,INDEX('Market Data'!$J$5:$J$528,$T126)-4)),N(INDEX('Market Data'!$AH$5:$AH$66,INDEX('Market Data'!$J$5:$J$528,$T126)-4))&gt;0),INDEX('Market Data'!$AH$5:$AH$66,INDEX('Market Data'!$J$5:$J$528,$T126)-4),IF(AND($M$5&lt;&gt;"Bloomberg",ISNUMBER(INDEX('Market Data'!$AC$5:$AC$66,INDEX('Market Data'!$J$5:$J$528,$T126)-4)),N(INDEX('Market Data'!$AC$5:$AC$66,INDEX('Market Data'!$J$5:$J$528,$T126)-4))&gt;0),INDEX('Market Data'!$AC$5:$AC$66,INDEX('Market Data'!$J$5:$J$528,$T126)-4),"unavailable"))))</f>
        <v/>
      </c>
      <c r="M126" s="11">
        <f>IF($T126=0,"",IF(INDEX('Market Data'!$J$5:$J$528,$T126)=0,"n/a",IF(IF(INDEX('Market Data'!$J$5:$J$528,$T126)=0,0,IF(LEFT(INDEX('Market Data'!$AS$5:$AS$66,INDEX('Market Data'!$J$5:$J$528,$T126)-4),11)="First-month",1,0))=1,"class review",IF($I126="Bloomberg",IF(AND(ISNUMBER(INDEX('Market Data'!$AH$5:$AH$66,INDEX('Market Data'!$J$5:$J$528,$T126)-4)),N(INDEX('Market Data'!$AH$5:$AH$66,INDEX('Market Data'!$J$5:$J$528,$T126)-4))&gt;0,ISNUMBER('Market Data'!$B$1),N('Market Data'!$B$1)&gt;0),INDEX('Market Data'!$AH$5:$AH$66,INDEX('Market Data'!$J$5:$J$528,$T126)-4)*'Market Data'!$B$1/$E126-1,"pending A/FX"),IF(AND($I126="Snapshot",$Q126="Snapshot",ISNUMBER($E126),$G126=INDEX('Market Data'!$AE$5:$AE$66,INDEX('Market Data'!$J$5:$J$528,$T126)-4)),IFERROR(INDEX('Market Data'!$AC$5:$AC$66,INDEX('Market Data'!$J$5:$J$528,$T126)-4)*INDEX('Market Data'!$AD$5:$AD$66,INDEX('Market Data'!$J$5:$J$528,$T126)-4)/$E126-1,"unavailable"),IF($I126="Unavailable","unavailable","date mismatch"))))))</f>
        <v/>
      </c>
      <c r="N126" s="11">
        <f>IF($T126=0,"",IFERROR(IF(AND(N(INDEX('Market Data'!$F$5:$F$528,$T126))&gt;0,ISNUMBER(INDEX('Market Data'!$T$5:$T$528,$T126))),$E126*INDEX('Market Data'!$T$5:$T$528,$T126)/INDEX('Market Data'!$F$5:$F$528,$T126)-1,"unavailable"),"unavailable"))</f>
        <v/>
      </c>
      <c r="O126" s="9">
        <f>IF($T126=0,"",IF(IF(INDEX('Market Data'!$J$5:$J$528,$T126)=0,0,IF(LEFT(INDEX('Market Data'!$AS$5:$AS$66,INDEX('Market Data'!$J$5:$J$528,$T126)-4),11)="First-month",1,0))=1,"Class ratio review",IF($I126="Bloomberg",IF(ISNUMBER($G126),IF($G126&lt;TODAY(),"Older quote","See quote time"),"Date unavailable"),IF($I126="Snapshot",IF($G126&lt;DATEVALUE("2026-10-02"),"Older snapshot","Dated close"),"No valid quote"))))</f>
        <v/>
      </c>
      <c r="P126" s="14">
        <f>IF($T126=0,"",IF(INDEX('Market Data'!$J$5:$J$528,$T126)=0,"n/a",IF($Q126="Bloomberg",IF(AND(ISNUMBER(INDEX('Market Data'!$AK$5:$AK$66,INDEX('Market Data'!$J$5:$J$528,$T126)-4)),N(INDEX('Market Data'!$AK$5:$AK$66,INDEX('Market Data'!$J$5:$J$528,$T126)-4))&gt;0),INDEX('Market Data'!$AK$5:$AK$66,INDEX('Market Data'!$J$5:$J$528,$T126)-4),"date unavailable"),IF($Q126="Snapshot",IF(AND(ISNUMBER(INDEX('Market Data'!$AF$5:$AF$66,INDEX('Market Data'!$J$5:$J$528,$T126)-4)),N(INDEX('Market Data'!$AF$5:$AF$66,INDEX('Market Data'!$J$5:$J$528,$T126)-4))&gt;0),INDEX('Market Data'!$AF$5:$AF$66,INDEX('Market Data'!$J$5:$J$528,$T126)-4),"date unavailable"),"date unavailable"))))</f>
        <v/>
      </c>
      <c r="Q126" s="15">
        <f>IF($T126=0,"",IF(INDEX('Market Data'!$J$5:$J$528,$T126)=0,"n/a",IF(AND($M$5&lt;&gt;"Snapshot",ISNUMBER(INDEX('Market Data'!$AH$5:$AH$66,INDEX('Market Data'!$J$5:$J$528,$T126)-4)),N(INDEX('Market Data'!$AH$5:$AH$66,INDEX('Market Data'!$J$5:$J$528,$T126)-4))&gt;0),"Bloomberg",IF(AND($M$5&lt;&gt;"Bloomberg",ISNUMBER(INDEX('Market Data'!$AC$5:$AC$66,INDEX('Market Data'!$J$5:$J$528,$T126)-4)),N(INDEX('Market Data'!$AC$5:$AC$66,INDEX('Market Data'!$J$5:$J$528,$T126)-4))&gt;0),"Snapshot","Unavailable"))))</f>
        <v/>
      </c>
      <c r="T126">
        <f>IFERROR(MATCH(118,'Market Data'!$S$5:$S$528,0),0)</f>
        <v/>
      </c>
    </row>
    <row r="127" ht="34" customHeight="1">
      <c r="A127" s="8">
        <f>IF($T127=0,"",IF(INDEX('Market Data'!$A$5:$A$528,$T127)="","",INDEX('Market Data'!$A$5:$A$528,$T127)))</f>
        <v/>
      </c>
      <c r="B127" s="9">
        <f>IF($T127=0,"",IF(INDEX('Market Data'!$B$5:$B$528,$T127)="","",INDEX('Market Data'!$B$5:$B$528,$T127)))</f>
        <v/>
      </c>
      <c r="C127" s="9">
        <f>IF($T127=0,"",IF(INDEX('Market Data'!$C$5:$C$528,$T127)="","",INDEX('Market Data'!$C$5:$C$528,$T127)))</f>
        <v/>
      </c>
      <c r="D127" s="9">
        <f>IF($T127=0,"",IF(INDEX('Market Data'!$D$5:$D$528,$T127)="","",INDEX('Market Data'!$D$5:$D$528,$T127)))</f>
        <v/>
      </c>
      <c r="E127" s="10">
        <f>IF($T127=0,"",INDEX('Market Data'!$O$5:$O$528,$T127))</f>
        <v/>
      </c>
      <c r="F127" s="11">
        <f>IF($T127=0,"",IF(AND($I127="Bloomberg",ISNUMBER(INDEX('Market Data'!$L$5:$L$528,$T127))),INDEX('Market Data'!$L$5:$L$528,$T127),"unavailable"))</f>
        <v/>
      </c>
      <c r="G127" s="12">
        <f>IF($T127=0,"",IF($I127="Bloomberg",IF(AND(ISNUMBER(INDEX('Market Data'!$M$5:$M$528,$T127)),N(INDEX('Market Data'!$M$5:$M$528,$T127))&gt;0),INDEX('Market Data'!$M$5:$M$528,$T127),"date unavailable"),IF($I127="Snapshot",IF(AND(ISNUMBER(INDEX('Market Data'!$H$5:$H$528,$T127)),N(INDEX('Market Data'!$H$5:$H$528,$T127))&gt;0),INDEX('Market Data'!$H$5:$H$528,$T127),"date unavailable"),"date unavailable")))</f>
        <v/>
      </c>
      <c r="H127" s="9">
        <f>IF($T127=0,"",IF($I127="Bloomberg",IF(INDEX('Market Data'!$N$5:$N$528,$T127)="","time unavailable",INDEX('Market Data'!$N$5:$N$528,$T127)),""))</f>
        <v/>
      </c>
      <c r="I127" s="9">
        <f>IF($T127=0,"",INDEX('Market Data'!$P$5:$P$528,$T127))</f>
        <v/>
      </c>
      <c r="J127" s="13">
        <f>IF($T127=0,"",IF(INDEX('Market Data'!$E$5:$E$528,$T127)="","",INDEX('Market Data'!$E$5:$E$528,$T127)))</f>
        <v/>
      </c>
      <c r="K127" s="8">
        <f>IF($T127=0,"",IF(INDEX('Market Data'!$I$5:$I$528,$T127)="","",INDEX('Market Data'!$I$5:$I$528,$T127)))</f>
        <v/>
      </c>
      <c r="L127" s="10">
        <f>IF($T127=0,"",IF(INDEX('Market Data'!$J$5:$J$528,$T127)=0,"n/a",IF(AND($M$5&lt;&gt;"Snapshot",ISNUMBER(INDEX('Market Data'!$AH$5:$AH$66,INDEX('Market Data'!$J$5:$J$528,$T127)-4)),N(INDEX('Market Data'!$AH$5:$AH$66,INDEX('Market Data'!$J$5:$J$528,$T127)-4))&gt;0),INDEX('Market Data'!$AH$5:$AH$66,INDEX('Market Data'!$J$5:$J$528,$T127)-4),IF(AND($M$5&lt;&gt;"Bloomberg",ISNUMBER(INDEX('Market Data'!$AC$5:$AC$66,INDEX('Market Data'!$J$5:$J$528,$T127)-4)),N(INDEX('Market Data'!$AC$5:$AC$66,INDEX('Market Data'!$J$5:$J$528,$T127)-4))&gt;0),INDEX('Market Data'!$AC$5:$AC$66,INDEX('Market Data'!$J$5:$J$528,$T127)-4),"unavailable"))))</f>
        <v/>
      </c>
      <c r="M127" s="11">
        <f>IF($T127=0,"",IF(INDEX('Market Data'!$J$5:$J$528,$T127)=0,"n/a",IF(IF(INDEX('Market Data'!$J$5:$J$528,$T127)=0,0,IF(LEFT(INDEX('Market Data'!$AS$5:$AS$66,INDEX('Market Data'!$J$5:$J$528,$T127)-4),11)="First-month",1,0))=1,"class review",IF($I127="Bloomberg",IF(AND(ISNUMBER(INDEX('Market Data'!$AH$5:$AH$66,INDEX('Market Data'!$J$5:$J$528,$T127)-4)),N(INDEX('Market Data'!$AH$5:$AH$66,INDEX('Market Data'!$J$5:$J$528,$T127)-4))&gt;0,ISNUMBER('Market Data'!$B$1),N('Market Data'!$B$1)&gt;0),INDEX('Market Data'!$AH$5:$AH$66,INDEX('Market Data'!$J$5:$J$528,$T127)-4)*'Market Data'!$B$1/$E127-1,"pending A/FX"),IF(AND($I127="Snapshot",$Q127="Snapshot",ISNUMBER($E127),$G127=INDEX('Market Data'!$AE$5:$AE$66,INDEX('Market Data'!$J$5:$J$528,$T127)-4)),IFERROR(INDEX('Market Data'!$AC$5:$AC$66,INDEX('Market Data'!$J$5:$J$528,$T127)-4)*INDEX('Market Data'!$AD$5:$AD$66,INDEX('Market Data'!$J$5:$J$528,$T127)-4)/$E127-1,"unavailable"),IF($I127="Unavailable","unavailable","date mismatch"))))))</f>
        <v/>
      </c>
      <c r="N127" s="11">
        <f>IF($T127=0,"",IFERROR(IF(AND(N(INDEX('Market Data'!$F$5:$F$528,$T127))&gt;0,ISNUMBER(INDEX('Market Data'!$T$5:$T$528,$T127))),$E127*INDEX('Market Data'!$T$5:$T$528,$T127)/INDEX('Market Data'!$F$5:$F$528,$T127)-1,"unavailable"),"unavailable"))</f>
        <v/>
      </c>
      <c r="O127" s="9">
        <f>IF($T127=0,"",IF(IF(INDEX('Market Data'!$J$5:$J$528,$T127)=0,0,IF(LEFT(INDEX('Market Data'!$AS$5:$AS$66,INDEX('Market Data'!$J$5:$J$528,$T127)-4),11)="First-month",1,0))=1,"Class ratio review",IF($I127="Bloomberg",IF(ISNUMBER($G127),IF($G127&lt;TODAY(),"Older quote","See quote time"),"Date unavailable"),IF($I127="Snapshot",IF($G127&lt;DATEVALUE("2026-10-02"),"Older snapshot","Dated close"),"No valid quote"))))</f>
        <v/>
      </c>
      <c r="P127" s="14">
        <f>IF($T127=0,"",IF(INDEX('Market Data'!$J$5:$J$528,$T127)=0,"n/a",IF($Q127="Bloomberg",IF(AND(ISNUMBER(INDEX('Market Data'!$AK$5:$AK$66,INDEX('Market Data'!$J$5:$J$528,$T127)-4)),N(INDEX('Market Data'!$AK$5:$AK$66,INDEX('Market Data'!$J$5:$J$528,$T127)-4))&gt;0),INDEX('Market Data'!$AK$5:$AK$66,INDEX('Market Data'!$J$5:$J$528,$T127)-4),"date unavailable"),IF($Q127="Snapshot",IF(AND(ISNUMBER(INDEX('Market Data'!$AF$5:$AF$66,INDEX('Market Data'!$J$5:$J$528,$T127)-4)),N(INDEX('Market Data'!$AF$5:$AF$66,INDEX('Market Data'!$J$5:$J$528,$T127)-4))&gt;0),INDEX('Market Data'!$AF$5:$AF$66,INDEX('Market Data'!$J$5:$J$528,$T127)-4),"date unavailable"),"date unavailable"))))</f>
        <v/>
      </c>
      <c r="Q127" s="15">
        <f>IF($T127=0,"",IF(INDEX('Market Data'!$J$5:$J$528,$T127)=0,"n/a",IF(AND($M$5&lt;&gt;"Snapshot",ISNUMBER(INDEX('Market Data'!$AH$5:$AH$66,INDEX('Market Data'!$J$5:$J$528,$T127)-4)),N(INDEX('Market Data'!$AH$5:$AH$66,INDEX('Market Data'!$J$5:$J$528,$T127)-4))&gt;0),"Bloomberg",IF(AND($M$5&lt;&gt;"Bloomberg",ISNUMBER(INDEX('Market Data'!$AC$5:$AC$66,INDEX('Market Data'!$J$5:$J$528,$T127)-4)),N(INDEX('Market Data'!$AC$5:$AC$66,INDEX('Market Data'!$J$5:$J$528,$T127)-4))&gt;0),"Snapshot","Unavailable"))))</f>
        <v/>
      </c>
      <c r="T127">
        <f>IFERROR(MATCH(119,'Market Data'!$S$5:$S$528,0),0)</f>
        <v/>
      </c>
    </row>
    <row r="128" ht="34" customHeight="1">
      <c r="A128" s="8">
        <f>IF($T128=0,"",IF(INDEX('Market Data'!$A$5:$A$528,$T128)="","",INDEX('Market Data'!$A$5:$A$528,$T128)))</f>
        <v/>
      </c>
      <c r="B128" s="9">
        <f>IF($T128=0,"",IF(INDEX('Market Data'!$B$5:$B$528,$T128)="","",INDEX('Market Data'!$B$5:$B$528,$T128)))</f>
        <v/>
      </c>
      <c r="C128" s="9">
        <f>IF($T128=0,"",IF(INDEX('Market Data'!$C$5:$C$528,$T128)="","",INDEX('Market Data'!$C$5:$C$528,$T128)))</f>
        <v/>
      </c>
      <c r="D128" s="9">
        <f>IF($T128=0,"",IF(INDEX('Market Data'!$D$5:$D$528,$T128)="","",INDEX('Market Data'!$D$5:$D$528,$T128)))</f>
        <v/>
      </c>
      <c r="E128" s="10">
        <f>IF($T128=0,"",INDEX('Market Data'!$O$5:$O$528,$T128))</f>
        <v/>
      </c>
      <c r="F128" s="11">
        <f>IF($T128=0,"",IF(AND($I128="Bloomberg",ISNUMBER(INDEX('Market Data'!$L$5:$L$528,$T128))),INDEX('Market Data'!$L$5:$L$528,$T128),"unavailable"))</f>
        <v/>
      </c>
      <c r="G128" s="12">
        <f>IF($T128=0,"",IF($I128="Bloomberg",IF(AND(ISNUMBER(INDEX('Market Data'!$M$5:$M$528,$T128)),N(INDEX('Market Data'!$M$5:$M$528,$T128))&gt;0),INDEX('Market Data'!$M$5:$M$528,$T128),"date unavailable"),IF($I128="Snapshot",IF(AND(ISNUMBER(INDEX('Market Data'!$H$5:$H$528,$T128)),N(INDEX('Market Data'!$H$5:$H$528,$T128))&gt;0),INDEX('Market Data'!$H$5:$H$528,$T128),"date unavailable"),"date unavailable")))</f>
        <v/>
      </c>
      <c r="H128" s="9">
        <f>IF($T128=0,"",IF($I128="Bloomberg",IF(INDEX('Market Data'!$N$5:$N$528,$T128)="","time unavailable",INDEX('Market Data'!$N$5:$N$528,$T128)),""))</f>
        <v/>
      </c>
      <c r="I128" s="9">
        <f>IF($T128=0,"",INDEX('Market Data'!$P$5:$P$528,$T128))</f>
        <v/>
      </c>
      <c r="J128" s="13">
        <f>IF($T128=0,"",IF(INDEX('Market Data'!$E$5:$E$528,$T128)="","",INDEX('Market Data'!$E$5:$E$528,$T128)))</f>
        <v/>
      </c>
      <c r="K128" s="8">
        <f>IF($T128=0,"",IF(INDEX('Market Data'!$I$5:$I$528,$T128)="","",INDEX('Market Data'!$I$5:$I$528,$T128)))</f>
        <v/>
      </c>
      <c r="L128" s="10">
        <f>IF($T128=0,"",IF(INDEX('Market Data'!$J$5:$J$528,$T128)=0,"n/a",IF(AND($M$5&lt;&gt;"Snapshot",ISNUMBER(INDEX('Market Data'!$AH$5:$AH$66,INDEX('Market Data'!$J$5:$J$528,$T128)-4)),N(INDEX('Market Data'!$AH$5:$AH$66,INDEX('Market Data'!$J$5:$J$528,$T128)-4))&gt;0),INDEX('Market Data'!$AH$5:$AH$66,INDEX('Market Data'!$J$5:$J$528,$T128)-4),IF(AND($M$5&lt;&gt;"Bloomberg",ISNUMBER(INDEX('Market Data'!$AC$5:$AC$66,INDEX('Market Data'!$J$5:$J$528,$T128)-4)),N(INDEX('Market Data'!$AC$5:$AC$66,INDEX('Market Data'!$J$5:$J$528,$T128)-4))&gt;0),INDEX('Market Data'!$AC$5:$AC$66,INDEX('Market Data'!$J$5:$J$528,$T128)-4),"unavailable"))))</f>
        <v/>
      </c>
      <c r="M128" s="11">
        <f>IF($T128=0,"",IF(INDEX('Market Data'!$J$5:$J$528,$T128)=0,"n/a",IF(IF(INDEX('Market Data'!$J$5:$J$528,$T128)=0,0,IF(LEFT(INDEX('Market Data'!$AS$5:$AS$66,INDEX('Market Data'!$J$5:$J$528,$T128)-4),11)="First-month",1,0))=1,"class review",IF($I128="Bloomberg",IF(AND(ISNUMBER(INDEX('Market Data'!$AH$5:$AH$66,INDEX('Market Data'!$J$5:$J$528,$T128)-4)),N(INDEX('Market Data'!$AH$5:$AH$66,INDEX('Market Data'!$J$5:$J$528,$T128)-4))&gt;0,ISNUMBER('Market Data'!$B$1),N('Market Data'!$B$1)&gt;0),INDEX('Market Data'!$AH$5:$AH$66,INDEX('Market Data'!$J$5:$J$528,$T128)-4)*'Market Data'!$B$1/$E128-1,"pending A/FX"),IF(AND($I128="Snapshot",$Q128="Snapshot",ISNUMBER($E128),$G128=INDEX('Market Data'!$AE$5:$AE$66,INDEX('Market Data'!$J$5:$J$528,$T128)-4)),IFERROR(INDEX('Market Data'!$AC$5:$AC$66,INDEX('Market Data'!$J$5:$J$528,$T128)-4)*INDEX('Market Data'!$AD$5:$AD$66,INDEX('Market Data'!$J$5:$J$528,$T128)-4)/$E128-1,"unavailable"),IF($I128="Unavailable","unavailable","date mismatch"))))))</f>
        <v/>
      </c>
      <c r="N128" s="11">
        <f>IF($T128=0,"",IFERROR(IF(AND(N(INDEX('Market Data'!$F$5:$F$528,$T128))&gt;0,ISNUMBER(INDEX('Market Data'!$T$5:$T$528,$T128))),$E128*INDEX('Market Data'!$T$5:$T$528,$T128)/INDEX('Market Data'!$F$5:$F$528,$T128)-1,"unavailable"),"unavailable"))</f>
        <v/>
      </c>
      <c r="O128" s="9">
        <f>IF($T128=0,"",IF(IF(INDEX('Market Data'!$J$5:$J$528,$T128)=0,0,IF(LEFT(INDEX('Market Data'!$AS$5:$AS$66,INDEX('Market Data'!$J$5:$J$528,$T128)-4),11)="First-month",1,0))=1,"Class ratio review",IF($I128="Bloomberg",IF(ISNUMBER($G128),IF($G128&lt;TODAY(),"Older quote","See quote time"),"Date unavailable"),IF($I128="Snapshot",IF($G128&lt;DATEVALUE("2026-10-02"),"Older snapshot","Dated close"),"No valid quote"))))</f>
        <v/>
      </c>
      <c r="P128" s="14">
        <f>IF($T128=0,"",IF(INDEX('Market Data'!$J$5:$J$528,$T128)=0,"n/a",IF($Q128="Bloomberg",IF(AND(ISNUMBER(INDEX('Market Data'!$AK$5:$AK$66,INDEX('Market Data'!$J$5:$J$528,$T128)-4)),N(INDEX('Market Data'!$AK$5:$AK$66,INDEX('Market Data'!$J$5:$J$528,$T128)-4))&gt;0),INDEX('Market Data'!$AK$5:$AK$66,INDEX('Market Data'!$J$5:$J$528,$T128)-4),"date unavailable"),IF($Q128="Snapshot",IF(AND(ISNUMBER(INDEX('Market Data'!$AF$5:$AF$66,INDEX('Market Data'!$J$5:$J$528,$T128)-4)),N(INDEX('Market Data'!$AF$5:$AF$66,INDEX('Market Data'!$J$5:$J$528,$T128)-4))&gt;0),INDEX('Market Data'!$AF$5:$AF$66,INDEX('Market Data'!$J$5:$J$528,$T128)-4),"date unavailable"),"date unavailable"))))</f>
        <v/>
      </c>
      <c r="Q128" s="15">
        <f>IF($T128=0,"",IF(INDEX('Market Data'!$J$5:$J$528,$T128)=0,"n/a",IF(AND($M$5&lt;&gt;"Snapshot",ISNUMBER(INDEX('Market Data'!$AH$5:$AH$66,INDEX('Market Data'!$J$5:$J$528,$T128)-4)),N(INDEX('Market Data'!$AH$5:$AH$66,INDEX('Market Data'!$J$5:$J$528,$T128)-4))&gt;0),"Bloomberg",IF(AND($M$5&lt;&gt;"Bloomberg",ISNUMBER(INDEX('Market Data'!$AC$5:$AC$66,INDEX('Market Data'!$J$5:$J$528,$T128)-4)),N(INDEX('Market Data'!$AC$5:$AC$66,INDEX('Market Data'!$J$5:$J$528,$T128)-4))&gt;0),"Snapshot","Unavailable"))))</f>
        <v/>
      </c>
      <c r="T128">
        <f>IFERROR(MATCH(120,'Market Data'!$S$5:$S$528,0),0)</f>
        <v/>
      </c>
    </row>
    <row r="129" ht="34" customHeight="1">
      <c r="A129" s="8">
        <f>IF($T129=0,"",IF(INDEX('Market Data'!$A$5:$A$528,$T129)="","",INDEX('Market Data'!$A$5:$A$528,$T129)))</f>
        <v/>
      </c>
      <c r="B129" s="9">
        <f>IF($T129=0,"",IF(INDEX('Market Data'!$B$5:$B$528,$T129)="","",INDEX('Market Data'!$B$5:$B$528,$T129)))</f>
        <v/>
      </c>
      <c r="C129" s="9">
        <f>IF($T129=0,"",IF(INDEX('Market Data'!$C$5:$C$528,$T129)="","",INDEX('Market Data'!$C$5:$C$528,$T129)))</f>
        <v/>
      </c>
      <c r="D129" s="9">
        <f>IF($T129=0,"",IF(INDEX('Market Data'!$D$5:$D$528,$T129)="","",INDEX('Market Data'!$D$5:$D$528,$T129)))</f>
        <v/>
      </c>
      <c r="E129" s="10">
        <f>IF($T129=0,"",INDEX('Market Data'!$O$5:$O$528,$T129))</f>
        <v/>
      </c>
      <c r="F129" s="11">
        <f>IF($T129=0,"",IF(AND($I129="Bloomberg",ISNUMBER(INDEX('Market Data'!$L$5:$L$528,$T129))),INDEX('Market Data'!$L$5:$L$528,$T129),"unavailable"))</f>
        <v/>
      </c>
      <c r="G129" s="12">
        <f>IF($T129=0,"",IF($I129="Bloomberg",IF(AND(ISNUMBER(INDEX('Market Data'!$M$5:$M$528,$T129)),N(INDEX('Market Data'!$M$5:$M$528,$T129))&gt;0),INDEX('Market Data'!$M$5:$M$528,$T129),"date unavailable"),IF($I129="Snapshot",IF(AND(ISNUMBER(INDEX('Market Data'!$H$5:$H$528,$T129)),N(INDEX('Market Data'!$H$5:$H$528,$T129))&gt;0),INDEX('Market Data'!$H$5:$H$528,$T129),"date unavailable"),"date unavailable")))</f>
        <v/>
      </c>
      <c r="H129" s="9">
        <f>IF($T129=0,"",IF($I129="Bloomberg",IF(INDEX('Market Data'!$N$5:$N$528,$T129)="","time unavailable",INDEX('Market Data'!$N$5:$N$528,$T129)),""))</f>
        <v/>
      </c>
      <c r="I129" s="9">
        <f>IF($T129=0,"",INDEX('Market Data'!$P$5:$P$528,$T129))</f>
        <v/>
      </c>
      <c r="J129" s="13">
        <f>IF($T129=0,"",IF(INDEX('Market Data'!$E$5:$E$528,$T129)="","",INDEX('Market Data'!$E$5:$E$528,$T129)))</f>
        <v/>
      </c>
      <c r="K129" s="8">
        <f>IF($T129=0,"",IF(INDEX('Market Data'!$I$5:$I$528,$T129)="","",INDEX('Market Data'!$I$5:$I$528,$T129)))</f>
        <v/>
      </c>
      <c r="L129" s="10">
        <f>IF($T129=0,"",IF(INDEX('Market Data'!$J$5:$J$528,$T129)=0,"n/a",IF(AND($M$5&lt;&gt;"Snapshot",ISNUMBER(INDEX('Market Data'!$AH$5:$AH$66,INDEX('Market Data'!$J$5:$J$528,$T129)-4)),N(INDEX('Market Data'!$AH$5:$AH$66,INDEX('Market Data'!$J$5:$J$528,$T129)-4))&gt;0),INDEX('Market Data'!$AH$5:$AH$66,INDEX('Market Data'!$J$5:$J$528,$T129)-4),IF(AND($M$5&lt;&gt;"Bloomberg",ISNUMBER(INDEX('Market Data'!$AC$5:$AC$66,INDEX('Market Data'!$J$5:$J$528,$T129)-4)),N(INDEX('Market Data'!$AC$5:$AC$66,INDEX('Market Data'!$J$5:$J$528,$T129)-4))&gt;0),INDEX('Market Data'!$AC$5:$AC$66,INDEX('Market Data'!$J$5:$J$528,$T129)-4),"unavailable"))))</f>
        <v/>
      </c>
      <c r="M129" s="11">
        <f>IF($T129=0,"",IF(INDEX('Market Data'!$J$5:$J$528,$T129)=0,"n/a",IF(IF(INDEX('Market Data'!$J$5:$J$528,$T129)=0,0,IF(LEFT(INDEX('Market Data'!$AS$5:$AS$66,INDEX('Market Data'!$J$5:$J$528,$T129)-4),11)="First-month",1,0))=1,"class review",IF($I129="Bloomberg",IF(AND(ISNUMBER(INDEX('Market Data'!$AH$5:$AH$66,INDEX('Market Data'!$J$5:$J$528,$T129)-4)),N(INDEX('Market Data'!$AH$5:$AH$66,INDEX('Market Data'!$J$5:$J$528,$T129)-4))&gt;0,ISNUMBER('Market Data'!$B$1),N('Market Data'!$B$1)&gt;0),INDEX('Market Data'!$AH$5:$AH$66,INDEX('Market Data'!$J$5:$J$528,$T129)-4)*'Market Data'!$B$1/$E129-1,"pending A/FX"),IF(AND($I129="Snapshot",$Q129="Snapshot",ISNUMBER($E129),$G129=INDEX('Market Data'!$AE$5:$AE$66,INDEX('Market Data'!$J$5:$J$528,$T129)-4)),IFERROR(INDEX('Market Data'!$AC$5:$AC$66,INDEX('Market Data'!$J$5:$J$528,$T129)-4)*INDEX('Market Data'!$AD$5:$AD$66,INDEX('Market Data'!$J$5:$J$528,$T129)-4)/$E129-1,"unavailable"),IF($I129="Unavailable","unavailable","date mismatch"))))))</f>
        <v/>
      </c>
      <c r="N129" s="11">
        <f>IF($T129=0,"",IFERROR(IF(AND(N(INDEX('Market Data'!$F$5:$F$528,$T129))&gt;0,ISNUMBER(INDEX('Market Data'!$T$5:$T$528,$T129))),$E129*INDEX('Market Data'!$T$5:$T$528,$T129)/INDEX('Market Data'!$F$5:$F$528,$T129)-1,"unavailable"),"unavailable"))</f>
        <v/>
      </c>
      <c r="O129" s="9">
        <f>IF($T129=0,"",IF(IF(INDEX('Market Data'!$J$5:$J$528,$T129)=0,0,IF(LEFT(INDEX('Market Data'!$AS$5:$AS$66,INDEX('Market Data'!$J$5:$J$528,$T129)-4),11)="First-month",1,0))=1,"Class ratio review",IF($I129="Bloomberg",IF(ISNUMBER($G129),IF($G129&lt;TODAY(),"Older quote","See quote time"),"Date unavailable"),IF($I129="Snapshot",IF($G129&lt;DATEVALUE("2026-10-02"),"Older snapshot","Dated close"),"No valid quote"))))</f>
        <v/>
      </c>
      <c r="P129" s="14">
        <f>IF($T129=0,"",IF(INDEX('Market Data'!$J$5:$J$528,$T129)=0,"n/a",IF($Q129="Bloomberg",IF(AND(ISNUMBER(INDEX('Market Data'!$AK$5:$AK$66,INDEX('Market Data'!$J$5:$J$528,$T129)-4)),N(INDEX('Market Data'!$AK$5:$AK$66,INDEX('Market Data'!$J$5:$J$528,$T129)-4))&gt;0),INDEX('Market Data'!$AK$5:$AK$66,INDEX('Market Data'!$J$5:$J$528,$T129)-4),"date unavailable"),IF($Q129="Snapshot",IF(AND(ISNUMBER(INDEX('Market Data'!$AF$5:$AF$66,INDEX('Market Data'!$J$5:$J$528,$T129)-4)),N(INDEX('Market Data'!$AF$5:$AF$66,INDEX('Market Data'!$J$5:$J$528,$T129)-4))&gt;0),INDEX('Market Data'!$AF$5:$AF$66,INDEX('Market Data'!$J$5:$J$528,$T129)-4),"date unavailable"),"date unavailable"))))</f>
        <v/>
      </c>
      <c r="Q129" s="15">
        <f>IF($T129=0,"",IF(INDEX('Market Data'!$J$5:$J$528,$T129)=0,"n/a",IF(AND($M$5&lt;&gt;"Snapshot",ISNUMBER(INDEX('Market Data'!$AH$5:$AH$66,INDEX('Market Data'!$J$5:$J$528,$T129)-4)),N(INDEX('Market Data'!$AH$5:$AH$66,INDEX('Market Data'!$J$5:$J$528,$T129)-4))&gt;0),"Bloomberg",IF(AND($M$5&lt;&gt;"Bloomberg",ISNUMBER(INDEX('Market Data'!$AC$5:$AC$66,INDEX('Market Data'!$J$5:$J$528,$T129)-4)),N(INDEX('Market Data'!$AC$5:$AC$66,INDEX('Market Data'!$J$5:$J$528,$T129)-4))&gt;0),"Snapshot","Unavailable"))))</f>
        <v/>
      </c>
      <c r="T129">
        <f>IFERROR(MATCH(121,'Market Data'!$S$5:$S$528,0),0)</f>
        <v/>
      </c>
    </row>
    <row r="130" ht="34" customHeight="1">
      <c r="A130" s="8">
        <f>IF($T130=0,"",IF(INDEX('Market Data'!$A$5:$A$528,$T130)="","",INDEX('Market Data'!$A$5:$A$528,$T130)))</f>
        <v/>
      </c>
      <c r="B130" s="9">
        <f>IF($T130=0,"",IF(INDEX('Market Data'!$B$5:$B$528,$T130)="","",INDEX('Market Data'!$B$5:$B$528,$T130)))</f>
        <v/>
      </c>
      <c r="C130" s="9">
        <f>IF($T130=0,"",IF(INDEX('Market Data'!$C$5:$C$528,$T130)="","",INDEX('Market Data'!$C$5:$C$528,$T130)))</f>
        <v/>
      </c>
      <c r="D130" s="9">
        <f>IF($T130=0,"",IF(INDEX('Market Data'!$D$5:$D$528,$T130)="","",INDEX('Market Data'!$D$5:$D$528,$T130)))</f>
        <v/>
      </c>
      <c r="E130" s="10">
        <f>IF($T130=0,"",INDEX('Market Data'!$O$5:$O$528,$T130))</f>
        <v/>
      </c>
      <c r="F130" s="11">
        <f>IF($T130=0,"",IF(AND($I130="Bloomberg",ISNUMBER(INDEX('Market Data'!$L$5:$L$528,$T130))),INDEX('Market Data'!$L$5:$L$528,$T130),"unavailable"))</f>
        <v/>
      </c>
      <c r="G130" s="12">
        <f>IF($T130=0,"",IF($I130="Bloomberg",IF(AND(ISNUMBER(INDEX('Market Data'!$M$5:$M$528,$T130)),N(INDEX('Market Data'!$M$5:$M$528,$T130))&gt;0),INDEX('Market Data'!$M$5:$M$528,$T130),"date unavailable"),IF($I130="Snapshot",IF(AND(ISNUMBER(INDEX('Market Data'!$H$5:$H$528,$T130)),N(INDEX('Market Data'!$H$5:$H$528,$T130))&gt;0),INDEX('Market Data'!$H$5:$H$528,$T130),"date unavailable"),"date unavailable")))</f>
        <v/>
      </c>
      <c r="H130" s="9">
        <f>IF($T130=0,"",IF($I130="Bloomberg",IF(INDEX('Market Data'!$N$5:$N$528,$T130)="","time unavailable",INDEX('Market Data'!$N$5:$N$528,$T130)),""))</f>
        <v/>
      </c>
      <c r="I130" s="9">
        <f>IF($T130=0,"",INDEX('Market Data'!$P$5:$P$528,$T130))</f>
        <v/>
      </c>
      <c r="J130" s="13">
        <f>IF($T130=0,"",IF(INDEX('Market Data'!$E$5:$E$528,$T130)="","",INDEX('Market Data'!$E$5:$E$528,$T130)))</f>
        <v/>
      </c>
      <c r="K130" s="8">
        <f>IF($T130=0,"",IF(INDEX('Market Data'!$I$5:$I$528,$T130)="","",INDEX('Market Data'!$I$5:$I$528,$T130)))</f>
        <v/>
      </c>
      <c r="L130" s="10">
        <f>IF($T130=0,"",IF(INDEX('Market Data'!$J$5:$J$528,$T130)=0,"n/a",IF(AND($M$5&lt;&gt;"Snapshot",ISNUMBER(INDEX('Market Data'!$AH$5:$AH$66,INDEX('Market Data'!$J$5:$J$528,$T130)-4)),N(INDEX('Market Data'!$AH$5:$AH$66,INDEX('Market Data'!$J$5:$J$528,$T130)-4))&gt;0),INDEX('Market Data'!$AH$5:$AH$66,INDEX('Market Data'!$J$5:$J$528,$T130)-4),IF(AND($M$5&lt;&gt;"Bloomberg",ISNUMBER(INDEX('Market Data'!$AC$5:$AC$66,INDEX('Market Data'!$J$5:$J$528,$T130)-4)),N(INDEX('Market Data'!$AC$5:$AC$66,INDEX('Market Data'!$J$5:$J$528,$T130)-4))&gt;0),INDEX('Market Data'!$AC$5:$AC$66,INDEX('Market Data'!$J$5:$J$528,$T130)-4),"unavailable"))))</f>
        <v/>
      </c>
      <c r="M130" s="11">
        <f>IF($T130=0,"",IF(INDEX('Market Data'!$J$5:$J$528,$T130)=0,"n/a",IF(IF(INDEX('Market Data'!$J$5:$J$528,$T130)=0,0,IF(LEFT(INDEX('Market Data'!$AS$5:$AS$66,INDEX('Market Data'!$J$5:$J$528,$T130)-4),11)="First-month",1,0))=1,"class review",IF($I130="Bloomberg",IF(AND(ISNUMBER(INDEX('Market Data'!$AH$5:$AH$66,INDEX('Market Data'!$J$5:$J$528,$T130)-4)),N(INDEX('Market Data'!$AH$5:$AH$66,INDEX('Market Data'!$J$5:$J$528,$T130)-4))&gt;0,ISNUMBER('Market Data'!$B$1),N('Market Data'!$B$1)&gt;0),INDEX('Market Data'!$AH$5:$AH$66,INDEX('Market Data'!$J$5:$J$528,$T130)-4)*'Market Data'!$B$1/$E130-1,"pending A/FX"),IF(AND($I130="Snapshot",$Q130="Snapshot",ISNUMBER($E130),$G130=INDEX('Market Data'!$AE$5:$AE$66,INDEX('Market Data'!$J$5:$J$528,$T130)-4)),IFERROR(INDEX('Market Data'!$AC$5:$AC$66,INDEX('Market Data'!$J$5:$J$528,$T130)-4)*INDEX('Market Data'!$AD$5:$AD$66,INDEX('Market Data'!$J$5:$J$528,$T130)-4)/$E130-1,"unavailable"),IF($I130="Unavailable","unavailable","date mismatch"))))))</f>
        <v/>
      </c>
      <c r="N130" s="11">
        <f>IF($T130=0,"",IFERROR(IF(AND(N(INDEX('Market Data'!$F$5:$F$528,$T130))&gt;0,ISNUMBER(INDEX('Market Data'!$T$5:$T$528,$T130))),$E130*INDEX('Market Data'!$T$5:$T$528,$T130)/INDEX('Market Data'!$F$5:$F$528,$T130)-1,"unavailable"),"unavailable"))</f>
        <v/>
      </c>
      <c r="O130" s="9">
        <f>IF($T130=0,"",IF(IF(INDEX('Market Data'!$J$5:$J$528,$T130)=0,0,IF(LEFT(INDEX('Market Data'!$AS$5:$AS$66,INDEX('Market Data'!$J$5:$J$528,$T130)-4),11)="First-month",1,0))=1,"Class ratio review",IF($I130="Bloomberg",IF(ISNUMBER($G130),IF($G130&lt;TODAY(),"Older quote","See quote time"),"Date unavailable"),IF($I130="Snapshot",IF($G130&lt;DATEVALUE("2026-10-02"),"Older snapshot","Dated close"),"No valid quote"))))</f>
        <v/>
      </c>
      <c r="P130" s="14">
        <f>IF($T130=0,"",IF(INDEX('Market Data'!$J$5:$J$528,$T130)=0,"n/a",IF($Q130="Bloomberg",IF(AND(ISNUMBER(INDEX('Market Data'!$AK$5:$AK$66,INDEX('Market Data'!$J$5:$J$528,$T130)-4)),N(INDEX('Market Data'!$AK$5:$AK$66,INDEX('Market Data'!$J$5:$J$528,$T130)-4))&gt;0),INDEX('Market Data'!$AK$5:$AK$66,INDEX('Market Data'!$J$5:$J$528,$T130)-4),"date unavailable"),IF($Q130="Snapshot",IF(AND(ISNUMBER(INDEX('Market Data'!$AF$5:$AF$66,INDEX('Market Data'!$J$5:$J$528,$T130)-4)),N(INDEX('Market Data'!$AF$5:$AF$66,INDEX('Market Data'!$J$5:$J$528,$T130)-4))&gt;0),INDEX('Market Data'!$AF$5:$AF$66,INDEX('Market Data'!$J$5:$J$528,$T130)-4),"date unavailable"),"date unavailable"))))</f>
        <v/>
      </c>
      <c r="Q130" s="15">
        <f>IF($T130=0,"",IF(INDEX('Market Data'!$J$5:$J$528,$T130)=0,"n/a",IF(AND($M$5&lt;&gt;"Snapshot",ISNUMBER(INDEX('Market Data'!$AH$5:$AH$66,INDEX('Market Data'!$J$5:$J$528,$T130)-4)),N(INDEX('Market Data'!$AH$5:$AH$66,INDEX('Market Data'!$J$5:$J$528,$T130)-4))&gt;0),"Bloomberg",IF(AND($M$5&lt;&gt;"Bloomberg",ISNUMBER(INDEX('Market Data'!$AC$5:$AC$66,INDEX('Market Data'!$J$5:$J$528,$T130)-4)),N(INDEX('Market Data'!$AC$5:$AC$66,INDEX('Market Data'!$J$5:$J$528,$T130)-4))&gt;0),"Snapshot","Unavailable"))))</f>
        <v/>
      </c>
      <c r="T130">
        <f>IFERROR(MATCH(122,'Market Data'!$S$5:$S$528,0),0)</f>
        <v/>
      </c>
    </row>
    <row r="131" ht="34" customHeight="1">
      <c r="A131" s="8">
        <f>IF($T131=0,"",IF(INDEX('Market Data'!$A$5:$A$528,$T131)="","",INDEX('Market Data'!$A$5:$A$528,$T131)))</f>
        <v/>
      </c>
      <c r="B131" s="9">
        <f>IF($T131=0,"",IF(INDEX('Market Data'!$B$5:$B$528,$T131)="","",INDEX('Market Data'!$B$5:$B$528,$T131)))</f>
        <v/>
      </c>
      <c r="C131" s="9">
        <f>IF($T131=0,"",IF(INDEX('Market Data'!$C$5:$C$528,$T131)="","",INDEX('Market Data'!$C$5:$C$528,$T131)))</f>
        <v/>
      </c>
      <c r="D131" s="9">
        <f>IF($T131=0,"",IF(INDEX('Market Data'!$D$5:$D$528,$T131)="","",INDEX('Market Data'!$D$5:$D$528,$T131)))</f>
        <v/>
      </c>
      <c r="E131" s="10">
        <f>IF($T131=0,"",INDEX('Market Data'!$O$5:$O$528,$T131))</f>
        <v/>
      </c>
      <c r="F131" s="11">
        <f>IF($T131=0,"",IF(AND($I131="Bloomberg",ISNUMBER(INDEX('Market Data'!$L$5:$L$528,$T131))),INDEX('Market Data'!$L$5:$L$528,$T131),"unavailable"))</f>
        <v/>
      </c>
      <c r="G131" s="12">
        <f>IF($T131=0,"",IF($I131="Bloomberg",IF(AND(ISNUMBER(INDEX('Market Data'!$M$5:$M$528,$T131)),N(INDEX('Market Data'!$M$5:$M$528,$T131))&gt;0),INDEX('Market Data'!$M$5:$M$528,$T131),"date unavailable"),IF($I131="Snapshot",IF(AND(ISNUMBER(INDEX('Market Data'!$H$5:$H$528,$T131)),N(INDEX('Market Data'!$H$5:$H$528,$T131))&gt;0),INDEX('Market Data'!$H$5:$H$528,$T131),"date unavailable"),"date unavailable")))</f>
        <v/>
      </c>
      <c r="H131" s="9">
        <f>IF($T131=0,"",IF($I131="Bloomberg",IF(INDEX('Market Data'!$N$5:$N$528,$T131)="","time unavailable",INDEX('Market Data'!$N$5:$N$528,$T131)),""))</f>
        <v/>
      </c>
      <c r="I131" s="9">
        <f>IF($T131=0,"",INDEX('Market Data'!$P$5:$P$528,$T131))</f>
        <v/>
      </c>
      <c r="J131" s="13">
        <f>IF($T131=0,"",IF(INDEX('Market Data'!$E$5:$E$528,$T131)="","",INDEX('Market Data'!$E$5:$E$528,$T131)))</f>
        <v/>
      </c>
      <c r="K131" s="8">
        <f>IF($T131=0,"",IF(INDEX('Market Data'!$I$5:$I$528,$T131)="","",INDEX('Market Data'!$I$5:$I$528,$T131)))</f>
        <v/>
      </c>
      <c r="L131" s="10">
        <f>IF($T131=0,"",IF(INDEX('Market Data'!$J$5:$J$528,$T131)=0,"n/a",IF(AND($M$5&lt;&gt;"Snapshot",ISNUMBER(INDEX('Market Data'!$AH$5:$AH$66,INDEX('Market Data'!$J$5:$J$528,$T131)-4)),N(INDEX('Market Data'!$AH$5:$AH$66,INDEX('Market Data'!$J$5:$J$528,$T131)-4))&gt;0),INDEX('Market Data'!$AH$5:$AH$66,INDEX('Market Data'!$J$5:$J$528,$T131)-4),IF(AND($M$5&lt;&gt;"Bloomberg",ISNUMBER(INDEX('Market Data'!$AC$5:$AC$66,INDEX('Market Data'!$J$5:$J$528,$T131)-4)),N(INDEX('Market Data'!$AC$5:$AC$66,INDEX('Market Data'!$J$5:$J$528,$T131)-4))&gt;0),INDEX('Market Data'!$AC$5:$AC$66,INDEX('Market Data'!$J$5:$J$528,$T131)-4),"unavailable"))))</f>
        <v/>
      </c>
      <c r="M131" s="11">
        <f>IF($T131=0,"",IF(INDEX('Market Data'!$J$5:$J$528,$T131)=0,"n/a",IF(IF(INDEX('Market Data'!$J$5:$J$528,$T131)=0,0,IF(LEFT(INDEX('Market Data'!$AS$5:$AS$66,INDEX('Market Data'!$J$5:$J$528,$T131)-4),11)="First-month",1,0))=1,"class review",IF($I131="Bloomberg",IF(AND(ISNUMBER(INDEX('Market Data'!$AH$5:$AH$66,INDEX('Market Data'!$J$5:$J$528,$T131)-4)),N(INDEX('Market Data'!$AH$5:$AH$66,INDEX('Market Data'!$J$5:$J$528,$T131)-4))&gt;0,ISNUMBER('Market Data'!$B$1),N('Market Data'!$B$1)&gt;0),INDEX('Market Data'!$AH$5:$AH$66,INDEX('Market Data'!$J$5:$J$528,$T131)-4)*'Market Data'!$B$1/$E131-1,"pending A/FX"),IF(AND($I131="Snapshot",$Q131="Snapshot",ISNUMBER($E131),$G131=INDEX('Market Data'!$AE$5:$AE$66,INDEX('Market Data'!$J$5:$J$528,$T131)-4)),IFERROR(INDEX('Market Data'!$AC$5:$AC$66,INDEX('Market Data'!$J$5:$J$528,$T131)-4)*INDEX('Market Data'!$AD$5:$AD$66,INDEX('Market Data'!$J$5:$J$528,$T131)-4)/$E131-1,"unavailable"),IF($I131="Unavailable","unavailable","date mismatch"))))))</f>
        <v/>
      </c>
      <c r="N131" s="11">
        <f>IF($T131=0,"",IFERROR(IF(AND(N(INDEX('Market Data'!$F$5:$F$528,$T131))&gt;0,ISNUMBER(INDEX('Market Data'!$T$5:$T$528,$T131))),$E131*INDEX('Market Data'!$T$5:$T$528,$T131)/INDEX('Market Data'!$F$5:$F$528,$T131)-1,"unavailable"),"unavailable"))</f>
        <v/>
      </c>
      <c r="O131" s="9">
        <f>IF($T131=0,"",IF(IF(INDEX('Market Data'!$J$5:$J$528,$T131)=0,0,IF(LEFT(INDEX('Market Data'!$AS$5:$AS$66,INDEX('Market Data'!$J$5:$J$528,$T131)-4),11)="First-month",1,0))=1,"Class ratio review",IF($I131="Bloomberg",IF(ISNUMBER($G131),IF($G131&lt;TODAY(),"Older quote","See quote time"),"Date unavailable"),IF($I131="Snapshot",IF($G131&lt;DATEVALUE("2026-10-02"),"Older snapshot","Dated close"),"No valid quote"))))</f>
        <v/>
      </c>
      <c r="P131" s="14">
        <f>IF($T131=0,"",IF(INDEX('Market Data'!$J$5:$J$528,$T131)=0,"n/a",IF($Q131="Bloomberg",IF(AND(ISNUMBER(INDEX('Market Data'!$AK$5:$AK$66,INDEX('Market Data'!$J$5:$J$528,$T131)-4)),N(INDEX('Market Data'!$AK$5:$AK$66,INDEX('Market Data'!$J$5:$J$528,$T131)-4))&gt;0),INDEX('Market Data'!$AK$5:$AK$66,INDEX('Market Data'!$J$5:$J$528,$T131)-4),"date unavailable"),IF($Q131="Snapshot",IF(AND(ISNUMBER(INDEX('Market Data'!$AF$5:$AF$66,INDEX('Market Data'!$J$5:$J$528,$T131)-4)),N(INDEX('Market Data'!$AF$5:$AF$66,INDEX('Market Data'!$J$5:$J$528,$T131)-4))&gt;0),INDEX('Market Data'!$AF$5:$AF$66,INDEX('Market Data'!$J$5:$J$528,$T131)-4),"date unavailable"),"date unavailable"))))</f>
        <v/>
      </c>
      <c r="Q131" s="15">
        <f>IF($T131=0,"",IF(INDEX('Market Data'!$J$5:$J$528,$T131)=0,"n/a",IF(AND($M$5&lt;&gt;"Snapshot",ISNUMBER(INDEX('Market Data'!$AH$5:$AH$66,INDEX('Market Data'!$J$5:$J$528,$T131)-4)),N(INDEX('Market Data'!$AH$5:$AH$66,INDEX('Market Data'!$J$5:$J$528,$T131)-4))&gt;0),"Bloomberg",IF(AND($M$5&lt;&gt;"Bloomberg",ISNUMBER(INDEX('Market Data'!$AC$5:$AC$66,INDEX('Market Data'!$J$5:$J$528,$T131)-4)),N(INDEX('Market Data'!$AC$5:$AC$66,INDEX('Market Data'!$J$5:$J$528,$T131)-4))&gt;0),"Snapshot","Unavailable"))))</f>
        <v/>
      </c>
      <c r="T131">
        <f>IFERROR(MATCH(123,'Market Data'!$S$5:$S$528,0),0)</f>
        <v/>
      </c>
    </row>
    <row r="132" ht="34" customHeight="1">
      <c r="A132" s="8">
        <f>IF($T132=0,"",IF(INDEX('Market Data'!$A$5:$A$528,$T132)="","",INDEX('Market Data'!$A$5:$A$528,$T132)))</f>
        <v/>
      </c>
      <c r="B132" s="9">
        <f>IF($T132=0,"",IF(INDEX('Market Data'!$B$5:$B$528,$T132)="","",INDEX('Market Data'!$B$5:$B$528,$T132)))</f>
        <v/>
      </c>
      <c r="C132" s="9">
        <f>IF($T132=0,"",IF(INDEX('Market Data'!$C$5:$C$528,$T132)="","",INDEX('Market Data'!$C$5:$C$528,$T132)))</f>
        <v/>
      </c>
      <c r="D132" s="9">
        <f>IF($T132=0,"",IF(INDEX('Market Data'!$D$5:$D$528,$T132)="","",INDEX('Market Data'!$D$5:$D$528,$T132)))</f>
        <v/>
      </c>
      <c r="E132" s="10">
        <f>IF($T132=0,"",INDEX('Market Data'!$O$5:$O$528,$T132))</f>
        <v/>
      </c>
      <c r="F132" s="11">
        <f>IF($T132=0,"",IF(AND($I132="Bloomberg",ISNUMBER(INDEX('Market Data'!$L$5:$L$528,$T132))),INDEX('Market Data'!$L$5:$L$528,$T132),"unavailable"))</f>
        <v/>
      </c>
      <c r="G132" s="12">
        <f>IF($T132=0,"",IF($I132="Bloomberg",IF(AND(ISNUMBER(INDEX('Market Data'!$M$5:$M$528,$T132)),N(INDEX('Market Data'!$M$5:$M$528,$T132))&gt;0),INDEX('Market Data'!$M$5:$M$528,$T132),"date unavailable"),IF($I132="Snapshot",IF(AND(ISNUMBER(INDEX('Market Data'!$H$5:$H$528,$T132)),N(INDEX('Market Data'!$H$5:$H$528,$T132))&gt;0),INDEX('Market Data'!$H$5:$H$528,$T132),"date unavailable"),"date unavailable")))</f>
        <v/>
      </c>
      <c r="H132" s="9">
        <f>IF($T132=0,"",IF($I132="Bloomberg",IF(INDEX('Market Data'!$N$5:$N$528,$T132)="","time unavailable",INDEX('Market Data'!$N$5:$N$528,$T132)),""))</f>
        <v/>
      </c>
      <c r="I132" s="9">
        <f>IF($T132=0,"",INDEX('Market Data'!$P$5:$P$528,$T132))</f>
        <v/>
      </c>
      <c r="J132" s="13">
        <f>IF($T132=0,"",IF(INDEX('Market Data'!$E$5:$E$528,$T132)="","",INDEX('Market Data'!$E$5:$E$528,$T132)))</f>
        <v/>
      </c>
      <c r="K132" s="8">
        <f>IF($T132=0,"",IF(INDEX('Market Data'!$I$5:$I$528,$T132)="","",INDEX('Market Data'!$I$5:$I$528,$T132)))</f>
        <v/>
      </c>
      <c r="L132" s="10">
        <f>IF($T132=0,"",IF(INDEX('Market Data'!$J$5:$J$528,$T132)=0,"n/a",IF(AND($M$5&lt;&gt;"Snapshot",ISNUMBER(INDEX('Market Data'!$AH$5:$AH$66,INDEX('Market Data'!$J$5:$J$528,$T132)-4)),N(INDEX('Market Data'!$AH$5:$AH$66,INDEX('Market Data'!$J$5:$J$528,$T132)-4))&gt;0),INDEX('Market Data'!$AH$5:$AH$66,INDEX('Market Data'!$J$5:$J$528,$T132)-4),IF(AND($M$5&lt;&gt;"Bloomberg",ISNUMBER(INDEX('Market Data'!$AC$5:$AC$66,INDEX('Market Data'!$J$5:$J$528,$T132)-4)),N(INDEX('Market Data'!$AC$5:$AC$66,INDEX('Market Data'!$J$5:$J$528,$T132)-4))&gt;0),INDEX('Market Data'!$AC$5:$AC$66,INDEX('Market Data'!$J$5:$J$528,$T132)-4),"unavailable"))))</f>
        <v/>
      </c>
      <c r="M132" s="11">
        <f>IF($T132=0,"",IF(INDEX('Market Data'!$J$5:$J$528,$T132)=0,"n/a",IF(IF(INDEX('Market Data'!$J$5:$J$528,$T132)=0,0,IF(LEFT(INDEX('Market Data'!$AS$5:$AS$66,INDEX('Market Data'!$J$5:$J$528,$T132)-4),11)="First-month",1,0))=1,"class review",IF($I132="Bloomberg",IF(AND(ISNUMBER(INDEX('Market Data'!$AH$5:$AH$66,INDEX('Market Data'!$J$5:$J$528,$T132)-4)),N(INDEX('Market Data'!$AH$5:$AH$66,INDEX('Market Data'!$J$5:$J$528,$T132)-4))&gt;0,ISNUMBER('Market Data'!$B$1),N('Market Data'!$B$1)&gt;0),INDEX('Market Data'!$AH$5:$AH$66,INDEX('Market Data'!$J$5:$J$528,$T132)-4)*'Market Data'!$B$1/$E132-1,"pending A/FX"),IF(AND($I132="Snapshot",$Q132="Snapshot",ISNUMBER($E132),$G132=INDEX('Market Data'!$AE$5:$AE$66,INDEX('Market Data'!$J$5:$J$528,$T132)-4)),IFERROR(INDEX('Market Data'!$AC$5:$AC$66,INDEX('Market Data'!$J$5:$J$528,$T132)-4)*INDEX('Market Data'!$AD$5:$AD$66,INDEX('Market Data'!$J$5:$J$528,$T132)-4)/$E132-1,"unavailable"),IF($I132="Unavailable","unavailable","date mismatch"))))))</f>
        <v/>
      </c>
      <c r="N132" s="11">
        <f>IF($T132=0,"",IFERROR(IF(AND(N(INDEX('Market Data'!$F$5:$F$528,$T132))&gt;0,ISNUMBER(INDEX('Market Data'!$T$5:$T$528,$T132))),$E132*INDEX('Market Data'!$T$5:$T$528,$T132)/INDEX('Market Data'!$F$5:$F$528,$T132)-1,"unavailable"),"unavailable"))</f>
        <v/>
      </c>
      <c r="O132" s="9">
        <f>IF($T132=0,"",IF(IF(INDEX('Market Data'!$J$5:$J$528,$T132)=0,0,IF(LEFT(INDEX('Market Data'!$AS$5:$AS$66,INDEX('Market Data'!$J$5:$J$528,$T132)-4),11)="First-month",1,0))=1,"Class ratio review",IF($I132="Bloomberg",IF(ISNUMBER($G132),IF($G132&lt;TODAY(),"Older quote","See quote time"),"Date unavailable"),IF($I132="Snapshot",IF($G132&lt;DATEVALUE("2026-10-02"),"Older snapshot","Dated close"),"No valid quote"))))</f>
        <v/>
      </c>
      <c r="P132" s="14">
        <f>IF($T132=0,"",IF(INDEX('Market Data'!$J$5:$J$528,$T132)=0,"n/a",IF($Q132="Bloomberg",IF(AND(ISNUMBER(INDEX('Market Data'!$AK$5:$AK$66,INDEX('Market Data'!$J$5:$J$528,$T132)-4)),N(INDEX('Market Data'!$AK$5:$AK$66,INDEX('Market Data'!$J$5:$J$528,$T132)-4))&gt;0),INDEX('Market Data'!$AK$5:$AK$66,INDEX('Market Data'!$J$5:$J$528,$T132)-4),"date unavailable"),IF($Q132="Snapshot",IF(AND(ISNUMBER(INDEX('Market Data'!$AF$5:$AF$66,INDEX('Market Data'!$J$5:$J$528,$T132)-4)),N(INDEX('Market Data'!$AF$5:$AF$66,INDEX('Market Data'!$J$5:$J$528,$T132)-4))&gt;0),INDEX('Market Data'!$AF$5:$AF$66,INDEX('Market Data'!$J$5:$J$528,$T132)-4),"date unavailable"),"date unavailable"))))</f>
        <v/>
      </c>
      <c r="Q132" s="15">
        <f>IF($T132=0,"",IF(INDEX('Market Data'!$J$5:$J$528,$T132)=0,"n/a",IF(AND($M$5&lt;&gt;"Snapshot",ISNUMBER(INDEX('Market Data'!$AH$5:$AH$66,INDEX('Market Data'!$J$5:$J$528,$T132)-4)),N(INDEX('Market Data'!$AH$5:$AH$66,INDEX('Market Data'!$J$5:$J$528,$T132)-4))&gt;0),"Bloomberg",IF(AND($M$5&lt;&gt;"Bloomberg",ISNUMBER(INDEX('Market Data'!$AC$5:$AC$66,INDEX('Market Data'!$J$5:$J$528,$T132)-4)),N(INDEX('Market Data'!$AC$5:$AC$66,INDEX('Market Data'!$J$5:$J$528,$T132)-4))&gt;0),"Snapshot","Unavailable"))))</f>
        <v/>
      </c>
      <c r="T132">
        <f>IFERROR(MATCH(124,'Market Data'!$S$5:$S$528,0),0)</f>
        <v/>
      </c>
    </row>
    <row r="133" ht="34" customHeight="1">
      <c r="A133" s="8">
        <f>IF($T133=0,"",IF(INDEX('Market Data'!$A$5:$A$528,$T133)="","",INDEX('Market Data'!$A$5:$A$528,$T133)))</f>
        <v/>
      </c>
      <c r="B133" s="9">
        <f>IF($T133=0,"",IF(INDEX('Market Data'!$B$5:$B$528,$T133)="","",INDEX('Market Data'!$B$5:$B$528,$T133)))</f>
        <v/>
      </c>
      <c r="C133" s="9">
        <f>IF($T133=0,"",IF(INDEX('Market Data'!$C$5:$C$528,$T133)="","",INDEX('Market Data'!$C$5:$C$528,$T133)))</f>
        <v/>
      </c>
      <c r="D133" s="9">
        <f>IF($T133=0,"",IF(INDEX('Market Data'!$D$5:$D$528,$T133)="","",INDEX('Market Data'!$D$5:$D$528,$T133)))</f>
        <v/>
      </c>
      <c r="E133" s="10">
        <f>IF($T133=0,"",INDEX('Market Data'!$O$5:$O$528,$T133))</f>
        <v/>
      </c>
      <c r="F133" s="11">
        <f>IF($T133=0,"",IF(AND($I133="Bloomberg",ISNUMBER(INDEX('Market Data'!$L$5:$L$528,$T133))),INDEX('Market Data'!$L$5:$L$528,$T133),"unavailable"))</f>
        <v/>
      </c>
      <c r="G133" s="12">
        <f>IF($T133=0,"",IF($I133="Bloomberg",IF(AND(ISNUMBER(INDEX('Market Data'!$M$5:$M$528,$T133)),N(INDEX('Market Data'!$M$5:$M$528,$T133))&gt;0),INDEX('Market Data'!$M$5:$M$528,$T133),"date unavailable"),IF($I133="Snapshot",IF(AND(ISNUMBER(INDEX('Market Data'!$H$5:$H$528,$T133)),N(INDEX('Market Data'!$H$5:$H$528,$T133))&gt;0),INDEX('Market Data'!$H$5:$H$528,$T133),"date unavailable"),"date unavailable")))</f>
        <v/>
      </c>
      <c r="H133" s="9">
        <f>IF($T133=0,"",IF($I133="Bloomberg",IF(INDEX('Market Data'!$N$5:$N$528,$T133)="","time unavailable",INDEX('Market Data'!$N$5:$N$528,$T133)),""))</f>
        <v/>
      </c>
      <c r="I133" s="9">
        <f>IF($T133=0,"",INDEX('Market Data'!$P$5:$P$528,$T133))</f>
        <v/>
      </c>
      <c r="J133" s="13">
        <f>IF($T133=0,"",IF(INDEX('Market Data'!$E$5:$E$528,$T133)="","",INDEX('Market Data'!$E$5:$E$528,$T133)))</f>
        <v/>
      </c>
      <c r="K133" s="8">
        <f>IF($T133=0,"",IF(INDEX('Market Data'!$I$5:$I$528,$T133)="","",INDEX('Market Data'!$I$5:$I$528,$T133)))</f>
        <v/>
      </c>
      <c r="L133" s="10">
        <f>IF($T133=0,"",IF(INDEX('Market Data'!$J$5:$J$528,$T133)=0,"n/a",IF(AND($M$5&lt;&gt;"Snapshot",ISNUMBER(INDEX('Market Data'!$AH$5:$AH$66,INDEX('Market Data'!$J$5:$J$528,$T133)-4)),N(INDEX('Market Data'!$AH$5:$AH$66,INDEX('Market Data'!$J$5:$J$528,$T133)-4))&gt;0),INDEX('Market Data'!$AH$5:$AH$66,INDEX('Market Data'!$J$5:$J$528,$T133)-4),IF(AND($M$5&lt;&gt;"Bloomberg",ISNUMBER(INDEX('Market Data'!$AC$5:$AC$66,INDEX('Market Data'!$J$5:$J$528,$T133)-4)),N(INDEX('Market Data'!$AC$5:$AC$66,INDEX('Market Data'!$J$5:$J$528,$T133)-4))&gt;0),INDEX('Market Data'!$AC$5:$AC$66,INDEX('Market Data'!$J$5:$J$528,$T133)-4),"unavailable"))))</f>
        <v/>
      </c>
      <c r="M133" s="11">
        <f>IF($T133=0,"",IF(INDEX('Market Data'!$J$5:$J$528,$T133)=0,"n/a",IF(IF(INDEX('Market Data'!$J$5:$J$528,$T133)=0,0,IF(LEFT(INDEX('Market Data'!$AS$5:$AS$66,INDEX('Market Data'!$J$5:$J$528,$T133)-4),11)="First-month",1,0))=1,"class review",IF($I133="Bloomberg",IF(AND(ISNUMBER(INDEX('Market Data'!$AH$5:$AH$66,INDEX('Market Data'!$J$5:$J$528,$T133)-4)),N(INDEX('Market Data'!$AH$5:$AH$66,INDEX('Market Data'!$J$5:$J$528,$T133)-4))&gt;0,ISNUMBER('Market Data'!$B$1),N('Market Data'!$B$1)&gt;0),INDEX('Market Data'!$AH$5:$AH$66,INDEX('Market Data'!$J$5:$J$528,$T133)-4)*'Market Data'!$B$1/$E133-1,"pending A/FX"),IF(AND($I133="Snapshot",$Q133="Snapshot",ISNUMBER($E133),$G133=INDEX('Market Data'!$AE$5:$AE$66,INDEX('Market Data'!$J$5:$J$528,$T133)-4)),IFERROR(INDEX('Market Data'!$AC$5:$AC$66,INDEX('Market Data'!$J$5:$J$528,$T133)-4)*INDEX('Market Data'!$AD$5:$AD$66,INDEX('Market Data'!$J$5:$J$528,$T133)-4)/$E133-1,"unavailable"),IF($I133="Unavailable","unavailable","date mismatch"))))))</f>
        <v/>
      </c>
      <c r="N133" s="11">
        <f>IF($T133=0,"",IFERROR(IF(AND(N(INDEX('Market Data'!$F$5:$F$528,$T133))&gt;0,ISNUMBER(INDEX('Market Data'!$T$5:$T$528,$T133))),$E133*INDEX('Market Data'!$T$5:$T$528,$T133)/INDEX('Market Data'!$F$5:$F$528,$T133)-1,"unavailable"),"unavailable"))</f>
        <v/>
      </c>
      <c r="O133" s="9">
        <f>IF($T133=0,"",IF(IF(INDEX('Market Data'!$J$5:$J$528,$T133)=0,0,IF(LEFT(INDEX('Market Data'!$AS$5:$AS$66,INDEX('Market Data'!$J$5:$J$528,$T133)-4),11)="First-month",1,0))=1,"Class ratio review",IF($I133="Bloomberg",IF(ISNUMBER($G133),IF($G133&lt;TODAY(),"Older quote","See quote time"),"Date unavailable"),IF($I133="Snapshot",IF($G133&lt;DATEVALUE("2026-10-02"),"Older snapshot","Dated close"),"No valid quote"))))</f>
        <v/>
      </c>
      <c r="P133" s="14">
        <f>IF($T133=0,"",IF(INDEX('Market Data'!$J$5:$J$528,$T133)=0,"n/a",IF($Q133="Bloomberg",IF(AND(ISNUMBER(INDEX('Market Data'!$AK$5:$AK$66,INDEX('Market Data'!$J$5:$J$528,$T133)-4)),N(INDEX('Market Data'!$AK$5:$AK$66,INDEX('Market Data'!$J$5:$J$528,$T133)-4))&gt;0),INDEX('Market Data'!$AK$5:$AK$66,INDEX('Market Data'!$J$5:$J$528,$T133)-4),"date unavailable"),IF($Q133="Snapshot",IF(AND(ISNUMBER(INDEX('Market Data'!$AF$5:$AF$66,INDEX('Market Data'!$J$5:$J$528,$T133)-4)),N(INDEX('Market Data'!$AF$5:$AF$66,INDEX('Market Data'!$J$5:$J$528,$T133)-4))&gt;0),INDEX('Market Data'!$AF$5:$AF$66,INDEX('Market Data'!$J$5:$J$528,$T133)-4),"date unavailable"),"date unavailable"))))</f>
        <v/>
      </c>
      <c r="Q133" s="15">
        <f>IF($T133=0,"",IF(INDEX('Market Data'!$J$5:$J$528,$T133)=0,"n/a",IF(AND($M$5&lt;&gt;"Snapshot",ISNUMBER(INDEX('Market Data'!$AH$5:$AH$66,INDEX('Market Data'!$J$5:$J$528,$T133)-4)),N(INDEX('Market Data'!$AH$5:$AH$66,INDEX('Market Data'!$J$5:$J$528,$T133)-4))&gt;0),"Bloomberg",IF(AND($M$5&lt;&gt;"Bloomberg",ISNUMBER(INDEX('Market Data'!$AC$5:$AC$66,INDEX('Market Data'!$J$5:$J$528,$T133)-4)),N(INDEX('Market Data'!$AC$5:$AC$66,INDEX('Market Data'!$J$5:$J$528,$T133)-4))&gt;0),"Snapshot","Unavailable"))))</f>
        <v/>
      </c>
      <c r="T133">
        <f>IFERROR(MATCH(125,'Market Data'!$S$5:$S$528,0),0)</f>
        <v/>
      </c>
    </row>
    <row r="134" ht="34" customHeight="1">
      <c r="A134" s="8">
        <f>IF($T134=0,"",IF(INDEX('Market Data'!$A$5:$A$528,$T134)="","",INDEX('Market Data'!$A$5:$A$528,$T134)))</f>
        <v/>
      </c>
      <c r="B134" s="9">
        <f>IF($T134=0,"",IF(INDEX('Market Data'!$B$5:$B$528,$T134)="","",INDEX('Market Data'!$B$5:$B$528,$T134)))</f>
        <v/>
      </c>
      <c r="C134" s="9">
        <f>IF($T134=0,"",IF(INDEX('Market Data'!$C$5:$C$528,$T134)="","",INDEX('Market Data'!$C$5:$C$528,$T134)))</f>
        <v/>
      </c>
      <c r="D134" s="9">
        <f>IF($T134=0,"",IF(INDEX('Market Data'!$D$5:$D$528,$T134)="","",INDEX('Market Data'!$D$5:$D$528,$T134)))</f>
        <v/>
      </c>
      <c r="E134" s="10">
        <f>IF($T134=0,"",INDEX('Market Data'!$O$5:$O$528,$T134))</f>
        <v/>
      </c>
      <c r="F134" s="11">
        <f>IF($T134=0,"",IF(AND($I134="Bloomberg",ISNUMBER(INDEX('Market Data'!$L$5:$L$528,$T134))),INDEX('Market Data'!$L$5:$L$528,$T134),"unavailable"))</f>
        <v/>
      </c>
      <c r="G134" s="12">
        <f>IF($T134=0,"",IF($I134="Bloomberg",IF(AND(ISNUMBER(INDEX('Market Data'!$M$5:$M$528,$T134)),N(INDEX('Market Data'!$M$5:$M$528,$T134))&gt;0),INDEX('Market Data'!$M$5:$M$528,$T134),"date unavailable"),IF($I134="Snapshot",IF(AND(ISNUMBER(INDEX('Market Data'!$H$5:$H$528,$T134)),N(INDEX('Market Data'!$H$5:$H$528,$T134))&gt;0),INDEX('Market Data'!$H$5:$H$528,$T134),"date unavailable"),"date unavailable")))</f>
        <v/>
      </c>
      <c r="H134" s="9">
        <f>IF($T134=0,"",IF($I134="Bloomberg",IF(INDEX('Market Data'!$N$5:$N$528,$T134)="","time unavailable",INDEX('Market Data'!$N$5:$N$528,$T134)),""))</f>
        <v/>
      </c>
      <c r="I134" s="9">
        <f>IF($T134=0,"",INDEX('Market Data'!$P$5:$P$528,$T134))</f>
        <v/>
      </c>
      <c r="J134" s="13">
        <f>IF($T134=0,"",IF(INDEX('Market Data'!$E$5:$E$528,$T134)="","",INDEX('Market Data'!$E$5:$E$528,$T134)))</f>
        <v/>
      </c>
      <c r="K134" s="8">
        <f>IF($T134=0,"",IF(INDEX('Market Data'!$I$5:$I$528,$T134)="","",INDEX('Market Data'!$I$5:$I$528,$T134)))</f>
        <v/>
      </c>
      <c r="L134" s="10">
        <f>IF($T134=0,"",IF(INDEX('Market Data'!$J$5:$J$528,$T134)=0,"n/a",IF(AND($M$5&lt;&gt;"Snapshot",ISNUMBER(INDEX('Market Data'!$AH$5:$AH$66,INDEX('Market Data'!$J$5:$J$528,$T134)-4)),N(INDEX('Market Data'!$AH$5:$AH$66,INDEX('Market Data'!$J$5:$J$528,$T134)-4))&gt;0),INDEX('Market Data'!$AH$5:$AH$66,INDEX('Market Data'!$J$5:$J$528,$T134)-4),IF(AND($M$5&lt;&gt;"Bloomberg",ISNUMBER(INDEX('Market Data'!$AC$5:$AC$66,INDEX('Market Data'!$J$5:$J$528,$T134)-4)),N(INDEX('Market Data'!$AC$5:$AC$66,INDEX('Market Data'!$J$5:$J$528,$T134)-4))&gt;0),INDEX('Market Data'!$AC$5:$AC$66,INDEX('Market Data'!$J$5:$J$528,$T134)-4),"unavailable"))))</f>
        <v/>
      </c>
      <c r="M134" s="11">
        <f>IF($T134=0,"",IF(INDEX('Market Data'!$J$5:$J$528,$T134)=0,"n/a",IF(IF(INDEX('Market Data'!$J$5:$J$528,$T134)=0,0,IF(LEFT(INDEX('Market Data'!$AS$5:$AS$66,INDEX('Market Data'!$J$5:$J$528,$T134)-4),11)="First-month",1,0))=1,"class review",IF($I134="Bloomberg",IF(AND(ISNUMBER(INDEX('Market Data'!$AH$5:$AH$66,INDEX('Market Data'!$J$5:$J$528,$T134)-4)),N(INDEX('Market Data'!$AH$5:$AH$66,INDEX('Market Data'!$J$5:$J$528,$T134)-4))&gt;0,ISNUMBER('Market Data'!$B$1),N('Market Data'!$B$1)&gt;0),INDEX('Market Data'!$AH$5:$AH$66,INDEX('Market Data'!$J$5:$J$528,$T134)-4)*'Market Data'!$B$1/$E134-1,"pending A/FX"),IF(AND($I134="Snapshot",$Q134="Snapshot",ISNUMBER($E134),$G134=INDEX('Market Data'!$AE$5:$AE$66,INDEX('Market Data'!$J$5:$J$528,$T134)-4)),IFERROR(INDEX('Market Data'!$AC$5:$AC$66,INDEX('Market Data'!$J$5:$J$528,$T134)-4)*INDEX('Market Data'!$AD$5:$AD$66,INDEX('Market Data'!$J$5:$J$528,$T134)-4)/$E134-1,"unavailable"),IF($I134="Unavailable","unavailable","date mismatch"))))))</f>
        <v/>
      </c>
      <c r="N134" s="11">
        <f>IF($T134=0,"",IFERROR(IF(AND(N(INDEX('Market Data'!$F$5:$F$528,$T134))&gt;0,ISNUMBER(INDEX('Market Data'!$T$5:$T$528,$T134))),$E134*INDEX('Market Data'!$T$5:$T$528,$T134)/INDEX('Market Data'!$F$5:$F$528,$T134)-1,"unavailable"),"unavailable"))</f>
        <v/>
      </c>
      <c r="O134" s="9">
        <f>IF($T134=0,"",IF(IF(INDEX('Market Data'!$J$5:$J$528,$T134)=0,0,IF(LEFT(INDEX('Market Data'!$AS$5:$AS$66,INDEX('Market Data'!$J$5:$J$528,$T134)-4),11)="First-month",1,0))=1,"Class ratio review",IF($I134="Bloomberg",IF(ISNUMBER($G134),IF($G134&lt;TODAY(),"Older quote","See quote time"),"Date unavailable"),IF($I134="Snapshot",IF($G134&lt;DATEVALUE("2026-10-02"),"Older snapshot","Dated close"),"No valid quote"))))</f>
        <v/>
      </c>
      <c r="P134" s="14">
        <f>IF($T134=0,"",IF(INDEX('Market Data'!$J$5:$J$528,$T134)=0,"n/a",IF($Q134="Bloomberg",IF(AND(ISNUMBER(INDEX('Market Data'!$AK$5:$AK$66,INDEX('Market Data'!$J$5:$J$528,$T134)-4)),N(INDEX('Market Data'!$AK$5:$AK$66,INDEX('Market Data'!$J$5:$J$528,$T134)-4))&gt;0),INDEX('Market Data'!$AK$5:$AK$66,INDEX('Market Data'!$J$5:$J$528,$T134)-4),"date unavailable"),IF($Q134="Snapshot",IF(AND(ISNUMBER(INDEX('Market Data'!$AF$5:$AF$66,INDEX('Market Data'!$J$5:$J$528,$T134)-4)),N(INDEX('Market Data'!$AF$5:$AF$66,INDEX('Market Data'!$J$5:$J$528,$T134)-4))&gt;0),INDEX('Market Data'!$AF$5:$AF$66,INDEX('Market Data'!$J$5:$J$528,$T134)-4),"date unavailable"),"date unavailable"))))</f>
        <v/>
      </c>
      <c r="Q134" s="15">
        <f>IF($T134=0,"",IF(INDEX('Market Data'!$J$5:$J$528,$T134)=0,"n/a",IF(AND($M$5&lt;&gt;"Snapshot",ISNUMBER(INDEX('Market Data'!$AH$5:$AH$66,INDEX('Market Data'!$J$5:$J$528,$T134)-4)),N(INDEX('Market Data'!$AH$5:$AH$66,INDEX('Market Data'!$J$5:$J$528,$T134)-4))&gt;0),"Bloomberg",IF(AND($M$5&lt;&gt;"Bloomberg",ISNUMBER(INDEX('Market Data'!$AC$5:$AC$66,INDEX('Market Data'!$J$5:$J$528,$T134)-4)),N(INDEX('Market Data'!$AC$5:$AC$66,INDEX('Market Data'!$J$5:$J$528,$T134)-4))&gt;0),"Snapshot","Unavailable"))))</f>
        <v/>
      </c>
      <c r="T134">
        <f>IFERROR(MATCH(126,'Market Data'!$S$5:$S$528,0),0)</f>
        <v/>
      </c>
    </row>
    <row r="135" ht="34" customHeight="1">
      <c r="A135" s="8">
        <f>IF($T135=0,"",IF(INDEX('Market Data'!$A$5:$A$528,$T135)="","",INDEX('Market Data'!$A$5:$A$528,$T135)))</f>
        <v/>
      </c>
      <c r="B135" s="9">
        <f>IF($T135=0,"",IF(INDEX('Market Data'!$B$5:$B$528,$T135)="","",INDEX('Market Data'!$B$5:$B$528,$T135)))</f>
        <v/>
      </c>
      <c r="C135" s="9">
        <f>IF($T135=0,"",IF(INDEX('Market Data'!$C$5:$C$528,$T135)="","",INDEX('Market Data'!$C$5:$C$528,$T135)))</f>
        <v/>
      </c>
      <c r="D135" s="9">
        <f>IF($T135=0,"",IF(INDEX('Market Data'!$D$5:$D$528,$T135)="","",INDEX('Market Data'!$D$5:$D$528,$T135)))</f>
        <v/>
      </c>
      <c r="E135" s="10">
        <f>IF($T135=0,"",INDEX('Market Data'!$O$5:$O$528,$T135))</f>
        <v/>
      </c>
      <c r="F135" s="11">
        <f>IF($T135=0,"",IF(AND($I135="Bloomberg",ISNUMBER(INDEX('Market Data'!$L$5:$L$528,$T135))),INDEX('Market Data'!$L$5:$L$528,$T135),"unavailable"))</f>
        <v/>
      </c>
      <c r="G135" s="12">
        <f>IF($T135=0,"",IF($I135="Bloomberg",IF(AND(ISNUMBER(INDEX('Market Data'!$M$5:$M$528,$T135)),N(INDEX('Market Data'!$M$5:$M$528,$T135))&gt;0),INDEX('Market Data'!$M$5:$M$528,$T135),"date unavailable"),IF($I135="Snapshot",IF(AND(ISNUMBER(INDEX('Market Data'!$H$5:$H$528,$T135)),N(INDEX('Market Data'!$H$5:$H$528,$T135))&gt;0),INDEX('Market Data'!$H$5:$H$528,$T135),"date unavailable"),"date unavailable")))</f>
        <v/>
      </c>
      <c r="H135" s="9">
        <f>IF($T135=0,"",IF($I135="Bloomberg",IF(INDEX('Market Data'!$N$5:$N$528,$T135)="","time unavailable",INDEX('Market Data'!$N$5:$N$528,$T135)),""))</f>
        <v/>
      </c>
      <c r="I135" s="9">
        <f>IF($T135=0,"",INDEX('Market Data'!$P$5:$P$528,$T135))</f>
        <v/>
      </c>
      <c r="J135" s="13">
        <f>IF($T135=0,"",IF(INDEX('Market Data'!$E$5:$E$528,$T135)="","",INDEX('Market Data'!$E$5:$E$528,$T135)))</f>
        <v/>
      </c>
      <c r="K135" s="8">
        <f>IF($T135=0,"",IF(INDEX('Market Data'!$I$5:$I$528,$T135)="","",INDEX('Market Data'!$I$5:$I$528,$T135)))</f>
        <v/>
      </c>
      <c r="L135" s="10">
        <f>IF($T135=0,"",IF(INDEX('Market Data'!$J$5:$J$528,$T135)=0,"n/a",IF(AND($M$5&lt;&gt;"Snapshot",ISNUMBER(INDEX('Market Data'!$AH$5:$AH$66,INDEX('Market Data'!$J$5:$J$528,$T135)-4)),N(INDEX('Market Data'!$AH$5:$AH$66,INDEX('Market Data'!$J$5:$J$528,$T135)-4))&gt;0),INDEX('Market Data'!$AH$5:$AH$66,INDEX('Market Data'!$J$5:$J$528,$T135)-4),IF(AND($M$5&lt;&gt;"Bloomberg",ISNUMBER(INDEX('Market Data'!$AC$5:$AC$66,INDEX('Market Data'!$J$5:$J$528,$T135)-4)),N(INDEX('Market Data'!$AC$5:$AC$66,INDEX('Market Data'!$J$5:$J$528,$T135)-4))&gt;0),INDEX('Market Data'!$AC$5:$AC$66,INDEX('Market Data'!$J$5:$J$528,$T135)-4),"unavailable"))))</f>
        <v/>
      </c>
      <c r="M135" s="11">
        <f>IF($T135=0,"",IF(INDEX('Market Data'!$J$5:$J$528,$T135)=0,"n/a",IF(IF(INDEX('Market Data'!$J$5:$J$528,$T135)=0,0,IF(LEFT(INDEX('Market Data'!$AS$5:$AS$66,INDEX('Market Data'!$J$5:$J$528,$T135)-4),11)="First-month",1,0))=1,"class review",IF($I135="Bloomberg",IF(AND(ISNUMBER(INDEX('Market Data'!$AH$5:$AH$66,INDEX('Market Data'!$J$5:$J$528,$T135)-4)),N(INDEX('Market Data'!$AH$5:$AH$66,INDEX('Market Data'!$J$5:$J$528,$T135)-4))&gt;0,ISNUMBER('Market Data'!$B$1),N('Market Data'!$B$1)&gt;0),INDEX('Market Data'!$AH$5:$AH$66,INDEX('Market Data'!$J$5:$J$528,$T135)-4)*'Market Data'!$B$1/$E135-1,"pending A/FX"),IF(AND($I135="Snapshot",$Q135="Snapshot",ISNUMBER($E135),$G135=INDEX('Market Data'!$AE$5:$AE$66,INDEX('Market Data'!$J$5:$J$528,$T135)-4)),IFERROR(INDEX('Market Data'!$AC$5:$AC$66,INDEX('Market Data'!$J$5:$J$528,$T135)-4)*INDEX('Market Data'!$AD$5:$AD$66,INDEX('Market Data'!$J$5:$J$528,$T135)-4)/$E135-1,"unavailable"),IF($I135="Unavailable","unavailable","date mismatch"))))))</f>
        <v/>
      </c>
      <c r="N135" s="11">
        <f>IF($T135=0,"",IFERROR(IF(AND(N(INDEX('Market Data'!$F$5:$F$528,$T135))&gt;0,ISNUMBER(INDEX('Market Data'!$T$5:$T$528,$T135))),$E135*INDEX('Market Data'!$T$5:$T$528,$T135)/INDEX('Market Data'!$F$5:$F$528,$T135)-1,"unavailable"),"unavailable"))</f>
        <v/>
      </c>
      <c r="O135" s="9">
        <f>IF($T135=0,"",IF(IF(INDEX('Market Data'!$J$5:$J$528,$T135)=0,0,IF(LEFT(INDEX('Market Data'!$AS$5:$AS$66,INDEX('Market Data'!$J$5:$J$528,$T135)-4),11)="First-month",1,0))=1,"Class ratio review",IF($I135="Bloomberg",IF(ISNUMBER($G135),IF($G135&lt;TODAY(),"Older quote","See quote time"),"Date unavailable"),IF($I135="Snapshot",IF($G135&lt;DATEVALUE("2026-10-02"),"Older snapshot","Dated close"),"No valid quote"))))</f>
        <v/>
      </c>
      <c r="P135" s="14">
        <f>IF($T135=0,"",IF(INDEX('Market Data'!$J$5:$J$528,$T135)=0,"n/a",IF($Q135="Bloomberg",IF(AND(ISNUMBER(INDEX('Market Data'!$AK$5:$AK$66,INDEX('Market Data'!$J$5:$J$528,$T135)-4)),N(INDEX('Market Data'!$AK$5:$AK$66,INDEX('Market Data'!$J$5:$J$528,$T135)-4))&gt;0),INDEX('Market Data'!$AK$5:$AK$66,INDEX('Market Data'!$J$5:$J$528,$T135)-4),"date unavailable"),IF($Q135="Snapshot",IF(AND(ISNUMBER(INDEX('Market Data'!$AF$5:$AF$66,INDEX('Market Data'!$J$5:$J$528,$T135)-4)),N(INDEX('Market Data'!$AF$5:$AF$66,INDEX('Market Data'!$J$5:$J$528,$T135)-4))&gt;0),INDEX('Market Data'!$AF$5:$AF$66,INDEX('Market Data'!$J$5:$J$528,$T135)-4),"date unavailable"),"date unavailable"))))</f>
        <v/>
      </c>
      <c r="Q135" s="15">
        <f>IF($T135=0,"",IF(INDEX('Market Data'!$J$5:$J$528,$T135)=0,"n/a",IF(AND($M$5&lt;&gt;"Snapshot",ISNUMBER(INDEX('Market Data'!$AH$5:$AH$66,INDEX('Market Data'!$J$5:$J$528,$T135)-4)),N(INDEX('Market Data'!$AH$5:$AH$66,INDEX('Market Data'!$J$5:$J$528,$T135)-4))&gt;0),"Bloomberg",IF(AND($M$5&lt;&gt;"Bloomberg",ISNUMBER(INDEX('Market Data'!$AC$5:$AC$66,INDEX('Market Data'!$J$5:$J$528,$T135)-4)),N(INDEX('Market Data'!$AC$5:$AC$66,INDEX('Market Data'!$J$5:$J$528,$T135)-4))&gt;0),"Snapshot","Unavailable"))))</f>
        <v/>
      </c>
      <c r="T135">
        <f>IFERROR(MATCH(127,'Market Data'!$S$5:$S$528,0),0)</f>
        <v/>
      </c>
    </row>
    <row r="136" ht="34" customHeight="1">
      <c r="A136" s="8">
        <f>IF($T136=0,"",IF(INDEX('Market Data'!$A$5:$A$528,$T136)="","",INDEX('Market Data'!$A$5:$A$528,$T136)))</f>
        <v/>
      </c>
      <c r="B136" s="9">
        <f>IF($T136=0,"",IF(INDEX('Market Data'!$B$5:$B$528,$T136)="","",INDEX('Market Data'!$B$5:$B$528,$T136)))</f>
        <v/>
      </c>
      <c r="C136" s="9">
        <f>IF($T136=0,"",IF(INDEX('Market Data'!$C$5:$C$528,$T136)="","",INDEX('Market Data'!$C$5:$C$528,$T136)))</f>
        <v/>
      </c>
      <c r="D136" s="9">
        <f>IF($T136=0,"",IF(INDEX('Market Data'!$D$5:$D$528,$T136)="","",INDEX('Market Data'!$D$5:$D$528,$T136)))</f>
        <v/>
      </c>
      <c r="E136" s="10">
        <f>IF($T136=0,"",INDEX('Market Data'!$O$5:$O$528,$T136))</f>
        <v/>
      </c>
      <c r="F136" s="11">
        <f>IF($T136=0,"",IF(AND($I136="Bloomberg",ISNUMBER(INDEX('Market Data'!$L$5:$L$528,$T136))),INDEX('Market Data'!$L$5:$L$528,$T136),"unavailable"))</f>
        <v/>
      </c>
      <c r="G136" s="12">
        <f>IF($T136=0,"",IF($I136="Bloomberg",IF(AND(ISNUMBER(INDEX('Market Data'!$M$5:$M$528,$T136)),N(INDEX('Market Data'!$M$5:$M$528,$T136))&gt;0),INDEX('Market Data'!$M$5:$M$528,$T136),"date unavailable"),IF($I136="Snapshot",IF(AND(ISNUMBER(INDEX('Market Data'!$H$5:$H$528,$T136)),N(INDEX('Market Data'!$H$5:$H$528,$T136))&gt;0),INDEX('Market Data'!$H$5:$H$528,$T136),"date unavailable"),"date unavailable")))</f>
        <v/>
      </c>
      <c r="H136" s="9">
        <f>IF($T136=0,"",IF($I136="Bloomberg",IF(INDEX('Market Data'!$N$5:$N$528,$T136)="","time unavailable",INDEX('Market Data'!$N$5:$N$528,$T136)),""))</f>
        <v/>
      </c>
      <c r="I136" s="9">
        <f>IF($T136=0,"",INDEX('Market Data'!$P$5:$P$528,$T136))</f>
        <v/>
      </c>
      <c r="J136" s="13">
        <f>IF($T136=0,"",IF(INDEX('Market Data'!$E$5:$E$528,$T136)="","",INDEX('Market Data'!$E$5:$E$528,$T136)))</f>
        <v/>
      </c>
      <c r="K136" s="8">
        <f>IF($T136=0,"",IF(INDEX('Market Data'!$I$5:$I$528,$T136)="","",INDEX('Market Data'!$I$5:$I$528,$T136)))</f>
        <v/>
      </c>
      <c r="L136" s="10">
        <f>IF($T136=0,"",IF(INDEX('Market Data'!$J$5:$J$528,$T136)=0,"n/a",IF(AND($M$5&lt;&gt;"Snapshot",ISNUMBER(INDEX('Market Data'!$AH$5:$AH$66,INDEX('Market Data'!$J$5:$J$528,$T136)-4)),N(INDEX('Market Data'!$AH$5:$AH$66,INDEX('Market Data'!$J$5:$J$528,$T136)-4))&gt;0),INDEX('Market Data'!$AH$5:$AH$66,INDEX('Market Data'!$J$5:$J$528,$T136)-4),IF(AND($M$5&lt;&gt;"Bloomberg",ISNUMBER(INDEX('Market Data'!$AC$5:$AC$66,INDEX('Market Data'!$J$5:$J$528,$T136)-4)),N(INDEX('Market Data'!$AC$5:$AC$66,INDEX('Market Data'!$J$5:$J$528,$T136)-4))&gt;0),INDEX('Market Data'!$AC$5:$AC$66,INDEX('Market Data'!$J$5:$J$528,$T136)-4),"unavailable"))))</f>
        <v/>
      </c>
      <c r="M136" s="11">
        <f>IF($T136=0,"",IF(INDEX('Market Data'!$J$5:$J$528,$T136)=0,"n/a",IF(IF(INDEX('Market Data'!$J$5:$J$528,$T136)=0,0,IF(LEFT(INDEX('Market Data'!$AS$5:$AS$66,INDEX('Market Data'!$J$5:$J$528,$T136)-4),11)="First-month",1,0))=1,"class review",IF($I136="Bloomberg",IF(AND(ISNUMBER(INDEX('Market Data'!$AH$5:$AH$66,INDEX('Market Data'!$J$5:$J$528,$T136)-4)),N(INDEX('Market Data'!$AH$5:$AH$66,INDEX('Market Data'!$J$5:$J$528,$T136)-4))&gt;0,ISNUMBER('Market Data'!$B$1),N('Market Data'!$B$1)&gt;0),INDEX('Market Data'!$AH$5:$AH$66,INDEX('Market Data'!$J$5:$J$528,$T136)-4)*'Market Data'!$B$1/$E136-1,"pending A/FX"),IF(AND($I136="Snapshot",$Q136="Snapshot",ISNUMBER($E136),$G136=INDEX('Market Data'!$AE$5:$AE$66,INDEX('Market Data'!$J$5:$J$528,$T136)-4)),IFERROR(INDEX('Market Data'!$AC$5:$AC$66,INDEX('Market Data'!$J$5:$J$528,$T136)-4)*INDEX('Market Data'!$AD$5:$AD$66,INDEX('Market Data'!$J$5:$J$528,$T136)-4)/$E136-1,"unavailable"),IF($I136="Unavailable","unavailable","date mismatch"))))))</f>
        <v/>
      </c>
      <c r="N136" s="11">
        <f>IF($T136=0,"",IFERROR(IF(AND(N(INDEX('Market Data'!$F$5:$F$528,$T136))&gt;0,ISNUMBER(INDEX('Market Data'!$T$5:$T$528,$T136))),$E136*INDEX('Market Data'!$T$5:$T$528,$T136)/INDEX('Market Data'!$F$5:$F$528,$T136)-1,"unavailable"),"unavailable"))</f>
        <v/>
      </c>
      <c r="O136" s="9">
        <f>IF($T136=0,"",IF(IF(INDEX('Market Data'!$J$5:$J$528,$T136)=0,0,IF(LEFT(INDEX('Market Data'!$AS$5:$AS$66,INDEX('Market Data'!$J$5:$J$528,$T136)-4),11)="First-month",1,0))=1,"Class ratio review",IF($I136="Bloomberg",IF(ISNUMBER($G136),IF($G136&lt;TODAY(),"Older quote","See quote time"),"Date unavailable"),IF($I136="Snapshot",IF($G136&lt;DATEVALUE("2026-10-02"),"Older snapshot","Dated close"),"No valid quote"))))</f>
        <v/>
      </c>
      <c r="P136" s="14">
        <f>IF($T136=0,"",IF(INDEX('Market Data'!$J$5:$J$528,$T136)=0,"n/a",IF($Q136="Bloomberg",IF(AND(ISNUMBER(INDEX('Market Data'!$AK$5:$AK$66,INDEX('Market Data'!$J$5:$J$528,$T136)-4)),N(INDEX('Market Data'!$AK$5:$AK$66,INDEX('Market Data'!$J$5:$J$528,$T136)-4))&gt;0),INDEX('Market Data'!$AK$5:$AK$66,INDEX('Market Data'!$J$5:$J$528,$T136)-4),"date unavailable"),IF($Q136="Snapshot",IF(AND(ISNUMBER(INDEX('Market Data'!$AF$5:$AF$66,INDEX('Market Data'!$J$5:$J$528,$T136)-4)),N(INDEX('Market Data'!$AF$5:$AF$66,INDEX('Market Data'!$J$5:$J$528,$T136)-4))&gt;0),INDEX('Market Data'!$AF$5:$AF$66,INDEX('Market Data'!$J$5:$J$528,$T136)-4),"date unavailable"),"date unavailable"))))</f>
        <v/>
      </c>
      <c r="Q136" s="15">
        <f>IF($T136=0,"",IF(INDEX('Market Data'!$J$5:$J$528,$T136)=0,"n/a",IF(AND($M$5&lt;&gt;"Snapshot",ISNUMBER(INDEX('Market Data'!$AH$5:$AH$66,INDEX('Market Data'!$J$5:$J$528,$T136)-4)),N(INDEX('Market Data'!$AH$5:$AH$66,INDEX('Market Data'!$J$5:$J$528,$T136)-4))&gt;0),"Bloomberg",IF(AND($M$5&lt;&gt;"Bloomberg",ISNUMBER(INDEX('Market Data'!$AC$5:$AC$66,INDEX('Market Data'!$J$5:$J$528,$T136)-4)),N(INDEX('Market Data'!$AC$5:$AC$66,INDEX('Market Data'!$J$5:$J$528,$T136)-4))&gt;0),"Snapshot","Unavailable"))))</f>
        <v/>
      </c>
      <c r="T136">
        <f>IFERROR(MATCH(128,'Market Data'!$S$5:$S$528,0),0)</f>
        <v/>
      </c>
    </row>
    <row r="137" ht="34" customHeight="1">
      <c r="A137" s="8">
        <f>IF($T137=0,"",IF(INDEX('Market Data'!$A$5:$A$528,$T137)="","",INDEX('Market Data'!$A$5:$A$528,$T137)))</f>
        <v/>
      </c>
      <c r="B137" s="9">
        <f>IF($T137=0,"",IF(INDEX('Market Data'!$B$5:$B$528,$T137)="","",INDEX('Market Data'!$B$5:$B$528,$T137)))</f>
        <v/>
      </c>
      <c r="C137" s="9">
        <f>IF($T137=0,"",IF(INDEX('Market Data'!$C$5:$C$528,$T137)="","",INDEX('Market Data'!$C$5:$C$528,$T137)))</f>
        <v/>
      </c>
      <c r="D137" s="9">
        <f>IF($T137=0,"",IF(INDEX('Market Data'!$D$5:$D$528,$T137)="","",INDEX('Market Data'!$D$5:$D$528,$T137)))</f>
        <v/>
      </c>
      <c r="E137" s="10">
        <f>IF($T137=0,"",INDEX('Market Data'!$O$5:$O$528,$T137))</f>
        <v/>
      </c>
      <c r="F137" s="11">
        <f>IF($T137=0,"",IF(AND($I137="Bloomberg",ISNUMBER(INDEX('Market Data'!$L$5:$L$528,$T137))),INDEX('Market Data'!$L$5:$L$528,$T137),"unavailable"))</f>
        <v/>
      </c>
      <c r="G137" s="12">
        <f>IF($T137=0,"",IF($I137="Bloomberg",IF(AND(ISNUMBER(INDEX('Market Data'!$M$5:$M$528,$T137)),N(INDEX('Market Data'!$M$5:$M$528,$T137))&gt;0),INDEX('Market Data'!$M$5:$M$528,$T137),"date unavailable"),IF($I137="Snapshot",IF(AND(ISNUMBER(INDEX('Market Data'!$H$5:$H$528,$T137)),N(INDEX('Market Data'!$H$5:$H$528,$T137))&gt;0),INDEX('Market Data'!$H$5:$H$528,$T137),"date unavailable"),"date unavailable")))</f>
        <v/>
      </c>
      <c r="H137" s="9">
        <f>IF($T137=0,"",IF($I137="Bloomberg",IF(INDEX('Market Data'!$N$5:$N$528,$T137)="","time unavailable",INDEX('Market Data'!$N$5:$N$528,$T137)),""))</f>
        <v/>
      </c>
      <c r="I137" s="9">
        <f>IF($T137=0,"",INDEX('Market Data'!$P$5:$P$528,$T137))</f>
        <v/>
      </c>
      <c r="J137" s="13">
        <f>IF($T137=0,"",IF(INDEX('Market Data'!$E$5:$E$528,$T137)="","",INDEX('Market Data'!$E$5:$E$528,$T137)))</f>
        <v/>
      </c>
      <c r="K137" s="8">
        <f>IF($T137=0,"",IF(INDEX('Market Data'!$I$5:$I$528,$T137)="","",INDEX('Market Data'!$I$5:$I$528,$T137)))</f>
        <v/>
      </c>
      <c r="L137" s="10">
        <f>IF($T137=0,"",IF(INDEX('Market Data'!$J$5:$J$528,$T137)=0,"n/a",IF(AND($M$5&lt;&gt;"Snapshot",ISNUMBER(INDEX('Market Data'!$AH$5:$AH$66,INDEX('Market Data'!$J$5:$J$528,$T137)-4)),N(INDEX('Market Data'!$AH$5:$AH$66,INDEX('Market Data'!$J$5:$J$528,$T137)-4))&gt;0),INDEX('Market Data'!$AH$5:$AH$66,INDEX('Market Data'!$J$5:$J$528,$T137)-4),IF(AND($M$5&lt;&gt;"Bloomberg",ISNUMBER(INDEX('Market Data'!$AC$5:$AC$66,INDEX('Market Data'!$J$5:$J$528,$T137)-4)),N(INDEX('Market Data'!$AC$5:$AC$66,INDEX('Market Data'!$J$5:$J$528,$T137)-4))&gt;0),INDEX('Market Data'!$AC$5:$AC$66,INDEX('Market Data'!$J$5:$J$528,$T137)-4),"unavailable"))))</f>
        <v/>
      </c>
      <c r="M137" s="11">
        <f>IF($T137=0,"",IF(INDEX('Market Data'!$J$5:$J$528,$T137)=0,"n/a",IF(IF(INDEX('Market Data'!$J$5:$J$528,$T137)=0,0,IF(LEFT(INDEX('Market Data'!$AS$5:$AS$66,INDEX('Market Data'!$J$5:$J$528,$T137)-4),11)="First-month",1,0))=1,"class review",IF($I137="Bloomberg",IF(AND(ISNUMBER(INDEX('Market Data'!$AH$5:$AH$66,INDEX('Market Data'!$J$5:$J$528,$T137)-4)),N(INDEX('Market Data'!$AH$5:$AH$66,INDEX('Market Data'!$J$5:$J$528,$T137)-4))&gt;0,ISNUMBER('Market Data'!$B$1),N('Market Data'!$B$1)&gt;0),INDEX('Market Data'!$AH$5:$AH$66,INDEX('Market Data'!$J$5:$J$528,$T137)-4)*'Market Data'!$B$1/$E137-1,"pending A/FX"),IF(AND($I137="Snapshot",$Q137="Snapshot",ISNUMBER($E137),$G137=INDEX('Market Data'!$AE$5:$AE$66,INDEX('Market Data'!$J$5:$J$528,$T137)-4)),IFERROR(INDEX('Market Data'!$AC$5:$AC$66,INDEX('Market Data'!$J$5:$J$528,$T137)-4)*INDEX('Market Data'!$AD$5:$AD$66,INDEX('Market Data'!$J$5:$J$528,$T137)-4)/$E137-1,"unavailable"),IF($I137="Unavailable","unavailable","date mismatch"))))))</f>
        <v/>
      </c>
      <c r="N137" s="11">
        <f>IF($T137=0,"",IFERROR(IF(AND(N(INDEX('Market Data'!$F$5:$F$528,$T137))&gt;0,ISNUMBER(INDEX('Market Data'!$T$5:$T$528,$T137))),$E137*INDEX('Market Data'!$T$5:$T$528,$T137)/INDEX('Market Data'!$F$5:$F$528,$T137)-1,"unavailable"),"unavailable"))</f>
        <v/>
      </c>
      <c r="O137" s="9">
        <f>IF($T137=0,"",IF(IF(INDEX('Market Data'!$J$5:$J$528,$T137)=0,0,IF(LEFT(INDEX('Market Data'!$AS$5:$AS$66,INDEX('Market Data'!$J$5:$J$528,$T137)-4),11)="First-month",1,0))=1,"Class ratio review",IF($I137="Bloomberg",IF(ISNUMBER($G137),IF($G137&lt;TODAY(),"Older quote","See quote time"),"Date unavailable"),IF($I137="Snapshot",IF($G137&lt;DATEVALUE("2026-10-02"),"Older snapshot","Dated close"),"No valid quote"))))</f>
        <v/>
      </c>
      <c r="P137" s="14">
        <f>IF($T137=0,"",IF(INDEX('Market Data'!$J$5:$J$528,$T137)=0,"n/a",IF($Q137="Bloomberg",IF(AND(ISNUMBER(INDEX('Market Data'!$AK$5:$AK$66,INDEX('Market Data'!$J$5:$J$528,$T137)-4)),N(INDEX('Market Data'!$AK$5:$AK$66,INDEX('Market Data'!$J$5:$J$528,$T137)-4))&gt;0),INDEX('Market Data'!$AK$5:$AK$66,INDEX('Market Data'!$J$5:$J$528,$T137)-4),"date unavailable"),IF($Q137="Snapshot",IF(AND(ISNUMBER(INDEX('Market Data'!$AF$5:$AF$66,INDEX('Market Data'!$J$5:$J$528,$T137)-4)),N(INDEX('Market Data'!$AF$5:$AF$66,INDEX('Market Data'!$J$5:$J$528,$T137)-4))&gt;0),INDEX('Market Data'!$AF$5:$AF$66,INDEX('Market Data'!$J$5:$J$528,$T137)-4),"date unavailable"),"date unavailable"))))</f>
        <v/>
      </c>
      <c r="Q137" s="15">
        <f>IF($T137=0,"",IF(INDEX('Market Data'!$J$5:$J$528,$T137)=0,"n/a",IF(AND($M$5&lt;&gt;"Snapshot",ISNUMBER(INDEX('Market Data'!$AH$5:$AH$66,INDEX('Market Data'!$J$5:$J$528,$T137)-4)),N(INDEX('Market Data'!$AH$5:$AH$66,INDEX('Market Data'!$J$5:$J$528,$T137)-4))&gt;0),"Bloomberg",IF(AND($M$5&lt;&gt;"Bloomberg",ISNUMBER(INDEX('Market Data'!$AC$5:$AC$66,INDEX('Market Data'!$J$5:$J$528,$T137)-4)),N(INDEX('Market Data'!$AC$5:$AC$66,INDEX('Market Data'!$J$5:$J$528,$T137)-4))&gt;0),"Snapshot","Unavailable"))))</f>
        <v/>
      </c>
      <c r="T137">
        <f>IFERROR(MATCH(129,'Market Data'!$S$5:$S$528,0),0)</f>
        <v/>
      </c>
    </row>
    <row r="138" ht="34" customHeight="1">
      <c r="A138" s="8">
        <f>IF($T138=0,"",IF(INDEX('Market Data'!$A$5:$A$528,$T138)="","",INDEX('Market Data'!$A$5:$A$528,$T138)))</f>
        <v/>
      </c>
      <c r="B138" s="9">
        <f>IF($T138=0,"",IF(INDEX('Market Data'!$B$5:$B$528,$T138)="","",INDEX('Market Data'!$B$5:$B$528,$T138)))</f>
        <v/>
      </c>
      <c r="C138" s="9">
        <f>IF($T138=0,"",IF(INDEX('Market Data'!$C$5:$C$528,$T138)="","",INDEX('Market Data'!$C$5:$C$528,$T138)))</f>
        <v/>
      </c>
      <c r="D138" s="9">
        <f>IF($T138=0,"",IF(INDEX('Market Data'!$D$5:$D$528,$T138)="","",INDEX('Market Data'!$D$5:$D$528,$T138)))</f>
        <v/>
      </c>
      <c r="E138" s="10">
        <f>IF($T138=0,"",INDEX('Market Data'!$O$5:$O$528,$T138))</f>
        <v/>
      </c>
      <c r="F138" s="11">
        <f>IF($T138=0,"",IF(AND($I138="Bloomberg",ISNUMBER(INDEX('Market Data'!$L$5:$L$528,$T138))),INDEX('Market Data'!$L$5:$L$528,$T138),"unavailable"))</f>
        <v/>
      </c>
      <c r="G138" s="12">
        <f>IF($T138=0,"",IF($I138="Bloomberg",IF(AND(ISNUMBER(INDEX('Market Data'!$M$5:$M$528,$T138)),N(INDEX('Market Data'!$M$5:$M$528,$T138))&gt;0),INDEX('Market Data'!$M$5:$M$528,$T138),"date unavailable"),IF($I138="Snapshot",IF(AND(ISNUMBER(INDEX('Market Data'!$H$5:$H$528,$T138)),N(INDEX('Market Data'!$H$5:$H$528,$T138))&gt;0),INDEX('Market Data'!$H$5:$H$528,$T138),"date unavailable"),"date unavailable")))</f>
        <v/>
      </c>
      <c r="H138" s="9">
        <f>IF($T138=0,"",IF($I138="Bloomberg",IF(INDEX('Market Data'!$N$5:$N$528,$T138)="","time unavailable",INDEX('Market Data'!$N$5:$N$528,$T138)),""))</f>
        <v/>
      </c>
      <c r="I138" s="9">
        <f>IF($T138=0,"",INDEX('Market Data'!$P$5:$P$528,$T138))</f>
        <v/>
      </c>
      <c r="J138" s="13">
        <f>IF($T138=0,"",IF(INDEX('Market Data'!$E$5:$E$528,$T138)="","",INDEX('Market Data'!$E$5:$E$528,$T138)))</f>
        <v/>
      </c>
      <c r="K138" s="8">
        <f>IF($T138=0,"",IF(INDEX('Market Data'!$I$5:$I$528,$T138)="","",INDEX('Market Data'!$I$5:$I$528,$T138)))</f>
        <v/>
      </c>
      <c r="L138" s="10">
        <f>IF($T138=0,"",IF(INDEX('Market Data'!$J$5:$J$528,$T138)=0,"n/a",IF(AND($M$5&lt;&gt;"Snapshot",ISNUMBER(INDEX('Market Data'!$AH$5:$AH$66,INDEX('Market Data'!$J$5:$J$528,$T138)-4)),N(INDEX('Market Data'!$AH$5:$AH$66,INDEX('Market Data'!$J$5:$J$528,$T138)-4))&gt;0),INDEX('Market Data'!$AH$5:$AH$66,INDEX('Market Data'!$J$5:$J$528,$T138)-4),IF(AND($M$5&lt;&gt;"Bloomberg",ISNUMBER(INDEX('Market Data'!$AC$5:$AC$66,INDEX('Market Data'!$J$5:$J$528,$T138)-4)),N(INDEX('Market Data'!$AC$5:$AC$66,INDEX('Market Data'!$J$5:$J$528,$T138)-4))&gt;0),INDEX('Market Data'!$AC$5:$AC$66,INDEX('Market Data'!$J$5:$J$528,$T138)-4),"unavailable"))))</f>
        <v/>
      </c>
      <c r="M138" s="11">
        <f>IF($T138=0,"",IF(INDEX('Market Data'!$J$5:$J$528,$T138)=0,"n/a",IF(IF(INDEX('Market Data'!$J$5:$J$528,$T138)=0,0,IF(LEFT(INDEX('Market Data'!$AS$5:$AS$66,INDEX('Market Data'!$J$5:$J$528,$T138)-4),11)="First-month",1,0))=1,"class review",IF($I138="Bloomberg",IF(AND(ISNUMBER(INDEX('Market Data'!$AH$5:$AH$66,INDEX('Market Data'!$J$5:$J$528,$T138)-4)),N(INDEX('Market Data'!$AH$5:$AH$66,INDEX('Market Data'!$J$5:$J$528,$T138)-4))&gt;0,ISNUMBER('Market Data'!$B$1),N('Market Data'!$B$1)&gt;0),INDEX('Market Data'!$AH$5:$AH$66,INDEX('Market Data'!$J$5:$J$528,$T138)-4)*'Market Data'!$B$1/$E138-1,"pending A/FX"),IF(AND($I138="Snapshot",$Q138="Snapshot",ISNUMBER($E138),$G138=INDEX('Market Data'!$AE$5:$AE$66,INDEX('Market Data'!$J$5:$J$528,$T138)-4)),IFERROR(INDEX('Market Data'!$AC$5:$AC$66,INDEX('Market Data'!$J$5:$J$528,$T138)-4)*INDEX('Market Data'!$AD$5:$AD$66,INDEX('Market Data'!$J$5:$J$528,$T138)-4)/$E138-1,"unavailable"),IF($I138="Unavailable","unavailable","date mismatch"))))))</f>
        <v/>
      </c>
      <c r="N138" s="11">
        <f>IF($T138=0,"",IFERROR(IF(AND(N(INDEX('Market Data'!$F$5:$F$528,$T138))&gt;0,ISNUMBER(INDEX('Market Data'!$T$5:$T$528,$T138))),$E138*INDEX('Market Data'!$T$5:$T$528,$T138)/INDEX('Market Data'!$F$5:$F$528,$T138)-1,"unavailable"),"unavailable"))</f>
        <v/>
      </c>
      <c r="O138" s="9">
        <f>IF($T138=0,"",IF(IF(INDEX('Market Data'!$J$5:$J$528,$T138)=0,0,IF(LEFT(INDEX('Market Data'!$AS$5:$AS$66,INDEX('Market Data'!$J$5:$J$528,$T138)-4),11)="First-month",1,0))=1,"Class ratio review",IF($I138="Bloomberg",IF(ISNUMBER($G138),IF($G138&lt;TODAY(),"Older quote","See quote time"),"Date unavailable"),IF($I138="Snapshot",IF($G138&lt;DATEVALUE("2026-10-02"),"Older snapshot","Dated close"),"No valid quote"))))</f>
        <v/>
      </c>
      <c r="P138" s="14">
        <f>IF($T138=0,"",IF(INDEX('Market Data'!$J$5:$J$528,$T138)=0,"n/a",IF($Q138="Bloomberg",IF(AND(ISNUMBER(INDEX('Market Data'!$AK$5:$AK$66,INDEX('Market Data'!$J$5:$J$528,$T138)-4)),N(INDEX('Market Data'!$AK$5:$AK$66,INDEX('Market Data'!$J$5:$J$528,$T138)-4))&gt;0),INDEX('Market Data'!$AK$5:$AK$66,INDEX('Market Data'!$J$5:$J$528,$T138)-4),"date unavailable"),IF($Q138="Snapshot",IF(AND(ISNUMBER(INDEX('Market Data'!$AF$5:$AF$66,INDEX('Market Data'!$J$5:$J$528,$T138)-4)),N(INDEX('Market Data'!$AF$5:$AF$66,INDEX('Market Data'!$J$5:$J$528,$T138)-4))&gt;0),INDEX('Market Data'!$AF$5:$AF$66,INDEX('Market Data'!$J$5:$J$528,$T138)-4),"date unavailable"),"date unavailable"))))</f>
        <v/>
      </c>
      <c r="Q138" s="15">
        <f>IF($T138=0,"",IF(INDEX('Market Data'!$J$5:$J$528,$T138)=0,"n/a",IF(AND($M$5&lt;&gt;"Snapshot",ISNUMBER(INDEX('Market Data'!$AH$5:$AH$66,INDEX('Market Data'!$J$5:$J$528,$T138)-4)),N(INDEX('Market Data'!$AH$5:$AH$66,INDEX('Market Data'!$J$5:$J$528,$T138)-4))&gt;0),"Bloomberg",IF(AND($M$5&lt;&gt;"Bloomberg",ISNUMBER(INDEX('Market Data'!$AC$5:$AC$66,INDEX('Market Data'!$J$5:$J$528,$T138)-4)),N(INDEX('Market Data'!$AC$5:$AC$66,INDEX('Market Data'!$J$5:$J$528,$T138)-4))&gt;0),"Snapshot","Unavailable"))))</f>
        <v/>
      </c>
      <c r="T138">
        <f>IFERROR(MATCH(130,'Market Data'!$S$5:$S$528,0),0)</f>
        <v/>
      </c>
    </row>
    <row r="139" ht="34" customHeight="1">
      <c r="A139" s="8">
        <f>IF($T139=0,"",IF(INDEX('Market Data'!$A$5:$A$528,$T139)="","",INDEX('Market Data'!$A$5:$A$528,$T139)))</f>
        <v/>
      </c>
      <c r="B139" s="9">
        <f>IF($T139=0,"",IF(INDEX('Market Data'!$B$5:$B$528,$T139)="","",INDEX('Market Data'!$B$5:$B$528,$T139)))</f>
        <v/>
      </c>
      <c r="C139" s="9">
        <f>IF($T139=0,"",IF(INDEX('Market Data'!$C$5:$C$528,$T139)="","",INDEX('Market Data'!$C$5:$C$528,$T139)))</f>
        <v/>
      </c>
      <c r="D139" s="9">
        <f>IF($T139=0,"",IF(INDEX('Market Data'!$D$5:$D$528,$T139)="","",INDEX('Market Data'!$D$5:$D$528,$T139)))</f>
        <v/>
      </c>
      <c r="E139" s="10">
        <f>IF($T139=0,"",INDEX('Market Data'!$O$5:$O$528,$T139))</f>
        <v/>
      </c>
      <c r="F139" s="11">
        <f>IF($T139=0,"",IF(AND($I139="Bloomberg",ISNUMBER(INDEX('Market Data'!$L$5:$L$528,$T139))),INDEX('Market Data'!$L$5:$L$528,$T139),"unavailable"))</f>
        <v/>
      </c>
      <c r="G139" s="12">
        <f>IF($T139=0,"",IF($I139="Bloomberg",IF(AND(ISNUMBER(INDEX('Market Data'!$M$5:$M$528,$T139)),N(INDEX('Market Data'!$M$5:$M$528,$T139))&gt;0),INDEX('Market Data'!$M$5:$M$528,$T139),"date unavailable"),IF($I139="Snapshot",IF(AND(ISNUMBER(INDEX('Market Data'!$H$5:$H$528,$T139)),N(INDEX('Market Data'!$H$5:$H$528,$T139))&gt;0),INDEX('Market Data'!$H$5:$H$528,$T139),"date unavailable"),"date unavailable")))</f>
        <v/>
      </c>
      <c r="H139" s="9">
        <f>IF($T139=0,"",IF($I139="Bloomberg",IF(INDEX('Market Data'!$N$5:$N$528,$T139)="","time unavailable",INDEX('Market Data'!$N$5:$N$528,$T139)),""))</f>
        <v/>
      </c>
      <c r="I139" s="9">
        <f>IF($T139=0,"",INDEX('Market Data'!$P$5:$P$528,$T139))</f>
        <v/>
      </c>
      <c r="J139" s="13">
        <f>IF($T139=0,"",IF(INDEX('Market Data'!$E$5:$E$528,$T139)="","",INDEX('Market Data'!$E$5:$E$528,$T139)))</f>
        <v/>
      </c>
      <c r="K139" s="8">
        <f>IF($T139=0,"",IF(INDEX('Market Data'!$I$5:$I$528,$T139)="","",INDEX('Market Data'!$I$5:$I$528,$T139)))</f>
        <v/>
      </c>
      <c r="L139" s="10">
        <f>IF($T139=0,"",IF(INDEX('Market Data'!$J$5:$J$528,$T139)=0,"n/a",IF(AND($M$5&lt;&gt;"Snapshot",ISNUMBER(INDEX('Market Data'!$AH$5:$AH$66,INDEX('Market Data'!$J$5:$J$528,$T139)-4)),N(INDEX('Market Data'!$AH$5:$AH$66,INDEX('Market Data'!$J$5:$J$528,$T139)-4))&gt;0),INDEX('Market Data'!$AH$5:$AH$66,INDEX('Market Data'!$J$5:$J$528,$T139)-4),IF(AND($M$5&lt;&gt;"Bloomberg",ISNUMBER(INDEX('Market Data'!$AC$5:$AC$66,INDEX('Market Data'!$J$5:$J$528,$T139)-4)),N(INDEX('Market Data'!$AC$5:$AC$66,INDEX('Market Data'!$J$5:$J$528,$T139)-4))&gt;0),INDEX('Market Data'!$AC$5:$AC$66,INDEX('Market Data'!$J$5:$J$528,$T139)-4),"unavailable"))))</f>
        <v/>
      </c>
      <c r="M139" s="11">
        <f>IF($T139=0,"",IF(INDEX('Market Data'!$J$5:$J$528,$T139)=0,"n/a",IF(IF(INDEX('Market Data'!$J$5:$J$528,$T139)=0,0,IF(LEFT(INDEX('Market Data'!$AS$5:$AS$66,INDEX('Market Data'!$J$5:$J$528,$T139)-4),11)="First-month",1,0))=1,"class review",IF($I139="Bloomberg",IF(AND(ISNUMBER(INDEX('Market Data'!$AH$5:$AH$66,INDEX('Market Data'!$J$5:$J$528,$T139)-4)),N(INDEX('Market Data'!$AH$5:$AH$66,INDEX('Market Data'!$J$5:$J$528,$T139)-4))&gt;0,ISNUMBER('Market Data'!$B$1),N('Market Data'!$B$1)&gt;0),INDEX('Market Data'!$AH$5:$AH$66,INDEX('Market Data'!$J$5:$J$528,$T139)-4)*'Market Data'!$B$1/$E139-1,"pending A/FX"),IF(AND($I139="Snapshot",$Q139="Snapshot",ISNUMBER($E139),$G139=INDEX('Market Data'!$AE$5:$AE$66,INDEX('Market Data'!$J$5:$J$528,$T139)-4)),IFERROR(INDEX('Market Data'!$AC$5:$AC$66,INDEX('Market Data'!$J$5:$J$528,$T139)-4)*INDEX('Market Data'!$AD$5:$AD$66,INDEX('Market Data'!$J$5:$J$528,$T139)-4)/$E139-1,"unavailable"),IF($I139="Unavailable","unavailable","date mismatch"))))))</f>
        <v/>
      </c>
      <c r="N139" s="11">
        <f>IF($T139=0,"",IFERROR(IF(AND(N(INDEX('Market Data'!$F$5:$F$528,$T139))&gt;0,ISNUMBER(INDEX('Market Data'!$T$5:$T$528,$T139))),$E139*INDEX('Market Data'!$T$5:$T$528,$T139)/INDEX('Market Data'!$F$5:$F$528,$T139)-1,"unavailable"),"unavailable"))</f>
        <v/>
      </c>
      <c r="O139" s="9">
        <f>IF($T139=0,"",IF(IF(INDEX('Market Data'!$J$5:$J$528,$T139)=0,0,IF(LEFT(INDEX('Market Data'!$AS$5:$AS$66,INDEX('Market Data'!$J$5:$J$528,$T139)-4),11)="First-month",1,0))=1,"Class ratio review",IF($I139="Bloomberg",IF(ISNUMBER($G139),IF($G139&lt;TODAY(),"Older quote","See quote time"),"Date unavailable"),IF($I139="Snapshot",IF($G139&lt;DATEVALUE("2026-10-02"),"Older snapshot","Dated close"),"No valid quote"))))</f>
        <v/>
      </c>
      <c r="P139" s="14">
        <f>IF($T139=0,"",IF(INDEX('Market Data'!$J$5:$J$528,$T139)=0,"n/a",IF($Q139="Bloomberg",IF(AND(ISNUMBER(INDEX('Market Data'!$AK$5:$AK$66,INDEX('Market Data'!$J$5:$J$528,$T139)-4)),N(INDEX('Market Data'!$AK$5:$AK$66,INDEX('Market Data'!$J$5:$J$528,$T139)-4))&gt;0),INDEX('Market Data'!$AK$5:$AK$66,INDEX('Market Data'!$J$5:$J$528,$T139)-4),"date unavailable"),IF($Q139="Snapshot",IF(AND(ISNUMBER(INDEX('Market Data'!$AF$5:$AF$66,INDEX('Market Data'!$J$5:$J$528,$T139)-4)),N(INDEX('Market Data'!$AF$5:$AF$66,INDEX('Market Data'!$J$5:$J$528,$T139)-4))&gt;0),INDEX('Market Data'!$AF$5:$AF$66,INDEX('Market Data'!$J$5:$J$528,$T139)-4),"date unavailable"),"date unavailable"))))</f>
        <v/>
      </c>
      <c r="Q139" s="15">
        <f>IF($T139=0,"",IF(INDEX('Market Data'!$J$5:$J$528,$T139)=0,"n/a",IF(AND($M$5&lt;&gt;"Snapshot",ISNUMBER(INDEX('Market Data'!$AH$5:$AH$66,INDEX('Market Data'!$J$5:$J$528,$T139)-4)),N(INDEX('Market Data'!$AH$5:$AH$66,INDEX('Market Data'!$J$5:$J$528,$T139)-4))&gt;0),"Bloomberg",IF(AND($M$5&lt;&gt;"Bloomberg",ISNUMBER(INDEX('Market Data'!$AC$5:$AC$66,INDEX('Market Data'!$J$5:$J$528,$T139)-4)),N(INDEX('Market Data'!$AC$5:$AC$66,INDEX('Market Data'!$J$5:$J$528,$T139)-4))&gt;0),"Snapshot","Unavailable"))))</f>
        <v/>
      </c>
      <c r="T139">
        <f>IFERROR(MATCH(131,'Market Data'!$S$5:$S$528,0),0)</f>
        <v/>
      </c>
    </row>
    <row r="140" ht="34" customHeight="1">
      <c r="A140" s="8">
        <f>IF($T140=0,"",IF(INDEX('Market Data'!$A$5:$A$528,$T140)="","",INDEX('Market Data'!$A$5:$A$528,$T140)))</f>
        <v/>
      </c>
      <c r="B140" s="9">
        <f>IF($T140=0,"",IF(INDEX('Market Data'!$B$5:$B$528,$T140)="","",INDEX('Market Data'!$B$5:$B$528,$T140)))</f>
        <v/>
      </c>
      <c r="C140" s="9">
        <f>IF($T140=0,"",IF(INDEX('Market Data'!$C$5:$C$528,$T140)="","",INDEX('Market Data'!$C$5:$C$528,$T140)))</f>
        <v/>
      </c>
      <c r="D140" s="9">
        <f>IF($T140=0,"",IF(INDEX('Market Data'!$D$5:$D$528,$T140)="","",INDEX('Market Data'!$D$5:$D$528,$T140)))</f>
        <v/>
      </c>
      <c r="E140" s="10">
        <f>IF($T140=0,"",INDEX('Market Data'!$O$5:$O$528,$T140))</f>
        <v/>
      </c>
      <c r="F140" s="11">
        <f>IF($T140=0,"",IF(AND($I140="Bloomberg",ISNUMBER(INDEX('Market Data'!$L$5:$L$528,$T140))),INDEX('Market Data'!$L$5:$L$528,$T140),"unavailable"))</f>
        <v/>
      </c>
      <c r="G140" s="12">
        <f>IF($T140=0,"",IF($I140="Bloomberg",IF(AND(ISNUMBER(INDEX('Market Data'!$M$5:$M$528,$T140)),N(INDEX('Market Data'!$M$5:$M$528,$T140))&gt;0),INDEX('Market Data'!$M$5:$M$528,$T140),"date unavailable"),IF($I140="Snapshot",IF(AND(ISNUMBER(INDEX('Market Data'!$H$5:$H$528,$T140)),N(INDEX('Market Data'!$H$5:$H$528,$T140))&gt;0),INDEX('Market Data'!$H$5:$H$528,$T140),"date unavailable"),"date unavailable")))</f>
        <v/>
      </c>
      <c r="H140" s="9">
        <f>IF($T140=0,"",IF($I140="Bloomberg",IF(INDEX('Market Data'!$N$5:$N$528,$T140)="","time unavailable",INDEX('Market Data'!$N$5:$N$528,$T140)),""))</f>
        <v/>
      </c>
      <c r="I140" s="9">
        <f>IF($T140=0,"",INDEX('Market Data'!$P$5:$P$528,$T140))</f>
        <v/>
      </c>
      <c r="J140" s="13">
        <f>IF($T140=0,"",IF(INDEX('Market Data'!$E$5:$E$528,$T140)="","",INDEX('Market Data'!$E$5:$E$528,$T140)))</f>
        <v/>
      </c>
      <c r="K140" s="8">
        <f>IF($T140=0,"",IF(INDEX('Market Data'!$I$5:$I$528,$T140)="","",INDEX('Market Data'!$I$5:$I$528,$T140)))</f>
        <v/>
      </c>
      <c r="L140" s="10">
        <f>IF($T140=0,"",IF(INDEX('Market Data'!$J$5:$J$528,$T140)=0,"n/a",IF(AND($M$5&lt;&gt;"Snapshot",ISNUMBER(INDEX('Market Data'!$AH$5:$AH$66,INDEX('Market Data'!$J$5:$J$528,$T140)-4)),N(INDEX('Market Data'!$AH$5:$AH$66,INDEX('Market Data'!$J$5:$J$528,$T140)-4))&gt;0),INDEX('Market Data'!$AH$5:$AH$66,INDEX('Market Data'!$J$5:$J$528,$T140)-4),IF(AND($M$5&lt;&gt;"Bloomberg",ISNUMBER(INDEX('Market Data'!$AC$5:$AC$66,INDEX('Market Data'!$J$5:$J$528,$T140)-4)),N(INDEX('Market Data'!$AC$5:$AC$66,INDEX('Market Data'!$J$5:$J$528,$T140)-4))&gt;0),INDEX('Market Data'!$AC$5:$AC$66,INDEX('Market Data'!$J$5:$J$528,$T140)-4),"unavailable"))))</f>
        <v/>
      </c>
      <c r="M140" s="11">
        <f>IF($T140=0,"",IF(INDEX('Market Data'!$J$5:$J$528,$T140)=0,"n/a",IF(IF(INDEX('Market Data'!$J$5:$J$528,$T140)=0,0,IF(LEFT(INDEX('Market Data'!$AS$5:$AS$66,INDEX('Market Data'!$J$5:$J$528,$T140)-4),11)="First-month",1,0))=1,"class review",IF($I140="Bloomberg",IF(AND(ISNUMBER(INDEX('Market Data'!$AH$5:$AH$66,INDEX('Market Data'!$J$5:$J$528,$T140)-4)),N(INDEX('Market Data'!$AH$5:$AH$66,INDEX('Market Data'!$J$5:$J$528,$T140)-4))&gt;0,ISNUMBER('Market Data'!$B$1),N('Market Data'!$B$1)&gt;0),INDEX('Market Data'!$AH$5:$AH$66,INDEX('Market Data'!$J$5:$J$528,$T140)-4)*'Market Data'!$B$1/$E140-1,"pending A/FX"),IF(AND($I140="Snapshot",$Q140="Snapshot",ISNUMBER($E140),$G140=INDEX('Market Data'!$AE$5:$AE$66,INDEX('Market Data'!$J$5:$J$528,$T140)-4)),IFERROR(INDEX('Market Data'!$AC$5:$AC$66,INDEX('Market Data'!$J$5:$J$528,$T140)-4)*INDEX('Market Data'!$AD$5:$AD$66,INDEX('Market Data'!$J$5:$J$528,$T140)-4)/$E140-1,"unavailable"),IF($I140="Unavailable","unavailable","date mismatch"))))))</f>
        <v/>
      </c>
      <c r="N140" s="11">
        <f>IF($T140=0,"",IFERROR(IF(AND(N(INDEX('Market Data'!$F$5:$F$528,$T140))&gt;0,ISNUMBER(INDEX('Market Data'!$T$5:$T$528,$T140))),$E140*INDEX('Market Data'!$T$5:$T$528,$T140)/INDEX('Market Data'!$F$5:$F$528,$T140)-1,"unavailable"),"unavailable"))</f>
        <v/>
      </c>
      <c r="O140" s="9">
        <f>IF($T140=0,"",IF(IF(INDEX('Market Data'!$J$5:$J$528,$T140)=0,0,IF(LEFT(INDEX('Market Data'!$AS$5:$AS$66,INDEX('Market Data'!$J$5:$J$528,$T140)-4),11)="First-month",1,0))=1,"Class ratio review",IF($I140="Bloomberg",IF(ISNUMBER($G140),IF($G140&lt;TODAY(),"Older quote","See quote time"),"Date unavailable"),IF($I140="Snapshot",IF($G140&lt;DATEVALUE("2026-10-02"),"Older snapshot","Dated close"),"No valid quote"))))</f>
        <v/>
      </c>
      <c r="P140" s="14">
        <f>IF($T140=0,"",IF(INDEX('Market Data'!$J$5:$J$528,$T140)=0,"n/a",IF($Q140="Bloomberg",IF(AND(ISNUMBER(INDEX('Market Data'!$AK$5:$AK$66,INDEX('Market Data'!$J$5:$J$528,$T140)-4)),N(INDEX('Market Data'!$AK$5:$AK$66,INDEX('Market Data'!$J$5:$J$528,$T140)-4))&gt;0),INDEX('Market Data'!$AK$5:$AK$66,INDEX('Market Data'!$J$5:$J$528,$T140)-4),"date unavailable"),IF($Q140="Snapshot",IF(AND(ISNUMBER(INDEX('Market Data'!$AF$5:$AF$66,INDEX('Market Data'!$J$5:$J$528,$T140)-4)),N(INDEX('Market Data'!$AF$5:$AF$66,INDEX('Market Data'!$J$5:$J$528,$T140)-4))&gt;0),INDEX('Market Data'!$AF$5:$AF$66,INDEX('Market Data'!$J$5:$J$528,$T140)-4),"date unavailable"),"date unavailable"))))</f>
        <v/>
      </c>
      <c r="Q140" s="15">
        <f>IF($T140=0,"",IF(INDEX('Market Data'!$J$5:$J$528,$T140)=0,"n/a",IF(AND($M$5&lt;&gt;"Snapshot",ISNUMBER(INDEX('Market Data'!$AH$5:$AH$66,INDEX('Market Data'!$J$5:$J$528,$T140)-4)),N(INDEX('Market Data'!$AH$5:$AH$66,INDEX('Market Data'!$J$5:$J$528,$T140)-4))&gt;0),"Bloomberg",IF(AND($M$5&lt;&gt;"Bloomberg",ISNUMBER(INDEX('Market Data'!$AC$5:$AC$66,INDEX('Market Data'!$J$5:$J$528,$T140)-4)),N(INDEX('Market Data'!$AC$5:$AC$66,INDEX('Market Data'!$J$5:$J$528,$T140)-4))&gt;0),"Snapshot","Unavailable"))))</f>
        <v/>
      </c>
      <c r="T140">
        <f>IFERROR(MATCH(132,'Market Data'!$S$5:$S$528,0),0)</f>
        <v/>
      </c>
    </row>
    <row r="141" ht="34" customHeight="1">
      <c r="A141" s="8">
        <f>IF($T141=0,"",IF(INDEX('Market Data'!$A$5:$A$528,$T141)="","",INDEX('Market Data'!$A$5:$A$528,$T141)))</f>
        <v/>
      </c>
      <c r="B141" s="9">
        <f>IF($T141=0,"",IF(INDEX('Market Data'!$B$5:$B$528,$T141)="","",INDEX('Market Data'!$B$5:$B$528,$T141)))</f>
        <v/>
      </c>
      <c r="C141" s="9">
        <f>IF($T141=0,"",IF(INDEX('Market Data'!$C$5:$C$528,$T141)="","",INDEX('Market Data'!$C$5:$C$528,$T141)))</f>
        <v/>
      </c>
      <c r="D141" s="9">
        <f>IF($T141=0,"",IF(INDEX('Market Data'!$D$5:$D$528,$T141)="","",INDEX('Market Data'!$D$5:$D$528,$T141)))</f>
        <v/>
      </c>
      <c r="E141" s="10">
        <f>IF($T141=0,"",INDEX('Market Data'!$O$5:$O$528,$T141))</f>
        <v/>
      </c>
      <c r="F141" s="11">
        <f>IF($T141=0,"",IF(AND($I141="Bloomberg",ISNUMBER(INDEX('Market Data'!$L$5:$L$528,$T141))),INDEX('Market Data'!$L$5:$L$528,$T141),"unavailable"))</f>
        <v/>
      </c>
      <c r="G141" s="12">
        <f>IF($T141=0,"",IF($I141="Bloomberg",IF(AND(ISNUMBER(INDEX('Market Data'!$M$5:$M$528,$T141)),N(INDEX('Market Data'!$M$5:$M$528,$T141))&gt;0),INDEX('Market Data'!$M$5:$M$528,$T141),"date unavailable"),IF($I141="Snapshot",IF(AND(ISNUMBER(INDEX('Market Data'!$H$5:$H$528,$T141)),N(INDEX('Market Data'!$H$5:$H$528,$T141))&gt;0),INDEX('Market Data'!$H$5:$H$528,$T141),"date unavailable"),"date unavailable")))</f>
        <v/>
      </c>
      <c r="H141" s="9">
        <f>IF($T141=0,"",IF($I141="Bloomberg",IF(INDEX('Market Data'!$N$5:$N$528,$T141)="","time unavailable",INDEX('Market Data'!$N$5:$N$528,$T141)),""))</f>
        <v/>
      </c>
      <c r="I141" s="9">
        <f>IF($T141=0,"",INDEX('Market Data'!$P$5:$P$528,$T141))</f>
        <v/>
      </c>
      <c r="J141" s="13">
        <f>IF($T141=0,"",IF(INDEX('Market Data'!$E$5:$E$528,$T141)="","",INDEX('Market Data'!$E$5:$E$528,$T141)))</f>
        <v/>
      </c>
      <c r="K141" s="8">
        <f>IF($T141=0,"",IF(INDEX('Market Data'!$I$5:$I$528,$T141)="","",INDEX('Market Data'!$I$5:$I$528,$T141)))</f>
        <v/>
      </c>
      <c r="L141" s="10">
        <f>IF($T141=0,"",IF(INDEX('Market Data'!$J$5:$J$528,$T141)=0,"n/a",IF(AND($M$5&lt;&gt;"Snapshot",ISNUMBER(INDEX('Market Data'!$AH$5:$AH$66,INDEX('Market Data'!$J$5:$J$528,$T141)-4)),N(INDEX('Market Data'!$AH$5:$AH$66,INDEX('Market Data'!$J$5:$J$528,$T141)-4))&gt;0),INDEX('Market Data'!$AH$5:$AH$66,INDEX('Market Data'!$J$5:$J$528,$T141)-4),IF(AND($M$5&lt;&gt;"Bloomberg",ISNUMBER(INDEX('Market Data'!$AC$5:$AC$66,INDEX('Market Data'!$J$5:$J$528,$T141)-4)),N(INDEX('Market Data'!$AC$5:$AC$66,INDEX('Market Data'!$J$5:$J$528,$T141)-4))&gt;0),INDEX('Market Data'!$AC$5:$AC$66,INDEX('Market Data'!$J$5:$J$528,$T141)-4),"unavailable"))))</f>
        <v/>
      </c>
      <c r="M141" s="11">
        <f>IF($T141=0,"",IF(INDEX('Market Data'!$J$5:$J$528,$T141)=0,"n/a",IF(IF(INDEX('Market Data'!$J$5:$J$528,$T141)=0,0,IF(LEFT(INDEX('Market Data'!$AS$5:$AS$66,INDEX('Market Data'!$J$5:$J$528,$T141)-4),11)="First-month",1,0))=1,"class review",IF($I141="Bloomberg",IF(AND(ISNUMBER(INDEX('Market Data'!$AH$5:$AH$66,INDEX('Market Data'!$J$5:$J$528,$T141)-4)),N(INDEX('Market Data'!$AH$5:$AH$66,INDEX('Market Data'!$J$5:$J$528,$T141)-4))&gt;0,ISNUMBER('Market Data'!$B$1),N('Market Data'!$B$1)&gt;0),INDEX('Market Data'!$AH$5:$AH$66,INDEX('Market Data'!$J$5:$J$528,$T141)-4)*'Market Data'!$B$1/$E141-1,"pending A/FX"),IF(AND($I141="Snapshot",$Q141="Snapshot",ISNUMBER($E141),$G141=INDEX('Market Data'!$AE$5:$AE$66,INDEX('Market Data'!$J$5:$J$528,$T141)-4)),IFERROR(INDEX('Market Data'!$AC$5:$AC$66,INDEX('Market Data'!$J$5:$J$528,$T141)-4)*INDEX('Market Data'!$AD$5:$AD$66,INDEX('Market Data'!$J$5:$J$528,$T141)-4)/$E141-1,"unavailable"),IF($I141="Unavailable","unavailable","date mismatch"))))))</f>
        <v/>
      </c>
      <c r="N141" s="11">
        <f>IF($T141=0,"",IFERROR(IF(AND(N(INDEX('Market Data'!$F$5:$F$528,$T141))&gt;0,ISNUMBER(INDEX('Market Data'!$T$5:$T$528,$T141))),$E141*INDEX('Market Data'!$T$5:$T$528,$T141)/INDEX('Market Data'!$F$5:$F$528,$T141)-1,"unavailable"),"unavailable"))</f>
        <v/>
      </c>
      <c r="O141" s="9">
        <f>IF($T141=0,"",IF(IF(INDEX('Market Data'!$J$5:$J$528,$T141)=0,0,IF(LEFT(INDEX('Market Data'!$AS$5:$AS$66,INDEX('Market Data'!$J$5:$J$528,$T141)-4),11)="First-month",1,0))=1,"Class ratio review",IF($I141="Bloomberg",IF(ISNUMBER($G141),IF($G141&lt;TODAY(),"Older quote","See quote time"),"Date unavailable"),IF($I141="Snapshot",IF($G141&lt;DATEVALUE("2026-10-02"),"Older snapshot","Dated close"),"No valid quote"))))</f>
        <v/>
      </c>
      <c r="P141" s="14">
        <f>IF($T141=0,"",IF(INDEX('Market Data'!$J$5:$J$528,$T141)=0,"n/a",IF($Q141="Bloomberg",IF(AND(ISNUMBER(INDEX('Market Data'!$AK$5:$AK$66,INDEX('Market Data'!$J$5:$J$528,$T141)-4)),N(INDEX('Market Data'!$AK$5:$AK$66,INDEX('Market Data'!$J$5:$J$528,$T141)-4))&gt;0),INDEX('Market Data'!$AK$5:$AK$66,INDEX('Market Data'!$J$5:$J$528,$T141)-4),"date unavailable"),IF($Q141="Snapshot",IF(AND(ISNUMBER(INDEX('Market Data'!$AF$5:$AF$66,INDEX('Market Data'!$J$5:$J$528,$T141)-4)),N(INDEX('Market Data'!$AF$5:$AF$66,INDEX('Market Data'!$J$5:$J$528,$T141)-4))&gt;0),INDEX('Market Data'!$AF$5:$AF$66,INDEX('Market Data'!$J$5:$J$528,$T141)-4),"date unavailable"),"date unavailable"))))</f>
        <v/>
      </c>
      <c r="Q141" s="15">
        <f>IF($T141=0,"",IF(INDEX('Market Data'!$J$5:$J$528,$T141)=0,"n/a",IF(AND($M$5&lt;&gt;"Snapshot",ISNUMBER(INDEX('Market Data'!$AH$5:$AH$66,INDEX('Market Data'!$J$5:$J$528,$T141)-4)),N(INDEX('Market Data'!$AH$5:$AH$66,INDEX('Market Data'!$J$5:$J$528,$T141)-4))&gt;0),"Bloomberg",IF(AND($M$5&lt;&gt;"Bloomberg",ISNUMBER(INDEX('Market Data'!$AC$5:$AC$66,INDEX('Market Data'!$J$5:$J$528,$T141)-4)),N(INDEX('Market Data'!$AC$5:$AC$66,INDEX('Market Data'!$J$5:$J$528,$T141)-4))&gt;0),"Snapshot","Unavailable"))))</f>
        <v/>
      </c>
      <c r="T141">
        <f>IFERROR(MATCH(133,'Market Data'!$S$5:$S$528,0),0)</f>
        <v/>
      </c>
    </row>
    <row r="142" ht="34" customHeight="1">
      <c r="A142" s="8">
        <f>IF($T142=0,"",IF(INDEX('Market Data'!$A$5:$A$528,$T142)="","",INDEX('Market Data'!$A$5:$A$528,$T142)))</f>
        <v/>
      </c>
      <c r="B142" s="9">
        <f>IF($T142=0,"",IF(INDEX('Market Data'!$B$5:$B$528,$T142)="","",INDEX('Market Data'!$B$5:$B$528,$T142)))</f>
        <v/>
      </c>
      <c r="C142" s="9">
        <f>IF($T142=0,"",IF(INDEX('Market Data'!$C$5:$C$528,$T142)="","",INDEX('Market Data'!$C$5:$C$528,$T142)))</f>
        <v/>
      </c>
      <c r="D142" s="9">
        <f>IF($T142=0,"",IF(INDEX('Market Data'!$D$5:$D$528,$T142)="","",INDEX('Market Data'!$D$5:$D$528,$T142)))</f>
        <v/>
      </c>
      <c r="E142" s="10">
        <f>IF($T142=0,"",INDEX('Market Data'!$O$5:$O$528,$T142))</f>
        <v/>
      </c>
      <c r="F142" s="11">
        <f>IF($T142=0,"",IF(AND($I142="Bloomberg",ISNUMBER(INDEX('Market Data'!$L$5:$L$528,$T142))),INDEX('Market Data'!$L$5:$L$528,$T142),"unavailable"))</f>
        <v/>
      </c>
      <c r="G142" s="12">
        <f>IF($T142=0,"",IF($I142="Bloomberg",IF(AND(ISNUMBER(INDEX('Market Data'!$M$5:$M$528,$T142)),N(INDEX('Market Data'!$M$5:$M$528,$T142))&gt;0),INDEX('Market Data'!$M$5:$M$528,$T142),"date unavailable"),IF($I142="Snapshot",IF(AND(ISNUMBER(INDEX('Market Data'!$H$5:$H$528,$T142)),N(INDEX('Market Data'!$H$5:$H$528,$T142))&gt;0),INDEX('Market Data'!$H$5:$H$528,$T142),"date unavailable"),"date unavailable")))</f>
        <v/>
      </c>
      <c r="H142" s="9">
        <f>IF($T142=0,"",IF($I142="Bloomberg",IF(INDEX('Market Data'!$N$5:$N$528,$T142)="","time unavailable",INDEX('Market Data'!$N$5:$N$528,$T142)),""))</f>
        <v/>
      </c>
      <c r="I142" s="9">
        <f>IF($T142=0,"",INDEX('Market Data'!$P$5:$P$528,$T142))</f>
        <v/>
      </c>
      <c r="J142" s="13">
        <f>IF($T142=0,"",IF(INDEX('Market Data'!$E$5:$E$528,$T142)="","",INDEX('Market Data'!$E$5:$E$528,$T142)))</f>
        <v/>
      </c>
      <c r="K142" s="8">
        <f>IF($T142=0,"",IF(INDEX('Market Data'!$I$5:$I$528,$T142)="","",INDEX('Market Data'!$I$5:$I$528,$T142)))</f>
        <v/>
      </c>
      <c r="L142" s="10">
        <f>IF($T142=0,"",IF(INDEX('Market Data'!$J$5:$J$528,$T142)=0,"n/a",IF(AND($M$5&lt;&gt;"Snapshot",ISNUMBER(INDEX('Market Data'!$AH$5:$AH$66,INDEX('Market Data'!$J$5:$J$528,$T142)-4)),N(INDEX('Market Data'!$AH$5:$AH$66,INDEX('Market Data'!$J$5:$J$528,$T142)-4))&gt;0),INDEX('Market Data'!$AH$5:$AH$66,INDEX('Market Data'!$J$5:$J$528,$T142)-4),IF(AND($M$5&lt;&gt;"Bloomberg",ISNUMBER(INDEX('Market Data'!$AC$5:$AC$66,INDEX('Market Data'!$J$5:$J$528,$T142)-4)),N(INDEX('Market Data'!$AC$5:$AC$66,INDEX('Market Data'!$J$5:$J$528,$T142)-4))&gt;0),INDEX('Market Data'!$AC$5:$AC$66,INDEX('Market Data'!$J$5:$J$528,$T142)-4),"unavailable"))))</f>
        <v/>
      </c>
      <c r="M142" s="11">
        <f>IF($T142=0,"",IF(INDEX('Market Data'!$J$5:$J$528,$T142)=0,"n/a",IF(IF(INDEX('Market Data'!$J$5:$J$528,$T142)=0,0,IF(LEFT(INDEX('Market Data'!$AS$5:$AS$66,INDEX('Market Data'!$J$5:$J$528,$T142)-4),11)="First-month",1,0))=1,"class review",IF($I142="Bloomberg",IF(AND(ISNUMBER(INDEX('Market Data'!$AH$5:$AH$66,INDEX('Market Data'!$J$5:$J$528,$T142)-4)),N(INDEX('Market Data'!$AH$5:$AH$66,INDEX('Market Data'!$J$5:$J$528,$T142)-4))&gt;0,ISNUMBER('Market Data'!$B$1),N('Market Data'!$B$1)&gt;0),INDEX('Market Data'!$AH$5:$AH$66,INDEX('Market Data'!$J$5:$J$528,$T142)-4)*'Market Data'!$B$1/$E142-1,"pending A/FX"),IF(AND($I142="Snapshot",$Q142="Snapshot",ISNUMBER($E142),$G142=INDEX('Market Data'!$AE$5:$AE$66,INDEX('Market Data'!$J$5:$J$528,$T142)-4)),IFERROR(INDEX('Market Data'!$AC$5:$AC$66,INDEX('Market Data'!$J$5:$J$528,$T142)-4)*INDEX('Market Data'!$AD$5:$AD$66,INDEX('Market Data'!$J$5:$J$528,$T142)-4)/$E142-1,"unavailable"),IF($I142="Unavailable","unavailable","date mismatch"))))))</f>
        <v/>
      </c>
      <c r="N142" s="11">
        <f>IF($T142=0,"",IFERROR(IF(AND(N(INDEX('Market Data'!$F$5:$F$528,$T142))&gt;0,ISNUMBER(INDEX('Market Data'!$T$5:$T$528,$T142))),$E142*INDEX('Market Data'!$T$5:$T$528,$T142)/INDEX('Market Data'!$F$5:$F$528,$T142)-1,"unavailable"),"unavailable"))</f>
        <v/>
      </c>
      <c r="O142" s="9">
        <f>IF($T142=0,"",IF(IF(INDEX('Market Data'!$J$5:$J$528,$T142)=0,0,IF(LEFT(INDEX('Market Data'!$AS$5:$AS$66,INDEX('Market Data'!$J$5:$J$528,$T142)-4),11)="First-month",1,0))=1,"Class ratio review",IF($I142="Bloomberg",IF(ISNUMBER($G142),IF($G142&lt;TODAY(),"Older quote","See quote time"),"Date unavailable"),IF($I142="Snapshot",IF($G142&lt;DATEVALUE("2026-10-02"),"Older snapshot","Dated close"),"No valid quote"))))</f>
        <v/>
      </c>
      <c r="P142" s="14">
        <f>IF($T142=0,"",IF(INDEX('Market Data'!$J$5:$J$528,$T142)=0,"n/a",IF($Q142="Bloomberg",IF(AND(ISNUMBER(INDEX('Market Data'!$AK$5:$AK$66,INDEX('Market Data'!$J$5:$J$528,$T142)-4)),N(INDEX('Market Data'!$AK$5:$AK$66,INDEX('Market Data'!$J$5:$J$528,$T142)-4))&gt;0),INDEX('Market Data'!$AK$5:$AK$66,INDEX('Market Data'!$J$5:$J$528,$T142)-4),"date unavailable"),IF($Q142="Snapshot",IF(AND(ISNUMBER(INDEX('Market Data'!$AF$5:$AF$66,INDEX('Market Data'!$J$5:$J$528,$T142)-4)),N(INDEX('Market Data'!$AF$5:$AF$66,INDEX('Market Data'!$J$5:$J$528,$T142)-4))&gt;0),INDEX('Market Data'!$AF$5:$AF$66,INDEX('Market Data'!$J$5:$J$528,$T142)-4),"date unavailable"),"date unavailable"))))</f>
        <v/>
      </c>
      <c r="Q142" s="15">
        <f>IF($T142=0,"",IF(INDEX('Market Data'!$J$5:$J$528,$T142)=0,"n/a",IF(AND($M$5&lt;&gt;"Snapshot",ISNUMBER(INDEX('Market Data'!$AH$5:$AH$66,INDEX('Market Data'!$J$5:$J$528,$T142)-4)),N(INDEX('Market Data'!$AH$5:$AH$66,INDEX('Market Data'!$J$5:$J$528,$T142)-4))&gt;0),"Bloomberg",IF(AND($M$5&lt;&gt;"Bloomberg",ISNUMBER(INDEX('Market Data'!$AC$5:$AC$66,INDEX('Market Data'!$J$5:$J$528,$T142)-4)),N(INDEX('Market Data'!$AC$5:$AC$66,INDEX('Market Data'!$J$5:$J$528,$T142)-4))&gt;0),"Snapshot","Unavailable"))))</f>
        <v/>
      </c>
      <c r="T142">
        <f>IFERROR(MATCH(134,'Market Data'!$S$5:$S$528,0),0)</f>
        <v/>
      </c>
    </row>
    <row r="143" ht="34" customHeight="1">
      <c r="A143" s="8">
        <f>IF($T143=0,"",IF(INDEX('Market Data'!$A$5:$A$528,$T143)="","",INDEX('Market Data'!$A$5:$A$528,$T143)))</f>
        <v/>
      </c>
      <c r="B143" s="9">
        <f>IF($T143=0,"",IF(INDEX('Market Data'!$B$5:$B$528,$T143)="","",INDEX('Market Data'!$B$5:$B$528,$T143)))</f>
        <v/>
      </c>
      <c r="C143" s="9">
        <f>IF($T143=0,"",IF(INDEX('Market Data'!$C$5:$C$528,$T143)="","",INDEX('Market Data'!$C$5:$C$528,$T143)))</f>
        <v/>
      </c>
      <c r="D143" s="9">
        <f>IF($T143=0,"",IF(INDEX('Market Data'!$D$5:$D$528,$T143)="","",INDEX('Market Data'!$D$5:$D$528,$T143)))</f>
        <v/>
      </c>
      <c r="E143" s="10">
        <f>IF($T143=0,"",INDEX('Market Data'!$O$5:$O$528,$T143))</f>
        <v/>
      </c>
      <c r="F143" s="11">
        <f>IF($T143=0,"",IF(AND($I143="Bloomberg",ISNUMBER(INDEX('Market Data'!$L$5:$L$528,$T143))),INDEX('Market Data'!$L$5:$L$528,$T143),"unavailable"))</f>
        <v/>
      </c>
      <c r="G143" s="12">
        <f>IF($T143=0,"",IF($I143="Bloomberg",IF(AND(ISNUMBER(INDEX('Market Data'!$M$5:$M$528,$T143)),N(INDEX('Market Data'!$M$5:$M$528,$T143))&gt;0),INDEX('Market Data'!$M$5:$M$528,$T143),"date unavailable"),IF($I143="Snapshot",IF(AND(ISNUMBER(INDEX('Market Data'!$H$5:$H$528,$T143)),N(INDEX('Market Data'!$H$5:$H$528,$T143))&gt;0),INDEX('Market Data'!$H$5:$H$528,$T143),"date unavailable"),"date unavailable")))</f>
        <v/>
      </c>
      <c r="H143" s="9">
        <f>IF($T143=0,"",IF($I143="Bloomberg",IF(INDEX('Market Data'!$N$5:$N$528,$T143)="","time unavailable",INDEX('Market Data'!$N$5:$N$528,$T143)),""))</f>
        <v/>
      </c>
      <c r="I143" s="9">
        <f>IF($T143=0,"",INDEX('Market Data'!$P$5:$P$528,$T143))</f>
        <v/>
      </c>
      <c r="J143" s="13">
        <f>IF($T143=0,"",IF(INDEX('Market Data'!$E$5:$E$528,$T143)="","",INDEX('Market Data'!$E$5:$E$528,$T143)))</f>
        <v/>
      </c>
      <c r="K143" s="8">
        <f>IF($T143=0,"",IF(INDEX('Market Data'!$I$5:$I$528,$T143)="","",INDEX('Market Data'!$I$5:$I$528,$T143)))</f>
        <v/>
      </c>
      <c r="L143" s="10">
        <f>IF($T143=0,"",IF(INDEX('Market Data'!$J$5:$J$528,$T143)=0,"n/a",IF(AND($M$5&lt;&gt;"Snapshot",ISNUMBER(INDEX('Market Data'!$AH$5:$AH$66,INDEX('Market Data'!$J$5:$J$528,$T143)-4)),N(INDEX('Market Data'!$AH$5:$AH$66,INDEX('Market Data'!$J$5:$J$528,$T143)-4))&gt;0),INDEX('Market Data'!$AH$5:$AH$66,INDEX('Market Data'!$J$5:$J$528,$T143)-4),IF(AND($M$5&lt;&gt;"Bloomberg",ISNUMBER(INDEX('Market Data'!$AC$5:$AC$66,INDEX('Market Data'!$J$5:$J$528,$T143)-4)),N(INDEX('Market Data'!$AC$5:$AC$66,INDEX('Market Data'!$J$5:$J$528,$T143)-4))&gt;0),INDEX('Market Data'!$AC$5:$AC$66,INDEX('Market Data'!$J$5:$J$528,$T143)-4),"unavailable"))))</f>
        <v/>
      </c>
      <c r="M143" s="11">
        <f>IF($T143=0,"",IF(INDEX('Market Data'!$J$5:$J$528,$T143)=0,"n/a",IF(IF(INDEX('Market Data'!$J$5:$J$528,$T143)=0,0,IF(LEFT(INDEX('Market Data'!$AS$5:$AS$66,INDEX('Market Data'!$J$5:$J$528,$T143)-4),11)="First-month",1,0))=1,"class review",IF($I143="Bloomberg",IF(AND(ISNUMBER(INDEX('Market Data'!$AH$5:$AH$66,INDEX('Market Data'!$J$5:$J$528,$T143)-4)),N(INDEX('Market Data'!$AH$5:$AH$66,INDEX('Market Data'!$J$5:$J$528,$T143)-4))&gt;0,ISNUMBER('Market Data'!$B$1),N('Market Data'!$B$1)&gt;0),INDEX('Market Data'!$AH$5:$AH$66,INDEX('Market Data'!$J$5:$J$528,$T143)-4)*'Market Data'!$B$1/$E143-1,"pending A/FX"),IF(AND($I143="Snapshot",$Q143="Snapshot",ISNUMBER($E143),$G143=INDEX('Market Data'!$AE$5:$AE$66,INDEX('Market Data'!$J$5:$J$528,$T143)-4)),IFERROR(INDEX('Market Data'!$AC$5:$AC$66,INDEX('Market Data'!$J$5:$J$528,$T143)-4)*INDEX('Market Data'!$AD$5:$AD$66,INDEX('Market Data'!$J$5:$J$528,$T143)-4)/$E143-1,"unavailable"),IF($I143="Unavailable","unavailable","date mismatch"))))))</f>
        <v/>
      </c>
      <c r="N143" s="11">
        <f>IF($T143=0,"",IFERROR(IF(AND(N(INDEX('Market Data'!$F$5:$F$528,$T143))&gt;0,ISNUMBER(INDEX('Market Data'!$T$5:$T$528,$T143))),$E143*INDEX('Market Data'!$T$5:$T$528,$T143)/INDEX('Market Data'!$F$5:$F$528,$T143)-1,"unavailable"),"unavailable"))</f>
        <v/>
      </c>
      <c r="O143" s="9">
        <f>IF($T143=0,"",IF(IF(INDEX('Market Data'!$J$5:$J$528,$T143)=0,0,IF(LEFT(INDEX('Market Data'!$AS$5:$AS$66,INDEX('Market Data'!$J$5:$J$528,$T143)-4),11)="First-month",1,0))=1,"Class ratio review",IF($I143="Bloomberg",IF(ISNUMBER($G143),IF($G143&lt;TODAY(),"Older quote","See quote time"),"Date unavailable"),IF($I143="Snapshot",IF($G143&lt;DATEVALUE("2026-10-02"),"Older snapshot","Dated close"),"No valid quote"))))</f>
        <v/>
      </c>
      <c r="P143" s="14">
        <f>IF($T143=0,"",IF(INDEX('Market Data'!$J$5:$J$528,$T143)=0,"n/a",IF($Q143="Bloomberg",IF(AND(ISNUMBER(INDEX('Market Data'!$AK$5:$AK$66,INDEX('Market Data'!$J$5:$J$528,$T143)-4)),N(INDEX('Market Data'!$AK$5:$AK$66,INDEX('Market Data'!$J$5:$J$528,$T143)-4))&gt;0),INDEX('Market Data'!$AK$5:$AK$66,INDEX('Market Data'!$J$5:$J$528,$T143)-4),"date unavailable"),IF($Q143="Snapshot",IF(AND(ISNUMBER(INDEX('Market Data'!$AF$5:$AF$66,INDEX('Market Data'!$J$5:$J$528,$T143)-4)),N(INDEX('Market Data'!$AF$5:$AF$66,INDEX('Market Data'!$J$5:$J$528,$T143)-4))&gt;0),INDEX('Market Data'!$AF$5:$AF$66,INDEX('Market Data'!$J$5:$J$528,$T143)-4),"date unavailable"),"date unavailable"))))</f>
        <v/>
      </c>
      <c r="Q143" s="15">
        <f>IF($T143=0,"",IF(INDEX('Market Data'!$J$5:$J$528,$T143)=0,"n/a",IF(AND($M$5&lt;&gt;"Snapshot",ISNUMBER(INDEX('Market Data'!$AH$5:$AH$66,INDEX('Market Data'!$J$5:$J$528,$T143)-4)),N(INDEX('Market Data'!$AH$5:$AH$66,INDEX('Market Data'!$J$5:$J$528,$T143)-4))&gt;0),"Bloomberg",IF(AND($M$5&lt;&gt;"Bloomberg",ISNUMBER(INDEX('Market Data'!$AC$5:$AC$66,INDEX('Market Data'!$J$5:$J$528,$T143)-4)),N(INDEX('Market Data'!$AC$5:$AC$66,INDEX('Market Data'!$J$5:$J$528,$T143)-4))&gt;0),"Snapshot","Unavailable"))))</f>
        <v/>
      </c>
      <c r="T143">
        <f>IFERROR(MATCH(135,'Market Data'!$S$5:$S$528,0),0)</f>
        <v/>
      </c>
    </row>
    <row r="144" ht="34" customHeight="1">
      <c r="A144" s="8">
        <f>IF($T144=0,"",IF(INDEX('Market Data'!$A$5:$A$528,$T144)="","",INDEX('Market Data'!$A$5:$A$528,$T144)))</f>
        <v/>
      </c>
      <c r="B144" s="9">
        <f>IF($T144=0,"",IF(INDEX('Market Data'!$B$5:$B$528,$T144)="","",INDEX('Market Data'!$B$5:$B$528,$T144)))</f>
        <v/>
      </c>
      <c r="C144" s="9">
        <f>IF($T144=0,"",IF(INDEX('Market Data'!$C$5:$C$528,$T144)="","",INDEX('Market Data'!$C$5:$C$528,$T144)))</f>
        <v/>
      </c>
      <c r="D144" s="9">
        <f>IF($T144=0,"",IF(INDEX('Market Data'!$D$5:$D$528,$T144)="","",INDEX('Market Data'!$D$5:$D$528,$T144)))</f>
        <v/>
      </c>
      <c r="E144" s="10">
        <f>IF($T144=0,"",INDEX('Market Data'!$O$5:$O$528,$T144))</f>
        <v/>
      </c>
      <c r="F144" s="11">
        <f>IF($T144=0,"",IF(AND($I144="Bloomberg",ISNUMBER(INDEX('Market Data'!$L$5:$L$528,$T144))),INDEX('Market Data'!$L$5:$L$528,$T144),"unavailable"))</f>
        <v/>
      </c>
      <c r="G144" s="12">
        <f>IF($T144=0,"",IF($I144="Bloomberg",IF(AND(ISNUMBER(INDEX('Market Data'!$M$5:$M$528,$T144)),N(INDEX('Market Data'!$M$5:$M$528,$T144))&gt;0),INDEX('Market Data'!$M$5:$M$528,$T144),"date unavailable"),IF($I144="Snapshot",IF(AND(ISNUMBER(INDEX('Market Data'!$H$5:$H$528,$T144)),N(INDEX('Market Data'!$H$5:$H$528,$T144))&gt;0),INDEX('Market Data'!$H$5:$H$528,$T144),"date unavailable"),"date unavailable")))</f>
        <v/>
      </c>
      <c r="H144" s="9">
        <f>IF($T144=0,"",IF($I144="Bloomberg",IF(INDEX('Market Data'!$N$5:$N$528,$T144)="","time unavailable",INDEX('Market Data'!$N$5:$N$528,$T144)),""))</f>
        <v/>
      </c>
      <c r="I144" s="9">
        <f>IF($T144=0,"",INDEX('Market Data'!$P$5:$P$528,$T144))</f>
        <v/>
      </c>
      <c r="J144" s="13">
        <f>IF($T144=0,"",IF(INDEX('Market Data'!$E$5:$E$528,$T144)="","",INDEX('Market Data'!$E$5:$E$528,$T144)))</f>
        <v/>
      </c>
      <c r="K144" s="8">
        <f>IF($T144=0,"",IF(INDEX('Market Data'!$I$5:$I$528,$T144)="","",INDEX('Market Data'!$I$5:$I$528,$T144)))</f>
        <v/>
      </c>
      <c r="L144" s="10">
        <f>IF($T144=0,"",IF(INDEX('Market Data'!$J$5:$J$528,$T144)=0,"n/a",IF(AND($M$5&lt;&gt;"Snapshot",ISNUMBER(INDEX('Market Data'!$AH$5:$AH$66,INDEX('Market Data'!$J$5:$J$528,$T144)-4)),N(INDEX('Market Data'!$AH$5:$AH$66,INDEX('Market Data'!$J$5:$J$528,$T144)-4))&gt;0),INDEX('Market Data'!$AH$5:$AH$66,INDEX('Market Data'!$J$5:$J$528,$T144)-4),IF(AND($M$5&lt;&gt;"Bloomberg",ISNUMBER(INDEX('Market Data'!$AC$5:$AC$66,INDEX('Market Data'!$J$5:$J$528,$T144)-4)),N(INDEX('Market Data'!$AC$5:$AC$66,INDEX('Market Data'!$J$5:$J$528,$T144)-4))&gt;0),INDEX('Market Data'!$AC$5:$AC$66,INDEX('Market Data'!$J$5:$J$528,$T144)-4),"unavailable"))))</f>
        <v/>
      </c>
      <c r="M144" s="11">
        <f>IF($T144=0,"",IF(INDEX('Market Data'!$J$5:$J$528,$T144)=0,"n/a",IF(IF(INDEX('Market Data'!$J$5:$J$528,$T144)=0,0,IF(LEFT(INDEX('Market Data'!$AS$5:$AS$66,INDEX('Market Data'!$J$5:$J$528,$T144)-4),11)="First-month",1,0))=1,"class review",IF($I144="Bloomberg",IF(AND(ISNUMBER(INDEX('Market Data'!$AH$5:$AH$66,INDEX('Market Data'!$J$5:$J$528,$T144)-4)),N(INDEX('Market Data'!$AH$5:$AH$66,INDEX('Market Data'!$J$5:$J$528,$T144)-4))&gt;0,ISNUMBER('Market Data'!$B$1),N('Market Data'!$B$1)&gt;0),INDEX('Market Data'!$AH$5:$AH$66,INDEX('Market Data'!$J$5:$J$528,$T144)-4)*'Market Data'!$B$1/$E144-1,"pending A/FX"),IF(AND($I144="Snapshot",$Q144="Snapshot",ISNUMBER($E144),$G144=INDEX('Market Data'!$AE$5:$AE$66,INDEX('Market Data'!$J$5:$J$528,$T144)-4)),IFERROR(INDEX('Market Data'!$AC$5:$AC$66,INDEX('Market Data'!$J$5:$J$528,$T144)-4)*INDEX('Market Data'!$AD$5:$AD$66,INDEX('Market Data'!$J$5:$J$528,$T144)-4)/$E144-1,"unavailable"),IF($I144="Unavailable","unavailable","date mismatch"))))))</f>
        <v/>
      </c>
      <c r="N144" s="11">
        <f>IF($T144=0,"",IFERROR(IF(AND(N(INDEX('Market Data'!$F$5:$F$528,$T144))&gt;0,ISNUMBER(INDEX('Market Data'!$T$5:$T$528,$T144))),$E144*INDEX('Market Data'!$T$5:$T$528,$T144)/INDEX('Market Data'!$F$5:$F$528,$T144)-1,"unavailable"),"unavailable"))</f>
        <v/>
      </c>
      <c r="O144" s="9">
        <f>IF($T144=0,"",IF(IF(INDEX('Market Data'!$J$5:$J$528,$T144)=0,0,IF(LEFT(INDEX('Market Data'!$AS$5:$AS$66,INDEX('Market Data'!$J$5:$J$528,$T144)-4),11)="First-month",1,0))=1,"Class ratio review",IF($I144="Bloomberg",IF(ISNUMBER($G144),IF($G144&lt;TODAY(),"Older quote","See quote time"),"Date unavailable"),IF($I144="Snapshot",IF($G144&lt;DATEVALUE("2026-10-02"),"Older snapshot","Dated close"),"No valid quote"))))</f>
        <v/>
      </c>
      <c r="P144" s="14">
        <f>IF($T144=0,"",IF(INDEX('Market Data'!$J$5:$J$528,$T144)=0,"n/a",IF($Q144="Bloomberg",IF(AND(ISNUMBER(INDEX('Market Data'!$AK$5:$AK$66,INDEX('Market Data'!$J$5:$J$528,$T144)-4)),N(INDEX('Market Data'!$AK$5:$AK$66,INDEX('Market Data'!$J$5:$J$528,$T144)-4))&gt;0),INDEX('Market Data'!$AK$5:$AK$66,INDEX('Market Data'!$J$5:$J$528,$T144)-4),"date unavailable"),IF($Q144="Snapshot",IF(AND(ISNUMBER(INDEX('Market Data'!$AF$5:$AF$66,INDEX('Market Data'!$J$5:$J$528,$T144)-4)),N(INDEX('Market Data'!$AF$5:$AF$66,INDEX('Market Data'!$J$5:$J$528,$T144)-4))&gt;0),INDEX('Market Data'!$AF$5:$AF$66,INDEX('Market Data'!$J$5:$J$528,$T144)-4),"date unavailable"),"date unavailable"))))</f>
        <v/>
      </c>
      <c r="Q144" s="15">
        <f>IF($T144=0,"",IF(INDEX('Market Data'!$J$5:$J$528,$T144)=0,"n/a",IF(AND($M$5&lt;&gt;"Snapshot",ISNUMBER(INDEX('Market Data'!$AH$5:$AH$66,INDEX('Market Data'!$J$5:$J$528,$T144)-4)),N(INDEX('Market Data'!$AH$5:$AH$66,INDEX('Market Data'!$J$5:$J$528,$T144)-4))&gt;0),"Bloomberg",IF(AND($M$5&lt;&gt;"Bloomberg",ISNUMBER(INDEX('Market Data'!$AC$5:$AC$66,INDEX('Market Data'!$J$5:$J$528,$T144)-4)),N(INDEX('Market Data'!$AC$5:$AC$66,INDEX('Market Data'!$J$5:$J$528,$T144)-4))&gt;0),"Snapshot","Unavailable"))))</f>
        <v/>
      </c>
      <c r="T144">
        <f>IFERROR(MATCH(136,'Market Data'!$S$5:$S$528,0),0)</f>
        <v/>
      </c>
    </row>
    <row r="145" ht="34" customHeight="1">
      <c r="A145" s="8">
        <f>IF($T145=0,"",IF(INDEX('Market Data'!$A$5:$A$528,$T145)="","",INDEX('Market Data'!$A$5:$A$528,$T145)))</f>
        <v/>
      </c>
      <c r="B145" s="9">
        <f>IF($T145=0,"",IF(INDEX('Market Data'!$B$5:$B$528,$T145)="","",INDEX('Market Data'!$B$5:$B$528,$T145)))</f>
        <v/>
      </c>
      <c r="C145" s="9">
        <f>IF($T145=0,"",IF(INDEX('Market Data'!$C$5:$C$528,$T145)="","",INDEX('Market Data'!$C$5:$C$528,$T145)))</f>
        <v/>
      </c>
      <c r="D145" s="9">
        <f>IF($T145=0,"",IF(INDEX('Market Data'!$D$5:$D$528,$T145)="","",INDEX('Market Data'!$D$5:$D$528,$T145)))</f>
        <v/>
      </c>
      <c r="E145" s="10">
        <f>IF($T145=0,"",INDEX('Market Data'!$O$5:$O$528,$T145))</f>
        <v/>
      </c>
      <c r="F145" s="11">
        <f>IF($T145=0,"",IF(AND($I145="Bloomberg",ISNUMBER(INDEX('Market Data'!$L$5:$L$528,$T145))),INDEX('Market Data'!$L$5:$L$528,$T145),"unavailable"))</f>
        <v/>
      </c>
      <c r="G145" s="12">
        <f>IF($T145=0,"",IF($I145="Bloomberg",IF(AND(ISNUMBER(INDEX('Market Data'!$M$5:$M$528,$T145)),N(INDEX('Market Data'!$M$5:$M$528,$T145))&gt;0),INDEX('Market Data'!$M$5:$M$528,$T145),"date unavailable"),IF($I145="Snapshot",IF(AND(ISNUMBER(INDEX('Market Data'!$H$5:$H$528,$T145)),N(INDEX('Market Data'!$H$5:$H$528,$T145))&gt;0),INDEX('Market Data'!$H$5:$H$528,$T145),"date unavailable"),"date unavailable")))</f>
        <v/>
      </c>
      <c r="H145" s="9">
        <f>IF($T145=0,"",IF($I145="Bloomberg",IF(INDEX('Market Data'!$N$5:$N$528,$T145)="","time unavailable",INDEX('Market Data'!$N$5:$N$528,$T145)),""))</f>
        <v/>
      </c>
      <c r="I145" s="9">
        <f>IF($T145=0,"",INDEX('Market Data'!$P$5:$P$528,$T145))</f>
        <v/>
      </c>
      <c r="J145" s="13">
        <f>IF($T145=0,"",IF(INDEX('Market Data'!$E$5:$E$528,$T145)="","",INDEX('Market Data'!$E$5:$E$528,$T145)))</f>
        <v/>
      </c>
      <c r="K145" s="8">
        <f>IF($T145=0,"",IF(INDEX('Market Data'!$I$5:$I$528,$T145)="","",INDEX('Market Data'!$I$5:$I$528,$T145)))</f>
        <v/>
      </c>
      <c r="L145" s="10">
        <f>IF($T145=0,"",IF(INDEX('Market Data'!$J$5:$J$528,$T145)=0,"n/a",IF(AND($M$5&lt;&gt;"Snapshot",ISNUMBER(INDEX('Market Data'!$AH$5:$AH$66,INDEX('Market Data'!$J$5:$J$528,$T145)-4)),N(INDEX('Market Data'!$AH$5:$AH$66,INDEX('Market Data'!$J$5:$J$528,$T145)-4))&gt;0),INDEX('Market Data'!$AH$5:$AH$66,INDEX('Market Data'!$J$5:$J$528,$T145)-4),IF(AND($M$5&lt;&gt;"Bloomberg",ISNUMBER(INDEX('Market Data'!$AC$5:$AC$66,INDEX('Market Data'!$J$5:$J$528,$T145)-4)),N(INDEX('Market Data'!$AC$5:$AC$66,INDEX('Market Data'!$J$5:$J$528,$T145)-4))&gt;0),INDEX('Market Data'!$AC$5:$AC$66,INDEX('Market Data'!$J$5:$J$528,$T145)-4),"unavailable"))))</f>
        <v/>
      </c>
      <c r="M145" s="11">
        <f>IF($T145=0,"",IF(INDEX('Market Data'!$J$5:$J$528,$T145)=0,"n/a",IF(IF(INDEX('Market Data'!$J$5:$J$528,$T145)=0,0,IF(LEFT(INDEX('Market Data'!$AS$5:$AS$66,INDEX('Market Data'!$J$5:$J$528,$T145)-4),11)="First-month",1,0))=1,"class review",IF($I145="Bloomberg",IF(AND(ISNUMBER(INDEX('Market Data'!$AH$5:$AH$66,INDEX('Market Data'!$J$5:$J$528,$T145)-4)),N(INDEX('Market Data'!$AH$5:$AH$66,INDEX('Market Data'!$J$5:$J$528,$T145)-4))&gt;0,ISNUMBER('Market Data'!$B$1),N('Market Data'!$B$1)&gt;0),INDEX('Market Data'!$AH$5:$AH$66,INDEX('Market Data'!$J$5:$J$528,$T145)-4)*'Market Data'!$B$1/$E145-1,"pending A/FX"),IF(AND($I145="Snapshot",$Q145="Snapshot",ISNUMBER($E145),$G145=INDEX('Market Data'!$AE$5:$AE$66,INDEX('Market Data'!$J$5:$J$528,$T145)-4)),IFERROR(INDEX('Market Data'!$AC$5:$AC$66,INDEX('Market Data'!$J$5:$J$528,$T145)-4)*INDEX('Market Data'!$AD$5:$AD$66,INDEX('Market Data'!$J$5:$J$528,$T145)-4)/$E145-1,"unavailable"),IF($I145="Unavailable","unavailable","date mismatch"))))))</f>
        <v/>
      </c>
      <c r="N145" s="11">
        <f>IF($T145=0,"",IFERROR(IF(AND(N(INDEX('Market Data'!$F$5:$F$528,$T145))&gt;0,ISNUMBER(INDEX('Market Data'!$T$5:$T$528,$T145))),$E145*INDEX('Market Data'!$T$5:$T$528,$T145)/INDEX('Market Data'!$F$5:$F$528,$T145)-1,"unavailable"),"unavailable"))</f>
        <v/>
      </c>
      <c r="O145" s="9">
        <f>IF($T145=0,"",IF(IF(INDEX('Market Data'!$J$5:$J$528,$T145)=0,0,IF(LEFT(INDEX('Market Data'!$AS$5:$AS$66,INDEX('Market Data'!$J$5:$J$528,$T145)-4),11)="First-month",1,0))=1,"Class ratio review",IF($I145="Bloomberg",IF(ISNUMBER($G145),IF($G145&lt;TODAY(),"Older quote","See quote time"),"Date unavailable"),IF($I145="Snapshot",IF($G145&lt;DATEVALUE("2026-10-02"),"Older snapshot","Dated close"),"No valid quote"))))</f>
        <v/>
      </c>
      <c r="P145" s="14">
        <f>IF($T145=0,"",IF(INDEX('Market Data'!$J$5:$J$528,$T145)=0,"n/a",IF($Q145="Bloomberg",IF(AND(ISNUMBER(INDEX('Market Data'!$AK$5:$AK$66,INDEX('Market Data'!$J$5:$J$528,$T145)-4)),N(INDEX('Market Data'!$AK$5:$AK$66,INDEX('Market Data'!$J$5:$J$528,$T145)-4))&gt;0),INDEX('Market Data'!$AK$5:$AK$66,INDEX('Market Data'!$J$5:$J$528,$T145)-4),"date unavailable"),IF($Q145="Snapshot",IF(AND(ISNUMBER(INDEX('Market Data'!$AF$5:$AF$66,INDEX('Market Data'!$J$5:$J$528,$T145)-4)),N(INDEX('Market Data'!$AF$5:$AF$66,INDEX('Market Data'!$J$5:$J$528,$T145)-4))&gt;0),INDEX('Market Data'!$AF$5:$AF$66,INDEX('Market Data'!$J$5:$J$528,$T145)-4),"date unavailable"),"date unavailable"))))</f>
        <v/>
      </c>
      <c r="Q145" s="15">
        <f>IF($T145=0,"",IF(INDEX('Market Data'!$J$5:$J$528,$T145)=0,"n/a",IF(AND($M$5&lt;&gt;"Snapshot",ISNUMBER(INDEX('Market Data'!$AH$5:$AH$66,INDEX('Market Data'!$J$5:$J$528,$T145)-4)),N(INDEX('Market Data'!$AH$5:$AH$66,INDEX('Market Data'!$J$5:$J$528,$T145)-4))&gt;0),"Bloomberg",IF(AND($M$5&lt;&gt;"Bloomberg",ISNUMBER(INDEX('Market Data'!$AC$5:$AC$66,INDEX('Market Data'!$J$5:$J$528,$T145)-4)),N(INDEX('Market Data'!$AC$5:$AC$66,INDEX('Market Data'!$J$5:$J$528,$T145)-4))&gt;0),"Snapshot","Unavailable"))))</f>
        <v/>
      </c>
      <c r="T145">
        <f>IFERROR(MATCH(137,'Market Data'!$S$5:$S$528,0),0)</f>
        <v/>
      </c>
    </row>
    <row r="146" ht="34" customHeight="1">
      <c r="A146" s="8">
        <f>IF($T146=0,"",IF(INDEX('Market Data'!$A$5:$A$528,$T146)="","",INDEX('Market Data'!$A$5:$A$528,$T146)))</f>
        <v/>
      </c>
      <c r="B146" s="9">
        <f>IF($T146=0,"",IF(INDEX('Market Data'!$B$5:$B$528,$T146)="","",INDEX('Market Data'!$B$5:$B$528,$T146)))</f>
        <v/>
      </c>
      <c r="C146" s="9">
        <f>IF($T146=0,"",IF(INDEX('Market Data'!$C$5:$C$528,$T146)="","",INDEX('Market Data'!$C$5:$C$528,$T146)))</f>
        <v/>
      </c>
      <c r="D146" s="9">
        <f>IF($T146=0,"",IF(INDEX('Market Data'!$D$5:$D$528,$T146)="","",INDEX('Market Data'!$D$5:$D$528,$T146)))</f>
        <v/>
      </c>
      <c r="E146" s="10">
        <f>IF($T146=0,"",INDEX('Market Data'!$O$5:$O$528,$T146))</f>
        <v/>
      </c>
      <c r="F146" s="11">
        <f>IF($T146=0,"",IF(AND($I146="Bloomberg",ISNUMBER(INDEX('Market Data'!$L$5:$L$528,$T146))),INDEX('Market Data'!$L$5:$L$528,$T146),"unavailable"))</f>
        <v/>
      </c>
      <c r="G146" s="12">
        <f>IF($T146=0,"",IF($I146="Bloomberg",IF(AND(ISNUMBER(INDEX('Market Data'!$M$5:$M$528,$T146)),N(INDEX('Market Data'!$M$5:$M$528,$T146))&gt;0),INDEX('Market Data'!$M$5:$M$528,$T146),"date unavailable"),IF($I146="Snapshot",IF(AND(ISNUMBER(INDEX('Market Data'!$H$5:$H$528,$T146)),N(INDEX('Market Data'!$H$5:$H$528,$T146))&gt;0),INDEX('Market Data'!$H$5:$H$528,$T146),"date unavailable"),"date unavailable")))</f>
        <v/>
      </c>
      <c r="H146" s="9">
        <f>IF($T146=0,"",IF($I146="Bloomberg",IF(INDEX('Market Data'!$N$5:$N$528,$T146)="","time unavailable",INDEX('Market Data'!$N$5:$N$528,$T146)),""))</f>
        <v/>
      </c>
      <c r="I146" s="9">
        <f>IF($T146=0,"",INDEX('Market Data'!$P$5:$P$528,$T146))</f>
        <v/>
      </c>
      <c r="J146" s="13">
        <f>IF($T146=0,"",IF(INDEX('Market Data'!$E$5:$E$528,$T146)="","",INDEX('Market Data'!$E$5:$E$528,$T146)))</f>
        <v/>
      </c>
      <c r="K146" s="8">
        <f>IF($T146=0,"",IF(INDEX('Market Data'!$I$5:$I$528,$T146)="","",INDEX('Market Data'!$I$5:$I$528,$T146)))</f>
        <v/>
      </c>
      <c r="L146" s="10">
        <f>IF($T146=0,"",IF(INDEX('Market Data'!$J$5:$J$528,$T146)=0,"n/a",IF(AND($M$5&lt;&gt;"Snapshot",ISNUMBER(INDEX('Market Data'!$AH$5:$AH$66,INDEX('Market Data'!$J$5:$J$528,$T146)-4)),N(INDEX('Market Data'!$AH$5:$AH$66,INDEX('Market Data'!$J$5:$J$528,$T146)-4))&gt;0),INDEX('Market Data'!$AH$5:$AH$66,INDEX('Market Data'!$J$5:$J$528,$T146)-4),IF(AND($M$5&lt;&gt;"Bloomberg",ISNUMBER(INDEX('Market Data'!$AC$5:$AC$66,INDEX('Market Data'!$J$5:$J$528,$T146)-4)),N(INDEX('Market Data'!$AC$5:$AC$66,INDEX('Market Data'!$J$5:$J$528,$T146)-4))&gt;0),INDEX('Market Data'!$AC$5:$AC$66,INDEX('Market Data'!$J$5:$J$528,$T146)-4),"unavailable"))))</f>
        <v/>
      </c>
      <c r="M146" s="11">
        <f>IF($T146=0,"",IF(INDEX('Market Data'!$J$5:$J$528,$T146)=0,"n/a",IF(IF(INDEX('Market Data'!$J$5:$J$528,$T146)=0,0,IF(LEFT(INDEX('Market Data'!$AS$5:$AS$66,INDEX('Market Data'!$J$5:$J$528,$T146)-4),11)="First-month",1,0))=1,"class review",IF($I146="Bloomberg",IF(AND(ISNUMBER(INDEX('Market Data'!$AH$5:$AH$66,INDEX('Market Data'!$J$5:$J$528,$T146)-4)),N(INDEX('Market Data'!$AH$5:$AH$66,INDEX('Market Data'!$J$5:$J$528,$T146)-4))&gt;0,ISNUMBER('Market Data'!$B$1),N('Market Data'!$B$1)&gt;0),INDEX('Market Data'!$AH$5:$AH$66,INDEX('Market Data'!$J$5:$J$528,$T146)-4)*'Market Data'!$B$1/$E146-1,"pending A/FX"),IF(AND($I146="Snapshot",$Q146="Snapshot",ISNUMBER($E146),$G146=INDEX('Market Data'!$AE$5:$AE$66,INDEX('Market Data'!$J$5:$J$528,$T146)-4)),IFERROR(INDEX('Market Data'!$AC$5:$AC$66,INDEX('Market Data'!$J$5:$J$528,$T146)-4)*INDEX('Market Data'!$AD$5:$AD$66,INDEX('Market Data'!$J$5:$J$528,$T146)-4)/$E146-1,"unavailable"),IF($I146="Unavailable","unavailable","date mismatch"))))))</f>
        <v/>
      </c>
      <c r="N146" s="11">
        <f>IF($T146=0,"",IFERROR(IF(AND(N(INDEX('Market Data'!$F$5:$F$528,$T146))&gt;0,ISNUMBER(INDEX('Market Data'!$T$5:$T$528,$T146))),$E146*INDEX('Market Data'!$T$5:$T$528,$T146)/INDEX('Market Data'!$F$5:$F$528,$T146)-1,"unavailable"),"unavailable"))</f>
        <v/>
      </c>
      <c r="O146" s="9">
        <f>IF($T146=0,"",IF(IF(INDEX('Market Data'!$J$5:$J$528,$T146)=0,0,IF(LEFT(INDEX('Market Data'!$AS$5:$AS$66,INDEX('Market Data'!$J$5:$J$528,$T146)-4),11)="First-month",1,0))=1,"Class ratio review",IF($I146="Bloomberg",IF(ISNUMBER($G146),IF($G146&lt;TODAY(),"Older quote","See quote time"),"Date unavailable"),IF($I146="Snapshot",IF($G146&lt;DATEVALUE("2026-10-02"),"Older snapshot","Dated close"),"No valid quote"))))</f>
        <v/>
      </c>
      <c r="P146" s="14">
        <f>IF($T146=0,"",IF(INDEX('Market Data'!$J$5:$J$528,$T146)=0,"n/a",IF($Q146="Bloomberg",IF(AND(ISNUMBER(INDEX('Market Data'!$AK$5:$AK$66,INDEX('Market Data'!$J$5:$J$528,$T146)-4)),N(INDEX('Market Data'!$AK$5:$AK$66,INDEX('Market Data'!$J$5:$J$528,$T146)-4))&gt;0),INDEX('Market Data'!$AK$5:$AK$66,INDEX('Market Data'!$J$5:$J$528,$T146)-4),"date unavailable"),IF($Q146="Snapshot",IF(AND(ISNUMBER(INDEX('Market Data'!$AF$5:$AF$66,INDEX('Market Data'!$J$5:$J$528,$T146)-4)),N(INDEX('Market Data'!$AF$5:$AF$66,INDEX('Market Data'!$J$5:$J$528,$T146)-4))&gt;0),INDEX('Market Data'!$AF$5:$AF$66,INDEX('Market Data'!$J$5:$J$528,$T146)-4),"date unavailable"),"date unavailable"))))</f>
        <v/>
      </c>
      <c r="Q146" s="15">
        <f>IF($T146=0,"",IF(INDEX('Market Data'!$J$5:$J$528,$T146)=0,"n/a",IF(AND($M$5&lt;&gt;"Snapshot",ISNUMBER(INDEX('Market Data'!$AH$5:$AH$66,INDEX('Market Data'!$J$5:$J$528,$T146)-4)),N(INDEX('Market Data'!$AH$5:$AH$66,INDEX('Market Data'!$J$5:$J$528,$T146)-4))&gt;0),"Bloomberg",IF(AND($M$5&lt;&gt;"Bloomberg",ISNUMBER(INDEX('Market Data'!$AC$5:$AC$66,INDEX('Market Data'!$J$5:$J$528,$T146)-4)),N(INDEX('Market Data'!$AC$5:$AC$66,INDEX('Market Data'!$J$5:$J$528,$T146)-4))&gt;0),"Snapshot","Unavailable"))))</f>
        <v/>
      </c>
      <c r="T146">
        <f>IFERROR(MATCH(138,'Market Data'!$S$5:$S$528,0),0)</f>
        <v/>
      </c>
    </row>
    <row r="147" ht="34" customHeight="1">
      <c r="A147" s="8">
        <f>IF($T147=0,"",IF(INDEX('Market Data'!$A$5:$A$528,$T147)="","",INDEX('Market Data'!$A$5:$A$528,$T147)))</f>
        <v/>
      </c>
      <c r="B147" s="9">
        <f>IF($T147=0,"",IF(INDEX('Market Data'!$B$5:$B$528,$T147)="","",INDEX('Market Data'!$B$5:$B$528,$T147)))</f>
        <v/>
      </c>
      <c r="C147" s="9">
        <f>IF($T147=0,"",IF(INDEX('Market Data'!$C$5:$C$528,$T147)="","",INDEX('Market Data'!$C$5:$C$528,$T147)))</f>
        <v/>
      </c>
      <c r="D147" s="9">
        <f>IF($T147=0,"",IF(INDEX('Market Data'!$D$5:$D$528,$T147)="","",INDEX('Market Data'!$D$5:$D$528,$T147)))</f>
        <v/>
      </c>
      <c r="E147" s="10">
        <f>IF($T147=0,"",INDEX('Market Data'!$O$5:$O$528,$T147))</f>
        <v/>
      </c>
      <c r="F147" s="11">
        <f>IF($T147=0,"",IF(AND($I147="Bloomberg",ISNUMBER(INDEX('Market Data'!$L$5:$L$528,$T147))),INDEX('Market Data'!$L$5:$L$528,$T147),"unavailable"))</f>
        <v/>
      </c>
      <c r="G147" s="12">
        <f>IF($T147=0,"",IF($I147="Bloomberg",IF(AND(ISNUMBER(INDEX('Market Data'!$M$5:$M$528,$T147)),N(INDEX('Market Data'!$M$5:$M$528,$T147))&gt;0),INDEX('Market Data'!$M$5:$M$528,$T147),"date unavailable"),IF($I147="Snapshot",IF(AND(ISNUMBER(INDEX('Market Data'!$H$5:$H$528,$T147)),N(INDEX('Market Data'!$H$5:$H$528,$T147))&gt;0),INDEX('Market Data'!$H$5:$H$528,$T147),"date unavailable"),"date unavailable")))</f>
        <v/>
      </c>
      <c r="H147" s="9">
        <f>IF($T147=0,"",IF($I147="Bloomberg",IF(INDEX('Market Data'!$N$5:$N$528,$T147)="","time unavailable",INDEX('Market Data'!$N$5:$N$528,$T147)),""))</f>
        <v/>
      </c>
      <c r="I147" s="9">
        <f>IF($T147=0,"",INDEX('Market Data'!$P$5:$P$528,$T147))</f>
        <v/>
      </c>
      <c r="J147" s="13">
        <f>IF($T147=0,"",IF(INDEX('Market Data'!$E$5:$E$528,$T147)="","",INDEX('Market Data'!$E$5:$E$528,$T147)))</f>
        <v/>
      </c>
      <c r="K147" s="8">
        <f>IF($T147=0,"",IF(INDEX('Market Data'!$I$5:$I$528,$T147)="","",INDEX('Market Data'!$I$5:$I$528,$T147)))</f>
        <v/>
      </c>
      <c r="L147" s="10">
        <f>IF($T147=0,"",IF(INDEX('Market Data'!$J$5:$J$528,$T147)=0,"n/a",IF(AND($M$5&lt;&gt;"Snapshot",ISNUMBER(INDEX('Market Data'!$AH$5:$AH$66,INDEX('Market Data'!$J$5:$J$528,$T147)-4)),N(INDEX('Market Data'!$AH$5:$AH$66,INDEX('Market Data'!$J$5:$J$528,$T147)-4))&gt;0),INDEX('Market Data'!$AH$5:$AH$66,INDEX('Market Data'!$J$5:$J$528,$T147)-4),IF(AND($M$5&lt;&gt;"Bloomberg",ISNUMBER(INDEX('Market Data'!$AC$5:$AC$66,INDEX('Market Data'!$J$5:$J$528,$T147)-4)),N(INDEX('Market Data'!$AC$5:$AC$66,INDEX('Market Data'!$J$5:$J$528,$T147)-4))&gt;0),INDEX('Market Data'!$AC$5:$AC$66,INDEX('Market Data'!$J$5:$J$528,$T147)-4),"unavailable"))))</f>
        <v/>
      </c>
      <c r="M147" s="11">
        <f>IF($T147=0,"",IF(INDEX('Market Data'!$J$5:$J$528,$T147)=0,"n/a",IF(IF(INDEX('Market Data'!$J$5:$J$528,$T147)=0,0,IF(LEFT(INDEX('Market Data'!$AS$5:$AS$66,INDEX('Market Data'!$J$5:$J$528,$T147)-4),11)="First-month",1,0))=1,"class review",IF($I147="Bloomberg",IF(AND(ISNUMBER(INDEX('Market Data'!$AH$5:$AH$66,INDEX('Market Data'!$J$5:$J$528,$T147)-4)),N(INDEX('Market Data'!$AH$5:$AH$66,INDEX('Market Data'!$J$5:$J$528,$T147)-4))&gt;0,ISNUMBER('Market Data'!$B$1),N('Market Data'!$B$1)&gt;0),INDEX('Market Data'!$AH$5:$AH$66,INDEX('Market Data'!$J$5:$J$528,$T147)-4)*'Market Data'!$B$1/$E147-1,"pending A/FX"),IF(AND($I147="Snapshot",$Q147="Snapshot",ISNUMBER($E147),$G147=INDEX('Market Data'!$AE$5:$AE$66,INDEX('Market Data'!$J$5:$J$528,$T147)-4)),IFERROR(INDEX('Market Data'!$AC$5:$AC$66,INDEX('Market Data'!$J$5:$J$528,$T147)-4)*INDEX('Market Data'!$AD$5:$AD$66,INDEX('Market Data'!$J$5:$J$528,$T147)-4)/$E147-1,"unavailable"),IF($I147="Unavailable","unavailable","date mismatch"))))))</f>
        <v/>
      </c>
      <c r="N147" s="11">
        <f>IF($T147=0,"",IFERROR(IF(AND(N(INDEX('Market Data'!$F$5:$F$528,$T147))&gt;0,ISNUMBER(INDEX('Market Data'!$T$5:$T$528,$T147))),$E147*INDEX('Market Data'!$T$5:$T$528,$T147)/INDEX('Market Data'!$F$5:$F$528,$T147)-1,"unavailable"),"unavailable"))</f>
        <v/>
      </c>
      <c r="O147" s="9">
        <f>IF($T147=0,"",IF(IF(INDEX('Market Data'!$J$5:$J$528,$T147)=0,0,IF(LEFT(INDEX('Market Data'!$AS$5:$AS$66,INDEX('Market Data'!$J$5:$J$528,$T147)-4),11)="First-month",1,0))=1,"Class ratio review",IF($I147="Bloomberg",IF(ISNUMBER($G147),IF($G147&lt;TODAY(),"Older quote","See quote time"),"Date unavailable"),IF($I147="Snapshot",IF($G147&lt;DATEVALUE("2026-10-02"),"Older snapshot","Dated close"),"No valid quote"))))</f>
        <v/>
      </c>
      <c r="P147" s="14">
        <f>IF($T147=0,"",IF(INDEX('Market Data'!$J$5:$J$528,$T147)=0,"n/a",IF($Q147="Bloomberg",IF(AND(ISNUMBER(INDEX('Market Data'!$AK$5:$AK$66,INDEX('Market Data'!$J$5:$J$528,$T147)-4)),N(INDEX('Market Data'!$AK$5:$AK$66,INDEX('Market Data'!$J$5:$J$528,$T147)-4))&gt;0),INDEX('Market Data'!$AK$5:$AK$66,INDEX('Market Data'!$J$5:$J$528,$T147)-4),"date unavailable"),IF($Q147="Snapshot",IF(AND(ISNUMBER(INDEX('Market Data'!$AF$5:$AF$66,INDEX('Market Data'!$J$5:$J$528,$T147)-4)),N(INDEX('Market Data'!$AF$5:$AF$66,INDEX('Market Data'!$J$5:$J$528,$T147)-4))&gt;0),INDEX('Market Data'!$AF$5:$AF$66,INDEX('Market Data'!$J$5:$J$528,$T147)-4),"date unavailable"),"date unavailable"))))</f>
        <v/>
      </c>
      <c r="Q147" s="15">
        <f>IF($T147=0,"",IF(INDEX('Market Data'!$J$5:$J$528,$T147)=0,"n/a",IF(AND($M$5&lt;&gt;"Snapshot",ISNUMBER(INDEX('Market Data'!$AH$5:$AH$66,INDEX('Market Data'!$J$5:$J$528,$T147)-4)),N(INDEX('Market Data'!$AH$5:$AH$66,INDEX('Market Data'!$J$5:$J$528,$T147)-4))&gt;0),"Bloomberg",IF(AND($M$5&lt;&gt;"Bloomberg",ISNUMBER(INDEX('Market Data'!$AC$5:$AC$66,INDEX('Market Data'!$J$5:$J$528,$T147)-4)),N(INDEX('Market Data'!$AC$5:$AC$66,INDEX('Market Data'!$J$5:$J$528,$T147)-4))&gt;0),"Snapshot","Unavailable"))))</f>
        <v/>
      </c>
      <c r="T147">
        <f>IFERROR(MATCH(139,'Market Data'!$S$5:$S$528,0),0)</f>
        <v/>
      </c>
    </row>
    <row r="148" ht="34" customHeight="1">
      <c r="A148" s="8">
        <f>IF($T148=0,"",IF(INDEX('Market Data'!$A$5:$A$528,$T148)="","",INDEX('Market Data'!$A$5:$A$528,$T148)))</f>
        <v/>
      </c>
      <c r="B148" s="9">
        <f>IF($T148=0,"",IF(INDEX('Market Data'!$B$5:$B$528,$T148)="","",INDEX('Market Data'!$B$5:$B$528,$T148)))</f>
        <v/>
      </c>
      <c r="C148" s="9">
        <f>IF($T148=0,"",IF(INDEX('Market Data'!$C$5:$C$528,$T148)="","",INDEX('Market Data'!$C$5:$C$528,$T148)))</f>
        <v/>
      </c>
      <c r="D148" s="9">
        <f>IF($T148=0,"",IF(INDEX('Market Data'!$D$5:$D$528,$T148)="","",INDEX('Market Data'!$D$5:$D$528,$T148)))</f>
        <v/>
      </c>
      <c r="E148" s="10">
        <f>IF($T148=0,"",INDEX('Market Data'!$O$5:$O$528,$T148))</f>
        <v/>
      </c>
      <c r="F148" s="11">
        <f>IF($T148=0,"",IF(AND($I148="Bloomberg",ISNUMBER(INDEX('Market Data'!$L$5:$L$528,$T148))),INDEX('Market Data'!$L$5:$L$528,$T148),"unavailable"))</f>
        <v/>
      </c>
      <c r="G148" s="12">
        <f>IF($T148=0,"",IF($I148="Bloomberg",IF(AND(ISNUMBER(INDEX('Market Data'!$M$5:$M$528,$T148)),N(INDEX('Market Data'!$M$5:$M$528,$T148))&gt;0),INDEX('Market Data'!$M$5:$M$528,$T148),"date unavailable"),IF($I148="Snapshot",IF(AND(ISNUMBER(INDEX('Market Data'!$H$5:$H$528,$T148)),N(INDEX('Market Data'!$H$5:$H$528,$T148))&gt;0),INDEX('Market Data'!$H$5:$H$528,$T148),"date unavailable"),"date unavailable")))</f>
        <v/>
      </c>
      <c r="H148" s="9">
        <f>IF($T148=0,"",IF($I148="Bloomberg",IF(INDEX('Market Data'!$N$5:$N$528,$T148)="","time unavailable",INDEX('Market Data'!$N$5:$N$528,$T148)),""))</f>
        <v/>
      </c>
      <c r="I148" s="9">
        <f>IF($T148=0,"",INDEX('Market Data'!$P$5:$P$528,$T148))</f>
        <v/>
      </c>
      <c r="J148" s="13">
        <f>IF($T148=0,"",IF(INDEX('Market Data'!$E$5:$E$528,$T148)="","",INDEX('Market Data'!$E$5:$E$528,$T148)))</f>
        <v/>
      </c>
      <c r="K148" s="8">
        <f>IF($T148=0,"",IF(INDEX('Market Data'!$I$5:$I$528,$T148)="","",INDEX('Market Data'!$I$5:$I$528,$T148)))</f>
        <v/>
      </c>
      <c r="L148" s="10">
        <f>IF($T148=0,"",IF(INDEX('Market Data'!$J$5:$J$528,$T148)=0,"n/a",IF(AND($M$5&lt;&gt;"Snapshot",ISNUMBER(INDEX('Market Data'!$AH$5:$AH$66,INDEX('Market Data'!$J$5:$J$528,$T148)-4)),N(INDEX('Market Data'!$AH$5:$AH$66,INDEX('Market Data'!$J$5:$J$528,$T148)-4))&gt;0),INDEX('Market Data'!$AH$5:$AH$66,INDEX('Market Data'!$J$5:$J$528,$T148)-4),IF(AND($M$5&lt;&gt;"Bloomberg",ISNUMBER(INDEX('Market Data'!$AC$5:$AC$66,INDEX('Market Data'!$J$5:$J$528,$T148)-4)),N(INDEX('Market Data'!$AC$5:$AC$66,INDEX('Market Data'!$J$5:$J$528,$T148)-4))&gt;0),INDEX('Market Data'!$AC$5:$AC$66,INDEX('Market Data'!$J$5:$J$528,$T148)-4),"unavailable"))))</f>
        <v/>
      </c>
      <c r="M148" s="11">
        <f>IF($T148=0,"",IF(INDEX('Market Data'!$J$5:$J$528,$T148)=0,"n/a",IF(IF(INDEX('Market Data'!$J$5:$J$528,$T148)=0,0,IF(LEFT(INDEX('Market Data'!$AS$5:$AS$66,INDEX('Market Data'!$J$5:$J$528,$T148)-4),11)="First-month",1,0))=1,"class review",IF($I148="Bloomberg",IF(AND(ISNUMBER(INDEX('Market Data'!$AH$5:$AH$66,INDEX('Market Data'!$J$5:$J$528,$T148)-4)),N(INDEX('Market Data'!$AH$5:$AH$66,INDEX('Market Data'!$J$5:$J$528,$T148)-4))&gt;0,ISNUMBER('Market Data'!$B$1),N('Market Data'!$B$1)&gt;0),INDEX('Market Data'!$AH$5:$AH$66,INDEX('Market Data'!$J$5:$J$528,$T148)-4)*'Market Data'!$B$1/$E148-1,"pending A/FX"),IF(AND($I148="Snapshot",$Q148="Snapshot",ISNUMBER($E148),$G148=INDEX('Market Data'!$AE$5:$AE$66,INDEX('Market Data'!$J$5:$J$528,$T148)-4)),IFERROR(INDEX('Market Data'!$AC$5:$AC$66,INDEX('Market Data'!$J$5:$J$528,$T148)-4)*INDEX('Market Data'!$AD$5:$AD$66,INDEX('Market Data'!$J$5:$J$528,$T148)-4)/$E148-1,"unavailable"),IF($I148="Unavailable","unavailable","date mismatch"))))))</f>
        <v/>
      </c>
      <c r="N148" s="11">
        <f>IF($T148=0,"",IFERROR(IF(AND(N(INDEX('Market Data'!$F$5:$F$528,$T148))&gt;0,ISNUMBER(INDEX('Market Data'!$T$5:$T$528,$T148))),$E148*INDEX('Market Data'!$T$5:$T$528,$T148)/INDEX('Market Data'!$F$5:$F$528,$T148)-1,"unavailable"),"unavailable"))</f>
        <v/>
      </c>
      <c r="O148" s="9">
        <f>IF($T148=0,"",IF(IF(INDEX('Market Data'!$J$5:$J$528,$T148)=0,0,IF(LEFT(INDEX('Market Data'!$AS$5:$AS$66,INDEX('Market Data'!$J$5:$J$528,$T148)-4),11)="First-month",1,0))=1,"Class ratio review",IF($I148="Bloomberg",IF(ISNUMBER($G148),IF($G148&lt;TODAY(),"Older quote","See quote time"),"Date unavailable"),IF($I148="Snapshot",IF($G148&lt;DATEVALUE("2026-10-02"),"Older snapshot","Dated close"),"No valid quote"))))</f>
        <v/>
      </c>
      <c r="P148" s="14">
        <f>IF($T148=0,"",IF(INDEX('Market Data'!$J$5:$J$528,$T148)=0,"n/a",IF($Q148="Bloomberg",IF(AND(ISNUMBER(INDEX('Market Data'!$AK$5:$AK$66,INDEX('Market Data'!$J$5:$J$528,$T148)-4)),N(INDEX('Market Data'!$AK$5:$AK$66,INDEX('Market Data'!$J$5:$J$528,$T148)-4))&gt;0),INDEX('Market Data'!$AK$5:$AK$66,INDEX('Market Data'!$J$5:$J$528,$T148)-4),"date unavailable"),IF($Q148="Snapshot",IF(AND(ISNUMBER(INDEX('Market Data'!$AF$5:$AF$66,INDEX('Market Data'!$J$5:$J$528,$T148)-4)),N(INDEX('Market Data'!$AF$5:$AF$66,INDEX('Market Data'!$J$5:$J$528,$T148)-4))&gt;0),INDEX('Market Data'!$AF$5:$AF$66,INDEX('Market Data'!$J$5:$J$528,$T148)-4),"date unavailable"),"date unavailable"))))</f>
        <v/>
      </c>
      <c r="Q148" s="15">
        <f>IF($T148=0,"",IF(INDEX('Market Data'!$J$5:$J$528,$T148)=0,"n/a",IF(AND($M$5&lt;&gt;"Snapshot",ISNUMBER(INDEX('Market Data'!$AH$5:$AH$66,INDEX('Market Data'!$J$5:$J$528,$T148)-4)),N(INDEX('Market Data'!$AH$5:$AH$66,INDEX('Market Data'!$J$5:$J$528,$T148)-4))&gt;0),"Bloomberg",IF(AND($M$5&lt;&gt;"Bloomberg",ISNUMBER(INDEX('Market Data'!$AC$5:$AC$66,INDEX('Market Data'!$J$5:$J$528,$T148)-4)),N(INDEX('Market Data'!$AC$5:$AC$66,INDEX('Market Data'!$J$5:$J$528,$T148)-4))&gt;0),"Snapshot","Unavailable"))))</f>
        <v/>
      </c>
      <c r="T148">
        <f>IFERROR(MATCH(140,'Market Data'!$S$5:$S$528,0),0)</f>
        <v/>
      </c>
    </row>
    <row r="149" ht="34" customHeight="1">
      <c r="A149" s="8">
        <f>IF($T149=0,"",IF(INDEX('Market Data'!$A$5:$A$528,$T149)="","",INDEX('Market Data'!$A$5:$A$528,$T149)))</f>
        <v/>
      </c>
      <c r="B149" s="9">
        <f>IF($T149=0,"",IF(INDEX('Market Data'!$B$5:$B$528,$T149)="","",INDEX('Market Data'!$B$5:$B$528,$T149)))</f>
        <v/>
      </c>
      <c r="C149" s="9">
        <f>IF($T149=0,"",IF(INDEX('Market Data'!$C$5:$C$528,$T149)="","",INDEX('Market Data'!$C$5:$C$528,$T149)))</f>
        <v/>
      </c>
      <c r="D149" s="9">
        <f>IF($T149=0,"",IF(INDEX('Market Data'!$D$5:$D$528,$T149)="","",INDEX('Market Data'!$D$5:$D$528,$T149)))</f>
        <v/>
      </c>
      <c r="E149" s="10">
        <f>IF($T149=0,"",INDEX('Market Data'!$O$5:$O$528,$T149))</f>
        <v/>
      </c>
      <c r="F149" s="11">
        <f>IF($T149=0,"",IF(AND($I149="Bloomberg",ISNUMBER(INDEX('Market Data'!$L$5:$L$528,$T149))),INDEX('Market Data'!$L$5:$L$528,$T149),"unavailable"))</f>
        <v/>
      </c>
      <c r="G149" s="12">
        <f>IF($T149=0,"",IF($I149="Bloomberg",IF(AND(ISNUMBER(INDEX('Market Data'!$M$5:$M$528,$T149)),N(INDEX('Market Data'!$M$5:$M$528,$T149))&gt;0),INDEX('Market Data'!$M$5:$M$528,$T149),"date unavailable"),IF($I149="Snapshot",IF(AND(ISNUMBER(INDEX('Market Data'!$H$5:$H$528,$T149)),N(INDEX('Market Data'!$H$5:$H$528,$T149))&gt;0),INDEX('Market Data'!$H$5:$H$528,$T149),"date unavailable"),"date unavailable")))</f>
        <v/>
      </c>
      <c r="H149" s="9">
        <f>IF($T149=0,"",IF($I149="Bloomberg",IF(INDEX('Market Data'!$N$5:$N$528,$T149)="","time unavailable",INDEX('Market Data'!$N$5:$N$528,$T149)),""))</f>
        <v/>
      </c>
      <c r="I149" s="9">
        <f>IF($T149=0,"",INDEX('Market Data'!$P$5:$P$528,$T149))</f>
        <v/>
      </c>
      <c r="J149" s="13">
        <f>IF($T149=0,"",IF(INDEX('Market Data'!$E$5:$E$528,$T149)="","",INDEX('Market Data'!$E$5:$E$528,$T149)))</f>
        <v/>
      </c>
      <c r="K149" s="8">
        <f>IF($T149=0,"",IF(INDEX('Market Data'!$I$5:$I$528,$T149)="","",INDEX('Market Data'!$I$5:$I$528,$T149)))</f>
        <v/>
      </c>
      <c r="L149" s="10">
        <f>IF($T149=0,"",IF(INDEX('Market Data'!$J$5:$J$528,$T149)=0,"n/a",IF(AND($M$5&lt;&gt;"Snapshot",ISNUMBER(INDEX('Market Data'!$AH$5:$AH$66,INDEX('Market Data'!$J$5:$J$528,$T149)-4)),N(INDEX('Market Data'!$AH$5:$AH$66,INDEX('Market Data'!$J$5:$J$528,$T149)-4))&gt;0),INDEX('Market Data'!$AH$5:$AH$66,INDEX('Market Data'!$J$5:$J$528,$T149)-4),IF(AND($M$5&lt;&gt;"Bloomberg",ISNUMBER(INDEX('Market Data'!$AC$5:$AC$66,INDEX('Market Data'!$J$5:$J$528,$T149)-4)),N(INDEX('Market Data'!$AC$5:$AC$66,INDEX('Market Data'!$J$5:$J$528,$T149)-4))&gt;0),INDEX('Market Data'!$AC$5:$AC$66,INDEX('Market Data'!$J$5:$J$528,$T149)-4),"unavailable"))))</f>
        <v/>
      </c>
      <c r="M149" s="11">
        <f>IF($T149=0,"",IF(INDEX('Market Data'!$J$5:$J$528,$T149)=0,"n/a",IF(IF(INDEX('Market Data'!$J$5:$J$528,$T149)=0,0,IF(LEFT(INDEX('Market Data'!$AS$5:$AS$66,INDEX('Market Data'!$J$5:$J$528,$T149)-4),11)="First-month",1,0))=1,"class review",IF($I149="Bloomberg",IF(AND(ISNUMBER(INDEX('Market Data'!$AH$5:$AH$66,INDEX('Market Data'!$J$5:$J$528,$T149)-4)),N(INDEX('Market Data'!$AH$5:$AH$66,INDEX('Market Data'!$J$5:$J$528,$T149)-4))&gt;0,ISNUMBER('Market Data'!$B$1),N('Market Data'!$B$1)&gt;0),INDEX('Market Data'!$AH$5:$AH$66,INDEX('Market Data'!$J$5:$J$528,$T149)-4)*'Market Data'!$B$1/$E149-1,"pending A/FX"),IF(AND($I149="Snapshot",$Q149="Snapshot",ISNUMBER($E149),$G149=INDEX('Market Data'!$AE$5:$AE$66,INDEX('Market Data'!$J$5:$J$528,$T149)-4)),IFERROR(INDEX('Market Data'!$AC$5:$AC$66,INDEX('Market Data'!$J$5:$J$528,$T149)-4)*INDEX('Market Data'!$AD$5:$AD$66,INDEX('Market Data'!$J$5:$J$528,$T149)-4)/$E149-1,"unavailable"),IF($I149="Unavailable","unavailable","date mismatch"))))))</f>
        <v/>
      </c>
      <c r="N149" s="11">
        <f>IF($T149=0,"",IFERROR(IF(AND(N(INDEX('Market Data'!$F$5:$F$528,$T149))&gt;0,ISNUMBER(INDEX('Market Data'!$T$5:$T$528,$T149))),$E149*INDEX('Market Data'!$T$5:$T$528,$T149)/INDEX('Market Data'!$F$5:$F$528,$T149)-1,"unavailable"),"unavailable"))</f>
        <v/>
      </c>
      <c r="O149" s="9">
        <f>IF($T149=0,"",IF(IF(INDEX('Market Data'!$J$5:$J$528,$T149)=0,0,IF(LEFT(INDEX('Market Data'!$AS$5:$AS$66,INDEX('Market Data'!$J$5:$J$528,$T149)-4),11)="First-month",1,0))=1,"Class ratio review",IF($I149="Bloomberg",IF(ISNUMBER($G149),IF($G149&lt;TODAY(),"Older quote","See quote time"),"Date unavailable"),IF($I149="Snapshot",IF($G149&lt;DATEVALUE("2026-10-02"),"Older snapshot","Dated close"),"No valid quote"))))</f>
        <v/>
      </c>
      <c r="P149" s="14">
        <f>IF($T149=0,"",IF(INDEX('Market Data'!$J$5:$J$528,$T149)=0,"n/a",IF($Q149="Bloomberg",IF(AND(ISNUMBER(INDEX('Market Data'!$AK$5:$AK$66,INDEX('Market Data'!$J$5:$J$528,$T149)-4)),N(INDEX('Market Data'!$AK$5:$AK$66,INDEX('Market Data'!$J$5:$J$528,$T149)-4))&gt;0),INDEX('Market Data'!$AK$5:$AK$66,INDEX('Market Data'!$J$5:$J$528,$T149)-4),"date unavailable"),IF($Q149="Snapshot",IF(AND(ISNUMBER(INDEX('Market Data'!$AF$5:$AF$66,INDEX('Market Data'!$J$5:$J$528,$T149)-4)),N(INDEX('Market Data'!$AF$5:$AF$66,INDEX('Market Data'!$J$5:$J$528,$T149)-4))&gt;0),INDEX('Market Data'!$AF$5:$AF$66,INDEX('Market Data'!$J$5:$J$528,$T149)-4),"date unavailable"),"date unavailable"))))</f>
        <v/>
      </c>
      <c r="Q149" s="15">
        <f>IF($T149=0,"",IF(INDEX('Market Data'!$J$5:$J$528,$T149)=0,"n/a",IF(AND($M$5&lt;&gt;"Snapshot",ISNUMBER(INDEX('Market Data'!$AH$5:$AH$66,INDEX('Market Data'!$J$5:$J$528,$T149)-4)),N(INDEX('Market Data'!$AH$5:$AH$66,INDEX('Market Data'!$J$5:$J$528,$T149)-4))&gt;0),"Bloomberg",IF(AND($M$5&lt;&gt;"Bloomberg",ISNUMBER(INDEX('Market Data'!$AC$5:$AC$66,INDEX('Market Data'!$J$5:$J$528,$T149)-4)),N(INDEX('Market Data'!$AC$5:$AC$66,INDEX('Market Data'!$J$5:$J$528,$T149)-4))&gt;0),"Snapshot","Unavailable"))))</f>
        <v/>
      </c>
      <c r="T149">
        <f>IFERROR(MATCH(141,'Market Data'!$S$5:$S$528,0),0)</f>
        <v/>
      </c>
    </row>
    <row r="150" ht="34" customHeight="1">
      <c r="A150" s="8">
        <f>IF($T150=0,"",IF(INDEX('Market Data'!$A$5:$A$528,$T150)="","",INDEX('Market Data'!$A$5:$A$528,$T150)))</f>
        <v/>
      </c>
      <c r="B150" s="9">
        <f>IF($T150=0,"",IF(INDEX('Market Data'!$B$5:$B$528,$T150)="","",INDEX('Market Data'!$B$5:$B$528,$T150)))</f>
        <v/>
      </c>
      <c r="C150" s="9">
        <f>IF($T150=0,"",IF(INDEX('Market Data'!$C$5:$C$528,$T150)="","",INDEX('Market Data'!$C$5:$C$528,$T150)))</f>
        <v/>
      </c>
      <c r="D150" s="9">
        <f>IF($T150=0,"",IF(INDEX('Market Data'!$D$5:$D$528,$T150)="","",INDEX('Market Data'!$D$5:$D$528,$T150)))</f>
        <v/>
      </c>
      <c r="E150" s="10">
        <f>IF($T150=0,"",INDEX('Market Data'!$O$5:$O$528,$T150))</f>
        <v/>
      </c>
      <c r="F150" s="11">
        <f>IF($T150=0,"",IF(AND($I150="Bloomberg",ISNUMBER(INDEX('Market Data'!$L$5:$L$528,$T150))),INDEX('Market Data'!$L$5:$L$528,$T150),"unavailable"))</f>
        <v/>
      </c>
      <c r="G150" s="12">
        <f>IF($T150=0,"",IF($I150="Bloomberg",IF(AND(ISNUMBER(INDEX('Market Data'!$M$5:$M$528,$T150)),N(INDEX('Market Data'!$M$5:$M$528,$T150))&gt;0),INDEX('Market Data'!$M$5:$M$528,$T150),"date unavailable"),IF($I150="Snapshot",IF(AND(ISNUMBER(INDEX('Market Data'!$H$5:$H$528,$T150)),N(INDEX('Market Data'!$H$5:$H$528,$T150))&gt;0),INDEX('Market Data'!$H$5:$H$528,$T150),"date unavailable"),"date unavailable")))</f>
        <v/>
      </c>
      <c r="H150" s="9">
        <f>IF($T150=0,"",IF($I150="Bloomberg",IF(INDEX('Market Data'!$N$5:$N$528,$T150)="","time unavailable",INDEX('Market Data'!$N$5:$N$528,$T150)),""))</f>
        <v/>
      </c>
      <c r="I150" s="9">
        <f>IF($T150=0,"",INDEX('Market Data'!$P$5:$P$528,$T150))</f>
        <v/>
      </c>
      <c r="J150" s="13">
        <f>IF($T150=0,"",IF(INDEX('Market Data'!$E$5:$E$528,$T150)="","",INDEX('Market Data'!$E$5:$E$528,$T150)))</f>
        <v/>
      </c>
      <c r="K150" s="8">
        <f>IF($T150=0,"",IF(INDEX('Market Data'!$I$5:$I$528,$T150)="","",INDEX('Market Data'!$I$5:$I$528,$T150)))</f>
        <v/>
      </c>
      <c r="L150" s="10">
        <f>IF($T150=0,"",IF(INDEX('Market Data'!$J$5:$J$528,$T150)=0,"n/a",IF(AND($M$5&lt;&gt;"Snapshot",ISNUMBER(INDEX('Market Data'!$AH$5:$AH$66,INDEX('Market Data'!$J$5:$J$528,$T150)-4)),N(INDEX('Market Data'!$AH$5:$AH$66,INDEX('Market Data'!$J$5:$J$528,$T150)-4))&gt;0),INDEX('Market Data'!$AH$5:$AH$66,INDEX('Market Data'!$J$5:$J$528,$T150)-4),IF(AND($M$5&lt;&gt;"Bloomberg",ISNUMBER(INDEX('Market Data'!$AC$5:$AC$66,INDEX('Market Data'!$J$5:$J$528,$T150)-4)),N(INDEX('Market Data'!$AC$5:$AC$66,INDEX('Market Data'!$J$5:$J$528,$T150)-4))&gt;0),INDEX('Market Data'!$AC$5:$AC$66,INDEX('Market Data'!$J$5:$J$528,$T150)-4),"unavailable"))))</f>
        <v/>
      </c>
      <c r="M150" s="11">
        <f>IF($T150=0,"",IF(INDEX('Market Data'!$J$5:$J$528,$T150)=0,"n/a",IF(IF(INDEX('Market Data'!$J$5:$J$528,$T150)=0,0,IF(LEFT(INDEX('Market Data'!$AS$5:$AS$66,INDEX('Market Data'!$J$5:$J$528,$T150)-4),11)="First-month",1,0))=1,"class review",IF($I150="Bloomberg",IF(AND(ISNUMBER(INDEX('Market Data'!$AH$5:$AH$66,INDEX('Market Data'!$J$5:$J$528,$T150)-4)),N(INDEX('Market Data'!$AH$5:$AH$66,INDEX('Market Data'!$J$5:$J$528,$T150)-4))&gt;0,ISNUMBER('Market Data'!$B$1),N('Market Data'!$B$1)&gt;0),INDEX('Market Data'!$AH$5:$AH$66,INDEX('Market Data'!$J$5:$J$528,$T150)-4)*'Market Data'!$B$1/$E150-1,"pending A/FX"),IF(AND($I150="Snapshot",$Q150="Snapshot",ISNUMBER($E150),$G150=INDEX('Market Data'!$AE$5:$AE$66,INDEX('Market Data'!$J$5:$J$528,$T150)-4)),IFERROR(INDEX('Market Data'!$AC$5:$AC$66,INDEX('Market Data'!$J$5:$J$528,$T150)-4)*INDEX('Market Data'!$AD$5:$AD$66,INDEX('Market Data'!$J$5:$J$528,$T150)-4)/$E150-1,"unavailable"),IF($I150="Unavailable","unavailable","date mismatch"))))))</f>
        <v/>
      </c>
      <c r="N150" s="11">
        <f>IF($T150=0,"",IFERROR(IF(AND(N(INDEX('Market Data'!$F$5:$F$528,$T150))&gt;0,ISNUMBER(INDEX('Market Data'!$T$5:$T$528,$T150))),$E150*INDEX('Market Data'!$T$5:$T$528,$T150)/INDEX('Market Data'!$F$5:$F$528,$T150)-1,"unavailable"),"unavailable"))</f>
        <v/>
      </c>
      <c r="O150" s="9">
        <f>IF($T150=0,"",IF(IF(INDEX('Market Data'!$J$5:$J$528,$T150)=0,0,IF(LEFT(INDEX('Market Data'!$AS$5:$AS$66,INDEX('Market Data'!$J$5:$J$528,$T150)-4),11)="First-month",1,0))=1,"Class ratio review",IF($I150="Bloomberg",IF(ISNUMBER($G150),IF($G150&lt;TODAY(),"Older quote","See quote time"),"Date unavailable"),IF($I150="Snapshot",IF($G150&lt;DATEVALUE("2026-10-02"),"Older snapshot","Dated close"),"No valid quote"))))</f>
        <v/>
      </c>
      <c r="P150" s="14">
        <f>IF($T150=0,"",IF(INDEX('Market Data'!$J$5:$J$528,$T150)=0,"n/a",IF($Q150="Bloomberg",IF(AND(ISNUMBER(INDEX('Market Data'!$AK$5:$AK$66,INDEX('Market Data'!$J$5:$J$528,$T150)-4)),N(INDEX('Market Data'!$AK$5:$AK$66,INDEX('Market Data'!$J$5:$J$528,$T150)-4))&gt;0),INDEX('Market Data'!$AK$5:$AK$66,INDEX('Market Data'!$J$5:$J$528,$T150)-4),"date unavailable"),IF($Q150="Snapshot",IF(AND(ISNUMBER(INDEX('Market Data'!$AF$5:$AF$66,INDEX('Market Data'!$J$5:$J$528,$T150)-4)),N(INDEX('Market Data'!$AF$5:$AF$66,INDEX('Market Data'!$J$5:$J$528,$T150)-4))&gt;0),INDEX('Market Data'!$AF$5:$AF$66,INDEX('Market Data'!$J$5:$J$528,$T150)-4),"date unavailable"),"date unavailable"))))</f>
        <v/>
      </c>
      <c r="Q150" s="15">
        <f>IF($T150=0,"",IF(INDEX('Market Data'!$J$5:$J$528,$T150)=0,"n/a",IF(AND($M$5&lt;&gt;"Snapshot",ISNUMBER(INDEX('Market Data'!$AH$5:$AH$66,INDEX('Market Data'!$J$5:$J$528,$T150)-4)),N(INDEX('Market Data'!$AH$5:$AH$66,INDEX('Market Data'!$J$5:$J$528,$T150)-4))&gt;0),"Bloomberg",IF(AND($M$5&lt;&gt;"Bloomberg",ISNUMBER(INDEX('Market Data'!$AC$5:$AC$66,INDEX('Market Data'!$J$5:$J$528,$T150)-4)),N(INDEX('Market Data'!$AC$5:$AC$66,INDEX('Market Data'!$J$5:$J$528,$T150)-4))&gt;0),"Snapshot","Unavailable"))))</f>
        <v/>
      </c>
      <c r="T150">
        <f>IFERROR(MATCH(142,'Market Data'!$S$5:$S$528,0),0)</f>
        <v/>
      </c>
    </row>
    <row r="151" ht="34" customHeight="1">
      <c r="A151" s="8">
        <f>IF($T151=0,"",IF(INDEX('Market Data'!$A$5:$A$528,$T151)="","",INDEX('Market Data'!$A$5:$A$528,$T151)))</f>
        <v/>
      </c>
      <c r="B151" s="9">
        <f>IF($T151=0,"",IF(INDEX('Market Data'!$B$5:$B$528,$T151)="","",INDEX('Market Data'!$B$5:$B$528,$T151)))</f>
        <v/>
      </c>
      <c r="C151" s="9">
        <f>IF($T151=0,"",IF(INDEX('Market Data'!$C$5:$C$528,$T151)="","",INDEX('Market Data'!$C$5:$C$528,$T151)))</f>
        <v/>
      </c>
      <c r="D151" s="9">
        <f>IF($T151=0,"",IF(INDEX('Market Data'!$D$5:$D$528,$T151)="","",INDEX('Market Data'!$D$5:$D$528,$T151)))</f>
        <v/>
      </c>
      <c r="E151" s="10">
        <f>IF($T151=0,"",INDEX('Market Data'!$O$5:$O$528,$T151))</f>
        <v/>
      </c>
      <c r="F151" s="11">
        <f>IF($T151=0,"",IF(AND($I151="Bloomberg",ISNUMBER(INDEX('Market Data'!$L$5:$L$528,$T151))),INDEX('Market Data'!$L$5:$L$528,$T151),"unavailable"))</f>
        <v/>
      </c>
      <c r="G151" s="12">
        <f>IF($T151=0,"",IF($I151="Bloomberg",IF(AND(ISNUMBER(INDEX('Market Data'!$M$5:$M$528,$T151)),N(INDEX('Market Data'!$M$5:$M$528,$T151))&gt;0),INDEX('Market Data'!$M$5:$M$528,$T151),"date unavailable"),IF($I151="Snapshot",IF(AND(ISNUMBER(INDEX('Market Data'!$H$5:$H$528,$T151)),N(INDEX('Market Data'!$H$5:$H$528,$T151))&gt;0),INDEX('Market Data'!$H$5:$H$528,$T151),"date unavailable"),"date unavailable")))</f>
        <v/>
      </c>
      <c r="H151" s="9">
        <f>IF($T151=0,"",IF($I151="Bloomberg",IF(INDEX('Market Data'!$N$5:$N$528,$T151)="","time unavailable",INDEX('Market Data'!$N$5:$N$528,$T151)),""))</f>
        <v/>
      </c>
      <c r="I151" s="9">
        <f>IF($T151=0,"",INDEX('Market Data'!$P$5:$P$528,$T151))</f>
        <v/>
      </c>
      <c r="J151" s="13">
        <f>IF($T151=0,"",IF(INDEX('Market Data'!$E$5:$E$528,$T151)="","",INDEX('Market Data'!$E$5:$E$528,$T151)))</f>
        <v/>
      </c>
      <c r="K151" s="8">
        <f>IF($T151=0,"",IF(INDEX('Market Data'!$I$5:$I$528,$T151)="","",INDEX('Market Data'!$I$5:$I$528,$T151)))</f>
        <v/>
      </c>
      <c r="L151" s="10">
        <f>IF($T151=0,"",IF(INDEX('Market Data'!$J$5:$J$528,$T151)=0,"n/a",IF(AND($M$5&lt;&gt;"Snapshot",ISNUMBER(INDEX('Market Data'!$AH$5:$AH$66,INDEX('Market Data'!$J$5:$J$528,$T151)-4)),N(INDEX('Market Data'!$AH$5:$AH$66,INDEX('Market Data'!$J$5:$J$528,$T151)-4))&gt;0),INDEX('Market Data'!$AH$5:$AH$66,INDEX('Market Data'!$J$5:$J$528,$T151)-4),IF(AND($M$5&lt;&gt;"Bloomberg",ISNUMBER(INDEX('Market Data'!$AC$5:$AC$66,INDEX('Market Data'!$J$5:$J$528,$T151)-4)),N(INDEX('Market Data'!$AC$5:$AC$66,INDEX('Market Data'!$J$5:$J$528,$T151)-4))&gt;0),INDEX('Market Data'!$AC$5:$AC$66,INDEX('Market Data'!$J$5:$J$528,$T151)-4),"unavailable"))))</f>
        <v/>
      </c>
      <c r="M151" s="11">
        <f>IF($T151=0,"",IF(INDEX('Market Data'!$J$5:$J$528,$T151)=0,"n/a",IF(IF(INDEX('Market Data'!$J$5:$J$528,$T151)=0,0,IF(LEFT(INDEX('Market Data'!$AS$5:$AS$66,INDEX('Market Data'!$J$5:$J$528,$T151)-4),11)="First-month",1,0))=1,"class review",IF($I151="Bloomberg",IF(AND(ISNUMBER(INDEX('Market Data'!$AH$5:$AH$66,INDEX('Market Data'!$J$5:$J$528,$T151)-4)),N(INDEX('Market Data'!$AH$5:$AH$66,INDEX('Market Data'!$J$5:$J$528,$T151)-4))&gt;0,ISNUMBER('Market Data'!$B$1),N('Market Data'!$B$1)&gt;0),INDEX('Market Data'!$AH$5:$AH$66,INDEX('Market Data'!$J$5:$J$528,$T151)-4)*'Market Data'!$B$1/$E151-1,"pending A/FX"),IF(AND($I151="Snapshot",$Q151="Snapshot",ISNUMBER($E151),$G151=INDEX('Market Data'!$AE$5:$AE$66,INDEX('Market Data'!$J$5:$J$528,$T151)-4)),IFERROR(INDEX('Market Data'!$AC$5:$AC$66,INDEX('Market Data'!$J$5:$J$528,$T151)-4)*INDEX('Market Data'!$AD$5:$AD$66,INDEX('Market Data'!$J$5:$J$528,$T151)-4)/$E151-1,"unavailable"),IF($I151="Unavailable","unavailable","date mismatch"))))))</f>
        <v/>
      </c>
      <c r="N151" s="11">
        <f>IF($T151=0,"",IFERROR(IF(AND(N(INDEX('Market Data'!$F$5:$F$528,$T151))&gt;0,ISNUMBER(INDEX('Market Data'!$T$5:$T$528,$T151))),$E151*INDEX('Market Data'!$T$5:$T$528,$T151)/INDEX('Market Data'!$F$5:$F$528,$T151)-1,"unavailable"),"unavailable"))</f>
        <v/>
      </c>
      <c r="O151" s="9">
        <f>IF($T151=0,"",IF(IF(INDEX('Market Data'!$J$5:$J$528,$T151)=0,0,IF(LEFT(INDEX('Market Data'!$AS$5:$AS$66,INDEX('Market Data'!$J$5:$J$528,$T151)-4),11)="First-month",1,0))=1,"Class ratio review",IF($I151="Bloomberg",IF(ISNUMBER($G151),IF($G151&lt;TODAY(),"Older quote","See quote time"),"Date unavailable"),IF($I151="Snapshot",IF($G151&lt;DATEVALUE("2026-10-02"),"Older snapshot","Dated close"),"No valid quote"))))</f>
        <v/>
      </c>
      <c r="P151" s="14">
        <f>IF($T151=0,"",IF(INDEX('Market Data'!$J$5:$J$528,$T151)=0,"n/a",IF($Q151="Bloomberg",IF(AND(ISNUMBER(INDEX('Market Data'!$AK$5:$AK$66,INDEX('Market Data'!$J$5:$J$528,$T151)-4)),N(INDEX('Market Data'!$AK$5:$AK$66,INDEX('Market Data'!$J$5:$J$528,$T151)-4))&gt;0),INDEX('Market Data'!$AK$5:$AK$66,INDEX('Market Data'!$J$5:$J$528,$T151)-4),"date unavailable"),IF($Q151="Snapshot",IF(AND(ISNUMBER(INDEX('Market Data'!$AF$5:$AF$66,INDEX('Market Data'!$J$5:$J$528,$T151)-4)),N(INDEX('Market Data'!$AF$5:$AF$66,INDEX('Market Data'!$J$5:$J$528,$T151)-4))&gt;0),INDEX('Market Data'!$AF$5:$AF$66,INDEX('Market Data'!$J$5:$J$528,$T151)-4),"date unavailable"),"date unavailable"))))</f>
        <v/>
      </c>
      <c r="Q151" s="15">
        <f>IF($T151=0,"",IF(INDEX('Market Data'!$J$5:$J$528,$T151)=0,"n/a",IF(AND($M$5&lt;&gt;"Snapshot",ISNUMBER(INDEX('Market Data'!$AH$5:$AH$66,INDEX('Market Data'!$J$5:$J$528,$T151)-4)),N(INDEX('Market Data'!$AH$5:$AH$66,INDEX('Market Data'!$J$5:$J$528,$T151)-4))&gt;0),"Bloomberg",IF(AND($M$5&lt;&gt;"Bloomberg",ISNUMBER(INDEX('Market Data'!$AC$5:$AC$66,INDEX('Market Data'!$J$5:$J$528,$T151)-4)),N(INDEX('Market Data'!$AC$5:$AC$66,INDEX('Market Data'!$J$5:$J$528,$T151)-4))&gt;0),"Snapshot","Unavailable"))))</f>
        <v/>
      </c>
      <c r="T151">
        <f>IFERROR(MATCH(143,'Market Data'!$S$5:$S$528,0),0)</f>
        <v/>
      </c>
    </row>
    <row r="152" ht="34" customHeight="1">
      <c r="A152" s="8">
        <f>IF($T152=0,"",IF(INDEX('Market Data'!$A$5:$A$528,$T152)="","",INDEX('Market Data'!$A$5:$A$528,$T152)))</f>
        <v/>
      </c>
      <c r="B152" s="9">
        <f>IF($T152=0,"",IF(INDEX('Market Data'!$B$5:$B$528,$T152)="","",INDEX('Market Data'!$B$5:$B$528,$T152)))</f>
        <v/>
      </c>
      <c r="C152" s="9">
        <f>IF($T152=0,"",IF(INDEX('Market Data'!$C$5:$C$528,$T152)="","",INDEX('Market Data'!$C$5:$C$528,$T152)))</f>
        <v/>
      </c>
      <c r="D152" s="9">
        <f>IF($T152=0,"",IF(INDEX('Market Data'!$D$5:$D$528,$T152)="","",INDEX('Market Data'!$D$5:$D$528,$T152)))</f>
        <v/>
      </c>
      <c r="E152" s="10">
        <f>IF($T152=0,"",INDEX('Market Data'!$O$5:$O$528,$T152))</f>
        <v/>
      </c>
      <c r="F152" s="11">
        <f>IF($T152=0,"",IF(AND($I152="Bloomberg",ISNUMBER(INDEX('Market Data'!$L$5:$L$528,$T152))),INDEX('Market Data'!$L$5:$L$528,$T152),"unavailable"))</f>
        <v/>
      </c>
      <c r="G152" s="12">
        <f>IF($T152=0,"",IF($I152="Bloomberg",IF(AND(ISNUMBER(INDEX('Market Data'!$M$5:$M$528,$T152)),N(INDEX('Market Data'!$M$5:$M$528,$T152))&gt;0),INDEX('Market Data'!$M$5:$M$528,$T152),"date unavailable"),IF($I152="Snapshot",IF(AND(ISNUMBER(INDEX('Market Data'!$H$5:$H$528,$T152)),N(INDEX('Market Data'!$H$5:$H$528,$T152))&gt;0),INDEX('Market Data'!$H$5:$H$528,$T152),"date unavailable"),"date unavailable")))</f>
        <v/>
      </c>
      <c r="H152" s="9">
        <f>IF($T152=0,"",IF($I152="Bloomberg",IF(INDEX('Market Data'!$N$5:$N$528,$T152)="","time unavailable",INDEX('Market Data'!$N$5:$N$528,$T152)),""))</f>
        <v/>
      </c>
      <c r="I152" s="9">
        <f>IF($T152=0,"",INDEX('Market Data'!$P$5:$P$528,$T152))</f>
        <v/>
      </c>
      <c r="J152" s="13">
        <f>IF($T152=0,"",IF(INDEX('Market Data'!$E$5:$E$528,$T152)="","",INDEX('Market Data'!$E$5:$E$528,$T152)))</f>
        <v/>
      </c>
      <c r="K152" s="8">
        <f>IF($T152=0,"",IF(INDEX('Market Data'!$I$5:$I$528,$T152)="","",INDEX('Market Data'!$I$5:$I$528,$T152)))</f>
        <v/>
      </c>
      <c r="L152" s="10">
        <f>IF($T152=0,"",IF(INDEX('Market Data'!$J$5:$J$528,$T152)=0,"n/a",IF(AND($M$5&lt;&gt;"Snapshot",ISNUMBER(INDEX('Market Data'!$AH$5:$AH$66,INDEX('Market Data'!$J$5:$J$528,$T152)-4)),N(INDEX('Market Data'!$AH$5:$AH$66,INDEX('Market Data'!$J$5:$J$528,$T152)-4))&gt;0),INDEX('Market Data'!$AH$5:$AH$66,INDEX('Market Data'!$J$5:$J$528,$T152)-4),IF(AND($M$5&lt;&gt;"Bloomberg",ISNUMBER(INDEX('Market Data'!$AC$5:$AC$66,INDEX('Market Data'!$J$5:$J$528,$T152)-4)),N(INDEX('Market Data'!$AC$5:$AC$66,INDEX('Market Data'!$J$5:$J$528,$T152)-4))&gt;0),INDEX('Market Data'!$AC$5:$AC$66,INDEX('Market Data'!$J$5:$J$528,$T152)-4),"unavailable"))))</f>
        <v/>
      </c>
      <c r="M152" s="11">
        <f>IF($T152=0,"",IF(INDEX('Market Data'!$J$5:$J$528,$T152)=0,"n/a",IF(IF(INDEX('Market Data'!$J$5:$J$528,$T152)=0,0,IF(LEFT(INDEX('Market Data'!$AS$5:$AS$66,INDEX('Market Data'!$J$5:$J$528,$T152)-4),11)="First-month",1,0))=1,"class review",IF($I152="Bloomberg",IF(AND(ISNUMBER(INDEX('Market Data'!$AH$5:$AH$66,INDEX('Market Data'!$J$5:$J$528,$T152)-4)),N(INDEX('Market Data'!$AH$5:$AH$66,INDEX('Market Data'!$J$5:$J$528,$T152)-4))&gt;0,ISNUMBER('Market Data'!$B$1),N('Market Data'!$B$1)&gt;0),INDEX('Market Data'!$AH$5:$AH$66,INDEX('Market Data'!$J$5:$J$528,$T152)-4)*'Market Data'!$B$1/$E152-1,"pending A/FX"),IF(AND($I152="Snapshot",$Q152="Snapshot",ISNUMBER($E152),$G152=INDEX('Market Data'!$AE$5:$AE$66,INDEX('Market Data'!$J$5:$J$528,$T152)-4)),IFERROR(INDEX('Market Data'!$AC$5:$AC$66,INDEX('Market Data'!$J$5:$J$528,$T152)-4)*INDEX('Market Data'!$AD$5:$AD$66,INDEX('Market Data'!$J$5:$J$528,$T152)-4)/$E152-1,"unavailable"),IF($I152="Unavailable","unavailable","date mismatch"))))))</f>
        <v/>
      </c>
      <c r="N152" s="11">
        <f>IF($T152=0,"",IFERROR(IF(AND(N(INDEX('Market Data'!$F$5:$F$528,$T152))&gt;0,ISNUMBER(INDEX('Market Data'!$T$5:$T$528,$T152))),$E152*INDEX('Market Data'!$T$5:$T$528,$T152)/INDEX('Market Data'!$F$5:$F$528,$T152)-1,"unavailable"),"unavailable"))</f>
        <v/>
      </c>
      <c r="O152" s="9">
        <f>IF($T152=0,"",IF(IF(INDEX('Market Data'!$J$5:$J$528,$T152)=0,0,IF(LEFT(INDEX('Market Data'!$AS$5:$AS$66,INDEX('Market Data'!$J$5:$J$528,$T152)-4),11)="First-month",1,0))=1,"Class ratio review",IF($I152="Bloomberg",IF(ISNUMBER($G152),IF($G152&lt;TODAY(),"Older quote","See quote time"),"Date unavailable"),IF($I152="Snapshot",IF($G152&lt;DATEVALUE("2026-10-02"),"Older snapshot","Dated close"),"No valid quote"))))</f>
        <v/>
      </c>
      <c r="P152" s="14">
        <f>IF($T152=0,"",IF(INDEX('Market Data'!$J$5:$J$528,$T152)=0,"n/a",IF($Q152="Bloomberg",IF(AND(ISNUMBER(INDEX('Market Data'!$AK$5:$AK$66,INDEX('Market Data'!$J$5:$J$528,$T152)-4)),N(INDEX('Market Data'!$AK$5:$AK$66,INDEX('Market Data'!$J$5:$J$528,$T152)-4))&gt;0),INDEX('Market Data'!$AK$5:$AK$66,INDEX('Market Data'!$J$5:$J$528,$T152)-4),"date unavailable"),IF($Q152="Snapshot",IF(AND(ISNUMBER(INDEX('Market Data'!$AF$5:$AF$66,INDEX('Market Data'!$J$5:$J$528,$T152)-4)),N(INDEX('Market Data'!$AF$5:$AF$66,INDEX('Market Data'!$J$5:$J$528,$T152)-4))&gt;0),INDEX('Market Data'!$AF$5:$AF$66,INDEX('Market Data'!$J$5:$J$528,$T152)-4),"date unavailable"),"date unavailable"))))</f>
        <v/>
      </c>
      <c r="Q152" s="15">
        <f>IF($T152=0,"",IF(INDEX('Market Data'!$J$5:$J$528,$T152)=0,"n/a",IF(AND($M$5&lt;&gt;"Snapshot",ISNUMBER(INDEX('Market Data'!$AH$5:$AH$66,INDEX('Market Data'!$J$5:$J$528,$T152)-4)),N(INDEX('Market Data'!$AH$5:$AH$66,INDEX('Market Data'!$J$5:$J$528,$T152)-4))&gt;0),"Bloomberg",IF(AND($M$5&lt;&gt;"Bloomberg",ISNUMBER(INDEX('Market Data'!$AC$5:$AC$66,INDEX('Market Data'!$J$5:$J$528,$T152)-4)),N(INDEX('Market Data'!$AC$5:$AC$66,INDEX('Market Data'!$J$5:$J$528,$T152)-4))&gt;0),"Snapshot","Unavailable"))))</f>
        <v/>
      </c>
      <c r="T152">
        <f>IFERROR(MATCH(144,'Market Data'!$S$5:$S$528,0),0)</f>
        <v/>
      </c>
    </row>
    <row r="153" ht="34" customHeight="1">
      <c r="A153" s="8">
        <f>IF($T153=0,"",IF(INDEX('Market Data'!$A$5:$A$528,$T153)="","",INDEX('Market Data'!$A$5:$A$528,$T153)))</f>
        <v/>
      </c>
      <c r="B153" s="9">
        <f>IF($T153=0,"",IF(INDEX('Market Data'!$B$5:$B$528,$T153)="","",INDEX('Market Data'!$B$5:$B$528,$T153)))</f>
        <v/>
      </c>
      <c r="C153" s="9">
        <f>IF($T153=0,"",IF(INDEX('Market Data'!$C$5:$C$528,$T153)="","",INDEX('Market Data'!$C$5:$C$528,$T153)))</f>
        <v/>
      </c>
      <c r="D153" s="9">
        <f>IF($T153=0,"",IF(INDEX('Market Data'!$D$5:$D$528,$T153)="","",INDEX('Market Data'!$D$5:$D$528,$T153)))</f>
        <v/>
      </c>
      <c r="E153" s="10">
        <f>IF($T153=0,"",INDEX('Market Data'!$O$5:$O$528,$T153))</f>
        <v/>
      </c>
      <c r="F153" s="11">
        <f>IF($T153=0,"",IF(AND($I153="Bloomberg",ISNUMBER(INDEX('Market Data'!$L$5:$L$528,$T153))),INDEX('Market Data'!$L$5:$L$528,$T153),"unavailable"))</f>
        <v/>
      </c>
      <c r="G153" s="12">
        <f>IF($T153=0,"",IF($I153="Bloomberg",IF(AND(ISNUMBER(INDEX('Market Data'!$M$5:$M$528,$T153)),N(INDEX('Market Data'!$M$5:$M$528,$T153))&gt;0),INDEX('Market Data'!$M$5:$M$528,$T153),"date unavailable"),IF($I153="Snapshot",IF(AND(ISNUMBER(INDEX('Market Data'!$H$5:$H$528,$T153)),N(INDEX('Market Data'!$H$5:$H$528,$T153))&gt;0),INDEX('Market Data'!$H$5:$H$528,$T153),"date unavailable"),"date unavailable")))</f>
        <v/>
      </c>
      <c r="H153" s="9">
        <f>IF($T153=0,"",IF($I153="Bloomberg",IF(INDEX('Market Data'!$N$5:$N$528,$T153)="","time unavailable",INDEX('Market Data'!$N$5:$N$528,$T153)),""))</f>
        <v/>
      </c>
      <c r="I153" s="9">
        <f>IF($T153=0,"",INDEX('Market Data'!$P$5:$P$528,$T153))</f>
        <v/>
      </c>
      <c r="J153" s="13">
        <f>IF($T153=0,"",IF(INDEX('Market Data'!$E$5:$E$528,$T153)="","",INDEX('Market Data'!$E$5:$E$528,$T153)))</f>
        <v/>
      </c>
      <c r="K153" s="8">
        <f>IF($T153=0,"",IF(INDEX('Market Data'!$I$5:$I$528,$T153)="","",INDEX('Market Data'!$I$5:$I$528,$T153)))</f>
        <v/>
      </c>
      <c r="L153" s="10">
        <f>IF($T153=0,"",IF(INDEX('Market Data'!$J$5:$J$528,$T153)=0,"n/a",IF(AND($M$5&lt;&gt;"Snapshot",ISNUMBER(INDEX('Market Data'!$AH$5:$AH$66,INDEX('Market Data'!$J$5:$J$528,$T153)-4)),N(INDEX('Market Data'!$AH$5:$AH$66,INDEX('Market Data'!$J$5:$J$528,$T153)-4))&gt;0),INDEX('Market Data'!$AH$5:$AH$66,INDEX('Market Data'!$J$5:$J$528,$T153)-4),IF(AND($M$5&lt;&gt;"Bloomberg",ISNUMBER(INDEX('Market Data'!$AC$5:$AC$66,INDEX('Market Data'!$J$5:$J$528,$T153)-4)),N(INDEX('Market Data'!$AC$5:$AC$66,INDEX('Market Data'!$J$5:$J$528,$T153)-4))&gt;0),INDEX('Market Data'!$AC$5:$AC$66,INDEX('Market Data'!$J$5:$J$528,$T153)-4),"unavailable"))))</f>
        <v/>
      </c>
      <c r="M153" s="11">
        <f>IF($T153=0,"",IF(INDEX('Market Data'!$J$5:$J$528,$T153)=0,"n/a",IF(IF(INDEX('Market Data'!$J$5:$J$528,$T153)=0,0,IF(LEFT(INDEX('Market Data'!$AS$5:$AS$66,INDEX('Market Data'!$J$5:$J$528,$T153)-4),11)="First-month",1,0))=1,"class review",IF($I153="Bloomberg",IF(AND(ISNUMBER(INDEX('Market Data'!$AH$5:$AH$66,INDEX('Market Data'!$J$5:$J$528,$T153)-4)),N(INDEX('Market Data'!$AH$5:$AH$66,INDEX('Market Data'!$J$5:$J$528,$T153)-4))&gt;0,ISNUMBER('Market Data'!$B$1),N('Market Data'!$B$1)&gt;0),INDEX('Market Data'!$AH$5:$AH$66,INDEX('Market Data'!$J$5:$J$528,$T153)-4)*'Market Data'!$B$1/$E153-1,"pending A/FX"),IF(AND($I153="Snapshot",$Q153="Snapshot",ISNUMBER($E153),$G153=INDEX('Market Data'!$AE$5:$AE$66,INDEX('Market Data'!$J$5:$J$528,$T153)-4)),IFERROR(INDEX('Market Data'!$AC$5:$AC$66,INDEX('Market Data'!$J$5:$J$528,$T153)-4)*INDEX('Market Data'!$AD$5:$AD$66,INDEX('Market Data'!$J$5:$J$528,$T153)-4)/$E153-1,"unavailable"),IF($I153="Unavailable","unavailable","date mismatch"))))))</f>
        <v/>
      </c>
      <c r="N153" s="11">
        <f>IF($T153=0,"",IFERROR(IF(AND(N(INDEX('Market Data'!$F$5:$F$528,$T153))&gt;0,ISNUMBER(INDEX('Market Data'!$T$5:$T$528,$T153))),$E153*INDEX('Market Data'!$T$5:$T$528,$T153)/INDEX('Market Data'!$F$5:$F$528,$T153)-1,"unavailable"),"unavailable"))</f>
        <v/>
      </c>
      <c r="O153" s="9">
        <f>IF($T153=0,"",IF(IF(INDEX('Market Data'!$J$5:$J$528,$T153)=0,0,IF(LEFT(INDEX('Market Data'!$AS$5:$AS$66,INDEX('Market Data'!$J$5:$J$528,$T153)-4),11)="First-month",1,0))=1,"Class ratio review",IF($I153="Bloomberg",IF(ISNUMBER($G153),IF($G153&lt;TODAY(),"Older quote","See quote time"),"Date unavailable"),IF($I153="Snapshot",IF($G153&lt;DATEVALUE("2026-10-02"),"Older snapshot","Dated close"),"No valid quote"))))</f>
        <v/>
      </c>
      <c r="P153" s="14">
        <f>IF($T153=0,"",IF(INDEX('Market Data'!$J$5:$J$528,$T153)=0,"n/a",IF($Q153="Bloomberg",IF(AND(ISNUMBER(INDEX('Market Data'!$AK$5:$AK$66,INDEX('Market Data'!$J$5:$J$528,$T153)-4)),N(INDEX('Market Data'!$AK$5:$AK$66,INDEX('Market Data'!$J$5:$J$528,$T153)-4))&gt;0),INDEX('Market Data'!$AK$5:$AK$66,INDEX('Market Data'!$J$5:$J$528,$T153)-4),"date unavailable"),IF($Q153="Snapshot",IF(AND(ISNUMBER(INDEX('Market Data'!$AF$5:$AF$66,INDEX('Market Data'!$J$5:$J$528,$T153)-4)),N(INDEX('Market Data'!$AF$5:$AF$66,INDEX('Market Data'!$J$5:$J$528,$T153)-4))&gt;0),INDEX('Market Data'!$AF$5:$AF$66,INDEX('Market Data'!$J$5:$J$528,$T153)-4),"date unavailable"),"date unavailable"))))</f>
        <v/>
      </c>
      <c r="Q153" s="15">
        <f>IF($T153=0,"",IF(INDEX('Market Data'!$J$5:$J$528,$T153)=0,"n/a",IF(AND($M$5&lt;&gt;"Snapshot",ISNUMBER(INDEX('Market Data'!$AH$5:$AH$66,INDEX('Market Data'!$J$5:$J$528,$T153)-4)),N(INDEX('Market Data'!$AH$5:$AH$66,INDEX('Market Data'!$J$5:$J$528,$T153)-4))&gt;0),"Bloomberg",IF(AND($M$5&lt;&gt;"Bloomberg",ISNUMBER(INDEX('Market Data'!$AC$5:$AC$66,INDEX('Market Data'!$J$5:$J$528,$T153)-4)),N(INDEX('Market Data'!$AC$5:$AC$66,INDEX('Market Data'!$J$5:$J$528,$T153)-4))&gt;0),"Snapshot","Unavailable"))))</f>
        <v/>
      </c>
      <c r="T153">
        <f>IFERROR(MATCH(145,'Market Data'!$S$5:$S$528,0),0)</f>
        <v/>
      </c>
    </row>
    <row r="154" ht="34" customHeight="1">
      <c r="A154" s="8">
        <f>IF($T154=0,"",IF(INDEX('Market Data'!$A$5:$A$528,$T154)="","",INDEX('Market Data'!$A$5:$A$528,$T154)))</f>
        <v/>
      </c>
      <c r="B154" s="9">
        <f>IF($T154=0,"",IF(INDEX('Market Data'!$B$5:$B$528,$T154)="","",INDEX('Market Data'!$B$5:$B$528,$T154)))</f>
        <v/>
      </c>
      <c r="C154" s="9">
        <f>IF($T154=0,"",IF(INDEX('Market Data'!$C$5:$C$528,$T154)="","",INDEX('Market Data'!$C$5:$C$528,$T154)))</f>
        <v/>
      </c>
      <c r="D154" s="9">
        <f>IF($T154=0,"",IF(INDEX('Market Data'!$D$5:$D$528,$T154)="","",INDEX('Market Data'!$D$5:$D$528,$T154)))</f>
        <v/>
      </c>
      <c r="E154" s="10">
        <f>IF($T154=0,"",INDEX('Market Data'!$O$5:$O$528,$T154))</f>
        <v/>
      </c>
      <c r="F154" s="11">
        <f>IF($T154=0,"",IF(AND($I154="Bloomberg",ISNUMBER(INDEX('Market Data'!$L$5:$L$528,$T154))),INDEX('Market Data'!$L$5:$L$528,$T154),"unavailable"))</f>
        <v/>
      </c>
      <c r="G154" s="12">
        <f>IF($T154=0,"",IF($I154="Bloomberg",IF(AND(ISNUMBER(INDEX('Market Data'!$M$5:$M$528,$T154)),N(INDEX('Market Data'!$M$5:$M$528,$T154))&gt;0),INDEX('Market Data'!$M$5:$M$528,$T154),"date unavailable"),IF($I154="Snapshot",IF(AND(ISNUMBER(INDEX('Market Data'!$H$5:$H$528,$T154)),N(INDEX('Market Data'!$H$5:$H$528,$T154))&gt;0),INDEX('Market Data'!$H$5:$H$528,$T154),"date unavailable"),"date unavailable")))</f>
        <v/>
      </c>
      <c r="H154" s="9">
        <f>IF($T154=0,"",IF($I154="Bloomberg",IF(INDEX('Market Data'!$N$5:$N$528,$T154)="","time unavailable",INDEX('Market Data'!$N$5:$N$528,$T154)),""))</f>
        <v/>
      </c>
      <c r="I154" s="9">
        <f>IF($T154=0,"",INDEX('Market Data'!$P$5:$P$528,$T154))</f>
        <v/>
      </c>
      <c r="J154" s="13">
        <f>IF($T154=0,"",IF(INDEX('Market Data'!$E$5:$E$528,$T154)="","",INDEX('Market Data'!$E$5:$E$528,$T154)))</f>
        <v/>
      </c>
      <c r="K154" s="8">
        <f>IF($T154=0,"",IF(INDEX('Market Data'!$I$5:$I$528,$T154)="","",INDEX('Market Data'!$I$5:$I$528,$T154)))</f>
        <v/>
      </c>
      <c r="L154" s="10">
        <f>IF($T154=0,"",IF(INDEX('Market Data'!$J$5:$J$528,$T154)=0,"n/a",IF(AND($M$5&lt;&gt;"Snapshot",ISNUMBER(INDEX('Market Data'!$AH$5:$AH$66,INDEX('Market Data'!$J$5:$J$528,$T154)-4)),N(INDEX('Market Data'!$AH$5:$AH$66,INDEX('Market Data'!$J$5:$J$528,$T154)-4))&gt;0),INDEX('Market Data'!$AH$5:$AH$66,INDEX('Market Data'!$J$5:$J$528,$T154)-4),IF(AND($M$5&lt;&gt;"Bloomberg",ISNUMBER(INDEX('Market Data'!$AC$5:$AC$66,INDEX('Market Data'!$J$5:$J$528,$T154)-4)),N(INDEX('Market Data'!$AC$5:$AC$66,INDEX('Market Data'!$J$5:$J$528,$T154)-4))&gt;0),INDEX('Market Data'!$AC$5:$AC$66,INDEX('Market Data'!$J$5:$J$528,$T154)-4),"unavailable"))))</f>
        <v/>
      </c>
      <c r="M154" s="11">
        <f>IF($T154=0,"",IF(INDEX('Market Data'!$J$5:$J$528,$T154)=0,"n/a",IF(IF(INDEX('Market Data'!$J$5:$J$528,$T154)=0,0,IF(LEFT(INDEX('Market Data'!$AS$5:$AS$66,INDEX('Market Data'!$J$5:$J$528,$T154)-4),11)="First-month",1,0))=1,"class review",IF($I154="Bloomberg",IF(AND(ISNUMBER(INDEX('Market Data'!$AH$5:$AH$66,INDEX('Market Data'!$J$5:$J$528,$T154)-4)),N(INDEX('Market Data'!$AH$5:$AH$66,INDEX('Market Data'!$J$5:$J$528,$T154)-4))&gt;0,ISNUMBER('Market Data'!$B$1),N('Market Data'!$B$1)&gt;0),INDEX('Market Data'!$AH$5:$AH$66,INDEX('Market Data'!$J$5:$J$528,$T154)-4)*'Market Data'!$B$1/$E154-1,"pending A/FX"),IF(AND($I154="Snapshot",$Q154="Snapshot",ISNUMBER($E154),$G154=INDEX('Market Data'!$AE$5:$AE$66,INDEX('Market Data'!$J$5:$J$528,$T154)-4)),IFERROR(INDEX('Market Data'!$AC$5:$AC$66,INDEX('Market Data'!$J$5:$J$528,$T154)-4)*INDEX('Market Data'!$AD$5:$AD$66,INDEX('Market Data'!$J$5:$J$528,$T154)-4)/$E154-1,"unavailable"),IF($I154="Unavailable","unavailable","date mismatch"))))))</f>
        <v/>
      </c>
      <c r="N154" s="11">
        <f>IF($T154=0,"",IFERROR(IF(AND(N(INDEX('Market Data'!$F$5:$F$528,$T154))&gt;0,ISNUMBER(INDEX('Market Data'!$T$5:$T$528,$T154))),$E154*INDEX('Market Data'!$T$5:$T$528,$T154)/INDEX('Market Data'!$F$5:$F$528,$T154)-1,"unavailable"),"unavailable"))</f>
        <v/>
      </c>
      <c r="O154" s="9">
        <f>IF($T154=0,"",IF(IF(INDEX('Market Data'!$J$5:$J$528,$T154)=0,0,IF(LEFT(INDEX('Market Data'!$AS$5:$AS$66,INDEX('Market Data'!$J$5:$J$528,$T154)-4),11)="First-month",1,0))=1,"Class ratio review",IF($I154="Bloomberg",IF(ISNUMBER($G154),IF($G154&lt;TODAY(),"Older quote","See quote time"),"Date unavailable"),IF($I154="Snapshot",IF($G154&lt;DATEVALUE("2026-10-02"),"Older snapshot","Dated close"),"No valid quote"))))</f>
        <v/>
      </c>
      <c r="P154" s="14">
        <f>IF($T154=0,"",IF(INDEX('Market Data'!$J$5:$J$528,$T154)=0,"n/a",IF($Q154="Bloomberg",IF(AND(ISNUMBER(INDEX('Market Data'!$AK$5:$AK$66,INDEX('Market Data'!$J$5:$J$528,$T154)-4)),N(INDEX('Market Data'!$AK$5:$AK$66,INDEX('Market Data'!$J$5:$J$528,$T154)-4))&gt;0),INDEX('Market Data'!$AK$5:$AK$66,INDEX('Market Data'!$J$5:$J$528,$T154)-4),"date unavailable"),IF($Q154="Snapshot",IF(AND(ISNUMBER(INDEX('Market Data'!$AF$5:$AF$66,INDEX('Market Data'!$J$5:$J$528,$T154)-4)),N(INDEX('Market Data'!$AF$5:$AF$66,INDEX('Market Data'!$J$5:$J$528,$T154)-4))&gt;0),INDEX('Market Data'!$AF$5:$AF$66,INDEX('Market Data'!$J$5:$J$528,$T154)-4),"date unavailable"),"date unavailable"))))</f>
        <v/>
      </c>
      <c r="Q154" s="15">
        <f>IF($T154=0,"",IF(INDEX('Market Data'!$J$5:$J$528,$T154)=0,"n/a",IF(AND($M$5&lt;&gt;"Snapshot",ISNUMBER(INDEX('Market Data'!$AH$5:$AH$66,INDEX('Market Data'!$J$5:$J$528,$T154)-4)),N(INDEX('Market Data'!$AH$5:$AH$66,INDEX('Market Data'!$J$5:$J$528,$T154)-4))&gt;0),"Bloomberg",IF(AND($M$5&lt;&gt;"Bloomberg",ISNUMBER(INDEX('Market Data'!$AC$5:$AC$66,INDEX('Market Data'!$J$5:$J$528,$T154)-4)),N(INDEX('Market Data'!$AC$5:$AC$66,INDEX('Market Data'!$J$5:$J$528,$T154)-4))&gt;0),"Snapshot","Unavailable"))))</f>
        <v/>
      </c>
      <c r="T154">
        <f>IFERROR(MATCH(146,'Market Data'!$S$5:$S$528,0),0)</f>
        <v/>
      </c>
    </row>
    <row r="155" ht="34" customHeight="1">
      <c r="A155" s="8">
        <f>IF($T155=0,"",IF(INDEX('Market Data'!$A$5:$A$528,$T155)="","",INDEX('Market Data'!$A$5:$A$528,$T155)))</f>
        <v/>
      </c>
      <c r="B155" s="9">
        <f>IF($T155=0,"",IF(INDEX('Market Data'!$B$5:$B$528,$T155)="","",INDEX('Market Data'!$B$5:$B$528,$T155)))</f>
        <v/>
      </c>
      <c r="C155" s="9">
        <f>IF($T155=0,"",IF(INDEX('Market Data'!$C$5:$C$528,$T155)="","",INDEX('Market Data'!$C$5:$C$528,$T155)))</f>
        <v/>
      </c>
      <c r="D155" s="9">
        <f>IF($T155=0,"",IF(INDEX('Market Data'!$D$5:$D$528,$T155)="","",INDEX('Market Data'!$D$5:$D$528,$T155)))</f>
        <v/>
      </c>
      <c r="E155" s="10">
        <f>IF($T155=0,"",INDEX('Market Data'!$O$5:$O$528,$T155))</f>
        <v/>
      </c>
      <c r="F155" s="11">
        <f>IF($T155=0,"",IF(AND($I155="Bloomberg",ISNUMBER(INDEX('Market Data'!$L$5:$L$528,$T155))),INDEX('Market Data'!$L$5:$L$528,$T155),"unavailable"))</f>
        <v/>
      </c>
      <c r="G155" s="12">
        <f>IF($T155=0,"",IF($I155="Bloomberg",IF(AND(ISNUMBER(INDEX('Market Data'!$M$5:$M$528,$T155)),N(INDEX('Market Data'!$M$5:$M$528,$T155))&gt;0),INDEX('Market Data'!$M$5:$M$528,$T155),"date unavailable"),IF($I155="Snapshot",IF(AND(ISNUMBER(INDEX('Market Data'!$H$5:$H$528,$T155)),N(INDEX('Market Data'!$H$5:$H$528,$T155))&gt;0),INDEX('Market Data'!$H$5:$H$528,$T155),"date unavailable"),"date unavailable")))</f>
        <v/>
      </c>
      <c r="H155" s="9">
        <f>IF($T155=0,"",IF($I155="Bloomberg",IF(INDEX('Market Data'!$N$5:$N$528,$T155)="","time unavailable",INDEX('Market Data'!$N$5:$N$528,$T155)),""))</f>
        <v/>
      </c>
      <c r="I155" s="9">
        <f>IF($T155=0,"",INDEX('Market Data'!$P$5:$P$528,$T155))</f>
        <v/>
      </c>
      <c r="J155" s="13">
        <f>IF($T155=0,"",IF(INDEX('Market Data'!$E$5:$E$528,$T155)="","",INDEX('Market Data'!$E$5:$E$528,$T155)))</f>
        <v/>
      </c>
      <c r="K155" s="8">
        <f>IF($T155=0,"",IF(INDEX('Market Data'!$I$5:$I$528,$T155)="","",INDEX('Market Data'!$I$5:$I$528,$T155)))</f>
        <v/>
      </c>
      <c r="L155" s="10">
        <f>IF($T155=0,"",IF(INDEX('Market Data'!$J$5:$J$528,$T155)=0,"n/a",IF(AND($M$5&lt;&gt;"Snapshot",ISNUMBER(INDEX('Market Data'!$AH$5:$AH$66,INDEX('Market Data'!$J$5:$J$528,$T155)-4)),N(INDEX('Market Data'!$AH$5:$AH$66,INDEX('Market Data'!$J$5:$J$528,$T155)-4))&gt;0),INDEX('Market Data'!$AH$5:$AH$66,INDEX('Market Data'!$J$5:$J$528,$T155)-4),IF(AND($M$5&lt;&gt;"Bloomberg",ISNUMBER(INDEX('Market Data'!$AC$5:$AC$66,INDEX('Market Data'!$J$5:$J$528,$T155)-4)),N(INDEX('Market Data'!$AC$5:$AC$66,INDEX('Market Data'!$J$5:$J$528,$T155)-4))&gt;0),INDEX('Market Data'!$AC$5:$AC$66,INDEX('Market Data'!$J$5:$J$528,$T155)-4),"unavailable"))))</f>
        <v/>
      </c>
      <c r="M155" s="11">
        <f>IF($T155=0,"",IF(INDEX('Market Data'!$J$5:$J$528,$T155)=0,"n/a",IF(IF(INDEX('Market Data'!$J$5:$J$528,$T155)=0,0,IF(LEFT(INDEX('Market Data'!$AS$5:$AS$66,INDEX('Market Data'!$J$5:$J$528,$T155)-4),11)="First-month",1,0))=1,"class review",IF($I155="Bloomberg",IF(AND(ISNUMBER(INDEX('Market Data'!$AH$5:$AH$66,INDEX('Market Data'!$J$5:$J$528,$T155)-4)),N(INDEX('Market Data'!$AH$5:$AH$66,INDEX('Market Data'!$J$5:$J$528,$T155)-4))&gt;0,ISNUMBER('Market Data'!$B$1),N('Market Data'!$B$1)&gt;0),INDEX('Market Data'!$AH$5:$AH$66,INDEX('Market Data'!$J$5:$J$528,$T155)-4)*'Market Data'!$B$1/$E155-1,"pending A/FX"),IF(AND($I155="Snapshot",$Q155="Snapshot",ISNUMBER($E155),$G155=INDEX('Market Data'!$AE$5:$AE$66,INDEX('Market Data'!$J$5:$J$528,$T155)-4)),IFERROR(INDEX('Market Data'!$AC$5:$AC$66,INDEX('Market Data'!$J$5:$J$528,$T155)-4)*INDEX('Market Data'!$AD$5:$AD$66,INDEX('Market Data'!$J$5:$J$528,$T155)-4)/$E155-1,"unavailable"),IF($I155="Unavailable","unavailable","date mismatch"))))))</f>
        <v/>
      </c>
      <c r="N155" s="11">
        <f>IF($T155=0,"",IFERROR(IF(AND(N(INDEX('Market Data'!$F$5:$F$528,$T155))&gt;0,ISNUMBER(INDEX('Market Data'!$T$5:$T$528,$T155))),$E155*INDEX('Market Data'!$T$5:$T$528,$T155)/INDEX('Market Data'!$F$5:$F$528,$T155)-1,"unavailable"),"unavailable"))</f>
        <v/>
      </c>
      <c r="O155" s="9">
        <f>IF($T155=0,"",IF(IF(INDEX('Market Data'!$J$5:$J$528,$T155)=0,0,IF(LEFT(INDEX('Market Data'!$AS$5:$AS$66,INDEX('Market Data'!$J$5:$J$528,$T155)-4),11)="First-month",1,0))=1,"Class ratio review",IF($I155="Bloomberg",IF(ISNUMBER($G155),IF($G155&lt;TODAY(),"Older quote","See quote time"),"Date unavailable"),IF($I155="Snapshot",IF($G155&lt;DATEVALUE("2026-10-02"),"Older snapshot","Dated close"),"No valid quote"))))</f>
        <v/>
      </c>
      <c r="P155" s="14">
        <f>IF($T155=0,"",IF(INDEX('Market Data'!$J$5:$J$528,$T155)=0,"n/a",IF($Q155="Bloomberg",IF(AND(ISNUMBER(INDEX('Market Data'!$AK$5:$AK$66,INDEX('Market Data'!$J$5:$J$528,$T155)-4)),N(INDEX('Market Data'!$AK$5:$AK$66,INDEX('Market Data'!$J$5:$J$528,$T155)-4))&gt;0),INDEX('Market Data'!$AK$5:$AK$66,INDEX('Market Data'!$J$5:$J$528,$T155)-4),"date unavailable"),IF($Q155="Snapshot",IF(AND(ISNUMBER(INDEX('Market Data'!$AF$5:$AF$66,INDEX('Market Data'!$J$5:$J$528,$T155)-4)),N(INDEX('Market Data'!$AF$5:$AF$66,INDEX('Market Data'!$J$5:$J$528,$T155)-4))&gt;0),INDEX('Market Data'!$AF$5:$AF$66,INDEX('Market Data'!$J$5:$J$528,$T155)-4),"date unavailable"),"date unavailable"))))</f>
        <v/>
      </c>
      <c r="Q155" s="15">
        <f>IF($T155=0,"",IF(INDEX('Market Data'!$J$5:$J$528,$T155)=0,"n/a",IF(AND($M$5&lt;&gt;"Snapshot",ISNUMBER(INDEX('Market Data'!$AH$5:$AH$66,INDEX('Market Data'!$J$5:$J$528,$T155)-4)),N(INDEX('Market Data'!$AH$5:$AH$66,INDEX('Market Data'!$J$5:$J$528,$T155)-4))&gt;0),"Bloomberg",IF(AND($M$5&lt;&gt;"Bloomberg",ISNUMBER(INDEX('Market Data'!$AC$5:$AC$66,INDEX('Market Data'!$J$5:$J$528,$T155)-4)),N(INDEX('Market Data'!$AC$5:$AC$66,INDEX('Market Data'!$J$5:$J$528,$T155)-4))&gt;0),"Snapshot","Unavailable"))))</f>
        <v/>
      </c>
      <c r="T155">
        <f>IFERROR(MATCH(147,'Market Data'!$S$5:$S$528,0),0)</f>
        <v/>
      </c>
    </row>
    <row r="156" ht="34" customHeight="1">
      <c r="A156" s="8">
        <f>IF($T156=0,"",IF(INDEX('Market Data'!$A$5:$A$528,$T156)="","",INDEX('Market Data'!$A$5:$A$528,$T156)))</f>
        <v/>
      </c>
      <c r="B156" s="9">
        <f>IF($T156=0,"",IF(INDEX('Market Data'!$B$5:$B$528,$T156)="","",INDEX('Market Data'!$B$5:$B$528,$T156)))</f>
        <v/>
      </c>
      <c r="C156" s="9">
        <f>IF($T156=0,"",IF(INDEX('Market Data'!$C$5:$C$528,$T156)="","",INDEX('Market Data'!$C$5:$C$528,$T156)))</f>
        <v/>
      </c>
      <c r="D156" s="9">
        <f>IF($T156=0,"",IF(INDEX('Market Data'!$D$5:$D$528,$T156)="","",INDEX('Market Data'!$D$5:$D$528,$T156)))</f>
        <v/>
      </c>
      <c r="E156" s="10">
        <f>IF($T156=0,"",INDEX('Market Data'!$O$5:$O$528,$T156))</f>
        <v/>
      </c>
      <c r="F156" s="11">
        <f>IF($T156=0,"",IF(AND($I156="Bloomberg",ISNUMBER(INDEX('Market Data'!$L$5:$L$528,$T156))),INDEX('Market Data'!$L$5:$L$528,$T156),"unavailable"))</f>
        <v/>
      </c>
      <c r="G156" s="12">
        <f>IF($T156=0,"",IF($I156="Bloomberg",IF(AND(ISNUMBER(INDEX('Market Data'!$M$5:$M$528,$T156)),N(INDEX('Market Data'!$M$5:$M$528,$T156))&gt;0),INDEX('Market Data'!$M$5:$M$528,$T156),"date unavailable"),IF($I156="Snapshot",IF(AND(ISNUMBER(INDEX('Market Data'!$H$5:$H$528,$T156)),N(INDEX('Market Data'!$H$5:$H$528,$T156))&gt;0),INDEX('Market Data'!$H$5:$H$528,$T156),"date unavailable"),"date unavailable")))</f>
        <v/>
      </c>
      <c r="H156" s="9">
        <f>IF($T156=0,"",IF($I156="Bloomberg",IF(INDEX('Market Data'!$N$5:$N$528,$T156)="","time unavailable",INDEX('Market Data'!$N$5:$N$528,$T156)),""))</f>
        <v/>
      </c>
      <c r="I156" s="9">
        <f>IF($T156=0,"",INDEX('Market Data'!$P$5:$P$528,$T156))</f>
        <v/>
      </c>
      <c r="J156" s="13">
        <f>IF($T156=0,"",IF(INDEX('Market Data'!$E$5:$E$528,$T156)="","",INDEX('Market Data'!$E$5:$E$528,$T156)))</f>
        <v/>
      </c>
      <c r="K156" s="8">
        <f>IF($T156=0,"",IF(INDEX('Market Data'!$I$5:$I$528,$T156)="","",INDEX('Market Data'!$I$5:$I$528,$T156)))</f>
        <v/>
      </c>
      <c r="L156" s="10">
        <f>IF($T156=0,"",IF(INDEX('Market Data'!$J$5:$J$528,$T156)=0,"n/a",IF(AND($M$5&lt;&gt;"Snapshot",ISNUMBER(INDEX('Market Data'!$AH$5:$AH$66,INDEX('Market Data'!$J$5:$J$528,$T156)-4)),N(INDEX('Market Data'!$AH$5:$AH$66,INDEX('Market Data'!$J$5:$J$528,$T156)-4))&gt;0),INDEX('Market Data'!$AH$5:$AH$66,INDEX('Market Data'!$J$5:$J$528,$T156)-4),IF(AND($M$5&lt;&gt;"Bloomberg",ISNUMBER(INDEX('Market Data'!$AC$5:$AC$66,INDEX('Market Data'!$J$5:$J$528,$T156)-4)),N(INDEX('Market Data'!$AC$5:$AC$66,INDEX('Market Data'!$J$5:$J$528,$T156)-4))&gt;0),INDEX('Market Data'!$AC$5:$AC$66,INDEX('Market Data'!$J$5:$J$528,$T156)-4),"unavailable"))))</f>
        <v/>
      </c>
      <c r="M156" s="11">
        <f>IF($T156=0,"",IF(INDEX('Market Data'!$J$5:$J$528,$T156)=0,"n/a",IF(IF(INDEX('Market Data'!$J$5:$J$528,$T156)=0,0,IF(LEFT(INDEX('Market Data'!$AS$5:$AS$66,INDEX('Market Data'!$J$5:$J$528,$T156)-4),11)="First-month",1,0))=1,"class review",IF($I156="Bloomberg",IF(AND(ISNUMBER(INDEX('Market Data'!$AH$5:$AH$66,INDEX('Market Data'!$J$5:$J$528,$T156)-4)),N(INDEX('Market Data'!$AH$5:$AH$66,INDEX('Market Data'!$J$5:$J$528,$T156)-4))&gt;0,ISNUMBER('Market Data'!$B$1),N('Market Data'!$B$1)&gt;0),INDEX('Market Data'!$AH$5:$AH$66,INDEX('Market Data'!$J$5:$J$528,$T156)-4)*'Market Data'!$B$1/$E156-1,"pending A/FX"),IF(AND($I156="Snapshot",$Q156="Snapshot",ISNUMBER($E156),$G156=INDEX('Market Data'!$AE$5:$AE$66,INDEX('Market Data'!$J$5:$J$528,$T156)-4)),IFERROR(INDEX('Market Data'!$AC$5:$AC$66,INDEX('Market Data'!$J$5:$J$528,$T156)-4)*INDEX('Market Data'!$AD$5:$AD$66,INDEX('Market Data'!$J$5:$J$528,$T156)-4)/$E156-1,"unavailable"),IF($I156="Unavailable","unavailable","date mismatch"))))))</f>
        <v/>
      </c>
      <c r="N156" s="11">
        <f>IF($T156=0,"",IFERROR(IF(AND(N(INDEX('Market Data'!$F$5:$F$528,$T156))&gt;0,ISNUMBER(INDEX('Market Data'!$T$5:$T$528,$T156))),$E156*INDEX('Market Data'!$T$5:$T$528,$T156)/INDEX('Market Data'!$F$5:$F$528,$T156)-1,"unavailable"),"unavailable"))</f>
        <v/>
      </c>
      <c r="O156" s="9">
        <f>IF($T156=0,"",IF(IF(INDEX('Market Data'!$J$5:$J$528,$T156)=0,0,IF(LEFT(INDEX('Market Data'!$AS$5:$AS$66,INDEX('Market Data'!$J$5:$J$528,$T156)-4),11)="First-month",1,0))=1,"Class ratio review",IF($I156="Bloomberg",IF(ISNUMBER($G156),IF($G156&lt;TODAY(),"Older quote","See quote time"),"Date unavailable"),IF($I156="Snapshot",IF($G156&lt;DATEVALUE("2026-10-02"),"Older snapshot","Dated close"),"No valid quote"))))</f>
        <v/>
      </c>
      <c r="P156" s="14">
        <f>IF($T156=0,"",IF(INDEX('Market Data'!$J$5:$J$528,$T156)=0,"n/a",IF($Q156="Bloomberg",IF(AND(ISNUMBER(INDEX('Market Data'!$AK$5:$AK$66,INDEX('Market Data'!$J$5:$J$528,$T156)-4)),N(INDEX('Market Data'!$AK$5:$AK$66,INDEX('Market Data'!$J$5:$J$528,$T156)-4))&gt;0),INDEX('Market Data'!$AK$5:$AK$66,INDEX('Market Data'!$J$5:$J$528,$T156)-4),"date unavailable"),IF($Q156="Snapshot",IF(AND(ISNUMBER(INDEX('Market Data'!$AF$5:$AF$66,INDEX('Market Data'!$J$5:$J$528,$T156)-4)),N(INDEX('Market Data'!$AF$5:$AF$66,INDEX('Market Data'!$J$5:$J$528,$T156)-4))&gt;0),INDEX('Market Data'!$AF$5:$AF$66,INDEX('Market Data'!$J$5:$J$528,$T156)-4),"date unavailable"),"date unavailable"))))</f>
        <v/>
      </c>
      <c r="Q156" s="15">
        <f>IF($T156=0,"",IF(INDEX('Market Data'!$J$5:$J$528,$T156)=0,"n/a",IF(AND($M$5&lt;&gt;"Snapshot",ISNUMBER(INDEX('Market Data'!$AH$5:$AH$66,INDEX('Market Data'!$J$5:$J$528,$T156)-4)),N(INDEX('Market Data'!$AH$5:$AH$66,INDEX('Market Data'!$J$5:$J$528,$T156)-4))&gt;0),"Bloomberg",IF(AND($M$5&lt;&gt;"Bloomberg",ISNUMBER(INDEX('Market Data'!$AC$5:$AC$66,INDEX('Market Data'!$J$5:$J$528,$T156)-4)),N(INDEX('Market Data'!$AC$5:$AC$66,INDEX('Market Data'!$J$5:$J$528,$T156)-4))&gt;0),"Snapshot","Unavailable"))))</f>
        <v/>
      </c>
      <c r="T156">
        <f>IFERROR(MATCH(148,'Market Data'!$S$5:$S$528,0),0)</f>
        <v/>
      </c>
    </row>
    <row r="157" ht="34" customHeight="1">
      <c r="A157" s="8">
        <f>IF($T157=0,"",IF(INDEX('Market Data'!$A$5:$A$528,$T157)="","",INDEX('Market Data'!$A$5:$A$528,$T157)))</f>
        <v/>
      </c>
      <c r="B157" s="9">
        <f>IF($T157=0,"",IF(INDEX('Market Data'!$B$5:$B$528,$T157)="","",INDEX('Market Data'!$B$5:$B$528,$T157)))</f>
        <v/>
      </c>
      <c r="C157" s="9">
        <f>IF($T157=0,"",IF(INDEX('Market Data'!$C$5:$C$528,$T157)="","",INDEX('Market Data'!$C$5:$C$528,$T157)))</f>
        <v/>
      </c>
      <c r="D157" s="9">
        <f>IF($T157=0,"",IF(INDEX('Market Data'!$D$5:$D$528,$T157)="","",INDEX('Market Data'!$D$5:$D$528,$T157)))</f>
        <v/>
      </c>
      <c r="E157" s="10">
        <f>IF($T157=0,"",INDEX('Market Data'!$O$5:$O$528,$T157))</f>
        <v/>
      </c>
      <c r="F157" s="11">
        <f>IF($T157=0,"",IF(AND($I157="Bloomberg",ISNUMBER(INDEX('Market Data'!$L$5:$L$528,$T157))),INDEX('Market Data'!$L$5:$L$528,$T157),"unavailable"))</f>
        <v/>
      </c>
      <c r="G157" s="12">
        <f>IF($T157=0,"",IF($I157="Bloomberg",IF(AND(ISNUMBER(INDEX('Market Data'!$M$5:$M$528,$T157)),N(INDEX('Market Data'!$M$5:$M$528,$T157))&gt;0),INDEX('Market Data'!$M$5:$M$528,$T157),"date unavailable"),IF($I157="Snapshot",IF(AND(ISNUMBER(INDEX('Market Data'!$H$5:$H$528,$T157)),N(INDEX('Market Data'!$H$5:$H$528,$T157))&gt;0),INDEX('Market Data'!$H$5:$H$528,$T157),"date unavailable"),"date unavailable")))</f>
        <v/>
      </c>
      <c r="H157" s="9">
        <f>IF($T157=0,"",IF($I157="Bloomberg",IF(INDEX('Market Data'!$N$5:$N$528,$T157)="","time unavailable",INDEX('Market Data'!$N$5:$N$528,$T157)),""))</f>
        <v/>
      </c>
      <c r="I157" s="9">
        <f>IF($T157=0,"",INDEX('Market Data'!$P$5:$P$528,$T157))</f>
        <v/>
      </c>
      <c r="J157" s="13">
        <f>IF($T157=0,"",IF(INDEX('Market Data'!$E$5:$E$528,$T157)="","",INDEX('Market Data'!$E$5:$E$528,$T157)))</f>
        <v/>
      </c>
      <c r="K157" s="8">
        <f>IF($T157=0,"",IF(INDEX('Market Data'!$I$5:$I$528,$T157)="","",INDEX('Market Data'!$I$5:$I$528,$T157)))</f>
        <v/>
      </c>
      <c r="L157" s="10">
        <f>IF($T157=0,"",IF(INDEX('Market Data'!$J$5:$J$528,$T157)=0,"n/a",IF(AND($M$5&lt;&gt;"Snapshot",ISNUMBER(INDEX('Market Data'!$AH$5:$AH$66,INDEX('Market Data'!$J$5:$J$528,$T157)-4)),N(INDEX('Market Data'!$AH$5:$AH$66,INDEX('Market Data'!$J$5:$J$528,$T157)-4))&gt;0),INDEX('Market Data'!$AH$5:$AH$66,INDEX('Market Data'!$J$5:$J$528,$T157)-4),IF(AND($M$5&lt;&gt;"Bloomberg",ISNUMBER(INDEX('Market Data'!$AC$5:$AC$66,INDEX('Market Data'!$J$5:$J$528,$T157)-4)),N(INDEX('Market Data'!$AC$5:$AC$66,INDEX('Market Data'!$J$5:$J$528,$T157)-4))&gt;0),INDEX('Market Data'!$AC$5:$AC$66,INDEX('Market Data'!$J$5:$J$528,$T157)-4),"unavailable"))))</f>
        <v/>
      </c>
      <c r="M157" s="11">
        <f>IF($T157=0,"",IF(INDEX('Market Data'!$J$5:$J$528,$T157)=0,"n/a",IF(IF(INDEX('Market Data'!$J$5:$J$528,$T157)=0,0,IF(LEFT(INDEX('Market Data'!$AS$5:$AS$66,INDEX('Market Data'!$J$5:$J$528,$T157)-4),11)="First-month",1,0))=1,"class review",IF($I157="Bloomberg",IF(AND(ISNUMBER(INDEX('Market Data'!$AH$5:$AH$66,INDEX('Market Data'!$J$5:$J$528,$T157)-4)),N(INDEX('Market Data'!$AH$5:$AH$66,INDEX('Market Data'!$J$5:$J$528,$T157)-4))&gt;0,ISNUMBER('Market Data'!$B$1),N('Market Data'!$B$1)&gt;0),INDEX('Market Data'!$AH$5:$AH$66,INDEX('Market Data'!$J$5:$J$528,$T157)-4)*'Market Data'!$B$1/$E157-1,"pending A/FX"),IF(AND($I157="Snapshot",$Q157="Snapshot",ISNUMBER($E157),$G157=INDEX('Market Data'!$AE$5:$AE$66,INDEX('Market Data'!$J$5:$J$528,$T157)-4)),IFERROR(INDEX('Market Data'!$AC$5:$AC$66,INDEX('Market Data'!$J$5:$J$528,$T157)-4)*INDEX('Market Data'!$AD$5:$AD$66,INDEX('Market Data'!$J$5:$J$528,$T157)-4)/$E157-1,"unavailable"),IF($I157="Unavailable","unavailable","date mismatch"))))))</f>
        <v/>
      </c>
      <c r="N157" s="11">
        <f>IF($T157=0,"",IFERROR(IF(AND(N(INDEX('Market Data'!$F$5:$F$528,$T157))&gt;0,ISNUMBER(INDEX('Market Data'!$T$5:$T$528,$T157))),$E157*INDEX('Market Data'!$T$5:$T$528,$T157)/INDEX('Market Data'!$F$5:$F$528,$T157)-1,"unavailable"),"unavailable"))</f>
        <v/>
      </c>
      <c r="O157" s="9">
        <f>IF($T157=0,"",IF(IF(INDEX('Market Data'!$J$5:$J$528,$T157)=0,0,IF(LEFT(INDEX('Market Data'!$AS$5:$AS$66,INDEX('Market Data'!$J$5:$J$528,$T157)-4),11)="First-month",1,0))=1,"Class ratio review",IF($I157="Bloomberg",IF(ISNUMBER($G157),IF($G157&lt;TODAY(),"Older quote","See quote time"),"Date unavailable"),IF($I157="Snapshot",IF($G157&lt;DATEVALUE("2026-10-02"),"Older snapshot","Dated close"),"No valid quote"))))</f>
        <v/>
      </c>
      <c r="P157" s="14">
        <f>IF($T157=0,"",IF(INDEX('Market Data'!$J$5:$J$528,$T157)=0,"n/a",IF($Q157="Bloomberg",IF(AND(ISNUMBER(INDEX('Market Data'!$AK$5:$AK$66,INDEX('Market Data'!$J$5:$J$528,$T157)-4)),N(INDEX('Market Data'!$AK$5:$AK$66,INDEX('Market Data'!$J$5:$J$528,$T157)-4))&gt;0),INDEX('Market Data'!$AK$5:$AK$66,INDEX('Market Data'!$J$5:$J$528,$T157)-4),"date unavailable"),IF($Q157="Snapshot",IF(AND(ISNUMBER(INDEX('Market Data'!$AF$5:$AF$66,INDEX('Market Data'!$J$5:$J$528,$T157)-4)),N(INDEX('Market Data'!$AF$5:$AF$66,INDEX('Market Data'!$J$5:$J$528,$T157)-4))&gt;0),INDEX('Market Data'!$AF$5:$AF$66,INDEX('Market Data'!$J$5:$J$528,$T157)-4),"date unavailable"),"date unavailable"))))</f>
        <v/>
      </c>
      <c r="Q157" s="15">
        <f>IF($T157=0,"",IF(INDEX('Market Data'!$J$5:$J$528,$T157)=0,"n/a",IF(AND($M$5&lt;&gt;"Snapshot",ISNUMBER(INDEX('Market Data'!$AH$5:$AH$66,INDEX('Market Data'!$J$5:$J$528,$T157)-4)),N(INDEX('Market Data'!$AH$5:$AH$66,INDEX('Market Data'!$J$5:$J$528,$T157)-4))&gt;0),"Bloomberg",IF(AND($M$5&lt;&gt;"Bloomberg",ISNUMBER(INDEX('Market Data'!$AC$5:$AC$66,INDEX('Market Data'!$J$5:$J$528,$T157)-4)),N(INDEX('Market Data'!$AC$5:$AC$66,INDEX('Market Data'!$J$5:$J$528,$T157)-4))&gt;0),"Snapshot","Unavailable"))))</f>
        <v/>
      </c>
      <c r="T157">
        <f>IFERROR(MATCH(149,'Market Data'!$S$5:$S$528,0),0)</f>
        <v/>
      </c>
    </row>
    <row r="158" ht="34" customHeight="1">
      <c r="A158" s="8">
        <f>IF($T158=0,"",IF(INDEX('Market Data'!$A$5:$A$528,$T158)="","",INDEX('Market Data'!$A$5:$A$528,$T158)))</f>
        <v/>
      </c>
      <c r="B158" s="9">
        <f>IF($T158=0,"",IF(INDEX('Market Data'!$B$5:$B$528,$T158)="","",INDEX('Market Data'!$B$5:$B$528,$T158)))</f>
        <v/>
      </c>
      <c r="C158" s="9">
        <f>IF($T158=0,"",IF(INDEX('Market Data'!$C$5:$C$528,$T158)="","",INDEX('Market Data'!$C$5:$C$528,$T158)))</f>
        <v/>
      </c>
      <c r="D158" s="9">
        <f>IF($T158=0,"",IF(INDEX('Market Data'!$D$5:$D$528,$T158)="","",INDEX('Market Data'!$D$5:$D$528,$T158)))</f>
        <v/>
      </c>
      <c r="E158" s="10">
        <f>IF($T158=0,"",INDEX('Market Data'!$O$5:$O$528,$T158))</f>
        <v/>
      </c>
      <c r="F158" s="11">
        <f>IF($T158=0,"",IF(AND($I158="Bloomberg",ISNUMBER(INDEX('Market Data'!$L$5:$L$528,$T158))),INDEX('Market Data'!$L$5:$L$528,$T158),"unavailable"))</f>
        <v/>
      </c>
      <c r="G158" s="12">
        <f>IF($T158=0,"",IF($I158="Bloomberg",IF(AND(ISNUMBER(INDEX('Market Data'!$M$5:$M$528,$T158)),N(INDEX('Market Data'!$M$5:$M$528,$T158))&gt;0),INDEX('Market Data'!$M$5:$M$528,$T158),"date unavailable"),IF($I158="Snapshot",IF(AND(ISNUMBER(INDEX('Market Data'!$H$5:$H$528,$T158)),N(INDEX('Market Data'!$H$5:$H$528,$T158))&gt;0),INDEX('Market Data'!$H$5:$H$528,$T158),"date unavailable"),"date unavailable")))</f>
        <v/>
      </c>
      <c r="H158" s="9">
        <f>IF($T158=0,"",IF($I158="Bloomberg",IF(INDEX('Market Data'!$N$5:$N$528,$T158)="","time unavailable",INDEX('Market Data'!$N$5:$N$528,$T158)),""))</f>
        <v/>
      </c>
      <c r="I158" s="9">
        <f>IF($T158=0,"",INDEX('Market Data'!$P$5:$P$528,$T158))</f>
        <v/>
      </c>
      <c r="J158" s="13">
        <f>IF($T158=0,"",IF(INDEX('Market Data'!$E$5:$E$528,$T158)="","",INDEX('Market Data'!$E$5:$E$528,$T158)))</f>
        <v/>
      </c>
      <c r="K158" s="8">
        <f>IF($T158=0,"",IF(INDEX('Market Data'!$I$5:$I$528,$T158)="","",INDEX('Market Data'!$I$5:$I$528,$T158)))</f>
        <v/>
      </c>
      <c r="L158" s="10">
        <f>IF($T158=0,"",IF(INDEX('Market Data'!$J$5:$J$528,$T158)=0,"n/a",IF(AND($M$5&lt;&gt;"Snapshot",ISNUMBER(INDEX('Market Data'!$AH$5:$AH$66,INDEX('Market Data'!$J$5:$J$528,$T158)-4)),N(INDEX('Market Data'!$AH$5:$AH$66,INDEX('Market Data'!$J$5:$J$528,$T158)-4))&gt;0),INDEX('Market Data'!$AH$5:$AH$66,INDEX('Market Data'!$J$5:$J$528,$T158)-4),IF(AND($M$5&lt;&gt;"Bloomberg",ISNUMBER(INDEX('Market Data'!$AC$5:$AC$66,INDEX('Market Data'!$J$5:$J$528,$T158)-4)),N(INDEX('Market Data'!$AC$5:$AC$66,INDEX('Market Data'!$J$5:$J$528,$T158)-4))&gt;0),INDEX('Market Data'!$AC$5:$AC$66,INDEX('Market Data'!$J$5:$J$528,$T158)-4),"unavailable"))))</f>
        <v/>
      </c>
      <c r="M158" s="11">
        <f>IF($T158=0,"",IF(INDEX('Market Data'!$J$5:$J$528,$T158)=0,"n/a",IF(IF(INDEX('Market Data'!$J$5:$J$528,$T158)=0,0,IF(LEFT(INDEX('Market Data'!$AS$5:$AS$66,INDEX('Market Data'!$J$5:$J$528,$T158)-4),11)="First-month",1,0))=1,"class review",IF($I158="Bloomberg",IF(AND(ISNUMBER(INDEX('Market Data'!$AH$5:$AH$66,INDEX('Market Data'!$J$5:$J$528,$T158)-4)),N(INDEX('Market Data'!$AH$5:$AH$66,INDEX('Market Data'!$J$5:$J$528,$T158)-4))&gt;0,ISNUMBER('Market Data'!$B$1),N('Market Data'!$B$1)&gt;0),INDEX('Market Data'!$AH$5:$AH$66,INDEX('Market Data'!$J$5:$J$528,$T158)-4)*'Market Data'!$B$1/$E158-1,"pending A/FX"),IF(AND($I158="Snapshot",$Q158="Snapshot",ISNUMBER($E158),$G158=INDEX('Market Data'!$AE$5:$AE$66,INDEX('Market Data'!$J$5:$J$528,$T158)-4)),IFERROR(INDEX('Market Data'!$AC$5:$AC$66,INDEX('Market Data'!$J$5:$J$528,$T158)-4)*INDEX('Market Data'!$AD$5:$AD$66,INDEX('Market Data'!$J$5:$J$528,$T158)-4)/$E158-1,"unavailable"),IF($I158="Unavailable","unavailable","date mismatch"))))))</f>
        <v/>
      </c>
      <c r="N158" s="11">
        <f>IF($T158=0,"",IFERROR(IF(AND(N(INDEX('Market Data'!$F$5:$F$528,$T158))&gt;0,ISNUMBER(INDEX('Market Data'!$T$5:$T$528,$T158))),$E158*INDEX('Market Data'!$T$5:$T$528,$T158)/INDEX('Market Data'!$F$5:$F$528,$T158)-1,"unavailable"),"unavailable"))</f>
        <v/>
      </c>
      <c r="O158" s="9">
        <f>IF($T158=0,"",IF(IF(INDEX('Market Data'!$J$5:$J$528,$T158)=0,0,IF(LEFT(INDEX('Market Data'!$AS$5:$AS$66,INDEX('Market Data'!$J$5:$J$528,$T158)-4),11)="First-month",1,0))=1,"Class ratio review",IF($I158="Bloomberg",IF(ISNUMBER($G158),IF($G158&lt;TODAY(),"Older quote","See quote time"),"Date unavailable"),IF($I158="Snapshot",IF($G158&lt;DATEVALUE("2026-10-02"),"Older snapshot","Dated close"),"No valid quote"))))</f>
        <v/>
      </c>
      <c r="P158" s="14">
        <f>IF($T158=0,"",IF(INDEX('Market Data'!$J$5:$J$528,$T158)=0,"n/a",IF($Q158="Bloomberg",IF(AND(ISNUMBER(INDEX('Market Data'!$AK$5:$AK$66,INDEX('Market Data'!$J$5:$J$528,$T158)-4)),N(INDEX('Market Data'!$AK$5:$AK$66,INDEX('Market Data'!$J$5:$J$528,$T158)-4))&gt;0),INDEX('Market Data'!$AK$5:$AK$66,INDEX('Market Data'!$J$5:$J$528,$T158)-4),"date unavailable"),IF($Q158="Snapshot",IF(AND(ISNUMBER(INDEX('Market Data'!$AF$5:$AF$66,INDEX('Market Data'!$J$5:$J$528,$T158)-4)),N(INDEX('Market Data'!$AF$5:$AF$66,INDEX('Market Data'!$J$5:$J$528,$T158)-4))&gt;0),INDEX('Market Data'!$AF$5:$AF$66,INDEX('Market Data'!$J$5:$J$528,$T158)-4),"date unavailable"),"date unavailable"))))</f>
        <v/>
      </c>
      <c r="Q158" s="15">
        <f>IF($T158=0,"",IF(INDEX('Market Data'!$J$5:$J$528,$T158)=0,"n/a",IF(AND($M$5&lt;&gt;"Snapshot",ISNUMBER(INDEX('Market Data'!$AH$5:$AH$66,INDEX('Market Data'!$J$5:$J$528,$T158)-4)),N(INDEX('Market Data'!$AH$5:$AH$66,INDEX('Market Data'!$J$5:$J$528,$T158)-4))&gt;0),"Bloomberg",IF(AND($M$5&lt;&gt;"Bloomberg",ISNUMBER(INDEX('Market Data'!$AC$5:$AC$66,INDEX('Market Data'!$J$5:$J$528,$T158)-4)),N(INDEX('Market Data'!$AC$5:$AC$66,INDEX('Market Data'!$J$5:$J$528,$T158)-4))&gt;0),"Snapshot","Unavailable"))))</f>
        <v/>
      </c>
      <c r="T158">
        <f>IFERROR(MATCH(150,'Market Data'!$S$5:$S$528,0),0)</f>
        <v/>
      </c>
    </row>
    <row r="159" ht="34" customHeight="1">
      <c r="A159" s="8">
        <f>IF($T159=0,"",IF(INDEX('Market Data'!$A$5:$A$528,$T159)="","",INDEX('Market Data'!$A$5:$A$528,$T159)))</f>
        <v/>
      </c>
      <c r="B159" s="9">
        <f>IF($T159=0,"",IF(INDEX('Market Data'!$B$5:$B$528,$T159)="","",INDEX('Market Data'!$B$5:$B$528,$T159)))</f>
        <v/>
      </c>
      <c r="C159" s="9">
        <f>IF($T159=0,"",IF(INDEX('Market Data'!$C$5:$C$528,$T159)="","",INDEX('Market Data'!$C$5:$C$528,$T159)))</f>
        <v/>
      </c>
      <c r="D159" s="9">
        <f>IF($T159=0,"",IF(INDEX('Market Data'!$D$5:$D$528,$T159)="","",INDEX('Market Data'!$D$5:$D$528,$T159)))</f>
        <v/>
      </c>
      <c r="E159" s="10">
        <f>IF($T159=0,"",INDEX('Market Data'!$O$5:$O$528,$T159))</f>
        <v/>
      </c>
      <c r="F159" s="11">
        <f>IF($T159=0,"",IF(AND($I159="Bloomberg",ISNUMBER(INDEX('Market Data'!$L$5:$L$528,$T159))),INDEX('Market Data'!$L$5:$L$528,$T159),"unavailable"))</f>
        <v/>
      </c>
      <c r="G159" s="12">
        <f>IF($T159=0,"",IF($I159="Bloomberg",IF(AND(ISNUMBER(INDEX('Market Data'!$M$5:$M$528,$T159)),N(INDEX('Market Data'!$M$5:$M$528,$T159))&gt;0),INDEX('Market Data'!$M$5:$M$528,$T159),"date unavailable"),IF($I159="Snapshot",IF(AND(ISNUMBER(INDEX('Market Data'!$H$5:$H$528,$T159)),N(INDEX('Market Data'!$H$5:$H$528,$T159))&gt;0),INDEX('Market Data'!$H$5:$H$528,$T159),"date unavailable"),"date unavailable")))</f>
        <v/>
      </c>
      <c r="H159" s="9">
        <f>IF($T159=0,"",IF($I159="Bloomberg",IF(INDEX('Market Data'!$N$5:$N$528,$T159)="","time unavailable",INDEX('Market Data'!$N$5:$N$528,$T159)),""))</f>
        <v/>
      </c>
      <c r="I159" s="9">
        <f>IF($T159=0,"",INDEX('Market Data'!$P$5:$P$528,$T159))</f>
        <v/>
      </c>
      <c r="J159" s="13">
        <f>IF($T159=0,"",IF(INDEX('Market Data'!$E$5:$E$528,$T159)="","",INDEX('Market Data'!$E$5:$E$528,$T159)))</f>
        <v/>
      </c>
      <c r="K159" s="8">
        <f>IF($T159=0,"",IF(INDEX('Market Data'!$I$5:$I$528,$T159)="","",INDEX('Market Data'!$I$5:$I$528,$T159)))</f>
        <v/>
      </c>
      <c r="L159" s="10">
        <f>IF($T159=0,"",IF(INDEX('Market Data'!$J$5:$J$528,$T159)=0,"n/a",IF(AND($M$5&lt;&gt;"Snapshot",ISNUMBER(INDEX('Market Data'!$AH$5:$AH$66,INDEX('Market Data'!$J$5:$J$528,$T159)-4)),N(INDEX('Market Data'!$AH$5:$AH$66,INDEX('Market Data'!$J$5:$J$528,$T159)-4))&gt;0),INDEX('Market Data'!$AH$5:$AH$66,INDEX('Market Data'!$J$5:$J$528,$T159)-4),IF(AND($M$5&lt;&gt;"Bloomberg",ISNUMBER(INDEX('Market Data'!$AC$5:$AC$66,INDEX('Market Data'!$J$5:$J$528,$T159)-4)),N(INDEX('Market Data'!$AC$5:$AC$66,INDEX('Market Data'!$J$5:$J$528,$T159)-4))&gt;0),INDEX('Market Data'!$AC$5:$AC$66,INDEX('Market Data'!$J$5:$J$528,$T159)-4),"unavailable"))))</f>
        <v/>
      </c>
      <c r="M159" s="11">
        <f>IF($T159=0,"",IF(INDEX('Market Data'!$J$5:$J$528,$T159)=0,"n/a",IF(IF(INDEX('Market Data'!$J$5:$J$528,$T159)=0,0,IF(LEFT(INDEX('Market Data'!$AS$5:$AS$66,INDEX('Market Data'!$J$5:$J$528,$T159)-4),11)="First-month",1,0))=1,"class review",IF($I159="Bloomberg",IF(AND(ISNUMBER(INDEX('Market Data'!$AH$5:$AH$66,INDEX('Market Data'!$J$5:$J$528,$T159)-4)),N(INDEX('Market Data'!$AH$5:$AH$66,INDEX('Market Data'!$J$5:$J$528,$T159)-4))&gt;0,ISNUMBER('Market Data'!$B$1),N('Market Data'!$B$1)&gt;0),INDEX('Market Data'!$AH$5:$AH$66,INDEX('Market Data'!$J$5:$J$528,$T159)-4)*'Market Data'!$B$1/$E159-1,"pending A/FX"),IF(AND($I159="Snapshot",$Q159="Snapshot",ISNUMBER($E159),$G159=INDEX('Market Data'!$AE$5:$AE$66,INDEX('Market Data'!$J$5:$J$528,$T159)-4)),IFERROR(INDEX('Market Data'!$AC$5:$AC$66,INDEX('Market Data'!$J$5:$J$528,$T159)-4)*INDEX('Market Data'!$AD$5:$AD$66,INDEX('Market Data'!$J$5:$J$528,$T159)-4)/$E159-1,"unavailable"),IF($I159="Unavailable","unavailable","date mismatch"))))))</f>
        <v/>
      </c>
      <c r="N159" s="11">
        <f>IF($T159=0,"",IFERROR(IF(AND(N(INDEX('Market Data'!$F$5:$F$528,$T159))&gt;0,ISNUMBER(INDEX('Market Data'!$T$5:$T$528,$T159))),$E159*INDEX('Market Data'!$T$5:$T$528,$T159)/INDEX('Market Data'!$F$5:$F$528,$T159)-1,"unavailable"),"unavailable"))</f>
        <v/>
      </c>
      <c r="O159" s="9">
        <f>IF($T159=0,"",IF(IF(INDEX('Market Data'!$J$5:$J$528,$T159)=0,0,IF(LEFT(INDEX('Market Data'!$AS$5:$AS$66,INDEX('Market Data'!$J$5:$J$528,$T159)-4),11)="First-month",1,0))=1,"Class ratio review",IF($I159="Bloomberg",IF(ISNUMBER($G159),IF($G159&lt;TODAY(),"Older quote","See quote time"),"Date unavailable"),IF($I159="Snapshot",IF($G159&lt;DATEVALUE("2026-10-02"),"Older snapshot","Dated close"),"No valid quote"))))</f>
        <v/>
      </c>
      <c r="P159" s="14">
        <f>IF($T159=0,"",IF(INDEX('Market Data'!$J$5:$J$528,$T159)=0,"n/a",IF($Q159="Bloomberg",IF(AND(ISNUMBER(INDEX('Market Data'!$AK$5:$AK$66,INDEX('Market Data'!$J$5:$J$528,$T159)-4)),N(INDEX('Market Data'!$AK$5:$AK$66,INDEX('Market Data'!$J$5:$J$528,$T159)-4))&gt;0),INDEX('Market Data'!$AK$5:$AK$66,INDEX('Market Data'!$J$5:$J$528,$T159)-4),"date unavailable"),IF($Q159="Snapshot",IF(AND(ISNUMBER(INDEX('Market Data'!$AF$5:$AF$66,INDEX('Market Data'!$J$5:$J$528,$T159)-4)),N(INDEX('Market Data'!$AF$5:$AF$66,INDEX('Market Data'!$J$5:$J$528,$T159)-4))&gt;0),INDEX('Market Data'!$AF$5:$AF$66,INDEX('Market Data'!$J$5:$J$528,$T159)-4),"date unavailable"),"date unavailable"))))</f>
        <v/>
      </c>
      <c r="Q159" s="15">
        <f>IF($T159=0,"",IF(INDEX('Market Data'!$J$5:$J$528,$T159)=0,"n/a",IF(AND($M$5&lt;&gt;"Snapshot",ISNUMBER(INDEX('Market Data'!$AH$5:$AH$66,INDEX('Market Data'!$J$5:$J$528,$T159)-4)),N(INDEX('Market Data'!$AH$5:$AH$66,INDEX('Market Data'!$J$5:$J$528,$T159)-4))&gt;0),"Bloomberg",IF(AND($M$5&lt;&gt;"Bloomberg",ISNUMBER(INDEX('Market Data'!$AC$5:$AC$66,INDEX('Market Data'!$J$5:$J$528,$T159)-4)),N(INDEX('Market Data'!$AC$5:$AC$66,INDEX('Market Data'!$J$5:$J$528,$T159)-4))&gt;0),"Snapshot","Unavailable"))))</f>
        <v/>
      </c>
      <c r="T159">
        <f>IFERROR(MATCH(151,'Market Data'!$S$5:$S$528,0),0)</f>
        <v/>
      </c>
    </row>
    <row r="160" ht="34" customHeight="1">
      <c r="A160" s="8">
        <f>IF($T160=0,"",IF(INDEX('Market Data'!$A$5:$A$528,$T160)="","",INDEX('Market Data'!$A$5:$A$528,$T160)))</f>
        <v/>
      </c>
      <c r="B160" s="9">
        <f>IF($T160=0,"",IF(INDEX('Market Data'!$B$5:$B$528,$T160)="","",INDEX('Market Data'!$B$5:$B$528,$T160)))</f>
        <v/>
      </c>
      <c r="C160" s="9">
        <f>IF($T160=0,"",IF(INDEX('Market Data'!$C$5:$C$528,$T160)="","",INDEX('Market Data'!$C$5:$C$528,$T160)))</f>
        <v/>
      </c>
      <c r="D160" s="9">
        <f>IF($T160=0,"",IF(INDEX('Market Data'!$D$5:$D$528,$T160)="","",INDEX('Market Data'!$D$5:$D$528,$T160)))</f>
        <v/>
      </c>
      <c r="E160" s="10">
        <f>IF($T160=0,"",INDEX('Market Data'!$O$5:$O$528,$T160))</f>
        <v/>
      </c>
      <c r="F160" s="11">
        <f>IF($T160=0,"",IF(AND($I160="Bloomberg",ISNUMBER(INDEX('Market Data'!$L$5:$L$528,$T160))),INDEX('Market Data'!$L$5:$L$528,$T160),"unavailable"))</f>
        <v/>
      </c>
      <c r="G160" s="12">
        <f>IF($T160=0,"",IF($I160="Bloomberg",IF(AND(ISNUMBER(INDEX('Market Data'!$M$5:$M$528,$T160)),N(INDEX('Market Data'!$M$5:$M$528,$T160))&gt;0),INDEX('Market Data'!$M$5:$M$528,$T160),"date unavailable"),IF($I160="Snapshot",IF(AND(ISNUMBER(INDEX('Market Data'!$H$5:$H$528,$T160)),N(INDEX('Market Data'!$H$5:$H$528,$T160))&gt;0),INDEX('Market Data'!$H$5:$H$528,$T160),"date unavailable"),"date unavailable")))</f>
        <v/>
      </c>
      <c r="H160" s="9">
        <f>IF($T160=0,"",IF($I160="Bloomberg",IF(INDEX('Market Data'!$N$5:$N$528,$T160)="","time unavailable",INDEX('Market Data'!$N$5:$N$528,$T160)),""))</f>
        <v/>
      </c>
      <c r="I160" s="9">
        <f>IF($T160=0,"",INDEX('Market Data'!$P$5:$P$528,$T160))</f>
        <v/>
      </c>
      <c r="J160" s="13">
        <f>IF($T160=0,"",IF(INDEX('Market Data'!$E$5:$E$528,$T160)="","",INDEX('Market Data'!$E$5:$E$528,$T160)))</f>
        <v/>
      </c>
      <c r="K160" s="8">
        <f>IF($T160=0,"",IF(INDEX('Market Data'!$I$5:$I$528,$T160)="","",INDEX('Market Data'!$I$5:$I$528,$T160)))</f>
        <v/>
      </c>
      <c r="L160" s="10">
        <f>IF($T160=0,"",IF(INDEX('Market Data'!$J$5:$J$528,$T160)=0,"n/a",IF(AND($M$5&lt;&gt;"Snapshot",ISNUMBER(INDEX('Market Data'!$AH$5:$AH$66,INDEX('Market Data'!$J$5:$J$528,$T160)-4)),N(INDEX('Market Data'!$AH$5:$AH$66,INDEX('Market Data'!$J$5:$J$528,$T160)-4))&gt;0),INDEX('Market Data'!$AH$5:$AH$66,INDEX('Market Data'!$J$5:$J$528,$T160)-4),IF(AND($M$5&lt;&gt;"Bloomberg",ISNUMBER(INDEX('Market Data'!$AC$5:$AC$66,INDEX('Market Data'!$J$5:$J$528,$T160)-4)),N(INDEX('Market Data'!$AC$5:$AC$66,INDEX('Market Data'!$J$5:$J$528,$T160)-4))&gt;0),INDEX('Market Data'!$AC$5:$AC$66,INDEX('Market Data'!$J$5:$J$528,$T160)-4),"unavailable"))))</f>
        <v/>
      </c>
      <c r="M160" s="11">
        <f>IF($T160=0,"",IF(INDEX('Market Data'!$J$5:$J$528,$T160)=0,"n/a",IF(IF(INDEX('Market Data'!$J$5:$J$528,$T160)=0,0,IF(LEFT(INDEX('Market Data'!$AS$5:$AS$66,INDEX('Market Data'!$J$5:$J$528,$T160)-4),11)="First-month",1,0))=1,"class review",IF($I160="Bloomberg",IF(AND(ISNUMBER(INDEX('Market Data'!$AH$5:$AH$66,INDEX('Market Data'!$J$5:$J$528,$T160)-4)),N(INDEX('Market Data'!$AH$5:$AH$66,INDEX('Market Data'!$J$5:$J$528,$T160)-4))&gt;0,ISNUMBER('Market Data'!$B$1),N('Market Data'!$B$1)&gt;0),INDEX('Market Data'!$AH$5:$AH$66,INDEX('Market Data'!$J$5:$J$528,$T160)-4)*'Market Data'!$B$1/$E160-1,"pending A/FX"),IF(AND($I160="Snapshot",$Q160="Snapshot",ISNUMBER($E160),$G160=INDEX('Market Data'!$AE$5:$AE$66,INDEX('Market Data'!$J$5:$J$528,$T160)-4)),IFERROR(INDEX('Market Data'!$AC$5:$AC$66,INDEX('Market Data'!$J$5:$J$528,$T160)-4)*INDEX('Market Data'!$AD$5:$AD$66,INDEX('Market Data'!$J$5:$J$528,$T160)-4)/$E160-1,"unavailable"),IF($I160="Unavailable","unavailable","date mismatch"))))))</f>
        <v/>
      </c>
      <c r="N160" s="11">
        <f>IF($T160=0,"",IFERROR(IF(AND(N(INDEX('Market Data'!$F$5:$F$528,$T160))&gt;0,ISNUMBER(INDEX('Market Data'!$T$5:$T$528,$T160))),$E160*INDEX('Market Data'!$T$5:$T$528,$T160)/INDEX('Market Data'!$F$5:$F$528,$T160)-1,"unavailable"),"unavailable"))</f>
        <v/>
      </c>
      <c r="O160" s="9">
        <f>IF($T160=0,"",IF(IF(INDEX('Market Data'!$J$5:$J$528,$T160)=0,0,IF(LEFT(INDEX('Market Data'!$AS$5:$AS$66,INDEX('Market Data'!$J$5:$J$528,$T160)-4),11)="First-month",1,0))=1,"Class ratio review",IF($I160="Bloomberg",IF(ISNUMBER($G160),IF($G160&lt;TODAY(),"Older quote","See quote time"),"Date unavailable"),IF($I160="Snapshot",IF($G160&lt;DATEVALUE("2026-10-02"),"Older snapshot","Dated close"),"No valid quote"))))</f>
        <v/>
      </c>
      <c r="P160" s="14">
        <f>IF($T160=0,"",IF(INDEX('Market Data'!$J$5:$J$528,$T160)=0,"n/a",IF($Q160="Bloomberg",IF(AND(ISNUMBER(INDEX('Market Data'!$AK$5:$AK$66,INDEX('Market Data'!$J$5:$J$528,$T160)-4)),N(INDEX('Market Data'!$AK$5:$AK$66,INDEX('Market Data'!$J$5:$J$528,$T160)-4))&gt;0),INDEX('Market Data'!$AK$5:$AK$66,INDEX('Market Data'!$J$5:$J$528,$T160)-4),"date unavailable"),IF($Q160="Snapshot",IF(AND(ISNUMBER(INDEX('Market Data'!$AF$5:$AF$66,INDEX('Market Data'!$J$5:$J$528,$T160)-4)),N(INDEX('Market Data'!$AF$5:$AF$66,INDEX('Market Data'!$J$5:$J$528,$T160)-4))&gt;0),INDEX('Market Data'!$AF$5:$AF$66,INDEX('Market Data'!$J$5:$J$528,$T160)-4),"date unavailable"),"date unavailable"))))</f>
        <v/>
      </c>
      <c r="Q160" s="15">
        <f>IF($T160=0,"",IF(INDEX('Market Data'!$J$5:$J$528,$T160)=0,"n/a",IF(AND($M$5&lt;&gt;"Snapshot",ISNUMBER(INDEX('Market Data'!$AH$5:$AH$66,INDEX('Market Data'!$J$5:$J$528,$T160)-4)),N(INDEX('Market Data'!$AH$5:$AH$66,INDEX('Market Data'!$J$5:$J$528,$T160)-4))&gt;0),"Bloomberg",IF(AND($M$5&lt;&gt;"Bloomberg",ISNUMBER(INDEX('Market Data'!$AC$5:$AC$66,INDEX('Market Data'!$J$5:$J$528,$T160)-4)),N(INDEX('Market Data'!$AC$5:$AC$66,INDEX('Market Data'!$J$5:$J$528,$T160)-4))&gt;0),"Snapshot","Unavailable"))))</f>
        <v/>
      </c>
      <c r="T160">
        <f>IFERROR(MATCH(152,'Market Data'!$S$5:$S$528,0),0)</f>
        <v/>
      </c>
    </row>
    <row r="161" ht="34" customHeight="1">
      <c r="A161" s="8">
        <f>IF($T161=0,"",IF(INDEX('Market Data'!$A$5:$A$528,$T161)="","",INDEX('Market Data'!$A$5:$A$528,$T161)))</f>
        <v/>
      </c>
      <c r="B161" s="9">
        <f>IF($T161=0,"",IF(INDEX('Market Data'!$B$5:$B$528,$T161)="","",INDEX('Market Data'!$B$5:$B$528,$T161)))</f>
        <v/>
      </c>
      <c r="C161" s="9">
        <f>IF($T161=0,"",IF(INDEX('Market Data'!$C$5:$C$528,$T161)="","",INDEX('Market Data'!$C$5:$C$528,$T161)))</f>
        <v/>
      </c>
      <c r="D161" s="9">
        <f>IF($T161=0,"",IF(INDEX('Market Data'!$D$5:$D$528,$T161)="","",INDEX('Market Data'!$D$5:$D$528,$T161)))</f>
        <v/>
      </c>
      <c r="E161" s="10">
        <f>IF($T161=0,"",INDEX('Market Data'!$O$5:$O$528,$T161))</f>
        <v/>
      </c>
      <c r="F161" s="11">
        <f>IF($T161=0,"",IF(AND($I161="Bloomberg",ISNUMBER(INDEX('Market Data'!$L$5:$L$528,$T161))),INDEX('Market Data'!$L$5:$L$528,$T161),"unavailable"))</f>
        <v/>
      </c>
      <c r="G161" s="12">
        <f>IF($T161=0,"",IF($I161="Bloomberg",IF(AND(ISNUMBER(INDEX('Market Data'!$M$5:$M$528,$T161)),N(INDEX('Market Data'!$M$5:$M$528,$T161))&gt;0),INDEX('Market Data'!$M$5:$M$528,$T161),"date unavailable"),IF($I161="Snapshot",IF(AND(ISNUMBER(INDEX('Market Data'!$H$5:$H$528,$T161)),N(INDEX('Market Data'!$H$5:$H$528,$T161))&gt;0),INDEX('Market Data'!$H$5:$H$528,$T161),"date unavailable"),"date unavailable")))</f>
        <v/>
      </c>
      <c r="H161" s="9">
        <f>IF($T161=0,"",IF($I161="Bloomberg",IF(INDEX('Market Data'!$N$5:$N$528,$T161)="","time unavailable",INDEX('Market Data'!$N$5:$N$528,$T161)),""))</f>
        <v/>
      </c>
      <c r="I161" s="9">
        <f>IF($T161=0,"",INDEX('Market Data'!$P$5:$P$528,$T161))</f>
        <v/>
      </c>
      <c r="J161" s="13">
        <f>IF($T161=0,"",IF(INDEX('Market Data'!$E$5:$E$528,$T161)="","",INDEX('Market Data'!$E$5:$E$528,$T161)))</f>
        <v/>
      </c>
      <c r="K161" s="8">
        <f>IF($T161=0,"",IF(INDEX('Market Data'!$I$5:$I$528,$T161)="","",INDEX('Market Data'!$I$5:$I$528,$T161)))</f>
        <v/>
      </c>
      <c r="L161" s="10">
        <f>IF($T161=0,"",IF(INDEX('Market Data'!$J$5:$J$528,$T161)=0,"n/a",IF(AND($M$5&lt;&gt;"Snapshot",ISNUMBER(INDEX('Market Data'!$AH$5:$AH$66,INDEX('Market Data'!$J$5:$J$528,$T161)-4)),N(INDEX('Market Data'!$AH$5:$AH$66,INDEX('Market Data'!$J$5:$J$528,$T161)-4))&gt;0),INDEX('Market Data'!$AH$5:$AH$66,INDEX('Market Data'!$J$5:$J$528,$T161)-4),IF(AND($M$5&lt;&gt;"Bloomberg",ISNUMBER(INDEX('Market Data'!$AC$5:$AC$66,INDEX('Market Data'!$J$5:$J$528,$T161)-4)),N(INDEX('Market Data'!$AC$5:$AC$66,INDEX('Market Data'!$J$5:$J$528,$T161)-4))&gt;0),INDEX('Market Data'!$AC$5:$AC$66,INDEX('Market Data'!$J$5:$J$528,$T161)-4),"unavailable"))))</f>
        <v/>
      </c>
      <c r="M161" s="11">
        <f>IF($T161=0,"",IF(INDEX('Market Data'!$J$5:$J$528,$T161)=0,"n/a",IF(IF(INDEX('Market Data'!$J$5:$J$528,$T161)=0,0,IF(LEFT(INDEX('Market Data'!$AS$5:$AS$66,INDEX('Market Data'!$J$5:$J$528,$T161)-4),11)="First-month",1,0))=1,"class review",IF($I161="Bloomberg",IF(AND(ISNUMBER(INDEX('Market Data'!$AH$5:$AH$66,INDEX('Market Data'!$J$5:$J$528,$T161)-4)),N(INDEX('Market Data'!$AH$5:$AH$66,INDEX('Market Data'!$J$5:$J$528,$T161)-4))&gt;0,ISNUMBER('Market Data'!$B$1),N('Market Data'!$B$1)&gt;0),INDEX('Market Data'!$AH$5:$AH$66,INDEX('Market Data'!$J$5:$J$528,$T161)-4)*'Market Data'!$B$1/$E161-1,"pending A/FX"),IF(AND($I161="Snapshot",$Q161="Snapshot",ISNUMBER($E161),$G161=INDEX('Market Data'!$AE$5:$AE$66,INDEX('Market Data'!$J$5:$J$528,$T161)-4)),IFERROR(INDEX('Market Data'!$AC$5:$AC$66,INDEX('Market Data'!$J$5:$J$528,$T161)-4)*INDEX('Market Data'!$AD$5:$AD$66,INDEX('Market Data'!$J$5:$J$528,$T161)-4)/$E161-1,"unavailable"),IF($I161="Unavailable","unavailable","date mismatch"))))))</f>
        <v/>
      </c>
      <c r="N161" s="11">
        <f>IF($T161=0,"",IFERROR(IF(AND(N(INDEX('Market Data'!$F$5:$F$528,$T161))&gt;0,ISNUMBER(INDEX('Market Data'!$T$5:$T$528,$T161))),$E161*INDEX('Market Data'!$T$5:$T$528,$T161)/INDEX('Market Data'!$F$5:$F$528,$T161)-1,"unavailable"),"unavailable"))</f>
        <v/>
      </c>
      <c r="O161" s="9">
        <f>IF($T161=0,"",IF(IF(INDEX('Market Data'!$J$5:$J$528,$T161)=0,0,IF(LEFT(INDEX('Market Data'!$AS$5:$AS$66,INDEX('Market Data'!$J$5:$J$528,$T161)-4),11)="First-month",1,0))=1,"Class ratio review",IF($I161="Bloomberg",IF(ISNUMBER($G161),IF($G161&lt;TODAY(),"Older quote","See quote time"),"Date unavailable"),IF($I161="Snapshot",IF($G161&lt;DATEVALUE("2026-10-02"),"Older snapshot","Dated close"),"No valid quote"))))</f>
        <v/>
      </c>
      <c r="P161" s="14">
        <f>IF($T161=0,"",IF(INDEX('Market Data'!$J$5:$J$528,$T161)=0,"n/a",IF($Q161="Bloomberg",IF(AND(ISNUMBER(INDEX('Market Data'!$AK$5:$AK$66,INDEX('Market Data'!$J$5:$J$528,$T161)-4)),N(INDEX('Market Data'!$AK$5:$AK$66,INDEX('Market Data'!$J$5:$J$528,$T161)-4))&gt;0),INDEX('Market Data'!$AK$5:$AK$66,INDEX('Market Data'!$J$5:$J$528,$T161)-4),"date unavailable"),IF($Q161="Snapshot",IF(AND(ISNUMBER(INDEX('Market Data'!$AF$5:$AF$66,INDEX('Market Data'!$J$5:$J$528,$T161)-4)),N(INDEX('Market Data'!$AF$5:$AF$66,INDEX('Market Data'!$J$5:$J$528,$T161)-4))&gt;0),INDEX('Market Data'!$AF$5:$AF$66,INDEX('Market Data'!$J$5:$J$528,$T161)-4),"date unavailable"),"date unavailable"))))</f>
        <v/>
      </c>
      <c r="Q161" s="15">
        <f>IF($T161=0,"",IF(INDEX('Market Data'!$J$5:$J$528,$T161)=0,"n/a",IF(AND($M$5&lt;&gt;"Snapshot",ISNUMBER(INDEX('Market Data'!$AH$5:$AH$66,INDEX('Market Data'!$J$5:$J$528,$T161)-4)),N(INDEX('Market Data'!$AH$5:$AH$66,INDEX('Market Data'!$J$5:$J$528,$T161)-4))&gt;0),"Bloomberg",IF(AND($M$5&lt;&gt;"Bloomberg",ISNUMBER(INDEX('Market Data'!$AC$5:$AC$66,INDEX('Market Data'!$J$5:$J$528,$T161)-4)),N(INDEX('Market Data'!$AC$5:$AC$66,INDEX('Market Data'!$J$5:$J$528,$T161)-4))&gt;0),"Snapshot","Unavailable"))))</f>
        <v/>
      </c>
      <c r="T161">
        <f>IFERROR(MATCH(153,'Market Data'!$S$5:$S$528,0),0)</f>
        <v/>
      </c>
    </row>
    <row r="162" ht="34" customHeight="1">
      <c r="A162" s="8">
        <f>IF($T162=0,"",IF(INDEX('Market Data'!$A$5:$A$528,$T162)="","",INDEX('Market Data'!$A$5:$A$528,$T162)))</f>
        <v/>
      </c>
      <c r="B162" s="9">
        <f>IF($T162=0,"",IF(INDEX('Market Data'!$B$5:$B$528,$T162)="","",INDEX('Market Data'!$B$5:$B$528,$T162)))</f>
        <v/>
      </c>
      <c r="C162" s="9">
        <f>IF($T162=0,"",IF(INDEX('Market Data'!$C$5:$C$528,$T162)="","",INDEX('Market Data'!$C$5:$C$528,$T162)))</f>
        <v/>
      </c>
      <c r="D162" s="9">
        <f>IF($T162=0,"",IF(INDEX('Market Data'!$D$5:$D$528,$T162)="","",INDEX('Market Data'!$D$5:$D$528,$T162)))</f>
        <v/>
      </c>
      <c r="E162" s="10">
        <f>IF($T162=0,"",INDEX('Market Data'!$O$5:$O$528,$T162))</f>
        <v/>
      </c>
      <c r="F162" s="11">
        <f>IF($T162=0,"",IF(AND($I162="Bloomberg",ISNUMBER(INDEX('Market Data'!$L$5:$L$528,$T162))),INDEX('Market Data'!$L$5:$L$528,$T162),"unavailable"))</f>
        <v/>
      </c>
      <c r="G162" s="12">
        <f>IF($T162=0,"",IF($I162="Bloomberg",IF(AND(ISNUMBER(INDEX('Market Data'!$M$5:$M$528,$T162)),N(INDEX('Market Data'!$M$5:$M$528,$T162))&gt;0),INDEX('Market Data'!$M$5:$M$528,$T162),"date unavailable"),IF($I162="Snapshot",IF(AND(ISNUMBER(INDEX('Market Data'!$H$5:$H$528,$T162)),N(INDEX('Market Data'!$H$5:$H$528,$T162))&gt;0),INDEX('Market Data'!$H$5:$H$528,$T162),"date unavailable"),"date unavailable")))</f>
        <v/>
      </c>
      <c r="H162" s="9">
        <f>IF($T162=0,"",IF($I162="Bloomberg",IF(INDEX('Market Data'!$N$5:$N$528,$T162)="","time unavailable",INDEX('Market Data'!$N$5:$N$528,$T162)),""))</f>
        <v/>
      </c>
      <c r="I162" s="9">
        <f>IF($T162=0,"",INDEX('Market Data'!$P$5:$P$528,$T162))</f>
        <v/>
      </c>
      <c r="J162" s="13">
        <f>IF($T162=0,"",IF(INDEX('Market Data'!$E$5:$E$528,$T162)="","",INDEX('Market Data'!$E$5:$E$528,$T162)))</f>
        <v/>
      </c>
      <c r="K162" s="8">
        <f>IF($T162=0,"",IF(INDEX('Market Data'!$I$5:$I$528,$T162)="","",INDEX('Market Data'!$I$5:$I$528,$T162)))</f>
        <v/>
      </c>
      <c r="L162" s="10">
        <f>IF($T162=0,"",IF(INDEX('Market Data'!$J$5:$J$528,$T162)=0,"n/a",IF(AND($M$5&lt;&gt;"Snapshot",ISNUMBER(INDEX('Market Data'!$AH$5:$AH$66,INDEX('Market Data'!$J$5:$J$528,$T162)-4)),N(INDEX('Market Data'!$AH$5:$AH$66,INDEX('Market Data'!$J$5:$J$528,$T162)-4))&gt;0),INDEX('Market Data'!$AH$5:$AH$66,INDEX('Market Data'!$J$5:$J$528,$T162)-4),IF(AND($M$5&lt;&gt;"Bloomberg",ISNUMBER(INDEX('Market Data'!$AC$5:$AC$66,INDEX('Market Data'!$J$5:$J$528,$T162)-4)),N(INDEX('Market Data'!$AC$5:$AC$66,INDEX('Market Data'!$J$5:$J$528,$T162)-4))&gt;0),INDEX('Market Data'!$AC$5:$AC$66,INDEX('Market Data'!$J$5:$J$528,$T162)-4),"unavailable"))))</f>
        <v/>
      </c>
      <c r="M162" s="11">
        <f>IF($T162=0,"",IF(INDEX('Market Data'!$J$5:$J$528,$T162)=0,"n/a",IF(IF(INDEX('Market Data'!$J$5:$J$528,$T162)=0,0,IF(LEFT(INDEX('Market Data'!$AS$5:$AS$66,INDEX('Market Data'!$J$5:$J$528,$T162)-4),11)="First-month",1,0))=1,"class review",IF($I162="Bloomberg",IF(AND(ISNUMBER(INDEX('Market Data'!$AH$5:$AH$66,INDEX('Market Data'!$J$5:$J$528,$T162)-4)),N(INDEX('Market Data'!$AH$5:$AH$66,INDEX('Market Data'!$J$5:$J$528,$T162)-4))&gt;0,ISNUMBER('Market Data'!$B$1),N('Market Data'!$B$1)&gt;0),INDEX('Market Data'!$AH$5:$AH$66,INDEX('Market Data'!$J$5:$J$528,$T162)-4)*'Market Data'!$B$1/$E162-1,"pending A/FX"),IF(AND($I162="Snapshot",$Q162="Snapshot",ISNUMBER($E162),$G162=INDEX('Market Data'!$AE$5:$AE$66,INDEX('Market Data'!$J$5:$J$528,$T162)-4)),IFERROR(INDEX('Market Data'!$AC$5:$AC$66,INDEX('Market Data'!$J$5:$J$528,$T162)-4)*INDEX('Market Data'!$AD$5:$AD$66,INDEX('Market Data'!$J$5:$J$528,$T162)-4)/$E162-1,"unavailable"),IF($I162="Unavailable","unavailable","date mismatch"))))))</f>
        <v/>
      </c>
      <c r="N162" s="11">
        <f>IF($T162=0,"",IFERROR(IF(AND(N(INDEX('Market Data'!$F$5:$F$528,$T162))&gt;0,ISNUMBER(INDEX('Market Data'!$T$5:$T$528,$T162))),$E162*INDEX('Market Data'!$T$5:$T$528,$T162)/INDEX('Market Data'!$F$5:$F$528,$T162)-1,"unavailable"),"unavailable"))</f>
        <v/>
      </c>
      <c r="O162" s="9">
        <f>IF($T162=0,"",IF(IF(INDEX('Market Data'!$J$5:$J$528,$T162)=0,0,IF(LEFT(INDEX('Market Data'!$AS$5:$AS$66,INDEX('Market Data'!$J$5:$J$528,$T162)-4),11)="First-month",1,0))=1,"Class ratio review",IF($I162="Bloomberg",IF(ISNUMBER($G162),IF($G162&lt;TODAY(),"Older quote","See quote time"),"Date unavailable"),IF($I162="Snapshot",IF($G162&lt;DATEVALUE("2026-10-02"),"Older snapshot","Dated close"),"No valid quote"))))</f>
        <v/>
      </c>
      <c r="P162" s="14">
        <f>IF($T162=0,"",IF(INDEX('Market Data'!$J$5:$J$528,$T162)=0,"n/a",IF($Q162="Bloomberg",IF(AND(ISNUMBER(INDEX('Market Data'!$AK$5:$AK$66,INDEX('Market Data'!$J$5:$J$528,$T162)-4)),N(INDEX('Market Data'!$AK$5:$AK$66,INDEX('Market Data'!$J$5:$J$528,$T162)-4))&gt;0),INDEX('Market Data'!$AK$5:$AK$66,INDEX('Market Data'!$J$5:$J$528,$T162)-4),"date unavailable"),IF($Q162="Snapshot",IF(AND(ISNUMBER(INDEX('Market Data'!$AF$5:$AF$66,INDEX('Market Data'!$J$5:$J$528,$T162)-4)),N(INDEX('Market Data'!$AF$5:$AF$66,INDEX('Market Data'!$J$5:$J$528,$T162)-4))&gt;0),INDEX('Market Data'!$AF$5:$AF$66,INDEX('Market Data'!$J$5:$J$528,$T162)-4),"date unavailable"),"date unavailable"))))</f>
        <v/>
      </c>
      <c r="Q162" s="15">
        <f>IF($T162=0,"",IF(INDEX('Market Data'!$J$5:$J$528,$T162)=0,"n/a",IF(AND($M$5&lt;&gt;"Snapshot",ISNUMBER(INDEX('Market Data'!$AH$5:$AH$66,INDEX('Market Data'!$J$5:$J$528,$T162)-4)),N(INDEX('Market Data'!$AH$5:$AH$66,INDEX('Market Data'!$J$5:$J$528,$T162)-4))&gt;0),"Bloomberg",IF(AND($M$5&lt;&gt;"Bloomberg",ISNUMBER(INDEX('Market Data'!$AC$5:$AC$66,INDEX('Market Data'!$J$5:$J$528,$T162)-4)),N(INDEX('Market Data'!$AC$5:$AC$66,INDEX('Market Data'!$J$5:$J$528,$T162)-4))&gt;0),"Snapshot","Unavailable"))))</f>
        <v/>
      </c>
      <c r="T162">
        <f>IFERROR(MATCH(154,'Market Data'!$S$5:$S$528,0),0)</f>
        <v/>
      </c>
    </row>
    <row r="163" ht="34" customHeight="1">
      <c r="A163" s="8">
        <f>IF($T163=0,"",IF(INDEX('Market Data'!$A$5:$A$528,$T163)="","",INDEX('Market Data'!$A$5:$A$528,$T163)))</f>
        <v/>
      </c>
      <c r="B163" s="9">
        <f>IF($T163=0,"",IF(INDEX('Market Data'!$B$5:$B$528,$T163)="","",INDEX('Market Data'!$B$5:$B$528,$T163)))</f>
        <v/>
      </c>
      <c r="C163" s="9">
        <f>IF($T163=0,"",IF(INDEX('Market Data'!$C$5:$C$528,$T163)="","",INDEX('Market Data'!$C$5:$C$528,$T163)))</f>
        <v/>
      </c>
      <c r="D163" s="9">
        <f>IF($T163=0,"",IF(INDEX('Market Data'!$D$5:$D$528,$T163)="","",INDEX('Market Data'!$D$5:$D$528,$T163)))</f>
        <v/>
      </c>
      <c r="E163" s="10">
        <f>IF($T163=0,"",INDEX('Market Data'!$O$5:$O$528,$T163))</f>
        <v/>
      </c>
      <c r="F163" s="11">
        <f>IF($T163=0,"",IF(AND($I163="Bloomberg",ISNUMBER(INDEX('Market Data'!$L$5:$L$528,$T163))),INDEX('Market Data'!$L$5:$L$528,$T163),"unavailable"))</f>
        <v/>
      </c>
      <c r="G163" s="12">
        <f>IF($T163=0,"",IF($I163="Bloomberg",IF(AND(ISNUMBER(INDEX('Market Data'!$M$5:$M$528,$T163)),N(INDEX('Market Data'!$M$5:$M$528,$T163))&gt;0),INDEX('Market Data'!$M$5:$M$528,$T163),"date unavailable"),IF($I163="Snapshot",IF(AND(ISNUMBER(INDEX('Market Data'!$H$5:$H$528,$T163)),N(INDEX('Market Data'!$H$5:$H$528,$T163))&gt;0),INDEX('Market Data'!$H$5:$H$528,$T163),"date unavailable"),"date unavailable")))</f>
        <v/>
      </c>
      <c r="H163" s="9">
        <f>IF($T163=0,"",IF($I163="Bloomberg",IF(INDEX('Market Data'!$N$5:$N$528,$T163)="","time unavailable",INDEX('Market Data'!$N$5:$N$528,$T163)),""))</f>
        <v/>
      </c>
      <c r="I163" s="9">
        <f>IF($T163=0,"",INDEX('Market Data'!$P$5:$P$528,$T163))</f>
        <v/>
      </c>
      <c r="J163" s="13">
        <f>IF($T163=0,"",IF(INDEX('Market Data'!$E$5:$E$528,$T163)="","",INDEX('Market Data'!$E$5:$E$528,$T163)))</f>
        <v/>
      </c>
      <c r="K163" s="8">
        <f>IF($T163=0,"",IF(INDEX('Market Data'!$I$5:$I$528,$T163)="","",INDEX('Market Data'!$I$5:$I$528,$T163)))</f>
        <v/>
      </c>
      <c r="L163" s="10">
        <f>IF($T163=0,"",IF(INDEX('Market Data'!$J$5:$J$528,$T163)=0,"n/a",IF(AND($M$5&lt;&gt;"Snapshot",ISNUMBER(INDEX('Market Data'!$AH$5:$AH$66,INDEX('Market Data'!$J$5:$J$528,$T163)-4)),N(INDEX('Market Data'!$AH$5:$AH$66,INDEX('Market Data'!$J$5:$J$528,$T163)-4))&gt;0),INDEX('Market Data'!$AH$5:$AH$66,INDEX('Market Data'!$J$5:$J$528,$T163)-4),IF(AND($M$5&lt;&gt;"Bloomberg",ISNUMBER(INDEX('Market Data'!$AC$5:$AC$66,INDEX('Market Data'!$J$5:$J$528,$T163)-4)),N(INDEX('Market Data'!$AC$5:$AC$66,INDEX('Market Data'!$J$5:$J$528,$T163)-4))&gt;0),INDEX('Market Data'!$AC$5:$AC$66,INDEX('Market Data'!$J$5:$J$528,$T163)-4),"unavailable"))))</f>
        <v/>
      </c>
      <c r="M163" s="11">
        <f>IF($T163=0,"",IF(INDEX('Market Data'!$J$5:$J$528,$T163)=0,"n/a",IF(IF(INDEX('Market Data'!$J$5:$J$528,$T163)=0,0,IF(LEFT(INDEX('Market Data'!$AS$5:$AS$66,INDEX('Market Data'!$J$5:$J$528,$T163)-4),11)="First-month",1,0))=1,"class review",IF($I163="Bloomberg",IF(AND(ISNUMBER(INDEX('Market Data'!$AH$5:$AH$66,INDEX('Market Data'!$J$5:$J$528,$T163)-4)),N(INDEX('Market Data'!$AH$5:$AH$66,INDEX('Market Data'!$J$5:$J$528,$T163)-4))&gt;0,ISNUMBER('Market Data'!$B$1),N('Market Data'!$B$1)&gt;0),INDEX('Market Data'!$AH$5:$AH$66,INDEX('Market Data'!$J$5:$J$528,$T163)-4)*'Market Data'!$B$1/$E163-1,"pending A/FX"),IF(AND($I163="Snapshot",$Q163="Snapshot",ISNUMBER($E163),$G163=INDEX('Market Data'!$AE$5:$AE$66,INDEX('Market Data'!$J$5:$J$528,$T163)-4)),IFERROR(INDEX('Market Data'!$AC$5:$AC$66,INDEX('Market Data'!$J$5:$J$528,$T163)-4)*INDEX('Market Data'!$AD$5:$AD$66,INDEX('Market Data'!$J$5:$J$528,$T163)-4)/$E163-1,"unavailable"),IF($I163="Unavailable","unavailable","date mismatch"))))))</f>
        <v/>
      </c>
      <c r="N163" s="11">
        <f>IF($T163=0,"",IFERROR(IF(AND(N(INDEX('Market Data'!$F$5:$F$528,$T163))&gt;0,ISNUMBER(INDEX('Market Data'!$T$5:$T$528,$T163))),$E163*INDEX('Market Data'!$T$5:$T$528,$T163)/INDEX('Market Data'!$F$5:$F$528,$T163)-1,"unavailable"),"unavailable"))</f>
        <v/>
      </c>
      <c r="O163" s="9">
        <f>IF($T163=0,"",IF(IF(INDEX('Market Data'!$J$5:$J$528,$T163)=0,0,IF(LEFT(INDEX('Market Data'!$AS$5:$AS$66,INDEX('Market Data'!$J$5:$J$528,$T163)-4),11)="First-month",1,0))=1,"Class ratio review",IF($I163="Bloomberg",IF(ISNUMBER($G163),IF($G163&lt;TODAY(),"Older quote","See quote time"),"Date unavailable"),IF($I163="Snapshot",IF($G163&lt;DATEVALUE("2026-10-02"),"Older snapshot","Dated close"),"No valid quote"))))</f>
        <v/>
      </c>
      <c r="P163" s="14">
        <f>IF($T163=0,"",IF(INDEX('Market Data'!$J$5:$J$528,$T163)=0,"n/a",IF($Q163="Bloomberg",IF(AND(ISNUMBER(INDEX('Market Data'!$AK$5:$AK$66,INDEX('Market Data'!$J$5:$J$528,$T163)-4)),N(INDEX('Market Data'!$AK$5:$AK$66,INDEX('Market Data'!$J$5:$J$528,$T163)-4))&gt;0),INDEX('Market Data'!$AK$5:$AK$66,INDEX('Market Data'!$J$5:$J$528,$T163)-4),"date unavailable"),IF($Q163="Snapshot",IF(AND(ISNUMBER(INDEX('Market Data'!$AF$5:$AF$66,INDEX('Market Data'!$J$5:$J$528,$T163)-4)),N(INDEX('Market Data'!$AF$5:$AF$66,INDEX('Market Data'!$J$5:$J$528,$T163)-4))&gt;0),INDEX('Market Data'!$AF$5:$AF$66,INDEX('Market Data'!$J$5:$J$528,$T163)-4),"date unavailable"),"date unavailable"))))</f>
        <v/>
      </c>
      <c r="Q163" s="15">
        <f>IF($T163=0,"",IF(INDEX('Market Data'!$J$5:$J$528,$T163)=0,"n/a",IF(AND($M$5&lt;&gt;"Snapshot",ISNUMBER(INDEX('Market Data'!$AH$5:$AH$66,INDEX('Market Data'!$J$5:$J$528,$T163)-4)),N(INDEX('Market Data'!$AH$5:$AH$66,INDEX('Market Data'!$J$5:$J$528,$T163)-4))&gt;0),"Bloomberg",IF(AND($M$5&lt;&gt;"Bloomberg",ISNUMBER(INDEX('Market Data'!$AC$5:$AC$66,INDEX('Market Data'!$J$5:$J$528,$T163)-4)),N(INDEX('Market Data'!$AC$5:$AC$66,INDEX('Market Data'!$J$5:$J$528,$T163)-4))&gt;0),"Snapshot","Unavailable"))))</f>
        <v/>
      </c>
      <c r="T163">
        <f>IFERROR(MATCH(155,'Market Data'!$S$5:$S$528,0),0)</f>
        <v/>
      </c>
    </row>
    <row r="164" ht="34" customHeight="1">
      <c r="A164" s="8">
        <f>IF($T164=0,"",IF(INDEX('Market Data'!$A$5:$A$528,$T164)="","",INDEX('Market Data'!$A$5:$A$528,$T164)))</f>
        <v/>
      </c>
      <c r="B164" s="9">
        <f>IF($T164=0,"",IF(INDEX('Market Data'!$B$5:$B$528,$T164)="","",INDEX('Market Data'!$B$5:$B$528,$T164)))</f>
        <v/>
      </c>
      <c r="C164" s="9">
        <f>IF($T164=0,"",IF(INDEX('Market Data'!$C$5:$C$528,$T164)="","",INDEX('Market Data'!$C$5:$C$528,$T164)))</f>
        <v/>
      </c>
      <c r="D164" s="9">
        <f>IF($T164=0,"",IF(INDEX('Market Data'!$D$5:$D$528,$T164)="","",INDEX('Market Data'!$D$5:$D$528,$T164)))</f>
        <v/>
      </c>
      <c r="E164" s="10">
        <f>IF($T164=0,"",INDEX('Market Data'!$O$5:$O$528,$T164))</f>
        <v/>
      </c>
      <c r="F164" s="11">
        <f>IF($T164=0,"",IF(AND($I164="Bloomberg",ISNUMBER(INDEX('Market Data'!$L$5:$L$528,$T164))),INDEX('Market Data'!$L$5:$L$528,$T164),"unavailable"))</f>
        <v/>
      </c>
      <c r="G164" s="12">
        <f>IF($T164=0,"",IF($I164="Bloomberg",IF(AND(ISNUMBER(INDEX('Market Data'!$M$5:$M$528,$T164)),N(INDEX('Market Data'!$M$5:$M$528,$T164))&gt;0),INDEX('Market Data'!$M$5:$M$528,$T164),"date unavailable"),IF($I164="Snapshot",IF(AND(ISNUMBER(INDEX('Market Data'!$H$5:$H$528,$T164)),N(INDEX('Market Data'!$H$5:$H$528,$T164))&gt;0),INDEX('Market Data'!$H$5:$H$528,$T164),"date unavailable"),"date unavailable")))</f>
        <v/>
      </c>
      <c r="H164" s="9">
        <f>IF($T164=0,"",IF($I164="Bloomberg",IF(INDEX('Market Data'!$N$5:$N$528,$T164)="","time unavailable",INDEX('Market Data'!$N$5:$N$528,$T164)),""))</f>
        <v/>
      </c>
      <c r="I164" s="9">
        <f>IF($T164=0,"",INDEX('Market Data'!$P$5:$P$528,$T164))</f>
        <v/>
      </c>
      <c r="J164" s="13">
        <f>IF($T164=0,"",IF(INDEX('Market Data'!$E$5:$E$528,$T164)="","",INDEX('Market Data'!$E$5:$E$528,$T164)))</f>
        <v/>
      </c>
      <c r="K164" s="8">
        <f>IF($T164=0,"",IF(INDEX('Market Data'!$I$5:$I$528,$T164)="","",INDEX('Market Data'!$I$5:$I$528,$T164)))</f>
        <v/>
      </c>
      <c r="L164" s="10">
        <f>IF($T164=0,"",IF(INDEX('Market Data'!$J$5:$J$528,$T164)=0,"n/a",IF(AND($M$5&lt;&gt;"Snapshot",ISNUMBER(INDEX('Market Data'!$AH$5:$AH$66,INDEX('Market Data'!$J$5:$J$528,$T164)-4)),N(INDEX('Market Data'!$AH$5:$AH$66,INDEX('Market Data'!$J$5:$J$528,$T164)-4))&gt;0),INDEX('Market Data'!$AH$5:$AH$66,INDEX('Market Data'!$J$5:$J$528,$T164)-4),IF(AND($M$5&lt;&gt;"Bloomberg",ISNUMBER(INDEX('Market Data'!$AC$5:$AC$66,INDEX('Market Data'!$J$5:$J$528,$T164)-4)),N(INDEX('Market Data'!$AC$5:$AC$66,INDEX('Market Data'!$J$5:$J$528,$T164)-4))&gt;0),INDEX('Market Data'!$AC$5:$AC$66,INDEX('Market Data'!$J$5:$J$528,$T164)-4),"unavailable"))))</f>
        <v/>
      </c>
      <c r="M164" s="11">
        <f>IF($T164=0,"",IF(INDEX('Market Data'!$J$5:$J$528,$T164)=0,"n/a",IF(IF(INDEX('Market Data'!$J$5:$J$528,$T164)=0,0,IF(LEFT(INDEX('Market Data'!$AS$5:$AS$66,INDEX('Market Data'!$J$5:$J$528,$T164)-4),11)="First-month",1,0))=1,"class review",IF($I164="Bloomberg",IF(AND(ISNUMBER(INDEX('Market Data'!$AH$5:$AH$66,INDEX('Market Data'!$J$5:$J$528,$T164)-4)),N(INDEX('Market Data'!$AH$5:$AH$66,INDEX('Market Data'!$J$5:$J$528,$T164)-4))&gt;0,ISNUMBER('Market Data'!$B$1),N('Market Data'!$B$1)&gt;0),INDEX('Market Data'!$AH$5:$AH$66,INDEX('Market Data'!$J$5:$J$528,$T164)-4)*'Market Data'!$B$1/$E164-1,"pending A/FX"),IF(AND($I164="Snapshot",$Q164="Snapshot",ISNUMBER($E164),$G164=INDEX('Market Data'!$AE$5:$AE$66,INDEX('Market Data'!$J$5:$J$528,$T164)-4)),IFERROR(INDEX('Market Data'!$AC$5:$AC$66,INDEX('Market Data'!$J$5:$J$528,$T164)-4)*INDEX('Market Data'!$AD$5:$AD$66,INDEX('Market Data'!$J$5:$J$528,$T164)-4)/$E164-1,"unavailable"),IF($I164="Unavailable","unavailable","date mismatch"))))))</f>
        <v/>
      </c>
      <c r="N164" s="11">
        <f>IF($T164=0,"",IFERROR(IF(AND(N(INDEX('Market Data'!$F$5:$F$528,$T164))&gt;0,ISNUMBER(INDEX('Market Data'!$T$5:$T$528,$T164))),$E164*INDEX('Market Data'!$T$5:$T$528,$T164)/INDEX('Market Data'!$F$5:$F$528,$T164)-1,"unavailable"),"unavailable"))</f>
        <v/>
      </c>
      <c r="O164" s="9">
        <f>IF($T164=0,"",IF(IF(INDEX('Market Data'!$J$5:$J$528,$T164)=0,0,IF(LEFT(INDEX('Market Data'!$AS$5:$AS$66,INDEX('Market Data'!$J$5:$J$528,$T164)-4),11)="First-month",1,0))=1,"Class ratio review",IF($I164="Bloomberg",IF(ISNUMBER($G164),IF($G164&lt;TODAY(),"Older quote","See quote time"),"Date unavailable"),IF($I164="Snapshot",IF($G164&lt;DATEVALUE("2026-10-02"),"Older snapshot","Dated close"),"No valid quote"))))</f>
        <v/>
      </c>
      <c r="P164" s="14">
        <f>IF($T164=0,"",IF(INDEX('Market Data'!$J$5:$J$528,$T164)=0,"n/a",IF($Q164="Bloomberg",IF(AND(ISNUMBER(INDEX('Market Data'!$AK$5:$AK$66,INDEX('Market Data'!$J$5:$J$528,$T164)-4)),N(INDEX('Market Data'!$AK$5:$AK$66,INDEX('Market Data'!$J$5:$J$528,$T164)-4))&gt;0),INDEX('Market Data'!$AK$5:$AK$66,INDEX('Market Data'!$J$5:$J$528,$T164)-4),"date unavailable"),IF($Q164="Snapshot",IF(AND(ISNUMBER(INDEX('Market Data'!$AF$5:$AF$66,INDEX('Market Data'!$J$5:$J$528,$T164)-4)),N(INDEX('Market Data'!$AF$5:$AF$66,INDEX('Market Data'!$J$5:$J$528,$T164)-4))&gt;0),INDEX('Market Data'!$AF$5:$AF$66,INDEX('Market Data'!$J$5:$J$528,$T164)-4),"date unavailable"),"date unavailable"))))</f>
        <v/>
      </c>
      <c r="Q164" s="15">
        <f>IF($T164=0,"",IF(INDEX('Market Data'!$J$5:$J$528,$T164)=0,"n/a",IF(AND($M$5&lt;&gt;"Snapshot",ISNUMBER(INDEX('Market Data'!$AH$5:$AH$66,INDEX('Market Data'!$J$5:$J$528,$T164)-4)),N(INDEX('Market Data'!$AH$5:$AH$66,INDEX('Market Data'!$J$5:$J$528,$T164)-4))&gt;0),"Bloomberg",IF(AND($M$5&lt;&gt;"Bloomberg",ISNUMBER(INDEX('Market Data'!$AC$5:$AC$66,INDEX('Market Data'!$J$5:$J$528,$T164)-4)),N(INDEX('Market Data'!$AC$5:$AC$66,INDEX('Market Data'!$J$5:$J$528,$T164)-4))&gt;0),"Snapshot","Unavailable"))))</f>
        <v/>
      </c>
      <c r="T164">
        <f>IFERROR(MATCH(156,'Market Data'!$S$5:$S$528,0),0)</f>
        <v/>
      </c>
    </row>
    <row r="165" ht="34" customHeight="1">
      <c r="A165" s="8">
        <f>IF($T165=0,"",IF(INDEX('Market Data'!$A$5:$A$528,$T165)="","",INDEX('Market Data'!$A$5:$A$528,$T165)))</f>
        <v/>
      </c>
      <c r="B165" s="9">
        <f>IF($T165=0,"",IF(INDEX('Market Data'!$B$5:$B$528,$T165)="","",INDEX('Market Data'!$B$5:$B$528,$T165)))</f>
        <v/>
      </c>
      <c r="C165" s="9">
        <f>IF($T165=0,"",IF(INDEX('Market Data'!$C$5:$C$528,$T165)="","",INDEX('Market Data'!$C$5:$C$528,$T165)))</f>
        <v/>
      </c>
      <c r="D165" s="9">
        <f>IF($T165=0,"",IF(INDEX('Market Data'!$D$5:$D$528,$T165)="","",INDEX('Market Data'!$D$5:$D$528,$T165)))</f>
        <v/>
      </c>
      <c r="E165" s="10">
        <f>IF($T165=0,"",INDEX('Market Data'!$O$5:$O$528,$T165))</f>
        <v/>
      </c>
      <c r="F165" s="11">
        <f>IF($T165=0,"",IF(AND($I165="Bloomberg",ISNUMBER(INDEX('Market Data'!$L$5:$L$528,$T165))),INDEX('Market Data'!$L$5:$L$528,$T165),"unavailable"))</f>
        <v/>
      </c>
      <c r="G165" s="12">
        <f>IF($T165=0,"",IF($I165="Bloomberg",IF(AND(ISNUMBER(INDEX('Market Data'!$M$5:$M$528,$T165)),N(INDEX('Market Data'!$M$5:$M$528,$T165))&gt;0),INDEX('Market Data'!$M$5:$M$528,$T165),"date unavailable"),IF($I165="Snapshot",IF(AND(ISNUMBER(INDEX('Market Data'!$H$5:$H$528,$T165)),N(INDEX('Market Data'!$H$5:$H$528,$T165))&gt;0),INDEX('Market Data'!$H$5:$H$528,$T165),"date unavailable"),"date unavailable")))</f>
        <v/>
      </c>
      <c r="H165" s="9">
        <f>IF($T165=0,"",IF($I165="Bloomberg",IF(INDEX('Market Data'!$N$5:$N$528,$T165)="","time unavailable",INDEX('Market Data'!$N$5:$N$528,$T165)),""))</f>
        <v/>
      </c>
      <c r="I165" s="9">
        <f>IF($T165=0,"",INDEX('Market Data'!$P$5:$P$528,$T165))</f>
        <v/>
      </c>
      <c r="J165" s="13">
        <f>IF($T165=0,"",IF(INDEX('Market Data'!$E$5:$E$528,$T165)="","",INDEX('Market Data'!$E$5:$E$528,$T165)))</f>
        <v/>
      </c>
      <c r="K165" s="8">
        <f>IF($T165=0,"",IF(INDEX('Market Data'!$I$5:$I$528,$T165)="","",INDEX('Market Data'!$I$5:$I$528,$T165)))</f>
        <v/>
      </c>
      <c r="L165" s="10">
        <f>IF($T165=0,"",IF(INDEX('Market Data'!$J$5:$J$528,$T165)=0,"n/a",IF(AND($M$5&lt;&gt;"Snapshot",ISNUMBER(INDEX('Market Data'!$AH$5:$AH$66,INDEX('Market Data'!$J$5:$J$528,$T165)-4)),N(INDEX('Market Data'!$AH$5:$AH$66,INDEX('Market Data'!$J$5:$J$528,$T165)-4))&gt;0),INDEX('Market Data'!$AH$5:$AH$66,INDEX('Market Data'!$J$5:$J$528,$T165)-4),IF(AND($M$5&lt;&gt;"Bloomberg",ISNUMBER(INDEX('Market Data'!$AC$5:$AC$66,INDEX('Market Data'!$J$5:$J$528,$T165)-4)),N(INDEX('Market Data'!$AC$5:$AC$66,INDEX('Market Data'!$J$5:$J$528,$T165)-4))&gt;0),INDEX('Market Data'!$AC$5:$AC$66,INDEX('Market Data'!$J$5:$J$528,$T165)-4),"unavailable"))))</f>
        <v/>
      </c>
      <c r="M165" s="11">
        <f>IF($T165=0,"",IF(INDEX('Market Data'!$J$5:$J$528,$T165)=0,"n/a",IF(IF(INDEX('Market Data'!$J$5:$J$528,$T165)=0,0,IF(LEFT(INDEX('Market Data'!$AS$5:$AS$66,INDEX('Market Data'!$J$5:$J$528,$T165)-4),11)="First-month",1,0))=1,"class review",IF($I165="Bloomberg",IF(AND(ISNUMBER(INDEX('Market Data'!$AH$5:$AH$66,INDEX('Market Data'!$J$5:$J$528,$T165)-4)),N(INDEX('Market Data'!$AH$5:$AH$66,INDEX('Market Data'!$J$5:$J$528,$T165)-4))&gt;0,ISNUMBER('Market Data'!$B$1),N('Market Data'!$B$1)&gt;0),INDEX('Market Data'!$AH$5:$AH$66,INDEX('Market Data'!$J$5:$J$528,$T165)-4)*'Market Data'!$B$1/$E165-1,"pending A/FX"),IF(AND($I165="Snapshot",$Q165="Snapshot",ISNUMBER($E165),$G165=INDEX('Market Data'!$AE$5:$AE$66,INDEX('Market Data'!$J$5:$J$528,$T165)-4)),IFERROR(INDEX('Market Data'!$AC$5:$AC$66,INDEX('Market Data'!$J$5:$J$528,$T165)-4)*INDEX('Market Data'!$AD$5:$AD$66,INDEX('Market Data'!$J$5:$J$528,$T165)-4)/$E165-1,"unavailable"),IF($I165="Unavailable","unavailable","date mismatch"))))))</f>
        <v/>
      </c>
      <c r="N165" s="11">
        <f>IF($T165=0,"",IFERROR(IF(AND(N(INDEX('Market Data'!$F$5:$F$528,$T165))&gt;0,ISNUMBER(INDEX('Market Data'!$T$5:$T$528,$T165))),$E165*INDEX('Market Data'!$T$5:$T$528,$T165)/INDEX('Market Data'!$F$5:$F$528,$T165)-1,"unavailable"),"unavailable"))</f>
        <v/>
      </c>
      <c r="O165" s="9">
        <f>IF($T165=0,"",IF(IF(INDEX('Market Data'!$J$5:$J$528,$T165)=0,0,IF(LEFT(INDEX('Market Data'!$AS$5:$AS$66,INDEX('Market Data'!$J$5:$J$528,$T165)-4),11)="First-month",1,0))=1,"Class ratio review",IF($I165="Bloomberg",IF(ISNUMBER($G165),IF($G165&lt;TODAY(),"Older quote","See quote time"),"Date unavailable"),IF($I165="Snapshot",IF($G165&lt;DATEVALUE("2026-10-02"),"Older snapshot","Dated close"),"No valid quote"))))</f>
        <v/>
      </c>
      <c r="P165" s="14">
        <f>IF($T165=0,"",IF(INDEX('Market Data'!$J$5:$J$528,$T165)=0,"n/a",IF($Q165="Bloomberg",IF(AND(ISNUMBER(INDEX('Market Data'!$AK$5:$AK$66,INDEX('Market Data'!$J$5:$J$528,$T165)-4)),N(INDEX('Market Data'!$AK$5:$AK$66,INDEX('Market Data'!$J$5:$J$528,$T165)-4))&gt;0),INDEX('Market Data'!$AK$5:$AK$66,INDEX('Market Data'!$J$5:$J$528,$T165)-4),"date unavailable"),IF($Q165="Snapshot",IF(AND(ISNUMBER(INDEX('Market Data'!$AF$5:$AF$66,INDEX('Market Data'!$J$5:$J$528,$T165)-4)),N(INDEX('Market Data'!$AF$5:$AF$66,INDEX('Market Data'!$J$5:$J$528,$T165)-4))&gt;0),INDEX('Market Data'!$AF$5:$AF$66,INDEX('Market Data'!$J$5:$J$528,$T165)-4),"date unavailable"),"date unavailable"))))</f>
        <v/>
      </c>
      <c r="Q165" s="15">
        <f>IF($T165=0,"",IF(INDEX('Market Data'!$J$5:$J$528,$T165)=0,"n/a",IF(AND($M$5&lt;&gt;"Snapshot",ISNUMBER(INDEX('Market Data'!$AH$5:$AH$66,INDEX('Market Data'!$J$5:$J$528,$T165)-4)),N(INDEX('Market Data'!$AH$5:$AH$66,INDEX('Market Data'!$J$5:$J$528,$T165)-4))&gt;0),"Bloomberg",IF(AND($M$5&lt;&gt;"Bloomberg",ISNUMBER(INDEX('Market Data'!$AC$5:$AC$66,INDEX('Market Data'!$J$5:$J$528,$T165)-4)),N(INDEX('Market Data'!$AC$5:$AC$66,INDEX('Market Data'!$J$5:$J$528,$T165)-4))&gt;0),"Snapshot","Unavailable"))))</f>
        <v/>
      </c>
      <c r="T165">
        <f>IFERROR(MATCH(157,'Market Data'!$S$5:$S$528,0),0)</f>
        <v/>
      </c>
    </row>
    <row r="166" ht="34" customHeight="1">
      <c r="A166" s="8">
        <f>IF($T166=0,"",IF(INDEX('Market Data'!$A$5:$A$528,$T166)="","",INDEX('Market Data'!$A$5:$A$528,$T166)))</f>
        <v/>
      </c>
      <c r="B166" s="9">
        <f>IF($T166=0,"",IF(INDEX('Market Data'!$B$5:$B$528,$T166)="","",INDEX('Market Data'!$B$5:$B$528,$T166)))</f>
        <v/>
      </c>
      <c r="C166" s="9">
        <f>IF($T166=0,"",IF(INDEX('Market Data'!$C$5:$C$528,$T166)="","",INDEX('Market Data'!$C$5:$C$528,$T166)))</f>
        <v/>
      </c>
      <c r="D166" s="9">
        <f>IF($T166=0,"",IF(INDEX('Market Data'!$D$5:$D$528,$T166)="","",INDEX('Market Data'!$D$5:$D$528,$T166)))</f>
        <v/>
      </c>
      <c r="E166" s="10">
        <f>IF($T166=0,"",INDEX('Market Data'!$O$5:$O$528,$T166))</f>
        <v/>
      </c>
      <c r="F166" s="11">
        <f>IF($T166=0,"",IF(AND($I166="Bloomberg",ISNUMBER(INDEX('Market Data'!$L$5:$L$528,$T166))),INDEX('Market Data'!$L$5:$L$528,$T166),"unavailable"))</f>
        <v/>
      </c>
      <c r="G166" s="12">
        <f>IF($T166=0,"",IF($I166="Bloomberg",IF(AND(ISNUMBER(INDEX('Market Data'!$M$5:$M$528,$T166)),N(INDEX('Market Data'!$M$5:$M$528,$T166))&gt;0),INDEX('Market Data'!$M$5:$M$528,$T166),"date unavailable"),IF($I166="Snapshot",IF(AND(ISNUMBER(INDEX('Market Data'!$H$5:$H$528,$T166)),N(INDEX('Market Data'!$H$5:$H$528,$T166))&gt;0),INDEX('Market Data'!$H$5:$H$528,$T166),"date unavailable"),"date unavailable")))</f>
        <v/>
      </c>
      <c r="H166" s="9">
        <f>IF($T166=0,"",IF($I166="Bloomberg",IF(INDEX('Market Data'!$N$5:$N$528,$T166)="","time unavailable",INDEX('Market Data'!$N$5:$N$528,$T166)),""))</f>
        <v/>
      </c>
      <c r="I166" s="9">
        <f>IF($T166=0,"",INDEX('Market Data'!$P$5:$P$528,$T166))</f>
        <v/>
      </c>
      <c r="J166" s="13">
        <f>IF($T166=0,"",IF(INDEX('Market Data'!$E$5:$E$528,$T166)="","",INDEX('Market Data'!$E$5:$E$528,$T166)))</f>
        <v/>
      </c>
      <c r="K166" s="8">
        <f>IF($T166=0,"",IF(INDEX('Market Data'!$I$5:$I$528,$T166)="","",INDEX('Market Data'!$I$5:$I$528,$T166)))</f>
        <v/>
      </c>
      <c r="L166" s="10">
        <f>IF($T166=0,"",IF(INDEX('Market Data'!$J$5:$J$528,$T166)=0,"n/a",IF(AND($M$5&lt;&gt;"Snapshot",ISNUMBER(INDEX('Market Data'!$AH$5:$AH$66,INDEX('Market Data'!$J$5:$J$528,$T166)-4)),N(INDEX('Market Data'!$AH$5:$AH$66,INDEX('Market Data'!$J$5:$J$528,$T166)-4))&gt;0),INDEX('Market Data'!$AH$5:$AH$66,INDEX('Market Data'!$J$5:$J$528,$T166)-4),IF(AND($M$5&lt;&gt;"Bloomberg",ISNUMBER(INDEX('Market Data'!$AC$5:$AC$66,INDEX('Market Data'!$J$5:$J$528,$T166)-4)),N(INDEX('Market Data'!$AC$5:$AC$66,INDEX('Market Data'!$J$5:$J$528,$T166)-4))&gt;0),INDEX('Market Data'!$AC$5:$AC$66,INDEX('Market Data'!$J$5:$J$528,$T166)-4),"unavailable"))))</f>
        <v/>
      </c>
      <c r="M166" s="11">
        <f>IF($T166=0,"",IF(INDEX('Market Data'!$J$5:$J$528,$T166)=0,"n/a",IF(IF(INDEX('Market Data'!$J$5:$J$528,$T166)=0,0,IF(LEFT(INDEX('Market Data'!$AS$5:$AS$66,INDEX('Market Data'!$J$5:$J$528,$T166)-4),11)="First-month",1,0))=1,"class review",IF($I166="Bloomberg",IF(AND(ISNUMBER(INDEX('Market Data'!$AH$5:$AH$66,INDEX('Market Data'!$J$5:$J$528,$T166)-4)),N(INDEX('Market Data'!$AH$5:$AH$66,INDEX('Market Data'!$J$5:$J$528,$T166)-4))&gt;0,ISNUMBER('Market Data'!$B$1),N('Market Data'!$B$1)&gt;0),INDEX('Market Data'!$AH$5:$AH$66,INDEX('Market Data'!$J$5:$J$528,$T166)-4)*'Market Data'!$B$1/$E166-1,"pending A/FX"),IF(AND($I166="Snapshot",$Q166="Snapshot",ISNUMBER($E166),$G166=INDEX('Market Data'!$AE$5:$AE$66,INDEX('Market Data'!$J$5:$J$528,$T166)-4)),IFERROR(INDEX('Market Data'!$AC$5:$AC$66,INDEX('Market Data'!$J$5:$J$528,$T166)-4)*INDEX('Market Data'!$AD$5:$AD$66,INDEX('Market Data'!$J$5:$J$528,$T166)-4)/$E166-1,"unavailable"),IF($I166="Unavailable","unavailable","date mismatch"))))))</f>
        <v/>
      </c>
      <c r="N166" s="11">
        <f>IF($T166=0,"",IFERROR(IF(AND(N(INDEX('Market Data'!$F$5:$F$528,$T166))&gt;0,ISNUMBER(INDEX('Market Data'!$T$5:$T$528,$T166))),$E166*INDEX('Market Data'!$T$5:$T$528,$T166)/INDEX('Market Data'!$F$5:$F$528,$T166)-1,"unavailable"),"unavailable"))</f>
        <v/>
      </c>
      <c r="O166" s="9">
        <f>IF($T166=0,"",IF(IF(INDEX('Market Data'!$J$5:$J$528,$T166)=0,0,IF(LEFT(INDEX('Market Data'!$AS$5:$AS$66,INDEX('Market Data'!$J$5:$J$528,$T166)-4),11)="First-month",1,0))=1,"Class ratio review",IF($I166="Bloomberg",IF(ISNUMBER($G166),IF($G166&lt;TODAY(),"Older quote","See quote time"),"Date unavailable"),IF($I166="Snapshot",IF($G166&lt;DATEVALUE("2026-10-02"),"Older snapshot","Dated close"),"No valid quote"))))</f>
        <v/>
      </c>
      <c r="P166" s="14">
        <f>IF($T166=0,"",IF(INDEX('Market Data'!$J$5:$J$528,$T166)=0,"n/a",IF($Q166="Bloomberg",IF(AND(ISNUMBER(INDEX('Market Data'!$AK$5:$AK$66,INDEX('Market Data'!$J$5:$J$528,$T166)-4)),N(INDEX('Market Data'!$AK$5:$AK$66,INDEX('Market Data'!$J$5:$J$528,$T166)-4))&gt;0),INDEX('Market Data'!$AK$5:$AK$66,INDEX('Market Data'!$J$5:$J$528,$T166)-4),"date unavailable"),IF($Q166="Snapshot",IF(AND(ISNUMBER(INDEX('Market Data'!$AF$5:$AF$66,INDEX('Market Data'!$J$5:$J$528,$T166)-4)),N(INDEX('Market Data'!$AF$5:$AF$66,INDEX('Market Data'!$J$5:$J$528,$T166)-4))&gt;0),INDEX('Market Data'!$AF$5:$AF$66,INDEX('Market Data'!$J$5:$J$528,$T166)-4),"date unavailable"),"date unavailable"))))</f>
        <v/>
      </c>
      <c r="Q166" s="15">
        <f>IF($T166=0,"",IF(INDEX('Market Data'!$J$5:$J$528,$T166)=0,"n/a",IF(AND($M$5&lt;&gt;"Snapshot",ISNUMBER(INDEX('Market Data'!$AH$5:$AH$66,INDEX('Market Data'!$J$5:$J$528,$T166)-4)),N(INDEX('Market Data'!$AH$5:$AH$66,INDEX('Market Data'!$J$5:$J$528,$T166)-4))&gt;0),"Bloomberg",IF(AND($M$5&lt;&gt;"Bloomberg",ISNUMBER(INDEX('Market Data'!$AC$5:$AC$66,INDEX('Market Data'!$J$5:$J$528,$T166)-4)),N(INDEX('Market Data'!$AC$5:$AC$66,INDEX('Market Data'!$J$5:$J$528,$T166)-4))&gt;0),"Snapshot","Unavailable"))))</f>
        <v/>
      </c>
      <c r="T166">
        <f>IFERROR(MATCH(158,'Market Data'!$S$5:$S$528,0),0)</f>
        <v/>
      </c>
    </row>
    <row r="167" ht="34" customHeight="1">
      <c r="A167" s="8">
        <f>IF($T167=0,"",IF(INDEX('Market Data'!$A$5:$A$528,$T167)="","",INDEX('Market Data'!$A$5:$A$528,$T167)))</f>
        <v/>
      </c>
      <c r="B167" s="9">
        <f>IF($T167=0,"",IF(INDEX('Market Data'!$B$5:$B$528,$T167)="","",INDEX('Market Data'!$B$5:$B$528,$T167)))</f>
        <v/>
      </c>
      <c r="C167" s="9">
        <f>IF($T167=0,"",IF(INDEX('Market Data'!$C$5:$C$528,$T167)="","",INDEX('Market Data'!$C$5:$C$528,$T167)))</f>
        <v/>
      </c>
      <c r="D167" s="9">
        <f>IF($T167=0,"",IF(INDEX('Market Data'!$D$5:$D$528,$T167)="","",INDEX('Market Data'!$D$5:$D$528,$T167)))</f>
        <v/>
      </c>
      <c r="E167" s="10">
        <f>IF($T167=0,"",INDEX('Market Data'!$O$5:$O$528,$T167))</f>
        <v/>
      </c>
      <c r="F167" s="11">
        <f>IF($T167=0,"",IF(AND($I167="Bloomberg",ISNUMBER(INDEX('Market Data'!$L$5:$L$528,$T167))),INDEX('Market Data'!$L$5:$L$528,$T167),"unavailable"))</f>
        <v/>
      </c>
      <c r="G167" s="12">
        <f>IF($T167=0,"",IF($I167="Bloomberg",IF(AND(ISNUMBER(INDEX('Market Data'!$M$5:$M$528,$T167)),N(INDEX('Market Data'!$M$5:$M$528,$T167))&gt;0),INDEX('Market Data'!$M$5:$M$528,$T167),"date unavailable"),IF($I167="Snapshot",IF(AND(ISNUMBER(INDEX('Market Data'!$H$5:$H$528,$T167)),N(INDEX('Market Data'!$H$5:$H$528,$T167))&gt;0),INDEX('Market Data'!$H$5:$H$528,$T167),"date unavailable"),"date unavailable")))</f>
        <v/>
      </c>
      <c r="H167" s="9">
        <f>IF($T167=0,"",IF($I167="Bloomberg",IF(INDEX('Market Data'!$N$5:$N$528,$T167)="","time unavailable",INDEX('Market Data'!$N$5:$N$528,$T167)),""))</f>
        <v/>
      </c>
      <c r="I167" s="9">
        <f>IF($T167=0,"",INDEX('Market Data'!$P$5:$P$528,$T167))</f>
        <v/>
      </c>
      <c r="J167" s="13">
        <f>IF($T167=0,"",IF(INDEX('Market Data'!$E$5:$E$528,$T167)="","",INDEX('Market Data'!$E$5:$E$528,$T167)))</f>
        <v/>
      </c>
      <c r="K167" s="8">
        <f>IF($T167=0,"",IF(INDEX('Market Data'!$I$5:$I$528,$T167)="","",INDEX('Market Data'!$I$5:$I$528,$T167)))</f>
        <v/>
      </c>
      <c r="L167" s="10">
        <f>IF($T167=0,"",IF(INDEX('Market Data'!$J$5:$J$528,$T167)=0,"n/a",IF(AND($M$5&lt;&gt;"Snapshot",ISNUMBER(INDEX('Market Data'!$AH$5:$AH$66,INDEX('Market Data'!$J$5:$J$528,$T167)-4)),N(INDEX('Market Data'!$AH$5:$AH$66,INDEX('Market Data'!$J$5:$J$528,$T167)-4))&gt;0),INDEX('Market Data'!$AH$5:$AH$66,INDEX('Market Data'!$J$5:$J$528,$T167)-4),IF(AND($M$5&lt;&gt;"Bloomberg",ISNUMBER(INDEX('Market Data'!$AC$5:$AC$66,INDEX('Market Data'!$J$5:$J$528,$T167)-4)),N(INDEX('Market Data'!$AC$5:$AC$66,INDEX('Market Data'!$J$5:$J$528,$T167)-4))&gt;0),INDEX('Market Data'!$AC$5:$AC$66,INDEX('Market Data'!$J$5:$J$528,$T167)-4),"unavailable"))))</f>
        <v/>
      </c>
      <c r="M167" s="11">
        <f>IF($T167=0,"",IF(INDEX('Market Data'!$J$5:$J$528,$T167)=0,"n/a",IF(IF(INDEX('Market Data'!$J$5:$J$528,$T167)=0,0,IF(LEFT(INDEX('Market Data'!$AS$5:$AS$66,INDEX('Market Data'!$J$5:$J$528,$T167)-4),11)="First-month",1,0))=1,"class review",IF($I167="Bloomberg",IF(AND(ISNUMBER(INDEX('Market Data'!$AH$5:$AH$66,INDEX('Market Data'!$J$5:$J$528,$T167)-4)),N(INDEX('Market Data'!$AH$5:$AH$66,INDEX('Market Data'!$J$5:$J$528,$T167)-4))&gt;0,ISNUMBER('Market Data'!$B$1),N('Market Data'!$B$1)&gt;0),INDEX('Market Data'!$AH$5:$AH$66,INDEX('Market Data'!$J$5:$J$528,$T167)-4)*'Market Data'!$B$1/$E167-1,"pending A/FX"),IF(AND($I167="Snapshot",$Q167="Snapshot",ISNUMBER($E167),$G167=INDEX('Market Data'!$AE$5:$AE$66,INDEX('Market Data'!$J$5:$J$528,$T167)-4)),IFERROR(INDEX('Market Data'!$AC$5:$AC$66,INDEX('Market Data'!$J$5:$J$528,$T167)-4)*INDEX('Market Data'!$AD$5:$AD$66,INDEX('Market Data'!$J$5:$J$528,$T167)-4)/$E167-1,"unavailable"),IF($I167="Unavailable","unavailable","date mismatch"))))))</f>
        <v/>
      </c>
      <c r="N167" s="11">
        <f>IF($T167=0,"",IFERROR(IF(AND(N(INDEX('Market Data'!$F$5:$F$528,$T167))&gt;0,ISNUMBER(INDEX('Market Data'!$T$5:$T$528,$T167))),$E167*INDEX('Market Data'!$T$5:$T$528,$T167)/INDEX('Market Data'!$F$5:$F$528,$T167)-1,"unavailable"),"unavailable"))</f>
        <v/>
      </c>
      <c r="O167" s="9">
        <f>IF($T167=0,"",IF(IF(INDEX('Market Data'!$J$5:$J$528,$T167)=0,0,IF(LEFT(INDEX('Market Data'!$AS$5:$AS$66,INDEX('Market Data'!$J$5:$J$528,$T167)-4),11)="First-month",1,0))=1,"Class ratio review",IF($I167="Bloomberg",IF(ISNUMBER($G167),IF($G167&lt;TODAY(),"Older quote","See quote time"),"Date unavailable"),IF($I167="Snapshot",IF($G167&lt;DATEVALUE("2026-10-02"),"Older snapshot","Dated close"),"No valid quote"))))</f>
        <v/>
      </c>
      <c r="P167" s="14">
        <f>IF($T167=0,"",IF(INDEX('Market Data'!$J$5:$J$528,$T167)=0,"n/a",IF($Q167="Bloomberg",IF(AND(ISNUMBER(INDEX('Market Data'!$AK$5:$AK$66,INDEX('Market Data'!$J$5:$J$528,$T167)-4)),N(INDEX('Market Data'!$AK$5:$AK$66,INDEX('Market Data'!$J$5:$J$528,$T167)-4))&gt;0),INDEX('Market Data'!$AK$5:$AK$66,INDEX('Market Data'!$J$5:$J$528,$T167)-4),"date unavailable"),IF($Q167="Snapshot",IF(AND(ISNUMBER(INDEX('Market Data'!$AF$5:$AF$66,INDEX('Market Data'!$J$5:$J$528,$T167)-4)),N(INDEX('Market Data'!$AF$5:$AF$66,INDEX('Market Data'!$J$5:$J$528,$T167)-4))&gt;0),INDEX('Market Data'!$AF$5:$AF$66,INDEX('Market Data'!$J$5:$J$528,$T167)-4),"date unavailable"),"date unavailable"))))</f>
        <v/>
      </c>
      <c r="Q167" s="15">
        <f>IF($T167=0,"",IF(INDEX('Market Data'!$J$5:$J$528,$T167)=0,"n/a",IF(AND($M$5&lt;&gt;"Snapshot",ISNUMBER(INDEX('Market Data'!$AH$5:$AH$66,INDEX('Market Data'!$J$5:$J$528,$T167)-4)),N(INDEX('Market Data'!$AH$5:$AH$66,INDEX('Market Data'!$J$5:$J$528,$T167)-4))&gt;0),"Bloomberg",IF(AND($M$5&lt;&gt;"Bloomberg",ISNUMBER(INDEX('Market Data'!$AC$5:$AC$66,INDEX('Market Data'!$J$5:$J$528,$T167)-4)),N(INDEX('Market Data'!$AC$5:$AC$66,INDEX('Market Data'!$J$5:$J$528,$T167)-4))&gt;0),"Snapshot","Unavailable"))))</f>
        <v/>
      </c>
      <c r="T167">
        <f>IFERROR(MATCH(159,'Market Data'!$S$5:$S$528,0),0)</f>
        <v/>
      </c>
    </row>
    <row r="168" ht="34" customHeight="1">
      <c r="A168" s="8">
        <f>IF($T168=0,"",IF(INDEX('Market Data'!$A$5:$A$528,$T168)="","",INDEX('Market Data'!$A$5:$A$528,$T168)))</f>
        <v/>
      </c>
      <c r="B168" s="9">
        <f>IF($T168=0,"",IF(INDEX('Market Data'!$B$5:$B$528,$T168)="","",INDEX('Market Data'!$B$5:$B$528,$T168)))</f>
        <v/>
      </c>
      <c r="C168" s="9">
        <f>IF($T168=0,"",IF(INDEX('Market Data'!$C$5:$C$528,$T168)="","",INDEX('Market Data'!$C$5:$C$528,$T168)))</f>
        <v/>
      </c>
      <c r="D168" s="9">
        <f>IF($T168=0,"",IF(INDEX('Market Data'!$D$5:$D$528,$T168)="","",INDEX('Market Data'!$D$5:$D$528,$T168)))</f>
        <v/>
      </c>
      <c r="E168" s="10">
        <f>IF($T168=0,"",INDEX('Market Data'!$O$5:$O$528,$T168))</f>
        <v/>
      </c>
      <c r="F168" s="11">
        <f>IF($T168=0,"",IF(AND($I168="Bloomberg",ISNUMBER(INDEX('Market Data'!$L$5:$L$528,$T168))),INDEX('Market Data'!$L$5:$L$528,$T168),"unavailable"))</f>
        <v/>
      </c>
      <c r="G168" s="12">
        <f>IF($T168=0,"",IF($I168="Bloomberg",IF(AND(ISNUMBER(INDEX('Market Data'!$M$5:$M$528,$T168)),N(INDEX('Market Data'!$M$5:$M$528,$T168))&gt;0),INDEX('Market Data'!$M$5:$M$528,$T168),"date unavailable"),IF($I168="Snapshot",IF(AND(ISNUMBER(INDEX('Market Data'!$H$5:$H$528,$T168)),N(INDEX('Market Data'!$H$5:$H$528,$T168))&gt;0),INDEX('Market Data'!$H$5:$H$528,$T168),"date unavailable"),"date unavailable")))</f>
        <v/>
      </c>
      <c r="H168" s="9">
        <f>IF($T168=0,"",IF($I168="Bloomberg",IF(INDEX('Market Data'!$N$5:$N$528,$T168)="","time unavailable",INDEX('Market Data'!$N$5:$N$528,$T168)),""))</f>
        <v/>
      </c>
      <c r="I168" s="9">
        <f>IF($T168=0,"",INDEX('Market Data'!$P$5:$P$528,$T168))</f>
        <v/>
      </c>
      <c r="J168" s="13">
        <f>IF($T168=0,"",IF(INDEX('Market Data'!$E$5:$E$528,$T168)="","",INDEX('Market Data'!$E$5:$E$528,$T168)))</f>
        <v/>
      </c>
      <c r="K168" s="8">
        <f>IF($T168=0,"",IF(INDEX('Market Data'!$I$5:$I$528,$T168)="","",INDEX('Market Data'!$I$5:$I$528,$T168)))</f>
        <v/>
      </c>
      <c r="L168" s="10">
        <f>IF($T168=0,"",IF(INDEX('Market Data'!$J$5:$J$528,$T168)=0,"n/a",IF(AND($M$5&lt;&gt;"Snapshot",ISNUMBER(INDEX('Market Data'!$AH$5:$AH$66,INDEX('Market Data'!$J$5:$J$528,$T168)-4)),N(INDEX('Market Data'!$AH$5:$AH$66,INDEX('Market Data'!$J$5:$J$528,$T168)-4))&gt;0),INDEX('Market Data'!$AH$5:$AH$66,INDEX('Market Data'!$J$5:$J$528,$T168)-4),IF(AND($M$5&lt;&gt;"Bloomberg",ISNUMBER(INDEX('Market Data'!$AC$5:$AC$66,INDEX('Market Data'!$J$5:$J$528,$T168)-4)),N(INDEX('Market Data'!$AC$5:$AC$66,INDEX('Market Data'!$J$5:$J$528,$T168)-4))&gt;0),INDEX('Market Data'!$AC$5:$AC$66,INDEX('Market Data'!$J$5:$J$528,$T168)-4),"unavailable"))))</f>
        <v/>
      </c>
      <c r="M168" s="11">
        <f>IF($T168=0,"",IF(INDEX('Market Data'!$J$5:$J$528,$T168)=0,"n/a",IF(IF(INDEX('Market Data'!$J$5:$J$528,$T168)=0,0,IF(LEFT(INDEX('Market Data'!$AS$5:$AS$66,INDEX('Market Data'!$J$5:$J$528,$T168)-4),11)="First-month",1,0))=1,"class review",IF($I168="Bloomberg",IF(AND(ISNUMBER(INDEX('Market Data'!$AH$5:$AH$66,INDEX('Market Data'!$J$5:$J$528,$T168)-4)),N(INDEX('Market Data'!$AH$5:$AH$66,INDEX('Market Data'!$J$5:$J$528,$T168)-4))&gt;0,ISNUMBER('Market Data'!$B$1),N('Market Data'!$B$1)&gt;0),INDEX('Market Data'!$AH$5:$AH$66,INDEX('Market Data'!$J$5:$J$528,$T168)-4)*'Market Data'!$B$1/$E168-1,"pending A/FX"),IF(AND($I168="Snapshot",$Q168="Snapshot",ISNUMBER($E168),$G168=INDEX('Market Data'!$AE$5:$AE$66,INDEX('Market Data'!$J$5:$J$528,$T168)-4)),IFERROR(INDEX('Market Data'!$AC$5:$AC$66,INDEX('Market Data'!$J$5:$J$528,$T168)-4)*INDEX('Market Data'!$AD$5:$AD$66,INDEX('Market Data'!$J$5:$J$528,$T168)-4)/$E168-1,"unavailable"),IF($I168="Unavailable","unavailable","date mismatch"))))))</f>
        <v/>
      </c>
      <c r="N168" s="11">
        <f>IF($T168=0,"",IFERROR(IF(AND(N(INDEX('Market Data'!$F$5:$F$528,$T168))&gt;0,ISNUMBER(INDEX('Market Data'!$T$5:$T$528,$T168))),$E168*INDEX('Market Data'!$T$5:$T$528,$T168)/INDEX('Market Data'!$F$5:$F$528,$T168)-1,"unavailable"),"unavailable"))</f>
        <v/>
      </c>
      <c r="O168" s="9">
        <f>IF($T168=0,"",IF(IF(INDEX('Market Data'!$J$5:$J$528,$T168)=0,0,IF(LEFT(INDEX('Market Data'!$AS$5:$AS$66,INDEX('Market Data'!$J$5:$J$528,$T168)-4),11)="First-month",1,0))=1,"Class ratio review",IF($I168="Bloomberg",IF(ISNUMBER($G168),IF($G168&lt;TODAY(),"Older quote","See quote time"),"Date unavailable"),IF($I168="Snapshot",IF($G168&lt;DATEVALUE("2026-10-02"),"Older snapshot","Dated close"),"No valid quote"))))</f>
        <v/>
      </c>
      <c r="P168" s="14">
        <f>IF($T168=0,"",IF(INDEX('Market Data'!$J$5:$J$528,$T168)=0,"n/a",IF($Q168="Bloomberg",IF(AND(ISNUMBER(INDEX('Market Data'!$AK$5:$AK$66,INDEX('Market Data'!$J$5:$J$528,$T168)-4)),N(INDEX('Market Data'!$AK$5:$AK$66,INDEX('Market Data'!$J$5:$J$528,$T168)-4))&gt;0),INDEX('Market Data'!$AK$5:$AK$66,INDEX('Market Data'!$J$5:$J$528,$T168)-4),"date unavailable"),IF($Q168="Snapshot",IF(AND(ISNUMBER(INDEX('Market Data'!$AF$5:$AF$66,INDEX('Market Data'!$J$5:$J$528,$T168)-4)),N(INDEX('Market Data'!$AF$5:$AF$66,INDEX('Market Data'!$J$5:$J$528,$T168)-4))&gt;0),INDEX('Market Data'!$AF$5:$AF$66,INDEX('Market Data'!$J$5:$J$528,$T168)-4),"date unavailable"),"date unavailable"))))</f>
        <v/>
      </c>
      <c r="Q168" s="15">
        <f>IF($T168=0,"",IF(INDEX('Market Data'!$J$5:$J$528,$T168)=0,"n/a",IF(AND($M$5&lt;&gt;"Snapshot",ISNUMBER(INDEX('Market Data'!$AH$5:$AH$66,INDEX('Market Data'!$J$5:$J$528,$T168)-4)),N(INDEX('Market Data'!$AH$5:$AH$66,INDEX('Market Data'!$J$5:$J$528,$T168)-4))&gt;0),"Bloomberg",IF(AND($M$5&lt;&gt;"Bloomberg",ISNUMBER(INDEX('Market Data'!$AC$5:$AC$66,INDEX('Market Data'!$J$5:$J$528,$T168)-4)),N(INDEX('Market Data'!$AC$5:$AC$66,INDEX('Market Data'!$J$5:$J$528,$T168)-4))&gt;0),"Snapshot","Unavailable"))))</f>
        <v/>
      </c>
      <c r="T168">
        <f>IFERROR(MATCH(160,'Market Data'!$S$5:$S$528,0),0)</f>
        <v/>
      </c>
    </row>
    <row r="169" ht="34" customHeight="1">
      <c r="A169" s="8">
        <f>IF($T169=0,"",IF(INDEX('Market Data'!$A$5:$A$528,$T169)="","",INDEX('Market Data'!$A$5:$A$528,$T169)))</f>
        <v/>
      </c>
      <c r="B169" s="9">
        <f>IF($T169=0,"",IF(INDEX('Market Data'!$B$5:$B$528,$T169)="","",INDEX('Market Data'!$B$5:$B$528,$T169)))</f>
        <v/>
      </c>
      <c r="C169" s="9">
        <f>IF($T169=0,"",IF(INDEX('Market Data'!$C$5:$C$528,$T169)="","",INDEX('Market Data'!$C$5:$C$528,$T169)))</f>
        <v/>
      </c>
      <c r="D169" s="9">
        <f>IF($T169=0,"",IF(INDEX('Market Data'!$D$5:$D$528,$T169)="","",INDEX('Market Data'!$D$5:$D$528,$T169)))</f>
        <v/>
      </c>
      <c r="E169" s="10">
        <f>IF($T169=0,"",INDEX('Market Data'!$O$5:$O$528,$T169))</f>
        <v/>
      </c>
      <c r="F169" s="11">
        <f>IF($T169=0,"",IF(AND($I169="Bloomberg",ISNUMBER(INDEX('Market Data'!$L$5:$L$528,$T169))),INDEX('Market Data'!$L$5:$L$528,$T169),"unavailable"))</f>
        <v/>
      </c>
      <c r="G169" s="12">
        <f>IF($T169=0,"",IF($I169="Bloomberg",IF(AND(ISNUMBER(INDEX('Market Data'!$M$5:$M$528,$T169)),N(INDEX('Market Data'!$M$5:$M$528,$T169))&gt;0),INDEX('Market Data'!$M$5:$M$528,$T169),"date unavailable"),IF($I169="Snapshot",IF(AND(ISNUMBER(INDEX('Market Data'!$H$5:$H$528,$T169)),N(INDEX('Market Data'!$H$5:$H$528,$T169))&gt;0),INDEX('Market Data'!$H$5:$H$528,$T169),"date unavailable"),"date unavailable")))</f>
        <v/>
      </c>
      <c r="H169" s="9">
        <f>IF($T169=0,"",IF($I169="Bloomberg",IF(INDEX('Market Data'!$N$5:$N$528,$T169)="","time unavailable",INDEX('Market Data'!$N$5:$N$528,$T169)),""))</f>
        <v/>
      </c>
      <c r="I169" s="9">
        <f>IF($T169=0,"",INDEX('Market Data'!$P$5:$P$528,$T169))</f>
        <v/>
      </c>
      <c r="J169" s="13">
        <f>IF($T169=0,"",IF(INDEX('Market Data'!$E$5:$E$528,$T169)="","",INDEX('Market Data'!$E$5:$E$528,$T169)))</f>
        <v/>
      </c>
      <c r="K169" s="8">
        <f>IF($T169=0,"",IF(INDEX('Market Data'!$I$5:$I$528,$T169)="","",INDEX('Market Data'!$I$5:$I$528,$T169)))</f>
        <v/>
      </c>
      <c r="L169" s="10">
        <f>IF($T169=0,"",IF(INDEX('Market Data'!$J$5:$J$528,$T169)=0,"n/a",IF(AND($M$5&lt;&gt;"Snapshot",ISNUMBER(INDEX('Market Data'!$AH$5:$AH$66,INDEX('Market Data'!$J$5:$J$528,$T169)-4)),N(INDEX('Market Data'!$AH$5:$AH$66,INDEX('Market Data'!$J$5:$J$528,$T169)-4))&gt;0),INDEX('Market Data'!$AH$5:$AH$66,INDEX('Market Data'!$J$5:$J$528,$T169)-4),IF(AND($M$5&lt;&gt;"Bloomberg",ISNUMBER(INDEX('Market Data'!$AC$5:$AC$66,INDEX('Market Data'!$J$5:$J$528,$T169)-4)),N(INDEX('Market Data'!$AC$5:$AC$66,INDEX('Market Data'!$J$5:$J$528,$T169)-4))&gt;0),INDEX('Market Data'!$AC$5:$AC$66,INDEX('Market Data'!$J$5:$J$528,$T169)-4),"unavailable"))))</f>
        <v/>
      </c>
      <c r="M169" s="11">
        <f>IF($T169=0,"",IF(INDEX('Market Data'!$J$5:$J$528,$T169)=0,"n/a",IF(IF(INDEX('Market Data'!$J$5:$J$528,$T169)=0,0,IF(LEFT(INDEX('Market Data'!$AS$5:$AS$66,INDEX('Market Data'!$J$5:$J$528,$T169)-4),11)="First-month",1,0))=1,"class review",IF($I169="Bloomberg",IF(AND(ISNUMBER(INDEX('Market Data'!$AH$5:$AH$66,INDEX('Market Data'!$J$5:$J$528,$T169)-4)),N(INDEX('Market Data'!$AH$5:$AH$66,INDEX('Market Data'!$J$5:$J$528,$T169)-4))&gt;0,ISNUMBER('Market Data'!$B$1),N('Market Data'!$B$1)&gt;0),INDEX('Market Data'!$AH$5:$AH$66,INDEX('Market Data'!$J$5:$J$528,$T169)-4)*'Market Data'!$B$1/$E169-1,"pending A/FX"),IF(AND($I169="Snapshot",$Q169="Snapshot",ISNUMBER($E169),$G169=INDEX('Market Data'!$AE$5:$AE$66,INDEX('Market Data'!$J$5:$J$528,$T169)-4)),IFERROR(INDEX('Market Data'!$AC$5:$AC$66,INDEX('Market Data'!$J$5:$J$528,$T169)-4)*INDEX('Market Data'!$AD$5:$AD$66,INDEX('Market Data'!$J$5:$J$528,$T169)-4)/$E169-1,"unavailable"),IF($I169="Unavailable","unavailable","date mismatch"))))))</f>
        <v/>
      </c>
      <c r="N169" s="11">
        <f>IF($T169=0,"",IFERROR(IF(AND(N(INDEX('Market Data'!$F$5:$F$528,$T169))&gt;0,ISNUMBER(INDEX('Market Data'!$T$5:$T$528,$T169))),$E169*INDEX('Market Data'!$T$5:$T$528,$T169)/INDEX('Market Data'!$F$5:$F$528,$T169)-1,"unavailable"),"unavailable"))</f>
        <v/>
      </c>
      <c r="O169" s="9">
        <f>IF($T169=0,"",IF(IF(INDEX('Market Data'!$J$5:$J$528,$T169)=0,0,IF(LEFT(INDEX('Market Data'!$AS$5:$AS$66,INDEX('Market Data'!$J$5:$J$528,$T169)-4),11)="First-month",1,0))=1,"Class ratio review",IF($I169="Bloomberg",IF(ISNUMBER($G169),IF($G169&lt;TODAY(),"Older quote","See quote time"),"Date unavailable"),IF($I169="Snapshot",IF($G169&lt;DATEVALUE("2026-10-02"),"Older snapshot","Dated close"),"No valid quote"))))</f>
        <v/>
      </c>
      <c r="P169" s="14">
        <f>IF($T169=0,"",IF(INDEX('Market Data'!$J$5:$J$528,$T169)=0,"n/a",IF($Q169="Bloomberg",IF(AND(ISNUMBER(INDEX('Market Data'!$AK$5:$AK$66,INDEX('Market Data'!$J$5:$J$528,$T169)-4)),N(INDEX('Market Data'!$AK$5:$AK$66,INDEX('Market Data'!$J$5:$J$528,$T169)-4))&gt;0),INDEX('Market Data'!$AK$5:$AK$66,INDEX('Market Data'!$J$5:$J$528,$T169)-4),"date unavailable"),IF($Q169="Snapshot",IF(AND(ISNUMBER(INDEX('Market Data'!$AF$5:$AF$66,INDEX('Market Data'!$J$5:$J$528,$T169)-4)),N(INDEX('Market Data'!$AF$5:$AF$66,INDEX('Market Data'!$J$5:$J$528,$T169)-4))&gt;0),INDEX('Market Data'!$AF$5:$AF$66,INDEX('Market Data'!$J$5:$J$528,$T169)-4),"date unavailable"),"date unavailable"))))</f>
        <v/>
      </c>
      <c r="Q169" s="15">
        <f>IF($T169=0,"",IF(INDEX('Market Data'!$J$5:$J$528,$T169)=0,"n/a",IF(AND($M$5&lt;&gt;"Snapshot",ISNUMBER(INDEX('Market Data'!$AH$5:$AH$66,INDEX('Market Data'!$J$5:$J$528,$T169)-4)),N(INDEX('Market Data'!$AH$5:$AH$66,INDEX('Market Data'!$J$5:$J$528,$T169)-4))&gt;0),"Bloomberg",IF(AND($M$5&lt;&gt;"Bloomberg",ISNUMBER(INDEX('Market Data'!$AC$5:$AC$66,INDEX('Market Data'!$J$5:$J$528,$T169)-4)),N(INDEX('Market Data'!$AC$5:$AC$66,INDEX('Market Data'!$J$5:$J$528,$T169)-4))&gt;0),"Snapshot","Unavailable"))))</f>
        <v/>
      </c>
      <c r="T169">
        <f>IFERROR(MATCH(161,'Market Data'!$S$5:$S$528,0),0)</f>
        <v/>
      </c>
    </row>
    <row r="170" ht="34" customHeight="1">
      <c r="A170" s="8">
        <f>IF($T170=0,"",IF(INDEX('Market Data'!$A$5:$A$528,$T170)="","",INDEX('Market Data'!$A$5:$A$528,$T170)))</f>
        <v/>
      </c>
      <c r="B170" s="9">
        <f>IF($T170=0,"",IF(INDEX('Market Data'!$B$5:$B$528,$T170)="","",INDEX('Market Data'!$B$5:$B$528,$T170)))</f>
        <v/>
      </c>
      <c r="C170" s="9">
        <f>IF($T170=0,"",IF(INDEX('Market Data'!$C$5:$C$528,$T170)="","",INDEX('Market Data'!$C$5:$C$528,$T170)))</f>
        <v/>
      </c>
      <c r="D170" s="9">
        <f>IF($T170=0,"",IF(INDEX('Market Data'!$D$5:$D$528,$T170)="","",INDEX('Market Data'!$D$5:$D$528,$T170)))</f>
        <v/>
      </c>
      <c r="E170" s="10">
        <f>IF($T170=0,"",INDEX('Market Data'!$O$5:$O$528,$T170))</f>
        <v/>
      </c>
      <c r="F170" s="11">
        <f>IF($T170=0,"",IF(AND($I170="Bloomberg",ISNUMBER(INDEX('Market Data'!$L$5:$L$528,$T170))),INDEX('Market Data'!$L$5:$L$528,$T170),"unavailable"))</f>
        <v/>
      </c>
      <c r="G170" s="12">
        <f>IF($T170=0,"",IF($I170="Bloomberg",IF(AND(ISNUMBER(INDEX('Market Data'!$M$5:$M$528,$T170)),N(INDEX('Market Data'!$M$5:$M$528,$T170))&gt;0),INDEX('Market Data'!$M$5:$M$528,$T170),"date unavailable"),IF($I170="Snapshot",IF(AND(ISNUMBER(INDEX('Market Data'!$H$5:$H$528,$T170)),N(INDEX('Market Data'!$H$5:$H$528,$T170))&gt;0),INDEX('Market Data'!$H$5:$H$528,$T170),"date unavailable"),"date unavailable")))</f>
        <v/>
      </c>
      <c r="H170" s="9">
        <f>IF($T170=0,"",IF($I170="Bloomberg",IF(INDEX('Market Data'!$N$5:$N$528,$T170)="","time unavailable",INDEX('Market Data'!$N$5:$N$528,$T170)),""))</f>
        <v/>
      </c>
      <c r="I170" s="9">
        <f>IF($T170=0,"",INDEX('Market Data'!$P$5:$P$528,$T170))</f>
        <v/>
      </c>
      <c r="J170" s="13">
        <f>IF($T170=0,"",IF(INDEX('Market Data'!$E$5:$E$528,$T170)="","",INDEX('Market Data'!$E$5:$E$528,$T170)))</f>
        <v/>
      </c>
      <c r="K170" s="8">
        <f>IF($T170=0,"",IF(INDEX('Market Data'!$I$5:$I$528,$T170)="","",INDEX('Market Data'!$I$5:$I$528,$T170)))</f>
        <v/>
      </c>
      <c r="L170" s="10">
        <f>IF($T170=0,"",IF(INDEX('Market Data'!$J$5:$J$528,$T170)=0,"n/a",IF(AND($M$5&lt;&gt;"Snapshot",ISNUMBER(INDEX('Market Data'!$AH$5:$AH$66,INDEX('Market Data'!$J$5:$J$528,$T170)-4)),N(INDEX('Market Data'!$AH$5:$AH$66,INDEX('Market Data'!$J$5:$J$528,$T170)-4))&gt;0),INDEX('Market Data'!$AH$5:$AH$66,INDEX('Market Data'!$J$5:$J$528,$T170)-4),IF(AND($M$5&lt;&gt;"Bloomberg",ISNUMBER(INDEX('Market Data'!$AC$5:$AC$66,INDEX('Market Data'!$J$5:$J$528,$T170)-4)),N(INDEX('Market Data'!$AC$5:$AC$66,INDEX('Market Data'!$J$5:$J$528,$T170)-4))&gt;0),INDEX('Market Data'!$AC$5:$AC$66,INDEX('Market Data'!$J$5:$J$528,$T170)-4),"unavailable"))))</f>
        <v/>
      </c>
      <c r="M170" s="11">
        <f>IF($T170=0,"",IF(INDEX('Market Data'!$J$5:$J$528,$T170)=0,"n/a",IF(IF(INDEX('Market Data'!$J$5:$J$528,$T170)=0,0,IF(LEFT(INDEX('Market Data'!$AS$5:$AS$66,INDEX('Market Data'!$J$5:$J$528,$T170)-4),11)="First-month",1,0))=1,"class review",IF($I170="Bloomberg",IF(AND(ISNUMBER(INDEX('Market Data'!$AH$5:$AH$66,INDEX('Market Data'!$J$5:$J$528,$T170)-4)),N(INDEX('Market Data'!$AH$5:$AH$66,INDEX('Market Data'!$J$5:$J$528,$T170)-4))&gt;0,ISNUMBER('Market Data'!$B$1),N('Market Data'!$B$1)&gt;0),INDEX('Market Data'!$AH$5:$AH$66,INDEX('Market Data'!$J$5:$J$528,$T170)-4)*'Market Data'!$B$1/$E170-1,"pending A/FX"),IF(AND($I170="Snapshot",$Q170="Snapshot",ISNUMBER($E170),$G170=INDEX('Market Data'!$AE$5:$AE$66,INDEX('Market Data'!$J$5:$J$528,$T170)-4)),IFERROR(INDEX('Market Data'!$AC$5:$AC$66,INDEX('Market Data'!$J$5:$J$528,$T170)-4)*INDEX('Market Data'!$AD$5:$AD$66,INDEX('Market Data'!$J$5:$J$528,$T170)-4)/$E170-1,"unavailable"),IF($I170="Unavailable","unavailable","date mismatch"))))))</f>
        <v/>
      </c>
      <c r="N170" s="11">
        <f>IF($T170=0,"",IFERROR(IF(AND(N(INDEX('Market Data'!$F$5:$F$528,$T170))&gt;0,ISNUMBER(INDEX('Market Data'!$T$5:$T$528,$T170))),$E170*INDEX('Market Data'!$T$5:$T$528,$T170)/INDEX('Market Data'!$F$5:$F$528,$T170)-1,"unavailable"),"unavailable"))</f>
        <v/>
      </c>
      <c r="O170" s="9">
        <f>IF($T170=0,"",IF(IF(INDEX('Market Data'!$J$5:$J$528,$T170)=0,0,IF(LEFT(INDEX('Market Data'!$AS$5:$AS$66,INDEX('Market Data'!$J$5:$J$528,$T170)-4),11)="First-month",1,0))=1,"Class ratio review",IF($I170="Bloomberg",IF(ISNUMBER($G170),IF($G170&lt;TODAY(),"Older quote","See quote time"),"Date unavailable"),IF($I170="Snapshot",IF($G170&lt;DATEVALUE("2026-10-02"),"Older snapshot","Dated close"),"No valid quote"))))</f>
        <v/>
      </c>
      <c r="P170" s="14">
        <f>IF($T170=0,"",IF(INDEX('Market Data'!$J$5:$J$528,$T170)=0,"n/a",IF($Q170="Bloomberg",IF(AND(ISNUMBER(INDEX('Market Data'!$AK$5:$AK$66,INDEX('Market Data'!$J$5:$J$528,$T170)-4)),N(INDEX('Market Data'!$AK$5:$AK$66,INDEX('Market Data'!$J$5:$J$528,$T170)-4))&gt;0),INDEX('Market Data'!$AK$5:$AK$66,INDEX('Market Data'!$J$5:$J$528,$T170)-4),"date unavailable"),IF($Q170="Snapshot",IF(AND(ISNUMBER(INDEX('Market Data'!$AF$5:$AF$66,INDEX('Market Data'!$J$5:$J$528,$T170)-4)),N(INDEX('Market Data'!$AF$5:$AF$66,INDEX('Market Data'!$J$5:$J$528,$T170)-4))&gt;0),INDEX('Market Data'!$AF$5:$AF$66,INDEX('Market Data'!$J$5:$J$528,$T170)-4),"date unavailable"),"date unavailable"))))</f>
        <v/>
      </c>
      <c r="Q170" s="15">
        <f>IF($T170=0,"",IF(INDEX('Market Data'!$J$5:$J$528,$T170)=0,"n/a",IF(AND($M$5&lt;&gt;"Snapshot",ISNUMBER(INDEX('Market Data'!$AH$5:$AH$66,INDEX('Market Data'!$J$5:$J$528,$T170)-4)),N(INDEX('Market Data'!$AH$5:$AH$66,INDEX('Market Data'!$J$5:$J$528,$T170)-4))&gt;0),"Bloomberg",IF(AND($M$5&lt;&gt;"Bloomberg",ISNUMBER(INDEX('Market Data'!$AC$5:$AC$66,INDEX('Market Data'!$J$5:$J$528,$T170)-4)),N(INDEX('Market Data'!$AC$5:$AC$66,INDEX('Market Data'!$J$5:$J$528,$T170)-4))&gt;0),"Snapshot","Unavailable"))))</f>
        <v/>
      </c>
      <c r="T170">
        <f>IFERROR(MATCH(162,'Market Data'!$S$5:$S$528,0),0)</f>
        <v/>
      </c>
    </row>
    <row r="171" ht="34" customHeight="1">
      <c r="A171" s="8">
        <f>IF($T171=0,"",IF(INDEX('Market Data'!$A$5:$A$528,$T171)="","",INDEX('Market Data'!$A$5:$A$528,$T171)))</f>
        <v/>
      </c>
      <c r="B171" s="9">
        <f>IF($T171=0,"",IF(INDEX('Market Data'!$B$5:$B$528,$T171)="","",INDEX('Market Data'!$B$5:$B$528,$T171)))</f>
        <v/>
      </c>
      <c r="C171" s="9">
        <f>IF($T171=0,"",IF(INDEX('Market Data'!$C$5:$C$528,$T171)="","",INDEX('Market Data'!$C$5:$C$528,$T171)))</f>
        <v/>
      </c>
      <c r="D171" s="9">
        <f>IF($T171=0,"",IF(INDEX('Market Data'!$D$5:$D$528,$T171)="","",INDEX('Market Data'!$D$5:$D$528,$T171)))</f>
        <v/>
      </c>
      <c r="E171" s="10">
        <f>IF($T171=0,"",INDEX('Market Data'!$O$5:$O$528,$T171))</f>
        <v/>
      </c>
      <c r="F171" s="11">
        <f>IF($T171=0,"",IF(AND($I171="Bloomberg",ISNUMBER(INDEX('Market Data'!$L$5:$L$528,$T171))),INDEX('Market Data'!$L$5:$L$528,$T171),"unavailable"))</f>
        <v/>
      </c>
      <c r="G171" s="12">
        <f>IF($T171=0,"",IF($I171="Bloomberg",IF(AND(ISNUMBER(INDEX('Market Data'!$M$5:$M$528,$T171)),N(INDEX('Market Data'!$M$5:$M$528,$T171))&gt;0),INDEX('Market Data'!$M$5:$M$528,$T171),"date unavailable"),IF($I171="Snapshot",IF(AND(ISNUMBER(INDEX('Market Data'!$H$5:$H$528,$T171)),N(INDEX('Market Data'!$H$5:$H$528,$T171))&gt;0),INDEX('Market Data'!$H$5:$H$528,$T171),"date unavailable"),"date unavailable")))</f>
        <v/>
      </c>
      <c r="H171" s="9">
        <f>IF($T171=0,"",IF($I171="Bloomberg",IF(INDEX('Market Data'!$N$5:$N$528,$T171)="","time unavailable",INDEX('Market Data'!$N$5:$N$528,$T171)),""))</f>
        <v/>
      </c>
      <c r="I171" s="9">
        <f>IF($T171=0,"",INDEX('Market Data'!$P$5:$P$528,$T171))</f>
        <v/>
      </c>
      <c r="J171" s="13">
        <f>IF($T171=0,"",IF(INDEX('Market Data'!$E$5:$E$528,$T171)="","",INDEX('Market Data'!$E$5:$E$528,$T171)))</f>
        <v/>
      </c>
      <c r="K171" s="8">
        <f>IF($T171=0,"",IF(INDEX('Market Data'!$I$5:$I$528,$T171)="","",INDEX('Market Data'!$I$5:$I$528,$T171)))</f>
        <v/>
      </c>
      <c r="L171" s="10">
        <f>IF($T171=0,"",IF(INDEX('Market Data'!$J$5:$J$528,$T171)=0,"n/a",IF(AND($M$5&lt;&gt;"Snapshot",ISNUMBER(INDEX('Market Data'!$AH$5:$AH$66,INDEX('Market Data'!$J$5:$J$528,$T171)-4)),N(INDEX('Market Data'!$AH$5:$AH$66,INDEX('Market Data'!$J$5:$J$528,$T171)-4))&gt;0),INDEX('Market Data'!$AH$5:$AH$66,INDEX('Market Data'!$J$5:$J$528,$T171)-4),IF(AND($M$5&lt;&gt;"Bloomberg",ISNUMBER(INDEX('Market Data'!$AC$5:$AC$66,INDEX('Market Data'!$J$5:$J$528,$T171)-4)),N(INDEX('Market Data'!$AC$5:$AC$66,INDEX('Market Data'!$J$5:$J$528,$T171)-4))&gt;0),INDEX('Market Data'!$AC$5:$AC$66,INDEX('Market Data'!$J$5:$J$528,$T171)-4),"unavailable"))))</f>
        <v/>
      </c>
      <c r="M171" s="11">
        <f>IF($T171=0,"",IF(INDEX('Market Data'!$J$5:$J$528,$T171)=0,"n/a",IF(IF(INDEX('Market Data'!$J$5:$J$528,$T171)=0,0,IF(LEFT(INDEX('Market Data'!$AS$5:$AS$66,INDEX('Market Data'!$J$5:$J$528,$T171)-4),11)="First-month",1,0))=1,"class review",IF($I171="Bloomberg",IF(AND(ISNUMBER(INDEX('Market Data'!$AH$5:$AH$66,INDEX('Market Data'!$J$5:$J$528,$T171)-4)),N(INDEX('Market Data'!$AH$5:$AH$66,INDEX('Market Data'!$J$5:$J$528,$T171)-4))&gt;0,ISNUMBER('Market Data'!$B$1),N('Market Data'!$B$1)&gt;0),INDEX('Market Data'!$AH$5:$AH$66,INDEX('Market Data'!$J$5:$J$528,$T171)-4)*'Market Data'!$B$1/$E171-1,"pending A/FX"),IF(AND($I171="Snapshot",$Q171="Snapshot",ISNUMBER($E171),$G171=INDEX('Market Data'!$AE$5:$AE$66,INDEX('Market Data'!$J$5:$J$528,$T171)-4)),IFERROR(INDEX('Market Data'!$AC$5:$AC$66,INDEX('Market Data'!$J$5:$J$528,$T171)-4)*INDEX('Market Data'!$AD$5:$AD$66,INDEX('Market Data'!$J$5:$J$528,$T171)-4)/$E171-1,"unavailable"),IF($I171="Unavailable","unavailable","date mismatch"))))))</f>
        <v/>
      </c>
      <c r="N171" s="11">
        <f>IF($T171=0,"",IFERROR(IF(AND(N(INDEX('Market Data'!$F$5:$F$528,$T171))&gt;0,ISNUMBER(INDEX('Market Data'!$T$5:$T$528,$T171))),$E171*INDEX('Market Data'!$T$5:$T$528,$T171)/INDEX('Market Data'!$F$5:$F$528,$T171)-1,"unavailable"),"unavailable"))</f>
        <v/>
      </c>
      <c r="O171" s="9">
        <f>IF($T171=0,"",IF(IF(INDEX('Market Data'!$J$5:$J$528,$T171)=0,0,IF(LEFT(INDEX('Market Data'!$AS$5:$AS$66,INDEX('Market Data'!$J$5:$J$528,$T171)-4),11)="First-month",1,0))=1,"Class ratio review",IF($I171="Bloomberg",IF(ISNUMBER($G171),IF($G171&lt;TODAY(),"Older quote","See quote time"),"Date unavailable"),IF($I171="Snapshot",IF($G171&lt;DATEVALUE("2026-10-02"),"Older snapshot","Dated close"),"No valid quote"))))</f>
        <v/>
      </c>
      <c r="P171" s="14">
        <f>IF($T171=0,"",IF(INDEX('Market Data'!$J$5:$J$528,$T171)=0,"n/a",IF($Q171="Bloomberg",IF(AND(ISNUMBER(INDEX('Market Data'!$AK$5:$AK$66,INDEX('Market Data'!$J$5:$J$528,$T171)-4)),N(INDEX('Market Data'!$AK$5:$AK$66,INDEX('Market Data'!$J$5:$J$528,$T171)-4))&gt;0),INDEX('Market Data'!$AK$5:$AK$66,INDEX('Market Data'!$J$5:$J$528,$T171)-4),"date unavailable"),IF($Q171="Snapshot",IF(AND(ISNUMBER(INDEX('Market Data'!$AF$5:$AF$66,INDEX('Market Data'!$J$5:$J$528,$T171)-4)),N(INDEX('Market Data'!$AF$5:$AF$66,INDEX('Market Data'!$J$5:$J$528,$T171)-4))&gt;0),INDEX('Market Data'!$AF$5:$AF$66,INDEX('Market Data'!$J$5:$J$528,$T171)-4),"date unavailable"),"date unavailable"))))</f>
        <v/>
      </c>
      <c r="Q171" s="15">
        <f>IF($T171=0,"",IF(INDEX('Market Data'!$J$5:$J$528,$T171)=0,"n/a",IF(AND($M$5&lt;&gt;"Snapshot",ISNUMBER(INDEX('Market Data'!$AH$5:$AH$66,INDEX('Market Data'!$J$5:$J$528,$T171)-4)),N(INDEX('Market Data'!$AH$5:$AH$66,INDEX('Market Data'!$J$5:$J$528,$T171)-4))&gt;0),"Bloomberg",IF(AND($M$5&lt;&gt;"Bloomberg",ISNUMBER(INDEX('Market Data'!$AC$5:$AC$66,INDEX('Market Data'!$J$5:$J$528,$T171)-4)),N(INDEX('Market Data'!$AC$5:$AC$66,INDEX('Market Data'!$J$5:$J$528,$T171)-4))&gt;0),"Snapshot","Unavailable"))))</f>
        <v/>
      </c>
      <c r="T171">
        <f>IFERROR(MATCH(163,'Market Data'!$S$5:$S$528,0),0)</f>
        <v/>
      </c>
    </row>
    <row r="172" ht="34" customHeight="1">
      <c r="A172" s="8">
        <f>IF($T172=0,"",IF(INDEX('Market Data'!$A$5:$A$528,$T172)="","",INDEX('Market Data'!$A$5:$A$528,$T172)))</f>
        <v/>
      </c>
      <c r="B172" s="9">
        <f>IF($T172=0,"",IF(INDEX('Market Data'!$B$5:$B$528,$T172)="","",INDEX('Market Data'!$B$5:$B$528,$T172)))</f>
        <v/>
      </c>
      <c r="C172" s="9">
        <f>IF($T172=0,"",IF(INDEX('Market Data'!$C$5:$C$528,$T172)="","",INDEX('Market Data'!$C$5:$C$528,$T172)))</f>
        <v/>
      </c>
      <c r="D172" s="9">
        <f>IF($T172=0,"",IF(INDEX('Market Data'!$D$5:$D$528,$T172)="","",INDEX('Market Data'!$D$5:$D$528,$T172)))</f>
        <v/>
      </c>
      <c r="E172" s="10">
        <f>IF($T172=0,"",INDEX('Market Data'!$O$5:$O$528,$T172))</f>
        <v/>
      </c>
      <c r="F172" s="11">
        <f>IF($T172=0,"",IF(AND($I172="Bloomberg",ISNUMBER(INDEX('Market Data'!$L$5:$L$528,$T172))),INDEX('Market Data'!$L$5:$L$528,$T172),"unavailable"))</f>
        <v/>
      </c>
      <c r="G172" s="12">
        <f>IF($T172=0,"",IF($I172="Bloomberg",IF(AND(ISNUMBER(INDEX('Market Data'!$M$5:$M$528,$T172)),N(INDEX('Market Data'!$M$5:$M$528,$T172))&gt;0),INDEX('Market Data'!$M$5:$M$528,$T172),"date unavailable"),IF($I172="Snapshot",IF(AND(ISNUMBER(INDEX('Market Data'!$H$5:$H$528,$T172)),N(INDEX('Market Data'!$H$5:$H$528,$T172))&gt;0),INDEX('Market Data'!$H$5:$H$528,$T172),"date unavailable"),"date unavailable")))</f>
        <v/>
      </c>
      <c r="H172" s="9">
        <f>IF($T172=0,"",IF($I172="Bloomberg",IF(INDEX('Market Data'!$N$5:$N$528,$T172)="","time unavailable",INDEX('Market Data'!$N$5:$N$528,$T172)),""))</f>
        <v/>
      </c>
      <c r="I172" s="9">
        <f>IF($T172=0,"",INDEX('Market Data'!$P$5:$P$528,$T172))</f>
        <v/>
      </c>
      <c r="J172" s="13">
        <f>IF($T172=0,"",IF(INDEX('Market Data'!$E$5:$E$528,$T172)="","",INDEX('Market Data'!$E$5:$E$528,$T172)))</f>
        <v/>
      </c>
      <c r="K172" s="8">
        <f>IF($T172=0,"",IF(INDEX('Market Data'!$I$5:$I$528,$T172)="","",INDEX('Market Data'!$I$5:$I$528,$T172)))</f>
        <v/>
      </c>
      <c r="L172" s="10">
        <f>IF($T172=0,"",IF(INDEX('Market Data'!$J$5:$J$528,$T172)=0,"n/a",IF(AND($M$5&lt;&gt;"Snapshot",ISNUMBER(INDEX('Market Data'!$AH$5:$AH$66,INDEX('Market Data'!$J$5:$J$528,$T172)-4)),N(INDEX('Market Data'!$AH$5:$AH$66,INDEX('Market Data'!$J$5:$J$528,$T172)-4))&gt;0),INDEX('Market Data'!$AH$5:$AH$66,INDEX('Market Data'!$J$5:$J$528,$T172)-4),IF(AND($M$5&lt;&gt;"Bloomberg",ISNUMBER(INDEX('Market Data'!$AC$5:$AC$66,INDEX('Market Data'!$J$5:$J$528,$T172)-4)),N(INDEX('Market Data'!$AC$5:$AC$66,INDEX('Market Data'!$J$5:$J$528,$T172)-4))&gt;0),INDEX('Market Data'!$AC$5:$AC$66,INDEX('Market Data'!$J$5:$J$528,$T172)-4),"unavailable"))))</f>
        <v/>
      </c>
      <c r="M172" s="11">
        <f>IF($T172=0,"",IF(INDEX('Market Data'!$J$5:$J$528,$T172)=0,"n/a",IF(IF(INDEX('Market Data'!$J$5:$J$528,$T172)=0,0,IF(LEFT(INDEX('Market Data'!$AS$5:$AS$66,INDEX('Market Data'!$J$5:$J$528,$T172)-4),11)="First-month",1,0))=1,"class review",IF($I172="Bloomberg",IF(AND(ISNUMBER(INDEX('Market Data'!$AH$5:$AH$66,INDEX('Market Data'!$J$5:$J$528,$T172)-4)),N(INDEX('Market Data'!$AH$5:$AH$66,INDEX('Market Data'!$J$5:$J$528,$T172)-4))&gt;0,ISNUMBER('Market Data'!$B$1),N('Market Data'!$B$1)&gt;0),INDEX('Market Data'!$AH$5:$AH$66,INDEX('Market Data'!$J$5:$J$528,$T172)-4)*'Market Data'!$B$1/$E172-1,"pending A/FX"),IF(AND($I172="Snapshot",$Q172="Snapshot",ISNUMBER($E172),$G172=INDEX('Market Data'!$AE$5:$AE$66,INDEX('Market Data'!$J$5:$J$528,$T172)-4)),IFERROR(INDEX('Market Data'!$AC$5:$AC$66,INDEX('Market Data'!$J$5:$J$528,$T172)-4)*INDEX('Market Data'!$AD$5:$AD$66,INDEX('Market Data'!$J$5:$J$528,$T172)-4)/$E172-1,"unavailable"),IF($I172="Unavailable","unavailable","date mismatch"))))))</f>
        <v/>
      </c>
      <c r="N172" s="11">
        <f>IF($T172=0,"",IFERROR(IF(AND(N(INDEX('Market Data'!$F$5:$F$528,$T172))&gt;0,ISNUMBER(INDEX('Market Data'!$T$5:$T$528,$T172))),$E172*INDEX('Market Data'!$T$5:$T$528,$T172)/INDEX('Market Data'!$F$5:$F$528,$T172)-1,"unavailable"),"unavailable"))</f>
        <v/>
      </c>
      <c r="O172" s="9">
        <f>IF($T172=0,"",IF(IF(INDEX('Market Data'!$J$5:$J$528,$T172)=0,0,IF(LEFT(INDEX('Market Data'!$AS$5:$AS$66,INDEX('Market Data'!$J$5:$J$528,$T172)-4),11)="First-month",1,0))=1,"Class ratio review",IF($I172="Bloomberg",IF(ISNUMBER($G172),IF($G172&lt;TODAY(),"Older quote","See quote time"),"Date unavailable"),IF($I172="Snapshot",IF($G172&lt;DATEVALUE("2026-10-02"),"Older snapshot","Dated close"),"No valid quote"))))</f>
        <v/>
      </c>
      <c r="P172" s="14">
        <f>IF($T172=0,"",IF(INDEX('Market Data'!$J$5:$J$528,$T172)=0,"n/a",IF($Q172="Bloomberg",IF(AND(ISNUMBER(INDEX('Market Data'!$AK$5:$AK$66,INDEX('Market Data'!$J$5:$J$528,$T172)-4)),N(INDEX('Market Data'!$AK$5:$AK$66,INDEX('Market Data'!$J$5:$J$528,$T172)-4))&gt;0),INDEX('Market Data'!$AK$5:$AK$66,INDEX('Market Data'!$J$5:$J$528,$T172)-4),"date unavailable"),IF($Q172="Snapshot",IF(AND(ISNUMBER(INDEX('Market Data'!$AF$5:$AF$66,INDEX('Market Data'!$J$5:$J$528,$T172)-4)),N(INDEX('Market Data'!$AF$5:$AF$66,INDEX('Market Data'!$J$5:$J$528,$T172)-4))&gt;0),INDEX('Market Data'!$AF$5:$AF$66,INDEX('Market Data'!$J$5:$J$528,$T172)-4),"date unavailable"),"date unavailable"))))</f>
        <v/>
      </c>
      <c r="Q172" s="15">
        <f>IF($T172=0,"",IF(INDEX('Market Data'!$J$5:$J$528,$T172)=0,"n/a",IF(AND($M$5&lt;&gt;"Snapshot",ISNUMBER(INDEX('Market Data'!$AH$5:$AH$66,INDEX('Market Data'!$J$5:$J$528,$T172)-4)),N(INDEX('Market Data'!$AH$5:$AH$66,INDEX('Market Data'!$J$5:$J$528,$T172)-4))&gt;0),"Bloomberg",IF(AND($M$5&lt;&gt;"Bloomberg",ISNUMBER(INDEX('Market Data'!$AC$5:$AC$66,INDEX('Market Data'!$J$5:$J$528,$T172)-4)),N(INDEX('Market Data'!$AC$5:$AC$66,INDEX('Market Data'!$J$5:$J$528,$T172)-4))&gt;0),"Snapshot","Unavailable"))))</f>
        <v/>
      </c>
      <c r="T172">
        <f>IFERROR(MATCH(164,'Market Data'!$S$5:$S$528,0),0)</f>
        <v/>
      </c>
    </row>
    <row r="173" ht="34" customHeight="1">
      <c r="A173" s="8">
        <f>IF($T173=0,"",IF(INDEX('Market Data'!$A$5:$A$528,$T173)="","",INDEX('Market Data'!$A$5:$A$528,$T173)))</f>
        <v/>
      </c>
      <c r="B173" s="9">
        <f>IF($T173=0,"",IF(INDEX('Market Data'!$B$5:$B$528,$T173)="","",INDEX('Market Data'!$B$5:$B$528,$T173)))</f>
        <v/>
      </c>
      <c r="C173" s="9">
        <f>IF($T173=0,"",IF(INDEX('Market Data'!$C$5:$C$528,$T173)="","",INDEX('Market Data'!$C$5:$C$528,$T173)))</f>
        <v/>
      </c>
      <c r="D173" s="9">
        <f>IF($T173=0,"",IF(INDEX('Market Data'!$D$5:$D$528,$T173)="","",INDEX('Market Data'!$D$5:$D$528,$T173)))</f>
        <v/>
      </c>
      <c r="E173" s="10">
        <f>IF($T173=0,"",INDEX('Market Data'!$O$5:$O$528,$T173))</f>
        <v/>
      </c>
      <c r="F173" s="11">
        <f>IF($T173=0,"",IF(AND($I173="Bloomberg",ISNUMBER(INDEX('Market Data'!$L$5:$L$528,$T173))),INDEX('Market Data'!$L$5:$L$528,$T173),"unavailable"))</f>
        <v/>
      </c>
      <c r="G173" s="12">
        <f>IF($T173=0,"",IF($I173="Bloomberg",IF(AND(ISNUMBER(INDEX('Market Data'!$M$5:$M$528,$T173)),N(INDEX('Market Data'!$M$5:$M$528,$T173))&gt;0),INDEX('Market Data'!$M$5:$M$528,$T173),"date unavailable"),IF($I173="Snapshot",IF(AND(ISNUMBER(INDEX('Market Data'!$H$5:$H$528,$T173)),N(INDEX('Market Data'!$H$5:$H$528,$T173))&gt;0),INDEX('Market Data'!$H$5:$H$528,$T173),"date unavailable"),"date unavailable")))</f>
        <v/>
      </c>
      <c r="H173" s="9">
        <f>IF($T173=0,"",IF($I173="Bloomberg",IF(INDEX('Market Data'!$N$5:$N$528,$T173)="","time unavailable",INDEX('Market Data'!$N$5:$N$528,$T173)),""))</f>
        <v/>
      </c>
      <c r="I173" s="9">
        <f>IF($T173=0,"",INDEX('Market Data'!$P$5:$P$528,$T173))</f>
        <v/>
      </c>
      <c r="J173" s="13">
        <f>IF($T173=0,"",IF(INDEX('Market Data'!$E$5:$E$528,$T173)="","",INDEX('Market Data'!$E$5:$E$528,$T173)))</f>
        <v/>
      </c>
      <c r="K173" s="8">
        <f>IF($T173=0,"",IF(INDEX('Market Data'!$I$5:$I$528,$T173)="","",INDEX('Market Data'!$I$5:$I$528,$T173)))</f>
        <v/>
      </c>
      <c r="L173" s="10">
        <f>IF($T173=0,"",IF(INDEX('Market Data'!$J$5:$J$528,$T173)=0,"n/a",IF(AND($M$5&lt;&gt;"Snapshot",ISNUMBER(INDEX('Market Data'!$AH$5:$AH$66,INDEX('Market Data'!$J$5:$J$528,$T173)-4)),N(INDEX('Market Data'!$AH$5:$AH$66,INDEX('Market Data'!$J$5:$J$528,$T173)-4))&gt;0),INDEX('Market Data'!$AH$5:$AH$66,INDEX('Market Data'!$J$5:$J$528,$T173)-4),IF(AND($M$5&lt;&gt;"Bloomberg",ISNUMBER(INDEX('Market Data'!$AC$5:$AC$66,INDEX('Market Data'!$J$5:$J$528,$T173)-4)),N(INDEX('Market Data'!$AC$5:$AC$66,INDEX('Market Data'!$J$5:$J$528,$T173)-4))&gt;0),INDEX('Market Data'!$AC$5:$AC$66,INDEX('Market Data'!$J$5:$J$528,$T173)-4),"unavailable"))))</f>
        <v/>
      </c>
      <c r="M173" s="11">
        <f>IF($T173=0,"",IF(INDEX('Market Data'!$J$5:$J$528,$T173)=0,"n/a",IF(IF(INDEX('Market Data'!$J$5:$J$528,$T173)=0,0,IF(LEFT(INDEX('Market Data'!$AS$5:$AS$66,INDEX('Market Data'!$J$5:$J$528,$T173)-4),11)="First-month",1,0))=1,"class review",IF($I173="Bloomberg",IF(AND(ISNUMBER(INDEX('Market Data'!$AH$5:$AH$66,INDEX('Market Data'!$J$5:$J$528,$T173)-4)),N(INDEX('Market Data'!$AH$5:$AH$66,INDEX('Market Data'!$J$5:$J$528,$T173)-4))&gt;0,ISNUMBER('Market Data'!$B$1),N('Market Data'!$B$1)&gt;0),INDEX('Market Data'!$AH$5:$AH$66,INDEX('Market Data'!$J$5:$J$528,$T173)-4)*'Market Data'!$B$1/$E173-1,"pending A/FX"),IF(AND($I173="Snapshot",$Q173="Snapshot",ISNUMBER($E173),$G173=INDEX('Market Data'!$AE$5:$AE$66,INDEX('Market Data'!$J$5:$J$528,$T173)-4)),IFERROR(INDEX('Market Data'!$AC$5:$AC$66,INDEX('Market Data'!$J$5:$J$528,$T173)-4)*INDEX('Market Data'!$AD$5:$AD$66,INDEX('Market Data'!$J$5:$J$528,$T173)-4)/$E173-1,"unavailable"),IF($I173="Unavailable","unavailable","date mismatch"))))))</f>
        <v/>
      </c>
      <c r="N173" s="11">
        <f>IF($T173=0,"",IFERROR(IF(AND(N(INDEX('Market Data'!$F$5:$F$528,$T173))&gt;0,ISNUMBER(INDEX('Market Data'!$T$5:$T$528,$T173))),$E173*INDEX('Market Data'!$T$5:$T$528,$T173)/INDEX('Market Data'!$F$5:$F$528,$T173)-1,"unavailable"),"unavailable"))</f>
        <v/>
      </c>
      <c r="O173" s="9">
        <f>IF($T173=0,"",IF(IF(INDEX('Market Data'!$J$5:$J$528,$T173)=0,0,IF(LEFT(INDEX('Market Data'!$AS$5:$AS$66,INDEX('Market Data'!$J$5:$J$528,$T173)-4),11)="First-month",1,0))=1,"Class ratio review",IF($I173="Bloomberg",IF(ISNUMBER($G173),IF($G173&lt;TODAY(),"Older quote","See quote time"),"Date unavailable"),IF($I173="Snapshot",IF($G173&lt;DATEVALUE("2026-10-02"),"Older snapshot","Dated close"),"No valid quote"))))</f>
        <v/>
      </c>
      <c r="P173" s="14">
        <f>IF($T173=0,"",IF(INDEX('Market Data'!$J$5:$J$528,$T173)=0,"n/a",IF($Q173="Bloomberg",IF(AND(ISNUMBER(INDEX('Market Data'!$AK$5:$AK$66,INDEX('Market Data'!$J$5:$J$528,$T173)-4)),N(INDEX('Market Data'!$AK$5:$AK$66,INDEX('Market Data'!$J$5:$J$528,$T173)-4))&gt;0),INDEX('Market Data'!$AK$5:$AK$66,INDEX('Market Data'!$J$5:$J$528,$T173)-4),"date unavailable"),IF($Q173="Snapshot",IF(AND(ISNUMBER(INDEX('Market Data'!$AF$5:$AF$66,INDEX('Market Data'!$J$5:$J$528,$T173)-4)),N(INDEX('Market Data'!$AF$5:$AF$66,INDEX('Market Data'!$J$5:$J$528,$T173)-4))&gt;0),INDEX('Market Data'!$AF$5:$AF$66,INDEX('Market Data'!$J$5:$J$528,$T173)-4),"date unavailable"),"date unavailable"))))</f>
        <v/>
      </c>
      <c r="Q173" s="15">
        <f>IF($T173=0,"",IF(INDEX('Market Data'!$J$5:$J$528,$T173)=0,"n/a",IF(AND($M$5&lt;&gt;"Snapshot",ISNUMBER(INDEX('Market Data'!$AH$5:$AH$66,INDEX('Market Data'!$J$5:$J$528,$T173)-4)),N(INDEX('Market Data'!$AH$5:$AH$66,INDEX('Market Data'!$J$5:$J$528,$T173)-4))&gt;0),"Bloomberg",IF(AND($M$5&lt;&gt;"Bloomberg",ISNUMBER(INDEX('Market Data'!$AC$5:$AC$66,INDEX('Market Data'!$J$5:$J$528,$T173)-4)),N(INDEX('Market Data'!$AC$5:$AC$66,INDEX('Market Data'!$J$5:$J$528,$T173)-4))&gt;0),"Snapshot","Unavailable"))))</f>
        <v/>
      </c>
      <c r="T173">
        <f>IFERROR(MATCH(165,'Market Data'!$S$5:$S$528,0),0)</f>
        <v/>
      </c>
    </row>
    <row r="174" ht="34" customHeight="1">
      <c r="A174" s="8">
        <f>IF($T174=0,"",IF(INDEX('Market Data'!$A$5:$A$528,$T174)="","",INDEX('Market Data'!$A$5:$A$528,$T174)))</f>
        <v/>
      </c>
      <c r="B174" s="9">
        <f>IF($T174=0,"",IF(INDEX('Market Data'!$B$5:$B$528,$T174)="","",INDEX('Market Data'!$B$5:$B$528,$T174)))</f>
        <v/>
      </c>
      <c r="C174" s="9">
        <f>IF($T174=0,"",IF(INDEX('Market Data'!$C$5:$C$528,$T174)="","",INDEX('Market Data'!$C$5:$C$528,$T174)))</f>
        <v/>
      </c>
      <c r="D174" s="9">
        <f>IF($T174=0,"",IF(INDEX('Market Data'!$D$5:$D$528,$T174)="","",INDEX('Market Data'!$D$5:$D$528,$T174)))</f>
        <v/>
      </c>
      <c r="E174" s="10">
        <f>IF($T174=0,"",INDEX('Market Data'!$O$5:$O$528,$T174))</f>
        <v/>
      </c>
      <c r="F174" s="11">
        <f>IF($T174=0,"",IF(AND($I174="Bloomberg",ISNUMBER(INDEX('Market Data'!$L$5:$L$528,$T174))),INDEX('Market Data'!$L$5:$L$528,$T174),"unavailable"))</f>
        <v/>
      </c>
      <c r="G174" s="12">
        <f>IF($T174=0,"",IF($I174="Bloomberg",IF(AND(ISNUMBER(INDEX('Market Data'!$M$5:$M$528,$T174)),N(INDEX('Market Data'!$M$5:$M$528,$T174))&gt;0),INDEX('Market Data'!$M$5:$M$528,$T174),"date unavailable"),IF($I174="Snapshot",IF(AND(ISNUMBER(INDEX('Market Data'!$H$5:$H$528,$T174)),N(INDEX('Market Data'!$H$5:$H$528,$T174))&gt;0),INDEX('Market Data'!$H$5:$H$528,$T174),"date unavailable"),"date unavailable")))</f>
        <v/>
      </c>
      <c r="H174" s="9">
        <f>IF($T174=0,"",IF($I174="Bloomberg",IF(INDEX('Market Data'!$N$5:$N$528,$T174)="","time unavailable",INDEX('Market Data'!$N$5:$N$528,$T174)),""))</f>
        <v/>
      </c>
      <c r="I174" s="9">
        <f>IF($T174=0,"",INDEX('Market Data'!$P$5:$P$528,$T174))</f>
        <v/>
      </c>
      <c r="J174" s="13">
        <f>IF($T174=0,"",IF(INDEX('Market Data'!$E$5:$E$528,$T174)="","",INDEX('Market Data'!$E$5:$E$528,$T174)))</f>
        <v/>
      </c>
      <c r="K174" s="8">
        <f>IF($T174=0,"",IF(INDEX('Market Data'!$I$5:$I$528,$T174)="","",INDEX('Market Data'!$I$5:$I$528,$T174)))</f>
        <v/>
      </c>
      <c r="L174" s="10">
        <f>IF($T174=0,"",IF(INDEX('Market Data'!$J$5:$J$528,$T174)=0,"n/a",IF(AND($M$5&lt;&gt;"Snapshot",ISNUMBER(INDEX('Market Data'!$AH$5:$AH$66,INDEX('Market Data'!$J$5:$J$528,$T174)-4)),N(INDEX('Market Data'!$AH$5:$AH$66,INDEX('Market Data'!$J$5:$J$528,$T174)-4))&gt;0),INDEX('Market Data'!$AH$5:$AH$66,INDEX('Market Data'!$J$5:$J$528,$T174)-4),IF(AND($M$5&lt;&gt;"Bloomberg",ISNUMBER(INDEX('Market Data'!$AC$5:$AC$66,INDEX('Market Data'!$J$5:$J$528,$T174)-4)),N(INDEX('Market Data'!$AC$5:$AC$66,INDEX('Market Data'!$J$5:$J$528,$T174)-4))&gt;0),INDEX('Market Data'!$AC$5:$AC$66,INDEX('Market Data'!$J$5:$J$528,$T174)-4),"unavailable"))))</f>
        <v/>
      </c>
      <c r="M174" s="11">
        <f>IF($T174=0,"",IF(INDEX('Market Data'!$J$5:$J$528,$T174)=0,"n/a",IF(IF(INDEX('Market Data'!$J$5:$J$528,$T174)=0,0,IF(LEFT(INDEX('Market Data'!$AS$5:$AS$66,INDEX('Market Data'!$J$5:$J$528,$T174)-4),11)="First-month",1,0))=1,"class review",IF($I174="Bloomberg",IF(AND(ISNUMBER(INDEX('Market Data'!$AH$5:$AH$66,INDEX('Market Data'!$J$5:$J$528,$T174)-4)),N(INDEX('Market Data'!$AH$5:$AH$66,INDEX('Market Data'!$J$5:$J$528,$T174)-4))&gt;0,ISNUMBER('Market Data'!$B$1),N('Market Data'!$B$1)&gt;0),INDEX('Market Data'!$AH$5:$AH$66,INDEX('Market Data'!$J$5:$J$528,$T174)-4)*'Market Data'!$B$1/$E174-1,"pending A/FX"),IF(AND($I174="Snapshot",$Q174="Snapshot",ISNUMBER($E174),$G174=INDEX('Market Data'!$AE$5:$AE$66,INDEX('Market Data'!$J$5:$J$528,$T174)-4)),IFERROR(INDEX('Market Data'!$AC$5:$AC$66,INDEX('Market Data'!$J$5:$J$528,$T174)-4)*INDEX('Market Data'!$AD$5:$AD$66,INDEX('Market Data'!$J$5:$J$528,$T174)-4)/$E174-1,"unavailable"),IF($I174="Unavailable","unavailable","date mismatch"))))))</f>
        <v/>
      </c>
      <c r="N174" s="11">
        <f>IF($T174=0,"",IFERROR(IF(AND(N(INDEX('Market Data'!$F$5:$F$528,$T174))&gt;0,ISNUMBER(INDEX('Market Data'!$T$5:$T$528,$T174))),$E174*INDEX('Market Data'!$T$5:$T$528,$T174)/INDEX('Market Data'!$F$5:$F$528,$T174)-1,"unavailable"),"unavailable"))</f>
        <v/>
      </c>
      <c r="O174" s="9">
        <f>IF($T174=0,"",IF(IF(INDEX('Market Data'!$J$5:$J$528,$T174)=0,0,IF(LEFT(INDEX('Market Data'!$AS$5:$AS$66,INDEX('Market Data'!$J$5:$J$528,$T174)-4),11)="First-month",1,0))=1,"Class ratio review",IF($I174="Bloomberg",IF(ISNUMBER($G174),IF($G174&lt;TODAY(),"Older quote","See quote time"),"Date unavailable"),IF($I174="Snapshot",IF($G174&lt;DATEVALUE("2026-10-02"),"Older snapshot","Dated close"),"No valid quote"))))</f>
        <v/>
      </c>
      <c r="P174" s="14">
        <f>IF($T174=0,"",IF(INDEX('Market Data'!$J$5:$J$528,$T174)=0,"n/a",IF($Q174="Bloomberg",IF(AND(ISNUMBER(INDEX('Market Data'!$AK$5:$AK$66,INDEX('Market Data'!$J$5:$J$528,$T174)-4)),N(INDEX('Market Data'!$AK$5:$AK$66,INDEX('Market Data'!$J$5:$J$528,$T174)-4))&gt;0),INDEX('Market Data'!$AK$5:$AK$66,INDEX('Market Data'!$J$5:$J$528,$T174)-4),"date unavailable"),IF($Q174="Snapshot",IF(AND(ISNUMBER(INDEX('Market Data'!$AF$5:$AF$66,INDEX('Market Data'!$J$5:$J$528,$T174)-4)),N(INDEX('Market Data'!$AF$5:$AF$66,INDEX('Market Data'!$J$5:$J$528,$T174)-4))&gt;0),INDEX('Market Data'!$AF$5:$AF$66,INDEX('Market Data'!$J$5:$J$528,$T174)-4),"date unavailable"),"date unavailable"))))</f>
        <v/>
      </c>
      <c r="Q174" s="15">
        <f>IF($T174=0,"",IF(INDEX('Market Data'!$J$5:$J$528,$T174)=0,"n/a",IF(AND($M$5&lt;&gt;"Snapshot",ISNUMBER(INDEX('Market Data'!$AH$5:$AH$66,INDEX('Market Data'!$J$5:$J$528,$T174)-4)),N(INDEX('Market Data'!$AH$5:$AH$66,INDEX('Market Data'!$J$5:$J$528,$T174)-4))&gt;0),"Bloomberg",IF(AND($M$5&lt;&gt;"Bloomberg",ISNUMBER(INDEX('Market Data'!$AC$5:$AC$66,INDEX('Market Data'!$J$5:$J$528,$T174)-4)),N(INDEX('Market Data'!$AC$5:$AC$66,INDEX('Market Data'!$J$5:$J$528,$T174)-4))&gt;0),"Snapshot","Unavailable"))))</f>
        <v/>
      </c>
      <c r="T174">
        <f>IFERROR(MATCH(166,'Market Data'!$S$5:$S$528,0),0)</f>
        <v/>
      </c>
    </row>
    <row r="175" ht="34" customHeight="1">
      <c r="A175" s="8">
        <f>IF($T175=0,"",IF(INDEX('Market Data'!$A$5:$A$528,$T175)="","",INDEX('Market Data'!$A$5:$A$528,$T175)))</f>
        <v/>
      </c>
      <c r="B175" s="9">
        <f>IF($T175=0,"",IF(INDEX('Market Data'!$B$5:$B$528,$T175)="","",INDEX('Market Data'!$B$5:$B$528,$T175)))</f>
        <v/>
      </c>
      <c r="C175" s="9">
        <f>IF($T175=0,"",IF(INDEX('Market Data'!$C$5:$C$528,$T175)="","",INDEX('Market Data'!$C$5:$C$528,$T175)))</f>
        <v/>
      </c>
      <c r="D175" s="9">
        <f>IF($T175=0,"",IF(INDEX('Market Data'!$D$5:$D$528,$T175)="","",INDEX('Market Data'!$D$5:$D$528,$T175)))</f>
        <v/>
      </c>
      <c r="E175" s="10">
        <f>IF($T175=0,"",INDEX('Market Data'!$O$5:$O$528,$T175))</f>
        <v/>
      </c>
      <c r="F175" s="11">
        <f>IF($T175=0,"",IF(AND($I175="Bloomberg",ISNUMBER(INDEX('Market Data'!$L$5:$L$528,$T175))),INDEX('Market Data'!$L$5:$L$528,$T175),"unavailable"))</f>
        <v/>
      </c>
      <c r="G175" s="12">
        <f>IF($T175=0,"",IF($I175="Bloomberg",IF(AND(ISNUMBER(INDEX('Market Data'!$M$5:$M$528,$T175)),N(INDEX('Market Data'!$M$5:$M$528,$T175))&gt;0),INDEX('Market Data'!$M$5:$M$528,$T175),"date unavailable"),IF($I175="Snapshot",IF(AND(ISNUMBER(INDEX('Market Data'!$H$5:$H$528,$T175)),N(INDEX('Market Data'!$H$5:$H$528,$T175))&gt;0),INDEX('Market Data'!$H$5:$H$528,$T175),"date unavailable"),"date unavailable")))</f>
        <v/>
      </c>
      <c r="H175" s="9">
        <f>IF($T175=0,"",IF($I175="Bloomberg",IF(INDEX('Market Data'!$N$5:$N$528,$T175)="","time unavailable",INDEX('Market Data'!$N$5:$N$528,$T175)),""))</f>
        <v/>
      </c>
      <c r="I175" s="9">
        <f>IF($T175=0,"",INDEX('Market Data'!$P$5:$P$528,$T175))</f>
        <v/>
      </c>
      <c r="J175" s="13">
        <f>IF($T175=0,"",IF(INDEX('Market Data'!$E$5:$E$528,$T175)="","",INDEX('Market Data'!$E$5:$E$528,$T175)))</f>
        <v/>
      </c>
      <c r="K175" s="8">
        <f>IF($T175=0,"",IF(INDEX('Market Data'!$I$5:$I$528,$T175)="","",INDEX('Market Data'!$I$5:$I$528,$T175)))</f>
        <v/>
      </c>
      <c r="L175" s="10">
        <f>IF($T175=0,"",IF(INDEX('Market Data'!$J$5:$J$528,$T175)=0,"n/a",IF(AND($M$5&lt;&gt;"Snapshot",ISNUMBER(INDEX('Market Data'!$AH$5:$AH$66,INDEX('Market Data'!$J$5:$J$528,$T175)-4)),N(INDEX('Market Data'!$AH$5:$AH$66,INDEX('Market Data'!$J$5:$J$528,$T175)-4))&gt;0),INDEX('Market Data'!$AH$5:$AH$66,INDEX('Market Data'!$J$5:$J$528,$T175)-4),IF(AND($M$5&lt;&gt;"Bloomberg",ISNUMBER(INDEX('Market Data'!$AC$5:$AC$66,INDEX('Market Data'!$J$5:$J$528,$T175)-4)),N(INDEX('Market Data'!$AC$5:$AC$66,INDEX('Market Data'!$J$5:$J$528,$T175)-4))&gt;0),INDEX('Market Data'!$AC$5:$AC$66,INDEX('Market Data'!$J$5:$J$528,$T175)-4),"unavailable"))))</f>
        <v/>
      </c>
      <c r="M175" s="11">
        <f>IF($T175=0,"",IF(INDEX('Market Data'!$J$5:$J$528,$T175)=0,"n/a",IF(IF(INDEX('Market Data'!$J$5:$J$528,$T175)=0,0,IF(LEFT(INDEX('Market Data'!$AS$5:$AS$66,INDEX('Market Data'!$J$5:$J$528,$T175)-4),11)="First-month",1,0))=1,"class review",IF($I175="Bloomberg",IF(AND(ISNUMBER(INDEX('Market Data'!$AH$5:$AH$66,INDEX('Market Data'!$J$5:$J$528,$T175)-4)),N(INDEX('Market Data'!$AH$5:$AH$66,INDEX('Market Data'!$J$5:$J$528,$T175)-4))&gt;0,ISNUMBER('Market Data'!$B$1),N('Market Data'!$B$1)&gt;0),INDEX('Market Data'!$AH$5:$AH$66,INDEX('Market Data'!$J$5:$J$528,$T175)-4)*'Market Data'!$B$1/$E175-1,"pending A/FX"),IF(AND($I175="Snapshot",$Q175="Snapshot",ISNUMBER($E175),$G175=INDEX('Market Data'!$AE$5:$AE$66,INDEX('Market Data'!$J$5:$J$528,$T175)-4)),IFERROR(INDEX('Market Data'!$AC$5:$AC$66,INDEX('Market Data'!$J$5:$J$528,$T175)-4)*INDEX('Market Data'!$AD$5:$AD$66,INDEX('Market Data'!$J$5:$J$528,$T175)-4)/$E175-1,"unavailable"),IF($I175="Unavailable","unavailable","date mismatch"))))))</f>
        <v/>
      </c>
      <c r="N175" s="11">
        <f>IF($T175=0,"",IFERROR(IF(AND(N(INDEX('Market Data'!$F$5:$F$528,$T175))&gt;0,ISNUMBER(INDEX('Market Data'!$T$5:$T$528,$T175))),$E175*INDEX('Market Data'!$T$5:$T$528,$T175)/INDEX('Market Data'!$F$5:$F$528,$T175)-1,"unavailable"),"unavailable"))</f>
        <v/>
      </c>
      <c r="O175" s="9">
        <f>IF($T175=0,"",IF(IF(INDEX('Market Data'!$J$5:$J$528,$T175)=0,0,IF(LEFT(INDEX('Market Data'!$AS$5:$AS$66,INDEX('Market Data'!$J$5:$J$528,$T175)-4),11)="First-month",1,0))=1,"Class ratio review",IF($I175="Bloomberg",IF(ISNUMBER($G175),IF($G175&lt;TODAY(),"Older quote","See quote time"),"Date unavailable"),IF($I175="Snapshot",IF($G175&lt;DATEVALUE("2026-10-02"),"Older snapshot","Dated close"),"No valid quote"))))</f>
        <v/>
      </c>
      <c r="P175" s="14">
        <f>IF($T175=0,"",IF(INDEX('Market Data'!$J$5:$J$528,$T175)=0,"n/a",IF($Q175="Bloomberg",IF(AND(ISNUMBER(INDEX('Market Data'!$AK$5:$AK$66,INDEX('Market Data'!$J$5:$J$528,$T175)-4)),N(INDEX('Market Data'!$AK$5:$AK$66,INDEX('Market Data'!$J$5:$J$528,$T175)-4))&gt;0),INDEX('Market Data'!$AK$5:$AK$66,INDEX('Market Data'!$J$5:$J$528,$T175)-4),"date unavailable"),IF($Q175="Snapshot",IF(AND(ISNUMBER(INDEX('Market Data'!$AF$5:$AF$66,INDEX('Market Data'!$J$5:$J$528,$T175)-4)),N(INDEX('Market Data'!$AF$5:$AF$66,INDEX('Market Data'!$J$5:$J$528,$T175)-4))&gt;0),INDEX('Market Data'!$AF$5:$AF$66,INDEX('Market Data'!$J$5:$J$528,$T175)-4),"date unavailable"),"date unavailable"))))</f>
        <v/>
      </c>
      <c r="Q175" s="15">
        <f>IF($T175=0,"",IF(INDEX('Market Data'!$J$5:$J$528,$T175)=0,"n/a",IF(AND($M$5&lt;&gt;"Snapshot",ISNUMBER(INDEX('Market Data'!$AH$5:$AH$66,INDEX('Market Data'!$J$5:$J$528,$T175)-4)),N(INDEX('Market Data'!$AH$5:$AH$66,INDEX('Market Data'!$J$5:$J$528,$T175)-4))&gt;0),"Bloomberg",IF(AND($M$5&lt;&gt;"Bloomberg",ISNUMBER(INDEX('Market Data'!$AC$5:$AC$66,INDEX('Market Data'!$J$5:$J$528,$T175)-4)),N(INDEX('Market Data'!$AC$5:$AC$66,INDEX('Market Data'!$J$5:$J$528,$T175)-4))&gt;0),"Snapshot","Unavailable"))))</f>
        <v/>
      </c>
      <c r="T175">
        <f>IFERROR(MATCH(167,'Market Data'!$S$5:$S$528,0),0)</f>
        <v/>
      </c>
    </row>
    <row r="176" ht="34" customHeight="1">
      <c r="A176" s="8">
        <f>IF($T176=0,"",IF(INDEX('Market Data'!$A$5:$A$528,$T176)="","",INDEX('Market Data'!$A$5:$A$528,$T176)))</f>
        <v/>
      </c>
      <c r="B176" s="9">
        <f>IF($T176=0,"",IF(INDEX('Market Data'!$B$5:$B$528,$T176)="","",INDEX('Market Data'!$B$5:$B$528,$T176)))</f>
        <v/>
      </c>
      <c r="C176" s="9">
        <f>IF($T176=0,"",IF(INDEX('Market Data'!$C$5:$C$528,$T176)="","",INDEX('Market Data'!$C$5:$C$528,$T176)))</f>
        <v/>
      </c>
      <c r="D176" s="9">
        <f>IF($T176=0,"",IF(INDEX('Market Data'!$D$5:$D$528,$T176)="","",INDEX('Market Data'!$D$5:$D$528,$T176)))</f>
        <v/>
      </c>
      <c r="E176" s="10">
        <f>IF($T176=0,"",INDEX('Market Data'!$O$5:$O$528,$T176))</f>
        <v/>
      </c>
      <c r="F176" s="11">
        <f>IF($T176=0,"",IF(AND($I176="Bloomberg",ISNUMBER(INDEX('Market Data'!$L$5:$L$528,$T176))),INDEX('Market Data'!$L$5:$L$528,$T176),"unavailable"))</f>
        <v/>
      </c>
      <c r="G176" s="12">
        <f>IF($T176=0,"",IF($I176="Bloomberg",IF(AND(ISNUMBER(INDEX('Market Data'!$M$5:$M$528,$T176)),N(INDEX('Market Data'!$M$5:$M$528,$T176))&gt;0),INDEX('Market Data'!$M$5:$M$528,$T176),"date unavailable"),IF($I176="Snapshot",IF(AND(ISNUMBER(INDEX('Market Data'!$H$5:$H$528,$T176)),N(INDEX('Market Data'!$H$5:$H$528,$T176))&gt;0),INDEX('Market Data'!$H$5:$H$528,$T176),"date unavailable"),"date unavailable")))</f>
        <v/>
      </c>
      <c r="H176" s="9">
        <f>IF($T176=0,"",IF($I176="Bloomberg",IF(INDEX('Market Data'!$N$5:$N$528,$T176)="","time unavailable",INDEX('Market Data'!$N$5:$N$528,$T176)),""))</f>
        <v/>
      </c>
      <c r="I176" s="9">
        <f>IF($T176=0,"",INDEX('Market Data'!$P$5:$P$528,$T176))</f>
        <v/>
      </c>
      <c r="J176" s="13">
        <f>IF($T176=0,"",IF(INDEX('Market Data'!$E$5:$E$528,$T176)="","",INDEX('Market Data'!$E$5:$E$528,$T176)))</f>
        <v/>
      </c>
      <c r="K176" s="8">
        <f>IF($T176=0,"",IF(INDEX('Market Data'!$I$5:$I$528,$T176)="","",INDEX('Market Data'!$I$5:$I$528,$T176)))</f>
        <v/>
      </c>
      <c r="L176" s="10">
        <f>IF($T176=0,"",IF(INDEX('Market Data'!$J$5:$J$528,$T176)=0,"n/a",IF(AND($M$5&lt;&gt;"Snapshot",ISNUMBER(INDEX('Market Data'!$AH$5:$AH$66,INDEX('Market Data'!$J$5:$J$528,$T176)-4)),N(INDEX('Market Data'!$AH$5:$AH$66,INDEX('Market Data'!$J$5:$J$528,$T176)-4))&gt;0),INDEX('Market Data'!$AH$5:$AH$66,INDEX('Market Data'!$J$5:$J$528,$T176)-4),IF(AND($M$5&lt;&gt;"Bloomberg",ISNUMBER(INDEX('Market Data'!$AC$5:$AC$66,INDEX('Market Data'!$J$5:$J$528,$T176)-4)),N(INDEX('Market Data'!$AC$5:$AC$66,INDEX('Market Data'!$J$5:$J$528,$T176)-4))&gt;0),INDEX('Market Data'!$AC$5:$AC$66,INDEX('Market Data'!$J$5:$J$528,$T176)-4),"unavailable"))))</f>
        <v/>
      </c>
      <c r="M176" s="11">
        <f>IF($T176=0,"",IF(INDEX('Market Data'!$J$5:$J$528,$T176)=0,"n/a",IF(IF(INDEX('Market Data'!$J$5:$J$528,$T176)=0,0,IF(LEFT(INDEX('Market Data'!$AS$5:$AS$66,INDEX('Market Data'!$J$5:$J$528,$T176)-4),11)="First-month",1,0))=1,"class review",IF($I176="Bloomberg",IF(AND(ISNUMBER(INDEX('Market Data'!$AH$5:$AH$66,INDEX('Market Data'!$J$5:$J$528,$T176)-4)),N(INDEX('Market Data'!$AH$5:$AH$66,INDEX('Market Data'!$J$5:$J$528,$T176)-4))&gt;0,ISNUMBER('Market Data'!$B$1),N('Market Data'!$B$1)&gt;0),INDEX('Market Data'!$AH$5:$AH$66,INDEX('Market Data'!$J$5:$J$528,$T176)-4)*'Market Data'!$B$1/$E176-1,"pending A/FX"),IF(AND($I176="Snapshot",$Q176="Snapshot",ISNUMBER($E176),$G176=INDEX('Market Data'!$AE$5:$AE$66,INDEX('Market Data'!$J$5:$J$528,$T176)-4)),IFERROR(INDEX('Market Data'!$AC$5:$AC$66,INDEX('Market Data'!$J$5:$J$528,$T176)-4)*INDEX('Market Data'!$AD$5:$AD$66,INDEX('Market Data'!$J$5:$J$528,$T176)-4)/$E176-1,"unavailable"),IF($I176="Unavailable","unavailable","date mismatch"))))))</f>
        <v/>
      </c>
      <c r="N176" s="11">
        <f>IF($T176=0,"",IFERROR(IF(AND(N(INDEX('Market Data'!$F$5:$F$528,$T176))&gt;0,ISNUMBER(INDEX('Market Data'!$T$5:$T$528,$T176))),$E176*INDEX('Market Data'!$T$5:$T$528,$T176)/INDEX('Market Data'!$F$5:$F$528,$T176)-1,"unavailable"),"unavailable"))</f>
        <v/>
      </c>
      <c r="O176" s="9">
        <f>IF($T176=0,"",IF(IF(INDEX('Market Data'!$J$5:$J$528,$T176)=0,0,IF(LEFT(INDEX('Market Data'!$AS$5:$AS$66,INDEX('Market Data'!$J$5:$J$528,$T176)-4),11)="First-month",1,0))=1,"Class ratio review",IF($I176="Bloomberg",IF(ISNUMBER($G176),IF($G176&lt;TODAY(),"Older quote","See quote time"),"Date unavailable"),IF($I176="Snapshot",IF($G176&lt;DATEVALUE("2026-10-02"),"Older snapshot","Dated close"),"No valid quote"))))</f>
        <v/>
      </c>
      <c r="P176" s="14">
        <f>IF($T176=0,"",IF(INDEX('Market Data'!$J$5:$J$528,$T176)=0,"n/a",IF($Q176="Bloomberg",IF(AND(ISNUMBER(INDEX('Market Data'!$AK$5:$AK$66,INDEX('Market Data'!$J$5:$J$528,$T176)-4)),N(INDEX('Market Data'!$AK$5:$AK$66,INDEX('Market Data'!$J$5:$J$528,$T176)-4))&gt;0),INDEX('Market Data'!$AK$5:$AK$66,INDEX('Market Data'!$J$5:$J$528,$T176)-4),"date unavailable"),IF($Q176="Snapshot",IF(AND(ISNUMBER(INDEX('Market Data'!$AF$5:$AF$66,INDEX('Market Data'!$J$5:$J$528,$T176)-4)),N(INDEX('Market Data'!$AF$5:$AF$66,INDEX('Market Data'!$J$5:$J$528,$T176)-4))&gt;0),INDEX('Market Data'!$AF$5:$AF$66,INDEX('Market Data'!$J$5:$J$528,$T176)-4),"date unavailable"),"date unavailable"))))</f>
        <v/>
      </c>
      <c r="Q176" s="15">
        <f>IF($T176=0,"",IF(INDEX('Market Data'!$J$5:$J$528,$T176)=0,"n/a",IF(AND($M$5&lt;&gt;"Snapshot",ISNUMBER(INDEX('Market Data'!$AH$5:$AH$66,INDEX('Market Data'!$J$5:$J$528,$T176)-4)),N(INDEX('Market Data'!$AH$5:$AH$66,INDEX('Market Data'!$J$5:$J$528,$T176)-4))&gt;0),"Bloomberg",IF(AND($M$5&lt;&gt;"Bloomberg",ISNUMBER(INDEX('Market Data'!$AC$5:$AC$66,INDEX('Market Data'!$J$5:$J$528,$T176)-4)),N(INDEX('Market Data'!$AC$5:$AC$66,INDEX('Market Data'!$J$5:$J$528,$T176)-4))&gt;0),"Snapshot","Unavailable"))))</f>
        <v/>
      </c>
      <c r="T176">
        <f>IFERROR(MATCH(168,'Market Data'!$S$5:$S$528,0),0)</f>
        <v/>
      </c>
    </row>
    <row r="177" ht="34" customHeight="1">
      <c r="A177" s="8">
        <f>IF($T177=0,"",IF(INDEX('Market Data'!$A$5:$A$528,$T177)="","",INDEX('Market Data'!$A$5:$A$528,$T177)))</f>
        <v/>
      </c>
      <c r="B177" s="9">
        <f>IF($T177=0,"",IF(INDEX('Market Data'!$B$5:$B$528,$T177)="","",INDEX('Market Data'!$B$5:$B$528,$T177)))</f>
        <v/>
      </c>
      <c r="C177" s="9">
        <f>IF($T177=0,"",IF(INDEX('Market Data'!$C$5:$C$528,$T177)="","",INDEX('Market Data'!$C$5:$C$528,$T177)))</f>
        <v/>
      </c>
      <c r="D177" s="9">
        <f>IF($T177=0,"",IF(INDEX('Market Data'!$D$5:$D$528,$T177)="","",INDEX('Market Data'!$D$5:$D$528,$T177)))</f>
        <v/>
      </c>
      <c r="E177" s="10">
        <f>IF($T177=0,"",INDEX('Market Data'!$O$5:$O$528,$T177))</f>
        <v/>
      </c>
      <c r="F177" s="11">
        <f>IF($T177=0,"",IF(AND($I177="Bloomberg",ISNUMBER(INDEX('Market Data'!$L$5:$L$528,$T177))),INDEX('Market Data'!$L$5:$L$528,$T177),"unavailable"))</f>
        <v/>
      </c>
      <c r="G177" s="12">
        <f>IF($T177=0,"",IF($I177="Bloomberg",IF(AND(ISNUMBER(INDEX('Market Data'!$M$5:$M$528,$T177)),N(INDEX('Market Data'!$M$5:$M$528,$T177))&gt;0),INDEX('Market Data'!$M$5:$M$528,$T177),"date unavailable"),IF($I177="Snapshot",IF(AND(ISNUMBER(INDEX('Market Data'!$H$5:$H$528,$T177)),N(INDEX('Market Data'!$H$5:$H$528,$T177))&gt;0),INDEX('Market Data'!$H$5:$H$528,$T177),"date unavailable"),"date unavailable")))</f>
        <v/>
      </c>
      <c r="H177" s="9">
        <f>IF($T177=0,"",IF($I177="Bloomberg",IF(INDEX('Market Data'!$N$5:$N$528,$T177)="","time unavailable",INDEX('Market Data'!$N$5:$N$528,$T177)),""))</f>
        <v/>
      </c>
      <c r="I177" s="9">
        <f>IF($T177=0,"",INDEX('Market Data'!$P$5:$P$528,$T177))</f>
        <v/>
      </c>
      <c r="J177" s="13">
        <f>IF($T177=0,"",IF(INDEX('Market Data'!$E$5:$E$528,$T177)="","",INDEX('Market Data'!$E$5:$E$528,$T177)))</f>
        <v/>
      </c>
      <c r="K177" s="8">
        <f>IF($T177=0,"",IF(INDEX('Market Data'!$I$5:$I$528,$T177)="","",INDEX('Market Data'!$I$5:$I$528,$T177)))</f>
        <v/>
      </c>
      <c r="L177" s="10">
        <f>IF($T177=0,"",IF(INDEX('Market Data'!$J$5:$J$528,$T177)=0,"n/a",IF(AND($M$5&lt;&gt;"Snapshot",ISNUMBER(INDEX('Market Data'!$AH$5:$AH$66,INDEX('Market Data'!$J$5:$J$528,$T177)-4)),N(INDEX('Market Data'!$AH$5:$AH$66,INDEX('Market Data'!$J$5:$J$528,$T177)-4))&gt;0),INDEX('Market Data'!$AH$5:$AH$66,INDEX('Market Data'!$J$5:$J$528,$T177)-4),IF(AND($M$5&lt;&gt;"Bloomberg",ISNUMBER(INDEX('Market Data'!$AC$5:$AC$66,INDEX('Market Data'!$J$5:$J$528,$T177)-4)),N(INDEX('Market Data'!$AC$5:$AC$66,INDEX('Market Data'!$J$5:$J$528,$T177)-4))&gt;0),INDEX('Market Data'!$AC$5:$AC$66,INDEX('Market Data'!$J$5:$J$528,$T177)-4),"unavailable"))))</f>
        <v/>
      </c>
      <c r="M177" s="11">
        <f>IF($T177=0,"",IF(INDEX('Market Data'!$J$5:$J$528,$T177)=0,"n/a",IF(IF(INDEX('Market Data'!$J$5:$J$528,$T177)=0,0,IF(LEFT(INDEX('Market Data'!$AS$5:$AS$66,INDEX('Market Data'!$J$5:$J$528,$T177)-4),11)="First-month",1,0))=1,"class review",IF($I177="Bloomberg",IF(AND(ISNUMBER(INDEX('Market Data'!$AH$5:$AH$66,INDEX('Market Data'!$J$5:$J$528,$T177)-4)),N(INDEX('Market Data'!$AH$5:$AH$66,INDEX('Market Data'!$J$5:$J$528,$T177)-4))&gt;0,ISNUMBER('Market Data'!$B$1),N('Market Data'!$B$1)&gt;0),INDEX('Market Data'!$AH$5:$AH$66,INDEX('Market Data'!$J$5:$J$528,$T177)-4)*'Market Data'!$B$1/$E177-1,"pending A/FX"),IF(AND($I177="Snapshot",$Q177="Snapshot",ISNUMBER($E177),$G177=INDEX('Market Data'!$AE$5:$AE$66,INDEX('Market Data'!$J$5:$J$528,$T177)-4)),IFERROR(INDEX('Market Data'!$AC$5:$AC$66,INDEX('Market Data'!$J$5:$J$528,$T177)-4)*INDEX('Market Data'!$AD$5:$AD$66,INDEX('Market Data'!$J$5:$J$528,$T177)-4)/$E177-1,"unavailable"),IF($I177="Unavailable","unavailable","date mismatch"))))))</f>
        <v/>
      </c>
      <c r="N177" s="11">
        <f>IF($T177=0,"",IFERROR(IF(AND(N(INDEX('Market Data'!$F$5:$F$528,$T177))&gt;0,ISNUMBER(INDEX('Market Data'!$T$5:$T$528,$T177))),$E177*INDEX('Market Data'!$T$5:$T$528,$T177)/INDEX('Market Data'!$F$5:$F$528,$T177)-1,"unavailable"),"unavailable"))</f>
        <v/>
      </c>
      <c r="O177" s="9">
        <f>IF($T177=0,"",IF(IF(INDEX('Market Data'!$J$5:$J$528,$T177)=0,0,IF(LEFT(INDEX('Market Data'!$AS$5:$AS$66,INDEX('Market Data'!$J$5:$J$528,$T177)-4),11)="First-month",1,0))=1,"Class ratio review",IF($I177="Bloomberg",IF(ISNUMBER($G177),IF($G177&lt;TODAY(),"Older quote","See quote time"),"Date unavailable"),IF($I177="Snapshot",IF($G177&lt;DATEVALUE("2026-10-02"),"Older snapshot","Dated close"),"No valid quote"))))</f>
        <v/>
      </c>
      <c r="P177" s="14">
        <f>IF($T177=0,"",IF(INDEX('Market Data'!$J$5:$J$528,$T177)=0,"n/a",IF($Q177="Bloomberg",IF(AND(ISNUMBER(INDEX('Market Data'!$AK$5:$AK$66,INDEX('Market Data'!$J$5:$J$528,$T177)-4)),N(INDEX('Market Data'!$AK$5:$AK$66,INDEX('Market Data'!$J$5:$J$528,$T177)-4))&gt;0),INDEX('Market Data'!$AK$5:$AK$66,INDEX('Market Data'!$J$5:$J$528,$T177)-4),"date unavailable"),IF($Q177="Snapshot",IF(AND(ISNUMBER(INDEX('Market Data'!$AF$5:$AF$66,INDEX('Market Data'!$J$5:$J$528,$T177)-4)),N(INDEX('Market Data'!$AF$5:$AF$66,INDEX('Market Data'!$J$5:$J$528,$T177)-4))&gt;0),INDEX('Market Data'!$AF$5:$AF$66,INDEX('Market Data'!$J$5:$J$528,$T177)-4),"date unavailable"),"date unavailable"))))</f>
        <v/>
      </c>
      <c r="Q177" s="15">
        <f>IF($T177=0,"",IF(INDEX('Market Data'!$J$5:$J$528,$T177)=0,"n/a",IF(AND($M$5&lt;&gt;"Snapshot",ISNUMBER(INDEX('Market Data'!$AH$5:$AH$66,INDEX('Market Data'!$J$5:$J$528,$T177)-4)),N(INDEX('Market Data'!$AH$5:$AH$66,INDEX('Market Data'!$J$5:$J$528,$T177)-4))&gt;0),"Bloomberg",IF(AND($M$5&lt;&gt;"Bloomberg",ISNUMBER(INDEX('Market Data'!$AC$5:$AC$66,INDEX('Market Data'!$J$5:$J$528,$T177)-4)),N(INDEX('Market Data'!$AC$5:$AC$66,INDEX('Market Data'!$J$5:$J$528,$T177)-4))&gt;0),"Snapshot","Unavailable"))))</f>
        <v/>
      </c>
      <c r="T177">
        <f>IFERROR(MATCH(169,'Market Data'!$S$5:$S$528,0),0)</f>
        <v/>
      </c>
    </row>
    <row r="178" ht="34" customHeight="1">
      <c r="A178" s="8">
        <f>IF($T178=0,"",IF(INDEX('Market Data'!$A$5:$A$528,$T178)="","",INDEX('Market Data'!$A$5:$A$528,$T178)))</f>
        <v/>
      </c>
      <c r="B178" s="9">
        <f>IF($T178=0,"",IF(INDEX('Market Data'!$B$5:$B$528,$T178)="","",INDEX('Market Data'!$B$5:$B$528,$T178)))</f>
        <v/>
      </c>
      <c r="C178" s="9">
        <f>IF($T178=0,"",IF(INDEX('Market Data'!$C$5:$C$528,$T178)="","",INDEX('Market Data'!$C$5:$C$528,$T178)))</f>
        <v/>
      </c>
      <c r="D178" s="9">
        <f>IF($T178=0,"",IF(INDEX('Market Data'!$D$5:$D$528,$T178)="","",INDEX('Market Data'!$D$5:$D$528,$T178)))</f>
        <v/>
      </c>
      <c r="E178" s="10">
        <f>IF($T178=0,"",INDEX('Market Data'!$O$5:$O$528,$T178))</f>
        <v/>
      </c>
      <c r="F178" s="11">
        <f>IF($T178=0,"",IF(AND($I178="Bloomberg",ISNUMBER(INDEX('Market Data'!$L$5:$L$528,$T178))),INDEX('Market Data'!$L$5:$L$528,$T178),"unavailable"))</f>
        <v/>
      </c>
      <c r="G178" s="12">
        <f>IF($T178=0,"",IF($I178="Bloomberg",IF(AND(ISNUMBER(INDEX('Market Data'!$M$5:$M$528,$T178)),N(INDEX('Market Data'!$M$5:$M$528,$T178))&gt;0),INDEX('Market Data'!$M$5:$M$528,$T178),"date unavailable"),IF($I178="Snapshot",IF(AND(ISNUMBER(INDEX('Market Data'!$H$5:$H$528,$T178)),N(INDEX('Market Data'!$H$5:$H$528,$T178))&gt;0),INDEX('Market Data'!$H$5:$H$528,$T178),"date unavailable"),"date unavailable")))</f>
        <v/>
      </c>
      <c r="H178" s="9">
        <f>IF($T178=0,"",IF($I178="Bloomberg",IF(INDEX('Market Data'!$N$5:$N$528,$T178)="","time unavailable",INDEX('Market Data'!$N$5:$N$528,$T178)),""))</f>
        <v/>
      </c>
      <c r="I178" s="9">
        <f>IF($T178=0,"",INDEX('Market Data'!$P$5:$P$528,$T178))</f>
        <v/>
      </c>
      <c r="J178" s="13">
        <f>IF($T178=0,"",IF(INDEX('Market Data'!$E$5:$E$528,$T178)="","",INDEX('Market Data'!$E$5:$E$528,$T178)))</f>
        <v/>
      </c>
      <c r="K178" s="8">
        <f>IF($T178=0,"",IF(INDEX('Market Data'!$I$5:$I$528,$T178)="","",INDEX('Market Data'!$I$5:$I$528,$T178)))</f>
        <v/>
      </c>
      <c r="L178" s="10">
        <f>IF($T178=0,"",IF(INDEX('Market Data'!$J$5:$J$528,$T178)=0,"n/a",IF(AND($M$5&lt;&gt;"Snapshot",ISNUMBER(INDEX('Market Data'!$AH$5:$AH$66,INDEX('Market Data'!$J$5:$J$528,$T178)-4)),N(INDEX('Market Data'!$AH$5:$AH$66,INDEX('Market Data'!$J$5:$J$528,$T178)-4))&gt;0),INDEX('Market Data'!$AH$5:$AH$66,INDEX('Market Data'!$J$5:$J$528,$T178)-4),IF(AND($M$5&lt;&gt;"Bloomberg",ISNUMBER(INDEX('Market Data'!$AC$5:$AC$66,INDEX('Market Data'!$J$5:$J$528,$T178)-4)),N(INDEX('Market Data'!$AC$5:$AC$66,INDEX('Market Data'!$J$5:$J$528,$T178)-4))&gt;0),INDEX('Market Data'!$AC$5:$AC$66,INDEX('Market Data'!$J$5:$J$528,$T178)-4),"unavailable"))))</f>
        <v/>
      </c>
      <c r="M178" s="11">
        <f>IF($T178=0,"",IF(INDEX('Market Data'!$J$5:$J$528,$T178)=0,"n/a",IF(IF(INDEX('Market Data'!$J$5:$J$528,$T178)=0,0,IF(LEFT(INDEX('Market Data'!$AS$5:$AS$66,INDEX('Market Data'!$J$5:$J$528,$T178)-4),11)="First-month",1,0))=1,"class review",IF($I178="Bloomberg",IF(AND(ISNUMBER(INDEX('Market Data'!$AH$5:$AH$66,INDEX('Market Data'!$J$5:$J$528,$T178)-4)),N(INDEX('Market Data'!$AH$5:$AH$66,INDEX('Market Data'!$J$5:$J$528,$T178)-4))&gt;0,ISNUMBER('Market Data'!$B$1),N('Market Data'!$B$1)&gt;0),INDEX('Market Data'!$AH$5:$AH$66,INDEX('Market Data'!$J$5:$J$528,$T178)-4)*'Market Data'!$B$1/$E178-1,"pending A/FX"),IF(AND($I178="Snapshot",$Q178="Snapshot",ISNUMBER($E178),$G178=INDEX('Market Data'!$AE$5:$AE$66,INDEX('Market Data'!$J$5:$J$528,$T178)-4)),IFERROR(INDEX('Market Data'!$AC$5:$AC$66,INDEX('Market Data'!$J$5:$J$528,$T178)-4)*INDEX('Market Data'!$AD$5:$AD$66,INDEX('Market Data'!$J$5:$J$528,$T178)-4)/$E178-1,"unavailable"),IF($I178="Unavailable","unavailable","date mismatch"))))))</f>
        <v/>
      </c>
      <c r="N178" s="11">
        <f>IF($T178=0,"",IFERROR(IF(AND(N(INDEX('Market Data'!$F$5:$F$528,$T178))&gt;0,ISNUMBER(INDEX('Market Data'!$T$5:$T$528,$T178))),$E178*INDEX('Market Data'!$T$5:$T$528,$T178)/INDEX('Market Data'!$F$5:$F$528,$T178)-1,"unavailable"),"unavailable"))</f>
        <v/>
      </c>
      <c r="O178" s="9">
        <f>IF($T178=0,"",IF(IF(INDEX('Market Data'!$J$5:$J$528,$T178)=0,0,IF(LEFT(INDEX('Market Data'!$AS$5:$AS$66,INDEX('Market Data'!$J$5:$J$528,$T178)-4),11)="First-month",1,0))=1,"Class ratio review",IF($I178="Bloomberg",IF(ISNUMBER($G178),IF($G178&lt;TODAY(),"Older quote","See quote time"),"Date unavailable"),IF($I178="Snapshot",IF($G178&lt;DATEVALUE("2026-10-02"),"Older snapshot","Dated close"),"No valid quote"))))</f>
        <v/>
      </c>
      <c r="P178" s="14">
        <f>IF($T178=0,"",IF(INDEX('Market Data'!$J$5:$J$528,$T178)=0,"n/a",IF($Q178="Bloomberg",IF(AND(ISNUMBER(INDEX('Market Data'!$AK$5:$AK$66,INDEX('Market Data'!$J$5:$J$528,$T178)-4)),N(INDEX('Market Data'!$AK$5:$AK$66,INDEX('Market Data'!$J$5:$J$528,$T178)-4))&gt;0),INDEX('Market Data'!$AK$5:$AK$66,INDEX('Market Data'!$J$5:$J$528,$T178)-4),"date unavailable"),IF($Q178="Snapshot",IF(AND(ISNUMBER(INDEX('Market Data'!$AF$5:$AF$66,INDEX('Market Data'!$J$5:$J$528,$T178)-4)),N(INDEX('Market Data'!$AF$5:$AF$66,INDEX('Market Data'!$J$5:$J$528,$T178)-4))&gt;0),INDEX('Market Data'!$AF$5:$AF$66,INDEX('Market Data'!$J$5:$J$528,$T178)-4),"date unavailable"),"date unavailable"))))</f>
        <v/>
      </c>
      <c r="Q178" s="15">
        <f>IF($T178=0,"",IF(INDEX('Market Data'!$J$5:$J$528,$T178)=0,"n/a",IF(AND($M$5&lt;&gt;"Snapshot",ISNUMBER(INDEX('Market Data'!$AH$5:$AH$66,INDEX('Market Data'!$J$5:$J$528,$T178)-4)),N(INDEX('Market Data'!$AH$5:$AH$66,INDEX('Market Data'!$J$5:$J$528,$T178)-4))&gt;0),"Bloomberg",IF(AND($M$5&lt;&gt;"Bloomberg",ISNUMBER(INDEX('Market Data'!$AC$5:$AC$66,INDEX('Market Data'!$J$5:$J$528,$T178)-4)),N(INDEX('Market Data'!$AC$5:$AC$66,INDEX('Market Data'!$J$5:$J$528,$T178)-4))&gt;0),"Snapshot","Unavailable"))))</f>
        <v/>
      </c>
      <c r="T178">
        <f>IFERROR(MATCH(170,'Market Data'!$S$5:$S$528,0),0)</f>
        <v/>
      </c>
    </row>
    <row r="179" ht="34" customHeight="1">
      <c r="A179" s="8">
        <f>IF($T179=0,"",IF(INDEX('Market Data'!$A$5:$A$528,$T179)="","",INDEX('Market Data'!$A$5:$A$528,$T179)))</f>
        <v/>
      </c>
      <c r="B179" s="9">
        <f>IF($T179=0,"",IF(INDEX('Market Data'!$B$5:$B$528,$T179)="","",INDEX('Market Data'!$B$5:$B$528,$T179)))</f>
        <v/>
      </c>
      <c r="C179" s="9">
        <f>IF($T179=0,"",IF(INDEX('Market Data'!$C$5:$C$528,$T179)="","",INDEX('Market Data'!$C$5:$C$528,$T179)))</f>
        <v/>
      </c>
      <c r="D179" s="9">
        <f>IF($T179=0,"",IF(INDEX('Market Data'!$D$5:$D$528,$T179)="","",INDEX('Market Data'!$D$5:$D$528,$T179)))</f>
        <v/>
      </c>
      <c r="E179" s="10">
        <f>IF($T179=0,"",INDEX('Market Data'!$O$5:$O$528,$T179))</f>
        <v/>
      </c>
      <c r="F179" s="11">
        <f>IF($T179=0,"",IF(AND($I179="Bloomberg",ISNUMBER(INDEX('Market Data'!$L$5:$L$528,$T179))),INDEX('Market Data'!$L$5:$L$528,$T179),"unavailable"))</f>
        <v/>
      </c>
      <c r="G179" s="12">
        <f>IF($T179=0,"",IF($I179="Bloomberg",IF(AND(ISNUMBER(INDEX('Market Data'!$M$5:$M$528,$T179)),N(INDEX('Market Data'!$M$5:$M$528,$T179))&gt;0),INDEX('Market Data'!$M$5:$M$528,$T179),"date unavailable"),IF($I179="Snapshot",IF(AND(ISNUMBER(INDEX('Market Data'!$H$5:$H$528,$T179)),N(INDEX('Market Data'!$H$5:$H$528,$T179))&gt;0),INDEX('Market Data'!$H$5:$H$528,$T179),"date unavailable"),"date unavailable")))</f>
        <v/>
      </c>
      <c r="H179" s="9">
        <f>IF($T179=0,"",IF($I179="Bloomberg",IF(INDEX('Market Data'!$N$5:$N$528,$T179)="","time unavailable",INDEX('Market Data'!$N$5:$N$528,$T179)),""))</f>
        <v/>
      </c>
      <c r="I179" s="9">
        <f>IF($T179=0,"",INDEX('Market Data'!$P$5:$P$528,$T179))</f>
        <v/>
      </c>
      <c r="J179" s="13">
        <f>IF($T179=0,"",IF(INDEX('Market Data'!$E$5:$E$528,$T179)="","",INDEX('Market Data'!$E$5:$E$528,$T179)))</f>
        <v/>
      </c>
      <c r="K179" s="8">
        <f>IF($T179=0,"",IF(INDEX('Market Data'!$I$5:$I$528,$T179)="","",INDEX('Market Data'!$I$5:$I$528,$T179)))</f>
        <v/>
      </c>
      <c r="L179" s="10">
        <f>IF($T179=0,"",IF(INDEX('Market Data'!$J$5:$J$528,$T179)=0,"n/a",IF(AND($M$5&lt;&gt;"Snapshot",ISNUMBER(INDEX('Market Data'!$AH$5:$AH$66,INDEX('Market Data'!$J$5:$J$528,$T179)-4)),N(INDEX('Market Data'!$AH$5:$AH$66,INDEX('Market Data'!$J$5:$J$528,$T179)-4))&gt;0),INDEX('Market Data'!$AH$5:$AH$66,INDEX('Market Data'!$J$5:$J$528,$T179)-4),IF(AND($M$5&lt;&gt;"Bloomberg",ISNUMBER(INDEX('Market Data'!$AC$5:$AC$66,INDEX('Market Data'!$J$5:$J$528,$T179)-4)),N(INDEX('Market Data'!$AC$5:$AC$66,INDEX('Market Data'!$J$5:$J$528,$T179)-4))&gt;0),INDEX('Market Data'!$AC$5:$AC$66,INDEX('Market Data'!$J$5:$J$528,$T179)-4),"unavailable"))))</f>
        <v/>
      </c>
      <c r="M179" s="11">
        <f>IF($T179=0,"",IF(INDEX('Market Data'!$J$5:$J$528,$T179)=0,"n/a",IF(IF(INDEX('Market Data'!$J$5:$J$528,$T179)=0,0,IF(LEFT(INDEX('Market Data'!$AS$5:$AS$66,INDEX('Market Data'!$J$5:$J$528,$T179)-4),11)="First-month",1,0))=1,"class review",IF($I179="Bloomberg",IF(AND(ISNUMBER(INDEX('Market Data'!$AH$5:$AH$66,INDEX('Market Data'!$J$5:$J$528,$T179)-4)),N(INDEX('Market Data'!$AH$5:$AH$66,INDEX('Market Data'!$J$5:$J$528,$T179)-4))&gt;0,ISNUMBER('Market Data'!$B$1),N('Market Data'!$B$1)&gt;0),INDEX('Market Data'!$AH$5:$AH$66,INDEX('Market Data'!$J$5:$J$528,$T179)-4)*'Market Data'!$B$1/$E179-1,"pending A/FX"),IF(AND($I179="Snapshot",$Q179="Snapshot",ISNUMBER($E179),$G179=INDEX('Market Data'!$AE$5:$AE$66,INDEX('Market Data'!$J$5:$J$528,$T179)-4)),IFERROR(INDEX('Market Data'!$AC$5:$AC$66,INDEX('Market Data'!$J$5:$J$528,$T179)-4)*INDEX('Market Data'!$AD$5:$AD$66,INDEX('Market Data'!$J$5:$J$528,$T179)-4)/$E179-1,"unavailable"),IF($I179="Unavailable","unavailable","date mismatch"))))))</f>
        <v/>
      </c>
      <c r="N179" s="11">
        <f>IF($T179=0,"",IFERROR(IF(AND(N(INDEX('Market Data'!$F$5:$F$528,$T179))&gt;0,ISNUMBER(INDEX('Market Data'!$T$5:$T$528,$T179))),$E179*INDEX('Market Data'!$T$5:$T$528,$T179)/INDEX('Market Data'!$F$5:$F$528,$T179)-1,"unavailable"),"unavailable"))</f>
        <v/>
      </c>
      <c r="O179" s="9">
        <f>IF($T179=0,"",IF(IF(INDEX('Market Data'!$J$5:$J$528,$T179)=0,0,IF(LEFT(INDEX('Market Data'!$AS$5:$AS$66,INDEX('Market Data'!$J$5:$J$528,$T179)-4),11)="First-month",1,0))=1,"Class ratio review",IF($I179="Bloomberg",IF(ISNUMBER($G179),IF($G179&lt;TODAY(),"Older quote","See quote time"),"Date unavailable"),IF($I179="Snapshot",IF($G179&lt;DATEVALUE("2026-10-02"),"Older snapshot","Dated close"),"No valid quote"))))</f>
        <v/>
      </c>
      <c r="P179" s="14">
        <f>IF($T179=0,"",IF(INDEX('Market Data'!$J$5:$J$528,$T179)=0,"n/a",IF($Q179="Bloomberg",IF(AND(ISNUMBER(INDEX('Market Data'!$AK$5:$AK$66,INDEX('Market Data'!$J$5:$J$528,$T179)-4)),N(INDEX('Market Data'!$AK$5:$AK$66,INDEX('Market Data'!$J$5:$J$528,$T179)-4))&gt;0),INDEX('Market Data'!$AK$5:$AK$66,INDEX('Market Data'!$J$5:$J$528,$T179)-4),"date unavailable"),IF($Q179="Snapshot",IF(AND(ISNUMBER(INDEX('Market Data'!$AF$5:$AF$66,INDEX('Market Data'!$J$5:$J$528,$T179)-4)),N(INDEX('Market Data'!$AF$5:$AF$66,INDEX('Market Data'!$J$5:$J$528,$T179)-4))&gt;0),INDEX('Market Data'!$AF$5:$AF$66,INDEX('Market Data'!$J$5:$J$528,$T179)-4),"date unavailable"),"date unavailable"))))</f>
        <v/>
      </c>
      <c r="Q179" s="15">
        <f>IF($T179=0,"",IF(INDEX('Market Data'!$J$5:$J$528,$T179)=0,"n/a",IF(AND($M$5&lt;&gt;"Snapshot",ISNUMBER(INDEX('Market Data'!$AH$5:$AH$66,INDEX('Market Data'!$J$5:$J$528,$T179)-4)),N(INDEX('Market Data'!$AH$5:$AH$66,INDEX('Market Data'!$J$5:$J$528,$T179)-4))&gt;0),"Bloomberg",IF(AND($M$5&lt;&gt;"Bloomberg",ISNUMBER(INDEX('Market Data'!$AC$5:$AC$66,INDEX('Market Data'!$J$5:$J$528,$T179)-4)),N(INDEX('Market Data'!$AC$5:$AC$66,INDEX('Market Data'!$J$5:$J$528,$T179)-4))&gt;0),"Snapshot","Unavailable"))))</f>
        <v/>
      </c>
      <c r="T179">
        <f>IFERROR(MATCH(171,'Market Data'!$S$5:$S$528,0),0)</f>
        <v/>
      </c>
    </row>
    <row r="180" ht="34" customHeight="1">
      <c r="A180" s="8">
        <f>IF($T180=0,"",IF(INDEX('Market Data'!$A$5:$A$528,$T180)="","",INDEX('Market Data'!$A$5:$A$528,$T180)))</f>
        <v/>
      </c>
      <c r="B180" s="9">
        <f>IF($T180=0,"",IF(INDEX('Market Data'!$B$5:$B$528,$T180)="","",INDEX('Market Data'!$B$5:$B$528,$T180)))</f>
        <v/>
      </c>
      <c r="C180" s="9">
        <f>IF($T180=0,"",IF(INDEX('Market Data'!$C$5:$C$528,$T180)="","",INDEX('Market Data'!$C$5:$C$528,$T180)))</f>
        <v/>
      </c>
      <c r="D180" s="9">
        <f>IF($T180=0,"",IF(INDEX('Market Data'!$D$5:$D$528,$T180)="","",INDEX('Market Data'!$D$5:$D$528,$T180)))</f>
        <v/>
      </c>
      <c r="E180" s="10">
        <f>IF($T180=0,"",INDEX('Market Data'!$O$5:$O$528,$T180))</f>
        <v/>
      </c>
      <c r="F180" s="11">
        <f>IF($T180=0,"",IF(AND($I180="Bloomberg",ISNUMBER(INDEX('Market Data'!$L$5:$L$528,$T180))),INDEX('Market Data'!$L$5:$L$528,$T180),"unavailable"))</f>
        <v/>
      </c>
      <c r="G180" s="12">
        <f>IF($T180=0,"",IF($I180="Bloomberg",IF(AND(ISNUMBER(INDEX('Market Data'!$M$5:$M$528,$T180)),N(INDEX('Market Data'!$M$5:$M$528,$T180))&gt;0),INDEX('Market Data'!$M$5:$M$528,$T180),"date unavailable"),IF($I180="Snapshot",IF(AND(ISNUMBER(INDEX('Market Data'!$H$5:$H$528,$T180)),N(INDEX('Market Data'!$H$5:$H$528,$T180))&gt;0),INDEX('Market Data'!$H$5:$H$528,$T180),"date unavailable"),"date unavailable")))</f>
        <v/>
      </c>
      <c r="H180" s="9">
        <f>IF($T180=0,"",IF($I180="Bloomberg",IF(INDEX('Market Data'!$N$5:$N$528,$T180)="","time unavailable",INDEX('Market Data'!$N$5:$N$528,$T180)),""))</f>
        <v/>
      </c>
      <c r="I180" s="9">
        <f>IF($T180=0,"",INDEX('Market Data'!$P$5:$P$528,$T180))</f>
        <v/>
      </c>
      <c r="J180" s="13">
        <f>IF($T180=0,"",IF(INDEX('Market Data'!$E$5:$E$528,$T180)="","",INDEX('Market Data'!$E$5:$E$528,$T180)))</f>
        <v/>
      </c>
      <c r="K180" s="8">
        <f>IF($T180=0,"",IF(INDEX('Market Data'!$I$5:$I$528,$T180)="","",INDEX('Market Data'!$I$5:$I$528,$T180)))</f>
        <v/>
      </c>
      <c r="L180" s="10">
        <f>IF($T180=0,"",IF(INDEX('Market Data'!$J$5:$J$528,$T180)=0,"n/a",IF(AND($M$5&lt;&gt;"Snapshot",ISNUMBER(INDEX('Market Data'!$AH$5:$AH$66,INDEX('Market Data'!$J$5:$J$528,$T180)-4)),N(INDEX('Market Data'!$AH$5:$AH$66,INDEX('Market Data'!$J$5:$J$528,$T180)-4))&gt;0),INDEX('Market Data'!$AH$5:$AH$66,INDEX('Market Data'!$J$5:$J$528,$T180)-4),IF(AND($M$5&lt;&gt;"Bloomberg",ISNUMBER(INDEX('Market Data'!$AC$5:$AC$66,INDEX('Market Data'!$J$5:$J$528,$T180)-4)),N(INDEX('Market Data'!$AC$5:$AC$66,INDEX('Market Data'!$J$5:$J$528,$T180)-4))&gt;0),INDEX('Market Data'!$AC$5:$AC$66,INDEX('Market Data'!$J$5:$J$528,$T180)-4),"unavailable"))))</f>
        <v/>
      </c>
      <c r="M180" s="11">
        <f>IF($T180=0,"",IF(INDEX('Market Data'!$J$5:$J$528,$T180)=0,"n/a",IF(IF(INDEX('Market Data'!$J$5:$J$528,$T180)=0,0,IF(LEFT(INDEX('Market Data'!$AS$5:$AS$66,INDEX('Market Data'!$J$5:$J$528,$T180)-4),11)="First-month",1,0))=1,"class review",IF($I180="Bloomberg",IF(AND(ISNUMBER(INDEX('Market Data'!$AH$5:$AH$66,INDEX('Market Data'!$J$5:$J$528,$T180)-4)),N(INDEX('Market Data'!$AH$5:$AH$66,INDEX('Market Data'!$J$5:$J$528,$T180)-4))&gt;0,ISNUMBER('Market Data'!$B$1),N('Market Data'!$B$1)&gt;0),INDEX('Market Data'!$AH$5:$AH$66,INDEX('Market Data'!$J$5:$J$528,$T180)-4)*'Market Data'!$B$1/$E180-1,"pending A/FX"),IF(AND($I180="Snapshot",$Q180="Snapshot",ISNUMBER($E180),$G180=INDEX('Market Data'!$AE$5:$AE$66,INDEX('Market Data'!$J$5:$J$528,$T180)-4)),IFERROR(INDEX('Market Data'!$AC$5:$AC$66,INDEX('Market Data'!$J$5:$J$528,$T180)-4)*INDEX('Market Data'!$AD$5:$AD$66,INDEX('Market Data'!$J$5:$J$528,$T180)-4)/$E180-1,"unavailable"),IF($I180="Unavailable","unavailable","date mismatch"))))))</f>
        <v/>
      </c>
      <c r="N180" s="11">
        <f>IF($T180=0,"",IFERROR(IF(AND(N(INDEX('Market Data'!$F$5:$F$528,$T180))&gt;0,ISNUMBER(INDEX('Market Data'!$T$5:$T$528,$T180))),$E180*INDEX('Market Data'!$T$5:$T$528,$T180)/INDEX('Market Data'!$F$5:$F$528,$T180)-1,"unavailable"),"unavailable"))</f>
        <v/>
      </c>
      <c r="O180" s="9">
        <f>IF($T180=0,"",IF(IF(INDEX('Market Data'!$J$5:$J$528,$T180)=0,0,IF(LEFT(INDEX('Market Data'!$AS$5:$AS$66,INDEX('Market Data'!$J$5:$J$528,$T180)-4),11)="First-month",1,0))=1,"Class ratio review",IF($I180="Bloomberg",IF(ISNUMBER($G180),IF($G180&lt;TODAY(),"Older quote","See quote time"),"Date unavailable"),IF($I180="Snapshot",IF($G180&lt;DATEVALUE("2026-10-02"),"Older snapshot","Dated close"),"No valid quote"))))</f>
        <v/>
      </c>
      <c r="P180" s="14">
        <f>IF($T180=0,"",IF(INDEX('Market Data'!$J$5:$J$528,$T180)=0,"n/a",IF($Q180="Bloomberg",IF(AND(ISNUMBER(INDEX('Market Data'!$AK$5:$AK$66,INDEX('Market Data'!$J$5:$J$528,$T180)-4)),N(INDEX('Market Data'!$AK$5:$AK$66,INDEX('Market Data'!$J$5:$J$528,$T180)-4))&gt;0),INDEX('Market Data'!$AK$5:$AK$66,INDEX('Market Data'!$J$5:$J$528,$T180)-4),"date unavailable"),IF($Q180="Snapshot",IF(AND(ISNUMBER(INDEX('Market Data'!$AF$5:$AF$66,INDEX('Market Data'!$J$5:$J$528,$T180)-4)),N(INDEX('Market Data'!$AF$5:$AF$66,INDEX('Market Data'!$J$5:$J$528,$T180)-4))&gt;0),INDEX('Market Data'!$AF$5:$AF$66,INDEX('Market Data'!$J$5:$J$528,$T180)-4),"date unavailable"),"date unavailable"))))</f>
        <v/>
      </c>
      <c r="Q180" s="15">
        <f>IF($T180=0,"",IF(INDEX('Market Data'!$J$5:$J$528,$T180)=0,"n/a",IF(AND($M$5&lt;&gt;"Snapshot",ISNUMBER(INDEX('Market Data'!$AH$5:$AH$66,INDEX('Market Data'!$J$5:$J$528,$T180)-4)),N(INDEX('Market Data'!$AH$5:$AH$66,INDEX('Market Data'!$J$5:$J$528,$T180)-4))&gt;0),"Bloomberg",IF(AND($M$5&lt;&gt;"Bloomberg",ISNUMBER(INDEX('Market Data'!$AC$5:$AC$66,INDEX('Market Data'!$J$5:$J$528,$T180)-4)),N(INDEX('Market Data'!$AC$5:$AC$66,INDEX('Market Data'!$J$5:$J$528,$T180)-4))&gt;0),"Snapshot","Unavailable"))))</f>
        <v/>
      </c>
      <c r="T180">
        <f>IFERROR(MATCH(172,'Market Data'!$S$5:$S$528,0),0)</f>
        <v/>
      </c>
    </row>
    <row r="181" ht="34" customHeight="1">
      <c r="A181" s="8">
        <f>IF($T181=0,"",IF(INDEX('Market Data'!$A$5:$A$528,$T181)="","",INDEX('Market Data'!$A$5:$A$528,$T181)))</f>
        <v/>
      </c>
      <c r="B181" s="9">
        <f>IF($T181=0,"",IF(INDEX('Market Data'!$B$5:$B$528,$T181)="","",INDEX('Market Data'!$B$5:$B$528,$T181)))</f>
        <v/>
      </c>
      <c r="C181" s="9">
        <f>IF($T181=0,"",IF(INDEX('Market Data'!$C$5:$C$528,$T181)="","",INDEX('Market Data'!$C$5:$C$528,$T181)))</f>
        <v/>
      </c>
      <c r="D181" s="9">
        <f>IF($T181=0,"",IF(INDEX('Market Data'!$D$5:$D$528,$T181)="","",INDEX('Market Data'!$D$5:$D$528,$T181)))</f>
        <v/>
      </c>
      <c r="E181" s="10">
        <f>IF($T181=0,"",INDEX('Market Data'!$O$5:$O$528,$T181))</f>
        <v/>
      </c>
      <c r="F181" s="11">
        <f>IF($T181=0,"",IF(AND($I181="Bloomberg",ISNUMBER(INDEX('Market Data'!$L$5:$L$528,$T181))),INDEX('Market Data'!$L$5:$L$528,$T181),"unavailable"))</f>
        <v/>
      </c>
      <c r="G181" s="12">
        <f>IF($T181=0,"",IF($I181="Bloomberg",IF(AND(ISNUMBER(INDEX('Market Data'!$M$5:$M$528,$T181)),N(INDEX('Market Data'!$M$5:$M$528,$T181))&gt;0),INDEX('Market Data'!$M$5:$M$528,$T181),"date unavailable"),IF($I181="Snapshot",IF(AND(ISNUMBER(INDEX('Market Data'!$H$5:$H$528,$T181)),N(INDEX('Market Data'!$H$5:$H$528,$T181))&gt;0),INDEX('Market Data'!$H$5:$H$528,$T181),"date unavailable"),"date unavailable")))</f>
        <v/>
      </c>
      <c r="H181" s="9">
        <f>IF($T181=0,"",IF($I181="Bloomberg",IF(INDEX('Market Data'!$N$5:$N$528,$T181)="","time unavailable",INDEX('Market Data'!$N$5:$N$528,$T181)),""))</f>
        <v/>
      </c>
      <c r="I181" s="9">
        <f>IF($T181=0,"",INDEX('Market Data'!$P$5:$P$528,$T181))</f>
        <v/>
      </c>
      <c r="J181" s="13">
        <f>IF($T181=0,"",IF(INDEX('Market Data'!$E$5:$E$528,$T181)="","",INDEX('Market Data'!$E$5:$E$528,$T181)))</f>
        <v/>
      </c>
      <c r="K181" s="8">
        <f>IF($T181=0,"",IF(INDEX('Market Data'!$I$5:$I$528,$T181)="","",INDEX('Market Data'!$I$5:$I$528,$T181)))</f>
        <v/>
      </c>
      <c r="L181" s="10">
        <f>IF($T181=0,"",IF(INDEX('Market Data'!$J$5:$J$528,$T181)=0,"n/a",IF(AND($M$5&lt;&gt;"Snapshot",ISNUMBER(INDEX('Market Data'!$AH$5:$AH$66,INDEX('Market Data'!$J$5:$J$528,$T181)-4)),N(INDEX('Market Data'!$AH$5:$AH$66,INDEX('Market Data'!$J$5:$J$528,$T181)-4))&gt;0),INDEX('Market Data'!$AH$5:$AH$66,INDEX('Market Data'!$J$5:$J$528,$T181)-4),IF(AND($M$5&lt;&gt;"Bloomberg",ISNUMBER(INDEX('Market Data'!$AC$5:$AC$66,INDEX('Market Data'!$J$5:$J$528,$T181)-4)),N(INDEX('Market Data'!$AC$5:$AC$66,INDEX('Market Data'!$J$5:$J$528,$T181)-4))&gt;0),INDEX('Market Data'!$AC$5:$AC$66,INDEX('Market Data'!$J$5:$J$528,$T181)-4),"unavailable"))))</f>
        <v/>
      </c>
      <c r="M181" s="11">
        <f>IF($T181=0,"",IF(INDEX('Market Data'!$J$5:$J$528,$T181)=0,"n/a",IF(IF(INDEX('Market Data'!$J$5:$J$528,$T181)=0,0,IF(LEFT(INDEX('Market Data'!$AS$5:$AS$66,INDEX('Market Data'!$J$5:$J$528,$T181)-4),11)="First-month",1,0))=1,"class review",IF($I181="Bloomberg",IF(AND(ISNUMBER(INDEX('Market Data'!$AH$5:$AH$66,INDEX('Market Data'!$J$5:$J$528,$T181)-4)),N(INDEX('Market Data'!$AH$5:$AH$66,INDEX('Market Data'!$J$5:$J$528,$T181)-4))&gt;0,ISNUMBER('Market Data'!$B$1),N('Market Data'!$B$1)&gt;0),INDEX('Market Data'!$AH$5:$AH$66,INDEX('Market Data'!$J$5:$J$528,$T181)-4)*'Market Data'!$B$1/$E181-1,"pending A/FX"),IF(AND($I181="Snapshot",$Q181="Snapshot",ISNUMBER($E181),$G181=INDEX('Market Data'!$AE$5:$AE$66,INDEX('Market Data'!$J$5:$J$528,$T181)-4)),IFERROR(INDEX('Market Data'!$AC$5:$AC$66,INDEX('Market Data'!$J$5:$J$528,$T181)-4)*INDEX('Market Data'!$AD$5:$AD$66,INDEX('Market Data'!$J$5:$J$528,$T181)-4)/$E181-1,"unavailable"),IF($I181="Unavailable","unavailable","date mismatch"))))))</f>
        <v/>
      </c>
      <c r="N181" s="11">
        <f>IF($T181=0,"",IFERROR(IF(AND(N(INDEX('Market Data'!$F$5:$F$528,$T181))&gt;0,ISNUMBER(INDEX('Market Data'!$T$5:$T$528,$T181))),$E181*INDEX('Market Data'!$T$5:$T$528,$T181)/INDEX('Market Data'!$F$5:$F$528,$T181)-1,"unavailable"),"unavailable"))</f>
        <v/>
      </c>
      <c r="O181" s="9">
        <f>IF($T181=0,"",IF(IF(INDEX('Market Data'!$J$5:$J$528,$T181)=0,0,IF(LEFT(INDEX('Market Data'!$AS$5:$AS$66,INDEX('Market Data'!$J$5:$J$528,$T181)-4),11)="First-month",1,0))=1,"Class ratio review",IF($I181="Bloomberg",IF(ISNUMBER($G181),IF($G181&lt;TODAY(),"Older quote","See quote time"),"Date unavailable"),IF($I181="Snapshot",IF($G181&lt;DATEVALUE("2026-10-02"),"Older snapshot","Dated close"),"No valid quote"))))</f>
        <v/>
      </c>
      <c r="P181" s="14">
        <f>IF($T181=0,"",IF(INDEX('Market Data'!$J$5:$J$528,$T181)=0,"n/a",IF($Q181="Bloomberg",IF(AND(ISNUMBER(INDEX('Market Data'!$AK$5:$AK$66,INDEX('Market Data'!$J$5:$J$528,$T181)-4)),N(INDEX('Market Data'!$AK$5:$AK$66,INDEX('Market Data'!$J$5:$J$528,$T181)-4))&gt;0),INDEX('Market Data'!$AK$5:$AK$66,INDEX('Market Data'!$J$5:$J$528,$T181)-4),"date unavailable"),IF($Q181="Snapshot",IF(AND(ISNUMBER(INDEX('Market Data'!$AF$5:$AF$66,INDEX('Market Data'!$J$5:$J$528,$T181)-4)),N(INDEX('Market Data'!$AF$5:$AF$66,INDEX('Market Data'!$J$5:$J$528,$T181)-4))&gt;0),INDEX('Market Data'!$AF$5:$AF$66,INDEX('Market Data'!$J$5:$J$528,$T181)-4),"date unavailable"),"date unavailable"))))</f>
        <v/>
      </c>
      <c r="Q181" s="15">
        <f>IF($T181=0,"",IF(INDEX('Market Data'!$J$5:$J$528,$T181)=0,"n/a",IF(AND($M$5&lt;&gt;"Snapshot",ISNUMBER(INDEX('Market Data'!$AH$5:$AH$66,INDEX('Market Data'!$J$5:$J$528,$T181)-4)),N(INDEX('Market Data'!$AH$5:$AH$66,INDEX('Market Data'!$J$5:$J$528,$T181)-4))&gt;0),"Bloomberg",IF(AND($M$5&lt;&gt;"Bloomberg",ISNUMBER(INDEX('Market Data'!$AC$5:$AC$66,INDEX('Market Data'!$J$5:$J$528,$T181)-4)),N(INDEX('Market Data'!$AC$5:$AC$66,INDEX('Market Data'!$J$5:$J$528,$T181)-4))&gt;0),"Snapshot","Unavailable"))))</f>
        <v/>
      </c>
      <c r="T181">
        <f>IFERROR(MATCH(173,'Market Data'!$S$5:$S$528,0),0)</f>
        <v/>
      </c>
    </row>
    <row r="182" ht="34" customHeight="1">
      <c r="A182" s="8">
        <f>IF($T182=0,"",IF(INDEX('Market Data'!$A$5:$A$528,$T182)="","",INDEX('Market Data'!$A$5:$A$528,$T182)))</f>
        <v/>
      </c>
      <c r="B182" s="9">
        <f>IF($T182=0,"",IF(INDEX('Market Data'!$B$5:$B$528,$T182)="","",INDEX('Market Data'!$B$5:$B$528,$T182)))</f>
        <v/>
      </c>
      <c r="C182" s="9">
        <f>IF($T182=0,"",IF(INDEX('Market Data'!$C$5:$C$528,$T182)="","",INDEX('Market Data'!$C$5:$C$528,$T182)))</f>
        <v/>
      </c>
      <c r="D182" s="9">
        <f>IF($T182=0,"",IF(INDEX('Market Data'!$D$5:$D$528,$T182)="","",INDEX('Market Data'!$D$5:$D$528,$T182)))</f>
        <v/>
      </c>
      <c r="E182" s="10">
        <f>IF($T182=0,"",INDEX('Market Data'!$O$5:$O$528,$T182))</f>
        <v/>
      </c>
      <c r="F182" s="11">
        <f>IF($T182=0,"",IF(AND($I182="Bloomberg",ISNUMBER(INDEX('Market Data'!$L$5:$L$528,$T182))),INDEX('Market Data'!$L$5:$L$528,$T182),"unavailable"))</f>
        <v/>
      </c>
      <c r="G182" s="12">
        <f>IF($T182=0,"",IF($I182="Bloomberg",IF(AND(ISNUMBER(INDEX('Market Data'!$M$5:$M$528,$T182)),N(INDEX('Market Data'!$M$5:$M$528,$T182))&gt;0),INDEX('Market Data'!$M$5:$M$528,$T182),"date unavailable"),IF($I182="Snapshot",IF(AND(ISNUMBER(INDEX('Market Data'!$H$5:$H$528,$T182)),N(INDEX('Market Data'!$H$5:$H$528,$T182))&gt;0),INDEX('Market Data'!$H$5:$H$528,$T182),"date unavailable"),"date unavailable")))</f>
        <v/>
      </c>
      <c r="H182" s="9">
        <f>IF($T182=0,"",IF($I182="Bloomberg",IF(INDEX('Market Data'!$N$5:$N$528,$T182)="","time unavailable",INDEX('Market Data'!$N$5:$N$528,$T182)),""))</f>
        <v/>
      </c>
      <c r="I182" s="9">
        <f>IF($T182=0,"",INDEX('Market Data'!$P$5:$P$528,$T182))</f>
        <v/>
      </c>
      <c r="J182" s="13">
        <f>IF($T182=0,"",IF(INDEX('Market Data'!$E$5:$E$528,$T182)="","",INDEX('Market Data'!$E$5:$E$528,$T182)))</f>
        <v/>
      </c>
      <c r="K182" s="8">
        <f>IF($T182=0,"",IF(INDEX('Market Data'!$I$5:$I$528,$T182)="","",INDEX('Market Data'!$I$5:$I$528,$T182)))</f>
        <v/>
      </c>
      <c r="L182" s="10">
        <f>IF($T182=0,"",IF(INDEX('Market Data'!$J$5:$J$528,$T182)=0,"n/a",IF(AND($M$5&lt;&gt;"Snapshot",ISNUMBER(INDEX('Market Data'!$AH$5:$AH$66,INDEX('Market Data'!$J$5:$J$528,$T182)-4)),N(INDEX('Market Data'!$AH$5:$AH$66,INDEX('Market Data'!$J$5:$J$528,$T182)-4))&gt;0),INDEX('Market Data'!$AH$5:$AH$66,INDEX('Market Data'!$J$5:$J$528,$T182)-4),IF(AND($M$5&lt;&gt;"Bloomberg",ISNUMBER(INDEX('Market Data'!$AC$5:$AC$66,INDEX('Market Data'!$J$5:$J$528,$T182)-4)),N(INDEX('Market Data'!$AC$5:$AC$66,INDEX('Market Data'!$J$5:$J$528,$T182)-4))&gt;0),INDEX('Market Data'!$AC$5:$AC$66,INDEX('Market Data'!$J$5:$J$528,$T182)-4),"unavailable"))))</f>
        <v/>
      </c>
      <c r="M182" s="11">
        <f>IF($T182=0,"",IF(INDEX('Market Data'!$J$5:$J$528,$T182)=0,"n/a",IF(IF(INDEX('Market Data'!$J$5:$J$528,$T182)=0,0,IF(LEFT(INDEX('Market Data'!$AS$5:$AS$66,INDEX('Market Data'!$J$5:$J$528,$T182)-4),11)="First-month",1,0))=1,"class review",IF($I182="Bloomberg",IF(AND(ISNUMBER(INDEX('Market Data'!$AH$5:$AH$66,INDEX('Market Data'!$J$5:$J$528,$T182)-4)),N(INDEX('Market Data'!$AH$5:$AH$66,INDEX('Market Data'!$J$5:$J$528,$T182)-4))&gt;0,ISNUMBER('Market Data'!$B$1),N('Market Data'!$B$1)&gt;0),INDEX('Market Data'!$AH$5:$AH$66,INDEX('Market Data'!$J$5:$J$528,$T182)-4)*'Market Data'!$B$1/$E182-1,"pending A/FX"),IF(AND($I182="Snapshot",$Q182="Snapshot",ISNUMBER($E182),$G182=INDEX('Market Data'!$AE$5:$AE$66,INDEX('Market Data'!$J$5:$J$528,$T182)-4)),IFERROR(INDEX('Market Data'!$AC$5:$AC$66,INDEX('Market Data'!$J$5:$J$528,$T182)-4)*INDEX('Market Data'!$AD$5:$AD$66,INDEX('Market Data'!$J$5:$J$528,$T182)-4)/$E182-1,"unavailable"),IF($I182="Unavailable","unavailable","date mismatch"))))))</f>
        <v/>
      </c>
      <c r="N182" s="11">
        <f>IF($T182=0,"",IFERROR(IF(AND(N(INDEX('Market Data'!$F$5:$F$528,$T182))&gt;0,ISNUMBER(INDEX('Market Data'!$T$5:$T$528,$T182))),$E182*INDEX('Market Data'!$T$5:$T$528,$T182)/INDEX('Market Data'!$F$5:$F$528,$T182)-1,"unavailable"),"unavailable"))</f>
        <v/>
      </c>
      <c r="O182" s="9">
        <f>IF($T182=0,"",IF(IF(INDEX('Market Data'!$J$5:$J$528,$T182)=0,0,IF(LEFT(INDEX('Market Data'!$AS$5:$AS$66,INDEX('Market Data'!$J$5:$J$528,$T182)-4),11)="First-month",1,0))=1,"Class ratio review",IF($I182="Bloomberg",IF(ISNUMBER($G182),IF($G182&lt;TODAY(),"Older quote","See quote time"),"Date unavailable"),IF($I182="Snapshot",IF($G182&lt;DATEVALUE("2026-10-02"),"Older snapshot","Dated close"),"No valid quote"))))</f>
        <v/>
      </c>
      <c r="P182" s="14">
        <f>IF($T182=0,"",IF(INDEX('Market Data'!$J$5:$J$528,$T182)=0,"n/a",IF($Q182="Bloomberg",IF(AND(ISNUMBER(INDEX('Market Data'!$AK$5:$AK$66,INDEX('Market Data'!$J$5:$J$528,$T182)-4)),N(INDEX('Market Data'!$AK$5:$AK$66,INDEX('Market Data'!$J$5:$J$528,$T182)-4))&gt;0),INDEX('Market Data'!$AK$5:$AK$66,INDEX('Market Data'!$J$5:$J$528,$T182)-4),"date unavailable"),IF($Q182="Snapshot",IF(AND(ISNUMBER(INDEX('Market Data'!$AF$5:$AF$66,INDEX('Market Data'!$J$5:$J$528,$T182)-4)),N(INDEX('Market Data'!$AF$5:$AF$66,INDEX('Market Data'!$J$5:$J$528,$T182)-4))&gt;0),INDEX('Market Data'!$AF$5:$AF$66,INDEX('Market Data'!$J$5:$J$528,$T182)-4),"date unavailable"),"date unavailable"))))</f>
        <v/>
      </c>
      <c r="Q182" s="15">
        <f>IF($T182=0,"",IF(INDEX('Market Data'!$J$5:$J$528,$T182)=0,"n/a",IF(AND($M$5&lt;&gt;"Snapshot",ISNUMBER(INDEX('Market Data'!$AH$5:$AH$66,INDEX('Market Data'!$J$5:$J$528,$T182)-4)),N(INDEX('Market Data'!$AH$5:$AH$66,INDEX('Market Data'!$J$5:$J$528,$T182)-4))&gt;0),"Bloomberg",IF(AND($M$5&lt;&gt;"Bloomberg",ISNUMBER(INDEX('Market Data'!$AC$5:$AC$66,INDEX('Market Data'!$J$5:$J$528,$T182)-4)),N(INDEX('Market Data'!$AC$5:$AC$66,INDEX('Market Data'!$J$5:$J$528,$T182)-4))&gt;0),"Snapshot","Unavailable"))))</f>
        <v/>
      </c>
      <c r="T182">
        <f>IFERROR(MATCH(174,'Market Data'!$S$5:$S$528,0),0)</f>
        <v/>
      </c>
    </row>
    <row r="183" ht="34" customHeight="1">
      <c r="A183" s="8">
        <f>IF($T183=0,"",IF(INDEX('Market Data'!$A$5:$A$528,$T183)="","",INDEX('Market Data'!$A$5:$A$528,$T183)))</f>
        <v/>
      </c>
      <c r="B183" s="9">
        <f>IF($T183=0,"",IF(INDEX('Market Data'!$B$5:$B$528,$T183)="","",INDEX('Market Data'!$B$5:$B$528,$T183)))</f>
        <v/>
      </c>
      <c r="C183" s="9">
        <f>IF($T183=0,"",IF(INDEX('Market Data'!$C$5:$C$528,$T183)="","",INDEX('Market Data'!$C$5:$C$528,$T183)))</f>
        <v/>
      </c>
      <c r="D183" s="9">
        <f>IF($T183=0,"",IF(INDEX('Market Data'!$D$5:$D$528,$T183)="","",INDEX('Market Data'!$D$5:$D$528,$T183)))</f>
        <v/>
      </c>
      <c r="E183" s="10">
        <f>IF($T183=0,"",INDEX('Market Data'!$O$5:$O$528,$T183))</f>
        <v/>
      </c>
      <c r="F183" s="11">
        <f>IF($T183=0,"",IF(AND($I183="Bloomberg",ISNUMBER(INDEX('Market Data'!$L$5:$L$528,$T183))),INDEX('Market Data'!$L$5:$L$528,$T183),"unavailable"))</f>
        <v/>
      </c>
      <c r="G183" s="12">
        <f>IF($T183=0,"",IF($I183="Bloomberg",IF(AND(ISNUMBER(INDEX('Market Data'!$M$5:$M$528,$T183)),N(INDEX('Market Data'!$M$5:$M$528,$T183))&gt;0),INDEX('Market Data'!$M$5:$M$528,$T183),"date unavailable"),IF($I183="Snapshot",IF(AND(ISNUMBER(INDEX('Market Data'!$H$5:$H$528,$T183)),N(INDEX('Market Data'!$H$5:$H$528,$T183))&gt;0),INDEX('Market Data'!$H$5:$H$528,$T183),"date unavailable"),"date unavailable")))</f>
        <v/>
      </c>
      <c r="H183" s="9">
        <f>IF($T183=0,"",IF($I183="Bloomberg",IF(INDEX('Market Data'!$N$5:$N$528,$T183)="","time unavailable",INDEX('Market Data'!$N$5:$N$528,$T183)),""))</f>
        <v/>
      </c>
      <c r="I183" s="9">
        <f>IF($T183=0,"",INDEX('Market Data'!$P$5:$P$528,$T183))</f>
        <v/>
      </c>
      <c r="J183" s="13">
        <f>IF($T183=0,"",IF(INDEX('Market Data'!$E$5:$E$528,$T183)="","",INDEX('Market Data'!$E$5:$E$528,$T183)))</f>
        <v/>
      </c>
      <c r="K183" s="8">
        <f>IF($T183=0,"",IF(INDEX('Market Data'!$I$5:$I$528,$T183)="","",INDEX('Market Data'!$I$5:$I$528,$T183)))</f>
        <v/>
      </c>
      <c r="L183" s="10">
        <f>IF($T183=0,"",IF(INDEX('Market Data'!$J$5:$J$528,$T183)=0,"n/a",IF(AND($M$5&lt;&gt;"Snapshot",ISNUMBER(INDEX('Market Data'!$AH$5:$AH$66,INDEX('Market Data'!$J$5:$J$528,$T183)-4)),N(INDEX('Market Data'!$AH$5:$AH$66,INDEX('Market Data'!$J$5:$J$528,$T183)-4))&gt;0),INDEX('Market Data'!$AH$5:$AH$66,INDEX('Market Data'!$J$5:$J$528,$T183)-4),IF(AND($M$5&lt;&gt;"Bloomberg",ISNUMBER(INDEX('Market Data'!$AC$5:$AC$66,INDEX('Market Data'!$J$5:$J$528,$T183)-4)),N(INDEX('Market Data'!$AC$5:$AC$66,INDEX('Market Data'!$J$5:$J$528,$T183)-4))&gt;0),INDEX('Market Data'!$AC$5:$AC$66,INDEX('Market Data'!$J$5:$J$528,$T183)-4),"unavailable"))))</f>
        <v/>
      </c>
      <c r="M183" s="11">
        <f>IF($T183=0,"",IF(INDEX('Market Data'!$J$5:$J$528,$T183)=0,"n/a",IF(IF(INDEX('Market Data'!$J$5:$J$528,$T183)=0,0,IF(LEFT(INDEX('Market Data'!$AS$5:$AS$66,INDEX('Market Data'!$J$5:$J$528,$T183)-4),11)="First-month",1,0))=1,"class review",IF($I183="Bloomberg",IF(AND(ISNUMBER(INDEX('Market Data'!$AH$5:$AH$66,INDEX('Market Data'!$J$5:$J$528,$T183)-4)),N(INDEX('Market Data'!$AH$5:$AH$66,INDEX('Market Data'!$J$5:$J$528,$T183)-4))&gt;0,ISNUMBER('Market Data'!$B$1),N('Market Data'!$B$1)&gt;0),INDEX('Market Data'!$AH$5:$AH$66,INDEX('Market Data'!$J$5:$J$528,$T183)-4)*'Market Data'!$B$1/$E183-1,"pending A/FX"),IF(AND($I183="Snapshot",$Q183="Snapshot",ISNUMBER($E183),$G183=INDEX('Market Data'!$AE$5:$AE$66,INDEX('Market Data'!$J$5:$J$528,$T183)-4)),IFERROR(INDEX('Market Data'!$AC$5:$AC$66,INDEX('Market Data'!$J$5:$J$528,$T183)-4)*INDEX('Market Data'!$AD$5:$AD$66,INDEX('Market Data'!$J$5:$J$528,$T183)-4)/$E183-1,"unavailable"),IF($I183="Unavailable","unavailable","date mismatch"))))))</f>
        <v/>
      </c>
      <c r="N183" s="11">
        <f>IF($T183=0,"",IFERROR(IF(AND(N(INDEX('Market Data'!$F$5:$F$528,$T183))&gt;0,ISNUMBER(INDEX('Market Data'!$T$5:$T$528,$T183))),$E183*INDEX('Market Data'!$T$5:$T$528,$T183)/INDEX('Market Data'!$F$5:$F$528,$T183)-1,"unavailable"),"unavailable"))</f>
        <v/>
      </c>
      <c r="O183" s="9">
        <f>IF($T183=0,"",IF(IF(INDEX('Market Data'!$J$5:$J$528,$T183)=0,0,IF(LEFT(INDEX('Market Data'!$AS$5:$AS$66,INDEX('Market Data'!$J$5:$J$528,$T183)-4),11)="First-month",1,0))=1,"Class ratio review",IF($I183="Bloomberg",IF(ISNUMBER($G183),IF($G183&lt;TODAY(),"Older quote","See quote time"),"Date unavailable"),IF($I183="Snapshot",IF($G183&lt;DATEVALUE("2026-10-02"),"Older snapshot","Dated close"),"No valid quote"))))</f>
        <v/>
      </c>
      <c r="P183" s="14">
        <f>IF($T183=0,"",IF(INDEX('Market Data'!$J$5:$J$528,$T183)=0,"n/a",IF($Q183="Bloomberg",IF(AND(ISNUMBER(INDEX('Market Data'!$AK$5:$AK$66,INDEX('Market Data'!$J$5:$J$528,$T183)-4)),N(INDEX('Market Data'!$AK$5:$AK$66,INDEX('Market Data'!$J$5:$J$528,$T183)-4))&gt;0),INDEX('Market Data'!$AK$5:$AK$66,INDEX('Market Data'!$J$5:$J$528,$T183)-4),"date unavailable"),IF($Q183="Snapshot",IF(AND(ISNUMBER(INDEX('Market Data'!$AF$5:$AF$66,INDEX('Market Data'!$J$5:$J$528,$T183)-4)),N(INDEX('Market Data'!$AF$5:$AF$66,INDEX('Market Data'!$J$5:$J$528,$T183)-4))&gt;0),INDEX('Market Data'!$AF$5:$AF$66,INDEX('Market Data'!$J$5:$J$528,$T183)-4),"date unavailable"),"date unavailable"))))</f>
        <v/>
      </c>
      <c r="Q183" s="15">
        <f>IF($T183=0,"",IF(INDEX('Market Data'!$J$5:$J$528,$T183)=0,"n/a",IF(AND($M$5&lt;&gt;"Snapshot",ISNUMBER(INDEX('Market Data'!$AH$5:$AH$66,INDEX('Market Data'!$J$5:$J$528,$T183)-4)),N(INDEX('Market Data'!$AH$5:$AH$66,INDEX('Market Data'!$J$5:$J$528,$T183)-4))&gt;0),"Bloomberg",IF(AND($M$5&lt;&gt;"Bloomberg",ISNUMBER(INDEX('Market Data'!$AC$5:$AC$66,INDEX('Market Data'!$J$5:$J$528,$T183)-4)),N(INDEX('Market Data'!$AC$5:$AC$66,INDEX('Market Data'!$J$5:$J$528,$T183)-4))&gt;0),"Snapshot","Unavailable"))))</f>
        <v/>
      </c>
      <c r="T183">
        <f>IFERROR(MATCH(175,'Market Data'!$S$5:$S$528,0),0)</f>
        <v/>
      </c>
    </row>
    <row r="184" ht="34" customHeight="1">
      <c r="A184" s="8">
        <f>IF($T184=0,"",IF(INDEX('Market Data'!$A$5:$A$528,$T184)="","",INDEX('Market Data'!$A$5:$A$528,$T184)))</f>
        <v/>
      </c>
      <c r="B184" s="9">
        <f>IF($T184=0,"",IF(INDEX('Market Data'!$B$5:$B$528,$T184)="","",INDEX('Market Data'!$B$5:$B$528,$T184)))</f>
        <v/>
      </c>
      <c r="C184" s="9">
        <f>IF($T184=0,"",IF(INDEX('Market Data'!$C$5:$C$528,$T184)="","",INDEX('Market Data'!$C$5:$C$528,$T184)))</f>
        <v/>
      </c>
      <c r="D184" s="9">
        <f>IF($T184=0,"",IF(INDEX('Market Data'!$D$5:$D$528,$T184)="","",INDEX('Market Data'!$D$5:$D$528,$T184)))</f>
        <v/>
      </c>
      <c r="E184" s="10">
        <f>IF($T184=0,"",INDEX('Market Data'!$O$5:$O$528,$T184))</f>
        <v/>
      </c>
      <c r="F184" s="11">
        <f>IF($T184=0,"",IF(AND($I184="Bloomberg",ISNUMBER(INDEX('Market Data'!$L$5:$L$528,$T184))),INDEX('Market Data'!$L$5:$L$528,$T184),"unavailable"))</f>
        <v/>
      </c>
      <c r="G184" s="12">
        <f>IF($T184=0,"",IF($I184="Bloomberg",IF(AND(ISNUMBER(INDEX('Market Data'!$M$5:$M$528,$T184)),N(INDEX('Market Data'!$M$5:$M$528,$T184))&gt;0),INDEX('Market Data'!$M$5:$M$528,$T184),"date unavailable"),IF($I184="Snapshot",IF(AND(ISNUMBER(INDEX('Market Data'!$H$5:$H$528,$T184)),N(INDEX('Market Data'!$H$5:$H$528,$T184))&gt;0),INDEX('Market Data'!$H$5:$H$528,$T184),"date unavailable"),"date unavailable")))</f>
        <v/>
      </c>
      <c r="H184" s="9">
        <f>IF($T184=0,"",IF($I184="Bloomberg",IF(INDEX('Market Data'!$N$5:$N$528,$T184)="","time unavailable",INDEX('Market Data'!$N$5:$N$528,$T184)),""))</f>
        <v/>
      </c>
      <c r="I184" s="9">
        <f>IF($T184=0,"",INDEX('Market Data'!$P$5:$P$528,$T184))</f>
        <v/>
      </c>
      <c r="J184" s="13">
        <f>IF($T184=0,"",IF(INDEX('Market Data'!$E$5:$E$528,$T184)="","",INDEX('Market Data'!$E$5:$E$528,$T184)))</f>
        <v/>
      </c>
      <c r="K184" s="8">
        <f>IF($T184=0,"",IF(INDEX('Market Data'!$I$5:$I$528,$T184)="","",INDEX('Market Data'!$I$5:$I$528,$T184)))</f>
        <v/>
      </c>
      <c r="L184" s="10">
        <f>IF($T184=0,"",IF(INDEX('Market Data'!$J$5:$J$528,$T184)=0,"n/a",IF(AND($M$5&lt;&gt;"Snapshot",ISNUMBER(INDEX('Market Data'!$AH$5:$AH$66,INDEX('Market Data'!$J$5:$J$528,$T184)-4)),N(INDEX('Market Data'!$AH$5:$AH$66,INDEX('Market Data'!$J$5:$J$528,$T184)-4))&gt;0),INDEX('Market Data'!$AH$5:$AH$66,INDEX('Market Data'!$J$5:$J$528,$T184)-4),IF(AND($M$5&lt;&gt;"Bloomberg",ISNUMBER(INDEX('Market Data'!$AC$5:$AC$66,INDEX('Market Data'!$J$5:$J$528,$T184)-4)),N(INDEX('Market Data'!$AC$5:$AC$66,INDEX('Market Data'!$J$5:$J$528,$T184)-4))&gt;0),INDEX('Market Data'!$AC$5:$AC$66,INDEX('Market Data'!$J$5:$J$528,$T184)-4),"unavailable"))))</f>
        <v/>
      </c>
      <c r="M184" s="11">
        <f>IF($T184=0,"",IF(INDEX('Market Data'!$J$5:$J$528,$T184)=0,"n/a",IF(IF(INDEX('Market Data'!$J$5:$J$528,$T184)=0,0,IF(LEFT(INDEX('Market Data'!$AS$5:$AS$66,INDEX('Market Data'!$J$5:$J$528,$T184)-4),11)="First-month",1,0))=1,"class review",IF($I184="Bloomberg",IF(AND(ISNUMBER(INDEX('Market Data'!$AH$5:$AH$66,INDEX('Market Data'!$J$5:$J$528,$T184)-4)),N(INDEX('Market Data'!$AH$5:$AH$66,INDEX('Market Data'!$J$5:$J$528,$T184)-4))&gt;0,ISNUMBER('Market Data'!$B$1),N('Market Data'!$B$1)&gt;0),INDEX('Market Data'!$AH$5:$AH$66,INDEX('Market Data'!$J$5:$J$528,$T184)-4)*'Market Data'!$B$1/$E184-1,"pending A/FX"),IF(AND($I184="Snapshot",$Q184="Snapshot",ISNUMBER($E184),$G184=INDEX('Market Data'!$AE$5:$AE$66,INDEX('Market Data'!$J$5:$J$528,$T184)-4)),IFERROR(INDEX('Market Data'!$AC$5:$AC$66,INDEX('Market Data'!$J$5:$J$528,$T184)-4)*INDEX('Market Data'!$AD$5:$AD$66,INDEX('Market Data'!$J$5:$J$528,$T184)-4)/$E184-1,"unavailable"),IF($I184="Unavailable","unavailable","date mismatch"))))))</f>
        <v/>
      </c>
      <c r="N184" s="11">
        <f>IF($T184=0,"",IFERROR(IF(AND(N(INDEX('Market Data'!$F$5:$F$528,$T184))&gt;0,ISNUMBER(INDEX('Market Data'!$T$5:$T$528,$T184))),$E184*INDEX('Market Data'!$T$5:$T$528,$T184)/INDEX('Market Data'!$F$5:$F$528,$T184)-1,"unavailable"),"unavailable"))</f>
        <v/>
      </c>
      <c r="O184" s="9">
        <f>IF($T184=0,"",IF(IF(INDEX('Market Data'!$J$5:$J$528,$T184)=0,0,IF(LEFT(INDEX('Market Data'!$AS$5:$AS$66,INDEX('Market Data'!$J$5:$J$528,$T184)-4),11)="First-month",1,0))=1,"Class ratio review",IF($I184="Bloomberg",IF(ISNUMBER($G184),IF($G184&lt;TODAY(),"Older quote","See quote time"),"Date unavailable"),IF($I184="Snapshot",IF($G184&lt;DATEVALUE("2026-10-02"),"Older snapshot","Dated close"),"No valid quote"))))</f>
        <v/>
      </c>
      <c r="P184" s="14">
        <f>IF($T184=0,"",IF(INDEX('Market Data'!$J$5:$J$528,$T184)=0,"n/a",IF($Q184="Bloomberg",IF(AND(ISNUMBER(INDEX('Market Data'!$AK$5:$AK$66,INDEX('Market Data'!$J$5:$J$528,$T184)-4)),N(INDEX('Market Data'!$AK$5:$AK$66,INDEX('Market Data'!$J$5:$J$528,$T184)-4))&gt;0),INDEX('Market Data'!$AK$5:$AK$66,INDEX('Market Data'!$J$5:$J$528,$T184)-4),"date unavailable"),IF($Q184="Snapshot",IF(AND(ISNUMBER(INDEX('Market Data'!$AF$5:$AF$66,INDEX('Market Data'!$J$5:$J$528,$T184)-4)),N(INDEX('Market Data'!$AF$5:$AF$66,INDEX('Market Data'!$J$5:$J$528,$T184)-4))&gt;0),INDEX('Market Data'!$AF$5:$AF$66,INDEX('Market Data'!$J$5:$J$528,$T184)-4),"date unavailable"),"date unavailable"))))</f>
        <v/>
      </c>
      <c r="Q184" s="15">
        <f>IF($T184=0,"",IF(INDEX('Market Data'!$J$5:$J$528,$T184)=0,"n/a",IF(AND($M$5&lt;&gt;"Snapshot",ISNUMBER(INDEX('Market Data'!$AH$5:$AH$66,INDEX('Market Data'!$J$5:$J$528,$T184)-4)),N(INDEX('Market Data'!$AH$5:$AH$66,INDEX('Market Data'!$J$5:$J$528,$T184)-4))&gt;0),"Bloomberg",IF(AND($M$5&lt;&gt;"Bloomberg",ISNUMBER(INDEX('Market Data'!$AC$5:$AC$66,INDEX('Market Data'!$J$5:$J$528,$T184)-4)),N(INDEX('Market Data'!$AC$5:$AC$66,INDEX('Market Data'!$J$5:$J$528,$T184)-4))&gt;0),"Snapshot","Unavailable"))))</f>
        <v/>
      </c>
      <c r="T184">
        <f>IFERROR(MATCH(176,'Market Data'!$S$5:$S$528,0),0)</f>
        <v/>
      </c>
    </row>
    <row r="185" ht="34" customHeight="1">
      <c r="A185" s="8">
        <f>IF($T185=0,"",IF(INDEX('Market Data'!$A$5:$A$528,$T185)="","",INDEX('Market Data'!$A$5:$A$528,$T185)))</f>
        <v/>
      </c>
      <c r="B185" s="9">
        <f>IF($T185=0,"",IF(INDEX('Market Data'!$B$5:$B$528,$T185)="","",INDEX('Market Data'!$B$5:$B$528,$T185)))</f>
        <v/>
      </c>
      <c r="C185" s="9">
        <f>IF($T185=0,"",IF(INDEX('Market Data'!$C$5:$C$528,$T185)="","",INDEX('Market Data'!$C$5:$C$528,$T185)))</f>
        <v/>
      </c>
      <c r="D185" s="9">
        <f>IF($T185=0,"",IF(INDEX('Market Data'!$D$5:$D$528,$T185)="","",INDEX('Market Data'!$D$5:$D$528,$T185)))</f>
        <v/>
      </c>
      <c r="E185" s="10">
        <f>IF($T185=0,"",INDEX('Market Data'!$O$5:$O$528,$T185))</f>
        <v/>
      </c>
      <c r="F185" s="11">
        <f>IF($T185=0,"",IF(AND($I185="Bloomberg",ISNUMBER(INDEX('Market Data'!$L$5:$L$528,$T185))),INDEX('Market Data'!$L$5:$L$528,$T185),"unavailable"))</f>
        <v/>
      </c>
      <c r="G185" s="12">
        <f>IF($T185=0,"",IF($I185="Bloomberg",IF(AND(ISNUMBER(INDEX('Market Data'!$M$5:$M$528,$T185)),N(INDEX('Market Data'!$M$5:$M$528,$T185))&gt;0),INDEX('Market Data'!$M$5:$M$528,$T185),"date unavailable"),IF($I185="Snapshot",IF(AND(ISNUMBER(INDEX('Market Data'!$H$5:$H$528,$T185)),N(INDEX('Market Data'!$H$5:$H$528,$T185))&gt;0),INDEX('Market Data'!$H$5:$H$528,$T185),"date unavailable"),"date unavailable")))</f>
        <v/>
      </c>
      <c r="H185" s="9">
        <f>IF($T185=0,"",IF($I185="Bloomberg",IF(INDEX('Market Data'!$N$5:$N$528,$T185)="","time unavailable",INDEX('Market Data'!$N$5:$N$528,$T185)),""))</f>
        <v/>
      </c>
      <c r="I185" s="9">
        <f>IF($T185=0,"",INDEX('Market Data'!$P$5:$P$528,$T185))</f>
        <v/>
      </c>
      <c r="J185" s="13">
        <f>IF($T185=0,"",IF(INDEX('Market Data'!$E$5:$E$528,$T185)="","",INDEX('Market Data'!$E$5:$E$528,$T185)))</f>
        <v/>
      </c>
      <c r="K185" s="8">
        <f>IF($T185=0,"",IF(INDEX('Market Data'!$I$5:$I$528,$T185)="","",INDEX('Market Data'!$I$5:$I$528,$T185)))</f>
        <v/>
      </c>
      <c r="L185" s="10">
        <f>IF($T185=0,"",IF(INDEX('Market Data'!$J$5:$J$528,$T185)=0,"n/a",IF(AND($M$5&lt;&gt;"Snapshot",ISNUMBER(INDEX('Market Data'!$AH$5:$AH$66,INDEX('Market Data'!$J$5:$J$528,$T185)-4)),N(INDEX('Market Data'!$AH$5:$AH$66,INDEX('Market Data'!$J$5:$J$528,$T185)-4))&gt;0),INDEX('Market Data'!$AH$5:$AH$66,INDEX('Market Data'!$J$5:$J$528,$T185)-4),IF(AND($M$5&lt;&gt;"Bloomberg",ISNUMBER(INDEX('Market Data'!$AC$5:$AC$66,INDEX('Market Data'!$J$5:$J$528,$T185)-4)),N(INDEX('Market Data'!$AC$5:$AC$66,INDEX('Market Data'!$J$5:$J$528,$T185)-4))&gt;0),INDEX('Market Data'!$AC$5:$AC$66,INDEX('Market Data'!$J$5:$J$528,$T185)-4),"unavailable"))))</f>
        <v/>
      </c>
      <c r="M185" s="11">
        <f>IF($T185=0,"",IF(INDEX('Market Data'!$J$5:$J$528,$T185)=0,"n/a",IF(IF(INDEX('Market Data'!$J$5:$J$528,$T185)=0,0,IF(LEFT(INDEX('Market Data'!$AS$5:$AS$66,INDEX('Market Data'!$J$5:$J$528,$T185)-4),11)="First-month",1,0))=1,"class review",IF($I185="Bloomberg",IF(AND(ISNUMBER(INDEX('Market Data'!$AH$5:$AH$66,INDEX('Market Data'!$J$5:$J$528,$T185)-4)),N(INDEX('Market Data'!$AH$5:$AH$66,INDEX('Market Data'!$J$5:$J$528,$T185)-4))&gt;0,ISNUMBER('Market Data'!$B$1),N('Market Data'!$B$1)&gt;0),INDEX('Market Data'!$AH$5:$AH$66,INDEX('Market Data'!$J$5:$J$528,$T185)-4)*'Market Data'!$B$1/$E185-1,"pending A/FX"),IF(AND($I185="Snapshot",$Q185="Snapshot",ISNUMBER($E185),$G185=INDEX('Market Data'!$AE$5:$AE$66,INDEX('Market Data'!$J$5:$J$528,$T185)-4)),IFERROR(INDEX('Market Data'!$AC$5:$AC$66,INDEX('Market Data'!$J$5:$J$528,$T185)-4)*INDEX('Market Data'!$AD$5:$AD$66,INDEX('Market Data'!$J$5:$J$528,$T185)-4)/$E185-1,"unavailable"),IF($I185="Unavailable","unavailable","date mismatch"))))))</f>
        <v/>
      </c>
      <c r="N185" s="11">
        <f>IF($T185=0,"",IFERROR(IF(AND(N(INDEX('Market Data'!$F$5:$F$528,$T185))&gt;0,ISNUMBER(INDEX('Market Data'!$T$5:$T$528,$T185))),$E185*INDEX('Market Data'!$T$5:$T$528,$T185)/INDEX('Market Data'!$F$5:$F$528,$T185)-1,"unavailable"),"unavailable"))</f>
        <v/>
      </c>
      <c r="O185" s="9">
        <f>IF($T185=0,"",IF(IF(INDEX('Market Data'!$J$5:$J$528,$T185)=0,0,IF(LEFT(INDEX('Market Data'!$AS$5:$AS$66,INDEX('Market Data'!$J$5:$J$528,$T185)-4),11)="First-month",1,0))=1,"Class ratio review",IF($I185="Bloomberg",IF(ISNUMBER($G185),IF($G185&lt;TODAY(),"Older quote","See quote time"),"Date unavailable"),IF($I185="Snapshot",IF($G185&lt;DATEVALUE("2026-10-02"),"Older snapshot","Dated close"),"No valid quote"))))</f>
        <v/>
      </c>
      <c r="P185" s="14">
        <f>IF($T185=0,"",IF(INDEX('Market Data'!$J$5:$J$528,$T185)=0,"n/a",IF($Q185="Bloomberg",IF(AND(ISNUMBER(INDEX('Market Data'!$AK$5:$AK$66,INDEX('Market Data'!$J$5:$J$528,$T185)-4)),N(INDEX('Market Data'!$AK$5:$AK$66,INDEX('Market Data'!$J$5:$J$528,$T185)-4))&gt;0),INDEX('Market Data'!$AK$5:$AK$66,INDEX('Market Data'!$J$5:$J$528,$T185)-4),"date unavailable"),IF($Q185="Snapshot",IF(AND(ISNUMBER(INDEX('Market Data'!$AF$5:$AF$66,INDEX('Market Data'!$J$5:$J$528,$T185)-4)),N(INDEX('Market Data'!$AF$5:$AF$66,INDEX('Market Data'!$J$5:$J$528,$T185)-4))&gt;0),INDEX('Market Data'!$AF$5:$AF$66,INDEX('Market Data'!$J$5:$J$528,$T185)-4),"date unavailable"),"date unavailable"))))</f>
        <v/>
      </c>
      <c r="Q185" s="15">
        <f>IF($T185=0,"",IF(INDEX('Market Data'!$J$5:$J$528,$T185)=0,"n/a",IF(AND($M$5&lt;&gt;"Snapshot",ISNUMBER(INDEX('Market Data'!$AH$5:$AH$66,INDEX('Market Data'!$J$5:$J$528,$T185)-4)),N(INDEX('Market Data'!$AH$5:$AH$66,INDEX('Market Data'!$J$5:$J$528,$T185)-4))&gt;0),"Bloomberg",IF(AND($M$5&lt;&gt;"Bloomberg",ISNUMBER(INDEX('Market Data'!$AC$5:$AC$66,INDEX('Market Data'!$J$5:$J$528,$T185)-4)),N(INDEX('Market Data'!$AC$5:$AC$66,INDEX('Market Data'!$J$5:$J$528,$T185)-4))&gt;0),"Snapshot","Unavailable"))))</f>
        <v/>
      </c>
      <c r="T185">
        <f>IFERROR(MATCH(177,'Market Data'!$S$5:$S$528,0),0)</f>
        <v/>
      </c>
    </row>
    <row r="186" ht="34" customHeight="1">
      <c r="A186" s="8">
        <f>IF($T186=0,"",IF(INDEX('Market Data'!$A$5:$A$528,$T186)="","",INDEX('Market Data'!$A$5:$A$528,$T186)))</f>
        <v/>
      </c>
      <c r="B186" s="9">
        <f>IF($T186=0,"",IF(INDEX('Market Data'!$B$5:$B$528,$T186)="","",INDEX('Market Data'!$B$5:$B$528,$T186)))</f>
        <v/>
      </c>
      <c r="C186" s="9">
        <f>IF($T186=0,"",IF(INDEX('Market Data'!$C$5:$C$528,$T186)="","",INDEX('Market Data'!$C$5:$C$528,$T186)))</f>
        <v/>
      </c>
      <c r="D186" s="9">
        <f>IF($T186=0,"",IF(INDEX('Market Data'!$D$5:$D$528,$T186)="","",INDEX('Market Data'!$D$5:$D$528,$T186)))</f>
        <v/>
      </c>
      <c r="E186" s="10">
        <f>IF($T186=0,"",INDEX('Market Data'!$O$5:$O$528,$T186))</f>
        <v/>
      </c>
      <c r="F186" s="11">
        <f>IF($T186=0,"",IF(AND($I186="Bloomberg",ISNUMBER(INDEX('Market Data'!$L$5:$L$528,$T186))),INDEX('Market Data'!$L$5:$L$528,$T186),"unavailable"))</f>
        <v/>
      </c>
      <c r="G186" s="12">
        <f>IF($T186=0,"",IF($I186="Bloomberg",IF(AND(ISNUMBER(INDEX('Market Data'!$M$5:$M$528,$T186)),N(INDEX('Market Data'!$M$5:$M$528,$T186))&gt;0),INDEX('Market Data'!$M$5:$M$528,$T186),"date unavailable"),IF($I186="Snapshot",IF(AND(ISNUMBER(INDEX('Market Data'!$H$5:$H$528,$T186)),N(INDEX('Market Data'!$H$5:$H$528,$T186))&gt;0),INDEX('Market Data'!$H$5:$H$528,$T186),"date unavailable"),"date unavailable")))</f>
        <v/>
      </c>
      <c r="H186" s="9">
        <f>IF($T186=0,"",IF($I186="Bloomberg",IF(INDEX('Market Data'!$N$5:$N$528,$T186)="","time unavailable",INDEX('Market Data'!$N$5:$N$528,$T186)),""))</f>
        <v/>
      </c>
      <c r="I186" s="9">
        <f>IF($T186=0,"",INDEX('Market Data'!$P$5:$P$528,$T186))</f>
        <v/>
      </c>
      <c r="J186" s="13">
        <f>IF($T186=0,"",IF(INDEX('Market Data'!$E$5:$E$528,$T186)="","",INDEX('Market Data'!$E$5:$E$528,$T186)))</f>
        <v/>
      </c>
      <c r="K186" s="8">
        <f>IF($T186=0,"",IF(INDEX('Market Data'!$I$5:$I$528,$T186)="","",INDEX('Market Data'!$I$5:$I$528,$T186)))</f>
        <v/>
      </c>
      <c r="L186" s="10">
        <f>IF($T186=0,"",IF(INDEX('Market Data'!$J$5:$J$528,$T186)=0,"n/a",IF(AND($M$5&lt;&gt;"Snapshot",ISNUMBER(INDEX('Market Data'!$AH$5:$AH$66,INDEX('Market Data'!$J$5:$J$528,$T186)-4)),N(INDEX('Market Data'!$AH$5:$AH$66,INDEX('Market Data'!$J$5:$J$528,$T186)-4))&gt;0),INDEX('Market Data'!$AH$5:$AH$66,INDEX('Market Data'!$J$5:$J$528,$T186)-4),IF(AND($M$5&lt;&gt;"Bloomberg",ISNUMBER(INDEX('Market Data'!$AC$5:$AC$66,INDEX('Market Data'!$J$5:$J$528,$T186)-4)),N(INDEX('Market Data'!$AC$5:$AC$66,INDEX('Market Data'!$J$5:$J$528,$T186)-4))&gt;0),INDEX('Market Data'!$AC$5:$AC$66,INDEX('Market Data'!$J$5:$J$528,$T186)-4),"unavailable"))))</f>
        <v/>
      </c>
      <c r="M186" s="11">
        <f>IF($T186=0,"",IF(INDEX('Market Data'!$J$5:$J$528,$T186)=0,"n/a",IF(IF(INDEX('Market Data'!$J$5:$J$528,$T186)=0,0,IF(LEFT(INDEX('Market Data'!$AS$5:$AS$66,INDEX('Market Data'!$J$5:$J$528,$T186)-4),11)="First-month",1,0))=1,"class review",IF($I186="Bloomberg",IF(AND(ISNUMBER(INDEX('Market Data'!$AH$5:$AH$66,INDEX('Market Data'!$J$5:$J$528,$T186)-4)),N(INDEX('Market Data'!$AH$5:$AH$66,INDEX('Market Data'!$J$5:$J$528,$T186)-4))&gt;0,ISNUMBER('Market Data'!$B$1),N('Market Data'!$B$1)&gt;0),INDEX('Market Data'!$AH$5:$AH$66,INDEX('Market Data'!$J$5:$J$528,$T186)-4)*'Market Data'!$B$1/$E186-1,"pending A/FX"),IF(AND($I186="Snapshot",$Q186="Snapshot",ISNUMBER($E186),$G186=INDEX('Market Data'!$AE$5:$AE$66,INDEX('Market Data'!$J$5:$J$528,$T186)-4)),IFERROR(INDEX('Market Data'!$AC$5:$AC$66,INDEX('Market Data'!$J$5:$J$528,$T186)-4)*INDEX('Market Data'!$AD$5:$AD$66,INDEX('Market Data'!$J$5:$J$528,$T186)-4)/$E186-1,"unavailable"),IF($I186="Unavailable","unavailable","date mismatch"))))))</f>
        <v/>
      </c>
      <c r="N186" s="11">
        <f>IF($T186=0,"",IFERROR(IF(AND(N(INDEX('Market Data'!$F$5:$F$528,$T186))&gt;0,ISNUMBER(INDEX('Market Data'!$T$5:$T$528,$T186))),$E186*INDEX('Market Data'!$T$5:$T$528,$T186)/INDEX('Market Data'!$F$5:$F$528,$T186)-1,"unavailable"),"unavailable"))</f>
        <v/>
      </c>
      <c r="O186" s="9">
        <f>IF($T186=0,"",IF(IF(INDEX('Market Data'!$J$5:$J$528,$T186)=0,0,IF(LEFT(INDEX('Market Data'!$AS$5:$AS$66,INDEX('Market Data'!$J$5:$J$528,$T186)-4),11)="First-month",1,0))=1,"Class ratio review",IF($I186="Bloomberg",IF(ISNUMBER($G186),IF($G186&lt;TODAY(),"Older quote","See quote time"),"Date unavailable"),IF($I186="Snapshot",IF($G186&lt;DATEVALUE("2026-10-02"),"Older snapshot","Dated close"),"No valid quote"))))</f>
        <v/>
      </c>
      <c r="P186" s="14">
        <f>IF($T186=0,"",IF(INDEX('Market Data'!$J$5:$J$528,$T186)=0,"n/a",IF($Q186="Bloomberg",IF(AND(ISNUMBER(INDEX('Market Data'!$AK$5:$AK$66,INDEX('Market Data'!$J$5:$J$528,$T186)-4)),N(INDEX('Market Data'!$AK$5:$AK$66,INDEX('Market Data'!$J$5:$J$528,$T186)-4))&gt;0),INDEX('Market Data'!$AK$5:$AK$66,INDEX('Market Data'!$J$5:$J$528,$T186)-4),"date unavailable"),IF($Q186="Snapshot",IF(AND(ISNUMBER(INDEX('Market Data'!$AF$5:$AF$66,INDEX('Market Data'!$J$5:$J$528,$T186)-4)),N(INDEX('Market Data'!$AF$5:$AF$66,INDEX('Market Data'!$J$5:$J$528,$T186)-4))&gt;0),INDEX('Market Data'!$AF$5:$AF$66,INDEX('Market Data'!$J$5:$J$528,$T186)-4),"date unavailable"),"date unavailable"))))</f>
        <v/>
      </c>
      <c r="Q186" s="15">
        <f>IF($T186=0,"",IF(INDEX('Market Data'!$J$5:$J$528,$T186)=0,"n/a",IF(AND($M$5&lt;&gt;"Snapshot",ISNUMBER(INDEX('Market Data'!$AH$5:$AH$66,INDEX('Market Data'!$J$5:$J$528,$T186)-4)),N(INDEX('Market Data'!$AH$5:$AH$66,INDEX('Market Data'!$J$5:$J$528,$T186)-4))&gt;0),"Bloomberg",IF(AND($M$5&lt;&gt;"Bloomberg",ISNUMBER(INDEX('Market Data'!$AC$5:$AC$66,INDEX('Market Data'!$J$5:$J$528,$T186)-4)),N(INDEX('Market Data'!$AC$5:$AC$66,INDEX('Market Data'!$J$5:$J$528,$T186)-4))&gt;0),"Snapshot","Unavailable"))))</f>
        <v/>
      </c>
      <c r="T186">
        <f>IFERROR(MATCH(178,'Market Data'!$S$5:$S$528,0),0)</f>
        <v/>
      </c>
    </row>
    <row r="187" ht="34" customHeight="1">
      <c r="A187" s="8">
        <f>IF($T187=0,"",IF(INDEX('Market Data'!$A$5:$A$528,$T187)="","",INDEX('Market Data'!$A$5:$A$528,$T187)))</f>
        <v/>
      </c>
      <c r="B187" s="9">
        <f>IF($T187=0,"",IF(INDEX('Market Data'!$B$5:$B$528,$T187)="","",INDEX('Market Data'!$B$5:$B$528,$T187)))</f>
        <v/>
      </c>
      <c r="C187" s="9">
        <f>IF($T187=0,"",IF(INDEX('Market Data'!$C$5:$C$528,$T187)="","",INDEX('Market Data'!$C$5:$C$528,$T187)))</f>
        <v/>
      </c>
      <c r="D187" s="9">
        <f>IF($T187=0,"",IF(INDEX('Market Data'!$D$5:$D$528,$T187)="","",INDEX('Market Data'!$D$5:$D$528,$T187)))</f>
        <v/>
      </c>
      <c r="E187" s="10">
        <f>IF($T187=0,"",INDEX('Market Data'!$O$5:$O$528,$T187))</f>
        <v/>
      </c>
      <c r="F187" s="11">
        <f>IF($T187=0,"",IF(AND($I187="Bloomberg",ISNUMBER(INDEX('Market Data'!$L$5:$L$528,$T187))),INDEX('Market Data'!$L$5:$L$528,$T187),"unavailable"))</f>
        <v/>
      </c>
      <c r="G187" s="12">
        <f>IF($T187=0,"",IF($I187="Bloomberg",IF(AND(ISNUMBER(INDEX('Market Data'!$M$5:$M$528,$T187)),N(INDEX('Market Data'!$M$5:$M$528,$T187))&gt;0),INDEX('Market Data'!$M$5:$M$528,$T187),"date unavailable"),IF($I187="Snapshot",IF(AND(ISNUMBER(INDEX('Market Data'!$H$5:$H$528,$T187)),N(INDEX('Market Data'!$H$5:$H$528,$T187))&gt;0),INDEX('Market Data'!$H$5:$H$528,$T187),"date unavailable"),"date unavailable")))</f>
        <v/>
      </c>
      <c r="H187" s="9">
        <f>IF($T187=0,"",IF($I187="Bloomberg",IF(INDEX('Market Data'!$N$5:$N$528,$T187)="","time unavailable",INDEX('Market Data'!$N$5:$N$528,$T187)),""))</f>
        <v/>
      </c>
      <c r="I187" s="9">
        <f>IF($T187=0,"",INDEX('Market Data'!$P$5:$P$528,$T187))</f>
        <v/>
      </c>
      <c r="J187" s="13">
        <f>IF($T187=0,"",IF(INDEX('Market Data'!$E$5:$E$528,$T187)="","",INDEX('Market Data'!$E$5:$E$528,$T187)))</f>
        <v/>
      </c>
      <c r="K187" s="8">
        <f>IF($T187=0,"",IF(INDEX('Market Data'!$I$5:$I$528,$T187)="","",INDEX('Market Data'!$I$5:$I$528,$T187)))</f>
        <v/>
      </c>
      <c r="L187" s="10">
        <f>IF($T187=0,"",IF(INDEX('Market Data'!$J$5:$J$528,$T187)=0,"n/a",IF(AND($M$5&lt;&gt;"Snapshot",ISNUMBER(INDEX('Market Data'!$AH$5:$AH$66,INDEX('Market Data'!$J$5:$J$528,$T187)-4)),N(INDEX('Market Data'!$AH$5:$AH$66,INDEX('Market Data'!$J$5:$J$528,$T187)-4))&gt;0),INDEX('Market Data'!$AH$5:$AH$66,INDEX('Market Data'!$J$5:$J$528,$T187)-4),IF(AND($M$5&lt;&gt;"Bloomberg",ISNUMBER(INDEX('Market Data'!$AC$5:$AC$66,INDEX('Market Data'!$J$5:$J$528,$T187)-4)),N(INDEX('Market Data'!$AC$5:$AC$66,INDEX('Market Data'!$J$5:$J$528,$T187)-4))&gt;0),INDEX('Market Data'!$AC$5:$AC$66,INDEX('Market Data'!$J$5:$J$528,$T187)-4),"unavailable"))))</f>
        <v/>
      </c>
      <c r="M187" s="11">
        <f>IF($T187=0,"",IF(INDEX('Market Data'!$J$5:$J$528,$T187)=0,"n/a",IF(IF(INDEX('Market Data'!$J$5:$J$528,$T187)=0,0,IF(LEFT(INDEX('Market Data'!$AS$5:$AS$66,INDEX('Market Data'!$J$5:$J$528,$T187)-4),11)="First-month",1,0))=1,"class review",IF($I187="Bloomberg",IF(AND(ISNUMBER(INDEX('Market Data'!$AH$5:$AH$66,INDEX('Market Data'!$J$5:$J$528,$T187)-4)),N(INDEX('Market Data'!$AH$5:$AH$66,INDEX('Market Data'!$J$5:$J$528,$T187)-4))&gt;0,ISNUMBER('Market Data'!$B$1),N('Market Data'!$B$1)&gt;0),INDEX('Market Data'!$AH$5:$AH$66,INDEX('Market Data'!$J$5:$J$528,$T187)-4)*'Market Data'!$B$1/$E187-1,"pending A/FX"),IF(AND($I187="Snapshot",$Q187="Snapshot",ISNUMBER($E187),$G187=INDEX('Market Data'!$AE$5:$AE$66,INDEX('Market Data'!$J$5:$J$528,$T187)-4)),IFERROR(INDEX('Market Data'!$AC$5:$AC$66,INDEX('Market Data'!$J$5:$J$528,$T187)-4)*INDEX('Market Data'!$AD$5:$AD$66,INDEX('Market Data'!$J$5:$J$528,$T187)-4)/$E187-1,"unavailable"),IF($I187="Unavailable","unavailable","date mismatch"))))))</f>
        <v/>
      </c>
      <c r="N187" s="11">
        <f>IF($T187=0,"",IFERROR(IF(AND(N(INDEX('Market Data'!$F$5:$F$528,$T187))&gt;0,ISNUMBER(INDEX('Market Data'!$T$5:$T$528,$T187))),$E187*INDEX('Market Data'!$T$5:$T$528,$T187)/INDEX('Market Data'!$F$5:$F$528,$T187)-1,"unavailable"),"unavailable"))</f>
        <v/>
      </c>
      <c r="O187" s="9">
        <f>IF($T187=0,"",IF(IF(INDEX('Market Data'!$J$5:$J$528,$T187)=0,0,IF(LEFT(INDEX('Market Data'!$AS$5:$AS$66,INDEX('Market Data'!$J$5:$J$528,$T187)-4),11)="First-month",1,0))=1,"Class ratio review",IF($I187="Bloomberg",IF(ISNUMBER($G187),IF($G187&lt;TODAY(),"Older quote","See quote time"),"Date unavailable"),IF($I187="Snapshot",IF($G187&lt;DATEVALUE("2026-10-02"),"Older snapshot","Dated close"),"No valid quote"))))</f>
        <v/>
      </c>
      <c r="P187" s="14">
        <f>IF($T187=0,"",IF(INDEX('Market Data'!$J$5:$J$528,$T187)=0,"n/a",IF($Q187="Bloomberg",IF(AND(ISNUMBER(INDEX('Market Data'!$AK$5:$AK$66,INDEX('Market Data'!$J$5:$J$528,$T187)-4)),N(INDEX('Market Data'!$AK$5:$AK$66,INDEX('Market Data'!$J$5:$J$528,$T187)-4))&gt;0),INDEX('Market Data'!$AK$5:$AK$66,INDEX('Market Data'!$J$5:$J$528,$T187)-4),"date unavailable"),IF($Q187="Snapshot",IF(AND(ISNUMBER(INDEX('Market Data'!$AF$5:$AF$66,INDEX('Market Data'!$J$5:$J$528,$T187)-4)),N(INDEX('Market Data'!$AF$5:$AF$66,INDEX('Market Data'!$J$5:$J$528,$T187)-4))&gt;0),INDEX('Market Data'!$AF$5:$AF$66,INDEX('Market Data'!$J$5:$J$528,$T187)-4),"date unavailable"),"date unavailable"))))</f>
        <v/>
      </c>
      <c r="Q187" s="15">
        <f>IF($T187=0,"",IF(INDEX('Market Data'!$J$5:$J$528,$T187)=0,"n/a",IF(AND($M$5&lt;&gt;"Snapshot",ISNUMBER(INDEX('Market Data'!$AH$5:$AH$66,INDEX('Market Data'!$J$5:$J$528,$T187)-4)),N(INDEX('Market Data'!$AH$5:$AH$66,INDEX('Market Data'!$J$5:$J$528,$T187)-4))&gt;0),"Bloomberg",IF(AND($M$5&lt;&gt;"Bloomberg",ISNUMBER(INDEX('Market Data'!$AC$5:$AC$66,INDEX('Market Data'!$J$5:$J$528,$T187)-4)),N(INDEX('Market Data'!$AC$5:$AC$66,INDEX('Market Data'!$J$5:$J$528,$T187)-4))&gt;0),"Snapshot","Unavailable"))))</f>
        <v/>
      </c>
      <c r="T187">
        <f>IFERROR(MATCH(179,'Market Data'!$S$5:$S$528,0),0)</f>
        <v/>
      </c>
    </row>
    <row r="188" ht="34" customHeight="1">
      <c r="A188" s="8">
        <f>IF($T188=0,"",IF(INDEX('Market Data'!$A$5:$A$528,$T188)="","",INDEX('Market Data'!$A$5:$A$528,$T188)))</f>
        <v/>
      </c>
      <c r="B188" s="9">
        <f>IF($T188=0,"",IF(INDEX('Market Data'!$B$5:$B$528,$T188)="","",INDEX('Market Data'!$B$5:$B$528,$T188)))</f>
        <v/>
      </c>
      <c r="C188" s="9">
        <f>IF($T188=0,"",IF(INDEX('Market Data'!$C$5:$C$528,$T188)="","",INDEX('Market Data'!$C$5:$C$528,$T188)))</f>
        <v/>
      </c>
      <c r="D188" s="9">
        <f>IF($T188=0,"",IF(INDEX('Market Data'!$D$5:$D$528,$T188)="","",INDEX('Market Data'!$D$5:$D$528,$T188)))</f>
        <v/>
      </c>
      <c r="E188" s="10">
        <f>IF($T188=0,"",INDEX('Market Data'!$O$5:$O$528,$T188))</f>
        <v/>
      </c>
      <c r="F188" s="11">
        <f>IF($T188=0,"",IF(AND($I188="Bloomberg",ISNUMBER(INDEX('Market Data'!$L$5:$L$528,$T188))),INDEX('Market Data'!$L$5:$L$528,$T188),"unavailable"))</f>
        <v/>
      </c>
      <c r="G188" s="12">
        <f>IF($T188=0,"",IF($I188="Bloomberg",IF(AND(ISNUMBER(INDEX('Market Data'!$M$5:$M$528,$T188)),N(INDEX('Market Data'!$M$5:$M$528,$T188))&gt;0),INDEX('Market Data'!$M$5:$M$528,$T188),"date unavailable"),IF($I188="Snapshot",IF(AND(ISNUMBER(INDEX('Market Data'!$H$5:$H$528,$T188)),N(INDEX('Market Data'!$H$5:$H$528,$T188))&gt;0),INDEX('Market Data'!$H$5:$H$528,$T188),"date unavailable"),"date unavailable")))</f>
        <v/>
      </c>
      <c r="H188" s="9">
        <f>IF($T188=0,"",IF($I188="Bloomberg",IF(INDEX('Market Data'!$N$5:$N$528,$T188)="","time unavailable",INDEX('Market Data'!$N$5:$N$528,$T188)),""))</f>
        <v/>
      </c>
      <c r="I188" s="9">
        <f>IF($T188=0,"",INDEX('Market Data'!$P$5:$P$528,$T188))</f>
        <v/>
      </c>
      <c r="J188" s="13">
        <f>IF($T188=0,"",IF(INDEX('Market Data'!$E$5:$E$528,$T188)="","",INDEX('Market Data'!$E$5:$E$528,$T188)))</f>
        <v/>
      </c>
      <c r="K188" s="8">
        <f>IF($T188=0,"",IF(INDEX('Market Data'!$I$5:$I$528,$T188)="","",INDEX('Market Data'!$I$5:$I$528,$T188)))</f>
        <v/>
      </c>
      <c r="L188" s="10">
        <f>IF($T188=0,"",IF(INDEX('Market Data'!$J$5:$J$528,$T188)=0,"n/a",IF(AND($M$5&lt;&gt;"Snapshot",ISNUMBER(INDEX('Market Data'!$AH$5:$AH$66,INDEX('Market Data'!$J$5:$J$528,$T188)-4)),N(INDEX('Market Data'!$AH$5:$AH$66,INDEX('Market Data'!$J$5:$J$528,$T188)-4))&gt;0),INDEX('Market Data'!$AH$5:$AH$66,INDEX('Market Data'!$J$5:$J$528,$T188)-4),IF(AND($M$5&lt;&gt;"Bloomberg",ISNUMBER(INDEX('Market Data'!$AC$5:$AC$66,INDEX('Market Data'!$J$5:$J$528,$T188)-4)),N(INDEX('Market Data'!$AC$5:$AC$66,INDEX('Market Data'!$J$5:$J$528,$T188)-4))&gt;0),INDEX('Market Data'!$AC$5:$AC$66,INDEX('Market Data'!$J$5:$J$528,$T188)-4),"unavailable"))))</f>
        <v/>
      </c>
      <c r="M188" s="11">
        <f>IF($T188=0,"",IF(INDEX('Market Data'!$J$5:$J$528,$T188)=0,"n/a",IF(IF(INDEX('Market Data'!$J$5:$J$528,$T188)=0,0,IF(LEFT(INDEX('Market Data'!$AS$5:$AS$66,INDEX('Market Data'!$J$5:$J$528,$T188)-4),11)="First-month",1,0))=1,"class review",IF($I188="Bloomberg",IF(AND(ISNUMBER(INDEX('Market Data'!$AH$5:$AH$66,INDEX('Market Data'!$J$5:$J$528,$T188)-4)),N(INDEX('Market Data'!$AH$5:$AH$66,INDEX('Market Data'!$J$5:$J$528,$T188)-4))&gt;0,ISNUMBER('Market Data'!$B$1),N('Market Data'!$B$1)&gt;0),INDEX('Market Data'!$AH$5:$AH$66,INDEX('Market Data'!$J$5:$J$528,$T188)-4)*'Market Data'!$B$1/$E188-1,"pending A/FX"),IF(AND($I188="Snapshot",$Q188="Snapshot",ISNUMBER($E188),$G188=INDEX('Market Data'!$AE$5:$AE$66,INDEX('Market Data'!$J$5:$J$528,$T188)-4)),IFERROR(INDEX('Market Data'!$AC$5:$AC$66,INDEX('Market Data'!$J$5:$J$528,$T188)-4)*INDEX('Market Data'!$AD$5:$AD$66,INDEX('Market Data'!$J$5:$J$528,$T188)-4)/$E188-1,"unavailable"),IF($I188="Unavailable","unavailable","date mismatch"))))))</f>
        <v/>
      </c>
      <c r="N188" s="11">
        <f>IF($T188=0,"",IFERROR(IF(AND(N(INDEX('Market Data'!$F$5:$F$528,$T188))&gt;0,ISNUMBER(INDEX('Market Data'!$T$5:$T$528,$T188))),$E188*INDEX('Market Data'!$T$5:$T$528,$T188)/INDEX('Market Data'!$F$5:$F$528,$T188)-1,"unavailable"),"unavailable"))</f>
        <v/>
      </c>
      <c r="O188" s="9">
        <f>IF($T188=0,"",IF(IF(INDEX('Market Data'!$J$5:$J$528,$T188)=0,0,IF(LEFT(INDEX('Market Data'!$AS$5:$AS$66,INDEX('Market Data'!$J$5:$J$528,$T188)-4),11)="First-month",1,0))=1,"Class ratio review",IF($I188="Bloomberg",IF(ISNUMBER($G188),IF($G188&lt;TODAY(),"Older quote","See quote time"),"Date unavailable"),IF($I188="Snapshot",IF($G188&lt;DATEVALUE("2026-10-02"),"Older snapshot","Dated close"),"No valid quote"))))</f>
        <v/>
      </c>
      <c r="P188" s="14">
        <f>IF($T188=0,"",IF(INDEX('Market Data'!$J$5:$J$528,$T188)=0,"n/a",IF($Q188="Bloomberg",IF(AND(ISNUMBER(INDEX('Market Data'!$AK$5:$AK$66,INDEX('Market Data'!$J$5:$J$528,$T188)-4)),N(INDEX('Market Data'!$AK$5:$AK$66,INDEX('Market Data'!$J$5:$J$528,$T188)-4))&gt;0),INDEX('Market Data'!$AK$5:$AK$66,INDEX('Market Data'!$J$5:$J$528,$T188)-4),"date unavailable"),IF($Q188="Snapshot",IF(AND(ISNUMBER(INDEX('Market Data'!$AF$5:$AF$66,INDEX('Market Data'!$J$5:$J$528,$T188)-4)),N(INDEX('Market Data'!$AF$5:$AF$66,INDEX('Market Data'!$J$5:$J$528,$T188)-4))&gt;0),INDEX('Market Data'!$AF$5:$AF$66,INDEX('Market Data'!$J$5:$J$528,$T188)-4),"date unavailable"),"date unavailable"))))</f>
        <v/>
      </c>
      <c r="Q188" s="15">
        <f>IF($T188=0,"",IF(INDEX('Market Data'!$J$5:$J$528,$T188)=0,"n/a",IF(AND($M$5&lt;&gt;"Snapshot",ISNUMBER(INDEX('Market Data'!$AH$5:$AH$66,INDEX('Market Data'!$J$5:$J$528,$T188)-4)),N(INDEX('Market Data'!$AH$5:$AH$66,INDEX('Market Data'!$J$5:$J$528,$T188)-4))&gt;0),"Bloomberg",IF(AND($M$5&lt;&gt;"Bloomberg",ISNUMBER(INDEX('Market Data'!$AC$5:$AC$66,INDEX('Market Data'!$J$5:$J$528,$T188)-4)),N(INDEX('Market Data'!$AC$5:$AC$66,INDEX('Market Data'!$J$5:$J$528,$T188)-4))&gt;0),"Snapshot","Unavailable"))))</f>
        <v/>
      </c>
      <c r="T188">
        <f>IFERROR(MATCH(180,'Market Data'!$S$5:$S$528,0),0)</f>
        <v/>
      </c>
    </row>
    <row r="189" ht="34" customHeight="1">
      <c r="A189" s="8">
        <f>IF($T189=0,"",IF(INDEX('Market Data'!$A$5:$A$528,$T189)="","",INDEX('Market Data'!$A$5:$A$528,$T189)))</f>
        <v/>
      </c>
      <c r="B189" s="9">
        <f>IF($T189=0,"",IF(INDEX('Market Data'!$B$5:$B$528,$T189)="","",INDEX('Market Data'!$B$5:$B$528,$T189)))</f>
        <v/>
      </c>
      <c r="C189" s="9">
        <f>IF($T189=0,"",IF(INDEX('Market Data'!$C$5:$C$528,$T189)="","",INDEX('Market Data'!$C$5:$C$528,$T189)))</f>
        <v/>
      </c>
      <c r="D189" s="9">
        <f>IF($T189=0,"",IF(INDEX('Market Data'!$D$5:$D$528,$T189)="","",INDEX('Market Data'!$D$5:$D$528,$T189)))</f>
        <v/>
      </c>
      <c r="E189" s="10">
        <f>IF($T189=0,"",INDEX('Market Data'!$O$5:$O$528,$T189))</f>
        <v/>
      </c>
      <c r="F189" s="11">
        <f>IF($T189=0,"",IF(AND($I189="Bloomberg",ISNUMBER(INDEX('Market Data'!$L$5:$L$528,$T189))),INDEX('Market Data'!$L$5:$L$528,$T189),"unavailable"))</f>
        <v/>
      </c>
      <c r="G189" s="12">
        <f>IF($T189=0,"",IF($I189="Bloomberg",IF(AND(ISNUMBER(INDEX('Market Data'!$M$5:$M$528,$T189)),N(INDEX('Market Data'!$M$5:$M$528,$T189))&gt;0),INDEX('Market Data'!$M$5:$M$528,$T189),"date unavailable"),IF($I189="Snapshot",IF(AND(ISNUMBER(INDEX('Market Data'!$H$5:$H$528,$T189)),N(INDEX('Market Data'!$H$5:$H$528,$T189))&gt;0),INDEX('Market Data'!$H$5:$H$528,$T189),"date unavailable"),"date unavailable")))</f>
        <v/>
      </c>
      <c r="H189" s="9">
        <f>IF($T189=0,"",IF($I189="Bloomberg",IF(INDEX('Market Data'!$N$5:$N$528,$T189)="","time unavailable",INDEX('Market Data'!$N$5:$N$528,$T189)),""))</f>
        <v/>
      </c>
      <c r="I189" s="9">
        <f>IF($T189=0,"",INDEX('Market Data'!$P$5:$P$528,$T189))</f>
        <v/>
      </c>
      <c r="J189" s="13">
        <f>IF($T189=0,"",IF(INDEX('Market Data'!$E$5:$E$528,$T189)="","",INDEX('Market Data'!$E$5:$E$528,$T189)))</f>
        <v/>
      </c>
      <c r="K189" s="8">
        <f>IF($T189=0,"",IF(INDEX('Market Data'!$I$5:$I$528,$T189)="","",INDEX('Market Data'!$I$5:$I$528,$T189)))</f>
        <v/>
      </c>
      <c r="L189" s="10">
        <f>IF($T189=0,"",IF(INDEX('Market Data'!$J$5:$J$528,$T189)=0,"n/a",IF(AND($M$5&lt;&gt;"Snapshot",ISNUMBER(INDEX('Market Data'!$AH$5:$AH$66,INDEX('Market Data'!$J$5:$J$528,$T189)-4)),N(INDEX('Market Data'!$AH$5:$AH$66,INDEX('Market Data'!$J$5:$J$528,$T189)-4))&gt;0),INDEX('Market Data'!$AH$5:$AH$66,INDEX('Market Data'!$J$5:$J$528,$T189)-4),IF(AND($M$5&lt;&gt;"Bloomberg",ISNUMBER(INDEX('Market Data'!$AC$5:$AC$66,INDEX('Market Data'!$J$5:$J$528,$T189)-4)),N(INDEX('Market Data'!$AC$5:$AC$66,INDEX('Market Data'!$J$5:$J$528,$T189)-4))&gt;0),INDEX('Market Data'!$AC$5:$AC$66,INDEX('Market Data'!$J$5:$J$528,$T189)-4),"unavailable"))))</f>
        <v/>
      </c>
      <c r="M189" s="11">
        <f>IF($T189=0,"",IF(INDEX('Market Data'!$J$5:$J$528,$T189)=0,"n/a",IF(IF(INDEX('Market Data'!$J$5:$J$528,$T189)=0,0,IF(LEFT(INDEX('Market Data'!$AS$5:$AS$66,INDEX('Market Data'!$J$5:$J$528,$T189)-4),11)="First-month",1,0))=1,"class review",IF($I189="Bloomberg",IF(AND(ISNUMBER(INDEX('Market Data'!$AH$5:$AH$66,INDEX('Market Data'!$J$5:$J$528,$T189)-4)),N(INDEX('Market Data'!$AH$5:$AH$66,INDEX('Market Data'!$J$5:$J$528,$T189)-4))&gt;0,ISNUMBER('Market Data'!$B$1),N('Market Data'!$B$1)&gt;0),INDEX('Market Data'!$AH$5:$AH$66,INDEX('Market Data'!$J$5:$J$528,$T189)-4)*'Market Data'!$B$1/$E189-1,"pending A/FX"),IF(AND($I189="Snapshot",$Q189="Snapshot",ISNUMBER($E189),$G189=INDEX('Market Data'!$AE$5:$AE$66,INDEX('Market Data'!$J$5:$J$528,$T189)-4)),IFERROR(INDEX('Market Data'!$AC$5:$AC$66,INDEX('Market Data'!$J$5:$J$528,$T189)-4)*INDEX('Market Data'!$AD$5:$AD$66,INDEX('Market Data'!$J$5:$J$528,$T189)-4)/$E189-1,"unavailable"),IF($I189="Unavailable","unavailable","date mismatch"))))))</f>
        <v/>
      </c>
      <c r="N189" s="11">
        <f>IF($T189=0,"",IFERROR(IF(AND(N(INDEX('Market Data'!$F$5:$F$528,$T189))&gt;0,ISNUMBER(INDEX('Market Data'!$T$5:$T$528,$T189))),$E189*INDEX('Market Data'!$T$5:$T$528,$T189)/INDEX('Market Data'!$F$5:$F$528,$T189)-1,"unavailable"),"unavailable"))</f>
        <v/>
      </c>
      <c r="O189" s="9">
        <f>IF($T189=0,"",IF(IF(INDEX('Market Data'!$J$5:$J$528,$T189)=0,0,IF(LEFT(INDEX('Market Data'!$AS$5:$AS$66,INDEX('Market Data'!$J$5:$J$528,$T189)-4),11)="First-month",1,0))=1,"Class ratio review",IF($I189="Bloomberg",IF(ISNUMBER($G189),IF($G189&lt;TODAY(),"Older quote","See quote time"),"Date unavailable"),IF($I189="Snapshot",IF($G189&lt;DATEVALUE("2026-10-02"),"Older snapshot","Dated close"),"No valid quote"))))</f>
        <v/>
      </c>
      <c r="P189" s="14">
        <f>IF($T189=0,"",IF(INDEX('Market Data'!$J$5:$J$528,$T189)=0,"n/a",IF($Q189="Bloomberg",IF(AND(ISNUMBER(INDEX('Market Data'!$AK$5:$AK$66,INDEX('Market Data'!$J$5:$J$528,$T189)-4)),N(INDEX('Market Data'!$AK$5:$AK$66,INDEX('Market Data'!$J$5:$J$528,$T189)-4))&gt;0),INDEX('Market Data'!$AK$5:$AK$66,INDEX('Market Data'!$J$5:$J$528,$T189)-4),"date unavailable"),IF($Q189="Snapshot",IF(AND(ISNUMBER(INDEX('Market Data'!$AF$5:$AF$66,INDEX('Market Data'!$J$5:$J$528,$T189)-4)),N(INDEX('Market Data'!$AF$5:$AF$66,INDEX('Market Data'!$J$5:$J$528,$T189)-4))&gt;0),INDEX('Market Data'!$AF$5:$AF$66,INDEX('Market Data'!$J$5:$J$528,$T189)-4),"date unavailable"),"date unavailable"))))</f>
        <v/>
      </c>
      <c r="Q189" s="15">
        <f>IF($T189=0,"",IF(INDEX('Market Data'!$J$5:$J$528,$T189)=0,"n/a",IF(AND($M$5&lt;&gt;"Snapshot",ISNUMBER(INDEX('Market Data'!$AH$5:$AH$66,INDEX('Market Data'!$J$5:$J$528,$T189)-4)),N(INDEX('Market Data'!$AH$5:$AH$66,INDEX('Market Data'!$J$5:$J$528,$T189)-4))&gt;0),"Bloomberg",IF(AND($M$5&lt;&gt;"Bloomberg",ISNUMBER(INDEX('Market Data'!$AC$5:$AC$66,INDEX('Market Data'!$J$5:$J$528,$T189)-4)),N(INDEX('Market Data'!$AC$5:$AC$66,INDEX('Market Data'!$J$5:$J$528,$T189)-4))&gt;0),"Snapshot","Unavailable"))))</f>
        <v/>
      </c>
      <c r="T189">
        <f>IFERROR(MATCH(181,'Market Data'!$S$5:$S$528,0),0)</f>
        <v/>
      </c>
    </row>
    <row r="190" ht="34" customHeight="1">
      <c r="A190" s="8">
        <f>IF($T190=0,"",IF(INDEX('Market Data'!$A$5:$A$528,$T190)="","",INDEX('Market Data'!$A$5:$A$528,$T190)))</f>
        <v/>
      </c>
      <c r="B190" s="9">
        <f>IF($T190=0,"",IF(INDEX('Market Data'!$B$5:$B$528,$T190)="","",INDEX('Market Data'!$B$5:$B$528,$T190)))</f>
        <v/>
      </c>
      <c r="C190" s="9">
        <f>IF($T190=0,"",IF(INDEX('Market Data'!$C$5:$C$528,$T190)="","",INDEX('Market Data'!$C$5:$C$528,$T190)))</f>
        <v/>
      </c>
      <c r="D190" s="9">
        <f>IF($T190=0,"",IF(INDEX('Market Data'!$D$5:$D$528,$T190)="","",INDEX('Market Data'!$D$5:$D$528,$T190)))</f>
        <v/>
      </c>
      <c r="E190" s="10">
        <f>IF($T190=0,"",INDEX('Market Data'!$O$5:$O$528,$T190))</f>
        <v/>
      </c>
      <c r="F190" s="11">
        <f>IF($T190=0,"",IF(AND($I190="Bloomberg",ISNUMBER(INDEX('Market Data'!$L$5:$L$528,$T190))),INDEX('Market Data'!$L$5:$L$528,$T190),"unavailable"))</f>
        <v/>
      </c>
      <c r="G190" s="12">
        <f>IF($T190=0,"",IF($I190="Bloomberg",IF(AND(ISNUMBER(INDEX('Market Data'!$M$5:$M$528,$T190)),N(INDEX('Market Data'!$M$5:$M$528,$T190))&gt;0),INDEX('Market Data'!$M$5:$M$528,$T190),"date unavailable"),IF($I190="Snapshot",IF(AND(ISNUMBER(INDEX('Market Data'!$H$5:$H$528,$T190)),N(INDEX('Market Data'!$H$5:$H$528,$T190))&gt;0),INDEX('Market Data'!$H$5:$H$528,$T190),"date unavailable"),"date unavailable")))</f>
        <v/>
      </c>
      <c r="H190" s="9">
        <f>IF($T190=0,"",IF($I190="Bloomberg",IF(INDEX('Market Data'!$N$5:$N$528,$T190)="","time unavailable",INDEX('Market Data'!$N$5:$N$528,$T190)),""))</f>
        <v/>
      </c>
      <c r="I190" s="9">
        <f>IF($T190=0,"",INDEX('Market Data'!$P$5:$P$528,$T190))</f>
        <v/>
      </c>
      <c r="J190" s="13">
        <f>IF($T190=0,"",IF(INDEX('Market Data'!$E$5:$E$528,$T190)="","",INDEX('Market Data'!$E$5:$E$528,$T190)))</f>
        <v/>
      </c>
      <c r="K190" s="8">
        <f>IF($T190=0,"",IF(INDEX('Market Data'!$I$5:$I$528,$T190)="","",INDEX('Market Data'!$I$5:$I$528,$T190)))</f>
        <v/>
      </c>
      <c r="L190" s="10">
        <f>IF($T190=0,"",IF(INDEX('Market Data'!$J$5:$J$528,$T190)=0,"n/a",IF(AND($M$5&lt;&gt;"Snapshot",ISNUMBER(INDEX('Market Data'!$AH$5:$AH$66,INDEX('Market Data'!$J$5:$J$528,$T190)-4)),N(INDEX('Market Data'!$AH$5:$AH$66,INDEX('Market Data'!$J$5:$J$528,$T190)-4))&gt;0),INDEX('Market Data'!$AH$5:$AH$66,INDEX('Market Data'!$J$5:$J$528,$T190)-4),IF(AND($M$5&lt;&gt;"Bloomberg",ISNUMBER(INDEX('Market Data'!$AC$5:$AC$66,INDEX('Market Data'!$J$5:$J$528,$T190)-4)),N(INDEX('Market Data'!$AC$5:$AC$66,INDEX('Market Data'!$J$5:$J$528,$T190)-4))&gt;0),INDEX('Market Data'!$AC$5:$AC$66,INDEX('Market Data'!$J$5:$J$528,$T190)-4),"unavailable"))))</f>
        <v/>
      </c>
      <c r="M190" s="11">
        <f>IF($T190=0,"",IF(INDEX('Market Data'!$J$5:$J$528,$T190)=0,"n/a",IF(IF(INDEX('Market Data'!$J$5:$J$528,$T190)=0,0,IF(LEFT(INDEX('Market Data'!$AS$5:$AS$66,INDEX('Market Data'!$J$5:$J$528,$T190)-4),11)="First-month",1,0))=1,"class review",IF($I190="Bloomberg",IF(AND(ISNUMBER(INDEX('Market Data'!$AH$5:$AH$66,INDEX('Market Data'!$J$5:$J$528,$T190)-4)),N(INDEX('Market Data'!$AH$5:$AH$66,INDEX('Market Data'!$J$5:$J$528,$T190)-4))&gt;0,ISNUMBER('Market Data'!$B$1),N('Market Data'!$B$1)&gt;0),INDEX('Market Data'!$AH$5:$AH$66,INDEX('Market Data'!$J$5:$J$528,$T190)-4)*'Market Data'!$B$1/$E190-1,"pending A/FX"),IF(AND($I190="Snapshot",$Q190="Snapshot",ISNUMBER($E190),$G190=INDEX('Market Data'!$AE$5:$AE$66,INDEX('Market Data'!$J$5:$J$528,$T190)-4)),IFERROR(INDEX('Market Data'!$AC$5:$AC$66,INDEX('Market Data'!$J$5:$J$528,$T190)-4)*INDEX('Market Data'!$AD$5:$AD$66,INDEX('Market Data'!$J$5:$J$528,$T190)-4)/$E190-1,"unavailable"),IF($I190="Unavailable","unavailable","date mismatch"))))))</f>
        <v/>
      </c>
      <c r="N190" s="11">
        <f>IF($T190=0,"",IFERROR(IF(AND(N(INDEX('Market Data'!$F$5:$F$528,$T190))&gt;0,ISNUMBER(INDEX('Market Data'!$T$5:$T$528,$T190))),$E190*INDEX('Market Data'!$T$5:$T$528,$T190)/INDEX('Market Data'!$F$5:$F$528,$T190)-1,"unavailable"),"unavailable"))</f>
        <v/>
      </c>
      <c r="O190" s="9">
        <f>IF($T190=0,"",IF(IF(INDEX('Market Data'!$J$5:$J$528,$T190)=0,0,IF(LEFT(INDEX('Market Data'!$AS$5:$AS$66,INDEX('Market Data'!$J$5:$J$528,$T190)-4),11)="First-month",1,0))=1,"Class ratio review",IF($I190="Bloomberg",IF(ISNUMBER($G190),IF($G190&lt;TODAY(),"Older quote","See quote time"),"Date unavailable"),IF($I190="Snapshot",IF($G190&lt;DATEVALUE("2026-10-02"),"Older snapshot","Dated close"),"No valid quote"))))</f>
        <v/>
      </c>
      <c r="P190" s="14">
        <f>IF($T190=0,"",IF(INDEX('Market Data'!$J$5:$J$528,$T190)=0,"n/a",IF($Q190="Bloomberg",IF(AND(ISNUMBER(INDEX('Market Data'!$AK$5:$AK$66,INDEX('Market Data'!$J$5:$J$528,$T190)-4)),N(INDEX('Market Data'!$AK$5:$AK$66,INDEX('Market Data'!$J$5:$J$528,$T190)-4))&gt;0),INDEX('Market Data'!$AK$5:$AK$66,INDEX('Market Data'!$J$5:$J$528,$T190)-4),"date unavailable"),IF($Q190="Snapshot",IF(AND(ISNUMBER(INDEX('Market Data'!$AF$5:$AF$66,INDEX('Market Data'!$J$5:$J$528,$T190)-4)),N(INDEX('Market Data'!$AF$5:$AF$66,INDEX('Market Data'!$J$5:$J$528,$T190)-4))&gt;0),INDEX('Market Data'!$AF$5:$AF$66,INDEX('Market Data'!$J$5:$J$528,$T190)-4),"date unavailable"),"date unavailable"))))</f>
        <v/>
      </c>
      <c r="Q190" s="15">
        <f>IF($T190=0,"",IF(INDEX('Market Data'!$J$5:$J$528,$T190)=0,"n/a",IF(AND($M$5&lt;&gt;"Snapshot",ISNUMBER(INDEX('Market Data'!$AH$5:$AH$66,INDEX('Market Data'!$J$5:$J$528,$T190)-4)),N(INDEX('Market Data'!$AH$5:$AH$66,INDEX('Market Data'!$J$5:$J$528,$T190)-4))&gt;0),"Bloomberg",IF(AND($M$5&lt;&gt;"Bloomberg",ISNUMBER(INDEX('Market Data'!$AC$5:$AC$66,INDEX('Market Data'!$J$5:$J$528,$T190)-4)),N(INDEX('Market Data'!$AC$5:$AC$66,INDEX('Market Data'!$J$5:$J$528,$T190)-4))&gt;0),"Snapshot","Unavailable"))))</f>
        <v/>
      </c>
      <c r="T190">
        <f>IFERROR(MATCH(182,'Market Data'!$S$5:$S$528,0),0)</f>
        <v/>
      </c>
    </row>
    <row r="191" ht="34" customHeight="1">
      <c r="A191" s="8">
        <f>IF($T191=0,"",IF(INDEX('Market Data'!$A$5:$A$528,$T191)="","",INDEX('Market Data'!$A$5:$A$528,$T191)))</f>
        <v/>
      </c>
      <c r="B191" s="9">
        <f>IF($T191=0,"",IF(INDEX('Market Data'!$B$5:$B$528,$T191)="","",INDEX('Market Data'!$B$5:$B$528,$T191)))</f>
        <v/>
      </c>
      <c r="C191" s="9">
        <f>IF($T191=0,"",IF(INDEX('Market Data'!$C$5:$C$528,$T191)="","",INDEX('Market Data'!$C$5:$C$528,$T191)))</f>
        <v/>
      </c>
      <c r="D191" s="9">
        <f>IF($T191=0,"",IF(INDEX('Market Data'!$D$5:$D$528,$T191)="","",INDEX('Market Data'!$D$5:$D$528,$T191)))</f>
        <v/>
      </c>
      <c r="E191" s="10">
        <f>IF($T191=0,"",INDEX('Market Data'!$O$5:$O$528,$T191))</f>
        <v/>
      </c>
      <c r="F191" s="11">
        <f>IF($T191=0,"",IF(AND($I191="Bloomberg",ISNUMBER(INDEX('Market Data'!$L$5:$L$528,$T191))),INDEX('Market Data'!$L$5:$L$528,$T191),"unavailable"))</f>
        <v/>
      </c>
      <c r="G191" s="12">
        <f>IF($T191=0,"",IF($I191="Bloomberg",IF(AND(ISNUMBER(INDEX('Market Data'!$M$5:$M$528,$T191)),N(INDEX('Market Data'!$M$5:$M$528,$T191))&gt;0),INDEX('Market Data'!$M$5:$M$528,$T191),"date unavailable"),IF($I191="Snapshot",IF(AND(ISNUMBER(INDEX('Market Data'!$H$5:$H$528,$T191)),N(INDEX('Market Data'!$H$5:$H$528,$T191))&gt;0),INDEX('Market Data'!$H$5:$H$528,$T191),"date unavailable"),"date unavailable")))</f>
        <v/>
      </c>
      <c r="H191" s="9">
        <f>IF($T191=0,"",IF($I191="Bloomberg",IF(INDEX('Market Data'!$N$5:$N$528,$T191)="","time unavailable",INDEX('Market Data'!$N$5:$N$528,$T191)),""))</f>
        <v/>
      </c>
      <c r="I191" s="9">
        <f>IF($T191=0,"",INDEX('Market Data'!$P$5:$P$528,$T191))</f>
        <v/>
      </c>
      <c r="J191" s="13">
        <f>IF($T191=0,"",IF(INDEX('Market Data'!$E$5:$E$528,$T191)="","",INDEX('Market Data'!$E$5:$E$528,$T191)))</f>
        <v/>
      </c>
      <c r="K191" s="8">
        <f>IF($T191=0,"",IF(INDEX('Market Data'!$I$5:$I$528,$T191)="","",INDEX('Market Data'!$I$5:$I$528,$T191)))</f>
        <v/>
      </c>
      <c r="L191" s="10">
        <f>IF($T191=0,"",IF(INDEX('Market Data'!$J$5:$J$528,$T191)=0,"n/a",IF(AND($M$5&lt;&gt;"Snapshot",ISNUMBER(INDEX('Market Data'!$AH$5:$AH$66,INDEX('Market Data'!$J$5:$J$528,$T191)-4)),N(INDEX('Market Data'!$AH$5:$AH$66,INDEX('Market Data'!$J$5:$J$528,$T191)-4))&gt;0),INDEX('Market Data'!$AH$5:$AH$66,INDEX('Market Data'!$J$5:$J$528,$T191)-4),IF(AND($M$5&lt;&gt;"Bloomberg",ISNUMBER(INDEX('Market Data'!$AC$5:$AC$66,INDEX('Market Data'!$J$5:$J$528,$T191)-4)),N(INDEX('Market Data'!$AC$5:$AC$66,INDEX('Market Data'!$J$5:$J$528,$T191)-4))&gt;0),INDEX('Market Data'!$AC$5:$AC$66,INDEX('Market Data'!$J$5:$J$528,$T191)-4),"unavailable"))))</f>
        <v/>
      </c>
      <c r="M191" s="11">
        <f>IF($T191=0,"",IF(INDEX('Market Data'!$J$5:$J$528,$T191)=0,"n/a",IF(IF(INDEX('Market Data'!$J$5:$J$528,$T191)=0,0,IF(LEFT(INDEX('Market Data'!$AS$5:$AS$66,INDEX('Market Data'!$J$5:$J$528,$T191)-4),11)="First-month",1,0))=1,"class review",IF($I191="Bloomberg",IF(AND(ISNUMBER(INDEX('Market Data'!$AH$5:$AH$66,INDEX('Market Data'!$J$5:$J$528,$T191)-4)),N(INDEX('Market Data'!$AH$5:$AH$66,INDEX('Market Data'!$J$5:$J$528,$T191)-4))&gt;0,ISNUMBER('Market Data'!$B$1),N('Market Data'!$B$1)&gt;0),INDEX('Market Data'!$AH$5:$AH$66,INDEX('Market Data'!$J$5:$J$528,$T191)-4)*'Market Data'!$B$1/$E191-1,"pending A/FX"),IF(AND($I191="Snapshot",$Q191="Snapshot",ISNUMBER($E191),$G191=INDEX('Market Data'!$AE$5:$AE$66,INDEX('Market Data'!$J$5:$J$528,$T191)-4)),IFERROR(INDEX('Market Data'!$AC$5:$AC$66,INDEX('Market Data'!$J$5:$J$528,$T191)-4)*INDEX('Market Data'!$AD$5:$AD$66,INDEX('Market Data'!$J$5:$J$528,$T191)-4)/$E191-1,"unavailable"),IF($I191="Unavailable","unavailable","date mismatch"))))))</f>
        <v/>
      </c>
      <c r="N191" s="11">
        <f>IF($T191=0,"",IFERROR(IF(AND(N(INDEX('Market Data'!$F$5:$F$528,$T191))&gt;0,ISNUMBER(INDEX('Market Data'!$T$5:$T$528,$T191))),$E191*INDEX('Market Data'!$T$5:$T$528,$T191)/INDEX('Market Data'!$F$5:$F$528,$T191)-1,"unavailable"),"unavailable"))</f>
        <v/>
      </c>
      <c r="O191" s="9">
        <f>IF($T191=0,"",IF(IF(INDEX('Market Data'!$J$5:$J$528,$T191)=0,0,IF(LEFT(INDEX('Market Data'!$AS$5:$AS$66,INDEX('Market Data'!$J$5:$J$528,$T191)-4),11)="First-month",1,0))=1,"Class ratio review",IF($I191="Bloomberg",IF(ISNUMBER($G191),IF($G191&lt;TODAY(),"Older quote","See quote time"),"Date unavailable"),IF($I191="Snapshot",IF($G191&lt;DATEVALUE("2026-10-02"),"Older snapshot","Dated close"),"No valid quote"))))</f>
        <v/>
      </c>
      <c r="P191" s="14">
        <f>IF($T191=0,"",IF(INDEX('Market Data'!$J$5:$J$528,$T191)=0,"n/a",IF($Q191="Bloomberg",IF(AND(ISNUMBER(INDEX('Market Data'!$AK$5:$AK$66,INDEX('Market Data'!$J$5:$J$528,$T191)-4)),N(INDEX('Market Data'!$AK$5:$AK$66,INDEX('Market Data'!$J$5:$J$528,$T191)-4))&gt;0),INDEX('Market Data'!$AK$5:$AK$66,INDEX('Market Data'!$J$5:$J$528,$T191)-4),"date unavailable"),IF($Q191="Snapshot",IF(AND(ISNUMBER(INDEX('Market Data'!$AF$5:$AF$66,INDEX('Market Data'!$J$5:$J$528,$T191)-4)),N(INDEX('Market Data'!$AF$5:$AF$66,INDEX('Market Data'!$J$5:$J$528,$T191)-4))&gt;0),INDEX('Market Data'!$AF$5:$AF$66,INDEX('Market Data'!$J$5:$J$528,$T191)-4),"date unavailable"),"date unavailable"))))</f>
        <v/>
      </c>
      <c r="Q191" s="15">
        <f>IF($T191=0,"",IF(INDEX('Market Data'!$J$5:$J$528,$T191)=0,"n/a",IF(AND($M$5&lt;&gt;"Snapshot",ISNUMBER(INDEX('Market Data'!$AH$5:$AH$66,INDEX('Market Data'!$J$5:$J$528,$T191)-4)),N(INDEX('Market Data'!$AH$5:$AH$66,INDEX('Market Data'!$J$5:$J$528,$T191)-4))&gt;0),"Bloomberg",IF(AND($M$5&lt;&gt;"Bloomberg",ISNUMBER(INDEX('Market Data'!$AC$5:$AC$66,INDEX('Market Data'!$J$5:$J$528,$T191)-4)),N(INDEX('Market Data'!$AC$5:$AC$66,INDEX('Market Data'!$J$5:$J$528,$T191)-4))&gt;0),"Snapshot","Unavailable"))))</f>
        <v/>
      </c>
      <c r="T191">
        <f>IFERROR(MATCH(183,'Market Data'!$S$5:$S$528,0),0)</f>
        <v/>
      </c>
    </row>
    <row r="192" ht="34" customHeight="1">
      <c r="A192" s="8">
        <f>IF($T192=0,"",IF(INDEX('Market Data'!$A$5:$A$528,$T192)="","",INDEX('Market Data'!$A$5:$A$528,$T192)))</f>
        <v/>
      </c>
      <c r="B192" s="9">
        <f>IF($T192=0,"",IF(INDEX('Market Data'!$B$5:$B$528,$T192)="","",INDEX('Market Data'!$B$5:$B$528,$T192)))</f>
        <v/>
      </c>
      <c r="C192" s="9">
        <f>IF($T192=0,"",IF(INDEX('Market Data'!$C$5:$C$528,$T192)="","",INDEX('Market Data'!$C$5:$C$528,$T192)))</f>
        <v/>
      </c>
      <c r="D192" s="9">
        <f>IF($T192=0,"",IF(INDEX('Market Data'!$D$5:$D$528,$T192)="","",INDEX('Market Data'!$D$5:$D$528,$T192)))</f>
        <v/>
      </c>
      <c r="E192" s="10">
        <f>IF($T192=0,"",INDEX('Market Data'!$O$5:$O$528,$T192))</f>
        <v/>
      </c>
      <c r="F192" s="11">
        <f>IF($T192=0,"",IF(AND($I192="Bloomberg",ISNUMBER(INDEX('Market Data'!$L$5:$L$528,$T192))),INDEX('Market Data'!$L$5:$L$528,$T192),"unavailable"))</f>
        <v/>
      </c>
      <c r="G192" s="12">
        <f>IF($T192=0,"",IF($I192="Bloomberg",IF(AND(ISNUMBER(INDEX('Market Data'!$M$5:$M$528,$T192)),N(INDEX('Market Data'!$M$5:$M$528,$T192))&gt;0),INDEX('Market Data'!$M$5:$M$528,$T192),"date unavailable"),IF($I192="Snapshot",IF(AND(ISNUMBER(INDEX('Market Data'!$H$5:$H$528,$T192)),N(INDEX('Market Data'!$H$5:$H$528,$T192))&gt;0),INDEX('Market Data'!$H$5:$H$528,$T192),"date unavailable"),"date unavailable")))</f>
        <v/>
      </c>
      <c r="H192" s="9">
        <f>IF($T192=0,"",IF($I192="Bloomberg",IF(INDEX('Market Data'!$N$5:$N$528,$T192)="","time unavailable",INDEX('Market Data'!$N$5:$N$528,$T192)),""))</f>
        <v/>
      </c>
      <c r="I192" s="9">
        <f>IF($T192=0,"",INDEX('Market Data'!$P$5:$P$528,$T192))</f>
        <v/>
      </c>
      <c r="J192" s="13">
        <f>IF($T192=0,"",IF(INDEX('Market Data'!$E$5:$E$528,$T192)="","",INDEX('Market Data'!$E$5:$E$528,$T192)))</f>
        <v/>
      </c>
      <c r="K192" s="8">
        <f>IF($T192=0,"",IF(INDEX('Market Data'!$I$5:$I$528,$T192)="","",INDEX('Market Data'!$I$5:$I$528,$T192)))</f>
        <v/>
      </c>
      <c r="L192" s="10">
        <f>IF($T192=0,"",IF(INDEX('Market Data'!$J$5:$J$528,$T192)=0,"n/a",IF(AND($M$5&lt;&gt;"Snapshot",ISNUMBER(INDEX('Market Data'!$AH$5:$AH$66,INDEX('Market Data'!$J$5:$J$528,$T192)-4)),N(INDEX('Market Data'!$AH$5:$AH$66,INDEX('Market Data'!$J$5:$J$528,$T192)-4))&gt;0),INDEX('Market Data'!$AH$5:$AH$66,INDEX('Market Data'!$J$5:$J$528,$T192)-4),IF(AND($M$5&lt;&gt;"Bloomberg",ISNUMBER(INDEX('Market Data'!$AC$5:$AC$66,INDEX('Market Data'!$J$5:$J$528,$T192)-4)),N(INDEX('Market Data'!$AC$5:$AC$66,INDEX('Market Data'!$J$5:$J$528,$T192)-4))&gt;0),INDEX('Market Data'!$AC$5:$AC$66,INDEX('Market Data'!$J$5:$J$528,$T192)-4),"unavailable"))))</f>
        <v/>
      </c>
      <c r="M192" s="11">
        <f>IF($T192=0,"",IF(INDEX('Market Data'!$J$5:$J$528,$T192)=0,"n/a",IF(IF(INDEX('Market Data'!$J$5:$J$528,$T192)=0,0,IF(LEFT(INDEX('Market Data'!$AS$5:$AS$66,INDEX('Market Data'!$J$5:$J$528,$T192)-4),11)="First-month",1,0))=1,"class review",IF($I192="Bloomberg",IF(AND(ISNUMBER(INDEX('Market Data'!$AH$5:$AH$66,INDEX('Market Data'!$J$5:$J$528,$T192)-4)),N(INDEX('Market Data'!$AH$5:$AH$66,INDEX('Market Data'!$J$5:$J$528,$T192)-4))&gt;0,ISNUMBER('Market Data'!$B$1),N('Market Data'!$B$1)&gt;0),INDEX('Market Data'!$AH$5:$AH$66,INDEX('Market Data'!$J$5:$J$528,$T192)-4)*'Market Data'!$B$1/$E192-1,"pending A/FX"),IF(AND($I192="Snapshot",$Q192="Snapshot",ISNUMBER($E192),$G192=INDEX('Market Data'!$AE$5:$AE$66,INDEX('Market Data'!$J$5:$J$528,$T192)-4)),IFERROR(INDEX('Market Data'!$AC$5:$AC$66,INDEX('Market Data'!$J$5:$J$528,$T192)-4)*INDEX('Market Data'!$AD$5:$AD$66,INDEX('Market Data'!$J$5:$J$528,$T192)-4)/$E192-1,"unavailable"),IF($I192="Unavailable","unavailable","date mismatch"))))))</f>
        <v/>
      </c>
      <c r="N192" s="11">
        <f>IF($T192=0,"",IFERROR(IF(AND(N(INDEX('Market Data'!$F$5:$F$528,$T192))&gt;0,ISNUMBER(INDEX('Market Data'!$T$5:$T$528,$T192))),$E192*INDEX('Market Data'!$T$5:$T$528,$T192)/INDEX('Market Data'!$F$5:$F$528,$T192)-1,"unavailable"),"unavailable"))</f>
        <v/>
      </c>
      <c r="O192" s="9">
        <f>IF($T192=0,"",IF(IF(INDEX('Market Data'!$J$5:$J$528,$T192)=0,0,IF(LEFT(INDEX('Market Data'!$AS$5:$AS$66,INDEX('Market Data'!$J$5:$J$528,$T192)-4),11)="First-month",1,0))=1,"Class ratio review",IF($I192="Bloomberg",IF(ISNUMBER($G192),IF($G192&lt;TODAY(),"Older quote","See quote time"),"Date unavailable"),IF($I192="Snapshot",IF($G192&lt;DATEVALUE("2026-10-02"),"Older snapshot","Dated close"),"No valid quote"))))</f>
        <v/>
      </c>
      <c r="P192" s="14">
        <f>IF($T192=0,"",IF(INDEX('Market Data'!$J$5:$J$528,$T192)=0,"n/a",IF($Q192="Bloomberg",IF(AND(ISNUMBER(INDEX('Market Data'!$AK$5:$AK$66,INDEX('Market Data'!$J$5:$J$528,$T192)-4)),N(INDEX('Market Data'!$AK$5:$AK$66,INDEX('Market Data'!$J$5:$J$528,$T192)-4))&gt;0),INDEX('Market Data'!$AK$5:$AK$66,INDEX('Market Data'!$J$5:$J$528,$T192)-4),"date unavailable"),IF($Q192="Snapshot",IF(AND(ISNUMBER(INDEX('Market Data'!$AF$5:$AF$66,INDEX('Market Data'!$J$5:$J$528,$T192)-4)),N(INDEX('Market Data'!$AF$5:$AF$66,INDEX('Market Data'!$J$5:$J$528,$T192)-4))&gt;0),INDEX('Market Data'!$AF$5:$AF$66,INDEX('Market Data'!$J$5:$J$528,$T192)-4),"date unavailable"),"date unavailable"))))</f>
        <v/>
      </c>
      <c r="Q192" s="15">
        <f>IF($T192=0,"",IF(INDEX('Market Data'!$J$5:$J$528,$T192)=0,"n/a",IF(AND($M$5&lt;&gt;"Snapshot",ISNUMBER(INDEX('Market Data'!$AH$5:$AH$66,INDEX('Market Data'!$J$5:$J$528,$T192)-4)),N(INDEX('Market Data'!$AH$5:$AH$66,INDEX('Market Data'!$J$5:$J$528,$T192)-4))&gt;0),"Bloomberg",IF(AND($M$5&lt;&gt;"Bloomberg",ISNUMBER(INDEX('Market Data'!$AC$5:$AC$66,INDEX('Market Data'!$J$5:$J$528,$T192)-4)),N(INDEX('Market Data'!$AC$5:$AC$66,INDEX('Market Data'!$J$5:$J$528,$T192)-4))&gt;0),"Snapshot","Unavailable"))))</f>
        <v/>
      </c>
      <c r="T192">
        <f>IFERROR(MATCH(184,'Market Data'!$S$5:$S$528,0),0)</f>
        <v/>
      </c>
    </row>
    <row r="193" ht="34" customHeight="1">
      <c r="A193" s="8">
        <f>IF($T193=0,"",IF(INDEX('Market Data'!$A$5:$A$528,$T193)="","",INDEX('Market Data'!$A$5:$A$528,$T193)))</f>
        <v/>
      </c>
      <c r="B193" s="9">
        <f>IF($T193=0,"",IF(INDEX('Market Data'!$B$5:$B$528,$T193)="","",INDEX('Market Data'!$B$5:$B$528,$T193)))</f>
        <v/>
      </c>
      <c r="C193" s="9">
        <f>IF($T193=0,"",IF(INDEX('Market Data'!$C$5:$C$528,$T193)="","",INDEX('Market Data'!$C$5:$C$528,$T193)))</f>
        <v/>
      </c>
      <c r="D193" s="9">
        <f>IF($T193=0,"",IF(INDEX('Market Data'!$D$5:$D$528,$T193)="","",INDEX('Market Data'!$D$5:$D$528,$T193)))</f>
        <v/>
      </c>
      <c r="E193" s="10">
        <f>IF($T193=0,"",INDEX('Market Data'!$O$5:$O$528,$T193))</f>
        <v/>
      </c>
      <c r="F193" s="11">
        <f>IF($T193=0,"",IF(AND($I193="Bloomberg",ISNUMBER(INDEX('Market Data'!$L$5:$L$528,$T193))),INDEX('Market Data'!$L$5:$L$528,$T193),"unavailable"))</f>
        <v/>
      </c>
      <c r="G193" s="12">
        <f>IF($T193=0,"",IF($I193="Bloomberg",IF(AND(ISNUMBER(INDEX('Market Data'!$M$5:$M$528,$T193)),N(INDEX('Market Data'!$M$5:$M$528,$T193))&gt;0),INDEX('Market Data'!$M$5:$M$528,$T193),"date unavailable"),IF($I193="Snapshot",IF(AND(ISNUMBER(INDEX('Market Data'!$H$5:$H$528,$T193)),N(INDEX('Market Data'!$H$5:$H$528,$T193))&gt;0),INDEX('Market Data'!$H$5:$H$528,$T193),"date unavailable"),"date unavailable")))</f>
        <v/>
      </c>
      <c r="H193" s="9">
        <f>IF($T193=0,"",IF($I193="Bloomberg",IF(INDEX('Market Data'!$N$5:$N$528,$T193)="","time unavailable",INDEX('Market Data'!$N$5:$N$528,$T193)),""))</f>
        <v/>
      </c>
      <c r="I193" s="9">
        <f>IF($T193=0,"",INDEX('Market Data'!$P$5:$P$528,$T193))</f>
        <v/>
      </c>
      <c r="J193" s="13">
        <f>IF($T193=0,"",IF(INDEX('Market Data'!$E$5:$E$528,$T193)="","",INDEX('Market Data'!$E$5:$E$528,$T193)))</f>
        <v/>
      </c>
      <c r="K193" s="8">
        <f>IF($T193=0,"",IF(INDEX('Market Data'!$I$5:$I$528,$T193)="","",INDEX('Market Data'!$I$5:$I$528,$T193)))</f>
        <v/>
      </c>
      <c r="L193" s="10">
        <f>IF($T193=0,"",IF(INDEX('Market Data'!$J$5:$J$528,$T193)=0,"n/a",IF(AND($M$5&lt;&gt;"Snapshot",ISNUMBER(INDEX('Market Data'!$AH$5:$AH$66,INDEX('Market Data'!$J$5:$J$528,$T193)-4)),N(INDEX('Market Data'!$AH$5:$AH$66,INDEX('Market Data'!$J$5:$J$528,$T193)-4))&gt;0),INDEX('Market Data'!$AH$5:$AH$66,INDEX('Market Data'!$J$5:$J$528,$T193)-4),IF(AND($M$5&lt;&gt;"Bloomberg",ISNUMBER(INDEX('Market Data'!$AC$5:$AC$66,INDEX('Market Data'!$J$5:$J$528,$T193)-4)),N(INDEX('Market Data'!$AC$5:$AC$66,INDEX('Market Data'!$J$5:$J$528,$T193)-4))&gt;0),INDEX('Market Data'!$AC$5:$AC$66,INDEX('Market Data'!$J$5:$J$528,$T193)-4),"unavailable"))))</f>
        <v/>
      </c>
      <c r="M193" s="11">
        <f>IF($T193=0,"",IF(INDEX('Market Data'!$J$5:$J$528,$T193)=0,"n/a",IF(IF(INDEX('Market Data'!$J$5:$J$528,$T193)=0,0,IF(LEFT(INDEX('Market Data'!$AS$5:$AS$66,INDEX('Market Data'!$J$5:$J$528,$T193)-4),11)="First-month",1,0))=1,"class review",IF($I193="Bloomberg",IF(AND(ISNUMBER(INDEX('Market Data'!$AH$5:$AH$66,INDEX('Market Data'!$J$5:$J$528,$T193)-4)),N(INDEX('Market Data'!$AH$5:$AH$66,INDEX('Market Data'!$J$5:$J$528,$T193)-4))&gt;0,ISNUMBER('Market Data'!$B$1),N('Market Data'!$B$1)&gt;0),INDEX('Market Data'!$AH$5:$AH$66,INDEX('Market Data'!$J$5:$J$528,$T193)-4)*'Market Data'!$B$1/$E193-1,"pending A/FX"),IF(AND($I193="Snapshot",$Q193="Snapshot",ISNUMBER($E193),$G193=INDEX('Market Data'!$AE$5:$AE$66,INDEX('Market Data'!$J$5:$J$528,$T193)-4)),IFERROR(INDEX('Market Data'!$AC$5:$AC$66,INDEX('Market Data'!$J$5:$J$528,$T193)-4)*INDEX('Market Data'!$AD$5:$AD$66,INDEX('Market Data'!$J$5:$J$528,$T193)-4)/$E193-1,"unavailable"),IF($I193="Unavailable","unavailable","date mismatch"))))))</f>
        <v/>
      </c>
      <c r="N193" s="11">
        <f>IF($T193=0,"",IFERROR(IF(AND(N(INDEX('Market Data'!$F$5:$F$528,$T193))&gt;0,ISNUMBER(INDEX('Market Data'!$T$5:$T$528,$T193))),$E193*INDEX('Market Data'!$T$5:$T$528,$T193)/INDEX('Market Data'!$F$5:$F$528,$T193)-1,"unavailable"),"unavailable"))</f>
        <v/>
      </c>
      <c r="O193" s="9">
        <f>IF($T193=0,"",IF(IF(INDEX('Market Data'!$J$5:$J$528,$T193)=0,0,IF(LEFT(INDEX('Market Data'!$AS$5:$AS$66,INDEX('Market Data'!$J$5:$J$528,$T193)-4),11)="First-month",1,0))=1,"Class ratio review",IF($I193="Bloomberg",IF(ISNUMBER($G193),IF($G193&lt;TODAY(),"Older quote","See quote time"),"Date unavailable"),IF($I193="Snapshot",IF($G193&lt;DATEVALUE("2026-10-02"),"Older snapshot","Dated close"),"No valid quote"))))</f>
        <v/>
      </c>
      <c r="P193" s="14">
        <f>IF($T193=0,"",IF(INDEX('Market Data'!$J$5:$J$528,$T193)=0,"n/a",IF($Q193="Bloomberg",IF(AND(ISNUMBER(INDEX('Market Data'!$AK$5:$AK$66,INDEX('Market Data'!$J$5:$J$528,$T193)-4)),N(INDEX('Market Data'!$AK$5:$AK$66,INDEX('Market Data'!$J$5:$J$528,$T193)-4))&gt;0),INDEX('Market Data'!$AK$5:$AK$66,INDEX('Market Data'!$J$5:$J$528,$T193)-4),"date unavailable"),IF($Q193="Snapshot",IF(AND(ISNUMBER(INDEX('Market Data'!$AF$5:$AF$66,INDEX('Market Data'!$J$5:$J$528,$T193)-4)),N(INDEX('Market Data'!$AF$5:$AF$66,INDEX('Market Data'!$J$5:$J$528,$T193)-4))&gt;0),INDEX('Market Data'!$AF$5:$AF$66,INDEX('Market Data'!$J$5:$J$528,$T193)-4),"date unavailable"),"date unavailable"))))</f>
        <v/>
      </c>
      <c r="Q193" s="15">
        <f>IF($T193=0,"",IF(INDEX('Market Data'!$J$5:$J$528,$T193)=0,"n/a",IF(AND($M$5&lt;&gt;"Snapshot",ISNUMBER(INDEX('Market Data'!$AH$5:$AH$66,INDEX('Market Data'!$J$5:$J$528,$T193)-4)),N(INDEX('Market Data'!$AH$5:$AH$66,INDEX('Market Data'!$J$5:$J$528,$T193)-4))&gt;0),"Bloomberg",IF(AND($M$5&lt;&gt;"Bloomberg",ISNUMBER(INDEX('Market Data'!$AC$5:$AC$66,INDEX('Market Data'!$J$5:$J$528,$T193)-4)),N(INDEX('Market Data'!$AC$5:$AC$66,INDEX('Market Data'!$J$5:$J$528,$T193)-4))&gt;0),"Snapshot","Unavailable"))))</f>
        <v/>
      </c>
      <c r="T193">
        <f>IFERROR(MATCH(185,'Market Data'!$S$5:$S$528,0),0)</f>
        <v/>
      </c>
    </row>
    <row r="194" ht="34" customHeight="1">
      <c r="A194" s="8">
        <f>IF($T194=0,"",IF(INDEX('Market Data'!$A$5:$A$528,$T194)="","",INDEX('Market Data'!$A$5:$A$528,$T194)))</f>
        <v/>
      </c>
      <c r="B194" s="9">
        <f>IF($T194=0,"",IF(INDEX('Market Data'!$B$5:$B$528,$T194)="","",INDEX('Market Data'!$B$5:$B$528,$T194)))</f>
        <v/>
      </c>
      <c r="C194" s="9">
        <f>IF($T194=0,"",IF(INDEX('Market Data'!$C$5:$C$528,$T194)="","",INDEX('Market Data'!$C$5:$C$528,$T194)))</f>
        <v/>
      </c>
      <c r="D194" s="9">
        <f>IF($T194=0,"",IF(INDEX('Market Data'!$D$5:$D$528,$T194)="","",INDEX('Market Data'!$D$5:$D$528,$T194)))</f>
        <v/>
      </c>
      <c r="E194" s="10">
        <f>IF($T194=0,"",INDEX('Market Data'!$O$5:$O$528,$T194))</f>
        <v/>
      </c>
      <c r="F194" s="11">
        <f>IF($T194=0,"",IF(AND($I194="Bloomberg",ISNUMBER(INDEX('Market Data'!$L$5:$L$528,$T194))),INDEX('Market Data'!$L$5:$L$528,$T194),"unavailable"))</f>
        <v/>
      </c>
      <c r="G194" s="12">
        <f>IF($T194=0,"",IF($I194="Bloomberg",IF(AND(ISNUMBER(INDEX('Market Data'!$M$5:$M$528,$T194)),N(INDEX('Market Data'!$M$5:$M$528,$T194))&gt;0),INDEX('Market Data'!$M$5:$M$528,$T194),"date unavailable"),IF($I194="Snapshot",IF(AND(ISNUMBER(INDEX('Market Data'!$H$5:$H$528,$T194)),N(INDEX('Market Data'!$H$5:$H$528,$T194))&gt;0),INDEX('Market Data'!$H$5:$H$528,$T194),"date unavailable"),"date unavailable")))</f>
        <v/>
      </c>
      <c r="H194" s="9">
        <f>IF($T194=0,"",IF($I194="Bloomberg",IF(INDEX('Market Data'!$N$5:$N$528,$T194)="","time unavailable",INDEX('Market Data'!$N$5:$N$528,$T194)),""))</f>
        <v/>
      </c>
      <c r="I194" s="9">
        <f>IF($T194=0,"",INDEX('Market Data'!$P$5:$P$528,$T194))</f>
        <v/>
      </c>
      <c r="J194" s="13">
        <f>IF($T194=0,"",IF(INDEX('Market Data'!$E$5:$E$528,$T194)="","",INDEX('Market Data'!$E$5:$E$528,$T194)))</f>
        <v/>
      </c>
      <c r="K194" s="8">
        <f>IF($T194=0,"",IF(INDEX('Market Data'!$I$5:$I$528,$T194)="","",INDEX('Market Data'!$I$5:$I$528,$T194)))</f>
        <v/>
      </c>
      <c r="L194" s="10">
        <f>IF($T194=0,"",IF(INDEX('Market Data'!$J$5:$J$528,$T194)=0,"n/a",IF(AND($M$5&lt;&gt;"Snapshot",ISNUMBER(INDEX('Market Data'!$AH$5:$AH$66,INDEX('Market Data'!$J$5:$J$528,$T194)-4)),N(INDEX('Market Data'!$AH$5:$AH$66,INDEX('Market Data'!$J$5:$J$528,$T194)-4))&gt;0),INDEX('Market Data'!$AH$5:$AH$66,INDEX('Market Data'!$J$5:$J$528,$T194)-4),IF(AND($M$5&lt;&gt;"Bloomberg",ISNUMBER(INDEX('Market Data'!$AC$5:$AC$66,INDEX('Market Data'!$J$5:$J$528,$T194)-4)),N(INDEX('Market Data'!$AC$5:$AC$66,INDEX('Market Data'!$J$5:$J$528,$T194)-4))&gt;0),INDEX('Market Data'!$AC$5:$AC$66,INDEX('Market Data'!$J$5:$J$528,$T194)-4),"unavailable"))))</f>
        <v/>
      </c>
      <c r="M194" s="11">
        <f>IF($T194=0,"",IF(INDEX('Market Data'!$J$5:$J$528,$T194)=0,"n/a",IF(IF(INDEX('Market Data'!$J$5:$J$528,$T194)=0,0,IF(LEFT(INDEX('Market Data'!$AS$5:$AS$66,INDEX('Market Data'!$J$5:$J$528,$T194)-4),11)="First-month",1,0))=1,"class review",IF($I194="Bloomberg",IF(AND(ISNUMBER(INDEX('Market Data'!$AH$5:$AH$66,INDEX('Market Data'!$J$5:$J$528,$T194)-4)),N(INDEX('Market Data'!$AH$5:$AH$66,INDEX('Market Data'!$J$5:$J$528,$T194)-4))&gt;0,ISNUMBER('Market Data'!$B$1),N('Market Data'!$B$1)&gt;0),INDEX('Market Data'!$AH$5:$AH$66,INDEX('Market Data'!$J$5:$J$528,$T194)-4)*'Market Data'!$B$1/$E194-1,"pending A/FX"),IF(AND($I194="Snapshot",$Q194="Snapshot",ISNUMBER($E194),$G194=INDEX('Market Data'!$AE$5:$AE$66,INDEX('Market Data'!$J$5:$J$528,$T194)-4)),IFERROR(INDEX('Market Data'!$AC$5:$AC$66,INDEX('Market Data'!$J$5:$J$528,$T194)-4)*INDEX('Market Data'!$AD$5:$AD$66,INDEX('Market Data'!$J$5:$J$528,$T194)-4)/$E194-1,"unavailable"),IF($I194="Unavailable","unavailable","date mismatch"))))))</f>
        <v/>
      </c>
      <c r="N194" s="11">
        <f>IF($T194=0,"",IFERROR(IF(AND(N(INDEX('Market Data'!$F$5:$F$528,$T194))&gt;0,ISNUMBER(INDEX('Market Data'!$T$5:$T$528,$T194))),$E194*INDEX('Market Data'!$T$5:$T$528,$T194)/INDEX('Market Data'!$F$5:$F$528,$T194)-1,"unavailable"),"unavailable"))</f>
        <v/>
      </c>
      <c r="O194" s="9">
        <f>IF($T194=0,"",IF(IF(INDEX('Market Data'!$J$5:$J$528,$T194)=0,0,IF(LEFT(INDEX('Market Data'!$AS$5:$AS$66,INDEX('Market Data'!$J$5:$J$528,$T194)-4),11)="First-month",1,0))=1,"Class ratio review",IF($I194="Bloomberg",IF(ISNUMBER($G194),IF($G194&lt;TODAY(),"Older quote","See quote time"),"Date unavailable"),IF($I194="Snapshot",IF($G194&lt;DATEVALUE("2026-10-02"),"Older snapshot","Dated close"),"No valid quote"))))</f>
        <v/>
      </c>
      <c r="P194" s="14">
        <f>IF($T194=0,"",IF(INDEX('Market Data'!$J$5:$J$528,$T194)=0,"n/a",IF($Q194="Bloomberg",IF(AND(ISNUMBER(INDEX('Market Data'!$AK$5:$AK$66,INDEX('Market Data'!$J$5:$J$528,$T194)-4)),N(INDEX('Market Data'!$AK$5:$AK$66,INDEX('Market Data'!$J$5:$J$528,$T194)-4))&gt;0),INDEX('Market Data'!$AK$5:$AK$66,INDEX('Market Data'!$J$5:$J$528,$T194)-4),"date unavailable"),IF($Q194="Snapshot",IF(AND(ISNUMBER(INDEX('Market Data'!$AF$5:$AF$66,INDEX('Market Data'!$J$5:$J$528,$T194)-4)),N(INDEX('Market Data'!$AF$5:$AF$66,INDEX('Market Data'!$J$5:$J$528,$T194)-4))&gt;0),INDEX('Market Data'!$AF$5:$AF$66,INDEX('Market Data'!$J$5:$J$528,$T194)-4),"date unavailable"),"date unavailable"))))</f>
        <v/>
      </c>
      <c r="Q194" s="15">
        <f>IF($T194=0,"",IF(INDEX('Market Data'!$J$5:$J$528,$T194)=0,"n/a",IF(AND($M$5&lt;&gt;"Snapshot",ISNUMBER(INDEX('Market Data'!$AH$5:$AH$66,INDEX('Market Data'!$J$5:$J$528,$T194)-4)),N(INDEX('Market Data'!$AH$5:$AH$66,INDEX('Market Data'!$J$5:$J$528,$T194)-4))&gt;0),"Bloomberg",IF(AND($M$5&lt;&gt;"Bloomberg",ISNUMBER(INDEX('Market Data'!$AC$5:$AC$66,INDEX('Market Data'!$J$5:$J$528,$T194)-4)),N(INDEX('Market Data'!$AC$5:$AC$66,INDEX('Market Data'!$J$5:$J$528,$T194)-4))&gt;0),"Snapshot","Unavailable"))))</f>
        <v/>
      </c>
      <c r="T194">
        <f>IFERROR(MATCH(186,'Market Data'!$S$5:$S$528,0),0)</f>
        <v/>
      </c>
    </row>
    <row r="195" ht="34" customHeight="1">
      <c r="A195" s="8">
        <f>IF($T195=0,"",IF(INDEX('Market Data'!$A$5:$A$528,$T195)="","",INDEX('Market Data'!$A$5:$A$528,$T195)))</f>
        <v/>
      </c>
      <c r="B195" s="9">
        <f>IF($T195=0,"",IF(INDEX('Market Data'!$B$5:$B$528,$T195)="","",INDEX('Market Data'!$B$5:$B$528,$T195)))</f>
        <v/>
      </c>
      <c r="C195" s="9">
        <f>IF($T195=0,"",IF(INDEX('Market Data'!$C$5:$C$528,$T195)="","",INDEX('Market Data'!$C$5:$C$528,$T195)))</f>
        <v/>
      </c>
      <c r="D195" s="9">
        <f>IF($T195=0,"",IF(INDEX('Market Data'!$D$5:$D$528,$T195)="","",INDEX('Market Data'!$D$5:$D$528,$T195)))</f>
        <v/>
      </c>
      <c r="E195" s="10">
        <f>IF($T195=0,"",INDEX('Market Data'!$O$5:$O$528,$T195))</f>
        <v/>
      </c>
      <c r="F195" s="11">
        <f>IF($T195=0,"",IF(AND($I195="Bloomberg",ISNUMBER(INDEX('Market Data'!$L$5:$L$528,$T195))),INDEX('Market Data'!$L$5:$L$528,$T195),"unavailable"))</f>
        <v/>
      </c>
      <c r="G195" s="12">
        <f>IF($T195=0,"",IF($I195="Bloomberg",IF(AND(ISNUMBER(INDEX('Market Data'!$M$5:$M$528,$T195)),N(INDEX('Market Data'!$M$5:$M$528,$T195))&gt;0),INDEX('Market Data'!$M$5:$M$528,$T195),"date unavailable"),IF($I195="Snapshot",IF(AND(ISNUMBER(INDEX('Market Data'!$H$5:$H$528,$T195)),N(INDEX('Market Data'!$H$5:$H$528,$T195))&gt;0),INDEX('Market Data'!$H$5:$H$528,$T195),"date unavailable"),"date unavailable")))</f>
        <v/>
      </c>
      <c r="H195" s="9">
        <f>IF($T195=0,"",IF($I195="Bloomberg",IF(INDEX('Market Data'!$N$5:$N$528,$T195)="","time unavailable",INDEX('Market Data'!$N$5:$N$528,$T195)),""))</f>
        <v/>
      </c>
      <c r="I195" s="9">
        <f>IF($T195=0,"",INDEX('Market Data'!$P$5:$P$528,$T195))</f>
        <v/>
      </c>
      <c r="J195" s="13">
        <f>IF($T195=0,"",IF(INDEX('Market Data'!$E$5:$E$528,$T195)="","",INDEX('Market Data'!$E$5:$E$528,$T195)))</f>
        <v/>
      </c>
      <c r="K195" s="8">
        <f>IF($T195=0,"",IF(INDEX('Market Data'!$I$5:$I$528,$T195)="","",INDEX('Market Data'!$I$5:$I$528,$T195)))</f>
        <v/>
      </c>
      <c r="L195" s="10">
        <f>IF($T195=0,"",IF(INDEX('Market Data'!$J$5:$J$528,$T195)=0,"n/a",IF(AND($M$5&lt;&gt;"Snapshot",ISNUMBER(INDEX('Market Data'!$AH$5:$AH$66,INDEX('Market Data'!$J$5:$J$528,$T195)-4)),N(INDEX('Market Data'!$AH$5:$AH$66,INDEX('Market Data'!$J$5:$J$528,$T195)-4))&gt;0),INDEX('Market Data'!$AH$5:$AH$66,INDEX('Market Data'!$J$5:$J$528,$T195)-4),IF(AND($M$5&lt;&gt;"Bloomberg",ISNUMBER(INDEX('Market Data'!$AC$5:$AC$66,INDEX('Market Data'!$J$5:$J$528,$T195)-4)),N(INDEX('Market Data'!$AC$5:$AC$66,INDEX('Market Data'!$J$5:$J$528,$T195)-4))&gt;0),INDEX('Market Data'!$AC$5:$AC$66,INDEX('Market Data'!$J$5:$J$528,$T195)-4),"unavailable"))))</f>
        <v/>
      </c>
      <c r="M195" s="11">
        <f>IF($T195=0,"",IF(INDEX('Market Data'!$J$5:$J$528,$T195)=0,"n/a",IF(IF(INDEX('Market Data'!$J$5:$J$528,$T195)=0,0,IF(LEFT(INDEX('Market Data'!$AS$5:$AS$66,INDEX('Market Data'!$J$5:$J$528,$T195)-4),11)="First-month",1,0))=1,"class review",IF($I195="Bloomberg",IF(AND(ISNUMBER(INDEX('Market Data'!$AH$5:$AH$66,INDEX('Market Data'!$J$5:$J$528,$T195)-4)),N(INDEX('Market Data'!$AH$5:$AH$66,INDEX('Market Data'!$J$5:$J$528,$T195)-4))&gt;0,ISNUMBER('Market Data'!$B$1),N('Market Data'!$B$1)&gt;0),INDEX('Market Data'!$AH$5:$AH$66,INDEX('Market Data'!$J$5:$J$528,$T195)-4)*'Market Data'!$B$1/$E195-1,"pending A/FX"),IF(AND($I195="Snapshot",$Q195="Snapshot",ISNUMBER($E195),$G195=INDEX('Market Data'!$AE$5:$AE$66,INDEX('Market Data'!$J$5:$J$528,$T195)-4)),IFERROR(INDEX('Market Data'!$AC$5:$AC$66,INDEX('Market Data'!$J$5:$J$528,$T195)-4)*INDEX('Market Data'!$AD$5:$AD$66,INDEX('Market Data'!$J$5:$J$528,$T195)-4)/$E195-1,"unavailable"),IF($I195="Unavailable","unavailable","date mismatch"))))))</f>
        <v/>
      </c>
      <c r="N195" s="11">
        <f>IF($T195=0,"",IFERROR(IF(AND(N(INDEX('Market Data'!$F$5:$F$528,$T195))&gt;0,ISNUMBER(INDEX('Market Data'!$T$5:$T$528,$T195))),$E195*INDEX('Market Data'!$T$5:$T$528,$T195)/INDEX('Market Data'!$F$5:$F$528,$T195)-1,"unavailable"),"unavailable"))</f>
        <v/>
      </c>
      <c r="O195" s="9">
        <f>IF($T195=0,"",IF(IF(INDEX('Market Data'!$J$5:$J$528,$T195)=0,0,IF(LEFT(INDEX('Market Data'!$AS$5:$AS$66,INDEX('Market Data'!$J$5:$J$528,$T195)-4),11)="First-month",1,0))=1,"Class ratio review",IF($I195="Bloomberg",IF(ISNUMBER($G195),IF($G195&lt;TODAY(),"Older quote","See quote time"),"Date unavailable"),IF($I195="Snapshot",IF($G195&lt;DATEVALUE("2026-10-02"),"Older snapshot","Dated close"),"No valid quote"))))</f>
        <v/>
      </c>
      <c r="P195" s="14">
        <f>IF($T195=0,"",IF(INDEX('Market Data'!$J$5:$J$528,$T195)=0,"n/a",IF($Q195="Bloomberg",IF(AND(ISNUMBER(INDEX('Market Data'!$AK$5:$AK$66,INDEX('Market Data'!$J$5:$J$528,$T195)-4)),N(INDEX('Market Data'!$AK$5:$AK$66,INDEX('Market Data'!$J$5:$J$528,$T195)-4))&gt;0),INDEX('Market Data'!$AK$5:$AK$66,INDEX('Market Data'!$J$5:$J$528,$T195)-4),"date unavailable"),IF($Q195="Snapshot",IF(AND(ISNUMBER(INDEX('Market Data'!$AF$5:$AF$66,INDEX('Market Data'!$J$5:$J$528,$T195)-4)),N(INDEX('Market Data'!$AF$5:$AF$66,INDEX('Market Data'!$J$5:$J$528,$T195)-4))&gt;0),INDEX('Market Data'!$AF$5:$AF$66,INDEX('Market Data'!$J$5:$J$528,$T195)-4),"date unavailable"),"date unavailable"))))</f>
        <v/>
      </c>
      <c r="Q195" s="15">
        <f>IF($T195=0,"",IF(INDEX('Market Data'!$J$5:$J$528,$T195)=0,"n/a",IF(AND($M$5&lt;&gt;"Snapshot",ISNUMBER(INDEX('Market Data'!$AH$5:$AH$66,INDEX('Market Data'!$J$5:$J$528,$T195)-4)),N(INDEX('Market Data'!$AH$5:$AH$66,INDEX('Market Data'!$J$5:$J$528,$T195)-4))&gt;0),"Bloomberg",IF(AND($M$5&lt;&gt;"Bloomberg",ISNUMBER(INDEX('Market Data'!$AC$5:$AC$66,INDEX('Market Data'!$J$5:$J$528,$T195)-4)),N(INDEX('Market Data'!$AC$5:$AC$66,INDEX('Market Data'!$J$5:$J$528,$T195)-4))&gt;0),"Snapshot","Unavailable"))))</f>
        <v/>
      </c>
      <c r="T195">
        <f>IFERROR(MATCH(187,'Market Data'!$S$5:$S$528,0),0)</f>
        <v/>
      </c>
    </row>
    <row r="196" ht="34" customHeight="1">
      <c r="A196" s="8">
        <f>IF($T196=0,"",IF(INDEX('Market Data'!$A$5:$A$528,$T196)="","",INDEX('Market Data'!$A$5:$A$528,$T196)))</f>
        <v/>
      </c>
      <c r="B196" s="9">
        <f>IF($T196=0,"",IF(INDEX('Market Data'!$B$5:$B$528,$T196)="","",INDEX('Market Data'!$B$5:$B$528,$T196)))</f>
        <v/>
      </c>
      <c r="C196" s="9">
        <f>IF($T196=0,"",IF(INDEX('Market Data'!$C$5:$C$528,$T196)="","",INDEX('Market Data'!$C$5:$C$528,$T196)))</f>
        <v/>
      </c>
      <c r="D196" s="9">
        <f>IF($T196=0,"",IF(INDEX('Market Data'!$D$5:$D$528,$T196)="","",INDEX('Market Data'!$D$5:$D$528,$T196)))</f>
        <v/>
      </c>
      <c r="E196" s="10">
        <f>IF($T196=0,"",INDEX('Market Data'!$O$5:$O$528,$T196))</f>
        <v/>
      </c>
      <c r="F196" s="11">
        <f>IF($T196=0,"",IF(AND($I196="Bloomberg",ISNUMBER(INDEX('Market Data'!$L$5:$L$528,$T196))),INDEX('Market Data'!$L$5:$L$528,$T196),"unavailable"))</f>
        <v/>
      </c>
      <c r="G196" s="12">
        <f>IF($T196=0,"",IF($I196="Bloomberg",IF(AND(ISNUMBER(INDEX('Market Data'!$M$5:$M$528,$T196)),N(INDEX('Market Data'!$M$5:$M$528,$T196))&gt;0),INDEX('Market Data'!$M$5:$M$528,$T196),"date unavailable"),IF($I196="Snapshot",IF(AND(ISNUMBER(INDEX('Market Data'!$H$5:$H$528,$T196)),N(INDEX('Market Data'!$H$5:$H$528,$T196))&gt;0),INDEX('Market Data'!$H$5:$H$528,$T196),"date unavailable"),"date unavailable")))</f>
        <v/>
      </c>
      <c r="H196" s="9">
        <f>IF($T196=0,"",IF($I196="Bloomberg",IF(INDEX('Market Data'!$N$5:$N$528,$T196)="","time unavailable",INDEX('Market Data'!$N$5:$N$528,$T196)),""))</f>
        <v/>
      </c>
      <c r="I196" s="9">
        <f>IF($T196=0,"",INDEX('Market Data'!$P$5:$P$528,$T196))</f>
        <v/>
      </c>
      <c r="J196" s="13">
        <f>IF($T196=0,"",IF(INDEX('Market Data'!$E$5:$E$528,$T196)="","",INDEX('Market Data'!$E$5:$E$528,$T196)))</f>
        <v/>
      </c>
      <c r="K196" s="8">
        <f>IF($T196=0,"",IF(INDEX('Market Data'!$I$5:$I$528,$T196)="","",INDEX('Market Data'!$I$5:$I$528,$T196)))</f>
        <v/>
      </c>
      <c r="L196" s="10">
        <f>IF($T196=0,"",IF(INDEX('Market Data'!$J$5:$J$528,$T196)=0,"n/a",IF(AND($M$5&lt;&gt;"Snapshot",ISNUMBER(INDEX('Market Data'!$AH$5:$AH$66,INDEX('Market Data'!$J$5:$J$528,$T196)-4)),N(INDEX('Market Data'!$AH$5:$AH$66,INDEX('Market Data'!$J$5:$J$528,$T196)-4))&gt;0),INDEX('Market Data'!$AH$5:$AH$66,INDEX('Market Data'!$J$5:$J$528,$T196)-4),IF(AND($M$5&lt;&gt;"Bloomberg",ISNUMBER(INDEX('Market Data'!$AC$5:$AC$66,INDEX('Market Data'!$J$5:$J$528,$T196)-4)),N(INDEX('Market Data'!$AC$5:$AC$66,INDEX('Market Data'!$J$5:$J$528,$T196)-4))&gt;0),INDEX('Market Data'!$AC$5:$AC$66,INDEX('Market Data'!$J$5:$J$528,$T196)-4),"unavailable"))))</f>
        <v/>
      </c>
      <c r="M196" s="11">
        <f>IF($T196=0,"",IF(INDEX('Market Data'!$J$5:$J$528,$T196)=0,"n/a",IF(IF(INDEX('Market Data'!$J$5:$J$528,$T196)=0,0,IF(LEFT(INDEX('Market Data'!$AS$5:$AS$66,INDEX('Market Data'!$J$5:$J$528,$T196)-4),11)="First-month",1,0))=1,"class review",IF($I196="Bloomberg",IF(AND(ISNUMBER(INDEX('Market Data'!$AH$5:$AH$66,INDEX('Market Data'!$J$5:$J$528,$T196)-4)),N(INDEX('Market Data'!$AH$5:$AH$66,INDEX('Market Data'!$J$5:$J$528,$T196)-4))&gt;0,ISNUMBER('Market Data'!$B$1),N('Market Data'!$B$1)&gt;0),INDEX('Market Data'!$AH$5:$AH$66,INDEX('Market Data'!$J$5:$J$528,$T196)-4)*'Market Data'!$B$1/$E196-1,"pending A/FX"),IF(AND($I196="Snapshot",$Q196="Snapshot",ISNUMBER($E196),$G196=INDEX('Market Data'!$AE$5:$AE$66,INDEX('Market Data'!$J$5:$J$528,$T196)-4)),IFERROR(INDEX('Market Data'!$AC$5:$AC$66,INDEX('Market Data'!$J$5:$J$528,$T196)-4)*INDEX('Market Data'!$AD$5:$AD$66,INDEX('Market Data'!$J$5:$J$528,$T196)-4)/$E196-1,"unavailable"),IF($I196="Unavailable","unavailable","date mismatch"))))))</f>
        <v/>
      </c>
      <c r="N196" s="11">
        <f>IF($T196=0,"",IFERROR(IF(AND(N(INDEX('Market Data'!$F$5:$F$528,$T196))&gt;0,ISNUMBER(INDEX('Market Data'!$T$5:$T$528,$T196))),$E196*INDEX('Market Data'!$T$5:$T$528,$T196)/INDEX('Market Data'!$F$5:$F$528,$T196)-1,"unavailable"),"unavailable"))</f>
        <v/>
      </c>
      <c r="O196" s="9">
        <f>IF($T196=0,"",IF(IF(INDEX('Market Data'!$J$5:$J$528,$T196)=0,0,IF(LEFT(INDEX('Market Data'!$AS$5:$AS$66,INDEX('Market Data'!$J$5:$J$528,$T196)-4),11)="First-month",1,0))=1,"Class ratio review",IF($I196="Bloomberg",IF(ISNUMBER($G196),IF($G196&lt;TODAY(),"Older quote","See quote time"),"Date unavailable"),IF($I196="Snapshot",IF($G196&lt;DATEVALUE("2026-10-02"),"Older snapshot","Dated close"),"No valid quote"))))</f>
        <v/>
      </c>
      <c r="P196" s="14">
        <f>IF($T196=0,"",IF(INDEX('Market Data'!$J$5:$J$528,$T196)=0,"n/a",IF($Q196="Bloomberg",IF(AND(ISNUMBER(INDEX('Market Data'!$AK$5:$AK$66,INDEX('Market Data'!$J$5:$J$528,$T196)-4)),N(INDEX('Market Data'!$AK$5:$AK$66,INDEX('Market Data'!$J$5:$J$528,$T196)-4))&gt;0),INDEX('Market Data'!$AK$5:$AK$66,INDEX('Market Data'!$J$5:$J$528,$T196)-4),"date unavailable"),IF($Q196="Snapshot",IF(AND(ISNUMBER(INDEX('Market Data'!$AF$5:$AF$66,INDEX('Market Data'!$J$5:$J$528,$T196)-4)),N(INDEX('Market Data'!$AF$5:$AF$66,INDEX('Market Data'!$J$5:$J$528,$T196)-4))&gt;0),INDEX('Market Data'!$AF$5:$AF$66,INDEX('Market Data'!$J$5:$J$528,$T196)-4),"date unavailable"),"date unavailable"))))</f>
        <v/>
      </c>
      <c r="Q196" s="15">
        <f>IF($T196=0,"",IF(INDEX('Market Data'!$J$5:$J$528,$T196)=0,"n/a",IF(AND($M$5&lt;&gt;"Snapshot",ISNUMBER(INDEX('Market Data'!$AH$5:$AH$66,INDEX('Market Data'!$J$5:$J$528,$T196)-4)),N(INDEX('Market Data'!$AH$5:$AH$66,INDEX('Market Data'!$J$5:$J$528,$T196)-4))&gt;0),"Bloomberg",IF(AND($M$5&lt;&gt;"Bloomberg",ISNUMBER(INDEX('Market Data'!$AC$5:$AC$66,INDEX('Market Data'!$J$5:$J$528,$T196)-4)),N(INDEX('Market Data'!$AC$5:$AC$66,INDEX('Market Data'!$J$5:$J$528,$T196)-4))&gt;0),"Snapshot","Unavailable"))))</f>
        <v/>
      </c>
      <c r="T196">
        <f>IFERROR(MATCH(188,'Market Data'!$S$5:$S$528,0),0)</f>
        <v/>
      </c>
    </row>
    <row r="197" ht="34" customHeight="1">
      <c r="A197" s="8">
        <f>IF($T197=0,"",IF(INDEX('Market Data'!$A$5:$A$528,$T197)="","",INDEX('Market Data'!$A$5:$A$528,$T197)))</f>
        <v/>
      </c>
      <c r="B197" s="9">
        <f>IF($T197=0,"",IF(INDEX('Market Data'!$B$5:$B$528,$T197)="","",INDEX('Market Data'!$B$5:$B$528,$T197)))</f>
        <v/>
      </c>
      <c r="C197" s="9">
        <f>IF($T197=0,"",IF(INDEX('Market Data'!$C$5:$C$528,$T197)="","",INDEX('Market Data'!$C$5:$C$528,$T197)))</f>
        <v/>
      </c>
      <c r="D197" s="9">
        <f>IF($T197=0,"",IF(INDEX('Market Data'!$D$5:$D$528,$T197)="","",INDEX('Market Data'!$D$5:$D$528,$T197)))</f>
        <v/>
      </c>
      <c r="E197" s="10">
        <f>IF($T197=0,"",INDEX('Market Data'!$O$5:$O$528,$T197))</f>
        <v/>
      </c>
      <c r="F197" s="11">
        <f>IF($T197=0,"",IF(AND($I197="Bloomberg",ISNUMBER(INDEX('Market Data'!$L$5:$L$528,$T197))),INDEX('Market Data'!$L$5:$L$528,$T197),"unavailable"))</f>
        <v/>
      </c>
      <c r="G197" s="12">
        <f>IF($T197=0,"",IF($I197="Bloomberg",IF(AND(ISNUMBER(INDEX('Market Data'!$M$5:$M$528,$T197)),N(INDEX('Market Data'!$M$5:$M$528,$T197))&gt;0),INDEX('Market Data'!$M$5:$M$528,$T197),"date unavailable"),IF($I197="Snapshot",IF(AND(ISNUMBER(INDEX('Market Data'!$H$5:$H$528,$T197)),N(INDEX('Market Data'!$H$5:$H$528,$T197))&gt;0),INDEX('Market Data'!$H$5:$H$528,$T197),"date unavailable"),"date unavailable")))</f>
        <v/>
      </c>
      <c r="H197" s="9">
        <f>IF($T197=0,"",IF($I197="Bloomberg",IF(INDEX('Market Data'!$N$5:$N$528,$T197)="","time unavailable",INDEX('Market Data'!$N$5:$N$528,$T197)),""))</f>
        <v/>
      </c>
      <c r="I197" s="9">
        <f>IF($T197=0,"",INDEX('Market Data'!$P$5:$P$528,$T197))</f>
        <v/>
      </c>
      <c r="J197" s="13">
        <f>IF($T197=0,"",IF(INDEX('Market Data'!$E$5:$E$528,$T197)="","",INDEX('Market Data'!$E$5:$E$528,$T197)))</f>
        <v/>
      </c>
      <c r="K197" s="8">
        <f>IF($T197=0,"",IF(INDEX('Market Data'!$I$5:$I$528,$T197)="","",INDEX('Market Data'!$I$5:$I$528,$T197)))</f>
        <v/>
      </c>
      <c r="L197" s="10">
        <f>IF($T197=0,"",IF(INDEX('Market Data'!$J$5:$J$528,$T197)=0,"n/a",IF(AND($M$5&lt;&gt;"Snapshot",ISNUMBER(INDEX('Market Data'!$AH$5:$AH$66,INDEX('Market Data'!$J$5:$J$528,$T197)-4)),N(INDEX('Market Data'!$AH$5:$AH$66,INDEX('Market Data'!$J$5:$J$528,$T197)-4))&gt;0),INDEX('Market Data'!$AH$5:$AH$66,INDEX('Market Data'!$J$5:$J$528,$T197)-4),IF(AND($M$5&lt;&gt;"Bloomberg",ISNUMBER(INDEX('Market Data'!$AC$5:$AC$66,INDEX('Market Data'!$J$5:$J$528,$T197)-4)),N(INDEX('Market Data'!$AC$5:$AC$66,INDEX('Market Data'!$J$5:$J$528,$T197)-4))&gt;0),INDEX('Market Data'!$AC$5:$AC$66,INDEX('Market Data'!$J$5:$J$528,$T197)-4),"unavailable"))))</f>
        <v/>
      </c>
      <c r="M197" s="11">
        <f>IF($T197=0,"",IF(INDEX('Market Data'!$J$5:$J$528,$T197)=0,"n/a",IF(IF(INDEX('Market Data'!$J$5:$J$528,$T197)=0,0,IF(LEFT(INDEX('Market Data'!$AS$5:$AS$66,INDEX('Market Data'!$J$5:$J$528,$T197)-4),11)="First-month",1,0))=1,"class review",IF($I197="Bloomberg",IF(AND(ISNUMBER(INDEX('Market Data'!$AH$5:$AH$66,INDEX('Market Data'!$J$5:$J$528,$T197)-4)),N(INDEX('Market Data'!$AH$5:$AH$66,INDEX('Market Data'!$J$5:$J$528,$T197)-4))&gt;0,ISNUMBER('Market Data'!$B$1),N('Market Data'!$B$1)&gt;0),INDEX('Market Data'!$AH$5:$AH$66,INDEX('Market Data'!$J$5:$J$528,$T197)-4)*'Market Data'!$B$1/$E197-1,"pending A/FX"),IF(AND($I197="Snapshot",$Q197="Snapshot",ISNUMBER($E197),$G197=INDEX('Market Data'!$AE$5:$AE$66,INDEX('Market Data'!$J$5:$J$528,$T197)-4)),IFERROR(INDEX('Market Data'!$AC$5:$AC$66,INDEX('Market Data'!$J$5:$J$528,$T197)-4)*INDEX('Market Data'!$AD$5:$AD$66,INDEX('Market Data'!$J$5:$J$528,$T197)-4)/$E197-1,"unavailable"),IF($I197="Unavailable","unavailable","date mismatch"))))))</f>
        <v/>
      </c>
      <c r="N197" s="11">
        <f>IF($T197=0,"",IFERROR(IF(AND(N(INDEX('Market Data'!$F$5:$F$528,$T197))&gt;0,ISNUMBER(INDEX('Market Data'!$T$5:$T$528,$T197))),$E197*INDEX('Market Data'!$T$5:$T$528,$T197)/INDEX('Market Data'!$F$5:$F$528,$T197)-1,"unavailable"),"unavailable"))</f>
        <v/>
      </c>
      <c r="O197" s="9">
        <f>IF($T197=0,"",IF(IF(INDEX('Market Data'!$J$5:$J$528,$T197)=0,0,IF(LEFT(INDEX('Market Data'!$AS$5:$AS$66,INDEX('Market Data'!$J$5:$J$528,$T197)-4),11)="First-month",1,0))=1,"Class ratio review",IF($I197="Bloomberg",IF(ISNUMBER($G197),IF($G197&lt;TODAY(),"Older quote","See quote time"),"Date unavailable"),IF($I197="Snapshot",IF($G197&lt;DATEVALUE("2026-10-02"),"Older snapshot","Dated close"),"No valid quote"))))</f>
        <v/>
      </c>
      <c r="P197" s="14">
        <f>IF($T197=0,"",IF(INDEX('Market Data'!$J$5:$J$528,$T197)=0,"n/a",IF($Q197="Bloomberg",IF(AND(ISNUMBER(INDEX('Market Data'!$AK$5:$AK$66,INDEX('Market Data'!$J$5:$J$528,$T197)-4)),N(INDEX('Market Data'!$AK$5:$AK$66,INDEX('Market Data'!$J$5:$J$528,$T197)-4))&gt;0),INDEX('Market Data'!$AK$5:$AK$66,INDEX('Market Data'!$J$5:$J$528,$T197)-4),"date unavailable"),IF($Q197="Snapshot",IF(AND(ISNUMBER(INDEX('Market Data'!$AF$5:$AF$66,INDEX('Market Data'!$J$5:$J$528,$T197)-4)),N(INDEX('Market Data'!$AF$5:$AF$66,INDEX('Market Data'!$J$5:$J$528,$T197)-4))&gt;0),INDEX('Market Data'!$AF$5:$AF$66,INDEX('Market Data'!$J$5:$J$528,$T197)-4),"date unavailable"),"date unavailable"))))</f>
        <v/>
      </c>
      <c r="Q197" s="15">
        <f>IF($T197=0,"",IF(INDEX('Market Data'!$J$5:$J$528,$T197)=0,"n/a",IF(AND($M$5&lt;&gt;"Snapshot",ISNUMBER(INDEX('Market Data'!$AH$5:$AH$66,INDEX('Market Data'!$J$5:$J$528,$T197)-4)),N(INDEX('Market Data'!$AH$5:$AH$66,INDEX('Market Data'!$J$5:$J$528,$T197)-4))&gt;0),"Bloomberg",IF(AND($M$5&lt;&gt;"Bloomberg",ISNUMBER(INDEX('Market Data'!$AC$5:$AC$66,INDEX('Market Data'!$J$5:$J$528,$T197)-4)),N(INDEX('Market Data'!$AC$5:$AC$66,INDEX('Market Data'!$J$5:$J$528,$T197)-4))&gt;0),"Snapshot","Unavailable"))))</f>
        <v/>
      </c>
      <c r="T197">
        <f>IFERROR(MATCH(189,'Market Data'!$S$5:$S$528,0),0)</f>
        <v/>
      </c>
    </row>
    <row r="198" ht="34" customHeight="1">
      <c r="A198" s="8">
        <f>IF($T198=0,"",IF(INDEX('Market Data'!$A$5:$A$528,$T198)="","",INDEX('Market Data'!$A$5:$A$528,$T198)))</f>
        <v/>
      </c>
      <c r="B198" s="9">
        <f>IF($T198=0,"",IF(INDEX('Market Data'!$B$5:$B$528,$T198)="","",INDEX('Market Data'!$B$5:$B$528,$T198)))</f>
        <v/>
      </c>
      <c r="C198" s="9">
        <f>IF($T198=0,"",IF(INDEX('Market Data'!$C$5:$C$528,$T198)="","",INDEX('Market Data'!$C$5:$C$528,$T198)))</f>
        <v/>
      </c>
      <c r="D198" s="9">
        <f>IF($T198=0,"",IF(INDEX('Market Data'!$D$5:$D$528,$T198)="","",INDEX('Market Data'!$D$5:$D$528,$T198)))</f>
        <v/>
      </c>
      <c r="E198" s="10">
        <f>IF($T198=0,"",INDEX('Market Data'!$O$5:$O$528,$T198))</f>
        <v/>
      </c>
      <c r="F198" s="11">
        <f>IF($T198=0,"",IF(AND($I198="Bloomberg",ISNUMBER(INDEX('Market Data'!$L$5:$L$528,$T198))),INDEX('Market Data'!$L$5:$L$528,$T198),"unavailable"))</f>
        <v/>
      </c>
      <c r="G198" s="12">
        <f>IF($T198=0,"",IF($I198="Bloomberg",IF(AND(ISNUMBER(INDEX('Market Data'!$M$5:$M$528,$T198)),N(INDEX('Market Data'!$M$5:$M$528,$T198))&gt;0),INDEX('Market Data'!$M$5:$M$528,$T198),"date unavailable"),IF($I198="Snapshot",IF(AND(ISNUMBER(INDEX('Market Data'!$H$5:$H$528,$T198)),N(INDEX('Market Data'!$H$5:$H$528,$T198))&gt;0),INDEX('Market Data'!$H$5:$H$528,$T198),"date unavailable"),"date unavailable")))</f>
        <v/>
      </c>
      <c r="H198" s="9">
        <f>IF($T198=0,"",IF($I198="Bloomberg",IF(INDEX('Market Data'!$N$5:$N$528,$T198)="","time unavailable",INDEX('Market Data'!$N$5:$N$528,$T198)),""))</f>
        <v/>
      </c>
      <c r="I198" s="9">
        <f>IF($T198=0,"",INDEX('Market Data'!$P$5:$P$528,$T198))</f>
        <v/>
      </c>
      <c r="J198" s="13">
        <f>IF($T198=0,"",IF(INDEX('Market Data'!$E$5:$E$528,$T198)="","",INDEX('Market Data'!$E$5:$E$528,$T198)))</f>
        <v/>
      </c>
      <c r="K198" s="8">
        <f>IF($T198=0,"",IF(INDEX('Market Data'!$I$5:$I$528,$T198)="","",INDEX('Market Data'!$I$5:$I$528,$T198)))</f>
        <v/>
      </c>
      <c r="L198" s="10">
        <f>IF($T198=0,"",IF(INDEX('Market Data'!$J$5:$J$528,$T198)=0,"n/a",IF(AND($M$5&lt;&gt;"Snapshot",ISNUMBER(INDEX('Market Data'!$AH$5:$AH$66,INDEX('Market Data'!$J$5:$J$528,$T198)-4)),N(INDEX('Market Data'!$AH$5:$AH$66,INDEX('Market Data'!$J$5:$J$528,$T198)-4))&gt;0),INDEX('Market Data'!$AH$5:$AH$66,INDEX('Market Data'!$J$5:$J$528,$T198)-4),IF(AND($M$5&lt;&gt;"Bloomberg",ISNUMBER(INDEX('Market Data'!$AC$5:$AC$66,INDEX('Market Data'!$J$5:$J$528,$T198)-4)),N(INDEX('Market Data'!$AC$5:$AC$66,INDEX('Market Data'!$J$5:$J$528,$T198)-4))&gt;0),INDEX('Market Data'!$AC$5:$AC$66,INDEX('Market Data'!$J$5:$J$528,$T198)-4),"unavailable"))))</f>
        <v/>
      </c>
      <c r="M198" s="11">
        <f>IF($T198=0,"",IF(INDEX('Market Data'!$J$5:$J$528,$T198)=0,"n/a",IF(IF(INDEX('Market Data'!$J$5:$J$528,$T198)=0,0,IF(LEFT(INDEX('Market Data'!$AS$5:$AS$66,INDEX('Market Data'!$J$5:$J$528,$T198)-4),11)="First-month",1,0))=1,"class review",IF($I198="Bloomberg",IF(AND(ISNUMBER(INDEX('Market Data'!$AH$5:$AH$66,INDEX('Market Data'!$J$5:$J$528,$T198)-4)),N(INDEX('Market Data'!$AH$5:$AH$66,INDEX('Market Data'!$J$5:$J$528,$T198)-4))&gt;0,ISNUMBER('Market Data'!$B$1),N('Market Data'!$B$1)&gt;0),INDEX('Market Data'!$AH$5:$AH$66,INDEX('Market Data'!$J$5:$J$528,$T198)-4)*'Market Data'!$B$1/$E198-1,"pending A/FX"),IF(AND($I198="Snapshot",$Q198="Snapshot",ISNUMBER($E198),$G198=INDEX('Market Data'!$AE$5:$AE$66,INDEX('Market Data'!$J$5:$J$528,$T198)-4)),IFERROR(INDEX('Market Data'!$AC$5:$AC$66,INDEX('Market Data'!$J$5:$J$528,$T198)-4)*INDEX('Market Data'!$AD$5:$AD$66,INDEX('Market Data'!$J$5:$J$528,$T198)-4)/$E198-1,"unavailable"),IF($I198="Unavailable","unavailable","date mismatch"))))))</f>
        <v/>
      </c>
      <c r="N198" s="11">
        <f>IF($T198=0,"",IFERROR(IF(AND(N(INDEX('Market Data'!$F$5:$F$528,$T198))&gt;0,ISNUMBER(INDEX('Market Data'!$T$5:$T$528,$T198))),$E198*INDEX('Market Data'!$T$5:$T$528,$T198)/INDEX('Market Data'!$F$5:$F$528,$T198)-1,"unavailable"),"unavailable"))</f>
        <v/>
      </c>
      <c r="O198" s="9">
        <f>IF($T198=0,"",IF(IF(INDEX('Market Data'!$J$5:$J$528,$T198)=0,0,IF(LEFT(INDEX('Market Data'!$AS$5:$AS$66,INDEX('Market Data'!$J$5:$J$528,$T198)-4),11)="First-month",1,0))=1,"Class ratio review",IF($I198="Bloomberg",IF(ISNUMBER($G198),IF($G198&lt;TODAY(),"Older quote","See quote time"),"Date unavailable"),IF($I198="Snapshot",IF($G198&lt;DATEVALUE("2026-10-02"),"Older snapshot","Dated close"),"No valid quote"))))</f>
        <v/>
      </c>
      <c r="P198" s="14">
        <f>IF($T198=0,"",IF(INDEX('Market Data'!$J$5:$J$528,$T198)=0,"n/a",IF($Q198="Bloomberg",IF(AND(ISNUMBER(INDEX('Market Data'!$AK$5:$AK$66,INDEX('Market Data'!$J$5:$J$528,$T198)-4)),N(INDEX('Market Data'!$AK$5:$AK$66,INDEX('Market Data'!$J$5:$J$528,$T198)-4))&gt;0),INDEX('Market Data'!$AK$5:$AK$66,INDEX('Market Data'!$J$5:$J$528,$T198)-4),"date unavailable"),IF($Q198="Snapshot",IF(AND(ISNUMBER(INDEX('Market Data'!$AF$5:$AF$66,INDEX('Market Data'!$J$5:$J$528,$T198)-4)),N(INDEX('Market Data'!$AF$5:$AF$66,INDEX('Market Data'!$J$5:$J$528,$T198)-4))&gt;0),INDEX('Market Data'!$AF$5:$AF$66,INDEX('Market Data'!$J$5:$J$528,$T198)-4),"date unavailable"),"date unavailable"))))</f>
        <v/>
      </c>
      <c r="Q198" s="15">
        <f>IF($T198=0,"",IF(INDEX('Market Data'!$J$5:$J$528,$T198)=0,"n/a",IF(AND($M$5&lt;&gt;"Snapshot",ISNUMBER(INDEX('Market Data'!$AH$5:$AH$66,INDEX('Market Data'!$J$5:$J$528,$T198)-4)),N(INDEX('Market Data'!$AH$5:$AH$66,INDEX('Market Data'!$J$5:$J$528,$T198)-4))&gt;0),"Bloomberg",IF(AND($M$5&lt;&gt;"Bloomberg",ISNUMBER(INDEX('Market Data'!$AC$5:$AC$66,INDEX('Market Data'!$J$5:$J$528,$T198)-4)),N(INDEX('Market Data'!$AC$5:$AC$66,INDEX('Market Data'!$J$5:$J$528,$T198)-4))&gt;0),"Snapshot","Unavailable"))))</f>
        <v/>
      </c>
      <c r="T198">
        <f>IFERROR(MATCH(190,'Market Data'!$S$5:$S$528,0),0)</f>
        <v/>
      </c>
    </row>
    <row r="199" ht="34" customHeight="1">
      <c r="A199" s="8">
        <f>IF($T199=0,"",IF(INDEX('Market Data'!$A$5:$A$528,$T199)="","",INDEX('Market Data'!$A$5:$A$528,$T199)))</f>
        <v/>
      </c>
      <c r="B199" s="9">
        <f>IF($T199=0,"",IF(INDEX('Market Data'!$B$5:$B$528,$T199)="","",INDEX('Market Data'!$B$5:$B$528,$T199)))</f>
        <v/>
      </c>
      <c r="C199" s="9">
        <f>IF($T199=0,"",IF(INDEX('Market Data'!$C$5:$C$528,$T199)="","",INDEX('Market Data'!$C$5:$C$528,$T199)))</f>
        <v/>
      </c>
      <c r="D199" s="9">
        <f>IF($T199=0,"",IF(INDEX('Market Data'!$D$5:$D$528,$T199)="","",INDEX('Market Data'!$D$5:$D$528,$T199)))</f>
        <v/>
      </c>
      <c r="E199" s="10">
        <f>IF($T199=0,"",INDEX('Market Data'!$O$5:$O$528,$T199))</f>
        <v/>
      </c>
      <c r="F199" s="11">
        <f>IF($T199=0,"",IF(AND($I199="Bloomberg",ISNUMBER(INDEX('Market Data'!$L$5:$L$528,$T199))),INDEX('Market Data'!$L$5:$L$528,$T199),"unavailable"))</f>
        <v/>
      </c>
      <c r="G199" s="12">
        <f>IF($T199=0,"",IF($I199="Bloomberg",IF(AND(ISNUMBER(INDEX('Market Data'!$M$5:$M$528,$T199)),N(INDEX('Market Data'!$M$5:$M$528,$T199))&gt;0),INDEX('Market Data'!$M$5:$M$528,$T199),"date unavailable"),IF($I199="Snapshot",IF(AND(ISNUMBER(INDEX('Market Data'!$H$5:$H$528,$T199)),N(INDEX('Market Data'!$H$5:$H$528,$T199))&gt;0),INDEX('Market Data'!$H$5:$H$528,$T199),"date unavailable"),"date unavailable")))</f>
        <v/>
      </c>
      <c r="H199" s="9">
        <f>IF($T199=0,"",IF($I199="Bloomberg",IF(INDEX('Market Data'!$N$5:$N$528,$T199)="","time unavailable",INDEX('Market Data'!$N$5:$N$528,$T199)),""))</f>
        <v/>
      </c>
      <c r="I199" s="9">
        <f>IF($T199=0,"",INDEX('Market Data'!$P$5:$P$528,$T199))</f>
        <v/>
      </c>
      <c r="J199" s="13">
        <f>IF($T199=0,"",IF(INDEX('Market Data'!$E$5:$E$528,$T199)="","",INDEX('Market Data'!$E$5:$E$528,$T199)))</f>
        <v/>
      </c>
      <c r="K199" s="8">
        <f>IF($T199=0,"",IF(INDEX('Market Data'!$I$5:$I$528,$T199)="","",INDEX('Market Data'!$I$5:$I$528,$T199)))</f>
        <v/>
      </c>
      <c r="L199" s="10">
        <f>IF($T199=0,"",IF(INDEX('Market Data'!$J$5:$J$528,$T199)=0,"n/a",IF(AND($M$5&lt;&gt;"Snapshot",ISNUMBER(INDEX('Market Data'!$AH$5:$AH$66,INDEX('Market Data'!$J$5:$J$528,$T199)-4)),N(INDEX('Market Data'!$AH$5:$AH$66,INDEX('Market Data'!$J$5:$J$528,$T199)-4))&gt;0),INDEX('Market Data'!$AH$5:$AH$66,INDEX('Market Data'!$J$5:$J$528,$T199)-4),IF(AND($M$5&lt;&gt;"Bloomberg",ISNUMBER(INDEX('Market Data'!$AC$5:$AC$66,INDEX('Market Data'!$J$5:$J$528,$T199)-4)),N(INDEX('Market Data'!$AC$5:$AC$66,INDEX('Market Data'!$J$5:$J$528,$T199)-4))&gt;0),INDEX('Market Data'!$AC$5:$AC$66,INDEX('Market Data'!$J$5:$J$528,$T199)-4),"unavailable"))))</f>
        <v/>
      </c>
      <c r="M199" s="11">
        <f>IF($T199=0,"",IF(INDEX('Market Data'!$J$5:$J$528,$T199)=0,"n/a",IF(IF(INDEX('Market Data'!$J$5:$J$528,$T199)=0,0,IF(LEFT(INDEX('Market Data'!$AS$5:$AS$66,INDEX('Market Data'!$J$5:$J$528,$T199)-4),11)="First-month",1,0))=1,"class review",IF($I199="Bloomberg",IF(AND(ISNUMBER(INDEX('Market Data'!$AH$5:$AH$66,INDEX('Market Data'!$J$5:$J$528,$T199)-4)),N(INDEX('Market Data'!$AH$5:$AH$66,INDEX('Market Data'!$J$5:$J$528,$T199)-4))&gt;0,ISNUMBER('Market Data'!$B$1),N('Market Data'!$B$1)&gt;0),INDEX('Market Data'!$AH$5:$AH$66,INDEX('Market Data'!$J$5:$J$528,$T199)-4)*'Market Data'!$B$1/$E199-1,"pending A/FX"),IF(AND($I199="Snapshot",$Q199="Snapshot",ISNUMBER($E199),$G199=INDEX('Market Data'!$AE$5:$AE$66,INDEX('Market Data'!$J$5:$J$528,$T199)-4)),IFERROR(INDEX('Market Data'!$AC$5:$AC$66,INDEX('Market Data'!$J$5:$J$528,$T199)-4)*INDEX('Market Data'!$AD$5:$AD$66,INDEX('Market Data'!$J$5:$J$528,$T199)-4)/$E199-1,"unavailable"),IF($I199="Unavailable","unavailable","date mismatch"))))))</f>
        <v/>
      </c>
      <c r="N199" s="11">
        <f>IF($T199=0,"",IFERROR(IF(AND(N(INDEX('Market Data'!$F$5:$F$528,$T199))&gt;0,ISNUMBER(INDEX('Market Data'!$T$5:$T$528,$T199))),$E199*INDEX('Market Data'!$T$5:$T$528,$T199)/INDEX('Market Data'!$F$5:$F$528,$T199)-1,"unavailable"),"unavailable"))</f>
        <v/>
      </c>
      <c r="O199" s="9">
        <f>IF($T199=0,"",IF(IF(INDEX('Market Data'!$J$5:$J$528,$T199)=0,0,IF(LEFT(INDEX('Market Data'!$AS$5:$AS$66,INDEX('Market Data'!$J$5:$J$528,$T199)-4),11)="First-month",1,0))=1,"Class ratio review",IF($I199="Bloomberg",IF(ISNUMBER($G199),IF($G199&lt;TODAY(),"Older quote","See quote time"),"Date unavailable"),IF($I199="Snapshot",IF($G199&lt;DATEVALUE("2026-10-02"),"Older snapshot","Dated close"),"No valid quote"))))</f>
        <v/>
      </c>
      <c r="P199" s="14">
        <f>IF($T199=0,"",IF(INDEX('Market Data'!$J$5:$J$528,$T199)=0,"n/a",IF($Q199="Bloomberg",IF(AND(ISNUMBER(INDEX('Market Data'!$AK$5:$AK$66,INDEX('Market Data'!$J$5:$J$528,$T199)-4)),N(INDEX('Market Data'!$AK$5:$AK$66,INDEX('Market Data'!$J$5:$J$528,$T199)-4))&gt;0),INDEX('Market Data'!$AK$5:$AK$66,INDEX('Market Data'!$J$5:$J$528,$T199)-4),"date unavailable"),IF($Q199="Snapshot",IF(AND(ISNUMBER(INDEX('Market Data'!$AF$5:$AF$66,INDEX('Market Data'!$J$5:$J$528,$T199)-4)),N(INDEX('Market Data'!$AF$5:$AF$66,INDEX('Market Data'!$J$5:$J$528,$T199)-4))&gt;0),INDEX('Market Data'!$AF$5:$AF$66,INDEX('Market Data'!$J$5:$J$528,$T199)-4),"date unavailable"),"date unavailable"))))</f>
        <v/>
      </c>
      <c r="Q199" s="15">
        <f>IF($T199=0,"",IF(INDEX('Market Data'!$J$5:$J$528,$T199)=0,"n/a",IF(AND($M$5&lt;&gt;"Snapshot",ISNUMBER(INDEX('Market Data'!$AH$5:$AH$66,INDEX('Market Data'!$J$5:$J$528,$T199)-4)),N(INDEX('Market Data'!$AH$5:$AH$66,INDEX('Market Data'!$J$5:$J$528,$T199)-4))&gt;0),"Bloomberg",IF(AND($M$5&lt;&gt;"Bloomberg",ISNUMBER(INDEX('Market Data'!$AC$5:$AC$66,INDEX('Market Data'!$J$5:$J$528,$T199)-4)),N(INDEX('Market Data'!$AC$5:$AC$66,INDEX('Market Data'!$J$5:$J$528,$T199)-4))&gt;0),"Snapshot","Unavailable"))))</f>
        <v/>
      </c>
      <c r="T199">
        <f>IFERROR(MATCH(191,'Market Data'!$S$5:$S$528,0),0)</f>
        <v/>
      </c>
    </row>
    <row r="200" ht="34" customHeight="1">
      <c r="A200" s="8">
        <f>IF($T200=0,"",IF(INDEX('Market Data'!$A$5:$A$528,$T200)="","",INDEX('Market Data'!$A$5:$A$528,$T200)))</f>
        <v/>
      </c>
      <c r="B200" s="9">
        <f>IF($T200=0,"",IF(INDEX('Market Data'!$B$5:$B$528,$T200)="","",INDEX('Market Data'!$B$5:$B$528,$T200)))</f>
        <v/>
      </c>
      <c r="C200" s="9">
        <f>IF($T200=0,"",IF(INDEX('Market Data'!$C$5:$C$528,$T200)="","",INDEX('Market Data'!$C$5:$C$528,$T200)))</f>
        <v/>
      </c>
      <c r="D200" s="9">
        <f>IF($T200=0,"",IF(INDEX('Market Data'!$D$5:$D$528,$T200)="","",INDEX('Market Data'!$D$5:$D$528,$T200)))</f>
        <v/>
      </c>
      <c r="E200" s="10">
        <f>IF($T200=0,"",INDEX('Market Data'!$O$5:$O$528,$T200))</f>
        <v/>
      </c>
      <c r="F200" s="11">
        <f>IF($T200=0,"",IF(AND($I200="Bloomberg",ISNUMBER(INDEX('Market Data'!$L$5:$L$528,$T200))),INDEX('Market Data'!$L$5:$L$528,$T200),"unavailable"))</f>
        <v/>
      </c>
      <c r="G200" s="12">
        <f>IF($T200=0,"",IF($I200="Bloomberg",IF(AND(ISNUMBER(INDEX('Market Data'!$M$5:$M$528,$T200)),N(INDEX('Market Data'!$M$5:$M$528,$T200))&gt;0),INDEX('Market Data'!$M$5:$M$528,$T200),"date unavailable"),IF($I200="Snapshot",IF(AND(ISNUMBER(INDEX('Market Data'!$H$5:$H$528,$T200)),N(INDEX('Market Data'!$H$5:$H$528,$T200))&gt;0),INDEX('Market Data'!$H$5:$H$528,$T200),"date unavailable"),"date unavailable")))</f>
        <v/>
      </c>
      <c r="H200" s="9">
        <f>IF($T200=0,"",IF($I200="Bloomberg",IF(INDEX('Market Data'!$N$5:$N$528,$T200)="","time unavailable",INDEX('Market Data'!$N$5:$N$528,$T200)),""))</f>
        <v/>
      </c>
      <c r="I200" s="9">
        <f>IF($T200=0,"",INDEX('Market Data'!$P$5:$P$528,$T200))</f>
        <v/>
      </c>
      <c r="J200" s="13">
        <f>IF($T200=0,"",IF(INDEX('Market Data'!$E$5:$E$528,$T200)="","",INDEX('Market Data'!$E$5:$E$528,$T200)))</f>
        <v/>
      </c>
      <c r="K200" s="8">
        <f>IF($T200=0,"",IF(INDEX('Market Data'!$I$5:$I$528,$T200)="","",INDEX('Market Data'!$I$5:$I$528,$T200)))</f>
        <v/>
      </c>
      <c r="L200" s="10">
        <f>IF($T200=0,"",IF(INDEX('Market Data'!$J$5:$J$528,$T200)=0,"n/a",IF(AND($M$5&lt;&gt;"Snapshot",ISNUMBER(INDEX('Market Data'!$AH$5:$AH$66,INDEX('Market Data'!$J$5:$J$528,$T200)-4)),N(INDEX('Market Data'!$AH$5:$AH$66,INDEX('Market Data'!$J$5:$J$528,$T200)-4))&gt;0),INDEX('Market Data'!$AH$5:$AH$66,INDEX('Market Data'!$J$5:$J$528,$T200)-4),IF(AND($M$5&lt;&gt;"Bloomberg",ISNUMBER(INDEX('Market Data'!$AC$5:$AC$66,INDEX('Market Data'!$J$5:$J$528,$T200)-4)),N(INDEX('Market Data'!$AC$5:$AC$66,INDEX('Market Data'!$J$5:$J$528,$T200)-4))&gt;0),INDEX('Market Data'!$AC$5:$AC$66,INDEX('Market Data'!$J$5:$J$528,$T200)-4),"unavailable"))))</f>
        <v/>
      </c>
      <c r="M200" s="11">
        <f>IF($T200=0,"",IF(INDEX('Market Data'!$J$5:$J$528,$T200)=0,"n/a",IF(IF(INDEX('Market Data'!$J$5:$J$528,$T200)=0,0,IF(LEFT(INDEX('Market Data'!$AS$5:$AS$66,INDEX('Market Data'!$J$5:$J$528,$T200)-4),11)="First-month",1,0))=1,"class review",IF($I200="Bloomberg",IF(AND(ISNUMBER(INDEX('Market Data'!$AH$5:$AH$66,INDEX('Market Data'!$J$5:$J$528,$T200)-4)),N(INDEX('Market Data'!$AH$5:$AH$66,INDEX('Market Data'!$J$5:$J$528,$T200)-4))&gt;0,ISNUMBER('Market Data'!$B$1),N('Market Data'!$B$1)&gt;0),INDEX('Market Data'!$AH$5:$AH$66,INDEX('Market Data'!$J$5:$J$528,$T200)-4)*'Market Data'!$B$1/$E200-1,"pending A/FX"),IF(AND($I200="Snapshot",$Q200="Snapshot",ISNUMBER($E200),$G200=INDEX('Market Data'!$AE$5:$AE$66,INDEX('Market Data'!$J$5:$J$528,$T200)-4)),IFERROR(INDEX('Market Data'!$AC$5:$AC$66,INDEX('Market Data'!$J$5:$J$528,$T200)-4)*INDEX('Market Data'!$AD$5:$AD$66,INDEX('Market Data'!$J$5:$J$528,$T200)-4)/$E200-1,"unavailable"),IF($I200="Unavailable","unavailable","date mismatch"))))))</f>
        <v/>
      </c>
      <c r="N200" s="11">
        <f>IF($T200=0,"",IFERROR(IF(AND(N(INDEX('Market Data'!$F$5:$F$528,$T200))&gt;0,ISNUMBER(INDEX('Market Data'!$T$5:$T$528,$T200))),$E200*INDEX('Market Data'!$T$5:$T$528,$T200)/INDEX('Market Data'!$F$5:$F$528,$T200)-1,"unavailable"),"unavailable"))</f>
        <v/>
      </c>
      <c r="O200" s="9">
        <f>IF($T200=0,"",IF(IF(INDEX('Market Data'!$J$5:$J$528,$T200)=0,0,IF(LEFT(INDEX('Market Data'!$AS$5:$AS$66,INDEX('Market Data'!$J$5:$J$528,$T200)-4),11)="First-month",1,0))=1,"Class ratio review",IF($I200="Bloomberg",IF(ISNUMBER($G200),IF($G200&lt;TODAY(),"Older quote","See quote time"),"Date unavailable"),IF($I200="Snapshot",IF($G200&lt;DATEVALUE("2026-10-02"),"Older snapshot","Dated close"),"No valid quote"))))</f>
        <v/>
      </c>
      <c r="P200" s="14">
        <f>IF($T200=0,"",IF(INDEX('Market Data'!$J$5:$J$528,$T200)=0,"n/a",IF($Q200="Bloomberg",IF(AND(ISNUMBER(INDEX('Market Data'!$AK$5:$AK$66,INDEX('Market Data'!$J$5:$J$528,$T200)-4)),N(INDEX('Market Data'!$AK$5:$AK$66,INDEX('Market Data'!$J$5:$J$528,$T200)-4))&gt;0),INDEX('Market Data'!$AK$5:$AK$66,INDEX('Market Data'!$J$5:$J$528,$T200)-4),"date unavailable"),IF($Q200="Snapshot",IF(AND(ISNUMBER(INDEX('Market Data'!$AF$5:$AF$66,INDEX('Market Data'!$J$5:$J$528,$T200)-4)),N(INDEX('Market Data'!$AF$5:$AF$66,INDEX('Market Data'!$J$5:$J$528,$T200)-4))&gt;0),INDEX('Market Data'!$AF$5:$AF$66,INDEX('Market Data'!$J$5:$J$528,$T200)-4),"date unavailable"),"date unavailable"))))</f>
        <v/>
      </c>
      <c r="Q200" s="15">
        <f>IF($T200=0,"",IF(INDEX('Market Data'!$J$5:$J$528,$T200)=0,"n/a",IF(AND($M$5&lt;&gt;"Snapshot",ISNUMBER(INDEX('Market Data'!$AH$5:$AH$66,INDEX('Market Data'!$J$5:$J$528,$T200)-4)),N(INDEX('Market Data'!$AH$5:$AH$66,INDEX('Market Data'!$J$5:$J$528,$T200)-4))&gt;0),"Bloomberg",IF(AND($M$5&lt;&gt;"Bloomberg",ISNUMBER(INDEX('Market Data'!$AC$5:$AC$66,INDEX('Market Data'!$J$5:$J$528,$T200)-4)),N(INDEX('Market Data'!$AC$5:$AC$66,INDEX('Market Data'!$J$5:$J$528,$T200)-4))&gt;0),"Snapshot","Unavailable"))))</f>
        <v/>
      </c>
      <c r="T200">
        <f>IFERROR(MATCH(192,'Market Data'!$S$5:$S$528,0),0)</f>
        <v/>
      </c>
    </row>
    <row r="201" ht="34" customHeight="1">
      <c r="A201" s="8">
        <f>IF($T201=0,"",IF(INDEX('Market Data'!$A$5:$A$528,$T201)="","",INDEX('Market Data'!$A$5:$A$528,$T201)))</f>
        <v/>
      </c>
      <c r="B201" s="9">
        <f>IF($T201=0,"",IF(INDEX('Market Data'!$B$5:$B$528,$T201)="","",INDEX('Market Data'!$B$5:$B$528,$T201)))</f>
        <v/>
      </c>
      <c r="C201" s="9">
        <f>IF($T201=0,"",IF(INDEX('Market Data'!$C$5:$C$528,$T201)="","",INDEX('Market Data'!$C$5:$C$528,$T201)))</f>
        <v/>
      </c>
      <c r="D201" s="9">
        <f>IF($T201=0,"",IF(INDEX('Market Data'!$D$5:$D$528,$T201)="","",INDEX('Market Data'!$D$5:$D$528,$T201)))</f>
        <v/>
      </c>
      <c r="E201" s="10">
        <f>IF($T201=0,"",INDEX('Market Data'!$O$5:$O$528,$T201))</f>
        <v/>
      </c>
      <c r="F201" s="11">
        <f>IF($T201=0,"",IF(AND($I201="Bloomberg",ISNUMBER(INDEX('Market Data'!$L$5:$L$528,$T201))),INDEX('Market Data'!$L$5:$L$528,$T201),"unavailable"))</f>
        <v/>
      </c>
      <c r="G201" s="12">
        <f>IF($T201=0,"",IF($I201="Bloomberg",IF(AND(ISNUMBER(INDEX('Market Data'!$M$5:$M$528,$T201)),N(INDEX('Market Data'!$M$5:$M$528,$T201))&gt;0),INDEX('Market Data'!$M$5:$M$528,$T201),"date unavailable"),IF($I201="Snapshot",IF(AND(ISNUMBER(INDEX('Market Data'!$H$5:$H$528,$T201)),N(INDEX('Market Data'!$H$5:$H$528,$T201))&gt;0),INDEX('Market Data'!$H$5:$H$528,$T201),"date unavailable"),"date unavailable")))</f>
        <v/>
      </c>
      <c r="H201" s="9">
        <f>IF($T201=0,"",IF($I201="Bloomberg",IF(INDEX('Market Data'!$N$5:$N$528,$T201)="","time unavailable",INDEX('Market Data'!$N$5:$N$528,$T201)),""))</f>
        <v/>
      </c>
      <c r="I201" s="9">
        <f>IF($T201=0,"",INDEX('Market Data'!$P$5:$P$528,$T201))</f>
        <v/>
      </c>
      <c r="J201" s="13">
        <f>IF($T201=0,"",IF(INDEX('Market Data'!$E$5:$E$528,$T201)="","",INDEX('Market Data'!$E$5:$E$528,$T201)))</f>
        <v/>
      </c>
      <c r="K201" s="8">
        <f>IF($T201=0,"",IF(INDEX('Market Data'!$I$5:$I$528,$T201)="","",INDEX('Market Data'!$I$5:$I$528,$T201)))</f>
        <v/>
      </c>
      <c r="L201" s="10">
        <f>IF($T201=0,"",IF(INDEX('Market Data'!$J$5:$J$528,$T201)=0,"n/a",IF(AND($M$5&lt;&gt;"Snapshot",ISNUMBER(INDEX('Market Data'!$AH$5:$AH$66,INDEX('Market Data'!$J$5:$J$528,$T201)-4)),N(INDEX('Market Data'!$AH$5:$AH$66,INDEX('Market Data'!$J$5:$J$528,$T201)-4))&gt;0),INDEX('Market Data'!$AH$5:$AH$66,INDEX('Market Data'!$J$5:$J$528,$T201)-4),IF(AND($M$5&lt;&gt;"Bloomberg",ISNUMBER(INDEX('Market Data'!$AC$5:$AC$66,INDEX('Market Data'!$J$5:$J$528,$T201)-4)),N(INDEX('Market Data'!$AC$5:$AC$66,INDEX('Market Data'!$J$5:$J$528,$T201)-4))&gt;0),INDEX('Market Data'!$AC$5:$AC$66,INDEX('Market Data'!$J$5:$J$528,$T201)-4),"unavailable"))))</f>
        <v/>
      </c>
      <c r="M201" s="11">
        <f>IF($T201=0,"",IF(INDEX('Market Data'!$J$5:$J$528,$T201)=0,"n/a",IF(IF(INDEX('Market Data'!$J$5:$J$528,$T201)=0,0,IF(LEFT(INDEX('Market Data'!$AS$5:$AS$66,INDEX('Market Data'!$J$5:$J$528,$T201)-4),11)="First-month",1,0))=1,"class review",IF($I201="Bloomberg",IF(AND(ISNUMBER(INDEX('Market Data'!$AH$5:$AH$66,INDEX('Market Data'!$J$5:$J$528,$T201)-4)),N(INDEX('Market Data'!$AH$5:$AH$66,INDEX('Market Data'!$J$5:$J$528,$T201)-4))&gt;0,ISNUMBER('Market Data'!$B$1),N('Market Data'!$B$1)&gt;0),INDEX('Market Data'!$AH$5:$AH$66,INDEX('Market Data'!$J$5:$J$528,$T201)-4)*'Market Data'!$B$1/$E201-1,"pending A/FX"),IF(AND($I201="Snapshot",$Q201="Snapshot",ISNUMBER($E201),$G201=INDEX('Market Data'!$AE$5:$AE$66,INDEX('Market Data'!$J$5:$J$528,$T201)-4)),IFERROR(INDEX('Market Data'!$AC$5:$AC$66,INDEX('Market Data'!$J$5:$J$528,$T201)-4)*INDEX('Market Data'!$AD$5:$AD$66,INDEX('Market Data'!$J$5:$J$528,$T201)-4)/$E201-1,"unavailable"),IF($I201="Unavailable","unavailable","date mismatch"))))))</f>
        <v/>
      </c>
      <c r="N201" s="11">
        <f>IF($T201=0,"",IFERROR(IF(AND(N(INDEX('Market Data'!$F$5:$F$528,$T201))&gt;0,ISNUMBER(INDEX('Market Data'!$T$5:$T$528,$T201))),$E201*INDEX('Market Data'!$T$5:$T$528,$T201)/INDEX('Market Data'!$F$5:$F$528,$T201)-1,"unavailable"),"unavailable"))</f>
        <v/>
      </c>
      <c r="O201" s="9">
        <f>IF($T201=0,"",IF(IF(INDEX('Market Data'!$J$5:$J$528,$T201)=0,0,IF(LEFT(INDEX('Market Data'!$AS$5:$AS$66,INDEX('Market Data'!$J$5:$J$528,$T201)-4),11)="First-month",1,0))=1,"Class ratio review",IF($I201="Bloomberg",IF(ISNUMBER($G201),IF($G201&lt;TODAY(),"Older quote","See quote time"),"Date unavailable"),IF($I201="Snapshot",IF($G201&lt;DATEVALUE("2026-10-02"),"Older snapshot","Dated close"),"No valid quote"))))</f>
        <v/>
      </c>
      <c r="P201" s="14">
        <f>IF($T201=0,"",IF(INDEX('Market Data'!$J$5:$J$528,$T201)=0,"n/a",IF($Q201="Bloomberg",IF(AND(ISNUMBER(INDEX('Market Data'!$AK$5:$AK$66,INDEX('Market Data'!$J$5:$J$528,$T201)-4)),N(INDEX('Market Data'!$AK$5:$AK$66,INDEX('Market Data'!$J$5:$J$528,$T201)-4))&gt;0),INDEX('Market Data'!$AK$5:$AK$66,INDEX('Market Data'!$J$5:$J$528,$T201)-4),"date unavailable"),IF($Q201="Snapshot",IF(AND(ISNUMBER(INDEX('Market Data'!$AF$5:$AF$66,INDEX('Market Data'!$J$5:$J$528,$T201)-4)),N(INDEX('Market Data'!$AF$5:$AF$66,INDEX('Market Data'!$J$5:$J$528,$T201)-4))&gt;0),INDEX('Market Data'!$AF$5:$AF$66,INDEX('Market Data'!$J$5:$J$528,$T201)-4),"date unavailable"),"date unavailable"))))</f>
        <v/>
      </c>
      <c r="Q201" s="15">
        <f>IF($T201=0,"",IF(INDEX('Market Data'!$J$5:$J$528,$T201)=0,"n/a",IF(AND($M$5&lt;&gt;"Snapshot",ISNUMBER(INDEX('Market Data'!$AH$5:$AH$66,INDEX('Market Data'!$J$5:$J$528,$T201)-4)),N(INDEX('Market Data'!$AH$5:$AH$66,INDEX('Market Data'!$J$5:$J$528,$T201)-4))&gt;0),"Bloomberg",IF(AND($M$5&lt;&gt;"Bloomberg",ISNUMBER(INDEX('Market Data'!$AC$5:$AC$66,INDEX('Market Data'!$J$5:$J$528,$T201)-4)),N(INDEX('Market Data'!$AC$5:$AC$66,INDEX('Market Data'!$J$5:$J$528,$T201)-4))&gt;0),"Snapshot","Unavailable"))))</f>
        <v/>
      </c>
      <c r="T201">
        <f>IFERROR(MATCH(193,'Market Data'!$S$5:$S$528,0),0)</f>
        <v/>
      </c>
    </row>
    <row r="202" ht="34" customHeight="1">
      <c r="A202" s="8">
        <f>IF($T202=0,"",IF(INDEX('Market Data'!$A$5:$A$528,$T202)="","",INDEX('Market Data'!$A$5:$A$528,$T202)))</f>
        <v/>
      </c>
      <c r="B202" s="9">
        <f>IF($T202=0,"",IF(INDEX('Market Data'!$B$5:$B$528,$T202)="","",INDEX('Market Data'!$B$5:$B$528,$T202)))</f>
        <v/>
      </c>
      <c r="C202" s="9">
        <f>IF($T202=0,"",IF(INDEX('Market Data'!$C$5:$C$528,$T202)="","",INDEX('Market Data'!$C$5:$C$528,$T202)))</f>
        <v/>
      </c>
      <c r="D202" s="9">
        <f>IF($T202=0,"",IF(INDEX('Market Data'!$D$5:$D$528,$T202)="","",INDEX('Market Data'!$D$5:$D$528,$T202)))</f>
        <v/>
      </c>
      <c r="E202" s="10">
        <f>IF($T202=0,"",INDEX('Market Data'!$O$5:$O$528,$T202))</f>
        <v/>
      </c>
      <c r="F202" s="11">
        <f>IF($T202=0,"",IF(AND($I202="Bloomberg",ISNUMBER(INDEX('Market Data'!$L$5:$L$528,$T202))),INDEX('Market Data'!$L$5:$L$528,$T202),"unavailable"))</f>
        <v/>
      </c>
      <c r="G202" s="12">
        <f>IF($T202=0,"",IF($I202="Bloomberg",IF(AND(ISNUMBER(INDEX('Market Data'!$M$5:$M$528,$T202)),N(INDEX('Market Data'!$M$5:$M$528,$T202))&gt;0),INDEX('Market Data'!$M$5:$M$528,$T202),"date unavailable"),IF($I202="Snapshot",IF(AND(ISNUMBER(INDEX('Market Data'!$H$5:$H$528,$T202)),N(INDEX('Market Data'!$H$5:$H$528,$T202))&gt;0),INDEX('Market Data'!$H$5:$H$528,$T202),"date unavailable"),"date unavailable")))</f>
        <v/>
      </c>
      <c r="H202" s="9">
        <f>IF($T202=0,"",IF($I202="Bloomberg",IF(INDEX('Market Data'!$N$5:$N$528,$T202)="","time unavailable",INDEX('Market Data'!$N$5:$N$528,$T202)),""))</f>
        <v/>
      </c>
      <c r="I202" s="9">
        <f>IF($T202=0,"",INDEX('Market Data'!$P$5:$P$528,$T202))</f>
        <v/>
      </c>
      <c r="J202" s="13">
        <f>IF($T202=0,"",IF(INDEX('Market Data'!$E$5:$E$528,$T202)="","",INDEX('Market Data'!$E$5:$E$528,$T202)))</f>
        <v/>
      </c>
      <c r="K202" s="8">
        <f>IF($T202=0,"",IF(INDEX('Market Data'!$I$5:$I$528,$T202)="","",INDEX('Market Data'!$I$5:$I$528,$T202)))</f>
        <v/>
      </c>
      <c r="L202" s="10">
        <f>IF($T202=0,"",IF(INDEX('Market Data'!$J$5:$J$528,$T202)=0,"n/a",IF(AND($M$5&lt;&gt;"Snapshot",ISNUMBER(INDEX('Market Data'!$AH$5:$AH$66,INDEX('Market Data'!$J$5:$J$528,$T202)-4)),N(INDEX('Market Data'!$AH$5:$AH$66,INDEX('Market Data'!$J$5:$J$528,$T202)-4))&gt;0),INDEX('Market Data'!$AH$5:$AH$66,INDEX('Market Data'!$J$5:$J$528,$T202)-4),IF(AND($M$5&lt;&gt;"Bloomberg",ISNUMBER(INDEX('Market Data'!$AC$5:$AC$66,INDEX('Market Data'!$J$5:$J$528,$T202)-4)),N(INDEX('Market Data'!$AC$5:$AC$66,INDEX('Market Data'!$J$5:$J$528,$T202)-4))&gt;0),INDEX('Market Data'!$AC$5:$AC$66,INDEX('Market Data'!$J$5:$J$528,$T202)-4),"unavailable"))))</f>
        <v/>
      </c>
      <c r="M202" s="11">
        <f>IF($T202=0,"",IF(INDEX('Market Data'!$J$5:$J$528,$T202)=0,"n/a",IF(IF(INDEX('Market Data'!$J$5:$J$528,$T202)=0,0,IF(LEFT(INDEX('Market Data'!$AS$5:$AS$66,INDEX('Market Data'!$J$5:$J$528,$T202)-4),11)="First-month",1,0))=1,"class review",IF($I202="Bloomberg",IF(AND(ISNUMBER(INDEX('Market Data'!$AH$5:$AH$66,INDEX('Market Data'!$J$5:$J$528,$T202)-4)),N(INDEX('Market Data'!$AH$5:$AH$66,INDEX('Market Data'!$J$5:$J$528,$T202)-4))&gt;0,ISNUMBER('Market Data'!$B$1),N('Market Data'!$B$1)&gt;0),INDEX('Market Data'!$AH$5:$AH$66,INDEX('Market Data'!$J$5:$J$528,$T202)-4)*'Market Data'!$B$1/$E202-1,"pending A/FX"),IF(AND($I202="Snapshot",$Q202="Snapshot",ISNUMBER($E202),$G202=INDEX('Market Data'!$AE$5:$AE$66,INDEX('Market Data'!$J$5:$J$528,$T202)-4)),IFERROR(INDEX('Market Data'!$AC$5:$AC$66,INDEX('Market Data'!$J$5:$J$528,$T202)-4)*INDEX('Market Data'!$AD$5:$AD$66,INDEX('Market Data'!$J$5:$J$528,$T202)-4)/$E202-1,"unavailable"),IF($I202="Unavailable","unavailable","date mismatch"))))))</f>
        <v/>
      </c>
      <c r="N202" s="11">
        <f>IF($T202=0,"",IFERROR(IF(AND(N(INDEX('Market Data'!$F$5:$F$528,$T202))&gt;0,ISNUMBER(INDEX('Market Data'!$T$5:$T$528,$T202))),$E202*INDEX('Market Data'!$T$5:$T$528,$T202)/INDEX('Market Data'!$F$5:$F$528,$T202)-1,"unavailable"),"unavailable"))</f>
        <v/>
      </c>
      <c r="O202" s="9">
        <f>IF($T202=0,"",IF(IF(INDEX('Market Data'!$J$5:$J$528,$T202)=0,0,IF(LEFT(INDEX('Market Data'!$AS$5:$AS$66,INDEX('Market Data'!$J$5:$J$528,$T202)-4),11)="First-month",1,0))=1,"Class ratio review",IF($I202="Bloomberg",IF(ISNUMBER($G202),IF($G202&lt;TODAY(),"Older quote","See quote time"),"Date unavailable"),IF($I202="Snapshot",IF($G202&lt;DATEVALUE("2026-10-02"),"Older snapshot","Dated close"),"No valid quote"))))</f>
        <v/>
      </c>
      <c r="P202" s="14">
        <f>IF($T202=0,"",IF(INDEX('Market Data'!$J$5:$J$528,$T202)=0,"n/a",IF($Q202="Bloomberg",IF(AND(ISNUMBER(INDEX('Market Data'!$AK$5:$AK$66,INDEX('Market Data'!$J$5:$J$528,$T202)-4)),N(INDEX('Market Data'!$AK$5:$AK$66,INDEX('Market Data'!$J$5:$J$528,$T202)-4))&gt;0),INDEX('Market Data'!$AK$5:$AK$66,INDEX('Market Data'!$J$5:$J$528,$T202)-4),"date unavailable"),IF($Q202="Snapshot",IF(AND(ISNUMBER(INDEX('Market Data'!$AF$5:$AF$66,INDEX('Market Data'!$J$5:$J$528,$T202)-4)),N(INDEX('Market Data'!$AF$5:$AF$66,INDEX('Market Data'!$J$5:$J$528,$T202)-4))&gt;0),INDEX('Market Data'!$AF$5:$AF$66,INDEX('Market Data'!$J$5:$J$528,$T202)-4),"date unavailable"),"date unavailable"))))</f>
        <v/>
      </c>
      <c r="Q202" s="15">
        <f>IF($T202=0,"",IF(INDEX('Market Data'!$J$5:$J$528,$T202)=0,"n/a",IF(AND($M$5&lt;&gt;"Snapshot",ISNUMBER(INDEX('Market Data'!$AH$5:$AH$66,INDEX('Market Data'!$J$5:$J$528,$T202)-4)),N(INDEX('Market Data'!$AH$5:$AH$66,INDEX('Market Data'!$J$5:$J$528,$T202)-4))&gt;0),"Bloomberg",IF(AND($M$5&lt;&gt;"Bloomberg",ISNUMBER(INDEX('Market Data'!$AC$5:$AC$66,INDEX('Market Data'!$J$5:$J$528,$T202)-4)),N(INDEX('Market Data'!$AC$5:$AC$66,INDEX('Market Data'!$J$5:$J$528,$T202)-4))&gt;0),"Snapshot","Unavailable"))))</f>
        <v/>
      </c>
      <c r="T202">
        <f>IFERROR(MATCH(194,'Market Data'!$S$5:$S$528,0),0)</f>
        <v/>
      </c>
    </row>
    <row r="203" ht="34" customHeight="1">
      <c r="A203" s="8">
        <f>IF($T203=0,"",IF(INDEX('Market Data'!$A$5:$A$528,$T203)="","",INDEX('Market Data'!$A$5:$A$528,$T203)))</f>
        <v/>
      </c>
      <c r="B203" s="9">
        <f>IF($T203=0,"",IF(INDEX('Market Data'!$B$5:$B$528,$T203)="","",INDEX('Market Data'!$B$5:$B$528,$T203)))</f>
        <v/>
      </c>
      <c r="C203" s="9">
        <f>IF($T203=0,"",IF(INDEX('Market Data'!$C$5:$C$528,$T203)="","",INDEX('Market Data'!$C$5:$C$528,$T203)))</f>
        <v/>
      </c>
      <c r="D203" s="9">
        <f>IF($T203=0,"",IF(INDEX('Market Data'!$D$5:$D$528,$T203)="","",INDEX('Market Data'!$D$5:$D$528,$T203)))</f>
        <v/>
      </c>
      <c r="E203" s="10">
        <f>IF($T203=0,"",INDEX('Market Data'!$O$5:$O$528,$T203))</f>
        <v/>
      </c>
      <c r="F203" s="11">
        <f>IF($T203=0,"",IF(AND($I203="Bloomberg",ISNUMBER(INDEX('Market Data'!$L$5:$L$528,$T203))),INDEX('Market Data'!$L$5:$L$528,$T203),"unavailable"))</f>
        <v/>
      </c>
      <c r="G203" s="12">
        <f>IF($T203=0,"",IF($I203="Bloomberg",IF(AND(ISNUMBER(INDEX('Market Data'!$M$5:$M$528,$T203)),N(INDEX('Market Data'!$M$5:$M$528,$T203))&gt;0),INDEX('Market Data'!$M$5:$M$528,$T203),"date unavailable"),IF($I203="Snapshot",IF(AND(ISNUMBER(INDEX('Market Data'!$H$5:$H$528,$T203)),N(INDEX('Market Data'!$H$5:$H$528,$T203))&gt;0),INDEX('Market Data'!$H$5:$H$528,$T203),"date unavailable"),"date unavailable")))</f>
        <v/>
      </c>
      <c r="H203" s="9">
        <f>IF($T203=0,"",IF($I203="Bloomberg",IF(INDEX('Market Data'!$N$5:$N$528,$T203)="","time unavailable",INDEX('Market Data'!$N$5:$N$528,$T203)),""))</f>
        <v/>
      </c>
      <c r="I203" s="9">
        <f>IF($T203=0,"",INDEX('Market Data'!$P$5:$P$528,$T203))</f>
        <v/>
      </c>
      <c r="J203" s="13">
        <f>IF($T203=0,"",IF(INDEX('Market Data'!$E$5:$E$528,$T203)="","",INDEX('Market Data'!$E$5:$E$528,$T203)))</f>
        <v/>
      </c>
      <c r="K203" s="8">
        <f>IF($T203=0,"",IF(INDEX('Market Data'!$I$5:$I$528,$T203)="","",INDEX('Market Data'!$I$5:$I$528,$T203)))</f>
        <v/>
      </c>
      <c r="L203" s="10">
        <f>IF($T203=0,"",IF(INDEX('Market Data'!$J$5:$J$528,$T203)=0,"n/a",IF(AND($M$5&lt;&gt;"Snapshot",ISNUMBER(INDEX('Market Data'!$AH$5:$AH$66,INDEX('Market Data'!$J$5:$J$528,$T203)-4)),N(INDEX('Market Data'!$AH$5:$AH$66,INDEX('Market Data'!$J$5:$J$528,$T203)-4))&gt;0),INDEX('Market Data'!$AH$5:$AH$66,INDEX('Market Data'!$J$5:$J$528,$T203)-4),IF(AND($M$5&lt;&gt;"Bloomberg",ISNUMBER(INDEX('Market Data'!$AC$5:$AC$66,INDEX('Market Data'!$J$5:$J$528,$T203)-4)),N(INDEX('Market Data'!$AC$5:$AC$66,INDEX('Market Data'!$J$5:$J$528,$T203)-4))&gt;0),INDEX('Market Data'!$AC$5:$AC$66,INDEX('Market Data'!$J$5:$J$528,$T203)-4),"unavailable"))))</f>
        <v/>
      </c>
      <c r="M203" s="11">
        <f>IF($T203=0,"",IF(INDEX('Market Data'!$J$5:$J$528,$T203)=0,"n/a",IF(IF(INDEX('Market Data'!$J$5:$J$528,$T203)=0,0,IF(LEFT(INDEX('Market Data'!$AS$5:$AS$66,INDEX('Market Data'!$J$5:$J$528,$T203)-4),11)="First-month",1,0))=1,"class review",IF($I203="Bloomberg",IF(AND(ISNUMBER(INDEX('Market Data'!$AH$5:$AH$66,INDEX('Market Data'!$J$5:$J$528,$T203)-4)),N(INDEX('Market Data'!$AH$5:$AH$66,INDEX('Market Data'!$J$5:$J$528,$T203)-4))&gt;0,ISNUMBER('Market Data'!$B$1),N('Market Data'!$B$1)&gt;0),INDEX('Market Data'!$AH$5:$AH$66,INDEX('Market Data'!$J$5:$J$528,$T203)-4)*'Market Data'!$B$1/$E203-1,"pending A/FX"),IF(AND($I203="Snapshot",$Q203="Snapshot",ISNUMBER($E203),$G203=INDEX('Market Data'!$AE$5:$AE$66,INDEX('Market Data'!$J$5:$J$528,$T203)-4)),IFERROR(INDEX('Market Data'!$AC$5:$AC$66,INDEX('Market Data'!$J$5:$J$528,$T203)-4)*INDEX('Market Data'!$AD$5:$AD$66,INDEX('Market Data'!$J$5:$J$528,$T203)-4)/$E203-1,"unavailable"),IF($I203="Unavailable","unavailable","date mismatch"))))))</f>
        <v/>
      </c>
      <c r="N203" s="11">
        <f>IF($T203=0,"",IFERROR(IF(AND(N(INDEX('Market Data'!$F$5:$F$528,$T203))&gt;0,ISNUMBER(INDEX('Market Data'!$T$5:$T$528,$T203))),$E203*INDEX('Market Data'!$T$5:$T$528,$T203)/INDEX('Market Data'!$F$5:$F$528,$T203)-1,"unavailable"),"unavailable"))</f>
        <v/>
      </c>
      <c r="O203" s="9">
        <f>IF($T203=0,"",IF(IF(INDEX('Market Data'!$J$5:$J$528,$T203)=0,0,IF(LEFT(INDEX('Market Data'!$AS$5:$AS$66,INDEX('Market Data'!$J$5:$J$528,$T203)-4),11)="First-month",1,0))=1,"Class ratio review",IF($I203="Bloomberg",IF(ISNUMBER($G203),IF($G203&lt;TODAY(),"Older quote","See quote time"),"Date unavailable"),IF($I203="Snapshot",IF($G203&lt;DATEVALUE("2026-10-02"),"Older snapshot","Dated close"),"No valid quote"))))</f>
        <v/>
      </c>
      <c r="P203" s="14">
        <f>IF($T203=0,"",IF(INDEX('Market Data'!$J$5:$J$528,$T203)=0,"n/a",IF($Q203="Bloomberg",IF(AND(ISNUMBER(INDEX('Market Data'!$AK$5:$AK$66,INDEX('Market Data'!$J$5:$J$528,$T203)-4)),N(INDEX('Market Data'!$AK$5:$AK$66,INDEX('Market Data'!$J$5:$J$528,$T203)-4))&gt;0),INDEX('Market Data'!$AK$5:$AK$66,INDEX('Market Data'!$J$5:$J$528,$T203)-4),"date unavailable"),IF($Q203="Snapshot",IF(AND(ISNUMBER(INDEX('Market Data'!$AF$5:$AF$66,INDEX('Market Data'!$J$5:$J$528,$T203)-4)),N(INDEX('Market Data'!$AF$5:$AF$66,INDEX('Market Data'!$J$5:$J$528,$T203)-4))&gt;0),INDEX('Market Data'!$AF$5:$AF$66,INDEX('Market Data'!$J$5:$J$528,$T203)-4),"date unavailable"),"date unavailable"))))</f>
        <v/>
      </c>
      <c r="Q203" s="15">
        <f>IF($T203=0,"",IF(INDEX('Market Data'!$J$5:$J$528,$T203)=0,"n/a",IF(AND($M$5&lt;&gt;"Snapshot",ISNUMBER(INDEX('Market Data'!$AH$5:$AH$66,INDEX('Market Data'!$J$5:$J$528,$T203)-4)),N(INDEX('Market Data'!$AH$5:$AH$66,INDEX('Market Data'!$J$5:$J$528,$T203)-4))&gt;0),"Bloomberg",IF(AND($M$5&lt;&gt;"Bloomberg",ISNUMBER(INDEX('Market Data'!$AC$5:$AC$66,INDEX('Market Data'!$J$5:$J$528,$T203)-4)),N(INDEX('Market Data'!$AC$5:$AC$66,INDEX('Market Data'!$J$5:$J$528,$T203)-4))&gt;0),"Snapshot","Unavailable"))))</f>
        <v/>
      </c>
      <c r="T203">
        <f>IFERROR(MATCH(195,'Market Data'!$S$5:$S$528,0),0)</f>
        <v/>
      </c>
    </row>
    <row r="204" ht="34" customHeight="1">
      <c r="A204" s="8">
        <f>IF($T204=0,"",IF(INDEX('Market Data'!$A$5:$A$528,$T204)="","",INDEX('Market Data'!$A$5:$A$528,$T204)))</f>
        <v/>
      </c>
      <c r="B204" s="9">
        <f>IF($T204=0,"",IF(INDEX('Market Data'!$B$5:$B$528,$T204)="","",INDEX('Market Data'!$B$5:$B$528,$T204)))</f>
        <v/>
      </c>
      <c r="C204" s="9">
        <f>IF($T204=0,"",IF(INDEX('Market Data'!$C$5:$C$528,$T204)="","",INDEX('Market Data'!$C$5:$C$528,$T204)))</f>
        <v/>
      </c>
      <c r="D204" s="9">
        <f>IF($T204=0,"",IF(INDEX('Market Data'!$D$5:$D$528,$T204)="","",INDEX('Market Data'!$D$5:$D$528,$T204)))</f>
        <v/>
      </c>
      <c r="E204" s="10">
        <f>IF($T204=0,"",INDEX('Market Data'!$O$5:$O$528,$T204))</f>
        <v/>
      </c>
      <c r="F204" s="11">
        <f>IF($T204=0,"",IF(AND($I204="Bloomberg",ISNUMBER(INDEX('Market Data'!$L$5:$L$528,$T204))),INDEX('Market Data'!$L$5:$L$528,$T204),"unavailable"))</f>
        <v/>
      </c>
      <c r="G204" s="12">
        <f>IF($T204=0,"",IF($I204="Bloomberg",IF(AND(ISNUMBER(INDEX('Market Data'!$M$5:$M$528,$T204)),N(INDEX('Market Data'!$M$5:$M$528,$T204))&gt;0),INDEX('Market Data'!$M$5:$M$528,$T204),"date unavailable"),IF($I204="Snapshot",IF(AND(ISNUMBER(INDEX('Market Data'!$H$5:$H$528,$T204)),N(INDEX('Market Data'!$H$5:$H$528,$T204))&gt;0),INDEX('Market Data'!$H$5:$H$528,$T204),"date unavailable"),"date unavailable")))</f>
        <v/>
      </c>
      <c r="H204" s="9">
        <f>IF($T204=0,"",IF($I204="Bloomberg",IF(INDEX('Market Data'!$N$5:$N$528,$T204)="","time unavailable",INDEX('Market Data'!$N$5:$N$528,$T204)),""))</f>
        <v/>
      </c>
      <c r="I204" s="9">
        <f>IF($T204=0,"",INDEX('Market Data'!$P$5:$P$528,$T204))</f>
        <v/>
      </c>
      <c r="J204" s="13">
        <f>IF($T204=0,"",IF(INDEX('Market Data'!$E$5:$E$528,$T204)="","",INDEX('Market Data'!$E$5:$E$528,$T204)))</f>
        <v/>
      </c>
      <c r="K204" s="8">
        <f>IF($T204=0,"",IF(INDEX('Market Data'!$I$5:$I$528,$T204)="","",INDEX('Market Data'!$I$5:$I$528,$T204)))</f>
        <v/>
      </c>
      <c r="L204" s="10">
        <f>IF($T204=0,"",IF(INDEX('Market Data'!$J$5:$J$528,$T204)=0,"n/a",IF(AND($M$5&lt;&gt;"Snapshot",ISNUMBER(INDEX('Market Data'!$AH$5:$AH$66,INDEX('Market Data'!$J$5:$J$528,$T204)-4)),N(INDEX('Market Data'!$AH$5:$AH$66,INDEX('Market Data'!$J$5:$J$528,$T204)-4))&gt;0),INDEX('Market Data'!$AH$5:$AH$66,INDEX('Market Data'!$J$5:$J$528,$T204)-4),IF(AND($M$5&lt;&gt;"Bloomberg",ISNUMBER(INDEX('Market Data'!$AC$5:$AC$66,INDEX('Market Data'!$J$5:$J$528,$T204)-4)),N(INDEX('Market Data'!$AC$5:$AC$66,INDEX('Market Data'!$J$5:$J$528,$T204)-4))&gt;0),INDEX('Market Data'!$AC$5:$AC$66,INDEX('Market Data'!$J$5:$J$528,$T204)-4),"unavailable"))))</f>
        <v/>
      </c>
      <c r="M204" s="11">
        <f>IF($T204=0,"",IF(INDEX('Market Data'!$J$5:$J$528,$T204)=0,"n/a",IF(IF(INDEX('Market Data'!$J$5:$J$528,$T204)=0,0,IF(LEFT(INDEX('Market Data'!$AS$5:$AS$66,INDEX('Market Data'!$J$5:$J$528,$T204)-4),11)="First-month",1,0))=1,"class review",IF($I204="Bloomberg",IF(AND(ISNUMBER(INDEX('Market Data'!$AH$5:$AH$66,INDEX('Market Data'!$J$5:$J$528,$T204)-4)),N(INDEX('Market Data'!$AH$5:$AH$66,INDEX('Market Data'!$J$5:$J$528,$T204)-4))&gt;0,ISNUMBER('Market Data'!$B$1),N('Market Data'!$B$1)&gt;0),INDEX('Market Data'!$AH$5:$AH$66,INDEX('Market Data'!$J$5:$J$528,$T204)-4)*'Market Data'!$B$1/$E204-1,"pending A/FX"),IF(AND($I204="Snapshot",$Q204="Snapshot",ISNUMBER($E204),$G204=INDEX('Market Data'!$AE$5:$AE$66,INDEX('Market Data'!$J$5:$J$528,$T204)-4)),IFERROR(INDEX('Market Data'!$AC$5:$AC$66,INDEX('Market Data'!$J$5:$J$528,$T204)-4)*INDEX('Market Data'!$AD$5:$AD$66,INDEX('Market Data'!$J$5:$J$528,$T204)-4)/$E204-1,"unavailable"),IF($I204="Unavailable","unavailable","date mismatch"))))))</f>
        <v/>
      </c>
      <c r="N204" s="11">
        <f>IF($T204=0,"",IFERROR(IF(AND(N(INDEX('Market Data'!$F$5:$F$528,$T204))&gt;0,ISNUMBER(INDEX('Market Data'!$T$5:$T$528,$T204))),$E204*INDEX('Market Data'!$T$5:$T$528,$T204)/INDEX('Market Data'!$F$5:$F$528,$T204)-1,"unavailable"),"unavailable"))</f>
        <v/>
      </c>
      <c r="O204" s="9">
        <f>IF($T204=0,"",IF(IF(INDEX('Market Data'!$J$5:$J$528,$T204)=0,0,IF(LEFT(INDEX('Market Data'!$AS$5:$AS$66,INDEX('Market Data'!$J$5:$J$528,$T204)-4),11)="First-month",1,0))=1,"Class ratio review",IF($I204="Bloomberg",IF(ISNUMBER($G204),IF($G204&lt;TODAY(),"Older quote","See quote time"),"Date unavailable"),IF($I204="Snapshot",IF($G204&lt;DATEVALUE("2026-10-02"),"Older snapshot","Dated close"),"No valid quote"))))</f>
        <v/>
      </c>
      <c r="P204" s="14">
        <f>IF($T204=0,"",IF(INDEX('Market Data'!$J$5:$J$528,$T204)=0,"n/a",IF($Q204="Bloomberg",IF(AND(ISNUMBER(INDEX('Market Data'!$AK$5:$AK$66,INDEX('Market Data'!$J$5:$J$528,$T204)-4)),N(INDEX('Market Data'!$AK$5:$AK$66,INDEX('Market Data'!$J$5:$J$528,$T204)-4))&gt;0),INDEX('Market Data'!$AK$5:$AK$66,INDEX('Market Data'!$J$5:$J$528,$T204)-4),"date unavailable"),IF($Q204="Snapshot",IF(AND(ISNUMBER(INDEX('Market Data'!$AF$5:$AF$66,INDEX('Market Data'!$J$5:$J$528,$T204)-4)),N(INDEX('Market Data'!$AF$5:$AF$66,INDEX('Market Data'!$J$5:$J$528,$T204)-4))&gt;0),INDEX('Market Data'!$AF$5:$AF$66,INDEX('Market Data'!$J$5:$J$528,$T204)-4),"date unavailable"),"date unavailable"))))</f>
        <v/>
      </c>
      <c r="Q204" s="15">
        <f>IF($T204=0,"",IF(INDEX('Market Data'!$J$5:$J$528,$T204)=0,"n/a",IF(AND($M$5&lt;&gt;"Snapshot",ISNUMBER(INDEX('Market Data'!$AH$5:$AH$66,INDEX('Market Data'!$J$5:$J$528,$T204)-4)),N(INDEX('Market Data'!$AH$5:$AH$66,INDEX('Market Data'!$J$5:$J$528,$T204)-4))&gt;0),"Bloomberg",IF(AND($M$5&lt;&gt;"Bloomberg",ISNUMBER(INDEX('Market Data'!$AC$5:$AC$66,INDEX('Market Data'!$J$5:$J$528,$T204)-4)),N(INDEX('Market Data'!$AC$5:$AC$66,INDEX('Market Data'!$J$5:$J$528,$T204)-4))&gt;0),"Snapshot","Unavailable"))))</f>
        <v/>
      </c>
      <c r="T204">
        <f>IFERROR(MATCH(196,'Market Data'!$S$5:$S$528,0),0)</f>
        <v/>
      </c>
    </row>
    <row r="205" ht="34" customHeight="1">
      <c r="A205" s="8">
        <f>IF($T205=0,"",IF(INDEX('Market Data'!$A$5:$A$528,$T205)="","",INDEX('Market Data'!$A$5:$A$528,$T205)))</f>
        <v/>
      </c>
      <c r="B205" s="9">
        <f>IF($T205=0,"",IF(INDEX('Market Data'!$B$5:$B$528,$T205)="","",INDEX('Market Data'!$B$5:$B$528,$T205)))</f>
        <v/>
      </c>
      <c r="C205" s="9">
        <f>IF($T205=0,"",IF(INDEX('Market Data'!$C$5:$C$528,$T205)="","",INDEX('Market Data'!$C$5:$C$528,$T205)))</f>
        <v/>
      </c>
      <c r="D205" s="9">
        <f>IF($T205=0,"",IF(INDEX('Market Data'!$D$5:$D$528,$T205)="","",INDEX('Market Data'!$D$5:$D$528,$T205)))</f>
        <v/>
      </c>
      <c r="E205" s="10">
        <f>IF($T205=0,"",INDEX('Market Data'!$O$5:$O$528,$T205))</f>
        <v/>
      </c>
      <c r="F205" s="11">
        <f>IF($T205=0,"",IF(AND($I205="Bloomberg",ISNUMBER(INDEX('Market Data'!$L$5:$L$528,$T205))),INDEX('Market Data'!$L$5:$L$528,$T205),"unavailable"))</f>
        <v/>
      </c>
      <c r="G205" s="12">
        <f>IF($T205=0,"",IF($I205="Bloomberg",IF(AND(ISNUMBER(INDEX('Market Data'!$M$5:$M$528,$T205)),N(INDEX('Market Data'!$M$5:$M$528,$T205))&gt;0),INDEX('Market Data'!$M$5:$M$528,$T205),"date unavailable"),IF($I205="Snapshot",IF(AND(ISNUMBER(INDEX('Market Data'!$H$5:$H$528,$T205)),N(INDEX('Market Data'!$H$5:$H$528,$T205))&gt;0),INDEX('Market Data'!$H$5:$H$528,$T205),"date unavailable"),"date unavailable")))</f>
        <v/>
      </c>
      <c r="H205" s="9">
        <f>IF($T205=0,"",IF($I205="Bloomberg",IF(INDEX('Market Data'!$N$5:$N$528,$T205)="","time unavailable",INDEX('Market Data'!$N$5:$N$528,$T205)),""))</f>
        <v/>
      </c>
      <c r="I205" s="9">
        <f>IF($T205=0,"",INDEX('Market Data'!$P$5:$P$528,$T205))</f>
        <v/>
      </c>
      <c r="J205" s="13">
        <f>IF($T205=0,"",IF(INDEX('Market Data'!$E$5:$E$528,$T205)="","",INDEX('Market Data'!$E$5:$E$528,$T205)))</f>
        <v/>
      </c>
      <c r="K205" s="8">
        <f>IF($T205=0,"",IF(INDEX('Market Data'!$I$5:$I$528,$T205)="","",INDEX('Market Data'!$I$5:$I$528,$T205)))</f>
        <v/>
      </c>
      <c r="L205" s="10">
        <f>IF($T205=0,"",IF(INDEX('Market Data'!$J$5:$J$528,$T205)=0,"n/a",IF(AND($M$5&lt;&gt;"Snapshot",ISNUMBER(INDEX('Market Data'!$AH$5:$AH$66,INDEX('Market Data'!$J$5:$J$528,$T205)-4)),N(INDEX('Market Data'!$AH$5:$AH$66,INDEX('Market Data'!$J$5:$J$528,$T205)-4))&gt;0),INDEX('Market Data'!$AH$5:$AH$66,INDEX('Market Data'!$J$5:$J$528,$T205)-4),IF(AND($M$5&lt;&gt;"Bloomberg",ISNUMBER(INDEX('Market Data'!$AC$5:$AC$66,INDEX('Market Data'!$J$5:$J$528,$T205)-4)),N(INDEX('Market Data'!$AC$5:$AC$66,INDEX('Market Data'!$J$5:$J$528,$T205)-4))&gt;0),INDEX('Market Data'!$AC$5:$AC$66,INDEX('Market Data'!$J$5:$J$528,$T205)-4),"unavailable"))))</f>
        <v/>
      </c>
      <c r="M205" s="11">
        <f>IF($T205=0,"",IF(INDEX('Market Data'!$J$5:$J$528,$T205)=0,"n/a",IF(IF(INDEX('Market Data'!$J$5:$J$528,$T205)=0,0,IF(LEFT(INDEX('Market Data'!$AS$5:$AS$66,INDEX('Market Data'!$J$5:$J$528,$T205)-4),11)="First-month",1,0))=1,"class review",IF($I205="Bloomberg",IF(AND(ISNUMBER(INDEX('Market Data'!$AH$5:$AH$66,INDEX('Market Data'!$J$5:$J$528,$T205)-4)),N(INDEX('Market Data'!$AH$5:$AH$66,INDEX('Market Data'!$J$5:$J$528,$T205)-4))&gt;0,ISNUMBER('Market Data'!$B$1),N('Market Data'!$B$1)&gt;0),INDEX('Market Data'!$AH$5:$AH$66,INDEX('Market Data'!$J$5:$J$528,$T205)-4)*'Market Data'!$B$1/$E205-1,"pending A/FX"),IF(AND($I205="Snapshot",$Q205="Snapshot",ISNUMBER($E205),$G205=INDEX('Market Data'!$AE$5:$AE$66,INDEX('Market Data'!$J$5:$J$528,$T205)-4)),IFERROR(INDEX('Market Data'!$AC$5:$AC$66,INDEX('Market Data'!$J$5:$J$528,$T205)-4)*INDEX('Market Data'!$AD$5:$AD$66,INDEX('Market Data'!$J$5:$J$528,$T205)-4)/$E205-1,"unavailable"),IF($I205="Unavailable","unavailable","date mismatch"))))))</f>
        <v/>
      </c>
      <c r="N205" s="11">
        <f>IF($T205=0,"",IFERROR(IF(AND(N(INDEX('Market Data'!$F$5:$F$528,$T205))&gt;0,ISNUMBER(INDEX('Market Data'!$T$5:$T$528,$T205))),$E205*INDEX('Market Data'!$T$5:$T$528,$T205)/INDEX('Market Data'!$F$5:$F$528,$T205)-1,"unavailable"),"unavailable"))</f>
        <v/>
      </c>
      <c r="O205" s="9">
        <f>IF($T205=0,"",IF(IF(INDEX('Market Data'!$J$5:$J$528,$T205)=0,0,IF(LEFT(INDEX('Market Data'!$AS$5:$AS$66,INDEX('Market Data'!$J$5:$J$528,$T205)-4),11)="First-month",1,0))=1,"Class ratio review",IF($I205="Bloomberg",IF(ISNUMBER($G205),IF($G205&lt;TODAY(),"Older quote","See quote time"),"Date unavailable"),IF($I205="Snapshot",IF($G205&lt;DATEVALUE("2026-10-02"),"Older snapshot","Dated close"),"No valid quote"))))</f>
        <v/>
      </c>
      <c r="P205" s="14">
        <f>IF($T205=0,"",IF(INDEX('Market Data'!$J$5:$J$528,$T205)=0,"n/a",IF($Q205="Bloomberg",IF(AND(ISNUMBER(INDEX('Market Data'!$AK$5:$AK$66,INDEX('Market Data'!$J$5:$J$528,$T205)-4)),N(INDEX('Market Data'!$AK$5:$AK$66,INDEX('Market Data'!$J$5:$J$528,$T205)-4))&gt;0),INDEX('Market Data'!$AK$5:$AK$66,INDEX('Market Data'!$J$5:$J$528,$T205)-4),"date unavailable"),IF($Q205="Snapshot",IF(AND(ISNUMBER(INDEX('Market Data'!$AF$5:$AF$66,INDEX('Market Data'!$J$5:$J$528,$T205)-4)),N(INDEX('Market Data'!$AF$5:$AF$66,INDEX('Market Data'!$J$5:$J$528,$T205)-4))&gt;0),INDEX('Market Data'!$AF$5:$AF$66,INDEX('Market Data'!$J$5:$J$528,$T205)-4),"date unavailable"),"date unavailable"))))</f>
        <v/>
      </c>
      <c r="Q205" s="15">
        <f>IF($T205=0,"",IF(INDEX('Market Data'!$J$5:$J$528,$T205)=0,"n/a",IF(AND($M$5&lt;&gt;"Snapshot",ISNUMBER(INDEX('Market Data'!$AH$5:$AH$66,INDEX('Market Data'!$J$5:$J$528,$T205)-4)),N(INDEX('Market Data'!$AH$5:$AH$66,INDEX('Market Data'!$J$5:$J$528,$T205)-4))&gt;0),"Bloomberg",IF(AND($M$5&lt;&gt;"Bloomberg",ISNUMBER(INDEX('Market Data'!$AC$5:$AC$66,INDEX('Market Data'!$J$5:$J$528,$T205)-4)),N(INDEX('Market Data'!$AC$5:$AC$66,INDEX('Market Data'!$J$5:$J$528,$T205)-4))&gt;0),"Snapshot","Unavailable"))))</f>
        <v/>
      </c>
      <c r="T205">
        <f>IFERROR(MATCH(197,'Market Data'!$S$5:$S$528,0),0)</f>
        <v/>
      </c>
    </row>
    <row r="206" ht="34" customHeight="1">
      <c r="A206" s="8">
        <f>IF($T206=0,"",IF(INDEX('Market Data'!$A$5:$A$528,$T206)="","",INDEX('Market Data'!$A$5:$A$528,$T206)))</f>
        <v/>
      </c>
      <c r="B206" s="9">
        <f>IF($T206=0,"",IF(INDEX('Market Data'!$B$5:$B$528,$T206)="","",INDEX('Market Data'!$B$5:$B$528,$T206)))</f>
        <v/>
      </c>
      <c r="C206" s="9">
        <f>IF($T206=0,"",IF(INDEX('Market Data'!$C$5:$C$528,$T206)="","",INDEX('Market Data'!$C$5:$C$528,$T206)))</f>
        <v/>
      </c>
      <c r="D206" s="9">
        <f>IF($T206=0,"",IF(INDEX('Market Data'!$D$5:$D$528,$T206)="","",INDEX('Market Data'!$D$5:$D$528,$T206)))</f>
        <v/>
      </c>
      <c r="E206" s="10">
        <f>IF($T206=0,"",INDEX('Market Data'!$O$5:$O$528,$T206))</f>
        <v/>
      </c>
      <c r="F206" s="11">
        <f>IF($T206=0,"",IF(AND($I206="Bloomberg",ISNUMBER(INDEX('Market Data'!$L$5:$L$528,$T206))),INDEX('Market Data'!$L$5:$L$528,$T206),"unavailable"))</f>
        <v/>
      </c>
      <c r="G206" s="12">
        <f>IF($T206=0,"",IF($I206="Bloomberg",IF(AND(ISNUMBER(INDEX('Market Data'!$M$5:$M$528,$T206)),N(INDEX('Market Data'!$M$5:$M$528,$T206))&gt;0),INDEX('Market Data'!$M$5:$M$528,$T206),"date unavailable"),IF($I206="Snapshot",IF(AND(ISNUMBER(INDEX('Market Data'!$H$5:$H$528,$T206)),N(INDEX('Market Data'!$H$5:$H$528,$T206))&gt;0),INDEX('Market Data'!$H$5:$H$528,$T206),"date unavailable"),"date unavailable")))</f>
        <v/>
      </c>
      <c r="H206" s="9">
        <f>IF($T206=0,"",IF($I206="Bloomberg",IF(INDEX('Market Data'!$N$5:$N$528,$T206)="","time unavailable",INDEX('Market Data'!$N$5:$N$528,$T206)),""))</f>
        <v/>
      </c>
      <c r="I206" s="9">
        <f>IF($T206=0,"",INDEX('Market Data'!$P$5:$P$528,$T206))</f>
        <v/>
      </c>
      <c r="J206" s="13">
        <f>IF($T206=0,"",IF(INDEX('Market Data'!$E$5:$E$528,$T206)="","",INDEX('Market Data'!$E$5:$E$528,$T206)))</f>
        <v/>
      </c>
      <c r="K206" s="8">
        <f>IF($T206=0,"",IF(INDEX('Market Data'!$I$5:$I$528,$T206)="","",INDEX('Market Data'!$I$5:$I$528,$T206)))</f>
        <v/>
      </c>
      <c r="L206" s="10">
        <f>IF($T206=0,"",IF(INDEX('Market Data'!$J$5:$J$528,$T206)=0,"n/a",IF(AND($M$5&lt;&gt;"Snapshot",ISNUMBER(INDEX('Market Data'!$AH$5:$AH$66,INDEX('Market Data'!$J$5:$J$528,$T206)-4)),N(INDEX('Market Data'!$AH$5:$AH$66,INDEX('Market Data'!$J$5:$J$528,$T206)-4))&gt;0),INDEX('Market Data'!$AH$5:$AH$66,INDEX('Market Data'!$J$5:$J$528,$T206)-4),IF(AND($M$5&lt;&gt;"Bloomberg",ISNUMBER(INDEX('Market Data'!$AC$5:$AC$66,INDEX('Market Data'!$J$5:$J$528,$T206)-4)),N(INDEX('Market Data'!$AC$5:$AC$66,INDEX('Market Data'!$J$5:$J$528,$T206)-4))&gt;0),INDEX('Market Data'!$AC$5:$AC$66,INDEX('Market Data'!$J$5:$J$528,$T206)-4),"unavailable"))))</f>
        <v/>
      </c>
      <c r="M206" s="11">
        <f>IF($T206=0,"",IF(INDEX('Market Data'!$J$5:$J$528,$T206)=0,"n/a",IF(IF(INDEX('Market Data'!$J$5:$J$528,$T206)=0,0,IF(LEFT(INDEX('Market Data'!$AS$5:$AS$66,INDEX('Market Data'!$J$5:$J$528,$T206)-4),11)="First-month",1,0))=1,"class review",IF($I206="Bloomberg",IF(AND(ISNUMBER(INDEX('Market Data'!$AH$5:$AH$66,INDEX('Market Data'!$J$5:$J$528,$T206)-4)),N(INDEX('Market Data'!$AH$5:$AH$66,INDEX('Market Data'!$J$5:$J$528,$T206)-4))&gt;0,ISNUMBER('Market Data'!$B$1),N('Market Data'!$B$1)&gt;0),INDEX('Market Data'!$AH$5:$AH$66,INDEX('Market Data'!$J$5:$J$528,$T206)-4)*'Market Data'!$B$1/$E206-1,"pending A/FX"),IF(AND($I206="Snapshot",$Q206="Snapshot",ISNUMBER($E206),$G206=INDEX('Market Data'!$AE$5:$AE$66,INDEX('Market Data'!$J$5:$J$528,$T206)-4)),IFERROR(INDEX('Market Data'!$AC$5:$AC$66,INDEX('Market Data'!$J$5:$J$528,$T206)-4)*INDEX('Market Data'!$AD$5:$AD$66,INDEX('Market Data'!$J$5:$J$528,$T206)-4)/$E206-1,"unavailable"),IF($I206="Unavailable","unavailable","date mismatch"))))))</f>
        <v/>
      </c>
      <c r="N206" s="11">
        <f>IF($T206=0,"",IFERROR(IF(AND(N(INDEX('Market Data'!$F$5:$F$528,$T206))&gt;0,ISNUMBER(INDEX('Market Data'!$T$5:$T$528,$T206))),$E206*INDEX('Market Data'!$T$5:$T$528,$T206)/INDEX('Market Data'!$F$5:$F$528,$T206)-1,"unavailable"),"unavailable"))</f>
        <v/>
      </c>
      <c r="O206" s="9">
        <f>IF($T206=0,"",IF(IF(INDEX('Market Data'!$J$5:$J$528,$T206)=0,0,IF(LEFT(INDEX('Market Data'!$AS$5:$AS$66,INDEX('Market Data'!$J$5:$J$528,$T206)-4),11)="First-month",1,0))=1,"Class ratio review",IF($I206="Bloomberg",IF(ISNUMBER($G206),IF($G206&lt;TODAY(),"Older quote","See quote time"),"Date unavailable"),IF($I206="Snapshot",IF($G206&lt;DATEVALUE("2026-10-02"),"Older snapshot","Dated close"),"No valid quote"))))</f>
        <v/>
      </c>
      <c r="P206" s="14">
        <f>IF($T206=0,"",IF(INDEX('Market Data'!$J$5:$J$528,$T206)=0,"n/a",IF($Q206="Bloomberg",IF(AND(ISNUMBER(INDEX('Market Data'!$AK$5:$AK$66,INDEX('Market Data'!$J$5:$J$528,$T206)-4)),N(INDEX('Market Data'!$AK$5:$AK$66,INDEX('Market Data'!$J$5:$J$528,$T206)-4))&gt;0),INDEX('Market Data'!$AK$5:$AK$66,INDEX('Market Data'!$J$5:$J$528,$T206)-4),"date unavailable"),IF($Q206="Snapshot",IF(AND(ISNUMBER(INDEX('Market Data'!$AF$5:$AF$66,INDEX('Market Data'!$J$5:$J$528,$T206)-4)),N(INDEX('Market Data'!$AF$5:$AF$66,INDEX('Market Data'!$J$5:$J$528,$T206)-4))&gt;0),INDEX('Market Data'!$AF$5:$AF$66,INDEX('Market Data'!$J$5:$J$528,$T206)-4),"date unavailable"),"date unavailable"))))</f>
        <v/>
      </c>
      <c r="Q206" s="15">
        <f>IF($T206=0,"",IF(INDEX('Market Data'!$J$5:$J$528,$T206)=0,"n/a",IF(AND($M$5&lt;&gt;"Snapshot",ISNUMBER(INDEX('Market Data'!$AH$5:$AH$66,INDEX('Market Data'!$J$5:$J$528,$T206)-4)),N(INDEX('Market Data'!$AH$5:$AH$66,INDEX('Market Data'!$J$5:$J$528,$T206)-4))&gt;0),"Bloomberg",IF(AND($M$5&lt;&gt;"Bloomberg",ISNUMBER(INDEX('Market Data'!$AC$5:$AC$66,INDEX('Market Data'!$J$5:$J$528,$T206)-4)),N(INDEX('Market Data'!$AC$5:$AC$66,INDEX('Market Data'!$J$5:$J$528,$T206)-4))&gt;0),"Snapshot","Unavailable"))))</f>
        <v/>
      </c>
      <c r="T206">
        <f>IFERROR(MATCH(198,'Market Data'!$S$5:$S$528,0),0)</f>
        <v/>
      </c>
    </row>
    <row r="207" ht="34" customHeight="1">
      <c r="A207" s="8">
        <f>IF($T207=0,"",IF(INDEX('Market Data'!$A$5:$A$528,$T207)="","",INDEX('Market Data'!$A$5:$A$528,$T207)))</f>
        <v/>
      </c>
      <c r="B207" s="9">
        <f>IF($T207=0,"",IF(INDEX('Market Data'!$B$5:$B$528,$T207)="","",INDEX('Market Data'!$B$5:$B$528,$T207)))</f>
        <v/>
      </c>
      <c r="C207" s="9">
        <f>IF($T207=0,"",IF(INDEX('Market Data'!$C$5:$C$528,$T207)="","",INDEX('Market Data'!$C$5:$C$528,$T207)))</f>
        <v/>
      </c>
      <c r="D207" s="9">
        <f>IF($T207=0,"",IF(INDEX('Market Data'!$D$5:$D$528,$T207)="","",INDEX('Market Data'!$D$5:$D$528,$T207)))</f>
        <v/>
      </c>
      <c r="E207" s="10">
        <f>IF($T207=0,"",INDEX('Market Data'!$O$5:$O$528,$T207))</f>
        <v/>
      </c>
      <c r="F207" s="11">
        <f>IF($T207=0,"",IF(AND($I207="Bloomberg",ISNUMBER(INDEX('Market Data'!$L$5:$L$528,$T207))),INDEX('Market Data'!$L$5:$L$528,$T207),"unavailable"))</f>
        <v/>
      </c>
      <c r="G207" s="12">
        <f>IF($T207=0,"",IF($I207="Bloomberg",IF(AND(ISNUMBER(INDEX('Market Data'!$M$5:$M$528,$T207)),N(INDEX('Market Data'!$M$5:$M$528,$T207))&gt;0),INDEX('Market Data'!$M$5:$M$528,$T207),"date unavailable"),IF($I207="Snapshot",IF(AND(ISNUMBER(INDEX('Market Data'!$H$5:$H$528,$T207)),N(INDEX('Market Data'!$H$5:$H$528,$T207))&gt;0),INDEX('Market Data'!$H$5:$H$528,$T207),"date unavailable"),"date unavailable")))</f>
        <v/>
      </c>
      <c r="H207" s="9">
        <f>IF($T207=0,"",IF($I207="Bloomberg",IF(INDEX('Market Data'!$N$5:$N$528,$T207)="","time unavailable",INDEX('Market Data'!$N$5:$N$528,$T207)),""))</f>
        <v/>
      </c>
      <c r="I207" s="9">
        <f>IF($T207=0,"",INDEX('Market Data'!$P$5:$P$528,$T207))</f>
        <v/>
      </c>
      <c r="J207" s="13">
        <f>IF($T207=0,"",IF(INDEX('Market Data'!$E$5:$E$528,$T207)="","",INDEX('Market Data'!$E$5:$E$528,$T207)))</f>
        <v/>
      </c>
      <c r="K207" s="8">
        <f>IF($T207=0,"",IF(INDEX('Market Data'!$I$5:$I$528,$T207)="","",INDEX('Market Data'!$I$5:$I$528,$T207)))</f>
        <v/>
      </c>
      <c r="L207" s="10">
        <f>IF($T207=0,"",IF(INDEX('Market Data'!$J$5:$J$528,$T207)=0,"n/a",IF(AND($M$5&lt;&gt;"Snapshot",ISNUMBER(INDEX('Market Data'!$AH$5:$AH$66,INDEX('Market Data'!$J$5:$J$528,$T207)-4)),N(INDEX('Market Data'!$AH$5:$AH$66,INDEX('Market Data'!$J$5:$J$528,$T207)-4))&gt;0),INDEX('Market Data'!$AH$5:$AH$66,INDEX('Market Data'!$J$5:$J$528,$T207)-4),IF(AND($M$5&lt;&gt;"Bloomberg",ISNUMBER(INDEX('Market Data'!$AC$5:$AC$66,INDEX('Market Data'!$J$5:$J$528,$T207)-4)),N(INDEX('Market Data'!$AC$5:$AC$66,INDEX('Market Data'!$J$5:$J$528,$T207)-4))&gt;0),INDEX('Market Data'!$AC$5:$AC$66,INDEX('Market Data'!$J$5:$J$528,$T207)-4),"unavailable"))))</f>
        <v/>
      </c>
      <c r="M207" s="11">
        <f>IF($T207=0,"",IF(INDEX('Market Data'!$J$5:$J$528,$T207)=0,"n/a",IF(IF(INDEX('Market Data'!$J$5:$J$528,$T207)=0,0,IF(LEFT(INDEX('Market Data'!$AS$5:$AS$66,INDEX('Market Data'!$J$5:$J$528,$T207)-4),11)="First-month",1,0))=1,"class review",IF($I207="Bloomberg",IF(AND(ISNUMBER(INDEX('Market Data'!$AH$5:$AH$66,INDEX('Market Data'!$J$5:$J$528,$T207)-4)),N(INDEX('Market Data'!$AH$5:$AH$66,INDEX('Market Data'!$J$5:$J$528,$T207)-4))&gt;0,ISNUMBER('Market Data'!$B$1),N('Market Data'!$B$1)&gt;0),INDEX('Market Data'!$AH$5:$AH$66,INDEX('Market Data'!$J$5:$J$528,$T207)-4)*'Market Data'!$B$1/$E207-1,"pending A/FX"),IF(AND($I207="Snapshot",$Q207="Snapshot",ISNUMBER($E207),$G207=INDEX('Market Data'!$AE$5:$AE$66,INDEX('Market Data'!$J$5:$J$528,$T207)-4)),IFERROR(INDEX('Market Data'!$AC$5:$AC$66,INDEX('Market Data'!$J$5:$J$528,$T207)-4)*INDEX('Market Data'!$AD$5:$AD$66,INDEX('Market Data'!$J$5:$J$528,$T207)-4)/$E207-1,"unavailable"),IF($I207="Unavailable","unavailable","date mismatch"))))))</f>
        <v/>
      </c>
      <c r="N207" s="11">
        <f>IF($T207=0,"",IFERROR(IF(AND(N(INDEX('Market Data'!$F$5:$F$528,$T207))&gt;0,ISNUMBER(INDEX('Market Data'!$T$5:$T$528,$T207))),$E207*INDEX('Market Data'!$T$5:$T$528,$T207)/INDEX('Market Data'!$F$5:$F$528,$T207)-1,"unavailable"),"unavailable"))</f>
        <v/>
      </c>
      <c r="O207" s="9">
        <f>IF($T207=0,"",IF(IF(INDEX('Market Data'!$J$5:$J$528,$T207)=0,0,IF(LEFT(INDEX('Market Data'!$AS$5:$AS$66,INDEX('Market Data'!$J$5:$J$528,$T207)-4),11)="First-month",1,0))=1,"Class ratio review",IF($I207="Bloomberg",IF(ISNUMBER($G207),IF($G207&lt;TODAY(),"Older quote","See quote time"),"Date unavailable"),IF($I207="Snapshot",IF($G207&lt;DATEVALUE("2026-10-02"),"Older snapshot","Dated close"),"No valid quote"))))</f>
        <v/>
      </c>
      <c r="P207" s="14">
        <f>IF($T207=0,"",IF(INDEX('Market Data'!$J$5:$J$528,$T207)=0,"n/a",IF($Q207="Bloomberg",IF(AND(ISNUMBER(INDEX('Market Data'!$AK$5:$AK$66,INDEX('Market Data'!$J$5:$J$528,$T207)-4)),N(INDEX('Market Data'!$AK$5:$AK$66,INDEX('Market Data'!$J$5:$J$528,$T207)-4))&gt;0),INDEX('Market Data'!$AK$5:$AK$66,INDEX('Market Data'!$J$5:$J$528,$T207)-4),"date unavailable"),IF($Q207="Snapshot",IF(AND(ISNUMBER(INDEX('Market Data'!$AF$5:$AF$66,INDEX('Market Data'!$J$5:$J$528,$T207)-4)),N(INDEX('Market Data'!$AF$5:$AF$66,INDEX('Market Data'!$J$5:$J$528,$T207)-4))&gt;0),INDEX('Market Data'!$AF$5:$AF$66,INDEX('Market Data'!$J$5:$J$528,$T207)-4),"date unavailable"),"date unavailable"))))</f>
        <v/>
      </c>
      <c r="Q207" s="15">
        <f>IF($T207=0,"",IF(INDEX('Market Data'!$J$5:$J$528,$T207)=0,"n/a",IF(AND($M$5&lt;&gt;"Snapshot",ISNUMBER(INDEX('Market Data'!$AH$5:$AH$66,INDEX('Market Data'!$J$5:$J$528,$T207)-4)),N(INDEX('Market Data'!$AH$5:$AH$66,INDEX('Market Data'!$J$5:$J$528,$T207)-4))&gt;0),"Bloomberg",IF(AND($M$5&lt;&gt;"Bloomberg",ISNUMBER(INDEX('Market Data'!$AC$5:$AC$66,INDEX('Market Data'!$J$5:$J$528,$T207)-4)),N(INDEX('Market Data'!$AC$5:$AC$66,INDEX('Market Data'!$J$5:$J$528,$T207)-4))&gt;0),"Snapshot","Unavailable"))))</f>
        <v/>
      </c>
      <c r="T207">
        <f>IFERROR(MATCH(199,'Market Data'!$S$5:$S$528,0),0)</f>
        <v/>
      </c>
    </row>
    <row r="208" ht="34" customHeight="1">
      <c r="A208" s="8">
        <f>IF($T208=0,"",IF(INDEX('Market Data'!$A$5:$A$528,$T208)="","",INDEX('Market Data'!$A$5:$A$528,$T208)))</f>
        <v/>
      </c>
      <c r="B208" s="9">
        <f>IF($T208=0,"",IF(INDEX('Market Data'!$B$5:$B$528,$T208)="","",INDEX('Market Data'!$B$5:$B$528,$T208)))</f>
        <v/>
      </c>
      <c r="C208" s="9">
        <f>IF($T208=0,"",IF(INDEX('Market Data'!$C$5:$C$528,$T208)="","",INDEX('Market Data'!$C$5:$C$528,$T208)))</f>
        <v/>
      </c>
      <c r="D208" s="9">
        <f>IF($T208=0,"",IF(INDEX('Market Data'!$D$5:$D$528,$T208)="","",INDEX('Market Data'!$D$5:$D$528,$T208)))</f>
        <v/>
      </c>
      <c r="E208" s="10">
        <f>IF($T208=0,"",INDEX('Market Data'!$O$5:$O$528,$T208))</f>
        <v/>
      </c>
      <c r="F208" s="11">
        <f>IF($T208=0,"",IF(AND($I208="Bloomberg",ISNUMBER(INDEX('Market Data'!$L$5:$L$528,$T208))),INDEX('Market Data'!$L$5:$L$528,$T208),"unavailable"))</f>
        <v/>
      </c>
      <c r="G208" s="12">
        <f>IF($T208=0,"",IF($I208="Bloomberg",IF(AND(ISNUMBER(INDEX('Market Data'!$M$5:$M$528,$T208)),N(INDEX('Market Data'!$M$5:$M$528,$T208))&gt;0),INDEX('Market Data'!$M$5:$M$528,$T208),"date unavailable"),IF($I208="Snapshot",IF(AND(ISNUMBER(INDEX('Market Data'!$H$5:$H$528,$T208)),N(INDEX('Market Data'!$H$5:$H$528,$T208))&gt;0),INDEX('Market Data'!$H$5:$H$528,$T208),"date unavailable"),"date unavailable")))</f>
        <v/>
      </c>
      <c r="H208" s="9">
        <f>IF($T208=0,"",IF($I208="Bloomberg",IF(INDEX('Market Data'!$N$5:$N$528,$T208)="","time unavailable",INDEX('Market Data'!$N$5:$N$528,$T208)),""))</f>
        <v/>
      </c>
      <c r="I208" s="9">
        <f>IF($T208=0,"",INDEX('Market Data'!$P$5:$P$528,$T208))</f>
        <v/>
      </c>
      <c r="J208" s="13">
        <f>IF($T208=0,"",IF(INDEX('Market Data'!$E$5:$E$528,$T208)="","",INDEX('Market Data'!$E$5:$E$528,$T208)))</f>
        <v/>
      </c>
      <c r="K208" s="8">
        <f>IF($T208=0,"",IF(INDEX('Market Data'!$I$5:$I$528,$T208)="","",INDEX('Market Data'!$I$5:$I$528,$T208)))</f>
        <v/>
      </c>
      <c r="L208" s="10">
        <f>IF($T208=0,"",IF(INDEX('Market Data'!$J$5:$J$528,$T208)=0,"n/a",IF(AND($M$5&lt;&gt;"Snapshot",ISNUMBER(INDEX('Market Data'!$AH$5:$AH$66,INDEX('Market Data'!$J$5:$J$528,$T208)-4)),N(INDEX('Market Data'!$AH$5:$AH$66,INDEX('Market Data'!$J$5:$J$528,$T208)-4))&gt;0),INDEX('Market Data'!$AH$5:$AH$66,INDEX('Market Data'!$J$5:$J$528,$T208)-4),IF(AND($M$5&lt;&gt;"Bloomberg",ISNUMBER(INDEX('Market Data'!$AC$5:$AC$66,INDEX('Market Data'!$J$5:$J$528,$T208)-4)),N(INDEX('Market Data'!$AC$5:$AC$66,INDEX('Market Data'!$J$5:$J$528,$T208)-4))&gt;0),INDEX('Market Data'!$AC$5:$AC$66,INDEX('Market Data'!$J$5:$J$528,$T208)-4),"unavailable"))))</f>
        <v/>
      </c>
      <c r="M208" s="11">
        <f>IF($T208=0,"",IF(INDEX('Market Data'!$J$5:$J$528,$T208)=0,"n/a",IF(IF(INDEX('Market Data'!$J$5:$J$528,$T208)=0,0,IF(LEFT(INDEX('Market Data'!$AS$5:$AS$66,INDEX('Market Data'!$J$5:$J$528,$T208)-4),11)="First-month",1,0))=1,"class review",IF($I208="Bloomberg",IF(AND(ISNUMBER(INDEX('Market Data'!$AH$5:$AH$66,INDEX('Market Data'!$J$5:$J$528,$T208)-4)),N(INDEX('Market Data'!$AH$5:$AH$66,INDEX('Market Data'!$J$5:$J$528,$T208)-4))&gt;0,ISNUMBER('Market Data'!$B$1),N('Market Data'!$B$1)&gt;0),INDEX('Market Data'!$AH$5:$AH$66,INDEX('Market Data'!$J$5:$J$528,$T208)-4)*'Market Data'!$B$1/$E208-1,"pending A/FX"),IF(AND($I208="Snapshot",$Q208="Snapshot",ISNUMBER($E208),$G208=INDEX('Market Data'!$AE$5:$AE$66,INDEX('Market Data'!$J$5:$J$528,$T208)-4)),IFERROR(INDEX('Market Data'!$AC$5:$AC$66,INDEX('Market Data'!$J$5:$J$528,$T208)-4)*INDEX('Market Data'!$AD$5:$AD$66,INDEX('Market Data'!$J$5:$J$528,$T208)-4)/$E208-1,"unavailable"),IF($I208="Unavailable","unavailable","date mismatch"))))))</f>
        <v/>
      </c>
      <c r="N208" s="11">
        <f>IF($T208=0,"",IFERROR(IF(AND(N(INDEX('Market Data'!$F$5:$F$528,$T208))&gt;0,ISNUMBER(INDEX('Market Data'!$T$5:$T$528,$T208))),$E208*INDEX('Market Data'!$T$5:$T$528,$T208)/INDEX('Market Data'!$F$5:$F$528,$T208)-1,"unavailable"),"unavailable"))</f>
        <v/>
      </c>
      <c r="O208" s="9">
        <f>IF($T208=0,"",IF(IF(INDEX('Market Data'!$J$5:$J$528,$T208)=0,0,IF(LEFT(INDEX('Market Data'!$AS$5:$AS$66,INDEX('Market Data'!$J$5:$J$528,$T208)-4),11)="First-month",1,0))=1,"Class ratio review",IF($I208="Bloomberg",IF(ISNUMBER($G208),IF($G208&lt;TODAY(),"Older quote","See quote time"),"Date unavailable"),IF($I208="Snapshot",IF($G208&lt;DATEVALUE("2026-10-02"),"Older snapshot","Dated close"),"No valid quote"))))</f>
        <v/>
      </c>
      <c r="P208" s="14">
        <f>IF($T208=0,"",IF(INDEX('Market Data'!$J$5:$J$528,$T208)=0,"n/a",IF($Q208="Bloomberg",IF(AND(ISNUMBER(INDEX('Market Data'!$AK$5:$AK$66,INDEX('Market Data'!$J$5:$J$528,$T208)-4)),N(INDEX('Market Data'!$AK$5:$AK$66,INDEX('Market Data'!$J$5:$J$528,$T208)-4))&gt;0),INDEX('Market Data'!$AK$5:$AK$66,INDEX('Market Data'!$J$5:$J$528,$T208)-4),"date unavailable"),IF($Q208="Snapshot",IF(AND(ISNUMBER(INDEX('Market Data'!$AF$5:$AF$66,INDEX('Market Data'!$J$5:$J$528,$T208)-4)),N(INDEX('Market Data'!$AF$5:$AF$66,INDEX('Market Data'!$J$5:$J$528,$T208)-4))&gt;0),INDEX('Market Data'!$AF$5:$AF$66,INDEX('Market Data'!$J$5:$J$528,$T208)-4),"date unavailable"),"date unavailable"))))</f>
        <v/>
      </c>
      <c r="Q208" s="15">
        <f>IF($T208=0,"",IF(INDEX('Market Data'!$J$5:$J$528,$T208)=0,"n/a",IF(AND($M$5&lt;&gt;"Snapshot",ISNUMBER(INDEX('Market Data'!$AH$5:$AH$66,INDEX('Market Data'!$J$5:$J$528,$T208)-4)),N(INDEX('Market Data'!$AH$5:$AH$66,INDEX('Market Data'!$J$5:$J$528,$T208)-4))&gt;0),"Bloomberg",IF(AND($M$5&lt;&gt;"Bloomberg",ISNUMBER(INDEX('Market Data'!$AC$5:$AC$66,INDEX('Market Data'!$J$5:$J$528,$T208)-4)),N(INDEX('Market Data'!$AC$5:$AC$66,INDEX('Market Data'!$J$5:$J$528,$T208)-4))&gt;0),"Snapshot","Unavailable"))))</f>
        <v/>
      </c>
      <c r="T208">
        <f>IFERROR(MATCH(200,'Market Data'!$S$5:$S$528,0),0)</f>
        <v/>
      </c>
    </row>
    <row r="209" ht="34" customHeight="1">
      <c r="A209" s="8">
        <f>IF($T209=0,"",IF(INDEX('Market Data'!$A$5:$A$528,$T209)="","",INDEX('Market Data'!$A$5:$A$528,$T209)))</f>
        <v/>
      </c>
      <c r="B209" s="9">
        <f>IF($T209=0,"",IF(INDEX('Market Data'!$B$5:$B$528,$T209)="","",INDEX('Market Data'!$B$5:$B$528,$T209)))</f>
        <v/>
      </c>
      <c r="C209" s="9">
        <f>IF($T209=0,"",IF(INDEX('Market Data'!$C$5:$C$528,$T209)="","",INDEX('Market Data'!$C$5:$C$528,$T209)))</f>
        <v/>
      </c>
      <c r="D209" s="9">
        <f>IF($T209=0,"",IF(INDEX('Market Data'!$D$5:$D$528,$T209)="","",INDEX('Market Data'!$D$5:$D$528,$T209)))</f>
        <v/>
      </c>
      <c r="E209" s="10">
        <f>IF($T209=0,"",INDEX('Market Data'!$O$5:$O$528,$T209))</f>
        <v/>
      </c>
      <c r="F209" s="11">
        <f>IF($T209=0,"",IF(AND($I209="Bloomberg",ISNUMBER(INDEX('Market Data'!$L$5:$L$528,$T209))),INDEX('Market Data'!$L$5:$L$528,$T209),"unavailable"))</f>
        <v/>
      </c>
      <c r="G209" s="12">
        <f>IF($T209=0,"",IF($I209="Bloomberg",IF(AND(ISNUMBER(INDEX('Market Data'!$M$5:$M$528,$T209)),N(INDEX('Market Data'!$M$5:$M$528,$T209))&gt;0),INDEX('Market Data'!$M$5:$M$528,$T209),"date unavailable"),IF($I209="Snapshot",IF(AND(ISNUMBER(INDEX('Market Data'!$H$5:$H$528,$T209)),N(INDEX('Market Data'!$H$5:$H$528,$T209))&gt;0),INDEX('Market Data'!$H$5:$H$528,$T209),"date unavailable"),"date unavailable")))</f>
        <v/>
      </c>
      <c r="H209" s="9">
        <f>IF($T209=0,"",IF($I209="Bloomberg",IF(INDEX('Market Data'!$N$5:$N$528,$T209)="","time unavailable",INDEX('Market Data'!$N$5:$N$528,$T209)),""))</f>
        <v/>
      </c>
      <c r="I209" s="9">
        <f>IF($T209=0,"",INDEX('Market Data'!$P$5:$P$528,$T209))</f>
        <v/>
      </c>
      <c r="J209" s="13">
        <f>IF($T209=0,"",IF(INDEX('Market Data'!$E$5:$E$528,$T209)="","",INDEX('Market Data'!$E$5:$E$528,$T209)))</f>
        <v/>
      </c>
      <c r="K209" s="8">
        <f>IF($T209=0,"",IF(INDEX('Market Data'!$I$5:$I$528,$T209)="","",INDEX('Market Data'!$I$5:$I$528,$T209)))</f>
        <v/>
      </c>
      <c r="L209" s="10">
        <f>IF($T209=0,"",IF(INDEX('Market Data'!$J$5:$J$528,$T209)=0,"n/a",IF(AND($M$5&lt;&gt;"Snapshot",ISNUMBER(INDEX('Market Data'!$AH$5:$AH$66,INDEX('Market Data'!$J$5:$J$528,$T209)-4)),N(INDEX('Market Data'!$AH$5:$AH$66,INDEX('Market Data'!$J$5:$J$528,$T209)-4))&gt;0),INDEX('Market Data'!$AH$5:$AH$66,INDEX('Market Data'!$J$5:$J$528,$T209)-4),IF(AND($M$5&lt;&gt;"Bloomberg",ISNUMBER(INDEX('Market Data'!$AC$5:$AC$66,INDEX('Market Data'!$J$5:$J$528,$T209)-4)),N(INDEX('Market Data'!$AC$5:$AC$66,INDEX('Market Data'!$J$5:$J$528,$T209)-4))&gt;0),INDEX('Market Data'!$AC$5:$AC$66,INDEX('Market Data'!$J$5:$J$528,$T209)-4),"unavailable"))))</f>
        <v/>
      </c>
      <c r="M209" s="11">
        <f>IF($T209=0,"",IF(INDEX('Market Data'!$J$5:$J$528,$T209)=0,"n/a",IF(IF(INDEX('Market Data'!$J$5:$J$528,$T209)=0,0,IF(LEFT(INDEX('Market Data'!$AS$5:$AS$66,INDEX('Market Data'!$J$5:$J$528,$T209)-4),11)="First-month",1,0))=1,"class review",IF($I209="Bloomberg",IF(AND(ISNUMBER(INDEX('Market Data'!$AH$5:$AH$66,INDEX('Market Data'!$J$5:$J$528,$T209)-4)),N(INDEX('Market Data'!$AH$5:$AH$66,INDEX('Market Data'!$J$5:$J$528,$T209)-4))&gt;0,ISNUMBER('Market Data'!$B$1),N('Market Data'!$B$1)&gt;0),INDEX('Market Data'!$AH$5:$AH$66,INDEX('Market Data'!$J$5:$J$528,$T209)-4)*'Market Data'!$B$1/$E209-1,"pending A/FX"),IF(AND($I209="Snapshot",$Q209="Snapshot",ISNUMBER($E209),$G209=INDEX('Market Data'!$AE$5:$AE$66,INDEX('Market Data'!$J$5:$J$528,$T209)-4)),IFERROR(INDEX('Market Data'!$AC$5:$AC$66,INDEX('Market Data'!$J$5:$J$528,$T209)-4)*INDEX('Market Data'!$AD$5:$AD$66,INDEX('Market Data'!$J$5:$J$528,$T209)-4)/$E209-1,"unavailable"),IF($I209="Unavailable","unavailable","date mismatch"))))))</f>
        <v/>
      </c>
      <c r="N209" s="11">
        <f>IF($T209=0,"",IFERROR(IF(AND(N(INDEX('Market Data'!$F$5:$F$528,$T209))&gt;0,ISNUMBER(INDEX('Market Data'!$T$5:$T$528,$T209))),$E209*INDEX('Market Data'!$T$5:$T$528,$T209)/INDEX('Market Data'!$F$5:$F$528,$T209)-1,"unavailable"),"unavailable"))</f>
        <v/>
      </c>
      <c r="O209" s="9">
        <f>IF($T209=0,"",IF(IF(INDEX('Market Data'!$J$5:$J$528,$T209)=0,0,IF(LEFT(INDEX('Market Data'!$AS$5:$AS$66,INDEX('Market Data'!$J$5:$J$528,$T209)-4),11)="First-month",1,0))=1,"Class ratio review",IF($I209="Bloomberg",IF(ISNUMBER($G209),IF($G209&lt;TODAY(),"Older quote","See quote time"),"Date unavailable"),IF($I209="Snapshot",IF($G209&lt;DATEVALUE("2026-10-02"),"Older snapshot","Dated close"),"No valid quote"))))</f>
        <v/>
      </c>
      <c r="P209" s="14">
        <f>IF($T209=0,"",IF(INDEX('Market Data'!$J$5:$J$528,$T209)=0,"n/a",IF($Q209="Bloomberg",IF(AND(ISNUMBER(INDEX('Market Data'!$AK$5:$AK$66,INDEX('Market Data'!$J$5:$J$528,$T209)-4)),N(INDEX('Market Data'!$AK$5:$AK$66,INDEX('Market Data'!$J$5:$J$528,$T209)-4))&gt;0),INDEX('Market Data'!$AK$5:$AK$66,INDEX('Market Data'!$J$5:$J$528,$T209)-4),"date unavailable"),IF($Q209="Snapshot",IF(AND(ISNUMBER(INDEX('Market Data'!$AF$5:$AF$66,INDEX('Market Data'!$J$5:$J$528,$T209)-4)),N(INDEX('Market Data'!$AF$5:$AF$66,INDEX('Market Data'!$J$5:$J$528,$T209)-4))&gt;0),INDEX('Market Data'!$AF$5:$AF$66,INDEX('Market Data'!$J$5:$J$528,$T209)-4),"date unavailable"),"date unavailable"))))</f>
        <v/>
      </c>
      <c r="Q209" s="15">
        <f>IF($T209=0,"",IF(INDEX('Market Data'!$J$5:$J$528,$T209)=0,"n/a",IF(AND($M$5&lt;&gt;"Snapshot",ISNUMBER(INDEX('Market Data'!$AH$5:$AH$66,INDEX('Market Data'!$J$5:$J$528,$T209)-4)),N(INDEX('Market Data'!$AH$5:$AH$66,INDEX('Market Data'!$J$5:$J$528,$T209)-4))&gt;0),"Bloomberg",IF(AND($M$5&lt;&gt;"Bloomberg",ISNUMBER(INDEX('Market Data'!$AC$5:$AC$66,INDEX('Market Data'!$J$5:$J$528,$T209)-4)),N(INDEX('Market Data'!$AC$5:$AC$66,INDEX('Market Data'!$J$5:$J$528,$T209)-4))&gt;0),"Snapshot","Unavailable"))))</f>
        <v/>
      </c>
      <c r="T209">
        <f>IFERROR(MATCH(201,'Market Data'!$S$5:$S$528,0),0)</f>
        <v/>
      </c>
    </row>
    <row r="210" ht="34" customHeight="1">
      <c r="A210" s="8">
        <f>IF($T210=0,"",IF(INDEX('Market Data'!$A$5:$A$528,$T210)="","",INDEX('Market Data'!$A$5:$A$528,$T210)))</f>
        <v/>
      </c>
      <c r="B210" s="9">
        <f>IF($T210=0,"",IF(INDEX('Market Data'!$B$5:$B$528,$T210)="","",INDEX('Market Data'!$B$5:$B$528,$T210)))</f>
        <v/>
      </c>
      <c r="C210" s="9">
        <f>IF($T210=0,"",IF(INDEX('Market Data'!$C$5:$C$528,$T210)="","",INDEX('Market Data'!$C$5:$C$528,$T210)))</f>
        <v/>
      </c>
      <c r="D210" s="9">
        <f>IF($T210=0,"",IF(INDEX('Market Data'!$D$5:$D$528,$T210)="","",INDEX('Market Data'!$D$5:$D$528,$T210)))</f>
        <v/>
      </c>
      <c r="E210" s="10">
        <f>IF($T210=0,"",INDEX('Market Data'!$O$5:$O$528,$T210))</f>
        <v/>
      </c>
      <c r="F210" s="11">
        <f>IF($T210=0,"",IF(AND($I210="Bloomberg",ISNUMBER(INDEX('Market Data'!$L$5:$L$528,$T210))),INDEX('Market Data'!$L$5:$L$528,$T210),"unavailable"))</f>
        <v/>
      </c>
      <c r="G210" s="12">
        <f>IF($T210=0,"",IF($I210="Bloomberg",IF(AND(ISNUMBER(INDEX('Market Data'!$M$5:$M$528,$T210)),N(INDEX('Market Data'!$M$5:$M$528,$T210))&gt;0),INDEX('Market Data'!$M$5:$M$528,$T210),"date unavailable"),IF($I210="Snapshot",IF(AND(ISNUMBER(INDEX('Market Data'!$H$5:$H$528,$T210)),N(INDEX('Market Data'!$H$5:$H$528,$T210))&gt;0),INDEX('Market Data'!$H$5:$H$528,$T210),"date unavailable"),"date unavailable")))</f>
        <v/>
      </c>
      <c r="H210" s="9">
        <f>IF($T210=0,"",IF($I210="Bloomberg",IF(INDEX('Market Data'!$N$5:$N$528,$T210)="","time unavailable",INDEX('Market Data'!$N$5:$N$528,$T210)),""))</f>
        <v/>
      </c>
      <c r="I210" s="9">
        <f>IF($T210=0,"",INDEX('Market Data'!$P$5:$P$528,$T210))</f>
        <v/>
      </c>
      <c r="J210" s="13">
        <f>IF($T210=0,"",IF(INDEX('Market Data'!$E$5:$E$528,$T210)="","",INDEX('Market Data'!$E$5:$E$528,$T210)))</f>
        <v/>
      </c>
      <c r="K210" s="8">
        <f>IF($T210=0,"",IF(INDEX('Market Data'!$I$5:$I$528,$T210)="","",INDEX('Market Data'!$I$5:$I$528,$T210)))</f>
        <v/>
      </c>
      <c r="L210" s="10">
        <f>IF($T210=0,"",IF(INDEX('Market Data'!$J$5:$J$528,$T210)=0,"n/a",IF(AND($M$5&lt;&gt;"Snapshot",ISNUMBER(INDEX('Market Data'!$AH$5:$AH$66,INDEX('Market Data'!$J$5:$J$528,$T210)-4)),N(INDEX('Market Data'!$AH$5:$AH$66,INDEX('Market Data'!$J$5:$J$528,$T210)-4))&gt;0),INDEX('Market Data'!$AH$5:$AH$66,INDEX('Market Data'!$J$5:$J$528,$T210)-4),IF(AND($M$5&lt;&gt;"Bloomberg",ISNUMBER(INDEX('Market Data'!$AC$5:$AC$66,INDEX('Market Data'!$J$5:$J$528,$T210)-4)),N(INDEX('Market Data'!$AC$5:$AC$66,INDEX('Market Data'!$J$5:$J$528,$T210)-4))&gt;0),INDEX('Market Data'!$AC$5:$AC$66,INDEX('Market Data'!$J$5:$J$528,$T210)-4),"unavailable"))))</f>
        <v/>
      </c>
      <c r="M210" s="11">
        <f>IF($T210=0,"",IF(INDEX('Market Data'!$J$5:$J$528,$T210)=0,"n/a",IF(IF(INDEX('Market Data'!$J$5:$J$528,$T210)=0,0,IF(LEFT(INDEX('Market Data'!$AS$5:$AS$66,INDEX('Market Data'!$J$5:$J$528,$T210)-4),11)="First-month",1,0))=1,"class review",IF($I210="Bloomberg",IF(AND(ISNUMBER(INDEX('Market Data'!$AH$5:$AH$66,INDEX('Market Data'!$J$5:$J$528,$T210)-4)),N(INDEX('Market Data'!$AH$5:$AH$66,INDEX('Market Data'!$J$5:$J$528,$T210)-4))&gt;0,ISNUMBER('Market Data'!$B$1),N('Market Data'!$B$1)&gt;0),INDEX('Market Data'!$AH$5:$AH$66,INDEX('Market Data'!$J$5:$J$528,$T210)-4)*'Market Data'!$B$1/$E210-1,"pending A/FX"),IF(AND($I210="Snapshot",$Q210="Snapshot",ISNUMBER($E210),$G210=INDEX('Market Data'!$AE$5:$AE$66,INDEX('Market Data'!$J$5:$J$528,$T210)-4)),IFERROR(INDEX('Market Data'!$AC$5:$AC$66,INDEX('Market Data'!$J$5:$J$528,$T210)-4)*INDEX('Market Data'!$AD$5:$AD$66,INDEX('Market Data'!$J$5:$J$528,$T210)-4)/$E210-1,"unavailable"),IF($I210="Unavailable","unavailable","date mismatch"))))))</f>
        <v/>
      </c>
      <c r="N210" s="11">
        <f>IF($T210=0,"",IFERROR(IF(AND(N(INDEX('Market Data'!$F$5:$F$528,$T210))&gt;0,ISNUMBER(INDEX('Market Data'!$T$5:$T$528,$T210))),$E210*INDEX('Market Data'!$T$5:$T$528,$T210)/INDEX('Market Data'!$F$5:$F$528,$T210)-1,"unavailable"),"unavailable"))</f>
        <v/>
      </c>
      <c r="O210" s="9">
        <f>IF($T210=0,"",IF(IF(INDEX('Market Data'!$J$5:$J$528,$T210)=0,0,IF(LEFT(INDEX('Market Data'!$AS$5:$AS$66,INDEX('Market Data'!$J$5:$J$528,$T210)-4),11)="First-month",1,0))=1,"Class ratio review",IF($I210="Bloomberg",IF(ISNUMBER($G210),IF($G210&lt;TODAY(),"Older quote","See quote time"),"Date unavailable"),IF($I210="Snapshot",IF($G210&lt;DATEVALUE("2026-10-02"),"Older snapshot","Dated close"),"No valid quote"))))</f>
        <v/>
      </c>
      <c r="P210" s="14">
        <f>IF($T210=0,"",IF(INDEX('Market Data'!$J$5:$J$528,$T210)=0,"n/a",IF($Q210="Bloomberg",IF(AND(ISNUMBER(INDEX('Market Data'!$AK$5:$AK$66,INDEX('Market Data'!$J$5:$J$528,$T210)-4)),N(INDEX('Market Data'!$AK$5:$AK$66,INDEX('Market Data'!$J$5:$J$528,$T210)-4))&gt;0),INDEX('Market Data'!$AK$5:$AK$66,INDEX('Market Data'!$J$5:$J$528,$T210)-4),"date unavailable"),IF($Q210="Snapshot",IF(AND(ISNUMBER(INDEX('Market Data'!$AF$5:$AF$66,INDEX('Market Data'!$J$5:$J$528,$T210)-4)),N(INDEX('Market Data'!$AF$5:$AF$66,INDEX('Market Data'!$J$5:$J$528,$T210)-4))&gt;0),INDEX('Market Data'!$AF$5:$AF$66,INDEX('Market Data'!$J$5:$J$528,$T210)-4),"date unavailable"),"date unavailable"))))</f>
        <v/>
      </c>
      <c r="Q210" s="15">
        <f>IF($T210=0,"",IF(INDEX('Market Data'!$J$5:$J$528,$T210)=0,"n/a",IF(AND($M$5&lt;&gt;"Snapshot",ISNUMBER(INDEX('Market Data'!$AH$5:$AH$66,INDEX('Market Data'!$J$5:$J$528,$T210)-4)),N(INDEX('Market Data'!$AH$5:$AH$66,INDEX('Market Data'!$J$5:$J$528,$T210)-4))&gt;0),"Bloomberg",IF(AND($M$5&lt;&gt;"Bloomberg",ISNUMBER(INDEX('Market Data'!$AC$5:$AC$66,INDEX('Market Data'!$J$5:$J$528,$T210)-4)),N(INDEX('Market Data'!$AC$5:$AC$66,INDEX('Market Data'!$J$5:$J$528,$T210)-4))&gt;0),"Snapshot","Unavailable"))))</f>
        <v/>
      </c>
      <c r="T210">
        <f>IFERROR(MATCH(202,'Market Data'!$S$5:$S$528,0),0)</f>
        <v/>
      </c>
    </row>
    <row r="211" ht="34" customHeight="1">
      <c r="A211" s="8">
        <f>IF($T211=0,"",IF(INDEX('Market Data'!$A$5:$A$528,$T211)="","",INDEX('Market Data'!$A$5:$A$528,$T211)))</f>
        <v/>
      </c>
      <c r="B211" s="9">
        <f>IF($T211=0,"",IF(INDEX('Market Data'!$B$5:$B$528,$T211)="","",INDEX('Market Data'!$B$5:$B$528,$T211)))</f>
        <v/>
      </c>
      <c r="C211" s="9">
        <f>IF($T211=0,"",IF(INDEX('Market Data'!$C$5:$C$528,$T211)="","",INDEX('Market Data'!$C$5:$C$528,$T211)))</f>
        <v/>
      </c>
      <c r="D211" s="9">
        <f>IF($T211=0,"",IF(INDEX('Market Data'!$D$5:$D$528,$T211)="","",INDEX('Market Data'!$D$5:$D$528,$T211)))</f>
        <v/>
      </c>
      <c r="E211" s="10">
        <f>IF($T211=0,"",INDEX('Market Data'!$O$5:$O$528,$T211))</f>
        <v/>
      </c>
      <c r="F211" s="11">
        <f>IF($T211=0,"",IF(AND($I211="Bloomberg",ISNUMBER(INDEX('Market Data'!$L$5:$L$528,$T211))),INDEX('Market Data'!$L$5:$L$528,$T211),"unavailable"))</f>
        <v/>
      </c>
      <c r="G211" s="12">
        <f>IF($T211=0,"",IF($I211="Bloomberg",IF(AND(ISNUMBER(INDEX('Market Data'!$M$5:$M$528,$T211)),N(INDEX('Market Data'!$M$5:$M$528,$T211))&gt;0),INDEX('Market Data'!$M$5:$M$528,$T211),"date unavailable"),IF($I211="Snapshot",IF(AND(ISNUMBER(INDEX('Market Data'!$H$5:$H$528,$T211)),N(INDEX('Market Data'!$H$5:$H$528,$T211))&gt;0),INDEX('Market Data'!$H$5:$H$528,$T211),"date unavailable"),"date unavailable")))</f>
        <v/>
      </c>
      <c r="H211" s="9">
        <f>IF($T211=0,"",IF($I211="Bloomberg",IF(INDEX('Market Data'!$N$5:$N$528,$T211)="","time unavailable",INDEX('Market Data'!$N$5:$N$528,$T211)),""))</f>
        <v/>
      </c>
      <c r="I211" s="9">
        <f>IF($T211=0,"",INDEX('Market Data'!$P$5:$P$528,$T211))</f>
        <v/>
      </c>
      <c r="J211" s="13">
        <f>IF($T211=0,"",IF(INDEX('Market Data'!$E$5:$E$528,$T211)="","",INDEX('Market Data'!$E$5:$E$528,$T211)))</f>
        <v/>
      </c>
      <c r="K211" s="8">
        <f>IF($T211=0,"",IF(INDEX('Market Data'!$I$5:$I$528,$T211)="","",INDEX('Market Data'!$I$5:$I$528,$T211)))</f>
        <v/>
      </c>
      <c r="L211" s="10">
        <f>IF($T211=0,"",IF(INDEX('Market Data'!$J$5:$J$528,$T211)=0,"n/a",IF(AND($M$5&lt;&gt;"Snapshot",ISNUMBER(INDEX('Market Data'!$AH$5:$AH$66,INDEX('Market Data'!$J$5:$J$528,$T211)-4)),N(INDEX('Market Data'!$AH$5:$AH$66,INDEX('Market Data'!$J$5:$J$528,$T211)-4))&gt;0),INDEX('Market Data'!$AH$5:$AH$66,INDEX('Market Data'!$J$5:$J$528,$T211)-4),IF(AND($M$5&lt;&gt;"Bloomberg",ISNUMBER(INDEX('Market Data'!$AC$5:$AC$66,INDEX('Market Data'!$J$5:$J$528,$T211)-4)),N(INDEX('Market Data'!$AC$5:$AC$66,INDEX('Market Data'!$J$5:$J$528,$T211)-4))&gt;0),INDEX('Market Data'!$AC$5:$AC$66,INDEX('Market Data'!$J$5:$J$528,$T211)-4),"unavailable"))))</f>
        <v/>
      </c>
      <c r="M211" s="11">
        <f>IF($T211=0,"",IF(INDEX('Market Data'!$J$5:$J$528,$T211)=0,"n/a",IF(IF(INDEX('Market Data'!$J$5:$J$528,$T211)=0,0,IF(LEFT(INDEX('Market Data'!$AS$5:$AS$66,INDEX('Market Data'!$J$5:$J$528,$T211)-4),11)="First-month",1,0))=1,"class review",IF($I211="Bloomberg",IF(AND(ISNUMBER(INDEX('Market Data'!$AH$5:$AH$66,INDEX('Market Data'!$J$5:$J$528,$T211)-4)),N(INDEX('Market Data'!$AH$5:$AH$66,INDEX('Market Data'!$J$5:$J$528,$T211)-4))&gt;0,ISNUMBER('Market Data'!$B$1),N('Market Data'!$B$1)&gt;0),INDEX('Market Data'!$AH$5:$AH$66,INDEX('Market Data'!$J$5:$J$528,$T211)-4)*'Market Data'!$B$1/$E211-1,"pending A/FX"),IF(AND($I211="Snapshot",$Q211="Snapshot",ISNUMBER($E211),$G211=INDEX('Market Data'!$AE$5:$AE$66,INDEX('Market Data'!$J$5:$J$528,$T211)-4)),IFERROR(INDEX('Market Data'!$AC$5:$AC$66,INDEX('Market Data'!$J$5:$J$528,$T211)-4)*INDEX('Market Data'!$AD$5:$AD$66,INDEX('Market Data'!$J$5:$J$528,$T211)-4)/$E211-1,"unavailable"),IF($I211="Unavailable","unavailable","date mismatch"))))))</f>
        <v/>
      </c>
      <c r="N211" s="11">
        <f>IF($T211=0,"",IFERROR(IF(AND(N(INDEX('Market Data'!$F$5:$F$528,$T211))&gt;0,ISNUMBER(INDEX('Market Data'!$T$5:$T$528,$T211))),$E211*INDEX('Market Data'!$T$5:$T$528,$T211)/INDEX('Market Data'!$F$5:$F$528,$T211)-1,"unavailable"),"unavailable"))</f>
        <v/>
      </c>
      <c r="O211" s="9">
        <f>IF($T211=0,"",IF(IF(INDEX('Market Data'!$J$5:$J$528,$T211)=0,0,IF(LEFT(INDEX('Market Data'!$AS$5:$AS$66,INDEX('Market Data'!$J$5:$J$528,$T211)-4),11)="First-month",1,0))=1,"Class ratio review",IF($I211="Bloomberg",IF(ISNUMBER($G211),IF($G211&lt;TODAY(),"Older quote","See quote time"),"Date unavailable"),IF($I211="Snapshot",IF($G211&lt;DATEVALUE("2026-10-02"),"Older snapshot","Dated close"),"No valid quote"))))</f>
        <v/>
      </c>
      <c r="P211" s="14">
        <f>IF($T211=0,"",IF(INDEX('Market Data'!$J$5:$J$528,$T211)=0,"n/a",IF($Q211="Bloomberg",IF(AND(ISNUMBER(INDEX('Market Data'!$AK$5:$AK$66,INDEX('Market Data'!$J$5:$J$528,$T211)-4)),N(INDEX('Market Data'!$AK$5:$AK$66,INDEX('Market Data'!$J$5:$J$528,$T211)-4))&gt;0),INDEX('Market Data'!$AK$5:$AK$66,INDEX('Market Data'!$J$5:$J$528,$T211)-4),"date unavailable"),IF($Q211="Snapshot",IF(AND(ISNUMBER(INDEX('Market Data'!$AF$5:$AF$66,INDEX('Market Data'!$J$5:$J$528,$T211)-4)),N(INDEX('Market Data'!$AF$5:$AF$66,INDEX('Market Data'!$J$5:$J$528,$T211)-4))&gt;0),INDEX('Market Data'!$AF$5:$AF$66,INDEX('Market Data'!$J$5:$J$528,$T211)-4),"date unavailable"),"date unavailable"))))</f>
        <v/>
      </c>
      <c r="Q211" s="15">
        <f>IF($T211=0,"",IF(INDEX('Market Data'!$J$5:$J$528,$T211)=0,"n/a",IF(AND($M$5&lt;&gt;"Snapshot",ISNUMBER(INDEX('Market Data'!$AH$5:$AH$66,INDEX('Market Data'!$J$5:$J$528,$T211)-4)),N(INDEX('Market Data'!$AH$5:$AH$66,INDEX('Market Data'!$J$5:$J$528,$T211)-4))&gt;0),"Bloomberg",IF(AND($M$5&lt;&gt;"Bloomberg",ISNUMBER(INDEX('Market Data'!$AC$5:$AC$66,INDEX('Market Data'!$J$5:$J$528,$T211)-4)),N(INDEX('Market Data'!$AC$5:$AC$66,INDEX('Market Data'!$J$5:$J$528,$T211)-4))&gt;0),"Snapshot","Unavailable"))))</f>
        <v/>
      </c>
      <c r="T211">
        <f>IFERROR(MATCH(203,'Market Data'!$S$5:$S$528,0),0)</f>
        <v/>
      </c>
    </row>
    <row r="212" ht="34" customHeight="1">
      <c r="A212" s="8">
        <f>IF($T212=0,"",IF(INDEX('Market Data'!$A$5:$A$528,$T212)="","",INDEX('Market Data'!$A$5:$A$528,$T212)))</f>
        <v/>
      </c>
      <c r="B212" s="9">
        <f>IF($T212=0,"",IF(INDEX('Market Data'!$B$5:$B$528,$T212)="","",INDEX('Market Data'!$B$5:$B$528,$T212)))</f>
        <v/>
      </c>
      <c r="C212" s="9">
        <f>IF($T212=0,"",IF(INDEX('Market Data'!$C$5:$C$528,$T212)="","",INDEX('Market Data'!$C$5:$C$528,$T212)))</f>
        <v/>
      </c>
      <c r="D212" s="9">
        <f>IF($T212=0,"",IF(INDEX('Market Data'!$D$5:$D$528,$T212)="","",INDEX('Market Data'!$D$5:$D$528,$T212)))</f>
        <v/>
      </c>
      <c r="E212" s="10">
        <f>IF($T212=0,"",INDEX('Market Data'!$O$5:$O$528,$T212))</f>
        <v/>
      </c>
      <c r="F212" s="11">
        <f>IF($T212=0,"",IF(AND($I212="Bloomberg",ISNUMBER(INDEX('Market Data'!$L$5:$L$528,$T212))),INDEX('Market Data'!$L$5:$L$528,$T212),"unavailable"))</f>
        <v/>
      </c>
      <c r="G212" s="12">
        <f>IF($T212=0,"",IF($I212="Bloomberg",IF(AND(ISNUMBER(INDEX('Market Data'!$M$5:$M$528,$T212)),N(INDEX('Market Data'!$M$5:$M$528,$T212))&gt;0),INDEX('Market Data'!$M$5:$M$528,$T212),"date unavailable"),IF($I212="Snapshot",IF(AND(ISNUMBER(INDEX('Market Data'!$H$5:$H$528,$T212)),N(INDEX('Market Data'!$H$5:$H$528,$T212))&gt;0),INDEX('Market Data'!$H$5:$H$528,$T212),"date unavailable"),"date unavailable")))</f>
        <v/>
      </c>
      <c r="H212" s="9">
        <f>IF($T212=0,"",IF($I212="Bloomberg",IF(INDEX('Market Data'!$N$5:$N$528,$T212)="","time unavailable",INDEX('Market Data'!$N$5:$N$528,$T212)),""))</f>
        <v/>
      </c>
      <c r="I212" s="9">
        <f>IF($T212=0,"",INDEX('Market Data'!$P$5:$P$528,$T212))</f>
        <v/>
      </c>
      <c r="J212" s="13">
        <f>IF($T212=0,"",IF(INDEX('Market Data'!$E$5:$E$528,$T212)="","",INDEX('Market Data'!$E$5:$E$528,$T212)))</f>
        <v/>
      </c>
      <c r="K212" s="8">
        <f>IF($T212=0,"",IF(INDEX('Market Data'!$I$5:$I$528,$T212)="","",INDEX('Market Data'!$I$5:$I$528,$T212)))</f>
        <v/>
      </c>
      <c r="L212" s="10">
        <f>IF($T212=0,"",IF(INDEX('Market Data'!$J$5:$J$528,$T212)=0,"n/a",IF(AND($M$5&lt;&gt;"Snapshot",ISNUMBER(INDEX('Market Data'!$AH$5:$AH$66,INDEX('Market Data'!$J$5:$J$528,$T212)-4)),N(INDEX('Market Data'!$AH$5:$AH$66,INDEX('Market Data'!$J$5:$J$528,$T212)-4))&gt;0),INDEX('Market Data'!$AH$5:$AH$66,INDEX('Market Data'!$J$5:$J$528,$T212)-4),IF(AND($M$5&lt;&gt;"Bloomberg",ISNUMBER(INDEX('Market Data'!$AC$5:$AC$66,INDEX('Market Data'!$J$5:$J$528,$T212)-4)),N(INDEX('Market Data'!$AC$5:$AC$66,INDEX('Market Data'!$J$5:$J$528,$T212)-4))&gt;0),INDEX('Market Data'!$AC$5:$AC$66,INDEX('Market Data'!$J$5:$J$528,$T212)-4),"unavailable"))))</f>
        <v/>
      </c>
      <c r="M212" s="11">
        <f>IF($T212=0,"",IF(INDEX('Market Data'!$J$5:$J$528,$T212)=0,"n/a",IF(IF(INDEX('Market Data'!$J$5:$J$528,$T212)=0,0,IF(LEFT(INDEX('Market Data'!$AS$5:$AS$66,INDEX('Market Data'!$J$5:$J$528,$T212)-4),11)="First-month",1,0))=1,"class review",IF($I212="Bloomberg",IF(AND(ISNUMBER(INDEX('Market Data'!$AH$5:$AH$66,INDEX('Market Data'!$J$5:$J$528,$T212)-4)),N(INDEX('Market Data'!$AH$5:$AH$66,INDEX('Market Data'!$J$5:$J$528,$T212)-4))&gt;0,ISNUMBER('Market Data'!$B$1),N('Market Data'!$B$1)&gt;0),INDEX('Market Data'!$AH$5:$AH$66,INDEX('Market Data'!$J$5:$J$528,$T212)-4)*'Market Data'!$B$1/$E212-1,"pending A/FX"),IF(AND($I212="Snapshot",$Q212="Snapshot",ISNUMBER($E212),$G212=INDEX('Market Data'!$AE$5:$AE$66,INDEX('Market Data'!$J$5:$J$528,$T212)-4)),IFERROR(INDEX('Market Data'!$AC$5:$AC$66,INDEX('Market Data'!$J$5:$J$528,$T212)-4)*INDEX('Market Data'!$AD$5:$AD$66,INDEX('Market Data'!$J$5:$J$528,$T212)-4)/$E212-1,"unavailable"),IF($I212="Unavailable","unavailable","date mismatch"))))))</f>
        <v/>
      </c>
      <c r="N212" s="11">
        <f>IF($T212=0,"",IFERROR(IF(AND(N(INDEX('Market Data'!$F$5:$F$528,$T212))&gt;0,ISNUMBER(INDEX('Market Data'!$T$5:$T$528,$T212))),$E212*INDEX('Market Data'!$T$5:$T$528,$T212)/INDEX('Market Data'!$F$5:$F$528,$T212)-1,"unavailable"),"unavailable"))</f>
        <v/>
      </c>
      <c r="O212" s="9">
        <f>IF($T212=0,"",IF(IF(INDEX('Market Data'!$J$5:$J$528,$T212)=0,0,IF(LEFT(INDEX('Market Data'!$AS$5:$AS$66,INDEX('Market Data'!$J$5:$J$528,$T212)-4),11)="First-month",1,0))=1,"Class ratio review",IF($I212="Bloomberg",IF(ISNUMBER($G212),IF($G212&lt;TODAY(),"Older quote","See quote time"),"Date unavailable"),IF($I212="Snapshot",IF($G212&lt;DATEVALUE("2026-10-02"),"Older snapshot","Dated close"),"No valid quote"))))</f>
        <v/>
      </c>
      <c r="P212" s="14">
        <f>IF($T212=0,"",IF(INDEX('Market Data'!$J$5:$J$528,$T212)=0,"n/a",IF($Q212="Bloomberg",IF(AND(ISNUMBER(INDEX('Market Data'!$AK$5:$AK$66,INDEX('Market Data'!$J$5:$J$528,$T212)-4)),N(INDEX('Market Data'!$AK$5:$AK$66,INDEX('Market Data'!$J$5:$J$528,$T212)-4))&gt;0),INDEX('Market Data'!$AK$5:$AK$66,INDEX('Market Data'!$J$5:$J$528,$T212)-4),"date unavailable"),IF($Q212="Snapshot",IF(AND(ISNUMBER(INDEX('Market Data'!$AF$5:$AF$66,INDEX('Market Data'!$J$5:$J$528,$T212)-4)),N(INDEX('Market Data'!$AF$5:$AF$66,INDEX('Market Data'!$J$5:$J$528,$T212)-4))&gt;0),INDEX('Market Data'!$AF$5:$AF$66,INDEX('Market Data'!$J$5:$J$528,$T212)-4),"date unavailable"),"date unavailable"))))</f>
        <v/>
      </c>
      <c r="Q212" s="15">
        <f>IF($T212=0,"",IF(INDEX('Market Data'!$J$5:$J$528,$T212)=0,"n/a",IF(AND($M$5&lt;&gt;"Snapshot",ISNUMBER(INDEX('Market Data'!$AH$5:$AH$66,INDEX('Market Data'!$J$5:$J$528,$T212)-4)),N(INDEX('Market Data'!$AH$5:$AH$66,INDEX('Market Data'!$J$5:$J$528,$T212)-4))&gt;0),"Bloomberg",IF(AND($M$5&lt;&gt;"Bloomberg",ISNUMBER(INDEX('Market Data'!$AC$5:$AC$66,INDEX('Market Data'!$J$5:$J$528,$T212)-4)),N(INDEX('Market Data'!$AC$5:$AC$66,INDEX('Market Data'!$J$5:$J$528,$T212)-4))&gt;0),"Snapshot","Unavailable"))))</f>
        <v/>
      </c>
      <c r="T212">
        <f>IFERROR(MATCH(204,'Market Data'!$S$5:$S$528,0),0)</f>
        <v/>
      </c>
    </row>
    <row r="213" ht="34" customHeight="1">
      <c r="A213" s="8">
        <f>IF($T213=0,"",IF(INDEX('Market Data'!$A$5:$A$528,$T213)="","",INDEX('Market Data'!$A$5:$A$528,$T213)))</f>
        <v/>
      </c>
      <c r="B213" s="9">
        <f>IF($T213=0,"",IF(INDEX('Market Data'!$B$5:$B$528,$T213)="","",INDEX('Market Data'!$B$5:$B$528,$T213)))</f>
        <v/>
      </c>
      <c r="C213" s="9">
        <f>IF($T213=0,"",IF(INDEX('Market Data'!$C$5:$C$528,$T213)="","",INDEX('Market Data'!$C$5:$C$528,$T213)))</f>
        <v/>
      </c>
      <c r="D213" s="9">
        <f>IF($T213=0,"",IF(INDEX('Market Data'!$D$5:$D$528,$T213)="","",INDEX('Market Data'!$D$5:$D$528,$T213)))</f>
        <v/>
      </c>
      <c r="E213" s="10">
        <f>IF($T213=0,"",INDEX('Market Data'!$O$5:$O$528,$T213))</f>
        <v/>
      </c>
      <c r="F213" s="11">
        <f>IF($T213=0,"",IF(AND($I213="Bloomberg",ISNUMBER(INDEX('Market Data'!$L$5:$L$528,$T213))),INDEX('Market Data'!$L$5:$L$528,$T213),"unavailable"))</f>
        <v/>
      </c>
      <c r="G213" s="12">
        <f>IF($T213=0,"",IF($I213="Bloomberg",IF(AND(ISNUMBER(INDEX('Market Data'!$M$5:$M$528,$T213)),N(INDEX('Market Data'!$M$5:$M$528,$T213))&gt;0),INDEX('Market Data'!$M$5:$M$528,$T213),"date unavailable"),IF($I213="Snapshot",IF(AND(ISNUMBER(INDEX('Market Data'!$H$5:$H$528,$T213)),N(INDEX('Market Data'!$H$5:$H$528,$T213))&gt;0),INDEX('Market Data'!$H$5:$H$528,$T213),"date unavailable"),"date unavailable")))</f>
        <v/>
      </c>
      <c r="H213" s="9">
        <f>IF($T213=0,"",IF($I213="Bloomberg",IF(INDEX('Market Data'!$N$5:$N$528,$T213)="","time unavailable",INDEX('Market Data'!$N$5:$N$528,$T213)),""))</f>
        <v/>
      </c>
      <c r="I213" s="9">
        <f>IF($T213=0,"",INDEX('Market Data'!$P$5:$P$528,$T213))</f>
        <v/>
      </c>
      <c r="J213" s="13">
        <f>IF($T213=0,"",IF(INDEX('Market Data'!$E$5:$E$528,$T213)="","",INDEX('Market Data'!$E$5:$E$528,$T213)))</f>
        <v/>
      </c>
      <c r="K213" s="8">
        <f>IF($T213=0,"",IF(INDEX('Market Data'!$I$5:$I$528,$T213)="","",INDEX('Market Data'!$I$5:$I$528,$T213)))</f>
        <v/>
      </c>
      <c r="L213" s="10">
        <f>IF($T213=0,"",IF(INDEX('Market Data'!$J$5:$J$528,$T213)=0,"n/a",IF(AND($M$5&lt;&gt;"Snapshot",ISNUMBER(INDEX('Market Data'!$AH$5:$AH$66,INDEX('Market Data'!$J$5:$J$528,$T213)-4)),N(INDEX('Market Data'!$AH$5:$AH$66,INDEX('Market Data'!$J$5:$J$528,$T213)-4))&gt;0),INDEX('Market Data'!$AH$5:$AH$66,INDEX('Market Data'!$J$5:$J$528,$T213)-4),IF(AND($M$5&lt;&gt;"Bloomberg",ISNUMBER(INDEX('Market Data'!$AC$5:$AC$66,INDEX('Market Data'!$J$5:$J$528,$T213)-4)),N(INDEX('Market Data'!$AC$5:$AC$66,INDEX('Market Data'!$J$5:$J$528,$T213)-4))&gt;0),INDEX('Market Data'!$AC$5:$AC$66,INDEX('Market Data'!$J$5:$J$528,$T213)-4),"unavailable"))))</f>
        <v/>
      </c>
      <c r="M213" s="11">
        <f>IF($T213=0,"",IF(INDEX('Market Data'!$J$5:$J$528,$T213)=0,"n/a",IF(IF(INDEX('Market Data'!$J$5:$J$528,$T213)=0,0,IF(LEFT(INDEX('Market Data'!$AS$5:$AS$66,INDEX('Market Data'!$J$5:$J$528,$T213)-4),11)="First-month",1,0))=1,"class review",IF($I213="Bloomberg",IF(AND(ISNUMBER(INDEX('Market Data'!$AH$5:$AH$66,INDEX('Market Data'!$J$5:$J$528,$T213)-4)),N(INDEX('Market Data'!$AH$5:$AH$66,INDEX('Market Data'!$J$5:$J$528,$T213)-4))&gt;0,ISNUMBER('Market Data'!$B$1),N('Market Data'!$B$1)&gt;0),INDEX('Market Data'!$AH$5:$AH$66,INDEX('Market Data'!$J$5:$J$528,$T213)-4)*'Market Data'!$B$1/$E213-1,"pending A/FX"),IF(AND($I213="Snapshot",$Q213="Snapshot",ISNUMBER($E213),$G213=INDEX('Market Data'!$AE$5:$AE$66,INDEX('Market Data'!$J$5:$J$528,$T213)-4)),IFERROR(INDEX('Market Data'!$AC$5:$AC$66,INDEX('Market Data'!$J$5:$J$528,$T213)-4)*INDEX('Market Data'!$AD$5:$AD$66,INDEX('Market Data'!$J$5:$J$528,$T213)-4)/$E213-1,"unavailable"),IF($I213="Unavailable","unavailable","date mismatch"))))))</f>
        <v/>
      </c>
      <c r="N213" s="11">
        <f>IF($T213=0,"",IFERROR(IF(AND(N(INDEX('Market Data'!$F$5:$F$528,$T213))&gt;0,ISNUMBER(INDEX('Market Data'!$T$5:$T$528,$T213))),$E213*INDEX('Market Data'!$T$5:$T$528,$T213)/INDEX('Market Data'!$F$5:$F$528,$T213)-1,"unavailable"),"unavailable"))</f>
        <v/>
      </c>
      <c r="O213" s="9">
        <f>IF($T213=0,"",IF(IF(INDEX('Market Data'!$J$5:$J$528,$T213)=0,0,IF(LEFT(INDEX('Market Data'!$AS$5:$AS$66,INDEX('Market Data'!$J$5:$J$528,$T213)-4),11)="First-month",1,0))=1,"Class ratio review",IF($I213="Bloomberg",IF(ISNUMBER($G213),IF($G213&lt;TODAY(),"Older quote","See quote time"),"Date unavailable"),IF($I213="Snapshot",IF($G213&lt;DATEVALUE("2026-10-02"),"Older snapshot","Dated close"),"No valid quote"))))</f>
        <v/>
      </c>
      <c r="P213" s="14">
        <f>IF($T213=0,"",IF(INDEX('Market Data'!$J$5:$J$528,$T213)=0,"n/a",IF($Q213="Bloomberg",IF(AND(ISNUMBER(INDEX('Market Data'!$AK$5:$AK$66,INDEX('Market Data'!$J$5:$J$528,$T213)-4)),N(INDEX('Market Data'!$AK$5:$AK$66,INDEX('Market Data'!$J$5:$J$528,$T213)-4))&gt;0),INDEX('Market Data'!$AK$5:$AK$66,INDEX('Market Data'!$J$5:$J$528,$T213)-4),"date unavailable"),IF($Q213="Snapshot",IF(AND(ISNUMBER(INDEX('Market Data'!$AF$5:$AF$66,INDEX('Market Data'!$J$5:$J$528,$T213)-4)),N(INDEX('Market Data'!$AF$5:$AF$66,INDEX('Market Data'!$J$5:$J$528,$T213)-4))&gt;0),INDEX('Market Data'!$AF$5:$AF$66,INDEX('Market Data'!$J$5:$J$528,$T213)-4),"date unavailable"),"date unavailable"))))</f>
        <v/>
      </c>
      <c r="Q213" s="15">
        <f>IF($T213=0,"",IF(INDEX('Market Data'!$J$5:$J$528,$T213)=0,"n/a",IF(AND($M$5&lt;&gt;"Snapshot",ISNUMBER(INDEX('Market Data'!$AH$5:$AH$66,INDEX('Market Data'!$J$5:$J$528,$T213)-4)),N(INDEX('Market Data'!$AH$5:$AH$66,INDEX('Market Data'!$J$5:$J$528,$T213)-4))&gt;0),"Bloomberg",IF(AND($M$5&lt;&gt;"Bloomberg",ISNUMBER(INDEX('Market Data'!$AC$5:$AC$66,INDEX('Market Data'!$J$5:$J$528,$T213)-4)),N(INDEX('Market Data'!$AC$5:$AC$66,INDEX('Market Data'!$J$5:$J$528,$T213)-4))&gt;0),"Snapshot","Unavailable"))))</f>
        <v/>
      </c>
      <c r="T213">
        <f>IFERROR(MATCH(205,'Market Data'!$S$5:$S$528,0),0)</f>
        <v/>
      </c>
    </row>
    <row r="214" ht="34" customHeight="1">
      <c r="A214" s="8">
        <f>IF($T214=0,"",IF(INDEX('Market Data'!$A$5:$A$528,$T214)="","",INDEX('Market Data'!$A$5:$A$528,$T214)))</f>
        <v/>
      </c>
      <c r="B214" s="9">
        <f>IF($T214=0,"",IF(INDEX('Market Data'!$B$5:$B$528,$T214)="","",INDEX('Market Data'!$B$5:$B$528,$T214)))</f>
        <v/>
      </c>
      <c r="C214" s="9">
        <f>IF($T214=0,"",IF(INDEX('Market Data'!$C$5:$C$528,$T214)="","",INDEX('Market Data'!$C$5:$C$528,$T214)))</f>
        <v/>
      </c>
      <c r="D214" s="9">
        <f>IF($T214=0,"",IF(INDEX('Market Data'!$D$5:$D$528,$T214)="","",INDEX('Market Data'!$D$5:$D$528,$T214)))</f>
        <v/>
      </c>
      <c r="E214" s="10">
        <f>IF($T214=0,"",INDEX('Market Data'!$O$5:$O$528,$T214))</f>
        <v/>
      </c>
      <c r="F214" s="11">
        <f>IF($T214=0,"",IF(AND($I214="Bloomberg",ISNUMBER(INDEX('Market Data'!$L$5:$L$528,$T214))),INDEX('Market Data'!$L$5:$L$528,$T214),"unavailable"))</f>
        <v/>
      </c>
      <c r="G214" s="12">
        <f>IF($T214=0,"",IF($I214="Bloomberg",IF(AND(ISNUMBER(INDEX('Market Data'!$M$5:$M$528,$T214)),N(INDEX('Market Data'!$M$5:$M$528,$T214))&gt;0),INDEX('Market Data'!$M$5:$M$528,$T214),"date unavailable"),IF($I214="Snapshot",IF(AND(ISNUMBER(INDEX('Market Data'!$H$5:$H$528,$T214)),N(INDEX('Market Data'!$H$5:$H$528,$T214))&gt;0),INDEX('Market Data'!$H$5:$H$528,$T214),"date unavailable"),"date unavailable")))</f>
        <v/>
      </c>
      <c r="H214" s="9">
        <f>IF($T214=0,"",IF($I214="Bloomberg",IF(INDEX('Market Data'!$N$5:$N$528,$T214)="","time unavailable",INDEX('Market Data'!$N$5:$N$528,$T214)),""))</f>
        <v/>
      </c>
      <c r="I214" s="9">
        <f>IF($T214=0,"",INDEX('Market Data'!$P$5:$P$528,$T214))</f>
        <v/>
      </c>
      <c r="J214" s="13">
        <f>IF($T214=0,"",IF(INDEX('Market Data'!$E$5:$E$528,$T214)="","",INDEX('Market Data'!$E$5:$E$528,$T214)))</f>
        <v/>
      </c>
      <c r="K214" s="8">
        <f>IF($T214=0,"",IF(INDEX('Market Data'!$I$5:$I$528,$T214)="","",INDEX('Market Data'!$I$5:$I$528,$T214)))</f>
        <v/>
      </c>
      <c r="L214" s="10">
        <f>IF($T214=0,"",IF(INDEX('Market Data'!$J$5:$J$528,$T214)=0,"n/a",IF(AND($M$5&lt;&gt;"Snapshot",ISNUMBER(INDEX('Market Data'!$AH$5:$AH$66,INDEX('Market Data'!$J$5:$J$528,$T214)-4)),N(INDEX('Market Data'!$AH$5:$AH$66,INDEX('Market Data'!$J$5:$J$528,$T214)-4))&gt;0),INDEX('Market Data'!$AH$5:$AH$66,INDEX('Market Data'!$J$5:$J$528,$T214)-4),IF(AND($M$5&lt;&gt;"Bloomberg",ISNUMBER(INDEX('Market Data'!$AC$5:$AC$66,INDEX('Market Data'!$J$5:$J$528,$T214)-4)),N(INDEX('Market Data'!$AC$5:$AC$66,INDEX('Market Data'!$J$5:$J$528,$T214)-4))&gt;0),INDEX('Market Data'!$AC$5:$AC$66,INDEX('Market Data'!$J$5:$J$528,$T214)-4),"unavailable"))))</f>
        <v/>
      </c>
      <c r="M214" s="11">
        <f>IF($T214=0,"",IF(INDEX('Market Data'!$J$5:$J$528,$T214)=0,"n/a",IF(IF(INDEX('Market Data'!$J$5:$J$528,$T214)=0,0,IF(LEFT(INDEX('Market Data'!$AS$5:$AS$66,INDEX('Market Data'!$J$5:$J$528,$T214)-4),11)="First-month",1,0))=1,"class review",IF($I214="Bloomberg",IF(AND(ISNUMBER(INDEX('Market Data'!$AH$5:$AH$66,INDEX('Market Data'!$J$5:$J$528,$T214)-4)),N(INDEX('Market Data'!$AH$5:$AH$66,INDEX('Market Data'!$J$5:$J$528,$T214)-4))&gt;0,ISNUMBER('Market Data'!$B$1),N('Market Data'!$B$1)&gt;0),INDEX('Market Data'!$AH$5:$AH$66,INDEX('Market Data'!$J$5:$J$528,$T214)-4)*'Market Data'!$B$1/$E214-1,"pending A/FX"),IF(AND($I214="Snapshot",$Q214="Snapshot",ISNUMBER($E214),$G214=INDEX('Market Data'!$AE$5:$AE$66,INDEX('Market Data'!$J$5:$J$528,$T214)-4)),IFERROR(INDEX('Market Data'!$AC$5:$AC$66,INDEX('Market Data'!$J$5:$J$528,$T214)-4)*INDEX('Market Data'!$AD$5:$AD$66,INDEX('Market Data'!$J$5:$J$528,$T214)-4)/$E214-1,"unavailable"),IF($I214="Unavailable","unavailable","date mismatch"))))))</f>
        <v/>
      </c>
      <c r="N214" s="11">
        <f>IF($T214=0,"",IFERROR(IF(AND(N(INDEX('Market Data'!$F$5:$F$528,$T214))&gt;0,ISNUMBER(INDEX('Market Data'!$T$5:$T$528,$T214))),$E214*INDEX('Market Data'!$T$5:$T$528,$T214)/INDEX('Market Data'!$F$5:$F$528,$T214)-1,"unavailable"),"unavailable"))</f>
        <v/>
      </c>
      <c r="O214" s="9">
        <f>IF($T214=0,"",IF(IF(INDEX('Market Data'!$J$5:$J$528,$T214)=0,0,IF(LEFT(INDEX('Market Data'!$AS$5:$AS$66,INDEX('Market Data'!$J$5:$J$528,$T214)-4),11)="First-month",1,0))=1,"Class ratio review",IF($I214="Bloomberg",IF(ISNUMBER($G214),IF($G214&lt;TODAY(),"Older quote","See quote time"),"Date unavailable"),IF($I214="Snapshot",IF($G214&lt;DATEVALUE("2026-10-02"),"Older snapshot","Dated close"),"No valid quote"))))</f>
        <v/>
      </c>
      <c r="P214" s="14">
        <f>IF($T214=0,"",IF(INDEX('Market Data'!$J$5:$J$528,$T214)=0,"n/a",IF($Q214="Bloomberg",IF(AND(ISNUMBER(INDEX('Market Data'!$AK$5:$AK$66,INDEX('Market Data'!$J$5:$J$528,$T214)-4)),N(INDEX('Market Data'!$AK$5:$AK$66,INDEX('Market Data'!$J$5:$J$528,$T214)-4))&gt;0),INDEX('Market Data'!$AK$5:$AK$66,INDEX('Market Data'!$J$5:$J$528,$T214)-4),"date unavailable"),IF($Q214="Snapshot",IF(AND(ISNUMBER(INDEX('Market Data'!$AF$5:$AF$66,INDEX('Market Data'!$J$5:$J$528,$T214)-4)),N(INDEX('Market Data'!$AF$5:$AF$66,INDEX('Market Data'!$J$5:$J$528,$T214)-4))&gt;0),INDEX('Market Data'!$AF$5:$AF$66,INDEX('Market Data'!$J$5:$J$528,$T214)-4),"date unavailable"),"date unavailable"))))</f>
        <v/>
      </c>
      <c r="Q214" s="15">
        <f>IF($T214=0,"",IF(INDEX('Market Data'!$J$5:$J$528,$T214)=0,"n/a",IF(AND($M$5&lt;&gt;"Snapshot",ISNUMBER(INDEX('Market Data'!$AH$5:$AH$66,INDEX('Market Data'!$J$5:$J$528,$T214)-4)),N(INDEX('Market Data'!$AH$5:$AH$66,INDEX('Market Data'!$J$5:$J$528,$T214)-4))&gt;0),"Bloomberg",IF(AND($M$5&lt;&gt;"Bloomberg",ISNUMBER(INDEX('Market Data'!$AC$5:$AC$66,INDEX('Market Data'!$J$5:$J$528,$T214)-4)),N(INDEX('Market Data'!$AC$5:$AC$66,INDEX('Market Data'!$J$5:$J$528,$T214)-4))&gt;0),"Snapshot","Unavailable"))))</f>
        <v/>
      </c>
      <c r="T214">
        <f>IFERROR(MATCH(206,'Market Data'!$S$5:$S$528,0),0)</f>
        <v/>
      </c>
    </row>
    <row r="215" ht="34" customHeight="1">
      <c r="A215" s="8">
        <f>IF($T215=0,"",IF(INDEX('Market Data'!$A$5:$A$528,$T215)="","",INDEX('Market Data'!$A$5:$A$528,$T215)))</f>
        <v/>
      </c>
      <c r="B215" s="9">
        <f>IF($T215=0,"",IF(INDEX('Market Data'!$B$5:$B$528,$T215)="","",INDEX('Market Data'!$B$5:$B$528,$T215)))</f>
        <v/>
      </c>
      <c r="C215" s="9">
        <f>IF($T215=0,"",IF(INDEX('Market Data'!$C$5:$C$528,$T215)="","",INDEX('Market Data'!$C$5:$C$528,$T215)))</f>
        <v/>
      </c>
      <c r="D215" s="9">
        <f>IF($T215=0,"",IF(INDEX('Market Data'!$D$5:$D$528,$T215)="","",INDEX('Market Data'!$D$5:$D$528,$T215)))</f>
        <v/>
      </c>
      <c r="E215" s="10">
        <f>IF($T215=0,"",INDEX('Market Data'!$O$5:$O$528,$T215))</f>
        <v/>
      </c>
      <c r="F215" s="11">
        <f>IF($T215=0,"",IF(AND($I215="Bloomberg",ISNUMBER(INDEX('Market Data'!$L$5:$L$528,$T215))),INDEX('Market Data'!$L$5:$L$528,$T215),"unavailable"))</f>
        <v/>
      </c>
      <c r="G215" s="12">
        <f>IF($T215=0,"",IF($I215="Bloomberg",IF(AND(ISNUMBER(INDEX('Market Data'!$M$5:$M$528,$T215)),N(INDEX('Market Data'!$M$5:$M$528,$T215))&gt;0),INDEX('Market Data'!$M$5:$M$528,$T215),"date unavailable"),IF($I215="Snapshot",IF(AND(ISNUMBER(INDEX('Market Data'!$H$5:$H$528,$T215)),N(INDEX('Market Data'!$H$5:$H$528,$T215))&gt;0),INDEX('Market Data'!$H$5:$H$528,$T215),"date unavailable"),"date unavailable")))</f>
        <v/>
      </c>
      <c r="H215" s="9">
        <f>IF($T215=0,"",IF($I215="Bloomberg",IF(INDEX('Market Data'!$N$5:$N$528,$T215)="","time unavailable",INDEX('Market Data'!$N$5:$N$528,$T215)),""))</f>
        <v/>
      </c>
      <c r="I215" s="9">
        <f>IF($T215=0,"",INDEX('Market Data'!$P$5:$P$528,$T215))</f>
        <v/>
      </c>
      <c r="J215" s="13">
        <f>IF($T215=0,"",IF(INDEX('Market Data'!$E$5:$E$528,$T215)="","",INDEX('Market Data'!$E$5:$E$528,$T215)))</f>
        <v/>
      </c>
      <c r="K215" s="8">
        <f>IF($T215=0,"",IF(INDEX('Market Data'!$I$5:$I$528,$T215)="","",INDEX('Market Data'!$I$5:$I$528,$T215)))</f>
        <v/>
      </c>
      <c r="L215" s="10">
        <f>IF($T215=0,"",IF(INDEX('Market Data'!$J$5:$J$528,$T215)=0,"n/a",IF(AND($M$5&lt;&gt;"Snapshot",ISNUMBER(INDEX('Market Data'!$AH$5:$AH$66,INDEX('Market Data'!$J$5:$J$528,$T215)-4)),N(INDEX('Market Data'!$AH$5:$AH$66,INDEX('Market Data'!$J$5:$J$528,$T215)-4))&gt;0),INDEX('Market Data'!$AH$5:$AH$66,INDEX('Market Data'!$J$5:$J$528,$T215)-4),IF(AND($M$5&lt;&gt;"Bloomberg",ISNUMBER(INDEX('Market Data'!$AC$5:$AC$66,INDEX('Market Data'!$J$5:$J$528,$T215)-4)),N(INDEX('Market Data'!$AC$5:$AC$66,INDEX('Market Data'!$J$5:$J$528,$T215)-4))&gt;0),INDEX('Market Data'!$AC$5:$AC$66,INDEX('Market Data'!$J$5:$J$528,$T215)-4),"unavailable"))))</f>
        <v/>
      </c>
      <c r="M215" s="11">
        <f>IF($T215=0,"",IF(INDEX('Market Data'!$J$5:$J$528,$T215)=0,"n/a",IF(IF(INDEX('Market Data'!$J$5:$J$528,$T215)=0,0,IF(LEFT(INDEX('Market Data'!$AS$5:$AS$66,INDEX('Market Data'!$J$5:$J$528,$T215)-4),11)="First-month",1,0))=1,"class review",IF($I215="Bloomberg",IF(AND(ISNUMBER(INDEX('Market Data'!$AH$5:$AH$66,INDEX('Market Data'!$J$5:$J$528,$T215)-4)),N(INDEX('Market Data'!$AH$5:$AH$66,INDEX('Market Data'!$J$5:$J$528,$T215)-4))&gt;0,ISNUMBER('Market Data'!$B$1),N('Market Data'!$B$1)&gt;0),INDEX('Market Data'!$AH$5:$AH$66,INDEX('Market Data'!$J$5:$J$528,$T215)-4)*'Market Data'!$B$1/$E215-1,"pending A/FX"),IF(AND($I215="Snapshot",$Q215="Snapshot",ISNUMBER($E215),$G215=INDEX('Market Data'!$AE$5:$AE$66,INDEX('Market Data'!$J$5:$J$528,$T215)-4)),IFERROR(INDEX('Market Data'!$AC$5:$AC$66,INDEX('Market Data'!$J$5:$J$528,$T215)-4)*INDEX('Market Data'!$AD$5:$AD$66,INDEX('Market Data'!$J$5:$J$528,$T215)-4)/$E215-1,"unavailable"),IF($I215="Unavailable","unavailable","date mismatch"))))))</f>
        <v/>
      </c>
      <c r="N215" s="11">
        <f>IF($T215=0,"",IFERROR(IF(AND(N(INDEX('Market Data'!$F$5:$F$528,$T215))&gt;0,ISNUMBER(INDEX('Market Data'!$T$5:$T$528,$T215))),$E215*INDEX('Market Data'!$T$5:$T$528,$T215)/INDEX('Market Data'!$F$5:$F$528,$T215)-1,"unavailable"),"unavailable"))</f>
        <v/>
      </c>
      <c r="O215" s="9">
        <f>IF($T215=0,"",IF(IF(INDEX('Market Data'!$J$5:$J$528,$T215)=0,0,IF(LEFT(INDEX('Market Data'!$AS$5:$AS$66,INDEX('Market Data'!$J$5:$J$528,$T215)-4),11)="First-month",1,0))=1,"Class ratio review",IF($I215="Bloomberg",IF(ISNUMBER($G215),IF($G215&lt;TODAY(),"Older quote","See quote time"),"Date unavailable"),IF($I215="Snapshot",IF($G215&lt;DATEVALUE("2026-10-02"),"Older snapshot","Dated close"),"No valid quote"))))</f>
        <v/>
      </c>
      <c r="P215" s="14">
        <f>IF($T215=0,"",IF(INDEX('Market Data'!$J$5:$J$528,$T215)=0,"n/a",IF($Q215="Bloomberg",IF(AND(ISNUMBER(INDEX('Market Data'!$AK$5:$AK$66,INDEX('Market Data'!$J$5:$J$528,$T215)-4)),N(INDEX('Market Data'!$AK$5:$AK$66,INDEX('Market Data'!$J$5:$J$528,$T215)-4))&gt;0),INDEX('Market Data'!$AK$5:$AK$66,INDEX('Market Data'!$J$5:$J$528,$T215)-4),"date unavailable"),IF($Q215="Snapshot",IF(AND(ISNUMBER(INDEX('Market Data'!$AF$5:$AF$66,INDEX('Market Data'!$J$5:$J$528,$T215)-4)),N(INDEX('Market Data'!$AF$5:$AF$66,INDEX('Market Data'!$J$5:$J$528,$T215)-4))&gt;0),INDEX('Market Data'!$AF$5:$AF$66,INDEX('Market Data'!$J$5:$J$528,$T215)-4),"date unavailable"),"date unavailable"))))</f>
        <v/>
      </c>
      <c r="Q215" s="15">
        <f>IF($T215=0,"",IF(INDEX('Market Data'!$J$5:$J$528,$T215)=0,"n/a",IF(AND($M$5&lt;&gt;"Snapshot",ISNUMBER(INDEX('Market Data'!$AH$5:$AH$66,INDEX('Market Data'!$J$5:$J$528,$T215)-4)),N(INDEX('Market Data'!$AH$5:$AH$66,INDEX('Market Data'!$J$5:$J$528,$T215)-4))&gt;0),"Bloomberg",IF(AND($M$5&lt;&gt;"Bloomberg",ISNUMBER(INDEX('Market Data'!$AC$5:$AC$66,INDEX('Market Data'!$J$5:$J$528,$T215)-4)),N(INDEX('Market Data'!$AC$5:$AC$66,INDEX('Market Data'!$J$5:$J$528,$T215)-4))&gt;0),"Snapshot","Unavailable"))))</f>
        <v/>
      </c>
      <c r="T215">
        <f>IFERROR(MATCH(207,'Market Data'!$S$5:$S$528,0),0)</f>
        <v/>
      </c>
    </row>
    <row r="216" ht="34" customHeight="1">
      <c r="A216" s="8">
        <f>IF($T216=0,"",IF(INDEX('Market Data'!$A$5:$A$528,$T216)="","",INDEX('Market Data'!$A$5:$A$528,$T216)))</f>
        <v/>
      </c>
      <c r="B216" s="9">
        <f>IF($T216=0,"",IF(INDEX('Market Data'!$B$5:$B$528,$T216)="","",INDEX('Market Data'!$B$5:$B$528,$T216)))</f>
        <v/>
      </c>
      <c r="C216" s="9">
        <f>IF($T216=0,"",IF(INDEX('Market Data'!$C$5:$C$528,$T216)="","",INDEX('Market Data'!$C$5:$C$528,$T216)))</f>
        <v/>
      </c>
      <c r="D216" s="9">
        <f>IF($T216=0,"",IF(INDEX('Market Data'!$D$5:$D$528,$T216)="","",INDEX('Market Data'!$D$5:$D$528,$T216)))</f>
        <v/>
      </c>
      <c r="E216" s="10">
        <f>IF($T216=0,"",INDEX('Market Data'!$O$5:$O$528,$T216))</f>
        <v/>
      </c>
      <c r="F216" s="11">
        <f>IF($T216=0,"",IF(AND($I216="Bloomberg",ISNUMBER(INDEX('Market Data'!$L$5:$L$528,$T216))),INDEX('Market Data'!$L$5:$L$528,$T216),"unavailable"))</f>
        <v/>
      </c>
      <c r="G216" s="12">
        <f>IF($T216=0,"",IF($I216="Bloomberg",IF(AND(ISNUMBER(INDEX('Market Data'!$M$5:$M$528,$T216)),N(INDEX('Market Data'!$M$5:$M$528,$T216))&gt;0),INDEX('Market Data'!$M$5:$M$528,$T216),"date unavailable"),IF($I216="Snapshot",IF(AND(ISNUMBER(INDEX('Market Data'!$H$5:$H$528,$T216)),N(INDEX('Market Data'!$H$5:$H$528,$T216))&gt;0),INDEX('Market Data'!$H$5:$H$528,$T216),"date unavailable"),"date unavailable")))</f>
        <v/>
      </c>
      <c r="H216" s="9">
        <f>IF($T216=0,"",IF($I216="Bloomberg",IF(INDEX('Market Data'!$N$5:$N$528,$T216)="","time unavailable",INDEX('Market Data'!$N$5:$N$528,$T216)),""))</f>
        <v/>
      </c>
      <c r="I216" s="9">
        <f>IF($T216=0,"",INDEX('Market Data'!$P$5:$P$528,$T216))</f>
        <v/>
      </c>
      <c r="J216" s="13">
        <f>IF($T216=0,"",IF(INDEX('Market Data'!$E$5:$E$528,$T216)="","",INDEX('Market Data'!$E$5:$E$528,$T216)))</f>
        <v/>
      </c>
      <c r="K216" s="8">
        <f>IF($T216=0,"",IF(INDEX('Market Data'!$I$5:$I$528,$T216)="","",INDEX('Market Data'!$I$5:$I$528,$T216)))</f>
        <v/>
      </c>
      <c r="L216" s="10">
        <f>IF($T216=0,"",IF(INDEX('Market Data'!$J$5:$J$528,$T216)=0,"n/a",IF(AND($M$5&lt;&gt;"Snapshot",ISNUMBER(INDEX('Market Data'!$AH$5:$AH$66,INDEX('Market Data'!$J$5:$J$528,$T216)-4)),N(INDEX('Market Data'!$AH$5:$AH$66,INDEX('Market Data'!$J$5:$J$528,$T216)-4))&gt;0),INDEX('Market Data'!$AH$5:$AH$66,INDEX('Market Data'!$J$5:$J$528,$T216)-4),IF(AND($M$5&lt;&gt;"Bloomberg",ISNUMBER(INDEX('Market Data'!$AC$5:$AC$66,INDEX('Market Data'!$J$5:$J$528,$T216)-4)),N(INDEX('Market Data'!$AC$5:$AC$66,INDEX('Market Data'!$J$5:$J$528,$T216)-4))&gt;0),INDEX('Market Data'!$AC$5:$AC$66,INDEX('Market Data'!$J$5:$J$528,$T216)-4),"unavailable"))))</f>
        <v/>
      </c>
      <c r="M216" s="11">
        <f>IF($T216=0,"",IF(INDEX('Market Data'!$J$5:$J$528,$T216)=0,"n/a",IF(IF(INDEX('Market Data'!$J$5:$J$528,$T216)=0,0,IF(LEFT(INDEX('Market Data'!$AS$5:$AS$66,INDEX('Market Data'!$J$5:$J$528,$T216)-4),11)="First-month",1,0))=1,"class review",IF($I216="Bloomberg",IF(AND(ISNUMBER(INDEX('Market Data'!$AH$5:$AH$66,INDEX('Market Data'!$J$5:$J$528,$T216)-4)),N(INDEX('Market Data'!$AH$5:$AH$66,INDEX('Market Data'!$J$5:$J$528,$T216)-4))&gt;0,ISNUMBER('Market Data'!$B$1),N('Market Data'!$B$1)&gt;0),INDEX('Market Data'!$AH$5:$AH$66,INDEX('Market Data'!$J$5:$J$528,$T216)-4)*'Market Data'!$B$1/$E216-1,"pending A/FX"),IF(AND($I216="Snapshot",$Q216="Snapshot",ISNUMBER($E216),$G216=INDEX('Market Data'!$AE$5:$AE$66,INDEX('Market Data'!$J$5:$J$528,$T216)-4)),IFERROR(INDEX('Market Data'!$AC$5:$AC$66,INDEX('Market Data'!$J$5:$J$528,$T216)-4)*INDEX('Market Data'!$AD$5:$AD$66,INDEX('Market Data'!$J$5:$J$528,$T216)-4)/$E216-1,"unavailable"),IF($I216="Unavailable","unavailable","date mismatch"))))))</f>
        <v/>
      </c>
      <c r="N216" s="11">
        <f>IF($T216=0,"",IFERROR(IF(AND(N(INDEX('Market Data'!$F$5:$F$528,$T216))&gt;0,ISNUMBER(INDEX('Market Data'!$T$5:$T$528,$T216))),$E216*INDEX('Market Data'!$T$5:$T$528,$T216)/INDEX('Market Data'!$F$5:$F$528,$T216)-1,"unavailable"),"unavailable"))</f>
        <v/>
      </c>
      <c r="O216" s="9">
        <f>IF($T216=0,"",IF(IF(INDEX('Market Data'!$J$5:$J$528,$T216)=0,0,IF(LEFT(INDEX('Market Data'!$AS$5:$AS$66,INDEX('Market Data'!$J$5:$J$528,$T216)-4),11)="First-month",1,0))=1,"Class ratio review",IF($I216="Bloomberg",IF(ISNUMBER($G216),IF($G216&lt;TODAY(),"Older quote","See quote time"),"Date unavailable"),IF($I216="Snapshot",IF($G216&lt;DATEVALUE("2026-10-02"),"Older snapshot","Dated close"),"No valid quote"))))</f>
        <v/>
      </c>
      <c r="P216" s="14">
        <f>IF($T216=0,"",IF(INDEX('Market Data'!$J$5:$J$528,$T216)=0,"n/a",IF($Q216="Bloomberg",IF(AND(ISNUMBER(INDEX('Market Data'!$AK$5:$AK$66,INDEX('Market Data'!$J$5:$J$528,$T216)-4)),N(INDEX('Market Data'!$AK$5:$AK$66,INDEX('Market Data'!$J$5:$J$528,$T216)-4))&gt;0),INDEX('Market Data'!$AK$5:$AK$66,INDEX('Market Data'!$J$5:$J$528,$T216)-4),"date unavailable"),IF($Q216="Snapshot",IF(AND(ISNUMBER(INDEX('Market Data'!$AF$5:$AF$66,INDEX('Market Data'!$J$5:$J$528,$T216)-4)),N(INDEX('Market Data'!$AF$5:$AF$66,INDEX('Market Data'!$J$5:$J$528,$T216)-4))&gt;0),INDEX('Market Data'!$AF$5:$AF$66,INDEX('Market Data'!$J$5:$J$528,$T216)-4),"date unavailable"),"date unavailable"))))</f>
        <v/>
      </c>
      <c r="Q216" s="15">
        <f>IF($T216=0,"",IF(INDEX('Market Data'!$J$5:$J$528,$T216)=0,"n/a",IF(AND($M$5&lt;&gt;"Snapshot",ISNUMBER(INDEX('Market Data'!$AH$5:$AH$66,INDEX('Market Data'!$J$5:$J$528,$T216)-4)),N(INDEX('Market Data'!$AH$5:$AH$66,INDEX('Market Data'!$J$5:$J$528,$T216)-4))&gt;0),"Bloomberg",IF(AND($M$5&lt;&gt;"Bloomberg",ISNUMBER(INDEX('Market Data'!$AC$5:$AC$66,INDEX('Market Data'!$J$5:$J$528,$T216)-4)),N(INDEX('Market Data'!$AC$5:$AC$66,INDEX('Market Data'!$J$5:$J$528,$T216)-4))&gt;0),"Snapshot","Unavailable"))))</f>
        <v/>
      </c>
      <c r="T216">
        <f>IFERROR(MATCH(208,'Market Data'!$S$5:$S$528,0),0)</f>
        <v/>
      </c>
    </row>
    <row r="217" ht="34" customHeight="1">
      <c r="A217" s="8">
        <f>IF($T217=0,"",IF(INDEX('Market Data'!$A$5:$A$528,$T217)="","",INDEX('Market Data'!$A$5:$A$528,$T217)))</f>
        <v/>
      </c>
      <c r="B217" s="9">
        <f>IF($T217=0,"",IF(INDEX('Market Data'!$B$5:$B$528,$T217)="","",INDEX('Market Data'!$B$5:$B$528,$T217)))</f>
        <v/>
      </c>
      <c r="C217" s="9">
        <f>IF($T217=0,"",IF(INDEX('Market Data'!$C$5:$C$528,$T217)="","",INDEX('Market Data'!$C$5:$C$528,$T217)))</f>
        <v/>
      </c>
      <c r="D217" s="9">
        <f>IF($T217=0,"",IF(INDEX('Market Data'!$D$5:$D$528,$T217)="","",INDEX('Market Data'!$D$5:$D$528,$T217)))</f>
        <v/>
      </c>
      <c r="E217" s="10">
        <f>IF($T217=0,"",INDEX('Market Data'!$O$5:$O$528,$T217))</f>
        <v/>
      </c>
      <c r="F217" s="11">
        <f>IF($T217=0,"",IF(AND($I217="Bloomberg",ISNUMBER(INDEX('Market Data'!$L$5:$L$528,$T217))),INDEX('Market Data'!$L$5:$L$528,$T217),"unavailable"))</f>
        <v/>
      </c>
      <c r="G217" s="12">
        <f>IF($T217=0,"",IF($I217="Bloomberg",IF(AND(ISNUMBER(INDEX('Market Data'!$M$5:$M$528,$T217)),N(INDEX('Market Data'!$M$5:$M$528,$T217))&gt;0),INDEX('Market Data'!$M$5:$M$528,$T217),"date unavailable"),IF($I217="Snapshot",IF(AND(ISNUMBER(INDEX('Market Data'!$H$5:$H$528,$T217)),N(INDEX('Market Data'!$H$5:$H$528,$T217))&gt;0),INDEX('Market Data'!$H$5:$H$528,$T217),"date unavailable"),"date unavailable")))</f>
        <v/>
      </c>
      <c r="H217" s="9">
        <f>IF($T217=0,"",IF($I217="Bloomberg",IF(INDEX('Market Data'!$N$5:$N$528,$T217)="","time unavailable",INDEX('Market Data'!$N$5:$N$528,$T217)),""))</f>
        <v/>
      </c>
      <c r="I217" s="9">
        <f>IF($T217=0,"",INDEX('Market Data'!$P$5:$P$528,$T217))</f>
        <v/>
      </c>
      <c r="J217" s="13">
        <f>IF($T217=0,"",IF(INDEX('Market Data'!$E$5:$E$528,$T217)="","",INDEX('Market Data'!$E$5:$E$528,$T217)))</f>
        <v/>
      </c>
      <c r="K217" s="8">
        <f>IF($T217=0,"",IF(INDEX('Market Data'!$I$5:$I$528,$T217)="","",INDEX('Market Data'!$I$5:$I$528,$T217)))</f>
        <v/>
      </c>
      <c r="L217" s="10">
        <f>IF($T217=0,"",IF(INDEX('Market Data'!$J$5:$J$528,$T217)=0,"n/a",IF(AND($M$5&lt;&gt;"Snapshot",ISNUMBER(INDEX('Market Data'!$AH$5:$AH$66,INDEX('Market Data'!$J$5:$J$528,$T217)-4)),N(INDEX('Market Data'!$AH$5:$AH$66,INDEX('Market Data'!$J$5:$J$528,$T217)-4))&gt;0),INDEX('Market Data'!$AH$5:$AH$66,INDEX('Market Data'!$J$5:$J$528,$T217)-4),IF(AND($M$5&lt;&gt;"Bloomberg",ISNUMBER(INDEX('Market Data'!$AC$5:$AC$66,INDEX('Market Data'!$J$5:$J$528,$T217)-4)),N(INDEX('Market Data'!$AC$5:$AC$66,INDEX('Market Data'!$J$5:$J$528,$T217)-4))&gt;0),INDEX('Market Data'!$AC$5:$AC$66,INDEX('Market Data'!$J$5:$J$528,$T217)-4),"unavailable"))))</f>
        <v/>
      </c>
      <c r="M217" s="11">
        <f>IF($T217=0,"",IF(INDEX('Market Data'!$J$5:$J$528,$T217)=0,"n/a",IF(IF(INDEX('Market Data'!$J$5:$J$528,$T217)=0,0,IF(LEFT(INDEX('Market Data'!$AS$5:$AS$66,INDEX('Market Data'!$J$5:$J$528,$T217)-4),11)="First-month",1,0))=1,"class review",IF($I217="Bloomberg",IF(AND(ISNUMBER(INDEX('Market Data'!$AH$5:$AH$66,INDEX('Market Data'!$J$5:$J$528,$T217)-4)),N(INDEX('Market Data'!$AH$5:$AH$66,INDEX('Market Data'!$J$5:$J$528,$T217)-4))&gt;0,ISNUMBER('Market Data'!$B$1),N('Market Data'!$B$1)&gt;0),INDEX('Market Data'!$AH$5:$AH$66,INDEX('Market Data'!$J$5:$J$528,$T217)-4)*'Market Data'!$B$1/$E217-1,"pending A/FX"),IF(AND($I217="Snapshot",$Q217="Snapshot",ISNUMBER($E217),$G217=INDEX('Market Data'!$AE$5:$AE$66,INDEX('Market Data'!$J$5:$J$528,$T217)-4)),IFERROR(INDEX('Market Data'!$AC$5:$AC$66,INDEX('Market Data'!$J$5:$J$528,$T217)-4)*INDEX('Market Data'!$AD$5:$AD$66,INDEX('Market Data'!$J$5:$J$528,$T217)-4)/$E217-1,"unavailable"),IF($I217="Unavailable","unavailable","date mismatch"))))))</f>
        <v/>
      </c>
      <c r="N217" s="11">
        <f>IF($T217=0,"",IFERROR(IF(AND(N(INDEX('Market Data'!$F$5:$F$528,$T217))&gt;0,ISNUMBER(INDEX('Market Data'!$T$5:$T$528,$T217))),$E217*INDEX('Market Data'!$T$5:$T$528,$T217)/INDEX('Market Data'!$F$5:$F$528,$T217)-1,"unavailable"),"unavailable"))</f>
        <v/>
      </c>
      <c r="O217" s="9">
        <f>IF($T217=0,"",IF(IF(INDEX('Market Data'!$J$5:$J$528,$T217)=0,0,IF(LEFT(INDEX('Market Data'!$AS$5:$AS$66,INDEX('Market Data'!$J$5:$J$528,$T217)-4),11)="First-month",1,0))=1,"Class ratio review",IF($I217="Bloomberg",IF(ISNUMBER($G217),IF($G217&lt;TODAY(),"Older quote","See quote time"),"Date unavailable"),IF($I217="Snapshot",IF($G217&lt;DATEVALUE("2026-10-02"),"Older snapshot","Dated close"),"No valid quote"))))</f>
        <v/>
      </c>
      <c r="P217" s="14">
        <f>IF($T217=0,"",IF(INDEX('Market Data'!$J$5:$J$528,$T217)=0,"n/a",IF($Q217="Bloomberg",IF(AND(ISNUMBER(INDEX('Market Data'!$AK$5:$AK$66,INDEX('Market Data'!$J$5:$J$528,$T217)-4)),N(INDEX('Market Data'!$AK$5:$AK$66,INDEX('Market Data'!$J$5:$J$528,$T217)-4))&gt;0),INDEX('Market Data'!$AK$5:$AK$66,INDEX('Market Data'!$J$5:$J$528,$T217)-4),"date unavailable"),IF($Q217="Snapshot",IF(AND(ISNUMBER(INDEX('Market Data'!$AF$5:$AF$66,INDEX('Market Data'!$J$5:$J$528,$T217)-4)),N(INDEX('Market Data'!$AF$5:$AF$66,INDEX('Market Data'!$J$5:$J$528,$T217)-4))&gt;0),INDEX('Market Data'!$AF$5:$AF$66,INDEX('Market Data'!$J$5:$J$528,$T217)-4),"date unavailable"),"date unavailable"))))</f>
        <v/>
      </c>
      <c r="Q217" s="15">
        <f>IF($T217=0,"",IF(INDEX('Market Data'!$J$5:$J$528,$T217)=0,"n/a",IF(AND($M$5&lt;&gt;"Snapshot",ISNUMBER(INDEX('Market Data'!$AH$5:$AH$66,INDEX('Market Data'!$J$5:$J$528,$T217)-4)),N(INDEX('Market Data'!$AH$5:$AH$66,INDEX('Market Data'!$J$5:$J$528,$T217)-4))&gt;0),"Bloomberg",IF(AND($M$5&lt;&gt;"Bloomberg",ISNUMBER(INDEX('Market Data'!$AC$5:$AC$66,INDEX('Market Data'!$J$5:$J$528,$T217)-4)),N(INDEX('Market Data'!$AC$5:$AC$66,INDEX('Market Data'!$J$5:$J$528,$T217)-4))&gt;0),"Snapshot","Unavailable"))))</f>
        <v/>
      </c>
      <c r="T217">
        <f>IFERROR(MATCH(209,'Market Data'!$S$5:$S$528,0),0)</f>
        <v/>
      </c>
    </row>
    <row r="218" ht="34" customHeight="1">
      <c r="A218" s="8">
        <f>IF($T218=0,"",IF(INDEX('Market Data'!$A$5:$A$528,$T218)="","",INDEX('Market Data'!$A$5:$A$528,$T218)))</f>
        <v/>
      </c>
      <c r="B218" s="9">
        <f>IF($T218=0,"",IF(INDEX('Market Data'!$B$5:$B$528,$T218)="","",INDEX('Market Data'!$B$5:$B$528,$T218)))</f>
        <v/>
      </c>
      <c r="C218" s="9">
        <f>IF($T218=0,"",IF(INDEX('Market Data'!$C$5:$C$528,$T218)="","",INDEX('Market Data'!$C$5:$C$528,$T218)))</f>
        <v/>
      </c>
      <c r="D218" s="9">
        <f>IF($T218=0,"",IF(INDEX('Market Data'!$D$5:$D$528,$T218)="","",INDEX('Market Data'!$D$5:$D$528,$T218)))</f>
        <v/>
      </c>
      <c r="E218" s="10">
        <f>IF($T218=0,"",INDEX('Market Data'!$O$5:$O$528,$T218))</f>
        <v/>
      </c>
      <c r="F218" s="11">
        <f>IF($T218=0,"",IF(AND($I218="Bloomberg",ISNUMBER(INDEX('Market Data'!$L$5:$L$528,$T218))),INDEX('Market Data'!$L$5:$L$528,$T218),"unavailable"))</f>
        <v/>
      </c>
      <c r="G218" s="12">
        <f>IF($T218=0,"",IF($I218="Bloomberg",IF(AND(ISNUMBER(INDEX('Market Data'!$M$5:$M$528,$T218)),N(INDEX('Market Data'!$M$5:$M$528,$T218))&gt;0),INDEX('Market Data'!$M$5:$M$528,$T218),"date unavailable"),IF($I218="Snapshot",IF(AND(ISNUMBER(INDEX('Market Data'!$H$5:$H$528,$T218)),N(INDEX('Market Data'!$H$5:$H$528,$T218))&gt;0),INDEX('Market Data'!$H$5:$H$528,$T218),"date unavailable"),"date unavailable")))</f>
        <v/>
      </c>
      <c r="H218" s="9">
        <f>IF($T218=0,"",IF($I218="Bloomberg",IF(INDEX('Market Data'!$N$5:$N$528,$T218)="","time unavailable",INDEX('Market Data'!$N$5:$N$528,$T218)),""))</f>
        <v/>
      </c>
      <c r="I218" s="9">
        <f>IF($T218=0,"",INDEX('Market Data'!$P$5:$P$528,$T218))</f>
        <v/>
      </c>
      <c r="J218" s="13">
        <f>IF($T218=0,"",IF(INDEX('Market Data'!$E$5:$E$528,$T218)="","",INDEX('Market Data'!$E$5:$E$528,$T218)))</f>
        <v/>
      </c>
      <c r="K218" s="8">
        <f>IF($T218=0,"",IF(INDEX('Market Data'!$I$5:$I$528,$T218)="","",INDEX('Market Data'!$I$5:$I$528,$T218)))</f>
        <v/>
      </c>
      <c r="L218" s="10">
        <f>IF($T218=0,"",IF(INDEX('Market Data'!$J$5:$J$528,$T218)=0,"n/a",IF(AND($M$5&lt;&gt;"Snapshot",ISNUMBER(INDEX('Market Data'!$AH$5:$AH$66,INDEX('Market Data'!$J$5:$J$528,$T218)-4)),N(INDEX('Market Data'!$AH$5:$AH$66,INDEX('Market Data'!$J$5:$J$528,$T218)-4))&gt;0),INDEX('Market Data'!$AH$5:$AH$66,INDEX('Market Data'!$J$5:$J$528,$T218)-4),IF(AND($M$5&lt;&gt;"Bloomberg",ISNUMBER(INDEX('Market Data'!$AC$5:$AC$66,INDEX('Market Data'!$J$5:$J$528,$T218)-4)),N(INDEX('Market Data'!$AC$5:$AC$66,INDEX('Market Data'!$J$5:$J$528,$T218)-4))&gt;0),INDEX('Market Data'!$AC$5:$AC$66,INDEX('Market Data'!$J$5:$J$528,$T218)-4),"unavailable"))))</f>
        <v/>
      </c>
      <c r="M218" s="11">
        <f>IF($T218=0,"",IF(INDEX('Market Data'!$J$5:$J$528,$T218)=0,"n/a",IF(IF(INDEX('Market Data'!$J$5:$J$528,$T218)=0,0,IF(LEFT(INDEX('Market Data'!$AS$5:$AS$66,INDEX('Market Data'!$J$5:$J$528,$T218)-4),11)="First-month",1,0))=1,"class review",IF($I218="Bloomberg",IF(AND(ISNUMBER(INDEX('Market Data'!$AH$5:$AH$66,INDEX('Market Data'!$J$5:$J$528,$T218)-4)),N(INDEX('Market Data'!$AH$5:$AH$66,INDEX('Market Data'!$J$5:$J$528,$T218)-4))&gt;0,ISNUMBER('Market Data'!$B$1),N('Market Data'!$B$1)&gt;0),INDEX('Market Data'!$AH$5:$AH$66,INDEX('Market Data'!$J$5:$J$528,$T218)-4)*'Market Data'!$B$1/$E218-1,"pending A/FX"),IF(AND($I218="Snapshot",$Q218="Snapshot",ISNUMBER($E218),$G218=INDEX('Market Data'!$AE$5:$AE$66,INDEX('Market Data'!$J$5:$J$528,$T218)-4)),IFERROR(INDEX('Market Data'!$AC$5:$AC$66,INDEX('Market Data'!$J$5:$J$528,$T218)-4)*INDEX('Market Data'!$AD$5:$AD$66,INDEX('Market Data'!$J$5:$J$528,$T218)-4)/$E218-1,"unavailable"),IF($I218="Unavailable","unavailable","date mismatch"))))))</f>
        <v/>
      </c>
      <c r="N218" s="11">
        <f>IF($T218=0,"",IFERROR(IF(AND(N(INDEX('Market Data'!$F$5:$F$528,$T218))&gt;0,ISNUMBER(INDEX('Market Data'!$T$5:$T$528,$T218))),$E218*INDEX('Market Data'!$T$5:$T$528,$T218)/INDEX('Market Data'!$F$5:$F$528,$T218)-1,"unavailable"),"unavailable"))</f>
        <v/>
      </c>
      <c r="O218" s="9">
        <f>IF($T218=0,"",IF(IF(INDEX('Market Data'!$J$5:$J$528,$T218)=0,0,IF(LEFT(INDEX('Market Data'!$AS$5:$AS$66,INDEX('Market Data'!$J$5:$J$528,$T218)-4),11)="First-month",1,0))=1,"Class ratio review",IF($I218="Bloomberg",IF(ISNUMBER($G218),IF($G218&lt;TODAY(),"Older quote","See quote time"),"Date unavailable"),IF($I218="Snapshot",IF($G218&lt;DATEVALUE("2026-10-02"),"Older snapshot","Dated close"),"No valid quote"))))</f>
        <v/>
      </c>
      <c r="P218" s="14">
        <f>IF($T218=0,"",IF(INDEX('Market Data'!$J$5:$J$528,$T218)=0,"n/a",IF($Q218="Bloomberg",IF(AND(ISNUMBER(INDEX('Market Data'!$AK$5:$AK$66,INDEX('Market Data'!$J$5:$J$528,$T218)-4)),N(INDEX('Market Data'!$AK$5:$AK$66,INDEX('Market Data'!$J$5:$J$528,$T218)-4))&gt;0),INDEX('Market Data'!$AK$5:$AK$66,INDEX('Market Data'!$J$5:$J$528,$T218)-4),"date unavailable"),IF($Q218="Snapshot",IF(AND(ISNUMBER(INDEX('Market Data'!$AF$5:$AF$66,INDEX('Market Data'!$J$5:$J$528,$T218)-4)),N(INDEX('Market Data'!$AF$5:$AF$66,INDEX('Market Data'!$J$5:$J$528,$T218)-4))&gt;0),INDEX('Market Data'!$AF$5:$AF$66,INDEX('Market Data'!$J$5:$J$528,$T218)-4),"date unavailable"),"date unavailable"))))</f>
        <v/>
      </c>
      <c r="Q218" s="15">
        <f>IF($T218=0,"",IF(INDEX('Market Data'!$J$5:$J$528,$T218)=0,"n/a",IF(AND($M$5&lt;&gt;"Snapshot",ISNUMBER(INDEX('Market Data'!$AH$5:$AH$66,INDEX('Market Data'!$J$5:$J$528,$T218)-4)),N(INDEX('Market Data'!$AH$5:$AH$66,INDEX('Market Data'!$J$5:$J$528,$T218)-4))&gt;0),"Bloomberg",IF(AND($M$5&lt;&gt;"Bloomberg",ISNUMBER(INDEX('Market Data'!$AC$5:$AC$66,INDEX('Market Data'!$J$5:$J$528,$T218)-4)),N(INDEX('Market Data'!$AC$5:$AC$66,INDEX('Market Data'!$J$5:$J$528,$T218)-4))&gt;0),"Snapshot","Unavailable"))))</f>
        <v/>
      </c>
      <c r="T218">
        <f>IFERROR(MATCH(210,'Market Data'!$S$5:$S$528,0),0)</f>
        <v/>
      </c>
    </row>
    <row r="219" ht="34" customHeight="1">
      <c r="A219" s="8">
        <f>IF($T219=0,"",IF(INDEX('Market Data'!$A$5:$A$528,$T219)="","",INDEX('Market Data'!$A$5:$A$528,$T219)))</f>
        <v/>
      </c>
      <c r="B219" s="9">
        <f>IF($T219=0,"",IF(INDEX('Market Data'!$B$5:$B$528,$T219)="","",INDEX('Market Data'!$B$5:$B$528,$T219)))</f>
        <v/>
      </c>
      <c r="C219" s="9">
        <f>IF($T219=0,"",IF(INDEX('Market Data'!$C$5:$C$528,$T219)="","",INDEX('Market Data'!$C$5:$C$528,$T219)))</f>
        <v/>
      </c>
      <c r="D219" s="9">
        <f>IF($T219=0,"",IF(INDEX('Market Data'!$D$5:$D$528,$T219)="","",INDEX('Market Data'!$D$5:$D$528,$T219)))</f>
        <v/>
      </c>
      <c r="E219" s="10">
        <f>IF($T219=0,"",INDEX('Market Data'!$O$5:$O$528,$T219))</f>
        <v/>
      </c>
      <c r="F219" s="11">
        <f>IF($T219=0,"",IF(AND($I219="Bloomberg",ISNUMBER(INDEX('Market Data'!$L$5:$L$528,$T219))),INDEX('Market Data'!$L$5:$L$528,$T219),"unavailable"))</f>
        <v/>
      </c>
      <c r="G219" s="12">
        <f>IF($T219=0,"",IF($I219="Bloomberg",IF(AND(ISNUMBER(INDEX('Market Data'!$M$5:$M$528,$T219)),N(INDEX('Market Data'!$M$5:$M$528,$T219))&gt;0),INDEX('Market Data'!$M$5:$M$528,$T219),"date unavailable"),IF($I219="Snapshot",IF(AND(ISNUMBER(INDEX('Market Data'!$H$5:$H$528,$T219)),N(INDEX('Market Data'!$H$5:$H$528,$T219))&gt;0),INDEX('Market Data'!$H$5:$H$528,$T219),"date unavailable"),"date unavailable")))</f>
        <v/>
      </c>
      <c r="H219" s="9">
        <f>IF($T219=0,"",IF($I219="Bloomberg",IF(INDEX('Market Data'!$N$5:$N$528,$T219)="","time unavailable",INDEX('Market Data'!$N$5:$N$528,$T219)),""))</f>
        <v/>
      </c>
      <c r="I219" s="9">
        <f>IF($T219=0,"",INDEX('Market Data'!$P$5:$P$528,$T219))</f>
        <v/>
      </c>
      <c r="J219" s="13">
        <f>IF($T219=0,"",IF(INDEX('Market Data'!$E$5:$E$528,$T219)="","",INDEX('Market Data'!$E$5:$E$528,$T219)))</f>
        <v/>
      </c>
      <c r="K219" s="8">
        <f>IF($T219=0,"",IF(INDEX('Market Data'!$I$5:$I$528,$T219)="","",INDEX('Market Data'!$I$5:$I$528,$T219)))</f>
        <v/>
      </c>
      <c r="L219" s="10">
        <f>IF($T219=0,"",IF(INDEX('Market Data'!$J$5:$J$528,$T219)=0,"n/a",IF(AND($M$5&lt;&gt;"Snapshot",ISNUMBER(INDEX('Market Data'!$AH$5:$AH$66,INDEX('Market Data'!$J$5:$J$528,$T219)-4)),N(INDEX('Market Data'!$AH$5:$AH$66,INDEX('Market Data'!$J$5:$J$528,$T219)-4))&gt;0),INDEX('Market Data'!$AH$5:$AH$66,INDEX('Market Data'!$J$5:$J$528,$T219)-4),IF(AND($M$5&lt;&gt;"Bloomberg",ISNUMBER(INDEX('Market Data'!$AC$5:$AC$66,INDEX('Market Data'!$J$5:$J$528,$T219)-4)),N(INDEX('Market Data'!$AC$5:$AC$66,INDEX('Market Data'!$J$5:$J$528,$T219)-4))&gt;0),INDEX('Market Data'!$AC$5:$AC$66,INDEX('Market Data'!$J$5:$J$528,$T219)-4),"unavailable"))))</f>
        <v/>
      </c>
      <c r="M219" s="11">
        <f>IF($T219=0,"",IF(INDEX('Market Data'!$J$5:$J$528,$T219)=0,"n/a",IF(IF(INDEX('Market Data'!$J$5:$J$528,$T219)=0,0,IF(LEFT(INDEX('Market Data'!$AS$5:$AS$66,INDEX('Market Data'!$J$5:$J$528,$T219)-4),11)="First-month",1,0))=1,"class review",IF($I219="Bloomberg",IF(AND(ISNUMBER(INDEX('Market Data'!$AH$5:$AH$66,INDEX('Market Data'!$J$5:$J$528,$T219)-4)),N(INDEX('Market Data'!$AH$5:$AH$66,INDEX('Market Data'!$J$5:$J$528,$T219)-4))&gt;0,ISNUMBER('Market Data'!$B$1),N('Market Data'!$B$1)&gt;0),INDEX('Market Data'!$AH$5:$AH$66,INDEX('Market Data'!$J$5:$J$528,$T219)-4)*'Market Data'!$B$1/$E219-1,"pending A/FX"),IF(AND($I219="Snapshot",$Q219="Snapshot",ISNUMBER($E219),$G219=INDEX('Market Data'!$AE$5:$AE$66,INDEX('Market Data'!$J$5:$J$528,$T219)-4)),IFERROR(INDEX('Market Data'!$AC$5:$AC$66,INDEX('Market Data'!$J$5:$J$528,$T219)-4)*INDEX('Market Data'!$AD$5:$AD$66,INDEX('Market Data'!$J$5:$J$528,$T219)-4)/$E219-1,"unavailable"),IF($I219="Unavailable","unavailable","date mismatch"))))))</f>
        <v/>
      </c>
      <c r="N219" s="11">
        <f>IF($T219=0,"",IFERROR(IF(AND(N(INDEX('Market Data'!$F$5:$F$528,$T219))&gt;0,ISNUMBER(INDEX('Market Data'!$T$5:$T$528,$T219))),$E219*INDEX('Market Data'!$T$5:$T$528,$T219)/INDEX('Market Data'!$F$5:$F$528,$T219)-1,"unavailable"),"unavailable"))</f>
        <v/>
      </c>
      <c r="O219" s="9">
        <f>IF($T219=0,"",IF(IF(INDEX('Market Data'!$J$5:$J$528,$T219)=0,0,IF(LEFT(INDEX('Market Data'!$AS$5:$AS$66,INDEX('Market Data'!$J$5:$J$528,$T219)-4),11)="First-month",1,0))=1,"Class ratio review",IF($I219="Bloomberg",IF(ISNUMBER($G219),IF($G219&lt;TODAY(),"Older quote","See quote time"),"Date unavailable"),IF($I219="Snapshot",IF($G219&lt;DATEVALUE("2026-10-02"),"Older snapshot","Dated close"),"No valid quote"))))</f>
        <v/>
      </c>
      <c r="P219" s="14">
        <f>IF($T219=0,"",IF(INDEX('Market Data'!$J$5:$J$528,$T219)=0,"n/a",IF($Q219="Bloomberg",IF(AND(ISNUMBER(INDEX('Market Data'!$AK$5:$AK$66,INDEX('Market Data'!$J$5:$J$528,$T219)-4)),N(INDEX('Market Data'!$AK$5:$AK$66,INDEX('Market Data'!$J$5:$J$528,$T219)-4))&gt;0),INDEX('Market Data'!$AK$5:$AK$66,INDEX('Market Data'!$J$5:$J$528,$T219)-4),"date unavailable"),IF($Q219="Snapshot",IF(AND(ISNUMBER(INDEX('Market Data'!$AF$5:$AF$66,INDEX('Market Data'!$J$5:$J$528,$T219)-4)),N(INDEX('Market Data'!$AF$5:$AF$66,INDEX('Market Data'!$J$5:$J$528,$T219)-4))&gt;0),INDEX('Market Data'!$AF$5:$AF$66,INDEX('Market Data'!$J$5:$J$528,$T219)-4),"date unavailable"),"date unavailable"))))</f>
        <v/>
      </c>
      <c r="Q219" s="15">
        <f>IF($T219=0,"",IF(INDEX('Market Data'!$J$5:$J$528,$T219)=0,"n/a",IF(AND($M$5&lt;&gt;"Snapshot",ISNUMBER(INDEX('Market Data'!$AH$5:$AH$66,INDEX('Market Data'!$J$5:$J$528,$T219)-4)),N(INDEX('Market Data'!$AH$5:$AH$66,INDEX('Market Data'!$J$5:$J$528,$T219)-4))&gt;0),"Bloomberg",IF(AND($M$5&lt;&gt;"Bloomberg",ISNUMBER(INDEX('Market Data'!$AC$5:$AC$66,INDEX('Market Data'!$J$5:$J$528,$T219)-4)),N(INDEX('Market Data'!$AC$5:$AC$66,INDEX('Market Data'!$J$5:$J$528,$T219)-4))&gt;0),"Snapshot","Unavailable"))))</f>
        <v/>
      </c>
      <c r="T219">
        <f>IFERROR(MATCH(211,'Market Data'!$S$5:$S$528,0),0)</f>
        <v/>
      </c>
    </row>
    <row r="220" ht="34" customHeight="1">
      <c r="A220" s="8">
        <f>IF($T220=0,"",IF(INDEX('Market Data'!$A$5:$A$528,$T220)="","",INDEX('Market Data'!$A$5:$A$528,$T220)))</f>
        <v/>
      </c>
      <c r="B220" s="9">
        <f>IF($T220=0,"",IF(INDEX('Market Data'!$B$5:$B$528,$T220)="","",INDEX('Market Data'!$B$5:$B$528,$T220)))</f>
        <v/>
      </c>
      <c r="C220" s="9">
        <f>IF($T220=0,"",IF(INDEX('Market Data'!$C$5:$C$528,$T220)="","",INDEX('Market Data'!$C$5:$C$528,$T220)))</f>
        <v/>
      </c>
      <c r="D220" s="9">
        <f>IF($T220=0,"",IF(INDEX('Market Data'!$D$5:$D$528,$T220)="","",INDEX('Market Data'!$D$5:$D$528,$T220)))</f>
        <v/>
      </c>
      <c r="E220" s="10">
        <f>IF($T220=0,"",INDEX('Market Data'!$O$5:$O$528,$T220))</f>
        <v/>
      </c>
      <c r="F220" s="11">
        <f>IF($T220=0,"",IF(AND($I220="Bloomberg",ISNUMBER(INDEX('Market Data'!$L$5:$L$528,$T220))),INDEX('Market Data'!$L$5:$L$528,$T220),"unavailable"))</f>
        <v/>
      </c>
      <c r="G220" s="12">
        <f>IF($T220=0,"",IF($I220="Bloomberg",IF(AND(ISNUMBER(INDEX('Market Data'!$M$5:$M$528,$T220)),N(INDEX('Market Data'!$M$5:$M$528,$T220))&gt;0),INDEX('Market Data'!$M$5:$M$528,$T220),"date unavailable"),IF($I220="Snapshot",IF(AND(ISNUMBER(INDEX('Market Data'!$H$5:$H$528,$T220)),N(INDEX('Market Data'!$H$5:$H$528,$T220))&gt;0),INDEX('Market Data'!$H$5:$H$528,$T220),"date unavailable"),"date unavailable")))</f>
        <v/>
      </c>
      <c r="H220" s="9">
        <f>IF($T220=0,"",IF($I220="Bloomberg",IF(INDEX('Market Data'!$N$5:$N$528,$T220)="","time unavailable",INDEX('Market Data'!$N$5:$N$528,$T220)),""))</f>
        <v/>
      </c>
      <c r="I220" s="9">
        <f>IF($T220=0,"",INDEX('Market Data'!$P$5:$P$528,$T220))</f>
        <v/>
      </c>
      <c r="J220" s="13">
        <f>IF($T220=0,"",IF(INDEX('Market Data'!$E$5:$E$528,$T220)="","",INDEX('Market Data'!$E$5:$E$528,$T220)))</f>
        <v/>
      </c>
      <c r="K220" s="8">
        <f>IF($T220=0,"",IF(INDEX('Market Data'!$I$5:$I$528,$T220)="","",INDEX('Market Data'!$I$5:$I$528,$T220)))</f>
        <v/>
      </c>
      <c r="L220" s="10">
        <f>IF($T220=0,"",IF(INDEX('Market Data'!$J$5:$J$528,$T220)=0,"n/a",IF(AND($M$5&lt;&gt;"Snapshot",ISNUMBER(INDEX('Market Data'!$AH$5:$AH$66,INDEX('Market Data'!$J$5:$J$528,$T220)-4)),N(INDEX('Market Data'!$AH$5:$AH$66,INDEX('Market Data'!$J$5:$J$528,$T220)-4))&gt;0),INDEX('Market Data'!$AH$5:$AH$66,INDEX('Market Data'!$J$5:$J$528,$T220)-4),IF(AND($M$5&lt;&gt;"Bloomberg",ISNUMBER(INDEX('Market Data'!$AC$5:$AC$66,INDEX('Market Data'!$J$5:$J$528,$T220)-4)),N(INDEX('Market Data'!$AC$5:$AC$66,INDEX('Market Data'!$J$5:$J$528,$T220)-4))&gt;0),INDEX('Market Data'!$AC$5:$AC$66,INDEX('Market Data'!$J$5:$J$528,$T220)-4),"unavailable"))))</f>
        <v/>
      </c>
      <c r="M220" s="11">
        <f>IF($T220=0,"",IF(INDEX('Market Data'!$J$5:$J$528,$T220)=0,"n/a",IF(IF(INDEX('Market Data'!$J$5:$J$528,$T220)=0,0,IF(LEFT(INDEX('Market Data'!$AS$5:$AS$66,INDEX('Market Data'!$J$5:$J$528,$T220)-4),11)="First-month",1,0))=1,"class review",IF($I220="Bloomberg",IF(AND(ISNUMBER(INDEX('Market Data'!$AH$5:$AH$66,INDEX('Market Data'!$J$5:$J$528,$T220)-4)),N(INDEX('Market Data'!$AH$5:$AH$66,INDEX('Market Data'!$J$5:$J$528,$T220)-4))&gt;0,ISNUMBER('Market Data'!$B$1),N('Market Data'!$B$1)&gt;0),INDEX('Market Data'!$AH$5:$AH$66,INDEX('Market Data'!$J$5:$J$528,$T220)-4)*'Market Data'!$B$1/$E220-1,"pending A/FX"),IF(AND($I220="Snapshot",$Q220="Snapshot",ISNUMBER($E220),$G220=INDEX('Market Data'!$AE$5:$AE$66,INDEX('Market Data'!$J$5:$J$528,$T220)-4)),IFERROR(INDEX('Market Data'!$AC$5:$AC$66,INDEX('Market Data'!$J$5:$J$528,$T220)-4)*INDEX('Market Data'!$AD$5:$AD$66,INDEX('Market Data'!$J$5:$J$528,$T220)-4)/$E220-1,"unavailable"),IF($I220="Unavailable","unavailable","date mismatch"))))))</f>
        <v/>
      </c>
      <c r="N220" s="11">
        <f>IF($T220=0,"",IFERROR(IF(AND(N(INDEX('Market Data'!$F$5:$F$528,$T220))&gt;0,ISNUMBER(INDEX('Market Data'!$T$5:$T$528,$T220))),$E220*INDEX('Market Data'!$T$5:$T$528,$T220)/INDEX('Market Data'!$F$5:$F$528,$T220)-1,"unavailable"),"unavailable"))</f>
        <v/>
      </c>
      <c r="O220" s="9">
        <f>IF($T220=0,"",IF(IF(INDEX('Market Data'!$J$5:$J$528,$T220)=0,0,IF(LEFT(INDEX('Market Data'!$AS$5:$AS$66,INDEX('Market Data'!$J$5:$J$528,$T220)-4),11)="First-month",1,0))=1,"Class ratio review",IF($I220="Bloomberg",IF(ISNUMBER($G220),IF($G220&lt;TODAY(),"Older quote","See quote time"),"Date unavailable"),IF($I220="Snapshot",IF($G220&lt;DATEVALUE("2026-10-02"),"Older snapshot","Dated close"),"No valid quote"))))</f>
        <v/>
      </c>
      <c r="P220" s="14">
        <f>IF($T220=0,"",IF(INDEX('Market Data'!$J$5:$J$528,$T220)=0,"n/a",IF($Q220="Bloomberg",IF(AND(ISNUMBER(INDEX('Market Data'!$AK$5:$AK$66,INDEX('Market Data'!$J$5:$J$528,$T220)-4)),N(INDEX('Market Data'!$AK$5:$AK$66,INDEX('Market Data'!$J$5:$J$528,$T220)-4))&gt;0),INDEX('Market Data'!$AK$5:$AK$66,INDEX('Market Data'!$J$5:$J$528,$T220)-4),"date unavailable"),IF($Q220="Snapshot",IF(AND(ISNUMBER(INDEX('Market Data'!$AF$5:$AF$66,INDEX('Market Data'!$J$5:$J$528,$T220)-4)),N(INDEX('Market Data'!$AF$5:$AF$66,INDEX('Market Data'!$J$5:$J$528,$T220)-4))&gt;0),INDEX('Market Data'!$AF$5:$AF$66,INDEX('Market Data'!$J$5:$J$528,$T220)-4),"date unavailable"),"date unavailable"))))</f>
        <v/>
      </c>
      <c r="Q220" s="15">
        <f>IF($T220=0,"",IF(INDEX('Market Data'!$J$5:$J$528,$T220)=0,"n/a",IF(AND($M$5&lt;&gt;"Snapshot",ISNUMBER(INDEX('Market Data'!$AH$5:$AH$66,INDEX('Market Data'!$J$5:$J$528,$T220)-4)),N(INDEX('Market Data'!$AH$5:$AH$66,INDEX('Market Data'!$J$5:$J$528,$T220)-4))&gt;0),"Bloomberg",IF(AND($M$5&lt;&gt;"Bloomberg",ISNUMBER(INDEX('Market Data'!$AC$5:$AC$66,INDEX('Market Data'!$J$5:$J$528,$T220)-4)),N(INDEX('Market Data'!$AC$5:$AC$66,INDEX('Market Data'!$J$5:$J$528,$T220)-4))&gt;0),"Snapshot","Unavailable"))))</f>
        <v/>
      </c>
      <c r="T220">
        <f>IFERROR(MATCH(212,'Market Data'!$S$5:$S$528,0),0)</f>
        <v/>
      </c>
    </row>
    <row r="221" ht="34" customHeight="1">
      <c r="A221" s="8">
        <f>IF($T221=0,"",IF(INDEX('Market Data'!$A$5:$A$528,$T221)="","",INDEX('Market Data'!$A$5:$A$528,$T221)))</f>
        <v/>
      </c>
      <c r="B221" s="9">
        <f>IF($T221=0,"",IF(INDEX('Market Data'!$B$5:$B$528,$T221)="","",INDEX('Market Data'!$B$5:$B$528,$T221)))</f>
        <v/>
      </c>
      <c r="C221" s="9">
        <f>IF($T221=0,"",IF(INDEX('Market Data'!$C$5:$C$528,$T221)="","",INDEX('Market Data'!$C$5:$C$528,$T221)))</f>
        <v/>
      </c>
      <c r="D221" s="9">
        <f>IF($T221=0,"",IF(INDEX('Market Data'!$D$5:$D$528,$T221)="","",INDEX('Market Data'!$D$5:$D$528,$T221)))</f>
        <v/>
      </c>
      <c r="E221" s="10">
        <f>IF($T221=0,"",INDEX('Market Data'!$O$5:$O$528,$T221))</f>
        <v/>
      </c>
      <c r="F221" s="11">
        <f>IF($T221=0,"",IF(AND($I221="Bloomberg",ISNUMBER(INDEX('Market Data'!$L$5:$L$528,$T221))),INDEX('Market Data'!$L$5:$L$528,$T221),"unavailable"))</f>
        <v/>
      </c>
      <c r="G221" s="12">
        <f>IF($T221=0,"",IF($I221="Bloomberg",IF(AND(ISNUMBER(INDEX('Market Data'!$M$5:$M$528,$T221)),N(INDEX('Market Data'!$M$5:$M$528,$T221))&gt;0),INDEX('Market Data'!$M$5:$M$528,$T221),"date unavailable"),IF($I221="Snapshot",IF(AND(ISNUMBER(INDEX('Market Data'!$H$5:$H$528,$T221)),N(INDEX('Market Data'!$H$5:$H$528,$T221))&gt;0),INDEX('Market Data'!$H$5:$H$528,$T221),"date unavailable"),"date unavailable")))</f>
        <v/>
      </c>
      <c r="H221" s="9">
        <f>IF($T221=0,"",IF($I221="Bloomberg",IF(INDEX('Market Data'!$N$5:$N$528,$T221)="","time unavailable",INDEX('Market Data'!$N$5:$N$528,$T221)),""))</f>
        <v/>
      </c>
      <c r="I221" s="9">
        <f>IF($T221=0,"",INDEX('Market Data'!$P$5:$P$528,$T221))</f>
        <v/>
      </c>
      <c r="J221" s="13">
        <f>IF($T221=0,"",IF(INDEX('Market Data'!$E$5:$E$528,$T221)="","",INDEX('Market Data'!$E$5:$E$528,$T221)))</f>
        <v/>
      </c>
      <c r="K221" s="8">
        <f>IF($T221=0,"",IF(INDEX('Market Data'!$I$5:$I$528,$T221)="","",INDEX('Market Data'!$I$5:$I$528,$T221)))</f>
        <v/>
      </c>
      <c r="L221" s="10">
        <f>IF($T221=0,"",IF(INDEX('Market Data'!$J$5:$J$528,$T221)=0,"n/a",IF(AND($M$5&lt;&gt;"Snapshot",ISNUMBER(INDEX('Market Data'!$AH$5:$AH$66,INDEX('Market Data'!$J$5:$J$528,$T221)-4)),N(INDEX('Market Data'!$AH$5:$AH$66,INDEX('Market Data'!$J$5:$J$528,$T221)-4))&gt;0),INDEX('Market Data'!$AH$5:$AH$66,INDEX('Market Data'!$J$5:$J$528,$T221)-4),IF(AND($M$5&lt;&gt;"Bloomberg",ISNUMBER(INDEX('Market Data'!$AC$5:$AC$66,INDEX('Market Data'!$J$5:$J$528,$T221)-4)),N(INDEX('Market Data'!$AC$5:$AC$66,INDEX('Market Data'!$J$5:$J$528,$T221)-4))&gt;0),INDEX('Market Data'!$AC$5:$AC$66,INDEX('Market Data'!$J$5:$J$528,$T221)-4),"unavailable"))))</f>
        <v/>
      </c>
      <c r="M221" s="11">
        <f>IF($T221=0,"",IF(INDEX('Market Data'!$J$5:$J$528,$T221)=0,"n/a",IF(IF(INDEX('Market Data'!$J$5:$J$528,$T221)=0,0,IF(LEFT(INDEX('Market Data'!$AS$5:$AS$66,INDEX('Market Data'!$J$5:$J$528,$T221)-4),11)="First-month",1,0))=1,"class review",IF($I221="Bloomberg",IF(AND(ISNUMBER(INDEX('Market Data'!$AH$5:$AH$66,INDEX('Market Data'!$J$5:$J$528,$T221)-4)),N(INDEX('Market Data'!$AH$5:$AH$66,INDEX('Market Data'!$J$5:$J$528,$T221)-4))&gt;0,ISNUMBER('Market Data'!$B$1),N('Market Data'!$B$1)&gt;0),INDEX('Market Data'!$AH$5:$AH$66,INDEX('Market Data'!$J$5:$J$528,$T221)-4)*'Market Data'!$B$1/$E221-1,"pending A/FX"),IF(AND($I221="Snapshot",$Q221="Snapshot",ISNUMBER($E221),$G221=INDEX('Market Data'!$AE$5:$AE$66,INDEX('Market Data'!$J$5:$J$528,$T221)-4)),IFERROR(INDEX('Market Data'!$AC$5:$AC$66,INDEX('Market Data'!$J$5:$J$528,$T221)-4)*INDEX('Market Data'!$AD$5:$AD$66,INDEX('Market Data'!$J$5:$J$528,$T221)-4)/$E221-1,"unavailable"),IF($I221="Unavailable","unavailable","date mismatch"))))))</f>
        <v/>
      </c>
      <c r="N221" s="11">
        <f>IF($T221=0,"",IFERROR(IF(AND(N(INDEX('Market Data'!$F$5:$F$528,$T221))&gt;0,ISNUMBER(INDEX('Market Data'!$T$5:$T$528,$T221))),$E221*INDEX('Market Data'!$T$5:$T$528,$T221)/INDEX('Market Data'!$F$5:$F$528,$T221)-1,"unavailable"),"unavailable"))</f>
        <v/>
      </c>
      <c r="O221" s="9">
        <f>IF($T221=0,"",IF(IF(INDEX('Market Data'!$J$5:$J$528,$T221)=0,0,IF(LEFT(INDEX('Market Data'!$AS$5:$AS$66,INDEX('Market Data'!$J$5:$J$528,$T221)-4),11)="First-month",1,0))=1,"Class ratio review",IF($I221="Bloomberg",IF(ISNUMBER($G221),IF($G221&lt;TODAY(),"Older quote","See quote time"),"Date unavailable"),IF($I221="Snapshot",IF($G221&lt;DATEVALUE("2026-10-02"),"Older snapshot","Dated close"),"No valid quote"))))</f>
        <v/>
      </c>
      <c r="P221" s="14">
        <f>IF($T221=0,"",IF(INDEX('Market Data'!$J$5:$J$528,$T221)=0,"n/a",IF($Q221="Bloomberg",IF(AND(ISNUMBER(INDEX('Market Data'!$AK$5:$AK$66,INDEX('Market Data'!$J$5:$J$528,$T221)-4)),N(INDEX('Market Data'!$AK$5:$AK$66,INDEX('Market Data'!$J$5:$J$528,$T221)-4))&gt;0),INDEX('Market Data'!$AK$5:$AK$66,INDEX('Market Data'!$J$5:$J$528,$T221)-4),"date unavailable"),IF($Q221="Snapshot",IF(AND(ISNUMBER(INDEX('Market Data'!$AF$5:$AF$66,INDEX('Market Data'!$J$5:$J$528,$T221)-4)),N(INDEX('Market Data'!$AF$5:$AF$66,INDEX('Market Data'!$J$5:$J$528,$T221)-4))&gt;0),INDEX('Market Data'!$AF$5:$AF$66,INDEX('Market Data'!$J$5:$J$528,$T221)-4),"date unavailable"),"date unavailable"))))</f>
        <v/>
      </c>
      <c r="Q221" s="15">
        <f>IF($T221=0,"",IF(INDEX('Market Data'!$J$5:$J$528,$T221)=0,"n/a",IF(AND($M$5&lt;&gt;"Snapshot",ISNUMBER(INDEX('Market Data'!$AH$5:$AH$66,INDEX('Market Data'!$J$5:$J$528,$T221)-4)),N(INDEX('Market Data'!$AH$5:$AH$66,INDEX('Market Data'!$J$5:$J$528,$T221)-4))&gt;0),"Bloomberg",IF(AND($M$5&lt;&gt;"Bloomberg",ISNUMBER(INDEX('Market Data'!$AC$5:$AC$66,INDEX('Market Data'!$J$5:$J$528,$T221)-4)),N(INDEX('Market Data'!$AC$5:$AC$66,INDEX('Market Data'!$J$5:$J$528,$T221)-4))&gt;0),"Snapshot","Unavailable"))))</f>
        <v/>
      </c>
      <c r="T221">
        <f>IFERROR(MATCH(213,'Market Data'!$S$5:$S$528,0),0)</f>
        <v/>
      </c>
    </row>
    <row r="222" ht="34" customHeight="1">
      <c r="A222" s="8">
        <f>IF($T222=0,"",IF(INDEX('Market Data'!$A$5:$A$528,$T222)="","",INDEX('Market Data'!$A$5:$A$528,$T222)))</f>
        <v/>
      </c>
      <c r="B222" s="9">
        <f>IF($T222=0,"",IF(INDEX('Market Data'!$B$5:$B$528,$T222)="","",INDEX('Market Data'!$B$5:$B$528,$T222)))</f>
        <v/>
      </c>
      <c r="C222" s="9">
        <f>IF($T222=0,"",IF(INDEX('Market Data'!$C$5:$C$528,$T222)="","",INDEX('Market Data'!$C$5:$C$528,$T222)))</f>
        <v/>
      </c>
      <c r="D222" s="9">
        <f>IF($T222=0,"",IF(INDEX('Market Data'!$D$5:$D$528,$T222)="","",INDEX('Market Data'!$D$5:$D$528,$T222)))</f>
        <v/>
      </c>
      <c r="E222" s="10">
        <f>IF($T222=0,"",INDEX('Market Data'!$O$5:$O$528,$T222))</f>
        <v/>
      </c>
      <c r="F222" s="11">
        <f>IF($T222=0,"",IF(AND($I222="Bloomberg",ISNUMBER(INDEX('Market Data'!$L$5:$L$528,$T222))),INDEX('Market Data'!$L$5:$L$528,$T222),"unavailable"))</f>
        <v/>
      </c>
      <c r="G222" s="12">
        <f>IF($T222=0,"",IF($I222="Bloomberg",IF(AND(ISNUMBER(INDEX('Market Data'!$M$5:$M$528,$T222)),N(INDEX('Market Data'!$M$5:$M$528,$T222))&gt;0),INDEX('Market Data'!$M$5:$M$528,$T222),"date unavailable"),IF($I222="Snapshot",IF(AND(ISNUMBER(INDEX('Market Data'!$H$5:$H$528,$T222)),N(INDEX('Market Data'!$H$5:$H$528,$T222))&gt;0),INDEX('Market Data'!$H$5:$H$528,$T222),"date unavailable"),"date unavailable")))</f>
        <v/>
      </c>
      <c r="H222" s="9">
        <f>IF($T222=0,"",IF($I222="Bloomberg",IF(INDEX('Market Data'!$N$5:$N$528,$T222)="","time unavailable",INDEX('Market Data'!$N$5:$N$528,$T222)),""))</f>
        <v/>
      </c>
      <c r="I222" s="9">
        <f>IF($T222=0,"",INDEX('Market Data'!$P$5:$P$528,$T222))</f>
        <v/>
      </c>
      <c r="J222" s="13">
        <f>IF($T222=0,"",IF(INDEX('Market Data'!$E$5:$E$528,$T222)="","",INDEX('Market Data'!$E$5:$E$528,$T222)))</f>
        <v/>
      </c>
      <c r="K222" s="8">
        <f>IF($T222=0,"",IF(INDEX('Market Data'!$I$5:$I$528,$T222)="","",INDEX('Market Data'!$I$5:$I$528,$T222)))</f>
        <v/>
      </c>
      <c r="L222" s="10">
        <f>IF($T222=0,"",IF(INDEX('Market Data'!$J$5:$J$528,$T222)=0,"n/a",IF(AND($M$5&lt;&gt;"Snapshot",ISNUMBER(INDEX('Market Data'!$AH$5:$AH$66,INDEX('Market Data'!$J$5:$J$528,$T222)-4)),N(INDEX('Market Data'!$AH$5:$AH$66,INDEX('Market Data'!$J$5:$J$528,$T222)-4))&gt;0),INDEX('Market Data'!$AH$5:$AH$66,INDEX('Market Data'!$J$5:$J$528,$T222)-4),IF(AND($M$5&lt;&gt;"Bloomberg",ISNUMBER(INDEX('Market Data'!$AC$5:$AC$66,INDEX('Market Data'!$J$5:$J$528,$T222)-4)),N(INDEX('Market Data'!$AC$5:$AC$66,INDEX('Market Data'!$J$5:$J$528,$T222)-4))&gt;0),INDEX('Market Data'!$AC$5:$AC$66,INDEX('Market Data'!$J$5:$J$528,$T222)-4),"unavailable"))))</f>
        <v/>
      </c>
      <c r="M222" s="11">
        <f>IF($T222=0,"",IF(INDEX('Market Data'!$J$5:$J$528,$T222)=0,"n/a",IF(IF(INDEX('Market Data'!$J$5:$J$528,$T222)=0,0,IF(LEFT(INDEX('Market Data'!$AS$5:$AS$66,INDEX('Market Data'!$J$5:$J$528,$T222)-4),11)="First-month",1,0))=1,"class review",IF($I222="Bloomberg",IF(AND(ISNUMBER(INDEX('Market Data'!$AH$5:$AH$66,INDEX('Market Data'!$J$5:$J$528,$T222)-4)),N(INDEX('Market Data'!$AH$5:$AH$66,INDEX('Market Data'!$J$5:$J$528,$T222)-4))&gt;0,ISNUMBER('Market Data'!$B$1),N('Market Data'!$B$1)&gt;0),INDEX('Market Data'!$AH$5:$AH$66,INDEX('Market Data'!$J$5:$J$528,$T222)-4)*'Market Data'!$B$1/$E222-1,"pending A/FX"),IF(AND($I222="Snapshot",$Q222="Snapshot",ISNUMBER($E222),$G222=INDEX('Market Data'!$AE$5:$AE$66,INDEX('Market Data'!$J$5:$J$528,$T222)-4)),IFERROR(INDEX('Market Data'!$AC$5:$AC$66,INDEX('Market Data'!$J$5:$J$528,$T222)-4)*INDEX('Market Data'!$AD$5:$AD$66,INDEX('Market Data'!$J$5:$J$528,$T222)-4)/$E222-1,"unavailable"),IF($I222="Unavailable","unavailable","date mismatch"))))))</f>
        <v/>
      </c>
      <c r="N222" s="11">
        <f>IF($T222=0,"",IFERROR(IF(AND(N(INDEX('Market Data'!$F$5:$F$528,$T222))&gt;0,ISNUMBER(INDEX('Market Data'!$T$5:$T$528,$T222))),$E222*INDEX('Market Data'!$T$5:$T$528,$T222)/INDEX('Market Data'!$F$5:$F$528,$T222)-1,"unavailable"),"unavailable"))</f>
        <v/>
      </c>
      <c r="O222" s="9">
        <f>IF($T222=0,"",IF(IF(INDEX('Market Data'!$J$5:$J$528,$T222)=0,0,IF(LEFT(INDEX('Market Data'!$AS$5:$AS$66,INDEX('Market Data'!$J$5:$J$528,$T222)-4),11)="First-month",1,0))=1,"Class ratio review",IF($I222="Bloomberg",IF(ISNUMBER($G222),IF($G222&lt;TODAY(),"Older quote","See quote time"),"Date unavailable"),IF($I222="Snapshot",IF($G222&lt;DATEVALUE("2026-10-02"),"Older snapshot","Dated close"),"No valid quote"))))</f>
        <v/>
      </c>
      <c r="P222" s="14">
        <f>IF($T222=0,"",IF(INDEX('Market Data'!$J$5:$J$528,$T222)=0,"n/a",IF($Q222="Bloomberg",IF(AND(ISNUMBER(INDEX('Market Data'!$AK$5:$AK$66,INDEX('Market Data'!$J$5:$J$528,$T222)-4)),N(INDEX('Market Data'!$AK$5:$AK$66,INDEX('Market Data'!$J$5:$J$528,$T222)-4))&gt;0),INDEX('Market Data'!$AK$5:$AK$66,INDEX('Market Data'!$J$5:$J$528,$T222)-4),"date unavailable"),IF($Q222="Snapshot",IF(AND(ISNUMBER(INDEX('Market Data'!$AF$5:$AF$66,INDEX('Market Data'!$J$5:$J$528,$T222)-4)),N(INDEX('Market Data'!$AF$5:$AF$66,INDEX('Market Data'!$J$5:$J$528,$T222)-4))&gt;0),INDEX('Market Data'!$AF$5:$AF$66,INDEX('Market Data'!$J$5:$J$528,$T222)-4),"date unavailable"),"date unavailable"))))</f>
        <v/>
      </c>
      <c r="Q222" s="15">
        <f>IF($T222=0,"",IF(INDEX('Market Data'!$J$5:$J$528,$T222)=0,"n/a",IF(AND($M$5&lt;&gt;"Snapshot",ISNUMBER(INDEX('Market Data'!$AH$5:$AH$66,INDEX('Market Data'!$J$5:$J$528,$T222)-4)),N(INDEX('Market Data'!$AH$5:$AH$66,INDEX('Market Data'!$J$5:$J$528,$T222)-4))&gt;0),"Bloomberg",IF(AND($M$5&lt;&gt;"Bloomberg",ISNUMBER(INDEX('Market Data'!$AC$5:$AC$66,INDEX('Market Data'!$J$5:$J$528,$T222)-4)),N(INDEX('Market Data'!$AC$5:$AC$66,INDEX('Market Data'!$J$5:$J$528,$T222)-4))&gt;0),"Snapshot","Unavailable"))))</f>
        <v/>
      </c>
      <c r="T222">
        <f>IFERROR(MATCH(214,'Market Data'!$S$5:$S$528,0),0)</f>
        <v/>
      </c>
    </row>
    <row r="223" ht="34" customHeight="1">
      <c r="A223" s="8">
        <f>IF($T223=0,"",IF(INDEX('Market Data'!$A$5:$A$528,$T223)="","",INDEX('Market Data'!$A$5:$A$528,$T223)))</f>
        <v/>
      </c>
      <c r="B223" s="9">
        <f>IF($T223=0,"",IF(INDEX('Market Data'!$B$5:$B$528,$T223)="","",INDEX('Market Data'!$B$5:$B$528,$T223)))</f>
        <v/>
      </c>
      <c r="C223" s="9">
        <f>IF($T223=0,"",IF(INDEX('Market Data'!$C$5:$C$528,$T223)="","",INDEX('Market Data'!$C$5:$C$528,$T223)))</f>
        <v/>
      </c>
      <c r="D223" s="9">
        <f>IF($T223=0,"",IF(INDEX('Market Data'!$D$5:$D$528,$T223)="","",INDEX('Market Data'!$D$5:$D$528,$T223)))</f>
        <v/>
      </c>
      <c r="E223" s="10">
        <f>IF($T223=0,"",INDEX('Market Data'!$O$5:$O$528,$T223))</f>
        <v/>
      </c>
      <c r="F223" s="11">
        <f>IF($T223=0,"",IF(AND($I223="Bloomberg",ISNUMBER(INDEX('Market Data'!$L$5:$L$528,$T223))),INDEX('Market Data'!$L$5:$L$528,$T223),"unavailable"))</f>
        <v/>
      </c>
      <c r="G223" s="12">
        <f>IF($T223=0,"",IF($I223="Bloomberg",IF(AND(ISNUMBER(INDEX('Market Data'!$M$5:$M$528,$T223)),N(INDEX('Market Data'!$M$5:$M$528,$T223))&gt;0),INDEX('Market Data'!$M$5:$M$528,$T223),"date unavailable"),IF($I223="Snapshot",IF(AND(ISNUMBER(INDEX('Market Data'!$H$5:$H$528,$T223)),N(INDEX('Market Data'!$H$5:$H$528,$T223))&gt;0),INDEX('Market Data'!$H$5:$H$528,$T223),"date unavailable"),"date unavailable")))</f>
        <v/>
      </c>
      <c r="H223" s="9">
        <f>IF($T223=0,"",IF($I223="Bloomberg",IF(INDEX('Market Data'!$N$5:$N$528,$T223)="","time unavailable",INDEX('Market Data'!$N$5:$N$528,$T223)),""))</f>
        <v/>
      </c>
      <c r="I223" s="9">
        <f>IF($T223=0,"",INDEX('Market Data'!$P$5:$P$528,$T223))</f>
        <v/>
      </c>
      <c r="J223" s="13">
        <f>IF($T223=0,"",IF(INDEX('Market Data'!$E$5:$E$528,$T223)="","",INDEX('Market Data'!$E$5:$E$528,$T223)))</f>
        <v/>
      </c>
      <c r="K223" s="8">
        <f>IF($T223=0,"",IF(INDEX('Market Data'!$I$5:$I$528,$T223)="","",INDEX('Market Data'!$I$5:$I$528,$T223)))</f>
        <v/>
      </c>
      <c r="L223" s="10">
        <f>IF($T223=0,"",IF(INDEX('Market Data'!$J$5:$J$528,$T223)=0,"n/a",IF(AND($M$5&lt;&gt;"Snapshot",ISNUMBER(INDEX('Market Data'!$AH$5:$AH$66,INDEX('Market Data'!$J$5:$J$528,$T223)-4)),N(INDEX('Market Data'!$AH$5:$AH$66,INDEX('Market Data'!$J$5:$J$528,$T223)-4))&gt;0),INDEX('Market Data'!$AH$5:$AH$66,INDEX('Market Data'!$J$5:$J$528,$T223)-4),IF(AND($M$5&lt;&gt;"Bloomberg",ISNUMBER(INDEX('Market Data'!$AC$5:$AC$66,INDEX('Market Data'!$J$5:$J$528,$T223)-4)),N(INDEX('Market Data'!$AC$5:$AC$66,INDEX('Market Data'!$J$5:$J$528,$T223)-4))&gt;0),INDEX('Market Data'!$AC$5:$AC$66,INDEX('Market Data'!$J$5:$J$528,$T223)-4),"unavailable"))))</f>
        <v/>
      </c>
      <c r="M223" s="11">
        <f>IF($T223=0,"",IF(INDEX('Market Data'!$J$5:$J$528,$T223)=0,"n/a",IF(IF(INDEX('Market Data'!$J$5:$J$528,$T223)=0,0,IF(LEFT(INDEX('Market Data'!$AS$5:$AS$66,INDEX('Market Data'!$J$5:$J$528,$T223)-4),11)="First-month",1,0))=1,"class review",IF($I223="Bloomberg",IF(AND(ISNUMBER(INDEX('Market Data'!$AH$5:$AH$66,INDEX('Market Data'!$J$5:$J$528,$T223)-4)),N(INDEX('Market Data'!$AH$5:$AH$66,INDEX('Market Data'!$J$5:$J$528,$T223)-4))&gt;0,ISNUMBER('Market Data'!$B$1),N('Market Data'!$B$1)&gt;0),INDEX('Market Data'!$AH$5:$AH$66,INDEX('Market Data'!$J$5:$J$528,$T223)-4)*'Market Data'!$B$1/$E223-1,"pending A/FX"),IF(AND($I223="Snapshot",$Q223="Snapshot",ISNUMBER($E223),$G223=INDEX('Market Data'!$AE$5:$AE$66,INDEX('Market Data'!$J$5:$J$528,$T223)-4)),IFERROR(INDEX('Market Data'!$AC$5:$AC$66,INDEX('Market Data'!$J$5:$J$528,$T223)-4)*INDEX('Market Data'!$AD$5:$AD$66,INDEX('Market Data'!$J$5:$J$528,$T223)-4)/$E223-1,"unavailable"),IF($I223="Unavailable","unavailable","date mismatch"))))))</f>
        <v/>
      </c>
      <c r="N223" s="11">
        <f>IF($T223=0,"",IFERROR(IF(AND(N(INDEX('Market Data'!$F$5:$F$528,$T223))&gt;0,ISNUMBER(INDEX('Market Data'!$T$5:$T$528,$T223))),$E223*INDEX('Market Data'!$T$5:$T$528,$T223)/INDEX('Market Data'!$F$5:$F$528,$T223)-1,"unavailable"),"unavailable"))</f>
        <v/>
      </c>
      <c r="O223" s="9">
        <f>IF($T223=0,"",IF(IF(INDEX('Market Data'!$J$5:$J$528,$T223)=0,0,IF(LEFT(INDEX('Market Data'!$AS$5:$AS$66,INDEX('Market Data'!$J$5:$J$528,$T223)-4),11)="First-month",1,0))=1,"Class ratio review",IF($I223="Bloomberg",IF(ISNUMBER($G223),IF($G223&lt;TODAY(),"Older quote","See quote time"),"Date unavailable"),IF($I223="Snapshot",IF($G223&lt;DATEVALUE("2026-10-02"),"Older snapshot","Dated close"),"No valid quote"))))</f>
        <v/>
      </c>
      <c r="P223" s="14">
        <f>IF($T223=0,"",IF(INDEX('Market Data'!$J$5:$J$528,$T223)=0,"n/a",IF($Q223="Bloomberg",IF(AND(ISNUMBER(INDEX('Market Data'!$AK$5:$AK$66,INDEX('Market Data'!$J$5:$J$528,$T223)-4)),N(INDEX('Market Data'!$AK$5:$AK$66,INDEX('Market Data'!$J$5:$J$528,$T223)-4))&gt;0),INDEX('Market Data'!$AK$5:$AK$66,INDEX('Market Data'!$J$5:$J$528,$T223)-4),"date unavailable"),IF($Q223="Snapshot",IF(AND(ISNUMBER(INDEX('Market Data'!$AF$5:$AF$66,INDEX('Market Data'!$J$5:$J$528,$T223)-4)),N(INDEX('Market Data'!$AF$5:$AF$66,INDEX('Market Data'!$J$5:$J$528,$T223)-4))&gt;0),INDEX('Market Data'!$AF$5:$AF$66,INDEX('Market Data'!$J$5:$J$528,$T223)-4),"date unavailable"),"date unavailable"))))</f>
        <v/>
      </c>
      <c r="Q223" s="15">
        <f>IF($T223=0,"",IF(INDEX('Market Data'!$J$5:$J$528,$T223)=0,"n/a",IF(AND($M$5&lt;&gt;"Snapshot",ISNUMBER(INDEX('Market Data'!$AH$5:$AH$66,INDEX('Market Data'!$J$5:$J$528,$T223)-4)),N(INDEX('Market Data'!$AH$5:$AH$66,INDEX('Market Data'!$J$5:$J$528,$T223)-4))&gt;0),"Bloomberg",IF(AND($M$5&lt;&gt;"Bloomberg",ISNUMBER(INDEX('Market Data'!$AC$5:$AC$66,INDEX('Market Data'!$J$5:$J$528,$T223)-4)),N(INDEX('Market Data'!$AC$5:$AC$66,INDEX('Market Data'!$J$5:$J$528,$T223)-4))&gt;0),"Snapshot","Unavailable"))))</f>
        <v/>
      </c>
      <c r="T223">
        <f>IFERROR(MATCH(215,'Market Data'!$S$5:$S$528,0),0)</f>
        <v/>
      </c>
    </row>
    <row r="224" ht="34" customHeight="1">
      <c r="A224" s="8">
        <f>IF($T224=0,"",IF(INDEX('Market Data'!$A$5:$A$528,$T224)="","",INDEX('Market Data'!$A$5:$A$528,$T224)))</f>
        <v/>
      </c>
      <c r="B224" s="9">
        <f>IF($T224=0,"",IF(INDEX('Market Data'!$B$5:$B$528,$T224)="","",INDEX('Market Data'!$B$5:$B$528,$T224)))</f>
        <v/>
      </c>
      <c r="C224" s="9">
        <f>IF($T224=0,"",IF(INDEX('Market Data'!$C$5:$C$528,$T224)="","",INDEX('Market Data'!$C$5:$C$528,$T224)))</f>
        <v/>
      </c>
      <c r="D224" s="9">
        <f>IF($T224=0,"",IF(INDEX('Market Data'!$D$5:$D$528,$T224)="","",INDEX('Market Data'!$D$5:$D$528,$T224)))</f>
        <v/>
      </c>
      <c r="E224" s="10">
        <f>IF($T224=0,"",INDEX('Market Data'!$O$5:$O$528,$T224))</f>
        <v/>
      </c>
      <c r="F224" s="11">
        <f>IF($T224=0,"",IF(AND($I224="Bloomberg",ISNUMBER(INDEX('Market Data'!$L$5:$L$528,$T224))),INDEX('Market Data'!$L$5:$L$528,$T224),"unavailable"))</f>
        <v/>
      </c>
      <c r="G224" s="12">
        <f>IF($T224=0,"",IF($I224="Bloomberg",IF(AND(ISNUMBER(INDEX('Market Data'!$M$5:$M$528,$T224)),N(INDEX('Market Data'!$M$5:$M$528,$T224))&gt;0),INDEX('Market Data'!$M$5:$M$528,$T224),"date unavailable"),IF($I224="Snapshot",IF(AND(ISNUMBER(INDEX('Market Data'!$H$5:$H$528,$T224)),N(INDEX('Market Data'!$H$5:$H$528,$T224))&gt;0),INDEX('Market Data'!$H$5:$H$528,$T224),"date unavailable"),"date unavailable")))</f>
        <v/>
      </c>
      <c r="H224" s="9">
        <f>IF($T224=0,"",IF($I224="Bloomberg",IF(INDEX('Market Data'!$N$5:$N$528,$T224)="","time unavailable",INDEX('Market Data'!$N$5:$N$528,$T224)),""))</f>
        <v/>
      </c>
      <c r="I224" s="9">
        <f>IF($T224=0,"",INDEX('Market Data'!$P$5:$P$528,$T224))</f>
        <v/>
      </c>
      <c r="J224" s="13">
        <f>IF($T224=0,"",IF(INDEX('Market Data'!$E$5:$E$528,$T224)="","",INDEX('Market Data'!$E$5:$E$528,$T224)))</f>
        <v/>
      </c>
      <c r="K224" s="8">
        <f>IF($T224=0,"",IF(INDEX('Market Data'!$I$5:$I$528,$T224)="","",INDEX('Market Data'!$I$5:$I$528,$T224)))</f>
        <v/>
      </c>
      <c r="L224" s="10">
        <f>IF($T224=0,"",IF(INDEX('Market Data'!$J$5:$J$528,$T224)=0,"n/a",IF(AND($M$5&lt;&gt;"Snapshot",ISNUMBER(INDEX('Market Data'!$AH$5:$AH$66,INDEX('Market Data'!$J$5:$J$528,$T224)-4)),N(INDEX('Market Data'!$AH$5:$AH$66,INDEX('Market Data'!$J$5:$J$528,$T224)-4))&gt;0),INDEX('Market Data'!$AH$5:$AH$66,INDEX('Market Data'!$J$5:$J$528,$T224)-4),IF(AND($M$5&lt;&gt;"Bloomberg",ISNUMBER(INDEX('Market Data'!$AC$5:$AC$66,INDEX('Market Data'!$J$5:$J$528,$T224)-4)),N(INDEX('Market Data'!$AC$5:$AC$66,INDEX('Market Data'!$J$5:$J$528,$T224)-4))&gt;0),INDEX('Market Data'!$AC$5:$AC$66,INDEX('Market Data'!$J$5:$J$528,$T224)-4),"unavailable"))))</f>
        <v/>
      </c>
      <c r="M224" s="11">
        <f>IF($T224=0,"",IF(INDEX('Market Data'!$J$5:$J$528,$T224)=0,"n/a",IF(IF(INDEX('Market Data'!$J$5:$J$528,$T224)=0,0,IF(LEFT(INDEX('Market Data'!$AS$5:$AS$66,INDEX('Market Data'!$J$5:$J$528,$T224)-4),11)="First-month",1,0))=1,"class review",IF($I224="Bloomberg",IF(AND(ISNUMBER(INDEX('Market Data'!$AH$5:$AH$66,INDEX('Market Data'!$J$5:$J$528,$T224)-4)),N(INDEX('Market Data'!$AH$5:$AH$66,INDEX('Market Data'!$J$5:$J$528,$T224)-4))&gt;0,ISNUMBER('Market Data'!$B$1),N('Market Data'!$B$1)&gt;0),INDEX('Market Data'!$AH$5:$AH$66,INDEX('Market Data'!$J$5:$J$528,$T224)-4)*'Market Data'!$B$1/$E224-1,"pending A/FX"),IF(AND($I224="Snapshot",$Q224="Snapshot",ISNUMBER($E224),$G224=INDEX('Market Data'!$AE$5:$AE$66,INDEX('Market Data'!$J$5:$J$528,$T224)-4)),IFERROR(INDEX('Market Data'!$AC$5:$AC$66,INDEX('Market Data'!$J$5:$J$528,$T224)-4)*INDEX('Market Data'!$AD$5:$AD$66,INDEX('Market Data'!$J$5:$J$528,$T224)-4)/$E224-1,"unavailable"),IF($I224="Unavailable","unavailable","date mismatch"))))))</f>
        <v/>
      </c>
      <c r="N224" s="11">
        <f>IF($T224=0,"",IFERROR(IF(AND(N(INDEX('Market Data'!$F$5:$F$528,$T224))&gt;0,ISNUMBER(INDEX('Market Data'!$T$5:$T$528,$T224))),$E224*INDEX('Market Data'!$T$5:$T$528,$T224)/INDEX('Market Data'!$F$5:$F$528,$T224)-1,"unavailable"),"unavailable"))</f>
        <v/>
      </c>
      <c r="O224" s="9">
        <f>IF($T224=0,"",IF(IF(INDEX('Market Data'!$J$5:$J$528,$T224)=0,0,IF(LEFT(INDEX('Market Data'!$AS$5:$AS$66,INDEX('Market Data'!$J$5:$J$528,$T224)-4),11)="First-month",1,0))=1,"Class ratio review",IF($I224="Bloomberg",IF(ISNUMBER($G224),IF($G224&lt;TODAY(),"Older quote","See quote time"),"Date unavailable"),IF($I224="Snapshot",IF($G224&lt;DATEVALUE("2026-10-02"),"Older snapshot","Dated close"),"No valid quote"))))</f>
        <v/>
      </c>
      <c r="P224" s="14">
        <f>IF($T224=0,"",IF(INDEX('Market Data'!$J$5:$J$528,$T224)=0,"n/a",IF($Q224="Bloomberg",IF(AND(ISNUMBER(INDEX('Market Data'!$AK$5:$AK$66,INDEX('Market Data'!$J$5:$J$528,$T224)-4)),N(INDEX('Market Data'!$AK$5:$AK$66,INDEX('Market Data'!$J$5:$J$528,$T224)-4))&gt;0),INDEX('Market Data'!$AK$5:$AK$66,INDEX('Market Data'!$J$5:$J$528,$T224)-4),"date unavailable"),IF($Q224="Snapshot",IF(AND(ISNUMBER(INDEX('Market Data'!$AF$5:$AF$66,INDEX('Market Data'!$J$5:$J$528,$T224)-4)),N(INDEX('Market Data'!$AF$5:$AF$66,INDEX('Market Data'!$J$5:$J$528,$T224)-4))&gt;0),INDEX('Market Data'!$AF$5:$AF$66,INDEX('Market Data'!$J$5:$J$528,$T224)-4),"date unavailable"),"date unavailable"))))</f>
        <v/>
      </c>
      <c r="Q224" s="15">
        <f>IF($T224=0,"",IF(INDEX('Market Data'!$J$5:$J$528,$T224)=0,"n/a",IF(AND($M$5&lt;&gt;"Snapshot",ISNUMBER(INDEX('Market Data'!$AH$5:$AH$66,INDEX('Market Data'!$J$5:$J$528,$T224)-4)),N(INDEX('Market Data'!$AH$5:$AH$66,INDEX('Market Data'!$J$5:$J$528,$T224)-4))&gt;0),"Bloomberg",IF(AND($M$5&lt;&gt;"Bloomberg",ISNUMBER(INDEX('Market Data'!$AC$5:$AC$66,INDEX('Market Data'!$J$5:$J$528,$T224)-4)),N(INDEX('Market Data'!$AC$5:$AC$66,INDEX('Market Data'!$J$5:$J$528,$T224)-4))&gt;0),"Snapshot","Unavailable"))))</f>
        <v/>
      </c>
      <c r="T224">
        <f>IFERROR(MATCH(216,'Market Data'!$S$5:$S$528,0),0)</f>
        <v/>
      </c>
    </row>
    <row r="225" ht="34" customHeight="1">
      <c r="A225" s="8">
        <f>IF($T225=0,"",IF(INDEX('Market Data'!$A$5:$A$528,$T225)="","",INDEX('Market Data'!$A$5:$A$528,$T225)))</f>
        <v/>
      </c>
      <c r="B225" s="9">
        <f>IF($T225=0,"",IF(INDEX('Market Data'!$B$5:$B$528,$T225)="","",INDEX('Market Data'!$B$5:$B$528,$T225)))</f>
        <v/>
      </c>
      <c r="C225" s="9">
        <f>IF($T225=0,"",IF(INDEX('Market Data'!$C$5:$C$528,$T225)="","",INDEX('Market Data'!$C$5:$C$528,$T225)))</f>
        <v/>
      </c>
      <c r="D225" s="9">
        <f>IF($T225=0,"",IF(INDEX('Market Data'!$D$5:$D$528,$T225)="","",INDEX('Market Data'!$D$5:$D$528,$T225)))</f>
        <v/>
      </c>
      <c r="E225" s="10">
        <f>IF($T225=0,"",INDEX('Market Data'!$O$5:$O$528,$T225))</f>
        <v/>
      </c>
      <c r="F225" s="11">
        <f>IF($T225=0,"",IF(AND($I225="Bloomberg",ISNUMBER(INDEX('Market Data'!$L$5:$L$528,$T225))),INDEX('Market Data'!$L$5:$L$528,$T225),"unavailable"))</f>
        <v/>
      </c>
      <c r="G225" s="12">
        <f>IF($T225=0,"",IF($I225="Bloomberg",IF(AND(ISNUMBER(INDEX('Market Data'!$M$5:$M$528,$T225)),N(INDEX('Market Data'!$M$5:$M$528,$T225))&gt;0),INDEX('Market Data'!$M$5:$M$528,$T225),"date unavailable"),IF($I225="Snapshot",IF(AND(ISNUMBER(INDEX('Market Data'!$H$5:$H$528,$T225)),N(INDEX('Market Data'!$H$5:$H$528,$T225))&gt;0),INDEX('Market Data'!$H$5:$H$528,$T225),"date unavailable"),"date unavailable")))</f>
        <v/>
      </c>
      <c r="H225" s="9">
        <f>IF($T225=0,"",IF($I225="Bloomberg",IF(INDEX('Market Data'!$N$5:$N$528,$T225)="","time unavailable",INDEX('Market Data'!$N$5:$N$528,$T225)),""))</f>
        <v/>
      </c>
      <c r="I225" s="9">
        <f>IF($T225=0,"",INDEX('Market Data'!$P$5:$P$528,$T225))</f>
        <v/>
      </c>
      <c r="J225" s="13">
        <f>IF($T225=0,"",IF(INDEX('Market Data'!$E$5:$E$528,$T225)="","",INDEX('Market Data'!$E$5:$E$528,$T225)))</f>
        <v/>
      </c>
      <c r="K225" s="8">
        <f>IF($T225=0,"",IF(INDEX('Market Data'!$I$5:$I$528,$T225)="","",INDEX('Market Data'!$I$5:$I$528,$T225)))</f>
        <v/>
      </c>
      <c r="L225" s="10">
        <f>IF($T225=0,"",IF(INDEX('Market Data'!$J$5:$J$528,$T225)=0,"n/a",IF(AND($M$5&lt;&gt;"Snapshot",ISNUMBER(INDEX('Market Data'!$AH$5:$AH$66,INDEX('Market Data'!$J$5:$J$528,$T225)-4)),N(INDEX('Market Data'!$AH$5:$AH$66,INDEX('Market Data'!$J$5:$J$528,$T225)-4))&gt;0),INDEX('Market Data'!$AH$5:$AH$66,INDEX('Market Data'!$J$5:$J$528,$T225)-4),IF(AND($M$5&lt;&gt;"Bloomberg",ISNUMBER(INDEX('Market Data'!$AC$5:$AC$66,INDEX('Market Data'!$J$5:$J$528,$T225)-4)),N(INDEX('Market Data'!$AC$5:$AC$66,INDEX('Market Data'!$J$5:$J$528,$T225)-4))&gt;0),INDEX('Market Data'!$AC$5:$AC$66,INDEX('Market Data'!$J$5:$J$528,$T225)-4),"unavailable"))))</f>
        <v/>
      </c>
      <c r="M225" s="11">
        <f>IF($T225=0,"",IF(INDEX('Market Data'!$J$5:$J$528,$T225)=0,"n/a",IF(IF(INDEX('Market Data'!$J$5:$J$528,$T225)=0,0,IF(LEFT(INDEX('Market Data'!$AS$5:$AS$66,INDEX('Market Data'!$J$5:$J$528,$T225)-4),11)="First-month",1,0))=1,"class review",IF($I225="Bloomberg",IF(AND(ISNUMBER(INDEX('Market Data'!$AH$5:$AH$66,INDEX('Market Data'!$J$5:$J$528,$T225)-4)),N(INDEX('Market Data'!$AH$5:$AH$66,INDEX('Market Data'!$J$5:$J$528,$T225)-4))&gt;0,ISNUMBER('Market Data'!$B$1),N('Market Data'!$B$1)&gt;0),INDEX('Market Data'!$AH$5:$AH$66,INDEX('Market Data'!$J$5:$J$528,$T225)-4)*'Market Data'!$B$1/$E225-1,"pending A/FX"),IF(AND($I225="Snapshot",$Q225="Snapshot",ISNUMBER($E225),$G225=INDEX('Market Data'!$AE$5:$AE$66,INDEX('Market Data'!$J$5:$J$528,$T225)-4)),IFERROR(INDEX('Market Data'!$AC$5:$AC$66,INDEX('Market Data'!$J$5:$J$528,$T225)-4)*INDEX('Market Data'!$AD$5:$AD$66,INDEX('Market Data'!$J$5:$J$528,$T225)-4)/$E225-1,"unavailable"),IF($I225="Unavailable","unavailable","date mismatch"))))))</f>
        <v/>
      </c>
      <c r="N225" s="11">
        <f>IF($T225=0,"",IFERROR(IF(AND(N(INDEX('Market Data'!$F$5:$F$528,$T225))&gt;0,ISNUMBER(INDEX('Market Data'!$T$5:$T$528,$T225))),$E225*INDEX('Market Data'!$T$5:$T$528,$T225)/INDEX('Market Data'!$F$5:$F$528,$T225)-1,"unavailable"),"unavailable"))</f>
        <v/>
      </c>
      <c r="O225" s="9">
        <f>IF($T225=0,"",IF(IF(INDEX('Market Data'!$J$5:$J$528,$T225)=0,0,IF(LEFT(INDEX('Market Data'!$AS$5:$AS$66,INDEX('Market Data'!$J$5:$J$528,$T225)-4),11)="First-month",1,0))=1,"Class ratio review",IF($I225="Bloomberg",IF(ISNUMBER($G225),IF($G225&lt;TODAY(),"Older quote","See quote time"),"Date unavailable"),IF($I225="Snapshot",IF($G225&lt;DATEVALUE("2026-10-02"),"Older snapshot","Dated close"),"No valid quote"))))</f>
        <v/>
      </c>
      <c r="P225" s="14">
        <f>IF($T225=0,"",IF(INDEX('Market Data'!$J$5:$J$528,$T225)=0,"n/a",IF($Q225="Bloomberg",IF(AND(ISNUMBER(INDEX('Market Data'!$AK$5:$AK$66,INDEX('Market Data'!$J$5:$J$528,$T225)-4)),N(INDEX('Market Data'!$AK$5:$AK$66,INDEX('Market Data'!$J$5:$J$528,$T225)-4))&gt;0),INDEX('Market Data'!$AK$5:$AK$66,INDEX('Market Data'!$J$5:$J$528,$T225)-4),"date unavailable"),IF($Q225="Snapshot",IF(AND(ISNUMBER(INDEX('Market Data'!$AF$5:$AF$66,INDEX('Market Data'!$J$5:$J$528,$T225)-4)),N(INDEX('Market Data'!$AF$5:$AF$66,INDEX('Market Data'!$J$5:$J$528,$T225)-4))&gt;0),INDEX('Market Data'!$AF$5:$AF$66,INDEX('Market Data'!$J$5:$J$528,$T225)-4),"date unavailable"),"date unavailable"))))</f>
        <v/>
      </c>
      <c r="Q225" s="15">
        <f>IF($T225=0,"",IF(INDEX('Market Data'!$J$5:$J$528,$T225)=0,"n/a",IF(AND($M$5&lt;&gt;"Snapshot",ISNUMBER(INDEX('Market Data'!$AH$5:$AH$66,INDEX('Market Data'!$J$5:$J$528,$T225)-4)),N(INDEX('Market Data'!$AH$5:$AH$66,INDEX('Market Data'!$J$5:$J$528,$T225)-4))&gt;0),"Bloomberg",IF(AND($M$5&lt;&gt;"Bloomberg",ISNUMBER(INDEX('Market Data'!$AC$5:$AC$66,INDEX('Market Data'!$J$5:$J$528,$T225)-4)),N(INDEX('Market Data'!$AC$5:$AC$66,INDEX('Market Data'!$J$5:$J$528,$T225)-4))&gt;0),"Snapshot","Unavailable"))))</f>
        <v/>
      </c>
      <c r="T225">
        <f>IFERROR(MATCH(217,'Market Data'!$S$5:$S$528,0),0)</f>
        <v/>
      </c>
    </row>
    <row r="226" ht="34" customHeight="1">
      <c r="A226" s="8">
        <f>IF($T226=0,"",IF(INDEX('Market Data'!$A$5:$A$528,$T226)="","",INDEX('Market Data'!$A$5:$A$528,$T226)))</f>
        <v/>
      </c>
      <c r="B226" s="9">
        <f>IF($T226=0,"",IF(INDEX('Market Data'!$B$5:$B$528,$T226)="","",INDEX('Market Data'!$B$5:$B$528,$T226)))</f>
        <v/>
      </c>
      <c r="C226" s="9">
        <f>IF($T226=0,"",IF(INDEX('Market Data'!$C$5:$C$528,$T226)="","",INDEX('Market Data'!$C$5:$C$528,$T226)))</f>
        <v/>
      </c>
      <c r="D226" s="9">
        <f>IF($T226=0,"",IF(INDEX('Market Data'!$D$5:$D$528,$T226)="","",INDEX('Market Data'!$D$5:$D$528,$T226)))</f>
        <v/>
      </c>
      <c r="E226" s="10">
        <f>IF($T226=0,"",INDEX('Market Data'!$O$5:$O$528,$T226))</f>
        <v/>
      </c>
      <c r="F226" s="11">
        <f>IF($T226=0,"",IF(AND($I226="Bloomberg",ISNUMBER(INDEX('Market Data'!$L$5:$L$528,$T226))),INDEX('Market Data'!$L$5:$L$528,$T226),"unavailable"))</f>
        <v/>
      </c>
      <c r="G226" s="12">
        <f>IF($T226=0,"",IF($I226="Bloomberg",IF(AND(ISNUMBER(INDEX('Market Data'!$M$5:$M$528,$T226)),N(INDEX('Market Data'!$M$5:$M$528,$T226))&gt;0),INDEX('Market Data'!$M$5:$M$528,$T226),"date unavailable"),IF($I226="Snapshot",IF(AND(ISNUMBER(INDEX('Market Data'!$H$5:$H$528,$T226)),N(INDEX('Market Data'!$H$5:$H$528,$T226))&gt;0),INDEX('Market Data'!$H$5:$H$528,$T226),"date unavailable"),"date unavailable")))</f>
        <v/>
      </c>
      <c r="H226" s="9">
        <f>IF($T226=0,"",IF($I226="Bloomberg",IF(INDEX('Market Data'!$N$5:$N$528,$T226)="","time unavailable",INDEX('Market Data'!$N$5:$N$528,$T226)),""))</f>
        <v/>
      </c>
      <c r="I226" s="9">
        <f>IF($T226=0,"",INDEX('Market Data'!$P$5:$P$528,$T226))</f>
        <v/>
      </c>
      <c r="J226" s="13">
        <f>IF($T226=0,"",IF(INDEX('Market Data'!$E$5:$E$528,$T226)="","",INDEX('Market Data'!$E$5:$E$528,$T226)))</f>
        <v/>
      </c>
      <c r="K226" s="8">
        <f>IF($T226=0,"",IF(INDEX('Market Data'!$I$5:$I$528,$T226)="","",INDEX('Market Data'!$I$5:$I$528,$T226)))</f>
        <v/>
      </c>
      <c r="L226" s="10">
        <f>IF($T226=0,"",IF(INDEX('Market Data'!$J$5:$J$528,$T226)=0,"n/a",IF(AND($M$5&lt;&gt;"Snapshot",ISNUMBER(INDEX('Market Data'!$AH$5:$AH$66,INDEX('Market Data'!$J$5:$J$528,$T226)-4)),N(INDEX('Market Data'!$AH$5:$AH$66,INDEX('Market Data'!$J$5:$J$528,$T226)-4))&gt;0),INDEX('Market Data'!$AH$5:$AH$66,INDEX('Market Data'!$J$5:$J$528,$T226)-4),IF(AND($M$5&lt;&gt;"Bloomberg",ISNUMBER(INDEX('Market Data'!$AC$5:$AC$66,INDEX('Market Data'!$J$5:$J$528,$T226)-4)),N(INDEX('Market Data'!$AC$5:$AC$66,INDEX('Market Data'!$J$5:$J$528,$T226)-4))&gt;0),INDEX('Market Data'!$AC$5:$AC$66,INDEX('Market Data'!$J$5:$J$528,$T226)-4),"unavailable"))))</f>
        <v/>
      </c>
      <c r="M226" s="11">
        <f>IF($T226=0,"",IF(INDEX('Market Data'!$J$5:$J$528,$T226)=0,"n/a",IF(IF(INDEX('Market Data'!$J$5:$J$528,$T226)=0,0,IF(LEFT(INDEX('Market Data'!$AS$5:$AS$66,INDEX('Market Data'!$J$5:$J$528,$T226)-4),11)="First-month",1,0))=1,"class review",IF($I226="Bloomberg",IF(AND(ISNUMBER(INDEX('Market Data'!$AH$5:$AH$66,INDEX('Market Data'!$J$5:$J$528,$T226)-4)),N(INDEX('Market Data'!$AH$5:$AH$66,INDEX('Market Data'!$J$5:$J$528,$T226)-4))&gt;0,ISNUMBER('Market Data'!$B$1),N('Market Data'!$B$1)&gt;0),INDEX('Market Data'!$AH$5:$AH$66,INDEX('Market Data'!$J$5:$J$528,$T226)-4)*'Market Data'!$B$1/$E226-1,"pending A/FX"),IF(AND($I226="Snapshot",$Q226="Snapshot",ISNUMBER($E226),$G226=INDEX('Market Data'!$AE$5:$AE$66,INDEX('Market Data'!$J$5:$J$528,$T226)-4)),IFERROR(INDEX('Market Data'!$AC$5:$AC$66,INDEX('Market Data'!$J$5:$J$528,$T226)-4)*INDEX('Market Data'!$AD$5:$AD$66,INDEX('Market Data'!$J$5:$J$528,$T226)-4)/$E226-1,"unavailable"),IF($I226="Unavailable","unavailable","date mismatch"))))))</f>
        <v/>
      </c>
      <c r="N226" s="11">
        <f>IF($T226=0,"",IFERROR(IF(AND(N(INDEX('Market Data'!$F$5:$F$528,$T226))&gt;0,ISNUMBER(INDEX('Market Data'!$T$5:$T$528,$T226))),$E226*INDEX('Market Data'!$T$5:$T$528,$T226)/INDEX('Market Data'!$F$5:$F$528,$T226)-1,"unavailable"),"unavailable"))</f>
        <v/>
      </c>
      <c r="O226" s="9">
        <f>IF($T226=0,"",IF(IF(INDEX('Market Data'!$J$5:$J$528,$T226)=0,0,IF(LEFT(INDEX('Market Data'!$AS$5:$AS$66,INDEX('Market Data'!$J$5:$J$528,$T226)-4),11)="First-month",1,0))=1,"Class ratio review",IF($I226="Bloomberg",IF(ISNUMBER($G226),IF($G226&lt;TODAY(),"Older quote","See quote time"),"Date unavailable"),IF($I226="Snapshot",IF($G226&lt;DATEVALUE("2026-10-02"),"Older snapshot","Dated close"),"No valid quote"))))</f>
        <v/>
      </c>
      <c r="P226" s="14">
        <f>IF($T226=0,"",IF(INDEX('Market Data'!$J$5:$J$528,$T226)=0,"n/a",IF($Q226="Bloomberg",IF(AND(ISNUMBER(INDEX('Market Data'!$AK$5:$AK$66,INDEX('Market Data'!$J$5:$J$528,$T226)-4)),N(INDEX('Market Data'!$AK$5:$AK$66,INDEX('Market Data'!$J$5:$J$528,$T226)-4))&gt;0),INDEX('Market Data'!$AK$5:$AK$66,INDEX('Market Data'!$J$5:$J$528,$T226)-4),"date unavailable"),IF($Q226="Snapshot",IF(AND(ISNUMBER(INDEX('Market Data'!$AF$5:$AF$66,INDEX('Market Data'!$J$5:$J$528,$T226)-4)),N(INDEX('Market Data'!$AF$5:$AF$66,INDEX('Market Data'!$J$5:$J$528,$T226)-4))&gt;0),INDEX('Market Data'!$AF$5:$AF$66,INDEX('Market Data'!$J$5:$J$528,$T226)-4),"date unavailable"),"date unavailable"))))</f>
        <v/>
      </c>
      <c r="Q226" s="15">
        <f>IF($T226=0,"",IF(INDEX('Market Data'!$J$5:$J$528,$T226)=0,"n/a",IF(AND($M$5&lt;&gt;"Snapshot",ISNUMBER(INDEX('Market Data'!$AH$5:$AH$66,INDEX('Market Data'!$J$5:$J$528,$T226)-4)),N(INDEX('Market Data'!$AH$5:$AH$66,INDEX('Market Data'!$J$5:$J$528,$T226)-4))&gt;0),"Bloomberg",IF(AND($M$5&lt;&gt;"Bloomberg",ISNUMBER(INDEX('Market Data'!$AC$5:$AC$66,INDEX('Market Data'!$J$5:$J$528,$T226)-4)),N(INDEX('Market Data'!$AC$5:$AC$66,INDEX('Market Data'!$J$5:$J$528,$T226)-4))&gt;0),"Snapshot","Unavailable"))))</f>
        <v/>
      </c>
      <c r="T226">
        <f>IFERROR(MATCH(218,'Market Data'!$S$5:$S$528,0),0)</f>
        <v/>
      </c>
    </row>
    <row r="227" ht="34" customHeight="1">
      <c r="A227" s="8">
        <f>IF($T227=0,"",IF(INDEX('Market Data'!$A$5:$A$528,$T227)="","",INDEX('Market Data'!$A$5:$A$528,$T227)))</f>
        <v/>
      </c>
      <c r="B227" s="9">
        <f>IF($T227=0,"",IF(INDEX('Market Data'!$B$5:$B$528,$T227)="","",INDEX('Market Data'!$B$5:$B$528,$T227)))</f>
        <v/>
      </c>
      <c r="C227" s="9">
        <f>IF($T227=0,"",IF(INDEX('Market Data'!$C$5:$C$528,$T227)="","",INDEX('Market Data'!$C$5:$C$528,$T227)))</f>
        <v/>
      </c>
      <c r="D227" s="9">
        <f>IF($T227=0,"",IF(INDEX('Market Data'!$D$5:$D$528,$T227)="","",INDEX('Market Data'!$D$5:$D$528,$T227)))</f>
        <v/>
      </c>
      <c r="E227" s="10">
        <f>IF($T227=0,"",INDEX('Market Data'!$O$5:$O$528,$T227))</f>
        <v/>
      </c>
      <c r="F227" s="11">
        <f>IF($T227=0,"",IF(AND($I227="Bloomberg",ISNUMBER(INDEX('Market Data'!$L$5:$L$528,$T227))),INDEX('Market Data'!$L$5:$L$528,$T227),"unavailable"))</f>
        <v/>
      </c>
      <c r="G227" s="12">
        <f>IF($T227=0,"",IF($I227="Bloomberg",IF(AND(ISNUMBER(INDEX('Market Data'!$M$5:$M$528,$T227)),N(INDEX('Market Data'!$M$5:$M$528,$T227))&gt;0),INDEX('Market Data'!$M$5:$M$528,$T227),"date unavailable"),IF($I227="Snapshot",IF(AND(ISNUMBER(INDEX('Market Data'!$H$5:$H$528,$T227)),N(INDEX('Market Data'!$H$5:$H$528,$T227))&gt;0),INDEX('Market Data'!$H$5:$H$528,$T227),"date unavailable"),"date unavailable")))</f>
        <v/>
      </c>
      <c r="H227" s="9">
        <f>IF($T227=0,"",IF($I227="Bloomberg",IF(INDEX('Market Data'!$N$5:$N$528,$T227)="","time unavailable",INDEX('Market Data'!$N$5:$N$528,$T227)),""))</f>
        <v/>
      </c>
      <c r="I227" s="9">
        <f>IF($T227=0,"",INDEX('Market Data'!$P$5:$P$528,$T227))</f>
        <v/>
      </c>
      <c r="J227" s="13">
        <f>IF($T227=0,"",IF(INDEX('Market Data'!$E$5:$E$528,$T227)="","",INDEX('Market Data'!$E$5:$E$528,$T227)))</f>
        <v/>
      </c>
      <c r="K227" s="8">
        <f>IF($T227=0,"",IF(INDEX('Market Data'!$I$5:$I$528,$T227)="","",INDEX('Market Data'!$I$5:$I$528,$T227)))</f>
        <v/>
      </c>
      <c r="L227" s="10">
        <f>IF($T227=0,"",IF(INDEX('Market Data'!$J$5:$J$528,$T227)=0,"n/a",IF(AND($M$5&lt;&gt;"Snapshot",ISNUMBER(INDEX('Market Data'!$AH$5:$AH$66,INDEX('Market Data'!$J$5:$J$528,$T227)-4)),N(INDEX('Market Data'!$AH$5:$AH$66,INDEX('Market Data'!$J$5:$J$528,$T227)-4))&gt;0),INDEX('Market Data'!$AH$5:$AH$66,INDEX('Market Data'!$J$5:$J$528,$T227)-4),IF(AND($M$5&lt;&gt;"Bloomberg",ISNUMBER(INDEX('Market Data'!$AC$5:$AC$66,INDEX('Market Data'!$J$5:$J$528,$T227)-4)),N(INDEX('Market Data'!$AC$5:$AC$66,INDEX('Market Data'!$J$5:$J$528,$T227)-4))&gt;0),INDEX('Market Data'!$AC$5:$AC$66,INDEX('Market Data'!$J$5:$J$528,$T227)-4),"unavailable"))))</f>
        <v/>
      </c>
      <c r="M227" s="11">
        <f>IF($T227=0,"",IF(INDEX('Market Data'!$J$5:$J$528,$T227)=0,"n/a",IF(IF(INDEX('Market Data'!$J$5:$J$528,$T227)=0,0,IF(LEFT(INDEX('Market Data'!$AS$5:$AS$66,INDEX('Market Data'!$J$5:$J$528,$T227)-4),11)="First-month",1,0))=1,"class review",IF($I227="Bloomberg",IF(AND(ISNUMBER(INDEX('Market Data'!$AH$5:$AH$66,INDEX('Market Data'!$J$5:$J$528,$T227)-4)),N(INDEX('Market Data'!$AH$5:$AH$66,INDEX('Market Data'!$J$5:$J$528,$T227)-4))&gt;0,ISNUMBER('Market Data'!$B$1),N('Market Data'!$B$1)&gt;0),INDEX('Market Data'!$AH$5:$AH$66,INDEX('Market Data'!$J$5:$J$528,$T227)-4)*'Market Data'!$B$1/$E227-1,"pending A/FX"),IF(AND($I227="Snapshot",$Q227="Snapshot",ISNUMBER($E227),$G227=INDEX('Market Data'!$AE$5:$AE$66,INDEX('Market Data'!$J$5:$J$528,$T227)-4)),IFERROR(INDEX('Market Data'!$AC$5:$AC$66,INDEX('Market Data'!$J$5:$J$528,$T227)-4)*INDEX('Market Data'!$AD$5:$AD$66,INDEX('Market Data'!$J$5:$J$528,$T227)-4)/$E227-1,"unavailable"),IF($I227="Unavailable","unavailable","date mismatch"))))))</f>
        <v/>
      </c>
      <c r="N227" s="11">
        <f>IF($T227=0,"",IFERROR(IF(AND(N(INDEX('Market Data'!$F$5:$F$528,$T227))&gt;0,ISNUMBER(INDEX('Market Data'!$T$5:$T$528,$T227))),$E227*INDEX('Market Data'!$T$5:$T$528,$T227)/INDEX('Market Data'!$F$5:$F$528,$T227)-1,"unavailable"),"unavailable"))</f>
        <v/>
      </c>
      <c r="O227" s="9">
        <f>IF($T227=0,"",IF(IF(INDEX('Market Data'!$J$5:$J$528,$T227)=0,0,IF(LEFT(INDEX('Market Data'!$AS$5:$AS$66,INDEX('Market Data'!$J$5:$J$528,$T227)-4),11)="First-month",1,0))=1,"Class ratio review",IF($I227="Bloomberg",IF(ISNUMBER($G227),IF($G227&lt;TODAY(),"Older quote","See quote time"),"Date unavailable"),IF($I227="Snapshot",IF($G227&lt;DATEVALUE("2026-10-02"),"Older snapshot","Dated close"),"No valid quote"))))</f>
        <v/>
      </c>
      <c r="P227" s="14">
        <f>IF($T227=0,"",IF(INDEX('Market Data'!$J$5:$J$528,$T227)=0,"n/a",IF($Q227="Bloomberg",IF(AND(ISNUMBER(INDEX('Market Data'!$AK$5:$AK$66,INDEX('Market Data'!$J$5:$J$528,$T227)-4)),N(INDEX('Market Data'!$AK$5:$AK$66,INDEX('Market Data'!$J$5:$J$528,$T227)-4))&gt;0),INDEX('Market Data'!$AK$5:$AK$66,INDEX('Market Data'!$J$5:$J$528,$T227)-4),"date unavailable"),IF($Q227="Snapshot",IF(AND(ISNUMBER(INDEX('Market Data'!$AF$5:$AF$66,INDEX('Market Data'!$J$5:$J$528,$T227)-4)),N(INDEX('Market Data'!$AF$5:$AF$66,INDEX('Market Data'!$J$5:$J$528,$T227)-4))&gt;0),INDEX('Market Data'!$AF$5:$AF$66,INDEX('Market Data'!$J$5:$J$528,$T227)-4),"date unavailable"),"date unavailable"))))</f>
        <v/>
      </c>
      <c r="Q227" s="15">
        <f>IF($T227=0,"",IF(INDEX('Market Data'!$J$5:$J$528,$T227)=0,"n/a",IF(AND($M$5&lt;&gt;"Snapshot",ISNUMBER(INDEX('Market Data'!$AH$5:$AH$66,INDEX('Market Data'!$J$5:$J$528,$T227)-4)),N(INDEX('Market Data'!$AH$5:$AH$66,INDEX('Market Data'!$J$5:$J$528,$T227)-4))&gt;0),"Bloomberg",IF(AND($M$5&lt;&gt;"Bloomberg",ISNUMBER(INDEX('Market Data'!$AC$5:$AC$66,INDEX('Market Data'!$J$5:$J$528,$T227)-4)),N(INDEX('Market Data'!$AC$5:$AC$66,INDEX('Market Data'!$J$5:$J$528,$T227)-4))&gt;0),"Snapshot","Unavailable"))))</f>
        <v/>
      </c>
      <c r="T227">
        <f>IFERROR(MATCH(219,'Market Data'!$S$5:$S$528,0),0)</f>
        <v/>
      </c>
    </row>
    <row r="228" ht="34" customHeight="1">
      <c r="A228" s="8">
        <f>IF($T228=0,"",IF(INDEX('Market Data'!$A$5:$A$528,$T228)="","",INDEX('Market Data'!$A$5:$A$528,$T228)))</f>
        <v/>
      </c>
      <c r="B228" s="9">
        <f>IF($T228=0,"",IF(INDEX('Market Data'!$B$5:$B$528,$T228)="","",INDEX('Market Data'!$B$5:$B$528,$T228)))</f>
        <v/>
      </c>
      <c r="C228" s="9">
        <f>IF($T228=0,"",IF(INDEX('Market Data'!$C$5:$C$528,$T228)="","",INDEX('Market Data'!$C$5:$C$528,$T228)))</f>
        <v/>
      </c>
      <c r="D228" s="9">
        <f>IF($T228=0,"",IF(INDEX('Market Data'!$D$5:$D$528,$T228)="","",INDEX('Market Data'!$D$5:$D$528,$T228)))</f>
        <v/>
      </c>
      <c r="E228" s="10">
        <f>IF($T228=0,"",INDEX('Market Data'!$O$5:$O$528,$T228))</f>
        <v/>
      </c>
      <c r="F228" s="11">
        <f>IF($T228=0,"",IF(AND($I228="Bloomberg",ISNUMBER(INDEX('Market Data'!$L$5:$L$528,$T228))),INDEX('Market Data'!$L$5:$L$528,$T228),"unavailable"))</f>
        <v/>
      </c>
      <c r="G228" s="12">
        <f>IF($T228=0,"",IF($I228="Bloomberg",IF(AND(ISNUMBER(INDEX('Market Data'!$M$5:$M$528,$T228)),N(INDEX('Market Data'!$M$5:$M$528,$T228))&gt;0),INDEX('Market Data'!$M$5:$M$528,$T228),"date unavailable"),IF($I228="Snapshot",IF(AND(ISNUMBER(INDEX('Market Data'!$H$5:$H$528,$T228)),N(INDEX('Market Data'!$H$5:$H$528,$T228))&gt;0),INDEX('Market Data'!$H$5:$H$528,$T228),"date unavailable"),"date unavailable")))</f>
        <v/>
      </c>
      <c r="H228" s="9">
        <f>IF($T228=0,"",IF($I228="Bloomberg",IF(INDEX('Market Data'!$N$5:$N$528,$T228)="","time unavailable",INDEX('Market Data'!$N$5:$N$528,$T228)),""))</f>
        <v/>
      </c>
      <c r="I228" s="9">
        <f>IF($T228=0,"",INDEX('Market Data'!$P$5:$P$528,$T228))</f>
        <v/>
      </c>
      <c r="J228" s="13">
        <f>IF($T228=0,"",IF(INDEX('Market Data'!$E$5:$E$528,$T228)="","",INDEX('Market Data'!$E$5:$E$528,$T228)))</f>
        <v/>
      </c>
      <c r="K228" s="8">
        <f>IF($T228=0,"",IF(INDEX('Market Data'!$I$5:$I$528,$T228)="","",INDEX('Market Data'!$I$5:$I$528,$T228)))</f>
        <v/>
      </c>
      <c r="L228" s="10">
        <f>IF($T228=0,"",IF(INDEX('Market Data'!$J$5:$J$528,$T228)=0,"n/a",IF(AND($M$5&lt;&gt;"Snapshot",ISNUMBER(INDEX('Market Data'!$AH$5:$AH$66,INDEX('Market Data'!$J$5:$J$528,$T228)-4)),N(INDEX('Market Data'!$AH$5:$AH$66,INDEX('Market Data'!$J$5:$J$528,$T228)-4))&gt;0),INDEX('Market Data'!$AH$5:$AH$66,INDEX('Market Data'!$J$5:$J$528,$T228)-4),IF(AND($M$5&lt;&gt;"Bloomberg",ISNUMBER(INDEX('Market Data'!$AC$5:$AC$66,INDEX('Market Data'!$J$5:$J$528,$T228)-4)),N(INDEX('Market Data'!$AC$5:$AC$66,INDEX('Market Data'!$J$5:$J$528,$T228)-4))&gt;0),INDEX('Market Data'!$AC$5:$AC$66,INDEX('Market Data'!$J$5:$J$528,$T228)-4),"unavailable"))))</f>
        <v/>
      </c>
      <c r="M228" s="11">
        <f>IF($T228=0,"",IF(INDEX('Market Data'!$J$5:$J$528,$T228)=0,"n/a",IF(IF(INDEX('Market Data'!$J$5:$J$528,$T228)=0,0,IF(LEFT(INDEX('Market Data'!$AS$5:$AS$66,INDEX('Market Data'!$J$5:$J$528,$T228)-4),11)="First-month",1,0))=1,"class review",IF($I228="Bloomberg",IF(AND(ISNUMBER(INDEX('Market Data'!$AH$5:$AH$66,INDEX('Market Data'!$J$5:$J$528,$T228)-4)),N(INDEX('Market Data'!$AH$5:$AH$66,INDEX('Market Data'!$J$5:$J$528,$T228)-4))&gt;0,ISNUMBER('Market Data'!$B$1),N('Market Data'!$B$1)&gt;0),INDEX('Market Data'!$AH$5:$AH$66,INDEX('Market Data'!$J$5:$J$528,$T228)-4)*'Market Data'!$B$1/$E228-1,"pending A/FX"),IF(AND($I228="Snapshot",$Q228="Snapshot",ISNUMBER($E228),$G228=INDEX('Market Data'!$AE$5:$AE$66,INDEX('Market Data'!$J$5:$J$528,$T228)-4)),IFERROR(INDEX('Market Data'!$AC$5:$AC$66,INDEX('Market Data'!$J$5:$J$528,$T228)-4)*INDEX('Market Data'!$AD$5:$AD$66,INDEX('Market Data'!$J$5:$J$528,$T228)-4)/$E228-1,"unavailable"),IF($I228="Unavailable","unavailable","date mismatch"))))))</f>
        <v/>
      </c>
      <c r="N228" s="11">
        <f>IF($T228=0,"",IFERROR(IF(AND(N(INDEX('Market Data'!$F$5:$F$528,$T228))&gt;0,ISNUMBER(INDEX('Market Data'!$T$5:$T$528,$T228))),$E228*INDEX('Market Data'!$T$5:$T$528,$T228)/INDEX('Market Data'!$F$5:$F$528,$T228)-1,"unavailable"),"unavailable"))</f>
        <v/>
      </c>
      <c r="O228" s="9">
        <f>IF($T228=0,"",IF(IF(INDEX('Market Data'!$J$5:$J$528,$T228)=0,0,IF(LEFT(INDEX('Market Data'!$AS$5:$AS$66,INDEX('Market Data'!$J$5:$J$528,$T228)-4),11)="First-month",1,0))=1,"Class ratio review",IF($I228="Bloomberg",IF(ISNUMBER($G228),IF($G228&lt;TODAY(),"Older quote","See quote time"),"Date unavailable"),IF($I228="Snapshot",IF($G228&lt;DATEVALUE("2026-10-02"),"Older snapshot","Dated close"),"No valid quote"))))</f>
        <v/>
      </c>
      <c r="P228" s="14">
        <f>IF($T228=0,"",IF(INDEX('Market Data'!$J$5:$J$528,$T228)=0,"n/a",IF($Q228="Bloomberg",IF(AND(ISNUMBER(INDEX('Market Data'!$AK$5:$AK$66,INDEX('Market Data'!$J$5:$J$528,$T228)-4)),N(INDEX('Market Data'!$AK$5:$AK$66,INDEX('Market Data'!$J$5:$J$528,$T228)-4))&gt;0),INDEX('Market Data'!$AK$5:$AK$66,INDEX('Market Data'!$J$5:$J$528,$T228)-4),"date unavailable"),IF($Q228="Snapshot",IF(AND(ISNUMBER(INDEX('Market Data'!$AF$5:$AF$66,INDEX('Market Data'!$J$5:$J$528,$T228)-4)),N(INDEX('Market Data'!$AF$5:$AF$66,INDEX('Market Data'!$J$5:$J$528,$T228)-4))&gt;0),INDEX('Market Data'!$AF$5:$AF$66,INDEX('Market Data'!$J$5:$J$528,$T228)-4),"date unavailable"),"date unavailable"))))</f>
        <v/>
      </c>
      <c r="Q228" s="15">
        <f>IF($T228=0,"",IF(INDEX('Market Data'!$J$5:$J$528,$T228)=0,"n/a",IF(AND($M$5&lt;&gt;"Snapshot",ISNUMBER(INDEX('Market Data'!$AH$5:$AH$66,INDEX('Market Data'!$J$5:$J$528,$T228)-4)),N(INDEX('Market Data'!$AH$5:$AH$66,INDEX('Market Data'!$J$5:$J$528,$T228)-4))&gt;0),"Bloomberg",IF(AND($M$5&lt;&gt;"Bloomberg",ISNUMBER(INDEX('Market Data'!$AC$5:$AC$66,INDEX('Market Data'!$J$5:$J$528,$T228)-4)),N(INDEX('Market Data'!$AC$5:$AC$66,INDEX('Market Data'!$J$5:$J$528,$T228)-4))&gt;0),"Snapshot","Unavailable"))))</f>
        <v/>
      </c>
      <c r="T228">
        <f>IFERROR(MATCH(220,'Market Data'!$S$5:$S$528,0),0)</f>
        <v/>
      </c>
    </row>
    <row r="229" ht="34" customHeight="1">
      <c r="A229" s="8">
        <f>IF($T229=0,"",IF(INDEX('Market Data'!$A$5:$A$528,$T229)="","",INDEX('Market Data'!$A$5:$A$528,$T229)))</f>
        <v/>
      </c>
      <c r="B229" s="9">
        <f>IF($T229=0,"",IF(INDEX('Market Data'!$B$5:$B$528,$T229)="","",INDEX('Market Data'!$B$5:$B$528,$T229)))</f>
        <v/>
      </c>
      <c r="C229" s="9">
        <f>IF($T229=0,"",IF(INDEX('Market Data'!$C$5:$C$528,$T229)="","",INDEX('Market Data'!$C$5:$C$528,$T229)))</f>
        <v/>
      </c>
      <c r="D229" s="9">
        <f>IF($T229=0,"",IF(INDEX('Market Data'!$D$5:$D$528,$T229)="","",INDEX('Market Data'!$D$5:$D$528,$T229)))</f>
        <v/>
      </c>
      <c r="E229" s="10">
        <f>IF($T229=0,"",INDEX('Market Data'!$O$5:$O$528,$T229))</f>
        <v/>
      </c>
      <c r="F229" s="11">
        <f>IF($T229=0,"",IF(AND($I229="Bloomberg",ISNUMBER(INDEX('Market Data'!$L$5:$L$528,$T229))),INDEX('Market Data'!$L$5:$L$528,$T229),"unavailable"))</f>
        <v/>
      </c>
      <c r="G229" s="12">
        <f>IF($T229=0,"",IF($I229="Bloomberg",IF(AND(ISNUMBER(INDEX('Market Data'!$M$5:$M$528,$T229)),N(INDEX('Market Data'!$M$5:$M$528,$T229))&gt;0),INDEX('Market Data'!$M$5:$M$528,$T229),"date unavailable"),IF($I229="Snapshot",IF(AND(ISNUMBER(INDEX('Market Data'!$H$5:$H$528,$T229)),N(INDEX('Market Data'!$H$5:$H$528,$T229))&gt;0),INDEX('Market Data'!$H$5:$H$528,$T229),"date unavailable"),"date unavailable")))</f>
        <v/>
      </c>
      <c r="H229" s="9">
        <f>IF($T229=0,"",IF($I229="Bloomberg",IF(INDEX('Market Data'!$N$5:$N$528,$T229)="","time unavailable",INDEX('Market Data'!$N$5:$N$528,$T229)),""))</f>
        <v/>
      </c>
      <c r="I229" s="9">
        <f>IF($T229=0,"",INDEX('Market Data'!$P$5:$P$528,$T229))</f>
        <v/>
      </c>
      <c r="J229" s="13">
        <f>IF($T229=0,"",IF(INDEX('Market Data'!$E$5:$E$528,$T229)="","",INDEX('Market Data'!$E$5:$E$528,$T229)))</f>
        <v/>
      </c>
      <c r="K229" s="8">
        <f>IF($T229=0,"",IF(INDEX('Market Data'!$I$5:$I$528,$T229)="","",INDEX('Market Data'!$I$5:$I$528,$T229)))</f>
        <v/>
      </c>
      <c r="L229" s="10">
        <f>IF($T229=0,"",IF(INDEX('Market Data'!$J$5:$J$528,$T229)=0,"n/a",IF(AND($M$5&lt;&gt;"Snapshot",ISNUMBER(INDEX('Market Data'!$AH$5:$AH$66,INDEX('Market Data'!$J$5:$J$528,$T229)-4)),N(INDEX('Market Data'!$AH$5:$AH$66,INDEX('Market Data'!$J$5:$J$528,$T229)-4))&gt;0),INDEX('Market Data'!$AH$5:$AH$66,INDEX('Market Data'!$J$5:$J$528,$T229)-4),IF(AND($M$5&lt;&gt;"Bloomberg",ISNUMBER(INDEX('Market Data'!$AC$5:$AC$66,INDEX('Market Data'!$J$5:$J$528,$T229)-4)),N(INDEX('Market Data'!$AC$5:$AC$66,INDEX('Market Data'!$J$5:$J$528,$T229)-4))&gt;0),INDEX('Market Data'!$AC$5:$AC$66,INDEX('Market Data'!$J$5:$J$528,$T229)-4),"unavailable"))))</f>
        <v/>
      </c>
      <c r="M229" s="11">
        <f>IF($T229=0,"",IF(INDEX('Market Data'!$J$5:$J$528,$T229)=0,"n/a",IF(IF(INDEX('Market Data'!$J$5:$J$528,$T229)=0,0,IF(LEFT(INDEX('Market Data'!$AS$5:$AS$66,INDEX('Market Data'!$J$5:$J$528,$T229)-4),11)="First-month",1,0))=1,"class review",IF($I229="Bloomberg",IF(AND(ISNUMBER(INDEX('Market Data'!$AH$5:$AH$66,INDEX('Market Data'!$J$5:$J$528,$T229)-4)),N(INDEX('Market Data'!$AH$5:$AH$66,INDEX('Market Data'!$J$5:$J$528,$T229)-4))&gt;0,ISNUMBER('Market Data'!$B$1),N('Market Data'!$B$1)&gt;0),INDEX('Market Data'!$AH$5:$AH$66,INDEX('Market Data'!$J$5:$J$528,$T229)-4)*'Market Data'!$B$1/$E229-1,"pending A/FX"),IF(AND($I229="Snapshot",$Q229="Snapshot",ISNUMBER($E229),$G229=INDEX('Market Data'!$AE$5:$AE$66,INDEX('Market Data'!$J$5:$J$528,$T229)-4)),IFERROR(INDEX('Market Data'!$AC$5:$AC$66,INDEX('Market Data'!$J$5:$J$528,$T229)-4)*INDEX('Market Data'!$AD$5:$AD$66,INDEX('Market Data'!$J$5:$J$528,$T229)-4)/$E229-1,"unavailable"),IF($I229="Unavailable","unavailable","date mismatch"))))))</f>
        <v/>
      </c>
      <c r="N229" s="11">
        <f>IF($T229=0,"",IFERROR(IF(AND(N(INDEX('Market Data'!$F$5:$F$528,$T229))&gt;0,ISNUMBER(INDEX('Market Data'!$T$5:$T$528,$T229))),$E229*INDEX('Market Data'!$T$5:$T$528,$T229)/INDEX('Market Data'!$F$5:$F$528,$T229)-1,"unavailable"),"unavailable"))</f>
        <v/>
      </c>
      <c r="O229" s="9">
        <f>IF($T229=0,"",IF(IF(INDEX('Market Data'!$J$5:$J$528,$T229)=0,0,IF(LEFT(INDEX('Market Data'!$AS$5:$AS$66,INDEX('Market Data'!$J$5:$J$528,$T229)-4),11)="First-month",1,0))=1,"Class ratio review",IF($I229="Bloomberg",IF(ISNUMBER($G229),IF($G229&lt;TODAY(),"Older quote","See quote time"),"Date unavailable"),IF($I229="Snapshot",IF($G229&lt;DATEVALUE("2026-10-02"),"Older snapshot","Dated close"),"No valid quote"))))</f>
        <v/>
      </c>
      <c r="P229" s="14">
        <f>IF($T229=0,"",IF(INDEX('Market Data'!$J$5:$J$528,$T229)=0,"n/a",IF($Q229="Bloomberg",IF(AND(ISNUMBER(INDEX('Market Data'!$AK$5:$AK$66,INDEX('Market Data'!$J$5:$J$528,$T229)-4)),N(INDEX('Market Data'!$AK$5:$AK$66,INDEX('Market Data'!$J$5:$J$528,$T229)-4))&gt;0),INDEX('Market Data'!$AK$5:$AK$66,INDEX('Market Data'!$J$5:$J$528,$T229)-4),"date unavailable"),IF($Q229="Snapshot",IF(AND(ISNUMBER(INDEX('Market Data'!$AF$5:$AF$66,INDEX('Market Data'!$J$5:$J$528,$T229)-4)),N(INDEX('Market Data'!$AF$5:$AF$66,INDEX('Market Data'!$J$5:$J$528,$T229)-4))&gt;0),INDEX('Market Data'!$AF$5:$AF$66,INDEX('Market Data'!$J$5:$J$528,$T229)-4),"date unavailable"),"date unavailable"))))</f>
        <v/>
      </c>
      <c r="Q229" s="15">
        <f>IF($T229=0,"",IF(INDEX('Market Data'!$J$5:$J$528,$T229)=0,"n/a",IF(AND($M$5&lt;&gt;"Snapshot",ISNUMBER(INDEX('Market Data'!$AH$5:$AH$66,INDEX('Market Data'!$J$5:$J$528,$T229)-4)),N(INDEX('Market Data'!$AH$5:$AH$66,INDEX('Market Data'!$J$5:$J$528,$T229)-4))&gt;0),"Bloomberg",IF(AND($M$5&lt;&gt;"Bloomberg",ISNUMBER(INDEX('Market Data'!$AC$5:$AC$66,INDEX('Market Data'!$J$5:$J$528,$T229)-4)),N(INDEX('Market Data'!$AC$5:$AC$66,INDEX('Market Data'!$J$5:$J$528,$T229)-4))&gt;0),"Snapshot","Unavailable"))))</f>
        <v/>
      </c>
      <c r="T229">
        <f>IFERROR(MATCH(221,'Market Data'!$S$5:$S$528,0),0)</f>
        <v/>
      </c>
    </row>
    <row r="230" ht="34" customHeight="1">
      <c r="A230" s="8">
        <f>IF($T230=0,"",IF(INDEX('Market Data'!$A$5:$A$528,$T230)="","",INDEX('Market Data'!$A$5:$A$528,$T230)))</f>
        <v/>
      </c>
      <c r="B230" s="9">
        <f>IF($T230=0,"",IF(INDEX('Market Data'!$B$5:$B$528,$T230)="","",INDEX('Market Data'!$B$5:$B$528,$T230)))</f>
        <v/>
      </c>
      <c r="C230" s="9">
        <f>IF($T230=0,"",IF(INDEX('Market Data'!$C$5:$C$528,$T230)="","",INDEX('Market Data'!$C$5:$C$528,$T230)))</f>
        <v/>
      </c>
      <c r="D230" s="9">
        <f>IF($T230=0,"",IF(INDEX('Market Data'!$D$5:$D$528,$T230)="","",INDEX('Market Data'!$D$5:$D$528,$T230)))</f>
        <v/>
      </c>
      <c r="E230" s="10">
        <f>IF($T230=0,"",INDEX('Market Data'!$O$5:$O$528,$T230))</f>
        <v/>
      </c>
      <c r="F230" s="11">
        <f>IF($T230=0,"",IF(AND($I230="Bloomberg",ISNUMBER(INDEX('Market Data'!$L$5:$L$528,$T230))),INDEX('Market Data'!$L$5:$L$528,$T230),"unavailable"))</f>
        <v/>
      </c>
      <c r="G230" s="12">
        <f>IF($T230=0,"",IF($I230="Bloomberg",IF(AND(ISNUMBER(INDEX('Market Data'!$M$5:$M$528,$T230)),N(INDEX('Market Data'!$M$5:$M$528,$T230))&gt;0),INDEX('Market Data'!$M$5:$M$528,$T230),"date unavailable"),IF($I230="Snapshot",IF(AND(ISNUMBER(INDEX('Market Data'!$H$5:$H$528,$T230)),N(INDEX('Market Data'!$H$5:$H$528,$T230))&gt;0),INDEX('Market Data'!$H$5:$H$528,$T230),"date unavailable"),"date unavailable")))</f>
        <v/>
      </c>
      <c r="H230" s="9">
        <f>IF($T230=0,"",IF($I230="Bloomberg",IF(INDEX('Market Data'!$N$5:$N$528,$T230)="","time unavailable",INDEX('Market Data'!$N$5:$N$528,$T230)),""))</f>
        <v/>
      </c>
      <c r="I230" s="9">
        <f>IF($T230=0,"",INDEX('Market Data'!$P$5:$P$528,$T230))</f>
        <v/>
      </c>
      <c r="J230" s="13">
        <f>IF($T230=0,"",IF(INDEX('Market Data'!$E$5:$E$528,$T230)="","",INDEX('Market Data'!$E$5:$E$528,$T230)))</f>
        <v/>
      </c>
      <c r="K230" s="8">
        <f>IF($T230=0,"",IF(INDEX('Market Data'!$I$5:$I$528,$T230)="","",INDEX('Market Data'!$I$5:$I$528,$T230)))</f>
        <v/>
      </c>
      <c r="L230" s="10">
        <f>IF($T230=0,"",IF(INDEX('Market Data'!$J$5:$J$528,$T230)=0,"n/a",IF(AND($M$5&lt;&gt;"Snapshot",ISNUMBER(INDEX('Market Data'!$AH$5:$AH$66,INDEX('Market Data'!$J$5:$J$528,$T230)-4)),N(INDEX('Market Data'!$AH$5:$AH$66,INDEX('Market Data'!$J$5:$J$528,$T230)-4))&gt;0),INDEX('Market Data'!$AH$5:$AH$66,INDEX('Market Data'!$J$5:$J$528,$T230)-4),IF(AND($M$5&lt;&gt;"Bloomberg",ISNUMBER(INDEX('Market Data'!$AC$5:$AC$66,INDEX('Market Data'!$J$5:$J$528,$T230)-4)),N(INDEX('Market Data'!$AC$5:$AC$66,INDEX('Market Data'!$J$5:$J$528,$T230)-4))&gt;0),INDEX('Market Data'!$AC$5:$AC$66,INDEX('Market Data'!$J$5:$J$528,$T230)-4),"unavailable"))))</f>
        <v/>
      </c>
      <c r="M230" s="11">
        <f>IF($T230=0,"",IF(INDEX('Market Data'!$J$5:$J$528,$T230)=0,"n/a",IF(IF(INDEX('Market Data'!$J$5:$J$528,$T230)=0,0,IF(LEFT(INDEX('Market Data'!$AS$5:$AS$66,INDEX('Market Data'!$J$5:$J$528,$T230)-4),11)="First-month",1,0))=1,"class review",IF($I230="Bloomberg",IF(AND(ISNUMBER(INDEX('Market Data'!$AH$5:$AH$66,INDEX('Market Data'!$J$5:$J$528,$T230)-4)),N(INDEX('Market Data'!$AH$5:$AH$66,INDEX('Market Data'!$J$5:$J$528,$T230)-4))&gt;0,ISNUMBER('Market Data'!$B$1),N('Market Data'!$B$1)&gt;0),INDEX('Market Data'!$AH$5:$AH$66,INDEX('Market Data'!$J$5:$J$528,$T230)-4)*'Market Data'!$B$1/$E230-1,"pending A/FX"),IF(AND($I230="Snapshot",$Q230="Snapshot",ISNUMBER($E230),$G230=INDEX('Market Data'!$AE$5:$AE$66,INDEX('Market Data'!$J$5:$J$528,$T230)-4)),IFERROR(INDEX('Market Data'!$AC$5:$AC$66,INDEX('Market Data'!$J$5:$J$528,$T230)-4)*INDEX('Market Data'!$AD$5:$AD$66,INDEX('Market Data'!$J$5:$J$528,$T230)-4)/$E230-1,"unavailable"),IF($I230="Unavailable","unavailable","date mismatch"))))))</f>
        <v/>
      </c>
      <c r="N230" s="11">
        <f>IF($T230=0,"",IFERROR(IF(AND(N(INDEX('Market Data'!$F$5:$F$528,$T230))&gt;0,ISNUMBER(INDEX('Market Data'!$T$5:$T$528,$T230))),$E230*INDEX('Market Data'!$T$5:$T$528,$T230)/INDEX('Market Data'!$F$5:$F$528,$T230)-1,"unavailable"),"unavailable"))</f>
        <v/>
      </c>
      <c r="O230" s="9">
        <f>IF($T230=0,"",IF(IF(INDEX('Market Data'!$J$5:$J$528,$T230)=0,0,IF(LEFT(INDEX('Market Data'!$AS$5:$AS$66,INDEX('Market Data'!$J$5:$J$528,$T230)-4),11)="First-month",1,0))=1,"Class ratio review",IF($I230="Bloomberg",IF(ISNUMBER($G230),IF($G230&lt;TODAY(),"Older quote","See quote time"),"Date unavailable"),IF($I230="Snapshot",IF($G230&lt;DATEVALUE("2026-10-02"),"Older snapshot","Dated close"),"No valid quote"))))</f>
        <v/>
      </c>
      <c r="P230" s="14">
        <f>IF($T230=0,"",IF(INDEX('Market Data'!$J$5:$J$528,$T230)=0,"n/a",IF($Q230="Bloomberg",IF(AND(ISNUMBER(INDEX('Market Data'!$AK$5:$AK$66,INDEX('Market Data'!$J$5:$J$528,$T230)-4)),N(INDEX('Market Data'!$AK$5:$AK$66,INDEX('Market Data'!$J$5:$J$528,$T230)-4))&gt;0),INDEX('Market Data'!$AK$5:$AK$66,INDEX('Market Data'!$J$5:$J$528,$T230)-4),"date unavailable"),IF($Q230="Snapshot",IF(AND(ISNUMBER(INDEX('Market Data'!$AF$5:$AF$66,INDEX('Market Data'!$J$5:$J$528,$T230)-4)),N(INDEX('Market Data'!$AF$5:$AF$66,INDEX('Market Data'!$J$5:$J$528,$T230)-4))&gt;0),INDEX('Market Data'!$AF$5:$AF$66,INDEX('Market Data'!$J$5:$J$528,$T230)-4),"date unavailable"),"date unavailable"))))</f>
        <v/>
      </c>
      <c r="Q230" s="15">
        <f>IF($T230=0,"",IF(INDEX('Market Data'!$J$5:$J$528,$T230)=0,"n/a",IF(AND($M$5&lt;&gt;"Snapshot",ISNUMBER(INDEX('Market Data'!$AH$5:$AH$66,INDEX('Market Data'!$J$5:$J$528,$T230)-4)),N(INDEX('Market Data'!$AH$5:$AH$66,INDEX('Market Data'!$J$5:$J$528,$T230)-4))&gt;0),"Bloomberg",IF(AND($M$5&lt;&gt;"Bloomberg",ISNUMBER(INDEX('Market Data'!$AC$5:$AC$66,INDEX('Market Data'!$J$5:$J$528,$T230)-4)),N(INDEX('Market Data'!$AC$5:$AC$66,INDEX('Market Data'!$J$5:$J$528,$T230)-4))&gt;0),"Snapshot","Unavailable"))))</f>
        <v/>
      </c>
      <c r="T230">
        <f>IFERROR(MATCH(222,'Market Data'!$S$5:$S$528,0),0)</f>
        <v/>
      </c>
    </row>
    <row r="231" ht="34" customHeight="1">
      <c r="A231" s="8">
        <f>IF($T231=0,"",IF(INDEX('Market Data'!$A$5:$A$528,$T231)="","",INDEX('Market Data'!$A$5:$A$528,$T231)))</f>
        <v/>
      </c>
      <c r="B231" s="9">
        <f>IF($T231=0,"",IF(INDEX('Market Data'!$B$5:$B$528,$T231)="","",INDEX('Market Data'!$B$5:$B$528,$T231)))</f>
        <v/>
      </c>
      <c r="C231" s="9">
        <f>IF($T231=0,"",IF(INDEX('Market Data'!$C$5:$C$528,$T231)="","",INDEX('Market Data'!$C$5:$C$528,$T231)))</f>
        <v/>
      </c>
      <c r="D231" s="9">
        <f>IF($T231=0,"",IF(INDEX('Market Data'!$D$5:$D$528,$T231)="","",INDEX('Market Data'!$D$5:$D$528,$T231)))</f>
        <v/>
      </c>
      <c r="E231" s="10">
        <f>IF($T231=0,"",INDEX('Market Data'!$O$5:$O$528,$T231))</f>
        <v/>
      </c>
      <c r="F231" s="11">
        <f>IF($T231=0,"",IF(AND($I231="Bloomberg",ISNUMBER(INDEX('Market Data'!$L$5:$L$528,$T231))),INDEX('Market Data'!$L$5:$L$528,$T231),"unavailable"))</f>
        <v/>
      </c>
      <c r="G231" s="12">
        <f>IF($T231=0,"",IF($I231="Bloomberg",IF(AND(ISNUMBER(INDEX('Market Data'!$M$5:$M$528,$T231)),N(INDEX('Market Data'!$M$5:$M$528,$T231))&gt;0),INDEX('Market Data'!$M$5:$M$528,$T231),"date unavailable"),IF($I231="Snapshot",IF(AND(ISNUMBER(INDEX('Market Data'!$H$5:$H$528,$T231)),N(INDEX('Market Data'!$H$5:$H$528,$T231))&gt;0),INDEX('Market Data'!$H$5:$H$528,$T231),"date unavailable"),"date unavailable")))</f>
        <v/>
      </c>
      <c r="H231" s="9">
        <f>IF($T231=0,"",IF($I231="Bloomberg",IF(INDEX('Market Data'!$N$5:$N$528,$T231)="","time unavailable",INDEX('Market Data'!$N$5:$N$528,$T231)),""))</f>
        <v/>
      </c>
      <c r="I231" s="9">
        <f>IF($T231=0,"",INDEX('Market Data'!$P$5:$P$528,$T231))</f>
        <v/>
      </c>
      <c r="J231" s="13">
        <f>IF($T231=0,"",IF(INDEX('Market Data'!$E$5:$E$528,$T231)="","",INDEX('Market Data'!$E$5:$E$528,$T231)))</f>
        <v/>
      </c>
      <c r="K231" s="8">
        <f>IF($T231=0,"",IF(INDEX('Market Data'!$I$5:$I$528,$T231)="","",INDEX('Market Data'!$I$5:$I$528,$T231)))</f>
        <v/>
      </c>
      <c r="L231" s="10">
        <f>IF($T231=0,"",IF(INDEX('Market Data'!$J$5:$J$528,$T231)=0,"n/a",IF(AND($M$5&lt;&gt;"Snapshot",ISNUMBER(INDEX('Market Data'!$AH$5:$AH$66,INDEX('Market Data'!$J$5:$J$528,$T231)-4)),N(INDEX('Market Data'!$AH$5:$AH$66,INDEX('Market Data'!$J$5:$J$528,$T231)-4))&gt;0),INDEX('Market Data'!$AH$5:$AH$66,INDEX('Market Data'!$J$5:$J$528,$T231)-4),IF(AND($M$5&lt;&gt;"Bloomberg",ISNUMBER(INDEX('Market Data'!$AC$5:$AC$66,INDEX('Market Data'!$J$5:$J$528,$T231)-4)),N(INDEX('Market Data'!$AC$5:$AC$66,INDEX('Market Data'!$J$5:$J$528,$T231)-4))&gt;0),INDEX('Market Data'!$AC$5:$AC$66,INDEX('Market Data'!$J$5:$J$528,$T231)-4),"unavailable"))))</f>
        <v/>
      </c>
      <c r="M231" s="11">
        <f>IF($T231=0,"",IF(INDEX('Market Data'!$J$5:$J$528,$T231)=0,"n/a",IF(IF(INDEX('Market Data'!$J$5:$J$528,$T231)=0,0,IF(LEFT(INDEX('Market Data'!$AS$5:$AS$66,INDEX('Market Data'!$J$5:$J$528,$T231)-4),11)="First-month",1,0))=1,"class review",IF($I231="Bloomberg",IF(AND(ISNUMBER(INDEX('Market Data'!$AH$5:$AH$66,INDEX('Market Data'!$J$5:$J$528,$T231)-4)),N(INDEX('Market Data'!$AH$5:$AH$66,INDEX('Market Data'!$J$5:$J$528,$T231)-4))&gt;0,ISNUMBER('Market Data'!$B$1),N('Market Data'!$B$1)&gt;0),INDEX('Market Data'!$AH$5:$AH$66,INDEX('Market Data'!$J$5:$J$528,$T231)-4)*'Market Data'!$B$1/$E231-1,"pending A/FX"),IF(AND($I231="Snapshot",$Q231="Snapshot",ISNUMBER($E231),$G231=INDEX('Market Data'!$AE$5:$AE$66,INDEX('Market Data'!$J$5:$J$528,$T231)-4)),IFERROR(INDEX('Market Data'!$AC$5:$AC$66,INDEX('Market Data'!$J$5:$J$528,$T231)-4)*INDEX('Market Data'!$AD$5:$AD$66,INDEX('Market Data'!$J$5:$J$528,$T231)-4)/$E231-1,"unavailable"),IF($I231="Unavailable","unavailable","date mismatch"))))))</f>
        <v/>
      </c>
      <c r="N231" s="11">
        <f>IF($T231=0,"",IFERROR(IF(AND(N(INDEX('Market Data'!$F$5:$F$528,$T231))&gt;0,ISNUMBER(INDEX('Market Data'!$T$5:$T$528,$T231))),$E231*INDEX('Market Data'!$T$5:$T$528,$T231)/INDEX('Market Data'!$F$5:$F$528,$T231)-1,"unavailable"),"unavailable"))</f>
        <v/>
      </c>
      <c r="O231" s="9">
        <f>IF($T231=0,"",IF(IF(INDEX('Market Data'!$J$5:$J$528,$T231)=0,0,IF(LEFT(INDEX('Market Data'!$AS$5:$AS$66,INDEX('Market Data'!$J$5:$J$528,$T231)-4),11)="First-month",1,0))=1,"Class ratio review",IF($I231="Bloomberg",IF(ISNUMBER($G231),IF($G231&lt;TODAY(),"Older quote","See quote time"),"Date unavailable"),IF($I231="Snapshot",IF($G231&lt;DATEVALUE("2026-10-02"),"Older snapshot","Dated close"),"No valid quote"))))</f>
        <v/>
      </c>
      <c r="P231" s="14">
        <f>IF($T231=0,"",IF(INDEX('Market Data'!$J$5:$J$528,$T231)=0,"n/a",IF($Q231="Bloomberg",IF(AND(ISNUMBER(INDEX('Market Data'!$AK$5:$AK$66,INDEX('Market Data'!$J$5:$J$528,$T231)-4)),N(INDEX('Market Data'!$AK$5:$AK$66,INDEX('Market Data'!$J$5:$J$528,$T231)-4))&gt;0),INDEX('Market Data'!$AK$5:$AK$66,INDEX('Market Data'!$J$5:$J$528,$T231)-4),"date unavailable"),IF($Q231="Snapshot",IF(AND(ISNUMBER(INDEX('Market Data'!$AF$5:$AF$66,INDEX('Market Data'!$J$5:$J$528,$T231)-4)),N(INDEX('Market Data'!$AF$5:$AF$66,INDEX('Market Data'!$J$5:$J$528,$T231)-4))&gt;0),INDEX('Market Data'!$AF$5:$AF$66,INDEX('Market Data'!$J$5:$J$528,$T231)-4),"date unavailable"),"date unavailable"))))</f>
        <v/>
      </c>
      <c r="Q231" s="15">
        <f>IF($T231=0,"",IF(INDEX('Market Data'!$J$5:$J$528,$T231)=0,"n/a",IF(AND($M$5&lt;&gt;"Snapshot",ISNUMBER(INDEX('Market Data'!$AH$5:$AH$66,INDEX('Market Data'!$J$5:$J$528,$T231)-4)),N(INDEX('Market Data'!$AH$5:$AH$66,INDEX('Market Data'!$J$5:$J$528,$T231)-4))&gt;0),"Bloomberg",IF(AND($M$5&lt;&gt;"Bloomberg",ISNUMBER(INDEX('Market Data'!$AC$5:$AC$66,INDEX('Market Data'!$J$5:$J$528,$T231)-4)),N(INDEX('Market Data'!$AC$5:$AC$66,INDEX('Market Data'!$J$5:$J$528,$T231)-4))&gt;0),"Snapshot","Unavailable"))))</f>
        <v/>
      </c>
      <c r="T231">
        <f>IFERROR(MATCH(223,'Market Data'!$S$5:$S$528,0),0)</f>
        <v/>
      </c>
    </row>
    <row r="232" ht="34" customHeight="1">
      <c r="A232" s="8">
        <f>IF($T232=0,"",IF(INDEX('Market Data'!$A$5:$A$528,$T232)="","",INDEX('Market Data'!$A$5:$A$528,$T232)))</f>
        <v/>
      </c>
      <c r="B232" s="9">
        <f>IF($T232=0,"",IF(INDEX('Market Data'!$B$5:$B$528,$T232)="","",INDEX('Market Data'!$B$5:$B$528,$T232)))</f>
        <v/>
      </c>
      <c r="C232" s="9">
        <f>IF($T232=0,"",IF(INDEX('Market Data'!$C$5:$C$528,$T232)="","",INDEX('Market Data'!$C$5:$C$528,$T232)))</f>
        <v/>
      </c>
      <c r="D232" s="9">
        <f>IF($T232=0,"",IF(INDEX('Market Data'!$D$5:$D$528,$T232)="","",INDEX('Market Data'!$D$5:$D$528,$T232)))</f>
        <v/>
      </c>
      <c r="E232" s="10">
        <f>IF($T232=0,"",INDEX('Market Data'!$O$5:$O$528,$T232))</f>
        <v/>
      </c>
      <c r="F232" s="11">
        <f>IF($T232=0,"",IF(AND($I232="Bloomberg",ISNUMBER(INDEX('Market Data'!$L$5:$L$528,$T232))),INDEX('Market Data'!$L$5:$L$528,$T232),"unavailable"))</f>
        <v/>
      </c>
      <c r="G232" s="12">
        <f>IF($T232=0,"",IF($I232="Bloomberg",IF(AND(ISNUMBER(INDEX('Market Data'!$M$5:$M$528,$T232)),N(INDEX('Market Data'!$M$5:$M$528,$T232))&gt;0),INDEX('Market Data'!$M$5:$M$528,$T232),"date unavailable"),IF($I232="Snapshot",IF(AND(ISNUMBER(INDEX('Market Data'!$H$5:$H$528,$T232)),N(INDEX('Market Data'!$H$5:$H$528,$T232))&gt;0),INDEX('Market Data'!$H$5:$H$528,$T232),"date unavailable"),"date unavailable")))</f>
        <v/>
      </c>
      <c r="H232" s="9">
        <f>IF($T232=0,"",IF($I232="Bloomberg",IF(INDEX('Market Data'!$N$5:$N$528,$T232)="","time unavailable",INDEX('Market Data'!$N$5:$N$528,$T232)),""))</f>
        <v/>
      </c>
      <c r="I232" s="9">
        <f>IF($T232=0,"",INDEX('Market Data'!$P$5:$P$528,$T232))</f>
        <v/>
      </c>
      <c r="J232" s="13">
        <f>IF($T232=0,"",IF(INDEX('Market Data'!$E$5:$E$528,$T232)="","",INDEX('Market Data'!$E$5:$E$528,$T232)))</f>
        <v/>
      </c>
      <c r="K232" s="8">
        <f>IF($T232=0,"",IF(INDEX('Market Data'!$I$5:$I$528,$T232)="","",INDEX('Market Data'!$I$5:$I$528,$T232)))</f>
        <v/>
      </c>
      <c r="L232" s="10">
        <f>IF($T232=0,"",IF(INDEX('Market Data'!$J$5:$J$528,$T232)=0,"n/a",IF(AND($M$5&lt;&gt;"Snapshot",ISNUMBER(INDEX('Market Data'!$AH$5:$AH$66,INDEX('Market Data'!$J$5:$J$528,$T232)-4)),N(INDEX('Market Data'!$AH$5:$AH$66,INDEX('Market Data'!$J$5:$J$528,$T232)-4))&gt;0),INDEX('Market Data'!$AH$5:$AH$66,INDEX('Market Data'!$J$5:$J$528,$T232)-4),IF(AND($M$5&lt;&gt;"Bloomberg",ISNUMBER(INDEX('Market Data'!$AC$5:$AC$66,INDEX('Market Data'!$J$5:$J$528,$T232)-4)),N(INDEX('Market Data'!$AC$5:$AC$66,INDEX('Market Data'!$J$5:$J$528,$T232)-4))&gt;0),INDEX('Market Data'!$AC$5:$AC$66,INDEX('Market Data'!$J$5:$J$528,$T232)-4),"unavailable"))))</f>
        <v/>
      </c>
      <c r="M232" s="11">
        <f>IF($T232=0,"",IF(INDEX('Market Data'!$J$5:$J$528,$T232)=0,"n/a",IF(IF(INDEX('Market Data'!$J$5:$J$528,$T232)=0,0,IF(LEFT(INDEX('Market Data'!$AS$5:$AS$66,INDEX('Market Data'!$J$5:$J$528,$T232)-4),11)="First-month",1,0))=1,"class review",IF($I232="Bloomberg",IF(AND(ISNUMBER(INDEX('Market Data'!$AH$5:$AH$66,INDEX('Market Data'!$J$5:$J$528,$T232)-4)),N(INDEX('Market Data'!$AH$5:$AH$66,INDEX('Market Data'!$J$5:$J$528,$T232)-4))&gt;0,ISNUMBER('Market Data'!$B$1),N('Market Data'!$B$1)&gt;0),INDEX('Market Data'!$AH$5:$AH$66,INDEX('Market Data'!$J$5:$J$528,$T232)-4)*'Market Data'!$B$1/$E232-1,"pending A/FX"),IF(AND($I232="Snapshot",$Q232="Snapshot",ISNUMBER($E232),$G232=INDEX('Market Data'!$AE$5:$AE$66,INDEX('Market Data'!$J$5:$J$528,$T232)-4)),IFERROR(INDEX('Market Data'!$AC$5:$AC$66,INDEX('Market Data'!$J$5:$J$528,$T232)-4)*INDEX('Market Data'!$AD$5:$AD$66,INDEX('Market Data'!$J$5:$J$528,$T232)-4)/$E232-1,"unavailable"),IF($I232="Unavailable","unavailable","date mismatch"))))))</f>
        <v/>
      </c>
      <c r="N232" s="11">
        <f>IF($T232=0,"",IFERROR(IF(AND(N(INDEX('Market Data'!$F$5:$F$528,$T232))&gt;0,ISNUMBER(INDEX('Market Data'!$T$5:$T$528,$T232))),$E232*INDEX('Market Data'!$T$5:$T$528,$T232)/INDEX('Market Data'!$F$5:$F$528,$T232)-1,"unavailable"),"unavailable"))</f>
        <v/>
      </c>
      <c r="O232" s="9">
        <f>IF($T232=0,"",IF(IF(INDEX('Market Data'!$J$5:$J$528,$T232)=0,0,IF(LEFT(INDEX('Market Data'!$AS$5:$AS$66,INDEX('Market Data'!$J$5:$J$528,$T232)-4),11)="First-month",1,0))=1,"Class ratio review",IF($I232="Bloomberg",IF(ISNUMBER($G232),IF($G232&lt;TODAY(),"Older quote","See quote time"),"Date unavailable"),IF($I232="Snapshot",IF($G232&lt;DATEVALUE("2026-10-02"),"Older snapshot","Dated close"),"No valid quote"))))</f>
        <v/>
      </c>
      <c r="P232" s="14">
        <f>IF($T232=0,"",IF(INDEX('Market Data'!$J$5:$J$528,$T232)=0,"n/a",IF($Q232="Bloomberg",IF(AND(ISNUMBER(INDEX('Market Data'!$AK$5:$AK$66,INDEX('Market Data'!$J$5:$J$528,$T232)-4)),N(INDEX('Market Data'!$AK$5:$AK$66,INDEX('Market Data'!$J$5:$J$528,$T232)-4))&gt;0),INDEX('Market Data'!$AK$5:$AK$66,INDEX('Market Data'!$J$5:$J$528,$T232)-4),"date unavailable"),IF($Q232="Snapshot",IF(AND(ISNUMBER(INDEX('Market Data'!$AF$5:$AF$66,INDEX('Market Data'!$J$5:$J$528,$T232)-4)),N(INDEX('Market Data'!$AF$5:$AF$66,INDEX('Market Data'!$J$5:$J$528,$T232)-4))&gt;0),INDEX('Market Data'!$AF$5:$AF$66,INDEX('Market Data'!$J$5:$J$528,$T232)-4),"date unavailable"),"date unavailable"))))</f>
        <v/>
      </c>
      <c r="Q232" s="15">
        <f>IF($T232=0,"",IF(INDEX('Market Data'!$J$5:$J$528,$T232)=0,"n/a",IF(AND($M$5&lt;&gt;"Snapshot",ISNUMBER(INDEX('Market Data'!$AH$5:$AH$66,INDEX('Market Data'!$J$5:$J$528,$T232)-4)),N(INDEX('Market Data'!$AH$5:$AH$66,INDEX('Market Data'!$J$5:$J$528,$T232)-4))&gt;0),"Bloomberg",IF(AND($M$5&lt;&gt;"Bloomberg",ISNUMBER(INDEX('Market Data'!$AC$5:$AC$66,INDEX('Market Data'!$J$5:$J$528,$T232)-4)),N(INDEX('Market Data'!$AC$5:$AC$66,INDEX('Market Data'!$J$5:$J$528,$T232)-4))&gt;0),"Snapshot","Unavailable"))))</f>
        <v/>
      </c>
      <c r="T232">
        <f>IFERROR(MATCH(224,'Market Data'!$S$5:$S$528,0),0)</f>
        <v/>
      </c>
    </row>
    <row r="233" ht="34" customHeight="1">
      <c r="A233" s="8">
        <f>IF($T233=0,"",IF(INDEX('Market Data'!$A$5:$A$528,$T233)="","",INDEX('Market Data'!$A$5:$A$528,$T233)))</f>
        <v/>
      </c>
      <c r="B233" s="9">
        <f>IF($T233=0,"",IF(INDEX('Market Data'!$B$5:$B$528,$T233)="","",INDEX('Market Data'!$B$5:$B$528,$T233)))</f>
        <v/>
      </c>
      <c r="C233" s="9">
        <f>IF($T233=0,"",IF(INDEX('Market Data'!$C$5:$C$528,$T233)="","",INDEX('Market Data'!$C$5:$C$528,$T233)))</f>
        <v/>
      </c>
      <c r="D233" s="9">
        <f>IF($T233=0,"",IF(INDEX('Market Data'!$D$5:$D$528,$T233)="","",INDEX('Market Data'!$D$5:$D$528,$T233)))</f>
        <v/>
      </c>
      <c r="E233" s="10">
        <f>IF($T233=0,"",INDEX('Market Data'!$O$5:$O$528,$T233))</f>
        <v/>
      </c>
      <c r="F233" s="11">
        <f>IF($T233=0,"",IF(AND($I233="Bloomberg",ISNUMBER(INDEX('Market Data'!$L$5:$L$528,$T233))),INDEX('Market Data'!$L$5:$L$528,$T233),"unavailable"))</f>
        <v/>
      </c>
      <c r="G233" s="12">
        <f>IF($T233=0,"",IF($I233="Bloomberg",IF(AND(ISNUMBER(INDEX('Market Data'!$M$5:$M$528,$T233)),N(INDEX('Market Data'!$M$5:$M$528,$T233))&gt;0),INDEX('Market Data'!$M$5:$M$528,$T233),"date unavailable"),IF($I233="Snapshot",IF(AND(ISNUMBER(INDEX('Market Data'!$H$5:$H$528,$T233)),N(INDEX('Market Data'!$H$5:$H$528,$T233))&gt;0),INDEX('Market Data'!$H$5:$H$528,$T233),"date unavailable"),"date unavailable")))</f>
        <v/>
      </c>
      <c r="H233" s="9">
        <f>IF($T233=0,"",IF($I233="Bloomberg",IF(INDEX('Market Data'!$N$5:$N$528,$T233)="","time unavailable",INDEX('Market Data'!$N$5:$N$528,$T233)),""))</f>
        <v/>
      </c>
      <c r="I233" s="9">
        <f>IF($T233=0,"",INDEX('Market Data'!$P$5:$P$528,$T233))</f>
        <v/>
      </c>
      <c r="J233" s="13">
        <f>IF($T233=0,"",IF(INDEX('Market Data'!$E$5:$E$528,$T233)="","",INDEX('Market Data'!$E$5:$E$528,$T233)))</f>
        <v/>
      </c>
      <c r="K233" s="8">
        <f>IF($T233=0,"",IF(INDEX('Market Data'!$I$5:$I$528,$T233)="","",INDEX('Market Data'!$I$5:$I$528,$T233)))</f>
        <v/>
      </c>
      <c r="L233" s="10">
        <f>IF($T233=0,"",IF(INDEX('Market Data'!$J$5:$J$528,$T233)=0,"n/a",IF(AND($M$5&lt;&gt;"Snapshot",ISNUMBER(INDEX('Market Data'!$AH$5:$AH$66,INDEX('Market Data'!$J$5:$J$528,$T233)-4)),N(INDEX('Market Data'!$AH$5:$AH$66,INDEX('Market Data'!$J$5:$J$528,$T233)-4))&gt;0),INDEX('Market Data'!$AH$5:$AH$66,INDEX('Market Data'!$J$5:$J$528,$T233)-4),IF(AND($M$5&lt;&gt;"Bloomberg",ISNUMBER(INDEX('Market Data'!$AC$5:$AC$66,INDEX('Market Data'!$J$5:$J$528,$T233)-4)),N(INDEX('Market Data'!$AC$5:$AC$66,INDEX('Market Data'!$J$5:$J$528,$T233)-4))&gt;0),INDEX('Market Data'!$AC$5:$AC$66,INDEX('Market Data'!$J$5:$J$528,$T233)-4),"unavailable"))))</f>
        <v/>
      </c>
      <c r="M233" s="11">
        <f>IF($T233=0,"",IF(INDEX('Market Data'!$J$5:$J$528,$T233)=0,"n/a",IF(IF(INDEX('Market Data'!$J$5:$J$528,$T233)=0,0,IF(LEFT(INDEX('Market Data'!$AS$5:$AS$66,INDEX('Market Data'!$J$5:$J$528,$T233)-4),11)="First-month",1,0))=1,"class review",IF($I233="Bloomberg",IF(AND(ISNUMBER(INDEX('Market Data'!$AH$5:$AH$66,INDEX('Market Data'!$J$5:$J$528,$T233)-4)),N(INDEX('Market Data'!$AH$5:$AH$66,INDEX('Market Data'!$J$5:$J$528,$T233)-4))&gt;0,ISNUMBER('Market Data'!$B$1),N('Market Data'!$B$1)&gt;0),INDEX('Market Data'!$AH$5:$AH$66,INDEX('Market Data'!$J$5:$J$528,$T233)-4)*'Market Data'!$B$1/$E233-1,"pending A/FX"),IF(AND($I233="Snapshot",$Q233="Snapshot",ISNUMBER($E233),$G233=INDEX('Market Data'!$AE$5:$AE$66,INDEX('Market Data'!$J$5:$J$528,$T233)-4)),IFERROR(INDEX('Market Data'!$AC$5:$AC$66,INDEX('Market Data'!$J$5:$J$528,$T233)-4)*INDEX('Market Data'!$AD$5:$AD$66,INDEX('Market Data'!$J$5:$J$528,$T233)-4)/$E233-1,"unavailable"),IF($I233="Unavailable","unavailable","date mismatch"))))))</f>
        <v/>
      </c>
      <c r="N233" s="11">
        <f>IF($T233=0,"",IFERROR(IF(AND(N(INDEX('Market Data'!$F$5:$F$528,$T233))&gt;0,ISNUMBER(INDEX('Market Data'!$T$5:$T$528,$T233))),$E233*INDEX('Market Data'!$T$5:$T$528,$T233)/INDEX('Market Data'!$F$5:$F$528,$T233)-1,"unavailable"),"unavailable"))</f>
        <v/>
      </c>
      <c r="O233" s="9">
        <f>IF($T233=0,"",IF(IF(INDEX('Market Data'!$J$5:$J$528,$T233)=0,0,IF(LEFT(INDEX('Market Data'!$AS$5:$AS$66,INDEX('Market Data'!$J$5:$J$528,$T233)-4),11)="First-month",1,0))=1,"Class ratio review",IF($I233="Bloomberg",IF(ISNUMBER($G233),IF($G233&lt;TODAY(),"Older quote","See quote time"),"Date unavailable"),IF($I233="Snapshot",IF($G233&lt;DATEVALUE("2026-10-02"),"Older snapshot","Dated close"),"No valid quote"))))</f>
        <v/>
      </c>
      <c r="P233" s="14">
        <f>IF($T233=0,"",IF(INDEX('Market Data'!$J$5:$J$528,$T233)=0,"n/a",IF($Q233="Bloomberg",IF(AND(ISNUMBER(INDEX('Market Data'!$AK$5:$AK$66,INDEX('Market Data'!$J$5:$J$528,$T233)-4)),N(INDEX('Market Data'!$AK$5:$AK$66,INDEX('Market Data'!$J$5:$J$528,$T233)-4))&gt;0),INDEX('Market Data'!$AK$5:$AK$66,INDEX('Market Data'!$J$5:$J$528,$T233)-4),"date unavailable"),IF($Q233="Snapshot",IF(AND(ISNUMBER(INDEX('Market Data'!$AF$5:$AF$66,INDEX('Market Data'!$J$5:$J$528,$T233)-4)),N(INDEX('Market Data'!$AF$5:$AF$66,INDEX('Market Data'!$J$5:$J$528,$T233)-4))&gt;0),INDEX('Market Data'!$AF$5:$AF$66,INDEX('Market Data'!$J$5:$J$528,$T233)-4),"date unavailable"),"date unavailable"))))</f>
        <v/>
      </c>
      <c r="Q233" s="15">
        <f>IF($T233=0,"",IF(INDEX('Market Data'!$J$5:$J$528,$T233)=0,"n/a",IF(AND($M$5&lt;&gt;"Snapshot",ISNUMBER(INDEX('Market Data'!$AH$5:$AH$66,INDEX('Market Data'!$J$5:$J$528,$T233)-4)),N(INDEX('Market Data'!$AH$5:$AH$66,INDEX('Market Data'!$J$5:$J$528,$T233)-4))&gt;0),"Bloomberg",IF(AND($M$5&lt;&gt;"Bloomberg",ISNUMBER(INDEX('Market Data'!$AC$5:$AC$66,INDEX('Market Data'!$J$5:$J$528,$T233)-4)),N(INDEX('Market Data'!$AC$5:$AC$66,INDEX('Market Data'!$J$5:$J$528,$T233)-4))&gt;0),"Snapshot","Unavailable"))))</f>
        <v/>
      </c>
      <c r="T233">
        <f>IFERROR(MATCH(225,'Market Data'!$S$5:$S$528,0),0)</f>
        <v/>
      </c>
    </row>
    <row r="234" ht="34" customHeight="1">
      <c r="A234" s="8">
        <f>IF($T234=0,"",IF(INDEX('Market Data'!$A$5:$A$528,$T234)="","",INDEX('Market Data'!$A$5:$A$528,$T234)))</f>
        <v/>
      </c>
      <c r="B234" s="9">
        <f>IF($T234=0,"",IF(INDEX('Market Data'!$B$5:$B$528,$T234)="","",INDEX('Market Data'!$B$5:$B$528,$T234)))</f>
        <v/>
      </c>
      <c r="C234" s="9">
        <f>IF($T234=0,"",IF(INDEX('Market Data'!$C$5:$C$528,$T234)="","",INDEX('Market Data'!$C$5:$C$528,$T234)))</f>
        <v/>
      </c>
      <c r="D234" s="9">
        <f>IF($T234=0,"",IF(INDEX('Market Data'!$D$5:$D$528,$T234)="","",INDEX('Market Data'!$D$5:$D$528,$T234)))</f>
        <v/>
      </c>
      <c r="E234" s="10">
        <f>IF($T234=0,"",INDEX('Market Data'!$O$5:$O$528,$T234))</f>
        <v/>
      </c>
      <c r="F234" s="11">
        <f>IF($T234=0,"",IF(AND($I234="Bloomberg",ISNUMBER(INDEX('Market Data'!$L$5:$L$528,$T234))),INDEX('Market Data'!$L$5:$L$528,$T234),"unavailable"))</f>
        <v/>
      </c>
      <c r="G234" s="12">
        <f>IF($T234=0,"",IF($I234="Bloomberg",IF(AND(ISNUMBER(INDEX('Market Data'!$M$5:$M$528,$T234)),N(INDEX('Market Data'!$M$5:$M$528,$T234))&gt;0),INDEX('Market Data'!$M$5:$M$528,$T234),"date unavailable"),IF($I234="Snapshot",IF(AND(ISNUMBER(INDEX('Market Data'!$H$5:$H$528,$T234)),N(INDEX('Market Data'!$H$5:$H$528,$T234))&gt;0),INDEX('Market Data'!$H$5:$H$528,$T234),"date unavailable"),"date unavailable")))</f>
        <v/>
      </c>
      <c r="H234" s="9">
        <f>IF($T234=0,"",IF($I234="Bloomberg",IF(INDEX('Market Data'!$N$5:$N$528,$T234)="","time unavailable",INDEX('Market Data'!$N$5:$N$528,$T234)),""))</f>
        <v/>
      </c>
      <c r="I234" s="9">
        <f>IF($T234=0,"",INDEX('Market Data'!$P$5:$P$528,$T234))</f>
        <v/>
      </c>
      <c r="J234" s="13">
        <f>IF($T234=0,"",IF(INDEX('Market Data'!$E$5:$E$528,$T234)="","",INDEX('Market Data'!$E$5:$E$528,$T234)))</f>
        <v/>
      </c>
      <c r="K234" s="8">
        <f>IF($T234=0,"",IF(INDEX('Market Data'!$I$5:$I$528,$T234)="","",INDEX('Market Data'!$I$5:$I$528,$T234)))</f>
        <v/>
      </c>
      <c r="L234" s="10">
        <f>IF($T234=0,"",IF(INDEX('Market Data'!$J$5:$J$528,$T234)=0,"n/a",IF(AND($M$5&lt;&gt;"Snapshot",ISNUMBER(INDEX('Market Data'!$AH$5:$AH$66,INDEX('Market Data'!$J$5:$J$528,$T234)-4)),N(INDEX('Market Data'!$AH$5:$AH$66,INDEX('Market Data'!$J$5:$J$528,$T234)-4))&gt;0),INDEX('Market Data'!$AH$5:$AH$66,INDEX('Market Data'!$J$5:$J$528,$T234)-4),IF(AND($M$5&lt;&gt;"Bloomberg",ISNUMBER(INDEX('Market Data'!$AC$5:$AC$66,INDEX('Market Data'!$J$5:$J$528,$T234)-4)),N(INDEX('Market Data'!$AC$5:$AC$66,INDEX('Market Data'!$J$5:$J$528,$T234)-4))&gt;0),INDEX('Market Data'!$AC$5:$AC$66,INDEX('Market Data'!$J$5:$J$528,$T234)-4),"unavailable"))))</f>
        <v/>
      </c>
      <c r="M234" s="11">
        <f>IF($T234=0,"",IF(INDEX('Market Data'!$J$5:$J$528,$T234)=0,"n/a",IF(IF(INDEX('Market Data'!$J$5:$J$528,$T234)=0,0,IF(LEFT(INDEX('Market Data'!$AS$5:$AS$66,INDEX('Market Data'!$J$5:$J$528,$T234)-4),11)="First-month",1,0))=1,"class review",IF($I234="Bloomberg",IF(AND(ISNUMBER(INDEX('Market Data'!$AH$5:$AH$66,INDEX('Market Data'!$J$5:$J$528,$T234)-4)),N(INDEX('Market Data'!$AH$5:$AH$66,INDEX('Market Data'!$J$5:$J$528,$T234)-4))&gt;0,ISNUMBER('Market Data'!$B$1),N('Market Data'!$B$1)&gt;0),INDEX('Market Data'!$AH$5:$AH$66,INDEX('Market Data'!$J$5:$J$528,$T234)-4)*'Market Data'!$B$1/$E234-1,"pending A/FX"),IF(AND($I234="Snapshot",$Q234="Snapshot",ISNUMBER($E234),$G234=INDEX('Market Data'!$AE$5:$AE$66,INDEX('Market Data'!$J$5:$J$528,$T234)-4)),IFERROR(INDEX('Market Data'!$AC$5:$AC$66,INDEX('Market Data'!$J$5:$J$528,$T234)-4)*INDEX('Market Data'!$AD$5:$AD$66,INDEX('Market Data'!$J$5:$J$528,$T234)-4)/$E234-1,"unavailable"),IF($I234="Unavailable","unavailable","date mismatch"))))))</f>
        <v/>
      </c>
      <c r="N234" s="11">
        <f>IF($T234=0,"",IFERROR(IF(AND(N(INDEX('Market Data'!$F$5:$F$528,$T234))&gt;0,ISNUMBER(INDEX('Market Data'!$T$5:$T$528,$T234))),$E234*INDEX('Market Data'!$T$5:$T$528,$T234)/INDEX('Market Data'!$F$5:$F$528,$T234)-1,"unavailable"),"unavailable"))</f>
        <v/>
      </c>
      <c r="O234" s="9">
        <f>IF($T234=0,"",IF(IF(INDEX('Market Data'!$J$5:$J$528,$T234)=0,0,IF(LEFT(INDEX('Market Data'!$AS$5:$AS$66,INDEX('Market Data'!$J$5:$J$528,$T234)-4),11)="First-month",1,0))=1,"Class ratio review",IF($I234="Bloomberg",IF(ISNUMBER($G234),IF($G234&lt;TODAY(),"Older quote","See quote time"),"Date unavailable"),IF($I234="Snapshot",IF($G234&lt;DATEVALUE("2026-10-02"),"Older snapshot","Dated close"),"No valid quote"))))</f>
        <v/>
      </c>
      <c r="P234" s="14">
        <f>IF($T234=0,"",IF(INDEX('Market Data'!$J$5:$J$528,$T234)=0,"n/a",IF($Q234="Bloomberg",IF(AND(ISNUMBER(INDEX('Market Data'!$AK$5:$AK$66,INDEX('Market Data'!$J$5:$J$528,$T234)-4)),N(INDEX('Market Data'!$AK$5:$AK$66,INDEX('Market Data'!$J$5:$J$528,$T234)-4))&gt;0),INDEX('Market Data'!$AK$5:$AK$66,INDEX('Market Data'!$J$5:$J$528,$T234)-4),"date unavailable"),IF($Q234="Snapshot",IF(AND(ISNUMBER(INDEX('Market Data'!$AF$5:$AF$66,INDEX('Market Data'!$J$5:$J$528,$T234)-4)),N(INDEX('Market Data'!$AF$5:$AF$66,INDEX('Market Data'!$J$5:$J$528,$T234)-4))&gt;0),INDEX('Market Data'!$AF$5:$AF$66,INDEX('Market Data'!$J$5:$J$528,$T234)-4),"date unavailable"),"date unavailable"))))</f>
        <v/>
      </c>
      <c r="Q234" s="15">
        <f>IF($T234=0,"",IF(INDEX('Market Data'!$J$5:$J$528,$T234)=0,"n/a",IF(AND($M$5&lt;&gt;"Snapshot",ISNUMBER(INDEX('Market Data'!$AH$5:$AH$66,INDEX('Market Data'!$J$5:$J$528,$T234)-4)),N(INDEX('Market Data'!$AH$5:$AH$66,INDEX('Market Data'!$J$5:$J$528,$T234)-4))&gt;0),"Bloomberg",IF(AND($M$5&lt;&gt;"Bloomberg",ISNUMBER(INDEX('Market Data'!$AC$5:$AC$66,INDEX('Market Data'!$J$5:$J$528,$T234)-4)),N(INDEX('Market Data'!$AC$5:$AC$66,INDEX('Market Data'!$J$5:$J$528,$T234)-4))&gt;0),"Snapshot","Unavailable"))))</f>
        <v/>
      </c>
      <c r="T234">
        <f>IFERROR(MATCH(226,'Market Data'!$S$5:$S$528,0),0)</f>
        <v/>
      </c>
    </row>
    <row r="235" ht="34" customHeight="1">
      <c r="A235" s="8">
        <f>IF($T235=0,"",IF(INDEX('Market Data'!$A$5:$A$528,$T235)="","",INDEX('Market Data'!$A$5:$A$528,$T235)))</f>
        <v/>
      </c>
      <c r="B235" s="9">
        <f>IF($T235=0,"",IF(INDEX('Market Data'!$B$5:$B$528,$T235)="","",INDEX('Market Data'!$B$5:$B$528,$T235)))</f>
        <v/>
      </c>
      <c r="C235" s="9">
        <f>IF($T235=0,"",IF(INDEX('Market Data'!$C$5:$C$528,$T235)="","",INDEX('Market Data'!$C$5:$C$528,$T235)))</f>
        <v/>
      </c>
      <c r="D235" s="9">
        <f>IF($T235=0,"",IF(INDEX('Market Data'!$D$5:$D$528,$T235)="","",INDEX('Market Data'!$D$5:$D$528,$T235)))</f>
        <v/>
      </c>
      <c r="E235" s="10">
        <f>IF($T235=0,"",INDEX('Market Data'!$O$5:$O$528,$T235))</f>
        <v/>
      </c>
      <c r="F235" s="11">
        <f>IF($T235=0,"",IF(AND($I235="Bloomberg",ISNUMBER(INDEX('Market Data'!$L$5:$L$528,$T235))),INDEX('Market Data'!$L$5:$L$528,$T235),"unavailable"))</f>
        <v/>
      </c>
      <c r="G235" s="12">
        <f>IF($T235=0,"",IF($I235="Bloomberg",IF(AND(ISNUMBER(INDEX('Market Data'!$M$5:$M$528,$T235)),N(INDEX('Market Data'!$M$5:$M$528,$T235))&gt;0),INDEX('Market Data'!$M$5:$M$528,$T235),"date unavailable"),IF($I235="Snapshot",IF(AND(ISNUMBER(INDEX('Market Data'!$H$5:$H$528,$T235)),N(INDEX('Market Data'!$H$5:$H$528,$T235))&gt;0),INDEX('Market Data'!$H$5:$H$528,$T235),"date unavailable"),"date unavailable")))</f>
        <v/>
      </c>
      <c r="H235" s="9">
        <f>IF($T235=0,"",IF($I235="Bloomberg",IF(INDEX('Market Data'!$N$5:$N$528,$T235)="","time unavailable",INDEX('Market Data'!$N$5:$N$528,$T235)),""))</f>
        <v/>
      </c>
      <c r="I235" s="9">
        <f>IF($T235=0,"",INDEX('Market Data'!$P$5:$P$528,$T235))</f>
        <v/>
      </c>
      <c r="J235" s="13">
        <f>IF($T235=0,"",IF(INDEX('Market Data'!$E$5:$E$528,$T235)="","",INDEX('Market Data'!$E$5:$E$528,$T235)))</f>
        <v/>
      </c>
      <c r="K235" s="8">
        <f>IF($T235=0,"",IF(INDEX('Market Data'!$I$5:$I$528,$T235)="","",INDEX('Market Data'!$I$5:$I$528,$T235)))</f>
        <v/>
      </c>
      <c r="L235" s="10">
        <f>IF($T235=0,"",IF(INDEX('Market Data'!$J$5:$J$528,$T235)=0,"n/a",IF(AND($M$5&lt;&gt;"Snapshot",ISNUMBER(INDEX('Market Data'!$AH$5:$AH$66,INDEX('Market Data'!$J$5:$J$528,$T235)-4)),N(INDEX('Market Data'!$AH$5:$AH$66,INDEX('Market Data'!$J$5:$J$528,$T235)-4))&gt;0),INDEX('Market Data'!$AH$5:$AH$66,INDEX('Market Data'!$J$5:$J$528,$T235)-4),IF(AND($M$5&lt;&gt;"Bloomberg",ISNUMBER(INDEX('Market Data'!$AC$5:$AC$66,INDEX('Market Data'!$J$5:$J$528,$T235)-4)),N(INDEX('Market Data'!$AC$5:$AC$66,INDEX('Market Data'!$J$5:$J$528,$T235)-4))&gt;0),INDEX('Market Data'!$AC$5:$AC$66,INDEX('Market Data'!$J$5:$J$528,$T235)-4),"unavailable"))))</f>
        <v/>
      </c>
      <c r="M235" s="11">
        <f>IF($T235=0,"",IF(INDEX('Market Data'!$J$5:$J$528,$T235)=0,"n/a",IF(IF(INDEX('Market Data'!$J$5:$J$528,$T235)=0,0,IF(LEFT(INDEX('Market Data'!$AS$5:$AS$66,INDEX('Market Data'!$J$5:$J$528,$T235)-4),11)="First-month",1,0))=1,"class review",IF($I235="Bloomberg",IF(AND(ISNUMBER(INDEX('Market Data'!$AH$5:$AH$66,INDEX('Market Data'!$J$5:$J$528,$T235)-4)),N(INDEX('Market Data'!$AH$5:$AH$66,INDEX('Market Data'!$J$5:$J$528,$T235)-4))&gt;0,ISNUMBER('Market Data'!$B$1),N('Market Data'!$B$1)&gt;0),INDEX('Market Data'!$AH$5:$AH$66,INDEX('Market Data'!$J$5:$J$528,$T235)-4)*'Market Data'!$B$1/$E235-1,"pending A/FX"),IF(AND($I235="Snapshot",$Q235="Snapshot",ISNUMBER($E235),$G235=INDEX('Market Data'!$AE$5:$AE$66,INDEX('Market Data'!$J$5:$J$528,$T235)-4)),IFERROR(INDEX('Market Data'!$AC$5:$AC$66,INDEX('Market Data'!$J$5:$J$528,$T235)-4)*INDEX('Market Data'!$AD$5:$AD$66,INDEX('Market Data'!$J$5:$J$528,$T235)-4)/$E235-1,"unavailable"),IF($I235="Unavailable","unavailable","date mismatch"))))))</f>
        <v/>
      </c>
      <c r="N235" s="11">
        <f>IF($T235=0,"",IFERROR(IF(AND(N(INDEX('Market Data'!$F$5:$F$528,$T235))&gt;0,ISNUMBER(INDEX('Market Data'!$T$5:$T$528,$T235))),$E235*INDEX('Market Data'!$T$5:$T$528,$T235)/INDEX('Market Data'!$F$5:$F$528,$T235)-1,"unavailable"),"unavailable"))</f>
        <v/>
      </c>
      <c r="O235" s="9">
        <f>IF($T235=0,"",IF(IF(INDEX('Market Data'!$J$5:$J$528,$T235)=0,0,IF(LEFT(INDEX('Market Data'!$AS$5:$AS$66,INDEX('Market Data'!$J$5:$J$528,$T235)-4),11)="First-month",1,0))=1,"Class ratio review",IF($I235="Bloomberg",IF(ISNUMBER($G235),IF($G235&lt;TODAY(),"Older quote","See quote time"),"Date unavailable"),IF($I235="Snapshot",IF($G235&lt;DATEVALUE("2026-10-02"),"Older snapshot","Dated close"),"No valid quote"))))</f>
        <v/>
      </c>
      <c r="P235" s="14">
        <f>IF($T235=0,"",IF(INDEX('Market Data'!$J$5:$J$528,$T235)=0,"n/a",IF($Q235="Bloomberg",IF(AND(ISNUMBER(INDEX('Market Data'!$AK$5:$AK$66,INDEX('Market Data'!$J$5:$J$528,$T235)-4)),N(INDEX('Market Data'!$AK$5:$AK$66,INDEX('Market Data'!$J$5:$J$528,$T235)-4))&gt;0),INDEX('Market Data'!$AK$5:$AK$66,INDEX('Market Data'!$J$5:$J$528,$T235)-4),"date unavailable"),IF($Q235="Snapshot",IF(AND(ISNUMBER(INDEX('Market Data'!$AF$5:$AF$66,INDEX('Market Data'!$J$5:$J$528,$T235)-4)),N(INDEX('Market Data'!$AF$5:$AF$66,INDEX('Market Data'!$J$5:$J$528,$T235)-4))&gt;0),INDEX('Market Data'!$AF$5:$AF$66,INDEX('Market Data'!$J$5:$J$528,$T235)-4),"date unavailable"),"date unavailable"))))</f>
        <v/>
      </c>
      <c r="Q235" s="15">
        <f>IF($T235=0,"",IF(INDEX('Market Data'!$J$5:$J$528,$T235)=0,"n/a",IF(AND($M$5&lt;&gt;"Snapshot",ISNUMBER(INDEX('Market Data'!$AH$5:$AH$66,INDEX('Market Data'!$J$5:$J$528,$T235)-4)),N(INDEX('Market Data'!$AH$5:$AH$66,INDEX('Market Data'!$J$5:$J$528,$T235)-4))&gt;0),"Bloomberg",IF(AND($M$5&lt;&gt;"Bloomberg",ISNUMBER(INDEX('Market Data'!$AC$5:$AC$66,INDEX('Market Data'!$J$5:$J$528,$T235)-4)),N(INDEX('Market Data'!$AC$5:$AC$66,INDEX('Market Data'!$J$5:$J$528,$T235)-4))&gt;0),"Snapshot","Unavailable"))))</f>
        <v/>
      </c>
      <c r="T235">
        <f>IFERROR(MATCH(227,'Market Data'!$S$5:$S$528,0),0)</f>
        <v/>
      </c>
    </row>
    <row r="236" ht="34" customHeight="1">
      <c r="A236" s="8">
        <f>IF($T236=0,"",IF(INDEX('Market Data'!$A$5:$A$528,$T236)="","",INDEX('Market Data'!$A$5:$A$528,$T236)))</f>
        <v/>
      </c>
      <c r="B236" s="9">
        <f>IF($T236=0,"",IF(INDEX('Market Data'!$B$5:$B$528,$T236)="","",INDEX('Market Data'!$B$5:$B$528,$T236)))</f>
        <v/>
      </c>
      <c r="C236" s="9">
        <f>IF($T236=0,"",IF(INDEX('Market Data'!$C$5:$C$528,$T236)="","",INDEX('Market Data'!$C$5:$C$528,$T236)))</f>
        <v/>
      </c>
      <c r="D236" s="9">
        <f>IF($T236=0,"",IF(INDEX('Market Data'!$D$5:$D$528,$T236)="","",INDEX('Market Data'!$D$5:$D$528,$T236)))</f>
        <v/>
      </c>
      <c r="E236" s="10">
        <f>IF($T236=0,"",INDEX('Market Data'!$O$5:$O$528,$T236))</f>
        <v/>
      </c>
      <c r="F236" s="11">
        <f>IF($T236=0,"",IF(AND($I236="Bloomberg",ISNUMBER(INDEX('Market Data'!$L$5:$L$528,$T236))),INDEX('Market Data'!$L$5:$L$528,$T236),"unavailable"))</f>
        <v/>
      </c>
      <c r="G236" s="12">
        <f>IF($T236=0,"",IF($I236="Bloomberg",IF(AND(ISNUMBER(INDEX('Market Data'!$M$5:$M$528,$T236)),N(INDEX('Market Data'!$M$5:$M$528,$T236))&gt;0),INDEX('Market Data'!$M$5:$M$528,$T236),"date unavailable"),IF($I236="Snapshot",IF(AND(ISNUMBER(INDEX('Market Data'!$H$5:$H$528,$T236)),N(INDEX('Market Data'!$H$5:$H$528,$T236))&gt;0),INDEX('Market Data'!$H$5:$H$528,$T236),"date unavailable"),"date unavailable")))</f>
        <v/>
      </c>
      <c r="H236" s="9">
        <f>IF($T236=0,"",IF($I236="Bloomberg",IF(INDEX('Market Data'!$N$5:$N$528,$T236)="","time unavailable",INDEX('Market Data'!$N$5:$N$528,$T236)),""))</f>
        <v/>
      </c>
      <c r="I236" s="9">
        <f>IF($T236=0,"",INDEX('Market Data'!$P$5:$P$528,$T236))</f>
        <v/>
      </c>
      <c r="J236" s="13">
        <f>IF($T236=0,"",IF(INDEX('Market Data'!$E$5:$E$528,$T236)="","",INDEX('Market Data'!$E$5:$E$528,$T236)))</f>
        <v/>
      </c>
      <c r="K236" s="8">
        <f>IF($T236=0,"",IF(INDEX('Market Data'!$I$5:$I$528,$T236)="","",INDEX('Market Data'!$I$5:$I$528,$T236)))</f>
        <v/>
      </c>
      <c r="L236" s="10">
        <f>IF($T236=0,"",IF(INDEX('Market Data'!$J$5:$J$528,$T236)=0,"n/a",IF(AND($M$5&lt;&gt;"Snapshot",ISNUMBER(INDEX('Market Data'!$AH$5:$AH$66,INDEX('Market Data'!$J$5:$J$528,$T236)-4)),N(INDEX('Market Data'!$AH$5:$AH$66,INDEX('Market Data'!$J$5:$J$528,$T236)-4))&gt;0),INDEX('Market Data'!$AH$5:$AH$66,INDEX('Market Data'!$J$5:$J$528,$T236)-4),IF(AND($M$5&lt;&gt;"Bloomberg",ISNUMBER(INDEX('Market Data'!$AC$5:$AC$66,INDEX('Market Data'!$J$5:$J$528,$T236)-4)),N(INDEX('Market Data'!$AC$5:$AC$66,INDEX('Market Data'!$J$5:$J$528,$T236)-4))&gt;0),INDEX('Market Data'!$AC$5:$AC$66,INDEX('Market Data'!$J$5:$J$528,$T236)-4),"unavailable"))))</f>
        <v/>
      </c>
      <c r="M236" s="11">
        <f>IF($T236=0,"",IF(INDEX('Market Data'!$J$5:$J$528,$T236)=0,"n/a",IF(IF(INDEX('Market Data'!$J$5:$J$528,$T236)=0,0,IF(LEFT(INDEX('Market Data'!$AS$5:$AS$66,INDEX('Market Data'!$J$5:$J$528,$T236)-4),11)="First-month",1,0))=1,"class review",IF($I236="Bloomberg",IF(AND(ISNUMBER(INDEX('Market Data'!$AH$5:$AH$66,INDEX('Market Data'!$J$5:$J$528,$T236)-4)),N(INDEX('Market Data'!$AH$5:$AH$66,INDEX('Market Data'!$J$5:$J$528,$T236)-4))&gt;0,ISNUMBER('Market Data'!$B$1),N('Market Data'!$B$1)&gt;0),INDEX('Market Data'!$AH$5:$AH$66,INDEX('Market Data'!$J$5:$J$528,$T236)-4)*'Market Data'!$B$1/$E236-1,"pending A/FX"),IF(AND($I236="Snapshot",$Q236="Snapshot",ISNUMBER($E236),$G236=INDEX('Market Data'!$AE$5:$AE$66,INDEX('Market Data'!$J$5:$J$528,$T236)-4)),IFERROR(INDEX('Market Data'!$AC$5:$AC$66,INDEX('Market Data'!$J$5:$J$528,$T236)-4)*INDEX('Market Data'!$AD$5:$AD$66,INDEX('Market Data'!$J$5:$J$528,$T236)-4)/$E236-1,"unavailable"),IF($I236="Unavailable","unavailable","date mismatch"))))))</f>
        <v/>
      </c>
      <c r="N236" s="11">
        <f>IF($T236=0,"",IFERROR(IF(AND(N(INDEX('Market Data'!$F$5:$F$528,$T236))&gt;0,ISNUMBER(INDEX('Market Data'!$T$5:$T$528,$T236))),$E236*INDEX('Market Data'!$T$5:$T$528,$T236)/INDEX('Market Data'!$F$5:$F$528,$T236)-1,"unavailable"),"unavailable"))</f>
        <v/>
      </c>
      <c r="O236" s="9">
        <f>IF($T236=0,"",IF(IF(INDEX('Market Data'!$J$5:$J$528,$T236)=0,0,IF(LEFT(INDEX('Market Data'!$AS$5:$AS$66,INDEX('Market Data'!$J$5:$J$528,$T236)-4),11)="First-month",1,0))=1,"Class ratio review",IF($I236="Bloomberg",IF(ISNUMBER($G236),IF($G236&lt;TODAY(),"Older quote","See quote time"),"Date unavailable"),IF($I236="Snapshot",IF($G236&lt;DATEVALUE("2026-10-02"),"Older snapshot","Dated close"),"No valid quote"))))</f>
        <v/>
      </c>
      <c r="P236" s="14">
        <f>IF($T236=0,"",IF(INDEX('Market Data'!$J$5:$J$528,$T236)=0,"n/a",IF($Q236="Bloomberg",IF(AND(ISNUMBER(INDEX('Market Data'!$AK$5:$AK$66,INDEX('Market Data'!$J$5:$J$528,$T236)-4)),N(INDEX('Market Data'!$AK$5:$AK$66,INDEX('Market Data'!$J$5:$J$528,$T236)-4))&gt;0),INDEX('Market Data'!$AK$5:$AK$66,INDEX('Market Data'!$J$5:$J$528,$T236)-4),"date unavailable"),IF($Q236="Snapshot",IF(AND(ISNUMBER(INDEX('Market Data'!$AF$5:$AF$66,INDEX('Market Data'!$J$5:$J$528,$T236)-4)),N(INDEX('Market Data'!$AF$5:$AF$66,INDEX('Market Data'!$J$5:$J$528,$T236)-4))&gt;0),INDEX('Market Data'!$AF$5:$AF$66,INDEX('Market Data'!$J$5:$J$528,$T236)-4),"date unavailable"),"date unavailable"))))</f>
        <v/>
      </c>
      <c r="Q236" s="15">
        <f>IF($T236=0,"",IF(INDEX('Market Data'!$J$5:$J$528,$T236)=0,"n/a",IF(AND($M$5&lt;&gt;"Snapshot",ISNUMBER(INDEX('Market Data'!$AH$5:$AH$66,INDEX('Market Data'!$J$5:$J$528,$T236)-4)),N(INDEX('Market Data'!$AH$5:$AH$66,INDEX('Market Data'!$J$5:$J$528,$T236)-4))&gt;0),"Bloomberg",IF(AND($M$5&lt;&gt;"Bloomberg",ISNUMBER(INDEX('Market Data'!$AC$5:$AC$66,INDEX('Market Data'!$J$5:$J$528,$T236)-4)),N(INDEX('Market Data'!$AC$5:$AC$66,INDEX('Market Data'!$J$5:$J$528,$T236)-4))&gt;0),"Snapshot","Unavailable"))))</f>
        <v/>
      </c>
      <c r="T236">
        <f>IFERROR(MATCH(228,'Market Data'!$S$5:$S$528,0),0)</f>
        <v/>
      </c>
    </row>
    <row r="237" ht="34" customHeight="1">
      <c r="A237" s="8">
        <f>IF($T237=0,"",IF(INDEX('Market Data'!$A$5:$A$528,$T237)="","",INDEX('Market Data'!$A$5:$A$528,$T237)))</f>
        <v/>
      </c>
      <c r="B237" s="9">
        <f>IF($T237=0,"",IF(INDEX('Market Data'!$B$5:$B$528,$T237)="","",INDEX('Market Data'!$B$5:$B$528,$T237)))</f>
        <v/>
      </c>
      <c r="C237" s="9">
        <f>IF($T237=0,"",IF(INDEX('Market Data'!$C$5:$C$528,$T237)="","",INDEX('Market Data'!$C$5:$C$528,$T237)))</f>
        <v/>
      </c>
      <c r="D237" s="9">
        <f>IF($T237=0,"",IF(INDEX('Market Data'!$D$5:$D$528,$T237)="","",INDEX('Market Data'!$D$5:$D$528,$T237)))</f>
        <v/>
      </c>
      <c r="E237" s="10">
        <f>IF($T237=0,"",INDEX('Market Data'!$O$5:$O$528,$T237))</f>
        <v/>
      </c>
      <c r="F237" s="11">
        <f>IF($T237=0,"",IF(AND($I237="Bloomberg",ISNUMBER(INDEX('Market Data'!$L$5:$L$528,$T237))),INDEX('Market Data'!$L$5:$L$528,$T237),"unavailable"))</f>
        <v/>
      </c>
      <c r="G237" s="12">
        <f>IF($T237=0,"",IF($I237="Bloomberg",IF(AND(ISNUMBER(INDEX('Market Data'!$M$5:$M$528,$T237)),N(INDEX('Market Data'!$M$5:$M$528,$T237))&gt;0),INDEX('Market Data'!$M$5:$M$528,$T237),"date unavailable"),IF($I237="Snapshot",IF(AND(ISNUMBER(INDEX('Market Data'!$H$5:$H$528,$T237)),N(INDEX('Market Data'!$H$5:$H$528,$T237))&gt;0),INDEX('Market Data'!$H$5:$H$528,$T237),"date unavailable"),"date unavailable")))</f>
        <v/>
      </c>
      <c r="H237" s="9">
        <f>IF($T237=0,"",IF($I237="Bloomberg",IF(INDEX('Market Data'!$N$5:$N$528,$T237)="","time unavailable",INDEX('Market Data'!$N$5:$N$528,$T237)),""))</f>
        <v/>
      </c>
      <c r="I237" s="9">
        <f>IF($T237=0,"",INDEX('Market Data'!$P$5:$P$528,$T237))</f>
        <v/>
      </c>
      <c r="J237" s="13">
        <f>IF($T237=0,"",IF(INDEX('Market Data'!$E$5:$E$528,$T237)="","",INDEX('Market Data'!$E$5:$E$528,$T237)))</f>
        <v/>
      </c>
      <c r="K237" s="8">
        <f>IF($T237=0,"",IF(INDEX('Market Data'!$I$5:$I$528,$T237)="","",INDEX('Market Data'!$I$5:$I$528,$T237)))</f>
        <v/>
      </c>
      <c r="L237" s="10">
        <f>IF($T237=0,"",IF(INDEX('Market Data'!$J$5:$J$528,$T237)=0,"n/a",IF(AND($M$5&lt;&gt;"Snapshot",ISNUMBER(INDEX('Market Data'!$AH$5:$AH$66,INDEX('Market Data'!$J$5:$J$528,$T237)-4)),N(INDEX('Market Data'!$AH$5:$AH$66,INDEX('Market Data'!$J$5:$J$528,$T237)-4))&gt;0),INDEX('Market Data'!$AH$5:$AH$66,INDEX('Market Data'!$J$5:$J$528,$T237)-4),IF(AND($M$5&lt;&gt;"Bloomberg",ISNUMBER(INDEX('Market Data'!$AC$5:$AC$66,INDEX('Market Data'!$J$5:$J$528,$T237)-4)),N(INDEX('Market Data'!$AC$5:$AC$66,INDEX('Market Data'!$J$5:$J$528,$T237)-4))&gt;0),INDEX('Market Data'!$AC$5:$AC$66,INDEX('Market Data'!$J$5:$J$528,$T237)-4),"unavailable"))))</f>
        <v/>
      </c>
      <c r="M237" s="11">
        <f>IF($T237=0,"",IF(INDEX('Market Data'!$J$5:$J$528,$T237)=0,"n/a",IF(IF(INDEX('Market Data'!$J$5:$J$528,$T237)=0,0,IF(LEFT(INDEX('Market Data'!$AS$5:$AS$66,INDEX('Market Data'!$J$5:$J$528,$T237)-4),11)="First-month",1,0))=1,"class review",IF($I237="Bloomberg",IF(AND(ISNUMBER(INDEX('Market Data'!$AH$5:$AH$66,INDEX('Market Data'!$J$5:$J$528,$T237)-4)),N(INDEX('Market Data'!$AH$5:$AH$66,INDEX('Market Data'!$J$5:$J$528,$T237)-4))&gt;0,ISNUMBER('Market Data'!$B$1),N('Market Data'!$B$1)&gt;0),INDEX('Market Data'!$AH$5:$AH$66,INDEX('Market Data'!$J$5:$J$528,$T237)-4)*'Market Data'!$B$1/$E237-1,"pending A/FX"),IF(AND($I237="Snapshot",$Q237="Snapshot",ISNUMBER($E237),$G237=INDEX('Market Data'!$AE$5:$AE$66,INDEX('Market Data'!$J$5:$J$528,$T237)-4)),IFERROR(INDEX('Market Data'!$AC$5:$AC$66,INDEX('Market Data'!$J$5:$J$528,$T237)-4)*INDEX('Market Data'!$AD$5:$AD$66,INDEX('Market Data'!$J$5:$J$528,$T237)-4)/$E237-1,"unavailable"),IF($I237="Unavailable","unavailable","date mismatch"))))))</f>
        <v/>
      </c>
      <c r="N237" s="11">
        <f>IF($T237=0,"",IFERROR(IF(AND(N(INDEX('Market Data'!$F$5:$F$528,$T237))&gt;0,ISNUMBER(INDEX('Market Data'!$T$5:$T$528,$T237))),$E237*INDEX('Market Data'!$T$5:$T$528,$T237)/INDEX('Market Data'!$F$5:$F$528,$T237)-1,"unavailable"),"unavailable"))</f>
        <v/>
      </c>
      <c r="O237" s="9">
        <f>IF($T237=0,"",IF(IF(INDEX('Market Data'!$J$5:$J$528,$T237)=0,0,IF(LEFT(INDEX('Market Data'!$AS$5:$AS$66,INDEX('Market Data'!$J$5:$J$528,$T237)-4),11)="First-month",1,0))=1,"Class ratio review",IF($I237="Bloomberg",IF(ISNUMBER($G237),IF($G237&lt;TODAY(),"Older quote","See quote time"),"Date unavailable"),IF($I237="Snapshot",IF($G237&lt;DATEVALUE("2026-10-02"),"Older snapshot","Dated close"),"No valid quote"))))</f>
        <v/>
      </c>
      <c r="P237" s="14">
        <f>IF($T237=0,"",IF(INDEX('Market Data'!$J$5:$J$528,$T237)=0,"n/a",IF($Q237="Bloomberg",IF(AND(ISNUMBER(INDEX('Market Data'!$AK$5:$AK$66,INDEX('Market Data'!$J$5:$J$528,$T237)-4)),N(INDEX('Market Data'!$AK$5:$AK$66,INDEX('Market Data'!$J$5:$J$528,$T237)-4))&gt;0),INDEX('Market Data'!$AK$5:$AK$66,INDEX('Market Data'!$J$5:$J$528,$T237)-4),"date unavailable"),IF($Q237="Snapshot",IF(AND(ISNUMBER(INDEX('Market Data'!$AF$5:$AF$66,INDEX('Market Data'!$J$5:$J$528,$T237)-4)),N(INDEX('Market Data'!$AF$5:$AF$66,INDEX('Market Data'!$J$5:$J$528,$T237)-4))&gt;0),INDEX('Market Data'!$AF$5:$AF$66,INDEX('Market Data'!$J$5:$J$528,$T237)-4),"date unavailable"),"date unavailable"))))</f>
        <v/>
      </c>
      <c r="Q237" s="15">
        <f>IF($T237=0,"",IF(INDEX('Market Data'!$J$5:$J$528,$T237)=0,"n/a",IF(AND($M$5&lt;&gt;"Snapshot",ISNUMBER(INDEX('Market Data'!$AH$5:$AH$66,INDEX('Market Data'!$J$5:$J$528,$T237)-4)),N(INDEX('Market Data'!$AH$5:$AH$66,INDEX('Market Data'!$J$5:$J$528,$T237)-4))&gt;0),"Bloomberg",IF(AND($M$5&lt;&gt;"Bloomberg",ISNUMBER(INDEX('Market Data'!$AC$5:$AC$66,INDEX('Market Data'!$J$5:$J$528,$T237)-4)),N(INDEX('Market Data'!$AC$5:$AC$66,INDEX('Market Data'!$J$5:$J$528,$T237)-4))&gt;0),"Snapshot","Unavailable"))))</f>
        <v/>
      </c>
      <c r="T237">
        <f>IFERROR(MATCH(229,'Market Data'!$S$5:$S$528,0),0)</f>
        <v/>
      </c>
    </row>
    <row r="238" ht="34" customHeight="1">
      <c r="A238" s="8">
        <f>IF($T238=0,"",IF(INDEX('Market Data'!$A$5:$A$528,$T238)="","",INDEX('Market Data'!$A$5:$A$528,$T238)))</f>
        <v/>
      </c>
      <c r="B238" s="9">
        <f>IF($T238=0,"",IF(INDEX('Market Data'!$B$5:$B$528,$T238)="","",INDEX('Market Data'!$B$5:$B$528,$T238)))</f>
        <v/>
      </c>
      <c r="C238" s="9">
        <f>IF($T238=0,"",IF(INDEX('Market Data'!$C$5:$C$528,$T238)="","",INDEX('Market Data'!$C$5:$C$528,$T238)))</f>
        <v/>
      </c>
      <c r="D238" s="9">
        <f>IF($T238=0,"",IF(INDEX('Market Data'!$D$5:$D$528,$T238)="","",INDEX('Market Data'!$D$5:$D$528,$T238)))</f>
        <v/>
      </c>
      <c r="E238" s="10">
        <f>IF($T238=0,"",INDEX('Market Data'!$O$5:$O$528,$T238))</f>
        <v/>
      </c>
      <c r="F238" s="11">
        <f>IF($T238=0,"",IF(AND($I238="Bloomberg",ISNUMBER(INDEX('Market Data'!$L$5:$L$528,$T238))),INDEX('Market Data'!$L$5:$L$528,$T238),"unavailable"))</f>
        <v/>
      </c>
      <c r="G238" s="12">
        <f>IF($T238=0,"",IF($I238="Bloomberg",IF(AND(ISNUMBER(INDEX('Market Data'!$M$5:$M$528,$T238)),N(INDEX('Market Data'!$M$5:$M$528,$T238))&gt;0),INDEX('Market Data'!$M$5:$M$528,$T238),"date unavailable"),IF($I238="Snapshot",IF(AND(ISNUMBER(INDEX('Market Data'!$H$5:$H$528,$T238)),N(INDEX('Market Data'!$H$5:$H$528,$T238))&gt;0),INDEX('Market Data'!$H$5:$H$528,$T238),"date unavailable"),"date unavailable")))</f>
        <v/>
      </c>
      <c r="H238" s="9">
        <f>IF($T238=0,"",IF($I238="Bloomberg",IF(INDEX('Market Data'!$N$5:$N$528,$T238)="","time unavailable",INDEX('Market Data'!$N$5:$N$528,$T238)),""))</f>
        <v/>
      </c>
      <c r="I238" s="9">
        <f>IF($T238=0,"",INDEX('Market Data'!$P$5:$P$528,$T238))</f>
        <v/>
      </c>
      <c r="J238" s="13">
        <f>IF($T238=0,"",IF(INDEX('Market Data'!$E$5:$E$528,$T238)="","",INDEX('Market Data'!$E$5:$E$528,$T238)))</f>
        <v/>
      </c>
      <c r="K238" s="8">
        <f>IF($T238=0,"",IF(INDEX('Market Data'!$I$5:$I$528,$T238)="","",INDEX('Market Data'!$I$5:$I$528,$T238)))</f>
        <v/>
      </c>
      <c r="L238" s="10">
        <f>IF($T238=0,"",IF(INDEX('Market Data'!$J$5:$J$528,$T238)=0,"n/a",IF(AND($M$5&lt;&gt;"Snapshot",ISNUMBER(INDEX('Market Data'!$AH$5:$AH$66,INDEX('Market Data'!$J$5:$J$528,$T238)-4)),N(INDEX('Market Data'!$AH$5:$AH$66,INDEX('Market Data'!$J$5:$J$528,$T238)-4))&gt;0),INDEX('Market Data'!$AH$5:$AH$66,INDEX('Market Data'!$J$5:$J$528,$T238)-4),IF(AND($M$5&lt;&gt;"Bloomberg",ISNUMBER(INDEX('Market Data'!$AC$5:$AC$66,INDEX('Market Data'!$J$5:$J$528,$T238)-4)),N(INDEX('Market Data'!$AC$5:$AC$66,INDEX('Market Data'!$J$5:$J$528,$T238)-4))&gt;0),INDEX('Market Data'!$AC$5:$AC$66,INDEX('Market Data'!$J$5:$J$528,$T238)-4),"unavailable"))))</f>
        <v/>
      </c>
      <c r="M238" s="11">
        <f>IF($T238=0,"",IF(INDEX('Market Data'!$J$5:$J$528,$T238)=0,"n/a",IF(IF(INDEX('Market Data'!$J$5:$J$528,$T238)=0,0,IF(LEFT(INDEX('Market Data'!$AS$5:$AS$66,INDEX('Market Data'!$J$5:$J$528,$T238)-4),11)="First-month",1,0))=1,"class review",IF($I238="Bloomberg",IF(AND(ISNUMBER(INDEX('Market Data'!$AH$5:$AH$66,INDEX('Market Data'!$J$5:$J$528,$T238)-4)),N(INDEX('Market Data'!$AH$5:$AH$66,INDEX('Market Data'!$J$5:$J$528,$T238)-4))&gt;0,ISNUMBER('Market Data'!$B$1),N('Market Data'!$B$1)&gt;0),INDEX('Market Data'!$AH$5:$AH$66,INDEX('Market Data'!$J$5:$J$528,$T238)-4)*'Market Data'!$B$1/$E238-1,"pending A/FX"),IF(AND($I238="Snapshot",$Q238="Snapshot",ISNUMBER($E238),$G238=INDEX('Market Data'!$AE$5:$AE$66,INDEX('Market Data'!$J$5:$J$528,$T238)-4)),IFERROR(INDEX('Market Data'!$AC$5:$AC$66,INDEX('Market Data'!$J$5:$J$528,$T238)-4)*INDEX('Market Data'!$AD$5:$AD$66,INDEX('Market Data'!$J$5:$J$528,$T238)-4)/$E238-1,"unavailable"),IF($I238="Unavailable","unavailable","date mismatch"))))))</f>
        <v/>
      </c>
      <c r="N238" s="11">
        <f>IF($T238=0,"",IFERROR(IF(AND(N(INDEX('Market Data'!$F$5:$F$528,$T238))&gt;0,ISNUMBER(INDEX('Market Data'!$T$5:$T$528,$T238))),$E238*INDEX('Market Data'!$T$5:$T$528,$T238)/INDEX('Market Data'!$F$5:$F$528,$T238)-1,"unavailable"),"unavailable"))</f>
        <v/>
      </c>
      <c r="O238" s="9">
        <f>IF($T238=0,"",IF(IF(INDEX('Market Data'!$J$5:$J$528,$T238)=0,0,IF(LEFT(INDEX('Market Data'!$AS$5:$AS$66,INDEX('Market Data'!$J$5:$J$528,$T238)-4),11)="First-month",1,0))=1,"Class ratio review",IF($I238="Bloomberg",IF(ISNUMBER($G238),IF($G238&lt;TODAY(),"Older quote","See quote time"),"Date unavailable"),IF($I238="Snapshot",IF($G238&lt;DATEVALUE("2026-10-02"),"Older snapshot","Dated close"),"No valid quote"))))</f>
        <v/>
      </c>
      <c r="P238" s="14">
        <f>IF($T238=0,"",IF(INDEX('Market Data'!$J$5:$J$528,$T238)=0,"n/a",IF($Q238="Bloomberg",IF(AND(ISNUMBER(INDEX('Market Data'!$AK$5:$AK$66,INDEX('Market Data'!$J$5:$J$528,$T238)-4)),N(INDEX('Market Data'!$AK$5:$AK$66,INDEX('Market Data'!$J$5:$J$528,$T238)-4))&gt;0),INDEX('Market Data'!$AK$5:$AK$66,INDEX('Market Data'!$J$5:$J$528,$T238)-4),"date unavailable"),IF($Q238="Snapshot",IF(AND(ISNUMBER(INDEX('Market Data'!$AF$5:$AF$66,INDEX('Market Data'!$J$5:$J$528,$T238)-4)),N(INDEX('Market Data'!$AF$5:$AF$66,INDEX('Market Data'!$J$5:$J$528,$T238)-4))&gt;0),INDEX('Market Data'!$AF$5:$AF$66,INDEX('Market Data'!$J$5:$J$528,$T238)-4),"date unavailable"),"date unavailable"))))</f>
        <v/>
      </c>
      <c r="Q238" s="15">
        <f>IF($T238=0,"",IF(INDEX('Market Data'!$J$5:$J$528,$T238)=0,"n/a",IF(AND($M$5&lt;&gt;"Snapshot",ISNUMBER(INDEX('Market Data'!$AH$5:$AH$66,INDEX('Market Data'!$J$5:$J$528,$T238)-4)),N(INDEX('Market Data'!$AH$5:$AH$66,INDEX('Market Data'!$J$5:$J$528,$T238)-4))&gt;0),"Bloomberg",IF(AND($M$5&lt;&gt;"Bloomberg",ISNUMBER(INDEX('Market Data'!$AC$5:$AC$66,INDEX('Market Data'!$J$5:$J$528,$T238)-4)),N(INDEX('Market Data'!$AC$5:$AC$66,INDEX('Market Data'!$J$5:$J$528,$T238)-4))&gt;0),"Snapshot","Unavailable"))))</f>
        <v/>
      </c>
      <c r="T238">
        <f>IFERROR(MATCH(230,'Market Data'!$S$5:$S$528,0),0)</f>
        <v/>
      </c>
    </row>
    <row r="239" ht="34" customHeight="1">
      <c r="A239" s="8">
        <f>IF($T239=0,"",IF(INDEX('Market Data'!$A$5:$A$528,$T239)="","",INDEX('Market Data'!$A$5:$A$528,$T239)))</f>
        <v/>
      </c>
      <c r="B239" s="9">
        <f>IF($T239=0,"",IF(INDEX('Market Data'!$B$5:$B$528,$T239)="","",INDEX('Market Data'!$B$5:$B$528,$T239)))</f>
        <v/>
      </c>
      <c r="C239" s="9">
        <f>IF($T239=0,"",IF(INDEX('Market Data'!$C$5:$C$528,$T239)="","",INDEX('Market Data'!$C$5:$C$528,$T239)))</f>
        <v/>
      </c>
      <c r="D239" s="9">
        <f>IF($T239=0,"",IF(INDEX('Market Data'!$D$5:$D$528,$T239)="","",INDEX('Market Data'!$D$5:$D$528,$T239)))</f>
        <v/>
      </c>
      <c r="E239" s="10">
        <f>IF($T239=0,"",INDEX('Market Data'!$O$5:$O$528,$T239))</f>
        <v/>
      </c>
      <c r="F239" s="11">
        <f>IF($T239=0,"",IF(AND($I239="Bloomberg",ISNUMBER(INDEX('Market Data'!$L$5:$L$528,$T239))),INDEX('Market Data'!$L$5:$L$528,$T239),"unavailable"))</f>
        <v/>
      </c>
      <c r="G239" s="12">
        <f>IF($T239=0,"",IF($I239="Bloomberg",IF(AND(ISNUMBER(INDEX('Market Data'!$M$5:$M$528,$T239)),N(INDEX('Market Data'!$M$5:$M$528,$T239))&gt;0),INDEX('Market Data'!$M$5:$M$528,$T239),"date unavailable"),IF($I239="Snapshot",IF(AND(ISNUMBER(INDEX('Market Data'!$H$5:$H$528,$T239)),N(INDEX('Market Data'!$H$5:$H$528,$T239))&gt;0),INDEX('Market Data'!$H$5:$H$528,$T239),"date unavailable"),"date unavailable")))</f>
        <v/>
      </c>
      <c r="H239" s="9">
        <f>IF($T239=0,"",IF($I239="Bloomberg",IF(INDEX('Market Data'!$N$5:$N$528,$T239)="","time unavailable",INDEX('Market Data'!$N$5:$N$528,$T239)),""))</f>
        <v/>
      </c>
      <c r="I239" s="9">
        <f>IF($T239=0,"",INDEX('Market Data'!$P$5:$P$528,$T239))</f>
        <v/>
      </c>
      <c r="J239" s="13">
        <f>IF($T239=0,"",IF(INDEX('Market Data'!$E$5:$E$528,$T239)="","",INDEX('Market Data'!$E$5:$E$528,$T239)))</f>
        <v/>
      </c>
      <c r="K239" s="8">
        <f>IF($T239=0,"",IF(INDEX('Market Data'!$I$5:$I$528,$T239)="","",INDEX('Market Data'!$I$5:$I$528,$T239)))</f>
        <v/>
      </c>
      <c r="L239" s="10">
        <f>IF($T239=0,"",IF(INDEX('Market Data'!$J$5:$J$528,$T239)=0,"n/a",IF(AND($M$5&lt;&gt;"Snapshot",ISNUMBER(INDEX('Market Data'!$AH$5:$AH$66,INDEX('Market Data'!$J$5:$J$528,$T239)-4)),N(INDEX('Market Data'!$AH$5:$AH$66,INDEX('Market Data'!$J$5:$J$528,$T239)-4))&gt;0),INDEX('Market Data'!$AH$5:$AH$66,INDEX('Market Data'!$J$5:$J$528,$T239)-4),IF(AND($M$5&lt;&gt;"Bloomberg",ISNUMBER(INDEX('Market Data'!$AC$5:$AC$66,INDEX('Market Data'!$J$5:$J$528,$T239)-4)),N(INDEX('Market Data'!$AC$5:$AC$66,INDEX('Market Data'!$J$5:$J$528,$T239)-4))&gt;0),INDEX('Market Data'!$AC$5:$AC$66,INDEX('Market Data'!$J$5:$J$528,$T239)-4),"unavailable"))))</f>
        <v/>
      </c>
      <c r="M239" s="11">
        <f>IF($T239=0,"",IF(INDEX('Market Data'!$J$5:$J$528,$T239)=0,"n/a",IF(IF(INDEX('Market Data'!$J$5:$J$528,$T239)=0,0,IF(LEFT(INDEX('Market Data'!$AS$5:$AS$66,INDEX('Market Data'!$J$5:$J$528,$T239)-4),11)="First-month",1,0))=1,"class review",IF($I239="Bloomberg",IF(AND(ISNUMBER(INDEX('Market Data'!$AH$5:$AH$66,INDEX('Market Data'!$J$5:$J$528,$T239)-4)),N(INDEX('Market Data'!$AH$5:$AH$66,INDEX('Market Data'!$J$5:$J$528,$T239)-4))&gt;0,ISNUMBER('Market Data'!$B$1),N('Market Data'!$B$1)&gt;0),INDEX('Market Data'!$AH$5:$AH$66,INDEX('Market Data'!$J$5:$J$528,$T239)-4)*'Market Data'!$B$1/$E239-1,"pending A/FX"),IF(AND($I239="Snapshot",$Q239="Snapshot",ISNUMBER($E239),$G239=INDEX('Market Data'!$AE$5:$AE$66,INDEX('Market Data'!$J$5:$J$528,$T239)-4)),IFERROR(INDEX('Market Data'!$AC$5:$AC$66,INDEX('Market Data'!$J$5:$J$528,$T239)-4)*INDEX('Market Data'!$AD$5:$AD$66,INDEX('Market Data'!$J$5:$J$528,$T239)-4)/$E239-1,"unavailable"),IF($I239="Unavailable","unavailable","date mismatch"))))))</f>
        <v/>
      </c>
      <c r="N239" s="11">
        <f>IF($T239=0,"",IFERROR(IF(AND(N(INDEX('Market Data'!$F$5:$F$528,$T239))&gt;0,ISNUMBER(INDEX('Market Data'!$T$5:$T$528,$T239))),$E239*INDEX('Market Data'!$T$5:$T$528,$T239)/INDEX('Market Data'!$F$5:$F$528,$T239)-1,"unavailable"),"unavailable"))</f>
        <v/>
      </c>
      <c r="O239" s="9">
        <f>IF($T239=0,"",IF(IF(INDEX('Market Data'!$J$5:$J$528,$T239)=0,0,IF(LEFT(INDEX('Market Data'!$AS$5:$AS$66,INDEX('Market Data'!$J$5:$J$528,$T239)-4),11)="First-month",1,0))=1,"Class ratio review",IF($I239="Bloomberg",IF(ISNUMBER($G239),IF($G239&lt;TODAY(),"Older quote","See quote time"),"Date unavailable"),IF($I239="Snapshot",IF($G239&lt;DATEVALUE("2026-10-02"),"Older snapshot","Dated close"),"No valid quote"))))</f>
        <v/>
      </c>
      <c r="P239" s="14">
        <f>IF($T239=0,"",IF(INDEX('Market Data'!$J$5:$J$528,$T239)=0,"n/a",IF($Q239="Bloomberg",IF(AND(ISNUMBER(INDEX('Market Data'!$AK$5:$AK$66,INDEX('Market Data'!$J$5:$J$528,$T239)-4)),N(INDEX('Market Data'!$AK$5:$AK$66,INDEX('Market Data'!$J$5:$J$528,$T239)-4))&gt;0),INDEX('Market Data'!$AK$5:$AK$66,INDEX('Market Data'!$J$5:$J$528,$T239)-4),"date unavailable"),IF($Q239="Snapshot",IF(AND(ISNUMBER(INDEX('Market Data'!$AF$5:$AF$66,INDEX('Market Data'!$J$5:$J$528,$T239)-4)),N(INDEX('Market Data'!$AF$5:$AF$66,INDEX('Market Data'!$J$5:$J$528,$T239)-4))&gt;0),INDEX('Market Data'!$AF$5:$AF$66,INDEX('Market Data'!$J$5:$J$528,$T239)-4),"date unavailable"),"date unavailable"))))</f>
        <v/>
      </c>
      <c r="Q239" s="15">
        <f>IF($T239=0,"",IF(INDEX('Market Data'!$J$5:$J$528,$T239)=0,"n/a",IF(AND($M$5&lt;&gt;"Snapshot",ISNUMBER(INDEX('Market Data'!$AH$5:$AH$66,INDEX('Market Data'!$J$5:$J$528,$T239)-4)),N(INDEX('Market Data'!$AH$5:$AH$66,INDEX('Market Data'!$J$5:$J$528,$T239)-4))&gt;0),"Bloomberg",IF(AND($M$5&lt;&gt;"Bloomberg",ISNUMBER(INDEX('Market Data'!$AC$5:$AC$66,INDEX('Market Data'!$J$5:$J$528,$T239)-4)),N(INDEX('Market Data'!$AC$5:$AC$66,INDEX('Market Data'!$J$5:$J$528,$T239)-4))&gt;0),"Snapshot","Unavailable"))))</f>
        <v/>
      </c>
      <c r="T239">
        <f>IFERROR(MATCH(231,'Market Data'!$S$5:$S$528,0),0)</f>
        <v/>
      </c>
    </row>
    <row r="240" ht="34" customHeight="1">
      <c r="A240" s="8">
        <f>IF($T240=0,"",IF(INDEX('Market Data'!$A$5:$A$528,$T240)="","",INDEX('Market Data'!$A$5:$A$528,$T240)))</f>
        <v/>
      </c>
      <c r="B240" s="9">
        <f>IF($T240=0,"",IF(INDEX('Market Data'!$B$5:$B$528,$T240)="","",INDEX('Market Data'!$B$5:$B$528,$T240)))</f>
        <v/>
      </c>
      <c r="C240" s="9">
        <f>IF($T240=0,"",IF(INDEX('Market Data'!$C$5:$C$528,$T240)="","",INDEX('Market Data'!$C$5:$C$528,$T240)))</f>
        <v/>
      </c>
      <c r="D240" s="9">
        <f>IF($T240=0,"",IF(INDEX('Market Data'!$D$5:$D$528,$T240)="","",INDEX('Market Data'!$D$5:$D$528,$T240)))</f>
        <v/>
      </c>
      <c r="E240" s="10">
        <f>IF($T240=0,"",INDEX('Market Data'!$O$5:$O$528,$T240))</f>
        <v/>
      </c>
      <c r="F240" s="11">
        <f>IF($T240=0,"",IF(AND($I240="Bloomberg",ISNUMBER(INDEX('Market Data'!$L$5:$L$528,$T240))),INDEX('Market Data'!$L$5:$L$528,$T240),"unavailable"))</f>
        <v/>
      </c>
      <c r="G240" s="12">
        <f>IF($T240=0,"",IF($I240="Bloomberg",IF(AND(ISNUMBER(INDEX('Market Data'!$M$5:$M$528,$T240)),N(INDEX('Market Data'!$M$5:$M$528,$T240))&gt;0),INDEX('Market Data'!$M$5:$M$528,$T240),"date unavailable"),IF($I240="Snapshot",IF(AND(ISNUMBER(INDEX('Market Data'!$H$5:$H$528,$T240)),N(INDEX('Market Data'!$H$5:$H$528,$T240))&gt;0),INDEX('Market Data'!$H$5:$H$528,$T240),"date unavailable"),"date unavailable")))</f>
        <v/>
      </c>
      <c r="H240" s="9">
        <f>IF($T240=0,"",IF($I240="Bloomberg",IF(INDEX('Market Data'!$N$5:$N$528,$T240)="","time unavailable",INDEX('Market Data'!$N$5:$N$528,$T240)),""))</f>
        <v/>
      </c>
      <c r="I240" s="9">
        <f>IF($T240=0,"",INDEX('Market Data'!$P$5:$P$528,$T240))</f>
        <v/>
      </c>
      <c r="J240" s="13">
        <f>IF($T240=0,"",IF(INDEX('Market Data'!$E$5:$E$528,$T240)="","",INDEX('Market Data'!$E$5:$E$528,$T240)))</f>
        <v/>
      </c>
      <c r="K240" s="8">
        <f>IF($T240=0,"",IF(INDEX('Market Data'!$I$5:$I$528,$T240)="","",INDEX('Market Data'!$I$5:$I$528,$T240)))</f>
        <v/>
      </c>
      <c r="L240" s="10">
        <f>IF($T240=0,"",IF(INDEX('Market Data'!$J$5:$J$528,$T240)=0,"n/a",IF(AND($M$5&lt;&gt;"Snapshot",ISNUMBER(INDEX('Market Data'!$AH$5:$AH$66,INDEX('Market Data'!$J$5:$J$528,$T240)-4)),N(INDEX('Market Data'!$AH$5:$AH$66,INDEX('Market Data'!$J$5:$J$528,$T240)-4))&gt;0),INDEX('Market Data'!$AH$5:$AH$66,INDEX('Market Data'!$J$5:$J$528,$T240)-4),IF(AND($M$5&lt;&gt;"Bloomberg",ISNUMBER(INDEX('Market Data'!$AC$5:$AC$66,INDEX('Market Data'!$J$5:$J$528,$T240)-4)),N(INDEX('Market Data'!$AC$5:$AC$66,INDEX('Market Data'!$J$5:$J$528,$T240)-4))&gt;0),INDEX('Market Data'!$AC$5:$AC$66,INDEX('Market Data'!$J$5:$J$528,$T240)-4),"unavailable"))))</f>
        <v/>
      </c>
      <c r="M240" s="11">
        <f>IF($T240=0,"",IF(INDEX('Market Data'!$J$5:$J$528,$T240)=0,"n/a",IF(IF(INDEX('Market Data'!$J$5:$J$528,$T240)=0,0,IF(LEFT(INDEX('Market Data'!$AS$5:$AS$66,INDEX('Market Data'!$J$5:$J$528,$T240)-4),11)="First-month",1,0))=1,"class review",IF($I240="Bloomberg",IF(AND(ISNUMBER(INDEX('Market Data'!$AH$5:$AH$66,INDEX('Market Data'!$J$5:$J$528,$T240)-4)),N(INDEX('Market Data'!$AH$5:$AH$66,INDEX('Market Data'!$J$5:$J$528,$T240)-4))&gt;0,ISNUMBER('Market Data'!$B$1),N('Market Data'!$B$1)&gt;0),INDEX('Market Data'!$AH$5:$AH$66,INDEX('Market Data'!$J$5:$J$528,$T240)-4)*'Market Data'!$B$1/$E240-1,"pending A/FX"),IF(AND($I240="Snapshot",$Q240="Snapshot",ISNUMBER($E240),$G240=INDEX('Market Data'!$AE$5:$AE$66,INDEX('Market Data'!$J$5:$J$528,$T240)-4)),IFERROR(INDEX('Market Data'!$AC$5:$AC$66,INDEX('Market Data'!$J$5:$J$528,$T240)-4)*INDEX('Market Data'!$AD$5:$AD$66,INDEX('Market Data'!$J$5:$J$528,$T240)-4)/$E240-1,"unavailable"),IF($I240="Unavailable","unavailable","date mismatch"))))))</f>
        <v/>
      </c>
      <c r="N240" s="11">
        <f>IF($T240=0,"",IFERROR(IF(AND(N(INDEX('Market Data'!$F$5:$F$528,$T240))&gt;0,ISNUMBER(INDEX('Market Data'!$T$5:$T$528,$T240))),$E240*INDEX('Market Data'!$T$5:$T$528,$T240)/INDEX('Market Data'!$F$5:$F$528,$T240)-1,"unavailable"),"unavailable"))</f>
        <v/>
      </c>
      <c r="O240" s="9">
        <f>IF($T240=0,"",IF(IF(INDEX('Market Data'!$J$5:$J$528,$T240)=0,0,IF(LEFT(INDEX('Market Data'!$AS$5:$AS$66,INDEX('Market Data'!$J$5:$J$528,$T240)-4),11)="First-month",1,0))=1,"Class ratio review",IF($I240="Bloomberg",IF(ISNUMBER($G240),IF($G240&lt;TODAY(),"Older quote","See quote time"),"Date unavailable"),IF($I240="Snapshot",IF($G240&lt;DATEVALUE("2026-10-02"),"Older snapshot","Dated close"),"No valid quote"))))</f>
        <v/>
      </c>
      <c r="P240" s="14">
        <f>IF($T240=0,"",IF(INDEX('Market Data'!$J$5:$J$528,$T240)=0,"n/a",IF($Q240="Bloomberg",IF(AND(ISNUMBER(INDEX('Market Data'!$AK$5:$AK$66,INDEX('Market Data'!$J$5:$J$528,$T240)-4)),N(INDEX('Market Data'!$AK$5:$AK$66,INDEX('Market Data'!$J$5:$J$528,$T240)-4))&gt;0),INDEX('Market Data'!$AK$5:$AK$66,INDEX('Market Data'!$J$5:$J$528,$T240)-4),"date unavailable"),IF($Q240="Snapshot",IF(AND(ISNUMBER(INDEX('Market Data'!$AF$5:$AF$66,INDEX('Market Data'!$J$5:$J$528,$T240)-4)),N(INDEX('Market Data'!$AF$5:$AF$66,INDEX('Market Data'!$J$5:$J$528,$T240)-4))&gt;0),INDEX('Market Data'!$AF$5:$AF$66,INDEX('Market Data'!$J$5:$J$528,$T240)-4),"date unavailable"),"date unavailable"))))</f>
        <v/>
      </c>
      <c r="Q240" s="15">
        <f>IF($T240=0,"",IF(INDEX('Market Data'!$J$5:$J$528,$T240)=0,"n/a",IF(AND($M$5&lt;&gt;"Snapshot",ISNUMBER(INDEX('Market Data'!$AH$5:$AH$66,INDEX('Market Data'!$J$5:$J$528,$T240)-4)),N(INDEX('Market Data'!$AH$5:$AH$66,INDEX('Market Data'!$J$5:$J$528,$T240)-4))&gt;0),"Bloomberg",IF(AND($M$5&lt;&gt;"Bloomberg",ISNUMBER(INDEX('Market Data'!$AC$5:$AC$66,INDEX('Market Data'!$J$5:$J$528,$T240)-4)),N(INDEX('Market Data'!$AC$5:$AC$66,INDEX('Market Data'!$J$5:$J$528,$T240)-4))&gt;0),"Snapshot","Unavailable"))))</f>
        <v/>
      </c>
      <c r="T240">
        <f>IFERROR(MATCH(232,'Market Data'!$S$5:$S$528,0),0)</f>
        <v/>
      </c>
    </row>
    <row r="241" ht="34" customHeight="1">
      <c r="A241" s="8">
        <f>IF($T241=0,"",IF(INDEX('Market Data'!$A$5:$A$528,$T241)="","",INDEX('Market Data'!$A$5:$A$528,$T241)))</f>
        <v/>
      </c>
      <c r="B241" s="9">
        <f>IF($T241=0,"",IF(INDEX('Market Data'!$B$5:$B$528,$T241)="","",INDEX('Market Data'!$B$5:$B$528,$T241)))</f>
        <v/>
      </c>
      <c r="C241" s="9">
        <f>IF($T241=0,"",IF(INDEX('Market Data'!$C$5:$C$528,$T241)="","",INDEX('Market Data'!$C$5:$C$528,$T241)))</f>
        <v/>
      </c>
      <c r="D241" s="9">
        <f>IF($T241=0,"",IF(INDEX('Market Data'!$D$5:$D$528,$T241)="","",INDEX('Market Data'!$D$5:$D$528,$T241)))</f>
        <v/>
      </c>
      <c r="E241" s="10">
        <f>IF($T241=0,"",INDEX('Market Data'!$O$5:$O$528,$T241))</f>
        <v/>
      </c>
      <c r="F241" s="11">
        <f>IF($T241=0,"",IF(AND($I241="Bloomberg",ISNUMBER(INDEX('Market Data'!$L$5:$L$528,$T241))),INDEX('Market Data'!$L$5:$L$528,$T241),"unavailable"))</f>
        <v/>
      </c>
      <c r="G241" s="12">
        <f>IF($T241=0,"",IF($I241="Bloomberg",IF(AND(ISNUMBER(INDEX('Market Data'!$M$5:$M$528,$T241)),N(INDEX('Market Data'!$M$5:$M$528,$T241))&gt;0),INDEX('Market Data'!$M$5:$M$528,$T241),"date unavailable"),IF($I241="Snapshot",IF(AND(ISNUMBER(INDEX('Market Data'!$H$5:$H$528,$T241)),N(INDEX('Market Data'!$H$5:$H$528,$T241))&gt;0),INDEX('Market Data'!$H$5:$H$528,$T241),"date unavailable"),"date unavailable")))</f>
        <v/>
      </c>
      <c r="H241" s="9">
        <f>IF($T241=0,"",IF($I241="Bloomberg",IF(INDEX('Market Data'!$N$5:$N$528,$T241)="","time unavailable",INDEX('Market Data'!$N$5:$N$528,$T241)),""))</f>
        <v/>
      </c>
      <c r="I241" s="9">
        <f>IF($T241=0,"",INDEX('Market Data'!$P$5:$P$528,$T241))</f>
        <v/>
      </c>
      <c r="J241" s="13">
        <f>IF($T241=0,"",IF(INDEX('Market Data'!$E$5:$E$528,$T241)="","",INDEX('Market Data'!$E$5:$E$528,$T241)))</f>
        <v/>
      </c>
      <c r="K241" s="8">
        <f>IF($T241=0,"",IF(INDEX('Market Data'!$I$5:$I$528,$T241)="","",INDEX('Market Data'!$I$5:$I$528,$T241)))</f>
        <v/>
      </c>
      <c r="L241" s="10">
        <f>IF($T241=0,"",IF(INDEX('Market Data'!$J$5:$J$528,$T241)=0,"n/a",IF(AND($M$5&lt;&gt;"Snapshot",ISNUMBER(INDEX('Market Data'!$AH$5:$AH$66,INDEX('Market Data'!$J$5:$J$528,$T241)-4)),N(INDEX('Market Data'!$AH$5:$AH$66,INDEX('Market Data'!$J$5:$J$528,$T241)-4))&gt;0),INDEX('Market Data'!$AH$5:$AH$66,INDEX('Market Data'!$J$5:$J$528,$T241)-4),IF(AND($M$5&lt;&gt;"Bloomberg",ISNUMBER(INDEX('Market Data'!$AC$5:$AC$66,INDEX('Market Data'!$J$5:$J$528,$T241)-4)),N(INDEX('Market Data'!$AC$5:$AC$66,INDEX('Market Data'!$J$5:$J$528,$T241)-4))&gt;0),INDEX('Market Data'!$AC$5:$AC$66,INDEX('Market Data'!$J$5:$J$528,$T241)-4),"unavailable"))))</f>
        <v/>
      </c>
      <c r="M241" s="11">
        <f>IF($T241=0,"",IF(INDEX('Market Data'!$J$5:$J$528,$T241)=0,"n/a",IF(IF(INDEX('Market Data'!$J$5:$J$528,$T241)=0,0,IF(LEFT(INDEX('Market Data'!$AS$5:$AS$66,INDEX('Market Data'!$J$5:$J$528,$T241)-4),11)="First-month",1,0))=1,"class review",IF($I241="Bloomberg",IF(AND(ISNUMBER(INDEX('Market Data'!$AH$5:$AH$66,INDEX('Market Data'!$J$5:$J$528,$T241)-4)),N(INDEX('Market Data'!$AH$5:$AH$66,INDEX('Market Data'!$J$5:$J$528,$T241)-4))&gt;0,ISNUMBER('Market Data'!$B$1),N('Market Data'!$B$1)&gt;0),INDEX('Market Data'!$AH$5:$AH$66,INDEX('Market Data'!$J$5:$J$528,$T241)-4)*'Market Data'!$B$1/$E241-1,"pending A/FX"),IF(AND($I241="Snapshot",$Q241="Snapshot",ISNUMBER($E241),$G241=INDEX('Market Data'!$AE$5:$AE$66,INDEX('Market Data'!$J$5:$J$528,$T241)-4)),IFERROR(INDEX('Market Data'!$AC$5:$AC$66,INDEX('Market Data'!$J$5:$J$528,$T241)-4)*INDEX('Market Data'!$AD$5:$AD$66,INDEX('Market Data'!$J$5:$J$528,$T241)-4)/$E241-1,"unavailable"),IF($I241="Unavailable","unavailable","date mismatch"))))))</f>
        <v/>
      </c>
      <c r="N241" s="11">
        <f>IF($T241=0,"",IFERROR(IF(AND(N(INDEX('Market Data'!$F$5:$F$528,$T241))&gt;0,ISNUMBER(INDEX('Market Data'!$T$5:$T$528,$T241))),$E241*INDEX('Market Data'!$T$5:$T$528,$T241)/INDEX('Market Data'!$F$5:$F$528,$T241)-1,"unavailable"),"unavailable"))</f>
        <v/>
      </c>
      <c r="O241" s="9">
        <f>IF($T241=0,"",IF(IF(INDEX('Market Data'!$J$5:$J$528,$T241)=0,0,IF(LEFT(INDEX('Market Data'!$AS$5:$AS$66,INDEX('Market Data'!$J$5:$J$528,$T241)-4),11)="First-month",1,0))=1,"Class ratio review",IF($I241="Bloomberg",IF(ISNUMBER($G241),IF($G241&lt;TODAY(),"Older quote","See quote time"),"Date unavailable"),IF($I241="Snapshot",IF($G241&lt;DATEVALUE("2026-10-02"),"Older snapshot","Dated close"),"No valid quote"))))</f>
        <v/>
      </c>
      <c r="P241" s="14">
        <f>IF($T241=0,"",IF(INDEX('Market Data'!$J$5:$J$528,$T241)=0,"n/a",IF($Q241="Bloomberg",IF(AND(ISNUMBER(INDEX('Market Data'!$AK$5:$AK$66,INDEX('Market Data'!$J$5:$J$528,$T241)-4)),N(INDEX('Market Data'!$AK$5:$AK$66,INDEX('Market Data'!$J$5:$J$528,$T241)-4))&gt;0),INDEX('Market Data'!$AK$5:$AK$66,INDEX('Market Data'!$J$5:$J$528,$T241)-4),"date unavailable"),IF($Q241="Snapshot",IF(AND(ISNUMBER(INDEX('Market Data'!$AF$5:$AF$66,INDEX('Market Data'!$J$5:$J$528,$T241)-4)),N(INDEX('Market Data'!$AF$5:$AF$66,INDEX('Market Data'!$J$5:$J$528,$T241)-4))&gt;0),INDEX('Market Data'!$AF$5:$AF$66,INDEX('Market Data'!$J$5:$J$528,$T241)-4),"date unavailable"),"date unavailable"))))</f>
        <v/>
      </c>
      <c r="Q241" s="15">
        <f>IF($T241=0,"",IF(INDEX('Market Data'!$J$5:$J$528,$T241)=0,"n/a",IF(AND($M$5&lt;&gt;"Snapshot",ISNUMBER(INDEX('Market Data'!$AH$5:$AH$66,INDEX('Market Data'!$J$5:$J$528,$T241)-4)),N(INDEX('Market Data'!$AH$5:$AH$66,INDEX('Market Data'!$J$5:$J$528,$T241)-4))&gt;0),"Bloomberg",IF(AND($M$5&lt;&gt;"Bloomberg",ISNUMBER(INDEX('Market Data'!$AC$5:$AC$66,INDEX('Market Data'!$J$5:$J$528,$T241)-4)),N(INDEX('Market Data'!$AC$5:$AC$66,INDEX('Market Data'!$J$5:$J$528,$T241)-4))&gt;0),"Snapshot","Unavailable"))))</f>
        <v/>
      </c>
      <c r="T241">
        <f>IFERROR(MATCH(233,'Market Data'!$S$5:$S$528,0),0)</f>
        <v/>
      </c>
    </row>
    <row r="242" ht="34" customHeight="1">
      <c r="A242" s="8">
        <f>IF($T242=0,"",IF(INDEX('Market Data'!$A$5:$A$528,$T242)="","",INDEX('Market Data'!$A$5:$A$528,$T242)))</f>
        <v/>
      </c>
      <c r="B242" s="9">
        <f>IF($T242=0,"",IF(INDEX('Market Data'!$B$5:$B$528,$T242)="","",INDEX('Market Data'!$B$5:$B$528,$T242)))</f>
        <v/>
      </c>
      <c r="C242" s="9">
        <f>IF($T242=0,"",IF(INDEX('Market Data'!$C$5:$C$528,$T242)="","",INDEX('Market Data'!$C$5:$C$528,$T242)))</f>
        <v/>
      </c>
      <c r="D242" s="9">
        <f>IF($T242=0,"",IF(INDEX('Market Data'!$D$5:$D$528,$T242)="","",INDEX('Market Data'!$D$5:$D$528,$T242)))</f>
        <v/>
      </c>
      <c r="E242" s="10">
        <f>IF($T242=0,"",INDEX('Market Data'!$O$5:$O$528,$T242))</f>
        <v/>
      </c>
      <c r="F242" s="11">
        <f>IF($T242=0,"",IF(AND($I242="Bloomberg",ISNUMBER(INDEX('Market Data'!$L$5:$L$528,$T242))),INDEX('Market Data'!$L$5:$L$528,$T242),"unavailable"))</f>
        <v/>
      </c>
      <c r="G242" s="12">
        <f>IF($T242=0,"",IF($I242="Bloomberg",IF(AND(ISNUMBER(INDEX('Market Data'!$M$5:$M$528,$T242)),N(INDEX('Market Data'!$M$5:$M$528,$T242))&gt;0),INDEX('Market Data'!$M$5:$M$528,$T242),"date unavailable"),IF($I242="Snapshot",IF(AND(ISNUMBER(INDEX('Market Data'!$H$5:$H$528,$T242)),N(INDEX('Market Data'!$H$5:$H$528,$T242))&gt;0),INDEX('Market Data'!$H$5:$H$528,$T242),"date unavailable"),"date unavailable")))</f>
        <v/>
      </c>
      <c r="H242" s="9">
        <f>IF($T242=0,"",IF($I242="Bloomberg",IF(INDEX('Market Data'!$N$5:$N$528,$T242)="","time unavailable",INDEX('Market Data'!$N$5:$N$528,$T242)),""))</f>
        <v/>
      </c>
      <c r="I242" s="9">
        <f>IF($T242=0,"",INDEX('Market Data'!$P$5:$P$528,$T242))</f>
        <v/>
      </c>
      <c r="J242" s="13">
        <f>IF($T242=0,"",IF(INDEX('Market Data'!$E$5:$E$528,$T242)="","",INDEX('Market Data'!$E$5:$E$528,$T242)))</f>
        <v/>
      </c>
      <c r="K242" s="8">
        <f>IF($T242=0,"",IF(INDEX('Market Data'!$I$5:$I$528,$T242)="","",INDEX('Market Data'!$I$5:$I$528,$T242)))</f>
        <v/>
      </c>
      <c r="L242" s="10">
        <f>IF($T242=0,"",IF(INDEX('Market Data'!$J$5:$J$528,$T242)=0,"n/a",IF(AND($M$5&lt;&gt;"Snapshot",ISNUMBER(INDEX('Market Data'!$AH$5:$AH$66,INDEX('Market Data'!$J$5:$J$528,$T242)-4)),N(INDEX('Market Data'!$AH$5:$AH$66,INDEX('Market Data'!$J$5:$J$528,$T242)-4))&gt;0),INDEX('Market Data'!$AH$5:$AH$66,INDEX('Market Data'!$J$5:$J$528,$T242)-4),IF(AND($M$5&lt;&gt;"Bloomberg",ISNUMBER(INDEX('Market Data'!$AC$5:$AC$66,INDEX('Market Data'!$J$5:$J$528,$T242)-4)),N(INDEX('Market Data'!$AC$5:$AC$66,INDEX('Market Data'!$J$5:$J$528,$T242)-4))&gt;0),INDEX('Market Data'!$AC$5:$AC$66,INDEX('Market Data'!$J$5:$J$528,$T242)-4),"unavailable"))))</f>
        <v/>
      </c>
      <c r="M242" s="11">
        <f>IF($T242=0,"",IF(INDEX('Market Data'!$J$5:$J$528,$T242)=0,"n/a",IF(IF(INDEX('Market Data'!$J$5:$J$528,$T242)=0,0,IF(LEFT(INDEX('Market Data'!$AS$5:$AS$66,INDEX('Market Data'!$J$5:$J$528,$T242)-4),11)="First-month",1,0))=1,"class review",IF($I242="Bloomberg",IF(AND(ISNUMBER(INDEX('Market Data'!$AH$5:$AH$66,INDEX('Market Data'!$J$5:$J$528,$T242)-4)),N(INDEX('Market Data'!$AH$5:$AH$66,INDEX('Market Data'!$J$5:$J$528,$T242)-4))&gt;0,ISNUMBER('Market Data'!$B$1),N('Market Data'!$B$1)&gt;0),INDEX('Market Data'!$AH$5:$AH$66,INDEX('Market Data'!$J$5:$J$528,$T242)-4)*'Market Data'!$B$1/$E242-1,"pending A/FX"),IF(AND($I242="Snapshot",$Q242="Snapshot",ISNUMBER($E242),$G242=INDEX('Market Data'!$AE$5:$AE$66,INDEX('Market Data'!$J$5:$J$528,$T242)-4)),IFERROR(INDEX('Market Data'!$AC$5:$AC$66,INDEX('Market Data'!$J$5:$J$528,$T242)-4)*INDEX('Market Data'!$AD$5:$AD$66,INDEX('Market Data'!$J$5:$J$528,$T242)-4)/$E242-1,"unavailable"),IF($I242="Unavailable","unavailable","date mismatch"))))))</f>
        <v/>
      </c>
      <c r="N242" s="11">
        <f>IF($T242=0,"",IFERROR(IF(AND(N(INDEX('Market Data'!$F$5:$F$528,$T242))&gt;0,ISNUMBER(INDEX('Market Data'!$T$5:$T$528,$T242))),$E242*INDEX('Market Data'!$T$5:$T$528,$T242)/INDEX('Market Data'!$F$5:$F$528,$T242)-1,"unavailable"),"unavailable"))</f>
        <v/>
      </c>
      <c r="O242" s="9">
        <f>IF($T242=0,"",IF(IF(INDEX('Market Data'!$J$5:$J$528,$T242)=0,0,IF(LEFT(INDEX('Market Data'!$AS$5:$AS$66,INDEX('Market Data'!$J$5:$J$528,$T242)-4),11)="First-month",1,0))=1,"Class ratio review",IF($I242="Bloomberg",IF(ISNUMBER($G242),IF($G242&lt;TODAY(),"Older quote","See quote time"),"Date unavailable"),IF($I242="Snapshot",IF($G242&lt;DATEVALUE("2026-10-02"),"Older snapshot","Dated close"),"No valid quote"))))</f>
        <v/>
      </c>
      <c r="P242" s="14">
        <f>IF($T242=0,"",IF(INDEX('Market Data'!$J$5:$J$528,$T242)=0,"n/a",IF($Q242="Bloomberg",IF(AND(ISNUMBER(INDEX('Market Data'!$AK$5:$AK$66,INDEX('Market Data'!$J$5:$J$528,$T242)-4)),N(INDEX('Market Data'!$AK$5:$AK$66,INDEX('Market Data'!$J$5:$J$528,$T242)-4))&gt;0),INDEX('Market Data'!$AK$5:$AK$66,INDEX('Market Data'!$J$5:$J$528,$T242)-4),"date unavailable"),IF($Q242="Snapshot",IF(AND(ISNUMBER(INDEX('Market Data'!$AF$5:$AF$66,INDEX('Market Data'!$J$5:$J$528,$T242)-4)),N(INDEX('Market Data'!$AF$5:$AF$66,INDEX('Market Data'!$J$5:$J$528,$T242)-4))&gt;0),INDEX('Market Data'!$AF$5:$AF$66,INDEX('Market Data'!$J$5:$J$528,$T242)-4),"date unavailable"),"date unavailable"))))</f>
        <v/>
      </c>
      <c r="Q242" s="15">
        <f>IF($T242=0,"",IF(INDEX('Market Data'!$J$5:$J$528,$T242)=0,"n/a",IF(AND($M$5&lt;&gt;"Snapshot",ISNUMBER(INDEX('Market Data'!$AH$5:$AH$66,INDEX('Market Data'!$J$5:$J$528,$T242)-4)),N(INDEX('Market Data'!$AH$5:$AH$66,INDEX('Market Data'!$J$5:$J$528,$T242)-4))&gt;0),"Bloomberg",IF(AND($M$5&lt;&gt;"Bloomberg",ISNUMBER(INDEX('Market Data'!$AC$5:$AC$66,INDEX('Market Data'!$J$5:$J$528,$T242)-4)),N(INDEX('Market Data'!$AC$5:$AC$66,INDEX('Market Data'!$J$5:$J$528,$T242)-4))&gt;0),"Snapshot","Unavailable"))))</f>
        <v/>
      </c>
      <c r="T242">
        <f>IFERROR(MATCH(234,'Market Data'!$S$5:$S$528,0),0)</f>
        <v/>
      </c>
    </row>
    <row r="243" ht="34" customHeight="1">
      <c r="A243" s="8">
        <f>IF($T243=0,"",IF(INDEX('Market Data'!$A$5:$A$528,$T243)="","",INDEX('Market Data'!$A$5:$A$528,$T243)))</f>
        <v/>
      </c>
      <c r="B243" s="9">
        <f>IF($T243=0,"",IF(INDEX('Market Data'!$B$5:$B$528,$T243)="","",INDEX('Market Data'!$B$5:$B$528,$T243)))</f>
        <v/>
      </c>
      <c r="C243" s="9">
        <f>IF($T243=0,"",IF(INDEX('Market Data'!$C$5:$C$528,$T243)="","",INDEX('Market Data'!$C$5:$C$528,$T243)))</f>
        <v/>
      </c>
      <c r="D243" s="9">
        <f>IF($T243=0,"",IF(INDEX('Market Data'!$D$5:$D$528,$T243)="","",INDEX('Market Data'!$D$5:$D$528,$T243)))</f>
        <v/>
      </c>
      <c r="E243" s="10">
        <f>IF($T243=0,"",INDEX('Market Data'!$O$5:$O$528,$T243))</f>
        <v/>
      </c>
      <c r="F243" s="11">
        <f>IF($T243=0,"",IF(AND($I243="Bloomberg",ISNUMBER(INDEX('Market Data'!$L$5:$L$528,$T243))),INDEX('Market Data'!$L$5:$L$528,$T243),"unavailable"))</f>
        <v/>
      </c>
      <c r="G243" s="12">
        <f>IF($T243=0,"",IF($I243="Bloomberg",IF(AND(ISNUMBER(INDEX('Market Data'!$M$5:$M$528,$T243)),N(INDEX('Market Data'!$M$5:$M$528,$T243))&gt;0),INDEX('Market Data'!$M$5:$M$528,$T243),"date unavailable"),IF($I243="Snapshot",IF(AND(ISNUMBER(INDEX('Market Data'!$H$5:$H$528,$T243)),N(INDEX('Market Data'!$H$5:$H$528,$T243))&gt;0),INDEX('Market Data'!$H$5:$H$528,$T243),"date unavailable"),"date unavailable")))</f>
        <v/>
      </c>
      <c r="H243" s="9">
        <f>IF($T243=0,"",IF($I243="Bloomberg",IF(INDEX('Market Data'!$N$5:$N$528,$T243)="","time unavailable",INDEX('Market Data'!$N$5:$N$528,$T243)),""))</f>
        <v/>
      </c>
      <c r="I243" s="9">
        <f>IF($T243=0,"",INDEX('Market Data'!$P$5:$P$528,$T243))</f>
        <v/>
      </c>
      <c r="J243" s="13">
        <f>IF($T243=0,"",IF(INDEX('Market Data'!$E$5:$E$528,$T243)="","",INDEX('Market Data'!$E$5:$E$528,$T243)))</f>
        <v/>
      </c>
      <c r="K243" s="8">
        <f>IF($T243=0,"",IF(INDEX('Market Data'!$I$5:$I$528,$T243)="","",INDEX('Market Data'!$I$5:$I$528,$T243)))</f>
        <v/>
      </c>
      <c r="L243" s="10">
        <f>IF($T243=0,"",IF(INDEX('Market Data'!$J$5:$J$528,$T243)=0,"n/a",IF(AND($M$5&lt;&gt;"Snapshot",ISNUMBER(INDEX('Market Data'!$AH$5:$AH$66,INDEX('Market Data'!$J$5:$J$528,$T243)-4)),N(INDEX('Market Data'!$AH$5:$AH$66,INDEX('Market Data'!$J$5:$J$528,$T243)-4))&gt;0),INDEX('Market Data'!$AH$5:$AH$66,INDEX('Market Data'!$J$5:$J$528,$T243)-4),IF(AND($M$5&lt;&gt;"Bloomberg",ISNUMBER(INDEX('Market Data'!$AC$5:$AC$66,INDEX('Market Data'!$J$5:$J$528,$T243)-4)),N(INDEX('Market Data'!$AC$5:$AC$66,INDEX('Market Data'!$J$5:$J$528,$T243)-4))&gt;0),INDEX('Market Data'!$AC$5:$AC$66,INDEX('Market Data'!$J$5:$J$528,$T243)-4),"unavailable"))))</f>
        <v/>
      </c>
      <c r="M243" s="11">
        <f>IF($T243=0,"",IF(INDEX('Market Data'!$J$5:$J$528,$T243)=0,"n/a",IF(IF(INDEX('Market Data'!$J$5:$J$528,$T243)=0,0,IF(LEFT(INDEX('Market Data'!$AS$5:$AS$66,INDEX('Market Data'!$J$5:$J$528,$T243)-4),11)="First-month",1,0))=1,"class review",IF($I243="Bloomberg",IF(AND(ISNUMBER(INDEX('Market Data'!$AH$5:$AH$66,INDEX('Market Data'!$J$5:$J$528,$T243)-4)),N(INDEX('Market Data'!$AH$5:$AH$66,INDEX('Market Data'!$J$5:$J$528,$T243)-4))&gt;0,ISNUMBER('Market Data'!$B$1),N('Market Data'!$B$1)&gt;0),INDEX('Market Data'!$AH$5:$AH$66,INDEX('Market Data'!$J$5:$J$528,$T243)-4)*'Market Data'!$B$1/$E243-1,"pending A/FX"),IF(AND($I243="Snapshot",$Q243="Snapshot",ISNUMBER($E243),$G243=INDEX('Market Data'!$AE$5:$AE$66,INDEX('Market Data'!$J$5:$J$528,$T243)-4)),IFERROR(INDEX('Market Data'!$AC$5:$AC$66,INDEX('Market Data'!$J$5:$J$528,$T243)-4)*INDEX('Market Data'!$AD$5:$AD$66,INDEX('Market Data'!$J$5:$J$528,$T243)-4)/$E243-1,"unavailable"),IF($I243="Unavailable","unavailable","date mismatch"))))))</f>
        <v/>
      </c>
      <c r="N243" s="11">
        <f>IF($T243=0,"",IFERROR(IF(AND(N(INDEX('Market Data'!$F$5:$F$528,$T243))&gt;0,ISNUMBER(INDEX('Market Data'!$T$5:$T$528,$T243))),$E243*INDEX('Market Data'!$T$5:$T$528,$T243)/INDEX('Market Data'!$F$5:$F$528,$T243)-1,"unavailable"),"unavailable"))</f>
        <v/>
      </c>
      <c r="O243" s="9">
        <f>IF($T243=0,"",IF(IF(INDEX('Market Data'!$J$5:$J$528,$T243)=0,0,IF(LEFT(INDEX('Market Data'!$AS$5:$AS$66,INDEX('Market Data'!$J$5:$J$528,$T243)-4),11)="First-month",1,0))=1,"Class ratio review",IF($I243="Bloomberg",IF(ISNUMBER($G243),IF($G243&lt;TODAY(),"Older quote","See quote time"),"Date unavailable"),IF($I243="Snapshot",IF($G243&lt;DATEVALUE("2026-10-02"),"Older snapshot","Dated close"),"No valid quote"))))</f>
        <v/>
      </c>
      <c r="P243" s="14">
        <f>IF($T243=0,"",IF(INDEX('Market Data'!$J$5:$J$528,$T243)=0,"n/a",IF($Q243="Bloomberg",IF(AND(ISNUMBER(INDEX('Market Data'!$AK$5:$AK$66,INDEX('Market Data'!$J$5:$J$528,$T243)-4)),N(INDEX('Market Data'!$AK$5:$AK$66,INDEX('Market Data'!$J$5:$J$528,$T243)-4))&gt;0),INDEX('Market Data'!$AK$5:$AK$66,INDEX('Market Data'!$J$5:$J$528,$T243)-4),"date unavailable"),IF($Q243="Snapshot",IF(AND(ISNUMBER(INDEX('Market Data'!$AF$5:$AF$66,INDEX('Market Data'!$J$5:$J$528,$T243)-4)),N(INDEX('Market Data'!$AF$5:$AF$66,INDEX('Market Data'!$J$5:$J$528,$T243)-4))&gt;0),INDEX('Market Data'!$AF$5:$AF$66,INDEX('Market Data'!$J$5:$J$528,$T243)-4),"date unavailable"),"date unavailable"))))</f>
        <v/>
      </c>
      <c r="Q243" s="15">
        <f>IF($T243=0,"",IF(INDEX('Market Data'!$J$5:$J$528,$T243)=0,"n/a",IF(AND($M$5&lt;&gt;"Snapshot",ISNUMBER(INDEX('Market Data'!$AH$5:$AH$66,INDEX('Market Data'!$J$5:$J$528,$T243)-4)),N(INDEX('Market Data'!$AH$5:$AH$66,INDEX('Market Data'!$J$5:$J$528,$T243)-4))&gt;0),"Bloomberg",IF(AND($M$5&lt;&gt;"Bloomberg",ISNUMBER(INDEX('Market Data'!$AC$5:$AC$66,INDEX('Market Data'!$J$5:$J$528,$T243)-4)),N(INDEX('Market Data'!$AC$5:$AC$66,INDEX('Market Data'!$J$5:$J$528,$T243)-4))&gt;0),"Snapshot","Unavailable"))))</f>
        <v/>
      </c>
      <c r="T243">
        <f>IFERROR(MATCH(235,'Market Data'!$S$5:$S$528,0),0)</f>
        <v/>
      </c>
    </row>
    <row r="244" ht="34" customHeight="1">
      <c r="A244" s="8">
        <f>IF($T244=0,"",IF(INDEX('Market Data'!$A$5:$A$528,$T244)="","",INDEX('Market Data'!$A$5:$A$528,$T244)))</f>
        <v/>
      </c>
      <c r="B244" s="9">
        <f>IF($T244=0,"",IF(INDEX('Market Data'!$B$5:$B$528,$T244)="","",INDEX('Market Data'!$B$5:$B$528,$T244)))</f>
        <v/>
      </c>
      <c r="C244" s="9">
        <f>IF($T244=0,"",IF(INDEX('Market Data'!$C$5:$C$528,$T244)="","",INDEX('Market Data'!$C$5:$C$528,$T244)))</f>
        <v/>
      </c>
      <c r="D244" s="9">
        <f>IF($T244=0,"",IF(INDEX('Market Data'!$D$5:$D$528,$T244)="","",INDEX('Market Data'!$D$5:$D$528,$T244)))</f>
        <v/>
      </c>
      <c r="E244" s="10">
        <f>IF($T244=0,"",INDEX('Market Data'!$O$5:$O$528,$T244))</f>
        <v/>
      </c>
      <c r="F244" s="11">
        <f>IF($T244=0,"",IF(AND($I244="Bloomberg",ISNUMBER(INDEX('Market Data'!$L$5:$L$528,$T244))),INDEX('Market Data'!$L$5:$L$528,$T244),"unavailable"))</f>
        <v/>
      </c>
      <c r="G244" s="12">
        <f>IF($T244=0,"",IF($I244="Bloomberg",IF(AND(ISNUMBER(INDEX('Market Data'!$M$5:$M$528,$T244)),N(INDEX('Market Data'!$M$5:$M$528,$T244))&gt;0),INDEX('Market Data'!$M$5:$M$528,$T244),"date unavailable"),IF($I244="Snapshot",IF(AND(ISNUMBER(INDEX('Market Data'!$H$5:$H$528,$T244)),N(INDEX('Market Data'!$H$5:$H$528,$T244))&gt;0),INDEX('Market Data'!$H$5:$H$528,$T244),"date unavailable"),"date unavailable")))</f>
        <v/>
      </c>
      <c r="H244" s="9">
        <f>IF($T244=0,"",IF($I244="Bloomberg",IF(INDEX('Market Data'!$N$5:$N$528,$T244)="","time unavailable",INDEX('Market Data'!$N$5:$N$528,$T244)),""))</f>
        <v/>
      </c>
      <c r="I244" s="9">
        <f>IF($T244=0,"",INDEX('Market Data'!$P$5:$P$528,$T244))</f>
        <v/>
      </c>
      <c r="J244" s="13">
        <f>IF($T244=0,"",IF(INDEX('Market Data'!$E$5:$E$528,$T244)="","",INDEX('Market Data'!$E$5:$E$528,$T244)))</f>
        <v/>
      </c>
      <c r="K244" s="8">
        <f>IF($T244=0,"",IF(INDEX('Market Data'!$I$5:$I$528,$T244)="","",INDEX('Market Data'!$I$5:$I$528,$T244)))</f>
        <v/>
      </c>
      <c r="L244" s="10">
        <f>IF($T244=0,"",IF(INDEX('Market Data'!$J$5:$J$528,$T244)=0,"n/a",IF(AND($M$5&lt;&gt;"Snapshot",ISNUMBER(INDEX('Market Data'!$AH$5:$AH$66,INDEX('Market Data'!$J$5:$J$528,$T244)-4)),N(INDEX('Market Data'!$AH$5:$AH$66,INDEX('Market Data'!$J$5:$J$528,$T244)-4))&gt;0),INDEX('Market Data'!$AH$5:$AH$66,INDEX('Market Data'!$J$5:$J$528,$T244)-4),IF(AND($M$5&lt;&gt;"Bloomberg",ISNUMBER(INDEX('Market Data'!$AC$5:$AC$66,INDEX('Market Data'!$J$5:$J$528,$T244)-4)),N(INDEX('Market Data'!$AC$5:$AC$66,INDEX('Market Data'!$J$5:$J$528,$T244)-4))&gt;0),INDEX('Market Data'!$AC$5:$AC$66,INDEX('Market Data'!$J$5:$J$528,$T244)-4),"unavailable"))))</f>
        <v/>
      </c>
      <c r="M244" s="11">
        <f>IF($T244=0,"",IF(INDEX('Market Data'!$J$5:$J$528,$T244)=0,"n/a",IF(IF(INDEX('Market Data'!$J$5:$J$528,$T244)=0,0,IF(LEFT(INDEX('Market Data'!$AS$5:$AS$66,INDEX('Market Data'!$J$5:$J$528,$T244)-4),11)="First-month",1,0))=1,"class review",IF($I244="Bloomberg",IF(AND(ISNUMBER(INDEX('Market Data'!$AH$5:$AH$66,INDEX('Market Data'!$J$5:$J$528,$T244)-4)),N(INDEX('Market Data'!$AH$5:$AH$66,INDEX('Market Data'!$J$5:$J$528,$T244)-4))&gt;0,ISNUMBER('Market Data'!$B$1),N('Market Data'!$B$1)&gt;0),INDEX('Market Data'!$AH$5:$AH$66,INDEX('Market Data'!$J$5:$J$528,$T244)-4)*'Market Data'!$B$1/$E244-1,"pending A/FX"),IF(AND($I244="Snapshot",$Q244="Snapshot",ISNUMBER($E244),$G244=INDEX('Market Data'!$AE$5:$AE$66,INDEX('Market Data'!$J$5:$J$528,$T244)-4)),IFERROR(INDEX('Market Data'!$AC$5:$AC$66,INDEX('Market Data'!$J$5:$J$528,$T244)-4)*INDEX('Market Data'!$AD$5:$AD$66,INDEX('Market Data'!$J$5:$J$528,$T244)-4)/$E244-1,"unavailable"),IF($I244="Unavailable","unavailable","date mismatch"))))))</f>
        <v/>
      </c>
      <c r="N244" s="11">
        <f>IF($T244=0,"",IFERROR(IF(AND(N(INDEX('Market Data'!$F$5:$F$528,$T244))&gt;0,ISNUMBER(INDEX('Market Data'!$T$5:$T$528,$T244))),$E244*INDEX('Market Data'!$T$5:$T$528,$T244)/INDEX('Market Data'!$F$5:$F$528,$T244)-1,"unavailable"),"unavailable"))</f>
        <v/>
      </c>
      <c r="O244" s="9">
        <f>IF($T244=0,"",IF(IF(INDEX('Market Data'!$J$5:$J$528,$T244)=0,0,IF(LEFT(INDEX('Market Data'!$AS$5:$AS$66,INDEX('Market Data'!$J$5:$J$528,$T244)-4),11)="First-month",1,0))=1,"Class ratio review",IF($I244="Bloomberg",IF(ISNUMBER($G244),IF($G244&lt;TODAY(),"Older quote","See quote time"),"Date unavailable"),IF($I244="Snapshot",IF($G244&lt;DATEVALUE("2026-10-02"),"Older snapshot","Dated close"),"No valid quote"))))</f>
        <v/>
      </c>
      <c r="P244" s="14">
        <f>IF($T244=0,"",IF(INDEX('Market Data'!$J$5:$J$528,$T244)=0,"n/a",IF($Q244="Bloomberg",IF(AND(ISNUMBER(INDEX('Market Data'!$AK$5:$AK$66,INDEX('Market Data'!$J$5:$J$528,$T244)-4)),N(INDEX('Market Data'!$AK$5:$AK$66,INDEX('Market Data'!$J$5:$J$528,$T244)-4))&gt;0),INDEX('Market Data'!$AK$5:$AK$66,INDEX('Market Data'!$J$5:$J$528,$T244)-4),"date unavailable"),IF($Q244="Snapshot",IF(AND(ISNUMBER(INDEX('Market Data'!$AF$5:$AF$66,INDEX('Market Data'!$J$5:$J$528,$T244)-4)),N(INDEX('Market Data'!$AF$5:$AF$66,INDEX('Market Data'!$J$5:$J$528,$T244)-4))&gt;0),INDEX('Market Data'!$AF$5:$AF$66,INDEX('Market Data'!$J$5:$J$528,$T244)-4),"date unavailable"),"date unavailable"))))</f>
        <v/>
      </c>
      <c r="Q244" s="15">
        <f>IF($T244=0,"",IF(INDEX('Market Data'!$J$5:$J$528,$T244)=0,"n/a",IF(AND($M$5&lt;&gt;"Snapshot",ISNUMBER(INDEX('Market Data'!$AH$5:$AH$66,INDEX('Market Data'!$J$5:$J$528,$T244)-4)),N(INDEX('Market Data'!$AH$5:$AH$66,INDEX('Market Data'!$J$5:$J$528,$T244)-4))&gt;0),"Bloomberg",IF(AND($M$5&lt;&gt;"Bloomberg",ISNUMBER(INDEX('Market Data'!$AC$5:$AC$66,INDEX('Market Data'!$J$5:$J$528,$T244)-4)),N(INDEX('Market Data'!$AC$5:$AC$66,INDEX('Market Data'!$J$5:$J$528,$T244)-4))&gt;0),"Snapshot","Unavailable"))))</f>
        <v/>
      </c>
      <c r="T244">
        <f>IFERROR(MATCH(236,'Market Data'!$S$5:$S$528,0),0)</f>
        <v/>
      </c>
    </row>
    <row r="245" ht="34" customHeight="1">
      <c r="A245" s="8">
        <f>IF($T245=0,"",IF(INDEX('Market Data'!$A$5:$A$528,$T245)="","",INDEX('Market Data'!$A$5:$A$528,$T245)))</f>
        <v/>
      </c>
      <c r="B245" s="9">
        <f>IF($T245=0,"",IF(INDEX('Market Data'!$B$5:$B$528,$T245)="","",INDEX('Market Data'!$B$5:$B$528,$T245)))</f>
        <v/>
      </c>
      <c r="C245" s="9">
        <f>IF($T245=0,"",IF(INDEX('Market Data'!$C$5:$C$528,$T245)="","",INDEX('Market Data'!$C$5:$C$528,$T245)))</f>
        <v/>
      </c>
      <c r="D245" s="9">
        <f>IF($T245=0,"",IF(INDEX('Market Data'!$D$5:$D$528,$T245)="","",INDEX('Market Data'!$D$5:$D$528,$T245)))</f>
        <v/>
      </c>
      <c r="E245" s="10">
        <f>IF($T245=0,"",INDEX('Market Data'!$O$5:$O$528,$T245))</f>
        <v/>
      </c>
      <c r="F245" s="11">
        <f>IF($T245=0,"",IF(AND($I245="Bloomberg",ISNUMBER(INDEX('Market Data'!$L$5:$L$528,$T245))),INDEX('Market Data'!$L$5:$L$528,$T245),"unavailable"))</f>
        <v/>
      </c>
      <c r="G245" s="12">
        <f>IF($T245=0,"",IF($I245="Bloomberg",IF(AND(ISNUMBER(INDEX('Market Data'!$M$5:$M$528,$T245)),N(INDEX('Market Data'!$M$5:$M$528,$T245))&gt;0),INDEX('Market Data'!$M$5:$M$528,$T245),"date unavailable"),IF($I245="Snapshot",IF(AND(ISNUMBER(INDEX('Market Data'!$H$5:$H$528,$T245)),N(INDEX('Market Data'!$H$5:$H$528,$T245))&gt;0),INDEX('Market Data'!$H$5:$H$528,$T245),"date unavailable"),"date unavailable")))</f>
        <v/>
      </c>
      <c r="H245" s="9">
        <f>IF($T245=0,"",IF($I245="Bloomberg",IF(INDEX('Market Data'!$N$5:$N$528,$T245)="","time unavailable",INDEX('Market Data'!$N$5:$N$528,$T245)),""))</f>
        <v/>
      </c>
      <c r="I245" s="9">
        <f>IF($T245=0,"",INDEX('Market Data'!$P$5:$P$528,$T245))</f>
        <v/>
      </c>
      <c r="J245" s="13">
        <f>IF($T245=0,"",IF(INDEX('Market Data'!$E$5:$E$528,$T245)="","",INDEX('Market Data'!$E$5:$E$528,$T245)))</f>
        <v/>
      </c>
      <c r="K245" s="8">
        <f>IF($T245=0,"",IF(INDEX('Market Data'!$I$5:$I$528,$T245)="","",INDEX('Market Data'!$I$5:$I$528,$T245)))</f>
        <v/>
      </c>
      <c r="L245" s="10">
        <f>IF($T245=0,"",IF(INDEX('Market Data'!$J$5:$J$528,$T245)=0,"n/a",IF(AND($M$5&lt;&gt;"Snapshot",ISNUMBER(INDEX('Market Data'!$AH$5:$AH$66,INDEX('Market Data'!$J$5:$J$528,$T245)-4)),N(INDEX('Market Data'!$AH$5:$AH$66,INDEX('Market Data'!$J$5:$J$528,$T245)-4))&gt;0),INDEX('Market Data'!$AH$5:$AH$66,INDEX('Market Data'!$J$5:$J$528,$T245)-4),IF(AND($M$5&lt;&gt;"Bloomberg",ISNUMBER(INDEX('Market Data'!$AC$5:$AC$66,INDEX('Market Data'!$J$5:$J$528,$T245)-4)),N(INDEX('Market Data'!$AC$5:$AC$66,INDEX('Market Data'!$J$5:$J$528,$T245)-4))&gt;0),INDEX('Market Data'!$AC$5:$AC$66,INDEX('Market Data'!$J$5:$J$528,$T245)-4),"unavailable"))))</f>
        <v/>
      </c>
      <c r="M245" s="11">
        <f>IF($T245=0,"",IF(INDEX('Market Data'!$J$5:$J$528,$T245)=0,"n/a",IF(IF(INDEX('Market Data'!$J$5:$J$528,$T245)=0,0,IF(LEFT(INDEX('Market Data'!$AS$5:$AS$66,INDEX('Market Data'!$J$5:$J$528,$T245)-4),11)="First-month",1,0))=1,"class review",IF($I245="Bloomberg",IF(AND(ISNUMBER(INDEX('Market Data'!$AH$5:$AH$66,INDEX('Market Data'!$J$5:$J$528,$T245)-4)),N(INDEX('Market Data'!$AH$5:$AH$66,INDEX('Market Data'!$J$5:$J$528,$T245)-4))&gt;0,ISNUMBER('Market Data'!$B$1),N('Market Data'!$B$1)&gt;0),INDEX('Market Data'!$AH$5:$AH$66,INDEX('Market Data'!$J$5:$J$528,$T245)-4)*'Market Data'!$B$1/$E245-1,"pending A/FX"),IF(AND($I245="Snapshot",$Q245="Snapshot",ISNUMBER($E245),$G245=INDEX('Market Data'!$AE$5:$AE$66,INDEX('Market Data'!$J$5:$J$528,$T245)-4)),IFERROR(INDEX('Market Data'!$AC$5:$AC$66,INDEX('Market Data'!$J$5:$J$528,$T245)-4)*INDEX('Market Data'!$AD$5:$AD$66,INDEX('Market Data'!$J$5:$J$528,$T245)-4)/$E245-1,"unavailable"),IF($I245="Unavailable","unavailable","date mismatch"))))))</f>
        <v/>
      </c>
      <c r="N245" s="11">
        <f>IF($T245=0,"",IFERROR(IF(AND(N(INDEX('Market Data'!$F$5:$F$528,$T245))&gt;0,ISNUMBER(INDEX('Market Data'!$T$5:$T$528,$T245))),$E245*INDEX('Market Data'!$T$5:$T$528,$T245)/INDEX('Market Data'!$F$5:$F$528,$T245)-1,"unavailable"),"unavailable"))</f>
        <v/>
      </c>
      <c r="O245" s="9">
        <f>IF($T245=0,"",IF(IF(INDEX('Market Data'!$J$5:$J$528,$T245)=0,0,IF(LEFT(INDEX('Market Data'!$AS$5:$AS$66,INDEX('Market Data'!$J$5:$J$528,$T245)-4),11)="First-month",1,0))=1,"Class ratio review",IF($I245="Bloomberg",IF(ISNUMBER($G245),IF($G245&lt;TODAY(),"Older quote","See quote time"),"Date unavailable"),IF($I245="Snapshot",IF($G245&lt;DATEVALUE("2026-10-02"),"Older snapshot","Dated close"),"No valid quote"))))</f>
        <v/>
      </c>
      <c r="P245" s="14">
        <f>IF($T245=0,"",IF(INDEX('Market Data'!$J$5:$J$528,$T245)=0,"n/a",IF($Q245="Bloomberg",IF(AND(ISNUMBER(INDEX('Market Data'!$AK$5:$AK$66,INDEX('Market Data'!$J$5:$J$528,$T245)-4)),N(INDEX('Market Data'!$AK$5:$AK$66,INDEX('Market Data'!$J$5:$J$528,$T245)-4))&gt;0),INDEX('Market Data'!$AK$5:$AK$66,INDEX('Market Data'!$J$5:$J$528,$T245)-4),"date unavailable"),IF($Q245="Snapshot",IF(AND(ISNUMBER(INDEX('Market Data'!$AF$5:$AF$66,INDEX('Market Data'!$J$5:$J$528,$T245)-4)),N(INDEX('Market Data'!$AF$5:$AF$66,INDEX('Market Data'!$J$5:$J$528,$T245)-4))&gt;0),INDEX('Market Data'!$AF$5:$AF$66,INDEX('Market Data'!$J$5:$J$528,$T245)-4),"date unavailable"),"date unavailable"))))</f>
        <v/>
      </c>
      <c r="Q245" s="15">
        <f>IF($T245=0,"",IF(INDEX('Market Data'!$J$5:$J$528,$T245)=0,"n/a",IF(AND($M$5&lt;&gt;"Snapshot",ISNUMBER(INDEX('Market Data'!$AH$5:$AH$66,INDEX('Market Data'!$J$5:$J$528,$T245)-4)),N(INDEX('Market Data'!$AH$5:$AH$66,INDEX('Market Data'!$J$5:$J$528,$T245)-4))&gt;0),"Bloomberg",IF(AND($M$5&lt;&gt;"Bloomberg",ISNUMBER(INDEX('Market Data'!$AC$5:$AC$66,INDEX('Market Data'!$J$5:$J$528,$T245)-4)),N(INDEX('Market Data'!$AC$5:$AC$66,INDEX('Market Data'!$J$5:$J$528,$T245)-4))&gt;0),"Snapshot","Unavailable"))))</f>
        <v/>
      </c>
      <c r="T245">
        <f>IFERROR(MATCH(237,'Market Data'!$S$5:$S$528,0),0)</f>
        <v/>
      </c>
    </row>
    <row r="246" ht="34" customHeight="1">
      <c r="A246" s="8">
        <f>IF($T246=0,"",IF(INDEX('Market Data'!$A$5:$A$528,$T246)="","",INDEX('Market Data'!$A$5:$A$528,$T246)))</f>
        <v/>
      </c>
      <c r="B246" s="9">
        <f>IF($T246=0,"",IF(INDEX('Market Data'!$B$5:$B$528,$T246)="","",INDEX('Market Data'!$B$5:$B$528,$T246)))</f>
        <v/>
      </c>
      <c r="C246" s="9">
        <f>IF($T246=0,"",IF(INDEX('Market Data'!$C$5:$C$528,$T246)="","",INDEX('Market Data'!$C$5:$C$528,$T246)))</f>
        <v/>
      </c>
      <c r="D246" s="9">
        <f>IF($T246=0,"",IF(INDEX('Market Data'!$D$5:$D$528,$T246)="","",INDEX('Market Data'!$D$5:$D$528,$T246)))</f>
        <v/>
      </c>
      <c r="E246" s="10">
        <f>IF($T246=0,"",INDEX('Market Data'!$O$5:$O$528,$T246))</f>
        <v/>
      </c>
      <c r="F246" s="11">
        <f>IF($T246=0,"",IF(AND($I246="Bloomberg",ISNUMBER(INDEX('Market Data'!$L$5:$L$528,$T246))),INDEX('Market Data'!$L$5:$L$528,$T246),"unavailable"))</f>
        <v/>
      </c>
      <c r="G246" s="12">
        <f>IF($T246=0,"",IF($I246="Bloomberg",IF(AND(ISNUMBER(INDEX('Market Data'!$M$5:$M$528,$T246)),N(INDEX('Market Data'!$M$5:$M$528,$T246))&gt;0),INDEX('Market Data'!$M$5:$M$528,$T246),"date unavailable"),IF($I246="Snapshot",IF(AND(ISNUMBER(INDEX('Market Data'!$H$5:$H$528,$T246)),N(INDEX('Market Data'!$H$5:$H$528,$T246))&gt;0),INDEX('Market Data'!$H$5:$H$528,$T246),"date unavailable"),"date unavailable")))</f>
        <v/>
      </c>
      <c r="H246" s="9">
        <f>IF($T246=0,"",IF($I246="Bloomberg",IF(INDEX('Market Data'!$N$5:$N$528,$T246)="","time unavailable",INDEX('Market Data'!$N$5:$N$528,$T246)),""))</f>
        <v/>
      </c>
      <c r="I246" s="9">
        <f>IF($T246=0,"",INDEX('Market Data'!$P$5:$P$528,$T246))</f>
        <v/>
      </c>
      <c r="J246" s="13">
        <f>IF($T246=0,"",IF(INDEX('Market Data'!$E$5:$E$528,$T246)="","",INDEX('Market Data'!$E$5:$E$528,$T246)))</f>
        <v/>
      </c>
      <c r="K246" s="8">
        <f>IF($T246=0,"",IF(INDEX('Market Data'!$I$5:$I$528,$T246)="","",INDEX('Market Data'!$I$5:$I$528,$T246)))</f>
        <v/>
      </c>
      <c r="L246" s="10">
        <f>IF($T246=0,"",IF(INDEX('Market Data'!$J$5:$J$528,$T246)=0,"n/a",IF(AND($M$5&lt;&gt;"Snapshot",ISNUMBER(INDEX('Market Data'!$AH$5:$AH$66,INDEX('Market Data'!$J$5:$J$528,$T246)-4)),N(INDEX('Market Data'!$AH$5:$AH$66,INDEX('Market Data'!$J$5:$J$528,$T246)-4))&gt;0),INDEX('Market Data'!$AH$5:$AH$66,INDEX('Market Data'!$J$5:$J$528,$T246)-4),IF(AND($M$5&lt;&gt;"Bloomberg",ISNUMBER(INDEX('Market Data'!$AC$5:$AC$66,INDEX('Market Data'!$J$5:$J$528,$T246)-4)),N(INDEX('Market Data'!$AC$5:$AC$66,INDEX('Market Data'!$J$5:$J$528,$T246)-4))&gt;0),INDEX('Market Data'!$AC$5:$AC$66,INDEX('Market Data'!$J$5:$J$528,$T246)-4),"unavailable"))))</f>
        <v/>
      </c>
      <c r="M246" s="11">
        <f>IF($T246=0,"",IF(INDEX('Market Data'!$J$5:$J$528,$T246)=0,"n/a",IF(IF(INDEX('Market Data'!$J$5:$J$528,$T246)=0,0,IF(LEFT(INDEX('Market Data'!$AS$5:$AS$66,INDEX('Market Data'!$J$5:$J$528,$T246)-4),11)="First-month",1,0))=1,"class review",IF($I246="Bloomberg",IF(AND(ISNUMBER(INDEX('Market Data'!$AH$5:$AH$66,INDEX('Market Data'!$J$5:$J$528,$T246)-4)),N(INDEX('Market Data'!$AH$5:$AH$66,INDEX('Market Data'!$J$5:$J$528,$T246)-4))&gt;0,ISNUMBER('Market Data'!$B$1),N('Market Data'!$B$1)&gt;0),INDEX('Market Data'!$AH$5:$AH$66,INDEX('Market Data'!$J$5:$J$528,$T246)-4)*'Market Data'!$B$1/$E246-1,"pending A/FX"),IF(AND($I246="Snapshot",$Q246="Snapshot",ISNUMBER($E246),$G246=INDEX('Market Data'!$AE$5:$AE$66,INDEX('Market Data'!$J$5:$J$528,$T246)-4)),IFERROR(INDEX('Market Data'!$AC$5:$AC$66,INDEX('Market Data'!$J$5:$J$528,$T246)-4)*INDEX('Market Data'!$AD$5:$AD$66,INDEX('Market Data'!$J$5:$J$528,$T246)-4)/$E246-1,"unavailable"),IF($I246="Unavailable","unavailable","date mismatch"))))))</f>
        <v/>
      </c>
      <c r="N246" s="11">
        <f>IF($T246=0,"",IFERROR(IF(AND(N(INDEX('Market Data'!$F$5:$F$528,$T246))&gt;0,ISNUMBER(INDEX('Market Data'!$T$5:$T$528,$T246))),$E246*INDEX('Market Data'!$T$5:$T$528,$T246)/INDEX('Market Data'!$F$5:$F$528,$T246)-1,"unavailable"),"unavailable"))</f>
        <v/>
      </c>
      <c r="O246" s="9">
        <f>IF($T246=0,"",IF(IF(INDEX('Market Data'!$J$5:$J$528,$T246)=0,0,IF(LEFT(INDEX('Market Data'!$AS$5:$AS$66,INDEX('Market Data'!$J$5:$J$528,$T246)-4),11)="First-month",1,0))=1,"Class ratio review",IF($I246="Bloomberg",IF(ISNUMBER($G246),IF($G246&lt;TODAY(),"Older quote","See quote time"),"Date unavailable"),IF($I246="Snapshot",IF($G246&lt;DATEVALUE("2026-10-02"),"Older snapshot","Dated close"),"No valid quote"))))</f>
        <v/>
      </c>
      <c r="P246" s="14">
        <f>IF($T246=0,"",IF(INDEX('Market Data'!$J$5:$J$528,$T246)=0,"n/a",IF($Q246="Bloomberg",IF(AND(ISNUMBER(INDEX('Market Data'!$AK$5:$AK$66,INDEX('Market Data'!$J$5:$J$528,$T246)-4)),N(INDEX('Market Data'!$AK$5:$AK$66,INDEX('Market Data'!$J$5:$J$528,$T246)-4))&gt;0),INDEX('Market Data'!$AK$5:$AK$66,INDEX('Market Data'!$J$5:$J$528,$T246)-4),"date unavailable"),IF($Q246="Snapshot",IF(AND(ISNUMBER(INDEX('Market Data'!$AF$5:$AF$66,INDEX('Market Data'!$J$5:$J$528,$T246)-4)),N(INDEX('Market Data'!$AF$5:$AF$66,INDEX('Market Data'!$J$5:$J$528,$T246)-4))&gt;0),INDEX('Market Data'!$AF$5:$AF$66,INDEX('Market Data'!$J$5:$J$528,$T246)-4),"date unavailable"),"date unavailable"))))</f>
        <v/>
      </c>
      <c r="Q246" s="15">
        <f>IF($T246=0,"",IF(INDEX('Market Data'!$J$5:$J$528,$T246)=0,"n/a",IF(AND($M$5&lt;&gt;"Snapshot",ISNUMBER(INDEX('Market Data'!$AH$5:$AH$66,INDEX('Market Data'!$J$5:$J$528,$T246)-4)),N(INDEX('Market Data'!$AH$5:$AH$66,INDEX('Market Data'!$J$5:$J$528,$T246)-4))&gt;0),"Bloomberg",IF(AND($M$5&lt;&gt;"Bloomberg",ISNUMBER(INDEX('Market Data'!$AC$5:$AC$66,INDEX('Market Data'!$J$5:$J$528,$T246)-4)),N(INDEX('Market Data'!$AC$5:$AC$66,INDEX('Market Data'!$J$5:$J$528,$T246)-4))&gt;0),"Snapshot","Unavailable"))))</f>
        <v/>
      </c>
      <c r="T246">
        <f>IFERROR(MATCH(238,'Market Data'!$S$5:$S$528,0),0)</f>
        <v/>
      </c>
    </row>
    <row r="247" ht="34" customHeight="1">
      <c r="A247" s="8">
        <f>IF($T247=0,"",IF(INDEX('Market Data'!$A$5:$A$528,$T247)="","",INDEX('Market Data'!$A$5:$A$528,$T247)))</f>
        <v/>
      </c>
      <c r="B247" s="9">
        <f>IF($T247=0,"",IF(INDEX('Market Data'!$B$5:$B$528,$T247)="","",INDEX('Market Data'!$B$5:$B$528,$T247)))</f>
        <v/>
      </c>
      <c r="C247" s="9">
        <f>IF($T247=0,"",IF(INDEX('Market Data'!$C$5:$C$528,$T247)="","",INDEX('Market Data'!$C$5:$C$528,$T247)))</f>
        <v/>
      </c>
      <c r="D247" s="9">
        <f>IF($T247=0,"",IF(INDEX('Market Data'!$D$5:$D$528,$T247)="","",INDEX('Market Data'!$D$5:$D$528,$T247)))</f>
        <v/>
      </c>
      <c r="E247" s="10">
        <f>IF($T247=0,"",INDEX('Market Data'!$O$5:$O$528,$T247))</f>
        <v/>
      </c>
      <c r="F247" s="11">
        <f>IF($T247=0,"",IF(AND($I247="Bloomberg",ISNUMBER(INDEX('Market Data'!$L$5:$L$528,$T247))),INDEX('Market Data'!$L$5:$L$528,$T247),"unavailable"))</f>
        <v/>
      </c>
      <c r="G247" s="12">
        <f>IF($T247=0,"",IF($I247="Bloomberg",IF(AND(ISNUMBER(INDEX('Market Data'!$M$5:$M$528,$T247)),N(INDEX('Market Data'!$M$5:$M$528,$T247))&gt;0),INDEX('Market Data'!$M$5:$M$528,$T247),"date unavailable"),IF($I247="Snapshot",IF(AND(ISNUMBER(INDEX('Market Data'!$H$5:$H$528,$T247)),N(INDEX('Market Data'!$H$5:$H$528,$T247))&gt;0),INDEX('Market Data'!$H$5:$H$528,$T247),"date unavailable"),"date unavailable")))</f>
        <v/>
      </c>
      <c r="H247" s="9">
        <f>IF($T247=0,"",IF($I247="Bloomberg",IF(INDEX('Market Data'!$N$5:$N$528,$T247)="","time unavailable",INDEX('Market Data'!$N$5:$N$528,$T247)),""))</f>
        <v/>
      </c>
      <c r="I247" s="9">
        <f>IF($T247=0,"",INDEX('Market Data'!$P$5:$P$528,$T247))</f>
        <v/>
      </c>
      <c r="J247" s="13">
        <f>IF($T247=0,"",IF(INDEX('Market Data'!$E$5:$E$528,$T247)="","",INDEX('Market Data'!$E$5:$E$528,$T247)))</f>
        <v/>
      </c>
      <c r="K247" s="8">
        <f>IF($T247=0,"",IF(INDEX('Market Data'!$I$5:$I$528,$T247)="","",INDEX('Market Data'!$I$5:$I$528,$T247)))</f>
        <v/>
      </c>
      <c r="L247" s="10">
        <f>IF($T247=0,"",IF(INDEX('Market Data'!$J$5:$J$528,$T247)=0,"n/a",IF(AND($M$5&lt;&gt;"Snapshot",ISNUMBER(INDEX('Market Data'!$AH$5:$AH$66,INDEX('Market Data'!$J$5:$J$528,$T247)-4)),N(INDEX('Market Data'!$AH$5:$AH$66,INDEX('Market Data'!$J$5:$J$528,$T247)-4))&gt;0),INDEX('Market Data'!$AH$5:$AH$66,INDEX('Market Data'!$J$5:$J$528,$T247)-4),IF(AND($M$5&lt;&gt;"Bloomberg",ISNUMBER(INDEX('Market Data'!$AC$5:$AC$66,INDEX('Market Data'!$J$5:$J$528,$T247)-4)),N(INDEX('Market Data'!$AC$5:$AC$66,INDEX('Market Data'!$J$5:$J$528,$T247)-4))&gt;0),INDEX('Market Data'!$AC$5:$AC$66,INDEX('Market Data'!$J$5:$J$528,$T247)-4),"unavailable"))))</f>
        <v/>
      </c>
      <c r="M247" s="11">
        <f>IF($T247=0,"",IF(INDEX('Market Data'!$J$5:$J$528,$T247)=0,"n/a",IF(IF(INDEX('Market Data'!$J$5:$J$528,$T247)=0,0,IF(LEFT(INDEX('Market Data'!$AS$5:$AS$66,INDEX('Market Data'!$J$5:$J$528,$T247)-4),11)="First-month",1,0))=1,"class review",IF($I247="Bloomberg",IF(AND(ISNUMBER(INDEX('Market Data'!$AH$5:$AH$66,INDEX('Market Data'!$J$5:$J$528,$T247)-4)),N(INDEX('Market Data'!$AH$5:$AH$66,INDEX('Market Data'!$J$5:$J$528,$T247)-4))&gt;0,ISNUMBER('Market Data'!$B$1),N('Market Data'!$B$1)&gt;0),INDEX('Market Data'!$AH$5:$AH$66,INDEX('Market Data'!$J$5:$J$528,$T247)-4)*'Market Data'!$B$1/$E247-1,"pending A/FX"),IF(AND($I247="Snapshot",$Q247="Snapshot",ISNUMBER($E247),$G247=INDEX('Market Data'!$AE$5:$AE$66,INDEX('Market Data'!$J$5:$J$528,$T247)-4)),IFERROR(INDEX('Market Data'!$AC$5:$AC$66,INDEX('Market Data'!$J$5:$J$528,$T247)-4)*INDEX('Market Data'!$AD$5:$AD$66,INDEX('Market Data'!$J$5:$J$528,$T247)-4)/$E247-1,"unavailable"),IF($I247="Unavailable","unavailable","date mismatch"))))))</f>
        <v/>
      </c>
      <c r="N247" s="11">
        <f>IF($T247=0,"",IFERROR(IF(AND(N(INDEX('Market Data'!$F$5:$F$528,$T247))&gt;0,ISNUMBER(INDEX('Market Data'!$T$5:$T$528,$T247))),$E247*INDEX('Market Data'!$T$5:$T$528,$T247)/INDEX('Market Data'!$F$5:$F$528,$T247)-1,"unavailable"),"unavailable"))</f>
        <v/>
      </c>
      <c r="O247" s="9">
        <f>IF($T247=0,"",IF(IF(INDEX('Market Data'!$J$5:$J$528,$T247)=0,0,IF(LEFT(INDEX('Market Data'!$AS$5:$AS$66,INDEX('Market Data'!$J$5:$J$528,$T247)-4),11)="First-month",1,0))=1,"Class ratio review",IF($I247="Bloomberg",IF(ISNUMBER($G247),IF($G247&lt;TODAY(),"Older quote","See quote time"),"Date unavailable"),IF($I247="Snapshot",IF($G247&lt;DATEVALUE("2026-10-02"),"Older snapshot","Dated close"),"No valid quote"))))</f>
        <v/>
      </c>
      <c r="P247" s="14">
        <f>IF($T247=0,"",IF(INDEX('Market Data'!$J$5:$J$528,$T247)=0,"n/a",IF($Q247="Bloomberg",IF(AND(ISNUMBER(INDEX('Market Data'!$AK$5:$AK$66,INDEX('Market Data'!$J$5:$J$528,$T247)-4)),N(INDEX('Market Data'!$AK$5:$AK$66,INDEX('Market Data'!$J$5:$J$528,$T247)-4))&gt;0),INDEX('Market Data'!$AK$5:$AK$66,INDEX('Market Data'!$J$5:$J$528,$T247)-4),"date unavailable"),IF($Q247="Snapshot",IF(AND(ISNUMBER(INDEX('Market Data'!$AF$5:$AF$66,INDEX('Market Data'!$J$5:$J$528,$T247)-4)),N(INDEX('Market Data'!$AF$5:$AF$66,INDEX('Market Data'!$J$5:$J$528,$T247)-4))&gt;0),INDEX('Market Data'!$AF$5:$AF$66,INDEX('Market Data'!$J$5:$J$528,$T247)-4),"date unavailable"),"date unavailable"))))</f>
        <v/>
      </c>
      <c r="Q247" s="15">
        <f>IF($T247=0,"",IF(INDEX('Market Data'!$J$5:$J$528,$T247)=0,"n/a",IF(AND($M$5&lt;&gt;"Snapshot",ISNUMBER(INDEX('Market Data'!$AH$5:$AH$66,INDEX('Market Data'!$J$5:$J$528,$T247)-4)),N(INDEX('Market Data'!$AH$5:$AH$66,INDEX('Market Data'!$J$5:$J$528,$T247)-4))&gt;0),"Bloomberg",IF(AND($M$5&lt;&gt;"Bloomberg",ISNUMBER(INDEX('Market Data'!$AC$5:$AC$66,INDEX('Market Data'!$J$5:$J$528,$T247)-4)),N(INDEX('Market Data'!$AC$5:$AC$66,INDEX('Market Data'!$J$5:$J$528,$T247)-4))&gt;0),"Snapshot","Unavailable"))))</f>
        <v/>
      </c>
      <c r="T247">
        <f>IFERROR(MATCH(239,'Market Data'!$S$5:$S$528,0),0)</f>
        <v/>
      </c>
    </row>
    <row r="248" ht="34" customHeight="1">
      <c r="A248" s="8">
        <f>IF($T248=0,"",IF(INDEX('Market Data'!$A$5:$A$528,$T248)="","",INDEX('Market Data'!$A$5:$A$528,$T248)))</f>
        <v/>
      </c>
      <c r="B248" s="9">
        <f>IF($T248=0,"",IF(INDEX('Market Data'!$B$5:$B$528,$T248)="","",INDEX('Market Data'!$B$5:$B$528,$T248)))</f>
        <v/>
      </c>
      <c r="C248" s="9">
        <f>IF($T248=0,"",IF(INDEX('Market Data'!$C$5:$C$528,$T248)="","",INDEX('Market Data'!$C$5:$C$528,$T248)))</f>
        <v/>
      </c>
      <c r="D248" s="9">
        <f>IF($T248=0,"",IF(INDEX('Market Data'!$D$5:$D$528,$T248)="","",INDEX('Market Data'!$D$5:$D$528,$T248)))</f>
        <v/>
      </c>
      <c r="E248" s="10">
        <f>IF($T248=0,"",INDEX('Market Data'!$O$5:$O$528,$T248))</f>
        <v/>
      </c>
      <c r="F248" s="11">
        <f>IF($T248=0,"",IF(AND($I248="Bloomberg",ISNUMBER(INDEX('Market Data'!$L$5:$L$528,$T248))),INDEX('Market Data'!$L$5:$L$528,$T248),"unavailable"))</f>
        <v/>
      </c>
      <c r="G248" s="12">
        <f>IF($T248=0,"",IF($I248="Bloomberg",IF(AND(ISNUMBER(INDEX('Market Data'!$M$5:$M$528,$T248)),N(INDEX('Market Data'!$M$5:$M$528,$T248))&gt;0),INDEX('Market Data'!$M$5:$M$528,$T248),"date unavailable"),IF($I248="Snapshot",IF(AND(ISNUMBER(INDEX('Market Data'!$H$5:$H$528,$T248)),N(INDEX('Market Data'!$H$5:$H$528,$T248))&gt;0),INDEX('Market Data'!$H$5:$H$528,$T248),"date unavailable"),"date unavailable")))</f>
        <v/>
      </c>
      <c r="H248" s="9">
        <f>IF($T248=0,"",IF($I248="Bloomberg",IF(INDEX('Market Data'!$N$5:$N$528,$T248)="","time unavailable",INDEX('Market Data'!$N$5:$N$528,$T248)),""))</f>
        <v/>
      </c>
      <c r="I248" s="9">
        <f>IF($T248=0,"",INDEX('Market Data'!$P$5:$P$528,$T248))</f>
        <v/>
      </c>
      <c r="J248" s="13">
        <f>IF($T248=0,"",IF(INDEX('Market Data'!$E$5:$E$528,$T248)="","",INDEX('Market Data'!$E$5:$E$528,$T248)))</f>
        <v/>
      </c>
      <c r="K248" s="8">
        <f>IF($T248=0,"",IF(INDEX('Market Data'!$I$5:$I$528,$T248)="","",INDEX('Market Data'!$I$5:$I$528,$T248)))</f>
        <v/>
      </c>
      <c r="L248" s="10">
        <f>IF($T248=0,"",IF(INDEX('Market Data'!$J$5:$J$528,$T248)=0,"n/a",IF(AND($M$5&lt;&gt;"Snapshot",ISNUMBER(INDEX('Market Data'!$AH$5:$AH$66,INDEX('Market Data'!$J$5:$J$528,$T248)-4)),N(INDEX('Market Data'!$AH$5:$AH$66,INDEX('Market Data'!$J$5:$J$528,$T248)-4))&gt;0),INDEX('Market Data'!$AH$5:$AH$66,INDEX('Market Data'!$J$5:$J$528,$T248)-4),IF(AND($M$5&lt;&gt;"Bloomberg",ISNUMBER(INDEX('Market Data'!$AC$5:$AC$66,INDEX('Market Data'!$J$5:$J$528,$T248)-4)),N(INDEX('Market Data'!$AC$5:$AC$66,INDEX('Market Data'!$J$5:$J$528,$T248)-4))&gt;0),INDEX('Market Data'!$AC$5:$AC$66,INDEX('Market Data'!$J$5:$J$528,$T248)-4),"unavailable"))))</f>
        <v/>
      </c>
      <c r="M248" s="11">
        <f>IF($T248=0,"",IF(INDEX('Market Data'!$J$5:$J$528,$T248)=0,"n/a",IF(IF(INDEX('Market Data'!$J$5:$J$528,$T248)=0,0,IF(LEFT(INDEX('Market Data'!$AS$5:$AS$66,INDEX('Market Data'!$J$5:$J$528,$T248)-4),11)="First-month",1,0))=1,"class review",IF($I248="Bloomberg",IF(AND(ISNUMBER(INDEX('Market Data'!$AH$5:$AH$66,INDEX('Market Data'!$J$5:$J$528,$T248)-4)),N(INDEX('Market Data'!$AH$5:$AH$66,INDEX('Market Data'!$J$5:$J$528,$T248)-4))&gt;0,ISNUMBER('Market Data'!$B$1),N('Market Data'!$B$1)&gt;0),INDEX('Market Data'!$AH$5:$AH$66,INDEX('Market Data'!$J$5:$J$528,$T248)-4)*'Market Data'!$B$1/$E248-1,"pending A/FX"),IF(AND($I248="Snapshot",$Q248="Snapshot",ISNUMBER($E248),$G248=INDEX('Market Data'!$AE$5:$AE$66,INDEX('Market Data'!$J$5:$J$528,$T248)-4)),IFERROR(INDEX('Market Data'!$AC$5:$AC$66,INDEX('Market Data'!$J$5:$J$528,$T248)-4)*INDEX('Market Data'!$AD$5:$AD$66,INDEX('Market Data'!$J$5:$J$528,$T248)-4)/$E248-1,"unavailable"),IF($I248="Unavailable","unavailable","date mismatch"))))))</f>
        <v/>
      </c>
      <c r="N248" s="11">
        <f>IF($T248=0,"",IFERROR(IF(AND(N(INDEX('Market Data'!$F$5:$F$528,$T248))&gt;0,ISNUMBER(INDEX('Market Data'!$T$5:$T$528,$T248))),$E248*INDEX('Market Data'!$T$5:$T$528,$T248)/INDEX('Market Data'!$F$5:$F$528,$T248)-1,"unavailable"),"unavailable"))</f>
        <v/>
      </c>
      <c r="O248" s="9">
        <f>IF($T248=0,"",IF(IF(INDEX('Market Data'!$J$5:$J$528,$T248)=0,0,IF(LEFT(INDEX('Market Data'!$AS$5:$AS$66,INDEX('Market Data'!$J$5:$J$528,$T248)-4),11)="First-month",1,0))=1,"Class ratio review",IF($I248="Bloomberg",IF(ISNUMBER($G248),IF($G248&lt;TODAY(),"Older quote","See quote time"),"Date unavailable"),IF($I248="Snapshot",IF($G248&lt;DATEVALUE("2026-10-02"),"Older snapshot","Dated close"),"No valid quote"))))</f>
        <v/>
      </c>
      <c r="P248" s="14">
        <f>IF($T248=0,"",IF(INDEX('Market Data'!$J$5:$J$528,$T248)=0,"n/a",IF($Q248="Bloomberg",IF(AND(ISNUMBER(INDEX('Market Data'!$AK$5:$AK$66,INDEX('Market Data'!$J$5:$J$528,$T248)-4)),N(INDEX('Market Data'!$AK$5:$AK$66,INDEX('Market Data'!$J$5:$J$528,$T248)-4))&gt;0),INDEX('Market Data'!$AK$5:$AK$66,INDEX('Market Data'!$J$5:$J$528,$T248)-4),"date unavailable"),IF($Q248="Snapshot",IF(AND(ISNUMBER(INDEX('Market Data'!$AF$5:$AF$66,INDEX('Market Data'!$J$5:$J$528,$T248)-4)),N(INDEX('Market Data'!$AF$5:$AF$66,INDEX('Market Data'!$J$5:$J$528,$T248)-4))&gt;0),INDEX('Market Data'!$AF$5:$AF$66,INDEX('Market Data'!$J$5:$J$528,$T248)-4),"date unavailable"),"date unavailable"))))</f>
        <v/>
      </c>
      <c r="Q248" s="15">
        <f>IF($T248=0,"",IF(INDEX('Market Data'!$J$5:$J$528,$T248)=0,"n/a",IF(AND($M$5&lt;&gt;"Snapshot",ISNUMBER(INDEX('Market Data'!$AH$5:$AH$66,INDEX('Market Data'!$J$5:$J$528,$T248)-4)),N(INDEX('Market Data'!$AH$5:$AH$66,INDEX('Market Data'!$J$5:$J$528,$T248)-4))&gt;0),"Bloomberg",IF(AND($M$5&lt;&gt;"Bloomberg",ISNUMBER(INDEX('Market Data'!$AC$5:$AC$66,INDEX('Market Data'!$J$5:$J$528,$T248)-4)),N(INDEX('Market Data'!$AC$5:$AC$66,INDEX('Market Data'!$J$5:$J$528,$T248)-4))&gt;0),"Snapshot","Unavailable"))))</f>
        <v/>
      </c>
      <c r="T248">
        <f>IFERROR(MATCH(240,'Market Data'!$S$5:$S$528,0),0)</f>
        <v/>
      </c>
    </row>
    <row r="249" ht="34" customHeight="1">
      <c r="A249" s="8">
        <f>IF($T249=0,"",IF(INDEX('Market Data'!$A$5:$A$528,$T249)="","",INDEX('Market Data'!$A$5:$A$528,$T249)))</f>
        <v/>
      </c>
      <c r="B249" s="9">
        <f>IF($T249=0,"",IF(INDEX('Market Data'!$B$5:$B$528,$T249)="","",INDEX('Market Data'!$B$5:$B$528,$T249)))</f>
        <v/>
      </c>
      <c r="C249" s="9">
        <f>IF($T249=0,"",IF(INDEX('Market Data'!$C$5:$C$528,$T249)="","",INDEX('Market Data'!$C$5:$C$528,$T249)))</f>
        <v/>
      </c>
      <c r="D249" s="9">
        <f>IF($T249=0,"",IF(INDEX('Market Data'!$D$5:$D$528,$T249)="","",INDEX('Market Data'!$D$5:$D$528,$T249)))</f>
        <v/>
      </c>
      <c r="E249" s="10">
        <f>IF($T249=0,"",INDEX('Market Data'!$O$5:$O$528,$T249))</f>
        <v/>
      </c>
      <c r="F249" s="11">
        <f>IF($T249=0,"",IF(AND($I249="Bloomberg",ISNUMBER(INDEX('Market Data'!$L$5:$L$528,$T249))),INDEX('Market Data'!$L$5:$L$528,$T249),"unavailable"))</f>
        <v/>
      </c>
      <c r="G249" s="12">
        <f>IF($T249=0,"",IF($I249="Bloomberg",IF(AND(ISNUMBER(INDEX('Market Data'!$M$5:$M$528,$T249)),N(INDEX('Market Data'!$M$5:$M$528,$T249))&gt;0),INDEX('Market Data'!$M$5:$M$528,$T249),"date unavailable"),IF($I249="Snapshot",IF(AND(ISNUMBER(INDEX('Market Data'!$H$5:$H$528,$T249)),N(INDEX('Market Data'!$H$5:$H$528,$T249))&gt;0),INDEX('Market Data'!$H$5:$H$528,$T249),"date unavailable"),"date unavailable")))</f>
        <v/>
      </c>
      <c r="H249" s="9">
        <f>IF($T249=0,"",IF($I249="Bloomberg",IF(INDEX('Market Data'!$N$5:$N$528,$T249)="","time unavailable",INDEX('Market Data'!$N$5:$N$528,$T249)),""))</f>
        <v/>
      </c>
      <c r="I249" s="9">
        <f>IF($T249=0,"",INDEX('Market Data'!$P$5:$P$528,$T249))</f>
        <v/>
      </c>
      <c r="J249" s="13">
        <f>IF($T249=0,"",IF(INDEX('Market Data'!$E$5:$E$528,$T249)="","",INDEX('Market Data'!$E$5:$E$528,$T249)))</f>
        <v/>
      </c>
      <c r="K249" s="8">
        <f>IF($T249=0,"",IF(INDEX('Market Data'!$I$5:$I$528,$T249)="","",INDEX('Market Data'!$I$5:$I$528,$T249)))</f>
        <v/>
      </c>
      <c r="L249" s="10">
        <f>IF($T249=0,"",IF(INDEX('Market Data'!$J$5:$J$528,$T249)=0,"n/a",IF(AND($M$5&lt;&gt;"Snapshot",ISNUMBER(INDEX('Market Data'!$AH$5:$AH$66,INDEX('Market Data'!$J$5:$J$528,$T249)-4)),N(INDEX('Market Data'!$AH$5:$AH$66,INDEX('Market Data'!$J$5:$J$528,$T249)-4))&gt;0),INDEX('Market Data'!$AH$5:$AH$66,INDEX('Market Data'!$J$5:$J$528,$T249)-4),IF(AND($M$5&lt;&gt;"Bloomberg",ISNUMBER(INDEX('Market Data'!$AC$5:$AC$66,INDEX('Market Data'!$J$5:$J$528,$T249)-4)),N(INDEX('Market Data'!$AC$5:$AC$66,INDEX('Market Data'!$J$5:$J$528,$T249)-4))&gt;0),INDEX('Market Data'!$AC$5:$AC$66,INDEX('Market Data'!$J$5:$J$528,$T249)-4),"unavailable"))))</f>
        <v/>
      </c>
      <c r="M249" s="11">
        <f>IF($T249=0,"",IF(INDEX('Market Data'!$J$5:$J$528,$T249)=0,"n/a",IF(IF(INDEX('Market Data'!$J$5:$J$528,$T249)=0,0,IF(LEFT(INDEX('Market Data'!$AS$5:$AS$66,INDEX('Market Data'!$J$5:$J$528,$T249)-4),11)="First-month",1,0))=1,"class review",IF($I249="Bloomberg",IF(AND(ISNUMBER(INDEX('Market Data'!$AH$5:$AH$66,INDEX('Market Data'!$J$5:$J$528,$T249)-4)),N(INDEX('Market Data'!$AH$5:$AH$66,INDEX('Market Data'!$J$5:$J$528,$T249)-4))&gt;0,ISNUMBER('Market Data'!$B$1),N('Market Data'!$B$1)&gt;0),INDEX('Market Data'!$AH$5:$AH$66,INDEX('Market Data'!$J$5:$J$528,$T249)-4)*'Market Data'!$B$1/$E249-1,"pending A/FX"),IF(AND($I249="Snapshot",$Q249="Snapshot",ISNUMBER($E249),$G249=INDEX('Market Data'!$AE$5:$AE$66,INDEX('Market Data'!$J$5:$J$528,$T249)-4)),IFERROR(INDEX('Market Data'!$AC$5:$AC$66,INDEX('Market Data'!$J$5:$J$528,$T249)-4)*INDEX('Market Data'!$AD$5:$AD$66,INDEX('Market Data'!$J$5:$J$528,$T249)-4)/$E249-1,"unavailable"),IF($I249="Unavailable","unavailable","date mismatch"))))))</f>
        <v/>
      </c>
      <c r="N249" s="11">
        <f>IF($T249=0,"",IFERROR(IF(AND(N(INDEX('Market Data'!$F$5:$F$528,$T249))&gt;0,ISNUMBER(INDEX('Market Data'!$T$5:$T$528,$T249))),$E249*INDEX('Market Data'!$T$5:$T$528,$T249)/INDEX('Market Data'!$F$5:$F$528,$T249)-1,"unavailable"),"unavailable"))</f>
        <v/>
      </c>
      <c r="O249" s="9">
        <f>IF($T249=0,"",IF(IF(INDEX('Market Data'!$J$5:$J$528,$T249)=0,0,IF(LEFT(INDEX('Market Data'!$AS$5:$AS$66,INDEX('Market Data'!$J$5:$J$528,$T249)-4),11)="First-month",1,0))=1,"Class ratio review",IF($I249="Bloomberg",IF(ISNUMBER($G249),IF($G249&lt;TODAY(),"Older quote","See quote time"),"Date unavailable"),IF($I249="Snapshot",IF($G249&lt;DATEVALUE("2026-10-02"),"Older snapshot","Dated close"),"No valid quote"))))</f>
        <v/>
      </c>
      <c r="P249" s="14">
        <f>IF($T249=0,"",IF(INDEX('Market Data'!$J$5:$J$528,$T249)=0,"n/a",IF($Q249="Bloomberg",IF(AND(ISNUMBER(INDEX('Market Data'!$AK$5:$AK$66,INDEX('Market Data'!$J$5:$J$528,$T249)-4)),N(INDEX('Market Data'!$AK$5:$AK$66,INDEX('Market Data'!$J$5:$J$528,$T249)-4))&gt;0),INDEX('Market Data'!$AK$5:$AK$66,INDEX('Market Data'!$J$5:$J$528,$T249)-4),"date unavailable"),IF($Q249="Snapshot",IF(AND(ISNUMBER(INDEX('Market Data'!$AF$5:$AF$66,INDEX('Market Data'!$J$5:$J$528,$T249)-4)),N(INDEX('Market Data'!$AF$5:$AF$66,INDEX('Market Data'!$J$5:$J$528,$T249)-4))&gt;0),INDEX('Market Data'!$AF$5:$AF$66,INDEX('Market Data'!$J$5:$J$528,$T249)-4),"date unavailable"),"date unavailable"))))</f>
        <v/>
      </c>
      <c r="Q249" s="15">
        <f>IF($T249=0,"",IF(INDEX('Market Data'!$J$5:$J$528,$T249)=0,"n/a",IF(AND($M$5&lt;&gt;"Snapshot",ISNUMBER(INDEX('Market Data'!$AH$5:$AH$66,INDEX('Market Data'!$J$5:$J$528,$T249)-4)),N(INDEX('Market Data'!$AH$5:$AH$66,INDEX('Market Data'!$J$5:$J$528,$T249)-4))&gt;0),"Bloomberg",IF(AND($M$5&lt;&gt;"Bloomberg",ISNUMBER(INDEX('Market Data'!$AC$5:$AC$66,INDEX('Market Data'!$J$5:$J$528,$T249)-4)),N(INDEX('Market Data'!$AC$5:$AC$66,INDEX('Market Data'!$J$5:$J$528,$T249)-4))&gt;0),"Snapshot","Unavailable"))))</f>
        <v/>
      </c>
      <c r="T249">
        <f>IFERROR(MATCH(241,'Market Data'!$S$5:$S$528,0),0)</f>
        <v/>
      </c>
    </row>
    <row r="250" ht="34" customHeight="1">
      <c r="A250" s="8">
        <f>IF($T250=0,"",IF(INDEX('Market Data'!$A$5:$A$528,$T250)="","",INDEX('Market Data'!$A$5:$A$528,$T250)))</f>
        <v/>
      </c>
      <c r="B250" s="9">
        <f>IF($T250=0,"",IF(INDEX('Market Data'!$B$5:$B$528,$T250)="","",INDEX('Market Data'!$B$5:$B$528,$T250)))</f>
        <v/>
      </c>
      <c r="C250" s="9">
        <f>IF($T250=0,"",IF(INDEX('Market Data'!$C$5:$C$528,$T250)="","",INDEX('Market Data'!$C$5:$C$528,$T250)))</f>
        <v/>
      </c>
      <c r="D250" s="9">
        <f>IF($T250=0,"",IF(INDEX('Market Data'!$D$5:$D$528,$T250)="","",INDEX('Market Data'!$D$5:$D$528,$T250)))</f>
        <v/>
      </c>
      <c r="E250" s="10">
        <f>IF($T250=0,"",INDEX('Market Data'!$O$5:$O$528,$T250))</f>
        <v/>
      </c>
      <c r="F250" s="11">
        <f>IF($T250=0,"",IF(AND($I250="Bloomberg",ISNUMBER(INDEX('Market Data'!$L$5:$L$528,$T250))),INDEX('Market Data'!$L$5:$L$528,$T250),"unavailable"))</f>
        <v/>
      </c>
      <c r="G250" s="12">
        <f>IF($T250=0,"",IF($I250="Bloomberg",IF(AND(ISNUMBER(INDEX('Market Data'!$M$5:$M$528,$T250)),N(INDEX('Market Data'!$M$5:$M$528,$T250))&gt;0),INDEX('Market Data'!$M$5:$M$528,$T250),"date unavailable"),IF($I250="Snapshot",IF(AND(ISNUMBER(INDEX('Market Data'!$H$5:$H$528,$T250)),N(INDEX('Market Data'!$H$5:$H$528,$T250))&gt;0),INDEX('Market Data'!$H$5:$H$528,$T250),"date unavailable"),"date unavailable")))</f>
        <v/>
      </c>
      <c r="H250" s="9">
        <f>IF($T250=0,"",IF($I250="Bloomberg",IF(INDEX('Market Data'!$N$5:$N$528,$T250)="","time unavailable",INDEX('Market Data'!$N$5:$N$528,$T250)),""))</f>
        <v/>
      </c>
      <c r="I250" s="9">
        <f>IF($T250=0,"",INDEX('Market Data'!$P$5:$P$528,$T250))</f>
        <v/>
      </c>
      <c r="J250" s="13">
        <f>IF($T250=0,"",IF(INDEX('Market Data'!$E$5:$E$528,$T250)="","",INDEX('Market Data'!$E$5:$E$528,$T250)))</f>
        <v/>
      </c>
      <c r="K250" s="8">
        <f>IF($T250=0,"",IF(INDEX('Market Data'!$I$5:$I$528,$T250)="","",INDEX('Market Data'!$I$5:$I$528,$T250)))</f>
        <v/>
      </c>
      <c r="L250" s="10">
        <f>IF($T250=0,"",IF(INDEX('Market Data'!$J$5:$J$528,$T250)=0,"n/a",IF(AND($M$5&lt;&gt;"Snapshot",ISNUMBER(INDEX('Market Data'!$AH$5:$AH$66,INDEX('Market Data'!$J$5:$J$528,$T250)-4)),N(INDEX('Market Data'!$AH$5:$AH$66,INDEX('Market Data'!$J$5:$J$528,$T250)-4))&gt;0),INDEX('Market Data'!$AH$5:$AH$66,INDEX('Market Data'!$J$5:$J$528,$T250)-4),IF(AND($M$5&lt;&gt;"Bloomberg",ISNUMBER(INDEX('Market Data'!$AC$5:$AC$66,INDEX('Market Data'!$J$5:$J$528,$T250)-4)),N(INDEX('Market Data'!$AC$5:$AC$66,INDEX('Market Data'!$J$5:$J$528,$T250)-4))&gt;0),INDEX('Market Data'!$AC$5:$AC$66,INDEX('Market Data'!$J$5:$J$528,$T250)-4),"unavailable"))))</f>
        <v/>
      </c>
      <c r="M250" s="11">
        <f>IF($T250=0,"",IF(INDEX('Market Data'!$J$5:$J$528,$T250)=0,"n/a",IF(IF(INDEX('Market Data'!$J$5:$J$528,$T250)=0,0,IF(LEFT(INDEX('Market Data'!$AS$5:$AS$66,INDEX('Market Data'!$J$5:$J$528,$T250)-4),11)="First-month",1,0))=1,"class review",IF($I250="Bloomberg",IF(AND(ISNUMBER(INDEX('Market Data'!$AH$5:$AH$66,INDEX('Market Data'!$J$5:$J$528,$T250)-4)),N(INDEX('Market Data'!$AH$5:$AH$66,INDEX('Market Data'!$J$5:$J$528,$T250)-4))&gt;0,ISNUMBER('Market Data'!$B$1),N('Market Data'!$B$1)&gt;0),INDEX('Market Data'!$AH$5:$AH$66,INDEX('Market Data'!$J$5:$J$528,$T250)-4)*'Market Data'!$B$1/$E250-1,"pending A/FX"),IF(AND($I250="Snapshot",$Q250="Snapshot",ISNUMBER($E250),$G250=INDEX('Market Data'!$AE$5:$AE$66,INDEX('Market Data'!$J$5:$J$528,$T250)-4)),IFERROR(INDEX('Market Data'!$AC$5:$AC$66,INDEX('Market Data'!$J$5:$J$528,$T250)-4)*INDEX('Market Data'!$AD$5:$AD$66,INDEX('Market Data'!$J$5:$J$528,$T250)-4)/$E250-1,"unavailable"),IF($I250="Unavailable","unavailable","date mismatch"))))))</f>
        <v/>
      </c>
      <c r="N250" s="11">
        <f>IF($T250=0,"",IFERROR(IF(AND(N(INDEX('Market Data'!$F$5:$F$528,$T250))&gt;0,ISNUMBER(INDEX('Market Data'!$T$5:$T$528,$T250))),$E250*INDEX('Market Data'!$T$5:$T$528,$T250)/INDEX('Market Data'!$F$5:$F$528,$T250)-1,"unavailable"),"unavailable"))</f>
        <v/>
      </c>
      <c r="O250" s="9">
        <f>IF($T250=0,"",IF(IF(INDEX('Market Data'!$J$5:$J$528,$T250)=0,0,IF(LEFT(INDEX('Market Data'!$AS$5:$AS$66,INDEX('Market Data'!$J$5:$J$528,$T250)-4),11)="First-month",1,0))=1,"Class ratio review",IF($I250="Bloomberg",IF(ISNUMBER($G250),IF($G250&lt;TODAY(),"Older quote","See quote time"),"Date unavailable"),IF($I250="Snapshot",IF($G250&lt;DATEVALUE("2026-10-02"),"Older snapshot","Dated close"),"No valid quote"))))</f>
        <v/>
      </c>
      <c r="P250" s="14">
        <f>IF($T250=0,"",IF(INDEX('Market Data'!$J$5:$J$528,$T250)=0,"n/a",IF($Q250="Bloomberg",IF(AND(ISNUMBER(INDEX('Market Data'!$AK$5:$AK$66,INDEX('Market Data'!$J$5:$J$528,$T250)-4)),N(INDEX('Market Data'!$AK$5:$AK$66,INDEX('Market Data'!$J$5:$J$528,$T250)-4))&gt;0),INDEX('Market Data'!$AK$5:$AK$66,INDEX('Market Data'!$J$5:$J$528,$T250)-4),"date unavailable"),IF($Q250="Snapshot",IF(AND(ISNUMBER(INDEX('Market Data'!$AF$5:$AF$66,INDEX('Market Data'!$J$5:$J$528,$T250)-4)),N(INDEX('Market Data'!$AF$5:$AF$66,INDEX('Market Data'!$J$5:$J$528,$T250)-4))&gt;0),INDEX('Market Data'!$AF$5:$AF$66,INDEX('Market Data'!$J$5:$J$528,$T250)-4),"date unavailable"),"date unavailable"))))</f>
        <v/>
      </c>
      <c r="Q250" s="15">
        <f>IF($T250=0,"",IF(INDEX('Market Data'!$J$5:$J$528,$T250)=0,"n/a",IF(AND($M$5&lt;&gt;"Snapshot",ISNUMBER(INDEX('Market Data'!$AH$5:$AH$66,INDEX('Market Data'!$J$5:$J$528,$T250)-4)),N(INDEX('Market Data'!$AH$5:$AH$66,INDEX('Market Data'!$J$5:$J$528,$T250)-4))&gt;0),"Bloomberg",IF(AND($M$5&lt;&gt;"Bloomberg",ISNUMBER(INDEX('Market Data'!$AC$5:$AC$66,INDEX('Market Data'!$J$5:$J$528,$T250)-4)),N(INDEX('Market Data'!$AC$5:$AC$66,INDEX('Market Data'!$J$5:$J$528,$T250)-4))&gt;0),"Snapshot","Unavailable"))))</f>
        <v/>
      </c>
      <c r="T250">
        <f>IFERROR(MATCH(242,'Market Data'!$S$5:$S$528,0),0)</f>
        <v/>
      </c>
    </row>
    <row r="251" ht="34" customHeight="1">
      <c r="A251" s="8">
        <f>IF($T251=0,"",IF(INDEX('Market Data'!$A$5:$A$528,$T251)="","",INDEX('Market Data'!$A$5:$A$528,$T251)))</f>
        <v/>
      </c>
      <c r="B251" s="9">
        <f>IF($T251=0,"",IF(INDEX('Market Data'!$B$5:$B$528,$T251)="","",INDEX('Market Data'!$B$5:$B$528,$T251)))</f>
        <v/>
      </c>
      <c r="C251" s="9">
        <f>IF($T251=0,"",IF(INDEX('Market Data'!$C$5:$C$528,$T251)="","",INDEX('Market Data'!$C$5:$C$528,$T251)))</f>
        <v/>
      </c>
      <c r="D251" s="9">
        <f>IF($T251=0,"",IF(INDEX('Market Data'!$D$5:$D$528,$T251)="","",INDEX('Market Data'!$D$5:$D$528,$T251)))</f>
        <v/>
      </c>
      <c r="E251" s="10">
        <f>IF($T251=0,"",INDEX('Market Data'!$O$5:$O$528,$T251))</f>
        <v/>
      </c>
      <c r="F251" s="11">
        <f>IF($T251=0,"",IF(AND($I251="Bloomberg",ISNUMBER(INDEX('Market Data'!$L$5:$L$528,$T251))),INDEX('Market Data'!$L$5:$L$528,$T251),"unavailable"))</f>
        <v/>
      </c>
      <c r="G251" s="12">
        <f>IF($T251=0,"",IF($I251="Bloomberg",IF(AND(ISNUMBER(INDEX('Market Data'!$M$5:$M$528,$T251)),N(INDEX('Market Data'!$M$5:$M$528,$T251))&gt;0),INDEX('Market Data'!$M$5:$M$528,$T251),"date unavailable"),IF($I251="Snapshot",IF(AND(ISNUMBER(INDEX('Market Data'!$H$5:$H$528,$T251)),N(INDEX('Market Data'!$H$5:$H$528,$T251))&gt;0),INDEX('Market Data'!$H$5:$H$528,$T251),"date unavailable"),"date unavailable")))</f>
        <v/>
      </c>
      <c r="H251" s="9">
        <f>IF($T251=0,"",IF($I251="Bloomberg",IF(INDEX('Market Data'!$N$5:$N$528,$T251)="","time unavailable",INDEX('Market Data'!$N$5:$N$528,$T251)),""))</f>
        <v/>
      </c>
      <c r="I251" s="9">
        <f>IF($T251=0,"",INDEX('Market Data'!$P$5:$P$528,$T251))</f>
        <v/>
      </c>
      <c r="J251" s="13">
        <f>IF($T251=0,"",IF(INDEX('Market Data'!$E$5:$E$528,$T251)="","",INDEX('Market Data'!$E$5:$E$528,$T251)))</f>
        <v/>
      </c>
      <c r="K251" s="8">
        <f>IF($T251=0,"",IF(INDEX('Market Data'!$I$5:$I$528,$T251)="","",INDEX('Market Data'!$I$5:$I$528,$T251)))</f>
        <v/>
      </c>
      <c r="L251" s="10">
        <f>IF($T251=0,"",IF(INDEX('Market Data'!$J$5:$J$528,$T251)=0,"n/a",IF(AND($M$5&lt;&gt;"Snapshot",ISNUMBER(INDEX('Market Data'!$AH$5:$AH$66,INDEX('Market Data'!$J$5:$J$528,$T251)-4)),N(INDEX('Market Data'!$AH$5:$AH$66,INDEX('Market Data'!$J$5:$J$528,$T251)-4))&gt;0),INDEX('Market Data'!$AH$5:$AH$66,INDEX('Market Data'!$J$5:$J$528,$T251)-4),IF(AND($M$5&lt;&gt;"Bloomberg",ISNUMBER(INDEX('Market Data'!$AC$5:$AC$66,INDEX('Market Data'!$J$5:$J$528,$T251)-4)),N(INDEX('Market Data'!$AC$5:$AC$66,INDEX('Market Data'!$J$5:$J$528,$T251)-4))&gt;0),INDEX('Market Data'!$AC$5:$AC$66,INDEX('Market Data'!$J$5:$J$528,$T251)-4),"unavailable"))))</f>
        <v/>
      </c>
      <c r="M251" s="11">
        <f>IF($T251=0,"",IF(INDEX('Market Data'!$J$5:$J$528,$T251)=0,"n/a",IF(IF(INDEX('Market Data'!$J$5:$J$528,$T251)=0,0,IF(LEFT(INDEX('Market Data'!$AS$5:$AS$66,INDEX('Market Data'!$J$5:$J$528,$T251)-4),11)="First-month",1,0))=1,"class review",IF($I251="Bloomberg",IF(AND(ISNUMBER(INDEX('Market Data'!$AH$5:$AH$66,INDEX('Market Data'!$J$5:$J$528,$T251)-4)),N(INDEX('Market Data'!$AH$5:$AH$66,INDEX('Market Data'!$J$5:$J$528,$T251)-4))&gt;0,ISNUMBER('Market Data'!$B$1),N('Market Data'!$B$1)&gt;0),INDEX('Market Data'!$AH$5:$AH$66,INDEX('Market Data'!$J$5:$J$528,$T251)-4)*'Market Data'!$B$1/$E251-1,"pending A/FX"),IF(AND($I251="Snapshot",$Q251="Snapshot",ISNUMBER($E251),$G251=INDEX('Market Data'!$AE$5:$AE$66,INDEX('Market Data'!$J$5:$J$528,$T251)-4)),IFERROR(INDEX('Market Data'!$AC$5:$AC$66,INDEX('Market Data'!$J$5:$J$528,$T251)-4)*INDEX('Market Data'!$AD$5:$AD$66,INDEX('Market Data'!$J$5:$J$528,$T251)-4)/$E251-1,"unavailable"),IF($I251="Unavailable","unavailable","date mismatch"))))))</f>
        <v/>
      </c>
      <c r="N251" s="11">
        <f>IF($T251=0,"",IFERROR(IF(AND(N(INDEX('Market Data'!$F$5:$F$528,$T251))&gt;0,ISNUMBER(INDEX('Market Data'!$T$5:$T$528,$T251))),$E251*INDEX('Market Data'!$T$5:$T$528,$T251)/INDEX('Market Data'!$F$5:$F$528,$T251)-1,"unavailable"),"unavailable"))</f>
        <v/>
      </c>
      <c r="O251" s="9">
        <f>IF($T251=0,"",IF(IF(INDEX('Market Data'!$J$5:$J$528,$T251)=0,0,IF(LEFT(INDEX('Market Data'!$AS$5:$AS$66,INDEX('Market Data'!$J$5:$J$528,$T251)-4),11)="First-month",1,0))=1,"Class ratio review",IF($I251="Bloomberg",IF(ISNUMBER($G251),IF($G251&lt;TODAY(),"Older quote","See quote time"),"Date unavailable"),IF($I251="Snapshot",IF($G251&lt;DATEVALUE("2026-10-02"),"Older snapshot","Dated close"),"No valid quote"))))</f>
        <v/>
      </c>
      <c r="P251" s="14">
        <f>IF($T251=0,"",IF(INDEX('Market Data'!$J$5:$J$528,$T251)=0,"n/a",IF($Q251="Bloomberg",IF(AND(ISNUMBER(INDEX('Market Data'!$AK$5:$AK$66,INDEX('Market Data'!$J$5:$J$528,$T251)-4)),N(INDEX('Market Data'!$AK$5:$AK$66,INDEX('Market Data'!$J$5:$J$528,$T251)-4))&gt;0),INDEX('Market Data'!$AK$5:$AK$66,INDEX('Market Data'!$J$5:$J$528,$T251)-4),"date unavailable"),IF($Q251="Snapshot",IF(AND(ISNUMBER(INDEX('Market Data'!$AF$5:$AF$66,INDEX('Market Data'!$J$5:$J$528,$T251)-4)),N(INDEX('Market Data'!$AF$5:$AF$66,INDEX('Market Data'!$J$5:$J$528,$T251)-4))&gt;0),INDEX('Market Data'!$AF$5:$AF$66,INDEX('Market Data'!$J$5:$J$528,$T251)-4),"date unavailable"),"date unavailable"))))</f>
        <v/>
      </c>
      <c r="Q251" s="15">
        <f>IF($T251=0,"",IF(INDEX('Market Data'!$J$5:$J$528,$T251)=0,"n/a",IF(AND($M$5&lt;&gt;"Snapshot",ISNUMBER(INDEX('Market Data'!$AH$5:$AH$66,INDEX('Market Data'!$J$5:$J$528,$T251)-4)),N(INDEX('Market Data'!$AH$5:$AH$66,INDEX('Market Data'!$J$5:$J$528,$T251)-4))&gt;0),"Bloomberg",IF(AND($M$5&lt;&gt;"Bloomberg",ISNUMBER(INDEX('Market Data'!$AC$5:$AC$66,INDEX('Market Data'!$J$5:$J$528,$T251)-4)),N(INDEX('Market Data'!$AC$5:$AC$66,INDEX('Market Data'!$J$5:$J$528,$T251)-4))&gt;0),"Snapshot","Unavailable"))))</f>
        <v/>
      </c>
      <c r="T251">
        <f>IFERROR(MATCH(243,'Market Data'!$S$5:$S$528,0),0)</f>
        <v/>
      </c>
    </row>
    <row r="252" ht="34" customHeight="1">
      <c r="A252" s="8">
        <f>IF($T252=0,"",IF(INDEX('Market Data'!$A$5:$A$528,$T252)="","",INDEX('Market Data'!$A$5:$A$528,$T252)))</f>
        <v/>
      </c>
      <c r="B252" s="9">
        <f>IF($T252=0,"",IF(INDEX('Market Data'!$B$5:$B$528,$T252)="","",INDEX('Market Data'!$B$5:$B$528,$T252)))</f>
        <v/>
      </c>
      <c r="C252" s="9">
        <f>IF($T252=0,"",IF(INDEX('Market Data'!$C$5:$C$528,$T252)="","",INDEX('Market Data'!$C$5:$C$528,$T252)))</f>
        <v/>
      </c>
      <c r="D252" s="9">
        <f>IF($T252=0,"",IF(INDEX('Market Data'!$D$5:$D$528,$T252)="","",INDEX('Market Data'!$D$5:$D$528,$T252)))</f>
        <v/>
      </c>
      <c r="E252" s="10">
        <f>IF($T252=0,"",INDEX('Market Data'!$O$5:$O$528,$T252))</f>
        <v/>
      </c>
      <c r="F252" s="11">
        <f>IF($T252=0,"",IF(AND($I252="Bloomberg",ISNUMBER(INDEX('Market Data'!$L$5:$L$528,$T252))),INDEX('Market Data'!$L$5:$L$528,$T252),"unavailable"))</f>
        <v/>
      </c>
      <c r="G252" s="12">
        <f>IF($T252=0,"",IF($I252="Bloomberg",IF(AND(ISNUMBER(INDEX('Market Data'!$M$5:$M$528,$T252)),N(INDEX('Market Data'!$M$5:$M$528,$T252))&gt;0),INDEX('Market Data'!$M$5:$M$528,$T252),"date unavailable"),IF($I252="Snapshot",IF(AND(ISNUMBER(INDEX('Market Data'!$H$5:$H$528,$T252)),N(INDEX('Market Data'!$H$5:$H$528,$T252))&gt;0),INDEX('Market Data'!$H$5:$H$528,$T252),"date unavailable"),"date unavailable")))</f>
        <v/>
      </c>
      <c r="H252" s="9">
        <f>IF($T252=0,"",IF($I252="Bloomberg",IF(INDEX('Market Data'!$N$5:$N$528,$T252)="","time unavailable",INDEX('Market Data'!$N$5:$N$528,$T252)),""))</f>
        <v/>
      </c>
      <c r="I252" s="9">
        <f>IF($T252=0,"",INDEX('Market Data'!$P$5:$P$528,$T252))</f>
        <v/>
      </c>
      <c r="J252" s="13">
        <f>IF($T252=0,"",IF(INDEX('Market Data'!$E$5:$E$528,$T252)="","",INDEX('Market Data'!$E$5:$E$528,$T252)))</f>
        <v/>
      </c>
      <c r="K252" s="8">
        <f>IF($T252=0,"",IF(INDEX('Market Data'!$I$5:$I$528,$T252)="","",INDEX('Market Data'!$I$5:$I$528,$T252)))</f>
        <v/>
      </c>
      <c r="L252" s="10">
        <f>IF($T252=0,"",IF(INDEX('Market Data'!$J$5:$J$528,$T252)=0,"n/a",IF(AND($M$5&lt;&gt;"Snapshot",ISNUMBER(INDEX('Market Data'!$AH$5:$AH$66,INDEX('Market Data'!$J$5:$J$528,$T252)-4)),N(INDEX('Market Data'!$AH$5:$AH$66,INDEX('Market Data'!$J$5:$J$528,$T252)-4))&gt;0),INDEX('Market Data'!$AH$5:$AH$66,INDEX('Market Data'!$J$5:$J$528,$T252)-4),IF(AND($M$5&lt;&gt;"Bloomberg",ISNUMBER(INDEX('Market Data'!$AC$5:$AC$66,INDEX('Market Data'!$J$5:$J$528,$T252)-4)),N(INDEX('Market Data'!$AC$5:$AC$66,INDEX('Market Data'!$J$5:$J$528,$T252)-4))&gt;0),INDEX('Market Data'!$AC$5:$AC$66,INDEX('Market Data'!$J$5:$J$528,$T252)-4),"unavailable"))))</f>
        <v/>
      </c>
      <c r="M252" s="11">
        <f>IF($T252=0,"",IF(INDEX('Market Data'!$J$5:$J$528,$T252)=0,"n/a",IF(IF(INDEX('Market Data'!$J$5:$J$528,$T252)=0,0,IF(LEFT(INDEX('Market Data'!$AS$5:$AS$66,INDEX('Market Data'!$J$5:$J$528,$T252)-4),11)="First-month",1,0))=1,"class review",IF($I252="Bloomberg",IF(AND(ISNUMBER(INDEX('Market Data'!$AH$5:$AH$66,INDEX('Market Data'!$J$5:$J$528,$T252)-4)),N(INDEX('Market Data'!$AH$5:$AH$66,INDEX('Market Data'!$J$5:$J$528,$T252)-4))&gt;0,ISNUMBER('Market Data'!$B$1),N('Market Data'!$B$1)&gt;0),INDEX('Market Data'!$AH$5:$AH$66,INDEX('Market Data'!$J$5:$J$528,$T252)-4)*'Market Data'!$B$1/$E252-1,"pending A/FX"),IF(AND($I252="Snapshot",$Q252="Snapshot",ISNUMBER($E252),$G252=INDEX('Market Data'!$AE$5:$AE$66,INDEX('Market Data'!$J$5:$J$528,$T252)-4)),IFERROR(INDEX('Market Data'!$AC$5:$AC$66,INDEX('Market Data'!$J$5:$J$528,$T252)-4)*INDEX('Market Data'!$AD$5:$AD$66,INDEX('Market Data'!$J$5:$J$528,$T252)-4)/$E252-1,"unavailable"),IF($I252="Unavailable","unavailable","date mismatch"))))))</f>
        <v/>
      </c>
      <c r="N252" s="11">
        <f>IF($T252=0,"",IFERROR(IF(AND(N(INDEX('Market Data'!$F$5:$F$528,$T252))&gt;0,ISNUMBER(INDEX('Market Data'!$T$5:$T$528,$T252))),$E252*INDEX('Market Data'!$T$5:$T$528,$T252)/INDEX('Market Data'!$F$5:$F$528,$T252)-1,"unavailable"),"unavailable"))</f>
        <v/>
      </c>
      <c r="O252" s="9">
        <f>IF($T252=0,"",IF(IF(INDEX('Market Data'!$J$5:$J$528,$T252)=0,0,IF(LEFT(INDEX('Market Data'!$AS$5:$AS$66,INDEX('Market Data'!$J$5:$J$528,$T252)-4),11)="First-month",1,0))=1,"Class ratio review",IF($I252="Bloomberg",IF(ISNUMBER($G252),IF($G252&lt;TODAY(),"Older quote","See quote time"),"Date unavailable"),IF($I252="Snapshot",IF($G252&lt;DATEVALUE("2026-10-02"),"Older snapshot","Dated close"),"No valid quote"))))</f>
        <v/>
      </c>
      <c r="P252" s="14">
        <f>IF($T252=0,"",IF(INDEX('Market Data'!$J$5:$J$528,$T252)=0,"n/a",IF($Q252="Bloomberg",IF(AND(ISNUMBER(INDEX('Market Data'!$AK$5:$AK$66,INDEX('Market Data'!$J$5:$J$528,$T252)-4)),N(INDEX('Market Data'!$AK$5:$AK$66,INDEX('Market Data'!$J$5:$J$528,$T252)-4))&gt;0),INDEX('Market Data'!$AK$5:$AK$66,INDEX('Market Data'!$J$5:$J$528,$T252)-4),"date unavailable"),IF($Q252="Snapshot",IF(AND(ISNUMBER(INDEX('Market Data'!$AF$5:$AF$66,INDEX('Market Data'!$J$5:$J$528,$T252)-4)),N(INDEX('Market Data'!$AF$5:$AF$66,INDEX('Market Data'!$J$5:$J$528,$T252)-4))&gt;0),INDEX('Market Data'!$AF$5:$AF$66,INDEX('Market Data'!$J$5:$J$528,$T252)-4),"date unavailable"),"date unavailable"))))</f>
        <v/>
      </c>
      <c r="Q252" s="15">
        <f>IF($T252=0,"",IF(INDEX('Market Data'!$J$5:$J$528,$T252)=0,"n/a",IF(AND($M$5&lt;&gt;"Snapshot",ISNUMBER(INDEX('Market Data'!$AH$5:$AH$66,INDEX('Market Data'!$J$5:$J$528,$T252)-4)),N(INDEX('Market Data'!$AH$5:$AH$66,INDEX('Market Data'!$J$5:$J$528,$T252)-4))&gt;0),"Bloomberg",IF(AND($M$5&lt;&gt;"Bloomberg",ISNUMBER(INDEX('Market Data'!$AC$5:$AC$66,INDEX('Market Data'!$J$5:$J$528,$T252)-4)),N(INDEX('Market Data'!$AC$5:$AC$66,INDEX('Market Data'!$J$5:$J$528,$T252)-4))&gt;0),"Snapshot","Unavailable"))))</f>
        <v/>
      </c>
      <c r="T252">
        <f>IFERROR(MATCH(244,'Market Data'!$S$5:$S$528,0),0)</f>
        <v/>
      </c>
    </row>
    <row r="253" ht="34" customHeight="1">
      <c r="A253" s="8">
        <f>IF($T253=0,"",IF(INDEX('Market Data'!$A$5:$A$528,$T253)="","",INDEX('Market Data'!$A$5:$A$528,$T253)))</f>
        <v/>
      </c>
      <c r="B253" s="9">
        <f>IF($T253=0,"",IF(INDEX('Market Data'!$B$5:$B$528,$T253)="","",INDEX('Market Data'!$B$5:$B$528,$T253)))</f>
        <v/>
      </c>
      <c r="C253" s="9">
        <f>IF($T253=0,"",IF(INDEX('Market Data'!$C$5:$C$528,$T253)="","",INDEX('Market Data'!$C$5:$C$528,$T253)))</f>
        <v/>
      </c>
      <c r="D253" s="9">
        <f>IF($T253=0,"",IF(INDEX('Market Data'!$D$5:$D$528,$T253)="","",INDEX('Market Data'!$D$5:$D$528,$T253)))</f>
        <v/>
      </c>
      <c r="E253" s="10">
        <f>IF($T253=0,"",INDEX('Market Data'!$O$5:$O$528,$T253))</f>
        <v/>
      </c>
      <c r="F253" s="11">
        <f>IF($T253=0,"",IF(AND($I253="Bloomberg",ISNUMBER(INDEX('Market Data'!$L$5:$L$528,$T253))),INDEX('Market Data'!$L$5:$L$528,$T253),"unavailable"))</f>
        <v/>
      </c>
      <c r="G253" s="12">
        <f>IF($T253=0,"",IF($I253="Bloomberg",IF(AND(ISNUMBER(INDEX('Market Data'!$M$5:$M$528,$T253)),N(INDEX('Market Data'!$M$5:$M$528,$T253))&gt;0),INDEX('Market Data'!$M$5:$M$528,$T253),"date unavailable"),IF($I253="Snapshot",IF(AND(ISNUMBER(INDEX('Market Data'!$H$5:$H$528,$T253)),N(INDEX('Market Data'!$H$5:$H$528,$T253))&gt;0),INDEX('Market Data'!$H$5:$H$528,$T253),"date unavailable"),"date unavailable")))</f>
        <v/>
      </c>
      <c r="H253" s="9">
        <f>IF($T253=0,"",IF($I253="Bloomberg",IF(INDEX('Market Data'!$N$5:$N$528,$T253)="","time unavailable",INDEX('Market Data'!$N$5:$N$528,$T253)),""))</f>
        <v/>
      </c>
      <c r="I253" s="9">
        <f>IF($T253=0,"",INDEX('Market Data'!$P$5:$P$528,$T253))</f>
        <v/>
      </c>
      <c r="J253" s="13">
        <f>IF($T253=0,"",IF(INDEX('Market Data'!$E$5:$E$528,$T253)="","",INDEX('Market Data'!$E$5:$E$528,$T253)))</f>
        <v/>
      </c>
      <c r="K253" s="8">
        <f>IF($T253=0,"",IF(INDEX('Market Data'!$I$5:$I$528,$T253)="","",INDEX('Market Data'!$I$5:$I$528,$T253)))</f>
        <v/>
      </c>
      <c r="L253" s="10">
        <f>IF($T253=0,"",IF(INDEX('Market Data'!$J$5:$J$528,$T253)=0,"n/a",IF(AND($M$5&lt;&gt;"Snapshot",ISNUMBER(INDEX('Market Data'!$AH$5:$AH$66,INDEX('Market Data'!$J$5:$J$528,$T253)-4)),N(INDEX('Market Data'!$AH$5:$AH$66,INDEX('Market Data'!$J$5:$J$528,$T253)-4))&gt;0),INDEX('Market Data'!$AH$5:$AH$66,INDEX('Market Data'!$J$5:$J$528,$T253)-4),IF(AND($M$5&lt;&gt;"Bloomberg",ISNUMBER(INDEX('Market Data'!$AC$5:$AC$66,INDEX('Market Data'!$J$5:$J$528,$T253)-4)),N(INDEX('Market Data'!$AC$5:$AC$66,INDEX('Market Data'!$J$5:$J$528,$T253)-4))&gt;0),INDEX('Market Data'!$AC$5:$AC$66,INDEX('Market Data'!$J$5:$J$528,$T253)-4),"unavailable"))))</f>
        <v/>
      </c>
      <c r="M253" s="11">
        <f>IF($T253=0,"",IF(INDEX('Market Data'!$J$5:$J$528,$T253)=0,"n/a",IF(IF(INDEX('Market Data'!$J$5:$J$528,$T253)=0,0,IF(LEFT(INDEX('Market Data'!$AS$5:$AS$66,INDEX('Market Data'!$J$5:$J$528,$T253)-4),11)="First-month",1,0))=1,"class review",IF($I253="Bloomberg",IF(AND(ISNUMBER(INDEX('Market Data'!$AH$5:$AH$66,INDEX('Market Data'!$J$5:$J$528,$T253)-4)),N(INDEX('Market Data'!$AH$5:$AH$66,INDEX('Market Data'!$J$5:$J$528,$T253)-4))&gt;0,ISNUMBER('Market Data'!$B$1),N('Market Data'!$B$1)&gt;0),INDEX('Market Data'!$AH$5:$AH$66,INDEX('Market Data'!$J$5:$J$528,$T253)-4)*'Market Data'!$B$1/$E253-1,"pending A/FX"),IF(AND($I253="Snapshot",$Q253="Snapshot",ISNUMBER($E253),$G253=INDEX('Market Data'!$AE$5:$AE$66,INDEX('Market Data'!$J$5:$J$528,$T253)-4)),IFERROR(INDEX('Market Data'!$AC$5:$AC$66,INDEX('Market Data'!$J$5:$J$528,$T253)-4)*INDEX('Market Data'!$AD$5:$AD$66,INDEX('Market Data'!$J$5:$J$528,$T253)-4)/$E253-1,"unavailable"),IF($I253="Unavailable","unavailable","date mismatch"))))))</f>
        <v/>
      </c>
      <c r="N253" s="11">
        <f>IF($T253=0,"",IFERROR(IF(AND(N(INDEX('Market Data'!$F$5:$F$528,$T253))&gt;0,ISNUMBER(INDEX('Market Data'!$T$5:$T$528,$T253))),$E253*INDEX('Market Data'!$T$5:$T$528,$T253)/INDEX('Market Data'!$F$5:$F$528,$T253)-1,"unavailable"),"unavailable"))</f>
        <v/>
      </c>
      <c r="O253" s="9">
        <f>IF($T253=0,"",IF(IF(INDEX('Market Data'!$J$5:$J$528,$T253)=0,0,IF(LEFT(INDEX('Market Data'!$AS$5:$AS$66,INDEX('Market Data'!$J$5:$J$528,$T253)-4),11)="First-month",1,0))=1,"Class ratio review",IF($I253="Bloomberg",IF(ISNUMBER($G253),IF($G253&lt;TODAY(),"Older quote","See quote time"),"Date unavailable"),IF($I253="Snapshot",IF($G253&lt;DATEVALUE("2026-10-02"),"Older snapshot","Dated close"),"No valid quote"))))</f>
        <v/>
      </c>
      <c r="P253" s="14">
        <f>IF($T253=0,"",IF(INDEX('Market Data'!$J$5:$J$528,$T253)=0,"n/a",IF($Q253="Bloomberg",IF(AND(ISNUMBER(INDEX('Market Data'!$AK$5:$AK$66,INDEX('Market Data'!$J$5:$J$528,$T253)-4)),N(INDEX('Market Data'!$AK$5:$AK$66,INDEX('Market Data'!$J$5:$J$528,$T253)-4))&gt;0),INDEX('Market Data'!$AK$5:$AK$66,INDEX('Market Data'!$J$5:$J$528,$T253)-4),"date unavailable"),IF($Q253="Snapshot",IF(AND(ISNUMBER(INDEX('Market Data'!$AF$5:$AF$66,INDEX('Market Data'!$J$5:$J$528,$T253)-4)),N(INDEX('Market Data'!$AF$5:$AF$66,INDEX('Market Data'!$J$5:$J$528,$T253)-4))&gt;0),INDEX('Market Data'!$AF$5:$AF$66,INDEX('Market Data'!$J$5:$J$528,$T253)-4),"date unavailable"),"date unavailable"))))</f>
        <v/>
      </c>
      <c r="Q253" s="15">
        <f>IF($T253=0,"",IF(INDEX('Market Data'!$J$5:$J$528,$T253)=0,"n/a",IF(AND($M$5&lt;&gt;"Snapshot",ISNUMBER(INDEX('Market Data'!$AH$5:$AH$66,INDEX('Market Data'!$J$5:$J$528,$T253)-4)),N(INDEX('Market Data'!$AH$5:$AH$66,INDEX('Market Data'!$J$5:$J$528,$T253)-4))&gt;0),"Bloomberg",IF(AND($M$5&lt;&gt;"Bloomberg",ISNUMBER(INDEX('Market Data'!$AC$5:$AC$66,INDEX('Market Data'!$J$5:$J$528,$T253)-4)),N(INDEX('Market Data'!$AC$5:$AC$66,INDEX('Market Data'!$J$5:$J$528,$T253)-4))&gt;0),"Snapshot","Unavailable"))))</f>
        <v/>
      </c>
      <c r="T253">
        <f>IFERROR(MATCH(245,'Market Data'!$S$5:$S$528,0),0)</f>
        <v/>
      </c>
    </row>
    <row r="254" ht="34" customHeight="1">
      <c r="A254" s="8">
        <f>IF($T254=0,"",IF(INDEX('Market Data'!$A$5:$A$528,$T254)="","",INDEX('Market Data'!$A$5:$A$528,$T254)))</f>
        <v/>
      </c>
      <c r="B254" s="9">
        <f>IF($T254=0,"",IF(INDEX('Market Data'!$B$5:$B$528,$T254)="","",INDEX('Market Data'!$B$5:$B$528,$T254)))</f>
        <v/>
      </c>
      <c r="C254" s="9">
        <f>IF($T254=0,"",IF(INDEX('Market Data'!$C$5:$C$528,$T254)="","",INDEX('Market Data'!$C$5:$C$528,$T254)))</f>
        <v/>
      </c>
      <c r="D254" s="9">
        <f>IF($T254=0,"",IF(INDEX('Market Data'!$D$5:$D$528,$T254)="","",INDEX('Market Data'!$D$5:$D$528,$T254)))</f>
        <v/>
      </c>
      <c r="E254" s="10">
        <f>IF($T254=0,"",INDEX('Market Data'!$O$5:$O$528,$T254))</f>
        <v/>
      </c>
      <c r="F254" s="11">
        <f>IF($T254=0,"",IF(AND($I254="Bloomberg",ISNUMBER(INDEX('Market Data'!$L$5:$L$528,$T254))),INDEX('Market Data'!$L$5:$L$528,$T254),"unavailable"))</f>
        <v/>
      </c>
      <c r="G254" s="12">
        <f>IF($T254=0,"",IF($I254="Bloomberg",IF(AND(ISNUMBER(INDEX('Market Data'!$M$5:$M$528,$T254)),N(INDEX('Market Data'!$M$5:$M$528,$T254))&gt;0),INDEX('Market Data'!$M$5:$M$528,$T254),"date unavailable"),IF($I254="Snapshot",IF(AND(ISNUMBER(INDEX('Market Data'!$H$5:$H$528,$T254)),N(INDEX('Market Data'!$H$5:$H$528,$T254))&gt;0),INDEX('Market Data'!$H$5:$H$528,$T254),"date unavailable"),"date unavailable")))</f>
        <v/>
      </c>
      <c r="H254" s="9">
        <f>IF($T254=0,"",IF($I254="Bloomberg",IF(INDEX('Market Data'!$N$5:$N$528,$T254)="","time unavailable",INDEX('Market Data'!$N$5:$N$528,$T254)),""))</f>
        <v/>
      </c>
      <c r="I254" s="9">
        <f>IF($T254=0,"",INDEX('Market Data'!$P$5:$P$528,$T254))</f>
        <v/>
      </c>
      <c r="J254" s="13">
        <f>IF($T254=0,"",IF(INDEX('Market Data'!$E$5:$E$528,$T254)="","",INDEX('Market Data'!$E$5:$E$528,$T254)))</f>
        <v/>
      </c>
      <c r="K254" s="8">
        <f>IF($T254=0,"",IF(INDEX('Market Data'!$I$5:$I$528,$T254)="","",INDEX('Market Data'!$I$5:$I$528,$T254)))</f>
        <v/>
      </c>
      <c r="L254" s="10">
        <f>IF($T254=0,"",IF(INDEX('Market Data'!$J$5:$J$528,$T254)=0,"n/a",IF(AND($M$5&lt;&gt;"Snapshot",ISNUMBER(INDEX('Market Data'!$AH$5:$AH$66,INDEX('Market Data'!$J$5:$J$528,$T254)-4)),N(INDEX('Market Data'!$AH$5:$AH$66,INDEX('Market Data'!$J$5:$J$528,$T254)-4))&gt;0),INDEX('Market Data'!$AH$5:$AH$66,INDEX('Market Data'!$J$5:$J$528,$T254)-4),IF(AND($M$5&lt;&gt;"Bloomberg",ISNUMBER(INDEX('Market Data'!$AC$5:$AC$66,INDEX('Market Data'!$J$5:$J$528,$T254)-4)),N(INDEX('Market Data'!$AC$5:$AC$66,INDEX('Market Data'!$J$5:$J$528,$T254)-4))&gt;0),INDEX('Market Data'!$AC$5:$AC$66,INDEX('Market Data'!$J$5:$J$528,$T254)-4),"unavailable"))))</f>
        <v/>
      </c>
      <c r="M254" s="11">
        <f>IF($T254=0,"",IF(INDEX('Market Data'!$J$5:$J$528,$T254)=0,"n/a",IF(IF(INDEX('Market Data'!$J$5:$J$528,$T254)=0,0,IF(LEFT(INDEX('Market Data'!$AS$5:$AS$66,INDEX('Market Data'!$J$5:$J$528,$T254)-4),11)="First-month",1,0))=1,"class review",IF($I254="Bloomberg",IF(AND(ISNUMBER(INDEX('Market Data'!$AH$5:$AH$66,INDEX('Market Data'!$J$5:$J$528,$T254)-4)),N(INDEX('Market Data'!$AH$5:$AH$66,INDEX('Market Data'!$J$5:$J$528,$T254)-4))&gt;0,ISNUMBER('Market Data'!$B$1),N('Market Data'!$B$1)&gt;0),INDEX('Market Data'!$AH$5:$AH$66,INDEX('Market Data'!$J$5:$J$528,$T254)-4)*'Market Data'!$B$1/$E254-1,"pending A/FX"),IF(AND($I254="Snapshot",$Q254="Snapshot",ISNUMBER($E254),$G254=INDEX('Market Data'!$AE$5:$AE$66,INDEX('Market Data'!$J$5:$J$528,$T254)-4)),IFERROR(INDEX('Market Data'!$AC$5:$AC$66,INDEX('Market Data'!$J$5:$J$528,$T254)-4)*INDEX('Market Data'!$AD$5:$AD$66,INDEX('Market Data'!$J$5:$J$528,$T254)-4)/$E254-1,"unavailable"),IF($I254="Unavailable","unavailable","date mismatch"))))))</f>
        <v/>
      </c>
      <c r="N254" s="11">
        <f>IF($T254=0,"",IFERROR(IF(AND(N(INDEX('Market Data'!$F$5:$F$528,$T254))&gt;0,ISNUMBER(INDEX('Market Data'!$T$5:$T$528,$T254))),$E254*INDEX('Market Data'!$T$5:$T$528,$T254)/INDEX('Market Data'!$F$5:$F$528,$T254)-1,"unavailable"),"unavailable"))</f>
        <v/>
      </c>
      <c r="O254" s="9">
        <f>IF($T254=0,"",IF(IF(INDEX('Market Data'!$J$5:$J$528,$T254)=0,0,IF(LEFT(INDEX('Market Data'!$AS$5:$AS$66,INDEX('Market Data'!$J$5:$J$528,$T254)-4),11)="First-month",1,0))=1,"Class ratio review",IF($I254="Bloomberg",IF(ISNUMBER($G254),IF($G254&lt;TODAY(),"Older quote","See quote time"),"Date unavailable"),IF($I254="Snapshot",IF($G254&lt;DATEVALUE("2026-10-02"),"Older snapshot","Dated close"),"No valid quote"))))</f>
        <v/>
      </c>
      <c r="P254" s="14">
        <f>IF($T254=0,"",IF(INDEX('Market Data'!$J$5:$J$528,$T254)=0,"n/a",IF($Q254="Bloomberg",IF(AND(ISNUMBER(INDEX('Market Data'!$AK$5:$AK$66,INDEX('Market Data'!$J$5:$J$528,$T254)-4)),N(INDEX('Market Data'!$AK$5:$AK$66,INDEX('Market Data'!$J$5:$J$528,$T254)-4))&gt;0),INDEX('Market Data'!$AK$5:$AK$66,INDEX('Market Data'!$J$5:$J$528,$T254)-4),"date unavailable"),IF($Q254="Snapshot",IF(AND(ISNUMBER(INDEX('Market Data'!$AF$5:$AF$66,INDEX('Market Data'!$J$5:$J$528,$T254)-4)),N(INDEX('Market Data'!$AF$5:$AF$66,INDEX('Market Data'!$J$5:$J$528,$T254)-4))&gt;0),INDEX('Market Data'!$AF$5:$AF$66,INDEX('Market Data'!$J$5:$J$528,$T254)-4),"date unavailable"),"date unavailable"))))</f>
        <v/>
      </c>
      <c r="Q254" s="15">
        <f>IF($T254=0,"",IF(INDEX('Market Data'!$J$5:$J$528,$T254)=0,"n/a",IF(AND($M$5&lt;&gt;"Snapshot",ISNUMBER(INDEX('Market Data'!$AH$5:$AH$66,INDEX('Market Data'!$J$5:$J$528,$T254)-4)),N(INDEX('Market Data'!$AH$5:$AH$66,INDEX('Market Data'!$J$5:$J$528,$T254)-4))&gt;0),"Bloomberg",IF(AND($M$5&lt;&gt;"Bloomberg",ISNUMBER(INDEX('Market Data'!$AC$5:$AC$66,INDEX('Market Data'!$J$5:$J$528,$T254)-4)),N(INDEX('Market Data'!$AC$5:$AC$66,INDEX('Market Data'!$J$5:$J$528,$T254)-4))&gt;0),"Snapshot","Unavailable"))))</f>
        <v/>
      </c>
      <c r="T254">
        <f>IFERROR(MATCH(246,'Market Data'!$S$5:$S$528,0),0)</f>
        <v/>
      </c>
    </row>
    <row r="255" ht="34" customHeight="1">
      <c r="A255" s="8">
        <f>IF($T255=0,"",IF(INDEX('Market Data'!$A$5:$A$528,$T255)="","",INDEX('Market Data'!$A$5:$A$528,$T255)))</f>
        <v/>
      </c>
      <c r="B255" s="9">
        <f>IF($T255=0,"",IF(INDEX('Market Data'!$B$5:$B$528,$T255)="","",INDEX('Market Data'!$B$5:$B$528,$T255)))</f>
        <v/>
      </c>
      <c r="C255" s="9">
        <f>IF($T255=0,"",IF(INDEX('Market Data'!$C$5:$C$528,$T255)="","",INDEX('Market Data'!$C$5:$C$528,$T255)))</f>
        <v/>
      </c>
      <c r="D255" s="9">
        <f>IF($T255=0,"",IF(INDEX('Market Data'!$D$5:$D$528,$T255)="","",INDEX('Market Data'!$D$5:$D$528,$T255)))</f>
        <v/>
      </c>
      <c r="E255" s="10">
        <f>IF($T255=0,"",INDEX('Market Data'!$O$5:$O$528,$T255))</f>
        <v/>
      </c>
      <c r="F255" s="11">
        <f>IF($T255=0,"",IF(AND($I255="Bloomberg",ISNUMBER(INDEX('Market Data'!$L$5:$L$528,$T255))),INDEX('Market Data'!$L$5:$L$528,$T255),"unavailable"))</f>
        <v/>
      </c>
      <c r="G255" s="12">
        <f>IF($T255=0,"",IF($I255="Bloomberg",IF(AND(ISNUMBER(INDEX('Market Data'!$M$5:$M$528,$T255)),N(INDEX('Market Data'!$M$5:$M$528,$T255))&gt;0),INDEX('Market Data'!$M$5:$M$528,$T255),"date unavailable"),IF($I255="Snapshot",IF(AND(ISNUMBER(INDEX('Market Data'!$H$5:$H$528,$T255)),N(INDEX('Market Data'!$H$5:$H$528,$T255))&gt;0),INDEX('Market Data'!$H$5:$H$528,$T255),"date unavailable"),"date unavailable")))</f>
        <v/>
      </c>
      <c r="H255" s="9">
        <f>IF($T255=0,"",IF($I255="Bloomberg",IF(INDEX('Market Data'!$N$5:$N$528,$T255)="","time unavailable",INDEX('Market Data'!$N$5:$N$528,$T255)),""))</f>
        <v/>
      </c>
      <c r="I255" s="9">
        <f>IF($T255=0,"",INDEX('Market Data'!$P$5:$P$528,$T255))</f>
        <v/>
      </c>
      <c r="J255" s="13">
        <f>IF($T255=0,"",IF(INDEX('Market Data'!$E$5:$E$528,$T255)="","",INDEX('Market Data'!$E$5:$E$528,$T255)))</f>
        <v/>
      </c>
      <c r="K255" s="8">
        <f>IF($T255=0,"",IF(INDEX('Market Data'!$I$5:$I$528,$T255)="","",INDEX('Market Data'!$I$5:$I$528,$T255)))</f>
        <v/>
      </c>
      <c r="L255" s="10">
        <f>IF($T255=0,"",IF(INDEX('Market Data'!$J$5:$J$528,$T255)=0,"n/a",IF(AND($M$5&lt;&gt;"Snapshot",ISNUMBER(INDEX('Market Data'!$AH$5:$AH$66,INDEX('Market Data'!$J$5:$J$528,$T255)-4)),N(INDEX('Market Data'!$AH$5:$AH$66,INDEX('Market Data'!$J$5:$J$528,$T255)-4))&gt;0),INDEX('Market Data'!$AH$5:$AH$66,INDEX('Market Data'!$J$5:$J$528,$T255)-4),IF(AND($M$5&lt;&gt;"Bloomberg",ISNUMBER(INDEX('Market Data'!$AC$5:$AC$66,INDEX('Market Data'!$J$5:$J$528,$T255)-4)),N(INDEX('Market Data'!$AC$5:$AC$66,INDEX('Market Data'!$J$5:$J$528,$T255)-4))&gt;0),INDEX('Market Data'!$AC$5:$AC$66,INDEX('Market Data'!$J$5:$J$528,$T255)-4),"unavailable"))))</f>
        <v/>
      </c>
      <c r="M255" s="11">
        <f>IF($T255=0,"",IF(INDEX('Market Data'!$J$5:$J$528,$T255)=0,"n/a",IF(IF(INDEX('Market Data'!$J$5:$J$528,$T255)=0,0,IF(LEFT(INDEX('Market Data'!$AS$5:$AS$66,INDEX('Market Data'!$J$5:$J$528,$T255)-4),11)="First-month",1,0))=1,"class review",IF($I255="Bloomberg",IF(AND(ISNUMBER(INDEX('Market Data'!$AH$5:$AH$66,INDEX('Market Data'!$J$5:$J$528,$T255)-4)),N(INDEX('Market Data'!$AH$5:$AH$66,INDEX('Market Data'!$J$5:$J$528,$T255)-4))&gt;0,ISNUMBER('Market Data'!$B$1),N('Market Data'!$B$1)&gt;0),INDEX('Market Data'!$AH$5:$AH$66,INDEX('Market Data'!$J$5:$J$528,$T255)-4)*'Market Data'!$B$1/$E255-1,"pending A/FX"),IF(AND($I255="Snapshot",$Q255="Snapshot",ISNUMBER($E255),$G255=INDEX('Market Data'!$AE$5:$AE$66,INDEX('Market Data'!$J$5:$J$528,$T255)-4)),IFERROR(INDEX('Market Data'!$AC$5:$AC$66,INDEX('Market Data'!$J$5:$J$528,$T255)-4)*INDEX('Market Data'!$AD$5:$AD$66,INDEX('Market Data'!$J$5:$J$528,$T255)-4)/$E255-1,"unavailable"),IF($I255="Unavailable","unavailable","date mismatch"))))))</f>
        <v/>
      </c>
      <c r="N255" s="11">
        <f>IF($T255=0,"",IFERROR(IF(AND(N(INDEX('Market Data'!$F$5:$F$528,$T255))&gt;0,ISNUMBER(INDEX('Market Data'!$T$5:$T$528,$T255))),$E255*INDEX('Market Data'!$T$5:$T$528,$T255)/INDEX('Market Data'!$F$5:$F$528,$T255)-1,"unavailable"),"unavailable"))</f>
        <v/>
      </c>
      <c r="O255" s="9">
        <f>IF($T255=0,"",IF(IF(INDEX('Market Data'!$J$5:$J$528,$T255)=0,0,IF(LEFT(INDEX('Market Data'!$AS$5:$AS$66,INDEX('Market Data'!$J$5:$J$528,$T255)-4),11)="First-month",1,0))=1,"Class ratio review",IF($I255="Bloomberg",IF(ISNUMBER($G255),IF($G255&lt;TODAY(),"Older quote","See quote time"),"Date unavailable"),IF($I255="Snapshot",IF($G255&lt;DATEVALUE("2026-10-02"),"Older snapshot","Dated close"),"No valid quote"))))</f>
        <v/>
      </c>
      <c r="P255" s="14">
        <f>IF($T255=0,"",IF(INDEX('Market Data'!$J$5:$J$528,$T255)=0,"n/a",IF($Q255="Bloomberg",IF(AND(ISNUMBER(INDEX('Market Data'!$AK$5:$AK$66,INDEX('Market Data'!$J$5:$J$528,$T255)-4)),N(INDEX('Market Data'!$AK$5:$AK$66,INDEX('Market Data'!$J$5:$J$528,$T255)-4))&gt;0),INDEX('Market Data'!$AK$5:$AK$66,INDEX('Market Data'!$J$5:$J$528,$T255)-4),"date unavailable"),IF($Q255="Snapshot",IF(AND(ISNUMBER(INDEX('Market Data'!$AF$5:$AF$66,INDEX('Market Data'!$J$5:$J$528,$T255)-4)),N(INDEX('Market Data'!$AF$5:$AF$66,INDEX('Market Data'!$J$5:$J$528,$T255)-4))&gt;0),INDEX('Market Data'!$AF$5:$AF$66,INDEX('Market Data'!$J$5:$J$528,$T255)-4),"date unavailable"),"date unavailable"))))</f>
        <v/>
      </c>
      <c r="Q255" s="15">
        <f>IF($T255=0,"",IF(INDEX('Market Data'!$J$5:$J$528,$T255)=0,"n/a",IF(AND($M$5&lt;&gt;"Snapshot",ISNUMBER(INDEX('Market Data'!$AH$5:$AH$66,INDEX('Market Data'!$J$5:$J$528,$T255)-4)),N(INDEX('Market Data'!$AH$5:$AH$66,INDEX('Market Data'!$J$5:$J$528,$T255)-4))&gt;0),"Bloomberg",IF(AND($M$5&lt;&gt;"Bloomberg",ISNUMBER(INDEX('Market Data'!$AC$5:$AC$66,INDEX('Market Data'!$J$5:$J$528,$T255)-4)),N(INDEX('Market Data'!$AC$5:$AC$66,INDEX('Market Data'!$J$5:$J$528,$T255)-4))&gt;0),"Snapshot","Unavailable"))))</f>
        <v/>
      </c>
      <c r="T255">
        <f>IFERROR(MATCH(247,'Market Data'!$S$5:$S$528,0),0)</f>
        <v/>
      </c>
    </row>
    <row r="256" ht="34" customHeight="1">
      <c r="A256" s="8">
        <f>IF($T256=0,"",IF(INDEX('Market Data'!$A$5:$A$528,$T256)="","",INDEX('Market Data'!$A$5:$A$528,$T256)))</f>
        <v/>
      </c>
      <c r="B256" s="9">
        <f>IF($T256=0,"",IF(INDEX('Market Data'!$B$5:$B$528,$T256)="","",INDEX('Market Data'!$B$5:$B$528,$T256)))</f>
        <v/>
      </c>
      <c r="C256" s="9">
        <f>IF($T256=0,"",IF(INDEX('Market Data'!$C$5:$C$528,$T256)="","",INDEX('Market Data'!$C$5:$C$528,$T256)))</f>
        <v/>
      </c>
      <c r="D256" s="9">
        <f>IF($T256=0,"",IF(INDEX('Market Data'!$D$5:$D$528,$T256)="","",INDEX('Market Data'!$D$5:$D$528,$T256)))</f>
        <v/>
      </c>
      <c r="E256" s="10">
        <f>IF($T256=0,"",INDEX('Market Data'!$O$5:$O$528,$T256))</f>
        <v/>
      </c>
      <c r="F256" s="11">
        <f>IF($T256=0,"",IF(AND($I256="Bloomberg",ISNUMBER(INDEX('Market Data'!$L$5:$L$528,$T256))),INDEX('Market Data'!$L$5:$L$528,$T256),"unavailable"))</f>
        <v/>
      </c>
      <c r="G256" s="12">
        <f>IF($T256=0,"",IF($I256="Bloomberg",IF(AND(ISNUMBER(INDEX('Market Data'!$M$5:$M$528,$T256)),N(INDEX('Market Data'!$M$5:$M$528,$T256))&gt;0),INDEX('Market Data'!$M$5:$M$528,$T256),"date unavailable"),IF($I256="Snapshot",IF(AND(ISNUMBER(INDEX('Market Data'!$H$5:$H$528,$T256)),N(INDEX('Market Data'!$H$5:$H$528,$T256))&gt;0),INDEX('Market Data'!$H$5:$H$528,$T256),"date unavailable"),"date unavailable")))</f>
        <v/>
      </c>
      <c r="H256" s="9">
        <f>IF($T256=0,"",IF($I256="Bloomberg",IF(INDEX('Market Data'!$N$5:$N$528,$T256)="","time unavailable",INDEX('Market Data'!$N$5:$N$528,$T256)),""))</f>
        <v/>
      </c>
      <c r="I256" s="9">
        <f>IF($T256=0,"",INDEX('Market Data'!$P$5:$P$528,$T256))</f>
        <v/>
      </c>
      <c r="J256" s="13">
        <f>IF($T256=0,"",IF(INDEX('Market Data'!$E$5:$E$528,$T256)="","",INDEX('Market Data'!$E$5:$E$528,$T256)))</f>
        <v/>
      </c>
      <c r="K256" s="8">
        <f>IF($T256=0,"",IF(INDEX('Market Data'!$I$5:$I$528,$T256)="","",INDEX('Market Data'!$I$5:$I$528,$T256)))</f>
        <v/>
      </c>
      <c r="L256" s="10">
        <f>IF($T256=0,"",IF(INDEX('Market Data'!$J$5:$J$528,$T256)=0,"n/a",IF(AND($M$5&lt;&gt;"Snapshot",ISNUMBER(INDEX('Market Data'!$AH$5:$AH$66,INDEX('Market Data'!$J$5:$J$528,$T256)-4)),N(INDEX('Market Data'!$AH$5:$AH$66,INDEX('Market Data'!$J$5:$J$528,$T256)-4))&gt;0),INDEX('Market Data'!$AH$5:$AH$66,INDEX('Market Data'!$J$5:$J$528,$T256)-4),IF(AND($M$5&lt;&gt;"Bloomberg",ISNUMBER(INDEX('Market Data'!$AC$5:$AC$66,INDEX('Market Data'!$J$5:$J$528,$T256)-4)),N(INDEX('Market Data'!$AC$5:$AC$66,INDEX('Market Data'!$J$5:$J$528,$T256)-4))&gt;0),INDEX('Market Data'!$AC$5:$AC$66,INDEX('Market Data'!$J$5:$J$528,$T256)-4),"unavailable"))))</f>
        <v/>
      </c>
      <c r="M256" s="11">
        <f>IF($T256=0,"",IF(INDEX('Market Data'!$J$5:$J$528,$T256)=0,"n/a",IF(IF(INDEX('Market Data'!$J$5:$J$528,$T256)=0,0,IF(LEFT(INDEX('Market Data'!$AS$5:$AS$66,INDEX('Market Data'!$J$5:$J$528,$T256)-4),11)="First-month",1,0))=1,"class review",IF($I256="Bloomberg",IF(AND(ISNUMBER(INDEX('Market Data'!$AH$5:$AH$66,INDEX('Market Data'!$J$5:$J$528,$T256)-4)),N(INDEX('Market Data'!$AH$5:$AH$66,INDEX('Market Data'!$J$5:$J$528,$T256)-4))&gt;0,ISNUMBER('Market Data'!$B$1),N('Market Data'!$B$1)&gt;0),INDEX('Market Data'!$AH$5:$AH$66,INDEX('Market Data'!$J$5:$J$528,$T256)-4)*'Market Data'!$B$1/$E256-1,"pending A/FX"),IF(AND($I256="Snapshot",$Q256="Snapshot",ISNUMBER($E256),$G256=INDEX('Market Data'!$AE$5:$AE$66,INDEX('Market Data'!$J$5:$J$528,$T256)-4)),IFERROR(INDEX('Market Data'!$AC$5:$AC$66,INDEX('Market Data'!$J$5:$J$528,$T256)-4)*INDEX('Market Data'!$AD$5:$AD$66,INDEX('Market Data'!$J$5:$J$528,$T256)-4)/$E256-1,"unavailable"),IF($I256="Unavailable","unavailable","date mismatch"))))))</f>
        <v/>
      </c>
      <c r="N256" s="11">
        <f>IF($T256=0,"",IFERROR(IF(AND(N(INDEX('Market Data'!$F$5:$F$528,$T256))&gt;0,ISNUMBER(INDEX('Market Data'!$T$5:$T$528,$T256))),$E256*INDEX('Market Data'!$T$5:$T$528,$T256)/INDEX('Market Data'!$F$5:$F$528,$T256)-1,"unavailable"),"unavailable"))</f>
        <v/>
      </c>
      <c r="O256" s="9">
        <f>IF($T256=0,"",IF(IF(INDEX('Market Data'!$J$5:$J$528,$T256)=0,0,IF(LEFT(INDEX('Market Data'!$AS$5:$AS$66,INDEX('Market Data'!$J$5:$J$528,$T256)-4),11)="First-month",1,0))=1,"Class ratio review",IF($I256="Bloomberg",IF(ISNUMBER($G256),IF($G256&lt;TODAY(),"Older quote","See quote time"),"Date unavailable"),IF($I256="Snapshot",IF($G256&lt;DATEVALUE("2026-10-02"),"Older snapshot","Dated close"),"No valid quote"))))</f>
        <v/>
      </c>
      <c r="P256" s="14">
        <f>IF($T256=0,"",IF(INDEX('Market Data'!$J$5:$J$528,$T256)=0,"n/a",IF($Q256="Bloomberg",IF(AND(ISNUMBER(INDEX('Market Data'!$AK$5:$AK$66,INDEX('Market Data'!$J$5:$J$528,$T256)-4)),N(INDEX('Market Data'!$AK$5:$AK$66,INDEX('Market Data'!$J$5:$J$528,$T256)-4))&gt;0),INDEX('Market Data'!$AK$5:$AK$66,INDEX('Market Data'!$J$5:$J$528,$T256)-4),"date unavailable"),IF($Q256="Snapshot",IF(AND(ISNUMBER(INDEX('Market Data'!$AF$5:$AF$66,INDEX('Market Data'!$J$5:$J$528,$T256)-4)),N(INDEX('Market Data'!$AF$5:$AF$66,INDEX('Market Data'!$J$5:$J$528,$T256)-4))&gt;0),INDEX('Market Data'!$AF$5:$AF$66,INDEX('Market Data'!$J$5:$J$528,$T256)-4),"date unavailable"),"date unavailable"))))</f>
        <v/>
      </c>
      <c r="Q256" s="15">
        <f>IF($T256=0,"",IF(INDEX('Market Data'!$J$5:$J$528,$T256)=0,"n/a",IF(AND($M$5&lt;&gt;"Snapshot",ISNUMBER(INDEX('Market Data'!$AH$5:$AH$66,INDEX('Market Data'!$J$5:$J$528,$T256)-4)),N(INDEX('Market Data'!$AH$5:$AH$66,INDEX('Market Data'!$J$5:$J$528,$T256)-4))&gt;0),"Bloomberg",IF(AND($M$5&lt;&gt;"Bloomberg",ISNUMBER(INDEX('Market Data'!$AC$5:$AC$66,INDEX('Market Data'!$J$5:$J$528,$T256)-4)),N(INDEX('Market Data'!$AC$5:$AC$66,INDEX('Market Data'!$J$5:$J$528,$T256)-4))&gt;0),"Snapshot","Unavailable"))))</f>
        <v/>
      </c>
      <c r="T256">
        <f>IFERROR(MATCH(248,'Market Data'!$S$5:$S$528,0),0)</f>
        <v/>
      </c>
    </row>
    <row r="257" ht="34" customHeight="1">
      <c r="A257" s="8">
        <f>IF($T257=0,"",IF(INDEX('Market Data'!$A$5:$A$528,$T257)="","",INDEX('Market Data'!$A$5:$A$528,$T257)))</f>
        <v/>
      </c>
      <c r="B257" s="9">
        <f>IF($T257=0,"",IF(INDEX('Market Data'!$B$5:$B$528,$T257)="","",INDEX('Market Data'!$B$5:$B$528,$T257)))</f>
        <v/>
      </c>
      <c r="C257" s="9">
        <f>IF($T257=0,"",IF(INDEX('Market Data'!$C$5:$C$528,$T257)="","",INDEX('Market Data'!$C$5:$C$528,$T257)))</f>
        <v/>
      </c>
      <c r="D257" s="9">
        <f>IF($T257=0,"",IF(INDEX('Market Data'!$D$5:$D$528,$T257)="","",INDEX('Market Data'!$D$5:$D$528,$T257)))</f>
        <v/>
      </c>
      <c r="E257" s="10">
        <f>IF($T257=0,"",INDEX('Market Data'!$O$5:$O$528,$T257))</f>
        <v/>
      </c>
      <c r="F257" s="11">
        <f>IF($T257=0,"",IF(AND($I257="Bloomberg",ISNUMBER(INDEX('Market Data'!$L$5:$L$528,$T257))),INDEX('Market Data'!$L$5:$L$528,$T257),"unavailable"))</f>
        <v/>
      </c>
      <c r="G257" s="12">
        <f>IF($T257=0,"",IF($I257="Bloomberg",IF(AND(ISNUMBER(INDEX('Market Data'!$M$5:$M$528,$T257)),N(INDEX('Market Data'!$M$5:$M$528,$T257))&gt;0),INDEX('Market Data'!$M$5:$M$528,$T257),"date unavailable"),IF($I257="Snapshot",IF(AND(ISNUMBER(INDEX('Market Data'!$H$5:$H$528,$T257)),N(INDEX('Market Data'!$H$5:$H$528,$T257))&gt;0),INDEX('Market Data'!$H$5:$H$528,$T257),"date unavailable"),"date unavailable")))</f>
        <v/>
      </c>
      <c r="H257" s="9">
        <f>IF($T257=0,"",IF($I257="Bloomberg",IF(INDEX('Market Data'!$N$5:$N$528,$T257)="","time unavailable",INDEX('Market Data'!$N$5:$N$528,$T257)),""))</f>
        <v/>
      </c>
      <c r="I257" s="9">
        <f>IF($T257=0,"",INDEX('Market Data'!$P$5:$P$528,$T257))</f>
        <v/>
      </c>
      <c r="J257" s="13">
        <f>IF($T257=0,"",IF(INDEX('Market Data'!$E$5:$E$528,$T257)="","",INDEX('Market Data'!$E$5:$E$528,$T257)))</f>
        <v/>
      </c>
      <c r="K257" s="8">
        <f>IF($T257=0,"",IF(INDEX('Market Data'!$I$5:$I$528,$T257)="","",INDEX('Market Data'!$I$5:$I$528,$T257)))</f>
        <v/>
      </c>
      <c r="L257" s="10">
        <f>IF($T257=0,"",IF(INDEX('Market Data'!$J$5:$J$528,$T257)=0,"n/a",IF(AND($M$5&lt;&gt;"Snapshot",ISNUMBER(INDEX('Market Data'!$AH$5:$AH$66,INDEX('Market Data'!$J$5:$J$528,$T257)-4)),N(INDEX('Market Data'!$AH$5:$AH$66,INDEX('Market Data'!$J$5:$J$528,$T257)-4))&gt;0),INDEX('Market Data'!$AH$5:$AH$66,INDEX('Market Data'!$J$5:$J$528,$T257)-4),IF(AND($M$5&lt;&gt;"Bloomberg",ISNUMBER(INDEX('Market Data'!$AC$5:$AC$66,INDEX('Market Data'!$J$5:$J$528,$T257)-4)),N(INDEX('Market Data'!$AC$5:$AC$66,INDEX('Market Data'!$J$5:$J$528,$T257)-4))&gt;0),INDEX('Market Data'!$AC$5:$AC$66,INDEX('Market Data'!$J$5:$J$528,$T257)-4),"unavailable"))))</f>
        <v/>
      </c>
      <c r="M257" s="11">
        <f>IF($T257=0,"",IF(INDEX('Market Data'!$J$5:$J$528,$T257)=0,"n/a",IF(IF(INDEX('Market Data'!$J$5:$J$528,$T257)=0,0,IF(LEFT(INDEX('Market Data'!$AS$5:$AS$66,INDEX('Market Data'!$J$5:$J$528,$T257)-4),11)="First-month",1,0))=1,"class review",IF($I257="Bloomberg",IF(AND(ISNUMBER(INDEX('Market Data'!$AH$5:$AH$66,INDEX('Market Data'!$J$5:$J$528,$T257)-4)),N(INDEX('Market Data'!$AH$5:$AH$66,INDEX('Market Data'!$J$5:$J$528,$T257)-4))&gt;0,ISNUMBER('Market Data'!$B$1),N('Market Data'!$B$1)&gt;0),INDEX('Market Data'!$AH$5:$AH$66,INDEX('Market Data'!$J$5:$J$528,$T257)-4)*'Market Data'!$B$1/$E257-1,"pending A/FX"),IF(AND($I257="Snapshot",$Q257="Snapshot",ISNUMBER($E257),$G257=INDEX('Market Data'!$AE$5:$AE$66,INDEX('Market Data'!$J$5:$J$528,$T257)-4)),IFERROR(INDEX('Market Data'!$AC$5:$AC$66,INDEX('Market Data'!$J$5:$J$528,$T257)-4)*INDEX('Market Data'!$AD$5:$AD$66,INDEX('Market Data'!$J$5:$J$528,$T257)-4)/$E257-1,"unavailable"),IF($I257="Unavailable","unavailable","date mismatch"))))))</f>
        <v/>
      </c>
      <c r="N257" s="11">
        <f>IF($T257=0,"",IFERROR(IF(AND(N(INDEX('Market Data'!$F$5:$F$528,$T257))&gt;0,ISNUMBER(INDEX('Market Data'!$T$5:$T$528,$T257))),$E257*INDEX('Market Data'!$T$5:$T$528,$T257)/INDEX('Market Data'!$F$5:$F$528,$T257)-1,"unavailable"),"unavailable"))</f>
        <v/>
      </c>
      <c r="O257" s="9">
        <f>IF($T257=0,"",IF(IF(INDEX('Market Data'!$J$5:$J$528,$T257)=0,0,IF(LEFT(INDEX('Market Data'!$AS$5:$AS$66,INDEX('Market Data'!$J$5:$J$528,$T257)-4),11)="First-month",1,0))=1,"Class ratio review",IF($I257="Bloomberg",IF(ISNUMBER($G257),IF($G257&lt;TODAY(),"Older quote","See quote time"),"Date unavailable"),IF($I257="Snapshot",IF($G257&lt;DATEVALUE("2026-10-02"),"Older snapshot","Dated close"),"No valid quote"))))</f>
        <v/>
      </c>
      <c r="P257" s="14">
        <f>IF($T257=0,"",IF(INDEX('Market Data'!$J$5:$J$528,$T257)=0,"n/a",IF($Q257="Bloomberg",IF(AND(ISNUMBER(INDEX('Market Data'!$AK$5:$AK$66,INDEX('Market Data'!$J$5:$J$528,$T257)-4)),N(INDEX('Market Data'!$AK$5:$AK$66,INDEX('Market Data'!$J$5:$J$528,$T257)-4))&gt;0),INDEX('Market Data'!$AK$5:$AK$66,INDEX('Market Data'!$J$5:$J$528,$T257)-4),"date unavailable"),IF($Q257="Snapshot",IF(AND(ISNUMBER(INDEX('Market Data'!$AF$5:$AF$66,INDEX('Market Data'!$J$5:$J$528,$T257)-4)),N(INDEX('Market Data'!$AF$5:$AF$66,INDEX('Market Data'!$J$5:$J$528,$T257)-4))&gt;0),INDEX('Market Data'!$AF$5:$AF$66,INDEX('Market Data'!$J$5:$J$528,$T257)-4),"date unavailable"),"date unavailable"))))</f>
        <v/>
      </c>
      <c r="Q257" s="15">
        <f>IF($T257=0,"",IF(INDEX('Market Data'!$J$5:$J$528,$T257)=0,"n/a",IF(AND($M$5&lt;&gt;"Snapshot",ISNUMBER(INDEX('Market Data'!$AH$5:$AH$66,INDEX('Market Data'!$J$5:$J$528,$T257)-4)),N(INDEX('Market Data'!$AH$5:$AH$66,INDEX('Market Data'!$J$5:$J$528,$T257)-4))&gt;0),"Bloomberg",IF(AND($M$5&lt;&gt;"Bloomberg",ISNUMBER(INDEX('Market Data'!$AC$5:$AC$66,INDEX('Market Data'!$J$5:$J$528,$T257)-4)),N(INDEX('Market Data'!$AC$5:$AC$66,INDEX('Market Data'!$J$5:$J$528,$T257)-4))&gt;0),"Snapshot","Unavailable"))))</f>
        <v/>
      </c>
      <c r="T257">
        <f>IFERROR(MATCH(249,'Market Data'!$S$5:$S$528,0),0)</f>
        <v/>
      </c>
    </row>
    <row r="258" ht="34" customHeight="1">
      <c r="A258" s="8">
        <f>IF($T258=0,"",IF(INDEX('Market Data'!$A$5:$A$528,$T258)="","",INDEX('Market Data'!$A$5:$A$528,$T258)))</f>
        <v/>
      </c>
      <c r="B258" s="9">
        <f>IF($T258=0,"",IF(INDEX('Market Data'!$B$5:$B$528,$T258)="","",INDEX('Market Data'!$B$5:$B$528,$T258)))</f>
        <v/>
      </c>
      <c r="C258" s="9">
        <f>IF($T258=0,"",IF(INDEX('Market Data'!$C$5:$C$528,$T258)="","",INDEX('Market Data'!$C$5:$C$528,$T258)))</f>
        <v/>
      </c>
      <c r="D258" s="9">
        <f>IF($T258=0,"",IF(INDEX('Market Data'!$D$5:$D$528,$T258)="","",INDEX('Market Data'!$D$5:$D$528,$T258)))</f>
        <v/>
      </c>
      <c r="E258" s="10">
        <f>IF($T258=0,"",INDEX('Market Data'!$O$5:$O$528,$T258))</f>
        <v/>
      </c>
      <c r="F258" s="11">
        <f>IF($T258=0,"",IF(AND($I258="Bloomberg",ISNUMBER(INDEX('Market Data'!$L$5:$L$528,$T258))),INDEX('Market Data'!$L$5:$L$528,$T258),"unavailable"))</f>
        <v/>
      </c>
      <c r="G258" s="12">
        <f>IF($T258=0,"",IF($I258="Bloomberg",IF(AND(ISNUMBER(INDEX('Market Data'!$M$5:$M$528,$T258)),N(INDEX('Market Data'!$M$5:$M$528,$T258))&gt;0),INDEX('Market Data'!$M$5:$M$528,$T258),"date unavailable"),IF($I258="Snapshot",IF(AND(ISNUMBER(INDEX('Market Data'!$H$5:$H$528,$T258)),N(INDEX('Market Data'!$H$5:$H$528,$T258))&gt;0),INDEX('Market Data'!$H$5:$H$528,$T258),"date unavailable"),"date unavailable")))</f>
        <v/>
      </c>
      <c r="H258" s="9">
        <f>IF($T258=0,"",IF($I258="Bloomberg",IF(INDEX('Market Data'!$N$5:$N$528,$T258)="","time unavailable",INDEX('Market Data'!$N$5:$N$528,$T258)),""))</f>
        <v/>
      </c>
      <c r="I258" s="9">
        <f>IF($T258=0,"",INDEX('Market Data'!$P$5:$P$528,$T258))</f>
        <v/>
      </c>
      <c r="J258" s="13">
        <f>IF($T258=0,"",IF(INDEX('Market Data'!$E$5:$E$528,$T258)="","",INDEX('Market Data'!$E$5:$E$528,$T258)))</f>
        <v/>
      </c>
      <c r="K258" s="8">
        <f>IF($T258=0,"",IF(INDEX('Market Data'!$I$5:$I$528,$T258)="","",INDEX('Market Data'!$I$5:$I$528,$T258)))</f>
        <v/>
      </c>
      <c r="L258" s="10">
        <f>IF($T258=0,"",IF(INDEX('Market Data'!$J$5:$J$528,$T258)=0,"n/a",IF(AND($M$5&lt;&gt;"Snapshot",ISNUMBER(INDEX('Market Data'!$AH$5:$AH$66,INDEX('Market Data'!$J$5:$J$528,$T258)-4)),N(INDEX('Market Data'!$AH$5:$AH$66,INDEX('Market Data'!$J$5:$J$528,$T258)-4))&gt;0),INDEX('Market Data'!$AH$5:$AH$66,INDEX('Market Data'!$J$5:$J$528,$T258)-4),IF(AND($M$5&lt;&gt;"Bloomberg",ISNUMBER(INDEX('Market Data'!$AC$5:$AC$66,INDEX('Market Data'!$J$5:$J$528,$T258)-4)),N(INDEX('Market Data'!$AC$5:$AC$66,INDEX('Market Data'!$J$5:$J$528,$T258)-4))&gt;0),INDEX('Market Data'!$AC$5:$AC$66,INDEX('Market Data'!$J$5:$J$528,$T258)-4),"unavailable"))))</f>
        <v/>
      </c>
      <c r="M258" s="11">
        <f>IF($T258=0,"",IF(INDEX('Market Data'!$J$5:$J$528,$T258)=0,"n/a",IF(IF(INDEX('Market Data'!$J$5:$J$528,$T258)=0,0,IF(LEFT(INDEX('Market Data'!$AS$5:$AS$66,INDEX('Market Data'!$J$5:$J$528,$T258)-4),11)="First-month",1,0))=1,"class review",IF($I258="Bloomberg",IF(AND(ISNUMBER(INDEX('Market Data'!$AH$5:$AH$66,INDEX('Market Data'!$J$5:$J$528,$T258)-4)),N(INDEX('Market Data'!$AH$5:$AH$66,INDEX('Market Data'!$J$5:$J$528,$T258)-4))&gt;0,ISNUMBER('Market Data'!$B$1),N('Market Data'!$B$1)&gt;0),INDEX('Market Data'!$AH$5:$AH$66,INDEX('Market Data'!$J$5:$J$528,$T258)-4)*'Market Data'!$B$1/$E258-1,"pending A/FX"),IF(AND($I258="Snapshot",$Q258="Snapshot",ISNUMBER($E258),$G258=INDEX('Market Data'!$AE$5:$AE$66,INDEX('Market Data'!$J$5:$J$528,$T258)-4)),IFERROR(INDEX('Market Data'!$AC$5:$AC$66,INDEX('Market Data'!$J$5:$J$528,$T258)-4)*INDEX('Market Data'!$AD$5:$AD$66,INDEX('Market Data'!$J$5:$J$528,$T258)-4)/$E258-1,"unavailable"),IF($I258="Unavailable","unavailable","date mismatch"))))))</f>
        <v/>
      </c>
      <c r="N258" s="11">
        <f>IF($T258=0,"",IFERROR(IF(AND(N(INDEX('Market Data'!$F$5:$F$528,$T258))&gt;0,ISNUMBER(INDEX('Market Data'!$T$5:$T$528,$T258))),$E258*INDEX('Market Data'!$T$5:$T$528,$T258)/INDEX('Market Data'!$F$5:$F$528,$T258)-1,"unavailable"),"unavailable"))</f>
        <v/>
      </c>
      <c r="O258" s="9">
        <f>IF($T258=0,"",IF(IF(INDEX('Market Data'!$J$5:$J$528,$T258)=0,0,IF(LEFT(INDEX('Market Data'!$AS$5:$AS$66,INDEX('Market Data'!$J$5:$J$528,$T258)-4),11)="First-month",1,0))=1,"Class ratio review",IF($I258="Bloomberg",IF(ISNUMBER($G258),IF($G258&lt;TODAY(),"Older quote","See quote time"),"Date unavailable"),IF($I258="Snapshot",IF($G258&lt;DATEVALUE("2026-10-02"),"Older snapshot","Dated close"),"No valid quote"))))</f>
        <v/>
      </c>
      <c r="P258" s="14">
        <f>IF($T258=0,"",IF(INDEX('Market Data'!$J$5:$J$528,$T258)=0,"n/a",IF($Q258="Bloomberg",IF(AND(ISNUMBER(INDEX('Market Data'!$AK$5:$AK$66,INDEX('Market Data'!$J$5:$J$528,$T258)-4)),N(INDEX('Market Data'!$AK$5:$AK$66,INDEX('Market Data'!$J$5:$J$528,$T258)-4))&gt;0),INDEX('Market Data'!$AK$5:$AK$66,INDEX('Market Data'!$J$5:$J$528,$T258)-4),"date unavailable"),IF($Q258="Snapshot",IF(AND(ISNUMBER(INDEX('Market Data'!$AF$5:$AF$66,INDEX('Market Data'!$J$5:$J$528,$T258)-4)),N(INDEX('Market Data'!$AF$5:$AF$66,INDEX('Market Data'!$J$5:$J$528,$T258)-4))&gt;0),INDEX('Market Data'!$AF$5:$AF$66,INDEX('Market Data'!$J$5:$J$528,$T258)-4),"date unavailable"),"date unavailable"))))</f>
        <v/>
      </c>
      <c r="Q258" s="15">
        <f>IF($T258=0,"",IF(INDEX('Market Data'!$J$5:$J$528,$T258)=0,"n/a",IF(AND($M$5&lt;&gt;"Snapshot",ISNUMBER(INDEX('Market Data'!$AH$5:$AH$66,INDEX('Market Data'!$J$5:$J$528,$T258)-4)),N(INDEX('Market Data'!$AH$5:$AH$66,INDEX('Market Data'!$J$5:$J$528,$T258)-4))&gt;0),"Bloomberg",IF(AND($M$5&lt;&gt;"Bloomberg",ISNUMBER(INDEX('Market Data'!$AC$5:$AC$66,INDEX('Market Data'!$J$5:$J$528,$T258)-4)),N(INDEX('Market Data'!$AC$5:$AC$66,INDEX('Market Data'!$J$5:$J$528,$T258)-4))&gt;0),"Snapshot","Unavailable"))))</f>
        <v/>
      </c>
      <c r="T258">
        <f>IFERROR(MATCH(250,'Market Data'!$S$5:$S$528,0),0)</f>
        <v/>
      </c>
    </row>
    <row r="259" ht="34" customHeight="1">
      <c r="A259" s="8">
        <f>IF($T259=0,"",IF(INDEX('Market Data'!$A$5:$A$528,$T259)="","",INDEX('Market Data'!$A$5:$A$528,$T259)))</f>
        <v/>
      </c>
      <c r="B259" s="9">
        <f>IF($T259=0,"",IF(INDEX('Market Data'!$B$5:$B$528,$T259)="","",INDEX('Market Data'!$B$5:$B$528,$T259)))</f>
        <v/>
      </c>
      <c r="C259" s="9">
        <f>IF($T259=0,"",IF(INDEX('Market Data'!$C$5:$C$528,$T259)="","",INDEX('Market Data'!$C$5:$C$528,$T259)))</f>
        <v/>
      </c>
      <c r="D259" s="9">
        <f>IF($T259=0,"",IF(INDEX('Market Data'!$D$5:$D$528,$T259)="","",INDEX('Market Data'!$D$5:$D$528,$T259)))</f>
        <v/>
      </c>
      <c r="E259" s="10">
        <f>IF($T259=0,"",INDEX('Market Data'!$O$5:$O$528,$T259))</f>
        <v/>
      </c>
      <c r="F259" s="11">
        <f>IF($T259=0,"",IF(AND($I259="Bloomberg",ISNUMBER(INDEX('Market Data'!$L$5:$L$528,$T259))),INDEX('Market Data'!$L$5:$L$528,$T259),"unavailable"))</f>
        <v/>
      </c>
      <c r="G259" s="12">
        <f>IF($T259=0,"",IF($I259="Bloomberg",IF(AND(ISNUMBER(INDEX('Market Data'!$M$5:$M$528,$T259)),N(INDEX('Market Data'!$M$5:$M$528,$T259))&gt;0),INDEX('Market Data'!$M$5:$M$528,$T259),"date unavailable"),IF($I259="Snapshot",IF(AND(ISNUMBER(INDEX('Market Data'!$H$5:$H$528,$T259)),N(INDEX('Market Data'!$H$5:$H$528,$T259))&gt;0),INDEX('Market Data'!$H$5:$H$528,$T259),"date unavailable"),"date unavailable")))</f>
        <v/>
      </c>
      <c r="H259" s="9">
        <f>IF($T259=0,"",IF($I259="Bloomberg",IF(INDEX('Market Data'!$N$5:$N$528,$T259)="","time unavailable",INDEX('Market Data'!$N$5:$N$528,$T259)),""))</f>
        <v/>
      </c>
      <c r="I259" s="9">
        <f>IF($T259=0,"",INDEX('Market Data'!$P$5:$P$528,$T259))</f>
        <v/>
      </c>
      <c r="J259" s="13">
        <f>IF($T259=0,"",IF(INDEX('Market Data'!$E$5:$E$528,$T259)="","",INDEX('Market Data'!$E$5:$E$528,$T259)))</f>
        <v/>
      </c>
      <c r="K259" s="8">
        <f>IF($T259=0,"",IF(INDEX('Market Data'!$I$5:$I$528,$T259)="","",INDEX('Market Data'!$I$5:$I$528,$T259)))</f>
        <v/>
      </c>
      <c r="L259" s="10">
        <f>IF($T259=0,"",IF(INDEX('Market Data'!$J$5:$J$528,$T259)=0,"n/a",IF(AND($M$5&lt;&gt;"Snapshot",ISNUMBER(INDEX('Market Data'!$AH$5:$AH$66,INDEX('Market Data'!$J$5:$J$528,$T259)-4)),N(INDEX('Market Data'!$AH$5:$AH$66,INDEX('Market Data'!$J$5:$J$528,$T259)-4))&gt;0),INDEX('Market Data'!$AH$5:$AH$66,INDEX('Market Data'!$J$5:$J$528,$T259)-4),IF(AND($M$5&lt;&gt;"Bloomberg",ISNUMBER(INDEX('Market Data'!$AC$5:$AC$66,INDEX('Market Data'!$J$5:$J$528,$T259)-4)),N(INDEX('Market Data'!$AC$5:$AC$66,INDEX('Market Data'!$J$5:$J$528,$T259)-4))&gt;0),INDEX('Market Data'!$AC$5:$AC$66,INDEX('Market Data'!$J$5:$J$528,$T259)-4),"unavailable"))))</f>
        <v/>
      </c>
      <c r="M259" s="11">
        <f>IF($T259=0,"",IF(INDEX('Market Data'!$J$5:$J$528,$T259)=0,"n/a",IF(IF(INDEX('Market Data'!$J$5:$J$528,$T259)=0,0,IF(LEFT(INDEX('Market Data'!$AS$5:$AS$66,INDEX('Market Data'!$J$5:$J$528,$T259)-4),11)="First-month",1,0))=1,"class review",IF($I259="Bloomberg",IF(AND(ISNUMBER(INDEX('Market Data'!$AH$5:$AH$66,INDEX('Market Data'!$J$5:$J$528,$T259)-4)),N(INDEX('Market Data'!$AH$5:$AH$66,INDEX('Market Data'!$J$5:$J$528,$T259)-4))&gt;0,ISNUMBER('Market Data'!$B$1),N('Market Data'!$B$1)&gt;0),INDEX('Market Data'!$AH$5:$AH$66,INDEX('Market Data'!$J$5:$J$528,$T259)-4)*'Market Data'!$B$1/$E259-1,"pending A/FX"),IF(AND($I259="Snapshot",$Q259="Snapshot",ISNUMBER($E259),$G259=INDEX('Market Data'!$AE$5:$AE$66,INDEX('Market Data'!$J$5:$J$528,$T259)-4)),IFERROR(INDEX('Market Data'!$AC$5:$AC$66,INDEX('Market Data'!$J$5:$J$528,$T259)-4)*INDEX('Market Data'!$AD$5:$AD$66,INDEX('Market Data'!$J$5:$J$528,$T259)-4)/$E259-1,"unavailable"),IF($I259="Unavailable","unavailable","date mismatch"))))))</f>
        <v/>
      </c>
      <c r="N259" s="11">
        <f>IF($T259=0,"",IFERROR(IF(AND(N(INDEX('Market Data'!$F$5:$F$528,$T259))&gt;0,ISNUMBER(INDEX('Market Data'!$T$5:$T$528,$T259))),$E259*INDEX('Market Data'!$T$5:$T$528,$T259)/INDEX('Market Data'!$F$5:$F$528,$T259)-1,"unavailable"),"unavailable"))</f>
        <v/>
      </c>
      <c r="O259" s="9">
        <f>IF($T259=0,"",IF(IF(INDEX('Market Data'!$J$5:$J$528,$T259)=0,0,IF(LEFT(INDEX('Market Data'!$AS$5:$AS$66,INDEX('Market Data'!$J$5:$J$528,$T259)-4),11)="First-month",1,0))=1,"Class ratio review",IF($I259="Bloomberg",IF(ISNUMBER($G259),IF($G259&lt;TODAY(),"Older quote","See quote time"),"Date unavailable"),IF($I259="Snapshot",IF($G259&lt;DATEVALUE("2026-10-02"),"Older snapshot","Dated close"),"No valid quote"))))</f>
        <v/>
      </c>
      <c r="P259" s="14">
        <f>IF($T259=0,"",IF(INDEX('Market Data'!$J$5:$J$528,$T259)=0,"n/a",IF($Q259="Bloomberg",IF(AND(ISNUMBER(INDEX('Market Data'!$AK$5:$AK$66,INDEX('Market Data'!$J$5:$J$528,$T259)-4)),N(INDEX('Market Data'!$AK$5:$AK$66,INDEX('Market Data'!$J$5:$J$528,$T259)-4))&gt;0),INDEX('Market Data'!$AK$5:$AK$66,INDEX('Market Data'!$J$5:$J$528,$T259)-4),"date unavailable"),IF($Q259="Snapshot",IF(AND(ISNUMBER(INDEX('Market Data'!$AF$5:$AF$66,INDEX('Market Data'!$J$5:$J$528,$T259)-4)),N(INDEX('Market Data'!$AF$5:$AF$66,INDEX('Market Data'!$J$5:$J$528,$T259)-4))&gt;0),INDEX('Market Data'!$AF$5:$AF$66,INDEX('Market Data'!$J$5:$J$528,$T259)-4),"date unavailable"),"date unavailable"))))</f>
        <v/>
      </c>
      <c r="Q259" s="15">
        <f>IF($T259=0,"",IF(INDEX('Market Data'!$J$5:$J$528,$T259)=0,"n/a",IF(AND($M$5&lt;&gt;"Snapshot",ISNUMBER(INDEX('Market Data'!$AH$5:$AH$66,INDEX('Market Data'!$J$5:$J$528,$T259)-4)),N(INDEX('Market Data'!$AH$5:$AH$66,INDEX('Market Data'!$J$5:$J$528,$T259)-4))&gt;0),"Bloomberg",IF(AND($M$5&lt;&gt;"Bloomberg",ISNUMBER(INDEX('Market Data'!$AC$5:$AC$66,INDEX('Market Data'!$J$5:$J$528,$T259)-4)),N(INDEX('Market Data'!$AC$5:$AC$66,INDEX('Market Data'!$J$5:$J$528,$T259)-4))&gt;0),"Snapshot","Unavailable"))))</f>
        <v/>
      </c>
      <c r="T259">
        <f>IFERROR(MATCH(251,'Market Data'!$S$5:$S$528,0),0)</f>
        <v/>
      </c>
    </row>
    <row r="260" ht="34" customHeight="1">
      <c r="A260" s="8">
        <f>IF($T260=0,"",IF(INDEX('Market Data'!$A$5:$A$528,$T260)="","",INDEX('Market Data'!$A$5:$A$528,$T260)))</f>
        <v/>
      </c>
      <c r="B260" s="9">
        <f>IF($T260=0,"",IF(INDEX('Market Data'!$B$5:$B$528,$T260)="","",INDEX('Market Data'!$B$5:$B$528,$T260)))</f>
        <v/>
      </c>
      <c r="C260" s="9">
        <f>IF($T260=0,"",IF(INDEX('Market Data'!$C$5:$C$528,$T260)="","",INDEX('Market Data'!$C$5:$C$528,$T260)))</f>
        <v/>
      </c>
      <c r="D260" s="9">
        <f>IF($T260=0,"",IF(INDEX('Market Data'!$D$5:$D$528,$T260)="","",INDEX('Market Data'!$D$5:$D$528,$T260)))</f>
        <v/>
      </c>
      <c r="E260" s="10">
        <f>IF($T260=0,"",INDEX('Market Data'!$O$5:$O$528,$T260))</f>
        <v/>
      </c>
      <c r="F260" s="11">
        <f>IF($T260=0,"",IF(AND($I260="Bloomberg",ISNUMBER(INDEX('Market Data'!$L$5:$L$528,$T260))),INDEX('Market Data'!$L$5:$L$528,$T260),"unavailable"))</f>
        <v/>
      </c>
      <c r="G260" s="12">
        <f>IF($T260=0,"",IF($I260="Bloomberg",IF(AND(ISNUMBER(INDEX('Market Data'!$M$5:$M$528,$T260)),N(INDEX('Market Data'!$M$5:$M$528,$T260))&gt;0),INDEX('Market Data'!$M$5:$M$528,$T260),"date unavailable"),IF($I260="Snapshot",IF(AND(ISNUMBER(INDEX('Market Data'!$H$5:$H$528,$T260)),N(INDEX('Market Data'!$H$5:$H$528,$T260))&gt;0),INDEX('Market Data'!$H$5:$H$528,$T260),"date unavailable"),"date unavailable")))</f>
        <v/>
      </c>
      <c r="H260" s="9">
        <f>IF($T260=0,"",IF($I260="Bloomberg",IF(INDEX('Market Data'!$N$5:$N$528,$T260)="","time unavailable",INDEX('Market Data'!$N$5:$N$528,$T260)),""))</f>
        <v/>
      </c>
      <c r="I260" s="9">
        <f>IF($T260=0,"",INDEX('Market Data'!$P$5:$P$528,$T260))</f>
        <v/>
      </c>
      <c r="J260" s="13">
        <f>IF($T260=0,"",IF(INDEX('Market Data'!$E$5:$E$528,$T260)="","",INDEX('Market Data'!$E$5:$E$528,$T260)))</f>
        <v/>
      </c>
      <c r="K260" s="8">
        <f>IF($T260=0,"",IF(INDEX('Market Data'!$I$5:$I$528,$T260)="","",INDEX('Market Data'!$I$5:$I$528,$T260)))</f>
        <v/>
      </c>
      <c r="L260" s="10">
        <f>IF($T260=0,"",IF(INDEX('Market Data'!$J$5:$J$528,$T260)=0,"n/a",IF(AND($M$5&lt;&gt;"Snapshot",ISNUMBER(INDEX('Market Data'!$AH$5:$AH$66,INDEX('Market Data'!$J$5:$J$528,$T260)-4)),N(INDEX('Market Data'!$AH$5:$AH$66,INDEX('Market Data'!$J$5:$J$528,$T260)-4))&gt;0),INDEX('Market Data'!$AH$5:$AH$66,INDEX('Market Data'!$J$5:$J$528,$T260)-4),IF(AND($M$5&lt;&gt;"Bloomberg",ISNUMBER(INDEX('Market Data'!$AC$5:$AC$66,INDEX('Market Data'!$J$5:$J$528,$T260)-4)),N(INDEX('Market Data'!$AC$5:$AC$66,INDEX('Market Data'!$J$5:$J$528,$T260)-4))&gt;0),INDEX('Market Data'!$AC$5:$AC$66,INDEX('Market Data'!$J$5:$J$528,$T260)-4),"unavailable"))))</f>
        <v/>
      </c>
      <c r="M260" s="11">
        <f>IF($T260=0,"",IF(INDEX('Market Data'!$J$5:$J$528,$T260)=0,"n/a",IF(IF(INDEX('Market Data'!$J$5:$J$528,$T260)=0,0,IF(LEFT(INDEX('Market Data'!$AS$5:$AS$66,INDEX('Market Data'!$J$5:$J$528,$T260)-4),11)="First-month",1,0))=1,"class review",IF($I260="Bloomberg",IF(AND(ISNUMBER(INDEX('Market Data'!$AH$5:$AH$66,INDEX('Market Data'!$J$5:$J$528,$T260)-4)),N(INDEX('Market Data'!$AH$5:$AH$66,INDEX('Market Data'!$J$5:$J$528,$T260)-4))&gt;0,ISNUMBER('Market Data'!$B$1),N('Market Data'!$B$1)&gt;0),INDEX('Market Data'!$AH$5:$AH$66,INDEX('Market Data'!$J$5:$J$528,$T260)-4)*'Market Data'!$B$1/$E260-1,"pending A/FX"),IF(AND($I260="Snapshot",$Q260="Snapshot",ISNUMBER($E260),$G260=INDEX('Market Data'!$AE$5:$AE$66,INDEX('Market Data'!$J$5:$J$528,$T260)-4)),IFERROR(INDEX('Market Data'!$AC$5:$AC$66,INDEX('Market Data'!$J$5:$J$528,$T260)-4)*INDEX('Market Data'!$AD$5:$AD$66,INDEX('Market Data'!$J$5:$J$528,$T260)-4)/$E260-1,"unavailable"),IF($I260="Unavailable","unavailable","date mismatch"))))))</f>
        <v/>
      </c>
      <c r="N260" s="11">
        <f>IF($T260=0,"",IFERROR(IF(AND(N(INDEX('Market Data'!$F$5:$F$528,$T260))&gt;0,ISNUMBER(INDEX('Market Data'!$T$5:$T$528,$T260))),$E260*INDEX('Market Data'!$T$5:$T$528,$T260)/INDEX('Market Data'!$F$5:$F$528,$T260)-1,"unavailable"),"unavailable"))</f>
        <v/>
      </c>
      <c r="O260" s="9">
        <f>IF($T260=0,"",IF(IF(INDEX('Market Data'!$J$5:$J$528,$T260)=0,0,IF(LEFT(INDEX('Market Data'!$AS$5:$AS$66,INDEX('Market Data'!$J$5:$J$528,$T260)-4),11)="First-month",1,0))=1,"Class ratio review",IF($I260="Bloomberg",IF(ISNUMBER($G260),IF($G260&lt;TODAY(),"Older quote","See quote time"),"Date unavailable"),IF($I260="Snapshot",IF($G260&lt;DATEVALUE("2026-10-02"),"Older snapshot","Dated close"),"No valid quote"))))</f>
        <v/>
      </c>
      <c r="P260" s="14">
        <f>IF($T260=0,"",IF(INDEX('Market Data'!$J$5:$J$528,$T260)=0,"n/a",IF($Q260="Bloomberg",IF(AND(ISNUMBER(INDEX('Market Data'!$AK$5:$AK$66,INDEX('Market Data'!$J$5:$J$528,$T260)-4)),N(INDEX('Market Data'!$AK$5:$AK$66,INDEX('Market Data'!$J$5:$J$528,$T260)-4))&gt;0),INDEX('Market Data'!$AK$5:$AK$66,INDEX('Market Data'!$J$5:$J$528,$T260)-4),"date unavailable"),IF($Q260="Snapshot",IF(AND(ISNUMBER(INDEX('Market Data'!$AF$5:$AF$66,INDEX('Market Data'!$J$5:$J$528,$T260)-4)),N(INDEX('Market Data'!$AF$5:$AF$66,INDEX('Market Data'!$J$5:$J$528,$T260)-4))&gt;0),INDEX('Market Data'!$AF$5:$AF$66,INDEX('Market Data'!$J$5:$J$528,$T260)-4),"date unavailable"),"date unavailable"))))</f>
        <v/>
      </c>
      <c r="Q260" s="15">
        <f>IF($T260=0,"",IF(INDEX('Market Data'!$J$5:$J$528,$T260)=0,"n/a",IF(AND($M$5&lt;&gt;"Snapshot",ISNUMBER(INDEX('Market Data'!$AH$5:$AH$66,INDEX('Market Data'!$J$5:$J$528,$T260)-4)),N(INDEX('Market Data'!$AH$5:$AH$66,INDEX('Market Data'!$J$5:$J$528,$T260)-4))&gt;0),"Bloomberg",IF(AND($M$5&lt;&gt;"Bloomberg",ISNUMBER(INDEX('Market Data'!$AC$5:$AC$66,INDEX('Market Data'!$J$5:$J$528,$T260)-4)),N(INDEX('Market Data'!$AC$5:$AC$66,INDEX('Market Data'!$J$5:$J$528,$T260)-4))&gt;0),"Snapshot","Unavailable"))))</f>
        <v/>
      </c>
      <c r="T260">
        <f>IFERROR(MATCH(252,'Market Data'!$S$5:$S$528,0),0)</f>
        <v/>
      </c>
    </row>
    <row r="261" ht="34" customHeight="1">
      <c r="A261" s="8">
        <f>IF($T261=0,"",IF(INDEX('Market Data'!$A$5:$A$528,$T261)="","",INDEX('Market Data'!$A$5:$A$528,$T261)))</f>
        <v/>
      </c>
      <c r="B261" s="9">
        <f>IF($T261=0,"",IF(INDEX('Market Data'!$B$5:$B$528,$T261)="","",INDEX('Market Data'!$B$5:$B$528,$T261)))</f>
        <v/>
      </c>
      <c r="C261" s="9">
        <f>IF($T261=0,"",IF(INDEX('Market Data'!$C$5:$C$528,$T261)="","",INDEX('Market Data'!$C$5:$C$528,$T261)))</f>
        <v/>
      </c>
      <c r="D261" s="9">
        <f>IF($T261=0,"",IF(INDEX('Market Data'!$D$5:$D$528,$T261)="","",INDEX('Market Data'!$D$5:$D$528,$T261)))</f>
        <v/>
      </c>
      <c r="E261" s="10">
        <f>IF($T261=0,"",INDEX('Market Data'!$O$5:$O$528,$T261))</f>
        <v/>
      </c>
      <c r="F261" s="11">
        <f>IF($T261=0,"",IF(AND($I261="Bloomberg",ISNUMBER(INDEX('Market Data'!$L$5:$L$528,$T261))),INDEX('Market Data'!$L$5:$L$528,$T261),"unavailable"))</f>
        <v/>
      </c>
      <c r="G261" s="12">
        <f>IF($T261=0,"",IF($I261="Bloomberg",IF(AND(ISNUMBER(INDEX('Market Data'!$M$5:$M$528,$T261)),N(INDEX('Market Data'!$M$5:$M$528,$T261))&gt;0),INDEX('Market Data'!$M$5:$M$528,$T261),"date unavailable"),IF($I261="Snapshot",IF(AND(ISNUMBER(INDEX('Market Data'!$H$5:$H$528,$T261)),N(INDEX('Market Data'!$H$5:$H$528,$T261))&gt;0),INDEX('Market Data'!$H$5:$H$528,$T261),"date unavailable"),"date unavailable")))</f>
        <v/>
      </c>
      <c r="H261" s="9">
        <f>IF($T261=0,"",IF($I261="Bloomberg",IF(INDEX('Market Data'!$N$5:$N$528,$T261)="","time unavailable",INDEX('Market Data'!$N$5:$N$528,$T261)),""))</f>
        <v/>
      </c>
      <c r="I261" s="9">
        <f>IF($T261=0,"",INDEX('Market Data'!$P$5:$P$528,$T261))</f>
        <v/>
      </c>
      <c r="J261" s="13">
        <f>IF($T261=0,"",IF(INDEX('Market Data'!$E$5:$E$528,$T261)="","",INDEX('Market Data'!$E$5:$E$528,$T261)))</f>
        <v/>
      </c>
      <c r="K261" s="8">
        <f>IF($T261=0,"",IF(INDEX('Market Data'!$I$5:$I$528,$T261)="","",INDEX('Market Data'!$I$5:$I$528,$T261)))</f>
        <v/>
      </c>
      <c r="L261" s="10">
        <f>IF($T261=0,"",IF(INDEX('Market Data'!$J$5:$J$528,$T261)=0,"n/a",IF(AND($M$5&lt;&gt;"Snapshot",ISNUMBER(INDEX('Market Data'!$AH$5:$AH$66,INDEX('Market Data'!$J$5:$J$528,$T261)-4)),N(INDEX('Market Data'!$AH$5:$AH$66,INDEX('Market Data'!$J$5:$J$528,$T261)-4))&gt;0),INDEX('Market Data'!$AH$5:$AH$66,INDEX('Market Data'!$J$5:$J$528,$T261)-4),IF(AND($M$5&lt;&gt;"Bloomberg",ISNUMBER(INDEX('Market Data'!$AC$5:$AC$66,INDEX('Market Data'!$J$5:$J$528,$T261)-4)),N(INDEX('Market Data'!$AC$5:$AC$66,INDEX('Market Data'!$J$5:$J$528,$T261)-4))&gt;0),INDEX('Market Data'!$AC$5:$AC$66,INDEX('Market Data'!$J$5:$J$528,$T261)-4),"unavailable"))))</f>
        <v/>
      </c>
      <c r="M261" s="11">
        <f>IF($T261=0,"",IF(INDEX('Market Data'!$J$5:$J$528,$T261)=0,"n/a",IF(IF(INDEX('Market Data'!$J$5:$J$528,$T261)=0,0,IF(LEFT(INDEX('Market Data'!$AS$5:$AS$66,INDEX('Market Data'!$J$5:$J$528,$T261)-4),11)="First-month",1,0))=1,"class review",IF($I261="Bloomberg",IF(AND(ISNUMBER(INDEX('Market Data'!$AH$5:$AH$66,INDEX('Market Data'!$J$5:$J$528,$T261)-4)),N(INDEX('Market Data'!$AH$5:$AH$66,INDEX('Market Data'!$J$5:$J$528,$T261)-4))&gt;0,ISNUMBER('Market Data'!$B$1),N('Market Data'!$B$1)&gt;0),INDEX('Market Data'!$AH$5:$AH$66,INDEX('Market Data'!$J$5:$J$528,$T261)-4)*'Market Data'!$B$1/$E261-1,"pending A/FX"),IF(AND($I261="Snapshot",$Q261="Snapshot",ISNUMBER($E261),$G261=INDEX('Market Data'!$AE$5:$AE$66,INDEX('Market Data'!$J$5:$J$528,$T261)-4)),IFERROR(INDEX('Market Data'!$AC$5:$AC$66,INDEX('Market Data'!$J$5:$J$528,$T261)-4)*INDEX('Market Data'!$AD$5:$AD$66,INDEX('Market Data'!$J$5:$J$528,$T261)-4)/$E261-1,"unavailable"),IF($I261="Unavailable","unavailable","date mismatch"))))))</f>
        <v/>
      </c>
      <c r="N261" s="11">
        <f>IF($T261=0,"",IFERROR(IF(AND(N(INDEX('Market Data'!$F$5:$F$528,$T261))&gt;0,ISNUMBER(INDEX('Market Data'!$T$5:$T$528,$T261))),$E261*INDEX('Market Data'!$T$5:$T$528,$T261)/INDEX('Market Data'!$F$5:$F$528,$T261)-1,"unavailable"),"unavailable"))</f>
        <v/>
      </c>
      <c r="O261" s="9">
        <f>IF($T261=0,"",IF(IF(INDEX('Market Data'!$J$5:$J$528,$T261)=0,0,IF(LEFT(INDEX('Market Data'!$AS$5:$AS$66,INDEX('Market Data'!$J$5:$J$528,$T261)-4),11)="First-month",1,0))=1,"Class ratio review",IF($I261="Bloomberg",IF(ISNUMBER($G261),IF($G261&lt;TODAY(),"Older quote","See quote time"),"Date unavailable"),IF($I261="Snapshot",IF($G261&lt;DATEVALUE("2026-10-02"),"Older snapshot","Dated close"),"No valid quote"))))</f>
        <v/>
      </c>
      <c r="P261" s="14">
        <f>IF($T261=0,"",IF(INDEX('Market Data'!$J$5:$J$528,$T261)=0,"n/a",IF($Q261="Bloomberg",IF(AND(ISNUMBER(INDEX('Market Data'!$AK$5:$AK$66,INDEX('Market Data'!$J$5:$J$528,$T261)-4)),N(INDEX('Market Data'!$AK$5:$AK$66,INDEX('Market Data'!$J$5:$J$528,$T261)-4))&gt;0),INDEX('Market Data'!$AK$5:$AK$66,INDEX('Market Data'!$J$5:$J$528,$T261)-4),"date unavailable"),IF($Q261="Snapshot",IF(AND(ISNUMBER(INDEX('Market Data'!$AF$5:$AF$66,INDEX('Market Data'!$J$5:$J$528,$T261)-4)),N(INDEX('Market Data'!$AF$5:$AF$66,INDEX('Market Data'!$J$5:$J$528,$T261)-4))&gt;0),INDEX('Market Data'!$AF$5:$AF$66,INDEX('Market Data'!$J$5:$J$528,$T261)-4),"date unavailable"),"date unavailable"))))</f>
        <v/>
      </c>
      <c r="Q261" s="15">
        <f>IF($T261=0,"",IF(INDEX('Market Data'!$J$5:$J$528,$T261)=0,"n/a",IF(AND($M$5&lt;&gt;"Snapshot",ISNUMBER(INDEX('Market Data'!$AH$5:$AH$66,INDEX('Market Data'!$J$5:$J$528,$T261)-4)),N(INDEX('Market Data'!$AH$5:$AH$66,INDEX('Market Data'!$J$5:$J$528,$T261)-4))&gt;0),"Bloomberg",IF(AND($M$5&lt;&gt;"Bloomberg",ISNUMBER(INDEX('Market Data'!$AC$5:$AC$66,INDEX('Market Data'!$J$5:$J$528,$T261)-4)),N(INDEX('Market Data'!$AC$5:$AC$66,INDEX('Market Data'!$J$5:$J$528,$T261)-4))&gt;0),"Snapshot","Unavailable"))))</f>
        <v/>
      </c>
      <c r="T261">
        <f>IFERROR(MATCH(253,'Market Data'!$S$5:$S$528,0),0)</f>
        <v/>
      </c>
    </row>
    <row r="262" ht="34" customHeight="1">
      <c r="A262" s="8">
        <f>IF($T262=0,"",IF(INDEX('Market Data'!$A$5:$A$528,$T262)="","",INDEX('Market Data'!$A$5:$A$528,$T262)))</f>
        <v/>
      </c>
      <c r="B262" s="9">
        <f>IF($T262=0,"",IF(INDEX('Market Data'!$B$5:$B$528,$T262)="","",INDEX('Market Data'!$B$5:$B$528,$T262)))</f>
        <v/>
      </c>
      <c r="C262" s="9">
        <f>IF($T262=0,"",IF(INDEX('Market Data'!$C$5:$C$528,$T262)="","",INDEX('Market Data'!$C$5:$C$528,$T262)))</f>
        <v/>
      </c>
      <c r="D262" s="9">
        <f>IF($T262=0,"",IF(INDEX('Market Data'!$D$5:$D$528,$T262)="","",INDEX('Market Data'!$D$5:$D$528,$T262)))</f>
        <v/>
      </c>
      <c r="E262" s="10">
        <f>IF($T262=0,"",INDEX('Market Data'!$O$5:$O$528,$T262))</f>
        <v/>
      </c>
      <c r="F262" s="11">
        <f>IF($T262=0,"",IF(AND($I262="Bloomberg",ISNUMBER(INDEX('Market Data'!$L$5:$L$528,$T262))),INDEX('Market Data'!$L$5:$L$528,$T262),"unavailable"))</f>
        <v/>
      </c>
      <c r="G262" s="12">
        <f>IF($T262=0,"",IF($I262="Bloomberg",IF(AND(ISNUMBER(INDEX('Market Data'!$M$5:$M$528,$T262)),N(INDEX('Market Data'!$M$5:$M$528,$T262))&gt;0),INDEX('Market Data'!$M$5:$M$528,$T262),"date unavailable"),IF($I262="Snapshot",IF(AND(ISNUMBER(INDEX('Market Data'!$H$5:$H$528,$T262)),N(INDEX('Market Data'!$H$5:$H$528,$T262))&gt;0),INDEX('Market Data'!$H$5:$H$528,$T262),"date unavailable"),"date unavailable")))</f>
        <v/>
      </c>
      <c r="H262" s="9">
        <f>IF($T262=0,"",IF($I262="Bloomberg",IF(INDEX('Market Data'!$N$5:$N$528,$T262)="","time unavailable",INDEX('Market Data'!$N$5:$N$528,$T262)),""))</f>
        <v/>
      </c>
      <c r="I262" s="9">
        <f>IF($T262=0,"",INDEX('Market Data'!$P$5:$P$528,$T262))</f>
        <v/>
      </c>
      <c r="J262" s="13">
        <f>IF($T262=0,"",IF(INDEX('Market Data'!$E$5:$E$528,$T262)="","",INDEX('Market Data'!$E$5:$E$528,$T262)))</f>
        <v/>
      </c>
      <c r="K262" s="8">
        <f>IF($T262=0,"",IF(INDEX('Market Data'!$I$5:$I$528,$T262)="","",INDEX('Market Data'!$I$5:$I$528,$T262)))</f>
        <v/>
      </c>
      <c r="L262" s="10">
        <f>IF($T262=0,"",IF(INDEX('Market Data'!$J$5:$J$528,$T262)=0,"n/a",IF(AND($M$5&lt;&gt;"Snapshot",ISNUMBER(INDEX('Market Data'!$AH$5:$AH$66,INDEX('Market Data'!$J$5:$J$528,$T262)-4)),N(INDEX('Market Data'!$AH$5:$AH$66,INDEX('Market Data'!$J$5:$J$528,$T262)-4))&gt;0),INDEX('Market Data'!$AH$5:$AH$66,INDEX('Market Data'!$J$5:$J$528,$T262)-4),IF(AND($M$5&lt;&gt;"Bloomberg",ISNUMBER(INDEX('Market Data'!$AC$5:$AC$66,INDEX('Market Data'!$J$5:$J$528,$T262)-4)),N(INDEX('Market Data'!$AC$5:$AC$66,INDEX('Market Data'!$J$5:$J$528,$T262)-4))&gt;0),INDEX('Market Data'!$AC$5:$AC$66,INDEX('Market Data'!$J$5:$J$528,$T262)-4),"unavailable"))))</f>
        <v/>
      </c>
      <c r="M262" s="11">
        <f>IF($T262=0,"",IF(INDEX('Market Data'!$J$5:$J$528,$T262)=0,"n/a",IF(IF(INDEX('Market Data'!$J$5:$J$528,$T262)=0,0,IF(LEFT(INDEX('Market Data'!$AS$5:$AS$66,INDEX('Market Data'!$J$5:$J$528,$T262)-4),11)="First-month",1,0))=1,"class review",IF($I262="Bloomberg",IF(AND(ISNUMBER(INDEX('Market Data'!$AH$5:$AH$66,INDEX('Market Data'!$J$5:$J$528,$T262)-4)),N(INDEX('Market Data'!$AH$5:$AH$66,INDEX('Market Data'!$J$5:$J$528,$T262)-4))&gt;0,ISNUMBER('Market Data'!$B$1),N('Market Data'!$B$1)&gt;0),INDEX('Market Data'!$AH$5:$AH$66,INDEX('Market Data'!$J$5:$J$528,$T262)-4)*'Market Data'!$B$1/$E262-1,"pending A/FX"),IF(AND($I262="Snapshot",$Q262="Snapshot",ISNUMBER($E262),$G262=INDEX('Market Data'!$AE$5:$AE$66,INDEX('Market Data'!$J$5:$J$528,$T262)-4)),IFERROR(INDEX('Market Data'!$AC$5:$AC$66,INDEX('Market Data'!$J$5:$J$528,$T262)-4)*INDEX('Market Data'!$AD$5:$AD$66,INDEX('Market Data'!$J$5:$J$528,$T262)-4)/$E262-1,"unavailable"),IF($I262="Unavailable","unavailable","date mismatch"))))))</f>
        <v/>
      </c>
      <c r="N262" s="11">
        <f>IF($T262=0,"",IFERROR(IF(AND(N(INDEX('Market Data'!$F$5:$F$528,$T262))&gt;0,ISNUMBER(INDEX('Market Data'!$T$5:$T$528,$T262))),$E262*INDEX('Market Data'!$T$5:$T$528,$T262)/INDEX('Market Data'!$F$5:$F$528,$T262)-1,"unavailable"),"unavailable"))</f>
        <v/>
      </c>
      <c r="O262" s="9">
        <f>IF($T262=0,"",IF(IF(INDEX('Market Data'!$J$5:$J$528,$T262)=0,0,IF(LEFT(INDEX('Market Data'!$AS$5:$AS$66,INDEX('Market Data'!$J$5:$J$528,$T262)-4),11)="First-month",1,0))=1,"Class ratio review",IF($I262="Bloomberg",IF(ISNUMBER($G262),IF($G262&lt;TODAY(),"Older quote","See quote time"),"Date unavailable"),IF($I262="Snapshot",IF($G262&lt;DATEVALUE("2026-10-02"),"Older snapshot","Dated close"),"No valid quote"))))</f>
        <v/>
      </c>
      <c r="P262" s="14">
        <f>IF($T262=0,"",IF(INDEX('Market Data'!$J$5:$J$528,$T262)=0,"n/a",IF($Q262="Bloomberg",IF(AND(ISNUMBER(INDEX('Market Data'!$AK$5:$AK$66,INDEX('Market Data'!$J$5:$J$528,$T262)-4)),N(INDEX('Market Data'!$AK$5:$AK$66,INDEX('Market Data'!$J$5:$J$528,$T262)-4))&gt;0),INDEX('Market Data'!$AK$5:$AK$66,INDEX('Market Data'!$J$5:$J$528,$T262)-4),"date unavailable"),IF($Q262="Snapshot",IF(AND(ISNUMBER(INDEX('Market Data'!$AF$5:$AF$66,INDEX('Market Data'!$J$5:$J$528,$T262)-4)),N(INDEX('Market Data'!$AF$5:$AF$66,INDEX('Market Data'!$J$5:$J$528,$T262)-4))&gt;0),INDEX('Market Data'!$AF$5:$AF$66,INDEX('Market Data'!$J$5:$J$528,$T262)-4),"date unavailable"),"date unavailable"))))</f>
        <v/>
      </c>
      <c r="Q262" s="15">
        <f>IF($T262=0,"",IF(INDEX('Market Data'!$J$5:$J$528,$T262)=0,"n/a",IF(AND($M$5&lt;&gt;"Snapshot",ISNUMBER(INDEX('Market Data'!$AH$5:$AH$66,INDEX('Market Data'!$J$5:$J$528,$T262)-4)),N(INDEX('Market Data'!$AH$5:$AH$66,INDEX('Market Data'!$J$5:$J$528,$T262)-4))&gt;0),"Bloomberg",IF(AND($M$5&lt;&gt;"Bloomberg",ISNUMBER(INDEX('Market Data'!$AC$5:$AC$66,INDEX('Market Data'!$J$5:$J$528,$T262)-4)),N(INDEX('Market Data'!$AC$5:$AC$66,INDEX('Market Data'!$J$5:$J$528,$T262)-4))&gt;0),"Snapshot","Unavailable"))))</f>
        <v/>
      </c>
      <c r="T262">
        <f>IFERROR(MATCH(254,'Market Data'!$S$5:$S$528,0),0)</f>
        <v/>
      </c>
    </row>
    <row r="263" ht="34" customHeight="1">
      <c r="A263" s="8">
        <f>IF($T263=0,"",IF(INDEX('Market Data'!$A$5:$A$528,$T263)="","",INDEX('Market Data'!$A$5:$A$528,$T263)))</f>
        <v/>
      </c>
      <c r="B263" s="9">
        <f>IF($T263=0,"",IF(INDEX('Market Data'!$B$5:$B$528,$T263)="","",INDEX('Market Data'!$B$5:$B$528,$T263)))</f>
        <v/>
      </c>
      <c r="C263" s="9">
        <f>IF($T263=0,"",IF(INDEX('Market Data'!$C$5:$C$528,$T263)="","",INDEX('Market Data'!$C$5:$C$528,$T263)))</f>
        <v/>
      </c>
      <c r="D263" s="9">
        <f>IF($T263=0,"",IF(INDEX('Market Data'!$D$5:$D$528,$T263)="","",INDEX('Market Data'!$D$5:$D$528,$T263)))</f>
        <v/>
      </c>
      <c r="E263" s="10">
        <f>IF($T263=0,"",INDEX('Market Data'!$O$5:$O$528,$T263))</f>
        <v/>
      </c>
      <c r="F263" s="11">
        <f>IF($T263=0,"",IF(AND($I263="Bloomberg",ISNUMBER(INDEX('Market Data'!$L$5:$L$528,$T263))),INDEX('Market Data'!$L$5:$L$528,$T263),"unavailable"))</f>
        <v/>
      </c>
      <c r="G263" s="12">
        <f>IF($T263=0,"",IF($I263="Bloomberg",IF(AND(ISNUMBER(INDEX('Market Data'!$M$5:$M$528,$T263)),N(INDEX('Market Data'!$M$5:$M$528,$T263))&gt;0),INDEX('Market Data'!$M$5:$M$528,$T263),"date unavailable"),IF($I263="Snapshot",IF(AND(ISNUMBER(INDEX('Market Data'!$H$5:$H$528,$T263)),N(INDEX('Market Data'!$H$5:$H$528,$T263))&gt;0),INDEX('Market Data'!$H$5:$H$528,$T263),"date unavailable"),"date unavailable")))</f>
        <v/>
      </c>
      <c r="H263" s="9">
        <f>IF($T263=0,"",IF($I263="Bloomberg",IF(INDEX('Market Data'!$N$5:$N$528,$T263)="","time unavailable",INDEX('Market Data'!$N$5:$N$528,$T263)),""))</f>
        <v/>
      </c>
      <c r="I263" s="9">
        <f>IF($T263=0,"",INDEX('Market Data'!$P$5:$P$528,$T263))</f>
        <v/>
      </c>
      <c r="J263" s="13">
        <f>IF($T263=0,"",IF(INDEX('Market Data'!$E$5:$E$528,$T263)="","",INDEX('Market Data'!$E$5:$E$528,$T263)))</f>
        <v/>
      </c>
      <c r="K263" s="8">
        <f>IF($T263=0,"",IF(INDEX('Market Data'!$I$5:$I$528,$T263)="","",INDEX('Market Data'!$I$5:$I$528,$T263)))</f>
        <v/>
      </c>
      <c r="L263" s="10">
        <f>IF($T263=0,"",IF(INDEX('Market Data'!$J$5:$J$528,$T263)=0,"n/a",IF(AND($M$5&lt;&gt;"Snapshot",ISNUMBER(INDEX('Market Data'!$AH$5:$AH$66,INDEX('Market Data'!$J$5:$J$528,$T263)-4)),N(INDEX('Market Data'!$AH$5:$AH$66,INDEX('Market Data'!$J$5:$J$528,$T263)-4))&gt;0),INDEX('Market Data'!$AH$5:$AH$66,INDEX('Market Data'!$J$5:$J$528,$T263)-4),IF(AND($M$5&lt;&gt;"Bloomberg",ISNUMBER(INDEX('Market Data'!$AC$5:$AC$66,INDEX('Market Data'!$J$5:$J$528,$T263)-4)),N(INDEX('Market Data'!$AC$5:$AC$66,INDEX('Market Data'!$J$5:$J$528,$T263)-4))&gt;0),INDEX('Market Data'!$AC$5:$AC$66,INDEX('Market Data'!$J$5:$J$528,$T263)-4),"unavailable"))))</f>
        <v/>
      </c>
      <c r="M263" s="11">
        <f>IF($T263=0,"",IF(INDEX('Market Data'!$J$5:$J$528,$T263)=0,"n/a",IF(IF(INDEX('Market Data'!$J$5:$J$528,$T263)=0,0,IF(LEFT(INDEX('Market Data'!$AS$5:$AS$66,INDEX('Market Data'!$J$5:$J$528,$T263)-4),11)="First-month",1,0))=1,"class review",IF($I263="Bloomberg",IF(AND(ISNUMBER(INDEX('Market Data'!$AH$5:$AH$66,INDEX('Market Data'!$J$5:$J$528,$T263)-4)),N(INDEX('Market Data'!$AH$5:$AH$66,INDEX('Market Data'!$J$5:$J$528,$T263)-4))&gt;0,ISNUMBER('Market Data'!$B$1),N('Market Data'!$B$1)&gt;0),INDEX('Market Data'!$AH$5:$AH$66,INDEX('Market Data'!$J$5:$J$528,$T263)-4)*'Market Data'!$B$1/$E263-1,"pending A/FX"),IF(AND($I263="Snapshot",$Q263="Snapshot",ISNUMBER($E263),$G263=INDEX('Market Data'!$AE$5:$AE$66,INDEX('Market Data'!$J$5:$J$528,$T263)-4)),IFERROR(INDEX('Market Data'!$AC$5:$AC$66,INDEX('Market Data'!$J$5:$J$528,$T263)-4)*INDEX('Market Data'!$AD$5:$AD$66,INDEX('Market Data'!$J$5:$J$528,$T263)-4)/$E263-1,"unavailable"),IF($I263="Unavailable","unavailable","date mismatch"))))))</f>
        <v/>
      </c>
      <c r="N263" s="11">
        <f>IF($T263=0,"",IFERROR(IF(AND(N(INDEX('Market Data'!$F$5:$F$528,$T263))&gt;0,ISNUMBER(INDEX('Market Data'!$T$5:$T$528,$T263))),$E263*INDEX('Market Data'!$T$5:$T$528,$T263)/INDEX('Market Data'!$F$5:$F$528,$T263)-1,"unavailable"),"unavailable"))</f>
        <v/>
      </c>
      <c r="O263" s="9">
        <f>IF($T263=0,"",IF(IF(INDEX('Market Data'!$J$5:$J$528,$T263)=0,0,IF(LEFT(INDEX('Market Data'!$AS$5:$AS$66,INDEX('Market Data'!$J$5:$J$528,$T263)-4),11)="First-month",1,0))=1,"Class ratio review",IF($I263="Bloomberg",IF(ISNUMBER($G263),IF($G263&lt;TODAY(),"Older quote","See quote time"),"Date unavailable"),IF($I263="Snapshot",IF($G263&lt;DATEVALUE("2026-10-02"),"Older snapshot","Dated close"),"No valid quote"))))</f>
        <v/>
      </c>
      <c r="P263" s="14">
        <f>IF($T263=0,"",IF(INDEX('Market Data'!$J$5:$J$528,$T263)=0,"n/a",IF($Q263="Bloomberg",IF(AND(ISNUMBER(INDEX('Market Data'!$AK$5:$AK$66,INDEX('Market Data'!$J$5:$J$528,$T263)-4)),N(INDEX('Market Data'!$AK$5:$AK$66,INDEX('Market Data'!$J$5:$J$528,$T263)-4))&gt;0),INDEX('Market Data'!$AK$5:$AK$66,INDEX('Market Data'!$J$5:$J$528,$T263)-4),"date unavailable"),IF($Q263="Snapshot",IF(AND(ISNUMBER(INDEX('Market Data'!$AF$5:$AF$66,INDEX('Market Data'!$J$5:$J$528,$T263)-4)),N(INDEX('Market Data'!$AF$5:$AF$66,INDEX('Market Data'!$J$5:$J$528,$T263)-4))&gt;0),INDEX('Market Data'!$AF$5:$AF$66,INDEX('Market Data'!$J$5:$J$528,$T263)-4),"date unavailable"),"date unavailable"))))</f>
        <v/>
      </c>
      <c r="Q263" s="15">
        <f>IF($T263=0,"",IF(INDEX('Market Data'!$J$5:$J$528,$T263)=0,"n/a",IF(AND($M$5&lt;&gt;"Snapshot",ISNUMBER(INDEX('Market Data'!$AH$5:$AH$66,INDEX('Market Data'!$J$5:$J$528,$T263)-4)),N(INDEX('Market Data'!$AH$5:$AH$66,INDEX('Market Data'!$J$5:$J$528,$T263)-4))&gt;0),"Bloomberg",IF(AND($M$5&lt;&gt;"Bloomberg",ISNUMBER(INDEX('Market Data'!$AC$5:$AC$66,INDEX('Market Data'!$J$5:$J$528,$T263)-4)),N(INDEX('Market Data'!$AC$5:$AC$66,INDEX('Market Data'!$J$5:$J$528,$T263)-4))&gt;0),"Snapshot","Unavailable"))))</f>
        <v/>
      </c>
      <c r="T263">
        <f>IFERROR(MATCH(255,'Market Data'!$S$5:$S$528,0),0)</f>
        <v/>
      </c>
    </row>
    <row r="264" ht="34" customHeight="1">
      <c r="A264" s="8">
        <f>IF($T264=0,"",IF(INDEX('Market Data'!$A$5:$A$528,$T264)="","",INDEX('Market Data'!$A$5:$A$528,$T264)))</f>
        <v/>
      </c>
      <c r="B264" s="9">
        <f>IF($T264=0,"",IF(INDEX('Market Data'!$B$5:$B$528,$T264)="","",INDEX('Market Data'!$B$5:$B$528,$T264)))</f>
        <v/>
      </c>
      <c r="C264" s="9">
        <f>IF($T264=0,"",IF(INDEX('Market Data'!$C$5:$C$528,$T264)="","",INDEX('Market Data'!$C$5:$C$528,$T264)))</f>
        <v/>
      </c>
      <c r="D264" s="9">
        <f>IF($T264=0,"",IF(INDEX('Market Data'!$D$5:$D$528,$T264)="","",INDEX('Market Data'!$D$5:$D$528,$T264)))</f>
        <v/>
      </c>
      <c r="E264" s="10">
        <f>IF($T264=0,"",INDEX('Market Data'!$O$5:$O$528,$T264))</f>
        <v/>
      </c>
      <c r="F264" s="11">
        <f>IF($T264=0,"",IF(AND($I264="Bloomberg",ISNUMBER(INDEX('Market Data'!$L$5:$L$528,$T264))),INDEX('Market Data'!$L$5:$L$528,$T264),"unavailable"))</f>
        <v/>
      </c>
      <c r="G264" s="12">
        <f>IF($T264=0,"",IF($I264="Bloomberg",IF(AND(ISNUMBER(INDEX('Market Data'!$M$5:$M$528,$T264)),N(INDEX('Market Data'!$M$5:$M$528,$T264))&gt;0),INDEX('Market Data'!$M$5:$M$528,$T264),"date unavailable"),IF($I264="Snapshot",IF(AND(ISNUMBER(INDEX('Market Data'!$H$5:$H$528,$T264)),N(INDEX('Market Data'!$H$5:$H$528,$T264))&gt;0),INDEX('Market Data'!$H$5:$H$528,$T264),"date unavailable"),"date unavailable")))</f>
        <v/>
      </c>
      <c r="H264" s="9">
        <f>IF($T264=0,"",IF($I264="Bloomberg",IF(INDEX('Market Data'!$N$5:$N$528,$T264)="","time unavailable",INDEX('Market Data'!$N$5:$N$528,$T264)),""))</f>
        <v/>
      </c>
      <c r="I264" s="9">
        <f>IF($T264=0,"",INDEX('Market Data'!$P$5:$P$528,$T264))</f>
        <v/>
      </c>
      <c r="J264" s="13">
        <f>IF($T264=0,"",IF(INDEX('Market Data'!$E$5:$E$528,$T264)="","",INDEX('Market Data'!$E$5:$E$528,$T264)))</f>
        <v/>
      </c>
      <c r="K264" s="8">
        <f>IF($T264=0,"",IF(INDEX('Market Data'!$I$5:$I$528,$T264)="","",INDEX('Market Data'!$I$5:$I$528,$T264)))</f>
        <v/>
      </c>
      <c r="L264" s="10">
        <f>IF($T264=0,"",IF(INDEX('Market Data'!$J$5:$J$528,$T264)=0,"n/a",IF(AND($M$5&lt;&gt;"Snapshot",ISNUMBER(INDEX('Market Data'!$AH$5:$AH$66,INDEX('Market Data'!$J$5:$J$528,$T264)-4)),N(INDEX('Market Data'!$AH$5:$AH$66,INDEX('Market Data'!$J$5:$J$528,$T264)-4))&gt;0),INDEX('Market Data'!$AH$5:$AH$66,INDEX('Market Data'!$J$5:$J$528,$T264)-4),IF(AND($M$5&lt;&gt;"Bloomberg",ISNUMBER(INDEX('Market Data'!$AC$5:$AC$66,INDEX('Market Data'!$J$5:$J$528,$T264)-4)),N(INDEX('Market Data'!$AC$5:$AC$66,INDEX('Market Data'!$J$5:$J$528,$T264)-4))&gt;0),INDEX('Market Data'!$AC$5:$AC$66,INDEX('Market Data'!$J$5:$J$528,$T264)-4),"unavailable"))))</f>
        <v/>
      </c>
      <c r="M264" s="11">
        <f>IF($T264=0,"",IF(INDEX('Market Data'!$J$5:$J$528,$T264)=0,"n/a",IF(IF(INDEX('Market Data'!$J$5:$J$528,$T264)=0,0,IF(LEFT(INDEX('Market Data'!$AS$5:$AS$66,INDEX('Market Data'!$J$5:$J$528,$T264)-4),11)="First-month",1,0))=1,"class review",IF($I264="Bloomberg",IF(AND(ISNUMBER(INDEX('Market Data'!$AH$5:$AH$66,INDEX('Market Data'!$J$5:$J$528,$T264)-4)),N(INDEX('Market Data'!$AH$5:$AH$66,INDEX('Market Data'!$J$5:$J$528,$T264)-4))&gt;0,ISNUMBER('Market Data'!$B$1),N('Market Data'!$B$1)&gt;0),INDEX('Market Data'!$AH$5:$AH$66,INDEX('Market Data'!$J$5:$J$528,$T264)-4)*'Market Data'!$B$1/$E264-1,"pending A/FX"),IF(AND($I264="Snapshot",$Q264="Snapshot",ISNUMBER($E264),$G264=INDEX('Market Data'!$AE$5:$AE$66,INDEX('Market Data'!$J$5:$J$528,$T264)-4)),IFERROR(INDEX('Market Data'!$AC$5:$AC$66,INDEX('Market Data'!$J$5:$J$528,$T264)-4)*INDEX('Market Data'!$AD$5:$AD$66,INDEX('Market Data'!$J$5:$J$528,$T264)-4)/$E264-1,"unavailable"),IF($I264="Unavailable","unavailable","date mismatch"))))))</f>
        <v/>
      </c>
      <c r="N264" s="11">
        <f>IF($T264=0,"",IFERROR(IF(AND(N(INDEX('Market Data'!$F$5:$F$528,$T264))&gt;0,ISNUMBER(INDEX('Market Data'!$T$5:$T$528,$T264))),$E264*INDEX('Market Data'!$T$5:$T$528,$T264)/INDEX('Market Data'!$F$5:$F$528,$T264)-1,"unavailable"),"unavailable"))</f>
        <v/>
      </c>
      <c r="O264" s="9">
        <f>IF($T264=0,"",IF(IF(INDEX('Market Data'!$J$5:$J$528,$T264)=0,0,IF(LEFT(INDEX('Market Data'!$AS$5:$AS$66,INDEX('Market Data'!$J$5:$J$528,$T264)-4),11)="First-month",1,0))=1,"Class ratio review",IF($I264="Bloomberg",IF(ISNUMBER($G264),IF($G264&lt;TODAY(),"Older quote","See quote time"),"Date unavailable"),IF($I264="Snapshot",IF($G264&lt;DATEVALUE("2026-10-02"),"Older snapshot","Dated close"),"No valid quote"))))</f>
        <v/>
      </c>
      <c r="P264" s="14">
        <f>IF($T264=0,"",IF(INDEX('Market Data'!$J$5:$J$528,$T264)=0,"n/a",IF($Q264="Bloomberg",IF(AND(ISNUMBER(INDEX('Market Data'!$AK$5:$AK$66,INDEX('Market Data'!$J$5:$J$528,$T264)-4)),N(INDEX('Market Data'!$AK$5:$AK$66,INDEX('Market Data'!$J$5:$J$528,$T264)-4))&gt;0),INDEX('Market Data'!$AK$5:$AK$66,INDEX('Market Data'!$J$5:$J$528,$T264)-4),"date unavailable"),IF($Q264="Snapshot",IF(AND(ISNUMBER(INDEX('Market Data'!$AF$5:$AF$66,INDEX('Market Data'!$J$5:$J$528,$T264)-4)),N(INDEX('Market Data'!$AF$5:$AF$66,INDEX('Market Data'!$J$5:$J$528,$T264)-4))&gt;0),INDEX('Market Data'!$AF$5:$AF$66,INDEX('Market Data'!$J$5:$J$528,$T264)-4),"date unavailable"),"date unavailable"))))</f>
        <v/>
      </c>
      <c r="Q264" s="15">
        <f>IF($T264=0,"",IF(INDEX('Market Data'!$J$5:$J$528,$T264)=0,"n/a",IF(AND($M$5&lt;&gt;"Snapshot",ISNUMBER(INDEX('Market Data'!$AH$5:$AH$66,INDEX('Market Data'!$J$5:$J$528,$T264)-4)),N(INDEX('Market Data'!$AH$5:$AH$66,INDEX('Market Data'!$J$5:$J$528,$T264)-4))&gt;0),"Bloomberg",IF(AND($M$5&lt;&gt;"Bloomberg",ISNUMBER(INDEX('Market Data'!$AC$5:$AC$66,INDEX('Market Data'!$J$5:$J$528,$T264)-4)),N(INDEX('Market Data'!$AC$5:$AC$66,INDEX('Market Data'!$J$5:$J$528,$T264)-4))&gt;0),"Snapshot","Unavailable"))))</f>
        <v/>
      </c>
      <c r="T264">
        <f>IFERROR(MATCH(256,'Market Data'!$S$5:$S$528,0),0)</f>
        <v/>
      </c>
    </row>
    <row r="265" ht="34" customHeight="1">
      <c r="A265" s="8">
        <f>IF($T265=0,"",IF(INDEX('Market Data'!$A$5:$A$528,$T265)="","",INDEX('Market Data'!$A$5:$A$528,$T265)))</f>
        <v/>
      </c>
      <c r="B265" s="9">
        <f>IF($T265=0,"",IF(INDEX('Market Data'!$B$5:$B$528,$T265)="","",INDEX('Market Data'!$B$5:$B$528,$T265)))</f>
        <v/>
      </c>
      <c r="C265" s="9">
        <f>IF($T265=0,"",IF(INDEX('Market Data'!$C$5:$C$528,$T265)="","",INDEX('Market Data'!$C$5:$C$528,$T265)))</f>
        <v/>
      </c>
      <c r="D265" s="9">
        <f>IF($T265=0,"",IF(INDEX('Market Data'!$D$5:$D$528,$T265)="","",INDEX('Market Data'!$D$5:$D$528,$T265)))</f>
        <v/>
      </c>
      <c r="E265" s="10">
        <f>IF($T265=0,"",INDEX('Market Data'!$O$5:$O$528,$T265))</f>
        <v/>
      </c>
      <c r="F265" s="11">
        <f>IF($T265=0,"",IF(AND($I265="Bloomberg",ISNUMBER(INDEX('Market Data'!$L$5:$L$528,$T265))),INDEX('Market Data'!$L$5:$L$528,$T265),"unavailable"))</f>
        <v/>
      </c>
      <c r="G265" s="12">
        <f>IF($T265=0,"",IF($I265="Bloomberg",IF(AND(ISNUMBER(INDEX('Market Data'!$M$5:$M$528,$T265)),N(INDEX('Market Data'!$M$5:$M$528,$T265))&gt;0),INDEX('Market Data'!$M$5:$M$528,$T265),"date unavailable"),IF($I265="Snapshot",IF(AND(ISNUMBER(INDEX('Market Data'!$H$5:$H$528,$T265)),N(INDEX('Market Data'!$H$5:$H$528,$T265))&gt;0),INDEX('Market Data'!$H$5:$H$528,$T265),"date unavailable"),"date unavailable")))</f>
        <v/>
      </c>
      <c r="H265" s="9">
        <f>IF($T265=0,"",IF($I265="Bloomberg",IF(INDEX('Market Data'!$N$5:$N$528,$T265)="","time unavailable",INDEX('Market Data'!$N$5:$N$528,$T265)),""))</f>
        <v/>
      </c>
      <c r="I265" s="9">
        <f>IF($T265=0,"",INDEX('Market Data'!$P$5:$P$528,$T265))</f>
        <v/>
      </c>
      <c r="J265" s="13">
        <f>IF($T265=0,"",IF(INDEX('Market Data'!$E$5:$E$528,$T265)="","",INDEX('Market Data'!$E$5:$E$528,$T265)))</f>
        <v/>
      </c>
      <c r="K265" s="8">
        <f>IF($T265=0,"",IF(INDEX('Market Data'!$I$5:$I$528,$T265)="","",INDEX('Market Data'!$I$5:$I$528,$T265)))</f>
        <v/>
      </c>
      <c r="L265" s="10">
        <f>IF($T265=0,"",IF(INDEX('Market Data'!$J$5:$J$528,$T265)=0,"n/a",IF(AND($M$5&lt;&gt;"Snapshot",ISNUMBER(INDEX('Market Data'!$AH$5:$AH$66,INDEX('Market Data'!$J$5:$J$528,$T265)-4)),N(INDEX('Market Data'!$AH$5:$AH$66,INDEX('Market Data'!$J$5:$J$528,$T265)-4))&gt;0),INDEX('Market Data'!$AH$5:$AH$66,INDEX('Market Data'!$J$5:$J$528,$T265)-4),IF(AND($M$5&lt;&gt;"Bloomberg",ISNUMBER(INDEX('Market Data'!$AC$5:$AC$66,INDEX('Market Data'!$J$5:$J$528,$T265)-4)),N(INDEX('Market Data'!$AC$5:$AC$66,INDEX('Market Data'!$J$5:$J$528,$T265)-4))&gt;0),INDEX('Market Data'!$AC$5:$AC$66,INDEX('Market Data'!$J$5:$J$528,$T265)-4),"unavailable"))))</f>
        <v/>
      </c>
      <c r="M265" s="11">
        <f>IF($T265=0,"",IF(INDEX('Market Data'!$J$5:$J$528,$T265)=0,"n/a",IF(IF(INDEX('Market Data'!$J$5:$J$528,$T265)=0,0,IF(LEFT(INDEX('Market Data'!$AS$5:$AS$66,INDEX('Market Data'!$J$5:$J$528,$T265)-4),11)="First-month",1,0))=1,"class review",IF($I265="Bloomberg",IF(AND(ISNUMBER(INDEX('Market Data'!$AH$5:$AH$66,INDEX('Market Data'!$J$5:$J$528,$T265)-4)),N(INDEX('Market Data'!$AH$5:$AH$66,INDEX('Market Data'!$J$5:$J$528,$T265)-4))&gt;0,ISNUMBER('Market Data'!$B$1),N('Market Data'!$B$1)&gt;0),INDEX('Market Data'!$AH$5:$AH$66,INDEX('Market Data'!$J$5:$J$528,$T265)-4)*'Market Data'!$B$1/$E265-1,"pending A/FX"),IF(AND($I265="Snapshot",$Q265="Snapshot",ISNUMBER($E265),$G265=INDEX('Market Data'!$AE$5:$AE$66,INDEX('Market Data'!$J$5:$J$528,$T265)-4)),IFERROR(INDEX('Market Data'!$AC$5:$AC$66,INDEX('Market Data'!$J$5:$J$528,$T265)-4)*INDEX('Market Data'!$AD$5:$AD$66,INDEX('Market Data'!$J$5:$J$528,$T265)-4)/$E265-1,"unavailable"),IF($I265="Unavailable","unavailable","date mismatch"))))))</f>
        <v/>
      </c>
      <c r="N265" s="11">
        <f>IF($T265=0,"",IFERROR(IF(AND(N(INDEX('Market Data'!$F$5:$F$528,$T265))&gt;0,ISNUMBER(INDEX('Market Data'!$T$5:$T$528,$T265))),$E265*INDEX('Market Data'!$T$5:$T$528,$T265)/INDEX('Market Data'!$F$5:$F$528,$T265)-1,"unavailable"),"unavailable"))</f>
        <v/>
      </c>
      <c r="O265" s="9">
        <f>IF($T265=0,"",IF(IF(INDEX('Market Data'!$J$5:$J$528,$T265)=0,0,IF(LEFT(INDEX('Market Data'!$AS$5:$AS$66,INDEX('Market Data'!$J$5:$J$528,$T265)-4),11)="First-month",1,0))=1,"Class ratio review",IF($I265="Bloomberg",IF(ISNUMBER($G265),IF($G265&lt;TODAY(),"Older quote","See quote time"),"Date unavailable"),IF($I265="Snapshot",IF($G265&lt;DATEVALUE("2026-10-02"),"Older snapshot","Dated close"),"No valid quote"))))</f>
        <v/>
      </c>
      <c r="P265" s="14">
        <f>IF($T265=0,"",IF(INDEX('Market Data'!$J$5:$J$528,$T265)=0,"n/a",IF($Q265="Bloomberg",IF(AND(ISNUMBER(INDEX('Market Data'!$AK$5:$AK$66,INDEX('Market Data'!$J$5:$J$528,$T265)-4)),N(INDEX('Market Data'!$AK$5:$AK$66,INDEX('Market Data'!$J$5:$J$528,$T265)-4))&gt;0),INDEX('Market Data'!$AK$5:$AK$66,INDEX('Market Data'!$J$5:$J$528,$T265)-4),"date unavailable"),IF($Q265="Snapshot",IF(AND(ISNUMBER(INDEX('Market Data'!$AF$5:$AF$66,INDEX('Market Data'!$J$5:$J$528,$T265)-4)),N(INDEX('Market Data'!$AF$5:$AF$66,INDEX('Market Data'!$J$5:$J$528,$T265)-4))&gt;0),INDEX('Market Data'!$AF$5:$AF$66,INDEX('Market Data'!$J$5:$J$528,$T265)-4),"date unavailable"),"date unavailable"))))</f>
        <v/>
      </c>
      <c r="Q265" s="15">
        <f>IF($T265=0,"",IF(INDEX('Market Data'!$J$5:$J$528,$T265)=0,"n/a",IF(AND($M$5&lt;&gt;"Snapshot",ISNUMBER(INDEX('Market Data'!$AH$5:$AH$66,INDEX('Market Data'!$J$5:$J$528,$T265)-4)),N(INDEX('Market Data'!$AH$5:$AH$66,INDEX('Market Data'!$J$5:$J$528,$T265)-4))&gt;0),"Bloomberg",IF(AND($M$5&lt;&gt;"Bloomberg",ISNUMBER(INDEX('Market Data'!$AC$5:$AC$66,INDEX('Market Data'!$J$5:$J$528,$T265)-4)),N(INDEX('Market Data'!$AC$5:$AC$66,INDEX('Market Data'!$J$5:$J$528,$T265)-4))&gt;0),"Snapshot","Unavailable"))))</f>
        <v/>
      </c>
      <c r="T265">
        <f>IFERROR(MATCH(257,'Market Data'!$S$5:$S$528,0),0)</f>
        <v/>
      </c>
    </row>
    <row r="266" ht="34" customHeight="1">
      <c r="A266" s="8">
        <f>IF($T266=0,"",IF(INDEX('Market Data'!$A$5:$A$528,$T266)="","",INDEX('Market Data'!$A$5:$A$528,$T266)))</f>
        <v/>
      </c>
      <c r="B266" s="9">
        <f>IF($T266=0,"",IF(INDEX('Market Data'!$B$5:$B$528,$T266)="","",INDEX('Market Data'!$B$5:$B$528,$T266)))</f>
        <v/>
      </c>
      <c r="C266" s="9">
        <f>IF($T266=0,"",IF(INDEX('Market Data'!$C$5:$C$528,$T266)="","",INDEX('Market Data'!$C$5:$C$528,$T266)))</f>
        <v/>
      </c>
      <c r="D266" s="9">
        <f>IF($T266=0,"",IF(INDEX('Market Data'!$D$5:$D$528,$T266)="","",INDEX('Market Data'!$D$5:$D$528,$T266)))</f>
        <v/>
      </c>
      <c r="E266" s="10">
        <f>IF($T266=0,"",INDEX('Market Data'!$O$5:$O$528,$T266))</f>
        <v/>
      </c>
      <c r="F266" s="11">
        <f>IF($T266=0,"",IF(AND($I266="Bloomberg",ISNUMBER(INDEX('Market Data'!$L$5:$L$528,$T266))),INDEX('Market Data'!$L$5:$L$528,$T266),"unavailable"))</f>
        <v/>
      </c>
      <c r="G266" s="12">
        <f>IF($T266=0,"",IF($I266="Bloomberg",IF(AND(ISNUMBER(INDEX('Market Data'!$M$5:$M$528,$T266)),N(INDEX('Market Data'!$M$5:$M$528,$T266))&gt;0),INDEX('Market Data'!$M$5:$M$528,$T266),"date unavailable"),IF($I266="Snapshot",IF(AND(ISNUMBER(INDEX('Market Data'!$H$5:$H$528,$T266)),N(INDEX('Market Data'!$H$5:$H$528,$T266))&gt;0),INDEX('Market Data'!$H$5:$H$528,$T266),"date unavailable"),"date unavailable")))</f>
        <v/>
      </c>
      <c r="H266" s="9">
        <f>IF($T266=0,"",IF($I266="Bloomberg",IF(INDEX('Market Data'!$N$5:$N$528,$T266)="","time unavailable",INDEX('Market Data'!$N$5:$N$528,$T266)),""))</f>
        <v/>
      </c>
      <c r="I266" s="9">
        <f>IF($T266=0,"",INDEX('Market Data'!$P$5:$P$528,$T266))</f>
        <v/>
      </c>
      <c r="J266" s="13">
        <f>IF($T266=0,"",IF(INDEX('Market Data'!$E$5:$E$528,$T266)="","",INDEX('Market Data'!$E$5:$E$528,$T266)))</f>
        <v/>
      </c>
      <c r="K266" s="8">
        <f>IF($T266=0,"",IF(INDEX('Market Data'!$I$5:$I$528,$T266)="","",INDEX('Market Data'!$I$5:$I$528,$T266)))</f>
        <v/>
      </c>
      <c r="L266" s="10">
        <f>IF($T266=0,"",IF(INDEX('Market Data'!$J$5:$J$528,$T266)=0,"n/a",IF(AND($M$5&lt;&gt;"Snapshot",ISNUMBER(INDEX('Market Data'!$AH$5:$AH$66,INDEX('Market Data'!$J$5:$J$528,$T266)-4)),N(INDEX('Market Data'!$AH$5:$AH$66,INDEX('Market Data'!$J$5:$J$528,$T266)-4))&gt;0),INDEX('Market Data'!$AH$5:$AH$66,INDEX('Market Data'!$J$5:$J$528,$T266)-4),IF(AND($M$5&lt;&gt;"Bloomberg",ISNUMBER(INDEX('Market Data'!$AC$5:$AC$66,INDEX('Market Data'!$J$5:$J$528,$T266)-4)),N(INDEX('Market Data'!$AC$5:$AC$66,INDEX('Market Data'!$J$5:$J$528,$T266)-4))&gt;0),INDEX('Market Data'!$AC$5:$AC$66,INDEX('Market Data'!$J$5:$J$528,$T266)-4),"unavailable"))))</f>
        <v/>
      </c>
      <c r="M266" s="11">
        <f>IF($T266=0,"",IF(INDEX('Market Data'!$J$5:$J$528,$T266)=0,"n/a",IF(IF(INDEX('Market Data'!$J$5:$J$528,$T266)=0,0,IF(LEFT(INDEX('Market Data'!$AS$5:$AS$66,INDEX('Market Data'!$J$5:$J$528,$T266)-4),11)="First-month",1,0))=1,"class review",IF($I266="Bloomberg",IF(AND(ISNUMBER(INDEX('Market Data'!$AH$5:$AH$66,INDEX('Market Data'!$J$5:$J$528,$T266)-4)),N(INDEX('Market Data'!$AH$5:$AH$66,INDEX('Market Data'!$J$5:$J$528,$T266)-4))&gt;0,ISNUMBER('Market Data'!$B$1),N('Market Data'!$B$1)&gt;0),INDEX('Market Data'!$AH$5:$AH$66,INDEX('Market Data'!$J$5:$J$528,$T266)-4)*'Market Data'!$B$1/$E266-1,"pending A/FX"),IF(AND($I266="Snapshot",$Q266="Snapshot",ISNUMBER($E266),$G266=INDEX('Market Data'!$AE$5:$AE$66,INDEX('Market Data'!$J$5:$J$528,$T266)-4)),IFERROR(INDEX('Market Data'!$AC$5:$AC$66,INDEX('Market Data'!$J$5:$J$528,$T266)-4)*INDEX('Market Data'!$AD$5:$AD$66,INDEX('Market Data'!$J$5:$J$528,$T266)-4)/$E266-1,"unavailable"),IF($I266="Unavailable","unavailable","date mismatch"))))))</f>
        <v/>
      </c>
      <c r="N266" s="11">
        <f>IF($T266=0,"",IFERROR(IF(AND(N(INDEX('Market Data'!$F$5:$F$528,$T266))&gt;0,ISNUMBER(INDEX('Market Data'!$T$5:$T$528,$T266))),$E266*INDEX('Market Data'!$T$5:$T$528,$T266)/INDEX('Market Data'!$F$5:$F$528,$T266)-1,"unavailable"),"unavailable"))</f>
        <v/>
      </c>
      <c r="O266" s="9">
        <f>IF($T266=0,"",IF(IF(INDEX('Market Data'!$J$5:$J$528,$T266)=0,0,IF(LEFT(INDEX('Market Data'!$AS$5:$AS$66,INDEX('Market Data'!$J$5:$J$528,$T266)-4),11)="First-month",1,0))=1,"Class ratio review",IF($I266="Bloomberg",IF(ISNUMBER($G266),IF($G266&lt;TODAY(),"Older quote","See quote time"),"Date unavailable"),IF($I266="Snapshot",IF($G266&lt;DATEVALUE("2026-10-02"),"Older snapshot","Dated close"),"No valid quote"))))</f>
        <v/>
      </c>
      <c r="P266" s="14">
        <f>IF($T266=0,"",IF(INDEX('Market Data'!$J$5:$J$528,$T266)=0,"n/a",IF($Q266="Bloomberg",IF(AND(ISNUMBER(INDEX('Market Data'!$AK$5:$AK$66,INDEX('Market Data'!$J$5:$J$528,$T266)-4)),N(INDEX('Market Data'!$AK$5:$AK$66,INDEX('Market Data'!$J$5:$J$528,$T266)-4))&gt;0),INDEX('Market Data'!$AK$5:$AK$66,INDEX('Market Data'!$J$5:$J$528,$T266)-4),"date unavailable"),IF($Q266="Snapshot",IF(AND(ISNUMBER(INDEX('Market Data'!$AF$5:$AF$66,INDEX('Market Data'!$J$5:$J$528,$T266)-4)),N(INDEX('Market Data'!$AF$5:$AF$66,INDEX('Market Data'!$J$5:$J$528,$T266)-4))&gt;0),INDEX('Market Data'!$AF$5:$AF$66,INDEX('Market Data'!$J$5:$J$528,$T266)-4),"date unavailable"),"date unavailable"))))</f>
        <v/>
      </c>
      <c r="Q266" s="15">
        <f>IF($T266=0,"",IF(INDEX('Market Data'!$J$5:$J$528,$T266)=0,"n/a",IF(AND($M$5&lt;&gt;"Snapshot",ISNUMBER(INDEX('Market Data'!$AH$5:$AH$66,INDEX('Market Data'!$J$5:$J$528,$T266)-4)),N(INDEX('Market Data'!$AH$5:$AH$66,INDEX('Market Data'!$J$5:$J$528,$T266)-4))&gt;0),"Bloomberg",IF(AND($M$5&lt;&gt;"Bloomberg",ISNUMBER(INDEX('Market Data'!$AC$5:$AC$66,INDEX('Market Data'!$J$5:$J$528,$T266)-4)),N(INDEX('Market Data'!$AC$5:$AC$66,INDEX('Market Data'!$J$5:$J$528,$T266)-4))&gt;0),"Snapshot","Unavailable"))))</f>
        <v/>
      </c>
      <c r="T266">
        <f>IFERROR(MATCH(258,'Market Data'!$S$5:$S$528,0),0)</f>
        <v/>
      </c>
    </row>
    <row r="267" ht="34" customHeight="1">
      <c r="A267" s="8">
        <f>IF($T267=0,"",IF(INDEX('Market Data'!$A$5:$A$528,$T267)="","",INDEX('Market Data'!$A$5:$A$528,$T267)))</f>
        <v/>
      </c>
      <c r="B267" s="9">
        <f>IF($T267=0,"",IF(INDEX('Market Data'!$B$5:$B$528,$T267)="","",INDEX('Market Data'!$B$5:$B$528,$T267)))</f>
        <v/>
      </c>
      <c r="C267" s="9">
        <f>IF($T267=0,"",IF(INDEX('Market Data'!$C$5:$C$528,$T267)="","",INDEX('Market Data'!$C$5:$C$528,$T267)))</f>
        <v/>
      </c>
      <c r="D267" s="9">
        <f>IF($T267=0,"",IF(INDEX('Market Data'!$D$5:$D$528,$T267)="","",INDEX('Market Data'!$D$5:$D$528,$T267)))</f>
        <v/>
      </c>
      <c r="E267" s="10">
        <f>IF($T267=0,"",INDEX('Market Data'!$O$5:$O$528,$T267))</f>
        <v/>
      </c>
      <c r="F267" s="11">
        <f>IF($T267=0,"",IF(AND($I267="Bloomberg",ISNUMBER(INDEX('Market Data'!$L$5:$L$528,$T267))),INDEX('Market Data'!$L$5:$L$528,$T267),"unavailable"))</f>
        <v/>
      </c>
      <c r="G267" s="12">
        <f>IF($T267=0,"",IF($I267="Bloomberg",IF(AND(ISNUMBER(INDEX('Market Data'!$M$5:$M$528,$T267)),N(INDEX('Market Data'!$M$5:$M$528,$T267))&gt;0),INDEX('Market Data'!$M$5:$M$528,$T267),"date unavailable"),IF($I267="Snapshot",IF(AND(ISNUMBER(INDEX('Market Data'!$H$5:$H$528,$T267)),N(INDEX('Market Data'!$H$5:$H$528,$T267))&gt;0),INDEX('Market Data'!$H$5:$H$528,$T267),"date unavailable"),"date unavailable")))</f>
        <v/>
      </c>
      <c r="H267" s="9">
        <f>IF($T267=0,"",IF($I267="Bloomberg",IF(INDEX('Market Data'!$N$5:$N$528,$T267)="","time unavailable",INDEX('Market Data'!$N$5:$N$528,$T267)),""))</f>
        <v/>
      </c>
      <c r="I267" s="9">
        <f>IF($T267=0,"",INDEX('Market Data'!$P$5:$P$528,$T267))</f>
        <v/>
      </c>
      <c r="J267" s="13">
        <f>IF($T267=0,"",IF(INDEX('Market Data'!$E$5:$E$528,$T267)="","",INDEX('Market Data'!$E$5:$E$528,$T267)))</f>
        <v/>
      </c>
      <c r="K267" s="8">
        <f>IF($T267=0,"",IF(INDEX('Market Data'!$I$5:$I$528,$T267)="","",INDEX('Market Data'!$I$5:$I$528,$T267)))</f>
        <v/>
      </c>
      <c r="L267" s="10">
        <f>IF($T267=0,"",IF(INDEX('Market Data'!$J$5:$J$528,$T267)=0,"n/a",IF(AND($M$5&lt;&gt;"Snapshot",ISNUMBER(INDEX('Market Data'!$AH$5:$AH$66,INDEX('Market Data'!$J$5:$J$528,$T267)-4)),N(INDEX('Market Data'!$AH$5:$AH$66,INDEX('Market Data'!$J$5:$J$528,$T267)-4))&gt;0),INDEX('Market Data'!$AH$5:$AH$66,INDEX('Market Data'!$J$5:$J$528,$T267)-4),IF(AND($M$5&lt;&gt;"Bloomberg",ISNUMBER(INDEX('Market Data'!$AC$5:$AC$66,INDEX('Market Data'!$J$5:$J$528,$T267)-4)),N(INDEX('Market Data'!$AC$5:$AC$66,INDEX('Market Data'!$J$5:$J$528,$T267)-4))&gt;0),INDEX('Market Data'!$AC$5:$AC$66,INDEX('Market Data'!$J$5:$J$528,$T267)-4),"unavailable"))))</f>
        <v/>
      </c>
      <c r="M267" s="11">
        <f>IF($T267=0,"",IF(INDEX('Market Data'!$J$5:$J$528,$T267)=0,"n/a",IF(IF(INDEX('Market Data'!$J$5:$J$528,$T267)=0,0,IF(LEFT(INDEX('Market Data'!$AS$5:$AS$66,INDEX('Market Data'!$J$5:$J$528,$T267)-4),11)="First-month",1,0))=1,"class review",IF($I267="Bloomberg",IF(AND(ISNUMBER(INDEX('Market Data'!$AH$5:$AH$66,INDEX('Market Data'!$J$5:$J$528,$T267)-4)),N(INDEX('Market Data'!$AH$5:$AH$66,INDEX('Market Data'!$J$5:$J$528,$T267)-4))&gt;0,ISNUMBER('Market Data'!$B$1),N('Market Data'!$B$1)&gt;0),INDEX('Market Data'!$AH$5:$AH$66,INDEX('Market Data'!$J$5:$J$528,$T267)-4)*'Market Data'!$B$1/$E267-1,"pending A/FX"),IF(AND($I267="Snapshot",$Q267="Snapshot",ISNUMBER($E267),$G267=INDEX('Market Data'!$AE$5:$AE$66,INDEX('Market Data'!$J$5:$J$528,$T267)-4)),IFERROR(INDEX('Market Data'!$AC$5:$AC$66,INDEX('Market Data'!$J$5:$J$528,$T267)-4)*INDEX('Market Data'!$AD$5:$AD$66,INDEX('Market Data'!$J$5:$J$528,$T267)-4)/$E267-1,"unavailable"),IF($I267="Unavailable","unavailable","date mismatch"))))))</f>
        <v/>
      </c>
      <c r="N267" s="11">
        <f>IF($T267=0,"",IFERROR(IF(AND(N(INDEX('Market Data'!$F$5:$F$528,$T267))&gt;0,ISNUMBER(INDEX('Market Data'!$T$5:$T$528,$T267))),$E267*INDEX('Market Data'!$T$5:$T$528,$T267)/INDEX('Market Data'!$F$5:$F$528,$T267)-1,"unavailable"),"unavailable"))</f>
        <v/>
      </c>
      <c r="O267" s="9">
        <f>IF($T267=0,"",IF(IF(INDEX('Market Data'!$J$5:$J$528,$T267)=0,0,IF(LEFT(INDEX('Market Data'!$AS$5:$AS$66,INDEX('Market Data'!$J$5:$J$528,$T267)-4),11)="First-month",1,0))=1,"Class ratio review",IF($I267="Bloomberg",IF(ISNUMBER($G267),IF($G267&lt;TODAY(),"Older quote","See quote time"),"Date unavailable"),IF($I267="Snapshot",IF($G267&lt;DATEVALUE("2026-10-02"),"Older snapshot","Dated close"),"No valid quote"))))</f>
        <v/>
      </c>
      <c r="P267" s="14">
        <f>IF($T267=0,"",IF(INDEX('Market Data'!$J$5:$J$528,$T267)=0,"n/a",IF($Q267="Bloomberg",IF(AND(ISNUMBER(INDEX('Market Data'!$AK$5:$AK$66,INDEX('Market Data'!$J$5:$J$528,$T267)-4)),N(INDEX('Market Data'!$AK$5:$AK$66,INDEX('Market Data'!$J$5:$J$528,$T267)-4))&gt;0),INDEX('Market Data'!$AK$5:$AK$66,INDEX('Market Data'!$J$5:$J$528,$T267)-4),"date unavailable"),IF($Q267="Snapshot",IF(AND(ISNUMBER(INDEX('Market Data'!$AF$5:$AF$66,INDEX('Market Data'!$J$5:$J$528,$T267)-4)),N(INDEX('Market Data'!$AF$5:$AF$66,INDEX('Market Data'!$J$5:$J$528,$T267)-4))&gt;0),INDEX('Market Data'!$AF$5:$AF$66,INDEX('Market Data'!$J$5:$J$528,$T267)-4),"date unavailable"),"date unavailable"))))</f>
        <v/>
      </c>
      <c r="Q267" s="15">
        <f>IF($T267=0,"",IF(INDEX('Market Data'!$J$5:$J$528,$T267)=0,"n/a",IF(AND($M$5&lt;&gt;"Snapshot",ISNUMBER(INDEX('Market Data'!$AH$5:$AH$66,INDEX('Market Data'!$J$5:$J$528,$T267)-4)),N(INDEX('Market Data'!$AH$5:$AH$66,INDEX('Market Data'!$J$5:$J$528,$T267)-4))&gt;0),"Bloomberg",IF(AND($M$5&lt;&gt;"Bloomberg",ISNUMBER(INDEX('Market Data'!$AC$5:$AC$66,INDEX('Market Data'!$J$5:$J$528,$T267)-4)),N(INDEX('Market Data'!$AC$5:$AC$66,INDEX('Market Data'!$J$5:$J$528,$T267)-4))&gt;0),"Snapshot","Unavailable"))))</f>
        <v/>
      </c>
      <c r="T267">
        <f>IFERROR(MATCH(259,'Market Data'!$S$5:$S$528,0),0)</f>
        <v/>
      </c>
    </row>
    <row r="268" ht="34" customHeight="1">
      <c r="A268" s="8">
        <f>IF($T268=0,"",IF(INDEX('Market Data'!$A$5:$A$528,$T268)="","",INDEX('Market Data'!$A$5:$A$528,$T268)))</f>
        <v/>
      </c>
      <c r="B268" s="9">
        <f>IF($T268=0,"",IF(INDEX('Market Data'!$B$5:$B$528,$T268)="","",INDEX('Market Data'!$B$5:$B$528,$T268)))</f>
        <v/>
      </c>
      <c r="C268" s="9">
        <f>IF($T268=0,"",IF(INDEX('Market Data'!$C$5:$C$528,$T268)="","",INDEX('Market Data'!$C$5:$C$528,$T268)))</f>
        <v/>
      </c>
      <c r="D268" s="9">
        <f>IF($T268=0,"",IF(INDEX('Market Data'!$D$5:$D$528,$T268)="","",INDEX('Market Data'!$D$5:$D$528,$T268)))</f>
        <v/>
      </c>
      <c r="E268" s="10">
        <f>IF($T268=0,"",INDEX('Market Data'!$O$5:$O$528,$T268))</f>
        <v/>
      </c>
      <c r="F268" s="11">
        <f>IF($T268=0,"",IF(AND($I268="Bloomberg",ISNUMBER(INDEX('Market Data'!$L$5:$L$528,$T268))),INDEX('Market Data'!$L$5:$L$528,$T268),"unavailable"))</f>
        <v/>
      </c>
      <c r="G268" s="12">
        <f>IF($T268=0,"",IF($I268="Bloomberg",IF(AND(ISNUMBER(INDEX('Market Data'!$M$5:$M$528,$T268)),N(INDEX('Market Data'!$M$5:$M$528,$T268))&gt;0),INDEX('Market Data'!$M$5:$M$528,$T268),"date unavailable"),IF($I268="Snapshot",IF(AND(ISNUMBER(INDEX('Market Data'!$H$5:$H$528,$T268)),N(INDEX('Market Data'!$H$5:$H$528,$T268))&gt;0),INDEX('Market Data'!$H$5:$H$528,$T268),"date unavailable"),"date unavailable")))</f>
        <v/>
      </c>
      <c r="H268" s="9">
        <f>IF($T268=0,"",IF($I268="Bloomberg",IF(INDEX('Market Data'!$N$5:$N$528,$T268)="","time unavailable",INDEX('Market Data'!$N$5:$N$528,$T268)),""))</f>
        <v/>
      </c>
      <c r="I268" s="9">
        <f>IF($T268=0,"",INDEX('Market Data'!$P$5:$P$528,$T268))</f>
        <v/>
      </c>
      <c r="J268" s="13">
        <f>IF($T268=0,"",IF(INDEX('Market Data'!$E$5:$E$528,$T268)="","",INDEX('Market Data'!$E$5:$E$528,$T268)))</f>
        <v/>
      </c>
      <c r="K268" s="8">
        <f>IF($T268=0,"",IF(INDEX('Market Data'!$I$5:$I$528,$T268)="","",INDEX('Market Data'!$I$5:$I$528,$T268)))</f>
        <v/>
      </c>
      <c r="L268" s="10">
        <f>IF($T268=0,"",IF(INDEX('Market Data'!$J$5:$J$528,$T268)=0,"n/a",IF(AND($M$5&lt;&gt;"Snapshot",ISNUMBER(INDEX('Market Data'!$AH$5:$AH$66,INDEX('Market Data'!$J$5:$J$528,$T268)-4)),N(INDEX('Market Data'!$AH$5:$AH$66,INDEX('Market Data'!$J$5:$J$528,$T268)-4))&gt;0),INDEX('Market Data'!$AH$5:$AH$66,INDEX('Market Data'!$J$5:$J$528,$T268)-4),IF(AND($M$5&lt;&gt;"Bloomberg",ISNUMBER(INDEX('Market Data'!$AC$5:$AC$66,INDEX('Market Data'!$J$5:$J$528,$T268)-4)),N(INDEX('Market Data'!$AC$5:$AC$66,INDEX('Market Data'!$J$5:$J$528,$T268)-4))&gt;0),INDEX('Market Data'!$AC$5:$AC$66,INDEX('Market Data'!$J$5:$J$528,$T268)-4),"unavailable"))))</f>
        <v/>
      </c>
      <c r="M268" s="11">
        <f>IF($T268=0,"",IF(INDEX('Market Data'!$J$5:$J$528,$T268)=0,"n/a",IF(IF(INDEX('Market Data'!$J$5:$J$528,$T268)=0,0,IF(LEFT(INDEX('Market Data'!$AS$5:$AS$66,INDEX('Market Data'!$J$5:$J$528,$T268)-4),11)="First-month",1,0))=1,"class review",IF($I268="Bloomberg",IF(AND(ISNUMBER(INDEX('Market Data'!$AH$5:$AH$66,INDEX('Market Data'!$J$5:$J$528,$T268)-4)),N(INDEX('Market Data'!$AH$5:$AH$66,INDEX('Market Data'!$J$5:$J$528,$T268)-4))&gt;0,ISNUMBER('Market Data'!$B$1),N('Market Data'!$B$1)&gt;0),INDEX('Market Data'!$AH$5:$AH$66,INDEX('Market Data'!$J$5:$J$528,$T268)-4)*'Market Data'!$B$1/$E268-1,"pending A/FX"),IF(AND($I268="Snapshot",$Q268="Snapshot",ISNUMBER($E268),$G268=INDEX('Market Data'!$AE$5:$AE$66,INDEX('Market Data'!$J$5:$J$528,$T268)-4)),IFERROR(INDEX('Market Data'!$AC$5:$AC$66,INDEX('Market Data'!$J$5:$J$528,$T268)-4)*INDEX('Market Data'!$AD$5:$AD$66,INDEX('Market Data'!$J$5:$J$528,$T268)-4)/$E268-1,"unavailable"),IF($I268="Unavailable","unavailable","date mismatch"))))))</f>
        <v/>
      </c>
      <c r="N268" s="11">
        <f>IF($T268=0,"",IFERROR(IF(AND(N(INDEX('Market Data'!$F$5:$F$528,$T268))&gt;0,ISNUMBER(INDEX('Market Data'!$T$5:$T$528,$T268))),$E268*INDEX('Market Data'!$T$5:$T$528,$T268)/INDEX('Market Data'!$F$5:$F$528,$T268)-1,"unavailable"),"unavailable"))</f>
        <v/>
      </c>
      <c r="O268" s="9">
        <f>IF($T268=0,"",IF(IF(INDEX('Market Data'!$J$5:$J$528,$T268)=0,0,IF(LEFT(INDEX('Market Data'!$AS$5:$AS$66,INDEX('Market Data'!$J$5:$J$528,$T268)-4),11)="First-month",1,0))=1,"Class ratio review",IF($I268="Bloomberg",IF(ISNUMBER($G268),IF($G268&lt;TODAY(),"Older quote","See quote time"),"Date unavailable"),IF($I268="Snapshot",IF($G268&lt;DATEVALUE("2026-10-02"),"Older snapshot","Dated close"),"No valid quote"))))</f>
        <v/>
      </c>
      <c r="P268" s="14">
        <f>IF($T268=0,"",IF(INDEX('Market Data'!$J$5:$J$528,$T268)=0,"n/a",IF($Q268="Bloomberg",IF(AND(ISNUMBER(INDEX('Market Data'!$AK$5:$AK$66,INDEX('Market Data'!$J$5:$J$528,$T268)-4)),N(INDEX('Market Data'!$AK$5:$AK$66,INDEX('Market Data'!$J$5:$J$528,$T268)-4))&gt;0),INDEX('Market Data'!$AK$5:$AK$66,INDEX('Market Data'!$J$5:$J$528,$T268)-4),"date unavailable"),IF($Q268="Snapshot",IF(AND(ISNUMBER(INDEX('Market Data'!$AF$5:$AF$66,INDEX('Market Data'!$J$5:$J$528,$T268)-4)),N(INDEX('Market Data'!$AF$5:$AF$66,INDEX('Market Data'!$J$5:$J$528,$T268)-4))&gt;0),INDEX('Market Data'!$AF$5:$AF$66,INDEX('Market Data'!$J$5:$J$528,$T268)-4),"date unavailable"),"date unavailable"))))</f>
        <v/>
      </c>
      <c r="Q268" s="15">
        <f>IF($T268=0,"",IF(INDEX('Market Data'!$J$5:$J$528,$T268)=0,"n/a",IF(AND($M$5&lt;&gt;"Snapshot",ISNUMBER(INDEX('Market Data'!$AH$5:$AH$66,INDEX('Market Data'!$J$5:$J$528,$T268)-4)),N(INDEX('Market Data'!$AH$5:$AH$66,INDEX('Market Data'!$J$5:$J$528,$T268)-4))&gt;0),"Bloomberg",IF(AND($M$5&lt;&gt;"Bloomberg",ISNUMBER(INDEX('Market Data'!$AC$5:$AC$66,INDEX('Market Data'!$J$5:$J$528,$T268)-4)),N(INDEX('Market Data'!$AC$5:$AC$66,INDEX('Market Data'!$J$5:$J$528,$T268)-4))&gt;0),"Snapshot","Unavailable"))))</f>
        <v/>
      </c>
      <c r="T268">
        <f>IFERROR(MATCH(260,'Market Data'!$S$5:$S$528,0),0)</f>
        <v/>
      </c>
    </row>
    <row r="269" ht="34" customHeight="1">
      <c r="A269" s="8">
        <f>IF($T269=0,"",IF(INDEX('Market Data'!$A$5:$A$528,$T269)="","",INDEX('Market Data'!$A$5:$A$528,$T269)))</f>
        <v/>
      </c>
      <c r="B269" s="9">
        <f>IF($T269=0,"",IF(INDEX('Market Data'!$B$5:$B$528,$T269)="","",INDEX('Market Data'!$B$5:$B$528,$T269)))</f>
        <v/>
      </c>
      <c r="C269" s="9">
        <f>IF($T269=0,"",IF(INDEX('Market Data'!$C$5:$C$528,$T269)="","",INDEX('Market Data'!$C$5:$C$528,$T269)))</f>
        <v/>
      </c>
      <c r="D269" s="9">
        <f>IF($T269=0,"",IF(INDEX('Market Data'!$D$5:$D$528,$T269)="","",INDEX('Market Data'!$D$5:$D$528,$T269)))</f>
        <v/>
      </c>
      <c r="E269" s="10">
        <f>IF($T269=0,"",INDEX('Market Data'!$O$5:$O$528,$T269))</f>
        <v/>
      </c>
      <c r="F269" s="11">
        <f>IF($T269=0,"",IF(AND($I269="Bloomberg",ISNUMBER(INDEX('Market Data'!$L$5:$L$528,$T269))),INDEX('Market Data'!$L$5:$L$528,$T269),"unavailable"))</f>
        <v/>
      </c>
      <c r="G269" s="12">
        <f>IF($T269=0,"",IF($I269="Bloomberg",IF(AND(ISNUMBER(INDEX('Market Data'!$M$5:$M$528,$T269)),N(INDEX('Market Data'!$M$5:$M$528,$T269))&gt;0),INDEX('Market Data'!$M$5:$M$528,$T269),"date unavailable"),IF($I269="Snapshot",IF(AND(ISNUMBER(INDEX('Market Data'!$H$5:$H$528,$T269)),N(INDEX('Market Data'!$H$5:$H$528,$T269))&gt;0),INDEX('Market Data'!$H$5:$H$528,$T269),"date unavailable"),"date unavailable")))</f>
        <v/>
      </c>
      <c r="H269" s="9">
        <f>IF($T269=0,"",IF($I269="Bloomberg",IF(INDEX('Market Data'!$N$5:$N$528,$T269)="","time unavailable",INDEX('Market Data'!$N$5:$N$528,$T269)),""))</f>
        <v/>
      </c>
      <c r="I269" s="9">
        <f>IF($T269=0,"",INDEX('Market Data'!$P$5:$P$528,$T269))</f>
        <v/>
      </c>
      <c r="J269" s="13">
        <f>IF($T269=0,"",IF(INDEX('Market Data'!$E$5:$E$528,$T269)="","",INDEX('Market Data'!$E$5:$E$528,$T269)))</f>
        <v/>
      </c>
      <c r="K269" s="8">
        <f>IF($T269=0,"",IF(INDEX('Market Data'!$I$5:$I$528,$T269)="","",INDEX('Market Data'!$I$5:$I$528,$T269)))</f>
        <v/>
      </c>
      <c r="L269" s="10">
        <f>IF($T269=0,"",IF(INDEX('Market Data'!$J$5:$J$528,$T269)=0,"n/a",IF(AND($M$5&lt;&gt;"Snapshot",ISNUMBER(INDEX('Market Data'!$AH$5:$AH$66,INDEX('Market Data'!$J$5:$J$528,$T269)-4)),N(INDEX('Market Data'!$AH$5:$AH$66,INDEX('Market Data'!$J$5:$J$528,$T269)-4))&gt;0),INDEX('Market Data'!$AH$5:$AH$66,INDEX('Market Data'!$J$5:$J$528,$T269)-4),IF(AND($M$5&lt;&gt;"Bloomberg",ISNUMBER(INDEX('Market Data'!$AC$5:$AC$66,INDEX('Market Data'!$J$5:$J$528,$T269)-4)),N(INDEX('Market Data'!$AC$5:$AC$66,INDEX('Market Data'!$J$5:$J$528,$T269)-4))&gt;0),INDEX('Market Data'!$AC$5:$AC$66,INDEX('Market Data'!$J$5:$J$528,$T269)-4),"unavailable"))))</f>
        <v/>
      </c>
      <c r="M269" s="11">
        <f>IF($T269=0,"",IF(INDEX('Market Data'!$J$5:$J$528,$T269)=0,"n/a",IF(IF(INDEX('Market Data'!$J$5:$J$528,$T269)=0,0,IF(LEFT(INDEX('Market Data'!$AS$5:$AS$66,INDEX('Market Data'!$J$5:$J$528,$T269)-4),11)="First-month",1,0))=1,"class review",IF($I269="Bloomberg",IF(AND(ISNUMBER(INDEX('Market Data'!$AH$5:$AH$66,INDEX('Market Data'!$J$5:$J$528,$T269)-4)),N(INDEX('Market Data'!$AH$5:$AH$66,INDEX('Market Data'!$J$5:$J$528,$T269)-4))&gt;0,ISNUMBER('Market Data'!$B$1),N('Market Data'!$B$1)&gt;0),INDEX('Market Data'!$AH$5:$AH$66,INDEX('Market Data'!$J$5:$J$528,$T269)-4)*'Market Data'!$B$1/$E269-1,"pending A/FX"),IF(AND($I269="Snapshot",$Q269="Snapshot",ISNUMBER($E269),$G269=INDEX('Market Data'!$AE$5:$AE$66,INDEX('Market Data'!$J$5:$J$528,$T269)-4)),IFERROR(INDEX('Market Data'!$AC$5:$AC$66,INDEX('Market Data'!$J$5:$J$528,$T269)-4)*INDEX('Market Data'!$AD$5:$AD$66,INDEX('Market Data'!$J$5:$J$528,$T269)-4)/$E269-1,"unavailable"),IF($I269="Unavailable","unavailable","date mismatch"))))))</f>
        <v/>
      </c>
      <c r="N269" s="11">
        <f>IF($T269=0,"",IFERROR(IF(AND(N(INDEX('Market Data'!$F$5:$F$528,$T269))&gt;0,ISNUMBER(INDEX('Market Data'!$T$5:$T$528,$T269))),$E269*INDEX('Market Data'!$T$5:$T$528,$T269)/INDEX('Market Data'!$F$5:$F$528,$T269)-1,"unavailable"),"unavailable"))</f>
        <v/>
      </c>
      <c r="O269" s="9">
        <f>IF($T269=0,"",IF(IF(INDEX('Market Data'!$J$5:$J$528,$T269)=0,0,IF(LEFT(INDEX('Market Data'!$AS$5:$AS$66,INDEX('Market Data'!$J$5:$J$528,$T269)-4),11)="First-month",1,0))=1,"Class ratio review",IF($I269="Bloomberg",IF(ISNUMBER($G269),IF($G269&lt;TODAY(),"Older quote","See quote time"),"Date unavailable"),IF($I269="Snapshot",IF($G269&lt;DATEVALUE("2026-10-02"),"Older snapshot","Dated close"),"No valid quote"))))</f>
        <v/>
      </c>
      <c r="P269" s="14">
        <f>IF($T269=0,"",IF(INDEX('Market Data'!$J$5:$J$528,$T269)=0,"n/a",IF($Q269="Bloomberg",IF(AND(ISNUMBER(INDEX('Market Data'!$AK$5:$AK$66,INDEX('Market Data'!$J$5:$J$528,$T269)-4)),N(INDEX('Market Data'!$AK$5:$AK$66,INDEX('Market Data'!$J$5:$J$528,$T269)-4))&gt;0),INDEX('Market Data'!$AK$5:$AK$66,INDEX('Market Data'!$J$5:$J$528,$T269)-4),"date unavailable"),IF($Q269="Snapshot",IF(AND(ISNUMBER(INDEX('Market Data'!$AF$5:$AF$66,INDEX('Market Data'!$J$5:$J$528,$T269)-4)),N(INDEX('Market Data'!$AF$5:$AF$66,INDEX('Market Data'!$J$5:$J$528,$T269)-4))&gt;0),INDEX('Market Data'!$AF$5:$AF$66,INDEX('Market Data'!$J$5:$J$528,$T269)-4),"date unavailable"),"date unavailable"))))</f>
        <v/>
      </c>
      <c r="Q269" s="15">
        <f>IF($T269=0,"",IF(INDEX('Market Data'!$J$5:$J$528,$T269)=0,"n/a",IF(AND($M$5&lt;&gt;"Snapshot",ISNUMBER(INDEX('Market Data'!$AH$5:$AH$66,INDEX('Market Data'!$J$5:$J$528,$T269)-4)),N(INDEX('Market Data'!$AH$5:$AH$66,INDEX('Market Data'!$J$5:$J$528,$T269)-4))&gt;0),"Bloomberg",IF(AND($M$5&lt;&gt;"Bloomberg",ISNUMBER(INDEX('Market Data'!$AC$5:$AC$66,INDEX('Market Data'!$J$5:$J$528,$T269)-4)),N(INDEX('Market Data'!$AC$5:$AC$66,INDEX('Market Data'!$J$5:$J$528,$T269)-4))&gt;0),"Snapshot","Unavailable"))))</f>
        <v/>
      </c>
      <c r="T269">
        <f>IFERROR(MATCH(261,'Market Data'!$S$5:$S$528,0),0)</f>
        <v/>
      </c>
    </row>
    <row r="270" ht="34" customHeight="1">
      <c r="A270" s="8">
        <f>IF($T270=0,"",IF(INDEX('Market Data'!$A$5:$A$528,$T270)="","",INDEX('Market Data'!$A$5:$A$528,$T270)))</f>
        <v/>
      </c>
      <c r="B270" s="9">
        <f>IF($T270=0,"",IF(INDEX('Market Data'!$B$5:$B$528,$T270)="","",INDEX('Market Data'!$B$5:$B$528,$T270)))</f>
        <v/>
      </c>
      <c r="C270" s="9">
        <f>IF($T270=0,"",IF(INDEX('Market Data'!$C$5:$C$528,$T270)="","",INDEX('Market Data'!$C$5:$C$528,$T270)))</f>
        <v/>
      </c>
      <c r="D270" s="9">
        <f>IF($T270=0,"",IF(INDEX('Market Data'!$D$5:$D$528,$T270)="","",INDEX('Market Data'!$D$5:$D$528,$T270)))</f>
        <v/>
      </c>
      <c r="E270" s="10">
        <f>IF($T270=0,"",INDEX('Market Data'!$O$5:$O$528,$T270))</f>
        <v/>
      </c>
      <c r="F270" s="11">
        <f>IF($T270=0,"",IF(AND($I270="Bloomberg",ISNUMBER(INDEX('Market Data'!$L$5:$L$528,$T270))),INDEX('Market Data'!$L$5:$L$528,$T270),"unavailable"))</f>
        <v/>
      </c>
      <c r="G270" s="12">
        <f>IF($T270=0,"",IF($I270="Bloomberg",IF(AND(ISNUMBER(INDEX('Market Data'!$M$5:$M$528,$T270)),N(INDEX('Market Data'!$M$5:$M$528,$T270))&gt;0),INDEX('Market Data'!$M$5:$M$528,$T270),"date unavailable"),IF($I270="Snapshot",IF(AND(ISNUMBER(INDEX('Market Data'!$H$5:$H$528,$T270)),N(INDEX('Market Data'!$H$5:$H$528,$T270))&gt;0),INDEX('Market Data'!$H$5:$H$528,$T270),"date unavailable"),"date unavailable")))</f>
        <v/>
      </c>
      <c r="H270" s="9">
        <f>IF($T270=0,"",IF($I270="Bloomberg",IF(INDEX('Market Data'!$N$5:$N$528,$T270)="","time unavailable",INDEX('Market Data'!$N$5:$N$528,$T270)),""))</f>
        <v/>
      </c>
      <c r="I270" s="9">
        <f>IF($T270=0,"",INDEX('Market Data'!$P$5:$P$528,$T270))</f>
        <v/>
      </c>
      <c r="J270" s="13">
        <f>IF($T270=0,"",IF(INDEX('Market Data'!$E$5:$E$528,$T270)="","",INDEX('Market Data'!$E$5:$E$528,$T270)))</f>
        <v/>
      </c>
      <c r="K270" s="8">
        <f>IF($T270=0,"",IF(INDEX('Market Data'!$I$5:$I$528,$T270)="","",INDEX('Market Data'!$I$5:$I$528,$T270)))</f>
        <v/>
      </c>
      <c r="L270" s="10">
        <f>IF($T270=0,"",IF(INDEX('Market Data'!$J$5:$J$528,$T270)=0,"n/a",IF(AND($M$5&lt;&gt;"Snapshot",ISNUMBER(INDEX('Market Data'!$AH$5:$AH$66,INDEX('Market Data'!$J$5:$J$528,$T270)-4)),N(INDEX('Market Data'!$AH$5:$AH$66,INDEX('Market Data'!$J$5:$J$528,$T270)-4))&gt;0),INDEX('Market Data'!$AH$5:$AH$66,INDEX('Market Data'!$J$5:$J$528,$T270)-4),IF(AND($M$5&lt;&gt;"Bloomberg",ISNUMBER(INDEX('Market Data'!$AC$5:$AC$66,INDEX('Market Data'!$J$5:$J$528,$T270)-4)),N(INDEX('Market Data'!$AC$5:$AC$66,INDEX('Market Data'!$J$5:$J$528,$T270)-4))&gt;0),INDEX('Market Data'!$AC$5:$AC$66,INDEX('Market Data'!$J$5:$J$528,$T270)-4),"unavailable"))))</f>
        <v/>
      </c>
      <c r="M270" s="11">
        <f>IF($T270=0,"",IF(INDEX('Market Data'!$J$5:$J$528,$T270)=0,"n/a",IF(IF(INDEX('Market Data'!$J$5:$J$528,$T270)=0,0,IF(LEFT(INDEX('Market Data'!$AS$5:$AS$66,INDEX('Market Data'!$J$5:$J$528,$T270)-4),11)="First-month",1,0))=1,"class review",IF($I270="Bloomberg",IF(AND(ISNUMBER(INDEX('Market Data'!$AH$5:$AH$66,INDEX('Market Data'!$J$5:$J$528,$T270)-4)),N(INDEX('Market Data'!$AH$5:$AH$66,INDEX('Market Data'!$J$5:$J$528,$T270)-4))&gt;0,ISNUMBER('Market Data'!$B$1),N('Market Data'!$B$1)&gt;0),INDEX('Market Data'!$AH$5:$AH$66,INDEX('Market Data'!$J$5:$J$528,$T270)-4)*'Market Data'!$B$1/$E270-1,"pending A/FX"),IF(AND($I270="Snapshot",$Q270="Snapshot",ISNUMBER($E270),$G270=INDEX('Market Data'!$AE$5:$AE$66,INDEX('Market Data'!$J$5:$J$528,$T270)-4)),IFERROR(INDEX('Market Data'!$AC$5:$AC$66,INDEX('Market Data'!$J$5:$J$528,$T270)-4)*INDEX('Market Data'!$AD$5:$AD$66,INDEX('Market Data'!$J$5:$J$528,$T270)-4)/$E270-1,"unavailable"),IF($I270="Unavailable","unavailable","date mismatch"))))))</f>
        <v/>
      </c>
      <c r="N270" s="11">
        <f>IF($T270=0,"",IFERROR(IF(AND(N(INDEX('Market Data'!$F$5:$F$528,$T270))&gt;0,ISNUMBER(INDEX('Market Data'!$T$5:$T$528,$T270))),$E270*INDEX('Market Data'!$T$5:$T$528,$T270)/INDEX('Market Data'!$F$5:$F$528,$T270)-1,"unavailable"),"unavailable"))</f>
        <v/>
      </c>
      <c r="O270" s="9">
        <f>IF($T270=0,"",IF(IF(INDEX('Market Data'!$J$5:$J$528,$T270)=0,0,IF(LEFT(INDEX('Market Data'!$AS$5:$AS$66,INDEX('Market Data'!$J$5:$J$528,$T270)-4),11)="First-month",1,0))=1,"Class ratio review",IF($I270="Bloomberg",IF(ISNUMBER($G270),IF($G270&lt;TODAY(),"Older quote","See quote time"),"Date unavailable"),IF($I270="Snapshot",IF($G270&lt;DATEVALUE("2026-10-02"),"Older snapshot","Dated close"),"No valid quote"))))</f>
        <v/>
      </c>
      <c r="P270" s="14">
        <f>IF($T270=0,"",IF(INDEX('Market Data'!$J$5:$J$528,$T270)=0,"n/a",IF($Q270="Bloomberg",IF(AND(ISNUMBER(INDEX('Market Data'!$AK$5:$AK$66,INDEX('Market Data'!$J$5:$J$528,$T270)-4)),N(INDEX('Market Data'!$AK$5:$AK$66,INDEX('Market Data'!$J$5:$J$528,$T270)-4))&gt;0),INDEX('Market Data'!$AK$5:$AK$66,INDEX('Market Data'!$J$5:$J$528,$T270)-4),"date unavailable"),IF($Q270="Snapshot",IF(AND(ISNUMBER(INDEX('Market Data'!$AF$5:$AF$66,INDEX('Market Data'!$J$5:$J$528,$T270)-4)),N(INDEX('Market Data'!$AF$5:$AF$66,INDEX('Market Data'!$J$5:$J$528,$T270)-4))&gt;0),INDEX('Market Data'!$AF$5:$AF$66,INDEX('Market Data'!$J$5:$J$528,$T270)-4),"date unavailable"),"date unavailable"))))</f>
        <v/>
      </c>
      <c r="Q270" s="15">
        <f>IF($T270=0,"",IF(INDEX('Market Data'!$J$5:$J$528,$T270)=0,"n/a",IF(AND($M$5&lt;&gt;"Snapshot",ISNUMBER(INDEX('Market Data'!$AH$5:$AH$66,INDEX('Market Data'!$J$5:$J$528,$T270)-4)),N(INDEX('Market Data'!$AH$5:$AH$66,INDEX('Market Data'!$J$5:$J$528,$T270)-4))&gt;0),"Bloomberg",IF(AND($M$5&lt;&gt;"Bloomberg",ISNUMBER(INDEX('Market Data'!$AC$5:$AC$66,INDEX('Market Data'!$J$5:$J$528,$T270)-4)),N(INDEX('Market Data'!$AC$5:$AC$66,INDEX('Market Data'!$J$5:$J$528,$T270)-4))&gt;0),"Snapshot","Unavailable"))))</f>
        <v/>
      </c>
      <c r="T270">
        <f>IFERROR(MATCH(262,'Market Data'!$S$5:$S$528,0),0)</f>
        <v/>
      </c>
    </row>
    <row r="271" ht="34" customHeight="1">
      <c r="A271" s="8">
        <f>IF($T271=0,"",IF(INDEX('Market Data'!$A$5:$A$528,$T271)="","",INDEX('Market Data'!$A$5:$A$528,$T271)))</f>
        <v/>
      </c>
      <c r="B271" s="9">
        <f>IF($T271=0,"",IF(INDEX('Market Data'!$B$5:$B$528,$T271)="","",INDEX('Market Data'!$B$5:$B$528,$T271)))</f>
        <v/>
      </c>
      <c r="C271" s="9">
        <f>IF($T271=0,"",IF(INDEX('Market Data'!$C$5:$C$528,$T271)="","",INDEX('Market Data'!$C$5:$C$528,$T271)))</f>
        <v/>
      </c>
      <c r="D271" s="9">
        <f>IF($T271=0,"",IF(INDEX('Market Data'!$D$5:$D$528,$T271)="","",INDEX('Market Data'!$D$5:$D$528,$T271)))</f>
        <v/>
      </c>
      <c r="E271" s="10">
        <f>IF($T271=0,"",INDEX('Market Data'!$O$5:$O$528,$T271))</f>
        <v/>
      </c>
      <c r="F271" s="11">
        <f>IF($T271=0,"",IF(AND($I271="Bloomberg",ISNUMBER(INDEX('Market Data'!$L$5:$L$528,$T271))),INDEX('Market Data'!$L$5:$L$528,$T271),"unavailable"))</f>
        <v/>
      </c>
      <c r="G271" s="12">
        <f>IF($T271=0,"",IF($I271="Bloomberg",IF(AND(ISNUMBER(INDEX('Market Data'!$M$5:$M$528,$T271)),N(INDEX('Market Data'!$M$5:$M$528,$T271))&gt;0),INDEX('Market Data'!$M$5:$M$528,$T271),"date unavailable"),IF($I271="Snapshot",IF(AND(ISNUMBER(INDEX('Market Data'!$H$5:$H$528,$T271)),N(INDEX('Market Data'!$H$5:$H$528,$T271))&gt;0),INDEX('Market Data'!$H$5:$H$528,$T271),"date unavailable"),"date unavailable")))</f>
        <v/>
      </c>
      <c r="H271" s="9">
        <f>IF($T271=0,"",IF($I271="Bloomberg",IF(INDEX('Market Data'!$N$5:$N$528,$T271)="","time unavailable",INDEX('Market Data'!$N$5:$N$528,$T271)),""))</f>
        <v/>
      </c>
      <c r="I271" s="9">
        <f>IF($T271=0,"",INDEX('Market Data'!$P$5:$P$528,$T271))</f>
        <v/>
      </c>
      <c r="J271" s="13">
        <f>IF($T271=0,"",IF(INDEX('Market Data'!$E$5:$E$528,$T271)="","",INDEX('Market Data'!$E$5:$E$528,$T271)))</f>
        <v/>
      </c>
      <c r="K271" s="8">
        <f>IF($T271=0,"",IF(INDEX('Market Data'!$I$5:$I$528,$T271)="","",INDEX('Market Data'!$I$5:$I$528,$T271)))</f>
        <v/>
      </c>
      <c r="L271" s="10">
        <f>IF($T271=0,"",IF(INDEX('Market Data'!$J$5:$J$528,$T271)=0,"n/a",IF(AND($M$5&lt;&gt;"Snapshot",ISNUMBER(INDEX('Market Data'!$AH$5:$AH$66,INDEX('Market Data'!$J$5:$J$528,$T271)-4)),N(INDEX('Market Data'!$AH$5:$AH$66,INDEX('Market Data'!$J$5:$J$528,$T271)-4))&gt;0),INDEX('Market Data'!$AH$5:$AH$66,INDEX('Market Data'!$J$5:$J$528,$T271)-4),IF(AND($M$5&lt;&gt;"Bloomberg",ISNUMBER(INDEX('Market Data'!$AC$5:$AC$66,INDEX('Market Data'!$J$5:$J$528,$T271)-4)),N(INDEX('Market Data'!$AC$5:$AC$66,INDEX('Market Data'!$J$5:$J$528,$T271)-4))&gt;0),INDEX('Market Data'!$AC$5:$AC$66,INDEX('Market Data'!$J$5:$J$528,$T271)-4),"unavailable"))))</f>
        <v/>
      </c>
      <c r="M271" s="11">
        <f>IF($T271=0,"",IF(INDEX('Market Data'!$J$5:$J$528,$T271)=0,"n/a",IF(IF(INDEX('Market Data'!$J$5:$J$528,$T271)=0,0,IF(LEFT(INDEX('Market Data'!$AS$5:$AS$66,INDEX('Market Data'!$J$5:$J$528,$T271)-4),11)="First-month",1,0))=1,"class review",IF($I271="Bloomberg",IF(AND(ISNUMBER(INDEX('Market Data'!$AH$5:$AH$66,INDEX('Market Data'!$J$5:$J$528,$T271)-4)),N(INDEX('Market Data'!$AH$5:$AH$66,INDEX('Market Data'!$J$5:$J$528,$T271)-4))&gt;0,ISNUMBER('Market Data'!$B$1),N('Market Data'!$B$1)&gt;0),INDEX('Market Data'!$AH$5:$AH$66,INDEX('Market Data'!$J$5:$J$528,$T271)-4)*'Market Data'!$B$1/$E271-1,"pending A/FX"),IF(AND($I271="Snapshot",$Q271="Snapshot",ISNUMBER($E271),$G271=INDEX('Market Data'!$AE$5:$AE$66,INDEX('Market Data'!$J$5:$J$528,$T271)-4)),IFERROR(INDEX('Market Data'!$AC$5:$AC$66,INDEX('Market Data'!$J$5:$J$528,$T271)-4)*INDEX('Market Data'!$AD$5:$AD$66,INDEX('Market Data'!$J$5:$J$528,$T271)-4)/$E271-1,"unavailable"),IF($I271="Unavailable","unavailable","date mismatch"))))))</f>
        <v/>
      </c>
      <c r="N271" s="11">
        <f>IF($T271=0,"",IFERROR(IF(AND(N(INDEX('Market Data'!$F$5:$F$528,$T271))&gt;0,ISNUMBER(INDEX('Market Data'!$T$5:$T$528,$T271))),$E271*INDEX('Market Data'!$T$5:$T$528,$T271)/INDEX('Market Data'!$F$5:$F$528,$T271)-1,"unavailable"),"unavailable"))</f>
        <v/>
      </c>
      <c r="O271" s="9">
        <f>IF($T271=0,"",IF(IF(INDEX('Market Data'!$J$5:$J$528,$T271)=0,0,IF(LEFT(INDEX('Market Data'!$AS$5:$AS$66,INDEX('Market Data'!$J$5:$J$528,$T271)-4),11)="First-month",1,0))=1,"Class ratio review",IF($I271="Bloomberg",IF(ISNUMBER($G271),IF($G271&lt;TODAY(),"Older quote","See quote time"),"Date unavailable"),IF($I271="Snapshot",IF($G271&lt;DATEVALUE("2026-10-02"),"Older snapshot","Dated close"),"No valid quote"))))</f>
        <v/>
      </c>
      <c r="P271" s="14">
        <f>IF($T271=0,"",IF(INDEX('Market Data'!$J$5:$J$528,$T271)=0,"n/a",IF($Q271="Bloomberg",IF(AND(ISNUMBER(INDEX('Market Data'!$AK$5:$AK$66,INDEX('Market Data'!$J$5:$J$528,$T271)-4)),N(INDEX('Market Data'!$AK$5:$AK$66,INDEX('Market Data'!$J$5:$J$528,$T271)-4))&gt;0),INDEX('Market Data'!$AK$5:$AK$66,INDEX('Market Data'!$J$5:$J$528,$T271)-4),"date unavailable"),IF($Q271="Snapshot",IF(AND(ISNUMBER(INDEX('Market Data'!$AF$5:$AF$66,INDEX('Market Data'!$J$5:$J$528,$T271)-4)),N(INDEX('Market Data'!$AF$5:$AF$66,INDEX('Market Data'!$J$5:$J$528,$T271)-4))&gt;0),INDEX('Market Data'!$AF$5:$AF$66,INDEX('Market Data'!$J$5:$J$528,$T271)-4),"date unavailable"),"date unavailable"))))</f>
        <v/>
      </c>
      <c r="Q271" s="15">
        <f>IF($T271=0,"",IF(INDEX('Market Data'!$J$5:$J$528,$T271)=0,"n/a",IF(AND($M$5&lt;&gt;"Snapshot",ISNUMBER(INDEX('Market Data'!$AH$5:$AH$66,INDEX('Market Data'!$J$5:$J$528,$T271)-4)),N(INDEX('Market Data'!$AH$5:$AH$66,INDEX('Market Data'!$J$5:$J$528,$T271)-4))&gt;0),"Bloomberg",IF(AND($M$5&lt;&gt;"Bloomberg",ISNUMBER(INDEX('Market Data'!$AC$5:$AC$66,INDEX('Market Data'!$J$5:$J$528,$T271)-4)),N(INDEX('Market Data'!$AC$5:$AC$66,INDEX('Market Data'!$J$5:$J$528,$T271)-4))&gt;0),"Snapshot","Unavailable"))))</f>
        <v/>
      </c>
      <c r="T271">
        <f>IFERROR(MATCH(263,'Market Data'!$S$5:$S$528,0),0)</f>
        <v/>
      </c>
    </row>
    <row r="272" ht="34" customHeight="1">
      <c r="A272" s="8">
        <f>IF($T272=0,"",IF(INDEX('Market Data'!$A$5:$A$528,$T272)="","",INDEX('Market Data'!$A$5:$A$528,$T272)))</f>
        <v/>
      </c>
      <c r="B272" s="9">
        <f>IF($T272=0,"",IF(INDEX('Market Data'!$B$5:$B$528,$T272)="","",INDEX('Market Data'!$B$5:$B$528,$T272)))</f>
        <v/>
      </c>
      <c r="C272" s="9">
        <f>IF($T272=0,"",IF(INDEX('Market Data'!$C$5:$C$528,$T272)="","",INDEX('Market Data'!$C$5:$C$528,$T272)))</f>
        <v/>
      </c>
      <c r="D272" s="9">
        <f>IF($T272=0,"",IF(INDEX('Market Data'!$D$5:$D$528,$T272)="","",INDEX('Market Data'!$D$5:$D$528,$T272)))</f>
        <v/>
      </c>
      <c r="E272" s="10">
        <f>IF($T272=0,"",INDEX('Market Data'!$O$5:$O$528,$T272))</f>
        <v/>
      </c>
      <c r="F272" s="11">
        <f>IF($T272=0,"",IF(AND($I272="Bloomberg",ISNUMBER(INDEX('Market Data'!$L$5:$L$528,$T272))),INDEX('Market Data'!$L$5:$L$528,$T272),"unavailable"))</f>
        <v/>
      </c>
      <c r="G272" s="12">
        <f>IF($T272=0,"",IF($I272="Bloomberg",IF(AND(ISNUMBER(INDEX('Market Data'!$M$5:$M$528,$T272)),N(INDEX('Market Data'!$M$5:$M$528,$T272))&gt;0),INDEX('Market Data'!$M$5:$M$528,$T272),"date unavailable"),IF($I272="Snapshot",IF(AND(ISNUMBER(INDEX('Market Data'!$H$5:$H$528,$T272)),N(INDEX('Market Data'!$H$5:$H$528,$T272))&gt;0),INDEX('Market Data'!$H$5:$H$528,$T272),"date unavailable"),"date unavailable")))</f>
        <v/>
      </c>
      <c r="H272" s="9">
        <f>IF($T272=0,"",IF($I272="Bloomberg",IF(INDEX('Market Data'!$N$5:$N$528,$T272)="","time unavailable",INDEX('Market Data'!$N$5:$N$528,$T272)),""))</f>
        <v/>
      </c>
      <c r="I272" s="9">
        <f>IF($T272=0,"",INDEX('Market Data'!$P$5:$P$528,$T272))</f>
        <v/>
      </c>
      <c r="J272" s="13">
        <f>IF($T272=0,"",IF(INDEX('Market Data'!$E$5:$E$528,$T272)="","",INDEX('Market Data'!$E$5:$E$528,$T272)))</f>
        <v/>
      </c>
      <c r="K272" s="8">
        <f>IF($T272=0,"",IF(INDEX('Market Data'!$I$5:$I$528,$T272)="","",INDEX('Market Data'!$I$5:$I$528,$T272)))</f>
        <v/>
      </c>
      <c r="L272" s="10">
        <f>IF($T272=0,"",IF(INDEX('Market Data'!$J$5:$J$528,$T272)=0,"n/a",IF(AND($M$5&lt;&gt;"Snapshot",ISNUMBER(INDEX('Market Data'!$AH$5:$AH$66,INDEX('Market Data'!$J$5:$J$528,$T272)-4)),N(INDEX('Market Data'!$AH$5:$AH$66,INDEX('Market Data'!$J$5:$J$528,$T272)-4))&gt;0),INDEX('Market Data'!$AH$5:$AH$66,INDEX('Market Data'!$J$5:$J$528,$T272)-4),IF(AND($M$5&lt;&gt;"Bloomberg",ISNUMBER(INDEX('Market Data'!$AC$5:$AC$66,INDEX('Market Data'!$J$5:$J$528,$T272)-4)),N(INDEX('Market Data'!$AC$5:$AC$66,INDEX('Market Data'!$J$5:$J$528,$T272)-4))&gt;0),INDEX('Market Data'!$AC$5:$AC$66,INDEX('Market Data'!$J$5:$J$528,$T272)-4),"unavailable"))))</f>
        <v/>
      </c>
      <c r="M272" s="11">
        <f>IF($T272=0,"",IF(INDEX('Market Data'!$J$5:$J$528,$T272)=0,"n/a",IF(IF(INDEX('Market Data'!$J$5:$J$528,$T272)=0,0,IF(LEFT(INDEX('Market Data'!$AS$5:$AS$66,INDEX('Market Data'!$J$5:$J$528,$T272)-4),11)="First-month",1,0))=1,"class review",IF($I272="Bloomberg",IF(AND(ISNUMBER(INDEX('Market Data'!$AH$5:$AH$66,INDEX('Market Data'!$J$5:$J$528,$T272)-4)),N(INDEX('Market Data'!$AH$5:$AH$66,INDEX('Market Data'!$J$5:$J$528,$T272)-4))&gt;0,ISNUMBER('Market Data'!$B$1),N('Market Data'!$B$1)&gt;0),INDEX('Market Data'!$AH$5:$AH$66,INDEX('Market Data'!$J$5:$J$528,$T272)-4)*'Market Data'!$B$1/$E272-1,"pending A/FX"),IF(AND($I272="Snapshot",$Q272="Snapshot",ISNUMBER($E272),$G272=INDEX('Market Data'!$AE$5:$AE$66,INDEX('Market Data'!$J$5:$J$528,$T272)-4)),IFERROR(INDEX('Market Data'!$AC$5:$AC$66,INDEX('Market Data'!$J$5:$J$528,$T272)-4)*INDEX('Market Data'!$AD$5:$AD$66,INDEX('Market Data'!$J$5:$J$528,$T272)-4)/$E272-1,"unavailable"),IF($I272="Unavailable","unavailable","date mismatch"))))))</f>
        <v/>
      </c>
      <c r="N272" s="11">
        <f>IF($T272=0,"",IFERROR(IF(AND(N(INDEX('Market Data'!$F$5:$F$528,$T272))&gt;0,ISNUMBER(INDEX('Market Data'!$T$5:$T$528,$T272))),$E272*INDEX('Market Data'!$T$5:$T$528,$T272)/INDEX('Market Data'!$F$5:$F$528,$T272)-1,"unavailable"),"unavailable"))</f>
        <v/>
      </c>
      <c r="O272" s="9">
        <f>IF($T272=0,"",IF(IF(INDEX('Market Data'!$J$5:$J$528,$T272)=0,0,IF(LEFT(INDEX('Market Data'!$AS$5:$AS$66,INDEX('Market Data'!$J$5:$J$528,$T272)-4),11)="First-month",1,0))=1,"Class ratio review",IF($I272="Bloomberg",IF(ISNUMBER($G272),IF($G272&lt;TODAY(),"Older quote","See quote time"),"Date unavailable"),IF($I272="Snapshot",IF($G272&lt;DATEVALUE("2026-10-02"),"Older snapshot","Dated close"),"No valid quote"))))</f>
        <v/>
      </c>
      <c r="P272" s="14">
        <f>IF($T272=0,"",IF(INDEX('Market Data'!$J$5:$J$528,$T272)=0,"n/a",IF($Q272="Bloomberg",IF(AND(ISNUMBER(INDEX('Market Data'!$AK$5:$AK$66,INDEX('Market Data'!$J$5:$J$528,$T272)-4)),N(INDEX('Market Data'!$AK$5:$AK$66,INDEX('Market Data'!$J$5:$J$528,$T272)-4))&gt;0),INDEX('Market Data'!$AK$5:$AK$66,INDEX('Market Data'!$J$5:$J$528,$T272)-4),"date unavailable"),IF($Q272="Snapshot",IF(AND(ISNUMBER(INDEX('Market Data'!$AF$5:$AF$66,INDEX('Market Data'!$J$5:$J$528,$T272)-4)),N(INDEX('Market Data'!$AF$5:$AF$66,INDEX('Market Data'!$J$5:$J$528,$T272)-4))&gt;0),INDEX('Market Data'!$AF$5:$AF$66,INDEX('Market Data'!$J$5:$J$528,$T272)-4),"date unavailable"),"date unavailable"))))</f>
        <v/>
      </c>
      <c r="Q272" s="15">
        <f>IF($T272=0,"",IF(INDEX('Market Data'!$J$5:$J$528,$T272)=0,"n/a",IF(AND($M$5&lt;&gt;"Snapshot",ISNUMBER(INDEX('Market Data'!$AH$5:$AH$66,INDEX('Market Data'!$J$5:$J$528,$T272)-4)),N(INDEX('Market Data'!$AH$5:$AH$66,INDEX('Market Data'!$J$5:$J$528,$T272)-4))&gt;0),"Bloomberg",IF(AND($M$5&lt;&gt;"Bloomberg",ISNUMBER(INDEX('Market Data'!$AC$5:$AC$66,INDEX('Market Data'!$J$5:$J$528,$T272)-4)),N(INDEX('Market Data'!$AC$5:$AC$66,INDEX('Market Data'!$J$5:$J$528,$T272)-4))&gt;0),"Snapshot","Unavailable"))))</f>
        <v/>
      </c>
      <c r="T272">
        <f>IFERROR(MATCH(264,'Market Data'!$S$5:$S$528,0),0)</f>
        <v/>
      </c>
    </row>
    <row r="273" ht="34" customHeight="1">
      <c r="A273" s="8">
        <f>IF($T273=0,"",IF(INDEX('Market Data'!$A$5:$A$528,$T273)="","",INDEX('Market Data'!$A$5:$A$528,$T273)))</f>
        <v/>
      </c>
      <c r="B273" s="9">
        <f>IF($T273=0,"",IF(INDEX('Market Data'!$B$5:$B$528,$T273)="","",INDEX('Market Data'!$B$5:$B$528,$T273)))</f>
        <v/>
      </c>
      <c r="C273" s="9">
        <f>IF($T273=0,"",IF(INDEX('Market Data'!$C$5:$C$528,$T273)="","",INDEX('Market Data'!$C$5:$C$528,$T273)))</f>
        <v/>
      </c>
      <c r="D273" s="9">
        <f>IF($T273=0,"",IF(INDEX('Market Data'!$D$5:$D$528,$T273)="","",INDEX('Market Data'!$D$5:$D$528,$T273)))</f>
        <v/>
      </c>
      <c r="E273" s="10">
        <f>IF($T273=0,"",INDEX('Market Data'!$O$5:$O$528,$T273))</f>
        <v/>
      </c>
      <c r="F273" s="11">
        <f>IF($T273=0,"",IF(AND($I273="Bloomberg",ISNUMBER(INDEX('Market Data'!$L$5:$L$528,$T273))),INDEX('Market Data'!$L$5:$L$528,$T273),"unavailable"))</f>
        <v/>
      </c>
      <c r="G273" s="12">
        <f>IF($T273=0,"",IF($I273="Bloomberg",IF(AND(ISNUMBER(INDEX('Market Data'!$M$5:$M$528,$T273)),N(INDEX('Market Data'!$M$5:$M$528,$T273))&gt;0),INDEX('Market Data'!$M$5:$M$528,$T273),"date unavailable"),IF($I273="Snapshot",IF(AND(ISNUMBER(INDEX('Market Data'!$H$5:$H$528,$T273)),N(INDEX('Market Data'!$H$5:$H$528,$T273))&gt;0),INDEX('Market Data'!$H$5:$H$528,$T273),"date unavailable"),"date unavailable")))</f>
        <v/>
      </c>
      <c r="H273" s="9">
        <f>IF($T273=0,"",IF($I273="Bloomberg",IF(INDEX('Market Data'!$N$5:$N$528,$T273)="","time unavailable",INDEX('Market Data'!$N$5:$N$528,$T273)),""))</f>
        <v/>
      </c>
      <c r="I273" s="9">
        <f>IF($T273=0,"",INDEX('Market Data'!$P$5:$P$528,$T273))</f>
        <v/>
      </c>
      <c r="J273" s="13">
        <f>IF($T273=0,"",IF(INDEX('Market Data'!$E$5:$E$528,$T273)="","",INDEX('Market Data'!$E$5:$E$528,$T273)))</f>
        <v/>
      </c>
      <c r="K273" s="8">
        <f>IF($T273=0,"",IF(INDEX('Market Data'!$I$5:$I$528,$T273)="","",INDEX('Market Data'!$I$5:$I$528,$T273)))</f>
        <v/>
      </c>
      <c r="L273" s="10">
        <f>IF($T273=0,"",IF(INDEX('Market Data'!$J$5:$J$528,$T273)=0,"n/a",IF(AND($M$5&lt;&gt;"Snapshot",ISNUMBER(INDEX('Market Data'!$AH$5:$AH$66,INDEX('Market Data'!$J$5:$J$528,$T273)-4)),N(INDEX('Market Data'!$AH$5:$AH$66,INDEX('Market Data'!$J$5:$J$528,$T273)-4))&gt;0),INDEX('Market Data'!$AH$5:$AH$66,INDEX('Market Data'!$J$5:$J$528,$T273)-4),IF(AND($M$5&lt;&gt;"Bloomberg",ISNUMBER(INDEX('Market Data'!$AC$5:$AC$66,INDEX('Market Data'!$J$5:$J$528,$T273)-4)),N(INDEX('Market Data'!$AC$5:$AC$66,INDEX('Market Data'!$J$5:$J$528,$T273)-4))&gt;0),INDEX('Market Data'!$AC$5:$AC$66,INDEX('Market Data'!$J$5:$J$528,$T273)-4),"unavailable"))))</f>
        <v/>
      </c>
      <c r="M273" s="11">
        <f>IF($T273=0,"",IF(INDEX('Market Data'!$J$5:$J$528,$T273)=0,"n/a",IF(IF(INDEX('Market Data'!$J$5:$J$528,$T273)=0,0,IF(LEFT(INDEX('Market Data'!$AS$5:$AS$66,INDEX('Market Data'!$J$5:$J$528,$T273)-4),11)="First-month",1,0))=1,"class review",IF($I273="Bloomberg",IF(AND(ISNUMBER(INDEX('Market Data'!$AH$5:$AH$66,INDEX('Market Data'!$J$5:$J$528,$T273)-4)),N(INDEX('Market Data'!$AH$5:$AH$66,INDEX('Market Data'!$J$5:$J$528,$T273)-4))&gt;0,ISNUMBER('Market Data'!$B$1),N('Market Data'!$B$1)&gt;0),INDEX('Market Data'!$AH$5:$AH$66,INDEX('Market Data'!$J$5:$J$528,$T273)-4)*'Market Data'!$B$1/$E273-1,"pending A/FX"),IF(AND($I273="Snapshot",$Q273="Snapshot",ISNUMBER($E273),$G273=INDEX('Market Data'!$AE$5:$AE$66,INDEX('Market Data'!$J$5:$J$528,$T273)-4)),IFERROR(INDEX('Market Data'!$AC$5:$AC$66,INDEX('Market Data'!$J$5:$J$528,$T273)-4)*INDEX('Market Data'!$AD$5:$AD$66,INDEX('Market Data'!$J$5:$J$528,$T273)-4)/$E273-1,"unavailable"),IF($I273="Unavailable","unavailable","date mismatch"))))))</f>
        <v/>
      </c>
      <c r="N273" s="11">
        <f>IF($T273=0,"",IFERROR(IF(AND(N(INDEX('Market Data'!$F$5:$F$528,$T273))&gt;0,ISNUMBER(INDEX('Market Data'!$T$5:$T$528,$T273))),$E273*INDEX('Market Data'!$T$5:$T$528,$T273)/INDEX('Market Data'!$F$5:$F$528,$T273)-1,"unavailable"),"unavailable"))</f>
        <v/>
      </c>
      <c r="O273" s="9">
        <f>IF($T273=0,"",IF(IF(INDEX('Market Data'!$J$5:$J$528,$T273)=0,0,IF(LEFT(INDEX('Market Data'!$AS$5:$AS$66,INDEX('Market Data'!$J$5:$J$528,$T273)-4),11)="First-month",1,0))=1,"Class ratio review",IF($I273="Bloomberg",IF(ISNUMBER($G273),IF($G273&lt;TODAY(),"Older quote","See quote time"),"Date unavailable"),IF($I273="Snapshot",IF($G273&lt;DATEVALUE("2026-10-02"),"Older snapshot","Dated close"),"No valid quote"))))</f>
        <v/>
      </c>
      <c r="P273" s="14">
        <f>IF($T273=0,"",IF(INDEX('Market Data'!$J$5:$J$528,$T273)=0,"n/a",IF($Q273="Bloomberg",IF(AND(ISNUMBER(INDEX('Market Data'!$AK$5:$AK$66,INDEX('Market Data'!$J$5:$J$528,$T273)-4)),N(INDEX('Market Data'!$AK$5:$AK$66,INDEX('Market Data'!$J$5:$J$528,$T273)-4))&gt;0),INDEX('Market Data'!$AK$5:$AK$66,INDEX('Market Data'!$J$5:$J$528,$T273)-4),"date unavailable"),IF($Q273="Snapshot",IF(AND(ISNUMBER(INDEX('Market Data'!$AF$5:$AF$66,INDEX('Market Data'!$J$5:$J$528,$T273)-4)),N(INDEX('Market Data'!$AF$5:$AF$66,INDEX('Market Data'!$J$5:$J$528,$T273)-4))&gt;0),INDEX('Market Data'!$AF$5:$AF$66,INDEX('Market Data'!$J$5:$J$528,$T273)-4),"date unavailable"),"date unavailable"))))</f>
        <v/>
      </c>
      <c r="Q273" s="15">
        <f>IF($T273=0,"",IF(INDEX('Market Data'!$J$5:$J$528,$T273)=0,"n/a",IF(AND($M$5&lt;&gt;"Snapshot",ISNUMBER(INDEX('Market Data'!$AH$5:$AH$66,INDEX('Market Data'!$J$5:$J$528,$T273)-4)),N(INDEX('Market Data'!$AH$5:$AH$66,INDEX('Market Data'!$J$5:$J$528,$T273)-4))&gt;0),"Bloomberg",IF(AND($M$5&lt;&gt;"Bloomberg",ISNUMBER(INDEX('Market Data'!$AC$5:$AC$66,INDEX('Market Data'!$J$5:$J$528,$T273)-4)),N(INDEX('Market Data'!$AC$5:$AC$66,INDEX('Market Data'!$J$5:$J$528,$T273)-4))&gt;0),"Snapshot","Unavailable"))))</f>
        <v/>
      </c>
      <c r="T273">
        <f>IFERROR(MATCH(265,'Market Data'!$S$5:$S$528,0),0)</f>
        <v/>
      </c>
    </row>
    <row r="274" ht="34" customHeight="1">
      <c r="A274" s="8">
        <f>IF($T274=0,"",IF(INDEX('Market Data'!$A$5:$A$528,$T274)="","",INDEX('Market Data'!$A$5:$A$528,$T274)))</f>
        <v/>
      </c>
      <c r="B274" s="9">
        <f>IF($T274=0,"",IF(INDEX('Market Data'!$B$5:$B$528,$T274)="","",INDEX('Market Data'!$B$5:$B$528,$T274)))</f>
        <v/>
      </c>
      <c r="C274" s="9">
        <f>IF($T274=0,"",IF(INDEX('Market Data'!$C$5:$C$528,$T274)="","",INDEX('Market Data'!$C$5:$C$528,$T274)))</f>
        <v/>
      </c>
      <c r="D274" s="9">
        <f>IF($T274=0,"",IF(INDEX('Market Data'!$D$5:$D$528,$T274)="","",INDEX('Market Data'!$D$5:$D$528,$T274)))</f>
        <v/>
      </c>
      <c r="E274" s="10">
        <f>IF($T274=0,"",INDEX('Market Data'!$O$5:$O$528,$T274))</f>
        <v/>
      </c>
      <c r="F274" s="11">
        <f>IF($T274=0,"",IF(AND($I274="Bloomberg",ISNUMBER(INDEX('Market Data'!$L$5:$L$528,$T274))),INDEX('Market Data'!$L$5:$L$528,$T274),"unavailable"))</f>
        <v/>
      </c>
      <c r="G274" s="12">
        <f>IF($T274=0,"",IF($I274="Bloomberg",IF(AND(ISNUMBER(INDEX('Market Data'!$M$5:$M$528,$T274)),N(INDEX('Market Data'!$M$5:$M$528,$T274))&gt;0),INDEX('Market Data'!$M$5:$M$528,$T274),"date unavailable"),IF($I274="Snapshot",IF(AND(ISNUMBER(INDEX('Market Data'!$H$5:$H$528,$T274)),N(INDEX('Market Data'!$H$5:$H$528,$T274))&gt;0),INDEX('Market Data'!$H$5:$H$528,$T274),"date unavailable"),"date unavailable")))</f>
        <v/>
      </c>
      <c r="H274" s="9">
        <f>IF($T274=0,"",IF($I274="Bloomberg",IF(INDEX('Market Data'!$N$5:$N$528,$T274)="","time unavailable",INDEX('Market Data'!$N$5:$N$528,$T274)),""))</f>
        <v/>
      </c>
      <c r="I274" s="9">
        <f>IF($T274=0,"",INDEX('Market Data'!$P$5:$P$528,$T274))</f>
        <v/>
      </c>
      <c r="J274" s="13">
        <f>IF($T274=0,"",IF(INDEX('Market Data'!$E$5:$E$528,$T274)="","",INDEX('Market Data'!$E$5:$E$528,$T274)))</f>
        <v/>
      </c>
      <c r="K274" s="8">
        <f>IF($T274=0,"",IF(INDEX('Market Data'!$I$5:$I$528,$T274)="","",INDEX('Market Data'!$I$5:$I$528,$T274)))</f>
        <v/>
      </c>
      <c r="L274" s="10">
        <f>IF($T274=0,"",IF(INDEX('Market Data'!$J$5:$J$528,$T274)=0,"n/a",IF(AND($M$5&lt;&gt;"Snapshot",ISNUMBER(INDEX('Market Data'!$AH$5:$AH$66,INDEX('Market Data'!$J$5:$J$528,$T274)-4)),N(INDEX('Market Data'!$AH$5:$AH$66,INDEX('Market Data'!$J$5:$J$528,$T274)-4))&gt;0),INDEX('Market Data'!$AH$5:$AH$66,INDEX('Market Data'!$J$5:$J$528,$T274)-4),IF(AND($M$5&lt;&gt;"Bloomberg",ISNUMBER(INDEX('Market Data'!$AC$5:$AC$66,INDEX('Market Data'!$J$5:$J$528,$T274)-4)),N(INDEX('Market Data'!$AC$5:$AC$66,INDEX('Market Data'!$J$5:$J$528,$T274)-4))&gt;0),INDEX('Market Data'!$AC$5:$AC$66,INDEX('Market Data'!$J$5:$J$528,$T274)-4),"unavailable"))))</f>
        <v/>
      </c>
      <c r="M274" s="11">
        <f>IF($T274=0,"",IF(INDEX('Market Data'!$J$5:$J$528,$T274)=0,"n/a",IF(IF(INDEX('Market Data'!$J$5:$J$528,$T274)=0,0,IF(LEFT(INDEX('Market Data'!$AS$5:$AS$66,INDEX('Market Data'!$J$5:$J$528,$T274)-4),11)="First-month",1,0))=1,"class review",IF($I274="Bloomberg",IF(AND(ISNUMBER(INDEX('Market Data'!$AH$5:$AH$66,INDEX('Market Data'!$J$5:$J$528,$T274)-4)),N(INDEX('Market Data'!$AH$5:$AH$66,INDEX('Market Data'!$J$5:$J$528,$T274)-4))&gt;0,ISNUMBER('Market Data'!$B$1),N('Market Data'!$B$1)&gt;0),INDEX('Market Data'!$AH$5:$AH$66,INDEX('Market Data'!$J$5:$J$528,$T274)-4)*'Market Data'!$B$1/$E274-1,"pending A/FX"),IF(AND($I274="Snapshot",$Q274="Snapshot",ISNUMBER($E274),$G274=INDEX('Market Data'!$AE$5:$AE$66,INDEX('Market Data'!$J$5:$J$528,$T274)-4)),IFERROR(INDEX('Market Data'!$AC$5:$AC$66,INDEX('Market Data'!$J$5:$J$528,$T274)-4)*INDEX('Market Data'!$AD$5:$AD$66,INDEX('Market Data'!$J$5:$J$528,$T274)-4)/$E274-1,"unavailable"),IF($I274="Unavailable","unavailable","date mismatch"))))))</f>
        <v/>
      </c>
      <c r="N274" s="11">
        <f>IF($T274=0,"",IFERROR(IF(AND(N(INDEX('Market Data'!$F$5:$F$528,$T274))&gt;0,ISNUMBER(INDEX('Market Data'!$T$5:$T$528,$T274))),$E274*INDEX('Market Data'!$T$5:$T$528,$T274)/INDEX('Market Data'!$F$5:$F$528,$T274)-1,"unavailable"),"unavailable"))</f>
        <v/>
      </c>
      <c r="O274" s="9">
        <f>IF($T274=0,"",IF(IF(INDEX('Market Data'!$J$5:$J$528,$T274)=0,0,IF(LEFT(INDEX('Market Data'!$AS$5:$AS$66,INDEX('Market Data'!$J$5:$J$528,$T274)-4),11)="First-month",1,0))=1,"Class ratio review",IF($I274="Bloomberg",IF(ISNUMBER($G274),IF($G274&lt;TODAY(),"Older quote","See quote time"),"Date unavailable"),IF($I274="Snapshot",IF($G274&lt;DATEVALUE("2026-10-02"),"Older snapshot","Dated close"),"No valid quote"))))</f>
        <v/>
      </c>
      <c r="P274" s="14">
        <f>IF($T274=0,"",IF(INDEX('Market Data'!$J$5:$J$528,$T274)=0,"n/a",IF($Q274="Bloomberg",IF(AND(ISNUMBER(INDEX('Market Data'!$AK$5:$AK$66,INDEX('Market Data'!$J$5:$J$528,$T274)-4)),N(INDEX('Market Data'!$AK$5:$AK$66,INDEX('Market Data'!$J$5:$J$528,$T274)-4))&gt;0),INDEX('Market Data'!$AK$5:$AK$66,INDEX('Market Data'!$J$5:$J$528,$T274)-4),"date unavailable"),IF($Q274="Snapshot",IF(AND(ISNUMBER(INDEX('Market Data'!$AF$5:$AF$66,INDEX('Market Data'!$J$5:$J$528,$T274)-4)),N(INDEX('Market Data'!$AF$5:$AF$66,INDEX('Market Data'!$J$5:$J$528,$T274)-4))&gt;0),INDEX('Market Data'!$AF$5:$AF$66,INDEX('Market Data'!$J$5:$J$528,$T274)-4),"date unavailable"),"date unavailable"))))</f>
        <v/>
      </c>
      <c r="Q274" s="15">
        <f>IF($T274=0,"",IF(INDEX('Market Data'!$J$5:$J$528,$T274)=0,"n/a",IF(AND($M$5&lt;&gt;"Snapshot",ISNUMBER(INDEX('Market Data'!$AH$5:$AH$66,INDEX('Market Data'!$J$5:$J$528,$T274)-4)),N(INDEX('Market Data'!$AH$5:$AH$66,INDEX('Market Data'!$J$5:$J$528,$T274)-4))&gt;0),"Bloomberg",IF(AND($M$5&lt;&gt;"Bloomberg",ISNUMBER(INDEX('Market Data'!$AC$5:$AC$66,INDEX('Market Data'!$J$5:$J$528,$T274)-4)),N(INDEX('Market Data'!$AC$5:$AC$66,INDEX('Market Data'!$J$5:$J$528,$T274)-4))&gt;0),"Snapshot","Unavailable"))))</f>
        <v/>
      </c>
      <c r="T274">
        <f>IFERROR(MATCH(266,'Market Data'!$S$5:$S$528,0),0)</f>
        <v/>
      </c>
    </row>
    <row r="275" ht="34" customHeight="1">
      <c r="A275" s="8">
        <f>IF($T275=0,"",IF(INDEX('Market Data'!$A$5:$A$528,$T275)="","",INDEX('Market Data'!$A$5:$A$528,$T275)))</f>
        <v/>
      </c>
      <c r="B275" s="9">
        <f>IF($T275=0,"",IF(INDEX('Market Data'!$B$5:$B$528,$T275)="","",INDEX('Market Data'!$B$5:$B$528,$T275)))</f>
        <v/>
      </c>
      <c r="C275" s="9">
        <f>IF($T275=0,"",IF(INDEX('Market Data'!$C$5:$C$528,$T275)="","",INDEX('Market Data'!$C$5:$C$528,$T275)))</f>
        <v/>
      </c>
      <c r="D275" s="9">
        <f>IF($T275=0,"",IF(INDEX('Market Data'!$D$5:$D$528,$T275)="","",INDEX('Market Data'!$D$5:$D$528,$T275)))</f>
        <v/>
      </c>
      <c r="E275" s="10">
        <f>IF($T275=0,"",INDEX('Market Data'!$O$5:$O$528,$T275))</f>
        <v/>
      </c>
      <c r="F275" s="11">
        <f>IF($T275=0,"",IF(AND($I275="Bloomberg",ISNUMBER(INDEX('Market Data'!$L$5:$L$528,$T275))),INDEX('Market Data'!$L$5:$L$528,$T275),"unavailable"))</f>
        <v/>
      </c>
      <c r="G275" s="12">
        <f>IF($T275=0,"",IF($I275="Bloomberg",IF(AND(ISNUMBER(INDEX('Market Data'!$M$5:$M$528,$T275)),N(INDEX('Market Data'!$M$5:$M$528,$T275))&gt;0),INDEX('Market Data'!$M$5:$M$528,$T275),"date unavailable"),IF($I275="Snapshot",IF(AND(ISNUMBER(INDEX('Market Data'!$H$5:$H$528,$T275)),N(INDEX('Market Data'!$H$5:$H$528,$T275))&gt;0),INDEX('Market Data'!$H$5:$H$528,$T275),"date unavailable"),"date unavailable")))</f>
        <v/>
      </c>
      <c r="H275" s="9">
        <f>IF($T275=0,"",IF($I275="Bloomberg",IF(INDEX('Market Data'!$N$5:$N$528,$T275)="","time unavailable",INDEX('Market Data'!$N$5:$N$528,$T275)),""))</f>
        <v/>
      </c>
      <c r="I275" s="9">
        <f>IF($T275=0,"",INDEX('Market Data'!$P$5:$P$528,$T275))</f>
        <v/>
      </c>
      <c r="J275" s="13">
        <f>IF($T275=0,"",IF(INDEX('Market Data'!$E$5:$E$528,$T275)="","",INDEX('Market Data'!$E$5:$E$528,$T275)))</f>
        <v/>
      </c>
      <c r="K275" s="8">
        <f>IF($T275=0,"",IF(INDEX('Market Data'!$I$5:$I$528,$T275)="","",INDEX('Market Data'!$I$5:$I$528,$T275)))</f>
        <v/>
      </c>
      <c r="L275" s="10">
        <f>IF($T275=0,"",IF(INDEX('Market Data'!$J$5:$J$528,$T275)=0,"n/a",IF(AND($M$5&lt;&gt;"Snapshot",ISNUMBER(INDEX('Market Data'!$AH$5:$AH$66,INDEX('Market Data'!$J$5:$J$528,$T275)-4)),N(INDEX('Market Data'!$AH$5:$AH$66,INDEX('Market Data'!$J$5:$J$528,$T275)-4))&gt;0),INDEX('Market Data'!$AH$5:$AH$66,INDEX('Market Data'!$J$5:$J$528,$T275)-4),IF(AND($M$5&lt;&gt;"Bloomberg",ISNUMBER(INDEX('Market Data'!$AC$5:$AC$66,INDEX('Market Data'!$J$5:$J$528,$T275)-4)),N(INDEX('Market Data'!$AC$5:$AC$66,INDEX('Market Data'!$J$5:$J$528,$T275)-4))&gt;0),INDEX('Market Data'!$AC$5:$AC$66,INDEX('Market Data'!$J$5:$J$528,$T275)-4),"unavailable"))))</f>
        <v/>
      </c>
      <c r="M275" s="11">
        <f>IF($T275=0,"",IF(INDEX('Market Data'!$J$5:$J$528,$T275)=0,"n/a",IF(IF(INDEX('Market Data'!$J$5:$J$528,$T275)=0,0,IF(LEFT(INDEX('Market Data'!$AS$5:$AS$66,INDEX('Market Data'!$J$5:$J$528,$T275)-4),11)="First-month",1,0))=1,"class review",IF($I275="Bloomberg",IF(AND(ISNUMBER(INDEX('Market Data'!$AH$5:$AH$66,INDEX('Market Data'!$J$5:$J$528,$T275)-4)),N(INDEX('Market Data'!$AH$5:$AH$66,INDEX('Market Data'!$J$5:$J$528,$T275)-4))&gt;0,ISNUMBER('Market Data'!$B$1),N('Market Data'!$B$1)&gt;0),INDEX('Market Data'!$AH$5:$AH$66,INDEX('Market Data'!$J$5:$J$528,$T275)-4)*'Market Data'!$B$1/$E275-1,"pending A/FX"),IF(AND($I275="Snapshot",$Q275="Snapshot",ISNUMBER($E275),$G275=INDEX('Market Data'!$AE$5:$AE$66,INDEX('Market Data'!$J$5:$J$528,$T275)-4)),IFERROR(INDEX('Market Data'!$AC$5:$AC$66,INDEX('Market Data'!$J$5:$J$528,$T275)-4)*INDEX('Market Data'!$AD$5:$AD$66,INDEX('Market Data'!$J$5:$J$528,$T275)-4)/$E275-1,"unavailable"),IF($I275="Unavailable","unavailable","date mismatch"))))))</f>
        <v/>
      </c>
      <c r="N275" s="11">
        <f>IF($T275=0,"",IFERROR(IF(AND(N(INDEX('Market Data'!$F$5:$F$528,$T275))&gt;0,ISNUMBER(INDEX('Market Data'!$T$5:$T$528,$T275))),$E275*INDEX('Market Data'!$T$5:$T$528,$T275)/INDEX('Market Data'!$F$5:$F$528,$T275)-1,"unavailable"),"unavailable"))</f>
        <v/>
      </c>
      <c r="O275" s="9">
        <f>IF($T275=0,"",IF(IF(INDEX('Market Data'!$J$5:$J$528,$T275)=0,0,IF(LEFT(INDEX('Market Data'!$AS$5:$AS$66,INDEX('Market Data'!$J$5:$J$528,$T275)-4),11)="First-month",1,0))=1,"Class ratio review",IF($I275="Bloomberg",IF(ISNUMBER($G275),IF($G275&lt;TODAY(),"Older quote","See quote time"),"Date unavailable"),IF($I275="Snapshot",IF($G275&lt;DATEVALUE("2026-10-02"),"Older snapshot","Dated close"),"No valid quote"))))</f>
        <v/>
      </c>
      <c r="P275" s="14">
        <f>IF($T275=0,"",IF(INDEX('Market Data'!$J$5:$J$528,$T275)=0,"n/a",IF($Q275="Bloomberg",IF(AND(ISNUMBER(INDEX('Market Data'!$AK$5:$AK$66,INDEX('Market Data'!$J$5:$J$528,$T275)-4)),N(INDEX('Market Data'!$AK$5:$AK$66,INDEX('Market Data'!$J$5:$J$528,$T275)-4))&gt;0),INDEX('Market Data'!$AK$5:$AK$66,INDEX('Market Data'!$J$5:$J$528,$T275)-4),"date unavailable"),IF($Q275="Snapshot",IF(AND(ISNUMBER(INDEX('Market Data'!$AF$5:$AF$66,INDEX('Market Data'!$J$5:$J$528,$T275)-4)),N(INDEX('Market Data'!$AF$5:$AF$66,INDEX('Market Data'!$J$5:$J$528,$T275)-4))&gt;0),INDEX('Market Data'!$AF$5:$AF$66,INDEX('Market Data'!$J$5:$J$528,$T275)-4),"date unavailable"),"date unavailable"))))</f>
        <v/>
      </c>
      <c r="Q275" s="15">
        <f>IF($T275=0,"",IF(INDEX('Market Data'!$J$5:$J$528,$T275)=0,"n/a",IF(AND($M$5&lt;&gt;"Snapshot",ISNUMBER(INDEX('Market Data'!$AH$5:$AH$66,INDEX('Market Data'!$J$5:$J$528,$T275)-4)),N(INDEX('Market Data'!$AH$5:$AH$66,INDEX('Market Data'!$J$5:$J$528,$T275)-4))&gt;0),"Bloomberg",IF(AND($M$5&lt;&gt;"Bloomberg",ISNUMBER(INDEX('Market Data'!$AC$5:$AC$66,INDEX('Market Data'!$J$5:$J$528,$T275)-4)),N(INDEX('Market Data'!$AC$5:$AC$66,INDEX('Market Data'!$J$5:$J$528,$T275)-4))&gt;0),"Snapshot","Unavailable"))))</f>
        <v/>
      </c>
      <c r="T275">
        <f>IFERROR(MATCH(267,'Market Data'!$S$5:$S$528,0),0)</f>
        <v/>
      </c>
    </row>
    <row r="276" ht="34" customHeight="1">
      <c r="A276" s="8">
        <f>IF($T276=0,"",IF(INDEX('Market Data'!$A$5:$A$528,$T276)="","",INDEX('Market Data'!$A$5:$A$528,$T276)))</f>
        <v/>
      </c>
      <c r="B276" s="9">
        <f>IF($T276=0,"",IF(INDEX('Market Data'!$B$5:$B$528,$T276)="","",INDEX('Market Data'!$B$5:$B$528,$T276)))</f>
        <v/>
      </c>
      <c r="C276" s="9">
        <f>IF($T276=0,"",IF(INDEX('Market Data'!$C$5:$C$528,$T276)="","",INDEX('Market Data'!$C$5:$C$528,$T276)))</f>
        <v/>
      </c>
      <c r="D276" s="9">
        <f>IF($T276=0,"",IF(INDEX('Market Data'!$D$5:$D$528,$T276)="","",INDEX('Market Data'!$D$5:$D$528,$T276)))</f>
        <v/>
      </c>
      <c r="E276" s="10">
        <f>IF($T276=0,"",INDEX('Market Data'!$O$5:$O$528,$T276))</f>
        <v/>
      </c>
      <c r="F276" s="11">
        <f>IF($T276=0,"",IF(AND($I276="Bloomberg",ISNUMBER(INDEX('Market Data'!$L$5:$L$528,$T276))),INDEX('Market Data'!$L$5:$L$528,$T276),"unavailable"))</f>
        <v/>
      </c>
      <c r="G276" s="12">
        <f>IF($T276=0,"",IF($I276="Bloomberg",IF(AND(ISNUMBER(INDEX('Market Data'!$M$5:$M$528,$T276)),N(INDEX('Market Data'!$M$5:$M$528,$T276))&gt;0),INDEX('Market Data'!$M$5:$M$528,$T276),"date unavailable"),IF($I276="Snapshot",IF(AND(ISNUMBER(INDEX('Market Data'!$H$5:$H$528,$T276)),N(INDEX('Market Data'!$H$5:$H$528,$T276))&gt;0),INDEX('Market Data'!$H$5:$H$528,$T276),"date unavailable"),"date unavailable")))</f>
        <v/>
      </c>
      <c r="H276" s="9">
        <f>IF($T276=0,"",IF($I276="Bloomberg",IF(INDEX('Market Data'!$N$5:$N$528,$T276)="","time unavailable",INDEX('Market Data'!$N$5:$N$528,$T276)),""))</f>
        <v/>
      </c>
      <c r="I276" s="9">
        <f>IF($T276=0,"",INDEX('Market Data'!$P$5:$P$528,$T276))</f>
        <v/>
      </c>
      <c r="J276" s="13">
        <f>IF($T276=0,"",IF(INDEX('Market Data'!$E$5:$E$528,$T276)="","",INDEX('Market Data'!$E$5:$E$528,$T276)))</f>
        <v/>
      </c>
      <c r="K276" s="8">
        <f>IF($T276=0,"",IF(INDEX('Market Data'!$I$5:$I$528,$T276)="","",INDEX('Market Data'!$I$5:$I$528,$T276)))</f>
        <v/>
      </c>
      <c r="L276" s="10">
        <f>IF($T276=0,"",IF(INDEX('Market Data'!$J$5:$J$528,$T276)=0,"n/a",IF(AND($M$5&lt;&gt;"Snapshot",ISNUMBER(INDEX('Market Data'!$AH$5:$AH$66,INDEX('Market Data'!$J$5:$J$528,$T276)-4)),N(INDEX('Market Data'!$AH$5:$AH$66,INDEX('Market Data'!$J$5:$J$528,$T276)-4))&gt;0),INDEX('Market Data'!$AH$5:$AH$66,INDEX('Market Data'!$J$5:$J$528,$T276)-4),IF(AND($M$5&lt;&gt;"Bloomberg",ISNUMBER(INDEX('Market Data'!$AC$5:$AC$66,INDEX('Market Data'!$J$5:$J$528,$T276)-4)),N(INDEX('Market Data'!$AC$5:$AC$66,INDEX('Market Data'!$J$5:$J$528,$T276)-4))&gt;0),INDEX('Market Data'!$AC$5:$AC$66,INDEX('Market Data'!$J$5:$J$528,$T276)-4),"unavailable"))))</f>
        <v/>
      </c>
      <c r="M276" s="11">
        <f>IF($T276=0,"",IF(INDEX('Market Data'!$J$5:$J$528,$T276)=0,"n/a",IF(IF(INDEX('Market Data'!$J$5:$J$528,$T276)=0,0,IF(LEFT(INDEX('Market Data'!$AS$5:$AS$66,INDEX('Market Data'!$J$5:$J$528,$T276)-4),11)="First-month",1,0))=1,"class review",IF($I276="Bloomberg",IF(AND(ISNUMBER(INDEX('Market Data'!$AH$5:$AH$66,INDEX('Market Data'!$J$5:$J$528,$T276)-4)),N(INDEX('Market Data'!$AH$5:$AH$66,INDEX('Market Data'!$J$5:$J$528,$T276)-4))&gt;0,ISNUMBER('Market Data'!$B$1),N('Market Data'!$B$1)&gt;0),INDEX('Market Data'!$AH$5:$AH$66,INDEX('Market Data'!$J$5:$J$528,$T276)-4)*'Market Data'!$B$1/$E276-1,"pending A/FX"),IF(AND($I276="Snapshot",$Q276="Snapshot",ISNUMBER($E276),$G276=INDEX('Market Data'!$AE$5:$AE$66,INDEX('Market Data'!$J$5:$J$528,$T276)-4)),IFERROR(INDEX('Market Data'!$AC$5:$AC$66,INDEX('Market Data'!$J$5:$J$528,$T276)-4)*INDEX('Market Data'!$AD$5:$AD$66,INDEX('Market Data'!$J$5:$J$528,$T276)-4)/$E276-1,"unavailable"),IF($I276="Unavailable","unavailable","date mismatch"))))))</f>
        <v/>
      </c>
      <c r="N276" s="11">
        <f>IF($T276=0,"",IFERROR(IF(AND(N(INDEX('Market Data'!$F$5:$F$528,$T276))&gt;0,ISNUMBER(INDEX('Market Data'!$T$5:$T$528,$T276))),$E276*INDEX('Market Data'!$T$5:$T$528,$T276)/INDEX('Market Data'!$F$5:$F$528,$T276)-1,"unavailable"),"unavailable"))</f>
        <v/>
      </c>
      <c r="O276" s="9">
        <f>IF($T276=0,"",IF(IF(INDEX('Market Data'!$J$5:$J$528,$T276)=0,0,IF(LEFT(INDEX('Market Data'!$AS$5:$AS$66,INDEX('Market Data'!$J$5:$J$528,$T276)-4),11)="First-month",1,0))=1,"Class ratio review",IF($I276="Bloomberg",IF(ISNUMBER($G276),IF($G276&lt;TODAY(),"Older quote","See quote time"),"Date unavailable"),IF($I276="Snapshot",IF($G276&lt;DATEVALUE("2026-10-02"),"Older snapshot","Dated close"),"No valid quote"))))</f>
        <v/>
      </c>
      <c r="P276" s="14">
        <f>IF($T276=0,"",IF(INDEX('Market Data'!$J$5:$J$528,$T276)=0,"n/a",IF($Q276="Bloomberg",IF(AND(ISNUMBER(INDEX('Market Data'!$AK$5:$AK$66,INDEX('Market Data'!$J$5:$J$528,$T276)-4)),N(INDEX('Market Data'!$AK$5:$AK$66,INDEX('Market Data'!$J$5:$J$528,$T276)-4))&gt;0),INDEX('Market Data'!$AK$5:$AK$66,INDEX('Market Data'!$J$5:$J$528,$T276)-4),"date unavailable"),IF($Q276="Snapshot",IF(AND(ISNUMBER(INDEX('Market Data'!$AF$5:$AF$66,INDEX('Market Data'!$J$5:$J$528,$T276)-4)),N(INDEX('Market Data'!$AF$5:$AF$66,INDEX('Market Data'!$J$5:$J$528,$T276)-4))&gt;0),INDEX('Market Data'!$AF$5:$AF$66,INDEX('Market Data'!$J$5:$J$528,$T276)-4),"date unavailable"),"date unavailable"))))</f>
        <v/>
      </c>
      <c r="Q276" s="15">
        <f>IF($T276=0,"",IF(INDEX('Market Data'!$J$5:$J$528,$T276)=0,"n/a",IF(AND($M$5&lt;&gt;"Snapshot",ISNUMBER(INDEX('Market Data'!$AH$5:$AH$66,INDEX('Market Data'!$J$5:$J$528,$T276)-4)),N(INDEX('Market Data'!$AH$5:$AH$66,INDEX('Market Data'!$J$5:$J$528,$T276)-4))&gt;0),"Bloomberg",IF(AND($M$5&lt;&gt;"Bloomberg",ISNUMBER(INDEX('Market Data'!$AC$5:$AC$66,INDEX('Market Data'!$J$5:$J$528,$T276)-4)),N(INDEX('Market Data'!$AC$5:$AC$66,INDEX('Market Data'!$J$5:$J$528,$T276)-4))&gt;0),"Snapshot","Unavailable"))))</f>
        <v/>
      </c>
      <c r="T276">
        <f>IFERROR(MATCH(268,'Market Data'!$S$5:$S$528,0),0)</f>
        <v/>
      </c>
    </row>
    <row r="277" ht="34" customHeight="1">
      <c r="A277" s="8">
        <f>IF($T277=0,"",IF(INDEX('Market Data'!$A$5:$A$528,$T277)="","",INDEX('Market Data'!$A$5:$A$528,$T277)))</f>
        <v/>
      </c>
      <c r="B277" s="9">
        <f>IF($T277=0,"",IF(INDEX('Market Data'!$B$5:$B$528,$T277)="","",INDEX('Market Data'!$B$5:$B$528,$T277)))</f>
        <v/>
      </c>
      <c r="C277" s="9">
        <f>IF($T277=0,"",IF(INDEX('Market Data'!$C$5:$C$528,$T277)="","",INDEX('Market Data'!$C$5:$C$528,$T277)))</f>
        <v/>
      </c>
      <c r="D277" s="9">
        <f>IF($T277=0,"",IF(INDEX('Market Data'!$D$5:$D$528,$T277)="","",INDEX('Market Data'!$D$5:$D$528,$T277)))</f>
        <v/>
      </c>
      <c r="E277" s="10">
        <f>IF($T277=0,"",INDEX('Market Data'!$O$5:$O$528,$T277))</f>
        <v/>
      </c>
      <c r="F277" s="11">
        <f>IF($T277=0,"",IF(AND($I277="Bloomberg",ISNUMBER(INDEX('Market Data'!$L$5:$L$528,$T277))),INDEX('Market Data'!$L$5:$L$528,$T277),"unavailable"))</f>
        <v/>
      </c>
      <c r="G277" s="12">
        <f>IF($T277=0,"",IF($I277="Bloomberg",IF(AND(ISNUMBER(INDEX('Market Data'!$M$5:$M$528,$T277)),N(INDEX('Market Data'!$M$5:$M$528,$T277))&gt;0),INDEX('Market Data'!$M$5:$M$528,$T277),"date unavailable"),IF($I277="Snapshot",IF(AND(ISNUMBER(INDEX('Market Data'!$H$5:$H$528,$T277)),N(INDEX('Market Data'!$H$5:$H$528,$T277))&gt;0),INDEX('Market Data'!$H$5:$H$528,$T277),"date unavailable"),"date unavailable")))</f>
        <v/>
      </c>
      <c r="H277" s="9">
        <f>IF($T277=0,"",IF($I277="Bloomberg",IF(INDEX('Market Data'!$N$5:$N$528,$T277)="","time unavailable",INDEX('Market Data'!$N$5:$N$528,$T277)),""))</f>
        <v/>
      </c>
      <c r="I277" s="9">
        <f>IF($T277=0,"",INDEX('Market Data'!$P$5:$P$528,$T277))</f>
        <v/>
      </c>
      <c r="J277" s="13">
        <f>IF($T277=0,"",IF(INDEX('Market Data'!$E$5:$E$528,$T277)="","",INDEX('Market Data'!$E$5:$E$528,$T277)))</f>
        <v/>
      </c>
      <c r="K277" s="8">
        <f>IF($T277=0,"",IF(INDEX('Market Data'!$I$5:$I$528,$T277)="","",INDEX('Market Data'!$I$5:$I$528,$T277)))</f>
        <v/>
      </c>
      <c r="L277" s="10">
        <f>IF($T277=0,"",IF(INDEX('Market Data'!$J$5:$J$528,$T277)=0,"n/a",IF(AND($M$5&lt;&gt;"Snapshot",ISNUMBER(INDEX('Market Data'!$AH$5:$AH$66,INDEX('Market Data'!$J$5:$J$528,$T277)-4)),N(INDEX('Market Data'!$AH$5:$AH$66,INDEX('Market Data'!$J$5:$J$528,$T277)-4))&gt;0),INDEX('Market Data'!$AH$5:$AH$66,INDEX('Market Data'!$J$5:$J$528,$T277)-4),IF(AND($M$5&lt;&gt;"Bloomberg",ISNUMBER(INDEX('Market Data'!$AC$5:$AC$66,INDEX('Market Data'!$J$5:$J$528,$T277)-4)),N(INDEX('Market Data'!$AC$5:$AC$66,INDEX('Market Data'!$J$5:$J$528,$T277)-4))&gt;0),INDEX('Market Data'!$AC$5:$AC$66,INDEX('Market Data'!$J$5:$J$528,$T277)-4),"unavailable"))))</f>
        <v/>
      </c>
      <c r="M277" s="11">
        <f>IF($T277=0,"",IF(INDEX('Market Data'!$J$5:$J$528,$T277)=0,"n/a",IF(IF(INDEX('Market Data'!$J$5:$J$528,$T277)=0,0,IF(LEFT(INDEX('Market Data'!$AS$5:$AS$66,INDEX('Market Data'!$J$5:$J$528,$T277)-4),11)="First-month",1,0))=1,"class review",IF($I277="Bloomberg",IF(AND(ISNUMBER(INDEX('Market Data'!$AH$5:$AH$66,INDEX('Market Data'!$J$5:$J$528,$T277)-4)),N(INDEX('Market Data'!$AH$5:$AH$66,INDEX('Market Data'!$J$5:$J$528,$T277)-4))&gt;0,ISNUMBER('Market Data'!$B$1),N('Market Data'!$B$1)&gt;0),INDEX('Market Data'!$AH$5:$AH$66,INDEX('Market Data'!$J$5:$J$528,$T277)-4)*'Market Data'!$B$1/$E277-1,"pending A/FX"),IF(AND($I277="Snapshot",$Q277="Snapshot",ISNUMBER($E277),$G277=INDEX('Market Data'!$AE$5:$AE$66,INDEX('Market Data'!$J$5:$J$528,$T277)-4)),IFERROR(INDEX('Market Data'!$AC$5:$AC$66,INDEX('Market Data'!$J$5:$J$528,$T277)-4)*INDEX('Market Data'!$AD$5:$AD$66,INDEX('Market Data'!$J$5:$J$528,$T277)-4)/$E277-1,"unavailable"),IF($I277="Unavailable","unavailable","date mismatch"))))))</f>
        <v/>
      </c>
      <c r="N277" s="11">
        <f>IF($T277=0,"",IFERROR(IF(AND(N(INDEX('Market Data'!$F$5:$F$528,$T277))&gt;0,ISNUMBER(INDEX('Market Data'!$T$5:$T$528,$T277))),$E277*INDEX('Market Data'!$T$5:$T$528,$T277)/INDEX('Market Data'!$F$5:$F$528,$T277)-1,"unavailable"),"unavailable"))</f>
        <v/>
      </c>
      <c r="O277" s="9">
        <f>IF($T277=0,"",IF(IF(INDEX('Market Data'!$J$5:$J$528,$T277)=0,0,IF(LEFT(INDEX('Market Data'!$AS$5:$AS$66,INDEX('Market Data'!$J$5:$J$528,$T277)-4),11)="First-month",1,0))=1,"Class ratio review",IF($I277="Bloomberg",IF(ISNUMBER($G277),IF($G277&lt;TODAY(),"Older quote","See quote time"),"Date unavailable"),IF($I277="Snapshot",IF($G277&lt;DATEVALUE("2026-10-02"),"Older snapshot","Dated close"),"No valid quote"))))</f>
        <v/>
      </c>
      <c r="P277" s="14">
        <f>IF($T277=0,"",IF(INDEX('Market Data'!$J$5:$J$528,$T277)=0,"n/a",IF($Q277="Bloomberg",IF(AND(ISNUMBER(INDEX('Market Data'!$AK$5:$AK$66,INDEX('Market Data'!$J$5:$J$528,$T277)-4)),N(INDEX('Market Data'!$AK$5:$AK$66,INDEX('Market Data'!$J$5:$J$528,$T277)-4))&gt;0),INDEX('Market Data'!$AK$5:$AK$66,INDEX('Market Data'!$J$5:$J$528,$T277)-4),"date unavailable"),IF($Q277="Snapshot",IF(AND(ISNUMBER(INDEX('Market Data'!$AF$5:$AF$66,INDEX('Market Data'!$J$5:$J$528,$T277)-4)),N(INDEX('Market Data'!$AF$5:$AF$66,INDEX('Market Data'!$J$5:$J$528,$T277)-4))&gt;0),INDEX('Market Data'!$AF$5:$AF$66,INDEX('Market Data'!$J$5:$J$528,$T277)-4),"date unavailable"),"date unavailable"))))</f>
        <v/>
      </c>
      <c r="Q277" s="15">
        <f>IF($T277=0,"",IF(INDEX('Market Data'!$J$5:$J$528,$T277)=0,"n/a",IF(AND($M$5&lt;&gt;"Snapshot",ISNUMBER(INDEX('Market Data'!$AH$5:$AH$66,INDEX('Market Data'!$J$5:$J$528,$T277)-4)),N(INDEX('Market Data'!$AH$5:$AH$66,INDEX('Market Data'!$J$5:$J$528,$T277)-4))&gt;0),"Bloomberg",IF(AND($M$5&lt;&gt;"Bloomberg",ISNUMBER(INDEX('Market Data'!$AC$5:$AC$66,INDEX('Market Data'!$J$5:$J$528,$T277)-4)),N(INDEX('Market Data'!$AC$5:$AC$66,INDEX('Market Data'!$J$5:$J$528,$T277)-4))&gt;0),"Snapshot","Unavailable"))))</f>
        <v/>
      </c>
      <c r="T277">
        <f>IFERROR(MATCH(269,'Market Data'!$S$5:$S$528,0),0)</f>
        <v/>
      </c>
    </row>
    <row r="278" ht="34" customHeight="1">
      <c r="A278" s="8">
        <f>IF($T278=0,"",IF(INDEX('Market Data'!$A$5:$A$528,$T278)="","",INDEX('Market Data'!$A$5:$A$528,$T278)))</f>
        <v/>
      </c>
      <c r="B278" s="9">
        <f>IF($T278=0,"",IF(INDEX('Market Data'!$B$5:$B$528,$T278)="","",INDEX('Market Data'!$B$5:$B$528,$T278)))</f>
        <v/>
      </c>
      <c r="C278" s="9">
        <f>IF($T278=0,"",IF(INDEX('Market Data'!$C$5:$C$528,$T278)="","",INDEX('Market Data'!$C$5:$C$528,$T278)))</f>
        <v/>
      </c>
      <c r="D278" s="9">
        <f>IF($T278=0,"",IF(INDEX('Market Data'!$D$5:$D$528,$T278)="","",INDEX('Market Data'!$D$5:$D$528,$T278)))</f>
        <v/>
      </c>
      <c r="E278" s="10">
        <f>IF($T278=0,"",INDEX('Market Data'!$O$5:$O$528,$T278))</f>
        <v/>
      </c>
      <c r="F278" s="11">
        <f>IF($T278=0,"",IF(AND($I278="Bloomberg",ISNUMBER(INDEX('Market Data'!$L$5:$L$528,$T278))),INDEX('Market Data'!$L$5:$L$528,$T278),"unavailable"))</f>
        <v/>
      </c>
      <c r="G278" s="12">
        <f>IF($T278=0,"",IF($I278="Bloomberg",IF(AND(ISNUMBER(INDEX('Market Data'!$M$5:$M$528,$T278)),N(INDEX('Market Data'!$M$5:$M$528,$T278))&gt;0),INDEX('Market Data'!$M$5:$M$528,$T278),"date unavailable"),IF($I278="Snapshot",IF(AND(ISNUMBER(INDEX('Market Data'!$H$5:$H$528,$T278)),N(INDEX('Market Data'!$H$5:$H$528,$T278))&gt;0),INDEX('Market Data'!$H$5:$H$528,$T278),"date unavailable"),"date unavailable")))</f>
        <v/>
      </c>
      <c r="H278" s="9">
        <f>IF($T278=0,"",IF($I278="Bloomberg",IF(INDEX('Market Data'!$N$5:$N$528,$T278)="","time unavailable",INDEX('Market Data'!$N$5:$N$528,$T278)),""))</f>
        <v/>
      </c>
      <c r="I278" s="9">
        <f>IF($T278=0,"",INDEX('Market Data'!$P$5:$P$528,$T278))</f>
        <v/>
      </c>
      <c r="J278" s="13">
        <f>IF($T278=0,"",IF(INDEX('Market Data'!$E$5:$E$528,$T278)="","",INDEX('Market Data'!$E$5:$E$528,$T278)))</f>
        <v/>
      </c>
      <c r="K278" s="8">
        <f>IF($T278=0,"",IF(INDEX('Market Data'!$I$5:$I$528,$T278)="","",INDEX('Market Data'!$I$5:$I$528,$T278)))</f>
        <v/>
      </c>
      <c r="L278" s="10">
        <f>IF($T278=0,"",IF(INDEX('Market Data'!$J$5:$J$528,$T278)=0,"n/a",IF(AND($M$5&lt;&gt;"Snapshot",ISNUMBER(INDEX('Market Data'!$AH$5:$AH$66,INDEX('Market Data'!$J$5:$J$528,$T278)-4)),N(INDEX('Market Data'!$AH$5:$AH$66,INDEX('Market Data'!$J$5:$J$528,$T278)-4))&gt;0),INDEX('Market Data'!$AH$5:$AH$66,INDEX('Market Data'!$J$5:$J$528,$T278)-4),IF(AND($M$5&lt;&gt;"Bloomberg",ISNUMBER(INDEX('Market Data'!$AC$5:$AC$66,INDEX('Market Data'!$J$5:$J$528,$T278)-4)),N(INDEX('Market Data'!$AC$5:$AC$66,INDEX('Market Data'!$J$5:$J$528,$T278)-4))&gt;0),INDEX('Market Data'!$AC$5:$AC$66,INDEX('Market Data'!$J$5:$J$528,$T278)-4),"unavailable"))))</f>
        <v/>
      </c>
      <c r="M278" s="11">
        <f>IF($T278=0,"",IF(INDEX('Market Data'!$J$5:$J$528,$T278)=0,"n/a",IF(IF(INDEX('Market Data'!$J$5:$J$528,$T278)=0,0,IF(LEFT(INDEX('Market Data'!$AS$5:$AS$66,INDEX('Market Data'!$J$5:$J$528,$T278)-4),11)="First-month",1,0))=1,"class review",IF($I278="Bloomberg",IF(AND(ISNUMBER(INDEX('Market Data'!$AH$5:$AH$66,INDEX('Market Data'!$J$5:$J$528,$T278)-4)),N(INDEX('Market Data'!$AH$5:$AH$66,INDEX('Market Data'!$J$5:$J$528,$T278)-4))&gt;0,ISNUMBER('Market Data'!$B$1),N('Market Data'!$B$1)&gt;0),INDEX('Market Data'!$AH$5:$AH$66,INDEX('Market Data'!$J$5:$J$528,$T278)-4)*'Market Data'!$B$1/$E278-1,"pending A/FX"),IF(AND($I278="Snapshot",$Q278="Snapshot",ISNUMBER($E278),$G278=INDEX('Market Data'!$AE$5:$AE$66,INDEX('Market Data'!$J$5:$J$528,$T278)-4)),IFERROR(INDEX('Market Data'!$AC$5:$AC$66,INDEX('Market Data'!$J$5:$J$528,$T278)-4)*INDEX('Market Data'!$AD$5:$AD$66,INDEX('Market Data'!$J$5:$J$528,$T278)-4)/$E278-1,"unavailable"),IF($I278="Unavailable","unavailable","date mismatch"))))))</f>
        <v/>
      </c>
      <c r="N278" s="11">
        <f>IF($T278=0,"",IFERROR(IF(AND(N(INDEX('Market Data'!$F$5:$F$528,$T278))&gt;0,ISNUMBER(INDEX('Market Data'!$T$5:$T$528,$T278))),$E278*INDEX('Market Data'!$T$5:$T$528,$T278)/INDEX('Market Data'!$F$5:$F$528,$T278)-1,"unavailable"),"unavailable"))</f>
        <v/>
      </c>
      <c r="O278" s="9">
        <f>IF($T278=0,"",IF(IF(INDEX('Market Data'!$J$5:$J$528,$T278)=0,0,IF(LEFT(INDEX('Market Data'!$AS$5:$AS$66,INDEX('Market Data'!$J$5:$J$528,$T278)-4),11)="First-month",1,0))=1,"Class ratio review",IF($I278="Bloomberg",IF(ISNUMBER($G278),IF($G278&lt;TODAY(),"Older quote","See quote time"),"Date unavailable"),IF($I278="Snapshot",IF($G278&lt;DATEVALUE("2026-10-02"),"Older snapshot","Dated close"),"No valid quote"))))</f>
        <v/>
      </c>
      <c r="P278" s="14">
        <f>IF($T278=0,"",IF(INDEX('Market Data'!$J$5:$J$528,$T278)=0,"n/a",IF($Q278="Bloomberg",IF(AND(ISNUMBER(INDEX('Market Data'!$AK$5:$AK$66,INDEX('Market Data'!$J$5:$J$528,$T278)-4)),N(INDEX('Market Data'!$AK$5:$AK$66,INDEX('Market Data'!$J$5:$J$528,$T278)-4))&gt;0),INDEX('Market Data'!$AK$5:$AK$66,INDEX('Market Data'!$J$5:$J$528,$T278)-4),"date unavailable"),IF($Q278="Snapshot",IF(AND(ISNUMBER(INDEX('Market Data'!$AF$5:$AF$66,INDEX('Market Data'!$J$5:$J$528,$T278)-4)),N(INDEX('Market Data'!$AF$5:$AF$66,INDEX('Market Data'!$J$5:$J$528,$T278)-4))&gt;0),INDEX('Market Data'!$AF$5:$AF$66,INDEX('Market Data'!$J$5:$J$528,$T278)-4),"date unavailable"),"date unavailable"))))</f>
        <v/>
      </c>
      <c r="Q278" s="15">
        <f>IF($T278=0,"",IF(INDEX('Market Data'!$J$5:$J$528,$T278)=0,"n/a",IF(AND($M$5&lt;&gt;"Snapshot",ISNUMBER(INDEX('Market Data'!$AH$5:$AH$66,INDEX('Market Data'!$J$5:$J$528,$T278)-4)),N(INDEX('Market Data'!$AH$5:$AH$66,INDEX('Market Data'!$J$5:$J$528,$T278)-4))&gt;0),"Bloomberg",IF(AND($M$5&lt;&gt;"Bloomberg",ISNUMBER(INDEX('Market Data'!$AC$5:$AC$66,INDEX('Market Data'!$J$5:$J$528,$T278)-4)),N(INDEX('Market Data'!$AC$5:$AC$66,INDEX('Market Data'!$J$5:$J$528,$T278)-4))&gt;0),"Snapshot","Unavailable"))))</f>
        <v/>
      </c>
      <c r="T278">
        <f>IFERROR(MATCH(270,'Market Data'!$S$5:$S$528,0),0)</f>
        <v/>
      </c>
    </row>
    <row r="279" ht="34" customHeight="1">
      <c r="A279" s="8">
        <f>IF($T279=0,"",IF(INDEX('Market Data'!$A$5:$A$528,$T279)="","",INDEX('Market Data'!$A$5:$A$528,$T279)))</f>
        <v/>
      </c>
      <c r="B279" s="9">
        <f>IF($T279=0,"",IF(INDEX('Market Data'!$B$5:$B$528,$T279)="","",INDEX('Market Data'!$B$5:$B$528,$T279)))</f>
        <v/>
      </c>
      <c r="C279" s="9">
        <f>IF($T279=0,"",IF(INDEX('Market Data'!$C$5:$C$528,$T279)="","",INDEX('Market Data'!$C$5:$C$528,$T279)))</f>
        <v/>
      </c>
      <c r="D279" s="9">
        <f>IF($T279=0,"",IF(INDEX('Market Data'!$D$5:$D$528,$T279)="","",INDEX('Market Data'!$D$5:$D$528,$T279)))</f>
        <v/>
      </c>
      <c r="E279" s="10">
        <f>IF($T279=0,"",INDEX('Market Data'!$O$5:$O$528,$T279))</f>
        <v/>
      </c>
      <c r="F279" s="11">
        <f>IF($T279=0,"",IF(AND($I279="Bloomberg",ISNUMBER(INDEX('Market Data'!$L$5:$L$528,$T279))),INDEX('Market Data'!$L$5:$L$528,$T279),"unavailable"))</f>
        <v/>
      </c>
      <c r="G279" s="12">
        <f>IF($T279=0,"",IF($I279="Bloomberg",IF(AND(ISNUMBER(INDEX('Market Data'!$M$5:$M$528,$T279)),N(INDEX('Market Data'!$M$5:$M$528,$T279))&gt;0),INDEX('Market Data'!$M$5:$M$528,$T279),"date unavailable"),IF($I279="Snapshot",IF(AND(ISNUMBER(INDEX('Market Data'!$H$5:$H$528,$T279)),N(INDEX('Market Data'!$H$5:$H$528,$T279))&gt;0),INDEX('Market Data'!$H$5:$H$528,$T279),"date unavailable"),"date unavailable")))</f>
        <v/>
      </c>
      <c r="H279" s="9">
        <f>IF($T279=0,"",IF($I279="Bloomberg",IF(INDEX('Market Data'!$N$5:$N$528,$T279)="","time unavailable",INDEX('Market Data'!$N$5:$N$528,$T279)),""))</f>
        <v/>
      </c>
      <c r="I279" s="9">
        <f>IF($T279=0,"",INDEX('Market Data'!$P$5:$P$528,$T279))</f>
        <v/>
      </c>
      <c r="J279" s="13">
        <f>IF($T279=0,"",IF(INDEX('Market Data'!$E$5:$E$528,$T279)="","",INDEX('Market Data'!$E$5:$E$528,$T279)))</f>
        <v/>
      </c>
      <c r="K279" s="8">
        <f>IF($T279=0,"",IF(INDEX('Market Data'!$I$5:$I$528,$T279)="","",INDEX('Market Data'!$I$5:$I$528,$T279)))</f>
        <v/>
      </c>
      <c r="L279" s="10">
        <f>IF($T279=0,"",IF(INDEX('Market Data'!$J$5:$J$528,$T279)=0,"n/a",IF(AND($M$5&lt;&gt;"Snapshot",ISNUMBER(INDEX('Market Data'!$AH$5:$AH$66,INDEX('Market Data'!$J$5:$J$528,$T279)-4)),N(INDEX('Market Data'!$AH$5:$AH$66,INDEX('Market Data'!$J$5:$J$528,$T279)-4))&gt;0),INDEX('Market Data'!$AH$5:$AH$66,INDEX('Market Data'!$J$5:$J$528,$T279)-4),IF(AND($M$5&lt;&gt;"Bloomberg",ISNUMBER(INDEX('Market Data'!$AC$5:$AC$66,INDEX('Market Data'!$J$5:$J$528,$T279)-4)),N(INDEX('Market Data'!$AC$5:$AC$66,INDEX('Market Data'!$J$5:$J$528,$T279)-4))&gt;0),INDEX('Market Data'!$AC$5:$AC$66,INDEX('Market Data'!$J$5:$J$528,$T279)-4),"unavailable"))))</f>
        <v/>
      </c>
      <c r="M279" s="11">
        <f>IF($T279=0,"",IF(INDEX('Market Data'!$J$5:$J$528,$T279)=0,"n/a",IF(IF(INDEX('Market Data'!$J$5:$J$528,$T279)=0,0,IF(LEFT(INDEX('Market Data'!$AS$5:$AS$66,INDEX('Market Data'!$J$5:$J$528,$T279)-4),11)="First-month",1,0))=1,"class review",IF($I279="Bloomberg",IF(AND(ISNUMBER(INDEX('Market Data'!$AH$5:$AH$66,INDEX('Market Data'!$J$5:$J$528,$T279)-4)),N(INDEX('Market Data'!$AH$5:$AH$66,INDEX('Market Data'!$J$5:$J$528,$T279)-4))&gt;0,ISNUMBER('Market Data'!$B$1),N('Market Data'!$B$1)&gt;0),INDEX('Market Data'!$AH$5:$AH$66,INDEX('Market Data'!$J$5:$J$528,$T279)-4)*'Market Data'!$B$1/$E279-1,"pending A/FX"),IF(AND($I279="Snapshot",$Q279="Snapshot",ISNUMBER($E279),$G279=INDEX('Market Data'!$AE$5:$AE$66,INDEX('Market Data'!$J$5:$J$528,$T279)-4)),IFERROR(INDEX('Market Data'!$AC$5:$AC$66,INDEX('Market Data'!$J$5:$J$528,$T279)-4)*INDEX('Market Data'!$AD$5:$AD$66,INDEX('Market Data'!$J$5:$J$528,$T279)-4)/$E279-1,"unavailable"),IF($I279="Unavailable","unavailable","date mismatch"))))))</f>
        <v/>
      </c>
      <c r="N279" s="11">
        <f>IF($T279=0,"",IFERROR(IF(AND(N(INDEX('Market Data'!$F$5:$F$528,$T279))&gt;0,ISNUMBER(INDEX('Market Data'!$T$5:$T$528,$T279))),$E279*INDEX('Market Data'!$T$5:$T$528,$T279)/INDEX('Market Data'!$F$5:$F$528,$T279)-1,"unavailable"),"unavailable"))</f>
        <v/>
      </c>
      <c r="O279" s="9">
        <f>IF($T279=0,"",IF(IF(INDEX('Market Data'!$J$5:$J$528,$T279)=0,0,IF(LEFT(INDEX('Market Data'!$AS$5:$AS$66,INDEX('Market Data'!$J$5:$J$528,$T279)-4),11)="First-month",1,0))=1,"Class ratio review",IF($I279="Bloomberg",IF(ISNUMBER($G279),IF($G279&lt;TODAY(),"Older quote","See quote time"),"Date unavailable"),IF($I279="Snapshot",IF($G279&lt;DATEVALUE("2026-10-02"),"Older snapshot","Dated close"),"No valid quote"))))</f>
        <v/>
      </c>
      <c r="P279" s="14">
        <f>IF($T279=0,"",IF(INDEX('Market Data'!$J$5:$J$528,$T279)=0,"n/a",IF($Q279="Bloomberg",IF(AND(ISNUMBER(INDEX('Market Data'!$AK$5:$AK$66,INDEX('Market Data'!$J$5:$J$528,$T279)-4)),N(INDEX('Market Data'!$AK$5:$AK$66,INDEX('Market Data'!$J$5:$J$528,$T279)-4))&gt;0),INDEX('Market Data'!$AK$5:$AK$66,INDEX('Market Data'!$J$5:$J$528,$T279)-4),"date unavailable"),IF($Q279="Snapshot",IF(AND(ISNUMBER(INDEX('Market Data'!$AF$5:$AF$66,INDEX('Market Data'!$J$5:$J$528,$T279)-4)),N(INDEX('Market Data'!$AF$5:$AF$66,INDEX('Market Data'!$J$5:$J$528,$T279)-4))&gt;0),INDEX('Market Data'!$AF$5:$AF$66,INDEX('Market Data'!$J$5:$J$528,$T279)-4),"date unavailable"),"date unavailable"))))</f>
        <v/>
      </c>
      <c r="Q279" s="15">
        <f>IF($T279=0,"",IF(INDEX('Market Data'!$J$5:$J$528,$T279)=0,"n/a",IF(AND($M$5&lt;&gt;"Snapshot",ISNUMBER(INDEX('Market Data'!$AH$5:$AH$66,INDEX('Market Data'!$J$5:$J$528,$T279)-4)),N(INDEX('Market Data'!$AH$5:$AH$66,INDEX('Market Data'!$J$5:$J$528,$T279)-4))&gt;0),"Bloomberg",IF(AND($M$5&lt;&gt;"Bloomberg",ISNUMBER(INDEX('Market Data'!$AC$5:$AC$66,INDEX('Market Data'!$J$5:$J$528,$T279)-4)),N(INDEX('Market Data'!$AC$5:$AC$66,INDEX('Market Data'!$J$5:$J$528,$T279)-4))&gt;0),"Snapshot","Unavailable"))))</f>
        <v/>
      </c>
      <c r="T279">
        <f>IFERROR(MATCH(271,'Market Data'!$S$5:$S$528,0),0)</f>
        <v/>
      </c>
    </row>
    <row r="280" ht="34" customHeight="1">
      <c r="A280" s="8">
        <f>IF($T280=0,"",IF(INDEX('Market Data'!$A$5:$A$528,$T280)="","",INDEX('Market Data'!$A$5:$A$528,$T280)))</f>
        <v/>
      </c>
      <c r="B280" s="9">
        <f>IF($T280=0,"",IF(INDEX('Market Data'!$B$5:$B$528,$T280)="","",INDEX('Market Data'!$B$5:$B$528,$T280)))</f>
        <v/>
      </c>
      <c r="C280" s="9">
        <f>IF($T280=0,"",IF(INDEX('Market Data'!$C$5:$C$528,$T280)="","",INDEX('Market Data'!$C$5:$C$528,$T280)))</f>
        <v/>
      </c>
      <c r="D280" s="9">
        <f>IF($T280=0,"",IF(INDEX('Market Data'!$D$5:$D$528,$T280)="","",INDEX('Market Data'!$D$5:$D$528,$T280)))</f>
        <v/>
      </c>
      <c r="E280" s="10">
        <f>IF($T280=0,"",INDEX('Market Data'!$O$5:$O$528,$T280))</f>
        <v/>
      </c>
      <c r="F280" s="11">
        <f>IF($T280=0,"",IF(AND($I280="Bloomberg",ISNUMBER(INDEX('Market Data'!$L$5:$L$528,$T280))),INDEX('Market Data'!$L$5:$L$528,$T280),"unavailable"))</f>
        <v/>
      </c>
      <c r="G280" s="12">
        <f>IF($T280=0,"",IF($I280="Bloomberg",IF(AND(ISNUMBER(INDEX('Market Data'!$M$5:$M$528,$T280)),N(INDEX('Market Data'!$M$5:$M$528,$T280))&gt;0),INDEX('Market Data'!$M$5:$M$528,$T280),"date unavailable"),IF($I280="Snapshot",IF(AND(ISNUMBER(INDEX('Market Data'!$H$5:$H$528,$T280)),N(INDEX('Market Data'!$H$5:$H$528,$T280))&gt;0),INDEX('Market Data'!$H$5:$H$528,$T280),"date unavailable"),"date unavailable")))</f>
        <v/>
      </c>
      <c r="H280" s="9">
        <f>IF($T280=0,"",IF($I280="Bloomberg",IF(INDEX('Market Data'!$N$5:$N$528,$T280)="","time unavailable",INDEX('Market Data'!$N$5:$N$528,$T280)),""))</f>
        <v/>
      </c>
      <c r="I280" s="9">
        <f>IF($T280=0,"",INDEX('Market Data'!$P$5:$P$528,$T280))</f>
        <v/>
      </c>
      <c r="J280" s="13">
        <f>IF($T280=0,"",IF(INDEX('Market Data'!$E$5:$E$528,$T280)="","",INDEX('Market Data'!$E$5:$E$528,$T280)))</f>
        <v/>
      </c>
      <c r="K280" s="8">
        <f>IF($T280=0,"",IF(INDEX('Market Data'!$I$5:$I$528,$T280)="","",INDEX('Market Data'!$I$5:$I$528,$T280)))</f>
        <v/>
      </c>
      <c r="L280" s="10">
        <f>IF($T280=0,"",IF(INDEX('Market Data'!$J$5:$J$528,$T280)=0,"n/a",IF(AND($M$5&lt;&gt;"Snapshot",ISNUMBER(INDEX('Market Data'!$AH$5:$AH$66,INDEX('Market Data'!$J$5:$J$528,$T280)-4)),N(INDEX('Market Data'!$AH$5:$AH$66,INDEX('Market Data'!$J$5:$J$528,$T280)-4))&gt;0),INDEX('Market Data'!$AH$5:$AH$66,INDEX('Market Data'!$J$5:$J$528,$T280)-4),IF(AND($M$5&lt;&gt;"Bloomberg",ISNUMBER(INDEX('Market Data'!$AC$5:$AC$66,INDEX('Market Data'!$J$5:$J$528,$T280)-4)),N(INDEX('Market Data'!$AC$5:$AC$66,INDEX('Market Data'!$J$5:$J$528,$T280)-4))&gt;0),INDEX('Market Data'!$AC$5:$AC$66,INDEX('Market Data'!$J$5:$J$528,$T280)-4),"unavailable"))))</f>
        <v/>
      </c>
      <c r="M280" s="11">
        <f>IF($T280=0,"",IF(INDEX('Market Data'!$J$5:$J$528,$T280)=0,"n/a",IF(IF(INDEX('Market Data'!$J$5:$J$528,$T280)=0,0,IF(LEFT(INDEX('Market Data'!$AS$5:$AS$66,INDEX('Market Data'!$J$5:$J$528,$T280)-4),11)="First-month",1,0))=1,"class review",IF($I280="Bloomberg",IF(AND(ISNUMBER(INDEX('Market Data'!$AH$5:$AH$66,INDEX('Market Data'!$J$5:$J$528,$T280)-4)),N(INDEX('Market Data'!$AH$5:$AH$66,INDEX('Market Data'!$J$5:$J$528,$T280)-4))&gt;0,ISNUMBER('Market Data'!$B$1),N('Market Data'!$B$1)&gt;0),INDEX('Market Data'!$AH$5:$AH$66,INDEX('Market Data'!$J$5:$J$528,$T280)-4)*'Market Data'!$B$1/$E280-1,"pending A/FX"),IF(AND($I280="Snapshot",$Q280="Snapshot",ISNUMBER($E280),$G280=INDEX('Market Data'!$AE$5:$AE$66,INDEX('Market Data'!$J$5:$J$528,$T280)-4)),IFERROR(INDEX('Market Data'!$AC$5:$AC$66,INDEX('Market Data'!$J$5:$J$528,$T280)-4)*INDEX('Market Data'!$AD$5:$AD$66,INDEX('Market Data'!$J$5:$J$528,$T280)-4)/$E280-1,"unavailable"),IF($I280="Unavailable","unavailable","date mismatch"))))))</f>
        <v/>
      </c>
      <c r="N280" s="11">
        <f>IF($T280=0,"",IFERROR(IF(AND(N(INDEX('Market Data'!$F$5:$F$528,$T280))&gt;0,ISNUMBER(INDEX('Market Data'!$T$5:$T$528,$T280))),$E280*INDEX('Market Data'!$T$5:$T$528,$T280)/INDEX('Market Data'!$F$5:$F$528,$T280)-1,"unavailable"),"unavailable"))</f>
        <v/>
      </c>
      <c r="O280" s="9">
        <f>IF($T280=0,"",IF(IF(INDEX('Market Data'!$J$5:$J$528,$T280)=0,0,IF(LEFT(INDEX('Market Data'!$AS$5:$AS$66,INDEX('Market Data'!$J$5:$J$528,$T280)-4),11)="First-month",1,0))=1,"Class ratio review",IF($I280="Bloomberg",IF(ISNUMBER($G280),IF($G280&lt;TODAY(),"Older quote","See quote time"),"Date unavailable"),IF($I280="Snapshot",IF($G280&lt;DATEVALUE("2026-10-02"),"Older snapshot","Dated close"),"No valid quote"))))</f>
        <v/>
      </c>
      <c r="P280" s="14">
        <f>IF($T280=0,"",IF(INDEX('Market Data'!$J$5:$J$528,$T280)=0,"n/a",IF($Q280="Bloomberg",IF(AND(ISNUMBER(INDEX('Market Data'!$AK$5:$AK$66,INDEX('Market Data'!$J$5:$J$528,$T280)-4)),N(INDEX('Market Data'!$AK$5:$AK$66,INDEX('Market Data'!$J$5:$J$528,$T280)-4))&gt;0),INDEX('Market Data'!$AK$5:$AK$66,INDEX('Market Data'!$J$5:$J$528,$T280)-4),"date unavailable"),IF($Q280="Snapshot",IF(AND(ISNUMBER(INDEX('Market Data'!$AF$5:$AF$66,INDEX('Market Data'!$J$5:$J$528,$T280)-4)),N(INDEX('Market Data'!$AF$5:$AF$66,INDEX('Market Data'!$J$5:$J$528,$T280)-4))&gt;0),INDEX('Market Data'!$AF$5:$AF$66,INDEX('Market Data'!$J$5:$J$528,$T280)-4),"date unavailable"),"date unavailable"))))</f>
        <v/>
      </c>
      <c r="Q280" s="15">
        <f>IF($T280=0,"",IF(INDEX('Market Data'!$J$5:$J$528,$T280)=0,"n/a",IF(AND($M$5&lt;&gt;"Snapshot",ISNUMBER(INDEX('Market Data'!$AH$5:$AH$66,INDEX('Market Data'!$J$5:$J$528,$T280)-4)),N(INDEX('Market Data'!$AH$5:$AH$66,INDEX('Market Data'!$J$5:$J$528,$T280)-4))&gt;0),"Bloomberg",IF(AND($M$5&lt;&gt;"Bloomberg",ISNUMBER(INDEX('Market Data'!$AC$5:$AC$66,INDEX('Market Data'!$J$5:$J$528,$T280)-4)),N(INDEX('Market Data'!$AC$5:$AC$66,INDEX('Market Data'!$J$5:$J$528,$T280)-4))&gt;0),"Snapshot","Unavailable"))))</f>
        <v/>
      </c>
      <c r="T280">
        <f>IFERROR(MATCH(272,'Market Data'!$S$5:$S$528,0),0)</f>
        <v/>
      </c>
    </row>
    <row r="281" ht="34" customHeight="1">
      <c r="A281" s="8">
        <f>IF($T281=0,"",IF(INDEX('Market Data'!$A$5:$A$528,$T281)="","",INDEX('Market Data'!$A$5:$A$528,$T281)))</f>
        <v/>
      </c>
      <c r="B281" s="9">
        <f>IF($T281=0,"",IF(INDEX('Market Data'!$B$5:$B$528,$T281)="","",INDEX('Market Data'!$B$5:$B$528,$T281)))</f>
        <v/>
      </c>
      <c r="C281" s="9">
        <f>IF($T281=0,"",IF(INDEX('Market Data'!$C$5:$C$528,$T281)="","",INDEX('Market Data'!$C$5:$C$528,$T281)))</f>
        <v/>
      </c>
      <c r="D281" s="9">
        <f>IF($T281=0,"",IF(INDEX('Market Data'!$D$5:$D$528,$T281)="","",INDEX('Market Data'!$D$5:$D$528,$T281)))</f>
        <v/>
      </c>
      <c r="E281" s="10">
        <f>IF($T281=0,"",INDEX('Market Data'!$O$5:$O$528,$T281))</f>
        <v/>
      </c>
      <c r="F281" s="11">
        <f>IF($T281=0,"",IF(AND($I281="Bloomberg",ISNUMBER(INDEX('Market Data'!$L$5:$L$528,$T281))),INDEX('Market Data'!$L$5:$L$528,$T281),"unavailable"))</f>
        <v/>
      </c>
      <c r="G281" s="12">
        <f>IF($T281=0,"",IF($I281="Bloomberg",IF(AND(ISNUMBER(INDEX('Market Data'!$M$5:$M$528,$T281)),N(INDEX('Market Data'!$M$5:$M$528,$T281))&gt;0),INDEX('Market Data'!$M$5:$M$528,$T281),"date unavailable"),IF($I281="Snapshot",IF(AND(ISNUMBER(INDEX('Market Data'!$H$5:$H$528,$T281)),N(INDEX('Market Data'!$H$5:$H$528,$T281))&gt;0),INDEX('Market Data'!$H$5:$H$528,$T281),"date unavailable"),"date unavailable")))</f>
        <v/>
      </c>
      <c r="H281" s="9">
        <f>IF($T281=0,"",IF($I281="Bloomberg",IF(INDEX('Market Data'!$N$5:$N$528,$T281)="","time unavailable",INDEX('Market Data'!$N$5:$N$528,$T281)),""))</f>
        <v/>
      </c>
      <c r="I281" s="9">
        <f>IF($T281=0,"",INDEX('Market Data'!$P$5:$P$528,$T281))</f>
        <v/>
      </c>
      <c r="J281" s="13">
        <f>IF($T281=0,"",IF(INDEX('Market Data'!$E$5:$E$528,$T281)="","",INDEX('Market Data'!$E$5:$E$528,$T281)))</f>
        <v/>
      </c>
      <c r="K281" s="8">
        <f>IF($T281=0,"",IF(INDEX('Market Data'!$I$5:$I$528,$T281)="","",INDEX('Market Data'!$I$5:$I$528,$T281)))</f>
        <v/>
      </c>
      <c r="L281" s="10">
        <f>IF($T281=0,"",IF(INDEX('Market Data'!$J$5:$J$528,$T281)=0,"n/a",IF(AND($M$5&lt;&gt;"Snapshot",ISNUMBER(INDEX('Market Data'!$AH$5:$AH$66,INDEX('Market Data'!$J$5:$J$528,$T281)-4)),N(INDEX('Market Data'!$AH$5:$AH$66,INDEX('Market Data'!$J$5:$J$528,$T281)-4))&gt;0),INDEX('Market Data'!$AH$5:$AH$66,INDEX('Market Data'!$J$5:$J$528,$T281)-4),IF(AND($M$5&lt;&gt;"Bloomberg",ISNUMBER(INDEX('Market Data'!$AC$5:$AC$66,INDEX('Market Data'!$J$5:$J$528,$T281)-4)),N(INDEX('Market Data'!$AC$5:$AC$66,INDEX('Market Data'!$J$5:$J$528,$T281)-4))&gt;0),INDEX('Market Data'!$AC$5:$AC$66,INDEX('Market Data'!$J$5:$J$528,$T281)-4),"unavailable"))))</f>
        <v/>
      </c>
      <c r="M281" s="11">
        <f>IF($T281=0,"",IF(INDEX('Market Data'!$J$5:$J$528,$T281)=0,"n/a",IF(IF(INDEX('Market Data'!$J$5:$J$528,$T281)=0,0,IF(LEFT(INDEX('Market Data'!$AS$5:$AS$66,INDEX('Market Data'!$J$5:$J$528,$T281)-4),11)="First-month",1,0))=1,"class review",IF($I281="Bloomberg",IF(AND(ISNUMBER(INDEX('Market Data'!$AH$5:$AH$66,INDEX('Market Data'!$J$5:$J$528,$T281)-4)),N(INDEX('Market Data'!$AH$5:$AH$66,INDEX('Market Data'!$J$5:$J$528,$T281)-4))&gt;0,ISNUMBER('Market Data'!$B$1),N('Market Data'!$B$1)&gt;0),INDEX('Market Data'!$AH$5:$AH$66,INDEX('Market Data'!$J$5:$J$528,$T281)-4)*'Market Data'!$B$1/$E281-1,"pending A/FX"),IF(AND($I281="Snapshot",$Q281="Snapshot",ISNUMBER($E281),$G281=INDEX('Market Data'!$AE$5:$AE$66,INDEX('Market Data'!$J$5:$J$528,$T281)-4)),IFERROR(INDEX('Market Data'!$AC$5:$AC$66,INDEX('Market Data'!$J$5:$J$528,$T281)-4)*INDEX('Market Data'!$AD$5:$AD$66,INDEX('Market Data'!$J$5:$J$528,$T281)-4)/$E281-1,"unavailable"),IF($I281="Unavailable","unavailable","date mismatch"))))))</f>
        <v/>
      </c>
      <c r="N281" s="11">
        <f>IF($T281=0,"",IFERROR(IF(AND(N(INDEX('Market Data'!$F$5:$F$528,$T281))&gt;0,ISNUMBER(INDEX('Market Data'!$T$5:$T$528,$T281))),$E281*INDEX('Market Data'!$T$5:$T$528,$T281)/INDEX('Market Data'!$F$5:$F$528,$T281)-1,"unavailable"),"unavailable"))</f>
        <v/>
      </c>
      <c r="O281" s="9">
        <f>IF($T281=0,"",IF(IF(INDEX('Market Data'!$J$5:$J$528,$T281)=0,0,IF(LEFT(INDEX('Market Data'!$AS$5:$AS$66,INDEX('Market Data'!$J$5:$J$528,$T281)-4),11)="First-month",1,0))=1,"Class ratio review",IF($I281="Bloomberg",IF(ISNUMBER($G281),IF($G281&lt;TODAY(),"Older quote","See quote time"),"Date unavailable"),IF($I281="Snapshot",IF($G281&lt;DATEVALUE("2026-10-02"),"Older snapshot","Dated close"),"No valid quote"))))</f>
        <v/>
      </c>
      <c r="P281" s="14">
        <f>IF($T281=0,"",IF(INDEX('Market Data'!$J$5:$J$528,$T281)=0,"n/a",IF($Q281="Bloomberg",IF(AND(ISNUMBER(INDEX('Market Data'!$AK$5:$AK$66,INDEX('Market Data'!$J$5:$J$528,$T281)-4)),N(INDEX('Market Data'!$AK$5:$AK$66,INDEX('Market Data'!$J$5:$J$528,$T281)-4))&gt;0),INDEX('Market Data'!$AK$5:$AK$66,INDEX('Market Data'!$J$5:$J$528,$T281)-4),"date unavailable"),IF($Q281="Snapshot",IF(AND(ISNUMBER(INDEX('Market Data'!$AF$5:$AF$66,INDEX('Market Data'!$J$5:$J$528,$T281)-4)),N(INDEX('Market Data'!$AF$5:$AF$66,INDEX('Market Data'!$J$5:$J$528,$T281)-4))&gt;0),INDEX('Market Data'!$AF$5:$AF$66,INDEX('Market Data'!$J$5:$J$528,$T281)-4),"date unavailable"),"date unavailable"))))</f>
        <v/>
      </c>
      <c r="Q281" s="15">
        <f>IF($T281=0,"",IF(INDEX('Market Data'!$J$5:$J$528,$T281)=0,"n/a",IF(AND($M$5&lt;&gt;"Snapshot",ISNUMBER(INDEX('Market Data'!$AH$5:$AH$66,INDEX('Market Data'!$J$5:$J$528,$T281)-4)),N(INDEX('Market Data'!$AH$5:$AH$66,INDEX('Market Data'!$J$5:$J$528,$T281)-4))&gt;0),"Bloomberg",IF(AND($M$5&lt;&gt;"Bloomberg",ISNUMBER(INDEX('Market Data'!$AC$5:$AC$66,INDEX('Market Data'!$J$5:$J$528,$T281)-4)),N(INDEX('Market Data'!$AC$5:$AC$66,INDEX('Market Data'!$J$5:$J$528,$T281)-4))&gt;0),"Snapshot","Unavailable"))))</f>
        <v/>
      </c>
      <c r="T281">
        <f>IFERROR(MATCH(273,'Market Data'!$S$5:$S$528,0),0)</f>
        <v/>
      </c>
    </row>
    <row r="282" ht="34" customHeight="1">
      <c r="A282" s="8">
        <f>IF($T282=0,"",IF(INDEX('Market Data'!$A$5:$A$528,$T282)="","",INDEX('Market Data'!$A$5:$A$528,$T282)))</f>
        <v/>
      </c>
      <c r="B282" s="9">
        <f>IF($T282=0,"",IF(INDEX('Market Data'!$B$5:$B$528,$T282)="","",INDEX('Market Data'!$B$5:$B$528,$T282)))</f>
        <v/>
      </c>
      <c r="C282" s="9">
        <f>IF($T282=0,"",IF(INDEX('Market Data'!$C$5:$C$528,$T282)="","",INDEX('Market Data'!$C$5:$C$528,$T282)))</f>
        <v/>
      </c>
      <c r="D282" s="9">
        <f>IF($T282=0,"",IF(INDEX('Market Data'!$D$5:$D$528,$T282)="","",INDEX('Market Data'!$D$5:$D$528,$T282)))</f>
        <v/>
      </c>
      <c r="E282" s="10">
        <f>IF($T282=0,"",INDEX('Market Data'!$O$5:$O$528,$T282))</f>
        <v/>
      </c>
      <c r="F282" s="11">
        <f>IF($T282=0,"",IF(AND($I282="Bloomberg",ISNUMBER(INDEX('Market Data'!$L$5:$L$528,$T282))),INDEX('Market Data'!$L$5:$L$528,$T282),"unavailable"))</f>
        <v/>
      </c>
      <c r="G282" s="12">
        <f>IF($T282=0,"",IF($I282="Bloomberg",IF(AND(ISNUMBER(INDEX('Market Data'!$M$5:$M$528,$T282)),N(INDEX('Market Data'!$M$5:$M$528,$T282))&gt;0),INDEX('Market Data'!$M$5:$M$528,$T282),"date unavailable"),IF($I282="Snapshot",IF(AND(ISNUMBER(INDEX('Market Data'!$H$5:$H$528,$T282)),N(INDEX('Market Data'!$H$5:$H$528,$T282))&gt;0),INDEX('Market Data'!$H$5:$H$528,$T282),"date unavailable"),"date unavailable")))</f>
        <v/>
      </c>
      <c r="H282" s="9">
        <f>IF($T282=0,"",IF($I282="Bloomberg",IF(INDEX('Market Data'!$N$5:$N$528,$T282)="","time unavailable",INDEX('Market Data'!$N$5:$N$528,$T282)),""))</f>
        <v/>
      </c>
      <c r="I282" s="9">
        <f>IF($T282=0,"",INDEX('Market Data'!$P$5:$P$528,$T282))</f>
        <v/>
      </c>
      <c r="J282" s="13">
        <f>IF($T282=0,"",IF(INDEX('Market Data'!$E$5:$E$528,$T282)="","",INDEX('Market Data'!$E$5:$E$528,$T282)))</f>
        <v/>
      </c>
      <c r="K282" s="8">
        <f>IF($T282=0,"",IF(INDEX('Market Data'!$I$5:$I$528,$T282)="","",INDEX('Market Data'!$I$5:$I$528,$T282)))</f>
        <v/>
      </c>
      <c r="L282" s="10">
        <f>IF($T282=0,"",IF(INDEX('Market Data'!$J$5:$J$528,$T282)=0,"n/a",IF(AND($M$5&lt;&gt;"Snapshot",ISNUMBER(INDEX('Market Data'!$AH$5:$AH$66,INDEX('Market Data'!$J$5:$J$528,$T282)-4)),N(INDEX('Market Data'!$AH$5:$AH$66,INDEX('Market Data'!$J$5:$J$528,$T282)-4))&gt;0),INDEX('Market Data'!$AH$5:$AH$66,INDEX('Market Data'!$J$5:$J$528,$T282)-4),IF(AND($M$5&lt;&gt;"Bloomberg",ISNUMBER(INDEX('Market Data'!$AC$5:$AC$66,INDEX('Market Data'!$J$5:$J$528,$T282)-4)),N(INDEX('Market Data'!$AC$5:$AC$66,INDEX('Market Data'!$J$5:$J$528,$T282)-4))&gt;0),INDEX('Market Data'!$AC$5:$AC$66,INDEX('Market Data'!$J$5:$J$528,$T282)-4),"unavailable"))))</f>
        <v/>
      </c>
      <c r="M282" s="11">
        <f>IF($T282=0,"",IF(INDEX('Market Data'!$J$5:$J$528,$T282)=0,"n/a",IF(IF(INDEX('Market Data'!$J$5:$J$528,$T282)=0,0,IF(LEFT(INDEX('Market Data'!$AS$5:$AS$66,INDEX('Market Data'!$J$5:$J$528,$T282)-4),11)="First-month",1,0))=1,"class review",IF($I282="Bloomberg",IF(AND(ISNUMBER(INDEX('Market Data'!$AH$5:$AH$66,INDEX('Market Data'!$J$5:$J$528,$T282)-4)),N(INDEX('Market Data'!$AH$5:$AH$66,INDEX('Market Data'!$J$5:$J$528,$T282)-4))&gt;0,ISNUMBER('Market Data'!$B$1),N('Market Data'!$B$1)&gt;0),INDEX('Market Data'!$AH$5:$AH$66,INDEX('Market Data'!$J$5:$J$528,$T282)-4)*'Market Data'!$B$1/$E282-1,"pending A/FX"),IF(AND($I282="Snapshot",$Q282="Snapshot",ISNUMBER($E282),$G282=INDEX('Market Data'!$AE$5:$AE$66,INDEX('Market Data'!$J$5:$J$528,$T282)-4)),IFERROR(INDEX('Market Data'!$AC$5:$AC$66,INDEX('Market Data'!$J$5:$J$528,$T282)-4)*INDEX('Market Data'!$AD$5:$AD$66,INDEX('Market Data'!$J$5:$J$528,$T282)-4)/$E282-1,"unavailable"),IF($I282="Unavailable","unavailable","date mismatch"))))))</f>
        <v/>
      </c>
      <c r="N282" s="11">
        <f>IF($T282=0,"",IFERROR(IF(AND(N(INDEX('Market Data'!$F$5:$F$528,$T282))&gt;0,ISNUMBER(INDEX('Market Data'!$T$5:$T$528,$T282))),$E282*INDEX('Market Data'!$T$5:$T$528,$T282)/INDEX('Market Data'!$F$5:$F$528,$T282)-1,"unavailable"),"unavailable"))</f>
        <v/>
      </c>
      <c r="O282" s="9">
        <f>IF($T282=0,"",IF(IF(INDEX('Market Data'!$J$5:$J$528,$T282)=0,0,IF(LEFT(INDEX('Market Data'!$AS$5:$AS$66,INDEX('Market Data'!$J$5:$J$528,$T282)-4),11)="First-month",1,0))=1,"Class ratio review",IF($I282="Bloomberg",IF(ISNUMBER($G282),IF($G282&lt;TODAY(),"Older quote","See quote time"),"Date unavailable"),IF($I282="Snapshot",IF($G282&lt;DATEVALUE("2026-10-02"),"Older snapshot","Dated close"),"No valid quote"))))</f>
        <v/>
      </c>
      <c r="P282" s="14">
        <f>IF($T282=0,"",IF(INDEX('Market Data'!$J$5:$J$528,$T282)=0,"n/a",IF($Q282="Bloomberg",IF(AND(ISNUMBER(INDEX('Market Data'!$AK$5:$AK$66,INDEX('Market Data'!$J$5:$J$528,$T282)-4)),N(INDEX('Market Data'!$AK$5:$AK$66,INDEX('Market Data'!$J$5:$J$528,$T282)-4))&gt;0),INDEX('Market Data'!$AK$5:$AK$66,INDEX('Market Data'!$J$5:$J$528,$T282)-4),"date unavailable"),IF($Q282="Snapshot",IF(AND(ISNUMBER(INDEX('Market Data'!$AF$5:$AF$66,INDEX('Market Data'!$J$5:$J$528,$T282)-4)),N(INDEX('Market Data'!$AF$5:$AF$66,INDEX('Market Data'!$J$5:$J$528,$T282)-4))&gt;0),INDEX('Market Data'!$AF$5:$AF$66,INDEX('Market Data'!$J$5:$J$528,$T282)-4),"date unavailable"),"date unavailable"))))</f>
        <v/>
      </c>
      <c r="Q282" s="15">
        <f>IF($T282=0,"",IF(INDEX('Market Data'!$J$5:$J$528,$T282)=0,"n/a",IF(AND($M$5&lt;&gt;"Snapshot",ISNUMBER(INDEX('Market Data'!$AH$5:$AH$66,INDEX('Market Data'!$J$5:$J$528,$T282)-4)),N(INDEX('Market Data'!$AH$5:$AH$66,INDEX('Market Data'!$J$5:$J$528,$T282)-4))&gt;0),"Bloomberg",IF(AND($M$5&lt;&gt;"Bloomberg",ISNUMBER(INDEX('Market Data'!$AC$5:$AC$66,INDEX('Market Data'!$J$5:$J$528,$T282)-4)),N(INDEX('Market Data'!$AC$5:$AC$66,INDEX('Market Data'!$J$5:$J$528,$T282)-4))&gt;0),"Snapshot","Unavailable"))))</f>
        <v/>
      </c>
      <c r="T282">
        <f>IFERROR(MATCH(274,'Market Data'!$S$5:$S$528,0),0)</f>
        <v/>
      </c>
    </row>
    <row r="283" ht="34" customHeight="1">
      <c r="A283" s="8">
        <f>IF($T283=0,"",IF(INDEX('Market Data'!$A$5:$A$528,$T283)="","",INDEX('Market Data'!$A$5:$A$528,$T283)))</f>
        <v/>
      </c>
      <c r="B283" s="9">
        <f>IF($T283=0,"",IF(INDEX('Market Data'!$B$5:$B$528,$T283)="","",INDEX('Market Data'!$B$5:$B$528,$T283)))</f>
        <v/>
      </c>
      <c r="C283" s="9">
        <f>IF($T283=0,"",IF(INDEX('Market Data'!$C$5:$C$528,$T283)="","",INDEX('Market Data'!$C$5:$C$528,$T283)))</f>
        <v/>
      </c>
      <c r="D283" s="9">
        <f>IF($T283=0,"",IF(INDEX('Market Data'!$D$5:$D$528,$T283)="","",INDEX('Market Data'!$D$5:$D$528,$T283)))</f>
        <v/>
      </c>
      <c r="E283" s="10">
        <f>IF($T283=0,"",INDEX('Market Data'!$O$5:$O$528,$T283))</f>
        <v/>
      </c>
      <c r="F283" s="11">
        <f>IF($T283=0,"",IF(AND($I283="Bloomberg",ISNUMBER(INDEX('Market Data'!$L$5:$L$528,$T283))),INDEX('Market Data'!$L$5:$L$528,$T283),"unavailable"))</f>
        <v/>
      </c>
      <c r="G283" s="12">
        <f>IF($T283=0,"",IF($I283="Bloomberg",IF(AND(ISNUMBER(INDEX('Market Data'!$M$5:$M$528,$T283)),N(INDEX('Market Data'!$M$5:$M$528,$T283))&gt;0),INDEX('Market Data'!$M$5:$M$528,$T283),"date unavailable"),IF($I283="Snapshot",IF(AND(ISNUMBER(INDEX('Market Data'!$H$5:$H$528,$T283)),N(INDEX('Market Data'!$H$5:$H$528,$T283))&gt;0),INDEX('Market Data'!$H$5:$H$528,$T283),"date unavailable"),"date unavailable")))</f>
        <v/>
      </c>
      <c r="H283" s="9">
        <f>IF($T283=0,"",IF($I283="Bloomberg",IF(INDEX('Market Data'!$N$5:$N$528,$T283)="","time unavailable",INDEX('Market Data'!$N$5:$N$528,$T283)),""))</f>
        <v/>
      </c>
      <c r="I283" s="9">
        <f>IF($T283=0,"",INDEX('Market Data'!$P$5:$P$528,$T283))</f>
        <v/>
      </c>
      <c r="J283" s="13">
        <f>IF($T283=0,"",IF(INDEX('Market Data'!$E$5:$E$528,$T283)="","",INDEX('Market Data'!$E$5:$E$528,$T283)))</f>
        <v/>
      </c>
      <c r="K283" s="8">
        <f>IF($T283=0,"",IF(INDEX('Market Data'!$I$5:$I$528,$T283)="","",INDEX('Market Data'!$I$5:$I$528,$T283)))</f>
        <v/>
      </c>
      <c r="L283" s="10">
        <f>IF($T283=0,"",IF(INDEX('Market Data'!$J$5:$J$528,$T283)=0,"n/a",IF(AND($M$5&lt;&gt;"Snapshot",ISNUMBER(INDEX('Market Data'!$AH$5:$AH$66,INDEX('Market Data'!$J$5:$J$528,$T283)-4)),N(INDEX('Market Data'!$AH$5:$AH$66,INDEX('Market Data'!$J$5:$J$528,$T283)-4))&gt;0),INDEX('Market Data'!$AH$5:$AH$66,INDEX('Market Data'!$J$5:$J$528,$T283)-4),IF(AND($M$5&lt;&gt;"Bloomberg",ISNUMBER(INDEX('Market Data'!$AC$5:$AC$66,INDEX('Market Data'!$J$5:$J$528,$T283)-4)),N(INDEX('Market Data'!$AC$5:$AC$66,INDEX('Market Data'!$J$5:$J$528,$T283)-4))&gt;0),INDEX('Market Data'!$AC$5:$AC$66,INDEX('Market Data'!$J$5:$J$528,$T283)-4),"unavailable"))))</f>
        <v/>
      </c>
      <c r="M283" s="11">
        <f>IF($T283=0,"",IF(INDEX('Market Data'!$J$5:$J$528,$T283)=0,"n/a",IF(IF(INDEX('Market Data'!$J$5:$J$528,$T283)=0,0,IF(LEFT(INDEX('Market Data'!$AS$5:$AS$66,INDEX('Market Data'!$J$5:$J$528,$T283)-4),11)="First-month",1,0))=1,"class review",IF($I283="Bloomberg",IF(AND(ISNUMBER(INDEX('Market Data'!$AH$5:$AH$66,INDEX('Market Data'!$J$5:$J$528,$T283)-4)),N(INDEX('Market Data'!$AH$5:$AH$66,INDEX('Market Data'!$J$5:$J$528,$T283)-4))&gt;0,ISNUMBER('Market Data'!$B$1),N('Market Data'!$B$1)&gt;0),INDEX('Market Data'!$AH$5:$AH$66,INDEX('Market Data'!$J$5:$J$528,$T283)-4)*'Market Data'!$B$1/$E283-1,"pending A/FX"),IF(AND($I283="Snapshot",$Q283="Snapshot",ISNUMBER($E283),$G283=INDEX('Market Data'!$AE$5:$AE$66,INDEX('Market Data'!$J$5:$J$528,$T283)-4)),IFERROR(INDEX('Market Data'!$AC$5:$AC$66,INDEX('Market Data'!$J$5:$J$528,$T283)-4)*INDEX('Market Data'!$AD$5:$AD$66,INDEX('Market Data'!$J$5:$J$528,$T283)-4)/$E283-1,"unavailable"),IF($I283="Unavailable","unavailable","date mismatch"))))))</f>
        <v/>
      </c>
      <c r="N283" s="11">
        <f>IF($T283=0,"",IFERROR(IF(AND(N(INDEX('Market Data'!$F$5:$F$528,$T283))&gt;0,ISNUMBER(INDEX('Market Data'!$T$5:$T$528,$T283))),$E283*INDEX('Market Data'!$T$5:$T$528,$T283)/INDEX('Market Data'!$F$5:$F$528,$T283)-1,"unavailable"),"unavailable"))</f>
        <v/>
      </c>
      <c r="O283" s="9">
        <f>IF($T283=0,"",IF(IF(INDEX('Market Data'!$J$5:$J$528,$T283)=0,0,IF(LEFT(INDEX('Market Data'!$AS$5:$AS$66,INDEX('Market Data'!$J$5:$J$528,$T283)-4),11)="First-month",1,0))=1,"Class ratio review",IF($I283="Bloomberg",IF(ISNUMBER($G283),IF($G283&lt;TODAY(),"Older quote","See quote time"),"Date unavailable"),IF($I283="Snapshot",IF($G283&lt;DATEVALUE("2026-10-02"),"Older snapshot","Dated close"),"No valid quote"))))</f>
        <v/>
      </c>
      <c r="P283" s="14">
        <f>IF($T283=0,"",IF(INDEX('Market Data'!$J$5:$J$528,$T283)=0,"n/a",IF($Q283="Bloomberg",IF(AND(ISNUMBER(INDEX('Market Data'!$AK$5:$AK$66,INDEX('Market Data'!$J$5:$J$528,$T283)-4)),N(INDEX('Market Data'!$AK$5:$AK$66,INDEX('Market Data'!$J$5:$J$528,$T283)-4))&gt;0),INDEX('Market Data'!$AK$5:$AK$66,INDEX('Market Data'!$J$5:$J$528,$T283)-4),"date unavailable"),IF($Q283="Snapshot",IF(AND(ISNUMBER(INDEX('Market Data'!$AF$5:$AF$66,INDEX('Market Data'!$J$5:$J$528,$T283)-4)),N(INDEX('Market Data'!$AF$5:$AF$66,INDEX('Market Data'!$J$5:$J$528,$T283)-4))&gt;0),INDEX('Market Data'!$AF$5:$AF$66,INDEX('Market Data'!$J$5:$J$528,$T283)-4),"date unavailable"),"date unavailable"))))</f>
        <v/>
      </c>
      <c r="Q283" s="15">
        <f>IF($T283=0,"",IF(INDEX('Market Data'!$J$5:$J$528,$T283)=0,"n/a",IF(AND($M$5&lt;&gt;"Snapshot",ISNUMBER(INDEX('Market Data'!$AH$5:$AH$66,INDEX('Market Data'!$J$5:$J$528,$T283)-4)),N(INDEX('Market Data'!$AH$5:$AH$66,INDEX('Market Data'!$J$5:$J$528,$T283)-4))&gt;0),"Bloomberg",IF(AND($M$5&lt;&gt;"Bloomberg",ISNUMBER(INDEX('Market Data'!$AC$5:$AC$66,INDEX('Market Data'!$J$5:$J$528,$T283)-4)),N(INDEX('Market Data'!$AC$5:$AC$66,INDEX('Market Data'!$J$5:$J$528,$T283)-4))&gt;0),"Snapshot","Unavailable"))))</f>
        <v/>
      </c>
      <c r="T283">
        <f>IFERROR(MATCH(275,'Market Data'!$S$5:$S$528,0),0)</f>
        <v/>
      </c>
    </row>
    <row r="284" ht="34" customHeight="1">
      <c r="A284" s="8">
        <f>IF($T284=0,"",IF(INDEX('Market Data'!$A$5:$A$528,$T284)="","",INDEX('Market Data'!$A$5:$A$528,$T284)))</f>
        <v/>
      </c>
      <c r="B284" s="9">
        <f>IF($T284=0,"",IF(INDEX('Market Data'!$B$5:$B$528,$T284)="","",INDEX('Market Data'!$B$5:$B$528,$T284)))</f>
        <v/>
      </c>
      <c r="C284" s="9">
        <f>IF($T284=0,"",IF(INDEX('Market Data'!$C$5:$C$528,$T284)="","",INDEX('Market Data'!$C$5:$C$528,$T284)))</f>
        <v/>
      </c>
      <c r="D284" s="9">
        <f>IF($T284=0,"",IF(INDEX('Market Data'!$D$5:$D$528,$T284)="","",INDEX('Market Data'!$D$5:$D$528,$T284)))</f>
        <v/>
      </c>
      <c r="E284" s="10">
        <f>IF($T284=0,"",INDEX('Market Data'!$O$5:$O$528,$T284))</f>
        <v/>
      </c>
      <c r="F284" s="11">
        <f>IF($T284=0,"",IF(AND($I284="Bloomberg",ISNUMBER(INDEX('Market Data'!$L$5:$L$528,$T284))),INDEX('Market Data'!$L$5:$L$528,$T284),"unavailable"))</f>
        <v/>
      </c>
      <c r="G284" s="12">
        <f>IF($T284=0,"",IF($I284="Bloomberg",IF(AND(ISNUMBER(INDEX('Market Data'!$M$5:$M$528,$T284)),N(INDEX('Market Data'!$M$5:$M$528,$T284))&gt;0),INDEX('Market Data'!$M$5:$M$528,$T284),"date unavailable"),IF($I284="Snapshot",IF(AND(ISNUMBER(INDEX('Market Data'!$H$5:$H$528,$T284)),N(INDEX('Market Data'!$H$5:$H$528,$T284))&gt;0),INDEX('Market Data'!$H$5:$H$528,$T284),"date unavailable"),"date unavailable")))</f>
        <v/>
      </c>
      <c r="H284" s="9">
        <f>IF($T284=0,"",IF($I284="Bloomberg",IF(INDEX('Market Data'!$N$5:$N$528,$T284)="","time unavailable",INDEX('Market Data'!$N$5:$N$528,$T284)),""))</f>
        <v/>
      </c>
      <c r="I284" s="9">
        <f>IF($T284=0,"",INDEX('Market Data'!$P$5:$P$528,$T284))</f>
        <v/>
      </c>
      <c r="J284" s="13">
        <f>IF($T284=0,"",IF(INDEX('Market Data'!$E$5:$E$528,$T284)="","",INDEX('Market Data'!$E$5:$E$528,$T284)))</f>
        <v/>
      </c>
      <c r="K284" s="8">
        <f>IF($T284=0,"",IF(INDEX('Market Data'!$I$5:$I$528,$T284)="","",INDEX('Market Data'!$I$5:$I$528,$T284)))</f>
        <v/>
      </c>
      <c r="L284" s="10">
        <f>IF($T284=0,"",IF(INDEX('Market Data'!$J$5:$J$528,$T284)=0,"n/a",IF(AND($M$5&lt;&gt;"Snapshot",ISNUMBER(INDEX('Market Data'!$AH$5:$AH$66,INDEX('Market Data'!$J$5:$J$528,$T284)-4)),N(INDEX('Market Data'!$AH$5:$AH$66,INDEX('Market Data'!$J$5:$J$528,$T284)-4))&gt;0),INDEX('Market Data'!$AH$5:$AH$66,INDEX('Market Data'!$J$5:$J$528,$T284)-4),IF(AND($M$5&lt;&gt;"Bloomberg",ISNUMBER(INDEX('Market Data'!$AC$5:$AC$66,INDEX('Market Data'!$J$5:$J$528,$T284)-4)),N(INDEX('Market Data'!$AC$5:$AC$66,INDEX('Market Data'!$J$5:$J$528,$T284)-4))&gt;0),INDEX('Market Data'!$AC$5:$AC$66,INDEX('Market Data'!$J$5:$J$528,$T284)-4),"unavailable"))))</f>
        <v/>
      </c>
      <c r="M284" s="11">
        <f>IF($T284=0,"",IF(INDEX('Market Data'!$J$5:$J$528,$T284)=0,"n/a",IF(IF(INDEX('Market Data'!$J$5:$J$528,$T284)=0,0,IF(LEFT(INDEX('Market Data'!$AS$5:$AS$66,INDEX('Market Data'!$J$5:$J$528,$T284)-4),11)="First-month",1,0))=1,"class review",IF($I284="Bloomberg",IF(AND(ISNUMBER(INDEX('Market Data'!$AH$5:$AH$66,INDEX('Market Data'!$J$5:$J$528,$T284)-4)),N(INDEX('Market Data'!$AH$5:$AH$66,INDEX('Market Data'!$J$5:$J$528,$T284)-4))&gt;0,ISNUMBER('Market Data'!$B$1),N('Market Data'!$B$1)&gt;0),INDEX('Market Data'!$AH$5:$AH$66,INDEX('Market Data'!$J$5:$J$528,$T284)-4)*'Market Data'!$B$1/$E284-1,"pending A/FX"),IF(AND($I284="Snapshot",$Q284="Snapshot",ISNUMBER($E284),$G284=INDEX('Market Data'!$AE$5:$AE$66,INDEX('Market Data'!$J$5:$J$528,$T284)-4)),IFERROR(INDEX('Market Data'!$AC$5:$AC$66,INDEX('Market Data'!$J$5:$J$528,$T284)-4)*INDEX('Market Data'!$AD$5:$AD$66,INDEX('Market Data'!$J$5:$J$528,$T284)-4)/$E284-1,"unavailable"),IF($I284="Unavailable","unavailable","date mismatch"))))))</f>
        <v/>
      </c>
      <c r="N284" s="11">
        <f>IF($T284=0,"",IFERROR(IF(AND(N(INDEX('Market Data'!$F$5:$F$528,$T284))&gt;0,ISNUMBER(INDEX('Market Data'!$T$5:$T$528,$T284))),$E284*INDEX('Market Data'!$T$5:$T$528,$T284)/INDEX('Market Data'!$F$5:$F$528,$T284)-1,"unavailable"),"unavailable"))</f>
        <v/>
      </c>
      <c r="O284" s="9">
        <f>IF($T284=0,"",IF(IF(INDEX('Market Data'!$J$5:$J$528,$T284)=0,0,IF(LEFT(INDEX('Market Data'!$AS$5:$AS$66,INDEX('Market Data'!$J$5:$J$528,$T284)-4),11)="First-month",1,0))=1,"Class ratio review",IF($I284="Bloomberg",IF(ISNUMBER($G284),IF($G284&lt;TODAY(),"Older quote","See quote time"),"Date unavailable"),IF($I284="Snapshot",IF($G284&lt;DATEVALUE("2026-10-02"),"Older snapshot","Dated close"),"No valid quote"))))</f>
        <v/>
      </c>
      <c r="P284" s="14">
        <f>IF($T284=0,"",IF(INDEX('Market Data'!$J$5:$J$528,$T284)=0,"n/a",IF($Q284="Bloomberg",IF(AND(ISNUMBER(INDEX('Market Data'!$AK$5:$AK$66,INDEX('Market Data'!$J$5:$J$528,$T284)-4)),N(INDEX('Market Data'!$AK$5:$AK$66,INDEX('Market Data'!$J$5:$J$528,$T284)-4))&gt;0),INDEX('Market Data'!$AK$5:$AK$66,INDEX('Market Data'!$J$5:$J$528,$T284)-4),"date unavailable"),IF($Q284="Snapshot",IF(AND(ISNUMBER(INDEX('Market Data'!$AF$5:$AF$66,INDEX('Market Data'!$J$5:$J$528,$T284)-4)),N(INDEX('Market Data'!$AF$5:$AF$66,INDEX('Market Data'!$J$5:$J$528,$T284)-4))&gt;0),INDEX('Market Data'!$AF$5:$AF$66,INDEX('Market Data'!$J$5:$J$528,$T284)-4),"date unavailable"),"date unavailable"))))</f>
        <v/>
      </c>
      <c r="Q284" s="15">
        <f>IF($T284=0,"",IF(INDEX('Market Data'!$J$5:$J$528,$T284)=0,"n/a",IF(AND($M$5&lt;&gt;"Snapshot",ISNUMBER(INDEX('Market Data'!$AH$5:$AH$66,INDEX('Market Data'!$J$5:$J$528,$T284)-4)),N(INDEX('Market Data'!$AH$5:$AH$66,INDEX('Market Data'!$J$5:$J$528,$T284)-4))&gt;0),"Bloomberg",IF(AND($M$5&lt;&gt;"Bloomberg",ISNUMBER(INDEX('Market Data'!$AC$5:$AC$66,INDEX('Market Data'!$J$5:$J$528,$T284)-4)),N(INDEX('Market Data'!$AC$5:$AC$66,INDEX('Market Data'!$J$5:$J$528,$T284)-4))&gt;0),"Snapshot","Unavailable"))))</f>
        <v/>
      </c>
      <c r="T284">
        <f>IFERROR(MATCH(276,'Market Data'!$S$5:$S$528,0),0)</f>
        <v/>
      </c>
    </row>
    <row r="285" ht="34" customHeight="1">
      <c r="A285" s="8">
        <f>IF($T285=0,"",IF(INDEX('Market Data'!$A$5:$A$528,$T285)="","",INDEX('Market Data'!$A$5:$A$528,$T285)))</f>
        <v/>
      </c>
      <c r="B285" s="9">
        <f>IF($T285=0,"",IF(INDEX('Market Data'!$B$5:$B$528,$T285)="","",INDEX('Market Data'!$B$5:$B$528,$T285)))</f>
        <v/>
      </c>
      <c r="C285" s="9">
        <f>IF($T285=0,"",IF(INDEX('Market Data'!$C$5:$C$528,$T285)="","",INDEX('Market Data'!$C$5:$C$528,$T285)))</f>
        <v/>
      </c>
      <c r="D285" s="9">
        <f>IF($T285=0,"",IF(INDEX('Market Data'!$D$5:$D$528,$T285)="","",INDEX('Market Data'!$D$5:$D$528,$T285)))</f>
        <v/>
      </c>
      <c r="E285" s="10">
        <f>IF($T285=0,"",INDEX('Market Data'!$O$5:$O$528,$T285))</f>
        <v/>
      </c>
      <c r="F285" s="11">
        <f>IF($T285=0,"",IF(AND($I285="Bloomberg",ISNUMBER(INDEX('Market Data'!$L$5:$L$528,$T285))),INDEX('Market Data'!$L$5:$L$528,$T285),"unavailable"))</f>
        <v/>
      </c>
      <c r="G285" s="12">
        <f>IF($T285=0,"",IF($I285="Bloomberg",IF(AND(ISNUMBER(INDEX('Market Data'!$M$5:$M$528,$T285)),N(INDEX('Market Data'!$M$5:$M$528,$T285))&gt;0),INDEX('Market Data'!$M$5:$M$528,$T285),"date unavailable"),IF($I285="Snapshot",IF(AND(ISNUMBER(INDEX('Market Data'!$H$5:$H$528,$T285)),N(INDEX('Market Data'!$H$5:$H$528,$T285))&gt;0),INDEX('Market Data'!$H$5:$H$528,$T285),"date unavailable"),"date unavailable")))</f>
        <v/>
      </c>
      <c r="H285" s="9">
        <f>IF($T285=0,"",IF($I285="Bloomberg",IF(INDEX('Market Data'!$N$5:$N$528,$T285)="","time unavailable",INDEX('Market Data'!$N$5:$N$528,$T285)),""))</f>
        <v/>
      </c>
      <c r="I285" s="9">
        <f>IF($T285=0,"",INDEX('Market Data'!$P$5:$P$528,$T285))</f>
        <v/>
      </c>
      <c r="J285" s="13">
        <f>IF($T285=0,"",IF(INDEX('Market Data'!$E$5:$E$528,$T285)="","",INDEX('Market Data'!$E$5:$E$528,$T285)))</f>
        <v/>
      </c>
      <c r="K285" s="8">
        <f>IF($T285=0,"",IF(INDEX('Market Data'!$I$5:$I$528,$T285)="","",INDEX('Market Data'!$I$5:$I$528,$T285)))</f>
        <v/>
      </c>
      <c r="L285" s="10">
        <f>IF($T285=0,"",IF(INDEX('Market Data'!$J$5:$J$528,$T285)=0,"n/a",IF(AND($M$5&lt;&gt;"Snapshot",ISNUMBER(INDEX('Market Data'!$AH$5:$AH$66,INDEX('Market Data'!$J$5:$J$528,$T285)-4)),N(INDEX('Market Data'!$AH$5:$AH$66,INDEX('Market Data'!$J$5:$J$528,$T285)-4))&gt;0),INDEX('Market Data'!$AH$5:$AH$66,INDEX('Market Data'!$J$5:$J$528,$T285)-4),IF(AND($M$5&lt;&gt;"Bloomberg",ISNUMBER(INDEX('Market Data'!$AC$5:$AC$66,INDEX('Market Data'!$J$5:$J$528,$T285)-4)),N(INDEX('Market Data'!$AC$5:$AC$66,INDEX('Market Data'!$J$5:$J$528,$T285)-4))&gt;0),INDEX('Market Data'!$AC$5:$AC$66,INDEX('Market Data'!$J$5:$J$528,$T285)-4),"unavailable"))))</f>
        <v/>
      </c>
      <c r="M285" s="11">
        <f>IF($T285=0,"",IF(INDEX('Market Data'!$J$5:$J$528,$T285)=0,"n/a",IF(IF(INDEX('Market Data'!$J$5:$J$528,$T285)=0,0,IF(LEFT(INDEX('Market Data'!$AS$5:$AS$66,INDEX('Market Data'!$J$5:$J$528,$T285)-4),11)="First-month",1,0))=1,"class review",IF($I285="Bloomberg",IF(AND(ISNUMBER(INDEX('Market Data'!$AH$5:$AH$66,INDEX('Market Data'!$J$5:$J$528,$T285)-4)),N(INDEX('Market Data'!$AH$5:$AH$66,INDEX('Market Data'!$J$5:$J$528,$T285)-4))&gt;0,ISNUMBER('Market Data'!$B$1),N('Market Data'!$B$1)&gt;0),INDEX('Market Data'!$AH$5:$AH$66,INDEX('Market Data'!$J$5:$J$528,$T285)-4)*'Market Data'!$B$1/$E285-1,"pending A/FX"),IF(AND($I285="Snapshot",$Q285="Snapshot",ISNUMBER($E285),$G285=INDEX('Market Data'!$AE$5:$AE$66,INDEX('Market Data'!$J$5:$J$528,$T285)-4)),IFERROR(INDEX('Market Data'!$AC$5:$AC$66,INDEX('Market Data'!$J$5:$J$528,$T285)-4)*INDEX('Market Data'!$AD$5:$AD$66,INDEX('Market Data'!$J$5:$J$528,$T285)-4)/$E285-1,"unavailable"),IF($I285="Unavailable","unavailable","date mismatch"))))))</f>
        <v/>
      </c>
      <c r="N285" s="11">
        <f>IF($T285=0,"",IFERROR(IF(AND(N(INDEX('Market Data'!$F$5:$F$528,$T285))&gt;0,ISNUMBER(INDEX('Market Data'!$T$5:$T$528,$T285))),$E285*INDEX('Market Data'!$T$5:$T$528,$T285)/INDEX('Market Data'!$F$5:$F$528,$T285)-1,"unavailable"),"unavailable"))</f>
        <v/>
      </c>
      <c r="O285" s="9">
        <f>IF($T285=0,"",IF(IF(INDEX('Market Data'!$J$5:$J$528,$T285)=0,0,IF(LEFT(INDEX('Market Data'!$AS$5:$AS$66,INDEX('Market Data'!$J$5:$J$528,$T285)-4),11)="First-month",1,0))=1,"Class ratio review",IF($I285="Bloomberg",IF(ISNUMBER($G285),IF($G285&lt;TODAY(),"Older quote","See quote time"),"Date unavailable"),IF($I285="Snapshot",IF($G285&lt;DATEVALUE("2026-10-02"),"Older snapshot","Dated close"),"No valid quote"))))</f>
        <v/>
      </c>
      <c r="P285" s="14">
        <f>IF($T285=0,"",IF(INDEX('Market Data'!$J$5:$J$528,$T285)=0,"n/a",IF($Q285="Bloomberg",IF(AND(ISNUMBER(INDEX('Market Data'!$AK$5:$AK$66,INDEX('Market Data'!$J$5:$J$528,$T285)-4)),N(INDEX('Market Data'!$AK$5:$AK$66,INDEX('Market Data'!$J$5:$J$528,$T285)-4))&gt;0),INDEX('Market Data'!$AK$5:$AK$66,INDEX('Market Data'!$J$5:$J$528,$T285)-4),"date unavailable"),IF($Q285="Snapshot",IF(AND(ISNUMBER(INDEX('Market Data'!$AF$5:$AF$66,INDEX('Market Data'!$J$5:$J$528,$T285)-4)),N(INDEX('Market Data'!$AF$5:$AF$66,INDEX('Market Data'!$J$5:$J$528,$T285)-4))&gt;0),INDEX('Market Data'!$AF$5:$AF$66,INDEX('Market Data'!$J$5:$J$528,$T285)-4),"date unavailable"),"date unavailable"))))</f>
        <v/>
      </c>
      <c r="Q285" s="15">
        <f>IF($T285=0,"",IF(INDEX('Market Data'!$J$5:$J$528,$T285)=0,"n/a",IF(AND($M$5&lt;&gt;"Snapshot",ISNUMBER(INDEX('Market Data'!$AH$5:$AH$66,INDEX('Market Data'!$J$5:$J$528,$T285)-4)),N(INDEX('Market Data'!$AH$5:$AH$66,INDEX('Market Data'!$J$5:$J$528,$T285)-4))&gt;0),"Bloomberg",IF(AND($M$5&lt;&gt;"Bloomberg",ISNUMBER(INDEX('Market Data'!$AC$5:$AC$66,INDEX('Market Data'!$J$5:$J$528,$T285)-4)),N(INDEX('Market Data'!$AC$5:$AC$66,INDEX('Market Data'!$J$5:$J$528,$T285)-4))&gt;0),"Snapshot","Unavailable"))))</f>
        <v/>
      </c>
      <c r="T285">
        <f>IFERROR(MATCH(277,'Market Data'!$S$5:$S$528,0),0)</f>
        <v/>
      </c>
    </row>
    <row r="286" ht="34" customHeight="1">
      <c r="A286" s="8">
        <f>IF($T286=0,"",IF(INDEX('Market Data'!$A$5:$A$528,$T286)="","",INDEX('Market Data'!$A$5:$A$528,$T286)))</f>
        <v/>
      </c>
      <c r="B286" s="9">
        <f>IF($T286=0,"",IF(INDEX('Market Data'!$B$5:$B$528,$T286)="","",INDEX('Market Data'!$B$5:$B$528,$T286)))</f>
        <v/>
      </c>
      <c r="C286" s="9">
        <f>IF($T286=0,"",IF(INDEX('Market Data'!$C$5:$C$528,$T286)="","",INDEX('Market Data'!$C$5:$C$528,$T286)))</f>
        <v/>
      </c>
      <c r="D286" s="9">
        <f>IF($T286=0,"",IF(INDEX('Market Data'!$D$5:$D$528,$T286)="","",INDEX('Market Data'!$D$5:$D$528,$T286)))</f>
        <v/>
      </c>
      <c r="E286" s="10">
        <f>IF($T286=0,"",INDEX('Market Data'!$O$5:$O$528,$T286))</f>
        <v/>
      </c>
      <c r="F286" s="11">
        <f>IF($T286=0,"",IF(AND($I286="Bloomberg",ISNUMBER(INDEX('Market Data'!$L$5:$L$528,$T286))),INDEX('Market Data'!$L$5:$L$528,$T286),"unavailable"))</f>
        <v/>
      </c>
      <c r="G286" s="12">
        <f>IF($T286=0,"",IF($I286="Bloomberg",IF(AND(ISNUMBER(INDEX('Market Data'!$M$5:$M$528,$T286)),N(INDEX('Market Data'!$M$5:$M$528,$T286))&gt;0),INDEX('Market Data'!$M$5:$M$528,$T286),"date unavailable"),IF($I286="Snapshot",IF(AND(ISNUMBER(INDEX('Market Data'!$H$5:$H$528,$T286)),N(INDEX('Market Data'!$H$5:$H$528,$T286))&gt;0),INDEX('Market Data'!$H$5:$H$528,$T286),"date unavailable"),"date unavailable")))</f>
        <v/>
      </c>
      <c r="H286" s="9">
        <f>IF($T286=0,"",IF($I286="Bloomberg",IF(INDEX('Market Data'!$N$5:$N$528,$T286)="","time unavailable",INDEX('Market Data'!$N$5:$N$528,$T286)),""))</f>
        <v/>
      </c>
      <c r="I286" s="9">
        <f>IF($T286=0,"",INDEX('Market Data'!$P$5:$P$528,$T286))</f>
        <v/>
      </c>
      <c r="J286" s="13">
        <f>IF($T286=0,"",IF(INDEX('Market Data'!$E$5:$E$528,$T286)="","",INDEX('Market Data'!$E$5:$E$528,$T286)))</f>
        <v/>
      </c>
      <c r="K286" s="8">
        <f>IF($T286=0,"",IF(INDEX('Market Data'!$I$5:$I$528,$T286)="","",INDEX('Market Data'!$I$5:$I$528,$T286)))</f>
        <v/>
      </c>
      <c r="L286" s="10">
        <f>IF($T286=0,"",IF(INDEX('Market Data'!$J$5:$J$528,$T286)=0,"n/a",IF(AND($M$5&lt;&gt;"Snapshot",ISNUMBER(INDEX('Market Data'!$AH$5:$AH$66,INDEX('Market Data'!$J$5:$J$528,$T286)-4)),N(INDEX('Market Data'!$AH$5:$AH$66,INDEX('Market Data'!$J$5:$J$528,$T286)-4))&gt;0),INDEX('Market Data'!$AH$5:$AH$66,INDEX('Market Data'!$J$5:$J$528,$T286)-4),IF(AND($M$5&lt;&gt;"Bloomberg",ISNUMBER(INDEX('Market Data'!$AC$5:$AC$66,INDEX('Market Data'!$J$5:$J$528,$T286)-4)),N(INDEX('Market Data'!$AC$5:$AC$66,INDEX('Market Data'!$J$5:$J$528,$T286)-4))&gt;0),INDEX('Market Data'!$AC$5:$AC$66,INDEX('Market Data'!$J$5:$J$528,$T286)-4),"unavailable"))))</f>
        <v/>
      </c>
      <c r="M286" s="11">
        <f>IF($T286=0,"",IF(INDEX('Market Data'!$J$5:$J$528,$T286)=0,"n/a",IF(IF(INDEX('Market Data'!$J$5:$J$528,$T286)=0,0,IF(LEFT(INDEX('Market Data'!$AS$5:$AS$66,INDEX('Market Data'!$J$5:$J$528,$T286)-4),11)="First-month",1,0))=1,"class review",IF($I286="Bloomberg",IF(AND(ISNUMBER(INDEX('Market Data'!$AH$5:$AH$66,INDEX('Market Data'!$J$5:$J$528,$T286)-4)),N(INDEX('Market Data'!$AH$5:$AH$66,INDEX('Market Data'!$J$5:$J$528,$T286)-4))&gt;0,ISNUMBER('Market Data'!$B$1),N('Market Data'!$B$1)&gt;0),INDEX('Market Data'!$AH$5:$AH$66,INDEX('Market Data'!$J$5:$J$528,$T286)-4)*'Market Data'!$B$1/$E286-1,"pending A/FX"),IF(AND($I286="Snapshot",$Q286="Snapshot",ISNUMBER($E286),$G286=INDEX('Market Data'!$AE$5:$AE$66,INDEX('Market Data'!$J$5:$J$528,$T286)-4)),IFERROR(INDEX('Market Data'!$AC$5:$AC$66,INDEX('Market Data'!$J$5:$J$528,$T286)-4)*INDEX('Market Data'!$AD$5:$AD$66,INDEX('Market Data'!$J$5:$J$528,$T286)-4)/$E286-1,"unavailable"),IF($I286="Unavailable","unavailable","date mismatch"))))))</f>
        <v/>
      </c>
      <c r="N286" s="11">
        <f>IF($T286=0,"",IFERROR(IF(AND(N(INDEX('Market Data'!$F$5:$F$528,$T286))&gt;0,ISNUMBER(INDEX('Market Data'!$T$5:$T$528,$T286))),$E286*INDEX('Market Data'!$T$5:$T$528,$T286)/INDEX('Market Data'!$F$5:$F$528,$T286)-1,"unavailable"),"unavailable"))</f>
        <v/>
      </c>
      <c r="O286" s="9">
        <f>IF($T286=0,"",IF(IF(INDEX('Market Data'!$J$5:$J$528,$T286)=0,0,IF(LEFT(INDEX('Market Data'!$AS$5:$AS$66,INDEX('Market Data'!$J$5:$J$528,$T286)-4),11)="First-month",1,0))=1,"Class ratio review",IF($I286="Bloomberg",IF(ISNUMBER($G286),IF($G286&lt;TODAY(),"Older quote","See quote time"),"Date unavailable"),IF($I286="Snapshot",IF($G286&lt;DATEVALUE("2026-10-02"),"Older snapshot","Dated close"),"No valid quote"))))</f>
        <v/>
      </c>
      <c r="P286" s="14">
        <f>IF($T286=0,"",IF(INDEX('Market Data'!$J$5:$J$528,$T286)=0,"n/a",IF($Q286="Bloomberg",IF(AND(ISNUMBER(INDEX('Market Data'!$AK$5:$AK$66,INDEX('Market Data'!$J$5:$J$528,$T286)-4)),N(INDEX('Market Data'!$AK$5:$AK$66,INDEX('Market Data'!$J$5:$J$528,$T286)-4))&gt;0),INDEX('Market Data'!$AK$5:$AK$66,INDEX('Market Data'!$J$5:$J$528,$T286)-4),"date unavailable"),IF($Q286="Snapshot",IF(AND(ISNUMBER(INDEX('Market Data'!$AF$5:$AF$66,INDEX('Market Data'!$J$5:$J$528,$T286)-4)),N(INDEX('Market Data'!$AF$5:$AF$66,INDEX('Market Data'!$J$5:$J$528,$T286)-4))&gt;0),INDEX('Market Data'!$AF$5:$AF$66,INDEX('Market Data'!$J$5:$J$528,$T286)-4),"date unavailable"),"date unavailable"))))</f>
        <v/>
      </c>
      <c r="Q286" s="15">
        <f>IF($T286=0,"",IF(INDEX('Market Data'!$J$5:$J$528,$T286)=0,"n/a",IF(AND($M$5&lt;&gt;"Snapshot",ISNUMBER(INDEX('Market Data'!$AH$5:$AH$66,INDEX('Market Data'!$J$5:$J$528,$T286)-4)),N(INDEX('Market Data'!$AH$5:$AH$66,INDEX('Market Data'!$J$5:$J$528,$T286)-4))&gt;0),"Bloomberg",IF(AND($M$5&lt;&gt;"Bloomberg",ISNUMBER(INDEX('Market Data'!$AC$5:$AC$66,INDEX('Market Data'!$J$5:$J$528,$T286)-4)),N(INDEX('Market Data'!$AC$5:$AC$66,INDEX('Market Data'!$J$5:$J$528,$T286)-4))&gt;0),"Snapshot","Unavailable"))))</f>
        <v/>
      </c>
      <c r="T286">
        <f>IFERROR(MATCH(278,'Market Data'!$S$5:$S$528,0),0)</f>
        <v/>
      </c>
    </row>
    <row r="287" ht="34" customHeight="1">
      <c r="A287" s="8">
        <f>IF($T287=0,"",IF(INDEX('Market Data'!$A$5:$A$528,$T287)="","",INDEX('Market Data'!$A$5:$A$528,$T287)))</f>
        <v/>
      </c>
      <c r="B287" s="9">
        <f>IF($T287=0,"",IF(INDEX('Market Data'!$B$5:$B$528,$T287)="","",INDEX('Market Data'!$B$5:$B$528,$T287)))</f>
        <v/>
      </c>
      <c r="C287" s="9">
        <f>IF($T287=0,"",IF(INDEX('Market Data'!$C$5:$C$528,$T287)="","",INDEX('Market Data'!$C$5:$C$528,$T287)))</f>
        <v/>
      </c>
      <c r="D287" s="9">
        <f>IF($T287=0,"",IF(INDEX('Market Data'!$D$5:$D$528,$T287)="","",INDEX('Market Data'!$D$5:$D$528,$T287)))</f>
        <v/>
      </c>
      <c r="E287" s="10">
        <f>IF($T287=0,"",INDEX('Market Data'!$O$5:$O$528,$T287))</f>
        <v/>
      </c>
      <c r="F287" s="11">
        <f>IF($T287=0,"",IF(AND($I287="Bloomberg",ISNUMBER(INDEX('Market Data'!$L$5:$L$528,$T287))),INDEX('Market Data'!$L$5:$L$528,$T287),"unavailable"))</f>
        <v/>
      </c>
      <c r="G287" s="12">
        <f>IF($T287=0,"",IF($I287="Bloomberg",IF(AND(ISNUMBER(INDEX('Market Data'!$M$5:$M$528,$T287)),N(INDEX('Market Data'!$M$5:$M$528,$T287))&gt;0),INDEX('Market Data'!$M$5:$M$528,$T287),"date unavailable"),IF($I287="Snapshot",IF(AND(ISNUMBER(INDEX('Market Data'!$H$5:$H$528,$T287)),N(INDEX('Market Data'!$H$5:$H$528,$T287))&gt;0),INDEX('Market Data'!$H$5:$H$528,$T287),"date unavailable"),"date unavailable")))</f>
        <v/>
      </c>
      <c r="H287" s="9">
        <f>IF($T287=0,"",IF($I287="Bloomberg",IF(INDEX('Market Data'!$N$5:$N$528,$T287)="","time unavailable",INDEX('Market Data'!$N$5:$N$528,$T287)),""))</f>
        <v/>
      </c>
      <c r="I287" s="9">
        <f>IF($T287=0,"",INDEX('Market Data'!$P$5:$P$528,$T287))</f>
        <v/>
      </c>
      <c r="J287" s="13">
        <f>IF($T287=0,"",IF(INDEX('Market Data'!$E$5:$E$528,$T287)="","",INDEX('Market Data'!$E$5:$E$528,$T287)))</f>
        <v/>
      </c>
      <c r="K287" s="8">
        <f>IF($T287=0,"",IF(INDEX('Market Data'!$I$5:$I$528,$T287)="","",INDEX('Market Data'!$I$5:$I$528,$T287)))</f>
        <v/>
      </c>
      <c r="L287" s="10">
        <f>IF($T287=0,"",IF(INDEX('Market Data'!$J$5:$J$528,$T287)=0,"n/a",IF(AND($M$5&lt;&gt;"Snapshot",ISNUMBER(INDEX('Market Data'!$AH$5:$AH$66,INDEX('Market Data'!$J$5:$J$528,$T287)-4)),N(INDEX('Market Data'!$AH$5:$AH$66,INDEX('Market Data'!$J$5:$J$528,$T287)-4))&gt;0),INDEX('Market Data'!$AH$5:$AH$66,INDEX('Market Data'!$J$5:$J$528,$T287)-4),IF(AND($M$5&lt;&gt;"Bloomberg",ISNUMBER(INDEX('Market Data'!$AC$5:$AC$66,INDEX('Market Data'!$J$5:$J$528,$T287)-4)),N(INDEX('Market Data'!$AC$5:$AC$66,INDEX('Market Data'!$J$5:$J$528,$T287)-4))&gt;0),INDEX('Market Data'!$AC$5:$AC$66,INDEX('Market Data'!$J$5:$J$528,$T287)-4),"unavailable"))))</f>
        <v/>
      </c>
      <c r="M287" s="11">
        <f>IF($T287=0,"",IF(INDEX('Market Data'!$J$5:$J$528,$T287)=0,"n/a",IF(IF(INDEX('Market Data'!$J$5:$J$528,$T287)=0,0,IF(LEFT(INDEX('Market Data'!$AS$5:$AS$66,INDEX('Market Data'!$J$5:$J$528,$T287)-4),11)="First-month",1,0))=1,"class review",IF($I287="Bloomberg",IF(AND(ISNUMBER(INDEX('Market Data'!$AH$5:$AH$66,INDEX('Market Data'!$J$5:$J$528,$T287)-4)),N(INDEX('Market Data'!$AH$5:$AH$66,INDEX('Market Data'!$J$5:$J$528,$T287)-4))&gt;0,ISNUMBER('Market Data'!$B$1),N('Market Data'!$B$1)&gt;0),INDEX('Market Data'!$AH$5:$AH$66,INDEX('Market Data'!$J$5:$J$528,$T287)-4)*'Market Data'!$B$1/$E287-1,"pending A/FX"),IF(AND($I287="Snapshot",$Q287="Snapshot",ISNUMBER($E287),$G287=INDEX('Market Data'!$AE$5:$AE$66,INDEX('Market Data'!$J$5:$J$528,$T287)-4)),IFERROR(INDEX('Market Data'!$AC$5:$AC$66,INDEX('Market Data'!$J$5:$J$528,$T287)-4)*INDEX('Market Data'!$AD$5:$AD$66,INDEX('Market Data'!$J$5:$J$528,$T287)-4)/$E287-1,"unavailable"),IF($I287="Unavailable","unavailable","date mismatch"))))))</f>
        <v/>
      </c>
      <c r="N287" s="11">
        <f>IF($T287=0,"",IFERROR(IF(AND(N(INDEX('Market Data'!$F$5:$F$528,$T287))&gt;0,ISNUMBER(INDEX('Market Data'!$T$5:$T$528,$T287))),$E287*INDEX('Market Data'!$T$5:$T$528,$T287)/INDEX('Market Data'!$F$5:$F$528,$T287)-1,"unavailable"),"unavailable"))</f>
        <v/>
      </c>
      <c r="O287" s="9">
        <f>IF($T287=0,"",IF(IF(INDEX('Market Data'!$J$5:$J$528,$T287)=0,0,IF(LEFT(INDEX('Market Data'!$AS$5:$AS$66,INDEX('Market Data'!$J$5:$J$528,$T287)-4),11)="First-month",1,0))=1,"Class ratio review",IF($I287="Bloomberg",IF(ISNUMBER($G287),IF($G287&lt;TODAY(),"Older quote","See quote time"),"Date unavailable"),IF($I287="Snapshot",IF($G287&lt;DATEVALUE("2026-10-02"),"Older snapshot","Dated close"),"No valid quote"))))</f>
        <v/>
      </c>
      <c r="P287" s="14">
        <f>IF($T287=0,"",IF(INDEX('Market Data'!$J$5:$J$528,$T287)=0,"n/a",IF($Q287="Bloomberg",IF(AND(ISNUMBER(INDEX('Market Data'!$AK$5:$AK$66,INDEX('Market Data'!$J$5:$J$528,$T287)-4)),N(INDEX('Market Data'!$AK$5:$AK$66,INDEX('Market Data'!$J$5:$J$528,$T287)-4))&gt;0),INDEX('Market Data'!$AK$5:$AK$66,INDEX('Market Data'!$J$5:$J$528,$T287)-4),"date unavailable"),IF($Q287="Snapshot",IF(AND(ISNUMBER(INDEX('Market Data'!$AF$5:$AF$66,INDEX('Market Data'!$J$5:$J$528,$T287)-4)),N(INDEX('Market Data'!$AF$5:$AF$66,INDEX('Market Data'!$J$5:$J$528,$T287)-4))&gt;0),INDEX('Market Data'!$AF$5:$AF$66,INDEX('Market Data'!$J$5:$J$528,$T287)-4),"date unavailable"),"date unavailable"))))</f>
        <v/>
      </c>
      <c r="Q287" s="15">
        <f>IF($T287=0,"",IF(INDEX('Market Data'!$J$5:$J$528,$T287)=0,"n/a",IF(AND($M$5&lt;&gt;"Snapshot",ISNUMBER(INDEX('Market Data'!$AH$5:$AH$66,INDEX('Market Data'!$J$5:$J$528,$T287)-4)),N(INDEX('Market Data'!$AH$5:$AH$66,INDEX('Market Data'!$J$5:$J$528,$T287)-4))&gt;0),"Bloomberg",IF(AND($M$5&lt;&gt;"Bloomberg",ISNUMBER(INDEX('Market Data'!$AC$5:$AC$66,INDEX('Market Data'!$J$5:$J$528,$T287)-4)),N(INDEX('Market Data'!$AC$5:$AC$66,INDEX('Market Data'!$J$5:$J$528,$T287)-4))&gt;0),"Snapshot","Unavailable"))))</f>
        <v/>
      </c>
      <c r="T287">
        <f>IFERROR(MATCH(279,'Market Data'!$S$5:$S$528,0),0)</f>
        <v/>
      </c>
    </row>
    <row r="288" ht="34" customHeight="1">
      <c r="A288" s="8">
        <f>IF($T288=0,"",IF(INDEX('Market Data'!$A$5:$A$528,$T288)="","",INDEX('Market Data'!$A$5:$A$528,$T288)))</f>
        <v/>
      </c>
      <c r="B288" s="9">
        <f>IF($T288=0,"",IF(INDEX('Market Data'!$B$5:$B$528,$T288)="","",INDEX('Market Data'!$B$5:$B$528,$T288)))</f>
        <v/>
      </c>
      <c r="C288" s="9">
        <f>IF($T288=0,"",IF(INDEX('Market Data'!$C$5:$C$528,$T288)="","",INDEX('Market Data'!$C$5:$C$528,$T288)))</f>
        <v/>
      </c>
      <c r="D288" s="9">
        <f>IF($T288=0,"",IF(INDEX('Market Data'!$D$5:$D$528,$T288)="","",INDEX('Market Data'!$D$5:$D$528,$T288)))</f>
        <v/>
      </c>
      <c r="E288" s="10">
        <f>IF($T288=0,"",INDEX('Market Data'!$O$5:$O$528,$T288))</f>
        <v/>
      </c>
      <c r="F288" s="11">
        <f>IF($T288=0,"",IF(AND($I288="Bloomberg",ISNUMBER(INDEX('Market Data'!$L$5:$L$528,$T288))),INDEX('Market Data'!$L$5:$L$528,$T288),"unavailable"))</f>
        <v/>
      </c>
      <c r="G288" s="12">
        <f>IF($T288=0,"",IF($I288="Bloomberg",IF(AND(ISNUMBER(INDEX('Market Data'!$M$5:$M$528,$T288)),N(INDEX('Market Data'!$M$5:$M$528,$T288))&gt;0),INDEX('Market Data'!$M$5:$M$528,$T288),"date unavailable"),IF($I288="Snapshot",IF(AND(ISNUMBER(INDEX('Market Data'!$H$5:$H$528,$T288)),N(INDEX('Market Data'!$H$5:$H$528,$T288))&gt;0),INDEX('Market Data'!$H$5:$H$528,$T288),"date unavailable"),"date unavailable")))</f>
        <v/>
      </c>
      <c r="H288" s="9">
        <f>IF($T288=0,"",IF($I288="Bloomberg",IF(INDEX('Market Data'!$N$5:$N$528,$T288)="","time unavailable",INDEX('Market Data'!$N$5:$N$528,$T288)),""))</f>
        <v/>
      </c>
      <c r="I288" s="9">
        <f>IF($T288=0,"",INDEX('Market Data'!$P$5:$P$528,$T288))</f>
        <v/>
      </c>
      <c r="J288" s="13">
        <f>IF($T288=0,"",IF(INDEX('Market Data'!$E$5:$E$528,$T288)="","",INDEX('Market Data'!$E$5:$E$528,$T288)))</f>
        <v/>
      </c>
      <c r="K288" s="8">
        <f>IF($T288=0,"",IF(INDEX('Market Data'!$I$5:$I$528,$T288)="","",INDEX('Market Data'!$I$5:$I$528,$T288)))</f>
        <v/>
      </c>
      <c r="L288" s="10">
        <f>IF($T288=0,"",IF(INDEX('Market Data'!$J$5:$J$528,$T288)=0,"n/a",IF(AND($M$5&lt;&gt;"Snapshot",ISNUMBER(INDEX('Market Data'!$AH$5:$AH$66,INDEX('Market Data'!$J$5:$J$528,$T288)-4)),N(INDEX('Market Data'!$AH$5:$AH$66,INDEX('Market Data'!$J$5:$J$528,$T288)-4))&gt;0),INDEX('Market Data'!$AH$5:$AH$66,INDEX('Market Data'!$J$5:$J$528,$T288)-4),IF(AND($M$5&lt;&gt;"Bloomberg",ISNUMBER(INDEX('Market Data'!$AC$5:$AC$66,INDEX('Market Data'!$J$5:$J$528,$T288)-4)),N(INDEX('Market Data'!$AC$5:$AC$66,INDEX('Market Data'!$J$5:$J$528,$T288)-4))&gt;0),INDEX('Market Data'!$AC$5:$AC$66,INDEX('Market Data'!$J$5:$J$528,$T288)-4),"unavailable"))))</f>
        <v/>
      </c>
      <c r="M288" s="11">
        <f>IF($T288=0,"",IF(INDEX('Market Data'!$J$5:$J$528,$T288)=0,"n/a",IF(IF(INDEX('Market Data'!$J$5:$J$528,$T288)=0,0,IF(LEFT(INDEX('Market Data'!$AS$5:$AS$66,INDEX('Market Data'!$J$5:$J$528,$T288)-4),11)="First-month",1,0))=1,"class review",IF($I288="Bloomberg",IF(AND(ISNUMBER(INDEX('Market Data'!$AH$5:$AH$66,INDEX('Market Data'!$J$5:$J$528,$T288)-4)),N(INDEX('Market Data'!$AH$5:$AH$66,INDEX('Market Data'!$J$5:$J$528,$T288)-4))&gt;0,ISNUMBER('Market Data'!$B$1),N('Market Data'!$B$1)&gt;0),INDEX('Market Data'!$AH$5:$AH$66,INDEX('Market Data'!$J$5:$J$528,$T288)-4)*'Market Data'!$B$1/$E288-1,"pending A/FX"),IF(AND($I288="Snapshot",$Q288="Snapshot",ISNUMBER($E288),$G288=INDEX('Market Data'!$AE$5:$AE$66,INDEX('Market Data'!$J$5:$J$528,$T288)-4)),IFERROR(INDEX('Market Data'!$AC$5:$AC$66,INDEX('Market Data'!$J$5:$J$528,$T288)-4)*INDEX('Market Data'!$AD$5:$AD$66,INDEX('Market Data'!$J$5:$J$528,$T288)-4)/$E288-1,"unavailable"),IF($I288="Unavailable","unavailable","date mismatch"))))))</f>
        <v/>
      </c>
      <c r="N288" s="11">
        <f>IF($T288=0,"",IFERROR(IF(AND(N(INDEX('Market Data'!$F$5:$F$528,$T288))&gt;0,ISNUMBER(INDEX('Market Data'!$T$5:$T$528,$T288))),$E288*INDEX('Market Data'!$T$5:$T$528,$T288)/INDEX('Market Data'!$F$5:$F$528,$T288)-1,"unavailable"),"unavailable"))</f>
        <v/>
      </c>
      <c r="O288" s="9">
        <f>IF($T288=0,"",IF(IF(INDEX('Market Data'!$J$5:$J$528,$T288)=0,0,IF(LEFT(INDEX('Market Data'!$AS$5:$AS$66,INDEX('Market Data'!$J$5:$J$528,$T288)-4),11)="First-month",1,0))=1,"Class ratio review",IF($I288="Bloomberg",IF(ISNUMBER($G288),IF($G288&lt;TODAY(),"Older quote","See quote time"),"Date unavailable"),IF($I288="Snapshot",IF($G288&lt;DATEVALUE("2026-10-02"),"Older snapshot","Dated close"),"No valid quote"))))</f>
        <v/>
      </c>
      <c r="P288" s="14">
        <f>IF($T288=0,"",IF(INDEX('Market Data'!$J$5:$J$528,$T288)=0,"n/a",IF($Q288="Bloomberg",IF(AND(ISNUMBER(INDEX('Market Data'!$AK$5:$AK$66,INDEX('Market Data'!$J$5:$J$528,$T288)-4)),N(INDEX('Market Data'!$AK$5:$AK$66,INDEX('Market Data'!$J$5:$J$528,$T288)-4))&gt;0),INDEX('Market Data'!$AK$5:$AK$66,INDEX('Market Data'!$J$5:$J$528,$T288)-4),"date unavailable"),IF($Q288="Snapshot",IF(AND(ISNUMBER(INDEX('Market Data'!$AF$5:$AF$66,INDEX('Market Data'!$J$5:$J$528,$T288)-4)),N(INDEX('Market Data'!$AF$5:$AF$66,INDEX('Market Data'!$J$5:$J$528,$T288)-4))&gt;0),INDEX('Market Data'!$AF$5:$AF$66,INDEX('Market Data'!$J$5:$J$528,$T288)-4),"date unavailable"),"date unavailable"))))</f>
        <v/>
      </c>
      <c r="Q288" s="15">
        <f>IF($T288=0,"",IF(INDEX('Market Data'!$J$5:$J$528,$T288)=0,"n/a",IF(AND($M$5&lt;&gt;"Snapshot",ISNUMBER(INDEX('Market Data'!$AH$5:$AH$66,INDEX('Market Data'!$J$5:$J$528,$T288)-4)),N(INDEX('Market Data'!$AH$5:$AH$66,INDEX('Market Data'!$J$5:$J$528,$T288)-4))&gt;0),"Bloomberg",IF(AND($M$5&lt;&gt;"Bloomberg",ISNUMBER(INDEX('Market Data'!$AC$5:$AC$66,INDEX('Market Data'!$J$5:$J$528,$T288)-4)),N(INDEX('Market Data'!$AC$5:$AC$66,INDEX('Market Data'!$J$5:$J$528,$T288)-4))&gt;0),"Snapshot","Unavailable"))))</f>
        <v/>
      </c>
      <c r="T288">
        <f>IFERROR(MATCH(280,'Market Data'!$S$5:$S$528,0),0)</f>
        <v/>
      </c>
    </row>
    <row r="289" ht="34" customHeight="1">
      <c r="A289" s="8">
        <f>IF($T289=0,"",IF(INDEX('Market Data'!$A$5:$A$528,$T289)="","",INDEX('Market Data'!$A$5:$A$528,$T289)))</f>
        <v/>
      </c>
      <c r="B289" s="9">
        <f>IF($T289=0,"",IF(INDEX('Market Data'!$B$5:$B$528,$T289)="","",INDEX('Market Data'!$B$5:$B$528,$T289)))</f>
        <v/>
      </c>
      <c r="C289" s="9">
        <f>IF($T289=0,"",IF(INDEX('Market Data'!$C$5:$C$528,$T289)="","",INDEX('Market Data'!$C$5:$C$528,$T289)))</f>
        <v/>
      </c>
      <c r="D289" s="9">
        <f>IF($T289=0,"",IF(INDEX('Market Data'!$D$5:$D$528,$T289)="","",INDEX('Market Data'!$D$5:$D$528,$T289)))</f>
        <v/>
      </c>
      <c r="E289" s="10">
        <f>IF($T289=0,"",INDEX('Market Data'!$O$5:$O$528,$T289))</f>
        <v/>
      </c>
      <c r="F289" s="11">
        <f>IF($T289=0,"",IF(AND($I289="Bloomberg",ISNUMBER(INDEX('Market Data'!$L$5:$L$528,$T289))),INDEX('Market Data'!$L$5:$L$528,$T289),"unavailable"))</f>
        <v/>
      </c>
      <c r="G289" s="12">
        <f>IF($T289=0,"",IF($I289="Bloomberg",IF(AND(ISNUMBER(INDEX('Market Data'!$M$5:$M$528,$T289)),N(INDEX('Market Data'!$M$5:$M$528,$T289))&gt;0),INDEX('Market Data'!$M$5:$M$528,$T289),"date unavailable"),IF($I289="Snapshot",IF(AND(ISNUMBER(INDEX('Market Data'!$H$5:$H$528,$T289)),N(INDEX('Market Data'!$H$5:$H$528,$T289))&gt;0),INDEX('Market Data'!$H$5:$H$528,$T289),"date unavailable"),"date unavailable")))</f>
        <v/>
      </c>
      <c r="H289" s="9">
        <f>IF($T289=0,"",IF($I289="Bloomberg",IF(INDEX('Market Data'!$N$5:$N$528,$T289)="","time unavailable",INDEX('Market Data'!$N$5:$N$528,$T289)),""))</f>
        <v/>
      </c>
      <c r="I289" s="9">
        <f>IF($T289=0,"",INDEX('Market Data'!$P$5:$P$528,$T289))</f>
        <v/>
      </c>
      <c r="J289" s="13">
        <f>IF($T289=0,"",IF(INDEX('Market Data'!$E$5:$E$528,$T289)="","",INDEX('Market Data'!$E$5:$E$528,$T289)))</f>
        <v/>
      </c>
      <c r="K289" s="8">
        <f>IF($T289=0,"",IF(INDEX('Market Data'!$I$5:$I$528,$T289)="","",INDEX('Market Data'!$I$5:$I$528,$T289)))</f>
        <v/>
      </c>
      <c r="L289" s="10">
        <f>IF($T289=0,"",IF(INDEX('Market Data'!$J$5:$J$528,$T289)=0,"n/a",IF(AND($M$5&lt;&gt;"Snapshot",ISNUMBER(INDEX('Market Data'!$AH$5:$AH$66,INDEX('Market Data'!$J$5:$J$528,$T289)-4)),N(INDEX('Market Data'!$AH$5:$AH$66,INDEX('Market Data'!$J$5:$J$528,$T289)-4))&gt;0),INDEX('Market Data'!$AH$5:$AH$66,INDEX('Market Data'!$J$5:$J$528,$T289)-4),IF(AND($M$5&lt;&gt;"Bloomberg",ISNUMBER(INDEX('Market Data'!$AC$5:$AC$66,INDEX('Market Data'!$J$5:$J$528,$T289)-4)),N(INDEX('Market Data'!$AC$5:$AC$66,INDEX('Market Data'!$J$5:$J$528,$T289)-4))&gt;0),INDEX('Market Data'!$AC$5:$AC$66,INDEX('Market Data'!$J$5:$J$528,$T289)-4),"unavailable"))))</f>
        <v/>
      </c>
      <c r="M289" s="11">
        <f>IF($T289=0,"",IF(INDEX('Market Data'!$J$5:$J$528,$T289)=0,"n/a",IF(IF(INDEX('Market Data'!$J$5:$J$528,$T289)=0,0,IF(LEFT(INDEX('Market Data'!$AS$5:$AS$66,INDEX('Market Data'!$J$5:$J$528,$T289)-4),11)="First-month",1,0))=1,"class review",IF($I289="Bloomberg",IF(AND(ISNUMBER(INDEX('Market Data'!$AH$5:$AH$66,INDEX('Market Data'!$J$5:$J$528,$T289)-4)),N(INDEX('Market Data'!$AH$5:$AH$66,INDEX('Market Data'!$J$5:$J$528,$T289)-4))&gt;0,ISNUMBER('Market Data'!$B$1),N('Market Data'!$B$1)&gt;0),INDEX('Market Data'!$AH$5:$AH$66,INDEX('Market Data'!$J$5:$J$528,$T289)-4)*'Market Data'!$B$1/$E289-1,"pending A/FX"),IF(AND($I289="Snapshot",$Q289="Snapshot",ISNUMBER($E289),$G289=INDEX('Market Data'!$AE$5:$AE$66,INDEX('Market Data'!$J$5:$J$528,$T289)-4)),IFERROR(INDEX('Market Data'!$AC$5:$AC$66,INDEX('Market Data'!$J$5:$J$528,$T289)-4)*INDEX('Market Data'!$AD$5:$AD$66,INDEX('Market Data'!$J$5:$J$528,$T289)-4)/$E289-1,"unavailable"),IF($I289="Unavailable","unavailable","date mismatch"))))))</f>
        <v/>
      </c>
      <c r="N289" s="11">
        <f>IF($T289=0,"",IFERROR(IF(AND(N(INDEX('Market Data'!$F$5:$F$528,$T289))&gt;0,ISNUMBER(INDEX('Market Data'!$T$5:$T$528,$T289))),$E289*INDEX('Market Data'!$T$5:$T$528,$T289)/INDEX('Market Data'!$F$5:$F$528,$T289)-1,"unavailable"),"unavailable"))</f>
        <v/>
      </c>
      <c r="O289" s="9">
        <f>IF($T289=0,"",IF(IF(INDEX('Market Data'!$J$5:$J$528,$T289)=0,0,IF(LEFT(INDEX('Market Data'!$AS$5:$AS$66,INDEX('Market Data'!$J$5:$J$528,$T289)-4),11)="First-month",1,0))=1,"Class ratio review",IF($I289="Bloomberg",IF(ISNUMBER($G289),IF($G289&lt;TODAY(),"Older quote","See quote time"),"Date unavailable"),IF($I289="Snapshot",IF($G289&lt;DATEVALUE("2026-10-02"),"Older snapshot","Dated close"),"No valid quote"))))</f>
        <v/>
      </c>
      <c r="P289" s="14">
        <f>IF($T289=0,"",IF(INDEX('Market Data'!$J$5:$J$528,$T289)=0,"n/a",IF($Q289="Bloomberg",IF(AND(ISNUMBER(INDEX('Market Data'!$AK$5:$AK$66,INDEX('Market Data'!$J$5:$J$528,$T289)-4)),N(INDEX('Market Data'!$AK$5:$AK$66,INDEX('Market Data'!$J$5:$J$528,$T289)-4))&gt;0),INDEX('Market Data'!$AK$5:$AK$66,INDEX('Market Data'!$J$5:$J$528,$T289)-4),"date unavailable"),IF($Q289="Snapshot",IF(AND(ISNUMBER(INDEX('Market Data'!$AF$5:$AF$66,INDEX('Market Data'!$J$5:$J$528,$T289)-4)),N(INDEX('Market Data'!$AF$5:$AF$66,INDEX('Market Data'!$J$5:$J$528,$T289)-4))&gt;0),INDEX('Market Data'!$AF$5:$AF$66,INDEX('Market Data'!$J$5:$J$528,$T289)-4),"date unavailable"),"date unavailable"))))</f>
        <v/>
      </c>
      <c r="Q289" s="15">
        <f>IF($T289=0,"",IF(INDEX('Market Data'!$J$5:$J$528,$T289)=0,"n/a",IF(AND($M$5&lt;&gt;"Snapshot",ISNUMBER(INDEX('Market Data'!$AH$5:$AH$66,INDEX('Market Data'!$J$5:$J$528,$T289)-4)),N(INDEX('Market Data'!$AH$5:$AH$66,INDEX('Market Data'!$J$5:$J$528,$T289)-4))&gt;0),"Bloomberg",IF(AND($M$5&lt;&gt;"Bloomberg",ISNUMBER(INDEX('Market Data'!$AC$5:$AC$66,INDEX('Market Data'!$J$5:$J$528,$T289)-4)),N(INDEX('Market Data'!$AC$5:$AC$66,INDEX('Market Data'!$J$5:$J$528,$T289)-4))&gt;0),"Snapshot","Unavailable"))))</f>
        <v/>
      </c>
      <c r="T289">
        <f>IFERROR(MATCH(281,'Market Data'!$S$5:$S$528,0),0)</f>
        <v/>
      </c>
    </row>
    <row r="290" ht="34" customHeight="1">
      <c r="A290" s="8">
        <f>IF($T290=0,"",IF(INDEX('Market Data'!$A$5:$A$528,$T290)="","",INDEX('Market Data'!$A$5:$A$528,$T290)))</f>
        <v/>
      </c>
      <c r="B290" s="9">
        <f>IF($T290=0,"",IF(INDEX('Market Data'!$B$5:$B$528,$T290)="","",INDEX('Market Data'!$B$5:$B$528,$T290)))</f>
        <v/>
      </c>
      <c r="C290" s="9">
        <f>IF($T290=0,"",IF(INDEX('Market Data'!$C$5:$C$528,$T290)="","",INDEX('Market Data'!$C$5:$C$528,$T290)))</f>
        <v/>
      </c>
      <c r="D290" s="9">
        <f>IF($T290=0,"",IF(INDEX('Market Data'!$D$5:$D$528,$T290)="","",INDEX('Market Data'!$D$5:$D$528,$T290)))</f>
        <v/>
      </c>
      <c r="E290" s="10">
        <f>IF($T290=0,"",INDEX('Market Data'!$O$5:$O$528,$T290))</f>
        <v/>
      </c>
      <c r="F290" s="11">
        <f>IF($T290=0,"",IF(AND($I290="Bloomberg",ISNUMBER(INDEX('Market Data'!$L$5:$L$528,$T290))),INDEX('Market Data'!$L$5:$L$528,$T290),"unavailable"))</f>
        <v/>
      </c>
      <c r="G290" s="12">
        <f>IF($T290=0,"",IF($I290="Bloomberg",IF(AND(ISNUMBER(INDEX('Market Data'!$M$5:$M$528,$T290)),N(INDEX('Market Data'!$M$5:$M$528,$T290))&gt;0),INDEX('Market Data'!$M$5:$M$528,$T290),"date unavailable"),IF($I290="Snapshot",IF(AND(ISNUMBER(INDEX('Market Data'!$H$5:$H$528,$T290)),N(INDEX('Market Data'!$H$5:$H$528,$T290))&gt;0),INDEX('Market Data'!$H$5:$H$528,$T290),"date unavailable"),"date unavailable")))</f>
        <v/>
      </c>
      <c r="H290" s="9">
        <f>IF($T290=0,"",IF($I290="Bloomberg",IF(INDEX('Market Data'!$N$5:$N$528,$T290)="","time unavailable",INDEX('Market Data'!$N$5:$N$528,$T290)),""))</f>
        <v/>
      </c>
      <c r="I290" s="9">
        <f>IF($T290=0,"",INDEX('Market Data'!$P$5:$P$528,$T290))</f>
        <v/>
      </c>
      <c r="J290" s="13">
        <f>IF($T290=0,"",IF(INDEX('Market Data'!$E$5:$E$528,$T290)="","",INDEX('Market Data'!$E$5:$E$528,$T290)))</f>
        <v/>
      </c>
      <c r="K290" s="8">
        <f>IF($T290=0,"",IF(INDEX('Market Data'!$I$5:$I$528,$T290)="","",INDEX('Market Data'!$I$5:$I$528,$T290)))</f>
        <v/>
      </c>
      <c r="L290" s="10">
        <f>IF($T290=0,"",IF(INDEX('Market Data'!$J$5:$J$528,$T290)=0,"n/a",IF(AND($M$5&lt;&gt;"Snapshot",ISNUMBER(INDEX('Market Data'!$AH$5:$AH$66,INDEX('Market Data'!$J$5:$J$528,$T290)-4)),N(INDEX('Market Data'!$AH$5:$AH$66,INDEX('Market Data'!$J$5:$J$528,$T290)-4))&gt;0),INDEX('Market Data'!$AH$5:$AH$66,INDEX('Market Data'!$J$5:$J$528,$T290)-4),IF(AND($M$5&lt;&gt;"Bloomberg",ISNUMBER(INDEX('Market Data'!$AC$5:$AC$66,INDEX('Market Data'!$J$5:$J$528,$T290)-4)),N(INDEX('Market Data'!$AC$5:$AC$66,INDEX('Market Data'!$J$5:$J$528,$T290)-4))&gt;0),INDEX('Market Data'!$AC$5:$AC$66,INDEX('Market Data'!$J$5:$J$528,$T290)-4),"unavailable"))))</f>
        <v/>
      </c>
      <c r="M290" s="11">
        <f>IF($T290=0,"",IF(INDEX('Market Data'!$J$5:$J$528,$T290)=0,"n/a",IF(IF(INDEX('Market Data'!$J$5:$J$528,$T290)=0,0,IF(LEFT(INDEX('Market Data'!$AS$5:$AS$66,INDEX('Market Data'!$J$5:$J$528,$T290)-4),11)="First-month",1,0))=1,"class review",IF($I290="Bloomberg",IF(AND(ISNUMBER(INDEX('Market Data'!$AH$5:$AH$66,INDEX('Market Data'!$J$5:$J$528,$T290)-4)),N(INDEX('Market Data'!$AH$5:$AH$66,INDEX('Market Data'!$J$5:$J$528,$T290)-4))&gt;0,ISNUMBER('Market Data'!$B$1),N('Market Data'!$B$1)&gt;0),INDEX('Market Data'!$AH$5:$AH$66,INDEX('Market Data'!$J$5:$J$528,$T290)-4)*'Market Data'!$B$1/$E290-1,"pending A/FX"),IF(AND($I290="Snapshot",$Q290="Snapshot",ISNUMBER($E290),$G290=INDEX('Market Data'!$AE$5:$AE$66,INDEX('Market Data'!$J$5:$J$528,$T290)-4)),IFERROR(INDEX('Market Data'!$AC$5:$AC$66,INDEX('Market Data'!$J$5:$J$528,$T290)-4)*INDEX('Market Data'!$AD$5:$AD$66,INDEX('Market Data'!$J$5:$J$528,$T290)-4)/$E290-1,"unavailable"),IF($I290="Unavailable","unavailable","date mismatch"))))))</f>
        <v/>
      </c>
      <c r="N290" s="11">
        <f>IF($T290=0,"",IFERROR(IF(AND(N(INDEX('Market Data'!$F$5:$F$528,$T290))&gt;0,ISNUMBER(INDEX('Market Data'!$T$5:$T$528,$T290))),$E290*INDEX('Market Data'!$T$5:$T$528,$T290)/INDEX('Market Data'!$F$5:$F$528,$T290)-1,"unavailable"),"unavailable"))</f>
        <v/>
      </c>
      <c r="O290" s="9">
        <f>IF($T290=0,"",IF(IF(INDEX('Market Data'!$J$5:$J$528,$T290)=0,0,IF(LEFT(INDEX('Market Data'!$AS$5:$AS$66,INDEX('Market Data'!$J$5:$J$528,$T290)-4),11)="First-month",1,0))=1,"Class ratio review",IF($I290="Bloomberg",IF(ISNUMBER($G290),IF($G290&lt;TODAY(),"Older quote","See quote time"),"Date unavailable"),IF($I290="Snapshot",IF($G290&lt;DATEVALUE("2026-10-02"),"Older snapshot","Dated close"),"No valid quote"))))</f>
        <v/>
      </c>
      <c r="P290" s="14">
        <f>IF($T290=0,"",IF(INDEX('Market Data'!$J$5:$J$528,$T290)=0,"n/a",IF($Q290="Bloomberg",IF(AND(ISNUMBER(INDEX('Market Data'!$AK$5:$AK$66,INDEX('Market Data'!$J$5:$J$528,$T290)-4)),N(INDEX('Market Data'!$AK$5:$AK$66,INDEX('Market Data'!$J$5:$J$528,$T290)-4))&gt;0),INDEX('Market Data'!$AK$5:$AK$66,INDEX('Market Data'!$J$5:$J$528,$T290)-4),"date unavailable"),IF($Q290="Snapshot",IF(AND(ISNUMBER(INDEX('Market Data'!$AF$5:$AF$66,INDEX('Market Data'!$J$5:$J$528,$T290)-4)),N(INDEX('Market Data'!$AF$5:$AF$66,INDEX('Market Data'!$J$5:$J$528,$T290)-4))&gt;0),INDEX('Market Data'!$AF$5:$AF$66,INDEX('Market Data'!$J$5:$J$528,$T290)-4),"date unavailable"),"date unavailable"))))</f>
        <v/>
      </c>
      <c r="Q290" s="15">
        <f>IF($T290=0,"",IF(INDEX('Market Data'!$J$5:$J$528,$T290)=0,"n/a",IF(AND($M$5&lt;&gt;"Snapshot",ISNUMBER(INDEX('Market Data'!$AH$5:$AH$66,INDEX('Market Data'!$J$5:$J$528,$T290)-4)),N(INDEX('Market Data'!$AH$5:$AH$66,INDEX('Market Data'!$J$5:$J$528,$T290)-4))&gt;0),"Bloomberg",IF(AND($M$5&lt;&gt;"Bloomberg",ISNUMBER(INDEX('Market Data'!$AC$5:$AC$66,INDEX('Market Data'!$J$5:$J$528,$T290)-4)),N(INDEX('Market Data'!$AC$5:$AC$66,INDEX('Market Data'!$J$5:$J$528,$T290)-4))&gt;0),"Snapshot","Unavailable"))))</f>
        <v/>
      </c>
      <c r="T290">
        <f>IFERROR(MATCH(282,'Market Data'!$S$5:$S$528,0),0)</f>
        <v/>
      </c>
    </row>
    <row r="291" ht="34" customHeight="1">
      <c r="A291" s="8">
        <f>IF($T291=0,"",IF(INDEX('Market Data'!$A$5:$A$528,$T291)="","",INDEX('Market Data'!$A$5:$A$528,$T291)))</f>
        <v/>
      </c>
      <c r="B291" s="9">
        <f>IF($T291=0,"",IF(INDEX('Market Data'!$B$5:$B$528,$T291)="","",INDEX('Market Data'!$B$5:$B$528,$T291)))</f>
        <v/>
      </c>
      <c r="C291" s="9">
        <f>IF($T291=0,"",IF(INDEX('Market Data'!$C$5:$C$528,$T291)="","",INDEX('Market Data'!$C$5:$C$528,$T291)))</f>
        <v/>
      </c>
      <c r="D291" s="9">
        <f>IF($T291=0,"",IF(INDEX('Market Data'!$D$5:$D$528,$T291)="","",INDEX('Market Data'!$D$5:$D$528,$T291)))</f>
        <v/>
      </c>
      <c r="E291" s="10">
        <f>IF($T291=0,"",INDEX('Market Data'!$O$5:$O$528,$T291))</f>
        <v/>
      </c>
      <c r="F291" s="11">
        <f>IF($T291=0,"",IF(AND($I291="Bloomberg",ISNUMBER(INDEX('Market Data'!$L$5:$L$528,$T291))),INDEX('Market Data'!$L$5:$L$528,$T291),"unavailable"))</f>
        <v/>
      </c>
      <c r="G291" s="12">
        <f>IF($T291=0,"",IF($I291="Bloomberg",IF(AND(ISNUMBER(INDEX('Market Data'!$M$5:$M$528,$T291)),N(INDEX('Market Data'!$M$5:$M$528,$T291))&gt;0),INDEX('Market Data'!$M$5:$M$528,$T291),"date unavailable"),IF($I291="Snapshot",IF(AND(ISNUMBER(INDEX('Market Data'!$H$5:$H$528,$T291)),N(INDEX('Market Data'!$H$5:$H$528,$T291))&gt;0),INDEX('Market Data'!$H$5:$H$528,$T291),"date unavailable"),"date unavailable")))</f>
        <v/>
      </c>
      <c r="H291" s="9">
        <f>IF($T291=0,"",IF($I291="Bloomberg",IF(INDEX('Market Data'!$N$5:$N$528,$T291)="","time unavailable",INDEX('Market Data'!$N$5:$N$528,$T291)),""))</f>
        <v/>
      </c>
      <c r="I291" s="9">
        <f>IF($T291=0,"",INDEX('Market Data'!$P$5:$P$528,$T291))</f>
        <v/>
      </c>
      <c r="J291" s="13">
        <f>IF($T291=0,"",IF(INDEX('Market Data'!$E$5:$E$528,$T291)="","",INDEX('Market Data'!$E$5:$E$528,$T291)))</f>
        <v/>
      </c>
      <c r="K291" s="8">
        <f>IF($T291=0,"",IF(INDEX('Market Data'!$I$5:$I$528,$T291)="","",INDEX('Market Data'!$I$5:$I$528,$T291)))</f>
        <v/>
      </c>
      <c r="L291" s="10">
        <f>IF($T291=0,"",IF(INDEX('Market Data'!$J$5:$J$528,$T291)=0,"n/a",IF(AND($M$5&lt;&gt;"Snapshot",ISNUMBER(INDEX('Market Data'!$AH$5:$AH$66,INDEX('Market Data'!$J$5:$J$528,$T291)-4)),N(INDEX('Market Data'!$AH$5:$AH$66,INDEX('Market Data'!$J$5:$J$528,$T291)-4))&gt;0),INDEX('Market Data'!$AH$5:$AH$66,INDEX('Market Data'!$J$5:$J$528,$T291)-4),IF(AND($M$5&lt;&gt;"Bloomberg",ISNUMBER(INDEX('Market Data'!$AC$5:$AC$66,INDEX('Market Data'!$J$5:$J$528,$T291)-4)),N(INDEX('Market Data'!$AC$5:$AC$66,INDEX('Market Data'!$J$5:$J$528,$T291)-4))&gt;0),INDEX('Market Data'!$AC$5:$AC$66,INDEX('Market Data'!$J$5:$J$528,$T291)-4),"unavailable"))))</f>
        <v/>
      </c>
      <c r="M291" s="11">
        <f>IF($T291=0,"",IF(INDEX('Market Data'!$J$5:$J$528,$T291)=0,"n/a",IF(IF(INDEX('Market Data'!$J$5:$J$528,$T291)=0,0,IF(LEFT(INDEX('Market Data'!$AS$5:$AS$66,INDEX('Market Data'!$J$5:$J$528,$T291)-4),11)="First-month",1,0))=1,"class review",IF($I291="Bloomberg",IF(AND(ISNUMBER(INDEX('Market Data'!$AH$5:$AH$66,INDEX('Market Data'!$J$5:$J$528,$T291)-4)),N(INDEX('Market Data'!$AH$5:$AH$66,INDEX('Market Data'!$J$5:$J$528,$T291)-4))&gt;0,ISNUMBER('Market Data'!$B$1),N('Market Data'!$B$1)&gt;0),INDEX('Market Data'!$AH$5:$AH$66,INDEX('Market Data'!$J$5:$J$528,$T291)-4)*'Market Data'!$B$1/$E291-1,"pending A/FX"),IF(AND($I291="Snapshot",$Q291="Snapshot",ISNUMBER($E291),$G291=INDEX('Market Data'!$AE$5:$AE$66,INDEX('Market Data'!$J$5:$J$528,$T291)-4)),IFERROR(INDEX('Market Data'!$AC$5:$AC$66,INDEX('Market Data'!$J$5:$J$528,$T291)-4)*INDEX('Market Data'!$AD$5:$AD$66,INDEX('Market Data'!$J$5:$J$528,$T291)-4)/$E291-1,"unavailable"),IF($I291="Unavailable","unavailable","date mismatch"))))))</f>
        <v/>
      </c>
      <c r="N291" s="11">
        <f>IF($T291=0,"",IFERROR(IF(AND(N(INDEX('Market Data'!$F$5:$F$528,$T291))&gt;0,ISNUMBER(INDEX('Market Data'!$T$5:$T$528,$T291))),$E291*INDEX('Market Data'!$T$5:$T$528,$T291)/INDEX('Market Data'!$F$5:$F$528,$T291)-1,"unavailable"),"unavailable"))</f>
        <v/>
      </c>
      <c r="O291" s="9">
        <f>IF($T291=0,"",IF(IF(INDEX('Market Data'!$J$5:$J$528,$T291)=0,0,IF(LEFT(INDEX('Market Data'!$AS$5:$AS$66,INDEX('Market Data'!$J$5:$J$528,$T291)-4),11)="First-month",1,0))=1,"Class ratio review",IF($I291="Bloomberg",IF(ISNUMBER($G291),IF($G291&lt;TODAY(),"Older quote","See quote time"),"Date unavailable"),IF($I291="Snapshot",IF($G291&lt;DATEVALUE("2026-10-02"),"Older snapshot","Dated close"),"No valid quote"))))</f>
        <v/>
      </c>
      <c r="P291" s="14">
        <f>IF($T291=0,"",IF(INDEX('Market Data'!$J$5:$J$528,$T291)=0,"n/a",IF($Q291="Bloomberg",IF(AND(ISNUMBER(INDEX('Market Data'!$AK$5:$AK$66,INDEX('Market Data'!$J$5:$J$528,$T291)-4)),N(INDEX('Market Data'!$AK$5:$AK$66,INDEX('Market Data'!$J$5:$J$528,$T291)-4))&gt;0),INDEX('Market Data'!$AK$5:$AK$66,INDEX('Market Data'!$J$5:$J$528,$T291)-4),"date unavailable"),IF($Q291="Snapshot",IF(AND(ISNUMBER(INDEX('Market Data'!$AF$5:$AF$66,INDEX('Market Data'!$J$5:$J$528,$T291)-4)),N(INDEX('Market Data'!$AF$5:$AF$66,INDEX('Market Data'!$J$5:$J$528,$T291)-4))&gt;0),INDEX('Market Data'!$AF$5:$AF$66,INDEX('Market Data'!$J$5:$J$528,$T291)-4),"date unavailable"),"date unavailable"))))</f>
        <v/>
      </c>
      <c r="Q291" s="15">
        <f>IF($T291=0,"",IF(INDEX('Market Data'!$J$5:$J$528,$T291)=0,"n/a",IF(AND($M$5&lt;&gt;"Snapshot",ISNUMBER(INDEX('Market Data'!$AH$5:$AH$66,INDEX('Market Data'!$J$5:$J$528,$T291)-4)),N(INDEX('Market Data'!$AH$5:$AH$66,INDEX('Market Data'!$J$5:$J$528,$T291)-4))&gt;0),"Bloomberg",IF(AND($M$5&lt;&gt;"Bloomberg",ISNUMBER(INDEX('Market Data'!$AC$5:$AC$66,INDEX('Market Data'!$J$5:$J$528,$T291)-4)),N(INDEX('Market Data'!$AC$5:$AC$66,INDEX('Market Data'!$J$5:$J$528,$T291)-4))&gt;0),"Snapshot","Unavailable"))))</f>
        <v/>
      </c>
      <c r="T291">
        <f>IFERROR(MATCH(283,'Market Data'!$S$5:$S$528,0),0)</f>
        <v/>
      </c>
    </row>
    <row r="292" ht="34" customHeight="1">
      <c r="A292" s="8">
        <f>IF($T292=0,"",IF(INDEX('Market Data'!$A$5:$A$528,$T292)="","",INDEX('Market Data'!$A$5:$A$528,$T292)))</f>
        <v/>
      </c>
      <c r="B292" s="9">
        <f>IF($T292=0,"",IF(INDEX('Market Data'!$B$5:$B$528,$T292)="","",INDEX('Market Data'!$B$5:$B$528,$T292)))</f>
        <v/>
      </c>
      <c r="C292" s="9">
        <f>IF($T292=0,"",IF(INDEX('Market Data'!$C$5:$C$528,$T292)="","",INDEX('Market Data'!$C$5:$C$528,$T292)))</f>
        <v/>
      </c>
      <c r="D292" s="9">
        <f>IF($T292=0,"",IF(INDEX('Market Data'!$D$5:$D$528,$T292)="","",INDEX('Market Data'!$D$5:$D$528,$T292)))</f>
        <v/>
      </c>
      <c r="E292" s="10">
        <f>IF($T292=0,"",INDEX('Market Data'!$O$5:$O$528,$T292))</f>
        <v/>
      </c>
      <c r="F292" s="11">
        <f>IF($T292=0,"",IF(AND($I292="Bloomberg",ISNUMBER(INDEX('Market Data'!$L$5:$L$528,$T292))),INDEX('Market Data'!$L$5:$L$528,$T292),"unavailable"))</f>
        <v/>
      </c>
      <c r="G292" s="12">
        <f>IF($T292=0,"",IF($I292="Bloomberg",IF(AND(ISNUMBER(INDEX('Market Data'!$M$5:$M$528,$T292)),N(INDEX('Market Data'!$M$5:$M$528,$T292))&gt;0),INDEX('Market Data'!$M$5:$M$528,$T292),"date unavailable"),IF($I292="Snapshot",IF(AND(ISNUMBER(INDEX('Market Data'!$H$5:$H$528,$T292)),N(INDEX('Market Data'!$H$5:$H$528,$T292))&gt;0),INDEX('Market Data'!$H$5:$H$528,$T292),"date unavailable"),"date unavailable")))</f>
        <v/>
      </c>
      <c r="H292" s="9">
        <f>IF($T292=0,"",IF($I292="Bloomberg",IF(INDEX('Market Data'!$N$5:$N$528,$T292)="","time unavailable",INDEX('Market Data'!$N$5:$N$528,$T292)),""))</f>
        <v/>
      </c>
      <c r="I292" s="9">
        <f>IF($T292=0,"",INDEX('Market Data'!$P$5:$P$528,$T292))</f>
        <v/>
      </c>
      <c r="J292" s="13">
        <f>IF($T292=0,"",IF(INDEX('Market Data'!$E$5:$E$528,$T292)="","",INDEX('Market Data'!$E$5:$E$528,$T292)))</f>
        <v/>
      </c>
      <c r="K292" s="8">
        <f>IF($T292=0,"",IF(INDEX('Market Data'!$I$5:$I$528,$T292)="","",INDEX('Market Data'!$I$5:$I$528,$T292)))</f>
        <v/>
      </c>
      <c r="L292" s="10">
        <f>IF($T292=0,"",IF(INDEX('Market Data'!$J$5:$J$528,$T292)=0,"n/a",IF(AND($M$5&lt;&gt;"Snapshot",ISNUMBER(INDEX('Market Data'!$AH$5:$AH$66,INDEX('Market Data'!$J$5:$J$528,$T292)-4)),N(INDEX('Market Data'!$AH$5:$AH$66,INDEX('Market Data'!$J$5:$J$528,$T292)-4))&gt;0),INDEX('Market Data'!$AH$5:$AH$66,INDEX('Market Data'!$J$5:$J$528,$T292)-4),IF(AND($M$5&lt;&gt;"Bloomberg",ISNUMBER(INDEX('Market Data'!$AC$5:$AC$66,INDEX('Market Data'!$J$5:$J$528,$T292)-4)),N(INDEX('Market Data'!$AC$5:$AC$66,INDEX('Market Data'!$J$5:$J$528,$T292)-4))&gt;0),INDEX('Market Data'!$AC$5:$AC$66,INDEX('Market Data'!$J$5:$J$528,$T292)-4),"unavailable"))))</f>
        <v/>
      </c>
      <c r="M292" s="11">
        <f>IF($T292=0,"",IF(INDEX('Market Data'!$J$5:$J$528,$T292)=0,"n/a",IF(IF(INDEX('Market Data'!$J$5:$J$528,$T292)=0,0,IF(LEFT(INDEX('Market Data'!$AS$5:$AS$66,INDEX('Market Data'!$J$5:$J$528,$T292)-4),11)="First-month",1,0))=1,"class review",IF($I292="Bloomberg",IF(AND(ISNUMBER(INDEX('Market Data'!$AH$5:$AH$66,INDEX('Market Data'!$J$5:$J$528,$T292)-4)),N(INDEX('Market Data'!$AH$5:$AH$66,INDEX('Market Data'!$J$5:$J$528,$T292)-4))&gt;0,ISNUMBER('Market Data'!$B$1),N('Market Data'!$B$1)&gt;0),INDEX('Market Data'!$AH$5:$AH$66,INDEX('Market Data'!$J$5:$J$528,$T292)-4)*'Market Data'!$B$1/$E292-1,"pending A/FX"),IF(AND($I292="Snapshot",$Q292="Snapshot",ISNUMBER($E292),$G292=INDEX('Market Data'!$AE$5:$AE$66,INDEX('Market Data'!$J$5:$J$528,$T292)-4)),IFERROR(INDEX('Market Data'!$AC$5:$AC$66,INDEX('Market Data'!$J$5:$J$528,$T292)-4)*INDEX('Market Data'!$AD$5:$AD$66,INDEX('Market Data'!$J$5:$J$528,$T292)-4)/$E292-1,"unavailable"),IF($I292="Unavailable","unavailable","date mismatch"))))))</f>
        <v/>
      </c>
      <c r="N292" s="11">
        <f>IF($T292=0,"",IFERROR(IF(AND(N(INDEX('Market Data'!$F$5:$F$528,$T292))&gt;0,ISNUMBER(INDEX('Market Data'!$T$5:$T$528,$T292))),$E292*INDEX('Market Data'!$T$5:$T$528,$T292)/INDEX('Market Data'!$F$5:$F$528,$T292)-1,"unavailable"),"unavailable"))</f>
        <v/>
      </c>
      <c r="O292" s="9">
        <f>IF($T292=0,"",IF(IF(INDEX('Market Data'!$J$5:$J$528,$T292)=0,0,IF(LEFT(INDEX('Market Data'!$AS$5:$AS$66,INDEX('Market Data'!$J$5:$J$528,$T292)-4),11)="First-month",1,0))=1,"Class ratio review",IF($I292="Bloomberg",IF(ISNUMBER($G292),IF($G292&lt;TODAY(),"Older quote","See quote time"),"Date unavailable"),IF($I292="Snapshot",IF($G292&lt;DATEVALUE("2026-10-02"),"Older snapshot","Dated close"),"No valid quote"))))</f>
        <v/>
      </c>
      <c r="P292" s="14">
        <f>IF($T292=0,"",IF(INDEX('Market Data'!$J$5:$J$528,$T292)=0,"n/a",IF($Q292="Bloomberg",IF(AND(ISNUMBER(INDEX('Market Data'!$AK$5:$AK$66,INDEX('Market Data'!$J$5:$J$528,$T292)-4)),N(INDEX('Market Data'!$AK$5:$AK$66,INDEX('Market Data'!$J$5:$J$528,$T292)-4))&gt;0),INDEX('Market Data'!$AK$5:$AK$66,INDEX('Market Data'!$J$5:$J$528,$T292)-4),"date unavailable"),IF($Q292="Snapshot",IF(AND(ISNUMBER(INDEX('Market Data'!$AF$5:$AF$66,INDEX('Market Data'!$J$5:$J$528,$T292)-4)),N(INDEX('Market Data'!$AF$5:$AF$66,INDEX('Market Data'!$J$5:$J$528,$T292)-4))&gt;0),INDEX('Market Data'!$AF$5:$AF$66,INDEX('Market Data'!$J$5:$J$528,$T292)-4),"date unavailable"),"date unavailable"))))</f>
        <v/>
      </c>
      <c r="Q292" s="15">
        <f>IF($T292=0,"",IF(INDEX('Market Data'!$J$5:$J$528,$T292)=0,"n/a",IF(AND($M$5&lt;&gt;"Snapshot",ISNUMBER(INDEX('Market Data'!$AH$5:$AH$66,INDEX('Market Data'!$J$5:$J$528,$T292)-4)),N(INDEX('Market Data'!$AH$5:$AH$66,INDEX('Market Data'!$J$5:$J$528,$T292)-4))&gt;0),"Bloomberg",IF(AND($M$5&lt;&gt;"Bloomberg",ISNUMBER(INDEX('Market Data'!$AC$5:$AC$66,INDEX('Market Data'!$J$5:$J$528,$T292)-4)),N(INDEX('Market Data'!$AC$5:$AC$66,INDEX('Market Data'!$J$5:$J$528,$T292)-4))&gt;0),"Snapshot","Unavailable"))))</f>
        <v/>
      </c>
      <c r="T292">
        <f>IFERROR(MATCH(284,'Market Data'!$S$5:$S$528,0),0)</f>
        <v/>
      </c>
    </row>
    <row r="293" ht="34" customHeight="1">
      <c r="A293" s="8">
        <f>IF($T293=0,"",IF(INDEX('Market Data'!$A$5:$A$528,$T293)="","",INDEX('Market Data'!$A$5:$A$528,$T293)))</f>
        <v/>
      </c>
      <c r="B293" s="9">
        <f>IF($T293=0,"",IF(INDEX('Market Data'!$B$5:$B$528,$T293)="","",INDEX('Market Data'!$B$5:$B$528,$T293)))</f>
        <v/>
      </c>
      <c r="C293" s="9">
        <f>IF($T293=0,"",IF(INDEX('Market Data'!$C$5:$C$528,$T293)="","",INDEX('Market Data'!$C$5:$C$528,$T293)))</f>
        <v/>
      </c>
      <c r="D293" s="9">
        <f>IF($T293=0,"",IF(INDEX('Market Data'!$D$5:$D$528,$T293)="","",INDEX('Market Data'!$D$5:$D$528,$T293)))</f>
        <v/>
      </c>
      <c r="E293" s="10">
        <f>IF($T293=0,"",INDEX('Market Data'!$O$5:$O$528,$T293))</f>
        <v/>
      </c>
      <c r="F293" s="11">
        <f>IF($T293=0,"",IF(AND($I293="Bloomberg",ISNUMBER(INDEX('Market Data'!$L$5:$L$528,$T293))),INDEX('Market Data'!$L$5:$L$528,$T293),"unavailable"))</f>
        <v/>
      </c>
      <c r="G293" s="12">
        <f>IF($T293=0,"",IF($I293="Bloomberg",IF(AND(ISNUMBER(INDEX('Market Data'!$M$5:$M$528,$T293)),N(INDEX('Market Data'!$M$5:$M$528,$T293))&gt;0),INDEX('Market Data'!$M$5:$M$528,$T293),"date unavailable"),IF($I293="Snapshot",IF(AND(ISNUMBER(INDEX('Market Data'!$H$5:$H$528,$T293)),N(INDEX('Market Data'!$H$5:$H$528,$T293))&gt;0),INDEX('Market Data'!$H$5:$H$528,$T293),"date unavailable"),"date unavailable")))</f>
        <v/>
      </c>
      <c r="H293" s="9">
        <f>IF($T293=0,"",IF($I293="Bloomberg",IF(INDEX('Market Data'!$N$5:$N$528,$T293)="","time unavailable",INDEX('Market Data'!$N$5:$N$528,$T293)),""))</f>
        <v/>
      </c>
      <c r="I293" s="9">
        <f>IF($T293=0,"",INDEX('Market Data'!$P$5:$P$528,$T293))</f>
        <v/>
      </c>
      <c r="J293" s="13">
        <f>IF($T293=0,"",IF(INDEX('Market Data'!$E$5:$E$528,$T293)="","",INDEX('Market Data'!$E$5:$E$528,$T293)))</f>
        <v/>
      </c>
      <c r="K293" s="8">
        <f>IF($T293=0,"",IF(INDEX('Market Data'!$I$5:$I$528,$T293)="","",INDEX('Market Data'!$I$5:$I$528,$T293)))</f>
        <v/>
      </c>
      <c r="L293" s="10">
        <f>IF($T293=0,"",IF(INDEX('Market Data'!$J$5:$J$528,$T293)=0,"n/a",IF(AND($M$5&lt;&gt;"Snapshot",ISNUMBER(INDEX('Market Data'!$AH$5:$AH$66,INDEX('Market Data'!$J$5:$J$528,$T293)-4)),N(INDEX('Market Data'!$AH$5:$AH$66,INDEX('Market Data'!$J$5:$J$528,$T293)-4))&gt;0),INDEX('Market Data'!$AH$5:$AH$66,INDEX('Market Data'!$J$5:$J$528,$T293)-4),IF(AND($M$5&lt;&gt;"Bloomberg",ISNUMBER(INDEX('Market Data'!$AC$5:$AC$66,INDEX('Market Data'!$J$5:$J$528,$T293)-4)),N(INDEX('Market Data'!$AC$5:$AC$66,INDEX('Market Data'!$J$5:$J$528,$T293)-4))&gt;0),INDEX('Market Data'!$AC$5:$AC$66,INDEX('Market Data'!$J$5:$J$528,$T293)-4),"unavailable"))))</f>
        <v/>
      </c>
      <c r="M293" s="11">
        <f>IF($T293=0,"",IF(INDEX('Market Data'!$J$5:$J$528,$T293)=0,"n/a",IF(IF(INDEX('Market Data'!$J$5:$J$528,$T293)=0,0,IF(LEFT(INDEX('Market Data'!$AS$5:$AS$66,INDEX('Market Data'!$J$5:$J$528,$T293)-4),11)="First-month",1,0))=1,"class review",IF($I293="Bloomberg",IF(AND(ISNUMBER(INDEX('Market Data'!$AH$5:$AH$66,INDEX('Market Data'!$J$5:$J$528,$T293)-4)),N(INDEX('Market Data'!$AH$5:$AH$66,INDEX('Market Data'!$J$5:$J$528,$T293)-4))&gt;0,ISNUMBER('Market Data'!$B$1),N('Market Data'!$B$1)&gt;0),INDEX('Market Data'!$AH$5:$AH$66,INDEX('Market Data'!$J$5:$J$528,$T293)-4)*'Market Data'!$B$1/$E293-1,"pending A/FX"),IF(AND($I293="Snapshot",$Q293="Snapshot",ISNUMBER($E293),$G293=INDEX('Market Data'!$AE$5:$AE$66,INDEX('Market Data'!$J$5:$J$528,$T293)-4)),IFERROR(INDEX('Market Data'!$AC$5:$AC$66,INDEX('Market Data'!$J$5:$J$528,$T293)-4)*INDEX('Market Data'!$AD$5:$AD$66,INDEX('Market Data'!$J$5:$J$528,$T293)-4)/$E293-1,"unavailable"),IF($I293="Unavailable","unavailable","date mismatch"))))))</f>
        <v/>
      </c>
      <c r="N293" s="11">
        <f>IF($T293=0,"",IFERROR(IF(AND(N(INDEX('Market Data'!$F$5:$F$528,$T293))&gt;0,ISNUMBER(INDEX('Market Data'!$T$5:$T$528,$T293))),$E293*INDEX('Market Data'!$T$5:$T$528,$T293)/INDEX('Market Data'!$F$5:$F$528,$T293)-1,"unavailable"),"unavailable"))</f>
        <v/>
      </c>
      <c r="O293" s="9">
        <f>IF($T293=0,"",IF(IF(INDEX('Market Data'!$J$5:$J$528,$T293)=0,0,IF(LEFT(INDEX('Market Data'!$AS$5:$AS$66,INDEX('Market Data'!$J$5:$J$528,$T293)-4),11)="First-month",1,0))=1,"Class ratio review",IF($I293="Bloomberg",IF(ISNUMBER($G293),IF($G293&lt;TODAY(),"Older quote","See quote time"),"Date unavailable"),IF($I293="Snapshot",IF($G293&lt;DATEVALUE("2026-10-02"),"Older snapshot","Dated close"),"No valid quote"))))</f>
        <v/>
      </c>
      <c r="P293" s="14">
        <f>IF($T293=0,"",IF(INDEX('Market Data'!$J$5:$J$528,$T293)=0,"n/a",IF($Q293="Bloomberg",IF(AND(ISNUMBER(INDEX('Market Data'!$AK$5:$AK$66,INDEX('Market Data'!$J$5:$J$528,$T293)-4)),N(INDEX('Market Data'!$AK$5:$AK$66,INDEX('Market Data'!$J$5:$J$528,$T293)-4))&gt;0),INDEX('Market Data'!$AK$5:$AK$66,INDEX('Market Data'!$J$5:$J$528,$T293)-4),"date unavailable"),IF($Q293="Snapshot",IF(AND(ISNUMBER(INDEX('Market Data'!$AF$5:$AF$66,INDEX('Market Data'!$J$5:$J$528,$T293)-4)),N(INDEX('Market Data'!$AF$5:$AF$66,INDEX('Market Data'!$J$5:$J$528,$T293)-4))&gt;0),INDEX('Market Data'!$AF$5:$AF$66,INDEX('Market Data'!$J$5:$J$528,$T293)-4),"date unavailable"),"date unavailable"))))</f>
        <v/>
      </c>
      <c r="Q293" s="15">
        <f>IF($T293=0,"",IF(INDEX('Market Data'!$J$5:$J$528,$T293)=0,"n/a",IF(AND($M$5&lt;&gt;"Snapshot",ISNUMBER(INDEX('Market Data'!$AH$5:$AH$66,INDEX('Market Data'!$J$5:$J$528,$T293)-4)),N(INDEX('Market Data'!$AH$5:$AH$66,INDEX('Market Data'!$J$5:$J$528,$T293)-4))&gt;0),"Bloomberg",IF(AND($M$5&lt;&gt;"Bloomberg",ISNUMBER(INDEX('Market Data'!$AC$5:$AC$66,INDEX('Market Data'!$J$5:$J$528,$T293)-4)),N(INDEX('Market Data'!$AC$5:$AC$66,INDEX('Market Data'!$J$5:$J$528,$T293)-4))&gt;0),"Snapshot","Unavailable"))))</f>
        <v/>
      </c>
      <c r="T293">
        <f>IFERROR(MATCH(285,'Market Data'!$S$5:$S$528,0),0)</f>
        <v/>
      </c>
    </row>
    <row r="294" ht="34" customHeight="1">
      <c r="A294" s="8">
        <f>IF($T294=0,"",IF(INDEX('Market Data'!$A$5:$A$528,$T294)="","",INDEX('Market Data'!$A$5:$A$528,$T294)))</f>
        <v/>
      </c>
      <c r="B294" s="9">
        <f>IF($T294=0,"",IF(INDEX('Market Data'!$B$5:$B$528,$T294)="","",INDEX('Market Data'!$B$5:$B$528,$T294)))</f>
        <v/>
      </c>
      <c r="C294" s="9">
        <f>IF($T294=0,"",IF(INDEX('Market Data'!$C$5:$C$528,$T294)="","",INDEX('Market Data'!$C$5:$C$528,$T294)))</f>
        <v/>
      </c>
      <c r="D294" s="9">
        <f>IF($T294=0,"",IF(INDEX('Market Data'!$D$5:$D$528,$T294)="","",INDEX('Market Data'!$D$5:$D$528,$T294)))</f>
        <v/>
      </c>
      <c r="E294" s="10">
        <f>IF($T294=0,"",INDEX('Market Data'!$O$5:$O$528,$T294))</f>
        <v/>
      </c>
      <c r="F294" s="11">
        <f>IF($T294=0,"",IF(AND($I294="Bloomberg",ISNUMBER(INDEX('Market Data'!$L$5:$L$528,$T294))),INDEX('Market Data'!$L$5:$L$528,$T294),"unavailable"))</f>
        <v/>
      </c>
      <c r="G294" s="12">
        <f>IF($T294=0,"",IF($I294="Bloomberg",IF(AND(ISNUMBER(INDEX('Market Data'!$M$5:$M$528,$T294)),N(INDEX('Market Data'!$M$5:$M$528,$T294))&gt;0),INDEX('Market Data'!$M$5:$M$528,$T294),"date unavailable"),IF($I294="Snapshot",IF(AND(ISNUMBER(INDEX('Market Data'!$H$5:$H$528,$T294)),N(INDEX('Market Data'!$H$5:$H$528,$T294))&gt;0),INDEX('Market Data'!$H$5:$H$528,$T294),"date unavailable"),"date unavailable")))</f>
        <v/>
      </c>
      <c r="H294" s="9">
        <f>IF($T294=0,"",IF($I294="Bloomberg",IF(INDEX('Market Data'!$N$5:$N$528,$T294)="","time unavailable",INDEX('Market Data'!$N$5:$N$528,$T294)),""))</f>
        <v/>
      </c>
      <c r="I294" s="9">
        <f>IF($T294=0,"",INDEX('Market Data'!$P$5:$P$528,$T294))</f>
        <v/>
      </c>
      <c r="J294" s="13">
        <f>IF($T294=0,"",IF(INDEX('Market Data'!$E$5:$E$528,$T294)="","",INDEX('Market Data'!$E$5:$E$528,$T294)))</f>
        <v/>
      </c>
      <c r="K294" s="8">
        <f>IF($T294=0,"",IF(INDEX('Market Data'!$I$5:$I$528,$T294)="","",INDEX('Market Data'!$I$5:$I$528,$T294)))</f>
        <v/>
      </c>
      <c r="L294" s="10">
        <f>IF($T294=0,"",IF(INDEX('Market Data'!$J$5:$J$528,$T294)=0,"n/a",IF(AND($M$5&lt;&gt;"Snapshot",ISNUMBER(INDEX('Market Data'!$AH$5:$AH$66,INDEX('Market Data'!$J$5:$J$528,$T294)-4)),N(INDEX('Market Data'!$AH$5:$AH$66,INDEX('Market Data'!$J$5:$J$528,$T294)-4))&gt;0),INDEX('Market Data'!$AH$5:$AH$66,INDEX('Market Data'!$J$5:$J$528,$T294)-4),IF(AND($M$5&lt;&gt;"Bloomberg",ISNUMBER(INDEX('Market Data'!$AC$5:$AC$66,INDEX('Market Data'!$J$5:$J$528,$T294)-4)),N(INDEX('Market Data'!$AC$5:$AC$66,INDEX('Market Data'!$J$5:$J$528,$T294)-4))&gt;0),INDEX('Market Data'!$AC$5:$AC$66,INDEX('Market Data'!$J$5:$J$528,$T294)-4),"unavailable"))))</f>
        <v/>
      </c>
      <c r="M294" s="11">
        <f>IF($T294=0,"",IF(INDEX('Market Data'!$J$5:$J$528,$T294)=0,"n/a",IF(IF(INDEX('Market Data'!$J$5:$J$528,$T294)=0,0,IF(LEFT(INDEX('Market Data'!$AS$5:$AS$66,INDEX('Market Data'!$J$5:$J$528,$T294)-4),11)="First-month",1,0))=1,"class review",IF($I294="Bloomberg",IF(AND(ISNUMBER(INDEX('Market Data'!$AH$5:$AH$66,INDEX('Market Data'!$J$5:$J$528,$T294)-4)),N(INDEX('Market Data'!$AH$5:$AH$66,INDEX('Market Data'!$J$5:$J$528,$T294)-4))&gt;0,ISNUMBER('Market Data'!$B$1),N('Market Data'!$B$1)&gt;0),INDEX('Market Data'!$AH$5:$AH$66,INDEX('Market Data'!$J$5:$J$528,$T294)-4)*'Market Data'!$B$1/$E294-1,"pending A/FX"),IF(AND($I294="Snapshot",$Q294="Snapshot",ISNUMBER($E294),$G294=INDEX('Market Data'!$AE$5:$AE$66,INDEX('Market Data'!$J$5:$J$528,$T294)-4)),IFERROR(INDEX('Market Data'!$AC$5:$AC$66,INDEX('Market Data'!$J$5:$J$528,$T294)-4)*INDEX('Market Data'!$AD$5:$AD$66,INDEX('Market Data'!$J$5:$J$528,$T294)-4)/$E294-1,"unavailable"),IF($I294="Unavailable","unavailable","date mismatch"))))))</f>
        <v/>
      </c>
      <c r="N294" s="11">
        <f>IF($T294=0,"",IFERROR(IF(AND(N(INDEX('Market Data'!$F$5:$F$528,$T294))&gt;0,ISNUMBER(INDEX('Market Data'!$T$5:$T$528,$T294))),$E294*INDEX('Market Data'!$T$5:$T$528,$T294)/INDEX('Market Data'!$F$5:$F$528,$T294)-1,"unavailable"),"unavailable"))</f>
        <v/>
      </c>
      <c r="O294" s="9">
        <f>IF($T294=0,"",IF(IF(INDEX('Market Data'!$J$5:$J$528,$T294)=0,0,IF(LEFT(INDEX('Market Data'!$AS$5:$AS$66,INDEX('Market Data'!$J$5:$J$528,$T294)-4),11)="First-month",1,0))=1,"Class ratio review",IF($I294="Bloomberg",IF(ISNUMBER($G294),IF($G294&lt;TODAY(),"Older quote","See quote time"),"Date unavailable"),IF($I294="Snapshot",IF($G294&lt;DATEVALUE("2026-10-02"),"Older snapshot","Dated close"),"No valid quote"))))</f>
        <v/>
      </c>
      <c r="P294" s="14">
        <f>IF($T294=0,"",IF(INDEX('Market Data'!$J$5:$J$528,$T294)=0,"n/a",IF($Q294="Bloomberg",IF(AND(ISNUMBER(INDEX('Market Data'!$AK$5:$AK$66,INDEX('Market Data'!$J$5:$J$528,$T294)-4)),N(INDEX('Market Data'!$AK$5:$AK$66,INDEX('Market Data'!$J$5:$J$528,$T294)-4))&gt;0),INDEX('Market Data'!$AK$5:$AK$66,INDEX('Market Data'!$J$5:$J$528,$T294)-4),"date unavailable"),IF($Q294="Snapshot",IF(AND(ISNUMBER(INDEX('Market Data'!$AF$5:$AF$66,INDEX('Market Data'!$J$5:$J$528,$T294)-4)),N(INDEX('Market Data'!$AF$5:$AF$66,INDEX('Market Data'!$J$5:$J$528,$T294)-4))&gt;0),INDEX('Market Data'!$AF$5:$AF$66,INDEX('Market Data'!$J$5:$J$528,$T294)-4),"date unavailable"),"date unavailable"))))</f>
        <v/>
      </c>
      <c r="Q294" s="15">
        <f>IF($T294=0,"",IF(INDEX('Market Data'!$J$5:$J$528,$T294)=0,"n/a",IF(AND($M$5&lt;&gt;"Snapshot",ISNUMBER(INDEX('Market Data'!$AH$5:$AH$66,INDEX('Market Data'!$J$5:$J$528,$T294)-4)),N(INDEX('Market Data'!$AH$5:$AH$66,INDEX('Market Data'!$J$5:$J$528,$T294)-4))&gt;0),"Bloomberg",IF(AND($M$5&lt;&gt;"Bloomberg",ISNUMBER(INDEX('Market Data'!$AC$5:$AC$66,INDEX('Market Data'!$J$5:$J$528,$T294)-4)),N(INDEX('Market Data'!$AC$5:$AC$66,INDEX('Market Data'!$J$5:$J$528,$T294)-4))&gt;0),"Snapshot","Unavailable"))))</f>
        <v/>
      </c>
      <c r="T294">
        <f>IFERROR(MATCH(286,'Market Data'!$S$5:$S$528,0),0)</f>
        <v/>
      </c>
    </row>
    <row r="295" ht="34" customHeight="1">
      <c r="A295" s="8">
        <f>IF($T295=0,"",IF(INDEX('Market Data'!$A$5:$A$528,$T295)="","",INDEX('Market Data'!$A$5:$A$528,$T295)))</f>
        <v/>
      </c>
      <c r="B295" s="9">
        <f>IF($T295=0,"",IF(INDEX('Market Data'!$B$5:$B$528,$T295)="","",INDEX('Market Data'!$B$5:$B$528,$T295)))</f>
        <v/>
      </c>
      <c r="C295" s="9">
        <f>IF($T295=0,"",IF(INDEX('Market Data'!$C$5:$C$528,$T295)="","",INDEX('Market Data'!$C$5:$C$528,$T295)))</f>
        <v/>
      </c>
      <c r="D295" s="9">
        <f>IF($T295=0,"",IF(INDEX('Market Data'!$D$5:$D$528,$T295)="","",INDEX('Market Data'!$D$5:$D$528,$T295)))</f>
        <v/>
      </c>
      <c r="E295" s="10">
        <f>IF($T295=0,"",INDEX('Market Data'!$O$5:$O$528,$T295))</f>
        <v/>
      </c>
      <c r="F295" s="11">
        <f>IF($T295=0,"",IF(AND($I295="Bloomberg",ISNUMBER(INDEX('Market Data'!$L$5:$L$528,$T295))),INDEX('Market Data'!$L$5:$L$528,$T295),"unavailable"))</f>
        <v/>
      </c>
      <c r="G295" s="12">
        <f>IF($T295=0,"",IF($I295="Bloomberg",IF(AND(ISNUMBER(INDEX('Market Data'!$M$5:$M$528,$T295)),N(INDEX('Market Data'!$M$5:$M$528,$T295))&gt;0),INDEX('Market Data'!$M$5:$M$528,$T295),"date unavailable"),IF($I295="Snapshot",IF(AND(ISNUMBER(INDEX('Market Data'!$H$5:$H$528,$T295)),N(INDEX('Market Data'!$H$5:$H$528,$T295))&gt;0),INDEX('Market Data'!$H$5:$H$528,$T295),"date unavailable"),"date unavailable")))</f>
        <v/>
      </c>
      <c r="H295" s="9">
        <f>IF($T295=0,"",IF($I295="Bloomberg",IF(INDEX('Market Data'!$N$5:$N$528,$T295)="","time unavailable",INDEX('Market Data'!$N$5:$N$528,$T295)),""))</f>
        <v/>
      </c>
      <c r="I295" s="9">
        <f>IF($T295=0,"",INDEX('Market Data'!$P$5:$P$528,$T295))</f>
        <v/>
      </c>
      <c r="J295" s="13">
        <f>IF($T295=0,"",IF(INDEX('Market Data'!$E$5:$E$528,$T295)="","",INDEX('Market Data'!$E$5:$E$528,$T295)))</f>
        <v/>
      </c>
      <c r="K295" s="8">
        <f>IF($T295=0,"",IF(INDEX('Market Data'!$I$5:$I$528,$T295)="","",INDEX('Market Data'!$I$5:$I$528,$T295)))</f>
        <v/>
      </c>
      <c r="L295" s="10">
        <f>IF($T295=0,"",IF(INDEX('Market Data'!$J$5:$J$528,$T295)=0,"n/a",IF(AND($M$5&lt;&gt;"Snapshot",ISNUMBER(INDEX('Market Data'!$AH$5:$AH$66,INDEX('Market Data'!$J$5:$J$528,$T295)-4)),N(INDEX('Market Data'!$AH$5:$AH$66,INDEX('Market Data'!$J$5:$J$528,$T295)-4))&gt;0),INDEX('Market Data'!$AH$5:$AH$66,INDEX('Market Data'!$J$5:$J$528,$T295)-4),IF(AND($M$5&lt;&gt;"Bloomberg",ISNUMBER(INDEX('Market Data'!$AC$5:$AC$66,INDEX('Market Data'!$J$5:$J$528,$T295)-4)),N(INDEX('Market Data'!$AC$5:$AC$66,INDEX('Market Data'!$J$5:$J$528,$T295)-4))&gt;0),INDEX('Market Data'!$AC$5:$AC$66,INDEX('Market Data'!$J$5:$J$528,$T295)-4),"unavailable"))))</f>
        <v/>
      </c>
      <c r="M295" s="11">
        <f>IF($T295=0,"",IF(INDEX('Market Data'!$J$5:$J$528,$T295)=0,"n/a",IF(IF(INDEX('Market Data'!$J$5:$J$528,$T295)=0,0,IF(LEFT(INDEX('Market Data'!$AS$5:$AS$66,INDEX('Market Data'!$J$5:$J$528,$T295)-4),11)="First-month",1,0))=1,"class review",IF($I295="Bloomberg",IF(AND(ISNUMBER(INDEX('Market Data'!$AH$5:$AH$66,INDEX('Market Data'!$J$5:$J$528,$T295)-4)),N(INDEX('Market Data'!$AH$5:$AH$66,INDEX('Market Data'!$J$5:$J$528,$T295)-4))&gt;0,ISNUMBER('Market Data'!$B$1),N('Market Data'!$B$1)&gt;0),INDEX('Market Data'!$AH$5:$AH$66,INDEX('Market Data'!$J$5:$J$528,$T295)-4)*'Market Data'!$B$1/$E295-1,"pending A/FX"),IF(AND($I295="Snapshot",$Q295="Snapshot",ISNUMBER($E295),$G295=INDEX('Market Data'!$AE$5:$AE$66,INDEX('Market Data'!$J$5:$J$528,$T295)-4)),IFERROR(INDEX('Market Data'!$AC$5:$AC$66,INDEX('Market Data'!$J$5:$J$528,$T295)-4)*INDEX('Market Data'!$AD$5:$AD$66,INDEX('Market Data'!$J$5:$J$528,$T295)-4)/$E295-1,"unavailable"),IF($I295="Unavailable","unavailable","date mismatch"))))))</f>
        <v/>
      </c>
      <c r="N295" s="11">
        <f>IF($T295=0,"",IFERROR(IF(AND(N(INDEX('Market Data'!$F$5:$F$528,$T295))&gt;0,ISNUMBER(INDEX('Market Data'!$T$5:$T$528,$T295))),$E295*INDEX('Market Data'!$T$5:$T$528,$T295)/INDEX('Market Data'!$F$5:$F$528,$T295)-1,"unavailable"),"unavailable"))</f>
        <v/>
      </c>
      <c r="O295" s="9">
        <f>IF($T295=0,"",IF(IF(INDEX('Market Data'!$J$5:$J$528,$T295)=0,0,IF(LEFT(INDEX('Market Data'!$AS$5:$AS$66,INDEX('Market Data'!$J$5:$J$528,$T295)-4),11)="First-month",1,0))=1,"Class ratio review",IF($I295="Bloomberg",IF(ISNUMBER($G295),IF($G295&lt;TODAY(),"Older quote","See quote time"),"Date unavailable"),IF($I295="Snapshot",IF($G295&lt;DATEVALUE("2026-10-02"),"Older snapshot","Dated close"),"No valid quote"))))</f>
        <v/>
      </c>
      <c r="P295" s="14">
        <f>IF($T295=0,"",IF(INDEX('Market Data'!$J$5:$J$528,$T295)=0,"n/a",IF($Q295="Bloomberg",IF(AND(ISNUMBER(INDEX('Market Data'!$AK$5:$AK$66,INDEX('Market Data'!$J$5:$J$528,$T295)-4)),N(INDEX('Market Data'!$AK$5:$AK$66,INDEX('Market Data'!$J$5:$J$528,$T295)-4))&gt;0),INDEX('Market Data'!$AK$5:$AK$66,INDEX('Market Data'!$J$5:$J$528,$T295)-4),"date unavailable"),IF($Q295="Snapshot",IF(AND(ISNUMBER(INDEX('Market Data'!$AF$5:$AF$66,INDEX('Market Data'!$J$5:$J$528,$T295)-4)),N(INDEX('Market Data'!$AF$5:$AF$66,INDEX('Market Data'!$J$5:$J$528,$T295)-4))&gt;0),INDEX('Market Data'!$AF$5:$AF$66,INDEX('Market Data'!$J$5:$J$528,$T295)-4),"date unavailable"),"date unavailable"))))</f>
        <v/>
      </c>
      <c r="Q295" s="15">
        <f>IF($T295=0,"",IF(INDEX('Market Data'!$J$5:$J$528,$T295)=0,"n/a",IF(AND($M$5&lt;&gt;"Snapshot",ISNUMBER(INDEX('Market Data'!$AH$5:$AH$66,INDEX('Market Data'!$J$5:$J$528,$T295)-4)),N(INDEX('Market Data'!$AH$5:$AH$66,INDEX('Market Data'!$J$5:$J$528,$T295)-4))&gt;0),"Bloomberg",IF(AND($M$5&lt;&gt;"Bloomberg",ISNUMBER(INDEX('Market Data'!$AC$5:$AC$66,INDEX('Market Data'!$J$5:$J$528,$T295)-4)),N(INDEX('Market Data'!$AC$5:$AC$66,INDEX('Market Data'!$J$5:$J$528,$T295)-4))&gt;0),"Snapshot","Unavailable"))))</f>
        <v/>
      </c>
      <c r="T295">
        <f>IFERROR(MATCH(287,'Market Data'!$S$5:$S$528,0),0)</f>
        <v/>
      </c>
    </row>
    <row r="296" ht="34" customHeight="1">
      <c r="A296" s="8">
        <f>IF($T296=0,"",IF(INDEX('Market Data'!$A$5:$A$528,$T296)="","",INDEX('Market Data'!$A$5:$A$528,$T296)))</f>
        <v/>
      </c>
      <c r="B296" s="9">
        <f>IF($T296=0,"",IF(INDEX('Market Data'!$B$5:$B$528,$T296)="","",INDEX('Market Data'!$B$5:$B$528,$T296)))</f>
        <v/>
      </c>
      <c r="C296" s="9">
        <f>IF($T296=0,"",IF(INDEX('Market Data'!$C$5:$C$528,$T296)="","",INDEX('Market Data'!$C$5:$C$528,$T296)))</f>
        <v/>
      </c>
      <c r="D296" s="9">
        <f>IF($T296=0,"",IF(INDEX('Market Data'!$D$5:$D$528,$T296)="","",INDEX('Market Data'!$D$5:$D$528,$T296)))</f>
        <v/>
      </c>
      <c r="E296" s="10">
        <f>IF($T296=0,"",INDEX('Market Data'!$O$5:$O$528,$T296))</f>
        <v/>
      </c>
      <c r="F296" s="11">
        <f>IF($T296=0,"",IF(AND($I296="Bloomberg",ISNUMBER(INDEX('Market Data'!$L$5:$L$528,$T296))),INDEX('Market Data'!$L$5:$L$528,$T296),"unavailable"))</f>
        <v/>
      </c>
      <c r="G296" s="12">
        <f>IF($T296=0,"",IF($I296="Bloomberg",IF(AND(ISNUMBER(INDEX('Market Data'!$M$5:$M$528,$T296)),N(INDEX('Market Data'!$M$5:$M$528,$T296))&gt;0),INDEX('Market Data'!$M$5:$M$528,$T296),"date unavailable"),IF($I296="Snapshot",IF(AND(ISNUMBER(INDEX('Market Data'!$H$5:$H$528,$T296)),N(INDEX('Market Data'!$H$5:$H$528,$T296))&gt;0),INDEX('Market Data'!$H$5:$H$528,$T296),"date unavailable"),"date unavailable")))</f>
        <v/>
      </c>
      <c r="H296" s="9">
        <f>IF($T296=0,"",IF($I296="Bloomberg",IF(INDEX('Market Data'!$N$5:$N$528,$T296)="","time unavailable",INDEX('Market Data'!$N$5:$N$528,$T296)),""))</f>
        <v/>
      </c>
      <c r="I296" s="9">
        <f>IF($T296=0,"",INDEX('Market Data'!$P$5:$P$528,$T296))</f>
        <v/>
      </c>
      <c r="J296" s="13">
        <f>IF($T296=0,"",IF(INDEX('Market Data'!$E$5:$E$528,$T296)="","",INDEX('Market Data'!$E$5:$E$528,$T296)))</f>
        <v/>
      </c>
      <c r="K296" s="8">
        <f>IF($T296=0,"",IF(INDEX('Market Data'!$I$5:$I$528,$T296)="","",INDEX('Market Data'!$I$5:$I$528,$T296)))</f>
        <v/>
      </c>
      <c r="L296" s="10">
        <f>IF($T296=0,"",IF(INDEX('Market Data'!$J$5:$J$528,$T296)=0,"n/a",IF(AND($M$5&lt;&gt;"Snapshot",ISNUMBER(INDEX('Market Data'!$AH$5:$AH$66,INDEX('Market Data'!$J$5:$J$528,$T296)-4)),N(INDEX('Market Data'!$AH$5:$AH$66,INDEX('Market Data'!$J$5:$J$528,$T296)-4))&gt;0),INDEX('Market Data'!$AH$5:$AH$66,INDEX('Market Data'!$J$5:$J$528,$T296)-4),IF(AND($M$5&lt;&gt;"Bloomberg",ISNUMBER(INDEX('Market Data'!$AC$5:$AC$66,INDEX('Market Data'!$J$5:$J$528,$T296)-4)),N(INDEX('Market Data'!$AC$5:$AC$66,INDEX('Market Data'!$J$5:$J$528,$T296)-4))&gt;0),INDEX('Market Data'!$AC$5:$AC$66,INDEX('Market Data'!$J$5:$J$528,$T296)-4),"unavailable"))))</f>
        <v/>
      </c>
      <c r="M296" s="11">
        <f>IF($T296=0,"",IF(INDEX('Market Data'!$J$5:$J$528,$T296)=0,"n/a",IF(IF(INDEX('Market Data'!$J$5:$J$528,$T296)=0,0,IF(LEFT(INDEX('Market Data'!$AS$5:$AS$66,INDEX('Market Data'!$J$5:$J$528,$T296)-4),11)="First-month",1,0))=1,"class review",IF($I296="Bloomberg",IF(AND(ISNUMBER(INDEX('Market Data'!$AH$5:$AH$66,INDEX('Market Data'!$J$5:$J$528,$T296)-4)),N(INDEX('Market Data'!$AH$5:$AH$66,INDEX('Market Data'!$J$5:$J$528,$T296)-4))&gt;0,ISNUMBER('Market Data'!$B$1),N('Market Data'!$B$1)&gt;0),INDEX('Market Data'!$AH$5:$AH$66,INDEX('Market Data'!$J$5:$J$528,$T296)-4)*'Market Data'!$B$1/$E296-1,"pending A/FX"),IF(AND($I296="Snapshot",$Q296="Snapshot",ISNUMBER($E296),$G296=INDEX('Market Data'!$AE$5:$AE$66,INDEX('Market Data'!$J$5:$J$528,$T296)-4)),IFERROR(INDEX('Market Data'!$AC$5:$AC$66,INDEX('Market Data'!$J$5:$J$528,$T296)-4)*INDEX('Market Data'!$AD$5:$AD$66,INDEX('Market Data'!$J$5:$J$528,$T296)-4)/$E296-1,"unavailable"),IF($I296="Unavailable","unavailable","date mismatch"))))))</f>
        <v/>
      </c>
      <c r="N296" s="11">
        <f>IF($T296=0,"",IFERROR(IF(AND(N(INDEX('Market Data'!$F$5:$F$528,$T296))&gt;0,ISNUMBER(INDEX('Market Data'!$T$5:$T$528,$T296))),$E296*INDEX('Market Data'!$T$5:$T$528,$T296)/INDEX('Market Data'!$F$5:$F$528,$T296)-1,"unavailable"),"unavailable"))</f>
        <v/>
      </c>
      <c r="O296" s="9">
        <f>IF($T296=0,"",IF(IF(INDEX('Market Data'!$J$5:$J$528,$T296)=0,0,IF(LEFT(INDEX('Market Data'!$AS$5:$AS$66,INDEX('Market Data'!$J$5:$J$528,$T296)-4),11)="First-month",1,0))=1,"Class ratio review",IF($I296="Bloomberg",IF(ISNUMBER($G296),IF($G296&lt;TODAY(),"Older quote","See quote time"),"Date unavailable"),IF($I296="Snapshot",IF($G296&lt;DATEVALUE("2026-10-02"),"Older snapshot","Dated close"),"No valid quote"))))</f>
        <v/>
      </c>
      <c r="P296" s="14">
        <f>IF($T296=0,"",IF(INDEX('Market Data'!$J$5:$J$528,$T296)=0,"n/a",IF($Q296="Bloomberg",IF(AND(ISNUMBER(INDEX('Market Data'!$AK$5:$AK$66,INDEX('Market Data'!$J$5:$J$528,$T296)-4)),N(INDEX('Market Data'!$AK$5:$AK$66,INDEX('Market Data'!$J$5:$J$528,$T296)-4))&gt;0),INDEX('Market Data'!$AK$5:$AK$66,INDEX('Market Data'!$J$5:$J$528,$T296)-4),"date unavailable"),IF($Q296="Snapshot",IF(AND(ISNUMBER(INDEX('Market Data'!$AF$5:$AF$66,INDEX('Market Data'!$J$5:$J$528,$T296)-4)),N(INDEX('Market Data'!$AF$5:$AF$66,INDEX('Market Data'!$J$5:$J$528,$T296)-4))&gt;0),INDEX('Market Data'!$AF$5:$AF$66,INDEX('Market Data'!$J$5:$J$528,$T296)-4),"date unavailable"),"date unavailable"))))</f>
        <v/>
      </c>
      <c r="Q296" s="15">
        <f>IF($T296=0,"",IF(INDEX('Market Data'!$J$5:$J$528,$T296)=0,"n/a",IF(AND($M$5&lt;&gt;"Snapshot",ISNUMBER(INDEX('Market Data'!$AH$5:$AH$66,INDEX('Market Data'!$J$5:$J$528,$T296)-4)),N(INDEX('Market Data'!$AH$5:$AH$66,INDEX('Market Data'!$J$5:$J$528,$T296)-4))&gt;0),"Bloomberg",IF(AND($M$5&lt;&gt;"Bloomberg",ISNUMBER(INDEX('Market Data'!$AC$5:$AC$66,INDEX('Market Data'!$J$5:$J$528,$T296)-4)),N(INDEX('Market Data'!$AC$5:$AC$66,INDEX('Market Data'!$J$5:$J$528,$T296)-4))&gt;0),"Snapshot","Unavailable"))))</f>
        <v/>
      </c>
      <c r="T296">
        <f>IFERROR(MATCH(288,'Market Data'!$S$5:$S$528,0),0)</f>
        <v/>
      </c>
    </row>
    <row r="297" ht="34" customHeight="1">
      <c r="A297" s="8">
        <f>IF($T297=0,"",IF(INDEX('Market Data'!$A$5:$A$528,$T297)="","",INDEX('Market Data'!$A$5:$A$528,$T297)))</f>
        <v/>
      </c>
      <c r="B297" s="9">
        <f>IF($T297=0,"",IF(INDEX('Market Data'!$B$5:$B$528,$T297)="","",INDEX('Market Data'!$B$5:$B$528,$T297)))</f>
        <v/>
      </c>
      <c r="C297" s="9">
        <f>IF($T297=0,"",IF(INDEX('Market Data'!$C$5:$C$528,$T297)="","",INDEX('Market Data'!$C$5:$C$528,$T297)))</f>
        <v/>
      </c>
      <c r="D297" s="9">
        <f>IF($T297=0,"",IF(INDEX('Market Data'!$D$5:$D$528,$T297)="","",INDEX('Market Data'!$D$5:$D$528,$T297)))</f>
        <v/>
      </c>
      <c r="E297" s="10">
        <f>IF($T297=0,"",INDEX('Market Data'!$O$5:$O$528,$T297))</f>
        <v/>
      </c>
      <c r="F297" s="11">
        <f>IF($T297=0,"",IF(AND($I297="Bloomberg",ISNUMBER(INDEX('Market Data'!$L$5:$L$528,$T297))),INDEX('Market Data'!$L$5:$L$528,$T297),"unavailable"))</f>
        <v/>
      </c>
      <c r="G297" s="12">
        <f>IF($T297=0,"",IF($I297="Bloomberg",IF(AND(ISNUMBER(INDEX('Market Data'!$M$5:$M$528,$T297)),N(INDEX('Market Data'!$M$5:$M$528,$T297))&gt;0),INDEX('Market Data'!$M$5:$M$528,$T297),"date unavailable"),IF($I297="Snapshot",IF(AND(ISNUMBER(INDEX('Market Data'!$H$5:$H$528,$T297)),N(INDEX('Market Data'!$H$5:$H$528,$T297))&gt;0),INDEX('Market Data'!$H$5:$H$528,$T297),"date unavailable"),"date unavailable")))</f>
        <v/>
      </c>
      <c r="H297" s="9">
        <f>IF($T297=0,"",IF($I297="Bloomberg",IF(INDEX('Market Data'!$N$5:$N$528,$T297)="","time unavailable",INDEX('Market Data'!$N$5:$N$528,$T297)),""))</f>
        <v/>
      </c>
      <c r="I297" s="9">
        <f>IF($T297=0,"",INDEX('Market Data'!$P$5:$P$528,$T297))</f>
        <v/>
      </c>
      <c r="J297" s="13">
        <f>IF($T297=0,"",IF(INDEX('Market Data'!$E$5:$E$528,$T297)="","",INDEX('Market Data'!$E$5:$E$528,$T297)))</f>
        <v/>
      </c>
      <c r="K297" s="8">
        <f>IF($T297=0,"",IF(INDEX('Market Data'!$I$5:$I$528,$T297)="","",INDEX('Market Data'!$I$5:$I$528,$T297)))</f>
        <v/>
      </c>
      <c r="L297" s="10">
        <f>IF($T297=0,"",IF(INDEX('Market Data'!$J$5:$J$528,$T297)=0,"n/a",IF(AND($M$5&lt;&gt;"Snapshot",ISNUMBER(INDEX('Market Data'!$AH$5:$AH$66,INDEX('Market Data'!$J$5:$J$528,$T297)-4)),N(INDEX('Market Data'!$AH$5:$AH$66,INDEX('Market Data'!$J$5:$J$528,$T297)-4))&gt;0),INDEX('Market Data'!$AH$5:$AH$66,INDEX('Market Data'!$J$5:$J$528,$T297)-4),IF(AND($M$5&lt;&gt;"Bloomberg",ISNUMBER(INDEX('Market Data'!$AC$5:$AC$66,INDEX('Market Data'!$J$5:$J$528,$T297)-4)),N(INDEX('Market Data'!$AC$5:$AC$66,INDEX('Market Data'!$J$5:$J$528,$T297)-4))&gt;0),INDEX('Market Data'!$AC$5:$AC$66,INDEX('Market Data'!$J$5:$J$528,$T297)-4),"unavailable"))))</f>
        <v/>
      </c>
      <c r="M297" s="11">
        <f>IF($T297=0,"",IF(INDEX('Market Data'!$J$5:$J$528,$T297)=0,"n/a",IF(IF(INDEX('Market Data'!$J$5:$J$528,$T297)=0,0,IF(LEFT(INDEX('Market Data'!$AS$5:$AS$66,INDEX('Market Data'!$J$5:$J$528,$T297)-4),11)="First-month",1,0))=1,"class review",IF($I297="Bloomberg",IF(AND(ISNUMBER(INDEX('Market Data'!$AH$5:$AH$66,INDEX('Market Data'!$J$5:$J$528,$T297)-4)),N(INDEX('Market Data'!$AH$5:$AH$66,INDEX('Market Data'!$J$5:$J$528,$T297)-4))&gt;0,ISNUMBER('Market Data'!$B$1),N('Market Data'!$B$1)&gt;0),INDEX('Market Data'!$AH$5:$AH$66,INDEX('Market Data'!$J$5:$J$528,$T297)-4)*'Market Data'!$B$1/$E297-1,"pending A/FX"),IF(AND($I297="Snapshot",$Q297="Snapshot",ISNUMBER($E297),$G297=INDEX('Market Data'!$AE$5:$AE$66,INDEX('Market Data'!$J$5:$J$528,$T297)-4)),IFERROR(INDEX('Market Data'!$AC$5:$AC$66,INDEX('Market Data'!$J$5:$J$528,$T297)-4)*INDEX('Market Data'!$AD$5:$AD$66,INDEX('Market Data'!$J$5:$J$528,$T297)-4)/$E297-1,"unavailable"),IF($I297="Unavailable","unavailable","date mismatch"))))))</f>
        <v/>
      </c>
      <c r="N297" s="11">
        <f>IF($T297=0,"",IFERROR(IF(AND(N(INDEX('Market Data'!$F$5:$F$528,$T297))&gt;0,ISNUMBER(INDEX('Market Data'!$T$5:$T$528,$T297))),$E297*INDEX('Market Data'!$T$5:$T$528,$T297)/INDEX('Market Data'!$F$5:$F$528,$T297)-1,"unavailable"),"unavailable"))</f>
        <v/>
      </c>
      <c r="O297" s="9">
        <f>IF($T297=0,"",IF(IF(INDEX('Market Data'!$J$5:$J$528,$T297)=0,0,IF(LEFT(INDEX('Market Data'!$AS$5:$AS$66,INDEX('Market Data'!$J$5:$J$528,$T297)-4),11)="First-month",1,0))=1,"Class ratio review",IF($I297="Bloomberg",IF(ISNUMBER($G297),IF($G297&lt;TODAY(),"Older quote","See quote time"),"Date unavailable"),IF($I297="Snapshot",IF($G297&lt;DATEVALUE("2026-10-02"),"Older snapshot","Dated close"),"No valid quote"))))</f>
        <v/>
      </c>
      <c r="P297" s="14">
        <f>IF($T297=0,"",IF(INDEX('Market Data'!$J$5:$J$528,$T297)=0,"n/a",IF($Q297="Bloomberg",IF(AND(ISNUMBER(INDEX('Market Data'!$AK$5:$AK$66,INDEX('Market Data'!$J$5:$J$528,$T297)-4)),N(INDEX('Market Data'!$AK$5:$AK$66,INDEX('Market Data'!$J$5:$J$528,$T297)-4))&gt;0),INDEX('Market Data'!$AK$5:$AK$66,INDEX('Market Data'!$J$5:$J$528,$T297)-4),"date unavailable"),IF($Q297="Snapshot",IF(AND(ISNUMBER(INDEX('Market Data'!$AF$5:$AF$66,INDEX('Market Data'!$J$5:$J$528,$T297)-4)),N(INDEX('Market Data'!$AF$5:$AF$66,INDEX('Market Data'!$J$5:$J$528,$T297)-4))&gt;0),INDEX('Market Data'!$AF$5:$AF$66,INDEX('Market Data'!$J$5:$J$528,$T297)-4),"date unavailable"),"date unavailable"))))</f>
        <v/>
      </c>
      <c r="Q297" s="15">
        <f>IF($T297=0,"",IF(INDEX('Market Data'!$J$5:$J$528,$T297)=0,"n/a",IF(AND($M$5&lt;&gt;"Snapshot",ISNUMBER(INDEX('Market Data'!$AH$5:$AH$66,INDEX('Market Data'!$J$5:$J$528,$T297)-4)),N(INDEX('Market Data'!$AH$5:$AH$66,INDEX('Market Data'!$J$5:$J$528,$T297)-4))&gt;0),"Bloomberg",IF(AND($M$5&lt;&gt;"Bloomberg",ISNUMBER(INDEX('Market Data'!$AC$5:$AC$66,INDEX('Market Data'!$J$5:$J$528,$T297)-4)),N(INDEX('Market Data'!$AC$5:$AC$66,INDEX('Market Data'!$J$5:$J$528,$T297)-4))&gt;0),"Snapshot","Unavailable"))))</f>
        <v/>
      </c>
      <c r="T297">
        <f>IFERROR(MATCH(289,'Market Data'!$S$5:$S$528,0),0)</f>
        <v/>
      </c>
    </row>
    <row r="298" ht="34" customHeight="1">
      <c r="A298" s="8">
        <f>IF($T298=0,"",IF(INDEX('Market Data'!$A$5:$A$528,$T298)="","",INDEX('Market Data'!$A$5:$A$528,$T298)))</f>
        <v/>
      </c>
      <c r="B298" s="9">
        <f>IF($T298=0,"",IF(INDEX('Market Data'!$B$5:$B$528,$T298)="","",INDEX('Market Data'!$B$5:$B$528,$T298)))</f>
        <v/>
      </c>
      <c r="C298" s="9">
        <f>IF($T298=0,"",IF(INDEX('Market Data'!$C$5:$C$528,$T298)="","",INDEX('Market Data'!$C$5:$C$528,$T298)))</f>
        <v/>
      </c>
      <c r="D298" s="9">
        <f>IF($T298=0,"",IF(INDEX('Market Data'!$D$5:$D$528,$T298)="","",INDEX('Market Data'!$D$5:$D$528,$T298)))</f>
        <v/>
      </c>
      <c r="E298" s="10">
        <f>IF($T298=0,"",INDEX('Market Data'!$O$5:$O$528,$T298))</f>
        <v/>
      </c>
      <c r="F298" s="11">
        <f>IF($T298=0,"",IF(AND($I298="Bloomberg",ISNUMBER(INDEX('Market Data'!$L$5:$L$528,$T298))),INDEX('Market Data'!$L$5:$L$528,$T298),"unavailable"))</f>
        <v/>
      </c>
      <c r="G298" s="12">
        <f>IF($T298=0,"",IF($I298="Bloomberg",IF(AND(ISNUMBER(INDEX('Market Data'!$M$5:$M$528,$T298)),N(INDEX('Market Data'!$M$5:$M$528,$T298))&gt;0),INDEX('Market Data'!$M$5:$M$528,$T298),"date unavailable"),IF($I298="Snapshot",IF(AND(ISNUMBER(INDEX('Market Data'!$H$5:$H$528,$T298)),N(INDEX('Market Data'!$H$5:$H$528,$T298))&gt;0),INDEX('Market Data'!$H$5:$H$528,$T298),"date unavailable"),"date unavailable")))</f>
        <v/>
      </c>
      <c r="H298" s="9">
        <f>IF($T298=0,"",IF($I298="Bloomberg",IF(INDEX('Market Data'!$N$5:$N$528,$T298)="","time unavailable",INDEX('Market Data'!$N$5:$N$528,$T298)),""))</f>
        <v/>
      </c>
      <c r="I298" s="9">
        <f>IF($T298=0,"",INDEX('Market Data'!$P$5:$P$528,$T298))</f>
        <v/>
      </c>
      <c r="J298" s="13">
        <f>IF($T298=0,"",IF(INDEX('Market Data'!$E$5:$E$528,$T298)="","",INDEX('Market Data'!$E$5:$E$528,$T298)))</f>
        <v/>
      </c>
      <c r="K298" s="8">
        <f>IF($T298=0,"",IF(INDEX('Market Data'!$I$5:$I$528,$T298)="","",INDEX('Market Data'!$I$5:$I$528,$T298)))</f>
        <v/>
      </c>
      <c r="L298" s="10">
        <f>IF($T298=0,"",IF(INDEX('Market Data'!$J$5:$J$528,$T298)=0,"n/a",IF(AND($M$5&lt;&gt;"Snapshot",ISNUMBER(INDEX('Market Data'!$AH$5:$AH$66,INDEX('Market Data'!$J$5:$J$528,$T298)-4)),N(INDEX('Market Data'!$AH$5:$AH$66,INDEX('Market Data'!$J$5:$J$528,$T298)-4))&gt;0),INDEX('Market Data'!$AH$5:$AH$66,INDEX('Market Data'!$J$5:$J$528,$T298)-4),IF(AND($M$5&lt;&gt;"Bloomberg",ISNUMBER(INDEX('Market Data'!$AC$5:$AC$66,INDEX('Market Data'!$J$5:$J$528,$T298)-4)),N(INDEX('Market Data'!$AC$5:$AC$66,INDEX('Market Data'!$J$5:$J$528,$T298)-4))&gt;0),INDEX('Market Data'!$AC$5:$AC$66,INDEX('Market Data'!$J$5:$J$528,$T298)-4),"unavailable"))))</f>
        <v/>
      </c>
      <c r="M298" s="11">
        <f>IF($T298=0,"",IF(INDEX('Market Data'!$J$5:$J$528,$T298)=0,"n/a",IF(IF(INDEX('Market Data'!$J$5:$J$528,$T298)=0,0,IF(LEFT(INDEX('Market Data'!$AS$5:$AS$66,INDEX('Market Data'!$J$5:$J$528,$T298)-4),11)="First-month",1,0))=1,"class review",IF($I298="Bloomberg",IF(AND(ISNUMBER(INDEX('Market Data'!$AH$5:$AH$66,INDEX('Market Data'!$J$5:$J$528,$T298)-4)),N(INDEX('Market Data'!$AH$5:$AH$66,INDEX('Market Data'!$J$5:$J$528,$T298)-4))&gt;0,ISNUMBER('Market Data'!$B$1),N('Market Data'!$B$1)&gt;0),INDEX('Market Data'!$AH$5:$AH$66,INDEX('Market Data'!$J$5:$J$528,$T298)-4)*'Market Data'!$B$1/$E298-1,"pending A/FX"),IF(AND($I298="Snapshot",$Q298="Snapshot",ISNUMBER($E298),$G298=INDEX('Market Data'!$AE$5:$AE$66,INDEX('Market Data'!$J$5:$J$528,$T298)-4)),IFERROR(INDEX('Market Data'!$AC$5:$AC$66,INDEX('Market Data'!$J$5:$J$528,$T298)-4)*INDEX('Market Data'!$AD$5:$AD$66,INDEX('Market Data'!$J$5:$J$528,$T298)-4)/$E298-1,"unavailable"),IF($I298="Unavailable","unavailable","date mismatch"))))))</f>
        <v/>
      </c>
      <c r="N298" s="11">
        <f>IF($T298=0,"",IFERROR(IF(AND(N(INDEX('Market Data'!$F$5:$F$528,$T298))&gt;0,ISNUMBER(INDEX('Market Data'!$T$5:$T$528,$T298))),$E298*INDEX('Market Data'!$T$5:$T$528,$T298)/INDEX('Market Data'!$F$5:$F$528,$T298)-1,"unavailable"),"unavailable"))</f>
        <v/>
      </c>
      <c r="O298" s="9">
        <f>IF($T298=0,"",IF(IF(INDEX('Market Data'!$J$5:$J$528,$T298)=0,0,IF(LEFT(INDEX('Market Data'!$AS$5:$AS$66,INDEX('Market Data'!$J$5:$J$528,$T298)-4),11)="First-month",1,0))=1,"Class ratio review",IF($I298="Bloomberg",IF(ISNUMBER($G298),IF($G298&lt;TODAY(),"Older quote","See quote time"),"Date unavailable"),IF($I298="Snapshot",IF($G298&lt;DATEVALUE("2026-10-02"),"Older snapshot","Dated close"),"No valid quote"))))</f>
        <v/>
      </c>
      <c r="P298" s="14">
        <f>IF($T298=0,"",IF(INDEX('Market Data'!$J$5:$J$528,$T298)=0,"n/a",IF($Q298="Bloomberg",IF(AND(ISNUMBER(INDEX('Market Data'!$AK$5:$AK$66,INDEX('Market Data'!$J$5:$J$528,$T298)-4)),N(INDEX('Market Data'!$AK$5:$AK$66,INDEX('Market Data'!$J$5:$J$528,$T298)-4))&gt;0),INDEX('Market Data'!$AK$5:$AK$66,INDEX('Market Data'!$J$5:$J$528,$T298)-4),"date unavailable"),IF($Q298="Snapshot",IF(AND(ISNUMBER(INDEX('Market Data'!$AF$5:$AF$66,INDEX('Market Data'!$J$5:$J$528,$T298)-4)),N(INDEX('Market Data'!$AF$5:$AF$66,INDEX('Market Data'!$J$5:$J$528,$T298)-4))&gt;0),INDEX('Market Data'!$AF$5:$AF$66,INDEX('Market Data'!$J$5:$J$528,$T298)-4),"date unavailable"),"date unavailable"))))</f>
        <v/>
      </c>
      <c r="Q298" s="15">
        <f>IF($T298=0,"",IF(INDEX('Market Data'!$J$5:$J$528,$T298)=0,"n/a",IF(AND($M$5&lt;&gt;"Snapshot",ISNUMBER(INDEX('Market Data'!$AH$5:$AH$66,INDEX('Market Data'!$J$5:$J$528,$T298)-4)),N(INDEX('Market Data'!$AH$5:$AH$66,INDEX('Market Data'!$J$5:$J$528,$T298)-4))&gt;0),"Bloomberg",IF(AND($M$5&lt;&gt;"Bloomberg",ISNUMBER(INDEX('Market Data'!$AC$5:$AC$66,INDEX('Market Data'!$J$5:$J$528,$T298)-4)),N(INDEX('Market Data'!$AC$5:$AC$66,INDEX('Market Data'!$J$5:$J$528,$T298)-4))&gt;0),"Snapshot","Unavailable"))))</f>
        <v/>
      </c>
      <c r="T298">
        <f>IFERROR(MATCH(290,'Market Data'!$S$5:$S$528,0),0)</f>
        <v/>
      </c>
    </row>
    <row r="299" ht="34" customHeight="1">
      <c r="A299" s="8">
        <f>IF($T299=0,"",IF(INDEX('Market Data'!$A$5:$A$528,$T299)="","",INDEX('Market Data'!$A$5:$A$528,$T299)))</f>
        <v/>
      </c>
      <c r="B299" s="9">
        <f>IF($T299=0,"",IF(INDEX('Market Data'!$B$5:$B$528,$T299)="","",INDEX('Market Data'!$B$5:$B$528,$T299)))</f>
        <v/>
      </c>
      <c r="C299" s="9">
        <f>IF($T299=0,"",IF(INDEX('Market Data'!$C$5:$C$528,$T299)="","",INDEX('Market Data'!$C$5:$C$528,$T299)))</f>
        <v/>
      </c>
      <c r="D299" s="9">
        <f>IF($T299=0,"",IF(INDEX('Market Data'!$D$5:$D$528,$T299)="","",INDEX('Market Data'!$D$5:$D$528,$T299)))</f>
        <v/>
      </c>
      <c r="E299" s="10">
        <f>IF($T299=0,"",INDEX('Market Data'!$O$5:$O$528,$T299))</f>
        <v/>
      </c>
      <c r="F299" s="11">
        <f>IF($T299=0,"",IF(AND($I299="Bloomberg",ISNUMBER(INDEX('Market Data'!$L$5:$L$528,$T299))),INDEX('Market Data'!$L$5:$L$528,$T299),"unavailable"))</f>
        <v/>
      </c>
      <c r="G299" s="12">
        <f>IF($T299=0,"",IF($I299="Bloomberg",IF(AND(ISNUMBER(INDEX('Market Data'!$M$5:$M$528,$T299)),N(INDEX('Market Data'!$M$5:$M$528,$T299))&gt;0),INDEX('Market Data'!$M$5:$M$528,$T299),"date unavailable"),IF($I299="Snapshot",IF(AND(ISNUMBER(INDEX('Market Data'!$H$5:$H$528,$T299)),N(INDEX('Market Data'!$H$5:$H$528,$T299))&gt;0),INDEX('Market Data'!$H$5:$H$528,$T299),"date unavailable"),"date unavailable")))</f>
        <v/>
      </c>
      <c r="H299" s="9">
        <f>IF($T299=0,"",IF($I299="Bloomberg",IF(INDEX('Market Data'!$N$5:$N$528,$T299)="","time unavailable",INDEX('Market Data'!$N$5:$N$528,$T299)),""))</f>
        <v/>
      </c>
      <c r="I299" s="9">
        <f>IF($T299=0,"",INDEX('Market Data'!$P$5:$P$528,$T299))</f>
        <v/>
      </c>
      <c r="J299" s="13">
        <f>IF($T299=0,"",IF(INDEX('Market Data'!$E$5:$E$528,$T299)="","",INDEX('Market Data'!$E$5:$E$528,$T299)))</f>
        <v/>
      </c>
      <c r="K299" s="8">
        <f>IF($T299=0,"",IF(INDEX('Market Data'!$I$5:$I$528,$T299)="","",INDEX('Market Data'!$I$5:$I$528,$T299)))</f>
        <v/>
      </c>
      <c r="L299" s="10">
        <f>IF($T299=0,"",IF(INDEX('Market Data'!$J$5:$J$528,$T299)=0,"n/a",IF(AND($M$5&lt;&gt;"Snapshot",ISNUMBER(INDEX('Market Data'!$AH$5:$AH$66,INDEX('Market Data'!$J$5:$J$528,$T299)-4)),N(INDEX('Market Data'!$AH$5:$AH$66,INDEX('Market Data'!$J$5:$J$528,$T299)-4))&gt;0),INDEX('Market Data'!$AH$5:$AH$66,INDEX('Market Data'!$J$5:$J$528,$T299)-4),IF(AND($M$5&lt;&gt;"Bloomberg",ISNUMBER(INDEX('Market Data'!$AC$5:$AC$66,INDEX('Market Data'!$J$5:$J$528,$T299)-4)),N(INDEX('Market Data'!$AC$5:$AC$66,INDEX('Market Data'!$J$5:$J$528,$T299)-4))&gt;0),INDEX('Market Data'!$AC$5:$AC$66,INDEX('Market Data'!$J$5:$J$528,$T299)-4),"unavailable"))))</f>
        <v/>
      </c>
      <c r="M299" s="11">
        <f>IF($T299=0,"",IF(INDEX('Market Data'!$J$5:$J$528,$T299)=0,"n/a",IF(IF(INDEX('Market Data'!$J$5:$J$528,$T299)=0,0,IF(LEFT(INDEX('Market Data'!$AS$5:$AS$66,INDEX('Market Data'!$J$5:$J$528,$T299)-4),11)="First-month",1,0))=1,"class review",IF($I299="Bloomberg",IF(AND(ISNUMBER(INDEX('Market Data'!$AH$5:$AH$66,INDEX('Market Data'!$J$5:$J$528,$T299)-4)),N(INDEX('Market Data'!$AH$5:$AH$66,INDEX('Market Data'!$J$5:$J$528,$T299)-4))&gt;0,ISNUMBER('Market Data'!$B$1),N('Market Data'!$B$1)&gt;0),INDEX('Market Data'!$AH$5:$AH$66,INDEX('Market Data'!$J$5:$J$528,$T299)-4)*'Market Data'!$B$1/$E299-1,"pending A/FX"),IF(AND($I299="Snapshot",$Q299="Snapshot",ISNUMBER($E299),$G299=INDEX('Market Data'!$AE$5:$AE$66,INDEX('Market Data'!$J$5:$J$528,$T299)-4)),IFERROR(INDEX('Market Data'!$AC$5:$AC$66,INDEX('Market Data'!$J$5:$J$528,$T299)-4)*INDEX('Market Data'!$AD$5:$AD$66,INDEX('Market Data'!$J$5:$J$528,$T299)-4)/$E299-1,"unavailable"),IF($I299="Unavailable","unavailable","date mismatch"))))))</f>
        <v/>
      </c>
      <c r="N299" s="11">
        <f>IF($T299=0,"",IFERROR(IF(AND(N(INDEX('Market Data'!$F$5:$F$528,$T299))&gt;0,ISNUMBER(INDEX('Market Data'!$T$5:$T$528,$T299))),$E299*INDEX('Market Data'!$T$5:$T$528,$T299)/INDEX('Market Data'!$F$5:$F$528,$T299)-1,"unavailable"),"unavailable"))</f>
        <v/>
      </c>
      <c r="O299" s="9">
        <f>IF($T299=0,"",IF(IF(INDEX('Market Data'!$J$5:$J$528,$T299)=0,0,IF(LEFT(INDEX('Market Data'!$AS$5:$AS$66,INDEX('Market Data'!$J$5:$J$528,$T299)-4),11)="First-month",1,0))=1,"Class ratio review",IF($I299="Bloomberg",IF(ISNUMBER($G299),IF($G299&lt;TODAY(),"Older quote","See quote time"),"Date unavailable"),IF($I299="Snapshot",IF($G299&lt;DATEVALUE("2026-10-02"),"Older snapshot","Dated close"),"No valid quote"))))</f>
        <v/>
      </c>
      <c r="P299" s="14">
        <f>IF($T299=0,"",IF(INDEX('Market Data'!$J$5:$J$528,$T299)=0,"n/a",IF($Q299="Bloomberg",IF(AND(ISNUMBER(INDEX('Market Data'!$AK$5:$AK$66,INDEX('Market Data'!$J$5:$J$528,$T299)-4)),N(INDEX('Market Data'!$AK$5:$AK$66,INDEX('Market Data'!$J$5:$J$528,$T299)-4))&gt;0),INDEX('Market Data'!$AK$5:$AK$66,INDEX('Market Data'!$J$5:$J$528,$T299)-4),"date unavailable"),IF($Q299="Snapshot",IF(AND(ISNUMBER(INDEX('Market Data'!$AF$5:$AF$66,INDEX('Market Data'!$J$5:$J$528,$T299)-4)),N(INDEX('Market Data'!$AF$5:$AF$66,INDEX('Market Data'!$J$5:$J$528,$T299)-4))&gt;0),INDEX('Market Data'!$AF$5:$AF$66,INDEX('Market Data'!$J$5:$J$528,$T299)-4),"date unavailable"),"date unavailable"))))</f>
        <v/>
      </c>
      <c r="Q299" s="15">
        <f>IF($T299=0,"",IF(INDEX('Market Data'!$J$5:$J$528,$T299)=0,"n/a",IF(AND($M$5&lt;&gt;"Snapshot",ISNUMBER(INDEX('Market Data'!$AH$5:$AH$66,INDEX('Market Data'!$J$5:$J$528,$T299)-4)),N(INDEX('Market Data'!$AH$5:$AH$66,INDEX('Market Data'!$J$5:$J$528,$T299)-4))&gt;0),"Bloomberg",IF(AND($M$5&lt;&gt;"Bloomberg",ISNUMBER(INDEX('Market Data'!$AC$5:$AC$66,INDEX('Market Data'!$J$5:$J$528,$T299)-4)),N(INDEX('Market Data'!$AC$5:$AC$66,INDEX('Market Data'!$J$5:$J$528,$T299)-4))&gt;0),"Snapshot","Unavailable"))))</f>
        <v/>
      </c>
      <c r="T299">
        <f>IFERROR(MATCH(291,'Market Data'!$S$5:$S$528,0),0)</f>
        <v/>
      </c>
    </row>
    <row r="300" ht="34" customHeight="1">
      <c r="A300" s="8">
        <f>IF($T300=0,"",IF(INDEX('Market Data'!$A$5:$A$528,$T300)="","",INDEX('Market Data'!$A$5:$A$528,$T300)))</f>
        <v/>
      </c>
      <c r="B300" s="9">
        <f>IF($T300=0,"",IF(INDEX('Market Data'!$B$5:$B$528,$T300)="","",INDEX('Market Data'!$B$5:$B$528,$T300)))</f>
        <v/>
      </c>
      <c r="C300" s="9">
        <f>IF($T300=0,"",IF(INDEX('Market Data'!$C$5:$C$528,$T300)="","",INDEX('Market Data'!$C$5:$C$528,$T300)))</f>
        <v/>
      </c>
      <c r="D300" s="9">
        <f>IF($T300=0,"",IF(INDEX('Market Data'!$D$5:$D$528,$T300)="","",INDEX('Market Data'!$D$5:$D$528,$T300)))</f>
        <v/>
      </c>
      <c r="E300" s="10">
        <f>IF($T300=0,"",INDEX('Market Data'!$O$5:$O$528,$T300))</f>
        <v/>
      </c>
      <c r="F300" s="11">
        <f>IF($T300=0,"",IF(AND($I300="Bloomberg",ISNUMBER(INDEX('Market Data'!$L$5:$L$528,$T300))),INDEX('Market Data'!$L$5:$L$528,$T300),"unavailable"))</f>
        <v/>
      </c>
      <c r="G300" s="12">
        <f>IF($T300=0,"",IF($I300="Bloomberg",IF(AND(ISNUMBER(INDEX('Market Data'!$M$5:$M$528,$T300)),N(INDEX('Market Data'!$M$5:$M$528,$T300))&gt;0),INDEX('Market Data'!$M$5:$M$528,$T300),"date unavailable"),IF($I300="Snapshot",IF(AND(ISNUMBER(INDEX('Market Data'!$H$5:$H$528,$T300)),N(INDEX('Market Data'!$H$5:$H$528,$T300))&gt;0),INDEX('Market Data'!$H$5:$H$528,$T300),"date unavailable"),"date unavailable")))</f>
        <v/>
      </c>
      <c r="H300" s="9">
        <f>IF($T300=0,"",IF($I300="Bloomberg",IF(INDEX('Market Data'!$N$5:$N$528,$T300)="","time unavailable",INDEX('Market Data'!$N$5:$N$528,$T300)),""))</f>
        <v/>
      </c>
      <c r="I300" s="9">
        <f>IF($T300=0,"",INDEX('Market Data'!$P$5:$P$528,$T300))</f>
        <v/>
      </c>
      <c r="J300" s="13">
        <f>IF($T300=0,"",IF(INDEX('Market Data'!$E$5:$E$528,$T300)="","",INDEX('Market Data'!$E$5:$E$528,$T300)))</f>
        <v/>
      </c>
      <c r="K300" s="8">
        <f>IF($T300=0,"",IF(INDEX('Market Data'!$I$5:$I$528,$T300)="","",INDEX('Market Data'!$I$5:$I$528,$T300)))</f>
        <v/>
      </c>
      <c r="L300" s="10">
        <f>IF($T300=0,"",IF(INDEX('Market Data'!$J$5:$J$528,$T300)=0,"n/a",IF(AND($M$5&lt;&gt;"Snapshot",ISNUMBER(INDEX('Market Data'!$AH$5:$AH$66,INDEX('Market Data'!$J$5:$J$528,$T300)-4)),N(INDEX('Market Data'!$AH$5:$AH$66,INDEX('Market Data'!$J$5:$J$528,$T300)-4))&gt;0),INDEX('Market Data'!$AH$5:$AH$66,INDEX('Market Data'!$J$5:$J$528,$T300)-4),IF(AND($M$5&lt;&gt;"Bloomberg",ISNUMBER(INDEX('Market Data'!$AC$5:$AC$66,INDEX('Market Data'!$J$5:$J$528,$T300)-4)),N(INDEX('Market Data'!$AC$5:$AC$66,INDEX('Market Data'!$J$5:$J$528,$T300)-4))&gt;0),INDEX('Market Data'!$AC$5:$AC$66,INDEX('Market Data'!$J$5:$J$528,$T300)-4),"unavailable"))))</f>
        <v/>
      </c>
      <c r="M300" s="11">
        <f>IF($T300=0,"",IF(INDEX('Market Data'!$J$5:$J$528,$T300)=0,"n/a",IF(IF(INDEX('Market Data'!$J$5:$J$528,$T300)=0,0,IF(LEFT(INDEX('Market Data'!$AS$5:$AS$66,INDEX('Market Data'!$J$5:$J$528,$T300)-4),11)="First-month",1,0))=1,"class review",IF($I300="Bloomberg",IF(AND(ISNUMBER(INDEX('Market Data'!$AH$5:$AH$66,INDEX('Market Data'!$J$5:$J$528,$T300)-4)),N(INDEX('Market Data'!$AH$5:$AH$66,INDEX('Market Data'!$J$5:$J$528,$T300)-4))&gt;0,ISNUMBER('Market Data'!$B$1),N('Market Data'!$B$1)&gt;0),INDEX('Market Data'!$AH$5:$AH$66,INDEX('Market Data'!$J$5:$J$528,$T300)-4)*'Market Data'!$B$1/$E300-1,"pending A/FX"),IF(AND($I300="Snapshot",$Q300="Snapshot",ISNUMBER($E300),$G300=INDEX('Market Data'!$AE$5:$AE$66,INDEX('Market Data'!$J$5:$J$528,$T300)-4)),IFERROR(INDEX('Market Data'!$AC$5:$AC$66,INDEX('Market Data'!$J$5:$J$528,$T300)-4)*INDEX('Market Data'!$AD$5:$AD$66,INDEX('Market Data'!$J$5:$J$528,$T300)-4)/$E300-1,"unavailable"),IF($I300="Unavailable","unavailable","date mismatch"))))))</f>
        <v/>
      </c>
      <c r="N300" s="11">
        <f>IF($T300=0,"",IFERROR(IF(AND(N(INDEX('Market Data'!$F$5:$F$528,$T300))&gt;0,ISNUMBER(INDEX('Market Data'!$T$5:$T$528,$T300))),$E300*INDEX('Market Data'!$T$5:$T$528,$T300)/INDEX('Market Data'!$F$5:$F$528,$T300)-1,"unavailable"),"unavailable"))</f>
        <v/>
      </c>
      <c r="O300" s="9">
        <f>IF($T300=0,"",IF(IF(INDEX('Market Data'!$J$5:$J$528,$T300)=0,0,IF(LEFT(INDEX('Market Data'!$AS$5:$AS$66,INDEX('Market Data'!$J$5:$J$528,$T300)-4),11)="First-month",1,0))=1,"Class ratio review",IF($I300="Bloomberg",IF(ISNUMBER($G300),IF($G300&lt;TODAY(),"Older quote","See quote time"),"Date unavailable"),IF($I300="Snapshot",IF($G300&lt;DATEVALUE("2026-10-02"),"Older snapshot","Dated close"),"No valid quote"))))</f>
        <v/>
      </c>
      <c r="P300" s="14">
        <f>IF($T300=0,"",IF(INDEX('Market Data'!$J$5:$J$528,$T300)=0,"n/a",IF($Q300="Bloomberg",IF(AND(ISNUMBER(INDEX('Market Data'!$AK$5:$AK$66,INDEX('Market Data'!$J$5:$J$528,$T300)-4)),N(INDEX('Market Data'!$AK$5:$AK$66,INDEX('Market Data'!$J$5:$J$528,$T300)-4))&gt;0),INDEX('Market Data'!$AK$5:$AK$66,INDEX('Market Data'!$J$5:$J$528,$T300)-4),"date unavailable"),IF($Q300="Snapshot",IF(AND(ISNUMBER(INDEX('Market Data'!$AF$5:$AF$66,INDEX('Market Data'!$J$5:$J$528,$T300)-4)),N(INDEX('Market Data'!$AF$5:$AF$66,INDEX('Market Data'!$J$5:$J$528,$T300)-4))&gt;0),INDEX('Market Data'!$AF$5:$AF$66,INDEX('Market Data'!$J$5:$J$528,$T300)-4),"date unavailable"),"date unavailable"))))</f>
        <v/>
      </c>
      <c r="Q300" s="15">
        <f>IF($T300=0,"",IF(INDEX('Market Data'!$J$5:$J$528,$T300)=0,"n/a",IF(AND($M$5&lt;&gt;"Snapshot",ISNUMBER(INDEX('Market Data'!$AH$5:$AH$66,INDEX('Market Data'!$J$5:$J$528,$T300)-4)),N(INDEX('Market Data'!$AH$5:$AH$66,INDEX('Market Data'!$J$5:$J$528,$T300)-4))&gt;0),"Bloomberg",IF(AND($M$5&lt;&gt;"Bloomberg",ISNUMBER(INDEX('Market Data'!$AC$5:$AC$66,INDEX('Market Data'!$J$5:$J$528,$T300)-4)),N(INDEX('Market Data'!$AC$5:$AC$66,INDEX('Market Data'!$J$5:$J$528,$T300)-4))&gt;0),"Snapshot","Unavailable"))))</f>
        <v/>
      </c>
      <c r="T300">
        <f>IFERROR(MATCH(292,'Market Data'!$S$5:$S$528,0),0)</f>
        <v/>
      </c>
    </row>
    <row r="301" ht="34" customHeight="1">
      <c r="A301" s="8">
        <f>IF($T301=0,"",IF(INDEX('Market Data'!$A$5:$A$528,$T301)="","",INDEX('Market Data'!$A$5:$A$528,$T301)))</f>
        <v/>
      </c>
      <c r="B301" s="9">
        <f>IF($T301=0,"",IF(INDEX('Market Data'!$B$5:$B$528,$T301)="","",INDEX('Market Data'!$B$5:$B$528,$T301)))</f>
        <v/>
      </c>
      <c r="C301" s="9">
        <f>IF($T301=0,"",IF(INDEX('Market Data'!$C$5:$C$528,$T301)="","",INDEX('Market Data'!$C$5:$C$528,$T301)))</f>
        <v/>
      </c>
      <c r="D301" s="9">
        <f>IF($T301=0,"",IF(INDEX('Market Data'!$D$5:$D$528,$T301)="","",INDEX('Market Data'!$D$5:$D$528,$T301)))</f>
        <v/>
      </c>
      <c r="E301" s="10">
        <f>IF($T301=0,"",INDEX('Market Data'!$O$5:$O$528,$T301))</f>
        <v/>
      </c>
      <c r="F301" s="11">
        <f>IF($T301=0,"",IF(AND($I301="Bloomberg",ISNUMBER(INDEX('Market Data'!$L$5:$L$528,$T301))),INDEX('Market Data'!$L$5:$L$528,$T301),"unavailable"))</f>
        <v/>
      </c>
      <c r="G301" s="12">
        <f>IF($T301=0,"",IF($I301="Bloomberg",IF(AND(ISNUMBER(INDEX('Market Data'!$M$5:$M$528,$T301)),N(INDEX('Market Data'!$M$5:$M$528,$T301))&gt;0),INDEX('Market Data'!$M$5:$M$528,$T301),"date unavailable"),IF($I301="Snapshot",IF(AND(ISNUMBER(INDEX('Market Data'!$H$5:$H$528,$T301)),N(INDEX('Market Data'!$H$5:$H$528,$T301))&gt;0),INDEX('Market Data'!$H$5:$H$528,$T301),"date unavailable"),"date unavailable")))</f>
        <v/>
      </c>
      <c r="H301" s="9">
        <f>IF($T301=0,"",IF($I301="Bloomberg",IF(INDEX('Market Data'!$N$5:$N$528,$T301)="","time unavailable",INDEX('Market Data'!$N$5:$N$528,$T301)),""))</f>
        <v/>
      </c>
      <c r="I301" s="9">
        <f>IF($T301=0,"",INDEX('Market Data'!$P$5:$P$528,$T301))</f>
        <v/>
      </c>
      <c r="J301" s="13">
        <f>IF($T301=0,"",IF(INDEX('Market Data'!$E$5:$E$528,$T301)="","",INDEX('Market Data'!$E$5:$E$528,$T301)))</f>
        <v/>
      </c>
      <c r="K301" s="8">
        <f>IF($T301=0,"",IF(INDEX('Market Data'!$I$5:$I$528,$T301)="","",INDEX('Market Data'!$I$5:$I$528,$T301)))</f>
        <v/>
      </c>
      <c r="L301" s="10">
        <f>IF($T301=0,"",IF(INDEX('Market Data'!$J$5:$J$528,$T301)=0,"n/a",IF(AND($M$5&lt;&gt;"Snapshot",ISNUMBER(INDEX('Market Data'!$AH$5:$AH$66,INDEX('Market Data'!$J$5:$J$528,$T301)-4)),N(INDEX('Market Data'!$AH$5:$AH$66,INDEX('Market Data'!$J$5:$J$528,$T301)-4))&gt;0),INDEX('Market Data'!$AH$5:$AH$66,INDEX('Market Data'!$J$5:$J$528,$T301)-4),IF(AND($M$5&lt;&gt;"Bloomberg",ISNUMBER(INDEX('Market Data'!$AC$5:$AC$66,INDEX('Market Data'!$J$5:$J$528,$T301)-4)),N(INDEX('Market Data'!$AC$5:$AC$66,INDEX('Market Data'!$J$5:$J$528,$T301)-4))&gt;0),INDEX('Market Data'!$AC$5:$AC$66,INDEX('Market Data'!$J$5:$J$528,$T301)-4),"unavailable"))))</f>
        <v/>
      </c>
      <c r="M301" s="11">
        <f>IF($T301=0,"",IF(INDEX('Market Data'!$J$5:$J$528,$T301)=0,"n/a",IF(IF(INDEX('Market Data'!$J$5:$J$528,$T301)=0,0,IF(LEFT(INDEX('Market Data'!$AS$5:$AS$66,INDEX('Market Data'!$J$5:$J$528,$T301)-4),11)="First-month",1,0))=1,"class review",IF($I301="Bloomberg",IF(AND(ISNUMBER(INDEX('Market Data'!$AH$5:$AH$66,INDEX('Market Data'!$J$5:$J$528,$T301)-4)),N(INDEX('Market Data'!$AH$5:$AH$66,INDEX('Market Data'!$J$5:$J$528,$T301)-4))&gt;0,ISNUMBER('Market Data'!$B$1),N('Market Data'!$B$1)&gt;0),INDEX('Market Data'!$AH$5:$AH$66,INDEX('Market Data'!$J$5:$J$528,$T301)-4)*'Market Data'!$B$1/$E301-1,"pending A/FX"),IF(AND($I301="Snapshot",$Q301="Snapshot",ISNUMBER($E301),$G301=INDEX('Market Data'!$AE$5:$AE$66,INDEX('Market Data'!$J$5:$J$528,$T301)-4)),IFERROR(INDEX('Market Data'!$AC$5:$AC$66,INDEX('Market Data'!$J$5:$J$528,$T301)-4)*INDEX('Market Data'!$AD$5:$AD$66,INDEX('Market Data'!$J$5:$J$528,$T301)-4)/$E301-1,"unavailable"),IF($I301="Unavailable","unavailable","date mismatch"))))))</f>
        <v/>
      </c>
      <c r="N301" s="11">
        <f>IF($T301=0,"",IFERROR(IF(AND(N(INDEX('Market Data'!$F$5:$F$528,$T301))&gt;0,ISNUMBER(INDEX('Market Data'!$T$5:$T$528,$T301))),$E301*INDEX('Market Data'!$T$5:$T$528,$T301)/INDEX('Market Data'!$F$5:$F$528,$T301)-1,"unavailable"),"unavailable"))</f>
        <v/>
      </c>
      <c r="O301" s="9">
        <f>IF($T301=0,"",IF(IF(INDEX('Market Data'!$J$5:$J$528,$T301)=0,0,IF(LEFT(INDEX('Market Data'!$AS$5:$AS$66,INDEX('Market Data'!$J$5:$J$528,$T301)-4),11)="First-month",1,0))=1,"Class ratio review",IF($I301="Bloomberg",IF(ISNUMBER($G301),IF($G301&lt;TODAY(),"Older quote","See quote time"),"Date unavailable"),IF($I301="Snapshot",IF($G301&lt;DATEVALUE("2026-10-02"),"Older snapshot","Dated close"),"No valid quote"))))</f>
        <v/>
      </c>
      <c r="P301" s="14">
        <f>IF($T301=0,"",IF(INDEX('Market Data'!$J$5:$J$528,$T301)=0,"n/a",IF($Q301="Bloomberg",IF(AND(ISNUMBER(INDEX('Market Data'!$AK$5:$AK$66,INDEX('Market Data'!$J$5:$J$528,$T301)-4)),N(INDEX('Market Data'!$AK$5:$AK$66,INDEX('Market Data'!$J$5:$J$528,$T301)-4))&gt;0),INDEX('Market Data'!$AK$5:$AK$66,INDEX('Market Data'!$J$5:$J$528,$T301)-4),"date unavailable"),IF($Q301="Snapshot",IF(AND(ISNUMBER(INDEX('Market Data'!$AF$5:$AF$66,INDEX('Market Data'!$J$5:$J$528,$T301)-4)),N(INDEX('Market Data'!$AF$5:$AF$66,INDEX('Market Data'!$J$5:$J$528,$T301)-4))&gt;0),INDEX('Market Data'!$AF$5:$AF$66,INDEX('Market Data'!$J$5:$J$528,$T301)-4),"date unavailable"),"date unavailable"))))</f>
        <v/>
      </c>
      <c r="Q301" s="15">
        <f>IF($T301=0,"",IF(INDEX('Market Data'!$J$5:$J$528,$T301)=0,"n/a",IF(AND($M$5&lt;&gt;"Snapshot",ISNUMBER(INDEX('Market Data'!$AH$5:$AH$66,INDEX('Market Data'!$J$5:$J$528,$T301)-4)),N(INDEX('Market Data'!$AH$5:$AH$66,INDEX('Market Data'!$J$5:$J$528,$T301)-4))&gt;0),"Bloomberg",IF(AND($M$5&lt;&gt;"Bloomberg",ISNUMBER(INDEX('Market Data'!$AC$5:$AC$66,INDEX('Market Data'!$J$5:$J$528,$T301)-4)),N(INDEX('Market Data'!$AC$5:$AC$66,INDEX('Market Data'!$J$5:$J$528,$T301)-4))&gt;0),"Snapshot","Unavailable"))))</f>
        <v/>
      </c>
      <c r="T301">
        <f>IFERROR(MATCH(293,'Market Data'!$S$5:$S$528,0),0)</f>
        <v/>
      </c>
    </row>
    <row r="302" ht="34" customHeight="1">
      <c r="A302" s="8">
        <f>IF($T302=0,"",IF(INDEX('Market Data'!$A$5:$A$528,$T302)="","",INDEX('Market Data'!$A$5:$A$528,$T302)))</f>
        <v/>
      </c>
      <c r="B302" s="9">
        <f>IF($T302=0,"",IF(INDEX('Market Data'!$B$5:$B$528,$T302)="","",INDEX('Market Data'!$B$5:$B$528,$T302)))</f>
        <v/>
      </c>
      <c r="C302" s="9">
        <f>IF($T302=0,"",IF(INDEX('Market Data'!$C$5:$C$528,$T302)="","",INDEX('Market Data'!$C$5:$C$528,$T302)))</f>
        <v/>
      </c>
      <c r="D302" s="9">
        <f>IF($T302=0,"",IF(INDEX('Market Data'!$D$5:$D$528,$T302)="","",INDEX('Market Data'!$D$5:$D$528,$T302)))</f>
        <v/>
      </c>
      <c r="E302" s="10">
        <f>IF($T302=0,"",INDEX('Market Data'!$O$5:$O$528,$T302))</f>
        <v/>
      </c>
      <c r="F302" s="11">
        <f>IF($T302=0,"",IF(AND($I302="Bloomberg",ISNUMBER(INDEX('Market Data'!$L$5:$L$528,$T302))),INDEX('Market Data'!$L$5:$L$528,$T302),"unavailable"))</f>
        <v/>
      </c>
      <c r="G302" s="12">
        <f>IF($T302=0,"",IF($I302="Bloomberg",IF(AND(ISNUMBER(INDEX('Market Data'!$M$5:$M$528,$T302)),N(INDEX('Market Data'!$M$5:$M$528,$T302))&gt;0),INDEX('Market Data'!$M$5:$M$528,$T302),"date unavailable"),IF($I302="Snapshot",IF(AND(ISNUMBER(INDEX('Market Data'!$H$5:$H$528,$T302)),N(INDEX('Market Data'!$H$5:$H$528,$T302))&gt;0),INDEX('Market Data'!$H$5:$H$528,$T302),"date unavailable"),"date unavailable")))</f>
        <v/>
      </c>
      <c r="H302" s="9">
        <f>IF($T302=0,"",IF($I302="Bloomberg",IF(INDEX('Market Data'!$N$5:$N$528,$T302)="","time unavailable",INDEX('Market Data'!$N$5:$N$528,$T302)),""))</f>
        <v/>
      </c>
      <c r="I302" s="9">
        <f>IF($T302=0,"",INDEX('Market Data'!$P$5:$P$528,$T302))</f>
        <v/>
      </c>
      <c r="J302" s="13">
        <f>IF($T302=0,"",IF(INDEX('Market Data'!$E$5:$E$528,$T302)="","",INDEX('Market Data'!$E$5:$E$528,$T302)))</f>
        <v/>
      </c>
      <c r="K302" s="8">
        <f>IF($T302=0,"",IF(INDEX('Market Data'!$I$5:$I$528,$T302)="","",INDEX('Market Data'!$I$5:$I$528,$T302)))</f>
        <v/>
      </c>
      <c r="L302" s="10">
        <f>IF($T302=0,"",IF(INDEX('Market Data'!$J$5:$J$528,$T302)=0,"n/a",IF(AND($M$5&lt;&gt;"Snapshot",ISNUMBER(INDEX('Market Data'!$AH$5:$AH$66,INDEX('Market Data'!$J$5:$J$528,$T302)-4)),N(INDEX('Market Data'!$AH$5:$AH$66,INDEX('Market Data'!$J$5:$J$528,$T302)-4))&gt;0),INDEX('Market Data'!$AH$5:$AH$66,INDEX('Market Data'!$J$5:$J$528,$T302)-4),IF(AND($M$5&lt;&gt;"Bloomberg",ISNUMBER(INDEX('Market Data'!$AC$5:$AC$66,INDEX('Market Data'!$J$5:$J$528,$T302)-4)),N(INDEX('Market Data'!$AC$5:$AC$66,INDEX('Market Data'!$J$5:$J$528,$T302)-4))&gt;0),INDEX('Market Data'!$AC$5:$AC$66,INDEX('Market Data'!$J$5:$J$528,$T302)-4),"unavailable"))))</f>
        <v/>
      </c>
      <c r="M302" s="11">
        <f>IF($T302=0,"",IF(INDEX('Market Data'!$J$5:$J$528,$T302)=0,"n/a",IF(IF(INDEX('Market Data'!$J$5:$J$528,$T302)=0,0,IF(LEFT(INDEX('Market Data'!$AS$5:$AS$66,INDEX('Market Data'!$J$5:$J$528,$T302)-4),11)="First-month",1,0))=1,"class review",IF($I302="Bloomberg",IF(AND(ISNUMBER(INDEX('Market Data'!$AH$5:$AH$66,INDEX('Market Data'!$J$5:$J$528,$T302)-4)),N(INDEX('Market Data'!$AH$5:$AH$66,INDEX('Market Data'!$J$5:$J$528,$T302)-4))&gt;0,ISNUMBER('Market Data'!$B$1),N('Market Data'!$B$1)&gt;0),INDEX('Market Data'!$AH$5:$AH$66,INDEX('Market Data'!$J$5:$J$528,$T302)-4)*'Market Data'!$B$1/$E302-1,"pending A/FX"),IF(AND($I302="Snapshot",$Q302="Snapshot",ISNUMBER($E302),$G302=INDEX('Market Data'!$AE$5:$AE$66,INDEX('Market Data'!$J$5:$J$528,$T302)-4)),IFERROR(INDEX('Market Data'!$AC$5:$AC$66,INDEX('Market Data'!$J$5:$J$528,$T302)-4)*INDEX('Market Data'!$AD$5:$AD$66,INDEX('Market Data'!$J$5:$J$528,$T302)-4)/$E302-1,"unavailable"),IF($I302="Unavailable","unavailable","date mismatch"))))))</f>
        <v/>
      </c>
      <c r="N302" s="11">
        <f>IF($T302=0,"",IFERROR(IF(AND(N(INDEX('Market Data'!$F$5:$F$528,$T302))&gt;0,ISNUMBER(INDEX('Market Data'!$T$5:$T$528,$T302))),$E302*INDEX('Market Data'!$T$5:$T$528,$T302)/INDEX('Market Data'!$F$5:$F$528,$T302)-1,"unavailable"),"unavailable"))</f>
        <v/>
      </c>
      <c r="O302" s="9">
        <f>IF($T302=0,"",IF(IF(INDEX('Market Data'!$J$5:$J$528,$T302)=0,0,IF(LEFT(INDEX('Market Data'!$AS$5:$AS$66,INDEX('Market Data'!$J$5:$J$528,$T302)-4),11)="First-month",1,0))=1,"Class ratio review",IF($I302="Bloomberg",IF(ISNUMBER($G302),IF($G302&lt;TODAY(),"Older quote","See quote time"),"Date unavailable"),IF($I302="Snapshot",IF($G302&lt;DATEVALUE("2026-10-02"),"Older snapshot","Dated close"),"No valid quote"))))</f>
        <v/>
      </c>
      <c r="P302" s="14">
        <f>IF($T302=0,"",IF(INDEX('Market Data'!$J$5:$J$528,$T302)=0,"n/a",IF($Q302="Bloomberg",IF(AND(ISNUMBER(INDEX('Market Data'!$AK$5:$AK$66,INDEX('Market Data'!$J$5:$J$528,$T302)-4)),N(INDEX('Market Data'!$AK$5:$AK$66,INDEX('Market Data'!$J$5:$J$528,$T302)-4))&gt;0),INDEX('Market Data'!$AK$5:$AK$66,INDEX('Market Data'!$J$5:$J$528,$T302)-4),"date unavailable"),IF($Q302="Snapshot",IF(AND(ISNUMBER(INDEX('Market Data'!$AF$5:$AF$66,INDEX('Market Data'!$J$5:$J$528,$T302)-4)),N(INDEX('Market Data'!$AF$5:$AF$66,INDEX('Market Data'!$J$5:$J$528,$T302)-4))&gt;0),INDEX('Market Data'!$AF$5:$AF$66,INDEX('Market Data'!$J$5:$J$528,$T302)-4),"date unavailable"),"date unavailable"))))</f>
        <v/>
      </c>
      <c r="Q302" s="15">
        <f>IF($T302=0,"",IF(INDEX('Market Data'!$J$5:$J$528,$T302)=0,"n/a",IF(AND($M$5&lt;&gt;"Snapshot",ISNUMBER(INDEX('Market Data'!$AH$5:$AH$66,INDEX('Market Data'!$J$5:$J$528,$T302)-4)),N(INDEX('Market Data'!$AH$5:$AH$66,INDEX('Market Data'!$J$5:$J$528,$T302)-4))&gt;0),"Bloomberg",IF(AND($M$5&lt;&gt;"Bloomberg",ISNUMBER(INDEX('Market Data'!$AC$5:$AC$66,INDEX('Market Data'!$J$5:$J$528,$T302)-4)),N(INDEX('Market Data'!$AC$5:$AC$66,INDEX('Market Data'!$J$5:$J$528,$T302)-4))&gt;0),"Snapshot","Unavailable"))))</f>
        <v/>
      </c>
      <c r="T302">
        <f>IFERROR(MATCH(294,'Market Data'!$S$5:$S$528,0),0)</f>
        <v/>
      </c>
    </row>
    <row r="303" ht="34" customHeight="1">
      <c r="A303" s="8">
        <f>IF($T303=0,"",IF(INDEX('Market Data'!$A$5:$A$528,$T303)="","",INDEX('Market Data'!$A$5:$A$528,$T303)))</f>
        <v/>
      </c>
      <c r="B303" s="9">
        <f>IF($T303=0,"",IF(INDEX('Market Data'!$B$5:$B$528,$T303)="","",INDEX('Market Data'!$B$5:$B$528,$T303)))</f>
        <v/>
      </c>
      <c r="C303" s="9">
        <f>IF($T303=0,"",IF(INDEX('Market Data'!$C$5:$C$528,$T303)="","",INDEX('Market Data'!$C$5:$C$528,$T303)))</f>
        <v/>
      </c>
      <c r="D303" s="9">
        <f>IF($T303=0,"",IF(INDEX('Market Data'!$D$5:$D$528,$T303)="","",INDEX('Market Data'!$D$5:$D$528,$T303)))</f>
        <v/>
      </c>
      <c r="E303" s="10">
        <f>IF($T303=0,"",INDEX('Market Data'!$O$5:$O$528,$T303))</f>
        <v/>
      </c>
      <c r="F303" s="11">
        <f>IF($T303=0,"",IF(AND($I303="Bloomberg",ISNUMBER(INDEX('Market Data'!$L$5:$L$528,$T303))),INDEX('Market Data'!$L$5:$L$528,$T303),"unavailable"))</f>
        <v/>
      </c>
      <c r="G303" s="12">
        <f>IF($T303=0,"",IF($I303="Bloomberg",IF(AND(ISNUMBER(INDEX('Market Data'!$M$5:$M$528,$T303)),N(INDEX('Market Data'!$M$5:$M$528,$T303))&gt;0),INDEX('Market Data'!$M$5:$M$528,$T303),"date unavailable"),IF($I303="Snapshot",IF(AND(ISNUMBER(INDEX('Market Data'!$H$5:$H$528,$T303)),N(INDEX('Market Data'!$H$5:$H$528,$T303))&gt;0),INDEX('Market Data'!$H$5:$H$528,$T303),"date unavailable"),"date unavailable")))</f>
        <v/>
      </c>
      <c r="H303" s="9">
        <f>IF($T303=0,"",IF($I303="Bloomberg",IF(INDEX('Market Data'!$N$5:$N$528,$T303)="","time unavailable",INDEX('Market Data'!$N$5:$N$528,$T303)),""))</f>
        <v/>
      </c>
      <c r="I303" s="9">
        <f>IF($T303=0,"",INDEX('Market Data'!$P$5:$P$528,$T303))</f>
        <v/>
      </c>
      <c r="J303" s="13">
        <f>IF($T303=0,"",IF(INDEX('Market Data'!$E$5:$E$528,$T303)="","",INDEX('Market Data'!$E$5:$E$528,$T303)))</f>
        <v/>
      </c>
      <c r="K303" s="8">
        <f>IF($T303=0,"",IF(INDEX('Market Data'!$I$5:$I$528,$T303)="","",INDEX('Market Data'!$I$5:$I$528,$T303)))</f>
        <v/>
      </c>
      <c r="L303" s="10">
        <f>IF($T303=0,"",IF(INDEX('Market Data'!$J$5:$J$528,$T303)=0,"n/a",IF(AND($M$5&lt;&gt;"Snapshot",ISNUMBER(INDEX('Market Data'!$AH$5:$AH$66,INDEX('Market Data'!$J$5:$J$528,$T303)-4)),N(INDEX('Market Data'!$AH$5:$AH$66,INDEX('Market Data'!$J$5:$J$528,$T303)-4))&gt;0),INDEX('Market Data'!$AH$5:$AH$66,INDEX('Market Data'!$J$5:$J$528,$T303)-4),IF(AND($M$5&lt;&gt;"Bloomberg",ISNUMBER(INDEX('Market Data'!$AC$5:$AC$66,INDEX('Market Data'!$J$5:$J$528,$T303)-4)),N(INDEX('Market Data'!$AC$5:$AC$66,INDEX('Market Data'!$J$5:$J$528,$T303)-4))&gt;0),INDEX('Market Data'!$AC$5:$AC$66,INDEX('Market Data'!$J$5:$J$528,$T303)-4),"unavailable"))))</f>
        <v/>
      </c>
      <c r="M303" s="11">
        <f>IF($T303=0,"",IF(INDEX('Market Data'!$J$5:$J$528,$T303)=0,"n/a",IF(IF(INDEX('Market Data'!$J$5:$J$528,$T303)=0,0,IF(LEFT(INDEX('Market Data'!$AS$5:$AS$66,INDEX('Market Data'!$J$5:$J$528,$T303)-4),11)="First-month",1,0))=1,"class review",IF($I303="Bloomberg",IF(AND(ISNUMBER(INDEX('Market Data'!$AH$5:$AH$66,INDEX('Market Data'!$J$5:$J$528,$T303)-4)),N(INDEX('Market Data'!$AH$5:$AH$66,INDEX('Market Data'!$J$5:$J$528,$T303)-4))&gt;0,ISNUMBER('Market Data'!$B$1),N('Market Data'!$B$1)&gt;0),INDEX('Market Data'!$AH$5:$AH$66,INDEX('Market Data'!$J$5:$J$528,$T303)-4)*'Market Data'!$B$1/$E303-1,"pending A/FX"),IF(AND($I303="Snapshot",$Q303="Snapshot",ISNUMBER($E303),$G303=INDEX('Market Data'!$AE$5:$AE$66,INDEX('Market Data'!$J$5:$J$528,$T303)-4)),IFERROR(INDEX('Market Data'!$AC$5:$AC$66,INDEX('Market Data'!$J$5:$J$528,$T303)-4)*INDEX('Market Data'!$AD$5:$AD$66,INDEX('Market Data'!$J$5:$J$528,$T303)-4)/$E303-1,"unavailable"),IF($I303="Unavailable","unavailable","date mismatch"))))))</f>
        <v/>
      </c>
      <c r="N303" s="11">
        <f>IF($T303=0,"",IFERROR(IF(AND(N(INDEX('Market Data'!$F$5:$F$528,$T303))&gt;0,ISNUMBER(INDEX('Market Data'!$T$5:$T$528,$T303))),$E303*INDEX('Market Data'!$T$5:$T$528,$T303)/INDEX('Market Data'!$F$5:$F$528,$T303)-1,"unavailable"),"unavailable"))</f>
        <v/>
      </c>
      <c r="O303" s="9">
        <f>IF($T303=0,"",IF(IF(INDEX('Market Data'!$J$5:$J$528,$T303)=0,0,IF(LEFT(INDEX('Market Data'!$AS$5:$AS$66,INDEX('Market Data'!$J$5:$J$528,$T303)-4),11)="First-month",1,0))=1,"Class ratio review",IF($I303="Bloomberg",IF(ISNUMBER($G303),IF($G303&lt;TODAY(),"Older quote","See quote time"),"Date unavailable"),IF($I303="Snapshot",IF($G303&lt;DATEVALUE("2026-10-02"),"Older snapshot","Dated close"),"No valid quote"))))</f>
        <v/>
      </c>
      <c r="P303" s="14">
        <f>IF($T303=0,"",IF(INDEX('Market Data'!$J$5:$J$528,$T303)=0,"n/a",IF($Q303="Bloomberg",IF(AND(ISNUMBER(INDEX('Market Data'!$AK$5:$AK$66,INDEX('Market Data'!$J$5:$J$528,$T303)-4)),N(INDEX('Market Data'!$AK$5:$AK$66,INDEX('Market Data'!$J$5:$J$528,$T303)-4))&gt;0),INDEX('Market Data'!$AK$5:$AK$66,INDEX('Market Data'!$J$5:$J$528,$T303)-4),"date unavailable"),IF($Q303="Snapshot",IF(AND(ISNUMBER(INDEX('Market Data'!$AF$5:$AF$66,INDEX('Market Data'!$J$5:$J$528,$T303)-4)),N(INDEX('Market Data'!$AF$5:$AF$66,INDEX('Market Data'!$J$5:$J$528,$T303)-4))&gt;0),INDEX('Market Data'!$AF$5:$AF$66,INDEX('Market Data'!$J$5:$J$528,$T303)-4),"date unavailable"),"date unavailable"))))</f>
        <v/>
      </c>
      <c r="Q303" s="15">
        <f>IF($T303=0,"",IF(INDEX('Market Data'!$J$5:$J$528,$T303)=0,"n/a",IF(AND($M$5&lt;&gt;"Snapshot",ISNUMBER(INDEX('Market Data'!$AH$5:$AH$66,INDEX('Market Data'!$J$5:$J$528,$T303)-4)),N(INDEX('Market Data'!$AH$5:$AH$66,INDEX('Market Data'!$J$5:$J$528,$T303)-4))&gt;0),"Bloomberg",IF(AND($M$5&lt;&gt;"Bloomberg",ISNUMBER(INDEX('Market Data'!$AC$5:$AC$66,INDEX('Market Data'!$J$5:$J$528,$T303)-4)),N(INDEX('Market Data'!$AC$5:$AC$66,INDEX('Market Data'!$J$5:$J$528,$T303)-4))&gt;0),"Snapshot","Unavailable"))))</f>
        <v/>
      </c>
      <c r="T303">
        <f>IFERROR(MATCH(295,'Market Data'!$S$5:$S$528,0),0)</f>
        <v/>
      </c>
    </row>
    <row r="304" ht="34" customHeight="1">
      <c r="A304" s="8">
        <f>IF($T304=0,"",IF(INDEX('Market Data'!$A$5:$A$528,$T304)="","",INDEX('Market Data'!$A$5:$A$528,$T304)))</f>
        <v/>
      </c>
      <c r="B304" s="9">
        <f>IF($T304=0,"",IF(INDEX('Market Data'!$B$5:$B$528,$T304)="","",INDEX('Market Data'!$B$5:$B$528,$T304)))</f>
        <v/>
      </c>
      <c r="C304" s="9">
        <f>IF($T304=0,"",IF(INDEX('Market Data'!$C$5:$C$528,$T304)="","",INDEX('Market Data'!$C$5:$C$528,$T304)))</f>
        <v/>
      </c>
      <c r="D304" s="9">
        <f>IF($T304=0,"",IF(INDEX('Market Data'!$D$5:$D$528,$T304)="","",INDEX('Market Data'!$D$5:$D$528,$T304)))</f>
        <v/>
      </c>
      <c r="E304" s="10">
        <f>IF($T304=0,"",INDEX('Market Data'!$O$5:$O$528,$T304))</f>
        <v/>
      </c>
      <c r="F304" s="11">
        <f>IF($T304=0,"",IF(AND($I304="Bloomberg",ISNUMBER(INDEX('Market Data'!$L$5:$L$528,$T304))),INDEX('Market Data'!$L$5:$L$528,$T304),"unavailable"))</f>
        <v/>
      </c>
      <c r="G304" s="12">
        <f>IF($T304=0,"",IF($I304="Bloomberg",IF(AND(ISNUMBER(INDEX('Market Data'!$M$5:$M$528,$T304)),N(INDEX('Market Data'!$M$5:$M$528,$T304))&gt;0),INDEX('Market Data'!$M$5:$M$528,$T304),"date unavailable"),IF($I304="Snapshot",IF(AND(ISNUMBER(INDEX('Market Data'!$H$5:$H$528,$T304)),N(INDEX('Market Data'!$H$5:$H$528,$T304))&gt;0),INDEX('Market Data'!$H$5:$H$528,$T304),"date unavailable"),"date unavailable")))</f>
        <v/>
      </c>
      <c r="H304" s="9">
        <f>IF($T304=0,"",IF($I304="Bloomberg",IF(INDEX('Market Data'!$N$5:$N$528,$T304)="","time unavailable",INDEX('Market Data'!$N$5:$N$528,$T304)),""))</f>
        <v/>
      </c>
      <c r="I304" s="9">
        <f>IF($T304=0,"",INDEX('Market Data'!$P$5:$P$528,$T304))</f>
        <v/>
      </c>
      <c r="J304" s="13">
        <f>IF($T304=0,"",IF(INDEX('Market Data'!$E$5:$E$528,$T304)="","",INDEX('Market Data'!$E$5:$E$528,$T304)))</f>
        <v/>
      </c>
      <c r="K304" s="8">
        <f>IF($T304=0,"",IF(INDEX('Market Data'!$I$5:$I$528,$T304)="","",INDEX('Market Data'!$I$5:$I$528,$T304)))</f>
        <v/>
      </c>
      <c r="L304" s="10">
        <f>IF($T304=0,"",IF(INDEX('Market Data'!$J$5:$J$528,$T304)=0,"n/a",IF(AND($M$5&lt;&gt;"Snapshot",ISNUMBER(INDEX('Market Data'!$AH$5:$AH$66,INDEX('Market Data'!$J$5:$J$528,$T304)-4)),N(INDEX('Market Data'!$AH$5:$AH$66,INDEX('Market Data'!$J$5:$J$528,$T304)-4))&gt;0),INDEX('Market Data'!$AH$5:$AH$66,INDEX('Market Data'!$J$5:$J$528,$T304)-4),IF(AND($M$5&lt;&gt;"Bloomberg",ISNUMBER(INDEX('Market Data'!$AC$5:$AC$66,INDEX('Market Data'!$J$5:$J$528,$T304)-4)),N(INDEX('Market Data'!$AC$5:$AC$66,INDEX('Market Data'!$J$5:$J$528,$T304)-4))&gt;0),INDEX('Market Data'!$AC$5:$AC$66,INDEX('Market Data'!$J$5:$J$528,$T304)-4),"unavailable"))))</f>
        <v/>
      </c>
      <c r="M304" s="11">
        <f>IF($T304=0,"",IF(INDEX('Market Data'!$J$5:$J$528,$T304)=0,"n/a",IF(IF(INDEX('Market Data'!$J$5:$J$528,$T304)=0,0,IF(LEFT(INDEX('Market Data'!$AS$5:$AS$66,INDEX('Market Data'!$J$5:$J$528,$T304)-4),11)="First-month",1,0))=1,"class review",IF($I304="Bloomberg",IF(AND(ISNUMBER(INDEX('Market Data'!$AH$5:$AH$66,INDEX('Market Data'!$J$5:$J$528,$T304)-4)),N(INDEX('Market Data'!$AH$5:$AH$66,INDEX('Market Data'!$J$5:$J$528,$T304)-4))&gt;0,ISNUMBER('Market Data'!$B$1),N('Market Data'!$B$1)&gt;0),INDEX('Market Data'!$AH$5:$AH$66,INDEX('Market Data'!$J$5:$J$528,$T304)-4)*'Market Data'!$B$1/$E304-1,"pending A/FX"),IF(AND($I304="Snapshot",$Q304="Snapshot",ISNUMBER($E304),$G304=INDEX('Market Data'!$AE$5:$AE$66,INDEX('Market Data'!$J$5:$J$528,$T304)-4)),IFERROR(INDEX('Market Data'!$AC$5:$AC$66,INDEX('Market Data'!$J$5:$J$528,$T304)-4)*INDEX('Market Data'!$AD$5:$AD$66,INDEX('Market Data'!$J$5:$J$528,$T304)-4)/$E304-1,"unavailable"),IF($I304="Unavailable","unavailable","date mismatch"))))))</f>
        <v/>
      </c>
      <c r="N304" s="11">
        <f>IF($T304=0,"",IFERROR(IF(AND(N(INDEX('Market Data'!$F$5:$F$528,$T304))&gt;0,ISNUMBER(INDEX('Market Data'!$T$5:$T$528,$T304))),$E304*INDEX('Market Data'!$T$5:$T$528,$T304)/INDEX('Market Data'!$F$5:$F$528,$T304)-1,"unavailable"),"unavailable"))</f>
        <v/>
      </c>
      <c r="O304" s="9">
        <f>IF($T304=0,"",IF(IF(INDEX('Market Data'!$J$5:$J$528,$T304)=0,0,IF(LEFT(INDEX('Market Data'!$AS$5:$AS$66,INDEX('Market Data'!$J$5:$J$528,$T304)-4),11)="First-month",1,0))=1,"Class ratio review",IF($I304="Bloomberg",IF(ISNUMBER($G304),IF($G304&lt;TODAY(),"Older quote","See quote time"),"Date unavailable"),IF($I304="Snapshot",IF($G304&lt;DATEVALUE("2026-10-02"),"Older snapshot","Dated close"),"No valid quote"))))</f>
        <v/>
      </c>
      <c r="P304" s="14">
        <f>IF($T304=0,"",IF(INDEX('Market Data'!$J$5:$J$528,$T304)=0,"n/a",IF($Q304="Bloomberg",IF(AND(ISNUMBER(INDEX('Market Data'!$AK$5:$AK$66,INDEX('Market Data'!$J$5:$J$528,$T304)-4)),N(INDEX('Market Data'!$AK$5:$AK$66,INDEX('Market Data'!$J$5:$J$528,$T304)-4))&gt;0),INDEX('Market Data'!$AK$5:$AK$66,INDEX('Market Data'!$J$5:$J$528,$T304)-4),"date unavailable"),IF($Q304="Snapshot",IF(AND(ISNUMBER(INDEX('Market Data'!$AF$5:$AF$66,INDEX('Market Data'!$J$5:$J$528,$T304)-4)),N(INDEX('Market Data'!$AF$5:$AF$66,INDEX('Market Data'!$J$5:$J$528,$T304)-4))&gt;0),INDEX('Market Data'!$AF$5:$AF$66,INDEX('Market Data'!$J$5:$J$528,$T304)-4),"date unavailable"),"date unavailable"))))</f>
        <v/>
      </c>
      <c r="Q304" s="15">
        <f>IF($T304=0,"",IF(INDEX('Market Data'!$J$5:$J$528,$T304)=0,"n/a",IF(AND($M$5&lt;&gt;"Snapshot",ISNUMBER(INDEX('Market Data'!$AH$5:$AH$66,INDEX('Market Data'!$J$5:$J$528,$T304)-4)),N(INDEX('Market Data'!$AH$5:$AH$66,INDEX('Market Data'!$J$5:$J$528,$T304)-4))&gt;0),"Bloomberg",IF(AND($M$5&lt;&gt;"Bloomberg",ISNUMBER(INDEX('Market Data'!$AC$5:$AC$66,INDEX('Market Data'!$J$5:$J$528,$T304)-4)),N(INDEX('Market Data'!$AC$5:$AC$66,INDEX('Market Data'!$J$5:$J$528,$T304)-4))&gt;0),"Snapshot","Unavailable"))))</f>
        <v/>
      </c>
      <c r="T304">
        <f>IFERROR(MATCH(296,'Market Data'!$S$5:$S$528,0),0)</f>
        <v/>
      </c>
    </row>
    <row r="305" ht="34" customHeight="1">
      <c r="A305" s="8">
        <f>IF($T305=0,"",IF(INDEX('Market Data'!$A$5:$A$528,$T305)="","",INDEX('Market Data'!$A$5:$A$528,$T305)))</f>
        <v/>
      </c>
      <c r="B305" s="9">
        <f>IF($T305=0,"",IF(INDEX('Market Data'!$B$5:$B$528,$T305)="","",INDEX('Market Data'!$B$5:$B$528,$T305)))</f>
        <v/>
      </c>
      <c r="C305" s="9">
        <f>IF($T305=0,"",IF(INDEX('Market Data'!$C$5:$C$528,$T305)="","",INDEX('Market Data'!$C$5:$C$528,$T305)))</f>
        <v/>
      </c>
      <c r="D305" s="9">
        <f>IF($T305=0,"",IF(INDEX('Market Data'!$D$5:$D$528,$T305)="","",INDEX('Market Data'!$D$5:$D$528,$T305)))</f>
        <v/>
      </c>
      <c r="E305" s="10">
        <f>IF($T305=0,"",INDEX('Market Data'!$O$5:$O$528,$T305))</f>
        <v/>
      </c>
      <c r="F305" s="11">
        <f>IF($T305=0,"",IF(AND($I305="Bloomberg",ISNUMBER(INDEX('Market Data'!$L$5:$L$528,$T305))),INDEX('Market Data'!$L$5:$L$528,$T305),"unavailable"))</f>
        <v/>
      </c>
      <c r="G305" s="12">
        <f>IF($T305=0,"",IF($I305="Bloomberg",IF(AND(ISNUMBER(INDEX('Market Data'!$M$5:$M$528,$T305)),N(INDEX('Market Data'!$M$5:$M$528,$T305))&gt;0),INDEX('Market Data'!$M$5:$M$528,$T305),"date unavailable"),IF($I305="Snapshot",IF(AND(ISNUMBER(INDEX('Market Data'!$H$5:$H$528,$T305)),N(INDEX('Market Data'!$H$5:$H$528,$T305))&gt;0),INDEX('Market Data'!$H$5:$H$528,$T305),"date unavailable"),"date unavailable")))</f>
        <v/>
      </c>
      <c r="H305" s="9">
        <f>IF($T305=0,"",IF($I305="Bloomberg",IF(INDEX('Market Data'!$N$5:$N$528,$T305)="","time unavailable",INDEX('Market Data'!$N$5:$N$528,$T305)),""))</f>
        <v/>
      </c>
      <c r="I305" s="9">
        <f>IF($T305=0,"",INDEX('Market Data'!$P$5:$P$528,$T305))</f>
        <v/>
      </c>
      <c r="J305" s="13">
        <f>IF($T305=0,"",IF(INDEX('Market Data'!$E$5:$E$528,$T305)="","",INDEX('Market Data'!$E$5:$E$528,$T305)))</f>
        <v/>
      </c>
      <c r="K305" s="8">
        <f>IF($T305=0,"",IF(INDEX('Market Data'!$I$5:$I$528,$T305)="","",INDEX('Market Data'!$I$5:$I$528,$T305)))</f>
        <v/>
      </c>
      <c r="L305" s="10">
        <f>IF($T305=0,"",IF(INDEX('Market Data'!$J$5:$J$528,$T305)=0,"n/a",IF(AND($M$5&lt;&gt;"Snapshot",ISNUMBER(INDEX('Market Data'!$AH$5:$AH$66,INDEX('Market Data'!$J$5:$J$528,$T305)-4)),N(INDEX('Market Data'!$AH$5:$AH$66,INDEX('Market Data'!$J$5:$J$528,$T305)-4))&gt;0),INDEX('Market Data'!$AH$5:$AH$66,INDEX('Market Data'!$J$5:$J$528,$T305)-4),IF(AND($M$5&lt;&gt;"Bloomberg",ISNUMBER(INDEX('Market Data'!$AC$5:$AC$66,INDEX('Market Data'!$J$5:$J$528,$T305)-4)),N(INDEX('Market Data'!$AC$5:$AC$66,INDEX('Market Data'!$J$5:$J$528,$T305)-4))&gt;0),INDEX('Market Data'!$AC$5:$AC$66,INDEX('Market Data'!$J$5:$J$528,$T305)-4),"unavailable"))))</f>
        <v/>
      </c>
      <c r="M305" s="11">
        <f>IF($T305=0,"",IF(INDEX('Market Data'!$J$5:$J$528,$T305)=0,"n/a",IF(IF(INDEX('Market Data'!$J$5:$J$528,$T305)=0,0,IF(LEFT(INDEX('Market Data'!$AS$5:$AS$66,INDEX('Market Data'!$J$5:$J$528,$T305)-4),11)="First-month",1,0))=1,"class review",IF($I305="Bloomberg",IF(AND(ISNUMBER(INDEX('Market Data'!$AH$5:$AH$66,INDEX('Market Data'!$J$5:$J$528,$T305)-4)),N(INDEX('Market Data'!$AH$5:$AH$66,INDEX('Market Data'!$J$5:$J$528,$T305)-4))&gt;0,ISNUMBER('Market Data'!$B$1),N('Market Data'!$B$1)&gt;0),INDEX('Market Data'!$AH$5:$AH$66,INDEX('Market Data'!$J$5:$J$528,$T305)-4)*'Market Data'!$B$1/$E305-1,"pending A/FX"),IF(AND($I305="Snapshot",$Q305="Snapshot",ISNUMBER($E305),$G305=INDEX('Market Data'!$AE$5:$AE$66,INDEX('Market Data'!$J$5:$J$528,$T305)-4)),IFERROR(INDEX('Market Data'!$AC$5:$AC$66,INDEX('Market Data'!$J$5:$J$528,$T305)-4)*INDEX('Market Data'!$AD$5:$AD$66,INDEX('Market Data'!$J$5:$J$528,$T305)-4)/$E305-1,"unavailable"),IF($I305="Unavailable","unavailable","date mismatch"))))))</f>
        <v/>
      </c>
      <c r="N305" s="11">
        <f>IF($T305=0,"",IFERROR(IF(AND(N(INDEX('Market Data'!$F$5:$F$528,$T305))&gt;0,ISNUMBER(INDEX('Market Data'!$T$5:$T$528,$T305))),$E305*INDEX('Market Data'!$T$5:$T$528,$T305)/INDEX('Market Data'!$F$5:$F$528,$T305)-1,"unavailable"),"unavailable"))</f>
        <v/>
      </c>
      <c r="O305" s="9">
        <f>IF($T305=0,"",IF(IF(INDEX('Market Data'!$J$5:$J$528,$T305)=0,0,IF(LEFT(INDEX('Market Data'!$AS$5:$AS$66,INDEX('Market Data'!$J$5:$J$528,$T305)-4),11)="First-month",1,0))=1,"Class ratio review",IF($I305="Bloomberg",IF(ISNUMBER($G305),IF($G305&lt;TODAY(),"Older quote","See quote time"),"Date unavailable"),IF($I305="Snapshot",IF($G305&lt;DATEVALUE("2026-10-02"),"Older snapshot","Dated close"),"No valid quote"))))</f>
        <v/>
      </c>
      <c r="P305" s="14">
        <f>IF($T305=0,"",IF(INDEX('Market Data'!$J$5:$J$528,$T305)=0,"n/a",IF($Q305="Bloomberg",IF(AND(ISNUMBER(INDEX('Market Data'!$AK$5:$AK$66,INDEX('Market Data'!$J$5:$J$528,$T305)-4)),N(INDEX('Market Data'!$AK$5:$AK$66,INDEX('Market Data'!$J$5:$J$528,$T305)-4))&gt;0),INDEX('Market Data'!$AK$5:$AK$66,INDEX('Market Data'!$J$5:$J$528,$T305)-4),"date unavailable"),IF($Q305="Snapshot",IF(AND(ISNUMBER(INDEX('Market Data'!$AF$5:$AF$66,INDEX('Market Data'!$J$5:$J$528,$T305)-4)),N(INDEX('Market Data'!$AF$5:$AF$66,INDEX('Market Data'!$J$5:$J$528,$T305)-4))&gt;0),INDEX('Market Data'!$AF$5:$AF$66,INDEX('Market Data'!$J$5:$J$528,$T305)-4),"date unavailable"),"date unavailable"))))</f>
        <v/>
      </c>
      <c r="Q305" s="15">
        <f>IF($T305=0,"",IF(INDEX('Market Data'!$J$5:$J$528,$T305)=0,"n/a",IF(AND($M$5&lt;&gt;"Snapshot",ISNUMBER(INDEX('Market Data'!$AH$5:$AH$66,INDEX('Market Data'!$J$5:$J$528,$T305)-4)),N(INDEX('Market Data'!$AH$5:$AH$66,INDEX('Market Data'!$J$5:$J$528,$T305)-4))&gt;0),"Bloomberg",IF(AND($M$5&lt;&gt;"Bloomberg",ISNUMBER(INDEX('Market Data'!$AC$5:$AC$66,INDEX('Market Data'!$J$5:$J$528,$T305)-4)),N(INDEX('Market Data'!$AC$5:$AC$66,INDEX('Market Data'!$J$5:$J$528,$T305)-4))&gt;0),"Snapshot","Unavailable"))))</f>
        <v/>
      </c>
      <c r="T305">
        <f>IFERROR(MATCH(297,'Market Data'!$S$5:$S$528,0),0)</f>
        <v/>
      </c>
    </row>
    <row r="306" ht="34" customHeight="1">
      <c r="A306" s="8">
        <f>IF($T306=0,"",IF(INDEX('Market Data'!$A$5:$A$528,$T306)="","",INDEX('Market Data'!$A$5:$A$528,$T306)))</f>
        <v/>
      </c>
      <c r="B306" s="9">
        <f>IF($T306=0,"",IF(INDEX('Market Data'!$B$5:$B$528,$T306)="","",INDEX('Market Data'!$B$5:$B$528,$T306)))</f>
        <v/>
      </c>
      <c r="C306" s="9">
        <f>IF($T306=0,"",IF(INDEX('Market Data'!$C$5:$C$528,$T306)="","",INDEX('Market Data'!$C$5:$C$528,$T306)))</f>
        <v/>
      </c>
      <c r="D306" s="9">
        <f>IF($T306=0,"",IF(INDEX('Market Data'!$D$5:$D$528,$T306)="","",INDEX('Market Data'!$D$5:$D$528,$T306)))</f>
        <v/>
      </c>
      <c r="E306" s="10">
        <f>IF($T306=0,"",INDEX('Market Data'!$O$5:$O$528,$T306))</f>
        <v/>
      </c>
      <c r="F306" s="11">
        <f>IF($T306=0,"",IF(AND($I306="Bloomberg",ISNUMBER(INDEX('Market Data'!$L$5:$L$528,$T306))),INDEX('Market Data'!$L$5:$L$528,$T306),"unavailable"))</f>
        <v/>
      </c>
      <c r="G306" s="12">
        <f>IF($T306=0,"",IF($I306="Bloomberg",IF(AND(ISNUMBER(INDEX('Market Data'!$M$5:$M$528,$T306)),N(INDEX('Market Data'!$M$5:$M$528,$T306))&gt;0),INDEX('Market Data'!$M$5:$M$528,$T306),"date unavailable"),IF($I306="Snapshot",IF(AND(ISNUMBER(INDEX('Market Data'!$H$5:$H$528,$T306)),N(INDEX('Market Data'!$H$5:$H$528,$T306))&gt;0),INDEX('Market Data'!$H$5:$H$528,$T306),"date unavailable"),"date unavailable")))</f>
        <v/>
      </c>
      <c r="H306" s="9">
        <f>IF($T306=0,"",IF($I306="Bloomberg",IF(INDEX('Market Data'!$N$5:$N$528,$T306)="","time unavailable",INDEX('Market Data'!$N$5:$N$528,$T306)),""))</f>
        <v/>
      </c>
      <c r="I306" s="9">
        <f>IF($T306=0,"",INDEX('Market Data'!$P$5:$P$528,$T306))</f>
        <v/>
      </c>
      <c r="J306" s="13">
        <f>IF($T306=0,"",IF(INDEX('Market Data'!$E$5:$E$528,$T306)="","",INDEX('Market Data'!$E$5:$E$528,$T306)))</f>
        <v/>
      </c>
      <c r="K306" s="8">
        <f>IF($T306=0,"",IF(INDEX('Market Data'!$I$5:$I$528,$T306)="","",INDEX('Market Data'!$I$5:$I$528,$T306)))</f>
        <v/>
      </c>
      <c r="L306" s="10">
        <f>IF($T306=0,"",IF(INDEX('Market Data'!$J$5:$J$528,$T306)=0,"n/a",IF(AND($M$5&lt;&gt;"Snapshot",ISNUMBER(INDEX('Market Data'!$AH$5:$AH$66,INDEX('Market Data'!$J$5:$J$528,$T306)-4)),N(INDEX('Market Data'!$AH$5:$AH$66,INDEX('Market Data'!$J$5:$J$528,$T306)-4))&gt;0),INDEX('Market Data'!$AH$5:$AH$66,INDEX('Market Data'!$J$5:$J$528,$T306)-4),IF(AND($M$5&lt;&gt;"Bloomberg",ISNUMBER(INDEX('Market Data'!$AC$5:$AC$66,INDEX('Market Data'!$J$5:$J$528,$T306)-4)),N(INDEX('Market Data'!$AC$5:$AC$66,INDEX('Market Data'!$J$5:$J$528,$T306)-4))&gt;0),INDEX('Market Data'!$AC$5:$AC$66,INDEX('Market Data'!$J$5:$J$528,$T306)-4),"unavailable"))))</f>
        <v/>
      </c>
      <c r="M306" s="11">
        <f>IF($T306=0,"",IF(INDEX('Market Data'!$J$5:$J$528,$T306)=0,"n/a",IF(IF(INDEX('Market Data'!$J$5:$J$528,$T306)=0,0,IF(LEFT(INDEX('Market Data'!$AS$5:$AS$66,INDEX('Market Data'!$J$5:$J$528,$T306)-4),11)="First-month",1,0))=1,"class review",IF($I306="Bloomberg",IF(AND(ISNUMBER(INDEX('Market Data'!$AH$5:$AH$66,INDEX('Market Data'!$J$5:$J$528,$T306)-4)),N(INDEX('Market Data'!$AH$5:$AH$66,INDEX('Market Data'!$J$5:$J$528,$T306)-4))&gt;0,ISNUMBER('Market Data'!$B$1),N('Market Data'!$B$1)&gt;0),INDEX('Market Data'!$AH$5:$AH$66,INDEX('Market Data'!$J$5:$J$528,$T306)-4)*'Market Data'!$B$1/$E306-1,"pending A/FX"),IF(AND($I306="Snapshot",$Q306="Snapshot",ISNUMBER($E306),$G306=INDEX('Market Data'!$AE$5:$AE$66,INDEX('Market Data'!$J$5:$J$528,$T306)-4)),IFERROR(INDEX('Market Data'!$AC$5:$AC$66,INDEX('Market Data'!$J$5:$J$528,$T306)-4)*INDEX('Market Data'!$AD$5:$AD$66,INDEX('Market Data'!$J$5:$J$528,$T306)-4)/$E306-1,"unavailable"),IF($I306="Unavailable","unavailable","date mismatch"))))))</f>
        <v/>
      </c>
      <c r="N306" s="11">
        <f>IF($T306=0,"",IFERROR(IF(AND(N(INDEX('Market Data'!$F$5:$F$528,$T306))&gt;0,ISNUMBER(INDEX('Market Data'!$T$5:$T$528,$T306))),$E306*INDEX('Market Data'!$T$5:$T$528,$T306)/INDEX('Market Data'!$F$5:$F$528,$T306)-1,"unavailable"),"unavailable"))</f>
        <v/>
      </c>
      <c r="O306" s="9">
        <f>IF($T306=0,"",IF(IF(INDEX('Market Data'!$J$5:$J$528,$T306)=0,0,IF(LEFT(INDEX('Market Data'!$AS$5:$AS$66,INDEX('Market Data'!$J$5:$J$528,$T306)-4),11)="First-month",1,0))=1,"Class ratio review",IF($I306="Bloomberg",IF(ISNUMBER($G306),IF($G306&lt;TODAY(),"Older quote","See quote time"),"Date unavailable"),IF($I306="Snapshot",IF($G306&lt;DATEVALUE("2026-10-02"),"Older snapshot","Dated close"),"No valid quote"))))</f>
        <v/>
      </c>
      <c r="P306" s="14">
        <f>IF($T306=0,"",IF(INDEX('Market Data'!$J$5:$J$528,$T306)=0,"n/a",IF($Q306="Bloomberg",IF(AND(ISNUMBER(INDEX('Market Data'!$AK$5:$AK$66,INDEX('Market Data'!$J$5:$J$528,$T306)-4)),N(INDEX('Market Data'!$AK$5:$AK$66,INDEX('Market Data'!$J$5:$J$528,$T306)-4))&gt;0),INDEX('Market Data'!$AK$5:$AK$66,INDEX('Market Data'!$J$5:$J$528,$T306)-4),"date unavailable"),IF($Q306="Snapshot",IF(AND(ISNUMBER(INDEX('Market Data'!$AF$5:$AF$66,INDEX('Market Data'!$J$5:$J$528,$T306)-4)),N(INDEX('Market Data'!$AF$5:$AF$66,INDEX('Market Data'!$J$5:$J$528,$T306)-4))&gt;0),INDEX('Market Data'!$AF$5:$AF$66,INDEX('Market Data'!$J$5:$J$528,$T306)-4),"date unavailable"),"date unavailable"))))</f>
        <v/>
      </c>
      <c r="Q306" s="15">
        <f>IF($T306=0,"",IF(INDEX('Market Data'!$J$5:$J$528,$T306)=0,"n/a",IF(AND($M$5&lt;&gt;"Snapshot",ISNUMBER(INDEX('Market Data'!$AH$5:$AH$66,INDEX('Market Data'!$J$5:$J$528,$T306)-4)),N(INDEX('Market Data'!$AH$5:$AH$66,INDEX('Market Data'!$J$5:$J$528,$T306)-4))&gt;0),"Bloomberg",IF(AND($M$5&lt;&gt;"Bloomberg",ISNUMBER(INDEX('Market Data'!$AC$5:$AC$66,INDEX('Market Data'!$J$5:$J$528,$T306)-4)),N(INDEX('Market Data'!$AC$5:$AC$66,INDEX('Market Data'!$J$5:$J$528,$T306)-4))&gt;0),"Snapshot","Unavailable"))))</f>
        <v/>
      </c>
      <c r="T306">
        <f>IFERROR(MATCH(298,'Market Data'!$S$5:$S$528,0),0)</f>
        <v/>
      </c>
    </row>
    <row r="307" ht="34" customHeight="1">
      <c r="A307" s="8">
        <f>IF($T307=0,"",IF(INDEX('Market Data'!$A$5:$A$528,$T307)="","",INDEX('Market Data'!$A$5:$A$528,$T307)))</f>
        <v/>
      </c>
      <c r="B307" s="9">
        <f>IF($T307=0,"",IF(INDEX('Market Data'!$B$5:$B$528,$T307)="","",INDEX('Market Data'!$B$5:$B$528,$T307)))</f>
        <v/>
      </c>
      <c r="C307" s="9">
        <f>IF($T307=0,"",IF(INDEX('Market Data'!$C$5:$C$528,$T307)="","",INDEX('Market Data'!$C$5:$C$528,$T307)))</f>
        <v/>
      </c>
      <c r="D307" s="9">
        <f>IF($T307=0,"",IF(INDEX('Market Data'!$D$5:$D$528,$T307)="","",INDEX('Market Data'!$D$5:$D$528,$T307)))</f>
        <v/>
      </c>
      <c r="E307" s="10">
        <f>IF($T307=0,"",INDEX('Market Data'!$O$5:$O$528,$T307))</f>
        <v/>
      </c>
      <c r="F307" s="11">
        <f>IF($T307=0,"",IF(AND($I307="Bloomberg",ISNUMBER(INDEX('Market Data'!$L$5:$L$528,$T307))),INDEX('Market Data'!$L$5:$L$528,$T307),"unavailable"))</f>
        <v/>
      </c>
      <c r="G307" s="12">
        <f>IF($T307=0,"",IF($I307="Bloomberg",IF(AND(ISNUMBER(INDEX('Market Data'!$M$5:$M$528,$T307)),N(INDEX('Market Data'!$M$5:$M$528,$T307))&gt;0),INDEX('Market Data'!$M$5:$M$528,$T307),"date unavailable"),IF($I307="Snapshot",IF(AND(ISNUMBER(INDEX('Market Data'!$H$5:$H$528,$T307)),N(INDEX('Market Data'!$H$5:$H$528,$T307))&gt;0),INDEX('Market Data'!$H$5:$H$528,$T307),"date unavailable"),"date unavailable")))</f>
        <v/>
      </c>
      <c r="H307" s="9">
        <f>IF($T307=0,"",IF($I307="Bloomberg",IF(INDEX('Market Data'!$N$5:$N$528,$T307)="","time unavailable",INDEX('Market Data'!$N$5:$N$528,$T307)),""))</f>
        <v/>
      </c>
      <c r="I307" s="9">
        <f>IF($T307=0,"",INDEX('Market Data'!$P$5:$P$528,$T307))</f>
        <v/>
      </c>
      <c r="J307" s="13">
        <f>IF($T307=0,"",IF(INDEX('Market Data'!$E$5:$E$528,$T307)="","",INDEX('Market Data'!$E$5:$E$528,$T307)))</f>
        <v/>
      </c>
      <c r="K307" s="8">
        <f>IF($T307=0,"",IF(INDEX('Market Data'!$I$5:$I$528,$T307)="","",INDEX('Market Data'!$I$5:$I$528,$T307)))</f>
        <v/>
      </c>
      <c r="L307" s="10">
        <f>IF($T307=0,"",IF(INDEX('Market Data'!$J$5:$J$528,$T307)=0,"n/a",IF(AND($M$5&lt;&gt;"Snapshot",ISNUMBER(INDEX('Market Data'!$AH$5:$AH$66,INDEX('Market Data'!$J$5:$J$528,$T307)-4)),N(INDEX('Market Data'!$AH$5:$AH$66,INDEX('Market Data'!$J$5:$J$528,$T307)-4))&gt;0),INDEX('Market Data'!$AH$5:$AH$66,INDEX('Market Data'!$J$5:$J$528,$T307)-4),IF(AND($M$5&lt;&gt;"Bloomberg",ISNUMBER(INDEX('Market Data'!$AC$5:$AC$66,INDEX('Market Data'!$J$5:$J$528,$T307)-4)),N(INDEX('Market Data'!$AC$5:$AC$66,INDEX('Market Data'!$J$5:$J$528,$T307)-4))&gt;0),INDEX('Market Data'!$AC$5:$AC$66,INDEX('Market Data'!$J$5:$J$528,$T307)-4),"unavailable"))))</f>
        <v/>
      </c>
      <c r="M307" s="11">
        <f>IF($T307=0,"",IF(INDEX('Market Data'!$J$5:$J$528,$T307)=0,"n/a",IF(IF(INDEX('Market Data'!$J$5:$J$528,$T307)=0,0,IF(LEFT(INDEX('Market Data'!$AS$5:$AS$66,INDEX('Market Data'!$J$5:$J$528,$T307)-4),11)="First-month",1,0))=1,"class review",IF($I307="Bloomberg",IF(AND(ISNUMBER(INDEX('Market Data'!$AH$5:$AH$66,INDEX('Market Data'!$J$5:$J$528,$T307)-4)),N(INDEX('Market Data'!$AH$5:$AH$66,INDEX('Market Data'!$J$5:$J$528,$T307)-4))&gt;0,ISNUMBER('Market Data'!$B$1),N('Market Data'!$B$1)&gt;0),INDEX('Market Data'!$AH$5:$AH$66,INDEX('Market Data'!$J$5:$J$528,$T307)-4)*'Market Data'!$B$1/$E307-1,"pending A/FX"),IF(AND($I307="Snapshot",$Q307="Snapshot",ISNUMBER($E307),$G307=INDEX('Market Data'!$AE$5:$AE$66,INDEX('Market Data'!$J$5:$J$528,$T307)-4)),IFERROR(INDEX('Market Data'!$AC$5:$AC$66,INDEX('Market Data'!$J$5:$J$528,$T307)-4)*INDEX('Market Data'!$AD$5:$AD$66,INDEX('Market Data'!$J$5:$J$528,$T307)-4)/$E307-1,"unavailable"),IF($I307="Unavailable","unavailable","date mismatch"))))))</f>
        <v/>
      </c>
      <c r="N307" s="11">
        <f>IF($T307=0,"",IFERROR(IF(AND(N(INDEX('Market Data'!$F$5:$F$528,$T307))&gt;0,ISNUMBER(INDEX('Market Data'!$T$5:$T$528,$T307))),$E307*INDEX('Market Data'!$T$5:$T$528,$T307)/INDEX('Market Data'!$F$5:$F$528,$T307)-1,"unavailable"),"unavailable"))</f>
        <v/>
      </c>
      <c r="O307" s="9">
        <f>IF($T307=0,"",IF(IF(INDEX('Market Data'!$J$5:$J$528,$T307)=0,0,IF(LEFT(INDEX('Market Data'!$AS$5:$AS$66,INDEX('Market Data'!$J$5:$J$528,$T307)-4),11)="First-month",1,0))=1,"Class ratio review",IF($I307="Bloomberg",IF(ISNUMBER($G307),IF($G307&lt;TODAY(),"Older quote","See quote time"),"Date unavailable"),IF($I307="Snapshot",IF($G307&lt;DATEVALUE("2026-10-02"),"Older snapshot","Dated close"),"No valid quote"))))</f>
        <v/>
      </c>
      <c r="P307" s="14">
        <f>IF($T307=0,"",IF(INDEX('Market Data'!$J$5:$J$528,$T307)=0,"n/a",IF($Q307="Bloomberg",IF(AND(ISNUMBER(INDEX('Market Data'!$AK$5:$AK$66,INDEX('Market Data'!$J$5:$J$528,$T307)-4)),N(INDEX('Market Data'!$AK$5:$AK$66,INDEX('Market Data'!$J$5:$J$528,$T307)-4))&gt;0),INDEX('Market Data'!$AK$5:$AK$66,INDEX('Market Data'!$J$5:$J$528,$T307)-4),"date unavailable"),IF($Q307="Snapshot",IF(AND(ISNUMBER(INDEX('Market Data'!$AF$5:$AF$66,INDEX('Market Data'!$J$5:$J$528,$T307)-4)),N(INDEX('Market Data'!$AF$5:$AF$66,INDEX('Market Data'!$J$5:$J$528,$T307)-4))&gt;0),INDEX('Market Data'!$AF$5:$AF$66,INDEX('Market Data'!$J$5:$J$528,$T307)-4),"date unavailable"),"date unavailable"))))</f>
        <v/>
      </c>
      <c r="Q307" s="15">
        <f>IF($T307=0,"",IF(INDEX('Market Data'!$J$5:$J$528,$T307)=0,"n/a",IF(AND($M$5&lt;&gt;"Snapshot",ISNUMBER(INDEX('Market Data'!$AH$5:$AH$66,INDEX('Market Data'!$J$5:$J$528,$T307)-4)),N(INDEX('Market Data'!$AH$5:$AH$66,INDEX('Market Data'!$J$5:$J$528,$T307)-4))&gt;0),"Bloomberg",IF(AND($M$5&lt;&gt;"Bloomberg",ISNUMBER(INDEX('Market Data'!$AC$5:$AC$66,INDEX('Market Data'!$J$5:$J$528,$T307)-4)),N(INDEX('Market Data'!$AC$5:$AC$66,INDEX('Market Data'!$J$5:$J$528,$T307)-4))&gt;0),"Snapshot","Unavailable"))))</f>
        <v/>
      </c>
      <c r="T307">
        <f>IFERROR(MATCH(299,'Market Data'!$S$5:$S$528,0),0)</f>
        <v/>
      </c>
    </row>
    <row r="308" ht="34" customHeight="1">
      <c r="A308" s="8">
        <f>IF($T308=0,"",IF(INDEX('Market Data'!$A$5:$A$528,$T308)="","",INDEX('Market Data'!$A$5:$A$528,$T308)))</f>
        <v/>
      </c>
      <c r="B308" s="9">
        <f>IF($T308=0,"",IF(INDEX('Market Data'!$B$5:$B$528,$T308)="","",INDEX('Market Data'!$B$5:$B$528,$T308)))</f>
        <v/>
      </c>
      <c r="C308" s="9">
        <f>IF($T308=0,"",IF(INDEX('Market Data'!$C$5:$C$528,$T308)="","",INDEX('Market Data'!$C$5:$C$528,$T308)))</f>
        <v/>
      </c>
      <c r="D308" s="9">
        <f>IF($T308=0,"",IF(INDEX('Market Data'!$D$5:$D$528,$T308)="","",INDEX('Market Data'!$D$5:$D$528,$T308)))</f>
        <v/>
      </c>
      <c r="E308" s="10">
        <f>IF($T308=0,"",INDEX('Market Data'!$O$5:$O$528,$T308))</f>
        <v/>
      </c>
      <c r="F308" s="11">
        <f>IF($T308=0,"",IF(AND($I308="Bloomberg",ISNUMBER(INDEX('Market Data'!$L$5:$L$528,$T308))),INDEX('Market Data'!$L$5:$L$528,$T308),"unavailable"))</f>
        <v/>
      </c>
      <c r="G308" s="12">
        <f>IF($T308=0,"",IF($I308="Bloomberg",IF(AND(ISNUMBER(INDEX('Market Data'!$M$5:$M$528,$T308)),N(INDEX('Market Data'!$M$5:$M$528,$T308))&gt;0),INDEX('Market Data'!$M$5:$M$528,$T308),"date unavailable"),IF($I308="Snapshot",IF(AND(ISNUMBER(INDEX('Market Data'!$H$5:$H$528,$T308)),N(INDEX('Market Data'!$H$5:$H$528,$T308))&gt;0),INDEX('Market Data'!$H$5:$H$528,$T308),"date unavailable"),"date unavailable")))</f>
        <v/>
      </c>
      <c r="H308" s="9">
        <f>IF($T308=0,"",IF($I308="Bloomberg",IF(INDEX('Market Data'!$N$5:$N$528,$T308)="","time unavailable",INDEX('Market Data'!$N$5:$N$528,$T308)),""))</f>
        <v/>
      </c>
      <c r="I308" s="9">
        <f>IF($T308=0,"",INDEX('Market Data'!$P$5:$P$528,$T308))</f>
        <v/>
      </c>
      <c r="J308" s="13">
        <f>IF($T308=0,"",IF(INDEX('Market Data'!$E$5:$E$528,$T308)="","",INDEX('Market Data'!$E$5:$E$528,$T308)))</f>
        <v/>
      </c>
      <c r="K308" s="8">
        <f>IF($T308=0,"",IF(INDEX('Market Data'!$I$5:$I$528,$T308)="","",INDEX('Market Data'!$I$5:$I$528,$T308)))</f>
        <v/>
      </c>
      <c r="L308" s="10">
        <f>IF($T308=0,"",IF(INDEX('Market Data'!$J$5:$J$528,$T308)=0,"n/a",IF(AND($M$5&lt;&gt;"Snapshot",ISNUMBER(INDEX('Market Data'!$AH$5:$AH$66,INDEX('Market Data'!$J$5:$J$528,$T308)-4)),N(INDEX('Market Data'!$AH$5:$AH$66,INDEX('Market Data'!$J$5:$J$528,$T308)-4))&gt;0),INDEX('Market Data'!$AH$5:$AH$66,INDEX('Market Data'!$J$5:$J$528,$T308)-4),IF(AND($M$5&lt;&gt;"Bloomberg",ISNUMBER(INDEX('Market Data'!$AC$5:$AC$66,INDEX('Market Data'!$J$5:$J$528,$T308)-4)),N(INDEX('Market Data'!$AC$5:$AC$66,INDEX('Market Data'!$J$5:$J$528,$T308)-4))&gt;0),INDEX('Market Data'!$AC$5:$AC$66,INDEX('Market Data'!$J$5:$J$528,$T308)-4),"unavailable"))))</f>
        <v/>
      </c>
      <c r="M308" s="11">
        <f>IF($T308=0,"",IF(INDEX('Market Data'!$J$5:$J$528,$T308)=0,"n/a",IF(IF(INDEX('Market Data'!$J$5:$J$528,$T308)=0,0,IF(LEFT(INDEX('Market Data'!$AS$5:$AS$66,INDEX('Market Data'!$J$5:$J$528,$T308)-4),11)="First-month",1,0))=1,"class review",IF($I308="Bloomberg",IF(AND(ISNUMBER(INDEX('Market Data'!$AH$5:$AH$66,INDEX('Market Data'!$J$5:$J$528,$T308)-4)),N(INDEX('Market Data'!$AH$5:$AH$66,INDEX('Market Data'!$J$5:$J$528,$T308)-4))&gt;0,ISNUMBER('Market Data'!$B$1),N('Market Data'!$B$1)&gt;0),INDEX('Market Data'!$AH$5:$AH$66,INDEX('Market Data'!$J$5:$J$528,$T308)-4)*'Market Data'!$B$1/$E308-1,"pending A/FX"),IF(AND($I308="Snapshot",$Q308="Snapshot",ISNUMBER($E308),$G308=INDEX('Market Data'!$AE$5:$AE$66,INDEX('Market Data'!$J$5:$J$528,$T308)-4)),IFERROR(INDEX('Market Data'!$AC$5:$AC$66,INDEX('Market Data'!$J$5:$J$528,$T308)-4)*INDEX('Market Data'!$AD$5:$AD$66,INDEX('Market Data'!$J$5:$J$528,$T308)-4)/$E308-1,"unavailable"),IF($I308="Unavailable","unavailable","date mismatch"))))))</f>
        <v/>
      </c>
      <c r="N308" s="11">
        <f>IF($T308=0,"",IFERROR(IF(AND(N(INDEX('Market Data'!$F$5:$F$528,$T308))&gt;0,ISNUMBER(INDEX('Market Data'!$T$5:$T$528,$T308))),$E308*INDEX('Market Data'!$T$5:$T$528,$T308)/INDEX('Market Data'!$F$5:$F$528,$T308)-1,"unavailable"),"unavailable"))</f>
        <v/>
      </c>
      <c r="O308" s="9">
        <f>IF($T308=0,"",IF(IF(INDEX('Market Data'!$J$5:$J$528,$T308)=0,0,IF(LEFT(INDEX('Market Data'!$AS$5:$AS$66,INDEX('Market Data'!$J$5:$J$528,$T308)-4),11)="First-month",1,0))=1,"Class ratio review",IF($I308="Bloomberg",IF(ISNUMBER($G308),IF($G308&lt;TODAY(),"Older quote","See quote time"),"Date unavailable"),IF($I308="Snapshot",IF($G308&lt;DATEVALUE("2026-10-02"),"Older snapshot","Dated close"),"No valid quote"))))</f>
        <v/>
      </c>
      <c r="P308" s="14">
        <f>IF($T308=0,"",IF(INDEX('Market Data'!$J$5:$J$528,$T308)=0,"n/a",IF($Q308="Bloomberg",IF(AND(ISNUMBER(INDEX('Market Data'!$AK$5:$AK$66,INDEX('Market Data'!$J$5:$J$528,$T308)-4)),N(INDEX('Market Data'!$AK$5:$AK$66,INDEX('Market Data'!$J$5:$J$528,$T308)-4))&gt;0),INDEX('Market Data'!$AK$5:$AK$66,INDEX('Market Data'!$J$5:$J$528,$T308)-4),"date unavailable"),IF($Q308="Snapshot",IF(AND(ISNUMBER(INDEX('Market Data'!$AF$5:$AF$66,INDEX('Market Data'!$J$5:$J$528,$T308)-4)),N(INDEX('Market Data'!$AF$5:$AF$66,INDEX('Market Data'!$J$5:$J$528,$T308)-4))&gt;0),INDEX('Market Data'!$AF$5:$AF$66,INDEX('Market Data'!$J$5:$J$528,$T308)-4),"date unavailable"),"date unavailable"))))</f>
        <v/>
      </c>
      <c r="Q308" s="15">
        <f>IF($T308=0,"",IF(INDEX('Market Data'!$J$5:$J$528,$T308)=0,"n/a",IF(AND($M$5&lt;&gt;"Snapshot",ISNUMBER(INDEX('Market Data'!$AH$5:$AH$66,INDEX('Market Data'!$J$5:$J$528,$T308)-4)),N(INDEX('Market Data'!$AH$5:$AH$66,INDEX('Market Data'!$J$5:$J$528,$T308)-4))&gt;0),"Bloomberg",IF(AND($M$5&lt;&gt;"Bloomberg",ISNUMBER(INDEX('Market Data'!$AC$5:$AC$66,INDEX('Market Data'!$J$5:$J$528,$T308)-4)),N(INDEX('Market Data'!$AC$5:$AC$66,INDEX('Market Data'!$J$5:$J$528,$T308)-4))&gt;0),"Snapshot","Unavailable"))))</f>
        <v/>
      </c>
      <c r="T308">
        <f>IFERROR(MATCH(300,'Market Data'!$S$5:$S$528,0),0)</f>
        <v/>
      </c>
    </row>
    <row r="309" ht="34" customHeight="1">
      <c r="A309" s="8">
        <f>IF($T309=0,"",IF(INDEX('Market Data'!$A$5:$A$528,$T309)="","",INDEX('Market Data'!$A$5:$A$528,$T309)))</f>
        <v/>
      </c>
      <c r="B309" s="9">
        <f>IF($T309=0,"",IF(INDEX('Market Data'!$B$5:$B$528,$T309)="","",INDEX('Market Data'!$B$5:$B$528,$T309)))</f>
        <v/>
      </c>
      <c r="C309" s="9">
        <f>IF($T309=0,"",IF(INDEX('Market Data'!$C$5:$C$528,$T309)="","",INDEX('Market Data'!$C$5:$C$528,$T309)))</f>
        <v/>
      </c>
      <c r="D309" s="9">
        <f>IF($T309=0,"",IF(INDEX('Market Data'!$D$5:$D$528,$T309)="","",INDEX('Market Data'!$D$5:$D$528,$T309)))</f>
        <v/>
      </c>
      <c r="E309" s="10">
        <f>IF($T309=0,"",INDEX('Market Data'!$O$5:$O$528,$T309))</f>
        <v/>
      </c>
      <c r="F309" s="11">
        <f>IF($T309=0,"",IF(AND($I309="Bloomberg",ISNUMBER(INDEX('Market Data'!$L$5:$L$528,$T309))),INDEX('Market Data'!$L$5:$L$528,$T309),"unavailable"))</f>
        <v/>
      </c>
      <c r="G309" s="12">
        <f>IF($T309=0,"",IF($I309="Bloomberg",IF(AND(ISNUMBER(INDEX('Market Data'!$M$5:$M$528,$T309)),N(INDEX('Market Data'!$M$5:$M$528,$T309))&gt;0),INDEX('Market Data'!$M$5:$M$528,$T309),"date unavailable"),IF($I309="Snapshot",IF(AND(ISNUMBER(INDEX('Market Data'!$H$5:$H$528,$T309)),N(INDEX('Market Data'!$H$5:$H$528,$T309))&gt;0),INDEX('Market Data'!$H$5:$H$528,$T309),"date unavailable"),"date unavailable")))</f>
        <v/>
      </c>
      <c r="H309" s="9">
        <f>IF($T309=0,"",IF($I309="Bloomberg",IF(INDEX('Market Data'!$N$5:$N$528,$T309)="","time unavailable",INDEX('Market Data'!$N$5:$N$528,$T309)),""))</f>
        <v/>
      </c>
      <c r="I309" s="9">
        <f>IF($T309=0,"",INDEX('Market Data'!$P$5:$P$528,$T309))</f>
        <v/>
      </c>
      <c r="J309" s="13">
        <f>IF($T309=0,"",IF(INDEX('Market Data'!$E$5:$E$528,$T309)="","",INDEX('Market Data'!$E$5:$E$528,$T309)))</f>
        <v/>
      </c>
      <c r="K309" s="8">
        <f>IF($T309=0,"",IF(INDEX('Market Data'!$I$5:$I$528,$T309)="","",INDEX('Market Data'!$I$5:$I$528,$T309)))</f>
        <v/>
      </c>
      <c r="L309" s="10">
        <f>IF($T309=0,"",IF(INDEX('Market Data'!$J$5:$J$528,$T309)=0,"n/a",IF(AND($M$5&lt;&gt;"Snapshot",ISNUMBER(INDEX('Market Data'!$AH$5:$AH$66,INDEX('Market Data'!$J$5:$J$528,$T309)-4)),N(INDEX('Market Data'!$AH$5:$AH$66,INDEX('Market Data'!$J$5:$J$528,$T309)-4))&gt;0),INDEX('Market Data'!$AH$5:$AH$66,INDEX('Market Data'!$J$5:$J$528,$T309)-4),IF(AND($M$5&lt;&gt;"Bloomberg",ISNUMBER(INDEX('Market Data'!$AC$5:$AC$66,INDEX('Market Data'!$J$5:$J$528,$T309)-4)),N(INDEX('Market Data'!$AC$5:$AC$66,INDEX('Market Data'!$J$5:$J$528,$T309)-4))&gt;0),INDEX('Market Data'!$AC$5:$AC$66,INDEX('Market Data'!$J$5:$J$528,$T309)-4),"unavailable"))))</f>
        <v/>
      </c>
      <c r="M309" s="11">
        <f>IF($T309=0,"",IF(INDEX('Market Data'!$J$5:$J$528,$T309)=0,"n/a",IF(IF(INDEX('Market Data'!$J$5:$J$528,$T309)=0,0,IF(LEFT(INDEX('Market Data'!$AS$5:$AS$66,INDEX('Market Data'!$J$5:$J$528,$T309)-4),11)="First-month",1,0))=1,"class review",IF($I309="Bloomberg",IF(AND(ISNUMBER(INDEX('Market Data'!$AH$5:$AH$66,INDEX('Market Data'!$J$5:$J$528,$T309)-4)),N(INDEX('Market Data'!$AH$5:$AH$66,INDEX('Market Data'!$J$5:$J$528,$T309)-4))&gt;0,ISNUMBER('Market Data'!$B$1),N('Market Data'!$B$1)&gt;0),INDEX('Market Data'!$AH$5:$AH$66,INDEX('Market Data'!$J$5:$J$528,$T309)-4)*'Market Data'!$B$1/$E309-1,"pending A/FX"),IF(AND($I309="Snapshot",$Q309="Snapshot",ISNUMBER($E309),$G309=INDEX('Market Data'!$AE$5:$AE$66,INDEX('Market Data'!$J$5:$J$528,$T309)-4)),IFERROR(INDEX('Market Data'!$AC$5:$AC$66,INDEX('Market Data'!$J$5:$J$528,$T309)-4)*INDEX('Market Data'!$AD$5:$AD$66,INDEX('Market Data'!$J$5:$J$528,$T309)-4)/$E309-1,"unavailable"),IF($I309="Unavailable","unavailable","date mismatch"))))))</f>
        <v/>
      </c>
      <c r="N309" s="11">
        <f>IF($T309=0,"",IFERROR(IF(AND(N(INDEX('Market Data'!$F$5:$F$528,$T309))&gt;0,ISNUMBER(INDEX('Market Data'!$T$5:$T$528,$T309))),$E309*INDEX('Market Data'!$T$5:$T$528,$T309)/INDEX('Market Data'!$F$5:$F$528,$T309)-1,"unavailable"),"unavailable"))</f>
        <v/>
      </c>
      <c r="O309" s="9">
        <f>IF($T309=0,"",IF(IF(INDEX('Market Data'!$J$5:$J$528,$T309)=0,0,IF(LEFT(INDEX('Market Data'!$AS$5:$AS$66,INDEX('Market Data'!$J$5:$J$528,$T309)-4),11)="First-month",1,0))=1,"Class ratio review",IF($I309="Bloomberg",IF(ISNUMBER($G309),IF($G309&lt;TODAY(),"Older quote","See quote time"),"Date unavailable"),IF($I309="Snapshot",IF($G309&lt;DATEVALUE("2026-10-02"),"Older snapshot","Dated close"),"No valid quote"))))</f>
        <v/>
      </c>
      <c r="P309" s="14">
        <f>IF($T309=0,"",IF(INDEX('Market Data'!$J$5:$J$528,$T309)=0,"n/a",IF($Q309="Bloomberg",IF(AND(ISNUMBER(INDEX('Market Data'!$AK$5:$AK$66,INDEX('Market Data'!$J$5:$J$528,$T309)-4)),N(INDEX('Market Data'!$AK$5:$AK$66,INDEX('Market Data'!$J$5:$J$528,$T309)-4))&gt;0),INDEX('Market Data'!$AK$5:$AK$66,INDEX('Market Data'!$J$5:$J$528,$T309)-4),"date unavailable"),IF($Q309="Snapshot",IF(AND(ISNUMBER(INDEX('Market Data'!$AF$5:$AF$66,INDEX('Market Data'!$J$5:$J$528,$T309)-4)),N(INDEX('Market Data'!$AF$5:$AF$66,INDEX('Market Data'!$J$5:$J$528,$T309)-4))&gt;0),INDEX('Market Data'!$AF$5:$AF$66,INDEX('Market Data'!$J$5:$J$528,$T309)-4),"date unavailable"),"date unavailable"))))</f>
        <v/>
      </c>
      <c r="Q309" s="15">
        <f>IF($T309=0,"",IF(INDEX('Market Data'!$J$5:$J$528,$T309)=0,"n/a",IF(AND($M$5&lt;&gt;"Snapshot",ISNUMBER(INDEX('Market Data'!$AH$5:$AH$66,INDEX('Market Data'!$J$5:$J$528,$T309)-4)),N(INDEX('Market Data'!$AH$5:$AH$66,INDEX('Market Data'!$J$5:$J$528,$T309)-4))&gt;0),"Bloomberg",IF(AND($M$5&lt;&gt;"Bloomberg",ISNUMBER(INDEX('Market Data'!$AC$5:$AC$66,INDEX('Market Data'!$J$5:$J$528,$T309)-4)),N(INDEX('Market Data'!$AC$5:$AC$66,INDEX('Market Data'!$J$5:$J$528,$T309)-4))&gt;0),"Snapshot","Unavailable"))))</f>
        <v/>
      </c>
      <c r="T309">
        <f>IFERROR(MATCH(301,'Market Data'!$S$5:$S$528,0),0)</f>
        <v/>
      </c>
    </row>
    <row r="310" ht="34" customHeight="1">
      <c r="A310" s="8">
        <f>IF($T310=0,"",IF(INDEX('Market Data'!$A$5:$A$528,$T310)="","",INDEX('Market Data'!$A$5:$A$528,$T310)))</f>
        <v/>
      </c>
      <c r="B310" s="9">
        <f>IF($T310=0,"",IF(INDEX('Market Data'!$B$5:$B$528,$T310)="","",INDEX('Market Data'!$B$5:$B$528,$T310)))</f>
        <v/>
      </c>
      <c r="C310" s="9">
        <f>IF($T310=0,"",IF(INDEX('Market Data'!$C$5:$C$528,$T310)="","",INDEX('Market Data'!$C$5:$C$528,$T310)))</f>
        <v/>
      </c>
      <c r="D310" s="9">
        <f>IF($T310=0,"",IF(INDEX('Market Data'!$D$5:$D$528,$T310)="","",INDEX('Market Data'!$D$5:$D$528,$T310)))</f>
        <v/>
      </c>
      <c r="E310" s="10">
        <f>IF($T310=0,"",INDEX('Market Data'!$O$5:$O$528,$T310))</f>
        <v/>
      </c>
      <c r="F310" s="11">
        <f>IF($T310=0,"",IF(AND($I310="Bloomberg",ISNUMBER(INDEX('Market Data'!$L$5:$L$528,$T310))),INDEX('Market Data'!$L$5:$L$528,$T310),"unavailable"))</f>
        <v/>
      </c>
      <c r="G310" s="12">
        <f>IF($T310=0,"",IF($I310="Bloomberg",IF(AND(ISNUMBER(INDEX('Market Data'!$M$5:$M$528,$T310)),N(INDEX('Market Data'!$M$5:$M$528,$T310))&gt;0),INDEX('Market Data'!$M$5:$M$528,$T310),"date unavailable"),IF($I310="Snapshot",IF(AND(ISNUMBER(INDEX('Market Data'!$H$5:$H$528,$T310)),N(INDEX('Market Data'!$H$5:$H$528,$T310))&gt;0),INDEX('Market Data'!$H$5:$H$528,$T310),"date unavailable"),"date unavailable")))</f>
        <v/>
      </c>
      <c r="H310" s="9">
        <f>IF($T310=0,"",IF($I310="Bloomberg",IF(INDEX('Market Data'!$N$5:$N$528,$T310)="","time unavailable",INDEX('Market Data'!$N$5:$N$528,$T310)),""))</f>
        <v/>
      </c>
      <c r="I310" s="9">
        <f>IF($T310=0,"",INDEX('Market Data'!$P$5:$P$528,$T310))</f>
        <v/>
      </c>
      <c r="J310" s="13">
        <f>IF($T310=0,"",IF(INDEX('Market Data'!$E$5:$E$528,$T310)="","",INDEX('Market Data'!$E$5:$E$528,$T310)))</f>
        <v/>
      </c>
      <c r="K310" s="8">
        <f>IF($T310=0,"",IF(INDEX('Market Data'!$I$5:$I$528,$T310)="","",INDEX('Market Data'!$I$5:$I$528,$T310)))</f>
        <v/>
      </c>
      <c r="L310" s="10">
        <f>IF($T310=0,"",IF(INDEX('Market Data'!$J$5:$J$528,$T310)=0,"n/a",IF(AND($M$5&lt;&gt;"Snapshot",ISNUMBER(INDEX('Market Data'!$AH$5:$AH$66,INDEX('Market Data'!$J$5:$J$528,$T310)-4)),N(INDEX('Market Data'!$AH$5:$AH$66,INDEX('Market Data'!$J$5:$J$528,$T310)-4))&gt;0),INDEX('Market Data'!$AH$5:$AH$66,INDEX('Market Data'!$J$5:$J$528,$T310)-4),IF(AND($M$5&lt;&gt;"Bloomberg",ISNUMBER(INDEX('Market Data'!$AC$5:$AC$66,INDEX('Market Data'!$J$5:$J$528,$T310)-4)),N(INDEX('Market Data'!$AC$5:$AC$66,INDEX('Market Data'!$J$5:$J$528,$T310)-4))&gt;0),INDEX('Market Data'!$AC$5:$AC$66,INDEX('Market Data'!$J$5:$J$528,$T310)-4),"unavailable"))))</f>
        <v/>
      </c>
      <c r="M310" s="11">
        <f>IF($T310=0,"",IF(INDEX('Market Data'!$J$5:$J$528,$T310)=0,"n/a",IF(IF(INDEX('Market Data'!$J$5:$J$528,$T310)=0,0,IF(LEFT(INDEX('Market Data'!$AS$5:$AS$66,INDEX('Market Data'!$J$5:$J$528,$T310)-4),11)="First-month",1,0))=1,"class review",IF($I310="Bloomberg",IF(AND(ISNUMBER(INDEX('Market Data'!$AH$5:$AH$66,INDEX('Market Data'!$J$5:$J$528,$T310)-4)),N(INDEX('Market Data'!$AH$5:$AH$66,INDEX('Market Data'!$J$5:$J$528,$T310)-4))&gt;0,ISNUMBER('Market Data'!$B$1),N('Market Data'!$B$1)&gt;0),INDEX('Market Data'!$AH$5:$AH$66,INDEX('Market Data'!$J$5:$J$528,$T310)-4)*'Market Data'!$B$1/$E310-1,"pending A/FX"),IF(AND($I310="Snapshot",$Q310="Snapshot",ISNUMBER($E310),$G310=INDEX('Market Data'!$AE$5:$AE$66,INDEX('Market Data'!$J$5:$J$528,$T310)-4)),IFERROR(INDEX('Market Data'!$AC$5:$AC$66,INDEX('Market Data'!$J$5:$J$528,$T310)-4)*INDEX('Market Data'!$AD$5:$AD$66,INDEX('Market Data'!$J$5:$J$528,$T310)-4)/$E310-1,"unavailable"),IF($I310="Unavailable","unavailable","date mismatch"))))))</f>
        <v/>
      </c>
      <c r="N310" s="11">
        <f>IF($T310=0,"",IFERROR(IF(AND(N(INDEX('Market Data'!$F$5:$F$528,$T310))&gt;0,ISNUMBER(INDEX('Market Data'!$T$5:$T$528,$T310))),$E310*INDEX('Market Data'!$T$5:$T$528,$T310)/INDEX('Market Data'!$F$5:$F$528,$T310)-1,"unavailable"),"unavailable"))</f>
        <v/>
      </c>
      <c r="O310" s="9">
        <f>IF($T310=0,"",IF(IF(INDEX('Market Data'!$J$5:$J$528,$T310)=0,0,IF(LEFT(INDEX('Market Data'!$AS$5:$AS$66,INDEX('Market Data'!$J$5:$J$528,$T310)-4),11)="First-month",1,0))=1,"Class ratio review",IF($I310="Bloomberg",IF(ISNUMBER($G310),IF($G310&lt;TODAY(),"Older quote","See quote time"),"Date unavailable"),IF($I310="Snapshot",IF($G310&lt;DATEVALUE("2026-10-02"),"Older snapshot","Dated close"),"No valid quote"))))</f>
        <v/>
      </c>
      <c r="P310" s="14">
        <f>IF($T310=0,"",IF(INDEX('Market Data'!$J$5:$J$528,$T310)=0,"n/a",IF($Q310="Bloomberg",IF(AND(ISNUMBER(INDEX('Market Data'!$AK$5:$AK$66,INDEX('Market Data'!$J$5:$J$528,$T310)-4)),N(INDEX('Market Data'!$AK$5:$AK$66,INDEX('Market Data'!$J$5:$J$528,$T310)-4))&gt;0),INDEX('Market Data'!$AK$5:$AK$66,INDEX('Market Data'!$J$5:$J$528,$T310)-4),"date unavailable"),IF($Q310="Snapshot",IF(AND(ISNUMBER(INDEX('Market Data'!$AF$5:$AF$66,INDEX('Market Data'!$J$5:$J$528,$T310)-4)),N(INDEX('Market Data'!$AF$5:$AF$66,INDEX('Market Data'!$J$5:$J$528,$T310)-4))&gt;0),INDEX('Market Data'!$AF$5:$AF$66,INDEX('Market Data'!$J$5:$J$528,$T310)-4),"date unavailable"),"date unavailable"))))</f>
        <v/>
      </c>
      <c r="Q310" s="15">
        <f>IF($T310=0,"",IF(INDEX('Market Data'!$J$5:$J$528,$T310)=0,"n/a",IF(AND($M$5&lt;&gt;"Snapshot",ISNUMBER(INDEX('Market Data'!$AH$5:$AH$66,INDEX('Market Data'!$J$5:$J$528,$T310)-4)),N(INDEX('Market Data'!$AH$5:$AH$66,INDEX('Market Data'!$J$5:$J$528,$T310)-4))&gt;0),"Bloomberg",IF(AND($M$5&lt;&gt;"Bloomberg",ISNUMBER(INDEX('Market Data'!$AC$5:$AC$66,INDEX('Market Data'!$J$5:$J$528,$T310)-4)),N(INDEX('Market Data'!$AC$5:$AC$66,INDEX('Market Data'!$J$5:$J$528,$T310)-4))&gt;0),"Snapshot","Unavailable"))))</f>
        <v/>
      </c>
      <c r="T310">
        <f>IFERROR(MATCH(302,'Market Data'!$S$5:$S$528,0),0)</f>
        <v/>
      </c>
    </row>
    <row r="311" ht="34" customHeight="1">
      <c r="A311" s="8">
        <f>IF($T311=0,"",IF(INDEX('Market Data'!$A$5:$A$528,$T311)="","",INDEX('Market Data'!$A$5:$A$528,$T311)))</f>
        <v/>
      </c>
      <c r="B311" s="9">
        <f>IF($T311=0,"",IF(INDEX('Market Data'!$B$5:$B$528,$T311)="","",INDEX('Market Data'!$B$5:$B$528,$T311)))</f>
        <v/>
      </c>
      <c r="C311" s="9">
        <f>IF($T311=0,"",IF(INDEX('Market Data'!$C$5:$C$528,$T311)="","",INDEX('Market Data'!$C$5:$C$528,$T311)))</f>
        <v/>
      </c>
      <c r="D311" s="9">
        <f>IF($T311=0,"",IF(INDEX('Market Data'!$D$5:$D$528,$T311)="","",INDEX('Market Data'!$D$5:$D$528,$T311)))</f>
        <v/>
      </c>
      <c r="E311" s="10">
        <f>IF($T311=0,"",INDEX('Market Data'!$O$5:$O$528,$T311))</f>
        <v/>
      </c>
      <c r="F311" s="11">
        <f>IF($T311=0,"",IF(AND($I311="Bloomberg",ISNUMBER(INDEX('Market Data'!$L$5:$L$528,$T311))),INDEX('Market Data'!$L$5:$L$528,$T311),"unavailable"))</f>
        <v/>
      </c>
      <c r="G311" s="12">
        <f>IF($T311=0,"",IF($I311="Bloomberg",IF(AND(ISNUMBER(INDEX('Market Data'!$M$5:$M$528,$T311)),N(INDEX('Market Data'!$M$5:$M$528,$T311))&gt;0),INDEX('Market Data'!$M$5:$M$528,$T311),"date unavailable"),IF($I311="Snapshot",IF(AND(ISNUMBER(INDEX('Market Data'!$H$5:$H$528,$T311)),N(INDEX('Market Data'!$H$5:$H$528,$T311))&gt;0),INDEX('Market Data'!$H$5:$H$528,$T311),"date unavailable"),"date unavailable")))</f>
        <v/>
      </c>
      <c r="H311" s="9">
        <f>IF($T311=0,"",IF($I311="Bloomberg",IF(INDEX('Market Data'!$N$5:$N$528,$T311)="","time unavailable",INDEX('Market Data'!$N$5:$N$528,$T311)),""))</f>
        <v/>
      </c>
      <c r="I311" s="9">
        <f>IF($T311=0,"",INDEX('Market Data'!$P$5:$P$528,$T311))</f>
        <v/>
      </c>
      <c r="J311" s="13">
        <f>IF($T311=0,"",IF(INDEX('Market Data'!$E$5:$E$528,$T311)="","",INDEX('Market Data'!$E$5:$E$528,$T311)))</f>
        <v/>
      </c>
      <c r="K311" s="8">
        <f>IF($T311=0,"",IF(INDEX('Market Data'!$I$5:$I$528,$T311)="","",INDEX('Market Data'!$I$5:$I$528,$T311)))</f>
        <v/>
      </c>
      <c r="L311" s="10">
        <f>IF($T311=0,"",IF(INDEX('Market Data'!$J$5:$J$528,$T311)=0,"n/a",IF(AND($M$5&lt;&gt;"Snapshot",ISNUMBER(INDEX('Market Data'!$AH$5:$AH$66,INDEX('Market Data'!$J$5:$J$528,$T311)-4)),N(INDEX('Market Data'!$AH$5:$AH$66,INDEX('Market Data'!$J$5:$J$528,$T311)-4))&gt;0),INDEX('Market Data'!$AH$5:$AH$66,INDEX('Market Data'!$J$5:$J$528,$T311)-4),IF(AND($M$5&lt;&gt;"Bloomberg",ISNUMBER(INDEX('Market Data'!$AC$5:$AC$66,INDEX('Market Data'!$J$5:$J$528,$T311)-4)),N(INDEX('Market Data'!$AC$5:$AC$66,INDEX('Market Data'!$J$5:$J$528,$T311)-4))&gt;0),INDEX('Market Data'!$AC$5:$AC$66,INDEX('Market Data'!$J$5:$J$528,$T311)-4),"unavailable"))))</f>
        <v/>
      </c>
      <c r="M311" s="11">
        <f>IF($T311=0,"",IF(INDEX('Market Data'!$J$5:$J$528,$T311)=0,"n/a",IF(IF(INDEX('Market Data'!$J$5:$J$528,$T311)=0,0,IF(LEFT(INDEX('Market Data'!$AS$5:$AS$66,INDEX('Market Data'!$J$5:$J$528,$T311)-4),11)="First-month",1,0))=1,"class review",IF($I311="Bloomberg",IF(AND(ISNUMBER(INDEX('Market Data'!$AH$5:$AH$66,INDEX('Market Data'!$J$5:$J$528,$T311)-4)),N(INDEX('Market Data'!$AH$5:$AH$66,INDEX('Market Data'!$J$5:$J$528,$T311)-4))&gt;0,ISNUMBER('Market Data'!$B$1),N('Market Data'!$B$1)&gt;0),INDEX('Market Data'!$AH$5:$AH$66,INDEX('Market Data'!$J$5:$J$528,$T311)-4)*'Market Data'!$B$1/$E311-1,"pending A/FX"),IF(AND($I311="Snapshot",$Q311="Snapshot",ISNUMBER($E311),$G311=INDEX('Market Data'!$AE$5:$AE$66,INDEX('Market Data'!$J$5:$J$528,$T311)-4)),IFERROR(INDEX('Market Data'!$AC$5:$AC$66,INDEX('Market Data'!$J$5:$J$528,$T311)-4)*INDEX('Market Data'!$AD$5:$AD$66,INDEX('Market Data'!$J$5:$J$528,$T311)-4)/$E311-1,"unavailable"),IF($I311="Unavailable","unavailable","date mismatch"))))))</f>
        <v/>
      </c>
      <c r="N311" s="11">
        <f>IF($T311=0,"",IFERROR(IF(AND(N(INDEX('Market Data'!$F$5:$F$528,$T311))&gt;0,ISNUMBER(INDEX('Market Data'!$T$5:$T$528,$T311))),$E311*INDEX('Market Data'!$T$5:$T$528,$T311)/INDEX('Market Data'!$F$5:$F$528,$T311)-1,"unavailable"),"unavailable"))</f>
        <v/>
      </c>
      <c r="O311" s="9">
        <f>IF($T311=0,"",IF(IF(INDEX('Market Data'!$J$5:$J$528,$T311)=0,0,IF(LEFT(INDEX('Market Data'!$AS$5:$AS$66,INDEX('Market Data'!$J$5:$J$528,$T311)-4),11)="First-month",1,0))=1,"Class ratio review",IF($I311="Bloomberg",IF(ISNUMBER($G311),IF($G311&lt;TODAY(),"Older quote","See quote time"),"Date unavailable"),IF($I311="Snapshot",IF($G311&lt;DATEVALUE("2026-10-02"),"Older snapshot","Dated close"),"No valid quote"))))</f>
        <v/>
      </c>
      <c r="P311" s="14">
        <f>IF($T311=0,"",IF(INDEX('Market Data'!$J$5:$J$528,$T311)=0,"n/a",IF($Q311="Bloomberg",IF(AND(ISNUMBER(INDEX('Market Data'!$AK$5:$AK$66,INDEX('Market Data'!$J$5:$J$528,$T311)-4)),N(INDEX('Market Data'!$AK$5:$AK$66,INDEX('Market Data'!$J$5:$J$528,$T311)-4))&gt;0),INDEX('Market Data'!$AK$5:$AK$66,INDEX('Market Data'!$J$5:$J$528,$T311)-4),"date unavailable"),IF($Q311="Snapshot",IF(AND(ISNUMBER(INDEX('Market Data'!$AF$5:$AF$66,INDEX('Market Data'!$J$5:$J$528,$T311)-4)),N(INDEX('Market Data'!$AF$5:$AF$66,INDEX('Market Data'!$J$5:$J$528,$T311)-4))&gt;0),INDEX('Market Data'!$AF$5:$AF$66,INDEX('Market Data'!$J$5:$J$528,$T311)-4),"date unavailable"),"date unavailable"))))</f>
        <v/>
      </c>
      <c r="Q311" s="15">
        <f>IF($T311=0,"",IF(INDEX('Market Data'!$J$5:$J$528,$T311)=0,"n/a",IF(AND($M$5&lt;&gt;"Snapshot",ISNUMBER(INDEX('Market Data'!$AH$5:$AH$66,INDEX('Market Data'!$J$5:$J$528,$T311)-4)),N(INDEX('Market Data'!$AH$5:$AH$66,INDEX('Market Data'!$J$5:$J$528,$T311)-4))&gt;0),"Bloomberg",IF(AND($M$5&lt;&gt;"Bloomberg",ISNUMBER(INDEX('Market Data'!$AC$5:$AC$66,INDEX('Market Data'!$J$5:$J$528,$T311)-4)),N(INDEX('Market Data'!$AC$5:$AC$66,INDEX('Market Data'!$J$5:$J$528,$T311)-4))&gt;0),"Snapshot","Unavailable"))))</f>
        <v/>
      </c>
      <c r="T311">
        <f>IFERROR(MATCH(303,'Market Data'!$S$5:$S$528,0),0)</f>
        <v/>
      </c>
    </row>
    <row r="312" ht="34" customHeight="1">
      <c r="A312" s="8">
        <f>IF($T312=0,"",IF(INDEX('Market Data'!$A$5:$A$528,$T312)="","",INDEX('Market Data'!$A$5:$A$528,$T312)))</f>
        <v/>
      </c>
      <c r="B312" s="9">
        <f>IF($T312=0,"",IF(INDEX('Market Data'!$B$5:$B$528,$T312)="","",INDEX('Market Data'!$B$5:$B$528,$T312)))</f>
        <v/>
      </c>
      <c r="C312" s="9">
        <f>IF($T312=0,"",IF(INDEX('Market Data'!$C$5:$C$528,$T312)="","",INDEX('Market Data'!$C$5:$C$528,$T312)))</f>
        <v/>
      </c>
      <c r="D312" s="9">
        <f>IF($T312=0,"",IF(INDEX('Market Data'!$D$5:$D$528,$T312)="","",INDEX('Market Data'!$D$5:$D$528,$T312)))</f>
        <v/>
      </c>
      <c r="E312" s="10">
        <f>IF($T312=0,"",INDEX('Market Data'!$O$5:$O$528,$T312))</f>
        <v/>
      </c>
      <c r="F312" s="11">
        <f>IF($T312=0,"",IF(AND($I312="Bloomberg",ISNUMBER(INDEX('Market Data'!$L$5:$L$528,$T312))),INDEX('Market Data'!$L$5:$L$528,$T312),"unavailable"))</f>
        <v/>
      </c>
      <c r="G312" s="12">
        <f>IF($T312=0,"",IF($I312="Bloomberg",IF(AND(ISNUMBER(INDEX('Market Data'!$M$5:$M$528,$T312)),N(INDEX('Market Data'!$M$5:$M$528,$T312))&gt;0),INDEX('Market Data'!$M$5:$M$528,$T312),"date unavailable"),IF($I312="Snapshot",IF(AND(ISNUMBER(INDEX('Market Data'!$H$5:$H$528,$T312)),N(INDEX('Market Data'!$H$5:$H$528,$T312))&gt;0),INDEX('Market Data'!$H$5:$H$528,$T312),"date unavailable"),"date unavailable")))</f>
        <v/>
      </c>
      <c r="H312" s="9">
        <f>IF($T312=0,"",IF($I312="Bloomberg",IF(INDEX('Market Data'!$N$5:$N$528,$T312)="","time unavailable",INDEX('Market Data'!$N$5:$N$528,$T312)),""))</f>
        <v/>
      </c>
      <c r="I312" s="9">
        <f>IF($T312=0,"",INDEX('Market Data'!$P$5:$P$528,$T312))</f>
        <v/>
      </c>
      <c r="J312" s="13">
        <f>IF($T312=0,"",IF(INDEX('Market Data'!$E$5:$E$528,$T312)="","",INDEX('Market Data'!$E$5:$E$528,$T312)))</f>
        <v/>
      </c>
      <c r="K312" s="8">
        <f>IF($T312=0,"",IF(INDEX('Market Data'!$I$5:$I$528,$T312)="","",INDEX('Market Data'!$I$5:$I$528,$T312)))</f>
        <v/>
      </c>
      <c r="L312" s="10">
        <f>IF($T312=0,"",IF(INDEX('Market Data'!$J$5:$J$528,$T312)=0,"n/a",IF(AND($M$5&lt;&gt;"Snapshot",ISNUMBER(INDEX('Market Data'!$AH$5:$AH$66,INDEX('Market Data'!$J$5:$J$528,$T312)-4)),N(INDEX('Market Data'!$AH$5:$AH$66,INDEX('Market Data'!$J$5:$J$528,$T312)-4))&gt;0),INDEX('Market Data'!$AH$5:$AH$66,INDEX('Market Data'!$J$5:$J$528,$T312)-4),IF(AND($M$5&lt;&gt;"Bloomberg",ISNUMBER(INDEX('Market Data'!$AC$5:$AC$66,INDEX('Market Data'!$J$5:$J$528,$T312)-4)),N(INDEX('Market Data'!$AC$5:$AC$66,INDEX('Market Data'!$J$5:$J$528,$T312)-4))&gt;0),INDEX('Market Data'!$AC$5:$AC$66,INDEX('Market Data'!$J$5:$J$528,$T312)-4),"unavailable"))))</f>
        <v/>
      </c>
      <c r="M312" s="11">
        <f>IF($T312=0,"",IF(INDEX('Market Data'!$J$5:$J$528,$T312)=0,"n/a",IF(IF(INDEX('Market Data'!$J$5:$J$528,$T312)=0,0,IF(LEFT(INDEX('Market Data'!$AS$5:$AS$66,INDEX('Market Data'!$J$5:$J$528,$T312)-4),11)="First-month",1,0))=1,"class review",IF($I312="Bloomberg",IF(AND(ISNUMBER(INDEX('Market Data'!$AH$5:$AH$66,INDEX('Market Data'!$J$5:$J$528,$T312)-4)),N(INDEX('Market Data'!$AH$5:$AH$66,INDEX('Market Data'!$J$5:$J$528,$T312)-4))&gt;0,ISNUMBER('Market Data'!$B$1),N('Market Data'!$B$1)&gt;0),INDEX('Market Data'!$AH$5:$AH$66,INDEX('Market Data'!$J$5:$J$528,$T312)-4)*'Market Data'!$B$1/$E312-1,"pending A/FX"),IF(AND($I312="Snapshot",$Q312="Snapshot",ISNUMBER($E312),$G312=INDEX('Market Data'!$AE$5:$AE$66,INDEX('Market Data'!$J$5:$J$528,$T312)-4)),IFERROR(INDEX('Market Data'!$AC$5:$AC$66,INDEX('Market Data'!$J$5:$J$528,$T312)-4)*INDEX('Market Data'!$AD$5:$AD$66,INDEX('Market Data'!$J$5:$J$528,$T312)-4)/$E312-1,"unavailable"),IF($I312="Unavailable","unavailable","date mismatch"))))))</f>
        <v/>
      </c>
      <c r="N312" s="11">
        <f>IF($T312=0,"",IFERROR(IF(AND(N(INDEX('Market Data'!$F$5:$F$528,$T312))&gt;0,ISNUMBER(INDEX('Market Data'!$T$5:$T$528,$T312))),$E312*INDEX('Market Data'!$T$5:$T$528,$T312)/INDEX('Market Data'!$F$5:$F$528,$T312)-1,"unavailable"),"unavailable"))</f>
        <v/>
      </c>
      <c r="O312" s="9">
        <f>IF($T312=0,"",IF(IF(INDEX('Market Data'!$J$5:$J$528,$T312)=0,0,IF(LEFT(INDEX('Market Data'!$AS$5:$AS$66,INDEX('Market Data'!$J$5:$J$528,$T312)-4),11)="First-month",1,0))=1,"Class ratio review",IF($I312="Bloomberg",IF(ISNUMBER($G312),IF($G312&lt;TODAY(),"Older quote","See quote time"),"Date unavailable"),IF($I312="Snapshot",IF($G312&lt;DATEVALUE("2026-10-02"),"Older snapshot","Dated close"),"No valid quote"))))</f>
        <v/>
      </c>
      <c r="P312" s="14">
        <f>IF($T312=0,"",IF(INDEX('Market Data'!$J$5:$J$528,$T312)=0,"n/a",IF($Q312="Bloomberg",IF(AND(ISNUMBER(INDEX('Market Data'!$AK$5:$AK$66,INDEX('Market Data'!$J$5:$J$528,$T312)-4)),N(INDEX('Market Data'!$AK$5:$AK$66,INDEX('Market Data'!$J$5:$J$528,$T312)-4))&gt;0),INDEX('Market Data'!$AK$5:$AK$66,INDEX('Market Data'!$J$5:$J$528,$T312)-4),"date unavailable"),IF($Q312="Snapshot",IF(AND(ISNUMBER(INDEX('Market Data'!$AF$5:$AF$66,INDEX('Market Data'!$J$5:$J$528,$T312)-4)),N(INDEX('Market Data'!$AF$5:$AF$66,INDEX('Market Data'!$J$5:$J$528,$T312)-4))&gt;0),INDEX('Market Data'!$AF$5:$AF$66,INDEX('Market Data'!$J$5:$J$528,$T312)-4),"date unavailable"),"date unavailable"))))</f>
        <v/>
      </c>
      <c r="Q312" s="15">
        <f>IF($T312=0,"",IF(INDEX('Market Data'!$J$5:$J$528,$T312)=0,"n/a",IF(AND($M$5&lt;&gt;"Snapshot",ISNUMBER(INDEX('Market Data'!$AH$5:$AH$66,INDEX('Market Data'!$J$5:$J$528,$T312)-4)),N(INDEX('Market Data'!$AH$5:$AH$66,INDEX('Market Data'!$J$5:$J$528,$T312)-4))&gt;0),"Bloomberg",IF(AND($M$5&lt;&gt;"Bloomberg",ISNUMBER(INDEX('Market Data'!$AC$5:$AC$66,INDEX('Market Data'!$J$5:$J$528,$T312)-4)),N(INDEX('Market Data'!$AC$5:$AC$66,INDEX('Market Data'!$J$5:$J$528,$T312)-4))&gt;0),"Snapshot","Unavailable"))))</f>
        <v/>
      </c>
      <c r="T312">
        <f>IFERROR(MATCH(304,'Market Data'!$S$5:$S$528,0),0)</f>
        <v/>
      </c>
    </row>
    <row r="313" ht="34" customHeight="1">
      <c r="A313" s="8">
        <f>IF($T313=0,"",IF(INDEX('Market Data'!$A$5:$A$528,$T313)="","",INDEX('Market Data'!$A$5:$A$528,$T313)))</f>
        <v/>
      </c>
      <c r="B313" s="9">
        <f>IF($T313=0,"",IF(INDEX('Market Data'!$B$5:$B$528,$T313)="","",INDEX('Market Data'!$B$5:$B$528,$T313)))</f>
        <v/>
      </c>
      <c r="C313" s="9">
        <f>IF($T313=0,"",IF(INDEX('Market Data'!$C$5:$C$528,$T313)="","",INDEX('Market Data'!$C$5:$C$528,$T313)))</f>
        <v/>
      </c>
      <c r="D313" s="9">
        <f>IF($T313=0,"",IF(INDEX('Market Data'!$D$5:$D$528,$T313)="","",INDEX('Market Data'!$D$5:$D$528,$T313)))</f>
        <v/>
      </c>
      <c r="E313" s="10">
        <f>IF($T313=0,"",INDEX('Market Data'!$O$5:$O$528,$T313))</f>
        <v/>
      </c>
      <c r="F313" s="11">
        <f>IF($T313=0,"",IF(AND($I313="Bloomberg",ISNUMBER(INDEX('Market Data'!$L$5:$L$528,$T313))),INDEX('Market Data'!$L$5:$L$528,$T313),"unavailable"))</f>
        <v/>
      </c>
      <c r="G313" s="12">
        <f>IF($T313=0,"",IF($I313="Bloomberg",IF(AND(ISNUMBER(INDEX('Market Data'!$M$5:$M$528,$T313)),N(INDEX('Market Data'!$M$5:$M$528,$T313))&gt;0),INDEX('Market Data'!$M$5:$M$528,$T313),"date unavailable"),IF($I313="Snapshot",IF(AND(ISNUMBER(INDEX('Market Data'!$H$5:$H$528,$T313)),N(INDEX('Market Data'!$H$5:$H$528,$T313))&gt;0),INDEX('Market Data'!$H$5:$H$528,$T313),"date unavailable"),"date unavailable")))</f>
        <v/>
      </c>
      <c r="H313" s="9">
        <f>IF($T313=0,"",IF($I313="Bloomberg",IF(INDEX('Market Data'!$N$5:$N$528,$T313)="","time unavailable",INDEX('Market Data'!$N$5:$N$528,$T313)),""))</f>
        <v/>
      </c>
      <c r="I313" s="9">
        <f>IF($T313=0,"",INDEX('Market Data'!$P$5:$P$528,$T313))</f>
        <v/>
      </c>
      <c r="J313" s="13">
        <f>IF($T313=0,"",IF(INDEX('Market Data'!$E$5:$E$528,$T313)="","",INDEX('Market Data'!$E$5:$E$528,$T313)))</f>
        <v/>
      </c>
      <c r="K313" s="8">
        <f>IF($T313=0,"",IF(INDEX('Market Data'!$I$5:$I$528,$T313)="","",INDEX('Market Data'!$I$5:$I$528,$T313)))</f>
        <v/>
      </c>
      <c r="L313" s="10">
        <f>IF($T313=0,"",IF(INDEX('Market Data'!$J$5:$J$528,$T313)=0,"n/a",IF(AND($M$5&lt;&gt;"Snapshot",ISNUMBER(INDEX('Market Data'!$AH$5:$AH$66,INDEX('Market Data'!$J$5:$J$528,$T313)-4)),N(INDEX('Market Data'!$AH$5:$AH$66,INDEX('Market Data'!$J$5:$J$528,$T313)-4))&gt;0),INDEX('Market Data'!$AH$5:$AH$66,INDEX('Market Data'!$J$5:$J$528,$T313)-4),IF(AND($M$5&lt;&gt;"Bloomberg",ISNUMBER(INDEX('Market Data'!$AC$5:$AC$66,INDEX('Market Data'!$J$5:$J$528,$T313)-4)),N(INDEX('Market Data'!$AC$5:$AC$66,INDEX('Market Data'!$J$5:$J$528,$T313)-4))&gt;0),INDEX('Market Data'!$AC$5:$AC$66,INDEX('Market Data'!$J$5:$J$528,$T313)-4),"unavailable"))))</f>
        <v/>
      </c>
      <c r="M313" s="11">
        <f>IF($T313=0,"",IF(INDEX('Market Data'!$J$5:$J$528,$T313)=0,"n/a",IF(IF(INDEX('Market Data'!$J$5:$J$528,$T313)=0,0,IF(LEFT(INDEX('Market Data'!$AS$5:$AS$66,INDEX('Market Data'!$J$5:$J$528,$T313)-4),11)="First-month",1,0))=1,"class review",IF($I313="Bloomberg",IF(AND(ISNUMBER(INDEX('Market Data'!$AH$5:$AH$66,INDEX('Market Data'!$J$5:$J$528,$T313)-4)),N(INDEX('Market Data'!$AH$5:$AH$66,INDEX('Market Data'!$J$5:$J$528,$T313)-4))&gt;0,ISNUMBER('Market Data'!$B$1),N('Market Data'!$B$1)&gt;0),INDEX('Market Data'!$AH$5:$AH$66,INDEX('Market Data'!$J$5:$J$528,$T313)-4)*'Market Data'!$B$1/$E313-1,"pending A/FX"),IF(AND($I313="Snapshot",$Q313="Snapshot",ISNUMBER($E313),$G313=INDEX('Market Data'!$AE$5:$AE$66,INDEX('Market Data'!$J$5:$J$528,$T313)-4)),IFERROR(INDEX('Market Data'!$AC$5:$AC$66,INDEX('Market Data'!$J$5:$J$528,$T313)-4)*INDEX('Market Data'!$AD$5:$AD$66,INDEX('Market Data'!$J$5:$J$528,$T313)-4)/$E313-1,"unavailable"),IF($I313="Unavailable","unavailable","date mismatch"))))))</f>
        <v/>
      </c>
      <c r="N313" s="11">
        <f>IF($T313=0,"",IFERROR(IF(AND(N(INDEX('Market Data'!$F$5:$F$528,$T313))&gt;0,ISNUMBER(INDEX('Market Data'!$T$5:$T$528,$T313))),$E313*INDEX('Market Data'!$T$5:$T$528,$T313)/INDEX('Market Data'!$F$5:$F$528,$T313)-1,"unavailable"),"unavailable"))</f>
        <v/>
      </c>
      <c r="O313" s="9">
        <f>IF($T313=0,"",IF(IF(INDEX('Market Data'!$J$5:$J$528,$T313)=0,0,IF(LEFT(INDEX('Market Data'!$AS$5:$AS$66,INDEX('Market Data'!$J$5:$J$528,$T313)-4),11)="First-month",1,0))=1,"Class ratio review",IF($I313="Bloomberg",IF(ISNUMBER($G313),IF($G313&lt;TODAY(),"Older quote","See quote time"),"Date unavailable"),IF($I313="Snapshot",IF($G313&lt;DATEVALUE("2026-10-02"),"Older snapshot","Dated close"),"No valid quote"))))</f>
        <v/>
      </c>
      <c r="P313" s="14">
        <f>IF($T313=0,"",IF(INDEX('Market Data'!$J$5:$J$528,$T313)=0,"n/a",IF($Q313="Bloomberg",IF(AND(ISNUMBER(INDEX('Market Data'!$AK$5:$AK$66,INDEX('Market Data'!$J$5:$J$528,$T313)-4)),N(INDEX('Market Data'!$AK$5:$AK$66,INDEX('Market Data'!$J$5:$J$528,$T313)-4))&gt;0),INDEX('Market Data'!$AK$5:$AK$66,INDEX('Market Data'!$J$5:$J$528,$T313)-4),"date unavailable"),IF($Q313="Snapshot",IF(AND(ISNUMBER(INDEX('Market Data'!$AF$5:$AF$66,INDEX('Market Data'!$J$5:$J$528,$T313)-4)),N(INDEX('Market Data'!$AF$5:$AF$66,INDEX('Market Data'!$J$5:$J$528,$T313)-4))&gt;0),INDEX('Market Data'!$AF$5:$AF$66,INDEX('Market Data'!$J$5:$J$528,$T313)-4),"date unavailable"),"date unavailable"))))</f>
        <v/>
      </c>
      <c r="Q313" s="15">
        <f>IF($T313=0,"",IF(INDEX('Market Data'!$J$5:$J$528,$T313)=0,"n/a",IF(AND($M$5&lt;&gt;"Snapshot",ISNUMBER(INDEX('Market Data'!$AH$5:$AH$66,INDEX('Market Data'!$J$5:$J$528,$T313)-4)),N(INDEX('Market Data'!$AH$5:$AH$66,INDEX('Market Data'!$J$5:$J$528,$T313)-4))&gt;0),"Bloomberg",IF(AND($M$5&lt;&gt;"Bloomberg",ISNUMBER(INDEX('Market Data'!$AC$5:$AC$66,INDEX('Market Data'!$J$5:$J$528,$T313)-4)),N(INDEX('Market Data'!$AC$5:$AC$66,INDEX('Market Data'!$J$5:$J$528,$T313)-4))&gt;0),"Snapshot","Unavailable"))))</f>
        <v/>
      </c>
      <c r="T313">
        <f>IFERROR(MATCH(305,'Market Data'!$S$5:$S$528,0),0)</f>
        <v/>
      </c>
    </row>
    <row r="314" ht="34" customHeight="1">
      <c r="A314" s="8">
        <f>IF($T314=0,"",IF(INDEX('Market Data'!$A$5:$A$528,$T314)="","",INDEX('Market Data'!$A$5:$A$528,$T314)))</f>
        <v/>
      </c>
      <c r="B314" s="9">
        <f>IF($T314=0,"",IF(INDEX('Market Data'!$B$5:$B$528,$T314)="","",INDEX('Market Data'!$B$5:$B$528,$T314)))</f>
        <v/>
      </c>
      <c r="C314" s="9">
        <f>IF($T314=0,"",IF(INDEX('Market Data'!$C$5:$C$528,$T314)="","",INDEX('Market Data'!$C$5:$C$528,$T314)))</f>
        <v/>
      </c>
      <c r="D314" s="9">
        <f>IF($T314=0,"",IF(INDEX('Market Data'!$D$5:$D$528,$T314)="","",INDEX('Market Data'!$D$5:$D$528,$T314)))</f>
        <v/>
      </c>
      <c r="E314" s="10">
        <f>IF($T314=0,"",INDEX('Market Data'!$O$5:$O$528,$T314))</f>
        <v/>
      </c>
      <c r="F314" s="11">
        <f>IF($T314=0,"",IF(AND($I314="Bloomberg",ISNUMBER(INDEX('Market Data'!$L$5:$L$528,$T314))),INDEX('Market Data'!$L$5:$L$528,$T314),"unavailable"))</f>
        <v/>
      </c>
      <c r="G314" s="12">
        <f>IF($T314=0,"",IF($I314="Bloomberg",IF(AND(ISNUMBER(INDEX('Market Data'!$M$5:$M$528,$T314)),N(INDEX('Market Data'!$M$5:$M$528,$T314))&gt;0),INDEX('Market Data'!$M$5:$M$528,$T314),"date unavailable"),IF($I314="Snapshot",IF(AND(ISNUMBER(INDEX('Market Data'!$H$5:$H$528,$T314)),N(INDEX('Market Data'!$H$5:$H$528,$T314))&gt;0),INDEX('Market Data'!$H$5:$H$528,$T314),"date unavailable"),"date unavailable")))</f>
        <v/>
      </c>
      <c r="H314" s="9">
        <f>IF($T314=0,"",IF($I314="Bloomberg",IF(INDEX('Market Data'!$N$5:$N$528,$T314)="","time unavailable",INDEX('Market Data'!$N$5:$N$528,$T314)),""))</f>
        <v/>
      </c>
      <c r="I314" s="9">
        <f>IF($T314=0,"",INDEX('Market Data'!$P$5:$P$528,$T314))</f>
        <v/>
      </c>
      <c r="J314" s="13">
        <f>IF($T314=0,"",IF(INDEX('Market Data'!$E$5:$E$528,$T314)="","",INDEX('Market Data'!$E$5:$E$528,$T314)))</f>
        <v/>
      </c>
      <c r="K314" s="8">
        <f>IF($T314=0,"",IF(INDEX('Market Data'!$I$5:$I$528,$T314)="","",INDEX('Market Data'!$I$5:$I$528,$T314)))</f>
        <v/>
      </c>
      <c r="L314" s="10">
        <f>IF($T314=0,"",IF(INDEX('Market Data'!$J$5:$J$528,$T314)=0,"n/a",IF(AND($M$5&lt;&gt;"Snapshot",ISNUMBER(INDEX('Market Data'!$AH$5:$AH$66,INDEX('Market Data'!$J$5:$J$528,$T314)-4)),N(INDEX('Market Data'!$AH$5:$AH$66,INDEX('Market Data'!$J$5:$J$528,$T314)-4))&gt;0),INDEX('Market Data'!$AH$5:$AH$66,INDEX('Market Data'!$J$5:$J$528,$T314)-4),IF(AND($M$5&lt;&gt;"Bloomberg",ISNUMBER(INDEX('Market Data'!$AC$5:$AC$66,INDEX('Market Data'!$J$5:$J$528,$T314)-4)),N(INDEX('Market Data'!$AC$5:$AC$66,INDEX('Market Data'!$J$5:$J$528,$T314)-4))&gt;0),INDEX('Market Data'!$AC$5:$AC$66,INDEX('Market Data'!$J$5:$J$528,$T314)-4),"unavailable"))))</f>
        <v/>
      </c>
      <c r="M314" s="11">
        <f>IF($T314=0,"",IF(INDEX('Market Data'!$J$5:$J$528,$T314)=0,"n/a",IF(IF(INDEX('Market Data'!$J$5:$J$528,$T314)=0,0,IF(LEFT(INDEX('Market Data'!$AS$5:$AS$66,INDEX('Market Data'!$J$5:$J$528,$T314)-4),11)="First-month",1,0))=1,"class review",IF($I314="Bloomberg",IF(AND(ISNUMBER(INDEX('Market Data'!$AH$5:$AH$66,INDEX('Market Data'!$J$5:$J$528,$T314)-4)),N(INDEX('Market Data'!$AH$5:$AH$66,INDEX('Market Data'!$J$5:$J$528,$T314)-4))&gt;0,ISNUMBER('Market Data'!$B$1),N('Market Data'!$B$1)&gt;0),INDEX('Market Data'!$AH$5:$AH$66,INDEX('Market Data'!$J$5:$J$528,$T314)-4)*'Market Data'!$B$1/$E314-1,"pending A/FX"),IF(AND($I314="Snapshot",$Q314="Snapshot",ISNUMBER($E314),$G314=INDEX('Market Data'!$AE$5:$AE$66,INDEX('Market Data'!$J$5:$J$528,$T314)-4)),IFERROR(INDEX('Market Data'!$AC$5:$AC$66,INDEX('Market Data'!$J$5:$J$528,$T314)-4)*INDEX('Market Data'!$AD$5:$AD$66,INDEX('Market Data'!$J$5:$J$528,$T314)-4)/$E314-1,"unavailable"),IF($I314="Unavailable","unavailable","date mismatch"))))))</f>
        <v/>
      </c>
      <c r="N314" s="11">
        <f>IF($T314=0,"",IFERROR(IF(AND(N(INDEX('Market Data'!$F$5:$F$528,$T314))&gt;0,ISNUMBER(INDEX('Market Data'!$T$5:$T$528,$T314))),$E314*INDEX('Market Data'!$T$5:$T$528,$T314)/INDEX('Market Data'!$F$5:$F$528,$T314)-1,"unavailable"),"unavailable"))</f>
        <v/>
      </c>
      <c r="O314" s="9">
        <f>IF($T314=0,"",IF(IF(INDEX('Market Data'!$J$5:$J$528,$T314)=0,0,IF(LEFT(INDEX('Market Data'!$AS$5:$AS$66,INDEX('Market Data'!$J$5:$J$528,$T314)-4),11)="First-month",1,0))=1,"Class ratio review",IF($I314="Bloomberg",IF(ISNUMBER($G314),IF($G314&lt;TODAY(),"Older quote","See quote time"),"Date unavailable"),IF($I314="Snapshot",IF($G314&lt;DATEVALUE("2026-10-02"),"Older snapshot","Dated close"),"No valid quote"))))</f>
        <v/>
      </c>
      <c r="P314" s="14">
        <f>IF($T314=0,"",IF(INDEX('Market Data'!$J$5:$J$528,$T314)=0,"n/a",IF($Q314="Bloomberg",IF(AND(ISNUMBER(INDEX('Market Data'!$AK$5:$AK$66,INDEX('Market Data'!$J$5:$J$528,$T314)-4)),N(INDEX('Market Data'!$AK$5:$AK$66,INDEX('Market Data'!$J$5:$J$528,$T314)-4))&gt;0),INDEX('Market Data'!$AK$5:$AK$66,INDEX('Market Data'!$J$5:$J$528,$T314)-4),"date unavailable"),IF($Q314="Snapshot",IF(AND(ISNUMBER(INDEX('Market Data'!$AF$5:$AF$66,INDEX('Market Data'!$J$5:$J$528,$T314)-4)),N(INDEX('Market Data'!$AF$5:$AF$66,INDEX('Market Data'!$J$5:$J$528,$T314)-4))&gt;0),INDEX('Market Data'!$AF$5:$AF$66,INDEX('Market Data'!$J$5:$J$528,$T314)-4),"date unavailable"),"date unavailable"))))</f>
        <v/>
      </c>
      <c r="Q314" s="15">
        <f>IF($T314=0,"",IF(INDEX('Market Data'!$J$5:$J$528,$T314)=0,"n/a",IF(AND($M$5&lt;&gt;"Snapshot",ISNUMBER(INDEX('Market Data'!$AH$5:$AH$66,INDEX('Market Data'!$J$5:$J$528,$T314)-4)),N(INDEX('Market Data'!$AH$5:$AH$66,INDEX('Market Data'!$J$5:$J$528,$T314)-4))&gt;0),"Bloomberg",IF(AND($M$5&lt;&gt;"Bloomberg",ISNUMBER(INDEX('Market Data'!$AC$5:$AC$66,INDEX('Market Data'!$J$5:$J$528,$T314)-4)),N(INDEX('Market Data'!$AC$5:$AC$66,INDEX('Market Data'!$J$5:$J$528,$T314)-4))&gt;0),"Snapshot","Unavailable"))))</f>
        <v/>
      </c>
      <c r="T314">
        <f>IFERROR(MATCH(306,'Market Data'!$S$5:$S$528,0),0)</f>
        <v/>
      </c>
    </row>
    <row r="315" ht="34" customHeight="1">
      <c r="A315" s="8">
        <f>IF($T315=0,"",IF(INDEX('Market Data'!$A$5:$A$528,$T315)="","",INDEX('Market Data'!$A$5:$A$528,$T315)))</f>
        <v/>
      </c>
      <c r="B315" s="9">
        <f>IF($T315=0,"",IF(INDEX('Market Data'!$B$5:$B$528,$T315)="","",INDEX('Market Data'!$B$5:$B$528,$T315)))</f>
        <v/>
      </c>
      <c r="C315" s="9">
        <f>IF($T315=0,"",IF(INDEX('Market Data'!$C$5:$C$528,$T315)="","",INDEX('Market Data'!$C$5:$C$528,$T315)))</f>
        <v/>
      </c>
      <c r="D315" s="9">
        <f>IF($T315=0,"",IF(INDEX('Market Data'!$D$5:$D$528,$T315)="","",INDEX('Market Data'!$D$5:$D$528,$T315)))</f>
        <v/>
      </c>
      <c r="E315" s="10">
        <f>IF($T315=0,"",INDEX('Market Data'!$O$5:$O$528,$T315))</f>
        <v/>
      </c>
      <c r="F315" s="11">
        <f>IF($T315=0,"",IF(AND($I315="Bloomberg",ISNUMBER(INDEX('Market Data'!$L$5:$L$528,$T315))),INDEX('Market Data'!$L$5:$L$528,$T315),"unavailable"))</f>
        <v/>
      </c>
      <c r="G315" s="12">
        <f>IF($T315=0,"",IF($I315="Bloomberg",IF(AND(ISNUMBER(INDEX('Market Data'!$M$5:$M$528,$T315)),N(INDEX('Market Data'!$M$5:$M$528,$T315))&gt;0),INDEX('Market Data'!$M$5:$M$528,$T315),"date unavailable"),IF($I315="Snapshot",IF(AND(ISNUMBER(INDEX('Market Data'!$H$5:$H$528,$T315)),N(INDEX('Market Data'!$H$5:$H$528,$T315))&gt;0),INDEX('Market Data'!$H$5:$H$528,$T315),"date unavailable"),"date unavailable")))</f>
        <v/>
      </c>
      <c r="H315" s="9">
        <f>IF($T315=0,"",IF($I315="Bloomberg",IF(INDEX('Market Data'!$N$5:$N$528,$T315)="","time unavailable",INDEX('Market Data'!$N$5:$N$528,$T315)),""))</f>
        <v/>
      </c>
      <c r="I315" s="9">
        <f>IF($T315=0,"",INDEX('Market Data'!$P$5:$P$528,$T315))</f>
        <v/>
      </c>
      <c r="J315" s="13">
        <f>IF($T315=0,"",IF(INDEX('Market Data'!$E$5:$E$528,$T315)="","",INDEX('Market Data'!$E$5:$E$528,$T315)))</f>
        <v/>
      </c>
      <c r="K315" s="8">
        <f>IF($T315=0,"",IF(INDEX('Market Data'!$I$5:$I$528,$T315)="","",INDEX('Market Data'!$I$5:$I$528,$T315)))</f>
        <v/>
      </c>
      <c r="L315" s="10">
        <f>IF($T315=0,"",IF(INDEX('Market Data'!$J$5:$J$528,$T315)=0,"n/a",IF(AND($M$5&lt;&gt;"Snapshot",ISNUMBER(INDEX('Market Data'!$AH$5:$AH$66,INDEX('Market Data'!$J$5:$J$528,$T315)-4)),N(INDEX('Market Data'!$AH$5:$AH$66,INDEX('Market Data'!$J$5:$J$528,$T315)-4))&gt;0),INDEX('Market Data'!$AH$5:$AH$66,INDEX('Market Data'!$J$5:$J$528,$T315)-4),IF(AND($M$5&lt;&gt;"Bloomberg",ISNUMBER(INDEX('Market Data'!$AC$5:$AC$66,INDEX('Market Data'!$J$5:$J$528,$T315)-4)),N(INDEX('Market Data'!$AC$5:$AC$66,INDEX('Market Data'!$J$5:$J$528,$T315)-4))&gt;0),INDEX('Market Data'!$AC$5:$AC$66,INDEX('Market Data'!$J$5:$J$528,$T315)-4),"unavailable"))))</f>
        <v/>
      </c>
      <c r="M315" s="11">
        <f>IF($T315=0,"",IF(INDEX('Market Data'!$J$5:$J$528,$T315)=0,"n/a",IF(IF(INDEX('Market Data'!$J$5:$J$528,$T315)=0,0,IF(LEFT(INDEX('Market Data'!$AS$5:$AS$66,INDEX('Market Data'!$J$5:$J$528,$T315)-4),11)="First-month",1,0))=1,"class review",IF($I315="Bloomberg",IF(AND(ISNUMBER(INDEX('Market Data'!$AH$5:$AH$66,INDEX('Market Data'!$J$5:$J$528,$T315)-4)),N(INDEX('Market Data'!$AH$5:$AH$66,INDEX('Market Data'!$J$5:$J$528,$T315)-4))&gt;0,ISNUMBER('Market Data'!$B$1),N('Market Data'!$B$1)&gt;0),INDEX('Market Data'!$AH$5:$AH$66,INDEX('Market Data'!$J$5:$J$528,$T315)-4)*'Market Data'!$B$1/$E315-1,"pending A/FX"),IF(AND($I315="Snapshot",$Q315="Snapshot",ISNUMBER($E315),$G315=INDEX('Market Data'!$AE$5:$AE$66,INDEX('Market Data'!$J$5:$J$528,$T315)-4)),IFERROR(INDEX('Market Data'!$AC$5:$AC$66,INDEX('Market Data'!$J$5:$J$528,$T315)-4)*INDEX('Market Data'!$AD$5:$AD$66,INDEX('Market Data'!$J$5:$J$528,$T315)-4)/$E315-1,"unavailable"),IF($I315="Unavailable","unavailable","date mismatch"))))))</f>
        <v/>
      </c>
      <c r="N315" s="11">
        <f>IF($T315=0,"",IFERROR(IF(AND(N(INDEX('Market Data'!$F$5:$F$528,$T315))&gt;0,ISNUMBER(INDEX('Market Data'!$T$5:$T$528,$T315))),$E315*INDEX('Market Data'!$T$5:$T$528,$T315)/INDEX('Market Data'!$F$5:$F$528,$T315)-1,"unavailable"),"unavailable"))</f>
        <v/>
      </c>
      <c r="O315" s="9">
        <f>IF($T315=0,"",IF(IF(INDEX('Market Data'!$J$5:$J$528,$T315)=0,0,IF(LEFT(INDEX('Market Data'!$AS$5:$AS$66,INDEX('Market Data'!$J$5:$J$528,$T315)-4),11)="First-month",1,0))=1,"Class ratio review",IF($I315="Bloomberg",IF(ISNUMBER($G315),IF($G315&lt;TODAY(),"Older quote","See quote time"),"Date unavailable"),IF($I315="Snapshot",IF($G315&lt;DATEVALUE("2026-10-02"),"Older snapshot","Dated close"),"No valid quote"))))</f>
        <v/>
      </c>
      <c r="P315" s="14">
        <f>IF($T315=0,"",IF(INDEX('Market Data'!$J$5:$J$528,$T315)=0,"n/a",IF($Q315="Bloomberg",IF(AND(ISNUMBER(INDEX('Market Data'!$AK$5:$AK$66,INDEX('Market Data'!$J$5:$J$528,$T315)-4)),N(INDEX('Market Data'!$AK$5:$AK$66,INDEX('Market Data'!$J$5:$J$528,$T315)-4))&gt;0),INDEX('Market Data'!$AK$5:$AK$66,INDEX('Market Data'!$J$5:$J$528,$T315)-4),"date unavailable"),IF($Q315="Snapshot",IF(AND(ISNUMBER(INDEX('Market Data'!$AF$5:$AF$66,INDEX('Market Data'!$J$5:$J$528,$T315)-4)),N(INDEX('Market Data'!$AF$5:$AF$66,INDEX('Market Data'!$J$5:$J$528,$T315)-4))&gt;0),INDEX('Market Data'!$AF$5:$AF$66,INDEX('Market Data'!$J$5:$J$528,$T315)-4),"date unavailable"),"date unavailable"))))</f>
        <v/>
      </c>
      <c r="Q315" s="15">
        <f>IF($T315=0,"",IF(INDEX('Market Data'!$J$5:$J$528,$T315)=0,"n/a",IF(AND($M$5&lt;&gt;"Snapshot",ISNUMBER(INDEX('Market Data'!$AH$5:$AH$66,INDEX('Market Data'!$J$5:$J$528,$T315)-4)),N(INDEX('Market Data'!$AH$5:$AH$66,INDEX('Market Data'!$J$5:$J$528,$T315)-4))&gt;0),"Bloomberg",IF(AND($M$5&lt;&gt;"Bloomberg",ISNUMBER(INDEX('Market Data'!$AC$5:$AC$66,INDEX('Market Data'!$J$5:$J$528,$T315)-4)),N(INDEX('Market Data'!$AC$5:$AC$66,INDEX('Market Data'!$J$5:$J$528,$T315)-4))&gt;0),"Snapshot","Unavailable"))))</f>
        <v/>
      </c>
      <c r="T315">
        <f>IFERROR(MATCH(307,'Market Data'!$S$5:$S$528,0),0)</f>
        <v/>
      </c>
    </row>
    <row r="316" ht="34" customHeight="1">
      <c r="A316" s="8">
        <f>IF($T316=0,"",IF(INDEX('Market Data'!$A$5:$A$528,$T316)="","",INDEX('Market Data'!$A$5:$A$528,$T316)))</f>
        <v/>
      </c>
      <c r="B316" s="9">
        <f>IF($T316=0,"",IF(INDEX('Market Data'!$B$5:$B$528,$T316)="","",INDEX('Market Data'!$B$5:$B$528,$T316)))</f>
        <v/>
      </c>
      <c r="C316" s="9">
        <f>IF($T316=0,"",IF(INDEX('Market Data'!$C$5:$C$528,$T316)="","",INDEX('Market Data'!$C$5:$C$528,$T316)))</f>
        <v/>
      </c>
      <c r="D316" s="9">
        <f>IF($T316=0,"",IF(INDEX('Market Data'!$D$5:$D$528,$T316)="","",INDEX('Market Data'!$D$5:$D$528,$T316)))</f>
        <v/>
      </c>
      <c r="E316" s="10">
        <f>IF($T316=0,"",INDEX('Market Data'!$O$5:$O$528,$T316))</f>
        <v/>
      </c>
      <c r="F316" s="11">
        <f>IF($T316=0,"",IF(AND($I316="Bloomberg",ISNUMBER(INDEX('Market Data'!$L$5:$L$528,$T316))),INDEX('Market Data'!$L$5:$L$528,$T316),"unavailable"))</f>
        <v/>
      </c>
      <c r="G316" s="12">
        <f>IF($T316=0,"",IF($I316="Bloomberg",IF(AND(ISNUMBER(INDEX('Market Data'!$M$5:$M$528,$T316)),N(INDEX('Market Data'!$M$5:$M$528,$T316))&gt;0),INDEX('Market Data'!$M$5:$M$528,$T316),"date unavailable"),IF($I316="Snapshot",IF(AND(ISNUMBER(INDEX('Market Data'!$H$5:$H$528,$T316)),N(INDEX('Market Data'!$H$5:$H$528,$T316))&gt;0),INDEX('Market Data'!$H$5:$H$528,$T316),"date unavailable"),"date unavailable")))</f>
        <v/>
      </c>
      <c r="H316" s="9">
        <f>IF($T316=0,"",IF($I316="Bloomberg",IF(INDEX('Market Data'!$N$5:$N$528,$T316)="","time unavailable",INDEX('Market Data'!$N$5:$N$528,$T316)),""))</f>
        <v/>
      </c>
      <c r="I316" s="9">
        <f>IF($T316=0,"",INDEX('Market Data'!$P$5:$P$528,$T316))</f>
        <v/>
      </c>
      <c r="J316" s="13">
        <f>IF($T316=0,"",IF(INDEX('Market Data'!$E$5:$E$528,$T316)="","",INDEX('Market Data'!$E$5:$E$528,$T316)))</f>
        <v/>
      </c>
      <c r="K316" s="8">
        <f>IF($T316=0,"",IF(INDEX('Market Data'!$I$5:$I$528,$T316)="","",INDEX('Market Data'!$I$5:$I$528,$T316)))</f>
        <v/>
      </c>
      <c r="L316" s="10">
        <f>IF($T316=0,"",IF(INDEX('Market Data'!$J$5:$J$528,$T316)=0,"n/a",IF(AND($M$5&lt;&gt;"Snapshot",ISNUMBER(INDEX('Market Data'!$AH$5:$AH$66,INDEX('Market Data'!$J$5:$J$528,$T316)-4)),N(INDEX('Market Data'!$AH$5:$AH$66,INDEX('Market Data'!$J$5:$J$528,$T316)-4))&gt;0),INDEX('Market Data'!$AH$5:$AH$66,INDEX('Market Data'!$J$5:$J$528,$T316)-4),IF(AND($M$5&lt;&gt;"Bloomberg",ISNUMBER(INDEX('Market Data'!$AC$5:$AC$66,INDEX('Market Data'!$J$5:$J$528,$T316)-4)),N(INDEX('Market Data'!$AC$5:$AC$66,INDEX('Market Data'!$J$5:$J$528,$T316)-4))&gt;0),INDEX('Market Data'!$AC$5:$AC$66,INDEX('Market Data'!$J$5:$J$528,$T316)-4),"unavailable"))))</f>
        <v/>
      </c>
      <c r="M316" s="11">
        <f>IF($T316=0,"",IF(INDEX('Market Data'!$J$5:$J$528,$T316)=0,"n/a",IF(IF(INDEX('Market Data'!$J$5:$J$528,$T316)=0,0,IF(LEFT(INDEX('Market Data'!$AS$5:$AS$66,INDEX('Market Data'!$J$5:$J$528,$T316)-4),11)="First-month",1,0))=1,"class review",IF($I316="Bloomberg",IF(AND(ISNUMBER(INDEX('Market Data'!$AH$5:$AH$66,INDEX('Market Data'!$J$5:$J$528,$T316)-4)),N(INDEX('Market Data'!$AH$5:$AH$66,INDEX('Market Data'!$J$5:$J$528,$T316)-4))&gt;0,ISNUMBER('Market Data'!$B$1),N('Market Data'!$B$1)&gt;0),INDEX('Market Data'!$AH$5:$AH$66,INDEX('Market Data'!$J$5:$J$528,$T316)-4)*'Market Data'!$B$1/$E316-1,"pending A/FX"),IF(AND($I316="Snapshot",$Q316="Snapshot",ISNUMBER($E316),$G316=INDEX('Market Data'!$AE$5:$AE$66,INDEX('Market Data'!$J$5:$J$528,$T316)-4)),IFERROR(INDEX('Market Data'!$AC$5:$AC$66,INDEX('Market Data'!$J$5:$J$528,$T316)-4)*INDEX('Market Data'!$AD$5:$AD$66,INDEX('Market Data'!$J$5:$J$528,$T316)-4)/$E316-1,"unavailable"),IF($I316="Unavailable","unavailable","date mismatch"))))))</f>
        <v/>
      </c>
      <c r="N316" s="11">
        <f>IF($T316=0,"",IFERROR(IF(AND(N(INDEX('Market Data'!$F$5:$F$528,$T316))&gt;0,ISNUMBER(INDEX('Market Data'!$T$5:$T$528,$T316))),$E316*INDEX('Market Data'!$T$5:$T$528,$T316)/INDEX('Market Data'!$F$5:$F$528,$T316)-1,"unavailable"),"unavailable"))</f>
        <v/>
      </c>
      <c r="O316" s="9">
        <f>IF($T316=0,"",IF(IF(INDEX('Market Data'!$J$5:$J$528,$T316)=0,0,IF(LEFT(INDEX('Market Data'!$AS$5:$AS$66,INDEX('Market Data'!$J$5:$J$528,$T316)-4),11)="First-month",1,0))=1,"Class ratio review",IF($I316="Bloomberg",IF(ISNUMBER($G316),IF($G316&lt;TODAY(),"Older quote","See quote time"),"Date unavailable"),IF($I316="Snapshot",IF($G316&lt;DATEVALUE("2026-10-02"),"Older snapshot","Dated close"),"No valid quote"))))</f>
        <v/>
      </c>
      <c r="P316" s="14">
        <f>IF($T316=0,"",IF(INDEX('Market Data'!$J$5:$J$528,$T316)=0,"n/a",IF($Q316="Bloomberg",IF(AND(ISNUMBER(INDEX('Market Data'!$AK$5:$AK$66,INDEX('Market Data'!$J$5:$J$528,$T316)-4)),N(INDEX('Market Data'!$AK$5:$AK$66,INDEX('Market Data'!$J$5:$J$528,$T316)-4))&gt;0),INDEX('Market Data'!$AK$5:$AK$66,INDEX('Market Data'!$J$5:$J$528,$T316)-4),"date unavailable"),IF($Q316="Snapshot",IF(AND(ISNUMBER(INDEX('Market Data'!$AF$5:$AF$66,INDEX('Market Data'!$J$5:$J$528,$T316)-4)),N(INDEX('Market Data'!$AF$5:$AF$66,INDEX('Market Data'!$J$5:$J$528,$T316)-4))&gt;0),INDEX('Market Data'!$AF$5:$AF$66,INDEX('Market Data'!$J$5:$J$528,$T316)-4),"date unavailable"),"date unavailable"))))</f>
        <v/>
      </c>
      <c r="Q316" s="15">
        <f>IF($T316=0,"",IF(INDEX('Market Data'!$J$5:$J$528,$T316)=0,"n/a",IF(AND($M$5&lt;&gt;"Snapshot",ISNUMBER(INDEX('Market Data'!$AH$5:$AH$66,INDEX('Market Data'!$J$5:$J$528,$T316)-4)),N(INDEX('Market Data'!$AH$5:$AH$66,INDEX('Market Data'!$J$5:$J$528,$T316)-4))&gt;0),"Bloomberg",IF(AND($M$5&lt;&gt;"Bloomberg",ISNUMBER(INDEX('Market Data'!$AC$5:$AC$66,INDEX('Market Data'!$J$5:$J$528,$T316)-4)),N(INDEX('Market Data'!$AC$5:$AC$66,INDEX('Market Data'!$J$5:$J$528,$T316)-4))&gt;0),"Snapshot","Unavailable"))))</f>
        <v/>
      </c>
      <c r="T316">
        <f>IFERROR(MATCH(308,'Market Data'!$S$5:$S$528,0),0)</f>
        <v/>
      </c>
    </row>
    <row r="317" ht="34" customHeight="1">
      <c r="A317" s="8">
        <f>IF($T317=0,"",IF(INDEX('Market Data'!$A$5:$A$528,$T317)="","",INDEX('Market Data'!$A$5:$A$528,$T317)))</f>
        <v/>
      </c>
      <c r="B317" s="9">
        <f>IF($T317=0,"",IF(INDEX('Market Data'!$B$5:$B$528,$T317)="","",INDEX('Market Data'!$B$5:$B$528,$T317)))</f>
        <v/>
      </c>
      <c r="C317" s="9">
        <f>IF($T317=0,"",IF(INDEX('Market Data'!$C$5:$C$528,$T317)="","",INDEX('Market Data'!$C$5:$C$528,$T317)))</f>
        <v/>
      </c>
      <c r="D317" s="9">
        <f>IF($T317=0,"",IF(INDEX('Market Data'!$D$5:$D$528,$T317)="","",INDEX('Market Data'!$D$5:$D$528,$T317)))</f>
        <v/>
      </c>
      <c r="E317" s="10">
        <f>IF($T317=0,"",INDEX('Market Data'!$O$5:$O$528,$T317))</f>
        <v/>
      </c>
      <c r="F317" s="11">
        <f>IF($T317=0,"",IF(AND($I317="Bloomberg",ISNUMBER(INDEX('Market Data'!$L$5:$L$528,$T317))),INDEX('Market Data'!$L$5:$L$528,$T317),"unavailable"))</f>
        <v/>
      </c>
      <c r="G317" s="12">
        <f>IF($T317=0,"",IF($I317="Bloomberg",IF(AND(ISNUMBER(INDEX('Market Data'!$M$5:$M$528,$T317)),N(INDEX('Market Data'!$M$5:$M$528,$T317))&gt;0),INDEX('Market Data'!$M$5:$M$528,$T317),"date unavailable"),IF($I317="Snapshot",IF(AND(ISNUMBER(INDEX('Market Data'!$H$5:$H$528,$T317)),N(INDEX('Market Data'!$H$5:$H$528,$T317))&gt;0),INDEX('Market Data'!$H$5:$H$528,$T317),"date unavailable"),"date unavailable")))</f>
        <v/>
      </c>
      <c r="H317" s="9">
        <f>IF($T317=0,"",IF($I317="Bloomberg",IF(INDEX('Market Data'!$N$5:$N$528,$T317)="","time unavailable",INDEX('Market Data'!$N$5:$N$528,$T317)),""))</f>
        <v/>
      </c>
      <c r="I317" s="9">
        <f>IF($T317=0,"",INDEX('Market Data'!$P$5:$P$528,$T317))</f>
        <v/>
      </c>
      <c r="J317" s="13">
        <f>IF($T317=0,"",IF(INDEX('Market Data'!$E$5:$E$528,$T317)="","",INDEX('Market Data'!$E$5:$E$528,$T317)))</f>
        <v/>
      </c>
      <c r="K317" s="8">
        <f>IF($T317=0,"",IF(INDEX('Market Data'!$I$5:$I$528,$T317)="","",INDEX('Market Data'!$I$5:$I$528,$T317)))</f>
        <v/>
      </c>
      <c r="L317" s="10">
        <f>IF($T317=0,"",IF(INDEX('Market Data'!$J$5:$J$528,$T317)=0,"n/a",IF(AND($M$5&lt;&gt;"Snapshot",ISNUMBER(INDEX('Market Data'!$AH$5:$AH$66,INDEX('Market Data'!$J$5:$J$528,$T317)-4)),N(INDEX('Market Data'!$AH$5:$AH$66,INDEX('Market Data'!$J$5:$J$528,$T317)-4))&gt;0),INDEX('Market Data'!$AH$5:$AH$66,INDEX('Market Data'!$J$5:$J$528,$T317)-4),IF(AND($M$5&lt;&gt;"Bloomberg",ISNUMBER(INDEX('Market Data'!$AC$5:$AC$66,INDEX('Market Data'!$J$5:$J$528,$T317)-4)),N(INDEX('Market Data'!$AC$5:$AC$66,INDEX('Market Data'!$J$5:$J$528,$T317)-4))&gt;0),INDEX('Market Data'!$AC$5:$AC$66,INDEX('Market Data'!$J$5:$J$528,$T317)-4),"unavailable"))))</f>
        <v/>
      </c>
      <c r="M317" s="11">
        <f>IF($T317=0,"",IF(INDEX('Market Data'!$J$5:$J$528,$T317)=0,"n/a",IF(IF(INDEX('Market Data'!$J$5:$J$528,$T317)=0,0,IF(LEFT(INDEX('Market Data'!$AS$5:$AS$66,INDEX('Market Data'!$J$5:$J$528,$T317)-4),11)="First-month",1,0))=1,"class review",IF($I317="Bloomberg",IF(AND(ISNUMBER(INDEX('Market Data'!$AH$5:$AH$66,INDEX('Market Data'!$J$5:$J$528,$T317)-4)),N(INDEX('Market Data'!$AH$5:$AH$66,INDEX('Market Data'!$J$5:$J$528,$T317)-4))&gt;0,ISNUMBER('Market Data'!$B$1),N('Market Data'!$B$1)&gt;0),INDEX('Market Data'!$AH$5:$AH$66,INDEX('Market Data'!$J$5:$J$528,$T317)-4)*'Market Data'!$B$1/$E317-1,"pending A/FX"),IF(AND($I317="Snapshot",$Q317="Snapshot",ISNUMBER($E317),$G317=INDEX('Market Data'!$AE$5:$AE$66,INDEX('Market Data'!$J$5:$J$528,$T317)-4)),IFERROR(INDEX('Market Data'!$AC$5:$AC$66,INDEX('Market Data'!$J$5:$J$528,$T317)-4)*INDEX('Market Data'!$AD$5:$AD$66,INDEX('Market Data'!$J$5:$J$528,$T317)-4)/$E317-1,"unavailable"),IF($I317="Unavailable","unavailable","date mismatch"))))))</f>
        <v/>
      </c>
      <c r="N317" s="11">
        <f>IF($T317=0,"",IFERROR(IF(AND(N(INDEX('Market Data'!$F$5:$F$528,$T317))&gt;0,ISNUMBER(INDEX('Market Data'!$T$5:$T$528,$T317))),$E317*INDEX('Market Data'!$T$5:$T$528,$T317)/INDEX('Market Data'!$F$5:$F$528,$T317)-1,"unavailable"),"unavailable"))</f>
        <v/>
      </c>
      <c r="O317" s="9">
        <f>IF($T317=0,"",IF(IF(INDEX('Market Data'!$J$5:$J$528,$T317)=0,0,IF(LEFT(INDEX('Market Data'!$AS$5:$AS$66,INDEX('Market Data'!$J$5:$J$528,$T317)-4),11)="First-month",1,0))=1,"Class ratio review",IF($I317="Bloomberg",IF(ISNUMBER($G317),IF($G317&lt;TODAY(),"Older quote","See quote time"),"Date unavailable"),IF($I317="Snapshot",IF($G317&lt;DATEVALUE("2026-10-02"),"Older snapshot","Dated close"),"No valid quote"))))</f>
        <v/>
      </c>
      <c r="P317" s="14">
        <f>IF($T317=0,"",IF(INDEX('Market Data'!$J$5:$J$528,$T317)=0,"n/a",IF($Q317="Bloomberg",IF(AND(ISNUMBER(INDEX('Market Data'!$AK$5:$AK$66,INDEX('Market Data'!$J$5:$J$528,$T317)-4)),N(INDEX('Market Data'!$AK$5:$AK$66,INDEX('Market Data'!$J$5:$J$528,$T317)-4))&gt;0),INDEX('Market Data'!$AK$5:$AK$66,INDEX('Market Data'!$J$5:$J$528,$T317)-4),"date unavailable"),IF($Q317="Snapshot",IF(AND(ISNUMBER(INDEX('Market Data'!$AF$5:$AF$66,INDEX('Market Data'!$J$5:$J$528,$T317)-4)),N(INDEX('Market Data'!$AF$5:$AF$66,INDEX('Market Data'!$J$5:$J$528,$T317)-4))&gt;0),INDEX('Market Data'!$AF$5:$AF$66,INDEX('Market Data'!$J$5:$J$528,$T317)-4),"date unavailable"),"date unavailable"))))</f>
        <v/>
      </c>
      <c r="Q317" s="15">
        <f>IF($T317=0,"",IF(INDEX('Market Data'!$J$5:$J$528,$T317)=0,"n/a",IF(AND($M$5&lt;&gt;"Snapshot",ISNUMBER(INDEX('Market Data'!$AH$5:$AH$66,INDEX('Market Data'!$J$5:$J$528,$T317)-4)),N(INDEX('Market Data'!$AH$5:$AH$66,INDEX('Market Data'!$J$5:$J$528,$T317)-4))&gt;0),"Bloomberg",IF(AND($M$5&lt;&gt;"Bloomberg",ISNUMBER(INDEX('Market Data'!$AC$5:$AC$66,INDEX('Market Data'!$J$5:$J$528,$T317)-4)),N(INDEX('Market Data'!$AC$5:$AC$66,INDEX('Market Data'!$J$5:$J$528,$T317)-4))&gt;0),"Snapshot","Unavailable"))))</f>
        <v/>
      </c>
      <c r="T317">
        <f>IFERROR(MATCH(309,'Market Data'!$S$5:$S$528,0),0)</f>
        <v/>
      </c>
    </row>
    <row r="318" ht="34" customHeight="1">
      <c r="A318" s="8">
        <f>IF($T318=0,"",IF(INDEX('Market Data'!$A$5:$A$528,$T318)="","",INDEX('Market Data'!$A$5:$A$528,$T318)))</f>
        <v/>
      </c>
      <c r="B318" s="9">
        <f>IF($T318=0,"",IF(INDEX('Market Data'!$B$5:$B$528,$T318)="","",INDEX('Market Data'!$B$5:$B$528,$T318)))</f>
        <v/>
      </c>
      <c r="C318" s="9">
        <f>IF($T318=0,"",IF(INDEX('Market Data'!$C$5:$C$528,$T318)="","",INDEX('Market Data'!$C$5:$C$528,$T318)))</f>
        <v/>
      </c>
      <c r="D318" s="9">
        <f>IF($T318=0,"",IF(INDEX('Market Data'!$D$5:$D$528,$T318)="","",INDEX('Market Data'!$D$5:$D$528,$T318)))</f>
        <v/>
      </c>
      <c r="E318" s="10">
        <f>IF($T318=0,"",INDEX('Market Data'!$O$5:$O$528,$T318))</f>
        <v/>
      </c>
      <c r="F318" s="11">
        <f>IF($T318=0,"",IF(AND($I318="Bloomberg",ISNUMBER(INDEX('Market Data'!$L$5:$L$528,$T318))),INDEX('Market Data'!$L$5:$L$528,$T318),"unavailable"))</f>
        <v/>
      </c>
      <c r="G318" s="12">
        <f>IF($T318=0,"",IF($I318="Bloomberg",IF(AND(ISNUMBER(INDEX('Market Data'!$M$5:$M$528,$T318)),N(INDEX('Market Data'!$M$5:$M$528,$T318))&gt;0),INDEX('Market Data'!$M$5:$M$528,$T318),"date unavailable"),IF($I318="Snapshot",IF(AND(ISNUMBER(INDEX('Market Data'!$H$5:$H$528,$T318)),N(INDEX('Market Data'!$H$5:$H$528,$T318))&gt;0),INDEX('Market Data'!$H$5:$H$528,$T318),"date unavailable"),"date unavailable")))</f>
        <v/>
      </c>
      <c r="H318" s="9">
        <f>IF($T318=0,"",IF($I318="Bloomberg",IF(INDEX('Market Data'!$N$5:$N$528,$T318)="","time unavailable",INDEX('Market Data'!$N$5:$N$528,$T318)),""))</f>
        <v/>
      </c>
      <c r="I318" s="9">
        <f>IF($T318=0,"",INDEX('Market Data'!$P$5:$P$528,$T318))</f>
        <v/>
      </c>
      <c r="J318" s="13">
        <f>IF($T318=0,"",IF(INDEX('Market Data'!$E$5:$E$528,$T318)="","",INDEX('Market Data'!$E$5:$E$528,$T318)))</f>
        <v/>
      </c>
      <c r="K318" s="8">
        <f>IF($T318=0,"",IF(INDEX('Market Data'!$I$5:$I$528,$T318)="","",INDEX('Market Data'!$I$5:$I$528,$T318)))</f>
        <v/>
      </c>
      <c r="L318" s="10">
        <f>IF($T318=0,"",IF(INDEX('Market Data'!$J$5:$J$528,$T318)=0,"n/a",IF(AND($M$5&lt;&gt;"Snapshot",ISNUMBER(INDEX('Market Data'!$AH$5:$AH$66,INDEX('Market Data'!$J$5:$J$528,$T318)-4)),N(INDEX('Market Data'!$AH$5:$AH$66,INDEX('Market Data'!$J$5:$J$528,$T318)-4))&gt;0),INDEX('Market Data'!$AH$5:$AH$66,INDEX('Market Data'!$J$5:$J$528,$T318)-4),IF(AND($M$5&lt;&gt;"Bloomberg",ISNUMBER(INDEX('Market Data'!$AC$5:$AC$66,INDEX('Market Data'!$J$5:$J$528,$T318)-4)),N(INDEX('Market Data'!$AC$5:$AC$66,INDEX('Market Data'!$J$5:$J$528,$T318)-4))&gt;0),INDEX('Market Data'!$AC$5:$AC$66,INDEX('Market Data'!$J$5:$J$528,$T318)-4),"unavailable"))))</f>
        <v/>
      </c>
      <c r="M318" s="11">
        <f>IF($T318=0,"",IF(INDEX('Market Data'!$J$5:$J$528,$T318)=0,"n/a",IF(IF(INDEX('Market Data'!$J$5:$J$528,$T318)=0,0,IF(LEFT(INDEX('Market Data'!$AS$5:$AS$66,INDEX('Market Data'!$J$5:$J$528,$T318)-4),11)="First-month",1,0))=1,"class review",IF($I318="Bloomberg",IF(AND(ISNUMBER(INDEX('Market Data'!$AH$5:$AH$66,INDEX('Market Data'!$J$5:$J$528,$T318)-4)),N(INDEX('Market Data'!$AH$5:$AH$66,INDEX('Market Data'!$J$5:$J$528,$T318)-4))&gt;0,ISNUMBER('Market Data'!$B$1),N('Market Data'!$B$1)&gt;0),INDEX('Market Data'!$AH$5:$AH$66,INDEX('Market Data'!$J$5:$J$528,$T318)-4)*'Market Data'!$B$1/$E318-1,"pending A/FX"),IF(AND($I318="Snapshot",$Q318="Snapshot",ISNUMBER($E318),$G318=INDEX('Market Data'!$AE$5:$AE$66,INDEX('Market Data'!$J$5:$J$528,$T318)-4)),IFERROR(INDEX('Market Data'!$AC$5:$AC$66,INDEX('Market Data'!$J$5:$J$528,$T318)-4)*INDEX('Market Data'!$AD$5:$AD$66,INDEX('Market Data'!$J$5:$J$528,$T318)-4)/$E318-1,"unavailable"),IF($I318="Unavailable","unavailable","date mismatch"))))))</f>
        <v/>
      </c>
      <c r="N318" s="11">
        <f>IF($T318=0,"",IFERROR(IF(AND(N(INDEX('Market Data'!$F$5:$F$528,$T318))&gt;0,ISNUMBER(INDEX('Market Data'!$T$5:$T$528,$T318))),$E318*INDEX('Market Data'!$T$5:$T$528,$T318)/INDEX('Market Data'!$F$5:$F$528,$T318)-1,"unavailable"),"unavailable"))</f>
        <v/>
      </c>
      <c r="O318" s="9">
        <f>IF($T318=0,"",IF(IF(INDEX('Market Data'!$J$5:$J$528,$T318)=0,0,IF(LEFT(INDEX('Market Data'!$AS$5:$AS$66,INDEX('Market Data'!$J$5:$J$528,$T318)-4),11)="First-month",1,0))=1,"Class ratio review",IF($I318="Bloomberg",IF(ISNUMBER($G318),IF($G318&lt;TODAY(),"Older quote","See quote time"),"Date unavailable"),IF($I318="Snapshot",IF($G318&lt;DATEVALUE("2026-10-02"),"Older snapshot","Dated close"),"No valid quote"))))</f>
        <v/>
      </c>
      <c r="P318" s="14">
        <f>IF($T318=0,"",IF(INDEX('Market Data'!$J$5:$J$528,$T318)=0,"n/a",IF($Q318="Bloomberg",IF(AND(ISNUMBER(INDEX('Market Data'!$AK$5:$AK$66,INDEX('Market Data'!$J$5:$J$528,$T318)-4)),N(INDEX('Market Data'!$AK$5:$AK$66,INDEX('Market Data'!$J$5:$J$528,$T318)-4))&gt;0),INDEX('Market Data'!$AK$5:$AK$66,INDEX('Market Data'!$J$5:$J$528,$T318)-4),"date unavailable"),IF($Q318="Snapshot",IF(AND(ISNUMBER(INDEX('Market Data'!$AF$5:$AF$66,INDEX('Market Data'!$J$5:$J$528,$T318)-4)),N(INDEX('Market Data'!$AF$5:$AF$66,INDEX('Market Data'!$J$5:$J$528,$T318)-4))&gt;0),INDEX('Market Data'!$AF$5:$AF$66,INDEX('Market Data'!$J$5:$J$528,$T318)-4),"date unavailable"),"date unavailable"))))</f>
        <v/>
      </c>
      <c r="Q318" s="15">
        <f>IF($T318=0,"",IF(INDEX('Market Data'!$J$5:$J$528,$T318)=0,"n/a",IF(AND($M$5&lt;&gt;"Snapshot",ISNUMBER(INDEX('Market Data'!$AH$5:$AH$66,INDEX('Market Data'!$J$5:$J$528,$T318)-4)),N(INDEX('Market Data'!$AH$5:$AH$66,INDEX('Market Data'!$J$5:$J$528,$T318)-4))&gt;0),"Bloomberg",IF(AND($M$5&lt;&gt;"Bloomberg",ISNUMBER(INDEX('Market Data'!$AC$5:$AC$66,INDEX('Market Data'!$J$5:$J$528,$T318)-4)),N(INDEX('Market Data'!$AC$5:$AC$66,INDEX('Market Data'!$J$5:$J$528,$T318)-4))&gt;0),"Snapshot","Unavailable"))))</f>
        <v/>
      </c>
      <c r="T318">
        <f>IFERROR(MATCH(310,'Market Data'!$S$5:$S$528,0),0)</f>
        <v/>
      </c>
    </row>
    <row r="319" ht="34" customHeight="1">
      <c r="A319" s="8">
        <f>IF($T319=0,"",IF(INDEX('Market Data'!$A$5:$A$528,$T319)="","",INDEX('Market Data'!$A$5:$A$528,$T319)))</f>
        <v/>
      </c>
      <c r="B319" s="9">
        <f>IF($T319=0,"",IF(INDEX('Market Data'!$B$5:$B$528,$T319)="","",INDEX('Market Data'!$B$5:$B$528,$T319)))</f>
        <v/>
      </c>
      <c r="C319" s="9">
        <f>IF($T319=0,"",IF(INDEX('Market Data'!$C$5:$C$528,$T319)="","",INDEX('Market Data'!$C$5:$C$528,$T319)))</f>
        <v/>
      </c>
      <c r="D319" s="9">
        <f>IF($T319=0,"",IF(INDEX('Market Data'!$D$5:$D$528,$T319)="","",INDEX('Market Data'!$D$5:$D$528,$T319)))</f>
        <v/>
      </c>
      <c r="E319" s="10">
        <f>IF($T319=0,"",INDEX('Market Data'!$O$5:$O$528,$T319))</f>
        <v/>
      </c>
      <c r="F319" s="11">
        <f>IF($T319=0,"",IF(AND($I319="Bloomberg",ISNUMBER(INDEX('Market Data'!$L$5:$L$528,$T319))),INDEX('Market Data'!$L$5:$L$528,$T319),"unavailable"))</f>
        <v/>
      </c>
      <c r="G319" s="12">
        <f>IF($T319=0,"",IF($I319="Bloomberg",IF(AND(ISNUMBER(INDEX('Market Data'!$M$5:$M$528,$T319)),N(INDEX('Market Data'!$M$5:$M$528,$T319))&gt;0),INDEX('Market Data'!$M$5:$M$528,$T319),"date unavailable"),IF($I319="Snapshot",IF(AND(ISNUMBER(INDEX('Market Data'!$H$5:$H$528,$T319)),N(INDEX('Market Data'!$H$5:$H$528,$T319))&gt;0),INDEX('Market Data'!$H$5:$H$528,$T319),"date unavailable"),"date unavailable")))</f>
        <v/>
      </c>
      <c r="H319" s="9">
        <f>IF($T319=0,"",IF($I319="Bloomberg",IF(INDEX('Market Data'!$N$5:$N$528,$T319)="","time unavailable",INDEX('Market Data'!$N$5:$N$528,$T319)),""))</f>
        <v/>
      </c>
      <c r="I319" s="9">
        <f>IF($T319=0,"",INDEX('Market Data'!$P$5:$P$528,$T319))</f>
        <v/>
      </c>
      <c r="J319" s="13">
        <f>IF($T319=0,"",IF(INDEX('Market Data'!$E$5:$E$528,$T319)="","",INDEX('Market Data'!$E$5:$E$528,$T319)))</f>
        <v/>
      </c>
      <c r="K319" s="8">
        <f>IF($T319=0,"",IF(INDEX('Market Data'!$I$5:$I$528,$T319)="","",INDEX('Market Data'!$I$5:$I$528,$T319)))</f>
        <v/>
      </c>
      <c r="L319" s="10">
        <f>IF($T319=0,"",IF(INDEX('Market Data'!$J$5:$J$528,$T319)=0,"n/a",IF(AND($M$5&lt;&gt;"Snapshot",ISNUMBER(INDEX('Market Data'!$AH$5:$AH$66,INDEX('Market Data'!$J$5:$J$528,$T319)-4)),N(INDEX('Market Data'!$AH$5:$AH$66,INDEX('Market Data'!$J$5:$J$528,$T319)-4))&gt;0),INDEX('Market Data'!$AH$5:$AH$66,INDEX('Market Data'!$J$5:$J$528,$T319)-4),IF(AND($M$5&lt;&gt;"Bloomberg",ISNUMBER(INDEX('Market Data'!$AC$5:$AC$66,INDEX('Market Data'!$J$5:$J$528,$T319)-4)),N(INDEX('Market Data'!$AC$5:$AC$66,INDEX('Market Data'!$J$5:$J$528,$T319)-4))&gt;0),INDEX('Market Data'!$AC$5:$AC$66,INDEX('Market Data'!$J$5:$J$528,$T319)-4),"unavailable"))))</f>
        <v/>
      </c>
      <c r="M319" s="11">
        <f>IF($T319=0,"",IF(INDEX('Market Data'!$J$5:$J$528,$T319)=0,"n/a",IF(IF(INDEX('Market Data'!$J$5:$J$528,$T319)=0,0,IF(LEFT(INDEX('Market Data'!$AS$5:$AS$66,INDEX('Market Data'!$J$5:$J$528,$T319)-4),11)="First-month",1,0))=1,"class review",IF($I319="Bloomberg",IF(AND(ISNUMBER(INDEX('Market Data'!$AH$5:$AH$66,INDEX('Market Data'!$J$5:$J$528,$T319)-4)),N(INDEX('Market Data'!$AH$5:$AH$66,INDEX('Market Data'!$J$5:$J$528,$T319)-4))&gt;0,ISNUMBER('Market Data'!$B$1),N('Market Data'!$B$1)&gt;0),INDEX('Market Data'!$AH$5:$AH$66,INDEX('Market Data'!$J$5:$J$528,$T319)-4)*'Market Data'!$B$1/$E319-1,"pending A/FX"),IF(AND($I319="Snapshot",$Q319="Snapshot",ISNUMBER($E319),$G319=INDEX('Market Data'!$AE$5:$AE$66,INDEX('Market Data'!$J$5:$J$528,$T319)-4)),IFERROR(INDEX('Market Data'!$AC$5:$AC$66,INDEX('Market Data'!$J$5:$J$528,$T319)-4)*INDEX('Market Data'!$AD$5:$AD$66,INDEX('Market Data'!$J$5:$J$528,$T319)-4)/$E319-1,"unavailable"),IF($I319="Unavailable","unavailable","date mismatch"))))))</f>
        <v/>
      </c>
      <c r="N319" s="11">
        <f>IF($T319=0,"",IFERROR(IF(AND(N(INDEX('Market Data'!$F$5:$F$528,$T319))&gt;0,ISNUMBER(INDEX('Market Data'!$T$5:$T$528,$T319))),$E319*INDEX('Market Data'!$T$5:$T$528,$T319)/INDEX('Market Data'!$F$5:$F$528,$T319)-1,"unavailable"),"unavailable"))</f>
        <v/>
      </c>
      <c r="O319" s="9">
        <f>IF($T319=0,"",IF(IF(INDEX('Market Data'!$J$5:$J$528,$T319)=0,0,IF(LEFT(INDEX('Market Data'!$AS$5:$AS$66,INDEX('Market Data'!$J$5:$J$528,$T319)-4),11)="First-month",1,0))=1,"Class ratio review",IF($I319="Bloomberg",IF(ISNUMBER($G319),IF($G319&lt;TODAY(),"Older quote","See quote time"),"Date unavailable"),IF($I319="Snapshot",IF($G319&lt;DATEVALUE("2026-10-02"),"Older snapshot","Dated close"),"No valid quote"))))</f>
        <v/>
      </c>
      <c r="P319" s="14">
        <f>IF($T319=0,"",IF(INDEX('Market Data'!$J$5:$J$528,$T319)=0,"n/a",IF($Q319="Bloomberg",IF(AND(ISNUMBER(INDEX('Market Data'!$AK$5:$AK$66,INDEX('Market Data'!$J$5:$J$528,$T319)-4)),N(INDEX('Market Data'!$AK$5:$AK$66,INDEX('Market Data'!$J$5:$J$528,$T319)-4))&gt;0),INDEX('Market Data'!$AK$5:$AK$66,INDEX('Market Data'!$J$5:$J$528,$T319)-4),"date unavailable"),IF($Q319="Snapshot",IF(AND(ISNUMBER(INDEX('Market Data'!$AF$5:$AF$66,INDEX('Market Data'!$J$5:$J$528,$T319)-4)),N(INDEX('Market Data'!$AF$5:$AF$66,INDEX('Market Data'!$J$5:$J$528,$T319)-4))&gt;0),INDEX('Market Data'!$AF$5:$AF$66,INDEX('Market Data'!$J$5:$J$528,$T319)-4),"date unavailable"),"date unavailable"))))</f>
        <v/>
      </c>
      <c r="Q319" s="15">
        <f>IF($T319=0,"",IF(INDEX('Market Data'!$J$5:$J$528,$T319)=0,"n/a",IF(AND($M$5&lt;&gt;"Snapshot",ISNUMBER(INDEX('Market Data'!$AH$5:$AH$66,INDEX('Market Data'!$J$5:$J$528,$T319)-4)),N(INDEX('Market Data'!$AH$5:$AH$66,INDEX('Market Data'!$J$5:$J$528,$T319)-4))&gt;0),"Bloomberg",IF(AND($M$5&lt;&gt;"Bloomberg",ISNUMBER(INDEX('Market Data'!$AC$5:$AC$66,INDEX('Market Data'!$J$5:$J$528,$T319)-4)),N(INDEX('Market Data'!$AC$5:$AC$66,INDEX('Market Data'!$J$5:$J$528,$T319)-4))&gt;0),"Snapshot","Unavailable"))))</f>
        <v/>
      </c>
      <c r="T319">
        <f>IFERROR(MATCH(311,'Market Data'!$S$5:$S$528,0),0)</f>
        <v/>
      </c>
    </row>
    <row r="320" ht="34" customHeight="1">
      <c r="A320" s="8">
        <f>IF($T320=0,"",IF(INDEX('Market Data'!$A$5:$A$528,$T320)="","",INDEX('Market Data'!$A$5:$A$528,$T320)))</f>
        <v/>
      </c>
      <c r="B320" s="9">
        <f>IF($T320=0,"",IF(INDEX('Market Data'!$B$5:$B$528,$T320)="","",INDEX('Market Data'!$B$5:$B$528,$T320)))</f>
        <v/>
      </c>
      <c r="C320" s="9">
        <f>IF($T320=0,"",IF(INDEX('Market Data'!$C$5:$C$528,$T320)="","",INDEX('Market Data'!$C$5:$C$528,$T320)))</f>
        <v/>
      </c>
      <c r="D320" s="9">
        <f>IF($T320=0,"",IF(INDEX('Market Data'!$D$5:$D$528,$T320)="","",INDEX('Market Data'!$D$5:$D$528,$T320)))</f>
        <v/>
      </c>
      <c r="E320" s="10">
        <f>IF($T320=0,"",INDEX('Market Data'!$O$5:$O$528,$T320))</f>
        <v/>
      </c>
      <c r="F320" s="11">
        <f>IF($T320=0,"",IF(AND($I320="Bloomberg",ISNUMBER(INDEX('Market Data'!$L$5:$L$528,$T320))),INDEX('Market Data'!$L$5:$L$528,$T320),"unavailable"))</f>
        <v/>
      </c>
      <c r="G320" s="12">
        <f>IF($T320=0,"",IF($I320="Bloomberg",IF(AND(ISNUMBER(INDEX('Market Data'!$M$5:$M$528,$T320)),N(INDEX('Market Data'!$M$5:$M$528,$T320))&gt;0),INDEX('Market Data'!$M$5:$M$528,$T320),"date unavailable"),IF($I320="Snapshot",IF(AND(ISNUMBER(INDEX('Market Data'!$H$5:$H$528,$T320)),N(INDEX('Market Data'!$H$5:$H$528,$T320))&gt;0),INDEX('Market Data'!$H$5:$H$528,$T320),"date unavailable"),"date unavailable")))</f>
        <v/>
      </c>
      <c r="H320" s="9">
        <f>IF($T320=0,"",IF($I320="Bloomberg",IF(INDEX('Market Data'!$N$5:$N$528,$T320)="","time unavailable",INDEX('Market Data'!$N$5:$N$528,$T320)),""))</f>
        <v/>
      </c>
      <c r="I320" s="9">
        <f>IF($T320=0,"",INDEX('Market Data'!$P$5:$P$528,$T320))</f>
        <v/>
      </c>
      <c r="J320" s="13">
        <f>IF($T320=0,"",IF(INDEX('Market Data'!$E$5:$E$528,$T320)="","",INDEX('Market Data'!$E$5:$E$528,$T320)))</f>
        <v/>
      </c>
      <c r="K320" s="8">
        <f>IF($T320=0,"",IF(INDEX('Market Data'!$I$5:$I$528,$T320)="","",INDEX('Market Data'!$I$5:$I$528,$T320)))</f>
        <v/>
      </c>
      <c r="L320" s="10">
        <f>IF($T320=0,"",IF(INDEX('Market Data'!$J$5:$J$528,$T320)=0,"n/a",IF(AND($M$5&lt;&gt;"Snapshot",ISNUMBER(INDEX('Market Data'!$AH$5:$AH$66,INDEX('Market Data'!$J$5:$J$528,$T320)-4)),N(INDEX('Market Data'!$AH$5:$AH$66,INDEX('Market Data'!$J$5:$J$528,$T320)-4))&gt;0),INDEX('Market Data'!$AH$5:$AH$66,INDEX('Market Data'!$J$5:$J$528,$T320)-4),IF(AND($M$5&lt;&gt;"Bloomberg",ISNUMBER(INDEX('Market Data'!$AC$5:$AC$66,INDEX('Market Data'!$J$5:$J$528,$T320)-4)),N(INDEX('Market Data'!$AC$5:$AC$66,INDEX('Market Data'!$J$5:$J$528,$T320)-4))&gt;0),INDEX('Market Data'!$AC$5:$AC$66,INDEX('Market Data'!$J$5:$J$528,$T320)-4),"unavailable"))))</f>
        <v/>
      </c>
      <c r="M320" s="11">
        <f>IF($T320=0,"",IF(INDEX('Market Data'!$J$5:$J$528,$T320)=0,"n/a",IF(IF(INDEX('Market Data'!$J$5:$J$528,$T320)=0,0,IF(LEFT(INDEX('Market Data'!$AS$5:$AS$66,INDEX('Market Data'!$J$5:$J$528,$T320)-4),11)="First-month",1,0))=1,"class review",IF($I320="Bloomberg",IF(AND(ISNUMBER(INDEX('Market Data'!$AH$5:$AH$66,INDEX('Market Data'!$J$5:$J$528,$T320)-4)),N(INDEX('Market Data'!$AH$5:$AH$66,INDEX('Market Data'!$J$5:$J$528,$T320)-4))&gt;0,ISNUMBER('Market Data'!$B$1),N('Market Data'!$B$1)&gt;0),INDEX('Market Data'!$AH$5:$AH$66,INDEX('Market Data'!$J$5:$J$528,$T320)-4)*'Market Data'!$B$1/$E320-1,"pending A/FX"),IF(AND($I320="Snapshot",$Q320="Snapshot",ISNUMBER($E320),$G320=INDEX('Market Data'!$AE$5:$AE$66,INDEX('Market Data'!$J$5:$J$528,$T320)-4)),IFERROR(INDEX('Market Data'!$AC$5:$AC$66,INDEX('Market Data'!$J$5:$J$528,$T320)-4)*INDEX('Market Data'!$AD$5:$AD$66,INDEX('Market Data'!$J$5:$J$528,$T320)-4)/$E320-1,"unavailable"),IF($I320="Unavailable","unavailable","date mismatch"))))))</f>
        <v/>
      </c>
      <c r="N320" s="11">
        <f>IF($T320=0,"",IFERROR(IF(AND(N(INDEX('Market Data'!$F$5:$F$528,$T320))&gt;0,ISNUMBER(INDEX('Market Data'!$T$5:$T$528,$T320))),$E320*INDEX('Market Data'!$T$5:$T$528,$T320)/INDEX('Market Data'!$F$5:$F$528,$T320)-1,"unavailable"),"unavailable"))</f>
        <v/>
      </c>
      <c r="O320" s="9">
        <f>IF($T320=0,"",IF(IF(INDEX('Market Data'!$J$5:$J$528,$T320)=0,0,IF(LEFT(INDEX('Market Data'!$AS$5:$AS$66,INDEX('Market Data'!$J$5:$J$528,$T320)-4),11)="First-month",1,0))=1,"Class ratio review",IF($I320="Bloomberg",IF(ISNUMBER($G320),IF($G320&lt;TODAY(),"Older quote","See quote time"),"Date unavailable"),IF($I320="Snapshot",IF($G320&lt;DATEVALUE("2026-10-02"),"Older snapshot","Dated close"),"No valid quote"))))</f>
        <v/>
      </c>
      <c r="P320" s="14">
        <f>IF($T320=0,"",IF(INDEX('Market Data'!$J$5:$J$528,$T320)=0,"n/a",IF($Q320="Bloomberg",IF(AND(ISNUMBER(INDEX('Market Data'!$AK$5:$AK$66,INDEX('Market Data'!$J$5:$J$528,$T320)-4)),N(INDEX('Market Data'!$AK$5:$AK$66,INDEX('Market Data'!$J$5:$J$528,$T320)-4))&gt;0),INDEX('Market Data'!$AK$5:$AK$66,INDEX('Market Data'!$J$5:$J$528,$T320)-4),"date unavailable"),IF($Q320="Snapshot",IF(AND(ISNUMBER(INDEX('Market Data'!$AF$5:$AF$66,INDEX('Market Data'!$J$5:$J$528,$T320)-4)),N(INDEX('Market Data'!$AF$5:$AF$66,INDEX('Market Data'!$J$5:$J$528,$T320)-4))&gt;0),INDEX('Market Data'!$AF$5:$AF$66,INDEX('Market Data'!$J$5:$J$528,$T320)-4),"date unavailable"),"date unavailable"))))</f>
        <v/>
      </c>
      <c r="Q320" s="15">
        <f>IF($T320=0,"",IF(INDEX('Market Data'!$J$5:$J$528,$T320)=0,"n/a",IF(AND($M$5&lt;&gt;"Snapshot",ISNUMBER(INDEX('Market Data'!$AH$5:$AH$66,INDEX('Market Data'!$J$5:$J$528,$T320)-4)),N(INDEX('Market Data'!$AH$5:$AH$66,INDEX('Market Data'!$J$5:$J$528,$T320)-4))&gt;0),"Bloomberg",IF(AND($M$5&lt;&gt;"Bloomberg",ISNUMBER(INDEX('Market Data'!$AC$5:$AC$66,INDEX('Market Data'!$J$5:$J$528,$T320)-4)),N(INDEX('Market Data'!$AC$5:$AC$66,INDEX('Market Data'!$J$5:$J$528,$T320)-4))&gt;0),"Snapshot","Unavailable"))))</f>
        <v/>
      </c>
      <c r="T320">
        <f>IFERROR(MATCH(312,'Market Data'!$S$5:$S$528,0),0)</f>
        <v/>
      </c>
    </row>
    <row r="321" ht="34" customHeight="1">
      <c r="A321" s="8">
        <f>IF($T321=0,"",IF(INDEX('Market Data'!$A$5:$A$528,$T321)="","",INDEX('Market Data'!$A$5:$A$528,$T321)))</f>
        <v/>
      </c>
      <c r="B321" s="9">
        <f>IF($T321=0,"",IF(INDEX('Market Data'!$B$5:$B$528,$T321)="","",INDEX('Market Data'!$B$5:$B$528,$T321)))</f>
        <v/>
      </c>
      <c r="C321" s="9">
        <f>IF($T321=0,"",IF(INDEX('Market Data'!$C$5:$C$528,$T321)="","",INDEX('Market Data'!$C$5:$C$528,$T321)))</f>
        <v/>
      </c>
      <c r="D321" s="9">
        <f>IF($T321=0,"",IF(INDEX('Market Data'!$D$5:$D$528,$T321)="","",INDEX('Market Data'!$D$5:$D$528,$T321)))</f>
        <v/>
      </c>
      <c r="E321" s="10">
        <f>IF($T321=0,"",INDEX('Market Data'!$O$5:$O$528,$T321))</f>
        <v/>
      </c>
      <c r="F321" s="11">
        <f>IF($T321=0,"",IF(AND($I321="Bloomberg",ISNUMBER(INDEX('Market Data'!$L$5:$L$528,$T321))),INDEX('Market Data'!$L$5:$L$528,$T321),"unavailable"))</f>
        <v/>
      </c>
      <c r="G321" s="12">
        <f>IF($T321=0,"",IF($I321="Bloomberg",IF(AND(ISNUMBER(INDEX('Market Data'!$M$5:$M$528,$T321)),N(INDEX('Market Data'!$M$5:$M$528,$T321))&gt;0),INDEX('Market Data'!$M$5:$M$528,$T321),"date unavailable"),IF($I321="Snapshot",IF(AND(ISNUMBER(INDEX('Market Data'!$H$5:$H$528,$T321)),N(INDEX('Market Data'!$H$5:$H$528,$T321))&gt;0),INDEX('Market Data'!$H$5:$H$528,$T321),"date unavailable"),"date unavailable")))</f>
        <v/>
      </c>
      <c r="H321" s="9">
        <f>IF($T321=0,"",IF($I321="Bloomberg",IF(INDEX('Market Data'!$N$5:$N$528,$T321)="","time unavailable",INDEX('Market Data'!$N$5:$N$528,$T321)),""))</f>
        <v/>
      </c>
      <c r="I321" s="9">
        <f>IF($T321=0,"",INDEX('Market Data'!$P$5:$P$528,$T321))</f>
        <v/>
      </c>
      <c r="J321" s="13">
        <f>IF($T321=0,"",IF(INDEX('Market Data'!$E$5:$E$528,$T321)="","",INDEX('Market Data'!$E$5:$E$528,$T321)))</f>
        <v/>
      </c>
      <c r="K321" s="8">
        <f>IF($T321=0,"",IF(INDEX('Market Data'!$I$5:$I$528,$T321)="","",INDEX('Market Data'!$I$5:$I$528,$T321)))</f>
        <v/>
      </c>
      <c r="L321" s="10">
        <f>IF($T321=0,"",IF(INDEX('Market Data'!$J$5:$J$528,$T321)=0,"n/a",IF(AND($M$5&lt;&gt;"Snapshot",ISNUMBER(INDEX('Market Data'!$AH$5:$AH$66,INDEX('Market Data'!$J$5:$J$528,$T321)-4)),N(INDEX('Market Data'!$AH$5:$AH$66,INDEX('Market Data'!$J$5:$J$528,$T321)-4))&gt;0),INDEX('Market Data'!$AH$5:$AH$66,INDEX('Market Data'!$J$5:$J$528,$T321)-4),IF(AND($M$5&lt;&gt;"Bloomberg",ISNUMBER(INDEX('Market Data'!$AC$5:$AC$66,INDEX('Market Data'!$J$5:$J$528,$T321)-4)),N(INDEX('Market Data'!$AC$5:$AC$66,INDEX('Market Data'!$J$5:$J$528,$T321)-4))&gt;0),INDEX('Market Data'!$AC$5:$AC$66,INDEX('Market Data'!$J$5:$J$528,$T321)-4),"unavailable"))))</f>
        <v/>
      </c>
      <c r="M321" s="11">
        <f>IF($T321=0,"",IF(INDEX('Market Data'!$J$5:$J$528,$T321)=0,"n/a",IF(IF(INDEX('Market Data'!$J$5:$J$528,$T321)=0,0,IF(LEFT(INDEX('Market Data'!$AS$5:$AS$66,INDEX('Market Data'!$J$5:$J$528,$T321)-4),11)="First-month",1,0))=1,"class review",IF($I321="Bloomberg",IF(AND(ISNUMBER(INDEX('Market Data'!$AH$5:$AH$66,INDEX('Market Data'!$J$5:$J$528,$T321)-4)),N(INDEX('Market Data'!$AH$5:$AH$66,INDEX('Market Data'!$J$5:$J$528,$T321)-4))&gt;0,ISNUMBER('Market Data'!$B$1),N('Market Data'!$B$1)&gt;0),INDEX('Market Data'!$AH$5:$AH$66,INDEX('Market Data'!$J$5:$J$528,$T321)-4)*'Market Data'!$B$1/$E321-1,"pending A/FX"),IF(AND($I321="Snapshot",$Q321="Snapshot",ISNUMBER($E321),$G321=INDEX('Market Data'!$AE$5:$AE$66,INDEX('Market Data'!$J$5:$J$528,$T321)-4)),IFERROR(INDEX('Market Data'!$AC$5:$AC$66,INDEX('Market Data'!$J$5:$J$528,$T321)-4)*INDEX('Market Data'!$AD$5:$AD$66,INDEX('Market Data'!$J$5:$J$528,$T321)-4)/$E321-1,"unavailable"),IF($I321="Unavailable","unavailable","date mismatch"))))))</f>
        <v/>
      </c>
      <c r="N321" s="11">
        <f>IF($T321=0,"",IFERROR(IF(AND(N(INDEX('Market Data'!$F$5:$F$528,$T321))&gt;0,ISNUMBER(INDEX('Market Data'!$T$5:$T$528,$T321))),$E321*INDEX('Market Data'!$T$5:$T$528,$T321)/INDEX('Market Data'!$F$5:$F$528,$T321)-1,"unavailable"),"unavailable"))</f>
        <v/>
      </c>
      <c r="O321" s="9">
        <f>IF($T321=0,"",IF(IF(INDEX('Market Data'!$J$5:$J$528,$T321)=0,0,IF(LEFT(INDEX('Market Data'!$AS$5:$AS$66,INDEX('Market Data'!$J$5:$J$528,$T321)-4),11)="First-month",1,0))=1,"Class ratio review",IF($I321="Bloomberg",IF(ISNUMBER($G321),IF($G321&lt;TODAY(),"Older quote","See quote time"),"Date unavailable"),IF($I321="Snapshot",IF($G321&lt;DATEVALUE("2026-10-02"),"Older snapshot","Dated close"),"No valid quote"))))</f>
        <v/>
      </c>
      <c r="P321" s="14">
        <f>IF($T321=0,"",IF(INDEX('Market Data'!$J$5:$J$528,$T321)=0,"n/a",IF($Q321="Bloomberg",IF(AND(ISNUMBER(INDEX('Market Data'!$AK$5:$AK$66,INDEX('Market Data'!$J$5:$J$528,$T321)-4)),N(INDEX('Market Data'!$AK$5:$AK$66,INDEX('Market Data'!$J$5:$J$528,$T321)-4))&gt;0),INDEX('Market Data'!$AK$5:$AK$66,INDEX('Market Data'!$J$5:$J$528,$T321)-4),"date unavailable"),IF($Q321="Snapshot",IF(AND(ISNUMBER(INDEX('Market Data'!$AF$5:$AF$66,INDEX('Market Data'!$J$5:$J$528,$T321)-4)),N(INDEX('Market Data'!$AF$5:$AF$66,INDEX('Market Data'!$J$5:$J$528,$T321)-4))&gt;0),INDEX('Market Data'!$AF$5:$AF$66,INDEX('Market Data'!$J$5:$J$528,$T321)-4),"date unavailable"),"date unavailable"))))</f>
        <v/>
      </c>
      <c r="Q321" s="15">
        <f>IF($T321=0,"",IF(INDEX('Market Data'!$J$5:$J$528,$T321)=0,"n/a",IF(AND($M$5&lt;&gt;"Snapshot",ISNUMBER(INDEX('Market Data'!$AH$5:$AH$66,INDEX('Market Data'!$J$5:$J$528,$T321)-4)),N(INDEX('Market Data'!$AH$5:$AH$66,INDEX('Market Data'!$J$5:$J$528,$T321)-4))&gt;0),"Bloomberg",IF(AND($M$5&lt;&gt;"Bloomberg",ISNUMBER(INDEX('Market Data'!$AC$5:$AC$66,INDEX('Market Data'!$J$5:$J$528,$T321)-4)),N(INDEX('Market Data'!$AC$5:$AC$66,INDEX('Market Data'!$J$5:$J$528,$T321)-4))&gt;0),"Snapshot","Unavailable"))))</f>
        <v/>
      </c>
      <c r="T321">
        <f>IFERROR(MATCH(313,'Market Data'!$S$5:$S$528,0),0)</f>
        <v/>
      </c>
    </row>
    <row r="322" ht="34" customHeight="1">
      <c r="A322" s="8">
        <f>IF($T322=0,"",IF(INDEX('Market Data'!$A$5:$A$528,$T322)="","",INDEX('Market Data'!$A$5:$A$528,$T322)))</f>
        <v/>
      </c>
      <c r="B322" s="9">
        <f>IF($T322=0,"",IF(INDEX('Market Data'!$B$5:$B$528,$T322)="","",INDEX('Market Data'!$B$5:$B$528,$T322)))</f>
        <v/>
      </c>
      <c r="C322" s="9">
        <f>IF($T322=0,"",IF(INDEX('Market Data'!$C$5:$C$528,$T322)="","",INDEX('Market Data'!$C$5:$C$528,$T322)))</f>
        <v/>
      </c>
      <c r="D322" s="9">
        <f>IF($T322=0,"",IF(INDEX('Market Data'!$D$5:$D$528,$T322)="","",INDEX('Market Data'!$D$5:$D$528,$T322)))</f>
        <v/>
      </c>
      <c r="E322" s="10">
        <f>IF($T322=0,"",INDEX('Market Data'!$O$5:$O$528,$T322))</f>
        <v/>
      </c>
      <c r="F322" s="11">
        <f>IF($T322=0,"",IF(AND($I322="Bloomberg",ISNUMBER(INDEX('Market Data'!$L$5:$L$528,$T322))),INDEX('Market Data'!$L$5:$L$528,$T322),"unavailable"))</f>
        <v/>
      </c>
      <c r="G322" s="12">
        <f>IF($T322=0,"",IF($I322="Bloomberg",IF(AND(ISNUMBER(INDEX('Market Data'!$M$5:$M$528,$T322)),N(INDEX('Market Data'!$M$5:$M$528,$T322))&gt;0),INDEX('Market Data'!$M$5:$M$528,$T322),"date unavailable"),IF($I322="Snapshot",IF(AND(ISNUMBER(INDEX('Market Data'!$H$5:$H$528,$T322)),N(INDEX('Market Data'!$H$5:$H$528,$T322))&gt;0),INDEX('Market Data'!$H$5:$H$528,$T322),"date unavailable"),"date unavailable")))</f>
        <v/>
      </c>
      <c r="H322" s="9">
        <f>IF($T322=0,"",IF($I322="Bloomberg",IF(INDEX('Market Data'!$N$5:$N$528,$T322)="","time unavailable",INDEX('Market Data'!$N$5:$N$528,$T322)),""))</f>
        <v/>
      </c>
      <c r="I322" s="9">
        <f>IF($T322=0,"",INDEX('Market Data'!$P$5:$P$528,$T322))</f>
        <v/>
      </c>
      <c r="J322" s="13">
        <f>IF($T322=0,"",IF(INDEX('Market Data'!$E$5:$E$528,$T322)="","",INDEX('Market Data'!$E$5:$E$528,$T322)))</f>
        <v/>
      </c>
      <c r="K322" s="8">
        <f>IF($T322=0,"",IF(INDEX('Market Data'!$I$5:$I$528,$T322)="","",INDEX('Market Data'!$I$5:$I$528,$T322)))</f>
        <v/>
      </c>
      <c r="L322" s="10">
        <f>IF($T322=0,"",IF(INDEX('Market Data'!$J$5:$J$528,$T322)=0,"n/a",IF(AND($M$5&lt;&gt;"Snapshot",ISNUMBER(INDEX('Market Data'!$AH$5:$AH$66,INDEX('Market Data'!$J$5:$J$528,$T322)-4)),N(INDEX('Market Data'!$AH$5:$AH$66,INDEX('Market Data'!$J$5:$J$528,$T322)-4))&gt;0),INDEX('Market Data'!$AH$5:$AH$66,INDEX('Market Data'!$J$5:$J$528,$T322)-4),IF(AND($M$5&lt;&gt;"Bloomberg",ISNUMBER(INDEX('Market Data'!$AC$5:$AC$66,INDEX('Market Data'!$J$5:$J$528,$T322)-4)),N(INDEX('Market Data'!$AC$5:$AC$66,INDEX('Market Data'!$J$5:$J$528,$T322)-4))&gt;0),INDEX('Market Data'!$AC$5:$AC$66,INDEX('Market Data'!$J$5:$J$528,$T322)-4),"unavailable"))))</f>
        <v/>
      </c>
      <c r="M322" s="11">
        <f>IF($T322=0,"",IF(INDEX('Market Data'!$J$5:$J$528,$T322)=0,"n/a",IF(IF(INDEX('Market Data'!$J$5:$J$528,$T322)=0,0,IF(LEFT(INDEX('Market Data'!$AS$5:$AS$66,INDEX('Market Data'!$J$5:$J$528,$T322)-4),11)="First-month",1,0))=1,"class review",IF($I322="Bloomberg",IF(AND(ISNUMBER(INDEX('Market Data'!$AH$5:$AH$66,INDEX('Market Data'!$J$5:$J$528,$T322)-4)),N(INDEX('Market Data'!$AH$5:$AH$66,INDEX('Market Data'!$J$5:$J$528,$T322)-4))&gt;0,ISNUMBER('Market Data'!$B$1),N('Market Data'!$B$1)&gt;0),INDEX('Market Data'!$AH$5:$AH$66,INDEX('Market Data'!$J$5:$J$528,$T322)-4)*'Market Data'!$B$1/$E322-1,"pending A/FX"),IF(AND($I322="Snapshot",$Q322="Snapshot",ISNUMBER($E322),$G322=INDEX('Market Data'!$AE$5:$AE$66,INDEX('Market Data'!$J$5:$J$528,$T322)-4)),IFERROR(INDEX('Market Data'!$AC$5:$AC$66,INDEX('Market Data'!$J$5:$J$528,$T322)-4)*INDEX('Market Data'!$AD$5:$AD$66,INDEX('Market Data'!$J$5:$J$528,$T322)-4)/$E322-1,"unavailable"),IF($I322="Unavailable","unavailable","date mismatch"))))))</f>
        <v/>
      </c>
      <c r="N322" s="11">
        <f>IF($T322=0,"",IFERROR(IF(AND(N(INDEX('Market Data'!$F$5:$F$528,$T322))&gt;0,ISNUMBER(INDEX('Market Data'!$T$5:$T$528,$T322))),$E322*INDEX('Market Data'!$T$5:$T$528,$T322)/INDEX('Market Data'!$F$5:$F$528,$T322)-1,"unavailable"),"unavailable"))</f>
        <v/>
      </c>
      <c r="O322" s="9">
        <f>IF($T322=0,"",IF(IF(INDEX('Market Data'!$J$5:$J$528,$T322)=0,0,IF(LEFT(INDEX('Market Data'!$AS$5:$AS$66,INDEX('Market Data'!$J$5:$J$528,$T322)-4),11)="First-month",1,0))=1,"Class ratio review",IF($I322="Bloomberg",IF(ISNUMBER($G322),IF($G322&lt;TODAY(),"Older quote","See quote time"),"Date unavailable"),IF($I322="Snapshot",IF($G322&lt;DATEVALUE("2026-10-02"),"Older snapshot","Dated close"),"No valid quote"))))</f>
        <v/>
      </c>
      <c r="P322" s="14">
        <f>IF($T322=0,"",IF(INDEX('Market Data'!$J$5:$J$528,$T322)=0,"n/a",IF($Q322="Bloomberg",IF(AND(ISNUMBER(INDEX('Market Data'!$AK$5:$AK$66,INDEX('Market Data'!$J$5:$J$528,$T322)-4)),N(INDEX('Market Data'!$AK$5:$AK$66,INDEX('Market Data'!$J$5:$J$528,$T322)-4))&gt;0),INDEX('Market Data'!$AK$5:$AK$66,INDEX('Market Data'!$J$5:$J$528,$T322)-4),"date unavailable"),IF($Q322="Snapshot",IF(AND(ISNUMBER(INDEX('Market Data'!$AF$5:$AF$66,INDEX('Market Data'!$J$5:$J$528,$T322)-4)),N(INDEX('Market Data'!$AF$5:$AF$66,INDEX('Market Data'!$J$5:$J$528,$T322)-4))&gt;0),INDEX('Market Data'!$AF$5:$AF$66,INDEX('Market Data'!$J$5:$J$528,$T322)-4),"date unavailable"),"date unavailable"))))</f>
        <v/>
      </c>
      <c r="Q322" s="15">
        <f>IF($T322=0,"",IF(INDEX('Market Data'!$J$5:$J$528,$T322)=0,"n/a",IF(AND($M$5&lt;&gt;"Snapshot",ISNUMBER(INDEX('Market Data'!$AH$5:$AH$66,INDEX('Market Data'!$J$5:$J$528,$T322)-4)),N(INDEX('Market Data'!$AH$5:$AH$66,INDEX('Market Data'!$J$5:$J$528,$T322)-4))&gt;0),"Bloomberg",IF(AND($M$5&lt;&gt;"Bloomberg",ISNUMBER(INDEX('Market Data'!$AC$5:$AC$66,INDEX('Market Data'!$J$5:$J$528,$T322)-4)),N(INDEX('Market Data'!$AC$5:$AC$66,INDEX('Market Data'!$J$5:$J$528,$T322)-4))&gt;0),"Snapshot","Unavailable"))))</f>
        <v/>
      </c>
      <c r="T322">
        <f>IFERROR(MATCH(314,'Market Data'!$S$5:$S$528,0),0)</f>
        <v/>
      </c>
    </row>
    <row r="323" ht="34" customHeight="1">
      <c r="A323" s="8">
        <f>IF($T323=0,"",IF(INDEX('Market Data'!$A$5:$A$528,$T323)="","",INDEX('Market Data'!$A$5:$A$528,$T323)))</f>
        <v/>
      </c>
      <c r="B323" s="9">
        <f>IF($T323=0,"",IF(INDEX('Market Data'!$B$5:$B$528,$T323)="","",INDEX('Market Data'!$B$5:$B$528,$T323)))</f>
        <v/>
      </c>
      <c r="C323" s="9">
        <f>IF($T323=0,"",IF(INDEX('Market Data'!$C$5:$C$528,$T323)="","",INDEX('Market Data'!$C$5:$C$528,$T323)))</f>
        <v/>
      </c>
      <c r="D323" s="9">
        <f>IF($T323=0,"",IF(INDEX('Market Data'!$D$5:$D$528,$T323)="","",INDEX('Market Data'!$D$5:$D$528,$T323)))</f>
        <v/>
      </c>
      <c r="E323" s="10">
        <f>IF($T323=0,"",INDEX('Market Data'!$O$5:$O$528,$T323))</f>
        <v/>
      </c>
      <c r="F323" s="11">
        <f>IF($T323=0,"",IF(AND($I323="Bloomberg",ISNUMBER(INDEX('Market Data'!$L$5:$L$528,$T323))),INDEX('Market Data'!$L$5:$L$528,$T323),"unavailable"))</f>
        <v/>
      </c>
      <c r="G323" s="12">
        <f>IF($T323=0,"",IF($I323="Bloomberg",IF(AND(ISNUMBER(INDEX('Market Data'!$M$5:$M$528,$T323)),N(INDEX('Market Data'!$M$5:$M$528,$T323))&gt;0),INDEX('Market Data'!$M$5:$M$528,$T323),"date unavailable"),IF($I323="Snapshot",IF(AND(ISNUMBER(INDEX('Market Data'!$H$5:$H$528,$T323)),N(INDEX('Market Data'!$H$5:$H$528,$T323))&gt;0),INDEX('Market Data'!$H$5:$H$528,$T323),"date unavailable"),"date unavailable")))</f>
        <v/>
      </c>
      <c r="H323" s="9">
        <f>IF($T323=0,"",IF($I323="Bloomberg",IF(INDEX('Market Data'!$N$5:$N$528,$T323)="","time unavailable",INDEX('Market Data'!$N$5:$N$528,$T323)),""))</f>
        <v/>
      </c>
      <c r="I323" s="9">
        <f>IF($T323=0,"",INDEX('Market Data'!$P$5:$P$528,$T323))</f>
        <v/>
      </c>
      <c r="J323" s="13">
        <f>IF($T323=0,"",IF(INDEX('Market Data'!$E$5:$E$528,$T323)="","",INDEX('Market Data'!$E$5:$E$528,$T323)))</f>
        <v/>
      </c>
      <c r="K323" s="8">
        <f>IF($T323=0,"",IF(INDEX('Market Data'!$I$5:$I$528,$T323)="","",INDEX('Market Data'!$I$5:$I$528,$T323)))</f>
        <v/>
      </c>
      <c r="L323" s="10">
        <f>IF($T323=0,"",IF(INDEX('Market Data'!$J$5:$J$528,$T323)=0,"n/a",IF(AND($M$5&lt;&gt;"Snapshot",ISNUMBER(INDEX('Market Data'!$AH$5:$AH$66,INDEX('Market Data'!$J$5:$J$528,$T323)-4)),N(INDEX('Market Data'!$AH$5:$AH$66,INDEX('Market Data'!$J$5:$J$528,$T323)-4))&gt;0),INDEX('Market Data'!$AH$5:$AH$66,INDEX('Market Data'!$J$5:$J$528,$T323)-4),IF(AND($M$5&lt;&gt;"Bloomberg",ISNUMBER(INDEX('Market Data'!$AC$5:$AC$66,INDEX('Market Data'!$J$5:$J$528,$T323)-4)),N(INDEX('Market Data'!$AC$5:$AC$66,INDEX('Market Data'!$J$5:$J$528,$T323)-4))&gt;0),INDEX('Market Data'!$AC$5:$AC$66,INDEX('Market Data'!$J$5:$J$528,$T323)-4),"unavailable"))))</f>
        <v/>
      </c>
      <c r="M323" s="11">
        <f>IF($T323=0,"",IF(INDEX('Market Data'!$J$5:$J$528,$T323)=0,"n/a",IF(IF(INDEX('Market Data'!$J$5:$J$528,$T323)=0,0,IF(LEFT(INDEX('Market Data'!$AS$5:$AS$66,INDEX('Market Data'!$J$5:$J$528,$T323)-4),11)="First-month",1,0))=1,"class review",IF($I323="Bloomberg",IF(AND(ISNUMBER(INDEX('Market Data'!$AH$5:$AH$66,INDEX('Market Data'!$J$5:$J$528,$T323)-4)),N(INDEX('Market Data'!$AH$5:$AH$66,INDEX('Market Data'!$J$5:$J$528,$T323)-4))&gt;0,ISNUMBER('Market Data'!$B$1),N('Market Data'!$B$1)&gt;0),INDEX('Market Data'!$AH$5:$AH$66,INDEX('Market Data'!$J$5:$J$528,$T323)-4)*'Market Data'!$B$1/$E323-1,"pending A/FX"),IF(AND($I323="Snapshot",$Q323="Snapshot",ISNUMBER($E323),$G323=INDEX('Market Data'!$AE$5:$AE$66,INDEX('Market Data'!$J$5:$J$528,$T323)-4)),IFERROR(INDEX('Market Data'!$AC$5:$AC$66,INDEX('Market Data'!$J$5:$J$528,$T323)-4)*INDEX('Market Data'!$AD$5:$AD$66,INDEX('Market Data'!$J$5:$J$528,$T323)-4)/$E323-1,"unavailable"),IF($I323="Unavailable","unavailable","date mismatch"))))))</f>
        <v/>
      </c>
      <c r="N323" s="11">
        <f>IF($T323=0,"",IFERROR(IF(AND(N(INDEX('Market Data'!$F$5:$F$528,$T323))&gt;0,ISNUMBER(INDEX('Market Data'!$T$5:$T$528,$T323))),$E323*INDEX('Market Data'!$T$5:$T$528,$T323)/INDEX('Market Data'!$F$5:$F$528,$T323)-1,"unavailable"),"unavailable"))</f>
        <v/>
      </c>
      <c r="O323" s="9">
        <f>IF($T323=0,"",IF(IF(INDEX('Market Data'!$J$5:$J$528,$T323)=0,0,IF(LEFT(INDEX('Market Data'!$AS$5:$AS$66,INDEX('Market Data'!$J$5:$J$528,$T323)-4),11)="First-month",1,0))=1,"Class ratio review",IF($I323="Bloomberg",IF(ISNUMBER($G323),IF($G323&lt;TODAY(),"Older quote","See quote time"),"Date unavailable"),IF($I323="Snapshot",IF($G323&lt;DATEVALUE("2026-10-02"),"Older snapshot","Dated close"),"No valid quote"))))</f>
        <v/>
      </c>
      <c r="P323" s="14">
        <f>IF($T323=0,"",IF(INDEX('Market Data'!$J$5:$J$528,$T323)=0,"n/a",IF($Q323="Bloomberg",IF(AND(ISNUMBER(INDEX('Market Data'!$AK$5:$AK$66,INDEX('Market Data'!$J$5:$J$528,$T323)-4)),N(INDEX('Market Data'!$AK$5:$AK$66,INDEX('Market Data'!$J$5:$J$528,$T323)-4))&gt;0),INDEX('Market Data'!$AK$5:$AK$66,INDEX('Market Data'!$J$5:$J$528,$T323)-4),"date unavailable"),IF($Q323="Snapshot",IF(AND(ISNUMBER(INDEX('Market Data'!$AF$5:$AF$66,INDEX('Market Data'!$J$5:$J$528,$T323)-4)),N(INDEX('Market Data'!$AF$5:$AF$66,INDEX('Market Data'!$J$5:$J$528,$T323)-4))&gt;0),INDEX('Market Data'!$AF$5:$AF$66,INDEX('Market Data'!$J$5:$J$528,$T323)-4),"date unavailable"),"date unavailable"))))</f>
        <v/>
      </c>
      <c r="Q323" s="15">
        <f>IF($T323=0,"",IF(INDEX('Market Data'!$J$5:$J$528,$T323)=0,"n/a",IF(AND($M$5&lt;&gt;"Snapshot",ISNUMBER(INDEX('Market Data'!$AH$5:$AH$66,INDEX('Market Data'!$J$5:$J$528,$T323)-4)),N(INDEX('Market Data'!$AH$5:$AH$66,INDEX('Market Data'!$J$5:$J$528,$T323)-4))&gt;0),"Bloomberg",IF(AND($M$5&lt;&gt;"Bloomberg",ISNUMBER(INDEX('Market Data'!$AC$5:$AC$66,INDEX('Market Data'!$J$5:$J$528,$T323)-4)),N(INDEX('Market Data'!$AC$5:$AC$66,INDEX('Market Data'!$J$5:$J$528,$T323)-4))&gt;0),"Snapshot","Unavailable"))))</f>
        <v/>
      </c>
      <c r="T323">
        <f>IFERROR(MATCH(315,'Market Data'!$S$5:$S$528,0),0)</f>
        <v/>
      </c>
    </row>
    <row r="324" ht="34" customHeight="1">
      <c r="A324" s="8">
        <f>IF($T324=0,"",IF(INDEX('Market Data'!$A$5:$A$528,$T324)="","",INDEX('Market Data'!$A$5:$A$528,$T324)))</f>
        <v/>
      </c>
      <c r="B324" s="9">
        <f>IF($T324=0,"",IF(INDEX('Market Data'!$B$5:$B$528,$T324)="","",INDEX('Market Data'!$B$5:$B$528,$T324)))</f>
        <v/>
      </c>
      <c r="C324" s="9">
        <f>IF($T324=0,"",IF(INDEX('Market Data'!$C$5:$C$528,$T324)="","",INDEX('Market Data'!$C$5:$C$528,$T324)))</f>
        <v/>
      </c>
      <c r="D324" s="9">
        <f>IF($T324=0,"",IF(INDEX('Market Data'!$D$5:$D$528,$T324)="","",INDEX('Market Data'!$D$5:$D$528,$T324)))</f>
        <v/>
      </c>
      <c r="E324" s="10">
        <f>IF($T324=0,"",INDEX('Market Data'!$O$5:$O$528,$T324))</f>
        <v/>
      </c>
      <c r="F324" s="11">
        <f>IF($T324=0,"",IF(AND($I324="Bloomberg",ISNUMBER(INDEX('Market Data'!$L$5:$L$528,$T324))),INDEX('Market Data'!$L$5:$L$528,$T324),"unavailable"))</f>
        <v/>
      </c>
      <c r="G324" s="12">
        <f>IF($T324=0,"",IF($I324="Bloomberg",IF(AND(ISNUMBER(INDEX('Market Data'!$M$5:$M$528,$T324)),N(INDEX('Market Data'!$M$5:$M$528,$T324))&gt;0),INDEX('Market Data'!$M$5:$M$528,$T324),"date unavailable"),IF($I324="Snapshot",IF(AND(ISNUMBER(INDEX('Market Data'!$H$5:$H$528,$T324)),N(INDEX('Market Data'!$H$5:$H$528,$T324))&gt;0),INDEX('Market Data'!$H$5:$H$528,$T324),"date unavailable"),"date unavailable")))</f>
        <v/>
      </c>
      <c r="H324" s="9">
        <f>IF($T324=0,"",IF($I324="Bloomberg",IF(INDEX('Market Data'!$N$5:$N$528,$T324)="","time unavailable",INDEX('Market Data'!$N$5:$N$528,$T324)),""))</f>
        <v/>
      </c>
      <c r="I324" s="9">
        <f>IF($T324=0,"",INDEX('Market Data'!$P$5:$P$528,$T324))</f>
        <v/>
      </c>
      <c r="J324" s="13">
        <f>IF($T324=0,"",IF(INDEX('Market Data'!$E$5:$E$528,$T324)="","",INDEX('Market Data'!$E$5:$E$528,$T324)))</f>
        <v/>
      </c>
      <c r="K324" s="8">
        <f>IF($T324=0,"",IF(INDEX('Market Data'!$I$5:$I$528,$T324)="","",INDEX('Market Data'!$I$5:$I$528,$T324)))</f>
        <v/>
      </c>
      <c r="L324" s="10">
        <f>IF($T324=0,"",IF(INDEX('Market Data'!$J$5:$J$528,$T324)=0,"n/a",IF(AND($M$5&lt;&gt;"Snapshot",ISNUMBER(INDEX('Market Data'!$AH$5:$AH$66,INDEX('Market Data'!$J$5:$J$528,$T324)-4)),N(INDEX('Market Data'!$AH$5:$AH$66,INDEX('Market Data'!$J$5:$J$528,$T324)-4))&gt;0),INDEX('Market Data'!$AH$5:$AH$66,INDEX('Market Data'!$J$5:$J$528,$T324)-4),IF(AND($M$5&lt;&gt;"Bloomberg",ISNUMBER(INDEX('Market Data'!$AC$5:$AC$66,INDEX('Market Data'!$J$5:$J$528,$T324)-4)),N(INDEX('Market Data'!$AC$5:$AC$66,INDEX('Market Data'!$J$5:$J$528,$T324)-4))&gt;0),INDEX('Market Data'!$AC$5:$AC$66,INDEX('Market Data'!$J$5:$J$528,$T324)-4),"unavailable"))))</f>
        <v/>
      </c>
      <c r="M324" s="11">
        <f>IF($T324=0,"",IF(INDEX('Market Data'!$J$5:$J$528,$T324)=0,"n/a",IF(IF(INDEX('Market Data'!$J$5:$J$528,$T324)=0,0,IF(LEFT(INDEX('Market Data'!$AS$5:$AS$66,INDEX('Market Data'!$J$5:$J$528,$T324)-4),11)="First-month",1,0))=1,"class review",IF($I324="Bloomberg",IF(AND(ISNUMBER(INDEX('Market Data'!$AH$5:$AH$66,INDEX('Market Data'!$J$5:$J$528,$T324)-4)),N(INDEX('Market Data'!$AH$5:$AH$66,INDEX('Market Data'!$J$5:$J$528,$T324)-4))&gt;0,ISNUMBER('Market Data'!$B$1),N('Market Data'!$B$1)&gt;0),INDEX('Market Data'!$AH$5:$AH$66,INDEX('Market Data'!$J$5:$J$528,$T324)-4)*'Market Data'!$B$1/$E324-1,"pending A/FX"),IF(AND($I324="Snapshot",$Q324="Snapshot",ISNUMBER($E324),$G324=INDEX('Market Data'!$AE$5:$AE$66,INDEX('Market Data'!$J$5:$J$528,$T324)-4)),IFERROR(INDEX('Market Data'!$AC$5:$AC$66,INDEX('Market Data'!$J$5:$J$528,$T324)-4)*INDEX('Market Data'!$AD$5:$AD$66,INDEX('Market Data'!$J$5:$J$528,$T324)-4)/$E324-1,"unavailable"),IF($I324="Unavailable","unavailable","date mismatch"))))))</f>
        <v/>
      </c>
      <c r="N324" s="11">
        <f>IF($T324=0,"",IFERROR(IF(AND(N(INDEX('Market Data'!$F$5:$F$528,$T324))&gt;0,ISNUMBER(INDEX('Market Data'!$T$5:$T$528,$T324))),$E324*INDEX('Market Data'!$T$5:$T$528,$T324)/INDEX('Market Data'!$F$5:$F$528,$T324)-1,"unavailable"),"unavailable"))</f>
        <v/>
      </c>
      <c r="O324" s="9">
        <f>IF($T324=0,"",IF(IF(INDEX('Market Data'!$J$5:$J$528,$T324)=0,0,IF(LEFT(INDEX('Market Data'!$AS$5:$AS$66,INDEX('Market Data'!$J$5:$J$528,$T324)-4),11)="First-month",1,0))=1,"Class ratio review",IF($I324="Bloomberg",IF(ISNUMBER($G324),IF($G324&lt;TODAY(),"Older quote","See quote time"),"Date unavailable"),IF($I324="Snapshot",IF($G324&lt;DATEVALUE("2026-10-02"),"Older snapshot","Dated close"),"No valid quote"))))</f>
        <v/>
      </c>
      <c r="P324" s="14">
        <f>IF($T324=0,"",IF(INDEX('Market Data'!$J$5:$J$528,$T324)=0,"n/a",IF($Q324="Bloomberg",IF(AND(ISNUMBER(INDEX('Market Data'!$AK$5:$AK$66,INDEX('Market Data'!$J$5:$J$528,$T324)-4)),N(INDEX('Market Data'!$AK$5:$AK$66,INDEX('Market Data'!$J$5:$J$528,$T324)-4))&gt;0),INDEX('Market Data'!$AK$5:$AK$66,INDEX('Market Data'!$J$5:$J$528,$T324)-4),"date unavailable"),IF($Q324="Snapshot",IF(AND(ISNUMBER(INDEX('Market Data'!$AF$5:$AF$66,INDEX('Market Data'!$J$5:$J$528,$T324)-4)),N(INDEX('Market Data'!$AF$5:$AF$66,INDEX('Market Data'!$J$5:$J$528,$T324)-4))&gt;0),INDEX('Market Data'!$AF$5:$AF$66,INDEX('Market Data'!$J$5:$J$528,$T324)-4),"date unavailable"),"date unavailable"))))</f>
        <v/>
      </c>
      <c r="Q324" s="15">
        <f>IF($T324=0,"",IF(INDEX('Market Data'!$J$5:$J$528,$T324)=0,"n/a",IF(AND($M$5&lt;&gt;"Snapshot",ISNUMBER(INDEX('Market Data'!$AH$5:$AH$66,INDEX('Market Data'!$J$5:$J$528,$T324)-4)),N(INDEX('Market Data'!$AH$5:$AH$66,INDEX('Market Data'!$J$5:$J$528,$T324)-4))&gt;0),"Bloomberg",IF(AND($M$5&lt;&gt;"Bloomberg",ISNUMBER(INDEX('Market Data'!$AC$5:$AC$66,INDEX('Market Data'!$J$5:$J$528,$T324)-4)),N(INDEX('Market Data'!$AC$5:$AC$66,INDEX('Market Data'!$J$5:$J$528,$T324)-4))&gt;0),"Snapshot","Unavailable"))))</f>
        <v/>
      </c>
      <c r="T324">
        <f>IFERROR(MATCH(316,'Market Data'!$S$5:$S$528,0),0)</f>
        <v/>
      </c>
    </row>
    <row r="325" ht="34" customHeight="1">
      <c r="A325" s="8">
        <f>IF($T325=0,"",IF(INDEX('Market Data'!$A$5:$A$528,$T325)="","",INDEX('Market Data'!$A$5:$A$528,$T325)))</f>
        <v/>
      </c>
      <c r="B325" s="9">
        <f>IF($T325=0,"",IF(INDEX('Market Data'!$B$5:$B$528,$T325)="","",INDEX('Market Data'!$B$5:$B$528,$T325)))</f>
        <v/>
      </c>
      <c r="C325" s="9">
        <f>IF($T325=0,"",IF(INDEX('Market Data'!$C$5:$C$528,$T325)="","",INDEX('Market Data'!$C$5:$C$528,$T325)))</f>
        <v/>
      </c>
      <c r="D325" s="9">
        <f>IF($T325=0,"",IF(INDEX('Market Data'!$D$5:$D$528,$T325)="","",INDEX('Market Data'!$D$5:$D$528,$T325)))</f>
        <v/>
      </c>
      <c r="E325" s="10">
        <f>IF($T325=0,"",INDEX('Market Data'!$O$5:$O$528,$T325))</f>
        <v/>
      </c>
      <c r="F325" s="11">
        <f>IF($T325=0,"",IF(AND($I325="Bloomberg",ISNUMBER(INDEX('Market Data'!$L$5:$L$528,$T325))),INDEX('Market Data'!$L$5:$L$528,$T325),"unavailable"))</f>
        <v/>
      </c>
      <c r="G325" s="12">
        <f>IF($T325=0,"",IF($I325="Bloomberg",IF(AND(ISNUMBER(INDEX('Market Data'!$M$5:$M$528,$T325)),N(INDEX('Market Data'!$M$5:$M$528,$T325))&gt;0),INDEX('Market Data'!$M$5:$M$528,$T325),"date unavailable"),IF($I325="Snapshot",IF(AND(ISNUMBER(INDEX('Market Data'!$H$5:$H$528,$T325)),N(INDEX('Market Data'!$H$5:$H$528,$T325))&gt;0),INDEX('Market Data'!$H$5:$H$528,$T325),"date unavailable"),"date unavailable")))</f>
        <v/>
      </c>
      <c r="H325" s="9">
        <f>IF($T325=0,"",IF($I325="Bloomberg",IF(INDEX('Market Data'!$N$5:$N$528,$T325)="","time unavailable",INDEX('Market Data'!$N$5:$N$528,$T325)),""))</f>
        <v/>
      </c>
      <c r="I325" s="9">
        <f>IF($T325=0,"",INDEX('Market Data'!$P$5:$P$528,$T325))</f>
        <v/>
      </c>
      <c r="J325" s="13">
        <f>IF($T325=0,"",IF(INDEX('Market Data'!$E$5:$E$528,$T325)="","",INDEX('Market Data'!$E$5:$E$528,$T325)))</f>
        <v/>
      </c>
      <c r="K325" s="8">
        <f>IF($T325=0,"",IF(INDEX('Market Data'!$I$5:$I$528,$T325)="","",INDEX('Market Data'!$I$5:$I$528,$T325)))</f>
        <v/>
      </c>
      <c r="L325" s="10">
        <f>IF($T325=0,"",IF(INDEX('Market Data'!$J$5:$J$528,$T325)=0,"n/a",IF(AND($M$5&lt;&gt;"Snapshot",ISNUMBER(INDEX('Market Data'!$AH$5:$AH$66,INDEX('Market Data'!$J$5:$J$528,$T325)-4)),N(INDEX('Market Data'!$AH$5:$AH$66,INDEX('Market Data'!$J$5:$J$528,$T325)-4))&gt;0),INDEX('Market Data'!$AH$5:$AH$66,INDEX('Market Data'!$J$5:$J$528,$T325)-4),IF(AND($M$5&lt;&gt;"Bloomberg",ISNUMBER(INDEX('Market Data'!$AC$5:$AC$66,INDEX('Market Data'!$J$5:$J$528,$T325)-4)),N(INDEX('Market Data'!$AC$5:$AC$66,INDEX('Market Data'!$J$5:$J$528,$T325)-4))&gt;0),INDEX('Market Data'!$AC$5:$AC$66,INDEX('Market Data'!$J$5:$J$528,$T325)-4),"unavailable"))))</f>
        <v/>
      </c>
      <c r="M325" s="11">
        <f>IF($T325=0,"",IF(INDEX('Market Data'!$J$5:$J$528,$T325)=0,"n/a",IF(IF(INDEX('Market Data'!$J$5:$J$528,$T325)=0,0,IF(LEFT(INDEX('Market Data'!$AS$5:$AS$66,INDEX('Market Data'!$J$5:$J$528,$T325)-4),11)="First-month",1,0))=1,"class review",IF($I325="Bloomberg",IF(AND(ISNUMBER(INDEX('Market Data'!$AH$5:$AH$66,INDEX('Market Data'!$J$5:$J$528,$T325)-4)),N(INDEX('Market Data'!$AH$5:$AH$66,INDEX('Market Data'!$J$5:$J$528,$T325)-4))&gt;0,ISNUMBER('Market Data'!$B$1),N('Market Data'!$B$1)&gt;0),INDEX('Market Data'!$AH$5:$AH$66,INDEX('Market Data'!$J$5:$J$528,$T325)-4)*'Market Data'!$B$1/$E325-1,"pending A/FX"),IF(AND($I325="Snapshot",$Q325="Snapshot",ISNUMBER($E325),$G325=INDEX('Market Data'!$AE$5:$AE$66,INDEX('Market Data'!$J$5:$J$528,$T325)-4)),IFERROR(INDEX('Market Data'!$AC$5:$AC$66,INDEX('Market Data'!$J$5:$J$528,$T325)-4)*INDEX('Market Data'!$AD$5:$AD$66,INDEX('Market Data'!$J$5:$J$528,$T325)-4)/$E325-1,"unavailable"),IF($I325="Unavailable","unavailable","date mismatch"))))))</f>
        <v/>
      </c>
      <c r="N325" s="11">
        <f>IF($T325=0,"",IFERROR(IF(AND(N(INDEX('Market Data'!$F$5:$F$528,$T325))&gt;0,ISNUMBER(INDEX('Market Data'!$T$5:$T$528,$T325))),$E325*INDEX('Market Data'!$T$5:$T$528,$T325)/INDEX('Market Data'!$F$5:$F$528,$T325)-1,"unavailable"),"unavailable"))</f>
        <v/>
      </c>
      <c r="O325" s="9">
        <f>IF($T325=0,"",IF(IF(INDEX('Market Data'!$J$5:$J$528,$T325)=0,0,IF(LEFT(INDEX('Market Data'!$AS$5:$AS$66,INDEX('Market Data'!$J$5:$J$528,$T325)-4),11)="First-month",1,0))=1,"Class ratio review",IF($I325="Bloomberg",IF(ISNUMBER($G325),IF($G325&lt;TODAY(),"Older quote","See quote time"),"Date unavailable"),IF($I325="Snapshot",IF($G325&lt;DATEVALUE("2026-10-02"),"Older snapshot","Dated close"),"No valid quote"))))</f>
        <v/>
      </c>
      <c r="P325" s="14">
        <f>IF($T325=0,"",IF(INDEX('Market Data'!$J$5:$J$528,$T325)=0,"n/a",IF($Q325="Bloomberg",IF(AND(ISNUMBER(INDEX('Market Data'!$AK$5:$AK$66,INDEX('Market Data'!$J$5:$J$528,$T325)-4)),N(INDEX('Market Data'!$AK$5:$AK$66,INDEX('Market Data'!$J$5:$J$528,$T325)-4))&gt;0),INDEX('Market Data'!$AK$5:$AK$66,INDEX('Market Data'!$J$5:$J$528,$T325)-4),"date unavailable"),IF($Q325="Snapshot",IF(AND(ISNUMBER(INDEX('Market Data'!$AF$5:$AF$66,INDEX('Market Data'!$J$5:$J$528,$T325)-4)),N(INDEX('Market Data'!$AF$5:$AF$66,INDEX('Market Data'!$J$5:$J$528,$T325)-4))&gt;0),INDEX('Market Data'!$AF$5:$AF$66,INDEX('Market Data'!$J$5:$J$528,$T325)-4),"date unavailable"),"date unavailable"))))</f>
        <v/>
      </c>
      <c r="Q325" s="15">
        <f>IF($T325=0,"",IF(INDEX('Market Data'!$J$5:$J$528,$T325)=0,"n/a",IF(AND($M$5&lt;&gt;"Snapshot",ISNUMBER(INDEX('Market Data'!$AH$5:$AH$66,INDEX('Market Data'!$J$5:$J$528,$T325)-4)),N(INDEX('Market Data'!$AH$5:$AH$66,INDEX('Market Data'!$J$5:$J$528,$T325)-4))&gt;0),"Bloomberg",IF(AND($M$5&lt;&gt;"Bloomberg",ISNUMBER(INDEX('Market Data'!$AC$5:$AC$66,INDEX('Market Data'!$J$5:$J$528,$T325)-4)),N(INDEX('Market Data'!$AC$5:$AC$66,INDEX('Market Data'!$J$5:$J$528,$T325)-4))&gt;0),"Snapshot","Unavailable"))))</f>
        <v/>
      </c>
      <c r="T325">
        <f>IFERROR(MATCH(317,'Market Data'!$S$5:$S$528,0),0)</f>
        <v/>
      </c>
    </row>
    <row r="326" ht="34" customHeight="1">
      <c r="A326" s="8">
        <f>IF($T326=0,"",IF(INDEX('Market Data'!$A$5:$A$528,$T326)="","",INDEX('Market Data'!$A$5:$A$528,$T326)))</f>
        <v/>
      </c>
      <c r="B326" s="9">
        <f>IF($T326=0,"",IF(INDEX('Market Data'!$B$5:$B$528,$T326)="","",INDEX('Market Data'!$B$5:$B$528,$T326)))</f>
        <v/>
      </c>
      <c r="C326" s="9">
        <f>IF($T326=0,"",IF(INDEX('Market Data'!$C$5:$C$528,$T326)="","",INDEX('Market Data'!$C$5:$C$528,$T326)))</f>
        <v/>
      </c>
      <c r="D326" s="9">
        <f>IF($T326=0,"",IF(INDEX('Market Data'!$D$5:$D$528,$T326)="","",INDEX('Market Data'!$D$5:$D$528,$T326)))</f>
        <v/>
      </c>
      <c r="E326" s="10">
        <f>IF($T326=0,"",INDEX('Market Data'!$O$5:$O$528,$T326))</f>
        <v/>
      </c>
      <c r="F326" s="11">
        <f>IF($T326=0,"",IF(AND($I326="Bloomberg",ISNUMBER(INDEX('Market Data'!$L$5:$L$528,$T326))),INDEX('Market Data'!$L$5:$L$528,$T326),"unavailable"))</f>
        <v/>
      </c>
      <c r="G326" s="12">
        <f>IF($T326=0,"",IF($I326="Bloomberg",IF(AND(ISNUMBER(INDEX('Market Data'!$M$5:$M$528,$T326)),N(INDEX('Market Data'!$M$5:$M$528,$T326))&gt;0),INDEX('Market Data'!$M$5:$M$528,$T326),"date unavailable"),IF($I326="Snapshot",IF(AND(ISNUMBER(INDEX('Market Data'!$H$5:$H$528,$T326)),N(INDEX('Market Data'!$H$5:$H$528,$T326))&gt;0),INDEX('Market Data'!$H$5:$H$528,$T326),"date unavailable"),"date unavailable")))</f>
        <v/>
      </c>
      <c r="H326" s="9">
        <f>IF($T326=0,"",IF($I326="Bloomberg",IF(INDEX('Market Data'!$N$5:$N$528,$T326)="","time unavailable",INDEX('Market Data'!$N$5:$N$528,$T326)),""))</f>
        <v/>
      </c>
      <c r="I326" s="9">
        <f>IF($T326=0,"",INDEX('Market Data'!$P$5:$P$528,$T326))</f>
        <v/>
      </c>
      <c r="J326" s="13">
        <f>IF($T326=0,"",IF(INDEX('Market Data'!$E$5:$E$528,$T326)="","",INDEX('Market Data'!$E$5:$E$528,$T326)))</f>
        <v/>
      </c>
      <c r="K326" s="8">
        <f>IF($T326=0,"",IF(INDEX('Market Data'!$I$5:$I$528,$T326)="","",INDEX('Market Data'!$I$5:$I$528,$T326)))</f>
        <v/>
      </c>
      <c r="L326" s="10">
        <f>IF($T326=0,"",IF(INDEX('Market Data'!$J$5:$J$528,$T326)=0,"n/a",IF(AND($M$5&lt;&gt;"Snapshot",ISNUMBER(INDEX('Market Data'!$AH$5:$AH$66,INDEX('Market Data'!$J$5:$J$528,$T326)-4)),N(INDEX('Market Data'!$AH$5:$AH$66,INDEX('Market Data'!$J$5:$J$528,$T326)-4))&gt;0),INDEX('Market Data'!$AH$5:$AH$66,INDEX('Market Data'!$J$5:$J$528,$T326)-4),IF(AND($M$5&lt;&gt;"Bloomberg",ISNUMBER(INDEX('Market Data'!$AC$5:$AC$66,INDEX('Market Data'!$J$5:$J$528,$T326)-4)),N(INDEX('Market Data'!$AC$5:$AC$66,INDEX('Market Data'!$J$5:$J$528,$T326)-4))&gt;0),INDEX('Market Data'!$AC$5:$AC$66,INDEX('Market Data'!$J$5:$J$528,$T326)-4),"unavailable"))))</f>
        <v/>
      </c>
      <c r="M326" s="11">
        <f>IF($T326=0,"",IF(INDEX('Market Data'!$J$5:$J$528,$T326)=0,"n/a",IF(IF(INDEX('Market Data'!$J$5:$J$528,$T326)=0,0,IF(LEFT(INDEX('Market Data'!$AS$5:$AS$66,INDEX('Market Data'!$J$5:$J$528,$T326)-4),11)="First-month",1,0))=1,"class review",IF($I326="Bloomberg",IF(AND(ISNUMBER(INDEX('Market Data'!$AH$5:$AH$66,INDEX('Market Data'!$J$5:$J$528,$T326)-4)),N(INDEX('Market Data'!$AH$5:$AH$66,INDEX('Market Data'!$J$5:$J$528,$T326)-4))&gt;0,ISNUMBER('Market Data'!$B$1),N('Market Data'!$B$1)&gt;0),INDEX('Market Data'!$AH$5:$AH$66,INDEX('Market Data'!$J$5:$J$528,$T326)-4)*'Market Data'!$B$1/$E326-1,"pending A/FX"),IF(AND($I326="Snapshot",$Q326="Snapshot",ISNUMBER($E326),$G326=INDEX('Market Data'!$AE$5:$AE$66,INDEX('Market Data'!$J$5:$J$528,$T326)-4)),IFERROR(INDEX('Market Data'!$AC$5:$AC$66,INDEX('Market Data'!$J$5:$J$528,$T326)-4)*INDEX('Market Data'!$AD$5:$AD$66,INDEX('Market Data'!$J$5:$J$528,$T326)-4)/$E326-1,"unavailable"),IF($I326="Unavailable","unavailable","date mismatch"))))))</f>
        <v/>
      </c>
      <c r="N326" s="11">
        <f>IF($T326=0,"",IFERROR(IF(AND(N(INDEX('Market Data'!$F$5:$F$528,$T326))&gt;0,ISNUMBER(INDEX('Market Data'!$T$5:$T$528,$T326))),$E326*INDEX('Market Data'!$T$5:$T$528,$T326)/INDEX('Market Data'!$F$5:$F$528,$T326)-1,"unavailable"),"unavailable"))</f>
        <v/>
      </c>
      <c r="O326" s="9">
        <f>IF($T326=0,"",IF(IF(INDEX('Market Data'!$J$5:$J$528,$T326)=0,0,IF(LEFT(INDEX('Market Data'!$AS$5:$AS$66,INDEX('Market Data'!$J$5:$J$528,$T326)-4),11)="First-month",1,0))=1,"Class ratio review",IF($I326="Bloomberg",IF(ISNUMBER($G326),IF($G326&lt;TODAY(),"Older quote","See quote time"),"Date unavailable"),IF($I326="Snapshot",IF($G326&lt;DATEVALUE("2026-10-02"),"Older snapshot","Dated close"),"No valid quote"))))</f>
        <v/>
      </c>
      <c r="P326" s="14">
        <f>IF($T326=0,"",IF(INDEX('Market Data'!$J$5:$J$528,$T326)=0,"n/a",IF($Q326="Bloomberg",IF(AND(ISNUMBER(INDEX('Market Data'!$AK$5:$AK$66,INDEX('Market Data'!$J$5:$J$528,$T326)-4)),N(INDEX('Market Data'!$AK$5:$AK$66,INDEX('Market Data'!$J$5:$J$528,$T326)-4))&gt;0),INDEX('Market Data'!$AK$5:$AK$66,INDEX('Market Data'!$J$5:$J$528,$T326)-4),"date unavailable"),IF($Q326="Snapshot",IF(AND(ISNUMBER(INDEX('Market Data'!$AF$5:$AF$66,INDEX('Market Data'!$J$5:$J$528,$T326)-4)),N(INDEX('Market Data'!$AF$5:$AF$66,INDEX('Market Data'!$J$5:$J$528,$T326)-4))&gt;0),INDEX('Market Data'!$AF$5:$AF$66,INDEX('Market Data'!$J$5:$J$528,$T326)-4),"date unavailable"),"date unavailable"))))</f>
        <v/>
      </c>
      <c r="Q326" s="15">
        <f>IF($T326=0,"",IF(INDEX('Market Data'!$J$5:$J$528,$T326)=0,"n/a",IF(AND($M$5&lt;&gt;"Snapshot",ISNUMBER(INDEX('Market Data'!$AH$5:$AH$66,INDEX('Market Data'!$J$5:$J$528,$T326)-4)),N(INDEX('Market Data'!$AH$5:$AH$66,INDEX('Market Data'!$J$5:$J$528,$T326)-4))&gt;0),"Bloomberg",IF(AND($M$5&lt;&gt;"Bloomberg",ISNUMBER(INDEX('Market Data'!$AC$5:$AC$66,INDEX('Market Data'!$J$5:$J$528,$T326)-4)),N(INDEX('Market Data'!$AC$5:$AC$66,INDEX('Market Data'!$J$5:$J$528,$T326)-4))&gt;0),"Snapshot","Unavailable"))))</f>
        <v/>
      </c>
      <c r="T326">
        <f>IFERROR(MATCH(318,'Market Data'!$S$5:$S$528,0),0)</f>
        <v/>
      </c>
    </row>
    <row r="327" ht="34" customHeight="1">
      <c r="A327" s="8">
        <f>IF($T327=0,"",IF(INDEX('Market Data'!$A$5:$A$528,$T327)="","",INDEX('Market Data'!$A$5:$A$528,$T327)))</f>
        <v/>
      </c>
      <c r="B327" s="9">
        <f>IF($T327=0,"",IF(INDEX('Market Data'!$B$5:$B$528,$T327)="","",INDEX('Market Data'!$B$5:$B$528,$T327)))</f>
        <v/>
      </c>
      <c r="C327" s="9">
        <f>IF($T327=0,"",IF(INDEX('Market Data'!$C$5:$C$528,$T327)="","",INDEX('Market Data'!$C$5:$C$528,$T327)))</f>
        <v/>
      </c>
      <c r="D327" s="9">
        <f>IF($T327=0,"",IF(INDEX('Market Data'!$D$5:$D$528,$T327)="","",INDEX('Market Data'!$D$5:$D$528,$T327)))</f>
        <v/>
      </c>
      <c r="E327" s="10">
        <f>IF($T327=0,"",INDEX('Market Data'!$O$5:$O$528,$T327))</f>
        <v/>
      </c>
      <c r="F327" s="11">
        <f>IF($T327=0,"",IF(AND($I327="Bloomberg",ISNUMBER(INDEX('Market Data'!$L$5:$L$528,$T327))),INDEX('Market Data'!$L$5:$L$528,$T327),"unavailable"))</f>
        <v/>
      </c>
      <c r="G327" s="12">
        <f>IF($T327=0,"",IF($I327="Bloomberg",IF(AND(ISNUMBER(INDEX('Market Data'!$M$5:$M$528,$T327)),N(INDEX('Market Data'!$M$5:$M$528,$T327))&gt;0),INDEX('Market Data'!$M$5:$M$528,$T327),"date unavailable"),IF($I327="Snapshot",IF(AND(ISNUMBER(INDEX('Market Data'!$H$5:$H$528,$T327)),N(INDEX('Market Data'!$H$5:$H$528,$T327))&gt;0),INDEX('Market Data'!$H$5:$H$528,$T327),"date unavailable"),"date unavailable")))</f>
        <v/>
      </c>
      <c r="H327" s="9">
        <f>IF($T327=0,"",IF($I327="Bloomberg",IF(INDEX('Market Data'!$N$5:$N$528,$T327)="","time unavailable",INDEX('Market Data'!$N$5:$N$528,$T327)),""))</f>
        <v/>
      </c>
      <c r="I327" s="9">
        <f>IF($T327=0,"",INDEX('Market Data'!$P$5:$P$528,$T327))</f>
        <v/>
      </c>
      <c r="J327" s="13">
        <f>IF($T327=0,"",IF(INDEX('Market Data'!$E$5:$E$528,$T327)="","",INDEX('Market Data'!$E$5:$E$528,$T327)))</f>
        <v/>
      </c>
      <c r="K327" s="8">
        <f>IF($T327=0,"",IF(INDEX('Market Data'!$I$5:$I$528,$T327)="","",INDEX('Market Data'!$I$5:$I$528,$T327)))</f>
        <v/>
      </c>
      <c r="L327" s="10">
        <f>IF($T327=0,"",IF(INDEX('Market Data'!$J$5:$J$528,$T327)=0,"n/a",IF(AND($M$5&lt;&gt;"Snapshot",ISNUMBER(INDEX('Market Data'!$AH$5:$AH$66,INDEX('Market Data'!$J$5:$J$528,$T327)-4)),N(INDEX('Market Data'!$AH$5:$AH$66,INDEX('Market Data'!$J$5:$J$528,$T327)-4))&gt;0),INDEX('Market Data'!$AH$5:$AH$66,INDEX('Market Data'!$J$5:$J$528,$T327)-4),IF(AND($M$5&lt;&gt;"Bloomberg",ISNUMBER(INDEX('Market Data'!$AC$5:$AC$66,INDEX('Market Data'!$J$5:$J$528,$T327)-4)),N(INDEX('Market Data'!$AC$5:$AC$66,INDEX('Market Data'!$J$5:$J$528,$T327)-4))&gt;0),INDEX('Market Data'!$AC$5:$AC$66,INDEX('Market Data'!$J$5:$J$528,$T327)-4),"unavailable"))))</f>
        <v/>
      </c>
      <c r="M327" s="11">
        <f>IF($T327=0,"",IF(INDEX('Market Data'!$J$5:$J$528,$T327)=0,"n/a",IF(IF(INDEX('Market Data'!$J$5:$J$528,$T327)=0,0,IF(LEFT(INDEX('Market Data'!$AS$5:$AS$66,INDEX('Market Data'!$J$5:$J$528,$T327)-4),11)="First-month",1,0))=1,"class review",IF($I327="Bloomberg",IF(AND(ISNUMBER(INDEX('Market Data'!$AH$5:$AH$66,INDEX('Market Data'!$J$5:$J$528,$T327)-4)),N(INDEX('Market Data'!$AH$5:$AH$66,INDEX('Market Data'!$J$5:$J$528,$T327)-4))&gt;0,ISNUMBER('Market Data'!$B$1),N('Market Data'!$B$1)&gt;0),INDEX('Market Data'!$AH$5:$AH$66,INDEX('Market Data'!$J$5:$J$528,$T327)-4)*'Market Data'!$B$1/$E327-1,"pending A/FX"),IF(AND($I327="Snapshot",$Q327="Snapshot",ISNUMBER($E327),$G327=INDEX('Market Data'!$AE$5:$AE$66,INDEX('Market Data'!$J$5:$J$528,$T327)-4)),IFERROR(INDEX('Market Data'!$AC$5:$AC$66,INDEX('Market Data'!$J$5:$J$528,$T327)-4)*INDEX('Market Data'!$AD$5:$AD$66,INDEX('Market Data'!$J$5:$J$528,$T327)-4)/$E327-1,"unavailable"),IF($I327="Unavailable","unavailable","date mismatch"))))))</f>
        <v/>
      </c>
      <c r="N327" s="11">
        <f>IF($T327=0,"",IFERROR(IF(AND(N(INDEX('Market Data'!$F$5:$F$528,$T327))&gt;0,ISNUMBER(INDEX('Market Data'!$T$5:$T$528,$T327))),$E327*INDEX('Market Data'!$T$5:$T$528,$T327)/INDEX('Market Data'!$F$5:$F$528,$T327)-1,"unavailable"),"unavailable"))</f>
        <v/>
      </c>
      <c r="O327" s="9">
        <f>IF($T327=0,"",IF(IF(INDEX('Market Data'!$J$5:$J$528,$T327)=0,0,IF(LEFT(INDEX('Market Data'!$AS$5:$AS$66,INDEX('Market Data'!$J$5:$J$528,$T327)-4),11)="First-month",1,0))=1,"Class ratio review",IF($I327="Bloomberg",IF(ISNUMBER($G327),IF($G327&lt;TODAY(),"Older quote","See quote time"),"Date unavailable"),IF($I327="Snapshot",IF($G327&lt;DATEVALUE("2026-10-02"),"Older snapshot","Dated close"),"No valid quote"))))</f>
        <v/>
      </c>
      <c r="P327" s="14">
        <f>IF($T327=0,"",IF(INDEX('Market Data'!$J$5:$J$528,$T327)=0,"n/a",IF($Q327="Bloomberg",IF(AND(ISNUMBER(INDEX('Market Data'!$AK$5:$AK$66,INDEX('Market Data'!$J$5:$J$528,$T327)-4)),N(INDEX('Market Data'!$AK$5:$AK$66,INDEX('Market Data'!$J$5:$J$528,$T327)-4))&gt;0),INDEX('Market Data'!$AK$5:$AK$66,INDEX('Market Data'!$J$5:$J$528,$T327)-4),"date unavailable"),IF($Q327="Snapshot",IF(AND(ISNUMBER(INDEX('Market Data'!$AF$5:$AF$66,INDEX('Market Data'!$J$5:$J$528,$T327)-4)),N(INDEX('Market Data'!$AF$5:$AF$66,INDEX('Market Data'!$J$5:$J$528,$T327)-4))&gt;0),INDEX('Market Data'!$AF$5:$AF$66,INDEX('Market Data'!$J$5:$J$528,$T327)-4),"date unavailable"),"date unavailable"))))</f>
        <v/>
      </c>
      <c r="Q327" s="15">
        <f>IF($T327=0,"",IF(INDEX('Market Data'!$J$5:$J$528,$T327)=0,"n/a",IF(AND($M$5&lt;&gt;"Snapshot",ISNUMBER(INDEX('Market Data'!$AH$5:$AH$66,INDEX('Market Data'!$J$5:$J$528,$T327)-4)),N(INDEX('Market Data'!$AH$5:$AH$66,INDEX('Market Data'!$J$5:$J$528,$T327)-4))&gt;0),"Bloomberg",IF(AND($M$5&lt;&gt;"Bloomberg",ISNUMBER(INDEX('Market Data'!$AC$5:$AC$66,INDEX('Market Data'!$J$5:$J$528,$T327)-4)),N(INDEX('Market Data'!$AC$5:$AC$66,INDEX('Market Data'!$J$5:$J$528,$T327)-4))&gt;0),"Snapshot","Unavailable"))))</f>
        <v/>
      </c>
      <c r="T327">
        <f>IFERROR(MATCH(319,'Market Data'!$S$5:$S$528,0),0)</f>
        <v/>
      </c>
    </row>
    <row r="328" ht="34" customHeight="1">
      <c r="A328" s="8">
        <f>IF($T328=0,"",IF(INDEX('Market Data'!$A$5:$A$528,$T328)="","",INDEX('Market Data'!$A$5:$A$528,$T328)))</f>
        <v/>
      </c>
      <c r="B328" s="9">
        <f>IF($T328=0,"",IF(INDEX('Market Data'!$B$5:$B$528,$T328)="","",INDEX('Market Data'!$B$5:$B$528,$T328)))</f>
        <v/>
      </c>
      <c r="C328" s="9">
        <f>IF($T328=0,"",IF(INDEX('Market Data'!$C$5:$C$528,$T328)="","",INDEX('Market Data'!$C$5:$C$528,$T328)))</f>
        <v/>
      </c>
      <c r="D328" s="9">
        <f>IF($T328=0,"",IF(INDEX('Market Data'!$D$5:$D$528,$T328)="","",INDEX('Market Data'!$D$5:$D$528,$T328)))</f>
        <v/>
      </c>
      <c r="E328" s="10">
        <f>IF($T328=0,"",INDEX('Market Data'!$O$5:$O$528,$T328))</f>
        <v/>
      </c>
      <c r="F328" s="11">
        <f>IF($T328=0,"",IF(AND($I328="Bloomberg",ISNUMBER(INDEX('Market Data'!$L$5:$L$528,$T328))),INDEX('Market Data'!$L$5:$L$528,$T328),"unavailable"))</f>
        <v/>
      </c>
      <c r="G328" s="12">
        <f>IF($T328=0,"",IF($I328="Bloomberg",IF(AND(ISNUMBER(INDEX('Market Data'!$M$5:$M$528,$T328)),N(INDEX('Market Data'!$M$5:$M$528,$T328))&gt;0),INDEX('Market Data'!$M$5:$M$528,$T328),"date unavailable"),IF($I328="Snapshot",IF(AND(ISNUMBER(INDEX('Market Data'!$H$5:$H$528,$T328)),N(INDEX('Market Data'!$H$5:$H$528,$T328))&gt;0),INDEX('Market Data'!$H$5:$H$528,$T328),"date unavailable"),"date unavailable")))</f>
        <v/>
      </c>
      <c r="H328" s="9">
        <f>IF($T328=0,"",IF($I328="Bloomberg",IF(INDEX('Market Data'!$N$5:$N$528,$T328)="","time unavailable",INDEX('Market Data'!$N$5:$N$528,$T328)),""))</f>
        <v/>
      </c>
      <c r="I328" s="9">
        <f>IF($T328=0,"",INDEX('Market Data'!$P$5:$P$528,$T328))</f>
        <v/>
      </c>
      <c r="J328" s="13">
        <f>IF($T328=0,"",IF(INDEX('Market Data'!$E$5:$E$528,$T328)="","",INDEX('Market Data'!$E$5:$E$528,$T328)))</f>
        <v/>
      </c>
      <c r="K328" s="8">
        <f>IF($T328=0,"",IF(INDEX('Market Data'!$I$5:$I$528,$T328)="","",INDEX('Market Data'!$I$5:$I$528,$T328)))</f>
        <v/>
      </c>
      <c r="L328" s="10">
        <f>IF($T328=0,"",IF(INDEX('Market Data'!$J$5:$J$528,$T328)=0,"n/a",IF(AND($M$5&lt;&gt;"Snapshot",ISNUMBER(INDEX('Market Data'!$AH$5:$AH$66,INDEX('Market Data'!$J$5:$J$528,$T328)-4)),N(INDEX('Market Data'!$AH$5:$AH$66,INDEX('Market Data'!$J$5:$J$528,$T328)-4))&gt;0),INDEX('Market Data'!$AH$5:$AH$66,INDEX('Market Data'!$J$5:$J$528,$T328)-4),IF(AND($M$5&lt;&gt;"Bloomberg",ISNUMBER(INDEX('Market Data'!$AC$5:$AC$66,INDEX('Market Data'!$J$5:$J$528,$T328)-4)),N(INDEX('Market Data'!$AC$5:$AC$66,INDEX('Market Data'!$J$5:$J$528,$T328)-4))&gt;0),INDEX('Market Data'!$AC$5:$AC$66,INDEX('Market Data'!$J$5:$J$528,$T328)-4),"unavailable"))))</f>
        <v/>
      </c>
      <c r="M328" s="11">
        <f>IF($T328=0,"",IF(INDEX('Market Data'!$J$5:$J$528,$T328)=0,"n/a",IF(IF(INDEX('Market Data'!$J$5:$J$528,$T328)=0,0,IF(LEFT(INDEX('Market Data'!$AS$5:$AS$66,INDEX('Market Data'!$J$5:$J$528,$T328)-4),11)="First-month",1,0))=1,"class review",IF($I328="Bloomberg",IF(AND(ISNUMBER(INDEX('Market Data'!$AH$5:$AH$66,INDEX('Market Data'!$J$5:$J$528,$T328)-4)),N(INDEX('Market Data'!$AH$5:$AH$66,INDEX('Market Data'!$J$5:$J$528,$T328)-4))&gt;0,ISNUMBER('Market Data'!$B$1),N('Market Data'!$B$1)&gt;0),INDEX('Market Data'!$AH$5:$AH$66,INDEX('Market Data'!$J$5:$J$528,$T328)-4)*'Market Data'!$B$1/$E328-1,"pending A/FX"),IF(AND($I328="Snapshot",$Q328="Snapshot",ISNUMBER($E328),$G328=INDEX('Market Data'!$AE$5:$AE$66,INDEX('Market Data'!$J$5:$J$528,$T328)-4)),IFERROR(INDEX('Market Data'!$AC$5:$AC$66,INDEX('Market Data'!$J$5:$J$528,$T328)-4)*INDEX('Market Data'!$AD$5:$AD$66,INDEX('Market Data'!$J$5:$J$528,$T328)-4)/$E328-1,"unavailable"),IF($I328="Unavailable","unavailable","date mismatch"))))))</f>
        <v/>
      </c>
      <c r="N328" s="11">
        <f>IF($T328=0,"",IFERROR(IF(AND(N(INDEX('Market Data'!$F$5:$F$528,$T328))&gt;0,ISNUMBER(INDEX('Market Data'!$T$5:$T$528,$T328))),$E328*INDEX('Market Data'!$T$5:$T$528,$T328)/INDEX('Market Data'!$F$5:$F$528,$T328)-1,"unavailable"),"unavailable"))</f>
        <v/>
      </c>
      <c r="O328" s="9">
        <f>IF($T328=0,"",IF(IF(INDEX('Market Data'!$J$5:$J$528,$T328)=0,0,IF(LEFT(INDEX('Market Data'!$AS$5:$AS$66,INDEX('Market Data'!$J$5:$J$528,$T328)-4),11)="First-month",1,0))=1,"Class ratio review",IF($I328="Bloomberg",IF(ISNUMBER($G328),IF($G328&lt;TODAY(),"Older quote","See quote time"),"Date unavailable"),IF($I328="Snapshot",IF($G328&lt;DATEVALUE("2026-10-02"),"Older snapshot","Dated close"),"No valid quote"))))</f>
        <v/>
      </c>
      <c r="P328" s="14">
        <f>IF($T328=0,"",IF(INDEX('Market Data'!$J$5:$J$528,$T328)=0,"n/a",IF($Q328="Bloomberg",IF(AND(ISNUMBER(INDEX('Market Data'!$AK$5:$AK$66,INDEX('Market Data'!$J$5:$J$528,$T328)-4)),N(INDEX('Market Data'!$AK$5:$AK$66,INDEX('Market Data'!$J$5:$J$528,$T328)-4))&gt;0),INDEX('Market Data'!$AK$5:$AK$66,INDEX('Market Data'!$J$5:$J$528,$T328)-4),"date unavailable"),IF($Q328="Snapshot",IF(AND(ISNUMBER(INDEX('Market Data'!$AF$5:$AF$66,INDEX('Market Data'!$J$5:$J$528,$T328)-4)),N(INDEX('Market Data'!$AF$5:$AF$66,INDEX('Market Data'!$J$5:$J$528,$T328)-4))&gt;0),INDEX('Market Data'!$AF$5:$AF$66,INDEX('Market Data'!$J$5:$J$528,$T328)-4),"date unavailable"),"date unavailable"))))</f>
        <v/>
      </c>
      <c r="Q328" s="15">
        <f>IF($T328=0,"",IF(INDEX('Market Data'!$J$5:$J$528,$T328)=0,"n/a",IF(AND($M$5&lt;&gt;"Snapshot",ISNUMBER(INDEX('Market Data'!$AH$5:$AH$66,INDEX('Market Data'!$J$5:$J$528,$T328)-4)),N(INDEX('Market Data'!$AH$5:$AH$66,INDEX('Market Data'!$J$5:$J$528,$T328)-4))&gt;0),"Bloomberg",IF(AND($M$5&lt;&gt;"Bloomberg",ISNUMBER(INDEX('Market Data'!$AC$5:$AC$66,INDEX('Market Data'!$J$5:$J$528,$T328)-4)),N(INDEX('Market Data'!$AC$5:$AC$66,INDEX('Market Data'!$J$5:$J$528,$T328)-4))&gt;0),"Snapshot","Unavailable"))))</f>
        <v/>
      </c>
      <c r="T328">
        <f>IFERROR(MATCH(320,'Market Data'!$S$5:$S$528,0),0)</f>
        <v/>
      </c>
    </row>
    <row r="329" ht="34" customHeight="1">
      <c r="A329" s="8">
        <f>IF($T329=0,"",IF(INDEX('Market Data'!$A$5:$A$528,$T329)="","",INDEX('Market Data'!$A$5:$A$528,$T329)))</f>
        <v/>
      </c>
      <c r="B329" s="9">
        <f>IF($T329=0,"",IF(INDEX('Market Data'!$B$5:$B$528,$T329)="","",INDEX('Market Data'!$B$5:$B$528,$T329)))</f>
        <v/>
      </c>
      <c r="C329" s="9">
        <f>IF($T329=0,"",IF(INDEX('Market Data'!$C$5:$C$528,$T329)="","",INDEX('Market Data'!$C$5:$C$528,$T329)))</f>
        <v/>
      </c>
      <c r="D329" s="9">
        <f>IF($T329=0,"",IF(INDEX('Market Data'!$D$5:$D$528,$T329)="","",INDEX('Market Data'!$D$5:$D$528,$T329)))</f>
        <v/>
      </c>
      <c r="E329" s="10">
        <f>IF($T329=0,"",INDEX('Market Data'!$O$5:$O$528,$T329))</f>
        <v/>
      </c>
      <c r="F329" s="11">
        <f>IF($T329=0,"",IF(AND($I329="Bloomberg",ISNUMBER(INDEX('Market Data'!$L$5:$L$528,$T329))),INDEX('Market Data'!$L$5:$L$528,$T329),"unavailable"))</f>
        <v/>
      </c>
      <c r="G329" s="12">
        <f>IF($T329=0,"",IF($I329="Bloomberg",IF(AND(ISNUMBER(INDEX('Market Data'!$M$5:$M$528,$T329)),N(INDEX('Market Data'!$M$5:$M$528,$T329))&gt;0),INDEX('Market Data'!$M$5:$M$528,$T329),"date unavailable"),IF($I329="Snapshot",IF(AND(ISNUMBER(INDEX('Market Data'!$H$5:$H$528,$T329)),N(INDEX('Market Data'!$H$5:$H$528,$T329))&gt;0),INDEX('Market Data'!$H$5:$H$528,$T329),"date unavailable"),"date unavailable")))</f>
        <v/>
      </c>
      <c r="H329" s="9">
        <f>IF($T329=0,"",IF($I329="Bloomberg",IF(INDEX('Market Data'!$N$5:$N$528,$T329)="","time unavailable",INDEX('Market Data'!$N$5:$N$528,$T329)),""))</f>
        <v/>
      </c>
      <c r="I329" s="9">
        <f>IF($T329=0,"",INDEX('Market Data'!$P$5:$P$528,$T329))</f>
        <v/>
      </c>
      <c r="J329" s="13">
        <f>IF($T329=0,"",IF(INDEX('Market Data'!$E$5:$E$528,$T329)="","",INDEX('Market Data'!$E$5:$E$528,$T329)))</f>
        <v/>
      </c>
      <c r="K329" s="8">
        <f>IF($T329=0,"",IF(INDEX('Market Data'!$I$5:$I$528,$T329)="","",INDEX('Market Data'!$I$5:$I$528,$T329)))</f>
        <v/>
      </c>
      <c r="L329" s="10">
        <f>IF($T329=0,"",IF(INDEX('Market Data'!$J$5:$J$528,$T329)=0,"n/a",IF(AND($M$5&lt;&gt;"Snapshot",ISNUMBER(INDEX('Market Data'!$AH$5:$AH$66,INDEX('Market Data'!$J$5:$J$528,$T329)-4)),N(INDEX('Market Data'!$AH$5:$AH$66,INDEX('Market Data'!$J$5:$J$528,$T329)-4))&gt;0),INDEX('Market Data'!$AH$5:$AH$66,INDEX('Market Data'!$J$5:$J$528,$T329)-4),IF(AND($M$5&lt;&gt;"Bloomberg",ISNUMBER(INDEX('Market Data'!$AC$5:$AC$66,INDEX('Market Data'!$J$5:$J$528,$T329)-4)),N(INDEX('Market Data'!$AC$5:$AC$66,INDEX('Market Data'!$J$5:$J$528,$T329)-4))&gt;0),INDEX('Market Data'!$AC$5:$AC$66,INDEX('Market Data'!$J$5:$J$528,$T329)-4),"unavailable"))))</f>
        <v/>
      </c>
      <c r="M329" s="11">
        <f>IF($T329=0,"",IF(INDEX('Market Data'!$J$5:$J$528,$T329)=0,"n/a",IF(IF(INDEX('Market Data'!$J$5:$J$528,$T329)=0,0,IF(LEFT(INDEX('Market Data'!$AS$5:$AS$66,INDEX('Market Data'!$J$5:$J$528,$T329)-4),11)="First-month",1,0))=1,"class review",IF($I329="Bloomberg",IF(AND(ISNUMBER(INDEX('Market Data'!$AH$5:$AH$66,INDEX('Market Data'!$J$5:$J$528,$T329)-4)),N(INDEX('Market Data'!$AH$5:$AH$66,INDEX('Market Data'!$J$5:$J$528,$T329)-4))&gt;0,ISNUMBER('Market Data'!$B$1),N('Market Data'!$B$1)&gt;0),INDEX('Market Data'!$AH$5:$AH$66,INDEX('Market Data'!$J$5:$J$528,$T329)-4)*'Market Data'!$B$1/$E329-1,"pending A/FX"),IF(AND($I329="Snapshot",$Q329="Snapshot",ISNUMBER($E329),$G329=INDEX('Market Data'!$AE$5:$AE$66,INDEX('Market Data'!$J$5:$J$528,$T329)-4)),IFERROR(INDEX('Market Data'!$AC$5:$AC$66,INDEX('Market Data'!$J$5:$J$528,$T329)-4)*INDEX('Market Data'!$AD$5:$AD$66,INDEX('Market Data'!$J$5:$J$528,$T329)-4)/$E329-1,"unavailable"),IF($I329="Unavailable","unavailable","date mismatch"))))))</f>
        <v/>
      </c>
      <c r="N329" s="11">
        <f>IF($T329=0,"",IFERROR(IF(AND(N(INDEX('Market Data'!$F$5:$F$528,$T329))&gt;0,ISNUMBER(INDEX('Market Data'!$T$5:$T$528,$T329))),$E329*INDEX('Market Data'!$T$5:$T$528,$T329)/INDEX('Market Data'!$F$5:$F$528,$T329)-1,"unavailable"),"unavailable"))</f>
        <v/>
      </c>
      <c r="O329" s="9">
        <f>IF($T329=0,"",IF(IF(INDEX('Market Data'!$J$5:$J$528,$T329)=0,0,IF(LEFT(INDEX('Market Data'!$AS$5:$AS$66,INDEX('Market Data'!$J$5:$J$528,$T329)-4),11)="First-month",1,0))=1,"Class ratio review",IF($I329="Bloomberg",IF(ISNUMBER($G329),IF($G329&lt;TODAY(),"Older quote","See quote time"),"Date unavailable"),IF($I329="Snapshot",IF($G329&lt;DATEVALUE("2026-10-02"),"Older snapshot","Dated close"),"No valid quote"))))</f>
        <v/>
      </c>
      <c r="P329" s="14">
        <f>IF($T329=0,"",IF(INDEX('Market Data'!$J$5:$J$528,$T329)=0,"n/a",IF($Q329="Bloomberg",IF(AND(ISNUMBER(INDEX('Market Data'!$AK$5:$AK$66,INDEX('Market Data'!$J$5:$J$528,$T329)-4)),N(INDEX('Market Data'!$AK$5:$AK$66,INDEX('Market Data'!$J$5:$J$528,$T329)-4))&gt;0),INDEX('Market Data'!$AK$5:$AK$66,INDEX('Market Data'!$J$5:$J$528,$T329)-4),"date unavailable"),IF($Q329="Snapshot",IF(AND(ISNUMBER(INDEX('Market Data'!$AF$5:$AF$66,INDEX('Market Data'!$J$5:$J$528,$T329)-4)),N(INDEX('Market Data'!$AF$5:$AF$66,INDEX('Market Data'!$J$5:$J$528,$T329)-4))&gt;0),INDEX('Market Data'!$AF$5:$AF$66,INDEX('Market Data'!$J$5:$J$528,$T329)-4),"date unavailable"),"date unavailable"))))</f>
        <v/>
      </c>
      <c r="Q329" s="15">
        <f>IF($T329=0,"",IF(INDEX('Market Data'!$J$5:$J$528,$T329)=0,"n/a",IF(AND($M$5&lt;&gt;"Snapshot",ISNUMBER(INDEX('Market Data'!$AH$5:$AH$66,INDEX('Market Data'!$J$5:$J$528,$T329)-4)),N(INDEX('Market Data'!$AH$5:$AH$66,INDEX('Market Data'!$J$5:$J$528,$T329)-4))&gt;0),"Bloomberg",IF(AND($M$5&lt;&gt;"Bloomberg",ISNUMBER(INDEX('Market Data'!$AC$5:$AC$66,INDEX('Market Data'!$J$5:$J$528,$T329)-4)),N(INDEX('Market Data'!$AC$5:$AC$66,INDEX('Market Data'!$J$5:$J$528,$T329)-4))&gt;0),"Snapshot","Unavailable"))))</f>
        <v/>
      </c>
      <c r="T329">
        <f>IFERROR(MATCH(321,'Market Data'!$S$5:$S$528,0),0)</f>
        <v/>
      </c>
    </row>
    <row r="330" ht="34" customHeight="1">
      <c r="A330" s="8">
        <f>IF($T330=0,"",IF(INDEX('Market Data'!$A$5:$A$528,$T330)="","",INDEX('Market Data'!$A$5:$A$528,$T330)))</f>
        <v/>
      </c>
      <c r="B330" s="9">
        <f>IF($T330=0,"",IF(INDEX('Market Data'!$B$5:$B$528,$T330)="","",INDEX('Market Data'!$B$5:$B$528,$T330)))</f>
        <v/>
      </c>
      <c r="C330" s="9">
        <f>IF($T330=0,"",IF(INDEX('Market Data'!$C$5:$C$528,$T330)="","",INDEX('Market Data'!$C$5:$C$528,$T330)))</f>
        <v/>
      </c>
      <c r="D330" s="9">
        <f>IF($T330=0,"",IF(INDEX('Market Data'!$D$5:$D$528,$T330)="","",INDEX('Market Data'!$D$5:$D$528,$T330)))</f>
        <v/>
      </c>
      <c r="E330" s="10">
        <f>IF($T330=0,"",INDEX('Market Data'!$O$5:$O$528,$T330))</f>
        <v/>
      </c>
      <c r="F330" s="11">
        <f>IF($T330=0,"",IF(AND($I330="Bloomberg",ISNUMBER(INDEX('Market Data'!$L$5:$L$528,$T330))),INDEX('Market Data'!$L$5:$L$528,$T330),"unavailable"))</f>
        <v/>
      </c>
      <c r="G330" s="12">
        <f>IF($T330=0,"",IF($I330="Bloomberg",IF(AND(ISNUMBER(INDEX('Market Data'!$M$5:$M$528,$T330)),N(INDEX('Market Data'!$M$5:$M$528,$T330))&gt;0),INDEX('Market Data'!$M$5:$M$528,$T330),"date unavailable"),IF($I330="Snapshot",IF(AND(ISNUMBER(INDEX('Market Data'!$H$5:$H$528,$T330)),N(INDEX('Market Data'!$H$5:$H$528,$T330))&gt;0),INDEX('Market Data'!$H$5:$H$528,$T330),"date unavailable"),"date unavailable")))</f>
        <v/>
      </c>
      <c r="H330" s="9">
        <f>IF($T330=0,"",IF($I330="Bloomberg",IF(INDEX('Market Data'!$N$5:$N$528,$T330)="","time unavailable",INDEX('Market Data'!$N$5:$N$528,$T330)),""))</f>
        <v/>
      </c>
      <c r="I330" s="9">
        <f>IF($T330=0,"",INDEX('Market Data'!$P$5:$P$528,$T330))</f>
        <v/>
      </c>
      <c r="J330" s="13">
        <f>IF($T330=0,"",IF(INDEX('Market Data'!$E$5:$E$528,$T330)="","",INDEX('Market Data'!$E$5:$E$528,$T330)))</f>
        <v/>
      </c>
      <c r="K330" s="8">
        <f>IF($T330=0,"",IF(INDEX('Market Data'!$I$5:$I$528,$T330)="","",INDEX('Market Data'!$I$5:$I$528,$T330)))</f>
        <v/>
      </c>
      <c r="L330" s="10">
        <f>IF($T330=0,"",IF(INDEX('Market Data'!$J$5:$J$528,$T330)=0,"n/a",IF(AND($M$5&lt;&gt;"Snapshot",ISNUMBER(INDEX('Market Data'!$AH$5:$AH$66,INDEX('Market Data'!$J$5:$J$528,$T330)-4)),N(INDEX('Market Data'!$AH$5:$AH$66,INDEX('Market Data'!$J$5:$J$528,$T330)-4))&gt;0),INDEX('Market Data'!$AH$5:$AH$66,INDEX('Market Data'!$J$5:$J$528,$T330)-4),IF(AND($M$5&lt;&gt;"Bloomberg",ISNUMBER(INDEX('Market Data'!$AC$5:$AC$66,INDEX('Market Data'!$J$5:$J$528,$T330)-4)),N(INDEX('Market Data'!$AC$5:$AC$66,INDEX('Market Data'!$J$5:$J$528,$T330)-4))&gt;0),INDEX('Market Data'!$AC$5:$AC$66,INDEX('Market Data'!$J$5:$J$528,$T330)-4),"unavailable"))))</f>
        <v/>
      </c>
      <c r="M330" s="11">
        <f>IF($T330=0,"",IF(INDEX('Market Data'!$J$5:$J$528,$T330)=0,"n/a",IF(IF(INDEX('Market Data'!$J$5:$J$528,$T330)=0,0,IF(LEFT(INDEX('Market Data'!$AS$5:$AS$66,INDEX('Market Data'!$J$5:$J$528,$T330)-4),11)="First-month",1,0))=1,"class review",IF($I330="Bloomberg",IF(AND(ISNUMBER(INDEX('Market Data'!$AH$5:$AH$66,INDEX('Market Data'!$J$5:$J$528,$T330)-4)),N(INDEX('Market Data'!$AH$5:$AH$66,INDEX('Market Data'!$J$5:$J$528,$T330)-4))&gt;0,ISNUMBER('Market Data'!$B$1),N('Market Data'!$B$1)&gt;0),INDEX('Market Data'!$AH$5:$AH$66,INDEX('Market Data'!$J$5:$J$528,$T330)-4)*'Market Data'!$B$1/$E330-1,"pending A/FX"),IF(AND($I330="Snapshot",$Q330="Snapshot",ISNUMBER($E330),$G330=INDEX('Market Data'!$AE$5:$AE$66,INDEX('Market Data'!$J$5:$J$528,$T330)-4)),IFERROR(INDEX('Market Data'!$AC$5:$AC$66,INDEX('Market Data'!$J$5:$J$528,$T330)-4)*INDEX('Market Data'!$AD$5:$AD$66,INDEX('Market Data'!$J$5:$J$528,$T330)-4)/$E330-1,"unavailable"),IF($I330="Unavailable","unavailable","date mismatch"))))))</f>
        <v/>
      </c>
      <c r="N330" s="11">
        <f>IF($T330=0,"",IFERROR(IF(AND(N(INDEX('Market Data'!$F$5:$F$528,$T330))&gt;0,ISNUMBER(INDEX('Market Data'!$T$5:$T$528,$T330))),$E330*INDEX('Market Data'!$T$5:$T$528,$T330)/INDEX('Market Data'!$F$5:$F$528,$T330)-1,"unavailable"),"unavailable"))</f>
        <v/>
      </c>
      <c r="O330" s="9">
        <f>IF($T330=0,"",IF(IF(INDEX('Market Data'!$J$5:$J$528,$T330)=0,0,IF(LEFT(INDEX('Market Data'!$AS$5:$AS$66,INDEX('Market Data'!$J$5:$J$528,$T330)-4),11)="First-month",1,0))=1,"Class ratio review",IF($I330="Bloomberg",IF(ISNUMBER($G330),IF($G330&lt;TODAY(),"Older quote","See quote time"),"Date unavailable"),IF($I330="Snapshot",IF($G330&lt;DATEVALUE("2026-10-02"),"Older snapshot","Dated close"),"No valid quote"))))</f>
        <v/>
      </c>
      <c r="P330" s="14">
        <f>IF($T330=0,"",IF(INDEX('Market Data'!$J$5:$J$528,$T330)=0,"n/a",IF($Q330="Bloomberg",IF(AND(ISNUMBER(INDEX('Market Data'!$AK$5:$AK$66,INDEX('Market Data'!$J$5:$J$528,$T330)-4)),N(INDEX('Market Data'!$AK$5:$AK$66,INDEX('Market Data'!$J$5:$J$528,$T330)-4))&gt;0),INDEX('Market Data'!$AK$5:$AK$66,INDEX('Market Data'!$J$5:$J$528,$T330)-4),"date unavailable"),IF($Q330="Snapshot",IF(AND(ISNUMBER(INDEX('Market Data'!$AF$5:$AF$66,INDEX('Market Data'!$J$5:$J$528,$T330)-4)),N(INDEX('Market Data'!$AF$5:$AF$66,INDEX('Market Data'!$J$5:$J$528,$T330)-4))&gt;0),INDEX('Market Data'!$AF$5:$AF$66,INDEX('Market Data'!$J$5:$J$528,$T330)-4),"date unavailable"),"date unavailable"))))</f>
        <v/>
      </c>
      <c r="Q330" s="15">
        <f>IF($T330=0,"",IF(INDEX('Market Data'!$J$5:$J$528,$T330)=0,"n/a",IF(AND($M$5&lt;&gt;"Snapshot",ISNUMBER(INDEX('Market Data'!$AH$5:$AH$66,INDEX('Market Data'!$J$5:$J$528,$T330)-4)),N(INDEX('Market Data'!$AH$5:$AH$66,INDEX('Market Data'!$J$5:$J$528,$T330)-4))&gt;0),"Bloomberg",IF(AND($M$5&lt;&gt;"Bloomberg",ISNUMBER(INDEX('Market Data'!$AC$5:$AC$66,INDEX('Market Data'!$J$5:$J$528,$T330)-4)),N(INDEX('Market Data'!$AC$5:$AC$66,INDEX('Market Data'!$J$5:$J$528,$T330)-4))&gt;0),"Snapshot","Unavailable"))))</f>
        <v/>
      </c>
      <c r="T330">
        <f>IFERROR(MATCH(322,'Market Data'!$S$5:$S$528,0),0)</f>
        <v/>
      </c>
    </row>
    <row r="331" ht="34" customHeight="1">
      <c r="A331" s="8">
        <f>IF($T331=0,"",IF(INDEX('Market Data'!$A$5:$A$528,$T331)="","",INDEX('Market Data'!$A$5:$A$528,$T331)))</f>
        <v/>
      </c>
      <c r="B331" s="9">
        <f>IF($T331=0,"",IF(INDEX('Market Data'!$B$5:$B$528,$T331)="","",INDEX('Market Data'!$B$5:$B$528,$T331)))</f>
        <v/>
      </c>
      <c r="C331" s="9">
        <f>IF($T331=0,"",IF(INDEX('Market Data'!$C$5:$C$528,$T331)="","",INDEX('Market Data'!$C$5:$C$528,$T331)))</f>
        <v/>
      </c>
      <c r="D331" s="9">
        <f>IF($T331=0,"",IF(INDEX('Market Data'!$D$5:$D$528,$T331)="","",INDEX('Market Data'!$D$5:$D$528,$T331)))</f>
        <v/>
      </c>
      <c r="E331" s="10">
        <f>IF($T331=0,"",INDEX('Market Data'!$O$5:$O$528,$T331))</f>
        <v/>
      </c>
      <c r="F331" s="11">
        <f>IF($T331=0,"",IF(AND($I331="Bloomberg",ISNUMBER(INDEX('Market Data'!$L$5:$L$528,$T331))),INDEX('Market Data'!$L$5:$L$528,$T331),"unavailable"))</f>
        <v/>
      </c>
      <c r="G331" s="12">
        <f>IF($T331=0,"",IF($I331="Bloomberg",IF(AND(ISNUMBER(INDEX('Market Data'!$M$5:$M$528,$T331)),N(INDEX('Market Data'!$M$5:$M$528,$T331))&gt;0),INDEX('Market Data'!$M$5:$M$528,$T331),"date unavailable"),IF($I331="Snapshot",IF(AND(ISNUMBER(INDEX('Market Data'!$H$5:$H$528,$T331)),N(INDEX('Market Data'!$H$5:$H$528,$T331))&gt;0),INDEX('Market Data'!$H$5:$H$528,$T331),"date unavailable"),"date unavailable")))</f>
        <v/>
      </c>
      <c r="H331" s="9">
        <f>IF($T331=0,"",IF($I331="Bloomberg",IF(INDEX('Market Data'!$N$5:$N$528,$T331)="","time unavailable",INDEX('Market Data'!$N$5:$N$528,$T331)),""))</f>
        <v/>
      </c>
      <c r="I331" s="9">
        <f>IF($T331=0,"",INDEX('Market Data'!$P$5:$P$528,$T331))</f>
        <v/>
      </c>
      <c r="J331" s="13">
        <f>IF($T331=0,"",IF(INDEX('Market Data'!$E$5:$E$528,$T331)="","",INDEX('Market Data'!$E$5:$E$528,$T331)))</f>
        <v/>
      </c>
      <c r="K331" s="8">
        <f>IF($T331=0,"",IF(INDEX('Market Data'!$I$5:$I$528,$T331)="","",INDEX('Market Data'!$I$5:$I$528,$T331)))</f>
        <v/>
      </c>
      <c r="L331" s="10">
        <f>IF($T331=0,"",IF(INDEX('Market Data'!$J$5:$J$528,$T331)=0,"n/a",IF(AND($M$5&lt;&gt;"Snapshot",ISNUMBER(INDEX('Market Data'!$AH$5:$AH$66,INDEX('Market Data'!$J$5:$J$528,$T331)-4)),N(INDEX('Market Data'!$AH$5:$AH$66,INDEX('Market Data'!$J$5:$J$528,$T331)-4))&gt;0),INDEX('Market Data'!$AH$5:$AH$66,INDEX('Market Data'!$J$5:$J$528,$T331)-4),IF(AND($M$5&lt;&gt;"Bloomberg",ISNUMBER(INDEX('Market Data'!$AC$5:$AC$66,INDEX('Market Data'!$J$5:$J$528,$T331)-4)),N(INDEX('Market Data'!$AC$5:$AC$66,INDEX('Market Data'!$J$5:$J$528,$T331)-4))&gt;0),INDEX('Market Data'!$AC$5:$AC$66,INDEX('Market Data'!$J$5:$J$528,$T331)-4),"unavailable"))))</f>
        <v/>
      </c>
      <c r="M331" s="11">
        <f>IF($T331=0,"",IF(INDEX('Market Data'!$J$5:$J$528,$T331)=0,"n/a",IF(IF(INDEX('Market Data'!$J$5:$J$528,$T331)=0,0,IF(LEFT(INDEX('Market Data'!$AS$5:$AS$66,INDEX('Market Data'!$J$5:$J$528,$T331)-4),11)="First-month",1,0))=1,"class review",IF($I331="Bloomberg",IF(AND(ISNUMBER(INDEX('Market Data'!$AH$5:$AH$66,INDEX('Market Data'!$J$5:$J$528,$T331)-4)),N(INDEX('Market Data'!$AH$5:$AH$66,INDEX('Market Data'!$J$5:$J$528,$T331)-4))&gt;0,ISNUMBER('Market Data'!$B$1),N('Market Data'!$B$1)&gt;0),INDEX('Market Data'!$AH$5:$AH$66,INDEX('Market Data'!$J$5:$J$528,$T331)-4)*'Market Data'!$B$1/$E331-1,"pending A/FX"),IF(AND($I331="Snapshot",$Q331="Snapshot",ISNUMBER($E331),$G331=INDEX('Market Data'!$AE$5:$AE$66,INDEX('Market Data'!$J$5:$J$528,$T331)-4)),IFERROR(INDEX('Market Data'!$AC$5:$AC$66,INDEX('Market Data'!$J$5:$J$528,$T331)-4)*INDEX('Market Data'!$AD$5:$AD$66,INDEX('Market Data'!$J$5:$J$528,$T331)-4)/$E331-1,"unavailable"),IF($I331="Unavailable","unavailable","date mismatch"))))))</f>
        <v/>
      </c>
      <c r="N331" s="11">
        <f>IF($T331=0,"",IFERROR(IF(AND(N(INDEX('Market Data'!$F$5:$F$528,$T331))&gt;0,ISNUMBER(INDEX('Market Data'!$T$5:$T$528,$T331))),$E331*INDEX('Market Data'!$T$5:$T$528,$T331)/INDEX('Market Data'!$F$5:$F$528,$T331)-1,"unavailable"),"unavailable"))</f>
        <v/>
      </c>
      <c r="O331" s="9">
        <f>IF($T331=0,"",IF(IF(INDEX('Market Data'!$J$5:$J$528,$T331)=0,0,IF(LEFT(INDEX('Market Data'!$AS$5:$AS$66,INDEX('Market Data'!$J$5:$J$528,$T331)-4),11)="First-month",1,0))=1,"Class ratio review",IF($I331="Bloomberg",IF(ISNUMBER($G331),IF($G331&lt;TODAY(),"Older quote","See quote time"),"Date unavailable"),IF($I331="Snapshot",IF($G331&lt;DATEVALUE("2026-10-02"),"Older snapshot","Dated close"),"No valid quote"))))</f>
        <v/>
      </c>
      <c r="P331" s="14">
        <f>IF($T331=0,"",IF(INDEX('Market Data'!$J$5:$J$528,$T331)=0,"n/a",IF($Q331="Bloomberg",IF(AND(ISNUMBER(INDEX('Market Data'!$AK$5:$AK$66,INDEX('Market Data'!$J$5:$J$528,$T331)-4)),N(INDEX('Market Data'!$AK$5:$AK$66,INDEX('Market Data'!$J$5:$J$528,$T331)-4))&gt;0),INDEX('Market Data'!$AK$5:$AK$66,INDEX('Market Data'!$J$5:$J$528,$T331)-4),"date unavailable"),IF($Q331="Snapshot",IF(AND(ISNUMBER(INDEX('Market Data'!$AF$5:$AF$66,INDEX('Market Data'!$J$5:$J$528,$T331)-4)),N(INDEX('Market Data'!$AF$5:$AF$66,INDEX('Market Data'!$J$5:$J$528,$T331)-4))&gt;0),INDEX('Market Data'!$AF$5:$AF$66,INDEX('Market Data'!$J$5:$J$528,$T331)-4),"date unavailable"),"date unavailable"))))</f>
        <v/>
      </c>
      <c r="Q331" s="15">
        <f>IF($T331=0,"",IF(INDEX('Market Data'!$J$5:$J$528,$T331)=0,"n/a",IF(AND($M$5&lt;&gt;"Snapshot",ISNUMBER(INDEX('Market Data'!$AH$5:$AH$66,INDEX('Market Data'!$J$5:$J$528,$T331)-4)),N(INDEX('Market Data'!$AH$5:$AH$66,INDEX('Market Data'!$J$5:$J$528,$T331)-4))&gt;0),"Bloomberg",IF(AND($M$5&lt;&gt;"Bloomberg",ISNUMBER(INDEX('Market Data'!$AC$5:$AC$66,INDEX('Market Data'!$J$5:$J$528,$T331)-4)),N(INDEX('Market Data'!$AC$5:$AC$66,INDEX('Market Data'!$J$5:$J$528,$T331)-4))&gt;0),"Snapshot","Unavailable"))))</f>
        <v/>
      </c>
      <c r="T331">
        <f>IFERROR(MATCH(323,'Market Data'!$S$5:$S$528,0),0)</f>
        <v/>
      </c>
    </row>
    <row r="332" ht="34" customHeight="1">
      <c r="A332" s="8">
        <f>IF($T332=0,"",IF(INDEX('Market Data'!$A$5:$A$528,$T332)="","",INDEX('Market Data'!$A$5:$A$528,$T332)))</f>
        <v/>
      </c>
      <c r="B332" s="9">
        <f>IF($T332=0,"",IF(INDEX('Market Data'!$B$5:$B$528,$T332)="","",INDEX('Market Data'!$B$5:$B$528,$T332)))</f>
        <v/>
      </c>
      <c r="C332" s="9">
        <f>IF($T332=0,"",IF(INDEX('Market Data'!$C$5:$C$528,$T332)="","",INDEX('Market Data'!$C$5:$C$528,$T332)))</f>
        <v/>
      </c>
      <c r="D332" s="9">
        <f>IF($T332=0,"",IF(INDEX('Market Data'!$D$5:$D$528,$T332)="","",INDEX('Market Data'!$D$5:$D$528,$T332)))</f>
        <v/>
      </c>
      <c r="E332" s="10">
        <f>IF($T332=0,"",INDEX('Market Data'!$O$5:$O$528,$T332))</f>
        <v/>
      </c>
      <c r="F332" s="11">
        <f>IF($T332=0,"",IF(AND($I332="Bloomberg",ISNUMBER(INDEX('Market Data'!$L$5:$L$528,$T332))),INDEX('Market Data'!$L$5:$L$528,$T332),"unavailable"))</f>
        <v/>
      </c>
      <c r="G332" s="12">
        <f>IF($T332=0,"",IF($I332="Bloomberg",IF(AND(ISNUMBER(INDEX('Market Data'!$M$5:$M$528,$T332)),N(INDEX('Market Data'!$M$5:$M$528,$T332))&gt;0),INDEX('Market Data'!$M$5:$M$528,$T332),"date unavailable"),IF($I332="Snapshot",IF(AND(ISNUMBER(INDEX('Market Data'!$H$5:$H$528,$T332)),N(INDEX('Market Data'!$H$5:$H$528,$T332))&gt;0),INDEX('Market Data'!$H$5:$H$528,$T332),"date unavailable"),"date unavailable")))</f>
        <v/>
      </c>
      <c r="H332" s="9">
        <f>IF($T332=0,"",IF($I332="Bloomberg",IF(INDEX('Market Data'!$N$5:$N$528,$T332)="","time unavailable",INDEX('Market Data'!$N$5:$N$528,$T332)),""))</f>
        <v/>
      </c>
      <c r="I332" s="9">
        <f>IF($T332=0,"",INDEX('Market Data'!$P$5:$P$528,$T332))</f>
        <v/>
      </c>
      <c r="J332" s="13">
        <f>IF($T332=0,"",IF(INDEX('Market Data'!$E$5:$E$528,$T332)="","",INDEX('Market Data'!$E$5:$E$528,$T332)))</f>
        <v/>
      </c>
      <c r="K332" s="8">
        <f>IF($T332=0,"",IF(INDEX('Market Data'!$I$5:$I$528,$T332)="","",INDEX('Market Data'!$I$5:$I$528,$T332)))</f>
        <v/>
      </c>
      <c r="L332" s="10">
        <f>IF($T332=0,"",IF(INDEX('Market Data'!$J$5:$J$528,$T332)=0,"n/a",IF(AND($M$5&lt;&gt;"Snapshot",ISNUMBER(INDEX('Market Data'!$AH$5:$AH$66,INDEX('Market Data'!$J$5:$J$528,$T332)-4)),N(INDEX('Market Data'!$AH$5:$AH$66,INDEX('Market Data'!$J$5:$J$528,$T332)-4))&gt;0),INDEX('Market Data'!$AH$5:$AH$66,INDEX('Market Data'!$J$5:$J$528,$T332)-4),IF(AND($M$5&lt;&gt;"Bloomberg",ISNUMBER(INDEX('Market Data'!$AC$5:$AC$66,INDEX('Market Data'!$J$5:$J$528,$T332)-4)),N(INDEX('Market Data'!$AC$5:$AC$66,INDEX('Market Data'!$J$5:$J$528,$T332)-4))&gt;0),INDEX('Market Data'!$AC$5:$AC$66,INDEX('Market Data'!$J$5:$J$528,$T332)-4),"unavailable"))))</f>
        <v/>
      </c>
      <c r="M332" s="11">
        <f>IF($T332=0,"",IF(INDEX('Market Data'!$J$5:$J$528,$T332)=0,"n/a",IF(IF(INDEX('Market Data'!$J$5:$J$528,$T332)=0,0,IF(LEFT(INDEX('Market Data'!$AS$5:$AS$66,INDEX('Market Data'!$J$5:$J$528,$T332)-4),11)="First-month",1,0))=1,"class review",IF($I332="Bloomberg",IF(AND(ISNUMBER(INDEX('Market Data'!$AH$5:$AH$66,INDEX('Market Data'!$J$5:$J$528,$T332)-4)),N(INDEX('Market Data'!$AH$5:$AH$66,INDEX('Market Data'!$J$5:$J$528,$T332)-4))&gt;0,ISNUMBER('Market Data'!$B$1),N('Market Data'!$B$1)&gt;0),INDEX('Market Data'!$AH$5:$AH$66,INDEX('Market Data'!$J$5:$J$528,$T332)-4)*'Market Data'!$B$1/$E332-1,"pending A/FX"),IF(AND($I332="Snapshot",$Q332="Snapshot",ISNUMBER($E332),$G332=INDEX('Market Data'!$AE$5:$AE$66,INDEX('Market Data'!$J$5:$J$528,$T332)-4)),IFERROR(INDEX('Market Data'!$AC$5:$AC$66,INDEX('Market Data'!$J$5:$J$528,$T332)-4)*INDEX('Market Data'!$AD$5:$AD$66,INDEX('Market Data'!$J$5:$J$528,$T332)-4)/$E332-1,"unavailable"),IF($I332="Unavailable","unavailable","date mismatch"))))))</f>
        <v/>
      </c>
      <c r="N332" s="11">
        <f>IF($T332=0,"",IFERROR(IF(AND(N(INDEX('Market Data'!$F$5:$F$528,$T332))&gt;0,ISNUMBER(INDEX('Market Data'!$T$5:$T$528,$T332))),$E332*INDEX('Market Data'!$T$5:$T$528,$T332)/INDEX('Market Data'!$F$5:$F$528,$T332)-1,"unavailable"),"unavailable"))</f>
        <v/>
      </c>
      <c r="O332" s="9">
        <f>IF($T332=0,"",IF(IF(INDEX('Market Data'!$J$5:$J$528,$T332)=0,0,IF(LEFT(INDEX('Market Data'!$AS$5:$AS$66,INDEX('Market Data'!$J$5:$J$528,$T332)-4),11)="First-month",1,0))=1,"Class ratio review",IF($I332="Bloomberg",IF(ISNUMBER($G332),IF($G332&lt;TODAY(),"Older quote","See quote time"),"Date unavailable"),IF($I332="Snapshot",IF($G332&lt;DATEVALUE("2026-10-02"),"Older snapshot","Dated close"),"No valid quote"))))</f>
        <v/>
      </c>
      <c r="P332" s="14">
        <f>IF($T332=0,"",IF(INDEX('Market Data'!$J$5:$J$528,$T332)=0,"n/a",IF($Q332="Bloomberg",IF(AND(ISNUMBER(INDEX('Market Data'!$AK$5:$AK$66,INDEX('Market Data'!$J$5:$J$528,$T332)-4)),N(INDEX('Market Data'!$AK$5:$AK$66,INDEX('Market Data'!$J$5:$J$528,$T332)-4))&gt;0),INDEX('Market Data'!$AK$5:$AK$66,INDEX('Market Data'!$J$5:$J$528,$T332)-4),"date unavailable"),IF($Q332="Snapshot",IF(AND(ISNUMBER(INDEX('Market Data'!$AF$5:$AF$66,INDEX('Market Data'!$J$5:$J$528,$T332)-4)),N(INDEX('Market Data'!$AF$5:$AF$66,INDEX('Market Data'!$J$5:$J$528,$T332)-4))&gt;0),INDEX('Market Data'!$AF$5:$AF$66,INDEX('Market Data'!$J$5:$J$528,$T332)-4),"date unavailable"),"date unavailable"))))</f>
        <v/>
      </c>
      <c r="Q332" s="15">
        <f>IF($T332=0,"",IF(INDEX('Market Data'!$J$5:$J$528,$T332)=0,"n/a",IF(AND($M$5&lt;&gt;"Snapshot",ISNUMBER(INDEX('Market Data'!$AH$5:$AH$66,INDEX('Market Data'!$J$5:$J$528,$T332)-4)),N(INDEX('Market Data'!$AH$5:$AH$66,INDEX('Market Data'!$J$5:$J$528,$T332)-4))&gt;0),"Bloomberg",IF(AND($M$5&lt;&gt;"Bloomberg",ISNUMBER(INDEX('Market Data'!$AC$5:$AC$66,INDEX('Market Data'!$J$5:$J$528,$T332)-4)),N(INDEX('Market Data'!$AC$5:$AC$66,INDEX('Market Data'!$J$5:$J$528,$T332)-4))&gt;0),"Snapshot","Unavailable"))))</f>
        <v/>
      </c>
      <c r="T332">
        <f>IFERROR(MATCH(324,'Market Data'!$S$5:$S$528,0),0)</f>
        <v/>
      </c>
    </row>
    <row r="333" ht="34" customHeight="1">
      <c r="A333" s="8">
        <f>IF($T333=0,"",IF(INDEX('Market Data'!$A$5:$A$528,$T333)="","",INDEX('Market Data'!$A$5:$A$528,$T333)))</f>
        <v/>
      </c>
      <c r="B333" s="9">
        <f>IF($T333=0,"",IF(INDEX('Market Data'!$B$5:$B$528,$T333)="","",INDEX('Market Data'!$B$5:$B$528,$T333)))</f>
        <v/>
      </c>
      <c r="C333" s="9">
        <f>IF($T333=0,"",IF(INDEX('Market Data'!$C$5:$C$528,$T333)="","",INDEX('Market Data'!$C$5:$C$528,$T333)))</f>
        <v/>
      </c>
      <c r="D333" s="9">
        <f>IF($T333=0,"",IF(INDEX('Market Data'!$D$5:$D$528,$T333)="","",INDEX('Market Data'!$D$5:$D$528,$T333)))</f>
        <v/>
      </c>
      <c r="E333" s="10">
        <f>IF($T333=0,"",INDEX('Market Data'!$O$5:$O$528,$T333))</f>
        <v/>
      </c>
      <c r="F333" s="11">
        <f>IF($T333=0,"",IF(AND($I333="Bloomberg",ISNUMBER(INDEX('Market Data'!$L$5:$L$528,$T333))),INDEX('Market Data'!$L$5:$L$528,$T333),"unavailable"))</f>
        <v/>
      </c>
      <c r="G333" s="12">
        <f>IF($T333=0,"",IF($I333="Bloomberg",IF(AND(ISNUMBER(INDEX('Market Data'!$M$5:$M$528,$T333)),N(INDEX('Market Data'!$M$5:$M$528,$T333))&gt;0),INDEX('Market Data'!$M$5:$M$528,$T333),"date unavailable"),IF($I333="Snapshot",IF(AND(ISNUMBER(INDEX('Market Data'!$H$5:$H$528,$T333)),N(INDEX('Market Data'!$H$5:$H$528,$T333))&gt;0),INDEX('Market Data'!$H$5:$H$528,$T333),"date unavailable"),"date unavailable")))</f>
        <v/>
      </c>
      <c r="H333" s="9">
        <f>IF($T333=0,"",IF($I333="Bloomberg",IF(INDEX('Market Data'!$N$5:$N$528,$T333)="","time unavailable",INDEX('Market Data'!$N$5:$N$528,$T333)),""))</f>
        <v/>
      </c>
      <c r="I333" s="9">
        <f>IF($T333=0,"",INDEX('Market Data'!$P$5:$P$528,$T333))</f>
        <v/>
      </c>
      <c r="J333" s="13">
        <f>IF($T333=0,"",IF(INDEX('Market Data'!$E$5:$E$528,$T333)="","",INDEX('Market Data'!$E$5:$E$528,$T333)))</f>
        <v/>
      </c>
      <c r="K333" s="8">
        <f>IF($T333=0,"",IF(INDEX('Market Data'!$I$5:$I$528,$T333)="","",INDEX('Market Data'!$I$5:$I$528,$T333)))</f>
        <v/>
      </c>
      <c r="L333" s="10">
        <f>IF($T333=0,"",IF(INDEX('Market Data'!$J$5:$J$528,$T333)=0,"n/a",IF(AND($M$5&lt;&gt;"Snapshot",ISNUMBER(INDEX('Market Data'!$AH$5:$AH$66,INDEX('Market Data'!$J$5:$J$528,$T333)-4)),N(INDEX('Market Data'!$AH$5:$AH$66,INDEX('Market Data'!$J$5:$J$528,$T333)-4))&gt;0),INDEX('Market Data'!$AH$5:$AH$66,INDEX('Market Data'!$J$5:$J$528,$T333)-4),IF(AND($M$5&lt;&gt;"Bloomberg",ISNUMBER(INDEX('Market Data'!$AC$5:$AC$66,INDEX('Market Data'!$J$5:$J$528,$T333)-4)),N(INDEX('Market Data'!$AC$5:$AC$66,INDEX('Market Data'!$J$5:$J$528,$T333)-4))&gt;0),INDEX('Market Data'!$AC$5:$AC$66,INDEX('Market Data'!$J$5:$J$528,$T333)-4),"unavailable"))))</f>
        <v/>
      </c>
      <c r="M333" s="11">
        <f>IF($T333=0,"",IF(INDEX('Market Data'!$J$5:$J$528,$T333)=0,"n/a",IF(IF(INDEX('Market Data'!$J$5:$J$528,$T333)=0,0,IF(LEFT(INDEX('Market Data'!$AS$5:$AS$66,INDEX('Market Data'!$J$5:$J$528,$T333)-4),11)="First-month",1,0))=1,"class review",IF($I333="Bloomberg",IF(AND(ISNUMBER(INDEX('Market Data'!$AH$5:$AH$66,INDEX('Market Data'!$J$5:$J$528,$T333)-4)),N(INDEX('Market Data'!$AH$5:$AH$66,INDEX('Market Data'!$J$5:$J$528,$T333)-4))&gt;0,ISNUMBER('Market Data'!$B$1),N('Market Data'!$B$1)&gt;0),INDEX('Market Data'!$AH$5:$AH$66,INDEX('Market Data'!$J$5:$J$528,$T333)-4)*'Market Data'!$B$1/$E333-1,"pending A/FX"),IF(AND($I333="Snapshot",$Q333="Snapshot",ISNUMBER($E333),$G333=INDEX('Market Data'!$AE$5:$AE$66,INDEX('Market Data'!$J$5:$J$528,$T333)-4)),IFERROR(INDEX('Market Data'!$AC$5:$AC$66,INDEX('Market Data'!$J$5:$J$528,$T333)-4)*INDEX('Market Data'!$AD$5:$AD$66,INDEX('Market Data'!$J$5:$J$528,$T333)-4)/$E333-1,"unavailable"),IF($I333="Unavailable","unavailable","date mismatch"))))))</f>
        <v/>
      </c>
      <c r="N333" s="11">
        <f>IF($T333=0,"",IFERROR(IF(AND(N(INDEX('Market Data'!$F$5:$F$528,$T333))&gt;0,ISNUMBER(INDEX('Market Data'!$T$5:$T$528,$T333))),$E333*INDEX('Market Data'!$T$5:$T$528,$T333)/INDEX('Market Data'!$F$5:$F$528,$T333)-1,"unavailable"),"unavailable"))</f>
        <v/>
      </c>
      <c r="O333" s="9">
        <f>IF($T333=0,"",IF(IF(INDEX('Market Data'!$J$5:$J$528,$T333)=0,0,IF(LEFT(INDEX('Market Data'!$AS$5:$AS$66,INDEX('Market Data'!$J$5:$J$528,$T333)-4),11)="First-month",1,0))=1,"Class ratio review",IF($I333="Bloomberg",IF(ISNUMBER($G333),IF($G333&lt;TODAY(),"Older quote","See quote time"),"Date unavailable"),IF($I333="Snapshot",IF($G333&lt;DATEVALUE("2026-10-02"),"Older snapshot","Dated close"),"No valid quote"))))</f>
        <v/>
      </c>
      <c r="P333" s="14">
        <f>IF($T333=0,"",IF(INDEX('Market Data'!$J$5:$J$528,$T333)=0,"n/a",IF($Q333="Bloomberg",IF(AND(ISNUMBER(INDEX('Market Data'!$AK$5:$AK$66,INDEX('Market Data'!$J$5:$J$528,$T333)-4)),N(INDEX('Market Data'!$AK$5:$AK$66,INDEX('Market Data'!$J$5:$J$528,$T333)-4))&gt;0),INDEX('Market Data'!$AK$5:$AK$66,INDEX('Market Data'!$J$5:$J$528,$T333)-4),"date unavailable"),IF($Q333="Snapshot",IF(AND(ISNUMBER(INDEX('Market Data'!$AF$5:$AF$66,INDEX('Market Data'!$J$5:$J$528,$T333)-4)),N(INDEX('Market Data'!$AF$5:$AF$66,INDEX('Market Data'!$J$5:$J$528,$T333)-4))&gt;0),INDEX('Market Data'!$AF$5:$AF$66,INDEX('Market Data'!$J$5:$J$528,$T333)-4),"date unavailable"),"date unavailable"))))</f>
        <v/>
      </c>
      <c r="Q333" s="15">
        <f>IF($T333=0,"",IF(INDEX('Market Data'!$J$5:$J$528,$T333)=0,"n/a",IF(AND($M$5&lt;&gt;"Snapshot",ISNUMBER(INDEX('Market Data'!$AH$5:$AH$66,INDEX('Market Data'!$J$5:$J$528,$T333)-4)),N(INDEX('Market Data'!$AH$5:$AH$66,INDEX('Market Data'!$J$5:$J$528,$T333)-4))&gt;0),"Bloomberg",IF(AND($M$5&lt;&gt;"Bloomberg",ISNUMBER(INDEX('Market Data'!$AC$5:$AC$66,INDEX('Market Data'!$J$5:$J$528,$T333)-4)),N(INDEX('Market Data'!$AC$5:$AC$66,INDEX('Market Data'!$J$5:$J$528,$T333)-4))&gt;0),"Snapshot","Unavailable"))))</f>
        <v/>
      </c>
      <c r="T333">
        <f>IFERROR(MATCH(325,'Market Data'!$S$5:$S$528,0),0)</f>
        <v/>
      </c>
    </row>
    <row r="334" ht="34" customHeight="1">
      <c r="A334" s="8">
        <f>IF($T334=0,"",IF(INDEX('Market Data'!$A$5:$A$528,$T334)="","",INDEX('Market Data'!$A$5:$A$528,$T334)))</f>
        <v/>
      </c>
      <c r="B334" s="9">
        <f>IF($T334=0,"",IF(INDEX('Market Data'!$B$5:$B$528,$T334)="","",INDEX('Market Data'!$B$5:$B$528,$T334)))</f>
        <v/>
      </c>
      <c r="C334" s="9">
        <f>IF($T334=0,"",IF(INDEX('Market Data'!$C$5:$C$528,$T334)="","",INDEX('Market Data'!$C$5:$C$528,$T334)))</f>
        <v/>
      </c>
      <c r="D334" s="9">
        <f>IF($T334=0,"",IF(INDEX('Market Data'!$D$5:$D$528,$T334)="","",INDEX('Market Data'!$D$5:$D$528,$T334)))</f>
        <v/>
      </c>
      <c r="E334" s="10">
        <f>IF($T334=0,"",INDEX('Market Data'!$O$5:$O$528,$T334))</f>
        <v/>
      </c>
      <c r="F334" s="11">
        <f>IF($T334=0,"",IF(AND($I334="Bloomberg",ISNUMBER(INDEX('Market Data'!$L$5:$L$528,$T334))),INDEX('Market Data'!$L$5:$L$528,$T334),"unavailable"))</f>
        <v/>
      </c>
      <c r="G334" s="12">
        <f>IF($T334=0,"",IF($I334="Bloomberg",IF(AND(ISNUMBER(INDEX('Market Data'!$M$5:$M$528,$T334)),N(INDEX('Market Data'!$M$5:$M$528,$T334))&gt;0),INDEX('Market Data'!$M$5:$M$528,$T334),"date unavailable"),IF($I334="Snapshot",IF(AND(ISNUMBER(INDEX('Market Data'!$H$5:$H$528,$T334)),N(INDEX('Market Data'!$H$5:$H$528,$T334))&gt;0),INDEX('Market Data'!$H$5:$H$528,$T334),"date unavailable"),"date unavailable")))</f>
        <v/>
      </c>
      <c r="H334" s="9">
        <f>IF($T334=0,"",IF($I334="Bloomberg",IF(INDEX('Market Data'!$N$5:$N$528,$T334)="","time unavailable",INDEX('Market Data'!$N$5:$N$528,$T334)),""))</f>
        <v/>
      </c>
      <c r="I334" s="9">
        <f>IF($T334=0,"",INDEX('Market Data'!$P$5:$P$528,$T334))</f>
        <v/>
      </c>
      <c r="J334" s="13">
        <f>IF($T334=0,"",IF(INDEX('Market Data'!$E$5:$E$528,$T334)="","",INDEX('Market Data'!$E$5:$E$528,$T334)))</f>
        <v/>
      </c>
      <c r="K334" s="8">
        <f>IF($T334=0,"",IF(INDEX('Market Data'!$I$5:$I$528,$T334)="","",INDEX('Market Data'!$I$5:$I$528,$T334)))</f>
        <v/>
      </c>
      <c r="L334" s="10">
        <f>IF($T334=0,"",IF(INDEX('Market Data'!$J$5:$J$528,$T334)=0,"n/a",IF(AND($M$5&lt;&gt;"Snapshot",ISNUMBER(INDEX('Market Data'!$AH$5:$AH$66,INDEX('Market Data'!$J$5:$J$528,$T334)-4)),N(INDEX('Market Data'!$AH$5:$AH$66,INDEX('Market Data'!$J$5:$J$528,$T334)-4))&gt;0),INDEX('Market Data'!$AH$5:$AH$66,INDEX('Market Data'!$J$5:$J$528,$T334)-4),IF(AND($M$5&lt;&gt;"Bloomberg",ISNUMBER(INDEX('Market Data'!$AC$5:$AC$66,INDEX('Market Data'!$J$5:$J$528,$T334)-4)),N(INDEX('Market Data'!$AC$5:$AC$66,INDEX('Market Data'!$J$5:$J$528,$T334)-4))&gt;0),INDEX('Market Data'!$AC$5:$AC$66,INDEX('Market Data'!$J$5:$J$528,$T334)-4),"unavailable"))))</f>
        <v/>
      </c>
      <c r="M334" s="11">
        <f>IF($T334=0,"",IF(INDEX('Market Data'!$J$5:$J$528,$T334)=0,"n/a",IF(IF(INDEX('Market Data'!$J$5:$J$528,$T334)=0,0,IF(LEFT(INDEX('Market Data'!$AS$5:$AS$66,INDEX('Market Data'!$J$5:$J$528,$T334)-4),11)="First-month",1,0))=1,"class review",IF($I334="Bloomberg",IF(AND(ISNUMBER(INDEX('Market Data'!$AH$5:$AH$66,INDEX('Market Data'!$J$5:$J$528,$T334)-4)),N(INDEX('Market Data'!$AH$5:$AH$66,INDEX('Market Data'!$J$5:$J$528,$T334)-4))&gt;0,ISNUMBER('Market Data'!$B$1),N('Market Data'!$B$1)&gt;0),INDEX('Market Data'!$AH$5:$AH$66,INDEX('Market Data'!$J$5:$J$528,$T334)-4)*'Market Data'!$B$1/$E334-1,"pending A/FX"),IF(AND($I334="Snapshot",$Q334="Snapshot",ISNUMBER($E334),$G334=INDEX('Market Data'!$AE$5:$AE$66,INDEX('Market Data'!$J$5:$J$528,$T334)-4)),IFERROR(INDEX('Market Data'!$AC$5:$AC$66,INDEX('Market Data'!$J$5:$J$528,$T334)-4)*INDEX('Market Data'!$AD$5:$AD$66,INDEX('Market Data'!$J$5:$J$528,$T334)-4)/$E334-1,"unavailable"),IF($I334="Unavailable","unavailable","date mismatch"))))))</f>
        <v/>
      </c>
      <c r="N334" s="11">
        <f>IF($T334=0,"",IFERROR(IF(AND(N(INDEX('Market Data'!$F$5:$F$528,$T334))&gt;0,ISNUMBER(INDEX('Market Data'!$T$5:$T$528,$T334))),$E334*INDEX('Market Data'!$T$5:$T$528,$T334)/INDEX('Market Data'!$F$5:$F$528,$T334)-1,"unavailable"),"unavailable"))</f>
        <v/>
      </c>
      <c r="O334" s="9">
        <f>IF($T334=0,"",IF(IF(INDEX('Market Data'!$J$5:$J$528,$T334)=0,0,IF(LEFT(INDEX('Market Data'!$AS$5:$AS$66,INDEX('Market Data'!$J$5:$J$528,$T334)-4),11)="First-month",1,0))=1,"Class ratio review",IF($I334="Bloomberg",IF(ISNUMBER($G334),IF($G334&lt;TODAY(),"Older quote","See quote time"),"Date unavailable"),IF($I334="Snapshot",IF($G334&lt;DATEVALUE("2026-10-02"),"Older snapshot","Dated close"),"No valid quote"))))</f>
        <v/>
      </c>
      <c r="P334" s="14">
        <f>IF($T334=0,"",IF(INDEX('Market Data'!$J$5:$J$528,$T334)=0,"n/a",IF($Q334="Bloomberg",IF(AND(ISNUMBER(INDEX('Market Data'!$AK$5:$AK$66,INDEX('Market Data'!$J$5:$J$528,$T334)-4)),N(INDEX('Market Data'!$AK$5:$AK$66,INDEX('Market Data'!$J$5:$J$528,$T334)-4))&gt;0),INDEX('Market Data'!$AK$5:$AK$66,INDEX('Market Data'!$J$5:$J$528,$T334)-4),"date unavailable"),IF($Q334="Snapshot",IF(AND(ISNUMBER(INDEX('Market Data'!$AF$5:$AF$66,INDEX('Market Data'!$J$5:$J$528,$T334)-4)),N(INDEX('Market Data'!$AF$5:$AF$66,INDEX('Market Data'!$J$5:$J$528,$T334)-4))&gt;0),INDEX('Market Data'!$AF$5:$AF$66,INDEX('Market Data'!$J$5:$J$528,$T334)-4),"date unavailable"),"date unavailable"))))</f>
        <v/>
      </c>
      <c r="Q334" s="15">
        <f>IF($T334=0,"",IF(INDEX('Market Data'!$J$5:$J$528,$T334)=0,"n/a",IF(AND($M$5&lt;&gt;"Snapshot",ISNUMBER(INDEX('Market Data'!$AH$5:$AH$66,INDEX('Market Data'!$J$5:$J$528,$T334)-4)),N(INDEX('Market Data'!$AH$5:$AH$66,INDEX('Market Data'!$J$5:$J$528,$T334)-4))&gt;0),"Bloomberg",IF(AND($M$5&lt;&gt;"Bloomberg",ISNUMBER(INDEX('Market Data'!$AC$5:$AC$66,INDEX('Market Data'!$J$5:$J$528,$T334)-4)),N(INDEX('Market Data'!$AC$5:$AC$66,INDEX('Market Data'!$J$5:$J$528,$T334)-4))&gt;0),"Snapshot","Unavailable"))))</f>
        <v/>
      </c>
      <c r="T334">
        <f>IFERROR(MATCH(326,'Market Data'!$S$5:$S$528,0),0)</f>
        <v/>
      </c>
    </row>
    <row r="335" ht="34" customHeight="1">
      <c r="A335" s="8">
        <f>IF($T335=0,"",IF(INDEX('Market Data'!$A$5:$A$528,$T335)="","",INDEX('Market Data'!$A$5:$A$528,$T335)))</f>
        <v/>
      </c>
      <c r="B335" s="9">
        <f>IF($T335=0,"",IF(INDEX('Market Data'!$B$5:$B$528,$T335)="","",INDEX('Market Data'!$B$5:$B$528,$T335)))</f>
        <v/>
      </c>
      <c r="C335" s="9">
        <f>IF($T335=0,"",IF(INDEX('Market Data'!$C$5:$C$528,$T335)="","",INDEX('Market Data'!$C$5:$C$528,$T335)))</f>
        <v/>
      </c>
      <c r="D335" s="9">
        <f>IF($T335=0,"",IF(INDEX('Market Data'!$D$5:$D$528,$T335)="","",INDEX('Market Data'!$D$5:$D$528,$T335)))</f>
        <v/>
      </c>
      <c r="E335" s="10">
        <f>IF($T335=0,"",INDEX('Market Data'!$O$5:$O$528,$T335))</f>
        <v/>
      </c>
      <c r="F335" s="11">
        <f>IF($T335=0,"",IF(AND($I335="Bloomberg",ISNUMBER(INDEX('Market Data'!$L$5:$L$528,$T335))),INDEX('Market Data'!$L$5:$L$528,$T335),"unavailable"))</f>
        <v/>
      </c>
      <c r="G335" s="12">
        <f>IF($T335=0,"",IF($I335="Bloomberg",IF(AND(ISNUMBER(INDEX('Market Data'!$M$5:$M$528,$T335)),N(INDEX('Market Data'!$M$5:$M$528,$T335))&gt;0),INDEX('Market Data'!$M$5:$M$528,$T335),"date unavailable"),IF($I335="Snapshot",IF(AND(ISNUMBER(INDEX('Market Data'!$H$5:$H$528,$T335)),N(INDEX('Market Data'!$H$5:$H$528,$T335))&gt;0),INDEX('Market Data'!$H$5:$H$528,$T335),"date unavailable"),"date unavailable")))</f>
        <v/>
      </c>
      <c r="H335" s="9">
        <f>IF($T335=0,"",IF($I335="Bloomberg",IF(INDEX('Market Data'!$N$5:$N$528,$T335)="","time unavailable",INDEX('Market Data'!$N$5:$N$528,$T335)),""))</f>
        <v/>
      </c>
      <c r="I335" s="9">
        <f>IF($T335=0,"",INDEX('Market Data'!$P$5:$P$528,$T335))</f>
        <v/>
      </c>
      <c r="J335" s="13">
        <f>IF($T335=0,"",IF(INDEX('Market Data'!$E$5:$E$528,$T335)="","",INDEX('Market Data'!$E$5:$E$528,$T335)))</f>
        <v/>
      </c>
      <c r="K335" s="8">
        <f>IF($T335=0,"",IF(INDEX('Market Data'!$I$5:$I$528,$T335)="","",INDEX('Market Data'!$I$5:$I$528,$T335)))</f>
        <v/>
      </c>
      <c r="L335" s="10">
        <f>IF($T335=0,"",IF(INDEX('Market Data'!$J$5:$J$528,$T335)=0,"n/a",IF(AND($M$5&lt;&gt;"Snapshot",ISNUMBER(INDEX('Market Data'!$AH$5:$AH$66,INDEX('Market Data'!$J$5:$J$528,$T335)-4)),N(INDEX('Market Data'!$AH$5:$AH$66,INDEX('Market Data'!$J$5:$J$528,$T335)-4))&gt;0),INDEX('Market Data'!$AH$5:$AH$66,INDEX('Market Data'!$J$5:$J$528,$T335)-4),IF(AND($M$5&lt;&gt;"Bloomberg",ISNUMBER(INDEX('Market Data'!$AC$5:$AC$66,INDEX('Market Data'!$J$5:$J$528,$T335)-4)),N(INDEX('Market Data'!$AC$5:$AC$66,INDEX('Market Data'!$J$5:$J$528,$T335)-4))&gt;0),INDEX('Market Data'!$AC$5:$AC$66,INDEX('Market Data'!$J$5:$J$528,$T335)-4),"unavailable"))))</f>
        <v/>
      </c>
      <c r="M335" s="11">
        <f>IF($T335=0,"",IF(INDEX('Market Data'!$J$5:$J$528,$T335)=0,"n/a",IF(IF(INDEX('Market Data'!$J$5:$J$528,$T335)=0,0,IF(LEFT(INDEX('Market Data'!$AS$5:$AS$66,INDEX('Market Data'!$J$5:$J$528,$T335)-4),11)="First-month",1,0))=1,"class review",IF($I335="Bloomberg",IF(AND(ISNUMBER(INDEX('Market Data'!$AH$5:$AH$66,INDEX('Market Data'!$J$5:$J$528,$T335)-4)),N(INDEX('Market Data'!$AH$5:$AH$66,INDEX('Market Data'!$J$5:$J$528,$T335)-4))&gt;0,ISNUMBER('Market Data'!$B$1),N('Market Data'!$B$1)&gt;0),INDEX('Market Data'!$AH$5:$AH$66,INDEX('Market Data'!$J$5:$J$528,$T335)-4)*'Market Data'!$B$1/$E335-1,"pending A/FX"),IF(AND($I335="Snapshot",$Q335="Snapshot",ISNUMBER($E335),$G335=INDEX('Market Data'!$AE$5:$AE$66,INDEX('Market Data'!$J$5:$J$528,$T335)-4)),IFERROR(INDEX('Market Data'!$AC$5:$AC$66,INDEX('Market Data'!$J$5:$J$528,$T335)-4)*INDEX('Market Data'!$AD$5:$AD$66,INDEX('Market Data'!$J$5:$J$528,$T335)-4)/$E335-1,"unavailable"),IF($I335="Unavailable","unavailable","date mismatch"))))))</f>
        <v/>
      </c>
      <c r="N335" s="11">
        <f>IF($T335=0,"",IFERROR(IF(AND(N(INDEX('Market Data'!$F$5:$F$528,$T335))&gt;0,ISNUMBER(INDEX('Market Data'!$T$5:$T$528,$T335))),$E335*INDEX('Market Data'!$T$5:$T$528,$T335)/INDEX('Market Data'!$F$5:$F$528,$T335)-1,"unavailable"),"unavailable"))</f>
        <v/>
      </c>
      <c r="O335" s="9">
        <f>IF($T335=0,"",IF(IF(INDEX('Market Data'!$J$5:$J$528,$T335)=0,0,IF(LEFT(INDEX('Market Data'!$AS$5:$AS$66,INDEX('Market Data'!$J$5:$J$528,$T335)-4),11)="First-month",1,0))=1,"Class ratio review",IF($I335="Bloomberg",IF(ISNUMBER($G335),IF($G335&lt;TODAY(),"Older quote","See quote time"),"Date unavailable"),IF($I335="Snapshot",IF($G335&lt;DATEVALUE("2026-10-02"),"Older snapshot","Dated close"),"No valid quote"))))</f>
        <v/>
      </c>
      <c r="P335" s="14">
        <f>IF($T335=0,"",IF(INDEX('Market Data'!$J$5:$J$528,$T335)=0,"n/a",IF($Q335="Bloomberg",IF(AND(ISNUMBER(INDEX('Market Data'!$AK$5:$AK$66,INDEX('Market Data'!$J$5:$J$528,$T335)-4)),N(INDEX('Market Data'!$AK$5:$AK$66,INDEX('Market Data'!$J$5:$J$528,$T335)-4))&gt;0),INDEX('Market Data'!$AK$5:$AK$66,INDEX('Market Data'!$J$5:$J$528,$T335)-4),"date unavailable"),IF($Q335="Snapshot",IF(AND(ISNUMBER(INDEX('Market Data'!$AF$5:$AF$66,INDEX('Market Data'!$J$5:$J$528,$T335)-4)),N(INDEX('Market Data'!$AF$5:$AF$66,INDEX('Market Data'!$J$5:$J$528,$T335)-4))&gt;0),INDEX('Market Data'!$AF$5:$AF$66,INDEX('Market Data'!$J$5:$J$528,$T335)-4),"date unavailable"),"date unavailable"))))</f>
        <v/>
      </c>
      <c r="Q335" s="15">
        <f>IF($T335=0,"",IF(INDEX('Market Data'!$J$5:$J$528,$T335)=0,"n/a",IF(AND($M$5&lt;&gt;"Snapshot",ISNUMBER(INDEX('Market Data'!$AH$5:$AH$66,INDEX('Market Data'!$J$5:$J$528,$T335)-4)),N(INDEX('Market Data'!$AH$5:$AH$66,INDEX('Market Data'!$J$5:$J$528,$T335)-4))&gt;0),"Bloomberg",IF(AND($M$5&lt;&gt;"Bloomberg",ISNUMBER(INDEX('Market Data'!$AC$5:$AC$66,INDEX('Market Data'!$J$5:$J$528,$T335)-4)),N(INDEX('Market Data'!$AC$5:$AC$66,INDEX('Market Data'!$J$5:$J$528,$T335)-4))&gt;0),"Snapshot","Unavailable"))))</f>
        <v/>
      </c>
      <c r="T335">
        <f>IFERROR(MATCH(327,'Market Data'!$S$5:$S$528,0),0)</f>
        <v/>
      </c>
    </row>
    <row r="336" ht="34" customHeight="1">
      <c r="A336" s="8">
        <f>IF($T336=0,"",IF(INDEX('Market Data'!$A$5:$A$528,$T336)="","",INDEX('Market Data'!$A$5:$A$528,$T336)))</f>
        <v/>
      </c>
      <c r="B336" s="9">
        <f>IF($T336=0,"",IF(INDEX('Market Data'!$B$5:$B$528,$T336)="","",INDEX('Market Data'!$B$5:$B$528,$T336)))</f>
        <v/>
      </c>
      <c r="C336" s="9">
        <f>IF($T336=0,"",IF(INDEX('Market Data'!$C$5:$C$528,$T336)="","",INDEX('Market Data'!$C$5:$C$528,$T336)))</f>
        <v/>
      </c>
      <c r="D336" s="9">
        <f>IF($T336=0,"",IF(INDEX('Market Data'!$D$5:$D$528,$T336)="","",INDEX('Market Data'!$D$5:$D$528,$T336)))</f>
        <v/>
      </c>
      <c r="E336" s="10">
        <f>IF($T336=0,"",INDEX('Market Data'!$O$5:$O$528,$T336))</f>
        <v/>
      </c>
      <c r="F336" s="11">
        <f>IF($T336=0,"",IF(AND($I336="Bloomberg",ISNUMBER(INDEX('Market Data'!$L$5:$L$528,$T336))),INDEX('Market Data'!$L$5:$L$528,$T336),"unavailable"))</f>
        <v/>
      </c>
      <c r="G336" s="12">
        <f>IF($T336=0,"",IF($I336="Bloomberg",IF(AND(ISNUMBER(INDEX('Market Data'!$M$5:$M$528,$T336)),N(INDEX('Market Data'!$M$5:$M$528,$T336))&gt;0),INDEX('Market Data'!$M$5:$M$528,$T336),"date unavailable"),IF($I336="Snapshot",IF(AND(ISNUMBER(INDEX('Market Data'!$H$5:$H$528,$T336)),N(INDEX('Market Data'!$H$5:$H$528,$T336))&gt;0),INDEX('Market Data'!$H$5:$H$528,$T336),"date unavailable"),"date unavailable")))</f>
        <v/>
      </c>
      <c r="H336" s="9">
        <f>IF($T336=0,"",IF($I336="Bloomberg",IF(INDEX('Market Data'!$N$5:$N$528,$T336)="","time unavailable",INDEX('Market Data'!$N$5:$N$528,$T336)),""))</f>
        <v/>
      </c>
      <c r="I336" s="9">
        <f>IF($T336=0,"",INDEX('Market Data'!$P$5:$P$528,$T336))</f>
        <v/>
      </c>
      <c r="J336" s="13">
        <f>IF($T336=0,"",IF(INDEX('Market Data'!$E$5:$E$528,$T336)="","",INDEX('Market Data'!$E$5:$E$528,$T336)))</f>
        <v/>
      </c>
      <c r="K336" s="8">
        <f>IF($T336=0,"",IF(INDEX('Market Data'!$I$5:$I$528,$T336)="","",INDEX('Market Data'!$I$5:$I$528,$T336)))</f>
        <v/>
      </c>
      <c r="L336" s="10">
        <f>IF($T336=0,"",IF(INDEX('Market Data'!$J$5:$J$528,$T336)=0,"n/a",IF(AND($M$5&lt;&gt;"Snapshot",ISNUMBER(INDEX('Market Data'!$AH$5:$AH$66,INDEX('Market Data'!$J$5:$J$528,$T336)-4)),N(INDEX('Market Data'!$AH$5:$AH$66,INDEX('Market Data'!$J$5:$J$528,$T336)-4))&gt;0),INDEX('Market Data'!$AH$5:$AH$66,INDEX('Market Data'!$J$5:$J$528,$T336)-4),IF(AND($M$5&lt;&gt;"Bloomberg",ISNUMBER(INDEX('Market Data'!$AC$5:$AC$66,INDEX('Market Data'!$J$5:$J$528,$T336)-4)),N(INDEX('Market Data'!$AC$5:$AC$66,INDEX('Market Data'!$J$5:$J$528,$T336)-4))&gt;0),INDEX('Market Data'!$AC$5:$AC$66,INDEX('Market Data'!$J$5:$J$528,$T336)-4),"unavailable"))))</f>
        <v/>
      </c>
      <c r="M336" s="11">
        <f>IF($T336=0,"",IF(INDEX('Market Data'!$J$5:$J$528,$T336)=0,"n/a",IF(IF(INDEX('Market Data'!$J$5:$J$528,$T336)=0,0,IF(LEFT(INDEX('Market Data'!$AS$5:$AS$66,INDEX('Market Data'!$J$5:$J$528,$T336)-4),11)="First-month",1,0))=1,"class review",IF($I336="Bloomberg",IF(AND(ISNUMBER(INDEX('Market Data'!$AH$5:$AH$66,INDEX('Market Data'!$J$5:$J$528,$T336)-4)),N(INDEX('Market Data'!$AH$5:$AH$66,INDEX('Market Data'!$J$5:$J$528,$T336)-4))&gt;0,ISNUMBER('Market Data'!$B$1),N('Market Data'!$B$1)&gt;0),INDEX('Market Data'!$AH$5:$AH$66,INDEX('Market Data'!$J$5:$J$528,$T336)-4)*'Market Data'!$B$1/$E336-1,"pending A/FX"),IF(AND($I336="Snapshot",$Q336="Snapshot",ISNUMBER($E336),$G336=INDEX('Market Data'!$AE$5:$AE$66,INDEX('Market Data'!$J$5:$J$528,$T336)-4)),IFERROR(INDEX('Market Data'!$AC$5:$AC$66,INDEX('Market Data'!$J$5:$J$528,$T336)-4)*INDEX('Market Data'!$AD$5:$AD$66,INDEX('Market Data'!$J$5:$J$528,$T336)-4)/$E336-1,"unavailable"),IF($I336="Unavailable","unavailable","date mismatch"))))))</f>
        <v/>
      </c>
      <c r="N336" s="11">
        <f>IF($T336=0,"",IFERROR(IF(AND(N(INDEX('Market Data'!$F$5:$F$528,$T336))&gt;0,ISNUMBER(INDEX('Market Data'!$T$5:$T$528,$T336))),$E336*INDEX('Market Data'!$T$5:$T$528,$T336)/INDEX('Market Data'!$F$5:$F$528,$T336)-1,"unavailable"),"unavailable"))</f>
        <v/>
      </c>
      <c r="O336" s="9">
        <f>IF($T336=0,"",IF(IF(INDEX('Market Data'!$J$5:$J$528,$T336)=0,0,IF(LEFT(INDEX('Market Data'!$AS$5:$AS$66,INDEX('Market Data'!$J$5:$J$528,$T336)-4),11)="First-month",1,0))=1,"Class ratio review",IF($I336="Bloomberg",IF(ISNUMBER($G336),IF($G336&lt;TODAY(),"Older quote","See quote time"),"Date unavailable"),IF($I336="Snapshot",IF($G336&lt;DATEVALUE("2026-10-02"),"Older snapshot","Dated close"),"No valid quote"))))</f>
        <v/>
      </c>
      <c r="P336" s="14">
        <f>IF($T336=0,"",IF(INDEX('Market Data'!$J$5:$J$528,$T336)=0,"n/a",IF($Q336="Bloomberg",IF(AND(ISNUMBER(INDEX('Market Data'!$AK$5:$AK$66,INDEX('Market Data'!$J$5:$J$528,$T336)-4)),N(INDEX('Market Data'!$AK$5:$AK$66,INDEX('Market Data'!$J$5:$J$528,$T336)-4))&gt;0),INDEX('Market Data'!$AK$5:$AK$66,INDEX('Market Data'!$J$5:$J$528,$T336)-4),"date unavailable"),IF($Q336="Snapshot",IF(AND(ISNUMBER(INDEX('Market Data'!$AF$5:$AF$66,INDEX('Market Data'!$J$5:$J$528,$T336)-4)),N(INDEX('Market Data'!$AF$5:$AF$66,INDEX('Market Data'!$J$5:$J$528,$T336)-4))&gt;0),INDEX('Market Data'!$AF$5:$AF$66,INDEX('Market Data'!$J$5:$J$528,$T336)-4),"date unavailable"),"date unavailable"))))</f>
        <v/>
      </c>
      <c r="Q336" s="15">
        <f>IF($T336=0,"",IF(INDEX('Market Data'!$J$5:$J$528,$T336)=0,"n/a",IF(AND($M$5&lt;&gt;"Snapshot",ISNUMBER(INDEX('Market Data'!$AH$5:$AH$66,INDEX('Market Data'!$J$5:$J$528,$T336)-4)),N(INDEX('Market Data'!$AH$5:$AH$66,INDEX('Market Data'!$J$5:$J$528,$T336)-4))&gt;0),"Bloomberg",IF(AND($M$5&lt;&gt;"Bloomberg",ISNUMBER(INDEX('Market Data'!$AC$5:$AC$66,INDEX('Market Data'!$J$5:$J$528,$T336)-4)),N(INDEX('Market Data'!$AC$5:$AC$66,INDEX('Market Data'!$J$5:$J$528,$T336)-4))&gt;0),"Snapshot","Unavailable"))))</f>
        <v/>
      </c>
      <c r="T336">
        <f>IFERROR(MATCH(328,'Market Data'!$S$5:$S$528,0),0)</f>
        <v/>
      </c>
    </row>
    <row r="337" ht="34" customHeight="1">
      <c r="A337" s="8">
        <f>IF($T337=0,"",IF(INDEX('Market Data'!$A$5:$A$528,$T337)="","",INDEX('Market Data'!$A$5:$A$528,$T337)))</f>
        <v/>
      </c>
      <c r="B337" s="9">
        <f>IF($T337=0,"",IF(INDEX('Market Data'!$B$5:$B$528,$T337)="","",INDEX('Market Data'!$B$5:$B$528,$T337)))</f>
        <v/>
      </c>
      <c r="C337" s="9">
        <f>IF($T337=0,"",IF(INDEX('Market Data'!$C$5:$C$528,$T337)="","",INDEX('Market Data'!$C$5:$C$528,$T337)))</f>
        <v/>
      </c>
      <c r="D337" s="9">
        <f>IF($T337=0,"",IF(INDEX('Market Data'!$D$5:$D$528,$T337)="","",INDEX('Market Data'!$D$5:$D$528,$T337)))</f>
        <v/>
      </c>
      <c r="E337" s="10">
        <f>IF($T337=0,"",INDEX('Market Data'!$O$5:$O$528,$T337))</f>
        <v/>
      </c>
      <c r="F337" s="11">
        <f>IF($T337=0,"",IF(AND($I337="Bloomberg",ISNUMBER(INDEX('Market Data'!$L$5:$L$528,$T337))),INDEX('Market Data'!$L$5:$L$528,$T337),"unavailable"))</f>
        <v/>
      </c>
      <c r="G337" s="12">
        <f>IF($T337=0,"",IF($I337="Bloomberg",IF(AND(ISNUMBER(INDEX('Market Data'!$M$5:$M$528,$T337)),N(INDEX('Market Data'!$M$5:$M$528,$T337))&gt;0),INDEX('Market Data'!$M$5:$M$528,$T337),"date unavailable"),IF($I337="Snapshot",IF(AND(ISNUMBER(INDEX('Market Data'!$H$5:$H$528,$T337)),N(INDEX('Market Data'!$H$5:$H$528,$T337))&gt;0),INDEX('Market Data'!$H$5:$H$528,$T337),"date unavailable"),"date unavailable")))</f>
        <v/>
      </c>
      <c r="H337" s="9">
        <f>IF($T337=0,"",IF($I337="Bloomberg",IF(INDEX('Market Data'!$N$5:$N$528,$T337)="","time unavailable",INDEX('Market Data'!$N$5:$N$528,$T337)),""))</f>
        <v/>
      </c>
      <c r="I337" s="9">
        <f>IF($T337=0,"",INDEX('Market Data'!$P$5:$P$528,$T337))</f>
        <v/>
      </c>
      <c r="J337" s="13">
        <f>IF($T337=0,"",IF(INDEX('Market Data'!$E$5:$E$528,$T337)="","",INDEX('Market Data'!$E$5:$E$528,$T337)))</f>
        <v/>
      </c>
      <c r="K337" s="8">
        <f>IF($T337=0,"",IF(INDEX('Market Data'!$I$5:$I$528,$T337)="","",INDEX('Market Data'!$I$5:$I$528,$T337)))</f>
        <v/>
      </c>
      <c r="L337" s="10">
        <f>IF($T337=0,"",IF(INDEX('Market Data'!$J$5:$J$528,$T337)=0,"n/a",IF(AND($M$5&lt;&gt;"Snapshot",ISNUMBER(INDEX('Market Data'!$AH$5:$AH$66,INDEX('Market Data'!$J$5:$J$528,$T337)-4)),N(INDEX('Market Data'!$AH$5:$AH$66,INDEX('Market Data'!$J$5:$J$528,$T337)-4))&gt;0),INDEX('Market Data'!$AH$5:$AH$66,INDEX('Market Data'!$J$5:$J$528,$T337)-4),IF(AND($M$5&lt;&gt;"Bloomberg",ISNUMBER(INDEX('Market Data'!$AC$5:$AC$66,INDEX('Market Data'!$J$5:$J$528,$T337)-4)),N(INDEX('Market Data'!$AC$5:$AC$66,INDEX('Market Data'!$J$5:$J$528,$T337)-4))&gt;0),INDEX('Market Data'!$AC$5:$AC$66,INDEX('Market Data'!$J$5:$J$528,$T337)-4),"unavailable"))))</f>
        <v/>
      </c>
      <c r="M337" s="11">
        <f>IF($T337=0,"",IF(INDEX('Market Data'!$J$5:$J$528,$T337)=0,"n/a",IF(IF(INDEX('Market Data'!$J$5:$J$528,$T337)=0,0,IF(LEFT(INDEX('Market Data'!$AS$5:$AS$66,INDEX('Market Data'!$J$5:$J$528,$T337)-4),11)="First-month",1,0))=1,"class review",IF($I337="Bloomberg",IF(AND(ISNUMBER(INDEX('Market Data'!$AH$5:$AH$66,INDEX('Market Data'!$J$5:$J$528,$T337)-4)),N(INDEX('Market Data'!$AH$5:$AH$66,INDEX('Market Data'!$J$5:$J$528,$T337)-4))&gt;0,ISNUMBER('Market Data'!$B$1),N('Market Data'!$B$1)&gt;0),INDEX('Market Data'!$AH$5:$AH$66,INDEX('Market Data'!$J$5:$J$528,$T337)-4)*'Market Data'!$B$1/$E337-1,"pending A/FX"),IF(AND($I337="Snapshot",$Q337="Snapshot",ISNUMBER($E337),$G337=INDEX('Market Data'!$AE$5:$AE$66,INDEX('Market Data'!$J$5:$J$528,$T337)-4)),IFERROR(INDEX('Market Data'!$AC$5:$AC$66,INDEX('Market Data'!$J$5:$J$528,$T337)-4)*INDEX('Market Data'!$AD$5:$AD$66,INDEX('Market Data'!$J$5:$J$528,$T337)-4)/$E337-1,"unavailable"),IF($I337="Unavailable","unavailable","date mismatch"))))))</f>
        <v/>
      </c>
      <c r="N337" s="11">
        <f>IF($T337=0,"",IFERROR(IF(AND(N(INDEX('Market Data'!$F$5:$F$528,$T337))&gt;0,ISNUMBER(INDEX('Market Data'!$T$5:$T$528,$T337))),$E337*INDEX('Market Data'!$T$5:$T$528,$T337)/INDEX('Market Data'!$F$5:$F$528,$T337)-1,"unavailable"),"unavailable"))</f>
        <v/>
      </c>
      <c r="O337" s="9">
        <f>IF($T337=0,"",IF(IF(INDEX('Market Data'!$J$5:$J$528,$T337)=0,0,IF(LEFT(INDEX('Market Data'!$AS$5:$AS$66,INDEX('Market Data'!$J$5:$J$528,$T337)-4),11)="First-month",1,0))=1,"Class ratio review",IF($I337="Bloomberg",IF(ISNUMBER($G337),IF($G337&lt;TODAY(),"Older quote","See quote time"),"Date unavailable"),IF($I337="Snapshot",IF($G337&lt;DATEVALUE("2026-10-02"),"Older snapshot","Dated close"),"No valid quote"))))</f>
        <v/>
      </c>
      <c r="P337" s="14">
        <f>IF($T337=0,"",IF(INDEX('Market Data'!$J$5:$J$528,$T337)=0,"n/a",IF($Q337="Bloomberg",IF(AND(ISNUMBER(INDEX('Market Data'!$AK$5:$AK$66,INDEX('Market Data'!$J$5:$J$528,$T337)-4)),N(INDEX('Market Data'!$AK$5:$AK$66,INDEX('Market Data'!$J$5:$J$528,$T337)-4))&gt;0),INDEX('Market Data'!$AK$5:$AK$66,INDEX('Market Data'!$J$5:$J$528,$T337)-4),"date unavailable"),IF($Q337="Snapshot",IF(AND(ISNUMBER(INDEX('Market Data'!$AF$5:$AF$66,INDEX('Market Data'!$J$5:$J$528,$T337)-4)),N(INDEX('Market Data'!$AF$5:$AF$66,INDEX('Market Data'!$J$5:$J$528,$T337)-4))&gt;0),INDEX('Market Data'!$AF$5:$AF$66,INDEX('Market Data'!$J$5:$J$528,$T337)-4),"date unavailable"),"date unavailable"))))</f>
        <v/>
      </c>
      <c r="Q337" s="15">
        <f>IF($T337=0,"",IF(INDEX('Market Data'!$J$5:$J$528,$T337)=0,"n/a",IF(AND($M$5&lt;&gt;"Snapshot",ISNUMBER(INDEX('Market Data'!$AH$5:$AH$66,INDEX('Market Data'!$J$5:$J$528,$T337)-4)),N(INDEX('Market Data'!$AH$5:$AH$66,INDEX('Market Data'!$J$5:$J$528,$T337)-4))&gt;0),"Bloomberg",IF(AND($M$5&lt;&gt;"Bloomberg",ISNUMBER(INDEX('Market Data'!$AC$5:$AC$66,INDEX('Market Data'!$J$5:$J$528,$T337)-4)),N(INDEX('Market Data'!$AC$5:$AC$66,INDEX('Market Data'!$J$5:$J$528,$T337)-4))&gt;0),"Snapshot","Unavailable"))))</f>
        <v/>
      </c>
      <c r="T337">
        <f>IFERROR(MATCH(329,'Market Data'!$S$5:$S$528,0),0)</f>
        <v/>
      </c>
    </row>
    <row r="338" ht="34" customHeight="1">
      <c r="A338" s="8">
        <f>IF($T338=0,"",IF(INDEX('Market Data'!$A$5:$A$528,$T338)="","",INDEX('Market Data'!$A$5:$A$528,$T338)))</f>
        <v/>
      </c>
      <c r="B338" s="9">
        <f>IF($T338=0,"",IF(INDEX('Market Data'!$B$5:$B$528,$T338)="","",INDEX('Market Data'!$B$5:$B$528,$T338)))</f>
        <v/>
      </c>
      <c r="C338" s="9">
        <f>IF($T338=0,"",IF(INDEX('Market Data'!$C$5:$C$528,$T338)="","",INDEX('Market Data'!$C$5:$C$528,$T338)))</f>
        <v/>
      </c>
      <c r="D338" s="9">
        <f>IF($T338=0,"",IF(INDEX('Market Data'!$D$5:$D$528,$T338)="","",INDEX('Market Data'!$D$5:$D$528,$T338)))</f>
        <v/>
      </c>
      <c r="E338" s="10">
        <f>IF($T338=0,"",INDEX('Market Data'!$O$5:$O$528,$T338))</f>
        <v/>
      </c>
      <c r="F338" s="11">
        <f>IF($T338=0,"",IF(AND($I338="Bloomberg",ISNUMBER(INDEX('Market Data'!$L$5:$L$528,$T338))),INDEX('Market Data'!$L$5:$L$528,$T338),"unavailable"))</f>
        <v/>
      </c>
      <c r="G338" s="12">
        <f>IF($T338=0,"",IF($I338="Bloomberg",IF(AND(ISNUMBER(INDEX('Market Data'!$M$5:$M$528,$T338)),N(INDEX('Market Data'!$M$5:$M$528,$T338))&gt;0),INDEX('Market Data'!$M$5:$M$528,$T338),"date unavailable"),IF($I338="Snapshot",IF(AND(ISNUMBER(INDEX('Market Data'!$H$5:$H$528,$T338)),N(INDEX('Market Data'!$H$5:$H$528,$T338))&gt;0),INDEX('Market Data'!$H$5:$H$528,$T338),"date unavailable"),"date unavailable")))</f>
        <v/>
      </c>
      <c r="H338" s="9">
        <f>IF($T338=0,"",IF($I338="Bloomberg",IF(INDEX('Market Data'!$N$5:$N$528,$T338)="","time unavailable",INDEX('Market Data'!$N$5:$N$528,$T338)),""))</f>
        <v/>
      </c>
      <c r="I338" s="9">
        <f>IF($T338=0,"",INDEX('Market Data'!$P$5:$P$528,$T338))</f>
        <v/>
      </c>
      <c r="J338" s="13">
        <f>IF($T338=0,"",IF(INDEX('Market Data'!$E$5:$E$528,$T338)="","",INDEX('Market Data'!$E$5:$E$528,$T338)))</f>
        <v/>
      </c>
      <c r="K338" s="8">
        <f>IF($T338=0,"",IF(INDEX('Market Data'!$I$5:$I$528,$T338)="","",INDEX('Market Data'!$I$5:$I$528,$T338)))</f>
        <v/>
      </c>
      <c r="L338" s="10">
        <f>IF($T338=0,"",IF(INDEX('Market Data'!$J$5:$J$528,$T338)=0,"n/a",IF(AND($M$5&lt;&gt;"Snapshot",ISNUMBER(INDEX('Market Data'!$AH$5:$AH$66,INDEX('Market Data'!$J$5:$J$528,$T338)-4)),N(INDEX('Market Data'!$AH$5:$AH$66,INDEX('Market Data'!$J$5:$J$528,$T338)-4))&gt;0),INDEX('Market Data'!$AH$5:$AH$66,INDEX('Market Data'!$J$5:$J$528,$T338)-4),IF(AND($M$5&lt;&gt;"Bloomberg",ISNUMBER(INDEX('Market Data'!$AC$5:$AC$66,INDEX('Market Data'!$J$5:$J$528,$T338)-4)),N(INDEX('Market Data'!$AC$5:$AC$66,INDEX('Market Data'!$J$5:$J$528,$T338)-4))&gt;0),INDEX('Market Data'!$AC$5:$AC$66,INDEX('Market Data'!$J$5:$J$528,$T338)-4),"unavailable"))))</f>
        <v/>
      </c>
      <c r="M338" s="11">
        <f>IF($T338=0,"",IF(INDEX('Market Data'!$J$5:$J$528,$T338)=0,"n/a",IF(IF(INDEX('Market Data'!$J$5:$J$528,$T338)=0,0,IF(LEFT(INDEX('Market Data'!$AS$5:$AS$66,INDEX('Market Data'!$J$5:$J$528,$T338)-4),11)="First-month",1,0))=1,"class review",IF($I338="Bloomberg",IF(AND(ISNUMBER(INDEX('Market Data'!$AH$5:$AH$66,INDEX('Market Data'!$J$5:$J$528,$T338)-4)),N(INDEX('Market Data'!$AH$5:$AH$66,INDEX('Market Data'!$J$5:$J$528,$T338)-4))&gt;0,ISNUMBER('Market Data'!$B$1),N('Market Data'!$B$1)&gt;0),INDEX('Market Data'!$AH$5:$AH$66,INDEX('Market Data'!$J$5:$J$528,$T338)-4)*'Market Data'!$B$1/$E338-1,"pending A/FX"),IF(AND($I338="Snapshot",$Q338="Snapshot",ISNUMBER($E338),$G338=INDEX('Market Data'!$AE$5:$AE$66,INDEX('Market Data'!$J$5:$J$528,$T338)-4)),IFERROR(INDEX('Market Data'!$AC$5:$AC$66,INDEX('Market Data'!$J$5:$J$528,$T338)-4)*INDEX('Market Data'!$AD$5:$AD$66,INDEX('Market Data'!$J$5:$J$528,$T338)-4)/$E338-1,"unavailable"),IF($I338="Unavailable","unavailable","date mismatch"))))))</f>
        <v/>
      </c>
      <c r="N338" s="11">
        <f>IF($T338=0,"",IFERROR(IF(AND(N(INDEX('Market Data'!$F$5:$F$528,$T338))&gt;0,ISNUMBER(INDEX('Market Data'!$T$5:$T$528,$T338))),$E338*INDEX('Market Data'!$T$5:$T$528,$T338)/INDEX('Market Data'!$F$5:$F$528,$T338)-1,"unavailable"),"unavailable"))</f>
        <v/>
      </c>
      <c r="O338" s="9">
        <f>IF($T338=0,"",IF(IF(INDEX('Market Data'!$J$5:$J$528,$T338)=0,0,IF(LEFT(INDEX('Market Data'!$AS$5:$AS$66,INDEX('Market Data'!$J$5:$J$528,$T338)-4),11)="First-month",1,0))=1,"Class ratio review",IF($I338="Bloomberg",IF(ISNUMBER($G338),IF($G338&lt;TODAY(),"Older quote","See quote time"),"Date unavailable"),IF($I338="Snapshot",IF($G338&lt;DATEVALUE("2026-10-02"),"Older snapshot","Dated close"),"No valid quote"))))</f>
        <v/>
      </c>
      <c r="P338" s="14">
        <f>IF($T338=0,"",IF(INDEX('Market Data'!$J$5:$J$528,$T338)=0,"n/a",IF($Q338="Bloomberg",IF(AND(ISNUMBER(INDEX('Market Data'!$AK$5:$AK$66,INDEX('Market Data'!$J$5:$J$528,$T338)-4)),N(INDEX('Market Data'!$AK$5:$AK$66,INDEX('Market Data'!$J$5:$J$528,$T338)-4))&gt;0),INDEX('Market Data'!$AK$5:$AK$66,INDEX('Market Data'!$J$5:$J$528,$T338)-4),"date unavailable"),IF($Q338="Snapshot",IF(AND(ISNUMBER(INDEX('Market Data'!$AF$5:$AF$66,INDEX('Market Data'!$J$5:$J$528,$T338)-4)),N(INDEX('Market Data'!$AF$5:$AF$66,INDEX('Market Data'!$J$5:$J$528,$T338)-4))&gt;0),INDEX('Market Data'!$AF$5:$AF$66,INDEX('Market Data'!$J$5:$J$528,$T338)-4),"date unavailable"),"date unavailable"))))</f>
        <v/>
      </c>
      <c r="Q338" s="15">
        <f>IF($T338=0,"",IF(INDEX('Market Data'!$J$5:$J$528,$T338)=0,"n/a",IF(AND($M$5&lt;&gt;"Snapshot",ISNUMBER(INDEX('Market Data'!$AH$5:$AH$66,INDEX('Market Data'!$J$5:$J$528,$T338)-4)),N(INDEX('Market Data'!$AH$5:$AH$66,INDEX('Market Data'!$J$5:$J$528,$T338)-4))&gt;0),"Bloomberg",IF(AND($M$5&lt;&gt;"Bloomberg",ISNUMBER(INDEX('Market Data'!$AC$5:$AC$66,INDEX('Market Data'!$J$5:$J$528,$T338)-4)),N(INDEX('Market Data'!$AC$5:$AC$66,INDEX('Market Data'!$J$5:$J$528,$T338)-4))&gt;0),"Snapshot","Unavailable"))))</f>
        <v/>
      </c>
      <c r="T338">
        <f>IFERROR(MATCH(330,'Market Data'!$S$5:$S$528,0),0)</f>
        <v/>
      </c>
    </row>
    <row r="339" ht="34" customHeight="1">
      <c r="A339" s="8">
        <f>IF($T339=0,"",IF(INDEX('Market Data'!$A$5:$A$528,$T339)="","",INDEX('Market Data'!$A$5:$A$528,$T339)))</f>
        <v/>
      </c>
      <c r="B339" s="9">
        <f>IF($T339=0,"",IF(INDEX('Market Data'!$B$5:$B$528,$T339)="","",INDEX('Market Data'!$B$5:$B$528,$T339)))</f>
        <v/>
      </c>
      <c r="C339" s="9">
        <f>IF($T339=0,"",IF(INDEX('Market Data'!$C$5:$C$528,$T339)="","",INDEX('Market Data'!$C$5:$C$528,$T339)))</f>
        <v/>
      </c>
      <c r="D339" s="9">
        <f>IF($T339=0,"",IF(INDEX('Market Data'!$D$5:$D$528,$T339)="","",INDEX('Market Data'!$D$5:$D$528,$T339)))</f>
        <v/>
      </c>
      <c r="E339" s="10">
        <f>IF($T339=0,"",INDEX('Market Data'!$O$5:$O$528,$T339))</f>
        <v/>
      </c>
      <c r="F339" s="11">
        <f>IF($T339=0,"",IF(AND($I339="Bloomberg",ISNUMBER(INDEX('Market Data'!$L$5:$L$528,$T339))),INDEX('Market Data'!$L$5:$L$528,$T339),"unavailable"))</f>
        <v/>
      </c>
      <c r="G339" s="12">
        <f>IF($T339=0,"",IF($I339="Bloomberg",IF(AND(ISNUMBER(INDEX('Market Data'!$M$5:$M$528,$T339)),N(INDEX('Market Data'!$M$5:$M$528,$T339))&gt;0),INDEX('Market Data'!$M$5:$M$528,$T339),"date unavailable"),IF($I339="Snapshot",IF(AND(ISNUMBER(INDEX('Market Data'!$H$5:$H$528,$T339)),N(INDEX('Market Data'!$H$5:$H$528,$T339))&gt;0),INDEX('Market Data'!$H$5:$H$528,$T339),"date unavailable"),"date unavailable")))</f>
        <v/>
      </c>
      <c r="H339" s="9">
        <f>IF($T339=0,"",IF($I339="Bloomberg",IF(INDEX('Market Data'!$N$5:$N$528,$T339)="","time unavailable",INDEX('Market Data'!$N$5:$N$528,$T339)),""))</f>
        <v/>
      </c>
      <c r="I339" s="9">
        <f>IF($T339=0,"",INDEX('Market Data'!$P$5:$P$528,$T339))</f>
        <v/>
      </c>
      <c r="J339" s="13">
        <f>IF($T339=0,"",IF(INDEX('Market Data'!$E$5:$E$528,$T339)="","",INDEX('Market Data'!$E$5:$E$528,$T339)))</f>
        <v/>
      </c>
      <c r="K339" s="8">
        <f>IF($T339=0,"",IF(INDEX('Market Data'!$I$5:$I$528,$T339)="","",INDEX('Market Data'!$I$5:$I$528,$T339)))</f>
        <v/>
      </c>
      <c r="L339" s="10">
        <f>IF($T339=0,"",IF(INDEX('Market Data'!$J$5:$J$528,$T339)=0,"n/a",IF(AND($M$5&lt;&gt;"Snapshot",ISNUMBER(INDEX('Market Data'!$AH$5:$AH$66,INDEX('Market Data'!$J$5:$J$528,$T339)-4)),N(INDEX('Market Data'!$AH$5:$AH$66,INDEX('Market Data'!$J$5:$J$528,$T339)-4))&gt;0),INDEX('Market Data'!$AH$5:$AH$66,INDEX('Market Data'!$J$5:$J$528,$T339)-4),IF(AND($M$5&lt;&gt;"Bloomberg",ISNUMBER(INDEX('Market Data'!$AC$5:$AC$66,INDEX('Market Data'!$J$5:$J$528,$T339)-4)),N(INDEX('Market Data'!$AC$5:$AC$66,INDEX('Market Data'!$J$5:$J$528,$T339)-4))&gt;0),INDEX('Market Data'!$AC$5:$AC$66,INDEX('Market Data'!$J$5:$J$528,$T339)-4),"unavailable"))))</f>
        <v/>
      </c>
      <c r="M339" s="11">
        <f>IF($T339=0,"",IF(INDEX('Market Data'!$J$5:$J$528,$T339)=0,"n/a",IF(IF(INDEX('Market Data'!$J$5:$J$528,$T339)=0,0,IF(LEFT(INDEX('Market Data'!$AS$5:$AS$66,INDEX('Market Data'!$J$5:$J$528,$T339)-4),11)="First-month",1,0))=1,"class review",IF($I339="Bloomberg",IF(AND(ISNUMBER(INDEX('Market Data'!$AH$5:$AH$66,INDEX('Market Data'!$J$5:$J$528,$T339)-4)),N(INDEX('Market Data'!$AH$5:$AH$66,INDEX('Market Data'!$J$5:$J$528,$T339)-4))&gt;0,ISNUMBER('Market Data'!$B$1),N('Market Data'!$B$1)&gt;0),INDEX('Market Data'!$AH$5:$AH$66,INDEX('Market Data'!$J$5:$J$528,$T339)-4)*'Market Data'!$B$1/$E339-1,"pending A/FX"),IF(AND($I339="Snapshot",$Q339="Snapshot",ISNUMBER($E339),$G339=INDEX('Market Data'!$AE$5:$AE$66,INDEX('Market Data'!$J$5:$J$528,$T339)-4)),IFERROR(INDEX('Market Data'!$AC$5:$AC$66,INDEX('Market Data'!$J$5:$J$528,$T339)-4)*INDEX('Market Data'!$AD$5:$AD$66,INDEX('Market Data'!$J$5:$J$528,$T339)-4)/$E339-1,"unavailable"),IF($I339="Unavailable","unavailable","date mismatch"))))))</f>
        <v/>
      </c>
      <c r="N339" s="11">
        <f>IF($T339=0,"",IFERROR(IF(AND(N(INDEX('Market Data'!$F$5:$F$528,$T339))&gt;0,ISNUMBER(INDEX('Market Data'!$T$5:$T$528,$T339))),$E339*INDEX('Market Data'!$T$5:$T$528,$T339)/INDEX('Market Data'!$F$5:$F$528,$T339)-1,"unavailable"),"unavailable"))</f>
        <v/>
      </c>
      <c r="O339" s="9">
        <f>IF($T339=0,"",IF(IF(INDEX('Market Data'!$J$5:$J$528,$T339)=0,0,IF(LEFT(INDEX('Market Data'!$AS$5:$AS$66,INDEX('Market Data'!$J$5:$J$528,$T339)-4),11)="First-month",1,0))=1,"Class ratio review",IF($I339="Bloomberg",IF(ISNUMBER($G339),IF($G339&lt;TODAY(),"Older quote","See quote time"),"Date unavailable"),IF($I339="Snapshot",IF($G339&lt;DATEVALUE("2026-10-02"),"Older snapshot","Dated close"),"No valid quote"))))</f>
        <v/>
      </c>
      <c r="P339" s="14">
        <f>IF($T339=0,"",IF(INDEX('Market Data'!$J$5:$J$528,$T339)=0,"n/a",IF($Q339="Bloomberg",IF(AND(ISNUMBER(INDEX('Market Data'!$AK$5:$AK$66,INDEX('Market Data'!$J$5:$J$528,$T339)-4)),N(INDEX('Market Data'!$AK$5:$AK$66,INDEX('Market Data'!$J$5:$J$528,$T339)-4))&gt;0),INDEX('Market Data'!$AK$5:$AK$66,INDEX('Market Data'!$J$5:$J$528,$T339)-4),"date unavailable"),IF($Q339="Snapshot",IF(AND(ISNUMBER(INDEX('Market Data'!$AF$5:$AF$66,INDEX('Market Data'!$J$5:$J$528,$T339)-4)),N(INDEX('Market Data'!$AF$5:$AF$66,INDEX('Market Data'!$J$5:$J$528,$T339)-4))&gt;0),INDEX('Market Data'!$AF$5:$AF$66,INDEX('Market Data'!$J$5:$J$528,$T339)-4),"date unavailable"),"date unavailable"))))</f>
        <v/>
      </c>
      <c r="Q339" s="15">
        <f>IF($T339=0,"",IF(INDEX('Market Data'!$J$5:$J$528,$T339)=0,"n/a",IF(AND($M$5&lt;&gt;"Snapshot",ISNUMBER(INDEX('Market Data'!$AH$5:$AH$66,INDEX('Market Data'!$J$5:$J$528,$T339)-4)),N(INDEX('Market Data'!$AH$5:$AH$66,INDEX('Market Data'!$J$5:$J$528,$T339)-4))&gt;0),"Bloomberg",IF(AND($M$5&lt;&gt;"Bloomberg",ISNUMBER(INDEX('Market Data'!$AC$5:$AC$66,INDEX('Market Data'!$J$5:$J$528,$T339)-4)),N(INDEX('Market Data'!$AC$5:$AC$66,INDEX('Market Data'!$J$5:$J$528,$T339)-4))&gt;0),"Snapshot","Unavailable"))))</f>
        <v/>
      </c>
      <c r="T339">
        <f>IFERROR(MATCH(331,'Market Data'!$S$5:$S$528,0),0)</f>
        <v/>
      </c>
    </row>
    <row r="340" ht="34" customHeight="1">
      <c r="A340" s="8">
        <f>IF($T340=0,"",IF(INDEX('Market Data'!$A$5:$A$528,$T340)="","",INDEX('Market Data'!$A$5:$A$528,$T340)))</f>
        <v/>
      </c>
      <c r="B340" s="9">
        <f>IF($T340=0,"",IF(INDEX('Market Data'!$B$5:$B$528,$T340)="","",INDEX('Market Data'!$B$5:$B$528,$T340)))</f>
        <v/>
      </c>
      <c r="C340" s="9">
        <f>IF($T340=0,"",IF(INDEX('Market Data'!$C$5:$C$528,$T340)="","",INDEX('Market Data'!$C$5:$C$528,$T340)))</f>
        <v/>
      </c>
      <c r="D340" s="9">
        <f>IF($T340=0,"",IF(INDEX('Market Data'!$D$5:$D$528,$T340)="","",INDEX('Market Data'!$D$5:$D$528,$T340)))</f>
        <v/>
      </c>
      <c r="E340" s="10">
        <f>IF($T340=0,"",INDEX('Market Data'!$O$5:$O$528,$T340))</f>
        <v/>
      </c>
      <c r="F340" s="11">
        <f>IF($T340=0,"",IF(AND($I340="Bloomberg",ISNUMBER(INDEX('Market Data'!$L$5:$L$528,$T340))),INDEX('Market Data'!$L$5:$L$528,$T340),"unavailable"))</f>
        <v/>
      </c>
      <c r="G340" s="12">
        <f>IF($T340=0,"",IF($I340="Bloomberg",IF(AND(ISNUMBER(INDEX('Market Data'!$M$5:$M$528,$T340)),N(INDEX('Market Data'!$M$5:$M$528,$T340))&gt;0),INDEX('Market Data'!$M$5:$M$528,$T340),"date unavailable"),IF($I340="Snapshot",IF(AND(ISNUMBER(INDEX('Market Data'!$H$5:$H$528,$T340)),N(INDEX('Market Data'!$H$5:$H$528,$T340))&gt;0),INDEX('Market Data'!$H$5:$H$528,$T340),"date unavailable"),"date unavailable")))</f>
        <v/>
      </c>
      <c r="H340" s="9">
        <f>IF($T340=0,"",IF($I340="Bloomberg",IF(INDEX('Market Data'!$N$5:$N$528,$T340)="","time unavailable",INDEX('Market Data'!$N$5:$N$528,$T340)),""))</f>
        <v/>
      </c>
      <c r="I340" s="9">
        <f>IF($T340=0,"",INDEX('Market Data'!$P$5:$P$528,$T340))</f>
        <v/>
      </c>
      <c r="J340" s="13">
        <f>IF($T340=0,"",IF(INDEX('Market Data'!$E$5:$E$528,$T340)="","",INDEX('Market Data'!$E$5:$E$528,$T340)))</f>
        <v/>
      </c>
      <c r="K340" s="8">
        <f>IF($T340=0,"",IF(INDEX('Market Data'!$I$5:$I$528,$T340)="","",INDEX('Market Data'!$I$5:$I$528,$T340)))</f>
        <v/>
      </c>
      <c r="L340" s="10">
        <f>IF($T340=0,"",IF(INDEX('Market Data'!$J$5:$J$528,$T340)=0,"n/a",IF(AND($M$5&lt;&gt;"Snapshot",ISNUMBER(INDEX('Market Data'!$AH$5:$AH$66,INDEX('Market Data'!$J$5:$J$528,$T340)-4)),N(INDEX('Market Data'!$AH$5:$AH$66,INDEX('Market Data'!$J$5:$J$528,$T340)-4))&gt;0),INDEX('Market Data'!$AH$5:$AH$66,INDEX('Market Data'!$J$5:$J$528,$T340)-4),IF(AND($M$5&lt;&gt;"Bloomberg",ISNUMBER(INDEX('Market Data'!$AC$5:$AC$66,INDEX('Market Data'!$J$5:$J$528,$T340)-4)),N(INDEX('Market Data'!$AC$5:$AC$66,INDEX('Market Data'!$J$5:$J$528,$T340)-4))&gt;0),INDEX('Market Data'!$AC$5:$AC$66,INDEX('Market Data'!$J$5:$J$528,$T340)-4),"unavailable"))))</f>
        <v/>
      </c>
      <c r="M340" s="11">
        <f>IF($T340=0,"",IF(INDEX('Market Data'!$J$5:$J$528,$T340)=0,"n/a",IF(IF(INDEX('Market Data'!$J$5:$J$528,$T340)=0,0,IF(LEFT(INDEX('Market Data'!$AS$5:$AS$66,INDEX('Market Data'!$J$5:$J$528,$T340)-4),11)="First-month",1,0))=1,"class review",IF($I340="Bloomberg",IF(AND(ISNUMBER(INDEX('Market Data'!$AH$5:$AH$66,INDEX('Market Data'!$J$5:$J$528,$T340)-4)),N(INDEX('Market Data'!$AH$5:$AH$66,INDEX('Market Data'!$J$5:$J$528,$T340)-4))&gt;0,ISNUMBER('Market Data'!$B$1),N('Market Data'!$B$1)&gt;0),INDEX('Market Data'!$AH$5:$AH$66,INDEX('Market Data'!$J$5:$J$528,$T340)-4)*'Market Data'!$B$1/$E340-1,"pending A/FX"),IF(AND($I340="Snapshot",$Q340="Snapshot",ISNUMBER($E340),$G340=INDEX('Market Data'!$AE$5:$AE$66,INDEX('Market Data'!$J$5:$J$528,$T340)-4)),IFERROR(INDEX('Market Data'!$AC$5:$AC$66,INDEX('Market Data'!$J$5:$J$528,$T340)-4)*INDEX('Market Data'!$AD$5:$AD$66,INDEX('Market Data'!$J$5:$J$528,$T340)-4)/$E340-1,"unavailable"),IF($I340="Unavailable","unavailable","date mismatch"))))))</f>
        <v/>
      </c>
      <c r="N340" s="11">
        <f>IF($T340=0,"",IFERROR(IF(AND(N(INDEX('Market Data'!$F$5:$F$528,$T340))&gt;0,ISNUMBER(INDEX('Market Data'!$T$5:$T$528,$T340))),$E340*INDEX('Market Data'!$T$5:$T$528,$T340)/INDEX('Market Data'!$F$5:$F$528,$T340)-1,"unavailable"),"unavailable"))</f>
        <v/>
      </c>
      <c r="O340" s="9">
        <f>IF($T340=0,"",IF(IF(INDEX('Market Data'!$J$5:$J$528,$T340)=0,0,IF(LEFT(INDEX('Market Data'!$AS$5:$AS$66,INDEX('Market Data'!$J$5:$J$528,$T340)-4),11)="First-month",1,0))=1,"Class ratio review",IF($I340="Bloomberg",IF(ISNUMBER($G340),IF($G340&lt;TODAY(),"Older quote","See quote time"),"Date unavailable"),IF($I340="Snapshot",IF($G340&lt;DATEVALUE("2026-10-02"),"Older snapshot","Dated close"),"No valid quote"))))</f>
        <v/>
      </c>
      <c r="P340" s="14">
        <f>IF($T340=0,"",IF(INDEX('Market Data'!$J$5:$J$528,$T340)=0,"n/a",IF($Q340="Bloomberg",IF(AND(ISNUMBER(INDEX('Market Data'!$AK$5:$AK$66,INDEX('Market Data'!$J$5:$J$528,$T340)-4)),N(INDEX('Market Data'!$AK$5:$AK$66,INDEX('Market Data'!$J$5:$J$528,$T340)-4))&gt;0),INDEX('Market Data'!$AK$5:$AK$66,INDEX('Market Data'!$J$5:$J$528,$T340)-4),"date unavailable"),IF($Q340="Snapshot",IF(AND(ISNUMBER(INDEX('Market Data'!$AF$5:$AF$66,INDEX('Market Data'!$J$5:$J$528,$T340)-4)),N(INDEX('Market Data'!$AF$5:$AF$66,INDEX('Market Data'!$J$5:$J$528,$T340)-4))&gt;0),INDEX('Market Data'!$AF$5:$AF$66,INDEX('Market Data'!$J$5:$J$528,$T340)-4),"date unavailable"),"date unavailable"))))</f>
        <v/>
      </c>
      <c r="Q340" s="15">
        <f>IF($T340=0,"",IF(INDEX('Market Data'!$J$5:$J$528,$T340)=0,"n/a",IF(AND($M$5&lt;&gt;"Snapshot",ISNUMBER(INDEX('Market Data'!$AH$5:$AH$66,INDEX('Market Data'!$J$5:$J$528,$T340)-4)),N(INDEX('Market Data'!$AH$5:$AH$66,INDEX('Market Data'!$J$5:$J$528,$T340)-4))&gt;0),"Bloomberg",IF(AND($M$5&lt;&gt;"Bloomberg",ISNUMBER(INDEX('Market Data'!$AC$5:$AC$66,INDEX('Market Data'!$J$5:$J$528,$T340)-4)),N(INDEX('Market Data'!$AC$5:$AC$66,INDEX('Market Data'!$J$5:$J$528,$T340)-4))&gt;0),"Snapshot","Unavailable"))))</f>
        <v/>
      </c>
      <c r="T340">
        <f>IFERROR(MATCH(332,'Market Data'!$S$5:$S$528,0),0)</f>
        <v/>
      </c>
    </row>
    <row r="341" ht="34" customHeight="1">
      <c r="A341" s="8">
        <f>IF($T341=0,"",IF(INDEX('Market Data'!$A$5:$A$528,$T341)="","",INDEX('Market Data'!$A$5:$A$528,$T341)))</f>
        <v/>
      </c>
      <c r="B341" s="9">
        <f>IF($T341=0,"",IF(INDEX('Market Data'!$B$5:$B$528,$T341)="","",INDEX('Market Data'!$B$5:$B$528,$T341)))</f>
        <v/>
      </c>
      <c r="C341" s="9">
        <f>IF($T341=0,"",IF(INDEX('Market Data'!$C$5:$C$528,$T341)="","",INDEX('Market Data'!$C$5:$C$528,$T341)))</f>
        <v/>
      </c>
      <c r="D341" s="9">
        <f>IF($T341=0,"",IF(INDEX('Market Data'!$D$5:$D$528,$T341)="","",INDEX('Market Data'!$D$5:$D$528,$T341)))</f>
        <v/>
      </c>
      <c r="E341" s="10">
        <f>IF($T341=0,"",INDEX('Market Data'!$O$5:$O$528,$T341))</f>
        <v/>
      </c>
      <c r="F341" s="11">
        <f>IF($T341=0,"",IF(AND($I341="Bloomberg",ISNUMBER(INDEX('Market Data'!$L$5:$L$528,$T341))),INDEX('Market Data'!$L$5:$L$528,$T341),"unavailable"))</f>
        <v/>
      </c>
      <c r="G341" s="12">
        <f>IF($T341=0,"",IF($I341="Bloomberg",IF(AND(ISNUMBER(INDEX('Market Data'!$M$5:$M$528,$T341)),N(INDEX('Market Data'!$M$5:$M$528,$T341))&gt;0),INDEX('Market Data'!$M$5:$M$528,$T341),"date unavailable"),IF($I341="Snapshot",IF(AND(ISNUMBER(INDEX('Market Data'!$H$5:$H$528,$T341)),N(INDEX('Market Data'!$H$5:$H$528,$T341))&gt;0),INDEX('Market Data'!$H$5:$H$528,$T341),"date unavailable"),"date unavailable")))</f>
        <v/>
      </c>
      <c r="H341" s="9">
        <f>IF($T341=0,"",IF($I341="Bloomberg",IF(INDEX('Market Data'!$N$5:$N$528,$T341)="","time unavailable",INDEX('Market Data'!$N$5:$N$528,$T341)),""))</f>
        <v/>
      </c>
      <c r="I341" s="9">
        <f>IF($T341=0,"",INDEX('Market Data'!$P$5:$P$528,$T341))</f>
        <v/>
      </c>
      <c r="J341" s="13">
        <f>IF($T341=0,"",IF(INDEX('Market Data'!$E$5:$E$528,$T341)="","",INDEX('Market Data'!$E$5:$E$528,$T341)))</f>
        <v/>
      </c>
      <c r="K341" s="8">
        <f>IF($T341=0,"",IF(INDEX('Market Data'!$I$5:$I$528,$T341)="","",INDEX('Market Data'!$I$5:$I$528,$T341)))</f>
        <v/>
      </c>
      <c r="L341" s="10">
        <f>IF($T341=0,"",IF(INDEX('Market Data'!$J$5:$J$528,$T341)=0,"n/a",IF(AND($M$5&lt;&gt;"Snapshot",ISNUMBER(INDEX('Market Data'!$AH$5:$AH$66,INDEX('Market Data'!$J$5:$J$528,$T341)-4)),N(INDEX('Market Data'!$AH$5:$AH$66,INDEX('Market Data'!$J$5:$J$528,$T341)-4))&gt;0),INDEX('Market Data'!$AH$5:$AH$66,INDEX('Market Data'!$J$5:$J$528,$T341)-4),IF(AND($M$5&lt;&gt;"Bloomberg",ISNUMBER(INDEX('Market Data'!$AC$5:$AC$66,INDEX('Market Data'!$J$5:$J$528,$T341)-4)),N(INDEX('Market Data'!$AC$5:$AC$66,INDEX('Market Data'!$J$5:$J$528,$T341)-4))&gt;0),INDEX('Market Data'!$AC$5:$AC$66,INDEX('Market Data'!$J$5:$J$528,$T341)-4),"unavailable"))))</f>
        <v/>
      </c>
      <c r="M341" s="11">
        <f>IF($T341=0,"",IF(INDEX('Market Data'!$J$5:$J$528,$T341)=0,"n/a",IF(IF(INDEX('Market Data'!$J$5:$J$528,$T341)=0,0,IF(LEFT(INDEX('Market Data'!$AS$5:$AS$66,INDEX('Market Data'!$J$5:$J$528,$T341)-4),11)="First-month",1,0))=1,"class review",IF($I341="Bloomberg",IF(AND(ISNUMBER(INDEX('Market Data'!$AH$5:$AH$66,INDEX('Market Data'!$J$5:$J$528,$T341)-4)),N(INDEX('Market Data'!$AH$5:$AH$66,INDEX('Market Data'!$J$5:$J$528,$T341)-4))&gt;0,ISNUMBER('Market Data'!$B$1),N('Market Data'!$B$1)&gt;0),INDEX('Market Data'!$AH$5:$AH$66,INDEX('Market Data'!$J$5:$J$528,$T341)-4)*'Market Data'!$B$1/$E341-1,"pending A/FX"),IF(AND($I341="Snapshot",$Q341="Snapshot",ISNUMBER($E341),$G341=INDEX('Market Data'!$AE$5:$AE$66,INDEX('Market Data'!$J$5:$J$528,$T341)-4)),IFERROR(INDEX('Market Data'!$AC$5:$AC$66,INDEX('Market Data'!$J$5:$J$528,$T341)-4)*INDEX('Market Data'!$AD$5:$AD$66,INDEX('Market Data'!$J$5:$J$528,$T341)-4)/$E341-1,"unavailable"),IF($I341="Unavailable","unavailable","date mismatch"))))))</f>
        <v/>
      </c>
      <c r="N341" s="11">
        <f>IF($T341=0,"",IFERROR(IF(AND(N(INDEX('Market Data'!$F$5:$F$528,$T341))&gt;0,ISNUMBER(INDEX('Market Data'!$T$5:$T$528,$T341))),$E341*INDEX('Market Data'!$T$5:$T$528,$T341)/INDEX('Market Data'!$F$5:$F$528,$T341)-1,"unavailable"),"unavailable"))</f>
        <v/>
      </c>
      <c r="O341" s="9">
        <f>IF($T341=0,"",IF(IF(INDEX('Market Data'!$J$5:$J$528,$T341)=0,0,IF(LEFT(INDEX('Market Data'!$AS$5:$AS$66,INDEX('Market Data'!$J$5:$J$528,$T341)-4),11)="First-month",1,0))=1,"Class ratio review",IF($I341="Bloomberg",IF(ISNUMBER($G341),IF($G341&lt;TODAY(),"Older quote","See quote time"),"Date unavailable"),IF($I341="Snapshot",IF($G341&lt;DATEVALUE("2026-10-02"),"Older snapshot","Dated close"),"No valid quote"))))</f>
        <v/>
      </c>
      <c r="P341" s="14">
        <f>IF($T341=0,"",IF(INDEX('Market Data'!$J$5:$J$528,$T341)=0,"n/a",IF($Q341="Bloomberg",IF(AND(ISNUMBER(INDEX('Market Data'!$AK$5:$AK$66,INDEX('Market Data'!$J$5:$J$528,$T341)-4)),N(INDEX('Market Data'!$AK$5:$AK$66,INDEX('Market Data'!$J$5:$J$528,$T341)-4))&gt;0),INDEX('Market Data'!$AK$5:$AK$66,INDEX('Market Data'!$J$5:$J$528,$T341)-4),"date unavailable"),IF($Q341="Snapshot",IF(AND(ISNUMBER(INDEX('Market Data'!$AF$5:$AF$66,INDEX('Market Data'!$J$5:$J$528,$T341)-4)),N(INDEX('Market Data'!$AF$5:$AF$66,INDEX('Market Data'!$J$5:$J$528,$T341)-4))&gt;0),INDEX('Market Data'!$AF$5:$AF$66,INDEX('Market Data'!$J$5:$J$528,$T341)-4),"date unavailable"),"date unavailable"))))</f>
        <v/>
      </c>
      <c r="Q341" s="15">
        <f>IF($T341=0,"",IF(INDEX('Market Data'!$J$5:$J$528,$T341)=0,"n/a",IF(AND($M$5&lt;&gt;"Snapshot",ISNUMBER(INDEX('Market Data'!$AH$5:$AH$66,INDEX('Market Data'!$J$5:$J$528,$T341)-4)),N(INDEX('Market Data'!$AH$5:$AH$66,INDEX('Market Data'!$J$5:$J$528,$T341)-4))&gt;0),"Bloomberg",IF(AND($M$5&lt;&gt;"Bloomberg",ISNUMBER(INDEX('Market Data'!$AC$5:$AC$66,INDEX('Market Data'!$J$5:$J$528,$T341)-4)),N(INDEX('Market Data'!$AC$5:$AC$66,INDEX('Market Data'!$J$5:$J$528,$T341)-4))&gt;0),"Snapshot","Unavailable"))))</f>
        <v/>
      </c>
      <c r="T341">
        <f>IFERROR(MATCH(333,'Market Data'!$S$5:$S$528,0),0)</f>
        <v/>
      </c>
    </row>
    <row r="342" ht="34" customHeight="1">
      <c r="A342" s="8">
        <f>IF($T342=0,"",IF(INDEX('Market Data'!$A$5:$A$528,$T342)="","",INDEX('Market Data'!$A$5:$A$528,$T342)))</f>
        <v/>
      </c>
      <c r="B342" s="9">
        <f>IF($T342=0,"",IF(INDEX('Market Data'!$B$5:$B$528,$T342)="","",INDEX('Market Data'!$B$5:$B$528,$T342)))</f>
        <v/>
      </c>
      <c r="C342" s="9">
        <f>IF($T342=0,"",IF(INDEX('Market Data'!$C$5:$C$528,$T342)="","",INDEX('Market Data'!$C$5:$C$528,$T342)))</f>
        <v/>
      </c>
      <c r="D342" s="9">
        <f>IF($T342=0,"",IF(INDEX('Market Data'!$D$5:$D$528,$T342)="","",INDEX('Market Data'!$D$5:$D$528,$T342)))</f>
        <v/>
      </c>
      <c r="E342" s="10">
        <f>IF($T342=0,"",INDEX('Market Data'!$O$5:$O$528,$T342))</f>
        <v/>
      </c>
      <c r="F342" s="11">
        <f>IF($T342=0,"",IF(AND($I342="Bloomberg",ISNUMBER(INDEX('Market Data'!$L$5:$L$528,$T342))),INDEX('Market Data'!$L$5:$L$528,$T342),"unavailable"))</f>
        <v/>
      </c>
      <c r="G342" s="12">
        <f>IF($T342=0,"",IF($I342="Bloomberg",IF(AND(ISNUMBER(INDEX('Market Data'!$M$5:$M$528,$T342)),N(INDEX('Market Data'!$M$5:$M$528,$T342))&gt;0),INDEX('Market Data'!$M$5:$M$528,$T342),"date unavailable"),IF($I342="Snapshot",IF(AND(ISNUMBER(INDEX('Market Data'!$H$5:$H$528,$T342)),N(INDEX('Market Data'!$H$5:$H$528,$T342))&gt;0),INDEX('Market Data'!$H$5:$H$528,$T342),"date unavailable"),"date unavailable")))</f>
        <v/>
      </c>
      <c r="H342" s="9">
        <f>IF($T342=0,"",IF($I342="Bloomberg",IF(INDEX('Market Data'!$N$5:$N$528,$T342)="","time unavailable",INDEX('Market Data'!$N$5:$N$528,$T342)),""))</f>
        <v/>
      </c>
      <c r="I342" s="9">
        <f>IF($T342=0,"",INDEX('Market Data'!$P$5:$P$528,$T342))</f>
        <v/>
      </c>
      <c r="J342" s="13">
        <f>IF($T342=0,"",IF(INDEX('Market Data'!$E$5:$E$528,$T342)="","",INDEX('Market Data'!$E$5:$E$528,$T342)))</f>
        <v/>
      </c>
      <c r="K342" s="8">
        <f>IF($T342=0,"",IF(INDEX('Market Data'!$I$5:$I$528,$T342)="","",INDEX('Market Data'!$I$5:$I$528,$T342)))</f>
        <v/>
      </c>
      <c r="L342" s="10">
        <f>IF($T342=0,"",IF(INDEX('Market Data'!$J$5:$J$528,$T342)=0,"n/a",IF(AND($M$5&lt;&gt;"Snapshot",ISNUMBER(INDEX('Market Data'!$AH$5:$AH$66,INDEX('Market Data'!$J$5:$J$528,$T342)-4)),N(INDEX('Market Data'!$AH$5:$AH$66,INDEX('Market Data'!$J$5:$J$528,$T342)-4))&gt;0),INDEX('Market Data'!$AH$5:$AH$66,INDEX('Market Data'!$J$5:$J$528,$T342)-4),IF(AND($M$5&lt;&gt;"Bloomberg",ISNUMBER(INDEX('Market Data'!$AC$5:$AC$66,INDEX('Market Data'!$J$5:$J$528,$T342)-4)),N(INDEX('Market Data'!$AC$5:$AC$66,INDEX('Market Data'!$J$5:$J$528,$T342)-4))&gt;0),INDEX('Market Data'!$AC$5:$AC$66,INDEX('Market Data'!$J$5:$J$528,$T342)-4),"unavailable"))))</f>
        <v/>
      </c>
      <c r="M342" s="11">
        <f>IF($T342=0,"",IF(INDEX('Market Data'!$J$5:$J$528,$T342)=0,"n/a",IF(IF(INDEX('Market Data'!$J$5:$J$528,$T342)=0,0,IF(LEFT(INDEX('Market Data'!$AS$5:$AS$66,INDEX('Market Data'!$J$5:$J$528,$T342)-4),11)="First-month",1,0))=1,"class review",IF($I342="Bloomberg",IF(AND(ISNUMBER(INDEX('Market Data'!$AH$5:$AH$66,INDEX('Market Data'!$J$5:$J$528,$T342)-4)),N(INDEX('Market Data'!$AH$5:$AH$66,INDEX('Market Data'!$J$5:$J$528,$T342)-4))&gt;0,ISNUMBER('Market Data'!$B$1),N('Market Data'!$B$1)&gt;0),INDEX('Market Data'!$AH$5:$AH$66,INDEX('Market Data'!$J$5:$J$528,$T342)-4)*'Market Data'!$B$1/$E342-1,"pending A/FX"),IF(AND($I342="Snapshot",$Q342="Snapshot",ISNUMBER($E342),$G342=INDEX('Market Data'!$AE$5:$AE$66,INDEX('Market Data'!$J$5:$J$528,$T342)-4)),IFERROR(INDEX('Market Data'!$AC$5:$AC$66,INDEX('Market Data'!$J$5:$J$528,$T342)-4)*INDEX('Market Data'!$AD$5:$AD$66,INDEX('Market Data'!$J$5:$J$528,$T342)-4)/$E342-1,"unavailable"),IF($I342="Unavailable","unavailable","date mismatch"))))))</f>
        <v/>
      </c>
      <c r="N342" s="11">
        <f>IF($T342=0,"",IFERROR(IF(AND(N(INDEX('Market Data'!$F$5:$F$528,$T342))&gt;0,ISNUMBER(INDEX('Market Data'!$T$5:$T$528,$T342))),$E342*INDEX('Market Data'!$T$5:$T$528,$T342)/INDEX('Market Data'!$F$5:$F$528,$T342)-1,"unavailable"),"unavailable"))</f>
        <v/>
      </c>
      <c r="O342" s="9">
        <f>IF($T342=0,"",IF(IF(INDEX('Market Data'!$J$5:$J$528,$T342)=0,0,IF(LEFT(INDEX('Market Data'!$AS$5:$AS$66,INDEX('Market Data'!$J$5:$J$528,$T342)-4),11)="First-month",1,0))=1,"Class ratio review",IF($I342="Bloomberg",IF(ISNUMBER($G342),IF($G342&lt;TODAY(),"Older quote","See quote time"),"Date unavailable"),IF($I342="Snapshot",IF($G342&lt;DATEVALUE("2026-10-02"),"Older snapshot","Dated close"),"No valid quote"))))</f>
        <v/>
      </c>
      <c r="P342" s="14">
        <f>IF($T342=0,"",IF(INDEX('Market Data'!$J$5:$J$528,$T342)=0,"n/a",IF($Q342="Bloomberg",IF(AND(ISNUMBER(INDEX('Market Data'!$AK$5:$AK$66,INDEX('Market Data'!$J$5:$J$528,$T342)-4)),N(INDEX('Market Data'!$AK$5:$AK$66,INDEX('Market Data'!$J$5:$J$528,$T342)-4))&gt;0),INDEX('Market Data'!$AK$5:$AK$66,INDEX('Market Data'!$J$5:$J$528,$T342)-4),"date unavailable"),IF($Q342="Snapshot",IF(AND(ISNUMBER(INDEX('Market Data'!$AF$5:$AF$66,INDEX('Market Data'!$J$5:$J$528,$T342)-4)),N(INDEX('Market Data'!$AF$5:$AF$66,INDEX('Market Data'!$J$5:$J$528,$T342)-4))&gt;0),INDEX('Market Data'!$AF$5:$AF$66,INDEX('Market Data'!$J$5:$J$528,$T342)-4),"date unavailable"),"date unavailable"))))</f>
        <v/>
      </c>
      <c r="Q342" s="15">
        <f>IF($T342=0,"",IF(INDEX('Market Data'!$J$5:$J$528,$T342)=0,"n/a",IF(AND($M$5&lt;&gt;"Snapshot",ISNUMBER(INDEX('Market Data'!$AH$5:$AH$66,INDEX('Market Data'!$J$5:$J$528,$T342)-4)),N(INDEX('Market Data'!$AH$5:$AH$66,INDEX('Market Data'!$J$5:$J$528,$T342)-4))&gt;0),"Bloomberg",IF(AND($M$5&lt;&gt;"Bloomberg",ISNUMBER(INDEX('Market Data'!$AC$5:$AC$66,INDEX('Market Data'!$J$5:$J$528,$T342)-4)),N(INDEX('Market Data'!$AC$5:$AC$66,INDEX('Market Data'!$J$5:$J$528,$T342)-4))&gt;0),"Snapshot","Unavailable"))))</f>
        <v/>
      </c>
      <c r="T342">
        <f>IFERROR(MATCH(334,'Market Data'!$S$5:$S$528,0),0)</f>
        <v/>
      </c>
    </row>
    <row r="343" ht="34" customHeight="1">
      <c r="A343" s="8">
        <f>IF($T343=0,"",IF(INDEX('Market Data'!$A$5:$A$528,$T343)="","",INDEX('Market Data'!$A$5:$A$528,$T343)))</f>
        <v/>
      </c>
      <c r="B343" s="9">
        <f>IF($T343=0,"",IF(INDEX('Market Data'!$B$5:$B$528,$T343)="","",INDEX('Market Data'!$B$5:$B$528,$T343)))</f>
        <v/>
      </c>
      <c r="C343" s="9">
        <f>IF($T343=0,"",IF(INDEX('Market Data'!$C$5:$C$528,$T343)="","",INDEX('Market Data'!$C$5:$C$528,$T343)))</f>
        <v/>
      </c>
      <c r="D343" s="9">
        <f>IF($T343=0,"",IF(INDEX('Market Data'!$D$5:$D$528,$T343)="","",INDEX('Market Data'!$D$5:$D$528,$T343)))</f>
        <v/>
      </c>
      <c r="E343" s="10">
        <f>IF($T343=0,"",INDEX('Market Data'!$O$5:$O$528,$T343))</f>
        <v/>
      </c>
      <c r="F343" s="11">
        <f>IF($T343=0,"",IF(AND($I343="Bloomberg",ISNUMBER(INDEX('Market Data'!$L$5:$L$528,$T343))),INDEX('Market Data'!$L$5:$L$528,$T343),"unavailable"))</f>
        <v/>
      </c>
      <c r="G343" s="12">
        <f>IF($T343=0,"",IF($I343="Bloomberg",IF(AND(ISNUMBER(INDEX('Market Data'!$M$5:$M$528,$T343)),N(INDEX('Market Data'!$M$5:$M$528,$T343))&gt;0),INDEX('Market Data'!$M$5:$M$528,$T343),"date unavailable"),IF($I343="Snapshot",IF(AND(ISNUMBER(INDEX('Market Data'!$H$5:$H$528,$T343)),N(INDEX('Market Data'!$H$5:$H$528,$T343))&gt;0),INDEX('Market Data'!$H$5:$H$528,$T343),"date unavailable"),"date unavailable")))</f>
        <v/>
      </c>
      <c r="H343" s="9">
        <f>IF($T343=0,"",IF($I343="Bloomberg",IF(INDEX('Market Data'!$N$5:$N$528,$T343)="","time unavailable",INDEX('Market Data'!$N$5:$N$528,$T343)),""))</f>
        <v/>
      </c>
      <c r="I343" s="9">
        <f>IF($T343=0,"",INDEX('Market Data'!$P$5:$P$528,$T343))</f>
        <v/>
      </c>
      <c r="J343" s="13">
        <f>IF($T343=0,"",IF(INDEX('Market Data'!$E$5:$E$528,$T343)="","",INDEX('Market Data'!$E$5:$E$528,$T343)))</f>
        <v/>
      </c>
      <c r="K343" s="8">
        <f>IF($T343=0,"",IF(INDEX('Market Data'!$I$5:$I$528,$T343)="","",INDEX('Market Data'!$I$5:$I$528,$T343)))</f>
        <v/>
      </c>
      <c r="L343" s="10">
        <f>IF($T343=0,"",IF(INDEX('Market Data'!$J$5:$J$528,$T343)=0,"n/a",IF(AND($M$5&lt;&gt;"Snapshot",ISNUMBER(INDEX('Market Data'!$AH$5:$AH$66,INDEX('Market Data'!$J$5:$J$528,$T343)-4)),N(INDEX('Market Data'!$AH$5:$AH$66,INDEX('Market Data'!$J$5:$J$528,$T343)-4))&gt;0),INDEX('Market Data'!$AH$5:$AH$66,INDEX('Market Data'!$J$5:$J$528,$T343)-4),IF(AND($M$5&lt;&gt;"Bloomberg",ISNUMBER(INDEX('Market Data'!$AC$5:$AC$66,INDEX('Market Data'!$J$5:$J$528,$T343)-4)),N(INDEX('Market Data'!$AC$5:$AC$66,INDEX('Market Data'!$J$5:$J$528,$T343)-4))&gt;0),INDEX('Market Data'!$AC$5:$AC$66,INDEX('Market Data'!$J$5:$J$528,$T343)-4),"unavailable"))))</f>
        <v/>
      </c>
      <c r="M343" s="11">
        <f>IF($T343=0,"",IF(INDEX('Market Data'!$J$5:$J$528,$T343)=0,"n/a",IF(IF(INDEX('Market Data'!$J$5:$J$528,$T343)=0,0,IF(LEFT(INDEX('Market Data'!$AS$5:$AS$66,INDEX('Market Data'!$J$5:$J$528,$T343)-4),11)="First-month",1,0))=1,"class review",IF($I343="Bloomberg",IF(AND(ISNUMBER(INDEX('Market Data'!$AH$5:$AH$66,INDEX('Market Data'!$J$5:$J$528,$T343)-4)),N(INDEX('Market Data'!$AH$5:$AH$66,INDEX('Market Data'!$J$5:$J$528,$T343)-4))&gt;0,ISNUMBER('Market Data'!$B$1),N('Market Data'!$B$1)&gt;0),INDEX('Market Data'!$AH$5:$AH$66,INDEX('Market Data'!$J$5:$J$528,$T343)-4)*'Market Data'!$B$1/$E343-1,"pending A/FX"),IF(AND($I343="Snapshot",$Q343="Snapshot",ISNUMBER($E343),$G343=INDEX('Market Data'!$AE$5:$AE$66,INDEX('Market Data'!$J$5:$J$528,$T343)-4)),IFERROR(INDEX('Market Data'!$AC$5:$AC$66,INDEX('Market Data'!$J$5:$J$528,$T343)-4)*INDEX('Market Data'!$AD$5:$AD$66,INDEX('Market Data'!$J$5:$J$528,$T343)-4)/$E343-1,"unavailable"),IF($I343="Unavailable","unavailable","date mismatch"))))))</f>
        <v/>
      </c>
      <c r="N343" s="11">
        <f>IF($T343=0,"",IFERROR(IF(AND(N(INDEX('Market Data'!$F$5:$F$528,$T343))&gt;0,ISNUMBER(INDEX('Market Data'!$T$5:$T$528,$T343))),$E343*INDEX('Market Data'!$T$5:$T$528,$T343)/INDEX('Market Data'!$F$5:$F$528,$T343)-1,"unavailable"),"unavailable"))</f>
        <v/>
      </c>
      <c r="O343" s="9">
        <f>IF($T343=0,"",IF(IF(INDEX('Market Data'!$J$5:$J$528,$T343)=0,0,IF(LEFT(INDEX('Market Data'!$AS$5:$AS$66,INDEX('Market Data'!$J$5:$J$528,$T343)-4),11)="First-month",1,0))=1,"Class ratio review",IF($I343="Bloomberg",IF(ISNUMBER($G343),IF($G343&lt;TODAY(),"Older quote","See quote time"),"Date unavailable"),IF($I343="Snapshot",IF($G343&lt;DATEVALUE("2026-10-02"),"Older snapshot","Dated close"),"No valid quote"))))</f>
        <v/>
      </c>
      <c r="P343" s="14">
        <f>IF($T343=0,"",IF(INDEX('Market Data'!$J$5:$J$528,$T343)=0,"n/a",IF($Q343="Bloomberg",IF(AND(ISNUMBER(INDEX('Market Data'!$AK$5:$AK$66,INDEX('Market Data'!$J$5:$J$528,$T343)-4)),N(INDEX('Market Data'!$AK$5:$AK$66,INDEX('Market Data'!$J$5:$J$528,$T343)-4))&gt;0),INDEX('Market Data'!$AK$5:$AK$66,INDEX('Market Data'!$J$5:$J$528,$T343)-4),"date unavailable"),IF($Q343="Snapshot",IF(AND(ISNUMBER(INDEX('Market Data'!$AF$5:$AF$66,INDEX('Market Data'!$J$5:$J$528,$T343)-4)),N(INDEX('Market Data'!$AF$5:$AF$66,INDEX('Market Data'!$J$5:$J$528,$T343)-4))&gt;0),INDEX('Market Data'!$AF$5:$AF$66,INDEX('Market Data'!$J$5:$J$528,$T343)-4),"date unavailable"),"date unavailable"))))</f>
        <v/>
      </c>
      <c r="Q343" s="15">
        <f>IF($T343=0,"",IF(INDEX('Market Data'!$J$5:$J$528,$T343)=0,"n/a",IF(AND($M$5&lt;&gt;"Snapshot",ISNUMBER(INDEX('Market Data'!$AH$5:$AH$66,INDEX('Market Data'!$J$5:$J$528,$T343)-4)),N(INDEX('Market Data'!$AH$5:$AH$66,INDEX('Market Data'!$J$5:$J$528,$T343)-4))&gt;0),"Bloomberg",IF(AND($M$5&lt;&gt;"Bloomberg",ISNUMBER(INDEX('Market Data'!$AC$5:$AC$66,INDEX('Market Data'!$J$5:$J$528,$T343)-4)),N(INDEX('Market Data'!$AC$5:$AC$66,INDEX('Market Data'!$J$5:$J$528,$T343)-4))&gt;0),"Snapshot","Unavailable"))))</f>
        <v/>
      </c>
      <c r="T343">
        <f>IFERROR(MATCH(335,'Market Data'!$S$5:$S$528,0),0)</f>
        <v/>
      </c>
    </row>
    <row r="344" ht="34" customHeight="1">
      <c r="A344" s="8">
        <f>IF($T344=0,"",IF(INDEX('Market Data'!$A$5:$A$528,$T344)="","",INDEX('Market Data'!$A$5:$A$528,$T344)))</f>
        <v/>
      </c>
      <c r="B344" s="9">
        <f>IF($T344=0,"",IF(INDEX('Market Data'!$B$5:$B$528,$T344)="","",INDEX('Market Data'!$B$5:$B$528,$T344)))</f>
        <v/>
      </c>
      <c r="C344" s="9">
        <f>IF($T344=0,"",IF(INDEX('Market Data'!$C$5:$C$528,$T344)="","",INDEX('Market Data'!$C$5:$C$528,$T344)))</f>
        <v/>
      </c>
      <c r="D344" s="9">
        <f>IF($T344=0,"",IF(INDEX('Market Data'!$D$5:$D$528,$T344)="","",INDEX('Market Data'!$D$5:$D$528,$T344)))</f>
        <v/>
      </c>
      <c r="E344" s="10">
        <f>IF($T344=0,"",INDEX('Market Data'!$O$5:$O$528,$T344))</f>
        <v/>
      </c>
      <c r="F344" s="11">
        <f>IF($T344=0,"",IF(AND($I344="Bloomberg",ISNUMBER(INDEX('Market Data'!$L$5:$L$528,$T344))),INDEX('Market Data'!$L$5:$L$528,$T344),"unavailable"))</f>
        <v/>
      </c>
      <c r="G344" s="12">
        <f>IF($T344=0,"",IF($I344="Bloomberg",IF(AND(ISNUMBER(INDEX('Market Data'!$M$5:$M$528,$T344)),N(INDEX('Market Data'!$M$5:$M$528,$T344))&gt;0),INDEX('Market Data'!$M$5:$M$528,$T344),"date unavailable"),IF($I344="Snapshot",IF(AND(ISNUMBER(INDEX('Market Data'!$H$5:$H$528,$T344)),N(INDEX('Market Data'!$H$5:$H$528,$T344))&gt;0),INDEX('Market Data'!$H$5:$H$528,$T344),"date unavailable"),"date unavailable")))</f>
        <v/>
      </c>
      <c r="H344" s="9">
        <f>IF($T344=0,"",IF($I344="Bloomberg",IF(INDEX('Market Data'!$N$5:$N$528,$T344)="","time unavailable",INDEX('Market Data'!$N$5:$N$528,$T344)),""))</f>
        <v/>
      </c>
      <c r="I344" s="9">
        <f>IF($T344=0,"",INDEX('Market Data'!$P$5:$P$528,$T344))</f>
        <v/>
      </c>
      <c r="J344" s="13">
        <f>IF($T344=0,"",IF(INDEX('Market Data'!$E$5:$E$528,$T344)="","",INDEX('Market Data'!$E$5:$E$528,$T344)))</f>
        <v/>
      </c>
      <c r="K344" s="8">
        <f>IF($T344=0,"",IF(INDEX('Market Data'!$I$5:$I$528,$T344)="","",INDEX('Market Data'!$I$5:$I$528,$T344)))</f>
        <v/>
      </c>
      <c r="L344" s="10">
        <f>IF($T344=0,"",IF(INDEX('Market Data'!$J$5:$J$528,$T344)=0,"n/a",IF(AND($M$5&lt;&gt;"Snapshot",ISNUMBER(INDEX('Market Data'!$AH$5:$AH$66,INDEX('Market Data'!$J$5:$J$528,$T344)-4)),N(INDEX('Market Data'!$AH$5:$AH$66,INDEX('Market Data'!$J$5:$J$528,$T344)-4))&gt;0),INDEX('Market Data'!$AH$5:$AH$66,INDEX('Market Data'!$J$5:$J$528,$T344)-4),IF(AND($M$5&lt;&gt;"Bloomberg",ISNUMBER(INDEX('Market Data'!$AC$5:$AC$66,INDEX('Market Data'!$J$5:$J$528,$T344)-4)),N(INDEX('Market Data'!$AC$5:$AC$66,INDEX('Market Data'!$J$5:$J$528,$T344)-4))&gt;0),INDEX('Market Data'!$AC$5:$AC$66,INDEX('Market Data'!$J$5:$J$528,$T344)-4),"unavailable"))))</f>
        <v/>
      </c>
      <c r="M344" s="11">
        <f>IF($T344=0,"",IF(INDEX('Market Data'!$J$5:$J$528,$T344)=0,"n/a",IF(IF(INDEX('Market Data'!$J$5:$J$528,$T344)=0,0,IF(LEFT(INDEX('Market Data'!$AS$5:$AS$66,INDEX('Market Data'!$J$5:$J$528,$T344)-4),11)="First-month",1,0))=1,"class review",IF($I344="Bloomberg",IF(AND(ISNUMBER(INDEX('Market Data'!$AH$5:$AH$66,INDEX('Market Data'!$J$5:$J$528,$T344)-4)),N(INDEX('Market Data'!$AH$5:$AH$66,INDEX('Market Data'!$J$5:$J$528,$T344)-4))&gt;0,ISNUMBER('Market Data'!$B$1),N('Market Data'!$B$1)&gt;0),INDEX('Market Data'!$AH$5:$AH$66,INDEX('Market Data'!$J$5:$J$528,$T344)-4)*'Market Data'!$B$1/$E344-1,"pending A/FX"),IF(AND($I344="Snapshot",$Q344="Snapshot",ISNUMBER($E344),$G344=INDEX('Market Data'!$AE$5:$AE$66,INDEX('Market Data'!$J$5:$J$528,$T344)-4)),IFERROR(INDEX('Market Data'!$AC$5:$AC$66,INDEX('Market Data'!$J$5:$J$528,$T344)-4)*INDEX('Market Data'!$AD$5:$AD$66,INDEX('Market Data'!$J$5:$J$528,$T344)-4)/$E344-1,"unavailable"),IF($I344="Unavailable","unavailable","date mismatch"))))))</f>
        <v/>
      </c>
      <c r="N344" s="11">
        <f>IF($T344=0,"",IFERROR(IF(AND(N(INDEX('Market Data'!$F$5:$F$528,$T344))&gt;0,ISNUMBER(INDEX('Market Data'!$T$5:$T$528,$T344))),$E344*INDEX('Market Data'!$T$5:$T$528,$T344)/INDEX('Market Data'!$F$5:$F$528,$T344)-1,"unavailable"),"unavailable"))</f>
        <v/>
      </c>
      <c r="O344" s="9">
        <f>IF($T344=0,"",IF(IF(INDEX('Market Data'!$J$5:$J$528,$T344)=0,0,IF(LEFT(INDEX('Market Data'!$AS$5:$AS$66,INDEX('Market Data'!$J$5:$J$528,$T344)-4),11)="First-month",1,0))=1,"Class ratio review",IF($I344="Bloomberg",IF(ISNUMBER($G344),IF($G344&lt;TODAY(),"Older quote","See quote time"),"Date unavailable"),IF($I344="Snapshot",IF($G344&lt;DATEVALUE("2026-10-02"),"Older snapshot","Dated close"),"No valid quote"))))</f>
        <v/>
      </c>
      <c r="P344" s="14">
        <f>IF($T344=0,"",IF(INDEX('Market Data'!$J$5:$J$528,$T344)=0,"n/a",IF($Q344="Bloomberg",IF(AND(ISNUMBER(INDEX('Market Data'!$AK$5:$AK$66,INDEX('Market Data'!$J$5:$J$528,$T344)-4)),N(INDEX('Market Data'!$AK$5:$AK$66,INDEX('Market Data'!$J$5:$J$528,$T344)-4))&gt;0),INDEX('Market Data'!$AK$5:$AK$66,INDEX('Market Data'!$J$5:$J$528,$T344)-4),"date unavailable"),IF($Q344="Snapshot",IF(AND(ISNUMBER(INDEX('Market Data'!$AF$5:$AF$66,INDEX('Market Data'!$J$5:$J$528,$T344)-4)),N(INDEX('Market Data'!$AF$5:$AF$66,INDEX('Market Data'!$J$5:$J$528,$T344)-4))&gt;0),INDEX('Market Data'!$AF$5:$AF$66,INDEX('Market Data'!$J$5:$J$528,$T344)-4),"date unavailable"),"date unavailable"))))</f>
        <v/>
      </c>
      <c r="Q344" s="15">
        <f>IF($T344=0,"",IF(INDEX('Market Data'!$J$5:$J$528,$T344)=0,"n/a",IF(AND($M$5&lt;&gt;"Snapshot",ISNUMBER(INDEX('Market Data'!$AH$5:$AH$66,INDEX('Market Data'!$J$5:$J$528,$T344)-4)),N(INDEX('Market Data'!$AH$5:$AH$66,INDEX('Market Data'!$J$5:$J$528,$T344)-4))&gt;0),"Bloomberg",IF(AND($M$5&lt;&gt;"Bloomberg",ISNUMBER(INDEX('Market Data'!$AC$5:$AC$66,INDEX('Market Data'!$J$5:$J$528,$T344)-4)),N(INDEX('Market Data'!$AC$5:$AC$66,INDEX('Market Data'!$J$5:$J$528,$T344)-4))&gt;0),"Snapshot","Unavailable"))))</f>
        <v/>
      </c>
      <c r="T344">
        <f>IFERROR(MATCH(336,'Market Data'!$S$5:$S$528,0),0)</f>
        <v/>
      </c>
    </row>
    <row r="345" ht="34" customHeight="1">
      <c r="A345" s="8">
        <f>IF($T345=0,"",IF(INDEX('Market Data'!$A$5:$A$528,$T345)="","",INDEX('Market Data'!$A$5:$A$528,$T345)))</f>
        <v/>
      </c>
      <c r="B345" s="9">
        <f>IF($T345=0,"",IF(INDEX('Market Data'!$B$5:$B$528,$T345)="","",INDEX('Market Data'!$B$5:$B$528,$T345)))</f>
        <v/>
      </c>
      <c r="C345" s="9">
        <f>IF($T345=0,"",IF(INDEX('Market Data'!$C$5:$C$528,$T345)="","",INDEX('Market Data'!$C$5:$C$528,$T345)))</f>
        <v/>
      </c>
      <c r="D345" s="9">
        <f>IF($T345=0,"",IF(INDEX('Market Data'!$D$5:$D$528,$T345)="","",INDEX('Market Data'!$D$5:$D$528,$T345)))</f>
        <v/>
      </c>
      <c r="E345" s="10">
        <f>IF($T345=0,"",INDEX('Market Data'!$O$5:$O$528,$T345))</f>
        <v/>
      </c>
      <c r="F345" s="11">
        <f>IF($T345=0,"",IF(AND($I345="Bloomberg",ISNUMBER(INDEX('Market Data'!$L$5:$L$528,$T345))),INDEX('Market Data'!$L$5:$L$528,$T345),"unavailable"))</f>
        <v/>
      </c>
      <c r="G345" s="12">
        <f>IF($T345=0,"",IF($I345="Bloomberg",IF(AND(ISNUMBER(INDEX('Market Data'!$M$5:$M$528,$T345)),N(INDEX('Market Data'!$M$5:$M$528,$T345))&gt;0),INDEX('Market Data'!$M$5:$M$528,$T345),"date unavailable"),IF($I345="Snapshot",IF(AND(ISNUMBER(INDEX('Market Data'!$H$5:$H$528,$T345)),N(INDEX('Market Data'!$H$5:$H$528,$T345))&gt;0),INDEX('Market Data'!$H$5:$H$528,$T345),"date unavailable"),"date unavailable")))</f>
        <v/>
      </c>
      <c r="H345" s="9">
        <f>IF($T345=0,"",IF($I345="Bloomberg",IF(INDEX('Market Data'!$N$5:$N$528,$T345)="","time unavailable",INDEX('Market Data'!$N$5:$N$528,$T345)),""))</f>
        <v/>
      </c>
      <c r="I345" s="9">
        <f>IF($T345=0,"",INDEX('Market Data'!$P$5:$P$528,$T345))</f>
        <v/>
      </c>
      <c r="J345" s="13">
        <f>IF($T345=0,"",IF(INDEX('Market Data'!$E$5:$E$528,$T345)="","",INDEX('Market Data'!$E$5:$E$528,$T345)))</f>
        <v/>
      </c>
      <c r="K345" s="8">
        <f>IF($T345=0,"",IF(INDEX('Market Data'!$I$5:$I$528,$T345)="","",INDEX('Market Data'!$I$5:$I$528,$T345)))</f>
        <v/>
      </c>
      <c r="L345" s="10">
        <f>IF($T345=0,"",IF(INDEX('Market Data'!$J$5:$J$528,$T345)=0,"n/a",IF(AND($M$5&lt;&gt;"Snapshot",ISNUMBER(INDEX('Market Data'!$AH$5:$AH$66,INDEX('Market Data'!$J$5:$J$528,$T345)-4)),N(INDEX('Market Data'!$AH$5:$AH$66,INDEX('Market Data'!$J$5:$J$528,$T345)-4))&gt;0),INDEX('Market Data'!$AH$5:$AH$66,INDEX('Market Data'!$J$5:$J$528,$T345)-4),IF(AND($M$5&lt;&gt;"Bloomberg",ISNUMBER(INDEX('Market Data'!$AC$5:$AC$66,INDEX('Market Data'!$J$5:$J$528,$T345)-4)),N(INDEX('Market Data'!$AC$5:$AC$66,INDEX('Market Data'!$J$5:$J$528,$T345)-4))&gt;0),INDEX('Market Data'!$AC$5:$AC$66,INDEX('Market Data'!$J$5:$J$528,$T345)-4),"unavailable"))))</f>
        <v/>
      </c>
      <c r="M345" s="11">
        <f>IF($T345=0,"",IF(INDEX('Market Data'!$J$5:$J$528,$T345)=0,"n/a",IF(IF(INDEX('Market Data'!$J$5:$J$528,$T345)=0,0,IF(LEFT(INDEX('Market Data'!$AS$5:$AS$66,INDEX('Market Data'!$J$5:$J$528,$T345)-4),11)="First-month",1,0))=1,"class review",IF($I345="Bloomberg",IF(AND(ISNUMBER(INDEX('Market Data'!$AH$5:$AH$66,INDEX('Market Data'!$J$5:$J$528,$T345)-4)),N(INDEX('Market Data'!$AH$5:$AH$66,INDEX('Market Data'!$J$5:$J$528,$T345)-4))&gt;0,ISNUMBER('Market Data'!$B$1),N('Market Data'!$B$1)&gt;0),INDEX('Market Data'!$AH$5:$AH$66,INDEX('Market Data'!$J$5:$J$528,$T345)-4)*'Market Data'!$B$1/$E345-1,"pending A/FX"),IF(AND($I345="Snapshot",$Q345="Snapshot",ISNUMBER($E345),$G345=INDEX('Market Data'!$AE$5:$AE$66,INDEX('Market Data'!$J$5:$J$528,$T345)-4)),IFERROR(INDEX('Market Data'!$AC$5:$AC$66,INDEX('Market Data'!$J$5:$J$528,$T345)-4)*INDEX('Market Data'!$AD$5:$AD$66,INDEX('Market Data'!$J$5:$J$528,$T345)-4)/$E345-1,"unavailable"),IF($I345="Unavailable","unavailable","date mismatch"))))))</f>
        <v/>
      </c>
      <c r="N345" s="11">
        <f>IF($T345=0,"",IFERROR(IF(AND(N(INDEX('Market Data'!$F$5:$F$528,$T345))&gt;0,ISNUMBER(INDEX('Market Data'!$T$5:$T$528,$T345))),$E345*INDEX('Market Data'!$T$5:$T$528,$T345)/INDEX('Market Data'!$F$5:$F$528,$T345)-1,"unavailable"),"unavailable"))</f>
        <v/>
      </c>
      <c r="O345" s="9">
        <f>IF($T345=0,"",IF(IF(INDEX('Market Data'!$J$5:$J$528,$T345)=0,0,IF(LEFT(INDEX('Market Data'!$AS$5:$AS$66,INDEX('Market Data'!$J$5:$J$528,$T345)-4),11)="First-month",1,0))=1,"Class ratio review",IF($I345="Bloomberg",IF(ISNUMBER($G345),IF($G345&lt;TODAY(),"Older quote","See quote time"),"Date unavailable"),IF($I345="Snapshot",IF($G345&lt;DATEVALUE("2026-10-02"),"Older snapshot","Dated close"),"No valid quote"))))</f>
        <v/>
      </c>
      <c r="P345" s="14">
        <f>IF($T345=0,"",IF(INDEX('Market Data'!$J$5:$J$528,$T345)=0,"n/a",IF($Q345="Bloomberg",IF(AND(ISNUMBER(INDEX('Market Data'!$AK$5:$AK$66,INDEX('Market Data'!$J$5:$J$528,$T345)-4)),N(INDEX('Market Data'!$AK$5:$AK$66,INDEX('Market Data'!$J$5:$J$528,$T345)-4))&gt;0),INDEX('Market Data'!$AK$5:$AK$66,INDEX('Market Data'!$J$5:$J$528,$T345)-4),"date unavailable"),IF($Q345="Snapshot",IF(AND(ISNUMBER(INDEX('Market Data'!$AF$5:$AF$66,INDEX('Market Data'!$J$5:$J$528,$T345)-4)),N(INDEX('Market Data'!$AF$5:$AF$66,INDEX('Market Data'!$J$5:$J$528,$T345)-4))&gt;0),INDEX('Market Data'!$AF$5:$AF$66,INDEX('Market Data'!$J$5:$J$528,$T345)-4),"date unavailable"),"date unavailable"))))</f>
        <v/>
      </c>
      <c r="Q345" s="15">
        <f>IF($T345=0,"",IF(INDEX('Market Data'!$J$5:$J$528,$T345)=0,"n/a",IF(AND($M$5&lt;&gt;"Snapshot",ISNUMBER(INDEX('Market Data'!$AH$5:$AH$66,INDEX('Market Data'!$J$5:$J$528,$T345)-4)),N(INDEX('Market Data'!$AH$5:$AH$66,INDEX('Market Data'!$J$5:$J$528,$T345)-4))&gt;0),"Bloomberg",IF(AND($M$5&lt;&gt;"Bloomberg",ISNUMBER(INDEX('Market Data'!$AC$5:$AC$66,INDEX('Market Data'!$J$5:$J$528,$T345)-4)),N(INDEX('Market Data'!$AC$5:$AC$66,INDEX('Market Data'!$J$5:$J$528,$T345)-4))&gt;0),"Snapshot","Unavailable"))))</f>
        <v/>
      </c>
      <c r="T345">
        <f>IFERROR(MATCH(337,'Market Data'!$S$5:$S$528,0),0)</f>
        <v/>
      </c>
    </row>
    <row r="346" ht="34" customHeight="1">
      <c r="A346" s="8">
        <f>IF($T346=0,"",IF(INDEX('Market Data'!$A$5:$A$528,$T346)="","",INDEX('Market Data'!$A$5:$A$528,$T346)))</f>
        <v/>
      </c>
      <c r="B346" s="9">
        <f>IF($T346=0,"",IF(INDEX('Market Data'!$B$5:$B$528,$T346)="","",INDEX('Market Data'!$B$5:$B$528,$T346)))</f>
        <v/>
      </c>
      <c r="C346" s="9">
        <f>IF($T346=0,"",IF(INDEX('Market Data'!$C$5:$C$528,$T346)="","",INDEX('Market Data'!$C$5:$C$528,$T346)))</f>
        <v/>
      </c>
      <c r="D346" s="9">
        <f>IF($T346=0,"",IF(INDEX('Market Data'!$D$5:$D$528,$T346)="","",INDEX('Market Data'!$D$5:$D$528,$T346)))</f>
        <v/>
      </c>
      <c r="E346" s="10">
        <f>IF($T346=0,"",INDEX('Market Data'!$O$5:$O$528,$T346))</f>
        <v/>
      </c>
      <c r="F346" s="11">
        <f>IF($T346=0,"",IF(AND($I346="Bloomberg",ISNUMBER(INDEX('Market Data'!$L$5:$L$528,$T346))),INDEX('Market Data'!$L$5:$L$528,$T346),"unavailable"))</f>
        <v/>
      </c>
      <c r="G346" s="12">
        <f>IF($T346=0,"",IF($I346="Bloomberg",IF(AND(ISNUMBER(INDEX('Market Data'!$M$5:$M$528,$T346)),N(INDEX('Market Data'!$M$5:$M$528,$T346))&gt;0),INDEX('Market Data'!$M$5:$M$528,$T346),"date unavailable"),IF($I346="Snapshot",IF(AND(ISNUMBER(INDEX('Market Data'!$H$5:$H$528,$T346)),N(INDEX('Market Data'!$H$5:$H$528,$T346))&gt;0),INDEX('Market Data'!$H$5:$H$528,$T346),"date unavailable"),"date unavailable")))</f>
        <v/>
      </c>
      <c r="H346" s="9">
        <f>IF($T346=0,"",IF($I346="Bloomberg",IF(INDEX('Market Data'!$N$5:$N$528,$T346)="","time unavailable",INDEX('Market Data'!$N$5:$N$528,$T346)),""))</f>
        <v/>
      </c>
      <c r="I346" s="9">
        <f>IF($T346=0,"",INDEX('Market Data'!$P$5:$P$528,$T346))</f>
        <v/>
      </c>
      <c r="J346" s="13">
        <f>IF($T346=0,"",IF(INDEX('Market Data'!$E$5:$E$528,$T346)="","",INDEX('Market Data'!$E$5:$E$528,$T346)))</f>
        <v/>
      </c>
      <c r="K346" s="8">
        <f>IF($T346=0,"",IF(INDEX('Market Data'!$I$5:$I$528,$T346)="","",INDEX('Market Data'!$I$5:$I$528,$T346)))</f>
        <v/>
      </c>
      <c r="L346" s="10">
        <f>IF($T346=0,"",IF(INDEX('Market Data'!$J$5:$J$528,$T346)=0,"n/a",IF(AND($M$5&lt;&gt;"Snapshot",ISNUMBER(INDEX('Market Data'!$AH$5:$AH$66,INDEX('Market Data'!$J$5:$J$528,$T346)-4)),N(INDEX('Market Data'!$AH$5:$AH$66,INDEX('Market Data'!$J$5:$J$528,$T346)-4))&gt;0),INDEX('Market Data'!$AH$5:$AH$66,INDEX('Market Data'!$J$5:$J$528,$T346)-4),IF(AND($M$5&lt;&gt;"Bloomberg",ISNUMBER(INDEX('Market Data'!$AC$5:$AC$66,INDEX('Market Data'!$J$5:$J$528,$T346)-4)),N(INDEX('Market Data'!$AC$5:$AC$66,INDEX('Market Data'!$J$5:$J$528,$T346)-4))&gt;0),INDEX('Market Data'!$AC$5:$AC$66,INDEX('Market Data'!$J$5:$J$528,$T346)-4),"unavailable"))))</f>
        <v/>
      </c>
      <c r="M346" s="11">
        <f>IF($T346=0,"",IF(INDEX('Market Data'!$J$5:$J$528,$T346)=0,"n/a",IF(IF(INDEX('Market Data'!$J$5:$J$528,$T346)=0,0,IF(LEFT(INDEX('Market Data'!$AS$5:$AS$66,INDEX('Market Data'!$J$5:$J$528,$T346)-4),11)="First-month",1,0))=1,"class review",IF($I346="Bloomberg",IF(AND(ISNUMBER(INDEX('Market Data'!$AH$5:$AH$66,INDEX('Market Data'!$J$5:$J$528,$T346)-4)),N(INDEX('Market Data'!$AH$5:$AH$66,INDEX('Market Data'!$J$5:$J$528,$T346)-4))&gt;0,ISNUMBER('Market Data'!$B$1),N('Market Data'!$B$1)&gt;0),INDEX('Market Data'!$AH$5:$AH$66,INDEX('Market Data'!$J$5:$J$528,$T346)-4)*'Market Data'!$B$1/$E346-1,"pending A/FX"),IF(AND($I346="Snapshot",$Q346="Snapshot",ISNUMBER($E346),$G346=INDEX('Market Data'!$AE$5:$AE$66,INDEX('Market Data'!$J$5:$J$528,$T346)-4)),IFERROR(INDEX('Market Data'!$AC$5:$AC$66,INDEX('Market Data'!$J$5:$J$528,$T346)-4)*INDEX('Market Data'!$AD$5:$AD$66,INDEX('Market Data'!$J$5:$J$528,$T346)-4)/$E346-1,"unavailable"),IF($I346="Unavailable","unavailable","date mismatch"))))))</f>
        <v/>
      </c>
      <c r="N346" s="11">
        <f>IF($T346=0,"",IFERROR(IF(AND(N(INDEX('Market Data'!$F$5:$F$528,$T346))&gt;0,ISNUMBER(INDEX('Market Data'!$T$5:$T$528,$T346))),$E346*INDEX('Market Data'!$T$5:$T$528,$T346)/INDEX('Market Data'!$F$5:$F$528,$T346)-1,"unavailable"),"unavailable"))</f>
        <v/>
      </c>
      <c r="O346" s="9">
        <f>IF($T346=0,"",IF(IF(INDEX('Market Data'!$J$5:$J$528,$T346)=0,0,IF(LEFT(INDEX('Market Data'!$AS$5:$AS$66,INDEX('Market Data'!$J$5:$J$528,$T346)-4),11)="First-month",1,0))=1,"Class ratio review",IF($I346="Bloomberg",IF(ISNUMBER($G346),IF($G346&lt;TODAY(),"Older quote","See quote time"),"Date unavailable"),IF($I346="Snapshot",IF($G346&lt;DATEVALUE("2026-10-02"),"Older snapshot","Dated close"),"No valid quote"))))</f>
        <v/>
      </c>
      <c r="P346" s="14">
        <f>IF($T346=0,"",IF(INDEX('Market Data'!$J$5:$J$528,$T346)=0,"n/a",IF($Q346="Bloomberg",IF(AND(ISNUMBER(INDEX('Market Data'!$AK$5:$AK$66,INDEX('Market Data'!$J$5:$J$528,$T346)-4)),N(INDEX('Market Data'!$AK$5:$AK$66,INDEX('Market Data'!$J$5:$J$528,$T346)-4))&gt;0),INDEX('Market Data'!$AK$5:$AK$66,INDEX('Market Data'!$J$5:$J$528,$T346)-4),"date unavailable"),IF($Q346="Snapshot",IF(AND(ISNUMBER(INDEX('Market Data'!$AF$5:$AF$66,INDEX('Market Data'!$J$5:$J$528,$T346)-4)),N(INDEX('Market Data'!$AF$5:$AF$66,INDEX('Market Data'!$J$5:$J$528,$T346)-4))&gt;0),INDEX('Market Data'!$AF$5:$AF$66,INDEX('Market Data'!$J$5:$J$528,$T346)-4),"date unavailable"),"date unavailable"))))</f>
        <v/>
      </c>
      <c r="Q346" s="15">
        <f>IF($T346=0,"",IF(INDEX('Market Data'!$J$5:$J$528,$T346)=0,"n/a",IF(AND($M$5&lt;&gt;"Snapshot",ISNUMBER(INDEX('Market Data'!$AH$5:$AH$66,INDEX('Market Data'!$J$5:$J$528,$T346)-4)),N(INDEX('Market Data'!$AH$5:$AH$66,INDEX('Market Data'!$J$5:$J$528,$T346)-4))&gt;0),"Bloomberg",IF(AND($M$5&lt;&gt;"Bloomberg",ISNUMBER(INDEX('Market Data'!$AC$5:$AC$66,INDEX('Market Data'!$J$5:$J$528,$T346)-4)),N(INDEX('Market Data'!$AC$5:$AC$66,INDEX('Market Data'!$J$5:$J$528,$T346)-4))&gt;0),"Snapshot","Unavailable"))))</f>
        <v/>
      </c>
      <c r="T346">
        <f>IFERROR(MATCH(338,'Market Data'!$S$5:$S$528,0),0)</f>
        <v/>
      </c>
    </row>
    <row r="347" ht="34" customHeight="1">
      <c r="A347" s="8">
        <f>IF($T347=0,"",IF(INDEX('Market Data'!$A$5:$A$528,$T347)="","",INDEX('Market Data'!$A$5:$A$528,$T347)))</f>
        <v/>
      </c>
      <c r="B347" s="9">
        <f>IF($T347=0,"",IF(INDEX('Market Data'!$B$5:$B$528,$T347)="","",INDEX('Market Data'!$B$5:$B$528,$T347)))</f>
        <v/>
      </c>
      <c r="C347" s="9">
        <f>IF($T347=0,"",IF(INDEX('Market Data'!$C$5:$C$528,$T347)="","",INDEX('Market Data'!$C$5:$C$528,$T347)))</f>
        <v/>
      </c>
      <c r="D347" s="9">
        <f>IF($T347=0,"",IF(INDEX('Market Data'!$D$5:$D$528,$T347)="","",INDEX('Market Data'!$D$5:$D$528,$T347)))</f>
        <v/>
      </c>
      <c r="E347" s="10">
        <f>IF($T347=0,"",INDEX('Market Data'!$O$5:$O$528,$T347))</f>
        <v/>
      </c>
      <c r="F347" s="11">
        <f>IF($T347=0,"",IF(AND($I347="Bloomberg",ISNUMBER(INDEX('Market Data'!$L$5:$L$528,$T347))),INDEX('Market Data'!$L$5:$L$528,$T347),"unavailable"))</f>
        <v/>
      </c>
      <c r="G347" s="12">
        <f>IF($T347=0,"",IF($I347="Bloomberg",IF(AND(ISNUMBER(INDEX('Market Data'!$M$5:$M$528,$T347)),N(INDEX('Market Data'!$M$5:$M$528,$T347))&gt;0),INDEX('Market Data'!$M$5:$M$528,$T347),"date unavailable"),IF($I347="Snapshot",IF(AND(ISNUMBER(INDEX('Market Data'!$H$5:$H$528,$T347)),N(INDEX('Market Data'!$H$5:$H$528,$T347))&gt;0),INDEX('Market Data'!$H$5:$H$528,$T347),"date unavailable"),"date unavailable")))</f>
        <v/>
      </c>
      <c r="H347" s="9">
        <f>IF($T347=0,"",IF($I347="Bloomberg",IF(INDEX('Market Data'!$N$5:$N$528,$T347)="","time unavailable",INDEX('Market Data'!$N$5:$N$528,$T347)),""))</f>
        <v/>
      </c>
      <c r="I347" s="9">
        <f>IF($T347=0,"",INDEX('Market Data'!$P$5:$P$528,$T347))</f>
        <v/>
      </c>
      <c r="J347" s="13">
        <f>IF($T347=0,"",IF(INDEX('Market Data'!$E$5:$E$528,$T347)="","",INDEX('Market Data'!$E$5:$E$528,$T347)))</f>
        <v/>
      </c>
      <c r="K347" s="8">
        <f>IF($T347=0,"",IF(INDEX('Market Data'!$I$5:$I$528,$T347)="","",INDEX('Market Data'!$I$5:$I$528,$T347)))</f>
        <v/>
      </c>
      <c r="L347" s="10">
        <f>IF($T347=0,"",IF(INDEX('Market Data'!$J$5:$J$528,$T347)=0,"n/a",IF(AND($M$5&lt;&gt;"Snapshot",ISNUMBER(INDEX('Market Data'!$AH$5:$AH$66,INDEX('Market Data'!$J$5:$J$528,$T347)-4)),N(INDEX('Market Data'!$AH$5:$AH$66,INDEX('Market Data'!$J$5:$J$528,$T347)-4))&gt;0),INDEX('Market Data'!$AH$5:$AH$66,INDEX('Market Data'!$J$5:$J$528,$T347)-4),IF(AND($M$5&lt;&gt;"Bloomberg",ISNUMBER(INDEX('Market Data'!$AC$5:$AC$66,INDEX('Market Data'!$J$5:$J$528,$T347)-4)),N(INDEX('Market Data'!$AC$5:$AC$66,INDEX('Market Data'!$J$5:$J$528,$T347)-4))&gt;0),INDEX('Market Data'!$AC$5:$AC$66,INDEX('Market Data'!$J$5:$J$528,$T347)-4),"unavailable"))))</f>
        <v/>
      </c>
      <c r="M347" s="11">
        <f>IF($T347=0,"",IF(INDEX('Market Data'!$J$5:$J$528,$T347)=0,"n/a",IF(IF(INDEX('Market Data'!$J$5:$J$528,$T347)=0,0,IF(LEFT(INDEX('Market Data'!$AS$5:$AS$66,INDEX('Market Data'!$J$5:$J$528,$T347)-4),11)="First-month",1,0))=1,"class review",IF($I347="Bloomberg",IF(AND(ISNUMBER(INDEX('Market Data'!$AH$5:$AH$66,INDEX('Market Data'!$J$5:$J$528,$T347)-4)),N(INDEX('Market Data'!$AH$5:$AH$66,INDEX('Market Data'!$J$5:$J$528,$T347)-4))&gt;0,ISNUMBER('Market Data'!$B$1),N('Market Data'!$B$1)&gt;0),INDEX('Market Data'!$AH$5:$AH$66,INDEX('Market Data'!$J$5:$J$528,$T347)-4)*'Market Data'!$B$1/$E347-1,"pending A/FX"),IF(AND($I347="Snapshot",$Q347="Snapshot",ISNUMBER($E347),$G347=INDEX('Market Data'!$AE$5:$AE$66,INDEX('Market Data'!$J$5:$J$528,$T347)-4)),IFERROR(INDEX('Market Data'!$AC$5:$AC$66,INDEX('Market Data'!$J$5:$J$528,$T347)-4)*INDEX('Market Data'!$AD$5:$AD$66,INDEX('Market Data'!$J$5:$J$528,$T347)-4)/$E347-1,"unavailable"),IF($I347="Unavailable","unavailable","date mismatch"))))))</f>
        <v/>
      </c>
      <c r="N347" s="11">
        <f>IF($T347=0,"",IFERROR(IF(AND(N(INDEX('Market Data'!$F$5:$F$528,$T347))&gt;0,ISNUMBER(INDEX('Market Data'!$T$5:$T$528,$T347))),$E347*INDEX('Market Data'!$T$5:$T$528,$T347)/INDEX('Market Data'!$F$5:$F$528,$T347)-1,"unavailable"),"unavailable"))</f>
        <v/>
      </c>
      <c r="O347" s="9">
        <f>IF($T347=0,"",IF(IF(INDEX('Market Data'!$J$5:$J$528,$T347)=0,0,IF(LEFT(INDEX('Market Data'!$AS$5:$AS$66,INDEX('Market Data'!$J$5:$J$528,$T347)-4),11)="First-month",1,0))=1,"Class ratio review",IF($I347="Bloomberg",IF(ISNUMBER($G347),IF($G347&lt;TODAY(),"Older quote","See quote time"),"Date unavailable"),IF($I347="Snapshot",IF($G347&lt;DATEVALUE("2026-10-02"),"Older snapshot","Dated close"),"No valid quote"))))</f>
        <v/>
      </c>
      <c r="P347" s="14">
        <f>IF($T347=0,"",IF(INDEX('Market Data'!$J$5:$J$528,$T347)=0,"n/a",IF($Q347="Bloomberg",IF(AND(ISNUMBER(INDEX('Market Data'!$AK$5:$AK$66,INDEX('Market Data'!$J$5:$J$528,$T347)-4)),N(INDEX('Market Data'!$AK$5:$AK$66,INDEX('Market Data'!$J$5:$J$528,$T347)-4))&gt;0),INDEX('Market Data'!$AK$5:$AK$66,INDEX('Market Data'!$J$5:$J$528,$T347)-4),"date unavailable"),IF($Q347="Snapshot",IF(AND(ISNUMBER(INDEX('Market Data'!$AF$5:$AF$66,INDEX('Market Data'!$J$5:$J$528,$T347)-4)),N(INDEX('Market Data'!$AF$5:$AF$66,INDEX('Market Data'!$J$5:$J$528,$T347)-4))&gt;0),INDEX('Market Data'!$AF$5:$AF$66,INDEX('Market Data'!$J$5:$J$528,$T347)-4),"date unavailable"),"date unavailable"))))</f>
        <v/>
      </c>
      <c r="Q347" s="15">
        <f>IF($T347=0,"",IF(INDEX('Market Data'!$J$5:$J$528,$T347)=0,"n/a",IF(AND($M$5&lt;&gt;"Snapshot",ISNUMBER(INDEX('Market Data'!$AH$5:$AH$66,INDEX('Market Data'!$J$5:$J$528,$T347)-4)),N(INDEX('Market Data'!$AH$5:$AH$66,INDEX('Market Data'!$J$5:$J$528,$T347)-4))&gt;0),"Bloomberg",IF(AND($M$5&lt;&gt;"Bloomberg",ISNUMBER(INDEX('Market Data'!$AC$5:$AC$66,INDEX('Market Data'!$J$5:$J$528,$T347)-4)),N(INDEX('Market Data'!$AC$5:$AC$66,INDEX('Market Data'!$J$5:$J$528,$T347)-4))&gt;0),"Snapshot","Unavailable"))))</f>
        <v/>
      </c>
      <c r="T347">
        <f>IFERROR(MATCH(339,'Market Data'!$S$5:$S$528,0),0)</f>
        <v/>
      </c>
    </row>
    <row r="348" ht="34" customHeight="1">
      <c r="A348" s="8">
        <f>IF($T348=0,"",IF(INDEX('Market Data'!$A$5:$A$528,$T348)="","",INDEX('Market Data'!$A$5:$A$528,$T348)))</f>
        <v/>
      </c>
      <c r="B348" s="9">
        <f>IF($T348=0,"",IF(INDEX('Market Data'!$B$5:$B$528,$T348)="","",INDEX('Market Data'!$B$5:$B$528,$T348)))</f>
        <v/>
      </c>
      <c r="C348" s="9">
        <f>IF($T348=0,"",IF(INDEX('Market Data'!$C$5:$C$528,$T348)="","",INDEX('Market Data'!$C$5:$C$528,$T348)))</f>
        <v/>
      </c>
      <c r="D348" s="9">
        <f>IF($T348=0,"",IF(INDEX('Market Data'!$D$5:$D$528,$T348)="","",INDEX('Market Data'!$D$5:$D$528,$T348)))</f>
        <v/>
      </c>
      <c r="E348" s="10">
        <f>IF($T348=0,"",INDEX('Market Data'!$O$5:$O$528,$T348))</f>
        <v/>
      </c>
      <c r="F348" s="11">
        <f>IF($T348=0,"",IF(AND($I348="Bloomberg",ISNUMBER(INDEX('Market Data'!$L$5:$L$528,$T348))),INDEX('Market Data'!$L$5:$L$528,$T348),"unavailable"))</f>
        <v/>
      </c>
      <c r="G348" s="12">
        <f>IF($T348=0,"",IF($I348="Bloomberg",IF(AND(ISNUMBER(INDEX('Market Data'!$M$5:$M$528,$T348)),N(INDEX('Market Data'!$M$5:$M$528,$T348))&gt;0),INDEX('Market Data'!$M$5:$M$528,$T348),"date unavailable"),IF($I348="Snapshot",IF(AND(ISNUMBER(INDEX('Market Data'!$H$5:$H$528,$T348)),N(INDEX('Market Data'!$H$5:$H$528,$T348))&gt;0),INDEX('Market Data'!$H$5:$H$528,$T348),"date unavailable"),"date unavailable")))</f>
        <v/>
      </c>
      <c r="H348" s="9">
        <f>IF($T348=0,"",IF($I348="Bloomberg",IF(INDEX('Market Data'!$N$5:$N$528,$T348)="","time unavailable",INDEX('Market Data'!$N$5:$N$528,$T348)),""))</f>
        <v/>
      </c>
      <c r="I348" s="9">
        <f>IF($T348=0,"",INDEX('Market Data'!$P$5:$P$528,$T348))</f>
        <v/>
      </c>
      <c r="J348" s="13">
        <f>IF($T348=0,"",IF(INDEX('Market Data'!$E$5:$E$528,$T348)="","",INDEX('Market Data'!$E$5:$E$528,$T348)))</f>
        <v/>
      </c>
      <c r="K348" s="8">
        <f>IF($T348=0,"",IF(INDEX('Market Data'!$I$5:$I$528,$T348)="","",INDEX('Market Data'!$I$5:$I$528,$T348)))</f>
        <v/>
      </c>
      <c r="L348" s="10">
        <f>IF($T348=0,"",IF(INDEX('Market Data'!$J$5:$J$528,$T348)=0,"n/a",IF(AND($M$5&lt;&gt;"Snapshot",ISNUMBER(INDEX('Market Data'!$AH$5:$AH$66,INDEX('Market Data'!$J$5:$J$528,$T348)-4)),N(INDEX('Market Data'!$AH$5:$AH$66,INDEX('Market Data'!$J$5:$J$528,$T348)-4))&gt;0),INDEX('Market Data'!$AH$5:$AH$66,INDEX('Market Data'!$J$5:$J$528,$T348)-4),IF(AND($M$5&lt;&gt;"Bloomberg",ISNUMBER(INDEX('Market Data'!$AC$5:$AC$66,INDEX('Market Data'!$J$5:$J$528,$T348)-4)),N(INDEX('Market Data'!$AC$5:$AC$66,INDEX('Market Data'!$J$5:$J$528,$T348)-4))&gt;0),INDEX('Market Data'!$AC$5:$AC$66,INDEX('Market Data'!$J$5:$J$528,$T348)-4),"unavailable"))))</f>
        <v/>
      </c>
      <c r="M348" s="11">
        <f>IF($T348=0,"",IF(INDEX('Market Data'!$J$5:$J$528,$T348)=0,"n/a",IF(IF(INDEX('Market Data'!$J$5:$J$528,$T348)=0,0,IF(LEFT(INDEX('Market Data'!$AS$5:$AS$66,INDEX('Market Data'!$J$5:$J$528,$T348)-4),11)="First-month",1,0))=1,"class review",IF($I348="Bloomberg",IF(AND(ISNUMBER(INDEX('Market Data'!$AH$5:$AH$66,INDEX('Market Data'!$J$5:$J$528,$T348)-4)),N(INDEX('Market Data'!$AH$5:$AH$66,INDEX('Market Data'!$J$5:$J$528,$T348)-4))&gt;0,ISNUMBER('Market Data'!$B$1),N('Market Data'!$B$1)&gt;0),INDEX('Market Data'!$AH$5:$AH$66,INDEX('Market Data'!$J$5:$J$528,$T348)-4)*'Market Data'!$B$1/$E348-1,"pending A/FX"),IF(AND($I348="Snapshot",$Q348="Snapshot",ISNUMBER($E348),$G348=INDEX('Market Data'!$AE$5:$AE$66,INDEX('Market Data'!$J$5:$J$528,$T348)-4)),IFERROR(INDEX('Market Data'!$AC$5:$AC$66,INDEX('Market Data'!$J$5:$J$528,$T348)-4)*INDEX('Market Data'!$AD$5:$AD$66,INDEX('Market Data'!$J$5:$J$528,$T348)-4)/$E348-1,"unavailable"),IF($I348="Unavailable","unavailable","date mismatch"))))))</f>
        <v/>
      </c>
      <c r="N348" s="11">
        <f>IF($T348=0,"",IFERROR(IF(AND(N(INDEX('Market Data'!$F$5:$F$528,$T348))&gt;0,ISNUMBER(INDEX('Market Data'!$T$5:$T$528,$T348))),$E348*INDEX('Market Data'!$T$5:$T$528,$T348)/INDEX('Market Data'!$F$5:$F$528,$T348)-1,"unavailable"),"unavailable"))</f>
        <v/>
      </c>
      <c r="O348" s="9">
        <f>IF($T348=0,"",IF(IF(INDEX('Market Data'!$J$5:$J$528,$T348)=0,0,IF(LEFT(INDEX('Market Data'!$AS$5:$AS$66,INDEX('Market Data'!$J$5:$J$528,$T348)-4),11)="First-month",1,0))=1,"Class ratio review",IF($I348="Bloomberg",IF(ISNUMBER($G348),IF($G348&lt;TODAY(),"Older quote","See quote time"),"Date unavailable"),IF($I348="Snapshot",IF($G348&lt;DATEVALUE("2026-10-02"),"Older snapshot","Dated close"),"No valid quote"))))</f>
        <v/>
      </c>
      <c r="P348" s="14">
        <f>IF($T348=0,"",IF(INDEX('Market Data'!$J$5:$J$528,$T348)=0,"n/a",IF($Q348="Bloomberg",IF(AND(ISNUMBER(INDEX('Market Data'!$AK$5:$AK$66,INDEX('Market Data'!$J$5:$J$528,$T348)-4)),N(INDEX('Market Data'!$AK$5:$AK$66,INDEX('Market Data'!$J$5:$J$528,$T348)-4))&gt;0),INDEX('Market Data'!$AK$5:$AK$66,INDEX('Market Data'!$J$5:$J$528,$T348)-4),"date unavailable"),IF($Q348="Snapshot",IF(AND(ISNUMBER(INDEX('Market Data'!$AF$5:$AF$66,INDEX('Market Data'!$J$5:$J$528,$T348)-4)),N(INDEX('Market Data'!$AF$5:$AF$66,INDEX('Market Data'!$J$5:$J$528,$T348)-4))&gt;0),INDEX('Market Data'!$AF$5:$AF$66,INDEX('Market Data'!$J$5:$J$528,$T348)-4),"date unavailable"),"date unavailable"))))</f>
        <v/>
      </c>
      <c r="Q348" s="15">
        <f>IF($T348=0,"",IF(INDEX('Market Data'!$J$5:$J$528,$T348)=0,"n/a",IF(AND($M$5&lt;&gt;"Snapshot",ISNUMBER(INDEX('Market Data'!$AH$5:$AH$66,INDEX('Market Data'!$J$5:$J$528,$T348)-4)),N(INDEX('Market Data'!$AH$5:$AH$66,INDEX('Market Data'!$J$5:$J$528,$T348)-4))&gt;0),"Bloomberg",IF(AND($M$5&lt;&gt;"Bloomberg",ISNUMBER(INDEX('Market Data'!$AC$5:$AC$66,INDEX('Market Data'!$J$5:$J$528,$T348)-4)),N(INDEX('Market Data'!$AC$5:$AC$66,INDEX('Market Data'!$J$5:$J$528,$T348)-4))&gt;0),"Snapshot","Unavailable"))))</f>
        <v/>
      </c>
      <c r="T348">
        <f>IFERROR(MATCH(340,'Market Data'!$S$5:$S$528,0),0)</f>
        <v/>
      </c>
    </row>
    <row r="349" ht="34" customHeight="1">
      <c r="A349" s="8">
        <f>IF($T349=0,"",IF(INDEX('Market Data'!$A$5:$A$528,$T349)="","",INDEX('Market Data'!$A$5:$A$528,$T349)))</f>
        <v/>
      </c>
      <c r="B349" s="9">
        <f>IF($T349=0,"",IF(INDEX('Market Data'!$B$5:$B$528,$T349)="","",INDEX('Market Data'!$B$5:$B$528,$T349)))</f>
        <v/>
      </c>
      <c r="C349" s="9">
        <f>IF($T349=0,"",IF(INDEX('Market Data'!$C$5:$C$528,$T349)="","",INDEX('Market Data'!$C$5:$C$528,$T349)))</f>
        <v/>
      </c>
      <c r="D349" s="9">
        <f>IF($T349=0,"",IF(INDEX('Market Data'!$D$5:$D$528,$T349)="","",INDEX('Market Data'!$D$5:$D$528,$T349)))</f>
        <v/>
      </c>
      <c r="E349" s="10">
        <f>IF($T349=0,"",INDEX('Market Data'!$O$5:$O$528,$T349))</f>
        <v/>
      </c>
      <c r="F349" s="11">
        <f>IF($T349=0,"",IF(AND($I349="Bloomberg",ISNUMBER(INDEX('Market Data'!$L$5:$L$528,$T349))),INDEX('Market Data'!$L$5:$L$528,$T349),"unavailable"))</f>
        <v/>
      </c>
      <c r="G349" s="12">
        <f>IF($T349=0,"",IF($I349="Bloomberg",IF(AND(ISNUMBER(INDEX('Market Data'!$M$5:$M$528,$T349)),N(INDEX('Market Data'!$M$5:$M$528,$T349))&gt;0),INDEX('Market Data'!$M$5:$M$528,$T349),"date unavailable"),IF($I349="Snapshot",IF(AND(ISNUMBER(INDEX('Market Data'!$H$5:$H$528,$T349)),N(INDEX('Market Data'!$H$5:$H$528,$T349))&gt;0),INDEX('Market Data'!$H$5:$H$528,$T349),"date unavailable"),"date unavailable")))</f>
        <v/>
      </c>
      <c r="H349" s="9">
        <f>IF($T349=0,"",IF($I349="Bloomberg",IF(INDEX('Market Data'!$N$5:$N$528,$T349)="","time unavailable",INDEX('Market Data'!$N$5:$N$528,$T349)),""))</f>
        <v/>
      </c>
      <c r="I349" s="9">
        <f>IF($T349=0,"",INDEX('Market Data'!$P$5:$P$528,$T349))</f>
        <v/>
      </c>
      <c r="J349" s="13">
        <f>IF($T349=0,"",IF(INDEX('Market Data'!$E$5:$E$528,$T349)="","",INDEX('Market Data'!$E$5:$E$528,$T349)))</f>
        <v/>
      </c>
      <c r="K349" s="8">
        <f>IF($T349=0,"",IF(INDEX('Market Data'!$I$5:$I$528,$T349)="","",INDEX('Market Data'!$I$5:$I$528,$T349)))</f>
        <v/>
      </c>
      <c r="L349" s="10">
        <f>IF($T349=0,"",IF(INDEX('Market Data'!$J$5:$J$528,$T349)=0,"n/a",IF(AND($M$5&lt;&gt;"Snapshot",ISNUMBER(INDEX('Market Data'!$AH$5:$AH$66,INDEX('Market Data'!$J$5:$J$528,$T349)-4)),N(INDEX('Market Data'!$AH$5:$AH$66,INDEX('Market Data'!$J$5:$J$528,$T349)-4))&gt;0),INDEX('Market Data'!$AH$5:$AH$66,INDEX('Market Data'!$J$5:$J$528,$T349)-4),IF(AND($M$5&lt;&gt;"Bloomberg",ISNUMBER(INDEX('Market Data'!$AC$5:$AC$66,INDEX('Market Data'!$J$5:$J$528,$T349)-4)),N(INDEX('Market Data'!$AC$5:$AC$66,INDEX('Market Data'!$J$5:$J$528,$T349)-4))&gt;0),INDEX('Market Data'!$AC$5:$AC$66,INDEX('Market Data'!$J$5:$J$528,$T349)-4),"unavailable"))))</f>
        <v/>
      </c>
      <c r="M349" s="11">
        <f>IF($T349=0,"",IF(INDEX('Market Data'!$J$5:$J$528,$T349)=0,"n/a",IF(IF(INDEX('Market Data'!$J$5:$J$528,$T349)=0,0,IF(LEFT(INDEX('Market Data'!$AS$5:$AS$66,INDEX('Market Data'!$J$5:$J$528,$T349)-4),11)="First-month",1,0))=1,"class review",IF($I349="Bloomberg",IF(AND(ISNUMBER(INDEX('Market Data'!$AH$5:$AH$66,INDEX('Market Data'!$J$5:$J$528,$T349)-4)),N(INDEX('Market Data'!$AH$5:$AH$66,INDEX('Market Data'!$J$5:$J$528,$T349)-4))&gt;0,ISNUMBER('Market Data'!$B$1),N('Market Data'!$B$1)&gt;0),INDEX('Market Data'!$AH$5:$AH$66,INDEX('Market Data'!$J$5:$J$528,$T349)-4)*'Market Data'!$B$1/$E349-1,"pending A/FX"),IF(AND($I349="Snapshot",$Q349="Snapshot",ISNUMBER($E349),$G349=INDEX('Market Data'!$AE$5:$AE$66,INDEX('Market Data'!$J$5:$J$528,$T349)-4)),IFERROR(INDEX('Market Data'!$AC$5:$AC$66,INDEX('Market Data'!$J$5:$J$528,$T349)-4)*INDEX('Market Data'!$AD$5:$AD$66,INDEX('Market Data'!$J$5:$J$528,$T349)-4)/$E349-1,"unavailable"),IF($I349="Unavailable","unavailable","date mismatch"))))))</f>
        <v/>
      </c>
      <c r="N349" s="11">
        <f>IF($T349=0,"",IFERROR(IF(AND(N(INDEX('Market Data'!$F$5:$F$528,$T349))&gt;0,ISNUMBER(INDEX('Market Data'!$T$5:$T$528,$T349))),$E349*INDEX('Market Data'!$T$5:$T$528,$T349)/INDEX('Market Data'!$F$5:$F$528,$T349)-1,"unavailable"),"unavailable"))</f>
        <v/>
      </c>
      <c r="O349" s="9">
        <f>IF($T349=0,"",IF(IF(INDEX('Market Data'!$J$5:$J$528,$T349)=0,0,IF(LEFT(INDEX('Market Data'!$AS$5:$AS$66,INDEX('Market Data'!$J$5:$J$528,$T349)-4),11)="First-month",1,0))=1,"Class ratio review",IF($I349="Bloomberg",IF(ISNUMBER($G349),IF($G349&lt;TODAY(),"Older quote","See quote time"),"Date unavailable"),IF($I349="Snapshot",IF($G349&lt;DATEVALUE("2026-10-02"),"Older snapshot","Dated close"),"No valid quote"))))</f>
        <v/>
      </c>
      <c r="P349" s="14">
        <f>IF($T349=0,"",IF(INDEX('Market Data'!$J$5:$J$528,$T349)=0,"n/a",IF($Q349="Bloomberg",IF(AND(ISNUMBER(INDEX('Market Data'!$AK$5:$AK$66,INDEX('Market Data'!$J$5:$J$528,$T349)-4)),N(INDEX('Market Data'!$AK$5:$AK$66,INDEX('Market Data'!$J$5:$J$528,$T349)-4))&gt;0),INDEX('Market Data'!$AK$5:$AK$66,INDEX('Market Data'!$J$5:$J$528,$T349)-4),"date unavailable"),IF($Q349="Snapshot",IF(AND(ISNUMBER(INDEX('Market Data'!$AF$5:$AF$66,INDEX('Market Data'!$J$5:$J$528,$T349)-4)),N(INDEX('Market Data'!$AF$5:$AF$66,INDEX('Market Data'!$J$5:$J$528,$T349)-4))&gt;0),INDEX('Market Data'!$AF$5:$AF$66,INDEX('Market Data'!$J$5:$J$528,$T349)-4),"date unavailable"),"date unavailable"))))</f>
        <v/>
      </c>
      <c r="Q349" s="15">
        <f>IF($T349=0,"",IF(INDEX('Market Data'!$J$5:$J$528,$T349)=0,"n/a",IF(AND($M$5&lt;&gt;"Snapshot",ISNUMBER(INDEX('Market Data'!$AH$5:$AH$66,INDEX('Market Data'!$J$5:$J$528,$T349)-4)),N(INDEX('Market Data'!$AH$5:$AH$66,INDEX('Market Data'!$J$5:$J$528,$T349)-4))&gt;0),"Bloomberg",IF(AND($M$5&lt;&gt;"Bloomberg",ISNUMBER(INDEX('Market Data'!$AC$5:$AC$66,INDEX('Market Data'!$J$5:$J$528,$T349)-4)),N(INDEX('Market Data'!$AC$5:$AC$66,INDEX('Market Data'!$J$5:$J$528,$T349)-4))&gt;0),"Snapshot","Unavailable"))))</f>
        <v/>
      </c>
      <c r="T349">
        <f>IFERROR(MATCH(341,'Market Data'!$S$5:$S$528,0),0)</f>
        <v/>
      </c>
    </row>
    <row r="350" ht="34" customHeight="1">
      <c r="A350" s="8">
        <f>IF($T350=0,"",IF(INDEX('Market Data'!$A$5:$A$528,$T350)="","",INDEX('Market Data'!$A$5:$A$528,$T350)))</f>
        <v/>
      </c>
      <c r="B350" s="9">
        <f>IF($T350=0,"",IF(INDEX('Market Data'!$B$5:$B$528,$T350)="","",INDEX('Market Data'!$B$5:$B$528,$T350)))</f>
        <v/>
      </c>
      <c r="C350" s="9">
        <f>IF($T350=0,"",IF(INDEX('Market Data'!$C$5:$C$528,$T350)="","",INDEX('Market Data'!$C$5:$C$528,$T350)))</f>
        <v/>
      </c>
      <c r="D350" s="9">
        <f>IF($T350=0,"",IF(INDEX('Market Data'!$D$5:$D$528,$T350)="","",INDEX('Market Data'!$D$5:$D$528,$T350)))</f>
        <v/>
      </c>
      <c r="E350" s="10">
        <f>IF($T350=0,"",INDEX('Market Data'!$O$5:$O$528,$T350))</f>
        <v/>
      </c>
      <c r="F350" s="11">
        <f>IF($T350=0,"",IF(AND($I350="Bloomberg",ISNUMBER(INDEX('Market Data'!$L$5:$L$528,$T350))),INDEX('Market Data'!$L$5:$L$528,$T350),"unavailable"))</f>
        <v/>
      </c>
      <c r="G350" s="12">
        <f>IF($T350=0,"",IF($I350="Bloomberg",IF(AND(ISNUMBER(INDEX('Market Data'!$M$5:$M$528,$T350)),N(INDEX('Market Data'!$M$5:$M$528,$T350))&gt;0),INDEX('Market Data'!$M$5:$M$528,$T350),"date unavailable"),IF($I350="Snapshot",IF(AND(ISNUMBER(INDEX('Market Data'!$H$5:$H$528,$T350)),N(INDEX('Market Data'!$H$5:$H$528,$T350))&gt;0),INDEX('Market Data'!$H$5:$H$528,$T350),"date unavailable"),"date unavailable")))</f>
        <v/>
      </c>
      <c r="H350" s="9">
        <f>IF($T350=0,"",IF($I350="Bloomberg",IF(INDEX('Market Data'!$N$5:$N$528,$T350)="","time unavailable",INDEX('Market Data'!$N$5:$N$528,$T350)),""))</f>
        <v/>
      </c>
      <c r="I350" s="9">
        <f>IF($T350=0,"",INDEX('Market Data'!$P$5:$P$528,$T350))</f>
        <v/>
      </c>
      <c r="J350" s="13">
        <f>IF($T350=0,"",IF(INDEX('Market Data'!$E$5:$E$528,$T350)="","",INDEX('Market Data'!$E$5:$E$528,$T350)))</f>
        <v/>
      </c>
      <c r="K350" s="8">
        <f>IF($T350=0,"",IF(INDEX('Market Data'!$I$5:$I$528,$T350)="","",INDEX('Market Data'!$I$5:$I$528,$T350)))</f>
        <v/>
      </c>
      <c r="L350" s="10">
        <f>IF($T350=0,"",IF(INDEX('Market Data'!$J$5:$J$528,$T350)=0,"n/a",IF(AND($M$5&lt;&gt;"Snapshot",ISNUMBER(INDEX('Market Data'!$AH$5:$AH$66,INDEX('Market Data'!$J$5:$J$528,$T350)-4)),N(INDEX('Market Data'!$AH$5:$AH$66,INDEX('Market Data'!$J$5:$J$528,$T350)-4))&gt;0),INDEX('Market Data'!$AH$5:$AH$66,INDEX('Market Data'!$J$5:$J$528,$T350)-4),IF(AND($M$5&lt;&gt;"Bloomberg",ISNUMBER(INDEX('Market Data'!$AC$5:$AC$66,INDEX('Market Data'!$J$5:$J$528,$T350)-4)),N(INDEX('Market Data'!$AC$5:$AC$66,INDEX('Market Data'!$J$5:$J$528,$T350)-4))&gt;0),INDEX('Market Data'!$AC$5:$AC$66,INDEX('Market Data'!$J$5:$J$528,$T350)-4),"unavailable"))))</f>
        <v/>
      </c>
      <c r="M350" s="11">
        <f>IF($T350=0,"",IF(INDEX('Market Data'!$J$5:$J$528,$T350)=0,"n/a",IF(IF(INDEX('Market Data'!$J$5:$J$528,$T350)=0,0,IF(LEFT(INDEX('Market Data'!$AS$5:$AS$66,INDEX('Market Data'!$J$5:$J$528,$T350)-4),11)="First-month",1,0))=1,"class review",IF($I350="Bloomberg",IF(AND(ISNUMBER(INDEX('Market Data'!$AH$5:$AH$66,INDEX('Market Data'!$J$5:$J$528,$T350)-4)),N(INDEX('Market Data'!$AH$5:$AH$66,INDEX('Market Data'!$J$5:$J$528,$T350)-4))&gt;0,ISNUMBER('Market Data'!$B$1),N('Market Data'!$B$1)&gt;0),INDEX('Market Data'!$AH$5:$AH$66,INDEX('Market Data'!$J$5:$J$528,$T350)-4)*'Market Data'!$B$1/$E350-1,"pending A/FX"),IF(AND($I350="Snapshot",$Q350="Snapshot",ISNUMBER($E350),$G350=INDEX('Market Data'!$AE$5:$AE$66,INDEX('Market Data'!$J$5:$J$528,$T350)-4)),IFERROR(INDEX('Market Data'!$AC$5:$AC$66,INDEX('Market Data'!$J$5:$J$528,$T350)-4)*INDEX('Market Data'!$AD$5:$AD$66,INDEX('Market Data'!$J$5:$J$528,$T350)-4)/$E350-1,"unavailable"),IF($I350="Unavailable","unavailable","date mismatch"))))))</f>
        <v/>
      </c>
      <c r="N350" s="11">
        <f>IF($T350=0,"",IFERROR(IF(AND(N(INDEX('Market Data'!$F$5:$F$528,$T350))&gt;0,ISNUMBER(INDEX('Market Data'!$T$5:$T$528,$T350))),$E350*INDEX('Market Data'!$T$5:$T$528,$T350)/INDEX('Market Data'!$F$5:$F$528,$T350)-1,"unavailable"),"unavailable"))</f>
        <v/>
      </c>
      <c r="O350" s="9">
        <f>IF($T350=0,"",IF(IF(INDEX('Market Data'!$J$5:$J$528,$T350)=0,0,IF(LEFT(INDEX('Market Data'!$AS$5:$AS$66,INDEX('Market Data'!$J$5:$J$528,$T350)-4),11)="First-month",1,0))=1,"Class ratio review",IF($I350="Bloomberg",IF(ISNUMBER($G350),IF($G350&lt;TODAY(),"Older quote","See quote time"),"Date unavailable"),IF($I350="Snapshot",IF($G350&lt;DATEVALUE("2026-10-02"),"Older snapshot","Dated close"),"No valid quote"))))</f>
        <v/>
      </c>
      <c r="P350" s="14">
        <f>IF($T350=0,"",IF(INDEX('Market Data'!$J$5:$J$528,$T350)=0,"n/a",IF($Q350="Bloomberg",IF(AND(ISNUMBER(INDEX('Market Data'!$AK$5:$AK$66,INDEX('Market Data'!$J$5:$J$528,$T350)-4)),N(INDEX('Market Data'!$AK$5:$AK$66,INDEX('Market Data'!$J$5:$J$528,$T350)-4))&gt;0),INDEX('Market Data'!$AK$5:$AK$66,INDEX('Market Data'!$J$5:$J$528,$T350)-4),"date unavailable"),IF($Q350="Snapshot",IF(AND(ISNUMBER(INDEX('Market Data'!$AF$5:$AF$66,INDEX('Market Data'!$J$5:$J$528,$T350)-4)),N(INDEX('Market Data'!$AF$5:$AF$66,INDEX('Market Data'!$J$5:$J$528,$T350)-4))&gt;0),INDEX('Market Data'!$AF$5:$AF$66,INDEX('Market Data'!$J$5:$J$528,$T350)-4),"date unavailable"),"date unavailable"))))</f>
        <v/>
      </c>
      <c r="Q350" s="15">
        <f>IF($T350=0,"",IF(INDEX('Market Data'!$J$5:$J$528,$T350)=0,"n/a",IF(AND($M$5&lt;&gt;"Snapshot",ISNUMBER(INDEX('Market Data'!$AH$5:$AH$66,INDEX('Market Data'!$J$5:$J$528,$T350)-4)),N(INDEX('Market Data'!$AH$5:$AH$66,INDEX('Market Data'!$J$5:$J$528,$T350)-4))&gt;0),"Bloomberg",IF(AND($M$5&lt;&gt;"Bloomberg",ISNUMBER(INDEX('Market Data'!$AC$5:$AC$66,INDEX('Market Data'!$J$5:$J$528,$T350)-4)),N(INDEX('Market Data'!$AC$5:$AC$66,INDEX('Market Data'!$J$5:$J$528,$T350)-4))&gt;0),"Snapshot","Unavailable"))))</f>
        <v/>
      </c>
      <c r="T350">
        <f>IFERROR(MATCH(342,'Market Data'!$S$5:$S$528,0),0)</f>
        <v/>
      </c>
    </row>
    <row r="351" ht="34" customHeight="1">
      <c r="A351" s="8">
        <f>IF($T351=0,"",IF(INDEX('Market Data'!$A$5:$A$528,$T351)="","",INDEX('Market Data'!$A$5:$A$528,$T351)))</f>
        <v/>
      </c>
      <c r="B351" s="9">
        <f>IF($T351=0,"",IF(INDEX('Market Data'!$B$5:$B$528,$T351)="","",INDEX('Market Data'!$B$5:$B$528,$T351)))</f>
        <v/>
      </c>
      <c r="C351" s="9">
        <f>IF($T351=0,"",IF(INDEX('Market Data'!$C$5:$C$528,$T351)="","",INDEX('Market Data'!$C$5:$C$528,$T351)))</f>
        <v/>
      </c>
      <c r="D351" s="9">
        <f>IF($T351=0,"",IF(INDEX('Market Data'!$D$5:$D$528,$T351)="","",INDEX('Market Data'!$D$5:$D$528,$T351)))</f>
        <v/>
      </c>
      <c r="E351" s="10">
        <f>IF($T351=0,"",INDEX('Market Data'!$O$5:$O$528,$T351))</f>
        <v/>
      </c>
      <c r="F351" s="11">
        <f>IF($T351=0,"",IF(AND($I351="Bloomberg",ISNUMBER(INDEX('Market Data'!$L$5:$L$528,$T351))),INDEX('Market Data'!$L$5:$L$528,$T351),"unavailable"))</f>
        <v/>
      </c>
      <c r="G351" s="12">
        <f>IF($T351=0,"",IF($I351="Bloomberg",IF(AND(ISNUMBER(INDEX('Market Data'!$M$5:$M$528,$T351)),N(INDEX('Market Data'!$M$5:$M$528,$T351))&gt;0),INDEX('Market Data'!$M$5:$M$528,$T351),"date unavailable"),IF($I351="Snapshot",IF(AND(ISNUMBER(INDEX('Market Data'!$H$5:$H$528,$T351)),N(INDEX('Market Data'!$H$5:$H$528,$T351))&gt;0),INDEX('Market Data'!$H$5:$H$528,$T351),"date unavailable"),"date unavailable")))</f>
        <v/>
      </c>
      <c r="H351" s="9">
        <f>IF($T351=0,"",IF($I351="Bloomberg",IF(INDEX('Market Data'!$N$5:$N$528,$T351)="","time unavailable",INDEX('Market Data'!$N$5:$N$528,$T351)),""))</f>
        <v/>
      </c>
      <c r="I351" s="9">
        <f>IF($T351=0,"",INDEX('Market Data'!$P$5:$P$528,$T351))</f>
        <v/>
      </c>
      <c r="J351" s="13">
        <f>IF($T351=0,"",IF(INDEX('Market Data'!$E$5:$E$528,$T351)="","",INDEX('Market Data'!$E$5:$E$528,$T351)))</f>
        <v/>
      </c>
      <c r="K351" s="8">
        <f>IF($T351=0,"",IF(INDEX('Market Data'!$I$5:$I$528,$T351)="","",INDEX('Market Data'!$I$5:$I$528,$T351)))</f>
        <v/>
      </c>
      <c r="L351" s="10">
        <f>IF($T351=0,"",IF(INDEX('Market Data'!$J$5:$J$528,$T351)=0,"n/a",IF(AND($M$5&lt;&gt;"Snapshot",ISNUMBER(INDEX('Market Data'!$AH$5:$AH$66,INDEX('Market Data'!$J$5:$J$528,$T351)-4)),N(INDEX('Market Data'!$AH$5:$AH$66,INDEX('Market Data'!$J$5:$J$528,$T351)-4))&gt;0),INDEX('Market Data'!$AH$5:$AH$66,INDEX('Market Data'!$J$5:$J$528,$T351)-4),IF(AND($M$5&lt;&gt;"Bloomberg",ISNUMBER(INDEX('Market Data'!$AC$5:$AC$66,INDEX('Market Data'!$J$5:$J$528,$T351)-4)),N(INDEX('Market Data'!$AC$5:$AC$66,INDEX('Market Data'!$J$5:$J$528,$T351)-4))&gt;0),INDEX('Market Data'!$AC$5:$AC$66,INDEX('Market Data'!$J$5:$J$528,$T351)-4),"unavailable"))))</f>
        <v/>
      </c>
      <c r="M351" s="11">
        <f>IF($T351=0,"",IF(INDEX('Market Data'!$J$5:$J$528,$T351)=0,"n/a",IF(IF(INDEX('Market Data'!$J$5:$J$528,$T351)=0,0,IF(LEFT(INDEX('Market Data'!$AS$5:$AS$66,INDEX('Market Data'!$J$5:$J$528,$T351)-4),11)="First-month",1,0))=1,"class review",IF($I351="Bloomberg",IF(AND(ISNUMBER(INDEX('Market Data'!$AH$5:$AH$66,INDEX('Market Data'!$J$5:$J$528,$T351)-4)),N(INDEX('Market Data'!$AH$5:$AH$66,INDEX('Market Data'!$J$5:$J$528,$T351)-4))&gt;0,ISNUMBER('Market Data'!$B$1),N('Market Data'!$B$1)&gt;0),INDEX('Market Data'!$AH$5:$AH$66,INDEX('Market Data'!$J$5:$J$528,$T351)-4)*'Market Data'!$B$1/$E351-1,"pending A/FX"),IF(AND($I351="Snapshot",$Q351="Snapshot",ISNUMBER($E351),$G351=INDEX('Market Data'!$AE$5:$AE$66,INDEX('Market Data'!$J$5:$J$528,$T351)-4)),IFERROR(INDEX('Market Data'!$AC$5:$AC$66,INDEX('Market Data'!$J$5:$J$528,$T351)-4)*INDEX('Market Data'!$AD$5:$AD$66,INDEX('Market Data'!$J$5:$J$528,$T351)-4)/$E351-1,"unavailable"),IF($I351="Unavailable","unavailable","date mismatch"))))))</f>
        <v/>
      </c>
      <c r="N351" s="11">
        <f>IF($T351=0,"",IFERROR(IF(AND(N(INDEX('Market Data'!$F$5:$F$528,$T351))&gt;0,ISNUMBER(INDEX('Market Data'!$T$5:$T$528,$T351))),$E351*INDEX('Market Data'!$T$5:$T$528,$T351)/INDEX('Market Data'!$F$5:$F$528,$T351)-1,"unavailable"),"unavailable"))</f>
        <v/>
      </c>
      <c r="O351" s="9">
        <f>IF($T351=0,"",IF(IF(INDEX('Market Data'!$J$5:$J$528,$T351)=0,0,IF(LEFT(INDEX('Market Data'!$AS$5:$AS$66,INDEX('Market Data'!$J$5:$J$528,$T351)-4),11)="First-month",1,0))=1,"Class ratio review",IF($I351="Bloomberg",IF(ISNUMBER($G351),IF($G351&lt;TODAY(),"Older quote","See quote time"),"Date unavailable"),IF($I351="Snapshot",IF($G351&lt;DATEVALUE("2026-10-02"),"Older snapshot","Dated close"),"No valid quote"))))</f>
        <v/>
      </c>
      <c r="P351" s="14">
        <f>IF($T351=0,"",IF(INDEX('Market Data'!$J$5:$J$528,$T351)=0,"n/a",IF($Q351="Bloomberg",IF(AND(ISNUMBER(INDEX('Market Data'!$AK$5:$AK$66,INDEX('Market Data'!$J$5:$J$528,$T351)-4)),N(INDEX('Market Data'!$AK$5:$AK$66,INDEX('Market Data'!$J$5:$J$528,$T351)-4))&gt;0),INDEX('Market Data'!$AK$5:$AK$66,INDEX('Market Data'!$J$5:$J$528,$T351)-4),"date unavailable"),IF($Q351="Snapshot",IF(AND(ISNUMBER(INDEX('Market Data'!$AF$5:$AF$66,INDEX('Market Data'!$J$5:$J$528,$T351)-4)),N(INDEX('Market Data'!$AF$5:$AF$66,INDEX('Market Data'!$J$5:$J$528,$T351)-4))&gt;0),INDEX('Market Data'!$AF$5:$AF$66,INDEX('Market Data'!$J$5:$J$528,$T351)-4),"date unavailable"),"date unavailable"))))</f>
        <v/>
      </c>
      <c r="Q351" s="15">
        <f>IF($T351=0,"",IF(INDEX('Market Data'!$J$5:$J$528,$T351)=0,"n/a",IF(AND($M$5&lt;&gt;"Snapshot",ISNUMBER(INDEX('Market Data'!$AH$5:$AH$66,INDEX('Market Data'!$J$5:$J$528,$T351)-4)),N(INDEX('Market Data'!$AH$5:$AH$66,INDEX('Market Data'!$J$5:$J$528,$T351)-4))&gt;0),"Bloomberg",IF(AND($M$5&lt;&gt;"Bloomberg",ISNUMBER(INDEX('Market Data'!$AC$5:$AC$66,INDEX('Market Data'!$J$5:$J$528,$T351)-4)),N(INDEX('Market Data'!$AC$5:$AC$66,INDEX('Market Data'!$J$5:$J$528,$T351)-4))&gt;0),"Snapshot","Unavailable"))))</f>
        <v/>
      </c>
      <c r="T351">
        <f>IFERROR(MATCH(343,'Market Data'!$S$5:$S$528,0),0)</f>
        <v/>
      </c>
    </row>
    <row r="352" ht="34" customHeight="1">
      <c r="A352" s="8">
        <f>IF($T352=0,"",IF(INDEX('Market Data'!$A$5:$A$528,$T352)="","",INDEX('Market Data'!$A$5:$A$528,$T352)))</f>
        <v/>
      </c>
      <c r="B352" s="9">
        <f>IF($T352=0,"",IF(INDEX('Market Data'!$B$5:$B$528,$T352)="","",INDEX('Market Data'!$B$5:$B$528,$T352)))</f>
        <v/>
      </c>
      <c r="C352" s="9">
        <f>IF($T352=0,"",IF(INDEX('Market Data'!$C$5:$C$528,$T352)="","",INDEX('Market Data'!$C$5:$C$528,$T352)))</f>
        <v/>
      </c>
      <c r="D352" s="9">
        <f>IF($T352=0,"",IF(INDEX('Market Data'!$D$5:$D$528,$T352)="","",INDEX('Market Data'!$D$5:$D$528,$T352)))</f>
        <v/>
      </c>
      <c r="E352" s="10">
        <f>IF($T352=0,"",INDEX('Market Data'!$O$5:$O$528,$T352))</f>
        <v/>
      </c>
      <c r="F352" s="11">
        <f>IF($T352=0,"",IF(AND($I352="Bloomberg",ISNUMBER(INDEX('Market Data'!$L$5:$L$528,$T352))),INDEX('Market Data'!$L$5:$L$528,$T352),"unavailable"))</f>
        <v/>
      </c>
      <c r="G352" s="12">
        <f>IF($T352=0,"",IF($I352="Bloomberg",IF(AND(ISNUMBER(INDEX('Market Data'!$M$5:$M$528,$T352)),N(INDEX('Market Data'!$M$5:$M$528,$T352))&gt;0),INDEX('Market Data'!$M$5:$M$528,$T352),"date unavailable"),IF($I352="Snapshot",IF(AND(ISNUMBER(INDEX('Market Data'!$H$5:$H$528,$T352)),N(INDEX('Market Data'!$H$5:$H$528,$T352))&gt;0),INDEX('Market Data'!$H$5:$H$528,$T352),"date unavailable"),"date unavailable")))</f>
        <v/>
      </c>
      <c r="H352" s="9">
        <f>IF($T352=0,"",IF($I352="Bloomberg",IF(INDEX('Market Data'!$N$5:$N$528,$T352)="","time unavailable",INDEX('Market Data'!$N$5:$N$528,$T352)),""))</f>
        <v/>
      </c>
      <c r="I352" s="9">
        <f>IF($T352=0,"",INDEX('Market Data'!$P$5:$P$528,$T352))</f>
        <v/>
      </c>
      <c r="J352" s="13">
        <f>IF($T352=0,"",IF(INDEX('Market Data'!$E$5:$E$528,$T352)="","",INDEX('Market Data'!$E$5:$E$528,$T352)))</f>
        <v/>
      </c>
      <c r="K352" s="8">
        <f>IF($T352=0,"",IF(INDEX('Market Data'!$I$5:$I$528,$T352)="","",INDEX('Market Data'!$I$5:$I$528,$T352)))</f>
        <v/>
      </c>
      <c r="L352" s="10">
        <f>IF($T352=0,"",IF(INDEX('Market Data'!$J$5:$J$528,$T352)=0,"n/a",IF(AND($M$5&lt;&gt;"Snapshot",ISNUMBER(INDEX('Market Data'!$AH$5:$AH$66,INDEX('Market Data'!$J$5:$J$528,$T352)-4)),N(INDEX('Market Data'!$AH$5:$AH$66,INDEX('Market Data'!$J$5:$J$528,$T352)-4))&gt;0),INDEX('Market Data'!$AH$5:$AH$66,INDEX('Market Data'!$J$5:$J$528,$T352)-4),IF(AND($M$5&lt;&gt;"Bloomberg",ISNUMBER(INDEX('Market Data'!$AC$5:$AC$66,INDEX('Market Data'!$J$5:$J$528,$T352)-4)),N(INDEX('Market Data'!$AC$5:$AC$66,INDEX('Market Data'!$J$5:$J$528,$T352)-4))&gt;0),INDEX('Market Data'!$AC$5:$AC$66,INDEX('Market Data'!$J$5:$J$528,$T352)-4),"unavailable"))))</f>
        <v/>
      </c>
      <c r="M352" s="11">
        <f>IF($T352=0,"",IF(INDEX('Market Data'!$J$5:$J$528,$T352)=0,"n/a",IF(IF(INDEX('Market Data'!$J$5:$J$528,$T352)=0,0,IF(LEFT(INDEX('Market Data'!$AS$5:$AS$66,INDEX('Market Data'!$J$5:$J$528,$T352)-4),11)="First-month",1,0))=1,"class review",IF($I352="Bloomberg",IF(AND(ISNUMBER(INDEX('Market Data'!$AH$5:$AH$66,INDEX('Market Data'!$J$5:$J$528,$T352)-4)),N(INDEX('Market Data'!$AH$5:$AH$66,INDEX('Market Data'!$J$5:$J$528,$T352)-4))&gt;0,ISNUMBER('Market Data'!$B$1),N('Market Data'!$B$1)&gt;0),INDEX('Market Data'!$AH$5:$AH$66,INDEX('Market Data'!$J$5:$J$528,$T352)-4)*'Market Data'!$B$1/$E352-1,"pending A/FX"),IF(AND($I352="Snapshot",$Q352="Snapshot",ISNUMBER($E352),$G352=INDEX('Market Data'!$AE$5:$AE$66,INDEX('Market Data'!$J$5:$J$528,$T352)-4)),IFERROR(INDEX('Market Data'!$AC$5:$AC$66,INDEX('Market Data'!$J$5:$J$528,$T352)-4)*INDEX('Market Data'!$AD$5:$AD$66,INDEX('Market Data'!$J$5:$J$528,$T352)-4)/$E352-1,"unavailable"),IF($I352="Unavailable","unavailable","date mismatch"))))))</f>
        <v/>
      </c>
      <c r="N352" s="11">
        <f>IF($T352=0,"",IFERROR(IF(AND(N(INDEX('Market Data'!$F$5:$F$528,$T352))&gt;0,ISNUMBER(INDEX('Market Data'!$T$5:$T$528,$T352))),$E352*INDEX('Market Data'!$T$5:$T$528,$T352)/INDEX('Market Data'!$F$5:$F$528,$T352)-1,"unavailable"),"unavailable"))</f>
        <v/>
      </c>
      <c r="O352" s="9">
        <f>IF($T352=0,"",IF(IF(INDEX('Market Data'!$J$5:$J$528,$T352)=0,0,IF(LEFT(INDEX('Market Data'!$AS$5:$AS$66,INDEX('Market Data'!$J$5:$J$528,$T352)-4),11)="First-month",1,0))=1,"Class ratio review",IF($I352="Bloomberg",IF(ISNUMBER($G352),IF($G352&lt;TODAY(),"Older quote","See quote time"),"Date unavailable"),IF($I352="Snapshot",IF($G352&lt;DATEVALUE("2026-10-02"),"Older snapshot","Dated close"),"No valid quote"))))</f>
        <v/>
      </c>
      <c r="P352" s="14">
        <f>IF($T352=0,"",IF(INDEX('Market Data'!$J$5:$J$528,$T352)=0,"n/a",IF($Q352="Bloomberg",IF(AND(ISNUMBER(INDEX('Market Data'!$AK$5:$AK$66,INDEX('Market Data'!$J$5:$J$528,$T352)-4)),N(INDEX('Market Data'!$AK$5:$AK$66,INDEX('Market Data'!$J$5:$J$528,$T352)-4))&gt;0),INDEX('Market Data'!$AK$5:$AK$66,INDEX('Market Data'!$J$5:$J$528,$T352)-4),"date unavailable"),IF($Q352="Snapshot",IF(AND(ISNUMBER(INDEX('Market Data'!$AF$5:$AF$66,INDEX('Market Data'!$J$5:$J$528,$T352)-4)),N(INDEX('Market Data'!$AF$5:$AF$66,INDEX('Market Data'!$J$5:$J$528,$T352)-4))&gt;0),INDEX('Market Data'!$AF$5:$AF$66,INDEX('Market Data'!$J$5:$J$528,$T352)-4),"date unavailable"),"date unavailable"))))</f>
        <v/>
      </c>
      <c r="Q352" s="15">
        <f>IF($T352=0,"",IF(INDEX('Market Data'!$J$5:$J$528,$T352)=0,"n/a",IF(AND($M$5&lt;&gt;"Snapshot",ISNUMBER(INDEX('Market Data'!$AH$5:$AH$66,INDEX('Market Data'!$J$5:$J$528,$T352)-4)),N(INDEX('Market Data'!$AH$5:$AH$66,INDEX('Market Data'!$J$5:$J$528,$T352)-4))&gt;0),"Bloomberg",IF(AND($M$5&lt;&gt;"Bloomberg",ISNUMBER(INDEX('Market Data'!$AC$5:$AC$66,INDEX('Market Data'!$J$5:$J$528,$T352)-4)),N(INDEX('Market Data'!$AC$5:$AC$66,INDEX('Market Data'!$J$5:$J$528,$T352)-4))&gt;0),"Snapshot","Unavailable"))))</f>
        <v/>
      </c>
      <c r="T352">
        <f>IFERROR(MATCH(344,'Market Data'!$S$5:$S$528,0),0)</f>
        <v/>
      </c>
    </row>
    <row r="353" ht="34" customHeight="1">
      <c r="A353" s="8">
        <f>IF($T353=0,"",IF(INDEX('Market Data'!$A$5:$A$528,$T353)="","",INDEX('Market Data'!$A$5:$A$528,$T353)))</f>
        <v/>
      </c>
      <c r="B353" s="9">
        <f>IF($T353=0,"",IF(INDEX('Market Data'!$B$5:$B$528,$T353)="","",INDEX('Market Data'!$B$5:$B$528,$T353)))</f>
        <v/>
      </c>
      <c r="C353" s="9">
        <f>IF($T353=0,"",IF(INDEX('Market Data'!$C$5:$C$528,$T353)="","",INDEX('Market Data'!$C$5:$C$528,$T353)))</f>
        <v/>
      </c>
      <c r="D353" s="9">
        <f>IF($T353=0,"",IF(INDEX('Market Data'!$D$5:$D$528,$T353)="","",INDEX('Market Data'!$D$5:$D$528,$T353)))</f>
        <v/>
      </c>
      <c r="E353" s="10">
        <f>IF($T353=0,"",INDEX('Market Data'!$O$5:$O$528,$T353))</f>
        <v/>
      </c>
      <c r="F353" s="11">
        <f>IF($T353=0,"",IF(AND($I353="Bloomberg",ISNUMBER(INDEX('Market Data'!$L$5:$L$528,$T353))),INDEX('Market Data'!$L$5:$L$528,$T353),"unavailable"))</f>
        <v/>
      </c>
      <c r="G353" s="12">
        <f>IF($T353=0,"",IF($I353="Bloomberg",IF(AND(ISNUMBER(INDEX('Market Data'!$M$5:$M$528,$T353)),N(INDEX('Market Data'!$M$5:$M$528,$T353))&gt;0),INDEX('Market Data'!$M$5:$M$528,$T353),"date unavailable"),IF($I353="Snapshot",IF(AND(ISNUMBER(INDEX('Market Data'!$H$5:$H$528,$T353)),N(INDEX('Market Data'!$H$5:$H$528,$T353))&gt;0),INDEX('Market Data'!$H$5:$H$528,$T353),"date unavailable"),"date unavailable")))</f>
        <v/>
      </c>
      <c r="H353" s="9">
        <f>IF($T353=0,"",IF($I353="Bloomberg",IF(INDEX('Market Data'!$N$5:$N$528,$T353)="","time unavailable",INDEX('Market Data'!$N$5:$N$528,$T353)),""))</f>
        <v/>
      </c>
      <c r="I353" s="9">
        <f>IF($T353=0,"",INDEX('Market Data'!$P$5:$P$528,$T353))</f>
        <v/>
      </c>
      <c r="J353" s="13">
        <f>IF($T353=0,"",IF(INDEX('Market Data'!$E$5:$E$528,$T353)="","",INDEX('Market Data'!$E$5:$E$528,$T353)))</f>
        <v/>
      </c>
      <c r="K353" s="8">
        <f>IF($T353=0,"",IF(INDEX('Market Data'!$I$5:$I$528,$T353)="","",INDEX('Market Data'!$I$5:$I$528,$T353)))</f>
        <v/>
      </c>
      <c r="L353" s="10">
        <f>IF($T353=0,"",IF(INDEX('Market Data'!$J$5:$J$528,$T353)=0,"n/a",IF(AND($M$5&lt;&gt;"Snapshot",ISNUMBER(INDEX('Market Data'!$AH$5:$AH$66,INDEX('Market Data'!$J$5:$J$528,$T353)-4)),N(INDEX('Market Data'!$AH$5:$AH$66,INDEX('Market Data'!$J$5:$J$528,$T353)-4))&gt;0),INDEX('Market Data'!$AH$5:$AH$66,INDEX('Market Data'!$J$5:$J$528,$T353)-4),IF(AND($M$5&lt;&gt;"Bloomberg",ISNUMBER(INDEX('Market Data'!$AC$5:$AC$66,INDEX('Market Data'!$J$5:$J$528,$T353)-4)),N(INDEX('Market Data'!$AC$5:$AC$66,INDEX('Market Data'!$J$5:$J$528,$T353)-4))&gt;0),INDEX('Market Data'!$AC$5:$AC$66,INDEX('Market Data'!$J$5:$J$528,$T353)-4),"unavailable"))))</f>
        <v/>
      </c>
      <c r="M353" s="11">
        <f>IF($T353=0,"",IF(INDEX('Market Data'!$J$5:$J$528,$T353)=0,"n/a",IF(IF(INDEX('Market Data'!$J$5:$J$528,$T353)=0,0,IF(LEFT(INDEX('Market Data'!$AS$5:$AS$66,INDEX('Market Data'!$J$5:$J$528,$T353)-4),11)="First-month",1,0))=1,"class review",IF($I353="Bloomberg",IF(AND(ISNUMBER(INDEX('Market Data'!$AH$5:$AH$66,INDEX('Market Data'!$J$5:$J$528,$T353)-4)),N(INDEX('Market Data'!$AH$5:$AH$66,INDEX('Market Data'!$J$5:$J$528,$T353)-4))&gt;0,ISNUMBER('Market Data'!$B$1),N('Market Data'!$B$1)&gt;0),INDEX('Market Data'!$AH$5:$AH$66,INDEX('Market Data'!$J$5:$J$528,$T353)-4)*'Market Data'!$B$1/$E353-1,"pending A/FX"),IF(AND($I353="Snapshot",$Q353="Snapshot",ISNUMBER($E353),$G353=INDEX('Market Data'!$AE$5:$AE$66,INDEX('Market Data'!$J$5:$J$528,$T353)-4)),IFERROR(INDEX('Market Data'!$AC$5:$AC$66,INDEX('Market Data'!$J$5:$J$528,$T353)-4)*INDEX('Market Data'!$AD$5:$AD$66,INDEX('Market Data'!$J$5:$J$528,$T353)-4)/$E353-1,"unavailable"),IF($I353="Unavailable","unavailable","date mismatch"))))))</f>
        <v/>
      </c>
      <c r="N353" s="11">
        <f>IF($T353=0,"",IFERROR(IF(AND(N(INDEX('Market Data'!$F$5:$F$528,$T353))&gt;0,ISNUMBER(INDEX('Market Data'!$T$5:$T$528,$T353))),$E353*INDEX('Market Data'!$T$5:$T$528,$T353)/INDEX('Market Data'!$F$5:$F$528,$T353)-1,"unavailable"),"unavailable"))</f>
        <v/>
      </c>
      <c r="O353" s="9">
        <f>IF($T353=0,"",IF(IF(INDEX('Market Data'!$J$5:$J$528,$T353)=0,0,IF(LEFT(INDEX('Market Data'!$AS$5:$AS$66,INDEX('Market Data'!$J$5:$J$528,$T353)-4),11)="First-month",1,0))=1,"Class ratio review",IF($I353="Bloomberg",IF(ISNUMBER($G353),IF($G353&lt;TODAY(),"Older quote","See quote time"),"Date unavailable"),IF($I353="Snapshot",IF($G353&lt;DATEVALUE("2026-10-02"),"Older snapshot","Dated close"),"No valid quote"))))</f>
        <v/>
      </c>
      <c r="P353" s="14">
        <f>IF($T353=0,"",IF(INDEX('Market Data'!$J$5:$J$528,$T353)=0,"n/a",IF($Q353="Bloomberg",IF(AND(ISNUMBER(INDEX('Market Data'!$AK$5:$AK$66,INDEX('Market Data'!$J$5:$J$528,$T353)-4)),N(INDEX('Market Data'!$AK$5:$AK$66,INDEX('Market Data'!$J$5:$J$528,$T353)-4))&gt;0),INDEX('Market Data'!$AK$5:$AK$66,INDEX('Market Data'!$J$5:$J$528,$T353)-4),"date unavailable"),IF($Q353="Snapshot",IF(AND(ISNUMBER(INDEX('Market Data'!$AF$5:$AF$66,INDEX('Market Data'!$J$5:$J$528,$T353)-4)),N(INDEX('Market Data'!$AF$5:$AF$66,INDEX('Market Data'!$J$5:$J$528,$T353)-4))&gt;0),INDEX('Market Data'!$AF$5:$AF$66,INDEX('Market Data'!$J$5:$J$528,$T353)-4),"date unavailable"),"date unavailable"))))</f>
        <v/>
      </c>
      <c r="Q353" s="15">
        <f>IF($T353=0,"",IF(INDEX('Market Data'!$J$5:$J$528,$T353)=0,"n/a",IF(AND($M$5&lt;&gt;"Snapshot",ISNUMBER(INDEX('Market Data'!$AH$5:$AH$66,INDEX('Market Data'!$J$5:$J$528,$T353)-4)),N(INDEX('Market Data'!$AH$5:$AH$66,INDEX('Market Data'!$J$5:$J$528,$T353)-4))&gt;0),"Bloomberg",IF(AND($M$5&lt;&gt;"Bloomberg",ISNUMBER(INDEX('Market Data'!$AC$5:$AC$66,INDEX('Market Data'!$J$5:$J$528,$T353)-4)),N(INDEX('Market Data'!$AC$5:$AC$66,INDEX('Market Data'!$J$5:$J$528,$T353)-4))&gt;0),"Snapshot","Unavailable"))))</f>
        <v/>
      </c>
      <c r="T353">
        <f>IFERROR(MATCH(345,'Market Data'!$S$5:$S$528,0),0)</f>
        <v/>
      </c>
    </row>
    <row r="354" ht="34" customHeight="1">
      <c r="A354" s="8">
        <f>IF($T354=0,"",IF(INDEX('Market Data'!$A$5:$A$528,$T354)="","",INDEX('Market Data'!$A$5:$A$528,$T354)))</f>
        <v/>
      </c>
      <c r="B354" s="9">
        <f>IF($T354=0,"",IF(INDEX('Market Data'!$B$5:$B$528,$T354)="","",INDEX('Market Data'!$B$5:$B$528,$T354)))</f>
        <v/>
      </c>
      <c r="C354" s="9">
        <f>IF($T354=0,"",IF(INDEX('Market Data'!$C$5:$C$528,$T354)="","",INDEX('Market Data'!$C$5:$C$528,$T354)))</f>
        <v/>
      </c>
      <c r="D354" s="9">
        <f>IF($T354=0,"",IF(INDEX('Market Data'!$D$5:$D$528,$T354)="","",INDEX('Market Data'!$D$5:$D$528,$T354)))</f>
        <v/>
      </c>
      <c r="E354" s="10">
        <f>IF($T354=0,"",INDEX('Market Data'!$O$5:$O$528,$T354))</f>
        <v/>
      </c>
      <c r="F354" s="11">
        <f>IF($T354=0,"",IF(AND($I354="Bloomberg",ISNUMBER(INDEX('Market Data'!$L$5:$L$528,$T354))),INDEX('Market Data'!$L$5:$L$528,$T354),"unavailable"))</f>
        <v/>
      </c>
      <c r="G354" s="12">
        <f>IF($T354=0,"",IF($I354="Bloomberg",IF(AND(ISNUMBER(INDEX('Market Data'!$M$5:$M$528,$T354)),N(INDEX('Market Data'!$M$5:$M$528,$T354))&gt;0),INDEX('Market Data'!$M$5:$M$528,$T354),"date unavailable"),IF($I354="Snapshot",IF(AND(ISNUMBER(INDEX('Market Data'!$H$5:$H$528,$T354)),N(INDEX('Market Data'!$H$5:$H$528,$T354))&gt;0),INDEX('Market Data'!$H$5:$H$528,$T354),"date unavailable"),"date unavailable")))</f>
        <v/>
      </c>
      <c r="H354" s="9">
        <f>IF($T354=0,"",IF($I354="Bloomberg",IF(INDEX('Market Data'!$N$5:$N$528,$T354)="","time unavailable",INDEX('Market Data'!$N$5:$N$528,$T354)),""))</f>
        <v/>
      </c>
      <c r="I354" s="9">
        <f>IF($T354=0,"",INDEX('Market Data'!$P$5:$P$528,$T354))</f>
        <v/>
      </c>
      <c r="J354" s="13">
        <f>IF($T354=0,"",IF(INDEX('Market Data'!$E$5:$E$528,$T354)="","",INDEX('Market Data'!$E$5:$E$528,$T354)))</f>
        <v/>
      </c>
      <c r="K354" s="8">
        <f>IF($T354=0,"",IF(INDEX('Market Data'!$I$5:$I$528,$T354)="","",INDEX('Market Data'!$I$5:$I$528,$T354)))</f>
        <v/>
      </c>
      <c r="L354" s="10">
        <f>IF($T354=0,"",IF(INDEX('Market Data'!$J$5:$J$528,$T354)=0,"n/a",IF(AND($M$5&lt;&gt;"Snapshot",ISNUMBER(INDEX('Market Data'!$AH$5:$AH$66,INDEX('Market Data'!$J$5:$J$528,$T354)-4)),N(INDEX('Market Data'!$AH$5:$AH$66,INDEX('Market Data'!$J$5:$J$528,$T354)-4))&gt;0),INDEX('Market Data'!$AH$5:$AH$66,INDEX('Market Data'!$J$5:$J$528,$T354)-4),IF(AND($M$5&lt;&gt;"Bloomberg",ISNUMBER(INDEX('Market Data'!$AC$5:$AC$66,INDEX('Market Data'!$J$5:$J$528,$T354)-4)),N(INDEX('Market Data'!$AC$5:$AC$66,INDEX('Market Data'!$J$5:$J$528,$T354)-4))&gt;0),INDEX('Market Data'!$AC$5:$AC$66,INDEX('Market Data'!$J$5:$J$528,$T354)-4),"unavailable"))))</f>
        <v/>
      </c>
      <c r="M354" s="11">
        <f>IF($T354=0,"",IF(INDEX('Market Data'!$J$5:$J$528,$T354)=0,"n/a",IF(IF(INDEX('Market Data'!$J$5:$J$528,$T354)=0,0,IF(LEFT(INDEX('Market Data'!$AS$5:$AS$66,INDEX('Market Data'!$J$5:$J$528,$T354)-4),11)="First-month",1,0))=1,"class review",IF($I354="Bloomberg",IF(AND(ISNUMBER(INDEX('Market Data'!$AH$5:$AH$66,INDEX('Market Data'!$J$5:$J$528,$T354)-4)),N(INDEX('Market Data'!$AH$5:$AH$66,INDEX('Market Data'!$J$5:$J$528,$T354)-4))&gt;0,ISNUMBER('Market Data'!$B$1),N('Market Data'!$B$1)&gt;0),INDEX('Market Data'!$AH$5:$AH$66,INDEX('Market Data'!$J$5:$J$528,$T354)-4)*'Market Data'!$B$1/$E354-1,"pending A/FX"),IF(AND($I354="Snapshot",$Q354="Snapshot",ISNUMBER($E354),$G354=INDEX('Market Data'!$AE$5:$AE$66,INDEX('Market Data'!$J$5:$J$528,$T354)-4)),IFERROR(INDEX('Market Data'!$AC$5:$AC$66,INDEX('Market Data'!$J$5:$J$528,$T354)-4)*INDEX('Market Data'!$AD$5:$AD$66,INDEX('Market Data'!$J$5:$J$528,$T354)-4)/$E354-1,"unavailable"),IF($I354="Unavailable","unavailable","date mismatch"))))))</f>
        <v/>
      </c>
      <c r="N354" s="11">
        <f>IF($T354=0,"",IFERROR(IF(AND(N(INDEX('Market Data'!$F$5:$F$528,$T354))&gt;0,ISNUMBER(INDEX('Market Data'!$T$5:$T$528,$T354))),$E354*INDEX('Market Data'!$T$5:$T$528,$T354)/INDEX('Market Data'!$F$5:$F$528,$T354)-1,"unavailable"),"unavailable"))</f>
        <v/>
      </c>
      <c r="O354" s="9">
        <f>IF($T354=0,"",IF(IF(INDEX('Market Data'!$J$5:$J$528,$T354)=0,0,IF(LEFT(INDEX('Market Data'!$AS$5:$AS$66,INDEX('Market Data'!$J$5:$J$528,$T354)-4),11)="First-month",1,0))=1,"Class ratio review",IF($I354="Bloomberg",IF(ISNUMBER($G354),IF($G354&lt;TODAY(),"Older quote","See quote time"),"Date unavailable"),IF($I354="Snapshot",IF($G354&lt;DATEVALUE("2026-10-02"),"Older snapshot","Dated close"),"No valid quote"))))</f>
        <v/>
      </c>
      <c r="P354" s="14">
        <f>IF($T354=0,"",IF(INDEX('Market Data'!$J$5:$J$528,$T354)=0,"n/a",IF($Q354="Bloomberg",IF(AND(ISNUMBER(INDEX('Market Data'!$AK$5:$AK$66,INDEX('Market Data'!$J$5:$J$528,$T354)-4)),N(INDEX('Market Data'!$AK$5:$AK$66,INDEX('Market Data'!$J$5:$J$528,$T354)-4))&gt;0),INDEX('Market Data'!$AK$5:$AK$66,INDEX('Market Data'!$J$5:$J$528,$T354)-4),"date unavailable"),IF($Q354="Snapshot",IF(AND(ISNUMBER(INDEX('Market Data'!$AF$5:$AF$66,INDEX('Market Data'!$J$5:$J$528,$T354)-4)),N(INDEX('Market Data'!$AF$5:$AF$66,INDEX('Market Data'!$J$5:$J$528,$T354)-4))&gt;0),INDEX('Market Data'!$AF$5:$AF$66,INDEX('Market Data'!$J$5:$J$528,$T354)-4),"date unavailable"),"date unavailable"))))</f>
        <v/>
      </c>
      <c r="Q354" s="15">
        <f>IF($T354=0,"",IF(INDEX('Market Data'!$J$5:$J$528,$T354)=0,"n/a",IF(AND($M$5&lt;&gt;"Snapshot",ISNUMBER(INDEX('Market Data'!$AH$5:$AH$66,INDEX('Market Data'!$J$5:$J$528,$T354)-4)),N(INDEX('Market Data'!$AH$5:$AH$66,INDEX('Market Data'!$J$5:$J$528,$T354)-4))&gt;0),"Bloomberg",IF(AND($M$5&lt;&gt;"Bloomberg",ISNUMBER(INDEX('Market Data'!$AC$5:$AC$66,INDEX('Market Data'!$J$5:$J$528,$T354)-4)),N(INDEX('Market Data'!$AC$5:$AC$66,INDEX('Market Data'!$J$5:$J$528,$T354)-4))&gt;0),"Snapshot","Unavailable"))))</f>
        <v/>
      </c>
      <c r="T354">
        <f>IFERROR(MATCH(346,'Market Data'!$S$5:$S$528,0),0)</f>
        <v/>
      </c>
    </row>
    <row r="355" ht="34" customHeight="1">
      <c r="A355" s="8">
        <f>IF($T355=0,"",IF(INDEX('Market Data'!$A$5:$A$528,$T355)="","",INDEX('Market Data'!$A$5:$A$528,$T355)))</f>
        <v/>
      </c>
      <c r="B355" s="9">
        <f>IF($T355=0,"",IF(INDEX('Market Data'!$B$5:$B$528,$T355)="","",INDEX('Market Data'!$B$5:$B$528,$T355)))</f>
        <v/>
      </c>
      <c r="C355" s="9">
        <f>IF($T355=0,"",IF(INDEX('Market Data'!$C$5:$C$528,$T355)="","",INDEX('Market Data'!$C$5:$C$528,$T355)))</f>
        <v/>
      </c>
      <c r="D355" s="9">
        <f>IF($T355=0,"",IF(INDEX('Market Data'!$D$5:$D$528,$T355)="","",INDEX('Market Data'!$D$5:$D$528,$T355)))</f>
        <v/>
      </c>
      <c r="E355" s="10">
        <f>IF($T355=0,"",INDEX('Market Data'!$O$5:$O$528,$T355))</f>
        <v/>
      </c>
      <c r="F355" s="11">
        <f>IF($T355=0,"",IF(AND($I355="Bloomberg",ISNUMBER(INDEX('Market Data'!$L$5:$L$528,$T355))),INDEX('Market Data'!$L$5:$L$528,$T355),"unavailable"))</f>
        <v/>
      </c>
      <c r="G355" s="12">
        <f>IF($T355=0,"",IF($I355="Bloomberg",IF(AND(ISNUMBER(INDEX('Market Data'!$M$5:$M$528,$T355)),N(INDEX('Market Data'!$M$5:$M$528,$T355))&gt;0),INDEX('Market Data'!$M$5:$M$528,$T355),"date unavailable"),IF($I355="Snapshot",IF(AND(ISNUMBER(INDEX('Market Data'!$H$5:$H$528,$T355)),N(INDEX('Market Data'!$H$5:$H$528,$T355))&gt;0),INDEX('Market Data'!$H$5:$H$528,$T355),"date unavailable"),"date unavailable")))</f>
        <v/>
      </c>
      <c r="H355" s="9">
        <f>IF($T355=0,"",IF($I355="Bloomberg",IF(INDEX('Market Data'!$N$5:$N$528,$T355)="","time unavailable",INDEX('Market Data'!$N$5:$N$528,$T355)),""))</f>
        <v/>
      </c>
      <c r="I355" s="9">
        <f>IF($T355=0,"",INDEX('Market Data'!$P$5:$P$528,$T355))</f>
        <v/>
      </c>
      <c r="J355" s="13">
        <f>IF($T355=0,"",IF(INDEX('Market Data'!$E$5:$E$528,$T355)="","",INDEX('Market Data'!$E$5:$E$528,$T355)))</f>
        <v/>
      </c>
      <c r="K355" s="8">
        <f>IF($T355=0,"",IF(INDEX('Market Data'!$I$5:$I$528,$T355)="","",INDEX('Market Data'!$I$5:$I$528,$T355)))</f>
        <v/>
      </c>
      <c r="L355" s="10">
        <f>IF($T355=0,"",IF(INDEX('Market Data'!$J$5:$J$528,$T355)=0,"n/a",IF(AND($M$5&lt;&gt;"Snapshot",ISNUMBER(INDEX('Market Data'!$AH$5:$AH$66,INDEX('Market Data'!$J$5:$J$528,$T355)-4)),N(INDEX('Market Data'!$AH$5:$AH$66,INDEX('Market Data'!$J$5:$J$528,$T355)-4))&gt;0),INDEX('Market Data'!$AH$5:$AH$66,INDEX('Market Data'!$J$5:$J$528,$T355)-4),IF(AND($M$5&lt;&gt;"Bloomberg",ISNUMBER(INDEX('Market Data'!$AC$5:$AC$66,INDEX('Market Data'!$J$5:$J$528,$T355)-4)),N(INDEX('Market Data'!$AC$5:$AC$66,INDEX('Market Data'!$J$5:$J$528,$T355)-4))&gt;0),INDEX('Market Data'!$AC$5:$AC$66,INDEX('Market Data'!$J$5:$J$528,$T355)-4),"unavailable"))))</f>
        <v/>
      </c>
      <c r="M355" s="11">
        <f>IF($T355=0,"",IF(INDEX('Market Data'!$J$5:$J$528,$T355)=0,"n/a",IF(IF(INDEX('Market Data'!$J$5:$J$528,$T355)=0,0,IF(LEFT(INDEX('Market Data'!$AS$5:$AS$66,INDEX('Market Data'!$J$5:$J$528,$T355)-4),11)="First-month",1,0))=1,"class review",IF($I355="Bloomberg",IF(AND(ISNUMBER(INDEX('Market Data'!$AH$5:$AH$66,INDEX('Market Data'!$J$5:$J$528,$T355)-4)),N(INDEX('Market Data'!$AH$5:$AH$66,INDEX('Market Data'!$J$5:$J$528,$T355)-4))&gt;0,ISNUMBER('Market Data'!$B$1),N('Market Data'!$B$1)&gt;0),INDEX('Market Data'!$AH$5:$AH$66,INDEX('Market Data'!$J$5:$J$528,$T355)-4)*'Market Data'!$B$1/$E355-1,"pending A/FX"),IF(AND($I355="Snapshot",$Q355="Snapshot",ISNUMBER($E355),$G355=INDEX('Market Data'!$AE$5:$AE$66,INDEX('Market Data'!$J$5:$J$528,$T355)-4)),IFERROR(INDEX('Market Data'!$AC$5:$AC$66,INDEX('Market Data'!$J$5:$J$528,$T355)-4)*INDEX('Market Data'!$AD$5:$AD$66,INDEX('Market Data'!$J$5:$J$528,$T355)-4)/$E355-1,"unavailable"),IF($I355="Unavailable","unavailable","date mismatch"))))))</f>
        <v/>
      </c>
      <c r="N355" s="11">
        <f>IF($T355=0,"",IFERROR(IF(AND(N(INDEX('Market Data'!$F$5:$F$528,$T355))&gt;0,ISNUMBER(INDEX('Market Data'!$T$5:$T$528,$T355))),$E355*INDEX('Market Data'!$T$5:$T$528,$T355)/INDEX('Market Data'!$F$5:$F$528,$T355)-1,"unavailable"),"unavailable"))</f>
        <v/>
      </c>
      <c r="O355" s="9">
        <f>IF($T355=0,"",IF(IF(INDEX('Market Data'!$J$5:$J$528,$T355)=0,0,IF(LEFT(INDEX('Market Data'!$AS$5:$AS$66,INDEX('Market Data'!$J$5:$J$528,$T355)-4),11)="First-month",1,0))=1,"Class ratio review",IF($I355="Bloomberg",IF(ISNUMBER($G355),IF($G355&lt;TODAY(),"Older quote","See quote time"),"Date unavailable"),IF($I355="Snapshot",IF($G355&lt;DATEVALUE("2026-10-02"),"Older snapshot","Dated close"),"No valid quote"))))</f>
        <v/>
      </c>
      <c r="P355" s="14">
        <f>IF($T355=0,"",IF(INDEX('Market Data'!$J$5:$J$528,$T355)=0,"n/a",IF($Q355="Bloomberg",IF(AND(ISNUMBER(INDEX('Market Data'!$AK$5:$AK$66,INDEX('Market Data'!$J$5:$J$528,$T355)-4)),N(INDEX('Market Data'!$AK$5:$AK$66,INDEX('Market Data'!$J$5:$J$528,$T355)-4))&gt;0),INDEX('Market Data'!$AK$5:$AK$66,INDEX('Market Data'!$J$5:$J$528,$T355)-4),"date unavailable"),IF($Q355="Snapshot",IF(AND(ISNUMBER(INDEX('Market Data'!$AF$5:$AF$66,INDEX('Market Data'!$J$5:$J$528,$T355)-4)),N(INDEX('Market Data'!$AF$5:$AF$66,INDEX('Market Data'!$J$5:$J$528,$T355)-4))&gt;0),INDEX('Market Data'!$AF$5:$AF$66,INDEX('Market Data'!$J$5:$J$528,$T355)-4),"date unavailable"),"date unavailable"))))</f>
        <v/>
      </c>
      <c r="Q355" s="15">
        <f>IF($T355=0,"",IF(INDEX('Market Data'!$J$5:$J$528,$T355)=0,"n/a",IF(AND($M$5&lt;&gt;"Snapshot",ISNUMBER(INDEX('Market Data'!$AH$5:$AH$66,INDEX('Market Data'!$J$5:$J$528,$T355)-4)),N(INDEX('Market Data'!$AH$5:$AH$66,INDEX('Market Data'!$J$5:$J$528,$T355)-4))&gt;0),"Bloomberg",IF(AND($M$5&lt;&gt;"Bloomberg",ISNUMBER(INDEX('Market Data'!$AC$5:$AC$66,INDEX('Market Data'!$J$5:$J$528,$T355)-4)),N(INDEX('Market Data'!$AC$5:$AC$66,INDEX('Market Data'!$J$5:$J$528,$T355)-4))&gt;0),"Snapshot","Unavailable"))))</f>
        <v/>
      </c>
      <c r="T355">
        <f>IFERROR(MATCH(347,'Market Data'!$S$5:$S$528,0),0)</f>
        <v/>
      </c>
    </row>
    <row r="356" ht="34" customHeight="1">
      <c r="A356" s="8">
        <f>IF($T356=0,"",IF(INDEX('Market Data'!$A$5:$A$528,$T356)="","",INDEX('Market Data'!$A$5:$A$528,$T356)))</f>
        <v/>
      </c>
      <c r="B356" s="9">
        <f>IF($T356=0,"",IF(INDEX('Market Data'!$B$5:$B$528,$T356)="","",INDEX('Market Data'!$B$5:$B$528,$T356)))</f>
        <v/>
      </c>
      <c r="C356" s="9">
        <f>IF($T356=0,"",IF(INDEX('Market Data'!$C$5:$C$528,$T356)="","",INDEX('Market Data'!$C$5:$C$528,$T356)))</f>
        <v/>
      </c>
      <c r="D356" s="9">
        <f>IF($T356=0,"",IF(INDEX('Market Data'!$D$5:$D$528,$T356)="","",INDEX('Market Data'!$D$5:$D$528,$T356)))</f>
        <v/>
      </c>
      <c r="E356" s="10">
        <f>IF($T356=0,"",INDEX('Market Data'!$O$5:$O$528,$T356))</f>
        <v/>
      </c>
      <c r="F356" s="11">
        <f>IF($T356=0,"",IF(AND($I356="Bloomberg",ISNUMBER(INDEX('Market Data'!$L$5:$L$528,$T356))),INDEX('Market Data'!$L$5:$L$528,$T356),"unavailable"))</f>
        <v/>
      </c>
      <c r="G356" s="12">
        <f>IF($T356=0,"",IF($I356="Bloomberg",IF(AND(ISNUMBER(INDEX('Market Data'!$M$5:$M$528,$T356)),N(INDEX('Market Data'!$M$5:$M$528,$T356))&gt;0),INDEX('Market Data'!$M$5:$M$528,$T356),"date unavailable"),IF($I356="Snapshot",IF(AND(ISNUMBER(INDEX('Market Data'!$H$5:$H$528,$T356)),N(INDEX('Market Data'!$H$5:$H$528,$T356))&gt;0),INDEX('Market Data'!$H$5:$H$528,$T356),"date unavailable"),"date unavailable")))</f>
        <v/>
      </c>
      <c r="H356" s="9">
        <f>IF($T356=0,"",IF($I356="Bloomberg",IF(INDEX('Market Data'!$N$5:$N$528,$T356)="","time unavailable",INDEX('Market Data'!$N$5:$N$528,$T356)),""))</f>
        <v/>
      </c>
      <c r="I356" s="9">
        <f>IF($T356=0,"",INDEX('Market Data'!$P$5:$P$528,$T356))</f>
        <v/>
      </c>
      <c r="J356" s="13">
        <f>IF($T356=0,"",IF(INDEX('Market Data'!$E$5:$E$528,$T356)="","",INDEX('Market Data'!$E$5:$E$528,$T356)))</f>
        <v/>
      </c>
      <c r="K356" s="8">
        <f>IF($T356=0,"",IF(INDEX('Market Data'!$I$5:$I$528,$T356)="","",INDEX('Market Data'!$I$5:$I$528,$T356)))</f>
        <v/>
      </c>
      <c r="L356" s="10">
        <f>IF($T356=0,"",IF(INDEX('Market Data'!$J$5:$J$528,$T356)=0,"n/a",IF(AND($M$5&lt;&gt;"Snapshot",ISNUMBER(INDEX('Market Data'!$AH$5:$AH$66,INDEX('Market Data'!$J$5:$J$528,$T356)-4)),N(INDEX('Market Data'!$AH$5:$AH$66,INDEX('Market Data'!$J$5:$J$528,$T356)-4))&gt;0),INDEX('Market Data'!$AH$5:$AH$66,INDEX('Market Data'!$J$5:$J$528,$T356)-4),IF(AND($M$5&lt;&gt;"Bloomberg",ISNUMBER(INDEX('Market Data'!$AC$5:$AC$66,INDEX('Market Data'!$J$5:$J$528,$T356)-4)),N(INDEX('Market Data'!$AC$5:$AC$66,INDEX('Market Data'!$J$5:$J$528,$T356)-4))&gt;0),INDEX('Market Data'!$AC$5:$AC$66,INDEX('Market Data'!$J$5:$J$528,$T356)-4),"unavailable"))))</f>
        <v/>
      </c>
      <c r="M356" s="11">
        <f>IF($T356=0,"",IF(INDEX('Market Data'!$J$5:$J$528,$T356)=0,"n/a",IF(IF(INDEX('Market Data'!$J$5:$J$528,$T356)=0,0,IF(LEFT(INDEX('Market Data'!$AS$5:$AS$66,INDEX('Market Data'!$J$5:$J$528,$T356)-4),11)="First-month",1,0))=1,"class review",IF($I356="Bloomberg",IF(AND(ISNUMBER(INDEX('Market Data'!$AH$5:$AH$66,INDEX('Market Data'!$J$5:$J$528,$T356)-4)),N(INDEX('Market Data'!$AH$5:$AH$66,INDEX('Market Data'!$J$5:$J$528,$T356)-4))&gt;0,ISNUMBER('Market Data'!$B$1),N('Market Data'!$B$1)&gt;0),INDEX('Market Data'!$AH$5:$AH$66,INDEX('Market Data'!$J$5:$J$528,$T356)-4)*'Market Data'!$B$1/$E356-1,"pending A/FX"),IF(AND($I356="Snapshot",$Q356="Snapshot",ISNUMBER($E356),$G356=INDEX('Market Data'!$AE$5:$AE$66,INDEX('Market Data'!$J$5:$J$528,$T356)-4)),IFERROR(INDEX('Market Data'!$AC$5:$AC$66,INDEX('Market Data'!$J$5:$J$528,$T356)-4)*INDEX('Market Data'!$AD$5:$AD$66,INDEX('Market Data'!$J$5:$J$528,$T356)-4)/$E356-1,"unavailable"),IF($I356="Unavailable","unavailable","date mismatch"))))))</f>
        <v/>
      </c>
      <c r="N356" s="11">
        <f>IF($T356=0,"",IFERROR(IF(AND(N(INDEX('Market Data'!$F$5:$F$528,$T356))&gt;0,ISNUMBER(INDEX('Market Data'!$T$5:$T$528,$T356))),$E356*INDEX('Market Data'!$T$5:$T$528,$T356)/INDEX('Market Data'!$F$5:$F$528,$T356)-1,"unavailable"),"unavailable"))</f>
        <v/>
      </c>
      <c r="O356" s="9">
        <f>IF($T356=0,"",IF(IF(INDEX('Market Data'!$J$5:$J$528,$T356)=0,0,IF(LEFT(INDEX('Market Data'!$AS$5:$AS$66,INDEX('Market Data'!$J$5:$J$528,$T356)-4),11)="First-month",1,0))=1,"Class ratio review",IF($I356="Bloomberg",IF(ISNUMBER($G356),IF($G356&lt;TODAY(),"Older quote","See quote time"),"Date unavailable"),IF($I356="Snapshot",IF($G356&lt;DATEVALUE("2026-10-02"),"Older snapshot","Dated close"),"No valid quote"))))</f>
        <v/>
      </c>
      <c r="P356" s="14">
        <f>IF($T356=0,"",IF(INDEX('Market Data'!$J$5:$J$528,$T356)=0,"n/a",IF($Q356="Bloomberg",IF(AND(ISNUMBER(INDEX('Market Data'!$AK$5:$AK$66,INDEX('Market Data'!$J$5:$J$528,$T356)-4)),N(INDEX('Market Data'!$AK$5:$AK$66,INDEX('Market Data'!$J$5:$J$528,$T356)-4))&gt;0),INDEX('Market Data'!$AK$5:$AK$66,INDEX('Market Data'!$J$5:$J$528,$T356)-4),"date unavailable"),IF($Q356="Snapshot",IF(AND(ISNUMBER(INDEX('Market Data'!$AF$5:$AF$66,INDEX('Market Data'!$J$5:$J$528,$T356)-4)),N(INDEX('Market Data'!$AF$5:$AF$66,INDEX('Market Data'!$J$5:$J$528,$T356)-4))&gt;0),INDEX('Market Data'!$AF$5:$AF$66,INDEX('Market Data'!$J$5:$J$528,$T356)-4),"date unavailable"),"date unavailable"))))</f>
        <v/>
      </c>
      <c r="Q356" s="15">
        <f>IF($T356=0,"",IF(INDEX('Market Data'!$J$5:$J$528,$T356)=0,"n/a",IF(AND($M$5&lt;&gt;"Snapshot",ISNUMBER(INDEX('Market Data'!$AH$5:$AH$66,INDEX('Market Data'!$J$5:$J$528,$T356)-4)),N(INDEX('Market Data'!$AH$5:$AH$66,INDEX('Market Data'!$J$5:$J$528,$T356)-4))&gt;0),"Bloomberg",IF(AND($M$5&lt;&gt;"Bloomberg",ISNUMBER(INDEX('Market Data'!$AC$5:$AC$66,INDEX('Market Data'!$J$5:$J$528,$T356)-4)),N(INDEX('Market Data'!$AC$5:$AC$66,INDEX('Market Data'!$J$5:$J$528,$T356)-4))&gt;0),"Snapshot","Unavailable"))))</f>
        <v/>
      </c>
      <c r="T356">
        <f>IFERROR(MATCH(348,'Market Data'!$S$5:$S$528,0),0)</f>
        <v/>
      </c>
    </row>
    <row r="357" ht="34" customHeight="1">
      <c r="A357" s="8">
        <f>IF($T357=0,"",IF(INDEX('Market Data'!$A$5:$A$528,$T357)="","",INDEX('Market Data'!$A$5:$A$528,$T357)))</f>
        <v/>
      </c>
      <c r="B357" s="9">
        <f>IF($T357=0,"",IF(INDEX('Market Data'!$B$5:$B$528,$T357)="","",INDEX('Market Data'!$B$5:$B$528,$T357)))</f>
        <v/>
      </c>
      <c r="C357" s="9">
        <f>IF($T357=0,"",IF(INDEX('Market Data'!$C$5:$C$528,$T357)="","",INDEX('Market Data'!$C$5:$C$528,$T357)))</f>
        <v/>
      </c>
      <c r="D357" s="9">
        <f>IF($T357=0,"",IF(INDEX('Market Data'!$D$5:$D$528,$T357)="","",INDEX('Market Data'!$D$5:$D$528,$T357)))</f>
        <v/>
      </c>
      <c r="E357" s="10">
        <f>IF($T357=0,"",INDEX('Market Data'!$O$5:$O$528,$T357))</f>
        <v/>
      </c>
      <c r="F357" s="11">
        <f>IF($T357=0,"",IF(AND($I357="Bloomberg",ISNUMBER(INDEX('Market Data'!$L$5:$L$528,$T357))),INDEX('Market Data'!$L$5:$L$528,$T357),"unavailable"))</f>
        <v/>
      </c>
      <c r="G357" s="12">
        <f>IF($T357=0,"",IF($I357="Bloomberg",IF(AND(ISNUMBER(INDEX('Market Data'!$M$5:$M$528,$T357)),N(INDEX('Market Data'!$M$5:$M$528,$T357))&gt;0),INDEX('Market Data'!$M$5:$M$528,$T357),"date unavailable"),IF($I357="Snapshot",IF(AND(ISNUMBER(INDEX('Market Data'!$H$5:$H$528,$T357)),N(INDEX('Market Data'!$H$5:$H$528,$T357))&gt;0),INDEX('Market Data'!$H$5:$H$528,$T357),"date unavailable"),"date unavailable")))</f>
        <v/>
      </c>
      <c r="H357" s="9">
        <f>IF($T357=0,"",IF($I357="Bloomberg",IF(INDEX('Market Data'!$N$5:$N$528,$T357)="","time unavailable",INDEX('Market Data'!$N$5:$N$528,$T357)),""))</f>
        <v/>
      </c>
      <c r="I357" s="9">
        <f>IF($T357=0,"",INDEX('Market Data'!$P$5:$P$528,$T357))</f>
        <v/>
      </c>
      <c r="J357" s="13">
        <f>IF($T357=0,"",IF(INDEX('Market Data'!$E$5:$E$528,$T357)="","",INDEX('Market Data'!$E$5:$E$528,$T357)))</f>
        <v/>
      </c>
      <c r="K357" s="8">
        <f>IF($T357=0,"",IF(INDEX('Market Data'!$I$5:$I$528,$T357)="","",INDEX('Market Data'!$I$5:$I$528,$T357)))</f>
        <v/>
      </c>
      <c r="L357" s="10">
        <f>IF($T357=0,"",IF(INDEX('Market Data'!$J$5:$J$528,$T357)=0,"n/a",IF(AND($M$5&lt;&gt;"Snapshot",ISNUMBER(INDEX('Market Data'!$AH$5:$AH$66,INDEX('Market Data'!$J$5:$J$528,$T357)-4)),N(INDEX('Market Data'!$AH$5:$AH$66,INDEX('Market Data'!$J$5:$J$528,$T357)-4))&gt;0),INDEX('Market Data'!$AH$5:$AH$66,INDEX('Market Data'!$J$5:$J$528,$T357)-4),IF(AND($M$5&lt;&gt;"Bloomberg",ISNUMBER(INDEX('Market Data'!$AC$5:$AC$66,INDEX('Market Data'!$J$5:$J$528,$T357)-4)),N(INDEX('Market Data'!$AC$5:$AC$66,INDEX('Market Data'!$J$5:$J$528,$T357)-4))&gt;0),INDEX('Market Data'!$AC$5:$AC$66,INDEX('Market Data'!$J$5:$J$528,$T357)-4),"unavailable"))))</f>
        <v/>
      </c>
      <c r="M357" s="11">
        <f>IF($T357=0,"",IF(INDEX('Market Data'!$J$5:$J$528,$T357)=0,"n/a",IF(IF(INDEX('Market Data'!$J$5:$J$528,$T357)=0,0,IF(LEFT(INDEX('Market Data'!$AS$5:$AS$66,INDEX('Market Data'!$J$5:$J$528,$T357)-4),11)="First-month",1,0))=1,"class review",IF($I357="Bloomberg",IF(AND(ISNUMBER(INDEX('Market Data'!$AH$5:$AH$66,INDEX('Market Data'!$J$5:$J$528,$T357)-4)),N(INDEX('Market Data'!$AH$5:$AH$66,INDEX('Market Data'!$J$5:$J$528,$T357)-4))&gt;0,ISNUMBER('Market Data'!$B$1),N('Market Data'!$B$1)&gt;0),INDEX('Market Data'!$AH$5:$AH$66,INDEX('Market Data'!$J$5:$J$528,$T357)-4)*'Market Data'!$B$1/$E357-1,"pending A/FX"),IF(AND($I357="Snapshot",$Q357="Snapshot",ISNUMBER($E357),$G357=INDEX('Market Data'!$AE$5:$AE$66,INDEX('Market Data'!$J$5:$J$528,$T357)-4)),IFERROR(INDEX('Market Data'!$AC$5:$AC$66,INDEX('Market Data'!$J$5:$J$528,$T357)-4)*INDEX('Market Data'!$AD$5:$AD$66,INDEX('Market Data'!$J$5:$J$528,$T357)-4)/$E357-1,"unavailable"),IF($I357="Unavailable","unavailable","date mismatch"))))))</f>
        <v/>
      </c>
      <c r="N357" s="11">
        <f>IF($T357=0,"",IFERROR(IF(AND(N(INDEX('Market Data'!$F$5:$F$528,$T357))&gt;0,ISNUMBER(INDEX('Market Data'!$T$5:$T$528,$T357))),$E357*INDEX('Market Data'!$T$5:$T$528,$T357)/INDEX('Market Data'!$F$5:$F$528,$T357)-1,"unavailable"),"unavailable"))</f>
        <v/>
      </c>
      <c r="O357" s="9">
        <f>IF($T357=0,"",IF(IF(INDEX('Market Data'!$J$5:$J$528,$T357)=0,0,IF(LEFT(INDEX('Market Data'!$AS$5:$AS$66,INDEX('Market Data'!$J$5:$J$528,$T357)-4),11)="First-month",1,0))=1,"Class ratio review",IF($I357="Bloomberg",IF(ISNUMBER($G357),IF($G357&lt;TODAY(),"Older quote","See quote time"),"Date unavailable"),IF($I357="Snapshot",IF($G357&lt;DATEVALUE("2026-10-02"),"Older snapshot","Dated close"),"No valid quote"))))</f>
        <v/>
      </c>
      <c r="P357" s="14">
        <f>IF($T357=0,"",IF(INDEX('Market Data'!$J$5:$J$528,$T357)=0,"n/a",IF($Q357="Bloomberg",IF(AND(ISNUMBER(INDEX('Market Data'!$AK$5:$AK$66,INDEX('Market Data'!$J$5:$J$528,$T357)-4)),N(INDEX('Market Data'!$AK$5:$AK$66,INDEX('Market Data'!$J$5:$J$528,$T357)-4))&gt;0),INDEX('Market Data'!$AK$5:$AK$66,INDEX('Market Data'!$J$5:$J$528,$T357)-4),"date unavailable"),IF($Q357="Snapshot",IF(AND(ISNUMBER(INDEX('Market Data'!$AF$5:$AF$66,INDEX('Market Data'!$J$5:$J$528,$T357)-4)),N(INDEX('Market Data'!$AF$5:$AF$66,INDEX('Market Data'!$J$5:$J$528,$T357)-4))&gt;0),INDEX('Market Data'!$AF$5:$AF$66,INDEX('Market Data'!$J$5:$J$528,$T357)-4),"date unavailable"),"date unavailable"))))</f>
        <v/>
      </c>
      <c r="Q357" s="15">
        <f>IF($T357=0,"",IF(INDEX('Market Data'!$J$5:$J$528,$T357)=0,"n/a",IF(AND($M$5&lt;&gt;"Snapshot",ISNUMBER(INDEX('Market Data'!$AH$5:$AH$66,INDEX('Market Data'!$J$5:$J$528,$T357)-4)),N(INDEX('Market Data'!$AH$5:$AH$66,INDEX('Market Data'!$J$5:$J$528,$T357)-4))&gt;0),"Bloomberg",IF(AND($M$5&lt;&gt;"Bloomberg",ISNUMBER(INDEX('Market Data'!$AC$5:$AC$66,INDEX('Market Data'!$J$5:$J$528,$T357)-4)),N(INDEX('Market Data'!$AC$5:$AC$66,INDEX('Market Data'!$J$5:$J$528,$T357)-4))&gt;0),"Snapshot","Unavailable"))))</f>
        <v/>
      </c>
      <c r="T357">
        <f>IFERROR(MATCH(349,'Market Data'!$S$5:$S$528,0),0)</f>
        <v/>
      </c>
    </row>
    <row r="358" ht="34" customHeight="1">
      <c r="A358" s="8">
        <f>IF($T358=0,"",IF(INDEX('Market Data'!$A$5:$A$528,$T358)="","",INDEX('Market Data'!$A$5:$A$528,$T358)))</f>
        <v/>
      </c>
      <c r="B358" s="9">
        <f>IF($T358=0,"",IF(INDEX('Market Data'!$B$5:$B$528,$T358)="","",INDEX('Market Data'!$B$5:$B$528,$T358)))</f>
        <v/>
      </c>
      <c r="C358" s="9">
        <f>IF($T358=0,"",IF(INDEX('Market Data'!$C$5:$C$528,$T358)="","",INDEX('Market Data'!$C$5:$C$528,$T358)))</f>
        <v/>
      </c>
      <c r="D358" s="9">
        <f>IF($T358=0,"",IF(INDEX('Market Data'!$D$5:$D$528,$T358)="","",INDEX('Market Data'!$D$5:$D$528,$T358)))</f>
        <v/>
      </c>
      <c r="E358" s="10">
        <f>IF($T358=0,"",INDEX('Market Data'!$O$5:$O$528,$T358))</f>
        <v/>
      </c>
      <c r="F358" s="11">
        <f>IF($T358=0,"",IF(AND($I358="Bloomberg",ISNUMBER(INDEX('Market Data'!$L$5:$L$528,$T358))),INDEX('Market Data'!$L$5:$L$528,$T358),"unavailable"))</f>
        <v/>
      </c>
      <c r="G358" s="12">
        <f>IF($T358=0,"",IF($I358="Bloomberg",IF(AND(ISNUMBER(INDEX('Market Data'!$M$5:$M$528,$T358)),N(INDEX('Market Data'!$M$5:$M$528,$T358))&gt;0),INDEX('Market Data'!$M$5:$M$528,$T358),"date unavailable"),IF($I358="Snapshot",IF(AND(ISNUMBER(INDEX('Market Data'!$H$5:$H$528,$T358)),N(INDEX('Market Data'!$H$5:$H$528,$T358))&gt;0),INDEX('Market Data'!$H$5:$H$528,$T358),"date unavailable"),"date unavailable")))</f>
        <v/>
      </c>
      <c r="H358" s="9">
        <f>IF($T358=0,"",IF($I358="Bloomberg",IF(INDEX('Market Data'!$N$5:$N$528,$T358)="","time unavailable",INDEX('Market Data'!$N$5:$N$528,$T358)),""))</f>
        <v/>
      </c>
      <c r="I358" s="9">
        <f>IF($T358=0,"",INDEX('Market Data'!$P$5:$P$528,$T358))</f>
        <v/>
      </c>
      <c r="J358" s="13">
        <f>IF($T358=0,"",IF(INDEX('Market Data'!$E$5:$E$528,$T358)="","",INDEX('Market Data'!$E$5:$E$528,$T358)))</f>
        <v/>
      </c>
      <c r="K358" s="8">
        <f>IF($T358=0,"",IF(INDEX('Market Data'!$I$5:$I$528,$T358)="","",INDEX('Market Data'!$I$5:$I$528,$T358)))</f>
        <v/>
      </c>
      <c r="L358" s="10">
        <f>IF($T358=0,"",IF(INDEX('Market Data'!$J$5:$J$528,$T358)=0,"n/a",IF(AND($M$5&lt;&gt;"Snapshot",ISNUMBER(INDEX('Market Data'!$AH$5:$AH$66,INDEX('Market Data'!$J$5:$J$528,$T358)-4)),N(INDEX('Market Data'!$AH$5:$AH$66,INDEX('Market Data'!$J$5:$J$528,$T358)-4))&gt;0),INDEX('Market Data'!$AH$5:$AH$66,INDEX('Market Data'!$J$5:$J$528,$T358)-4),IF(AND($M$5&lt;&gt;"Bloomberg",ISNUMBER(INDEX('Market Data'!$AC$5:$AC$66,INDEX('Market Data'!$J$5:$J$528,$T358)-4)),N(INDEX('Market Data'!$AC$5:$AC$66,INDEX('Market Data'!$J$5:$J$528,$T358)-4))&gt;0),INDEX('Market Data'!$AC$5:$AC$66,INDEX('Market Data'!$J$5:$J$528,$T358)-4),"unavailable"))))</f>
        <v/>
      </c>
      <c r="M358" s="11">
        <f>IF($T358=0,"",IF(INDEX('Market Data'!$J$5:$J$528,$T358)=0,"n/a",IF(IF(INDEX('Market Data'!$J$5:$J$528,$T358)=0,0,IF(LEFT(INDEX('Market Data'!$AS$5:$AS$66,INDEX('Market Data'!$J$5:$J$528,$T358)-4),11)="First-month",1,0))=1,"class review",IF($I358="Bloomberg",IF(AND(ISNUMBER(INDEX('Market Data'!$AH$5:$AH$66,INDEX('Market Data'!$J$5:$J$528,$T358)-4)),N(INDEX('Market Data'!$AH$5:$AH$66,INDEX('Market Data'!$J$5:$J$528,$T358)-4))&gt;0,ISNUMBER('Market Data'!$B$1),N('Market Data'!$B$1)&gt;0),INDEX('Market Data'!$AH$5:$AH$66,INDEX('Market Data'!$J$5:$J$528,$T358)-4)*'Market Data'!$B$1/$E358-1,"pending A/FX"),IF(AND($I358="Snapshot",$Q358="Snapshot",ISNUMBER($E358),$G358=INDEX('Market Data'!$AE$5:$AE$66,INDEX('Market Data'!$J$5:$J$528,$T358)-4)),IFERROR(INDEX('Market Data'!$AC$5:$AC$66,INDEX('Market Data'!$J$5:$J$528,$T358)-4)*INDEX('Market Data'!$AD$5:$AD$66,INDEX('Market Data'!$J$5:$J$528,$T358)-4)/$E358-1,"unavailable"),IF($I358="Unavailable","unavailable","date mismatch"))))))</f>
        <v/>
      </c>
      <c r="N358" s="11">
        <f>IF($T358=0,"",IFERROR(IF(AND(N(INDEX('Market Data'!$F$5:$F$528,$T358))&gt;0,ISNUMBER(INDEX('Market Data'!$T$5:$T$528,$T358))),$E358*INDEX('Market Data'!$T$5:$T$528,$T358)/INDEX('Market Data'!$F$5:$F$528,$T358)-1,"unavailable"),"unavailable"))</f>
        <v/>
      </c>
      <c r="O358" s="9">
        <f>IF($T358=0,"",IF(IF(INDEX('Market Data'!$J$5:$J$528,$T358)=0,0,IF(LEFT(INDEX('Market Data'!$AS$5:$AS$66,INDEX('Market Data'!$J$5:$J$528,$T358)-4),11)="First-month",1,0))=1,"Class ratio review",IF($I358="Bloomberg",IF(ISNUMBER($G358),IF($G358&lt;TODAY(),"Older quote","See quote time"),"Date unavailable"),IF($I358="Snapshot",IF($G358&lt;DATEVALUE("2026-10-02"),"Older snapshot","Dated close"),"No valid quote"))))</f>
        <v/>
      </c>
      <c r="P358" s="14">
        <f>IF($T358=0,"",IF(INDEX('Market Data'!$J$5:$J$528,$T358)=0,"n/a",IF($Q358="Bloomberg",IF(AND(ISNUMBER(INDEX('Market Data'!$AK$5:$AK$66,INDEX('Market Data'!$J$5:$J$528,$T358)-4)),N(INDEX('Market Data'!$AK$5:$AK$66,INDEX('Market Data'!$J$5:$J$528,$T358)-4))&gt;0),INDEX('Market Data'!$AK$5:$AK$66,INDEX('Market Data'!$J$5:$J$528,$T358)-4),"date unavailable"),IF($Q358="Snapshot",IF(AND(ISNUMBER(INDEX('Market Data'!$AF$5:$AF$66,INDEX('Market Data'!$J$5:$J$528,$T358)-4)),N(INDEX('Market Data'!$AF$5:$AF$66,INDEX('Market Data'!$J$5:$J$528,$T358)-4))&gt;0),INDEX('Market Data'!$AF$5:$AF$66,INDEX('Market Data'!$J$5:$J$528,$T358)-4),"date unavailable"),"date unavailable"))))</f>
        <v/>
      </c>
      <c r="Q358" s="15">
        <f>IF($T358=0,"",IF(INDEX('Market Data'!$J$5:$J$528,$T358)=0,"n/a",IF(AND($M$5&lt;&gt;"Snapshot",ISNUMBER(INDEX('Market Data'!$AH$5:$AH$66,INDEX('Market Data'!$J$5:$J$528,$T358)-4)),N(INDEX('Market Data'!$AH$5:$AH$66,INDEX('Market Data'!$J$5:$J$528,$T358)-4))&gt;0),"Bloomberg",IF(AND($M$5&lt;&gt;"Bloomberg",ISNUMBER(INDEX('Market Data'!$AC$5:$AC$66,INDEX('Market Data'!$J$5:$J$528,$T358)-4)),N(INDEX('Market Data'!$AC$5:$AC$66,INDEX('Market Data'!$J$5:$J$528,$T358)-4))&gt;0),"Snapshot","Unavailable"))))</f>
        <v/>
      </c>
      <c r="T358">
        <f>IFERROR(MATCH(350,'Market Data'!$S$5:$S$528,0),0)</f>
        <v/>
      </c>
    </row>
    <row r="359" ht="34" customHeight="1">
      <c r="A359" s="8">
        <f>IF($T359=0,"",IF(INDEX('Market Data'!$A$5:$A$528,$T359)="","",INDEX('Market Data'!$A$5:$A$528,$T359)))</f>
        <v/>
      </c>
      <c r="B359" s="9">
        <f>IF($T359=0,"",IF(INDEX('Market Data'!$B$5:$B$528,$T359)="","",INDEX('Market Data'!$B$5:$B$528,$T359)))</f>
        <v/>
      </c>
      <c r="C359" s="9">
        <f>IF($T359=0,"",IF(INDEX('Market Data'!$C$5:$C$528,$T359)="","",INDEX('Market Data'!$C$5:$C$528,$T359)))</f>
        <v/>
      </c>
      <c r="D359" s="9">
        <f>IF($T359=0,"",IF(INDEX('Market Data'!$D$5:$D$528,$T359)="","",INDEX('Market Data'!$D$5:$D$528,$T359)))</f>
        <v/>
      </c>
      <c r="E359" s="10">
        <f>IF($T359=0,"",INDEX('Market Data'!$O$5:$O$528,$T359))</f>
        <v/>
      </c>
      <c r="F359" s="11">
        <f>IF($T359=0,"",IF(AND($I359="Bloomberg",ISNUMBER(INDEX('Market Data'!$L$5:$L$528,$T359))),INDEX('Market Data'!$L$5:$L$528,$T359),"unavailable"))</f>
        <v/>
      </c>
      <c r="G359" s="12">
        <f>IF($T359=0,"",IF($I359="Bloomberg",IF(AND(ISNUMBER(INDEX('Market Data'!$M$5:$M$528,$T359)),N(INDEX('Market Data'!$M$5:$M$528,$T359))&gt;0),INDEX('Market Data'!$M$5:$M$528,$T359),"date unavailable"),IF($I359="Snapshot",IF(AND(ISNUMBER(INDEX('Market Data'!$H$5:$H$528,$T359)),N(INDEX('Market Data'!$H$5:$H$528,$T359))&gt;0),INDEX('Market Data'!$H$5:$H$528,$T359),"date unavailable"),"date unavailable")))</f>
        <v/>
      </c>
      <c r="H359" s="9">
        <f>IF($T359=0,"",IF($I359="Bloomberg",IF(INDEX('Market Data'!$N$5:$N$528,$T359)="","time unavailable",INDEX('Market Data'!$N$5:$N$528,$T359)),""))</f>
        <v/>
      </c>
      <c r="I359" s="9">
        <f>IF($T359=0,"",INDEX('Market Data'!$P$5:$P$528,$T359))</f>
        <v/>
      </c>
      <c r="J359" s="13">
        <f>IF($T359=0,"",IF(INDEX('Market Data'!$E$5:$E$528,$T359)="","",INDEX('Market Data'!$E$5:$E$528,$T359)))</f>
        <v/>
      </c>
      <c r="K359" s="8">
        <f>IF($T359=0,"",IF(INDEX('Market Data'!$I$5:$I$528,$T359)="","",INDEX('Market Data'!$I$5:$I$528,$T359)))</f>
        <v/>
      </c>
      <c r="L359" s="10">
        <f>IF($T359=0,"",IF(INDEX('Market Data'!$J$5:$J$528,$T359)=0,"n/a",IF(AND($M$5&lt;&gt;"Snapshot",ISNUMBER(INDEX('Market Data'!$AH$5:$AH$66,INDEX('Market Data'!$J$5:$J$528,$T359)-4)),N(INDEX('Market Data'!$AH$5:$AH$66,INDEX('Market Data'!$J$5:$J$528,$T359)-4))&gt;0),INDEX('Market Data'!$AH$5:$AH$66,INDEX('Market Data'!$J$5:$J$528,$T359)-4),IF(AND($M$5&lt;&gt;"Bloomberg",ISNUMBER(INDEX('Market Data'!$AC$5:$AC$66,INDEX('Market Data'!$J$5:$J$528,$T359)-4)),N(INDEX('Market Data'!$AC$5:$AC$66,INDEX('Market Data'!$J$5:$J$528,$T359)-4))&gt;0),INDEX('Market Data'!$AC$5:$AC$66,INDEX('Market Data'!$J$5:$J$528,$T359)-4),"unavailable"))))</f>
        <v/>
      </c>
      <c r="M359" s="11">
        <f>IF($T359=0,"",IF(INDEX('Market Data'!$J$5:$J$528,$T359)=0,"n/a",IF(IF(INDEX('Market Data'!$J$5:$J$528,$T359)=0,0,IF(LEFT(INDEX('Market Data'!$AS$5:$AS$66,INDEX('Market Data'!$J$5:$J$528,$T359)-4),11)="First-month",1,0))=1,"class review",IF($I359="Bloomberg",IF(AND(ISNUMBER(INDEX('Market Data'!$AH$5:$AH$66,INDEX('Market Data'!$J$5:$J$528,$T359)-4)),N(INDEX('Market Data'!$AH$5:$AH$66,INDEX('Market Data'!$J$5:$J$528,$T359)-4))&gt;0,ISNUMBER('Market Data'!$B$1),N('Market Data'!$B$1)&gt;0),INDEX('Market Data'!$AH$5:$AH$66,INDEX('Market Data'!$J$5:$J$528,$T359)-4)*'Market Data'!$B$1/$E359-1,"pending A/FX"),IF(AND($I359="Snapshot",$Q359="Snapshot",ISNUMBER($E359),$G359=INDEX('Market Data'!$AE$5:$AE$66,INDEX('Market Data'!$J$5:$J$528,$T359)-4)),IFERROR(INDEX('Market Data'!$AC$5:$AC$66,INDEX('Market Data'!$J$5:$J$528,$T359)-4)*INDEX('Market Data'!$AD$5:$AD$66,INDEX('Market Data'!$J$5:$J$528,$T359)-4)/$E359-1,"unavailable"),IF($I359="Unavailable","unavailable","date mismatch"))))))</f>
        <v/>
      </c>
      <c r="N359" s="11">
        <f>IF($T359=0,"",IFERROR(IF(AND(N(INDEX('Market Data'!$F$5:$F$528,$T359))&gt;0,ISNUMBER(INDEX('Market Data'!$T$5:$T$528,$T359))),$E359*INDEX('Market Data'!$T$5:$T$528,$T359)/INDEX('Market Data'!$F$5:$F$528,$T359)-1,"unavailable"),"unavailable"))</f>
        <v/>
      </c>
      <c r="O359" s="9">
        <f>IF($T359=0,"",IF(IF(INDEX('Market Data'!$J$5:$J$528,$T359)=0,0,IF(LEFT(INDEX('Market Data'!$AS$5:$AS$66,INDEX('Market Data'!$J$5:$J$528,$T359)-4),11)="First-month",1,0))=1,"Class ratio review",IF($I359="Bloomberg",IF(ISNUMBER($G359),IF($G359&lt;TODAY(),"Older quote","See quote time"),"Date unavailable"),IF($I359="Snapshot",IF($G359&lt;DATEVALUE("2026-10-02"),"Older snapshot","Dated close"),"No valid quote"))))</f>
        <v/>
      </c>
      <c r="P359" s="14">
        <f>IF($T359=0,"",IF(INDEX('Market Data'!$J$5:$J$528,$T359)=0,"n/a",IF($Q359="Bloomberg",IF(AND(ISNUMBER(INDEX('Market Data'!$AK$5:$AK$66,INDEX('Market Data'!$J$5:$J$528,$T359)-4)),N(INDEX('Market Data'!$AK$5:$AK$66,INDEX('Market Data'!$J$5:$J$528,$T359)-4))&gt;0),INDEX('Market Data'!$AK$5:$AK$66,INDEX('Market Data'!$J$5:$J$528,$T359)-4),"date unavailable"),IF($Q359="Snapshot",IF(AND(ISNUMBER(INDEX('Market Data'!$AF$5:$AF$66,INDEX('Market Data'!$J$5:$J$528,$T359)-4)),N(INDEX('Market Data'!$AF$5:$AF$66,INDEX('Market Data'!$J$5:$J$528,$T359)-4))&gt;0),INDEX('Market Data'!$AF$5:$AF$66,INDEX('Market Data'!$J$5:$J$528,$T359)-4),"date unavailable"),"date unavailable"))))</f>
        <v/>
      </c>
      <c r="Q359" s="15">
        <f>IF($T359=0,"",IF(INDEX('Market Data'!$J$5:$J$528,$T359)=0,"n/a",IF(AND($M$5&lt;&gt;"Snapshot",ISNUMBER(INDEX('Market Data'!$AH$5:$AH$66,INDEX('Market Data'!$J$5:$J$528,$T359)-4)),N(INDEX('Market Data'!$AH$5:$AH$66,INDEX('Market Data'!$J$5:$J$528,$T359)-4))&gt;0),"Bloomberg",IF(AND($M$5&lt;&gt;"Bloomberg",ISNUMBER(INDEX('Market Data'!$AC$5:$AC$66,INDEX('Market Data'!$J$5:$J$528,$T359)-4)),N(INDEX('Market Data'!$AC$5:$AC$66,INDEX('Market Data'!$J$5:$J$528,$T359)-4))&gt;0),"Snapshot","Unavailable"))))</f>
        <v/>
      </c>
      <c r="T359">
        <f>IFERROR(MATCH(351,'Market Data'!$S$5:$S$528,0),0)</f>
        <v/>
      </c>
    </row>
    <row r="360" ht="34" customHeight="1">
      <c r="A360" s="8">
        <f>IF($T360=0,"",IF(INDEX('Market Data'!$A$5:$A$528,$T360)="","",INDEX('Market Data'!$A$5:$A$528,$T360)))</f>
        <v/>
      </c>
      <c r="B360" s="9">
        <f>IF($T360=0,"",IF(INDEX('Market Data'!$B$5:$B$528,$T360)="","",INDEX('Market Data'!$B$5:$B$528,$T360)))</f>
        <v/>
      </c>
      <c r="C360" s="9">
        <f>IF($T360=0,"",IF(INDEX('Market Data'!$C$5:$C$528,$T360)="","",INDEX('Market Data'!$C$5:$C$528,$T360)))</f>
        <v/>
      </c>
      <c r="D360" s="9">
        <f>IF($T360=0,"",IF(INDEX('Market Data'!$D$5:$D$528,$T360)="","",INDEX('Market Data'!$D$5:$D$528,$T360)))</f>
        <v/>
      </c>
      <c r="E360" s="10">
        <f>IF($T360=0,"",INDEX('Market Data'!$O$5:$O$528,$T360))</f>
        <v/>
      </c>
      <c r="F360" s="11">
        <f>IF($T360=0,"",IF(AND($I360="Bloomberg",ISNUMBER(INDEX('Market Data'!$L$5:$L$528,$T360))),INDEX('Market Data'!$L$5:$L$528,$T360),"unavailable"))</f>
        <v/>
      </c>
      <c r="G360" s="12">
        <f>IF($T360=0,"",IF($I360="Bloomberg",IF(AND(ISNUMBER(INDEX('Market Data'!$M$5:$M$528,$T360)),N(INDEX('Market Data'!$M$5:$M$528,$T360))&gt;0),INDEX('Market Data'!$M$5:$M$528,$T360),"date unavailable"),IF($I360="Snapshot",IF(AND(ISNUMBER(INDEX('Market Data'!$H$5:$H$528,$T360)),N(INDEX('Market Data'!$H$5:$H$528,$T360))&gt;0),INDEX('Market Data'!$H$5:$H$528,$T360),"date unavailable"),"date unavailable")))</f>
        <v/>
      </c>
      <c r="H360" s="9">
        <f>IF($T360=0,"",IF($I360="Bloomberg",IF(INDEX('Market Data'!$N$5:$N$528,$T360)="","time unavailable",INDEX('Market Data'!$N$5:$N$528,$T360)),""))</f>
        <v/>
      </c>
      <c r="I360" s="9">
        <f>IF($T360=0,"",INDEX('Market Data'!$P$5:$P$528,$T360))</f>
        <v/>
      </c>
      <c r="J360" s="13">
        <f>IF($T360=0,"",IF(INDEX('Market Data'!$E$5:$E$528,$T360)="","",INDEX('Market Data'!$E$5:$E$528,$T360)))</f>
        <v/>
      </c>
      <c r="K360" s="8">
        <f>IF($T360=0,"",IF(INDEX('Market Data'!$I$5:$I$528,$T360)="","",INDEX('Market Data'!$I$5:$I$528,$T360)))</f>
        <v/>
      </c>
      <c r="L360" s="10">
        <f>IF($T360=0,"",IF(INDEX('Market Data'!$J$5:$J$528,$T360)=0,"n/a",IF(AND($M$5&lt;&gt;"Snapshot",ISNUMBER(INDEX('Market Data'!$AH$5:$AH$66,INDEX('Market Data'!$J$5:$J$528,$T360)-4)),N(INDEX('Market Data'!$AH$5:$AH$66,INDEX('Market Data'!$J$5:$J$528,$T360)-4))&gt;0),INDEX('Market Data'!$AH$5:$AH$66,INDEX('Market Data'!$J$5:$J$528,$T360)-4),IF(AND($M$5&lt;&gt;"Bloomberg",ISNUMBER(INDEX('Market Data'!$AC$5:$AC$66,INDEX('Market Data'!$J$5:$J$528,$T360)-4)),N(INDEX('Market Data'!$AC$5:$AC$66,INDEX('Market Data'!$J$5:$J$528,$T360)-4))&gt;0),INDEX('Market Data'!$AC$5:$AC$66,INDEX('Market Data'!$J$5:$J$528,$T360)-4),"unavailable"))))</f>
        <v/>
      </c>
      <c r="M360" s="11">
        <f>IF($T360=0,"",IF(INDEX('Market Data'!$J$5:$J$528,$T360)=0,"n/a",IF(IF(INDEX('Market Data'!$J$5:$J$528,$T360)=0,0,IF(LEFT(INDEX('Market Data'!$AS$5:$AS$66,INDEX('Market Data'!$J$5:$J$528,$T360)-4),11)="First-month",1,0))=1,"class review",IF($I360="Bloomberg",IF(AND(ISNUMBER(INDEX('Market Data'!$AH$5:$AH$66,INDEX('Market Data'!$J$5:$J$528,$T360)-4)),N(INDEX('Market Data'!$AH$5:$AH$66,INDEX('Market Data'!$J$5:$J$528,$T360)-4))&gt;0,ISNUMBER('Market Data'!$B$1),N('Market Data'!$B$1)&gt;0),INDEX('Market Data'!$AH$5:$AH$66,INDEX('Market Data'!$J$5:$J$528,$T360)-4)*'Market Data'!$B$1/$E360-1,"pending A/FX"),IF(AND($I360="Snapshot",$Q360="Snapshot",ISNUMBER($E360),$G360=INDEX('Market Data'!$AE$5:$AE$66,INDEX('Market Data'!$J$5:$J$528,$T360)-4)),IFERROR(INDEX('Market Data'!$AC$5:$AC$66,INDEX('Market Data'!$J$5:$J$528,$T360)-4)*INDEX('Market Data'!$AD$5:$AD$66,INDEX('Market Data'!$J$5:$J$528,$T360)-4)/$E360-1,"unavailable"),IF($I360="Unavailable","unavailable","date mismatch"))))))</f>
        <v/>
      </c>
      <c r="N360" s="11">
        <f>IF($T360=0,"",IFERROR(IF(AND(N(INDEX('Market Data'!$F$5:$F$528,$T360))&gt;0,ISNUMBER(INDEX('Market Data'!$T$5:$T$528,$T360))),$E360*INDEX('Market Data'!$T$5:$T$528,$T360)/INDEX('Market Data'!$F$5:$F$528,$T360)-1,"unavailable"),"unavailable"))</f>
        <v/>
      </c>
      <c r="O360" s="9">
        <f>IF($T360=0,"",IF(IF(INDEX('Market Data'!$J$5:$J$528,$T360)=0,0,IF(LEFT(INDEX('Market Data'!$AS$5:$AS$66,INDEX('Market Data'!$J$5:$J$528,$T360)-4),11)="First-month",1,0))=1,"Class ratio review",IF($I360="Bloomberg",IF(ISNUMBER($G360),IF($G360&lt;TODAY(),"Older quote","See quote time"),"Date unavailable"),IF($I360="Snapshot",IF($G360&lt;DATEVALUE("2026-10-02"),"Older snapshot","Dated close"),"No valid quote"))))</f>
        <v/>
      </c>
      <c r="P360" s="14">
        <f>IF($T360=0,"",IF(INDEX('Market Data'!$J$5:$J$528,$T360)=0,"n/a",IF($Q360="Bloomberg",IF(AND(ISNUMBER(INDEX('Market Data'!$AK$5:$AK$66,INDEX('Market Data'!$J$5:$J$528,$T360)-4)),N(INDEX('Market Data'!$AK$5:$AK$66,INDEX('Market Data'!$J$5:$J$528,$T360)-4))&gt;0),INDEX('Market Data'!$AK$5:$AK$66,INDEX('Market Data'!$J$5:$J$528,$T360)-4),"date unavailable"),IF($Q360="Snapshot",IF(AND(ISNUMBER(INDEX('Market Data'!$AF$5:$AF$66,INDEX('Market Data'!$J$5:$J$528,$T360)-4)),N(INDEX('Market Data'!$AF$5:$AF$66,INDEX('Market Data'!$J$5:$J$528,$T360)-4))&gt;0),INDEX('Market Data'!$AF$5:$AF$66,INDEX('Market Data'!$J$5:$J$528,$T360)-4),"date unavailable"),"date unavailable"))))</f>
        <v/>
      </c>
      <c r="Q360" s="15">
        <f>IF($T360=0,"",IF(INDEX('Market Data'!$J$5:$J$528,$T360)=0,"n/a",IF(AND($M$5&lt;&gt;"Snapshot",ISNUMBER(INDEX('Market Data'!$AH$5:$AH$66,INDEX('Market Data'!$J$5:$J$528,$T360)-4)),N(INDEX('Market Data'!$AH$5:$AH$66,INDEX('Market Data'!$J$5:$J$528,$T360)-4))&gt;0),"Bloomberg",IF(AND($M$5&lt;&gt;"Bloomberg",ISNUMBER(INDEX('Market Data'!$AC$5:$AC$66,INDEX('Market Data'!$J$5:$J$528,$T360)-4)),N(INDEX('Market Data'!$AC$5:$AC$66,INDEX('Market Data'!$J$5:$J$528,$T360)-4))&gt;0),"Snapshot","Unavailable"))))</f>
        <v/>
      </c>
      <c r="T360">
        <f>IFERROR(MATCH(352,'Market Data'!$S$5:$S$528,0),0)</f>
        <v/>
      </c>
    </row>
    <row r="361" ht="34" customHeight="1">
      <c r="A361" s="8">
        <f>IF($T361=0,"",IF(INDEX('Market Data'!$A$5:$A$528,$T361)="","",INDEX('Market Data'!$A$5:$A$528,$T361)))</f>
        <v/>
      </c>
      <c r="B361" s="9">
        <f>IF($T361=0,"",IF(INDEX('Market Data'!$B$5:$B$528,$T361)="","",INDEX('Market Data'!$B$5:$B$528,$T361)))</f>
        <v/>
      </c>
      <c r="C361" s="9">
        <f>IF($T361=0,"",IF(INDEX('Market Data'!$C$5:$C$528,$T361)="","",INDEX('Market Data'!$C$5:$C$528,$T361)))</f>
        <v/>
      </c>
      <c r="D361" s="9">
        <f>IF($T361=0,"",IF(INDEX('Market Data'!$D$5:$D$528,$T361)="","",INDEX('Market Data'!$D$5:$D$528,$T361)))</f>
        <v/>
      </c>
      <c r="E361" s="10">
        <f>IF($T361=0,"",INDEX('Market Data'!$O$5:$O$528,$T361))</f>
        <v/>
      </c>
      <c r="F361" s="11">
        <f>IF($T361=0,"",IF(AND($I361="Bloomberg",ISNUMBER(INDEX('Market Data'!$L$5:$L$528,$T361))),INDEX('Market Data'!$L$5:$L$528,$T361),"unavailable"))</f>
        <v/>
      </c>
      <c r="G361" s="12">
        <f>IF($T361=0,"",IF($I361="Bloomberg",IF(AND(ISNUMBER(INDEX('Market Data'!$M$5:$M$528,$T361)),N(INDEX('Market Data'!$M$5:$M$528,$T361))&gt;0),INDEX('Market Data'!$M$5:$M$528,$T361),"date unavailable"),IF($I361="Snapshot",IF(AND(ISNUMBER(INDEX('Market Data'!$H$5:$H$528,$T361)),N(INDEX('Market Data'!$H$5:$H$528,$T361))&gt;0),INDEX('Market Data'!$H$5:$H$528,$T361),"date unavailable"),"date unavailable")))</f>
        <v/>
      </c>
      <c r="H361" s="9">
        <f>IF($T361=0,"",IF($I361="Bloomberg",IF(INDEX('Market Data'!$N$5:$N$528,$T361)="","time unavailable",INDEX('Market Data'!$N$5:$N$528,$T361)),""))</f>
        <v/>
      </c>
      <c r="I361" s="9">
        <f>IF($T361=0,"",INDEX('Market Data'!$P$5:$P$528,$T361))</f>
        <v/>
      </c>
      <c r="J361" s="13">
        <f>IF($T361=0,"",IF(INDEX('Market Data'!$E$5:$E$528,$T361)="","",INDEX('Market Data'!$E$5:$E$528,$T361)))</f>
        <v/>
      </c>
      <c r="K361" s="8">
        <f>IF($T361=0,"",IF(INDEX('Market Data'!$I$5:$I$528,$T361)="","",INDEX('Market Data'!$I$5:$I$528,$T361)))</f>
        <v/>
      </c>
      <c r="L361" s="10">
        <f>IF($T361=0,"",IF(INDEX('Market Data'!$J$5:$J$528,$T361)=0,"n/a",IF(AND($M$5&lt;&gt;"Snapshot",ISNUMBER(INDEX('Market Data'!$AH$5:$AH$66,INDEX('Market Data'!$J$5:$J$528,$T361)-4)),N(INDEX('Market Data'!$AH$5:$AH$66,INDEX('Market Data'!$J$5:$J$528,$T361)-4))&gt;0),INDEX('Market Data'!$AH$5:$AH$66,INDEX('Market Data'!$J$5:$J$528,$T361)-4),IF(AND($M$5&lt;&gt;"Bloomberg",ISNUMBER(INDEX('Market Data'!$AC$5:$AC$66,INDEX('Market Data'!$J$5:$J$528,$T361)-4)),N(INDEX('Market Data'!$AC$5:$AC$66,INDEX('Market Data'!$J$5:$J$528,$T361)-4))&gt;0),INDEX('Market Data'!$AC$5:$AC$66,INDEX('Market Data'!$J$5:$J$528,$T361)-4),"unavailable"))))</f>
        <v/>
      </c>
      <c r="M361" s="11">
        <f>IF($T361=0,"",IF(INDEX('Market Data'!$J$5:$J$528,$T361)=0,"n/a",IF(IF(INDEX('Market Data'!$J$5:$J$528,$T361)=0,0,IF(LEFT(INDEX('Market Data'!$AS$5:$AS$66,INDEX('Market Data'!$J$5:$J$528,$T361)-4),11)="First-month",1,0))=1,"class review",IF($I361="Bloomberg",IF(AND(ISNUMBER(INDEX('Market Data'!$AH$5:$AH$66,INDEX('Market Data'!$J$5:$J$528,$T361)-4)),N(INDEX('Market Data'!$AH$5:$AH$66,INDEX('Market Data'!$J$5:$J$528,$T361)-4))&gt;0,ISNUMBER('Market Data'!$B$1),N('Market Data'!$B$1)&gt;0),INDEX('Market Data'!$AH$5:$AH$66,INDEX('Market Data'!$J$5:$J$528,$T361)-4)*'Market Data'!$B$1/$E361-1,"pending A/FX"),IF(AND($I361="Snapshot",$Q361="Snapshot",ISNUMBER($E361),$G361=INDEX('Market Data'!$AE$5:$AE$66,INDEX('Market Data'!$J$5:$J$528,$T361)-4)),IFERROR(INDEX('Market Data'!$AC$5:$AC$66,INDEX('Market Data'!$J$5:$J$528,$T361)-4)*INDEX('Market Data'!$AD$5:$AD$66,INDEX('Market Data'!$J$5:$J$528,$T361)-4)/$E361-1,"unavailable"),IF($I361="Unavailable","unavailable","date mismatch"))))))</f>
        <v/>
      </c>
      <c r="N361" s="11">
        <f>IF($T361=0,"",IFERROR(IF(AND(N(INDEX('Market Data'!$F$5:$F$528,$T361))&gt;0,ISNUMBER(INDEX('Market Data'!$T$5:$T$528,$T361))),$E361*INDEX('Market Data'!$T$5:$T$528,$T361)/INDEX('Market Data'!$F$5:$F$528,$T361)-1,"unavailable"),"unavailable"))</f>
        <v/>
      </c>
      <c r="O361" s="9">
        <f>IF($T361=0,"",IF(IF(INDEX('Market Data'!$J$5:$J$528,$T361)=0,0,IF(LEFT(INDEX('Market Data'!$AS$5:$AS$66,INDEX('Market Data'!$J$5:$J$528,$T361)-4),11)="First-month",1,0))=1,"Class ratio review",IF($I361="Bloomberg",IF(ISNUMBER($G361),IF($G361&lt;TODAY(),"Older quote","See quote time"),"Date unavailable"),IF($I361="Snapshot",IF($G361&lt;DATEVALUE("2026-10-02"),"Older snapshot","Dated close"),"No valid quote"))))</f>
        <v/>
      </c>
      <c r="P361" s="14">
        <f>IF($T361=0,"",IF(INDEX('Market Data'!$J$5:$J$528,$T361)=0,"n/a",IF($Q361="Bloomberg",IF(AND(ISNUMBER(INDEX('Market Data'!$AK$5:$AK$66,INDEX('Market Data'!$J$5:$J$528,$T361)-4)),N(INDEX('Market Data'!$AK$5:$AK$66,INDEX('Market Data'!$J$5:$J$528,$T361)-4))&gt;0),INDEX('Market Data'!$AK$5:$AK$66,INDEX('Market Data'!$J$5:$J$528,$T361)-4),"date unavailable"),IF($Q361="Snapshot",IF(AND(ISNUMBER(INDEX('Market Data'!$AF$5:$AF$66,INDEX('Market Data'!$J$5:$J$528,$T361)-4)),N(INDEX('Market Data'!$AF$5:$AF$66,INDEX('Market Data'!$J$5:$J$528,$T361)-4))&gt;0),INDEX('Market Data'!$AF$5:$AF$66,INDEX('Market Data'!$J$5:$J$528,$T361)-4),"date unavailable"),"date unavailable"))))</f>
        <v/>
      </c>
      <c r="Q361" s="15">
        <f>IF($T361=0,"",IF(INDEX('Market Data'!$J$5:$J$528,$T361)=0,"n/a",IF(AND($M$5&lt;&gt;"Snapshot",ISNUMBER(INDEX('Market Data'!$AH$5:$AH$66,INDEX('Market Data'!$J$5:$J$528,$T361)-4)),N(INDEX('Market Data'!$AH$5:$AH$66,INDEX('Market Data'!$J$5:$J$528,$T361)-4))&gt;0),"Bloomberg",IF(AND($M$5&lt;&gt;"Bloomberg",ISNUMBER(INDEX('Market Data'!$AC$5:$AC$66,INDEX('Market Data'!$J$5:$J$528,$T361)-4)),N(INDEX('Market Data'!$AC$5:$AC$66,INDEX('Market Data'!$J$5:$J$528,$T361)-4))&gt;0),"Snapshot","Unavailable"))))</f>
        <v/>
      </c>
      <c r="T361">
        <f>IFERROR(MATCH(353,'Market Data'!$S$5:$S$528,0),0)</f>
        <v/>
      </c>
    </row>
    <row r="362" ht="34" customHeight="1">
      <c r="A362" s="8">
        <f>IF($T362=0,"",IF(INDEX('Market Data'!$A$5:$A$528,$T362)="","",INDEX('Market Data'!$A$5:$A$528,$T362)))</f>
        <v/>
      </c>
      <c r="B362" s="9">
        <f>IF($T362=0,"",IF(INDEX('Market Data'!$B$5:$B$528,$T362)="","",INDEX('Market Data'!$B$5:$B$528,$T362)))</f>
        <v/>
      </c>
      <c r="C362" s="9">
        <f>IF($T362=0,"",IF(INDEX('Market Data'!$C$5:$C$528,$T362)="","",INDEX('Market Data'!$C$5:$C$528,$T362)))</f>
        <v/>
      </c>
      <c r="D362" s="9">
        <f>IF($T362=0,"",IF(INDEX('Market Data'!$D$5:$D$528,$T362)="","",INDEX('Market Data'!$D$5:$D$528,$T362)))</f>
        <v/>
      </c>
      <c r="E362" s="10">
        <f>IF($T362=0,"",INDEX('Market Data'!$O$5:$O$528,$T362))</f>
        <v/>
      </c>
      <c r="F362" s="11">
        <f>IF($T362=0,"",IF(AND($I362="Bloomberg",ISNUMBER(INDEX('Market Data'!$L$5:$L$528,$T362))),INDEX('Market Data'!$L$5:$L$528,$T362),"unavailable"))</f>
        <v/>
      </c>
      <c r="G362" s="12">
        <f>IF($T362=0,"",IF($I362="Bloomberg",IF(AND(ISNUMBER(INDEX('Market Data'!$M$5:$M$528,$T362)),N(INDEX('Market Data'!$M$5:$M$528,$T362))&gt;0),INDEX('Market Data'!$M$5:$M$528,$T362),"date unavailable"),IF($I362="Snapshot",IF(AND(ISNUMBER(INDEX('Market Data'!$H$5:$H$528,$T362)),N(INDEX('Market Data'!$H$5:$H$528,$T362))&gt;0),INDEX('Market Data'!$H$5:$H$528,$T362),"date unavailable"),"date unavailable")))</f>
        <v/>
      </c>
      <c r="H362" s="9">
        <f>IF($T362=0,"",IF($I362="Bloomberg",IF(INDEX('Market Data'!$N$5:$N$528,$T362)="","time unavailable",INDEX('Market Data'!$N$5:$N$528,$T362)),""))</f>
        <v/>
      </c>
      <c r="I362" s="9">
        <f>IF($T362=0,"",INDEX('Market Data'!$P$5:$P$528,$T362))</f>
        <v/>
      </c>
      <c r="J362" s="13">
        <f>IF($T362=0,"",IF(INDEX('Market Data'!$E$5:$E$528,$T362)="","",INDEX('Market Data'!$E$5:$E$528,$T362)))</f>
        <v/>
      </c>
      <c r="K362" s="8">
        <f>IF($T362=0,"",IF(INDEX('Market Data'!$I$5:$I$528,$T362)="","",INDEX('Market Data'!$I$5:$I$528,$T362)))</f>
        <v/>
      </c>
      <c r="L362" s="10">
        <f>IF($T362=0,"",IF(INDEX('Market Data'!$J$5:$J$528,$T362)=0,"n/a",IF(AND($M$5&lt;&gt;"Snapshot",ISNUMBER(INDEX('Market Data'!$AH$5:$AH$66,INDEX('Market Data'!$J$5:$J$528,$T362)-4)),N(INDEX('Market Data'!$AH$5:$AH$66,INDEX('Market Data'!$J$5:$J$528,$T362)-4))&gt;0),INDEX('Market Data'!$AH$5:$AH$66,INDEX('Market Data'!$J$5:$J$528,$T362)-4),IF(AND($M$5&lt;&gt;"Bloomberg",ISNUMBER(INDEX('Market Data'!$AC$5:$AC$66,INDEX('Market Data'!$J$5:$J$528,$T362)-4)),N(INDEX('Market Data'!$AC$5:$AC$66,INDEX('Market Data'!$J$5:$J$528,$T362)-4))&gt;0),INDEX('Market Data'!$AC$5:$AC$66,INDEX('Market Data'!$J$5:$J$528,$T362)-4),"unavailable"))))</f>
        <v/>
      </c>
      <c r="M362" s="11">
        <f>IF($T362=0,"",IF(INDEX('Market Data'!$J$5:$J$528,$T362)=0,"n/a",IF(IF(INDEX('Market Data'!$J$5:$J$528,$T362)=0,0,IF(LEFT(INDEX('Market Data'!$AS$5:$AS$66,INDEX('Market Data'!$J$5:$J$528,$T362)-4),11)="First-month",1,0))=1,"class review",IF($I362="Bloomberg",IF(AND(ISNUMBER(INDEX('Market Data'!$AH$5:$AH$66,INDEX('Market Data'!$J$5:$J$528,$T362)-4)),N(INDEX('Market Data'!$AH$5:$AH$66,INDEX('Market Data'!$J$5:$J$528,$T362)-4))&gt;0,ISNUMBER('Market Data'!$B$1),N('Market Data'!$B$1)&gt;0),INDEX('Market Data'!$AH$5:$AH$66,INDEX('Market Data'!$J$5:$J$528,$T362)-4)*'Market Data'!$B$1/$E362-1,"pending A/FX"),IF(AND($I362="Snapshot",$Q362="Snapshot",ISNUMBER($E362),$G362=INDEX('Market Data'!$AE$5:$AE$66,INDEX('Market Data'!$J$5:$J$528,$T362)-4)),IFERROR(INDEX('Market Data'!$AC$5:$AC$66,INDEX('Market Data'!$J$5:$J$528,$T362)-4)*INDEX('Market Data'!$AD$5:$AD$66,INDEX('Market Data'!$J$5:$J$528,$T362)-4)/$E362-1,"unavailable"),IF($I362="Unavailable","unavailable","date mismatch"))))))</f>
        <v/>
      </c>
      <c r="N362" s="11">
        <f>IF($T362=0,"",IFERROR(IF(AND(N(INDEX('Market Data'!$F$5:$F$528,$T362))&gt;0,ISNUMBER(INDEX('Market Data'!$T$5:$T$528,$T362))),$E362*INDEX('Market Data'!$T$5:$T$528,$T362)/INDEX('Market Data'!$F$5:$F$528,$T362)-1,"unavailable"),"unavailable"))</f>
        <v/>
      </c>
      <c r="O362" s="9">
        <f>IF($T362=0,"",IF(IF(INDEX('Market Data'!$J$5:$J$528,$T362)=0,0,IF(LEFT(INDEX('Market Data'!$AS$5:$AS$66,INDEX('Market Data'!$J$5:$J$528,$T362)-4),11)="First-month",1,0))=1,"Class ratio review",IF($I362="Bloomberg",IF(ISNUMBER($G362),IF($G362&lt;TODAY(),"Older quote","See quote time"),"Date unavailable"),IF($I362="Snapshot",IF($G362&lt;DATEVALUE("2026-10-02"),"Older snapshot","Dated close"),"No valid quote"))))</f>
        <v/>
      </c>
      <c r="P362" s="14">
        <f>IF($T362=0,"",IF(INDEX('Market Data'!$J$5:$J$528,$T362)=0,"n/a",IF($Q362="Bloomberg",IF(AND(ISNUMBER(INDEX('Market Data'!$AK$5:$AK$66,INDEX('Market Data'!$J$5:$J$528,$T362)-4)),N(INDEX('Market Data'!$AK$5:$AK$66,INDEX('Market Data'!$J$5:$J$528,$T362)-4))&gt;0),INDEX('Market Data'!$AK$5:$AK$66,INDEX('Market Data'!$J$5:$J$528,$T362)-4),"date unavailable"),IF($Q362="Snapshot",IF(AND(ISNUMBER(INDEX('Market Data'!$AF$5:$AF$66,INDEX('Market Data'!$J$5:$J$528,$T362)-4)),N(INDEX('Market Data'!$AF$5:$AF$66,INDEX('Market Data'!$J$5:$J$528,$T362)-4))&gt;0),INDEX('Market Data'!$AF$5:$AF$66,INDEX('Market Data'!$J$5:$J$528,$T362)-4),"date unavailable"),"date unavailable"))))</f>
        <v/>
      </c>
      <c r="Q362" s="15">
        <f>IF($T362=0,"",IF(INDEX('Market Data'!$J$5:$J$528,$T362)=0,"n/a",IF(AND($M$5&lt;&gt;"Snapshot",ISNUMBER(INDEX('Market Data'!$AH$5:$AH$66,INDEX('Market Data'!$J$5:$J$528,$T362)-4)),N(INDEX('Market Data'!$AH$5:$AH$66,INDEX('Market Data'!$J$5:$J$528,$T362)-4))&gt;0),"Bloomberg",IF(AND($M$5&lt;&gt;"Bloomberg",ISNUMBER(INDEX('Market Data'!$AC$5:$AC$66,INDEX('Market Data'!$J$5:$J$528,$T362)-4)),N(INDEX('Market Data'!$AC$5:$AC$66,INDEX('Market Data'!$J$5:$J$528,$T362)-4))&gt;0),"Snapshot","Unavailable"))))</f>
        <v/>
      </c>
      <c r="T362">
        <f>IFERROR(MATCH(354,'Market Data'!$S$5:$S$528,0),0)</f>
        <v/>
      </c>
    </row>
    <row r="363" ht="34" customHeight="1">
      <c r="A363" s="8">
        <f>IF($T363=0,"",IF(INDEX('Market Data'!$A$5:$A$528,$T363)="","",INDEX('Market Data'!$A$5:$A$528,$T363)))</f>
        <v/>
      </c>
      <c r="B363" s="9">
        <f>IF($T363=0,"",IF(INDEX('Market Data'!$B$5:$B$528,$T363)="","",INDEX('Market Data'!$B$5:$B$528,$T363)))</f>
        <v/>
      </c>
      <c r="C363" s="9">
        <f>IF($T363=0,"",IF(INDEX('Market Data'!$C$5:$C$528,$T363)="","",INDEX('Market Data'!$C$5:$C$528,$T363)))</f>
        <v/>
      </c>
      <c r="D363" s="9">
        <f>IF($T363=0,"",IF(INDEX('Market Data'!$D$5:$D$528,$T363)="","",INDEX('Market Data'!$D$5:$D$528,$T363)))</f>
        <v/>
      </c>
      <c r="E363" s="10">
        <f>IF($T363=0,"",INDEX('Market Data'!$O$5:$O$528,$T363))</f>
        <v/>
      </c>
      <c r="F363" s="11">
        <f>IF($T363=0,"",IF(AND($I363="Bloomberg",ISNUMBER(INDEX('Market Data'!$L$5:$L$528,$T363))),INDEX('Market Data'!$L$5:$L$528,$T363),"unavailable"))</f>
        <v/>
      </c>
      <c r="G363" s="12">
        <f>IF($T363=0,"",IF($I363="Bloomberg",IF(AND(ISNUMBER(INDEX('Market Data'!$M$5:$M$528,$T363)),N(INDEX('Market Data'!$M$5:$M$528,$T363))&gt;0),INDEX('Market Data'!$M$5:$M$528,$T363),"date unavailable"),IF($I363="Snapshot",IF(AND(ISNUMBER(INDEX('Market Data'!$H$5:$H$528,$T363)),N(INDEX('Market Data'!$H$5:$H$528,$T363))&gt;0),INDEX('Market Data'!$H$5:$H$528,$T363),"date unavailable"),"date unavailable")))</f>
        <v/>
      </c>
      <c r="H363" s="9">
        <f>IF($T363=0,"",IF($I363="Bloomberg",IF(INDEX('Market Data'!$N$5:$N$528,$T363)="","time unavailable",INDEX('Market Data'!$N$5:$N$528,$T363)),""))</f>
        <v/>
      </c>
      <c r="I363" s="9">
        <f>IF($T363=0,"",INDEX('Market Data'!$P$5:$P$528,$T363))</f>
        <v/>
      </c>
      <c r="J363" s="13">
        <f>IF($T363=0,"",IF(INDEX('Market Data'!$E$5:$E$528,$T363)="","",INDEX('Market Data'!$E$5:$E$528,$T363)))</f>
        <v/>
      </c>
      <c r="K363" s="8">
        <f>IF($T363=0,"",IF(INDEX('Market Data'!$I$5:$I$528,$T363)="","",INDEX('Market Data'!$I$5:$I$528,$T363)))</f>
        <v/>
      </c>
      <c r="L363" s="10">
        <f>IF($T363=0,"",IF(INDEX('Market Data'!$J$5:$J$528,$T363)=0,"n/a",IF(AND($M$5&lt;&gt;"Snapshot",ISNUMBER(INDEX('Market Data'!$AH$5:$AH$66,INDEX('Market Data'!$J$5:$J$528,$T363)-4)),N(INDEX('Market Data'!$AH$5:$AH$66,INDEX('Market Data'!$J$5:$J$528,$T363)-4))&gt;0),INDEX('Market Data'!$AH$5:$AH$66,INDEX('Market Data'!$J$5:$J$528,$T363)-4),IF(AND($M$5&lt;&gt;"Bloomberg",ISNUMBER(INDEX('Market Data'!$AC$5:$AC$66,INDEX('Market Data'!$J$5:$J$528,$T363)-4)),N(INDEX('Market Data'!$AC$5:$AC$66,INDEX('Market Data'!$J$5:$J$528,$T363)-4))&gt;0),INDEX('Market Data'!$AC$5:$AC$66,INDEX('Market Data'!$J$5:$J$528,$T363)-4),"unavailable"))))</f>
        <v/>
      </c>
      <c r="M363" s="11">
        <f>IF($T363=0,"",IF(INDEX('Market Data'!$J$5:$J$528,$T363)=0,"n/a",IF(IF(INDEX('Market Data'!$J$5:$J$528,$T363)=0,0,IF(LEFT(INDEX('Market Data'!$AS$5:$AS$66,INDEX('Market Data'!$J$5:$J$528,$T363)-4),11)="First-month",1,0))=1,"class review",IF($I363="Bloomberg",IF(AND(ISNUMBER(INDEX('Market Data'!$AH$5:$AH$66,INDEX('Market Data'!$J$5:$J$528,$T363)-4)),N(INDEX('Market Data'!$AH$5:$AH$66,INDEX('Market Data'!$J$5:$J$528,$T363)-4))&gt;0,ISNUMBER('Market Data'!$B$1),N('Market Data'!$B$1)&gt;0),INDEX('Market Data'!$AH$5:$AH$66,INDEX('Market Data'!$J$5:$J$528,$T363)-4)*'Market Data'!$B$1/$E363-1,"pending A/FX"),IF(AND($I363="Snapshot",$Q363="Snapshot",ISNUMBER($E363),$G363=INDEX('Market Data'!$AE$5:$AE$66,INDEX('Market Data'!$J$5:$J$528,$T363)-4)),IFERROR(INDEX('Market Data'!$AC$5:$AC$66,INDEX('Market Data'!$J$5:$J$528,$T363)-4)*INDEX('Market Data'!$AD$5:$AD$66,INDEX('Market Data'!$J$5:$J$528,$T363)-4)/$E363-1,"unavailable"),IF($I363="Unavailable","unavailable","date mismatch"))))))</f>
        <v/>
      </c>
      <c r="N363" s="11">
        <f>IF($T363=0,"",IFERROR(IF(AND(N(INDEX('Market Data'!$F$5:$F$528,$T363))&gt;0,ISNUMBER(INDEX('Market Data'!$T$5:$T$528,$T363))),$E363*INDEX('Market Data'!$T$5:$T$528,$T363)/INDEX('Market Data'!$F$5:$F$528,$T363)-1,"unavailable"),"unavailable"))</f>
        <v/>
      </c>
      <c r="O363" s="9">
        <f>IF($T363=0,"",IF(IF(INDEX('Market Data'!$J$5:$J$528,$T363)=0,0,IF(LEFT(INDEX('Market Data'!$AS$5:$AS$66,INDEX('Market Data'!$J$5:$J$528,$T363)-4),11)="First-month",1,0))=1,"Class ratio review",IF($I363="Bloomberg",IF(ISNUMBER($G363),IF($G363&lt;TODAY(),"Older quote","See quote time"),"Date unavailable"),IF($I363="Snapshot",IF($G363&lt;DATEVALUE("2026-10-02"),"Older snapshot","Dated close"),"No valid quote"))))</f>
        <v/>
      </c>
      <c r="P363" s="14">
        <f>IF($T363=0,"",IF(INDEX('Market Data'!$J$5:$J$528,$T363)=0,"n/a",IF($Q363="Bloomberg",IF(AND(ISNUMBER(INDEX('Market Data'!$AK$5:$AK$66,INDEX('Market Data'!$J$5:$J$528,$T363)-4)),N(INDEX('Market Data'!$AK$5:$AK$66,INDEX('Market Data'!$J$5:$J$528,$T363)-4))&gt;0),INDEX('Market Data'!$AK$5:$AK$66,INDEX('Market Data'!$J$5:$J$528,$T363)-4),"date unavailable"),IF($Q363="Snapshot",IF(AND(ISNUMBER(INDEX('Market Data'!$AF$5:$AF$66,INDEX('Market Data'!$J$5:$J$528,$T363)-4)),N(INDEX('Market Data'!$AF$5:$AF$66,INDEX('Market Data'!$J$5:$J$528,$T363)-4))&gt;0),INDEX('Market Data'!$AF$5:$AF$66,INDEX('Market Data'!$J$5:$J$528,$T363)-4),"date unavailable"),"date unavailable"))))</f>
        <v/>
      </c>
      <c r="Q363" s="15">
        <f>IF($T363=0,"",IF(INDEX('Market Data'!$J$5:$J$528,$T363)=0,"n/a",IF(AND($M$5&lt;&gt;"Snapshot",ISNUMBER(INDEX('Market Data'!$AH$5:$AH$66,INDEX('Market Data'!$J$5:$J$528,$T363)-4)),N(INDEX('Market Data'!$AH$5:$AH$66,INDEX('Market Data'!$J$5:$J$528,$T363)-4))&gt;0),"Bloomberg",IF(AND($M$5&lt;&gt;"Bloomberg",ISNUMBER(INDEX('Market Data'!$AC$5:$AC$66,INDEX('Market Data'!$J$5:$J$528,$T363)-4)),N(INDEX('Market Data'!$AC$5:$AC$66,INDEX('Market Data'!$J$5:$J$528,$T363)-4))&gt;0),"Snapshot","Unavailable"))))</f>
        <v/>
      </c>
      <c r="T363">
        <f>IFERROR(MATCH(355,'Market Data'!$S$5:$S$528,0),0)</f>
        <v/>
      </c>
    </row>
    <row r="364" ht="34" customHeight="1">
      <c r="A364" s="8">
        <f>IF($T364=0,"",IF(INDEX('Market Data'!$A$5:$A$528,$T364)="","",INDEX('Market Data'!$A$5:$A$528,$T364)))</f>
        <v/>
      </c>
      <c r="B364" s="9">
        <f>IF($T364=0,"",IF(INDEX('Market Data'!$B$5:$B$528,$T364)="","",INDEX('Market Data'!$B$5:$B$528,$T364)))</f>
        <v/>
      </c>
      <c r="C364" s="9">
        <f>IF($T364=0,"",IF(INDEX('Market Data'!$C$5:$C$528,$T364)="","",INDEX('Market Data'!$C$5:$C$528,$T364)))</f>
        <v/>
      </c>
      <c r="D364" s="9">
        <f>IF($T364=0,"",IF(INDEX('Market Data'!$D$5:$D$528,$T364)="","",INDEX('Market Data'!$D$5:$D$528,$T364)))</f>
        <v/>
      </c>
      <c r="E364" s="10">
        <f>IF($T364=0,"",INDEX('Market Data'!$O$5:$O$528,$T364))</f>
        <v/>
      </c>
      <c r="F364" s="11">
        <f>IF($T364=0,"",IF(AND($I364="Bloomberg",ISNUMBER(INDEX('Market Data'!$L$5:$L$528,$T364))),INDEX('Market Data'!$L$5:$L$528,$T364),"unavailable"))</f>
        <v/>
      </c>
      <c r="G364" s="12">
        <f>IF($T364=0,"",IF($I364="Bloomberg",IF(AND(ISNUMBER(INDEX('Market Data'!$M$5:$M$528,$T364)),N(INDEX('Market Data'!$M$5:$M$528,$T364))&gt;0),INDEX('Market Data'!$M$5:$M$528,$T364),"date unavailable"),IF($I364="Snapshot",IF(AND(ISNUMBER(INDEX('Market Data'!$H$5:$H$528,$T364)),N(INDEX('Market Data'!$H$5:$H$528,$T364))&gt;0),INDEX('Market Data'!$H$5:$H$528,$T364),"date unavailable"),"date unavailable")))</f>
        <v/>
      </c>
      <c r="H364" s="9">
        <f>IF($T364=0,"",IF($I364="Bloomberg",IF(INDEX('Market Data'!$N$5:$N$528,$T364)="","time unavailable",INDEX('Market Data'!$N$5:$N$528,$T364)),""))</f>
        <v/>
      </c>
      <c r="I364" s="9">
        <f>IF($T364=0,"",INDEX('Market Data'!$P$5:$P$528,$T364))</f>
        <v/>
      </c>
      <c r="J364" s="13">
        <f>IF($T364=0,"",IF(INDEX('Market Data'!$E$5:$E$528,$T364)="","",INDEX('Market Data'!$E$5:$E$528,$T364)))</f>
        <v/>
      </c>
      <c r="K364" s="8">
        <f>IF($T364=0,"",IF(INDEX('Market Data'!$I$5:$I$528,$T364)="","",INDEX('Market Data'!$I$5:$I$528,$T364)))</f>
        <v/>
      </c>
      <c r="L364" s="10">
        <f>IF($T364=0,"",IF(INDEX('Market Data'!$J$5:$J$528,$T364)=0,"n/a",IF(AND($M$5&lt;&gt;"Snapshot",ISNUMBER(INDEX('Market Data'!$AH$5:$AH$66,INDEX('Market Data'!$J$5:$J$528,$T364)-4)),N(INDEX('Market Data'!$AH$5:$AH$66,INDEX('Market Data'!$J$5:$J$528,$T364)-4))&gt;0),INDEX('Market Data'!$AH$5:$AH$66,INDEX('Market Data'!$J$5:$J$528,$T364)-4),IF(AND($M$5&lt;&gt;"Bloomberg",ISNUMBER(INDEX('Market Data'!$AC$5:$AC$66,INDEX('Market Data'!$J$5:$J$528,$T364)-4)),N(INDEX('Market Data'!$AC$5:$AC$66,INDEX('Market Data'!$J$5:$J$528,$T364)-4))&gt;0),INDEX('Market Data'!$AC$5:$AC$66,INDEX('Market Data'!$J$5:$J$528,$T364)-4),"unavailable"))))</f>
        <v/>
      </c>
      <c r="M364" s="11">
        <f>IF($T364=0,"",IF(INDEX('Market Data'!$J$5:$J$528,$T364)=0,"n/a",IF(IF(INDEX('Market Data'!$J$5:$J$528,$T364)=0,0,IF(LEFT(INDEX('Market Data'!$AS$5:$AS$66,INDEX('Market Data'!$J$5:$J$528,$T364)-4),11)="First-month",1,0))=1,"class review",IF($I364="Bloomberg",IF(AND(ISNUMBER(INDEX('Market Data'!$AH$5:$AH$66,INDEX('Market Data'!$J$5:$J$528,$T364)-4)),N(INDEX('Market Data'!$AH$5:$AH$66,INDEX('Market Data'!$J$5:$J$528,$T364)-4))&gt;0,ISNUMBER('Market Data'!$B$1),N('Market Data'!$B$1)&gt;0),INDEX('Market Data'!$AH$5:$AH$66,INDEX('Market Data'!$J$5:$J$528,$T364)-4)*'Market Data'!$B$1/$E364-1,"pending A/FX"),IF(AND($I364="Snapshot",$Q364="Snapshot",ISNUMBER($E364),$G364=INDEX('Market Data'!$AE$5:$AE$66,INDEX('Market Data'!$J$5:$J$528,$T364)-4)),IFERROR(INDEX('Market Data'!$AC$5:$AC$66,INDEX('Market Data'!$J$5:$J$528,$T364)-4)*INDEX('Market Data'!$AD$5:$AD$66,INDEX('Market Data'!$J$5:$J$528,$T364)-4)/$E364-1,"unavailable"),IF($I364="Unavailable","unavailable","date mismatch"))))))</f>
        <v/>
      </c>
      <c r="N364" s="11">
        <f>IF($T364=0,"",IFERROR(IF(AND(N(INDEX('Market Data'!$F$5:$F$528,$T364))&gt;0,ISNUMBER(INDEX('Market Data'!$T$5:$T$528,$T364))),$E364*INDEX('Market Data'!$T$5:$T$528,$T364)/INDEX('Market Data'!$F$5:$F$528,$T364)-1,"unavailable"),"unavailable"))</f>
        <v/>
      </c>
      <c r="O364" s="9">
        <f>IF($T364=0,"",IF(IF(INDEX('Market Data'!$J$5:$J$528,$T364)=0,0,IF(LEFT(INDEX('Market Data'!$AS$5:$AS$66,INDEX('Market Data'!$J$5:$J$528,$T364)-4),11)="First-month",1,0))=1,"Class ratio review",IF($I364="Bloomberg",IF(ISNUMBER($G364),IF($G364&lt;TODAY(),"Older quote","See quote time"),"Date unavailable"),IF($I364="Snapshot",IF($G364&lt;DATEVALUE("2026-10-02"),"Older snapshot","Dated close"),"No valid quote"))))</f>
        <v/>
      </c>
      <c r="P364" s="14">
        <f>IF($T364=0,"",IF(INDEX('Market Data'!$J$5:$J$528,$T364)=0,"n/a",IF($Q364="Bloomberg",IF(AND(ISNUMBER(INDEX('Market Data'!$AK$5:$AK$66,INDEX('Market Data'!$J$5:$J$528,$T364)-4)),N(INDEX('Market Data'!$AK$5:$AK$66,INDEX('Market Data'!$J$5:$J$528,$T364)-4))&gt;0),INDEX('Market Data'!$AK$5:$AK$66,INDEX('Market Data'!$J$5:$J$528,$T364)-4),"date unavailable"),IF($Q364="Snapshot",IF(AND(ISNUMBER(INDEX('Market Data'!$AF$5:$AF$66,INDEX('Market Data'!$J$5:$J$528,$T364)-4)),N(INDEX('Market Data'!$AF$5:$AF$66,INDEX('Market Data'!$J$5:$J$528,$T364)-4))&gt;0),INDEX('Market Data'!$AF$5:$AF$66,INDEX('Market Data'!$J$5:$J$528,$T364)-4),"date unavailable"),"date unavailable"))))</f>
        <v/>
      </c>
      <c r="Q364" s="15">
        <f>IF($T364=0,"",IF(INDEX('Market Data'!$J$5:$J$528,$T364)=0,"n/a",IF(AND($M$5&lt;&gt;"Snapshot",ISNUMBER(INDEX('Market Data'!$AH$5:$AH$66,INDEX('Market Data'!$J$5:$J$528,$T364)-4)),N(INDEX('Market Data'!$AH$5:$AH$66,INDEX('Market Data'!$J$5:$J$528,$T364)-4))&gt;0),"Bloomberg",IF(AND($M$5&lt;&gt;"Bloomberg",ISNUMBER(INDEX('Market Data'!$AC$5:$AC$66,INDEX('Market Data'!$J$5:$J$528,$T364)-4)),N(INDEX('Market Data'!$AC$5:$AC$66,INDEX('Market Data'!$J$5:$J$528,$T364)-4))&gt;0),"Snapshot","Unavailable"))))</f>
        <v/>
      </c>
      <c r="T364">
        <f>IFERROR(MATCH(356,'Market Data'!$S$5:$S$528,0),0)</f>
        <v/>
      </c>
    </row>
    <row r="365" ht="34" customHeight="1">
      <c r="A365" s="8">
        <f>IF($T365=0,"",IF(INDEX('Market Data'!$A$5:$A$528,$T365)="","",INDEX('Market Data'!$A$5:$A$528,$T365)))</f>
        <v/>
      </c>
      <c r="B365" s="9">
        <f>IF($T365=0,"",IF(INDEX('Market Data'!$B$5:$B$528,$T365)="","",INDEX('Market Data'!$B$5:$B$528,$T365)))</f>
        <v/>
      </c>
      <c r="C365" s="9">
        <f>IF($T365=0,"",IF(INDEX('Market Data'!$C$5:$C$528,$T365)="","",INDEX('Market Data'!$C$5:$C$528,$T365)))</f>
        <v/>
      </c>
      <c r="D365" s="9">
        <f>IF($T365=0,"",IF(INDEX('Market Data'!$D$5:$D$528,$T365)="","",INDEX('Market Data'!$D$5:$D$528,$T365)))</f>
        <v/>
      </c>
      <c r="E365" s="10">
        <f>IF($T365=0,"",INDEX('Market Data'!$O$5:$O$528,$T365))</f>
        <v/>
      </c>
      <c r="F365" s="11">
        <f>IF($T365=0,"",IF(AND($I365="Bloomberg",ISNUMBER(INDEX('Market Data'!$L$5:$L$528,$T365))),INDEX('Market Data'!$L$5:$L$528,$T365),"unavailable"))</f>
        <v/>
      </c>
      <c r="G365" s="12">
        <f>IF($T365=0,"",IF($I365="Bloomberg",IF(AND(ISNUMBER(INDEX('Market Data'!$M$5:$M$528,$T365)),N(INDEX('Market Data'!$M$5:$M$528,$T365))&gt;0),INDEX('Market Data'!$M$5:$M$528,$T365),"date unavailable"),IF($I365="Snapshot",IF(AND(ISNUMBER(INDEX('Market Data'!$H$5:$H$528,$T365)),N(INDEX('Market Data'!$H$5:$H$528,$T365))&gt;0),INDEX('Market Data'!$H$5:$H$528,$T365),"date unavailable"),"date unavailable")))</f>
        <v/>
      </c>
      <c r="H365" s="9">
        <f>IF($T365=0,"",IF($I365="Bloomberg",IF(INDEX('Market Data'!$N$5:$N$528,$T365)="","time unavailable",INDEX('Market Data'!$N$5:$N$528,$T365)),""))</f>
        <v/>
      </c>
      <c r="I365" s="9">
        <f>IF($T365=0,"",INDEX('Market Data'!$P$5:$P$528,$T365))</f>
        <v/>
      </c>
      <c r="J365" s="13">
        <f>IF($T365=0,"",IF(INDEX('Market Data'!$E$5:$E$528,$T365)="","",INDEX('Market Data'!$E$5:$E$528,$T365)))</f>
        <v/>
      </c>
      <c r="K365" s="8">
        <f>IF($T365=0,"",IF(INDEX('Market Data'!$I$5:$I$528,$T365)="","",INDEX('Market Data'!$I$5:$I$528,$T365)))</f>
        <v/>
      </c>
      <c r="L365" s="10">
        <f>IF($T365=0,"",IF(INDEX('Market Data'!$J$5:$J$528,$T365)=0,"n/a",IF(AND($M$5&lt;&gt;"Snapshot",ISNUMBER(INDEX('Market Data'!$AH$5:$AH$66,INDEX('Market Data'!$J$5:$J$528,$T365)-4)),N(INDEX('Market Data'!$AH$5:$AH$66,INDEX('Market Data'!$J$5:$J$528,$T365)-4))&gt;0),INDEX('Market Data'!$AH$5:$AH$66,INDEX('Market Data'!$J$5:$J$528,$T365)-4),IF(AND($M$5&lt;&gt;"Bloomberg",ISNUMBER(INDEX('Market Data'!$AC$5:$AC$66,INDEX('Market Data'!$J$5:$J$528,$T365)-4)),N(INDEX('Market Data'!$AC$5:$AC$66,INDEX('Market Data'!$J$5:$J$528,$T365)-4))&gt;0),INDEX('Market Data'!$AC$5:$AC$66,INDEX('Market Data'!$J$5:$J$528,$T365)-4),"unavailable"))))</f>
        <v/>
      </c>
      <c r="M365" s="11">
        <f>IF($T365=0,"",IF(INDEX('Market Data'!$J$5:$J$528,$T365)=0,"n/a",IF(IF(INDEX('Market Data'!$J$5:$J$528,$T365)=0,0,IF(LEFT(INDEX('Market Data'!$AS$5:$AS$66,INDEX('Market Data'!$J$5:$J$528,$T365)-4),11)="First-month",1,0))=1,"class review",IF($I365="Bloomberg",IF(AND(ISNUMBER(INDEX('Market Data'!$AH$5:$AH$66,INDEX('Market Data'!$J$5:$J$528,$T365)-4)),N(INDEX('Market Data'!$AH$5:$AH$66,INDEX('Market Data'!$J$5:$J$528,$T365)-4))&gt;0,ISNUMBER('Market Data'!$B$1),N('Market Data'!$B$1)&gt;0),INDEX('Market Data'!$AH$5:$AH$66,INDEX('Market Data'!$J$5:$J$528,$T365)-4)*'Market Data'!$B$1/$E365-1,"pending A/FX"),IF(AND($I365="Snapshot",$Q365="Snapshot",ISNUMBER($E365),$G365=INDEX('Market Data'!$AE$5:$AE$66,INDEX('Market Data'!$J$5:$J$528,$T365)-4)),IFERROR(INDEX('Market Data'!$AC$5:$AC$66,INDEX('Market Data'!$J$5:$J$528,$T365)-4)*INDEX('Market Data'!$AD$5:$AD$66,INDEX('Market Data'!$J$5:$J$528,$T365)-4)/$E365-1,"unavailable"),IF($I365="Unavailable","unavailable","date mismatch"))))))</f>
        <v/>
      </c>
      <c r="N365" s="11">
        <f>IF($T365=0,"",IFERROR(IF(AND(N(INDEX('Market Data'!$F$5:$F$528,$T365))&gt;0,ISNUMBER(INDEX('Market Data'!$T$5:$T$528,$T365))),$E365*INDEX('Market Data'!$T$5:$T$528,$T365)/INDEX('Market Data'!$F$5:$F$528,$T365)-1,"unavailable"),"unavailable"))</f>
        <v/>
      </c>
      <c r="O365" s="9">
        <f>IF($T365=0,"",IF(IF(INDEX('Market Data'!$J$5:$J$528,$T365)=0,0,IF(LEFT(INDEX('Market Data'!$AS$5:$AS$66,INDEX('Market Data'!$J$5:$J$528,$T365)-4),11)="First-month",1,0))=1,"Class ratio review",IF($I365="Bloomberg",IF(ISNUMBER($G365),IF($G365&lt;TODAY(),"Older quote","See quote time"),"Date unavailable"),IF($I365="Snapshot",IF($G365&lt;DATEVALUE("2026-10-02"),"Older snapshot","Dated close"),"No valid quote"))))</f>
        <v/>
      </c>
      <c r="P365" s="14">
        <f>IF($T365=0,"",IF(INDEX('Market Data'!$J$5:$J$528,$T365)=0,"n/a",IF($Q365="Bloomberg",IF(AND(ISNUMBER(INDEX('Market Data'!$AK$5:$AK$66,INDEX('Market Data'!$J$5:$J$528,$T365)-4)),N(INDEX('Market Data'!$AK$5:$AK$66,INDEX('Market Data'!$J$5:$J$528,$T365)-4))&gt;0),INDEX('Market Data'!$AK$5:$AK$66,INDEX('Market Data'!$J$5:$J$528,$T365)-4),"date unavailable"),IF($Q365="Snapshot",IF(AND(ISNUMBER(INDEX('Market Data'!$AF$5:$AF$66,INDEX('Market Data'!$J$5:$J$528,$T365)-4)),N(INDEX('Market Data'!$AF$5:$AF$66,INDEX('Market Data'!$J$5:$J$528,$T365)-4))&gt;0),INDEX('Market Data'!$AF$5:$AF$66,INDEX('Market Data'!$J$5:$J$528,$T365)-4),"date unavailable"),"date unavailable"))))</f>
        <v/>
      </c>
      <c r="Q365" s="15">
        <f>IF($T365=0,"",IF(INDEX('Market Data'!$J$5:$J$528,$T365)=0,"n/a",IF(AND($M$5&lt;&gt;"Snapshot",ISNUMBER(INDEX('Market Data'!$AH$5:$AH$66,INDEX('Market Data'!$J$5:$J$528,$T365)-4)),N(INDEX('Market Data'!$AH$5:$AH$66,INDEX('Market Data'!$J$5:$J$528,$T365)-4))&gt;0),"Bloomberg",IF(AND($M$5&lt;&gt;"Bloomberg",ISNUMBER(INDEX('Market Data'!$AC$5:$AC$66,INDEX('Market Data'!$J$5:$J$528,$T365)-4)),N(INDEX('Market Data'!$AC$5:$AC$66,INDEX('Market Data'!$J$5:$J$528,$T365)-4))&gt;0),"Snapshot","Unavailable"))))</f>
        <v/>
      </c>
      <c r="T365">
        <f>IFERROR(MATCH(357,'Market Data'!$S$5:$S$528,0),0)</f>
        <v/>
      </c>
    </row>
    <row r="366" ht="34" customHeight="1">
      <c r="A366" s="8">
        <f>IF($T366=0,"",IF(INDEX('Market Data'!$A$5:$A$528,$T366)="","",INDEX('Market Data'!$A$5:$A$528,$T366)))</f>
        <v/>
      </c>
      <c r="B366" s="9">
        <f>IF($T366=0,"",IF(INDEX('Market Data'!$B$5:$B$528,$T366)="","",INDEX('Market Data'!$B$5:$B$528,$T366)))</f>
        <v/>
      </c>
      <c r="C366" s="9">
        <f>IF($T366=0,"",IF(INDEX('Market Data'!$C$5:$C$528,$T366)="","",INDEX('Market Data'!$C$5:$C$528,$T366)))</f>
        <v/>
      </c>
      <c r="D366" s="9">
        <f>IF($T366=0,"",IF(INDEX('Market Data'!$D$5:$D$528,$T366)="","",INDEX('Market Data'!$D$5:$D$528,$T366)))</f>
        <v/>
      </c>
      <c r="E366" s="10">
        <f>IF($T366=0,"",INDEX('Market Data'!$O$5:$O$528,$T366))</f>
        <v/>
      </c>
      <c r="F366" s="11">
        <f>IF($T366=0,"",IF(AND($I366="Bloomberg",ISNUMBER(INDEX('Market Data'!$L$5:$L$528,$T366))),INDEX('Market Data'!$L$5:$L$528,$T366),"unavailable"))</f>
        <v/>
      </c>
      <c r="G366" s="12">
        <f>IF($T366=0,"",IF($I366="Bloomberg",IF(AND(ISNUMBER(INDEX('Market Data'!$M$5:$M$528,$T366)),N(INDEX('Market Data'!$M$5:$M$528,$T366))&gt;0),INDEX('Market Data'!$M$5:$M$528,$T366),"date unavailable"),IF($I366="Snapshot",IF(AND(ISNUMBER(INDEX('Market Data'!$H$5:$H$528,$T366)),N(INDEX('Market Data'!$H$5:$H$528,$T366))&gt;0),INDEX('Market Data'!$H$5:$H$528,$T366),"date unavailable"),"date unavailable")))</f>
        <v/>
      </c>
      <c r="H366" s="9">
        <f>IF($T366=0,"",IF($I366="Bloomberg",IF(INDEX('Market Data'!$N$5:$N$528,$T366)="","time unavailable",INDEX('Market Data'!$N$5:$N$528,$T366)),""))</f>
        <v/>
      </c>
      <c r="I366" s="9">
        <f>IF($T366=0,"",INDEX('Market Data'!$P$5:$P$528,$T366))</f>
        <v/>
      </c>
      <c r="J366" s="13">
        <f>IF($T366=0,"",IF(INDEX('Market Data'!$E$5:$E$528,$T366)="","",INDEX('Market Data'!$E$5:$E$528,$T366)))</f>
        <v/>
      </c>
      <c r="K366" s="8">
        <f>IF($T366=0,"",IF(INDEX('Market Data'!$I$5:$I$528,$T366)="","",INDEX('Market Data'!$I$5:$I$528,$T366)))</f>
        <v/>
      </c>
      <c r="L366" s="10">
        <f>IF($T366=0,"",IF(INDEX('Market Data'!$J$5:$J$528,$T366)=0,"n/a",IF(AND($M$5&lt;&gt;"Snapshot",ISNUMBER(INDEX('Market Data'!$AH$5:$AH$66,INDEX('Market Data'!$J$5:$J$528,$T366)-4)),N(INDEX('Market Data'!$AH$5:$AH$66,INDEX('Market Data'!$J$5:$J$528,$T366)-4))&gt;0),INDEX('Market Data'!$AH$5:$AH$66,INDEX('Market Data'!$J$5:$J$528,$T366)-4),IF(AND($M$5&lt;&gt;"Bloomberg",ISNUMBER(INDEX('Market Data'!$AC$5:$AC$66,INDEX('Market Data'!$J$5:$J$528,$T366)-4)),N(INDEX('Market Data'!$AC$5:$AC$66,INDEX('Market Data'!$J$5:$J$528,$T366)-4))&gt;0),INDEX('Market Data'!$AC$5:$AC$66,INDEX('Market Data'!$J$5:$J$528,$T366)-4),"unavailable"))))</f>
        <v/>
      </c>
      <c r="M366" s="11">
        <f>IF($T366=0,"",IF(INDEX('Market Data'!$J$5:$J$528,$T366)=0,"n/a",IF(IF(INDEX('Market Data'!$J$5:$J$528,$T366)=0,0,IF(LEFT(INDEX('Market Data'!$AS$5:$AS$66,INDEX('Market Data'!$J$5:$J$528,$T366)-4),11)="First-month",1,0))=1,"class review",IF($I366="Bloomberg",IF(AND(ISNUMBER(INDEX('Market Data'!$AH$5:$AH$66,INDEX('Market Data'!$J$5:$J$528,$T366)-4)),N(INDEX('Market Data'!$AH$5:$AH$66,INDEX('Market Data'!$J$5:$J$528,$T366)-4))&gt;0,ISNUMBER('Market Data'!$B$1),N('Market Data'!$B$1)&gt;0),INDEX('Market Data'!$AH$5:$AH$66,INDEX('Market Data'!$J$5:$J$528,$T366)-4)*'Market Data'!$B$1/$E366-1,"pending A/FX"),IF(AND($I366="Snapshot",$Q366="Snapshot",ISNUMBER($E366),$G366=INDEX('Market Data'!$AE$5:$AE$66,INDEX('Market Data'!$J$5:$J$528,$T366)-4)),IFERROR(INDEX('Market Data'!$AC$5:$AC$66,INDEX('Market Data'!$J$5:$J$528,$T366)-4)*INDEX('Market Data'!$AD$5:$AD$66,INDEX('Market Data'!$J$5:$J$528,$T366)-4)/$E366-1,"unavailable"),IF($I366="Unavailable","unavailable","date mismatch"))))))</f>
        <v/>
      </c>
      <c r="N366" s="11">
        <f>IF($T366=0,"",IFERROR(IF(AND(N(INDEX('Market Data'!$F$5:$F$528,$T366))&gt;0,ISNUMBER(INDEX('Market Data'!$T$5:$T$528,$T366))),$E366*INDEX('Market Data'!$T$5:$T$528,$T366)/INDEX('Market Data'!$F$5:$F$528,$T366)-1,"unavailable"),"unavailable"))</f>
        <v/>
      </c>
      <c r="O366" s="9">
        <f>IF($T366=0,"",IF(IF(INDEX('Market Data'!$J$5:$J$528,$T366)=0,0,IF(LEFT(INDEX('Market Data'!$AS$5:$AS$66,INDEX('Market Data'!$J$5:$J$528,$T366)-4),11)="First-month",1,0))=1,"Class ratio review",IF($I366="Bloomberg",IF(ISNUMBER($G366),IF($G366&lt;TODAY(),"Older quote","See quote time"),"Date unavailable"),IF($I366="Snapshot",IF($G366&lt;DATEVALUE("2026-10-02"),"Older snapshot","Dated close"),"No valid quote"))))</f>
        <v/>
      </c>
      <c r="P366" s="14">
        <f>IF($T366=0,"",IF(INDEX('Market Data'!$J$5:$J$528,$T366)=0,"n/a",IF($Q366="Bloomberg",IF(AND(ISNUMBER(INDEX('Market Data'!$AK$5:$AK$66,INDEX('Market Data'!$J$5:$J$528,$T366)-4)),N(INDEX('Market Data'!$AK$5:$AK$66,INDEX('Market Data'!$J$5:$J$528,$T366)-4))&gt;0),INDEX('Market Data'!$AK$5:$AK$66,INDEX('Market Data'!$J$5:$J$528,$T366)-4),"date unavailable"),IF($Q366="Snapshot",IF(AND(ISNUMBER(INDEX('Market Data'!$AF$5:$AF$66,INDEX('Market Data'!$J$5:$J$528,$T366)-4)),N(INDEX('Market Data'!$AF$5:$AF$66,INDEX('Market Data'!$J$5:$J$528,$T366)-4))&gt;0),INDEX('Market Data'!$AF$5:$AF$66,INDEX('Market Data'!$J$5:$J$528,$T366)-4),"date unavailable"),"date unavailable"))))</f>
        <v/>
      </c>
      <c r="Q366" s="15">
        <f>IF($T366=0,"",IF(INDEX('Market Data'!$J$5:$J$528,$T366)=0,"n/a",IF(AND($M$5&lt;&gt;"Snapshot",ISNUMBER(INDEX('Market Data'!$AH$5:$AH$66,INDEX('Market Data'!$J$5:$J$528,$T366)-4)),N(INDEX('Market Data'!$AH$5:$AH$66,INDEX('Market Data'!$J$5:$J$528,$T366)-4))&gt;0),"Bloomberg",IF(AND($M$5&lt;&gt;"Bloomberg",ISNUMBER(INDEX('Market Data'!$AC$5:$AC$66,INDEX('Market Data'!$J$5:$J$528,$T366)-4)),N(INDEX('Market Data'!$AC$5:$AC$66,INDEX('Market Data'!$J$5:$J$528,$T366)-4))&gt;0),"Snapshot","Unavailable"))))</f>
        <v/>
      </c>
      <c r="T366">
        <f>IFERROR(MATCH(358,'Market Data'!$S$5:$S$528,0),0)</f>
        <v/>
      </c>
    </row>
    <row r="367" ht="34" customHeight="1">
      <c r="A367" s="8">
        <f>IF($T367=0,"",IF(INDEX('Market Data'!$A$5:$A$528,$T367)="","",INDEX('Market Data'!$A$5:$A$528,$T367)))</f>
        <v/>
      </c>
      <c r="B367" s="9">
        <f>IF($T367=0,"",IF(INDEX('Market Data'!$B$5:$B$528,$T367)="","",INDEX('Market Data'!$B$5:$B$528,$T367)))</f>
        <v/>
      </c>
      <c r="C367" s="9">
        <f>IF($T367=0,"",IF(INDEX('Market Data'!$C$5:$C$528,$T367)="","",INDEX('Market Data'!$C$5:$C$528,$T367)))</f>
        <v/>
      </c>
      <c r="D367" s="9">
        <f>IF($T367=0,"",IF(INDEX('Market Data'!$D$5:$D$528,$T367)="","",INDEX('Market Data'!$D$5:$D$528,$T367)))</f>
        <v/>
      </c>
      <c r="E367" s="10">
        <f>IF($T367=0,"",INDEX('Market Data'!$O$5:$O$528,$T367))</f>
        <v/>
      </c>
      <c r="F367" s="11">
        <f>IF($T367=0,"",IF(AND($I367="Bloomberg",ISNUMBER(INDEX('Market Data'!$L$5:$L$528,$T367))),INDEX('Market Data'!$L$5:$L$528,$T367),"unavailable"))</f>
        <v/>
      </c>
      <c r="G367" s="12">
        <f>IF($T367=0,"",IF($I367="Bloomberg",IF(AND(ISNUMBER(INDEX('Market Data'!$M$5:$M$528,$T367)),N(INDEX('Market Data'!$M$5:$M$528,$T367))&gt;0),INDEX('Market Data'!$M$5:$M$528,$T367),"date unavailable"),IF($I367="Snapshot",IF(AND(ISNUMBER(INDEX('Market Data'!$H$5:$H$528,$T367)),N(INDEX('Market Data'!$H$5:$H$528,$T367))&gt;0),INDEX('Market Data'!$H$5:$H$528,$T367),"date unavailable"),"date unavailable")))</f>
        <v/>
      </c>
      <c r="H367" s="9">
        <f>IF($T367=0,"",IF($I367="Bloomberg",IF(INDEX('Market Data'!$N$5:$N$528,$T367)="","time unavailable",INDEX('Market Data'!$N$5:$N$528,$T367)),""))</f>
        <v/>
      </c>
      <c r="I367" s="9">
        <f>IF($T367=0,"",INDEX('Market Data'!$P$5:$P$528,$T367))</f>
        <v/>
      </c>
      <c r="J367" s="13">
        <f>IF($T367=0,"",IF(INDEX('Market Data'!$E$5:$E$528,$T367)="","",INDEX('Market Data'!$E$5:$E$528,$T367)))</f>
        <v/>
      </c>
      <c r="K367" s="8">
        <f>IF($T367=0,"",IF(INDEX('Market Data'!$I$5:$I$528,$T367)="","",INDEX('Market Data'!$I$5:$I$528,$T367)))</f>
        <v/>
      </c>
      <c r="L367" s="10">
        <f>IF($T367=0,"",IF(INDEX('Market Data'!$J$5:$J$528,$T367)=0,"n/a",IF(AND($M$5&lt;&gt;"Snapshot",ISNUMBER(INDEX('Market Data'!$AH$5:$AH$66,INDEX('Market Data'!$J$5:$J$528,$T367)-4)),N(INDEX('Market Data'!$AH$5:$AH$66,INDEX('Market Data'!$J$5:$J$528,$T367)-4))&gt;0),INDEX('Market Data'!$AH$5:$AH$66,INDEX('Market Data'!$J$5:$J$528,$T367)-4),IF(AND($M$5&lt;&gt;"Bloomberg",ISNUMBER(INDEX('Market Data'!$AC$5:$AC$66,INDEX('Market Data'!$J$5:$J$528,$T367)-4)),N(INDEX('Market Data'!$AC$5:$AC$66,INDEX('Market Data'!$J$5:$J$528,$T367)-4))&gt;0),INDEX('Market Data'!$AC$5:$AC$66,INDEX('Market Data'!$J$5:$J$528,$T367)-4),"unavailable"))))</f>
        <v/>
      </c>
      <c r="M367" s="11">
        <f>IF($T367=0,"",IF(INDEX('Market Data'!$J$5:$J$528,$T367)=0,"n/a",IF(IF(INDEX('Market Data'!$J$5:$J$528,$T367)=0,0,IF(LEFT(INDEX('Market Data'!$AS$5:$AS$66,INDEX('Market Data'!$J$5:$J$528,$T367)-4),11)="First-month",1,0))=1,"class review",IF($I367="Bloomberg",IF(AND(ISNUMBER(INDEX('Market Data'!$AH$5:$AH$66,INDEX('Market Data'!$J$5:$J$528,$T367)-4)),N(INDEX('Market Data'!$AH$5:$AH$66,INDEX('Market Data'!$J$5:$J$528,$T367)-4))&gt;0,ISNUMBER('Market Data'!$B$1),N('Market Data'!$B$1)&gt;0),INDEX('Market Data'!$AH$5:$AH$66,INDEX('Market Data'!$J$5:$J$528,$T367)-4)*'Market Data'!$B$1/$E367-1,"pending A/FX"),IF(AND($I367="Snapshot",$Q367="Snapshot",ISNUMBER($E367),$G367=INDEX('Market Data'!$AE$5:$AE$66,INDEX('Market Data'!$J$5:$J$528,$T367)-4)),IFERROR(INDEX('Market Data'!$AC$5:$AC$66,INDEX('Market Data'!$J$5:$J$528,$T367)-4)*INDEX('Market Data'!$AD$5:$AD$66,INDEX('Market Data'!$J$5:$J$528,$T367)-4)/$E367-1,"unavailable"),IF($I367="Unavailable","unavailable","date mismatch"))))))</f>
        <v/>
      </c>
      <c r="N367" s="11">
        <f>IF($T367=0,"",IFERROR(IF(AND(N(INDEX('Market Data'!$F$5:$F$528,$T367))&gt;0,ISNUMBER(INDEX('Market Data'!$T$5:$T$528,$T367))),$E367*INDEX('Market Data'!$T$5:$T$528,$T367)/INDEX('Market Data'!$F$5:$F$528,$T367)-1,"unavailable"),"unavailable"))</f>
        <v/>
      </c>
      <c r="O367" s="9">
        <f>IF($T367=0,"",IF(IF(INDEX('Market Data'!$J$5:$J$528,$T367)=0,0,IF(LEFT(INDEX('Market Data'!$AS$5:$AS$66,INDEX('Market Data'!$J$5:$J$528,$T367)-4),11)="First-month",1,0))=1,"Class ratio review",IF($I367="Bloomberg",IF(ISNUMBER($G367),IF($G367&lt;TODAY(),"Older quote","See quote time"),"Date unavailable"),IF($I367="Snapshot",IF($G367&lt;DATEVALUE("2026-10-02"),"Older snapshot","Dated close"),"No valid quote"))))</f>
        <v/>
      </c>
      <c r="P367" s="14">
        <f>IF($T367=0,"",IF(INDEX('Market Data'!$J$5:$J$528,$T367)=0,"n/a",IF($Q367="Bloomberg",IF(AND(ISNUMBER(INDEX('Market Data'!$AK$5:$AK$66,INDEX('Market Data'!$J$5:$J$528,$T367)-4)),N(INDEX('Market Data'!$AK$5:$AK$66,INDEX('Market Data'!$J$5:$J$528,$T367)-4))&gt;0),INDEX('Market Data'!$AK$5:$AK$66,INDEX('Market Data'!$J$5:$J$528,$T367)-4),"date unavailable"),IF($Q367="Snapshot",IF(AND(ISNUMBER(INDEX('Market Data'!$AF$5:$AF$66,INDEX('Market Data'!$J$5:$J$528,$T367)-4)),N(INDEX('Market Data'!$AF$5:$AF$66,INDEX('Market Data'!$J$5:$J$528,$T367)-4))&gt;0),INDEX('Market Data'!$AF$5:$AF$66,INDEX('Market Data'!$J$5:$J$528,$T367)-4),"date unavailable"),"date unavailable"))))</f>
        <v/>
      </c>
      <c r="Q367" s="15">
        <f>IF($T367=0,"",IF(INDEX('Market Data'!$J$5:$J$528,$T367)=0,"n/a",IF(AND($M$5&lt;&gt;"Snapshot",ISNUMBER(INDEX('Market Data'!$AH$5:$AH$66,INDEX('Market Data'!$J$5:$J$528,$T367)-4)),N(INDEX('Market Data'!$AH$5:$AH$66,INDEX('Market Data'!$J$5:$J$528,$T367)-4))&gt;0),"Bloomberg",IF(AND($M$5&lt;&gt;"Bloomberg",ISNUMBER(INDEX('Market Data'!$AC$5:$AC$66,INDEX('Market Data'!$J$5:$J$528,$T367)-4)),N(INDEX('Market Data'!$AC$5:$AC$66,INDEX('Market Data'!$J$5:$J$528,$T367)-4))&gt;0),"Snapshot","Unavailable"))))</f>
        <v/>
      </c>
      <c r="T367">
        <f>IFERROR(MATCH(359,'Market Data'!$S$5:$S$528,0),0)</f>
        <v/>
      </c>
    </row>
    <row r="368" ht="34" customHeight="1">
      <c r="A368" s="8">
        <f>IF($T368=0,"",IF(INDEX('Market Data'!$A$5:$A$528,$T368)="","",INDEX('Market Data'!$A$5:$A$528,$T368)))</f>
        <v/>
      </c>
      <c r="B368" s="9">
        <f>IF($T368=0,"",IF(INDEX('Market Data'!$B$5:$B$528,$T368)="","",INDEX('Market Data'!$B$5:$B$528,$T368)))</f>
        <v/>
      </c>
      <c r="C368" s="9">
        <f>IF($T368=0,"",IF(INDEX('Market Data'!$C$5:$C$528,$T368)="","",INDEX('Market Data'!$C$5:$C$528,$T368)))</f>
        <v/>
      </c>
      <c r="D368" s="9">
        <f>IF($T368=0,"",IF(INDEX('Market Data'!$D$5:$D$528,$T368)="","",INDEX('Market Data'!$D$5:$D$528,$T368)))</f>
        <v/>
      </c>
      <c r="E368" s="10">
        <f>IF($T368=0,"",INDEX('Market Data'!$O$5:$O$528,$T368))</f>
        <v/>
      </c>
      <c r="F368" s="11">
        <f>IF($T368=0,"",IF(AND($I368="Bloomberg",ISNUMBER(INDEX('Market Data'!$L$5:$L$528,$T368))),INDEX('Market Data'!$L$5:$L$528,$T368),"unavailable"))</f>
        <v/>
      </c>
      <c r="G368" s="12">
        <f>IF($T368=0,"",IF($I368="Bloomberg",IF(AND(ISNUMBER(INDEX('Market Data'!$M$5:$M$528,$T368)),N(INDEX('Market Data'!$M$5:$M$528,$T368))&gt;0),INDEX('Market Data'!$M$5:$M$528,$T368),"date unavailable"),IF($I368="Snapshot",IF(AND(ISNUMBER(INDEX('Market Data'!$H$5:$H$528,$T368)),N(INDEX('Market Data'!$H$5:$H$528,$T368))&gt;0),INDEX('Market Data'!$H$5:$H$528,$T368),"date unavailable"),"date unavailable")))</f>
        <v/>
      </c>
      <c r="H368" s="9">
        <f>IF($T368=0,"",IF($I368="Bloomberg",IF(INDEX('Market Data'!$N$5:$N$528,$T368)="","time unavailable",INDEX('Market Data'!$N$5:$N$528,$T368)),""))</f>
        <v/>
      </c>
      <c r="I368" s="9">
        <f>IF($T368=0,"",INDEX('Market Data'!$P$5:$P$528,$T368))</f>
        <v/>
      </c>
      <c r="J368" s="13">
        <f>IF($T368=0,"",IF(INDEX('Market Data'!$E$5:$E$528,$T368)="","",INDEX('Market Data'!$E$5:$E$528,$T368)))</f>
        <v/>
      </c>
      <c r="K368" s="8">
        <f>IF($T368=0,"",IF(INDEX('Market Data'!$I$5:$I$528,$T368)="","",INDEX('Market Data'!$I$5:$I$528,$T368)))</f>
        <v/>
      </c>
      <c r="L368" s="10">
        <f>IF($T368=0,"",IF(INDEX('Market Data'!$J$5:$J$528,$T368)=0,"n/a",IF(AND($M$5&lt;&gt;"Snapshot",ISNUMBER(INDEX('Market Data'!$AH$5:$AH$66,INDEX('Market Data'!$J$5:$J$528,$T368)-4)),N(INDEX('Market Data'!$AH$5:$AH$66,INDEX('Market Data'!$J$5:$J$528,$T368)-4))&gt;0),INDEX('Market Data'!$AH$5:$AH$66,INDEX('Market Data'!$J$5:$J$528,$T368)-4),IF(AND($M$5&lt;&gt;"Bloomberg",ISNUMBER(INDEX('Market Data'!$AC$5:$AC$66,INDEX('Market Data'!$J$5:$J$528,$T368)-4)),N(INDEX('Market Data'!$AC$5:$AC$66,INDEX('Market Data'!$J$5:$J$528,$T368)-4))&gt;0),INDEX('Market Data'!$AC$5:$AC$66,INDEX('Market Data'!$J$5:$J$528,$T368)-4),"unavailable"))))</f>
        <v/>
      </c>
      <c r="M368" s="11">
        <f>IF($T368=0,"",IF(INDEX('Market Data'!$J$5:$J$528,$T368)=0,"n/a",IF(IF(INDEX('Market Data'!$J$5:$J$528,$T368)=0,0,IF(LEFT(INDEX('Market Data'!$AS$5:$AS$66,INDEX('Market Data'!$J$5:$J$528,$T368)-4),11)="First-month",1,0))=1,"class review",IF($I368="Bloomberg",IF(AND(ISNUMBER(INDEX('Market Data'!$AH$5:$AH$66,INDEX('Market Data'!$J$5:$J$528,$T368)-4)),N(INDEX('Market Data'!$AH$5:$AH$66,INDEX('Market Data'!$J$5:$J$528,$T368)-4))&gt;0,ISNUMBER('Market Data'!$B$1),N('Market Data'!$B$1)&gt;0),INDEX('Market Data'!$AH$5:$AH$66,INDEX('Market Data'!$J$5:$J$528,$T368)-4)*'Market Data'!$B$1/$E368-1,"pending A/FX"),IF(AND($I368="Snapshot",$Q368="Snapshot",ISNUMBER($E368),$G368=INDEX('Market Data'!$AE$5:$AE$66,INDEX('Market Data'!$J$5:$J$528,$T368)-4)),IFERROR(INDEX('Market Data'!$AC$5:$AC$66,INDEX('Market Data'!$J$5:$J$528,$T368)-4)*INDEX('Market Data'!$AD$5:$AD$66,INDEX('Market Data'!$J$5:$J$528,$T368)-4)/$E368-1,"unavailable"),IF($I368="Unavailable","unavailable","date mismatch"))))))</f>
        <v/>
      </c>
      <c r="N368" s="11">
        <f>IF($T368=0,"",IFERROR(IF(AND(N(INDEX('Market Data'!$F$5:$F$528,$T368))&gt;0,ISNUMBER(INDEX('Market Data'!$T$5:$T$528,$T368))),$E368*INDEX('Market Data'!$T$5:$T$528,$T368)/INDEX('Market Data'!$F$5:$F$528,$T368)-1,"unavailable"),"unavailable"))</f>
        <v/>
      </c>
      <c r="O368" s="9">
        <f>IF($T368=0,"",IF(IF(INDEX('Market Data'!$J$5:$J$528,$T368)=0,0,IF(LEFT(INDEX('Market Data'!$AS$5:$AS$66,INDEX('Market Data'!$J$5:$J$528,$T368)-4),11)="First-month",1,0))=1,"Class ratio review",IF($I368="Bloomberg",IF(ISNUMBER($G368),IF($G368&lt;TODAY(),"Older quote","See quote time"),"Date unavailable"),IF($I368="Snapshot",IF($G368&lt;DATEVALUE("2026-10-02"),"Older snapshot","Dated close"),"No valid quote"))))</f>
        <v/>
      </c>
      <c r="P368" s="14">
        <f>IF($T368=0,"",IF(INDEX('Market Data'!$J$5:$J$528,$T368)=0,"n/a",IF($Q368="Bloomberg",IF(AND(ISNUMBER(INDEX('Market Data'!$AK$5:$AK$66,INDEX('Market Data'!$J$5:$J$528,$T368)-4)),N(INDEX('Market Data'!$AK$5:$AK$66,INDEX('Market Data'!$J$5:$J$528,$T368)-4))&gt;0),INDEX('Market Data'!$AK$5:$AK$66,INDEX('Market Data'!$J$5:$J$528,$T368)-4),"date unavailable"),IF($Q368="Snapshot",IF(AND(ISNUMBER(INDEX('Market Data'!$AF$5:$AF$66,INDEX('Market Data'!$J$5:$J$528,$T368)-4)),N(INDEX('Market Data'!$AF$5:$AF$66,INDEX('Market Data'!$J$5:$J$528,$T368)-4))&gt;0),INDEX('Market Data'!$AF$5:$AF$66,INDEX('Market Data'!$J$5:$J$528,$T368)-4),"date unavailable"),"date unavailable"))))</f>
        <v/>
      </c>
      <c r="Q368" s="15">
        <f>IF($T368=0,"",IF(INDEX('Market Data'!$J$5:$J$528,$T368)=0,"n/a",IF(AND($M$5&lt;&gt;"Snapshot",ISNUMBER(INDEX('Market Data'!$AH$5:$AH$66,INDEX('Market Data'!$J$5:$J$528,$T368)-4)),N(INDEX('Market Data'!$AH$5:$AH$66,INDEX('Market Data'!$J$5:$J$528,$T368)-4))&gt;0),"Bloomberg",IF(AND($M$5&lt;&gt;"Bloomberg",ISNUMBER(INDEX('Market Data'!$AC$5:$AC$66,INDEX('Market Data'!$J$5:$J$528,$T368)-4)),N(INDEX('Market Data'!$AC$5:$AC$66,INDEX('Market Data'!$J$5:$J$528,$T368)-4))&gt;0),"Snapshot","Unavailable"))))</f>
        <v/>
      </c>
      <c r="T368">
        <f>IFERROR(MATCH(360,'Market Data'!$S$5:$S$528,0),0)</f>
        <v/>
      </c>
    </row>
    <row r="369" ht="34" customHeight="1">
      <c r="A369" s="8">
        <f>IF($T369=0,"",IF(INDEX('Market Data'!$A$5:$A$528,$T369)="","",INDEX('Market Data'!$A$5:$A$528,$T369)))</f>
        <v/>
      </c>
      <c r="B369" s="9">
        <f>IF($T369=0,"",IF(INDEX('Market Data'!$B$5:$B$528,$T369)="","",INDEX('Market Data'!$B$5:$B$528,$T369)))</f>
        <v/>
      </c>
      <c r="C369" s="9">
        <f>IF($T369=0,"",IF(INDEX('Market Data'!$C$5:$C$528,$T369)="","",INDEX('Market Data'!$C$5:$C$528,$T369)))</f>
        <v/>
      </c>
      <c r="D369" s="9">
        <f>IF($T369=0,"",IF(INDEX('Market Data'!$D$5:$D$528,$T369)="","",INDEX('Market Data'!$D$5:$D$528,$T369)))</f>
        <v/>
      </c>
      <c r="E369" s="10">
        <f>IF($T369=0,"",INDEX('Market Data'!$O$5:$O$528,$T369))</f>
        <v/>
      </c>
      <c r="F369" s="11">
        <f>IF($T369=0,"",IF(AND($I369="Bloomberg",ISNUMBER(INDEX('Market Data'!$L$5:$L$528,$T369))),INDEX('Market Data'!$L$5:$L$528,$T369),"unavailable"))</f>
        <v/>
      </c>
      <c r="G369" s="12">
        <f>IF($T369=0,"",IF($I369="Bloomberg",IF(AND(ISNUMBER(INDEX('Market Data'!$M$5:$M$528,$T369)),N(INDEX('Market Data'!$M$5:$M$528,$T369))&gt;0),INDEX('Market Data'!$M$5:$M$528,$T369),"date unavailable"),IF($I369="Snapshot",IF(AND(ISNUMBER(INDEX('Market Data'!$H$5:$H$528,$T369)),N(INDEX('Market Data'!$H$5:$H$528,$T369))&gt;0),INDEX('Market Data'!$H$5:$H$528,$T369),"date unavailable"),"date unavailable")))</f>
        <v/>
      </c>
      <c r="H369" s="9">
        <f>IF($T369=0,"",IF($I369="Bloomberg",IF(INDEX('Market Data'!$N$5:$N$528,$T369)="","time unavailable",INDEX('Market Data'!$N$5:$N$528,$T369)),""))</f>
        <v/>
      </c>
      <c r="I369" s="9">
        <f>IF($T369=0,"",INDEX('Market Data'!$P$5:$P$528,$T369))</f>
        <v/>
      </c>
      <c r="J369" s="13">
        <f>IF($T369=0,"",IF(INDEX('Market Data'!$E$5:$E$528,$T369)="","",INDEX('Market Data'!$E$5:$E$528,$T369)))</f>
        <v/>
      </c>
      <c r="K369" s="8">
        <f>IF($T369=0,"",IF(INDEX('Market Data'!$I$5:$I$528,$T369)="","",INDEX('Market Data'!$I$5:$I$528,$T369)))</f>
        <v/>
      </c>
      <c r="L369" s="10">
        <f>IF($T369=0,"",IF(INDEX('Market Data'!$J$5:$J$528,$T369)=0,"n/a",IF(AND($M$5&lt;&gt;"Snapshot",ISNUMBER(INDEX('Market Data'!$AH$5:$AH$66,INDEX('Market Data'!$J$5:$J$528,$T369)-4)),N(INDEX('Market Data'!$AH$5:$AH$66,INDEX('Market Data'!$J$5:$J$528,$T369)-4))&gt;0),INDEX('Market Data'!$AH$5:$AH$66,INDEX('Market Data'!$J$5:$J$528,$T369)-4),IF(AND($M$5&lt;&gt;"Bloomberg",ISNUMBER(INDEX('Market Data'!$AC$5:$AC$66,INDEX('Market Data'!$J$5:$J$528,$T369)-4)),N(INDEX('Market Data'!$AC$5:$AC$66,INDEX('Market Data'!$J$5:$J$528,$T369)-4))&gt;0),INDEX('Market Data'!$AC$5:$AC$66,INDEX('Market Data'!$J$5:$J$528,$T369)-4),"unavailable"))))</f>
        <v/>
      </c>
      <c r="M369" s="11">
        <f>IF($T369=0,"",IF(INDEX('Market Data'!$J$5:$J$528,$T369)=0,"n/a",IF(IF(INDEX('Market Data'!$J$5:$J$528,$T369)=0,0,IF(LEFT(INDEX('Market Data'!$AS$5:$AS$66,INDEX('Market Data'!$J$5:$J$528,$T369)-4),11)="First-month",1,0))=1,"class review",IF($I369="Bloomberg",IF(AND(ISNUMBER(INDEX('Market Data'!$AH$5:$AH$66,INDEX('Market Data'!$J$5:$J$528,$T369)-4)),N(INDEX('Market Data'!$AH$5:$AH$66,INDEX('Market Data'!$J$5:$J$528,$T369)-4))&gt;0,ISNUMBER('Market Data'!$B$1),N('Market Data'!$B$1)&gt;0),INDEX('Market Data'!$AH$5:$AH$66,INDEX('Market Data'!$J$5:$J$528,$T369)-4)*'Market Data'!$B$1/$E369-1,"pending A/FX"),IF(AND($I369="Snapshot",$Q369="Snapshot",ISNUMBER($E369),$G369=INDEX('Market Data'!$AE$5:$AE$66,INDEX('Market Data'!$J$5:$J$528,$T369)-4)),IFERROR(INDEX('Market Data'!$AC$5:$AC$66,INDEX('Market Data'!$J$5:$J$528,$T369)-4)*INDEX('Market Data'!$AD$5:$AD$66,INDEX('Market Data'!$J$5:$J$528,$T369)-4)/$E369-1,"unavailable"),IF($I369="Unavailable","unavailable","date mismatch"))))))</f>
        <v/>
      </c>
      <c r="N369" s="11">
        <f>IF($T369=0,"",IFERROR(IF(AND(N(INDEX('Market Data'!$F$5:$F$528,$T369))&gt;0,ISNUMBER(INDEX('Market Data'!$T$5:$T$528,$T369))),$E369*INDEX('Market Data'!$T$5:$T$528,$T369)/INDEX('Market Data'!$F$5:$F$528,$T369)-1,"unavailable"),"unavailable"))</f>
        <v/>
      </c>
      <c r="O369" s="9">
        <f>IF($T369=0,"",IF(IF(INDEX('Market Data'!$J$5:$J$528,$T369)=0,0,IF(LEFT(INDEX('Market Data'!$AS$5:$AS$66,INDEX('Market Data'!$J$5:$J$528,$T369)-4),11)="First-month",1,0))=1,"Class ratio review",IF($I369="Bloomberg",IF(ISNUMBER($G369),IF($G369&lt;TODAY(),"Older quote","See quote time"),"Date unavailable"),IF($I369="Snapshot",IF($G369&lt;DATEVALUE("2026-10-02"),"Older snapshot","Dated close"),"No valid quote"))))</f>
        <v/>
      </c>
      <c r="P369" s="14">
        <f>IF($T369=0,"",IF(INDEX('Market Data'!$J$5:$J$528,$T369)=0,"n/a",IF($Q369="Bloomberg",IF(AND(ISNUMBER(INDEX('Market Data'!$AK$5:$AK$66,INDEX('Market Data'!$J$5:$J$528,$T369)-4)),N(INDEX('Market Data'!$AK$5:$AK$66,INDEX('Market Data'!$J$5:$J$528,$T369)-4))&gt;0),INDEX('Market Data'!$AK$5:$AK$66,INDEX('Market Data'!$J$5:$J$528,$T369)-4),"date unavailable"),IF($Q369="Snapshot",IF(AND(ISNUMBER(INDEX('Market Data'!$AF$5:$AF$66,INDEX('Market Data'!$J$5:$J$528,$T369)-4)),N(INDEX('Market Data'!$AF$5:$AF$66,INDEX('Market Data'!$J$5:$J$528,$T369)-4))&gt;0),INDEX('Market Data'!$AF$5:$AF$66,INDEX('Market Data'!$J$5:$J$528,$T369)-4),"date unavailable"),"date unavailable"))))</f>
        <v/>
      </c>
      <c r="Q369" s="15">
        <f>IF($T369=0,"",IF(INDEX('Market Data'!$J$5:$J$528,$T369)=0,"n/a",IF(AND($M$5&lt;&gt;"Snapshot",ISNUMBER(INDEX('Market Data'!$AH$5:$AH$66,INDEX('Market Data'!$J$5:$J$528,$T369)-4)),N(INDEX('Market Data'!$AH$5:$AH$66,INDEX('Market Data'!$J$5:$J$528,$T369)-4))&gt;0),"Bloomberg",IF(AND($M$5&lt;&gt;"Bloomberg",ISNUMBER(INDEX('Market Data'!$AC$5:$AC$66,INDEX('Market Data'!$J$5:$J$528,$T369)-4)),N(INDEX('Market Data'!$AC$5:$AC$66,INDEX('Market Data'!$J$5:$J$528,$T369)-4))&gt;0),"Snapshot","Unavailable"))))</f>
        <v/>
      </c>
      <c r="T369">
        <f>IFERROR(MATCH(361,'Market Data'!$S$5:$S$528,0),0)</f>
        <v/>
      </c>
    </row>
    <row r="370" ht="34" customHeight="1">
      <c r="A370" s="8">
        <f>IF($T370=0,"",IF(INDEX('Market Data'!$A$5:$A$528,$T370)="","",INDEX('Market Data'!$A$5:$A$528,$T370)))</f>
        <v/>
      </c>
      <c r="B370" s="9">
        <f>IF($T370=0,"",IF(INDEX('Market Data'!$B$5:$B$528,$T370)="","",INDEX('Market Data'!$B$5:$B$528,$T370)))</f>
        <v/>
      </c>
      <c r="C370" s="9">
        <f>IF($T370=0,"",IF(INDEX('Market Data'!$C$5:$C$528,$T370)="","",INDEX('Market Data'!$C$5:$C$528,$T370)))</f>
        <v/>
      </c>
      <c r="D370" s="9">
        <f>IF($T370=0,"",IF(INDEX('Market Data'!$D$5:$D$528,$T370)="","",INDEX('Market Data'!$D$5:$D$528,$T370)))</f>
        <v/>
      </c>
      <c r="E370" s="10">
        <f>IF($T370=0,"",INDEX('Market Data'!$O$5:$O$528,$T370))</f>
        <v/>
      </c>
      <c r="F370" s="11">
        <f>IF($T370=0,"",IF(AND($I370="Bloomberg",ISNUMBER(INDEX('Market Data'!$L$5:$L$528,$T370))),INDEX('Market Data'!$L$5:$L$528,$T370),"unavailable"))</f>
        <v/>
      </c>
      <c r="G370" s="12">
        <f>IF($T370=0,"",IF($I370="Bloomberg",IF(AND(ISNUMBER(INDEX('Market Data'!$M$5:$M$528,$T370)),N(INDEX('Market Data'!$M$5:$M$528,$T370))&gt;0),INDEX('Market Data'!$M$5:$M$528,$T370),"date unavailable"),IF($I370="Snapshot",IF(AND(ISNUMBER(INDEX('Market Data'!$H$5:$H$528,$T370)),N(INDEX('Market Data'!$H$5:$H$528,$T370))&gt;0),INDEX('Market Data'!$H$5:$H$528,$T370),"date unavailable"),"date unavailable")))</f>
        <v/>
      </c>
      <c r="H370" s="9">
        <f>IF($T370=0,"",IF($I370="Bloomberg",IF(INDEX('Market Data'!$N$5:$N$528,$T370)="","time unavailable",INDEX('Market Data'!$N$5:$N$528,$T370)),""))</f>
        <v/>
      </c>
      <c r="I370" s="9">
        <f>IF($T370=0,"",INDEX('Market Data'!$P$5:$P$528,$T370))</f>
        <v/>
      </c>
      <c r="J370" s="13">
        <f>IF($T370=0,"",IF(INDEX('Market Data'!$E$5:$E$528,$T370)="","",INDEX('Market Data'!$E$5:$E$528,$T370)))</f>
        <v/>
      </c>
      <c r="K370" s="8">
        <f>IF($T370=0,"",IF(INDEX('Market Data'!$I$5:$I$528,$T370)="","",INDEX('Market Data'!$I$5:$I$528,$T370)))</f>
        <v/>
      </c>
      <c r="L370" s="10">
        <f>IF($T370=0,"",IF(INDEX('Market Data'!$J$5:$J$528,$T370)=0,"n/a",IF(AND($M$5&lt;&gt;"Snapshot",ISNUMBER(INDEX('Market Data'!$AH$5:$AH$66,INDEX('Market Data'!$J$5:$J$528,$T370)-4)),N(INDEX('Market Data'!$AH$5:$AH$66,INDEX('Market Data'!$J$5:$J$528,$T370)-4))&gt;0),INDEX('Market Data'!$AH$5:$AH$66,INDEX('Market Data'!$J$5:$J$528,$T370)-4),IF(AND($M$5&lt;&gt;"Bloomberg",ISNUMBER(INDEX('Market Data'!$AC$5:$AC$66,INDEX('Market Data'!$J$5:$J$528,$T370)-4)),N(INDEX('Market Data'!$AC$5:$AC$66,INDEX('Market Data'!$J$5:$J$528,$T370)-4))&gt;0),INDEX('Market Data'!$AC$5:$AC$66,INDEX('Market Data'!$J$5:$J$528,$T370)-4),"unavailable"))))</f>
        <v/>
      </c>
      <c r="M370" s="11">
        <f>IF($T370=0,"",IF(INDEX('Market Data'!$J$5:$J$528,$T370)=0,"n/a",IF(IF(INDEX('Market Data'!$J$5:$J$528,$T370)=0,0,IF(LEFT(INDEX('Market Data'!$AS$5:$AS$66,INDEX('Market Data'!$J$5:$J$528,$T370)-4),11)="First-month",1,0))=1,"class review",IF($I370="Bloomberg",IF(AND(ISNUMBER(INDEX('Market Data'!$AH$5:$AH$66,INDEX('Market Data'!$J$5:$J$528,$T370)-4)),N(INDEX('Market Data'!$AH$5:$AH$66,INDEX('Market Data'!$J$5:$J$528,$T370)-4))&gt;0,ISNUMBER('Market Data'!$B$1),N('Market Data'!$B$1)&gt;0),INDEX('Market Data'!$AH$5:$AH$66,INDEX('Market Data'!$J$5:$J$528,$T370)-4)*'Market Data'!$B$1/$E370-1,"pending A/FX"),IF(AND($I370="Snapshot",$Q370="Snapshot",ISNUMBER($E370),$G370=INDEX('Market Data'!$AE$5:$AE$66,INDEX('Market Data'!$J$5:$J$528,$T370)-4)),IFERROR(INDEX('Market Data'!$AC$5:$AC$66,INDEX('Market Data'!$J$5:$J$528,$T370)-4)*INDEX('Market Data'!$AD$5:$AD$66,INDEX('Market Data'!$J$5:$J$528,$T370)-4)/$E370-1,"unavailable"),IF($I370="Unavailable","unavailable","date mismatch"))))))</f>
        <v/>
      </c>
      <c r="N370" s="11">
        <f>IF($T370=0,"",IFERROR(IF(AND(N(INDEX('Market Data'!$F$5:$F$528,$T370))&gt;0,ISNUMBER(INDEX('Market Data'!$T$5:$T$528,$T370))),$E370*INDEX('Market Data'!$T$5:$T$528,$T370)/INDEX('Market Data'!$F$5:$F$528,$T370)-1,"unavailable"),"unavailable"))</f>
        <v/>
      </c>
      <c r="O370" s="9">
        <f>IF($T370=0,"",IF(IF(INDEX('Market Data'!$J$5:$J$528,$T370)=0,0,IF(LEFT(INDEX('Market Data'!$AS$5:$AS$66,INDEX('Market Data'!$J$5:$J$528,$T370)-4),11)="First-month",1,0))=1,"Class ratio review",IF($I370="Bloomberg",IF(ISNUMBER($G370),IF($G370&lt;TODAY(),"Older quote","See quote time"),"Date unavailable"),IF($I370="Snapshot",IF($G370&lt;DATEVALUE("2026-10-02"),"Older snapshot","Dated close"),"No valid quote"))))</f>
        <v/>
      </c>
      <c r="P370" s="14">
        <f>IF($T370=0,"",IF(INDEX('Market Data'!$J$5:$J$528,$T370)=0,"n/a",IF($Q370="Bloomberg",IF(AND(ISNUMBER(INDEX('Market Data'!$AK$5:$AK$66,INDEX('Market Data'!$J$5:$J$528,$T370)-4)),N(INDEX('Market Data'!$AK$5:$AK$66,INDEX('Market Data'!$J$5:$J$528,$T370)-4))&gt;0),INDEX('Market Data'!$AK$5:$AK$66,INDEX('Market Data'!$J$5:$J$528,$T370)-4),"date unavailable"),IF($Q370="Snapshot",IF(AND(ISNUMBER(INDEX('Market Data'!$AF$5:$AF$66,INDEX('Market Data'!$J$5:$J$528,$T370)-4)),N(INDEX('Market Data'!$AF$5:$AF$66,INDEX('Market Data'!$J$5:$J$528,$T370)-4))&gt;0),INDEX('Market Data'!$AF$5:$AF$66,INDEX('Market Data'!$J$5:$J$528,$T370)-4),"date unavailable"),"date unavailable"))))</f>
        <v/>
      </c>
      <c r="Q370" s="15">
        <f>IF($T370=0,"",IF(INDEX('Market Data'!$J$5:$J$528,$T370)=0,"n/a",IF(AND($M$5&lt;&gt;"Snapshot",ISNUMBER(INDEX('Market Data'!$AH$5:$AH$66,INDEX('Market Data'!$J$5:$J$528,$T370)-4)),N(INDEX('Market Data'!$AH$5:$AH$66,INDEX('Market Data'!$J$5:$J$528,$T370)-4))&gt;0),"Bloomberg",IF(AND($M$5&lt;&gt;"Bloomberg",ISNUMBER(INDEX('Market Data'!$AC$5:$AC$66,INDEX('Market Data'!$J$5:$J$528,$T370)-4)),N(INDEX('Market Data'!$AC$5:$AC$66,INDEX('Market Data'!$J$5:$J$528,$T370)-4))&gt;0),"Snapshot","Unavailable"))))</f>
        <v/>
      </c>
      <c r="T370">
        <f>IFERROR(MATCH(362,'Market Data'!$S$5:$S$528,0),0)</f>
        <v/>
      </c>
    </row>
    <row r="371" ht="34" customHeight="1">
      <c r="A371" s="8">
        <f>IF($T371=0,"",IF(INDEX('Market Data'!$A$5:$A$528,$T371)="","",INDEX('Market Data'!$A$5:$A$528,$T371)))</f>
        <v/>
      </c>
      <c r="B371" s="9">
        <f>IF($T371=0,"",IF(INDEX('Market Data'!$B$5:$B$528,$T371)="","",INDEX('Market Data'!$B$5:$B$528,$T371)))</f>
        <v/>
      </c>
      <c r="C371" s="9">
        <f>IF($T371=0,"",IF(INDEX('Market Data'!$C$5:$C$528,$T371)="","",INDEX('Market Data'!$C$5:$C$528,$T371)))</f>
        <v/>
      </c>
      <c r="D371" s="9">
        <f>IF($T371=0,"",IF(INDEX('Market Data'!$D$5:$D$528,$T371)="","",INDEX('Market Data'!$D$5:$D$528,$T371)))</f>
        <v/>
      </c>
      <c r="E371" s="10">
        <f>IF($T371=0,"",INDEX('Market Data'!$O$5:$O$528,$T371))</f>
        <v/>
      </c>
      <c r="F371" s="11">
        <f>IF($T371=0,"",IF(AND($I371="Bloomberg",ISNUMBER(INDEX('Market Data'!$L$5:$L$528,$T371))),INDEX('Market Data'!$L$5:$L$528,$T371),"unavailable"))</f>
        <v/>
      </c>
      <c r="G371" s="12">
        <f>IF($T371=0,"",IF($I371="Bloomberg",IF(AND(ISNUMBER(INDEX('Market Data'!$M$5:$M$528,$T371)),N(INDEX('Market Data'!$M$5:$M$528,$T371))&gt;0),INDEX('Market Data'!$M$5:$M$528,$T371),"date unavailable"),IF($I371="Snapshot",IF(AND(ISNUMBER(INDEX('Market Data'!$H$5:$H$528,$T371)),N(INDEX('Market Data'!$H$5:$H$528,$T371))&gt;0),INDEX('Market Data'!$H$5:$H$528,$T371),"date unavailable"),"date unavailable")))</f>
        <v/>
      </c>
      <c r="H371" s="9">
        <f>IF($T371=0,"",IF($I371="Bloomberg",IF(INDEX('Market Data'!$N$5:$N$528,$T371)="","time unavailable",INDEX('Market Data'!$N$5:$N$528,$T371)),""))</f>
        <v/>
      </c>
      <c r="I371" s="9">
        <f>IF($T371=0,"",INDEX('Market Data'!$P$5:$P$528,$T371))</f>
        <v/>
      </c>
      <c r="J371" s="13">
        <f>IF($T371=0,"",IF(INDEX('Market Data'!$E$5:$E$528,$T371)="","",INDEX('Market Data'!$E$5:$E$528,$T371)))</f>
        <v/>
      </c>
      <c r="K371" s="8">
        <f>IF($T371=0,"",IF(INDEX('Market Data'!$I$5:$I$528,$T371)="","",INDEX('Market Data'!$I$5:$I$528,$T371)))</f>
        <v/>
      </c>
      <c r="L371" s="10">
        <f>IF($T371=0,"",IF(INDEX('Market Data'!$J$5:$J$528,$T371)=0,"n/a",IF(AND($M$5&lt;&gt;"Snapshot",ISNUMBER(INDEX('Market Data'!$AH$5:$AH$66,INDEX('Market Data'!$J$5:$J$528,$T371)-4)),N(INDEX('Market Data'!$AH$5:$AH$66,INDEX('Market Data'!$J$5:$J$528,$T371)-4))&gt;0),INDEX('Market Data'!$AH$5:$AH$66,INDEX('Market Data'!$J$5:$J$528,$T371)-4),IF(AND($M$5&lt;&gt;"Bloomberg",ISNUMBER(INDEX('Market Data'!$AC$5:$AC$66,INDEX('Market Data'!$J$5:$J$528,$T371)-4)),N(INDEX('Market Data'!$AC$5:$AC$66,INDEX('Market Data'!$J$5:$J$528,$T371)-4))&gt;0),INDEX('Market Data'!$AC$5:$AC$66,INDEX('Market Data'!$J$5:$J$528,$T371)-4),"unavailable"))))</f>
        <v/>
      </c>
      <c r="M371" s="11">
        <f>IF($T371=0,"",IF(INDEX('Market Data'!$J$5:$J$528,$T371)=0,"n/a",IF(IF(INDEX('Market Data'!$J$5:$J$528,$T371)=0,0,IF(LEFT(INDEX('Market Data'!$AS$5:$AS$66,INDEX('Market Data'!$J$5:$J$528,$T371)-4),11)="First-month",1,0))=1,"class review",IF($I371="Bloomberg",IF(AND(ISNUMBER(INDEX('Market Data'!$AH$5:$AH$66,INDEX('Market Data'!$J$5:$J$528,$T371)-4)),N(INDEX('Market Data'!$AH$5:$AH$66,INDEX('Market Data'!$J$5:$J$528,$T371)-4))&gt;0,ISNUMBER('Market Data'!$B$1),N('Market Data'!$B$1)&gt;0),INDEX('Market Data'!$AH$5:$AH$66,INDEX('Market Data'!$J$5:$J$528,$T371)-4)*'Market Data'!$B$1/$E371-1,"pending A/FX"),IF(AND($I371="Snapshot",$Q371="Snapshot",ISNUMBER($E371),$G371=INDEX('Market Data'!$AE$5:$AE$66,INDEX('Market Data'!$J$5:$J$528,$T371)-4)),IFERROR(INDEX('Market Data'!$AC$5:$AC$66,INDEX('Market Data'!$J$5:$J$528,$T371)-4)*INDEX('Market Data'!$AD$5:$AD$66,INDEX('Market Data'!$J$5:$J$528,$T371)-4)/$E371-1,"unavailable"),IF($I371="Unavailable","unavailable","date mismatch"))))))</f>
        <v/>
      </c>
      <c r="N371" s="11">
        <f>IF($T371=0,"",IFERROR(IF(AND(N(INDEX('Market Data'!$F$5:$F$528,$T371))&gt;0,ISNUMBER(INDEX('Market Data'!$T$5:$T$528,$T371))),$E371*INDEX('Market Data'!$T$5:$T$528,$T371)/INDEX('Market Data'!$F$5:$F$528,$T371)-1,"unavailable"),"unavailable"))</f>
        <v/>
      </c>
      <c r="O371" s="9">
        <f>IF($T371=0,"",IF(IF(INDEX('Market Data'!$J$5:$J$528,$T371)=0,0,IF(LEFT(INDEX('Market Data'!$AS$5:$AS$66,INDEX('Market Data'!$J$5:$J$528,$T371)-4),11)="First-month",1,0))=1,"Class ratio review",IF($I371="Bloomberg",IF(ISNUMBER($G371),IF($G371&lt;TODAY(),"Older quote","See quote time"),"Date unavailable"),IF($I371="Snapshot",IF($G371&lt;DATEVALUE("2026-10-02"),"Older snapshot","Dated close"),"No valid quote"))))</f>
        <v/>
      </c>
      <c r="P371" s="14">
        <f>IF($T371=0,"",IF(INDEX('Market Data'!$J$5:$J$528,$T371)=0,"n/a",IF($Q371="Bloomberg",IF(AND(ISNUMBER(INDEX('Market Data'!$AK$5:$AK$66,INDEX('Market Data'!$J$5:$J$528,$T371)-4)),N(INDEX('Market Data'!$AK$5:$AK$66,INDEX('Market Data'!$J$5:$J$528,$T371)-4))&gt;0),INDEX('Market Data'!$AK$5:$AK$66,INDEX('Market Data'!$J$5:$J$528,$T371)-4),"date unavailable"),IF($Q371="Snapshot",IF(AND(ISNUMBER(INDEX('Market Data'!$AF$5:$AF$66,INDEX('Market Data'!$J$5:$J$528,$T371)-4)),N(INDEX('Market Data'!$AF$5:$AF$66,INDEX('Market Data'!$J$5:$J$528,$T371)-4))&gt;0),INDEX('Market Data'!$AF$5:$AF$66,INDEX('Market Data'!$J$5:$J$528,$T371)-4),"date unavailable"),"date unavailable"))))</f>
        <v/>
      </c>
      <c r="Q371" s="15">
        <f>IF($T371=0,"",IF(INDEX('Market Data'!$J$5:$J$528,$T371)=0,"n/a",IF(AND($M$5&lt;&gt;"Snapshot",ISNUMBER(INDEX('Market Data'!$AH$5:$AH$66,INDEX('Market Data'!$J$5:$J$528,$T371)-4)),N(INDEX('Market Data'!$AH$5:$AH$66,INDEX('Market Data'!$J$5:$J$528,$T371)-4))&gt;0),"Bloomberg",IF(AND($M$5&lt;&gt;"Bloomberg",ISNUMBER(INDEX('Market Data'!$AC$5:$AC$66,INDEX('Market Data'!$J$5:$J$528,$T371)-4)),N(INDEX('Market Data'!$AC$5:$AC$66,INDEX('Market Data'!$J$5:$J$528,$T371)-4))&gt;0),"Snapshot","Unavailable"))))</f>
        <v/>
      </c>
      <c r="T371">
        <f>IFERROR(MATCH(363,'Market Data'!$S$5:$S$528,0),0)</f>
        <v/>
      </c>
    </row>
    <row r="372" ht="34" customHeight="1">
      <c r="A372" s="8">
        <f>IF($T372=0,"",IF(INDEX('Market Data'!$A$5:$A$528,$T372)="","",INDEX('Market Data'!$A$5:$A$528,$T372)))</f>
        <v/>
      </c>
      <c r="B372" s="9">
        <f>IF($T372=0,"",IF(INDEX('Market Data'!$B$5:$B$528,$T372)="","",INDEX('Market Data'!$B$5:$B$528,$T372)))</f>
        <v/>
      </c>
      <c r="C372" s="9">
        <f>IF($T372=0,"",IF(INDEX('Market Data'!$C$5:$C$528,$T372)="","",INDEX('Market Data'!$C$5:$C$528,$T372)))</f>
        <v/>
      </c>
      <c r="D372" s="9">
        <f>IF($T372=0,"",IF(INDEX('Market Data'!$D$5:$D$528,$T372)="","",INDEX('Market Data'!$D$5:$D$528,$T372)))</f>
        <v/>
      </c>
      <c r="E372" s="10">
        <f>IF($T372=0,"",INDEX('Market Data'!$O$5:$O$528,$T372))</f>
        <v/>
      </c>
      <c r="F372" s="11">
        <f>IF($T372=0,"",IF(AND($I372="Bloomberg",ISNUMBER(INDEX('Market Data'!$L$5:$L$528,$T372))),INDEX('Market Data'!$L$5:$L$528,$T372),"unavailable"))</f>
        <v/>
      </c>
      <c r="G372" s="12">
        <f>IF($T372=0,"",IF($I372="Bloomberg",IF(AND(ISNUMBER(INDEX('Market Data'!$M$5:$M$528,$T372)),N(INDEX('Market Data'!$M$5:$M$528,$T372))&gt;0),INDEX('Market Data'!$M$5:$M$528,$T372),"date unavailable"),IF($I372="Snapshot",IF(AND(ISNUMBER(INDEX('Market Data'!$H$5:$H$528,$T372)),N(INDEX('Market Data'!$H$5:$H$528,$T372))&gt;0),INDEX('Market Data'!$H$5:$H$528,$T372),"date unavailable"),"date unavailable")))</f>
        <v/>
      </c>
      <c r="H372" s="9">
        <f>IF($T372=0,"",IF($I372="Bloomberg",IF(INDEX('Market Data'!$N$5:$N$528,$T372)="","time unavailable",INDEX('Market Data'!$N$5:$N$528,$T372)),""))</f>
        <v/>
      </c>
      <c r="I372" s="9">
        <f>IF($T372=0,"",INDEX('Market Data'!$P$5:$P$528,$T372))</f>
        <v/>
      </c>
      <c r="J372" s="13">
        <f>IF($T372=0,"",IF(INDEX('Market Data'!$E$5:$E$528,$T372)="","",INDEX('Market Data'!$E$5:$E$528,$T372)))</f>
        <v/>
      </c>
      <c r="K372" s="8">
        <f>IF($T372=0,"",IF(INDEX('Market Data'!$I$5:$I$528,$T372)="","",INDEX('Market Data'!$I$5:$I$528,$T372)))</f>
        <v/>
      </c>
      <c r="L372" s="10">
        <f>IF($T372=0,"",IF(INDEX('Market Data'!$J$5:$J$528,$T372)=0,"n/a",IF(AND($M$5&lt;&gt;"Snapshot",ISNUMBER(INDEX('Market Data'!$AH$5:$AH$66,INDEX('Market Data'!$J$5:$J$528,$T372)-4)),N(INDEX('Market Data'!$AH$5:$AH$66,INDEX('Market Data'!$J$5:$J$528,$T372)-4))&gt;0),INDEX('Market Data'!$AH$5:$AH$66,INDEX('Market Data'!$J$5:$J$528,$T372)-4),IF(AND($M$5&lt;&gt;"Bloomberg",ISNUMBER(INDEX('Market Data'!$AC$5:$AC$66,INDEX('Market Data'!$J$5:$J$528,$T372)-4)),N(INDEX('Market Data'!$AC$5:$AC$66,INDEX('Market Data'!$J$5:$J$528,$T372)-4))&gt;0),INDEX('Market Data'!$AC$5:$AC$66,INDEX('Market Data'!$J$5:$J$528,$T372)-4),"unavailable"))))</f>
        <v/>
      </c>
      <c r="M372" s="11">
        <f>IF($T372=0,"",IF(INDEX('Market Data'!$J$5:$J$528,$T372)=0,"n/a",IF(IF(INDEX('Market Data'!$J$5:$J$528,$T372)=0,0,IF(LEFT(INDEX('Market Data'!$AS$5:$AS$66,INDEX('Market Data'!$J$5:$J$528,$T372)-4),11)="First-month",1,0))=1,"class review",IF($I372="Bloomberg",IF(AND(ISNUMBER(INDEX('Market Data'!$AH$5:$AH$66,INDEX('Market Data'!$J$5:$J$528,$T372)-4)),N(INDEX('Market Data'!$AH$5:$AH$66,INDEX('Market Data'!$J$5:$J$528,$T372)-4))&gt;0,ISNUMBER('Market Data'!$B$1),N('Market Data'!$B$1)&gt;0),INDEX('Market Data'!$AH$5:$AH$66,INDEX('Market Data'!$J$5:$J$528,$T372)-4)*'Market Data'!$B$1/$E372-1,"pending A/FX"),IF(AND($I372="Snapshot",$Q372="Snapshot",ISNUMBER($E372),$G372=INDEX('Market Data'!$AE$5:$AE$66,INDEX('Market Data'!$J$5:$J$528,$T372)-4)),IFERROR(INDEX('Market Data'!$AC$5:$AC$66,INDEX('Market Data'!$J$5:$J$528,$T372)-4)*INDEX('Market Data'!$AD$5:$AD$66,INDEX('Market Data'!$J$5:$J$528,$T372)-4)/$E372-1,"unavailable"),IF($I372="Unavailable","unavailable","date mismatch"))))))</f>
        <v/>
      </c>
      <c r="N372" s="11">
        <f>IF($T372=0,"",IFERROR(IF(AND(N(INDEX('Market Data'!$F$5:$F$528,$T372))&gt;0,ISNUMBER(INDEX('Market Data'!$T$5:$T$528,$T372))),$E372*INDEX('Market Data'!$T$5:$T$528,$T372)/INDEX('Market Data'!$F$5:$F$528,$T372)-1,"unavailable"),"unavailable"))</f>
        <v/>
      </c>
      <c r="O372" s="9">
        <f>IF($T372=0,"",IF(IF(INDEX('Market Data'!$J$5:$J$528,$T372)=0,0,IF(LEFT(INDEX('Market Data'!$AS$5:$AS$66,INDEX('Market Data'!$J$5:$J$528,$T372)-4),11)="First-month",1,0))=1,"Class ratio review",IF($I372="Bloomberg",IF(ISNUMBER($G372),IF($G372&lt;TODAY(),"Older quote","See quote time"),"Date unavailable"),IF($I372="Snapshot",IF($G372&lt;DATEVALUE("2026-10-02"),"Older snapshot","Dated close"),"No valid quote"))))</f>
        <v/>
      </c>
      <c r="P372" s="14">
        <f>IF($T372=0,"",IF(INDEX('Market Data'!$J$5:$J$528,$T372)=0,"n/a",IF($Q372="Bloomberg",IF(AND(ISNUMBER(INDEX('Market Data'!$AK$5:$AK$66,INDEX('Market Data'!$J$5:$J$528,$T372)-4)),N(INDEX('Market Data'!$AK$5:$AK$66,INDEX('Market Data'!$J$5:$J$528,$T372)-4))&gt;0),INDEX('Market Data'!$AK$5:$AK$66,INDEX('Market Data'!$J$5:$J$528,$T372)-4),"date unavailable"),IF($Q372="Snapshot",IF(AND(ISNUMBER(INDEX('Market Data'!$AF$5:$AF$66,INDEX('Market Data'!$J$5:$J$528,$T372)-4)),N(INDEX('Market Data'!$AF$5:$AF$66,INDEX('Market Data'!$J$5:$J$528,$T372)-4))&gt;0),INDEX('Market Data'!$AF$5:$AF$66,INDEX('Market Data'!$J$5:$J$528,$T372)-4),"date unavailable"),"date unavailable"))))</f>
        <v/>
      </c>
      <c r="Q372" s="15">
        <f>IF($T372=0,"",IF(INDEX('Market Data'!$J$5:$J$528,$T372)=0,"n/a",IF(AND($M$5&lt;&gt;"Snapshot",ISNUMBER(INDEX('Market Data'!$AH$5:$AH$66,INDEX('Market Data'!$J$5:$J$528,$T372)-4)),N(INDEX('Market Data'!$AH$5:$AH$66,INDEX('Market Data'!$J$5:$J$528,$T372)-4))&gt;0),"Bloomberg",IF(AND($M$5&lt;&gt;"Bloomberg",ISNUMBER(INDEX('Market Data'!$AC$5:$AC$66,INDEX('Market Data'!$J$5:$J$528,$T372)-4)),N(INDEX('Market Data'!$AC$5:$AC$66,INDEX('Market Data'!$J$5:$J$528,$T372)-4))&gt;0),"Snapshot","Unavailable"))))</f>
        <v/>
      </c>
      <c r="T372">
        <f>IFERROR(MATCH(364,'Market Data'!$S$5:$S$528,0),0)</f>
        <v/>
      </c>
    </row>
    <row r="373" ht="34" customHeight="1">
      <c r="A373" s="8">
        <f>IF($T373=0,"",IF(INDEX('Market Data'!$A$5:$A$528,$T373)="","",INDEX('Market Data'!$A$5:$A$528,$T373)))</f>
        <v/>
      </c>
      <c r="B373" s="9">
        <f>IF($T373=0,"",IF(INDEX('Market Data'!$B$5:$B$528,$T373)="","",INDEX('Market Data'!$B$5:$B$528,$T373)))</f>
        <v/>
      </c>
      <c r="C373" s="9">
        <f>IF($T373=0,"",IF(INDEX('Market Data'!$C$5:$C$528,$T373)="","",INDEX('Market Data'!$C$5:$C$528,$T373)))</f>
        <v/>
      </c>
      <c r="D373" s="9">
        <f>IF($T373=0,"",IF(INDEX('Market Data'!$D$5:$D$528,$T373)="","",INDEX('Market Data'!$D$5:$D$528,$T373)))</f>
        <v/>
      </c>
      <c r="E373" s="10">
        <f>IF($T373=0,"",INDEX('Market Data'!$O$5:$O$528,$T373))</f>
        <v/>
      </c>
      <c r="F373" s="11">
        <f>IF($T373=0,"",IF(AND($I373="Bloomberg",ISNUMBER(INDEX('Market Data'!$L$5:$L$528,$T373))),INDEX('Market Data'!$L$5:$L$528,$T373),"unavailable"))</f>
        <v/>
      </c>
      <c r="G373" s="12">
        <f>IF($T373=0,"",IF($I373="Bloomberg",IF(AND(ISNUMBER(INDEX('Market Data'!$M$5:$M$528,$T373)),N(INDEX('Market Data'!$M$5:$M$528,$T373))&gt;0),INDEX('Market Data'!$M$5:$M$528,$T373),"date unavailable"),IF($I373="Snapshot",IF(AND(ISNUMBER(INDEX('Market Data'!$H$5:$H$528,$T373)),N(INDEX('Market Data'!$H$5:$H$528,$T373))&gt;0),INDEX('Market Data'!$H$5:$H$528,$T373),"date unavailable"),"date unavailable")))</f>
        <v/>
      </c>
      <c r="H373" s="9">
        <f>IF($T373=0,"",IF($I373="Bloomberg",IF(INDEX('Market Data'!$N$5:$N$528,$T373)="","time unavailable",INDEX('Market Data'!$N$5:$N$528,$T373)),""))</f>
        <v/>
      </c>
      <c r="I373" s="9">
        <f>IF($T373=0,"",INDEX('Market Data'!$P$5:$P$528,$T373))</f>
        <v/>
      </c>
      <c r="J373" s="13">
        <f>IF($T373=0,"",IF(INDEX('Market Data'!$E$5:$E$528,$T373)="","",INDEX('Market Data'!$E$5:$E$528,$T373)))</f>
        <v/>
      </c>
      <c r="K373" s="8">
        <f>IF($T373=0,"",IF(INDEX('Market Data'!$I$5:$I$528,$T373)="","",INDEX('Market Data'!$I$5:$I$528,$T373)))</f>
        <v/>
      </c>
      <c r="L373" s="10">
        <f>IF($T373=0,"",IF(INDEX('Market Data'!$J$5:$J$528,$T373)=0,"n/a",IF(AND($M$5&lt;&gt;"Snapshot",ISNUMBER(INDEX('Market Data'!$AH$5:$AH$66,INDEX('Market Data'!$J$5:$J$528,$T373)-4)),N(INDEX('Market Data'!$AH$5:$AH$66,INDEX('Market Data'!$J$5:$J$528,$T373)-4))&gt;0),INDEX('Market Data'!$AH$5:$AH$66,INDEX('Market Data'!$J$5:$J$528,$T373)-4),IF(AND($M$5&lt;&gt;"Bloomberg",ISNUMBER(INDEX('Market Data'!$AC$5:$AC$66,INDEX('Market Data'!$J$5:$J$528,$T373)-4)),N(INDEX('Market Data'!$AC$5:$AC$66,INDEX('Market Data'!$J$5:$J$528,$T373)-4))&gt;0),INDEX('Market Data'!$AC$5:$AC$66,INDEX('Market Data'!$J$5:$J$528,$T373)-4),"unavailable"))))</f>
        <v/>
      </c>
      <c r="M373" s="11">
        <f>IF($T373=0,"",IF(INDEX('Market Data'!$J$5:$J$528,$T373)=0,"n/a",IF(IF(INDEX('Market Data'!$J$5:$J$528,$T373)=0,0,IF(LEFT(INDEX('Market Data'!$AS$5:$AS$66,INDEX('Market Data'!$J$5:$J$528,$T373)-4),11)="First-month",1,0))=1,"class review",IF($I373="Bloomberg",IF(AND(ISNUMBER(INDEX('Market Data'!$AH$5:$AH$66,INDEX('Market Data'!$J$5:$J$528,$T373)-4)),N(INDEX('Market Data'!$AH$5:$AH$66,INDEX('Market Data'!$J$5:$J$528,$T373)-4))&gt;0,ISNUMBER('Market Data'!$B$1),N('Market Data'!$B$1)&gt;0),INDEX('Market Data'!$AH$5:$AH$66,INDEX('Market Data'!$J$5:$J$528,$T373)-4)*'Market Data'!$B$1/$E373-1,"pending A/FX"),IF(AND($I373="Snapshot",$Q373="Snapshot",ISNUMBER($E373),$G373=INDEX('Market Data'!$AE$5:$AE$66,INDEX('Market Data'!$J$5:$J$528,$T373)-4)),IFERROR(INDEX('Market Data'!$AC$5:$AC$66,INDEX('Market Data'!$J$5:$J$528,$T373)-4)*INDEX('Market Data'!$AD$5:$AD$66,INDEX('Market Data'!$J$5:$J$528,$T373)-4)/$E373-1,"unavailable"),IF($I373="Unavailable","unavailable","date mismatch"))))))</f>
        <v/>
      </c>
      <c r="N373" s="11">
        <f>IF($T373=0,"",IFERROR(IF(AND(N(INDEX('Market Data'!$F$5:$F$528,$T373))&gt;0,ISNUMBER(INDEX('Market Data'!$T$5:$T$528,$T373))),$E373*INDEX('Market Data'!$T$5:$T$528,$T373)/INDEX('Market Data'!$F$5:$F$528,$T373)-1,"unavailable"),"unavailable"))</f>
        <v/>
      </c>
      <c r="O373" s="9">
        <f>IF($T373=0,"",IF(IF(INDEX('Market Data'!$J$5:$J$528,$T373)=0,0,IF(LEFT(INDEX('Market Data'!$AS$5:$AS$66,INDEX('Market Data'!$J$5:$J$528,$T373)-4),11)="First-month",1,0))=1,"Class ratio review",IF($I373="Bloomberg",IF(ISNUMBER($G373),IF($G373&lt;TODAY(),"Older quote","See quote time"),"Date unavailable"),IF($I373="Snapshot",IF($G373&lt;DATEVALUE("2026-10-02"),"Older snapshot","Dated close"),"No valid quote"))))</f>
        <v/>
      </c>
      <c r="P373" s="14">
        <f>IF($T373=0,"",IF(INDEX('Market Data'!$J$5:$J$528,$T373)=0,"n/a",IF($Q373="Bloomberg",IF(AND(ISNUMBER(INDEX('Market Data'!$AK$5:$AK$66,INDEX('Market Data'!$J$5:$J$528,$T373)-4)),N(INDEX('Market Data'!$AK$5:$AK$66,INDEX('Market Data'!$J$5:$J$528,$T373)-4))&gt;0),INDEX('Market Data'!$AK$5:$AK$66,INDEX('Market Data'!$J$5:$J$528,$T373)-4),"date unavailable"),IF($Q373="Snapshot",IF(AND(ISNUMBER(INDEX('Market Data'!$AF$5:$AF$66,INDEX('Market Data'!$J$5:$J$528,$T373)-4)),N(INDEX('Market Data'!$AF$5:$AF$66,INDEX('Market Data'!$J$5:$J$528,$T373)-4))&gt;0),INDEX('Market Data'!$AF$5:$AF$66,INDEX('Market Data'!$J$5:$J$528,$T373)-4),"date unavailable"),"date unavailable"))))</f>
        <v/>
      </c>
      <c r="Q373" s="15">
        <f>IF($T373=0,"",IF(INDEX('Market Data'!$J$5:$J$528,$T373)=0,"n/a",IF(AND($M$5&lt;&gt;"Snapshot",ISNUMBER(INDEX('Market Data'!$AH$5:$AH$66,INDEX('Market Data'!$J$5:$J$528,$T373)-4)),N(INDEX('Market Data'!$AH$5:$AH$66,INDEX('Market Data'!$J$5:$J$528,$T373)-4))&gt;0),"Bloomberg",IF(AND($M$5&lt;&gt;"Bloomberg",ISNUMBER(INDEX('Market Data'!$AC$5:$AC$66,INDEX('Market Data'!$J$5:$J$528,$T373)-4)),N(INDEX('Market Data'!$AC$5:$AC$66,INDEX('Market Data'!$J$5:$J$528,$T373)-4))&gt;0),"Snapshot","Unavailable"))))</f>
        <v/>
      </c>
      <c r="T373">
        <f>IFERROR(MATCH(365,'Market Data'!$S$5:$S$528,0),0)</f>
        <v/>
      </c>
    </row>
    <row r="374" ht="34" customHeight="1">
      <c r="A374" s="8">
        <f>IF($T374=0,"",IF(INDEX('Market Data'!$A$5:$A$528,$T374)="","",INDEX('Market Data'!$A$5:$A$528,$T374)))</f>
        <v/>
      </c>
      <c r="B374" s="9">
        <f>IF($T374=0,"",IF(INDEX('Market Data'!$B$5:$B$528,$T374)="","",INDEX('Market Data'!$B$5:$B$528,$T374)))</f>
        <v/>
      </c>
      <c r="C374" s="9">
        <f>IF($T374=0,"",IF(INDEX('Market Data'!$C$5:$C$528,$T374)="","",INDEX('Market Data'!$C$5:$C$528,$T374)))</f>
        <v/>
      </c>
      <c r="D374" s="9">
        <f>IF($T374=0,"",IF(INDEX('Market Data'!$D$5:$D$528,$T374)="","",INDEX('Market Data'!$D$5:$D$528,$T374)))</f>
        <v/>
      </c>
      <c r="E374" s="10">
        <f>IF($T374=0,"",INDEX('Market Data'!$O$5:$O$528,$T374))</f>
        <v/>
      </c>
      <c r="F374" s="11">
        <f>IF($T374=0,"",IF(AND($I374="Bloomberg",ISNUMBER(INDEX('Market Data'!$L$5:$L$528,$T374))),INDEX('Market Data'!$L$5:$L$528,$T374),"unavailable"))</f>
        <v/>
      </c>
      <c r="G374" s="12">
        <f>IF($T374=0,"",IF($I374="Bloomberg",IF(AND(ISNUMBER(INDEX('Market Data'!$M$5:$M$528,$T374)),N(INDEX('Market Data'!$M$5:$M$528,$T374))&gt;0),INDEX('Market Data'!$M$5:$M$528,$T374),"date unavailable"),IF($I374="Snapshot",IF(AND(ISNUMBER(INDEX('Market Data'!$H$5:$H$528,$T374)),N(INDEX('Market Data'!$H$5:$H$528,$T374))&gt;0),INDEX('Market Data'!$H$5:$H$528,$T374),"date unavailable"),"date unavailable")))</f>
        <v/>
      </c>
      <c r="H374" s="9">
        <f>IF($T374=0,"",IF($I374="Bloomberg",IF(INDEX('Market Data'!$N$5:$N$528,$T374)="","time unavailable",INDEX('Market Data'!$N$5:$N$528,$T374)),""))</f>
        <v/>
      </c>
      <c r="I374" s="9">
        <f>IF($T374=0,"",INDEX('Market Data'!$P$5:$P$528,$T374))</f>
        <v/>
      </c>
      <c r="J374" s="13">
        <f>IF($T374=0,"",IF(INDEX('Market Data'!$E$5:$E$528,$T374)="","",INDEX('Market Data'!$E$5:$E$528,$T374)))</f>
        <v/>
      </c>
      <c r="K374" s="8">
        <f>IF($T374=0,"",IF(INDEX('Market Data'!$I$5:$I$528,$T374)="","",INDEX('Market Data'!$I$5:$I$528,$T374)))</f>
        <v/>
      </c>
      <c r="L374" s="10">
        <f>IF($T374=0,"",IF(INDEX('Market Data'!$J$5:$J$528,$T374)=0,"n/a",IF(AND($M$5&lt;&gt;"Snapshot",ISNUMBER(INDEX('Market Data'!$AH$5:$AH$66,INDEX('Market Data'!$J$5:$J$528,$T374)-4)),N(INDEX('Market Data'!$AH$5:$AH$66,INDEX('Market Data'!$J$5:$J$528,$T374)-4))&gt;0),INDEX('Market Data'!$AH$5:$AH$66,INDEX('Market Data'!$J$5:$J$528,$T374)-4),IF(AND($M$5&lt;&gt;"Bloomberg",ISNUMBER(INDEX('Market Data'!$AC$5:$AC$66,INDEX('Market Data'!$J$5:$J$528,$T374)-4)),N(INDEX('Market Data'!$AC$5:$AC$66,INDEX('Market Data'!$J$5:$J$528,$T374)-4))&gt;0),INDEX('Market Data'!$AC$5:$AC$66,INDEX('Market Data'!$J$5:$J$528,$T374)-4),"unavailable"))))</f>
        <v/>
      </c>
      <c r="M374" s="11">
        <f>IF($T374=0,"",IF(INDEX('Market Data'!$J$5:$J$528,$T374)=0,"n/a",IF(IF(INDEX('Market Data'!$J$5:$J$528,$T374)=0,0,IF(LEFT(INDEX('Market Data'!$AS$5:$AS$66,INDEX('Market Data'!$J$5:$J$528,$T374)-4),11)="First-month",1,0))=1,"class review",IF($I374="Bloomberg",IF(AND(ISNUMBER(INDEX('Market Data'!$AH$5:$AH$66,INDEX('Market Data'!$J$5:$J$528,$T374)-4)),N(INDEX('Market Data'!$AH$5:$AH$66,INDEX('Market Data'!$J$5:$J$528,$T374)-4))&gt;0,ISNUMBER('Market Data'!$B$1),N('Market Data'!$B$1)&gt;0),INDEX('Market Data'!$AH$5:$AH$66,INDEX('Market Data'!$J$5:$J$528,$T374)-4)*'Market Data'!$B$1/$E374-1,"pending A/FX"),IF(AND($I374="Snapshot",$Q374="Snapshot",ISNUMBER($E374),$G374=INDEX('Market Data'!$AE$5:$AE$66,INDEX('Market Data'!$J$5:$J$528,$T374)-4)),IFERROR(INDEX('Market Data'!$AC$5:$AC$66,INDEX('Market Data'!$J$5:$J$528,$T374)-4)*INDEX('Market Data'!$AD$5:$AD$66,INDEX('Market Data'!$J$5:$J$528,$T374)-4)/$E374-1,"unavailable"),IF($I374="Unavailable","unavailable","date mismatch"))))))</f>
        <v/>
      </c>
      <c r="N374" s="11">
        <f>IF($T374=0,"",IFERROR(IF(AND(N(INDEX('Market Data'!$F$5:$F$528,$T374))&gt;0,ISNUMBER(INDEX('Market Data'!$T$5:$T$528,$T374))),$E374*INDEX('Market Data'!$T$5:$T$528,$T374)/INDEX('Market Data'!$F$5:$F$528,$T374)-1,"unavailable"),"unavailable"))</f>
        <v/>
      </c>
      <c r="O374" s="9">
        <f>IF($T374=0,"",IF(IF(INDEX('Market Data'!$J$5:$J$528,$T374)=0,0,IF(LEFT(INDEX('Market Data'!$AS$5:$AS$66,INDEX('Market Data'!$J$5:$J$528,$T374)-4),11)="First-month",1,0))=1,"Class ratio review",IF($I374="Bloomberg",IF(ISNUMBER($G374),IF($G374&lt;TODAY(),"Older quote","See quote time"),"Date unavailable"),IF($I374="Snapshot",IF($G374&lt;DATEVALUE("2026-10-02"),"Older snapshot","Dated close"),"No valid quote"))))</f>
        <v/>
      </c>
      <c r="P374" s="14">
        <f>IF($T374=0,"",IF(INDEX('Market Data'!$J$5:$J$528,$T374)=0,"n/a",IF($Q374="Bloomberg",IF(AND(ISNUMBER(INDEX('Market Data'!$AK$5:$AK$66,INDEX('Market Data'!$J$5:$J$528,$T374)-4)),N(INDEX('Market Data'!$AK$5:$AK$66,INDEX('Market Data'!$J$5:$J$528,$T374)-4))&gt;0),INDEX('Market Data'!$AK$5:$AK$66,INDEX('Market Data'!$J$5:$J$528,$T374)-4),"date unavailable"),IF($Q374="Snapshot",IF(AND(ISNUMBER(INDEX('Market Data'!$AF$5:$AF$66,INDEX('Market Data'!$J$5:$J$528,$T374)-4)),N(INDEX('Market Data'!$AF$5:$AF$66,INDEX('Market Data'!$J$5:$J$528,$T374)-4))&gt;0),INDEX('Market Data'!$AF$5:$AF$66,INDEX('Market Data'!$J$5:$J$528,$T374)-4),"date unavailable"),"date unavailable"))))</f>
        <v/>
      </c>
      <c r="Q374" s="15">
        <f>IF($T374=0,"",IF(INDEX('Market Data'!$J$5:$J$528,$T374)=0,"n/a",IF(AND($M$5&lt;&gt;"Snapshot",ISNUMBER(INDEX('Market Data'!$AH$5:$AH$66,INDEX('Market Data'!$J$5:$J$528,$T374)-4)),N(INDEX('Market Data'!$AH$5:$AH$66,INDEX('Market Data'!$J$5:$J$528,$T374)-4))&gt;0),"Bloomberg",IF(AND($M$5&lt;&gt;"Bloomberg",ISNUMBER(INDEX('Market Data'!$AC$5:$AC$66,INDEX('Market Data'!$J$5:$J$528,$T374)-4)),N(INDEX('Market Data'!$AC$5:$AC$66,INDEX('Market Data'!$J$5:$J$528,$T374)-4))&gt;0),"Snapshot","Unavailable"))))</f>
        <v/>
      </c>
      <c r="T374">
        <f>IFERROR(MATCH(366,'Market Data'!$S$5:$S$528,0),0)</f>
        <v/>
      </c>
    </row>
    <row r="375" ht="34" customHeight="1">
      <c r="A375" s="8">
        <f>IF($T375=0,"",IF(INDEX('Market Data'!$A$5:$A$528,$T375)="","",INDEX('Market Data'!$A$5:$A$528,$T375)))</f>
        <v/>
      </c>
      <c r="B375" s="9">
        <f>IF($T375=0,"",IF(INDEX('Market Data'!$B$5:$B$528,$T375)="","",INDEX('Market Data'!$B$5:$B$528,$T375)))</f>
        <v/>
      </c>
      <c r="C375" s="9">
        <f>IF($T375=0,"",IF(INDEX('Market Data'!$C$5:$C$528,$T375)="","",INDEX('Market Data'!$C$5:$C$528,$T375)))</f>
        <v/>
      </c>
      <c r="D375" s="9">
        <f>IF($T375=0,"",IF(INDEX('Market Data'!$D$5:$D$528,$T375)="","",INDEX('Market Data'!$D$5:$D$528,$T375)))</f>
        <v/>
      </c>
      <c r="E375" s="10">
        <f>IF($T375=0,"",INDEX('Market Data'!$O$5:$O$528,$T375))</f>
        <v/>
      </c>
      <c r="F375" s="11">
        <f>IF($T375=0,"",IF(AND($I375="Bloomberg",ISNUMBER(INDEX('Market Data'!$L$5:$L$528,$T375))),INDEX('Market Data'!$L$5:$L$528,$T375),"unavailable"))</f>
        <v/>
      </c>
      <c r="G375" s="12">
        <f>IF($T375=0,"",IF($I375="Bloomberg",IF(AND(ISNUMBER(INDEX('Market Data'!$M$5:$M$528,$T375)),N(INDEX('Market Data'!$M$5:$M$528,$T375))&gt;0),INDEX('Market Data'!$M$5:$M$528,$T375),"date unavailable"),IF($I375="Snapshot",IF(AND(ISNUMBER(INDEX('Market Data'!$H$5:$H$528,$T375)),N(INDEX('Market Data'!$H$5:$H$528,$T375))&gt;0),INDEX('Market Data'!$H$5:$H$528,$T375),"date unavailable"),"date unavailable")))</f>
        <v/>
      </c>
      <c r="H375" s="9">
        <f>IF($T375=0,"",IF($I375="Bloomberg",IF(INDEX('Market Data'!$N$5:$N$528,$T375)="","time unavailable",INDEX('Market Data'!$N$5:$N$528,$T375)),""))</f>
        <v/>
      </c>
      <c r="I375" s="9">
        <f>IF($T375=0,"",INDEX('Market Data'!$P$5:$P$528,$T375))</f>
        <v/>
      </c>
      <c r="J375" s="13">
        <f>IF($T375=0,"",IF(INDEX('Market Data'!$E$5:$E$528,$T375)="","",INDEX('Market Data'!$E$5:$E$528,$T375)))</f>
        <v/>
      </c>
      <c r="K375" s="8">
        <f>IF($T375=0,"",IF(INDEX('Market Data'!$I$5:$I$528,$T375)="","",INDEX('Market Data'!$I$5:$I$528,$T375)))</f>
        <v/>
      </c>
      <c r="L375" s="10">
        <f>IF($T375=0,"",IF(INDEX('Market Data'!$J$5:$J$528,$T375)=0,"n/a",IF(AND($M$5&lt;&gt;"Snapshot",ISNUMBER(INDEX('Market Data'!$AH$5:$AH$66,INDEX('Market Data'!$J$5:$J$528,$T375)-4)),N(INDEX('Market Data'!$AH$5:$AH$66,INDEX('Market Data'!$J$5:$J$528,$T375)-4))&gt;0),INDEX('Market Data'!$AH$5:$AH$66,INDEX('Market Data'!$J$5:$J$528,$T375)-4),IF(AND($M$5&lt;&gt;"Bloomberg",ISNUMBER(INDEX('Market Data'!$AC$5:$AC$66,INDEX('Market Data'!$J$5:$J$528,$T375)-4)),N(INDEX('Market Data'!$AC$5:$AC$66,INDEX('Market Data'!$J$5:$J$528,$T375)-4))&gt;0),INDEX('Market Data'!$AC$5:$AC$66,INDEX('Market Data'!$J$5:$J$528,$T375)-4),"unavailable"))))</f>
        <v/>
      </c>
      <c r="M375" s="11">
        <f>IF($T375=0,"",IF(INDEX('Market Data'!$J$5:$J$528,$T375)=0,"n/a",IF(IF(INDEX('Market Data'!$J$5:$J$528,$T375)=0,0,IF(LEFT(INDEX('Market Data'!$AS$5:$AS$66,INDEX('Market Data'!$J$5:$J$528,$T375)-4),11)="First-month",1,0))=1,"class review",IF($I375="Bloomberg",IF(AND(ISNUMBER(INDEX('Market Data'!$AH$5:$AH$66,INDEX('Market Data'!$J$5:$J$528,$T375)-4)),N(INDEX('Market Data'!$AH$5:$AH$66,INDEX('Market Data'!$J$5:$J$528,$T375)-4))&gt;0,ISNUMBER('Market Data'!$B$1),N('Market Data'!$B$1)&gt;0),INDEX('Market Data'!$AH$5:$AH$66,INDEX('Market Data'!$J$5:$J$528,$T375)-4)*'Market Data'!$B$1/$E375-1,"pending A/FX"),IF(AND($I375="Snapshot",$Q375="Snapshot",ISNUMBER($E375),$G375=INDEX('Market Data'!$AE$5:$AE$66,INDEX('Market Data'!$J$5:$J$528,$T375)-4)),IFERROR(INDEX('Market Data'!$AC$5:$AC$66,INDEX('Market Data'!$J$5:$J$528,$T375)-4)*INDEX('Market Data'!$AD$5:$AD$66,INDEX('Market Data'!$J$5:$J$528,$T375)-4)/$E375-1,"unavailable"),IF($I375="Unavailable","unavailable","date mismatch"))))))</f>
        <v/>
      </c>
      <c r="N375" s="11">
        <f>IF($T375=0,"",IFERROR(IF(AND(N(INDEX('Market Data'!$F$5:$F$528,$T375))&gt;0,ISNUMBER(INDEX('Market Data'!$T$5:$T$528,$T375))),$E375*INDEX('Market Data'!$T$5:$T$528,$T375)/INDEX('Market Data'!$F$5:$F$528,$T375)-1,"unavailable"),"unavailable"))</f>
        <v/>
      </c>
      <c r="O375" s="9">
        <f>IF($T375=0,"",IF(IF(INDEX('Market Data'!$J$5:$J$528,$T375)=0,0,IF(LEFT(INDEX('Market Data'!$AS$5:$AS$66,INDEX('Market Data'!$J$5:$J$528,$T375)-4),11)="First-month",1,0))=1,"Class ratio review",IF($I375="Bloomberg",IF(ISNUMBER($G375),IF($G375&lt;TODAY(),"Older quote","See quote time"),"Date unavailable"),IF($I375="Snapshot",IF($G375&lt;DATEVALUE("2026-10-02"),"Older snapshot","Dated close"),"No valid quote"))))</f>
        <v/>
      </c>
      <c r="P375" s="14">
        <f>IF($T375=0,"",IF(INDEX('Market Data'!$J$5:$J$528,$T375)=0,"n/a",IF($Q375="Bloomberg",IF(AND(ISNUMBER(INDEX('Market Data'!$AK$5:$AK$66,INDEX('Market Data'!$J$5:$J$528,$T375)-4)),N(INDEX('Market Data'!$AK$5:$AK$66,INDEX('Market Data'!$J$5:$J$528,$T375)-4))&gt;0),INDEX('Market Data'!$AK$5:$AK$66,INDEX('Market Data'!$J$5:$J$528,$T375)-4),"date unavailable"),IF($Q375="Snapshot",IF(AND(ISNUMBER(INDEX('Market Data'!$AF$5:$AF$66,INDEX('Market Data'!$J$5:$J$528,$T375)-4)),N(INDEX('Market Data'!$AF$5:$AF$66,INDEX('Market Data'!$J$5:$J$528,$T375)-4))&gt;0),INDEX('Market Data'!$AF$5:$AF$66,INDEX('Market Data'!$J$5:$J$528,$T375)-4),"date unavailable"),"date unavailable"))))</f>
        <v/>
      </c>
      <c r="Q375" s="15">
        <f>IF($T375=0,"",IF(INDEX('Market Data'!$J$5:$J$528,$T375)=0,"n/a",IF(AND($M$5&lt;&gt;"Snapshot",ISNUMBER(INDEX('Market Data'!$AH$5:$AH$66,INDEX('Market Data'!$J$5:$J$528,$T375)-4)),N(INDEX('Market Data'!$AH$5:$AH$66,INDEX('Market Data'!$J$5:$J$528,$T375)-4))&gt;0),"Bloomberg",IF(AND($M$5&lt;&gt;"Bloomberg",ISNUMBER(INDEX('Market Data'!$AC$5:$AC$66,INDEX('Market Data'!$J$5:$J$528,$T375)-4)),N(INDEX('Market Data'!$AC$5:$AC$66,INDEX('Market Data'!$J$5:$J$528,$T375)-4))&gt;0),"Snapshot","Unavailable"))))</f>
        <v/>
      </c>
      <c r="T375">
        <f>IFERROR(MATCH(367,'Market Data'!$S$5:$S$528,0),0)</f>
        <v/>
      </c>
    </row>
    <row r="376" ht="34" customHeight="1">
      <c r="A376" s="8">
        <f>IF($T376=0,"",IF(INDEX('Market Data'!$A$5:$A$528,$T376)="","",INDEX('Market Data'!$A$5:$A$528,$T376)))</f>
        <v/>
      </c>
      <c r="B376" s="9">
        <f>IF($T376=0,"",IF(INDEX('Market Data'!$B$5:$B$528,$T376)="","",INDEX('Market Data'!$B$5:$B$528,$T376)))</f>
        <v/>
      </c>
      <c r="C376" s="9">
        <f>IF($T376=0,"",IF(INDEX('Market Data'!$C$5:$C$528,$T376)="","",INDEX('Market Data'!$C$5:$C$528,$T376)))</f>
        <v/>
      </c>
      <c r="D376" s="9">
        <f>IF($T376=0,"",IF(INDEX('Market Data'!$D$5:$D$528,$T376)="","",INDEX('Market Data'!$D$5:$D$528,$T376)))</f>
        <v/>
      </c>
      <c r="E376" s="10">
        <f>IF($T376=0,"",INDEX('Market Data'!$O$5:$O$528,$T376))</f>
        <v/>
      </c>
      <c r="F376" s="11">
        <f>IF($T376=0,"",IF(AND($I376="Bloomberg",ISNUMBER(INDEX('Market Data'!$L$5:$L$528,$T376))),INDEX('Market Data'!$L$5:$L$528,$T376),"unavailable"))</f>
        <v/>
      </c>
      <c r="G376" s="12">
        <f>IF($T376=0,"",IF($I376="Bloomberg",IF(AND(ISNUMBER(INDEX('Market Data'!$M$5:$M$528,$T376)),N(INDEX('Market Data'!$M$5:$M$528,$T376))&gt;0),INDEX('Market Data'!$M$5:$M$528,$T376),"date unavailable"),IF($I376="Snapshot",IF(AND(ISNUMBER(INDEX('Market Data'!$H$5:$H$528,$T376)),N(INDEX('Market Data'!$H$5:$H$528,$T376))&gt;0),INDEX('Market Data'!$H$5:$H$528,$T376),"date unavailable"),"date unavailable")))</f>
        <v/>
      </c>
      <c r="H376" s="9">
        <f>IF($T376=0,"",IF($I376="Bloomberg",IF(INDEX('Market Data'!$N$5:$N$528,$T376)="","time unavailable",INDEX('Market Data'!$N$5:$N$528,$T376)),""))</f>
        <v/>
      </c>
      <c r="I376" s="9">
        <f>IF($T376=0,"",INDEX('Market Data'!$P$5:$P$528,$T376))</f>
        <v/>
      </c>
      <c r="J376" s="13">
        <f>IF($T376=0,"",IF(INDEX('Market Data'!$E$5:$E$528,$T376)="","",INDEX('Market Data'!$E$5:$E$528,$T376)))</f>
        <v/>
      </c>
      <c r="K376" s="8">
        <f>IF($T376=0,"",IF(INDEX('Market Data'!$I$5:$I$528,$T376)="","",INDEX('Market Data'!$I$5:$I$528,$T376)))</f>
        <v/>
      </c>
      <c r="L376" s="10">
        <f>IF($T376=0,"",IF(INDEX('Market Data'!$J$5:$J$528,$T376)=0,"n/a",IF(AND($M$5&lt;&gt;"Snapshot",ISNUMBER(INDEX('Market Data'!$AH$5:$AH$66,INDEX('Market Data'!$J$5:$J$528,$T376)-4)),N(INDEX('Market Data'!$AH$5:$AH$66,INDEX('Market Data'!$J$5:$J$528,$T376)-4))&gt;0),INDEX('Market Data'!$AH$5:$AH$66,INDEX('Market Data'!$J$5:$J$528,$T376)-4),IF(AND($M$5&lt;&gt;"Bloomberg",ISNUMBER(INDEX('Market Data'!$AC$5:$AC$66,INDEX('Market Data'!$J$5:$J$528,$T376)-4)),N(INDEX('Market Data'!$AC$5:$AC$66,INDEX('Market Data'!$J$5:$J$528,$T376)-4))&gt;0),INDEX('Market Data'!$AC$5:$AC$66,INDEX('Market Data'!$J$5:$J$528,$T376)-4),"unavailable"))))</f>
        <v/>
      </c>
      <c r="M376" s="11">
        <f>IF($T376=0,"",IF(INDEX('Market Data'!$J$5:$J$528,$T376)=0,"n/a",IF(IF(INDEX('Market Data'!$J$5:$J$528,$T376)=0,0,IF(LEFT(INDEX('Market Data'!$AS$5:$AS$66,INDEX('Market Data'!$J$5:$J$528,$T376)-4),11)="First-month",1,0))=1,"class review",IF($I376="Bloomberg",IF(AND(ISNUMBER(INDEX('Market Data'!$AH$5:$AH$66,INDEX('Market Data'!$J$5:$J$528,$T376)-4)),N(INDEX('Market Data'!$AH$5:$AH$66,INDEX('Market Data'!$J$5:$J$528,$T376)-4))&gt;0,ISNUMBER('Market Data'!$B$1),N('Market Data'!$B$1)&gt;0),INDEX('Market Data'!$AH$5:$AH$66,INDEX('Market Data'!$J$5:$J$528,$T376)-4)*'Market Data'!$B$1/$E376-1,"pending A/FX"),IF(AND($I376="Snapshot",$Q376="Snapshot",ISNUMBER($E376),$G376=INDEX('Market Data'!$AE$5:$AE$66,INDEX('Market Data'!$J$5:$J$528,$T376)-4)),IFERROR(INDEX('Market Data'!$AC$5:$AC$66,INDEX('Market Data'!$J$5:$J$528,$T376)-4)*INDEX('Market Data'!$AD$5:$AD$66,INDEX('Market Data'!$J$5:$J$528,$T376)-4)/$E376-1,"unavailable"),IF($I376="Unavailable","unavailable","date mismatch"))))))</f>
        <v/>
      </c>
      <c r="N376" s="11">
        <f>IF($T376=0,"",IFERROR(IF(AND(N(INDEX('Market Data'!$F$5:$F$528,$T376))&gt;0,ISNUMBER(INDEX('Market Data'!$T$5:$T$528,$T376))),$E376*INDEX('Market Data'!$T$5:$T$528,$T376)/INDEX('Market Data'!$F$5:$F$528,$T376)-1,"unavailable"),"unavailable"))</f>
        <v/>
      </c>
      <c r="O376" s="9">
        <f>IF($T376=0,"",IF(IF(INDEX('Market Data'!$J$5:$J$528,$T376)=0,0,IF(LEFT(INDEX('Market Data'!$AS$5:$AS$66,INDEX('Market Data'!$J$5:$J$528,$T376)-4),11)="First-month",1,0))=1,"Class ratio review",IF($I376="Bloomberg",IF(ISNUMBER($G376),IF($G376&lt;TODAY(),"Older quote","See quote time"),"Date unavailable"),IF($I376="Snapshot",IF($G376&lt;DATEVALUE("2026-10-02"),"Older snapshot","Dated close"),"No valid quote"))))</f>
        <v/>
      </c>
      <c r="P376" s="14">
        <f>IF($T376=0,"",IF(INDEX('Market Data'!$J$5:$J$528,$T376)=0,"n/a",IF($Q376="Bloomberg",IF(AND(ISNUMBER(INDEX('Market Data'!$AK$5:$AK$66,INDEX('Market Data'!$J$5:$J$528,$T376)-4)),N(INDEX('Market Data'!$AK$5:$AK$66,INDEX('Market Data'!$J$5:$J$528,$T376)-4))&gt;0),INDEX('Market Data'!$AK$5:$AK$66,INDEX('Market Data'!$J$5:$J$528,$T376)-4),"date unavailable"),IF($Q376="Snapshot",IF(AND(ISNUMBER(INDEX('Market Data'!$AF$5:$AF$66,INDEX('Market Data'!$J$5:$J$528,$T376)-4)),N(INDEX('Market Data'!$AF$5:$AF$66,INDEX('Market Data'!$J$5:$J$528,$T376)-4))&gt;0),INDEX('Market Data'!$AF$5:$AF$66,INDEX('Market Data'!$J$5:$J$528,$T376)-4),"date unavailable"),"date unavailable"))))</f>
        <v/>
      </c>
      <c r="Q376" s="15">
        <f>IF($T376=0,"",IF(INDEX('Market Data'!$J$5:$J$528,$T376)=0,"n/a",IF(AND($M$5&lt;&gt;"Snapshot",ISNUMBER(INDEX('Market Data'!$AH$5:$AH$66,INDEX('Market Data'!$J$5:$J$528,$T376)-4)),N(INDEX('Market Data'!$AH$5:$AH$66,INDEX('Market Data'!$J$5:$J$528,$T376)-4))&gt;0),"Bloomberg",IF(AND($M$5&lt;&gt;"Bloomberg",ISNUMBER(INDEX('Market Data'!$AC$5:$AC$66,INDEX('Market Data'!$J$5:$J$528,$T376)-4)),N(INDEX('Market Data'!$AC$5:$AC$66,INDEX('Market Data'!$J$5:$J$528,$T376)-4))&gt;0),"Snapshot","Unavailable"))))</f>
        <v/>
      </c>
      <c r="T376">
        <f>IFERROR(MATCH(368,'Market Data'!$S$5:$S$528,0),0)</f>
        <v/>
      </c>
    </row>
    <row r="377" ht="34" customHeight="1">
      <c r="A377" s="8">
        <f>IF($T377=0,"",IF(INDEX('Market Data'!$A$5:$A$528,$T377)="","",INDEX('Market Data'!$A$5:$A$528,$T377)))</f>
        <v/>
      </c>
      <c r="B377" s="9">
        <f>IF($T377=0,"",IF(INDEX('Market Data'!$B$5:$B$528,$T377)="","",INDEX('Market Data'!$B$5:$B$528,$T377)))</f>
        <v/>
      </c>
      <c r="C377" s="9">
        <f>IF($T377=0,"",IF(INDEX('Market Data'!$C$5:$C$528,$T377)="","",INDEX('Market Data'!$C$5:$C$528,$T377)))</f>
        <v/>
      </c>
      <c r="D377" s="9">
        <f>IF($T377=0,"",IF(INDEX('Market Data'!$D$5:$D$528,$T377)="","",INDEX('Market Data'!$D$5:$D$528,$T377)))</f>
        <v/>
      </c>
      <c r="E377" s="10">
        <f>IF($T377=0,"",INDEX('Market Data'!$O$5:$O$528,$T377))</f>
        <v/>
      </c>
      <c r="F377" s="11">
        <f>IF($T377=0,"",IF(AND($I377="Bloomberg",ISNUMBER(INDEX('Market Data'!$L$5:$L$528,$T377))),INDEX('Market Data'!$L$5:$L$528,$T377),"unavailable"))</f>
        <v/>
      </c>
      <c r="G377" s="12">
        <f>IF($T377=0,"",IF($I377="Bloomberg",IF(AND(ISNUMBER(INDEX('Market Data'!$M$5:$M$528,$T377)),N(INDEX('Market Data'!$M$5:$M$528,$T377))&gt;0),INDEX('Market Data'!$M$5:$M$528,$T377),"date unavailable"),IF($I377="Snapshot",IF(AND(ISNUMBER(INDEX('Market Data'!$H$5:$H$528,$T377)),N(INDEX('Market Data'!$H$5:$H$528,$T377))&gt;0),INDEX('Market Data'!$H$5:$H$528,$T377),"date unavailable"),"date unavailable")))</f>
        <v/>
      </c>
      <c r="H377" s="9">
        <f>IF($T377=0,"",IF($I377="Bloomberg",IF(INDEX('Market Data'!$N$5:$N$528,$T377)="","time unavailable",INDEX('Market Data'!$N$5:$N$528,$T377)),""))</f>
        <v/>
      </c>
      <c r="I377" s="9">
        <f>IF($T377=0,"",INDEX('Market Data'!$P$5:$P$528,$T377))</f>
        <v/>
      </c>
      <c r="J377" s="13">
        <f>IF($T377=0,"",IF(INDEX('Market Data'!$E$5:$E$528,$T377)="","",INDEX('Market Data'!$E$5:$E$528,$T377)))</f>
        <v/>
      </c>
      <c r="K377" s="8">
        <f>IF($T377=0,"",IF(INDEX('Market Data'!$I$5:$I$528,$T377)="","",INDEX('Market Data'!$I$5:$I$528,$T377)))</f>
        <v/>
      </c>
      <c r="L377" s="10">
        <f>IF($T377=0,"",IF(INDEX('Market Data'!$J$5:$J$528,$T377)=0,"n/a",IF(AND($M$5&lt;&gt;"Snapshot",ISNUMBER(INDEX('Market Data'!$AH$5:$AH$66,INDEX('Market Data'!$J$5:$J$528,$T377)-4)),N(INDEX('Market Data'!$AH$5:$AH$66,INDEX('Market Data'!$J$5:$J$528,$T377)-4))&gt;0),INDEX('Market Data'!$AH$5:$AH$66,INDEX('Market Data'!$J$5:$J$528,$T377)-4),IF(AND($M$5&lt;&gt;"Bloomberg",ISNUMBER(INDEX('Market Data'!$AC$5:$AC$66,INDEX('Market Data'!$J$5:$J$528,$T377)-4)),N(INDEX('Market Data'!$AC$5:$AC$66,INDEX('Market Data'!$J$5:$J$528,$T377)-4))&gt;0),INDEX('Market Data'!$AC$5:$AC$66,INDEX('Market Data'!$J$5:$J$528,$T377)-4),"unavailable"))))</f>
        <v/>
      </c>
      <c r="M377" s="11">
        <f>IF($T377=0,"",IF(INDEX('Market Data'!$J$5:$J$528,$T377)=0,"n/a",IF(IF(INDEX('Market Data'!$J$5:$J$528,$T377)=0,0,IF(LEFT(INDEX('Market Data'!$AS$5:$AS$66,INDEX('Market Data'!$J$5:$J$528,$T377)-4),11)="First-month",1,0))=1,"class review",IF($I377="Bloomberg",IF(AND(ISNUMBER(INDEX('Market Data'!$AH$5:$AH$66,INDEX('Market Data'!$J$5:$J$528,$T377)-4)),N(INDEX('Market Data'!$AH$5:$AH$66,INDEX('Market Data'!$J$5:$J$528,$T377)-4))&gt;0,ISNUMBER('Market Data'!$B$1),N('Market Data'!$B$1)&gt;0),INDEX('Market Data'!$AH$5:$AH$66,INDEX('Market Data'!$J$5:$J$528,$T377)-4)*'Market Data'!$B$1/$E377-1,"pending A/FX"),IF(AND($I377="Snapshot",$Q377="Snapshot",ISNUMBER($E377),$G377=INDEX('Market Data'!$AE$5:$AE$66,INDEX('Market Data'!$J$5:$J$528,$T377)-4)),IFERROR(INDEX('Market Data'!$AC$5:$AC$66,INDEX('Market Data'!$J$5:$J$528,$T377)-4)*INDEX('Market Data'!$AD$5:$AD$66,INDEX('Market Data'!$J$5:$J$528,$T377)-4)/$E377-1,"unavailable"),IF($I377="Unavailable","unavailable","date mismatch"))))))</f>
        <v/>
      </c>
      <c r="N377" s="11">
        <f>IF($T377=0,"",IFERROR(IF(AND(N(INDEX('Market Data'!$F$5:$F$528,$T377))&gt;0,ISNUMBER(INDEX('Market Data'!$T$5:$T$528,$T377))),$E377*INDEX('Market Data'!$T$5:$T$528,$T377)/INDEX('Market Data'!$F$5:$F$528,$T377)-1,"unavailable"),"unavailable"))</f>
        <v/>
      </c>
      <c r="O377" s="9">
        <f>IF($T377=0,"",IF(IF(INDEX('Market Data'!$J$5:$J$528,$T377)=0,0,IF(LEFT(INDEX('Market Data'!$AS$5:$AS$66,INDEX('Market Data'!$J$5:$J$528,$T377)-4),11)="First-month",1,0))=1,"Class ratio review",IF($I377="Bloomberg",IF(ISNUMBER($G377),IF($G377&lt;TODAY(),"Older quote","See quote time"),"Date unavailable"),IF($I377="Snapshot",IF($G377&lt;DATEVALUE("2026-10-02"),"Older snapshot","Dated close"),"No valid quote"))))</f>
        <v/>
      </c>
      <c r="P377" s="14">
        <f>IF($T377=0,"",IF(INDEX('Market Data'!$J$5:$J$528,$T377)=0,"n/a",IF($Q377="Bloomberg",IF(AND(ISNUMBER(INDEX('Market Data'!$AK$5:$AK$66,INDEX('Market Data'!$J$5:$J$528,$T377)-4)),N(INDEX('Market Data'!$AK$5:$AK$66,INDEX('Market Data'!$J$5:$J$528,$T377)-4))&gt;0),INDEX('Market Data'!$AK$5:$AK$66,INDEX('Market Data'!$J$5:$J$528,$T377)-4),"date unavailable"),IF($Q377="Snapshot",IF(AND(ISNUMBER(INDEX('Market Data'!$AF$5:$AF$66,INDEX('Market Data'!$J$5:$J$528,$T377)-4)),N(INDEX('Market Data'!$AF$5:$AF$66,INDEX('Market Data'!$J$5:$J$528,$T377)-4))&gt;0),INDEX('Market Data'!$AF$5:$AF$66,INDEX('Market Data'!$J$5:$J$528,$T377)-4),"date unavailable"),"date unavailable"))))</f>
        <v/>
      </c>
      <c r="Q377" s="15">
        <f>IF($T377=0,"",IF(INDEX('Market Data'!$J$5:$J$528,$T377)=0,"n/a",IF(AND($M$5&lt;&gt;"Snapshot",ISNUMBER(INDEX('Market Data'!$AH$5:$AH$66,INDEX('Market Data'!$J$5:$J$528,$T377)-4)),N(INDEX('Market Data'!$AH$5:$AH$66,INDEX('Market Data'!$J$5:$J$528,$T377)-4))&gt;0),"Bloomberg",IF(AND($M$5&lt;&gt;"Bloomberg",ISNUMBER(INDEX('Market Data'!$AC$5:$AC$66,INDEX('Market Data'!$J$5:$J$528,$T377)-4)),N(INDEX('Market Data'!$AC$5:$AC$66,INDEX('Market Data'!$J$5:$J$528,$T377)-4))&gt;0),"Snapshot","Unavailable"))))</f>
        <v/>
      </c>
      <c r="T377">
        <f>IFERROR(MATCH(369,'Market Data'!$S$5:$S$528,0),0)</f>
        <v/>
      </c>
    </row>
    <row r="378" ht="34" customHeight="1">
      <c r="A378" s="8">
        <f>IF($T378=0,"",IF(INDEX('Market Data'!$A$5:$A$528,$T378)="","",INDEX('Market Data'!$A$5:$A$528,$T378)))</f>
        <v/>
      </c>
      <c r="B378" s="9">
        <f>IF($T378=0,"",IF(INDEX('Market Data'!$B$5:$B$528,$T378)="","",INDEX('Market Data'!$B$5:$B$528,$T378)))</f>
        <v/>
      </c>
      <c r="C378" s="9">
        <f>IF($T378=0,"",IF(INDEX('Market Data'!$C$5:$C$528,$T378)="","",INDEX('Market Data'!$C$5:$C$528,$T378)))</f>
        <v/>
      </c>
      <c r="D378" s="9">
        <f>IF($T378=0,"",IF(INDEX('Market Data'!$D$5:$D$528,$T378)="","",INDEX('Market Data'!$D$5:$D$528,$T378)))</f>
        <v/>
      </c>
      <c r="E378" s="10">
        <f>IF($T378=0,"",INDEX('Market Data'!$O$5:$O$528,$T378))</f>
        <v/>
      </c>
      <c r="F378" s="11">
        <f>IF($T378=0,"",IF(AND($I378="Bloomberg",ISNUMBER(INDEX('Market Data'!$L$5:$L$528,$T378))),INDEX('Market Data'!$L$5:$L$528,$T378),"unavailable"))</f>
        <v/>
      </c>
      <c r="G378" s="12">
        <f>IF($T378=0,"",IF($I378="Bloomberg",IF(AND(ISNUMBER(INDEX('Market Data'!$M$5:$M$528,$T378)),N(INDEX('Market Data'!$M$5:$M$528,$T378))&gt;0),INDEX('Market Data'!$M$5:$M$528,$T378),"date unavailable"),IF($I378="Snapshot",IF(AND(ISNUMBER(INDEX('Market Data'!$H$5:$H$528,$T378)),N(INDEX('Market Data'!$H$5:$H$528,$T378))&gt;0),INDEX('Market Data'!$H$5:$H$528,$T378),"date unavailable"),"date unavailable")))</f>
        <v/>
      </c>
      <c r="H378" s="9">
        <f>IF($T378=0,"",IF($I378="Bloomberg",IF(INDEX('Market Data'!$N$5:$N$528,$T378)="","time unavailable",INDEX('Market Data'!$N$5:$N$528,$T378)),""))</f>
        <v/>
      </c>
      <c r="I378" s="9">
        <f>IF($T378=0,"",INDEX('Market Data'!$P$5:$P$528,$T378))</f>
        <v/>
      </c>
      <c r="J378" s="13">
        <f>IF($T378=0,"",IF(INDEX('Market Data'!$E$5:$E$528,$T378)="","",INDEX('Market Data'!$E$5:$E$528,$T378)))</f>
        <v/>
      </c>
      <c r="K378" s="8">
        <f>IF($T378=0,"",IF(INDEX('Market Data'!$I$5:$I$528,$T378)="","",INDEX('Market Data'!$I$5:$I$528,$T378)))</f>
        <v/>
      </c>
      <c r="L378" s="10">
        <f>IF($T378=0,"",IF(INDEX('Market Data'!$J$5:$J$528,$T378)=0,"n/a",IF(AND($M$5&lt;&gt;"Snapshot",ISNUMBER(INDEX('Market Data'!$AH$5:$AH$66,INDEX('Market Data'!$J$5:$J$528,$T378)-4)),N(INDEX('Market Data'!$AH$5:$AH$66,INDEX('Market Data'!$J$5:$J$528,$T378)-4))&gt;0),INDEX('Market Data'!$AH$5:$AH$66,INDEX('Market Data'!$J$5:$J$528,$T378)-4),IF(AND($M$5&lt;&gt;"Bloomberg",ISNUMBER(INDEX('Market Data'!$AC$5:$AC$66,INDEX('Market Data'!$J$5:$J$528,$T378)-4)),N(INDEX('Market Data'!$AC$5:$AC$66,INDEX('Market Data'!$J$5:$J$528,$T378)-4))&gt;0),INDEX('Market Data'!$AC$5:$AC$66,INDEX('Market Data'!$J$5:$J$528,$T378)-4),"unavailable"))))</f>
        <v/>
      </c>
      <c r="M378" s="11">
        <f>IF($T378=0,"",IF(INDEX('Market Data'!$J$5:$J$528,$T378)=0,"n/a",IF(IF(INDEX('Market Data'!$J$5:$J$528,$T378)=0,0,IF(LEFT(INDEX('Market Data'!$AS$5:$AS$66,INDEX('Market Data'!$J$5:$J$528,$T378)-4),11)="First-month",1,0))=1,"class review",IF($I378="Bloomberg",IF(AND(ISNUMBER(INDEX('Market Data'!$AH$5:$AH$66,INDEX('Market Data'!$J$5:$J$528,$T378)-4)),N(INDEX('Market Data'!$AH$5:$AH$66,INDEX('Market Data'!$J$5:$J$528,$T378)-4))&gt;0,ISNUMBER('Market Data'!$B$1),N('Market Data'!$B$1)&gt;0),INDEX('Market Data'!$AH$5:$AH$66,INDEX('Market Data'!$J$5:$J$528,$T378)-4)*'Market Data'!$B$1/$E378-1,"pending A/FX"),IF(AND($I378="Snapshot",$Q378="Snapshot",ISNUMBER($E378),$G378=INDEX('Market Data'!$AE$5:$AE$66,INDEX('Market Data'!$J$5:$J$528,$T378)-4)),IFERROR(INDEX('Market Data'!$AC$5:$AC$66,INDEX('Market Data'!$J$5:$J$528,$T378)-4)*INDEX('Market Data'!$AD$5:$AD$66,INDEX('Market Data'!$J$5:$J$528,$T378)-4)/$E378-1,"unavailable"),IF($I378="Unavailable","unavailable","date mismatch"))))))</f>
        <v/>
      </c>
      <c r="N378" s="11">
        <f>IF($T378=0,"",IFERROR(IF(AND(N(INDEX('Market Data'!$F$5:$F$528,$T378))&gt;0,ISNUMBER(INDEX('Market Data'!$T$5:$T$528,$T378))),$E378*INDEX('Market Data'!$T$5:$T$528,$T378)/INDEX('Market Data'!$F$5:$F$528,$T378)-1,"unavailable"),"unavailable"))</f>
        <v/>
      </c>
      <c r="O378" s="9">
        <f>IF($T378=0,"",IF(IF(INDEX('Market Data'!$J$5:$J$528,$T378)=0,0,IF(LEFT(INDEX('Market Data'!$AS$5:$AS$66,INDEX('Market Data'!$J$5:$J$528,$T378)-4),11)="First-month",1,0))=1,"Class ratio review",IF($I378="Bloomberg",IF(ISNUMBER($G378),IF($G378&lt;TODAY(),"Older quote","See quote time"),"Date unavailable"),IF($I378="Snapshot",IF($G378&lt;DATEVALUE("2026-10-02"),"Older snapshot","Dated close"),"No valid quote"))))</f>
        <v/>
      </c>
      <c r="P378" s="14">
        <f>IF($T378=0,"",IF(INDEX('Market Data'!$J$5:$J$528,$T378)=0,"n/a",IF($Q378="Bloomberg",IF(AND(ISNUMBER(INDEX('Market Data'!$AK$5:$AK$66,INDEX('Market Data'!$J$5:$J$528,$T378)-4)),N(INDEX('Market Data'!$AK$5:$AK$66,INDEX('Market Data'!$J$5:$J$528,$T378)-4))&gt;0),INDEX('Market Data'!$AK$5:$AK$66,INDEX('Market Data'!$J$5:$J$528,$T378)-4),"date unavailable"),IF($Q378="Snapshot",IF(AND(ISNUMBER(INDEX('Market Data'!$AF$5:$AF$66,INDEX('Market Data'!$J$5:$J$528,$T378)-4)),N(INDEX('Market Data'!$AF$5:$AF$66,INDEX('Market Data'!$J$5:$J$528,$T378)-4))&gt;0),INDEX('Market Data'!$AF$5:$AF$66,INDEX('Market Data'!$J$5:$J$528,$T378)-4),"date unavailable"),"date unavailable"))))</f>
        <v/>
      </c>
      <c r="Q378" s="15">
        <f>IF($T378=0,"",IF(INDEX('Market Data'!$J$5:$J$528,$T378)=0,"n/a",IF(AND($M$5&lt;&gt;"Snapshot",ISNUMBER(INDEX('Market Data'!$AH$5:$AH$66,INDEX('Market Data'!$J$5:$J$528,$T378)-4)),N(INDEX('Market Data'!$AH$5:$AH$66,INDEX('Market Data'!$J$5:$J$528,$T378)-4))&gt;0),"Bloomberg",IF(AND($M$5&lt;&gt;"Bloomberg",ISNUMBER(INDEX('Market Data'!$AC$5:$AC$66,INDEX('Market Data'!$J$5:$J$528,$T378)-4)),N(INDEX('Market Data'!$AC$5:$AC$66,INDEX('Market Data'!$J$5:$J$528,$T378)-4))&gt;0),"Snapshot","Unavailable"))))</f>
        <v/>
      </c>
      <c r="T378">
        <f>IFERROR(MATCH(370,'Market Data'!$S$5:$S$528,0),0)</f>
        <v/>
      </c>
    </row>
    <row r="379" ht="34" customHeight="1">
      <c r="A379" s="8">
        <f>IF($T379=0,"",IF(INDEX('Market Data'!$A$5:$A$528,$T379)="","",INDEX('Market Data'!$A$5:$A$528,$T379)))</f>
        <v/>
      </c>
      <c r="B379" s="9">
        <f>IF($T379=0,"",IF(INDEX('Market Data'!$B$5:$B$528,$T379)="","",INDEX('Market Data'!$B$5:$B$528,$T379)))</f>
        <v/>
      </c>
      <c r="C379" s="9">
        <f>IF($T379=0,"",IF(INDEX('Market Data'!$C$5:$C$528,$T379)="","",INDEX('Market Data'!$C$5:$C$528,$T379)))</f>
        <v/>
      </c>
      <c r="D379" s="9">
        <f>IF($T379=0,"",IF(INDEX('Market Data'!$D$5:$D$528,$T379)="","",INDEX('Market Data'!$D$5:$D$528,$T379)))</f>
        <v/>
      </c>
      <c r="E379" s="10">
        <f>IF($T379=0,"",INDEX('Market Data'!$O$5:$O$528,$T379))</f>
        <v/>
      </c>
      <c r="F379" s="11">
        <f>IF($T379=0,"",IF(AND($I379="Bloomberg",ISNUMBER(INDEX('Market Data'!$L$5:$L$528,$T379))),INDEX('Market Data'!$L$5:$L$528,$T379),"unavailable"))</f>
        <v/>
      </c>
      <c r="G379" s="12">
        <f>IF($T379=0,"",IF($I379="Bloomberg",IF(AND(ISNUMBER(INDEX('Market Data'!$M$5:$M$528,$T379)),N(INDEX('Market Data'!$M$5:$M$528,$T379))&gt;0),INDEX('Market Data'!$M$5:$M$528,$T379),"date unavailable"),IF($I379="Snapshot",IF(AND(ISNUMBER(INDEX('Market Data'!$H$5:$H$528,$T379)),N(INDEX('Market Data'!$H$5:$H$528,$T379))&gt;0),INDEX('Market Data'!$H$5:$H$528,$T379),"date unavailable"),"date unavailable")))</f>
        <v/>
      </c>
      <c r="H379" s="9">
        <f>IF($T379=0,"",IF($I379="Bloomberg",IF(INDEX('Market Data'!$N$5:$N$528,$T379)="","time unavailable",INDEX('Market Data'!$N$5:$N$528,$T379)),""))</f>
        <v/>
      </c>
      <c r="I379" s="9">
        <f>IF($T379=0,"",INDEX('Market Data'!$P$5:$P$528,$T379))</f>
        <v/>
      </c>
      <c r="J379" s="13">
        <f>IF($T379=0,"",IF(INDEX('Market Data'!$E$5:$E$528,$T379)="","",INDEX('Market Data'!$E$5:$E$528,$T379)))</f>
        <v/>
      </c>
      <c r="K379" s="8">
        <f>IF($T379=0,"",IF(INDEX('Market Data'!$I$5:$I$528,$T379)="","",INDEX('Market Data'!$I$5:$I$528,$T379)))</f>
        <v/>
      </c>
      <c r="L379" s="10">
        <f>IF($T379=0,"",IF(INDEX('Market Data'!$J$5:$J$528,$T379)=0,"n/a",IF(AND($M$5&lt;&gt;"Snapshot",ISNUMBER(INDEX('Market Data'!$AH$5:$AH$66,INDEX('Market Data'!$J$5:$J$528,$T379)-4)),N(INDEX('Market Data'!$AH$5:$AH$66,INDEX('Market Data'!$J$5:$J$528,$T379)-4))&gt;0),INDEX('Market Data'!$AH$5:$AH$66,INDEX('Market Data'!$J$5:$J$528,$T379)-4),IF(AND($M$5&lt;&gt;"Bloomberg",ISNUMBER(INDEX('Market Data'!$AC$5:$AC$66,INDEX('Market Data'!$J$5:$J$528,$T379)-4)),N(INDEX('Market Data'!$AC$5:$AC$66,INDEX('Market Data'!$J$5:$J$528,$T379)-4))&gt;0),INDEX('Market Data'!$AC$5:$AC$66,INDEX('Market Data'!$J$5:$J$528,$T379)-4),"unavailable"))))</f>
        <v/>
      </c>
      <c r="M379" s="11">
        <f>IF($T379=0,"",IF(INDEX('Market Data'!$J$5:$J$528,$T379)=0,"n/a",IF(IF(INDEX('Market Data'!$J$5:$J$528,$T379)=0,0,IF(LEFT(INDEX('Market Data'!$AS$5:$AS$66,INDEX('Market Data'!$J$5:$J$528,$T379)-4),11)="First-month",1,0))=1,"class review",IF($I379="Bloomberg",IF(AND(ISNUMBER(INDEX('Market Data'!$AH$5:$AH$66,INDEX('Market Data'!$J$5:$J$528,$T379)-4)),N(INDEX('Market Data'!$AH$5:$AH$66,INDEX('Market Data'!$J$5:$J$528,$T379)-4))&gt;0,ISNUMBER('Market Data'!$B$1),N('Market Data'!$B$1)&gt;0),INDEX('Market Data'!$AH$5:$AH$66,INDEX('Market Data'!$J$5:$J$528,$T379)-4)*'Market Data'!$B$1/$E379-1,"pending A/FX"),IF(AND($I379="Snapshot",$Q379="Snapshot",ISNUMBER($E379),$G379=INDEX('Market Data'!$AE$5:$AE$66,INDEX('Market Data'!$J$5:$J$528,$T379)-4)),IFERROR(INDEX('Market Data'!$AC$5:$AC$66,INDEX('Market Data'!$J$5:$J$528,$T379)-4)*INDEX('Market Data'!$AD$5:$AD$66,INDEX('Market Data'!$J$5:$J$528,$T379)-4)/$E379-1,"unavailable"),IF($I379="Unavailable","unavailable","date mismatch"))))))</f>
        <v/>
      </c>
      <c r="N379" s="11">
        <f>IF($T379=0,"",IFERROR(IF(AND(N(INDEX('Market Data'!$F$5:$F$528,$T379))&gt;0,ISNUMBER(INDEX('Market Data'!$T$5:$T$528,$T379))),$E379*INDEX('Market Data'!$T$5:$T$528,$T379)/INDEX('Market Data'!$F$5:$F$528,$T379)-1,"unavailable"),"unavailable"))</f>
        <v/>
      </c>
      <c r="O379" s="9">
        <f>IF($T379=0,"",IF(IF(INDEX('Market Data'!$J$5:$J$528,$T379)=0,0,IF(LEFT(INDEX('Market Data'!$AS$5:$AS$66,INDEX('Market Data'!$J$5:$J$528,$T379)-4),11)="First-month",1,0))=1,"Class ratio review",IF($I379="Bloomberg",IF(ISNUMBER($G379),IF($G379&lt;TODAY(),"Older quote","See quote time"),"Date unavailable"),IF($I379="Snapshot",IF($G379&lt;DATEVALUE("2026-10-02"),"Older snapshot","Dated close"),"No valid quote"))))</f>
        <v/>
      </c>
      <c r="P379" s="14">
        <f>IF($T379=0,"",IF(INDEX('Market Data'!$J$5:$J$528,$T379)=0,"n/a",IF($Q379="Bloomberg",IF(AND(ISNUMBER(INDEX('Market Data'!$AK$5:$AK$66,INDEX('Market Data'!$J$5:$J$528,$T379)-4)),N(INDEX('Market Data'!$AK$5:$AK$66,INDEX('Market Data'!$J$5:$J$528,$T379)-4))&gt;0),INDEX('Market Data'!$AK$5:$AK$66,INDEX('Market Data'!$J$5:$J$528,$T379)-4),"date unavailable"),IF($Q379="Snapshot",IF(AND(ISNUMBER(INDEX('Market Data'!$AF$5:$AF$66,INDEX('Market Data'!$J$5:$J$528,$T379)-4)),N(INDEX('Market Data'!$AF$5:$AF$66,INDEX('Market Data'!$J$5:$J$528,$T379)-4))&gt;0),INDEX('Market Data'!$AF$5:$AF$66,INDEX('Market Data'!$J$5:$J$528,$T379)-4),"date unavailable"),"date unavailable"))))</f>
        <v/>
      </c>
      <c r="Q379" s="15">
        <f>IF($T379=0,"",IF(INDEX('Market Data'!$J$5:$J$528,$T379)=0,"n/a",IF(AND($M$5&lt;&gt;"Snapshot",ISNUMBER(INDEX('Market Data'!$AH$5:$AH$66,INDEX('Market Data'!$J$5:$J$528,$T379)-4)),N(INDEX('Market Data'!$AH$5:$AH$66,INDEX('Market Data'!$J$5:$J$528,$T379)-4))&gt;0),"Bloomberg",IF(AND($M$5&lt;&gt;"Bloomberg",ISNUMBER(INDEX('Market Data'!$AC$5:$AC$66,INDEX('Market Data'!$J$5:$J$528,$T379)-4)),N(INDEX('Market Data'!$AC$5:$AC$66,INDEX('Market Data'!$J$5:$J$528,$T379)-4))&gt;0),"Snapshot","Unavailable"))))</f>
        <v/>
      </c>
      <c r="T379">
        <f>IFERROR(MATCH(371,'Market Data'!$S$5:$S$528,0),0)</f>
        <v/>
      </c>
    </row>
    <row r="380" ht="34" customHeight="1">
      <c r="A380" s="8">
        <f>IF($T380=0,"",IF(INDEX('Market Data'!$A$5:$A$528,$T380)="","",INDEX('Market Data'!$A$5:$A$528,$T380)))</f>
        <v/>
      </c>
      <c r="B380" s="9">
        <f>IF($T380=0,"",IF(INDEX('Market Data'!$B$5:$B$528,$T380)="","",INDEX('Market Data'!$B$5:$B$528,$T380)))</f>
        <v/>
      </c>
      <c r="C380" s="9">
        <f>IF($T380=0,"",IF(INDEX('Market Data'!$C$5:$C$528,$T380)="","",INDEX('Market Data'!$C$5:$C$528,$T380)))</f>
        <v/>
      </c>
      <c r="D380" s="9">
        <f>IF($T380=0,"",IF(INDEX('Market Data'!$D$5:$D$528,$T380)="","",INDEX('Market Data'!$D$5:$D$528,$T380)))</f>
        <v/>
      </c>
      <c r="E380" s="10">
        <f>IF($T380=0,"",INDEX('Market Data'!$O$5:$O$528,$T380))</f>
        <v/>
      </c>
      <c r="F380" s="11">
        <f>IF($T380=0,"",IF(AND($I380="Bloomberg",ISNUMBER(INDEX('Market Data'!$L$5:$L$528,$T380))),INDEX('Market Data'!$L$5:$L$528,$T380),"unavailable"))</f>
        <v/>
      </c>
      <c r="G380" s="12">
        <f>IF($T380=0,"",IF($I380="Bloomberg",IF(AND(ISNUMBER(INDEX('Market Data'!$M$5:$M$528,$T380)),N(INDEX('Market Data'!$M$5:$M$528,$T380))&gt;0),INDEX('Market Data'!$M$5:$M$528,$T380),"date unavailable"),IF($I380="Snapshot",IF(AND(ISNUMBER(INDEX('Market Data'!$H$5:$H$528,$T380)),N(INDEX('Market Data'!$H$5:$H$528,$T380))&gt;0),INDEX('Market Data'!$H$5:$H$528,$T380),"date unavailable"),"date unavailable")))</f>
        <v/>
      </c>
      <c r="H380" s="9">
        <f>IF($T380=0,"",IF($I380="Bloomberg",IF(INDEX('Market Data'!$N$5:$N$528,$T380)="","time unavailable",INDEX('Market Data'!$N$5:$N$528,$T380)),""))</f>
        <v/>
      </c>
      <c r="I380" s="9">
        <f>IF($T380=0,"",INDEX('Market Data'!$P$5:$P$528,$T380))</f>
        <v/>
      </c>
      <c r="J380" s="13">
        <f>IF($T380=0,"",IF(INDEX('Market Data'!$E$5:$E$528,$T380)="","",INDEX('Market Data'!$E$5:$E$528,$T380)))</f>
        <v/>
      </c>
      <c r="K380" s="8">
        <f>IF($T380=0,"",IF(INDEX('Market Data'!$I$5:$I$528,$T380)="","",INDEX('Market Data'!$I$5:$I$528,$T380)))</f>
        <v/>
      </c>
      <c r="L380" s="10">
        <f>IF($T380=0,"",IF(INDEX('Market Data'!$J$5:$J$528,$T380)=0,"n/a",IF(AND($M$5&lt;&gt;"Snapshot",ISNUMBER(INDEX('Market Data'!$AH$5:$AH$66,INDEX('Market Data'!$J$5:$J$528,$T380)-4)),N(INDEX('Market Data'!$AH$5:$AH$66,INDEX('Market Data'!$J$5:$J$528,$T380)-4))&gt;0),INDEX('Market Data'!$AH$5:$AH$66,INDEX('Market Data'!$J$5:$J$528,$T380)-4),IF(AND($M$5&lt;&gt;"Bloomberg",ISNUMBER(INDEX('Market Data'!$AC$5:$AC$66,INDEX('Market Data'!$J$5:$J$528,$T380)-4)),N(INDEX('Market Data'!$AC$5:$AC$66,INDEX('Market Data'!$J$5:$J$528,$T380)-4))&gt;0),INDEX('Market Data'!$AC$5:$AC$66,INDEX('Market Data'!$J$5:$J$528,$T380)-4),"unavailable"))))</f>
        <v/>
      </c>
      <c r="M380" s="11">
        <f>IF($T380=0,"",IF(INDEX('Market Data'!$J$5:$J$528,$T380)=0,"n/a",IF(IF(INDEX('Market Data'!$J$5:$J$528,$T380)=0,0,IF(LEFT(INDEX('Market Data'!$AS$5:$AS$66,INDEX('Market Data'!$J$5:$J$528,$T380)-4),11)="First-month",1,0))=1,"class review",IF($I380="Bloomberg",IF(AND(ISNUMBER(INDEX('Market Data'!$AH$5:$AH$66,INDEX('Market Data'!$J$5:$J$528,$T380)-4)),N(INDEX('Market Data'!$AH$5:$AH$66,INDEX('Market Data'!$J$5:$J$528,$T380)-4))&gt;0,ISNUMBER('Market Data'!$B$1),N('Market Data'!$B$1)&gt;0),INDEX('Market Data'!$AH$5:$AH$66,INDEX('Market Data'!$J$5:$J$528,$T380)-4)*'Market Data'!$B$1/$E380-1,"pending A/FX"),IF(AND($I380="Snapshot",$Q380="Snapshot",ISNUMBER($E380),$G380=INDEX('Market Data'!$AE$5:$AE$66,INDEX('Market Data'!$J$5:$J$528,$T380)-4)),IFERROR(INDEX('Market Data'!$AC$5:$AC$66,INDEX('Market Data'!$J$5:$J$528,$T380)-4)*INDEX('Market Data'!$AD$5:$AD$66,INDEX('Market Data'!$J$5:$J$528,$T380)-4)/$E380-1,"unavailable"),IF($I380="Unavailable","unavailable","date mismatch"))))))</f>
        <v/>
      </c>
      <c r="N380" s="11">
        <f>IF($T380=0,"",IFERROR(IF(AND(N(INDEX('Market Data'!$F$5:$F$528,$T380))&gt;0,ISNUMBER(INDEX('Market Data'!$T$5:$T$528,$T380))),$E380*INDEX('Market Data'!$T$5:$T$528,$T380)/INDEX('Market Data'!$F$5:$F$528,$T380)-1,"unavailable"),"unavailable"))</f>
        <v/>
      </c>
      <c r="O380" s="9">
        <f>IF($T380=0,"",IF(IF(INDEX('Market Data'!$J$5:$J$528,$T380)=0,0,IF(LEFT(INDEX('Market Data'!$AS$5:$AS$66,INDEX('Market Data'!$J$5:$J$528,$T380)-4),11)="First-month",1,0))=1,"Class ratio review",IF($I380="Bloomberg",IF(ISNUMBER($G380),IF($G380&lt;TODAY(),"Older quote","See quote time"),"Date unavailable"),IF($I380="Snapshot",IF($G380&lt;DATEVALUE("2026-10-02"),"Older snapshot","Dated close"),"No valid quote"))))</f>
        <v/>
      </c>
      <c r="P380" s="14">
        <f>IF($T380=0,"",IF(INDEX('Market Data'!$J$5:$J$528,$T380)=0,"n/a",IF($Q380="Bloomberg",IF(AND(ISNUMBER(INDEX('Market Data'!$AK$5:$AK$66,INDEX('Market Data'!$J$5:$J$528,$T380)-4)),N(INDEX('Market Data'!$AK$5:$AK$66,INDEX('Market Data'!$J$5:$J$528,$T380)-4))&gt;0),INDEX('Market Data'!$AK$5:$AK$66,INDEX('Market Data'!$J$5:$J$528,$T380)-4),"date unavailable"),IF($Q380="Snapshot",IF(AND(ISNUMBER(INDEX('Market Data'!$AF$5:$AF$66,INDEX('Market Data'!$J$5:$J$528,$T380)-4)),N(INDEX('Market Data'!$AF$5:$AF$66,INDEX('Market Data'!$J$5:$J$528,$T380)-4))&gt;0),INDEX('Market Data'!$AF$5:$AF$66,INDEX('Market Data'!$J$5:$J$528,$T380)-4),"date unavailable"),"date unavailable"))))</f>
        <v/>
      </c>
      <c r="Q380" s="15">
        <f>IF($T380=0,"",IF(INDEX('Market Data'!$J$5:$J$528,$T380)=0,"n/a",IF(AND($M$5&lt;&gt;"Snapshot",ISNUMBER(INDEX('Market Data'!$AH$5:$AH$66,INDEX('Market Data'!$J$5:$J$528,$T380)-4)),N(INDEX('Market Data'!$AH$5:$AH$66,INDEX('Market Data'!$J$5:$J$528,$T380)-4))&gt;0),"Bloomberg",IF(AND($M$5&lt;&gt;"Bloomberg",ISNUMBER(INDEX('Market Data'!$AC$5:$AC$66,INDEX('Market Data'!$J$5:$J$528,$T380)-4)),N(INDEX('Market Data'!$AC$5:$AC$66,INDEX('Market Data'!$J$5:$J$528,$T380)-4))&gt;0),"Snapshot","Unavailable"))))</f>
        <v/>
      </c>
      <c r="T380">
        <f>IFERROR(MATCH(372,'Market Data'!$S$5:$S$528,0),0)</f>
        <v/>
      </c>
    </row>
    <row r="381" ht="34" customHeight="1">
      <c r="A381" s="8">
        <f>IF($T381=0,"",IF(INDEX('Market Data'!$A$5:$A$528,$T381)="","",INDEX('Market Data'!$A$5:$A$528,$T381)))</f>
        <v/>
      </c>
      <c r="B381" s="9">
        <f>IF($T381=0,"",IF(INDEX('Market Data'!$B$5:$B$528,$T381)="","",INDEX('Market Data'!$B$5:$B$528,$T381)))</f>
        <v/>
      </c>
      <c r="C381" s="9">
        <f>IF($T381=0,"",IF(INDEX('Market Data'!$C$5:$C$528,$T381)="","",INDEX('Market Data'!$C$5:$C$528,$T381)))</f>
        <v/>
      </c>
      <c r="D381" s="9">
        <f>IF($T381=0,"",IF(INDEX('Market Data'!$D$5:$D$528,$T381)="","",INDEX('Market Data'!$D$5:$D$528,$T381)))</f>
        <v/>
      </c>
      <c r="E381" s="10">
        <f>IF($T381=0,"",INDEX('Market Data'!$O$5:$O$528,$T381))</f>
        <v/>
      </c>
      <c r="F381" s="11">
        <f>IF($T381=0,"",IF(AND($I381="Bloomberg",ISNUMBER(INDEX('Market Data'!$L$5:$L$528,$T381))),INDEX('Market Data'!$L$5:$L$528,$T381),"unavailable"))</f>
        <v/>
      </c>
      <c r="G381" s="12">
        <f>IF($T381=0,"",IF($I381="Bloomberg",IF(AND(ISNUMBER(INDEX('Market Data'!$M$5:$M$528,$T381)),N(INDEX('Market Data'!$M$5:$M$528,$T381))&gt;0),INDEX('Market Data'!$M$5:$M$528,$T381),"date unavailable"),IF($I381="Snapshot",IF(AND(ISNUMBER(INDEX('Market Data'!$H$5:$H$528,$T381)),N(INDEX('Market Data'!$H$5:$H$528,$T381))&gt;0),INDEX('Market Data'!$H$5:$H$528,$T381),"date unavailable"),"date unavailable")))</f>
        <v/>
      </c>
      <c r="H381" s="9">
        <f>IF($T381=0,"",IF($I381="Bloomberg",IF(INDEX('Market Data'!$N$5:$N$528,$T381)="","time unavailable",INDEX('Market Data'!$N$5:$N$528,$T381)),""))</f>
        <v/>
      </c>
      <c r="I381" s="9">
        <f>IF($T381=0,"",INDEX('Market Data'!$P$5:$P$528,$T381))</f>
        <v/>
      </c>
      <c r="J381" s="13">
        <f>IF($T381=0,"",IF(INDEX('Market Data'!$E$5:$E$528,$T381)="","",INDEX('Market Data'!$E$5:$E$528,$T381)))</f>
        <v/>
      </c>
      <c r="K381" s="8">
        <f>IF($T381=0,"",IF(INDEX('Market Data'!$I$5:$I$528,$T381)="","",INDEX('Market Data'!$I$5:$I$528,$T381)))</f>
        <v/>
      </c>
      <c r="L381" s="10">
        <f>IF($T381=0,"",IF(INDEX('Market Data'!$J$5:$J$528,$T381)=0,"n/a",IF(AND($M$5&lt;&gt;"Snapshot",ISNUMBER(INDEX('Market Data'!$AH$5:$AH$66,INDEX('Market Data'!$J$5:$J$528,$T381)-4)),N(INDEX('Market Data'!$AH$5:$AH$66,INDEX('Market Data'!$J$5:$J$528,$T381)-4))&gt;0),INDEX('Market Data'!$AH$5:$AH$66,INDEX('Market Data'!$J$5:$J$528,$T381)-4),IF(AND($M$5&lt;&gt;"Bloomberg",ISNUMBER(INDEX('Market Data'!$AC$5:$AC$66,INDEX('Market Data'!$J$5:$J$528,$T381)-4)),N(INDEX('Market Data'!$AC$5:$AC$66,INDEX('Market Data'!$J$5:$J$528,$T381)-4))&gt;0),INDEX('Market Data'!$AC$5:$AC$66,INDEX('Market Data'!$J$5:$J$528,$T381)-4),"unavailable"))))</f>
        <v/>
      </c>
      <c r="M381" s="11">
        <f>IF($T381=0,"",IF(INDEX('Market Data'!$J$5:$J$528,$T381)=0,"n/a",IF(IF(INDEX('Market Data'!$J$5:$J$528,$T381)=0,0,IF(LEFT(INDEX('Market Data'!$AS$5:$AS$66,INDEX('Market Data'!$J$5:$J$528,$T381)-4),11)="First-month",1,0))=1,"class review",IF($I381="Bloomberg",IF(AND(ISNUMBER(INDEX('Market Data'!$AH$5:$AH$66,INDEX('Market Data'!$J$5:$J$528,$T381)-4)),N(INDEX('Market Data'!$AH$5:$AH$66,INDEX('Market Data'!$J$5:$J$528,$T381)-4))&gt;0,ISNUMBER('Market Data'!$B$1),N('Market Data'!$B$1)&gt;0),INDEX('Market Data'!$AH$5:$AH$66,INDEX('Market Data'!$J$5:$J$528,$T381)-4)*'Market Data'!$B$1/$E381-1,"pending A/FX"),IF(AND($I381="Snapshot",$Q381="Snapshot",ISNUMBER($E381),$G381=INDEX('Market Data'!$AE$5:$AE$66,INDEX('Market Data'!$J$5:$J$528,$T381)-4)),IFERROR(INDEX('Market Data'!$AC$5:$AC$66,INDEX('Market Data'!$J$5:$J$528,$T381)-4)*INDEX('Market Data'!$AD$5:$AD$66,INDEX('Market Data'!$J$5:$J$528,$T381)-4)/$E381-1,"unavailable"),IF($I381="Unavailable","unavailable","date mismatch"))))))</f>
        <v/>
      </c>
      <c r="N381" s="11">
        <f>IF($T381=0,"",IFERROR(IF(AND(N(INDEX('Market Data'!$F$5:$F$528,$T381))&gt;0,ISNUMBER(INDEX('Market Data'!$T$5:$T$528,$T381))),$E381*INDEX('Market Data'!$T$5:$T$528,$T381)/INDEX('Market Data'!$F$5:$F$528,$T381)-1,"unavailable"),"unavailable"))</f>
        <v/>
      </c>
      <c r="O381" s="9">
        <f>IF($T381=0,"",IF(IF(INDEX('Market Data'!$J$5:$J$528,$T381)=0,0,IF(LEFT(INDEX('Market Data'!$AS$5:$AS$66,INDEX('Market Data'!$J$5:$J$528,$T381)-4),11)="First-month",1,0))=1,"Class ratio review",IF($I381="Bloomberg",IF(ISNUMBER($G381),IF($G381&lt;TODAY(),"Older quote","See quote time"),"Date unavailable"),IF($I381="Snapshot",IF($G381&lt;DATEVALUE("2026-10-02"),"Older snapshot","Dated close"),"No valid quote"))))</f>
        <v/>
      </c>
      <c r="P381" s="14">
        <f>IF($T381=0,"",IF(INDEX('Market Data'!$J$5:$J$528,$T381)=0,"n/a",IF($Q381="Bloomberg",IF(AND(ISNUMBER(INDEX('Market Data'!$AK$5:$AK$66,INDEX('Market Data'!$J$5:$J$528,$T381)-4)),N(INDEX('Market Data'!$AK$5:$AK$66,INDEX('Market Data'!$J$5:$J$528,$T381)-4))&gt;0),INDEX('Market Data'!$AK$5:$AK$66,INDEX('Market Data'!$J$5:$J$528,$T381)-4),"date unavailable"),IF($Q381="Snapshot",IF(AND(ISNUMBER(INDEX('Market Data'!$AF$5:$AF$66,INDEX('Market Data'!$J$5:$J$528,$T381)-4)),N(INDEX('Market Data'!$AF$5:$AF$66,INDEX('Market Data'!$J$5:$J$528,$T381)-4))&gt;0),INDEX('Market Data'!$AF$5:$AF$66,INDEX('Market Data'!$J$5:$J$528,$T381)-4),"date unavailable"),"date unavailable"))))</f>
        <v/>
      </c>
      <c r="Q381" s="15">
        <f>IF($T381=0,"",IF(INDEX('Market Data'!$J$5:$J$528,$T381)=0,"n/a",IF(AND($M$5&lt;&gt;"Snapshot",ISNUMBER(INDEX('Market Data'!$AH$5:$AH$66,INDEX('Market Data'!$J$5:$J$528,$T381)-4)),N(INDEX('Market Data'!$AH$5:$AH$66,INDEX('Market Data'!$J$5:$J$528,$T381)-4))&gt;0),"Bloomberg",IF(AND($M$5&lt;&gt;"Bloomberg",ISNUMBER(INDEX('Market Data'!$AC$5:$AC$66,INDEX('Market Data'!$J$5:$J$528,$T381)-4)),N(INDEX('Market Data'!$AC$5:$AC$66,INDEX('Market Data'!$J$5:$J$528,$T381)-4))&gt;0),"Snapshot","Unavailable"))))</f>
        <v/>
      </c>
      <c r="T381">
        <f>IFERROR(MATCH(373,'Market Data'!$S$5:$S$528,0),0)</f>
        <v/>
      </c>
    </row>
    <row r="382" ht="34" customHeight="1">
      <c r="A382" s="8">
        <f>IF($T382=0,"",IF(INDEX('Market Data'!$A$5:$A$528,$T382)="","",INDEX('Market Data'!$A$5:$A$528,$T382)))</f>
        <v/>
      </c>
      <c r="B382" s="9">
        <f>IF($T382=0,"",IF(INDEX('Market Data'!$B$5:$B$528,$T382)="","",INDEX('Market Data'!$B$5:$B$528,$T382)))</f>
        <v/>
      </c>
      <c r="C382" s="9">
        <f>IF($T382=0,"",IF(INDEX('Market Data'!$C$5:$C$528,$T382)="","",INDEX('Market Data'!$C$5:$C$528,$T382)))</f>
        <v/>
      </c>
      <c r="D382" s="9">
        <f>IF($T382=0,"",IF(INDEX('Market Data'!$D$5:$D$528,$T382)="","",INDEX('Market Data'!$D$5:$D$528,$T382)))</f>
        <v/>
      </c>
      <c r="E382" s="10">
        <f>IF($T382=0,"",INDEX('Market Data'!$O$5:$O$528,$T382))</f>
        <v/>
      </c>
      <c r="F382" s="11">
        <f>IF($T382=0,"",IF(AND($I382="Bloomberg",ISNUMBER(INDEX('Market Data'!$L$5:$L$528,$T382))),INDEX('Market Data'!$L$5:$L$528,$T382),"unavailable"))</f>
        <v/>
      </c>
      <c r="G382" s="12">
        <f>IF($T382=0,"",IF($I382="Bloomberg",IF(AND(ISNUMBER(INDEX('Market Data'!$M$5:$M$528,$T382)),N(INDEX('Market Data'!$M$5:$M$528,$T382))&gt;0),INDEX('Market Data'!$M$5:$M$528,$T382),"date unavailable"),IF($I382="Snapshot",IF(AND(ISNUMBER(INDEX('Market Data'!$H$5:$H$528,$T382)),N(INDEX('Market Data'!$H$5:$H$528,$T382))&gt;0),INDEX('Market Data'!$H$5:$H$528,$T382),"date unavailable"),"date unavailable")))</f>
        <v/>
      </c>
      <c r="H382" s="9">
        <f>IF($T382=0,"",IF($I382="Bloomberg",IF(INDEX('Market Data'!$N$5:$N$528,$T382)="","time unavailable",INDEX('Market Data'!$N$5:$N$528,$T382)),""))</f>
        <v/>
      </c>
      <c r="I382" s="9">
        <f>IF($T382=0,"",INDEX('Market Data'!$P$5:$P$528,$T382))</f>
        <v/>
      </c>
      <c r="J382" s="13">
        <f>IF($T382=0,"",IF(INDEX('Market Data'!$E$5:$E$528,$T382)="","",INDEX('Market Data'!$E$5:$E$528,$T382)))</f>
        <v/>
      </c>
      <c r="K382" s="8">
        <f>IF($T382=0,"",IF(INDEX('Market Data'!$I$5:$I$528,$T382)="","",INDEX('Market Data'!$I$5:$I$528,$T382)))</f>
        <v/>
      </c>
      <c r="L382" s="10">
        <f>IF($T382=0,"",IF(INDEX('Market Data'!$J$5:$J$528,$T382)=0,"n/a",IF(AND($M$5&lt;&gt;"Snapshot",ISNUMBER(INDEX('Market Data'!$AH$5:$AH$66,INDEX('Market Data'!$J$5:$J$528,$T382)-4)),N(INDEX('Market Data'!$AH$5:$AH$66,INDEX('Market Data'!$J$5:$J$528,$T382)-4))&gt;0),INDEX('Market Data'!$AH$5:$AH$66,INDEX('Market Data'!$J$5:$J$528,$T382)-4),IF(AND($M$5&lt;&gt;"Bloomberg",ISNUMBER(INDEX('Market Data'!$AC$5:$AC$66,INDEX('Market Data'!$J$5:$J$528,$T382)-4)),N(INDEX('Market Data'!$AC$5:$AC$66,INDEX('Market Data'!$J$5:$J$528,$T382)-4))&gt;0),INDEX('Market Data'!$AC$5:$AC$66,INDEX('Market Data'!$J$5:$J$528,$T382)-4),"unavailable"))))</f>
        <v/>
      </c>
      <c r="M382" s="11">
        <f>IF($T382=0,"",IF(INDEX('Market Data'!$J$5:$J$528,$T382)=0,"n/a",IF(IF(INDEX('Market Data'!$J$5:$J$528,$T382)=0,0,IF(LEFT(INDEX('Market Data'!$AS$5:$AS$66,INDEX('Market Data'!$J$5:$J$528,$T382)-4),11)="First-month",1,0))=1,"class review",IF($I382="Bloomberg",IF(AND(ISNUMBER(INDEX('Market Data'!$AH$5:$AH$66,INDEX('Market Data'!$J$5:$J$528,$T382)-4)),N(INDEX('Market Data'!$AH$5:$AH$66,INDEX('Market Data'!$J$5:$J$528,$T382)-4))&gt;0,ISNUMBER('Market Data'!$B$1),N('Market Data'!$B$1)&gt;0),INDEX('Market Data'!$AH$5:$AH$66,INDEX('Market Data'!$J$5:$J$528,$T382)-4)*'Market Data'!$B$1/$E382-1,"pending A/FX"),IF(AND($I382="Snapshot",$Q382="Snapshot",ISNUMBER($E382),$G382=INDEX('Market Data'!$AE$5:$AE$66,INDEX('Market Data'!$J$5:$J$528,$T382)-4)),IFERROR(INDEX('Market Data'!$AC$5:$AC$66,INDEX('Market Data'!$J$5:$J$528,$T382)-4)*INDEX('Market Data'!$AD$5:$AD$66,INDEX('Market Data'!$J$5:$J$528,$T382)-4)/$E382-1,"unavailable"),IF($I382="Unavailable","unavailable","date mismatch"))))))</f>
        <v/>
      </c>
      <c r="N382" s="11">
        <f>IF($T382=0,"",IFERROR(IF(AND(N(INDEX('Market Data'!$F$5:$F$528,$T382))&gt;0,ISNUMBER(INDEX('Market Data'!$T$5:$T$528,$T382))),$E382*INDEX('Market Data'!$T$5:$T$528,$T382)/INDEX('Market Data'!$F$5:$F$528,$T382)-1,"unavailable"),"unavailable"))</f>
        <v/>
      </c>
      <c r="O382" s="9">
        <f>IF($T382=0,"",IF(IF(INDEX('Market Data'!$J$5:$J$528,$T382)=0,0,IF(LEFT(INDEX('Market Data'!$AS$5:$AS$66,INDEX('Market Data'!$J$5:$J$528,$T382)-4),11)="First-month",1,0))=1,"Class ratio review",IF($I382="Bloomberg",IF(ISNUMBER($G382),IF($G382&lt;TODAY(),"Older quote","See quote time"),"Date unavailable"),IF($I382="Snapshot",IF($G382&lt;DATEVALUE("2026-10-02"),"Older snapshot","Dated close"),"No valid quote"))))</f>
        <v/>
      </c>
      <c r="P382" s="14">
        <f>IF($T382=0,"",IF(INDEX('Market Data'!$J$5:$J$528,$T382)=0,"n/a",IF($Q382="Bloomberg",IF(AND(ISNUMBER(INDEX('Market Data'!$AK$5:$AK$66,INDEX('Market Data'!$J$5:$J$528,$T382)-4)),N(INDEX('Market Data'!$AK$5:$AK$66,INDEX('Market Data'!$J$5:$J$528,$T382)-4))&gt;0),INDEX('Market Data'!$AK$5:$AK$66,INDEX('Market Data'!$J$5:$J$528,$T382)-4),"date unavailable"),IF($Q382="Snapshot",IF(AND(ISNUMBER(INDEX('Market Data'!$AF$5:$AF$66,INDEX('Market Data'!$J$5:$J$528,$T382)-4)),N(INDEX('Market Data'!$AF$5:$AF$66,INDEX('Market Data'!$J$5:$J$528,$T382)-4))&gt;0),INDEX('Market Data'!$AF$5:$AF$66,INDEX('Market Data'!$J$5:$J$528,$T382)-4),"date unavailable"),"date unavailable"))))</f>
        <v/>
      </c>
      <c r="Q382" s="15">
        <f>IF($T382=0,"",IF(INDEX('Market Data'!$J$5:$J$528,$T382)=0,"n/a",IF(AND($M$5&lt;&gt;"Snapshot",ISNUMBER(INDEX('Market Data'!$AH$5:$AH$66,INDEX('Market Data'!$J$5:$J$528,$T382)-4)),N(INDEX('Market Data'!$AH$5:$AH$66,INDEX('Market Data'!$J$5:$J$528,$T382)-4))&gt;0),"Bloomberg",IF(AND($M$5&lt;&gt;"Bloomberg",ISNUMBER(INDEX('Market Data'!$AC$5:$AC$66,INDEX('Market Data'!$J$5:$J$528,$T382)-4)),N(INDEX('Market Data'!$AC$5:$AC$66,INDEX('Market Data'!$J$5:$J$528,$T382)-4))&gt;0),"Snapshot","Unavailable"))))</f>
        <v/>
      </c>
      <c r="T382">
        <f>IFERROR(MATCH(374,'Market Data'!$S$5:$S$528,0),0)</f>
        <v/>
      </c>
    </row>
    <row r="383" ht="34" customHeight="1">
      <c r="A383" s="8">
        <f>IF($T383=0,"",IF(INDEX('Market Data'!$A$5:$A$528,$T383)="","",INDEX('Market Data'!$A$5:$A$528,$T383)))</f>
        <v/>
      </c>
      <c r="B383" s="9">
        <f>IF($T383=0,"",IF(INDEX('Market Data'!$B$5:$B$528,$T383)="","",INDEX('Market Data'!$B$5:$B$528,$T383)))</f>
        <v/>
      </c>
      <c r="C383" s="9">
        <f>IF($T383=0,"",IF(INDEX('Market Data'!$C$5:$C$528,$T383)="","",INDEX('Market Data'!$C$5:$C$528,$T383)))</f>
        <v/>
      </c>
      <c r="D383" s="9">
        <f>IF($T383=0,"",IF(INDEX('Market Data'!$D$5:$D$528,$T383)="","",INDEX('Market Data'!$D$5:$D$528,$T383)))</f>
        <v/>
      </c>
      <c r="E383" s="10">
        <f>IF($T383=0,"",INDEX('Market Data'!$O$5:$O$528,$T383))</f>
        <v/>
      </c>
      <c r="F383" s="11">
        <f>IF($T383=0,"",IF(AND($I383="Bloomberg",ISNUMBER(INDEX('Market Data'!$L$5:$L$528,$T383))),INDEX('Market Data'!$L$5:$L$528,$T383),"unavailable"))</f>
        <v/>
      </c>
      <c r="G383" s="12">
        <f>IF($T383=0,"",IF($I383="Bloomberg",IF(AND(ISNUMBER(INDEX('Market Data'!$M$5:$M$528,$T383)),N(INDEX('Market Data'!$M$5:$M$528,$T383))&gt;0),INDEX('Market Data'!$M$5:$M$528,$T383),"date unavailable"),IF($I383="Snapshot",IF(AND(ISNUMBER(INDEX('Market Data'!$H$5:$H$528,$T383)),N(INDEX('Market Data'!$H$5:$H$528,$T383))&gt;0),INDEX('Market Data'!$H$5:$H$528,$T383),"date unavailable"),"date unavailable")))</f>
        <v/>
      </c>
      <c r="H383" s="9">
        <f>IF($T383=0,"",IF($I383="Bloomberg",IF(INDEX('Market Data'!$N$5:$N$528,$T383)="","time unavailable",INDEX('Market Data'!$N$5:$N$528,$T383)),""))</f>
        <v/>
      </c>
      <c r="I383" s="9">
        <f>IF($T383=0,"",INDEX('Market Data'!$P$5:$P$528,$T383))</f>
        <v/>
      </c>
      <c r="J383" s="13">
        <f>IF($T383=0,"",IF(INDEX('Market Data'!$E$5:$E$528,$T383)="","",INDEX('Market Data'!$E$5:$E$528,$T383)))</f>
        <v/>
      </c>
      <c r="K383" s="8">
        <f>IF($T383=0,"",IF(INDEX('Market Data'!$I$5:$I$528,$T383)="","",INDEX('Market Data'!$I$5:$I$528,$T383)))</f>
        <v/>
      </c>
      <c r="L383" s="10">
        <f>IF($T383=0,"",IF(INDEX('Market Data'!$J$5:$J$528,$T383)=0,"n/a",IF(AND($M$5&lt;&gt;"Snapshot",ISNUMBER(INDEX('Market Data'!$AH$5:$AH$66,INDEX('Market Data'!$J$5:$J$528,$T383)-4)),N(INDEX('Market Data'!$AH$5:$AH$66,INDEX('Market Data'!$J$5:$J$528,$T383)-4))&gt;0),INDEX('Market Data'!$AH$5:$AH$66,INDEX('Market Data'!$J$5:$J$528,$T383)-4),IF(AND($M$5&lt;&gt;"Bloomberg",ISNUMBER(INDEX('Market Data'!$AC$5:$AC$66,INDEX('Market Data'!$J$5:$J$528,$T383)-4)),N(INDEX('Market Data'!$AC$5:$AC$66,INDEX('Market Data'!$J$5:$J$528,$T383)-4))&gt;0),INDEX('Market Data'!$AC$5:$AC$66,INDEX('Market Data'!$J$5:$J$528,$T383)-4),"unavailable"))))</f>
        <v/>
      </c>
      <c r="M383" s="11">
        <f>IF($T383=0,"",IF(INDEX('Market Data'!$J$5:$J$528,$T383)=0,"n/a",IF(IF(INDEX('Market Data'!$J$5:$J$528,$T383)=0,0,IF(LEFT(INDEX('Market Data'!$AS$5:$AS$66,INDEX('Market Data'!$J$5:$J$528,$T383)-4),11)="First-month",1,0))=1,"class review",IF($I383="Bloomberg",IF(AND(ISNUMBER(INDEX('Market Data'!$AH$5:$AH$66,INDEX('Market Data'!$J$5:$J$528,$T383)-4)),N(INDEX('Market Data'!$AH$5:$AH$66,INDEX('Market Data'!$J$5:$J$528,$T383)-4))&gt;0,ISNUMBER('Market Data'!$B$1),N('Market Data'!$B$1)&gt;0),INDEX('Market Data'!$AH$5:$AH$66,INDEX('Market Data'!$J$5:$J$528,$T383)-4)*'Market Data'!$B$1/$E383-1,"pending A/FX"),IF(AND($I383="Snapshot",$Q383="Snapshot",ISNUMBER($E383),$G383=INDEX('Market Data'!$AE$5:$AE$66,INDEX('Market Data'!$J$5:$J$528,$T383)-4)),IFERROR(INDEX('Market Data'!$AC$5:$AC$66,INDEX('Market Data'!$J$5:$J$528,$T383)-4)*INDEX('Market Data'!$AD$5:$AD$66,INDEX('Market Data'!$J$5:$J$528,$T383)-4)/$E383-1,"unavailable"),IF($I383="Unavailable","unavailable","date mismatch"))))))</f>
        <v/>
      </c>
      <c r="N383" s="11">
        <f>IF($T383=0,"",IFERROR(IF(AND(N(INDEX('Market Data'!$F$5:$F$528,$T383))&gt;0,ISNUMBER(INDEX('Market Data'!$T$5:$T$528,$T383))),$E383*INDEX('Market Data'!$T$5:$T$528,$T383)/INDEX('Market Data'!$F$5:$F$528,$T383)-1,"unavailable"),"unavailable"))</f>
        <v/>
      </c>
      <c r="O383" s="9">
        <f>IF($T383=0,"",IF(IF(INDEX('Market Data'!$J$5:$J$528,$T383)=0,0,IF(LEFT(INDEX('Market Data'!$AS$5:$AS$66,INDEX('Market Data'!$J$5:$J$528,$T383)-4),11)="First-month",1,0))=1,"Class ratio review",IF($I383="Bloomberg",IF(ISNUMBER($G383),IF($G383&lt;TODAY(),"Older quote","See quote time"),"Date unavailable"),IF($I383="Snapshot",IF($G383&lt;DATEVALUE("2026-10-02"),"Older snapshot","Dated close"),"No valid quote"))))</f>
        <v/>
      </c>
      <c r="P383" s="14">
        <f>IF($T383=0,"",IF(INDEX('Market Data'!$J$5:$J$528,$T383)=0,"n/a",IF($Q383="Bloomberg",IF(AND(ISNUMBER(INDEX('Market Data'!$AK$5:$AK$66,INDEX('Market Data'!$J$5:$J$528,$T383)-4)),N(INDEX('Market Data'!$AK$5:$AK$66,INDEX('Market Data'!$J$5:$J$528,$T383)-4))&gt;0),INDEX('Market Data'!$AK$5:$AK$66,INDEX('Market Data'!$J$5:$J$528,$T383)-4),"date unavailable"),IF($Q383="Snapshot",IF(AND(ISNUMBER(INDEX('Market Data'!$AF$5:$AF$66,INDEX('Market Data'!$J$5:$J$528,$T383)-4)),N(INDEX('Market Data'!$AF$5:$AF$66,INDEX('Market Data'!$J$5:$J$528,$T383)-4))&gt;0),INDEX('Market Data'!$AF$5:$AF$66,INDEX('Market Data'!$J$5:$J$528,$T383)-4),"date unavailable"),"date unavailable"))))</f>
        <v/>
      </c>
      <c r="Q383" s="15">
        <f>IF($T383=0,"",IF(INDEX('Market Data'!$J$5:$J$528,$T383)=0,"n/a",IF(AND($M$5&lt;&gt;"Snapshot",ISNUMBER(INDEX('Market Data'!$AH$5:$AH$66,INDEX('Market Data'!$J$5:$J$528,$T383)-4)),N(INDEX('Market Data'!$AH$5:$AH$66,INDEX('Market Data'!$J$5:$J$528,$T383)-4))&gt;0),"Bloomberg",IF(AND($M$5&lt;&gt;"Bloomberg",ISNUMBER(INDEX('Market Data'!$AC$5:$AC$66,INDEX('Market Data'!$J$5:$J$528,$T383)-4)),N(INDEX('Market Data'!$AC$5:$AC$66,INDEX('Market Data'!$J$5:$J$528,$T383)-4))&gt;0),"Snapshot","Unavailable"))))</f>
        <v/>
      </c>
      <c r="T383">
        <f>IFERROR(MATCH(375,'Market Data'!$S$5:$S$528,0),0)</f>
        <v/>
      </c>
    </row>
    <row r="384" ht="34" customHeight="1">
      <c r="A384" s="8">
        <f>IF($T384=0,"",IF(INDEX('Market Data'!$A$5:$A$528,$T384)="","",INDEX('Market Data'!$A$5:$A$528,$T384)))</f>
        <v/>
      </c>
      <c r="B384" s="9">
        <f>IF($T384=0,"",IF(INDEX('Market Data'!$B$5:$B$528,$T384)="","",INDEX('Market Data'!$B$5:$B$528,$T384)))</f>
        <v/>
      </c>
      <c r="C384" s="9">
        <f>IF($T384=0,"",IF(INDEX('Market Data'!$C$5:$C$528,$T384)="","",INDEX('Market Data'!$C$5:$C$528,$T384)))</f>
        <v/>
      </c>
      <c r="D384" s="9">
        <f>IF($T384=0,"",IF(INDEX('Market Data'!$D$5:$D$528,$T384)="","",INDEX('Market Data'!$D$5:$D$528,$T384)))</f>
        <v/>
      </c>
      <c r="E384" s="10">
        <f>IF($T384=0,"",INDEX('Market Data'!$O$5:$O$528,$T384))</f>
        <v/>
      </c>
      <c r="F384" s="11">
        <f>IF($T384=0,"",IF(AND($I384="Bloomberg",ISNUMBER(INDEX('Market Data'!$L$5:$L$528,$T384))),INDEX('Market Data'!$L$5:$L$528,$T384),"unavailable"))</f>
        <v/>
      </c>
      <c r="G384" s="12">
        <f>IF($T384=0,"",IF($I384="Bloomberg",IF(AND(ISNUMBER(INDEX('Market Data'!$M$5:$M$528,$T384)),N(INDEX('Market Data'!$M$5:$M$528,$T384))&gt;0),INDEX('Market Data'!$M$5:$M$528,$T384),"date unavailable"),IF($I384="Snapshot",IF(AND(ISNUMBER(INDEX('Market Data'!$H$5:$H$528,$T384)),N(INDEX('Market Data'!$H$5:$H$528,$T384))&gt;0),INDEX('Market Data'!$H$5:$H$528,$T384),"date unavailable"),"date unavailable")))</f>
        <v/>
      </c>
      <c r="H384" s="9">
        <f>IF($T384=0,"",IF($I384="Bloomberg",IF(INDEX('Market Data'!$N$5:$N$528,$T384)="","time unavailable",INDEX('Market Data'!$N$5:$N$528,$T384)),""))</f>
        <v/>
      </c>
      <c r="I384" s="9">
        <f>IF($T384=0,"",INDEX('Market Data'!$P$5:$P$528,$T384))</f>
        <v/>
      </c>
      <c r="J384" s="13">
        <f>IF($T384=0,"",IF(INDEX('Market Data'!$E$5:$E$528,$T384)="","",INDEX('Market Data'!$E$5:$E$528,$T384)))</f>
        <v/>
      </c>
      <c r="K384" s="8">
        <f>IF($T384=0,"",IF(INDEX('Market Data'!$I$5:$I$528,$T384)="","",INDEX('Market Data'!$I$5:$I$528,$T384)))</f>
        <v/>
      </c>
      <c r="L384" s="10">
        <f>IF($T384=0,"",IF(INDEX('Market Data'!$J$5:$J$528,$T384)=0,"n/a",IF(AND($M$5&lt;&gt;"Snapshot",ISNUMBER(INDEX('Market Data'!$AH$5:$AH$66,INDEX('Market Data'!$J$5:$J$528,$T384)-4)),N(INDEX('Market Data'!$AH$5:$AH$66,INDEX('Market Data'!$J$5:$J$528,$T384)-4))&gt;0),INDEX('Market Data'!$AH$5:$AH$66,INDEX('Market Data'!$J$5:$J$528,$T384)-4),IF(AND($M$5&lt;&gt;"Bloomberg",ISNUMBER(INDEX('Market Data'!$AC$5:$AC$66,INDEX('Market Data'!$J$5:$J$528,$T384)-4)),N(INDEX('Market Data'!$AC$5:$AC$66,INDEX('Market Data'!$J$5:$J$528,$T384)-4))&gt;0),INDEX('Market Data'!$AC$5:$AC$66,INDEX('Market Data'!$J$5:$J$528,$T384)-4),"unavailable"))))</f>
        <v/>
      </c>
      <c r="M384" s="11">
        <f>IF($T384=0,"",IF(INDEX('Market Data'!$J$5:$J$528,$T384)=0,"n/a",IF(IF(INDEX('Market Data'!$J$5:$J$528,$T384)=0,0,IF(LEFT(INDEX('Market Data'!$AS$5:$AS$66,INDEX('Market Data'!$J$5:$J$528,$T384)-4),11)="First-month",1,0))=1,"class review",IF($I384="Bloomberg",IF(AND(ISNUMBER(INDEX('Market Data'!$AH$5:$AH$66,INDEX('Market Data'!$J$5:$J$528,$T384)-4)),N(INDEX('Market Data'!$AH$5:$AH$66,INDEX('Market Data'!$J$5:$J$528,$T384)-4))&gt;0,ISNUMBER('Market Data'!$B$1),N('Market Data'!$B$1)&gt;0),INDEX('Market Data'!$AH$5:$AH$66,INDEX('Market Data'!$J$5:$J$528,$T384)-4)*'Market Data'!$B$1/$E384-1,"pending A/FX"),IF(AND($I384="Snapshot",$Q384="Snapshot",ISNUMBER($E384),$G384=INDEX('Market Data'!$AE$5:$AE$66,INDEX('Market Data'!$J$5:$J$528,$T384)-4)),IFERROR(INDEX('Market Data'!$AC$5:$AC$66,INDEX('Market Data'!$J$5:$J$528,$T384)-4)*INDEX('Market Data'!$AD$5:$AD$66,INDEX('Market Data'!$J$5:$J$528,$T384)-4)/$E384-1,"unavailable"),IF($I384="Unavailable","unavailable","date mismatch"))))))</f>
        <v/>
      </c>
      <c r="N384" s="11">
        <f>IF($T384=0,"",IFERROR(IF(AND(N(INDEX('Market Data'!$F$5:$F$528,$T384))&gt;0,ISNUMBER(INDEX('Market Data'!$T$5:$T$528,$T384))),$E384*INDEX('Market Data'!$T$5:$T$528,$T384)/INDEX('Market Data'!$F$5:$F$528,$T384)-1,"unavailable"),"unavailable"))</f>
        <v/>
      </c>
      <c r="O384" s="9">
        <f>IF($T384=0,"",IF(IF(INDEX('Market Data'!$J$5:$J$528,$T384)=0,0,IF(LEFT(INDEX('Market Data'!$AS$5:$AS$66,INDEX('Market Data'!$J$5:$J$528,$T384)-4),11)="First-month",1,0))=1,"Class ratio review",IF($I384="Bloomberg",IF(ISNUMBER($G384),IF($G384&lt;TODAY(),"Older quote","See quote time"),"Date unavailable"),IF($I384="Snapshot",IF($G384&lt;DATEVALUE("2026-10-02"),"Older snapshot","Dated close"),"No valid quote"))))</f>
        <v/>
      </c>
      <c r="P384" s="14">
        <f>IF($T384=0,"",IF(INDEX('Market Data'!$J$5:$J$528,$T384)=0,"n/a",IF($Q384="Bloomberg",IF(AND(ISNUMBER(INDEX('Market Data'!$AK$5:$AK$66,INDEX('Market Data'!$J$5:$J$528,$T384)-4)),N(INDEX('Market Data'!$AK$5:$AK$66,INDEX('Market Data'!$J$5:$J$528,$T384)-4))&gt;0),INDEX('Market Data'!$AK$5:$AK$66,INDEX('Market Data'!$J$5:$J$528,$T384)-4),"date unavailable"),IF($Q384="Snapshot",IF(AND(ISNUMBER(INDEX('Market Data'!$AF$5:$AF$66,INDEX('Market Data'!$J$5:$J$528,$T384)-4)),N(INDEX('Market Data'!$AF$5:$AF$66,INDEX('Market Data'!$J$5:$J$528,$T384)-4))&gt;0),INDEX('Market Data'!$AF$5:$AF$66,INDEX('Market Data'!$J$5:$J$528,$T384)-4),"date unavailable"),"date unavailable"))))</f>
        <v/>
      </c>
      <c r="Q384" s="15">
        <f>IF($T384=0,"",IF(INDEX('Market Data'!$J$5:$J$528,$T384)=0,"n/a",IF(AND($M$5&lt;&gt;"Snapshot",ISNUMBER(INDEX('Market Data'!$AH$5:$AH$66,INDEX('Market Data'!$J$5:$J$528,$T384)-4)),N(INDEX('Market Data'!$AH$5:$AH$66,INDEX('Market Data'!$J$5:$J$528,$T384)-4))&gt;0),"Bloomberg",IF(AND($M$5&lt;&gt;"Bloomberg",ISNUMBER(INDEX('Market Data'!$AC$5:$AC$66,INDEX('Market Data'!$J$5:$J$528,$T384)-4)),N(INDEX('Market Data'!$AC$5:$AC$66,INDEX('Market Data'!$J$5:$J$528,$T384)-4))&gt;0),"Snapshot","Unavailable"))))</f>
        <v/>
      </c>
      <c r="T384">
        <f>IFERROR(MATCH(376,'Market Data'!$S$5:$S$528,0),0)</f>
        <v/>
      </c>
    </row>
    <row r="385" ht="34" customHeight="1">
      <c r="A385" s="8">
        <f>IF($T385=0,"",IF(INDEX('Market Data'!$A$5:$A$528,$T385)="","",INDEX('Market Data'!$A$5:$A$528,$T385)))</f>
        <v/>
      </c>
      <c r="B385" s="9">
        <f>IF($T385=0,"",IF(INDEX('Market Data'!$B$5:$B$528,$T385)="","",INDEX('Market Data'!$B$5:$B$528,$T385)))</f>
        <v/>
      </c>
      <c r="C385" s="9">
        <f>IF($T385=0,"",IF(INDEX('Market Data'!$C$5:$C$528,$T385)="","",INDEX('Market Data'!$C$5:$C$528,$T385)))</f>
        <v/>
      </c>
      <c r="D385" s="9">
        <f>IF($T385=0,"",IF(INDEX('Market Data'!$D$5:$D$528,$T385)="","",INDEX('Market Data'!$D$5:$D$528,$T385)))</f>
        <v/>
      </c>
      <c r="E385" s="10">
        <f>IF($T385=0,"",INDEX('Market Data'!$O$5:$O$528,$T385))</f>
        <v/>
      </c>
      <c r="F385" s="11">
        <f>IF($T385=0,"",IF(AND($I385="Bloomberg",ISNUMBER(INDEX('Market Data'!$L$5:$L$528,$T385))),INDEX('Market Data'!$L$5:$L$528,$T385),"unavailable"))</f>
        <v/>
      </c>
      <c r="G385" s="12">
        <f>IF($T385=0,"",IF($I385="Bloomberg",IF(AND(ISNUMBER(INDEX('Market Data'!$M$5:$M$528,$T385)),N(INDEX('Market Data'!$M$5:$M$528,$T385))&gt;0),INDEX('Market Data'!$M$5:$M$528,$T385),"date unavailable"),IF($I385="Snapshot",IF(AND(ISNUMBER(INDEX('Market Data'!$H$5:$H$528,$T385)),N(INDEX('Market Data'!$H$5:$H$528,$T385))&gt;0),INDEX('Market Data'!$H$5:$H$528,$T385),"date unavailable"),"date unavailable")))</f>
        <v/>
      </c>
      <c r="H385" s="9">
        <f>IF($T385=0,"",IF($I385="Bloomberg",IF(INDEX('Market Data'!$N$5:$N$528,$T385)="","time unavailable",INDEX('Market Data'!$N$5:$N$528,$T385)),""))</f>
        <v/>
      </c>
      <c r="I385" s="9">
        <f>IF($T385=0,"",INDEX('Market Data'!$P$5:$P$528,$T385))</f>
        <v/>
      </c>
      <c r="J385" s="13">
        <f>IF($T385=0,"",IF(INDEX('Market Data'!$E$5:$E$528,$T385)="","",INDEX('Market Data'!$E$5:$E$528,$T385)))</f>
        <v/>
      </c>
      <c r="K385" s="8">
        <f>IF($T385=0,"",IF(INDEX('Market Data'!$I$5:$I$528,$T385)="","",INDEX('Market Data'!$I$5:$I$528,$T385)))</f>
        <v/>
      </c>
      <c r="L385" s="10">
        <f>IF($T385=0,"",IF(INDEX('Market Data'!$J$5:$J$528,$T385)=0,"n/a",IF(AND($M$5&lt;&gt;"Snapshot",ISNUMBER(INDEX('Market Data'!$AH$5:$AH$66,INDEX('Market Data'!$J$5:$J$528,$T385)-4)),N(INDEX('Market Data'!$AH$5:$AH$66,INDEX('Market Data'!$J$5:$J$528,$T385)-4))&gt;0),INDEX('Market Data'!$AH$5:$AH$66,INDEX('Market Data'!$J$5:$J$528,$T385)-4),IF(AND($M$5&lt;&gt;"Bloomberg",ISNUMBER(INDEX('Market Data'!$AC$5:$AC$66,INDEX('Market Data'!$J$5:$J$528,$T385)-4)),N(INDEX('Market Data'!$AC$5:$AC$66,INDEX('Market Data'!$J$5:$J$528,$T385)-4))&gt;0),INDEX('Market Data'!$AC$5:$AC$66,INDEX('Market Data'!$J$5:$J$528,$T385)-4),"unavailable"))))</f>
        <v/>
      </c>
      <c r="M385" s="11">
        <f>IF($T385=0,"",IF(INDEX('Market Data'!$J$5:$J$528,$T385)=0,"n/a",IF(IF(INDEX('Market Data'!$J$5:$J$528,$T385)=0,0,IF(LEFT(INDEX('Market Data'!$AS$5:$AS$66,INDEX('Market Data'!$J$5:$J$528,$T385)-4),11)="First-month",1,0))=1,"class review",IF($I385="Bloomberg",IF(AND(ISNUMBER(INDEX('Market Data'!$AH$5:$AH$66,INDEX('Market Data'!$J$5:$J$528,$T385)-4)),N(INDEX('Market Data'!$AH$5:$AH$66,INDEX('Market Data'!$J$5:$J$528,$T385)-4))&gt;0,ISNUMBER('Market Data'!$B$1),N('Market Data'!$B$1)&gt;0),INDEX('Market Data'!$AH$5:$AH$66,INDEX('Market Data'!$J$5:$J$528,$T385)-4)*'Market Data'!$B$1/$E385-1,"pending A/FX"),IF(AND($I385="Snapshot",$Q385="Snapshot",ISNUMBER($E385),$G385=INDEX('Market Data'!$AE$5:$AE$66,INDEX('Market Data'!$J$5:$J$528,$T385)-4)),IFERROR(INDEX('Market Data'!$AC$5:$AC$66,INDEX('Market Data'!$J$5:$J$528,$T385)-4)*INDEX('Market Data'!$AD$5:$AD$66,INDEX('Market Data'!$J$5:$J$528,$T385)-4)/$E385-1,"unavailable"),IF($I385="Unavailable","unavailable","date mismatch"))))))</f>
        <v/>
      </c>
      <c r="N385" s="11">
        <f>IF($T385=0,"",IFERROR(IF(AND(N(INDEX('Market Data'!$F$5:$F$528,$T385))&gt;0,ISNUMBER(INDEX('Market Data'!$T$5:$T$528,$T385))),$E385*INDEX('Market Data'!$T$5:$T$528,$T385)/INDEX('Market Data'!$F$5:$F$528,$T385)-1,"unavailable"),"unavailable"))</f>
        <v/>
      </c>
      <c r="O385" s="9">
        <f>IF($T385=0,"",IF(IF(INDEX('Market Data'!$J$5:$J$528,$T385)=0,0,IF(LEFT(INDEX('Market Data'!$AS$5:$AS$66,INDEX('Market Data'!$J$5:$J$528,$T385)-4),11)="First-month",1,0))=1,"Class ratio review",IF($I385="Bloomberg",IF(ISNUMBER($G385),IF($G385&lt;TODAY(),"Older quote","See quote time"),"Date unavailable"),IF($I385="Snapshot",IF($G385&lt;DATEVALUE("2026-10-02"),"Older snapshot","Dated close"),"No valid quote"))))</f>
        <v/>
      </c>
      <c r="P385" s="14">
        <f>IF($T385=0,"",IF(INDEX('Market Data'!$J$5:$J$528,$T385)=0,"n/a",IF($Q385="Bloomberg",IF(AND(ISNUMBER(INDEX('Market Data'!$AK$5:$AK$66,INDEX('Market Data'!$J$5:$J$528,$T385)-4)),N(INDEX('Market Data'!$AK$5:$AK$66,INDEX('Market Data'!$J$5:$J$528,$T385)-4))&gt;0),INDEX('Market Data'!$AK$5:$AK$66,INDEX('Market Data'!$J$5:$J$528,$T385)-4),"date unavailable"),IF($Q385="Snapshot",IF(AND(ISNUMBER(INDEX('Market Data'!$AF$5:$AF$66,INDEX('Market Data'!$J$5:$J$528,$T385)-4)),N(INDEX('Market Data'!$AF$5:$AF$66,INDEX('Market Data'!$J$5:$J$528,$T385)-4))&gt;0),INDEX('Market Data'!$AF$5:$AF$66,INDEX('Market Data'!$J$5:$J$528,$T385)-4),"date unavailable"),"date unavailable"))))</f>
        <v/>
      </c>
      <c r="Q385" s="15">
        <f>IF($T385=0,"",IF(INDEX('Market Data'!$J$5:$J$528,$T385)=0,"n/a",IF(AND($M$5&lt;&gt;"Snapshot",ISNUMBER(INDEX('Market Data'!$AH$5:$AH$66,INDEX('Market Data'!$J$5:$J$528,$T385)-4)),N(INDEX('Market Data'!$AH$5:$AH$66,INDEX('Market Data'!$J$5:$J$528,$T385)-4))&gt;0),"Bloomberg",IF(AND($M$5&lt;&gt;"Bloomberg",ISNUMBER(INDEX('Market Data'!$AC$5:$AC$66,INDEX('Market Data'!$J$5:$J$528,$T385)-4)),N(INDEX('Market Data'!$AC$5:$AC$66,INDEX('Market Data'!$J$5:$J$528,$T385)-4))&gt;0),"Snapshot","Unavailable"))))</f>
        <v/>
      </c>
      <c r="T385">
        <f>IFERROR(MATCH(377,'Market Data'!$S$5:$S$528,0),0)</f>
        <v/>
      </c>
    </row>
    <row r="386" ht="34" customHeight="1">
      <c r="A386" s="8">
        <f>IF($T386=0,"",IF(INDEX('Market Data'!$A$5:$A$528,$T386)="","",INDEX('Market Data'!$A$5:$A$528,$T386)))</f>
        <v/>
      </c>
      <c r="B386" s="9">
        <f>IF($T386=0,"",IF(INDEX('Market Data'!$B$5:$B$528,$T386)="","",INDEX('Market Data'!$B$5:$B$528,$T386)))</f>
        <v/>
      </c>
      <c r="C386" s="9">
        <f>IF($T386=0,"",IF(INDEX('Market Data'!$C$5:$C$528,$T386)="","",INDEX('Market Data'!$C$5:$C$528,$T386)))</f>
        <v/>
      </c>
      <c r="D386" s="9">
        <f>IF($T386=0,"",IF(INDEX('Market Data'!$D$5:$D$528,$T386)="","",INDEX('Market Data'!$D$5:$D$528,$T386)))</f>
        <v/>
      </c>
      <c r="E386" s="10">
        <f>IF($T386=0,"",INDEX('Market Data'!$O$5:$O$528,$T386))</f>
        <v/>
      </c>
      <c r="F386" s="11">
        <f>IF($T386=0,"",IF(AND($I386="Bloomberg",ISNUMBER(INDEX('Market Data'!$L$5:$L$528,$T386))),INDEX('Market Data'!$L$5:$L$528,$T386),"unavailable"))</f>
        <v/>
      </c>
      <c r="G386" s="12">
        <f>IF($T386=0,"",IF($I386="Bloomberg",IF(AND(ISNUMBER(INDEX('Market Data'!$M$5:$M$528,$T386)),N(INDEX('Market Data'!$M$5:$M$528,$T386))&gt;0),INDEX('Market Data'!$M$5:$M$528,$T386),"date unavailable"),IF($I386="Snapshot",IF(AND(ISNUMBER(INDEX('Market Data'!$H$5:$H$528,$T386)),N(INDEX('Market Data'!$H$5:$H$528,$T386))&gt;0),INDEX('Market Data'!$H$5:$H$528,$T386),"date unavailable"),"date unavailable")))</f>
        <v/>
      </c>
      <c r="H386" s="9">
        <f>IF($T386=0,"",IF($I386="Bloomberg",IF(INDEX('Market Data'!$N$5:$N$528,$T386)="","time unavailable",INDEX('Market Data'!$N$5:$N$528,$T386)),""))</f>
        <v/>
      </c>
      <c r="I386" s="9">
        <f>IF($T386=0,"",INDEX('Market Data'!$P$5:$P$528,$T386))</f>
        <v/>
      </c>
      <c r="J386" s="13">
        <f>IF($T386=0,"",IF(INDEX('Market Data'!$E$5:$E$528,$T386)="","",INDEX('Market Data'!$E$5:$E$528,$T386)))</f>
        <v/>
      </c>
      <c r="K386" s="8">
        <f>IF($T386=0,"",IF(INDEX('Market Data'!$I$5:$I$528,$T386)="","",INDEX('Market Data'!$I$5:$I$528,$T386)))</f>
        <v/>
      </c>
      <c r="L386" s="10">
        <f>IF($T386=0,"",IF(INDEX('Market Data'!$J$5:$J$528,$T386)=0,"n/a",IF(AND($M$5&lt;&gt;"Snapshot",ISNUMBER(INDEX('Market Data'!$AH$5:$AH$66,INDEX('Market Data'!$J$5:$J$528,$T386)-4)),N(INDEX('Market Data'!$AH$5:$AH$66,INDEX('Market Data'!$J$5:$J$528,$T386)-4))&gt;0),INDEX('Market Data'!$AH$5:$AH$66,INDEX('Market Data'!$J$5:$J$528,$T386)-4),IF(AND($M$5&lt;&gt;"Bloomberg",ISNUMBER(INDEX('Market Data'!$AC$5:$AC$66,INDEX('Market Data'!$J$5:$J$528,$T386)-4)),N(INDEX('Market Data'!$AC$5:$AC$66,INDEX('Market Data'!$J$5:$J$528,$T386)-4))&gt;0),INDEX('Market Data'!$AC$5:$AC$66,INDEX('Market Data'!$J$5:$J$528,$T386)-4),"unavailable"))))</f>
        <v/>
      </c>
      <c r="M386" s="11">
        <f>IF($T386=0,"",IF(INDEX('Market Data'!$J$5:$J$528,$T386)=0,"n/a",IF(IF(INDEX('Market Data'!$J$5:$J$528,$T386)=0,0,IF(LEFT(INDEX('Market Data'!$AS$5:$AS$66,INDEX('Market Data'!$J$5:$J$528,$T386)-4),11)="First-month",1,0))=1,"class review",IF($I386="Bloomberg",IF(AND(ISNUMBER(INDEX('Market Data'!$AH$5:$AH$66,INDEX('Market Data'!$J$5:$J$528,$T386)-4)),N(INDEX('Market Data'!$AH$5:$AH$66,INDEX('Market Data'!$J$5:$J$528,$T386)-4))&gt;0,ISNUMBER('Market Data'!$B$1),N('Market Data'!$B$1)&gt;0),INDEX('Market Data'!$AH$5:$AH$66,INDEX('Market Data'!$J$5:$J$528,$T386)-4)*'Market Data'!$B$1/$E386-1,"pending A/FX"),IF(AND($I386="Snapshot",$Q386="Snapshot",ISNUMBER($E386),$G386=INDEX('Market Data'!$AE$5:$AE$66,INDEX('Market Data'!$J$5:$J$528,$T386)-4)),IFERROR(INDEX('Market Data'!$AC$5:$AC$66,INDEX('Market Data'!$J$5:$J$528,$T386)-4)*INDEX('Market Data'!$AD$5:$AD$66,INDEX('Market Data'!$J$5:$J$528,$T386)-4)/$E386-1,"unavailable"),IF($I386="Unavailable","unavailable","date mismatch"))))))</f>
        <v/>
      </c>
      <c r="N386" s="11">
        <f>IF($T386=0,"",IFERROR(IF(AND(N(INDEX('Market Data'!$F$5:$F$528,$T386))&gt;0,ISNUMBER(INDEX('Market Data'!$T$5:$T$528,$T386))),$E386*INDEX('Market Data'!$T$5:$T$528,$T386)/INDEX('Market Data'!$F$5:$F$528,$T386)-1,"unavailable"),"unavailable"))</f>
        <v/>
      </c>
      <c r="O386" s="9">
        <f>IF($T386=0,"",IF(IF(INDEX('Market Data'!$J$5:$J$528,$T386)=0,0,IF(LEFT(INDEX('Market Data'!$AS$5:$AS$66,INDEX('Market Data'!$J$5:$J$528,$T386)-4),11)="First-month",1,0))=1,"Class ratio review",IF($I386="Bloomberg",IF(ISNUMBER($G386),IF($G386&lt;TODAY(),"Older quote","See quote time"),"Date unavailable"),IF($I386="Snapshot",IF($G386&lt;DATEVALUE("2026-10-02"),"Older snapshot","Dated close"),"No valid quote"))))</f>
        <v/>
      </c>
      <c r="P386" s="14">
        <f>IF($T386=0,"",IF(INDEX('Market Data'!$J$5:$J$528,$T386)=0,"n/a",IF($Q386="Bloomberg",IF(AND(ISNUMBER(INDEX('Market Data'!$AK$5:$AK$66,INDEX('Market Data'!$J$5:$J$528,$T386)-4)),N(INDEX('Market Data'!$AK$5:$AK$66,INDEX('Market Data'!$J$5:$J$528,$T386)-4))&gt;0),INDEX('Market Data'!$AK$5:$AK$66,INDEX('Market Data'!$J$5:$J$528,$T386)-4),"date unavailable"),IF($Q386="Snapshot",IF(AND(ISNUMBER(INDEX('Market Data'!$AF$5:$AF$66,INDEX('Market Data'!$J$5:$J$528,$T386)-4)),N(INDEX('Market Data'!$AF$5:$AF$66,INDEX('Market Data'!$J$5:$J$528,$T386)-4))&gt;0),INDEX('Market Data'!$AF$5:$AF$66,INDEX('Market Data'!$J$5:$J$528,$T386)-4),"date unavailable"),"date unavailable"))))</f>
        <v/>
      </c>
      <c r="Q386" s="15">
        <f>IF($T386=0,"",IF(INDEX('Market Data'!$J$5:$J$528,$T386)=0,"n/a",IF(AND($M$5&lt;&gt;"Snapshot",ISNUMBER(INDEX('Market Data'!$AH$5:$AH$66,INDEX('Market Data'!$J$5:$J$528,$T386)-4)),N(INDEX('Market Data'!$AH$5:$AH$66,INDEX('Market Data'!$J$5:$J$528,$T386)-4))&gt;0),"Bloomberg",IF(AND($M$5&lt;&gt;"Bloomberg",ISNUMBER(INDEX('Market Data'!$AC$5:$AC$66,INDEX('Market Data'!$J$5:$J$528,$T386)-4)),N(INDEX('Market Data'!$AC$5:$AC$66,INDEX('Market Data'!$J$5:$J$528,$T386)-4))&gt;0),"Snapshot","Unavailable"))))</f>
        <v/>
      </c>
      <c r="T386">
        <f>IFERROR(MATCH(378,'Market Data'!$S$5:$S$528,0),0)</f>
        <v/>
      </c>
    </row>
    <row r="387" ht="34" customHeight="1">
      <c r="A387" s="8">
        <f>IF($T387=0,"",IF(INDEX('Market Data'!$A$5:$A$528,$T387)="","",INDEX('Market Data'!$A$5:$A$528,$T387)))</f>
        <v/>
      </c>
      <c r="B387" s="9">
        <f>IF($T387=0,"",IF(INDEX('Market Data'!$B$5:$B$528,$T387)="","",INDEX('Market Data'!$B$5:$B$528,$T387)))</f>
        <v/>
      </c>
      <c r="C387" s="9">
        <f>IF($T387=0,"",IF(INDEX('Market Data'!$C$5:$C$528,$T387)="","",INDEX('Market Data'!$C$5:$C$528,$T387)))</f>
        <v/>
      </c>
      <c r="D387" s="9">
        <f>IF($T387=0,"",IF(INDEX('Market Data'!$D$5:$D$528,$T387)="","",INDEX('Market Data'!$D$5:$D$528,$T387)))</f>
        <v/>
      </c>
      <c r="E387" s="10">
        <f>IF($T387=0,"",INDEX('Market Data'!$O$5:$O$528,$T387))</f>
        <v/>
      </c>
      <c r="F387" s="11">
        <f>IF($T387=0,"",IF(AND($I387="Bloomberg",ISNUMBER(INDEX('Market Data'!$L$5:$L$528,$T387))),INDEX('Market Data'!$L$5:$L$528,$T387),"unavailable"))</f>
        <v/>
      </c>
      <c r="G387" s="12">
        <f>IF($T387=0,"",IF($I387="Bloomberg",IF(AND(ISNUMBER(INDEX('Market Data'!$M$5:$M$528,$T387)),N(INDEX('Market Data'!$M$5:$M$528,$T387))&gt;0),INDEX('Market Data'!$M$5:$M$528,$T387),"date unavailable"),IF($I387="Snapshot",IF(AND(ISNUMBER(INDEX('Market Data'!$H$5:$H$528,$T387)),N(INDEX('Market Data'!$H$5:$H$528,$T387))&gt;0),INDEX('Market Data'!$H$5:$H$528,$T387),"date unavailable"),"date unavailable")))</f>
        <v/>
      </c>
      <c r="H387" s="9">
        <f>IF($T387=0,"",IF($I387="Bloomberg",IF(INDEX('Market Data'!$N$5:$N$528,$T387)="","time unavailable",INDEX('Market Data'!$N$5:$N$528,$T387)),""))</f>
        <v/>
      </c>
      <c r="I387" s="9">
        <f>IF($T387=0,"",INDEX('Market Data'!$P$5:$P$528,$T387))</f>
        <v/>
      </c>
      <c r="J387" s="13">
        <f>IF($T387=0,"",IF(INDEX('Market Data'!$E$5:$E$528,$T387)="","",INDEX('Market Data'!$E$5:$E$528,$T387)))</f>
        <v/>
      </c>
      <c r="K387" s="8">
        <f>IF($T387=0,"",IF(INDEX('Market Data'!$I$5:$I$528,$T387)="","",INDEX('Market Data'!$I$5:$I$528,$T387)))</f>
        <v/>
      </c>
      <c r="L387" s="10">
        <f>IF($T387=0,"",IF(INDEX('Market Data'!$J$5:$J$528,$T387)=0,"n/a",IF(AND($M$5&lt;&gt;"Snapshot",ISNUMBER(INDEX('Market Data'!$AH$5:$AH$66,INDEX('Market Data'!$J$5:$J$528,$T387)-4)),N(INDEX('Market Data'!$AH$5:$AH$66,INDEX('Market Data'!$J$5:$J$528,$T387)-4))&gt;0),INDEX('Market Data'!$AH$5:$AH$66,INDEX('Market Data'!$J$5:$J$528,$T387)-4),IF(AND($M$5&lt;&gt;"Bloomberg",ISNUMBER(INDEX('Market Data'!$AC$5:$AC$66,INDEX('Market Data'!$J$5:$J$528,$T387)-4)),N(INDEX('Market Data'!$AC$5:$AC$66,INDEX('Market Data'!$J$5:$J$528,$T387)-4))&gt;0),INDEX('Market Data'!$AC$5:$AC$66,INDEX('Market Data'!$J$5:$J$528,$T387)-4),"unavailable"))))</f>
        <v/>
      </c>
      <c r="M387" s="11">
        <f>IF($T387=0,"",IF(INDEX('Market Data'!$J$5:$J$528,$T387)=0,"n/a",IF(IF(INDEX('Market Data'!$J$5:$J$528,$T387)=0,0,IF(LEFT(INDEX('Market Data'!$AS$5:$AS$66,INDEX('Market Data'!$J$5:$J$528,$T387)-4),11)="First-month",1,0))=1,"class review",IF($I387="Bloomberg",IF(AND(ISNUMBER(INDEX('Market Data'!$AH$5:$AH$66,INDEX('Market Data'!$J$5:$J$528,$T387)-4)),N(INDEX('Market Data'!$AH$5:$AH$66,INDEX('Market Data'!$J$5:$J$528,$T387)-4))&gt;0,ISNUMBER('Market Data'!$B$1),N('Market Data'!$B$1)&gt;0),INDEX('Market Data'!$AH$5:$AH$66,INDEX('Market Data'!$J$5:$J$528,$T387)-4)*'Market Data'!$B$1/$E387-1,"pending A/FX"),IF(AND($I387="Snapshot",$Q387="Snapshot",ISNUMBER($E387),$G387=INDEX('Market Data'!$AE$5:$AE$66,INDEX('Market Data'!$J$5:$J$528,$T387)-4)),IFERROR(INDEX('Market Data'!$AC$5:$AC$66,INDEX('Market Data'!$J$5:$J$528,$T387)-4)*INDEX('Market Data'!$AD$5:$AD$66,INDEX('Market Data'!$J$5:$J$528,$T387)-4)/$E387-1,"unavailable"),IF($I387="Unavailable","unavailable","date mismatch"))))))</f>
        <v/>
      </c>
      <c r="N387" s="11">
        <f>IF($T387=0,"",IFERROR(IF(AND(N(INDEX('Market Data'!$F$5:$F$528,$T387))&gt;0,ISNUMBER(INDEX('Market Data'!$T$5:$T$528,$T387))),$E387*INDEX('Market Data'!$T$5:$T$528,$T387)/INDEX('Market Data'!$F$5:$F$528,$T387)-1,"unavailable"),"unavailable"))</f>
        <v/>
      </c>
      <c r="O387" s="9">
        <f>IF($T387=0,"",IF(IF(INDEX('Market Data'!$J$5:$J$528,$T387)=0,0,IF(LEFT(INDEX('Market Data'!$AS$5:$AS$66,INDEX('Market Data'!$J$5:$J$528,$T387)-4),11)="First-month",1,0))=1,"Class ratio review",IF($I387="Bloomberg",IF(ISNUMBER($G387),IF($G387&lt;TODAY(),"Older quote","See quote time"),"Date unavailable"),IF($I387="Snapshot",IF($G387&lt;DATEVALUE("2026-10-02"),"Older snapshot","Dated close"),"No valid quote"))))</f>
        <v/>
      </c>
      <c r="P387" s="14">
        <f>IF($T387=0,"",IF(INDEX('Market Data'!$J$5:$J$528,$T387)=0,"n/a",IF($Q387="Bloomberg",IF(AND(ISNUMBER(INDEX('Market Data'!$AK$5:$AK$66,INDEX('Market Data'!$J$5:$J$528,$T387)-4)),N(INDEX('Market Data'!$AK$5:$AK$66,INDEX('Market Data'!$J$5:$J$528,$T387)-4))&gt;0),INDEX('Market Data'!$AK$5:$AK$66,INDEX('Market Data'!$J$5:$J$528,$T387)-4),"date unavailable"),IF($Q387="Snapshot",IF(AND(ISNUMBER(INDEX('Market Data'!$AF$5:$AF$66,INDEX('Market Data'!$J$5:$J$528,$T387)-4)),N(INDEX('Market Data'!$AF$5:$AF$66,INDEX('Market Data'!$J$5:$J$528,$T387)-4))&gt;0),INDEX('Market Data'!$AF$5:$AF$66,INDEX('Market Data'!$J$5:$J$528,$T387)-4),"date unavailable"),"date unavailable"))))</f>
        <v/>
      </c>
      <c r="Q387" s="15">
        <f>IF($T387=0,"",IF(INDEX('Market Data'!$J$5:$J$528,$T387)=0,"n/a",IF(AND($M$5&lt;&gt;"Snapshot",ISNUMBER(INDEX('Market Data'!$AH$5:$AH$66,INDEX('Market Data'!$J$5:$J$528,$T387)-4)),N(INDEX('Market Data'!$AH$5:$AH$66,INDEX('Market Data'!$J$5:$J$528,$T387)-4))&gt;0),"Bloomberg",IF(AND($M$5&lt;&gt;"Bloomberg",ISNUMBER(INDEX('Market Data'!$AC$5:$AC$66,INDEX('Market Data'!$J$5:$J$528,$T387)-4)),N(INDEX('Market Data'!$AC$5:$AC$66,INDEX('Market Data'!$J$5:$J$528,$T387)-4))&gt;0),"Snapshot","Unavailable"))))</f>
        <v/>
      </c>
      <c r="T387">
        <f>IFERROR(MATCH(379,'Market Data'!$S$5:$S$528,0),0)</f>
        <v/>
      </c>
    </row>
    <row r="388" ht="34" customHeight="1">
      <c r="A388" s="8">
        <f>IF($T388=0,"",IF(INDEX('Market Data'!$A$5:$A$528,$T388)="","",INDEX('Market Data'!$A$5:$A$528,$T388)))</f>
        <v/>
      </c>
      <c r="B388" s="9">
        <f>IF($T388=0,"",IF(INDEX('Market Data'!$B$5:$B$528,$T388)="","",INDEX('Market Data'!$B$5:$B$528,$T388)))</f>
        <v/>
      </c>
      <c r="C388" s="9">
        <f>IF($T388=0,"",IF(INDEX('Market Data'!$C$5:$C$528,$T388)="","",INDEX('Market Data'!$C$5:$C$528,$T388)))</f>
        <v/>
      </c>
      <c r="D388" s="9">
        <f>IF($T388=0,"",IF(INDEX('Market Data'!$D$5:$D$528,$T388)="","",INDEX('Market Data'!$D$5:$D$528,$T388)))</f>
        <v/>
      </c>
      <c r="E388" s="10">
        <f>IF($T388=0,"",INDEX('Market Data'!$O$5:$O$528,$T388))</f>
        <v/>
      </c>
      <c r="F388" s="11">
        <f>IF($T388=0,"",IF(AND($I388="Bloomberg",ISNUMBER(INDEX('Market Data'!$L$5:$L$528,$T388))),INDEX('Market Data'!$L$5:$L$528,$T388),"unavailable"))</f>
        <v/>
      </c>
      <c r="G388" s="12">
        <f>IF($T388=0,"",IF($I388="Bloomberg",IF(AND(ISNUMBER(INDEX('Market Data'!$M$5:$M$528,$T388)),N(INDEX('Market Data'!$M$5:$M$528,$T388))&gt;0),INDEX('Market Data'!$M$5:$M$528,$T388),"date unavailable"),IF($I388="Snapshot",IF(AND(ISNUMBER(INDEX('Market Data'!$H$5:$H$528,$T388)),N(INDEX('Market Data'!$H$5:$H$528,$T388))&gt;0),INDEX('Market Data'!$H$5:$H$528,$T388),"date unavailable"),"date unavailable")))</f>
        <v/>
      </c>
      <c r="H388" s="9">
        <f>IF($T388=0,"",IF($I388="Bloomberg",IF(INDEX('Market Data'!$N$5:$N$528,$T388)="","time unavailable",INDEX('Market Data'!$N$5:$N$528,$T388)),""))</f>
        <v/>
      </c>
      <c r="I388" s="9">
        <f>IF($T388=0,"",INDEX('Market Data'!$P$5:$P$528,$T388))</f>
        <v/>
      </c>
      <c r="J388" s="13">
        <f>IF($T388=0,"",IF(INDEX('Market Data'!$E$5:$E$528,$T388)="","",INDEX('Market Data'!$E$5:$E$528,$T388)))</f>
        <v/>
      </c>
      <c r="K388" s="8">
        <f>IF($T388=0,"",IF(INDEX('Market Data'!$I$5:$I$528,$T388)="","",INDEX('Market Data'!$I$5:$I$528,$T388)))</f>
        <v/>
      </c>
      <c r="L388" s="10">
        <f>IF($T388=0,"",IF(INDEX('Market Data'!$J$5:$J$528,$T388)=0,"n/a",IF(AND($M$5&lt;&gt;"Snapshot",ISNUMBER(INDEX('Market Data'!$AH$5:$AH$66,INDEX('Market Data'!$J$5:$J$528,$T388)-4)),N(INDEX('Market Data'!$AH$5:$AH$66,INDEX('Market Data'!$J$5:$J$528,$T388)-4))&gt;0),INDEX('Market Data'!$AH$5:$AH$66,INDEX('Market Data'!$J$5:$J$528,$T388)-4),IF(AND($M$5&lt;&gt;"Bloomberg",ISNUMBER(INDEX('Market Data'!$AC$5:$AC$66,INDEX('Market Data'!$J$5:$J$528,$T388)-4)),N(INDEX('Market Data'!$AC$5:$AC$66,INDEX('Market Data'!$J$5:$J$528,$T388)-4))&gt;0),INDEX('Market Data'!$AC$5:$AC$66,INDEX('Market Data'!$J$5:$J$528,$T388)-4),"unavailable"))))</f>
        <v/>
      </c>
      <c r="M388" s="11">
        <f>IF($T388=0,"",IF(INDEX('Market Data'!$J$5:$J$528,$T388)=0,"n/a",IF(IF(INDEX('Market Data'!$J$5:$J$528,$T388)=0,0,IF(LEFT(INDEX('Market Data'!$AS$5:$AS$66,INDEX('Market Data'!$J$5:$J$528,$T388)-4),11)="First-month",1,0))=1,"class review",IF($I388="Bloomberg",IF(AND(ISNUMBER(INDEX('Market Data'!$AH$5:$AH$66,INDEX('Market Data'!$J$5:$J$528,$T388)-4)),N(INDEX('Market Data'!$AH$5:$AH$66,INDEX('Market Data'!$J$5:$J$528,$T388)-4))&gt;0,ISNUMBER('Market Data'!$B$1),N('Market Data'!$B$1)&gt;0),INDEX('Market Data'!$AH$5:$AH$66,INDEX('Market Data'!$J$5:$J$528,$T388)-4)*'Market Data'!$B$1/$E388-1,"pending A/FX"),IF(AND($I388="Snapshot",$Q388="Snapshot",ISNUMBER($E388),$G388=INDEX('Market Data'!$AE$5:$AE$66,INDEX('Market Data'!$J$5:$J$528,$T388)-4)),IFERROR(INDEX('Market Data'!$AC$5:$AC$66,INDEX('Market Data'!$J$5:$J$528,$T388)-4)*INDEX('Market Data'!$AD$5:$AD$66,INDEX('Market Data'!$J$5:$J$528,$T388)-4)/$E388-1,"unavailable"),IF($I388="Unavailable","unavailable","date mismatch"))))))</f>
        <v/>
      </c>
      <c r="N388" s="11">
        <f>IF($T388=0,"",IFERROR(IF(AND(N(INDEX('Market Data'!$F$5:$F$528,$T388))&gt;0,ISNUMBER(INDEX('Market Data'!$T$5:$T$528,$T388))),$E388*INDEX('Market Data'!$T$5:$T$528,$T388)/INDEX('Market Data'!$F$5:$F$528,$T388)-1,"unavailable"),"unavailable"))</f>
        <v/>
      </c>
      <c r="O388" s="9">
        <f>IF($T388=0,"",IF(IF(INDEX('Market Data'!$J$5:$J$528,$T388)=0,0,IF(LEFT(INDEX('Market Data'!$AS$5:$AS$66,INDEX('Market Data'!$J$5:$J$528,$T388)-4),11)="First-month",1,0))=1,"Class ratio review",IF($I388="Bloomberg",IF(ISNUMBER($G388),IF($G388&lt;TODAY(),"Older quote","See quote time"),"Date unavailable"),IF($I388="Snapshot",IF($G388&lt;DATEVALUE("2026-10-02"),"Older snapshot","Dated close"),"No valid quote"))))</f>
        <v/>
      </c>
      <c r="P388" s="14">
        <f>IF($T388=0,"",IF(INDEX('Market Data'!$J$5:$J$528,$T388)=0,"n/a",IF($Q388="Bloomberg",IF(AND(ISNUMBER(INDEX('Market Data'!$AK$5:$AK$66,INDEX('Market Data'!$J$5:$J$528,$T388)-4)),N(INDEX('Market Data'!$AK$5:$AK$66,INDEX('Market Data'!$J$5:$J$528,$T388)-4))&gt;0),INDEX('Market Data'!$AK$5:$AK$66,INDEX('Market Data'!$J$5:$J$528,$T388)-4),"date unavailable"),IF($Q388="Snapshot",IF(AND(ISNUMBER(INDEX('Market Data'!$AF$5:$AF$66,INDEX('Market Data'!$J$5:$J$528,$T388)-4)),N(INDEX('Market Data'!$AF$5:$AF$66,INDEX('Market Data'!$J$5:$J$528,$T388)-4))&gt;0),INDEX('Market Data'!$AF$5:$AF$66,INDEX('Market Data'!$J$5:$J$528,$T388)-4),"date unavailable"),"date unavailable"))))</f>
        <v/>
      </c>
      <c r="Q388" s="15">
        <f>IF($T388=0,"",IF(INDEX('Market Data'!$J$5:$J$528,$T388)=0,"n/a",IF(AND($M$5&lt;&gt;"Snapshot",ISNUMBER(INDEX('Market Data'!$AH$5:$AH$66,INDEX('Market Data'!$J$5:$J$528,$T388)-4)),N(INDEX('Market Data'!$AH$5:$AH$66,INDEX('Market Data'!$J$5:$J$528,$T388)-4))&gt;0),"Bloomberg",IF(AND($M$5&lt;&gt;"Bloomberg",ISNUMBER(INDEX('Market Data'!$AC$5:$AC$66,INDEX('Market Data'!$J$5:$J$528,$T388)-4)),N(INDEX('Market Data'!$AC$5:$AC$66,INDEX('Market Data'!$J$5:$J$528,$T388)-4))&gt;0),"Snapshot","Unavailable"))))</f>
        <v/>
      </c>
      <c r="T388">
        <f>IFERROR(MATCH(380,'Market Data'!$S$5:$S$528,0),0)</f>
        <v/>
      </c>
    </row>
    <row r="389" ht="34" customHeight="1">
      <c r="A389" s="8">
        <f>IF($T389=0,"",IF(INDEX('Market Data'!$A$5:$A$528,$T389)="","",INDEX('Market Data'!$A$5:$A$528,$T389)))</f>
        <v/>
      </c>
      <c r="B389" s="9">
        <f>IF($T389=0,"",IF(INDEX('Market Data'!$B$5:$B$528,$T389)="","",INDEX('Market Data'!$B$5:$B$528,$T389)))</f>
        <v/>
      </c>
      <c r="C389" s="9">
        <f>IF($T389=0,"",IF(INDEX('Market Data'!$C$5:$C$528,$T389)="","",INDEX('Market Data'!$C$5:$C$528,$T389)))</f>
        <v/>
      </c>
      <c r="D389" s="9">
        <f>IF($T389=0,"",IF(INDEX('Market Data'!$D$5:$D$528,$T389)="","",INDEX('Market Data'!$D$5:$D$528,$T389)))</f>
        <v/>
      </c>
      <c r="E389" s="10">
        <f>IF($T389=0,"",INDEX('Market Data'!$O$5:$O$528,$T389))</f>
        <v/>
      </c>
      <c r="F389" s="11">
        <f>IF($T389=0,"",IF(AND($I389="Bloomberg",ISNUMBER(INDEX('Market Data'!$L$5:$L$528,$T389))),INDEX('Market Data'!$L$5:$L$528,$T389),"unavailable"))</f>
        <v/>
      </c>
      <c r="G389" s="12">
        <f>IF($T389=0,"",IF($I389="Bloomberg",IF(AND(ISNUMBER(INDEX('Market Data'!$M$5:$M$528,$T389)),N(INDEX('Market Data'!$M$5:$M$528,$T389))&gt;0),INDEX('Market Data'!$M$5:$M$528,$T389),"date unavailable"),IF($I389="Snapshot",IF(AND(ISNUMBER(INDEX('Market Data'!$H$5:$H$528,$T389)),N(INDEX('Market Data'!$H$5:$H$528,$T389))&gt;0),INDEX('Market Data'!$H$5:$H$528,$T389),"date unavailable"),"date unavailable")))</f>
        <v/>
      </c>
      <c r="H389" s="9">
        <f>IF($T389=0,"",IF($I389="Bloomberg",IF(INDEX('Market Data'!$N$5:$N$528,$T389)="","time unavailable",INDEX('Market Data'!$N$5:$N$528,$T389)),""))</f>
        <v/>
      </c>
      <c r="I389" s="9">
        <f>IF($T389=0,"",INDEX('Market Data'!$P$5:$P$528,$T389))</f>
        <v/>
      </c>
      <c r="J389" s="13">
        <f>IF($T389=0,"",IF(INDEX('Market Data'!$E$5:$E$528,$T389)="","",INDEX('Market Data'!$E$5:$E$528,$T389)))</f>
        <v/>
      </c>
      <c r="K389" s="8">
        <f>IF($T389=0,"",IF(INDEX('Market Data'!$I$5:$I$528,$T389)="","",INDEX('Market Data'!$I$5:$I$528,$T389)))</f>
        <v/>
      </c>
      <c r="L389" s="10">
        <f>IF($T389=0,"",IF(INDEX('Market Data'!$J$5:$J$528,$T389)=0,"n/a",IF(AND($M$5&lt;&gt;"Snapshot",ISNUMBER(INDEX('Market Data'!$AH$5:$AH$66,INDEX('Market Data'!$J$5:$J$528,$T389)-4)),N(INDEX('Market Data'!$AH$5:$AH$66,INDEX('Market Data'!$J$5:$J$528,$T389)-4))&gt;0),INDEX('Market Data'!$AH$5:$AH$66,INDEX('Market Data'!$J$5:$J$528,$T389)-4),IF(AND($M$5&lt;&gt;"Bloomberg",ISNUMBER(INDEX('Market Data'!$AC$5:$AC$66,INDEX('Market Data'!$J$5:$J$528,$T389)-4)),N(INDEX('Market Data'!$AC$5:$AC$66,INDEX('Market Data'!$J$5:$J$528,$T389)-4))&gt;0),INDEX('Market Data'!$AC$5:$AC$66,INDEX('Market Data'!$J$5:$J$528,$T389)-4),"unavailable"))))</f>
        <v/>
      </c>
      <c r="M389" s="11">
        <f>IF($T389=0,"",IF(INDEX('Market Data'!$J$5:$J$528,$T389)=0,"n/a",IF(IF(INDEX('Market Data'!$J$5:$J$528,$T389)=0,0,IF(LEFT(INDEX('Market Data'!$AS$5:$AS$66,INDEX('Market Data'!$J$5:$J$528,$T389)-4),11)="First-month",1,0))=1,"class review",IF($I389="Bloomberg",IF(AND(ISNUMBER(INDEX('Market Data'!$AH$5:$AH$66,INDEX('Market Data'!$J$5:$J$528,$T389)-4)),N(INDEX('Market Data'!$AH$5:$AH$66,INDEX('Market Data'!$J$5:$J$528,$T389)-4))&gt;0,ISNUMBER('Market Data'!$B$1),N('Market Data'!$B$1)&gt;0),INDEX('Market Data'!$AH$5:$AH$66,INDEX('Market Data'!$J$5:$J$528,$T389)-4)*'Market Data'!$B$1/$E389-1,"pending A/FX"),IF(AND($I389="Snapshot",$Q389="Snapshot",ISNUMBER($E389),$G389=INDEX('Market Data'!$AE$5:$AE$66,INDEX('Market Data'!$J$5:$J$528,$T389)-4)),IFERROR(INDEX('Market Data'!$AC$5:$AC$66,INDEX('Market Data'!$J$5:$J$528,$T389)-4)*INDEX('Market Data'!$AD$5:$AD$66,INDEX('Market Data'!$J$5:$J$528,$T389)-4)/$E389-1,"unavailable"),IF($I389="Unavailable","unavailable","date mismatch"))))))</f>
        <v/>
      </c>
      <c r="N389" s="11">
        <f>IF($T389=0,"",IFERROR(IF(AND(N(INDEX('Market Data'!$F$5:$F$528,$T389))&gt;0,ISNUMBER(INDEX('Market Data'!$T$5:$T$528,$T389))),$E389*INDEX('Market Data'!$T$5:$T$528,$T389)/INDEX('Market Data'!$F$5:$F$528,$T389)-1,"unavailable"),"unavailable"))</f>
        <v/>
      </c>
      <c r="O389" s="9">
        <f>IF($T389=0,"",IF(IF(INDEX('Market Data'!$J$5:$J$528,$T389)=0,0,IF(LEFT(INDEX('Market Data'!$AS$5:$AS$66,INDEX('Market Data'!$J$5:$J$528,$T389)-4),11)="First-month",1,0))=1,"Class ratio review",IF($I389="Bloomberg",IF(ISNUMBER($G389),IF($G389&lt;TODAY(),"Older quote","See quote time"),"Date unavailable"),IF($I389="Snapshot",IF($G389&lt;DATEVALUE("2026-10-02"),"Older snapshot","Dated close"),"No valid quote"))))</f>
        <v/>
      </c>
      <c r="P389" s="14">
        <f>IF($T389=0,"",IF(INDEX('Market Data'!$J$5:$J$528,$T389)=0,"n/a",IF($Q389="Bloomberg",IF(AND(ISNUMBER(INDEX('Market Data'!$AK$5:$AK$66,INDEX('Market Data'!$J$5:$J$528,$T389)-4)),N(INDEX('Market Data'!$AK$5:$AK$66,INDEX('Market Data'!$J$5:$J$528,$T389)-4))&gt;0),INDEX('Market Data'!$AK$5:$AK$66,INDEX('Market Data'!$J$5:$J$528,$T389)-4),"date unavailable"),IF($Q389="Snapshot",IF(AND(ISNUMBER(INDEX('Market Data'!$AF$5:$AF$66,INDEX('Market Data'!$J$5:$J$528,$T389)-4)),N(INDEX('Market Data'!$AF$5:$AF$66,INDEX('Market Data'!$J$5:$J$528,$T389)-4))&gt;0),INDEX('Market Data'!$AF$5:$AF$66,INDEX('Market Data'!$J$5:$J$528,$T389)-4),"date unavailable"),"date unavailable"))))</f>
        <v/>
      </c>
      <c r="Q389" s="15">
        <f>IF($T389=0,"",IF(INDEX('Market Data'!$J$5:$J$528,$T389)=0,"n/a",IF(AND($M$5&lt;&gt;"Snapshot",ISNUMBER(INDEX('Market Data'!$AH$5:$AH$66,INDEX('Market Data'!$J$5:$J$528,$T389)-4)),N(INDEX('Market Data'!$AH$5:$AH$66,INDEX('Market Data'!$J$5:$J$528,$T389)-4))&gt;0),"Bloomberg",IF(AND($M$5&lt;&gt;"Bloomberg",ISNUMBER(INDEX('Market Data'!$AC$5:$AC$66,INDEX('Market Data'!$J$5:$J$528,$T389)-4)),N(INDEX('Market Data'!$AC$5:$AC$66,INDEX('Market Data'!$J$5:$J$528,$T389)-4))&gt;0),"Snapshot","Unavailable"))))</f>
        <v/>
      </c>
      <c r="T389">
        <f>IFERROR(MATCH(381,'Market Data'!$S$5:$S$528,0),0)</f>
        <v/>
      </c>
    </row>
    <row r="390" ht="34" customHeight="1">
      <c r="A390" s="8">
        <f>IF($T390=0,"",IF(INDEX('Market Data'!$A$5:$A$528,$T390)="","",INDEX('Market Data'!$A$5:$A$528,$T390)))</f>
        <v/>
      </c>
      <c r="B390" s="9">
        <f>IF($T390=0,"",IF(INDEX('Market Data'!$B$5:$B$528,$T390)="","",INDEX('Market Data'!$B$5:$B$528,$T390)))</f>
        <v/>
      </c>
      <c r="C390" s="9">
        <f>IF($T390=0,"",IF(INDEX('Market Data'!$C$5:$C$528,$T390)="","",INDEX('Market Data'!$C$5:$C$528,$T390)))</f>
        <v/>
      </c>
      <c r="D390" s="9">
        <f>IF($T390=0,"",IF(INDEX('Market Data'!$D$5:$D$528,$T390)="","",INDEX('Market Data'!$D$5:$D$528,$T390)))</f>
        <v/>
      </c>
      <c r="E390" s="10">
        <f>IF($T390=0,"",INDEX('Market Data'!$O$5:$O$528,$T390))</f>
        <v/>
      </c>
      <c r="F390" s="11">
        <f>IF($T390=0,"",IF(AND($I390="Bloomberg",ISNUMBER(INDEX('Market Data'!$L$5:$L$528,$T390))),INDEX('Market Data'!$L$5:$L$528,$T390),"unavailable"))</f>
        <v/>
      </c>
      <c r="G390" s="12">
        <f>IF($T390=0,"",IF($I390="Bloomberg",IF(AND(ISNUMBER(INDEX('Market Data'!$M$5:$M$528,$T390)),N(INDEX('Market Data'!$M$5:$M$528,$T390))&gt;0),INDEX('Market Data'!$M$5:$M$528,$T390),"date unavailable"),IF($I390="Snapshot",IF(AND(ISNUMBER(INDEX('Market Data'!$H$5:$H$528,$T390)),N(INDEX('Market Data'!$H$5:$H$528,$T390))&gt;0),INDEX('Market Data'!$H$5:$H$528,$T390),"date unavailable"),"date unavailable")))</f>
        <v/>
      </c>
      <c r="H390" s="9">
        <f>IF($T390=0,"",IF($I390="Bloomberg",IF(INDEX('Market Data'!$N$5:$N$528,$T390)="","time unavailable",INDEX('Market Data'!$N$5:$N$528,$T390)),""))</f>
        <v/>
      </c>
      <c r="I390" s="9">
        <f>IF($T390=0,"",INDEX('Market Data'!$P$5:$P$528,$T390))</f>
        <v/>
      </c>
      <c r="J390" s="13">
        <f>IF($T390=0,"",IF(INDEX('Market Data'!$E$5:$E$528,$T390)="","",INDEX('Market Data'!$E$5:$E$528,$T390)))</f>
        <v/>
      </c>
      <c r="K390" s="8">
        <f>IF($T390=0,"",IF(INDEX('Market Data'!$I$5:$I$528,$T390)="","",INDEX('Market Data'!$I$5:$I$528,$T390)))</f>
        <v/>
      </c>
      <c r="L390" s="10">
        <f>IF($T390=0,"",IF(INDEX('Market Data'!$J$5:$J$528,$T390)=0,"n/a",IF(AND($M$5&lt;&gt;"Snapshot",ISNUMBER(INDEX('Market Data'!$AH$5:$AH$66,INDEX('Market Data'!$J$5:$J$528,$T390)-4)),N(INDEX('Market Data'!$AH$5:$AH$66,INDEX('Market Data'!$J$5:$J$528,$T390)-4))&gt;0),INDEX('Market Data'!$AH$5:$AH$66,INDEX('Market Data'!$J$5:$J$528,$T390)-4),IF(AND($M$5&lt;&gt;"Bloomberg",ISNUMBER(INDEX('Market Data'!$AC$5:$AC$66,INDEX('Market Data'!$J$5:$J$528,$T390)-4)),N(INDEX('Market Data'!$AC$5:$AC$66,INDEX('Market Data'!$J$5:$J$528,$T390)-4))&gt;0),INDEX('Market Data'!$AC$5:$AC$66,INDEX('Market Data'!$J$5:$J$528,$T390)-4),"unavailable"))))</f>
        <v/>
      </c>
      <c r="M390" s="11">
        <f>IF($T390=0,"",IF(INDEX('Market Data'!$J$5:$J$528,$T390)=0,"n/a",IF(IF(INDEX('Market Data'!$J$5:$J$528,$T390)=0,0,IF(LEFT(INDEX('Market Data'!$AS$5:$AS$66,INDEX('Market Data'!$J$5:$J$528,$T390)-4),11)="First-month",1,0))=1,"class review",IF($I390="Bloomberg",IF(AND(ISNUMBER(INDEX('Market Data'!$AH$5:$AH$66,INDEX('Market Data'!$J$5:$J$528,$T390)-4)),N(INDEX('Market Data'!$AH$5:$AH$66,INDEX('Market Data'!$J$5:$J$528,$T390)-4))&gt;0,ISNUMBER('Market Data'!$B$1),N('Market Data'!$B$1)&gt;0),INDEX('Market Data'!$AH$5:$AH$66,INDEX('Market Data'!$J$5:$J$528,$T390)-4)*'Market Data'!$B$1/$E390-1,"pending A/FX"),IF(AND($I390="Snapshot",$Q390="Snapshot",ISNUMBER($E390),$G390=INDEX('Market Data'!$AE$5:$AE$66,INDEX('Market Data'!$J$5:$J$528,$T390)-4)),IFERROR(INDEX('Market Data'!$AC$5:$AC$66,INDEX('Market Data'!$J$5:$J$528,$T390)-4)*INDEX('Market Data'!$AD$5:$AD$66,INDEX('Market Data'!$J$5:$J$528,$T390)-4)/$E390-1,"unavailable"),IF($I390="Unavailable","unavailable","date mismatch"))))))</f>
        <v/>
      </c>
      <c r="N390" s="11">
        <f>IF($T390=0,"",IFERROR(IF(AND(N(INDEX('Market Data'!$F$5:$F$528,$T390))&gt;0,ISNUMBER(INDEX('Market Data'!$T$5:$T$528,$T390))),$E390*INDEX('Market Data'!$T$5:$T$528,$T390)/INDEX('Market Data'!$F$5:$F$528,$T390)-1,"unavailable"),"unavailable"))</f>
        <v/>
      </c>
      <c r="O390" s="9">
        <f>IF($T390=0,"",IF(IF(INDEX('Market Data'!$J$5:$J$528,$T390)=0,0,IF(LEFT(INDEX('Market Data'!$AS$5:$AS$66,INDEX('Market Data'!$J$5:$J$528,$T390)-4),11)="First-month",1,0))=1,"Class ratio review",IF($I390="Bloomberg",IF(ISNUMBER($G390),IF($G390&lt;TODAY(),"Older quote","See quote time"),"Date unavailable"),IF($I390="Snapshot",IF($G390&lt;DATEVALUE("2026-10-02"),"Older snapshot","Dated close"),"No valid quote"))))</f>
        <v/>
      </c>
      <c r="P390" s="14">
        <f>IF($T390=0,"",IF(INDEX('Market Data'!$J$5:$J$528,$T390)=0,"n/a",IF($Q390="Bloomberg",IF(AND(ISNUMBER(INDEX('Market Data'!$AK$5:$AK$66,INDEX('Market Data'!$J$5:$J$528,$T390)-4)),N(INDEX('Market Data'!$AK$5:$AK$66,INDEX('Market Data'!$J$5:$J$528,$T390)-4))&gt;0),INDEX('Market Data'!$AK$5:$AK$66,INDEX('Market Data'!$J$5:$J$528,$T390)-4),"date unavailable"),IF($Q390="Snapshot",IF(AND(ISNUMBER(INDEX('Market Data'!$AF$5:$AF$66,INDEX('Market Data'!$J$5:$J$528,$T390)-4)),N(INDEX('Market Data'!$AF$5:$AF$66,INDEX('Market Data'!$J$5:$J$528,$T390)-4))&gt;0),INDEX('Market Data'!$AF$5:$AF$66,INDEX('Market Data'!$J$5:$J$528,$T390)-4),"date unavailable"),"date unavailable"))))</f>
        <v/>
      </c>
      <c r="Q390" s="15">
        <f>IF($T390=0,"",IF(INDEX('Market Data'!$J$5:$J$528,$T390)=0,"n/a",IF(AND($M$5&lt;&gt;"Snapshot",ISNUMBER(INDEX('Market Data'!$AH$5:$AH$66,INDEX('Market Data'!$J$5:$J$528,$T390)-4)),N(INDEX('Market Data'!$AH$5:$AH$66,INDEX('Market Data'!$J$5:$J$528,$T390)-4))&gt;0),"Bloomberg",IF(AND($M$5&lt;&gt;"Bloomberg",ISNUMBER(INDEX('Market Data'!$AC$5:$AC$66,INDEX('Market Data'!$J$5:$J$528,$T390)-4)),N(INDEX('Market Data'!$AC$5:$AC$66,INDEX('Market Data'!$J$5:$J$528,$T390)-4))&gt;0),"Snapshot","Unavailable"))))</f>
        <v/>
      </c>
      <c r="T390">
        <f>IFERROR(MATCH(382,'Market Data'!$S$5:$S$528,0),0)</f>
        <v/>
      </c>
    </row>
    <row r="391" ht="34" customHeight="1">
      <c r="A391" s="8">
        <f>IF($T391=0,"",IF(INDEX('Market Data'!$A$5:$A$528,$T391)="","",INDEX('Market Data'!$A$5:$A$528,$T391)))</f>
        <v/>
      </c>
      <c r="B391" s="9">
        <f>IF($T391=0,"",IF(INDEX('Market Data'!$B$5:$B$528,$T391)="","",INDEX('Market Data'!$B$5:$B$528,$T391)))</f>
        <v/>
      </c>
      <c r="C391" s="9">
        <f>IF($T391=0,"",IF(INDEX('Market Data'!$C$5:$C$528,$T391)="","",INDEX('Market Data'!$C$5:$C$528,$T391)))</f>
        <v/>
      </c>
      <c r="D391" s="9">
        <f>IF($T391=0,"",IF(INDEX('Market Data'!$D$5:$D$528,$T391)="","",INDEX('Market Data'!$D$5:$D$528,$T391)))</f>
        <v/>
      </c>
      <c r="E391" s="10">
        <f>IF($T391=0,"",INDEX('Market Data'!$O$5:$O$528,$T391))</f>
        <v/>
      </c>
      <c r="F391" s="11">
        <f>IF($T391=0,"",IF(AND($I391="Bloomberg",ISNUMBER(INDEX('Market Data'!$L$5:$L$528,$T391))),INDEX('Market Data'!$L$5:$L$528,$T391),"unavailable"))</f>
        <v/>
      </c>
      <c r="G391" s="12">
        <f>IF($T391=0,"",IF($I391="Bloomberg",IF(AND(ISNUMBER(INDEX('Market Data'!$M$5:$M$528,$T391)),N(INDEX('Market Data'!$M$5:$M$528,$T391))&gt;0),INDEX('Market Data'!$M$5:$M$528,$T391),"date unavailable"),IF($I391="Snapshot",IF(AND(ISNUMBER(INDEX('Market Data'!$H$5:$H$528,$T391)),N(INDEX('Market Data'!$H$5:$H$528,$T391))&gt;0),INDEX('Market Data'!$H$5:$H$528,$T391),"date unavailable"),"date unavailable")))</f>
        <v/>
      </c>
      <c r="H391" s="9">
        <f>IF($T391=0,"",IF($I391="Bloomberg",IF(INDEX('Market Data'!$N$5:$N$528,$T391)="","time unavailable",INDEX('Market Data'!$N$5:$N$528,$T391)),""))</f>
        <v/>
      </c>
      <c r="I391" s="9">
        <f>IF($T391=0,"",INDEX('Market Data'!$P$5:$P$528,$T391))</f>
        <v/>
      </c>
      <c r="J391" s="13">
        <f>IF($T391=0,"",IF(INDEX('Market Data'!$E$5:$E$528,$T391)="","",INDEX('Market Data'!$E$5:$E$528,$T391)))</f>
        <v/>
      </c>
      <c r="K391" s="8">
        <f>IF($T391=0,"",IF(INDEX('Market Data'!$I$5:$I$528,$T391)="","",INDEX('Market Data'!$I$5:$I$528,$T391)))</f>
        <v/>
      </c>
      <c r="L391" s="10">
        <f>IF($T391=0,"",IF(INDEX('Market Data'!$J$5:$J$528,$T391)=0,"n/a",IF(AND($M$5&lt;&gt;"Snapshot",ISNUMBER(INDEX('Market Data'!$AH$5:$AH$66,INDEX('Market Data'!$J$5:$J$528,$T391)-4)),N(INDEX('Market Data'!$AH$5:$AH$66,INDEX('Market Data'!$J$5:$J$528,$T391)-4))&gt;0),INDEX('Market Data'!$AH$5:$AH$66,INDEX('Market Data'!$J$5:$J$528,$T391)-4),IF(AND($M$5&lt;&gt;"Bloomberg",ISNUMBER(INDEX('Market Data'!$AC$5:$AC$66,INDEX('Market Data'!$J$5:$J$528,$T391)-4)),N(INDEX('Market Data'!$AC$5:$AC$66,INDEX('Market Data'!$J$5:$J$528,$T391)-4))&gt;0),INDEX('Market Data'!$AC$5:$AC$66,INDEX('Market Data'!$J$5:$J$528,$T391)-4),"unavailable"))))</f>
        <v/>
      </c>
      <c r="M391" s="11">
        <f>IF($T391=0,"",IF(INDEX('Market Data'!$J$5:$J$528,$T391)=0,"n/a",IF(IF(INDEX('Market Data'!$J$5:$J$528,$T391)=0,0,IF(LEFT(INDEX('Market Data'!$AS$5:$AS$66,INDEX('Market Data'!$J$5:$J$528,$T391)-4),11)="First-month",1,0))=1,"class review",IF($I391="Bloomberg",IF(AND(ISNUMBER(INDEX('Market Data'!$AH$5:$AH$66,INDEX('Market Data'!$J$5:$J$528,$T391)-4)),N(INDEX('Market Data'!$AH$5:$AH$66,INDEX('Market Data'!$J$5:$J$528,$T391)-4))&gt;0,ISNUMBER('Market Data'!$B$1),N('Market Data'!$B$1)&gt;0),INDEX('Market Data'!$AH$5:$AH$66,INDEX('Market Data'!$J$5:$J$528,$T391)-4)*'Market Data'!$B$1/$E391-1,"pending A/FX"),IF(AND($I391="Snapshot",$Q391="Snapshot",ISNUMBER($E391),$G391=INDEX('Market Data'!$AE$5:$AE$66,INDEX('Market Data'!$J$5:$J$528,$T391)-4)),IFERROR(INDEX('Market Data'!$AC$5:$AC$66,INDEX('Market Data'!$J$5:$J$528,$T391)-4)*INDEX('Market Data'!$AD$5:$AD$66,INDEX('Market Data'!$J$5:$J$528,$T391)-4)/$E391-1,"unavailable"),IF($I391="Unavailable","unavailable","date mismatch"))))))</f>
        <v/>
      </c>
      <c r="N391" s="11">
        <f>IF($T391=0,"",IFERROR(IF(AND(N(INDEX('Market Data'!$F$5:$F$528,$T391))&gt;0,ISNUMBER(INDEX('Market Data'!$T$5:$T$528,$T391))),$E391*INDEX('Market Data'!$T$5:$T$528,$T391)/INDEX('Market Data'!$F$5:$F$528,$T391)-1,"unavailable"),"unavailable"))</f>
        <v/>
      </c>
      <c r="O391" s="9">
        <f>IF($T391=0,"",IF(IF(INDEX('Market Data'!$J$5:$J$528,$T391)=0,0,IF(LEFT(INDEX('Market Data'!$AS$5:$AS$66,INDEX('Market Data'!$J$5:$J$528,$T391)-4),11)="First-month",1,0))=1,"Class ratio review",IF($I391="Bloomberg",IF(ISNUMBER($G391),IF($G391&lt;TODAY(),"Older quote","See quote time"),"Date unavailable"),IF($I391="Snapshot",IF($G391&lt;DATEVALUE("2026-10-02"),"Older snapshot","Dated close"),"No valid quote"))))</f>
        <v/>
      </c>
      <c r="P391" s="14">
        <f>IF($T391=0,"",IF(INDEX('Market Data'!$J$5:$J$528,$T391)=0,"n/a",IF($Q391="Bloomberg",IF(AND(ISNUMBER(INDEX('Market Data'!$AK$5:$AK$66,INDEX('Market Data'!$J$5:$J$528,$T391)-4)),N(INDEX('Market Data'!$AK$5:$AK$66,INDEX('Market Data'!$J$5:$J$528,$T391)-4))&gt;0),INDEX('Market Data'!$AK$5:$AK$66,INDEX('Market Data'!$J$5:$J$528,$T391)-4),"date unavailable"),IF($Q391="Snapshot",IF(AND(ISNUMBER(INDEX('Market Data'!$AF$5:$AF$66,INDEX('Market Data'!$J$5:$J$528,$T391)-4)),N(INDEX('Market Data'!$AF$5:$AF$66,INDEX('Market Data'!$J$5:$J$528,$T391)-4))&gt;0),INDEX('Market Data'!$AF$5:$AF$66,INDEX('Market Data'!$J$5:$J$528,$T391)-4),"date unavailable"),"date unavailable"))))</f>
        <v/>
      </c>
      <c r="Q391" s="15">
        <f>IF($T391=0,"",IF(INDEX('Market Data'!$J$5:$J$528,$T391)=0,"n/a",IF(AND($M$5&lt;&gt;"Snapshot",ISNUMBER(INDEX('Market Data'!$AH$5:$AH$66,INDEX('Market Data'!$J$5:$J$528,$T391)-4)),N(INDEX('Market Data'!$AH$5:$AH$66,INDEX('Market Data'!$J$5:$J$528,$T391)-4))&gt;0),"Bloomberg",IF(AND($M$5&lt;&gt;"Bloomberg",ISNUMBER(INDEX('Market Data'!$AC$5:$AC$66,INDEX('Market Data'!$J$5:$J$528,$T391)-4)),N(INDEX('Market Data'!$AC$5:$AC$66,INDEX('Market Data'!$J$5:$J$528,$T391)-4))&gt;0),"Snapshot","Unavailable"))))</f>
        <v/>
      </c>
      <c r="T391">
        <f>IFERROR(MATCH(383,'Market Data'!$S$5:$S$528,0),0)</f>
        <v/>
      </c>
    </row>
    <row r="392" ht="34" customHeight="1">
      <c r="A392" s="8">
        <f>IF($T392=0,"",IF(INDEX('Market Data'!$A$5:$A$528,$T392)="","",INDEX('Market Data'!$A$5:$A$528,$T392)))</f>
        <v/>
      </c>
      <c r="B392" s="9">
        <f>IF($T392=0,"",IF(INDEX('Market Data'!$B$5:$B$528,$T392)="","",INDEX('Market Data'!$B$5:$B$528,$T392)))</f>
        <v/>
      </c>
      <c r="C392" s="9">
        <f>IF($T392=0,"",IF(INDEX('Market Data'!$C$5:$C$528,$T392)="","",INDEX('Market Data'!$C$5:$C$528,$T392)))</f>
        <v/>
      </c>
      <c r="D392" s="9">
        <f>IF($T392=0,"",IF(INDEX('Market Data'!$D$5:$D$528,$T392)="","",INDEX('Market Data'!$D$5:$D$528,$T392)))</f>
        <v/>
      </c>
      <c r="E392" s="10">
        <f>IF($T392=0,"",INDEX('Market Data'!$O$5:$O$528,$T392))</f>
        <v/>
      </c>
      <c r="F392" s="11">
        <f>IF($T392=0,"",IF(AND($I392="Bloomberg",ISNUMBER(INDEX('Market Data'!$L$5:$L$528,$T392))),INDEX('Market Data'!$L$5:$L$528,$T392),"unavailable"))</f>
        <v/>
      </c>
      <c r="G392" s="12">
        <f>IF($T392=0,"",IF($I392="Bloomberg",IF(AND(ISNUMBER(INDEX('Market Data'!$M$5:$M$528,$T392)),N(INDEX('Market Data'!$M$5:$M$528,$T392))&gt;0),INDEX('Market Data'!$M$5:$M$528,$T392),"date unavailable"),IF($I392="Snapshot",IF(AND(ISNUMBER(INDEX('Market Data'!$H$5:$H$528,$T392)),N(INDEX('Market Data'!$H$5:$H$528,$T392))&gt;0),INDEX('Market Data'!$H$5:$H$528,$T392),"date unavailable"),"date unavailable")))</f>
        <v/>
      </c>
      <c r="H392" s="9">
        <f>IF($T392=0,"",IF($I392="Bloomberg",IF(INDEX('Market Data'!$N$5:$N$528,$T392)="","time unavailable",INDEX('Market Data'!$N$5:$N$528,$T392)),""))</f>
        <v/>
      </c>
      <c r="I392" s="9">
        <f>IF($T392=0,"",INDEX('Market Data'!$P$5:$P$528,$T392))</f>
        <v/>
      </c>
      <c r="J392" s="13">
        <f>IF($T392=0,"",IF(INDEX('Market Data'!$E$5:$E$528,$T392)="","",INDEX('Market Data'!$E$5:$E$528,$T392)))</f>
        <v/>
      </c>
      <c r="K392" s="8">
        <f>IF($T392=0,"",IF(INDEX('Market Data'!$I$5:$I$528,$T392)="","",INDEX('Market Data'!$I$5:$I$528,$T392)))</f>
        <v/>
      </c>
      <c r="L392" s="10">
        <f>IF($T392=0,"",IF(INDEX('Market Data'!$J$5:$J$528,$T392)=0,"n/a",IF(AND($M$5&lt;&gt;"Snapshot",ISNUMBER(INDEX('Market Data'!$AH$5:$AH$66,INDEX('Market Data'!$J$5:$J$528,$T392)-4)),N(INDEX('Market Data'!$AH$5:$AH$66,INDEX('Market Data'!$J$5:$J$528,$T392)-4))&gt;0),INDEX('Market Data'!$AH$5:$AH$66,INDEX('Market Data'!$J$5:$J$528,$T392)-4),IF(AND($M$5&lt;&gt;"Bloomberg",ISNUMBER(INDEX('Market Data'!$AC$5:$AC$66,INDEX('Market Data'!$J$5:$J$528,$T392)-4)),N(INDEX('Market Data'!$AC$5:$AC$66,INDEX('Market Data'!$J$5:$J$528,$T392)-4))&gt;0),INDEX('Market Data'!$AC$5:$AC$66,INDEX('Market Data'!$J$5:$J$528,$T392)-4),"unavailable"))))</f>
        <v/>
      </c>
      <c r="M392" s="11">
        <f>IF($T392=0,"",IF(INDEX('Market Data'!$J$5:$J$528,$T392)=0,"n/a",IF(IF(INDEX('Market Data'!$J$5:$J$528,$T392)=0,0,IF(LEFT(INDEX('Market Data'!$AS$5:$AS$66,INDEX('Market Data'!$J$5:$J$528,$T392)-4),11)="First-month",1,0))=1,"class review",IF($I392="Bloomberg",IF(AND(ISNUMBER(INDEX('Market Data'!$AH$5:$AH$66,INDEX('Market Data'!$J$5:$J$528,$T392)-4)),N(INDEX('Market Data'!$AH$5:$AH$66,INDEX('Market Data'!$J$5:$J$528,$T392)-4))&gt;0,ISNUMBER('Market Data'!$B$1),N('Market Data'!$B$1)&gt;0),INDEX('Market Data'!$AH$5:$AH$66,INDEX('Market Data'!$J$5:$J$528,$T392)-4)*'Market Data'!$B$1/$E392-1,"pending A/FX"),IF(AND($I392="Snapshot",$Q392="Snapshot",ISNUMBER($E392),$G392=INDEX('Market Data'!$AE$5:$AE$66,INDEX('Market Data'!$J$5:$J$528,$T392)-4)),IFERROR(INDEX('Market Data'!$AC$5:$AC$66,INDEX('Market Data'!$J$5:$J$528,$T392)-4)*INDEX('Market Data'!$AD$5:$AD$66,INDEX('Market Data'!$J$5:$J$528,$T392)-4)/$E392-1,"unavailable"),IF($I392="Unavailable","unavailable","date mismatch"))))))</f>
        <v/>
      </c>
      <c r="N392" s="11">
        <f>IF($T392=0,"",IFERROR(IF(AND(N(INDEX('Market Data'!$F$5:$F$528,$T392))&gt;0,ISNUMBER(INDEX('Market Data'!$T$5:$T$528,$T392))),$E392*INDEX('Market Data'!$T$5:$T$528,$T392)/INDEX('Market Data'!$F$5:$F$528,$T392)-1,"unavailable"),"unavailable"))</f>
        <v/>
      </c>
      <c r="O392" s="9">
        <f>IF($T392=0,"",IF(IF(INDEX('Market Data'!$J$5:$J$528,$T392)=0,0,IF(LEFT(INDEX('Market Data'!$AS$5:$AS$66,INDEX('Market Data'!$J$5:$J$528,$T392)-4),11)="First-month",1,0))=1,"Class ratio review",IF($I392="Bloomberg",IF(ISNUMBER($G392),IF($G392&lt;TODAY(),"Older quote","See quote time"),"Date unavailable"),IF($I392="Snapshot",IF($G392&lt;DATEVALUE("2026-10-02"),"Older snapshot","Dated close"),"No valid quote"))))</f>
        <v/>
      </c>
      <c r="P392" s="14">
        <f>IF($T392=0,"",IF(INDEX('Market Data'!$J$5:$J$528,$T392)=0,"n/a",IF($Q392="Bloomberg",IF(AND(ISNUMBER(INDEX('Market Data'!$AK$5:$AK$66,INDEX('Market Data'!$J$5:$J$528,$T392)-4)),N(INDEX('Market Data'!$AK$5:$AK$66,INDEX('Market Data'!$J$5:$J$528,$T392)-4))&gt;0),INDEX('Market Data'!$AK$5:$AK$66,INDEX('Market Data'!$J$5:$J$528,$T392)-4),"date unavailable"),IF($Q392="Snapshot",IF(AND(ISNUMBER(INDEX('Market Data'!$AF$5:$AF$66,INDEX('Market Data'!$J$5:$J$528,$T392)-4)),N(INDEX('Market Data'!$AF$5:$AF$66,INDEX('Market Data'!$J$5:$J$528,$T392)-4))&gt;0),INDEX('Market Data'!$AF$5:$AF$66,INDEX('Market Data'!$J$5:$J$528,$T392)-4),"date unavailable"),"date unavailable"))))</f>
        <v/>
      </c>
      <c r="Q392" s="15">
        <f>IF($T392=0,"",IF(INDEX('Market Data'!$J$5:$J$528,$T392)=0,"n/a",IF(AND($M$5&lt;&gt;"Snapshot",ISNUMBER(INDEX('Market Data'!$AH$5:$AH$66,INDEX('Market Data'!$J$5:$J$528,$T392)-4)),N(INDEX('Market Data'!$AH$5:$AH$66,INDEX('Market Data'!$J$5:$J$528,$T392)-4))&gt;0),"Bloomberg",IF(AND($M$5&lt;&gt;"Bloomberg",ISNUMBER(INDEX('Market Data'!$AC$5:$AC$66,INDEX('Market Data'!$J$5:$J$528,$T392)-4)),N(INDEX('Market Data'!$AC$5:$AC$66,INDEX('Market Data'!$J$5:$J$528,$T392)-4))&gt;0),"Snapshot","Unavailable"))))</f>
        <v/>
      </c>
      <c r="T392">
        <f>IFERROR(MATCH(384,'Market Data'!$S$5:$S$528,0),0)</f>
        <v/>
      </c>
    </row>
    <row r="393" ht="34" customHeight="1">
      <c r="A393" s="8">
        <f>IF($T393=0,"",IF(INDEX('Market Data'!$A$5:$A$528,$T393)="","",INDEX('Market Data'!$A$5:$A$528,$T393)))</f>
        <v/>
      </c>
      <c r="B393" s="9">
        <f>IF($T393=0,"",IF(INDEX('Market Data'!$B$5:$B$528,$T393)="","",INDEX('Market Data'!$B$5:$B$528,$T393)))</f>
        <v/>
      </c>
      <c r="C393" s="9">
        <f>IF($T393=0,"",IF(INDEX('Market Data'!$C$5:$C$528,$T393)="","",INDEX('Market Data'!$C$5:$C$528,$T393)))</f>
        <v/>
      </c>
      <c r="D393" s="9">
        <f>IF($T393=0,"",IF(INDEX('Market Data'!$D$5:$D$528,$T393)="","",INDEX('Market Data'!$D$5:$D$528,$T393)))</f>
        <v/>
      </c>
      <c r="E393" s="10">
        <f>IF($T393=0,"",INDEX('Market Data'!$O$5:$O$528,$T393))</f>
        <v/>
      </c>
      <c r="F393" s="11">
        <f>IF($T393=0,"",IF(AND($I393="Bloomberg",ISNUMBER(INDEX('Market Data'!$L$5:$L$528,$T393))),INDEX('Market Data'!$L$5:$L$528,$T393),"unavailable"))</f>
        <v/>
      </c>
      <c r="G393" s="12">
        <f>IF($T393=0,"",IF($I393="Bloomberg",IF(AND(ISNUMBER(INDEX('Market Data'!$M$5:$M$528,$T393)),N(INDEX('Market Data'!$M$5:$M$528,$T393))&gt;0),INDEX('Market Data'!$M$5:$M$528,$T393),"date unavailable"),IF($I393="Snapshot",IF(AND(ISNUMBER(INDEX('Market Data'!$H$5:$H$528,$T393)),N(INDEX('Market Data'!$H$5:$H$528,$T393))&gt;0),INDEX('Market Data'!$H$5:$H$528,$T393),"date unavailable"),"date unavailable")))</f>
        <v/>
      </c>
      <c r="H393" s="9">
        <f>IF($T393=0,"",IF($I393="Bloomberg",IF(INDEX('Market Data'!$N$5:$N$528,$T393)="","time unavailable",INDEX('Market Data'!$N$5:$N$528,$T393)),""))</f>
        <v/>
      </c>
      <c r="I393" s="9">
        <f>IF($T393=0,"",INDEX('Market Data'!$P$5:$P$528,$T393))</f>
        <v/>
      </c>
      <c r="J393" s="13">
        <f>IF($T393=0,"",IF(INDEX('Market Data'!$E$5:$E$528,$T393)="","",INDEX('Market Data'!$E$5:$E$528,$T393)))</f>
        <v/>
      </c>
      <c r="K393" s="8">
        <f>IF($T393=0,"",IF(INDEX('Market Data'!$I$5:$I$528,$T393)="","",INDEX('Market Data'!$I$5:$I$528,$T393)))</f>
        <v/>
      </c>
      <c r="L393" s="10">
        <f>IF($T393=0,"",IF(INDEX('Market Data'!$J$5:$J$528,$T393)=0,"n/a",IF(AND($M$5&lt;&gt;"Snapshot",ISNUMBER(INDEX('Market Data'!$AH$5:$AH$66,INDEX('Market Data'!$J$5:$J$528,$T393)-4)),N(INDEX('Market Data'!$AH$5:$AH$66,INDEX('Market Data'!$J$5:$J$528,$T393)-4))&gt;0),INDEX('Market Data'!$AH$5:$AH$66,INDEX('Market Data'!$J$5:$J$528,$T393)-4),IF(AND($M$5&lt;&gt;"Bloomberg",ISNUMBER(INDEX('Market Data'!$AC$5:$AC$66,INDEX('Market Data'!$J$5:$J$528,$T393)-4)),N(INDEX('Market Data'!$AC$5:$AC$66,INDEX('Market Data'!$J$5:$J$528,$T393)-4))&gt;0),INDEX('Market Data'!$AC$5:$AC$66,INDEX('Market Data'!$J$5:$J$528,$T393)-4),"unavailable"))))</f>
        <v/>
      </c>
      <c r="M393" s="11">
        <f>IF($T393=0,"",IF(INDEX('Market Data'!$J$5:$J$528,$T393)=0,"n/a",IF(IF(INDEX('Market Data'!$J$5:$J$528,$T393)=0,0,IF(LEFT(INDEX('Market Data'!$AS$5:$AS$66,INDEX('Market Data'!$J$5:$J$528,$T393)-4),11)="First-month",1,0))=1,"class review",IF($I393="Bloomberg",IF(AND(ISNUMBER(INDEX('Market Data'!$AH$5:$AH$66,INDEX('Market Data'!$J$5:$J$528,$T393)-4)),N(INDEX('Market Data'!$AH$5:$AH$66,INDEX('Market Data'!$J$5:$J$528,$T393)-4))&gt;0,ISNUMBER('Market Data'!$B$1),N('Market Data'!$B$1)&gt;0),INDEX('Market Data'!$AH$5:$AH$66,INDEX('Market Data'!$J$5:$J$528,$T393)-4)*'Market Data'!$B$1/$E393-1,"pending A/FX"),IF(AND($I393="Snapshot",$Q393="Snapshot",ISNUMBER($E393),$G393=INDEX('Market Data'!$AE$5:$AE$66,INDEX('Market Data'!$J$5:$J$528,$T393)-4)),IFERROR(INDEX('Market Data'!$AC$5:$AC$66,INDEX('Market Data'!$J$5:$J$528,$T393)-4)*INDEX('Market Data'!$AD$5:$AD$66,INDEX('Market Data'!$J$5:$J$528,$T393)-4)/$E393-1,"unavailable"),IF($I393="Unavailable","unavailable","date mismatch"))))))</f>
        <v/>
      </c>
      <c r="N393" s="11">
        <f>IF($T393=0,"",IFERROR(IF(AND(N(INDEX('Market Data'!$F$5:$F$528,$T393))&gt;0,ISNUMBER(INDEX('Market Data'!$T$5:$T$528,$T393))),$E393*INDEX('Market Data'!$T$5:$T$528,$T393)/INDEX('Market Data'!$F$5:$F$528,$T393)-1,"unavailable"),"unavailable"))</f>
        <v/>
      </c>
      <c r="O393" s="9">
        <f>IF($T393=0,"",IF(IF(INDEX('Market Data'!$J$5:$J$528,$T393)=0,0,IF(LEFT(INDEX('Market Data'!$AS$5:$AS$66,INDEX('Market Data'!$J$5:$J$528,$T393)-4),11)="First-month",1,0))=1,"Class ratio review",IF($I393="Bloomberg",IF(ISNUMBER($G393),IF($G393&lt;TODAY(),"Older quote","See quote time"),"Date unavailable"),IF($I393="Snapshot",IF($G393&lt;DATEVALUE("2026-10-02"),"Older snapshot","Dated close"),"No valid quote"))))</f>
        <v/>
      </c>
      <c r="P393" s="14">
        <f>IF($T393=0,"",IF(INDEX('Market Data'!$J$5:$J$528,$T393)=0,"n/a",IF($Q393="Bloomberg",IF(AND(ISNUMBER(INDEX('Market Data'!$AK$5:$AK$66,INDEX('Market Data'!$J$5:$J$528,$T393)-4)),N(INDEX('Market Data'!$AK$5:$AK$66,INDEX('Market Data'!$J$5:$J$528,$T393)-4))&gt;0),INDEX('Market Data'!$AK$5:$AK$66,INDEX('Market Data'!$J$5:$J$528,$T393)-4),"date unavailable"),IF($Q393="Snapshot",IF(AND(ISNUMBER(INDEX('Market Data'!$AF$5:$AF$66,INDEX('Market Data'!$J$5:$J$528,$T393)-4)),N(INDEX('Market Data'!$AF$5:$AF$66,INDEX('Market Data'!$J$5:$J$528,$T393)-4))&gt;0),INDEX('Market Data'!$AF$5:$AF$66,INDEX('Market Data'!$J$5:$J$528,$T393)-4),"date unavailable"),"date unavailable"))))</f>
        <v/>
      </c>
      <c r="Q393" s="15">
        <f>IF($T393=0,"",IF(INDEX('Market Data'!$J$5:$J$528,$T393)=0,"n/a",IF(AND($M$5&lt;&gt;"Snapshot",ISNUMBER(INDEX('Market Data'!$AH$5:$AH$66,INDEX('Market Data'!$J$5:$J$528,$T393)-4)),N(INDEX('Market Data'!$AH$5:$AH$66,INDEX('Market Data'!$J$5:$J$528,$T393)-4))&gt;0),"Bloomberg",IF(AND($M$5&lt;&gt;"Bloomberg",ISNUMBER(INDEX('Market Data'!$AC$5:$AC$66,INDEX('Market Data'!$J$5:$J$528,$T393)-4)),N(INDEX('Market Data'!$AC$5:$AC$66,INDEX('Market Data'!$J$5:$J$528,$T393)-4))&gt;0),"Snapshot","Unavailable"))))</f>
        <v/>
      </c>
      <c r="T393">
        <f>IFERROR(MATCH(385,'Market Data'!$S$5:$S$528,0),0)</f>
        <v/>
      </c>
    </row>
    <row r="394" ht="34" customHeight="1">
      <c r="A394" s="8">
        <f>IF($T394=0,"",IF(INDEX('Market Data'!$A$5:$A$528,$T394)="","",INDEX('Market Data'!$A$5:$A$528,$T394)))</f>
        <v/>
      </c>
      <c r="B394" s="9">
        <f>IF($T394=0,"",IF(INDEX('Market Data'!$B$5:$B$528,$T394)="","",INDEX('Market Data'!$B$5:$B$528,$T394)))</f>
        <v/>
      </c>
      <c r="C394" s="9">
        <f>IF($T394=0,"",IF(INDEX('Market Data'!$C$5:$C$528,$T394)="","",INDEX('Market Data'!$C$5:$C$528,$T394)))</f>
        <v/>
      </c>
      <c r="D394" s="9">
        <f>IF($T394=0,"",IF(INDEX('Market Data'!$D$5:$D$528,$T394)="","",INDEX('Market Data'!$D$5:$D$528,$T394)))</f>
        <v/>
      </c>
      <c r="E394" s="10">
        <f>IF($T394=0,"",INDEX('Market Data'!$O$5:$O$528,$T394))</f>
        <v/>
      </c>
      <c r="F394" s="11">
        <f>IF($T394=0,"",IF(AND($I394="Bloomberg",ISNUMBER(INDEX('Market Data'!$L$5:$L$528,$T394))),INDEX('Market Data'!$L$5:$L$528,$T394),"unavailable"))</f>
        <v/>
      </c>
      <c r="G394" s="12">
        <f>IF($T394=0,"",IF($I394="Bloomberg",IF(AND(ISNUMBER(INDEX('Market Data'!$M$5:$M$528,$T394)),N(INDEX('Market Data'!$M$5:$M$528,$T394))&gt;0),INDEX('Market Data'!$M$5:$M$528,$T394),"date unavailable"),IF($I394="Snapshot",IF(AND(ISNUMBER(INDEX('Market Data'!$H$5:$H$528,$T394)),N(INDEX('Market Data'!$H$5:$H$528,$T394))&gt;0),INDEX('Market Data'!$H$5:$H$528,$T394),"date unavailable"),"date unavailable")))</f>
        <v/>
      </c>
      <c r="H394" s="9">
        <f>IF($T394=0,"",IF($I394="Bloomberg",IF(INDEX('Market Data'!$N$5:$N$528,$T394)="","time unavailable",INDEX('Market Data'!$N$5:$N$528,$T394)),""))</f>
        <v/>
      </c>
      <c r="I394" s="9">
        <f>IF($T394=0,"",INDEX('Market Data'!$P$5:$P$528,$T394))</f>
        <v/>
      </c>
      <c r="J394" s="13">
        <f>IF($T394=0,"",IF(INDEX('Market Data'!$E$5:$E$528,$T394)="","",INDEX('Market Data'!$E$5:$E$528,$T394)))</f>
        <v/>
      </c>
      <c r="K394" s="8">
        <f>IF($T394=0,"",IF(INDEX('Market Data'!$I$5:$I$528,$T394)="","",INDEX('Market Data'!$I$5:$I$528,$T394)))</f>
        <v/>
      </c>
      <c r="L394" s="10">
        <f>IF($T394=0,"",IF(INDEX('Market Data'!$J$5:$J$528,$T394)=0,"n/a",IF(AND($M$5&lt;&gt;"Snapshot",ISNUMBER(INDEX('Market Data'!$AH$5:$AH$66,INDEX('Market Data'!$J$5:$J$528,$T394)-4)),N(INDEX('Market Data'!$AH$5:$AH$66,INDEX('Market Data'!$J$5:$J$528,$T394)-4))&gt;0),INDEX('Market Data'!$AH$5:$AH$66,INDEX('Market Data'!$J$5:$J$528,$T394)-4),IF(AND($M$5&lt;&gt;"Bloomberg",ISNUMBER(INDEX('Market Data'!$AC$5:$AC$66,INDEX('Market Data'!$J$5:$J$528,$T394)-4)),N(INDEX('Market Data'!$AC$5:$AC$66,INDEX('Market Data'!$J$5:$J$528,$T394)-4))&gt;0),INDEX('Market Data'!$AC$5:$AC$66,INDEX('Market Data'!$J$5:$J$528,$T394)-4),"unavailable"))))</f>
        <v/>
      </c>
      <c r="M394" s="11">
        <f>IF($T394=0,"",IF(INDEX('Market Data'!$J$5:$J$528,$T394)=0,"n/a",IF(IF(INDEX('Market Data'!$J$5:$J$528,$T394)=0,0,IF(LEFT(INDEX('Market Data'!$AS$5:$AS$66,INDEX('Market Data'!$J$5:$J$528,$T394)-4),11)="First-month",1,0))=1,"class review",IF($I394="Bloomberg",IF(AND(ISNUMBER(INDEX('Market Data'!$AH$5:$AH$66,INDEX('Market Data'!$J$5:$J$528,$T394)-4)),N(INDEX('Market Data'!$AH$5:$AH$66,INDEX('Market Data'!$J$5:$J$528,$T394)-4))&gt;0,ISNUMBER('Market Data'!$B$1),N('Market Data'!$B$1)&gt;0),INDEX('Market Data'!$AH$5:$AH$66,INDEX('Market Data'!$J$5:$J$528,$T394)-4)*'Market Data'!$B$1/$E394-1,"pending A/FX"),IF(AND($I394="Snapshot",$Q394="Snapshot",ISNUMBER($E394),$G394=INDEX('Market Data'!$AE$5:$AE$66,INDEX('Market Data'!$J$5:$J$528,$T394)-4)),IFERROR(INDEX('Market Data'!$AC$5:$AC$66,INDEX('Market Data'!$J$5:$J$528,$T394)-4)*INDEX('Market Data'!$AD$5:$AD$66,INDEX('Market Data'!$J$5:$J$528,$T394)-4)/$E394-1,"unavailable"),IF($I394="Unavailable","unavailable","date mismatch"))))))</f>
        <v/>
      </c>
      <c r="N394" s="11">
        <f>IF($T394=0,"",IFERROR(IF(AND(N(INDEX('Market Data'!$F$5:$F$528,$T394))&gt;0,ISNUMBER(INDEX('Market Data'!$T$5:$T$528,$T394))),$E394*INDEX('Market Data'!$T$5:$T$528,$T394)/INDEX('Market Data'!$F$5:$F$528,$T394)-1,"unavailable"),"unavailable"))</f>
        <v/>
      </c>
      <c r="O394" s="9">
        <f>IF($T394=0,"",IF(IF(INDEX('Market Data'!$J$5:$J$528,$T394)=0,0,IF(LEFT(INDEX('Market Data'!$AS$5:$AS$66,INDEX('Market Data'!$J$5:$J$528,$T394)-4),11)="First-month",1,0))=1,"Class ratio review",IF($I394="Bloomberg",IF(ISNUMBER($G394),IF($G394&lt;TODAY(),"Older quote","See quote time"),"Date unavailable"),IF($I394="Snapshot",IF($G394&lt;DATEVALUE("2026-10-02"),"Older snapshot","Dated close"),"No valid quote"))))</f>
        <v/>
      </c>
      <c r="P394" s="14">
        <f>IF($T394=0,"",IF(INDEX('Market Data'!$J$5:$J$528,$T394)=0,"n/a",IF($Q394="Bloomberg",IF(AND(ISNUMBER(INDEX('Market Data'!$AK$5:$AK$66,INDEX('Market Data'!$J$5:$J$528,$T394)-4)),N(INDEX('Market Data'!$AK$5:$AK$66,INDEX('Market Data'!$J$5:$J$528,$T394)-4))&gt;0),INDEX('Market Data'!$AK$5:$AK$66,INDEX('Market Data'!$J$5:$J$528,$T394)-4),"date unavailable"),IF($Q394="Snapshot",IF(AND(ISNUMBER(INDEX('Market Data'!$AF$5:$AF$66,INDEX('Market Data'!$J$5:$J$528,$T394)-4)),N(INDEX('Market Data'!$AF$5:$AF$66,INDEX('Market Data'!$J$5:$J$528,$T394)-4))&gt;0),INDEX('Market Data'!$AF$5:$AF$66,INDEX('Market Data'!$J$5:$J$528,$T394)-4),"date unavailable"),"date unavailable"))))</f>
        <v/>
      </c>
      <c r="Q394" s="15">
        <f>IF($T394=0,"",IF(INDEX('Market Data'!$J$5:$J$528,$T394)=0,"n/a",IF(AND($M$5&lt;&gt;"Snapshot",ISNUMBER(INDEX('Market Data'!$AH$5:$AH$66,INDEX('Market Data'!$J$5:$J$528,$T394)-4)),N(INDEX('Market Data'!$AH$5:$AH$66,INDEX('Market Data'!$J$5:$J$528,$T394)-4))&gt;0),"Bloomberg",IF(AND($M$5&lt;&gt;"Bloomberg",ISNUMBER(INDEX('Market Data'!$AC$5:$AC$66,INDEX('Market Data'!$J$5:$J$528,$T394)-4)),N(INDEX('Market Data'!$AC$5:$AC$66,INDEX('Market Data'!$J$5:$J$528,$T394)-4))&gt;0),"Snapshot","Unavailable"))))</f>
        <v/>
      </c>
      <c r="T394">
        <f>IFERROR(MATCH(386,'Market Data'!$S$5:$S$528,0),0)</f>
        <v/>
      </c>
    </row>
    <row r="395" ht="34" customHeight="1">
      <c r="A395" s="8">
        <f>IF($T395=0,"",IF(INDEX('Market Data'!$A$5:$A$528,$T395)="","",INDEX('Market Data'!$A$5:$A$528,$T395)))</f>
        <v/>
      </c>
      <c r="B395" s="9">
        <f>IF($T395=0,"",IF(INDEX('Market Data'!$B$5:$B$528,$T395)="","",INDEX('Market Data'!$B$5:$B$528,$T395)))</f>
        <v/>
      </c>
      <c r="C395" s="9">
        <f>IF($T395=0,"",IF(INDEX('Market Data'!$C$5:$C$528,$T395)="","",INDEX('Market Data'!$C$5:$C$528,$T395)))</f>
        <v/>
      </c>
      <c r="D395" s="9">
        <f>IF($T395=0,"",IF(INDEX('Market Data'!$D$5:$D$528,$T395)="","",INDEX('Market Data'!$D$5:$D$528,$T395)))</f>
        <v/>
      </c>
      <c r="E395" s="10">
        <f>IF($T395=0,"",INDEX('Market Data'!$O$5:$O$528,$T395))</f>
        <v/>
      </c>
      <c r="F395" s="11">
        <f>IF($T395=0,"",IF(AND($I395="Bloomberg",ISNUMBER(INDEX('Market Data'!$L$5:$L$528,$T395))),INDEX('Market Data'!$L$5:$L$528,$T395),"unavailable"))</f>
        <v/>
      </c>
      <c r="G395" s="12">
        <f>IF($T395=0,"",IF($I395="Bloomberg",IF(AND(ISNUMBER(INDEX('Market Data'!$M$5:$M$528,$T395)),N(INDEX('Market Data'!$M$5:$M$528,$T395))&gt;0),INDEX('Market Data'!$M$5:$M$528,$T395),"date unavailable"),IF($I395="Snapshot",IF(AND(ISNUMBER(INDEX('Market Data'!$H$5:$H$528,$T395)),N(INDEX('Market Data'!$H$5:$H$528,$T395))&gt;0),INDEX('Market Data'!$H$5:$H$528,$T395),"date unavailable"),"date unavailable")))</f>
        <v/>
      </c>
      <c r="H395" s="9">
        <f>IF($T395=0,"",IF($I395="Bloomberg",IF(INDEX('Market Data'!$N$5:$N$528,$T395)="","time unavailable",INDEX('Market Data'!$N$5:$N$528,$T395)),""))</f>
        <v/>
      </c>
      <c r="I395" s="9">
        <f>IF($T395=0,"",INDEX('Market Data'!$P$5:$P$528,$T395))</f>
        <v/>
      </c>
      <c r="J395" s="13">
        <f>IF($T395=0,"",IF(INDEX('Market Data'!$E$5:$E$528,$T395)="","",INDEX('Market Data'!$E$5:$E$528,$T395)))</f>
        <v/>
      </c>
      <c r="K395" s="8">
        <f>IF($T395=0,"",IF(INDEX('Market Data'!$I$5:$I$528,$T395)="","",INDEX('Market Data'!$I$5:$I$528,$T395)))</f>
        <v/>
      </c>
      <c r="L395" s="10">
        <f>IF($T395=0,"",IF(INDEX('Market Data'!$J$5:$J$528,$T395)=0,"n/a",IF(AND($M$5&lt;&gt;"Snapshot",ISNUMBER(INDEX('Market Data'!$AH$5:$AH$66,INDEX('Market Data'!$J$5:$J$528,$T395)-4)),N(INDEX('Market Data'!$AH$5:$AH$66,INDEX('Market Data'!$J$5:$J$528,$T395)-4))&gt;0),INDEX('Market Data'!$AH$5:$AH$66,INDEX('Market Data'!$J$5:$J$528,$T395)-4),IF(AND($M$5&lt;&gt;"Bloomberg",ISNUMBER(INDEX('Market Data'!$AC$5:$AC$66,INDEX('Market Data'!$J$5:$J$528,$T395)-4)),N(INDEX('Market Data'!$AC$5:$AC$66,INDEX('Market Data'!$J$5:$J$528,$T395)-4))&gt;0),INDEX('Market Data'!$AC$5:$AC$66,INDEX('Market Data'!$J$5:$J$528,$T395)-4),"unavailable"))))</f>
        <v/>
      </c>
      <c r="M395" s="11">
        <f>IF($T395=0,"",IF(INDEX('Market Data'!$J$5:$J$528,$T395)=0,"n/a",IF(IF(INDEX('Market Data'!$J$5:$J$528,$T395)=0,0,IF(LEFT(INDEX('Market Data'!$AS$5:$AS$66,INDEX('Market Data'!$J$5:$J$528,$T395)-4),11)="First-month",1,0))=1,"class review",IF($I395="Bloomberg",IF(AND(ISNUMBER(INDEX('Market Data'!$AH$5:$AH$66,INDEX('Market Data'!$J$5:$J$528,$T395)-4)),N(INDEX('Market Data'!$AH$5:$AH$66,INDEX('Market Data'!$J$5:$J$528,$T395)-4))&gt;0,ISNUMBER('Market Data'!$B$1),N('Market Data'!$B$1)&gt;0),INDEX('Market Data'!$AH$5:$AH$66,INDEX('Market Data'!$J$5:$J$528,$T395)-4)*'Market Data'!$B$1/$E395-1,"pending A/FX"),IF(AND($I395="Snapshot",$Q395="Snapshot",ISNUMBER($E395),$G395=INDEX('Market Data'!$AE$5:$AE$66,INDEX('Market Data'!$J$5:$J$528,$T395)-4)),IFERROR(INDEX('Market Data'!$AC$5:$AC$66,INDEX('Market Data'!$J$5:$J$528,$T395)-4)*INDEX('Market Data'!$AD$5:$AD$66,INDEX('Market Data'!$J$5:$J$528,$T395)-4)/$E395-1,"unavailable"),IF($I395="Unavailable","unavailable","date mismatch"))))))</f>
        <v/>
      </c>
      <c r="N395" s="11">
        <f>IF($T395=0,"",IFERROR(IF(AND(N(INDEX('Market Data'!$F$5:$F$528,$T395))&gt;0,ISNUMBER(INDEX('Market Data'!$T$5:$T$528,$T395))),$E395*INDEX('Market Data'!$T$5:$T$528,$T395)/INDEX('Market Data'!$F$5:$F$528,$T395)-1,"unavailable"),"unavailable"))</f>
        <v/>
      </c>
      <c r="O395" s="9">
        <f>IF($T395=0,"",IF(IF(INDEX('Market Data'!$J$5:$J$528,$T395)=0,0,IF(LEFT(INDEX('Market Data'!$AS$5:$AS$66,INDEX('Market Data'!$J$5:$J$528,$T395)-4),11)="First-month",1,0))=1,"Class ratio review",IF($I395="Bloomberg",IF(ISNUMBER($G395),IF($G395&lt;TODAY(),"Older quote","See quote time"),"Date unavailable"),IF($I395="Snapshot",IF($G395&lt;DATEVALUE("2026-10-02"),"Older snapshot","Dated close"),"No valid quote"))))</f>
        <v/>
      </c>
      <c r="P395" s="14">
        <f>IF($T395=0,"",IF(INDEX('Market Data'!$J$5:$J$528,$T395)=0,"n/a",IF($Q395="Bloomberg",IF(AND(ISNUMBER(INDEX('Market Data'!$AK$5:$AK$66,INDEX('Market Data'!$J$5:$J$528,$T395)-4)),N(INDEX('Market Data'!$AK$5:$AK$66,INDEX('Market Data'!$J$5:$J$528,$T395)-4))&gt;0),INDEX('Market Data'!$AK$5:$AK$66,INDEX('Market Data'!$J$5:$J$528,$T395)-4),"date unavailable"),IF($Q395="Snapshot",IF(AND(ISNUMBER(INDEX('Market Data'!$AF$5:$AF$66,INDEX('Market Data'!$J$5:$J$528,$T395)-4)),N(INDEX('Market Data'!$AF$5:$AF$66,INDEX('Market Data'!$J$5:$J$528,$T395)-4))&gt;0),INDEX('Market Data'!$AF$5:$AF$66,INDEX('Market Data'!$J$5:$J$528,$T395)-4),"date unavailable"),"date unavailable"))))</f>
        <v/>
      </c>
      <c r="Q395" s="15">
        <f>IF($T395=0,"",IF(INDEX('Market Data'!$J$5:$J$528,$T395)=0,"n/a",IF(AND($M$5&lt;&gt;"Snapshot",ISNUMBER(INDEX('Market Data'!$AH$5:$AH$66,INDEX('Market Data'!$J$5:$J$528,$T395)-4)),N(INDEX('Market Data'!$AH$5:$AH$66,INDEX('Market Data'!$J$5:$J$528,$T395)-4))&gt;0),"Bloomberg",IF(AND($M$5&lt;&gt;"Bloomberg",ISNUMBER(INDEX('Market Data'!$AC$5:$AC$66,INDEX('Market Data'!$J$5:$J$528,$T395)-4)),N(INDEX('Market Data'!$AC$5:$AC$66,INDEX('Market Data'!$J$5:$J$528,$T395)-4))&gt;0),"Snapshot","Unavailable"))))</f>
        <v/>
      </c>
      <c r="T395">
        <f>IFERROR(MATCH(387,'Market Data'!$S$5:$S$528,0),0)</f>
        <v/>
      </c>
    </row>
    <row r="396" ht="34" customHeight="1">
      <c r="A396" s="8">
        <f>IF($T396=0,"",IF(INDEX('Market Data'!$A$5:$A$528,$T396)="","",INDEX('Market Data'!$A$5:$A$528,$T396)))</f>
        <v/>
      </c>
      <c r="B396" s="9">
        <f>IF($T396=0,"",IF(INDEX('Market Data'!$B$5:$B$528,$T396)="","",INDEX('Market Data'!$B$5:$B$528,$T396)))</f>
        <v/>
      </c>
      <c r="C396" s="9">
        <f>IF($T396=0,"",IF(INDEX('Market Data'!$C$5:$C$528,$T396)="","",INDEX('Market Data'!$C$5:$C$528,$T396)))</f>
        <v/>
      </c>
      <c r="D396" s="9">
        <f>IF($T396=0,"",IF(INDEX('Market Data'!$D$5:$D$528,$T396)="","",INDEX('Market Data'!$D$5:$D$528,$T396)))</f>
        <v/>
      </c>
      <c r="E396" s="10">
        <f>IF($T396=0,"",INDEX('Market Data'!$O$5:$O$528,$T396))</f>
        <v/>
      </c>
      <c r="F396" s="11">
        <f>IF($T396=0,"",IF(AND($I396="Bloomberg",ISNUMBER(INDEX('Market Data'!$L$5:$L$528,$T396))),INDEX('Market Data'!$L$5:$L$528,$T396),"unavailable"))</f>
        <v/>
      </c>
      <c r="G396" s="12">
        <f>IF($T396=0,"",IF($I396="Bloomberg",IF(AND(ISNUMBER(INDEX('Market Data'!$M$5:$M$528,$T396)),N(INDEX('Market Data'!$M$5:$M$528,$T396))&gt;0),INDEX('Market Data'!$M$5:$M$528,$T396),"date unavailable"),IF($I396="Snapshot",IF(AND(ISNUMBER(INDEX('Market Data'!$H$5:$H$528,$T396)),N(INDEX('Market Data'!$H$5:$H$528,$T396))&gt;0),INDEX('Market Data'!$H$5:$H$528,$T396),"date unavailable"),"date unavailable")))</f>
        <v/>
      </c>
      <c r="H396" s="9">
        <f>IF($T396=0,"",IF($I396="Bloomberg",IF(INDEX('Market Data'!$N$5:$N$528,$T396)="","time unavailable",INDEX('Market Data'!$N$5:$N$528,$T396)),""))</f>
        <v/>
      </c>
      <c r="I396" s="9">
        <f>IF($T396=0,"",INDEX('Market Data'!$P$5:$P$528,$T396))</f>
        <v/>
      </c>
      <c r="J396" s="13">
        <f>IF($T396=0,"",IF(INDEX('Market Data'!$E$5:$E$528,$T396)="","",INDEX('Market Data'!$E$5:$E$528,$T396)))</f>
        <v/>
      </c>
      <c r="K396" s="8">
        <f>IF($T396=0,"",IF(INDEX('Market Data'!$I$5:$I$528,$T396)="","",INDEX('Market Data'!$I$5:$I$528,$T396)))</f>
        <v/>
      </c>
      <c r="L396" s="10">
        <f>IF($T396=0,"",IF(INDEX('Market Data'!$J$5:$J$528,$T396)=0,"n/a",IF(AND($M$5&lt;&gt;"Snapshot",ISNUMBER(INDEX('Market Data'!$AH$5:$AH$66,INDEX('Market Data'!$J$5:$J$528,$T396)-4)),N(INDEX('Market Data'!$AH$5:$AH$66,INDEX('Market Data'!$J$5:$J$528,$T396)-4))&gt;0),INDEX('Market Data'!$AH$5:$AH$66,INDEX('Market Data'!$J$5:$J$528,$T396)-4),IF(AND($M$5&lt;&gt;"Bloomberg",ISNUMBER(INDEX('Market Data'!$AC$5:$AC$66,INDEX('Market Data'!$J$5:$J$528,$T396)-4)),N(INDEX('Market Data'!$AC$5:$AC$66,INDEX('Market Data'!$J$5:$J$528,$T396)-4))&gt;0),INDEX('Market Data'!$AC$5:$AC$66,INDEX('Market Data'!$J$5:$J$528,$T396)-4),"unavailable"))))</f>
        <v/>
      </c>
      <c r="M396" s="11">
        <f>IF($T396=0,"",IF(INDEX('Market Data'!$J$5:$J$528,$T396)=0,"n/a",IF(IF(INDEX('Market Data'!$J$5:$J$528,$T396)=0,0,IF(LEFT(INDEX('Market Data'!$AS$5:$AS$66,INDEX('Market Data'!$J$5:$J$528,$T396)-4),11)="First-month",1,0))=1,"class review",IF($I396="Bloomberg",IF(AND(ISNUMBER(INDEX('Market Data'!$AH$5:$AH$66,INDEX('Market Data'!$J$5:$J$528,$T396)-4)),N(INDEX('Market Data'!$AH$5:$AH$66,INDEX('Market Data'!$J$5:$J$528,$T396)-4))&gt;0,ISNUMBER('Market Data'!$B$1),N('Market Data'!$B$1)&gt;0),INDEX('Market Data'!$AH$5:$AH$66,INDEX('Market Data'!$J$5:$J$528,$T396)-4)*'Market Data'!$B$1/$E396-1,"pending A/FX"),IF(AND($I396="Snapshot",$Q396="Snapshot",ISNUMBER($E396),$G396=INDEX('Market Data'!$AE$5:$AE$66,INDEX('Market Data'!$J$5:$J$528,$T396)-4)),IFERROR(INDEX('Market Data'!$AC$5:$AC$66,INDEX('Market Data'!$J$5:$J$528,$T396)-4)*INDEX('Market Data'!$AD$5:$AD$66,INDEX('Market Data'!$J$5:$J$528,$T396)-4)/$E396-1,"unavailable"),IF($I396="Unavailable","unavailable","date mismatch"))))))</f>
        <v/>
      </c>
      <c r="N396" s="11">
        <f>IF($T396=0,"",IFERROR(IF(AND(N(INDEX('Market Data'!$F$5:$F$528,$T396))&gt;0,ISNUMBER(INDEX('Market Data'!$T$5:$T$528,$T396))),$E396*INDEX('Market Data'!$T$5:$T$528,$T396)/INDEX('Market Data'!$F$5:$F$528,$T396)-1,"unavailable"),"unavailable"))</f>
        <v/>
      </c>
      <c r="O396" s="9">
        <f>IF($T396=0,"",IF(IF(INDEX('Market Data'!$J$5:$J$528,$T396)=0,0,IF(LEFT(INDEX('Market Data'!$AS$5:$AS$66,INDEX('Market Data'!$J$5:$J$528,$T396)-4),11)="First-month",1,0))=1,"Class ratio review",IF($I396="Bloomberg",IF(ISNUMBER($G396),IF($G396&lt;TODAY(),"Older quote","See quote time"),"Date unavailable"),IF($I396="Snapshot",IF($G396&lt;DATEVALUE("2026-10-02"),"Older snapshot","Dated close"),"No valid quote"))))</f>
        <v/>
      </c>
      <c r="P396" s="14">
        <f>IF($T396=0,"",IF(INDEX('Market Data'!$J$5:$J$528,$T396)=0,"n/a",IF($Q396="Bloomberg",IF(AND(ISNUMBER(INDEX('Market Data'!$AK$5:$AK$66,INDEX('Market Data'!$J$5:$J$528,$T396)-4)),N(INDEX('Market Data'!$AK$5:$AK$66,INDEX('Market Data'!$J$5:$J$528,$T396)-4))&gt;0),INDEX('Market Data'!$AK$5:$AK$66,INDEX('Market Data'!$J$5:$J$528,$T396)-4),"date unavailable"),IF($Q396="Snapshot",IF(AND(ISNUMBER(INDEX('Market Data'!$AF$5:$AF$66,INDEX('Market Data'!$J$5:$J$528,$T396)-4)),N(INDEX('Market Data'!$AF$5:$AF$66,INDEX('Market Data'!$J$5:$J$528,$T396)-4))&gt;0),INDEX('Market Data'!$AF$5:$AF$66,INDEX('Market Data'!$J$5:$J$528,$T396)-4),"date unavailable"),"date unavailable"))))</f>
        <v/>
      </c>
      <c r="Q396" s="15">
        <f>IF($T396=0,"",IF(INDEX('Market Data'!$J$5:$J$528,$T396)=0,"n/a",IF(AND($M$5&lt;&gt;"Snapshot",ISNUMBER(INDEX('Market Data'!$AH$5:$AH$66,INDEX('Market Data'!$J$5:$J$528,$T396)-4)),N(INDEX('Market Data'!$AH$5:$AH$66,INDEX('Market Data'!$J$5:$J$528,$T396)-4))&gt;0),"Bloomberg",IF(AND($M$5&lt;&gt;"Bloomberg",ISNUMBER(INDEX('Market Data'!$AC$5:$AC$66,INDEX('Market Data'!$J$5:$J$528,$T396)-4)),N(INDEX('Market Data'!$AC$5:$AC$66,INDEX('Market Data'!$J$5:$J$528,$T396)-4))&gt;0),"Snapshot","Unavailable"))))</f>
        <v/>
      </c>
      <c r="T396">
        <f>IFERROR(MATCH(388,'Market Data'!$S$5:$S$528,0),0)</f>
        <v/>
      </c>
    </row>
    <row r="397" ht="34" customHeight="1">
      <c r="A397" s="8">
        <f>IF($T397=0,"",IF(INDEX('Market Data'!$A$5:$A$528,$T397)="","",INDEX('Market Data'!$A$5:$A$528,$T397)))</f>
        <v/>
      </c>
      <c r="B397" s="9">
        <f>IF($T397=0,"",IF(INDEX('Market Data'!$B$5:$B$528,$T397)="","",INDEX('Market Data'!$B$5:$B$528,$T397)))</f>
        <v/>
      </c>
      <c r="C397" s="9">
        <f>IF($T397=0,"",IF(INDEX('Market Data'!$C$5:$C$528,$T397)="","",INDEX('Market Data'!$C$5:$C$528,$T397)))</f>
        <v/>
      </c>
      <c r="D397" s="9">
        <f>IF($T397=0,"",IF(INDEX('Market Data'!$D$5:$D$528,$T397)="","",INDEX('Market Data'!$D$5:$D$528,$T397)))</f>
        <v/>
      </c>
      <c r="E397" s="10">
        <f>IF($T397=0,"",INDEX('Market Data'!$O$5:$O$528,$T397))</f>
        <v/>
      </c>
      <c r="F397" s="11">
        <f>IF($T397=0,"",IF(AND($I397="Bloomberg",ISNUMBER(INDEX('Market Data'!$L$5:$L$528,$T397))),INDEX('Market Data'!$L$5:$L$528,$T397),"unavailable"))</f>
        <v/>
      </c>
      <c r="G397" s="12">
        <f>IF($T397=0,"",IF($I397="Bloomberg",IF(AND(ISNUMBER(INDEX('Market Data'!$M$5:$M$528,$T397)),N(INDEX('Market Data'!$M$5:$M$528,$T397))&gt;0),INDEX('Market Data'!$M$5:$M$528,$T397),"date unavailable"),IF($I397="Snapshot",IF(AND(ISNUMBER(INDEX('Market Data'!$H$5:$H$528,$T397)),N(INDEX('Market Data'!$H$5:$H$528,$T397))&gt;0),INDEX('Market Data'!$H$5:$H$528,$T397),"date unavailable"),"date unavailable")))</f>
        <v/>
      </c>
      <c r="H397" s="9">
        <f>IF($T397=0,"",IF($I397="Bloomberg",IF(INDEX('Market Data'!$N$5:$N$528,$T397)="","time unavailable",INDEX('Market Data'!$N$5:$N$528,$T397)),""))</f>
        <v/>
      </c>
      <c r="I397" s="9">
        <f>IF($T397=0,"",INDEX('Market Data'!$P$5:$P$528,$T397))</f>
        <v/>
      </c>
      <c r="J397" s="13">
        <f>IF($T397=0,"",IF(INDEX('Market Data'!$E$5:$E$528,$T397)="","",INDEX('Market Data'!$E$5:$E$528,$T397)))</f>
        <v/>
      </c>
      <c r="K397" s="8">
        <f>IF($T397=0,"",IF(INDEX('Market Data'!$I$5:$I$528,$T397)="","",INDEX('Market Data'!$I$5:$I$528,$T397)))</f>
        <v/>
      </c>
      <c r="L397" s="10">
        <f>IF($T397=0,"",IF(INDEX('Market Data'!$J$5:$J$528,$T397)=0,"n/a",IF(AND($M$5&lt;&gt;"Snapshot",ISNUMBER(INDEX('Market Data'!$AH$5:$AH$66,INDEX('Market Data'!$J$5:$J$528,$T397)-4)),N(INDEX('Market Data'!$AH$5:$AH$66,INDEX('Market Data'!$J$5:$J$528,$T397)-4))&gt;0),INDEX('Market Data'!$AH$5:$AH$66,INDEX('Market Data'!$J$5:$J$528,$T397)-4),IF(AND($M$5&lt;&gt;"Bloomberg",ISNUMBER(INDEX('Market Data'!$AC$5:$AC$66,INDEX('Market Data'!$J$5:$J$528,$T397)-4)),N(INDEX('Market Data'!$AC$5:$AC$66,INDEX('Market Data'!$J$5:$J$528,$T397)-4))&gt;0),INDEX('Market Data'!$AC$5:$AC$66,INDEX('Market Data'!$J$5:$J$528,$T397)-4),"unavailable"))))</f>
        <v/>
      </c>
      <c r="M397" s="11">
        <f>IF($T397=0,"",IF(INDEX('Market Data'!$J$5:$J$528,$T397)=0,"n/a",IF(IF(INDEX('Market Data'!$J$5:$J$528,$T397)=0,0,IF(LEFT(INDEX('Market Data'!$AS$5:$AS$66,INDEX('Market Data'!$J$5:$J$528,$T397)-4),11)="First-month",1,0))=1,"class review",IF($I397="Bloomberg",IF(AND(ISNUMBER(INDEX('Market Data'!$AH$5:$AH$66,INDEX('Market Data'!$J$5:$J$528,$T397)-4)),N(INDEX('Market Data'!$AH$5:$AH$66,INDEX('Market Data'!$J$5:$J$528,$T397)-4))&gt;0,ISNUMBER('Market Data'!$B$1),N('Market Data'!$B$1)&gt;0),INDEX('Market Data'!$AH$5:$AH$66,INDEX('Market Data'!$J$5:$J$528,$T397)-4)*'Market Data'!$B$1/$E397-1,"pending A/FX"),IF(AND($I397="Snapshot",$Q397="Snapshot",ISNUMBER($E397),$G397=INDEX('Market Data'!$AE$5:$AE$66,INDEX('Market Data'!$J$5:$J$528,$T397)-4)),IFERROR(INDEX('Market Data'!$AC$5:$AC$66,INDEX('Market Data'!$J$5:$J$528,$T397)-4)*INDEX('Market Data'!$AD$5:$AD$66,INDEX('Market Data'!$J$5:$J$528,$T397)-4)/$E397-1,"unavailable"),IF($I397="Unavailable","unavailable","date mismatch"))))))</f>
        <v/>
      </c>
      <c r="N397" s="11">
        <f>IF($T397=0,"",IFERROR(IF(AND(N(INDEX('Market Data'!$F$5:$F$528,$T397))&gt;0,ISNUMBER(INDEX('Market Data'!$T$5:$T$528,$T397))),$E397*INDEX('Market Data'!$T$5:$T$528,$T397)/INDEX('Market Data'!$F$5:$F$528,$T397)-1,"unavailable"),"unavailable"))</f>
        <v/>
      </c>
      <c r="O397" s="9">
        <f>IF($T397=0,"",IF(IF(INDEX('Market Data'!$J$5:$J$528,$T397)=0,0,IF(LEFT(INDEX('Market Data'!$AS$5:$AS$66,INDEX('Market Data'!$J$5:$J$528,$T397)-4),11)="First-month",1,0))=1,"Class ratio review",IF($I397="Bloomberg",IF(ISNUMBER($G397),IF($G397&lt;TODAY(),"Older quote","See quote time"),"Date unavailable"),IF($I397="Snapshot",IF($G397&lt;DATEVALUE("2026-10-02"),"Older snapshot","Dated close"),"No valid quote"))))</f>
        <v/>
      </c>
      <c r="P397" s="14">
        <f>IF($T397=0,"",IF(INDEX('Market Data'!$J$5:$J$528,$T397)=0,"n/a",IF($Q397="Bloomberg",IF(AND(ISNUMBER(INDEX('Market Data'!$AK$5:$AK$66,INDEX('Market Data'!$J$5:$J$528,$T397)-4)),N(INDEX('Market Data'!$AK$5:$AK$66,INDEX('Market Data'!$J$5:$J$528,$T397)-4))&gt;0),INDEX('Market Data'!$AK$5:$AK$66,INDEX('Market Data'!$J$5:$J$528,$T397)-4),"date unavailable"),IF($Q397="Snapshot",IF(AND(ISNUMBER(INDEX('Market Data'!$AF$5:$AF$66,INDEX('Market Data'!$J$5:$J$528,$T397)-4)),N(INDEX('Market Data'!$AF$5:$AF$66,INDEX('Market Data'!$J$5:$J$528,$T397)-4))&gt;0),INDEX('Market Data'!$AF$5:$AF$66,INDEX('Market Data'!$J$5:$J$528,$T397)-4),"date unavailable"),"date unavailable"))))</f>
        <v/>
      </c>
      <c r="Q397" s="15">
        <f>IF($T397=0,"",IF(INDEX('Market Data'!$J$5:$J$528,$T397)=0,"n/a",IF(AND($M$5&lt;&gt;"Snapshot",ISNUMBER(INDEX('Market Data'!$AH$5:$AH$66,INDEX('Market Data'!$J$5:$J$528,$T397)-4)),N(INDEX('Market Data'!$AH$5:$AH$66,INDEX('Market Data'!$J$5:$J$528,$T397)-4))&gt;0),"Bloomberg",IF(AND($M$5&lt;&gt;"Bloomberg",ISNUMBER(INDEX('Market Data'!$AC$5:$AC$66,INDEX('Market Data'!$J$5:$J$528,$T397)-4)),N(INDEX('Market Data'!$AC$5:$AC$66,INDEX('Market Data'!$J$5:$J$528,$T397)-4))&gt;0),"Snapshot","Unavailable"))))</f>
        <v/>
      </c>
      <c r="T397">
        <f>IFERROR(MATCH(389,'Market Data'!$S$5:$S$528,0),0)</f>
        <v/>
      </c>
    </row>
    <row r="398" ht="34" customHeight="1">
      <c r="A398" s="8">
        <f>IF($T398=0,"",IF(INDEX('Market Data'!$A$5:$A$528,$T398)="","",INDEX('Market Data'!$A$5:$A$528,$T398)))</f>
        <v/>
      </c>
      <c r="B398" s="9">
        <f>IF($T398=0,"",IF(INDEX('Market Data'!$B$5:$B$528,$T398)="","",INDEX('Market Data'!$B$5:$B$528,$T398)))</f>
        <v/>
      </c>
      <c r="C398" s="9">
        <f>IF($T398=0,"",IF(INDEX('Market Data'!$C$5:$C$528,$T398)="","",INDEX('Market Data'!$C$5:$C$528,$T398)))</f>
        <v/>
      </c>
      <c r="D398" s="9">
        <f>IF($T398=0,"",IF(INDEX('Market Data'!$D$5:$D$528,$T398)="","",INDEX('Market Data'!$D$5:$D$528,$T398)))</f>
        <v/>
      </c>
      <c r="E398" s="10">
        <f>IF($T398=0,"",INDEX('Market Data'!$O$5:$O$528,$T398))</f>
        <v/>
      </c>
      <c r="F398" s="11">
        <f>IF($T398=0,"",IF(AND($I398="Bloomberg",ISNUMBER(INDEX('Market Data'!$L$5:$L$528,$T398))),INDEX('Market Data'!$L$5:$L$528,$T398),"unavailable"))</f>
        <v/>
      </c>
      <c r="G398" s="12">
        <f>IF($T398=0,"",IF($I398="Bloomberg",IF(AND(ISNUMBER(INDEX('Market Data'!$M$5:$M$528,$T398)),N(INDEX('Market Data'!$M$5:$M$528,$T398))&gt;0),INDEX('Market Data'!$M$5:$M$528,$T398),"date unavailable"),IF($I398="Snapshot",IF(AND(ISNUMBER(INDEX('Market Data'!$H$5:$H$528,$T398)),N(INDEX('Market Data'!$H$5:$H$528,$T398))&gt;0),INDEX('Market Data'!$H$5:$H$528,$T398),"date unavailable"),"date unavailable")))</f>
        <v/>
      </c>
      <c r="H398" s="9">
        <f>IF($T398=0,"",IF($I398="Bloomberg",IF(INDEX('Market Data'!$N$5:$N$528,$T398)="","time unavailable",INDEX('Market Data'!$N$5:$N$528,$T398)),""))</f>
        <v/>
      </c>
      <c r="I398" s="9">
        <f>IF($T398=0,"",INDEX('Market Data'!$P$5:$P$528,$T398))</f>
        <v/>
      </c>
      <c r="J398" s="13">
        <f>IF($T398=0,"",IF(INDEX('Market Data'!$E$5:$E$528,$T398)="","",INDEX('Market Data'!$E$5:$E$528,$T398)))</f>
        <v/>
      </c>
      <c r="K398" s="8">
        <f>IF($T398=0,"",IF(INDEX('Market Data'!$I$5:$I$528,$T398)="","",INDEX('Market Data'!$I$5:$I$528,$T398)))</f>
        <v/>
      </c>
      <c r="L398" s="10">
        <f>IF($T398=0,"",IF(INDEX('Market Data'!$J$5:$J$528,$T398)=0,"n/a",IF(AND($M$5&lt;&gt;"Snapshot",ISNUMBER(INDEX('Market Data'!$AH$5:$AH$66,INDEX('Market Data'!$J$5:$J$528,$T398)-4)),N(INDEX('Market Data'!$AH$5:$AH$66,INDEX('Market Data'!$J$5:$J$528,$T398)-4))&gt;0),INDEX('Market Data'!$AH$5:$AH$66,INDEX('Market Data'!$J$5:$J$528,$T398)-4),IF(AND($M$5&lt;&gt;"Bloomberg",ISNUMBER(INDEX('Market Data'!$AC$5:$AC$66,INDEX('Market Data'!$J$5:$J$528,$T398)-4)),N(INDEX('Market Data'!$AC$5:$AC$66,INDEX('Market Data'!$J$5:$J$528,$T398)-4))&gt;0),INDEX('Market Data'!$AC$5:$AC$66,INDEX('Market Data'!$J$5:$J$528,$T398)-4),"unavailable"))))</f>
        <v/>
      </c>
      <c r="M398" s="11">
        <f>IF($T398=0,"",IF(INDEX('Market Data'!$J$5:$J$528,$T398)=0,"n/a",IF(IF(INDEX('Market Data'!$J$5:$J$528,$T398)=0,0,IF(LEFT(INDEX('Market Data'!$AS$5:$AS$66,INDEX('Market Data'!$J$5:$J$528,$T398)-4),11)="First-month",1,0))=1,"class review",IF($I398="Bloomberg",IF(AND(ISNUMBER(INDEX('Market Data'!$AH$5:$AH$66,INDEX('Market Data'!$J$5:$J$528,$T398)-4)),N(INDEX('Market Data'!$AH$5:$AH$66,INDEX('Market Data'!$J$5:$J$528,$T398)-4))&gt;0,ISNUMBER('Market Data'!$B$1),N('Market Data'!$B$1)&gt;0),INDEX('Market Data'!$AH$5:$AH$66,INDEX('Market Data'!$J$5:$J$528,$T398)-4)*'Market Data'!$B$1/$E398-1,"pending A/FX"),IF(AND($I398="Snapshot",$Q398="Snapshot",ISNUMBER($E398),$G398=INDEX('Market Data'!$AE$5:$AE$66,INDEX('Market Data'!$J$5:$J$528,$T398)-4)),IFERROR(INDEX('Market Data'!$AC$5:$AC$66,INDEX('Market Data'!$J$5:$J$528,$T398)-4)*INDEX('Market Data'!$AD$5:$AD$66,INDEX('Market Data'!$J$5:$J$528,$T398)-4)/$E398-1,"unavailable"),IF($I398="Unavailable","unavailable","date mismatch"))))))</f>
        <v/>
      </c>
      <c r="N398" s="11">
        <f>IF($T398=0,"",IFERROR(IF(AND(N(INDEX('Market Data'!$F$5:$F$528,$T398))&gt;0,ISNUMBER(INDEX('Market Data'!$T$5:$T$528,$T398))),$E398*INDEX('Market Data'!$T$5:$T$528,$T398)/INDEX('Market Data'!$F$5:$F$528,$T398)-1,"unavailable"),"unavailable"))</f>
        <v/>
      </c>
      <c r="O398" s="9">
        <f>IF($T398=0,"",IF(IF(INDEX('Market Data'!$J$5:$J$528,$T398)=0,0,IF(LEFT(INDEX('Market Data'!$AS$5:$AS$66,INDEX('Market Data'!$J$5:$J$528,$T398)-4),11)="First-month",1,0))=1,"Class ratio review",IF($I398="Bloomberg",IF(ISNUMBER($G398),IF($G398&lt;TODAY(),"Older quote","See quote time"),"Date unavailable"),IF($I398="Snapshot",IF($G398&lt;DATEVALUE("2026-10-02"),"Older snapshot","Dated close"),"No valid quote"))))</f>
        <v/>
      </c>
      <c r="P398" s="14">
        <f>IF($T398=0,"",IF(INDEX('Market Data'!$J$5:$J$528,$T398)=0,"n/a",IF($Q398="Bloomberg",IF(AND(ISNUMBER(INDEX('Market Data'!$AK$5:$AK$66,INDEX('Market Data'!$J$5:$J$528,$T398)-4)),N(INDEX('Market Data'!$AK$5:$AK$66,INDEX('Market Data'!$J$5:$J$528,$T398)-4))&gt;0),INDEX('Market Data'!$AK$5:$AK$66,INDEX('Market Data'!$J$5:$J$528,$T398)-4),"date unavailable"),IF($Q398="Snapshot",IF(AND(ISNUMBER(INDEX('Market Data'!$AF$5:$AF$66,INDEX('Market Data'!$J$5:$J$528,$T398)-4)),N(INDEX('Market Data'!$AF$5:$AF$66,INDEX('Market Data'!$J$5:$J$528,$T398)-4))&gt;0),INDEX('Market Data'!$AF$5:$AF$66,INDEX('Market Data'!$J$5:$J$528,$T398)-4),"date unavailable"),"date unavailable"))))</f>
        <v/>
      </c>
      <c r="Q398" s="15">
        <f>IF($T398=0,"",IF(INDEX('Market Data'!$J$5:$J$528,$T398)=0,"n/a",IF(AND($M$5&lt;&gt;"Snapshot",ISNUMBER(INDEX('Market Data'!$AH$5:$AH$66,INDEX('Market Data'!$J$5:$J$528,$T398)-4)),N(INDEX('Market Data'!$AH$5:$AH$66,INDEX('Market Data'!$J$5:$J$528,$T398)-4))&gt;0),"Bloomberg",IF(AND($M$5&lt;&gt;"Bloomberg",ISNUMBER(INDEX('Market Data'!$AC$5:$AC$66,INDEX('Market Data'!$J$5:$J$528,$T398)-4)),N(INDEX('Market Data'!$AC$5:$AC$66,INDEX('Market Data'!$J$5:$J$528,$T398)-4))&gt;0),"Snapshot","Unavailable"))))</f>
        <v/>
      </c>
      <c r="T398">
        <f>IFERROR(MATCH(390,'Market Data'!$S$5:$S$528,0),0)</f>
        <v/>
      </c>
    </row>
    <row r="399" ht="34" customHeight="1">
      <c r="A399" s="8">
        <f>IF($T399=0,"",IF(INDEX('Market Data'!$A$5:$A$528,$T399)="","",INDEX('Market Data'!$A$5:$A$528,$T399)))</f>
        <v/>
      </c>
      <c r="B399" s="9">
        <f>IF($T399=0,"",IF(INDEX('Market Data'!$B$5:$B$528,$T399)="","",INDEX('Market Data'!$B$5:$B$528,$T399)))</f>
        <v/>
      </c>
      <c r="C399" s="9">
        <f>IF($T399=0,"",IF(INDEX('Market Data'!$C$5:$C$528,$T399)="","",INDEX('Market Data'!$C$5:$C$528,$T399)))</f>
        <v/>
      </c>
      <c r="D399" s="9">
        <f>IF($T399=0,"",IF(INDEX('Market Data'!$D$5:$D$528,$T399)="","",INDEX('Market Data'!$D$5:$D$528,$T399)))</f>
        <v/>
      </c>
      <c r="E399" s="10">
        <f>IF($T399=0,"",INDEX('Market Data'!$O$5:$O$528,$T399))</f>
        <v/>
      </c>
      <c r="F399" s="11">
        <f>IF($T399=0,"",IF(AND($I399="Bloomberg",ISNUMBER(INDEX('Market Data'!$L$5:$L$528,$T399))),INDEX('Market Data'!$L$5:$L$528,$T399),"unavailable"))</f>
        <v/>
      </c>
      <c r="G399" s="12">
        <f>IF($T399=0,"",IF($I399="Bloomberg",IF(AND(ISNUMBER(INDEX('Market Data'!$M$5:$M$528,$T399)),N(INDEX('Market Data'!$M$5:$M$528,$T399))&gt;0),INDEX('Market Data'!$M$5:$M$528,$T399),"date unavailable"),IF($I399="Snapshot",IF(AND(ISNUMBER(INDEX('Market Data'!$H$5:$H$528,$T399)),N(INDEX('Market Data'!$H$5:$H$528,$T399))&gt;0),INDEX('Market Data'!$H$5:$H$528,$T399),"date unavailable"),"date unavailable")))</f>
        <v/>
      </c>
      <c r="H399" s="9">
        <f>IF($T399=0,"",IF($I399="Bloomberg",IF(INDEX('Market Data'!$N$5:$N$528,$T399)="","time unavailable",INDEX('Market Data'!$N$5:$N$528,$T399)),""))</f>
        <v/>
      </c>
      <c r="I399" s="9">
        <f>IF($T399=0,"",INDEX('Market Data'!$P$5:$P$528,$T399))</f>
        <v/>
      </c>
      <c r="J399" s="13">
        <f>IF($T399=0,"",IF(INDEX('Market Data'!$E$5:$E$528,$T399)="","",INDEX('Market Data'!$E$5:$E$528,$T399)))</f>
        <v/>
      </c>
      <c r="K399" s="8">
        <f>IF($T399=0,"",IF(INDEX('Market Data'!$I$5:$I$528,$T399)="","",INDEX('Market Data'!$I$5:$I$528,$T399)))</f>
        <v/>
      </c>
      <c r="L399" s="10">
        <f>IF($T399=0,"",IF(INDEX('Market Data'!$J$5:$J$528,$T399)=0,"n/a",IF(AND($M$5&lt;&gt;"Snapshot",ISNUMBER(INDEX('Market Data'!$AH$5:$AH$66,INDEX('Market Data'!$J$5:$J$528,$T399)-4)),N(INDEX('Market Data'!$AH$5:$AH$66,INDEX('Market Data'!$J$5:$J$528,$T399)-4))&gt;0),INDEX('Market Data'!$AH$5:$AH$66,INDEX('Market Data'!$J$5:$J$528,$T399)-4),IF(AND($M$5&lt;&gt;"Bloomberg",ISNUMBER(INDEX('Market Data'!$AC$5:$AC$66,INDEX('Market Data'!$J$5:$J$528,$T399)-4)),N(INDEX('Market Data'!$AC$5:$AC$66,INDEX('Market Data'!$J$5:$J$528,$T399)-4))&gt;0),INDEX('Market Data'!$AC$5:$AC$66,INDEX('Market Data'!$J$5:$J$528,$T399)-4),"unavailable"))))</f>
        <v/>
      </c>
      <c r="M399" s="11">
        <f>IF($T399=0,"",IF(INDEX('Market Data'!$J$5:$J$528,$T399)=0,"n/a",IF(IF(INDEX('Market Data'!$J$5:$J$528,$T399)=0,0,IF(LEFT(INDEX('Market Data'!$AS$5:$AS$66,INDEX('Market Data'!$J$5:$J$528,$T399)-4),11)="First-month",1,0))=1,"class review",IF($I399="Bloomberg",IF(AND(ISNUMBER(INDEX('Market Data'!$AH$5:$AH$66,INDEX('Market Data'!$J$5:$J$528,$T399)-4)),N(INDEX('Market Data'!$AH$5:$AH$66,INDEX('Market Data'!$J$5:$J$528,$T399)-4))&gt;0,ISNUMBER('Market Data'!$B$1),N('Market Data'!$B$1)&gt;0),INDEX('Market Data'!$AH$5:$AH$66,INDEX('Market Data'!$J$5:$J$528,$T399)-4)*'Market Data'!$B$1/$E399-1,"pending A/FX"),IF(AND($I399="Snapshot",$Q399="Snapshot",ISNUMBER($E399),$G399=INDEX('Market Data'!$AE$5:$AE$66,INDEX('Market Data'!$J$5:$J$528,$T399)-4)),IFERROR(INDEX('Market Data'!$AC$5:$AC$66,INDEX('Market Data'!$J$5:$J$528,$T399)-4)*INDEX('Market Data'!$AD$5:$AD$66,INDEX('Market Data'!$J$5:$J$528,$T399)-4)/$E399-1,"unavailable"),IF($I399="Unavailable","unavailable","date mismatch"))))))</f>
        <v/>
      </c>
      <c r="N399" s="11">
        <f>IF($T399=0,"",IFERROR(IF(AND(N(INDEX('Market Data'!$F$5:$F$528,$T399))&gt;0,ISNUMBER(INDEX('Market Data'!$T$5:$T$528,$T399))),$E399*INDEX('Market Data'!$T$5:$T$528,$T399)/INDEX('Market Data'!$F$5:$F$528,$T399)-1,"unavailable"),"unavailable"))</f>
        <v/>
      </c>
      <c r="O399" s="9">
        <f>IF($T399=0,"",IF(IF(INDEX('Market Data'!$J$5:$J$528,$T399)=0,0,IF(LEFT(INDEX('Market Data'!$AS$5:$AS$66,INDEX('Market Data'!$J$5:$J$528,$T399)-4),11)="First-month",1,0))=1,"Class ratio review",IF($I399="Bloomberg",IF(ISNUMBER($G399),IF($G399&lt;TODAY(),"Older quote","See quote time"),"Date unavailable"),IF($I399="Snapshot",IF($G399&lt;DATEVALUE("2026-10-02"),"Older snapshot","Dated close"),"No valid quote"))))</f>
        <v/>
      </c>
      <c r="P399" s="14">
        <f>IF($T399=0,"",IF(INDEX('Market Data'!$J$5:$J$528,$T399)=0,"n/a",IF($Q399="Bloomberg",IF(AND(ISNUMBER(INDEX('Market Data'!$AK$5:$AK$66,INDEX('Market Data'!$J$5:$J$528,$T399)-4)),N(INDEX('Market Data'!$AK$5:$AK$66,INDEX('Market Data'!$J$5:$J$528,$T399)-4))&gt;0),INDEX('Market Data'!$AK$5:$AK$66,INDEX('Market Data'!$J$5:$J$528,$T399)-4),"date unavailable"),IF($Q399="Snapshot",IF(AND(ISNUMBER(INDEX('Market Data'!$AF$5:$AF$66,INDEX('Market Data'!$J$5:$J$528,$T399)-4)),N(INDEX('Market Data'!$AF$5:$AF$66,INDEX('Market Data'!$J$5:$J$528,$T399)-4))&gt;0),INDEX('Market Data'!$AF$5:$AF$66,INDEX('Market Data'!$J$5:$J$528,$T399)-4),"date unavailable"),"date unavailable"))))</f>
        <v/>
      </c>
      <c r="Q399" s="15">
        <f>IF($T399=0,"",IF(INDEX('Market Data'!$J$5:$J$528,$T399)=0,"n/a",IF(AND($M$5&lt;&gt;"Snapshot",ISNUMBER(INDEX('Market Data'!$AH$5:$AH$66,INDEX('Market Data'!$J$5:$J$528,$T399)-4)),N(INDEX('Market Data'!$AH$5:$AH$66,INDEX('Market Data'!$J$5:$J$528,$T399)-4))&gt;0),"Bloomberg",IF(AND($M$5&lt;&gt;"Bloomberg",ISNUMBER(INDEX('Market Data'!$AC$5:$AC$66,INDEX('Market Data'!$J$5:$J$528,$T399)-4)),N(INDEX('Market Data'!$AC$5:$AC$66,INDEX('Market Data'!$J$5:$J$528,$T399)-4))&gt;0),"Snapshot","Unavailable"))))</f>
        <v/>
      </c>
      <c r="T399">
        <f>IFERROR(MATCH(391,'Market Data'!$S$5:$S$528,0),0)</f>
        <v/>
      </c>
    </row>
    <row r="400" ht="34" customHeight="1">
      <c r="A400" s="8">
        <f>IF($T400=0,"",IF(INDEX('Market Data'!$A$5:$A$528,$T400)="","",INDEX('Market Data'!$A$5:$A$528,$T400)))</f>
        <v/>
      </c>
      <c r="B400" s="9">
        <f>IF($T400=0,"",IF(INDEX('Market Data'!$B$5:$B$528,$T400)="","",INDEX('Market Data'!$B$5:$B$528,$T400)))</f>
        <v/>
      </c>
      <c r="C400" s="9">
        <f>IF($T400=0,"",IF(INDEX('Market Data'!$C$5:$C$528,$T400)="","",INDEX('Market Data'!$C$5:$C$528,$T400)))</f>
        <v/>
      </c>
      <c r="D400" s="9">
        <f>IF($T400=0,"",IF(INDEX('Market Data'!$D$5:$D$528,$T400)="","",INDEX('Market Data'!$D$5:$D$528,$T400)))</f>
        <v/>
      </c>
      <c r="E400" s="10">
        <f>IF($T400=0,"",INDEX('Market Data'!$O$5:$O$528,$T400))</f>
        <v/>
      </c>
      <c r="F400" s="11">
        <f>IF($T400=0,"",IF(AND($I400="Bloomberg",ISNUMBER(INDEX('Market Data'!$L$5:$L$528,$T400))),INDEX('Market Data'!$L$5:$L$528,$T400),"unavailable"))</f>
        <v/>
      </c>
      <c r="G400" s="12">
        <f>IF($T400=0,"",IF($I400="Bloomberg",IF(AND(ISNUMBER(INDEX('Market Data'!$M$5:$M$528,$T400)),N(INDEX('Market Data'!$M$5:$M$528,$T400))&gt;0),INDEX('Market Data'!$M$5:$M$528,$T400),"date unavailable"),IF($I400="Snapshot",IF(AND(ISNUMBER(INDEX('Market Data'!$H$5:$H$528,$T400)),N(INDEX('Market Data'!$H$5:$H$528,$T400))&gt;0),INDEX('Market Data'!$H$5:$H$528,$T400),"date unavailable"),"date unavailable")))</f>
        <v/>
      </c>
      <c r="H400" s="9">
        <f>IF($T400=0,"",IF($I400="Bloomberg",IF(INDEX('Market Data'!$N$5:$N$528,$T400)="","time unavailable",INDEX('Market Data'!$N$5:$N$528,$T400)),""))</f>
        <v/>
      </c>
      <c r="I400" s="9">
        <f>IF($T400=0,"",INDEX('Market Data'!$P$5:$P$528,$T400))</f>
        <v/>
      </c>
      <c r="J400" s="13">
        <f>IF($T400=0,"",IF(INDEX('Market Data'!$E$5:$E$528,$T400)="","",INDEX('Market Data'!$E$5:$E$528,$T400)))</f>
        <v/>
      </c>
      <c r="K400" s="8">
        <f>IF($T400=0,"",IF(INDEX('Market Data'!$I$5:$I$528,$T400)="","",INDEX('Market Data'!$I$5:$I$528,$T400)))</f>
        <v/>
      </c>
      <c r="L400" s="10">
        <f>IF($T400=0,"",IF(INDEX('Market Data'!$J$5:$J$528,$T400)=0,"n/a",IF(AND($M$5&lt;&gt;"Snapshot",ISNUMBER(INDEX('Market Data'!$AH$5:$AH$66,INDEX('Market Data'!$J$5:$J$528,$T400)-4)),N(INDEX('Market Data'!$AH$5:$AH$66,INDEX('Market Data'!$J$5:$J$528,$T400)-4))&gt;0),INDEX('Market Data'!$AH$5:$AH$66,INDEX('Market Data'!$J$5:$J$528,$T400)-4),IF(AND($M$5&lt;&gt;"Bloomberg",ISNUMBER(INDEX('Market Data'!$AC$5:$AC$66,INDEX('Market Data'!$J$5:$J$528,$T400)-4)),N(INDEX('Market Data'!$AC$5:$AC$66,INDEX('Market Data'!$J$5:$J$528,$T400)-4))&gt;0),INDEX('Market Data'!$AC$5:$AC$66,INDEX('Market Data'!$J$5:$J$528,$T400)-4),"unavailable"))))</f>
        <v/>
      </c>
      <c r="M400" s="11">
        <f>IF($T400=0,"",IF(INDEX('Market Data'!$J$5:$J$528,$T400)=0,"n/a",IF(IF(INDEX('Market Data'!$J$5:$J$528,$T400)=0,0,IF(LEFT(INDEX('Market Data'!$AS$5:$AS$66,INDEX('Market Data'!$J$5:$J$528,$T400)-4),11)="First-month",1,0))=1,"class review",IF($I400="Bloomberg",IF(AND(ISNUMBER(INDEX('Market Data'!$AH$5:$AH$66,INDEX('Market Data'!$J$5:$J$528,$T400)-4)),N(INDEX('Market Data'!$AH$5:$AH$66,INDEX('Market Data'!$J$5:$J$528,$T400)-4))&gt;0,ISNUMBER('Market Data'!$B$1),N('Market Data'!$B$1)&gt;0),INDEX('Market Data'!$AH$5:$AH$66,INDEX('Market Data'!$J$5:$J$528,$T400)-4)*'Market Data'!$B$1/$E400-1,"pending A/FX"),IF(AND($I400="Snapshot",$Q400="Snapshot",ISNUMBER($E400),$G400=INDEX('Market Data'!$AE$5:$AE$66,INDEX('Market Data'!$J$5:$J$528,$T400)-4)),IFERROR(INDEX('Market Data'!$AC$5:$AC$66,INDEX('Market Data'!$J$5:$J$528,$T400)-4)*INDEX('Market Data'!$AD$5:$AD$66,INDEX('Market Data'!$J$5:$J$528,$T400)-4)/$E400-1,"unavailable"),IF($I400="Unavailable","unavailable","date mismatch"))))))</f>
        <v/>
      </c>
      <c r="N400" s="11">
        <f>IF($T400=0,"",IFERROR(IF(AND(N(INDEX('Market Data'!$F$5:$F$528,$T400))&gt;0,ISNUMBER(INDEX('Market Data'!$T$5:$T$528,$T400))),$E400*INDEX('Market Data'!$T$5:$T$528,$T400)/INDEX('Market Data'!$F$5:$F$528,$T400)-1,"unavailable"),"unavailable"))</f>
        <v/>
      </c>
      <c r="O400" s="9">
        <f>IF($T400=0,"",IF(IF(INDEX('Market Data'!$J$5:$J$528,$T400)=0,0,IF(LEFT(INDEX('Market Data'!$AS$5:$AS$66,INDEX('Market Data'!$J$5:$J$528,$T400)-4),11)="First-month",1,0))=1,"Class ratio review",IF($I400="Bloomberg",IF(ISNUMBER($G400),IF($G400&lt;TODAY(),"Older quote","See quote time"),"Date unavailable"),IF($I400="Snapshot",IF($G400&lt;DATEVALUE("2026-10-02"),"Older snapshot","Dated close"),"No valid quote"))))</f>
        <v/>
      </c>
      <c r="P400" s="14">
        <f>IF($T400=0,"",IF(INDEX('Market Data'!$J$5:$J$528,$T400)=0,"n/a",IF($Q400="Bloomberg",IF(AND(ISNUMBER(INDEX('Market Data'!$AK$5:$AK$66,INDEX('Market Data'!$J$5:$J$528,$T400)-4)),N(INDEX('Market Data'!$AK$5:$AK$66,INDEX('Market Data'!$J$5:$J$528,$T400)-4))&gt;0),INDEX('Market Data'!$AK$5:$AK$66,INDEX('Market Data'!$J$5:$J$528,$T400)-4),"date unavailable"),IF($Q400="Snapshot",IF(AND(ISNUMBER(INDEX('Market Data'!$AF$5:$AF$66,INDEX('Market Data'!$J$5:$J$528,$T400)-4)),N(INDEX('Market Data'!$AF$5:$AF$66,INDEX('Market Data'!$J$5:$J$528,$T400)-4))&gt;0),INDEX('Market Data'!$AF$5:$AF$66,INDEX('Market Data'!$J$5:$J$528,$T400)-4),"date unavailable"),"date unavailable"))))</f>
        <v/>
      </c>
      <c r="Q400" s="15">
        <f>IF($T400=0,"",IF(INDEX('Market Data'!$J$5:$J$528,$T400)=0,"n/a",IF(AND($M$5&lt;&gt;"Snapshot",ISNUMBER(INDEX('Market Data'!$AH$5:$AH$66,INDEX('Market Data'!$J$5:$J$528,$T400)-4)),N(INDEX('Market Data'!$AH$5:$AH$66,INDEX('Market Data'!$J$5:$J$528,$T400)-4))&gt;0),"Bloomberg",IF(AND($M$5&lt;&gt;"Bloomberg",ISNUMBER(INDEX('Market Data'!$AC$5:$AC$66,INDEX('Market Data'!$J$5:$J$528,$T400)-4)),N(INDEX('Market Data'!$AC$5:$AC$66,INDEX('Market Data'!$J$5:$J$528,$T400)-4))&gt;0),"Snapshot","Unavailable"))))</f>
        <v/>
      </c>
      <c r="T400">
        <f>IFERROR(MATCH(392,'Market Data'!$S$5:$S$528,0),0)</f>
        <v/>
      </c>
    </row>
    <row r="401" ht="34" customHeight="1">
      <c r="A401" s="8">
        <f>IF($T401=0,"",IF(INDEX('Market Data'!$A$5:$A$528,$T401)="","",INDEX('Market Data'!$A$5:$A$528,$T401)))</f>
        <v/>
      </c>
      <c r="B401" s="9">
        <f>IF($T401=0,"",IF(INDEX('Market Data'!$B$5:$B$528,$T401)="","",INDEX('Market Data'!$B$5:$B$528,$T401)))</f>
        <v/>
      </c>
      <c r="C401" s="9">
        <f>IF($T401=0,"",IF(INDEX('Market Data'!$C$5:$C$528,$T401)="","",INDEX('Market Data'!$C$5:$C$528,$T401)))</f>
        <v/>
      </c>
      <c r="D401" s="9">
        <f>IF($T401=0,"",IF(INDEX('Market Data'!$D$5:$D$528,$T401)="","",INDEX('Market Data'!$D$5:$D$528,$T401)))</f>
        <v/>
      </c>
      <c r="E401" s="10">
        <f>IF($T401=0,"",INDEX('Market Data'!$O$5:$O$528,$T401))</f>
        <v/>
      </c>
      <c r="F401" s="11">
        <f>IF($T401=0,"",IF(AND($I401="Bloomberg",ISNUMBER(INDEX('Market Data'!$L$5:$L$528,$T401))),INDEX('Market Data'!$L$5:$L$528,$T401),"unavailable"))</f>
        <v/>
      </c>
      <c r="G401" s="12">
        <f>IF($T401=0,"",IF($I401="Bloomberg",IF(AND(ISNUMBER(INDEX('Market Data'!$M$5:$M$528,$T401)),N(INDEX('Market Data'!$M$5:$M$528,$T401))&gt;0),INDEX('Market Data'!$M$5:$M$528,$T401),"date unavailable"),IF($I401="Snapshot",IF(AND(ISNUMBER(INDEX('Market Data'!$H$5:$H$528,$T401)),N(INDEX('Market Data'!$H$5:$H$528,$T401))&gt;0),INDEX('Market Data'!$H$5:$H$528,$T401),"date unavailable"),"date unavailable")))</f>
        <v/>
      </c>
      <c r="H401" s="9">
        <f>IF($T401=0,"",IF($I401="Bloomberg",IF(INDEX('Market Data'!$N$5:$N$528,$T401)="","time unavailable",INDEX('Market Data'!$N$5:$N$528,$T401)),""))</f>
        <v/>
      </c>
      <c r="I401" s="9">
        <f>IF($T401=0,"",INDEX('Market Data'!$P$5:$P$528,$T401))</f>
        <v/>
      </c>
      <c r="J401" s="13">
        <f>IF($T401=0,"",IF(INDEX('Market Data'!$E$5:$E$528,$T401)="","",INDEX('Market Data'!$E$5:$E$528,$T401)))</f>
        <v/>
      </c>
      <c r="K401" s="8">
        <f>IF($T401=0,"",IF(INDEX('Market Data'!$I$5:$I$528,$T401)="","",INDEX('Market Data'!$I$5:$I$528,$T401)))</f>
        <v/>
      </c>
      <c r="L401" s="10">
        <f>IF($T401=0,"",IF(INDEX('Market Data'!$J$5:$J$528,$T401)=0,"n/a",IF(AND($M$5&lt;&gt;"Snapshot",ISNUMBER(INDEX('Market Data'!$AH$5:$AH$66,INDEX('Market Data'!$J$5:$J$528,$T401)-4)),N(INDEX('Market Data'!$AH$5:$AH$66,INDEX('Market Data'!$J$5:$J$528,$T401)-4))&gt;0),INDEX('Market Data'!$AH$5:$AH$66,INDEX('Market Data'!$J$5:$J$528,$T401)-4),IF(AND($M$5&lt;&gt;"Bloomberg",ISNUMBER(INDEX('Market Data'!$AC$5:$AC$66,INDEX('Market Data'!$J$5:$J$528,$T401)-4)),N(INDEX('Market Data'!$AC$5:$AC$66,INDEX('Market Data'!$J$5:$J$528,$T401)-4))&gt;0),INDEX('Market Data'!$AC$5:$AC$66,INDEX('Market Data'!$J$5:$J$528,$T401)-4),"unavailable"))))</f>
        <v/>
      </c>
      <c r="M401" s="11">
        <f>IF($T401=0,"",IF(INDEX('Market Data'!$J$5:$J$528,$T401)=0,"n/a",IF(IF(INDEX('Market Data'!$J$5:$J$528,$T401)=0,0,IF(LEFT(INDEX('Market Data'!$AS$5:$AS$66,INDEX('Market Data'!$J$5:$J$528,$T401)-4),11)="First-month",1,0))=1,"class review",IF($I401="Bloomberg",IF(AND(ISNUMBER(INDEX('Market Data'!$AH$5:$AH$66,INDEX('Market Data'!$J$5:$J$528,$T401)-4)),N(INDEX('Market Data'!$AH$5:$AH$66,INDEX('Market Data'!$J$5:$J$528,$T401)-4))&gt;0,ISNUMBER('Market Data'!$B$1),N('Market Data'!$B$1)&gt;0),INDEX('Market Data'!$AH$5:$AH$66,INDEX('Market Data'!$J$5:$J$528,$T401)-4)*'Market Data'!$B$1/$E401-1,"pending A/FX"),IF(AND($I401="Snapshot",$Q401="Snapshot",ISNUMBER($E401),$G401=INDEX('Market Data'!$AE$5:$AE$66,INDEX('Market Data'!$J$5:$J$528,$T401)-4)),IFERROR(INDEX('Market Data'!$AC$5:$AC$66,INDEX('Market Data'!$J$5:$J$528,$T401)-4)*INDEX('Market Data'!$AD$5:$AD$66,INDEX('Market Data'!$J$5:$J$528,$T401)-4)/$E401-1,"unavailable"),IF($I401="Unavailable","unavailable","date mismatch"))))))</f>
        <v/>
      </c>
      <c r="N401" s="11">
        <f>IF($T401=0,"",IFERROR(IF(AND(N(INDEX('Market Data'!$F$5:$F$528,$T401))&gt;0,ISNUMBER(INDEX('Market Data'!$T$5:$T$528,$T401))),$E401*INDEX('Market Data'!$T$5:$T$528,$T401)/INDEX('Market Data'!$F$5:$F$528,$T401)-1,"unavailable"),"unavailable"))</f>
        <v/>
      </c>
      <c r="O401" s="9">
        <f>IF($T401=0,"",IF(IF(INDEX('Market Data'!$J$5:$J$528,$T401)=0,0,IF(LEFT(INDEX('Market Data'!$AS$5:$AS$66,INDEX('Market Data'!$J$5:$J$528,$T401)-4),11)="First-month",1,0))=1,"Class ratio review",IF($I401="Bloomberg",IF(ISNUMBER($G401),IF($G401&lt;TODAY(),"Older quote","See quote time"),"Date unavailable"),IF($I401="Snapshot",IF($G401&lt;DATEVALUE("2026-10-02"),"Older snapshot","Dated close"),"No valid quote"))))</f>
        <v/>
      </c>
      <c r="P401" s="14">
        <f>IF($T401=0,"",IF(INDEX('Market Data'!$J$5:$J$528,$T401)=0,"n/a",IF($Q401="Bloomberg",IF(AND(ISNUMBER(INDEX('Market Data'!$AK$5:$AK$66,INDEX('Market Data'!$J$5:$J$528,$T401)-4)),N(INDEX('Market Data'!$AK$5:$AK$66,INDEX('Market Data'!$J$5:$J$528,$T401)-4))&gt;0),INDEX('Market Data'!$AK$5:$AK$66,INDEX('Market Data'!$J$5:$J$528,$T401)-4),"date unavailable"),IF($Q401="Snapshot",IF(AND(ISNUMBER(INDEX('Market Data'!$AF$5:$AF$66,INDEX('Market Data'!$J$5:$J$528,$T401)-4)),N(INDEX('Market Data'!$AF$5:$AF$66,INDEX('Market Data'!$J$5:$J$528,$T401)-4))&gt;0),INDEX('Market Data'!$AF$5:$AF$66,INDEX('Market Data'!$J$5:$J$528,$T401)-4),"date unavailable"),"date unavailable"))))</f>
        <v/>
      </c>
      <c r="Q401" s="15">
        <f>IF($T401=0,"",IF(INDEX('Market Data'!$J$5:$J$528,$T401)=0,"n/a",IF(AND($M$5&lt;&gt;"Snapshot",ISNUMBER(INDEX('Market Data'!$AH$5:$AH$66,INDEX('Market Data'!$J$5:$J$528,$T401)-4)),N(INDEX('Market Data'!$AH$5:$AH$66,INDEX('Market Data'!$J$5:$J$528,$T401)-4))&gt;0),"Bloomberg",IF(AND($M$5&lt;&gt;"Bloomberg",ISNUMBER(INDEX('Market Data'!$AC$5:$AC$66,INDEX('Market Data'!$J$5:$J$528,$T401)-4)),N(INDEX('Market Data'!$AC$5:$AC$66,INDEX('Market Data'!$J$5:$J$528,$T401)-4))&gt;0),"Snapshot","Unavailable"))))</f>
        <v/>
      </c>
      <c r="T401">
        <f>IFERROR(MATCH(393,'Market Data'!$S$5:$S$528,0),0)</f>
        <v/>
      </c>
    </row>
    <row r="402" ht="34" customHeight="1">
      <c r="A402" s="8">
        <f>IF($T402=0,"",IF(INDEX('Market Data'!$A$5:$A$528,$T402)="","",INDEX('Market Data'!$A$5:$A$528,$T402)))</f>
        <v/>
      </c>
      <c r="B402" s="9">
        <f>IF($T402=0,"",IF(INDEX('Market Data'!$B$5:$B$528,$T402)="","",INDEX('Market Data'!$B$5:$B$528,$T402)))</f>
        <v/>
      </c>
      <c r="C402" s="9">
        <f>IF($T402=0,"",IF(INDEX('Market Data'!$C$5:$C$528,$T402)="","",INDEX('Market Data'!$C$5:$C$528,$T402)))</f>
        <v/>
      </c>
      <c r="D402" s="9">
        <f>IF($T402=0,"",IF(INDEX('Market Data'!$D$5:$D$528,$T402)="","",INDEX('Market Data'!$D$5:$D$528,$T402)))</f>
        <v/>
      </c>
      <c r="E402" s="10">
        <f>IF($T402=0,"",INDEX('Market Data'!$O$5:$O$528,$T402))</f>
        <v/>
      </c>
      <c r="F402" s="11">
        <f>IF($T402=0,"",IF(AND($I402="Bloomberg",ISNUMBER(INDEX('Market Data'!$L$5:$L$528,$T402))),INDEX('Market Data'!$L$5:$L$528,$T402),"unavailable"))</f>
        <v/>
      </c>
      <c r="G402" s="12">
        <f>IF($T402=0,"",IF($I402="Bloomberg",IF(AND(ISNUMBER(INDEX('Market Data'!$M$5:$M$528,$T402)),N(INDEX('Market Data'!$M$5:$M$528,$T402))&gt;0),INDEX('Market Data'!$M$5:$M$528,$T402),"date unavailable"),IF($I402="Snapshot",IF(AND(ISNUMBER(INDEX('Market Data'!$H$5:$H$528,$T402)),N(INDEX('Market Data'!$H$5:$H$528,$T402))&gt;0),INDEX('Market Data'!$H$5:$H$528,$T402),"date unavailable"),"date unavailable")))</f>
        <v/>
      </c>
      <c r="H402" s="9">
        <f>IF($T402=0,"",IF($I402="Bloomberg",IF(INDEX('Market Data'!$N$5:$N$528,$T402)="","time unavailable",INDEX('Market Data'!$N$5:$N$528,$T402)),""))</f>
        <v/>
      </c>
      <c r="I402" s="9">
        <f>IF($T402=0,"",INDEX('Market Data'!$P$5:$P$528,$T402))</f>
        <v/>
      </c>
      <c r="J402" s="13">
        <f>IF($T402=0,"",IF(INDEX('Market Data'!$E$5:$E$528,$T402)="","",INDEX('Market Data'!$E$5:$E$528,$T402)))</f>
        <v/>
      </c>
      <c r="K402" s="8">
        <f>IF($T402=0,"",IF(INDEX('Market Data'!$I$5:$I$528,$T402)="","",INDEX('Market Data'!$I$5:$I$528,$T402)))</f>
        <v/>
      </c>
      <c r="L402" s="10">
        <f>IF($T402=0,"",IF(INDEX('Market Data'!$J$5:$J$528,$T402)=0,"n/a",IF(AND($M$5&lt;&gt;"Snapshot",ISNUMBER(INDEX('Market Data'!$AH$5:$AH$66,INDEX('Market Data'!$J$5:$J$528,$T402)-4)),N(INDEX('Market Data'!$AH$5:$AH$66,INDEX('Market Data'!$J$5:$J$528,$T402)-4))&gt;0),INDEX('Market Data'!$AH$5:$AH$66,INDEX('Market Data'!$J$5:$J$528,$T402)-4),IF(AND($M$5&lt;&gt;"Bloomberg",ISNUMBER(INDEX('Market Data'!$AC$5:$AC$66,INDEX('Market Data'!$J$5:$J$528,$T402)-4)),N(INDEX('Market Data'!$AC$5:$AC$66,INDEX('Market Data'!$J$5:$J$528,$T402)-4))&gt;0),INDEX('Market Data'!$AC$5:$AC$66,INDEX('Market Data'!$J$5:$J$528,$T402)-4),"unavailable"))))</f>
        <v/>
      </c>
      <c r="M402" s="11">
        <f>IF($T402=0,"",IF(INDEX('Market Data'!$J$5:$J$528,$T402)=0,"n/a",IF(IF(INDEX('Market Data'!$J$5:$J$528,$T402)=0,0,IF(LEFT(INDEX('Market Data'!$AS$5:$AS$66,INDEX('Market Data'!$J$5:$J$528,$T402)-4),11)="First-month",1,0))=1,"class review",IF($I402="Bloomberg",IF(AND(ISNUMBER(INDEX('Market Data'!$AH$5:$AH$66,INDEX('Market Data'!$J$5:$J$528,$T402)-4)),N(INDEX('Market Data'!$AH$5:$AH$66,INDEX('Market Data'!$J$5:$J$528,$T402)-4))&gt;0,ISNUMBER('Market Data'!$B$1),N('Market Data'!$B$1)&gt;0),INDEX('Market Data'!$AH$5:$AH$66,INDEX('Market Data'!$J$5:$J$528,$T402)-4)*'Market Data'!$B$1/$E402-1,"pending A/FX"),IF(AND($I402="Snapshot",$Q402="Snapshot",ISNUMBER($E402),$G402=INDEX('Market Data'!$AE$5:$AE$66,INDEX('Market Data'!$J$5:$J$528,$T402)-4)),IFERROR(INDEX('Market Data'!$AC$5:$AC$66,INDEX('Market Data'!$J$5:$J$528,$T402)-4)*INDEX('Market Data'!$AD$5:$AD$66,INDEX('Market Data'!$J$5:$J$528,$T402)-4)/$E402-1,"unavailable"),IF($I402="Unavailable","unavailable","date mismatch"))))))</f>
        <v/>
      </c>
      <c r="N402" s="11">
        <f>IF($T402=0,"",IFERROR(IF(AND(N(INDEX('Market Data'!$F$5:$F$528,$T402))&gt;0,ISNUMBER(INDEX('Market Data'!$T$5:$T$528,$T402))),$E402*INDEX('Market Data'!$T$5:$T$528,$T402)/INDEX('Market Data'!$F$5:$F$528,$T402)-1,"unavailable"),"unavailable"))</f>
        <v/>
      </c>
      <c r="O402" s="9">
        <f>IF($T402=0,"",IF(IF(INDEX('Market Data'!$J$5:$J$528,$T402)=0,0,IF(LEFT(INDEX('Market Data'!$AS$5:$AS$66,INDEX('Market Data'!$J$5:$J$528,$T402)-4),11)="First-month",1,0))=1,"Class ratio review",IF($I402="Bloomberg",IF(ISNUMBER($G402),IF($G402&lt;TODAY(),"Older quote","See quote time"),"Date unavailable"),IF($I402="Snapshot",IF($G402&lt;DATEVALUE("2026-10-02"),"Older snapshot","Dated close"),"No valid quote"))))</f>
        <v/>
      </c>
      <c r="P402" s="14">
        <f>IF($T402=0,"",IF(INDEX('Market Data'!$J$5:$J$528,$T402)=0,"n/a",IF($Q402="Bloomberg",IF(AND(ISNUMBER(INDEX('Market Data'!$AK$5:$AK$66,INDEX('Market Data'!$J$5:$J$528,$T402)-4)),N(INDEX('Market Data'!$AK$5:$AK$66,INDEX('Market Data'!$J$5:$J$528,$T402)-4))&gt;0),INDEX('Market Data'!$AK$5:$AK$66,INDEX('Market Data'!$J$5:$J$528,$T402)-4),"date unavailable"),IF($Q402="Snapshot",IF(AND(ISNUMBER(INDEX('Market Data'!$AF$5:$AF$66,INDEX('Market Data'!$J$5:$J$528,$T402)-4)),N(INDEX('Market Data'!$AF$5:$AF$66,INDEX('Market Data'!$J$5:$J$528,$T402)-4))&gt;0),INDEX('Market Data'!$AF$5:$AF$66,INDEX('Market Data'!$J$5:$J$528,$T402)-4),"date unavailable"),"date unavailable"))))</f>
        <v/>
      </c>
      <c r="Q402" s="15">
        <f>IF($T402=0,"",IF(INDEX('Market Data'!$J$5:$J$528,$T402)=0,"n/a",IF(AND($M$5&lt;&gt;"Snapshot",ISNUMBER(INDEX('Market Data'!$AH$5:$AH$66,INDEX('Market Data'!$J$5:$J$528,$T402)-4)),N(INDEX('Market Data'!$AH$5:$AH$66,INDEX('Market Data'!$J$5:$J$528,$T402)-4))&gt;0),"Bloomberg",IF(AND($M$5&lt;&gt;"Bloomberg",ISNUMBER(INDEX('Market Data'!$AC$5:$AC$66,INDEX('Market Data'!$J$5:$J$528,$T402)-4)),N(INDEX('Market Data'!$AC$5:$AC$66,INDEX('Market Data'!$J$5:$J$528,$T402)-4))&gt;0),"Snapshot","Unavailable"))))</f>
        <v/>
      </c>
      <c r="T402">
        <f>IFERROR(MATCH(394,'Market Data'!$S$5:$S$528,0),0)</f>
        <v/>
      </c>
    </row>
    <row r="403" ht="34" customHeight="1">
      <c r="A403" s="8">
        <f>IF($T403=0,"",IF(INDEX('Market Data'!$A$5:$A$528,$T403)="","",INDEX('Market Data'!$A$5:$A$528,$T403)))</f>
        <v/>
      </c>
      <c r="B403" s="9">
        <f>IF($T403=0,"",IF(INDEX('Market Data'!$B$5:$B$528,$T403)="","",INDEX('Market Data'!$B$5:$B$528,$T403)))</f>
        <v/>
      </c>
      <c r="C403" s="9">
        <f>IF($T403=0,"",IF(INDEX('Market Data'!$C$5:$C$528,$T403)="","",INDEX('Market Data'!$C$5:$C$528,$T403)))</f>
        <v/>
      </c>
      <c r="D403" s="9">
        <f>IF($T403=0,"",IF(INDEX('Market Data'!$D$5:$D$528,$T403)="","",INDEX('Market Data'!$D$5:$D$528,$T403)))</f>
        <v/>
      </c>
      <c r="E403" s="10">
        <f>IF($T403=0,"",INDEX('Market Data'!$O$5:$O$528,$T403))</f>
        <v/>
      </c>
      <c r="F403" s="11">
        <f>IF($T403=0,"",IF(AND($I403="Bloomberg",ISNUMBER(INDEX('Market Data'!$L$5:$L$528,$T403))),INDEX('Market Data'!$L$5:$L$528,$T403),"unavailable"))</f>
        <v/>
      </c>
      <c r="G403" s="12">
        <f>IF($T403=0,"",IF($I403="Bloomberg",IF(AND(ISNUMBER(INDEX('Market Data'!$M$5:$M$528,$T403)),N(INDEX('Market Data'!$M$5:$M$528,$T403))&gt;0),INDEX('Market Data'!$M$5:$M$528,$T403),"date unavailable"),IF($I403="Snapshot",IF(AND(ISNUMBER(INDEX('Market Data'!$H$5:$H$528,$T403)),N(INDEX('Market Data'!$H$5:$H$528,$T403))&gt;0),INDEX('Market Data'!$H$5:$H$528,$T403),"date unavailable"),"date unavailable")))</f>
        <v/>
      </c>
      <c r="H403" s="9">
        <f>IF($T403=0,"",IF($I403="Bloomberg",IF(INDEX('Market Data'!$N$5:$N$528,$T403)="","time unavailable",INDEX('Market Data'!$N$5:$N$528,$T403)),""))</f>
        <v/>
      </c>
      <c r="I403" s="9">
        <f>IF($T403=0,"",INDEX('Market Data'!$P$5:$P$528,$T403))</f>
        <v/>
      </c>
      <c r="J403" s="13">
        <f>IF($T403=0,"",IF(INDEX('Market Data'!$E$5:$E$528,$T403)="","",INDEX('Market Data'!$E$5:$E$528,$T403)))</f>
        <v/>
      </c>
      <c r="K403" s="8">
        <f>IF($T403=0,"",IF(INDEX('Market Data'!$I$5:$I$528,$T403)="","",INDEX('Market Data'!$I$5:$I$528,$T403)))</f>
        <v/>
      </c>
      <c r="L403" s="10">
        <f>IF($T403=0,"",IF(INDEX('Market Data'!$J$5:$J$528,$T403)=0,"n/a",IF(AND($M$5&lt;&gt;"Snapshot",ISNUMBER(INDEX('Market Data'!$AH$5:$AH$66,INDEX('Market Data'!$J$5:$J$528,$T403)-4)),N(INDEX('Market Data'!$AH$5:$AH$66,INDEX('Market Data'!$J$5:$J$528,$T403)-4))&gt;0),INDEX('Market Data'!$AH$5:$AH$66,INDEX('Market Data'!$J$5:$J$528,$T403)-4),IF(AND($M$5&lt;&gt;"Bloomberg",ISNUMBER(INDEX('Market Data'!$AC$5:$AC$66,INDEX('Market Data'!$J$5:$J$528,$T403)-4)),N(INDEX('Market Data'!$AC$5:$AC$66,INDEX('Market Data'!$J$5:$J$528,$T403)-4))&gt;0),INDEX('Market Data'!$AC$5:$AC$66,INDEX('Market Data'!$J$5:$J$528,$T403)-4),"unavailable"))))</f>
        <v/>
      </c>
      <c r="M403" s="11">
        <f>IF($T403=0,"",IF(INDEX('Market Data'!$J$5:$J$528,$T403)=0,"n/a",IF(IF(INDEX('Market Data'!$J$5:$J$528,$T403)=0,0,IF(LEFT(INDEX('Market Data'!$AS$5:$AS$66,INDEX('Market Data'!$J$5:$J$528,$T403)-4),11)="First-month",1,0))=1,"class review",IF($I403="Bloomberg",IF(AND(ISNUMBER(INDEX('Market Data'!$AH$5:$AH$66,INDEX('Market Data'!$J$5:$J$528,$T403)-4)),N(INDEX('Market Data'!$AH$5:$AH$66,INDEX('Market Data'!$J$5:$J$528,$T403)-4))&gt;0,ISNUMBER('Market Data'!$B$1),N('Market Data'!$B$1)&gt;0),INDEX('Market Data'!$AH$5:$AH$66,INDEX('Market Data'!$J$5:$J$528,$T403)-4)*'Market Data'!$B$1/$E403-1,"pending A/FX"),IF(AND($I403="Snapshot",$Q403="Snapshot",ISNUMBER($E403),$G403=INDEX('Market Data'!$AE$5:$AE$66,INDEX('Market Data'!$J$5:$J$528,$T403)-4)),IFERROR(INDEX('Market Data'!$AC$5:$AC$66,INDEX('Market Data'!$J$5:$J$528,$T403)-4)*INDEX('Market Data'!$AD$5:$AD$66,INDEX('Market Data'!$J$5:$J$528,$T403)-4)/$E403-1,"unavailable"),IF($I403="Unavailable","unavailable","date mismatch"))))))</f>
        <v/>
      </c>
      <c r="N403" s="11">
        <f>IF($T403=0,"",IFERROR(IF(AND(N(INDEX('Market Data'!$F$5:$F$528,$T403))&gt;0,ISNUMBER(INDEX('Market Data'!$T$5:$T$528,$T403))),$E403*INDEX('Market Data'!$T$5:$T$528,$T403)/INDEX('Market Data'!$F$5:$F$528,$T403)-1,"unavailable"),"unavailable"))</f>
        <v/>
      </c>
      <c r="O403" s="9">
        <f>IF($T403=0,"",IF(IF(INDEX('Market Data'!$J$5:$J$528,$T403)=0,0,IF(LEFT(INDEX('Market Data'!$AS$5:$AS$66,INDEX('Market Data'!$J$5:$J$528,$T403)-4),11)="First-month",1,0))=1,"Class ratio review",IF($I403="Bloomberg",IF(ISNUMBER($G403),IF($G403&lt;TODAY(),"Older quote","See quote time"),"Date unavailable"),IF($I403="Snapshot",IF($G403&lt;DATEVALUE("2026-10-02"),"Older snapshot","Dated close"),"No valid quote"))))</f>
        <v/>
      </c>
      <c r="P403" s="14">
        <f>IF($T403=0,"",IF(INDEX('Market Data'!$J$5:$J$528,$T403)=0,"n/a",IF($Q403="Bloomberg",IF(AND(ISNUMBER(INDEX('Market Data'!$AK$5:$AK$66,INDEX('Market Data'!$J$5:$J$528,$T403)-4)),N(INDEX('Market Data'!$AK$5:$AK$66,INDEX('Market Data'!$J$5:$J$528,$T403)-4))&gt;0),INDEX('Market Data'!$AK$5:$AK$66,INDEX('Market Data'!$J$5:$J$528,$T403)-4),"date unavailable"),IF($Q403="Snapshot",IF(AND(ISNUMBER(INDEX('Market Data'!$AF$5:$AF$66,INDEX('Market Data'!$J$5:$J$528,$T403)-4)),N(INDEX('Market Data'!$AF$5:$AF$66,INDEX('Market Data'!$J$5:$J$528,$T403)-4))&gt;0),INDEX('Market Data'!$AF$5:$AF$66,INDEX('Market Data'!$J$5:$J$528,$T403)-4),"date unavailable"),"date unavailable"))))</f>
        <v/>
      </c>
      <c r="Q403" s="15">
        <f>IF($T403=0,"",IF(INDEX('Market Data'!$J$5:$J$528,$T403)=0,"n/a",IF(AND($M$5&lt;&gt;"Snapshot",ISNUMBER(INDEX('Market Data'!$AH$5:$AH$66,INDEX('Market Data'!$J$5:$J$528,$T403)-4)),N(INDEX('Market Data'!$AH$5:$AH$66,INDEX('Market Data'!$J$5:$J$528,$T403)-4))&gt;0),"Bloomberg",IF(AND($M$5&lt;&gt;"Bloomberg",ISNUMBER(INDEX('Market Data'!$AC$5:$AC$66,INDEX('Market Data'!$J$5:$J$528,$T403)-4)),N(INDEX('Market Data'!$AC$5:$AC$66,INDEX('Market Data'!$J$5:$J$528,$T403)-4))&gt;0),"Snapshot","Unavailable"))))</f>
        <v/>
      </c>
      <c r="T403">
        <f>IFERROR(MATCH(395,'Market Data'!$S$5:$S$528,0),0)</f>
        <v/>
      </c>
    </row>
    <row r="404" ht="34" customHeight="1">
      <c r="A404" s="8">
        <f>IF($T404=0,"",IF(INDEX('Market Data'!$A$5:$A$528,$T404)="","",INDEX('Market Data'!$A$5:$A$528,$T404)))</f>
        <v/>
      </c>
      <c r="B404" s="9">
        <f>IF($T404=0,"",IF(INDEX('Market Data'!$B$5:$B$528,$T404)="","",INDEX('Market Data'!$B$5:$B$528,$T404)))</f>
        <v/>
      </c>
      <c r="C404" s="9">
        <f>IF($T404=0,"",IF(INDEX('Market Data'!$C$5:$C$528,$T404)="","",INDEX('Market Data'!$C$5:$C$528,$T404)))</f>
        <v/>
      </c>
      <c r="D404" s="9">
        <f>IF($T404=0,"",IF(INDEX('Market Data'!$D$5:$D$528,$T404)="","",INDEX('Market Data'!$D$5:$D$528,$T404)))</f>
        <v/>
      </c>
      <c r="E404" s="10">
        <f>IF($T404=0,"",INDEX('Market Data'!$O$5:$O$528,$T404))</f>
        <v/>
      </c>
      <c r="F404" s="11">
        <f>IF($T404=0,"",IF(AND($I404="Bloomberg",ISNUMBER(INDEX('Market Data'!$L$5:$L$528,$T404))),INDEX('Market Data'!$L$5:$L$528,$T404),"unavailable"))</f>
        <v/>
      </c>
      <c r="G404" s="12">
        <f>IF($T404=0,"",IF($I404="Bloomberg",IF(AND(ISNUMBER(INDEX('Market Data'!$M$5:$M$528,$T404)),N(INDEX('Market Data'!$M$5:$M$528,$T404))&gt;0),INDEX('Market Data'!$M$5:$M$528,$T404),"date unavailable"),IF($I404="Snapshot",IF(AND(ISNUMBER(INDEX('Market Data'!$H$5:$H$528,$T404)),N(INDEX('Market Data'!$H$5:$H$528,$T404))&gt;0),INDEX('Market Data'!$H$5:$H$528,$T404),"date unavailable"),"date unavailable")))</f>
        <v/>
      </c>
      <c r="H404" s="9">
        <f>IF($T404=0,"",IF($I404="Bloomberg",IF(INDEX('Market Data'!$N$5:$N$528,$T404)="","time unavailable",INDEX('Market Data'!$N$5:$N$528,$T404)),""))</f>
        <v/>
      </c>
      <c r="I404" s="9">
        <f>IF($T404=0,"",INDEX('Market Data'!$P$5:$P$528,$T404))</f>
        <v/>
      </c>
      <c r="J404" s="13">
        <f>IF($T404=0,"",IF(INDEX('Market Data'!$E$5:$E$528,$T404)="","",INDEX('Market Data'!$E$5:$E$528,$T404)))</f>
        <v/>
      </c>
      <c r="K404" s="8">
        <f>IF($T404=0,"",IF(INDEX('Market Data'!$I$5:$I$528,$T404)="","",INDEX('Market Data'!$I$5:$I$528,$T404)))</f>
        <v/>
      </c>
      <c r="L404" s="10">
        <f>IF($T404=0,"",IF(INDEX('Market Data'!$J$5:$J$528,$T404)=0,"n/a",IF(AND($M$5&lt;&gt;"Snapshot",ISNUMBER(INDEX('Market Data'!$AH$5:$AH$66,INDEX('Market Data'!$J$5:$J$528,$T404)-4)),N(INDEX('Market Data'!$AH$5:$AH$66,INDEX('Market Data'!$J$5:$J$528,$T404)-4))&gt;0),INDEX('Market Data'!$AH$5:$AH$66,INDEX('Market Data'!$J$5:$J$528,$T404)-4),IF(AND($M$5&lt;&gt;"Bloomberg",ISNUMBER(INDEX('Market Data'!$AC$5:$AC$66,INDEX('Market Data'!$J$5:$J$528,$T404)-4)),N(INDEX('Market Data'!$AC$5:$AC$66,INDEX('Market Data'!$J$5:$J$528,$T404)-4))&gt;0),INDEX('Market Data'!$AC$5:$AC$66,INDEX('Market Data'!$J$5:$J$528,$T404)-4),"unavailable"))))</f>
        <v/>
      </c>
      <c r="M404" s="11">
        <f>IF($T404=0,"",IF(INDEX('Market Data'!$J$5:$J$528,$T404)=0,"n/a",IF(IF(INDEX('Market Data'!$J$5:$J$528,$T404)=0,0,IF(LEFT(INDEX('Market Data'!$AS$5:$AS$66,INDEX('Market Data'!$J$5:$J$528,$T404)-4),11)="First-month",1,0))=1,"class review",IF($I404="Bloomberg",IF(AND(ISNUMBER(INDEX('Market Data'!$AH$5:$AH$66,INDEX('Market Data'!$J$5:$J$528,$T404)-4)),N(INDEX('Market Data'!$AH$5:$AH$66,INDEX('Market Data'!$J$5:$J$528,$T404)-4))&gt;0,ISNUMBER('Market Data'!$B$1),N('Market Data'!$B$1)&gt;0),INDEX('Market Data'!$AH$5:$AH$66,INDEX('Market Data'!$J$5:$J$528,$T404)-4)*'Market Data'!$B$1/$E404-1,"pending A/FX"),IF(AND($I404="Snapshot",$Q404="Snapshot",ISNUMBER($E404),$G404=INDEX('Market Data'!$AE$5:$AE$66,INDEX('Market Data'!$J$5:$J$528,$T404)-4)),IFERROR(INDEX('Market Data'!$AC$5:$AC$66,INDEX('Market Data'!$J$5:$J$528,$T404)-4)*INDEX('Market Data'!$AD$5:$AD$66,INDEX('Market Data'!$J$5:$J$528,$T404)-4)/$E404-1,"unavailable"),IF($I404="Unavailable","unavailable","date mismatch"))))))</f>
        <v/>
      </c>
      <c r="N404" s="11">
        <f>IF($T404=0,"",IFERROR(IF(AND(N(INDEX('Market Data'!$F$5:$F$528,$T404))&gt;0,ISNUMBER(INDEX('Market Data'!$T$5:$T$528,$T404))),$E404*INDEX('Market Data'!$T$5:$T$528,$T404)/INDEX('Market Data'!$F$5:$F$528,$T404)-1,"unavailable"),"unavailable"))</f>
        <v/>
      </c>
      <c r="O404" s="9">
        <f>IF($T404=0,"",IF(IF(INDEX('Market Data'!$J$5:$J$528,$T404)=0,0,IF(LEFT(INDEX('Market Data'!$AS$5:$AS$66,INDEX('Market Data'!$J$5:$J$528,$T404)-4),11)="First-month",1,0))=1,"Class ratio review",IF($I404="Bloomberg",IF(ISNUMBER($G404),IF($G404&lt;TODAY(),"Older quote","See quote time"),"Date unavailable"),IF($I404="Snapshot",IF($G404&lt;DATEVALUE("2026-10-02"),"Older snapshot","Dated close"),"No valid quote"))))</f>
        <v/>
      </c>
      <c r="P404" s="14">
        <f>IF($T404=0,"",IF(INDEX('Market Data'!$J$5:$J$528,$T404)=0,"n/a",IF($Q404="Bloomberg",IF(AND(ISNUMBER(INDEX('Market Data'!$AK$5:$AK$66,INDEX('Market Data'!$J$5:$J$528,$T404)-4)),N(INDEX('Market Data'!$AK$5:$AK$66,INDEX('Market Data'!$J$5:$J$528,$T404)-4))&gt;0),INDEX('Market Data'!$AK$5:$AK$66,INDEX('Market Data'!$J$5:$J$528,$T404)-4),"date unavailable"),IF($Q404="Snapshot",IF(AND(ISNUMBER(INDEX('Market Data'!$AF$5:$AF$66,INDEX('Market Data'!$J$5:$J$528,$T404)-4)),N(INDEX('Market Data'!$AF$5:$AF$66,INDEX('Market Data'!$J$5:$J$528,$T404)-4))&gt;0),INDEX('Market Data'!$AF$5:$AF$66,INDEX('Market Data'!$J$5:$J$528,$T404)-4),"date unavailable"),"date unavailable"))))</f>
        <v/>
      </c>
      <c r="Q404" s="15">
        <f>IF($T404=0,"",IF(INDEX('Market Data'!$J$5:$J$528,$T404)=0,"n/a",IF(AND($M$5&lt;&gt;"Snapshot",ISNUMBER(INDEX('Market Data'!$AH$5:$AH$66,INDEX('Market Data'!$J$5:$J$528,$T404)-4)),N(INDEX('Market Data'!$AH$5:$AH$66,INDEX('Market Data'!$J$5:$J$528,$T404)-4))&gt;0),"Bloomberg",IF(AND($M$5&lt;&gt;"Bloomberg",ISNUMBER(INDEX('Market Data'!$AC$5:$AC$66,INDEX('Market Data'!$J$5:$J$528,$T404)-4)),N(INDEX('Market Data'!$AC$5:$AC$66,INDEX('Market Data'!$J$5:$J$528,$T404)-4))&gt;0),"Snapshot","Unavailable"))))</f>
        <v/>
      </c>
      <c r="T404">
        <f>IFERROR(MATCH(396,'Market Data'!$S$5:$S$528,0),0)</f>
        <v/>
      </c>
    </row>
    <row r="405" ht="34" customHeight="1">
      <c r="A405" s="8">
        <f>IF($T405=0,"",IF(INDEX('Market Data'!$A$5:$A$528,$T405)="","",INDEX('Market Data'!$A$5:$A$528,$T405)))</f>
        <v/>
      </c>
      <c r="B405" s="9">
        <f>IF($T405=0,"",IF(INDEX('Market Data'!$B$5:$B$528,$T405)="","",INDEX('Market Data'!$B$5:$B$528,$T405)))</f>
        <v/>
      </c>
      <c r="C405" s="9">
        <f>IF($T405=0,"",IF(INDEX('Market Data'!$C$5:$C$528,$T405)="","",INDEX('Market Data'!$C$5:$C$528,$T405)))</f>
        <v/>
      </c>
      <c r="D405" s="9">
        <f>IF($T405=0,"",IF(INDEX('Market Data'!$D$5:$D$528,$T405)="","",INDEX('Market Data'!$D$5:$D$528,$T405)))</f>
        <v/>
      </c>
      <c r="E405" s="10">
        <f>IF($T405=0,"",INDEX('Market Data'!$O$5:$O$528,$T405))</f>
        <v/>
      </c>
      <c r="F405" s="11">
        <f>IF($T405=0,"",IF(AND($I405="Bloomberg",ISNUMBER(INDEX('Market Data'!$L$5:$L$528,$T405))),INDEX('Market Data'!$L$5:$L$528,$T405),"unavailable"))</f>
        <v/>
      </c>
      <c r="G405" s="12">
        <f>IF($T405=0,"",IF($I405="Bloomberg",IF(AND(ISNUMBER(INDEX('Market Data'!$M$5:$M$528,$T405)),N(INDEX('Market Data'!$M$5:$M$528,$T405))&gt;0),INDEX('Market Data'!$M$5:$M$528,$T405),"date unavailable"),IF($I405="Snapshot",IF(AND(ISNUMBER(INDEX('Market Data'!$H$5:$H$528,$T405)),N(INDEX('Market Data'!$H$5:$H$528,$T405))&gt;0),INDEX('Market Data'!$H$5:$H$528,$T405),"date unavailable"),"date unavailable")))</f>
        <v/>
      </c>
      <c r="H405" s="9">
        <f>IF($T405=0,"",IF($I405="Bloomberg",IF(INDEX('Market Data'!$N$5:$N$528,$T405)="","time unavailable",INDEX('Market Data'!$N$5:$N$528,$T405)),""))</f>
        <v/>
      </c>
      <c r="I405" s="9">
        <f>IF($T405=0,"",INDEX('Market Data'!$P$5:$P$528,$T405))</f>
        <v/>
      </c>
      <c r="J405" s="13">
        <f>IF($T405=0,"",IF(INDEX('Market Data'!$E$5:$E$528,$T405)="","",INDEX('Market Data'!$E$5:$E$528,$T405)))</f>
        <v/>
      </c>
      <c r="K405" s="8">
        <f>IF($T405=0,"",IF(INDEX('Market Data'!$I$5:$I$528,$T405)="","",INDEX('Market Data'!$I$5:$I$528,$T405)))</f>
        <v/>
      </c>
      <c r="L405" s="10">
        <f>IF($T405=0,"",IF(INDEX('Market Data'!$J$5:$J$528,$T405)=0,"n/a",IF(AND($M$5&lt;&gt;"Snapshot",ISNUMBER(INDEX('Market Data'!$AH$5:$AH$66,INDEX('Market Data'!$J$5:$J$528,$T405)-4)),N(INDEX('Market Data'!$AH$5:$AH$66,INDEX('Market Data'!$J$5:$J$528,$T405)-4))&gt;0),INDEX('Market Data'!$AH$5:$AH$66,INDEX('Market Data'!$J$5:$J$528,$T405)-4),IF(AND($M$5&lt;&gt;"Bloomberg",ISNUMBER(INDEX('Market Data'!$AC$5:$AC$66,INDEX('Market Data'!$J$5:$J$528,$T405)-4)),N(INDEX('Market Data'!$AC$5:$AC$66,INDEX('Market Data'!$J$5:$J$528,$T405)-4))&gt;0),INDEX('Market Data'!$AC$5:$AC$66,INDEX('Market Data'!$J$5:$J$528,$T405)-4),"unavailable"))))</f>
        <v/>
      </c>
      <c r="M405" s="11">
        <f>IF($T405=0,"",IF(INDEX('Market Data'!$J$5:$J$528,$T405)=0,"n/a",IF(IF(INDEX('Market Data'!$J$5:$J$528,$T405)=0,0,IF(LEFT(INDEX('Market Data'!$AS$5:$AS$66,INDEX('Market Data'!$J$5:$J$528,$T405)-4),11)="First-month",1,0))=1,"class review",IF($I405="Bloomberg",IF(AND(ISNUMBER(INDEX('Market Data'!$AH$5:$AH$66,INDEX('Market Data'!$J$5:$J$528,$T405)-4)),N(INDEX('Market Data'!$AH$5:$AH$66,INDEX('Market Data'!$J$5:$J$528,$T405)-4))&gt;0,ISNUMBER('Market Data'!$B$1),N('Market Data'!$B$1)&gt;0),INDEX('Market Data'!$AH$5:$AH$66,INDEX('Market Data'!$J$5:$J$528,$T405)-4)*'Market Data'!$B$1/$E405-1,"pending A/FX"),IF(AND($I405="Snapshot",$Q405="Snapshot",ISNUMBER($E405),$G405=INDEX('Market Data'!$AE$5:$AE$66,INDEX('Market Data'!$J$5:$J$528,$T405)-4)),IFERROR(INDEX('Market Data'!$AC$5:$AC$66,INDEX('Market Data'!$J$5:$J$528,$T405)-4)*INDEX('Market Data'!$AD$5:$AD$66,INDEX('Market Data'!$J$5:$J$528,$T405)-4)/$E405-1,"unavailable"),IF($I405="Unavailable","unavailable","date mismatch"))))))</f>
        <v/>
      </c>
      <c r="N405" s="11">
        <f>IF($T405=0,"",IFERROR(IF(AND(N(INDEX('Market Data'!$F$5:$F$528,$T405))&gt;0,ISNUMBER(INDEX('Market Data'!$T$5:$T$528,$T405))),$E405*INDEX('Market Data'!$T$5:$T$528,$T405)/INDEX('Market Data'!$F$5:$F$528,$T405)-1,"unavailable"),"unavailable"))</f>
        <v/>
      </c>
      <c r="O405" s="9">
        <f>IF($T405=0,"",IF(IF(INDEX('Market Data'!$J$5:$J$528,$T405)=0,0,IF(LEFT(INDEX('Market Data'!$AS$5:$AS$66,INDEX('Market Data'!$J$5:$J$528,$T405)-4),11)="First-month",1,0))=1,"Class ratio review",IF($I405="Bloomberg",IF(ISNUMBER($G405),IF($G405&lt;TODAY(),"Older quote","See quote time"),"Date unavailable"),IF($I405="Snapshot",IF($G405&lt;DATEVALUE("2026-10-02"),"Older snapshot","Dated close"),"No valid quote"))))</f>
        <v/>
      </c>
      <c r="P405" s="14">
        <f>IF($T405=0,"",IF(INDEX('Market Data'!$J$5:$J$528,$T405)=0,"n/a",IF($Q405="Bloomberg",IF(AND(ISNUMBER(INDEX('Market Data'!$AK$5:$AK$66,INDEX('Market Data'!$J$5:$J$528,$T405)-4)),N(INDEX('Market Data'!$AK$5:$AK$66,INDEX('Market Data'!$J$5:$J$528,$T405)-4))&gt;0),INDEX('Market Data'!$AK$5:$AK$66,INDEX('Market Data'!$J$5:$J$528,$T405)-4),"date unavailable"),IF($Q405="Snapshot",IF(AND(ISNUMBER(INDEX('Market Data'!$AF$5:$AF$66,INDEX('Market Data'!$J$5:$J$528,$T405)-4)),N(INDEX('Market Data'!$AF$5:$AF$66,INDEX('Market Data'!$J$5:$J$528,$T405)-4))&gt;0),INDEX('Market Data'!$AF$5:$AF$66,INDEX('Market Data'!$J$5:$J$528,$T405)-4),"date unavailable"),"date unavailable"))))</f>
        <v/>
      </c>
      <c r="Q405" s="15">
        <f>IF($T405=0,"",IF(INDEX('Market Data'!$J$5:$J$528,$T405)=0,"n/a",IF(AND($M$5&lt;&gt;"Snapshot",ISNUMBER(INDEX('Market Data'!$AH$5:$AH$66,INDEX('Market Data'!$J$5:$J$528,$T405)-4)),N(INDEX('Market Data'!$AH$5:$AH$66,INDEX('Market Data'!$J$5:$J$528,$T405)-4))&gt;0),"Bloomberg",IF(AND($M$5&lt;&gt;"Bloomberg",ISNUMBER(INDEX('Market Data'!$AC$5:$AC$66,INDEX('Market Data'!$J$5:$J$528,$T405)-4)),N(INDEX('Market Data'!$AC$5:$AC$66,INDEX('Market Data'!$J$5:$J$528,$T405)-4))&gt;0),"Snapshot","Unavailable"))))</f>
        <v/>
      </c>
      <c r="T405">
        <f>IFERROR(MATCH(397,'Market Data'!$S$5:$S$528,0),0)</f>
        <v/>
      </c>
    </row>
    <row r="406" ht="34" customHeight="1">
      <c r="A406" s="8">
        <f>IF($T406=0,"",IF(INDEX('Market Data'!$A$5:$A$528,$T406)="","",INDEX('Market Data'!$A$5:$A$528,$T406)))</f>
        <v/>
      </c>
      <c r="B406" s="9">
        <f>IF($T406=0,"",IF(INDEX('Market Data'!$B$5:$B$528,$T406)="","",INDEX('Market Data'!$B$5:$B$528,$T406)))</f>
        <v/>
      </c>
      <c r="C406" s="9">
        <f>IF($T406=0,"",IF(INDEX('Market Data'!$C$5:$C$528,$T406)="","",INDEX('Market Data'!$C$5:$C$528,$T406)))</f>
        <v/>
      </c>
      <c r="D406" s="9">
        <f>IF($T406=0,"",IF(INDEX('Market Data'!$D$5:$D$528,$T406)="","",INDEX('Market Data'!$D$5:$D$528,$T406)))</f>
        <v/>
      </c>
      <c r="E406" s="10">
        <f>IF($T406=0,"",INDEX('Market Data'!$O$5:$O$528,$T406))</f>
        <v/>
      </c>
      <c r="F406" s="11">
        <f>IF($T406=0,"",IF(AND($I406="Bloomberg",ISNUMBER(INDEX('Market Data'!$L$5:$L$528,$T406))),INDEX('Market Data'!$L$5:$L$528,$T406),"unavailable"))</f>
        <v/>
      </c>
      <c r="G406" s="12">
        <f>IF($T406=0,"",IF($I406="Bloomberg",IF(AND(ISNUMBER(INDEX('Market Data'!$M$5:$M$528,$T406)),N(INDEX('Market Data'!$M$5:$M$528,$T406))&gt;0),INDEX('Market Data'!$M$5:$M$528,$T406),"date unavailable"),IF($I406="Snapshot",IF(AND(ISNUMBER(INDEX('Market Data'!$H$5:$H$528,$T406)),N(INDEX('Market Data'!$H$5:$H$528,$T406))&gt;0),INDEX('Market Data'!$H$5:$H$528,$T406),"date unavailable"),"date unavailable")))</f>
        <v/>
      </c>
      <c r="H406" s="9">
        <f>IF($T406=0,"",IF($I406="Bloomberg",IF(INDEX('Market Data'!$N$5:$N$528,$T406)="","time unavailable",INDEX('Market Data'!$N$5:$N$528,$T406)),""))</f>
        <v/>
      </c>
      <c r="I406" s="9">
        <f>IF($T406=0,"",INDEX('Market Data'!$P$5:$P$528,$T406))</f>
        <v/>
      </c>
      <c r="J406" s="13">
        <f>IF($T406=0,"",IF(INDEX('Market Data'!$E$5:$E$528,$T406)="","",INDEX('Market Data'!$E$5:$E$528,$T406)))</f>
        <v/>
      </c>
      <c r="K406" s="8">
        <f>IF($T406=0,"",IF(INDEX('Market Data'!$I$5:$I$528,$T406)="","",INDEX('Market Data'!$I$5:$I$528,$T406)))</f>
        <v/>
      </c>
      <c r="L406" s="10">
        <f>IF($T406=0,"",IF(INDEX('Market Data'!$J$5:$J$528,$T406)=0,"n/a",IF(AND($M$5&lt;&gt;"Snapshot",ISNUMBER(INDEX('Market Data'!$AH$5:$AH$66,INDEX('Market Data'!$J$5:$J$528,$T406)-4)),N(INDEX('Market Data'!$AH$5:$AH$66,INDEX('Market Data'!$J$5:$J$528,$T406)-4))&gt;0),INDEX('Market Data'!$AH$5:$AH$66,INDEX('Market Data'!$J$5:$J$528,$T406)-4),IF(AND($M$5&lt;&gt;"Bloomberg",ISNUMBER(INDEX('Market Data'!$AC$5:$AC$66,INDEX('Market Data'!$J$5:$J$528,$T406)-4)),N(INDEX('Market Data'!$AC$5:$AC$66,INDEX('Market Data'!$J$5:$J$528,$T406)-4))&gt;0),INDEX('Market Data'!$AC$5:$AC$66,INDEX('Market Data'!$J$5:$J$528,$T406)-4),"unavailable"))))</f>
        <v/>
      </c>
      <c r="M406" s="11">
        <f>IF($T406=0,"",IF(INDEX('Market Data'!$J$5:$J$528,$T406)=0,"n/a",IF(IF(INDEX('Market Data'!$J$5:$J$528,$T406)=0,0,IF(LEFT(INDEX('Market Data'!$AS$5:$AS$66,INDEX('Market Data'!$J$5:$J$528,$T406)-4),11)="First-month",1,0))=1,"class review",IF($I406="Bloomberg",IF(AND(ISNUMBER(INDEX('Market Data'!$AH$5:$AH$66,INDEX('Market Data'!$J$5:$J$528,$T406)-4)),N(INDEX('Market Data'!$AH$5:$AH$66,INDEX('Market Data'!$J$5:$J$528,$T406)-4))&gt;0,ISNUMBER('Market Data'!$B$1),N('Market Data'!$B$1)&gt;0),INDEX('Market Data'!$AH$5:$AH$66,INDEX('Market Data'!$J$5:$J$528,$T406)-4)*'Market Data'!$B$1/$E406-1,"pending A/FX"),IF(AND($I406="Snapshot",$Q406="Snapshot",ISNUMBER($E406),$G406=INDEX('Market Data'!$AE$5:$AE$66,INDEX('Market Data'!$J$5:$J$528,$T406)-4)),IFERROR(INDEX('Market Data'!$AC$5:$AC$66,INDEX('Market Data'!$J$5:$J$528,$T406)-4)*INDEX('Market Data'!$AD$5:$AD$66,INDEX('Market Data'!$J$5:$J$528,$T406)-4)/$E406-1,"unavailable"),IF($I406="Unavailable","unavailable","date mismatch"))))))</f>
        <v/>
      </c>
      <c r="N406" s="11">
        <f>IF($T406=0,"",IFERROR(IF(AND(N(INDEX('Market Data'!$F$5:$F$528,$T406))&gt;0,ISNUMBER(INDEX('Market Data'!$T$5:$T$528,$T406))),$E406*INDEX('Market Data'!$T$5:$T$528,$T406)/INDEX('Market Data'!$F$5:$F$528,$T406)-1,"unavailable"),"unavailable"))</f>
        <v/>
      </c>
      <c r="O406" s="9">
        <f>IF($T406=0,"",IF(IF(INDEX('Market Data'!$J$5:$J$528,$T406)=0,0,IF(LEFT(INDEX('Market Data'!$AS$5:$AS$66,INDEX('Market Data'!$J$5:$J$528,$T406)-4),11)="First-month",1,0))=1,"Class ratio review",IF($I406="Bloomberg",IF(ISNUMBER($G406),IF($G406&lt;TODAY(),"Older quote","See quote time"),"Date unavailable"),IF($I406="Snapshot",IF($G406&lt;DATEVALUE("2026-10-02"),"Older snapshot","Dated close"),"No valid quote"))))</f>
        <v/>
      </c>
      <c r="P406" s="14">
        <f>IF($T406=0,"",IF(INDEX('Market Data'!$J$5:$J$528,$T406)=0,"n/a",IF($Q406="Bloomberg",IF(AND(ISNUMBER(INDEX('Market Data'!$AK$5:$AK$66,INDEX('Market Data'!$J$5:$J$528,$T406)-4)),N(INDEX('Market Data'!$AK$5:$AK$66,INDEX('Market Data'!$J$5:$J$528,$T406)-4))&gt;0),INDEX('Market Data'!$AK$5:$AK$66,INDEX('Market Data'!$J$5:$J$528,$T406)-4),"date unavailable"),IF($Q406="Snapshot",IF(AND(ISNUMBER(INDEX('Market Data'!$AF$5:$AF$66,INDEX('Market Data'!$J$5:$J$528,$T406)-4)),N(INDEX('Market Data'!$AF$5:$AF$66,INDEX('Market Data'!$J$5:$J$528,$T406)-4))&gt;0),INDEX('Market Data'!$AF$5:$AF$66,INDEX('Market Data'!$J$5:$J$528,$T406)-4),"date unavailable"),"date unavailable"))))</f>
        <v/>
      </c>
      <c r="Q406" s="15">
        <f>IF($T406=0,"",IF(INDEX('Market Data'!$J$5:$J$528,$T406)=0,"n/a",IF(AND($M$5&lt;&gt;"Snapshot",ISNUMBER(INDEX('Market Data'!$AH$5:$AH$66,INDEX('Market Data'!$J$5:$J$528,$T406)-4)),N(INDEX('Market Data'!$AH$5:$AH$66,INDEX('Market Data'!$J$5:$J$528,$T406)-4))&gt;0),"Bloomberg",IF(AND($M$5&lt;&gt;"Bloomberg",ISNUMBER(INDEX('Market Data'!$AC$5:$AC$66,INDEX('Market Data'!$J$5:$J$528,$T406)-4)),N(INDEX('Market Data'!$AC$5:$AC$66,INDEX('Market Data'!$J$5:$J$528,$T406)-4))&gt;0),"Snapshot","Unavailable"))))</f>
        <v/>
      </c>
      <c r="T406">
        <f>IFERROR(MATCH(398,'Market Data'!$S$5:$S$528,0),0)</f>
        <v/>
      </c>
    </row>
    <row r="407" ht="34" customHeight="1">
      <c r="A407" s="8">
        <f>IF($T407=0,"",IF(INDEX('Market Data'!$A$5:$A$528,$T407)="","",INDEX('Market Data'!$A$5:$A$528,$T407)))</f>
        <v/>
      </c>
      <c r="B407" s="9">
        <f>IF($T407=0,"",IF(INDEX('Market Data'!$B$5:$B$528,$T407)="","",INDEX('Market Data'!$B$5:$B$528,$T407)))</f>
        <v/>
      </c>
      <c r="C407" s="9">
        <f>IF($T407=0,"",IF(INDEX('Market Data'!$C$5:$C$528,$T407)="","",INDEX('Market Data'!$C$5:$C$528,$T407)))</f>
        <v/>
      </c>
      <c r="D407" s="9">
        <f>IF($T407=0,"",IF(INDEX('Market Data'!$D$5:$D$528,$T407)="","",INDEX('Market Data'!$D$5:$D$528,$T407)))</f>
        <v/>
      </c>
      <c r="E407" s="10">
        <f>IF($T407=0,"",INDEX('Market Data'!$O$5:$O$528,$T407))</f>
        <v/>
      </c>
      <c r="F407" s="11">
        <f>IF($T407=0,"",IF(AND($I407="Bloomberg",ISNUMBER(INDEX('Market Data'!$L$5:$L$528,$T407))),INDEX('Market Data'!$L$5:$L$528,$T407),"unavailable"))</f>
        <v/>
      </c>
      <c r="G407" s="12">
        <f>IF($T407=0,"",IF($I407="Bloomberg",IF(AND(ISNUMBER(INDEX('Market Data'!$M$5:$M$528,$T407)),N(INDEX('Market Data'!$M$5:$M$528,$T407))&gt;0),INDEX('Market Data'!$M$5:$M$528,$T407),"date unavailable"),IF($I407="Snapshot",IF(AND(ISNUMBER(INDEX('Market Data'!$H$5:$H$528,$T407)),N(INDEX('Market Data'!$H$5:$H$528,$T407))&gt;0),INDEX('Market Data'!$H$5:$H$528,$T407),"date unavailable"),"date unavailable")))</f>
        <v/>
      </c>
      <c r="H407" s="9">
        <f>IF($T407=0,"",IF($I407="Bloomberg",IF(INDEX('Market Data'!$N$5:$N$528,$T407)="","time unavailable",INDEX('Market Data'!$N$5:$N$528,$T407)),""))</f>
        <v/>
      </c>
      <c r="I407" s="9">
        <f>IF($T407=0,"",INDEX('Market Data'!$P$5:$P$528,$T407))</f>
        <v/>
      </c>
      <c r="J407" s="13">
        <f>IF($T407=0,"",IF(INDEX('Market Data'!$E$5:$E$528,$T407)="","",INDEX('Market Data'!$E$5:$E$528,$T407)))</f>
        <v/>
      </c>
      <c r="K407" s="8">
        <f>IF($T407=0,"",IF(INDEX('Market Data'!$I$5:$I$528,$T407)="","",INDEX('Market Data'!$I$5:$I$528,$T407)))</f>
        <v/>
      </c>
      <c r="L407" s="10">
        <f>IF($T407=0,"",IF(INDEX('Market Data'!$J$5:$J$528,$T407)=0,"n/a",IF(AND($M$5&lt;&gt;"Snapshot",ISNUMBER(INDEX('Market Data'!$AH$5:$AH$66,INDEX('Market Data'!$J$5:$J$528,$T407)-4)),N(INDEX('Market Data'!$AH$5:$AH$66,INDEX('Market Data'!$J$5:$J$528,$T407)-4))&gt;0),INDEX('Market Data'!$AH$5:$AH$66,INDEX('Market Data'!$J$5:$J$528,$T407)-4),IF(AND($M$5&lt;&gt;"Bloomberg",ISNUMBER(INDEX('Market Data'!$AC$5:$AC$66,INDEX('Market Data'!$J$5:$J$528,$T407)-4)),N(INDEX('Market Data'!$AC$5:$AC$66,INDEX('Market Data'!$J$5:$J$528,$T407)-4))&gt;0),INDEX('Market Data'!$AC$5:$AC$66,INDEX('Market Data'!$J$5:$J$528,$T407)-4),"unavailable"))))</f>
        <v/>
      </c>
      <c r="M407" s="11">
        <f>IF($T407=0,"",IF(INDEX('Market Data'!$J$5:$J$528,$T407)=0,"n/a",IF(IF(INDEX('Market Data'!$J$5:$J$528,$T407)=0,0,IF(LEFT(INDEX('Market Data'!$AS$5:$AS$66,INDEX('Market Data'!$J$5:$J$528,$T407)-4),11)="First-month",1,0))=1,"class review",IF($I407="Bloomberg",IF(AND(ISNUMBER(INDEX('Market Data'!$AH$5:$AH$66,INDEX('Market Data'!$J$5:$J$528,$T407)-4)),N(INDEX('Market Data'!$AH$5:$AH$66,INDEX('Market Data'!$J$5:$J$528,$T407)-4))&gt;0,ISNUMBER('Market Data'!$B$1),N('Market Data'!$B$1)&gt;0),INDEX('Market Data'!$AH$5:$AH$66,INDEX('Market Data'!$J$5:$J$528,$T407)-4)*'Market Data'!$B$1/$E407-1,"pending A/FX"),IF(AND($I407="Snapshot",$Q407="Snapshot",ISNUMBER($E407),$G407=INDEX('Market Data'!$AE$5:$AE$66,INDEX('Market Data'!$J$5:$J$528,$T407)-4)),IFERROR(INDEX('Market Data'!$AC$5:$AC$66,INDEX('Market Data'!$J$5:$J$528,$T407)-4)*INDEX('Market Data'!$AD$5:$AD$66,INDEX('Market Data'!$J$5:$J$528,$T407)-4)/$E407-1,"unavailable"),IF($I407="Unavailable","unavailable","date mismatch"))))))</f>
        <v/>
      </c>
      <c r="N407" s="11">
        <f>IF($T407=0,"",IFERROR(IF(AND(N(INDEX('Market Data'!$F$5:$F$528,$T407))&gt;0,ISNUMBER(INDEX('Market Data'!$T$5:$T$528,$T407))),$E407*INDEX('Market Data'!$T$5:$T$528,$T407)/INDEX('Market Data'!$F$5:$F$528,$T407)-1,"unavailable"),"unavailable"))</f>
        <v/>
      </c>
      <c r="O407" s="9">
        <f>IF($T407=0,"",IF(IF(INDEX('Market Data'!$J$5:$J$528,$T407)=0,0,IF(LEFT(INDEX('Market Data'!$AS$5:$AS$66,INDEX('Market Data'!$J$5:$J$528,$T407)-4),11)="First-month",1,0))=1,"Class ratio review",IF($I407="Bloomberg",IF(ISNUMBER($G407),IF($G407&lt;TODAY(),"Older quote","See quote time"),"Date unavailable"),IF($I407="Snapshot",IF($G407&lt;DATEVALUE("2026-10-02"),"Older snapshot","Dated close"),"No valid quote"))))</f>
        <v/>
      </c>
      <c r="P407" s="14">
        <f>IF($T407=0,"",IF(INDEX('Market Data'!$J$5:$J$528,$T407)=0,"n/a",IF($Q407="Bloomberg",IF(AND(ISNUMBER(INDEX('Market Data'!$AK$5:$AK$66,INDEX('Market Data'!$J$5:$J$528,$T407)-4)),N(INDEX('Market Data'!$AK$5:$AK$66,INDEX('Market Data'!$J$5:$J$528,$T407)-4))&gt;0),INDEX('Market Data'!$AK$5:$AK$66,INDEX('Market Data'!$J$5:$J$528,$T407)-4),"date unavailable"),IF($Q407="Snapshot",IF(AND(ISNUMBER(INDEX('Market Data'!$AF$5:$AF$66,INDEX('Market Data'!$J$5:$J$528,$T407)-4)),N(INDEX('Market Data'!$AF$5:$AF$66,INDEX('Market Data'!$J$5:$J$528,$T407)-4))&gt;0),INDEX('Market Data'!$AF$5:$AF$66,INDEX('Market Data'!$J$5:$J$528,$T407)-4),"date unavailable"),"date unavailable"))))</f>
        <v/>
      </c>
      <c r="Q407" s="15">
        <f>IF($T407=0,"",IF(INDEX('Market Data'!$J$5:$J$528,$T407)=0,"n/a",IF(AND($M$5&lt;&gt;"Snapshot",ISNUMBER(INDEX('Market Data'!$AH$5:$AH$66,INDEX('Market Data'!$J$5:$J$528,$T407)-4)),N(INDEX('Market Data'!$AH$5:$AH$66,INDEX('Market Data'!$J$5:$J$528,$T407)-4))&gt;0),"Bloomberg",IF(AND($M$5&lt;&gt;"Bloomberg",ISNUMBER(INDEX('Market Data'!$AC$5:$AC$66,INDEX('Market Data'!$J$5:$J$528,$T407)-4)),N(INDEX('Market Data'!$AC$5:$AC$66,INDEX('Market Data'!$J$5:$J$528,$T407)-4))&gt;0),"Snapshot","Unavailable"))))</f>
        <v/>
      </c>
      <c r="T407">
        <f>IFERROR(MATCH(399,'Market Data'!$S$5:$S$528,0),0)</f>
        <v/>
      </c>
    </row>
    <row r="408" ht="34" customHeight="1">
      <c r="A408" s="8">
        <f>IF($T408=0,"",IF(INDEX('Market Data'!$A$5:$A$528,$T408)="","",INDEX('Market Data'!$A$5:$A$528,$T408)))</f>
        <v/>
      </c>
      <c r="B408" s="9">
        <f>IF($T408=0,"",IF(INDEX('Market Data'!$B$5:$B$528,$T408)="","",INDEX('Market Data'!$B$5:$B$528,$T408)))</f>
        <v/>
      </c>
      <c r="C408" s="9">
        <f>IF($T408=0,"",IF(INDEX('Market Data'!$C$5:$C$528,$T408)="","",INDEX('Market Data'!$C$5:$C$528,$T408)))</f>
        <v/>
      </c>
      <c r="D408" s="9">
        <f>IF($T408=0,"",IF(INDEX('Market Data'!$D$5:$D$528,$T408)="","",INDEX('Market Data'!$D$5:$D$528,$T408)))</f>
        <v/>
      </c>
      <c r="E408" s="10">
        <f>IF($T408=0,"",INDEX('Market Data'!$O$5:$O$528,$T408))</f>
        <v/>
      </c>
      <c r="F408" s="11">
        <f>IF($T408=0,"",IF(AND($I408="Bloomberg",ISNUMBER(INDEX('Market Data'!$L$5:$L$528,$T408))),INDEX('Market Data'!$L$5:$L$528,$T408),"unavailable"))</f>
        <v/>
      </c>
      <c r="G408" s="12">
        <f>IF($T408=0,"",IF($I408="Bloomberg",IF(AND(ISNUMBER(INDEX('Market Data'!$M$5:$M$528,$T408)),N(INDEX('Market Data'!$M$5:$M$528,$T408))&gt;0),INDEX('Market Data'!$M$5:$M$528,$T408),"date unavailable"),IF($I408="Snapshot",IF(AND(ISNUMBER(INDEX('Market Data'!$H$5:$H$528,$T408)),N(INDEX('Market Data'!$H$5:$H$528,$T408))&gt;0),INDEX('Market Data'!$H$5:$H$528,$T408),"date unavailable"),"date unavailable")))</f>
        <v/>
      </c>
      <c r="H408" s="9">
        <f>IF($T408=0,"",IF($I408="Bloomberg",IF(INDEX('Market Data'!$N$5:$N$528,$T408)="","time unavailable",INDEX('Market Data'!$N$5:$N$528,$T408)),""))</f>
        <v/>
      </c>
      <c r="I408" s="9">
        <f>IF($T408=0,"",INDEX('Market Data'!$P$5:$P$528,$T408))</f>
        <v/>
      </c>
      <c r="J408" s="13">
        <f>IF($T408=0,"",IF(INDEX('Market Data'!$E$5:$E$528,$T408)="","",INDEX('Market Data'!$E$5:$E$528,$T408)))</f>
        <v/>
      </c>
      <c r="K408" s="8">
        <f>IF($T408=0,"",IF(INDEX('Market Data'!$I$5:$I$528,$T408)="","",INDEX('Market Data'!$I$5:$I$528,$T408)))</f>
        <v/>
      </c>
      <c r="L408" s="10">
        <f>IF($T408=0,"",IF(INDEX('Market Data'!$J$5:$J$528,$T408)=0,"n/a",IF(AND($M$5&lt;&gt;"Snapshot",ISNUMBER(INDEX('Market Data'!$AH$5:$AH$66,INDEX('Market Data'!$J$5:$J$528,$T408)-4)),N(INDEX('Market Data'!$AH$5:$AH$66,INDEX('Market Data'!$J$5:$J$528,$T408)-4))&gt;0),INDEX('Market Data'!$AH$5:$AH$66,INDEX('Market Data'!$J$5:$J$528,$T408)-4),IF(AND($M$5&lt;&gt;"Bloomberg",ISNUMBER(INDEX('Market Data'!$AC$5:$AC$66,INDEX('Market Data'!$J$5:$J$528,$T408)-4)),N(INDEX('Market Data'!$AC$5:$AC$66,INDEX('Market Data'!$J$5:$J$528,$T408)-4))&gt;0),INDEX('Market Data'!$AC$5:$AC$66,INDEX('Market Data'!$J$5:$J$528,$T408)-4),"unavailable"))))</f>
        <v/>
      </c>
      <c r="M408" s="11">
        <f>IF($T408=0,"",IF(INDEX('Market Data'!$J$5:$J$528,$T408)=0,"n/a",IF(IF(INDEX('Market Data'!$J$5:$J$528,$T408)=0,0,IF(LEFT(INDEX('Market Data'!$AS$5:$AS$66,INDEX('Market Data'!$J$5:$J$528,$T408)-4),11)="First-month",1,0))=1,"class review",IF($I408="Bloomberg",IF(AND(ISNUMBER(INDEX('Market Data'!$AH$5:$AH$66,INDEX('Market Data'!$J$5:$J$528,$T408)-4)),N(INDEX('Market Data'!$AH$5:$AH$66,INDEX('Market Data'!$J$5:$J$528,$T408)-4))&gt;0,ISNUMBER('Market Data'!$B$1),N('Market Data'!$B$1)&gt;0),INDEX('Market Data'!$AH$5:$AH$66,INDEX('Market Data'!$J$5:$J$528,$T408)-4)*'Market Data'!$B$1/$E408-1,"pending A/FX"),IF(AND($I408="Snapshot",$Q408="Snapshot",ISNUMBER($E408),$G408=INDEX('Market Data'!$AE$5:$AE$66,INDEX('Market Data'!$J$5:$J$528,$T408)-4)),IFERROR(INDEX('Market Data'!$AC$5:$AC$66,INDEX('Market Data'!$J$5:$J$528,$T408)-4)*INDEX('Market Data'!$AD$5:$AD$66,INDEX('Market Data'!$J$5:$J$528,$T408)-4)/$E408-1,"unavailable"),IF($I408="Unavailable","unavailable","date mismatch"))))))</f>
        <v/>
      </c>
      <c r="N408" s="11">
        <f>IF($T408=0,"",IFERROR(IF(AND(N(INDEX('Market Data'!$F$5:$F$528,$T408))&gt;0,ISNUMBER(INDEX('Market Data'!$T$5:$T$528,$T408))),$E408*INDEX('Market Data'!$T$5:$T$528,$T408)/INDEX('Market Data'!$F$5:$F$528,$T408)-1,"unavailable"),"unavailable"))</f>
        <v/>
      </c>
      <c r="O408" s="9">
        <f>IF($T408=0,"",IF(IF(INDEX('Market Data'!$J$5:$J$528,$T408)=0,0,IF(LEFT(INDEX('Market Data'!$AS$5:$AS$66,INDEX('Market Data'!$J$5:$J$528,$T408)-4),11)="First-month",1,0))=1,"Class ratio review",IF($I408="Bloomberg",IF(ISNUMBER($G408),IF($G408&lt;TODAY(),"Older quote","See quote time"),"Date unavailable"),IF($I408="Snapshot",IF($G408&lt;DATEVALUE("2026-10-02"),"Older snapshot","Dated close"),"No valid quote"))))</f>
        <v/>
      </c>
      <c r="P408" s="14">
        <f>IF($T408=0,"",IF(INDEX('Market Data'!$J$5:$J$528,$T408)=0,"n/a",IF($Q408="Bloomberg",IF(AND(ISNUMBER(INDEX('Market Data'!$AK$5:$AK$66,INDEX('Market Data'!$J$5:$J$528,$T408)-4)),N(INDEX('Market Data'!$AK$5:$AK$66,INDEX('Market Data'!$J$5:$J$528,$T408)-4))&gt;0),INDEX('Market Data'!$AK$5:$AK$66,INDEX('Market Data'!$J$5:$J$528,$T408)-4),"date unavailable"),IF($Q408="Snapshot",IF(AND(ISNUMBER(INDEX('Market Data'!$AF$5:$AF$66,INDEX('Market Data'!$J$5:$J$528,$T408)-4)),N(INDEX('Market Data'!$AF$5:$AF$66,INDEX('Market Data'!$J$5:$J$528,$T408)-4))&gt;0),INDEX('Market Data'!$AF$5:$AF$66,INDEX('Market Data'!$J$5:$J$528,$T408)-4),"date unavailable"),"date unavailable"))))</f>
        <v/>
      </c>
      <c r="Q408" s="15">
        <f>IF($T408=0,"",IF(INDEX('Market Data'!$J$5:$J$528,$T408)=0,"n/a",IF(AND($M$5&lt;&gt;"Snapshot",ISNUMBER(INDEX('Market Data'!$AH$5:$AH$66,INDEX('Market Data'!$J$5:$J$528,$T408)-4)),N(INDEX('Market Data'!$AH$5:$AH$66,INDEX('Market Data'!$J$5:$J$528,$T408)-4))&gt;0),"Bloomberg",IF(AND($M$5&lt;&gt;"Bloomberg",ISNUMBER(INDEX('Market Data'!$AC$5:$AC$66,INDEX('Market Data'!$J$5:$J$528,$T408)-4)),N(INDEX('Market Data'!$AC$5:$AC$66,INDEX('Market Data'!$J$5:$J$528,$T408)-4))&gt;0),"Snapshot","Unavailable"))))</f>
        <v/>
      </c>
      <c r="T408">
        <f>IFERROR(MATCH(400,'Market Data'!$S$5:$S$528,0),0)</f>
        <v/>
      </c>
    </row>
    <row r="409" ht="34" customHeight="1">
      <c r="A409" s="8">
        <f>IF($T409=0,"",IF(INDEX('Market Data'!$A$5:$A$528,$T409)="","",INDEX('Market Data'!$A$5:$A$528,$T409)))</f>
        <v/>
      </c>
      <c r="B409" s="9">
        <f>IF($T409=0,"",IF(INDEX('Market Data'!$B$5:$B$528,$T409)="","",INDEX('Market Data'!$B$5:$B$528,$T409)))</f>
        <v/>
      </c>
      <c r="C409" s="9">
        <f>IF($T409=0,"",IF(INDEX('Market Data'!$C$5:$C$528,$T409)="","",INDEX('Market Data'!$C$5:$C$528,$T409)))</f>
        <v/>
      </c>
      <c r="D409" s="9">
        <f>IF($T409=0,"",IF(INDEX('Market Data'!$D$5:$D$528,$T409)="","",INDEX('Market Data'!$D$5:$D$528,$T409)))</f>
        <v/>
      </c>
      <c r="E409" s="10">
        <f>IF($T409=0,"",INDEX('Market Data'!$O$5:$O$528,$T409))</f>
        <v/>
      </c>
      <c r="F409" s="11">
        <f>IF($T409=0,"",IF(AND($I409="Bloomberg",ISNUMBER(INDEX('Market Data'!$L$5:$L$528,$T409))),INDEX('Market Data'!$L$5:$L$528,$T409),"unavailable"))</f>
        <v/>
      </c>
      <c r="G409" s="12">
        <f>IF($T409=0,"",IF($I409="Bloomberg",IF(AND(ISNUMBER(INDEX('Market Data'!$M$5:$M$528,$T409)),N(INDEX('Market Data'!$M$5:$M$528,$T409))&gt;0),INDEX('Market Data'!$M$5:$M$528,$T409),"date unavailable"),IF($I409="Snapshot",IF(AND(ISNUMBER(INDEX('Market Data'!$H$5:$H$528,$T409)),N(INDEX('Market Data'!$H$5:$H$528,$T409))&gt;0),INDEX('Market Data'!$H$5:$H$528,$T409),"date unavailable"),"date unavailable")))</f>
        <v/>
      </c>
      <c r="H409" s="9">
        <f>IF($T409=0,"",IF($I409="Bloomberg",IF(INDEX('Market Data'!$N$5:$N$528,$T409)="","time unavailable",INDEX('Market Data'!$N$5:$N$528,$T409)),""))</f>
        <v/>
      </c>
      <c r="I409" s="9">
        <f>IF($T409=0,"",INDEX('Market Data'!$P$5:$P$528,$T409))</f>
        <v/>
      </c>
      <c r="J409" s="13">
        <f>IF($T409=0,"",IF(INDEX('Market Data'!$E$5:$E$528,$T409)="","",INDEX('Market Data'!$E$5:$E$528,$T409)))</f>
        <v/>
      </c>
      <c r="K409" s="8">
        <f>IF($T409=0,"",IF(INDEX('Market Data'!$I$5:$I$528,$T409)="","",INDEX('Market Data'!$I$5:$I$528,$T409)))</f>
        <v/>
      </c>
      <c r="L409" s="10">
        <f>IF($T409=0,"",IF(INDEX('Market Data'!$J$5:$J$528,$T409)=0,"n/a",IF(AND($M$5&lt;&gt;"Snapshot",ISNUMBER(INDEX('Market Data'!$AH$5:$AH$66,INDEX('Market Data'!$J$5:$J$528,$T409)-4)),N(INDEX('Market Data'!$AH$5:$AH$66,INDEX('Market Data'!$J$5:$J$528,$T409)-4))&gt;0),INDEX('Market Data'!$AH$5:$AH$66,INDEX('Market Data'!$J$5:$J$528,$T409)-4),IF(AND($M$5&lt;&gt;"Bloomberg",ISNUMBER(INDEX('Market Data'!$AC$5:$AC$66,INDEX('Market Data'!$J$5:$J$528,$T409)-4)),N(INDEX('Market Data'!$AC$5:$AC$66,INDEX('Market Data'!$J$5:$J$528,$T409)-4))&gt;0),INDEX('Market Data'!$AC$5:$AC$66,INDEX('Market Data'!$J$5:$J$528,$T409)-4),"unavailable"))))</f>
        <v/>
      </c>
      <c r="M409" s="11">
        <f>IF($T409=0,"",IF(INDEX('Market Data'!$J$5:$J$528,$T409)=0,"n/a",IF(IF(INDEX('Market Data'!$J$5:$J$528,$T409)=0,0,IF(LEFT(INDEX('Market Data'!$AS$5:$AS$66,INDEX('Market Data'!$J$5:$J$528,$T409)-4),11)="First-month",1,0))=1,"class review",IF($I409="Bloomberg",IF(AND(ISNUMBER(INDEX('Market Data'!$AH$5:$AH$66,INDEX('Market Data'!$J$5:$J$528,$T409)-4)),N(INDEX('Market Data'!$AH$5:$AH$66,INDEX('Market Data'!$J$5:$J$528,$T409)-4))&gt;0,ISNUMBER('Market Data'!$B$1),N('Market Data'!$B$1)&gt;0),INDEX('Market Data'!$AH$5:$AH$66,INDEX('Market Data'!$J$5:$J$528,$T409)-4)*'Market Data'!$B$1/$E409-1,"pending A/FX"),IF(AND($I409="Snapshot",$Q409="Snapshot",ISNUMBER($E409),$G409=INDEX('Market Data'!$AE$5:$AE$66,INDEX('Market Data'!$J$5:$J$528,$T409)-4)),IFERROR(INDEX('Market Data'!$AC$5:$AC$66,INDEX('Market Data'!$J$5:$J$528,$T409)-4)*INDEX('Market Data'!$AD$5:$AD$66,INDEX('Market Data'!$J$5:$J$528,$T409)-4)/$E409-1,"unavailable"),IF($I409="Unavailable","unavailable","date mismatch"))))))</f>
        <v/>
      </c>
      <c r="N409" s="11">
        <f>IF($T409=0,"",IFERROR(IF(AND(N(INDEX('Market Data'!$F$5:$F$528,$T409))&gt;0,ISNUMBER(INDEX('Market Data'!$T$5:$T$528,$T409))),$E409*INDEX('Market Data'!$T$5:$T$528,$T409)/INDEX('Market Data'!$F$5:$F$528,$T409)-1,"unavailable"),"unavailable"))</f>
        <v/>
      </c>
      <c r="O409" s="9">
        <f>IF($T409=0,"",IF(IF(INDEX('Market Data'!$J$5:$J$528,$T409)=0,0,IF(LEFT(INDEX('Market Data'!$AS$5:$AS$66,INDEX('Market Data'!$J$5:$J$528,$T409)-4),11)="First-month",1,0))=1,"Class ratio review",IF($I409="Bloomberg",IF(ISNUMBER($G409),IF($G409&lt;TODAY(),"Older quote","See quote time"),"Date unavailable"),IF($I409="Snapshot",IF($G409&lt;DATEVALUE("2026-10-02"),"Older snapshot","Dated close"),"No valid quote"))))</f>
        <v/>
      </c>
      <c r="P409" s="14">
        <f>IF($T409=0,"",IF(INDEX('Market Data'!$J$5:$J$528,$T409)=0,"n/a",IF($Q409="Bloomberg",IF(AND(ISNUMBER(INDEX('Market Data'!$AK$5:$AK$66,INDEX('Market Data'!$J$5:$J$528,$T409)-4)),N(INDEX('Market Data'!$AK$5:$AK$66,INDEX('Market Data'!$J$5:$J$528,$T409)-4))&gt;0),INDEX('Market Data'!$AK$5:$AK$66,INDEX('Market Data'!$J$5:$J$528,$T409)-4),"date unavailable"),IF($Q409="Snapshot",IF(AND(ISNUMBER(INDEX('Market Data'!$AF$5:$AF$66,INDEX('Market Data'!$J$5:$J$528,$T409)-4)),N(INDEX('Market Data'!$AF$5:$AF$66,INDEX('Market Data'!$J$5:$J$528,$T409)-4))&gt;0),INDEX('Market Data'!$AF$5:$AF$66,INDEX('Market Data'!$J$5:$J$528,$T409)-4),"date unavailable"),"date unavailable"))))</f>
        <v/>
      </c>
      <c r="Q409" s="15">
        <f>IF($T409=0,"",IF(INDEX('Market Data'!$J$5:$J$528,$T409)=0,"n/a",IF(AND($M$5&lt;&gt;"Snapshot",ISNUMBER(INDEX('Market Data'!$AH$5:$AH$66,INDEX('Market Data'!$J$5:$J$528,$T409)-4)),N(INDEX('Market Data'!$AH$5:$AH$66,INDEX('Market Data'!$J$5:$J$528,$T409)-4))&gt;0),"Bloomberg",IF(AND($M$5&lt;&gt;"Bloomberg",ISNUMBER(INDEX('Market Data'!$AC$5:$AC$66,INDEX('Market Data'!$J$5:$J$528,$T409)-4)),N(INDEX('Market Data'!$AC$5:$AC$66,INDEX('Market Data'!$J$5:$J$528,$T409)-4))&gt;0),"Snapshot","Unavailable"))))</f>
        <v/>
      </c>
      <c r="T409">
        <f>IFERROR(MATCH(401,'Market Data'!$S$5:$S$528,0),0)</f>
        <v/>
      </c>
    </row>
    <row r="410" ht="34" customHeight="1">
      <c r="A410" s="8">
        <f>IF($T410=0,"",IF(INDEX('Market Data'!$A$5:$A$528,$T410)="","",INDEX('Market Data'!$A$5:$A$528,$T410)))</f>
        <v/>
      </c>
      <c r="B410" s="9">
        <f>IF($T410=0,"",IF(INDEX('Market Data'!$B$5:$B$528,$T410)="","",INDEX('Market Data'!$B$5:$B$528,$T410)))</f>
        <v/>
      </c>
      <c r="C410" s="9">
        <f>IF($T410=0,"",IF(INDEX('Market Data'!$C$5:$C$528,$T410)="","",INDEX('Market Data'!$C$5:$C$528,$T410)))</f>
        <v/>
      </c>
      <c r="D410" s="9">
        <f>IF($T410=0,"",IF(INDEX('Market Data'!$D$5:$D$528,$T410)="","",INDEX('Market Data'!$D$5:$D$528,$T410)))</f>
        <v/>
      </c>
      <c r="E410" s="10">
        <f>IF($T410=0,"",INDEX('Market Data'!$O$5:$O$528,$T410))</f>
        <v/>
      </c>
      <c r="F410" s="11">
        <f>IF($T410=0,"",IF(AND($I410="Bloomberg",ISNUMBER(INDEX('Market Data'!$L$5:$L$528,$T410))),INDEX('Market Data'!$L$5:$L$528,$T410),"unavailable"))</f>
        <v/>
      </c>
      <c r="G410" s="12">
        <f>IF($T410=0,"",IF($I410="Bloomberg",IF(AND(ISNUMBER(INDEX('Market Data'!$M$5:$M$528,$T410)),N(INDEX('Market Data'!$M$5:$M$528,$T410))&gt;0),INDEX('Market Data'!$M$5:$M$528,$T410),"date unavailable"),IF($I410="Snapshot",IF(AND(ISNUMBER(INDEX('Market Data'!$H$5:$H$528,$T410)),N(INDEX('Market Data'!$H$5:$H$528,$T410))&gt;0),INDEX('Market Data'!$H$5:$H$528,$T410),"date unavailable"),"date unavailable")))</f>
        <v/>
      </c>
      <c r="H410" s="9">
        <f>IF($T410=0,"",IF($I410="Bloomberg",IF(INDEX('Market Data'!$N$5:$N$528,$T410)="","time unavailable",INDEX('Market Data'!$N$5:$N$528,$T410)),""))</f>
        <v/>
      </c>
      <c r="I410" s="9">
        <f>IF($T410=0,"",INDEX('Market Data'!$P$5:$P$528,$T410))</f>
        <v/>
      </c>
      <c r="J410" s="13">
        <f>IF($T410=0,"",IF(INDEX('Market Data'!$E$5:$E$528,$T410)="","",INDEX('Market Data'!$E$5:$E$528,$T410)))</f>
        <v/>
      </c>
      <c r="K410" s="8">
        <f>IF($T410=0,"",IF(INDEX('Market Data'!$I$5:$I$528,$T410)="","",INDEX('Market Data'!$I$5:$I$528,$T410)))</f>
        <v/>
      </c>
      <c r="L410" s="10">
        <f>IF($T410=0,"",IF(INDEX('Market Data'!$J$5:$J$528,$T410)=0,"n/a",IF(AND($M$5&lt;&gt;"Snapshot",ISNUMBER(INDEX('Market Data'!$AH$5:$AH$66,INDEX('Market Data'!$J$5:$J$528,$T410)-4)),N(INDEX('Market Data'!$AH$5:$AH$66,INDEX('Market Data'!$J$5:$J$528,$T410)-4))&gt;0),INDEX('Market Data'!$AH$5:$AH$66,INDEX('Market Data'!$J$5:$J$528,$T410)-4),IF(AND($M$5&lt;&gt;"Bloomberg",ISNUMBER(INDEX('Market Data'!$AC$5:$AC$66,INDEX('Market Data'!$J$5:$J$528,$T410)-4)),N(INDEX('Market Data'!$AC$5:$AC$66,INDEX('Market Data'!$J$5:$J$528,$T410)-4))&gt;0),INDEX('Market Data'!$AC$5:$AC$66,INDEX('Market Data'!$J$5:$J$528,$T410)-4),"unavailable"))))</f>
        <v/>
      </c>
      <c r="M410" s="11">
        <f>IF($T410=0,"",IF(INDEX('Market Data'!$J$5:$J$528,$T410)=0,"n/a",IF(IF(INDEX('Market Data'!$J$5:$J$528,$T410)=0,0,IF(LEFT(INDEX('Market Data'!$AS$5:$AS$66,INDEX('Market Data'!$J$5:$J$528,$T410)-4),11)="First-month",1,0))=1,"class review",IF($I410="Bloomberg",IF(AND(ISNUMBER(INDEX('Market Data'!$AH$5:$AH$66,INDEX('Market Data'!$J$5:$J$528,$T410)-4)),N(INDEX('Market Data'!$AH$5:$AH$66,INDEX('Market Data'!$J$5:$J$528,$T410)-4))&gt;0,ISNUMBER('Market Data'!$B$1),N('Market Data'!$B$1)&gt;0),INDEX('Market Data'!$AH$5:$AH$66,INDEX('Market Data'!$J$5:$J$528,$T410)-4)*'Market Data'!$B$1/$E410-1,"pending A/FX"),IF(AND($I410="Snapshot",$Q410="Snapshot",ISNUMBER($E410),$G410=INDEX('Market Data'!$AE$5:$AE$66,INDEX('Market Data'!$J$5:$J$528,$T410)-4)),IFERROR(INDEX('Market Data'!$AC$5:$AC$66,INDEX('Market Data'!$J$5:$J$528,$T410)-4)*INDEX('Market Data'!$AD$5:$AD$66,INDEX('Market Data'!$J$5:$J$528,$T410)-4)/$E410-1,"unavailable"),IF($I410="Unavailable","unavailable","date mismatch"))))))</f>
        <v/>
      </c>
      <c r="N410" s="11">
        <f>IF($T410=0,"",IFERROR(IF(AND(N(INDEX('Market Data'!$F$5:$F$528,$T410))&gt;0,ISNUMBER(INDEX('Market Data'!$T$5:$T$528,$T410))),$E410*INDEX('Market Data'!$T$5:$T$528,$T410)/INDEX('Market Data'!$F$5:$F$528,$T410)-1,"unavailable"),"unavailable"))</f>
        <v/>
      </c>
      <c r="O410" s="9">
        <f>IF($T410=0,"",IF(IF(INDEX('Market Data'!$J$5:$J$528,$T410)=0,0,IF(LEFT(INDEX('Market Data'!$AS$5:$AS$66,INDEX('Market Data'!$J$5:$J$528,$T410)-4),11)="First-month",1,0))=1,"Class ratio review",IF($I410="Bloomberg",IF(ISNUMBER($G410),IF($G410&lt;TODAY(),"Older quote","See quote time"),"Date unavailable"),IF($I410="Snapshot",IF($G410&lt;DATEVALUE("2026-10-02"),"Older snapshot","Dated close"),"No valid quote"))))</f>
        <v/>
      </c>
      <c r="P410" s="14">
        <f>IF($T410=0,"",IF(INDEX('Market Data'!$J$5:$J$528,$T410)=0,"n/a",IF($Q410="Bloomberg",IF(AND(ISNUMBER(INDEX('Market Data'!$AK$5:$AK$66,INDEX('Market Data'!$J$5:$J$528,$T410)-4)),N(INDEX('Market Data'!$AK$5:$AK$66,INDEX('Market Data'!$J$5:$J$528,$T410)-4))&gt;0),INDEX('Market Data'!$AK$5:$AK$66,INDEX('Market Data'!$J$5:$J$528,$T410)-4),"date unavailable"),IF($Q410="Snapshot",IF(AND(ISNUMBER(INDEX('Market Data'!$AF$5:$AF$66,INDEX('Market Data'!$J$5:$J$528,$T410)-4)),N(INDEX('Market Data'!$AF$5:$AF$66,INDEX('Market Data'!$J$5:$J$528,$T410)-4))&gt;0),INDEX('Market Data'!$AF$5:$AF$66,INDEX('Market Data'!$J$5:$J$528,$T410)-4),"date unavailable"),"date unavailable"))))</f>
        <v/>
      </c>
      <c r="Q410" s="15">
        <f>IF($T410=0,"",IF(INDEX('Market Data'!$J$5:$J$528,$T410)=0,"n/a",IF(AND($M$5&lt;&gt;"Snapshot",ISNUMBER(INDEX('Market Data'!$AH$5:$AH$66,INDEX('Market Data'!$J$5:$J$528,$T410)-4)),N(INDEX('Market Data'!$AH$5:$AH$66,INDEX('Market Data'!$J$5:$J$528,$T410)-4))&gt;0),"Bloomberg",IF(AND($M$5&lt;&gt;"Bloomberg",ISNUMBER(INDEX('Market Data'!$AC$5:$AC$66,INDEX('Market Data'!$J$5:$J$528,$T410)-4)),N(INDEX('Market Data'!$AC$5:$AC$66,INDEX('Market Data'!$J$5:$J$528,$T410)-4))&gt;0),"Snapshot","Unavailable"))))</f>
        <v/>
      </c>
      <c r="T410">
        <f>IFERROR(MATCH(402,'Market Data'!$S$5:$S$528,0),0)</f>
        <v/>
      </c>
    </row>
    <row r="411" ht="34" customHeight="1">
      <c r="A411" s="8">
        <f>IF($T411=0,"",IF(INDEX('Market Data'!$A$5:$A$528,$T411)="","",INDEX('Market Data'!$A$5:$A$528,$T411)))</f>
        <v/>
      </c>
      <c r="B411" s="9">
        <f>IF($T411=0,"",IF(INDEX('Market Data'!$B$5:$B$528,$T411)="","",INDEX('Market Data'!$B$5:$B$528,$T411)))</f>
        <v/>
      </c>
      <c r="C411" s="9">
        <f>IF($T411=0,"",IF(INDEX('Market Data'!$C$5:$C$528,$T411)="","",INDEX('Market Data'!$C$5:$C$528,$T411)))</f>
        <v/>
      </c>
      <c r="D411" s="9">
        <f>IF($T411=0,"",IF(INDEX('Market Data'!$D$5:$D$528,$T411)="","",INDEX('Market Data'!$D$5:$D$528,$T411)))</f>
        <v/>
      </c>
      <c r="E411" s="10">
        <f>IF($T411=0,"",INDEX('Market Data'!$O$5:$O$528,$T411))</f>
        <v/>
      </c>
      <c r="F411" s="11">
        <f>IF($T411=0,"",IF(AND($I411="Bloomberg",ISNUMBER(INDEX('Market Data'!$L$5:$L$528,$T411))),INDEX('Market Data'!$L$5:$L$528,$T411),"unavailable"))</f>
        <v/>
      </c>
      <c r="G411" s="12">
        <f>IF($T411=0,"",IF($I411="Bloomberg",IF(AND(ISNUMBER(INDEX('Market Data'!$M$5:$M$528,$T411)),N(INDEX('Market Data'!$M$5:$M$528,$T411))&gt;0),INDEX('Market Data'!$M$5:$M$528,$T411),"date unavailable"),IF($I411="Snapshot",IF(AND(ISNUMBER(INDEX('Market Data'!$H$5:$H$528,$T411)),N(INDEX('Market Data'!$H$5:$H$528,$T411))&gt;0),INDEX('Market Data'!$H$5:$H$528,$T411),"date unavailable"),"date unavailable")))</f>
        <v/>
      </c>
      <c r="H411" s="9">
        <f>IF($T411=0,"",IF($I411="Bloomberg",IF(INDEX('Market Data'!$N$5:$N$528,$T411)="","time unavailable",INDEX('Market Data'!$N$5:$N$528,$T411)),""))</f>
        <v/>
      </c>
      <c r="I411" s="9">
        <f>IF($T411=0,"",INDEX('Market Data'!$P$5:$P$528,$T411))</f>
        <v/>
      </c>
      <c r="J411" s="13">
        <f>IF($T411=0,"",IF(INDEX('Market Data'!$E$5:$E$528,$T411)="","",INDEX('Market Data'!$E$5:$E$528,$T411)))</f>
        <v/>
      </c>
      <c r="K411" s="8">
        <f>IF($T411=0,"",IF(INDEX('Market Data'!$I$5:$I$528,$T411)="","",INDEX('Market Data'!$I$5:$I$528,$T411)))</f>
        <v/>
      </c>
      <c r="L411" s="10">
        <f>IF($T411=0,"",IF(INDEX('Market Data'!$J$5:$J$528,$T411)=0,"n/a",IF(AND($M$5&lt;&gt;"Snapshot",ISNUMBER(INDEX('Market Data'!$AH$5:$AH$66,INDEX('Market Data'!$J$5:$J$528,$T411)-4)),N(INDEX('Market Data'!$AH$5:$AH$66,INDEX('Market Data'!$J$5:$J$528,$T411)-4))&gt;0),INDEX('Market Data'!$AH$5:$AH$66,INDEX('Market Data'!$J$5:$J$528,$T411)-4),IF(AND($M$5&lt;&gt;"Bloomberg",ISNUMBER(INDEX('Market Data'!$AC$5:$AC$66,INDEX('Market Data'!$J$5:$J$528,$T411)-4)),N(INDEX('Market Data'!$AC$5:$AC$66,INDEX('Market Data'!$J$5:$J$528,$T411)-4))&gt;0),INDEX('Market Data'!$AC$5:$AC$66,INDEX('Market Data'!$J$5:$J$528,$T411)-4),"unavailable"))))</f>
        <v/>
      </c>
      <c r="M411" s="11">
        <f>IF($T411=0,"",IF(INDEX('Market Data'!$J$5:$J$528,$T411)=0,"n/a",IF(IF(INDEX('Market Data'!$J$5:$J$528,$T411)=0,0,IF(LEFT(INDEX('Market Data'!$AS$5:$AS$66,INDEX('Market Data'!$J$5:$J$528,$T411)-4),11)="First-month",1,0))=1,"class review",IF($I411="Bloomberg",IF(AND(ISNUMBER(INDEX('Market Data'!$AH$5:$AH$66,INDEX('Market Data'!$J$5:$J$528,$T411)-4)),N(INDEX('Market Data'!$AH$5:$AH$66,INDEX('Market Data'!$J$5:$J$528,$T411)-4))&gt;0,ISNUMBER('Market Data'!$B$1),N('Market Data'!$B$1)&gt;0),INDEX('Market Data'!$AH$5:$AH$66,INDEX('Market Data'!$J$5:$J$528,$T411)-4)*'Market Data'!$B$1/$E411-1,"pending A/FX"),IF(AND($I411="Snapshot",$Q411="Snapshot",ISNUMBER($E411),$G411=INDEX('Market Data'!$AE$5:$AE$66,INDEX('Market Data'!$J$5:$J$528,$T411)-4)),IFERROR(INDEX('Market Data'!$AC$5:$AC$66,INDEX('Market Data'!$J$5:$J$528,$T411)-4)*INDEX('Market Data'!$AD$5:$AD$66,INDEX('Market Data'!$J$5:$J$528,$T411)-4)/$E411-1,"unavailable"),IF($I411="Unavailable","unavailable","date mismatch"))))))</f>
        <v/>
      </c>
      <c r="N411" s="11">
        <f>IF($T411=0,"",IFERROR(IF(AND(N(INDEX('Market Data'!$F$5:$F$528,$T411))&gt;0,ISNUMBER(INDEX('Market Data'!$T$5:$T$528,$T411))),$E411*INDEX('Market Data'!$T$5:$T$528,$T411)/INDEX('Market Data'!$F$5:$F$528,$T411)-1,"unavailable"),"unavailable"))</f>
        <v/>
      </c>
      <c r="O411" s="9">
        <f>IF($T411=0,"",IF(IF(INDEX('Market Data'!$J$5:$J$528,$T411)=0,0,IF(LEFT(INDEX('Market Data'!$AS$5:$AS$66,INDEX('Market Data'!$J$5:$J$528,$T411)-4),11)="First-month",1,0))=1,"Class ratio review",IF($I411="Bloomberg",IF(ISNUMBER($G411),IF($G411&lt;TODAY(),"Older quote","See quote time"),"Date unavailable"),IF($I411="Snapshot",IF($G411&lt;DATEVALUE("2026-10-02"),"Older snapshot","Dated close"),"No valid quote"))))</f>
        <v/>
      </c>
      <c r="P411" s="14">
        <f>IF($T411=0,"",IF(INDEX('Market Data'!$J$5:$J$528,$T411)=0,"n/a",IF($Q411="Bloomberg",IF(AND(ISNUMBER(INDEX('Market Data'!$AK$5:$AK$66,INDEX('Market Data'!$J$5:$J$528,$T411)-4)),N(INDEX('Market Data'!$AK$5:$AK$66,INDEX('Market Data'!$J$5:$J$528,$T411)-4))&gt;0),INDEX('Market Data'!$AK$5:$AK$66,INDEX('Market Data'!$J$5:$J$528,$T411)-4),"date unavailable"),IF($Q411="Snapshot",IF(AND(ISNUMBER(INDEX('Market Data'!$AF$5:$AF$66,INDEX('Market Data'!$J$5:$J$528,$T411)-4)),N(INDEX('Market Data'!$AF$5:$AF$66,INDEX('Market Data'!$J$5:$J$528,$T411)-4))&gt;0),INDEX('Market Data'!$AF$5:$AF$66,INDEX('Market Data'!$J$5:$J$528,$T411)-4),"date unavailable"),"date unavailable"))))</f>
        <v/>
      </c>
      <c r="Q411" s="15">
        <f>IF($T411=0,"",IF(INDEX('Market Data'!$J$5:$J$528,$T411)=0,"n/a",IF(AND($M$5&lt;&gt;"Snapshot",ISNUMBER(INDEX('Market Data'!$AH$5:$AH$66,INDEX('Market Data'!$J$5:$J$528,$T411)-4)),N(INDEX('Market Data'!$AH$5:$AH$66,INDEX('Market Data'!$J$5:$J$528,$T411)-4))&gt;0),"Bloomberg",IF(AND($M$5&lt;&gt;"Bloomberg",ISNUMBER(INDEX('Market Data'!$AC$5:$AC$66,INDEX('Market Data'!$J$5:$J$528,$T411)-4)),N(INDEX('Market Data'!$AC$5:$AC$66,INDEX('Market Data'!$J$5:$J$528,$T411)-4))&gt;0),"Snapshot","Unavailable"))))</f>
        <v/>
      </c>
      <c r="T411">
        <f>IFERROR(MATCH(403,'Market Data'!$S$5:$S$528,0),0)</f>
        <v/>
      </c>
    </row>
    <row r="412" ht="34" customHeight="1">
      <c r="A412" s="8">
        <f>IF($T412=0,"",IF(INDEX('Market Data'!$A$5:$A$528,$T412)="","",INDEX('Market Data'!$A$5:$A$528,$T412)))</f>
        <v/>
      </c>
      <c r="B412" s="9">
        <f>IF($T412=0,"",IF(INDEX('Market Data'!$B$5:$B$528,$T412)="","",INDEX('Market Data'!$B$5:$B$528,$T412)))</f>
        <v/>
      </c>
      <c r="C412" s="9">
        <f>IF($T412=0,"",IF(INDEX('Market Data'!$C$5:$C$528,$T412)="","",INDEX('Market Data'!$C$5:$C$528,$T412)))</f>
        <v/>
      </c>
      <c r="D412" s="9">
        <f>IF($T412=0,"",IF(INDEX('Market Data'!$D$5:$D$528,$T412)="","",INDEX('Market Data'!$D$5:$D$528,$T412)))</f>
        <v/>
      </c>
      <c r="E412" s="10">
        <f>IF($T412=0,"",INDEX('Market Data'!$O$5:$O$528,$T412))</f>
        <v/>
      </c>
      <c r="F412" s="11">
        <f>IF($T412=0,"",IF(AND($I412="Bloomberg",ISNUMBER(INDEX('Market Data'!$L$5:$L$528,$T412))),INDEX('Market Data'!$L$5:$L$528,$T412),"unavailable"))</f>
        <v/>
      </c>
      <c r="G412" s="12">
        <f>IF($T412=0,"",IF($I412="Bloomberg",IF(AND(ISNUMBER(INDEX('Market Data'!$M$5:$M$528,$T412)),N(INDEX('Market Data'!$M$5:$M$528,$T412))&gt;0),INDEX('Market Data'!$M$5:$M$528,$T412),"date unavailable"),IF($I412="Snapshot",IF(AND(ISNUMBER(INDEX('Market Data'!$H$5:$H$528,$T412)),N(INDEX('Market Data'!$H$5:$H$528,$T412))&gt;0),INDEX('Market Data'!$H$5:$H$528,$T412),"date unavailable"),"date unavailable")))</f>
        <v/>
      </c>
      <c r="H412" s="9">
        <f>IF($T412=0,"",IF($I412="Bloomberg",IF(INDEX('Market Data'!$N$5:$N$528,$T412)="","time unavailable",INDEX('Market Data'!$N$5:$N$528,$T412)),""))</f>
        <v/>
      </c>
      <c r="I412" s="9">
        <f>IF($T412=0,"",INDEX('Market Data'!$P$5:$P$528,$T412))</f>
        <v/>
      </c>
      <c r="J412" s="13">
        <f>IF($T412=0,"",IF(INDEX('Market Data'!$E$5:$E$528,$T412)="","",INDEX('Market Data'!$E$5:$E$528,$T412)))</f>
        <v/>
      </c>
      <c r="K412" s="8">
        <f>IF($T412=0,"",IF(INDEX('Market Data'!$I$5:$I$528,$T412)="","",INDEX('Market Data'!$I$5:$I$528,$T412)))</f>
        <v/>
      </c>
      <c r="L412" s="10">
        <f>IF($T412=0,"",IF(INDEX('Market Data'!$J$5:$J$528,$T412)=0,"n/a",IF(AND($M$5&lt;&gt;"Snapshot",ISNUMBER(INDEX('Market Data'!$AH$5:$AH$66,INDEX('Market Data'!$J$5:$J$528,$T412)-4)),N(INDEX('Market Data'!$AH$5:$AH$66,INDEX('Market Data'!$J$5:$J$528,$T412)-4))&gt;0),INDEX('Market Data'!$AH$5:$AH$66,INDEX('Market Data'!$J$5:$J$528,$T412)-4),IF(AND($M$5&lt;&gt;"Bloomberg",ISNUMBER(INDEX('Market Data'!$AC$5:$AC$66,INDEX('Market Data'!$J$5:$J$528,$T412)-4)),N(INDEX('Market Data'!$AC$5:$AC$66,INDEX('Market Data'!$J$5:$J$528,$T412)-4))&gt;0),INDEX('Market Data'!$AC$5:$AC$66,INDEX('Market Data'!$J$5:$J$528,$T412)-4),"unavailable"))))</f>
        <v/>
      </c>
      <c r="M412" s="11">
        <f>IF($T412=0,"",IF(INDEX('Market Data'!$J$5:$J$528,$T412)=0,"n/a",IF(IF(INDEX('Market Data'!$J$5:$J$528,$T412)=0,0,IF(LEFT(INDEX('Market Data'!$AS$5:$AS$66,INDEX('Market Data'!$J$5:$J$528,$T412)-4),11)="First-month",1,0))=1,"class review",IF($I412="Bloomberg",IF(AND(ISNUMBER(INDEX('Market Data'!$AH$5:$AH$66,INDEX('Market Data'!$J$5:$J$528,$T412)-4)),N(INDEX('Market Data'!$AH$5:$AH$66,INDEX('Market Data'!$J$5:$J$528,$T412)-4))&gt;0,ISNUMBER('Market Data'!$B$1),N('Market Data'!$B$1)&gt;0),INDEX('Market Data'!$AH$5:$AH$66,INDEX('Market Data'!$J$5:$J$528,$T412)-4)*'Market Data'!$B$1/$E412-1,"pending A/FX"),IF(AND($I412="Snapshot",$Q412="Snapshot",ISNUMBER($E412),$G412=INDEX('Market Data'!$AE$5:$AE$66,INDEX('Market Data'!$J$5:$J$528,$T412)-4)),IFERROR(INDEX('Market Data'!$AC$5:$AC$66,INDEX('Market Data'!$J$5:$J$528,$T412)-4)*INDEX('Market Data'!$AD$5:$AD$66,INDEX('Market Data'!$J$5:$J$528,$T412)-4)/$E412-1,"unavailable"),IF($I412="Unavailable","unavailable","date mismatch"))))))</f>
        <v/>
      </c>
      <c r="N412" s="11">
        <f>IF($T412=0,"",IFERROR(IF(AND(N(INDEX('Market Data'!$F$5:$F$528,$T412))&gt;0,ISNUMBER(INDEX('Market Data'!$T$5:$T$528,$T412))),$E412*INDEX('Market Data'!$T$5:$T$528,$T412)/INDEX('Market Data'!$F$5:$F$528,$T412)-1,"unavailable"),"unavailable"))</f>
        <v/>
      </c>
      <c r="O412" s="9">
        <f>IF($T412=0,"",IF(IF(INDEX('Market Data'!$J$5:$J$528,$T412)=0,0,IF(LEFT(INDEX('Market Data'!$AS$5:$AS$66,INDEX('Market Data'!$J$5:$J$528,$T412)-4),11)="First-month",1,0))=1,"Class ratio review",IF($I412="Bloomberg",IF(ISNUMBER($G412),IF($G412&lt;TODAY(),"Older quote","See quote time"),"Date unavailable"),IF($I412="Snapshot",IF($G412&lt;DATEVALUE("2026-10-02"),"Older snapshot","Dated close"),"No valid quote"))))</f>
        <v/>
      </c>
      <c r="P412" s="14">
        <f>IF($T412=0,"",IF(INDEX('Market Data'!$J$5:$J$528,$T412)=0,"n/a",IF($Q412="Bloomberg",IF(AND(ISNUMBER(INDEX('Market Data'!$AK$5:$AK$66,INDEX('Market Data'!$J$5:$J$528,$T412)-4)),N(INDEX('Market Data'!$AK$5:$AK$66,INDEX('Market Data'!$J$5:$J$528,$T412)-4))&gt;0),INDEX('Market Data'!$AK$5:$AK$66,INDEX('Market Data'!$J$5:$J$528,$T412)-4),"date unavailable"),IF($Q412="Snapshot",IF(AND(ISNUMBER(INDEX('Market Data'!$AF$5:$AF$66,INDEX('Market Data'!$J$5:$J$528,$T412)-4)),N(INDEX('Market Data'!$AF$5:$AF$66,INDEX('Market Data'!$J$5:$J$528,$T412)-4))&gt;0),INDEX('Market Data'!$AF$5:$AF$66,INDEX('Market Data'!$J$5:$J$528,$T412)-4),"date unavailable"),"date unavailable"))))</f>
        <v/>
      </c>
      <c r="Q412" s="15">
        <f>IF($T412=0,"",IF(INDEX('Market Data'!$J$5:$J$528,$T412)=0,"n/a",IF(AND($M$5&lt;&gt;"Snapshot",ISNUMBER(INDEX('Market Data'!$AH$5:$AH$66,INDEX('Market Data'!$J$5:$J$528,$T412)-4)),N(INDEX('Market Data'!$AH$5:$AH$66,INDEX('Market Data'!$J$5:$J$528,$T412)-4))&gt;0),"Bloomberg",IF(AND($M$5&lt;&gt;"Bloomberg",ISNUMBER(INDEX('Market Data'!$AC$5:$AC$66,INDEX('Market Data'!$J$5:$J$528,$T412)-4)),N(INDEX('Market Data'!$AC$5:$AC$66,INDEX('Market Data'!$J$5:$J$528,$T412)-4))&gt;0),"Snapshot","Unavailable"))))</f>
        <v/>
      </c>
      <c r="T412">
        <f>IFERROR(MATCH(404,'Market Data'!$S$5:$S$528,0),0)</f>
        <v/>
      </c>
    </row>
    <row r="413" ht="34" customHeight="1">
      <c r="A413" s="8">
        <f>IF($T413=0,"",IF(INDEX('Market Data'!$A$5:$A$528,$T413)="","",INDEX('Market Data'!$A$5:$A$528,$T413)))</f>
        <v/>
      </c>
      <c r="B413" s="9">
        <f>IF($T413=0,"",IF(INDEX('Market Data'!$B$5:$B$528,$T413)="","",INDEX('Market Data'!$B$5:$B$528,$T413)))</f>
        <v/>
      </c>
      <c r="C413" s="9">
        <f>IF($T413=0,"",IF(INDEX('Market Data'!$C$5:$C$528,$T413)="","",INDEX('Market Data'!$C$5:$C$528,$T413)))</f>
        <v/>
      </c>
      <c r="D413" s="9">
        <f>IF($T413=0,"",IF(INDEX('Market Data'!$D$5:$D$528,$T413)="","",INDEX('Market Data'!$D$5:$D$528,$T413)))</f>
        <v/>
      </c>
      <c r="E413" s="10">
        <f>IF($T413=0,"",INDEX('Market Data'!$O$5:$O$528,$T413))</f>
        <v/>
      </c>
      <c r="F413" s="11">
        <f>IF($T413=0,"",IF(AND($I413="Bloomberg",ISNUMBER(INDEX('Market Data'!$L$5:$L$528,$T413))),INDEX('Market Data'!$L$5:$L$528,$T413),"unavailable"))</f>
        <v/>
      </c>
      <c r="G413" s="12">
        <f>IF($T413=0,"",IF($I413="Bloomberg",IF(AND(ISNUMBER(INDEX('Market Data'!$M$5:$M$528,$T413)),N(INDEX('Market Data'!$M$5:$M$528,$T413))&gt;0),INDEX('Market Data'!$M$5:$M$528,$T413),"date unavailable"),IF($I413="Snapshot",IF(AND(ISNUMBER(INDEX('Market Data'!$H$5:$H$528,$T413)),N(INDEX('Market Data'!$H$5:$H$528,$T413))&gt;0),INDEX('Market Data'!$H$5:$H$528,$T413),"date unavailable"),"date unavailable")))</f>
        <v/>
      </c>
      <c r="H413" s="9">
        <f>IF($T413=0,"",IF($I413="Bloomberg",IF(INDEX('Market Data'!$N$5:$N$528,$T413)="","time unavailable",INDEX('Market Data'!$N$5:$N$528,$T413)),""))</f>
        <v/>
      </c>
      <c r="I413" s="9">
        <f>IF($T413=0,"",INDEX('Market Data'!$P$5:$P$528,$T413))</f>
        <v/>
      </c>
      <c r="J413" s="13">
        <f>IF($T413=0,"",IF(INDEX('Market Data'!$E$5:$E$528,$T413)="","",INDEX('Market Data'!$E$5:$E$528,$T413)))</f>
        <v/>
      </c>
      <c r="K413" s="8">
        <f>IF($T413=0,"",IF(INDEX('Market Data'!$I$5:$I$528,$T413)="","",INDEX('Market Data'!$I$5:$I$528,$T413)))</f>
        <v/>
      </c>
      <c r="L413" s="10">
        <f>IF($T413=0,"",IF(INDEX('Market Data'!$J$5:$J$528,$T413)=0,"n/a",IF(AND($M$5&lt;&gt;"Snapshot",ISNUMBER(INDEX('Market Data'!$AH$5:$AH$66,INDEX('Market Data'!$J$5:$J$528,$T413)-4)),N(INDEX('Market Data'!$AH$5:$AH$66,INDEX('Market Data'!$J$5:$J$528,$T413)-4))&gt;0),INDEX('Market Data'!$AH$5:$AH$66,INDEX('Market Data'!$J$5:$J$528,$T413)-4),IF(AND($M$5&lt;&gt;"Bloomberg",ISNUMBER(INDEX('Market Data'!$AC$5:$AC$66,INDEX('Market Data'!$J$5:$J$528,$T413)-4)),N(INDEX('Market Data'!$AC$5:$AC$66,INDEX('Market Data'!$J$5:$J$528,$T413)-4))&gt;0),INDEX('Market Data'!$AC$5:$AC$66,INDEX('Market Data'!$J$5:$J$528,$T413)-4),"unavailable"))))</f>
        <v/>
      </c>
      <c r="M413" s="11">
        <f>IF($T413=0,"",IF(INDEX('Market Data'!$J$5:$J$528,$T413)=0,"n/a",IF(IF(INDEX('Market Data'!$J$5:$J$528,$T413)=0,0,IF(LEFT(INDEX('Market Data'!$AS$5:$AS$66,INDEX('Market Data'!$J$5:$J$528,$T413)-4),11)="First-month",1,0))=1,"class review",IF($I413="Bloomberg",IF(AND(ISNUMBER(INDEX('Market Data'!$AH$5:$AH$66,INDEX('Market Data'!$J$5:$J$528,$T413)-4)),N(INDEX('Market Data'!$AH$5:$AH$66,INDEX('Market Data'!$J$5:$J$528,$T413)-4))&gt;0,ISNUMBER('Market Data'!$B$1),N('Market Data'!$B$1)&gt;0),INDEX('Market Data'!$AH$5:$AH$66,INDEX('Market Data'!$J$5:$J$528,$T413)-4)*'Market Data'!$B$1/$E413-1,"pending A/FX"),IF(AND($I413="Snapshot",$Q413="Snapshot",ISNUMBER($E413),$G413=INDEX('Market Data'!$AE$5:$AE$66,INDEX('Market Data'!$J$5:$J$528,$T413)-4)),IFERROR(INDEX('Market Data'!$AC$5:$AC$66,INDEX('Market Data'!$J$5:$J$528,$T413)-4)*INDEX('Market Data'!$AD$5:$AD$66,INDEX('Market Data'!$J$5:$J$528,$T413)-4)/$E413-1,"unavailable"),IF($I413="Unavailable","unavailable","date mismatch"))))))</f>
        <v/>
      </c>
      <c r="N413" s="11">
        <f>IF($T413=0,"",IFERROR(IF(AND(N(INDEX('Market Data'!$F$5:$F$528,$T413))&gt;0,ISNUMBER(INDEX('Market Data'!$T$5:$T$528,$T413))),$E413*INDEX('Market Data'!$T$5:$T$528,$T413)/INDEX('Market Data'!$F$5:$F$528,$T413)-1,"unavailable"),"unavailable"))</f>
        <v/>
      </c>
      <c r="O413" s="9">
        <f>IF($T413=0,"",IF(IF(INDEX('Market Data'!$J$5:$J$528,$T413)=0,0,IF(LEFT(INDEX('Market Data'!$AS$5:$AS$66,INDEX('Market Data'!$J$5:$J$528,$T413)-4),11)="First-month",1,0))=1,"Class ratio review",IF($I413="Bloomberg",IF(ISNUMBER($G413),IF($G413&lt;TODAY(),"Older quote","See quote time"),"Date unavailable"),IF($I413="Snapshot",IF($G413&lt;DATEVALUE("2026-10-02"),"Older snapshot","Dated close"),"No valid quote"))))</f>
        <v/>
      </c>
      <c r="P413" s="14">
        <f>IF($T413=0,"",IF(INDEX('Market Data'!$J$5:$J$528,$T413)=0,"n/a",IF($Q413="Bloomberg",IF(AND(ISNUMBER(INDEX('Market Data'!$AK$5:$AK$66,INDEX('Market Data'!$J$5:$J$528,$T413)-4)),N(INDEX('Market Data'!$AK$5:$AK$66,INDEX('Market Data'!$J$5:$J$528,$T413)-4))&gt;0),INDEX('Market Data'!$AK$5:$AK$66,INDEX('Market Data'!$J$5:$J$528,$T413)-4),"date unavailable"),IF($Q413="Snapshot",IF(AND(ISNUMBER(INDEX('Market Data'!$AF$5:$AF$66,INDEX('Market Data'!$J$5:$J$528,$T413)-4)),N(INDEX('Market Data'!$AF$5:$AF$66,INDEX('Market Data'!$J$5:$J$528,$T413)-4))&gt;0),INDEX('Market Data'!$AF$5:$AF$66,INDEX('Market Data'!$J$5:$J$528,$T413)-4),"date unavailable"),"date unavailable"))))</f>
        <v/>
      </c>
      <c r="Q413" s="15">
        <f>IF($T413=0,"",IF(INDEX('Market Data'!$J$5:$J$528,$T413)=0,"n/a",IF(AND($M$5&lt;&gt;"Snapshot",ISNUMBER(INDEX('Market Data'!$AH$5:$AH$66,INDEX('Market Data'!$J$5:$J$528,$T413)-4)),N(INDEX('Market Data'!$AH$5:$AH$66,INDEX('Market Data'!$J$5:$J$528,$T413)-4))&gt;0),"Bloomberg",IF(AND($M$5&lt;&gt;"Bloomberg",ISNUMBER(INDEX('Market Data'!$AC$5:$AC$66,INDEX('Market Data'!$J$5:$J$528,$T413)-4)),N(INDEX('Market Data'!$AC$5:$AC$66,INDEX('Market Data'!$J$5:$J$528,$T413)-4))&gt;0),"Snapshot","Unavailable"))))</f>
        <v/>
      </c>
      <c r="T413">
        <f>IFERROR(MATCH(405,'Market Data'!$S$5:$S$528,0),0)</f>
        <v/>
      </c>
    </row>
    <row r="414" ht="34" customHeight="1">
      <c r="A414" s="8">
        <f>IF($T414=0,"",IF(INDEX('Market Data'!$A$5:$A$528,$T414)="","",INDEX('Market Data'!$A$5:$A$528,$T414)))</f>
        <v/>
      </c>
      <c r="B414" s="9">
        <f>IF($T414=0,"",IF(INDEX('Market Data'!$B$5:$B$528,$T414)="","",INDEX('Market Data'!$B$5:$B$528,$T414)))</f>
        <v/>
      </c>
      <c r="C414" s="9">
        <f>IF($T414=0,"",IF(INDEX('Market Data'!$C$5:$C$528,$T414)="","",INDEX('Market Data'!$C$5:$C$528,$T414)))</f>
        <v/>
      </c>
      <c r="D414" s="9">
        <f>IF($T414=0,"",IF(INDEX('Market Data'!$D$5:$D$528,$T414)="","",INDEX('Market Data'!$D$5:$D$528,$T414)))</f>
        <v/>
      </c>
      <c r="E414" s="10">
        <f>IF($T414=0,"",INDEX('Market Data'!$O$5:$O$528,$T414))</f>
        <v/>
      </c>
      <c r="F414" s="11">
        <f>IF($T414=0,"",IF(AND($I414="Bloomberg",ISNUMBER(INDEX('Market Data'!$L$5:$L$528,$T414))),INDEX('Market Data'!$L$5:$L$528,$T414),"unavailable"))</f>
        <v/>
      </c>
      <c r="G414" s="12">
        <f>IF($T414=0,"",IF($I414="Bloomberg",IF(AND(ISNUMBER(INDEX('Market Data'!$M$5:$M$528,$T414)),N(INDEX('Market Data'!$M$5:$M$528,$T414))&gt;0),INDEX('Market Data'!$M$5:$M$528,$T414),"date unavailable"),IF($I414="Snapshot",IF(AND(ISNUMBER(INDEX('Market Data'!$H$5:$H$528,$T414)),N(INDEX('Market Data'!$H$5:$H$528,$T414))&gt;0),INDEX('Market Data'!$H$5:$H$528,$T414),"date unavailable"),"date unavailable")))</f>
        <v/>
      </c>
      <c r="H414" s="9">
        <f>IF($T414=0,"",IF($I414="Bloomberg",IF(INDEX('Market Data'!$N$5:$N$528,$T414)="","time unavailable",INDEX('Market Data'!$N$5:$N$528,$T414)),""))</f>
        <v/>
      </c>
      <c r="I414" s="9">
        <f>IF($T414=0,"",INDEX('Market Data'!$P$5:$P$528,$T414))</f>
        <v/>
      </c>
      <c r="J414" s="13">
        <f>IF($T414=0,"",IF(INDEX('Market Data'!$E$5:$E$528,$T414)="","",INDEX('Market Data'!$E$5:$E$528,$T414)))</f>
        <v/>
      </c>
      <c r="K414" s="8">
        <f>IF($T414=0,"",IF(INDEX('Market Data'!$I$5:$I$528,$T414)="","",INDEX('Market Data'!$I$5:$I$528,$T414)))</f>
        <v/>
      </c>
      <c r="L414" s="10">
        <f>IF($T414=0,"",IF(INDEX('Market Data'!$J$5:$J$528,$T414)=0,"n/a",IF(AND($M$5&lt;&gt;"Snapshot",ISNUMBER(INDEX('Market Data'!$AH$5:$AH$66,INDEX('Market Data'!$J$5:$J$528,$T414)-4)),N(INDEX('Market Data'!$AH$5:$AH$66,INDEX('Market Data'!$J$5:$J$528,$T414)-4))&gt;0),INDEX('Market Data'!$AH$5:$AH$66,INDEX('Market Data'!$J$5:$J$528,$T414)-4),IF(AND($M$5&lt;&gt;"Bloomberg",ISNUMBER(INDEX('Market Data'!$AC$5:$AC$66,INDEX('Market Data'!$J$5:$J$528,$T414)-4)),N(INDEX('Market Data'!$AC$5:$AC$66,INDEX('Market Data'!$J$5:$J$528,$T414)-4))&gt;0),INDEX('Market Data'!$AC$5:$AC$66,INDEX('Market Data'!$J$5:$J$528,$T414)-4),"unavailable"))))</f>
        <v/>
      </c>
      <c r="M414" s="11">
        <f>IF($T414=0,"",IF(INDEX('Market Data'!$J$5:$J$528,$T414)=0,"n/a",IF(IF(INDEX('Market Data'!$J$5:$J$528,$T414)=0,0,IF(LEFT(INDEX('Market Data'!$AS$5:$AS$66,INDEX('Market Data'!$J$5:$J$528,$T414)-4),11)="First-month",1,0))=1,"class review",IF($I414="Bloomberg",IF(AND(ISNUMBER(INDEX('Market Data'!$AH$5:$AH$66,INDEX('Market Data'!$J$5:$J$528,$T414)-4)),N(INDEX('Market Data'!$AH$5:$AH$66,INDEX('Market Data'!$J$5:$J$528,$T414)-4))&gt;0,ISNUMBER('Market Data'!$B$1),N('Market Data'!$B$1)&gt;0),INDEX('Market Data'!$AH$5:$AH$66,INDEX('Market Data'!$J$5:$J$528,$T414)-4)*'Market Data'!$B$1/$E414-1,"pending A/FX"),IF(AND($I414="Snapshot",$Q414="Snapshot",ISNUMBER($E414),$G414=INDEX('Market Data'!$AE$5:$AE$66,INDEX('Market Data'!$J$5:$J$528,$T414)-4)),IFERROR(INDEX('Market Data'!$AC$5:$AC$66,INDEX('Market Data'!$J$5:$J$528,$T414)-4)*INDEX('Market Data'!$AD$5:$AD$66,INDEX('Market Data'!$J$5:$J$528,$T414)-4)/$E414-1,"unavailable"),IF($I414="Unavailable","unavailable","date mismatch"))))))</f>
        <v/>
      </c>
      <c r="N414" s="11">
        <f>IF($T414=0,"",IFERROR(IF(AND(N(INDEX('Market Data'!$F$5:$F$528,$T414))&gt;0,ISNUMBER(INDEX('Market Data'!$T$5:$T$528,$T414))),$E414*INDEX('Market Data'!$T$5:$T$528,$T414)/INDEX('Market Data'!$F$5:$F$528,$T414)-1,"unavailable"),"unavailable"))</f>
        <v/>
      </c>
      <c r="O414" s="9">
        <f>IF($T414=0,"",IF(IF(INDEX('Market Data'!$J$5:$J$528,$T414)=0,0,IF(LEFT(INDEX('Market Data'!$AS$5:$AS$66,INDEX('Market Data'!$J$5:$J$528,$T414)-4),11)="First-month",1,0))=1,"Class ratio review",IF($I414="Bloomberg",IF(ISNUMBER($G414),IF($G414&lt;TODAY(),"Older quote","See quote time"),"Date unavailable"),IF($I414="Snapshot",IF($G414&lt;DATEVALUE("2026-10-02"),"Older snapshot","Dated close"),"No valid quote"))))</f>
        <v/>
      </c>
      <c r="P414" s="14">
        <f>IF($T414=0,"",IF(INDEX('Market Data'!$J$5:$J$528,$T414)=0,"n/a",IF($Q414="Bloomberg",IF(AND(ISNUMBER(INDEX('Market Data'!$AK$5:$AK$66,INDEX('Market Data'!$J$5:$J$528,$T414)-4)),N(INDEX('Market Data'!$AK$5:$AK$66,INDEX('Market Data'!$J$5:$J$528,$T414)-4))&gt;0),INDEX('Market Data'!$AK$5:$AK$66,INDEX('Market Data'!$J$5:$J$528,$T414)-4),"date unavailable"),IF($Q414="Snapshot",IF(AND(ISNUMBER(INDEX('Market Data'!$AF$5:$AF$66,INDEX('Market Data'!$J$5:$J$528,$T414)-4)),N(INDEX('Market Data'!$AF$5:$AF$66,INDEX('Market Data'!$J$5:$J$528,$T414)-4))&gt;0),INDEX('Market Data'!$AF$5:$AF$66,INDEX('Market Data'!$J$5:$J$528,$T414)-4),"date unavailable"),"date unavailable"))))</f>
        <v/>
      </c>
      <c r="Q414" s="15">
        <f>IF($T414=0,"",IF(INDEX('Market Data'!$J$5:$J$528,$T414)=0,"n/a",IF(AND($M$5&lt;&gt;"Snapshot",ISNUMBER(INDEX('Market Data'!$AH$5:$AH$66,INDEX('Market Data'!$J$5:$J$528,$T414)-4)),N(INDEX('Market Data'!$AH$5:$AH$66,INDEX('Market Data'!$J$5:$J$528,$T414)-4))&gt;0),"Bloomberg",IF(AND($M$5&lt;&gt;"Bloomberg",ISNUMBER(INDEX('Market Data'!$AC$5:$AC$66,INDEX('Market Data'!$J$5:$J$528,$T414)-4)),N(INDEX('Market Data'!$AC$5:$AC$66,INDEX('Market Data'!$J$5:$J$528,$T414)-4))&gt;0),"Snapshot","Unavailable"))))</f>
        <v/>
      </c>
      <c r="T414">
        <f>IFERROR(MATCH(406,'Market Data'!$S$5:$S$528,0),0)</f>
        <v/>
      </c>
    </row>
    <row r="415" ht="34" customHeight="1">
      <c r="A415" s="8">
        <f>IF($T415=0,"",IF(INDEX('Market Data'!$A$5:$A$528,$T415)="","",INDEX('Market Data'!$A$5:$A$528,$T415)))</f>
        <v/>
      </c>
      <c r="B415" s="9">
        <f>IF($T415=0,"",IF(INDEX('Market Data'!$B$5:$B$528,$T415)="","",INDEX('Market Data'!$B$5:$B$528,$T415)))</f>
        <v/>
      </c>
      <c r="C415" s="9">
        <f>IF($T415=0,"",IF(INDEX('Market Data'!$C$5:$C$528,$T415)="","",INDEX('Market Data'!$C$5:$C$528,$T415)))</f>
        <v/>
      </c>
      <c r="D415" s="9">
        <f>IF($T415=0,"",IF(INDEX('Market Data'!$D$5:$D$528,$T415)="","",INDEX('Market Data'!$D$5:$D$528,$T415)))</f>
        <v/>
      </c>
      <c r="E415" s="10">
        <f>IF($T415=0,"",INDEX('Market Data'!$O$5:$O$528,$T415))</f>
        <v/>
      </c>
      <c r="F415" s="11">
        <f>IF($T415=0,"",IF(AND($I415="Bloomberg",ISNUMBER(INDEX('Market Data'!$L$5:$L$528,$T415))),INDEX('Market Data'!$L$5:$L$528,$T415),"unavailable"))</f>
        <v/>
      </c>
      <c r="G415" s="12">
        <f>IF($T415=0,"",IF($I415="Bloomberg",IF(AND(ISNUMBER(INDEX('Market Data'!$M$5:$M$528,$T415)),N(INDEX('Market Data'!$M$5:$M$528,$T415))&gt;0),INDEX('Market Data'!$M$5:$M$528,$T415),"date unavailable"),IF($I415="Snapshot",IF(AND(ISNUMBER(INDEX('Market Data'!$H$5:$H$528,$T415)),N(INDEX('Market Data'!$H$5:$H$528,$T415))&gt;0),INDEX('Market Data'!$H$5:$H$528,$T415),"date unavailable"),"date unavailable")))</f>
        <v/>
      </c>
      <c r="H415" s="9">
        <f>IF($T415=0,"",IF($I415="Bloomberg",IF(INDEX('Market Data'!$N$5:$N$528,$T415)="","time unavailable",INDEX('Market Data'!$N$5:$N$528,$T415)),""))</f>
        <v/>
      </c>
      <c r="I415" s="9">
        <f>IF($T415=0,"",INDEX('Market Data'!$P$5:$P$528,$T415))</f>
        <v/>
      </c>
      <c r="J415" s="13">
        <f>IF($T415=0,"",IF(INDEX('Market Data'!$E$5:$E$528,$T415)="","",INDEX('Market Data'!$E$5:$E$528,$T415)))</f>
        <v/>
      </c>
      <c r="K415" s="8">
        <f>IF($T415=0,"",IF(INDEX('Market Data'!$I$5:$I$528,$T415)="","",INDEX('Market Data'!$I$5:$I$528,$T415)))</f>
        <v/>
      </c>
      <c r="L415" s="10">
        <f>IF($T415=0,"",IF(INDEX('Market Data'!$J$5:$J$528,$T415)=0,"n/a",IF(AND($M$5&lt;&gt;"Snapshot",ISNUMBER(INDEX('Market Data'!$AH$5:$AH$66,INDEX('Market Data'!$J$5:$J$528,$T415)-4)),N(INDEX('Market Data'!$AH$5:$AH$66,INDEX('Market Data'!$J$5:$J$528,$T415)-4))&gt;0),INDEX('Market Data'!$AH$5:$AH$66,INDEX('Market Data'!$J$5:$J$528,$T415)-4),IF(AND($M$5&lt;&gt;"Bloomberg",ISNUMBER(INDEX('Market Data'!$AC$5:$AC$66,INDEX('Market Data'!$J$5:$J$528,$T415)-4)),N(INDEX('Market Data'!$AC$5:$AC$66,INDEX('Market Data'!$J$5:$J$528,$T415)-4))&gt;0),INDEX('Market Data'!$AC$5:$AC$66,INDEX('Market Data'!$J$5:$J$528,$T415)-4),"unavailable"))))</f>
        <v/>
      </c>
      <c r="M415" s="11">
        <f>IF($T415=0,"",IF(INDEX('Market Data'!$J$5:$J$528,$T415)=0,"n/a",IF(IF(INDEX('Market Data'!$J$5:$J$528,$T415)=0,0,IF(LEFT(INDEX('Market Data'!$AS$5:$AS$66,INDEX('Market Data'!$J$5:$J$528,$T415)-4),11)="First-month",1,0))=1,"class review",IF($I415="Bloomberg",IF(AND(ISNUMBER(INDEX('Market Data'!$AH$5:$AH$66,INDEX('Market Data'!$J$5:$J$528,$T415)-4)),N(INDEX('Market Data'!$AH$5:$AH$66,INDEX('Market Data'!$J$5:$J$528,$T415)-4))&gt;0,ISNUMBER('Market Data'!$B$1),N('Market Data'!$B$1)&gt;0),INDEX('Market Data'!$AH$5:$AH$66,INDEX('Market Data'!$J$5:$J$528,$T415)-4)*'Market Data'!$B$1/$E415-1,"pending A/FX"),IF(AND($I415="Snapshot",$Q415="Snapshot",ISNUMBER($E415),$G415=INDEX('Market Data'!$AE$5:$AE$66,INDEX('Market Data'!$J$5:$J$528,$T415)-4)),IFERROR(INDEX('Market Data'!$AC$5:$AC$66,INDEX('Market Data'!$J$5:$J$528,$T415)-4)*INDEX('Market Data'!$AD$5:$AD$66,INDEX('Market Data'!$J$5:$J$528,$T415)-4)/$E415-1,"unavailable"),IF($I415="Unavailable","unavailable","date mismatch"))))))</f>
        <v/>
      </c>
      <c r="N415" s="11">
        <f>IF($T415=0,"",IFERROR(IF(AND(N(INDEX('Market Data'!$F$5:$F$528,$T415))&gt;0,ISNUMBER(INDEX('Market Data'!$T$5:$T$528,$T415))),$E415*INDEX('Market Data'!$T$5:$T$528,$T415)/INDEX('Market Data'!$F$5:$F$528,$T415)-1,"unavailable"),"unavailable"))</f>
        <v/>
      </c>
      <c r="O415" s="9">
        <f>IF($T415=0,"",IF(IF(INDEX('Market Data'!$J$5:$J$528,$T415)=0,0,IF(LEFT(INDEX('Market Data'!$AS$5:$AS$66,INDEX('Market Data'!$J$5:$J$528,$T415)-4),11)="First-month",1,0))=1,"Class ratio review",IF($I415="Bloomberg",IF(ISNUMBER($G415),IF($G415&lt;TODAY(),"Older quote","See quote time"),"Date unavailable"),IF($I415="Snapshot",IF($G415&lt;DATEVALUE("2026-10-02"),"Older snapshot","Dated close"),"No valid quote"))))</f>
        <v/>
      </c>
      <c r="P415" s="14">
        <f>IF($T415=0,"",IF(INDEX('Market Data'!$J$5:$J$528,$T415)=0,"n/a",IF($Q415="Bloomberg",IF(AND(ISNUMBER(INDEX('Market Data'!$AK$5:$AK$66,INDEX('Market Data'!$J$5:$J$528,$T415)-4)),N(INDEX('Market Data'!$AK$5:$AK$66,INDEX('Market Data'!$J$5:$J$528,$T415)-4))&gt;0),INDEX('Market Data'!$AK$5:$AK$66,INDEX('Market Data'!$J$5:$J$528,$T415)-4),"date unavailable"),IF($Q415="Snapshot",IF(AND(ISNUMBER(INDEX('Market Data'!$AF$5:$AF$66,INDEX('Market Data'!$J$5:$J$528,$T415)-4)),N(INDEX('Market Data'!$AF$5:$AF$66,INDEX('Market Data'!$J$5:$J$528,$T415)-4))&gt;0),INDEX('Market Data'!$AF$5:$AF$66,INDEX('Market Data'!$J$5:$J$528,$T415)-4),"date unavailable"),"date unavailable"))))</f>
        <v/>
      </c>
      <c r="Q415" s="15">
        <f>IF($T415=0,"",IF(INDEX('Market Data'!$J$5:$J$528,$T415)=0,"n/a",IF(AND($M$5&lt;&gt;"Snapshot",ISNUMBER(INDEX('Market Data'!$AH$5:$AH$66,INDEX('Market Data'!$J$5:$J$528,$T415)-4)),N(INDEX('Market Data'!$AH$5:$AH$66,INDEX('Market Data'!$J$5:$J$528,$T415)-4))&gt;0),"Bloomberg",IF(AND($M$5&lt;&gt;"Bloomberg",ISNUMBER(INDEX('Market Data'!$AC$5:$AC$66,INDEX('Market Data'!$J$5:$J$528,$T415)-4)),N(INDEX('Market Data'!$AC$5:$AC$66,INDEX('Market Data'!$J$5:$J$528,$T415)-4))&gt;0),"Snapshot","Unavailable"))))</f>
        <v/>
      </c>
      <c r="T415">
        <f>IFERROR(MATCH(407,'Market Data'!$S$5:$S$528,0),0)</f>
        <v/>
      </c>
    </row>
    <row r="416" ht="34" customHeight="1">
      <c r="A416" s="8">
        <f>IF($T416=0,"",IF(INDEX('Market Data'!$A$5:$A$528,$T416)="","",INDEX('Market Data'!$A$5:$A$528,$T416)))</f>
        <v/>
      </c>
      <c r="B416" s="9">
        <f>IF($T416=0,"",IF(INDEX('Market Data'!$B$5:$B$528,$T416)="","",INDEX('Market Data'!$B$5:$B$528,$T416)))</f>
        <v/>
      </c>
      <c r="C416" s="9">
        <f>IF($T416=0,"",IF(INDEX('Market Data'!$C$5:$C$528,$T416)="","",INDEX('Market Data'!$C$5:$C$528,$T416)))</f>
        <v/>
      </c>
      <c r="D416" s="9">
        <f>IF($T416=0,"",IF(INDEX('Market Data'!$D$5:$D$528,$T416)="","",INDEX('Market Data'!$D$5:$D$528,$T416)))</f>
        <v/>
      </c>
      <c r="E416" s="10">
        <f>IF($T416=0,"",INDEX('Market Data'!$O$5:$O$528,$T416))</f>
        <v/>
      </c>
      <c r="F416" s="11">
        <f>IF($T416=0,"",IF(AND($I416="Bloomberg",ISNUMBER(INDEX('Market Data'!$L$5:$L$528,$T416))),INDEX('Market Data'!$L$5:$L$528,$T416),"unavailable"))</f>
        <v/>
      </c>
      <c r="G416" s="12">
        <f>IF($T416=0,"",IF($I416="Bloomberg",IF(AND(ISNUMBER(INDEX('Market Data'!$M$5:$M$528,$T416)),N(INDEX('Market Data'!$M$5:$M$528,$T416))&gt;0),INDEX('Market Data'!$M$5:$M$528,$T416),"date unavailable"),IF($I416="Snapshot",IF(AND(ISNUMBER(INDEX('Market Data'!$H$5:$H$528,$T416)),N(INDEX('Market Data'!$H$5:$H$528,$T416))&gt;0),INDEX('Market Data'!$H$5:$H$528,$T416),"date unavailable"),"date unavailable")))</f>
        <v/>
      </c>
      <c r="H416" s="9">
        <f>IF($T416=0,"",IF($I416="Bloomberg",IF(INDEX('Market Data'!$N$5:$N$528,$T416)="","time unavailable",INDEX('Market Data'!$N$5:$N$528,$T416)),""))</f>
        <v/>
      </c>
      <c r="I416" s="9">
        <f>IF($T416=0,"",INDEX('Market Data'!$P$5:$P$528,$T416))</f>
        <v/>
      </c>
      <c r="J416" s="13">
        <f>IF($T416=0,"",IF(INDEX('Market Data'!$E$5:$E$528,$T416)="","",INDEX('Market Data'!$E$5:$E$528,$T416)))</f>
        <v/>
      </c>
      <c r="K416" s="8">
        <f>IF($T416=0,"",IF(INDEX('Market Data'!$I$5:$I$528,$T416)="","",INDEX('Market Data'!$I$5:$I$528,$T416)))</f>
        <v/>
      </c>
      <c r="L416" s="10">
        <f>IF($T416=0,"",IF(INDEX('Market Data'!$J$5:$J$528,$T416)=0,"n/a",IF(AND($M$5&lt;&gt;"Snapshot",ISNUMBER(INDEX('Market Data'!$AH$5:$AH$66,INDEX('Market Data'!$J$5:$J$528,$T416)-4)),N(INDEX('Market Data'!$AH$5:$AH$66,INDEX('Market Data'!$J$5:$J$528,$T416)-4))&gt;0),INDEX('Market Data'!$AH$5:$AH$66,INDEX('Market Data'!$J$5:$J$528,$T416)-4),IF(AND($M$5&lt;&gt;"Bloomberg",ISNUMBER(INDEX('Market Data'!$AC$5:$AC$66,INDEX('Market Data'!$J$5:$J$528,$T416)-4)),N(INDEX('Market Data'!$AC$5:$AC$66,INDEX('Market Data'!$J$5:$J$528,$T416)-4))&gt;0),INDEX('Market Data'!$AC$5:$AC$66,INDEX('Market Data'!$J$5:$J$528,$T416)-4),"unavailable"))))</f>
        <v/>
      </c>
      <c r="M416" s="11">
        <f>IF($T416=0,"",IF(INDEX('Market Data'!$J$5:$J$528,$T416)=0,"n/a",IF(IF(INDEX('Market Data'!$J$5:$J$528,$T416)=0,0,IF(LEFT(INDEX('Market Data'!$AS$5:$AS$66,INDEX('Market Data'!$J$5:$J$528,$T416)-4),11)="First-month",1,0))=1,"class review",IF($I416="Bloomberg",IF(AND(ISNUMBER(INDEX('Market Data'!$AH$5:$AH$66,INDEX('Market Data'!$J$5:$J$528,$T416)-4)),N(INDEX('Market Data'!$AH$5:$AH$66,INDEX('Market Data'!$J$5:$J$528,$T416)-4))&gt;0,ISNUMBER('Market Data'!$B$1),N('Market Data'!$B$1)&gt;0),INDEX('Market Data'!$AH$5:$AH$66,INDEX('Market Data'!$J$5:$J$528,$T416)-4)*'Market Data'!$B$1/$E416-1,"pending A/FX"),IF(AND($I416="Snapshot",$Q416="Snapshot",ISNUMBER($E416),$G416=INDEX('Market Data'!$AE$5:$AE$66,INDEX('Market Data'!$J$5:$J$528,$T416)-4)),IFERROR(INDEX('Market Data'!$AC$5:$AC$66,INDEX('Market Data'!$J$5:$J$528,$T416)-4)*INDEX('Market Data'!$AD$5:$AD$66,INDEX('Market Data'!$J$5:$J$528,$T416)-4)/$E416-1,"unavailable"),IF($I416="Unavailable","unavailable","date mismatch"))))))</f>
        <v/>
      </c>
      <c r="N416" s="11">
        <f>IF($T416=0,"",IFERROR(IF(AND(N(INDEX('Market Data'!$F$5:$F$528,$T416))&gt;0,ISNUMBER(INDEX('Market Data'!$T$5:$T$528,$T416))),$E416*INDEX('Market Data'!$T$5:$T$528,$T416)/INDEX('Market Data'!$F$5:$F$528,$T416)-1,"unavailable"),"unavailable"))</f>
        <v/>
      </c>
      <c r="O416" s="9">
        <f>IF($T416=0,"",IF(IF(INDEX('Market Data'!$J$5:$J$528,$T416)=0,0,IF(LEFT(INDEX('Market Data'!$AS$5:$AS$66,INDEX('Market Data'!$J$5:$J$528,$T416)-4),11)="First-month",1,0))=1,"Class ratio review",IF($I416="Bloomberg",IF(ISNUMBER($G416),IF($G416&lt;TODAY(),"Older quote","See quote time"),"Date unavailable"),IF($I416="Snapshot",IF($G416&lt;DATEVALUE("2026-10-02"),"Older snapshot","Dated close"),"No valid quote"))))</f>
        <v/>
      </c>
      <c r="P416" s="14">
        <f>IF($T416=0,"",IF(INDEX('Market Data'!$J$5:$J$528,$T416)=0,"n/a",IF($Q416="Bloomberg",IF(AND(ISNUMBER(INDEX('Market Data'!$AK$5:$AK$66,INDEX('Market Data'!$J$5:$J$528,$T416)-4)),N(INDEX('Market Data'!$AK$5:$AK$66,INDEX('Market Data'!$J$5:$J$528,$T416)-4))&gt;0),INDEX('Market Data'!$AK$5:$AK$66,INDEX('Market Data'!$J$5:$J$528,$T416)-4),"date unavailable"),IF($Q416="Snapshot",IF(AND(ISNUMBER(INDEX('Market Data'!$AF$5:$AF$66,INDEX('Market Data'!$J$5:$J$528,$T416)-4)),N(INDEX('Market Data'!$AF$5:$AF$66,INDEX('Market Data'!$J$5:$J$528,$T416)-4))&gt;0),INDEX('Market Data'!$AF$5:$AF$66,INDEX('Market Data'!$J$5:$J$528,$T416)-4),"date unavailable"),"date unavailable"))))</f>
        <v/>
      </c>
      <c r="Q416" s="15">
        <f>IF($T416=0,"",IF(INDEX('Market Data'!$J$5:$J$528,$T416)=0,"n/a",IF(AND($M$5&lt;&gt;"Snapshot",ISNUMBER(INDEX('Market Data'!$AH$5:$AH$66,INDEX('Market Data'!$J$5:$J$528,$T416)-4)),N(INDEX('Market Data'!$AH$5:$AH$66,INDEX('Market Data'!$J$5:$J$528,$T416)-4))&gt;0),"Bloomberg",IF(AND($M$5&lt;&gt;"Bloomberg",ISNUMBER(INDEX('Market Data'!$AC$5:$AC$66,INDEX('Market Data'!$J$5:$J$528,$T416)-4)),N(INDEX('Market Data'!$AC$5:$AC$66,INDEX('Market Data'!$J$5:$J$528,$T416)-4))&gt;0),"Snapshot","Unavailable"))))</f>
        <v/>
      </c>
      <c r="T416">
        <f>IFERROR(MATCH(408,'Market Data'!$S$5:$S$528,0),0)</f>
        <v/>
      </c>
    </row>
    <row r="417" ht="34" customHeight="1">
      <c r="A417" s="8">
        <f>IF($T417=0,"",IF(INDEX('Market Data'!$A$5:$A$528,$T417)="","",INDEX('Market Data'!$A$5:$A$528,$T417)))</f>
        <v/>
      </c>
      <c r="B417" s="9">
        <f>IF($T417=0,"",IF(INDEX('Market Data'!$B$5:$B$528,$T417)="","",INDEX('Market Data'!$B$5:$B$528,$T417)))</f>
        <v/>
      </c>
      <c r="C417" s="9">
        <f>IF($T417=0,"",IF(INDEX('Market Data'!$C$5:$C$528,$T417)="","",INDEX('Market Data'!$C$5:$C$528,$T417)))</f>
        <v/>
      </c>
      <c r="D417" s="9">
        <f>IF($T417=0,"",IF(INDEX('Market Data'!$D$5:$D$528,$T417)="","",INDEX('Market Data'!$D$5:$D$528,$T417)))</f>
        <v/>
      </c>
      <c r="E417" s="10">
        <f>IF($T417=0,"",INDEX('Market Data'!$O$5:$O$528,$T417))</f>
        <v/>
      </c>
      <c r="F417" s="11">
        <f>IF($T417=0,"",IF(AND($I417="Bloomberg",ISNUMBER(INDEX('Market Data'!$L$5:$L$528,$T417))),INDEX('Market Data'!$L$5:$L$528,$T417),"unavailable"))</f>
        <v/>
      </c>
      <c r="G417" s="12">
        <f>IF($T417=0,"",IF($I417="Bloomberg",IF(AND(ISNUMBER(INDEX('Market Data'!$M$5:$M$528,$T417)),N(INDEX('Market Data'!$M$5:$M$528,$T417))&gt;0),INDEX('Market Data'!$M$5:$M$528,$T417),"date unavailable"),IF($I417="Snapshot",IF(AND(ISNUMBER(INDEX('Market Data'!$H$5:$H$528,$T417)),N(INDEX('Market Data'!$H$5:$H$528,$T417))&gt;0),INDEX('Market Data'!$H$5:$H$528,$T417),"date unavailable"),"date unavailable")))</f>
        <v/>
      </c>
      <c r="H417" s="9">
        <f>IF($T417=0,"",IF($I417="Bloomberg",IF(INDEX('Market Data'!$N$5:$N$528,$T417)="","time unavailable",INDEX('Market Data'!$N$5:$N$528,$T417)),""))</f>
        <v/>
      </c>
      <c r="I417" s="9">
        <f>IF($T417=0,"",INDEX('Market Data'!$P$5:$P$528,$T417))</f>
        <v/>
      </c>
      <c r="J417" s="13">
        <f>IF($T417=0,"",IF(INDEX('Market Data'!$E$5:$E$528,$T417)="","",INDEX('Market Data'!$E$5:$E$528,$T417)))</f>
        <v/>
      </c>
      <c r="K417" s="8">
        <f>IF($T417=0,"",IF(INDEX('Market Data'!$I$5:$I$528,$T417)="","",INDEX('Market Data'!$I$5:$I$528,$T417)))</f>
        <v/>
      </c>
      <c r="L417" s="10">
        <f>IF($T417=0,"",IF(INDEX('Market Data'!$J$5:$J$528,$T417)=0,"n/a",IF(AND($M$5&lt;&gt;"Snapshot",ISNUMBER(INDEX('Market Data'!$AH$5:$AH$66,INDEX('Market Data'!$J$5:$J$528,$T417)-4)),N(INDEX('Market Data'!$AH$5:$AH$66,INDEX('Market Data'!$J$5:$J$528,$T417)-4))&gt;0),INDEX('Market Data'!$AH$5:$AH$66,INDEX('Market Data'!$J$5:$J$528,$T417)-4),IF(AND($M$5&lt;&gt;"Bloomberg",ISNUMBER(INDEX('Market Data'!$AC$5:$AC$66,INDEX('Market Data'!$J$5:$J$528,$T417)-4)),N(INDEX('Market Data'!$AC$5:$AC$66,INDEX('Market Data'!$J$5:$J$528,$T417)-4))&gt;0),INDEX('Market Data'!$AC$5:$AC$66,INDEX('Market Data'!$J$5:$J$528,$T417)-4),"unavailable"))))</f>
        <v/>
      </c>
      <c r="M417" s="11">
        <f>IF($T417=0,"",IF(INDEX('Market Data'!$J$5:$J$528,$T417)=0,"n/a",IF(IF(INDEX('Market Data'!$J$5:$J$528,$T417)=0,0,IF(LEFT(INDEX('Market Data'!$AS$5:$AS$66,INDEX('Market Data'!$J$5:$J$528,$T417)-4),11)="First-month",1,0))=1,"class review",IF($I417="Bloomberg",IF(AND(ISNUMBER(INDEX('Market Data'!$AH$5:$AH$66,INDEX('Market Data'!$J$5:$J$528,$T417)-4)),N(INDEX('Market Data'!$AH$5:$AH$66,INDEX('Market Data'!$J$5:$J$528,$T417)-4))&gt;0,ISNUMBER('Market Data'!$B$1),N('Market Data'!$B$1)&gt;0),INDEX('Market Data'!$AH$5:$AH$66,INDEX('Market Data'!$J$5:$J$528,$T417)-4)*'Market Data'!$B$1/$E417-1,"pending A/FX"),IF(AND($I417="Snapshot",$Q417="Snapshot",ISNUMBER($E417),$G417=INDEX('Market Data'!$AE$5:$AE$66,INDEX('Market Data'!$J$5:$J$528,$T417)-4)),IFERROR(INDEX('Market Data'!$AC$5:$AC$66,INDEX('Market Data'!$J$5:$J$528,$T417)-4)*INDEX('Market Data'!$AD$5:$AD$66,INDEX('Market Data'!$J$5:$J$528,$T417)-4)/$E417-1,"unavailable"),IF($I417="Unavailable","unavailable","date mismatch"))))))</f>
        <v/>
      </c>
      <c r="N417" s="11">
        <f>IF($T417=0,"",IFERROR(IF(AND(N(INDEX('Market Data'!$F$5:$F$528,$T417))&gt;0,ISNUMBER(INDEX('Market Data'!$T$5:$T$528,$T417))),$E417*INDEX('Market Data'!$T$5:$T$528,$T417)/INDEX('Market Data'!$F$5:$F$528,$T417)-1,"unavailable"),"unavailable"))</f>
        <v/>
      </c>
      <c r="O417" s="9">
        <f>IF($T417=0,"",IF(IF(INDEX('Market Data'!$J$5:$J$528,$T417)=0,0,IF(LEFT(INDEX('Market Data'!$AS$5:$AS$66,INDEX('Market Data'!$J$5:$J$528,$T417)-4),11)="First-month",1,0))=1,"Class ratio review",IF($I417="Bloomberg",IF(ISNUMBER($G417),IF($G417&lt;TODAY(),"Older quote","See quote time"),"Date unavailable"),IF($I417="Snapshot",IF($G417&lt;DATEVALUE("2026-10-02"),"Older snapshot","Dated close"),"No valid quote"))))</f>
        <v/>
      </c>
      <c r="P417" s="14">
        <f>IF($T417=0,"",IF(INDEX('Market Data'!$J$5:$J$528,$T417)=0,"n/a",IF($Q417="Bloomberg",IF(AND(ISNUMBER(INDEX('Market Data'!$AK$5:$AK$66,INDEX('Market Data'!$J$5:$J$528,$T417)-4)),N(INDEX('Market Data'!$AK$5:$AK$66,INDEX('Market Data'!$J$5:$J$528,$T417)-4))&gt;0),INDEX('Market Data'!$AK$5:$AK$66,INDEX('Market Data'!$J$5:$J$528,$T417)-4),"date unavailable"),IF($Q417="Snapshot",IF(AND(ISNUMBER(INDEX('Market Data'!$AF$5:$AF$66,INDEX('Market Data'!$J$5:$J$528,$T417)-4)),N(INDEX('Market Data'!$AF$5:$AF$66,INDEX('Market Data'!$J$5:$J$528,$T417)-4))&gt;0),INDEX('Market Data'!$AF$5:$AF$66,INDEX('Market Data'!$J$5:$J$528,$T417)-4),"date unavailable"),"date unavailable"))))</f>
        <v/>
      </c>
      <c r="Q417" s="15">
        <f>IF($T417=0,"",IF(INDEX('Market Data'!$J$5:$J$528,$T417)=0,"n/a",IF(AND($M$5&lt;&gt;"Snapshot",ISNUMBER(INDEX('Market Data'!$AH$5:$AH$66,INDEX('Market Data'!$J$5:$J$528,$T417)-4)),N(INDEX('Market Data'!$AH$5:$AH$66,INDEX('Market Data'!$J$5:$J$528,$T417)-4))&gt;0),"Bloomberg",IF(AND($M$5&lt;&gt;"Bloomberg",ISNUMBER(INDEX('Market Data'!$AC$5:$AC$66,INDEX('Market Data'!$J$5:$J$528,$T417)-4)),N(INDEX('Market Data'!$AC$5:$AC$66,INDEX('Market Data'!$J$5:$J$528,$T417)-4))&gt;0),"Snapshot","Unavailable"))))</f>
        <v/>
      </c>
      <c r="T417">
        <f>IFERROR(MATCH(409,'Market Data'!$S$5:$S$528,0),0)</f>
        <v/>
      </c>
    </row>
    <row r="418" ht="34" customHeight="1">
      <c r="A418" s="8">
        <f>IF($T418=0,"",IF(INDEX('Market Data'!$A$5:$A$528,$T418)="","",INDEX('Market Data'!$A$5:$A$528,$T418)))</f>
        <v/>
      </c>
      <c r="B418" s="9">
        <f>IF($T418=0,"",IF(INDEX('Market Data'!$B$5:$B$528,$T418)="","",INDEX('Market Data'!$B$5:$B$528,$T418)))</f>
        <v/>
      </c>
      <c r="C418" s="9">
        <f>IF($T418=0,"",IF(INDEX('Market Data'!$C$5:$C$528,$T418)="","",INDEX('Market Data'!$C$5:$C$528,$T418)))</f>
        <v/>
      </c>
      <c r="D418" s="9">
        <f>IF($T418=0,"",IF(INDEX('Market Data'!$D$5:$D$528,$T418)="","",INDEX('Market Data'!$D$5:$D$528,$T418)))</f>
        <v/>
      </c>
      <c r="E418" s="10">
        <f>IF($T418=0,"",INDEX('Market Data'!$O$5:$O$528,$T418))</f>
        <v/>
      </c>
      <c r="F418" s="11">
        <f>IF($T418=0,"",IF(AND($I418="Bloomberg",ISNUMBER(INDEX('Market Data'!$L$5:$L$528,$T418))),INDEX('Market Data'!$L$5:$L$528,$T418),"unavailable"))</f>
        <v/>
      </c>
      <c r="G418" s="12">
        <f>IF($T418=0,"",IF($I418="Bloomberg",IF(AND(ISNUMBER(INDEX('Market Data'!$M$5:$M$528,$T418)),N(INDEX('Market Data'!$M$5:$M$528,$T418))&gt;0),INDEX('Market Data'!$M$5:$M$528,$T418),"date unavailable"),IF($I418="Snapshot",IF(AND(ISNUMBER(INDEX('Market Data'!$H$5:$H$528,$T418)),N(INDEX('Market Data'!$H$5:$H$528,$T418))&gt;0),INDEX('Market Data'!$H$5:$H$528,$T418),"date unavailable"),"date unavailable")))</f>
        <v/>
      </c>
      <c r="H418" s="9">
        <f>IF($T418=0,"",IF($I418="Bloomberg",IF(INDEX('Market Data'!$N$5:$N$528,$T418)="","time unavailable",INDEX('Market Data'!$N$5:$N$528,$T418)),""))</f>
        <v/>
      </c>
      <c r="I418" s="9">
        <f>IF($T418=0,"",INDEX('Market Data'!$P$5:$P$528,$T418))</f>
        <v/>
      </c>
      <c r="J418" s="13">
        <f>IF($T418=0,"",IF(INDEX('Market Data'!$E$5:$E$528,$T418)="","",INDEX('Market Data'!$E$5:$E$528,$T418)))</f>
        <v/>
      </c>
      <c r="K418" s="8">
        <f>IF($T418=0,"",IF(INDEX('Market Data'!$I$5:$I$528,$T418)="","",INDEX('Market Data'!$I$5:$I$528,$T418)))</f>
        <v/>
      </c>
      <c r="L418" s="10">
        <f>IF($T418=0,"",IF(INDEX('Market Data'!$J$5:$J$528,$T418)=0,"n/a",IF(AND($M$5&lt;&gt;"Snapshot",ISNUMBER(INDEX('Market Data'!$AH$5:$AH$66,INDEX('Market Data'!$J$5:$J$528,$T418)-4)),N(INDEX('Market Data'!$AH$5:$AH$66,INDEX('Market Data'!$J$5:$J$528,$T418)-4))&gt;0),INDEX('Market Data'!$AH$5:$AH$66,INDEX('Market Data'!$J$5:$J$528,$T418)-4),IF(AND($M$5&lt;&gt;"Bloomberg",ISNUMBER(INDEX('Market Data'!$AC$5:$AC$66,INDEX('Market Data'!$J$5:$J$528,$T418)-4)),N(INDEX('Market Data'!$AC$5:$AC$66,INDEX('Market Data'!$J$5:$J$528,$T418)-4))&gt;0),INDEX('Market Data'!$AC$5:$AC$66,INDEX('Market Data'!$J$5:$J$528,$T418)-4),"unavailable"))))</f>
        <v/>
      </c>
      <c r="M418" s="11">
        <f>IF($T418=0,"",IF(INDEX('Market Data'!$J$5:$J$528,$T418)=0,"n/a",IF(IF(INDEX('Market Data'!$J$5:$J$528,$T418)=0,0,IF(LEFT(INDEX('Market Data'!$AS$5:$AS$66,INDEX('Market Data'!$J$5:$J$528,$T418)-4),11)="First-month",1,0))=1,"class review",IF($I418="Bloomberg",IF(AND(ISNUMBER(INDEX('Market Data'!$AH$5:$AH$66,INDEX('Market Data'!$J$5:$J$528,$T418)-4)),N(INDEX('Market Data'!$AH$5:$AH$66,INDEX('Market Data'!$J$5:$J$528,$T418)-4))&gt;0,ISNUMBER('Market Data'!$B$1),N('Market Data'!$B$1)&gt;0),INDEX('Market Data'!$AH$5:$AH$66,INDEX('Market Data'!$J$5:$J$528,$T418)-4)*'Market Data'!$B$1/$E418-1,"pending A/FX"),IF(AND($I418="Snapshot",$Q418="Snapshot",ISNUMBER($E418),$G418=INDEX('Market Data'!$AE$5:$AE$66,INDEX('Market Data'!$J$5:$J$528,$T418)-4)),IFERROR(INDEX('Market Data'!$AC$5:$AC$66,INDEX('Market Data'!$J$5:$J$528,$T418)-4)*INDEX('Market Data'!$AD$5:$AD$66,INDEX('Market Data'!$J$5:$J$528,$T418)-4)/$E418-1,"unavailable"),IF($I418="Unavailable","unavailable","date mismatch"))))))</f>
        <v/>
      </c>
      <c r="N418" s="11">
        <f>IF($T418=0,"",IFERROR(IF(AND(N(INDEX('Market Data'!$F$5:$F$528,$T418))&gt;0,ISNUMBER(INDEX('Market Data'!$T$5:$T$528,$T418))),$E418*INDEX('Market Data'!$T$5:$T$528,$T418)/INDEX('Market Data'!$F$5:$F$528,$T418)-1,"unavailable"),"unavailable"))</f>
        <v/>
      </c>
      <c r="O418" s="9">
        <f>IF($T418=0,"",IF(IF(INDEX('Market Data'!$J$5:$J$528,$T418)=0,0,IF(LEFT(INDEX('Market Data'!$AS$5:$AS$66,INDEX('Market Data'!$J$5:$J$528,$T418)-4),11)="First-month",1,0))=1,"Class ratio review",IF($I418="Bloomberg",IF(ISNUMBER($G418),IF($G418&lt;TODAY(),"Older quote","See quote time"),"Date unavailable"),IF($I418="Snapshot",IF($G418&lt;DATEVALUE("2026-10-02"),"Older snapshot","Dated close"),"No valid quote"))))</f>
        <v/>
      </c>
      <c r="P418" s="14">
        <f>IF($T418=0,"",IF(INDEX('Market Data'!$J$5:$J$528,$T418)=0,"n/a",IF($Q418="Bloomberg",IF(AND(ISNUMBER(INDEX('Market Data'!$AK$5:$AK$66,INDEX('Market Data'!$J$5:$J$528,$T418)-4)),N(INDEX('Market Data'!$AK$5:$AK$66,INDEX('Market Data'!$J$5:$J$528,$T418)-4))&gt;0),INDEX('Market Data'!$AK$5:$AK$66,INDEX('Market Data'!$J$5:$J$528,$T418)-4),"date unavailable"),IF($Q418="Snapshot",IF(AND(ISNUMBER(INDEX('Market Data'!$AF$5:$AF$66,INDEX('Market Data'!$J$5:$J$528,$T418)-4)),N(INDEX('Market Data'!$AF$5:$AF$66,INDEX('Market Data'!$J$5:$J$528,$T418)-4))&gt;0),INDEX('Market Data'!$AF$5:$AF$66,INDEX('Market Data'!$J$5:$J$528,$T418)-4),"date unavailable"),"date unavailable"))))</f>
        <v/>
      </c>
      <c r="Q418" s="15">
        <f>IF($T418=0,"",IF(INDEX('Market Data'!$J$5:$J$528,$T418)=0,"n/a",IF(AND($M$5&lt;&gt;"Snapshot",ISNUMBER(INDEX('Market Data'!$AH$5:$AH$66,INDEX('Market Data'!$J$5:$J$528,$T418)-4)),N(INDEX('Market Data'!$AH$5:$AH$66,INDEX('Market Data'!$J$5:$J$528,$T418)-4))&gt;0),"Bloomberg",IF(AND($M$5&lt;&gt;"Bloomberg",ISNUMBER(INDEX('Market Data'!$AC$5:$AC$66,INDEX('Market Data'!$J$5:$J$528,$T418)-4)),N(INDEX('Market Data'!$AC$5:$AC$66,INDEX('Market Data'!$J$5:$J$528,$T418)-4))&gt;0),"Snapshot","Unavailable"))))</f>
        <v/>
      </c>
      <c r="T418">
        <f>IFERROR(MATCH(410,'Market Data'!$S$5:$S$528,0),0)</f>
        <v/>
      </c>
    </row>
    <row r="419" ht="34" customHeight="1">
      <c r="A419" s="8">
        <f>IF($T419=0,"",IF(INDEX('Market Data'!$A$5:$A$528,$T419)="","",INDEX('Market Data'!$A$5:$A$528,$T419)))</f>
        <v/>
      </c>
      <c r="B419" s="9">
        <f>IF($T419=0,"",IF(INDEX('Market Data'!$B$5:$B$528,$T419)="","",INDEX('Market Data'!$B$5:$B$528,$T419)))</f>
        <v/>
      </c>
      <c r="C419" s="9">
        <f>IF($T419=0,"",IF(INDEX('Market Data'!$C$5:$C$528,$T419)="","",INDEX('Market Data'!$C$5:$C$528,$T419)))</f>
        <v/>
      </c>
      <c r="D419" s="9">
        <f>IF($T419=0,"",IF(INDEX('Market Data'!$D$5:$D$528,$T419)="","",INDEX('Market Data'!$D$5:$D$528,$T419)))</f>
        <v/>
      </c>
      <c r="E419" s="10">
        <f>IF($T419=0,"",INDEX('Market Data'!$O$5:$O$528,$T419))</f>
        <v/>
      </c>
      <c r="F419" s="11">
        <f>IF($T419=0,"",IF(AND($I419="Bloomberg",ISNUMBER(INDEX('Market Data'!$L$5:$L$528,$T419))),INDEX('Market Data'!$L$5:$L$528,$T419),"unavailable"))</f>
        <v/>
      </c>
      <c r="G419" s="12">
        <f>IF($T419=0,"",IF($I419="Bloomberg",IF(AND(ISNUMBER(INDEX('Market Data'!$M$5:$M$528,$T419)),N(INDEX('Market Data'!$M$5:$M$528,$T419))&gt;0),INDEX('Market Data'!$M$5:$M$528,$T419),"date unavailable"),IF($I419="Snapshot",IF(AND(ISNUMBER(INDEX('Market Data'!$H$5:$H$528,$T419)),N(INDEX('Market Data'!$H$5:$H$528,$T419))&gt;0),INDEX('Market Data'!$H$5:$H$528,$T419),"date unavailable"),"date unavailable")))</f>
        <v/>
      </c>
      <c r="H419" s="9">
        <f>IF($T419=0,"",IF($I419="Bloomberg",IF(INDEX('Market Data'!$N$5:$N$528,$T419)="","time unavailable",INDEX('Market Data'!$N$5:$N$528,$T419)),""))</f>
        <v/>
      </c>
      <c r="I419" s="9">
        <f>IF($T419=0,"",INDEX('Market Data'!$P$5:$P$528,$T419))</f>
        <v/>
      </c>
      <c r="J419" s="13">
        <f>IF($T419=0,"",IF(INDEX('Market Data'!$E$5:$E$528,$T419)="","",INDEX('Market Data'!$E$5:$E$528,$T419)))</f>
        <v/>
      </c>
      <c r="K419" s="8">
        <f>IF($T419=0,"",IF(INDEX('Market Data'!$I$5:$I$528,$T419)="","",INDEX('Market Data'!$I$5:$I$528,$T419)))</f>
        <v/>
      </c>
      <c r="L419" s="10">
        <f>IF($T419=0,"",IF(INDEX('Market Data'!$J$5:$J$528,$T419)=0,"n/a",IF(AND($M$5&lt;&gt;"Snapshot",ISNUMBER(INDEX('Market Data'!$AH$5:$AH$66,INDEX('Market Data'!$J$5:$J$528,$T419)-4)),N(INDEX('Market Data'!$AH$5:$AH$66,INDEX('Market Data'!$J$5:$J$528,$T419)-4))&gt;0),INDEX('Market Data'!$AH$5:$AH$66,INDEX('Market Data'!$J$5:$J$528,$T419)-4),IF(AND($M$5&lt;&gt;"Bloomberg",ISNUMBER(INDEX('Market Data'!$AC$5:$AC$66,INDEX('Market Data'!$J$5:$J$528,$T419)-4)),N(INDEX('Market Data'!$AC$5:$AC$66,INDEX('Market Data'!$J$5:$J$528,$T419)-4))&gt;0),INDEX('Market Data'!$AC$5:$AC$66,INDEX('Market Data'!$J$5:$J$528,$T419)-4),"unavailable"))))</f>
        <v/>
      </c>
      <c r="M419" s="11">
        <f>IF($T419=0,"",IF(INDEX('Market Data'!$J$5:$J$528,$T419)=0,"n/a",IF(IF(INDEX('Market Data'!$J$5:$J$528,$T419)=0,0,IF(LEFT(INDEX('Market Data'!$AS$5:$AS$66,INDEX('Market Data'!$J$5:$J$528,$T419)-4),11)="First-month",1,0))=1,"class review",IF($I419="Bloomberg",IF(AND(ISNUMBER(INDEX('Market Data'!$AH$5:$AH$66,INDEX('Market Data'!$J$5:$J$528,$T419)-4)),N(INDEX('Market Data'!$AH$5:$AH$66,INDEX('Market Data'!$J$5:$J$528,$T419)-4))&gt;0,ISNUMBER('Market Data'!$B$1),N('Market Data'!$B$1)&gt;0),INDEX('Market Data'!$AH$5:$AH$66,INDEX('Market Data'!$J$5:$J$528,$T419)-4)*'Market Data'!$B$1/$E419-1,"pending A/FX"),IF(AND($I419="Snapshot",$Q419="Snapshot",ISNUMBER($E419),$G419=INDEX('Market Data'!$AE$5:$AE$66,INDEX('Market Data'!$J$5:$J$528,$T419)-4)),IFERROR(INDEX('Market Data'!$AC$5:$AC$66,INDEX('Market Data'!$J$5:$J$528,$T419)-4)*INDEX('Market Data'!$AD$5:$AD$66,INDEX('Market Data'!$J$5:$J$528,$T419)-4)/$E419-1,"unavailable"),IF($I419="Unavailable","unavailable","date mismatch"))))))</f>
        <v/>
      </c>
      <c r="N419" s="11">
        <f>IF($T419=0,"",IFERROR(IF(AND(N(INDEX('Market Data'!$F$5:$F$528,$T419))&gt;0,ISNUMBER(INDEX('Market Data'!$T$5:$T$528,$T419))),$E419*INDEX('Market Data'!$T$5:$T$528,$T419)/INDEX('Market Data'!$F$5:$F$528,$T419)-1,"unavailable"),"unavailable"))</f>
        <v/>
      </c>
      <c r="O419" s="9">
        <f>IF($T419=0,"",IF(IF(INDEX('Market Data'!$J$5:$J$528,$T419)=0,0,IF(LEFT(INDEX('Market Data'!$AS$5:$AS$66,INDEX('Market Data'!$J$5:$J$528,$T419)-4),11)="First-month",1,0))=1,"Class ratio review",IF($I419="Bloomberg",IF(ISNUMBER($G419),IF($G419&lt;TODAY(),"Older quote","See quote time"),"Date unavailable"),IF($I419="Snapshot",IF($G419&lt;DATEVALUE("2026-10-02"),"Older snapshot","Dated close"),"No valid quote"))))</f>
        <v/>
      </c>
      <c r="P419" s="14">
        <f>IF($T419=0,"",IF(INDEX('Market Data'!$J$5:$J$528,$T419)=0,"n/a",IF($Q419="Bloomberg",IF(AND(ISNUMBER(INDEX('Market Data'!$AK$5:$AK$66,INDEX('Market Data'!$J$5:$J$528,$T419)-4)),N(INDEX('Market Data'!$AK$5:$AK$66,INDEX('Market Data'!$J$5:$J$528,$T419)-4))&gt;0),INDEX('Market Data'!$AK$5:$AK$66,INDEX('Market Data'!$J$5:$J$528,$T419)-4),"date unavailable"),IF($Q419="Snapshot",IF(AND(ISNUMBER(INDEX('Market Data'!$AF$5:$AF$66,INDEX('Market Data'!$J$5:$J$528,$T419)-4)),N(INDEX('Market Data'!$AF$5:$AF$66,INDEX('Market Data'!$J$5:$J$528,$T419)-4))&gt;0),INDEX('Market Data'!$AF$5:$AF$66,INDEX('Market Data'!$J$5:$J$528,$T419)-4),"date unavailable"),"date unavailable"))))</f>
        <v/>
      </c>
      <c r="Q419" s="15">
        <f>IF($T419=0,"",IF(INDEX('Market Data'!$J$5:$J$528,$T419)=0,"n/a",IF(AND($M$5&lt;&gt;"Snapshot",ISNUMBER(INDEX('Market Data'!$AH$5:$AH$66,INDEX('Market Data'!$J$5:$J$528,$T419)-4)),N(INDEX('Market Data'!$AH$5:$AH$66,INDEX('Market Data'!$J$5:$J$528,$T419)-4))&gt;0),"Bloomberg",IF(AND($M$5&lt;&gt;"Bloomberg",ISNUMBER(INDEX('Market Data'!$AC$5:$AC$66,INDEX('Market Data'!$J$5:$J$528,$T419)-4)),N(INDEX('Market Data'!$AC$5:$AC$66,INDEX('Market Data'!$J$5:$J$528,$T419)-4))&gt;0),"Snapshot","Unavailable"))))</f>
        <v/>
      </c>
      <c r="T419">
        <f>IFERROR(MATCH(411,'Market Data'!$S$5:$S$528,0),0)</f>
        <v/>
      </c>
    </row>
    <row r="420" ht="34" customHeight="1">
      <c r="A420" s="8">
        <f>IF($T420=0,"",IF(INDEX('Market Data'!$A$5:$A$528,$T420)="","",INDEX('Market Data'!$A$5:$A$528,$T420)))</f>
        <v/>
      </c>
      <c r="B420" s="9">
        <f>IF($T420=0,"",IF(INDEX('Market Data'!$B$5:$B$528,$T420)="","",INDEX('Market Data'!$B$5:$B$528,$T420)))</f>
        <v/>
      </c>
      <c r="C420" s="9">
        <f>IF($T420=0,"",IF(INDEX('Market Data'!$C$5:$C$528,$T420)="","",INDEX('Market Data'!$C$5:$C$528,$T420)))</f>
        <v/>
      </c>
      <c r="D420" s="9">
        <f>IF($T420=0,"",IF(INDEX('Market Data'!$D$5:$D$528,$T420)="","",INDEX('Market Data'!$D$5:$D$528,$T420)))</f>
        <v/>
      </c>
      <c r="E420" s="10">
        <f>IF($T420=0,"",INDEX('Market Data'!$O$5:$O$528,$T420))</f>
        <v/>
      </c>
      <c r="F420" s="11">
        <f>IF($T420=0,"",IF(AND($I420="Bloomberg",ISNUMBER(INDEX('Market Data'!$L$5:$L$528,$T420))),INDEX('Market Data'!$L$5:$L$528,$T420),"unavailable"))</f>
        <v/>
      </c>
      <c r="G420" s="12">
        <f>IF($T420=0,"",IF($I420="Bloomberg",IF(AND(ISNUMBER(INDEX('Market Data'!$M$5:$M$528,$T420)),N(INDEX('Market Data'!$M$5:$M$528,$T420))&gt;0),INDEX('Market Data'!$M$5:$M$528,$T420),"date unavailable"),IF($I420="Snapshot",IF(AND(ISNUMBER(INDEX('Market Data'!$H$5:$H$528,$T420)),N(INDEX('Market Data'!$H$5:$H$528,$T420))&gt;0),INDEX('Market Data'!$H$5:$H$528,$T420),"date unavailable"),"date unavailable")))</f>
        <v/>
      </c>
      <c r="H420" s="9">
        <f>IF($T420=0,"",IF($I420="Bloomberg",IF(INDEX('Market Data'!$N$5:$N$528,$T420)="","time unavailable",INDEX('Market Data'!$N$5:$N$528,$T420)),""))</f>
        <v/>
      </c>
      <c r="I420" s="9">
        <f>IF($T420=0,"",INDEX('Market Data'!$P$5:$P$528,$T420))</f>
        <v/>
      </c>
      <c r="J420" s="13">
        <f>IF($T420=0,"",IF(INDEX('Market Data'!$E$5:$E$528,$T420)="","",INDEX('Market Data'!$E$5:$E$528,$T420)))</f>
        <v/>
      </c>
      <c r="K420" s="8">
        <f>IF($T420=0,"",IF(INDEX('Market Data'!$I$5:$I$528,$T420)="","",INDEX('Market Data'!$I$5:$I$528,$T420)))</f>
        <v/>
      </c>
      <c r="L420" s="10">
        <f>IF($T420=0,"",IF(INDEX('Market Data'!$J$5:$J$528,$T420)=0,"n/a",IF(AND($M$5&lt;&gt;"Snapshot",ISNUMBER(INDEX('Market Data'!$AH$5:$AH$66,INDEX('Market Data'!$J$5:$J$528,$T420)-4)),N(INDEX('Market Data'!$AH$5:$AH$66,INDEX('Market Data'!$J$5:$J$528,$T420)-4))&gt;0),INDEX('Market Data'!$AH$5:$AH$66,INDEX('Market Data'!$J$5:$J$528,$T420)-4),IF(AND($M$5&lt;&gt;"Bloomberg",ISNUMBER(INDEX('Market Data'!$AC$5:$AC$66,INDEX('Market Data'!$J$5:$J$528,$T420)-4)),N(INDEX('Market Data'!$AC$5:$AC$66,INDEX('Market Data'!$J$5:$J$528,$T420)-4))&gt;0),INDEX('Market Data'!$AC$5:$AC$66,INDEX('Market Data'!$J$5:$J$528,$T420)-4),"unavailable"))))</f>
        <v/>
      </c>
      <c r="M420" s="11">
        <f>IF($T420=0,"",IF(INDEX('Market Data'!$J$5:$J$528,$T420)=0,"n/a",IF(IF(INDEX('Market Data'!$J$5:$J$528,$T420)=0,0,IF(LEFT(INDEX('Market Data'!$AS$5:$AS$66,INDEX('Market Data'!$J$5:$J$528,$T420)-4),11)="First-month",1,0))=1,"class review",IF($I420="Bloomberg",IF(AND(ISNUMBER(INDEX('Market Data'!$AH$5:$AH$66,INDEX('Market Data'!$J$5:$J$528,$T420)-4)),N(INDEX('Market Data'!$AH$5:$AH$66,INDEX('Market Data'!$J$5:$J$528,$T420)-4))&gt;0,ISNUMBER('Market Data'!$B$1),N('Market Data'!$B$1)&gt;0),INDEX('Market Data'!$AH$5:$AH$66,INDEX('Market Data'!$J$5:$J$528,$T420)-4)*'Market Data'!$B$1/$E420-1,"pending A/FX"),IF(AND($I420="Snapshot",$Q420="Snapshot",ISNUMBER($E420),$G420=INDEX('Market Data'!$AE$5:$AE$66,INDEX('Market Data'!$J$5:$J$528,$T420)-4)),IFERROR(INDEX('Market Data'!$AC$5:$AC$66,INDEX('Market Data'!$J$5:$J$528,$T420)-4)*INDEX('Market Data'!$AD$5:$AD$66,INDEX('Market Data'!$J$5:$J$528,$T420)-4)/$E420-1,"unavailable"),IF($I420="Unavailable","unavailable","date mismatch"))))))</f>
        <v/>
      </c>
      <c r="N420" s="11">
        <f>IF($T420=0,"",IFERROR(IF(AND(N(INDEX('Market Data'!$F$5:$F$528,$T420))&gt;0,ISNUMBER(INDEX('Market Data'!$T$5:$T$528,$T420))),$E420*INDEX('Market Data'!$T$5:$T$528,$T420)/INDEX('Market Data'!$F$5:$F$528,$T420)-1,"unavailable"),"unavailable"))</f>
        <v/>
      </c>
      <c r="O420" s="9">
        <f>IF($T420=0,"",IF(IF(INDEX('Market Data'!$J$5:$J$528,$T420)=0,0,IF(LEFT(INDEX('Market Data'!$AS$5:$AS$66,INDEX('Market Data'!$J$5:$J$528,$T420)-4),11)="First-month",1,0))=1,"Class ratio review",IF($I420="Bloomberg",IF(ISNUMBER($G420),IF($G420&lt;TODAY(),"Older quote","See quote time"),"Date unavailable"),IF($I420="Snapshot",IF($G420&lt;DATEVALUE("2026-10-02"),"Older snapshot","Dated close"),"No valid quote"))))</f>
        <v/>
      </c>
      <c r="P420" s="14">
        <f>IF($T420=0,"",IF(INDEX('Market Data'!$J$5:$J$528,$T420)=0,"n/a",IF($Q420="Bloomberg",IF(AND(ISNUMBER(INDEX('Market Data'!$AK$5:$AK$66,INDEX('Market Data'!$J$5:$J$528,$T420)-4)),N(INDEX('Market Data'!$AK$5:$AK$66,INDEX('Market Data'!$J$5:$J$528,$T420)-4))&gt;0),INDEX('Market Data'!$AK$5:$AK$66,INDEX('Market Data'!$J$5:$J$528,$T420)-4),"date unavailable"),IF($Q420="Snapshot",IF(AND(ISNUMBER(INDEX('Market Data'!$AF$5:$AF$66,INDEX('Market Data'!$J$5:$J$528,$T420)-4)),N(INDEX('Market Data'!$AF$5:$AF$66,INDEX('Market Data'!$J$5:$J$528,$T420)-4))&gt;0),INDEX('Market Data'!$AF$5:$AF$66,INDEX('Market Data'!$J$5:$J$528,$T420)-4),"date unavailable"),"date unavailable"))))</f>
        <v/>
      </c>
      <c r="Q420" s="15">
        <f>IF($T420=0,"",IF(INDEX('Market Data'!$J$5:$J$528,$T420)=0,"n/a",IF(AND($M$5&lt;&gt;"Snapshot",ISNUMBER(INDEX('Market Data'!$AH$5:$AH$66,INDEX('Market Data'!$J$5:$J$528,$T420)-4)),N(INDEX('Market Data'!$AH$5:$AH$66,INDEX('Market Data'!$J$5:$J$528,$T420)-4))&gt;0),"Bloomberg",IF(AND($M$5&lt;&gt;"Bloomberg",ISNUMBER(INDEX('Market Data'!$AC$5:$AC$66,INDEX('Market Data'!$J$5:$J$528,$T420)-4)),N(INDEX('Market Data'!$AC$5:$AC$66,INDEX('Market Data'!$J$5:$J$528,$T420)-4))&gt;0),"Snapshot","Unavailable"))))</f>
        <v/>
      </c>
      <c r="T420">
        <f>IFERROR(MATCH(412,'Market Data'!$S$5:$S$528,0),0)</f>
        <v/>
      </c>
    </row>
    <row r="421" ht="34" customHeight="1">
      <c r="A421" s="8">
        <f>IF($T421=0,"",IF(INDEX('Market Data'!$A$5:$A$528,$T421)="","",INDEX('Market Data'!$A$5:$A$528,$T421)))</f>
        <v/>
      </c>
      <c r="B421" s="9">
        <f>IF($T421=0,"",IF(INDEX('Market Data'!$B$5:$B$528,$T421)="","",INDEX('Market Data'!$B$5:$B$528,$T421)))</f>
        <v/>
      </c>
      <c r="C421" s="9">
        <f>IF($T421=0,"",IF(INDEX('Market Data'!$C$5:$C$528,$T421)="","",INDEX('Market Data'!$C$5:$C$528,$T421)))</f>
        <v/>
      </c>
      <c r="D421" s="9">
        <f>IF($T421=0,"",IF(INDEX('Market Data'!$D$5:$D$528,$T421)="","",INDEX('Market Data'!$D$5:$D$528,$T421)))</f>
        <v/>
      </c>
      <c r="E421" s="10">
        <f>IF($T421=0,"",INDEX('Market Data'!$O$5:$O$528,$T421))</f>
        <v/>
      </c>
      <c r="F421" s="11">
        <f>IF($T421=0,"",IF(AND($I421="Bloomberg",ISNUMBER(INDEX('Market Data'!$L$5:$L$528,$T421))),INDEX('Market Data'!$L$5:$L$528,$T421),"unavailable"))</f>
        <v/>
      </c>
      <c r="G421" s="12">
        <f>IF($T421=0,"",IF($I421="Bloomberg",IF(AND(ISNUMBER(INDEX('Market Data'!$M$5:$M$528,$T421)),N(INDEX('Market Data'!$M$5:$M$528,$T421))&gt;0),INDEX('Market Data'!$M$5:$M$528,$T421),"date unavailable"),IF($I421="Snapshot",IF(AND(ISNUMBER(INDEX('Market Data'!$H$5:$H$528,$T421)),N(INDEX('Market Data'!$H$5:$H$528,$T421))&gt;0),INDEX('Market Data'!$H$5:$H$528,$T421),"date unavailable"),"date unavailable")))</f>
        <v/>
      </c>
      <c r="H421" s="9">
        <f>IF($T421=0,"",IF($I421="Bloomberg",IF(INDEX('Market Data'!$N$5:$N$528,$T421)="","time unavailable",INDEX('Market Data'!$N$5:$N$528,$T421)),""))</f>
        <v/>
      </c>
      <c r="I421" s="9">
        <f>IF($T421=0,"",INDEX('Market Data'!$P$5:$P$528,$T421))</f>
        <v/>
      </c>
      <c r="J421" s="13">
        <f>IF($T421=0,"",IF(INDEX('Market Data'!$E$5:$E$528,$T421)="","",INDEX('Market Data'!$E$5:$E$528,$T421)))</f>
        <v/>
      </c>
      <c r="K421" s="8">
        <f>IF($T421=0,"",IF(INDEX('Market Data'!$I$5:$I$528,$T421)="","",INDEX('Market Data'!$I$5:$I$528,$T421)))</f>
        <v/>
      </c>
      <c r="L421" s="10">
        <f>IF($T421=0,"",IF(INDEX('Market Data'!$J$5:$J$528,$T421)=0,"n/a",IF(AND($M$5&lt;&gt;"Snapshot",ISNUMBER(INDEX('Market Data'!$AH$5:$AH$66,INDEX('Market Data'!$J$5:$J$528,$T421)-4)),N(INDEX('Market Data'!$AH$5:$AH$66,INDEX('Market Data'!$J$5:$J$528,$T421)-4))&gt;0),INDEX('Market Data'!$AH$5:$AH$66,INDEX('Market Data'!$J$5:$J$528,$T421)-4),IF(AND($M$5&lt;&gt;"Bloomberg",ISNUMBER(INDEX('Market Data'!$AC$5:$AC$66,INDEX('Market Data'!$J$5:$J$528,$T421)-4)),N(INDEX('Market Data'!$AC$5:$AC$66,INDEX('Market Data'!$J$5:$J$528,$T421)-4))&gt;0),INDEX('Market Data'!$AC$5:$AC$66,INDEX('Market Data'!$J$5:$J$528,$T421)-4),"unavailable"))))</f>
        <v/>
      </c>
      <c r="M421" s="11">
        <f>IF($T421=0,"",IF(INDEX('Market Data'!$J$5:$J$528,$T421)=0,"n/a",IF(IF(INDEX('Market Data'!$J$5:$J$528,$T421)=0,0,IF(LEFT(INDEX('Market Data'!$AS$5:$AS$66,INDEX('Market Data'!$J$5:$J$528,$T421)-4),11)="First-month",1,0))=1,"class review",IF($I421="Bloomberg",IF(AND(ISNUMBER(INDEX('Market Data'!$AH$5:$AH$66,INDEX('Market Data'!$J$5:$J$528,$T421)-4)),N(INDEX('Market Data'!$AH$5:$AH$66,INDEX('Market Data'!$J$5:$J$528,$T421)-4))&gt;0,ISNUMBER('Market Data'!$B$1),N('Market Data'!$B$1)&gt;0),INDEX('Market Data'!$AH$5:$AH$66,INDEX('Market Data'!$J$5:$J$528,$T421)-4)*'Market Data'!$B$1/$E421-1,"pending A/FX"),IF(AND($I421="Snapshot",$Q421="Snapshot",ISNUMBER($E421),$G421=INDEX('Market Data'!$AE$5:$AE$66,INDEX('Market Data'!$J$5:$J$528,$T421)-4)),IFERROR(INDEX('Market Data'!$AC$5:$AC$66,INDEX('Market Data'!$J$5:$J$528,$T421)-4)*INDEX('Market Data'!$AD$5:$AD$66,INDEX('Market Data'!$J$5:$J$528,$T421)-4)/$E421-1,"unavailable"),IF($I421="Unavailable","unavailable","date mismatch"))))))</f>
        <v/>
      </c>
      <c r="N421" s="11">
        <f>IF($T421=0,"",IFERROR(IF(AND(N(INDEX('Market Data'!$F$5:$F$528,$T421))&gt;0,ISNUMBER(INDEX('Market Data'!$T$5:$T$528,$T421))),$E421*INDEX('Market Data'!$T$5:$T$528,$T421)/INDEX('Market Data'!$F$5:$F$528,$T421)-1,"unavailable"),"unavailable"))</f>
        <v/>
      </c>
      <c r="O421" s="9">
        <f>IF($T421=0,"",IF(IF(INDEX('Market Data'!$J$5:$J$528,$T421)=0,0,IF(LEFT(INDEX('Market Data'!$AS$5:$AS$66,INDEX('Market Data'!$J$5:$J$528,$T421)-4),11)="First-month",1,0))=1,"Class ratio review",IF($I421="Bloomberg",IF(ISNUMBER($G421),IF($G421&lt;TODAY(),"Older quote","See quote time"),"Date unavailable"),IF($I421="Snapshot",IF($G421&lt;DATEVALUE("2026-10-02"),"Older snapshot","Dated close"),"No valid quote"))))</f>
        <v/>
      </c>
      <c r="P421" s="14">
        <f>IF($T421=0,"",IF(INDEX('Market Data'!$J$5:$J$528,$T421)=0,"n/a",IF($Q421="Bloomberg",IF(AND(ISNUMBER(INDEX('Market Data'!$AK$5:$AK$66,INDEX('Market Data'!$J$5:$J$528,$T421)-4)),N(INDEX('Market Data'!$AK$5:$AK$66,INDEX('Market Data'!$J$5:$J$528,$T421)-4))&gt;0),INDEX('Market Data'!$AK$5:$AK$66,INDEX('Market Data'!$J$5:$J$528,$T421)-4),"date unavailable"),IF($Q421="Snapshot",IF(AND(ISNUMBER(INDEX('Market Data'!$AF$5:$AF$66,INDEX('Market Data'!$J$5:$J$528,$T421)-4)),N(INDEX('Market Data'!$AF$5:$AF$66,INDEX('Market Data'!$J$5:$J$528,$T421)-4))&gt;0),INDEX('Market Data'!$AF$5:$AF$66,INDEX('Market Data'!$J$5:$J$528,$T421)-4),"date unavailable"),"date unavailable"))))</f>
        <v/>
      </c>
      <c r="Q421" s="15">
        <f>IF($T421=0,"",IF(INDEX('Market Data'!$J$5:$J$528,$T421)=0,"n/a",IF(AND($M$5&lt;&gt;"Snapshot",ISNUMBER(INDEX('Market Data'!$AH$5:$AH$66,INDEX('Market Data'!$J$5:$J$528,$T421)-4)),N(INDEX('Market Data'!$AH$5:$AH$66,INDEX('Market Data'!$J$5:$J$528,$T421)-4))&gt;0),"Bloomberg",IF(AND($M$5&lt;&gt;"Bloomberg",ISNUMBER(INDEX('Market Data'!$AC$5:$AC$66,INDEX('Market Data'!$J$5:$J$528,$T421)-4)),N(INDEX('Market Data'!$AC$5:$AC$66,INDEX('Market Data'!$J$5:$J$528,$T421)-4))&gt;0),"Snapshot","Unavailable"))))</f>
        <v/>
      </c>
      <c r="T421">
        <f>IFERROR(MATCH(413,'Market Data'!$S$5:$S$528,0),0)</f>
        <v/>
      </c>
    </row>
    <row r="422" ht="34" customHeight="1">
      <c r="A422" s="8">
        <f>IF($T422=0,"",IF(INDEX('Market Data'!$A$5:$A$528,$T422)="","",INDEX('Market Data'!$A$5:$A$528,$T422)))</f>
        <v/>
      </c>
      <c r="B422" s="9">
        <f>IF($T422=0,"",IF(INDEX('Market Data'!$B$5:$B$528,$T422)="","",INDEX('Market Data'!$B$5:$B$528,$T422)))</f>
        <v/>
      </c>
      <c r="C422" s="9">
        <f>IF($T422=0,"",IF(INDEX('Market Data'!$C$5:$C$528,$T422)="","",INDEX('Market Data'!$C$5:$C$528,$T422)))</f>
        <v/>
      </c>
      <c r="D422" s="9">
        <f>IF($T422=0,"",IF(INDEX('Market Data'!$D$5:$D$528,$T422)="","",INDEX('Market Data'!$D$5:$D$528,$T422)))</f>
        <v/>
      </c>
      <c r="E422" s="10">
        <f>IF($T422=0,"",INDEX('Market Data'!$O$5:$O$528,$T422))</f>
        <v/>
      </c>
      <c r="F422" s="11">
        <f>IF($T422=0,"",IF(AND($I422="Bloomberg",ISNUMBER(INDEX('Market Data'!$L$5:$L$528,$T422))),INDEX('Market Data'!$L$5:$L$528,$T422),"unavailable"))</f>
        <v/>
      </c>
      <c r="G422" s="12">
        <f>IF($T422=0,"",IF($I422="Bloomberg",IF(AND(ISNUMBER(INDEX('Market Data'!$M$5:$M$528,$T422)),N(INDEX('Market Data'!$M$5:$M$528,$T422))&gt;0),INDEX('Market Data'!$M$5:$M$528,$T422),"date unavailable"),IF($I422="Snapshot",IF(AND(ISNUMBER(INDEX('Market Data'!$H$5:$H$528,$T422)),N(INDEX('Market Data'!$H$5:$H$528,$T422))&gt;0),INDEX('Market Data'!$H$5:$H$528,$T422),"date unavailable"),"date unavailable")))</f>
        <v/>
      </c>
      <c r="H422" s="9">
        <f>IF($T422=0,"",IF($I422="Bloomberg",IF(INDEX('Market Data'!$N$5:$N$528,$T422)="","time unavailable",INDEX('Market Data'!$N$5:$N$528,$T422)),""))</f>
        <v/>
      </c>
      <c r="I422" s="9">
        <f>IF($T422=0,"",INDEX('Market Data'!$P$5:$P$528,$T422))</f>
        <v/>
      </c>
      <c r="J422" s="13">
        <f>IF($T422=0,"",IF(INDEX('Market Data'!$E$5:$E$528,$T422)="","",INDEX('Market Data'!$E$5:$E$528,$T422)))</f>
        <v/>
      </c>
      <c r="K422" s="8">
        <f>IF($T422=0,"",IF(INDEX('Market Data'!$I$5:$I$528,$T422)="","",INDEX('Market Data'!$I$5:$I$528,$T422)))</f>
        <v/>
      </c>
      <c r="L422" s="10">
        <f>IF($T422=0,"",IF(INDEX('Market Data'!$J$5:$J$528,$T422)=0,"n/a",IF(AND($M$5&lt;&gt;"Snapshot",ISNUMBER(INDEX('Market Data'!$AH$5:$AH$66,INDEX('Market Data'!$J$5:$J$528,$T422)-4)),N(INDEX('Market Data'!$AH$5:$AH$66,INDEX('Market Data'!$J$5:$J$528,$T422)-4))&gt;0),INDEX('Market Data'!$AH$5:$AH$66,INDEX('Market Data'!$J$5:$J$528,$T422)-4),IF(AND($M$5&lt;&gt;"Bloomberg",ISNUMBER(INDEX('Market Data'!$AC$5:$AC$66,INDEX('Market Data'!$J$5:$J$528,$T422)-4)),N(INDEX('Market Data'!$AC$5:$AC$66,INDEX('Market Data'!$J$5:$J$528,$T422)-4))&gt;0),INDEX('Market Data'!$AC$5:$AC$66,INDEX('Market Data'!$J$5:$J$528,$T422)-4),"unavailable"))))</f>
        <v/>
      </c>
      <c r="M422" s="11">
        <f>IF($T422=0,"",IF(INDEX('Market Data'!$J$5:$J$528,$T422)=0,"n/a",IF(IF(INDEX('Market Data'!$J$5:$J$528,$T422)=0,0,IF(LEFT(INDEX('Market Data'!$AS$5:$AS$66,INDEX('Market Data'!$J$5:$J$528,$T422)-4),11)="First-month",1,0))=1,"class review",IF($I422="Bloomberg",IF(AND(ISNUMBER(INDEX('Market Data'!$AH$5:$AH$66,INDEX('Market Data'!$J$5:$J$528,$T422)-4)),N(INDEX('Market Data'!$AH$5:$AH$66,INDEX('Market Data'!$J$5:$J$528,$T422)-4))&gt;0,ISNUMBER('Market Data'!$B$1),N('Market Data'!$B$1)&gt;0),INDEX('Market Data'!$AH$5:$AH$66,INDEX('Market Data'!$J$5:$J$528,$T422)-4)*'Market Data'!$B$1/$E422-1,"pending A/FX"),IF(AND($I422="Snapshot",$Q422="Snapshot",ISNUMBER($E422),$G422=INDEX('Market Data'!$AE$5:$AE$66,INDEX('Market Data'!$J$5:$J$528,$T422)-4)),IFERROR(INDEX('Market Data'!$AC$5:$AC$66,INDEX('Market Data'!$J$5:$J$528,$T422)-4)*INDEX('Market Data'!$AD$5:$AD$66,INDEX('Market Data'!$J$5:$J$528,$T422)-4)/$E422-1,"unavailable"),IF($I422="Unavailable","unavailable","date mismatch"))))))</f>
        <v/>
      </c>
      <c r="N422" s="11">
        <f>IF($T422=0,"",IFERROR(IF(AND(N(INDEX('Market Data'!$F$5:$F$528,$T422))&gt;0,ISNUMBER(INDEX('Market Data'!$T$5:$T$528,$T422))),$E422*INDEX('Market Data'!$T$5:$T$528,$T422)/INDEX('Market Data'!$F$5:$F$528,$T422)-1,"unavailable"),"unavailable"))</f>
        <v/>
      </c>
      <c r="O422" s="9">
        <f>IF($T422=0,"",IF(IF(INDEX('Market Data'!$J$5:$J$528,$T422)=0,0,IF(LEFT(INDEX('Market Data'!$AS$5:$AS$66,INDEX('Market Data'!$J$5:$J$528,$T422)-4),11)="First-month",1,0))=1,"Class ratio review",IF($I422="Bloomberg",IF(ISNUMBER($G422),IF($G422&lt;TODAY(),"Older quote","See quote time"),"Date unavailable"),IF($I422="Snapshot",IF($G422&lt;DATEVALUE("2026-10-02"),"Older snapshot","Dated close"),"No valid quote"))))</f>
        <v/>
      </c>
      <c r="P422" s="14">
        <f>IF($T422=0,"",IF(INDEX('Market Data'!$J$5:$J$528,$T422)=0,"n/a",IF($Q422="Bloomberg",IF(AND(ISNUMBER(INDEX('Market Data'!$AK$5:$AK$66,INDEX('Market Data'!$J$5:$J$528,$T422)-4)),N(INDEX('Market Data'!$AK$5:$AK$66,INDEX('Market Data'!$J$5:$J$528,$T422)-4))&gt;0),INDEX('Market Data'!$AK$5:$AK$66,INDEX('Market Data'!$J$5:$J$528,$T422)-4),"date unavailable"),IF($Q422="Snapshot",IF(AND(ISNUMBER(INDEX('Market Data'!$AF$5:$AF$66,INDEX('Market Data'!$J$5:$J$528,$T422)-4)),N(INDEX('Market Data'!$AF$5:$AF$66,INDEX('Market Data'!$J$5:$J$528,$T422)-4))&gt;0),INDEX('Market Data'!$AF$5:$AF$66,INDEX('Market Data'!$J$5:$J$528,$T422)-4),"date unavailable"),"date unavailable"))))</f>
        <v/>
      </c>
      <c r="Q422" s="15">
        <f>IF($T422=0,"",IF(INDEX('Market Data'!$J$5:$J$528,$T422)=0,"n/a",IF(AND($M$5&lt;&gt;"Snapshot",ISNUMBER(INDEX('Market Data'!$AH$5:$AH$66,INDEX('Market Data'!$J$5:$J$528,$T422)-4)),N(INDEX('Market Data'!$AH$5:$AH$66,INDEX('Market Data'!$J$5:$J$528,$T422)-4))&gt;0),"Bloomberg",IF(AND($M$5&lt;&gt;"Bloomberg",ISNUMBER(INDEX('Market Data'!$AC$5:$AC$66,INDEX('Market Data'!$J$5:$J$528,$T422)-4)),N(INDEX('Market Data'!$AC$5:$AC$66,INDEX('Market Data'!$J$5:$J$528,$T422)-4))&gt;0),"Snapshot","Unavailable"))))</f>
        <v/>
      </c>
      <c r="T422">
        <f>IFERROR(MATCH(414,'Market Data'!$S$5:$S$528,0),0)</f>
        <v/>
      </c>
    </row>
    <row r="423" ht="34" customHeight="1">
      <c r="A423" s="8">
        <f>IF($T423=0,"",IF(INDEX('Market Data'!$A$5:$A$528,$T423)="","",INDEX('Market Data'!$A$5:$A$528,$T423)))</f>
        <v/>
      </c>
      <c r="B423" s="9">
        <f>IF($T423=0,"",IF(INDEX('Market Data'!$B$5:$B$528,$T423)="","",INDEX('Market Data'!$B$5:$B$528,$T423)))</f>
        <v/>
      </c>
      <c r="C423" s="9">
        <f>IF($T423=0,"",IF(INDEX('Market Data'!$C$5:$C$528,$T423)="","",INDEX('Market Data'!$C$5:$C$528,$T423)))</f>
        <v/>
      </c>
      <c r="D423" s="9">
        <f>IF($T423=0,"",IF(INDEX('Market Data'!$D$5:$D$528,$T423)="","",INDEX('Market Data'!$D$5:$D$528,$T423)))</f>
        <v/>
      </c>
      <c r="E423" s="10">
        <f>IF($T423=0,"",INDEX('Market Data'!$O$5:$O$528,$T423))</f>
        <v/>
      </c>
      <c r="F423" s="11">
        <f>IF($T423=0,"",IF(AND($I423="Bloomberg",ISNUMBER(INDEX('Market Data'!$L$5:$L$528,$T423))),INDEX('Market Data'!$L$5:$L$528,$T423),"unavailable"))</f>
        <v/>
      </c>
      <c r="G423" s="12">
        <f>IF($T423=0,"",IF($I423="Bloomberg",IF(AND(ISNUMBER(INDEX('Market Data'!$M$5:$M$528,$T423)),N(INDEX('Market Data'!$M$5:$M$528,$T423))&gt;0),INDEX('Market Data'!$M$5:$M$528,$T423),"date unavailable"),IF($I423="Snapshot",IF(AND(ISNUMBER(INDEX('Market Data'!$H$5:$H$528,$T423)),N(INDEX('Market Data'!$H$5:$H$528,$T423))&gt;0),INDEX('Market Data'!$H$5:$H$528,$T423),"date unavailable"),"date unavailable")))</f>
        <v/>
      </c>
      <c r="H423" s="9">
        <f>IF($T423=0,"",IF($I423="Bloomberg",IF(INDEX('Market Data'!$N$5:$N$528,$T423)="","time unavailable",INDEX('Market Data'!$N$5:$N$528,$T423)),""))</f>
        <v/>
      </c>
      <c r="I423" s="9">
        <f>IF($T423=0,"",INDEX('Market Data'!$P$5:$P$528,$T423))</f>
        <v/>
      </c>
      <c r="J423" s="13">
        <f>IF($T423=0,"",IF(INDEX('Market Data'!$E$5:$E$528,$T423)="","",INDEX('Market Data'!$E$5:$E$528,$T423)))</f>
        <v/>
      </c>
      <c r="K423" s="8">
        <f>IF($T423=0,"",IF(INDEX('Market Data'!$I$5:$I$528,$T423)="","",INDEX('Market Data'!$I$5:$I$528,$T423)))</f>
        <v/>
      </c>
      <c r="L423" s="10">
        <f>IF($T423=0,"",IF(INDEX('Market Data'!$J$5:$J$528,$T423)=0,"n/a",IF(AND($M$5&lt;&gt;"Snapshot",ISNUMBER(INDEX('Market Data'!$AH$5:$AH$66,INDEX('Market Data'!$J$5:$J$528,$T423)-4)),N(INDEX('Market Data'!$AH$5:$AH$66,INDEX('Market Data'!$J$5:$J$528,$T423)-4))&gt;0),INDEX('Market Data'!$AH$5:$AH$66,INDEX('Market Data'!$J$5:$J$528,$T423)-4),IF(AND($M$5&lt;&gt;"Bloomberg",ISNUMBER(INDEX('Market Data'!$AC$5:$AC$66,INDEX('Market Data'!$J$5:$J$528,$T423)-4)),N(INDEX('Market Data'!$AC$5:$AC$66,INDEX('Market Data'!$J$5:$J$528,$T423)-4))&gt;0),INDEX('Market Data'!$AC$5:$AC$66,INDEX('Market Data'!$J$5:$J$528,$T423)-4),"unavailable"))))</f>
        <v/>
      </c>
      <c r="M423" s="11">
        <f>IF($T423=0,"",IF(INDEX('Market Data'!$J$5:$J$528,$T423)=0,"n/a",IF(IF(INDEX('Market Data'!$J$5:$J$528,$T423)=0,0,IF(LEFT(INDEX('Market Data'!$AS$5:$AS$66,INDEX('Market Data'!$J$5:$J$528,$T423)-4),11)="First-month",1,0))=1,"class review",IF($I423="Bloomberg",IF(AND(ISNUMBER(INDEX('Market Data'!$AH$5:$AH$66,INDEX('Market Data'!$J$5:$J$528,$T423)-4)),N(INDEX('Market Data'!$AH$5:$AH$66,INDEX('Market Data'!$J$5:$J$528,$T423)-4))&gt;0,ISNUMBER('Market Data'!$B$1),N('Market Data'!$B$1)&gt;0),INDEX('Market Data'!$AH$5:$AH$66,INDEX('Market Data'!$J$5:$J$528,$T423)-4)*'Market Data'!$B$1/$E423-1,"pending A/FX"),IF(AND($I423="Snapshot",$Q423="Snapshot",ISNUMBER($E423),$G423=INDEX('Market Data'!$AE$5:$AE$66,INDEX('Market Data'!$J$5:$J$528,$T423)-4)),IFERROR(INDEX('Market Data'!$AC$5:$AC$66,INDEX('Market Data'!$J$5:$J$528,$T423)-4)*INDEX('Market Data'!$AD$5:$AD$66,INDEX('Market Data'!$J$5:$J$528,$T423)-4)/$E423-1,"unavailable"),IF($I423="Unavailable","unavailable","date mismatch"))))))</f>
        <v/>
      </c>
      <c r="N423" s="11">
        <f>IF($T423=0,"",IFERROR(IF(AND(N(INDEX('Market Data'!$F$5:$F$528,$T423))&gt;0,ISNUMBER(INDEX('Market Data'!$T$5:$T$528,$T423))),$E423*INDEX('Market Data'!$T$5:$T$528,$T423)/INDEX('Market Data'!$F$5:$F$528,$T423)-1,"unavailable"),"unavailable"))</f>
        <v/>
      </c>
      <c r="O423" s="9">
        <f>IF($T423=0,"",IF(IF(INDEX('Market Data'!$J$5:$J$528,$T423)=0,0,IF(LEFT(INDEX('Market Data'!$AS$5:$AS$66,INDEX('Market Data'!$J$5:$J$528,$T423)-4),11)="First-month",1,0))=1,"Class ratio review",IF($I423="Bloomberg",IF(ISNUMBER($G423),IF($G423&lt;TODAY(),"Older quote","See quote time"),"Date unavailable"),IF($I423="Snapshot",IF($G423&lt;DATEVALUE("2026-10-02"),"Older snapshot","Dated close"),"No valid quote"))))</f>
        <v/>
      </c>
      <c r="P423" s="14">
        <f>IF($T423=0,"",IF(INDEX('Market Data'!$J$5:$J$528,$T423)=0,"n/a",IF($Q423="Bloomberg",IF(AND(ISNUMBER(INDEX('Market Data'!$AK$5:$AK$66,INDEX('Market Data'!$J$5:$J$528,$T423)-4)),N(INDEX('Market Data'!$AK$5:$AK$66,INDEX('Market Data'!$J$5:$J$528,$T423)-4))&gt;0),INDEX('Market Data'!$AK$5:$AK$66,INDEX('Market Data'!$J$5:$J$528,$T423)-4),"date unavailable"),IF($Q423="Snapshot",IF(AND(ISNUMBER(INDEX('Market Data'!$AF$5:$AF$66,INDEX('Market Data'!$J$5:$J$528,$T423)-4)),N(INDEX('Market Data'!$AF$5:$AF$66,INDEX('Market Data'!$J$5:$J$528,$T423)-4))&gt;0),INDEX('Market Data'!$AF$5:$AF$66,INDEX('Market Data'!$J$5:$J$528,$T423)-4),"date unavailable"),"date unavailable"))))</f>
        <v/>
      </c>
      <c r="Q423" s="15">
        <f>IF($T423=0,"",IF(INDEX('Market Data'!$J$5:$J$528,$T423)=0,"n/a",IF(AND($M$5&lt;&gt;"Snapshot",ISNUMBER(INDEX('Market Data'!$AH$5:$AH$66,INDEX('Market Data'!$J$5:$J$528,$T423)-4)),N(INDEX('Market Data'!$AH$5:$AH$66,INDEX('Market Data'!$J$5:$J$528,$T423)-4))&gt;0),"Bloomberg",IF(AND($M$5&lt;&gt;"Bloomberg",ISNUMBER(INDEX('Market Data'!$AC$5:$AC$66,INDEX('Market Data'!$J$5:$J$528,$T423)-4)),N(INDEX('Market Data'!$AC$5:$AC$66,INDEX('Market Data'!$J$5:$J$528,$T423)-4))&gt;0),"Snapshot","Unavailable"))))</f>
        <v/>
      </c>
      <c r="T423">
        <f>IFERROR(MATCH(415,'Market Data'!$S$5:$S$528,0),0)</f>
        <v/>
      </c>
    </row>
    <row r="424" ht="34" customHeight="1">
      <c r="A424" s="8">
        <f>IF($T424=0,"",IF(INDEX('Market Data'!$A$5:$A$528,$T424)="","",INDEX('Market Data'!$A$5:$A$528,$T424)))</f>
        <v/>
      </c>
      <c r="B424" s="9">
        <f>IF($T424=0,"",IF(INDEX('Market Data'!$B$5:$B$528,$T424)="","",INDEX('Market Data'!$B$5:$B$528,$T424)))</f>
        <v/>
      </c>
      <c r="C424" s="9">
        <f>IF($T424=0,"",IF(INDEX('Market Data'!$C$5:$C$528,$T424)="","",INDEX('Market Data'!$C$5:$C$528,$T424)))</f>
        <v/>
      </c>
      <c r="D424" s="9">
        <f>IF($T424=0,"",IF(INDEX('Market Data'!$D$5:$D$528,$T424)="","",INDEX('Market Data'!$D$5:$D$528,$T424)))</f>
        <v/>
      </c>
      <c r="E424" s="10">
        <f>IF($T424=0,"",INDEX('Market Data'!$O$5:$O$528,$T424))</f>
        <v/>
      </c>
      <c r="F424" s="11">
        <f>IF($T424=0,"",IF(AND($I424="Bloomberg",ISNUMBER(INDEX('Market Data'!$L$5:$L$528,$T424))),INDEX('Market Data'!$L$5:$L$528,$T424),"unavailable"))</f>
        <v/>
      </c>
      <c r="G424" s="12">
        <f>IF($T424=0,"",IF($I424="Bloomberg",IF(AND(ISNUMBER(INDEX('Market Data'!$M$5:$M$528,$T424)),N(INDEX('Market Data'!$M$5:$M$528,$T424))&gt;0),INDEX('Market Data'!$M$5:$M$528,$T424),"date unavailable"),IF($I424="Snapshot",IF(AND(ISNUMBER(INDEX('Market Data'!$H$5:$H$528,$T424)),N(INDEX('Market Data'!$H$5:$H$528,$T424))&gt;0),INDEX('Market Data'!$H$5:$H$528,$T424),"date unavailable"),"date unavailable")))</f>
        <v/>
      </c>
      <c r="H424" s="9">
        <f>IF($T424=0,"",IF($I424="Bloomberg",IF(INDEX('Market Data'!$N$5:$N$528,$T424)="","time unavailable",INDEX('Market Data'!$N$5:$N$528,$T424)),""))</f>
        <v/>
      </c>
      <c r="I424" s="9">
        <f>IF($T424=0,"",INDEX('Market Data'!$P$5:$P$528,$T424))</f>
        <v/>
      </c>
      <c r="J424" s="13">
        <f>IF($T424=0,"",IF(INDEX('Market Data'!$E$5:$E$528,$T424)="","",INDEX('Market Data'!$E$5:$E$528,$T424)))</f>
        <v/>
      </c>
      <c r="K424" s="8">
        <f>IF($T424=0,"",IF(INDEX('Market Data'!$I$5:$I$528,$T424)="","",INDEX('Market Data'!$I$5:$I$528,$T424)))</f>
        <v/>
      </c>
      <c r="L424" s="10">
        <f>IF($T424=0,"",IF(INDEX('Market Data'!$J$5:$J$528,$T424)=0,"n/a",IF(AND($M$5&lt;&gt;"Snapshot",ISNUMBER(INDEX('Market Data'!$AH$5:$AH$66,INDEX('Market Data'!$J$5:$J$528,$T424)-4)),N(INDEX('Market Data'!$AH$5:$AH$66,INDEX('Market Data'!$J$5:$J$528,$T424)-4))&gt;0),INDEX('Market Data'!$AH$5:$AH$66,INDEX('Market Data'!$J$5:$J$528,$T424)-4),IF(AND($M$5&lt;&gt;"Bloomberg",ISNUMBER(INDEX('Market Data'!$AC$5:$AC$66,INDEX('Market Data'!$J$5:$J$528,$T424)-4)),N(INDEX('Market Data'!$AC$5:$AC$66,INDEX('Market Data'!$J$5:$J$528,$T424)-4))&gt;0),INDEX('Market Data'!$AC$5:$AC$66,INDEX('Market Data'!$J$5:$J$528,$T424)-4),"unavailable"))))</f>
        <v/>
      </c>
      <c r="M424" s="11">
        <f>IF($T424=0,"",IF(INDEX('Market Data'!$J$5:$J$528,$T424)=0,"n/a",IF(IF(INDEX('Market Data'!$J$5:$J$528,$T424)=0,0,IF(LEFT(INDEX('Market Data'!$AS$5:$AS$66,INDEX('Market Data'!$J$5:$J$528,$T424)-4),11)="First-month",1,0))=1,"class review",IF($I424="Bloomberg",IF(AND(ISNUMBER(INDEX('Market Data'!$AH$5:$AH$66,INDEX('Market Data'!$J$5:$J$528,$T424)-4)),N(INDEX('Market Data'!$AH$5:$AH$66,INDEX('Market Data'!$J$5:$J$528,$T424)-4))&gt;0,ISNUMBER('Market Data'!$B$1),N('Market Data'!$B$1)&gt;0),INDEX('Market Data'!$AH$5:$AH$66,INDEX('Market Data'!$J$5:$J$528,$T424)-4)*'Market Data'!$B$1/$E424-1,"pending A/FX"),IF(AND($I424="Snapshot",$Q424="Snapshot",ISNUMBER($E424),$G424=INDEX('Market Data'!$AE$5:$AE$66,INDEX('Market Data'!$J$5:$J$528,$T424)-4)),IFERROR(INDEX('Market Data'!$AC$5:$AC$66,INDEX('Market Data'!$J$5:$J$528,$T424)-4)*INDEX('Market Data'!$AD$5:$AD$66,INDEX('Market Data'!$J$5:$J$528,$T424)-4)/$E424-1,"unavailable"),IF($I424="Unavailable","unavailable","date mismatch"))))))</f>
        <v/>
      </c>
      <c r="N424" s="11">
        <f>IF($T424=0,"",IFERROR(IF(AND(N(INDEX('Market Data'!$F$5:$F$528,$T424))&gt;0,ISNUMBER(INDEX('Market Data'!$T$5:$T$528,$T424))),$E424*INDEX('Market Data'!$T$5:$T$528,$T424)/INDEX('Market Data'!$F$5:$F$528,$T424)-1,"unavailable"),"unavailable"))</f>
        <v/>
      </c>
      <c r="O424" s="9">
        <f>IF($T424=0,"",IF(IF(INDEX('Market Data'!$J$5:$J$528,$T424)=0,0,IF(LEFT(INDEX('Market Data'!$AS$5:$AS$66,INDEX('Market Data'!$J$5:$J$528,$T424)-4),11)="First-month",1,0))=1,"Class ratio review",IF($I424="Bloomberg",IF(ISNUMBER($G424),IF($G424&lt;TODAY(),"Older quote","See quote time"),"Date unavailable"),IF($I424="Snapshot",IF($G424&lt;DATEVALUE("2026-10-02"),"Older snapshot","Dated close"),"No valid quote"))))</f>
        <v/>
      </c>
      <c r="P424" s="14">
        <f>IF($T424=0,"",IF(INDEX('Market Data'!$J$5:$J$528,$T424)=0,"n/a",IF($Q424="Bloomberg",IF(AND(ISNUMBER(INDEX('Market Data'!$AK$5:$AK$66,INDEX('Market Data'!$J$5:$J$528,$T424)-4)),N(INDEX('Market Data'!$AK$5:$AK$66,INDEX('Market Data'!$J$5:$J$528,$T424)-4))&gt;0),INDEX('Market Data'!$AK$5:$AK$66,INDEX('Market Data'!$J$5:$J$528,$T424)-4),"date unavailable"),IF($Q424="Snapshot",IF(AND(ISNUMBER(INDEX('Market Data'!$AF$5:$AF$66,INDEX('Market Data'!$J$5:$J$528,$T424)-4)),N(INDEX('Market Data'!$AF$5:$AF$66,INDEX('Market Data'!$J$5:$J$528,$T424)-4))&gt;0),INDEX('Market Data'!$AF$5:$AF$66,INDEX('Market Data'!$J$5:$J$528,$T424)-4),"date unavailable"),"date unavailable"))))</f>
        <v/>
      </c>
      <c r="Q424" s="15">
        <f>IF($T424=0,"",IF(INDEX('Market Data'!$J$5:$J$528,$T424)=0,"n/a",IF(AND($M$5&lt;&gt;"Snapshot",ISNUMBER(INDEX('Market Data'!$AH$5:$AH$66,INDEX('Market Data'!$J$5:$J$528,$T424)-4)),N(INDEX('Market Data'!$AH$5:$AH$66,INDEX('Market Data'!$J$5:$J$528,$T424)-4))&gt;0),"Bloomberg",IF(AND($M$5&lt;&gt;"Bloomberg",ISNUMBER(INDEX('Market Data'!$AC$5:$AC$66,INDEX('Market Data'!$J$5:$J$528,$T424)-4)),N(INDEX('Market Data'!$AC$5:$AC$66,INDEX('Market Data'!$J$5:$J$528,$T424)-4))&gt;0),"Snapshot","Unavailable"))))</f>
        <v/>
      </c>
      <c r="T424">
        <f>IFERROR(MATCH(416,'Market Data'!$S$5:$S$528,0),0)</f>
        <v/>
      </c>
    </row>
    <row r="425" ht="34" customHeight="1">
      <c r="A425" s="8">
        <f>IF($T425=0,"",IF(INDEX('Market Data'!$A$5:$A$528,$T425)="","",INDEX('Market Data'!$A$5:$A$528,$T425)))</f>
        <v/>
      </c>
      <c r="B425" s="9">
        <f>IF($T425=0,"",IF(INDEX('Market Data'!$B$5:$B$528,$T425)="","",INDEX('Market Data'!$B$5:$B$528,$T425)))</f>
        <v/>
      </c>
      <c r="C425" s="9">
        <f>IF($T425=0,"",IF(INDEX('Market Data'!$C$5:$C$528,$T425)="","",INDEX('Market Data'!$C$5:$C$528,$T425)))</f>
        <v/>
      </c>
      <c r="D425" s="9">
        <f>IF($T425=0,"",IF(INDEX('Market Data'!$D$5:$D$528,$T425)="","",INDEX('Market Data'!$D$5:$D$528,$T425)))</f>
        <v/>
      </c>
      <c r="E425" s="10">
        <f>IF($T425=0,"",INDEX('Market Data'!$O$5:$O$528,$T425))</f>
        <v/>
      </c>
      <c r="F425" s="11">
        <f>IF($T425=0,"",IF(AND($I425="Bloomberg",ISNUMBER(INDEX('Market Data'!$L$5:$L$528,$T425))),INDEX('Market Data'!$L$5:$L$528,$T425),"unavailable"))</f>
        <v/>
      </c>
      <c r="G425" s="12">
        <f>IF($T425=0,"",IF($I425="Bloomberg",IF(AND(ISNUMBER(INDEX('Market Data'!$M$5:$M$528,$T425)),N(INDEX('Market Data'!$M$5:$M$528,$T425))&gt;0),INDEX('Market Data'!$M$5:$M$528,$T425),"date unavailable"),IF($I425="Snapshot",IF(AND(ISNUMBER(INDEX('Market Data'!$H$5:$H$528,$T425)),N(INDEX('Market Data'!$H$5:$H$528,$T425))&gt;0),INDEX('Market Data'!$H$5:$H$528,$T425),"date unavailable"),"date unavailable")))</f>
        <v/>
      </c>
      <c r="H425" s="9">
        <f>IF($T425=0,"",IF($I425="Bloomberg",IF(INDEX('Market Data'!$N$5:$N$528,$T425)="","time unavailable",INDEX('Market Data'!$N$5:$N$528,$T425)),""))</f>
        <v/>
      </c>
      <c r="I425" s="9">
        <f>IF($T425=0,"",INDEX('Market Data'!$P$5:$P$528,$T425))</f>
        <v/>
      </c>
      <c r="J425" s="13">
        <f>IF($T425=0,"",IF(INDEX('Market Data'!$E$5:$E$528,$T425)="","",INDEX('Market Data'!$E$5:$E$528,$T425)))</f>
        <v/>
      </c>
      <c r="K425" s="8">
        <f>IF($T425=0,"",IF(INDEX('Market Data'!$I$5:$I$528,$T425)="","",INDEX('Market Data'!$I$5:$I$528,$T425)))</f>
        <v/>
      </c>
      <c r="L425" s="10">
        <f>IF($T425=0,"",IF(INDEX('Market Data'!$J$5:$J$528,$T425)=0,"n/a",IF(AND($M$5&lt;&gt;"Snapshot",ISNUMBER(INDEX('Market Data'!$AH$5:$AH$66,INDEX('Market Data'!$J$5:$J$528,$T425)-4)),N(INDEX('Market Data'!$AH$5:$AH$66,INDEX('Market Data'!$J$5:$J$528,$T425)-4))&gt;0),INDEX('Market Data'!$AH$5:$AH$66,INDEX('Market Data'!$J$5:$J$528,$T425)-4),IF(AND($M$5&lt;&gt;"Bloomberg",ISNUMBER(INDEX('Market Data'!$AC$5:$AC$66,INDEX('Market Data'!$J$5:$J$528,$T425)-4)),N(INDEX('Market Data'!$AC$5:$AC$66,INDEX('Market Data'!$J$5:$J$528,$T425)-4))&gt;0),INDEX('Market Data'!$AC$5:$AC$66,INDEX('Market Data'!$J$5:$J$528,$T425)-4),"unavailable"))))</f>
        <v/>
      </c>
      <c r="M425" s="11">
        <f>IF($T425=0,"",IF(INDEX('Market Data'!$J$5:$J$528,$T425)=0,"n/a",IF(IF(INDEX('Market Data'!$J$5:$J$528,$T425)=0,0,IF(LEFT(INDEX('Market Data'!$AS$5:$AS$66,INDEX('Market Data'!$J$5:$J$528,$T425)-4),11)="First-month",1,0))=1,"class review",IF($I425="Bloomberg",IF(AND(ISNUMBER(INDEX('Market Data'!$AH$5:$AH$66,INDEX('Market Data'!$J$5:$J$528,$T425)-4)),N(INDEX('Market Data'!$AH$5:$AH$66,INDEX('Market Data'!$J$5:$J$528,$T425)-4))&gt;0,ISNUMBER('Market Data'!$B$1),N('Market Data'!$B$1)&gt;0),INDEX('Market Data'!$AH$5:$AH$66,INDEX('Market Data'!$J$5:$J$528,$T425)-4)*'Market Data'!$B$1/$E425-1,"pending A/FX"),IF(AND($I425="Snapshot",$Q425="Snapshot",ISNUMBER($E425),$G425=INDEX('Market Data'!$AE$5:$AE$66,INDEX('Market Data'!$J$5:$J$528,$T425)-4)),IFERROR(INDEX('Market Data'!$AC$5:$AC$66,INDEX('Market Data'!$J$5:$J$528,$T425)-4)*INDEX('Market Data'!$AD$5:$AD$66,INDEX('Market Data'!$J$5:$J$528,$T425)-4)/$E425-1,"unavailable"),IF($I425="Unavailable","unavailable","date mismatch"))))))</f>
        <v/>
      </c>
      <c r="N425" s="11">
        <f>IF($T425=0,"",IFERROR(IF(AND(N(INDEX('Market Data'!$F$5:$F$528,$T425))&gt;0,ISNUMBER(INDEX('Market Data'!$T$5:$T$528,$T425))),$E425*INDEX('Market Data'!$T$5:$T$528,$T425)/INDEX('Market Data'!$F$5:$F$528,$T425)-1,"unavailable"),"unavailable"))</f>
        <v/>
      </c>
      <c r="O425" s="9">
        <f>IF($T425=0,"",IF(IF(INDEX('Market Data'!$J$5:$J$528,$T425)=0,0,IF(LEFT(INDEX('Market Data'!$AS$5:$AS$66,INDEX('Market Data'!$J$5:$J$528,$T425)-4),11)="First-month",1,0))=1,"Class ratio review",IF($I425="Bloomberg",IF(ISNUMBER($G425),IF($G425&lt;TODAY(),"Older quote","See quote time"),"Date unavailable"),IF($I425="Snapshot",IF($G425&lt;DATEVALUE("2026-10-02"),"Older snapshot","Dated close"),"No valid quote"))))</f>
        <v/>
      </c>
      <c r="P425" s="14">
        <f>IF($T425=0,"",IF(INDEX('Market Data'!$J$5:$J$528,$T425)=0,"n/a",IF($Q425="Bloomberg",IF(AND(ISNUMBER(INDEX('Market Data'!$AK$5:$AK$66,INDEX('Market Data'!$J$5:$J$528,$T425)-4)),N(INDEX('Market Data'!$AK$5:$AK$66,INDEX('Market Data'!$J$5:$J$528,$T425)-4))&gt;0),INDEX('Market Data'!$AK$5:$AK$66,INDEX('Market Data'!$J$5:$J$528,$T425)-4),"date unavailable"),IF($Q425="Snapshot",IF(AND(ISNUMBER(INDEX('Market Data'!$AF$5:$AF$66,INDEX('Market Data'!$J$5:$J$528,$T425)-4)),N(INDEX('Market Data'!$AF$5:$AF$66,INDEX('Market Data'!$J$5:$J$528,$T425)-4))&gt;0),INDEX('Market Data'!$AF$5:$AF$66,INDEX('Market Data'!$J$5:$J$528,$T425)-4),"date unavailable"),"date unavailable"))))</f>
        <v/>
      </c>
      <c r="Q425" s="15">
        <f>IF($T425=0,"",IF(INDEX('Market Data'!$J$5:$J$528,$T425)=0,"n/a",IF(AND($M$5&lt;&gt;"Snapshot",ISNUMBER(INDEX('Market Data'!$AH$5:$AH$66,INDEX('Market Data'!$J$5:$J$528,$T425)-4)),N(INDEX('Market Data'!$AH$5:$AH$66,INDEX('Market Data'!$J$5:$J$528,$T425)-4))&gt;0),"Bloomberg",IF(AND($M$5&lt;&gt;"Bloomberg",ISNUMBER(INDEX('Market Data'!$AC$5:$AC$66,INDEX('Market Data'!$J$5:$J$528,$T425)-4)),N(INDEX('Market Data'!$AC$5:$AC$66,INDEX('Market Data'!$J$5:$J$528,$T425)-4))&gt;0),"Snapshot","Unavailable"))))</f>
        <v/>
      </c>
      <c r="T425">
        <f>IFERROR(MATCH(417,'Market Data'!$S$5:$S$528,0),0)</f>
        <v/>
      </c>
    </row>
    <row r="426" ht="34" customHeight="1">
      <c r="A426" s="8">
        <f>IF($T426=0,"",IF(INDEX('Market Data'!$A$5:$A$528,$T426)="","",INDEX('Market Data'!$A$5:$A$528,$T426)))</f>
        <v/>
      </c>
      <c r="B426" s="9">
        <f>IF($T426=0,"",IF(INDEX('Market Data'!$B$5:$B$528,$T426)="","",INDEX('Market Data'!$B$5:$B$528,$T426)))</f>
        <v/>
      </c>
      <c r="C426" s="9">
        <f>IF($T426=0,"",IF(INDEX('Market Data'!$C$5:$C$528,$T426)="","",INDEX('Market Data'!$C$5:$C$528,$T426)))</f>
        <v/>
      </c>
      <c r="D426" s="9">
        <f>IF($T426=0,"",IF(INDEX('Market Data'!$D$5:$D$528,$T426)="","",INDEX('Market Data'!$D$5:$D$528,$T426)))</f>
        <v/>
      </c>
      <c r="E426" s="10">
        <f>IF($T426=0,"",INDEX('Market Data'!$O$5:$O$528,$T426))</f>
        <v/>
      </c>
      <c r="F426" s="11">
        <f>IF($T426=0,"",IF(AND($I426="Bloomberg",ISNUMBER(INDEX('Market Data'!$L$5:$L$528,$T426))),INDEX('Market Data'!$L$5:$L$528,$T426),"unavailable"))</f>
        <v/>
      </c>
      <c r="G426" s="12">
        <f>IF($T426=0,"",IF($I426="Bloomberg",IF(AND(ISNUMBER(INDEX('Market Data'!$M$5:$M$528,$T426)),N(INDEX('Market Data'!$M$5:$M$528,$T426))&gt;0),INDEX('Market Data'!$M$5:$M$528,$T426),"date unavailable"),IF($I426="Snapshot",IF(AND(ISNUMBER(INDEX('Market Data'!$H$5:$H$528,$T426)),N(INDEX('Market Data'!$H$5:$H$528,$T426))&gt;0),INDEX('Market Data'!$H$5:$H$528,$T426),"date unavailable"),"date unavailable")))</f>
        <v/>
      </c>
      <c r="H426" s="9">
        <f>IF($T426=0,"",IF($I426="Bloomberg",IF(INDEX('Market Data'!$N$5:$N$528,$T426)="","time unavailable",INDEX('Market Data'!$N$5:$N$528,$T426)),""))</f>
        <v/>
      </c>
      <c r="I426" s="9">
        <f>IF($T426=0,"",INDEX('Market Data'!$P$5:$P$528,$T426))</f>
        <v/>
      </c>
      <c r="J426" s="13">
        <f>IF($T426=0,"",IF(INDEX('Market Data'!$E$5:$E$528,$T426)="","",INDEX('Market Data'!$E$5:$E$528,$T426)))</f>
        <v/>
      </c>
      <c r="K426" s="8">
        <f>IF($T426=0,"",IF(INDEX('Market Data'!$I$5:$I$528,$T426)="","",INDEX('Market Data'!$I$5:$I$528,$T426)))</f>
        <v/>
      </c>
      <c r="L426" s="10">
        <f>IF($T426=0,"",IF(INDEX('Market Data'!$J$5:$J$528,$T426)=0,"n/a",IF(AND($M$5&lt;&gt;"Snapshot",ISNUMBER(INDEX('Market Data'!$AH$5:$AH$66,INDEX('Market Data'!$J$5:$J$528,$T426)-4)),N(INDEX('Market Data'!$AH$5:$AH$66,INDEX('Market Data'!$J$5:$J$528,$T426)-4))&gt;0),INDEX('Market Data'!$AH$5:$AH$66,INDEX('Market Data'!$J$5:$J$528,$T426)-4),IF(AND($M$5&lt;&gt;"Bloomberg",ISNUMBER(INDEX('Market Data'!$AC$5:$AC$66,INDEX('Market Data'!$J$5:$J$528,$T426)-4)),N(INDEX('Market Data'!$AC$5:$AC$66,INDEX('Market Data'!$J$5:$J$528,$T426)-4))&gt;0),INDEX('Market Data'!$AC$5:$AC$66,INDEX('Market Data'!$J$5:$J$528,$T426)-4),"unavailable"))))</f>
        <v/>
      </c>
      <c r="M426" s="11">
        <f>IF($T426=0,"",IF(INDEX('Market Data'!$J$5:$J$528,$T426)=0,"n/a",IF(IF(INDEX('Market Data'!$J$5:$J$528,$T426)=0,0,IF(LEFT(INDEX('Market Data'!$AS$5:$AS$66,INDEX('Market Data'!$J$5:$J$528,$T426)-4),11)="First-month",1,0))=1,"class review",IF($I426="Bloomberg",IF(AND(ISNUMBER(INDEX('Market Data'!$AH$5:$AH$66,INDEX('Market Data'!$J$5:$J$528,$T426)-4)),N(INDEX('Market Data'!$AH$5:$AH$66,INDEX('Market Data'!$J$5:$J$528,$T426)-4))&gt;0,ISNUMBER('Market Data'!$B$1),N('Market Data'!$B$1)&gt;0),INDEX('Market Data'!$AH$5:$AH$66,INDEX('Market Data'!$J$5:$J$528,$T426)-4)*'Market Data'!$B$1/$E426-1,"pending A/FX"),IF(AND($I426="Snapshot",$Q426="Snapshot",ISNUMBER($E426),$G426=INDEX('Market Data'!$AE$5:$AE$66,INDEX('Market Data'!$J$5:$J$528,$T426)-4)),IFERROR(INDEX('Market Data'!$AC$5:$AC$66,INDEX('Market Data'!$J$5:$J$528,$T426)-4)*INDEX('Market Data'!$AD$5:$AD$66,INDEX('Market Data'!$J$5:$J$528,$T426)-4)/$E426-1,"unavailable"),IF($I426="Unavailable","unavailable","date mismatch"))))))</f>
        <v/>
      </c>
      <c r="N426" s="11">
        <f>IF($T426=0,"",IFERROR(IF(AND(N(INDEX('Market Data'!$F$5:$F$528,$T426))&gt;0,ISNUMBER(INDEX('Market Data'!$T$5:$T$528,$T426))),$E426*INDEX('Market Data'!$T$5:$T$528,$T426)/INDEX('Market Data'!$F$5:$F$528,$T426)-1,"unavailable"),"unavailable"))</f>
        <v/>
      </c>
      <c r="O426" s="9">
        <f>IF($T426=0,"",IF(IF(INDEX('Market Data'!$J$5:$J$528,$T426)=0,0,IF(LEFT(INDEX('Market Data'!$AS$5:$AS$66,INDEX('Market Data'!$J$5:$J$528,$T426)-4),11)="First-month",1,0))=1,"Class ratio review",IF($I426="Bloomberg",IF(ISNUMBER($G426),IF($G426&lt;TODAY(),"Older quote","See quote time"),"Date unavailable"),IF($I426="Snapshot",IF($G426&lt;DATEVALUE("2026-10-02"),"Older snapshot","Dated close"),"No valid quote"))))</f>
        <v/>
      </c>
      <c r="P426" s="14">
        <f>IF($T426=0,"",IF(INDEX('Market Data'!$J$5:$J$528,$T426)=0,"n/a",IF($Q426="Bloomberg",IF(AND(ISNUMBER(INDEX('Market Data'!$AK$5:$AK$66,INDEX('Market Data'!$J$5:$J$528,$T426)-4)),N(INDEX('Market Data'!$AK$5:$AK$66,INDEX('Market Data'!$J$5:$J$528,$T426)-4))&gt;0),INDEX('Market Data'!$AK$5:$AK$66,INDEX('Market Data'!$J$5:$J$528,$T426)-4),"date unavailable"),IF($Q426="Snapshot",IF(AND(ISNUMBER(INDEX('Market Data'!$AF$5:$AF$66,INDEX('Market Data'!$J$5:$J$528,$T426)-4)),N(INDEX('Market Data'!$AF$5:$AF$66,INDEX('Market Data'!$J$5:$J$528,$T426)-4))&gt;0),INDEX('Market Data'!$AF$5:$AF$66,INDEX('Market Data'!$J$5:$J$528,$T426)-4),"date unavailable"),"date unavailable"))))</f>
        <v/>
      </c>
      <c r="Q426" s="15">
        <f>IF($T426=0,"",IF(INDEX('Market Data'!$J$5:$J$528,$T426)=0,"n/a",IF(AND($M$5&lt;&gt;"Snapshot",ISNUMBER(INDEX('Market Data'!$AH$5:$AH$66,INDEX('Market Data'!$J$5:$J$528,$T426)-4)),N(INDEX('Market Data'!$AH$5:$AH$66,INDEX('Market Data'!$J$5:$J$528,$T426)-4))&gt;0),"Bloomberg",IF(AND($M$5&lt;&gt;"Bloomberg",ISNUMBER(INDEX('Market Data'!$AC$5:$AC$66,INDEX('Market Data'!$J$5:$J$528,$T426)-4)),N(INDEX('Market Data'!$AC$5:$AC$66,INDEX('Market Data'!$J$5:$J$528,$T426)-4))&gt;0),"Snapshot","Unavailable"))))</f>
        <v/>
      </c>
      <c r="T426">
        <f>IFERROR(MATCH(418,'Market Data'!$S$5:$S$528,0),0)</f>
        <v/>
      </c>
    </row>
    <row r="427" ht="34" customHeight="1">
      <c r="A427" s="8">
        <f>IF($T427=0,"",IF(INDEX('Market Data'!$A$5:$A$528,$T427)="","",INDEX('Market Data'!$A$5:$A$528,$T427)))</f>
        <v/>
      </c>
      <c r="B427" s="9">
        <f>IF($T427=0,"",IF(INDEX('Market Data'!$B$5:$B$528,$T427)="","",INDEX('Market Data'!$B$5:$B$528,$T427)))</f>
        <v/>
      </c>
      <c r="C427" s="9">
        <f>IF($T427=0,"",IF(INDEX('Market Data'!$C$5:$C$528,$T427)="","",INDEX('Market Data'!$C$5:$C$528,$T427)))</f>
        <v/>
      </c>
      <c r="D427" s="9">
        <f>IF($T427=0,"",IF(INDEX('Market Data'!$D$5:$D$528,$T427)="","",INDEX('Market Data'!$D$5:$D$528,$T427)))</f>
        <v/>
      </c>
      <c r="E427" s="10">
        <f>IF($T427=0,"",INDEX('Market Data'!$O$5:$O$528,$T427))</f>
        <v/>
      </c>
      <c r="F427" s="11">
        <f>IF($T427=0,"",IF(AND($I427="Bloomberg",ISNUMBER(INDEX('Market Data'!$L$5:$L$528,$T427))),INDEX('Market Data'!$L$5:$L$528,$T427),"unavailable"))</f>
        <v/>
      </c>
      <c r="G427" s="12">
        <f>IF($T427=0,"",IF($I427="Bloomberg",IF(AND(ISNUMBER(INDEX('Market Data'!$M$5:$M$528,$T427)),N(INDEX('Market Data'!$M$5:$M$528,$T427))&gt;0),INDEX('Market Data'!$M$5:$M$528,$T427),"date unavailable"),IF($I427="Snapshot",IF(AND(ISNUMBER(INDEX('Market Data'!$H$5:$H$528,$T427)),N(INDEX('Market Data'!$H$5:$H$528,$T427))&gt;0),INDEX('Market Data'!$H$5:$H$528,$T427),"date unavailable"),"date unavailable")))</f>
        <v/>
      </c>
      <c r="H427" s="9">
        <f>IF($T427=0,"",IF($I427="Bloomberg",IF(INDEX('Market Data'!$N$5:$N$528,$T427)="","time unavailable",INDEX('Market Data'!$N$5:$N$528,$T427)),""))</f>
        <v/>
      </c>
      <c r="I427" s="9">
        <f>IF($T427=0,"",INDEX('Market Data'!$P$5:$P$528,$T427))</f>
        <v/>
      </c>
      <c r="J427" s="13">
        <f>IF($T427=0,"",IF(INDEX('Market Data'!$E$5:$E$528,$T427)="","",INDEX('Market Data'!$E$5:$E$528,$T427)))</f>
        <v/>
      </c>
      <c r="K427" s="8">
        <f>IF($T427=0,"",IF(INDEX('Market Data'!$I$5:$I$528,$T427)="","",INDEX('Market Data'!$I$5:$I$528,$T427)))</f>
        <v/>
      </c>
      <c r="L427" s="10">
        <f>IF($T427=0,"",IF(INDEX('Market Data'!$J$5:$J$528,$T427)=0,"n/a",IF(AND($M$5&lt;&gt;"Snapshot",ISNUMBER(INDEX('Market Data'!$AH$5:$AH$66,INDEX('Market Data'!$J$5:$J$528,$T427)-4)),N(INDEX('Market Data'!$AH$5:$AH$66,INDEX('Market Data'!$J$5:$J$528,$T427)-4))&gt;0),INDEX('Market Data'!$AH$5:$AH$66,INDEX('Market Data'!$J$5:$J$528,$T427)-4),IF(AND($M$5&lt;&gt;"Bloomberg",ISNUMBER(INDEX('Market Data'!$AC$5:$AC$66,INDEX('Market Data'!$J$5:$J$528,$T427)-4)),N(INDEX('Market Data'!$AC$5:$AC$66,INDEX('Market Data'!$J$5:$J$528,$T427)-4))&gt;0),INDEX('Market Data'!$AC$5:$AC$66,INDEX('Market Data'!$J$5:$J$528,$T427)-4),"unavailable"))))</f>
        <v/>
      </c>
      <c r="M427" s="11">
        <f>IF($T427=0,"",IF(INDEX('Market Data'!$J$5:$J$528,$T427)=0,"n/a",IF(IF(INDEX('Market Data'!$J$5:$J$528,$T427)=0,0,IF(LEFT(INDEX('Market Data'!$AS$5:$AS$66,INDEX('Market Data'!$J$5:$J$528,$T427)-4),11)="First-month",1,0))=1,"class review",IF($I427="Bloomberg",IF(AND(ISNUMBER(INDEX('Market Data'!$AH$5:$AH$66,INDEX('Market Data'!$J$5:$J$528,$T427)-4)),N(INDEX('Market Data'!$AH$5:$AH$66,INDEX('Market Data'!$J$5:$J$528,$T427)-4))&gt;0,ISNUMBER('Market Data'!$B$1),N('Market Data'!$B$1)&gt;0),INDEX('Market Data'!$AH$5:$AH$66,INDEX('Market Data'!$J$5:$J$528,$T427)-4)*'Market Data'!$B$1/$E427-1,"pending A/FX"),IF(AND($I427="Snapshot",$Q427="Snapshot",ISNUMBER($E427),$G427=INDEX('Market Data'!$AE$5:$AE$66,INDEX('Market Data'!$J$5:$J$528,$T427)-4)),IFERROR(INDEX('Market Data'!$AC$5:$AC$66,INDEX('Market Data'!$J$5:$J$528,$T427)-4)*INDEX('Market Data'!$AD$5:$AD$66,INDEX('Market Data'!$J$5:$J$528,$T427)-4)/$E427-1,"unavailable"),IF($I427="Unavailable","unavailable","date mismatch"))))))</f>
        <v/>
      </c>
      <c r="N427" s="11">
        <f>IF($T427=0,"",IFERROR(IF(AND(N(INDEX('Market Data'!$F$5:$F$528,$T427))&gt;0,ISNUMBER(INDEX('Market Data'!$T$5:$T$528,$T427))),$E427*INDEX('Market Data'!$T$5:$T$528,$T427)/INDEX('Market Data'!$F$5:$F$528,$T427)-1,"unavailable"),"unavailable"))</f>
        <v/>
      </c>
      <c r="O427" s="9">
        <f>IF($T427=0,"",IF(IF(INDEX('Market Data'!$J$5:$J$528,$T427)=0,0,IF(LEFT(INDEX('Market Data'!$AS$5:$AS$66,INDEX('Market Data'!$J$5:$J$528,$T427)-4),11)="First-month",1,0))=1,"Class ratio review",IF($I427="Bloomberg",IF(ISNUMBER($G427),IF($G427&lt;TODAY(),"Older quote","See quote time"),"Date unavailable"),IF($I427="Snapshot",IF($G427&lt;DATEVALUE("2026-10-02"),"Older snapshot","Dated close"),"No valid quote"))))</f>
        <v/>
      </c>
      <c r="P427" s="14">
        <f>IF($T427=0,"",IF(INDEX('Market Data'!$J$5:$J$528,$T427)=0,"n/a",IF($Q427="Bloomberg",IF(AND(ISNUMBER(INDEX('Market Data'!$AK$5:$AK$66,INDEX('Market Data'!$J$5:$J$528,$T427)-4)),N(INDEX('Market Data'!$AK$5:$AK$66,INDEX('Market Data'!$J$5:$J$528,$T427)-4))&gt;0),INDEX('Market Data'!$AK$5:$AK$66,INDEX('Market Data'!$J$5:$J$528,$T427)-4),"date unavailable"),IF($Q427="Snapshot",IF(AND(ISNUMBER(INDEX('Market Data'!$AF$5:$AF$66,INDEX('Market Data'!$J$5:$J$528,$T427)-4)),N(INDEX('Market Data'!$AF$5:$AF$66,INDEX('Market Data'!$J$5:$J$528,$T427)-4))&gt;0),INDEX('Market Data'!$AF$5:$AF$66,INDEX('Market Data'!$J$5:$J$528,$T427)-4),"date unavailable"),"date unavailable"))))</f>
        <v/>
      </c>
      <c r="Q427" s="15">
        <f>IF($T427=0,"",IF(INDEX('Market Data'!$J$5:$J$528,$T427)=0,"n/a",IF(AND($M$5&lt;&gt;"Snapshot",ISNUMBER(INDEX('Market Data'!$AH$5:$AH$66,INDEX('Market Data'!$J$5:$J$528,$T427)-4)),N(INDEX('Market Data'!$AH$5:$AH$66,INDEX('Market Data'!$J$5:$J$528,$T427)-4))&gt;0),"Bloomberg",IF(AND($M$5&lt;&gt;"Bloomberg",ISNUMBER(INDEX('Market Data'!$AC$5:$AC$66,INDEX('Market Data'!$J$5:$J$528,$T427)-4)),N(INDEX('Market Data'!$AC$5:$AC$66,INDEX('Market Data'!$J$5:$J$528,$T427)-4))&gt;0),"Snapshot","Unavailable"))))</f>
        <v/>
      </c>
      <c r="T427">
        <f>IFERROR(MATCH(419,'Market Data'!$S$5:$S$528,0),0)</f>
        <v/>
      </c>
    </row>
    <row r="428" ht="34" customHeight="1">
      <c r="A428" s="8">
        <f>IF($T428=0,"",IF(INDEX('Market Data'!$A$5:$A$528,$T428)="","",INDEX('Market Data'!$A$5:$A$528,$T428)))</f>
        <v/>
      </c>
      <c r="B428" s="9">
        <f>IF($T428=0,"",IF(INDEX('Market Data'!$B$5:$B$528,$T428)="","",INDEX('Market Data'!$B$5:$B$528,$T428)))</f>
        <v/>
      </c>
      <c r="C428" s="9">
        <f>IF($T428=0,"",IF(INDEX('Market Data'!$C$5:$C$528,$T428)="","",INDEX('Market Data'!$C$5:$C$528,$T428)))</f>
        <v/>
      </c>
      <c r="D428" s="9">
        <f>IF($T428=0,"",IF(INDEX('Market Data'!$D$5:$D$528,$T428)="","",INDEX('Market Data'!$D$5:$D$528,$T428)))</f>
        <v/>
      </c>
      <c r="E428" s="10">
        <f>IF($T428=0,"",INDEX('Market Data'!$O$5:$O$528,$T428))</f>
        <v/>
      </c>
      <c r="F428" s="11">
        <f>IF($T428=0,"",IF(AND($I428="Bloomberg",ISNUMBER(INDEX('Market Data'!$L$5:$L$528,$T428))),INDEX('Market Data'!$L$5:$L$528,$T428),"unavailable"))</f>
        <v/>
      </c>
      <c r="G428" s="12">
        <f>IF($T428=0,"",IF($I428="Bloomberg",IF(AND(ISNUMBER(INDEX('Market Data'!$M$5:$M$528,$T428)),N(INDEX('Market Data'!$M$5:$M$528,$T428))&gt;0),INDEX('Market Data'!$M$5:$M$528,$T428),"date unavailable"),IF($I428="Snapshot",IF(AND(ISNUMBER(INDEX('Market Data'!$H$5:$H$528,$T428)),N(INDEX('Market Data'!$H$5:$H$528,$T428))&gt;0),INDEX('Market Data'!$H$5:$H$528,$T428),"date unavailable"),"date unavailable")))</f>
        <v/>
      </c>
      <c r="H428" s="9">
        <f>IF($T428=0,"",IF($I428="Bloomberg",IF(INDEX('Market Data'!$N$5:$N$528,$T428)="","time unavailable",INDEX('Market Data'!$N$5:$N$528,$T428)),""))</f>
        <v/>
      </c>
      <c r="I428" s="9">
        <f>IF($T428=0,"",INDEX('Market Data'!$P$5:$P$528,$T428))</f>
        <v/>
      </c>
      <c r="J428" s="13">
        <f>IF($T428=0,"",IF(INDEX('Market Data'!$E$5:$E$528,$T428)="","",INDEX('Market Data'!$E$5:$E$528,$T428)))</f>
        <v/>
      </c>
      <c r="K428" s="8">
        <f>IF($T428=0,"",IF(INDEX('Market Data'!$I$5:$I$528,$T428)="","",INDEX('Market Data'!$I$5:$I$528,$T428)))</f>
        <v/>
      </c>
      <c r="L428" s="10">
        <f>IF($T428=0,"",IF(INDEX('Market Data'!$J$5:$J$528,$T428)=0,"n/a",IF(AND($M$5&lt;&gt;"Snapshot",ISNUMBER(INDEX('Market Data'!$AH$5:$AH$66,INDEX('Market Data'!$J$5:$J$528,$T428)-4)),N(INDEX('Market Data'!$AH$5:$AH$66,INDEX('Market Data'!$J$5:$J$528,$T428)-4))&gt;0),INDEX('Market Data'!$AH$5:$AH$66,INDEX('Market Data'!$J$5:$J$528,$T428)-4),IF(AND($M$5&lt;&gt;"Bloomberg",ISNUMBER(INDEX('Market Data'!$AC$5:$AC$66,INDEX('Market Data'!$J$5:$J$528,$T428)-4)),N(INDEX('Market Data'!$AC$5:$AC$66,INDEX('Market Data'!$J$5:$J$528,$T428)-4))&gt;0),INDEX('Market Data'!$AC$5:$AC$66,INDEX('Market Data'!$J$5:$J$528,$T428)-4),"unavailable"))))</f>
        <v/>
      </c>
      <c r="M428" s="11">
        <f>IF($T428=0,"",IF(INDEX('Market Data'!$J$5:$J$528,$T428)=0,"n/a",IF(IF(INDEX('Market Data'!$J$5:$J$528,$T428)=0,0,IF(LEFT(INDEX('Market Data'!$AS$5:$AS$66,INDEX('Market Data'!$J$5:$J$528,$T428)-4),11)="First-month",1,0))=1,"class review",IF($I428="Bloomberg",IF(AND(ISNUMBER(INDEX('Market Data'!$AH$5:$AH$66,INDEX('Market Data'!$J$5:$J$528,$T428)-4)),N(INDEX('Market Data'!$AH$5:$AH$66,INDEX('Market Data'!$J$5:$J$528,$T428)-4))&gt;0,ISNUMBER('Market Data'!$B$1),N('Market Data'!$B$1)&gt;0),INDEX('Market Data'!$AH$5:$AH$66,INDEX('Market Data'!$J$5:$J$528,$T428)-4)*'Market Data'!$B$1/$E428-1,"pending A/FX"),IF(AND($I428="Snapshot",$Q428="Snapshot",ISNUMBER($E428),$G428=INDEX('Market Data'!$AE$5:$AE$66,INDEX('Market Data'!$J$5:$J$528,$T428)-4)),IFERROR(INDEX('Market Data'!$AC$5:$AC$66,INDEX('Market Data'!$J$5:$J$528,$T428)-4)*INDEX('Market Data'!$AD$5:$AD$66,INDEX('Market Data'!$J$5:$J$528,$T428)-4)/$E428-1,"unavailable"),IF($I428="Unavailable","unavailable","date mismatch"))))))</f>
        <v/>
      </c>
      <c r="N428" s="11">
        <f>IF($T428=0,"",IFERROR(IF(AND(N(INDEX('Market Data'!$F$5:$F$528,$T428))&gt;0,ISNUMBER(INDEX('Market Data'!$T$5:$T$528,$T428))),$E428*INDEX('Market Data'!$T$5:$T$528,$T428)/INDEX('Market Data'!$F$5:$F$528,$T428)-1,"unavailable"),"unavailable"))</f>
        <v/>
      </c>
      <c r="O428" s="9">
        <f>IF($T428=0,"",IF(IF(INDEX('Market Data'!$J$5:$J$528,$T428)=0,0,IF(LEFT(INDEX('Market Data'!$AS$5:$AS$66,INDEX('Market Data'!$J$5:$J$528,$T428)-4),11)="First-month",1,0))=1,"Class ratio review",IF($I428="Bloomberg",IF(ISNUMBER($G428),IF($G428&lt;TODAY(),"Older quote","See quote time"),"Date unavailable"),IF($I428="Snapshot",IF($G428&lt;DATEVALUE("2026-10-02"),"Older snapshot","Dated close"),"No valid quote"))))</f>
        <v/>
      </c>
      <c r="P428" s="14">
        <f>IF($T428=0,"",IF(INDEX('Market Data'!$J$5:$J$528,$T428)=0,"n/a",IF($Q428="Bloomberg",IF(AND(ISNUMBER(INDEX('Market Data'!$AK$5:$AK$66,INDEX('Market Data'!$J$5:$J$528,$T428)-4)),N(INDEX('Market Data'!$AK$5:$AK$66,INDEX('Market Data'!$J$5:$J$528,$T428)-4))&gt;0),INDEX('Market Data'!$AK$5:$AK$66,INDEX('Market Data'!$J$5:$J$528,$T428)-4),"date unavailable"),IF($Q428="Snapshot",IF(AND(ISNUMBER(INDEX('Market Data'!$AF$5:$AF$66,INDEX('Market Data'!$J$5:$J$528,$T428)-4)),N(INDEX('Market Data'!$AF$5:$AF$66,INDEX('Market Data'!$J$5:$J$528,$T428)-4))&gt;0),INDEX('Market Data'!$AF$5:$AF$66,INDEX('Market Data'!$J$5:$J$528,$T428)-4),"date unavailable"),"date unavailable"))))</f>
        <v/>
      </c>
      <c r="Q428" s="15">
        <f>IF($T428=0,"",IF(INDEX('Market Data'!$J$5:$J$528,$T428)=0,"n/a",IF(AND($M$5&lt;&gt;"Snapshot",ISNUMBER(INDEX('Market Data'!$AH$5:$AH$66,INDEX('Market Data'!$J$5:$J$528,$T428)-4)),N(INDEX('Market Data'!$AH$5:$AH$66,INDEX('Market Data'!$J$5:$J$528,$T428)-4))&gt;0),"Bloomberg",IF(AND($M$5&lt;&gt;"Bloomberg",ISNUMBER(INDEX('Market Data'!$AC$5:$AC$66,INDEX('Market Data'!$J$5:$J$528,$T428)-4)),N(INDEX('Market Data'!$AC$5:$AC$66,INDEX('Market Data'!$J$5:$J$528,$T428)-4))&gt;0),"Snapshot","Unavailable"))))</f>
        <v/>
      </c>
      <c r="T428">
        <f>IFERROR(MATCH(420,'Market Data'!$S$5:$S$528,0),0)</f>
        <v/>
      </c>
    </row>
    <row r="429" ht="34" customHeight="1">
      <c r="A429" s="8">
        <f>IF($T429=0,"",IF(INDEX('Market Data'!$A$5:$A$528,$T429)="","",INDEX('Market Data'!$A$5:$A$528,$T429)))</f>
        <v/>
      </c>
      <c r="B429" s="9">
        <f>IF($T429=0,"",IF(INDEX('Market Data'!$B$5:$B$528,$T429)="","",INDEX('Market Data'!$B$5:$B$528,$T429)))</f>
        <v/>
      </c>
      <c r="C429" s="9">
        <f>IF($T429=0,"",IF(INDEX('Market Data'!$C$5:$C$528,$T429)="","",INDEX('Market Data'!$C$5:$C$528,$T429)))</f>
        <v/>
      </c>
      <c r="D429" s="9">
        <f>IF($T429=0,"",IF(INDEX('Market Data'!$D$5:$D$528,$T429)="","",INDEX('Market Data'!$D$5:$D$528,$T429)))</f>
        <v/>
      </c>
      <c r="E429" s="10">
        <f>IF($T429=0,"",INDEX('Market Data'!$O$5:$O$528,$T429))</f>
        <v/>
      </c>
      <c r="F429" s="11">
        <f>IF($T429=0,"",IF(AND($I429="Bloomberg",ISNUMBER(INDEX('Market Data'!$L$5:$L$528,$T429))),INDEX('Market Data'!$L$5:$L$528,$T429),"unavailable"))</f>
        <v/>
      </c>
      <c r="G429" s="12">
        <f>IF($T429=0,"",IF($I429="Bloomberg",IF(AND(ISNUMBER(INDEX('Market Data'!$M$5:$M$528,$T429)),N(INDEX('Market Data'!$M$5:$M$528,$T429))&gt;0),INDEX('Market Data'!$M$5:$M$528,$T429),"date unavailable"),IF($I429="Snapshot",IF(AND(ISNUMBER(INDEX('Market Data'!$H$5:$H$528,$T429)),N(INDEX('Market Data'!$H$5:$H$528,$T429))&gt;0),INDEX('Market Data'!$H$5:$H$528,$T429),"date unavailable"),"date unavailable")))</f>
        <v/>
      </c>
      <c r="H429" s="9">
        <f>IF($T429=0,"",IF($I429="Bloomberg",IF(INDEX('Market Data'!$N$5:$N$528,$T429)="","time unavailable",INDEX('Market Data'!$N$5:$N$528,$T429)),""))</f>
        <v/>
      </c>
      <c r="I429" s="9">
        <f>IF($T429=0,"",INDEX('Market Data'!$P$5:$P$528,$T429))</f>
        <v/>
      </c>
      <c r="J429" s="13">
        <f>IF($T429=0,"",IF(INDEX('Market Data'!$E$5:$E$528,$T429)="","",INDEX('Market Data'!$E$5:$E$528,$T429)))</f>
        <v/>
      </c>
      <c r="K429" s="8">
        <f>IF($T429=0,"",IF(INDEX('Market Data'!$I$5:$I$528,$T429)="","",INDEX('Market Data'!$I$5:$I$528,$T429)))</f>
        <v/>
      </c>
      <c r="L429" s="10">
        <f>IF($T429=0,"",IF(INDEX('Market Data'!$J$5:$J$528,$T429)=0,"n/a",IF(AND($M$5&lt;&gt;"Snapshot",ISNUMBER(INDEX('Market Data'!$AH$5:$AH$66,INDEX('Market Data'!$J$5:$J$528,$T429)-4)),N(INDEX('Market Data'!$AH$5:$AH$66,INDEX('Market Data'!$J$5:$J$528,$T429)-4))&gt;0),INDEX('Market Data'!$AH$5:$AH$66,INDEX('Market Data'!$J$5:$J$528,$T429)-4),IF(AND($M$5&lt;&gt;"Bloomberg",ISNUMBER(INDEX('Market Data'!$AC$5:$AC$66,INDEX('Market Data'!$J$5:$J$528,$T429)-4)),N(INDEX('Market Data'!$AC$5:$AC$66,INDEX('Market Data'!$J$5:$J$528,$T429)-4))&gt;0),INDEX('Market Data'!$AC$5:$AC$66,INDEX('Market Data'!$J$5:$J$528,$T429)-4),"unavailable"))))</f>
        <v/>
      </c>
      <c r="M429" s="11">
        <f>IF($T429=0,"",IF(INDEX('Market Data'!$J$5:$J$528,$T429)=0,"n/a",IF(IF(INDEX('Market Data'!$J$5:$J$528,$T429)=0,0,IF(LEFT(INDEX('Market Data'!$AS$5:$AS$66,INDEX('Market Data'!$J$5:$J$528,$T429)-4),11)="First-month",1,0))=1,"class review",IF($I429="Bloomberg",IF(AND(ISNUMBER(INDEX('Market Data'!$AH$5:$AH$66,INDEX('Market Data'!$J$5:$J$528,$T429)-4)),N(INDEX('Market Data'!$AH$5:$AH$66,INDEX('Market Data'!$J$5:$J$528,$T429)-4))&gt;0,ISNUMBER('Market Data'!$B$1),N('Market Data'!$B$1)&gt;0),INDEX('Market Data'!$AH$5:$AH$66,INDEX('Market Data'!$J$5:$J$528,$T429)-4)*'Market Data'!$B$1/$E429-1,"pending A/FX"),IF(AND($I429="Snapshot",$Q429="Snapshot",ISNUMBER($E429),$G429=INDEX('Market Data'!$AE$5:$AE$66,INDEX('Market Data'!$J$5:$J$528,$T429)-4)),IFERROR(INDEX('Market Data'!$AC$5:$AC$66,INDEX('Market Data'!$J$5:$J$528,$T429)-4)*INDEX('Market Data'!$AD$5:$AD$66,INDEX('Market Data'!$J$5:$J$528,$T429)-4)/$E429-1,"unavailable"),IF($I429="Unavailable","unavailable","date mismatch"))))))</f>
        <v/>
      </c>
      <c r="N429" s="11">
        <f>IF($T429=0,"",IFERROR(IF(AND(N(INDEX('Market Data'!$F$5:$F$528,$T429))&gt;0,ISNUMBER(INDEX('Market Data'!$T$5:$T$528,$T429))),$E429*INDEX('Market Data'!$T$5:$T$528,$T429)/INDEX('Market Data'!$F$5:$F$528,$T429)-1,"unavailable"),"unavailable"))</f>
        <v/>
      </c>
      <c r="O429" s="9">
        <f>IF($T429=0,"",IF(IF(INDEX('Market Data'!$J$5:$J$528,$T429)=0,0,IF(LEFT(INDEX('Market Data'!$AS$5:$AS$66,INDEX('Market Data'!$J$5:$J$528,$T429)-4),11)="First-month",1,0))=1,"Class ratio review",IF($I429="Bloomberg",IF(ISNUMBER($G429),IF($G429&lt;TODAY(),"Older quote","See quote time"),"Date unavailable"),IF($I429="Snapshot",IF($G429&lt;DATEVALUE("2026-10-02"),"Older snapshot","Dated close"),"No valid quote"))))</f>
        <v/>
      </c>
      <c r="P429" s="14">
        <f>IF($T429=0,"",IF(INDEX('Market Data'!$J$5:$J$528,$T429)=0,"n/a",IF($Q429="Bloomberg",IF(AND(ISNUMBER(INDEX('Market Data'!$AK$5:$AK$66,INDEX('Market Data'!$J$5:$J$528,$T429)-4)),N(INDEX('Market Data'!$AK$5:$AK$66,INDEX('Market Data'!$J$5:$J$528,$T429)-4))&gt;0),INDEX('Market Data'!$AK$5:$AK$66,INDEX('Market Data'!$J$5:$J$528,$T429)-4),"date unavailable"),IF($Q429="Snapshot",IF(AND(ISNUMBER(INDEX('Market Data'!$AF$5:$AF$66,INDEX('Market Data'!$J$5:$J$528,$T429)-4)),N(INDEX('Market Data'!$AF$5:$AF$66,INDEX('Market Data'!$J$5:$J$528,$T429)-4))&gt;0),INDEX('Market Data'!$AF$5:$AF$66,INDEX('Market Data'!$J$5:$J$528,$T429)-4),"date unavailable"),"date unavailable"))))</f>
        <v/>
      </c>
      <c r="Q429" s="15">
        <f>IF($T429=0,"",IF(INDEX('Market Data'!$J$5:$J$528,$T429)=0,"n/a",IF(AND($M$5&lt;&gt;"Snapshot",ISNUMBER(INDEX('Market Data'!$AH$5:$AH$66,INDEX('Market Data'!$J$5:$J$528,$T429)-4)),N(INDEX('Market Data'!$AH$5:$AH$66,INDEX('Market Data'!$J$5:$J$528,$T429)-4))&gt;0),"Bloomberg",IF(AND($M$5&lt;&gt;"Bloomberg",ISNUMBER(INDEX('Market Data'!$AC$5:$AC$66,INDEX('Market Data'!$J$5:$J$528,$T429)-4)),N(INDEX('Market Data'!$AC$5:$AC$66,INDEX('Market Data'!$J$5:$J$528,$T429)-4))&gt;0),"Snapshot","Unavailable"))))</f>
        <v/>
      </c>
      <c r="T429">
        <f>IFERROR(MATCH(421,'Market Data'!$S$5:$S$528,0),0)</f>
        <v/>
      </c>
    </row>
    <row r="430" ht="34" customHeight="1">
      <c r="A430" s="8">
        <f>IF($T430=0,"",IF(INDEX('Market Data'!$A$5:$A$528,$T430)="","",INDEX('Market Data'!$A$5:$A$528,$T430)))</f>
        <v/>
      </c>
      <c r="B430" s="9">
        <f>IF($T430=0,"",IF(INDEX('Market Data'!$B$5:$B$528,$T430)="","",INDEX('Market Data'!$B$5:$B$528,$T430)))</f>
        <v/>
      </c>
      <c r="C430" s="9">
        <f>IF($T430=0,"",IF(INDEX('Market Data'!$C$5:$C$528,$T430)="","",INDEX('Market Data'!$C$5:$C$528,$T430)))</f>
        <v/>
      </c>
      <c r="D430" s="9">
        <f>IF($T430=0,"",IF(INDEX('Market Data'!$D$5:$D$528,$T430)="","",INDEX('Market Data'!$D$5:$D$528,$T430)))</f>
        <v/>
      </c>
      <c r="E430" s="10">
        <f>IF($T430=0,"",INDEX('Market Data'!$O$5:$O$528,$T430))</f>
        <v/>
      </c>
      <c r="F430" s="11">
        <f>IF($T430=0,"",IF(AND($I430="Bloomberg",ISNUMBER(INDEX('Market Data'!$L$5:$L$528,$T430))),INDEX('Market Data'!$L$5:$L$528,$T430),"unavailable"))</f>
        <v/>
      </c>
      <c r="G430" s="12">
        <f>IF($T430=0,"",IF($I430="Bloomberg",IF(AND(ISNUMBER(INDEX('Market Data'!$M$5:$M$528,$T430)),N(INDEX('Market Data'!$M$5:$M$528,$T430))&gt;0),INDEX('Market Data'!$M$5:$M$528,$T430),"date unavailable"),IF($I430="Snapshot",IF(AND(ISNUMBER(INDEX('Market Data'!$H$5:$H$528,$T430)),N(INDEX('Market Data'!$H$5:$H$528,$T430))&gt;0),INDEX('Market Data'!$H$5:$H$528,$T430),"date unavailable"),"date unavailable")))</f>
        <v/>
      </c>
      <c r="H430" s="9">
        <f>IF($T430=0,"",IF($I430="Bloomberg",IF(INDEX('Market Data'!$N$5:$N$528,$T430)="","time unavailable",INDEX('Market Data'!$N$5:$N$528,$T430)),""))</f>
        <v/>
      </c>
      <c r="I430" s="9">
        <f>IF($T430=0,"",INDEX('Market Data'!$P$5:$P$528,$T430))</f>
        <v/>
      </c>
      <c r="J430" s="13">
        <f>IF($T430=0,"",IF(INDEX('Market Data'!$E$5:$E$528,$T430)="","",INDEX('Market Data'!$E$5:$E$528,$T430)))</f>
        <v/>
      </c>
      <c r="K430" s="8">
        <f>IF($T430=0,"",IF(INDEX('Market Data'!$I$5:$I$528,$T430)="","",INDEX('Market Data'!$I$5:$I$528,$T430)))</f>
        <v/>
      </c>
      <c r="L430" s="10">
        <f>IF($T430=0,"",IF(INDEX('Market Data'!$J$5:$J$528,$T430)=0,"n/a",IF(AND($M$5&lt;&gt;"Snapshot",ISNUMBER(INDEX('Market Data'!$AH$5:$AH$66,INDEX('Market Data'!$J$5:$J$528,$T430)-4)),N(INDEX('Market Data'!$AH$5:$AH$66,INDEX('Market Data'!$J$5:$J$528,$T430)-4))&gt;0),INDEX('Market Data'!$AH$5:$AH$66,INDEX('Market Data'!$J$5:$J$528,$T430)-4),IF(AND($M$5&lt;&gt;"Bloomberg",ISNUMBER(INDEX('Market Data'!$AC$5:$AC$66,INDEX('Market Data'!$J$5:$J$528,$T430)-4)),N(INDEX('Market Data'!$AC$5:$AC$66,INDEX('Market Data'!$J$5:$J$528,$T430)-4))&gt;0),INDEX('Market Data'!$AC$5:$AC$66,INDEX('Market Data'!$J$5:$J$528,$T430)-4),"unavailable"))))</f>
        <v/>
      </c>
      <c r="M430" s="11">
        <f>IF($T430=0,"",IF(INDEX('Market Data'!$J$5:$J$528,$T430)=0,"n/a",IF(IF(INDEX('Market Data'!$J$5:$J$528,$T430)=0,0,IF(LEFT(INDEX('Market Data'!$AS$5:$AS$66,INDEX('Market Data'!$J$5:$J$528,$T430)-4),11)="First-month",1,0))=1,"class review",IF($I430="Bloomberg",IF(AND(ISNUMBER(INDEX('Market Data'!$AH$5:$AH$66,INDEX('Market Data'!$J$5:$J$528,$T430)-4)),N(INDEX('Market Data'!$AH$5:$AH$66,INDEX('Market Data'!$J$5:$J$528,$T430)-4))&gt;0,ISNUMBER('Market Data'!$B$1),N('Market Data'!$B$1)&gt;0),INDEX('Market Data'!$AH$5:$AH$66,INDEX('Market Data'!$J$5:$J$528,$T430)-4)*'Market Data'!$B$1/$E430-1,"pending A/FX"),IF(AND($I430="Snapshot",$Q430="Snapshot",ISNUMBER($E430),$G430=INDEX('Market Data'!$AE$5:$AE$66,INDEX('Market Data'!$J$5:$J$528,$T430)-4)),IFERROR(INDEX('Market Data'!$AC$5:$AC$66,INDEX('Market Data'!$J$5:$J$528,$T430)-4)*INDEX('Market Data'!$AD$5:$AD$66,INDEX('Market Data'!$J$5:$J$528,$T430)-4)/$E430-1,"unavailable"),IF($I430="Unavailable","unavailable","date mismatch"))))))</f>
        <v/>
      </c>
      <c r="N430" s="11">
        <f>IF($T430=0,"",IFERROR(IF(AND(N(INDEX('Market Data'!$F$5:$F$528,$T430))&gt;0,ISNUMBER(INDEX('Market Data'!$T$5:$T$528,$T430))),$E430*INDEX('Market Data'!$T$5:$T$528,$T430)/INDEX('Market Data'!$F$5:$F$528,$T430)-1,"unavailable"),"unavailable"))</f>
        <v/>
      </c>
      <c r="O430" s="9">
        <f>IF($T430=0,"",IF(IF(INDEX('Market Data'!$J$5:$J$528,$T430)=0,0,IF(LEFT(INDEX('Market Data'!$AS$5:$AS$66,INDEX('Market Data'!$J$5:$J$528,$T430)-4),11)="First-month",1,0))=1,"Class ratio review",IF($I430="Bloomberg",IF(ISNUMBER($G430),IF($G430&lt;TODAY(),"Older quote","See quote time"),"Date unavailable"),IF($I430="Snapshot",IF($G430&lt;DATEVALUE("2026-10-02"),"Older snapshot","Dated close"),"No valid quote"))))</f>
        <v/>
      </c>
      <c r="P430" s="14">
        <f>IF($T430=0,"",IF(INDEX('Market Data'!$J$5:$J$528,$T430)=0,"n/a",IF($Q430="Bloomberg",IF(AND(ISNUMBER(INDEX('Market Data'!$AK$5:$AK$66,INDEX('Market Data'!$J$5:$J$528,$T430)-4)),N(INDEX('Market Data'!$AK$5:$AK$66,INDEX('Market Data'!$J$5:$J$528,$T430)-4))&gt;0),INDEX('Market Data'!$AK$5:$AK$66,INDEX('Market Data'!$J$5:$J$528,$T430)-4),"date unavailable"),IF($Q430="Snapshot",IF(AND(ISNUMBER(INDEX('Market Data'!$AF$5:$AF$66,INDEX('Market Data'!$J$5:$J$528,$T430)-4)),N(INDEX('Market Data'!$AF$5:$AF$66,INDEX('Market Data'!$J$5:$J$528,$T430)-4))&gt;0),INDEX('Market Data'!$AF$5:$AF$66,INDEX('Market Data'!$J$5:$J$528,$T430)-4),"date unavailable"),"date unavailable"))))</f>
        <v/>
      </c>
      <c r="Q430" s="15">
        <f>IF($T430=0,"",IF(INDEX('Market Data'!$J$5:$J$528,$T430)=0,"n/a",IF(AND($M$5&lt;&gt;"Snapshot",ISNUMBER(INDEX('Market Data'!$AH$5:$AH$66,INDEX('Market Data'!$J$5:$J$528,$T430)-4)),N(INDEX('Market Data'!$AH$5:$AH$66,INDEX('Market Data'!$J$5:$J$528,$T430)-4))&gt;0),"Bloomberg",IF(AND($M$5&lt;&gt;"Bloomberg",ISNUMBER(INDEX('Market Data'!$AC$5:$AC$66,INDEX('Market Data'!$J$5:$J$528,$T430)-4)),N(INDEX('Market Data'!$AC$5:$AC$66,INDEX('Market Data'!$J$5:$J$528,$T430)-4))&gt;0),"Snapshot","Unavailable"))))</f>
        <v/>
      </c>
      <c r="T430">
        <f>IFERROR(MATCH(422,'Market Data'!$S$5:$S$528,0),0)</f>
        <v/>
      </c>
    </row>
    <row r="431" ht="34" customHeight="1">
      <c r="A431" s="8">
        <f>IF($T431=0,"",IF(INDEX('Market Data'!$A$5:$A$528,$T431)="","",INDEX('Market Data'!$A$5:$A$528,$T431)))</f>
        <v/>
      </c>
      <c r="B431" s="9">
        <f>IF($T431=0,"",IF(INDEX('Market Data'!$B$5:$B$528,$T431)="","",INDEX('Market Data'!$B$5:$B$528,$T431)))</f>
        <v/>
      </c>
      <c r="C431" s="9">
        <f>IF($T431=0,"",IF(INDEX('Market Data'!$C$5:$C$528,$T431)="","",INDEX('Market Data'!$C$5:$C$528,$T431)))</f>
        <v/>
      </c>
      <c r="D431" s="9">
        <f>IF($T431=0,"",IF(INDEX('Market Data'!$D$5:$D$528,$T431)="","",INDEX('Market Data'!$D$5:$D$528,$T431)))</f>
        <v/>
      </c>
      <c r="E431" s="10">
        <f>IF($T431=0,"",INDEX('Market Data'!$O$5:$O$528,$T431))</f>
        <v/>
      </c>
      <c r="F431" s="11">
        <f>IF($T431=0,"",IF(AND($I431="Bloomberg",ISNUMBER(INDEX('Market Data'!$L$5:$L$528,$T431))),INDEX('Market Data'!$L$5:$L$528,$T431),"unavailable"))</f>
        <v/>
      </c>
      <c r="G431" s="12">
        <f>IF($T431=0,"",IF($I431="Bloomberg",IF(AND(ISNUMBER(INDEX('Market Data'!$M$5:$M$528,$T431)),N(INDEX('Market Data'!$M$5:$M$528,$T431))&gt;0),INDEX('Market Data'!$M$5:$M$528,$T431),"date unavailable"),IF($I431="Snapshot",IF(AND(ISNUMBER(INDEX('Market Data'!$H$5:$H$528,$T431)),N(INDEX('Market Data'!$H$5:$H$528,$T431))&gt;0),INDEX('Market Data'!$H$5:$H$528,$T431),"date unavailable"),"date unavailable")))</f>
        <v/>
      </c>
      <c r="H431" s="9">
        <f>IF($T431=0,"",IF($I431="Bloomberg",IF(INDEX('Market Data'!$N$5:$N$528,$T431)="","time unavailable",INDEX('Market Data'!$N$5:$N$528,$T431)),""))</f>
        <v/>
      </c>
      <c r="I431" s="9">
        <f>IF($T431=0,"",INDEX('Market Data'!$P$5:$P$528,$T431))</f>
        <v/>
      </c>
      <c r="J431" s="13">
        <f>IF($T431=0,"",IF(INDEX('Market Data'!$E$5:$E$528,$T431)="","",INDEX('Market Data'!$E$5:$E$528,$T431)))</f>
        <v/>
      </c>
      <c r="K431" s="8">
        <f>IF($T431=0,"",IF(INDEX('Market Data'!$I$5:$I$528,$T431)="","",INDEX('Market Data'!$I$5:$I$528,$T431)))</f>
        <v/>
      </c>
      <c r="L431" s="10">
        <f>IF($T431=0,"",IF(INDEX('Market Data'!$J$5:$J$528,$T431)=0,"n/a",IF(AND($M$5&lt;&gt;"Snapshot",ISNUMBER(INDEX('Market Data'!$AH$5:$AH$66,INDEX('Market Data'!$J$5:$J$528,$T431)-4)),N(INDEX('Market Data'!$AH$5:$AH$66,INDEX('Market Data'!$J$5:$J$528,$T431)-4))&gt;0),INDEX('Market Data'!$AH$5:$AH$66,INDEX('Market Data'!$J$5:$J$528,$T431)-4),IF(AND($M$5&lt;&gt;"Bloomberg",ISNUMBER(INDEX('Market Data'!$AC$5:$AC$66,INDEX('Market Data'!$J$5:$J$528,$T431)-4)),N(INDEX('Market Data'!$AC$5:$AC$66,INDEX('Market Data'!$J$5:$J$528,$T431)-4))&gt;0),INDEX('Market Data'!$AC$5:$AC$66,INDEX('Market Data'!$J$5:$J$528,$T431)-4),"unavailable"))))</f>
        <v/>
      </c>
      <c r="M431" s="11">
        <f>IF($T431=0,"",IF(INDEX('Market Data'!$J$5:$J$528,$T431)=0,"n/a",IF(IF(INDEX('Market Data'!$J$5:$J$528,$T431)=0,0,IF(LEFT(INDEX('Market Data'!$AS$5:$AS$66,INDEX('Market Data'!$J$5:$J$528,$T431)-4),11)="First-month",1,0))=1,"class review",IF($I431="Bloomberg",IF(AND(ISNUMBER(INDEX('Market Data'!$AH$5:$AH$66,INDEX('Market Data'!$J$5:$J$528,$T431)-4)),N(INDEX('Market Data'!$AH$5:$AH$66,INDEX('Market Data'!$J$5:$J$528,$T431)-4))&gt;0,ISNUMBER('Market Data'!$B$1),N('Market Data'!$B$1)&gt;0),INDEX('Market Data'!$AH$5:$AH$66,INDEX('Market Data'!$J$5:$J$528,$T431)-4)*'Market Data'!$B$1/$E431-1,"pending A/FX"),IF(AND($I431="Snapshot",$Q431="Snapshot",ISNUMBER($E431),$G431=INDEX('Market Data'!$AE$5:$AE$66,INDEX('Market Data'!$J$5:$J$528,$T431)-4)),IFERROR(INDEX('Market Data'!$AC$5:$AC$66,INDEX('Market Data'!$J$5:$J$528,$T431)-4)*INDEX('Market Data'!$AD$5:$AD$66,INDEX('Market Data'!$J$5:$J$528,$T431)-4)/$E431-1,"unavailable"),IF($I431="Unavailable","unavailable","date mismatch"))))))</f>
        <v/>
      </c>
      <c r="N431" s="11">
        <f>IF($T431=0,"",IFERROR(IF(AND(N(INDEX('Market Data'!$F$5:$F$528,$T431))&gt;0,ISNUMBER(INDEX('Market Data'!$T$5:$T$528,$T431))),$E431*INDEX('Market Data'!$T$5:$T$528,$T431)/INDEX('Market Data'!$F$5:$F$528,$T431)-1,"unavailable"),"unavailable"))</f>
        <v/>
      </c>
      <c r="O431" s="9">
        <f>IF($T431=0,"",IF(IF(INDEX('Market Data'!$J$5:$J$528,$T431)=0,0,IF(LEFT(INDEX('Market Data'!$AS$5:$AS$66,INDEX('Market Data'!$J$5:$J$528,$T431)-4),11)="First-month",1,0))=1,"Class ratio review",IF($I431="Bloomberg",IF(ISNUMBER($G431),IF($G431&lt;TODAY(),"Older quote","See quote time"),"Date unavailable"),IF($I431="Snapshot",IF($G431&lt;DATEVALUE("2026-10-02"),"Older snapshot","Dated close"),"No valid quote"))))</f>
        <v/>
      </c>
      <c r="P431" s="14">
        <f>IF($T431=0,"",IF(INDEX('Market Data'!$J$5:$J$528,$T431)=0,"n/a",IF($Q431="Bloomberg",IF(AND(ISNUMBER(INDEX('Market Data'!$AK$5:$AK$66,INDEX('Market Data'!$J$5:$J$528,$T431)-4)),N(INDEX('Market Data'!$AK$5:$AK$66,INDEX('Market Data'!$J$5:$J$528,$T431)-4))&gt;0),INDEX('Market Data'!$AK$5:$AK$66,INDEX('Market Data'!$J$5:$J$528,$T431)-4),"date unavailable"),IF($Q431="Snapshot",IF(AND(ISNUMBER(INDEX('Market Data'!$AF$5:$AF$66,INDEX('Market Data'!$J$5:$J$528,$T431)-4)),N(INDEX('Market Data'!$AF$5:$AF$66,INDEX('Market Data'!$J$5:$J$528,$T431)-4))&gt;0),INDEX('Market Data'!$AF$5:$AF$66,INDEX('Market Data'!$J$5:$J$528,$T431)-4),"date unavailable"),"date unavailable"))))</f>
        <v/>
      </c>
      <c r="Q431" s="15">
        <f>IF($T431=0,"",IF(INDEX('Market Data'!$J$5:$J$528,$T431)=0,"n/a",IF(AND($M$5&lt;&gt;"Snapshot",ISNUMBER(INDEX('Market Data'!$AH$5:$AH$66,INDEX('Market Data'!$J$5:$J$528,$T431)-4)),N(INDEX('Market Data'!$AH$5:$AH$66,INDEX('Market Data'!$J$5:$J$528,$T431)-4))&gt;0),"Bloomberg",IF(AND($M$5&lt;&gt;"Bloomberg",ISNUMBER(INDEX('Market Data'!$AC$5:$AC$66,INDEX('Market Data'!$J$5:$J$528,$T431)-4)),N(INDEX('Market Data'!$AC$5:$AC$66,INDEX('Market Data'!$J$5:$J$528,$T431)-4))&gt;0),"Snapshot","Unavailable"))))</f>
        <v/>
      </c>
      <c r="T431">
        <f>IFERROR(MATCH(423,'Market Data'!$S$5:$S$528,0),0)</f>
        <v/>
      </c>
    </row>
    <row r="432" ht="34" customHeight="1">
      <c r="A432" s="8">
        <f>IF($T432=0,"",IF(INDEX('Market Data'!$A$5:$A$528,$T432)="","",INDEX('Market Data'!$A$5:$A$528,$T432)))</f>
        <v/>
      </c>
      <c r="B432" s="9">
        <f>IF($T432=0,"",IF(INDEX('Market Data'!$B$5:$B$528,$T432)="","",INDEX('Market Data'!$B$5:$B$528,$T432)))</f>
        <v/>
      </c>
      <c r="C432" s="9">
        <f>IF($T432=0,"",IF(INDEX('Market Data'!$C$5:$C$528,$T432)="","",INDEX('Market Data'!$C$5:$C$528,$T432)))</f>
        <v/>
      </c>
      <c r="D432" s="9">
        <f>IF($T432=0,"",IF(INDEX('Market Data'!$D$5:$D$528,$T432)="","",INDEX('Market Data'!$D$5:$D$528,$T432)))</f>
        <v/>
      </c>
      <c r="E432" s="10">
        <f>IF($T432=0,"",INDEX('Market Data'!$O$5:$O$528,$T432))</f>
        <v/>
      </c>
      <c r="F432" s="11">
        <f>IF($T432=0,"",IF(AND($I432="Bloomberg",ISNUMBER(INDEX('Market Data'!$L$5:$L$528,$T432))),INDEX('Market Data'!$L$5:$L$528,$T432),"unavailable"))</f>
        <v/>
      </c>
      <c r="G432" s="12">
        <f>IF($T432=0,"",IF($I432="Bloomberg",IF(AND(ISNUMBER(INDEX('Market Data'!$M$5:$M$528,$T432)),N(INDEX('Market Data'!$M$5:$M$528,$T432))&gt;0),INDEX('Market Data'!$M$5:$M$528,$T432),"date unavailable"),IF($I432="Snapshot",IF(AND(ISNUMBER(INDEX('Market Data'!$H$5:$H$528,$T432)),N(INDEX('Market Data'!$H$5:$H$528,$T432))&gt;0),INDEX('Market Data'!$H$5:$H$528,$T432),"date unavailable"),"date unavailable")))</f>
        <v/>
      </c>
      <c r="H432" s="9">
        <f>IF($T432=0,"",IF($I432="Bloomberg",IF(INDEX('Market Data'!$N$5:$N$528,$T432)="","time unavailable",INDEX('Market Data'!$N$5:$N$528,$T432)),""))</f>
        <v/>
      </c>
      <c r="I432" s="9">
        <f>IF($T432=0,"",INDEX('Market Data'!$P$5:$P$528,$T432))</f>
        <v/>
      </c>
      <c r="J432" s="13">
        <f>IF($T432=0,"",IF(INDEX('Market Data'!$E$5:$E$528,$T432)="","",INDEX('Market Data'!$E$5:$E$528,$T432)))</f>
        <v/>
      </c>
      <c r="K432" s="8">
        <f>IF($T432=0,"",IF(INDEX('Market Data'!$I$5:$I$528,$T432)="","",INDEX('Market Data'!$I$5:$I$528,$T432)))</f>
        <v/>
      </c>
      <c r="L432" s="10">
        <f>IF($T432=0,"",IF(INDEX('Market Data'!$J$5:$J$528,$T432)=0,"n/a",IF(AND($M$5&lt;&gt;"Snapshot",ISNUMBER(INDEX('Market Data'!$AH$5:$AH$66,INDEX('Market Data'!$J$5:$J$528,$T432)-4)),N(INDEX('Market Data'!$AH$5:$AH$66,INDEX('Market Data'!$J$5:$J$528,$T432)-4))&gt;0),INDEX('Market Data'!$AH$5:$AH$66,INDEX('Market Data'!$J$5:$J$528,$T432)-4),IF(AND($M$5&lt;&gt;"Bloomberg",ISNUMBER(INDEX('Market Data'!$AC$5:$AC$66,INDEX('Market Data'!$J$5:$J$528,$T432)-4)),N(INDEX('Market Data'!$AC$5:$AC$66,INDEX('Market Data'!$J$5:$J$528,$T432)-4))&gt;0),INDEX('Market Data'!$AC$5:$AC$66,INDEX('Market Data'!$J$5:$J$528,$T432)-4),"unavailable"))))</f>
        <v/>
      </c>
      <c r="M432" s="11">
        <f>IF($T432=0,"",IF(INDEX('Market Data'!$J$5:$J$528,$T432)=0,"n/a",IF(IF(INDEX('Market Data'!$J$5:$J$528,$T432)=0,0,IF(LEFT(INDEX('Market Data'!$AS$5:$AS$66,INDEX('Market Data'!$J$5:$J$528,$T432)-4),11)="First-month",1,0))=1,"class review",IF($I432="Bloomberg",IF(AND(ISNUMBER(INDEX('Market Data'!$AH$5:$AH$66,INDEX('Market Data'!$J$5:$J$528,$T432)-4)),N(INDEX('Market Data'!$AH$5:$AH$66,INDEX('Market Data'!$J$5:$J$528,$T432)-4))&gt;0,ISNUMBER('Market Data'!$B$1),N('Market Data'!$B$1)&gt;0),INDEX('Market Data'!$AH$5:$AH$66,INDEX('Market Data'!$J$5:$J$528,$T432)-4)*'Market Data'!$B$1/$E432-1,"pending A/FX"),IF(AND($I432="Snapshot",$Q432="Snapshot",ISNUMBER($E432),$G432=INDEX('Market Data'!$AE$5:$AE$66,INDEX('Market Data'!$J$5:$J$528,$T432)-4)),IFERROR(INDEX('Market Data'!$AC$5:$AC$66,INDEX('Market Data'!$J$5:$J$528,$T432)-4)*INDEX('Market Data'!$AD$5:$AD$66,INDEX('Market Data'!$J$5:$J$528,$T432)-4)/$E432-1,"unavailable"),IF($I432="Unavailable","unavailable","date mismatch"))))))</f>
        <v/>
      </c>
      <c r="N432" s="11">
        <f>IF($T432=0,"",IFERROR(IF(AND(N(INDEX('Market Data'!$F$5:$F$528,$T432))&gt;0,ISNUMBER(INDEX('Market Data'!$T$5:$T$528,$T432))),$E432*INDEX('Market Data'!$T$5:$T$528,$T432)/INDEX('Market Data'!$F$5:$F$528,$T432)-1,"unavailable"),"unavailable"))</f>
        <v/>
      </c>
      <c r="O432" s="9">
        <f>IF($T432=0,"",IF(IF(INDEX('Market Data'!$J$5:$J$528,$T432)=0,0,IF(LEFT(INDEX('Market Data'!$AS$5:$AS$66,INDEX('Market Data'!$J$5:$J$528,$T432)-4),11)="First-month",1,0))=1,"Class ratio review",IF($I432="Bloomberg",IF(ISNUMBER($G432),IF($G432&lt;TODAY(),"Older quote","See quote time"),"Date unavailable"),IF($I432="Snapshot",IF($G432&lt;DATEVALUE("2026-10-02"),"Older snapshot","Dated close"),"No valid quote"))))</f>
        <v/>
      </c>
      <c r="P432" s="14">
        <f>IF($T432=0,"",IF(INDEX('Market Data'!$J$5:$J$528,$T432)=0,"n/a",IF($Q432="Bloomberg",IF(AND(ISNUMBER(INDEX('Market Data'!$AK$5:$AK$66,INDEX('Market Data'!$J$5:$J$528,$T432)-4)),N(INDEX('Market Data'!$AK$5:$AK$66,INDEX('Market Data'!$J$5:$J$528,$T432)-4))&gt;0),INDEX('Market Data'!$AK$5:$AK$66,INDEX('Market Data'!$J$5:$J$528,$T432)-4),"date unavailable"),IF($Q432="Snapshot",IF(AND(ISNUMBER(INDEX('Market Data'!$AF$5:$AF$66,INDEX('Market Data'!$J$5:$J$528,$T432)-4)),N(INDEX('Market Data'!$AF$5:$AF$66,INDEX('Market Data'!$J$5:$J$528,$T432)-4))&gt;0),INDEX('Market Data'!$AF$5:$AF$66,INDEX('Market Data'!$J$5:$J$528,$T432)-4),"date unavailable"),"date unavailable"))))</f>
        <v/>
      </c>
      <c r="Q432" s="15">
        <f>IF($T432=0,"",IF(INDEX('Market Data'!$J$5:$J$528,$T432)=0,"n/a",IF(AND($M$5&lt;&gt;"Snapshot",ISNUMBER(INDEX('Market Data'!$AH$5:$AH$66,INDEX('Market Data'!$J$5:$J$528,$T432)-4)),N(INDEX('Market Data'!$AH$5:$AH$66,INDEX('Market Data'!$J$5:$J$528,$T432)-4))&gt;0),"Bloomberg",IF(AND($M$5&lt;&gt;"Bloomberg",ISNUMBER(INDEX('Market Data'!$AC$5:$AC$66,INDEX('Market Data'!$J$5:$J$528,$T432)-4)),N(INDEX('Market Data'!$AC$5:$AC$66,INDEX('Market Data'!$J$5:$J$528,$T432)-4))&gt;0),"Snapshot","Unavailable"))))</f>
        <v/>
      </c>
      <c r="T432">
        <f>IFERROR(MATCH(424,'Market Data'!$S$5:$S$528,0),0)</f>
        <v/>
      </c>
    </row>
    <row r="433" ht="34" customHeight="1">
      <c r="A433" s="8">
        <f>IF($T433=0,"",IF(INDEX('Market Data'!$A$5:$A$528,$T433)="","",INDEX('Market Data'!$A$5:$A$528,$T433)))</f>
        <v/>
      </c>
      <c r="B433" s="9">
        <f>IF($T433=0,"",IF(INDEX('Market Data'!$B$5:$B$528,$T433)="","",INDEX('Market Data'!$B$5:$B$528,$T433)))</f>
        <v/>
      </c>
      <c r="C433" s="9">
        <f>IF($T433=0,"",IF(INDEX('Market Data'!$C$5:$C$528,$T433)="","",INDEX('Market Data'!$C$5:$C$528,$T433)))</f>
        <v/>
      </c>
      <c r="D433" s="9">
        <f>IF($T433=0,"",IF(INDEX('Market Data'!$D$5:$D$528,$T433)="","",INDEX('Market Data'!$D$5:$D$528,$T433)))</f>
        <v/>
      </c>
      <c r="E433" s="10">
        <f>IF($T433=0,"",INDEX('Market Data'!$O$5:$O$528,$T433))</f>
        <v/>
      </c>
      <c r="F433" s="11">
        <f>IF($T433=0,"",IF(AND($I433="Bloomberg",ISNUMBER(INDEX('Market Data'!$L$5:$L$528,$T433))),INDEX('Market Data'!$L$5:$L$528,$T433),"unavailable"))</f>
        <v/>
      </c>
      <c r="G433" s="12">
        <f>IF($T433=0,"",IF($I433="Bloomberg",IF(AND(ISNUMBER(INDEX('Market Data'!$M$5:$M$528,$T433)),N(INDEX('Market Data'!$M$5:$M$528,$T433))&gt;0),INDEX('Market Data'!$M$5:$M$528,$T433),"date unavailable"),IF($I433="Snapshot",IF(AND(ISNUMBER(INDEX('Market Data'!$H$5:$H$528,$T433)),N(INDEX('Market Data'!$H$5:$H$528,$T433))&gt;0),INDEX('Market Data'!$H$5:$H$528,$T433),"date unavailable"),"date unavailable")))</f>
        <v/>
      </c>
      <c r="H433" s="9">
        <f>IF($T433=0,"",IF($I433="Bloomberg",IF(INDEX('Market Data'!$N$5:$N$528,$T433)="","time unavailable",INDEX('Market Data'!$N$5:$N$528,$T433)),""))</f>
        <v/>
      </c>
      <c r="I433" s="9">
        <f>IF($T433=0,"",INDEX('Market Data'!$P$5:$P$528,$T433))</f>
        <v/>
      </c>
      <c r="J433" s="13">
        <f>IF($T433=0,"",IF(INDEX('Market Data'!$E$5:$E$528,$T433)="","",INDEX('Market Data'!$E$5:$E$528,$T433)))</f>
        <v/>
      </c>
      <c r="K433" s="8">
        <f>IF($T433=0,"",IF(INDEX('Market Data'!$I$5:$I$528,$T433)="","",INDEX('Market Data'!$I$5:$I$528,$T433)))</f>
        <v/>
      </c>
      <c r="L433" s="10">
        <f>IF($T433=0,"",IF(INDEX('Market Data'!$J$5:$J$528,$T433)=0,"n/a",IF(AND($M$5&lt;&gt;"Snapshot",ISNUMBER(INDEX('Market Data'!$AH$5:$AH$66,INDEX('Market Data'!$J$5:$J$528,$T433)-4)),N(INDEX('Market Data'!$AH$5:$AH$66,INDEX('Market Data'!$J$5:$J$528,$T433)-4))&gt;0),INDEX('Market Data'!$AH$5:$AH$66,INDEX('Market Data'!$J$5:$J$528,$T433)-4),IF(AND($M$5&lt;&gt;"Bloomberg",ISNUMBER(INDEX('Market Data'!$AC$5:$AC$66,INDEX('Market Data'!$J$5:$J$528,$T433)-4)),N(INDEX('Market Data'!$AC$5:$AC$66,INDEX('Market Data'!$J$5:$J$528,$T433)-4))&gt;0),INDEX('Market Data'!$AC$5:$AC$66,INDEX('Market Data'!$J$5:$J$528,$T433)-4),"unavailable"))))</f>
        <v/>
      </c>
      <c r="M433" s="11">
        <f>IF($T433=0,"",IF(INDEX('Market Data'!$J$5:$J$528,$T433)=0,"n/a",IF(IF(INDEX('Market Data'!$J$5:$J$528,$T433)=0,0,IF(LEFT(INDEX('Market Data'!$AS$5:$AS$66,INDEX('Market Data'!$J$5:$J$528,$T433)-4),11)="First-month",1,0))=1,"class review",IF($I433="Bloomberg",IF(AND(ISNUMBER(INDEX('Market Data'!$AH$5:$AH$66,INDEX('Market Data'!$J$5:$J$528,$T433)-4)),N(INDEX('Market Data'!$AH$5:$AH$66,INDEX('Market Data'!$J$5:$J$528,$T433)-4))&gt;0,ISNUMBER('Market Data'!$B$1),N('Market Data'!$B$1)&gt;0),INDEX('Market Data'!$AH$5:$AH$66,INDEX('Market Data'!$J$5:$J$528,$T433)-4)*'Market Data'!$B$1/$E433-1,"pending A/FX"),IF(AND($I433="Snapshot",$Q433="Snapshot",ISNUMBER($E433),$G433=INDEX('Market Data'!$AE$5:$AE$66,INDEX('Market Data'!$J$5:$J$528,$T433)-4)),IFERROR(INDEX('Market Data'!$AC$5:$AC$66,INDEX('Market Data'!$J$5:$J$528,$T433)-4)*INDEX('Market Data'!$AD$5:$AD$66,INDEX('Market Data'!$J$5:$J$528,$T433)-4)/$E433-1,"unavailable"),IF($I433="Unavailable","unavailable","date mismatch"))))))</f>
        <v/>
      </c>
      <c r="N433" s="11">
        <f>IF($T433=0,"",IFERROR(IF(AND(N(INDEX('Market Data'!$F$5:$F$528,$T433))&gt;0,ISNUMBER(INDEX('Market Data'!$T$5:$T$528,$T433))),$E433*INDEX('Market Data'!$T$5:$T$528,$T433)/INDEX('Market Data'!$F$5:$F$528,$T433)-1,"unavailable"),"unavailable"))</f>
        <v/>
      </c>
      <c r="O433" s="9">
        <f>IF($T433=0,"",IF(IF(INDEX('Market Data'!$J$5:$J$528,$T433)=0,0,IF(LEFT(INDEX('Market Data'!$AS$5:$AS$66,INDEX('Market Data'!$J$5:$J$528,$T433)-4),11)="First-month",1,0))=1,"Class ratio review",IF($I433="Bloomberg",IF(ISNUMBER($G433),IF($G433&lt;TODAY(),"Older quote","See quote time"),"Date unavailable"),IF($I433="Snapshot",IF($G433&lt;DATEVALUE("2026-10-02"),"Older snapshot","Dated close"),"No valid quote"))))</f>
        <v/>
      </c>
      <c r="P433" s="14">
        <f>IF($T433=0,"",IF(INDEX('Market Data'!$J$5:$J$528,$T433)=0,"n/a",IF($Q433="Bloomberg",IF(AND(ISNUMBER(INDEX('Market Data'!$AK$5:$AK$66,INDEX('Market Data'!$J$5:$J$528,$T433)-4)),N(INDEX('Market Data'!$AK$5:$AK$66,INDEX('Market Data'!$J$5:$J$528,$T433)-4))&gt;0),INDEX('Market Data'!$AK$5:$AK$66,INDEX('Market Data'!$J$5:$J$528,$T433)-4),"date unavailable"),IF($Q433="Snapshot",IF(AND(ISNUMBER(INDEX('Market Data'!$AF$5:$AF$66,INDEX('Market Data'!$J$5:$J$528,$T433)-4)),N(INDEX('Market Data'!$AF$5:$AF$66,INDEX('Market Data'!$J$5:$J$528,$T433)-4))&gt;0),INDEX('Market Data'!$AF$5:$AF$66,INDEX('Market Data'!$J$5:$J$528,$T433)-4),"date unavailable"),"date unavailable"))))</f>
        <v/>
      </c>
      <c r="Q433" s="15">
        <f>IF($T433=0,"",IF(INDEX('Market Data'!$J$5:$J$528,$T433)=0,"n/a",IF(AND($M$5&lt;&gt;"Snapshot",ISNUMBER(INDEX('Market Data'!$AH$5:$AH$66,INDEX('Market Data'!$J$5:$J$528,$T433)-4)),N(INDEX('Market Data'!$AH$5:$AH$66,INDEX('Market Data'!$J$5:$J$528,$T433)-4))&gt;0),"Bloomberg",IF(AND($M$5&lt;&gt;"Bloomberg",ISNUMBER(INDEX('Market Data'!$AC$5:$AC$66,INDEX('Market Data'!$J$5:$J$528,$T433)-4)),N(INDEX('Market Data'!$AC$5:$AC$66,INDEX('Market Data'!$J$5:$J$528,$T433)-4))&gt;0),"Snapshot","Unavailable"))))</f>
        <v/>
      </c>
      <c r="T433">
        <f>IFERROR(MATCH(425,'Market Data'!$S$5:$S$528,0),0)</f>
        <v/>
      </c>
    </row>
    <row r="434" ht="34" customHeight="1">
      <c r="A434" s="8">
        <f>IF($T434=0,"",IF(INDEX('Market Data'!$A$5:$A$528,$T434)="","",INDEX('Market Data'!$A$5:$A$528,$T434)))</f>
        <v/>
      </c>
      <c r="B434" s="9">
        <f>IF($T434=0,"",IF(INDEX('Market Data'!$B$5:$B$528,$T434)="","",INDEX('Market Data'!$B$5:$B$528,$T434)))</f>
        <v/>
      </c>
      <c r="C434" s="9">
        <f>IF($T434=0,"",IF(INDEX('Market Data'!$C$5:$C$528,$T434)="","",INDEX('Market Data'!$C$5:$C$528,$T434)))</f>
        <v/>
      </c>
      <c r="D434" s="9">
        <f>IF($T434=0,"",IF(INDEX('Market Data'!$D$5:$D$528,$T434)="","",INDEX('Market Data'!$D$5:$D$528,$T434)))</f>
        <v/>
      </c>
      <c r="E434" s="10">
        <f>IF($T434=0,"",INDEX('Market Data'!$O$5:$O$528,$T434))</f>
        <v/>
      </c>
      <c r="F434" s="11">
        <f>IF($T434=0,"",IF(AND($I434="Bloomberg",ISNUMBER(INDEX('Market Data'!$L$5:$L$528,$T434))),INDEX('Market Data'!$L$5:$L$528,$T434),"unavailable"))</f>
        <v/>
      </c>
      <c r="G434" s="12">
        <f>IF($T434=0,"",IF($I434="Bloomberg",IF(AND(ISNUMBER(INDEX('Market Data'!$M$5:$M$528,$T434)),N(INDEX('Market Data'!$M$5:$M$528,$T434))&gt;0),INDEX('Market Data'!$M$5:$M$528,$T434),"date unavailable"),IF($I434="Snapshot",IF(AND(ISNUMBER(INDEX('Market Data'!$H$5:$H$528,$T434)),N(INDEX('Market Data'!$H$5:$H$528,$T434))&gt;0),INDEX('Market Data'!$H$5:$H$528,$T434),"date unavailable"),"date unavailable")))</f>
        <v/>
      </c>
      <c r="H434" s="9">
        <f>IF($T434=0,"",IF($I434="Bloomberg",IF(INDEX('Market Data'!$N$5:$N$528,$T434)="","time unavailable",INDEX('Market Data'!$N$5:$N$528,$T434)),""))</f>
        <v/>
      </c>
      <c r="I434" s="9">
        <f>IF($T434=0,"",INDEX('Market Data'!$P$5:$P$528,$T434))</f>
        <v/>
      </c>
      <c r="J434" s="13">
        <f>IF($T434=0,"",IF(INDEX('Market Data'!$E$5:$E$528,$T434)="","",INDEX('Market Data'!$E$5:$E$528,$T434)))</f>
        <v/>
      </c>
      <c r="K434" s="8">
        <f>IF($T434=0,"",IF(INDEX('Market Data'!$I$5:$I$528,$T434)="","",INDEX('Market Data'!$I$5:$I$528,$T434)))</f>
        <v/>
      </c>
      <c r="L434" s="10">
        <f>IF($T434=0,"",IF(INDEX('Market Data'!$J$5:$J$528,$T434)=0,"n/a",IF(AND($M$5&lt;&gt;"Snapshot",ISNUMBER(INDEX('Market Data'!$AH$5:$AH$66,INDEX('Market Data'!$J$5:$J$528,$T434)-4)),N(INDEX('Market Data'!$AH$5:$AH$66,INDEX('Market Data'!$J$5:$J$528,$T434)-4))&gt;0),INDEX('Market Data'!$AH$5:$AH$66,INDEX('Market Data'!$J$5:$J$528,$T434)-4),IF(AND($M$5&lt;&gt;"Bloomberg",ISNUMBER(INDEX('Market Data'!$AC$5:$AC$66,INDEX('Market Data'!$J$5:$J$528,$T434)-4)),N(INDEX('Market Data'!$AC$5:$AC$66,INDEX('Market Data'!$J$5:$J$528,$T434)-4))&gt;0),INDEX('Market Data'!$AC$5:$AC$66,INDEX('Market Data'!$J$5:$J$528,$T434)-4),"unavailable"))))</f>
        <v/>
      </c>
      <c r="M434" s="11">
        <f>IF($T434=0,"",IF(INDEX('Market Data'!$J$5:$J$528,$T434)=0,"n/a",IF(IF(INDEX('Market Data'!$J$5:$J$528,$T434)=0,0,IF(LEFT(INDEX('Market Data'!$AS$5:$AS$66,INDEX('Market Data'!$J$5:$J$528,$T434)-4),11)="First-month",1,0))=1,"class review",IF($I434="Bloomberg",IF(AND(ISNUMBER(INDEX('Market Data'!$AH$5:$AH$66,INDEX('Market Data'!$J$5:$J$528,$T434)-4)),N(INDEX('Market Data'!$AH$5:$AH$66,INDEX('Market Data'!$J$5:$J$528,$T434)-4))&gt;0,ISNUMBER('Market Data'!$B$1),N('Market Data'!$B$1)&gt;0),INDEX('Market Data'!$AH$5:$AH$66,INDEX('Market Data'!$J$5:$J$528,$T434)-4)*'Market Data'!$B$1/$E434-1,"pending A/FX"),IF(AND($I434="Snapshot",$Q434="Snapshot",ISNUMBER($E434),$G434=INDEX('Market Data'!$AE$5:$AE$66,INDEX('Market Data'!$J$5:$J$528,$T434)-4)),IFERROR(INDEX('Market Data'!$AC$5:$AC$66,INDEX('Market Data'!$J$5:$J$528,$T434)-4)*INDEX('Market Data'!$AD$5:$AD$66,INDEX('Market Data'!$J$5:$J$528,$T434)-4)/$E434-1,"unavailable"),IF($I434="Unavailable","unavailable","date mismatch"))))))</f>
        <v/>
      </c>
      <c r="N434" s="11">
        <f>IF($T434=0,"",IFERROR(IF(AND(N(INDEX('Market Data'!$F$5:$F$528,$T434))&gt;0,ISNUMBER(INDEX('Market Data'!$T$5:$T$528,$T434))),$E434*INDEX('Market Data'!$T$5:$T$528,$T434)/INDEX('Market Data'!$F$5:$F$528,$T434)-1,"unavailable"),"unavailable"))</f>
        <v/>
      </c>
      <c r="O434" s="9">
        <f>IF($T434=0,"",IF(IF(INDEX('Market Data'!$J$5:$J$528,$T434)=0,0,IF(LEFT(INDEX('Market Data'!$AS$5:$AS$66,INDEX('Market Data'!$J$5:$J$528,$T434)-4),11)="First-month",1,0))=1,"Class ratio review",IF($I434="Bloomberg",IF(ISNUMBER($G434),IF($G434&lt;TODAY(),"Older quote","See quote time"),"Date unavailable"),IF($I434="Snapshot",IF($G434&lt;DATEVALUE("2026-10-02"),"Older snapshot","Dated close"),"No valid quote"))))</f>
        <v/>
      </c>
      <c r="P434" s="14">
        <f>IF($T434=0,"",IF(INDEX('Market Data'!$J$5:$J$528,$T434)=0,"n/a",IF($Q434="Bloomberg",IF(AND(ISNUMBER(INDEX('Market Data'!$AK$5:$AK$66,INDEX('Market Data'!$J$5:$J$528,$T434)-4)),N(INDEX('Market Data'!$AK$5:$AK$66,INDEX('Market Data'!$J$5:$J$528,$T434)-4))&gt;0),INDEX('Market Data'!$AK$5:$AK$66,INDEX('Market Data'!$J$5:$J$528,$T434)-4),"date unavailable"),IF($Q434="Snapshot",IF(AND(ISNUMBER(INDEX('Market Data'!$AF$5:$AF$66,INDEX('Market Data'!$J$5:$J$528,$T434)-4)),N(INDEX('Market Data'!$AF$5:$AF$66,INDEX('Market Data'!$J$5:$J$528,$T434)-4))&gt;0),INDEX('Market Data'!$AF$5:$AF$66,INDEX('Market Data'!$J$5:$J$528,$T434)-4),"date unavailable"),"date unavailable"))))</f>
        <v/>
      </c>
      <c r="Q434" s="15">
        <f>IF($T434=0,"",IF(INDEX('Market Data'!$J$5:$J$528,$T434)=0,"n/a",IF(AND($M$5&lt;&gt;"Snapshot",ISNUMBER(INDEX('Market Data'!$AH$5:$AH$66,INDEX('Market Data'!$J$5:$J$528,$T434)-4)),N(INDEX('Market Data'!$AH$5:$AH$66,INDEX('Market Data'!$J$5:$J$528,$T434)-4))&gt;0),"Bloomberg",IF(AND($M$5&lt;&gt;"Bloomberg",ISNUMBER(INDEX('Market Data'!$AC$5:$AC$66,INDEX('Market Data'!$J$5:$J$528,$T434)-4)),N(INDEX('Market Data'!$AC$5:$AC$66,INDEX('Market Data'!$J$5:$J$528,$T434)-4))&gt;0),"Snapshot","Unavailable"))))</f>
        <v/>
      </c>
      <c r="T434">
        <f>IFERROR(MATCH(426,'Market Data'!$S$5:$S$528,0),0)</f>
        <v/>
      </c>
    </row>
    <row r="435" ht="34" customHeight="1">
      <c r="A435" s="8">
        <f>IF($T435=0,"",IF(INDEX('Market Data'!$A$5:$A$528,$T435)="","",INDEX('Market Data'!$A$5:$A$528,$T435)))</f>
        <v/>
      </c>
      <c r="B435" s="9">
        <f>IF($T435=0,"",IF(INDEX('Market Data'!$B$5:$B$528,$T435)="","",INDEX('Market Data'!$B$5:$B$528,$T435)))</f>
        <v/>
      </c>
      <c r="C435" s="9">
        <f>IF($T435=0,"",IF(INDEX('Market Data'!$C$5:$C$528,$T435)="","",INDEX('Market Data'!$C$5:$C$528,$T435)))</f>
        <v/>
      </c>
      <c r="D435" s="9">
        <f>IF($T435=0,"",IF(INDEX('Market Data'!$D$5:$D$528,$T435)="","",INDEX('Market Data'!$D$5:$D$528,$T435)))</f>
        <v/>
      </c>
      <c r="E435" s="10">
        <f>IF($T435=0,"",INDEX('Market Data'!$O$5:$O$528,$T435))</f>
        <v/>
      </c>
      <c r="F435" s="11">
        <f>IF($T435=0,"",IF(AND($I435="Bloomberg",ISNUMBER(INDEX('Market Data'!$L$5:$L$528,$T435))),INDEX('Market Data'!$L$5:$L$528,$T435),"unavailable"))</f>
        <v/>
      </c>
      <c r="G435" s="12">
        <f>IF($T435=0,"",IF($I435="Bloomberg",IF(AND(ISNUMBER(INDEX('Market Data'!$M$5:$M$528,$T435)),N(INDEX('Market Data'!$M$5:$M$528,$T435))&gt;0),INDEX('Market Data'!$M$5:$M$528,$T435),"date unavailable"),IF($I435="Snapshot",IF(AND(ISNUMBER(INDEX('Market Data'!$H$5:$H$528,$T435)),N(INDEX('Market Data'!$H$5:$H$528,$T435))&gt;0),INDEX('Market Data'!$H$5:$H$528,$T435),"date unavailable"),"date unavailable")))</f>
        <v/>
      </c>
      <c r="H435" s="9">
        <f>IF($T435=0,"",IF($I435="Bloomberg",IF(INDEX('Market Data'!$N$5:$N$528,$T435)="","time unavailable",INDEX('Market Data'!$N$5:$N$528,$T435)),""))</f>
        <v/>
      </c>
      <c r="I435" s="9">
        <f>IF($T435=0,"",INDEX('Market Data'!$P$5:$P$528,$T435))</f>
        <v/>
      </c>
      <c r="J435" s="13">
        <f>IF($T435=0,"",IF(INDEX('Market Data'!$E$5:$E$528,$T435)="","",INDEX('Market Data'!$E$5:$E$528,$T435)))</f>
        <v/>
      </c>
      <c r="K435" s="8">
        <f>IF($T435=0,"",IF(INDEX('Market Data'!$I$5:$I$528,$T435)="","",INDEX('Market Data'!$I$5:$I$528,$T435)))</f>
        <v/>
      </c>
      <c r="L435" s="10">
        <f>IF($T435=0,"",IF(INDEX('Market Data'!$J$5:$J$528,$T435)=0,"n/a",IF(AND($M$5&lt;&gt;"Snapshot",ISNUMBER(INDEX('Market Data'!$AH$5:$AH$66,INDEX('Market Data'!$J$5:$J$528,$T435)-4)),N(INDEX('Market Data'!$AH$5:$AH$66,INDEX('Market Data'!$J$5:$J$528,$T435)-4))&gt;0),INDEX('Market Data'!$AH$5:$AH$66,INDEX('Market Data'!$J$5:$J$528,$T435)-4),IF(AND($M$5&lt;&gt;"Bloomberg",ISNUMBER(INDEX('Market Data'!$AC$5:$AC$66,INDEX('Market Data'!$J$5:$J$528,$T435)-4)),N(INDEX('Market Data'!$AC$5:$AC$66,INDEX('Market Data'!$J$5:$J$528,$T435)-4))&gt;0),INDEX('Market Data'!$AC$5:$AC$66,INDEX('Market Data'!$J$5:$J$528,$T435)-4),"unavailable"))))</f>
        <v/>
      </c>
      <c r="M435" s="11">
        <f>IF($T435=0,"",IF(INDEX('Market Data'!$J$5:$J$528,$T435)=0,"n/a",IF(IF(INDEX('Market Data'!$J$5:$J$528,$T435)=0,0,IF(LEFT(INDEX('Market Data'!$AS$5:$AS$66,INDEX('Market Data'!$J$5:$J$528,$T435)-4),11)="First-month",1,0))=1,"class review",IF($I435="Bloomberg",IF(AND(ISNUMBER(INDEX('Market Data'!$AH$5:$AH$66,INDEX('Market Data'!$J$5:$J$528,$T435)-4)),N(INDEX('Market Data'!$AH$5:$AH$66,INDEX('Market Data'!$J$5:$J$528,$T435)-4))&gt;0,ISNUMBER('Market Data'!$B$1),N('Market Data'!$B$1)&gt;0),INDEX('Market Data'!$AH$5:$AH$66,INDEX('Market Data'!$J$5:$J$528,$T435)-4)*'Market Data'!$B$1/$E435-1,"pending A/FX"),IF(AND($I435="Snapshot",$Q435="Snapshot",ISNUMBER($E435),$G435=INDEX('Market Data'!$AE$5:$AE$66,INDEX('Market Data'!$J$5:$J$528,$T435)-4)),IFERROR(INDEX('Market Data'!$AC$5:$AC$66,INDEX('Market Data'!$J$5:$J$528,$T435)-4)*INDEX('Market Data'!$AD$5:$AD$66,INDEX('Market Data'!$J$5:$J$528,$T435)-4)/$E435-1,"unavailable"),IF($I435="Unavailable","unavailable","date mismatch"))))))</f>
        <v/>
      </c>
      <c r="N435" s="11">
        <f>IF($T435=0,"",IFERROR(IF(AND(N(INDEX('Market Data'!$F$5:$F$528,$T435))&gt;0,ISNUMBER(INDEX('Market Data'!$T$5:$T$528,$T435))),$E435*INDEX('Market Data'!$T$5:$T$528,$T435)/INDEX('Market Data'!$F$5:$F$528,$T435)-1,"unavailable"),"unavailable"))</f>
        <v/>
      </c>
      <c r="O435" s="9">
        <f>IF($T435=0,"",IF(IF(INDEX('Market Data'!$J$5:$J$528,$T435)=0,0,IF(LEFT(INDEX('Market Data'!$AS$5:$AS$66,INDEX('Market Data'!$J$5:$J$528,$T435)-4),11)="First-month",1,0))=1,"Class ratio review",IF($I435="Bloomberg",IF(ISNUMBER($G435),IF($G435&lt;TODAY(),"Older quote","See quote time"),"Date unavailable"),IF($I435="Snapshot",IF($G435&lt;DATEVALUE("2026-10-02"),"Older snapshot","Dated close"),"No valid quote"))))</f>
        <v/>
      </c>
      <c r="P435" s="14">
        <f>IF($T435=0,"",IF(INDEX('Market Data'!$J$5:$J$528,$T435)=0,"n/a",IF($Q435="Bloomberg",IF(AND(ISNUMBER(INDEX('Market Data'!$AK$5:$AK$66,INDEX('Market Data'!$J$5:$J$528,$T435)-4)),N(INDEX('Market Data'!$AK$5:$AK$66,INDEX('Market Data'!$J$5:$J$528,$T435)-4))&gt;0),INDEX('Market Data'!$AK$5:$AK$66,INDEX('Market Data'!$J$5:$J$528,$T435)-4),"date unavailable"),IF($Q435="Snapshot",IF(AND(ISNUMBER(INDEX('Market Data'!$AF$5:$AF$66,INDEX('Market Data'!$J$5:$J$528,$T435)-4)),N(INDEX('Market Data'!$AF$5:$AF$66,INDEX('Market Data'!$J$5:$J$528,$T435)-4))&gt;0),INDEX('Market Data'!$AF$5:$AF$66,INDEX('Market Data'!$J$5:$J$528,$T435)-4),"date unavailable"),"date unavailable"))))</f>
        <v/>
      </c>
      <c r="Q435" s="15">
        <f>IF($T435=0,"",IF(INDEX('Market Data'!$J$5:$J$528,$T435)=0,"n/a",IF(AND($M$5&lt;&gt;"Snapshot",ISNUMBER(INDEX('Market Data'!$AH$5:$AH$66,INDEX('Market Data'!$J$5:$J$528,$T435)-4)),N(INDEX('Market Data'!$AH$5:$AH$66,INDEX('Market Data'!$J$5:$J$528,$T435)-4))&gt;0),"Bloomberg",IF(AND($M$5&lt;&gt;"Bloomberg",ISNUMBER(INDEX('Market Data'!$AC$5:$AC$66,INDEX('Market Data'!$J$5:$J$528,$T435)-4)),N(INDEX('Market Data'!$AC$5:$AC$66,INDEX('Market Data'!$J$5:$J$528,$T435)-4))&gt;0),"Snapshot","Unavailable"))))</f>
        <v/>
      </c>
      <c r="T435">
        <f>IFERROR(MATCH(427,'Market Data'!$S$5:$S$528,0),0)</f>
        <v/>
      </c>
    </row>
    <row r="436" ht="34" customHeight="1">
      <c r="A436" s="8">
        <f>IF($T436=0,"",IF(INDEX('Market Data'!$A$5:$A$528,$T436)="","",INDEX('Market Data'!$A$5:$A$528,$T436)))</f>
        <v/>
      </c>
      <c r="B436" s="9">
        <f>IF($T436=0,"",IF(INDEX('Market Data'!$B$5:$B$528,$T436)="","",INDEX('Market Data'!$B$5:$B$528,$T436)))</f>
        <v/>
      </c>
      <c r="C436" s="9">
        <f>IF($T436=0,"",IF(INDEX('Market Data'!$C$5:$C$528,$T436)="","",INDEX('Market Data'!$C$5:$C$528,$T436)))</f>
        <v/>
      </c>
      <c r="D436" s="9">
        <f>IF($T436=0,"",IF(INDEX('Market Data'!$D$5:$D$528,$T436)="","",INDEX('Market Data'!$D$5:$D$528,$T436)))</f>
        <v/>
      </c>
      <c r="E436" s="10">
        <f>IF($T436=0,"",INDEX('Market Data'!$O$5:$O$528,$T436))</f>
        <v/>
      </c>
      <c r="F436" s="11">
        <f>IF($T436=0,"",IF(AND($I436="Bloomberg",ISNUMBER(INDEX('Market Data'!$L$5:$L$528,$T436))),INDEX('Market Data'!$L$5:$L$528,$T436),"unavailable"))</f>
        <v/>
      </c>
      <c r="G436" s="12">
        <f>IF($T436=0,"",IF($I436="Bloomberg",IF(AND(ISNUMBER(INDEX('Market Data'!$M$5:$M$528,$T436)),N(INDEX('Market Data'!$M$5:$M$528,$T436))&gt;0),INDEX('Market Data'!$M$5:$M$528,$T436),"date unavailable"),IF($I436="Snapshot",IF(AND(ISNUMBER(INDEX('Market Data'!$H$5:$H$528,$T436)),N(INDEX('Market Data'!$H$5:$H$528,$T436))&gt;0),INDEX('Market Data'!$H$5:$H$528,$T436),"date unavailable"),"date unavailable")))</f>
        <v/>
      </c>
      <c r="H436" s="9">
        <f>IF($T436=0,"",IF($I436="Bloomberg",IF(INDEX('Market Data'!$N$5:$N$528,$T436)="","time unavailable",INDEX('Market Data'!$N$5:$N$528,$T436)),""))</f>
        <v/>
      </c>
      <c r="I436" s="9">
        <f>IF($T436=0,"",INDEX('Market Data'!$P$5:$P$528,$T436))</f>
        <v/>
      </c>
      <c r="J436" s="13">
        <f>IF($T436=0,"",IF(INDEX('Market Data'!$E$5:$E$528,$T436)="","",INDEX('Market Data'!$E$5:$E$528,$T436)))</f>
        <v/>
      </c>
      <c r="K436" s="8">
        <f>IF($T436=0,"",IF(INDEX('Market Data'!$I$5:$I$528,$T436)="","",INDEX('Market Data'!$I$5:$I$528,$T436)))</f>
        <v/>
      </c>
      <c r="L436" s="10">
        <f>IF($T436=0,"",IF(INDEX('Market Data'!$J$5:$J$528,$T436)=0,"n/a",IF(AND($M$5&lt;&gt;"Snapshot",ISNUMBER(INDEX('Market Data'!$AH$5:$AH$66,INDEX('Market Data'!$J$5:$J$528,$T436)-4)),N(INDEX('Market Data'!$AH$5:$AH$66,INDEX('Market Data'!$J$5:$J$528,$T436)-4))&gt;0),INDEX('Market Data'!$AH$5:$AH$66,INDEX('Market Data'!$J$5:$J$528,$T436)-4),IF(AND($M$5&lt;&gt;"Bloomberg",ISNUMBER(INDEX('Market Data'!$AC$5:$AC$66,INDEX('Market Data'!$J$5:$J$528,$T436)-4)),N(INDEX('Market Data'!$AC$5:$AC$66,INDEX('Market Data'!$J$5:$J$528,$T436)-4))&gt;0),INDEX('Market Data'!$AC$5:$AC$66,INDEX('Market Data'!$J$5:$J$528,$T436)-4),"unavailable"))))</f>
        <v/>
      </c>
      <c r="M436" s="11">
        <f>IF($T436=0,"",IF(INDEX('Market Data'!$J$5:$J$528,$T436)=0,"n/a",IF(IF(INDEX('Market Data'!$J$5:$J$528,$T436)=0,0,IF(LEFT(INDEX('Market Data'!$AS$5:$AS$66,INDEX('Market Data'!$J$5:$J$528,$T436)-4),11)="First-month",1,0))=1,"class review",IF($I436="Bloomberg",IF(AND(ISNUMBER(INDEX('Market Data'!$AH$5:$AH$66,INDEX('Market Data'!$J$5:$J$528,$T436)-4)),N(INDEX('Market Data'!$AH$5:$AH$66,INDEX('Market Data'!$J$5:$J$528,$T436)-4))&gt;0,ISNUMBER('Market Data'!$B$1),N('Market Data'!$B$1)&gt;0),INDEX('Market Data'!$AH$5:$AH$66,INDEX('Market Data'!$J$5:$J$528,$T436)-4)*'Market Data'!$B$1/$E436-1,"pending A/FX"),IF(AND($I436="Snapshot",$Q436="Snapshot",ISNUMBER($E436),$G436=INDEX('Market Data'!$AE$5:$AE$66,INDEX('Market Data'!$J$5:$J$528,$T436)-4)),IFERROR(INDEX('Market Data'!$AC$5:$AC$66,INDEX('Market Data'!$J$5:$J$528,$T436)-4)*INDEX('Market Data'!$AD$5:$AD$66,INDEX('Market Data'!$J$5:$J$528,$T436)-4)/$E436-1,"unavailable"),IF($I436="Unavailable","unavailable","date mismatch"))))))</f>
        <v/>
      </c>
      <c r="N436" s="11">
        <f>IF($T436=0,"",IFERROR(IF(AND(N(INDEX('Market Data'!$F$5:$F$528,$T436))&gt;0,ISNUMBER(INDEX('Market Data'!$T$5:$T$528,$T436))),$E436*INDEX('Market Data'!$T$5:$T$528,$T436)/INDEX('Market Data'!$F$5:$F$528,$T436)-1,"unavailable"),"unavailable"))</f>
        <v/>
      </c>
      <c r="O436" s="9">
        <f>IF($T436=0,"",IF(IF(INDEX('Market Data'!$J$5:$J$528,$T436)=0,0,IF(LEFT(INDEX('Market Data'!$AS$5:$AS$66,INDEX('Market Data'!$J$5:$J$528,$T436)-4),11)="First-month",1,0))=1,"Class ratio review",IF($I436="Bloomberg",IF(ISNUMBER($G436),IF($G436&lt;TODAY(),"Older quote","See quote time"),"Date unavailable"),IF($I436="Snapshot",IF($G436&lt;DATEVALUE("2026-10-02"),"Older snapshot","Dated close"),"No valid quote"))))</f>
        <v/>
      </c>
      <c r="P436" s="14">
        <f>IF($T436=0,"",IF(INDEX('Market Data'!$J$5:$J$528,$T436)=0,"n/a",IF($Q436="Bloomberg",IF(AND(ISNUMBER(INDEX('Market Data'!$AK$5:$AK$66,INDEX('Market Data'!$J$5:$J$528,$T436)-4)),N(INDEX('Market Data'!$AK$5:$AK$66,INDEX('Market Data'!$J$5:$J$528,$T436)-4))&gt;0),INDEX('Market Data'!$AK$5:$AK$66,INDEX('Market Data'!$J$5:$J$528,$T436)-4),"date unavailable"),IF($Q436="Snapshot",IF(AND(ISNUMBER(INDEX('Market Data'!$AF$5:$AF$66,INDEX('Market Data'!$J$5:$J$528,$T436)-4)),N(INDEX('Market Data'!$AF$5:$AF$66,INDEX('Market Data'!$J$5:$J$528,$T436)-4))&gt;0),INDEX('Market Data'!$AF$5:$AF$66,INDEX('Market Data'!$J$5:$J$528,$T436)-4),"date unavailable"),"date unavailable"))))</f>
        <v/>
      </c>
      <c r="Q436" s="15">
        <f>IF($T436=0,"",IF(INDEX('Market Data'!$J$5:$J$528,$T436)=0,"n/a",IF(AND($M$5&lt;&gt;"Snapshot",ISNUMBER(INDEX('Market Data'!$AH$5:$AH$66,INDEX('Market Data'!$J$5:$J$528,$T436)-4)),N(INDEX('Market Data'!$AH$5:$AH$66,INDEX('Market Data'!$J$5:$J$528,$T436)-4))&gt;0),"Bloomberg",IF(AND($M$5&lt;&gt;"Bloomberg",ISNUMBER(INDEX('Market Data'!$AC$5:$AC$66,INDEX('Market Data'!$J$5:$J$528,$T436)-4)),N(INDEX('Market Data'!$AC$5:$AC$66,INDEX('Market Data'!$J$5:$J$528,$T436)-4))&gt;0),"Snapshot","Unavailable"))))</f>
        <v/>
      </c>
      <c r="T436">
        <f>IFERROR(MATCH(428,'Market Data'!$S$5:$S$528,0),0)</f>
        <v/>
      </c>
    </row>
    <row r="437" ht="34" customHeight="1">
      <c r="A437" s="8">
        <f>IF($T437=0,"",IF(INDEX('Market Data'!$A$5:$A$528,$T437)="","",INDEX('Market Data'!$A$5:$A$528,$T437)))</f>
        <v/>
      </c>
      <c r="B437" s="9">
        <f>IF($T437=0,"",IF(INDEX('Market Data'!$B$5:$B$528,$T437)="","",INDEX('Market Data'!$B$5:$B$528,$T437)))</f>
        <v/>
      </c>
      <c r="C437" s="9">
        <f>IF($T437=0,"",IF(INDEX('Market Data'!$C$5:$C$528,$T437)="","",INDEX('Market Data'!$C$5:$C$528,$T437)))</f>
        <v/>
      </c>
      <c r="D437" s="9">
        <f>IF($T437=0,"",IF(INDEX('Market Data'!$D$5:$D$528,$T437)="","",INDEX('Market Data'!$D$5:$D$528,$T437)))</f>
        <v/>
      </c>
      <c r="E437" s="10">
        <f>IF($T437=0,"",INDEX('Market Data'!$O$5:$O$528,$T437))</f>
        <v/>
      </c>
      <c r="F437" s="11">
        <f>IF($T437=0,"",IF(AND($I437="Bloomberg",ISNUMBER(INDEX('Market Data'!$L$5:$L$528,$T437))),INDEX('Market Data'!$L$5:$L$528,$T437),"unavailable"))</f>
        <v/>
      </c>
      <c r="G437" s="12">
        <f>IF($T437=0,"",IF($I437="Bloomberg",IF(AND(ISNUMBER(INDEX('Market Data'!$M$5:$M$528,$T437)),N(INDEX('Market Data'!$M$5:$M$528,$T437))&gt;0),INDEX('Market Data'!$M$5:$M$528,$T437),"date unavailable"),IF($I437="Snapshot",IF(AND(ISNUMBER(INDEX('Market Data'!$H$5:$H$528,$T437)),N(INDEX('Market Data'!$H$5:$H$528,$T437))&gt;0),INDEX('Market Data'!$H$5:$H$528,$T437),"date unavailable"),"date unavailable")))</f>
        <v/>
      </c>
      <c r="H437" s="9">
        <f>IF($T437=0,"",IF($I437="Bloomberg",IF(INDEX('Market Data'!$N$5:$N$528,$T437)="","time unavailable",INDEX('Market Data'!$N$5:$N$528,$T437)),""))</f>
        <v/>
      </c>
      <c r="I437" s="9">
        <f>IF($T437=0,"",INDEX('Market Data'!$P$5:$P$528,$T437))</f>
        <v/>
      </c>
      <c r="J437" s="13">
        <f>IF($T437=0,"",IF(INDEX('Market Data'!$E$5:$E$528,$T437)="","",INDEX('Market Data'!$E$5:$E$528,$T437)))</f>
        <v/>
      </c>
      <c r="K437" s="8">
        <f>IF($T437=0,"",IF(INDEX('Market Data'!$I$5:$I$528,$T437)="","",INDEX('Market Data'!$I$5:$I$528,$T437)))</f>
        <v/>
      </c>
      <c r="L437" s="10">
        <f>IF($T437=0,"",IF(INDEX('Market Data'!$J$5:$J$528,$T437)=0,"n/a",IF(AND($M$5&lt;&gt;"Snapshot",ISNUMBER(INDEX('Market Data'!$AH$5:$AH$66,INDEX('Market Data'!$J$5:$J$528,$T437)-4)),N(INDEX('Market Data'!$AH$5:$AH$66,INDEX('Market Data'!$J$5:$J$528,$T437)-4))&gt;0),INDEX('Market Data'!$AH$5:$AH$66,INDEX('Market Data'!$J$5:$J$528,$T437)-4),IF(AND($M$5&lt;&gt;"Bloomberg",ISNUMBER(INDEX('Market Data'!$AC$5:$AC$66,INDEX('Market Data'!$J$5:$J$528,$T437)-4)),N(INDEX('Market Data'!$AC$5:$AC$66,INDEX('Market Data'!$J$5:$J$528,$T437)-4))&gt;0),INDEX('Market Data'!$AC$5:$AC$66,INDEX('Market Data'!$J$5:$J$528,$T437)-4),"unavailable"))))</f>
        <v/>
      </c>
      <c r="M437" s="11">
        <f>IF($T437=0,"",IF(INDEX('Market Data'!$J$5:$J$528,$T437)=0,"n/a",IF(IF(INDEX('Market Data'!$J$5:$J$528,$T437)=0,0,IF(LEFT(INDEX('Market Data'!$AS$5:$AS$66,INDEX('Market Data'!$J$5:$J$528,$T437)-4),11)="First-month",1,0))=1,"class review",IF($I437="Bloomberg",IF(AND(ISNUMBER(INDEX('Market Data'!$AH$5:$AH$66,INDEX('Market Data'!$J$5:$J$528,$T437)-4)),N(INDEX('Market Data'!$AH$5:$AH$66,INDEX('Market Data'!$J$5:$J$528,$T437)-4))&gt;0,ISNUMBER('Market Data'!$B$1),N('Market Data'!$B$1)&gt;0),INDEX('Market Data'!$AH$5:$AH$66,INDEX('Market Data'!$J$5:$J$528,$T437)-4)*'Market Data'!$B$1/$E437-1,"pending A/FX"),IF(AND($I437="Snapshot",$Q437="Snapshot",ISNUMBER($E437),$G437=INDEX('Market Data'!$AE$5:$AE$66,INDEX('Market Data'!$J$5:$J$528,$T437)-4)),IFERROR(INDEX('Market Data'!$AC$5:$AC$66,INDEX('Market Data'!$J$5:$J$528,$T437)-4)*INDEX('Market Data'!$AD$5:$AD$66,INDEX('Market Data'!$J$5:$J$528,$T437)-4)/$E437-1,"unavailable"),IF($I437="Unavailable","unavailable","date mismatch"))))))</f>
        <v/>
      </c>
      <c r="N437" s="11">
        <f>IF($T437=0,"",IFERROR(IF(AND(N(INDEX('Market Data'!$F$5:$F$528,$T437))&gt;0,ISNUMBER(INDEX('Market Data'!$T$5:$T$528,$T437))),$E437*INDEX('Market Data'!$T$5:$T$528,$T437)/INDEX('Market Data'!$F$5:$F$528,$T437)-1,"unavailable"),"unavailable"))</f>
        <v/>
      </c>
      <c r="O437" s="9">
        <f>IF($T437=0,"",IF(IF(INDEX('Market Data'!$J$5:$J$528,$T437)=0,0,IF(LEFT(INDEX('Market Data'!$AS$5:$AS$66,INDEX('Market Data'!$J$5:$J$528,$T437)-4),11)="First-month",1,0))=1,"Class ratio review",IF($I437="Bloomberg",IF(ISNUMBER($G437),IF($G437&lt;TODAY(),"Older quote","See quote time"),"Date unavailable"),IF($I437="Snapshot",IF($G437&lt;DATEVALUE("2026-10-02"),"Older snapshot","Dated close"),"No valid quote"))))</f>
        <v/>
      </c>
      <c r="P437" s="14">
        <f>IF($T437=0,"",IF(INDEX('Market Data'!$J$5:$J$528,$T437)=0,"n/a",IF($Q437="Bloomberg",IF(AND(ISNUMBER(INDEX('Market Data'!$AK$5:$AK$66,INDEX('Market Data'!$J$5:$J$528,$T437)-4)),N(INDEX('Market Data'!$AK$5:$AK$66,INDEX('Market Data'!$J$5:$J$528,$T437)-4))&gt;0),INDEX('Market Data'!$AK$5:$AK$66,INDEX('Market Data'!$J$5:$J$528,$T437)-4),"date unavailable"),IF($Q437="Snapshot",IF(AND(ISNUMBER(INDEX('Market Data'!$AF$5:$AF$66,INDEX('Market Data'!$J$5:$J$528,$T437)-4)),N(INDEX('Market Data'!$AF$5:$AF$66,INDEX('Market Data'!$J$5:$J$528,$T437)-4))&gt;0),INDEX('Market Data'!$AF$5:$AF$66,INDEX('Market Data'!$J$5:$J$528,$T437)-4),"date unavailable"),"date unavailable"))))</f>
        <v/>
      </c>
      <c r="Q437" s="15">
        <f>IF($T437=0,"",IF(INDEX('Market Data'!$J$5:$J$528,$T437)=0,"n/a",IF(AND($M$5&lt;&gt;"Snapshot",ISNUMBER(INDEX('Market Data'!$AH$5:$AH$66,INDEX('Market Data'!$J$5:$J$528,$T437)-4)),N(INDEX('Market Data'!$AH$5:$AH$66,INDEX('Market Data'!$J$5:$J$528,$T437)-4))&gt;0),"Bloomberg",IF(AND($M$5&lt;&gt;"Bloomberg",ISNUMBER(INDEX('Market Data'!$AC$5:$AC$66,INDEX('Market Data'!$J$5:$J$528,$T437)-4)),N(INDEX('Market Data'!$AC$5:$AC$66,INDEX('Market Data'!$J$5:$J$528,$T437)-4))&gt;0),"Snapshot","Unavailable"))))</f>
        <v/>
      </c>
      <c r="T437">
        <f>IFERROR(MATCH(429,'Market Data'!$S$5:$S$528,0),0)</f>
        <v/>
      </c>
    </row>
    <row r="438" ht="34" customHeight="1">
      <c r="A438" s="8">
        <f>IF($T438=0,"",IF(INDEX('Market Data'!$A$5:$A$528,$T438)="","",INDEX('Market Data'!$A$5:$A$528,$T438)))</f>
        <v/>
      </c>
      <c r="B438" s="9">
        <f>IF($T438=0,"",IF(INDEX('Market Data'!$B$5:$B$528,$T438)="","",INDEX('Market Data'!$B$5:$B$528,$T438)))</f>
        <v/>
      </c>
      <c r="C438" s="9">
        <f>IF($T438=0,"",IF(INDEX('Market Data'!$C$5:$C$528,$T438)="","",INDEX('Market Data'!$C$5:$C$528,$T438)))</f>
        <v/>
      </c>
      <c r="D438" s="9">
        <f>IF($T438=0,"",IF(INDEX('Market Data'!$D$5:$D$528,$T438)="","",INDEX('Market Data'!$D$5:$D$528,$T438)))</f>
        <v/>
      </c>
      <c r="E438" s="10">
        <f>IF($T438=0,"",INDEX('Market Data'!$O$5:$O$528,$T438))</f>
        <v/>
      </c>
      <c r="F438" s="11">
        <f>IF($T438=0,"",IF(AND($I438="Bloomberg",ISNUMBER(INDEX('Market Data'!$L$5:$L$528,$T438))),INDEX('Market Data'!$L$5:$L$528,$T438),"unavailable"))</f>
        <v/>
      </c>
      <c r="G438" s="12">
        <f>IF($T438=0,"",IF($I438="Bloomberg",IF(AND(ISNUMBER(INDEX('Market Data'!$M$5:$M$528,$T438)),N(INDEX('Market Data'!$M$5:$M$528,$T438))&gt;0),INDEX('Market Data'!$M$5:$M$528,$T438),"date unavailable"),IF($I438="Snapshot",IF(AND(ISNUMBER(INDEX('Market Data'!$H$5:$H$528,$T438)),N(INDEX('Market Data'!$H$5:$H$528,$T438))&gt;0),INDEX('Market Data'!$H$5:$H$528,$T438),"date unavailable"),"date unavailable")))</f>
        <v/>
      </c>
      <c r="H438" s="9">
        <f>IF($T438=0,"",IF($I438="Bloomberg",IF(INDEX('Market Data'!$N$5:$N$528,$T438)="","time unavailable",INDEX('Market Data'!$N$5:$N$528,$T438)),""))</f>
        <v/>
      </c>
      <c r="I438" s="9">
        <f>IF($T438=0,"",INDEX('Market Data'!$P$5:$P$528,$T438))</f>
        <v/>
      </c>
      <c r="J438" s="13">
        <f>IF($T438=0,"",IF(INDEX('Market Data'!$E$5:$E$528,$T438)="","",INDEX('Market Data'!$E$5:$E$528,$T438)))</f>
        <v/>
      </c>
      <c r="K438" s="8">
        <f>IF($T438=0,"",IF(INDEX('Market Data'!$I$5:$I$528,$T438)="","",INDEX('Market Data'!$I$5:$I$528,$T438)))</f>
        <v/>
      </c>
      <c r="L438" s="10">
        <f>IF($T438=0,"",IF(INDEX('Market Data'!$J$5:$J$528,$T438)=0,"n/a",IF(AND($M$5&lt;&gt;"Snapshot",ISNUMBER(INDEX('Market Data'!$AH$5:$AH$66,INDEX('Market Data'!$J$5:$J$528,$T438)-4)),N(INDEX('Market Data'!$AH$5:$AH$66,INDEX('Market Data'!$J$5:$J$528,$T438)-4))&gt;0),INDEX('Market Data'!$AH$5:$AH$66,INDEX('Market Data'!$J$5:$J$528,$T438)-4),IF(AND($M$5&lt;&gt;"Bloomberg",ISNUMBER(INDEX('Market Data'!$AC$5:$AC$66,INDEX('Market Data'!$J$5:$J$528,$T438)-4)),N(INDEX('Market Data'!$AC$5:$AC$66,INDEX('Market Data'!$J$5:$J$528,$T438)-4))&gt;0),INDEX('Market Data'!$AC$5:$AC$66,INDEX('Market Data'!$J$5:$J$528,$T438)-4),"unavailable"))))</f>
        <v/>
      </c>
      <c r="M438" s="11">
        <f>IF($T438=0,"",IF(INDEX('Market Data'!$J$5:$J$528,$T438)=0,"n/a",IF(IF(INDEX('Market Data'!$J$5:$J$528,$T438)=0,0,IF(LEFT(INDEX('Market Data'!$AS$5:$AS$66,INDEX('Market Data'!$J$5:$J$528,$T438)-4),11)="First-month",1,0))=1,"class review",IF($I438="Bloomberg",IF(AND(ISNUMBER(INDEX('Market Data'!$AH$5:$AH$66,INDEX('Market Data'!$J$5:$J$528,$T438)-4)),N(INDEX('Market Data'!$AH$5:$AH$66,INDEX('Market Data'!$J$5:$J$528,$T438)-4))&gt;0,ISNUMBER('Market Data'!$B$1),N('Market Data'!$B$1)&gt;0),INDEX('Market Data'!$AH$5:$AH$66,INDEX('Market Data'!$J$5:$J$528,$T438)-4)*'Market Data'!$B$1/$E438-1,"pending A/FX"),IF(AND($I438="Snapshot",$Q438="Snapshot",ISNUMBER($E438),$G438=INDEX('Market Data'!$AE$5:$AE$66,INDEX('Market Data'!$J$5:$J$528,$T438)-4)),IFERROR(INDEX('Market Data'!$AC$5:$AC$66,INDEX('Market Data'!$J$5:$J$528,$T438)-4)*INDEX('Market Data'!$AD$5:$AD$66,INDEX('Market Data'!$J$5:$J$528,$T438)-4)/$E438-1,"unavailable"),IF($I438="Unavailable","unavailable","date mismatch"))))))</f>
        <v/>
      </c>
      <c r="N438" s="11">
        <f>IF($T438=0,"",IFERROR(IF(AND(N(INDEX('Market Data'!$F$5:$F$528,$T438))&gt;0,ISNUMBER(INDEX('Market Data'!$T$5:$T$528,$T438))),$E438*INDEX('Market Data'!$T$5:$T$528,$T438)/INDEX('Market Data'!$F$5:$F$528,$T438)-1,"unavailable"),"unavailable"))</f>
        <v/>
      </c>
      <c r="O438" s="9">
        <f>IF($T438=0,"",IF(IF(INDEX('Market Data'!$J$5:$J$528,$T438)=0,0,IF(LEFT(INDEX('Market Data'!$AS$5:$AS$66,INDEX('Market Data'!$J$5:$J$528,$T438)-4),11)="First-month",1,0))=1,"Class ratio review",IF($I438="Bloomberg",IF(ISNUMBER($G438),IF($G438&lt;TODAY(),"Older quote","See quote time"),"Date unavailable"),IF($I438="Snapshot",IF($G438&lt;DATEVALUE("2026-10-02"),"Older snapshot","Dated close"),"No valid quote"))))</f>
        <v/>
      </c>
      <c r="P438" s="14">
        <f>IF($T438=0,"",IF(INDEX('Market Data'!$J$5:$J$528,$T438)=0,"n/a",IF($Q438="Bloomberg",IF(AND(ISNUMBER(INDEX('Market Data'!$AK$5:$AK$66,INDEX('Market Data'!$J$5:$J$528,$T438)-4)),N(INDEX('Market Data'!$AK$5:$AK$66,INDEX('Market Data'!$J$5:$J$528,$T438)-4))&gt;0),INDEX('Market Data'!$AK$5:$AK$66,INDEX('Market Data'!$J$5:$J$528,$T438)-4),"date unavailable"),IF($Q438="Snapshot",IF(AND(ISNUMBER(INDEX('Market Data'!$AF$5:$AF$66,INDEX('Market Data'!$J$5:$J$528,$T438)-4)),N(INDEX('Market Data'!$AF$5:$AF$66,INDEX('Market Data'!$J$5:$J$528,$T438)-4))&gt;0),INDEX('Market Data'!$AF$5:$AF$66,INDEX('Market Data'!$J$5:$J$528,$T438)-4),"date unavailable"),"date unavailable"))))</f>
        <v/>
      </c>
      <c r="Q438" s="15">
        <f>IF($T438=0,"",IF(INDEX('Market Data'!$J$5:$J$528,$T438)=0,"n/a",IF(AND($M$5&lt;&gt;"Snapshot",ISNUMBER(INDEX('Market Data'!$AH$5:$AH$66,INDEX('Market Data'!$J$5:$J$528,$T438)-4)),N(INDEX('Market Data'!$AH$5:$AH$66,INDEX('Market Data'!$J$5:$J$528,$T438)-4))&gt;0),"Bloomberg",IF(AND($M$5&lt;&gt;"Bloomberg",ISNUMBER(INDEX('Market Data'!$AC$5:$AC$66,INDEX('Market Data'!$J$5:$J$528,$T438)-4)),N(INDEX('Market Data'!$AC$5:$AC$66,INDEX('Market Data'!$J$5:$J$528,$T438)-4))&gt;0),"Snapshot","Unavailable"))))</f>
        <v/>
      </c>
      <c r="T438">
        <f>IFERROR(MATCH(430,'Market Data'!$S$5:$S$528,0),0)</f>
        <v/>
      </c>
    </row>
    <row r="439" ht="34" customHeight="1">
      <c r="A439" s="8">
        <f>IF($T439=0,"",IF(INDEX('Market Data'!$A$5:$A$528,$T439)="","",INDEX('Market Data'!$A$5:$A$528,$T439)))</f>
        <v/>
      </c>
      <c r="B439" s="9">
        <f>IF($T439=0,"",IF(INDEX('Market Data'!$B$5:$B$528,$T439)="","",INDEX('Market Data'!$B$5:$B$528,$T439)))</f>
        <v/>
      </c>
      <c r="C439" s="9">
        <f>IF($T439=0,"",IF(INDEX('Market Data'!$C$5:$C$528,$T439)="","",INDEX('Market Data'!$C$5:$C$528,$T439)))</f>
        <v/>
      </c>
      <c r="D439" s="9">
        <f>IF($T439=0,"",IF(INDEX('Market Data'!$D$5:$D$528,$T439)="","",INDEX('Market Data'!$D$5:$D$528,$T439)))</f>
        <v/>
      </c>
      <c r="E439" s="10">
        <f>IF($T439=0,"",INDEX('Market Data'!$O$5:$O$528,$T439))</f>
        <v/>
      </c>
      <c r="F439" s="11">
        <f>IF($T439=0,"",IF(AND($I439="Bloomberg",ISNUMBER(INDEX('Market Data'!$L$5:$L$528,$T439))),INDEX('Market Data'!$L$5:$L$528,$T439),"unavailable"))</f>
        <v/>
      </c>
      <c r="G439" s="12">
        <f>IF($T439=0,"",IF($I439="Bloomberg",IF(AND(ISNUMBER(INDEX('Market Data'!$M$5:$M$528,$T439)),N(INDEX('Market Data'!$M$5:$M$528,$T439))&gt;0),INDEX('Market Data'!$M$5:$M$528,$T439),"date unavailable"),IF($I439="Snapshot",IF(AND(ISNUMBER(INDEX('Market Data'!$H$5:$H$528,$T439)),N(INDEX('Market Data'!$H$5:$H$528,$T439))&gt;0),INDEX('Market Data'!$H$5:$H$528,$T439),"date unavailable"),"date unavailable")))</f>
        <v/>
      </c>
      <c r="H439" s="9">
        <f>IF($T439=0,"",IF($I439="Bloomberg",IF(INDEX('Market Data'!$N$5:$N$528,$T439)="","time unavailable",INDEX('Market Data'!$N$5:$N$528,$T439)),""))</f>
        <v/>
      </c>
      <c r="I439" s="9">
        <f>IF($T439=0,"",INDEX('Market Data'!$P$5:$P$528,$T439))</f>
        <v/>
      </c>
      <c r="J439" s="13">
        <f>IF($T439=0,"",IF(INDEX('Market Data'!$E$5:$E$528,$T439)="","",INDEX('Market Data'!$E$5:$E$528,$T439)))</f>
        <v/>
      </c>
      <c r="K439" s="8">
        <f>IF($T439=0,"",IF(INDEX('Market Data'!$I$5:$I$528,$T439)="","",INDEX('Market Data'!$I$5:$I$528,$T439)))</f>
        <v/>
      </c>
      <c r="L439" s="10">
        <f>IF($T439=0,"",IF(INDEX('Market Data'!$J$5:$J$528,$T439)=0,"n/a",IF(AND($M$5&lt;&gt;"Snapshot",ISNUMBER(INDEX('Market Data'!$AH$5:$AH$66,INDEX('Market Data'!$J$5:$J$528,$T439)-4)),N(INDEX('Market Data'!$AH$5:$AH$66,INDEX('Market Data'!$J$5:$J$528,$T439)-4))&gt;0),INDEX('Market Data'!$AH$5:$AH$66,INDEX('Market Data'!$J$5:$J$528,$T439)-4),IF(AND($M$5&lt;&gt;"Bloomberg",ISNUMBER(INDEX('Market Data'!$AC$5:$AC$66,INDEX('Market Data'!$J$5:$J$528,$T439)-4)),N(INDEX('Market Data'!$AC$5:$AC$66,INDEX('Market Data'!$J$5:$J$528,$T439)-4))&gt;0),INDEX('Market Data'!$AC$5:$AC$66,INDEX('Market Data'!$J$5:$J$528,$T439)-4),"unavailable"))))</f>
        <v/>
      </c>
      <c r="M439" s="11">
        <f>IF($T439=0,"",IF(INDEX('Market Data'!$J$5:$J$528,$T439)=0,"n/a",IF(IF(INDEX('Market Data'!$J$5:$J$528,$T439)=0,0,IF(LEFT(INDEX('Market Data'!$AS$5:$AS$66,INDEX('Market Data'!$J$5:$J$528,$T439)-4),11)="First-month",1,0))=1,"class review",IF($I439="Bloomberg",IF(AND(ISNUMBER(INDEX('Market Data'!$AH$5:$AH$66,INDEX('Market Data'!$J$5:$J$528,$T439)-4)),N(INDEX('Market Data'!$AH$5:$AH$66,INDEX('Market Data'!$J$5:$J$528,$T439)-4))&gt;0,ISNUMBER('Market Data'!$B$1),N('Market Data'!$B$1)&gt;0),INDEX('Market Data'!$AH$5:$AH$66,INDEX('Market Data'!$J$5:$J$528,$T439)-4)*'Market Data'!$B$1/$E439-1,"pending A/FX"),IF(AND($I439="Snapshot",$Q439="Snapshot",ISNUMBER($E439),$G439=INDEX('Market Data'!$AE$5:$AE$66,INDEX('Market Data'!$J$5:$J$528,$T439)-4)),IFERROR(INDEX('Market Data'!$AC$5:$AC$66,INDEX('Market Data'!$J$5:$J$528,$T439)-4)*INDEX('Market Data'!$AD$5:$AD$66,INDEX('Market Data'!$J$5:$J$528,$T439)-4)/$E439-1,"unavailable"),IF($I439="Unavailable","unavailable","date mismatch"))))))</f>
        <v/>
      </c>
      <c r="N439" s="11">
        <f>IF($T439=0,"",IFERROR(IF(AND(N(INDEX('Market Data'!$F$5:$F$528,$T439))&gt;0,ISNUMBER(INDEX('Market Data'!$T$5:$T$528,$T439))),$E439*INDEX('Market Data'!$T$5:$T$528,$T439)/INDEX('Market Data'!$F$5:$F$528,$T439)-1,"unavailable"),"unavailable"))</f>
        <v/>
      </c>
      <c r="O439" s="9">
        <f>IF($T439=0,"",IF(IF(INDEX('Market Data'!$J$5:$J$528,$T439)=0,0,IF(LEFT(INDEX('Market Data'!$AS$5:$AS$66,INDEX('Market Data'!$J$5:$J$528,$T439)-4),11)="First-month",1,0))=1,"Class ratio review",IF($I439="Bloomberg",IF(ISNUMBER($G439),IF($G439&lt;TODAY(),"Older quote","See quote time"),"Date unavailable"),IF($I439="Snapshot",IF($G439&lt;DATEVALUE("2026-10-02"),"Older snapshot","Dated close"),"No valid quote"))))</f>
        <v/>
      </c>
      <c r="P439" s="14">
        <f>IF($T439=0,"",IF(INDEX('Market Data'!$J$5:$J$528,$T439)=0,"n/a",IF($Q439="Bloomberg",IF(AND(ISNUMBER(INDEX('Market Data'!$AK$5:$AK$66,INDEX('Market Data'!$J$5:$J$528,$T439)-4)),N(INDEX('Market Data'!$AK$5:$AK$66,INDEX('Market Data'!$J$5:$J$528,$T439)-4))&gt;0),INDEX('Market Data'!$AK$5:$AK$66,INDEX('Market Data'!$J$5:$J$528,$T439)-4),"date unavailable"),IF($Q439="Snapshot",IF(AND(ISNUMBER(INDEX('Market Data'!$AF$5:$AF$66,INDEX('Market Data'!$J$5:$J$528,$T439)-4)),N(INDEX('Market Data'!$AF$5:$AF$66,INDEX('Market Data'!$J$5:$J$528,$T439)-4))&gt;0),INDEX('Market Data'!$AF$5:$AF$66,INDEX('Market Data'!$J$5:$J$528,$T439)-4),"date unavailable"),"date unavailable"))))</f>
        <v/>
      </c>
      <c r="Q439" s="15">
        <f>IF($T439=0,"",IF(INDEX('Market Data'!$J$5:$J$528,$T439)=0,"n/a",IF(AND($M$5&lt;&gt;"Snapshot",ISNUMBER(INDEX('Market Data'!$AH$5:$AH$66,INDEX('Market Data'!$J$5:$J$528,$T439)-4)),N(INDEX('Market Data'!$AH$5:$AH$66,INDEX('Market Data'!$J$5:$J$528,$T439)-4))&gt;0),"Bloomberg",IF(AND($M$5&lt;&gt;"Bloomberg",ISNUMBER(INDEX('Market Data'!$AC$5:$AC$66,INDEX('Market Data'!$J$5:$J$528,$T439)-4)),N(INDEX('Market Data'!$AC$5:$AC$66,INDEX('Market Data'!$J$5:$J$528,$T439)-4))&gt;0),"Snapshot","Unavailable"))))</f>
        <v/>
      </c>
      <c r="T439">
        <f>IFERROR(MATCH(431,'Market Data'!$S$5:$S$528,0),0)</f>
        <v/>
      </c>
    </row>
    <row r="440" ht="34" customHeight="1">
      <c r="A440" s="8">
        <f>IF($T440=0,"",IF(INDEX('Market Data'!$A$5:$A$528,$T440)="","",INDEX('Market Data'!$A$5:$A$528,$T440)))</f>
        <v/>
      </c>
      <c r="B440" s="9">
        <f>IF($T440=0,"",IF(INDEX('Market Data'!$B$5:$B$528,$T440)="","",INDEX('Market Data'!$B$5:$B$528,$T440)))</f>
        <v/>
      </c>
      <c r="C440" s="9">
        <f>IF($T440=0,"",IF(INDEX('Market Data'!$C$5:$C$528,$T440)="","",INDEX('Market Data'!$C$5:$C$528,$T440)))</f>
        <v/>
      </c>
      <c r="D440" s="9">
        <f>IF($T440=0,"",IF(INDEX('Market Data'!$D$5:$D$528,$T440)="","",INDEX('Market Data'!$D$5:$D$528,$T440)))</f>
        <v/>
      </c>
      <c r="E440" s="10">
        <f>IF($T440=0,"",INDEX('Market Data'!$O$5:$O$528,$T440))</f>
        <v/>
      </c>
      <c r="F440" s="11">
        <f>IF($T440=0,"",IF(AND($I440="Bloomberg",ISNUMBER(INDEX('Market Data'!$L$5:$L$528,$T440))),INDEX('Market Data'!$L$5:$L$528,$T440),"unavailable"))</f>
        <v/>
      </c>
      <c r="G440" s="12">
        <f>IF($T440=0,"",IF($I440="Bloomberg",IF(AND(ISNUMBER(INDEX('Market Data'!$M$5:$M$528,$T440)),N(INDEX('Market Data'!$M$5:$M$528,$T440))&gt;0),INDEX('Market Data'!$M$5:$M$528,$T440),"date unavailable"),IF($I440="Snapshot",IF(AND(ISNUMBER(INDEX('Market Data'!$H$5:$H$528,$T440)),N(INDEX('Market Data'!$H$5:$H$528,$T440))&gt;0),INDEX('Market Data'!$H$5:$H$528,$T440),"date unavailable"),"date unavailable")))</f>
        <v/>
      </c>
      <c r="H440" s="9">
        <f>IF($T440=0,"",IF($I440="Bloomberg",IF(INDEX('Market Data'!$N$5:$N$528,$T440)="","time unavailable",INDEX('Market Data'!$N$5:$N$528,$T440)),""))</f>
        <v/>
      </c>
      <c r="I440" s="9">
        <f>IF($T440=0,"",INDEX('Market Data'!$P$5:$P$528,$T440))</f>
        <v/>
      </c>
      <c r="J440" s="13">
        <f>IF($T440=0,"",IF(INDEX('Market Data'!$E$5:$E$528,$T440)="","",INDEX('Market Data'!$E$5:$E$528,$T440)))</f>
        <v/>
      </c>
      <c r="K440" s="8">
        <f>IF($T440=0,"",IF(INDEX('Market Data'!$I$5:$I$528,$T440)="","",INDEX('Market Data'!$I$5:$I$528,$T440)))</f>
        <v/>
      </c>
      <c r="L440" s="10">
        <f>IF($T440=0,"",IF(INDEX('Market Data'!$J$5:$J$528,$T440)=0,"n/a",IF(AND($M$5&lt;&gt;"Snapshot",ISNUMBER(INDEX('Market Data'!$AH$5:$AH$66,INDEX('Market Data'!$J$5:$J$528,$T440)-4)),N(INDEX('Market Data'!$AH$5:$AH$66,INDEX('Market Data'!$J$5:$J$528,$T440)-4))&gt;0),INDEX('Market Data'!$AH$5:$AH$66,INDEX('Market Data'!$J$5:$J$528,$T440)-4),IF(AND($M$5&lt;&gt;"Bloomberg",ISNUMBER(INDEX('Market Data'!$AC$5:$AC$66,INDEX('Market Data'!$J$5:$J$528,$T440)-4)),N(INDEX('Market Data'!$AC$5:$AC$66,INDEX('Market Data'!$J$5:$J$528,$T440)-4))&gt;0),INDEX('Market Data'!$AC$5:$AC$66,INDEX('Market Data'!$J$5:$J$528,$T440)-4),"unavailable"))))</f>
        <v/>
      </c>
      <c r="M440" s="11">
        <f>IF($T440=0,"",IF(INDEX('Market Data'!$J$5:$J$528,$T440)=0,"n/a",IF(IF(INDEX('Market Data'!$J$5:$J$528,$T440)=0,0,IF(LEFT(INDEX('Market Data'!$AS$5:$AS$66,INDEX('Market Data'!$J$5:$J$528,$T440)-4),11)="First-month",1,0))=1,"class review",IF($I440="Bloomberg",IF(AND(ISNUMBER(INDEX('Market Data'!$AH$5:$AH$66,INDEX('Market Data'!$J$5:$J$528,$T440)-4)),N(INDEX('Market Data'!$AH$5:$AH$66,INDEX('Market Data'!$J$5:$J$528,$T440)-4))&gt;0,ISNUMBER('Market Data'!$B$1),N('Market Data'!$B$1)&gt;0),INDEX('Market Data'!$AH$5:$AH$66,INDEX('Market Data'!$J$5:$J$528,$T440)-4)*'Market Data'!$B$1/$E440-1,"pending A/FX"),IF(AND($I440="Snapshot",$Q440="Snapshot",ISNUMBER($E440),$G440=INDEX('Market Data'!$AE$5:$AE$66,INDEX('Market Data'!$J$5:$J$528,$T440)-4)),IFERROR(INDEX('Market Data'!$AC$5:$AC$66,INDEX('Market Data'!$J$5:$J$528,$T440)-4)*INDEX('Market Data'!$AD$5:$AD$66,INDEX('Market Data'!$J$5:$J$528,$T440)-4)/$E440-1,"unavailable"),IF($I440="Unavailable","unavailable","date mismatch"))))))</f>
        <v/>
      </c>
      <c r="N440" s="11">
        <f>IF($T440=0,"",IFERROR(IF(AND(N(INDEX('Market Data'!$F$5:$F$528,$T440))&gt;0,ISNUMBER(INDEX('Market Data'!$T$5:$T$528,$T440))),$E440*INDEX('Market Data'!$T$5:$T$528,$T440)/INDEX('Market Data'!$F$5:$F$528,$T440)-1,"unavailable"),"unavailable"))</f>
        <v/>
      </c>
      <c r="O440" s="9">
        <f>IF($T440=0,"",IF(IF(INDEX('Market Data'!$J$5:$J$528,$T440)=0,0,IF(LEFT(INDEX('Market Data'!$AS$5:$AS$66,INDEX('Market Data'!$J$5:$J$528,$T440)-4),11)="First-month",1,0))=1,"Class ratio review",IF($I440="Bloomberg",IF(ISNUMBER($G440),IF($G440&lt;TODAY(),"Older quote","See quote time"),"Date unavailable"),IF($I440="Snapshot",IF($G440&lt;DATEVALUE("2026-10-02"),"Older snapshot","Dated close"),"No valid quote"))))</f>
        <v/>
      </c>
      <c r="P440" s="14">
        <f>IF($T440=0,"",IF(INDEX('Market Data'!$J$5:$J$528,$T440)=0,"n/a",IF($Q440="Bloomberg",IF(AND(ISNUMBER(INDEX('Market Data'!$AK$5:$AK$66,INDEX('Market Data'!$J$5:$J$528,$T440)-4)),N(INDEX('Market Data'!$AK$5:$AK$66,INDEX('Market Data'!$J$5:$J$528,$T440)-4))&gt;0),INDEX('Market Data'!$AK$5:$AK$66,INDEX('Market Data'!$J$5:$J$528,$T440)-4),"date unavailable"),IF($Q440="Snapshot",IF(AND(ISNUMBER(INDEX('Market Data'!$AF$5:$AF$66,INDEX('Market Data'!$J$5:$J$528,$T440)-4)),N(INDEX('Market Data'!$AF$5:$AF$66,INDEX('Market Data'!$J$5:$J$528,$T440)-4))&gt;0),INDEX('Market Data'!$AF$5:$AF$66,INDEX('Market Data'!$J$5:$J$528,$T440)-4),"date unavailable"),"date unavailable"))))</f>
        <v/>
      </c>
      <c r="Q440" s="15">
        <f>IF($T440=0,"",IF(INDEX('Market Data'!$J$5:$J$528,$T440)=0,"n/a",IF(AND($M$5&lt;&gt;"Snapshot",ISNUMBER(INDEX('Market Data'!$AH$5:$AH$66,INDEX('Market Data'!$J$5:$J$528,$T440)-4)),N(INDEX('Market Data'!$AH$5:$AH$66,INDEX('Market Data'!$J$5:$J$528,$T440)-4))&gt;0),"Bloomberg",IF(AND($M$5&lt;&gt;"Bloomberg",ISNUMBER(INDEX('Market Data'!$AC$5:$AC$66,INDEX('Market Data'!$J$5:$J$528,$T440)-4)),N(INDEX('Market Data'!$AC$5:$AC$66,INDEX('Market Data'!$J$5:$J$528,$T440)-4))&gt;0),"Snapshot","Unavailable"))))</f>
        <v/>
      </c>
      <c r="T440">
        <f>IFERROR(MATCH(432,'Market Data'!$S$5:$S$528,0),0)</f>
        <v/>
      </c>
    </row>
    <row r="441" ht="34" customHeight="1">
      <c r="A441" s="8">
        <f>IF($T441=0,"",IF(INDEX('Market Data'!$A$5:$A$528,$T441)="","",INDEX('Market Data'!$A$5:$A$528,$T441)))</f>
        <v/>
      </c>
      <c r="B441" s="9">
        <f>IF($T441=0,"",IF(INDEX('Market Data'!$B$5:$B$528,$T441)="","",INDEX('Market Data'!$B$5:$B$528,$T441)))</f>
        <v/>
      </c>
      <c r="C441" s="9">
        <f>IF($T441=0,"",IF(INDEX('Market Data'!$C$5:$C$528,$T441)="","",INDEX('Market Data'!$C$5:$C$528,$T441)))</f>
        <v/>
      </c>
      <c r="D441" s="9">
        <f>IF($T441=0,"",IF(INDEX('Market Data'!$D$5:$D$528,$T441)="","",INDEX('Market Data'!$D$5:$D$528,$T441)))</f>
        <v/>
      </c>
      <c r="E441" s="10">
        <f>IF($T441=0,"",INDEX('Market Data'!$O$5:$O$528,$T441))</f>
        <v/>
      </c>
      <c r="F441" s="11">
        <f>IF($T441=0,"",IF(AND($I441="Bloomberg",ISNUMBER(INDEX('Market Data'!$L$5:$L$528,$T441))),INDEX('Market Data'!$L$5:$L$528,$T441),"unavailable"))</f>
        <v/>
      </c>
      <c r="G441" s="12">
        <f>IF($T441=0,"",IF($I441="Bloomberg",IF(AND(ISNUMBER(INDEX('Market Data'!$M$5:$M$528,$T441)),N(INDEX('Market Data'!$M$5:$M$528,$T441))&gt;0),INDEX('Market Data'!$M$5:$M$528,$T441),"date unavailable"),IF($I441="Snapshot",IF(AND(ISNUMBER(INDEX('Market Data'!$H$5:$H$528,$T441)),N(INDEX('Market Data'!$H$5:$H$528,$T441))&gt;0),INDEX('Market Data'!$H$5:$H$528,$T441),"date unavailable"),"date unavailable")))</f>
        <v/>
      </c>
      <c r="H441" s="9">
        <f>IF($T441=0,"",IF($I441="Bloomberg",IF(INDEX('Market Data'!$N$5:$N$528,$T441)="","time unavailable",INDEX('Market Data'!$N$5:$N$528,$T441)),""))</f>
        <v/>
      </c>
      <c r="I441" s="9">
        <f>IF($T441=0,"",INDEX('Market Data'!$P$5:$P$528,$T441))</f>
        <v/>
      </c>
      <c r="J441" s="13">
        <f>IF($T441=0,"",IF(INDEX('Market Data'!$E$5:$E$528,$T441)="","",INDEX('Market Data'!$E$5:$E$528,$T441)))</f>
        <v/>
      </c>
      <c r="K441" s="8">
        <f>IF($T441=0,"",IF(INDEX('Market Data'!$I$5:$I$528,$T441)="","",INDEX('Market Data'!$I$5:$I$528,$T441)))</f>
        <v/>
      </c>
      <c r="L441" s="10">
        <f>IF($T441=0,"",IF(INDEX('Market Data'!$J$5:$J$528,$T441)=0,"n/a",IF(AND($M$5&lt;&gt;"Snapshot",ISNUMBER(INDEX('Market Data'!$AH$5:$AH$66,INDEX('Market Data'!$J$5:$J$528,$T441)-4)),N(INDEX('Market Data'!$AH$5:$AH$66,INDEX('Market Data'!$J$5:$J$528,$T441)-4))&gt;0),INDEX('Market Data'!$AH$5:$AH$66,INDEX('Market Data'!$J$5:$J$528,$T441)-4),IF(AND($M$5&lt;&gt;"Bloomberg",ISNUMBER(INDEX('Market Data'!$AC$5:$AC$66,INDEX('Market Data'!$J$5:$J$528,$T441)-4)),N(INDEX('Market Data'!$AC$5:$AC$66,INDEX('Market Data'!$J$5:$J$528,$T441)-4))&gt;0),INDEX('Market Data'!$AC$5:$AC$66,INDEX('Market Data'!$J$5:$J$528,$T441)-4),"unavailable"))))</f>
        <v/>
      </c>
      <c r="M441" s="11">
        <f>IF($T441=0,"",IF(INDEX('Market Data'!$J$5:$J$528,$T441)=0,"n/a",IF(IF(INDEX('Market Data'!$J$5:$J$528,$T441)=0,0,IF(LEFT(INDEX('Market Data'!$AS$5:$AS$66,INDEX('Market Data'!$J$5:$J$528,$T441)-4),11)="First-month",1,0))=1,"class review",IF($I441="Bloomberg",IF(AND(ISNUMBER(INDEX('Market Data'!$AH$5:$AH$66,INDEX('Market Data'!$J$5:$J$528,$T441)-4)),N(INDEX('Market Data'!$AH$5:$AH$66,INDEX('Market Data'!$J$5:$J$528,$T441)-4))&gt;0,ISNUMBER('Market Data'!$B$1),N('Market Data'!$B$1)&gt;0),INDEX('Market Data'!$AH$5:$AH$66,INDEX('Market Data'!$J$5:$J$528,$T441)-4)*'Market Data'!$B$1/$E441-1,"pending A/FX"),IF(AND($I441="Snapshot",$Q441="Snapshot",ISNUMBER($E441),$G441=INDEX('Market Data'!$AE$5:$AE$66,INDEX('Market Data'!$J$5:$J$528,$T441)-4)),IFERROR(INDEX('Market Data'!$AC$5:$AC$66,INDEX('Market Data'!$J$5:$J$528,$T441)-4)*INDEX('Market Data'!$AD$5:$AD$66,INDEX('Market Data'!$J$5:$J$528,$T441)-4)/$E441-1,"unavailable"),IF($I441="Unavailable","unavailable","date mismatch"))))))</f>
        <v/>
      </c>
      <c r="N441" s="11">
        <f>IF($T441=0,"",IFERROR(IF(AND(N(INDEX('Market Data'!$F$5:$F$528,$T441))&gt;0,ISNUMBER(INDEX('Market Data'!$T$5:$T$528,$T441))),$E441*INDEX('Market Data'!$T$5:$T$528,$T441)/INDEX('Market Data'!$F$5:$F$528,$T441)-1,"unavailable"),"unavailable"))</f>
        <v/>
      </c>
      <c r="O441" s="9">
        <f>IF($T441=0,"",IF(IF(INDEX('Market Data'!$J$5:$J$528,$T441)=0,0,IF(LEFT(INDEX('Market Data'!$AS$5:$AS$66,INDEX('Market Data'!$J$5:$J$528,$T441)-4),11)="First-month",1,0))=1,"Class ratio review",IF($I441="Bloomberg",IF(ISNUMBER($G441),IF($G441&lt;TODAY(),"Older quote","See quote time"),"Date unavailable"),IF($I441="Snapshot",IF($G441&lt;DATEVALUE("2026-10-02"),"Older snapshot","Dated close"),"No valid quote"))))</f>
        <v/>
      </c>
      <c r="P441" s="14">
        <f>IF($T441=0,"",IF(INDEX('Market Data'!$J$5:$J$528,$T441)=0,"n/a",IF($Q441="Bloomberg",IF(AND(ISNUMBER(INDEX('Market Data'!$AK$5:$AK$66,INDEX('Market Data'!$J$5:$J$528,$T441)-4)),N(INDEX('Market Data'!$AK$5:$AK$66,INDEX('Market Data'!$J$5:$J$528,$T441)-4))&gt;0),INDEX('Market Data'!$AK$5:$AK$66,INDEX('Market Data'!$J$5:$J$528,$T441)-4),"date unavailable"),IF($Q441="Snapshot",IF(AND(ISNUMBER(INDEX('Market Data'!$AF$5:$AF$66,INDEX('Market Data'!$J$5:$J$528,$T441)-4)),N(INDEX('Market Data'!$AF$5:$AF$66,INDEX('Market Data'!$J$5:$J$528,$T441)-4))&gt;0),INDEX('Market Data'!$AF$5:$AF$66,INDEX('Market Data'!$J$5:$J$528,$T441)-4),"date unavailable"),"date unavailable"))))</f>
        <v/>
      </c>
      <c r="Q441" s="15">
        <f>IF($T441=0,"",IF(INDEX('Market Data'!$J$5:$J$528,$T441)=0,"n/a",IF(AND($M$5&lt;&gt;"Snapshot",ISNUMBER(INDEX('Market Data'!$AH$5:$AH$66,INDEX('Market Data'!$J$5:$J$528,$T441)-4)),N(INDEX('Market Data'!$AH$5:$AH$66,INDEX('Market Data'!$J$5:$J$528,$T441)-4))&gt;0),"Bloomberg",IF(AND($M$5&lt;&gt;"Bloomberg",ISNUMBER(INDEX('Market Data'!$AC$5:$AC$66,INDEX('Market Data'!$J$5:$J$528,$T441)-4)),N(INDEX('Market Data'!$AC$5:$AC$66,INDEX('Market Data'!$J$5:$J$528,$T441)-4))&gt;0),"Snapshot","Unavailable"))))</f>
        <v/>
      </c>
      <c r="T441">
        <f>IFERROR(MATCH(433,'Market Data'!$S$5:$S$528,0),0)</f>
        <v/>
      </c>
    </row>
    <row r="442" ht="34" customHeight="1">
      <c r="A442" s="8">
        <f>IF($T442=0,"",IF(INDEX('Market Data'!$A$5:$A$528,$T442)="","",INDEX('Market Data'!$A$5:$A$528,$T442)))</f>
        <v/>
      </c>
      <c r="B442" s="9">
        <f>IF($T442=0,"",IF(INDEX('Market Data'!$B$5:$B$528,$T442)="","",INDEX('Market Data'!$B$5:$B$528,$T442)))</f>
        <v/>
      </c>
      <c r="C442" s="9">
        <f>IF($T442=0,"",IF(INDEX('Market Data'!$C$5:$C$528,$T442)="","",INDEX('Market Data'!$C$5:$C$528,$T442)))</f>
        <v/>
      </c>
      <c r="D442" s="9">
        <f>IF($T442=0,"",IF(INDEX('Market Data'!$D$5:$D$528,$T442)="","",INDEX('Market Data'!$D$5:$D$528,$T442)))</f>
        <v/>
      </c>
      <c r="E442" s="10">
        <f>IF($T442=0,"",INDEX('Market Data'!$O$5:$O$528,$T442))</f>
        <v/>
      </c>
      <c r="F442" s="11">
        <f>IF($T442=0,"",IF(AND($I442="Bloomberg",ISNUMBER(INDEX('Market Data'!$L$5:$L$528,$T442))),INDEX('Market Data'!$L$5:$L$528,$T442),"unavailable"))</f>
        <v/>
      </c>
      <c r="G442" s="12">
        <f>IF($T442=0,"",IF($I442="Bloomberg",IF(AND(ISNUMBER(INDEX('Market Data'!$M$5:$M$528,$T442)),N(INDEX('Market Data'!$M$5:$M$528,$T442))&gt;0),INDEX('Market Data'!$M$5:$M$528,$T442),"date unavailable"),IF($I442="Snapshot",IF(AND(ISNUMBER(INDEX('Market Data'!$H$5:$H$528,$T442)),N(INDEX('Market Data'!$H$5:$H$528,$T442))&gt;0),INDEX('Market Data'!$H$5:$H$528,$T442),"date unavailable"),"date unavailable")))</f>
        <v/>
      </c>
      <c r="H442" s="9">
        <f>IF($T442=0,"",IF($I442="Bloomberg",IF(INDEX('Market Data'!$N$5:$N$528,$T442)="","time unavailable",INDEX('Market Data'!$N$5:$N$528,$T442)),""))</f>
        <v/>
      </c>
      <c r="I442" s="9">
        <f>IF($T442=0,"",INDEX('Market Data'!$P$5:$P$528,$T442))</f>
        <v/>
      </c>
      <c r="J442" s="13">
        <f>IF($T442=0,"",IF(INDEX('Market Data'!$E$5:$E$528,$T442)="","",INDEX('Market Data'!$E$5:$E$528,$T442)))</f>
        <v/>
      </c>
      <c r="K442" s="8">
        <f>IF($T442=0,"",IF(INDEX('Market Data'!$I$5:$I$528,$T442)="","",INDEX('Market Data'!$I$5:$I$528,$T442)))</f>
        <v/>
      </c>
      <c r="L442" s="10">
        <f>IF($T442=0,"",IF(INDEX('Market Data'!$J$5:$J$528,$T442)=0,"n/a",IF(AND($M$5&lt;&gt;"Snapshot",ISNUMBER(INDEX('Market Data'!$AH$5:$AH$66,INDEX('Market Data'!$J$5:$J$528,$T442)-4)),N(INDEX('Market Data'!$AH$5:$AH$66,INDEX('Market Data'!$J$5:$J$528,$T442)-4))&gt;0),INDEX('Market Data'!$AH$5:$AH$66,INDEX('Market Data'!$J$5:$J$528,$T442)-4),IF(AND($M$5&lt;&gt;"Bloomberg",ISNUMBER(INDEX('Market Data'!$AC$5:$AC$66,INDEX('Market Data'!$J$5:$J$528,$T442)-4)),N(INDEX('Market Data'!$AC$5:$AC$66,INDEX('Market Data'!$J$5:$J$528,$T442)-4))&gt;0),INDEX('Market Data'!$AC$5:$AC$66,INDEX('Market Data'!$J$5:$J$528,$T442)-4),"unavailable"))))</f>
        <v/>
      </c>
      <c r="M442" s="11">
        <f>IF($T442=0,"",IF(INDEX('Market Data'!$J$5:$J$528,$T442)=0,"n/a",IF(IF(INDEX('Market Data'!$J$5:$J$528,$T442)=0,0,IF(LEFT(INDEX('Market Data'!$AS$5:$AS$66,INDEX('Market Data'!$J$5:$J$528,$T442)-4),11)="First-month",1,0))=1,"class review",IF($I442="Bloomberg",IF(AND(ISNUMBER(INDEX('Market Data'!$AH$5:$AH$66,INDEX('Market Data'!$J$5:$J$528,$T442)-4)),N(INDEX('Market Data'!$AH$5:$AH$66,INDEX('Market Data'!$J$5:$J$528,$T442)-4))&gt;0,ISNUMBER('Market Data'!$B$1),N('Market Data'!$B$1)&gt;0),INDEX('Market Data'!$AH$5:$AH$66,INDEX('Market Data'!$J$5:$J$528,$T442)-4)*'Market Data'!$B$1/$E442-1,"pending A/FX"),IF(AND($I442="Snapshot",$Q442="Snapshot",ISNUMBER($E442),$G442=INDEX('Market Data'!$AE$5:$AE$66,INDEX('Market Data'!$J$5:$J$528,$T442)-4)),IFERROR(INDEX('Market Data'!$AC$5:$AC$66,INDEX('Market Data'!$J$5:$J$528,$T442)-4)*INDEX('Market Data'!$AD$5:$AD$66,INDEX('Market Data'!$J$5:$J$528,$T442)-4)/$E442-1,"unavailable"),IF($I442="Unavailable","unavailable","date mismatch"))))))</f>
        <v/>
      </c>
      <c r="N442" s="11">
        <f>IF($T442=0,"",IFERROR(IF(AND(N(INDEX('Market Data'!$F$5:$F$528,$T442))&gt;0,ISNUMBER(INDEX('Market Data'!$T$5:$T$528,$T442))),$E442*INDEX('Market Data'!$T$5:$T$528,$T442)/INDEX('Market Data'!$F$5:$F$528,$T442)-1,"unavailable"),"unavailable"))</f>
        <v/>
      </c>
      <c r="O442" s="9">
        <f>IF($T442=0,"",IF(IF(INDEX('Market Data'!$J$5:$J$528,$T442)=0,0,IF(LEFT(INDEX('Market Data'!$AS$5:$AS$66,INDEX('Market Data'!$J$5:$J$528,$T442)-4),11)="First-month",1,0))=1,"Class ratio review",IF($I442="Bloomberg",IF(ISNUMBER($G442),IF($G442&lt;TODAY(),"Older quote","See quote time"),"Date unavailable"),IF($I442="Snapshot",IF($G442&lt;DATEVALUE("2026-10-02"),"Older snapshot","Dated close"),"No valid quote"))))</f>
        <v/>
      </c>
      <c r="P442" s="14">
        <f>IF($T442=0,"",IF(INDEX('Market Data'!$J$5:$J$528,$T442)=0,"n/a",IF($Q442="Bloomberg",IF(AND(ISNUMBER(INDEX('Market Data'!$AK$5:$AK$66,INDEX('Market Data'!$J$5:$J$528,$T442)-4)),N(INDEX('Market Data'!$AK$5:$AK$66,INDEX('Market Data'!$J$5:$J$528,$T442)-4))&gt;0),INDEX('Market Data'!$AK$5:$AK$66,INDEX('Market Data'!$J$5:$J$528,$T442)-4),"date unavailable"),IF($Q442="Snapshot",IF(AND(ISNUMBER(INDEX('Market Data'!$AF$5:$AF$66,INDEX('Market Data'!$J$5:$J$528,$T442)-4)),N(INDEX('Market Data'!$AF$5:$AF$66,INDEX('Market Data'!$J$5:$J$528,$T442)-4))&gt;0),INDEX('Market Data'!$AF$5:$AF$66,INDEX('Market Data'!$J$5:$J$528,$T442)-4),"date unavailable"),"date unavailable"))))</f>
        <v/>
      </c>
      <c r="Q442" s="15">
        <f>IF($T442=0,"",IF(INDEX('Market Data'!$J$5:$J$528,$T442)=0,"n/a",IF(AND($M$5&lt;&gt;"Snapshot",ISNUMBER(INDEX('Market Data'!$AH$5:$AH$66,INDEX('Market Data'!$J$5:$J$528,$T442)-4)),N(INDEX('Market Data'!$AH$5:$AH$66,INDEX('Market Data'!$J$5:$J$528,$T442)-4))&gt;0),"Bloomberg",IF(AND($M$5&lt;&gt;"Bloomberg",ISNUMBER(INDEX('Market Data'!$AC$5:$AC$66,INDEX('Market Data'!$J$5:$J$528,$T442)-4)),N(INDEX('Market Data'!$AC$5:$AC$66,INDEX('Market Data'!$J$5:$J$528,$T442)-4))&gt;0),"Snapshot","Unavailable"))))</f>
        <v/>
      </c>
      <c r="T442">
        <f>IFERROR(MATCH(434,'Market Data'!$S$5:$S$528,0),0)</f>
        <v/>
      </c>
    </row>
    <row r="443" ht="34" customHeight="1">
      <c r="A443" s="8">
        <f>IF($T443=0,"",IF(INDEX('Market Data'!$A$5:$A$528,$T443)="","",INDEX('Market Data'!$A$5:$A$528,$T443)))</f>
        <v/>
      </c>
      <c r="B443" s="9">
        <f>IF($T443=0,"",IF(INDEX('Market Data'!$B$5:$B$528,$T443)="","",INDEX('Market Data'!$B$5:$B$528,$T443)))</f>
        <v/>
      </c>
      <c r="C443" s="9">
        <f>IF($T443=0,"",IF(INDEX('Market Data'!$C$5:$C$528,$T443)="","",INDEX('Market Data'!$C$5:$C$528,$T443)))</f>
        <v/>
      </c>
      <c r="D443" s="9">
        <f>IF($T443=0,"",IF(INDEX('Market Data'!$D$5:$D$528,$T443)="","",INDEX('Market Data'!$D$5:$D$528,$T443)))</f>
        <v/>
      </c>
      <c r="E443" s="10">
        <f>IF($T443=0,"",INDEX('Market Data'!$O$5:$O$528,$T443))</f>
        <v/>
      </c>
      <c r="F443" s="11">
        <f>IF($T443=0,"",IF(AND($I443="Bloomberg",ISNUMBER(INDEX('Market Data'!$L$5:$L$528,$T443))),INDEX('Market Data'!$L$5:$L$528,$T443),"unavailable"))</f>
        <v/>
      </c>
      <c r="G443" s="12">
        <f>IF($T443=0,"",IF($I443="Bloomberg",IF(AND(ISNUMBER(INDEX('Market Data'!$M$5:$M$528,$T443)),N(INDEX('Market Data'!$M$5:$M$528,$T443))&gt;0),INDEX('Market Data'!$M$5:$M$528,$T443),"date unavailable"),IF($I443="Snapshot",IF(AND(ISNUMBER(INDEX('Market Data'!$H$5:$H$528,$T443)),N(INDEX('Market Data'!$H$5:$H$528,$T443))&gt;0),INDEX('Market Data'!$H$5:$H$528,$T443),"date unavailable"),"date unavailable")))</f>
        <v/>
      </c>
      <c r="H443" s="9">
        <f>IF($T443=0,"",IF($I443="Bloomberg",IF(INDEX('Market Data'!$N$5:$N$528,$T443)="","time unavailable",INDEX('Market Data'!$N$5:$N$528,$T443)),""))</f>
        <v/>
      </c>
      <c r="I443" s="9">
        <f>IF($T443=0,"",INDEX('Market Data'!$P$5:$P$528,$T443))</f>
        <v/>
      </c>
      <c r="J443" s="13">
        <f>IF($T443=0,"",IF(INDEX('Market Data'!$E$5:$E$528,$T443)="","",INDEX('Market Data'!$E$5:$E$528,$T443)))</f>
        <v/>
      </c>
      <c r="K443" s="8">
        <f>IF($T443=0,"",IF(INDEX('Market Data'!$I$5:$I$528,$T443)="","",INDEX('Market Data'!$I$5:$I$528,$T443)))</f>
        <v/>
      </c>
      <c r="L443" s="10">
        <f>IF($T443=0,"",IF(INDEX('Market Data'!$J$5:$J$528,$T443)=0,"n/a",IF(AND($M$5&lt;&gt;"Snapshot",ISNUMBER(INDEX('Market Data'!$AH$5:$AH$66,INDEX('Market Data'!$J$5:$J$528,$T443)-4)),N(INDEX('Market Data'!$AH$5:$AH$66,INDEX('Market Data'!$J$5:$J$528,$T443)-4))&gt;0),INDEX('Market Data'!$AH$5:$AH$66,INDEX('Market Data'!$J$5:$J$528,$T443)-4),IF(AND($M$5&lt;&gt;"Bloomberg",ISNUMBER(INDEX('Market Data'!$AC$5:$AC$66,INDEX('Market Data'!$J$5:$J$528,$T443)-4)),N(INDEX('Market Data'!$AC$5:$AC$66,INDEX('Market Data'!$J$5:$J$528,$T443)-4))&gt;0),INDEX('Market Data'!$AC$5:$AC$66,INDEX('Market Data'!$J$5:$J$528,$T443)-4),"unavailable"))))</f>
        <v/>
      </c>
      <c r="M443" s="11">
        <f>IF($T443=0,"",IF(INDEX('Market Data'!$J$5:$J$528,$T443)=0,"n/a",IF(IF(INDEX('Market Data'!$J$5:$J$528,$T443)=0,0,IF(LEFT(INDEX('Market Data'!$AS$5:$AS$66,INDEX('Market Data'!$J$5:$J$528,$T443)-4),11)="First-month",1,0))=1,"class review",IF($I443="Bloomberg",IF(AND(ISNUMBER(INDEX('Market Data'!$AH$5:$AH$66,INDEX('Market Data'!$J$5:$J$528,$T443)-4)),N(INDEX('Market Data'!$AH$5:$AH$66,INDEX('Market Data'!$J$5:$J$528,$T443)-4))&gt;0,ISNUMBER('Market Data'!$B$1),N('Market Data'!$B$1)&gt;0),INDEX('Market Data'!$AH$5:$AH$66,INDEX('Market Data'!$J$5:$J$528,$T443)-4)*'Market Data'!$B$1/$E443-1,"pending A/FX"),IF(AND($I443="Snapshot",$Q443="Snapshot",ISNUMBER($E443),$G443=INDEX('Market Data'!$AE$5:$AE$66,INDEX('Market Data'!$J$5:$J$528,$T443)-4)),IFERROR(INDEX('Market Data'!$AC$5:$AC$66,INDEX('Market Data'!$J$5:$J$528,$T443)-4)*INDEX('Market Data'!$AD$5:$AD$66,INDEX('Market Data'!$J$5:$J$528,$T443)-4)/$E443-1,"unavailable"),IF($I443="Unavailable","unavailable","date mismatch"))))))</f>
        <v/>
      </c>
      <c r="N443" s="11">
        <f>IF($T443=0,"",IFERROR(IF(AND(N(INDEX('Market Data'!$F$5:$F$528,$T443))&gt;0,ISNUMBER(INDEX('Market Data'!$T$5:$T$528,$T443))),$E443*INDEX('Market Data'!$T$5:$T$528,$T443)/INDEX('Market Data'!$F$5:$F$528,$T443)-1,"unavailable"),"unavailable"))</f>
        <v/>
      </c>
      <c r="O443" s="9">
        <f>IF($T443=0,"",IF(IF(INDEX('Market Data'!$J$5:$J$528,$T443)=0,0,IF(LEFT(INDEX('Market Data'!$AS$5:$AS$66,INDEX('Market Data'!$J$5:$J$528,$T443)-4),11)="First-month",1,0))=1,"Class ratio review",IF($I443="Bloomberg",IF(ISNUMBER($G443),IF($G443&lt;TODAY(),"Older quote","See quote time"),"Date unavailable"),IF($I443="Snapshot",IF($G443&lt;DATEVALUE("2026-10-02"),"Older snapshot","Dated close"),"No valid quote"))))</f>
        <v/>
      </c>
      <c r="P443" s="14">
        <f>IF($T443=0,"",IF(INDEX('Market Data'!$J$5:$J$528,$T443)=0,"n/a",IF($Q443="Bloomberg",IF(AND(ISNUMBER(INDEX('Market Data'!$AK$5:$AK$66,INDEX('Market Data'!$J$5:$J$528,$T443)-4)),N(INDEX('Market Data'!$AK$5:$AK$66,INDEX('Market Data'!$J$5:$J$528,$T443)-4))&gt;0),INDEX('Market Data'!$AK$5:$AK$66,INDEX('Market Data'!$J$5:$J$528,$T443)-4),"date unavailable"),IF($Q443="Snapshot",IF(AND(ISNUMBER(INDEX('Market Data'!$AF$5:$AF$66,INDEX('Market Data'!$J$5:$J$528,$T443)-4)),N(INDEX('Market Data'!$AF$5:$AF$66,INDEX('Market Data'!$J$5:$J$528,$T443)-4))&gt;0),INDEX('Market Data'!$AF$5:$AF$66,INDEX('Market Data'!$J$5:$J$528,$T443)-4),"date unavailable"),"date unavailable"))))</f>
        <v/>
      </c>
      <c r="Q443" s="15">
        <f>IF($T443=0,"",IF(INDEX('Market Data'!$J$5:$J$528,$T443)=0,"n/a",IF(AND($M$5&lt;&gt;"Snapshot",ISNUMBER(INDEX('Market Data'!$AH$5:$AH$66,INDEX('Market Data'!$J$5:$J$528,$T443)-4)),N(INDEX('Market Data'!$AH$5:$AH$66,INDEX('Market Data'!$J$5:$J$528,$T443)-4))&gt;0),"Bloomberg",IF(AND($M$5&lt;&gt;"Bloomberg",ISNUMBER(INDEX('Market Data'!$AC$5:$AC$66,INDEX('Market Data'!$J$5:$J$528,$T443)-4)),N(INDEX('Market Data'!$AC$5:$AC$66,INDEX('Market Data'!$J$5:$J$528,$T443)-4))&gt;0),"Snapshot","Unavailable"))))</f>
        <v/>
      </c>
      <c r="T443">
        <f>IFERROR(MATCH(435,'Market Data'!$S$5:$S$528,0),0)</f>
        <v/>
      </c>
    </row>
    <row r="444" ht="34" customHeight="1">
      <c r="A444" s="8">
        <f>IF($T444=0,"",IF(INDEX('Market Data'!$A$5:$A$528,$T444)="","",INDEX('Market Data'!$A$5:$A$528,$T444)))</f>
        <v/>
      </c>
      <c r="B444" s="9">
        <f>IF($T444=0,"",IF(INDEX('Market Data'!$B$5:$B$528,$T444)="","",INDEX('Market Data'!$B$5:$B$528,$T444)))</f>
        <v/>
      </c>
      <c r="C444" s="9">
        <f>IF($T444=0,"",IF(INDEX('Market Data'!$C$5:$C$528,$T444)="","",INDEX('Market Data'!$C$5:$C$528,$T444)))</f>
        <v/>
      </c>
      <c r="D444" s="9">
        <f>IF($T444=0,"",IF(INDEX('Market Data'!$D$5:$D$528,$T444)="","",INDEX('Market Data'!$D$5:$D$528,$T444)))</f>
        <v/>
      </c>
      <c r="E444" s="10">
        <f>IF($T444=0,"",INDEX('Market Data'!$O$5:$O$528,$T444))</f>
        <v/>
      </c>
      <c r="F444" s="11">
        <f>IF($T444=0,"",IF(AND($I444="Bloomberg",ISNUMBER(INDEX('Market Data'!$L$5:$L$528,$T444))),INDEX('Market Data'!$L$5:$L$528,$T444),"unavailable"))</f>
        <v/>
      </c>
      <c r="G444" s="12">
        <f>IF($T444=0,"",IF($I444="Bloomberg",IF(AND(ISNUMBER(INDEX('Market Data'!$M$5:$M$528,$T444)),N(INDEX('Market Data'!$M$5:$M$528,$T444))&gt;0),INDEX('Market Data'!$M$5:$M$528,$T444),"date unavailable"),IF($I444="Snapshot",IF(AND(ISNUMBER(INDEX('Market Data'!$H$5:$H$528,$T444)),N(INDEX('Market Data'!$H$5:$H$528,$T444))&gt;0),INDEX('Market Data'!$H$5:$H$528,$T444),"date unavailable"),"date unavailable")))</f>
        <v/>
      </c>
      <c r="H444" s="9">
        <f>IF($T444=0,"",IF($I444="Bloomberg",IF(INDEX('Market Data'!$N$5:$N$528,$T444)="","time unavailable",INDEX('Market Data'!$N$5:$N$528,$T444)),""))</f>
        <v/>
      </c>
      <c r="I444" s="9">
        <f>IF($T444=0,"",INDEX('Market Data'!$P$5:$P$528,$T444))</f>
        <v/>
      </c>
      <c r="J444" s="13">
        <f>IF($T444=0,"",IF(INDEX('Market Data'!$E$5:$E$528,$T444)="","",INDEX('Market Data'!$E$5:$E$528,$T444)))</f>
        <v/>
      </c>
      <c r="K444" s="8">
        <f>IF($T444=0,"",IF(INDEX('Market Data'!$I$5:$I$528,$T444)="","",INDEX('Market Data'!$I$5:$I$528,$T444)))</f>
        <v/>
      </c>
      <c r="L444" s="10">
        <f>IF($T444=0,"",IF(INDEX('Market Data'!$J$5:$J$528,$T444)=0,"n/a",IF(AND($M$5&lt;&gt;"Snapshot",ISNUMBER(INDEX('Market Data'!$AH$5:$AH$66,INDEX('Market Data'!$J$5:$J$528,$T444)-4)),N(INDEX('Market Data'!$AH$5:$AH$66,INDEX('Market Data'!$J$5:$J$528,$T444)-4))&gt;0),INDEX('Market Data'!$AH$5:$AH$66,INDEX('Market Data'!$J$5:$J$528,$T444)-4),IF(AND($M$5&lt;&gt;"Bloomberg",ISNUMBER(INDEX('Market Data'!$AC$5:$AC$66,INDEX('Market Data'!$J$5:$J$528,$T444)-4)),N(INDEX('Market Data'!$AC$5:$AC$66,INDEX('Market Data'!$J$5:$J$528,$T444)-4))&gt;0),INDEX('Market Data'!$AC$5:$AC$66,INDEX('Market Data'!$J$5:$J$528,$T444)-4),"unavailable"))))</f>
        <v/>
      </c>
      <c r="M444" s="11">
        <f>IF($T444=0,"",IF(INDEX('Market Data'!$J$5:$J$528,$T444)=0,"n/a",IF(IF(INDEX('Market Data'!$J$5:$J$528,$T444)=0,0,IF(LEFT(INDEX('Market Data'!$AS$5:$AS$66,INDEX('Market Data'!$J$5:$J$528,$T444)-4),11)="First-month",1,0))=1,"class review",IF($I444="Bloomberg",IF(AND(ISNUMBER(INDEX('Market Data'!$AH$5:$AH$66,INDEX('Market Data'!$J$5:$J$528,$T444)-4)),N(INDEX('Market Data'!$AH$5:$AH$66,INDEX('Market Data'!$J$5:$J$528,$T444)-4))&gt;0,ISNUMBER('Market Data'!$B$1),N('Market Data'!$B$1)&gt;0),INDEX('Market Data'!$AH$5:$AH$66,INDEX('Market Data'!$J$5:$J$528,$T444)-4)*'Market Data'!$B$1/$E444-1,"pending A/FX"),IF(AND($I444="Snapshot",$Q444="Snapshot",ISNUMBER($E444),$G444=INDEX('Market Data'!$AE$5:$AE$66,INDEX('Market Data'!$J$5:$J$528,$T444)-4)),IFERROR(INDEX('Market Data'!$AC$5:$AC$66,INDEX('Market Data'!$J$5:$J$528,$T444)-4)*INDEX('Market Data'!$AD$5:$AD$66,INDEX('Market Data'!$J$5:$J$528,$T444)-4)/$E444-1,"unavailable"),IF($I444="Unavailable","unavailable","date mismatch"))))))</f>
        <v/>
      </c>
      <c r="N444" s="11">
        <f>IF($T444=0,"",IFERROR(IF(AND(N(INDEX('Market Data'!$F$5:$F$528,$T444))&gt;0,ISNUMBER(INDEX('Market Data'!$T$5:$T$528,$T444))),$E444*INDEX('Market Data'!$T$5:$T$528,$T444)/INDEX('Market Data'!$F$5:$F$528,$T444)-1,"unavailable"),"unavailable"))</f>
        <v/>
      </c>
      <c r="O444" s="9">
        <f>IF($T444=0,"",IF(IF(INDEX('Market Data'!$J$5:$J$528,$T444)=0,0,IF(LEFT(INDEX('Market Data'!$AS$5:$AS$66,INDEX('Market Data'!$J$5:$J$528,$T444)-4),11)="First-month",1,0))=1,"Class ratio review",IF($I444="Bloomberg",IF(ISNUMBER($G444),IF($G444&lt;TODAY(),"Older quote","See quote time"),"Date unavailable"),IF($I444="Snapshot",IF($G444&lt;DATEVALUE("2026-10-02"),"Older snapshot","Dated close"),"No valid quote"))))</f>
        <v/>
      </c>
      <c r="P444" s="14">
        <f>IF($T444=0,"",IF(INDEX('Market Data'!$J$5:$J$528,$T444)=0,"n/a",IF($Q444="Bloomberg",IF(AND(ISNUMBER(INDEX('Market Data'!$AK$5:$AK$66,INDEX('Market Data'!$J$5:$J$528,$T444)-4)),N(INDEX('Market Data'!$AK$5:$AK$66,INDEX('Market Data'!$J$5:$J$528,$T444)-4))&gt;0),INDEX('Market Data'!$AK$5:$AK$66,INDEX('Market Data'!$J$5:$J$528,$T444)-4),"date unavailable"),IF($Q444="Snapshot",IF(AND(ISNUMBER(INDEX('Market Data'!$AF$5:$AF$66,INDEX('Market Data'!$J$5:$J$528,$T444)-4)),N(INDEX('Market Data'!$AF$5:$AF$66,INDEX('Market Data'!$J$5:$J$528,$T444)-4))&gt;0),INDEX('Market Data'!$AF$5:$AF$66,INDEX('Market Data'!$J$5:$J$528,$T444)-4),"date unavailable"),"date unavailable"))))</f>
        <v/>
      </c>
      <c r="Q444" s="15">
        <f>IF($T444=0,"",IF(INDEX('Market Data'!$J$5:$J$528,$T444)=0,"n/a",IF(AND($M$5&lt;&gt;"Snapshot",ISNUMBER(INDEX('Market Data'!$AH$5:$AH$66,INDEX('Market Data'!$J$5:$J$528,$T444)-4)),N(INDEX('Market Data'!$AH$5:$AH$66,INDEX('Market Data'!$J$5:$J$528,$T444)-4))&gt;0),"Bloomberg",IF(AND($M$5&lt;&gt;"Bloomberg",ISNUMBER(INDEX('Market Data'!$AC$5:$AC$66,INDEX('Market Data'!$J$5:$J$528,$T444)-4)),N(INDEX('Market Data'!$AC$5:$AC$66,INDEX('Market Data'!$J$5:$J$528,$T444)-4))&gt;0),"Snapshot","Unavailable"))))</f>
        <v/>
      </c>
      <c r="T444">
        <f>IFERROR(MATCH(436,'Market Data'!$S$5:$S$528,0),0)</f>
        <v/>
      </c>
    </row>
    <row r="445" ht="34" customHeight="1">
      <c r="A445" s="8">
        <f>IF($T445=0,"",IF(INDEX('Market Data'!$A$5:$A$528,$T445)="","",INDEX('Market Data'!$A$5:$A$528,$T445)))</f>
        <v/>
      </c>
      <c r="B445" s="9">
        <f>IF($T445=0,"",IF(INDEX('Market Data'!$B$5:$B$528,$T445)="","",INDEX('Market Data'!$B$5:$B$528,$T445)))</f>
        <v/>
      </c>
      <c r="C445" s="9">
        <f>IF($T445=0,"",IF(INDEX('Market Data'!$C$5:$C$528,$T445)="","",INDEX('Market Data'!$C$5:$C$528,$T445)))</f>
        <v/>
      </c>
      <c r="D445" s="9">
        <f>IF($T445=0,"",IF(INDEX('Market Data'!$D$5:$D$528,$T445)="","",INDEX('Market Data'!$D$5:$D$528,$T445)))</f>
        <v/>
      </c>
      <c r="E445" s="10">
        <f>IF($T445=0,"",INDEX('Market Data'!$O$5:$O$528,$T445))</f>
        <v/>
      </c>
      <c r="F445" s="11">
        <f>IF($T445=0,"",IF(AND($I445="Bloomberg",ISNUMBER(INDEX('Market Data'!$L$5:$L$528,$T445))),INDEX('Market Data'!$L$5:$L$528,$T445),"unavailable"))</f>
        <v/>
      </c>
      <c r="G445" s="12">
        <f>IF($T445=0,"",IF($I445="Bloomberg",IF(AND(ISNUMBER(INDEX('Market Data'!$M$5:$M$528,$T445)),N(INDEX('Market Data'!$M$5:$M$528,$T445))&gt;0),INDEX('Market Data'!$M$5:$M$528,$T445),"date unavailable"),IF($I445="Snapshot",IF(AND(ISNUMBER(INDEX('Market Data'!$H$5:$H$528,$T445)),N(INDEX('Market Data'!$H$5:$H$528,$T445))&gt;0),INDEX('Market Data'!$H$5:$H$528,$T445),"date unavailable"),"date unavailable")))</f>
        <v/>
      </c>
      <c r="H445" s="9">
        <f>IF($T445=0,"",IF($I445="Bloomberg",IF(INDEX('Market Data'!$N$5:$N$528,$T445)="","time unavailable",INDEX('Market Data'!$N$5:$N$528,$T445)),""))</f>
        <v/>
      </c>
      <c r="I445" s="9">
        <f>IF($T445=0,"",INDEX('Market Data'!$P$5:$P$528,$T445))</f>
        <v/>
      </c>
      <c r="J445" s="13">
        <f>IF($T445=0,"",IF(INDEX('Market Data'!$E$5:$E$528,$T445)="","",INDEX('Market Data'!$E$5:$E$528,$T445)))</f>
        <v/>
      </c>
      <c r="K445" s="8">
        <f>IF($T445=0,"",IF(INDEX('Market Data'!$I$5:$I$528,$T445)="","",INDEX('Market Data'!$I$5:$I$528,$T445)))</f>
        <v/>
      </c>
      <c r="L445" s="10">
        <f>IF($T445=0,"",IF(INDEX('Market Data'!$J$5:$J$528,$T445)=0,"n/a",IF(AND($M$5&lt;&gt;"Snapshot",ISNUMBER(INDEX('Market Data'!$AH$5:$AH$66,INDEX('Market Data'!$J$5:$J$528,$T445)-4)),N(INDEX('Market Data'!$AH$5:$AH$66,INDEX('Market Data'!$J$5:$J$528,$T445)-4))&gt;0),INDEX('Market Data'!$AH$5:$AH$66,INDEX('Market Data'!$J$5:$J$528,$T445)-4),IF(AND($M$5&lt;&gt;"Bloomberg",ISNUMBER(INDEX('Market Data'!$AC$5:$AC$66,INDEX('Market Data'!$J$5:$J$528,$T445)-4)),N(INDEX('Market Data'!$AC$5:$AC$66,INDEX('Market Data'!$J$5:$J$528,$T445)-4))&gt;0),INDEX('Market Data'!$AC$5:$AC$66,INDEX('Market Data'!$J$5:$J$528,$T445)-4),"unavailable"))))</f>
        <v/>
      </c>
      <c r="M445" s="11">
        <f>IF($T445=0,"",IF(INDEX('Market Data'!$J$5:$J$528,$T445)=0,"n/a",IF(IF(INDEX('Market Data'!$J$5:$J$528,$T445)=0,0,IF(LEFT(INDEX('Market Data'!$AS$5:$AS$66,INDEX('Market Data'!$J$5:$J$528,$T445)-4),11)="First-month",1,0))=1,"class review",IF($I445="Bloomberg",IF(AND(ISNUMBER(INDEX('Market Data'!$AH$5:$AH$66,INDEX('Market Data'!$J$5:$J$528,$T445)-4)),N(INDEX('Market Data'!$AH$5:$AH$66,INDEX('Market Data'!$J$5:$J$528,$T445)-4))&gt;0,ISNUMBER('Market Data'!$B$1),N('Market Data'!$B$1)&gt;0),INDEX('Market Data'!$AH$5:$AH$66,INDEX('Market Data'!$J$5:$J$528,$T445)-4)*'Market Data'!$B$1/$E445-1,"pending A/FX"),IF(AND($I445="Snapshot",$Q445="Snapshot",ISNUMBER($E445),$G445=INDEX('Market Data'!$AE$5:$AE$66,INDEX('Market Data'!$J$5:$J$528,$T445)-4)),IFERROR(INDEX('Market Data'!$AC$5:$AC$66,INDEX('Market Data'!$J$5:$J$528,$T445)-4)*INDEX('Market Data'!$AD$5:$AD$66,INDEX('Market Data'!$J$5:$J$528,$T445)-4)/$E445-1,"unavailable"),IF($I445="Unavailable","unavailable","date mismatch"))))))</f>
        <v/>
      </c>
      <c r="N445" s="11">
        <f>IF($T445=0,"",IFERROR(IF(AND(N(INDEX('Market Data'!$F$5:$F$528,$T445))&gt;0,ISNUMBER(INDEX('Market Data'!$T$5:$T$528,$T445))),$E445*INDEX('Market Data'!$T$5:$T$528,$T445)/INDEX('Market Data'!$F$5:$F$528,$T445)-1,"unavailable"),"unavailable"))</f>
        <v/>
      </c>
      <c r="O445" s="9">
        <f>IF($T445=0,"",IF(IF(INDEX('Market Data'!$J$5:$J$528,$T445)=0,0,IF(LEFT(INDEX('Market Data'!$AS$5:$AS$66,INDEX('Market Data'!$J$5:$J$528,$T445)-4),11)="First-month",1,0))=1,"Class ratio review",IF($I445="Bloomberg",IF(ISNUMBER($G445),IF($G445&lt;TODAY(),"Older quote","See quote time"),"Date unavailable"),IF($I445="Snapshot",IF($G445&lt;DATEVALUE("2026-10-02"),"Older snapshot","Dated close"),"No valid quote"))))</f>
        <v/>
      </c>
      <c r="P445" s="14">
        <f>IF($T445=0,"",IF(INDEX('Market Data'!$J$5:$J$528,$T445)=0,"n/a",IF($Q445="Bloomberg",IF(AND(ISNUMBER(INDEX('Market Data'!$AK$5:$AK$66,INDEX('Market Data'!$J$5:$J$528,$T445)-4)),N(INDEX('Market Data'!$AK$5:$AK$66,INDEX('Market Data'!$J$5:$J$528,$T445)-4))&gt;0),INDEX('Market Data'!$AK$5:$AK$66,INDEX('Market Data'!$J$5:$J$528,$T445)-4),"date unavailable"),IF($Q445="Snapshot",IF(AND(ISNUMBER(INDEX('Market Data'!$AF$5:$AF$66,INDEX('Market Data'!$J$5:$J$528,$T445)-4)),N(INDEX('Market Data'!$AF$5:$AF$66,INDEX('Market Data'!$J$5:$J$528,$T445)-4))&gt;0),INDEX('Market Data'!$AF$5:$AF$66,INDEX('Market Data'!$J$5:$J$528,$T445)-4),"date unavailable"),"date unavailable"))))</f>
        <v/>
      </c>
      <c r="Q445" s="15">
        <f>IF($T445=0,"",IF(INDEX('Market Data'!$J$5:$J$528,$T445)=0,"n/a",IF(AND($M$5&lt;&gt;"Snapshot",ISNUMBER(INDEX('Market Data'!$AH$5:$AH$66,INDEX('Market Data'!$J$5:$J$528,$T445)-4)),N(INDEX('Market Data'!$AH$5:$AH$66,INDEX('Market Data'!$J$5:$J$528,$T445)-4))&gt;0),"Bloomberg",IF(AND($M$5&lt;&gt;"Bloomberg",ISNUMBER(INDEX('Market Data'!$AC$5:$AC$66,INDEX('Market Data'!$J$5:$J$528,$T445)-4)),N(INDEX('Market Data'!$AC$5:$AC$66,INDEX('Market Data'!$J$5:$J$528,$T445)-4))&gt;0),"Snapshot","Unavailable"))))</f>
        <v/>
      </c>
      <c r="T445">
        <f>IFERROR(MATCH(437,'Market Data'!$S$5:$S$528,0),0)</f>
        <v/>
      </c>
    </row>
    <row r="446" ht="34" customHeight="1">
      <c r="A446" s="8">
        <f>IF($T446=0,"",IF(INDEX('Market Data'!$A$5:$A$528,$T446)="","",INDEX('Market Data'!$A$5:$A$528,$T446)))</f>
        <v/>
      </c>
      <c r="B446" s="9">
        <f>IF($T446=0,"",IF(INDEX('Market Data'!$B$5:$B$528,$T446)="","",INDEX('Market Data'!$B$5:$B$528,$T446)))</f>
        <v/>
      </c>
      <c r="C446" s="9">
        <f>IF($T446=0,"",IF(INDEX('Market Data'!$C$5:$C$528,$T446)="","",INDEX('Market Data'!$C$5:$C$528,$T446)))</f>
        <v/>
      </c>
      <c r="D446" s="9">
        <f>IF($T446=0,"",IF(INDEX('Market Data'!$D$5:$D$528,$T446)="","",INDEX('Market Data'!$D$5:$D$528,$T446)))</f>
        <v/>
      </c>
      <c r="E446" s="10">
        <f>IF($T446=0,"",INDEX('Market Data'!$O$5:$O$528,$T446))</f>
        <v/>
      </c>
      <c r="F446" s="11">
        <f>IF($T446=0,"",IF(AND($I446="Bloomberg",ISNUMBER(INDEX('Market Data'!$L$5:$L$528,$T446))),INDEX('Market Data'!$L$5:$L$528,$T446),"unavailable"))</f>
        <v/>
      </c>
      <c r="G446" s="12">
        <f>IF($T446=0,"",IF($I446="Bloomberg",IF(AND(ISNUMBER(INDEX('Market Data'!$M$5:$M$528,$T446)),N(INDEX('Market Data'!$M$5:$M$528,$T446))&gt;0),INDEX('Market Data'!$M$5:$M$528,$T446),"date unavailable"),IF($I446="Snapshot",IF(AND(ISNUMBER(INDEX('Market Data'!$H$5:$H$528,$T446)),N(INDEX('Market Data'!$H$5:$H$528,$T446))&gt;0),INDEX('Market Data'!$H$5:$H$528,$T446),"date unavailable"),"date unavailable")))</f>
        <v/>
      </c>
      <c r="H446" s="9">
        <f>IF($T446=0,"",IF($I446="Bloomberg",IF(INDEX('Market Data'!$N$5:$N$528,$T446)="","time unavailable",INDEX('Market Data'!$N$5:$N$528,$T446)),""))</f>
        <v/>
      </c>
      <c r="I446" s="9">
        <f>IF($T446=0,"",INDEX('Market Data'!$P$5:$P$528,$T446))</f>
        <v/>
      </c>
      <c r="J446" s="13">
        <f>IF($T446=0,"",IF(INDEX('Market Data'!$E$5:$E$528,$T446)="","",INDEX('Market Data'!$E$5:$E$528,$T446)))</f>
        <v/>
      </c>
      <c r="K446" s="8">
        <f>IF($T446=0,"",IF(INDEX('Market Data'!$I$5:$I$528,$T446)="","",INDEX('Market Data'!$I$5:$I$528,$T446)))</f>
        <v/>
      </c>
      <c r="L446" s="10">
        <f>IF($T446=0,"",IF(INDEX('Market Data'!$J$5:$J$528,$T446)=0,"n/a",IF(AND($M$5&lt;&gt;"Snapshot",ISNUMBER(INDEX('Market Data'!$AH$5:$AH$66,INDEX('Market Data'!$J$5:$J$528,$T446)-4)),N(INDEX('Market Data'!$AH$5:$AH$66,INDEX('Market Data'!$J$5:$J$528,$T446)-4))&gt;0),INDEX('Market Data'!$AH$5:$AH$66,INDEX('Market Data'!$J$5:$J$528,$T446)-4),IF(AND($M$5&lt;&gt;"Bloomberg",ISNUMBER(INDEX('Market Data'!$AC$5:$AC$66,INDEX('Market Data'!$J$5:$J$528,$T446)-4)),N(INDEX('Market Data'!$AC$5:$AC$66,INDEX('Market Data'!$J$5:$J$528,$T446)-4))&gt;0),INDEX('Market Data'!$AC$5:$AC$66,INDEX('Market Data'!$J$5:$J$528,$T446)-4),"unavailable"))))</f>
        <v/>
      </c>
      <c r="M446" s="11">
        <f>IF($T446=0,"",IF(INDEX('Market Data'!$J$5:$J$528,$T446)=0,"n/a",IF(IF(INDEX('Market Data'!$J$5:$J$528,$T446)=0,0,IF(LEFT(INDEX('Market Data'!$AS$5:$AS$66,INDEX('Market Data'!$J$5:$J$528,$T446)-4),11)="First-month",1,0))=1,"class review",IF($I446="Bloomberg",IF(AND(ISNUMBER(INDEX('Market Data'!$AH$5:$AH$66,INDEX('Market Data'!$J$5:$J$528,$T446)-4)),N(INDEX('Market Data'!$AH$5:$AH$66,INDEX('Market Data'!$J$5:$J$528,$T446)-4))&gt;0,ISNUMBER('Market Data'!$B$1),N('Market Data'!$B$1)&gt;0),INDEX('Market Data'!$AH$5:$AH$66,INDEX('Market Data'!$J$5:$J$528,$T446)-4)*'Market Data'!$B$1/$E446-1,"pending A/FX"),IF(AND($I446="Snapshot",$Q446="Snapshot",ISNUMBER($E446),$G446=INDEX('Market Data'!$AE$5:$AE$66,INDEX('Market Data'!$J$5:$J$528,$T446)-4)),IFERROR(INDEX('Market Data'!$AC$5:$AC$66,INDEX('Market Data'!$J$5:$J$528,$T446)-4)*INDEX('Market Data'!$AD$5:$AD$66,INDEX('Market Data'!$J$5:$J$528,$T446)-4)/$E446-1,"unavailable"),IF($I446="Unavailable","unavailable","date mismatch"))))))</f>
        <v/>
      </c>
      <c r="N446" s="11">
        <f>IF($T446=0,"",IFERROR(IF(AND(N(INDEX('Market Data'!$F$5:$F$528,$T446))&gt;0,ISNUMBER(INDEX('Market Data'!$T$5:$T$528,$T446))),$E446*INDEX('Market Data'!$T$5:$T$528,$T446)/INDEX('Market Data'!$F$5:$F$528,$T446)-1,"unavailable"),"unavailable"))</f>
        <v/>
      </c>
      <c r="O446" s="9">
        <f>IF($T446=0,"",IF(IF(INDEX('Market Data'!$J$5:$J$528,$T446)=0,0,IF(LEFT(INDEX('Market Data'!$AS$5:$AS$66,INDEX('Market Data'!$J$5:$J$528,$T446)-4),11)="First-month",1,0))=1,"Class ratio review",IF($I446="Bloomberg",IF(ISNUMBER($G446),IF($G446&lt;TODAY(),"Older quote","See quote time"),"Date unavailable"),IF($I446="Snapshot",IF($G446&lt;DATEVALUE("2026-10-02"),"Older snapshot","Dated close"),"No valid quote"))))</f>
        <v/>
      </c>
      <c r="P446" s="14">
        <f>IF($T446=0,"",IF(INDEX('Market Data'!$J$5:$J$528,$T446)=0,"n/a",IF($Q446="Bloomberg",IF(AND(ISNUMBER(INDEX('Market Data'!$AK$5:$AK$66,INDEX('Market Data'!$J$5:$J$528,$T446)-4)),N(INDEX('Market Data'!$AK$5:$AK$66,INDEX('Market Data'!$J$5:$J$528,$T446)-4))&gt;0),INDEX('Market Data'!$AK$5:$AK$66,INDEX('Market Data'!$J$5:$J$528,$T446)-4),"date unavailable"),IF($Q446="Snapshot",IF(AND(ISNUMBER(INDEX('Market Data'!$AF$5:$AF$66,INDEX('Market Data'!$J$5:$J$528,$T446)-4)),N(INDEX('Market Data'!$AF$5:$AF$66,INDEX('Market Data'!$J$5:$J$528,$T446)-4))&gt;0),INDEX('Market Data'!$AF$5:$AF$66,INDEX('Market Data'!$J$5:$J$528,$T446)-4),"date unavailable"),"date unavailable"))))</f>
        <v/>
      </c>
      <c r="Q446" s="15">
        <f>IF($T446=0,"",IF(INDEX('Market Data'!$J$5:$J$528,$T446)=0,"n/a",IF(AND($M$5&lt;&gt;"Snapshot",ISNUMBER(INDEX('Market Data'!$AH$5:$AH$66,INDEX('Market Data'!$J$5:$J$528,$T446)-4)),N(INDEX('Market Data'!$AH$5:$AH$66,INDEX('Market Data'!$J$5:$J$528,$T446)-4))&gt;0),"Bloomberg",IF(AND($M$5&lt;&gt;"Bloomberg",ISNUMBER(INDEX('Market Data'!$AC$5:$AC$66,INDEX('Market Data'!$J$5:$J$528,$T446)-4)),N(INDEX('Market Data'!$AC$5:$AC$66,INDEX('Market Data'!$J$5:$J$528,$T446)-4))&gt;0),"Snapshot","Unavailable"))))</f>
        <v/>
      </c>
      <c r="T446">
        <f>IFERROR(MATCH(438,'Market Data'!$S$5:$S$528,0),0)</f>
        <v/>
      </c>
    </row>
    <row r="447" ht="34" customHeight="1">
      <c r="A447" s="8">
        <f>IF($T447=0,"",IF(INDEX('Market Data'!$A$5:$A$528,$T447)="","",INDEX('Market Data'!$A$5:$A$528,$T447)))</f>
        <v/>
      </c>
      <c r="B447" s="9">
        <f>IF($T447=0,"",IF(INDEX('Market Data'!$B$5:$B$528,$T447)="","",INDEX('Market Data'!$B$5:$B$528,$T447)))</f>
        <v/>
      </c>
      <c r="C447" s="9">
        <f>IF($T447=0,"",IF(INDEX('Market Data'!$C$5:$C$528,$T447)="","",INDEX('Market Data'!$C$5:$C$528,$T447)))</f>
        <v/>
      </c>
      <c r="D447" s="9">
        <f>IF($T447=0,"",IF(INDEX('Market Data'!$D$5:$D$528,$T447)="","",INDEX('Market Data'!$D$5:$D$528,$T447)))</f>
        <v/>
      </c>
      <c r="E447" s="10">
        <f>IF($T447=0,"",INDEX('Market Data'!$O$5:$O$528,$T447))</f>
        <v/>
      </c>
      <c r="F447" s="11">
        <f>IF($T447=0,"",IF(AND($I447="Bloomberg",ISNUMBER(INDEX('Market Data'!$L$5:$L$528,$T447))),INDEX('Market Data'!$L$5:$L$528,$T447),"unavailable"))</f>
        <v/>
      </c>
      <c r="G447" s="12">
        <f>IF($T447=0,"",IF($I447="Bloomberg",IF(AND(ISNUMBER(INDEX('Market Data'!$M$5:$M$528,$T447)),N(INDEX('Market Data'!$M$5:$M$528,$T447))&gt;0),INDEX('Market Data'!$M$5:$M$528,$T447),"date unavailable"),IF($I447="Snapshot",IF(AND(ISNUMBER(INDEX('Market Data'!$H$5:$H$528,$T447)),N(INDEX('Market Data'!$H$5:$H$528,$T447))&gt;0),INDEX('Market Data'!$H$5:$H$528,$T447),"date unavailable"),"date unavailable")))</f>
        <v/>
      </c>
      <c r="H447" s="9">
        <f>IF($T447=0,"",IF($I447="Bloomberg",IF(INDEX('Market Data'!$N$5:$N$528,$T447)="","time unavailable",INDEX('Market Data'!$N$5:$N$528,$T447)),""))</f>
        <v/>
      </c>
      <c r="I447" s="9">
        <f>IF($T447=0,"",INDEX('Market Data'!$P$5:$P$528,$T447))</f>
        <v/>
      </c>
      <c r="J447" s="13">
        <f>IF($T447=0,"",IF(INDEX('Market Data'!$E$5:$E$528,$T447)="","",INDEX('Market Data'!$E$5:$E$528,$T447)))</f>
        <v/>
      </c>
      <c r="K447" s="8">
        <f>IF($T447=0,"",IF(INDEX('Market Data'!$I$5:$I$528,$T447)="","",INDEX('Market Data'!$I$5:$I$528,$T447)))</f>
        <v/>
      </c>
      <c r="L447" s="10">
        <f>IF($T447=0,"",IF(INDEX('Market Data'!$J$5:$J$528,$T447)=0,"n/a",IF(AND($M$5&lt;&gt;"Snapshot",ISNUMBER(INDEX('Market Data'!$AH$5:$AH$66,INDEX('Market Data'!$J$5:$J$528,$T447)-4)),N(INDEX('Market Data'!$AH$5:$AH$66,INDEX('Market Data'!$J$5:$J$528,$T447)-4))&gt;0),INDEX('Market Data'!$AH$5:$AH$66,INDEX('Market Data'!$J$5:$J$528,$T447)-4),IF(AND($M$5&lt;&gt;"Bloomberg",ISNUMBER(INDEX('Market Data'!$AC$5:$AC$66,INDEX('Market Data'!$J$5:$J$528,$T447)-4)),N(INDEX('Market Data'!$AC$5:$AC$66,INDEX('Market Data'!$J$5:$J$528,$T447)-4))&gt;0),INDEX('Market Data'!$AC$5:$AC$66,INDEX('Market Data'!$J$5:$J$528,$T447)-4),"unavailable"))))</f>
        <v/>
      </c>
      <c r="M447" s="11">
        <f>IF($T447=0,"",IF(INDEX('Market Data'!$J$5:$J$528,$T447)=0,"n/a",IF(IF(INDEX('Market Data'!$J$5:$J$528,$T447)=0,0,IF(LEFT(INDEX('Market Data'!$AS$5:$AS$66,INDEX('Market Data'!$J$5:$J$528,$T447)-4),11)="First-month",1,0))=1,"class review",IF($I447="Bloomberg",IF(AND(ISNUMBER(INDEX('Market Data'!$AH$5:$AH$66,INDEX('Market Data'!$J$5:$J$528,$T447)-4)),N(INDEX('Market Data'!$AH$5:$AH$66,INDEX('Market Data'!$J$5:$J$528,$T447)-4))&gt;0,ISNUMBER('Market Data'!$B$1),N('Market Data'!$B$1)&gt;0),INDEX('Market Data'!$AH$5:$AH$66,INDEX('Market Data'!$J$5:$J$528,$T447)-4)*'Market Data'!$B$1/$E447-1,"pending A/FX"),IF(AND($I447="Snapshot",$Q447="Snapshot",ISNUMBER($E447),$G447=INDEX('Market Data'!$AE$5:$AE$66,INDEX('Market Data'!$J$5:$J$528,$T447)-4)),IFERROR(INDEX('Market Data'!$AC$5:$AC$66,INDEX('Market Data'!$J$5:$J$528,$T447)-4)*INDEX('Market Data'!$AD$5:$AD$66,INDEX('Market Data'!$J$5:$J$528,$T447)-4)/$E447-1,"unavailable"),IF($I447="Unavailable","unavailable","date mismatch"))))))</f>
        <v/>
      </c>
      <c r="N447" s="11">
        <f>IF($T447=0,"",IFERROR(IF(AND(N(INDEX('Market Data'!$F$5:$F$528,$T447))&gt;0,ISNUMBER(INDEX('Market Data'!$T$5:$T$528,$T447))),$E447*INDEX('Market Data'!$T$5:$T$528,$T447)/INDEX('Market Data'!$F$5:$F$528,$T447)-1,"unavailable"),"unavailable"))</f>
        <v/>
      </c>
      <c r="O447" s="9">
        <f>IF($T447=0,"",IF(IF(INDEX('Market Data'!$J$5:$J$528,$T447)=0,0,IF(LEFT(INDEX('Market Data'!$AS$5:$AS$66,INDEX('Market Data'!$J$5:$J$528,$T447)-4),11)="First-month",1,0))=1,"Class ratio review",IF($I447="Bloomberg",IF(ISNUMBER($G447),IF($G447&lt;TODAY(),"Older quote","See quote time"),"Date unavailable"),IF($I447="Snapshot",IF($G447&lt;DATEVALUE("2026-10-02"),"Older snapshot","Dated close"),"No valid quote"))))</f>
        <v/>
      </c>
      <c r="P447" s="14">
        <f>IF($T447=0,"",IF(INDEX('Market Data'!$J$5:$J$528,$T447)=0,"n/a",IF($Q447="Bloomberg",IF(AND(ISNUMBER(INDEX('Market Data'!$AK$5:$AK$66,INDEX('Market Data'!$J$5:$J$528,$T447)-4)),N(INDEX('Market Data'!$AK$5:$AK$66,INDEX('Market Data'!$J$5:$J$528,$T447)-4))&gt;0),INDEX('Market Data'!$AK$5:$AK$66,INDEX('Market Data'!$J$5:$J$528,$T447)-4),"date unavailable"),IF($Q447="Snapshot",IF(AND(ISNUMBER(INDEX('Market Data'!$AF$5:$AF$66,INDEX('Market Data'!$J$5:$J$528,$T447)-4)),N(INDEX('Market Data'!$AF$5:$AF$66,INDEX('Market Data'!$J$5:$J$528,$T447)-4))&gt;0),INDEX('Market Data'!$AF$5:$AF$66,INDEX('Market Data'!$J$5:$J$528,$T447)-4),"date unavailable"),"date unavailable"))))</f>
        <v/>
      </c>
      <c r="Q447" s="15">
        <f>IF($T447=0,"",IF(INDEX('Market Data'!$J$5:$J$528,$T447)=0,"n/a",IF(AND($M$5&lt;&gt;"Snapshot",ISNUMBER(INDEX('Market Data'!$AH$5:$AH$66,INDEX('Market Data'!$J$5:$J$528,$T447)-4)),N(INDEX('Market Data'!$AH$5:$AH$66,INDEX('Market Data'!$J$5:$J$528,$T447)-4))&gt;0),"Bloomberg",IF(AND($M$5&lt;&gt;"Bloomberg",ISNUMBER(INDEX('Market Data'!$AC$5:$AC$66,INDEX('Market Data'!$J$5:$J$528,$T447)-4)),N(INDEX('Market Data'!$AC$5:$AC$66,INDEX('Market Data'!$J$5:$J$528,$T447)-4))&gt;0),"Snapshot","Unavailable"))))</f>
        <v/>
      </c>
      <c r="T447">
        <f>IFERROR(MATCH(439,'Market Data'!$S$5:$S$528,0),0)</f>
        <v/>
      </c>
    </row>
    <row r="448" ht="34" customHeight="1">
      <c r="A448" s="8">
        <f>IF($T448=0,"",IF(INDEX('Market Data'!$A$5:$A$528,$T448)="","",INDEX('Market Data'!$A$5:$A$528,$T448)))</f>
        <v/>
      </c>
      <c r="B448" s="9">
        <f>IF($T448=0,"",IF(INDEX('Market Data'!$B$5:$B$528,$T448)="","",INDEX('Market Data'!$B$5:$B$528,$T448)))</f>
        <v/>
      </c>
      <c r="C448" s="9">
        <f>IF($T448=0,"",IF(INDEX('Market Data'!$C$5:$C$528,$T448)="","",INDEX('Market Data'!$C$5:$C$528,$T448)))</f>
        <v/>
      </c>
      <c r="D448" s="9">
        <f>IF($T448=0,"",IF(INDEX('Market Data'!$D$5:$D$528,$T448)="","",INDEX('Market Data'!$D$5:$D$528,$T448)))</f>
        <v/>
      </c>
      <c r="E448" s="10">
        <f>IF($T448=0,"",INDEX('Market Data'!$O$5:$O$528,$T448))</f>
        <v/>
      </c>
      <c r="F448" s="11">
        <f>IF($T448=0,"",IF(AND($I448="Bloomberg",ISNUMBER(INDEX('Market Data'!$L$5:$L$528,$T448))),INDEX('Market Data'!$L$5:$L$528,$T448),"unavailable"))</f>
        <v/>
      </c>
      <c r="G448" s="12">
        <f>IF($T448=0,"",IF($I448="Bloomberg",IF(AND(ISNUMBER(INDEX('Market Data'!$M$5:$M$528,$T448)),N(INDEX('Market Data'!$M$5:$M$528,$T448))&gt;0),INDEX('Market Data'!$M$5:$M$528,$T448),"date unavailable"),IF($I448="Snapshot",IF(AND(ISNUMBER(INDEX('Market Data'!$H$5:$H$528,$T448)),N(INDEX('Market Data'!$H$5:$H$528,$T448))&gt;0),INDEX('Market Data'!$H$5:$H$528,$T448),"date unavailable"),"date unavailable")))</f>
        <v/>
      </c>
      <c r="H448" s="9">
        <f>IF($T448=0,"",IF($I448="Bloomberg",IF(INDEX('Market Data'!$N$5:$N$528,$T448)="","time unavailable",INDEX('Market Data'!$N$5:$N$528,$T448)),""))</f>
        <v/>
      </c>
      <c r="I448" s="9">
        <f>IF($T448=0,"",INDEX('Market Data'!$P$5:$P$528,$T448))</f>
        <v/>
      </c>
      <c r="J448" s="13">
        <f>IF($T448=0,"",IF(INDEX('Market Data'!$E$5:$E$528,$T448)="","",INDEX('Market Data'!$E$5:$E$528,$T448)))</f>
        <v/>
      </c>
      <c r="K448" s="8">
        <f>IF($T448=0,"",IF(INDEX('Market Data'!$I$5:$I$528,$T448)="","",INDEX('Market Data'!$I$5:$I$528,$T448)))</f>
        <v/>
      </c>
      <c r="L448" s="10">
        <f>IF($T448=0,"",IF(INDEX('Market Data'!$J$5:$J$528,$T448)=0,"n/a",IF(AND($M$5&lt;&gt;"Snapshot",ISNUMBER(INDEX('Market Data'!$AH$5:$AH$66,INDEX('Market Data'!$J$5:$J$528,$T448)-4)),N(INDEX('Market Data'!$AH$5:$AH$66,INDEX('Market Data'!$J$5:$J$528,$T448)-4))&gt;0),INDEX('Market Data'!$AH$5:$AH$66,INDEX('Market Data'!$J$5:$J$528,$T448)-4),IF(AND($M$5&lt;&gt;"Bloomberg",ISNUMBER(INDEX('Market Data'!$AC$5:$AC$66,INDEX('Market Data'!$J$5:$J$528,$T448)-4)),N(INDEX('Market Data'!$AC$5:$AC$66,INDEX('Market Data'!$J$5:$J$528,$T448)-4))&gt;0),INDEX('Market Data'!$AC$5:$AC$66,INDEX('Market Data'!$J$5:$J$528,$T448)-4),"unavailable"))))</f>
        <v/>
      </c>
      <c r="M448" s="11">
        <f>IF($T448=0,"",IF(INDEX('Market Data'!$J$5:$J$528,$T448)=0,"n/a",IF(IF(INDEX('Market Data'!$J$5:$J$528,$T448)=0,0,IF(LEFT(INDEX('Market Data'!$AS$5:$AS$66,INDEX('Market Data'!$J$5:$J$528,$T448)-4),11)="First-month",1,0))=1,"class review",IF($I448="Bloomberg",IF(AND(ISNUMBER(INDEX('Market Data'!$AH$5:$AH$66,INDEX('Market Data'!$J$5:$J$528,$T448)-4)),N(INDEX('Market Data'!$AH$5:$AH$66,INDEX('Market Data'!$J$5:$J$528,$T448)-4))&gt;0,ISNUMBER('Market Data'!$B$1),N('Market Data'!$B$1)&gt;0),INDEX('Market Data'!$AH$5:$AH$66,INDEX('Market Data'!$J$5:$J$528,$T448)-4)*'Market Data'!$B$1/$E448-1,"pending A/FX"),IF(AND($I448="Snapshot",$Q448="Snapshot",ISNUMBER($E448),$G448=INDEX('Market Data'!$AE$5:$AE$66,INDEX('Market Data'!$J$5:$J$528,$T448)-4)),IFERROR(INDEX('Market Data'!$AC$5:$AC$66,INDEX('Market Data'!$J$5:$J$528,$T448)-4)*INDEX('Market Data'!$AD$5:$AD$66,INDEX('Market Data'!$J$5:$J$528,$T448)-4)/$E448-1,"unavailable"),IF($I448="Unavailable","unavailable","date mismatch"))))))</f>
        <v/>
      </c>
      <c r="N448" s="11">
        <f>IF($T448=0,"",IFERROR(IF(AND(N(INDEX('Market Data'!$F$5:$F$528,$T448))&gt;0,ISNUMBER(INDEX('Market Data'!$T$5:$T$528,$T448))),$E448*INDEX('Market Data'!$T$5:$T$528,$T448)/INDEX('Market Data'!$F$5:$F$528,$T448)-1,"unavailable"),"unavailable"))</f>
        <v/>
      </c>
      <c r="O448" s="9">
        <f>IF($T448=0,"",IF(IF(INDEX('Market Data'!$J$5:$J$528,$T448)=0,0,IF(LEFT(INDEX('Market Data'!$AS$5:$AS$66,INDEX('Market Data'!$J$5:$J$528,$T448)-4),11)="First-month",1,0))=1,"Class ratio review",IF($I448="Bloomberg",IF(ISNUMBER($G448),IF($G448&lt;TODAY(),"Older quote","See quote time"),"Date unavailable"),IF($I448="Snapshot",IF($G448&lt;DATEVALUE("2026-10-02"),"Older snapshot","Dated close"),"No valid quote"))))</f>
        <v/>
      </c>
      <c r="P448" s="14">
        <f>IF($T448=0,"",IF(INDEX('Market Data'!$J$5:$J$528,$T448)=0,"n/a",IF($Q448="Bloomberg",IF(AND(ISNUMBER(INDEX('Market Data'!$AK$5:$AK$66,INDEX('Market Data'!$J$5:$J$528,$T448)-4)),N(INDEX('Market Data'!$AK$5:$AK$66,INDEX('Market Data'!$J$5:$J$528,$T448)-4))&gt;0),INDEX('Market Data'!$AK$5:$AK$66,INDEX('Market Data'!$J$5:$J$528,$T448)-4),"date unavailable"),IF($Q448="Snapshot",IF(AND(ISNUMBER(INDEX('Market Data'!$AF$5:$AF$66,INDEX('Market Data'!$J$5:$J$528,$T448)-4)),N(INDEX('Market Data'!$AF$5:$AF$66,INDEX('Market Data'!$J$5:$J$528,$T448)-4))&gt;0),INDEX('Market Data'!$AF$5:$AF$66,INDEX('Market Data'!$J$5:$J$528,$T448)-4),"date unavailable"),"date unavailable"))))</f>
        <v/>
      </c>
      <c r="Q448" s="15">
        <f>IF($T448=0,"",IF(INDEX('Market Data'!$J$5:$J$528,$T448)=0,"n/a",IF(AND($M$5&lt;&gt;"Snapshot",ISNUMBER(INDEX('Market Data'!$AH$5:$AH$66,INDEX('Market Data'!$J$5:$J$528,$T448)-4)),N(INDEX('Market Data'!$AH$5:$AH$66,INDEX('Market Data'!$J$5:$J$528,$T448)-4))&gt;0),"Bloomberg",IF(AND($M$5&lt;&gt;"Bloomberg",ISNUMBER(INDEX('Market Data'!$AC$5:$AC$66,INDEX('Market Data'!$J$5:$J$528,$T448)-4)),N(INDEX('Market Data'!$AC$5:$AC$66,INDEX('Market Data'!$J$5:$J$528,$T448)-4))&gt;0),"Snapshot","Unavailable"))))</f>
        <v/>
      </c>
      <c r="T448">
        <f>IFERROR(MATCH(440,'Market Data'!$S$5:$S$528,0),0)</f>
        <v/>
      </c>
    </row>
    <row r="449" ht="34" customHeight="1">
      <c r="A449" s="8">
        <f>IF($T449=0,"",IF(INDEX('Market Data'!$A$5:$A$528,$T449)="","",INDEX('Market Data'!$A$5:$A$528,$T449)))</f>
        <v/>
      </c>
      <c r="B449" s="9">
        <f>IF($T449=0,"",IF(INDEX('Market Data'!$B$5:$B$528,$T449)="","",INDEX('Market Data'!$B$5:$B$528,$T449)))</f>
        <v/>
      </c>
      <c r="C449" s="9">
        <f>IF($T449=0,"",IF(INDEX('Market Data'!$C$5:$C$528,$T449)="","",INDEX('Market Data'!$C$5:$C$528,$T449)))</f>
        <v/>
      </c>
      <c r="D449" s="9">
        <f>IF($T449=0,"",IF(INDEX('Market Data'!$D$5:$D$528,$T449)="","",INDEX('Market Data'!$D$5:$D$528,$T449)))</f>
        <v/>
      </c>
      <c r="E449" s="10">
        <f>IF($T449=0,"",INDEX('Market Data'!$O$5:$O$528,$T449))</f>
        <v/>
      </c>
      <c r="F449" s="11">
        <f>IF($T449=0,"",IF(AND($I449="Bloomberg",ISNUMBER(INDEX('Market Data'!$L$5:$L$528,$T449))),INDEX('Market Data'!$L$5:$L$528,$T449),"unavailable"))</f>
        <v/>
      </c>
      <c r="G449" s="12">
        <f>IF($T449=0,"",IF($I449="Bloomberg",IF(AND(ISNUMBER(INDEX('Market Data'!$M$5:$M$528,$T449)),N(INDEX('Market Data'!$M$5:$M$528,$T449))&gt;0),INDEX('Market Data'!$M$5:$M$528,$T449),"date unavailable"),IF($I449="Snapshot",IF(AND(ISNUMBER(INDEX('Market Data'!$H$5:$H$528,$T449)),N(INDEX('Market Data'!$H$5:$H$528,$T449))&gt;0),INDEX('Market Data'!$H$5:$H$528,$T449),"date unavailable"),"date unavailable")))</f>
        <v/>
      </c>
      <c r="H449" s="9">
        <f>IF($T449=0,"",IF($I449="Bloomberg",IF(INDEX('Market Data'!$N$5:$N$528,$T449)="","time unavailable",INDEX('Market Data'!$N$5:$N$528,$T449)),""))</f>
        <v/>
      </c>
      <c r="I449" s="9">
        <f>IF($T449=0,"",INDEX('Market Data'!$P$5:$P$528,$T449))</f>
        <v/>
      </c>
      <c r="J449" s="13">
        <f>IF($T449=0,"",IF(INDEX('Market Data'!$E$5:$E$528,$T449)="","",INDEX('Market Data'!$E$5:$E$528,$T449)))</f>
        <v/>
      </c>
      <c r="K449" s="8">
        <f>IF($T449=0,"",IF(INDEX('Market Data'!$I$5:$I$528,$T449)="","",INDEX('Market Data'!$I$5:$I$528,$T449)))</f>
        <v/>
      </c>
      <c r="L449" s="10">
        <f>IF($T449=0,"",IF(INDEX('Market Data'!$J$5:$J$528,$T449)=0,"n/a",IF(AND($M$5&lt;&gt;"Snapshot",ISNUMBER(INDEX('Market Data'!$AH$5:$AH$66,INDEX('Market Data'!$J$5:$J$528,$T449)-4)),N(INDEX('Market Data'!$AH$5:$AH$66,INDEX('Market Data'!$J$5:$J$528,$T449)-4))&gt;0),INDEX('Market Data'!$AH$5:$AH$66,INDEX('Market Data'!$J$5:$J$528,$T449)-4),IF(AND($M$5&lt;&gt;"Bloomberg",ISNUMBER(INDEX('Market Data'!$AC$5:$AC$66,INDEX('Market Data'!$J$5:$J$528,$T449)-4)),N(INDEX('Market Data'!$AC$5:$AC$66,INDEX('Market Data'!$J$5:$J$528,$T449)-4))&gt;0),INDEX('Market Data'!$AC$5:$AC$66,INDEX('Market Data'!$J$5:$J$528,$T449)-4),"unavailable"))))</f>
        <v/>
      </c>
      <c r="M449" s="11">
        <f>IF($T449=0,"",IF(INDEX('Market Data'!$J$5:$J$528,$T449)=0,"n/a",IF(IF(INDEX('Market Data'!$J$5:$J$528,$T449)=0,0,IF(LEFT(INDEX('Market Data'!$AS$5:$AS$66,INDEX('Market Data'!$J$5:$J$528,$T449)-4),11)="First-month",1,0))=1,"class review",IF($I449="Bloomberg",IF(AND(ISNUMBER(INDEX('Market Data'!$AH$5:$AH$66,INDEX('Market Data'!$J$5:$J$528,$T449)-4)),N(INDEX('Market Data'!$AH$5:$AH$66,INDEX('Market Data'!$J$5:$J$528,$T449)-4))&gt;0,ISNUMBER('Market Data'!$B$1),N('Market Data'!$B$1)&gt;0),INDEX('Market Data'!$AH$5:$AH$66,INDEX('Market Data'!$J$5:$J$528,$T449)-4)*'Market Data'!$B$1/$E449-1,"pending A/FX"),IF(AND($I449="Snapshot",$Q449="Snapshot",ISNUMBER($E449),$G449=INDEX('Market Data'!$AE$5:$AE$66,INDEX('Market Data'!$J$5:$J$528,$T449)-4)),IFERROR(INDEX('Market Data'!$AC$5:$AC$66,INDEX('Market Data'!$J$5:$J$528,$T449)-4)*INDEX('Market Data'!$AD$5:$AD$66,INDEX('Market Data'!$J$5:$J$528,$T449)-4)/$E449-1,"unavailable"),IF($I449="Unavailable","unavailable","date mismatch"))))))</f>
        <v/>
      </c>
      <c r="N449" s="11">
        <f>IF($T449=0,"",IFERROR(IF(AND(N(INDEX('Market Data'!$F$5:$F$528,$T449))&gt;0,ISNUMBER(INDEX('Market Data'!$T$5:$T$528,$T449))),$E449*INDEX('Market Data'!$T$5:$T$528,$T449)/INDEX('Market Data'!$F$5:$F$528,$T449)-1,"unavailable"),"unavailable"))</f>
        <v/>
      </c>
      <c r="O449" s="9">
        <f>IF($T449=0,"",IF(IF(INDEX('Market Data'!$J$5:$J$528,$T449)=0,0,IF(LEFT(INDEX('Market Data'!$AS$5:$AS$66,INDEX('Market Data'!$J$5:$J$528,$T449)-4),11)="First-month",1,0))=1,"Class ratio review",IF($I449="Bloomberg",IF(ISNUMBER($G449),IF($G449&lt;TODAY(),"Older quote","See quote time"),"Date unavailable"),IF($I449="Snapshot",IF($G449&lt;DATEVALUE("2026-10-02"),"Older snapshot","Dated close"),"No valid quote"))))</f>
        <v/>
      </c>
      <c r="P449" s="14">
        <f>IF($T449=0,"",IF(INDEX('Market Data'!$J$5:$J$528,$T449)=0,"n/a",IF($Q449="Bloomberg",IF(AND(ISNUMBER(INDEX('Market Data'!$AK$5:$AK$66,INDEX('Market Data'!$J$5:$J$528,$T449)-4)),N(INDEX('Market Data'!$AK$5:$AK$66,INDEX('Market Data'!$J$5:$J$528,$T449)-4))&gt;0),INDEX('Market Data'!$AK$5:$AK$66,INDEX('Market Data'!$J$5:$J$528,$T449)-4),"date unavailable"),IF($Q449="Snapshot",IF(AND(ISNUMBER(INDEX('Market Data'!$AF$5:$AF$66,INDEX('Market Data'!$J$5:$J$528,$T449)-4)),N(INDEX('Market Data'!$AF$5:$AF$66,INDEX('Market Data'!$J$5:$J$528,$T449)-4))&gt;0),INDEX('Market Data'!$AF$5:$AF$66,INDEX('Market Data'!$J$5:$J$528,$T449)-4),"date unavailable"),"date unavailable"))))</f>
        <v/>
      </c>
      <c r="Q449" s="15">
        <f>IF($T449=0,"",IF(INDEX('Market Data'!$J$5:$J$528,$T449)=0,"n/a",IF(AND($M$5&lt;&gt;"Snapshot",ISNUMBER(INDEX('Market Data'!$AH$5:$AH$66,INDEX('Market Data'!$J$5:$J$528,$T449)-4)),N(INDEX('Market Data'!$AH$5:$AH$66,INDEX('Market Data'!$J$5:$J$528,$T449)-4))&gt;0),"Bloomberg",IF(AND($M$5&lt;&gt;"Bloomberg",ISNUMBER(INDEX('Market Data'!$AC$5:$AC$66,INDEX('Market Data'!$J$5:$J$528,$T449)-4)),N(INDEX('Market Data'!$AC$5:$AC$66,INDEX('Market Data'!$J$5:$J$528,$T449)-4))&gt;0),"Snapshot","Unavailable"))))</f>
        <v/>
      </c>
      <c r="T449">
        <f>IFERROR(MATCH(441,'Market Data'!$S$5:$S$528,0),0)</f>
        <v/>
      </c>
    </row>
    <row r="450" ht="34" customHeight="1">
      <c r="A450" s="8">
        <f>IF($T450=0,"",IF(INDEX('Market Data'!$A$5:$A$528,$T450)="","",INDEX('Market Data'!$A$5:$A$528,$T450)))</f>
        <v/>
      </c>
      <c r="B450" s="9">
        <f>IF($T450=0,"",IF(INDEX('Market Data'!$B$5:$B$528,$T450)="","",INDEX('Market Data'!$B$5:$B$528,$T450)))</f>
        <v/>
      </c>
      <c r="C450" s="9">
        <f>IF($T450=0,"",IF(INDEX('Market Data'!$C$5:$C$528,$T450)="","",INDEX('Market Data'!$C$5:$C$528,$T450)))</f>
        <v/>
      </c>
      <c r="D450" s="9">
        <f>IF($T450=0,"",IF(INDEX('Market Data'!$D$5:$D$528,$T450)="","",INDEX('Market Data'!$D$5:$D$528,$T450)))</f>
        <v/>
      </c>
      <c r="E450" s="10">
        <f>IF($T450=0,"",INDEX('Market Data'!$O$5:$O$528,$T450))</f>
        <v/>
      </c>
      <c r="F450" s="11">
        <f>IF($T450=0,"",IF(AND($I450="Bloomberg",ISNUMBER(INDEX('Market Data'!$L$5:$L$528,$T450))),INDEX('Market Data'!$L$5:$L$528,$T450),"unavailable"))</f>
        <v/>
      </c>
      <c r="G450" s="12">
        <f>IF($T450=0,"",IF($I450="Bloomberg",IF(AND(ISNUMBER(INDEX('Market Data'!$M$5:$M$528,$T450)),N(INDEX('Market Data'!$M$5:$M$528,$T450))&gt;0),INDEX('Market Data'!$M$5:$M$528,$T450),"date unavailable"),IF($I450="Snapshot",IF(AND(ISNUMBER(INDEX('Market Data'!$H$5:$H$528,$T450)),N(INDEX('Market Data'!$H$5:$H$528,$T450))&gt;0),INDEX('Market Data'!$H$5:$H$528,$T450),"date unavailable"),"date unavailable")))</f>
        <v/>
      </c>
      <c r="H450" s="9">
        <f>IF($T450=0,"",IF($I450="Bloomberg",IF(INDEX('Market Data'!$N$5:$N$528,$T450)="","time unavailable",INDEX('Market Data'!$N$5:$N$528,$T450)),""))</f>
        <v/>
      </c>
      <c r="I450" s="9">
        <f>IF($T450=0,"",INDEX('Market Data'!$P$5:$P$528,$T450))</f>
        <v/>
      </c>
      <c r="J450" s="13">
        <f>IF($T450=0,"",IF(INDEX('Market Data'!$E$5:$E$528,$T450)="","",INDEX('Market Data'!$E$5:$E$528,$T450)))</f>
        <v/>
      </c>
      <c r="K450" s="8">
        <f>IF($T450=0,"",IF(INDEX('Market Data'!$I$5:$I$528,$T450)="","",INDEX('Market Data'!$I$5:$I$528,$T450)))</f>
        <v/>
      </c>
      <c r="L450" s="10">
        <f>IF($T450=0,"",IF(INDEX('Market Data'!$J$5:$J$528,$T450)=0,"n/a",IF(AND($M$5&lt;&gt;"Snapshot",ISNUMBER(INDEX('Market Data'!$AH$5:$AH$66,INDEX('Market Data'!$J$5:$J$528,$T450)-4)),N(INDEX('Market Data'!$AH$5:$AH$66,INDEX('Market Data'!$J$5:$J$528,$T450)-4))&gt;0),INDEX('Market Data'!$AH$5:$AH$66,INDEX('Market Data'!$J$5:$J$528,$T450)-4),IF(AND($M$5&lt;&gt;"Bloomberg",ISNUMBER(INDEX('Market Data'!$AC$5:$AC$66,INDEX('Market Data'!$J$5:$J$528,$T450)-4)),N(INDEX('Market Data'!$AC$5:$AC$66,INDEX('Market Data'!$J$5:$J$528,$T450)-4))&gt;0),INDEX('Market Data'!$AC$5:$AC$66,INDEX('Market Data'!$J$5:$J$528,$T450)-4),"unavailable"))))</f>
        <v/>
      </c>
      <c r="M450" s="11">
        <f>IF($T450=0,"",IF(INDEX('Market Data'!$J$5:$J$528,$T450)=0,"n/a",IF(IF(INDEX('Market Data'!$J$5:$J$528,$T450)=0,0,IF(LEFT(INDEX('Market Data'!$AS$5:$AS$66,INDEX('Market Data'!$J$5:$J$528,$T450)-4),11)="First-month",1,0))=1,"class review",IF($I450="Bloomberg",IF(AND(ISNUMBER(INDEX('Market Data'!$AH$5:$AH$66,INDEX('Market Data'!$J$5:$J$528,$T450)-4)),N(INDEX('Market Data'!$AH$5:$AH$66,INDEX('Market Data'!$J$5:$J$528,$T450)-4))&gt;0,ISNUMBER('Market Data'!$B$1),N('Market Data'!$B$1)&gt;0),INDEX('Market Data'!$AH$5:$AH$66,INDEX('Market Data'!$J$5:$J$528,$T450)-4)*'Market Data'!$B$1/$E450-1,"pending A/FX"),IF(AND($I450="Snapshot",$Q450="Snapshot",ISNUMBER($E450),$G450=INDEX('Market Data'!$AE$5:$AE$66,INDEX('Market Data'!$J$5:$J$528,$T450)-4)),IFERROR(INDEX('Market Data'!$AC$5:$AC$66,INDEX('Market Data'!$J$5:$J$528,$T450)-4)*INDEX('Market Data'!$AD$5:$AD$66,INDEX('Market Data'!$J$5:$J$528,$T450)-4)/$E450-1,"unavailable"),IF($I450="Unavailable","unavailable","date mismatch"))))))</f>
        <v/>
      </c>
      <c r="N450" s="11">
        <f>IF($T450=0,"",IFERROR(IF(AND(N(INDEX('Market Data'!$F$5:$F$528,$T450))&gt;0,ISNUMBER(INDEX('Market Data'!$T$5:$T$528,$T450))),$E450*INDEX('Market Data'!$T$5:$T$528,$T450)/INDEX('Market Data'!$F$5:$F$528,$T450)-1,"unavailable"),"unavailable"))</f>
        <v/>
      </c>
      <c r="O450" s="9">
        <f>IF($T450=0,"",IF(IF(INDEX('Market Data'!$J$5:$J$528,$T450)=0,0,IF(LEFT(INDEX('Market Data'!$AS$5:$AS$66,INDEX('Market Data'!$J$5:$J$528,$T450)-4),11)="First-month",1,0))=1,"Class ratio review",IF($I450="Bloomberg",IF(ISNUMBER($G450),IF($G450&lt;TODAY(),"Older quote","See quote time"),"Date unavailable"),IF($I450="Snapshot",IF($G450&lt;DATEVALUE("2026-10-02"),"Older snapshot","Dated close"),"No valid quote"))))</f>
        <v/>
      </c>
      <c r="P450" s="14">
        <f>IF($T450=0,"",IF(INDEX('Market Data'!$J$5:$J$528,$T450)=0,"n/a",IF($Q450="Bloomberg",IF(AND(ISNUMBER(INDEX('Market Data'!$AK$5:$AK$66,INDEX('Market Data'!$J$5:$J$528,$T450)-4)),N(INDEX('Market Data'!$AK$5:$AK$66,INDEX('Market Data'!$J$5:$J$528,$T450)-4))&gt;0),INDEX('Market Data'!$AK$5:$AK$66,INDEX('Market Data'!$J$5:$J$528,$T450)-4),"date unavailable"),IF($Q450="Snapshot",IF(AND(ISNUMBER(INDEX('Market Data'!$AF$5:$AF$66,INDEX('Market Data'!$J$5:$J$528,$T450)-4)),N(INDEX('Market Data'!$AF$5:$AF$66,INDEX('Market Data'!$J$5:$J$528,$T450)-4))&gt;0),INDEX('Market Data'!$AF$5:$AF$66,INDEX('Market Data'!$J$5:$J$528,$T450)-4),"date unavailable"),"date unavailable"))))</f>
        <v/>
      </c>
      <c r="Q450" s="15">
        <f>IF($T450=0,"",IF(INDEX('Market Data'!$J$5:$J$528,$T450)=0,"n/a",IF(AND($M$5&lt;&gt;"Snapshot",ISNUMBER(INDEX('Market Data'!$AH$5:$AH$66,INDEX('Market Data'!$J$5:$J$528,$T450)-4)),N(INDEX('Market Data'!$AH$5:$AH$66,INDEX('Market Data'!$J$5:$J$528,$T450)-4))&gt;0),"Bloomberg",IF(AND($M$5&lt;&gt;"Bloomberg",ISNUMBER(INDEX('Market Data'!$AC$5:$AC$66,INDEX('Market Data'!$J$5:$J$528,$T450)-4)),N(INDEX('Market Data'!$AC$5:$AC$66,INDEX('Market Data'!$J$5:$J$528,$T450)-4))&gt;0),"Snapshot","Unavailable"))))</f>
        <v/>
      </c>
      <c r="T450">
        <f>IFERROR(MATCH(442,'Market Data'!$S$5:$S$528,0),0)</f>
        <v/>
      </c>
    </row>
    <row r="451" ht="34" customHeight="1">
      <c r="A451" s="8">
        <f>IF($T451=0,"",IF(INDEX('Market Data'!$A$5:$A$528,$T451)="","",INDEX('Market Data'!$A$5:$A$528,$T451)))</f>
        <v/>
      </c>
      <c r="B451" s="9">
        <f>IF($T451=0,"",IF(INDEX('Market Data'!$B$5:$B$528,$T451)="","",INDEX('Market Data'!$B$5:$B$528,$T451)))</f>
        <v/>
      </c>
      <c r="C451" s="9">
        <f>IF($T451=0,"",IF(INDEX('Market Data'!$C$5:$C$528,$T451)="","",INDEX('Market Data'!$C$5:$C$528,$T451)))</f>
        <v/>
      </c>
      <c r="D451" s="9">
        <f>IF($T451=0,"",IF(INDEX('Market Data'!$D$5:$D$528,$T451)="","",INDEX('Market Data'!$D$5:$D$528,$T451)))</f>
        <v/>
      </c>
      <c r="E451" s="10">
        <f>IF($T451=0,"",INDEX('Market Data'!$O$5:$O$528,$T451))</f>
        <v/>
      </c>
      <c r="F451" s="11">
        <f>IF($T451=0,"",IF(AND($I451="Bloomberg",ISNUMBER(INDEX('Market Data'!$L$5:$L$528,$T451))),INDEX('Market Data'!$L$5:$L$528,$T451),"unavailable"))</f>
        <v/>
      </c>
      <c r="G451" s="12">
        <f>IF($T451=0,"",IF($I451="Bloomberg",IF(AND(ISNUMBER(INDEX('Market Data'!$M$5:$M$528,$T451)),N(INDEX('Market Data'!$M$5:$M$528,$T451))&gt;0),INDEX('Market Data'!$M$5:$M$528,$T451),"date unavailable"),IF($I451="Snapshot",IF(AND(ISNUMBER(INDEX('Market Data'!$H$5:$H$528,$T451)),N(INDEX('Market Data'!$H$5:$H$528,$T451))&gt;0),INDEX('Market Data'!$H$5:$H$528,$T451),"date unavailable"),"date unavailable")))</f>
        <v/>
      </c>
      <c r="H451" s="9">
        <f>IF($T451=0,"",IF($I451="Bloomberg",IF(INDEX('Market Data'!$N$5:$N$528,$T451)="","time unavailable",INDEX('Market Data'!$N$5:$N$528,$T451)),""))</f>
        <v/>
      </c>
      <c r="I451" s="9">
        <f>IF($T451=0,"",INDEX('Market Data'!$P$5:$P$528,$T451))</f>
        <v/>
      </c>
      <c r="J451" s="13">
        <f>IF($T451=0,"",IF(INDEX('Market Data'!$E$5:$E$528,$T451)="","",INDEX('Market Data'!$E$5:$E$528,$T451)))</f>
        <v/>
      </c>
      <c r="K451" s="8">
        <f>IF($T451=0,"",IF(INDEX('Market Data'!$I$5:$I$528,$T451)="","",INDEX('Market Data'!$I$5:$I$528,$T451)))</f>
        <v/>
      </c>
      <c r="L451" s="10">
        <f>IF($T451=0,"",IF(INDEX('Market Data'!$J$5:$J$528,$T451)=0,"n/a",IF(AND($M$5&lt;&gt;"Snapshot",ISNUMBER(INDEX('Market Data'!$AH$5:$AH$66,INDEX('Market Data'!$J$5:$J$528,$T451)-4)),N(INDEX('Market Data'!$AH$5:$AH$66,INDEX('Market Data'!$J$5:$J$528,$T451)-4))&gt;0),INDEX('Market Data'!$AH$5:$AH$66,INDEX('Market Data'!$J$5:$J$528,$T451)-4),IF(AND($M$5&lt;&gt;"Bloomberg",ISNUMBER(INDEX('Market Data'!$AC$5:$AC$66,INDEX('Market Data'!$J$5:$J$528,$T451)-4)),N(INDEX('Market Data'!$AC$5:$AC$66,INDEX('Market Data'!$J$5:$J$528,$T451)-4))&gt;0),INDEX('Market Data'!$AC$5:$AC$66,INDEX('Market Data'!$J$5:$J$528,$T451)-4),"unavailable"))))</f>
        <v/>
      </c>
      <c r="M451" s="11">
        <f>IF($T451=0,"",IF(INDEX('Market Data'!$J$5:$J$528,$T451)=0,"n/a",IF(IF(INDEX('Market Data'!$J$5:$J$528,$T451)=0,0,IF(LEFT(INDEX('Market Data'!$AS$5:$AS$66,INDEX('Market Data'!$J$5:$J$528,$T451)-4),11)="First-month",1,0))=1,"class review",IF($I451="Bloomberg",IF(AND(ISNUMBER(INDEX('Market Data'!$AH$5:$AH$66,INDEX('Market Data'!$J$5:$J$528,$T451)-4)),N(INDEX('Market Data'!$AH$5:$AH$66,INDEX('Market Data'!$J$5:$J$528,$T451)-4))&gt;0,ISNUMBER('Market Data'!$B$1),N('Market Data'!$B$1)&gt;0),INDEX('Market Data'!$AH$5:$AH$66,INDEX('Market Data'!$J$5:$J$528,$T451)-4)*'Market Data'!$B$1/$E451-1,"pending A/FX"),IF(AND($I451="Snapshot",$Q451="Snapshot",ISNUMBER($E451),$G451=INDEX('Market Data'!$AE$5:$AE$66,INDEX('Market Data'!$J$5:$J$528,$T451)-4)),IFERROR(INDEX('Market Data'!$AC$5:$AC$66,INDEX('Market Data'!$J$5:$J$528,$T451)-4)*INDEX('Market Data'!$AD$5:$AD$66,INDEX('Market Data'!$J$5:$J$528,$T451)-4)/$E451-1,"unavailable"),IF($I451="Unavailable","unavailable","date mismatch"))))))</f>
        <v/>
      </c>
      <c r="N451" s="11">
        <f>IF($T451=0,"",IFERROR(IF(AND(N(INDEX('Market Data'!$F$5:$F$528,$T451))&gt;0,ISNUMBER(INDEX('Market Data'!$T$5:$T$528,$T451))),$E451*INDEX('Market Data'!$T$5:$T$528,$T451)/INDEX('Market Data'!$F$5:$F$528,$T451)-1,"unavailable"),"unavailable"))</f>
        <v/>
      </c>
      <c r="O451" s="9">
        <f>IF($T451=0,"",IF(IF(INDEX('Market Data'!$J$5:$J$528,$T451)=0,0,IF(LEFT(INDEX('Market Data'!$AS$5:$AS$66,INDEX('Market Data'!$J$5:$J$528,$T451)-4),11)="First-month",1,0))=1,"Class ratio review",IF($I451="Bloomberg",IF(ISNUMBER($G451),IF($G451&lt;TODAY(),"Older quote","See quote time"),"Date unavailable"),IF($I451="Snapshot",IF($G451&lt;DATEVALUE("2026-10-02"),"Older snapshot","Dated close"),"No valid quote"))))</f>
        <v/>
      </c>
      <c r="P451" s="14">
        <f>IF($T451=0,"",IF(INDEX('Market Data'!$J$5:$J$528,$T451)=0,"n/a",IF($Q451="Bloomberg",IF(AND(ISNUMBER(INDEX('Market Data'!$AK$5:$AK$66,INDEX('Market Data'!$J$5:$J$528,$T451)-4)),N(INDEX('Market Data'!$AK$5:$AK$66,INDEX('Market Data'!$J$5:$J$528,$T451)-4))&gt;0),INDEX('Market Data'!$AK$5:$AK$66,INDEX('Market Data'!$J$5:$J$528,$T451)-4),"date unavailable"),IF($Q451="Snapshot",IF(AND(ISNUMBER(INDEX('Market Data'!$AF$5:$AF$66,INDEX('Market Data'!$J$5:$J$528,$T451)-4)),N(INDEX('Market Data'!$AF$5:$AF$66,INDEX('Market Data'!$J$5:$J$528,$T451)-4))&gt;0),INDEX('Market Data'!$AF$5:$AF$66,INDEX('Market Data'!$J$5:$J$528,$T451)-4),"date unavailable"),"date unavailable"))))</f>
        <v/>
      </c>
      <c r="Q451" s="15">
        <f>IF($T451=0,"",IF(INDEX('Market Data'!$J$5:$J$528,$T451)=0,"n/a",IF(AND($M$5&lt;&gt;"Snapshot",ISNUMBER(INDEX('Market Data'!$AH$5:$AH$66,INDEX('Market Data'!$J$5:$J$528,$T451)-4)),N(INDEX('Market Data'!$AH$5:$AH$66,INDEX('Market Data'!$J$5:$J$528,$T451)-4))&gt;0),"Bloomberg",IF(AND($M$5&lt;&gt;"Bloomberg",ISNUMBER(INDEX('Market Data'!$AC$5:$AC$66,INDEX('Market Data'!$J$5:$J$528,$T451)-4)),N(INDEX('Market Data'!$AC$5:$AC$66,INDEX('Market Data'!$J$5:$J$528,$T451)-4))&gt;0),"Snapshot","Unavailable"))))</f>
        <v/>
      </c>
      <c r="T451">
        <f>IFERROR(MATCH(443,'Market Data'!$S$5:$S$528,0),0)</f>
        <v/>
      </c>
    </row>
    <row r="452" ht="34" customHeight="1">
      <c r="A452" s="8">
        <f>IF($T452=0,"",IF(INDEX('Market Data'!$A$5:$A$528,$T452)="","",INDEX('Market Data'!$A$5:$A$528,$T452)))</f>
        <v/>
      </c>
      <c r="B452" s="9">
        <f>IF($T452=0,"",IF(INDEX('Market Data'!$B$5:$B$528,$T452)="","",INDEX('Market Data'!$B$5:$B$528,$T452)))</f>
        <v/>
      </c>
      <c r="C452" s="9">
        <f>IF($T452=0,"",IF(INDEX('Market Data'!$C$5:$C$528,$T452)="","",INDEX('Market Data'!$C$5:$C$528,$T452)))</f>
        <v/>
      </c>
      <c r="D452" s="9">
        <f>IF($T452=0,"",IF(INDEX('Market Data'!$D$5:$D$528,$T452)="","",INDEX('Market Data'!$D$5:$D$528,$T452)))</f>
        <v/>
      </c>
      <c r="E452" s="10">
        <f>IF($T452=0,"",INDEX('Market Data'!$O$5:$O$528,$T452))</f>
        <v/>
      </c>
      <c r="F452" s="11">
        <f>IF($T452=0,"",IF(AND($I452="Bloomberg",ISNUMBER(INDEX('Market Data'!$L$5:$L$528,$T452))),INDEX('Market Data'!$L$5:$L$528,$T452),"unavailable"))</f>
        <v/>
      </c>
      <c r="G452" s="12">
        <f>IF($T452=0,"",IF($I452="Bloomberg",IF(AND(ISNUMBER(INDEX('Market Data'!$M$5:$M$528,$T452)),N(INDEX('Market Data'!$M$5:$M$528,$T452))&gt;0),INDEX('Market Data'!$M$5:$M$528,$T452),"date unavailable"),IF($I452="Snapshot",IF(AND(ISNUMBER(INDEX('Market Data'!$H$5:$H$528,$T452)),N(INDEX('Market Data'!$H$5:$H$528,$T452))&gt;0),INDEX('Market Data'!$H$5:$H$528,$T452),"date unavailable"),"date unavailable")))</f>
        <v/>
      </c>
      <c r="H452" s="9">
        <f>IF($T452=0,"",IF($I452="Bloomberg",IF(INDEX('Market Data'!$N$5:$N$528,$T452)="","time unavailable",INDEX('Market Data'!$N$5:$N$528,$T452)),""))</f>
        <v/>
      </c>
      <c r="I452" s="9">
        <f>IF($T452=0,"",INDEX('Market Data'!$P$5:$P$528,$T452))</f>
        <v/>
      </c>
      <c r="J452" s="13">
        <f>IF($T452=0,"",IF(INDEX('Market Data'!$E$5:$E$528,$T452)="","",INDEX('Market Data'!$E$5:$E$528,$T452)))</f>
        <v/>
      </c>
      <c r="K452" s="8">
        <f>IF($T452=0,"",IF(INDEX('Market Data'!$I$5:$I$528,$T452)="","",INDEX('Market Data'!$I$5:$I$528,$T452)))</f>
        <v/>
      </c>
      <c r="L452" s="10">
        <f>IF($T452=0,"",IF(INDEX('Market Data'!$J$5:$J$528,$T452)=0,"n/a",IF(AND($M$5&lt;&gt;"Snapshot",ISNUMBER(INDEX('Market Data'!$AH$5:$AH$66,INDEX('Market Data'!$J$5:$J$528,$T452)-4)),N(INDEX('Market Data'!$AH$5:$AH$66,INDEX('Market Data'!$J$5:$J$528,$T452)-4))&gt;0),INDEX('Market Data'!$AH$5:$AH$66,INDEX('Market Data'!$J$5:$J$528,$T452)-4),IF(AND($M$5&lt;&gt;"Bloomberg",ISNUMBER(INDEX('Market Data'!$AC$5:$AC$66,INDEX('Market Data'!$J$5:$J$528,$T452)-4)),N(INDEX('Market Data'!$AC$5:$AC$66,INDEX('Market Data'!$J$5:$J$528,$T452)-4))&gt;0),INDEX('Market Data'!$AC$5:$AC$66,INDEX('Market Data'!$J$5:$J$528,$T452)-4),"unavailable"))))</f>
        <v/>
      </c>
      <c r="M452" s="11">
        <f>IF($T452=0,"",IF(INDEX('Market Data'!$J$5:$J$528,$T452)=0,"n/a",IF(IF(INDEX('Market Data'!$J$5:$J$528,$T452)=0,0,IF(LEFT(INDEX('Market Data'!$AS$5:$AS$66,INDEX('Market Data'!$J$5:$J$528,$T452)-4),11)="First-month",1,0))=1,"class review",IF($I452="Bloomberg",IF(AND(ISNUMBER(INDEX('Market Data'!$AH$5:$AH$66,INDEX('Market Data'!$J$5:$J$528,$T452)-4)),N(INDEX('Market Data'!$AH$5:$AH$66,INDEX('Market Data'!$J$5:$J$528,$T452)-4))&gt;0,ISNUMBER('Market Data'!$B$1),N('Market Data'!$B$1)&gt;0),INDEX('Market Data'!$AH$5:$AH$66,INDEX('Market Data'!$J$5:$J$528,$T452)-4)*'Market Data'!$B$1/$E452-1,"pending A/FX"),IF(AND($I452="Snapshot",$Q452="Snapshot",ISNUMBER($E452),$G452=INDEX('Market Data'!$AE$5:$AE$66,INDEX('Market Data'!$J$5:$J$528,$T452)-4)),IFERROR(INDEX('Market Data'!$AC$5:$AC$66,INDEX('Market Data'!$J$5:$J$528,$T452)-4)*INDEX('Market Data'!$AD$5:$AD$66,INDEX('Market Data'!$J$5:$J$528,$T452)-4)/$E452-1,"unavailable"),IF($I452="Unavailable","unavailable","date mismatch"))))))</f>
        <v/>
      </c>
      <c r="N452" s="11">
        <f>IF($T452=0,"",IFERROR(IF(AND(N(INDEX('Market Data'!$F$5:$F$528,$T452))&gt;0,ISNUMBER(INDEX('Market Data'!$T$5:$T$528,$T452))),$E452*INDEX('Market Data'!$T$5:$T$528,$T452)/INDEX('Market Data'!$F$5:$F$528,$T452)-1,"unavailable"),"unavailable"))</f>
        <v/>
      </c>
      <c r="O452" s="9">
        <f>IF($T452=0,"",IF(IF(INDEX('Market Data'!$J$5:$J$528,$T452)=0,0,IF(LEFT(INDEX('Market Data'!$AS$5:$AS$66,INDEX('Market Data'!$J$5:$J$528,$T452)-4),11)="First-month",1,0))=1,"Class ratio review",IF($I452="Bloomberg",IF(ISNUMBER($G452),IF($G452&lt;TODAY(),"Older quote","See quote time"),"Date unavailable"),IF($I452="Snapshot",IF($G452&lt;DATEVALUE("2026-10-02"),"Older snapshot","Dated close"),"No valid quote"))))</f>
        <v/>
      </c>
      <c r="P452" s="14">
        <f>IF($T452=0,"",IF(INDEX('Market Data'!$J$5:$J$528,$T452)=0,"n/a",IF($Q452="Bloomberg",IF(AND(ISNUMBER(INDEX('Market Data'!$AK$5:$AK$66,INDEX('Market Data'!$J$5:$J$528,$T452)-4)),N(INDEX('Market Data'!$AK$5:$AK$66,INDEX('Market Data'!$J$5:$J$528,$T452)-4))&gt;0),INDEX('Market Data'!$AK$5:$AK$66,INDEX('Market Data'!$J$5:$J$528,$T452)-4),"date unavailable"),IF($Q452="Snapshot",IF(AND(ISNUMBER(INDEX('Market Data'!$AF$5:$AF$66,INDEX('Market Data'!$J$5:$J$528,$T452)-4)),N(INDEX('Market Data'!$AF$5:$AF$66,INDEX('Market Data'!$J$5:$J$528,$T452)-4))&gt;0),INDEX('Market Data'!$AF$5:$AF$66,INDEX('Market Data'!$J$5:$J$528,$T452)-4),"date unavailable"),"date unavailable"))))</f>
        <v/>
      </c>
      <c r="Q452" s="15">
        <f>IF($T452=0,"",IF(INDEX('Market Data'!$J$5:$J$528,$T452)=0,"n/a",IF(AND($M$5&lt;&gt;"Snapshot",ISNUMBER(INDEX('Market Data'!$AH$5:$AH$66,INDEX('Market Data'!$J$5:$J$528,$T452)-4)),N(INDEX('Market Data'!$AH$5:$AH$66,INDEX('Market Data'!$J$5:$J$528,$T452)-4))&gt;0),"Bloomberg",IF(AND($M$5&lt;&gt;"Bloomberg",ISNUMBER(INDEX('Market Data'!$AC$5:$AC$66,INDEX('Market Data'!$J$5:$J$528,$T452)-4)),N(INDEX('Market Data'!$AC$5:$AC$66,INDEX('Market Data'!$J$5:$J$528,$T452)-4))&gt;0),"Snapshot","Unavailable"))))</f>
        <v/>
      </c>
      <c r="T452">
        <f>IFERROR(MATCH(444,'Market Data'!$S$5:$S$528,0),0)</f>
        <v/>
      </c>
    </row>
    <row r="453" ht="34" customHeight="1">
      <c r="A453" s="8">
        <f>IF($T453=0,"",IF(INDEX('Market Data'!$A$5:$A$528,$T453)="","",INDEX('Market Data'!$A$5:$A$528,$T453)))</f>
        <v/>
      </c>
      <c r="B453" s="9">
        <f>IF($T453=0,"",IF(INDEX('Market Data'!$B$5:$B$528,$T453)="","",INDEX('Market Data'!$B$5:$B$528,$T453)))</f>
        <v/>
      </c>
      <c r="C453" s="9">
        <f>IF($T453=0,"",IF(INDEX('Market Data'!$C$5:$C$528,$T453)="","",INDEX('Market Data'!$C$5:$C$528,$T453)))</f>
        <v/>
      </c>
      <c r="D453" s="9">
        <f>IF($T453=0,"",IF(INDEX('Market Data'!$D$5:$D$528,$T453)="","",INDEX('Market Data'!$D$5:$D$528,$T453)))</f>
        <v/>
      </c>
      <c r="E453" s="10">
        <f>IF($T453=0,"",INDEX('Market Data'!$O$5:$O$528,$T453))</f>
        <v/>
      </c>
      <c r="F453" s="11">
        <f>IF($T453=0,"",IF(AND($I453="Bloomberg",ISNUMBER(INDEX('Market Data'!$L$5:$L$528,$T453))),INDEX('Market Data'!$L$5:$L$528,$T453),"unavailable"))</f>
        <v/>
      </c>
      <c r="G453" s="12">
        <f>IF($T453=0,"",IF($I453="Bloomberg",IF(AND(ISNUMBER(INDEX('Market Data'!$M$5:$M$528,$T453)),N(INDEX('Market Data'!$M$5:$M$528,$T453))&gt;0),INDEX('Market Data'!$M$5:$M$528,$T453),"date unavailable"),IF($I453="Snapshot",IF(AND(ISNUMBER(INDEX('Market Data'!$H$5:$H$528,$T453)),N(INDEX('Market Data'!$H$5:$H$528,$T453))&gt;0),INDEX('Market Data'!$H$5:$H$528,$T453),"date unavailable"),"date unavailable")))</f>
        <v/>
      </c>
      <c r="H453" s="9">
        <f>IF($T453=0,"",IF($I453="Bloomberg",IF(INDEX('Market Data'!$N$5:$N$528,$T453)="","time unavailable",INDEX('Market Data'!$N$5:$N$528,$T453)),""))</f>
        <v/>
      </c>
      <c r="I453" s="9">
        <f>IF($T453=0,"",INDEX('Market Data'!$P$5:$P$528,$T453))</f>
        <v/>
      </c>
      <c r="J453" s="13">
        <f>IF($T453=0,"",IF(INDEX('Market Data'!$E$5:$E$528,$T453)="","",INDEX('Market Data'!$E$5:$E$528,$T453)))</f>
        <v/>
      </c>
      <c r="K453" s="8">
        <f>IF($T453=0,"",IF(INDEX('Market Data'!$I$5:$I$528,$T453)="","",INDEX('Market Data'!$I$5:$I$528,$T453)))</f>
        <v/>
      </c>
      <c r="L453" s="10">
        <f>IF($T453=0,"",IF(INDEX('Market Data'!$J$5:$J$528,$T453)=0,"n/a",IF(AND($M$5&lt;&gt;"Snapshot",ISNUMBER(INDEX('Market Data'!$AH$5:$AH$66,INDEX('Market Data'!$J$5:$J$528,$T453)-4)),N(INDEX('Market Data'!$AH$5:$AH$66,INDEX('Market Data'!$J$5:$J$528,$T453)-4))&gt;0),INDEX('Market Data'!$AH$5:$AH$66,INDEX('Market Data'!$J$5:$J$528,$T453)-4),IF(AND($M$5&lt;&gt;"Bloomberg",ISNUMBER(INDEX('Market Data'!$AC$5:$AC$66,INDEX('Market Data'!$J$5:$J$528,$T453)-4)),N(INDEX('Market Data'!$AC$5:$AC$66,INDEX('Market Data'!$J$5:$J$528,$T453)-4))&gt;0),INDEX('Market Data'!$AC$5:$AC$66,INDEX('Market Data'!$J$5:$J$528,$T453)-4),"unavailable"))))</f>
        <v/>
      </c>
      <c r="M453" s="11">
        <f>IF($T453=0,"",IF(INDEX('Market Data'!$J$5:$J$528,$T453)=0,"n/a",IF(IF(INDEX('Market Data'!$J$5:$J$528,$T453)=0,0,IF(LEFT(INDEX('Market Data'!$AS$5:$AS$66,INDEX('Market Data'!$J$5:$J$528,$T453)-4),11)="First-month",1,0))=1,"class review",IF($I453="Bloomberg",IF(AND(ISNUMBER(INDEX('Market Data'!$AH$5:$AH$66,INDEX('Market Data'!$J$5:$J$528,$T453)-4)),N(INDEX('Market Data'!$AH$5:$AH$66,INDEX('Market Data'!$J$5:$J$528,$T453)-4))&gt;0,ISNUMBER('Market Data'!$B$1),N('Market Data'!$B$1)&gt;0),INDEX('Market Data'!$AH$5:$AH$66,INDEX('Market Data'!$J$5:$J$528,$T453)-4)*'Market Data'!$B$1/$E453-1,"pending A/FX"),IF(AND($I453="Snapshot",$Q453="Snapshot",ISNUMBER($E453),$G453=INDEX('Market Data'!$AE$5:$AE$66,INDEX('Market Data'!$J$5:$J$528,$T453)-4)),IFERROR(INDEX('Market Data'!$AC$5:$AC$66,INDEX('Market Data'!$J$5:$J$528,$T453)-4)*INDEX('Market Data'!$AD$5:$AD$66,INDEX('Market Data'!$J$5:$J$528,$T453)-4)/$E453-1,"unavailable"),IF($I453="Unavailable","unavailable","date mismatch"))))))</f>
        <v/>
      </c>
      <c r="N453" s="11">
        <f>IF($T453=0,"",IFERROR(IF(AND(N(INDEX('Market Data'!$F$5:$F$528,$T453))&gt;0,ISNUMBER(INDEX('Market Data'!$T$5:$T$528,$T453))),$E453*INDEX('Market Data'!$T$5:$T$528,$T453)/INDEX('Market Data'!$F$5:$F$528,$T453)-1,"unavailable"),"unavailable"))</f>
        <v/>
      </c>
      <c r="O453" s="9">
        <f>IF($T453=0,"",IF(IF(INDEX('Market Data'!$J$5:$J$528,$T453)=0,0,IF(LEFT(INDEX('Market Data'!$AS$5:$AS$66,INDEX('Market Data'!$J$5:$J$528,$T453)-4),11)="First-month",1,0))=1,"Class ratio review",IF($I453="Bloomberg",IF(ISNUMBER($G453),IF($G453&lt;TODAY(),"Older quote","See quote time"),"Date unavailable"),IF($I453="Snapshot",IF($G453&lt;DATEVALUE("2026-10-02"),"Older snapshot","Dated close"),"No valid quote"))))</f>
        <v/>
      </c>
      <c r="P453" s="14">
        <f>IF($T453=0,"",IF(INDEX('Market Data'!$J$5:$J$528,$T453)=0,"n/a",IF($Q453="Bloomberg",IF(AND(ISNUMBER(INDEX('Market Data'!$AK$5:$AK$66,INDEX('Market Data'!$J$5:$J$528,$T453)-4)),N(INDEX('Market Data'!$AK$5:$AK$66,INDEX('Market Data'!$J$5:$J$528,$T453)-4))&gt;0),INDEX('Market Data'!$AK$5:$AK$66,INDEX('Market Data'!$J$5:$J$528,$T453)-4),"date unavailable"),IF($Q453="Snapshot",IF(AND(ISNUMBER(INDEX('Market Data'!$AF$5:$AF$66,INDEX('Market Data'!$J$5:$J$528,$T453)-4)),N(INDEX('Market Data'!$AF$5:$AF$66,INDEX('Market Data'!$J$5:$J$528,$T453)-4))&gt;0),INDEX('Market Data'!$AF$5:$AF$66,INDEX('Market Data'!$J$5:$J$528,$T453)-4),"date unavailable"),"date unavailable"))))</f>
        <v/>
      </c>
      <c r="Q453" s="15">
        <f>IF($T453=0,"",IF(INDEX('Market Data'!$J$5:$J$528,$T453)=0,"n/a",IF(AND($M$5&lt;&gt;"Snapshot",ISNUMBER(INDEX('Market Data'!$AH$5:$AH$66,INDEX('Market Data'!$J$5:$J$528,$T453)-4)),N(INDEX('Market Data'!$AH$5:$AH$66,INDEX('Market Data'!$J$5:$J$528,$T453)-4))&gt;0),"Bloomberg",IF(AND($M$5&lt;&gt;"Bloomberg",ISNUMBER(INDEX('Market Data'!$AC$5:$AC$66,INDEX('Market Data'!$J$5:$J$528,$T453)-4)),N(INDEX('Market Data'!$AC$5:$AC$66,INDEX('Market Data'!$J$5:$J$528,$T453)-4))&gt;0),"Snapshot","Unavailable"))))</f>
        <v/>
      </c>
      <c r="T453">
        <f>IFERROR(MATCH(445,'Market Data'!$S$5:$S$528,0),0)</f>
        <v/>
      </c>
    </row>
    <row r="454" ht="34" customHeight="1">
      <c r="A454" s="8">
        <f>IF($T454=0,"",IF(INDEX('Market Data'!$A$5:$A$528,$T454)="","",INDEX('Market Data'!$A$5:$A$528,$T454)))</f>
        <v/>
      </c>
      <c r="B454" s="9">
        <f>IF($T454=0,"",IF(INDEX('Market Data'!$B$5:$B$528,$T454)="","",INDEX('Market Data'!$B$5:$B$528,$T454)))</f>
        <v/>
      </c>
      <c r="C454" s="9">
        <f>IF($T454=0,"",IF(INDEX('Market Data'!$C$5:$C$528,$T454)="","",INDEX('Market Data'!$C$5:$C$528,$T454)))</f>
        <v/>
      </c>
      <c r="D454" s="9">
        <f>IF($T454=0,"",IF(INDEX('Market Data'!$D$5:$D$528,$T454)="","",INDEX('Market Data'!$D$5:$D$528,$T454)))</f>
        <v/>
      </c>
      <c r="E454" s="10">
        <f>IF($T454=0,"",INDEX('Market Data'!$O$5:$O$528,$T454))</f>
        <v/>
      </c>
      <c r="F454" s="11">
        <f>IF($T454=0,"",IF(AND($I454="Bloomberg",ISNUMBER(INDEX('Market Data'!$L$5:$L$528,$T454))),INDEX('Market Data'!$L$5:$L$528,$T454),"unavailable"))</f>
        <v/>
      </c>
      <c r="G454" s="12">
        <f>IF($T454=0,"",IF($I454="Bloomberg",IF(AND(ISNUMBER(INDEX('Market Data'!$M$5:$M$528,$T454)),N(INDEX('Market Data'!$M$5:$M$528,$T454))&gt;0),INDEX('Market Data'!$M$5:$M$528,$T454),"date unavailable"),IF($I454="Snapshot",IF(AND(ISNUMBER(INDEX('Market Data'!$H$5:$H$528,$T454)),N(INDEX('Market Data'!$H$5:$H$528,$T454))&gt;0),INDEX('Market Data'!$H$5:$H$528,$T454),"date unavailable"),"date unavailable")))</f>
        <v/>
      </c>
      <c r="H454" s="9">
        <f>IF($T454=0,"",IF($I454="Bloomberg",IF(INDEX('Market Data'!$N$5:$N$528,$T454)="","time unavailable",INDEX('Market Data'!$N$5:$N$528,$T454)),""))</f>
        <v/>
      </c>
      <c r="I454" s="9">
        <f>IF($T454=0,"",INDEX('Market Data'!$P$5:$P$528,$T454))</f>
        <v/>
      </c>
      <c r="J454" s="13">
        <f>IF($T454=0,"",IF(INDEX('Market Data'!$E$5:$E$528,$T454)="","",INDEX('Market Data'!$E$5:$E$528,$T454)))</f>
        <v/>
      </c>
      <c r="K454" s="8">
        <f>IF($T454=0,"",IF(INDEX('Market Data'!$I$5:$I$528,$T454)="","",INDEX('Market Data'!$I$5:$I$528,$T454)))</f>
        <v/>
      </c>
      <c r="L454" s="10">
        <f>IF($T454=0,"",IF(INDEX('Market Data'!$J$5:$J$528,$T454)=0,"n/a",IF(AND($M$5&lt;&gt;"Snapshot",ISNUMBER(INDEX('Market Data'!$AH$5:$AH$66,INDEX('Market Data'!$J$5:$J$528,$T454)-4)),N(INDEX('Market Data'!$AH$5:$AH$66,INDEX('Market Data'!$J$5:$J$528,$T454)-4))&gt;0),INDEX('Market Data'!$AH$5:$AH$66,INDEX('Market Data'!$J$5:$J$528,$T454)-4),IF(AND($M$5&lt;&gt;"Bloomberg",ISNUMBER(INDEX('Market Data'!$AC$5:$AC$66,INDEX('Market Data'!$J$5:$J$528,$T454)-4)),N(INDEX('Market Data'!$AC$5:$AC$66,INDEX('Market Data'!$J$5:$J$528,$T454)-4))&gt;0),INDEX('Market Data'!$AC$5:$AC$66,INDEX('Market Data'!$J$5:$J$528,$T454)-4),"unavailable"))))</f>
        <v/>
      </c>
      <c r="M454" s="11">
        <f>IF($T454=0,"",IF(INDEX('Market Data'!$J$5:$J$528,$T454)=0,"n/a",IF(IF(INDEX('Market Data'!$J$5:$J$528,$T454)=0,0,IF(LEFT(INDEX('Market Data'!$AS$5:$AS$66,INDEX('Market Data'!$J$5:$J$528,$T454)-4),11)="First-month",1,0))=1,"class review",IF($I454="Bloomberg",IF(AND(ISNUMBER(INDEX('Market Data'!$AH$5:$AH$66,INDEX('Market Data'!$J$5:$J$528,$T454)-4)),N(INDEX('Market Data'!$AH$5:$AH$66,INDEX('Market Data'!$J$5:$J$528,$T454)-4))&gt;0,ISNUMBER('Market Data'!$B$1),N('Market Data'!$B$1)&gt;0),INDEX('Market Data'!$AH$5:$AH$66,INDEX('Market Data'!$J$5:$J$528,$T454)-4)*'Market Data'!$B$1/$E454-1,"pending A/FX"),IF(AND($I454="Snapshot",$Q454="Snapshot",ISNUMBER($E454),$G454=INDEX('Market Data'!$AE$5:$AE$66,INDEX('Market Data'!$J$5:$J$528,$T454)-4)),IFERROR(INDEX('Market Data'!$AC$5:$AC$66,INDEX('Market Data'!$J$5:$J$528,$T454)-4)*INDEX('Market Data'!$AD$5:$AD$66,INDEX('Market Data'!$J$5:$J$528,$T454)-4)/$E454-1,"unavailable"),IF($I454="Unavailable","unavailable","date mismatch"))))))</f>
        <v/>
      </c>
      <c r="N454" s="11">
        <f>IF($T454=0,"",IFERROR(IF(AND(N(INDEX('Market Data'!$F$5:$F$528,$T454))&gt;0,ISNUMBER(INDEX('Market Data'!$T$5:$T$528,$T454))),$E454*INDEX('Market Data'!$T$5:$T$528,$T454)/INDEX('Market Data'!$F$5:$F$528,$T454)-1,"unavailable"),"unavailable"))</f>
        <v/>
      </c>
      <c r="O454" s="9">
        <f>IF($T454=0,"",IF(IF(INDEX('Market Data'!$J$5:$J$528,$T454)=0,0,IF(LEFT(INDEX('Market Data'!$AS$5:$AS$66,INDEX('Market Data'!$J$5:$J$528,$T454)-4),11)="First-month",1,0))=1,"Class ratio review",IF($I454="Bloomberg",IF(ISNUMBER($G454),IF($G454&lt;TODAY(),"Older quote","See quote time"),"Date unavailable"),IF($I454="Snapshot",IF($G454&lt;DATEVALUE("2026-10-02"),"Older snapshot","Dated close"),"No valid quote"))))</f>
        <v/>
      </c>
      <c r="P454" s="14">
        <f>IF($T454=0,"",IF(INDEX('Market Data'!$J$5:$J$528,$T454)=0,"n/a",IF($Q454="Bloomberg",IF(AND(ISNUMBER(INDEX('Market Data'!$AK$5:$AK$66,INDEX('Market Data'!$J$5:$J$528,$T454)-4)),N(INDEX('Market Data'!$AK$5:$AK$66,INDEX('Market Data'!$J$5:$J$528,$T454)-4))&gt;0),INDEX('Market Data'!$AK$5:$AK$66,INDEX('Market Data'!$J$5:$J$528,$T454)-4),"date unavailable"),IF($Q454="Snapshot",IF(AND(ISNUMBER(INDEX('Market Data'!$AF$5:$AF$66,INDEX('Market Data'!$J$5:$J$528,$T454)-4)),N(INDEX('Market Data'!$AF$5:$AF$66,INDEX('Market Data'!$J$5:$J$528,$T454)-4))&gt;0),INDEX('Market Data'!$AF$5:$AF$66,INDEX('Market Data'!$J$5:$J$528,$T454)-4),"date unavailable"),"date unavailable"))))</f>
        <v/>
      </c>
      <c r="Q454" s="15">
        <f>IF($T454=0,"",IF(INDEX('Market Data'!$J$5:$J$528,$T454)=0,"n/a",IF(AND($M$5&lt;&gt;"Snapshot",ISNUMBER(INDEX('Market Data'!$AH$5:$AH$66,INDEX('Market Data'!$J$5:$J$528,$T454)-4)),N(INDEX('Market Data'!$AH$5:$AH$66,INDEX('Market Data'!$J$5:$J$528,$T454)-4))&gt;0),"Bloomberg",IF(AND($M$5&lt;&gt;"Bloomberg",ISNUMBER(INDEX('Market Data'!$AC$5:$AC$66,INDEX('Market Data'!$J$5:$J$528,$T454)-4)),N(INDEX('Market Data'!$AC$5:$AC$66,INDEX('Market Data'!$J$5:$J$528,$T454)-4))&gt;0),"Snapshot","Unavailable"))))</f>
        <v/>
      </c>
      <c r="T454">
        <f>IFERROR(MATCH(446,'Market Data'!$S$5:$S$528,0),0)</f>
        <v/>
      </c>
    </row>
    <row r="455" ht="34" customHeight="1">
      <c r="A455" s="8">
        <f>IF($T455=0,"",IF(INDEX('Market Data'!$A$5:$A$528,$T455)="","",INDEX('Market Data'!$A$5:$A$528,$T455)))</f>
        <v/>
      </c>
      <c r="B455" s="9">
        <f>IF($T455=0,"",IF(INDEX('Market Data'!$B$5:$B$528,$T455)="","",INDEX('Market Data'!$B$5:$B$528,$T455)))</f>
        <v/>
      </c>
      <c r="C455" s="9">
        <f>IF($T455=0,"",IF(INDEX('Market Data'!$C$5:$C$528,$T455)="","",INDEX('Market Data'!$C$5:$C$528,$T455)))</f>
        <v/>
      </c>
      <c r="D455" s="9">
        <f>IF($T455=0,"",IF(INDEX('Market Data'!$D$5:$D$528,$T455)="","",INDEX('Market Data'!$D$5:$D$528,$T455)))</f>
        <v/>
      </c>
      <c r="E455" s="10">
        <f>IF($T455=0,"",INDEX('Market Data'!$O$5:$O$528,$T455))</f>
        <v/>
      </c>
      <c r="F455" s="11">
        <f>IF($T455=0,"",IF(AND($I455="Bloomberg",ISNUMBER(INDEX('Market Data'!$L$5:$L$528,$T455))),INDEX('Market Data'!$L$5:$L$528,$T455),"unavailable"))</f>
        <v/>
      </c>
      <c r="G455" s="12">
        <f>IF($T455=0,"",IF($I455="Bloomberg",IF(AND(ISNUMBER(INDEX('Market Data'!$M$5:$M$528,$T455)),N(INDEX('Market Data'!$M$5:$M$528,$T455))&gt;0),INDEX('Market Data'!$M$5:$M$528,$T455),"date unavailable"),IF($I455="Snapshot",IF(AND(ISNUMBER(INDEX('Market Data'!$H$5:$H$528,$T455)),N(INDEX('Market Data'!$H$5:$H$528,$T455))&gt;0),INDEX('Market Data'!$H$5:$H$528,$T455),"date unavailable"),"date unavailable")))</f>
        <v/>
      </c>
      <c r="H455" s="9">
        <f>IF($T455=0,"",IF($I455="Bloomberg",IF(INDEX('Market Data'!$N$5:$N$528,$T455)="","time unavailable",INDEX('Market Data'!$N$5:$N$528,$T455)),""))</f>
        <v/>
      </c>
      <c r="I455" s="9">
        <f>IF($T455=0,"",INDEX('Market Data'!$P$5:$P$528,$T455))</f>
        <v/>
      </c>
      <c r="J455" s="13">
        <f>IF($T455=0,"",IF(INDEX('Market Data'!$E$5:$E$528,$T455)="","",INDEX('Market Data'!$E$5:$E$528,$T455)))</f>
        <v/>
      </c>
      <c r="K455" s="8">
        <f>IF($T455=0,"",IF(INDEX('Market Data'!$I$5:$I$528,$T455)="","",INDEX('Market Data'!$I$5:$I$528,$T455)))</f>
        <v/>
      </c>
      <c r="L455" s="10">
        <f>IF($T455=0,"",IF(INDEX('Market Data'!$J$5:$J$528,$T455)=0,"n/a",IF(AND($M$5&lt;&gt;"Snapshot",ISNUMBER(INDEX('Market Data'!$AH$5:$AH$66,INDEX('Market Data'!$J$5:$J$528,$T455)-4)),N(INDEX('Market Data'!$AH$5:$AH$66,INDEX('Market Data'!$J$5:$J$528,$T455)-4))&gt;0),INDEX('Market Data'!$AH$5:$AH$66,INDEX('Market Data'!$J$5:$J$528,$T455)-4),IF(AND($M$5&lt;&gt;"Bloomberg",ISNUMBER(INDEX('Market Data'!$AC$5:$AC$66,INDEX('Market Data'!$J$5:$J$528,$T455)-4)),N(INDEX('Market Data'!$AC$5:$AC$66,INDEX('Market Data'!$J$5:$J$528,$T455)-4))&gt;0),INDEX('Market Data'!$AC$5:$AC$66,INDEX('Market Data'!$J$5:$J$528,$T455)-4),"unavailable"))))</f>
        <v/>
      </c>
      <c r="M455" s="11">
        <f>IF($T455=0,"",IF(INDEX('Market Data'!$J$5:$J$528,$T455)=0,"n/a",IF(IF(INDEX('Market Data'!$J$5:$J$528,$T455)=0,0,IF(LEFT(INDEX('Market Data'!$AS$5:$AS$66,INDEX('Market Data'!$J$5:$J$528,$T455)-4),11)="First-month",1,0))=1,"class review",IF($I455="Bloomberg",IF(AND(ISNUMBER(INDEX('Market Data'!$AH$5:$AH$66,INDEX('Market Data'!$J$5:$J$528,$T455)-4)),N(INDEX('Market Data'!$AH$5:$AH$66,INDEX('Market Data'!$J$5:$J$528,$T455)-4))&gt;0,ISNUMBER('Market Data'!$B$1),N('Market Data'!$B$1)&gt;0),INDEX('Market Data'!$AH$5:$AH$66,INDEX('Market Data'!$J$5:$J$528,$T455)-4)*'Market Data'!$B$1/$E455-1,"pending A/FX"),IF(AND($I455="Snapshot",$Q455="Snapshot",ISNUMBER($E455),$G455=INDEX('Market Data'!$AE$5:$AE$66,INDEX('Market Data'!$J$5:$J$528,$T455)-4)),IFERROR(INDEX('Market Data'!$AC$5:$AC$66,INDEX('Market Data'!$J$5:$J$528,$T455)-4)*INDEX('Market Data'!$AD$5:$AD$66,INDEX('Market Data'!$J$5:$J$528,$T455)-4)/$E455-1,"unavailable"),IF($I455="Unavailable","unavailable","date mismatch"))))))</f>
        <v/>
      </c>
      <c r="N455" s="11">
        <f>IF($T455=0,"",IFERROR(IF(AND(N(INDEX('Market Data'!$F$5:$F$528,$T455))&gt;0,ISNUMBER(INDEX('Market Data'!$T$5:$T$528,$T455))),$E455*INDEX('Market Data'!$T$5:$T$528,$T455)/INDEX('Market Data'!$F$5:$F$528,$T455)-1,"unavailable"),"unavailable"))</f>
        <v/>
      </c>
      <c r="O455" s="9">
        <f>IF($T455=0,"",IF(IF(INDEX('Market Data'!$J$5:$J$528,$T455)=0,0,IF(LEFT(INDEX('Market Data'!$AS$5:$AS$66,INDEX('Market Data'!$J$5:$J$528,$T455)-4),11)="First-month",1,0))=1,"Class ratio review",IF($I455="Bloomberg",IF(ISNUMBER($G455),IF($G455&lt;TODAY(),"Older quote","See quote time"),"Date unavailable"),IF($I455="Snapshot",IF($G455&lt;DATEVALUE("2026-10-02"),"Older snapshot","Dated close"),"No valid quote"))))</f>
        <v/>
      </c>
      <c r="P455" s="14">
        <f>IF($T455=0,"",IF(INDEX('Market Data'!$J$5:$J$528,$T455)=0,"n/a",IF($Q455="Bloomberg",IF(AND(ISNUMBER(INDEX('Market Data'!$AK$5:$AK$66,INDEX('Market Data'!$J$5:$J$528,$T455)-4)),N(INDEX('Market Data'!$AK$5:$AK$66,INDEX('Market Data'!$J$5:$J$528,$T455)-4))&gt;0),INDEX('Market Data'!$AK$5:$AK$66,INDEX('Market Data'!$J$5:$J$528,$T455)-4),"date unavailable"),IF($Q455="Snapshot",IF(AND(ISNUMBER(INDEX('Market Data'!$AF$5:$AF$66,INDEX('Market Data'!$J$5:$J$528,$T455)-4)),N(INDEX('Market Data'!$AF$5:$AF$66,INDEX('Market Data'!$J$5:$J$528,$T455)-4))&gt;0),INDEX('Market Data'!$AF$5:$AF$66,INDEX('Market Data'!$J$5:$J$528,$T455)-4),"date unavailable"),"date unavailable"))))</f>
        <v/>
      </c>
      <c r="Q455" s="15">
        <f>IF($T455=0,"",IF(INDEX('Market Data'!$J$5:$J$528,$T455)=0,"n/a",IF(AND($M$5&lt;&gt;"Snapshot",ISNUMBER(INDEX('Market Data'!$AH$5:$AH$66,INDEX('Market Data'!$J$5:$J$528,$T455)-4)),N(INDEX('Market Data'!$AH$5:$AH$66,INDEX('Market Data'!$J$5:$J$528,$T455)-4))&gt;0),"Bloomberg",IF(AND($M$5&lt;&gt;"Bloomberg",ISNUMBER(INDEX('Market Data'!$AC$5:$AC$66,INDEX('Market Data'!$J$5:$J$528,$T455)-4)),N(INDEX('Market Data'!$AC$5:$AC$66,INDEX('Market Data'!$J$5:$J$528,$T455)-4))&gt;0),"Snapshot","Unavailable"))))</f>
        <v/>
      </c>
      <c r="T455">
        <f>IFERROR(MATCH(447,'Market Data'!$S$5:$S$528,0),0)</f>
        <v/>
      </c>
    </row>
    <row r="456" ht="34" customHeight="1">
      <c r="A456" s="8">
        <f>IF($T456=0,"",IF(INDEX('Market Data'!$A$5:$A$528,$T456)="","",INDEX('Market Data'!$A$5:$A$528,$T456)))</f>
        <v/>
      </c>
      <c r="B456" s="9">
        <f>IF($T456=0,"",IF(INDEX('Market Data'!$B$5:$B$528,$T456)="","",INDEX('Market Data'!$B$5:$B$528,$T456)))</f>
        <v/>
      </c>
      <c r="C456" s="9">
        <f>IF($T456=0,"",IF(INDEX('Market Data'!$C$5:$C$528,$T456)="","",INDEX('Market Data'!$C$5:$C$528,$T456)))</f>
        <v/>
      </c>
      <c r="D456" s="9">
        <f>IF($T456=0,"",IF(INDEX('Market Data'!$D$5:$D$528,$T456)="","",INDEX('Market Data'!$D$5:$D$528,$T456)))</f>
        <v/>
      </c>
      <c r="E456" s="10">
        <f>IF($T456=0,"",INDEX('Market Data'!$O$5:$O$528,$T456))</f>
        <v/>
      </c>
      <c r="F456" s="11">
        <f>IF($T456=0,"",IF(AND($I456="Bloomberg",ISNUMBER(INDEX('Market Data'!$L$5:$L$528,$T456))),INDEX('Market Data'!$L$5:$L$528,$T456),"unavailable"))</f>
        <v/>
      </c>
      <c r="G456" s="12">
        <f>IF($T456=0,"",IF($I456="Bloomberg",IF(AND(ISNUMBER(INDEX('Market Data'!$M$5:$M$528,$T456)),N(INDEX('Market Data'!$M$5:$M$528,$T456))&gt;0),INDEX('Market Data'!$M$5:$M$528,$T456),"date unavailable"),IF($I456="Snapshot",IF(AND(ISNUMBER(INDEX('Market Data'!$H$5:$H$528,$T456)),N(INDEX('Market Data'!$H$5:$H$528,$T456))&gt;0),INDEX('Market Data'!$H$5:$H$528,$T456),"date unavailable"),"date unavailable")))</f>
        <v/>
      </c>
      <c r="H456" s="9">
        <f>IF($T456=0,"",IF($I456="Bloomberg",IF(INDEX('Market Data'!$N$5:$N$528,$T456)="","time unavailable",INDEX('Market Data'!$N$5:$N$528,$T456)),""))</f>
        <v/>
      </c>
      <c r="I456" s="9">
        <f>IF($T456=0,"",INDEX('Market Data'!$P$5:$P$528,$T456))</f>
        <v/>
      </c>
      <c r="J456" s="13">
        <f>IF($T456=0,"",IF(INDEX('Market Data'!$E$5:$E$528,$T456)="","",INDEX('Market Data'!$E$5:$E$528,$T456)))</f>
        <v/>
      </c>
      <c r="K456" s="8">
        <f>IF($T456=0,"",IF(INDEX('Market Data'!$I$5:$I$528,$T456)="","",INDEX('Market Data'!$I$5:$I$528,$T456)))</f>
        <v/>
      </c>
      <c r="L456" s="10">
        <f>IF($T456=0,"",IF(INDEX('Market Data'!$J$5:$J$528,$T456)=0,"n/a",IF(AND($M$5&lt;&gt;"Snapshot",ISNUMBER(INDEX('Market Data'!$AH$5:$AH$66,INDEX('Market Data'!$J$5:$J$528,$T456)-4)),N(INDEX('Market Data'!$AH$5:$AH$66,INDEX('Market Data'!$J$5:$J$528,$T456)-4))&gt;0),INDEX('Market Data'!$AH$5:$AH$66,INDEX('Market Data'!$J$5:$J$528,$T456)-4),IF(AND($M$5&lt;&gt;"Bloomberg",ISNUMBER(INDEX('Market Data'!$AC$5:$AC$66,INDEX('Market Data'!$J$5:$J$528,$T456)-4)),N(INDEX('Market Data'!$AC$5:$AC$66,INDEX('Market Data'!$J$5:$J$528,$T456)-4))&gt;0),INDEX('Market Data'!$AC$5:$AC$66,INDEX('Market Data'!$J$5:$J$528,$T456)-4),"unavailable"))))</f>
        <v/>
      </c>
      <c r="M456" s="11">
        <f>IF($T456=0,"",IF(INDEX('Market Data'!$J$5:$J$528,$T456)=0,"n/a",IF(IF(INDEX('Market Data'!$J$5:$J$528,$T456)=0,0,IF(LEFT(INDEX('Market Data'!$AS$5:$AS$66,INDEX('Market Data'!$J$5:$J$528,$T456)-4),11)="First-month",1,0))=1,"class review",IF($I456="Bloomberg",IF(AND(ISNUMBER(INDEX('Market Data'!$AH$5:$AH$66,INDEX('Market Data'!$J$5:$J$528,$T456)-4)),N(INDEX('Market Data'!$AH$5:$AH$66,INDEX('Market Data'!$J$5:$J$528,$T456)-4))&gt;0,ISNUMBER('Market Data'!$B$1),N('Market Data'!$B$1)&gt;0),INDEX('Market Data'!$AH$5:$AH$66,INDEX('Market Data'!$J$5:$J$528,$T456)-4)*'Market Data'!$B$1/$E456-1,"pending A/FX"),IF(AND($I456="Snapshot",$Q456="Snapshot",ISNUMBER($E456),$G456=INDEX('Market Data'!$AE$5:$AE$66,INDEX('Market Data'!$J$5:$J$528,$T456)-4)),IFERROR(INDEX('Market Data'!$AC$5:$AC$66,INDEX('Market Data'!$J$5:$J$528,$T456)-4)*INDEX('Market Data'!$AD$5:$AD$66,INDEX('Market Data'!$J$5:$J$528,$T456)-4)/$E456-1,"unavailable"),IF($I456="Unavailable","unavailable","date mismatch"))))))</f>
        <v/>
      </c>
      <c r="N456" s="11">
        <f>IF($T456=0,"",IFERROR(IF(AND(N(INDEX('Market Data'!$F$5:$F$528,$T456))&gt;0,ISNUMBER(INDEX('Market Data'!$T$5:$T$528,$T456))),$E456*INDEX('Market Data'!$T$5:$T$528,$T456)/INDEX('Market Data'!$F$5:$F$528,$T456)-1,"unavailable"),"unavailable"))</f>
        <v/>
      </c>
      <c r="O456" s="9">
        <f>IF($T456=0,"",IF(IF(INDEX('Market Data'!$J$5:$J$528,$T456)=0,0,IF(LEFT(INDEX('Market Data'!$AS$5:$AS$66,INDEX('Market Data'!$J$5:$J$528,$T456)-4),11)="First-month",1,0))=1,"Class ratio review",IF($I456="Bloomberg",IF(ISNUMBER($G456),IF($G456&lt;TODAY(),"Older quote","See quote time"),"Date unavailable"),IF($I456="Snapshot",IF($G456&lt;DATEVALUE("2026-10-02"),"Older snapshot","Dated close"),"No valid quote"))))</f>
        <v/>
      </c>
      <c r="P456" s="14">
        <f>IF($T456=0,"",IF(INDEX('Market Data'!$J$5:$J$528,$T456)=0,"n/a",IF($Q456="Bloomberg",IF(AND(ISNUMBER(INDEX('Market Data'!$AK$5:$AK$66,INDEX('Market Data'!$J$5:$J$528,$T456)-4)),N(INDEX('Market Data'!$AK$5:$AK$66,INDEX('Market Data'!$J$5:$J$528,$T456)-4))&gt;0),INDEX('Market Data'!$AK$5:$AK$66,INDEX('Market Data'!$J$5:$J$528,$T456)-4),"date unavailable"),IF($Q456="Snapshot",IF(AND(ISNUMBER(INDEX('Market Data'!$AF$5:$AF$66,INDEX('Market Data'!$J$5:$J$528,$T456)-4)),N(INDEX('Market Data'!$AF$5:$AF$66,INDEX('Market Data'!$J$5:$J$528,$T456)-4))&gt;0),INDEX('Market Data'!$AF$5:$AF$66,INDEX('Market Data'!$J$5:$J$528,$T456)-4),"date unavailable"),"date unavailable"))))</f>
        <v/>
      </c>
      <c r="Q456" s="15">
        <f>IF($T456=0,"",IF(INDEX('Market Data'!$J$5:$J$528,$T456)=0,"n/a",IF(AND($M$5&lt;&gt;"Snapshot",ISNUMBER(INDEX('Market Data'!$AH$5:$AH$66,INDEX('Market Data'!$J$5:$J$528,$T456)-4)),N(INDEX('Market Data'!$AH$5:$AH$66,INDEX('Market Data'!$J$5:$J$528,$T456)-4))&gt;0),"Bloomberg",IF(AND($M$5&lt;&gt;"Bloomberg",ISNUMBER(INDEX('Market Data'!$AC$5:$AC$66,INDEX('Market Data'!$J$5:$J$528,$T456)-4)),N(INDEX('Market Data'!$AC$5:$AC$66,INDEX('Market Data'!$J$5:$J$528,$T456)-4))&gt;0),"Snapshot","Unavailable"))))</f>
        <v/>
      </c>
      <c r="T456">
        <f>IFERROR(MATCH(448,'Market Data'!$S$5:$S$528,0),0)</f>
        <v/>
      </c>
    </row>
    <row r="457" ht="34" customHeight="1">
      <c r="A457" s="8">
        <f>IF($T457=0,"",IF(INDEX('Market Data'!$A$5:$A$528,$T457)="","",INDEX('Market Data'!$A$5:$A$528,$T457)))</f>
        <v/>
      </c>
      <c r="B457" s="9">
        <f>IF($T457=0,"",IF(INDEX('Market Data'!$B$5:$B$528,$T457)="","",INDEX('Market Data'!$B$5:$B$528,$T457)))</f>
        <v/>
      </c>
      <c r="C457" s="9">
        <f>IF($T457=0,"",IF(INDEX('Market Data'!$C$5:$C$528,$T457)="","",INDEX('Market Data'!$C$5:$C$528,$T457)))</f>
        <v/>
      </c>
      <c r="D457" s="9">
        <f>IF($T457=0,"",IF(INDEX('Market Data'!$D$5:$D$528,$T457)="","",INDEX('Market Data'!$D$5:$D$528,$T457)))</f>
        <v/>
      </c>
      <c r="E457" s="10">
        <f>IF($T457=0,"",INDEX('Market Data'!$O$5:$O$528,$T457))</f>
        <v/>
      </c>
      <c r="F457" s="11">
        <f>IF($T457=0,"",IF(AND($I457="Bloomberg",ISNUMBER(INDEX('Market Data'!$L$5:$L$528,$T457))),INDEX('Market Data'!$L$5:$L$528,$T457),"unavailable"))</f>
        <v/>
      </c>
      <c r="G457" s="12">
        <f>IF($T457=0,"",IF($I457="Bloomberg",IF(AND(ISNUMBER(INDEX('Market Data'!$M$5:$M$528,$T457)),N(INDEX('Market Data'!$M$5:$M$528,$T457))&gt;0),INDEX('Market Data'!$M$5:$M$528,$T457),"date unavailable"),IF($I457="Snapshot",IF(AND(ISNUMBER(INDEX('Market Data'!$H$5:$H$528,$T457)),N(INDEX('Market Data'!$H$5:$H$528,$T457))&gt;0),INDEX('Market Data'!$H$5:$H$528,$T457),"date unavailable"),"date unavailable")))</f>
        <v/>
      </c>
      <c r="H457" s="9">
        <f>IF($T457=0,"",IF($I457="Bloomberg",IF(INDEX('Market Data'!$N$5:$N$528,$T457)="","time unavailable",INDEX('Market Data'!$N$5:$N$528,$T457)),""))</f>
        <v/>
      </c>
      <c r="I457" s="9">
        <f>IF($T457=0,"",INDEX('Market Data'!$P$5:$P$528,$T457))</f>
        <v/>
      </c>
      <c r="J457" s="13">
        <f>IF($T457=0,"",IF(INDEX('Market Data'!$E$5:$E$528,$T457)="","",INDEX('Market Data'!$E$5:$E$528,$T457)))</f>
        <v/>
      </c>
      <c r="K457" s="8">
        <f>IF($T457=0,"",IF(INDEX('Market Data'!$I$5:$I$528,$T457)="","",INDEX('Market Data'!$I$5:$I$528,$T457)))</f>
        <v/>
      </c>
      <c r="L457" s="10">
        <f>IF($T457=0,"",IF(INDEX('Market Data'!$J$5:$J$528,$T457)=0,"n/a",IF(AND($M$5&lt;&gt;"Snapshot",ISNUMBER(INDEX('Market Data'!$AH$5:$AH$66,INDEX('Market Data'!$J$5:$J$528,$T457)-4)),N(INDEX('Market Data'!$AH$5:$AH$66,INDEX('Market Data'!$J$5:$J$528,$T457)-4))&gt;0),INDEX('Market Data'!$AH$5:$AH$66,INDEX('Market Data'!$J$5:$J$528,$T457)-4),IF(AND($M$5&lt;&gt;"Bloomberg",ISNUMBER(INDEX('Market Data'!$AC$5:$AC$66,INDEX('Market Data'!$J$5:$J$528,$T457)-4)),N(INDEX('Market Data'!$AC$5:$AC$66,INDEX('Market Data'!$J$5:$J$528,$T457)-4))&gt;0),INDEX('Market Data'!$AC$5:$AC$66,INDEX('Market Data'!$J$5:$J$528,$T457)-4),"unavailable"))))</f>
        <v/>
      </c>
      <c r="M457" s="11">
        <f>IF($T457=0,"",IF(INDEX('Market Data'!$J$5:$J$528,$T457)=0,"n/a",IF(IF(INDEX('Market Data'!$J$5:$J$528,$T457)=0,0,IF(LEFT(INDEX('Market Data'!$AS$5:$AS$66,INDEX('Market Data'!$J$5:$J$528,$T457)-4),11)="First-month",1,0))=1,"class review",IF($I457="Bloomberg",IF(AND(ISNUMBER(INDEX('Market Data'!$AH$5:$AH$66,INDEX('Market Data'!$J$5:$J$528,$T457)-4)),N(INDEX('Market Data'!$AH$5:$AH$66,INDEX('Market Data'!$J$5:$J$528,$T457)-4))&gt;0,ISNUMBER('Market Data'!$B$1),N('Market Data'!$B$1)&gt;0),INDEX('Market Data'!$AH$5:$AH$66,INDEX('Market Data'!$J$5:$J$528,$T457)-4)*'Market Data'!$B$1/$E457-1,"pending A/FX"),IF(AND($I457="Snapshot",$Q457="Snapshot",ISNUMBER($E457),$G457=INDEX('Market Data'!$AE$5:$AE$66,INDEX('Market Data'!$J$5:$J$528,$T457)-4)),IFERROR(INDEX('Market Data'!$AC$5:$AC$66,INDEX('Market Data'!$J$5:$J$528,$T457)-4)*INDEX('Market Data'!$AD$5:$AD$66,INDEX('Market Data'!$J$5:$J$528,$T457)-4)/$E457-1,"unavailable"),IF($I457="Unavailable","unavailable","date mismatch"))))))</f>
        <v/>
      </c>
      <c r="N457" s="11">
        <f>IF($T457=0,"",IFERROR(IF(AND(N(INDEX('Market Data'!$F$5:$F$528,$T457))&gt;0,ISNUMBER(INDEX('Market Data'!$T$5:$T$528,$T457))),$E457*INDEX('Market Data'!$T$5:$T$528,$T457)/INDEX('Market Data'!$F$5:$F$528,$T457)-1,"unavailable"),"unavailable"))</f>
        <v/>
      </c>
      <c r="O457" s="9">
        <f>IF($T457=0,"",IF(IF(INDEX('Market Data'!$J$5:$J$528,$T457)=0,0,IF(LEFT(INDEX('Market Data'!$AS$5:$AS$66,INDEX('Market Data'!$J$5:$J$528,$T457)-4),11)="First-month",1,0))=1,"Class ratio review",IF($I457="Bloomberg",IF(ISNUMBER($G457),IF($G457&lt;TODAY(),"Older quote","See quote time"),"Date unavailable"),IF($I457="Snapshot",IF($G457&lt;DATEVALUE("2026-10-02"),"Older snapshot","Dated close"),"No valid quote"))))</f>
        <v/>
      </c>
      <c r="P457" s="14">
        <f>IF($T457=0,"",IF(INDEX('Market Data'!$J$5:$J$528,$T457)=0,"n/a",IF($Q457="Bloomberg",IF(AND(ISNUMBER(INDEX('Market Data'!$AK$5:$AK$66,INDEX('Market Data'!$J$5:$J$528,$T457)-4)),N(INDEX('Market Data'!$AK$5:$AK$66,INDEX('Market Data'!$J$5:$J$528,$T457)-4))&gt;0),INDEX('Market Data'!$AK$5:$AK$66,INDEX('Market Data'!$J$5:$J$528,$T457)-4),"date unavailable"),IF($Q457="Snapshot",IF(AND(ISNUMBER(INDEX('Market Data'!$AF$5:$AF$66,INDEX('Market Data'!$J$5:$J$528,$T457)-4)),N(INDEX('Market Data'!$AF$5:$AF$66,INDEX('Market Data'!$J$5:$J$528,$T457)-4))&gt;0),INDEX('Market Data'!$AF$5:$AF$66,INDEX('Market Data'!$J$5:$J$528,$T457)-4),"date unavailable"),"date unavailable"))))</f>
        <v/>
      </c>
      <c r="Q457" s="15">
        <f>IF($T457=0,"",IF(INDEX('Market Data'!$J$5:$J$528,$T457)=0,"n/a",IF(AND($M$5&lt;&gt;"Snapshot",ISNUMBER(INDEX('Market Data'!$AH$5:$AH$66,INDEX('Market Data'!$J$5:$J$528,$T457)-4)),N(INDEX('Market Data'!$AH$5:$AH$66,INDEX('Market Data'!$J$5:$J$528,$T457)-4))&gt;0),"Bloomberg",IF(AND($M$5&lt;&gt;"Bloomberg",ISNUMBER(INDEX('Market Data'!$AC$5:$AC$66,INDEX('Market Data'!$J$5:$J$528,$T457)-4)),N(INDEX('Market Data'!$AC$5:$AC$66,INDEX('Market Data'!$J$5:$J$528,$T457)-4))&gt;0),"Snapshot","Unavailable"))))</f>
        <v/>
      </c>
      <c r="T457">
        <f>IFERROR(MATCH(449,'Market Data'!$S$5:$S$528,0),0)</f>
        <v/>
      </c>
    </row>
    <row r="458" ht="34" customHeight="1">
      <c r="A458" s="8">
        <f>IF($T458=0,"",IF(INDEX('Market Data'!$A$5:$A$528,$T458)="","",INDEX('Market Data'!$A$5:$A$528,$T458)))</f>
        <v/>
      </c>
      <c r="B458" s="9">
        <f>IF($T458=0,"",IF(INDEX('Market Data'!$B$5:$B$528,$T458)="","",INDEX('Market Data'!$B$5:$B$528,$T458)))</f>
        <v/>
      </c>
      <c r="C458" s="9">
        <f>IF($T458=0,"",IF(INDEX('Market Data'!$C$5:$C$528,$T458)="","",INDEX('Market Data'!$C$5:$C$528,$T458)))</f>
        <v/>
      </c>
      <c r="D458" s="9">
        <f>IF($T458=0,"",IF(INDEX('Market Data'!$D$5:$D$528,$T458)="","",INDEX('Market Data'!$D$5:$D$528,$T458)))</f>
        <v/>
      </c>
      <c r="E458" s="10">
        <f>IF($T458=0,"",INDEX('Market Data'!$O$5:$O$528,$T458))</f>
        <v/>
      </c>
      <c r="F458" s="11">
        <f>IF($T458=0,"",IF(AND($I458="Bloomberg",ISNUMBER(INDEX('Market Data'!$L$5:$L$528,$T458))),INDEX('Market Data'!$L$5:$L$528,$T458),"unavailable"))</f>
        <v/>
      </c>
      <c r="G458" s="12">
        <f>IF($T458=0,"",IF($I458="Bloomberg",IF(AND(ISNUMBER(INDEX('Market Data'!$M$5:$M$528,$T458)),N(INDEX('Market Data'!$M$5:$M$528,$T458))&gt;0),INDEX('Market Data'!$M$5:$M$528,$T458),"date unavailable"),IF($I458="Snapshot",IF(AND(ISNUMBER(INDEX('Market Data'!$H$5:$H$528,$T458)),N(INDEX('Market Data'!$H$5:$H$528,$T458))&gt;0),INDEX('Market Data'!$H$5:$H$528,$T458),"date unavailable"),"date unavailable")))</f>
        <v/>
      </c>
      <c r="H458" s="9">
        <f>IF($T458=0,"",IF($I458="Bloomberg",IF(INDEX('Market Data'!$N$5:$N$528,$T458)="","time unavailable",INDEX('Market Data'!$N$5:$N$528,$T458)),""))</f>
        <v/>
      </c>
      <c r="I458" s="9">
        <f>IF($T458=0,"",INDEX('Market Data'!$P$5:$P$528,$T458))</f>
        <v/>
      </c>
      <c r="J458" s="13">
        <f>IF($T458=0,"",IF(INDEX('Market Data'!$E$5:$E$528,$T458)="","",INDEX('Market Data'!$E$5:$E$528,$T458)))</f>
        <v/>
      </c>
      <c r="K458" s="8">
        <f>IF($T458=0,"",IF(INDEX('Market Data'!$I$5:$I$528,$T458)="","",INDEX('Market Data'!$I$5:$I$528,$T458)))</f>
        <v/>
      </c>
      <c r="L458" s="10">
        <f>IF($T458=0,"",IF(INDEX('Market Data'!$J$5:$J$528,$T458)=0,"n/a",IF(AND($M$5&lt;&gt;"Snapshot",ISNUMBER(INDEX('Market Data'!$AH$5:$AH$66,INDEX('Market Data'!$J$5:$J$528,$T458)-4)),N(INDEX('Market Data'!$AH$5:$AH$66,INDEX('Market Data'!$J$5:$J$528,$T458)-4))&gt;0),INDEX('Market Data'!$AH$5:$AH$66,INDEX('Market Data'!$J$5:$J$528,$T458)-4),IF(AND($M$5&lt;&gt;"Bloomberg",ISNUMBER(INDEX('Market Data'!$AC$5:$AC$66,INDEX('Market Data'!$J$5:$J$528,$T458)-4)),N(INDEX('Market Data'!$AC$5:$AC$66,INDEX('Market Data'!$J$5:$J$528,$T458)-4))&gt;0),INDEX('Market Data'!$AC$5:$AC$66,INDEX('Market Data'!$J$5:$J$528,$T458)-4),"unavailable"))))</f>
        <v/>
      </c>
      <c r="M458" s="11">
        <f>IF($T458=0,"",IF(INDEX('Market Data'!$J$5:$J$528,$T458)=0,"n/a",IF(IF(INDEX('Market Data'!$J$5:$J$528,$T458)=0,0,IF(LEFT(INDEX('Market Data'!$AS$5:$AS$66,INDEX('Market Data'!$J$5:$J$528,$T458)-4),11)="First-month",1,0))=1,"class review",IF($I458="Bloomberg",IF(AND(ISNUMBER(INDEX('Market Data'!$AH$5:$AH$66,INDEX('Market Data'!$J$5:$J$528,$T458)-4)),N(INDEX('Market Data'!$AH$5:$AH$66,INDEX('Market Data'!$J$5:$J$528,$T458)-4))&gt;0,ISNUMBER('Market Data'!$B$1),N('Market Data'!$B$1)&gt;0),INDEX('Market Data'!$AH$5:$AH$66,INDEX('Market Data'!$J$5:$J$528,$T458)-4)*'Market Data'!$B$1/$E458-1,"pending A/FX"),IF(AND($I458="Snapshot",$Q458="Snapshot",ISNUMBER($E458),$G458=INDEX('Market Data'!$AE$5:$AE$66,INDEX('Market Data'!$J$5:$J$528,$T458)-4)),IFERROR(INDEX('Market Data'!$AC$5:$AC$66,INDEX('Market Data'!$J$5:$J$528,$T458)-4)*INDEX('Market Data'!$AD$5:$AD$66,INDEX('Market Data'!$J$5:$J$528,$T458)-4)/$E458-1,"unavailable"),IF($I458="Unavailable","unavailable","date mismatch"))))))</f>
        <v/>
      </c>
      <c r="N458" s="11">
        <f>IF($T458=0,"",IFERROR(IF(AND(N(INDEX('Market Data'!$F$5:$F$528,$T458))&gt;0,ISNUMBER(INDEX('Market Data'!$T$5:$T$528,$T458))),$E458*INDEX('Market Data'!$T$5:$T$528,$T458)/INDEX('Market Data'!$F$5:$F$528,$T458)-1,"unavailable"),"unavailable"))</f>
        <v/>
      </c>
      <c r="O458" s="9">
        <f>IF($T458=0,"",IF(IF(INDEX('Market Data'!$J$5:$J$528,$T458)=0,0,IF(LEFT(INDEX('Market Data'!$AS$5:$AS$66,INDEX('Market Data'!$J$5:$J$528,$T458)-4),11)="First-month",1,0))=1,"Class ratio review",IF($I458="Bloomberg",IF(ISNUMBER($G458),IF($G458&lt;TODAY(),"Older quote","See quote time"),"Date unavailable"),IF($I458="Snapshot",IF($G458&lt;DATEVALUE("2026-10-02"),"Older snapshot","Dated close"),"No valid quote"))))</f>
        <v/>
      </c>
      <c r="P458" s="14">
        <f>IF($T458=0,"",IF(INDEX('Market Data'!$J$5:$J$528,$T458)=0,"n/a",IF($Q458="Bloomberg",IF(AND(ISNUMBER(INDEX('Market Data'!$AK$5:$AK$66,INDEX('Market Data'!$J$5:$J$528,$T458)-4)),N(INDEX('Market Data'!$AK$5:$AK$66,INDEX('Market Data'!$J$5:$J$528,$T458)-4))&gt;0),INDEX('Market Data'!$AK$5:$AK$66,INDEX('Market Data'!$J$5:$J$528,$T458)-4),"date unavailable"),IF($Q458="Snapshot",IF(AND(ISNUMBER(INDEX('Market Data'!$AF$5:$AF$66,INDEX('Market Data'!$J$5:$J$528,$T458)-4)),N(INDEX('Market Data'!$AF$5:$AF$66,INDEX('Market Data'!$J$5:$J$528,$T458)-4))&gt;0),INDEX('Market Data'!$AF$5:$AF$66,INDEX('Market Data'!$J$5:$J$528,$T458)-4),"date unavailable"),"date unavailable"))))</f>
        <v/>
      </c>
      <c r="Q458" s="15">
        <f>IF($T458=0,"",IF(INDEX('Market Data'!$J$5:$J$528,$T458)=0,"n/a",IF(AND($M$5&lt;&gt;"Snapshot",ISNUMBER(INDEX('Market Data'!$AH$5:$AH$66,INDEX('Market Data'!$J$5:$J$528,$T458)-4)),N(INDEX('Market Data'!$AH$5:$AH$66,INDEX('Market Data'!$J$5:$J$528,$T458)-4))&gt;0),"Bloomberg",IF(AND($M$5&lt;&gt;"Bloomberg",ISNUMBER(INDEX('Market Data'!$AC$5:$AC$66,INDEX('Market Data'!$J$5:$J$528,$T458)-4)),N(INDEX('Market Data'!$AC$5:$AC$66,INDEX('Market Data'!$J$5:$J$528,$T458)-4))&gt;0),"Snapshot","Unavailable"))))</f>
        <v/>
      </c>
      <c r="T458">
        <f>IFERROR(MATCH(450,'Market Data'!$S$5:$S$528,0),0)</f>
        <v/>
      </c>
    </row>
    <row r="459" ht="34" customHeight="1">
      <c r="A459" s="8">
        <f>IF($T459=0,"",IF(INDEX('Market Data'!$A$5:$A$528,$T459)="","",INDEX('Market Data'!$A$5:$A$528,$T459)))</f>
        <v/>
      </c>
      <c r="B459" s="9">
        <f>IF($T459=0,"",IF(INDEX('Market Data'!$B$5:$B$528,$T459)="","",INDEX('Market Data'!$B$5:$B$528,$T459)))</f>
        <v/>
      </c>
      <c r="C459" s="9">
        <f>IF($T459=0,"",IF(INDEX('Market Data'!$C$5:$C$528,$T459)="","",INDEX('Market Data'!$C$5:$C$528,$T459)))</f>
        <v/>
      </c>
      <c r="D459" s="9">
        <f>IF($T459=0,"",IF(INDEX('Market Data'!$D$5:$D$528,$T459)="","",INDEX('Market Data'!$D$5:$D$528,$T459)))</f>
        <v/>
      </c>
      <c r="E459" s="10">
        <f>IF($T459=0,"",INDEX('Market Data'!$O$5:$O$528,$T459))</f>
        <v/>
      </c>
      <c r="F459" s="11">
        <f>IF($T459=0,"",IF(AND($I459="Bloomberg",ISNUMBER(INDEX('Market Data'!$L$5:$L$528,$T459))),INDEX('Market Data'!$L$5:$L$528,$T459),"unavailable"))</f>
        <v/>
      </c>
      <c r="G459" s="12">
        <f>IF($T459=0,"",IF($I459="Bloomberg",IF(AND(ISNUMBER(INDEX('Market Data'!$M$5:$M$528,$T459)),N(INDEX('Market Data'!$M$5:$M$528,$T459))&gt;0),INDEX('Market Data'!$M$5:$M$528,$T459),"date unavailable"),IF($I459="Snapshot",IF(AND(ISNUMBER(INDEX('Market Data'!$H$5:$H$528,$T459)),N(INDEX('Market Data'!$H$5:$H$528,$T459))&gt;0),INDEX('Market Data'!$H$5:$H$528,$T459),"date unavailable"),"date unavailable")))</f>
        <v/>
      </c>
      <c r="H459" s="9">
        <f>IF($T459=0,"",IF($I459="Bloomberg",IF(INDEX('Market Data'!$N$5:$N$528,$T459)="","time unavailable",INDEX('Market Data'!$N$5:$N$528,$T459)),""))</f>
        <v/>
      </c>
      <c r="I459" s="9">
        <f>IF($T459=0,"",INDEX('Market Data'!$P$5:$P$528,$T459))</f>
        <v/>
      </c>
      <c r="J459" s="13">
        <f>IF($T459=0,"",IF(INDEX('Market Data'!$E$5:$E$528,$T459)="","",INDEX('Market Data'!$E$5:$E$528,$T459)))</f>
        <v/>
      </c>
      <c r="K459" s="8">
        <f>IF($T459=0,"",IF(INDEX('Market Data'!$I$5:$I$528,$T459)="","",INDEX('Market Data'!$I$5:$I$528,$T459)))</f>
        <v/>
      </c>
      <c r="L459" s="10">
        <f>IF($T459=0,"",IF(INDEX('Market Data'!$J$5:$J$528,$T459)=0,"n/a",IF(AND($M$5&lt;&gt;"Snapshot",ISNUMBER(INDEX('Market Data'!$AH$5:$AH$66,INDEX('Market Data'!$J$5:$J$528,$T459)-4)),N(INDEX('Market Data'!$AH$5:$AH$66,INDEX('Market Data'!$J$5:$J$528,$T459)-4))&gt;0),INDEX('Market Data'!$AH$5:$AH$66,INDEX('Market Data'!$J$5:$J$528,$T459)-4),IF(AND($M$5&lt;&gt;"Bloomberg",ISNUMBER(INDEX('Market Data'!$AC$5:$AC$66,INDEX('Market Data'!$J$5:$J$528,$T459)-4)),N(INDEX('Market Data'!$AC$5:$AC$66,INDEX('Market Data'!$J$5:$J$528,$T459)-4))&gt;0),INDEX('Market Data'!$AC$5:$AC$66,INDEX('Market Data'!$J$5:$J$528,$T459)-4),"unavailable"))))</f>
        <v/>
      </c>
      <c r="M459" s="11">
        <f>IF($T459=0,"",IF(INDEX('Market Data'!$J$5:$J$528,$T459)=0,"n/a",IF(IF(INDEX('Market Data'!$J$5:$J$528,$T459)=0,0,IF(LEFT(INDEX('Market Data'!$AS$5:$AS$66,INDEX('Market Data'!$J$5:$J$528,$T459)-4),11)="First-month",1,0))=1,"class review",IF($I459="Bloomberg",IF(AND(ISNUMBER(INDEX('Market Data'!$AH$5:$AH$66,INDEX('Market Data'!$J$5:$J$528,$T459)-4)),N(INDEX('Market Data'!$AH$5:$AH$66,INDEX('Market Data'!$J$5:$J$528,$T459)-4))&gt;0,ISNUMBER('Market Data'!$B$1),N('Market Data'!$B$1)&gt;0),INDEX('Market Data'!$AH$5:$AH$66,INDEX('Market Data'!$J$5:$J$528,$T459)-4)*'Market Data'!$B$1/$E459-1,"pending A/FX"),IF(AND($I459="Snapshot",$Q459="Snapshot",ISNUMBER($E459),$G459=INDEX('Market Data'!$AE$5:$AE$66,INDEX('Market Data'!$J$5:$J$528,$T459)-4)),IFERROR(INDEX('Market Data'!$AC$5:$AC$66,INDEX('Market Data'!$J$5:$J$528,$T459)-4)*INDEX('Market Data'!$AD$5:$AD$66,INDEX('Market Data'!$J$5:$J$528,$T459)-4)/$E459-1,"unavailable"),IF($I459="Unavailable","unavailable","date mismatch"))))))</f>
        <v/>
      </c>
      <c r="N459" s="11">
        <f>IF($T459=0,"",IFERROR(IF(AND(N(INDEX('Market Data'!$F$5:$F$528,$T459))&gt;0,ISNUMBER(INDEX('Market Data'!$T$5:$T$528,$T459))),$E459*INDEX('Market Data'!$T$5:$T$528,$T459)/INDEX('Market Data'!$F$5:$F$528,$T459)-1,"unavailable"),"unavailable"))</f>
        <v/>
      </c>
      <c r="O459" s="9">
        <f>IF($T459=0,"",IF(IF(INDEX('Market Data'!$J$5:$J$528,$T459)=0,0,IF(LEFT(INDEX('Market Data'!$AS$5:$AS$66,INDEX('Market Data'!$J$5:$J$528,$T459)-4),11)="First-month",1,0))=1,"Class ratio review",IF($I459="Bloomberg",IF(ISNUMBER($G459),IF($G459&lt;TODAY(),"Older quote","See quote time"),"Date unavailable"),IF($I459="Snapshot",IF($G459&lt;DATEVALUE("2026-10-02"),"Older snapshot","Dated close"),"No valid quote"))))</f>
        <v/>
      </c>
      <c r="P459" s="14">
        <f>IF($T459=0,"",IF(INDEX('Market Data'!$J$5:$J$528,$T459)=0,"n/a",IF($Q459="Bloomberg",IF(AND(ISNUMBER(INDEX('Market Data'!$AK$5:$AK$66,INDEX('Market Data'!$J$5:$J$528,$T459)-4)),N(INDEX('Market Data'!$AK$5:$AK$66,INDEX('Market Data'!$J$5:$J$528,$T459)-4))&gt;0),INDEX('Market Data'!$AK$5:$AK$66,INDEX('Market Data'!$J$5:$J$528,$T459)-4),"date unavailable"),IF($Q459="Snapshot",IF(AND(ISNUMBER(INDEX('Market Data'!$AF$5:$AF$66,INDEX('Market Data'!$J$5:$J$528,$T459)-4)),N(INDEX('Market Data'!$AF$5:$AF$66,INDEX('Market Data'!$J$5:$J$528,$T459)-4))&gt;0),INDEX('Market Data'!$AF$5:$AF$66,INDEX('Market Data'!$J$5:$J$528,$T459)-4),"date unavailable"),"date unavailable"))))</f>
        <v/>
      </c>
      <c r="Q459" s="15">
        <f>IF($T459=0,"",IF(INDEX('Market Data'!$J$5:$J$528,$T459)=0,"n/a",IF(AND($M$5&lt;&gt;"Snapshot",ISNUMBER(INDEX('Market Data'!$AH$5:$AH$66,INDEX('Market Data'!$J$5:$J$528,$T459)-4)),N(INDEX('Market Data'!$AH$5:$AH$66,INDEX('Market Data'!$J$5:$J$528,$T459)-4))&gt;0),"Bloomberg",IF(AND($M$5&lt;&gt;"Bloomberg",ISNUMBER(INDEX('Market Data'!$AC$5:$AC$66,INDEX('Market Data'!$J$5:$J$528,$T459)-4)),N(INDEX('Market Data'!$AC$5:$AC$66,INDEX('Market Data'!$J$5:$J$528,$T459)-4))&gt;0),"Snapshot","Unavailable"))))</f>
        <v/>
      </c>
      <c r="T459">
        <f>IFERROR(MATCH(451,'Market Data'!$S$5:$S$528,0),0)</f>
        <v/>
      </c>
    </row>
    <row r="460" ht="34" customHeight="1">
      <c r="A460" s="8">
        <f>IF($T460=0,"",IF(INDEX('Market Data'!$A$5:$A$528,$T460)="","",INDEX('Market Data'!$A$5:$A$528,$T460)))</f>
        <v/>
      </c>
      <c r="B460" s="9">
        <f>IF($T460=0,"",IF(INDEX('Market Data'!$B$5:$B$528,$T460)="","",INDEX('Market Data'!$B$5:$B$528,$T460)))</f>
        <v/>
      </c>
      <c r="C460" s="9">
        <f>IF($T460=0,"",IF(INDEX('Market Data'!$C$5:$C$528,$T460)="","",INDEX('Market Data'!$C$5:$C$528,$T460)))</f>
        <v/>
      </c>
      <c r="D460" s="9">
        <f>IF($T460=0,"",IF(INDEX('Market Data'!$D$5:$D$528,$T460)="","",INDEX('Market Data'!$D$5:$D$528,$T460)))</f>
        <v/>
      </c>
      <c r="E460" s="10">
        <f>IF($T460=0,"",INDEX('Market Data'!$O$5:$O$528,$T460))</f>
        <v/>
      </c>
      <c r="F460" s="11">
        <f>IF($T460=0,"",IF(AND($I460="Bloomberg",ISNUMBER(INDEX('Market Data'!$L$5:$L$528,$T460))),INDEX('Market Data'!$L$5:$L$528,$T460),"unavailable"))</f>
        <v/>
      </c>
      <c r="G460" s="12">
        <f>IF($T460=0,"",IF($I460="Bloomberg",IF(AND(ISNUMBER(INDEX('Market Data'!$M$5:$M$528,$T460)),N(INDEX('Market Data'!$M$5:$M$528,$T460))&gt;0),INDEX('Market Data'!$M$5:$M$528,$T460),"date unavailable"),IF($I460="Snapshot",IF(AND(ISNUMBER(INDEX('Market Data'!$H$5:$H$528,$T460)),N(INDEX('Market Data'!$H$5:$H$528,$T460))&gt;0),INDEX('Market Data'!$H$5:$H$528,$T460),"date unavailable"),"date unavailable")))</f>
        <v/>
      </c>
      <c r="H460" s="9">
        <f>IF($T460=0,"",IF($I460="Bloomberg",IF(INDEX('Market Data'!$N$5:$N$528,$T460)="","time unavailable",INDEX('Market Data'!$N$5:$N$528,$T460)),""))</f>
        <v/>
      </c>
      <c r="I460" s="9">
        <f>IF($T460=0,"",INDEX('Market Data'!$P$5:$P$528,$T460))</f>
        <v/>
      </c>
      <c r="J460" s="13">
        <f>IF($T460=0,"",IF(INDEX('Market Data'!$E$5:$E$528,$T460)="","",INDEX('Market Data'!$E$5:$E$528,$T460)))</f>
        <v/>
      </c>
      <c r="K460" s="8">
        <f>IF($T460=0,"",IF(INDEX('Market Data'!$I$5:$I$528,$T460)="","",INDEX('Market Data'!$I$5:$I$528,$T460)))</f>
        <v/>
      </c>
      <c r="L460" s="10">
        <f>IF($T460=0,"",IF(INDEX('Market Data'!$J$5:$J$528,$T460)=0,"n/a",IF(AND($M$5&lt;&gt;"Snapshot",ISNUMBER(INDEX('Market Data'!$AH$5:$AH$66,INDEX('Market Data'!$J$5:$J$528,$T460)-4)),N(INDEX('Market Data'!$AH$5:$AH$66,INDEX('Market Data'!$J$5:$J$528,$T460)-4))&gt;0),INDEX('Market Data'!$AH$5:$AH$66,INDEX('Market Data'!$J$5:$J$528,$T460)-4),IF(AND($M$5&lt;&gt;"Bloomberg",ISNUMBER(INDEX('Market Data'!$AC$5:$AC$66,INDEX('Market Data'!$J$5:$J$528,$T460)-4)),N(INDEX('Market Data'!$AC$5:$AC$66,INDEX('Market Data'!$J$5:$J$528,$T460)-4))&gt;0),INDEX('Market Data'!$AC$5:$AC$66,INDEX('Market Data'!$J$5:$J$528,$T460)-4),"unavailable"))))</f>
        <v/>
      </c>
      <c r="M460" s="11">
        <f>IF($T460=0,"",IF(INDEX('Market Data'!$J$5:$J$528,$T460)=0,"n/a",IF(IF(INDEX('Market Data'!$J$5:$J$528,$T460)=0,0,IF(LEFT(INDEX('Market Data'!$AS$5:$AS$66,INDEX('Market Data'!$J$5:$J$528,$T460)-4),11)="First-month",1,0))=1,"class review",IF($I460="Bloomberg",IF(AND(ISNUMBER(INDEX('Market Data'!$AH$5:$AH$66,INDEX('Market Data'!$J$5:$J$528,$T460)-4)),N(INDEX('Market Data'!$AH$5:$AH$66,INDEX('Market Data'!$J$5:$J$528,$T460)-4))&gt;0,ISNUMBER('Market Data'!$B$1),N('Market Data'!$B$1)&gt;0),INDEX('Market Data'!$AH$5:$AH$66,INDEX('Market Data'!$J$5:$J$528,$T460)-4)*'Market Data'!$B$1/$E460-1,"pending A/FX"),IF(AND($I460="Snapshot",$Q460="Snapshot",ISNUMBER($E460),$G460=INDEX('Market Data'!$AE$5:$AE$66,INDEX('Market Data'!$J$5:$J$528,$T460)-4)),IFERROR(INDEX('Market Data'!$AC$5:$AC$66,INDEX('Market Data'!$J$5:$J$528,$T460)-4)*INDEX('Market Data'!$AD$5:$AD$66,INDEX('Market Data'!$J$5:$J$528,$T460)-4)/$E460-1,"unavailable"),IF($I460="Unavailable","unavailable","date mismatch"))))))</f>
        <v/>
      </c>
      <c r="N460" s="11">
        <f>IF($T460=0,"",IFERROR(IF(AND(N(INDEX('Market Data'!$F$5:$F$528,$T460))&gt;0,ISNUMBER(INDEX('Market Data'!$T$5:$T$528,$T460))),$E460*INDEX('Market Data'!$T$5:$T$528,$T460)/INDEX('Market Data'!$F$5:$F$528,$T460)-1,"unavailable"),"unavailable"))</f>
        <v/>
      </c>
      <c r="O460" s="9">
        <f>IF($T460=0,"",IF(IF(INDEX('Market Data'!$J$5:$J$528,$T460)=0,0,IF(LEFT(INDEX('Market Data'!$AS$5:$AS$66,INDEX('Market Data'!$J$5:$J$528,$T460)-4),11)="First-month",1,0))=1,"Class ratio review",IF($I460="Bloomberg",IF(ISNUMBER($G460),IF($G460&lt;TODAY(),"Older quote","See quote time"),"Date unavailable"),IF($I460="Snapshot",IF($G460&lt;DATEVALUE("2026-10-02"),"Older snapshot","Dated close"),"No valid quote"))))</f>
        <v/>
      </c>
      <c r="P460" s="14">
        <f>IF($T460=0,"",IF(INDEX('Market Data'!$J$5:$J$528,$T460)=0,"n/a",IF($Q460="Bloomberg",IF(AND(ISNUMBER(INDEX('Market Data'!$AK$5:$AK$66,INDEX('Market Data'!$J$5:$J$528,$T460)-4)),N(INDEX('Market Data'!$AK$5:$AK$66,INDEX('Market Data'!$J$5:$J$528,$T460)-4))&gt;0),INDEX('Market Data'!$AK$5:$AK$66,INDEX('Market Data'!$J$5:$J$528,$T460)-4),"date unavailable"),IF($Q460="Snapshot",IF(AND(ISNUMBER(INDEX('Market Data'!$AF$5:$AF$66,INDEX('Market Data'!$J$5:$J$528,$T460)-4)),N(INDEX('Market Data'!$AF$5:$AF$66,INDEX('Market Data'!$J$5:$J$528,$T460)-4))&gt;0),INDEX('Market Data'!$AF$5:$AF$66,INDEX('Market Data'!$J$5:$J$528,$T460)-4),"date unavailable"),"date unavailable"))))</f>
        <v/>
      </c>
      <c r="Q460" s="15">
        <f>IF($T460=0,"",IF(INDEX('Market Data'!$J$5:$J$528,$T460)=0,"n/a",IF(AND($M$5&lt;&gt;"Snapshot",ISNUMBER(INDEX('Market Data'!$AH$5:$AH$66,INDEX('Market Data'!$J$5:$J$528,$T460)-4)),N(INDEX('Market Data'!$AH$5:$AH$66,INDEX('Market Data'!$J$5:$J$528,$T460)-4))&gt;0),"Bloomberg",IF(AND($M$5&lt;&gt;"Bloomberg",ISNUMBER(INDEX('Market Data'!$AC$5:$AC$66,INDEX('Market Data'!$J$5:$J$528,$T460)-4)),N(INDEX('Market Data'!$AC$5:$AC$66,INDEX('Market Data'!$J$5:$J$528,$T460)-4))&gt;0),"Snapshot","Unavailable"))))</f>
        <v/>
      </c>
      <c r="T460">
        <f>IFERROR(MATCH(452,'Market Data'!$S$5:$S$528,0),0)</f>
        <v/>
      </c>
    </row>
    <row r="461" ht="34" customHeight="1">
      <c r="A461" s="8">
        <f>IF($T461=0,"",IF(INDEX('Market Data'!$A$5:$A$528,$T461)="","",INDEX('Market Data'!$A$5:$A$528,$T461)))</f>
        <v/>
      </c>
      <c r="B461" s="9">
        <f>IF($T461=0,"",IF(INDEX('Market Data'!$B$5:$B$528,$T461)="","",INDEX('Market Data'!$B$5:$B$528,$T461)))</f>
        <v/>
      </c>
      <c r="C461" s="9">
        <f>IF($T461=0,"",IF(INDEX('Market Data'!$C$5:$C$528,$T461)="","",INDEX('Market Data'!$C$5:$C$528,$T461)))</f>
        <v/>
      </c>
      <c r="D461" s="9">
        <f>IF($T461=0,"",IF(INDEX('Market Data'!$D$5:$D$528,$T461)="","",INDEX('Market Data'!$D$5:$D$528,$T461)))</f>
        <v/>
      </c>
      <c r="E461" s="10">
        <f>IF($T461=0,"",INDEX('Market Data'!$O$5:$O$528,$T461))</f>
        <v/>
      </c>
      <c r="F461" s="11">
        <f>IF($T461=0,"",IF(AND($I461="Bloomberg",ISNUMBER(INDEX('Market Data'!$L$5:$L$528,$T461))),INDEX('Market Data'!$L$5:$L$528,$T461),"unavailable"))</f>
        <v/>
      </c>
      <c r="G461" s="12">
        <f>IF($T461=0,"",IF($I461="Bloomberg",IF(AND(ISNUMBER(INDEX('Market Data'!$M$5:$M$528,$T461)),N(INDEX('Market Data'!$M$5:$M$528,$T461))&gt;0),INDEX('Market Data'!$M$5:$M$528,$T461),"date unavailable"),IF($I461="Snapshot",IF(AND(ISNUMBER(INDEX('Market Data'!$H$5:$H$528,$T461)),N(INDEX('Market Data'!$H$5:$H$528,$T461))&gt;0),INDEX('Market Data'!$H$5:$H$528,$T461),"date unavailable"),"date unavailable")))</f>
        <v/>
      </c>
      <c r="H461" s="9">
        <f>IF($T461=0,"",IF($I461="Bloomberg",IF(INDEX('Market Data'!$N$5:$N$528,$T461)="","time unavailable",INDEX('Market Data'!$N$5:$N$528,$T461)),""))</f>
        <v/>
      </c>
      <c r="I461" s="9">
        <f>IF($T461=0,"",INDEX('Market Data'!$P$5:$P$528,$T461))</f>
        <v/>
      </c>
      <c r="J461" s="13">
        <f>IF($T461=0,"",IF(INDEX('Market Data'!$E$5:$E$528,$T461)="","",INDEX('Market Data'!$E$5:$E$528,$T461)))</f>
        <v/>
      </c>
      <c r="K461" s="8">
        <f>IF($T461=0,"",IF(INDEX('Market Data'!$I$5:$I$528,$T461)="","",INDEX('Market Data'!$I$5:$I$528,$T461)))</f>
        <v/>
      </c>
      <c r="L461" s="10">
        <f>IF($T461=0,"",IF(INDEX('Market Data'!$J$5:$J$528,$T461)=0,"n/a",IF(AND($M$5&lt;&gt;"Snapshot",ISNUMBER(INDEX('Market Data'!$AH$5:$AH$66,INDEX('Market Data'!$J$5:$J$528,$T461)-4)),N(INDEX('Market Data'!$AH$5:$AH$66,INDEX('Market Data'!$J$5:$J$528,$T461)-4))&gt;0),INDEX('Market Data'!$AH$5:$AH$66,INDEX('Market Data'!$J$5:$J$528,$T461)-4),IF(AND($M$5&lt;&gt;"Bloomberg",ISNUMBER(INDEX('Market Data'!$AC$5:$AC$66,INDEX('Market Data'!$J$5:$J$528,$T461)-4)),N(INDEX('Market Data'!$AC$5:$AC$66,INDEX('Market Data'!$J$5:$J$528,$T461)-4))&gt;0),INDEX('Market Data'!$AC$5:$AC$66,INDEX('Market Data'!$J$5:$J$528,$T461)-4),"unavailable"))))</f>
        <v/>
      </c>
      <c r="M461" s="11">
        <f>IF($T461=0,"",IF(INDEX('Market Data'!$J$5:$J$528,$T461)=0,"n/a",IF(IF(INDEX('Market Data'!$J$5:$J$528,$T461)=0,0,IF(LEFT(INDEX('Market Data'!$AS$5:$AS$66,INDEX('Market Data'!$J$5:$J$528,$T461)-4),11)="First-month",1,0))=1,"class review",IF($I461="Bloomberg",IF(AND(ISNUMBER(INDEX('Market Data'!$AH$5:$AH$66,INDEX('Market Data'!$J$5:$J$528,$T461)-4)),N(INDEX('Market Data'!$AH$5:$AH$66,INDEX('Market Data'!$J$5:$J$528,$T461)-4))&gt;0,ISNUMBER('Market Data'!$B$1),N('Market Data'!$B$1)&gt;0),INDEX('Market Data'!$AH$5:$AH$66,INDEX('Market Data'!$J$5:$J$528,$T461)-4)*'Market Data'!$B$1/$E461-1,"pending A/FX"),IF(AND($I461="Snapshot",$Q461="Snapshot",ISNUMBER($E461),$G461=INDEX('Market Data'!$AE$5:$AE$66,INDEX('Market Data'!$J$5:$J$528,$T461)-4)),IFERROR(INDEX('Market Data'!$AC$5:$AC$66,INDEX('Market Data'!$J$5:$J$528,$T461)-4)*INDEX('Market Data'!$AD$5:$AD$66,INDEX('Market Data'!$J$5:$J$528,$T461)-4)/$E461-1,"unavailable"),IF($I461="Unavailable","unavailable","date mismatch"))))))</f>
        <v/>
      </c>
      <c r="N461" s="11">
        <f>IF($T461=0,"",IFERROR(IF(AND(N(INDEX('Market Data'!$F$5:$F$528,$T461))&gt;0,ISNUMBER(INDEX('Market Data'!$T$5:$T$528,$T461))),$E461*INDEX('Market Data'!$T$5:$T$528,$T461)/INDEX('Market Data'!$F$5:$F$528,$T461)-1,"unavailable"),"unavailable"))</f>
        <v/>
      </c>
      <c r="O461" s="9">
        <f>IF($T461=0,"",IF(IF(INDEX('Market Data'!$J$5:$J$528,$T461)=0,0,IF(LEFT(INDEX('Market Data'!$AS$5:$AS$66,INDEX('Market Data'!$J$5:$J$528,$T461)-4),11)="First-month",1,0))=1,"Class ratio review",IF($I461="Bloomberg",IF(ISNUMBER($G461),IF($G461&lt;TODAY(),"Older quote","See quote time"),"Date unavailable"),IF($I461="Snapshot",IF($G461&lt;DATEVALUE("2026-10-02"),"Older snapshot","Dated close"),"No valid quote"))))</f>
        <v/>
      </c>
      <c r="P461" s="14">
        <f>IF($T461=0,"",IF(INDEX('Market Data'!$J$5:$J$528,$T461)=0,"n/a",IF($Q461="Bloomberg",IF(AND(ISNUMBER(INDEX('Market Data'!$AK$5:$AK$66,INDEX('Market Data'!$J$5:$J$528,$T461)-4)),N(INDEX('Market Data'!$AK$5:$AK$66,INDEX('Market Data'!$J$5:$J$528,$T461)-4))&gt;0),INDEX('Market Data'!$AK$5:$AK$66,INDEX('Market Data'!$J$5:$J$528,$T461)-4),"date unavailable"),IF($Q461="Snapshot",IF(AND(ISNUMBER(INDEX('Market Data'!$AF$5:$AF$66,INDEX('Market Data'!$J$5:$J$528,$T461)-4)),N(INDEX('Market Data'!$AF$5:$AF$66,INDEX('Market Data'!$J$5:$J$528,$T461)-4))&gt;0),INDEX('Market Data'!$AF$5:$AF$66,INDEX('Market Data'!$J$5:$J$528,$T461)-4),"date unavailable"),"date unavailable"))))</f>
        <v/>
      </c>
      <c r="Q461" s="15">
        <f>IF($T461=0,"",IF(INDEX('Market Data'!$J$5:$J$528,$T461)=0,"n/a",IF(AND($M$5&lt;&gt;"Snapshot",ISNUMBER(INDEX('Market Data'!$AH$5:$AH$66,INDEX('Market Data'!$J$5:$J$528,$T461)-4)),N(INDEX('Market Data'!$AH$5:$AH$66,INDEX('Market Data'!$J$5:$J$528,$T461)-4))&gt;0),"Bloomberg",IF(AND($M$5&lt;&gt;"Bloomberg",ISNUMBER(INDEX('Market Data'!$AC$5:$AC$66,INDEX('Market Data'!$J$5:$J$528,$T461)-4)),N(INDEX('Market Data'!$AC$5:$AC$66,INDEX('Market Data'!$J$5:$J$528,$T461)-4))&gt;0),"Snapshot","Unavailable"))))</f>
        <v/>
      </c>
      <c r="T461">
        <f>IFERROR(MATCH(453,'Market Data'!$S$5:$S$528,0),0)</f>
        <v/>
      </c>
    </row>
    <row r="462" ht="34" customHeight="1">
      <c r="A462" s="8">
        <f>IF($T462=0,"",IF(INDEX('Market Data'!$A$5:$A$528,$T462)="","",INDEX('Market Data'!$A$5:$A$528,$T462)))</f>
        <v/>
      </c>
      <c r="B462" s="9">
        <f>IF($T462=0,"",IF(INDEX('Market Data'!$B$5:$B$528,$T462)="","",INDEX('Market Data'!$B$5:$B$528,$T462)))</f>
        <v/>
      </c>
      <c r="C462" s="9">
        <f>IF($T462=0,"",IF(INDEX('Market Data'!$C$5:$C$528,$T462)="","",INDEX('Market Data'!$C$5:$C$528,$T462)))</f>
        <v/>
      </c>
      <c r="D462" s="9">
        <f>IF($T462=0,"",IF(INDEX('Market Data'!$D$5:$D$528,$T462)="","",INDEX('Market Data'!$D$5:$D$528,$T462)))</f>
        <v/>
      </c>
      <c r="E462" s="10">
        <f>IF($T462=0,"",INDEX('Market Data'!$O$5:$O$528,$T462))</f>
        <v/>
      </c>
      <c r="F462" s="11">
        <f>IF($T462=0,"",IF(AND($I462="Bloomberg",ISNUMBER(INDEX('Market Data'!$L$5:$L$528,$T462))),INDEX('Market Data'!$L$5:$L$528,$T462),"unavailable"))</f>
        <v/>
      </c>
      <c r="G462" s="12">
        <f>IF($T462=0,"",IF($I462="Bloomberg",IF(AND(ISNUMBER(INDEX('Market Data'!$M$5:$M$528,$T462)),N(INDEX('Market Data'!$M$5:$M$528,$T462))&gt;0),INDEX('Market Data'!$M$5:$M$528,$T462),"date unavailable"),IF($I462="Snapshot",IF(AND(ISNUMBER(INDEX('Market Data'!$H$5:$H$528,$T462)),N(INDEX('Market Data'!$H$5:$H$528,$T462))&gt;0),INDEX('Market Data'!$H$5:$H$528,$T462),"date unavailable"),"date unavailable")))</f>
        <v/>
      </c>
      <c r="H462" s="9">
        <f>IF($T462=0,"",IF($I462="Bloomberg",IF(INDEX('Market Data'!$N$5:$N$528,$T462)="","time unavailable",INDEX('Market Data'!$N$5:$N$528,$T462)),""))</f>
        <v/>
      </c>
      <c r="I462" s="9">
        <f>IF($T462=0,"",INDEX('Market Data'!$P$5:$P$528,$T462))</f>
        <v/>
      </c>
      <c r="J462" s="13">
        <f>IF($T462=0,"",IF(INDEX('Market Data'!$E$5:$E$528,$T462)="","",INDEX('Market Data'!$E$5:$E$528,$T462)))</f>
        <v/>
      </c>
      <c r="K462" s="8">
        <f>IF($T462=0,"",IF(INDEX('Market Data'!$I$5:$I$528,$T462)="","",INDEX('Market Data'!$I$5:$I$528,$T462)))</f>
        <v/>
      </c>
      <c r="L462" s="10">
        <f>IF($T462=0,"",IF(INDEX('Market Data'!$J$5:$J$528,$T462)=0,"n/a",IF(AND($M$5&lt;&gt;"Snapshot",ISNUMBER(INDEX('Market Data'!$AH$5:$AH$66,INDEX('Market Data'!$J$5:$J$528,$T462)-4)),N(INDEX('Market Data'!$AH$5:$AH$66,INDEX('Market Data'!$J$5:$J$528,$T462)-4))&gt;0),INDEX('Market Data'!$AH$5:$AH$66,INDEX('Market Data'!$J$5:$J$528,$T462)-4),IF(AND($M$5&lt;&gt;"Bloomberg",ISNUMBER(INDEX('Market Data'!$AC$5:$AC$66,INDEX('Market Data'!$J$5:$J$528,$T462)-4)),N(INDEX('Market Data'!$AC$5:$AC$66,INDEX('Market Data'!$J$5:$J$528,$T462)-4))&gt;0),INDEX('Market Data'!$AC$5:$AC$66,INDEX('Market Data'!$J$5:$J$528,$T462)-4),"unavailable"))))</f>
        <v/>
      </c>
      <c r="M462" s="11">
        <f>IF($T462=0,"",IF(INDEX('Market Data'!$J$5:$J$528,$T462)=0,"n/a",IF(IF(INDEX('Market Data'!$J$5:$J$528,$T462)=0,0,IF(LEFT(INDEX('Market Data'!$AS$5:$AS$66,INDEX('Market Data'!$J$5:$J$528,$T462)-4),11)="First-month",1,0))=1,"class review",IF($I462="Bloomberg",IF(AND(ISNUMBER(INDEX('Market Data'!$AH$5:$AH$66,INDEX('Market Data'!$J$5:$J$528,$T462)-4)),N(INDEX('Market Data'!$AH$5:$AH$66,INDEX('Market Data'!$J$5:$J$528,$T462)-4))&gt;0,ISNUMBER('Market Data'!$B$1),N('Market Data'!$B$1)&gt;0),INDEX('Market Data'!$AH$5:$AH$66,INDEX('Market Data'!$J$5:$J$528,$T462)-4)*'Market Data'!$B$1/$E462-1,"pending A/FX"),IF(AND($I462="Snapshot",$Q462="Snapshot",ISNUMBER($E462),$G462=INDEX('Market Data'!$AE$5:$AE$66,INDEX('Market Data'!$J$5:$J$528,$T462)-4)),IFERROR(INDEX('Market Data'!$AC$5:$AC$66,INDEX('Market Data'!$J$5:$J$528,$T462)-4)*INDEX('Market Data'!$AD$5:$AD$66,INDEX('Market Data'!$J$5:$J$528,$T462)-4)/$E462-1,"unavailable"),IF($I462="Unavailable","unavailable","date mismatch"))))))</f>
        <v/>
      </c>
      <c r="N462" s="11">
        <f>IF($T462=0,"",IFERROR(IF(AND(N(INDEX('Market Data'!$F$5:$F$528,$T462))&gt;0,ISNUMBER(INDEX('Market Data'!$T$5:$T$528,$T462))),$E462*INDEX('Market Data'!$T$5:$T$528,$T462)/INDEX('Market Data'!$F$5:$F$528,$T462)-1,"unavailable"),"unavailable"))</f>
        <v/>
      </c>
      <c r="O462" s="9">
        <f>IF($T462=0,"",IF(IF(INDEX('Market Data'!$J$5:$J$528,$T462)=0,0,IF(LEFT(INDEX('Market Data'!$AS$5:$AS$66,INDEX('Market Data'!$J$5:$J$528,$T462)-4),11)="First-month",1,0))=1,"Class ratio review",IF($I462="Bloomberg",IF(ISNUMBER($G462),IF($G462&lt;TODAY(),"Older quote","See quote time"),"Date unavailable"),IF($I462="Snapshot",IF($G462&lt;DATEVALUE("2026-10-02"),"Older snapshot","Dated close"),"No valid quote"))))</f>
        <v/>
      </c>
      <c r="P462" s="14">
        <f>IF($T462=0,"",IF(INDEX('Market Data'!$J$5:$J$528,$T462)=0,"n/a",IF($Q462="Bloomberg",IF(AND(ISNUMBER(INDEX('Market Data'!$AK$5:$AK$66,INDEX('Market Data'!$J$5:$J$528,$T462)-4)),N(INDEX('Market Data'!$AK$5:$AK$66,INDEX('Market Data'!$J$5:$J$528,$T462)-4))&gt;0),INDEX('Market Data'!$AK$5:$AK$66,INDEX('Market Data'!$J$5:$J$528,$T462)-4),"date unavailable"),IF($Q462="Snapshot",IF(AND(ISNUMBER(INDEX('Market Data'!$AF$5:$AF$66,INDEX('Market Data'!$J$5:$J$528,$T462)-4)),N(INDEX('Market Data'!$AF$5:$AF$66,INDEX('Market Data'!$J$5:$J$528,$T462)-4))&gt;0),INDEX('Market Data'!$AF$5:$AF$66,INDEX('Market Data'!$J$5:$J$528,$T462)-4),"date unavailable"),"date unavailable"))))</f>
        <v/>
      </c>
      <c r="Q462" s="15">
        <f>IF($T462=0,"",IF(INDEX('Market Data'!$J$5:$J$528,$T462)=0,"n/a",IF(AND($M$5&lt;&gt;"Snapshot",ISNUMBER(INDEX('Market Data'!$AH$5:$AH$66,INDEX('Market Data'!$J$5:$J$528,$T462)-4)),N(INDEX('Market Data'!$AH$5:$AH$66,INDEX('Market Data'!$J$5:$J$528,$T462)-4))&gt;0),"Bloomberg",IF(AND($M$5&lt;&gt;"Bloomberg",ISNUMBER(INDEX('Market Data'!$AC$5:$AC$66,INDEX('Market Data'!$J$5:$J$528,$T462)-4)),N(INDEX('Market Data'!$AC$5:$AC$66,INDEX('Market Data'!$J$5:$J$528,$T462)-4))&gt;0),"Snapshot","Unavailable"))))</f>
        <v/>
      </c>
      <c r="T462">
        <f>IFERROR(MATCH(454,'Market Data'!$S$5:$S$528,0),0)</f>
        <v/>
      </c>
    </row>
    <row r="463" ht="34" customHeight="1">
      <c r="A463" s="8">
        <f>IF($T463=0,"",IF(INDEX('Market Data'!$A$5:$A$528,$T463)="","",INDEX('Market Data'!$A$5:$A$528,$T463)))</f>
        <v/>
      </c>
      <c r="B463" s="9">
        <f>IF($T463=0,"",IF(INDEX('Market Data'!$B$5:$B$528,$T463)="","",INDEX('Market Data'!$B$5:$B$528,$T463)))</f>
        <v/>
      </c>
      <c r="C463" s="9">
        <f>IF($T463=0,"",IF(INDEX('Market Data'!$C$5:$C$528,$T463)="","",INDEX('Market Data'!$C$5:$C$528,$T463)))</f>
        <v/>
      </c>
      <c r="D463" s="9">
        <f>IF($T463=0,"",IF(INDEX('Market Data'!$D$5:$D$528,$T463)="","",INDEX('Market Data'!$D$5:$D$528,$T463)))</f>
        <v/>
      </c>
      <c r="E463" s="10">
        <f>IF($T463=0,"",INDEX('Market Data'!$O$5:$O$528,$T463))</f>
        <v/>
      </c>
      <c r="F463" s="11">
        <f>IF($T463=0,"",IF(AND($I463="Bloomberg",ISNUMBER(INDEX('Market Data'!$L$5:$L$528,$T463))),INDEX('Market Data'!$L$5:$L$528,$T463),"unavailable"))</f>
        <v/>
      </c>
      <c r="G463" s="12">
        <f>IF($T463=0,"",IF($I463="Bloomberg",IF(AND(ISNUMBER(INDEX('Market Data'!$M$5:$M$528,$T463)),N(INDEX('Market Data'!$M$5:$M$528,$T463))&gt;0),INDEX('Market Data'!$M$5:$M$528,$T463),"date unavailable"),IF($I463="Snapshot",IF(AND(ISNUMBER(INDEX('Market Data'!$H$5:$H$528,$T463)),N(INDEX('Market Data'!$H$5:$H$528,$T463))&gt;0),INDEX('Market Data'!$H$5:$H$528,$T463),"date unavailable"),"date unavailable")))</f>
        <v/>
      </c>
      <c r="H463" s="9">
        <f>IF($T463=0,"",IF($I463="Bloomberg",IF(INDEX('Market Data'!$N$5:$N$528,$T463)="","time unavailable",INDEX('Market Data'!$N$5:$N$528,$T463)),""))</f>
        <v/>
      </c>
      <c r="I463" s="9">
        <f>IF($T463=0,"",INDEX('Market Data'!$P$5:$P$528,$T463))</f>
        <v/>
      </c>
      <c r="J463" s="13">
        <f>IF($T463=0,"",IF(INDEX('Market Data'!$E$5:$E$528,$T463)="","",INDEX('Market Data'!$E$5:$E$528,$T463)))</f>
        <v/>
      </c>
      <c r="K463" s="8">
        <f>IF($T463=0,"",IF(INDEX('Market Data'!$I$5:$I$528,$T463)="","",INDEX('Market Data'!$I$5:$I$528,$T463)))</f>
        <v/>
      </c>
      <c r="L463" s="10">
        <f>IF($T463=0,"",IF(INDEX('Market Data'!$J$5:$J$528,$T463)=0,"n/a",IF(AND($M$5&lt;&gt;"Snapshot",ISNUMBER(INDEX('Market Data'!$AH$5:$AH$66,INDEX('Market Data'!$J$5:$J$528,$T463)-4)),N(INDEX('Market Data'!$AH$5:$AH$66,INDEX('Market Data'!$J$5:$J$528,$T463)-4))&gt;0),INDEX('Market Data'!$AH$5:$AH$66,INDEX('Market Data'!$J$5:$J$528,$T463)-4),IF(AND($M$5&lt;&gt;"Bloomberg",ISNUMBER(INDEX('Market Data'!$AC$5:$AC$66,INDEX('Market Data'!$J$5:$J$528,$T463)-4)),N(INDEX('Market Data'!$AC$5:$AC$66,INDEX('Market Data'!$J$5:$J$528,$T463)-4))&gt;0),INDEX('Market Data'!$AC$5:$AC$66,INDEX('Market Data'!$J$5:$J$528,$T463)-4),"unavailable"))))</f>
        <v/>
      </c>
      <c r="M463" s="11">
        <f>IF($T463=0,"",IF(INDEX('Market Data'!$J$5:$J$528,$T463)=0,"n/a",IF(IF(INDEX('Market Data'!$J$5:$J$528,$T463)=0,0,IF(LEFT(INDEX('Market Data'!$AS$5:$AS$66,INDEX('Market Data'!$J$5:$J$528,$T463)-4),11)="First-month",1,0))=1,"class review",IF($I463="Bloomberg",IF(AND(ISNUMBER(INDEX('Market Data'!$AH$5:$AH$66,INDEX('Market Data'!$J$5:$J$528,$T463)-4)),N(INDEX('Market Data'!$AH$5:$AH$66,INDEX('Market Data'!$J$5:$J$528,$T463)-4))&gt;0,ISNUMBER('Market Data'!$B$1),N('Market Data'!$B$1)&gt;0),INDEX('Market Data'!$AH$5:$AH$66,INDEX('Market Data'!$J$5:$J$528,$T463)-4)*'Market Data'!$B$1/$E463-1,"pending A/FX"),IF(AND($I463="Snapshot",$Q463="Snapshot",ISNUMBER($E463),$G463=INDEX('Market Data'!$AE$5:$AE$66,INDEX('Market Data'!$J$5:$J$528,$T463)-4)),IFERROR(INDEX('Market Data'!$AC$5:$AC$66,INDEX('Market Data'!$J$5:$J$528,$T463)-4)*INDEX('Market Data'!$AD$5:$AD$66,INDEX('Market Data'!$J$5:$J$528,$T463)-4)/$E463-1,"unavailable"),IF($I463="Unavailable","unavailable","date mismatch"))))))</f>
        <v/>
      </c>
      <c r="N463" s="11">
        <f>IF($T463=0,"",IFERROR(IF(AND(N(INDEX('Market Data'!$F$5:$F$528,$T463))&gt;0,ISNUMBER(INDEX('Market Data'!$T$5:$T$528,$T463))),$E463*INDEX('Market Data'!$T$5:$T$528,$T463)/INDEX('Market Data'!$F$5:$F$528,$T463)-1,"unavailable"),"unavailable"))</f>
        <v/>
      </c>
      <c r="O463" s="9">
        <f>IF($T463=0,"",IF(IF(INDEX('Market Data'!$J$5:$J$528,$T463)=0,0,IF(LEFT(INDEX('Market Data'!$AS$5:$AS$66,INDEX('Market Data'!$J$5:$J$528,$T463)-4),11)="First-month",1,0))=1,"Class ratio review",IF($I463="Bloomberg",IF(ISNUMBER($G463),IF($G463&lt;TODAY(),"Older quote","See quote time"),"Date unavailable"),IF($I463="Snapshot",IF($G463&lt;DATEVALUE("2026-10-02"),"Older snapshot","Dated close"),"No valid quote"))))</f>
        <v/>
      </c>
      <c r="P463" s="14">
        <f>IF($T463=0,"",IF(INDEX('Market Data'!$J$5:$J$528,$T463)=0,"n/a",IF($Q463="Bloomberg",IF(AND(ISNUMBER(INDEX('Market Data'!$AK$5:$AK$66,INDEX('Market Data'!$J$5:$J$528,$T463)-4)),N(INDEX('Market Data'!$AK$5:$AK$66,INDEX('Market Data'!$J$5:$J$528,$T463)-4))&gt;0),INDEX('Market Data'!$AK$5:$AK$66,INDEX('Market Data'!$J$5:$J$528,$T463)-4),"date unavailable"),IF($Q463="Snapshot",IF(AND(ISNUMBER(INDEX('Market Data'!$AF$5:$AF$66,INDEX('Market Data'!$J$5:$J$528,$T463)-4)),N(INDEX('Market Data'!$AF$5:$AF$66,INDEX('Market Data'!$J$5:$J$528,$T463)-4))&gt;0),INDEX('Market Data'!$AF$5:$AF$66,INDEX('Market Data'!$J$5:$J$528,$T463)-4),"date unavailable"),"date unavailable"))))</f>
        <v/>
      </c>
      <c r="Q463" s="15">
        <f>IF($T463=0,"",IF(INDEX('Market Data'!$J$5:$J$528,$T463)=0,"n/a",IF(AND($M$5&lt;&gt;"Snapshot",ISNUMBER(INDEX('Market Data'!$AH$5:$AH$66,INDEX('Market Data'!$J$5:$J$528,$T463)-4)),N(INDEX('Market Data'!$AH$5:$AH$66,INDEX('Market Data'!$J$5:$J$528,$T463)-4))&gt;0),"Bloomberg",IF(AND($M$5&lt;&gt;"Bloomberg",ISNUMBER(INDEX('Market Data'!$AC$5:$AC$66,INDEX('Market Data'!$J$5:$J$528,$T463)-4)),N(INDEX('Market Data'!$AC$5:$AC$66,INDEX('Market Data'!$J$5:$J$528,$T463)-4))&gt;0),"Snapshot","Unavailable"))))</f>
        <v/>
      </c>
      <c r="T463">
        <f>IFERROR(MATCH(455,'Market Data'!$S$5:$S$528,0),0)</f>
        <v/>
      </c>
    </row>
    <row r="464" ht="34" customHeight="1">
      <c r="A464" s="8">
        <f>IF($T464=0,"",IF(INDEX('Market Data'!$A$5:$A$528,$T464)="","",INDEX('Market Data'!$A$5:$A$528,$T464)))</f>
        <v/>
      </c>
      <c r="B464" s="9">
        <f>IF($T464=0,"",IF(INDEX('Market Data'!$B$5:$B$528,$T464)="","",INDEX('Market Data'!$B$5:$B$528,$T464)))</f>
        <v/>
      </c>
      <c r="C464" s="9">
        <f>IF($T464=0,"",IF(INDEX('Market Data'!$C$5:$C$528,$T464)="","",INDEX('Market Data'!$C$5:$C$528,$T464)))</f>
        <v/>
      </c>
      <c r="D464" s="9">
        <f>IF($T464=0,"",IF(INDEX('Market Data'!$D$5:$D$528,$T464)="","",INDEX('Market Data'!$D$5:$D$528,$T464)))</f>
        <v/>
      </c>
      <c r="E464" s="10">
        <f>IF($T464=0,"",INDEX('Market Data'!$O$5:$O$528,$T464))</f>
        <v/>
      </c>
      <c r="F464" s="11">
        <f>IF($T464=0,"",IF(AND($I464="Bloomberg",ISNUMBER(INDEX('Market Data'!$L$5:$L$528,$T464))),INDEX('Market Data'!$L$5:$L$528,$T464),"unavailable"))</f>
        <v/>
      </c>
      <c r="G464" s="12">
        <f>IF($T464=0,"",IF($I464="Bloomberg",IF(AND(ISNUMBER(INDEX('Market Data'!$M$5:$M$528,$T464)),N(INDEX('Market Data'!$M$5:$M$528,$T464))&gt;0),INDEX('Market Data'!$M$5:$M$528,$T464),"date unavailable"),IF($I464="Snapshot",IF(AND(ISNUMBER(INDEX('Market Data'!$H$5:$H$528,$T464)),N(INDEX('Market Data'!$H$5:$H$528,$T464))&gt;0),INDEX('Market Data'!$H$5:$H$528,$T464),"date unavailable"),"date unavailable")))</f>
        <v/>
      </c>
      <c r="H464" s="9">
        <f>IF($T464=0,"",IF($I464="Bloomberg",IF(INDEX('Market Data'!$N$5:$N$528,$T464)="","time unavailable",INDEX('Market Data'!$N$5:$N$528,$T464)),""))</f>
        <v/>
      </c>
      <c r="I464" s="9">
        <f>IF($T464=0,"",INDEX('Market Data'!$P$5:$P$528,$T464))</f>
        <v/>
      </c>
      <c r="J464" s="13">
        <f>IF($T464=0,"",IF(INDEX('Market Data'!$E$5:$E$528,$T464)="","",INDEX('Market Data'!$E$5:$E$528,$T464)))</f>
        <v/>
      </c>
      <c r="K464" s="8">
        <f>IF($T464=0,"",IF(INDEX('Market Data'!$I$5:$I$528,$T464)="","",INDEX('Market Data'!$I$5:$I$528,$T464)))</f>
        <v/>
      </c>
      <c r="L464" s="10">
        <f>IF($T464=0,"",IF(INDEX('Market Data'!$J$5:$J$528,$T464)=0,"n/a",IF(AND($M$5&lt;&gt;"Snapshot",ISNUMBER(INDEX('Market Data'!$AH$5:$AH$66,INDEX('Market Data'!$J$5:$J$528,$T464)-4)),N(INDEX('Market Data'!$AH$5:$AH$66,INDEX('Market Data'!$J$5:$J$528,$T464)-4))&gt;0),INDEX('Market Data'!$AH$5:$AH$66,INDEX('Market Data'!$J$5:$J$528,$T464)-4),IF(AND($M$5&lt;&gt;"Bloomberg",ISNUMBER(INDEX('Market Data'!$AC$5:$AC$66,INDEX('Market Data'!$J$5:$J$528,$T464)-4)),N(INDEX('Market Data'!$AC$5:$AC$66,INDEX('Market Data'!$J$5:$J$528,$T464)-4))&gt;0),INDEX('Market Data'!$AC$5:$AC$66,INDEX('Market Data'!$J$5:$J$528,$T464)-4),"unavailable"))))</f>
        <v/>
      </c>
      <c r="M464" s="11">
        <f>IF($T464=0,"",IF(INDEX('Market Data'!$J$5:$J$528,$T464)=0,"n/a",IF(IF(INDEX('Market Data'!$J$5:$J$528,$T464)=0,0,IF(LEFT(INDEX('Market Data'!$AS$5:$AS$66,INDEX('Market Data'!$J$5:$J$528,$T464)-4),11)="First-month",1,0))=1,"class review",IF($I464="Bloomberg",IF(AND(ISNUMBER(INDEX('Market Data'!$AH$5:$AH$66,INDEX('Market Data'!$J$5:$J$528,$T464)-4)),N(INDEX('Market Data'!$AH$5:$AH$66,INDEX('Market Data'!$J$5:$J$528,$T464)-4))&gt;0,ISNUMBER('Market Data'!$B$1),N('Market Data'!$B$1)&gt;0),INDEX('Market Data'!$AH$5:$AH$66,INDEX('Market Data'!$J$5:$J$528,$T464)-4)*'Market Data'!$B$1/$E464-1,"pending A/FX"),IF(AND($I464="Snapshot",$Q464="Snapshot",ISNUMBER($E464),$G464=INDEX('Market Data'!$AE$5:$AE$66,INDEX('Market Data'!$J$5:$J$528,$T464)-4)),IFERROR(INDEX('Market Data'!$AC$5:$AC$66,INDEX('Market Data'!$J$5:$J$528,$T464)-4)*INDEX('Market Data'!$AD$5:$AD$66,INDEX('Market Data'!$J$5:$J$528,$T464)-4)/$E464-1,"unavailable"),IF($I464="Unavailable","unavailable","date mismatch"))))))</f>
        <v/>
      </c>
      <c r="N464" s="11">
        <f>IF($T464=0,"",IFERROR(IF(AND(N(INDEX('Market Data'!$F$5:$F$528,$T464))&gt;0,ISNUMBER(INDEX('Market Data'!$T$5:$T$528,$T464))),$E464*INDEX('Market Data'!$T$5:$T$528,$T464)/INDEX('Market Data'!$F$5:$F$528,$T464)-1,"unavailable"),"unavailable"))</f>
        <v/>
      </c>
      <c r="O464" s="9">
        <f>IF($T464=0,"",IF(IF(INDEX('Market Data'!$J$5:$J$528,$T464)=0,0,IF(LEFT(INDEX('Market Data'!$AS$5:$AS$66,INDEX('Market Data'!$J$5:$J$528,$T464)-4),11)="First-month",1,0))=1,"Class ratio review",IF($I464="Bloomberg",IF(ISNUMBER($G464),IF($G464&lt;TODAY(),"Older quote","See quote time"),"Date unavailable"),IF($I464="Snapshot",IF($G464&lt;DATEVALUE("2026-10-02"),"Older snapshot","Dated close"),"No valid quote"))))</f>
        <v/>
      </c>
      <c r="P464" s="14">
        <f>IF($T464=0,"",IF(INDEX('Market Data'!$J$5:$J$528,$T464)=0,"n/a",IF($Q464="Bloomberg",IF(AND(ISNUMBER(INDEX('Market Data'!$AK$5:$AK$66,INDEX('Market Data'!$J$5:$J$528,$T464)-4)),N(INDEX('Market Data'!$AK$5:$AK$66,INDEX('Market Data'!$J$5:$J$528,$T464)-4))&gt;0),INDEX('Market Data'!$AK$5:$AK$66,INDEX('Market Data'!$J$5:$J$528,$T464)-4),"date unavailable"),IF($Q464="Snapshot",IF(AND(ISNUMBER(INDEX('Market Data'!$AF$5:$AF$66,INDEX('Market Data'!$J$5:$J$528,$T464)-4)),N(INDEX('Market Data'!$AF$5:$AF$66,INDEX('Market Data'!$J$5:$J$528,$T464)-4))&gt;0),INDEX('Market Data'!$AF$5:$AF$66,INDEX('Market Data'!$J$5:$J$528,$T464)-4),"date unavailable"),"date unavailable"))))</f>
        <v/>
      </c>
      <c r="Q464" s="15">
        <f>IF($T464=0,"",IF(INDEX('Market Data'!$J$5:$J$528,$T464)=0,"n/a",IF(AND($M$5&lt;&gt;"Snapshot",ISNUMBER(INDEX('Market Data'!$AH$5:$AH$66,INDEX('Market Data'!$J$5:$J$528,$T464)-4)),N(INDEX('Market Data'!$AH$5:$AH$66,INDEX('Market Data'!$J$5:$J$528,$T464)-4))&gt;0),"Bloomberg",IF(AND($M$5&lt;&gt;"Bloomberg",ISNUMBER(INDEX('Market Data'!$AC$5:$AC$66,INDEX('Market Data'!$J$5:$J$528,$T464)-4)),N(INDEX('Market Data'!$AC$5:$AC$66,INDEX('Market Data'!$J$5:$J$528,$T464)-4))&gt;0),"Snapshot","Unavailable"))))</f>
        <v/>
      </c>
      <c r="T464">
        <f>IFERROR(MATCH(456,'Market Data'!$S$5:$S$528,0),0)</f>
        <v/>
      </c>
    </row>
    <row r="465" ht="34" customHeight="1">
      <c r="A465" s="8">
        <f>IF($T465=0,"",IF(INDEX('Market Data'!$A$5:$A$528,$T465)="","",INDEX('Market Data'!$A$5:$A$528,$T465)))</f>
        <v/>
      </c>
      <c r="B465" s="9">
        <f>IF($T465=0,"",IF(INDEX('Market Data'!$B$5:$B$528,$T465)="","",INDEX('Market Data'!$B$5:$B$528,$T465)))</f>
        <v/>
      </c>
      <c r="C465" s="9">
        <f>IF($T465=0,"",IF(INDEX('Market Data'!$C$5:$C$528,$T465)="","",INDEX('Market Data'!$C$5:$C$528,$T465)))</f>
        <v/>
      </c>
      <c r="D465" s="9">
        <f>IF($T465=0,"",IF(INDEX('Market Data'!$D$5:$D$528,$T465)="","",INDEX('Market Data'!$D$5:$D$528,$T465)))</f>
        <v/>
      </c>
      <c r="E465" s="10">
        <f>IF($T465=0,"",INDEX('Market Data'!$O$5:$O$528,$T465))</f>
        <v/>
      </c>
      <c r="F465" s="11">
        <f>IF($T465=0,"",IF(AND($I465="Bloomberg",ISNUMBER(INDEX('Market Data'!$L$5:$L$528,$T465))),INDEX('Market Data'!$L$5:$L$528,$T465),"unavailable"))</f>
        <v/>
      </c>
      <c r="G465" s="12">
        <f>IF($T465=0,"",IF($I465="Bloomberg",IF(AND(ISNUMBER(INDEX('Market Data'!$M$5:$M$528,$T465)),N(INDEX('Market Data'!$M$5:$M$528,$T465))&gt;0),INDEX('Market Data'!$M$5:$M$528,$T465),"date unavailable"),IF($I465="Snapshot",IF(AND(ISNUMBER(INDEX('Market Data'!$H$5:$H$528,$T465)),N(INDEX('Market Data'!$H$5:$H$528,$T465))&gt;0),INDEX('Market Data'!$H$5:$H$528,$T465),"date unavailable"),"date unavailable")))</f>
        <v/>
      </c>
      <c r="H465" s="9">
        <f>IF($T465=0,"",IF($I465="Bloomberg",IF(INDEX('Market Data'!$N$5:$N$528,$T465)="","time unavailable",INDEX('Market Data'!$N$5:$N$528,$T465)),""))</f>
        <v/>
      </c>
      <c r="I465" s="9">
        <f>IF($T465=0,"",INDEX('Market Data'!$P$5:$P$528,$T465))</f>
        <v/>
      </c>
      <c r="J465" s="13">
        <f>IF($T465=0,"",IF(INDEX('Market Data'!$E$5:$E$528,$T465)="","",INDEX('Market Data'!$E$5:$E$528,$T465)))</f>
        <v/>
      </c>
      <c r="K465" s="8">
        <f>IF($T465=0,"",IF(INDEX('Market Data'!$I$5:$I$528,$T465)="","",INDEX('Market Data'!$I$5:$I$528,$T465)))</f>
        <v/>
      </c>
      <c r="L465" s="10">
        <f>IF($T465=0,"",IF(INDEX('Market Data'!$J$5:$J$528,$T465)=0,"n/a",IF(AND($M$5&lt;&gt;"Snapshot",ISNUMBER(INDEX('Market Data'!$AH$5:$AH$66,INDEX('Market Data'!$J$5:$J$528,$T465)-4)),N(INDEX('Market Data'!$AH$5:$AH$66,INDEX('Market Data'!$J$5:$J$528,$T465)-4))&gt;0),INDEX('Market Data'!$AH$5:$AH$66,INDEX('Market Data'!$J$5:$J$528,$T465)-4),IF(AND($M$5&lt;&gt;"Bloomberg",ISNUMBER(INDEX('Market Data'!$AC$5:$AC$66,INDEX('Market Data'!$J$5:$J$528,$T465)-4)),N(INDEX('Market Data'!$AC$5:$AC$66,INDEX('Market Data'!$J$5:$J$528,$T465)-4))&gt;0),INDEX('Market Data'!$AC$5:$AC$66,INDEX('Market Data'!$J$5:$J$528,$T465)-4),"unavailable"))))</f>
        <v/>
      </c>
      <c r="M465" s="11">
        <f>IF($T465=0,"",IF(INDEX('Market Data'!$J$5:$J$528,$T465)=0,"n/a",IF(IF(INDEX('Market Data'!$J$5:$J$528,$T465)=0,0,IF(LEFT(INDEX('Market Data'!$AS$5:$AS$66,INDEX('Market Data'!$J$5:$J$528,$T465)-4),11)="First-month",1,0))=1,"class review",IF($I465="Bloomberg",IF(AND(ISNUMBER(INDEX('Market Data'!$AH$5:$AH$66,INDEX('Market Data'!$J$5:$J$528,$T465)-4)),N(INDEX('Market Data'!$AH$5:$AH$66,INDEX('Market Data'!$J$5:$J$528,$T465)-4))&gt;0,ISNUMBER('Market Data'!$B$1),N('Market Data'!$B$1)&gt;0),INDEX('Market Data'!$AH$5:$AH$66,INDEX('Market Data'!$J$5:$J$528,$T465)-4)*'Market Data'!$B$1/$E465-1,"pending A/FX"),IF(AND($I465="Snapshot",$Q465="Snapshot",ISNUMBER($E465),$G465=INDEX('Market Data'!$AE$5:$AE$66,INDEX('Market Data'!$J$5:$J$528,$T465)-4)),IFERROR(INDEX('Market Data'!$AC$5:$AC$66,INDEX('Market Data'!$J$5:$J$528,$T465)-4)*INDEX('Market Data'!$AD$5:$AD$66,INDEX('Market Data'!$J$5:$J$528,$T465)-4)/$E465-1,"unavailable"),IF($I465="Unavailable","unavailable","date mismatch"))))))</f>
        <v/>
      </c>
      <c r="N465" s="11">
        <f>IF($T465=0,"",IFERROR(IF(AND(N(INDEX('Market Data'!$F$5:$F$528,$T465))&gt;0,ISNUMBER(INDEX('Market Data'!$T$5:$T$528,$T465))),$E465*INDEX('Market Data'!$T$5:$T$528,$T465)/INDEX('Market Data'!$F$5:$F$528,$T465)-1,"unavailable"),"unavailable"))</f>
        <v/>
      </c>
      <c r="O465" s="9">
        <f>IF($T465=0,"",IF(IF(INDEX('Market Data'!$J$5:$J$528,$T465)=0,0,IF(LEFT(INDEX('Market Data'!$AS$5:$AS$66,INDEX('Market Data'!$J$5:$J$528,$T465)-4),11)="First-month",1,0))=1,"Class ratio review",IF($I465="Bloomberg",IF(ISNUMBER($G465),IF($G465&lt;TODAY(),"Older quote","See quote time"),"Date unavailable"),IF($I465="Snapshot",IF($G465&lt;DATEVALUE("2026-10-02"),"Older snapshot","Dated close"),"No valid quote"))))</f>
        <v/>
      </c>
      <c r="P465" s="14">
        <f>IF($T465=0,"",IF(INDEX('Market Data'!$J$5:$J$528,$T465)=0,"n/a",IF($Q465="Bloomberg",IF(AND(ISNUMBER(INDEX('Market Data'!$AK$5:$AK$66,INDEX('Market Data'!$J$5:$J$528,$T465)-4)),N(INDEX('Market Data'!$AK$5:$AK$66,INDEX('Market Data'!$J$5:$J$528,$T465)-4))&gt;0),INDEX('Market Data'!$AK$5:$AK$66,INDEX('Market Data'!$J$5:$J$528,$T465)-4),"date unavailable"),IF($Q465="Snapshot",IF(AND(ISNUMBER(INDEX('Market Data'!$AF$5:$AF$66,INDEX('Market Data'!$J$5:$J$528,$T465)-4)),N(INDEX('Market Data'!$AF$5:$AF$66,INDEX('Market Data'!$J$5:$J$528,$T465)-4))&gt;0),INDEX('Market Data'!$AF$5:$AF$66,INDEX('Market Data'!$J$5:$J$528,$T465)-4),"date unavailable"),"date unavailable"))))</f>
        <v/>
      </c>
      <c r="Q465" s="15">
        <f>IF($T465=0,"",IF(INDEX('Market Data'!$J$5:$J$528,$T465)=0,"n/a",IF(AND($M$5&lt;&gt;"Snapshot",ISNUMBER(INDEX('Market Data'!$AH$5:$AH$66,INDEX('Market Data'!$J$5:$J$528,$T465)-4)),N(INDEX('Market Data'!$AH$5:$AH$66,INDEX('Market Data'!$J$5:$J$528,$T465)-4))&gt;0),"Bloomberg",IF(AND($M$5&lt;&gt;"Bloomberg",ISNUMBER(INDEX('Market Data'!$AC$5:$AC$66,INDEX('Market Data'!$J$5:$J$528,$T465)-4)),N(INDEX('Market Data'!$AC$5:$AC$66,INDEX('Market Data'!$J$5:$J$528,$T465)-4))&gt;0),"Snapshot","Unavailable"))))</f>
        <v/>
      </c>
      <c r="T465">
        <f>IFERROR(MATCH(457,'Market Data'!$S$5:$S$528,0),0)</f>
        <v/>
      </c>
    </row>
    <row r="466" ht="34" customHeight="1">
      <c r="A466" s="8">
        <f>IF($T466=0,"",IF(INDEX('Market Data'!$A$5:$A$528,$T466)="","",INDEX('Market Data'!$A$5:$A$528,$T466)))</f>
        <v/>
      </c>
      <c r="B466" s="9">
        <f>IF($T466=0,"",IF(INDEX('Market Data'!$B$5:$B$528,$T466)="","",INDEX('Market Data'!$B$5:$B$528,$T466)))</f>
        <v/>
      </c>
      <c r="C466" s="9">
        <f>IF($T466=0,"",IF(INDEX('Market Data'!$C$5:$C$528,$T466)="","",INDEX('Market Data'!$C$5:$C$528,$T466)))</f>
        <v/>
      </c>
      <c r="D466" s="9">
        <f>IF($T466=0,"",IF(INDEX('Market Data'!$D$5:$D$528,$T466)="","",INDEX('Market Data'!$D$5:$D$528,$T466)))</f>
        <v/>
      </c>
      <c r="E466" s="10">
        <f>IF($T466=0,"",INDEX('Market Data'!$O$5:$O$528,$T466))</f>
        <v/>
      </c>
      <c r="F466" s="11">
        <f>IF($T466=0,"",IF(AND($I466="Bloomberg",ISNUMBER(INDEX('Market Data'!$L$5:$L$528,$T466))),INDEX('Market Data'!$L$5:$L$528,$T466),"unavailable"))</f>
        <v/>
      </c>
      <c r="G466" s="12">
        <f>IF($T466=0,"",IF($I466="Bloomberg",IF(AND(ISNUMBER(INDEX('Market Data'!$M$5:$M$528,$T466)),N(INDEX('Market Data'!$M$5:$M$528,$T466))&gt;0),INDEX('Market Data'!$M$5:$M$528,$T466),"date unavailable"),IF($I466="Snapshot",IF(AND(ISNUMBER(INDEX('Market Data'!$H$5:$H$528,$T466)),N(INDEX('Market Data'!$H$5:$H$528,$T466))&gt;0),INDEX('Market Data'!$H$5:$H$528,$T466),"date unavailable"),"date unavailable")))</f>
        <v/>
      </c>
      <c r="H466" s="9">
        <f>IF($T466=0,"",IF($I466="Bloomberg",IF(INDEX('Market Data'!$N$5:$N$528,$T466)="","time unavailable",INDEX('Market Data'!$N$5:$N$528,$T466)),""))</f>
        <v/>
      </c>
      <c r="I466" s="9">
        <f>IF($T466=0,"",INDEX('Market Data'!$P$5:$P$528,$T466))</f>
        <v/>
      </c>
      <c r="J466" s="13">
        <f>IF($T466=0,"",IF(INDEX('Market Data'!$E$5:$E$528,$T466)="","",INDEX('Market Data'!$E$5:$E$528,$T466)))</f>
        <v/>
      </c>
      <c r="K466" s="8">
        <f>IF($T466=0,"",IF(INDEX('Market Data'!$I$5:$I$528,$T466)="","",INDEX('Market Data'!$I$5:$I$528,$T466)))</f>
        <v/>
      </c>
      <c r="L466" s="10">
        <f>IF($T466=0,"",IF(INDEX('Market Data'!$J$5:$J$528,$T466)=0,"n/a",IF(AND($M$5&lt;&gt;"Snapshot",ISNUMBER(INDEX('Market Data'!$AH$5:$AH$66,INDEX('Market Data'!$J$5:$J$528,$T466)-4)),N(INDEX('Market Data'!$AH$5:$AH$66,INDEX('Market Data'!$J$5:$J$528,$T466)-4))&gt;0),INDEX('Market Data'!$AH$5:$AH$66,INDEX('Market Data'!$J$5:$J$528,$T466)-4),IF(AND($M$5&lt;&gt;"Bloomberg",ISNUMBER(INDEX('Market Data'!$AC$5:$AC$66,INDEX('Market Data'!$J$5:$J$528,$T466)-4)),N(INDEX('Market Data'!$AC$5:$AC$66,INDEX('Market Data'!$J$5:$J$528,$T466)-4))&gt;0),INDEX('Market Data'!$AC$5:$AC$66,INDEX('Market Data'!$J$5:$J$528,$T466)-4),"unavailable"))))</f>
        <v/>
      </c>
      <c r="M466" s="11">
        <f>IF($T466=0,"",IF(INDEX('Market Data'!$J$5:$J$528,$T466)=0,"n/a",IF(IF(INDEX('Market Data'!$J$5:$J$528,$T466)=0,0,IF(LEFT(INDEX('Market Data'!$AS$5:$AS$66,INDEX('Market Data'!$J$5:$J$528,$T466)-4),11)="First-month",1,0))=1,"class review",IF($I466="Bloomberg",IF(AND(ISNUMBER(INDEX('Market Data'!$AH$5:$AH$66,INDEX('Market Data'!$J$5:$J$528,$T466)-4)),N(INDEX('Market Data'!$AH$5:$AH$66,INDEX('Market Data'!$J$5:$J$528,$T466)-4))&gt;0,ISNUMBER('Market Data'!$B$1),N('Market Data'!$B$1)&gt;0),INDEX('Market Data'!$AH$5:$AH$66,INDEX('Market Data'!$J$5:$J$528,$T466)-4)*'Market Data'!$B$1/$E466-1,"pending A/FX"),IF(AND($I466="Snapshot",$Q466="Snapshot",ISNUMBER($E466),$G466=INDEX('Market Data'!$AE$5:$AE$66,INDEX('Market Data'!$J$5:$J$528,$T466)-4)),IFERROR(INDEX('Market Data'!$AC$5:$AC$66,INDEX('Market Data'!$J$5:$J$528,$T466)-4)*INDEX('Market Data'!$AD$5:$AD$66,INDEX('Market Data'!$J$5:$J$528,$T466)-4)/$E466-1,"unavailable"),IF($I466="Unavailable","unavailable","date mismatch"))))))</f>
        <v/>
      </c>
      <c r="N466" s="11">
        <f>IF($T466=0,"",IFERROR(IF(AND(N(INDEX('Market Data'!$F$5:$F$528,$T466))&gt;0,ISNUMBER(INDEX('Market Data'!$T$5:$T$528,$T466))),$E466*INDEX('Market Data'!$T$5:$T$528,$T466)/INDEX('Market Data'!$F$5:$F$528,$T466)-1,"unavailable"),"unavailable"))</f>
        <v/>
      </c>
      <c r="O466" s="9">
        <f>IF($T466=0,"",IF(IF(INDEX('Market Data'!$J$5:$J$528,$T466)=0,0,IF(LEFT(INDEX('Market Data'!$AS$5:$AS$66,INDEX('Market Data'!$J$5:$J$528,$T466)-4),11)="First-month",1,0))=1,"Class ratio review",IF($I466="Bloomberg",IF(ISNUMBER($G466),IF($G466&lt;TODAY(),"Older quote","See quote time"),"Date unavailable"),IF($I466="Snapshot",IF($G466&lt;DATEVALUE("2026-10-02"),"Older snapshot","Dated close"),"No valid quote"))))</f>
        <v/>
      </c>
      <c r="P466" s="14">
        <f>IF($T466=0,"",IF(INDEX('Market Data'!$J$5:$J$528,$T466)=0,"n/a",IF($Q466="Bloomberg",IF(AND(ISNUMBER(INDEX('Market Data'!$AK$5:$AK$66,INDEX('Market Data'!$J$5:$J$528,$T466)-4)),N(INDEX('Market Data'!$AK$5:$AK$66,INDEX('Market Data'!$J$5:$J$528,$T466)-4))&gt;0),INDEX('Market Data'!$AK$5:$AK$66,INDEX('Market Data'!$J$5:$J$528,$T466)-4),"date unavailable"),IF($Q466="Snapshot",IF(AND(ISNUMBER(INDEX('Market Data'!$AF$5:$AF$66,INDEX('Market Data'!$J$5:$J$528,$T466)-4)),N(INDEX('Market Data'!$AF$5:$AF$66,INDEX('Market Data'!$J$5:$J$528,$T466)-4))&gt;0),INDEX('Market Data'!$AF$5:$AF$66,INDEX('Market Data'!$J$5:$J$528,$T466)-4),"date unavailable"),"date unavailable"))))</f>
        <v/>
      </c>
      <c r="Q466" s="15">
        <f>IF($T466=0,"",IF(INDEX('Market Data'!$J$5:$J$528,$T466)=0,"n/a",IF(AND($M$5&lt;&gt;"Snapshot",ISNUMBER(INDEX('Market Data'!$AH$5:$AH$66,INDEX('Market Data'!$J$5:$J$528,$T466)-4)),N(INDEX('Market Data'!$AH$5:$AH$66,INDEX('Market Data'!$J$5:$J$528,$T466)-4))&gt;0),"Bloomberg",IF(AND($M$5&lt;&gt;"Bloomberg",ISNUMBER(INDEX('Market Data'!$AC$5:$AC$66,INDEX('Market Data'!$J$5:$J$528,$T466)-4)),N(INDEX('Market Data'!$AC$5:$AC$66,INDEX('Market Data'!$J$5:$J$528,$T466)-4))&gt;0),"Snapshot","Unavailable"))))</f>
        <v/>
      </c>
      <c r="T466">
        <f>IFERROR(MATCH(458,'Market Data'!$S$5:$S$528,0),0)</f>
        <v/>
      </c>
    </row>
    <row r="467" ht="34" customHeight="1">
      <c r="A467" s="8">
        <f>IF($T467=0,"",IF(INDEX('Market Data'!$A$5:$A$528,$T467)="","",INDEX('Market Data'!$A$5:$A$528,$T467)))</f>
        <v/>
      </c>
      <c r="B467" s="9">
        <f>IF($T467=0,"",IF(INDEX('Market Data'!$B$5:$B$528,$T467)="","",INDEX('Market Data'!$B$5:$B$528,$T467)))</f>
        <v/>
      </c>
      <c r="C467" s="9">
        <f>IF($T467=0,"",IF(INDEX('Market Data'!$C$5:$C$528,$T467)="","",INDEX('Market Data'!$C$5:$C$528,$T467)))</f>
        <v/>
      </c>
      <c r="D467" s="9">
        <f>IF($T467=0,"",IF(INDEX('Market Data'!$D$5:$D$528,$T467)="","",INDEX('Market Data'!$D$5:$D$528,$T467)))</f>
        <v/>
      </c>
      <c r="E467" s="10">
        <f>IF($T467=0,"",INDEX('Market Data'!$O$5:$O$528,$T467))</f>
        <v/>
      </c>
      <c r="F467" s="11">
        <f>IF($T467=0,"",IF(AND($I467="Bloomberg",ISNUMBER(INDEX('Market Data'!$L$5:$L$528,$T467))),INDEX('Market Data'!$L$5:$L$528,$T467),"unavailable"))</f>
        <v/>
      </c>
      <c r="G467" s="12">
        <f>IF($T467=0,"",IF($I467="Bloomberg",IF(AND(ISNUMBER(INDEX('Market Data'!$M$5:$M$528,$T467)),N(INDEX('Market Data'!$M$5:$M$528,$T467))&gt;0),INDEX('Market Data'!$M$5:$M$528,$T467),"date unavailable"),IF($I467="Snapshot",IF(AND(ISNUMBER(INDEX('Market Data'!$H$5:$H$528,$T467)),N(INDEX('Market Data'!$H$5:$H$528,$T467))&gt;0),INDEX('Market Data'!$H$5:$H$528,$T467),"date unavailable"),"date unavailable")))</f>
        <v/>
      </c>
      <c r="H467" s="9">
        <f>IF($T467=0,"",IF($I467="Bloomberg",IF(INDEX('Market Data'!$N$5:$N$528,$T467)="","time unavailable",INDEX('Market Data'!$N$5:$N$528,$T467)),""))</f>
        <v/>
      </c>
      <c r="I467" s="9">
        <f>IF($T467=0,"",INDEX('Market Data'!$P$5:$P$528,$T467))</f>
        <v/>
      </c>
      <c r="J467" s="13">
        <f>IF($T467=0,"",IF(INDEX('Market Data'!$E$5:$E$528,$T467)="","",INDEX('Market Data'!$E$5:$E$528,$T467)))</f>
        <v/>
      </c>
      <c r="K467" s="8">
        <f>IF($T467=0,"",IF(INDEX('Market Data'!$I$5:$I$528,$T467)="","",INDEX('Market Data'!$I$5:$I$528,$T467)))</f>
        <v/>
      </c>
      <c r="L467" s="10">
        <f>IF($T467=0,"",IF(INDEX('Market Data'!$J$5:$J$528,$T467)=0,"n/a",IF(AND($M$5&lt;&gt;"Snapshot",ISNUMBER(INDEX('Market Data'!$AH$5:$AH$66,INDEX('Market Data'!$J$5:$J$528,$T467)-4)),N(INDEX('Market Data'!$AH$5:$AH$66,INDEX('Market Data'!$J$5:$J$528,$T467)-4))&gt;0),INDEX('Market Data'!$AH$5:$AH$66,INDEX('Market Data'!$J$5:$J$528,$T467)-4),IF(AND($M$5&lt;&gt;"Bloomberg",ISNUMBER(INDEX('Market Data'!$AC$5:$AC$66,INDEX('Market Data'!$J$5:$J$528,$T467)-4)),N(INDEX('Market Data'!$AC$5:$AC$66,INDEX('Market Data'!$J$5:$J$528,$T467)-4))&gt;0),INDEX('Market Data'!$AC$5:$AC$66,INDEX('Market Data'!$J$5:$J$528,$T467)-4),"unavailable"))))</f>
        <v/>
      </c>
      <c r="M467" s="11">
        <f>IF($T467=0,"",IF(INDEX('Market Data'!$J$5:$J$528,$T467)=0,"n/a",IF(IF(INDEX('Market Data'!$J$5:$J$528,$T467)=0,0,IF(LEFT(INDEX('Market Data'!$AS$5:$AS$66,INDEX('Market Data'!$J$5:$J$528,$T467)-4),11)="First-month",1,0))=1,"class review",IF($I467="Bloomberg",IF(AND(ISNUMBER(INDEX('Market Data'!$AH$5:$AH$66,INDEX('Market Data'!$J$5:$J$528,$T467)-4)),N(INDEX('Market Data'!$AH$5:$AH$66,INDEX('Market Data'!$J$5:$J$528,$T467)-4))&gt;0,ISNUMBER('Market Data'!$B$1),N('Market Data'!$B$1)&gt;0),INDEX('Market Data'!$AH$5:$AH$66,INDEX('Market Data'!$J$5:$J$528,$T467)-4)*'Market Data'!$B$1/$E467-1,"pending A/FX"),IF(AND($I467="Snapshot",$Q467="Snapshot",ISNUMBER($E467),$G467=INDEX('Market Data'!$AE$5:$AE$66,INDEX('Market Data'!$J$5:$J$528,$T467)-4)),IFERROR(INDEX('Market Data'!$AC$5:$AC$66,INDEX('Market Data'!$J$5:$J$528,$T467)-4)*INDEX('Market Data'!$AD$5:$AD$66,INDEX('Market Data'!$J$5:$J$528,$T467)-4)/$E467-1,"unavailable"),IF($I467="Unavailable","unavailable","date mismatch"))))))</f>
        <v/>
      </c>
      <c r="N467" s="11">
        <f>IF($T467=0,"",IFERROR(IF(AND(N(INDEX('Market Data'!$F$5:$F$528,$T467))&gt;0,ISNUMBER(INDEX('Market Data'!$T$5:$T$528,$T467))),$E467*INDEX('Market Data'!$T$5:$T$528,$T467)/INDEX('Market Data'!$F$5:$F$528,$T467)-1,"unavailable"),"unavailable"))</f>
        <v/>
      </c>
      <c r="O467" s="9">
        <f>IF($T467=0,"",IF(IF(INDEX('Market Data'!$J$5:$J$528,$T467)=0,0,IF(LEFT(INDEX('Market Data'!$AS$5:$AS$66,INDEX('Market Data'!$J$5:$J$528,$T467)-4),11)="First-month",1,0))=1,"Class ratio review",IF($I467="Bloomberg",IF(ISNUMBER($G467),IF($G467&lt;TODAY(),"Older quote","See quote time"),"Date unavailable"),IF($I467="Snapshot",IF($G467&lt;DATEVALUE("2026-10-02"),"Older snapshot","Dated close"),"No valid quote"))))</f>
        <v/>
      </c>
      <c r="P467" s="14">
        <f>IF($T467=0,"",IF(INDEX('Market Data'!$J$5:$J$528,$T467)=0,"n/a",IF($Q467="Bloomberg",IF(AND(ISNUMBER(INDEX('Market Data'!$AK$5:$AK$66,INDEX('Market Data'!$J$5:$J$528,$T467)-4)),N(INDEX('Market Data'!$AK$5:$AK$66,INDEX('Market Data'!$J$5:$J$528,$T467)-4))&gt;0),INDEX('Market Data'!$AK$5:$AK$66,INDEX('Market Data'!$J$5:$J$528,$T467)-4),"date unavailable"),IF($Q467="Snapshot",IF(AND(ISNUMBER(INDEX('Market Data'!$AF$5:$AF$66,INDEX('Market Data'!$J$5:$J$528,$T467)-4)),N(INDEX('Market Data'!$AF$5:$AF$66,INDEX('Market Data'!$J$5:$J$528,$T467)-4))&gt;0),INDEX('Market Data'!$AF$5:$AF$66,INDEX('Market Data'!$J$5:$J$528,$T467)-4),"date unavailable"),"date unavailable"))))</f>
        <v/>
      </c>
      <c r="Q467" s="15">
        <f>IF($T467=0,"",IF(INDEX('Market Data'!$J$5:$J$528,$T467)=0,"n/a",IF(AND($M$5&lt;&gt;"Snapshot",ISNUMBER(INDEX('Market Data'!$AH$5:$AH$66,INDEX('Market Data'!$J$5:$J$528,$T467)-4)),N(INDEX('Market Data'!$AH$5:$AH$66,INDEX('Market Data'!$J$5:$J$528,$T467)-4))&gt;0),"Bloomberg",IF(AND($M$5&lt;&gt;"Bloomberg",ISNUMBER(INDEX('Market Data'!$AC$5:$AC$66,INDEX('Market Data'!$J$5:$J$528,$T467)-4)),N(INDEX('Market Data'!$AC$5:$AC$66,INDEX('Market Data'!$J$5:$J$528,$T467)-4))&gt;0),"Snapshot","Unavailable"))))</f>
        <v/>
      </c>
      <c r="T467">
        <f>IFERROR(MATCH(459,'Market Data'!$S$5:$S$528,0),0)</f>
        <v/>
      </c>
    </row>
    <row r="468" ht="34" customHeight="1">
      <c r="A468" s="8">
        <f>IF($T468=0,"",IF(INDEX('Market Data'!$A$5:$A$528,$T468)="","",INDEX('Market Data'!$A$5:$A$528,$T468)))</f>
        <v/>
      </c>
      <c r="B468" s="9">
        <f>IF($T468=0,"",IF(INDEX('Market Data'!$B$5:$B$528,$T468)="","",INDEX('Market Data'!$B$5:$B$528,$T468)))</f>
        <v/>
      </c>
      <c r="C468" s="9">
        <f>IF($T468=0,"",IF(INDEX('Market Data'!$C$5:$C$528,$T468)="","",INDEX('Market Data'!$C$5:$C$528,$T468)))</f>
        <v/>
      </c>
      <c r="D468" s="9">
        <f>IF($T468=0,"",IF(INDEX('Market Data'!$D$5:$D$528,$T468)="","",INDEX('Market Data'!$D$5:$D$528,$T468)))</f>
        <v/>
      </c>
      <c r="E468" s="10">
        <f>IF($T468=0,"",INDEX('Market Data'!$O$5:$O$528,$T468))</f>
        <v/>
      </c>
      <c r="F468" s="11">
        <f>IF($T468=0,"",IF(AND($I468="Bloomberg",ISNUMBER(INDEX('Market Data'!$L$5:$L$528,$T468))),INDEX('Market Data'!$L$5:$L$528,$T468),"unavailable"))</f>
        <v/>
      </c>
      <c r="G468" s="12">
        <f>IF($T468=0,"",IF($I468="Bloomberg",IF(AND(ISNUMBER(INDEX('Market Data'!$M$5:$M$528,$T468)),N(INDEX('Market Data'!$M$5:$M$528,$T468))&gt;0),INDEX('Market Data'!$M$5:$M$528,$T468),"date unavailable"),IF($I468="Snapshot",IF(AND(ISNUMBER(INDEX('Market Data'!$H$5:$H$528,$T468)),N(INDEX('Market Data'!$H$5:$H$528,$T468))&gt;0),INDEX('Market Data'!$H$5:$H$528,$T468),"date unavailable"),"date unavailable")))</f>
        <v/>
      </c>
      <c r="H468" s="9">
        <f>IF($T468=0,"",IF($I468="Bloomberg",IF(INDEX('Market Data'!$N$5:$N$528,$T468)="","time unavailable",INDEX('Market Data'!$N$5:$N$528,$T468)),""))</f>
        <v/>
      </c>
      <c r="I468" s="9">
        <f>IF($T468=0,"",INDEX('Market Data'!$P$5:$P$528,$T468))</f>
        <v/>
      </c>
      <c r="J468" s="13">
        <f>IF($T468=0,"",IF(INDEX('Market Data'!$E$5:$E$528,$T468)="","",INDEX('Market Data'!$E$5:$E$528,$T468)))</f>
        <v/>
      </c>
      <c r="K468" s="8">
        <f>IF($T468=0,"",IF(INDEX('Market Data'!$I$5:$I$528,$T468)="","",INDEX('Market Data'!$I$5:$I$528,$T468)))</f>
        <v/>
      </c>
      <c r="L468" s="10">
        <f>IF($T468=0,"",IF(INDEX('Market Data'!$J$5:$J$528,$T468)=0,"n/a",IF(AND($M$5&lt;&gt;"Snapshot",ISNUMBER(INDEX('Market Data'!$AH$5:$AH$66,INDEX('Market Data'!$J$5:$J$528,$T468)-4)),N(INDEX('Market Data'!$AH$5:$AH$66,INDEX('Market Data'!$J$5:$J$528,$T468)-4))&gt;0),INDEX('Market Data'!$AH$5:$AH$66,INDEX('Market Data'!$J$5:$J$528,$T468)-4),IF(AND($M$5&lt;&gt;"Bloomberg",ISNUMBER(INDEX('Market Data'!$AC$5:$AC$66,INDEX('Market Data'!$J$5:$J$528,$T468)-4)),N(INDEX('Market Data'!$AC$5:$AC$66,INDEX('Market Data'!$J$5:$J$528,$T468)-4))&gt;0),INDEX('Market Data'!$AC$5:$AC$66,INDEX('Market Data'!$J$5:$J$528,$T468)-4),"unavailable"))))</f>
        <v/>
      </c>
      <c r="M468" s="11">
        <f>IF($T468=0,"",IF(INDEX('Market Data'!$J$5:$J$528,$T468)=0,"n/a",IF(IF(INDEX('Market Data'!$J$5:$J$528,$T468)=0,0,IF(LEFT(INDEX('Market Data'!$AS$5:$AS$66,INDEX('Market Data'!$J$5:$J$528,$T468)-4),11)="First-month",1,0))=1,"class review",IF($I468="Bloomberg",IF(AND(ISNUMBER(INDEX('Market Data'!$AH$5:$AH$66,INDEX('Market Data'!$J$5:$J$528,$T468)-4)),N(INDEX('Market Data'!$AH$5:$AH$66,INDEX('Market Data'!$J$5:$J$528,$T468)-4))&gt;0,ISNUMBER('Market Data'!$B$1),N('Market Data'!$B$1)&gt;0),INDEX('Market Data'!$AH$5:$AH$66,INDEX('Market Data'!$J$5:$J$528,$T468)-4)*'Market Data'!$B$1/$E468-1,"pending A/FX"),IF(AND($I468="Snapshot",$Q468="Snapshot",ISNUMBER($E468),$G468=INDEX('Market Data'!$AE$5:$AE$66,INDEX('Market Data'!$J$5:$J$528,$T468)-4)),IFERROR(INDEX('Market Data'!$AC$5:$AC$66,INDEX('Market Data'!$J$5:$J$528,$T468)-4)*INDEX('Market Data'!$AD$5:$AD$66,INDEX('Market Data'!$J$5:$J$528,$T468)-4)/$E468-1,"unavailable"),IF($I468="Unavailable","unavailable","date mismatch"))))))</f>
        <v/>
      </c>
      <c r="N468" s="11">
        <f>IF($T468=0,"",IFERROR(IF(AND(N(INDEX('Market Data'!$F$5:$F$528,$T468))&gt;0,ISNUMBER(INDEX('Market Data'!$T$5:$T$528,$T468))),$E468*INDEX('Market Data'!$T$5:$T$528,$T468)/INDEX('Market Data'!$F$5:$F$528,$T468)-1,"unavailable"),"unavailable"))</f>
        <v/>
      </c>
      <c r="O468" s="9">
        <f>IF($T468=0,"",IF(IF(INDEX('Market Data'!$J$5:$J$528,$T468)=0,0,IF(LEFT(INDEX('Market Data'!$AS$5:$AS$66,INDEX('Market Data'!$J$5:$J$528,$T468)-4),11)="First-month",1,0))=1,"Class ratio review",IF($I468="Bloomberg",IF(ISNUMBER($G468),IF($G468&lt;TODAY(),"Older quote","See quote time"),"Date unavailable"),IF($I468="Snapshot",IF($G468&lt;DATEVALUE("2026-10-02"),"Older snapshot","Dated close"),"No valid quote"))))</f>
        <v/>
      </c>
      <c r="P468" s="14">
        <f>IF($T468=0,"",IF(INDEX('Market Data'!$J$5:$J$528,$T468)=0,"n/a",IF($Q468="Bloomberg",IF(AND(ISNUMBER(INDEX('Market Data'!$AK$5:$AK$66,INDEX('Market Data'!$J$5:$J$528,$T468)-4)),N(INDEX('Market Data'!$AK$5:$AK$66,INDEX('Market Data'!$J$5:$J$528,$T468)-4))&gt;0),INDEX('Market Data'!$AK$5:$AK$66,INDEX('Market Data'!$J$5:$J$528,$T468)-4),"date unavailable"),IF($Q468="Snapshot",IF(AND(ISNUMBER(INDEX('Market Data'!$AF$5:$AF$66,INDEX('Market Data'!$J$5:$J$528,$T468)-4)),N(INDEX('Market Data'!$AF$5:$AF$66,INDEX('Market Data'!$J$5:$J$528,$T468)-4))&gt;0),INDEX('Market Data'!$AF$5:$AF$66,INDEX('Market Data'!$J$5:$J$528,$T468)-4),"date unavailable"),"date unavailable"))))</f>
        <v/>
      </c>
      <c r="Q468" s="15">
        <f>IF($T468=0,"",IF(INDEX('Market Data'!$J$5:$J$528,$T468)=0,"n/a",IF(AND($M$5&lt;&gt;"Snapshot",ISNUMBER(INDEX('Market Data'!$AH$5:$AH$66,INDEX('Market Data'!$J$5:$J$528,$T468)-4)),N(INDEX('Market Data'!$AH$5:$AH$66,INDEX('Market Data'!$J$5:$J$528,$T468)-4))&gt;0),"Bloomberg",IF(AND($M$5&lt;&gt;"Bloomberg",ISNUMBER(INDEX('Market Data'!$AC$5:$AC$66,INDEX('Market Data'!$J$5:$J$528,$T468)-4)),N(INDEX('Market Data'!$AC$5:$AC$66,INDEX('Market Data'!$J$5:$J$528,$T468)-4))&gt;0),"Snapshot","Unavailable"))))</f>
        <v/>
      </c>
      <c r="T468">
        <f>IFERROR(MATCH(460,'Market Data'!$S$5:$S$528,0),0)</f>
        <v/>
      </c>
    </row>
    <row r="469" ht="34" customHeight="1">
      <c r="A469" s="8">
        <f>IF($T469=0,"",IF(INDEX('Market Data'!$A$5:$A$528,$T469)="","",INDEX('Market Data'!$A$5:$A$528,$T469)))</f>
        <v/>
      </c>
      <c r="B469" s="9">
        <f>IF($T469=0,"",IF(INDEX('Market Data'!$B$5:$B$528,$T469)="","",INDEX('Market Data'!$B$5:$B$528,$T469)))</f>
        <v/>
      </c>
      <c r="C469" s="9">
        <f>IF($T469=0,"",IF(INDEX('Market Data'!$C$5:$C$528,$T469)="","",INDEX('Market Data'!$C$5:$C$528,$T469)))</f>
        <v/>
      </c>
      <c r="D469" s="9">
        <f>IF($T469=0,"",IF(INDEX('Market Data'!$D$5:$D$528,$T469)="","",INDEX('Market Data'!$D$5:$D$528,$T469)))</f>
        <v/>
      </c>
      <c r="E469" s="10">
        <f>IF($T469=0,"",INDEX('Market Data'!$O$5:$O$528,$T469))</f>
        <v/>
      </c>
      <c r="F469" s="11">
        <f>IF($T469=0,"",IF(AND($I469="Bloomberg",ISNUMBER(INDEX('Market Data'!$L$5:$L$528,$T469))),INDEX('Market Data'!$L$5:$L$528,$T469),"unavailable"))</f>
        <v/>
      </c>
      <c r="G469" s="12">
        <f>IF($T469=0,"",IF($I469="Bloomberg",IF(AND(ISNUMBER(INDEX('Market Data'!$M$5:$M$528,$T469)),N(INDEX('Market Data'!$M$5:$M$528,$T469))&gt;0),INDEX('Market Data'!$M$5:$M$528,$T469),"date unavailable"),IF($I469="Snapshot",IF(AND(ISNUMBER(INDEX('Market Data'!$H$5:$H$528,$T469)),N(INDEX('Market Data'!$H$5:$H$528,$T469))&gt;0),INDEX('Market Data'!$H$5:$H$528,$T469),"date unavailable"),"date unavailable")))</f>
        <v/>
      </c>
      <c r="H469" s="9">
        <f>IF($T469=0,"",IF($I469="Bloomberg",IF(INDEX('Market Data'!$N$5:$N$528,$T469)="","time unavailable",INDEX('Market Data'!$N$5:$N$528,$T469)),""))</f>
        <v/>
      </c>
      <c r="I469" s="9">
        <f>IF($T469=0,"",INDEX('Market Data'!$P$5:$P$528,$T469))</f>
        <v/>
      </c>
      <c r="J469" s="13">
        <f>IF($T469=0,"",IF(INDEX('Market Data'!$E$5:$E$528,$T469)="","",INDEX('Market Data'!$E$5:$E$528,$T469)))</f>
        <v/>
      </c>
      <c r="K469" s="8">
        <f>IF($T469=0,"",IF(INDEX('Market Data'!$I$5:$I$528,$T469)="","",INDEX('Market Data'!$I$5:$I$528,$T469)))</f>
        <v/>
      </c>
      <c r="L469" s="10">
        <f>IF($T469=0,"",IF(INDEX('Market Data'!$J$5:$J$528,$T469)=0,"n/a",IF(AND($M$5&lt;&gt;"Snapshot",ISNUMBER(INDEX('Market Data'!$AH$5:$AH$66,INDEX('Market Data'!$J$5:$J$528,$T469)-4)),N(INDEX('Market Data'!$AH$5:$AH$66,INDEX('Market Data'!$J$5:$J$528,$T469)-4))&gt;0),INDEX('Market Data'!$AH$5:$AH$66,INDEX('Market Data'!$J$5:$J$528,$T469)-4),IF(AND($M$5&lt;&gt;"Bloomberg",ISNUMBER(INDEX('Market Data'!$AC$5:$AC$66,INDEX('Market Data'!$J$5:$J$528,$T469)-4)),N(INDEX('Market Data'!$AC$5:$AC$66,INDEX('Market Data'!$J$5:$J$528,$T469)-4))&gt;0),INDEX('Market Data'!$AC$5:$AC$66,INDEX('Market Data'!$J$5:$J$528,$T469)-4),"unavailable"))))</f>
        <v/>
      </c>
      <c r="M469" s="11">
        <f>IF($T469=0,"",IF(INDEX('Market Data'!$J$5:$J$528,$T469)=0,"n/a",IF(IF(INDEX('Market Data'!$J$5:$J$528,$T469)=0,0,IF(LEFT(INDEX('Market Data'!$AS$5:$AS$66,INDEX('Market Data'!$J$5:$J$528,$T469)-4),11)="First-month",1,0))=1,"class review",IF($I469="Bloomberg",IF(AND(ISNUMBER(INDEX('Market Data'!$AH$5:$AH$66,INDEX('Market Data'!$J$5:$J$528,$T469)-4)),N(INDEX('Market Data'!$AH$5:$AH$66,INDEX('Market Data'!$J$5:$J$528,$T469)-4))&gt;0,ISNUMBER('Market Data'!$B$1),N('Market Data'!$B$1)&gt;0),INDEX('Market Data'!$AH$5:$AH$66,INDEX('Market Data'!$J$5:$J$528,$T469)-4)*'Market Data'!$B$1/$E469-1,"pending A/FX"),IF(AND($I469="Snapshot",$Q469="Snapshot",ISNUMBER($E469),$G469=INDEX('Market Data'!$AE$5:$AE$66,INDEX('Market Data'!$J$5:$J$528,$T469)-4)),IFERROR(INDEX('Market Data'!$AC$5:$AC$66,INDEX('Market Data'!$J$5:$J$528,$T469)-4)*INDEX('Market Data'!$AD$5:$AD$66,INDEX('Market Data'!$J$5:$J$528,$T469)-4)/$E469-1,"unavailable"),IF($I469="Unavailable","unavailable","date mismatch"))))))</f>
        <v/>
      </c>
      <c r="N469" s="11">
        <f>IF($T469=0,"",IFERROR(IF(AND(N(INDEX('Market Data'!$F$5:$F$528,$T469))&gt;0,ISNUMBER(INDEX('Market Data'!$T$5:$T$528,$T469))),$E469*INDEX('Market Data'!$T$5:$T$528,$T469)/INDEX('Market Data'!$F$5:$F$528,$T469)-1,"unavailable"),"unavailable"))</f>
        <v/>
      </c>
      <c r="O469" s="9">
        <f>IF($T469=0,"",IF(IF(INDEX('Market Data'!$J$5:$J$528,$T469)=0,0,IF(LEFT(INDEX('Market Data'!$AS$5:$AS$66,INDEX('Market Data'!$J$5:$J$528,$T469)-4),11)="First-month",1,0))=1,"Class ratio review",IF($I469="Bloomberg",IF(ISNUMBER($G469),IF($G469&lt;TODAY(),"Older quote","See quote time"),"Date unavailable"),IF($I469="Snapshot",IF($G469&lt;DATEVALUE("2026-10-02"),"Older snapshot","Dated close"),"No valid quote"))))</f>
        <v/>
      </c>
      <c r="P469" s="14">
        <f>IF($T469=0,"",IF(INDEX('Market Data'!$J$5:$J$528,$T469)=0,"n/a",IF($Q469="Bloomberg",IF(AND(ISNUMBER(INDEX('Market Data'!$AK$5:$AK$66,INDEX('Market Data'!$J$5:$J$528,$T469)-4)),N(INDEX('Market Data'!$AK$5:$AK$66,INDEX('Market Data'!$J$5:$J$528,$T469)-4))&gt;0),INDEX('Market Data'!$AK$5:$AK$66,INDEX('Market Data'!$J$5:$J$528,$T469)-4),"date unavailable"),IF($Q469="Snapshot",IF(AND(ISNUMBER(INDEX('Market Data'!$AF$5:$AF$66,INDEX('Market Data'!$J$5:$J$528,$T469)-4)),N(INDEX('Market Data'!$AF$5:$AF$66,INDEX('Market Data'!$J$5:$J$528,$T469)-4))&gt;0),INDEX('Market Data'!$AF$5:$AF$66,INDEX('Market Data'!$J$5:$J$528,$T469)-4),"date unavailable"),"date unavailable"))))</f>
        <v/>
      </c>
      <c r="Q469" s="15">
        <f>IF($T469=0,"",IF(INDEX('Market Data'!$J$5:$J$528,$T469)=0,"n/a",IF(AND($M$5&lt;&gt;"Snapshot",ISNUMBER(INDEX('Market Data'!$AH$5:$AH$66,INDEX('Market Data'!$J$5:$J$528,$T469)-4)),N(INDEX('Market Data'!$AH$5:$AH$66,INDEX('Market Data'!$J$5:$J$528,$T469)-4))&gt;0),"Bloomberg",IF(AND($M$5&lt;&gt;"Bloomberg",ISNUMBER(INDEX('Market Data'!$AC$5:$AC$66,INDEX('Market Data'!$J$5:$J$528,$T469)-4)),N(INDEX('Market Data'!$AC$5:$AC$66,INDEX('Market Data'!$J$5:$J$528,$T469)-4))&gt;0),"Snapshot","Unavailable"))))</f>
        <v/>
      </c>
      <c r="T469">
        <f>IFERROR(MATCH(461,'Market Data'!$S$5:$S$528,0),0)</f>
        <v/>
      </c>
    </row>
    <row r="470" ht="34" customHeight="1">
      <c r="A470" s="8">
        <f>IF($T470=0,"",IF(INDEX('Market Data'!$A$5:$A$528,$T470)="","",INDEX('Market Data'!$A$5:$A$528,$T470)))</f>
        <v/>
      </c>
      <c r="B470" s="9">
        <f>IF($T470=0,"",IF(INDEX('Market Data'!$B$5:$B$528,$T470)="","",INDEX('Market Data'!$B$5:$B$528,$T470)))</f>
        <v/>
      </c>
      <c r="C470" s="9">
        <f>IF($T470=0,"",IF(INDEX('Market Data'!$C$5:$C$528,$T470)="","",INDEX('Market Data'!$C$5:$C$528,$T470)))</f>
        <v/>
      </c>
      <c r="D470" s="9">
        <f>IF($T470=0,"",IF(INDEX('Market Data'!$D$5:$D$528,$T470)="","",INDEX('Market Data'!$D$5:$D$528,$T470)))</f>
        <v/>
      </c>
      <c r="E470" s="10">
        <f>IF($T470=0,"",INDEX('Market Data'!$O$5:$O$528,$T470))</f>
        <v/>
      </c>
      <c r="F470" s="11">
        <f>IF($T470=0,"",IF(AND($I470="Bloomberg",ISNUMBER(INDEX('Market Data'!$L$5:$L$528,$T470))),INDEX('Market Data'!$L$5:$L$528,$T470),"unavailable"))</f>
        <v/>
      </c>
      <c r="G470" s="12">
        <f>IF($T470=0,"",IF($I470="Bloomberg",IF(AND(ISNUMBER(INDEX('Market Data'!$M$5:$M$528,$T470)),N(INDEX('Market Data'!$M$5:$M$528,$T470))&gt;0),INDEX('Market Data'!$M$5:$M$528,$T470),"date unavailable"),IF($I470="Snapshot",IF(AND(ISNUMBER(INDEX('Market Data'!$H$5:$H$528,$T470)),N(INDEX('Market Data'!$H$5:$H$528,$T470))&gt;0),INDEX('Market Data'!$H$5:$H$528,$T470),"date unavailable"),"date unavailable")))</f>
        <v/>
      </c>
      <c r="H470" s="9">
        <f>IF($T470=0,"",IF($I470="Bloomberg",IF(INDEX('Market Data'!$N$5:$N$528,$T470)="","time unavailable",INDEX('Market Data'!$N$5:$N$528,$T470)),""))</f>
        <v/>
      </c>
      <c r="I470" s="9">
        <f>IF($T470=0,"",INDEX('Market Data'!$P$5:$P$528,$T470))</f>
        <v/>
      </c>
      <c r="J470" s="13">
        <f>IF($T470=0,"",IF(INDEX('Market Data'!$E$5:$E$528,$T470)="","",INDEX('Market Data'!$E$5:$E$528,$T470)))</f>
        <v/>
      </c>
      <c r="K470" s="8">
        <f>IF($T470=0,"",IF(INDEX('Market Data'!$I$5:$I$528,$T470)="","",INDEX('Market Data'!$I$5:$I$528,$T470)))</f>
        <v/>
      </c>
      <c r="L470" s="10">
        <f>IF($T470=0,"",IF(INDEX('Market Data'!$J$5:$J$528,$T470)=0,"n/a",IF(AND($M$5&lt;&gt;"Snapshot",ISNUMBER(INDEX('Market Data'!$AH$5:$AH$66,INDEX('Market Data'!$J$5:$J$528,$T470)-4)),N(INDEX('Market Data'!$AH$5:$AH$66,INDEX('Market Data'!$J$5:$J$528,$T470)-4))&gt;0),INDEX('Market Data'!$AH$5:$AH$66,INDEX('Market Data'!$J$5:$J$528,$T470)-4),IF(AND($M$5&lt;&gt;"Bloomberg",ISNUMBER(INDEX('Market Data'!$AC$5:$AC$66,INDEX('Market Data'!$J$5:$J$528,$T470)-4)),N(INDEX('Market Data'!$AC$5:$AC$66,INDEX('Market Data'!$J$5:$J$528,$T470)-4))&gt;0),INDEX('Market Data'!$AC$5:$AC$66,INDEX('Market Data'!$J$5:$J$528,$T470)-4),"unavailable"))))</f>
        <v/>
      </c>
      <c r="M470" s="11">
        <f>IF($T470=0,"",IF(INDEX('Market Data'!$J$5:$J$528,$T470)=0,"n/a",IF(IF(INDEX('Market Data'!$J$5:$J$528,$T470)=0,0,IF(LEFT(INDEX('Market Data'!$AS$5:$AS$66,INDEX('Market Data'!$J$5:$J$528,$T470)-4),11)="First-month",1,0))=1,"class review",IF($I470="Bloomberg",IF(AND(ISNUMBER(INDEX('Market Data'!$AH$5:$AH$66,INDEX('Market Data'!$J$5:$J$528,$T470)-4)),N(INDEX('Market Data'!$AH$5:$AH$66,INDEX('Market Data'!$J$5:$J$528,$T470)-4))&gt;0,ISNUMBER('Market Data'!$B$1),N('Market Data'!$B$1)&gt;0),INDEX('Market Data'!$AH$5:$AH$66,INDEX('Market Data'!$J$5:$J$528,$T470)-4)*'Market Data'!$B$1/$E470-1,"pending A/FX"),IF(AND($I470="Snapshot",$Q470="Snapshot",ISNUMBER($E470),$G470=INDEX('Market Data'!$AE$5:$AE$66,INDEX('Market Data'!$J$5:$J$528,$T470)-4)),IFERROR(INDEX('Market Data'!$AC$5:$AC$66,INDEX('Market Data'!$J$5:$J$528,$T470)-4)*INDEX('Market Data'!$AD$5:$AD$66,INDEX('Market Data'!$J$5:$J$528,$T470)-4)/$E470-1,"unavailable"),IF($I470="Unavailable","unavailable","date mismatch"))))))</f>
        <v/>
      </c>
      <c r="N470" s="11">
        <f>IF($T470=0,"",IFERROR(IF(AND(N(INDEX('Market Data'!$F$5:$F$528,$T470))&gt;0,ISNUMBER(INDEX('Market Data'!$T$5:$T$528,$T470))),$E470*INDEX('Market Data'!$T$5:$T$528,$T470)/INDEX('Market Data'!$F$5:$F$528,$T470)-1,"unavailable"),"unavailable"))</f>
        <v/>
      </c>
      <c r="O470" s="9">
        <f>IF($T470=0,"",IF(IF(INDEX('Market Data'!$J$5:$J$528,$T470)=0,0,IF(LEFT(INDEX('Market Data'!$AS$5:$AS$66,INDEX('Market Data'!$J$5:$J$528,$T470)-4),11)="First-month",1,0))=1,"Class ratio review",IF($I470="Bloomberg",IF(ISNUMBER($G470),IF($G470&lt;TODAY(),"Older quote","See quote time"),"Date unavailable"),IF($I470="Snapshot",IF($G470&lt;DATEVALUE("2026-10-02"),"Older snapshot","Dated close"),"No valid quote"))))</f>
        <v/>
      </c>
      <c r="P470" s="14">
        <f>IF($T470=0,"",IF(INDEX('Market Data'!$J$5:$J$528,$T470)=0,"n/a",IF($Q470="Bloomberg",IF(AND(ISNUMBER(INDEX('Market Data'!$AK$5:$AK$66,INDEX('Market Data'!$J$5:$J$528,$T470)-4)),N(INDEX('Market Data'!$AK$5:$AK$66,INDEX('Market Data'!$J$5:$J$528,$T470)-4))&gt;0),INDEX('Market Data'!$AK$5:$AK$66,INDEX('Market Data'!$J$5:$J$528,$T470)-4),"date unavailable"),IF($Q470="Snapshot",IF(AND(ISNUMBER(INDEX('Market Data'!$AF$5:$AF$66,INDEX('Market Data'!$J$5:$J$528,$T470)-4)),N(INDEX('Market Data'!$AF$5:$AF$66,INDEX('Market Data'!$J$5:$J$528,$T470)-4))&gt;0),INDEX('Market Data'!$AF$5:$AF$66,INDEX('Market Data'!$J$5:$J$528,$T470)-4),"date unavailable"),"date unavailable"))))</f>
        <v/>
      </c>
      <c r="Q470" s="15">
        <f>IF($T470=0,"",IF(INDEX('Market Data'!$J$5:$J$528,$T470)=0,"n/a",IF(AND($M$5&lt;&gt;"Snapshot",ISNUMBER(INDEX('Market Data'!$AH$5:$AH$66,INDEX('Market Data'!$J$5:$J$528,$T470)-4)),N(INDEX('Market Data'!$AH$5:$AH$66,INDEX('Market Data'!$J$5:$J$528,$T470)-4))&gt;0),"Bloomberg",IF(AND($M$5&lt;&gt;"Bloomberg",ISNUMBER(INDEX('Market Data'!$AC$5:$AC$66,INDEX('Market Data'!$J$5:$J$528,$T470)-4)),N(INDEX('Market Data'!$AC$5:$AC$66,INDEX('Market Data'!$J$5:$J$528,$T470)-4))&gt;0),"Snapshot","Unavailable"))))</f>
        <v/>
      </c>
      <c r="T470">
        <f>IFERROR(MATCH(462,'Market Data'!$S$5:$S$528,0),0)</f>
        <v/>
      </c>
    </row>
    <row r="471" ht="34" customHeight="1">
      <c r="A471" s="8">
        <f>IF($T471=0,"",IF(INDEX('Market Data'!$A$5:$A$528,$T471)="","",INDEX('Market Data'!$A$5:$A$528,$T471)))</f>
        <v/>
      </c>
      <c r="B471" s="9">
        <f>IF($T471=0,"",IF(INDEX('Market Data'!$B$5:$B$528,$T471)="","",INDEX('Market Data'!$B$5:$B$528,$T471)))</f>
        <v/>
      </c>
      <c r="C471" s="9">
        <f>IF($T471=0,"",IF(INDEX('Market Data'!$C$5:$C$528,$T471)="","",INDEX('Market Data'!$C$5:$C$528,$T471)))</f>
        <v/>
      </c>
      <c r="D471" s="9">
        <f>IF($T471=0,"",IF(INDEX('Market Data'!$D$5:$D$528,$T471)="","",INDEX('Market Data'!$D$5:$D$528,$T471)))</f>
        <v/>
      </c>
      <c r="E471" s="10">
        <f>IF($T471=0,"",INDEX('Market Data'!$O$5:$O$528,$T471))</f>
        <v/>
      </c>
      <c r="F471" s="11">
        <f>IF($T471=0,"",IF(AND($I471="Bloomberg",ISNUMBER(INDEX('Market Data'!$L$5:$L$528,$T471))),INDEX('Market Data'!$L$5:$L$528,$T471),"unavailable"))</f>
        <v/>
      </c>
      <c r="G471" s="12">
        <f>IF($T471=0,"",IF($I471="Bloomberg",IF(AND(ISNUMBER(INDEX('Market Data'!$M$5:$M$528,$T471)),N(INDEX('Market Data'!$M$5:$M$528,$T471))&gt;0),INDEX('Market Data'!$M$5:$M$528,$T471),"date unavailable"),IF($I471="Snapshot",IF(AND(ISNUMBER(INDEX('Market Data'!$H$5:$H$528,$T471)),N(INDEX('Market Data'!$H$5:$H$528,$T471))&gt;0),INDEX('Market Data'!$H$5:$H$528,$T471),"date unavailable"),"date unavailable")))</f>
        <v/>
      </c>
      <c r="H471" s="9">
        <f>IF($T471=0,"",IF($I471="Bloomberg",IF(INDEX('Market Data'!$N$5:$N$528,$T471)="","time unavailable",INDEX('Market Data'!$N$5:$N$528,$T471)),""))</f>
        <v/>
      </c>
      <c r="I471" s="9">
        <f>IF($T471=0,"",INDEX('Market Data'!$P$5:$P$528,$T471))</f>
        <v/>
      </c>
      <c r="J471" s="13">
        <f>IF($T471=0,"",IF(INDEX('Market Data'!$E$5:$E$528,$T471)="","",INDEX('Market Data'!$E$5:$E$528,$T471)))</f>
        <v/>
      </c>
      <c r="K471" s="8">
        <f>IF($T471=0,"",IF(INDEX('Market Data'!$I$5:$I$528,$T471)="","",INDEX('Market Data'!$I$5:$I$528,$T471)))</f>
        <v/>
      </c>
      <c r="L471" s="10">
        <f>IF($T471=0,"",IF(INDEX('Market Data'!$J$5:$J$528,$T471)=0,"n/a",IF(AND($M$5&lt;&gt;"Snapshot",ISNUMBER(INDEX('Market Data'!$AH$5:$AH$66,INDEX('Market Data'!$J$5:$J$528,$T471)-4)),N(INDEX('Market Data'!$AH$5:$AH$66,INDEX('Market Data'!$J$5:$J$528,$T471)-4))&gt;0),INDEX('Market Data'!$AH$5:$AH$66,INDEX('Market Data'!$J$5:$J$528,$T471)-4),IF(AND($M$5&lt;&gt;"Bloomberg",ISNUMBER(INDEX('Market Data'!$AC$5:$AC$66,INDEX('Market Data'!$J$5:$J$528,$T471)-4)),N(INDEX('Market Data'!$AC$5:$AC$66,INDEX('Market Data'!$J$5:$J$528,$T471)-4))&gt;0),INDEX('Market Data'!$AC$5:$AC$66,INDEX('Market Data'!$J$5:$J$528,$T471)-4),"unavailable"))))</f>
        <v/>
      </c>
      <c r="M471" s="11">
        <f>IF($T471=0,"",IF(INDEX('Market Data'!$J$5:$J$528,$T471)=0,"n/a",IF(IF(INDEX('Market Data'!$J$5:$J$528,$T471)=0,0,IF(LEFT(INDEX('Market Data'!$AS$5:$AS$66,INDEX('Market Data'!$J$5:$J$528,$T471)-4),11)="First-month",1,0))=1,"class review",IF($I471="Bloomberg",IF(AND(ISNUMBER(INDEX('Market Data'!$AH$5:$AH$66,INDEX('Market Data'!$J$5:$J$528,$T471)-4)),N(INDEX('Market Data'!$AH$5:$AH$66,INDEX('Market Data'!$J$5:$J$528,$T471)-4))&gt;0,ISNUMBER('Market Data'!$B$1),N('Market Data'!$B$1)&gt;0),INDEX('Market Data'!$AH$5:$AH$66,INDEX('Market Data'!$J$5:$J$528,$T471)-4)*'Market Data'!$B$1/$E471-1,"pending A/FX"),IF(AND($I471="Snapshot",$Q471="Snapshot",ISNUMBER($E471),$G471=INDEX('Market Data'!$AE$5:$AE$66,INDEX('Market Data'!$J$5:$J$528,$T471)-4)),IFERROR(INDEX('Market Data'!$AC$5:$AC$66,INDEX('Market Data'!$J$5:$J$528,$T471)-4)*INDEX('Market Data'!$AD$5:$AD$66,INDEX('Market Data'!$J$5:$J$528,$T471)-4)/$E471-1,"unavailable"),IF($I471="Unavailable","unavailable","date mismatch"))))))</f>
        <v/>
      </c>
      <c r="N471" s="11">
        <f>IF($T471=0,"",IFERROR(IF(AND(N(INDEX('Market Data'!$F$5:$F$528,$T471))&gt;0,ISNUMBER(INDEX('Market Data'!$T$5:$T$528,$T471))),$E471*INDEX('Market Data'!$T$5:$T$528,$T471)/INDEX('Market Data'!$F$5:$F$528,$T471)-1,"unavailable"),"unavailable"))</f>
        <v/>
      </c>
      <c r="O471" s="9">
        <f>IF($T471=0,"",IF(IF(INDEX('Market Data'!$J$5:$J$528,$T471)=0,0,IF(LEFT(INDEX('Market Data'!$AS$5:$AS$66,INDEX('Market Data'!$J$5:$J$528,$T471)-4),11)="First-month",1,0))=1,"Class ratio review",IF($I471="Bloomberg",IF(ISNUMBER($G471),IF($G471&lt;TODAY(),"Older quote","See quote time"),"Date unavailable"),IF($I471="Snapshot",IF($G471&lt;DATEVALUE("2026-10-02"),"Older snapshot","Dated close"),"No valid quote"))))</f>
        <v/>
      </c>
      <c r="P471" s="14">
        <f>IF($T471=0,"",IF(INDEX('Market Data'!$J$5:$J$528,$T471)=0,"n/a",IF($Q471="Bloomberg",IF(AND(ISNUMBER(INDEX('Market Data'!$AK$5:$AK$66,INDEX('Market Data'!$J$5:$J$528,$T471)-4)),N(INDEX('Market Data'!$AK$5:$AK$66,INDEX('Market Data'!$J$5:$J$528,$T471)-4))&gt;0),INDEX('Market Data'!$AK$5:$AK$66,INDEX('Market Data'!$J$5:$J$528,$T471)-4),"date unavailable"),IF($Q471="Snapshot",IF(AND(ISNUMBER(INDEX('Market Data'!$AF$5:$AF$66,INDEX('Market Data'!$J$5:$J$528,$T471)-4)),N(INDEX('Market Data'!$AF$5:$AF$66,INDEX('Market Data'!$J$5:$J$528,$T471)-4))&gt;0),INDEX('Market Data'!$AF$5:$AF$66,INDEX('Market Data'!$J$5:$J$528,$T471)-4),"date unavailable"),"date unavailable"))))</f>
        <v/>
      </c>
      <c r="Q471" s="15">
        <f>IF($T471=0,"",IF(INDEX('Market Data'!$J$5:$J$528,$T471)=0,"n/a",IF(AND($M$5&lt;&gt;"Snapshot",ISNUMBER(INDEX('Market Data'!$AH$5:$AH$66,INDEX('Market Data'!$J$5:$J$528,$T471)-4)),N(INDEX('Market Data'!$AH$5:$AH$66,INDEX('Market Data'!$J$5:$J$528,$T471)-4))&gt;0),"Bloomberg",IF(AND($M$5&lt;&gt;"Bloomberg",ISNUMBER(INDEX('Market Data'!$AC$5:$AC$66,INDEX('Market Data'!$J$5:$J$528,$T471)-4)),N(INDEX('Market Data'!$AC$5:$AC$66,INDEX('Market Data'!$J$5:$J$528,$T471)-4))&gt;0),"Snapshot","Unavailable"))))</f>
        <v/>
      </c>
      <c r="T471">
        <f>IFERROR(MATCH(463,'Market Data'!$S$5:$S$528,0),0)</f>
        <v/>
      </c>
    </row>
    <row r="472" ht="34" customHeight="1">
      <c r="A472" s="8">
        <f>IF($T472=0,"",IF(INDEX('Market Data'!$A$5:$A$528,$T472)="","",INDEX('Market Data'!$A$5:$A$528,$T472)))</f>
        <v/>
      </c>
      <c r="B472" s="9">
        <f>IF($T472=0,"",IF(INDEX('Market Data'!$B$5:$B$528,$T472)="","",INDEX('Market Data'!$B$5:$B$528,$T472)))</f>
        <v/>
      </c>
      <c r="C472" s="9">
        <f>IF($T472=0,"",IF(INDEX('Market Data'!$C$5:$C$528,$T472)="","",INDEX('Market Data'!$C$5:$C$528,$T472)))</f>
        <v/>
      </c>
      <c r="D472" s="9">
        <f>IF($T472=0,"",IF(INDEX('Market Data'!$D$5:$D$528,$T472)="","",INDEX('Market Data'!$D$5:$D$528,$T472)))</f>
        <v/>
      </c>
      <c r="E472" s="10">
        <f>IF($T472=0,"",INDEX('Market Data'!$O$5:$O$528,$T472))</f>
        <v/>
      </c>
      <c r="F472" s="11">
        <f>IF($T472=0,"",IF(AND($I472="Bloomberg",ISNUMBER(INDEX('Market Data'!$L$5:$L$528,$T472))),INDEX('Market Data'!$L$5:$L$528,$T472),"unavailable"))</f>
        <v/>
      </c>
      <c r="G472" s="12">
        <f>IF($T472=0,"",IF($I472="Bloomberg",IF(AND(ISNUMBER(INDEX('Market Data'!$M$5:$M$528,$T472)),N(INDEX('Market Data'!$M$5:$M$528,$T472))&gt;0),INDEX('Market Data'!$M$5:$M$528,$T472),"date unavailable"),IF($I472="Snapshot",IF(AND(ISNUMBER(INDEX('Market Data'!$H$5:$H$528,$T472)),N(INDEX('Market Data'!$H$5:$H$528,$T472))&gt;0),INDEX('Market Data'!$H$5:$H$528,$T472),"date unavailable"),"date unavailable")))</f>
        <v/>
      </c>
      <c r="H472" s="9">
        <f>IF($T472=0,"",IF($I472="Bloomberg",IF(INDEX('Market Data'!$N$5:$N$528,$T472)="","time unavailable",INDEX('Market Data'!$N$5:$N$528,$T472)),""))</f>
        <v/>
      </c>
      <c r="I472" s="9">
        <f>IF($T472=0,"",INDEX('Market Data'!$P$5:$P$528,$T472))</f>
        <v/>
      </c>
      <c r="J472" s="13">
        <f>IF($T472=0,"",IF(INDEX('Market Data'!$E$5:$E$528,$T472)="","",INDEX('Market Data'!$E$5:$E$528,$T472)))</f>
        <v/>
      </c>
      <c r="K472" s="8">
        <f>IF($T472=0,"",IF(INDEX('Market Data'!$I$5:$I$528,$T472)="","",INDEX('Market Data'!$I$5:$I$528,$T472)))</f>
        <v/>
      </c>
      <c r="L472" s="10">
        <f>IF($T472=0,"",IF(INDEX('Market Data'!$J$5:$J$528,$T472)=0,"n/a",IF(AND($M$5&lt;&gt;"Snapshot",ISNUMBER(INDEX('Market Data'!$AH$5:$AH$66,INDEX('Market Data'!$J$5:$J$528,$T472)-4)),N(INDEX('Market Data'!$AH$5:$AH$66,INDEX('Market Data'!$J$5:$J$528,$T472)-4))&gt;0),INDEX('Market Data'!$AH$5:$AH$66,INDEX('Market Data'!$J$5:$J$528,$T472)-4),IF(AND($M$5&lt;&gt;"Bloomberg",ISNUMBER(INDEX('Market Data'!$AC$5:$AC$66,INDEX('Market Data'!$J$5:$J$528,$T472)-4)),N(INDEX('Market Data'!$AC$5:$AC$66,INDEX('Market Data'!$J$5:$J$528,$T472)-4))&gt;0),INDEX('Market Data'!$AC$5:$AC$66,INDEX('Market Data'!$J$5:$J$528,$T472)-4),"unavailable"))))</f>
        <v/>
      </c>
      <c r="M472" s="11">
        <f>IF($T472=0,"",IF(INDEX('Market Data'!$J$5:$J$528,$T472)=0,"n/a",IF(IF(INDEX('Market Data'!$J$5:$J$528,$T472)=0,0,IF(LEFT(INDEX('Market Data'!$AS$5:$AS$66,INDEX('Market Data'!$J$5:$J$528,$T472)-4),11)="First-month",1,0))=1,"class review",IF($I472="Bloomberg",IF(AND(ISNUMBER(INDEX('Market Data'!$AH$5:$AH$66,INDEX('Market Data'!$J$5:$J$528,$T472)-4)),N(INDEX('Market Data'!$AH$5:$AH$66,INDEX('Market Data'!$J$5:$J$528,$T472)-4))&gt;0,ISNUMBER('Market Data'!$B$1),N('Market Data'!$B$1)&gt;0),INDEX('Market Data'!$AH$5:$AH$66,INDEX('Market Data'!$J$5:$J$528,$T472)-4)*'Market Data'!$B$1/$E472-1,"pending A/FX"),IF(AND($I472="Snapshot",$Q472="Snapshot",ISNUMBER($E472),$G472=INDEX('Market Data'!$AE$5:$AE$66,INDEX('Market Data'!$J$5:$J$528,$T472)-4)),IFERROR(INDEX('Market Data'!$AC$5:$AC$66,INDEX('Market Data'!$J$5:$J$528,$T472)-4)*INDEX('Market Data'!$AD$5:$AD$66,INDEX('Market Data'!$J$5:$J$528,$T472)-4)/$E472-1,"unavailable"),IF($I472="Unavailable","unavailable","date mismatch"))))))</f>
        <v/>
      </c>
      <c r="N472" s="11">
        <f>IF($T472=0,"",IFERROR(IF(AND(N(INDEX('Market Data'!$F$5:$F$528,$T472))&gt;0,ISNUMBER(INDEX('Market Data'!$T$5:$T$528,$T472))),$E472*INDEX('Market Data'!$T$5:$T$528,$T472)/INDEX('Market Data'!$F$5:$F$528,$T472)-1,"unavailable"),"unavailable"))</f>
        <v/>
      </c>
      <c r="O472" s="9">
        <f>IF($T472=0,"",IF(IF(INDEX('Market Data'!$J$5:$J$528,$T472)=0,0,IF(LEFT(INDEX('Market Data'!$AS$5:$AS$66,INDEX('Market Data'!$J$5:$J$528,$T472)-4),11)="First-month",1,0))=1,"Class ratio review",IF($I472="Bloomberg",IF(ISNUMBER($G472),IF($G472&lt;TODAY(),"Older quote","See quote time"),"Date unavailable"),IF($I472="Snapshot",IF($G472&lt;DATEVALUE("2026-10-02"),"Older snapshot","Dated close"),"No valid quote"))))</f>
        <v/>
      </c>
      <c r="P472" s="14">
        <f>IF($T472=0,"",IF(INDEX('Market Data'!$J$5:$J$528,$T472)=0,"n/a",IF($Q472="Bloomberg",IF(AND(ISNUMBER(INDEX('Market Data'!$AK$5:$AK$66,INDEX('Market Data'!$J$5:$J$528,$T472)-4)),N(INDEX('Market Data'!$AK$5:$AK$66,INDEX('Market Data'!$J$5:$J$528,$T472)-4))&gt;0),INDEX('Market Data'!$AK$5:$AK$66,INDEX('Market Data'!$J$5:$J$528,$T472)-4),"date unavailable"),IF($Q472="Snapshot",IF(AND(ISNUMBER(INDEX('Market Data'!$AF$5:$AF$66,INDEX('Market Data'!$J$5:$J$528,$T472)-4)),N(INDEX('Market Data'!$AF$5:$AF$66,INDEX('Market Data'!$J$5:$J$528,$T472)-4))&gt;0),INDEX('Market Data'!$AF$5:$AF$66,INDEX('Market Data'!$J$5:$J$528,$T472)-4),"date unavailable"),"date unavailable"))))</f>
        <v/>
      </c>
      <c r="Q472" s="15">
        <f>IF($T472=0,"",IF(INDEX('Market Data'!$J$5:$J$528,$T472)=0,"n/a",IF(AND($M$5&lt;&gt;"Snapshot",ISNUMBER(INDEX('Market Data'!$AH$5:$AH$66,INDEX('Market Data'!$J$5:$J$528,$T472)-4)),N(INDEX('Market Data'!$AH$5:$AH$66,INDEX('Market Data'!$J$5:$J$528,$T472)-4))&gt;0),"Bloomberg",IF(AND($M$5&lt;&gt;"Bloomberg",ISNUMBER(INDEX('Market Data'!$AC$5:$AC$66,INDEX('Market Data'!$J$5:$J$528,$T472)-4)),N(INDEX('Market Data'!$AC$5:$AC$66,INDEX('Market Data'!$J$5:$J$528,$T472)-4))&gt;0),"Snapshot","Unavailable"))))</f>
        <v/>
      </c>
      <c r="T472">
        <f>IFERROR(MATCH(464,'Market Data'!$S$5:$S$528,0),0)</f>
        <v/>
      </c>
    </row>
    <row r="473" ht="34" customHeight="1">
      <c r="A473" s="8">
        <f>IF($T473=0,"",IF(INDEX('Market Data'!$A$5:$A$528,$T473)="","",INDEX('Market Data'!$A$5:$A$528,$T473)))</f>
        <v/>
      </c>
      <c r="B473" s="9">
        <f>IF($T473=0,"",IF(INDEX('Market Data'!$B$5:$B$528,$T473)="","",INDEX('Market Data'!$B$5:$B$528,$T473)))</f>
        <v/>
      </c>
      <c r="C473" s="9">
        <f>IF($T473=0,"",IF(INDEX('Market Data'!$C$5:$C$528,$T473)="","",INDEX('Market Data'!$C$5:$C$528,$T473)))</f>
        <v/>
      </c>
      <c r="D473" s="9">
        <f>IF($T473=0,"",IF(INDEX('Market Data'!$D$5:$D$528,$T473)="","",INDEX('Market Data'!$D$5:$D$528,$T473)))</f>
        <v/>
      </c>
      <c r="E473" s="10">
        <f>IF($T473=0,"",INDEX('Market Data'!$O$5:$O$528,$T473))</f>
        <v/>
      </c>
      <c r="F473" s="11">
        <f>IF($T473=0,"",IF(AND($I473="Bloomberg",ISNUMBER(INDEX('Market Data'!$L$5:$L$528,$T473))),INDEX('Market Data'!$L$5:$L$528,$T473),"unavailable"))</f>
        <v/>
      </c>
      <c r="G473" s="12">
        <f>IF($T473=0,"",IF($I473="Bloomberg",IF(AND(ISNUMBER(INDEX('Market Data'!$M$5:$M$528,$T473)),N(INDEX('Market Data'!$M$5:$M$528,$T473))&gt;0),INDEX('Market Data'!$M$5:$M$528,$T473),"date unavailable"),IF($I473="Snapshot",IF(AND(ISNUMBER(INDEX('Market Data'!$H$5:$H$528,$T473)),N(INDEX('Market Data'!$H$5:$H$528,$T473))&gt;0),INDEX('Market Data'!$H$5:$H$528,$T473),"date unavailable"),"date unavailable")))</f>
        <v/>
      </c>
      <c r="H473" s="9">
        <f>IF($T473=0,"",IF($I473="Bloomberg",IF(INDEX('Market Data'!$N$5:$N$528,$T473)="","time unavailable",INDEX('Market Data'!$N$5:$N$528,$T473)),""))</f>
        <v/>
      </c>
      <c r="I473" s="9">
        <f>IF($T473=0,"",INDEX('Market Data'!$P$5:$P$528,$T473))</f>
        <v/>
      </c>
      <c r="J473" s="13">
        <f>IF($T473=0,"",IF(INDEX('Market Data'!$E$5:$E$528,$T473)="","",INDEX('Market Data'!$E$5:$E$528,$T473)))</f>
        <v/>
      </c>
      <c r="K473" s="8">
        <f>IF($T473=0,"",IF(INDEX('Market Data'!$I$5:$I$528,$T473)="","",INDEX('Market Data'!$I$5:$I$528,$T473)))</f>
        <v/>
      </c>
      <c r="L473" s="10">
        <f>IF($T473=0,"",IF(INDEX('Market Data'!$J$5:$J$528,$T473)=0,"n/a",IF(AND($M$5&lt;&gt;"Snapshot",ISNUMBER(INDEX('Market Data'!$AH$5:$AH$66,INDEX('Market Data'!$J$5:$J$528,$T473)-4)),N(INDEX('Market Data'!$AH$5:$AH$66,INDEX('Market Data'!$J$5:$J$528,$T473)-4))&gt;0),INDEX('Market Data'!$AH$5:$AH$66,INDEX('Market Data'!$J$5:$J$528,$T473)-4),IF(AND($M$5&lt;&gt;"Bloomberg",ISNUMBER(INDEX('Market Data'!$AC$5:$AC$66,INDEX('Market Data'!$J$5:$J$528,$T473)-4)),N(INDEX('Market Data'!$AC$5:$AC$66,INDEX('Market Data'!$J$5:$J$528,$T473)-4))&gt;0),INDEX('Market Data'!$AC$5:$AC$66,INDEX('Market Data'!$J$5:$J$528,$T473)-4),"unavailable"))))</f>
        <v/>
      </c>
      <c r="M473" s="11">
        <f>IF($T473=0,"",IF(INDEX('Market Data'!$J$5:$J$528,$T473)=0,"n/a",IF(IF(INDEX('Market Data'!$J$5:$J$528,$T473)=0,0,IF(LEFT(INDEX('Market Data'!$AS$5:$AS$66,INDEX('Market Data'!$J$5:$J$528,$T473)-4),11)="First-month",1,0))=1,"class review",IF($I473="Bloomberg",IF(AND(ISNUMBER(INDEX('Market Data'!$AH$5:$AH$66,INDEX('Market Data'!$J$5:$J$528,$T473)-4)),N(INDEX('Market Data'!$AH$5:$AH$66,INDEX('Market Data'!$J$5:$J$528,$T473)-4))&gt;0,ISNUMBER('Market Data'!$B$1),N('Market Data'!$B$1)&gt;0),INDEX('Market Data'!$AH$5:$AH$66,INDEX('Market Data'!$J$5:$J$528,$T473)-4)*'Market Data'!$B$1/$E473-1,"pending A/FX"),IF(AND($I473="Snapshot",$Q473="Snapshot",ISNUMBER($E473),$G473=INDEX('Market Data'!$AE$5:$AE$66,INDEX('Market Data'!$J$5:$J$528,$T473)-4)),IFERROR(INDEX('Market Data'!$AC$5:$AC$66,INDEX('Market Data'!$J$5:$J$528,$T473)-4)*INDEX('Market Data'!$AD$5:$AD$66,INDEX('Market Data'!$J$5:$J$528,$T473)-4)/$E473-1,"unavailable"),IF($I473="Unavailable","unavailable","date mismatch"))))))</f>
        <v/>
      </c>
      <c r="N473" s="11">
        <f>IF($T473=0,"",IFERROR(IF(AND(N(INDEX('Market Data'!$F$5:$F$528,$T473))&gt;0,ISNUMBER(INDEX('Market Data'!$T$5:$T$528,$T473))),$E473*INDEX('Market Data'!$T$5:$T$528,$T473)/INDEX('Market Data'!$F$5:$F$528,$T473)-1,"unavailable"),"unavailable"))</f>
        <v/>
      </c>
      <c r="O473" s="9">
        <f>IF($T473=0,"",IF(IF(INDEX('Market Data'!$J$5:$J$528,$T473)=0,0,IF(LEFT(INDEX('Market Data'!$AS$5:$AS$66,INDEX('Market Data'!$J$5:$J$528,$T473)-4),11)="First-month",1,0))=1,"Class ratio review",IF($I473="Bloomberg",IF(ISNUMBER($G473),IF($G473&lt;TODAY(),"Older quote","See quote time"),"Date unavailable"),IF($I473="Snapshot",IF($G473&lt;DATEVALUE("2026-10-02"),"Older snapshot","Dated close"),"No valid quote"))))</f>
        <v/>
      </c>
      <c r="P473" s="14">
        <f>IF($T473=0,"",IF(INDEX('Market Data'!$J$5:$J$528,$T473)=0,"n/a",IF($Q473="Bloomberg",IF(AND(ISNUMBER(INDEX('Market Data'!$AK$5:$AK$66,INDEX('Market Data'!$J$5:$J$528,$T473)-4)),N(INDEX('Market Data'!$AK$5:$AK$66,INDEX('Market Data'!$J$5:$J$528,$T473)-4))&gt;0),INDEX('Market Data'!$AK$5:$AK$66,INDEX('Market Data'!$J$5:$J$528,$T473)-4),"date unavailable"),IF($Q473="Snapshot",IF(AND(ISNUMBER(INDEX('Market Data'!$AF$5:$AF$66,INDEX('Market Data'!$J$5:$J$528,$T473)-4)),N(INDEX('Market Data'!$AF$5:$AF$66,INDEX('Market Data'!$J$5:$J$528,$T473)-4))&gt;0),INDEX('Market Data'!$AF$5:$AF$66,INDEX('Market Data'!$J$5:$J$528,$T473)-4),"date unavailable"),"date unavailable"))))</f>
        <v/>
      </c>
      <c r="Q473" s="15">
        <f>IF($T473=0,"",IF(INDEX('Market Data'!$J$5:$J$528,$T473)=0,"n/a",IF(AND($M$5&lt;&gt;"Snapshot",ISNUMBER(INDEX('Market Data'!$AH$5:$AH$66,INDEX('Market Data'!$J$5:$J$528,$T473)-4)),N(INDEX('Market Data'!$AH$5:$AH$66,INDEX('Market Data'!$J$5:$J$528,$T473)-4))&gt;0),"Bloomberg",IF(AND($M$5&lt;&gt;"Bloomberg",ISNUMBER(INDEX('Market Data'!$AC$5:$AC$66,INDEX('Market Data'!$J$5:$J$528,$T473)-4)),N(INDEX('Market Data'!$AC$5:$AC$66,INDEX('Market Data'!$J$5:$J$528,$T473)-4))&gt;0),"Snapshot","Unavailable"))))</f>
        <v/>
      </c>
      <c r="T473">
        <f>IFERROR(MATCH(465,'Market Data'!$S$5:$S$528,0),0)</f>
        <v/>
      </c>
    </row>
    <row r="474" ht="34" customHeight="1">
      <c r="A474" s="8">
        <f>IF($T474=0,"",IF(INDEX('Market Data'!$A$5:$A$528,$T474)="","",INDEX('Market Data'!$A$5:$A$528,$T474)))</f>
        <v/>
      </c>
      <c r="B474" s="9">
        <f>IF($T474=0,"",IF(INDEX('Market Data'!$B$5:$B$528,$T474)="","",INDEX('Market Data'!$B$5:$B$528,$T474)))</f>
        <v/>
      </c>
      <c r="C474" s="9">
        <f>IF($T474=0,"",IF(INDEX('Market Data'!$C$5:$C$528,$T474)="","",INDEX('Market Data'!$C$5:$C$528,$T474)))</f>
        <v/>
      </c>
      <c r="D474" s="9">
        <f>IF($T474=0,"",IF(INDEX('Market Data'!$D$5:$D$528,$T474)="","",INDEX('Market Data'!$D$5:$D$528,$T474)))</f>
        <v/>
      </c>
      <c r="E474" s="10">
        <f>IF($T474=0,"",INDEX('Market Data'!$O$5:$O$528,$T474))</f>
        <v/>
      </c>
      <c r="F474" s="11">
        <f>IF($T474=0,"",IF(AND($I474="Bloomberg",ISNUMBER(INDEX('Market Data'!$L$5:$L$528,$T474))),INDEX('Market Data'!$L$5:$L$528,$T474),"unavailable"))</f>
        <v/>
      </c>
      <c r="G474" s="12">
        <f>IF($T474=0,"",IF($I474="Bloomberg",IF(AND(ISNUMBER(INDEX('Market Data'!$M$5:$M$528,$T474)),N(INDEX('Market Data'!$M$5:$M$528,$T474))&gt;0),INDEX('Market Data'!$M$5:$M$528,$T474),"date unavailable"),IF($I474="Snapshot",IF(AND(ISNUMBER(INDEX('Market Data'!$H$5:$H$528,$T474)),N(INDEX('Market Data'!$H$5:$H$528,$T474))&gt;0),INDEX('Market Data'!$H$5:$H$528,$T474),"date unavailable"),"date unavailable")))</f>
        <v/>
      </c>
      <c r="H474" s="9">
        <f>IF($T474=0,"",IF($I474="Bloomberg",IF(INDEX('Market Data'!$N$5:$N$528,$T474)="","time unavailable",INDEX('Market Data'!$N$5:$N$528,$T474)),""))</f>
        <v/>
      </c>
      <c r="I474" s="9">
        <f>IF($T474=0,"",INDEX('Market Data'!$P$5:$P$528,$T474))</f>
        <v/>
      </c>
      <c r="J474" s="13">
        <f>IF($T474=0,"",IF(INDEX('Market Data'!$E$5:$E$528,$T474)="","",INDEX('Market Data'!$E$5:$E$528,$T474)))</f>
        <v/>
      </c>
      <c r="K474" s="8">
        <f>IF($T474=0,"",IF(INDEX('Market Data'!$I$5:$I$528,$T474)="","",INDEX('Market Data'!$I$5:$I$528,$T474)))</f>
        <v/>
      </c>
      <c r="L474" s="10">
        <f>IF($T474=0,"",IF(INDEX('Market Data'!$J$5:$J$528,$T474)=0,"n/a",IF(AND($M$5&lt;&gt;"Snapshot",ISNUMBER(INDEX('Market Data'!$AH$5:$AH$66,INDEX('Market Data'!$J$5:$J$528,$T474)-4)),N(INDEX('Market Data'!$AH$5:$AH$66,INDEX('Market Data'!$J$5:$J$528,$T474)-4))&gt;0),INDEX('Market Data'!$AH$5:$AH$66,INDEX('Market Data'!$J$5:$J$528,$T474)-4),IF(AND($M$5&lt;&gt;"Bloomberg",ISNUMBER(INDEX('Market Data'!$AC$5:$AC$66,INDEX('Market Data'!$J$5:$J$528,$T474)-4)),N(INDEX('Market Data'!$AC$5:$AC$66,INDEX('Market Data'!$J$5:$J$528,$T474)-4))&gt;0),INDEX('Market Data'!$AC$5:$AC$66,INDEX('Market Data'!$J$5:$J$528,$T474)-4),"unavailable"))))</f>
        <v/>
      </c>
      <c r="M474" s="11">
        <f>IF($T474=0,"",IF(INDEX('Market Data'!$J$5:$J$528,$T474)=0,"n/a",IF(IF(INDEX('Market Data'!$J$5:$J$528,$T474)=0,0,IF(LEFT(INDEX('Market Data'!$AS$5:$AS$66,INDEX('Market Data'!$J$5:$J$528,$T474)-4),11)="First-month",1,0))=1,"class review",IF($I474="Bloomberg",IF(AND(ISNUMBER(INDEX('Market Data'!$AH$5:$AH$66,INDEX('Market Data'!$J$5:$J$528,$T474)-4)),N(INDEX('Market Data'!$AH$5:$AH$66,INDEX('Market Data'!$J$5:$J$528,$T474)-4))&gt;0,ISNUMBER('Market Data'!$B$1),N('Market Data'!$B$1)&gt;0),INDEX('Market Data'!$AH$5:$AH$66,INDEX('Market Data'!$J$5:$J$528,$T474)-4)*'Market Data'!$B$1/$E474-1,"pending A/FX"),IF(AND($I474="Snapshot",$Q474="Snapshot",ISNUMBER($E474),$G474=INDEX('Market Data'!$AE$5:$AE$66,INDEX('Market Data'!$J$5:$J$528,$T474)-4)),IFERROR(INDEX('Market Data'!$AC$5:$AC$66,INDEX('Market Data'!$J$5:$J$528,$T474)-4)*INDEX('Market Data'!$AD$5:$AD$66,INDEX('Market Data'!$J$5:$J$528,$T474)-4)/$E474-1,"unavailable"),IF($I474="Unavailable","unavailable","date mismatch"))))))</f>
        <v/>
      </c>
      <c r="N474" s="11">
        <f>IF($T474=0,"",IFERROR(IF(AND(N(INDEX('Market Data'!$F$5:$F$528,$T474))&gt;0,ISNUMBER(INDEX('Market Data'!$T$5:$T$528,$T474))),$E474*INDEX('Market Data'!$T$5:$T$528,$T474)/INDEX('Market Data'!$F$5:$F$528,$T474)-1,"unavailable"),"unavailable"))</f>
        <v/>
      </c>
      <c r="O474" s="9">
        <f>IF($T474=0,"",IF(IF(INDEX('Market Data'!$J$5:$J$528,$T474)=0,0,IF(LEFT(INDEX('Market Data'!$AS$5:$AS$66,INDEX('Market Data'!$J$5:$J$528,$T474)-4),11)="First-month",1,0))=1,"Class ratio review",IF($I474="Bloomberg",IF(ISNUMBER($G474),IF($G474&lt;TODAY(),"Older quote","See quote time"),"Date unavailable"),IF($I474="Snapshot",IF($G474&lt;DATEVALUE("2026-10-02"),"Older snapshot","Dated close"),"No valid quote"))))</f>
        <v/>
      </c>
      <c r="P474" s="14">
        <f>IF($T474=0,"",IF(INDEX('Market Data'!$J$5:$J$528,$T474)=0,"n/a",IF($Q474="Bloomberg",IF(AND(ISNUMBER(INDEX('Market Data'!$AK$5:$AK$66,INDEX('Market Data'!$J$5:$J$528,$T474)-4)),N(INDEX('Market Data'!$AK$5:$AK$66,INDEX('Market Data'!$J$5:$J$528,$T474)-4))&gt;0),INDEX('Market Data'!$AK$5:$AK$66,INDEX('Market Data'!$J$5:$J$528,$T474)-4),"date unavailable"),IF($Q474="Snapshot",IF(AND(ISNUMBER(INDEX('Market Data'!$AF$5:$AF$66,INDEX('Market Data'!$J$5:$J$528,$T474)-4)),N(INDEX('Market Data'!$AF$5:$AF$66,INDEX('Market Data'!$J$5:$J$528,$T474)-4))&gt;0),INDEX('Market Data'!$AF$5:$AF$66,INDEX('Market Data'!$J$5:$J$528,$T474)-4),"date unavailable"),"date unavailable"))))</f>
        <v/>
      </c>
      <c r="Q474" s="15">
        <f>IF($T474=0,"",IF(INDEX('Market Data'!$J$5:$J$528,$T474)=0,"n/a",IF(AND($M$5&lt;&gt;"Snapshot",ISNUMBER(INDEX('Market Data'!$AH$5:$AH$66,INDEX('Market Data'!$J$5:$J$528,$T474)-4)),N(INDEX('Market Data'!$AH$5:$AH$66,INDEX('Market Data'!$J$5:$J$528,$T474)-4))&gt;0),"Bloomberg",IF(AND($M$5&lt;&gt;"Bloomberg",ISNUMBER(INDEX('Market Data'!$AC$5:$AC$66,INDEX('Market Data'!$J$5:$J$528,$T474)-4)),N(INDEX('Market Data'!$AC$5:$AC$66,INDEX('Market Data'!$J$5:$J$528,$T474)-4))&gt;0),"Snapshot","Unavailable"))))</f>
        <v/>
      </c>
      <c r="T474">
        <f>IFERROR(MATCH(466,'Market Data'!$S$5:$S$528,0),0)</f>
        <v/>
      </c>
    </row>
    <row r="475" ht="34" customHeight="1">
      <c r="A475" s="8">
        <f>IF($T475=0,"",IF(INDEX('Market Data'!$A$5:$A$528,$T475)="","",INDEX('Market Data'!$A$5:$A$528,$T475)))</f>
        <v/>
      </c>
      <c r="B475" s="9">
        <f>IF($T475=0,"",IF(INDEX('Market Data'!$B$5:$B$528,$T475)="","",INDEX('Market Data'!$B$5:$B$528,$T475)))</f>
        <v/>
      </c>
      <c r="C475" s="9">
        <f>IF($T475=0,"",IF(INDEX('Market Data'!$C$5:$C$528,$T475)="","",INDEX('Market Data'!$C$5:$C$528,$T475)))</f>
        <v/>
      </c>
      <c r="D475" s="9">
        <f>IF($T475=0,"",IF(INDEX('Market Data'!$D$5:$D$528,$T475)="","",INDEX('Market Data'!$D$5:$D$528,$T475)))</f>
        <v/>
      </c>
      <c r="E475" s="10">
        <f>IF($T475=0,"",INDEX('Market Data'!$O$5:$O$528,$T475))</f>
        <v/>
      </c>
      <c r="F475" s="11">
        <f>IF($T475=0,"",IF(AND($I475="Bloomberg",ISNUMBER(INDEX('Market Data'!$L$5:$L$528,$T475))),INDEX('Market Data'!$L$5:$L$528,$T475),"unavailable"))</f>
        <v/>
      </c>
      <c r="G475" s="12">
        <f>IF($T475=0,"",IF($I475="Bloomberg",IF(AND(ISNUMBER(INDEX('Market Data'!$M$5:$M$528,$T475)),N(INDEX('Market Data'!$M$5:$M$528,$T475))&gt;0),INDEX('Market Data'!$M$5:$M$528,$T475),"date unavailable"),IF($I475="Snapshot",IF(AND(ISNUMBER(INDEX('Market Data'!$H$5:$H$528,$T475)),N(INDEX('Market Data'!$H$5:$H$528,$T475))&gt;0),INDEX('Market Data'!$H$5:$H$528,$T475),"date unavailable"),"date unavailable")))</f>
        <v/>
      </c>
      <c r="H475" s="9">
        <f>IF($T475=0,"",IF($I475="Bloomberg",IF(INDEX('Market Data'!$N$5:$N$528,$T475)="","time unavailable",INDEX('Market Data'!$N$5:$N$528,$T475)),""))</f>
        <v/>
      </c>
      <c r="I475" s="9">
        <f>IF($T475=0,"",INDEX('Market Data'!$P$5:$P$528,$T475))</f>
        <v/>
      </c>
      <c r="J475" s="13">
        <f>IF($T475=0,"",IF(INDEX('Market Data'!$E$5:$E$528,$T475)="","",INDEX('Market Data'!$E$5:$E$528,$T475)))</f>
        <v/>
      </c>
      <c r="K475" s="8">
        <f>IF($T475=0,"",IF(INDEX('Market Data'!$I$5:$I$528,$T475)="","",INDEX('Market Data'!$I$5:$I$528,$T475)))</f>
        <v/>
      </c>
      <c r="L475" s="10">
        <f>IF($T475=0,"",IF(INDEX('Market Data'!$J$5:$J$528,$T475)=0,"n/a",IF(AND($M$5&lt;&gt;"Snapshot",ISNUMBER(INDEX('Market Data'!$AH$5:$AH$66,INDEX('Market Data'!$J$5:$J$528,$T475)-4)),N(INDEX('Market Data'!$AH$5:$AH$66,INDEX('Market Data'!$J$5:$J$528,$T475)-4))&gt;0),INDEX('Market Data'!$AH$5:$AH$66,INDEX('Market Data'!$J$5:$J$528,$T475)-4),IF(AND($M$5&lt;&gt;"Bloomberg",ISNUMBER(INDEX('Market Data'!$AC$5:$AC$66,INDEX('Market Data'!$J$5:$J$528,$T475)-4)),N(INDEX('Market Data'!$AC$5:$AC$66,INDEX('Market Data'!$J$5:$J$528,$T475)-4))&gt;0),INDEX('Market Data'!$AC$5:$AC$66,INDEX('Market Data'!$J$5:$J$528,$T475)-4),"unavailable"))))</f>
        <v/>
      </c>
      <c r="M475" s="11">
        <f>IF($T475=0,"",IF(INDEX('Market Data'!$J$5:$J$528,$T475)=0,"n/a",IF(IF(INDEX('Market Data'!$J$5:$J$528,$T475)=0,0,IF(LEFT(INDEX('Market Data'!$AS$5:$AS$66,INDEX('Market Data'!$J$5:$J$528,$T475)-4),11)="First-month",1,0))=1,"class review",IF($I475="Bloomberg",IF(AND(ISNUMBER(INDEX('Market Data'!$AH$5:$AH$66,INDEX('Market Data'!$J$5:$J$528,$T475)-4)),N(INDEX('Market Data'!$AH$5:$AH$66,INDEX('Market Data'!$J$5:$J$528,$T475)-4))&gt;0,ISNUMBER('Market Data'!$B$1),N('Market Data'!$B$1)&gt;0),INDEX('Market Data'!$AH$5:$AH$66,INDEX('Market Data'!$J$5:$J$528,$T475)-4)*'Market Data'!$B$1/$E475-1,"pending A/FX"),IF(AND($I475="Snapshot",$Q475="Snapshot",ISNUMBER($E475),$G475=INDEX('Market Data'!$AE$5:$AE$66,INDEX('Market Data'!$J$5:$J$528,$T475)-4)),IFERROR(INDEX('Market Data'!$AC$5:$AC$66,INDEX('Market Data'!$J$5:$J$528,$T475)-4)*INDEX('Market Data'!$AD$5:$AD$66,INDEX('Market Data'!$J$5:$J$528,$T475)-4)/$E475-1,"unavailable"),IF($I475="Unavailable","unavailable","date mismatch"))))))</f>
        <v/>
      </c>
      <c r="N475" s="11">
        <f>IF($T475=0,"",IFERROR(IF(AND(N(INDEX('Market Data'!$F$5:$F$528,$T475))&gt;0,ISNUMBER(INDEX('Market Data'!$T$5:$T$528,$T475))),$E475*INDEX('Market Data'!$T$5:$T$528,$T475)/INDEX('Market Data'!$F$5:$F$528,$T475)-1,"unavailable"),"unavailable"))</f>
        <v/>
      </c>
      <c r="O475" s="9">
        <f>IF($T475=0,"",IF(IF(INDEX('Market Data'!$J$5:$J$528,$T475)=0,0,IF(LEFT(INDEX('Market Data'!$AS$5:$AS$66,INDEX('Market Data'!$J$5:$J$528,$T475)-4),11)="First-month",1,0))=1,"Class ratio review",IF($I475="Bloomberg",IF(ISNUMBER($G475),IF($G475&lt;TODAY(),"Older quote","See quote time"),"Date unavailable"),IF($I475="Snapshot",IF($G475&lt;DATEVALUE("2026-10-02"),"Older snapshot","Dated close"),"No valid quote"))))</f>
        <v/>
      </c>
      <c r="P475" s="14">
        <f>IF($T475=0,"",IF(INDEX('Market Data'!$J$5:$J$528,$T475)=0,"n/a",IF($Q475="Bloomberg",IF(AND(ISNUMBER(INDEX('Market Data'!$AK$5:$AK$66,INDEX('Market Data'!$J$5:$J$528,$T475)-4)),N(INDEX('Market Data'!$AK$5:$AK$66,INDEX('Market Data'!$J$5:$J$528,$T475)-4))&gt;0),INDEX('Market Data'!$AK$5:$AK$66,INDEX('Market Data'!$J$5:$J$528,$T475)-4),"date unavailable"),IF($Q475="Snapshot",IF(AND(ISNUMBER(INDEX('Market Data'!$AF$5:$AF$66,INDEX('Market Data'!$J$5:$J$528,$T475)-4)),N(INDEX('Market Data'!$AF$5:$AF$66,INDEX('Market Data'!$J$5:$J$528,$T475)-4))&gt;0),INDEX('Market Data'!$AF$5:$AF$66,INDEX('Market Data'!$J$5:$J$528,$T475)-4),"date unavailable"),"date unavailable"))))</f>
        <v/>
      </c>
      <c r="Q475" s="15">
        <f>IF($T475=0,"",IF(INDEX('Market Data'!$J$5:$J$528,$T475)=0,"n/a",IF(AND($M$5&lt;&gt;"Snapshot",ISNUMBER(INDEX('Market Data'!$AH$5:$AH$66,INDEX('Market Data'!$J$5:$J$528,$T475)-4)),N(INDEX('Market Data'!$AH$5:$AH$66,INDEX('Market Data'!$J$5:$J$528,$T475)-4))&gt;0),"Bloomberg",IF(AND($M$5&lt;&gt;"Bloomberg",ISNUMBER(INDEX('Market Data'!$AC$5:$AC$66,INDEX('Market Data'!$J$5:$J$528,$T475)-4)),N(INDEX('Market Data'!$AC$5:$AC$66,INDEX('Market Data'!$J$5:$J$528,$T475)-4))&gt;0),"Snapshot","Unavailable"))))</f>
        <v/>
      </c>
      <c r="T475">
        <f>IFERROR(MATCH(467,'Market Data'!$S$5:$S$528,0),0)</f>
        <v/>
      </c>
    </row>
    <row r="476" ht="34" customHeight="1">
      <c r="A476" s="8">
        <f>IF($T476=0,"",IF(INDEX('Market Data'!$A$5:$A$528,$T476)="","",INDEX('Market Data'!$A$5:$A$528,$T476)))</f>
        <v/>
      </c>
      <c r="B476" s="9">
        <f>IF($T476=0,"",IF(INDEX('Market Data'!$B$5:$B$528,$T476)="","",INDEX('Market Data'!$B$5:$B$528,$T476)))</f>
        <v/>
      </c>
      <c r="C476" s="9">
        <f>IF($T476=0,"",IF(INDEX('Market Data'!$C$5:$C$528,$T476)="","",INDEX('Market Data'!$C$5:$C$528,$T476)))</f>
        <v/>
      </c>
      <c r="D476" s="9">
        <f>IF($T476=0,"",IF(INDEX('Market Data'!$D$5:$D$528,$T476)="","",INDEX('Market Data'!$D$5:$D$528,$T476)))</f>
        <v/>
      </c>
      <c r="E476" s="10">
        <f>IF($T476=0,"",INDEX('Market Data'!$O$5:$O$528,$T476))</f>
        <v/>
      </c>
      <c r="F476" s="11">
        <f>IF($T476=0,"",IF(AND($I476="Bloomberg",ISNUMBER(INDEX('Market Data'!$L$5:$L$528,$T476))),INDEX('Market Data'!$L$5:$L$528,$T476),"unavailable"))</f>
        <v/>
      </c>
      <c r="G476" s="12">
        <f>IF($T476=0,"",IF($I476="Bloomberg",IF(AND(ISNUMBER(INDEX('Market Data'!$M$5:$M$528,$T476)),N(INDEX('Market Data'!$M$5:$M$528,$T476))&gt;0),INDEX('Market Data'!$M$5:$M$528,$T476),"date unavailable"),IF($I476="Snapshot",IF(AND(ISNUMBER(INDEX('Market Data'!$H$5:$H$528,$T476)),N(INDEX('Market Data'!$H$5:$H$528,$T476))&gt;0),INDEX('Market Data'!$H$5:$H$528,$T476),"date unavailable"),"date unavailable")))</f>
        <v/>
      </c>
      <c r="H476" s="9">
        <f>IF($T476=0,"",IF($I476="Bloomberg",IF(INDEX('Market Data'!$N$5:$N$528,$T476)="","time unavailable",INDEX('Market Data'!$N$5:$N$528,$T476)),""))</f>
        <v/>
      </c>
      <c r="I476" s="9">
        <f>IF($T476=0,"",INDEX('Market Data'!$P$5:$P$528,$T476))</f>
        <v/>
      </c>
      <c r="J476" s="13">
        <f>IF($T476=0,"",IF(INDEX('Market Data'!$E$5:$E$528,$T476)="","",INDEX('Market Data'!$E$5:$E$528,$T476)))</f>
        <v/>
      </c>
      <c r="K476" s="8">
        <f>IF($T476=0,"",IF(INDEX('Market Data'!$I$5:$I$528,$T476)="","",INDEX('Market Data'!$I$5:$I$528,$T476)))</f>
        <v/>
      </c>
      <c r="L476" s="10">
        <f>IF($T476=0,"",IF(INDEX('Market Data'!$J$5:$J$528,$T476)=0,"n/a",IF(AND($M$5&lt;&gt;"Snapshot",ISNUMBER(INDEX('Market Data'!$AH$5:$AH$66,INDEX('Market Data'!$J$5:$J$528,$T476)-4)),N(INDEX('Market Data'!$AH$5:$AH$66,INDEX('Market Data'!$J$5:$J$528,$T476)-4))&gt;0),INDEX('Market Data'!$AH$5:$AH$66,INDEX('Market Data'!$J$5:$J$528,$T476)-4),IF(AND($M$5&lt;&gt;"Bloomberg",ISNUMBER(INDEX('Market Data'!$AC$5:$AC$66,INDEX('Market Data'!$J$5:$J$528,$T476)-4)),N(INDEX('Market Data'!$AC$5:$AC$66,INDEX('Market Data'!$J$5:$J$528,$T476)-4))&gt;0),INDEX('Market Data'!$AC$5:$AC$66,INDEX('Market Data'!$J$5:$J$528,$T476)-4),"unavailable"))))</f>
        <v/>
      </c>
      <c r="M476" s="11">
        <f>IF($T476=0,"",IF(INDEX('Market Data'!$J$5:$J$528,$T476)=0,"n/a",IF(IF(INDEX('Market Data'!$J$5:$J$528,$T476)=0,0,IF(LEFT(INDEX('Market Data'!$AS$5:$AS$66,INDEX('Market Data'!$J$5:$J$528,$T476)-4),11)="First-month",1,0))=1,"class review",IF($I476="Bloomberg",IF(AND(ISNUMBER(INDEX('Market Data'!$AH$5:$AH$66,INDEX('Market Data'!$J$5:$J$528,$T476)-4)),N(INDEX('Market Data'!$AH$5:$AH$66,INDEX('Market Data'!$J$5:$J$528,$T476)-4))&gt;0,ISNUMBER('Market Data'!$B$1),N('Market Data'!$B$1)&gt;0),INDEX('Market Data'!$AH$5:$AH$66,INDEX('Market Data'!$J$5:$J$528,$T476)-4)*'Market Data'!$B$1/$E476-1,"pending A/FX"),IF(AND($I476="Snapshot",$Q476="Snapshot",ISNUMBER($E476),$G476=INDEX('Market Data'!$AE$5:$AE$66,INDEX('Market Data'!$J$5:$J$528,$T476)-4)),IFERROR(INDEX('Market Data'!$AC$5:$AC$66,INDEX('Market Data'!$J$5:$J$528,$T476)-4)*INDEX('Market Data'!$AD$5:$AD$66,INDEX('Market Data'!$J$5:$J$528,$T476)-4)/$E476-1,"unavailable"),IF($I476="Unavailable","unavailable","date mismatch"))))))</f>
        <v/>
      </c>
      <c r="N476" s="11">
        <f>IF($T476=0,"",IFERROR(IF(AND(N(INDEX('Market Data'!$F$5:$F$528,$T476))&gt;0,ISNUMBER(INDEX('Market Data'!$T$5:$T$528,$T476))),$E476*INDEX('Market Data'!$T$5:$T$528,$T476)/INDEX('Market Data'!$F$5:$F$528,$T476)-1,"unavailable"),"unavailable"))</f>
        <v/>
      </c>
      <c r="O476" s="9">
        <f>IF($T476=0,"",IF(IF(INDEX('Market Data'!$J$5:$J$528,$T476)=0,0,IF(LEFT(INDEX('Market Data'!$AS$5:$AS$66,INDEX('Market Data'!$J$5:$J$528,$T476)-4),11)="First-month",1,0))=1,"Class ratio review",IF($I476="Bloomberg",IF(ISNUMBER($G476),IF($G476&lt;TODAY(),"Older quote","See quote time"),"Date unavailable"),IF($I476="Snapshot",IF($G476&lt;DATEVALUE("2026-10-02"),"Older snapshot","Dated close"),"No valid quote"))))</f>
        <v/>
      </c>
      <c r="P476" s="14">
        <f>IF($T476=0,"",IF(INDEX('Market Data'!$J$5:$J$528,$T476)=0,"n/a",IF($Q476="Bloomberg",IF(AND(ISNUMBER(INDEX('Market Data'!$AK$5:$AK$66,INDEX('Market Data'!$J$5:$J$528,$T476)-4)),N(INDEX('Market Data'!$AK$5:$AK$66,INDEX('Market Data'!$J$5:$J$528,$T476)-4))&gt;0),INDEX('Market Data'!$AK$5:$AK$66,INDEX('Market Data'!$J$5:$J$528,$T476)-4),"date unavailable"),IF($Q476="Snapshot",IF(AND(ISNUMBER(INDEX('Market Data'!$AF$5:$AF$66,INDEX('Market Data'!$J$5:$J$528,$T476)-4)),N(INDEX('Market Data'!$AF$5:$AF$66,INDEX('Market Data'!$J$5:$J$528,$T476)-4))&gt;0),INDEX('Market Data'!$AF$5:$AF$66,INDEX('Market Data'!$J$5:$J$528,$T476)-4),"date unavailable"),"date unavailable"))))</f>
        <v/>
      </c>
      <c r="Q476" s="15">
        <f>IF($T476=0,"",IF(INDEX('Market Data'!$J$5:$J$528,$T476)=0,"n/a",IF(AND($M$5&lt;&gt;"Snapshot",ISNUMBER(INDEX('Market Data'!$AH$5:$AH$66,INDEX('Market Data'!$J$5:$J$528,$T476)-4)),N(INDEX('Market Data'!$AH$5:$AH$66,INDEX('Market Data'!$J$5:$J$528,$T476)-4))&gt;0),"Bloomberg",IF(AND($M$5&lt;&gt;"Bloomberg",ISNUMBER(INDEX('Market Data'!$AC$5:$AC$66,INDEX('Market Data'!$J$5:$J$528,$T476)-4)),N(INDEX('Market Data'!$AC$5:$AC$66,INDEX('Market Data'!$J$5:$J$528,$T476)-4))&gt;0),"Snapshot","Unavailable"))))</f>
        <v/>
      </c>
      <c r="T476">
        <f>IFERROR(MATCH(468,'Market Data'!$S$5:$S$528,0),0)</f>
        <v/>
      </c>
    </row>
    <row r="477" ht="34" customHeight="1">
      <c r="A477" s="8">
        <f>IF($T477=0,"",IF(INDEX('Market Data'!$A$5:$A$528,$T477)="","",INDEX('Market Data'!$A$5:$A$528,$T477)))</f>
        <v/>
      </c>
      <c r="B477" s="9">
        <f>IF($T477=0,"",IF(INDEX('Market Data'!$B$5:$B$528,$T477)="","",INDEX('Market Data'!$B$5:$B$528,$T477)))</f>
        <v/>
      </c>
      <c r="C477" s="9">
        <f>IF($T477=0,"",IF(INDEX('Market Data'!$C$5:$C$528,$T477)="","",INDEX('Market Data'!$C$5:$C$528,$T477)))</f>
        <v/>
      </c>
      <c r="D477" s="9">
        <f>IF($T477=0,"",IF(INDEX('Market Data'!$D$5:$D$528,$T477)="","",INDEX('Market Data'!$D$5:$D$528,$T477)))</f>
        <v/>
      </c>
      <c r="E477" s="10">
        <f>IF($T477=0,"",INDEX('Market Data'!$O$5:$O$528,$T477))</f>
        <v/>
      </c>
      <c r="F477" s="11">
        <f>IF($T477=0,"",IF(AND($I477="Bloomberg",ISNUMBER(INDEX('Market Data'!$L$5:$L$528,$T477))),INDEX('Market Data'!$L$5:$L$528,$T477),"unavailable"))</f>
        <v/>
      </c>
      <c r="G477" s="12">
        <f>IF($T477=0,"",IF($I477="Bloomberg",IF(AND(ISNUMBER(INDEX('Market Data'!$M$5:$M$528,$T477)),N(INDEX('Market Data'!$M$5:$M$528,$T477))&gt;0),INDEX('Market Data'!$M$5:$M$528,$T477),"date unavailable"),IF($I477="Snapshot",IF(AND(ISNUMBER(INDEX('Market Data'!$H$5:$H$528,$T477)),N(INDEX('Market Data'!$H$5:$H$528,$T477))&gt;0),INDEX('Market Data'!$H$5:$H$528,$T477),"date unavailable"),"date unavailable")))</f>
        <v/>
      </c>
      <c r="H477" s="9">
        <f>IF($T477=0,"",IF($I477="Bloomberg",IF(INDEX('Market Data'!$N$5:$N$528,$T477)="","time unavailable",INDEX('Market Data'!$N$5:$N$528,$T477)),""))</f>
        <v/>
      </c>
      <c r="I477" s="9">
        <f>IF($T477=0,"",INDEX('Market Data'!$P$5:$P$528,$T477))</f>
        <v/>
      </c>
      <c r="J477" s="13">
        <f>IF($T477=0,"",IF(INDEX('Market Data'!$E$5:$E$528,$T477)="","",INDEX('Market Data'!$E$5:$E$528,$T477)))</f>
        <v/>
      </c>
      <c r="K477" s="8">
        <f>IF($T477=0,"",IF(INDEX('Market Data'!$I$5:$I$528,$T477)="","",INDEX('Market Data'!$I$5:$I$528,$T477)))</f>
        <v/>
      </c>
      <c r="L477" s="10">
        <f>IF($T477=0,"",IF(INDEX('Market Data'!$J$5:$J$528,$T477)=0,"n/a",IF(AND($M$5&lt;&gt;"Snapshot",ISNUMBER(INDEX('Market Data'!$AH$5:$AH$66,INDEX('Market Data'!$J$5:$J$528,$T477)-4)),N(INDEX('Market Data'!$AH$5:$AH$66,INDEX('Market Data'!$J$5:$J$528,$T477)-4))&gt;0),INDEX('Market Data'!$AH$5:$AH$66,INDEX('Market Data'!$J$5:$J$528,$T477)-4),IF(AND($M$5&lt;&gt;"Bloomberg",ISNUMBER(INDEX('Market Data'!$AC$5:$AC$66,INDEX('Market Data'!$J$5:$J$528,$T477)-4)),N(INDEX('Market Data'!$AC$5:$AC$66,INDEX('Market Data'!$J$5:$J$528,$T477)-4))&gt;0),INDEX('Market Data'!$AC$5:$AC$66,INDEX('Market Data'!$J$5:$J$528,$T477)-4),"unavailable"))))</f>
        <v/>
      </c>
      <c r="M477" s="11">
        <f>IF($T477=0,"",IF(INDEX('Market Data'!$J$5:$J$528,$T477)=0,"n/a",IF(IF(INDEX('Market Data'!$J$5:$J$528,$T477)=0,0,IF(LEFT(INDEX('Market Data'!$AS$5:$AS$66,INDEX('Market Data'!$J$5:$J$528,$T477)-4),11)="First-month",1,0))=1,"class review",IF($I477="Bloomberg",IF(AND(ISNUMBER(INDEX('Market Data'!$AH$5:$AH$66,INDEX('Market Data'!$J$5:$J$528,$T477)-4)),N(INDEX('Market Data'!$AH$5:$AH$66,INDEX('Market Data'!$J$5:$J$528,$T477)-4))&gt;0,ISNUMBER('Market Data'!$B$1),N('Market Data'!$B$1)&gt;0),INDEX('Market Data'!$AH$5:$AH$66,INDEX('Market Data'!$J$5:$J$528,$T477)-4)*'Market Data'!$B$1/$E477-1,"pending A/FX"),IF(AND($I477="Snapshot",$Q477="Snapshot",ISNUMBER($E477),$G477=INDEX('Market Data'!$AE$5:$AE$66,INDEX('Market Data'!$J$5:$J$528,$T477)-4)),IFERROR(INDEX('Market Data'!$AC$5:$AC$66,INDEX('Market Data'!$J$5:$J$528,$T477)-4)*INDEX('Market Data'!$AD$5:$AD$66,INDEX('Market Data'!$J$5:$J$528,$T477)-4)/$E477-1,"unavailable"),IF($I477="Unavailable","unavailable","date mismatch"))))))</f>
        <v/>
      </c>
      <c r="N477" s="11">
        <f>IF($T477=0,"",IFERROR(IF(AND(N(INDEX('Market Data'!$F$5:$F$528,$T477))&gt;0,ISNUMBER(INDEX('Market Data'!$T$5:$T$528,$T477))),$E477*INDEX('Market Data'!$T$5:$T$528,$T477)/INDEX('Market Data'!$F$5:$F$528,$T477)-1,"unavailable"),"unavailable"))</f>
        <v/>
      </c>
      <c r="O477" s="9">
        <f>IF($T477=0,"",IF(IF(INDEX('Market Data'!$J$5:$J$528,$T477)=0,0,IF(LEFT(INDEX('Market Data'!$AS$5:$AS$66,INDEX('Market Data'!$J$5:$J$528,$T477)-4),11)="First-month",1,0))=1,"Class ratio review",IF($I477="Bloomberg",IF(ISNUMBER($G477),IF($G477&lt;TODAY(),"Older quote","See quote time"),"Date unavailable"),IF($I477="Snapshot",IF($G477&lt;DATEVALUE("2026-10-02"),"Older snapshot","Dated close"),"No valid quote"))))</f>
        <v/>
      </c>
      <c r="P477" s="14">
        <f>IF($T477=0,"",IF(INDEX('Market Data'!$J$5:$J$528,$T477)=0,"n/a",IF($Q477="Bloomberg",IF(AND(ISNUMBER(INDEX('Market Data'!$AK$5:$AK$66,INDEX('Market Data'!$J$5:$J$528,$T477)-4)),N(INDEX('Market Data'!$AK$5:$AK$66,INDEX('Market Data'!$J$5:$J$528,$T477)-4))&gt;0),INDEX('Market Data'!$AK$5:$AK$66,INDEX('Market Data'!$J$5:$J$528,$T477)-4),"date unavailable"),IF($Q477="Snapshot",IF(AND(ISNUMBER(INDEX('Market Data'!$AF$5:$AF$66,INDEX('Market Data'!$J$5:$J$528,$T477)-4)),N(INDEX('Market Data'!$AF$5:$AF$66,INDEX('Market Data'!$J$5:$J$528,$T477)-4))&gt;0),INDEX('Market Data'!$AF$5:$AF$66,INDEX('Market Data'!$J$5:$J$528,$T477)-4),"date unavailable"),"date unavailable"))))</f>
        <v/>
      </c>
      <c r="Q477" s="15">
        <f>IF($T477=0,"",IF(INDEX('Market Data'!$J$5:$J$528,$T477)=0,"n/a",IF(AND($M$5&lt;&gt;"Snapshot",ISNUMBER(INDEX('Market Data'!$AH$5:$AH$66,INDEX('Market Data'!$J$5:$J$528,$T477)-4)),N(INDEX('Market Data'!$AH$5:$AH$66,INDEX('Market Data'!$J$5:$J$528,$T477)-4))&gt;0),"Bloomberg",IF(AND($M$5&lt;&gt;"Bloomberg",ISNUMBER(INDEX('Market Data'!$AC$5:$AC$66,INDEX('Market Data'!$J$5:$J$528,$T477)-4)),N(INDEX('Market Data'!$AC$5:$AC$66,INDEX('Market Data'!$J$5:$J$528,$T477)-4))&gt;0),"Snapshot","Unavailable"))))</f>
        <v/>
      </c>
      <c r="T477">
        <f>IFERROR(MATCH(469,'Market Data'!$S$5:$S$528,0),0)</f>
        <v/>
      </c>
    </row>
    <row r="478" ht="34" customHeight="1">
      <c r="A478" s="8">
        <f>IF($T478=0,"",IF(INDEX('Market Data'!$A$5:$A$528,$T478)="","",INDEX('Market Data'!$A$5:$A$528,$T478)))</f>
        <v/>
      </c>
      <c r="B478" s="9">
        <f>IF($T478=0,"",IF(INDEX('Market Data'!$B$5:$B$528,$T478)="","",INDEX('Market Data'!$B$5:$B$528,$T478)))</f>
        <v/>
      </c>
      <c r="C478" s="9">
        <f>IF($T478=0,"",IF(INDEX('Market Data'!$C$5:$C$528,$T478)="","",INDEX('Market Data'!$C$5:$C$528,$T478)))</f>
        <v/>
      </c>
      <c r="D478" s="9">
        <f>IF($T478=0,"",IF(INDEX('Market Data'!$D$5:$D$528,$T478)="","",INDEX('Market Data'!$D$5:$D$528,$T478)))</f>
        <v/>
      </c>
      <c r="E478" s="10">
        <f>IF($T478=0,"",INDEX('Market Data'!$O$5:$O$528,$T478))</f>
        <v/>
      </c>
      <c r="F478" s="11">
        <f>IF($T478=0,"",IF(AND($I478="Bloomberg",ISNUMBER(INDEX('Market Data'!$L$5:$L$528,$T478))),INDEX('Market Data'!$L$5:$L$528,$T478),"unavailable"))</f>
        <v/>
      </c>
      <c r="G478" s="12">
        <f>IF($T478=0,"",IF($I478="Bloomberg",IF(AND(ISNUMBER(INDEX('Market Data'!$M$5:$M$528,$T478)),N(INDEX('Market Data'!$M$5:$M$528,$T478))&gt;0),INDEX('Market Data'!$M$5:$M$528,$T478),"date unavailable"),IF($I478="Snapshot",IF(AND(ISNUMBER(INDEX('Market Data'!$H$5:$H$528,$T478)),N(INDEX('Market Data'!$H$5:$H$528,$T478))&gt;0),INDEX('Market Data'!$H$5:$H$528,$T478),"date unavailable"),"date unavailable")))</f>
        <v/>
      </c>
      <c r="H478" s="9">
        <f>IF($T478=0,"",IF($I478="Bloomberg",IF(INDEX('Market Data'!$N$5:$N$528,$T478)="","time unavailable",INDEX('Market Data'!$N$5:$N$528,$T478)),""))</f>
        <v/>
      </c>
      <c r="I478" s="9">
        <f>IF($T478=0,"",INDEX('Market Data'!$P$5:$P$528,$T478))</f>
        <v/>
      </c>
      <c r="J478" s="13">
        <f>IF($T478=0,"",IF(INDEX('Market Data'!$E$5:$E$528,$T478)="","",INDEX('Market Data'!$E$5:$E$528,$T478)))</f>
        <v/>
      </c>
      <c r="K478" s="8">
        <f>IF($T478=0,"",IF(INDEX('Market Data'!$I$5:$I$528,$T478)="","",INDEX('Market Data'!$I$5:$I$528,$T478)))</f>
        <v/>
      </c>
      <c r="L478" s="10">
        <f>IF($T478=0,"",IF(INDEX('Market Data'!$J$5:$J$528,$T478)=0,"n/a",IF(AND($M$5&lt;&gt;"Snapshot",ISNUMBER(INDEX('Market Data'!$AH$5:$AH$66,INDEX('Market Data'!$J$5:$J$528,$T478)-4)),N(INDEX('Market Data'!$AH$5:$AH$66,INDEX('Market Data'!$J$5:$J$528,$T478)-4))&gt;0),INDEX('Market Data'!$AH$5:$AH$66,INDEX('Market Data'!$J$5:$J$528,$T478)-4),IF(AND($M$5&lt;&gt;"Bloomberg",ISNUMBER(INDEX('Market Data'!$AC$5:$AC$66,INDEX('Market Data'!$J$5:$J$528,$T478)-4)),N(INDEX('Market Data'!$AC$5:$AC$66,INDEX('Market Data'!$J$5:$J$528,$T478)-4))&gt;0),INDEX('Market Data'!$AC$5:$AC$66,INDEX('Market Data'!$J$5:$J$528,$T478)-4),"unavailable"))))</f>
        <v/>
      </c>
      <c r="M478" s="11">
        <f>IF($T478=0,"",IF(INDEX('Market Data'!$J$5:$J$528,$T478)=0,"n/a",IF(IF(INDEX('Market Data'!$J$5:$J$528,$T478)=0,0,IF(LEFT(INDEX('Market Data'!$AS$5:$AS$66,INDEX('Market Data'!$J$5:$J$528,$T478)-4),11)="First-month",1,0))=1,"class review",IF($I478="Bloomberg",IF(AND(ISNUMBER(INDEX('Market Data'!$AH$5:$AH$66,INDEX('Market Data'!$J$5:$J$528,$T478)-4)),N(INDEX('Market Data'!$AH$5:$AH$66,INDEX('Market Data'!$J$5:$J$528,$T478)-4))&gt;0,ISNUMBER('Market Data'!$B$1),N('Market Data'!$B$1)&gt;0),INDEX('Market Data'!$AH$5:$AH$66,INDEX('Market Data'!$J$5:$J$528,$T478)-4)*'Market Data'!$B$1/$E478-1,"pending A/FX"),IF(AND($I478="Snapshot",$Q478="Snapshot",ISNUMBER($E478),$G478=INDEX('Market Data'!$AE$5:$AE$66,INDEX('Market Data'!$J$5:$J$528,$T478)-4)),IFERROR(INDEX('Market Data'!$AC$5:$AC$66,INDEX('Market Data'!$J$5:$J$528,$T478)-4)*INDEX('Market Data'!$AD$5:$AD$66,INDEX('Market Data'!$J$5:$J$528,$T478)-4)/$E478-1,"unavailable"),IF($I478="Unavailable","unavailable","date mismatch"))))))</f>
        <v/>
      </c>
      <c r="N478" s="11">
        <f>IF($T478=0,"",IFERROR(IF(AND(N(INDEX('Market Data'!$F$5:$F$528,$T478))&gt;0,ISNUMBER(INDEX('Market Data'!$T$5:$T$528,$T478))),$E478*INDEX('Market Data'!$T$5:$T$528,$T478)/INDEX('Market Data'!$F$5:$F$528,$T478)-1,"unavailable"),"unavailable"))</f>
        <v/>
      </c>
      <c r="O478" s="9">
        <f>IF($T478=0,"",IF(IF(INDEX('Market Data'!$J$5:$J$528,$T478)=0,0,IF(LEFT(INDEX('Market Data'!$AS$5:$AS$66,INDEX('Market Data'!$J$5:$J$528,$T478)-4),11)="First-month",1,0))=1,"Class ratio review",IF($I478="Bloomberg",IF(ISNUMBER($G478),IF($G478&lt;TODAY(),"Older quote","See quote time"),"Date unavailable"),IF($I478="Snapshot",IF($G478&lt;DATEVALUE("2026-10-02"),"Older snapshot","Dated close"),"No valid quote"))))</f>
        <v/>
      </c>
      <c r="P478" s="14">
        <f>IF($T478=0,"",IF(INDEX('Market Data'!$J$5:$J$528,$T478)=0,"n/a",IF($Q478="Bloomberg",IF(AND(ISNUMBER(INDEX('Market Data'!$AK$5:$AK$66,INDEX('Market Data'!$J$5:$J$528,$T478)-4)),N(INDEX('Market Data'!$AK$5:$AK$66,INDEX('Market Data'!$J$5:$J$528,$T478)-4))&gt;0),INDEX('Market Data'!$AK$5:$AK$66,INDEX('Market Data'!$J$5:$J$528,$T478)-4),"date unavailable"),IF($Q478="Snapshot",IF(AND(ISNUMBER(INDEX('Market Data'!$AF$5:$AF$66,INDEX('Market Data'!$J$5:$J$528,$T478)-4)),N(INDEX('Market Data'!$AF$5:$AF$66,INDEX('Market Data'!$J$5:$J$528,$T478)-4))&gt;0),INDEX('Market Data'!$AF$5:$AF$66,INDEX('Market Data'!$J$5:$J$528,$T478)-4),"date unavailable"),"date unavailable"))))</f>
        <v/>
      </c>
      <c r="Q478" s="15">
        <f>IF($T478=0,"",IF(INDEX('Market Data'!$J$5:$J$528,$T478)=0,"n/a",IF(AND($M$5&lt;&gt;"Snapshot",ISNUMBER(INDEX('Market Data'!$AH$5:$AH$66,INDEX('Market Data'!$J$5:$J$528,$T478)-4)),N(INDEX('Market Data'!$AH$5:$AH$66,INDEX('Market Data'!$J$5:$J$528,$T478)-4))&gt;0),"Bloomberg",IF(AND($M$5&lt;&gt;"Bloomberg",ISNUMBER(INDEX('Market Data'!$AC$5:$AC$66,INDEX('Market Data'!$J$5:$J$528,$T478)-4)),N(INDEX('Market Data'!$AC$5:$AC$66,INDEX('Market Data'!$J$5:$J$528,$T478)-4))&gt;0),"Snapshot","Unavailable"))))</f>
        <v/>
      </c>
      <c r="T478">
        <f>IFERROR(MATCH(470,'Market Data'!$S$5:$S$528,0),0)</f>
        <v/>
      </c>
    </row>
    <row r="479" ht="34" customHeight="1">
      <c r="A479" s="8">
        <f>IF($T479=0,"",IF(INDEX('Market Data'!$A$5:$A$528,$T479)="","",INDEX('Market Data'!$A$5:$A$528,$T479)))</f>
        <v/>
      </c>
      <c r="B479" s="9">
        <f>IF($T479=0,"",IF(INDEX('Market Data'!$B$5:$B$528,$T479)="","",INDEX('Market Data'!$B$5:$B$528,$T479)))</f>
        <v/>
      </c>
      <c r="C479" s="9">
        <f>IF($T479=0,"",IF(INDEX('Market Data'!$C$5:$C$528,$T479)="","",INDEX('Market Data'!$C$5:$C$528,$T479)))</f>
        <v/>
      </c>
      <c r="D479" s="9">
        <f>IF($T479=0,"",IF(INDEX('Market Data'!$D$5:$D$528,$T479)="","",INDEX('Market Data'!$D$5:$D$528,$T479)))</f>
        <v/>
      </c>
      <c r="E479" s="10">
        <f>IF($T479=0,"",INDEX('Market Data'!$O$5:$O$528,$T479))</f>
        <v/>
      </c>
      <c r="F479" s="11">
        <f>IF($T479=0,"",IF(AND($I479="Bloomberg",ISNUMBER(INDEX('Market Data'!$L$5:$L$528,$T479))),INDEX('Market Data'!$L$5:$L$528,$T479),"unavailable"))</f>
        <v/>
      </c>
      <c r="G479" s="12">
        <f>IF($T479=0,"",IF($I479="Bloomberg",IF(AND(ISNUMBER(INDEX('Market Data'!$M$5:$M$528,$T479)),N(INDEX('Market Data'!$M$5:$M$528,$T479))&gt;0),INDEX('Market Data'!$M$5:$M$528,$T479),"date unavailable"),IF($I479="Snapshot",IF(AND(ISNUMBER(INDEX('Market Data'!$H$5:$H$528,$T479)),N(INDEX('Market Data'!$H$5:$H$528,$T479))&gt;0),INDEX('Market Data'!$H$5:$H$528,$T479),"date unavailable"),"date unavailable")))</f>
        <v/>
      </c>
      <c r="H479" s="9">
        <f>IF($T479=0,"",IF($I479="Bloomberg",IF(INDEX('Market Data'!$N$5:$N$528,$T479)="","time unavailable",INDEX('Market Data'!$N$5:$N$528,$T479)),""))</f>
        <v/>
      </c>
      <c r="I479" s="9">
        <f>IF($T479=0,"",INDEX('Market Data'!$P$5:$P$528,$T479))</f>
        <v/>
      </c>
      <c r="J479" s="13">
        <f>IF($T479=0,"",IF(INDEX('Market Data'!$E$5:$E$528,$T479)="","",INDEX('Market Data'!$E$5:$E$528,$T479)))</f>
        <v/>
      </c>
      <c r="K479" s="8">
        <f>IF($T479=0,"",IF(INDEX('Market Data'!$I$5:$I$528,$T479)="","",INDEX('Market Data'!$I$5:$I$528,$T479)))</f>
        <v/>
      </c>
      <c r="L479" s="10">
        <f>IF($T479=0,"",IF(INDEX('Market Data'!$J$5:$J$528,$T479)=0,"n/a",IF(AND($M$5&lt;&gt;"Snapshot",ISNUMBER(INDEX('Market Data'!$AH$5:$AH$66,INDEX('Market Data'!$J$5:$J$528,$T479)-4)),N(INDEX('Market Data'!$AH$5:$AH$66,INDEX('Market Data'!$J$5:$J$528,$T479)-4))&gt;0),INDEX('Market Data'!$AH$5:$AH$66,INDEX('Market Data'!$J$5:$J$528,$T479)-4),IF(AND($M$5&lt;&gt;"Bloomberg",ISNUMBER(INDEX('Market Data'!$AC$5:$AC$66,INDEX('Market Data'!$J$5:$J$528,$T479)-4)),N(INDEX('Market Data'!$AC$5:$AC$66,INDEX('Market Data'!$J$5:$J$528,$T479)-4))&gt;0),INDEX('Market Data'!$AC$5:$AC$66,INDEX('Market Data'!$J$5:$J$528,$T479)-4),"unavailable"))))</f>
        <v/>
      </c>
      <c r="M479" s="11">
        <f>IF($T479=0,"",IF(INDEX('Market Data'!$J$5:$J$528,$T479)=0,"n/a",IF(IF(INDEX('Market Data'!$J$5:$J$528,$T479)=0,0,IF(LEFT(INDEX('Market Data'!$AS$5:$AS$66,INDEX('Market Data'!$J$5:$J$528,$T479)-4),11)="First-month",1,0))=1,"class review",IF($I479="Bloomberg",IF(AND(ISNUMBER(INDEX('Market Data'!$AH$5:$AH$66,INDEX('Market Data'!$J$5:$J$528,$T479)-4)),N(INDEX('Market Data'!$AH$5:$AH$66,INDEX('Market Data'!$J$5:$J$528,$T479)-4))&gt;0,ISNUMBER('Market Data'!$B$1),N('Market Data'!$B$1)&gt;0),INDEX('Market Data'!$AH$5:$AH$66,INDEX('Market Data'!$J$5:$J$528,$T479)-4)*'Market Data'!$B$1/$E479-1,"pending A/FX"),IF(AND($I479="Snapshot",$Q479="Snapshot",ISNUMBER($E479),$G479=INDEX('Market Data'!$AE$5:$AE$66,INDEX('Market Data'!$J$5:$J$528,$T479)-4)),IFERROR(INDEX('Market Data'!$AC$5:$AC$66,INDEX('Market Data'!$J$5:$J$528,$T479)-4)*INDEX('Market Data'!$AD$5:$AD$66,INDEX('Market Data'!$J$5:$J$528,$T479)-4)/$E479-1,"unavailable"),IF($I479="Unavailable","unavailable","date mismatch"))))))</f>
        <v/>
      </c>
      <c r="N479" s="11">
        <f>IF($T479=0,"",IFERROR(IF(AND(N(INDEX('Market Data'!$F$5:$F$528,$T479))&gt;0,ISNUMBER(INDEX('Market Data'!$T$5:$T$528,$T479))),$E479*INDEX('Market Data'!$T$5:$T$528,$T479)/INDEX('Market Data'!$F$5:$F$528,$T479)-1,"unavailable"),"unavailable"))</f>
        <v/>
      </c>
      <c r="O479" s="9">
        <f>IF($T479=0,"",IF(IF(INDEX('Market Data'!$J$5:$J$528,$T479)=0,0,IF(LEFT(INDEX('Market Data'!$AS$5:$AS$66,INDEX('Market Data'!$J$5:$J$528,$T479)-4),11)="First-month",1,0))=1,"Class ratio review",IF($I479="Bloomberg",IF(ISNUMBER($G479),IF($G479&lt;TODAY(),"Older quote","See quote time"),"Date unavailable"),IF($I479="Snapshot",IF($G479&lt;DATEVALUE("2026-10-02"),"Older snapshot","Dated close"),"No valid quote"))))</f>
        <v/>
      </c>
      <c r="P479" s="14">
        <f>IF($T479=0,"",IF(INDEX('Market Data'!$J$5:$J$528,$T479)=0,"n/a",IF($Q479="Bloomberg",IF(AND(ISNUMBER(INDEX('Market Data'!$AK$5:$AK$66,INDEX('Market Data'!$J$5:$J$528,$T479)-4)),N(INDEX('Market Data'!$AK$5:$AK$66,INDEX('Market Data'!$J$5:$J$528,$T479)-4))&gt;0),INDEX('Market Data'!$AK$5:$AK$66,INDEX('Market Data'!$J$5:$J$528,$T479)-4),"date unavailable"),IF($Q479="Snapshot",IF(AND(ISNUMBER(INDEX('Market Data'!$AF$5:$AF$66,INDEX('Market Data'!$J$5:$J$528,$T479)-4)),N(INDEX('Market Data'!$AF$5:$AF$66,INDEX('Market Data'!$J$5:$J$528,$T479)-4))&gt;0),INDEX('Market Data'!$AF$5:$AF$66,INDEX('Market Data'!$J$5:$J$528,$T479)-4),"date unavailable"),"date unavailable"))))</f>
        <v/>
      </c>
      <c r="Q479" s="15">
        <f>IF($T479=0,"",IF(INDEX('Market Data'!$J$5:$J$528,$T479)=0,"n/a",IF(AND($M$5&lt;&gt;"Snapshot",ISNUMBER(INDEX('Market Data'!$AH$5:$AH$66,INDEX('Market Data'!$J$5:$J$528,$T479)-4)),N(INDEX('Market Data'!$AH$5:$AH$66,INDEX('Market Data'!$J$5:$J$528,$T479)-4))&gt;0),"Bloomberg",IF(AND($M$5&lt;&gt;"Bloomberg",ISNUMBER(INDEX('Market Data'!$AC$5:$AC$66,INDEX('Market Data'!$J$5:$J$528,$T479)-4)),N(INDEX('Market Data'!$AC$5:$AC$66,INDEX('Market Data'!$J$5:$J$528,$T479)-4))&gt;0),"Snapshot","Unavailable"))))</f>
        <v/>
      </c>
      <c r="T479">
        <f>IFERROR(MATCH(471,'Market Data'!$S$5:$S$528,0),0)</f>
        <v/>
      </c>
    </row>
    <row r="480" ht="34" customHeight="1">
      <c r="A480" s="8">
        <f>IF($T480=0,"",IF(INDEX('Market Data'!$A$5:$A$528,$T480)="","",INDEX('Market Data'!$A$5:$A$528,$T480)))</f>
        <v/>
      </c>
      <c r="B480" s="9">
        <f>IF($T480=0,"",IF(INDEX('Market Data'!$B$5:$B$528,$T480)="","",INDEX('Market Data'!$B$5:$B$528,$T480)))</f>
        <v/>
      </c>
      <c r="C480" s="9">
        <f>IF($T480=0,"",IF(INDEX('Market Data'!$C$5:$C$528,$T480)="","",INDEX('Market Data'!$C$5:$C$528,$T480)))</f>
        <v/>
      </c>
      <c r="D480" s="9">
        <f>IF($T480=0,"",IF(INDEX('Market Data'!$D$5:$D$528,$T480)="","",INDEX('Market Data'!$D$5:$D$528,$T480)))</f>
        <v/>
      </c>
      <c r="E480" s="10">
        <f>IF($T480=0,"",INDEX('Market Data'!$O$5:$O$528,$T480))</f>
        <v/>
      </c>
      <c r="F480" s="11">
        <f>IF($T480=0,"",IF(AND($I480="Bloomberg",ISNUMBER(INDEX('Market Data'!$L$5:$L$528,$T480))),INDEX('Market Data'!$L$5:$L$528,$T480),"unavailable"))</f>
        <v/>
      </c>
      <c r="G480" s="12">
        <f>IF($T480=0,"",IF($I480="Bloomberg",IF(AND(ISNUMBER(INDEX('Market Data'!$M$5:$M$528,$T480)),N(INDEX('Market Data'!$M$5:$M$528,$T480))&gt;0),INDEX('Market Data'!$M$5:$M$528,$T480),"date unavailable"),IF($I480="Snapshot",IF(AND(ISNUMBER(INDEX('Market Data'!$H$5:$H$528,$T480)),N(INDEX('Market Data'!$H$5:$H$528,$T480))&gt;0),INDEX('Market Data'!$H$5:$H$528,$T480),"date unavailable"),"date unavailable")))</f>
        <v/>
      </c>
      <c r="H480" s="9">
        <f>IF($T480=0,"",IF($I480="Bloomberg",IF(INDEX('Market Data'!$N$5:$N$528,$T480)="","time unavailable",INDEX('Market Data'!$N$5:$N$528,$T480)),""))</f>
        <v/>
      </c>
      <c r="I480" s="9">
        <f>IF($T480=0,"",INDEX('Market Data'!$P$5:$P$528,$T480))</f>
        <v/>
      </c>
      <c r="J480" s="13">
        <f>IF($T480=0,"",IF(INDEX('Market Data'!$E$5:$E$528,$T480)="","",INDEX('Market Data'!$E$5:$E$528,$T480)))</f>
        <v/>
      </c>
      <c r="K480" s="8">
        <f>IF($T480=0,"",IF(INDEX('Market Data'!$I$5:$I$528,$T480)="","",INDEX('Market Data'!$I$5:$I$528,$T480)))</f>
        <v/>
      </c>
      <c r="L480" s="10">
        <f>IF($T480=0,"",IF(INDEX('Market Data'!$J$5:$J$528,$T480)=0,"n/a",IF(AND($M$5&lt;&gt;"Snapshot",ISNUMBER(INDEX('Market Data'!$AH$5:$AH$66,INDEX('Market Data'!$J$5:$J$528,$T480)-4)),N(INDEX('Market Data'!$AH$5:$AH$66,INDEX('Market Data'!$J$5:$J$528,$T480)-4))&gt;0),INDEX('Market Data'!$AH$5:$AH$66,INDEX('Market Data'!$J$5:$J$528,$T480)-4),IF(AND($M$5&lt;&gt;"Bloomberg",ISNUMBER(INDEX('Market Data'!$AC$5:$AC$66,INDEX('Market Data'!$J$5:$J$528,$T480)-4)),N(INDEX('Market Data'!$AC$5:$AC$66,INDEX('Market Data'!$J$5:$J$528,$T480)-4))&gt;0),INDEX('Market Data'!$AC$5:$AC$66,INDEX('Market Data'!$J$5:$J$528,$T480)-4),"unavailable"))))</f>
        <v/>
      </c>
      <c r="M480" s="11">
        <f>IF($T480=0,"",IF(INDEX('Market Data'!$J$5:$J$528,$T480)=0,"n/a",IF(IF(INDEX('Market Data'!$J$5:$J$528,$T480)=0,0,IF(LEFT(INDEX('Market Data'!$AS$5:$AS$66,INDEX('Market Data'!$J$5:$J$528,$T480)-4),11)="First-month",1,0))=1,"class review",IF($I480="Bloomberg",IF(AND(ISNUMBER(INDEX('Market Data'!$AH$5:$AH$66,INDEX('Market Data'!$J$5:$J$528,$T480)-4)),N(INDEX('Market Data'!$AH$5:$AH$66,INDEX('Market Data'!$J$5:$J$528,$T480)-4))&gt;0,ISNUMBER('Market Data'!$B$1),N('Market Data'!$B$1)&gt;0),INDEX('Market Data'!$AH$5:$AH$66,INDEX('Market Data'!$J$5:$J$528,$T480)-4)*'Market Data'!$B$1/$E480-1,"pending A/FX"),IF(AND($I480="Snapshot",$Q480="Snapshot",ISNUMBER($E480),$G480=INDEX('Market Data'!$AE$5:$AE$66,INDEX('Market Data'!$J$5:$J$528,$T480)-4)),IFERROR(INDEX('Market Data'!$AC$5:$AC$66,INDEX('Market Data'!$J$5:$J$528,$T480)-4)*INDEX('Market Data'!$AD$5:$AD$66,INDEX('Market Data'!$J$5:$J$528,$T480)-4)/$E480-1,"unavailable"),IF($I480="Unavailable","unavailable","date mismatch"))))))</f>
        <v/>
      </c>
      <c r="N480" s="11">
        <f>IF($T480=0,"",IFERROR(IF(AND(N(INDEX('Market Data'!$F$5:$F$528,$T480))&gt;0,ISNUMBER(INDEX('Market Data'!$T$5:$T$528,$T480))),$E480*INDEX('Market Data'!$T$5:$T$528,$T480)/INDEX('Market Data'!$F$5:$F$528,$T480)-1,"unavailable"),"unavailable"))</f>
        <v/>
      </c>
      <c r="O480" s="9">
        <f>IF($T480=0,"",IF(IF(INDEX('Market Data'!$J$5:$J$528,$T480)=0,0,IF(LEFT(INDEX('Market Data'!$AS$5:$AS$66,INDEX('Market Data'!$J$5:$J$528,$T480)-4),11)="First-month",1,0))=1,"Class ratio review",IF($I480="Bloomberg",IF(ISNUMBER($G480),IF($G480&lt;TODAY(),"Older quote","See quote time"),"Date unavailable"),IF($I480="Snapshot",IF($G480&lt;DATEVALUE("2026-10-02"),"Older snapshot","Dated close"),"No valid quote"))))</f>
        <v/>
      </c>
      <c r="P480" s="14">
        <f>IF($T480=0,"",IF(INDEX('Market Data'!$J$5:$J$528,$T480)=0,"n/a",IF($Q480="Bloomberg",IF(AND(ISNUMBER(INDEX('Market Data'!$AK$5:$AK$66,INDEX('Market Data'!$J$5:$J$528,$T480)-4)),N(INDEX('Market Data'!$AK$5:$AK$66,INDEX('Market Data'!$J$5:$J$528,$T480)-4))&gt;0),INDEX('Market Data'!$AK$5:$AK$66,INDEX('Market Data'!$J$5:$J$528,$T480)-4),"date unavailable"),IF($Q480="Snapshot",IF(AND(ISNUMBER(INDEX('Market Data'!$AF$5:$AF$66,INDEX('Market Data'!$J$5:$J$528,$T480)-4)),N(INDEX('Market Data'!$AF$5:$AF$66,INDEX('Market Data'!$J$5:$J$528,$T480)-4))&gt;0),INDEX('Market Data'!$AF$5:$AF$66,INDEX('Market Data'!$J$5:$J$528,$T480)-4),"date unavailable"),"date unavailable"))))</f>
        <v/>
      </c>
      <c r="Q480" s="15">
        <f>IF($T480=0,"",IF(INDEX('Market Data'!$J$5:$J$528,$T480)=0,"n/a",IF(AND($M$5&lt;&gt;"Snapshot",ISNUMBER(INDEX('Market Data'!$AH$5:$AH$66,INDEX('Market Data'!$J$5:$J$528,$T480)-4)),N(INDEX('Market Data'!$AH$5:$AH$66,INDEX('Market Data'!$J$5:$J$528,$T480)-4))&gt;0),"Bloomberg",IF(AND($M$5&lt;&gt;"Bloomberg",ISNUMBER(INDEX('Market Data'!$AC$5:$AC$66,INDEX('Market Data'!$J$5:$J$528,$T480)-4)),N(INDEX('Market Data'!$AC$5:$AC$66,INDEX('Market Data'!$J$5:$J$528,$T480)-4))&gt;0),"Snapshot","Unavailable"))))</f>
        <v/>
      </c>
      <c r="T480">
        <f>IFERROR(MATCH(472,'Market Data'!$S$5:$S$528,0),0)</f>
        <v/>
      </c>
    </row>
    <row r="481" ht="34" customHeight="1">
      <c r="A481" s="8">
        <f>IF($T481=0,"",IF(INDEX('Market Data'!$A$5:$A$528,$T481)="","",INDEX('Market Data'!$A$5:$A$528,$T481)))</f>
        <v/>
      </c>
      <c r="B481" s="9">
        <f>IF($T481=0,"",IF(INDEX('Market Data'!$B$5:$B$528,$T481)="","",INDEX('Market Data'!$B$5:$B$528,$T481)))</f>
        <v/>
      </c>
      <c r="C481" s="9">
        <f>IF($T481=0,"",IF(INDEX('Market Data'!$C$5:$C$528,$T481)="","",INDEX('Market Data'!$C$5:$C$528,$T481)))</f>
        <v/>
      </c>
      <c r="D481" s="9">
        <f>IF($T481=0,"",IF(INDEX('Market Data'!$D$5:$D$528,$T481)="","",INDEX('Market Data'!$D$5:$D$528,$T481)))</f>
        <v/>
      </c>
      <c r="E481" s="10">
        <f>IF($T481=0,"",INDEX('Market Data'!$O$5:$O$528,$T481))</f>
        <v/>
      </c>
      <c r="F481" s="11">
        <f>IF($T481=0,"",IF(AND($I481="Bloomberg",ISNUMBER(INDEX('Market Data'!$L$5:$L$528,$T481))),INDEX('Market Data'!$L$5:$L$528,$T481),"unavailable"))</f>
        <v/>
      </c>
      <c r="G481" s="12">
        <f>IF($T481=0,"",IF($I481="Bloomberg",IF(AND(ISNUMBER(INDEX('Market Data'!$M$5:$M$528,$T481)),N(INDEX('Market Data'!$M$5:$M$528,$T481))&gt;0),INDEX('Market Data'!$M$5:$M$528,$T481),"date unavailable"),IF($I481="Snapshot",IF(AND(ISNUMBER(INDEX('Market Data'!$H$5:$H$528,$T481)),N(INDEX('Market Data'!$H$5:$H$528,$T481))&gt;0),INDEX('Market Data'!$H$5:$H$528,$T481),"date unavailable"),"date unavailable")))</f>
        <v/>
      </c>
      <c r="H481" s="9">
        <f>IF($T481=0,"",IF($I481="Bloomberg",IF(INDEX('Market Data'!$N$5:$N$528,$T481)="","time unavailable",INDEX('Market Data'!$N$5:$N$528,$T481)),""))</f>
        <v/>
      </c>
      <c r="I481" s="9">
        <f>IF($T481=0,"",INDEX('Market Data'!$P$5:$P$528,$T481))</f>
        <v/>
      </c>
      <c r="J481" s="13">
        <f>IF($T481=0,"",IF(INDEX('Market Data'!$E$5:$E$528,$T481)="","",INDEX('Market Data'!$E$5:$E$528,$T481)))</f>
        <v/>
      </c>
      <c r="K481" s="8">
        <f>IF($T481=0,"",IF(INDEX('Market Data'!$I$5:$I$528,$T481)="","",INDEX('Market Data'!$I$5:$I$528,$T481)))</f>
        <v/>
      </c>
      <c r="L481" s="10">
        <f>IF($T481=0,"",IF(INDEX('Market Data'!$J$5:$J$528,$T481)=0,"n/a",IF(AND($M$5&lt;&gt;"Snapshot",ISNUMBER(INDEX('Market Data'!$AH$5:$AH$66,INDEX('Market Data'!$J$5:$J$528,$T481)-4)),N(INDEX('Market Data'!$AH$5:$AH$66,INDEX('Market Data'!$J$5:$J$528,$T481)-4))&gt;0),INDEX('Market Data'!$AH$5:$AH$66,INDEX('Market Data'!$J$5:$J$528,$T481)-4),IF(AND($M$5&lt;&gt;"Bloomberg",ISNUMBER(INDEX('Market Data'!$AC$5:$AC$66,INDEX('Market Data'!$J$5:$J$528,$T481)-4)),N(INDEX('Market Data'!$AC$5:$AC$66,INDEX('Market Data'!$J$5:$J$528,$T481)-4))&gt;0),INDEX('Market Data'!$AC$5:$AC$66,INDEX('Market Data'!$J$5:$J$528,$T481)-4),"unavailable"))))</f>
        <v/>
      </c>
      <c r="M481" s="11">
        <f>IF($T481=0,"",IF(INDEX('Market Data'!$J$5:$J$528,$T481)=0,"n/a",IF(IF(INDEX('Market Data'!$J$5:$J$528,$T481)=0,0,IF(LEFT(INDEX('Market Data'!$AS$5:$AS$66,INDEX('Market Data'!$J$5:$J$528,$T481)-4),11)="First-month",1,0))=1,"class review",IF($I481="Bloomberg",IF(AND(ISNUMBER(INDEX('Market Data'!$AH$5:$AH$66,INDEX('Market Data'!$J$5:$J$528,$T481)-4)),N(INDEX('Market Data'!$AH$5:$AH$66,INDEX('Market Data'!$J$5:$J$528,$T481)-4))&gt;0,ISNUMBER('Market Data'!$B$1),N('Market Data'!$B$1)&gt;0),INDEX('Market Data'!$AH$5:$AH$66,INDEX('Market Data'!$J$5:$J$528,$T481)-4)*'Market Data'!$B$1/$E481-1,"pending A/FX"),IF(AND($I481="Snapshot",$Q481="Snapshot",ISNUMBER($E481),$G481=INDEX('Market Data'!$AE$5:$AE$66,INDEX('Market Data'!$J$5:$J$528,$T481)-4)),IFERROR(INDEX('Market Data'!$AC$5:$AC$66,INDEX('Market Data'!$J$5:$J$528,$T481)-4)*INDEX('Market Data'!$AD$5:$AD$66,INDEX('Market Data'!$J$5:$J$528,$T481)-4)/$E481-1,"unavailable"),IF($I481="Unavailable","unavailable","date mismatch"))))))</f>
        <v/>
      </c>
      <c r="N481" s="11">
        <f>IF($T481=0,"",IFERROR(IF(AND(N(INDEX('Market Data'!$F$5:$F$528,$T481))&gt;0,ISNUMBER(INDEX('Market Data'!$T$5:$T$528,$T481))),$E481*INDEX('Market Data'!$T$5:$T$528,$T481)/INDEX('Market Data'!$F$5:$F$528,$T481)-1,"unavailable"),"unavailable"))</f>
        <v/>
      </c>
      <c r="O481" s="9">
        <f>IF($T481=0,"",IF(IF(INDEX('Market Data'!$J$5:$J$528,$T481)=0,0,IF(LEFT(INDEX('Market Data'!$AS$5:$AS$66,INDEX('Market Data'!$J$5:$J$528,$T481)-4),11)="First-month",1,0))=1,"Class ratio review",IF($I481="Bloomberg",IF(ISNUMBER($G481),IF($G481&lt;TODAY(),"Older quote","See quote time"),"Date unavailable"),IF($I481="Snapshot",IF($G481&lt;DATEVALUE("2026-10-02"),"Older snapshot","Dated close"),"No valid quote"))))</f>
        <v/>
      </c>
      <c r="P481" s="14">
        <f>IF($T481=0,"",IF(INDEX('Market Data'!$J$5:$J$528,$T481)=0,"n/a",IF($Q481="Bloomberg",IF(AND(ISNUMBER(INDEX('Market Data'!$AK$5:$AK$66,INDEX('Market Data'!$J$5:$J$528,$T481)-4)),N(INDEX('Market Data'!$AK$5:$AK$66,INDEX('Market Data'!$J$5:$J$528,$T481)-4))&gt;0),INDEX('Market Data'!$AK$5:$AK$66,INDEX('Market Data'!$J$5:$J$528,$T481)-4),"date unavailable"),IF($Q481="Snapshot",IF(AND(ISNUMBER(INDEX('Market Data'!$AF$5:$AF$66,INDEX('Market Data'!$J$5:$J$528,$T481)-4)),N(INDEX('Market Data'!$AF$5:$AF$66,INDEX('Market Data'!$J$5:$J$528,$T481)-4))&gt;0),INDEX('Market Data'!$AF$5:$AF$66,INDEX('Market Data'!$J$5:$J$528,$T481)-4),"date unavailable"),"date unavailable"))))</f>
        <v/>
      </c>
      <c r="Q481" s="15">
        <f>IF($T481=0,"",IF(INDEX('Market Data'!$J$5:$J$528,$T481)=0,"n/a",IF(AND($M$5&lt;&gt;"Snapshot",ISNUMBER(INDEX('Market Data'!$AH$5:$AH$66,INDEX('Market Data'!$J$5:$J$528,$T481)-4)),N(INDEX('Market Data'!$AH$5:$AH$66,INDEX('Market Data'!$J$5:$J$528,$T481)-4))&gt;0),"Bloomberg",IF(AND($M$5&lt;&gt;"Bloomberg",ISNUMBER(INDEX('Market Data'!$AC$5:$AC$66,INDEX('Market Data'!$J$5:$J$528,$T481)-4)),N(INDEX('Market Data'!$AC$5:$AC$66,INDEX('Market Data'!$J$5:$J$528,$T481)-4))&gt;0),"Snapshot","Unavailable"))))</f>
        <v/>
      </c>
      <c r="T481">
        <f>IFERROR(MATCH(473,'Market Data'!$S$5:$S$528,0),0)</f>
        <v/>
      </c>
    </row>
    <row r="482" ht="34" customHeight="1">
      <c r="A482" s="8">
        <f>IF($T482=0,"",IF(INDEX('Market Data'!$A$5:$A$528,$T482)="","",INDEX('Market Data'!$A$5:$A$528,$T482)))</f>
        <v/>
      </c>
      <c r="B482" s="9">
        <f>IF($T482=0,"",IF(INDEX('Market Data'!$B$5:$B$528,$T482)="","",INDEX('Market Data'!$B$5:$B$528,$T482)))</f>
        <v/>
      </c>
      <c r="C482" s="9">
        <f>IF($T482=0,"",IF(INDEX('Market Data'!$C$5:$C$528,$T482)="","",INDEX('Market Data'!$C$5:$C$528,$T482)))</f>
        <v/>
      </c>
      <c r="D482" s="9">
        <f>IF($T482=0,"",IF(INDEX('Market Data'!$D$5:$D$528,$T482)="","",INDEX('Market Data'!$D$5:$D$528,$T482)))</f>
        <v/>
      </c>
      <c r="E482" s="10">
        <f>IF($T482=0,"",INDEX('Market Data'!$O$5:$O$528,$T482))</f>
        <v/>
      </c>
      <c r="F482" s="11">
        <f>IF($T482=0,"",IF(AND($I482="Bloomberg",ISNUMBER(INDEX('Market Data'!$L$5:$L$528,$T482))),INDEX('Market Data'!$L$5:$L$528,$T482),"unavailable"))</f>
        <v/>
      </c>
      <c r="G482" s="12">
        <f>IF($T482=0,"",IF($I482="Bloomberg",IF(AND(ISNUMBER(INDEX('Market Data'!$M$5:$M$528,$T482)),N(INDEX('Market Data'!$M$5:$M$528,$T482))&gt;0),INDEX('Market Data'!$M$5:$M$528,$T482),"date unavailable"),IF($I482="Snapshot",IF(AND(ISNUMBER(INDEX('Market Data'!$H$5:$H$528,$T482)),N(INDEX('Market Data'!$H$5:$H$528,$T482))&gt;0),INDEX('Market Data'!$H$5:$H$528,$T482),"date unavailable"),"date unavailable")))</f>
        <v/>
      </c>
      <c r="H482" s="9">
        <f>IF($T482=0,"",IF($I482="Bloomberg",IF(INDEX('Market Data'!$N$5:$N$528,$T482)="","time unavailable",INDEX('Market Data'!$N$5:$N$528,$T482)),""))</f>
        <v/>
      </c>
      <c r="I482" s="9">
        <f>IF($T482=0,"",INDEX('Market Data'!$P$5:$P$528,$T482))</f>
        <v/>
      </c>
      <c r="J482" s="13">
        <f>IF($T482=0,"",IF(INDEX('Market Data'!$E$5:$E$528,$T482)="","",INDEX('Market Data'!$E$5:$E$528,$T482)))</f>
        <v/>
      </c>
      <c r="K482" s="8">
        <f>IF($T482=0,"",IF(INDEX('Market Data'!$I$5:$I$528,$T482)="","",INDEX('Market Data'!$I$5:$I$528,$T482)))</f>
        <v/>
      </c>
      <c r="L482" s="10">
        <f>IF($T482=0,"",IF(INDEX('Market Data'!$J$5:$J$528,$T482)=0,"n/a",IF(AND($M$5&lt;&gt;"Snapshot",ISNUMBER(INDEX('Market Data'!$AH$5:$AH$66,INDEX('Market Data'!$J$5:$J$528,$T482)-4)),N(INDEX('Market Data'!$AH$5:$AH$66,INDEX('Market Data'!$J$5:$J$528,$T482)-4))&gt;0),INDEX('Market Data'!$AH$5:$AH$66,INDEX('Market Data'!$J$5:$J$528,$T482)-4),IF(AND($M$5&lt;&gt;"Bloomberg",ISNUMBER(INDEX('Market Data'!$AC$5:$AC$66,INDEX('Market Data'!$J$5:$J$528,$T482)-4)),N(INDEX('Market Data'!$AC$5:$AC$66,INDEX('Market Data'!$J$5:$J$528,$T482)-4))&gt;0),INDEX('Market Data'!$AC$5:$AC$66,INDEX('Market Data'!$J$5:$J$528,$T482)-4),"unavailable"))))</f>
        <v/>
      </c>
      <c r="M482" s="11">
        <f>IF($T482=0,"",IF(INDEX('Market Data'!$J$5:$J$528,$T482)=0,"n/a",IF(IF(INDEX('Market Data'!$J$5:$J$528,$T482)=0,0,IF(LEFT(INDEX('Market Data'!$AS$5:$AS$66,INDEX('Market Data'!$J$5:$J$528,$T482)-4),11)="First-month",1,0))=1,"class review",IF($I482="Bloomberg",IF(AND(ISNUMBER(INDEX('Market Data'!$AH$5:$AH$66,INDEX('Market Data'!$J$5:$J$528,$T482)-4)),N(INDEX('Market Data'!$AH$5:$AH$66,INDEX('Market Data'!$J$5:$J$528,$T482)-4))&gt;0,ISNUMBER('Market Data'!$B$1),N('Market Data'!$B$1)&gt;0),INDEX('Market Data'!$AH$5:$AH$66,INDEX('Market Data'!$J$5:$J$528,$T482)-4)*'Market Data'!$B$1/$E482-1,"pending A/FX"),IF(AND($I482="Snapshot",$Q482="Snapshot",ISNUMBER($E482),$G482=INDEX('Market Data'!$AE$5:$AE$66,INDEX('Market Data'!$J$5:$J$528,$T482)-4)),IFERROR(INDEX('Market Data'!$AC$5:$AC$66,INDEX('Market Data'!$J$5:$J$528,$T482)-4)*INDEX('Market Data'!$AD$5:$AD$66,INDEX('Market Data'!$J$5:$J$528,$T482)-4)/$E482-1,"unavailable"),IF($I482="Unavailable","unavailable","date mismatch"))))))</f>
        <v/>
      </c>
      <c r="N482" s="11">
        <f>IF($T482=0,"",IFERROR(IF(AND(N(INDEX('Market Data'!$F$5:$F$528,$T482))&gt;0,ISNUMBER(INDEX('Market Data'!$T$5:$T$528,$T482))),$E482*INDEX('Market Data'!$T$5:$T$528,$T482)/INDEX('Market Data'!$F$5:$F$528,$T482)-1,"unavailable"),"unavailable"))</f>
        <v/>
      </c>
      <c r="O482" s="9">
        <f>IF($T482=0,"",IF(IF(INDEX('Market Data'!$J$5:$J$528,$T482)=0,0,IF(LEFT(INDEX('Market Data'!$AS$5:$AS$66,INDEX('Market Data'!$J$5:$J$528,$T482)-4),11)="First-month",1,0))=1,"Class ratio review",IF($I482="Bloomberg",IF(ISNUMBER($G482),IF($G482&lt;TODAY(),"Older quote","See quote time"),"Date unavailable"),IF($I482="Snapshot",IF($G482&lt;DATEVALUE("2026-10-02"),"Older snapshot","Dated close"),"No valid quote"))))</f>
        <v/>
      </c>
      <c r="P482" s="14">
        <f>IF($T482=0,"",IF(INDEX('Market Data'!$J$5:$J$528,$T482)=0,"n/a",IF($Q482="Bloomberg",IF(AND(ISNUMBER(INDEX('Market Data'!$AK$5:$AK$66,INDEX('Market Data'!$J$5:$J$528,$T482)-4)),N(INDEX('Market Data'!$AK$5:$AK$66,INDEX('Market Data'!$J$5:$J$528,$T482)-4))&gt;0),INDEX('Market Data'!$AK$5:$AK$66,INDEX('Market Data'!$J$5:$J$528,$T482)-4),"date unavailable"),IF($Q482="Snapshot",IF(AND(ISNUMBER(INDEX('Market Data'!$AF$5:$AF$66,INDEX('Market Data'!$J$5:$J$528,$T482)-4)),N(INDEX('Market Data'!$AF$5:$AF$66,INDEX('Market Data'!$J$5:$J$528,$T482)-4))&gt;0),INDEX('Market Data'!$AF$5:$AF$66,INDEX('Market Data'!$J$5:$J$528,$T482)-4),"date unavailable"),"date unavailable"))))</f>
        <v/>
      </c>
      <c r="Q482" s="15">
        <f>IF($T482=0,"",IF(INDEX('Market Data'!$J$5:$J$528,$T482)=0,"n/a",IF(AND($M$5&lt;&gt;"Snapshot",ISNUMBER(INDEX('Market Data'!$AH$5:$AH$66,INDEX('Market Data'!$J$5:$J$528,$T482)-4)),N(INDEX('Market Data'!$AH$5:$AH$66,INDEX('Market Data'!$J$5:$J$528,$T482)-4))&gt;0),"Bloomberg",IF(AND($M$5&lt;&gt;"Bloomberg",ISNUMBER(INDEX('Market Data'!$AC$5:$AC$66,INDEX('Market Data'!$J$5:$J$528,$T482)-4)),N(INDEX('Market Data'!$AC$5:$AC$66,INDEX('Market Data'!$J$5:$J$528,$T482)-4))&gt;0),"Snapshot","Unavailable"))))</f>
        <v/>
      </c>
      <c r="T482">
        <f>IFERROR(MATCH(474,'Market Data'!$S$5:$S$528,0),0)</f>
        <v/>
      </c>
    </row>
    <row r="483" ht="34" customHeight="1">
      <c r="A483" s="8">
        <f>IF($T483=0,"",IF(INDEX('Market Data'!$A$5:$A$528,$T483)="","",INDEX('Market Data'!$A$5:$A$528,$T483)))</f>
        <v/>
      </c>
      <c r="B483" s="9">
        <f>IF($T483=0,"",IF(INDEX('Market Data'!$B$5:$B$528,$T483)="","",INDEX('Market Data'!$B$5:$B$528,$T483)))</f>
        <v/>
      </c>
      <c r="C483" s="9">
        <f>IF($T483=0,"",IF(INDEX('Market Data'!$C$5:$C$528,$T483)="","",INDEX('Market Data'!$C$5:$C$528,$T483)))</f>
        <v/>
      </c>
      <c r="D483" s="9">
        <f>IF($T483=0,"",IF(INDEX('Market Data'!$D$5:$D$528,$T483)="","",INDEX('Market Data'!$D$5:$D$528,$T483)))</f>
        <v/>
      </c>
      <c r="E483" s="10">
        <f>IF($T483=0,"",INDEX('Market Data'!$O$5:$O$528,$T483))</f>
        <v/>
      </c>
      <c r="F483" s="11">
        <f>IF($T483=0,"",IF(AND($I483="Bloomberg",ISNUMBER(INDEX('Market Data'!$L$5:$L$528,$T483))),INDEX('Market Data'!$L$5:$L$528,$T483),"unavailable"))</f>
        <v/>
      </c>
      <c r="G483" s="12">
        <f>IF($T483=0,"",IF($I483="Bloomberg",IF(AND(ISNUMBER(INDEX('Market Data'!$M$5:$M$528,$T483)),N(INDEX('Market Data'!$M$5:$M$528,$T483))&gt;0),INDEX('Market Data'!$M$5:$M$528,$T483),"date unavailable"),IF($I483="Snapshot",IF(AND(ISNUMBER(INDEX('Market Data'!$H$5:$H$528,$T483)),N(INDEX('Market Data'!$H$5:$H$528,$T483))&gt;0),INDEX('Market Data'!$H$5:$H$528,$T483),"date unavailable"),"date unavailable")))</f>
        <v/>
      </c>
      <c r="H483" s="9">
        <f>IF($T483=0,"",IF($I483="Bloomberg",IF(INDEX('Market Data'!$N$5:$N$528,$T483)="","time unavailable",INDEX('Market Data'!$N$5:$N$528,$T483)),""))</f>
        <v/>
      </c>
      <c r="I483" s="9">
        <f>IF($T483=0,"",INDEX('Market Data'!$P$5:$P$528,$T483))</f>
        <v/>
      </c>
      <c r="J483" s="13">
        <f>IF($T483=0,"",IF(INDEX('Market Data'!$E$5:$E$528,$T483)="","",INDEX('Market Data'!$E$5:$E$528,$T483)))</f>
        <v/>
      </c>
      <c r="K483" s="8">
        <f>IF($T483=0,"",IF(INDEX('Market Data'!$I$5:$I$528,$T483)="","",INDEX('Market Data'!$I$5:$I$528,$T483)))</f>
        <v/>
      </c>
      <c r="L483" s="10">
        <f>IF($T483=0,"",IF(INDEX('Market Data'!$J$5:$J$528,$T483)=0,"n/a",IF(AND($M$5&lt;&gt;"Snapshot",ISNUMBER(INDEX('Market Data'!$AH$5:$AH$66,INDEX('Market Data'!$J$5:$J$528,$T483)-4)),N(INDEX('Market Data'!$AH$5:$AH$66,INDEX('Market Data'!$J$5:$J$528,$T483)-4))&gt;0),INDEX('Market Data'!$AH$5:$AH$66,INDEX('Market Data'!$J$5:$J$528,$T483)-4),IF(AND($M$5&lt;&gt;"Bloomberg",ISNUMBER(INDEX('Market Data'!$AC$5:$AC$66,INDEX('Market Data'!$J$5:$J$528,$T483)-4)),N(INDEX('Market Data'!$AC$5:$AC$66,INDEX('Market Data'!$J$5:$J$528,$T483)-4))&gt;0),INDEX('Market Data'!$AC$5:$AC$66,INDEX('Market Data'!$J$5:$J$528,$T483)-4),"unavailable"))))</f>
        <v/>
      </c>
      <c r="M483" s="11">
        <f>IF($T483=0,"",IF(INDEX('Market Data'!$J$5:$J$528,$T483)=0,"n/a",IF(IF(INDEX('Market Data'!$J$5:$J$528,$T483)=0,0,IF(LEFT(INDEX('Market Data'!$AS$5:$AS$66,INDEX('Market Data'!$J$5:$J$528,$T483)-4),11)="First-month",1,0))=1,"class review",IF($I483="Bloomberg",IF(AND(ISNUMBER(INDEX('Market Data'!$AH$5:$AH$66,INDEX('Market Data'!$J$5:$J$528,$T483)-4)),N(INDEX('Market Data'!$AH$5:$AH$66,INDEX('Market Data'!$J$5:$J$528,$T483)-4))&gt;0,ISNUMBER('Market Data'!$B$1),N('Market Data'!$B$1)&gt;0),INDEX('Market Data'!$AH$5:$AH$66,INDEX('Market Data'!$J$5:$J$528,$T483)-4)*'Market Data'!$B$1/$E483-1,"pending A/FX"),IF(AND($I483="Snapshot",$Q483="Snapshot",ISNUMBER($E483),$G483=INDEX('Market Data'!$AE$5:$AE$66,INDEX('Market Data'!$J$5:$J$528,$T483)-4)),IFERROR(INDEX('Market Data'!$AC$5:$AC$66,INDEX('Market Data'!$J$5:$J$528,$T483)-4)*INDEX('Market Data'!$AD$5:$AD$66,INDEX('Market Data'!$J$5:$J$528,$T483)-4)/$E483-1,"unavailable"),IF($I483="Unavailable","unavailable","date mismatch"))))))</f>
        <v/>
      </c>
      <c r="N483" s="11">
        <f>IF($T483=0,"",IFERROR(IF(AND(N(INDEX('Market Data'!$F$5:$F$528,$T483))&gt;0,ISNUMBER(INDEX('Market Data'!$T$5:$T$528,$T483))),$E483*INDEX('Market Data'!$T$5:$T$528,$T483)/INDEX('Market Data'!$F$5:$F$528,$T483)-1,"unavailable"),"unavailable"))</f>
        <v/>
      </c>
      <c r="O483" s="9">
        <f>IF($T483=0,"",IF(IF(INDEX('Market Data'!$J$5:$J$528,$T483)=0,0,IF(LEFT(INDEX('Market Data'!$AS$5:$AS$66,INDEX('Market Data'!$J$5:$J$528,$T483)-4),11)="First-month",1,0))=1,"Class ratio review",IF($I483="Bloomberg",IF(ISNUMBER($G483),IF($G483&lt;TODAY(),"Older quote","See quote time"),"Date unavailable"),IF($I483="Snapshot",IF($G483&lt;DATEVALUE("2026-10-02"),"Older snapshot","Dated close"),"No valid quote"))))</f>
        <v/>
      </c>
      <c r="P483" s="14">
        <f>IF($T483=0,"",IF(INDEX('Market Data'!$J$5:$J$528,$T483)=0,"n/a",IF($Q483="Bloomberg",IF(AND(ISNUMBER(INDEX('Market Data'!$AK$5:$AK$66,INDEX('Market Data'!$J$5:$J$528,$T483)-4)),N(INDEX('Market Data'!$AK$5:$AK$66,INDEX('Market Data'!$J$5:$J$528,$T483)-4))&gt;0),INDEX('Market Data'!$AK$5:$AK$66,INDEX('Market Data'!$J$5:$J$528,$T483)-4),"date unavailable"),IF($Q483="Snapshot",IF(AND(ISNUMBER(INDEX('Market Data'!$AF$5:$AF$66,INDEX('Market Data'!$J$5:$J$528,$T483)-4)),N(INDEX('Market Data'!$AF$5:$AF$66,INDEX('Market Data'!$J$5:$J$528,$T483)-4))&gt;0),INDEX('Market Data'!$AF$5:$AF$66,INDEX('Market Data'!$J$5:$J$528,$T483)-4),"date unavailable"),"date unavailable"))))</f>
        <v/>
      </c>
      <c r="Q483" s="15">
        <f>IF($T483=0,"",IF(INDEX('Market Data'!$J$5:$J$528,$T483)=0,"n/a",IF(AND($M$5&lt;&gt;"Snapshot",ISNUMBER(INDEX('Market Data'!$AH$5:$AH$66,INDEX('Market Data'!$J$5:$J$528,$T483)-4)),N(INDEX('Market Data'!$AH$5:$AH$66,INDEX('Market Data'!$J$5:$J$528,$T483)-4))&gt;0),"Bloomberg",IF(AND($M$5&lt;&gt;"Bloomberg",ISNUMBER(INDEX('Market Data'!$AC$5:$AC$66,INDEX('Market Data'!$J$5:$J$528,$T483)-4)),N(INDEX('Market Data'!$AC$5:$AC$66,INDEX('Market Data'!$J$5:$J$528,$T483)-4))&gt;0),"Snapshot","Unavailable"))))</f>
        <v/>
      </c>
      <c r="T483">
        <f>IFERROR(MATCH(475,'Market Data'!$S$5:$S$528,0),0)</f>
        <v/>
      </c>
    </row>
    <row r="484" ht="34" customHeight="1">
      <c r="A484" s="8">
        <f>IF($T484=0,"",IF(INDEX('Market Data'!$A$5:$A$528,$T484)="","",INDEX('Market Data'!$A$5:$A$528,$T484)))</f>
        <v/>
      </c>
      <c r="B484" s="9">
        <f>IF($T484=0,"",IF(INDEX('Market Data'!$B$5:$B$528,$T484)="","",INDEX('Market Data'!$B$5:$B$528,$T484)))</f>
        <v/>
      </c>
      <c r="C484" s="9">
        <f>IF($T484=0,"",IF(INDEX('Market Data'!$C$5:$C$528,$T484)="","",INDEX('Market Data'!$C$5:$C$528,$T484)))</f>
        <v/>
      </c>
      <c r="D484" s="9">
        <f>IF($T484=0,"",IF(INDEX('Market Data'!$D$5:$D$528,$T484)="","",INDEX('Market Data'!$D$5:$D$528,$T484)))</f>
        <v/>
      </c>
      <c r="E484" s="10">
        <f>IF($T484=0,"",INDEX('Market Data'!$O$5:$O$528,$T484))</f>
        <v/>
      </c>
      <c r="F484" s="11">
        <f>IF($T484=0,"",IF(AND($I484="Bloomberg",ISNUMBER(INDEX('Market Data'!$L$5:$L$528,$T484))),INDEX('Market Data'!$L$5:$L$528,$T484),"unavailable"))</f>
        <v/>
      </c>
      <c r="G484" s="12">
        <f>IF($T484=0,"",IF($I484="Bloomberg",IF(AND(ISNUMBER(INDEX('Market Data'!$M$5:$M$528,$T484)),N(INDEX('Market Data'!$M$5:$M$528,$T484))&gt;0),INDEX('Market Data'!$M$5:$M$528,$T484),"date unavailable"),IF($I484="Snapshot",IF(AND(ISNUMBER(INDEX('Market Data'!$H$5:$H$528,$T484)),N(INDEX('Market Data'!$H$5:$H$528,$T484))&gt;0),INDEX('Market Data'!$H$5:$H$528,$T484),"date unavailable"),"date unavailable")))</f>
        <v/>
      </c>
      <c r="H484" s="9">
        <f>IF($T484=0,"",IF($I484="Bloomberg",IF(INDEX('Market Data'!$N$5:$N$528,$T484)="","time unavailable",INDEX('Market Data'!$N$5:$N$528,$T484)),""))</f>
        <v/>
      </c>
      <c r="I484" s="9">
        <f>IF($T484=0,"",INDEX('Market Data'!$P$5:$P$528,$T484))</f>
        <v/>
      </c>
      <c r="J484" s="13">
        <f>IF($T484=0,"",IF(INDEX('Market Data'!$E$5:$E$528,$T484)="","",INDEX('Market Data'!$E$5:$E$528,$T484)))</f>
        <v/>
      </c>
      <c r="K484" s="8">
        <f>IF($T484=0,"",IF(INDEX('Market Data'!$I$5:$I$528,$T484)="","",INDEX('Market Data'!$I$5:$I$528,$T484)))</f>
        <v/>
      </c>
      <c r="L484" s="10">
        <f>IF($T484=0,"",IF(INDEX('Market Data'!$J$5:$J$528,$T484)=0,"n/a",IF(AND($M$5&lt;&gt;"Snapshot",ISNUMBER(INDEX('Market Data'!$AH$5:$AH$66,INDEX('Market Data'!$J$5:$J$528,$T484)-4)),N(INDEX('Market Data'!$AH$5:$AH$66,INDEX('Market Data'!$J$5:$J$528,$T484)-4))&gt;0),INDEX('Market Data'!$AH$5:$AH$66,INDEX('Market Data'!$J$5:$J$528,$T484)-4),IF(AND($M$5&lt;&gt;"Bloomberg",ISNUMBER(INDEX('Market Data'!$AC$5:$AC$66,INDEX('Market Data'!$J$5:$J$528,$T484)-4)),N(INDEX('Market Data'!$AC$5:$AC$66,INDEX('Market Data'!$J$5:$J$528,$T484)-4))&gt;0),INDEX('Market Data'!$AC$5:$AC$66,INDEX('Market Data'!$J$5:$J$528,$T484)-4),"unavailable"))))</f>
        <v/>
      </c>
      <c r="M484" s="11">
        <f>IF($T484=0,"",IF(INDEX('Market Data'!$J$5:$J$528,$T484)=0,"n/a",IF(IF(INDEX('Market Data'!$J$5:$J$528,$T484)=0,0,IF(LEFT(INDEX('Market Data'!$AS$5:$AS$66,INDEX('Market Data'!$J$5:$J$528,$T484)-4),11)="First-month",1,0))=1,"class review",IF($I484="Bloomberg",IF(AND(ISNUMBER(INDEX('Market Data'!$AH$5:$AH$66,INDEX('Market Data'!$J$5:$J$528,$T484)-4)),N(INDEX('Market Data'!$AH$5:$AH$66,INDEX('Market Data'!$J$5:$J$528,$T484)-4))&gt;0,ISNUMBER('Market Data'!$B$1),N('Market Data'!$B$1)&gt;0),INDEX('Market Data'!$AH$5:$AH$66,INDEX('Market Data'!$J$5:$J$528,$T484)-4)*'Market Data'!$B$1/$E484-1,"pending A/FX"),IF(AND($I484="Snapshot",$Q484="Snapshot",ISNUMBER($E484),$G484=INDEX('Market Data'!$AE$5:$AE$66,INDEX('Market Data'!$J$5:$J$528,$T484)-4)),IFERROR(INDEX('Market Data'!$AC$5:$AC$66,INDEX('Market Data'!$J$5:$J$528,$T484)-4)*INDEX('Market Data'!$AD$5:$AD$66,INDEX('Market Data'!$J$5:$J$528,$T484)-4)/$E484-1,"unavailable"),IF($I484="Unavailable","unavailable","date mismatch"))))))</f>
        <v/>
      </c>
      <c r="N484" s="11">
        <f>IF($T484=0,"",IFERROR(IF(AND(N(INDEX('Market Data'!$F$5:$F$528,$T484))&gt;0,ISNUMBER(INDEX('Market Data'!$T$5:$T$528,$T484))),$E484*INDEX('Market Data'!$T$5:$T$528,$T484)/INDEX('Market Data'!$F$5:$F$528,$T484)-1,"unavailable"),"unavailable"))</f>
        <v/>
      </c>
      <c r="O484" s="9">
        <f>IF($T484=0,"",IF(IF(INDEX('Market Data'!$J$5:$J$528,$T484)=0,0,IF(LEFT(INDEX('Market Data'!$AS$5:$AS$66,INDEX('Market Data'!$J$5:$J$528,$T484)-4),11)="First-month",1,0))=1,"Class ratio review",IF($I484="Bloomberg",IF(ISNUMBER($G484),IF($G484&lt;TODAY(),"Older quote","See quote time"),"Date unavailable"),IF($I484="Snapshot",IF($G484&lt;DATEVALUE("2026-10-02"),"Older snapshot","Dated close"),"No valid quote"))))</f>
        <v/>
      </c>
      <c r="P484" s="14">
        <f>IF($T484=0,"",IF(INDEX('Market Data'!$J$5:$J$528,$T484)=0,"n/a",IF($Q484="Bloomberg",IF(AND(ISNUMBER(INDEX('Market Data'!$AK$5:$AK$66,INDEX('Market Data'!$J$5:$J$528,$T484)-4)),N(INDEX('Market Data'!$AK$5:$AK$66,INDEX('Market Data'!$J$5:$J$528,$T484)-4))&gt;0),INDEX('Market Data'!$AK$5:$AK$66,INDEX('Market Data'!$J$5:$J$528,$T484)-4),"date unavailable"),IF($Q484="Snapshot",IF(AND(ISNUMBER(INDEX('Market Data'!$AF$5:$AF$66,INDEX('Market Data'!$J$5:$J$528,$T484)-4)),N(INDEX('Market Data'!$AF$5:$AF$66,INDEX('Market Data'!$J$5:$J$528,$T484)-4))&gt;0),INDEX('Market Data'!$AF$5:$AF$66,INDEX('Market Data'!$J$5:$J$528,$T484)-4),"date unavailable"),"date unavailable"))))</f>
        <v/>
      </c>
      <c r="Q484" s="15">
        <f>IF($T484=0,"",IF(INDEX('Market Data'!$J$5:$J$528,$T484)=0,"n/a",IF(AND($M$5&lt;&gt;"Snapshot",ISNUMBER(INDEX('Market Data'!$AH$5:$AH$66,INDEX('Market Data'!$J$5:$J$528,$T484)-4)),N(INDEX('Market Data'!$AH$5:$AH$66,INDEX('Market Data'!$J$5:$J$528,$T484)-4))&gt;0),"Bloomberg",IF(AND($M$5&lt;&gt;"Bloomberg",ISNUMBER(INDEX('Market Data'!$AC$5:$AC$66,INDEX('Market Data'!$J$5:$J$528,$T484)-4)),N(INDEX('Market Data'!$AC$5:$AC$66,INDEX('Market Data'!$J$5:$J$528,$T484)-4))&gt;0),"Snapshot","Unavailable"))))</f>
        <v/>
      </c>
      <c r="T484">
        <f>IFERROR(MATCH(476,'Market Data'!$S$5:$S$528,0),0)</f>
        <v/>
      </c>
    </row>
    <row r="485" ht="34" customHeight="1">
      <c r="A485" s="8">
        <f>IF($T485=0,"",IF(INDEX('Market Data'!$A$5:$A$528,$T485)="","",INDEX('Market Data'!$A$5:$A$528,$T485)))</f>
        <v/>
      </c>
      <c r="B485" s="9">
        <f>IF($T485=0,"",IF(INDEX('Market Data'!$B$5:$B$528,$T485)="","",INDEX('Market Data'!$B$5:$B$528,$T485)))</f>
        <v/>
      </c>
      <c r="C485" s="9">
        <f>IF($T485=0,"",IF(INDEX('Market Data'!$C$5:$C$528,$T485)="","",INDEX('Market Data'!$C$5:$C$528,$T485)))</f>
        <v/>
      </c>
      <c r="D485" s="9">
        <f>IF($T485=0,"",IF(INDEX('Market Data'!$D$5:$D$528,$T485)="","",INDEX('Market Data'!$D$5:$D$528,$T485)))</f>
        <v/>
      </c>
      <c r="E485" s="10">
        <f>IF($T485=0,"",INDEX('Market Data'!$O$5:$O$528,$T485))</f>
        <v/>
      </c>
      <c r="F485" s="11">
        <f>IF($T485=0,"",IF(AND($I485="Bloomberg",ISNUMBER(INDEX('Market Data'!$L$5:$L$528,$T485))),INDEX('Market Data'!$L$5:$L$528,$T485),"unavailable"))</f>
        <v/>
      </c>
      <c r="G485" s="12">
        <f>IF($T485=0,"",IF($I485="Bloomberg",IF(AND(ISNUMBER(INDEX('Market Data'!$M$5:$M$528,$T485)),N(INDEX('Market Data'!$M$5:$M$528,$T485))&gt;0),INDEX('Market Data'!$M$5:$M$528,$T485),"date unavailable"),IF($I485="Snapshot",IF(AND(ISNUMBER(INDEX('Market Data'!$H$5:$H$528,$T485)),N(INDEX('Market Data'!$H$5:$H$528,$T485))&gt;0),INDEX('Market Data'!$H$5:$H$528,$T485),"date unavailable"),"date unavailable")))</f>
        <v/>
      </c>
      <c r="H485" s="9">
        <f>IF($T485=0,"",IF($I485="Bloomberg",IF(INDEX('Market Data'!$N$5:$N$528,$T485)="","time unavailable",INDEX('Market Data'!$N$5:$N$528,$T485)),""))</f>
        <v/>
      </c>
      <c r="I485" s="9">
        <f>IF($T485=0,"",INDEX('Market Data'!$P$5:$P$528,$T485))</f>
        <v/>
      </c>
      <c r="J485" s="13">
        <f>IF($T485=0,"",IF(INDEX('Market Data'!$E$5:$E$528,$T485)="","",INDEX('Market Data'!$E$5:$E$528,$T485)))</f>
        <v/>
      </c>
      <c r="K485" s="8">
        <f>IF($T485=0,"",IF(INDEX('Market Data'!$I$5:$I$528,$T485)="","",INDEX('Market Data'!$I$5:$I$528,$T485)))</f>
        <v/>
      </c>
      <c r="L485" s="10">
        <f>IF($T485=0,"",IF(INDEX('Market Data'!$J$5:$J$528,$T485)=0,"n/a",IF(AND($M$5&lt;&gt;"Snapshot",ISNUMBER(INDEX('Market Data'!$AH$5:$AH$66,INDEX('Market Data'!$J$5:$J$528,$T485)-4)),N(INDEX('Market Data'!$AH$5:$AH$66,INDEX('Market Data'!$J$5:$J$528,$T485)-4))&gt;0),INDEX('Market Data'!$AH$5:$AH$66,INDEX('Market Data'!$J$5:$J$528,$T485)-4),IF(AND($M$5&lt;&gt;"Bloomberg",ISNUMBER(INDEX('Market Data'!$AC$5:$AC$66,INDEX('Market Data'!$J$5:$J$528,$T485)-4)),N(INDEX('Market Data'!$AC$5:$AC$66,INDEX('Market Data'!$J$5:$J$528,$T485)-4))&gt;0),INDEX('Market Data'!$AC$5:$AC$66,INDEX('Market Data'!$J$5:$J$528,$T485)-4),"unavailable"))))</f>
        <v/>
      </c>
      <c r="M485" s="11">
        <f>IF($T485=0,"",IF(INDEX('Market Data'!$J$5:$J$528,$T485)=0,"n/a",IF(IF(INDEX('Market Data'!$J$5:$J$528,$T485)=0,0,IF(LEFT(INDEX('Market Data'!$AS$5:$AS$66,INDEX('Market Data'!$J$5:$J$528,$T485)-4),11)="First-month",1,0))=1,"class review",IF($I485="Bloomberg",IF(AND(ISNUMBER(INDEX('Market Data'!$AH$5:$AH$66,INDEX('Market Data'!$J$5:$J$528,$T485)-4)),N(INDEX('Market Data'!$AH$5:$AH$66,INDEX('Market Data'!$J$5:$J$528,$T485)-4))&gt;0,ISNUMBER('Market Data'!$B$1),N('Market Data'!$B$1)&gt;0),INDEX('Market Data'!$AH$5:$AH$66,INDEX('Market Data'!$J$5:$J$528,$T485)-4)*'Market Data'!$B$1/$E485-1,"pending A/FX"),IF(AND($I485="Snapshot",$Q485="Snapshot",ISNUMBER($E485),$G485=INDEX('Market Data'!$AE$5:$AE$66,INDEX('Market Data'!$J$5:$J$528,$T485)-4)),IFERROR(INDEX('Market Data'!$AC$5:$AC$66,INDEX('Market Data'!$J$5:$J$528,$T485)-4)*INDEX('Market Data'!$AD$5:$AD$66,INDEX('Market Data'!$J$5:$J$528,$T485)-4)/$E485-1,"unavailable"),IF($I485="Unavailable","unavailable","date mismatch"))))))</f>
        <v/>
      </c>
      <c r="N485" s="11">
        <f>IF($T485=0,"",IFERROR(IF(AND(N(INDEX('Market Data'!$F$5:$F$528,$T485))&gt;0,ISNUMBER(INDEX('Market Data'!$T$5:$T$528,$T485))),$E485*INDEX('Market Data'!$T$5:$T$528,$T485)/INDEX('Market Data'!$F$5:$F$528,$T485)-1,"unavailable"),"unavailable"))</f>
        <v/>
      </c>
      <c r="O485" s="9">
        <f>IF($T485=0,"",IF(IF(INDEX('Market Data'!$J$5:$J$528,$T485)=0,0,IF(LEFT(INDEX('Market Data'!$AS$5:$AS$66,INDEX('Market Data'!$J$5:$J$528,$T485)-4),11)="First-month",1,0))=1,"Class ratio review",IF($I485="Bloomberg",IF(ISNUMBER($G485),IF($G485&lt;TODAY(),"Older quote","See quote time"),"Date unavailable"),IF($I485="Snapshot",IF($G485&lt;DATEVALUE("2026-10-02"),"Older snapshot","Dated close"),"No valid quote"))))</f>
        <v/>
      </c>
      <c r="P485" s="14">
        <f>IF($T485=0,"",IF(INDEX('Market Data'!$J$5:$J$528,$T485)=0,"n/a",IF($Q485="Bloomberg",IF(AND(ISNUMBER(INDEX('Market Data'!$AK$5:$AK$66,INDEX('Market Data'!$J$5:$J$528,$T485)-4)),N(INDEX('Market Data'!$AK$5:$AK$66,INDEX('Market Data'!$J$5:$J$528,$T485)-4))&gt;0),INDEX('Market Data'!$AK$5:$AK$66,INDEX('Market Data'!$J$5:$J$528,$T485)-4),"date unavailable"),IF($Q485="Snapshot",IF(AND(ISNUMBER(INDEX('Market Data'!$AF$5:$AF$66,INDEX('Market Data'!$J$5:$J$528,$T485)-4)),N(INDEX('Market Data'!$AF$5:$AF$66,INDEX('Market Data'!$J$5:$J$528,$T485)-4))&gt;0),INDEX('Market Data'!$AF$5:$AF$66,INDEX('Market Data'!$J$5:$J$528,$T485)-4),"date unavailable"),"date unavailable"))))</f>
        <v/>
      </c>
      <c r="Q485" s="15">
        <f>IF($T485=0,"",IF(INDEX('Market Data'!$J$5:$J$528,$T485)=0,"n/a",IF(AND($M$5&lt;&gt;"Snapshot",ISNUMBER(INDEX('Market Data'!$AH$5:$AH$66,INDEX('Market Data'!$J$5:$J$528,$T485)-4)),N(INDEX('Market Data'!$AH$5:$AH$66,INDEX('Market Data'!$J$5:$J$528,$T485)-4))&gt;0),"Bloomberg",IF(AND($M$5&lt;&gt;"Bloomberg",ISNUMBER(INDEX('Market Data'!$AC$5:$AC$66,INDEX('Market Data'!$J$5:$J$528,$T485)-4)),N(INDEX('Market Data'!$AC$5:$AC$66,INDEX('Market Data'!$J$5:$J$528,$T485)-4))&gt;0),"Snapshot","Unavailable"))))</f>
        <v/>
      </c>
      <c r="T485">
        <f>IFERROR(MATCH(477,'Market Data'!$S$5:$S$528,0),0)</f>
        <v/>
      </c>
    </row>
    <row r="486" ht="34" customHeight="1">
      <c r="A486" s="8">
        <f>IF($T486=0,"",IF(INDEX('Market Data'!$A$5:$A$528,$T486)="","",INDEX('Market Data'!$A$5:$A$528,$T486)))</f>
        <v/>
      </c>
      <c r="B486" s="9">
        <f>IF($T486=0,"",IF(INDEX('Market Data'!$B$5:$B$528,$T486)="","",INDEX('Market Data'!$B$5:$B$528,$T486)))</f>
        <v/>
      </c>
      <c r="C486" s="9">
        <f>IF($T486=0,"",IF(INDEX('Market Data'!$C$5:$C$528,$T486)="","",INDEX('Market Data'!$C$5:$C$528,$T486)))</f>
        <v/>
      </c>
      <c r="D486" s="9">
        <f>IF($T486=0,"",IF(INDEX('Market Data'!$D$5:$D$528,$T486)="","",INDEX('Market Data'!$D$5:$D$528,$T486)))</f>
        <v/>
      </c>
      <c r="E486" s="10">
        <f>IF($T486=0,"",INDEX('Market Data'!$O$5:$O$528,$T486))</f>
        <v/>
      </c>
      <c r="F486" s="11">
        <f>IF($T486=0,"",IF(AND($I486="Bloomberg",ISNUMBER(INDEX('Market Data'!$L$5:$L$528,$T486))),INDEX('Market Data'!$L$5:$L$528,$T486),"unavailable"))</f>
        <v/>
      </c>
      <c r="G486" s="12">
        <f>IF($T486=0,"",IF($I486="Bloomberg",IF(AND(ISNUMBER(INDEX('Market Data'!$M$5:$M$528,$T486)),N(INDEX('Market Data'!$M$5:$M$528,$T486))&gt;0),INDEX('Market Data'!$M$5:$M$528,$T486),"date unavailable"),IF($I486="Snapshot",IF(AND(ISNUMBER(INDEX('Market Data'!$H$5:$H$528,$T486)),N(INDEX('Market Data'!$H$5:$H$528,$T486))&gt;0),INDEX('Market Data'!$H$5:$H$528,$T486),"date unavailable"),"date unavailable")))</f>
        <v/>
      </c>
      <c r="H486" s="9">
        <f>IF($T486=0,"",IF($I486="Bloomberg",IF(INDEX('Market Data'!$N$5:$N$528,$T486)="","time unavailable",INDEX('Market Data'!$N$5:$N$528,$T486)),""))</f>
        <v/>
      </c>
      <c r="I486" s="9">
        <f>IF($T486=0,"",INDEX('Market Data'!$P$5:$P$528,$T486))</f>
        <v/>
      </c>
      <c r="J486" s="13">
        <f>IF($T486=0,"",IF(INDEX('Market Data'!$E$5:$E$528,$T486)="","",INDEX('Market Data'!$E$5:$E$528,$T486)))</f>
        <v/>
      </c>
      <c r="K486" s="8">
        <f>IF($T486=0,"",IF(INDEX('Market Data'!$I$5:$I$528,$T486)="","",INDEX('Market Data'!$I$5:$I$528,$T486)))</f>
        <v/>
      </c>
      <c r="L486" s="10">
        <f>IF($T486=0,"",IF(INDEX('Market Data'!$J$5:$J$528,$T486)=0,"n/a",IF(AND($M$5&lt;&gt;"Snapshot",ISNUMBER(INDEX('Market Data'!$AH$5:$AH$66,INDEX('Market Data'!$J$5:$J$528,$T486)-4)),N(INDEX('Market Data'!$AH$5:$AH$66,INDEX('Market Data'!$J$5:$J$528,$T486)-4))&gt;0),INDEX('Market Data'!$AH$5:$AH$66,INDEX('Market Data'!$J$5:$J$528,$T486)-4),IF(AND($M$5&lt;&gt;"Bloomberg",ISNUMBER(INDEX('Market Data'!$AC$5:$AC$66,INDEX('Market Data'!$J$5:$J$528,$T486)-4)),N(INDEX('Market Data'!$AC$5:$AC$66,INDEX('Market Data'!$J$5:$J$528,$T486)-4))&gt;0),INDEX('Market Data'!$AC$5:$AC$66,INDEX('Market Data'!$J$5:$J$528,$T486)-4),"unavailable"))))</f>
        <v/>
      </c>
      <c r="M486" s="11">
        <f>IF($T486=0,"",IF(INDEX('Market Data'!$J$5:$J$528,$T486)=0,"n/a",IF(IF(INDEX('Market Data'!$J$5:$J$528,$T486)=0,0,IF(LEFT(INDEX('Market Data'!$AS$5:$AS$66,INDEX('Market Data'!$J$5:$J$528,$T486)-4),11)="First-month",1,0))=1,"class review",IF($I486="Bloomberg",IF(AND(ISNUMBER(INDEX('Market Data'!$AH$5:$AH$66,INDEX('Market Data'!$J$5:$J$528,$T486)-4)),N(INDEX('Market Data'!$AH$5:$AH$66,INDEX('Market Data'!$J$5:$J$528,$T486)-4))&gt;0,ISNUMBER('Market Data'!$B$1),N('Market Data'!$B$1)&gt;0),INDEX('Market Data'!$AH$5:$AH$66,INDEX('Market Data'!$J$5:$J$528,$T486)-4)*'Market Data'!$B$1/$E486-1,"pending A/FX"),IF(AND($I486="Snapshot",$Q486="Snapshot",ISNUMBER($E486),$G486=INDEX('Market Data'!$AE$5:$AE$66,INDEX('Market Data'!$J$5:$J$528,$T486)-4)),IFERROR(INDEX('Market Data'!$AC$5:$AC$66,INDEX('Market Data'!$J$5:$J$528,$T486)-4)*INDEX('Market Data'!$AD$5:$AD$66,INDEX('Market Data'!$J$5:$J$528,$T486)-4)/$E486-1,"unavailable"),IF($I486="Unavailable","unavailable","date mismatch"))))))</f>
        <v/>
      </c>
      <c r="N486" s="11">
        <f>IF($T486=0,"",IFERROR(IF(AND(N(INDEX('Market Data'!$F$5:$F$528,$T486))&gt;0,ISNUMBER(INDEX('Market Data'!$T$5:$T$528,$T486))),$E486*INDEX('Market Data'!$T$5:$T$528,$T486)/INDEX('Market Data'!$F$5:$F$528,$T486)-1,"unavailable"),"unavailable"))</f>
        <v/>
      </c>
      <c r="O486" s="9">
        <f>IF($T486=0,"",IF(IF(INDEX('Market Data'!$J$5:$J$528,$T486)=0,0,IF(LEFT(INDEX('Market Data'!$AS$5:$AS$66,INDEX('Market Data'!$J$5:$J$528,$T486)-4),11)="First-month",1,0))=1,"Class ratio review",IF($I486="Bloomberg",IF(ISNUMBER($G486),IF($G486&lt;TODAY(),"Older quote","See quote time"),"Date unavailable"),IF($I486="Snapshot",IF($G486&lt;DATEVALUE("2026-10-02"),"Older snapshot","Dated close"),"No valid quote"))))</f>
        <v/>
      </c>
      <c r="P486" s="14">
        <f>IF($T486=0,"",IF(INDEX('Market Data'!$J$5:$J$528,$T486)=0,"n/a",IF($Q486="Bloomberg",IF(AND(ISNUMBER(INDEX('Market Data'!$AK$5:$AK$66,INDEX('Market Data'!$J$5:$J$528,$T486)-4)),N(INDEX('Market Data'!$AK$5:$AK$66,INDEX('Market Data'!$J$5:$J$528,$T486)-4))&gt;0),INDEX('Market Data'!$AK$5:$AK$66,INDEX('Market Data'!$J$5:$J$528,$T486)-4),"date unavailable"),IF($Q486="Snapshot",IF(AND(ISNUMBER(INDEX('Market Data'!$AF$5:$AF$66,INDEX('Market Data'!$J$5:$J$528,$T486)-4)),N(INDEX('Market Data'!$AF$5:$AF$66,INDEX('Market Data'!$J$5:$J$528,$T486)-4))&gt;0),INDEX('Market Data'!$AF$5:$AF$66,INDEX('Market Data'!$J$5:$J$528,$T486)-4),"date unavailable"),"date unavailable"))))</f>
        <v/>
      </c>
      <c r="Q486" s="15">
        <f>IF($T486=0,"",IF(INDEX('Market Data'!$J$5:$J$528,$T486)=0,"n/a",IF(AND($M$5&lt;&gt;"Snapshot",ISNUMBER(INDEX('Market Data'!$AH$5:$AH$66,INDEX('Market Data'!$J$5:$J$528,$T486)-4)),N(INDEX('Market Data'!$AH$5:$AH$66,INDEX('Market Data'!$J$5:$J$528,$T486)-4))&gt;0),"Bloomberg",IF(AND($M$5&lt;&gt;"Bloomberg",ISNUMBER(INDEX('Market Data'!$AC$5:$AC$66,INDEX('Market Data'!$J$5:$J$528,$T486)-4)),N(INDEX('Market Data'!$AC$5:$AC$66,INDEX('Market Data'!$J$5:$J$528,$T486)-4))&gt;0),"Snapshot","Unavailable"))))</f>
        <v/>
      </c>
      <c r="T486">
        <f>IFERROR(MATCH(478,'Market Data'!$S$5:$S$528,0),0)</f>
        <v/>
      </c>
    </row>
    <row r="487" ht="34" customHeight="1">
      <c r="A487" s="8">
        <f>IF($T487=0,"",IF(INDEX('Market Data'!$A$5:$A$528,$T487)="","",INDEX('Market Data'!$A$5:$A$528,$T487)))</f>
        <v/>
      </c>
      <c r="B487" s="9">
        <f>IF($T487=0,"",IF(INDEX('Market Data'!$B$5:$B$528,$T487)="","",INDEX('Market Data'!$B$5:$B$528,$T487)))</f>
        <v/>
      </c>
      <c r="C487" s="9">
        <f>IF($T487=0,"",IF(INDEX('Market Data'!$C$5:$C$528,$T487)="","",INDEX('Market Data'!$C$5:$C$528,$T487)))</f>
        <v/>
      </c>
      <c r="D487" s="9">
        <f>IF($T487=0,"",IF(INDEX('Market Data'!$D$5:$D$528,$T487)="","",INDEX('Market Data'!$D$5:$D$528,$T487)))</f>
        <v/>
      </c>
      <c r="E487" s="10">
        <f>IF($T487=0,"",INDEX('Market Data'!$O$5:$O$528,$T487))</f>
        <v/>
      </c>
      <c r="F487" s="11">
        <f>IF($T487=0,"",IF(AND($I487="Bloomberg",ISNUMBER(INDEX('Market Data'!$L$5:$L$528,$T487))),INDEX('Market Data'!$L$5:$L$528,$T487),"unavailable"))</f>
        <v/>
      </c>
      <c r="G487" s="12">
        <f>IF($T487=0,"",IF($I487="Bloomberg",IF(AND(ISNUMBER(INDEX('Market Data'!$M$5:$M$528,$T487)),N(INDEX('Market Data'!$M$5:$M$528,$T487))&gt;0),INDEX('Market Data'!$M$5:$M$528,$T487),"date unavailable"),IF($I487="Snapshot",IF(AND(ISNUMBER(INDEX('Market Data'!$H$5:$H$528,$T487)),N(INDEX('Market Data'!$H$5:$H$528,$T487))&gt;0),INDEX('Market Data'!$H$5:$H$528,$T487),"date unavailable"),"date unavailable")))</f>
        <v/>
      </c>
      <c r="H487" s="9">
        <f>IF($T487=0,"",IF($I487="Bloomberg",IF(INDEX('Market Data'!$N$5:$N$528,$T487)="","time unavailable",INDEX('Market Data'!$N$5:$N$528,$T487)),""))</f>
        <v/>
      </c>
      <c r="I487" s="9">
        <f>IF($T487=0,"",INDEX('Market Data'!$P$5:$P$528,$T487))</f>
        <v/>
      </c>
      <c r="J487" s="13">
        <f>IF($T487=0,"",IF(INDEX('Market Data'!$E$5:$E$528,$T487)="","",INDEX('Market Data'!$E$5:$E$528,$T487)))</f>
        <v/>
      </c>
      <c r="K487" s="8">
        <f>IF($T487=0,"",IF(INDEX('Market Data'!$I$5:$I$528,$T487)="","",INDEX('Market Data'!$I$5:$I$528,$T487)))</f>
        <v/>
      </c>
      <c r="L487" s="10">
        <f>IF($T487=0,"",IF(INDEX('Market Data'!$J$5:$J$528,$T487)=0,"n/a",IF(AND($M$5&lt;&gt;"Snapshot",ISNUMBER(INDEX('Market Data'!$AH$5:$AH$66,INDEX('Market Data'!$J$5:$J$528,$T487)-4)),N(INDEX('Market Data'!$AH$5:$AH$66,INDEX('Market Data'!$J$5:$J$528,$T487)-4))&gt;0),INDEX('Market Data'!$AH$5:$AH$66,INDEX('Market Data'!$J$5:$J$528,$T487)-4),IF(AND($M$5&lt;&gt;"Bloomberg",ISNUMBER(INDEX('Market Data'!$AC$5:$AC$66,INDEX('Market Data'!$J$5:$J$528,$T487)-4)),N(INDEX('Market Data'!$AC$5:$AC$66,INDEX('Market Data'!$J$5:$J$528,$T487)-4))&gt;0),INDEX('Market Data'!$AC$5:$AC$66,INDEX('Market Data'!$J$5:$J$528,$T487)-4),"unavailable"))))</f>
        <v/>
      </c>
      <c r="M487" s="11">
        <f>IF($T487=0,"",IF(INDEX('Market Data'!$J$5:$J$528,$T487)=0,"n/a",IF(IF(INDEX('Market Data'!$J$5:$J$528,$T487)=0,0,IF(LEFT(INDEX('Market Data'!$AS$5:$AS$66,INDEX('Market Data'!$J$5:$J$528,$T487)-4),11)="First-month",1,0))=1,"class review",IF($I487="Bloomberg",IF(AND(ISNUMBER(INDEX('Market Data'!$AH$5:$AH$66,INDEX('Market Data'!$J$5:$J$528,$T487)-4)),N(INDEX('Market Data'!$AH$5:$AH$66,INDEX('Market Data'!$J$5:$J$528,$T487)-4))&gt;0,ISNUMBER('Market Data'!$B$1),N('Market Data'!$B$1)&gt;0),INDEX('Market Data'!$AH$5:$AH$66,INDEX('Market Data'!$J$5:$J$528,$T487)-4)*'Market Data'!$B$1/$E487-1,"pending A/FX"),IF(AND($I487="Snapshot",$Q487="Snapshot",ISNUMBER($E487),$G487=INDEX('Market Data'!$AE$5:$AE$66,INDEX('Market Data'!$J$5:$J$528,$T487)-4)),IFERROR(INDEX('Market Data'!$AC$5:$AC$66,INDEX('Market Data'!$J$5:$J$528,$T487)-4)*INDEX('Market Data'!$AD$5:$AD$66,INDEX('Market Data'!$J$5:$J$528,$T487)-4)/$E487-1,"unavailable"),IF($I487="Unavailable","unavailable","date mismatch"))))))</f>
        <v/>
      </c>
      <c r="N487" s="11">
        <f>IF($T487=0,"",IFERROR(IF(AND(N(INDEX('Market Data'!$F$5:$F$528,$T487))&gt;0,ISNUMBER(INDEX('Market Data'!$T$5:$T$528,$T487))),$E487*INDEX('Market Data'!$T$5:$T$528,$T487)/INDEX('Market Data'!$F$5:$F$528,$T487)-1,"unavailable"),"unavailable"))</f>
        <v/>
      </c>
      <c r="O487" s="9">
        <f>IF($T487=0,"",IF(IF(INDEX('Market Data'!$J$5:$J$528,$T487)=0,0,IF(LEFT(INDEX('Market Data'!$AS$5:$AS$66,INDEX('Market Data'!$J$5:$J$528,$T487)-4),11)="First-month",1,0))=1,"Class ratio review",IF($I487="Bloomberg",IF(ISNUMBER($G487),IF($G487&lt;TODAY(),"Older quote","See quote time"),"Date unavailable"),IF($I487="Snapshot",IF($G487&lt;DATEVALUE("2026-10-02"),"Older snapshot","Dated close"),"No valid quote"))))</f>
        <v/>
      </c>
      <c r="P487" s="14">
        <f>IF($T487=0,"",IF(INDEX('Market Data'!$J$5:$J$528,$T487)=0,"n/a",IF($Q487="Bloomberg",IF(AND(ISNUMBER(INDEX('Market Data'!$AK$5:$AK$66,INDEX('Market Data'!$J$5:$J$528,$T487)-4)),N(INDEX('Market Data'!$AK$5:$AK$66,INDEX('Market Data'!$J$5:$J$528,$T487)-4))&gt;0),INDEX('Market Data'!$AK$5:$AK$66,INDEX('Market Data'!$J$5:$J$528,$T487)-4),"date unavailable"),IF($Q487="Snapshot",IF(AND(ISNUMBER(INDEX('Market Data'!$AF$5:$AF$66,INDEX('Market Data'!$J$5:$J$528,$T487)-4)),N(INDEX('Market Data'!$AF$5:$AF$66,INDEX('Market Data'!$J$5:$J$528,$T487)-4))&gt;0),INDEX('Market Data'!$AF$5:$AF$66,INDEX('Market Data'!$J$5:$J$528,$T487)-4),"date unavailable"),"date unavailable"))))</f>
        <v/>
      </c>
      <c r="Q487" s="15">
        <f>IF($T487=0,"",IF(INDEX('Market Data'!$J$5:$J$528,$T487)=0,"n/a",IF(AND($M$5&lt;&gt;"Snapshot",ISNUMBER(INDEX('Market Data'!$AH$5:$AH$66,INDEX('Market Data'!$J$5:$J$528,$T487)-4)),N(INDEX('Market Data'!$AH$5:$AH$66,INDEX('Market Data'!$J$5:$J$528,$T487)-4))&gt;0),"Bloomberg",IF(AND($M$5&lt;&gt;"Bloomberg",ISNUMBER(INDEX('Market Data'!$AC$5:$AC$66,INDEX('Market Data'!$J$5:$J$528,$T487)-4)),N(INDEX('Market Data'!$AC$5:$AC$66,INDEX('Market Data'!$J$5:$J$528,$T487)-4))&gt;0),"Snapshot","Unavailable"))))</f>
        <v/>
      </c>
      <c r="T487">
        <f>IFERROR(MATCH(479,'Market Data'!$S$5:$S$528,0),0)</f>
        <v/>
      </c>
    </row>
    <row r="488" ht="34" customHeight="1">
      <c r="A488" s="8">
        <f>IF($T488=0,"",IF(INDEX('Market Data'!$A$5:$A$528,$T488)="","",INDEX('Market Data'!$A$5:$A$528,$T488)))</f>
        <v/>
      </c>
      <c r="B488" s="9">
        <f>IF($T488=0,"",IF(INDEX('Market Data'!$B$5:$B$528,$T488)="","",INDEX('Market Data'!$B$5:$B$528,$T488)))</f>
        <v/>
      </c>
      <c r="C488" s="9">
        <f>IF($T488=0,"",IF(INDEX('Market Data'!$C$5:$C$528,$T488)="","",INDEX('Market Data'!$C$5:$C$528,$T488)))</f>
        <v/>
      </c>
      <c r="D488" s="9">
        <f>IF($T488=0,"",IF(INDEX('Market Data'!$D$5:$D$528,$T488)="","",INDEX('Market Data'!$D$5:$D$528,$T488)))</f>
        <v/>
      </c>
      <c r="E488" s="10">
        <f>IF($T488=0,"",INDEX('Market Data'!$O$5:$O$528,$T488))</f>
        <v/>
      </c>
      <c r="F488" s="11">
        <f>IF($T488=0,"",IF(AND($I488="Bloomberg",ISNUMBER(INDEX('Market Data'!$L$5:$L$528,$T488))),INDEX('Market Data'!$L$5:$L$528,$T488),"unavailable"))</f>
        <v/>
      </c>
      <c r="G488" s="12">
        <f>IF($T488=0,"",IF($I488="Bloomberg",IF(AND(ISNUMBER(INDEX('Market Data'!$M$5:$M$528,$T488)),N(INDEX('Market Data'!$M$5:$M$528,$T488))&gt;0),INDEX('Market Data'!$M$5:$M$528,$T488),"date unavailable"),IF($I488="Snapshot",IF(AND(ISNUMBER(INDEX('Market Data'!$H$5:$H$528,$T488)),N(INDEX('Market Data'!$H$5:$H$528,$T488))&gt;0),INDEX('Market Data'!$H$5:$H$528,$T488),"date unavailable"),"date unavailable")))</f>
        <v/>
      </c>
      <c r="H488" s="9">
        <f>IF($T488=0,"",IF($I488="Bloomberg",IF(INDEX('Market Data'!$N$5:$N$528,$T488)="","time unavailable",INDEX('Market Data'!$N$5:$N$528,$T488)),""))</f>
        <v/>
      </c>
      <c r="I488" s="9">
        <f>IF($T488=0,"",INDEX('Market Data'!$P$5:$P$528,$T488))</f>
        <v/>
      </c>
      <c r="J488" s="13">
        <f>IF($T488=0,"",IF(INDEX('Market Data'!$E$5:$E$528,$T488)="","",INDEX('Market Data'!$E$5:$E$528,$T488)))</f>
        <v/>
      </c>
      <c r="K488" s="8">
        <f>IF($T488=0,"",IF(INDEX('Market Data'!$I$5:$I$528,$T488)="","",INDEX('Market Data'!$I$5:$I$528,$T488)))</f>
        <v/>
      </c>
      <c r="L488" s="10">
        <f>IF($T488=0,"",IF(INDEX('Market Data'!$J$5:$J$528,$T488)=0,"n/a",IF(AND($M$5&lt;&gt;"Snapshot",ISNUMBER(INDEX('Market Data'!$AH$5:$AH$66,INDEX('Market Data'!$J$5:$J$528,$T488)-4)),N(INDEX('Market Data'!$AH$5:$AH$66,INDEX('Market Data'!$J$5:$J$528,$T488)-4))&gt;0),INDEX('Market Data'!$AH$5:$AH$66,INDEX('Market Data'!$J$5:$J$528,$T488)-4),IF(AND($M$5&lt;&gt;"Bloomberg",ISNUMBER(INDEX('Market Data'!$AC$5:$AC$66,INDEX('Market Data'!$J$5:$J$528,$T488)-4)),N(INDEX('Market Data'!$AC$5:$AC$66,INDEX('Market Data'!$J$5:$J$528,$T488)-4))&gt;0),INDEX('Market Data'!$AC$5:$AC$66,INDEX('Market Data'!$J$5:$J$528,$T488)-4),"unavailable"))))</f>
        <v/>
      </c>
      <c r="M488" s="11">
        <f>IF($T488=0,"",IF(INDEX('Market Data'!$J$5:$J$528,$T488)=0,"n/a",IF(IF(INDEX('Market Data'!$J$5:$J$528,$T488)=0,0,IF(LEFT(INDEX('Market Data'!$AS$5:$AS$66,INDEX('Market Data'!$J$5:$J$528,$T488)-4),11)="First-month",1,0))=1,"class review",IF($I488="Bloomberg",IF(AND(ISNUMBER(INDEX('Market Data'!$AH$5:$AH$66,INDEX('Market Data'!$J$5:$J$528,$T488)-4)),N(INDEX('Market Data'!$AH$5:$AH$66,INDEX('Market Data'!$J$5:$J$528,$T488)-4))&gt;0,ISNUMBER('Market Data'!$B$1),N('Market Data'!$B$1)&gt;0),INDEX('Market Data'!$AH$5:$AH$66,INDEX('Market Data'!$J$5:$J$528,$T488)-4)*'Market Data'!$B$1/$E488-1,"pending A/FX"),IF(AND($I488="Snapshot",$Q488="Snapshot",ISNUMBER($E488),$G488=INDEX('Market Data'!$AE$5:$AE$66,INDEX('Market Data'!$J$5:$J$528,$T488)-4)),IFERROR(INDEX('Market Data'!$AC$5:$AC$66,INDEX('Market Data'!$J$5:$J$528,$T488)-4)*INDEX('Market Data'!$AD$5:$AD$66,INDEX('Market Data'!$J$5:$J$528,$T488)-4)/$E488-1,"unavailable"),IF($I488="Unavailable","unavailable","date mismatch"))))))</f>
        <v/>
      </c>
      <c r="N488" s="11">
        <f>IF($T488=0,"",IFERROR(IF(AND(N(INDEX('Market Data'!$F$5:$F$528,$T488))&gt;0,ISNUMBER(INDEX('Market Data'!$T$5:$T$528,$T488))),$E488*INDEX('Market Data'!$T$5:$T$528,$T488)/INDEX('Market Data'!$F$5:$F$528,$T488)-1,"unavailable"),"unavailable"))</f>
        <v/>
      </c>
      <c r="O488" s="9">
        <f>IF($T488=0,"",IF(IF(INDEX('Market Data'!$J$5:$J$528,$T488)=0,0,IF(LEFT(INDEX('Market Data'!$AS$5:$AS$66,INDEX('Market Data'!$J$5:$J$528,$T488)-4),11)="First-month",1,0))=1,"Class ratio review",IF($I488="Bloomberg",IF(ISNUMBER($G488),IF($G488&lt;TODAY(),"Older quote","See quote time"),"Date unavailable"),IF($I488="Snapshot",IF($G488&lt;DATEVALUE("2026-10-02"),"Older snapshot","Dated close"),"No valid quote"))))</f>
        <v/>
      </c>
      <c r="P488" s="14">
        <f>IF($T488=0,"",IF(INDEX('Market Data'!$J$5:$J$528,$T488)=0,"n/a",IF($Q488="Bloomberg",IF(AND(ISNUMBER(INDEX('Market Data'!$AK$5:$AK$66,INDEX('Market Data'!$J$5:$J$528,$T488)-4)),N(INDEX('Market Data'!$AK$5:$AK$66,INDEX('Market Data'!$J$5:$J$528,$T488)-4))&gt;0),INDEX('Market Data'!$AK$5:$AK$66,INDEX('Market Data'!$J$5:$J$528,$T488)-4),"date unavailable"),IF($Q488="Snapshot",IF(AND(ISNUMBER(INDEX('Market Data'!$AF$5:$AF$66,INDEX('Market Data'!$J$5:$J$528,$T488)-4)),N(INDEX('Market Data'!$AF$5:$AF$66,INDEX('Market Data'!$J$5:$J$528,$T488)-4))&gt;0),INDEX('Market Data'!$AF$5:$AF$66,INDEX('Market Data'!$J$5:$J$528,$T488)-4),"date unavailable"),"date unavailable"))))</f>
        <v/>
      </c>
      <c r="Q488" s="15">
        <f>IF($T488=0,"",IF(INDEX('Market Data'!$J$5:$J$528,$T488)=0,"n/a",IF(AND($M$5&lt;&gt;"Snapshot",ISNUMBER(INDEX('Market Data'!$AH$5:$AH$66,INDEX('Market Data'!$J$5:$J$528,$T488)-4)),N(INDEX('Market Data'!$AH$5:$AH$66,INDEX('Market Data'!$J$5:$J$528,$T488)-4))&gt;0),"Bloomberg",IF(AND($M$5&lt;&gt;"Bloomberg",ISNUMBER(INDEX('Market Data'!$AC$5:$AC$66,INDEX('Market Data'!$J$5:$J$528,$T488)-4)),N(INDEX('Market Data'!$AC$5:$AC$66,INDEX('Market Data'!$J$5:$J$528,$T488)-4))&gt;0),"Snapshot","Unavailable"))))</f>
        <v/>
      </c>
      <c r="T488">
        <f>IFERROR(MATCH(480,'Market Data'!$S$5:$S$528,0),0)</f>
        <v/>
      </c>
    </row>
    <row r="489" ht="34" customHeight="1">
      <c r="A489" s="8">
        <f>IF($T489=0,"",IF(INDEX('Market Data'!$A$5:$A$528,$T489)="","",INDEX('Market Data'!$A$5:$A$528,$T489)))</f>
        <v/>
      </c>
      <c r="B489" s="9">
        <f>IF($T489=0,"",IF(INDEX('Market Data'!$B$5:$B$528,$T489)="","",INDEX('Market Data'!$B$5:$B$528,$T489)))</f>
        <v/>
      </c>
      <c r="C489" s="9">
        <f>IF($T489=0,"",IF(INDEX('Market Data'!$C$5:$C$528,$T489)="","",INDEX('Market Data'!$C$5:$C$528,$T489)))</f>
        <v/>
      </c>
      <c r="D489" s="9">
        <f>IF($T489=0,"",IF(INDEX('Market Data'!$D$5:$D$528,$T489)="","",INDEX('Market Data'!$D$5:$D$528,$T489)))</f>
        <v/>
      </c>
      <c r="E489" s="10">
        <f>IF($T489=0,"",INDEX('Market Data'!$O$5:$O$528,$T489))</f>
        <v/>
      </c>
      <c r="F489" s="11">
        <f>IF($T489=0,"",IF(AND($I489="Bloomberg",ISNUMBER(INDEX('Market Data'!$L$5:$L$528,$T489))),INDEX('Market Data'!$L$5:$L$528,$T489),"unavailable"))</f>
        <v/>
      </c>
      <c r="G489" s="12">
        <f>IF($T489=0,"",IF($I489="Bloomberg",IF(AND(ISNUMBER(INDEX('Market Data'!$M$5:$M$528,$T489)),N(INDEX('Market Data'!$M$5:$M$528,$T489))&gt;0),INDEX('Market Data'!$M$5:$M$528,$T489),"date unavailable"),IF($I489="Snapshot",IF(AND(ISNUMBER(INDEX('Market Data'!$H$5:$H$528,$T489)),N(INDEX('Market Data'!$H$5:$H$528,$T489))&gt;0),INDEX('Market Data'!$H$5:$H$528,$T489),"date unavailable"),"date unavailable")))</f>
        <v/>
      </c>
      <c r="H489" s="9">
        <f>IF($T489=0,"",IF($I489="Bloomberg",IF(INDEX('Market Data'!$N$5:$N$528,$T489)="","time unavailable",INDEX('Market Data'!$N$5:$N$528,$T489)),""))</f>
        <v/>
      </c>
      <c r="I489" s="9">
        <f>IF($T489=0,"",INDEX('Market Data'!$P$5:$P$528,$T489))</f>
        <v/>
      </c>
      <c r="J489" s="13">
        <f>IF($T489=0,"",IF(INDEX('Market Data'!$E$5:$E$528,$T489)="","",INDEX('Market Data'!$E$5:$E$528,$T489)))</f>
        <v/>
      </c>
      <c r="K489" s="8">
        <f>IF($T489=0,"",IF(INDEX('Market Data'!$I$5:$I$528,$T489)="","",INDEX('Market Data'!$I$5:$I$528,$T489)))</f>
        <v/>
      </c>
      <c r="L489" s="10">
        <f>IF($T489=0,"",IF(INDEX('Market Data'!$J$5:$J$528,$T489)=0,"n/a",IF(AND($M$5&lt;&gt;"Snapshot",ISNUMBER(INDEX('Market Data'!$AH$5:$AH$66,INDEX('Market Data'!$J$5:$J$528,$T489)-4)),N(INDEX('Market Data'!$AH$5:$AH$66,INDEX('Market Data'!$J$5:$J$528,$T489)-4))&gt;0),INDEX('Market Data'!$AH$5:$AH$66,INDEX('Market Data'!$J$5:$J$528,$T489)-4),IF(AND($M$5&lt;&gt;"Bloomberg",ISNUMBER(INDEX('Market Data'!$AC$5:$AC$66,INDEX('Market Data'!$J$5:$J$528,$T489)-4)),N(INDEX('Market Data'!$AC$5:$AC$66,INDEX('Market Data'!$J$5:$J$528,$T489)-4))&gt;0),INDEX('Market Data'!$AC$5:$AC$66,INDEX('Market Data'!$J$5:$J$528,$T489)-4),"unavailable"))))</f>
        <v/>
      </c>
      <c r="M489" s="11">
        <f>IF($T489=0,"",IF(INDEX('Market Data'!$J$5:$J$528,$T489)=0,"n/a",IF(IF(INDEX('Market Data'!$J$5:$J$528,$T489)=0,0,IF(LEFT(INDEX('Market Data'!$AS$5:$AS$66,INDEX('Market Data'!$J$5:$J$528,$T489)-4),11)="First-month",1,0))=1,"class review",IF($I489="Bloomberg",IF(AND(ISNUMBER(INDEX('Market Data'!$AH$5:$AH$66,INDEX('Market Data'!$J$5:$J$528,$T489)-4)),N(INDEX('Market Data'!$AH$5:$AH$66,INDEX('Market Data'!$J$5:$J$528,$T489)-4))&gt;0,ISNUMBER('Market Data'!$B$1),N('Market Data'!$B$1)&gt;0),INDEX('Market Data'!$AH$5:$AH$66,INDEX('Market Data'!$J$5:$J$528,$T489)-4)*'Market Data'!$B$1/$E489-1,"pending A/FX"),IF(AND($I489="Snapshot",$Q489="Snapshot",ISNUMBER($E489),$G489=INDEX('Market Data'!$AE$5:$AE$66,INDEX('Market Data'!$J$5:$J$528,$T489)-4)),IFERROR(INDEX('Market Data'!$AC$5:$AC$66,INDEX('Market Data'!$J$5:$J$528,$T489)-4)*INDEX('Market Data'!$AD$5:$AD$66,INDEX('Market Data'!$J$5:$J$528,$T489)-4)/$E489-1,"unavailable"),IF($I489="Unavailable","unavailable","date mismatch"))))))</f>
        <v/>
      </c>
      <c r="N489" s="11">
        <f>IF($T489=0,"",IFERROR(IF(AND(N(INDEX('Market Data'!$F$5:$F$528,$T489))&gt;0,ISNUMBER(INDEX('Market Data'!$T$5:$T$528,$T489))),$E489*INDEX('Market Data'!$T$5:$T$528,$T489)/INDEX('Market Data'!$F$5:$F$528,$T489)-1,"unavailable"),"unavailable"))</f>
        <v/>
      </c>
      <c r="O489" s="9">
        <f>IF($T489=0,"",IF(IF(INDEX('Market Data'!$J$5:$J$528,$T489)=0,0,IF(LEFT(INDEX('Market Data'!$AS$5:$AS$66,INDEX('Market Data'!$J$5:$J$528,$T489)-4),11)="First-month",1,0))=1,"Class ratio review",IF($I489="Bloomberg",IF(ISNUMBER($G489),IF($G489&lt;TODAY(),"Older quote","See quote time"),"Date unavailable"),IF($I489="Snapshot",IF($G489&lt;DATEVALUE("2026-10-02"),"Older snapshot","Dated close"),"No valid quote"))))</f>
        <v/>
      </c>
      <c r="P489" s="14">
        <f>IF($T489=0,"",IF(INDEX('Market Data'!$J$5:$J$528,$T489)=0,"n/a",IF($Q489="Bloomberg",IF(AND(ISNUMBER(INDEX('Market Data'!$AK$5:$AK$66,INDEX('Market Data'!$J$5:$J$528,$T489)-4)),N(INDEX('Market Data'!$AK$5:$AK$66,INDEX('Market Data'!$J$5:$J$528,$T489)-4))&gt;0),INDEX('Market Data'!$AK$5:$AK$66,INDEX('Market Data'!$J$5:$J$528,$T489)-4),"date unavailable"),IF($Q489="Snapshot",IF(AND(ISNUMBER(INDEX('Market Data'!$AF$5:$AF$66,INDEX('Market Data'!$J$5:$J$528,$T489)-4)),N(INDEX('Market Data'!$AF$5:$AF$66,INDEX('Market Data'!$J$5:$J$528,$T489)-4))&gt;0),INDEX('Market Data'!$AF$5:$AF$66,INDEX('Market Data'!$J$5:$J$528,$T489)-4),"date unavailable"),"date unavailable"))))</f>
        <v/>
      </c>
      <c r="Q489" s="15">
        <f>IF($T489=0,"",IF(INDEX('Market Data'!$J$5:$J$528,$T489)=0,"n/a",IF(AND($M$5&lt;&gt;"Snapshot",ISNUMBER(INDEX('Market Data'!$AH$5:$AH$66,INDEX('Market Data'!$J$5:$J$528,$T489)-4)),N(INDEX('Market Data'!$AH$5:$AH$66,INDEX('Market Data'!$J$5:$J$528,$T489)-4))&gt;0),"Bloomberg",IF(AND($M$5&lt;&gt;"Bloomberg",ISNUMBER(INDEX('Market Data'!$AC$5:$AC$66,INDEX('Market Data'!$J$5:$J$528,$T489)-4)),N(INDEX('Market Data'!$AC$5:$AC$66,INDEX('Market Data'!$J$5:$J$528,$T489)-4))&gt;0),"Snapshot","Unavailable"))))</f>
        <v/>
      </c>
      <c r="T489">
        <f>IFERROR(MATCH(481,'Market Data'!$S$5:$S$528,0),0)</f>
        <v/>
      </c>
    </row>
    <row r="490" ht="34" customHeight="1">
      <c r="A490" s="8">
        <f>IF($T490=0,"",IF(INDEX('Market Data'!$A$5:$A$528,$T490)="","",INDEX('Market Data'!$A$5:$A$528,$T490)))</f>
        <v/>
      </c>
      <c r="B490" s="9">
        <f>IF($T490=0,"",IF(INDEX('Market Data'!$B$5:$B$528,$T490)="","",INDEX('Market Data'!$B$5:$B$528,$T490)))</f>
        <v/>
      </c>
      <c r="C490" s="9">
        <f>IF($T490=0,"",IF(INDEX('Market Data'!$C$5:$C$528,$T490)="","",INDEX('Market Data'!$C$5:$C$528,$T490)))</f>
        <v/>
      </c>
      <c r="D490" s="9">
        <f>IF($T490=0,"",IF(INDEX('Market Data'!$D$5:$D$528,$T490)="","",INDEX('Market Data'!$D$5:$D$528,$T490)))</f>
        <v/>
      </c>
      <c r="E490" s="10">
        <f>IF($T490=0,"",INDEX('Market Data'!$O$5:$O$528,$T490))</f>
        <v/>
      </c>
      <c r="F490" s="11">
        <f>IF($T490=0,"",IF(AND($I490="Bloomberg",ISNUMBER(INDEX('Market Data'!$L$5:$L$528,$T490))),INDEX('Market Data'!$L$5:$L$528,$T490),"unavailable"))</f>
        <v/>
      </c>
      <c r="G490" s="12">
        <f>IF($T490=0,"",IF($I490="Bloomberg",IF(AND(ISNUMBER(INDEX('Market Data'!$M$5:$M$528,$T490)),N(INDEX('Market Data'!$M$5:$M$528,$T490))&gt;0),INDEX('Market Data'!$M$5:$M$528,$T490),"date unavailable"),IF($I490="Snapshot",IF(AND(ISNUMBER(INDEX('Market Data'!$H$5:$H$528,$T490)),N(INDEX('Market Data'!$H$5:$H$528,$T490))&gt;0),INDEX('Market Data'!$H$5:$H$528,$T490),"date unavailable"),"date unavailable")))</f>
        <v/>
      </c>
      <c r="H490" s="9">
        <f>IF($T490=0,"",IF($I490="Bloomberg",IF(INDEX('Market Data'!$N$5:$N$528,$T490)="","time unavailable",INDEX('Market Data'!$N$5:$N$528,$T490)),""))</f>
        <v/>
      </c>
      <c r="I490" s="9">
        <f>IF($T490=0,"",INDEX('Market Data'!$P$5:$P$528,$T490))</f>
        <v/>
      </c>
      <c r="J490" s="13">
        <f>IF($T490=0,"",IF(INDEX('Market Data'!$E$5:$E$528,$T490)="","",INDEX('Market Data'!$E$5:$E$528,$T490)))</f>
        <v/>
      </c>
      <c r="K490" s="8">
        <f>IF($T490=0,"",IF(INDEX('Market Data'!$I$5:$I$528,$T490)="","",INDEX('Market Data'!$I$5:$I$528,$T490)))</f>
        <v/>
      </c>
      <c r="L490" s="10">
        <f>IF($T490=0,"",IF(INDEX('Market Data'!$J$5:$J$528,$T490)=0,"n/a",IF(AND($M$5&lt;&gt;"Snapshot",ISNUMBER(INDEX('Market Data'!$AH$5:$AH$66,INDEX('Market Data'!$J$5:$J$528,$T490)-4)),N(INDEX('Market Data'!$AH$5:$AH$66,INDEX('Market Data'!$J$5:$J$528,$T490)-4))&gt;0),INDEX('Market Data'!$AH$5:$AH$66,INDEX('Market Data'!$J$5:$J$528,$T490)-4),IF(AND($M$5&lt;&gt;"Bloomberg",ISNUMBER(INDEX('Market Data'!$AC$5:$AC$66,INDEX('Market Data'!$J$5:$J$528,$T490)-4)),N(INDEX('Market Data'!$AC$5:$AC$66,INDEX('Market Data'!$J$5:$J$528,$T490)-4))&gt;0),INDEX('Market Data'!$AC$5:$AC$66,INDEX('Market Data'!$J$5:$J$528,$T490)-4),"unavailable"))))</f>
        <v/>
      </c>
      <c r="M490" s="11">
        <f>IF($T490=0,"",IF(INDEX('Market Data'!$J$5:$J$528,$T490)=0,"n/a",IF(IF(INDEX('Market Data'!$J$5:$J$528,$T490)=0,0,IF(LEFT(INDEX('Market Data'!$AS$5:$AS$66,INDEX('Market Data'!$J$5:$J$528,$T490)-4),11)="First-month",1,0))=1,"class review",IF($I490="Bloomberg",IF(AND(ISNUMBER(INDEX('Market Data'!$AH$5:$AH$66,INDEX('Market Data'!$J$5:$J$528,$T490)-4)),N(INDEX('Market Data'!$AH$5:$AH$66,INDEX('Market Data'!$J$5:$J$528,$T490)-4))&gt;0,ISNUMBER('Market Data'!$B$1),N('Market Data'!$B$1)&gt;0),INDEX('Market Data'!$AH$5:$AH$66,INDEX('Market Data'!$J$5:$J$528,$T490)-4)*'Market Data'!$B$1/$E490-1,"pending A/FX"),IF(AND($I490="Snapshot",$Q490="Snapshot",ISNUMBER($E490),$G490=INDEX('Market Data'!$AE$5:$AE$66,INDEX('Market Data'!$J$5:$J$528,$T490)-4)),IFERROR(INDEX('Market Data'!$AC$5:$AC$66,INDEX('Market Data'!$J$5:$J$528,$T490)-4)*INDEX('Market Data'!$AD$5:$AD$66,INDEX('Market Data'!$J$5:$J$528,$T490)-4)/$E490-1,"unavailable"),IF($I490="Unavailable","unavailable","date mismatch"))))))</f>
        <v/>
      </c>
      <c r="N490" s="11">
        <f>IF($T490=0,"",IFERROR(IF(AND(N(INDEX('Market Data'!$F$5:$F$528,$T490))&gt;0,ISNUMBER(INDEX('Market Data'!$T$5:$T$528,$T490))),$E490*INDEX('Market Data'!$T$5:$T$528,$T490)/INDEX('Market Data'!$F$5:$F$528,$T490)-1,"unavailable"),"unavailable"))</f>
        <v/>
      </c>
      <c r="O490" s="9">
        <f>IF($T490=0,"",IF(IF(INDEX('Market Data'!$J$5:$J$528,$T490)=0,0,IF(LEFT(INDEX('Market Data'!$AS$5:$AS$66,INDEX('Market Data'!$J$5:$J$528,$T490)-4),11)="First-month",1,0))=1,"Class ratio review",IF($I490="Bloomberg",IF(ISNUMBER($G490),IF($G490&lt;TODAY(),"Older quote","See quote time"),"Date unavailable"),IF($I490="Snapshot",IF($G490&lt;DATEVALUE("2026-10-02"),"Older snapshot","Dated close"),"No valid quote"))))</f>
        <v/>
      </c>
      <c r="P490" s="14">
        <f>IF($T490=0,"",IF(INDEX('Market Data'!$J$5:$J$528,$T490)=0,"n/a",IF($Q490="Bloomberg",IF(AND(ISNUMBER(INDEX('Market Data'!$AK$5:$AK$66,INDEX('Market Data'!$J$5:$J$528,$T490)-4)),N(INDEX('Market Data'!$AK$5:$AK$66,INDEX('Market Data'!$J$5:$J$528,$T490)-4))&gt;0),INDEX('Market Data'!$AK$5:$AK$66,INDEX('Market Data'!$J$5:$J$528,$T490)-4),"date unavailable"),IF($Q490="Snapshot",IF(AND(ISNUMBER(INDEX('Market Data'!$AF$5:$AF$66,INDEX('Market Data'!$J$5:$J$528,$T490)-4)),N(INDEX('Market Data'!$AF$5:$AF$66,INDEX('Market Data'!$J$5:$J$528,$T490)-4))&gt;0),INDEX('Market Data'!$AF$5:$AF$66,INDEX('Market Data'!$J$5:$J$528,$T490)-4),"date unavailable"),"date unavailable"))))</f>
        <v/>
      </c>
      <c r="Q490" s="15">
        <f>IF($T490=0,"",IF(INDEX('Market Data'!$J$5:$J$528,$T490)=0,"n/a",IF(AND($M$5&lt;&gt;"Snapshot",ISNUMBER(INDEX('Market Data'!$AH$5:$AH$66,INDEX('Market Data'!$J$5:$J$528,$T490)-4)),N(INDEX('Market Data'!$AH$5:$AH$66,INDEX('Market Data'!$J$5:$J$528,$T490)-4))&gt;0),"Bloomberg",IF(AND($M$5&lt;&gt;"Bloomberg",ISNUMBER(INDEX('Market Data'!$AC$5:$AC$66,INDEX('Market Data'!$J$5:$J$528,$T490)-4)),N(INDEX('Market Data'!$AC$5:$AC$66,INDEX('Market Data'!$J$5:$J$528,$T490)-4))&gt;0),"Snapshot","Unavailable"))))</f>
        <v/>
      </c>
      <c r="T490">
        <f>IFERROR(MATCH(482,'Market Data'!$S$5:$S$528,0),0)</f>
        <v/>
      </c>
    </row>
    <row r="491" ht="34" customHeight="1">
      <c r="A491" s="8">
        <f>IF($T491=0,"",IF(INDEX('Market Data'!$A$5:$A$528,$T491)="","",INDEX('Market Data'!$A$5:$A$528,$T491)))</f>
        <v/>
      </c>
      <c r="B491" s="9">
        <f>IF($T491=0,"",IF(INDEX('Market Data'!$B$5:$B$528,$T491)="","",INDEX('Market Data'!$B$5:$B$528,$T491)))</f>
        <v/>
      </c>
      <c r="C491" s="9">
        <f>IF($T491=0,"",IF(INDEX('Market Data'!$C$5:$C$528,$T491)="","",INDEX('Market Data'!$C$5:$C$528,$T491)))</f>
        <v/>
      </c>
      <c r="D491" s="9">
        <f>IF($T491=0,"",IF(INDEX('Market Data'!$D$5:$D$528,$T491)="","",INDEX('Market Data'!$D$5:$D$528,$T491)))</f>
        <v/>
      </c>
      <c r="E491" s="10">
        <f>IF($T491=0,"",INDEX('Market Data'!$O$5:$O$528,$T491))</f>
        <v/>
      </c>
      <c r="F491" s="11">
        <f>IF($T491=0,"",IF(AND($I491="Bloomberg",ISNUMBER(INDEX('Market Data'!$L$5:$L$528,$T491))),INDEX('Market Data'!$L$5:$L$528,$T491),"unavailable"))</f>
        <v/>
      </c>
      <c r="G491" s="12">
        <f>IF($T491=0,"",IF($I491="Bloomberg",IF(AND(ISNUMBER(INDEX('Market Data'!$M$5:$M$528,$T491)),N(INDEX('Market Data'!$M$5:$M$528,$T491))&gt;0),INDEX('Market Data'!$M$5:$M$528,$T491),"date unavailable"),IF($I491="Snapshot",IF(AND(ISNUMBER(INDEX('Market Data'!$H$5:$H$528,$T491)),N(INDEX('Market Data'!$H$5:$H$528,$T491))&gt;0),INDEX('Market Data'!$H$5:$H$528,$T491),"date unavailable"),"date unavailable")))</f>
        <v/>
      </c>
      <c r="H491" s="9">
        <f>IF($T491=0,"",IF($I491="Bloomberg",IF(INDEX('Market Data'!$N$5:$N$528,$T491)="","time unavailable",INDEX('Market Data'!$N$5:$N$528,$T491)),""))</f>
        <v/>
      </c>
      <c r="I491" s="9">
        <f>IF($T491=0,"",INDEX('Market Data'!$P$5:$P$528,$T491))</f>
        <v/>
      </c>
      <c r="J491" s="13">
        <f>IF($T491=0,"",IF(INDEX('Market Data'!$E$5:$E$528,$T491)="","",INDEX('Market Data'!$E$5:$E$528,$T491)))</f>
        <v/>
      </c>
      <c r="K491" s="8">
        <f>IF($T491=0,"",IF(INDEX('Market Data'!$I$5:$I$528,$T491)="","",INDEX('Market Data'!$I$5:$I$528,$T491)))</f>
        <v/>
      </c>
      <c r="L491" s="10">
        <f>IF($T491=0,"",IF(INDEX('Market Data'!$J$5:$J$528,$T491)=0,"n/a",IF(AND($M$5&lt;&gt;"Snapshot",ISNUMBER(INDEX('Market Data'!$AH$5:$AH$66,INDEX('Market Data'!$J$5:$J$528,$T491)-4)),N(INDEX('Market Data'!$AH$5:$AH$66,INDEX('Market Data'!$J$5:$J$528,$T491)-4))&gt;0),INDEX('Market Data'!$AH$5:$AH$66,INDEX('Market Data'!$J$5:$J$528,$T491)-4),IF(AND($M$5&lt;&gt;"Bloomberg",ISNUMBER(INDEX('Market Data'!$AC$5:$AC$66,INDEX('Market Data'!$J$5:$J$528,$T491)-4)),N(INDEX('Market Data'!$AC$5:$AC$66,INDEX('Market Data'!$J$5:$J$528,$T491)-4))&gt;0),INDEX('Market Data'!$AC$5:$AC$66,INDEX('Market Data'!$J$5:$J$528,$T491)-4),"unavailable"))))</f>
        <v/>
      </c>
      <c r="M491" s="11">
        <f>IF($T491=0,"",IF(INDEX('Market Data'!$J$5:$J$528,$T491)=0,"n/a",IF(IF(INDEX('Market Data'!$J$5:$J$528,$T491)=0,0,IF(LEFT(INDEX('Market Data'!$AS$5:$AS$66,INDEX('Market Data'!$J$5:$J$528,$T491)-4),11)="First-month",1,0))=1,"class review",IF($I491="Bloomberg",IF(AND(ISNUMBER(INDEX('Market Data'!$AH$5:$AH$66,INDEX('Market Data'!$J$5:$J$528,$T491)-4)),N(INDEX('Market Data'!$AH$5:$AH$66,INDEX('Market Data'!$J$5:$J$528,$T491)-4))&gt;0,ISNUMBER('Market Data'!$B$1),N('Market Data'!$B$1)&gt;0),INDEX('Market Data'!$AH$5:$AH$66,INDEX('Market Data'!$J$5:$J$528,$T491)-4)*'Market Data'!$B$1/$E491-1,"pending A/FX"),IF(AND($I491="Snapshot",$Q491="Snapshot",ISNUMBER($E491),$G491=INDEX('Market Data'!$AE$5:$AE$66,INDEX('Market Data'!$J$5:$J$528,$T491)-4)),IFERROR(INDEX('Market Data'!$AC$5:$AC$66,INDEX('Market Data'!$J$5:$J$528,$T491)-4)*INDEX('Market Data'!$AD$5:$AD$66,INDEX('Market Data'!$J$5:$J$528,$T491)-4)/$E491-1,"unavailable"),IF($I491="Unavailable","unavailable","date mismatch"))))))</f>
        <v/>
      </c>
      <c r="N491" s="11">
        <f>IF($T491=0,"",IFERROR(IF(AND(N(INDEX('Market Data'!$F$5:$F$528,$T491))&gt;0,ISNUMBER(INDEX('Market Data'!$T$5:$T$528,$T491))),$E491*INDEX('Market Data'!$T$5:$T$528,$T491)/INDEX('Market Data'!$F$5:$F$528,$T491)-1,"unavailable"),"unavailable"))</f>
        <v/>
      </c>
      <c r="O491" s="9">
        <f>IF($T491=0,"",IF(IF(INDEX('Market Data'!$J$5:$J$528,$T491)=0,0,IF(LEFT(INDEX('Market Data'!$AS$5:$AS$66,INDEX('Market Data'!$J$5:$J$528,$T491)-4),11)="First-month",1,0))=1,"Class ratio review",IF($I491="Bloomberg",IF(ISNUMBER($G491),IF($G491&lt;TODAY(),"Older quote","See quote time"),"Date unavailable"),IF($I491="Snapshot",IF($G491&lt;DATEVALUE("2026-10-02"),"Older snapshot","Dated close"),"No valid quote"))))</f>
        <v/>
      </c>
      <c r="P491" s="14">
        <f>IF($T491=0,"",IF(INDEX('Market Data'!$J$5:$J$528,$T491)=0,"n/a",IF($Q491="Bloomberg",IF(AND(ISNUMBER(INDEX('Market Data'!$AK$5:$AK$66,INDEX('Market Data'!$J$5:$J$528,$T491)-4)),N(INDEX('Market Data'!$AK$5:$AK$66,INDEX('Market Data'!$J$5:$J$528,$T491)-4))&gt;0),INDEX('Market Data'!$AK$5:$AK$66,INDEX('Market Data'!$J$5:$J$528,$T491)-4),"date unavailable"),IF($Q491="Snapshot",IF(AND(ISNUMBER(INDEX('Market Data'!$AF$5:$AF$66,INDEX('Market Data'!$J$5:$J$528,$T491)-4)),N(INDEX('Market Data'!$AF$5:$AF$66,INDEX('Market Data'!$J$5:$J$528,$T491)-4))&gt;0),INDEX('Market Data'!$AF$5:$AF$66,INDEX('Market Data'!$J$5:$J$528,$T491)-4),"date unavailable"),"date unavailable"))))</f>
        <v/>
      </c>
      <c r="Q491" s="15">
        <f>IF($T491=0,"",IF(INDEX('Market Data'!$J$5:$J$528,$T491)=0,"n/a",IF(AND($M$5&lt;&gt;"Snapshot",ISNUMBER(INDEX('Market Data'!$AH$5:$AH$66,INDEX('Market Data'!$J$5:$J$528,$T491)-4)),N(INDEX('Market Data'!$AH$5:$AH$66,INDEX('Market Data'!$J$5:$J$528,$T491)-4))&gt;0),"Bloomberg",IF(AND($M$5&lt;&gt;"Bloomberg",ISNUMBER(INDEX('Market Data'!$AC$5:$AC$66,INDEX('Market Data'!$J$5:$J$528,$T491)-4)),N(INDEX('Market Data'!$AC$5:$AC$66,INDEX('Market Data'!$J$5:$J$528,$T491)-4))&gt;0),"Snapshot","Unavailable"))))</f>
        <v/>
      </c>
      <c r="T491">
        <f>IFERROR(MATCH(483,'Market Data'!$S$5:$S$528,0),0)</f>
        <v/>
      </c>
    </row>
    <row r="492" ht="34" customHeight="1">
      <c r="A492" s="8">
        <f>IF($T492=0,"",IF(INDEX('Market Data'!$A$5:$A$528,$T492)="","",INDEX('Market Data'!$A$5:$A$528,$T492)))</f>
        <v/>
      </c>
      <c r="B492" s="9">
        <f>IF($T492=0,"",IF(INDEX('Market Data'!$B$5:$B$528,$T492)="","",INDEX('Market Data'!$B$5:$B$528,$T492)))</f>
        <v/>
      </c>
      <c r="C492" s="9">
        <f>IF($T492=0,"",IF(INDEX('Market Data'!$C$5:$C$528,$T492)="","",INDEX('Market Data'!$C$5:$C$528,$T492)))</f>
        <v/>
      </c>
      <c r="D492" s="9">
        <f>IF($T492=0,"",IF(INDEX('Market Data'!$D$5:$D$528,$T492)="","",INDEX('Market Data'!$D$5:$D$528,$T492)))</f>
        <v/>
      </c>
      <c r="E492" s="10">
        <f>IF($T492=0,"",INDEX('Market Data'!$O$5:$O$528,$T492))</f>
        <v/>
      </c>
      <c r="F492" s="11">
        <f>IF($T492=0,"",IF(AND($I492="Bloomberg",ISNUMBER(INDEX('Market Data'!$L$5:$L$528,$T492))),INDEX('Market Data'!$L$5:$L$528,$T492),"unavailable"))</f>
        <v/>
      </c>
      <c r="G492" s="12">
        <f>IF($T492=0,"",IF($I492="Bloomberg",IF(AND(ISNUMBER(INDEX('Market Data'!$M$5:$M$528,$T492)),N(INDEX('Market Data'!$M$5:$M$528,$T492))&gt;0),INDEX('Market Data'!$M$5:$M$528,$T492),"date unavailable"),IF($I492="Snapshot",IF(AND(ISNUMBER(INDEX('Market Data'!$H$5:$H$528,$T492)),N(INDEX('Market Data'!$H$5:$H$528,$T492))&gt;0),INDEX('Market Data'!$H$5:$H$528,$T492),"date unavailable"),"date unavailable")))</f>
        <v/>
      </c>
      <c r="H492" s="9">
        <f>IF($T492=0,"",IF($I492="Bloomberg",IF(INDEX('Market Data'!$N$5:$N$528,$T492)="","time unavailable",INDEX('Market Data'!$N$5:$N$528,$T492)),""))</f>
        <v/>
      </c>
      <c r="I492" s="9">
        <f>IF($T492=0,"",INDEX('Market Data'!$P$5:$P$528,$T492))</f>
        <v/>
      </c>
      <c r="J492" s="13">
        <f>IF($T492=0,"",IF(INDEX('Market Data'!$E$5:$E$528,$T492)="","",INDEX('Market Data'!$E$5:$E$528,$T492)))</f>
        <v/>
      </c>
      <c r="K492" s="8">
        <f>IF($T492=0,"",IF(INDEX('Market Data'!$I$5:$I$528,$T492)="","",INDEX('Market Data'!$I$5:$I$528,$T492)))</f>
        <v/>
      </c>
      <c r="L492" s="10">
        <f>IF($T492=0,"",IF(INDEX('Market Data'!$J$5:$J$528,$T492)=0,"n/a",IF(AND($M$5&lt;&gt;"Snapshot",ISNUMBER(INDEX('Market Data'!$AH$5:$AH$66,INDEX('Market Data'!$J$5:$J$528,$T492)-4)),N(INDEX('Market Data'!$AH$5:$AH$66,INDEX('Market Data'!$J$5:$J$528,$T492)-4))&gt;0),INDEX('Market Data'!$AH$5:$AH$66,INDEX('Market Data'!$J$5:$J$528,$T492)-4),IF(AND($M$5&lt;&gt;"Bloomberg",ISNUMBER(INDEX('Market Data'!$AC$5:$AC$66,INDEX('Market Data'!$J$5:$J$528,$T492)-4)),N(INDEX('Market Data'!$AC$5:$AC$66,INDEX('Market Data'!$J$5:$J$528,$T492)-4))&gt;0),INDEX('Market Data'!$AC$5:$AC$66,INDEX('Market Data'!$J$5:$J$528,$T492)-4),"unavailable"))))</f>
        <v/>
      </c>
      <c r="M492" s="11">
        <f>IF($T492=0,"",IF(INDEX('Market Data'!$J$5:$J$528,$T492)=0,"n/a",IF(IF(INDEX('Market Data'!$J$5:$J$528,$T492)=0,0,IF(LEFT(INDEX('Market Data'!$AS$5:$AS$66,INDEX('Market Data'!$J$5:$J$528,$T492)-4),11)="First-month",1,0))=1,"class review",IF($I492="Bloomberg",IF(AND(ISNUMBER(INDEX('Market Data'!$AH$5:$AH$66,INDEX('Market Data'!$J$5:$J$528,$T492)-4)),N(INDEX('Market Data'!$AH$5:$AH$66,INDEX('Market Data'!$J$5:$J$528,$T492)-4))&gt;0,ISNUMBER('Market Data'!$B$1),N('Market Data'!$B$1)&gt;0),INDEX('Market Data'!$AH$5:$AH$66,INDEX('Market Data'!$J$5:$J$528,$T492)-4)*'Market Data'!$B$1/$E492-1,"pending A/FX"),IF(AND($I492="Snapshot",$Q492="Snapshot",ISNUMBER($E492),$G492=INDEX('Market Data'!$AE$5:$AE$66,INDEX('Market Data'!$J$5:$J$528,$T492)-4)),IFERROR(INDEX('Market Data'!$AC$5:$AC$66,INDEX('Market Data'!$J$5:$J$528,$T492)-4)*INDEX('Market Data'!$AD$5:$AD$66,INDEX('Market Data'!$J$5:$J$528,$T492)-4)/$E492-1,"unavailable"),IF($I492="Unavailable","unavailable","date mismatch"))))))</f>
        <v/>
      </c>
      <c r="N492" s="11">
        <f>IF($T492=0,"",IFERROR(IF(AND(N(INDEX('Market Data'!$F$5:$F$528,$T492))&gt;0,ISNUMBER(INDEX('Market Data'!$T$5:$T$528,$T492))),$E492*INDEX('Market Data'!$T$5:$T$528,$T492)/INDEX('Market Data'!$F$5:$F$528,$T492)-1,"unavailable"),"unavailable"))</f>
        <v/>
      </c>
      <c r="O492" s="9">
        <f>IF($T492=0,"",IF(IF(INDEX('Market Data'!$J$5:$J$528,$T492)=0,0,IF(LEFT(INDEX('Market Data'!$AS$5:$AS$66,INDEX('Market Data'!$J$5:$J$528,$T492)-4),11)="First-month",1,0))=1,"Class ratio review",IF($I492="Bloomberg",IF(ISNUMBER($G492),IF($G492&lt;TODAY(),"Older quote","See quote time"),"Date unavailable"),IF($I492="Snapshot",IF($G492&lt;DATEVALUE("2026-10-02"),"Older snapshot","Dated close"),"No valid quote"))))</f>
        <v/>
      </c>
      <c r="P492" s="14">
        <f>IF($T492=0,"",IF(INDEX('Market Data'!$J$5:$J$528,$T492)=0,"n/a",IF($Q492="Bloomberg",IF(AND(ISNUMBER(INDEX('Market Data'!$AK$5:$AK$66,INDEX('Market Data'!$J$5:$J$528,$T492)-4)),N(INDEX('Market Data'!$AK$5:$AK$66,INDEX('Market Data'!$J$5:$J$528,$T492)-4))&gt;0),INDEX('Market Data'!$AK$5:$AK$66,INDEX('Market Data'!$J$5:$J$528,$T492)-4),"date unavailable"),IF($Q492="Snapshot",IF(AND(ISNUMBER(INDEX('Market Data'!$AF$5:$AF$66,INDEX('Market Data'!$J$5:$J$528,$T492)-4)),N(INDEX('Market Data'!$AF$5:$AF$66,INDEX('Market Data'!$J$5:$J$528,$T492)-4))&gt;0),INDEX('Market Data'!$AF$5:$AF$66,INDEX('Market Data'!$J$5:$J$528,$T492)-4),"date unavailable"),"date unavailable"))))</f>
        <v/>
      </c>
      <c r="Q492" s="15">
        <f>IF($T492=0,"",IF(INDEX('Market Data'!$J$5:$J$528,$T492)=0,"n/a",IF(AND($M$5&lt;&gt;"Snapshot",ISNUMBER(INDEX('Market Data'!$AH$5:$AH$66,INDEX('Market Data'!$J$5:$J$528,$T492)-4)),N(INDEX('Market Data'!$AH$5:$AH$66,INDEX('Market Data'!$J$5:$J$528,$T492)-4))&gt;0),"Bloomberg",IF(AND($M$5&lt;&gt;"Bloomberg",ISNUMBER(INDEX('Market Data'!$AC$5:$AC$66,INDEX('Market Data'!$J$5:$J$528,$T492)-4)),N(INDEX('Market Data'!$AC$5:$AC$66,INDEX('Market Data'!$J$5:$J$528,$T492)-4))&gt;0),"Snapshot","Unavailable"))))</f>
        <v/>
      </c>
      <c r="T492">
        <f>IFERROR(MATCH(484,'Market Data'!$S$5:$S$528,0),0)</f>
        <v/>
      </c>
    </row>
    <row r="493" ht="34" customHeight="1">
      <c r="A493" s="8">
        <f>IF($T493=0,"",IF(INDEX('Market Data'!$A$5:$A$528,$T493)="","",INDEX('Market Data'!$A$5:$A$528,$T493)))</f>
        <v/>
      </c>
      <c r="B493" s="9">
        <f>IF($T493=0,"",IF(INDEX('Market Data'!$B$5:$B$528,$T493)="","",INDEX('Market Data'!$B$5:$B$528,$T493)))</f>
        <v/>
      </c>
      <c r="C493" s="9">
        <f>IF($T493=0,"",IF(INDEX('Market Data'!$C$5:$C$528,$T493)="","",INDEX('Market Data'!$C$5:$C$528,$T493)))</f>
        <v/>
      </c>
      <c r="D493" s="9">
        <f>IF($T493=0,"",IF(INDEX('Market Data'!$D$5:$D$528,$T493)="","",INDEX('Market Data'!$D$5:$D$528,$T493)))</f>
        <v/>
      </c>
      <c r="E493" s="10">
        <f>IF($T493=0,"",INDEX('Market Data'!$O$5:$O$528,$T493))</f>
        <v/>
      </c>
      <c r="F493" s="11">
        <f>IF($T493=0,"",IF(AND($I493="Bloomberg",ISNUMBER(INDEX('Market Data'!$L$5:$L$528,$T493))),INDEX('Market Data'!$L$5:$L$528,$T493),"unavailable"))</f>
        <v/>
      </c>
      <c r="G493" s="12">
        <f>IF($T493=0,"",IF($I493="Bloomberg",IF(AND(ISNUMBER(INDEX('Market Data'!$M$5:$M$528,$T493)),N(INDEX('Market Data'!$M$5:$M$528,$T493))&gt;0),INDEX('Market Data'!$M$5:$M$528,$T493),"date unavailable"),IF($I493="Snapshot",IF(AND(ISNUMBER(INDEX('Market Data'!$H$5:$H$528,$T493)),N(INDEX('Market Data'!$H$5:$H$528,$T493))&gt;0),INDEX('Market Data'!$H$5:$H$528,$T493),"date unavailable"),"date unavailable")))</f>
        <v/>
      </c>
      <c r="H493" s="9">
        <f>IF($T493=0,"",IF($I493="Bloomberg",IF(INDEX('Market Data'!$N$5:$N$528,$T493)="","time unavailable",INDEX('Market Data'!$N$5:$N$528,$T493)),""))</f>
        <v/>
      </c>
      <c r="I493" s="9">
        <f>IF($T493=0,"",INDEX('Market Data'!$P$5:$P$528,$T493))</f>
        <v/>
      </c>
      <c r="J493" s="13">
        <f>IF($T493=0,"",IF(INDEX('Market Data'!$E$5:$E$528,$T493)="","",INDEX('Market Data'!$E$5:$E$528,$T493)))</f>
        <v/>
      </c>
      <c r="K493" s="8">
        <f>IF($T493=0,"",IF(INDEX('Market Data'!$I$5:$I$528,$T493)="","",INDEX('Market Data'!$I$5:$I$528,$T493)))</f>
        <v/>
      </c>
      <c r="L493" s="10">
        <f>IF($T493=0,"",IF(INDEX('Market Data'!$J$5:$J$528,$T493)=0,"n/a",IF(AND($M$5&lt;&gt;"Snapshot",ISNUMBER(INDEX('Market Data'!$AH$5:$AH$66,INDEX('Market Data'!$J$5:$J$528,$T493)-4)),N(INDEX('Market Data'!$AH$5:$AH$66,INDEX('Market Data'!$J$5:$J$528,$T493)-4))&gt;0),INDEX('Market Data'!$AH$5:$AH$66,INDEX('Market Data'!$J$5:$J$528,$T493)-4),IF(AND($M$5&lt;&gt;"Bloomberg",ISNUMBER(INDEX('Market Data'!$AC$5:$AC$66,INDEX('Market Data'!$J$5:$J$528,$T493)-4)),N(INDEX('Market Data'!$AC$5:$AC$66,INDEX('Market Data'!$J$5:$J$528,$T493)-4))&gt;0),INDEX('Market Data'!$AC$5:$AC$66,INDEX('Market Data'!$J$5:$J$528,$T493)-4),"unavailable"))))</f>
        <v/>
      </c>
      <c r="M493" s="11">
        <f>IF($T493=0,"",IF(INDEX('Market Data'!$J$5:$J$528,$T493)=0,"n/a",IF(IF(INDEX('Market Data'!$J$5:$J$528,$T493)=0,0,IF(LEFT(INDEX('Market Data'!$AS$5:$AS$66,INDEX('Market Data'!$J$5:$J$528,$T493)-4),11)="First-month",1,0))=1,"class review",IF($I493="Bloomberg",IF(AND(ISNUMBER(INDEX('Market Data'!$AH$5:$AH$66,INDEX('Market Data'!$J$5:$J$528,$T493)-4)),N(INDEX('Market Data'!$AH$5:$AH$66,INDEX('Market Data'!$J$5:$J$528,$T493)-4))&gt;0,ISNUMBER('Market Data'!$B$1),N('Market Data'!$B$1)&gt;0),INDEX('Market Data'!$AH$5:$AH$66,INDEX('Market Data'!$J$5:$J$528,$T493)-4)*'Market Data'!$B$1/$E493-1,"pending A/FX"),IF(AND($I493="Snapshot",$Q493="Snapshot",ISNUMBER($E493),$G493=INDEX('Market Data'!$AE$5:$AE$66,INDEX('Market Data'!$J$5:$J$528,$T493)-4)),IFERROR(INDEX('Market Data'!$AC$5:$AC$66,INDEX('Market Data'!$J$5:$J$528,$T493)-4)*INDEX('Market Data'!$AD$5:$AD$66,INDEX('Market Data'!$J$5:$J$528,$T493)-4)/$E493-1,"unavailable"),IF($I493="Unavailable","unavailable","date mismatch"))))))</f>
        <v/>
      </c>
      <c r="N493" s="11">
        <f>IF($T493=0,"",IFERROR(IF(AND(N(INDEX('Market Data'!$F$5:$F$528,$T493))&gt;0,ISNUMBER(INDEX('Market Data'!$T$5:$T$528,$T493))),$E493*INDEX('Market Data'!$T$5:$T$528,$T493)/INDEX('Market Data'!$F$5:$F$528,$T493)-1,"unavailable"),"unavailable"))</f>
        <v/>
      </c>
      <c r="O493" s="9">
        <f>IF($T493=0,"",IF(IF(INDEX('Market Data'!$J$5:$J$528,$T493)=0,0,IF(LEFT(INDEX('Market Data'!$AS$5:$AS$66,INDEX('Market Data'!$J$5:$J$528,$T493)-4),11)="First-month",1,0))=1,"Class ratio review",IF($I493="Bloomberg",IF(ISNUMBER($G493),IF($G493&lt;TODAY(),"Older quote","See quote time"),"Date unavailable"),IF($I493="Snapshot",IF($G493&lt;DATEVALUE("2026-10-02"),"Older snapshot","Dated close"),"No valid quote"))))</f>
        <v/>
      </c>
      <c r="P493" s="14">
        <f>IF($T493=0,"",IF(INDEX('Market Data'!$J$5:$J$528,$T493)=0,"n/a",IF($Q493="Bloomberg",IF(AND(ISNUMBER(INDEX('Market Data'!$AK$5:$AK$66,INDEX('Market Data'!$J$5:$J$528,$T493)-4)),N(INDEX('Market Data'!$AK$5:$AK$66,INDEX('Market Data'!$J$5:$J$528,$T493)-4))&gt;0),INDEX('Market Data'!$AK$5:$AK$66,INDEX('Market Data'!$J$5:$J$528,$T493)-4),"date unavailable"),IF($Q493="Snapshot",IF(AND(ISNUMBER(INDEX('Market Data'!$AF$5:$AF$66,INDEX('Market Data'!$J$5:$J$528,$T493)-4)),N(INDEX('Market Data'!$AF$5:$AF$66,INDEX('Market Data'!$J$5:$J$528,$T493)-4))&gt;0),INDEX('Market Data'!$AF$5:$AF$66,INDEX('Market Data'!$J$5:$J$528,$T493)-4),"date unavailable"),"date unavailable"))))</f>
        <v/>
      </c>
      <c r="Q493" s="15">
        <f>IF($T493=0,"",IF(INDEX('Market Data'!$J$5:$J$528,$T493)=0,"n/a",IF(AND($M$5&lt;&gt;"Snapshot",ISNUMBER(INDEX('Market Data'!$AH$5:$AH$66,INDEX('Market Data'!$J$5:$J$528,$T493)-4)),N(INDEX('Market Data'!$AH$5:$AH$66,INDEX('Market Data'!$J$5:$J$528,$T493)-4))&gt;0),"Bloomberg",IF(AND($M$5&lt;&gt;"Bloomberg",ISNUMBER(INDEX('Market Data'!$AC$5:$AC$66,INDEX('Market Data'!$J$5:$J$528,$T493)-4)),N(INDEX('Market Data'!$AC$5:$AC$66,INDEX('Market Data'!$J$5:$J$528,$T493)-4))&gt;0),"Snapshot","Unavailable"))))</f>
        <v/>
      </c>
      <c r="T493">
        <f>IFERROR(MATCH(485,'Market Data'!$S$5:$S$528,0),0)</f>
        <v/>
      </c>
    </row>
    <row r="494" ht="34" customHeight="1">
      <c r="A494" s="8">
        <f>IF($T494=0,"",IF(INDEX('Market Data'!$A$5:$A$528,$T494)="","",INDEX('Market Data'!$A$5:$A$528,$T494)))</f>
        <v/>
      </c>
      <c r="B494" s="9">
        <f>IF($T494=0,"",IF(INDEX('Market Data'!$B$5:$B$528,$T494)="","",INDEX('Market Data'!$B$5:$B$528,$T494)))</f>
        <v/>
      </c>
      <c r="C494" s="9">
        <f>IF($T494=0,"",IF(INDEX('Market Data'!$C$5:$C$528,$T494)="","",INDEX('Market Data'!$C$5:$C$528,$T494)))</f>
        <v/>
      </c>
      <c r="D494" s="9">
        <f>IF($T494=0,"",IF(INDEX('Market Data'!$D$5:$D$528,$T494)="","",INDEX('Market Data'!$D$5:$D$528,$T494)))</f>
        <v/>
      </c>
      <c r="E494" s="10">
        <f>IF($T494=0,"",INDEX('Market Data'!$O$5:$O$528,$T494))</f>
        <v/>
      </c>
      <c r="F494" s="11">
        <f>IF($T494=0,"",IF(AND($I494="Bloomberg",ISNUMBER(INDEX('Market Data'!$L$5:$L$528,$T494))),INDEX('Market Data'!$L$5:$L$528,$T494),"unavailable"))</f>
        <v/>
      </c>
      <c r="G494" s="12">
        <f>IF($T494=0,"",IF($I494="Bloomberg",IF(AND(ISNUMBER(INDEX('Market Data'!$M$5:$M$528,$T494)),N(INDEX('Market Data'!$M$5:$M$528,$T494))&gt;0),INDEX('Market Data'!$M$5:$M$528,$T494),"date unavailable"),IF($I494="Snapshot",IF(AND(ISNUMBER(INDEX('Market Data'!$H$5:$H$528,$T494)),N(INDEX('Market Data'!$H$5:$H$528,$T494))&gt;0),INDEX('Market Data'!$H$5:$H$528,$T494),"date unavailable"),"date unavailable")))</f>
        <v/>
      </c>
      <c r="H494" s="9">
        <f>IF($T494=0,"",IF($I494="Bloomberg",IF(INDEX('Market Data'!$N$5:$N$528,$T494)="","time unavailable",INDEX('Market Data'!$N$5:$N$528,$T494)),""))</f>
        <v/>
      </c>
      <c r="I494" s="9">
        <f>IF($T494=0,"",INDEX('Market Data'!$P$5:$P$528,$T494))</f>
        <v/>
      </c>
      <c r="J494" s="13">
        <f>IF($T494=0,"",IF(INDEX('Market Data'!$E$5:$E$528,$T494)="","",INDEX('Market Data'!$E$5:$E$528,$T494)))</f>
        <v/>
      </c>
      <c r="K494" s="8">
        <f>IF($T494=0,"",IF(INDEX('Market Data'!$I$5:$I$528,$T494)="","",INDEX('Market Data'!$I$5:$I$528,$T494)))</f>
        <v/>
      </c>
      <c r="L494" s="10">
        <f>IF($T494=0,"",IF(INDEX('Market Data'!$J$5:$J$528,$T494)=0,"n/a",IF(AND($M$5&lt;&gt;"Snapshot",ISNUMBER(INDEX('Market Data'!$AH$5:$AH$66,INDEX('Market Data'!$J$5:$J$528,$T494)-4)),N(INDEX('Market Data'!$AH$5:$AH$66,INDEX('Market Data'!$J$5:$J$528,$T494)-4))&gt;0),INDEX('Market Data'!$AH$5:$AH$66,INDEX('Market Data'!$J$5:$J$528,$T494)-4),IF(AND($M$5&lt;&gt;"Bloomberg",ISNUMBER(INDEX('Market Data'!$AC$5:$AC$66,INDEX('Market Data'!$J$5:$J$528,$T494)-4)),N(INDEX('Market Data'!$AC$5:$AC$66,INDEX('Market Data'!$J$5:$J$528,$T494)-4))&gt;0),INDEX('Market Data'!$AC$5:$AC$66,INDEX('Market Data'!$J$5:$J$528,$T494)-4),"unavailable"))))</f>
        <v/>
      </c>
      <c r="M494" s="11">
        <f>IF($T494=0,"",IF(INDEX('Market Data'!$J$5:$J$528,$T494)=0,"n/a",IF(IF(INDEX('Market Data'!$J$5:$J$528,$T494)=0,0,IF(LEFT(INDEX('Market Data'!$AS$5:$AS$66,INDEX('Market Data'!$J$5:$J$528,$T494)-4),11)="First-month",1,0))=1,"class review",IF($I494="Bloomberg",IF(AND(ISNUMBER(INDEX('Market Data'!$AH$5:$AH$66,INDEX('Market Data'!$J$5:$J$528,$T494)-4)),N(INDEX('Market Data'!$AH$5:$AH$66,INDEX('Market Data'!$J$5:$J$528,$T494)-4))&gt;0,ISNUMBER('Market Data'!$B$1),N('Market Data'!$B$1)&gt;0),INDEX('Market Data'!$AH$5:$AH$66,INDEX('Market Data'!$J$5:$J$528,$T494)-4)*'Market Data'!$B$1/$E494-1,"pending A/FX"),IF(AND($I494="Snapshot",$Q494="Snapshot",ISNUMBER($E494),$G494=INDEX('Market Data'!$AE$5:$AE$66,INDEX('Market Data'!$J$5:$J$528,$T494)-4)),IFERROR(INDEX('Market Data'!$AC$5:$AC$66,INDEX('Market Data'!$J$5:$J$528,$T494)-4)*INDEX('Market Data'!$AD$5:$AD$66,INDEX('Market Data'!$J$5:$J$528,$T494)-4)/$E494-1,"unavailable"),IF($I494="Unavailable","unavailable","date mismatch"))))))</f>
        <v/>
      </c>
      <c r="N494" s="11">
        <f>IF($T494=0,"",IFERROR(IF(AND(N(INDEX('Market Data'!$F$5:$F$528,$T494))&gt;0,ISNUMBER(INDEX('Market Data'!$T$5:$T$528,$T494))),$E494*INDEX('Market Data'!$T$5:$T$528,$T494)/INDEX('Market Data'!$F$5:$F$528,$T494)-1,"unavailable"),"unavailable"))</f>
        <v/>
      </c>
      <c r="O494" s="9">
        <f>IF($T494=0,"",IF(IF(INDEX('Market Data'!$J$5:$J$528,$T494)=0,0,IF(LEFT(INDEX('Market Data'!$AS$5:$AS$66,INDEX('Market Data'!$J$5:$J$528,$T494)-4),11)="First-month",1,0))=1,"Class ratio review",IF($I494="Bloomberg",IF(ISNUMBER($G494),IF($G494&lt;TODAY(),"Older quote","See quote time"),"Date unavailable"),IF($I494="Snapshot",IF($G494&lt;DATEVALUE("2026-10-02"),"Older snapshot","Dated close"),"No valid quote"))))</f>
        <v/>
      </c>
      <c r="P494" s="14">
        <f>IF($T494=0,"",IF(INDEX('Market Data'!$J$5:$J$528,$T494)=0,"n/a",IF($Q494="Bloomberg",IF(AND(ISNUMBER(INDEX('Market Data'!$AK$5:$AK$66,INDEX('Market Data'!$J$5:$J$528,$T494)-4)),N(INDEX('Market Data'!$AK$5:$AK$66,INDEX('Market Data'!$J$5:$J$528,$T494)-4))&gt;0),INDEX('Market Data'!$AK$5:$AK$66,INDEX('Market Data'!$J$5:$J$528,$T494)-4),"date unavailable"),IF($Q494="Snapshot",IF(AND(ISNUMBER(INDEX('Market Data'!$AF$5:$AF$66,INDEX('Market Data'!$J$5:$J$528,$T494)-4)),N(INDEX('Market Data'!$AF$5:$AF$66,INDEX('Market Data'!$J$5:$J$528,$T494)-4))&gt;0),INDEX('Market Data'!$AF$5:$AF$66,INDEX('Market Data'!$J$5:$J$528,$T494)-4),"date unavailable"),"date unavailable"))))</f>
        <v/>
      </c>
      <c r="Q494" s="15">
        <f>IF($T494=0,"",IF(INDEX('Market Data'!$J$5:$J$528,$T494)=0,"n/a",IF(AND($M$5&lt;&gt;"Snapshot",ISNUMBER(INDEX('Market Data'!$AH$5:$AH$66,INDEX('Market Data'!$J$5:$J$528,$T494)-4)),N(INDEX('Market Data'!$AH$5:$AH$66,INDEX('Market Data'!$J$5:$J$528,$T494)-4))&gt;0),"Bloomberg",IF(AND($M$5&lt;&gt;"Bloomberg",ISNUMBER(INDEX('Market Data'!$AC$5:$AC$66,INDEX('Market Data'!$J$5:$J$528,$T494)-4)),N(INDEX('Market Data'!$AC$5:$AC$66,INDEX('Market Data'!$J$5:$J$528,$T494)-4))&gt;0),"Snapshot","Unavailable"))))</f>
        <v/>
      </c>
      <c r="T494">
        <f>IFERROR(MATCH(486,'Market Data'!$S$5:$S$528,0),0)</f>
        <v/>
      </c>
    </row>
    <row r="495" ht="34" customHeight="1">
      <c r="A495" s="8">
        <f>IF($T495=0,"",IF(INDEX('Market Data'!$A$5:$A$528,$T495)="","",INDEX('Market Data'!$A$5:$A$528,$T495)))</f>
        <v/>
      </c>
      <c r="B495" s="9">
        <f>IF($T495=0,"",IF(INDEX('Market Data'!$B$5:$B$528,$T495)="","",INDEX('Market Data'!$B$5:$B$528,$T495)))</f>
        <v/>
      </c>
      <c r="C495" s="9">
        <f>IF($T495=0,"",IF(INDEX('Market Data'!$C$5:$C$528,$T495)="","",INDEX('Market Data'!$C$5:$C$528,$T495)))</f>
        <v/>
      </c>
      <c r="D495" s="9">
        <f>IF($T495=0,"",IF(INDEX('Market Data'!$D$5:$D$528,$T495)="","",INDEX('Market Data'!$D$5:$D$528,$T495)))</f>
        <v/>
      </c>
      <c r="E495" s="10">
        <f>IF($T495=0,"",INDEX('Market Data'!$O$5:$O$528,$T495))</f>
        <v/>
      </c>
      <c r="F495" s="11">
        <f>IF($T495=0,"",IF(AND($I495="Bloomberg",ISNUMBER(INDEX('Market Data'!$L$5:$L$528,$T495))),INDEX('Market Data'!$L$5:$L$528,$T495),"unavailable"))</f>
        <v/>
      </c>
      <c r="G495" s="12">
        <f>IF($T495=0,"",IF($I495="Bloomberg",IF(AND(ISNUMBER(INDEX('Market Data'!$M$5:$M$528,$T495)),N(INDEX('Market Data'!$M$5:$M$528,$T495))&gt;0),INDEX('Market Data'!$M$5:$M$528,$T495),"date unavailable"),IF($I495="Snapshot",IF(AND(ISNUMBER(INDEX('Market Data'!$H$5:$H$528,$T495)),N(INDEX('Market Data'!$H$5:$H$528,$T495))&gt;0),INDEX('Market Data'!$H$5:$H$528,$T495),"date unavailable"),"date unavailable")))</f>
        <v/>
      </c>
      <c r="H495" s="9">
        <f>IF($T495=0,"",IF($I495="Bloomberg",IF(INDEX('Market Data'!$N$5:$N$528,$T495)="","time unavailable",INDEX('Market Data'!$N$5:$N$528,$T495)),""))</f>
        <v/>
      </c>
      <c r="I495" s="9">
        <f>IF($T495=0,"",INDEX('Market Data'!$P$5:$P$528,$T495))</f>
        <v/>
      </c>
      <c r="J495" s="13">
        <f>IF($T495=0,"",IF(INDEX('Market Data'!$E$5:$E$528,$T495)="","",INDEX('Market Data'!$E$5:$E$528,$T495)))</f>
        <v/>
      </c>
      <c r="K495" s="8">
        <f>IF($T495=0,"",IF(INDEX('Market Data'!$I$5:$I$528,$T495)="","",INDEX('Market Data'!$I$5:$I$528,$T495)))</f>
        <v/>
      </c>
      <c r="L495" s="10">
        <f>IF($T495=0,"",IF(INDEX('Market Data'!$J$5:$J$528,$T495)=0,"n/a",IF(AND($M$5&lt;&gt;"Snapshot",ISNUMBER(INDEX('Market Data'!$AH$5:$AH$66,INDEX('Market Data'!$J$5:$J$528,$T495)-4)),N(INDEX('Market Data'!$AH$5:$AH$66,INDEX('Market Data'!$J$5:$J$528,$T495)-4))&gt;0),INDEX('Market Data'!$AH$5:$AH$66,INDEX('Market Data'!$J$5:$J$528,$T495)-4),IF(AND($M$5&lt;&gt;"Bloomberg",ISNUMBER(INDEX('Market Data'!$AC$5:$AC$66,INDEX('Market Data'!$J$5:$J$528,$T495)-4)),N(INDEX('Market Data'!$AC$5:$AC$66,INDEX('Market Data'!$J$5:$J$528,$T495)-4))&gt;0),INDEX('Market Data'!$AC$5:$AC$66,INDEX('Market Data'!$J$5:$J$528,$T495)-4),"unavailable"))))</f>
        <v/>
      </c>
      <c r="M495" s="11">
        <f>IF($T495=0,"",IF(INDEX('Market Data'!$J$5:$J$528,$T495)=0,"n/a",IF(IF(INDEX('Market Data'!$J$5:$J$528,$T495)=0,0,IF(LEFT(INDEX('Market Data'!$AS$5:$AS$66,INDEX('Market Data'!$J$5:$J$528,$T495)-4),11)="First-month",1,0))=1,"class review",IF($I495="Bloomberg",IF(AND(ISNUMBER(INDEX('Market Data'!$AH$5:$AH$66,INDEX('Market Data'!$J$5:$J$528,$T495)-4)),N(INDEX('Market Data'!$AH$5:$AH$66,INDEX('Market Data'!$J$5:$J$528,$T495)-4))&gt;0,ISNUMBER('Market Data'!$B$1),N('Market Data'!$B$1)&gt;0),INDEX('Market Data'!$AH$5:$AH$66,INDEX('Market Data'!$J$5:$J$528,$T495)-4)*'Market Data'!$B$1/$E495-1,"pending A/FX"),IF(AND($I495="Snapshot",$Q495="Snapshot",ISNUMBER($E495),$G495=INDEX('Market Data'!$AE$5:$AE$66,INDEX('Market Data'!$J$5:$J$528,$T495)-4)),IFERROR(INDEX('Market Data'!$AC$5:$AC$66,INDEX('Market Data'!$J$5:$J$528,$T495)-4)*INDEX('Market Data'!$AD$5:$AD$66,INDEX('Market Data'!$J$5:$J$528,$T495)-4)/$E495-1,"unavailable"),IF($I495="Unavailable","unavailable","date mismatch"))))))</f>
        <v/>
      </c>
      <c r="N495" s="11">
        <f>IF($T495=0,"",IFERROR(IF(AND(N(INDEX('Market Data'!$F$5:$F$528,$T495))&gt;0,ISNUMBER(INDEX('Market Data'!$T$5:$T$528,$T495))),$E495*INDEX('Market Data'!$T$5:$T$528,$T495)/INDEX('Market Data'!$F$5:$F$528,$T495)-1,"unavailable"),"unavailable"))</f>
        <v/>
      </c>
      <c r="O495" s="9">
        <f>IF($T495=0,"",IF(IF(INDEX('Market Data'!$J$5:$J$528,$T495)=0,0,IF(LEFT(INDEX('Market Data'!$AS$5:$AS$66,INDEX('Market Data'!$J$5:$J$528,$T495)-4),11)="First-month",1,0))=1,"Class ratio review",IF($I495="Bloomberg",IF(ISNUMBER($G495),IF($G495&lt;TODAY(),"Older quote","See quote time"),"Date unavailable"),IF($I495="Snapshot",IF($G495&lt;DATEVALUE("2026-10-02"),"Older snapshot","Dated close"),"No valid quote"))))</f>
        <v/>
      </c>
      <c r="P495" s="14">
        <f>IF($T495=0,"",IF(INDEX('Market Data'!$J$5:$J$528,$T495)=0,"n/a",IF($Q495="Bloomberg",IF(AND(ISNUMBER(INDEX('Market Data'!$AK$5:$AK$66,INDEX('Market Data'!$J$5:$J$528,$T495)-4)),N(INDEX('Market Data'!$AK$5:$AK$66,INDEX('Market Data'!$J$5:$J$528,$T495)-4))&gt;0),INDEX('Market Data'!$AK$5:$AK$66,INDEX('Market Data'!$J$5:$J$528,$T495)-4),"date unavailable"),IF($Q495="Snapshot",IF(AND(ISNUMBER(INDEX('Market Data'!$AF$5:$AF$66,INDEX('Market Data'!$J$5:$J$528,$T495)-4)),N(INDEX('Market Data'!$AF$5:$AF$66,INDEX('Market Data'!$J$5:$J$528,$T495)-4))&gt;0),INDEX('Market Data'!$AF$5:$AF$66,INDEX('Market Data'!$J$5:$J$528,$T495)-4),"date unavailable"),"date unavailable"))))</f>
        <v/>
      </c>
      <c r="Q495" s="15">
        <f>IF($T495=0,"",IF(INDEX('Market Data'!$J$5:$J$528,$T495)=0,"n/a",IF(AND($M$5&lt;&gt;"Snapshot",ISNUMBER(INDEX('Market Data'!$AH$5:$AH$66,INDEX('Market Data'!$J$5:$J$528,$T495)-4)),N(INDEX('Market Data'!$AH$5:$AH$66,INDEX('Market Data'!$J$5:$J$528,$T495)-4))&gt;0),"Bloomberg",IF(AND($M$5&lt;&gt;"Bloomberg",ISNUMBER(INDEX('Market Data'!$AC$5:$AC$66,INDEX('Market Data'!$J$5:$J$528,$T495)-4)),N(INDEX('Market Data'!$AC$5:$AC$66,INDEX('Market Data'!$J$5:$J$528,$T495)-4))&gt;0),"Snapshot","Unavailable"))))</f>
        <v/>
      </c>
      <c r="T495">
        <f>IFERROR(MATCH(487,'Market Data'!$S$5:$S$528,0),0)</f>
        <v/>
      </c>
    </row>
    <row r="496" ht="34" customHeight="1">
      <c r="A496" s="8">
        <f>IF($T496=0,"",IF(INDEX('Market Data'!$A$5:$A$528,$T496)="","",INDEX('Market Data'!$A$5:$A$528,$T496)))</f>
        <v/>
      </c>
      <c r="B496" s="9">
        <f>IF($T496=0,"",IF(INDEX('Market Data'!$B$5:$B$528,$T496)="","",INDEX('Market Data'!$B$5:$B$528,$T496)))</f>
        <v/>
      </c>
      <c r="C496" s="9">
        <f>IF($T496=0,"",IF(INDEX('Market Data'!$C$5:$C$528,$T496)="","",INDEX('Market Data'!$C$5:$C$528,$T496)))</f>
        <v/>
      </c>
      <c r="D496" s="9">
        <f>IF($T496=0,"",IF(INDEX('Market Data'!$D$5:$D$528,$T496)="","",INDEX('Market Data'!$D$5:$D$528,$T496)))</f>
        <v/>
      </c>
      <c r="E496" s="10">
        <f>IF($T496=0,"",INDEX('Market Data'!$O$5:$O$528,$T496))</f>
        <v/>
      </c>
      <c r="F496" s="11">
        <f>IF($T496=0,"",IF(AND($I496="Bloomberg",ISNUMBER(INDEX('Market Data'!$L$5:$L$528,$T496))),INDEX('Market Data'!$L$5:$L$528,$T496),"unavailable"))</f>
        <v/>
      </c>
      <c r="G496" s="12">
        <f>IF($T496=0,"",IF($I496="Bloomberg",IF(AND(ISNUMBER(INDEX('Market Data'!$M$5:$M$528,$T496)),N(INDEX('Market Data'!$M$5:$M$528,$T496))&gt;0),INDEX('Market Data'!$M$5:$M$528,$T496),"date unavailable"),IF($I496="Snapshot",IF(AND(ISNUMBER(INDEX('Market Data'!$H$5:$H$528,$T496)),N(INDEX('Market Data'!$H$5:$H$528,$T496))&gt;0),INDEX('Market Data'!$H$5:$H$528,$T496),"date unavailable"),"date unavailable")))</f>
        <v/>
      </c>
      <c r="H496" s="9">
        <f>IF($T496=0,"",IF($I496="Bloomberg",IF(INDEX('Market Data'!$N$5:$N$528,$T496)="","time unavailable",INDEX('Market Data'!$N$5:$N$528,$T496)),""))</f>
        <v/>
      </c>
      <c r="I496" s="9">
        <f>IF($T496=0,"",INDEX('Market Data'!$P$5:$P$528,$T496))</f>
        <v/>
      </c>
      <c r="J496" s="13">
        <f>IF($T496=0,"",IF(INDEX('Market Data'!$E$5:$E$528,$T496)="","",INDEX('Market Data'!$E$5:$E$528,$T496)))</f>
        <v/>
      </c>
      <c r="K496" s="8">
        <f>IF($T496=0,"",IF(INDEX('Market Data'!$I$5:$I$528,$T496)="","",INDEX('Market Data'!$I$5:$I$528,$T496)))</f>
        <v/>
      </c>
      <c r="L496" s="10">
        <f>IF($T496=0,"",IF(INDEX('Market Data'!$J$5:$J$528,$T496)=0,"n/a",IF(AND($M$5&lt;&gt;"Snapshot",ISNUMBER(INDEX('Market Data'!$AH$5:$AH$66,INDEX('Market Data'!$J$5:$J$528,$T496)-4)),N(INDEX('Market Data'!$AH$5:$AH$66,INDEX('Market Data'!$J$5:$J$528,$T496)-4))&gt;0),INDEX('Market Data'!$AH$5:$AH$66,INDEX('Market Data'!$J$5:$J$528,$T496)-4),IF(AND($M$5&lt;&gt;"Bloomberg",ISNUMBER(INDEX('Market Data'!$AC$5:$AC$66,INDEX('Market Data'!$J$5:$J$528,$T496)-4)),N(INDEX('Market Data'!$AC$5:$AC$66,INDEX('Market Data'!$J$5:$J$528,$T496)-4))&gt;0),INDEX('Market Data'!$AC$5:$AC$66,INDEX('Market Data'!$J$5:$J$528,$T496)-4),"unavailable"))))</f>
        <v/>
      </c>
      <c r="M496" s="11">
        <f>IF($T496=0,"",IF(INDEX('Market Data'!$J$5:$J$528,$T496)=0,"n/a",IF(IF(INDEX('Market Data'!$J$5:$J$528,$T496)=0,0,IF(LEFT(INDEX('Market Data'!$AS$5:$AS$66,INDEX('Market Data'!$J$5:$J$528,$T496)-4),11)="First-month",1,0))=1,"class review",IF($I496="Bloomberg",IF(AND(ISNUMBER(INDEX('Market Data'!$AH$5:$AH$66,INDEX('Market Data'!$J$5:$J$528,$T496)-4)),N(INDEX('Market Data'!$AH$5:$AH$66,INDEX('Market Data'!$J$5:$J$528,$T496)-4))&gt;0,ISNUMBER('Market Data'!$B$1),N('Market Data'!$B$1)&gt;0),INDEX('Market Data'!$AH$5:$AH$66,INDEX('Market Data'!$J$5:$J$528,$T496)-4)*'Market Data'!$B$1/$E496-1,"pending A/FX"),IF(AND($I496="Snapshot",$Q496="Snapshot",ISNUMBER($E496),$G496=INDEX('Market Data'!$AE$5:$AE$66,INDEX('Market Data'!$J$5:$J$528,$T496)-4)),IFERROR(INDEX('Market Data'!$AC$5:$AC$66,INDEX('Market Data'!$J$5:$J$528,$T496)-4)*INDEX('Market Data'!$AD$5:$AD$66,INDEX('Market Data'!$J$5:$J$528,$T496)-4)/$E496-1,"unavailable"),IF($I496="Unavailable","unavailable","date mismatch"))))))</f>
        <v/>
      </c>
      <c r="N496" s="11">
        <f>IF($T496=0,"",IFERROR(IF(AND(N(INDEX('Market Data'!$F$5:$F$528,$T496))&gt;0,ISNUMBER(INDEX('Market Data'!$T$5:$T$528,$T496))),$E496*INDEX('Market Data'!$T$5:$T$528,$T496)/INDEX('Market Data'!$F$5:$F$528,$T496)-1,"unavailable"),"unavailable"))</f>
        <v/>
      </c>
      <c r="O496" s="9">
        <f>IF($T496=0,"",IF(IF(INDEX('Market Data'!$J$5:$J$528,$T496)=0,0,IF(LEFT(INDEX('Market Data'!$AS$5:$AS$66,INDEX('Market Data'!$J$5:$J$528,$T496)-4),11)="First-month",1,0))=1,"Class ratio review",IF($I496="Bloomberg",IF(ISNUMBER($G496),IF($G496&lt;TODAY(),"Older quote","See quote time"),"Date unavailable"),IF($I496="Snapshot",IF($G496&lt;DATEVALUE("2026-10-02"),"Older snapshot","Dated close"),"No valid quote"))))</f>
        <v/>
      </c>
      <c r="P496" s="14">
        <f>IF($T496=0,"",IF(INDEX('Market Data'!$J$5:$J$528,$T496)=0,"n/a",IF($Q496="Bloomberg",IF(AND(ISNUMBER(INDEX('Market Data'!$AK$5:$AK$66,INDEX('Market Data'!$J$5:$J$528,$T496)-4)),N(INDEX('Market Data'!$AK$5:$AK$66,INDEX('Market Data'!$J$5:$J$528,$T496)-4))&gt;0),INDEX('Market Data'!$AK$5:$AK$66,INDEX('Market Data'!$J$5:$J$528,$T496)-4),"date unavailable"),IF($Q496="Snapshot",IF(AND(ISNUMBER(INDEX('Market Data'!$AF$5:$AF$66,INDEX('Market Data'!$J$5:$J$528,$T496)-4)),N(INDEX('Market Data'!$AF$5:$AF$66,INDEX('Market Data'!$J$5:$J$528,$T496)-4))&gt;0),INDEX('Market Data'!$AF$5:$AF$66,INDEX('Market Data'!$J$5:$J$528,$T496)-4),"date unavailable"),"date unavailable"))))</f>
        <v/>
      </c>
      <c r="Q496" s="15">
        <f>IF($T496=0,"",IF(INDEX('Market Data'!$J$5:$J$528,$T496)=0,"n/a",IF(AND($M$5&lt;&gt;"Snapshot",ISNUMBER(INDEX('Market Data'!$AH$5:$AH$66,INDEX('Market Data'!$J$5:$J$528,$T496)-4)),N(INDEX('Market Data'!$AH$5:$AH$66,INDEX('Market Data'!$J$5:$J$528,$T496)-4))&gt;0),"Bloomberg",IF(AND($M$5&lt;&gt;"Bloomberg",ISNUMBER(INDEX('Market Data'!$AC$5:$AC$66,INDEX('Market Data'!$J$5:$J$528,$T496)-4)),N(INDEX('Market Data'!$AC$5:$AC$66,INDEX('Market Data'!$J$5:$J$528,$T496)-4))&gt;0),"Snapshot","Unavailable"))))</f>
        <v/>
      </c>
      <c r="T496">
        <f>IFERROR(MATCH(488,'Market Data'!$S$5:$S$528,0),0)</f>
        <v/>
      </c>
    </row>
    <row r="497" ht="34" customHeight="1">
      <c r="A497" s="8">
        <f>IF($T497=0,"",IF(INDEX('Market Data'!$A$5:$A$528,$T497)="","",INDEX('Market Data'!$A$5:$A$528,$T497)))</f>
        <v/>
      </c>
      <c r="B497" s="9">
        <f>IF($T497=0,"",IF(INDEX('Market Data'!$B$5:$B$528,$T497)="","",INDEX('Market Data'!$B$5:$B$528,$T497)))</f>
        <v/>
      </c>
      <c r="C497" s="9">
        <f>IF($T497=0,"",IF(INDEX('Market Data'!$C$5:$C$528,$T497)="","",INDEX('Market Data'!$C$5:$C$528,$T497)))</f>
        <v/>
      </c>
      <c r="D497" s="9">
        <f>IF($T497=0,"",IF(INDEX('Market Data'!$D$5:$D$528,$T497)="","",INDEX('Market Data'!$D$5:$D$528,$T497)))</f>
        <v/>
      </c>
      <c r="E497" s="10">
        <f>IF($T497=0,"",INDEX('Market Data'!$O$5:$O$528,$T497))</f>
        <v/>
      </c>
      <c r="F497" s="11">
        <f>IF($T497=0,"",IF(AND($I497="Bloomberg",ISNUMBER(INDEX('Market Data'!$L$5:$L$528,$T497))),INDEX('Market Data'!$L$5:$L$528,$T497),"unavailable"))</f>
        <v/>
      </c>
      <c r="G497" s="12">
        <f>IF($T497=0,"",IF($I497="Bloomberg",IF(AND(ISNUMBER(INDEX('Market Data'!$M$5:$M$528,$T497)),N(INDEX('Market Data'!$M$5:$M$528,$T497))&gt;0),INDEX('Market Data'!$M$5:$M$528,$T497),"date unavailable"),IF($I497="Snapshot",IF(AND(ISNUMBER(INDEX('Market Data'!$H$5:$H$528,$T497)),N(INDEX('Market Data'!$H$5:$H$528,$T497))&gt;0),INDEX('Market Data'!$H$5:$H$528,$T497),"date unavailable"),"date unavailable")))</f>
        <v/>
      </c>
      <c r="H497" s="9">
        <f>IF($T497=0,"",IF($I497="Bloomberg",IF(INDEX('Market Data'!$N$5:$N$528,$T497)="","time unavailable",INDEX('Market Data'!$N$5:$N$528,$T497)),""))</f>
        <v/>
      </c>
      <c r="I497" s="9">
        <f>IF($T497=0,"",INDEX('Market Data'!$P$5:$P$528,$T497))</f>
        <v/>
      </c>
      <c r="J497" s="13">
        <f>IF($T497=0,"",IF(INDEX('Market Data'!$E$5:$E$528,$T497)="","",INDEX('Market Data'!$E$5:$E$528,$T497)))</f>
        <v/>
      </c>
      <c r="K497" s="8">
        <f>IF($T497=0,"",IF(INDEX('Market Data'!$I$5:$I$528,$T497)="","",INDEX('Market Data'!$I$5:$I$528,$T497)))</f>
        <v/>
      </c>
      <c r="L497" s="10">
        <f>IF($T497=0,"",IF(INDEX('Market Data'!$J$5:$J$528,$T497)=0,"n/a",IF(AND($M$5&lt;&gt;"Snapshot",ISNUMBER(INDEX('Market Data'!$AH$5:$AH$66,INDEX('Market Data'!$J$5:$J$528,$T497)-4)),N(INDEX('Market Data'!$AH$5:$AH$66,INDEX('Market Data'!$J$5:$J$528,$T497)-4))&gt;0),INDEX('Market Data'!$AH$5:$AH$66,INDEX('Market Data'!$J$5:$J$528,$T497)-4),IF(AND($M$5&lt;&gt;"Bloomberg",ISNUMBER(INDEX('Market Data'!$AC$5:$AC$66,INDEX('Market Data'!$J$5:$J$528,$T497)-4)),N(INDEX('Market Data'!$AC$5:$AC$66,INDEX('Market Data'!$J$5:$J$528,$T497)-4))&gt;0),INDEX('Market Data'!$AC$5:$AC$66,INDEX('Market Data'!$J$5:$J$528,$T497)-4),"unavailable"))))</f>
        <v/>
      </c>
      <c r="M497" s="11">
        <f>IF($T497=0,"",IF(INDEX('Market Data'!$J$5:$J$528,$T497)=0,"n/a",IF(IF(INDEX('Market Data'!$J$5:$J$528,$T497)=0,0,IF(LEFT(INDEX('Market Data'!$AS$5:$AS$66,INDEX('Market Data'!$J$5:$J$528,$T497)-4),11)="First-month",1,0))=1,"class review",IF($I497="Bloomberg",IF(AND(ISNUMBER(INDEX('Market Data'!$AH$5:$AH$66,INDEX('Market Data'!$J$5:$J$528,$T497)-4)),N(INDEX('Market Data'!$AH$5:$AH$66,INDEX('Market Data'!$J$5:$J$528,$T497)-4))&gt;0,ISNUMBER('Market Data'!$B$1),N('Market Data'!$B$1)&gt;0),INDEX('Market Data'!$AH$5:$AH$66,INDEX('Market Data'!$J$5:$J$528,$T497)-4)*'Market Data'!$B$1/$E497-1,"pending A/FX"),IF(AND($I497="Snapshot",$Q497="Snapshot",ISNUMBER($E497),$G497=INDEX('Market Data'!$AE$5:$AE$66,INDEX('Market Data'!$J$5:$J$528,$T497)-4)),IFERROR(INDEX('Market Data'!$AC$5:$AC$66,INDEX('Market Data'!$J$5:$J$528,$T497)-4)*INDEX('Market Data'!$AD$5:$AD$66,INDEX('Market Data'!$J$5:$J$528,$T497)-4)/$E497-1,"unavailable"),IF($I497="Unavailable","unavailable","date mismatch"))))))</f>
        <v/>
      </c>
      <c r="N497" s="11">
        <f>IF($T497=0,"",IFERROR(IF(AND(N(INDEX('Market Data'!$F$5:$F$528,$T497))&gt;0,ISNUMBER(INDEX('Market Data'!$T$5:$T$528,$T497))),$E497*INDEX('Market Data'!$T$5:$T$528,$T497)/INDEX('Market Data'!$F$5:$F$528,$T497)-1,"unavailable"),"unavailable"))</f>
        <v/>
      </c>
      <c r="O497" s="9">
        <f>IF($T497=0,"",IF(IF(INDEX('Market Data'!$J$5:$J$528,$T497)=0,0,IF(LEFT(INDEX('Market Data'!$AS$5:$AS$66,INDEX('Market Data'!$J$5:$J$528,$T497)-4),11)="First-month",1,0))=1,"Class ratio review",IF($I497="Bloomberg",IF(ISNUMBER($G497),IF($G497&lt;TODAY(),"Older quote","See quote time"),"Date unavailable"),IF($I497="Snapshot",IF($G497&lt;DATEVALUE("2026-10-02"),"Older snapshot","Dated close"),"No valid quote"))))</f>
        <v/>
      </c>
      <c r="P497" s="14">
        <f>IF($T497=0,"",IF(INDEX('Market Data'!$J$5:$J$528,$T497)=0,"n/a",IF($Q497="Bloomberg",IF(AND(ISNUMBER(INDEX('Market Data'!$AK$5:$AK$66,INDEX('Market Data'!$J$5:$J$528,$T497)-4)),N(INDEX('Market Data'!$AK$5:$AK$66,INDEX('Market Data'!$J$5:$J$528,$T497)-4))&gt;0),INDEX('Market Data'!$AK$5:$AK$66,INDEX('Market Data'!$J$5:$J$528,$T497)-4),"date unavailable"),IF($Q497="Snapshot",IF(AND(ISNUMBER(INDEX('Market Data'!$AF$5:$AF$66,INDEX('Market Data'!$J$5:$J$528,$T497)-4)),N(INDEX('Market Data'!$AF$5:$AF$66,INDEX('Market Data'!$J$5:$J$528,$T497)-4))&gt;0),INDEX('Market Data'!$AF$5:$AF$66,INDEX('Market Data'!$J$5:$J$528,$T497)-4),"date unavailable"),"date unavailable"))))</f>
        <v/>
      </c>
      <c r="Q497" s="15">
        <f>IF($T497=0,"",IF(INDEX('Market Data'!$J$5:$J$528,$T497)=0,"n/a",IF(AND($M$5&lt;&gt;"Snapshot",ISNUMBER(INDEX('Market Data'!$AH$5:$AH$66,INDEX('Market Data'!$J$5:$J$528,$T497)-4)),N(INDEX('Market Data'!$AH$5:$AH$66,INDEX('Market Data'!$J$5:$J$528,$T497)-4))&gt;0),"Bloomberg",IF(AND($M$5&lt;&gt;"Bloomberg",ISNUMBER(INDEX('Market Data'!$AC$5:$AC$66,INDEX('Market Data'!$J$5:$J$528,$T497)-4)),N(INDEX('Market Data'!$AC$5:$AC$66,INDEX('Market Data'!$J$5:$J$528,$T497)-4))&gt;0),"Snapshot","Unavailable"))))</f>
        <v/>
      </c>
      <c r="T497">
        <f>IFERROR(MATCH(489,'Market Data'!$S$5:$S$528,0),0)</f>
        <v/>
      </c>
    </row>
    <row r="498" ht="34" customHeight="1">
      <c r="A498" s="8">
        <f>IF($T498=0,"",IF(INDEX('Market Data'!$A$5:$A$528,$T498)="","",INDEX('Market Data'!$A$5:$A$528,$T498)))</f>
        <v/>
      </c>
      <c r="B498" s="9">
        <f>IF($T498=0,"",IF(INDEX('Market Data'!$B$5:$B$528,$T498)="","",INDEX('Market Data'!$B$5:$B$528,$T498)))</f>
        <v/>
      </c>
      <c r="C498" s="9">
        <f>IF($T498=0,"",IF(INDEX('Market Data'!$C$5:$C$528,$T498)="","",INDEX('Market Data'!$C$5:$C$528,$T498)))</f>
        <v/>
      </c>
      <c r="D498" s="9">
        <f>IF($T498=0,"",IF(INDEX('Market Data'!$D$5:$D$528,$T498)="","",INDEX('Market Data'!$D$5:$D$528,$T498)))</f>
        <v/>
      </c>
      <c r="E498" s="10">
        <f>IF($T498=0,"",INDEX('Market Data'!$O$5:$O$528,$T498))</f>
        <v/>
      </c>
      <c r="F498" s="11">
        <f>IF($T498=0,"",IF(AND($I498="Bloomberg",ISNUMBER(INDEX('Market Data'!$L$5:$L$528,$T498))),INDEX('Market Data'!$L$5:$L$528,$T498),"unavailable"))</f>
        <v/>
      </c>
      <c r="G498" s="12">
        <f>IF($T498=0,"",IF($I498="Bloomberg",IF(AND(ISNUMBER(INDEX('Market Data'!$M$5:$M$528,$T498)),N(INDEX('Market Data'!$M$5:$M$528,$T498))&gt;0),INDEX('Market Data'!$M$5:$M$528,$T498),"date unavailable"),IF($I498="Snapshot",IF(AND(ISNUMBER(INDEX('Market Data'!$H$5:$H$528,$T498)),N(INDEX('Market Data'!$H$5:$H$528,$T498))&gt;0),INDEX('Market Data'!$H$5:$H$528,$T498),"date unavailable"),"date unavailable")))</f>
        <v/>
      </c>
      <c r="H498" s="9">
        <f>IF($T498=0,"",IF($I498="Bloomberg",IF(INDEX('Market Data'!$N$5:$N$528,$T498)="","time unavailable",INDEX('Market Data'!$N$5:$N$528,$T498)),""))</f>
        <v/>
      </c>
      <c r="I498" s="9">
        <f>IF($T498=0,"",INDEX('Market Data'!$P$5:$P$528,$T498))</f>
        <v/>
      </c>
      <c r="J498" s="13">
        <f>IF($T498=0,"",IF(INDEX('Market Data'!$E$5:$E$528,$T498)="","",INDEX('Market Data'!$E$5:$E$528,$T498)))</f>
        <v/>
      </c>
      <c r="K498" s="8">
        <f>IF($T498=0,"",IF(INDEX('Market Data'!$I$5:$I$528,$T498)="","",INDEX('Market Data'!$I$5:$I$528,$T498)))</f>
        <v/>
      </c>
      <c r="L498" s="10">
        <f>IF($T498=0,"",IF(INDEX('Market Data'!$J$5:$J$528,$T498)=0,"n/a",IF(AND($M$5&lt;&gt;"Snapshot",ISNUMBER(INDEX('Market Data'!$AH$5:$AH$66,INDEX('Market Data'!$J$5:$J$528,$T498)-4)),N(INDEX('Market Data'!$AH$5:$AH$66,INDEX('Market Data'!$J$5:$J$528,$T498)-4))&gt;0),INDEX('Market Data'!$AH$5:$AH$66,INDEX('Market Data'!$J$5:$J$528,$T498)-4),IF(AND($M$5&lt;&gt;"Bloomberg",ISNUMBER(INDEX('Market Data'!$AC$5:$AC$66,INDEX('Market Data'!$J$5:$J$528,$T498)-4)),N(INDEX('Market Data'!$AC$5:$AC$66,INDEX('Market Data'!$J$5:$J$528,$T498)-4))&gt;0),INDEX('Market Data'!$AC$5:$AC$66,INDEX('Market Data'!$J$5:$J$528,$T498)-4),"unavailable"))))</f>
        <v/>
      </c>
      <c r="M498" s="11">
        <f>IF($T498=0,"",IF(INDEX('Market Data'!$J$5:$J$528,$T498)=0,"n/a",IF(IF(INDEX('Market Data'!$J$5:$J$528,$T498)=0,0,IF(LEFT(INDEX('Market Data'!$AS$5:$AS$66,INDEX('Market Data'!$J$5:$J$528,$T498)-4),11)="First-month",1,0))=1,"class review",IF($I498="Bloomberg",IF(AND(ISNUMBER(INDEX('Market Data'!$AH$5:$AH$66,INDEX('Market Data'!$J$5:$J$528,$T498)-4)),N(INDEX('Market Data'!$AH$5:$AH$66,INDEX('Market Data'!$J$5:$J$528,$T498)-4))&gt;0,ISNUMBER('Market Data'!$B$1),N('Market Data'!$B$1)&gt;0),INDEX('Market Data'!$AH$5:$AH$66,INDEX('Market Data'!$J$5:$J$528,$T498)-4)*'Market Data'!$B$1/$E498-1,"pending A/FX"),IF(AND($I498="Snapshot",$Q498="Snapshot",ISNUMBER($E498),$G498=INDEX('Market Data'!$AE$5:$AE$66,INDEX('Market Data'!$J$5:$J$528,$T498)-4)),IFERROR(INDEX('Market Data'!$AC$5:$AC$66,INDEX('Market Data'!$J$5:$J$528,$T498)-4)*INDEX('Market Data'!$AD$5:$AD$66,INDEX('Market Data'!$J$5:$J$528,$T498)-4)/$E498-1,"unavailable"),IF($I498="Unavailable","unavailable","date mismatch"))))))</f>
        <v/>
      </c>
      <c r="N498" s="11">
        <f>IF($T498=0,"",IFERROR(IF(AND(N(INDEX('Market Data'!$F$5:$F$528,$T498))&gt;0,ISNUMBER(INDEX('Market Data'!$T$5:$T$528,$T498))),$E498*INDEX('Market Data'!$T$5:$T$528,$T498)/INDEX('Market Data'!$F$5:$F$528,$T498)-1,"unavailable"),"unavailable"))</f>
        <v/>
      </c>
      <c r="O498" s="9">
        <f>IF($T498=0,"",IF(IF(INDEX('Market Data'!$J$5:$J$528,$T498)=0,0,IF(LEFT(INDEX('Market Data'!$AS$5:$AS$66,INDEX('Market Data'!$J$5:$J$528,$T498)-4),11)="First-month",1,0))=1,"Class ratio review",IF($I498="Bloomberg",IF(ISNUMBER($G498),IF($G498&lt;TODAY(),"Older quote","See quote time"),"Date unavailable"),IF($I498="Snapshot",IF($G498&lt;DATEVALUE("2026-10-02"),"Older snapshot","Dated close"),"No valid quote"))))</f>
        <v/>
      </c>
      <c r="P498" s="14">
        <f>IF($T498=0,"",IF(INDEX('Market Data'!$J$5:$J$528,$T498)=0,"n/a",IF($Q498="Bloomberg",IF(AND(ISNUMBER(INDEX('Market Data'!$AK$5:$AK$66,INDEX('Market Data'!$J$5:$J$528,$T498)-4)),N(INDEX('Market Data'!$AK$5:$AK$66,INDEX('Market Data'!$J$5:$J$528,$T498)-4))&gt;0),INDEX('Market Data'!$AK$5:$AK$66,INDEX('Market Data'!$J$5:$J$528,$T498)-4),"date unavailable"),IF($Q498="Snapshot",IF(AND(ISNUMBER(INDEX('Market Data'!$AF$5:$AF$66,INDEX('Market Data'!$J$5:$J$528,$T498)-4)),N(INDEX('Market Data'!$AF$5:$AF$66,INDEX('Market Data'!$J$5:$J$528,$T498)-4))&gt;0),INDEX('Market Data'!$AF$5:$AF$66,INDEX('Market Data'!$J$5:$J$528,$T498)-4),"date unavailable"),"date unavailable"))))</f>
        <v/>
      </c>
      <c r="Q498" s="15">
        <f>IF($T498=0,"",IF(INDEX('Market Data'!$J$5:$J$528,$T498)=0,"n/a",IF(AND($M$5&lt;&gt;"Snapshot",ISNUMBER(INDEX('Market Data'!$AH$5:$AH$66,INDEX('Market Data'!$J$5:$J$528,$T498)-4)),N(INDEX('Market Data'!$AH$5:$AH$66,INDEX('Market Data'!$J$5:$J$528,$T498)-4))&gt;0),"Bloomberg",IF(AND($M$5&lt;&gt;"Bloomberg",ISNUMBER(INDEX('Market Data'!$AC$5:$AC$66,INDEX('Market Data'!$J$5:$J$528,$T498)-4)),N(INDEX('Market Data'!$AC$5:$AC$66,INDEX('Market Data'!$J$5:$J$528,$T498)-4))&gt;0),"Snapshot","Unavailable"))))</f>
        <v/>
      </c>
      <c r="T498">
        <f>IFERROR(MATCH(490,'Market Data'!$S$5:$S$528,0),0)</f>
        <v/>
      </c>
    </row>
    <row r="499" ht="34" customHeight="1">
      <c r="A499" s="8">
        <f>IF($T499=0,"",IF(INDEX('Market Data'!$A$5:$A$528,$T499)="","",INDEX('Market Data'!$A$5:$A$528,$T499)))</f>
        <v/>
      </c>
      <c r="B499" s="9">
        <f>IF($T499=0,"",IF(INDEX('Market Data'!$B$5:$B$528,$T499)="","",INDEX('Market Data'!$B$5:$B$528,$T499)))</f>
        <v/>
      </c>
      <c r="C499" s="9">
        <f>IF($T499=0,"",IF(INDEX('Market Data'!$C$5:$C$528,$T499)="","",INDEX('Market Data'!$C$5:$C$528,$T499)))</f>
        <v/>
      </c>
      <c r="D499" s="9">
        <f>IF($T499=0,"",IF(INDEX('Market Data'!$D$5:$D$528,$T499)="","",INDEX('Market Data'!$D$5:$D$528,$T499)))</f>
        <v/>
      </c>
      <c r="E499" s="10">
        <f>IF($T499=0,"",INDEX('Market Data'!$O$5:$O$528,$T499))</f>
        <v/>
      </c>
      <c r="F499" s="11">
        <f>IF($T499=0,"",IF(AND($I499="Bloomberg",ISNUMBER(INDEX('Market Data'!$L$5:$L$528,$T499))),INDEX('Market Data'!$L$5:$L$528,$T499),"unavailable"))</f>
        <v/>
      </c>
      <c r="G499" s="12">
        <f>IF($T499=0,"",IF($I499="Bloomberg",IF(AND(ISNUMBER(INDEX('Market Data'!$M$5:$M$528,$T499)),N(INDEX('Market Data'!$M$5:$M$528,$T499))&gt;0),INDEX('Market Data'!$M$5:$M$528,$T499),"date unavailable"),IF($I499="Snapshot",IF(AND(ISNUMBER(INDEX('Market Data'!$H$5:$H$528,$T499)),N(INDEX('Market Data'!$H$5:$H$528,$T499))&gt;0),INDEX('Market Data'!$H$5:$H$528,$T499),"date unavailable"),"date unavailable")))</f>
        <v/>
      </c>
      <c r="H499" s="9">
        <f>IF($T499=0,"",IF($I499="Bloomberg",IF(INDEX('Market Data'!$N$5:$N$528,$T499)="","time unavailable",INDEX('Market Data'!$N$5:$N$528,$T499)),""))</f>
        <v/>
      </c>
      <c r="I499" s="9">
        <f>IF($T499=0,"",INDEX('Market Data'!$P$5:$P$528,$T499))</f>
        <v/>
      </c>
      <c r="J499" s="13">
        <f>IF($T499=0,"",IF(INDEX('Market Data'!$E$5:$E$528,$T499)="","",INDEX('Market Data'!$E$5:$E$528,$T499)))</f>
        <v/>
      </c>
      <c r="K499" s="8">
        <f>IF($T499=0,"",IF(INDEX('Market Data'!$I$5:$I$528,$T499)="","",INDEX('Market Data'!$I$5:$I$528,$T499)))</f>
        <v/>
      </c>
      <c r="L499" s="10">
        <f>IF($T499=0,"",IF(INDEX('Market Data'!$J$5:$J$528,$T499)=0,"n/a",IF(AND($M$5&lt;&gt;"Snapshot",ISNUMBER(INDEX('Market Data'!$AH$5:$AH$66,INDEX('Market Data'!$J$5:$J$528,$T499)-4)),N(INDEX('Market Data'!$AH$5:$AH$66,INDEX('Market Data'!$J$5:$J$528,$T499)-4))&gt;0),INDEX('Market Data'!$AH$5:$AH$66,INDEX('Market Data'!$J$5:$J$528,$T499)-4),IF(AND($M$5&lt;&gt;"Bloomberg",ISNUMBER(INDEX('Market Data'!$AC$5:$AC$66,INDEX('Market Data'!$J$5:$J$528,$T499)-4)),N(INDEX('Market Data'!$AC$5:$AC$66,INDEX('Market Data'!$J$5:$J$528,$T499)-4))&gt;0),INDEX('Market Data'!$AC$5:$AC$66,INDEX('Market Data'!$J$5:$J$528,$T499)-4),"unavailable"))))</f>
        <v/>
      </c>
      <c r="M499" s="11">
        <f>IF($T499=0,"",IF(INDEX('Market Data'!$J$5:$J$528,$T499)=0,"n/a",IF(IF(INDEX('Market Data'!$J$5:$J$528,$T499)=0,0,IF(LEFT(INDEX('Market Data'!$AS$5:$AS$66,INDEX('Market Data'!$J$5:$J$528,$T499)-4),11)="First-month",1,0))=1,"class review",IF($I499="Bloomberg",IF(AND(ISNUMBER(INDEX('Market Data'!$AH$5:$AH$66,INDEX('Market Data'!$J$5:$J$528,$T499)-4)),N(INDEX('Market Data'!$AH$5:$AH$66,INDEX('Market Data'!$J$5:$J$528,$T499)-4))&gt;0,ISNUMBER('Market Data'!$B$1),N('Market Data'!$B$1)&gt;0),INDEX('Market Data'!$AH$5:$AH$66,INDEX('Market Data'!$J$5:$J$528,$T499)-4)*'Market Data'!$B$1/$E499-1,"pending A/FX"),IF(AND($I499="Snapshot",$Q499="Snapshot",ISNUMBER($E499),$G499=INDEX('Market Data'!$AE$5:$AE$66,INDEX('Market Data'!$J$5:$J$528,$T499)-4)),IFERROR(INDEX('Market Data'!$AC$5:$AC$66,INDEX('Market Data'!$J$5:$J$528,$T499)-4)*INDEX('Market Data'!$AD$5:$AD$66,INDEX('Market Data'!$J$5:$J$528,$T499)-4)/$E499-1,"unavailable"),IF($I499="Unavailable","unavailable","date mismatch"))))))</f>
        <v/>
      </c>
      <c r="N499" s="11">
        <f>IF($T499=0,"",IFERROR(IF(AND(N(INDEX('Market Data'!$F$5:$F$528,$T499))&gt;0,ISNUMBER(INDEX('Market Data'!$T$5:$T$528,$T499))),$E499*INDEX('Market Data'!$T$5:$T$528,$T499)/INDEX('Market Data'!$F$5:$F$528,$T499)-1,"unavailable"),"unavailable"))</f>
        <v/>
      </c>
      <c r="O499" s="9">
        <f>IF($T499=0,"",IF(IF(INDEX('Market Data'!$J$5:$J$528,$T499)=0,0,IF(LEFT(INDEX('Market Data'!$AS$5:$AS$66,INDEX('Market Data'!$J$5:$J$528,$T499)-4),11)="First-month",1,0))=1,"Class ratio review",IF($I499="Bloomberg",IF(ISNUMBER($G499),IF($G499&lt;TODAY(),"Older quote","See quote time"),"Date unavailable"),IF($I499="Snapshot",IF($G499&lt;DATEVALUE("2026-10-02"),"Older snapshot","Dated close"),"No valid quote"))))</f>
        <v/>
      </c>
      <c r="P499" s="14">
        <f>IF($T499=0,"",IF(INDEX('Market Data'!$J$5:$J$528,$T499)=0,"n/a",IF($Q499="Bloomberg",IF(AND(ISNUMBER(INDEX('Market Data'!$AK$5:$AK$66,INDEX('Market Data'!$J$5:$J$528,$T499)-4)),N(INDEX('Market Data'!$AK$5:$AK$66,INDEX('Market Data'!$J$5:$J$528,$T499)-4))&gt;0),INDEX('Market Data'!$AK$5:$AK$66,INDEX('Market Data'!$J$5:$J$528,$T499)-4),"date unavailable"),IF($Q499="Snapshot",IF(AND(ISNUMBER(INDEX('Market Data'!$AF$5:$AF$66,INDEX('Market Data'!$J$5:$J$528,$T499)-4)),N(INDEX('Market Data'!$AF$5:$AF$66,INDEX('Market Data'!$J$5:$J$528,$T499)-4))&gt;0),INDEX('Market Data'!$AF$5:$AF$66,INDEX('Market Data'!$J$5:$J$528,$T499)-4),"date unavailable"),"date unavailable"))))</f>
        <v/>
      </c>
      <c r="Q499" s="15">
        <f>IF($T499=0,"",IF(INDEX('Market Data'!$J$5:$J$528,$T499)=0,"n/a",IF(AND($M$5&lt;&gt;"Snapshot",ISNUMBER(INDEX('Market Data'!$AH$5:$AH$66,INDEX('Market Data'!$J$5:$J$528,$T499)-4)),N(INDEX('Market Data'!$AH$5:$AH$66,INDEX('Market Data'!$J$5:$J$528,$T499)-4))&gt;0),"Bloomberg",IF(AND($M$5&lt;&gt;"Bloomberg",ISNUMBER(INDEX('Market Data'!$AC$5:$AC$66,INDEX('Market Data'!$J$5:$J$528,$T499)-4)),N(INDEX('Market Data'!$AC$5:$AC$66,INDEX('Market Data'!$J$5:$J$528,$T499)-4))&gt;0),"Snapshot","Unavailable"))))</f>
        <v/>
      </c>
      <c r="T499">
        <f>IFERROR(MATCH(491,'Market Data'!$S$5:$S$528,0),0)</f>
        <v/>
      </c>
    </row>
    <row r="500" ht="34" customHeight="1">
      <c r="A500" s="8">
        <f>IF($T500=0,"",IF(INDEX('Market Data'!$A$5:$A$528,$T500)="","",INDEX('Market Data'!$A$5:$A$528,$T500)))</f>
        <v/>
      </c>
      <c r="B500" s="9">
        <f>IF($T500=0,"",IF(INDEX('Market Data'!$B$5:$B$528,$T500)="","",INDEX('Market Data'!$B$5:$B$528,$T500)))</f>
        <v/>
      </c>
      <c r="C500" s="9">
        <f>IF($T500=0,"",IF(INDEX('Market Data'!$C$5:$C$528,$T500)="","",INDEX('Market Data'!$C$5:$C$528,$T500)))</f>
        <v/>
      </c>
      <c r="D500" s="9">
        <f>IF($T500=0,"",IF(INDEX('Market Data'!$D$5:$D$528,$T500)="","",INDEX('Market Data'!$D$5:$D$528,$T500)))</f>
        <v/>
      </c>
      <c r="E500" s="10">
        <f>IF($T500=0,"",INDEX('Market Data'!$O$5:$O$528,$T500))</f>
        <v/>
      </c>
      <c r="F500" s="11">
        <f>IF($T500=0,"",IF(AND($I500="Bloomberg",ISNUMBER(INDEX('Market Data'!$L$5:$L$528,$T500))),INDEX('Market Data'!$L$5:$L$528,$T500),"unavailable"))</f>
        <v/>
      </c>
      <c r="G500" s="12">
        <f>IF($T500=0,"",IF($I500="Bloomberg",IF(AND(ISNUMBER(INDEX('Market Data'!$M$5:$M$528,$T500)),N(INDEX('Market Data'!$M$5:$M$528,$T500))&gt;0),INDEX('Market Data'!$M$5:$M$528,$T500),"date unavailable"),IF($I500="Snapshot",IF(AND(ISNUMBER(INDEX('Market Data'!$H$5:$H$528,$T500)),N(INDEX('Market Data'!$H$5:$H$528,$T500))&gt;0),INDEX('Market Data'!$H$5:$H$528,$T500),"date unavailable"),"date unavailable")))</f>
        <v/>
      </c>
      <c r="H500" s="9">
        <f>IF($T500=0,"",IF($I500="Bloomberg",IF(INDEX('Market Data'!$N$5:$N$528,$T500)="","time unavailable",INDEX('Market Data'!$N$5:$N$528,$T500)),""))</f>
        <v/>
      </c>
      <c r="I500" s="9">
        <f>IF($T500=0,"",INDEX('Market Data'!$P$5:$P$528,$T500))</f>
        <v/>
      </c>
      <c r="J500" s="13">
        <f>IF($T500=0,"",IF(INDEX('Market Data'!$E$5:$E$528,$T500)="","",INDEX('Market Data'!$E$5:$E$528,$T500)))</f>
        <v/>
      </c>
      <c r="K500" s="8">
        <f>IF($T500=0,"",IF(INDEX('Market Data'!$I$5:$I$528,$T500)="","",INDEX('Market Data'!$I$5:$I$528,$T500)))</f>
        <v/>
      </c>
      <c r="L500" s="10">
        <f>IF($T500=0,"",IF(INDEX('Market Data'!$J$5:$J$528,$T500)=0,"n/a",IF(AND($M$5&lt;&gt;"Snapshot",ISNUMBER(INDEX('Market Data'!$AH$5:$AH$66,INDEX('Market Data'!$J$5:$J$528,$T500)-4)),N(INDEX('Market Data'!$AH$5:$AH$66,INDEX('Market Data'!$J$5:$J$528,$T500)-4))&gt;0),INDEX('Market Data'!$AH$5:$AH$66,INDEX('Market Data'!$J$5:$J$528,$T500)-4),IF(AND($M$5&lt;&gt;"Bloomberg",ISNUMBER(INDEX('Market Data'!$AC$5:$AC$66,INDEX('Market Data'!$J$5:$J$528,$T500)-4)),N(INDEX('Market Data'!$AC$5:$AC$66,INDEX('Market Data'!$J$5:$J$528,$T500)-4))&gt;0),INDEX('Market Data'!$AC$5:$AC$66,INDEX('Market Data'!$J$5:$J$528,$T500)-4),"unavailable"))))</f>
        <v/>
      </c>
      <c r="M500" s="11">
        <f>IF($T500=0,"",IF(INDEX('Market Data'!$J$5:$J$528,$T500)=0,"n/a",IF(IF(INDEX('Market Data'!$J$5:$J$528,$T500)=0,0,IF(LEFT(INDEX('Market Data'!$AS$5:$AS$66,INDEX('Market Data'!$J$5:$J$528,$T500)-4),11)="First-month",1,0))=1,"class review",IF($I500="Bloomberg",IF(AND(ISNUMBER(INDEX('Market Data'!$AH$5:$AH$66,INDEX('Market Data'!$J$5:$J$528,$T500)-4)),N(INDEX('Market Data'!$AH$5:$AH$66,INDEX('Market Data'!$J$5:$J$528,$T500)-4))&gt;0,ISNUMBER('Market Data'!$B$1),N('Market Data'!$B$1)&gt;0),INDEX('Market Data'!$AH$5:$AH$66,INDEX('Market Data'!$J$5:$J$528,$T500)-4)*'Market Data'!$B$1/$E500-1,"pending A/FX"),IF(AND($I500="Snapshot",$Q500="Snapshot",ISNUMBER($E500),$G500=INDEX('Market Data'!$AE$5:$AE$66,INDEX('Market Data'!$J$5:$J$528,$T500)-4)),IFERROR(INDEX('Market Data'!$AC$5:$AC$66,INDEX('Market Data'!$J$5:$J$528,$T500)-4)*INDEX('Market Data'!$AD$5:$AD$66,INDEX('Market Data'!$J$5:$J$528,$T500)-4)/$E500-1,"unavailable"),IF($I500="Unavailable","unavailable","date mismatch"))))))</f>
        <v/>
      </c>
      <c r="N500" s="11">
        <f>IF($T500=0,"",IFERROR(IF(AND(N(INDEX('Market Data'!$F$5:$F$528,$T500))&gt;0,ISNUMBER(INDEX('Market Data'!$T$5:$T$528,$T500))),$E500*INDEX('Market Data'!$T$5:$T$528,$T500)/INDEX('Market Data'!$F$5:$F$528,$T500)-1,"unavailable"),"unavailable"))</f>
        <v/>
      </c>
      <c r="O500" s="9">
        <f>IF($T500=0,"",IF(IF(INDEX('Market Data'!$J$5:$J$528,$T500)=0,0,IF(LEFT(INDEX('Market Data'!$AS$5:$AS$66,INDEX('Market Data'!$J$5:$J$528,$T500)-4),11)="First-month",1,0))=1,"Class ratio review",IF($I500="Bloomberg",IF(ISNUMBER($G500),IF($G500&lt;TODAY(),"Older quote","See quote time"),"Date unavailable"),IF($I500="Snapshot",IF($G500&lt;DATEVALUE("2026-10-02"),"Older snapshot","Dated close"),"No valid quote"))))</f>
        <v/>
      </c>
      <c r="P500" s="14">
        <f>IF($T500=0,"",IF(INDEX('Market Data'!$J$5:$J$528,$T500)=0,"n/a",IF($Q500="Bloomberg",IF(AND(ISNUMBER(INDEX('Market Data'!$AK$5:$AK$66,INDEX('Market Data'!$J$5:$J$528,$T500)-4)),N(INDEX('Market Data'!$AK$5:$AK$66,INDEX('Market Data'!$J$5:$J$528,$T500)-4))&gt;0),INDEX('Market Data'!$AK$5:$AK$66,INDEX('Market Data'!$J$5:$J$528,$T500)-4),"date unavailable"),IF($Q500="Snapshot",IF(AND(ISNUMBER(INDEX('Market Data'!$AF$5:$AF$66,INDEX('Market Data'!$J$5:$J$528,$T500)-4)),N(INDEX('Market Data'!$AF$5:$AF$66,INDEX('Market Data'!$J$5:$J$528,$T500)-4))&gt;0),INDEX('Market Data'!$AF$5:$AF$66,INDEX('Market Data'!$J$5:$J$528,$T500)-4),"date unavailable"),"date unavailable"))))</f>
        <v/>
      </c>
      <c r="Q500" s="15">
        <f>IF($T500=0,"",IF(INDEX('Market Data'!$J$5:$J$528,$T500)=0,"n/a",IF(AND($M$5&lt;&gt;"Snapshot",ISNUMBER(INDEX('Market Data'!$AH$5:$AH$66,INDEX('Market Data'!$J$5:$J$528,$T500)-4)),N(INDEX('Market Data'!$AH$5:$AH$66,INDEX('Market Data'!$J$5:$J$528,$T500)-4))&gt;0),"Bloomberg",IF(AND($M$5&lt;&gt;"Bloomberg",ISNUMBER(INDEX('Market Data'!$AC$5:$AC$66,INDEX('Market Data'!$J$5:$J$528,$T500)-4)),N(INDEX('Market Data'!$AC$5:$AC$66,INDEX('Market Data'!$J$5:$J$528,$T500)-4))&gt;0),"Snapshot","Unavailable"))))</f>
        <v/>
      </c>
      <c r="T500">
        <f>IFERROR(MATCH(492,'Market Data'!$S$5:$S$528,0),0)</f>
        <v/>
      </c>
    </row>
    <row r="501" ht="34" customHeight="1">
      <c r="A501" s="8">
        <f>IF($T501=0,"",IF(INDEX('Market Data'!$A$5:$A$528,$T501)="","",INDEX('Market Data'!$A$5:$A$528,$T501)))</f>
        <v/>
      </c>
      <c r="B501" s="9">
        <f>IF($T501=0,"",IF(INDEX('Market Data'!$B$5:$B$528,$T501)="","",INDEX('Market Data'!$B$5:$B$528,$T501)))</f>
        <v/>
      </c>
      <c r="C501" s="9">
        <f>IF($T501=0,"",IF(INDEX('Market Data'!$C$5:$C$528,$T501)="","",INDEX('Market Data'!$C$5:$C$528,$T501)))</f>
        <v/>
      </c>
      <c r="D501" s="9">
        <f>IF($T501=0,"",IF(INDEX('Market Data'!$D$5:$D$528,$T501)="","",INDEX('Market Data'!$D$5:$D$528,$T501)))</f>
        <v/>
      </c>
      <c r="E501" s="10">
        <f>IF($T501=0,"",INDEX('Market Data'!$O$5:$O$528,$T501))</f>
        <v/>
      </c>
      <c r="F501" s="11">
        <f>IF($T501=0,"",IF(AND($I501="Bloomberg",ISNUMBER(INDEX('Market Data'!$L$5:$L$528,$T501))),INDEX('Market Data'!$L$5:$L$528,$T501),"unavailable"))</f>
        <v/>
      </c>
      <c r="G501" s="12">
        <f>IF($T501=0,"",IF($I501="Bloomberg",IF(AND(ISNUMBER(INDEX('Market Data'!$M$5:$M$528,$T501)),N(INDEX('Market Data'!$M$5:$M$528,$T501))&gt;0),INDEX('Market Data'!$M$5:$M$528,$T501),"date unavailable"),IF($I501="Snapshot",IF(AND(ISNUMBER(INDEX('Market Data'!$H$5:$H$528,$T501)),N(INDEX('Market Data'!$H$5:$H$528,$T501))&gt;0),INDEX('Market Data'!$H$5:$H$528,$T501),"date unavailable"),"date unavailable")))</f>
        <v/>
      </c>
      <c r="H501" s="9">
        <f>IF($T501=0,"",IF($I501="Bloomberg",IF(INDEX('Market Data'!$N$5:$N$528,$T501)="","time unavailable",INDEX('Market Data'!$N$5:$N$528,$T501)),""))</f>
        <v/>
      </c>
      <c r="I501" s="9">
        <f>IF($T501=0,"",INDEX('Market Data'!$P$5:$P$528,$T501))</f>
        <v/>
      </c>
      <c r="J501" s="13">
        <f>IF($T501=0,"",IF(INDEX('Market Data'!$E$5:$E$528,$T501)="","",INDEX('Market Data'!$E$5:$E$528,$T501)))</f>
        <v/>
      </c>
      <c r="K501" s="8">
        <f>IF($T501=0,"",IF(INDEX('Market Data'!$I$5:$I$528,$T501)="","",INDEX('Market Data'!$I$5:$I$528,$T501)))</f>
        <v/>
      </c>
      <c r="L501" s="10">
        <f>IF($T501=0,"",IF(INDEX('Market Data'!$J$5:$J$528,$T501)=0,"n/a",IF(AND($M$5&lt;&gt;"Snapshot",ISNUMBER(INDEX('Market Data'!$AH$5:$AH$66,INDEX('Market Data'!$J$5:$J$528,$T501)-4)),N(INDEX('Market Data'!$AH$5:$AH$66,INDEX('Market Data'!$J$5:$J$528,$T501)-4))&gt;0),INDEX('Market Data'!$AH$5:$AH$66,INDEX('Market Data'!$J$5:$J$528,$T501)-4),IF(AND($M$5&lt;&gt;"Bloomberg",ISNUMBER(INDEX('Market Data'!$AC$5:$AC$66,INDEX('Market Data'!$J$5:$J$528,$T501)-4)),N(INDEX('Market Data'!$AC$5:$AC$66,INDEX('Market Data'!$J$5:$J$528,$T501)-4))&gt;0),INDEX('Market Data'!$AC$5:$AC$66,INDEX('Market Data'!$J$5:$J$528,$T501)-4),"unavailable"))))</f>
        <v/>
      </c>
      <c r="M501" s="11">
        <f>IF($T501=0,"",IF(INDEX('Market Data'!$J$5:$J$528,$T501)=0,"n/a",IF(IF(INDEX('Market Data'!$J$5:$J$528,$T501)=0,0,IF(LEFT(INDEX('Market Data'!$AS$5:$AS$66,INDEX('Market Data'!$J$5:$J$528,$T501)-4),11)="First-month",1,0))=1,"class review",IF($I501="Bloomberg",IF(AND(ISNUMBER(INDEX('Market Data'!$AH$5:$AH$66,INDEX('Market Data'!$J$5:$J$528,$T501)-4)),N(INDEX('Market Data'!$AH$5:$AH$66,INDEX('Market Data'!$J$5:$J$528,$T501)-4))&gt;0,ISNUMBER('Market Data'!$B$1),N('Market Data'!$B$1)&gt;0),INDEX('Market Data'!$AH$5:$AH$66,INDEX('Market Data'!$J$5:$J$528,$T501)-4)*'Market Data'!$B$1/$E501-1,"pending A/FX"),IF(AND($I501="Snapshot",$Q501="Snapshot",ISNUMBER($E501),$G501=INDEX('Market Data'!$AE$5:$AE$66,INDEX('Market Data'!$J$5:$J$528,$T501)-4)),IFERROR(INDEX('Market Data'!$AC$5:$AC$66,INDEX('Market Data'!$J$5:$J$528,$T501)-4)*INDEX('Market Data'!$AD$5:$AD$66,INDEX('Market Data'!$J$5:$J$528,$T501)-4)/$E501-1,"unavailable"),IF($I501="Unavailable","unavailable","date mismatch"))))))</f>
        <v/>
      </c>
      <c r="N501" s="11">
        <f>IF($T501=0,"",IFERROR(IF(AND(N(INDEX('Market Data'!$F$5:$F$528,$T501))&gt;0,ISNUMBER(INDEX('Market Data'!$T$5:$T$528,$T501))),$E501*INDEX('Market Data'!$T$5:$T$528,$T501)/INDEX('Market Data'!$F$5:$F$528,$T501)-1,"unavailable"),"unavailable"))</f>
        <v/>
      </c>
      <c r="O501" s="9">
        <f>IF($T501=0,"",IF(IF(INDEX('Market Data'!$J$5:$J$528,$T501)=0,0,IF(LEFT(INDEX('Market Data'!$AS$5:$AS$66,INDEX('Market Data'!$J$5:$J$528,$T501)-4),11)="First-month",1,0))=1,"Class ratio review",IF($I501="Bloomberg",IF(ISNUMBER($G501),IF($G501&lt;TODAY(),"Older quote","See quote time"),"Date unavailable"),IF($I501="Snapshot",IF($G501&lt;DATEVALUE("2026-10-02"),"Older snapshot","Dated close"),"No valid quote"))))</f>
        <v/>
      </c>
      <c r="P501" s="14">
        <f>IF($T501=0,"",IF(INDEX('Market Data'!$J$5:$J$528,$T501)=0,"n/a",IF($Q501="Bloomberg",IF(AND(ISNUMBER(INDEX('Market Data'!$AK$5:$AK$66,INDEX('Market Data'!$J$5:$J$528,$T501)-4)),N(INDEX('Market Data'!$AK$5:$AK$66,INDEX('Market Data'!$J$5:$J$528,$T501)-4))&gt;0),INDEX('Market Data'!$AK$5:$AK$66,INDEX('Market Data'!$J$5:$J$528,$T501)-4),"date unavailable"),IF($Q501="Snapshot",IF(AND(ISNUMBER(INDEX('Market Data'!$AF$5:$AF$66,INDEX('Market Data'!$J$5:$J$528,$T501)-4)),N(INDEX('Market Data'!$AF$5:$AF$66,INDEX('Market Data'!$J$5:$J$528,$T501)-4))&gt;0),INDEX('Market Data'!$AF$5:$AF$66,INDEX('Market Data'!$J$5:$J$528,$T501)-4),"date unavailable"),"date unavailable"))))</f>
        <v/>
      </c>
      <c r="Q501" s="15">
        <f>IF($T501=0,"",IF(INDEX('Market Data'!$J$5:$J$528,$T501)=0,"n/a",IF(AND($M$5&lt;&gt;"Snapshot",ISNUMBER(INDEX('Market Data'!$AH$5:$AH$66,INDEX('Market Data'!$J$5:$J$528,$T501)-4)),N(INDEX('Market Data'!$AH$5:$AH$66,INDEX('Market Data'!$J$5:$J$528,$T501)-4))&gt;0),"Bloomberg",IF(AND($M$5&lt;&gt;"Bloomberg",ISNUMBER(INDEX('Market Data'!$AC$5:$AC$66,INDEX('Market Data'!$J$5:$J$528,$T501)-4)),N(INDEX('Market Data'!$AC$5:$AC$66,INDEX('Market Data'!$J$5:$J$528,$T501)-4))&gt;0),"Snapshot","Unavailable"))))</f>
        <v/>
      </c>
      <c r="T501">
        <f>IFERROR(MATCH(493,'Market Data'!$S$5:$S$528,0),0)</f>
        <v/>
      </c>
    </row>
    <row r="502" ht="34" customHeight="1">
      <c r="A502" s="8">
        <f>IF($T502=0,"",IF(INDEX('Market Data'!$A$5:$A$528,$T502)="","",INDEX('Market Data'!$A$5:$A$528,$T502)))</f>
        <v/>
      </c>
      <c r="B502" s="9">
        <f>IF($T502=0,"",IF(INDEX('Market Data'!$B$5:$B$528,$T502)="","",INDEX('Market Data'!$B$5:$B$528,$T502)))</f>
        <v/>
      </c>
      <c r="C502" s="9">
        <f>IF($T502=0,"",IF(INDEX('Market Data'!$C$5:$C$528,$T502)="","",INDEX('Market Data'!$C$5:$C$528,$T502)))</f>
        <v/>
      </c>
      <c r="D502" s="9">
        <f>IF($T502=0,"",IF(INDEX('Market Data'!$D$5:$D$528,$T502)="","",INDEX('Market Data'!$D$5:$D$528,$T502)))</f>
        <v/>
      </c>
      <c r="E502" s="10">
        <f>IF($T502=0,"",INDEX('Market Data'!$O$5:$O$528,$T502))</f>
        <v/>
      </c>
      <c r="F502" s="11">
        <f>IF($T502=0,"",IF(AND($I502="Bloomberg",ISNUMBER(INDEX('Market Data'!$L$5:$L$528,$T502))),INDEX('Market Data'!$L$5:$L$528,$T502),"unavailable"))</f>
        <v/>
      </c>
      <c r="G502" s="12">
        <f>IF($T502=0,"",IF($I502="Bloomberg",IF(AND(ISNUMBER(INDEX('Market Data'!$M$5:$M$528,$T502)),N(INDEX('Market Data'!$M$5:$M$528,$T502))&gt;0),INDEX('Market Data'!$M$5:$M$528,$T502),"date unavailable"),IF($I502="Snapshot",IF(AND(ISNUMBER(INDEX('Market Data'!$H$5:$H$528,$T502)),N(INDEX('Market Data'!$H$5:$H$528,$T502))&gt;0),INDEX('Market Data'!$H$5:$H$528,$T502),"date unavailable"),"date unavailable")))</f>
        <v/>
      </c>
      <c r="H502" s="9">
        <f>IF($T502=0,"",IF($I502="Bloomberg",IF(INDEX('Market Data'!$N$5:$N$528,$T502)="","time unavailable",INDEX('Market Data'!$N$5:$N$528,$T502)),""))</f>
        <v/>
      </c>
      <c r="I502" s="9">
        <f>IF($T502=0,"",INDEX('Market Data'!$P$5:$P$528,$T502))</f>
        <v/>
      </c>
      <c r="J502" s="13">
        <f>IF($T502=0,"",IF(INDEX('Market Data'!$E$5:$E$528,$T502)="","",INDEX('Market Data'!$E$5:$E$528,$T502)))</f>
        <v/>
      </c>
      <c r="K502" s="8">
        <f>IF($T502=0,"",IF(INDEX('Market Data'!$I$5:$I$528,$T502)="","",INDEX('Market Data'!$I$5:$I$528,$T502)))</f>
        <v/>
      </c>
      <c r="L502" s="10">
        <f>IF($T502=0,"",IF(INDEX('Market Data'!$J$5:$J$528,$T502)=0,"n/a",IF(AND($M$5&lt;&gt;"Snapshot",ISNUMBER(INDEX('Market Data'!$AH$5:$AH$66,INDEX('Market Data'!$J$5:$J$528,$T502)-4)),N(INDEX('Market Data'!$AH$5:$AH$66,INDEX('Market Data'!$J$5:$J$528,$T502)-4))&gt;0),INDEX('Market Data'!$AH$5:$AH$66,INDEX('Market Data'!$J$5:$J$528,$T502)-4),IF(AND($M$5&lt;&gt;"Bloomberg",ISNUMBER(INDEX('Market Data'!$AC$5:$AC$66,INDEX('Market Data'!$J$5:$J$528,$T502)-4)),N(INDEX('Market Data'!$AC$5:$AC$66,INDEX('Market Data'!$J$5:$J$528,$T502)-4))&gt;0),INDEX('Market Data'!$AC$5:$AC$66,INDEX('Market Data'!$J$5:$J$528,$T502)-4),"unavailable"))))</f>
        <v/>
      </c>
      <c r="M502" s="11">
        <f>IF($T502=0,"",IF(INDEX('Market Data'!$J$5:$J$528,$T502)=0,"n/a",IF(IF(INDEX('Market Data'!$J$5:$J$528,$T502)=0,0,IF(LEFT(INDEX('Market Data'!$AS$5:$AS$66,INDEX('Market Data'!$J$5:$J$528,$T502)-4),11)="First-month",1,0))=1,"class review",IF($I502="Bloomberg",IF(AND(ISNUMBER(INDEX('Market Data'!$AH$5:$AH$66,INDEX('Market Data'!$J$5:$J$528,$T502)-4)),N(INDEX('Market Data'!$AH$5:$AH$66,INDEX('Market Data'!$J$5:$J$528,$T502)-4))&gt;0,ISNUMBER('Market Data'!$B$1),N('Market Data'!$B$1)&gt;0),INDEX('Market Data'!$AH$5:$AH$66,INDEX('Market Data'!$J$5:$J$528,$T502)-4)*'Market Data'!$B$1/$E502-1,"pending A/FX"),IF(AND($I502="Snapshot",$Q502="Snapshot",ISNUMBER($E502),$G502=INDEX('Market Data'!$AE$5:$AE$66,INDEX('Market Data'!$J$5:$J$528,$T502)-4)),IFERROR(INDEX('Market Data'!$AC$5:$AC$66,INDEX('Market Data'!$J$5:$J$528,$T502)-4)*INDEX('Market Data'!$AD$5:$AD$66,INDEX('Market Data'!$J$5:$J$528,$T502)-4)/$E502-1,"unavailable"),IF($I502="Unavailable","unavailable","date mismatch"))))))</f>
        <v/>
      </c>
      <c r="N502" s="11">
        <f>IF($T502=0,"",IFERROR(IF(AND(N(INDEX('Market Data'!$F$5:$F$528,$T502))&gt;0,ISNUMBER(INDEX('Market Data'!$T$5:$T$528,$T502))),$E502*INDEX('Market Data'!$T$5:$T$528,$T502)/INDEX('Market Data'!$F$5:$F$528,$T502)-1,"unavailable"),"unavailable"))</f>
        <v/>
      </c>
      <c r="O502" s="9">
        <f>IF($T502=0,"",IF(IF(INDEX('Market Data'!$J$5:$J$528,$T502)=0,0,IF(LEFT(INDEX('Market Data'!$AS$5:$AS$66,INDEX('Market Data'!$J$5:$J$528,$T502)-4),11)="First-month",1,0))=1,"Class ratio review",IF($I502="Bloomberg",IF(ISNUMBER($G502),IF($G502&lt;TODAY(),"Older quote","See quote time"),"Date unavailable"),IF($I502="Snapshot",IF($G502&lt;DATEVALUE("2026-10-02"),"Older snapshot","Dated close"),"No valid quote"))))</f>
        <v/>
      </c>
      <c r="P502" s="14">
        <f>IF($T502=0,"",IF(INDEX('Market Data'!$J$5:$J$528,$T502)=0,"n/a",IF($Q502="Bloomberg",IF(AND(ISNUMBER(INDEX('Market Data'!$AK$5:$AK$66,INDEX('Market Data'!$J$5:$J$528,$T502)-4)),N(INDEX('Market Data'!$AK$5:$AK$66,INDEX('Market Data'!$J$5:$J$528,$T502)-4))&gt;0),INDEX('Market Data'!$AK$5:$AK$66,INDEX('Market Data'!$J$5:$J$528,$T502)-4),"date unavailable"),IF($Q502="Snapshot",IF(AND(ISNUMBER(INDEX('Market Data'!$AF$5:$AF$66,INDEX('Market Data'!$J$5:$J$528,$T502)-4)),N(INDEX('Market Data'!$AF$5:$AF$66,INDEX('Market Data'!$J$5:$J$528,$T502)-4))&gt;0),INDEX('Market Data'!$AF$5:$AF$66,INDEX('Market Data'!$J$5:$J$528,$T502)-4),"date unavailable"),"date unavailable"))))</f>
        <v/>
      </c>
      <c r="Q502" s="15">
        <f>IF($T502=0,"",IF(INDEX('Market Data'!$J$5:$J$528,$T502)=0,"n/a",IF(AND($M$5&lt;&gt;"Snapshot",ISNUMBER(INDEX('Market Data'!$AH$5:$AH$66,INDEX('Market Data'!$J$5:$J$528,$T502)-4)),N(INDEX('Market Data'!$AH$5:$AH$66,INDEX('Market Data'!$J$5:$J$528,$T502)-4))&gt;0),"Bloomberg",IF(AND($M$5&lt;&gt;"Bloomberg",ISNUMBER(INDEX('Market Data'!$AC$5:$AC$66,INDEX('Market Data'!$J$5:$J$528,$T502)-4)),N(INDEX('Market Data'!$AC$5:$AC$66,INDEX('Market Data'!$J$5:$J$528,$T502)-4))&gt;0),"Snapshot","Unavailable"))))</f>
        <v/>
      </c>
      <c r="T502">
        <f>IFERROR(MATCH(494,'Market Data'!$S$5:$S$528,0),0)</f>
        <v/>
      </c>
    </row>
    <row r="503" ht="34" customHeight="1">
      <c r="A503" s="8">
        <f>IF($T503=0,"",IF(INDEX('Market Data'!$A$5:$A$528,$T503)="","",INDEX('Market Data'!$A$5:$A$528,$T503)))</f>
        <v/>
      </c>
      <c r="B503" s="9">
        <f>IF($T503=0,"",IF(INDEX('Market Data'!$B$5:$B$528,$T503)="","",INDEX('Market Data'!$B$5:$B$528,$T503)))</f>
        <v/>
      </c>
      <c r="C503" s="9">
        <f>IF($T503=0,"",IF(INDEX('Market Data'!$C$5:$C$528,$T503)="","",INDEX('Market Data'!$C$5:$C$528,$T503)))</f>
        <v/>
      </c>
      <c r="D503" s="9">
        <f>IF($T503=0,"",IF(INDEX('Market Data'!$D$5:$D$528,$T503)="","",INDEX('Market Data'!$D$5:$D$528,$T503)))</f>
        <v/>
      </c>
      <c r="E503" s="10">
        <f>IF($T503=0,"",INDEX('Market Data'!$O$5:$O$528,$T503))</f>
        <v/>
      </c>
      <c r="F503" s="11">
        <f>IF($T503=0,"",IF(AND($I503="Bloomberg",ISNUMBER(INDEX('Market Data'!$L$5:$L$528,$T503))),INDEX('Market Data'!$L$5:$L$528,$T503),"unavailable"))</f>
        <v/>
      </c>
      <c r="G503" s="12">
        <f>IF($T503=0,"",IF($I503="Bloomberg",IF(AND(ISNUMBER(INDEX('Market Data'!$M$5:$M$528,$T503)),N(INDEX('Market Data'!$M$5:$M$528,$T503))&gt;0),INDEX('Market Data'!$M$5:$M$528,$T503),"date unavailable"),IF($I503="Snapshot",IF(AND(ISNUMBER(INDEX('Market Data'!$H$5:$H$528,$T503)),N(INDEX('Market Data'!$H$5:$H$528,$T503))&gt;0),INDEX('Market Data'!$H$5:$H$528,$T503),"date unavailable"),"date unavailable")))</f>
        <v/>
      </c>
      <c r="H503" s="9">
        <f>IF($T503=0,"",IF($I503="Bloomberg",IF(INDEX('Market Data'!$N$5:$N$528,$T503)="","time unavailable",INDEX('Market Data'!$N$5:$N$528,$T503)),""))</f>
        <v/>
      </c>
      <c r="I503" s="9">
        <f>IF($T503=0,"",INDEX('Market Data'!$P$5:$P$528,$T503))</f>
        <v/>
      </c>
      <c r="J503" s="13">
        <f>IF($T503=0,"",IF(INDEX('Market Data'!$E$5:$E$528,$T503)="","",INDEX('Market Data'!$E$5:$E$528,$T503)))</f>
        <v/>
      </c>
      <c r="K503" s="8">
        <f>IF($T503=0,"",IF(INDEX('Market Data'!$I$5:$I$528,$T503)="","",INDEX('Market Data'!$I$5:$I$528,$T503)))</f>
        <v/>
      </c>
      <c r="L503" s="10">
        <f>IF($T503=0,"",IF(INDEX('Market Data'!$J$5:$J$528,$T503)=0,"n/a",IF(AND($M$5&lt;&gt;"Snapshot",ISNUMBER(INDEX('Market Data'!$AH$5:$AH$66,INDEX('Market Data'!$J$5:$J$528,$T503)-4)),N(INDEX('Market Data'!$AH$5:$AH$66,INDEX('Market Data'!$J$5:$J$528,$T503)-4))&gt;0),INDEX('Market Data'!$AH$5:$AH$66,INDEX('Market Data'!$J$5:$J$528,$T503)-4),IF(AND($M$5&lt;&gt;"Bloomberg",ISNUMBER(INDEX('Market Data'!$AC$5:$AC$66,INDEX('Market Data'!$J$5:$J$528,$T503)-4)),N(INDEX('Market Data'!$AC$5:$AC$66,INDEX('Market Data'!$J$5:$J$528,$T503)-4))&gt;0),INDEX('Market Data'!$AC$5:$AC$66,INDEX('Market Data'!$J$5:$J$528,$T503)-4),"unavailable"))))</f>
        <v/>
      </c>
      <c r="M503" s="11">
        <f>IF($T503=0,"",IF(INDEX('Market Data'!$J$5:$J$528,$T503)=0,"n/a",IF(IF(INDEX('Market Data'!$J$5:$J$528,$T503)=0,0,IF(LEFT(INDEX('Market Data'!$AS$5:$AS$66,INDEX('Market Data'!$J$5:$J$528,$T503)-4),11)="First-month",1,0))=1,"class review",IF($I503="Bloomberg",IF(AND(ISNUMBER(INDEX('Market Data'!$AH$5:$AH$66,INDEX('Market Data'!$J$5:$J$528,$T503)-4)),N(INDEX('Market Data'!$AH$5:$AH$66,INDEX('Market Data'!$J$5:$J$528,$T503)-4))&gt;0,ISNUMBER('Market Data'!$B$1),N('Market Data'!$B$1)&gt;0),INDEX('Market Data'!$AH$5:$AH$66,INDEX('Market Data'!$J$5:$J$528,$T503)-4)*'Market Data'!$B$1/$E503-1,"pending A/FX"),IF(AND($I503="Snapshot",$Q503="Snapshot",ISNUMBER($E503),$G503=INDEX('Market Data'!$AE$5:$AE$66,INDEX('Market Data'!$J$5:$J$528,$T503)-4)),IFERROR(INDEX('Market Data'!$AC$5:$AC$66,INDEX('Market Data'!$J$5:$J$528,$T503)-4)*INDEX('Market Data'!$AD$5:$AD$66,INDEX('Market Data'!$J$5:$J$528,$T503)-4)/$E503-1,"unavailable"),IF($I503="Unavailable","unavailable","date mismatch"))))))</f>
        <v/>
      </c>
      <c r="N503" s="11">
        <f>IF($T503=0,"",IFERROR(IF(AND(N(INDEX('Market Data'!$F$5:$F$528,$T503))&gt;0,ISNUMBER(INDEX('Market Data'!$T$5:$T$528,$T503))),$E503*INDEX('Market Data'!$T$5:$T$528,$T503)/INDEX('Market Data'!$F$5:$F$528,$T503)-1,"unavailable"),"unavailable"))</f>
        <v/>
      </c>
      <c r="O503" s="9">
        <f>IF($T503=0,"",IF(IF(INDEX('Market Data'!$J$5:$J$528,$T503)=0,0,IF(LEFT(INDEX('Market Data'!$AS$5:$AS$66,INDEX('Market Data'!$J$5:$J$528,$T503)-4),11)="First-month",1,0))=1,"Class ratio review",IF($I503="Bloomberg",IF(ISNUMBER($G503),IF($G503&lt;TODAY(),"Older quote","See quote time"),"Date unavailable"),IF($I503="Snapshot",IF($G503&lt;DATEVALUE("2026-10-02"),"Older snapshot","Dated close"),"No valid quote"))))</f>
        <v/>
      </c>
      <c r="P503" s="14">
        <f>IF($T503=0,"",IF(INDEX('Market Data'!$J$5:$J$528,$T503)=0,"n/a",IF($Q503="Bloomberg",IF(AND(ISNUMBER(INDEX('Market Data'!$AK$5:$AK$66,INDEX('Market Data'!$J$5:$J$528,$T503)-4)),N(INDEX('Market Data'!$AK$5:$AK$66,INDEX('Market Data'!$J$5:$J$528,$T503)-4))&gt;0),INDEX('Market Data'!$AK$5:$AK$66,INDEX('Market Data'!$J$5:$J$528,$T503)-4),"date unavailable"),IF($Q503="Snapshot",IF(AND(ISNUMBER(INDEX('Market Data'!$AF$5:$AF$66,INDEX('Market Data'!$J$5:$J$528,$T503)-4)),N(INDEX('Market Data'!$AF$5:$AF$66,INDEX('Market Data'!$J$5:$J$528,$T503)-4))&gt;0),INDEX('Market Data'!$AF$5:$AF$66,INDEX('Market Data'!$J$5:$J$528,$T503)-4),"date unavailable"),"date unavailable"))))</f>
        <v/>
      </c>
      <c r="Q503" s="15">
        <f>IF($T503=0,"",IF(INDEX('Market Data'!$J$5:$J$528,$T503)=0,"n/a",IF(AND($M$5&lt;&gt;"Snapshot",ISNUMBER(INDEX('Market Data'!$AH$5:$AH$66,INDEX('Market Data'!$J$5:$J$528,$T503)-4)),N(INDEX('Market Data'!$AH$5:$AH$66,INDEX('Market Data'!$J$5:$J$528,$T503)-4))&gt;0),"Bloomberg",IF(AND($M$5&lt;&gt;"Bloomberg",ISNUMBER(INDEX('Market Data'!$AC$5:$AC$66,INDEX('Market Data'!$J$5:$J$528,$T503)-4)),N(INDEX('Market Data'!$AC$5:$AC$66,INDEX('Market Data'!$J$5:$J$528,$T503)-4))&gt;0),"Snapshot","Unavailable"))))</f>
        <v/>
      </c>
      <c r="T503">
        <f>IFERROR(MATCH(495,'Market Data'!$S$5:$S$528,0),0)</f>
        <v/>
      </c>
    </row>
    <row r="504" ht="34" customHeight="1">
      <c r="A504" s="8">
        <f>IF($T504=0,"",IF(INDEX('Market Data'!$A$5:$A$528,$T504)="","",INDEX('Market Data'!$A$5:$A$528,$T504)))</f>
        <v/>
      </c>
      <c r="B504" s="9">
        <f>IF($T504=0,"",IF(INDEX('Market Data'!$B$5:$B$528,$T504)="","",INDEX('Market Data'!$B$5:$B$528,$T504)))</f>
        <v/>
      </c>
      <c r="C504" s="9">
        <f>IF($T504=0,"",IF(INDEX('Market Data'!$C$5:$C$528,$T504)="","",INDEX('Market Data'!$C$5:$C$528,$T504)))</f>
        <v/>
      </c>
      <c r="D504" s="9">
        <f>IF($T504=0,"",IF(INDEX('Market Data'!$D$5:$D$528,$T504)="","",INDEX('Market Data'!$D$5:$D$528,$T504)))</f>
        <v/>
      </c>
      <c r="E504" s="10">
        <f>IF($T504=0,"",INDEX('Market Data'!$O$5:$O$528,$T504))</f>
        <v/>
      </c>
      <c r="F504" s="11">
        <f>IF($T504=0,"",IF(AND($I504="Bloomberg",ISNUMBER(INDEX('Market Data'!$L$5:$L$528,$T504))),INDEX('Market Data'!$L$5:$L$528,$T504),"unavailable"))</f>
        <v/>
      </c>
      <c r="G504" s="12">
        <f>IF($T504=0,"",IF($I504="Bloomberg",IF(AND(ISNUMBER(INDEX('Market Data'!$M$5:$M$528,$T504)),N(INDEX('Market Data'!$M$5:$M$528,$T504))&gt;0),INDEX('Market Data'!$M$5:$M$528,$T504),"date unavailable"),IF($I504="Snapshot",IF(AND(ISNUMBER(INDEX('Market Data'!$H$5:$H$528,$T504)),N(INDEX('Market Data'!$H$5:$H$528,$T504))&gt;0),INDEX('Market Data'!$H$5:$H$528,$T504),"date unavailable"),"date unavailable")))</f>
        <v/>
      </c>
      <c r="H504" s="9">
        <f>IF($T504=0,"",IF($I504="Bloomberg",IF(INDEX('Market Data'!$N$5:$N$528,$T504)="","time unavailable",INDEX('Market Data'!$N$5:$N$528,$T504)),""))</f>
        <v/>
      </c>
      <c r="I504" s="9">
        <f>IF($T504=0,"",INDEX('Market Data'!$P$5:$P$528,$T504))</f>
        <v/>
      </c>
      <c r="J504" s="13">
        <f>IF($T504=0,"",IF(INDEX('Market Data'!$E$5:$E$528,$T504)="","",INDEX('Market Data'!$E$5:$E$528,$T504)))</f>
        <v/>
      </c>
      <c r="K504" s="8">
        <f>IF($T504=0,"",IF(INDEX('Market Data'!$I$5:$I$528,$T504)="","",INDEX('Market Data'!$I$5:$I$528,$T504)))</f>
        <v/>
      </c>
      <c r="L504" s="10">
        <f>IF($T504=0,"",IF(INDEX('Market Data'!$J$5:$J$528,$T504)=0,"n/a",IF(AND($M$5&lt;&gt;"Snapshot",ISNUMBER(INDEX('Market Data'!$AH$5:$AH$66,INDEX('Market Data'!$J$5:$J$528,$T504)-4)),N(INDEX('Market Data'!$AH$5:$AH$66,INDEX('Market Data'!$J$5:$J$528,$T504)-4))&gt;0),INDEX('Market Data'!$AH$5:$AH$66,INDEX('Market Data'!$J$5:$J$528,$T504)-4),IF(AND($M$5&lt;&gt;"Bloomberg",ISNUMBER(INDEX('Market Data'!$AC$5:$AC$66,INDEX('Market Data'!$J$5:$J$528,$T504)-4)),N(INDEX('Market Data'!$AC$5:$AC$66,INDEX('Market Data'!$J$5:$J$528,$T504)-4))&gt;0),INDEX('Market Data'!$AC$5:$AC$66,INDEX('Market Data'!$J$5:$J$528,$T504)-4),"unavailable"))))</f>
        <v/>
      </c>
      <c r="M504" s="11">
        <f>IF($T504=0,"",IF(INDEX('Market Data'!$J$5:$J$528,$T504)=0,"n/a",IF(IF(INDEX('Market Data'!$J$5:$J$528,$T504)=0,0,IF(LEFT(INDEX('Market Data'!$AS$5:$AS$66,INDEX('Market Data'!$J$5:$J$528,$T504)-4),11)="First-month",1,0))=1,"class review",IF($I504="Bloomberg",IF(AND(ISNUMBER(INDEX('Market Data'!$AH$5:$AH$66,INDEX('Market Data'!$J$5:$J$528,$T504)-4)),N(INDEX('Market Data'!$AH$5:$AH$66,INDEX('Market Data'!$J$5:$J$528,$T504)-4))&gt;0,ISNUMBER('Market Data'!$B$1),N('Market Data'!$B$1)&gt;0),INDEX('Market Data'!$AH$5:$AH$66,INDEX('Market Data'!$J$5:$J$528,$T504)-4)*'Market Data'!$B$1/$E504-1,"pending A/FX"),IF(AND($I504="Snapshot",$Q504="Snapshot",ISNUMBER($E504),$G504=INDEX('Market Data'!$AE$5:$AE$66,INDEX('Market Data'!$J$5:$J$528,$T504)-4)),IFERROR(INDEX('Market Data'!$AC$5:$AC$66,INDEX('Market Data'!$J$5:$J$528,$T504)-4)*INDEX('Market Data'!$AD$5:$AD$66,INDEX('Market Data'!$J$5:$J$528,$T504)-4)/$E504-1,"unavailable"),IF($I504="Unavailable","unavailable","date mismatch"))))))</f>
        <v/>
      </c>
      <c r="N504" s="11">
        <f>IF($T504=0,"",IFERROR(IF(AND(N(INDEX('Market Data'!$F$5:$F$528,$T504))&gt;0,ISNUMBER(INDEX('Market Data'!$T$5:$T$528,$T504))),$E504*INDEX('Market Data'!$T$5:$T$528,$T504)/INDEX('Market Data'!$F$5:$F$528,$T504)-1,"unavailable"),"unavailable"))</f>
        <v/>
      </c>
      <c r="O504" s="9">
        <f>IF($T504=0,"",IF(IF(INDEX('Market Data'!$J$5:$J$528,$T504)=0,0,IF(LEFT(INDEX('Market Data'!$AS$5:$AS$66,INDEX('Market Data'!$J$5:$J$528,$T504)-4),11)="First-month",1,0))=1,"Class ratio review",IF($I504="Bloomberg",IF(ISNUMBER($G504),IF($G504&lt;TODAY(),"Older quote","See quote time"),"Date unavailable"),IF($I504="Snapshot",IF($G504&lt;DATEVALUE("2026-10-02"),"Older snapshot","Dated close"),"No valid quote"))))</f>
        <v/>
      </c>
      <c r="P504" s="14">
        <f>IF($T504=0,"",IF(INDEX('Market Data'!$J$5:$J$528,$T504)=0,"n/a",IF($Q504="Bloomberg",IF(AND(ISNUMBER(INDEX('Market Data'!$AK$5:$AK$66,INDEX('Market Data'!$J$5:$J$528,$T504)-4)),N(INDEX('Market Data'!$AK$5:$AK$66,INDEX('Market Data'!$J$5:$J$528,$T504)-4))&gt;0),INDEX('Market Data'!$AK$5:$AK$66,INDEX('Market Data'!$J$5:$J$528,$T504)-4),"date unavailable"),IF($Q504="Snapshot",IF(AND(ISNUMBER(INDEX('Market Data'!$AF$5:$AF$66,INDEX('Market Data'!$J$5:$J$528,$T504)-4)),N(INDEX('Market Data'!$AF$5:$AF$66,INDEX('Market Data'!$J$5:$J$528,$T504)-4))&gt;0),INDEX('Market Data'!$AF$5:$AF$66,INDEX('Market Data'!$J$5:$J$528,$T504)-4),"date unavailable"),"date unavailable"))))</f>
        <v/>
      </c>
      <c r="Q504" s="15">
        <f>IF($T504=0,"",IF(INDEX('Market Data'!$J$5:$J$528,$T504)=0,"n/a",IF(AND($M$5&lt;&gt;"Snapshot",ISNUMBER(INDEX('Market Data'!$AH$5:$AH$66,INDEX('Market Data'!$J$5:$J$528,$T504)-4)),N(INDEX('Market Data'!$AH$5:$AH$66,INDEX('Market Data'!$J$5:$J$528,$T504)-4))&gt;0),"Bloomberg",IF(AND($M$5&lt;&gt;"Bloomberg",ISNUMBER(INDEX('Market Data'!$AC$5:$AC$66,INDEX('Market Data'!$J$5:$J$528,$T504)-4)),N(INDEX('Market Data'!$AC$5:$AC$66,INDEX('Market Data'!$J$5:$J$528,$T504)-4))&gt;0),"Snapshot","Unavailable"))))</f>
        <v/>
      </c>
      <c r="T504">
        <f>IFERROR(MATCH(496,'Market Data'!$S$5:$S$528,0),0)</f>
        <v/>
      </c>
    </row>
    <row r="505" ht="34" customHeight="1">
      <c r="A505" s="8">
        <f>IF($T505=0,"",IF(INDEX('Market Data'!$A$5:$A$528,$T505)="","",INDEX('Market Data'!$A$5:$A$528,$T505)))</f>
        <v/>
      </c>
      <c r="B505" s="9">
        <f>IF($T505=0,"",IF(INDEX('Market Data'!$B$5:$B$528,$T505)="","",INDEX('Market Data'!$B$5:$B$528,$T505)))</f>
        <v/>
      </c>
      <c r="C505" s="9">
        <f>IF($T505=0,"",IF(INDEX('Market Data'!$C$5:$C$528,$T505)="","",INDEX('Market Data'!$C$5:$C$528,$T505)))</f>
        <v/>
      </c>
      <c r="D505" s="9">
        <f>IF($T505=0,"",IF(INDEX('Market Data'!$D$5:$D$528,$T505)="","",INDEX('Market Data'!$D$5:$D$528,$T505)))</f>
        <v/>
      </c>
      <c r="E505" s="10">
        <f>IF($T505=0,"",INDEX('Market Data'!$O$5:$O$528,$T505))</f>
        <v/>
      </c>
      <c r="F505" s="11">
        <f>IF($T505=0,"",IF(AND($I505="Bloomberg",ISNUMBER(INDEX('Market Data'!$L$5:$L$528,$T505))),INDEX('Market Data'!$L$5:$L$528,$T505),"unavailable"))</f>
        <v/>
      </c>
      <c r="G505" s="12">
        <f>IF($T505=0,"",IF($I505="Bloomberg",IF(AND(ISNUMBER(INDEX('Market Data'!$M$5:$M$528,$T505)),N(INDEX('Market Data'!$M$5:$M$528,$T505))&gt;0),INDEX('Market Data'!$M$5:$M$528,$T505),"date unavailable"),IF($I505="Snapshot",IF(AND(ISNUMBER(INDEX('Market Data'!$H$5:$H$528,$T505)),N(INDEX('Market Data'!$H$5:$H$528,$T505))&gt;0),INDEX('Market Data'!$H$5:$H$528,$T505),"date unavailable"),"date unavailable")))</f>
        <v/>
      </c>
      <c r="H505" s="9">
        <f>IF($T505=0,"",IF($I505="Bloomberg",IF(INDEX('Market Data'!$N$5:$N$528,$T505)="","time unavailable",INDEX('Market Data'!$N$5:$N$528,$T505)),""))</f>
        <v/>
      </c>
      <c r="I505" s="9">
        <f>IF($T505=0,"",INDEX('Market Data'!$P$5:$P$528,$T505))</f>
        <v/>
      </c>
      <c r="J505" s="13">
        <f>IF($T505=0,"",IF(INDEX('Market Data'!$E$5:$E$528,$T505)="","",INDEX('Market Data'!$E$5:$E$528,$T505)))</f>
        <v/>
      </c>
      <c r="K505" s="8">
        <f>IF($T505=0,"",IF(INDEX('Market Data'!$I$5:$I$528,$T505)="","",INDEX('Market Data'!$I$5:$I$528,$T505)))</f>
        <v/>
      </c>
      <c r="L505" s="10">
        <f>IF($T505=0,"",IF(INDEX('Market Data'!$J$5:$J$528,$T505)=0,"n/a",IF(AND($M$5&lt;&gt;"Snapshot",ISNUMBER(INDEX('Market Data'!$AH$5:$AH$66,INDEX('Market Data'!$J$5:$J$528,$T505)-4)),N(INDEX('Market Data'!$AH$5:$AH$66,INDEX('Market Data'!$J$5:$J$528,$T505)-4))&gt;0),INDEX('Market Data'!$AH$5:$AH$66,INDEX('Market Data'!$J$5:$J$528,$T505)-4),IF(AND($M$5&lt;&gt;"Bloomberg",ISNUMBER(INDEX('Market Data'!$AC$5:$AC$66,INDEX('Market Data'!$J$5:$J$528,$T505)-4)),N(INDEX('Market Data'!$AC$5:$AC$66,INDEX('Market Data'!$J$5:$J$528,$T505)-4))&gt;0),INDEX('Market Data'!$AC$5:$AC$66,INDEX('Market Data'!$J$5:$J$528,$T505)-4),"unavailable"))))</f>
        <v/>
      </c>
      <c r="M505" s="11">
        <f>IF($T505=0,"",IF(INDEX('Market Data'!$J$5:$J$528,$T505)=0,"n/a",IF(IF(INDEX('Market Data'!$J$5:$J$528,$T505)=0,0,IF(LEFT(INDEX('Market Data'!$AS$5:$AS$66,INDEX('Market Data'!$J$5:$J$528,$T505)-4),11)="First-month",1,0))=1,"class review",IF($I505="Bloomberg",IF(AND(ISNUMBER(INDEX('Market Data'!$AH$5:$AH$66,INDEX('Market Data'!$J$5:$J$528,$T505)-4)),N(INDEX('Market Data'!$AH$5:$AH$66,INDEX('Market Data'!$J$5:$J$528,$T505)-4))&gt;0,ISNUMBER('Market Data'!$B$1),N('Market Data'!$B$1)&gt;0),INDEX('Market Data'!$AH$5:$AH$66,INDEX('Market Data'!$J$5:$J$528,$T505)-4)*'Market Data'!$B$1/$E505-1,"pending A/FX"),IF(AND($I505="Snapshot",$Q505="Snapshot",ISNUMBER($E505),$G505=INDEX('Market Data'!$AE$5:$AE$66,INDEX('Market Data'!$J$5:$J$528,$T505)-4)),IFERROR(INDEX('Market Data'!$AC$5:$AC$66,INDEX('Market Data'!$J$5:$J$528,$T505)-4)*INDEX('Market Data'!$AD$5:$AD$66,INDEX('Market Data'!$J$5:$J$528,$T505)-4)/$E505-1,"unavailable"),IF($I505="Unavailable","unavailable","date mismatch"))))))</f>
        <v/>
      </c>
      <c r="N505" s="11">
        <f>IF($T505=0,"",IFERROR(IF(AND(N(INDEX('Market Data'!$F$5:$F$528,$T505))&gt;0,ISNUMBER(INDEX('Market Data'!$T$5:$T$528,$T505))),$E505*INDEX('Market Data'!$T$5:$T$528,$T505)/INDEX('Market Data'!$F$5:$F$528,$T505)-1,"unavailable"),"unavailable"))</f>
        <v/>
      </c>
      <c r="O505" s="9">
        <f>IF($T505=0,"",IF(IF(INDEX('Market Data'!$J$5:$J$528,$T505)=0,0,IF(LEFT(INDEX('Market Data'!$AS$5:$AS$66,INDEX('Market Data'!$J$5:$J$528,$T505)-4),11)="First-month",1,0))=1,"Class ratio review",IF($I505="Bloomberg",IF(ISNUMBER($G505),IF($G505&lt;TODAY(),"Older quote","See quote time"),"Date unavailable"),IF($I505="Snapshot",IF($G505&lt;DATEVALUE("2026-10-02"),"Older snapshot","Dated close"),"No valid quote"))))</f>
        <v/>
      </c>
      <c r="P505" s="14">
        <f>IF($T505=0,"",IF(INDEX('Market Data'!$J$5:$J$528,$T505)=0,"n/a",IF($Q505="Bloomberg",IF(AND(ISNUMBER(INDEX('Market Data'!$AK$5:$AK$66,INDEX('Market Data'!$J$5:$J$528,$T505)-4)),N(INDEX('Market Data'!$AK$5:$AK$66,INDEX('Market Data'!$J$5:$J$528,$T505)-4))&gt;0),INDEX('Market Data'!$AK$5:$AK$66,INDEX('Market Data'!$J$5:$J$528,$T505)-4),"date unavailable"),IF($Q505="Snapshot",IF(AND(ISNUMBER(INDEX('Market Data'!$AF$5:$AF$66,INDEX('Market Data'!$J$5:$J$528,$T505)-4)),N(INDEX('Market Data'!$AF$5:$AF$66,INDEX('Market Data'!$J$5:$J$528,$T505)-4))&gt;0),INDEX('Market Data'!$AF$5:$AF$66,INDEX('Market Data'!$J$5:$J$528,$T505)-4),"date unavailable"),"date unavailable"))))</f>
        <v/>
      </c>
      <c r="Q505" s="15">
        <f>IF($T505=0,"",IF(INDEX('Market Data'!$J$5:$J$528,$T505)=0,"n/a",IF(AND($M$5&lt;&gt;"Snapshot",ISNUMBER(INDEX('Market Data'!$AH$5:$AH$66,INDEX('Market Data'!$J$5:$J$528,$T505)-4)),N(INDEX('Market Data'!$AH$5:$AH$66,INDEX('Market Data'!$J$5:$J$528,$T505)-4))&gt;0),"Bloomberg",IF(AND($M$5&lt;&gt;"Bloomberg",ISNUMBER(INDEX('Market Data'!$AC$5:$AC$66,INDEX('Market Data'!$J$5:$J$528,$T505)-4)),N(INDEX('Market Data'!$AC$5:$AC$66,INDEX('Market Data'!$J$5:$J$528,$T505)-4))&gt;0),"Snapshot","Unavailable"))))</f>
        <v/>
      </c>
      <c r="T505">
        <f>IFERROR(MATCH(497,'Market Data'!$S$5:$S$528,0),0)</f>
        <v/>
      </c>
    </row>
    <row r="506" ht="34" customHeight="1">
      <c r="A506" s="8">
        <f>IF($T506=0,"",IF(INDEX('Market Data'!$A$5:$A$528,$T506)="","",INDEX('Market Data'!$A$5:$A$528,$T506)))</f>
        <v/>
      </c>
      <c r="B506" s="9">
        <f>IF($T506=0,"",IF(INDEX('Market Data'!$B$5:$B$528,$T506)="","",INDEX('Market Data'!$B$5:$B$528,$T506)))</f>
        <v/>
      </c>
      <c r="C506" s="9">
        <f>IF($T506=0,"",IF(INDEX('Market Data'!$C$5:$C$528,$T506)="","",INDEX('Market Data'!$C$5:$C$528,$T506)))</f>
        <v/>
      </c>
      <c r="D506" s="9">
        <f>IF($T506=0,"",IF(INDEX('Market Data'!$D$5:$D$528,$T506)="","",INDEX('Market Data'!$D$5:$D$528,$T506)))</f>
        <v/>
      </c>
      <c r="E506" s="10">
        <f>IF($T506=0,"",INDEX('Market Data'!$O$5:$O$528,$T506))</f>
        <v/>
      </c>
      <c r="F506" s="11">
        <f>IF($T506=0,"",IF(AND($I506="Bloomberg",ISNUMBER(INDEX('Market Data'!$L$5:$L$528,$T506))),INDEX('Market Data'!$L$5:$L$528,$T506),"unavailable"))</f>
        <v/>
      </c>
      <c r="G506" s="12">
        <f>IF($T506=0,"",IF($I506="Bloomberg",IF(AND(ISNUMBER(INDEX('Market Data'!$M$5:$M$528,$T506)),N(INDEX('Market Data'!$M$5:$M$528,$T506))&gt;0),INDEX('Market Data'!$M$5:$M$528,$T506),"date unavailable"),IF($I506="Snapshot",IF(AND(ISNUMBER(INDEX('Market Data'!$H$5:$H$528,$T506)),N(INDEX('Market Data'!$H$5:$H$528,$T506))&gt;0),INDEX('Market Data'!$H$5:$H$528,$T506),"date unavailable"),"date unavailable")))</f>
        <v/>
      </c>
      <c r="H506" s="9">
        <f>IF($T506=0,"",IF($I506="Bloomberg",IF(INDEX('Market Data'!$N$5:$N$528,$T506)="","time unavailable",INDEX('Market Data'!$N$5:$N$528,$T506)),""))</f>
        <v/>
      </c>
      <c r="I506" s="9">
        <f>IF($T506=0,"",INDEX('Market Data'!$P$5:$P$528,$T506))</f>
        <v/>
      </c>
      <c r="J506" s="13">
        <f>IF($T506=0,"",IF(INDEX('Market Data'!$E$5:$E$528,$T506)="","",INDEX('Market Data'!$E$5:$E$528,$T506)))</f>
        <v/>
      </c>
      <c r="K506" s="8">
        <f>IF($T506=0,"",IF(INDEX('Market Data'!$I$5:$I$528,$T506)="","",INDEX('Market Data'!$I$5:$I$528,$T506)))</f>
        <v/>
      </c>
      <c r="L506" s="10">
        <f>IF($T506=0,"",IF(INDEX('Market Data'!$J$5:$J$528,$T506)=0,"n/a",IF(AND($M$5&lt;&gt;"Snapshot",ISNUMBER(INDEX('Market Data'!$AH$5:$AH$66,INDEX('Market Data'!$J$5:$J$528,$T506)-4)),N(INDEX('Market Data'!$AH$5:$AH$66,INDEX('Market Data'!$J$5:$J$528,$T506)-4))&gt;0),INDEX('Market Data'!$AH$5:$AH$66,INDEX('Market Data'!$J$5:$J$528,$T506)-4),IF(AND($M$5&lt;&gt;"Bloomberg",ISNUMBER(INDEX('Market Data'!$AC$5:$AC$66,INDEX('Market Data'!$J$5:$J$528,$T506)-4)),N(INDEX('Market Data'!$AC$5:$AC$66,INDEX('Market Data'!$J$5:$J$528,$T506)-4))&gt;0),INDEX('Market Data'!$AC$5:$AC$66,INDEX('Market Data'!$J$5:$J$528,$T506)-4),"unavailable"))))</f>
        <v/>
      </c>
      <c r="M506" s="11">
        <f>IF($T506=0,"",IF(INDEX('Market Data'!$J$5:$J$528,$T506)=0,"n/a",IF(IF(INDEX('Market Data'!$J$5:$J$528,$T506)=0,0,IF(LEFT(INDEX('Market Data'!$AS$5:$AS$66,INDEX('Market Data'!$J$5:$J$528,$T506)-4),11)="First-month",1,0))=1,"class review",IF($I506="Bloomberg",IF(AND(ISNUMBER(INDEX('Market Data'!$AH$5:$AH$66,INDEX('Market Data'!$J$5:$J$528,$T506)-4)),N(INDEX('Market Data'!$AH$5:$AH$66,INDEX('Market Data'!$J$5:$J$528,$T506)-4))&gt;0,ISNUMBER('Market Data'!$B$1),N('Market Data'!$B$1)&gt;0),INDEX('Market Data'!$AH$5:$AH$66,INDEX('Market Data'!$J$5:$J$528,$T506)-4)*'Market Data'!$B$1/$E506-1,"pending A/FX"),IF(AND($I506="Snapshot",$Q506="Snapshot",ISNUMBER($E506),$G506=INDEX('Market Data'!$AE$5:$AE$66,INDEX('Market Data'!$J$5:$J$528,$T506)-4)),IFERROR(INDEX('Market Data'!$AC$5:$AC$66,INDEX('Market Data'!$J$5:$J$528,$T506)-4)*INDEX('Market Data'!$AD$5:$AD$66,INDEX('Market Data'!$J$5:$J$528,$T506)-4)/$E506-1,"unavailable"),IF($I506="Unavailable","unavailable","date mismatch"))))))</f>
        <v/>
      </c>
      <c r="N506" s="11">
        <f>IF($T506=0,"",IFERROR(IF(AND(N(INDEX('Market Data'!$F$5:$F$528,$T506))&gt;0,ISNUMBER(INDEX('Market Data'!$T$5:$T$528,$T506))),$E506*INDEX('Market Data'!$T$5:$T$528,$T506)/INDEX('Market Data'!$F$5:$F$528,$T506)-1,"unavailable"),"unavailable"))</f>
        <v/>
      </c>
      <c r="O506" s="9">
        <f>IF($T506=0,"",IF(IF(INDEX('Market Data'!$J$5:$J$528,$T506)=0,0,IF(LEFT(INDEX('Market Data'!$AS$5:$AS$66,INDEX('Market Data'!$J$5:$J$528,$T506)-4),11)="First-month",1,0))=1,"Class ratio review",IF($I506="Bloomberg",IF(ISNUMBER($G506),IF($G506&lt;TODAY(),"Older quote","See quote time"),"Date unavailable"),IF($I506="Snapshot",IF($G506&lt;DATEVALUE("2026-10-02"),"Older snapshot","Dated close"),"No valid quote"))))</f>
        <v/>
      </c>
      <c r="P506" s="14">
        <f>IF($T506=0,"",IF(INDEX('Market Data'!$J$5:$J$528,$T506)=0,"n/a",IF($Q506="Bloomberg",IF(AND(ISNUMBER(INDEX('Market Data'!$AK$5:$AK$66,INDEX('Market Data'!$J$5:$J$528,$T506)-4)),N(INDEX('Market Data'!$AK$5:$AK$66,INDEX('Market Data'!$J$5:$J$528,$T506)-4))&gt;0),INDEX('Market Data'!$AK$5:$AK$66,INDEX('Market Data'!$J$5:$J$528,$T506)-4),"date unavailable"),IF($Q506="Snapshot",IF(AND(ISNUMBER(INDEX('Market Data'!$AF$5:$AF$66,INDEX('Market Data'!$J$5:$J$528,$T506)-4)),N(INDEX('Market Data'!$AF$5:$AF$66,INDEX('Market Data'!$J$5:$J$528,$T506)-4))&gt;0),INDEX('Market Data'!$AF$5:$AF$66,INDEX('Market Data'!$J$5:$J$528,$T506)-4),"date unavailable"),"date unavailable"))))</f>
        <v/>
      </c>
      <c r="Q506" s="15">
        <f>IF($T506=0,"",IF(INDEX('Market Data'!$J$5:$J$528,$T506)=0,"n/a",IF(AND($M$5&lt;&gt;"Snapshot",ISNUMBER(INDEX('Market Data'!$AH$5:$AH$66,INDEX('Market Data'!$J$5:$J$528,$T506)-4)),N(INDEX('Market Data'!$AH$5:$AH$66,INDEX('Market Data'!$J$5:$J$528,$T506)-4))&gt;0),"Bloomberg",IF(AND($M$5&lt;&gt;"Bloomberg",ISNUMBER(INDEX('Market Data'!$AC$5:$AC$66,INDEX('Market Data'!$J$5:$J$528,$T506)-4)),N(INDEX('Market Data'!$AC$5:$AC$66,INDEX('Market Data'!$J$5:$J$528,$T506)-4))&gt;0),"Snapshot","Unavailable"))))</f>
        <v/>
      </c>
      <c r="T506">
        <f>IFERROR(MATCH(498,'Market Data'!$S$5:$S$528,0),0)</f>
        <v/>
      </c>
    </row>
    <row r="507" ht="34" customHeight="1">
      <c r="A507" s="8">
        <f>IF($T507=0,"",IF(INDEX('Market Data'!$A$5:$A$528,$T507)="","",INDEX('Market Data'!$A$5:$A$528,$T507)))</f>
        <v/>
      </c>
      <c r="B507" s="9">
        <f>IF($T507=0,"",IF(INDEX('Market Data'!$B$5:$B$528,$T507)="","",INDEX('Market Data'!$B$5:$B$528,$T507)))</f>
        <v/>
      </c>
      <c r="C507" s="9">
        <f>IF($T507=0,"",IF(INDEX('Market Data'!$C$5:$C$528,$T507)="","",INDEX('Market Data'!$C$5:$C$528,$T507)))</f>
        <v/>
      </c>
      <c r="D507" s="9">
        <f>IF($T507=0,"",IF(INDEX('Market Data'!$D$5:$D$528,$T507)="","",INDEX('Market Data'!$D$5:$D$528,$T507)))</f>
        <v/>
      </c>
      <c r="E507" s="10">
        <f>IF($T507=0,"",INDEX('Market Data'!$O$5:$O$528,$T507))</f>
        <v/>
      </c>
      <c r="F507" s="11">
        <f>IF($T507=0,"",IF(AND($I507="Bloomberg",ISNUMBER(INDEX('Market Data'!$L$5:$L$528,$T507))),INDEX('Market Data'!$L$5:$L$528,$T507),"unavailable"))</f>
        <v/>
      </c>
      <c r="G507" s="12">
        <f>IF($T507=0,"",IF($I507="Bloomberg",IF(AND(ISNUMBER(INDEX('Market Data'!$M$5:$M$528,$T507)),N(INDEX('Market Data'!$M$5:$M$528,$T507))&gt;0),INDEX('Market Data'!$M$5:$M$528,$T507),"date unavailable"),IF($I507="Snapshot",IF(AND(ISNUMBER(INDEX('Market Data'!$H$5:$H$528,$T507)),N(INDEX('Market Data'!$H$5:$H$528,$T507))&gt;0),INDEX('Market Data'!$H$5:$H$528,$T507),"date unavailable"),"date unavailable")))</f>
        <v/>
      </c>
      <c r="H507" s="9">
        <f>IF($T507=0,"",IF($I507="Bloomberg",IF(INDEX('Market Data'!$N$5:$N$528,$T507)="","time unavailable",INDEX('Market Data'!$N$5:$N$528,$T507)),""))</f>
        <v/>
      </c>
      <c r="I507" s="9">
        <f>IF($T507=0,"",INDEX('Market Data'!$P$5:$P$528,$T507))</f>
        <v/>
      </c>
      <c r="J507" s="13">
        <f>IF($T507=0,"",IF(INDEX('Market Data'!$E$5:$E$528,$T507)="","",INDEX('Market Data'!$E$5:$E$528,$T507)))</f>
        <v/>
      </c>
      <c r="K507" s="8">
        <f>IF($T507=0,"",IF(INDEX('Market Data'!$I$5:$I$528,$T507)="","",INDEX('Market Data'!$I$5:$I$528,$T507)))</f>
        <v/>
      </c>
      <c r="L507" s="10">
        <f>IF($T507=0,"",IF(INDEX('Market Data'!$J$5:$J$528,$T507)=0,"n/a",IF(AND($M$5&lt;&gt;"Snapshot",ISNUMBER(INDEX('Market Data'!$AH$5:$AH$66,INDEX('Market Data'!$J$5:$J$528,$T507)-4)),N(INDEX('Market Data'!$AH$5:$AH$66,INDEX('Market Data'!$J$5:$J$528,$T507)-4))&gt;0),INDEX('Market Data'!$AH$5:$AH$66,INDEX('Market Data'!$J$5:$J$528,$T507)-4),IF(AND($M$5&lt;&gt;"Bloomberg",ISNUMBER(INDEX('Market Data'!$AC$5:$AC$66,INDEX('Market Data'!$J$5:$J$528,$T507)-4)),N(INDEX('Market Data'!$AC$5:$AC$66,INDEX('Market Data'!$J$5:$J$528,$T507)-4))&gt;0),INDEX('Market Data'!$AC$5:$AC$66,INDEX('Market Data'!$J$5:$J$528,$T507)-4),"unavailable"))))</f>
        <v/>
      </c>
      <c r="M507" s="11">
        <f>IF($T507=0,"",IF(INDEX('Market Data'!$J$5:$J$528,$T507)=0,"n/a",IF(IF(INDEX('Market Data'!$J$5:$J$528,$T507)=0,0,IF(LEFT(INDEX('Market Data'!$AS$5:$AS$66,INDEX('Market Data'!$J$5:$J$528,$T507)-4),11)="First-month",1,0))=1,"class review",IF($I507="Bloomberg",IF(AND(ISNUMBER(INDEX('Market Data'!$AH$5:$AH$66,INDEX('Market Data'!$J$5:$J$528,$T507)-4)),N(INDEX('Market Data'!$AH$5:$AH$66,INDEX('Market Data'!$J$5:$J$528,$T507)-4))&gt;0,ISNUMBER('Market Data'!$B$1),N('Market Data'!$B$1)&gt;0),INDEX('Market Data'!$AH$5:$AH$66,INDEX('Market Data'!$J$5:$J$528,$T507)-4)*'Market Data'!$B$1/$E507-1,"pending A/FX"),IF(AND($I507="Snapshot",$Q507="Snapshot",ISNUMBER($E507),$G507=INDEX('Market Data'!$AE$5:$AE$66,INDEX('Market Data'!$J$5:$J$528,$T507)-4)),IFERROR(INDEX('Market Data'!$AC$5:$AC$66,INDEX('Market Data'!$J$5:$J$528,$T507)-4)*INDEX('Market Data'!$AD$5:$AD$66,INDEX('Market Data'!$J$5:$J$528,$T507)-4)/$E507-1,"unavailable"),IF($I507="Unavailable","unavailable","date mismatch"))))))</f>
        <v/>
      </c>
      <c r="N507" s="11">
        <f>IF($T507=0,"",IFERROR(IF(AND(N(INDEX('Market Data'!$F$5:$F$528,$T507))&gt;0,ISNUMBER(INDEX('Market Data'!$T$5:$T$528,$T507))),$E507*INDEX('Market Data'!$T$5:$T$528,$T507)/INDEX('Market Data'!$F$5:$F$528,$T507)-1,"unavailable"),"unavailable"))</f>
        <v/>
      </c>
      <c r="O507" s="9">
        <f>IF($T507=0,"",IF(IF(INDEX('Market Data'!$J$5:$J$528,$T507)=0,0,IF(LEFT(INDEX('Market Data'!$AS$5:$AS$66,INDEX('Market Data'!$J$5:$J$528,$T507)-4),11)="First-month",1,0))=1,"Class ratio review",IF($I507="Bloomberg",IF(ISNUMBER($G507),IF($G507&lt;TODAY(),"Older quote","See quote time"),"Date unavailable"),IF($I507="Snapshot",IF($G507&lt;DATEVALUE("2026-10-02"),"Older snapshot","Dated close"),"No valid quote"))))</f>
        <v/>
      </c>
      <c r="P507" s="14">
        <f>IF($T507=0,"",IF(INDEX('Market Data'!$J$5:$J$528,$T507)=0,"n/a",IF($Q507="Bloomberg",IF(AND(ISNUMBER(INDEX('Market Data'!$AK$5:$AK$66,INDEX('Market Data'!$J$5:$J$528,$T507)-4)),N(INDEX('Market Data'!$AK$5:$AK$66,INDEX('Market Data'!$J$5:$J$528,$T507)-4))&gt;0),INDEX('Market Data'!$AK$5:$AK$66,INDEX('Market Data'!$J$5:$J$528,$T507)-4),"date unavailable"),IF($Q507="Snapshot",IF(AND(ISNUMBER(INDEX('Market Data'!$AF$5:$AF$66,INDEX('Market Data'!$J$5:$J$528,$T507)-4)),N(INDEX('Market Data'!$AF$5:$AF$66,INDEX('Market Data'!$J$5:$J$528,$T507)-4))&gt;0),INDEX('Market Data'!$AF$5:$AF$66,INDEX('Market Data'!$J$5:$J$528,$T507)-4),"date unavailable"),"date unavailable"))))</f>
        <v/>
      </c>
      <c r="Q507" s="15">
        <f>IF($T507=0,"",IF(INDEX('Market Data'!$J$5:$J$528,$T507)=0,"n/a",IF(AND($M$5&lt;&gt;"Snapshot",ISNUMBER(INDEX('Market Data'!$AH$5:$AH$66,INDEX('Market Data'!$J$5:$J$528,$T507)-4)),N(INDEX('Market Data'!$AH$5:$AH$66,INDEX('Market Data'!$J$5:$J$528,$T507)-4))&gt;0),"Bloomberg",IF(AND($M$5&lt;&gt;"Bloomberg",ISNUMBER(INDEX('Market Data'!$AC$5:$AC$66,INDEX('Market Data'!$J$5:$J$528,$T507)-4)),N(INDEX('Market Data'!$AC$5:$AC$66,INDEX('Market Data'!$J$5:$J$528,$T507)-4))&gt;0),"Snapshot","Unavailable"))))</f>
        <v/>
      </c>
      <c r="T507">
        <f>IFERROR(MATCH(499,'Market Data'!$S$5:$S$528,0),0)</f>
        <v/>
      </c>
    </row>
    <row r="508" ht="34" customHeight="1">
      <c r="A508" s="8">
        <f>IF($T508=0,"",IF(INDEX('Market Data'!$A$5:$A$528,$T508)="","",INDEX('Market Data'!$A$5:$A$528,$T508)))</f>
        <v/>
      </c>
      <c r="B508" s="9">
        <f>IF($T508=0,"",IF(INDEX('Market Data'!$B$5:$B$528,$T508)="","",INDEX('Market Data'!$B$5:$B$528,$T508)))</f>
        <v/>
      </c>
      <c r="C508" s="9">
        <f>IF($T508=0,"",IF(INDEX('Market Data'!$C$5:$C$528,$T508)="","",INDEX('Market Data'!$C$5:$C$528,$T508)))</f>
        <v/>
      </c>
      <c r="D508" s="9">
        <f>IF($T508=0,"",IF(INDEX('Market Data'!$D$5:$D$528,$T508)="","",INDEX('Market Data'!$D$5:$D$528,$T508)))</f>
        <v/>
      </c>
      <c r="E508" s="10">
        <f>IF($T508=0,"",INDEX('Market Data'!$O$5:$O$528,$T508))</f>
        <v/>
      </c>
      <c r="F508" s="11">
        <f>IF($T508=0,"",IF(AND($I508="Bloomberg",ISNUMBER(INDEX('Market Data'!$L$5:$L$528,$T508))),INDEX('Market Data'!$L$5:$L$528,$T508),"unavailable"))</f>
        <v/>
      </c>
      <c r="G508" s="12">
        <f>IF($T508=0,"",IF($I508="Bloomberg",IF(AND(ISNUMBER(INDEX('Market Data'!$M$5:$M$528,$T508)),N(INDEX('Market Data'!$M$5:$M$528,$T508))&gt;0),INDEX('Market Data'!$M$5:$M$528,$T508),"date unavailable"),IF($I508="Snapshot",IF(AND(ISNUMBER(INDEX('Market Data'!$H$5:$H$528,$T508)),N(INDEX('Market Data'!$H$5:$H$528,$T508))&gt;0),INDEX('Market Data'!$H$5:$H$528,$T508),"date unavailable"),"date unavailable")))</f>
        <v/>
      </c>
      <c r="H508" s="9">
        <f>IF($T508=0,"",IF($I508="Bloomberg",IF(INDEX('Market Data'!$N$5:$N$528,$T508)="","time unavailable",INDEX('Market Data'!$N$5:$N$528,$T508)),""))</f>
        <v/>
      </c>
      <c r="I508" s="9">
        <f>IF($T508=0,"",INDEX('Market Data'!$P$5:$P$528,$T508))</f>
        <v/>
      </c>
      <c r="J508" s="13">
        <f>IF($T508=0,"",IF(INDEX('Market Data'!$E$5:$E$528,$T508)="","",INDEX('Market Data'!$E$5:$E$528,$T508)))</f>
        <v/>
      </c>
      <c r="K508" s="8">
        <f>IF($T508=0,"",IF(INDEX('Market Data'!$I$5:$I$528,$T508)="","",INDEX('Market Data'!$I$5:$I$528,$T508)))</f>
        <v/>
      </c>
      <c r="L508" s="10">
        <f>IF($T508=0,"",IF(INDEX('Market Data'!$J$5:$J$528,$T508)=0,"n/a",IF(AND($M$5&lt;&gt;"Snapshot",ISNUMBER(INDEX('Market Data'!$AH$5:$AH$66,INDEX('Market Data'!$J$5:$J$528,$T508)-4)),N(INDEX('Market Data'!$AH$5:$AH$66,INDEX('Market Data'!$J$5:$J$528,$T508)-4))&gt;0),INDEX('Market Data'!$AH$5:$AH$66,INDEX('Market Data'!$J$5:$J$528,$T508)-4),IF(AND($M$5&lt;&gt;"Bloomberg",ISNUMBER(INDEX('Market Data'!$AC$5:$AC$66,INDEX('Market Data'!$J$5:$J$528,$T508)-4)),N(INDEX('Market Data'!$AC$5:$AC$66,INDEX('Market Data'!$J$5:$J$528,$T508)-4))&gt;0),INDEX('Market Data'!$AC$5:$AC$66,INDEX('Market Data'!$J$5:$J$528,$T508)-4),"unavailable"))))</f>
        <v/>
      </c>
      <c r="M508" s="11">
        <f>IF($T508=0,"",IF(INDEX('Market Data'!$J$5:$J$528,$T508)=0,"n/a",IF(IF(INDEX('Market Data'!$J$5:$J$528,$T508)=0,0,IF(LEFT(INDEX('Market Data'!$AS$5:$AS$66,INDEX('Market Data'!$J$5:$J$528,$T508)-4),11)="First-month",1,0))=1,"class review",IF($I508="Bloomberg",IF(AND(ISNUMBER(INDEX('Market Data'!$AH$5:$AH$66,INDEX('Market Data'!$J$5:$J$528,$T508)-4)),N(INDEX('Market Data'!$AH$5:$AH$66,INDEX('Market Data'!$J$5:$J$528,$T508)-4))&gt;0,ISNUMBER('Market Data'!$B$1),N('Market Data'!$B$1)&gt;0),INDEX('Market Data'!$AH$5:$AH$66,INDEX('Market Data'!$J$5:$J$528,$T508)-4)*'Market Data'!$B$1/$E508-1,"pending A/FX"),IF(AND($I508="Snapshot",$Q508="Snapshot",ISNUMBER($E508),$G508=INDEX('Market Data'!$AE$5:$AE$66,INDEX('Market Data'!$J$5:$J$528,$T508)-4)),IFERROR(INDEX('Market Data'!$AC$5:$AC$66,INDEX('Market Data'!$J$5:$J$528,$T508)-4)*INDEX('Market Data'!$AD$5:$AD$66,INDEX('Market Data'!$J$5:$J$528,$T508)-4)/$E508-1,"unavailable"),IF($I508="Unavailable","unavailable","date mismatch"))))))</f>
        <v/>
      </c>
      <c r="N508" s="11">
        <f>IF($T508=0,"",IFERROR(IF(AND(N(INDEX('Market Data'!$F$5:$F$528,$T508))&gt;0,ISNUMBER(INDEX('Market Data'!$T$5:$T$528,$T508))),$E508*INDEX('Market Data'!$T$5:$T$528,$T508)/INDEX('Market Data'!$F$5:$F$528,$T508)-1,"unavailable"),"unavailable"))</f>
        <v/>
      </c>
      <c r="O508" s="9">
        <f>IF($T508=0,"",IF(IF(INDEX('Market Data'!$J$5:$J$528,$T508)=0,0,IF(LEFT(INDEX('Market Data'!$AS$5:$AS$66,INDEX('Market Data'!$J$5:$J$528,$T508)-4),11)="First-month",1,0))=1,"Class ratio review",IF($I508="Bloomberg",IF(ISNUMBER($G508),IF($G508&lt;TODAY(),"Older quote","See quote time"),"Date unavailable"),IF($I508="Snapshot",IF($G508&lt;DATEVALUE("2026-10-02"),"Older snapshot","Dated close"),"No valid quote"))))</f>
        <v/>
      </c>
      <c r="P508" s="14">
        <f>IF($T508=0,"",IF(INDEX('Market Data'!$J$5:$J$528,$T508)=0,"n/a",IF($Q508="Bloomberg",IF(AND(ISNUMBER(INDEX('Market Data'!$AK$5:$AK$66,INDEX('Market Data'!$J$5:$J$528,$T508)-4)),N(INDEX('Market Data'!$AK$5:$AK$66,INDEX('Market Data'!$J$5:$J$528,$T508)-4))&gt;0),INDEX('Market Data'!$AK$5:$AK$66,INDEX('Market Data'!$J$5:$J$528,$T508)-4),"date unavailable"),IF($Q508="Snapshot",IF(AND(ISNUMBER(INDEX('Market Data'!$AF$5:$AF$66,INDEX('Market Data'!$J$5:$J$528,$T508)-4)),N(INDEX('Market Data'!$AF$5:$AF$66,INDEX('Market Data'!$J$5:$J$528,$T508)-4))&gt;0),INDEX('Market Data'!$AF$5:$AF$66,INDEX('Market Data'!$J$5:$J$528,$T508)-4),"date unavailable"),"date unavailable"))))</f>
        <v/>
      </c>
      <c r="Q508" s="15">
        <f>IF($T508=0,"",IF(INDEX('Market Data'!$J$5:$J$528,$T508)=0,"n/a",IF(AND($M$5&lt;&gt;"Snapshot",ISNUMBER(INDEX('Market Data'!$AH$5:$AH$66,INDEX('Market Data'!$J$5:$J$528,$T508)-4)),N(INDEX('Market Data'!$AH$5:$AH$66,INDEX('Market Data'!$J$5:$J$528,$T508)-4))&gt;0),"Bloomberg",IF(AND($M$5&lt;&gt;"Bloomberg",ISNUMBER(INDEX('Market Data'!$AC$5:$AC$66,INDEX('Market Data'!$J$5:$J$528,$T508)-4)),N(INDEX('Market Data'!$AC$5:$AC$66,INDEX('Market Data'!$J$5:$J$528,$T508)-4))&gt;0),"Snapshot","Unavailable"))))</f>
        <v/>
      </c>
      <c r="T508">
        <f>IFERROR(MATCH(500,'Market Data'!$S$5:$S$528,0),0)</f>
        <v/>
      </c>
    </row>
    <row r="509" ht="34" customHeight="1">
      <c r="A509" s="8">
        <f>IF($T509=0,"",IF(INDEX('Market Data'!$A$5:$A$528,$T509)="","",INDEX('Market Data'!$A$5:$A$528,$T509)))</f>
        <v/>
      </c>
      <c r="B509" s="9">
        <f>IF($T509=0,"",IF(INDEX('Market Data'!$B$5:$B$528,$T509)="","",INDEX('Market Data'!$B$5:$B$528,$T509)))</f>
        <v/>
      </c>
      <c r="C509" s="9">
        <f>IF($T509=0,"",IF(INDEX('Market Data'!$C$5:$C$528,$T509)="","",INDEX('Market Data'!$C$5:$C$528,$T509)))</f>
        <v/>
      </c>
      <c r="D509" s="9">
        <f>IF($T509=0,"",IF(INDEX('Market Data'!$D$5:$D$528,$T509)="","",INDEX('Market Data'!$D$5:$D$528,$T509)))</f>
        <v/>
      </c>
      <c r="E509" s="10">
        <f>IF($T509=0,"",INDEX('Market Data'!$O$5:$O$528,$T509))</f>
        <v/>
      </c>
      <c r="F509" s="11">
        <f>IF($T509=0,"",IF(AND($I509="Bloomberg",ISNUMBER(INDEX('Market Data'!$L$5:$L$528,$T509))),INDEX('Market Data'!$L$5:$L$528,$T509),"unavailable"))</f>
        <v/>
      </c>
      <c r="G509" s="12">
        <f>IF($T509=0,"",IF($I509="Bloomberg",IF(AND(ISNUMBER(INDEX('Market Data'!$M$5:$M$528,$T509)),N(INDEX('Market Data'!$M$5:$M$528,$T509))&gt;0),INDEX('Market Data'!$M$5:$M$528,$T509),"date unavailable"),IF($I509="Snapshot",IF(AND(ISNUMBER(INDEX('Market Data'!$H$5:$H$528,$T509)),N(INDEX('Market Data'!$H$5:$H$528,$T509))&gt;0),INDEX('Market Data'!$H$5:$H$528,$T509),"date unavailable"),"date unavailable")))</f>
        <v/>
      </c>
      <c r="H509" s="9">
        <f>IF($T509=0,"",IF($I509="Bloomberg",IF(INDEX('Market Data'!$N$5:$N$528,$T509)="","time unavailable",INDEX('Market Data'!$N$5:$N$528,$T509)),""))</f>
        <v/>
      </c>
      <c r="I509" s="9">
        <f>IF($T509=0,"",INDEX('Market Data'!$P$5:$P$528,$T509))</f>
        <v/>
      </c>
      <c r="J509" s="13">
        <f>IF($T509=0,"",IF(INDEX('Market Data'!$E$5:$E$528,$T509)="","",INDEX('Market Data'!$E$5:$E$528,$T509)))</f>
        <v/>
      </c>
      <c r="K509" s="8">
        <f>IF($T509=0,"",IF(INDEX('Market Data'!$I$5:$I$528,$T509)="","",INDEX('Market Data'!$I$5:$I$528,$T509)))</f>
        <v/>
      </c>
      <c r="L509" s="10">
        <f>IF($T509=0,"",IF(INDEX('Market Data'!$J$5:$J$528,$T509)=0,"n/a",IF(AND($M$5&lt;&gt;"Snapshot",ISNUMBER(INDEX('Market Data'!$AH$5:$AH$66,INDEX('Market Data'!$J$5:$J$528,$T509)-4)),N(INDEX('Market Data'!$AH$5:$AH$66,INDEX('Market Data'!$J$5:$J$528,$T509)-4))&gt;0),INDEX('Market Data'!$AH$5:$AH$66,INDEX('Market Data'!$J$5:$J$528,$T509)-4),IF(AND($M$5&lt;&gt;"Bloomberg",ISNUMBER(INDEX('Market Data'!$AC$5:$AC$66,INDEX('Market Data'!$J$5:$J$528,$T509)-4)),N(INDEX('Market Data'!$AC$5:$AC$66,INDEX('Market Data'!$J$5:$J$528,$T509)-4))&gt;0),INDEX('Market Data'!$AC$5:$AC$66,INDEX('Market Data'!$J$5:$J$528,$T509)-4),"unavailable"))))</f>
        <v/>
      </c>
      <c r="M509" s="11">
        <f>IF($T509=0,"",IF(INDEX('Market Data'!$J$5:$J$528,$T509)=0,"n/a",IF(IF(INDEX('Market Data'!$J$5:$J$528,$T509)=0,0,IF(LEFT(INDEX('Market Data'!$AS$5:$AS$66,INDEX('Market Data'!$J$5:$J$528,$T509)-4),11)="First-month",1,0))=1,"class review",IF($I509="Bloomberg",IF(AND(ISNUMBER(INDEX('Market Data'!$AH$5:$AH$66,INDEX('Market Data'!$J$5:$J$528,$T509)-4)),N(INDEX('Market Data'!$AH$5:$AH$66,INDEX('Market Data'!$J$5:$J$528,$T509)-4))&gt;0,ISNUMBER('Market Data'!$B$1),N('Market Data'!$B$1)&gt;0),INDEX('Market Data'!$AH$5:$AH$66,INDEX('Market Data'!$J$5:$J$528,$T509)-4)*'Market Data'!$B$1/$E509-1,"pending A/FX"),IF(AND($I509="Snapshot",$Q509="Snapshot",ISNUMBER($E509),$G509=INDEX('Market Data'!$AE$5:$AE$66,INDEX('Market Data'!$J$5:$J$528,$T509)-4)),IFERROR(INDEX('Market Data'!$AC$5:$AC$66,INDEX('Market Data'!$J$5:$J$528,$T509)-4)*INDEX('Market Data'!$AD$5:$AD$66,INDEX('Market Data'!$J$5:$J$528,$T509)-4)/$E509-1,"unavailable"),IF($I509="Unavailable","unavailable","date mismatch"))))))</f>
        <v/>
      </c>
      <c r="N509" s="11">
        <f>IF($T509=0,"",IFERROR(IF(AND(N(INDEX('Market Data'!$F$5:$F$528,$T509))&gt;0,ISNUMBER(INDEX('Market Data'!$T$5:$T$528,$T509))),$E509*INDEX('Market Data'!$T$5:$T$528,$T509)/INDEX('Market Data'!$F$5:$F$528,$T509)-1,"unavailable"),"unavailable"))</f>
        <v/>
      </c>
      <c r="O509" s="9">
        <f>IF($T509=0,"",IF(IF(INDEX('Market Data'!$J$5:$J$528,$T509)=0,0,IF(LEFT(INDEX('Market Data'!$AS$5:$AS$66,INDEX('Market Data'!$J$5:$J$528,$T509)-4),11)="First-month",1,0))=1,"Class ratio review",IF($I509="Bloomberg",IF(ISNUMBER($G509),IF($G509&lt;TODAY(),"Older quote","See quote time"),"Date unavailable"),IF($I509="Snapshot",IF($G509&lt;DATEVALUE("2026-10-02"),"Older snapshot","Dated close"),"No valid quote"))))</f>
        <v/>
      </c>
      <c r="P509" s="14">
        <f>IF($T509=0,"",IF(INDEX('Market Data'!$J$5:$J$528,$T509)=0,"n/a",IF($Q509="Bloomberg",IF(AND(ISNUMBER(INDEX('Market Data'!$AK$5:$AK$66,INDEX('Market Data'!$J$5:$J$528,$T509)-4)),N(INDEX('Market Data'!$AK$5:$AK$66,INDEX('Market Data'!$J$5:$J$528,$T509)-4))&gt;0),INDEX('Market Data'!$AK$5:$AK$66,INDEX('Market Data'!$J$5:$J$528,$T509)-4),"date unavailable"),IF($Q509="Snapshot",IF(AND(ISNUMBER(INDEX('Market Data'!$AF$5:$AF$66,INDEX('Market Data'!$J$5:$J$528,$T509)-4)),N(INDEX('Market Data'!$AF$5:$AF$66,INDEX('Market Data'!$J$5:$J$528,$T509)-4))&gt;0),INDEX('Market Data'!$AF$5:$AF$66,INDEX('Market Data'!$J$5:$J$528,$T509)-4),"date unavailable"),"date unavailable"))))</f>
        <v/>
      </c>
      <c r="Q509" s="15">
        <f>IF($T509=0,"",IF(INDEX('Market Data'!$J$5:$J$528,$T509)=0,"n/a",IF(AND($M$5&lt;&gt;"Snapshot",ISNUMBER(INDEX('Market Data'!$AH$5:$AH$66,INDEX('Market Data'!$J$5:$J$528,$T509)-4)),N(INDEX('Market Data'!$AH$5:$AH$66,INDEX('Market Data'!$J$5:$J$528,$T509)-4))&gt;0),"Bloomberg",IF(AND($M$5&lt;&gt;"Bloomberg",ISNUMBER(INDEX('Market Data'!$AC$5:$AC$66,INDEX('Market Data'!$J$5:$J$528,$T509)-4)),N(INDEX('Market Data'!$AC$5:$AC$66,INDEX('Market Data'!$J$5:$J$528,$T509)-4))&gt;0),"Snapshot","Unavailable"))))</f>
        <v/>
      </c>
      <c r="T509">
        <f>IFERROR(MATCH(501,'Market Data'!$S$5:$S$528,0),0)</f>
        <v/>
      </c>
    </row>
    <row r="510" ht="34" customHeight="1">
      <c r="A510" s="8">
        <f>IF($T510=0,"",IF(INDEX('Market Data'!$A$5:$A$528,$T510)="","",INDEX('Market Data'!$A$5:$A$528,$T510)))</f>
        <v/>
      </c>
      <c r="B510" s="9">
        <f>IF($T510=0,"",IF(INDEX('Market Data'!$B$5:$B$528,$T510)="","",INDEX('Market Data'!$B$5:$B$528,$T510)))</f>
        <v/>
      </c>
      <c r="C510" s="9">
        <f>IF($T510=0,"",IF(INDEX('Market Data'!$C$5:$C$528,$T510)="","",INDEX('Market Data'!$C$5:$C$528,$T510)))</f>
        <v/>
      </c>
      <c r="D510" s="9">
        <f>IF($T510=0,"",IF(INDEX('Market Data'!$D$5:$D$528,$T510)="","",INDEX('Market Data'!$D$5:$D$528,$T510)))</f>
        <v/>
      </c>
      <c r="E510" s="10">
        <f>IF($T510=0,"",INDEX('Market Data'!$O$5:$O$528,$T510))</f>
        <v/>
      </c>
      <c r="F510" s="11">
        <f>IF($T510=0,"",IF(AND($I510="Bloomberg",ISNUMBER(INDEX('Market Data'!$L$5:$L$528,$T510))),INDEX('Market Data'!$L$5:$L$528,$T510),"unavailable"))</f>
        <v/>
      </c>
      <c r="G510" s="12">
        <f>IF($T510=0,"",IF($I510="Bloomberg",IF(AND(ISNUMBER(INDEX('Market Data'!$M$5:$M$528,$T510)),N(INDEX('Market Data'!$M$5:$M$528,$T510))&gt;0),INDEX('Market Data'!$M$5:$M$528,$T510),"date unavailable"),IF($I510="Snapshot",IF(AND(ISNUMBER(INDEX('Market Data'!$H$5:$H$528,$T510)),N(INDEX('Market Data'!$H$5:$H$528,$T510))&gt;0),INDEX('Market Data'!$H$5:$H$528,$T510),"date unavailable"),"date unavailable")))</f>
        <v/>
      </c>
      <c r="H510" s="9">
        <f>IF($T510=0,"",IF($I510="Bloomberg",IF(INDEX('Market Data'!$N$5:$N$528,$T510)="","time unavailable",INDEX('Market Data'!$N$5:$N$528,$T510)),""))</f>
        <v/>
      </c>
      <c r="I510" s="9">
        <f>IF($T510=0,"",INDEX('Market Data'!$P$5:$P$528,$T510))</f>
        <v/>
      </c>
      <c r="J510" s="13">
        <f>IF($T510=0,"",IF(INDEX('Market Data'!$E$5:$E$528,$T510)="","",INDEX('Market Data'!$E$5:$E$528,$T510)))</f>
        <v/>
      </c>
      <c r="K510" s="8">
        <f>IF($T510=0,"",IF(INDEX('Market Data'!$I$5:$I$528,$T510)="","",INDEX('Market Data'!$I$5:$I$528,$T510)))</f>
        <v/>
      </c>
      <c r="L510" s="10">
        <f>IF($T510=0,"",IF(INDEX('Market Data'!$J$5:$J$528,$T510)=0,"n/a",IF(AND($M$5&lt;&gt;"Snapshot",ISNUMBER(INDEX('Market Data'!$AH$5:$AH$66,INDEX('Market Data'!$J$5:$J$528,$T510)-4)),N(INDEX('Market Data'!$AH$5:$AH$66,INDEX('Market Data'!$J$5:$J$528,$T510)-4))&gt;0),INDEX('Market Data'!$AH$5:$AH$66,INDEX('Market Data'!$J$5:$J$528,$T510)-4),IF(AND($M$5&lt;&gt;"Bloomberg",ISNUMBER(INDEX('Market Data'!$AC$5:$AC$66,INDEX('Market Data'!$J$5:$J$528,$T510)-4)),N(INDEX('Market Data'!$AC$5:$AC$66,INDEX('Market Data'!$J$5:$J$528,$T510)-4))&gt;0),INDEX('Market Data'!$AC$5:$AC$66,INDEX('Market Data'!$J$5:$J$528,$T510)-4),"unavailable"))))</f>
        <v/>
      </c>
      <c r="M510" s="11">
        <f>IF($T510=0,"",IF(INDEX('Market Data'!$J$5:$J$528,$T510)=0,"n/a",IF(IF(INDEX('Market Data'!$J$5:$J$528,$T510)=0,0,IF(LEFT(INDEX('Market Data'!$AS$5:$AS$66,INDEX('Market Data'!$J$5:$J$528,$T510)-4),11)="First-month",1,0))=1,"class review",IF($I510="Bloomberg",IF(AND(ISNUMBER(INDEX('Market Data'!$AH$5:$AH$66,INDEX('Market Data'!$J$5:$J$528,$T510)-4)),N(INDEX('Market Data'!$AH$5:$AH$66,INDEX('Market Data'!$J$5:$J$528,$T510)-4))&gt;0,ISNUMBER('Market Data'!$B$1),N('Market Data'!$B$1)&gt;0),INDEX('Market Data'!$AH$5:$AH$66,INDEX('Market Data'!$J$5:$J$528,$T510)-4)*'Market Data'!$B$1/$E510-1,"pending A/FX"),IF(AND($I510="Snapshot",$Q510="Snapshot",ISNUMBER($E510),$G510=INDEX('Market Data'!$AE$5:$AE$66,INDEX('Market Data'!$J$5:$J$528,$T510)-4)),IFERROR(INDEX('Market Data'!$AC$5:$AC$66,INDEX('Market Data'!$J$5:$J$528,$T510)-4)*INDEX('Market Data'!$AD$5:$AD$66,INDEX('Market Data'!$J$5:$J$528,$T510)-4)/$E510-1,"unavailable"),IF($I510="Unavailable","unavailable","date mismatch"))))))</f>
        <v/>
      </c>
      <c r="N510" s="11">
        <f>IF($T510=0,"",IFERROR(IF(AND(N(INDEX('Market Data'!$F$5:$F$528,$T510))&gt;0,ISNUMBER(INDEX('Market Data'!$T$5:$T$528,$T510))),$E510*INDEX('Market Data'!$T$5:$T$528,$T510)/INDEX('Market Data'!$F$5:$F$528,$T510)-1,"unavailable"),"unavailable"))</f>
        <v/>
      </c>
      <c r="O510" s="9">
        <f>IF($T510=0,"",IF(IF(INDEX('Market Data'!$J$5:$J$528,$T510)=0,0,IF(LEFT(INDEX('Market Data'!$AS$5:$AS$66,INDEX('Market Data'!$J$5:$J$528,$T510)-4),11)="First-month",1,0))=1,"Class ratio review",IF($I510="Bloomberg",IF(ISNUMBER($G510),IF($G510&lt;TODAY(),"Older quote","See quote time"),"Date unavailable"),IF($I510="Snapshot",IF($G510&lt;DATEVALUE("2026-10-02"),"Older snapshot","Dated close"),"No valid quote"))))</f>
        <v/>
      </c>
      <c r="P510" s="14">
        <f>IF($T510=0,"",IF(INDEX('Market Data'!$J$5:$J$528,$T510)=0,"n/a",IF($Q510="Bloomberg",IF(AND(ISNUMBER(INDEX('Market Data'!$AK$5:$AK$66,INDEX('Market Data'!$J$5:$J$528,$T510)-4)),N(INDEX('Market Data'!$AK$5:$AK$66,INDEX('Market Data'!$J$5:$J$528,$T510)-4))&gt;0),INDEX('Market Data'!$AK$5:$AK$66,INDEX('Market Data'!$J$5:$J$528,$T510)-4),"date unavailable"),IF($Q510="Snapshot",IF(AND(ISNUMBER(INDEX('Market Data'!$AF$5:$AF$66,INDEX('Market Data'!$J$5:$J$528,$T510)-4)),N(INDEX('Market Data'!$AF$5:$AF$66,INDEX('Market Data'!$J$5:$J$528,$T510)-4))&gt;0),INDEX('Market Data'!$AF$5:$AF$66,INDEX('Market Data'!$J$5:$J$528,$T510)-4),"date unavailable"),"date unavailable"))))</f>
        <v/>
      </c>
      <c r="Q510" s="15">
        <f>IF($T510=0,"",IF(INDEX('Market Data'!$J$5:$J$528,$T510)=0,"n/a",IF(AND($M$5&lt;&gt;"Snapshot",ISNUMBER(INDEX('Market Data'!$AH$5:$AH$66,INDEX('Market Data'!$J$5:$J$528,$T510)-4)),N(INDEX('Market Data'!$AH$5:$AH$66,INDEX('Market Data'!$J$5:$J$528,$T510)-4))&gt;0),"Bloomberg",IF(AND($M$5&lt;&gt;"Bloomberg",ISNUMBER(INDEX('Market Data'!$AC$5:$AC$66,INDEX('Market Data'!$J$5:$J$528,$T510)-4)),N(INDEX('Market Data'!$AC$5:$AC$66,INDEX('Market Data'!$J$5:$J$528,$T510)-4))&gt;0),"Snapshot","Unavailable"))))</f>
        <v/>
      </c>
      <c r="T510">
        <f>IFERROR(MATCH(502,'Market Data'!$S$5:$S$528,0),0)</f>
        <v/>
      </c>
    </row>
    <row r="511" ht="34" customHeight="1">
      <c r="A511" s="8">
        <f>IF($T511=0,"",IF(INDEX('Market Data'!$A$5:$A$528,$T511)="","",INDEX('Market Data'!$A$5:$A$528,$T511)))</f>
        <v/>
      </c>
      <c r="B511" s="9">
        <f>IF($T511=0,"",IF(INDEX('Market Data'!$B$5:$B$528,$T511)="","",INDEX('Market Data'!$B$5:$B$528,$T511)))</f>
        <v/>
      </c>
      <c r="C511" s="9">
        <f>IF($T511=0,"",IF(INDEX('Market Data'!$C$5:$C$528,$T511)="","",INDEX('Market Data'!$C$5:$C$528,$T511)))</f>
        <v/>
      </c>
      <c r="D511" s="9">
        <f>IF($T511=0,"",IF(INDEX('Market Data'!$D$5:$D$528,$T511)="","",INDEX('Market Data'!$D$5:$D$528,$T511)))</f>
        <v/>
      </c>
      <c r="E511" s="10">
        <f>IF($T511=0,"",INDEX('Market Data'!$O$5:$O$528,$T511))</f>
        <v/>
      </c>
      <c r="F511" s="11">
        <f>IF($T511=0,"",IF(AND($I511="Bloomberg",ISNUMBER(INDEX('Market Data'!$L$5:$L$528,$T511))),INDEX('Market Data'!$L$5:$L$528,$T511),"unavailable"))</f>
        <v/>
      </c>
      <c r="G511" s="12">
        <f>IF($T511=0,"",IF($I511="Bloomberg",IF(AND(ISNUMBER(INDEX('Market Data'!$M$5:$M$528,$T511)),N(INDEX('Market Data'!$M$5:$M$528,$T511))&gt;0),INDEX('Market Data'!$M$5:$M$528,$T511),"date unavailable"),IF($I511="Snapshot",IF(AND(ISNUMBER(INDEX('Market Data'!$H$5:$H$528,$T511)),N(INDEX('Market Data'!$H$5:$H$528,$T511))&gt;0),INDEX('Market Data'!$H$5:$H$528,$T511),"date unavailable"),"date unavailable")))</f>
        <v/>
      </c>
      <c r="H511" s="9">
        <f>IF($T511=0,"",IF($I511="Bloomberg",IF(INDEX('Market Data'!$N$5:$N$528,$T511)="","time unavailable",INDEX('Market Data'!$N$5:$N$528,$T511)),""))</f>
        <v/>
      </c>
      <c r="I511" s="9">
        <f>IF($T511=0,"",INDEX('Market Data'!$P$5:$P$528,$T511))</f>
        <v/>
      </c>
      <c r="J511" s="13">
        <f>IF($T511=0,"",IF(INDEX('Market Data'!$E$5:$E$528,$T511)="","",INDEX('Market Data'!$E$5:$E$528,$T511)))</f>
        <v/>
      </c>
      <c r="K511" s="8">
        <f>IF($T511=0,"",IF(INDEX('Market Data'!$I$5:$I$528,$T511)="","",INDEX('Market Data'!$I$5:$I$528,$T511)))</f>
        <v/>
      </c>
      <c r="L511" s="10">
        <f>IF($T511=0,"",IF(INDEX('Market Data'!$J$5:$J$528,$T511)=0,"n/a",IF(AND($M$5&lt;&gt;"Snapshot",ISNUMBER(INDEX('Market Data'!$AH$5:$AH$66,INDEX('Market Data'!$J$5:$J$528,$T511)-4)),N(INDEX('Market Data'!$AH$5:$AH$66,INDEX('Market Data'!$J$5:$J$528,$T511)-4))&gt;0),INDEX('Market Data'!$AH$5:$AH$66,INDEX('Market Data'!$J$5:$J$528,$T511)-4),IF(AND($M$5&lt;&gt;"Bloomberg",ISNUMBER(INDEX('Market Data'!$AC$5:$AC$66,INDEX('Market Data'!$J$5:$J$528,$T511)-4)),N(INDEX('Market Data'!$AC$5:$AC$66,INDEX('Market Data'!$J$5:$J$528,$T511)-4))&gt;0),INDEX('Market Data'!$AC$5:$AC$66,INDEX('Market Data'!$J$5:$J$528,$T511)-4),"unavailable"))))</f>
        <v/>
      </c>
      <c r="M511" s="11">
        <f>IF($T511=0,"",IF(INDEX('Market Data'!$J$5:$J$528,$T511)=0,"n/a",IF(IF(INDEX('Market Data'!$J$5:$J$528,$T511)=0,0,IF(LEFT(INDEX('Market Data'!$AS$5:$AS$66,INDEX('Market Data'!$J$5:$J$528,$T511)-4),11)="First-month",1,0))=1,"class review",IF($I511="Bloomberg",IF(AND(ISNUMBER(INDEX('Market Data'!$AH$5:$AH$66,INDEX('Market Data'!$J$5:$J$528,$T511)-4)),N(INDEX('Market Data'!$AH$5:$AH$66,INDEX('Market Data'!$J$5:$J$528,$T511)-4))&gt;0,ISNUMBER('Market Data'!$B$1),N('Market Data'!$B$1)&gt;0),INDEX('Market Data'!$AH$5:$AH$66,INDEX('Market Data'!$J$5:$J$528,$T511)-4)*'Market Data'!$B$1/$E511-1,"pending A/FX"),IF(AND($I511="Snapshot",$Q511="Snapshot",ISNUMBER($E511),$G511=INDEX('Market Data'!$AE$5:$AE$66,INDEX('Market Data'!$J$5:$J$528,$T511)-4)),IFERROR(INDEX('Market Data'!$AC$5:$AC$66,INDEX('Market Data'!$J$5:$J$528,$T511)-4)*INDEX('Market Data'!$AD$5:$AD$66,INDEX('Market Data'!$J$5:$J$528,$T511)-4)/$E511-1,"unavailable"),IF($I511="Unavailable","unavailable","date mismatch"))))))</f>
        <v/>
      </c>
      <c r="N511" s="11">
        <f>IF($T511=0,"",IFERROR(IF(AND(N(INDEX('Market Data'!$F$5:$F$528,$T511))&gt;0,ISNUMBER(INDEX('Market Data'!$T$5:$T$528,$T511))),$E511*INDEX('Market Data'!$T$5:$T$528,$T511)/INDEX('Market Data'!$F$5:$F$528,$T511)-1,"unavailable"),"unavailable"))</f>
        <v/>
      </c>
      <c r="O511" s="9">
        <f>IF($T511=0,"",IF(IF(INDEX('Market Data'!$J$5:$J$528,$T511)=0,0,IF(LEFT(INDEX('Market Data'!$AS$5:$AS$66,INDEX('Market Data'!$J$5:$J$528,$T511)-4),11)="First-month",1,0))=1,"Class ratio review",IF($I511="Bloomberg",IF(ISNUMBER($G511),IF($G511&lt;TODAY(),"Older quote","See quote time"),"Date unavailable"),IF($I511="Snapshot",IF($G511&lt;DATEVALUE("2026-10-02"),"Older snapshot","Dated close"),"No valid quote"))))</f>
        <v/>
      </c>
      <c r="P511" s="14">
        <f>IF($T511=0,"",IF(INDEX('Market Data'!$J$5:$J$528,$T511)=0,"n/a",IF($Q511="Bloomberg",IF(AND(ISNUMBER(INDEX('Market Data'!$AK$5:$AK$66,INDEX('Market Data'!$J$5:$J$528,$T511)-4)),N(INDEX('Market Data'!$AK$5:$AK$66,INDEX('Market Data'!$J$5:$J$528,$T511)-4))&gt;0),INDEX('Market Data'!$AK$5:$AK$66,INDEX('Market Data'!$J$5:$J$528,$T511)-4),"date unavailable"),IF($Q511="Snapshot",IF(AND(ISNUMBER(INDEX('Market Data'!$AF$5:$AF$66,INDEX('Market Data'!$J$5:$J$528,$T511)-4)),N(INDEX('Market Data'!$AF$5:$AF$66,INDEX('Market Data'!$J$5:$J$528,$T511)-4))&gt;0),INDEX('Market Data'!$AF$5:$AF$66,INDEX('Market Data'!$J$5:$J$528,$T511)-4),"date unavailable"),"date unavailable"))))</f>
        <v/>
      </c>
      <c r="Q511" s="15">
        <f>IF($T511=0,"",IF(INDEX('Market Data'!$J$5:$J$528,$T511)=0,"n/a",IF(AND($M$5&lt;&gt;"Snapshot",ISNUMBER(INDEX('Market Data'!$AH$5:$AH$66,INDEX('Market Data'!$J$5:$J$528,$T511)-4)),N(INDEX('Market Data'!$AH$5:$AH$66,INDEX('Market Data'!$J$5:$J$528,$T511)-4))&gt;0),"Bloomberg",IF(AND($M$5&lt;&gt;"Bloomberg",ISNUMBER(INDEX('Market Data'!$AC$5:$AC$66,INDEX('Market Data'!$J$5:$J$528,$T511)-4)),N(INDEX('Market Data'!$AC$5:$AC$66,INDEX('Market Data'!$J$5:$J$528,$T511)-4))&gt;0),"Snapshot","Unavailable"))))</f>
        <v/>
      </c>
      <c r="T511">
        <f>IFERROR(MATCH(503,'Market Data'!$S$5:$S$528,0),0)</f>
        <v/>
      </c>
    </row>
    <row r="512" ht="34" customHeight="1">
      <c r="A512" s="8">
        <f>IF($T512=0,"",IF(INDEX('Market Data'!$A$5:$A$528,$T512)="","",INDEX('Market Data'!$A$5:$A$528,$T512)))</f>
        <v/>
      </c>
      <c r="B512" s="9">
        <f>IF($T512=0,"",IF(INDEX('Market Data'!$B$5:$B$528,$T512)="","",INDEX('Market Data'!$B$5:$B$528,$T512)))</f>
        <v/>
      </c>
      <c r="C512" s="9">
        <f>IF($T512=0,"",IF(INDEX('Market Data'!$C$5:$C$528,$T512)="","",INDEX('Market Data'!$C$5:$C$528,$T512)))</f>
        <v/>
      </c>
      <c r="D512" s="9">
        <f>IF($T512=0,"",IF(INDEX('Market Data'!$D$5:$D$528,$T512)="","",INDEX('Market Data'!$D$5:$D$528,$T512)))</f>
        <v/>
      </c>
      <c r="E512" s="10">
        <f>IF($T512=0,"",INDEX('Market Data'!$O$5:$O$528,$T512))</f>
        <v/>
      </c>
      <c r="F512" s="11">
        <f>IF($T512=0,"",IF(AND($I512="Bloomberg",ISNUMBER(INDEX('Market Data'!$L$5:$L$528,$T512))),INDEX('Market Data'!$L$5:$L$528,$T512),"unavailable"))</f>
        <v/>
      </c>
      <c r="G512" s="12">
        <f>IF($T512=0,"",IF($I512="Bloomberg",IF(AND(ISNUMBER(INDEX('Market Data'!$M$5:$M$528,$T512)),N(INDEX('Market Data'!$M$5:$M$528,$T512))&gt;0),INDEX('Market Data'!$M$5:$M$528,$T512),"date unavailable"),IF($I512="Snapshot",IF(AND(ISNUMBER(INDEX('Market Data'!$H$5:$H$528,$T512)),N(INDEX('Market Data'!$H$5:$H$528,$T512))&gt;0),INDEX('Market Data'!$H$5:$H$528,$T512),"date unavailable"),"date unavailable")))</f>
        <v/>
      </c>
      <c r="H512" s="9">
        <f>IF($T512=0,"",IF($I512="Bloomberg",IF(INDEX('Market Data'!$N$5:$N$528,$T512)="","time unavailable",INDEX('Market Data'!$N$5:$N$528,$T512)),""))</f>
        <v/>
      </c>
      <c r="I512" s="9">
        <f>IF($T512=0,"",INDEX('Market Data'!$P$5:$P$528,$T512))</f>
        <v/>
      </c>
      <c r="J512" s="13">
        <f>IF($T512=0,"",IF(INDEX('Market Data'!$E$5:$E$528,$T512)="","",INDEX('Market Data'!$E$5:$E$528,$T512)))</f>
        <v/>
      </c>
      <c r="K512" s="8">
        <f>IF($T512=0,"",IF(INDEX('Market Data'!$I$5:$I$528,$T512)="","",INDEX('Market Data'!$I$5:$I$528,$T512)))</f>
        <v/>
      </c>
      <c r="L512" s="10">
        <f>IF($T512=0,"",IF(INDEX('Market Data'!$J$5:$J$528,$T512)=0,"n/a",IF(AND($M$5&lt;&gt;"Snapshot",ISNUMBER(INDEX('Market Data'!$AH$5:$AH$66,INDEX('Market Data'!$J$5:$J$528,$T512)-4)),N(INDEX('Market Data'!$AH$5:$AH$66,INDEX('Market Data'!$J$5:$J$528,$T512)-4))&gt;0),INDEX('Market Data'!$AH$5:$AH$66,INDEX('Market Data'!$J$5:$J$528,$T512)-4),IF(AND($M$5&lt;&gt;"Bloomberg",ISNUMBER(INDEX('Market Data'!$AC$5:$AC$66,INDEX('Market Data'!$J$5:$J$528,$T512)-4)),N(INDEX('Market Data'!$AC$5:$AC$66,INDEX('Market Data'!$J$5:$J$528,$T512)-4))&gt;0),INDEX('Market Data'!$AC$5:$AC$66,INDEX('Market Data'!$J$5:$J$528,$T512)-4),"unavailable"))))</f>
        <v/>
      </c>
      <c r="M512" s="11">
        <f>IF($T512=0,"",IF(INDEX('Market Data'!$J$5:$J$528,$T512)=0,"n/a",IF(IF(INDEX('Market Data'!$J$5:$J$528,$T512)=0,0,IF(LEFT(INDEX('Market Data'!$AS$5:$AS$66,INDEX('Market Data'!$J$5:$J$528,$T512)-4),11)="First-month",1,0))=1,"class review",IF($I512="Bloomberg",IF(AND(ISNUMBER(INDEX('Market Data'!$AH$5:$AH$66,INDEX('Market Data'!$J$5:$J$528,$T512)-4)),N(INDEX('Market Data'!$AH$5:$AH$66,INDEX('Market Data'!$J$5:$J$528,$T512)-4))&gt;0,ISNUMBER('Market Data'!$B$1),N('Market Data'!$B$1)&gt;0),INDEX('Market Data'!$AH$5:$AH$66,INDEX('Market Data'!$J$5:$J$528,$T512)-4)*'Market Data'!$B$1/$E512-1,"pending A/FX"),IF(AND($I512="Snapshot",$Q512="Snapshot",ISNUMBER($E512),$G512=INDEX('Market Data'!$AE$5:$AE$66,INDEX('Market Data'!$J$5:$J$528,$T512)-4)),IFERROR(INDEX('Market Data'!$AC$5:$AC$66,INDEX('Market Data'!$J$5:$J$528,$T512)-4)*INDEX('Market Data'!$AD$5:$AD$66,INDEX('Market Data'!$J$5:$J$528,$T512)-4)/$E512-1,"unavailable"),IF($I512="Unavailable","unavailable","date mismatch"))))))</f>
        <v/>
      </c>
      <c r="N512" s="11">
        <f>IF($T512=0,"",IFERROR(IF(AND(N(INDEX('Market Data'!$F$5:$F$528,$T512))&gt;0,ISNUMBER(INDEX('Market Data'!$T$5:$T$528,$T512))),$E512*INDEX('Market Data'!$T$5:$T$528,$T512)/INDEX('Market Data'!$F$5:$F$528,$T512)-1,"unavailable"),"unavailable"))</f>
        <v/>
      </c>
      <c r="O512" s="9">
        <f>IF($T512=0,"",IF(IF(INDEX('Market Data'!$J$5:$J$528,$T512)=0,0,IF(LEFT(INDEX('Market Data'!$AS$5:$AS$66,INDEX('Market Data'!$J$5:$J$528,$T512)-4),11)="First-month",1,0))=1,"Class ratio review",IF($I512="Bloomberg",IF(ISNUMBER($G512),IF($G512&lt;TODAY(),"Older quote","See quote time"),"Date unavailable"),IF($I512="Snapshot",IF($G512&lt;DATEVALUE("2026-10-02"),"Older snapshot","Dated close"),"No valid quote"))))</f>
        <v/>
      </c>
      <c r="P512" s="14">
        <f>IF($T512=0,"",IF(INDEX('Market Data'!$J$5:$J$528,$T512)=0,"n/a",IF($Q512="Bloomberg",IF(AND(ISNUMBER(INDEX('Market Data'!$AK$5:$AK$66,INDEX('Market Data'!$J$5:$J$528,$T512)-4)),N(INDEX('Market Data'!$AK$5:$AK$66,INDEX('Market Data'!$J$5:$J$528,$T512)-4))&gt;0),INDEX('Market Data'!$AK$5:$AK$66,INDEX('Market Data'!$J$5:$J$528,$T512)-4),"date unavailable"),IF($Q512="Snapshot",IF(AND(ISNUMBER(INDEX('Market Data'!$AF$5:$AF$66,INDEX('Market Data'!$J$5:$J$528,$T512)-4)),N(INDEX('Market Data'!$AF$5:$AF$66,INDEX('Market Data'!$J$5:$J$528,$T512)-4))&gt;0),INDEX('Market Data'!$AF$5:$AF$66,INDEX('Market Data'!$J$5:$J$528,$T512)-4),"date unavailable"),"date unavailable"))))</f>
        <v/>
      </c>
      <c r="Q512" s="15">
        <f>IF($T512=0,"",IF(INDEX('Market Data'!$J$5:$J$528,$T512)=0,"n/a",IF(AND($M$5&lt;&gt;"Snapshot",ISNUMBER(INDEX('Market Data'!$AH$5:$AH$66,INDEX('Market Data'!$J$5:$J$528,$T512)-4)),N(INDEX('Market Data'!$AH$5:$AH$66,INDEX('Market Data'!$J$5:$J$528,$T512)-4))&gt;0),"Bloomberg",IF(AND($M$5&lt;&gt;"Bloomberg",ISNUMBER(INDEX('Market Data'!$AC$5:$AC$66,INDEX('Market Data'!$J$5:$J$528,$T512)-4)),N(INDEX('Market Data'!$AC$5:$AC$66,INDEX('Market Data'!$J$5:$J$528,$T512)-4))&gt;0),"Snapshot","Unavailable"))))</f>
        <v/>
      </c>
      <c r="T512">
        <f>IFERROR(MATCH(504,'Market Data'!$S$5:$S$528,0),0)</f>
        <v/>
      </c>
    </row>
    <row r="513" ht="34" customHeight="1">
      <c r="A513" s="8">
        <f>IF($T513=0,"",IF(INDEX('Market Data'!$A$5:$A$528,$T513)="","",INDEX('Market Data'!$A$5:$A$528,$T513)))</f>
        <v/>
      </c>
      <c r="B513" s="9">
        <f>IF($T513=0,"",IF(INDEX('Market Data'!$B$5:$B$528,$T513)="","",INDEX('Market Data'!$B$5:$B$528,$T513)))</f>
        <v/>
      </c>
      <c r="C513" s="9">
        <f>IF($T513=0,"",IF(INDEX('Market Data'!$C$5:$C$528,$T513)="","",INDEX('Market Data'!$C$5:$C$528,$T513)))</f>
        <v/>
      </c>
      <c r="D513" s="9">
        <f>IF($T513=0,"",IF(INDEX('Market Data'!$D$5:$D$528,$T513)="","",INDEX('Market Data'!$D$5:$D$528,$T513)))</f>
        <v/>
      </c>
      <c r="E513" s="10">
        <f>IF($T513=0,"",INDEX('Market Data'!$O$5:$O$528,$T513))</f>
        <v/>
      </c>
      <c r="F513" s="11">
        <f>IF($T513=0,"",IF(AND($I513="Bloomberg",ISNUMBER(INDEX('Market Data'!$L$5:$L$528,$T513))),INDEX('Market Data'!$L$5:$L$528,$T513),"unavailable"))</f>
        <v/>
      </c>
      <c r="G513" s="12">
        <f>IF($T513=0,"",IF($I513="Bloomberg",IF(AND(ISNUMBER(INDEX('Market Data'!$M$5:$M$528,$T513)),N(INDEX('Market Data'!$M$5:$M$528,$T513))&gt;0),INDEX('Market Data'!$M$5:$M$528,$T513),"date unavailable"),IF($I513="Snapshot",IF(AND(ISNUMBER(INDEX('Market Data'!$H$5:$H$528,$T513)),N(INDEX('Market Data'!$H$5:$H$528,$T513))&gt;0),INDEX('Market Data'!$H$5:$H$528,$T513),"date unavailable"),"date unavailable")))</f>
        <v/>
      </c>
      <c r="H513" s="9">
        <f>IF($T513=0,"",IF($I513="Bloomberg",IF(INDEX('Market Data'!$N$5:$N$528,$T513)="","time unavailable",INDEX('Market Data'!$N$5:$N$528,$T513)),""))</f>
        <v/>
      </c>
      <c r="I513" s="9">
        <f>IF($T513=0,"",INDEX('Market Data'!$P$5:$P$528,$T513))</f>
        <v/>
      </c>
      <c r="J513" s="13">
        <f>IF($T513=0,"",IF(INDEX('Market Data'!$E$5:$E$528,$T513)="","",INDEX('Market Data'!$E$5:$E$528,$T513)))</f>
        <v/>
      </c>
      <c r="K513" s="8">
        <f>IF($T513=0,"",IF(INDEX('Market Data'!$I$5:$I$528,$T513)="","",INDEX('Market Data'!$I$5:$I$528,$T513)))</f>
        <v/>
      </c>
      <c r="L513" s="10">
        <f>IF($T513=0,"",IF(INDEX('Market Data'!$J$5:$J$528,$T513)=0,"n/a",IF(AND($M$5&lt;&gt;"Snapshot",ISNUMBER(INDEX('Market Data'!$AH$5:$AH$66,INDEX('Market Data'!$J$5:$J$528,$T513)-4)),N(INDEX('Market Data'!$AH$5:$AH$66,INDEX('Market Data'!$J$5:$J$528,$T513)-4))&gt;0),INDEX('Market Data'!$AH$5:$AH$66,INDEX('Market Data'!$J$5:$J$528,$T513)-4),IF(AND($M$5&lt;&gt;"Bloomberg",ISNUMBER(INDEX('Market Data'!$AC$5:$AC$66,INDEX('Market Data'!$J$5:$J$528,$T513)-4)),N(INDEX('Market Data'!$AC$5:$AC$66,INDEX('Market Data'!$J$5:$J$528,$T513)-4))&gt;0),INDEX('Market Data'!$AC$5:$AC$66,INDEX('Market Data'!$J$5:$J$528,$T513)-4),"unavailable"))))</f>
        <v/>
      </c>
      <c r="M513" s="11">
        <f>IF($T513=0,"",IF(INDEX('Market Data'!$J$5:$J$528,$T513)=0,"n/a",IF(IF(INDEX('Market Data'!$J$5:$J$528,$T513)=0,0,IF(LEFT(INDEX('Market Data'!$AS$5:$AS$66,INDEX('Market Data'!$J$5:$J$528,$T513)-4),11)="First-month",1,0))=1,"class review",IF($I513="Bloomberg",IF(AND(ISNUMBER(INDEX('Market Data'!$AH$5:$AH$66,INDEX('Market Data'!$J$5:$J$528,$T513)-4)),N(INDEX('Market Data'!$AH$5:$AH$66,INDEX('Market Data'!$J$5:$J$528,$T513)-4))&gt;0,ISNUMBER('Market Data'!$B$1),N('Market Data'!$B$1)&gt;0),INDEX('Market Data'!$AH$5:$AH$66,INDEX('Market Data'!$J$5:$J$528,$T513)-4)*'Market Data'!$B$1/$E513-1,"pending A/FX"),IF(AND($I513="Snapshot",$Q513="Snapshot",ISNUMBER($E513),$G513=INDEX('Market Data'!$AE$5:$AE$66,INDEX('Market Data'!$J$5:$J$528,$T513)-4)),IFERROR(INDEX('Market Data'!$AC$5:$AC$66,INDEX('Market Data'!$J$5:$J$528,$T513)-4)*INDEX('Market Data'!$AD$5:$AD$66,INDEX('Market Data'!$J$5:$J$528,$T513)-4)/$E513-1,"unavailable"),IF($I513="Unavailable","unavailable","date mismatch"))))))</f>
        <v/>
      </c>
      <c r="N513" s="11">
        <f>IF($T513=0,"",IFERROR(IF(AND(N(INDEX('Market Data'!$F$5:$F$528,$T513))&gt;0,ISNUMBER(INDEX('Market Data'!$T$5:$T$528,$T513))),$E513*INDEX('Market Data'!$T$5:$T$528,$T513)/INDEX('Market Data'!$F$5:$F$528,$T513)-1,"unavailable"),"unavailable"))</f>
        <v/>
      </c>
      <c r="O513" s="9">
        <f>IF($T513=0,"",IF(IF(INDEX('Market Data'!$J$5:$J$528,$T513)=0,0,IF(LEFT(INDEX('Market Data'!$AS$5:$AS$66,INDEX('Market Data'!$J$5:$J$528,$T513)-4),11)="First-month",1,0))=1,"Class ratio review",IF($I513="Bloomberg",IF(ISNUMBER($G513),IF($G513&lt;TODAY(),"Older quote","See quote time"),"Date unavailable"),IF($I513="Snapshot",IF($G513&lt;DATEVALUE("2026-10-02"),"Older snapshot","Dated close"),"No valid quote"))))</f>
        <v/>
      </c>
      <c r="P513" s="14">
        <f>IF($T513=0,"",IF(INDEX('Market Data'!$J$5:$J$528,$T513)=0,"n/a",IF($Q513="Bloomberg",IF(AND(ISNUMBER(INDEX('Market Data'!$AK$5:$AK$66,INDEX('Market Data'!$J$5:$J$528,$T513)-4)),N(INDEX('Market Data'!$AK$5:$AK$66,INDEX('Market Data'!$J$5:$J$528,$T513)-4))&gt;0),INDEX('Market Data'!$AK$5:$AK$66,INDEX('Market Data'!$J$5:$J$528,$T513)-4),"date unavailable"),IF($Q513="Snapshot",IF(AND(ISNUMBER(INDEX('Market Data'!$AF$5:$AF$66,INDEX('Market Data'!$J$5:$J$528,$T513)-4)),N(INDEX('Market Data'!$AF$5:$AF$66,INDEX('Market Data'!$J$5:$J$528,$T513)-4))&gt;0),INDEX('Market Data'!$AF$5:$AF$66,INDEX('Market Data'!$J$5:$J$528,$T513)-4),"date unavailable"),"date unavailable"))))</f>
        <v/>
      </c>
      <c r="Q513" s="15">
        <f>IF($T513=0,"",IF(INDEX('Market Data'!$J$5:$J$528,$T513)=0,"n/a",IF(AND($M$5&lt;&gt;"Snapshot",ISNUMBER(INDEX('Market Data'!$AH$5:$AH$66,INDEX('Market Data'!$J$5:$J$528,$T513)-4)),N(INDEX('Market Data'!$AH$5:$AH$66,INDEX('Market Data'!$J$5:$J$528,$T513)-4))&gt;0),"Bloomberg",IF(AND($M$5&lt;&gt;"Bloomberg",ISNUMBER(INDEX('Market Data'!$AC$5:$AC$66,INDEX('Market Data'!$J$5:$J$528,$T513)-4)),N(INDEX('Market Data'!$AC$5:$AC$66,INDEX('Market Data'!$J$5:$J$528,$T513)-4))&gt;0),"Snapshot","Unavailable"))))</f>
        <v/>
      </c>
      <c r="T513">
        <f>IFERROR(MATCH(505,'Market Data'!$S$5:$S$528,0),0)</f>
        <v/>
      </c>
    </row>
    <row r="514" ht="34" customHeight="1">
      <c r="A514" s="8">
        <f>IF($T514=0,"",IF(INDEX('Market Data'!$A$5:$A$528,$T514)="","",INDEX('Market Data'!$A$5:$A$528,$T514)))</f>
        <v/>
      </c>
      <c r="B514" s="9">
        <f>IF($T514=0,"",IF(INDEX('Market Data'!$B$5:$B$528,$T514)="","",INDEX('Market Data'!$B$5:$B$528,$T514)))</f>
        <v/>
      </c>
      <c r="C514" s="9">
        <f>IF($T514=0,"",IF(INDEX('Market Data'!$C$5:$C$528,$T514)="","",INDEX('Market Data'!$C$5:$C$528,$T514)))</f>
        <v/>
      </c>
      <c r="D514" s="9">
        <f>IF($T514=0,"",IF(INDEX('Market Data'!$D$5:$D$528,$T514)="","",INDEX('Market Data'!$D$5:$D$528,$T514)))</f>
        <v/>
      </c>
      <c r="E514" s="10">
        <f>IF($T514=0,"",INDEX('Market Data'!$O$5:$O$528,$T514))</f>
        <v/>
      </c>
      <c r="F514" s="11">
        <f>IF($T514=0,"",IF(AND($I514="Bloomberg",ISNUMBER(INDEX('Market Data'!$L$5:$L$528,$T514))),INDEX('Market Data'!$L$5:$L$528,$T514),"unavailable"))</f>
        <v/>
      </c>
      <c r="G514" s="12">
        <f>IF($T514=0,"",IF($I514="Bloomberg",IF(AND(ISNUMBER(INDEX('Market Data'!$M$5:$M$528,$T514)),N(INDEX('Market Data'!$M$5:$M$528,$T514))&gt;0),INDEX('Market Data'!$M$5:$M$528,$T514),"date unavailable"),IF($I514="Snapshot",IF(AND(ISNUMBER(INDEX('Market Data'!$H$5:$H$528,$T514)),N(INDEX('Market Data'!$H$5:$H$528,$T514))&gt;0),INDEX('Market Data'!$H$5:$H$528,$T514),"date unavailable"),"date unavailable")))</f>
        <v/>
      </c>
      <c r="H514" s="9">
        <f>IF($T514=0,"",IF($I514="Bloomberg",IF(INDEX('Market Data'!$N$5:$N$528,$T514)="","time unavailable",INDEX('Market Data'!$N$5:$N$528,$T514)),""))</f>
        <v/>
      </c>
      <c r="I514" s="9">
        <f>IF($T514=0,"",INDEX('Market Data'!$P$5:$P$528,$T514))</f>
        <v/>
      </c>
      <c r="J514" s="13">
        <f>IF($T514=0,"",IF(INDEX('Market Data'!$E$5:$E$528,$T514)="","",INDEX('Market Data'!$E$5:$E$528,$T514)))</f>
        <v/>
      </c>
      <c r="K514" s="8">
        <f>IF($T514=0,"",IF(INDEX('Market Data'!$I$5:$I$528,$T514)="","",INDEX('Market Data'!$I$5:$I$528,$T514)))</f>
        <v/>
      </c>
      <c r="L514" s="10">
        <f>IF($T514=0,"",IF(INDEX('Market Data'!$J$5:$J$528,$T514)=0,"n/a",IF(AND($M$5&lt;&gt;"Snapshot",ISNUMBER(INDEX('Market Data'!$AH$5:$AH$66,INDEX('Market Data'!$J$5:$J$528,$T514)-4)),N(INDEX('Market Data'!$AH$5:$AH$66,INDEX('Market Data'!$J$5:$J$528,$T514)-4))&gt;0),INDEX('Market Data'!$AH$5:$AH$66,INDEX('Market Data'!$J$5:$J$528,$T514)-4),IF(AND($M$5&lt;&gt;"Bloomberg",ISNUMBER(INDEX('Market Data'!$AC$5:$AC$66,INDEX('Market Data'!$J$5:$J$528,$T514)-4)),N(INDEX('Market Data'!$AC$5:$AC$66,INDEX('Market Data'!$J$5:$J$528,$T514)-4))&gt;0),INDEX('Market Data'!$AC$5:$AC$66,INDEX('Market Data'!$J$5:$J$528,$T514)-4),"unavailable"))))</f>
        <v/>
      </c>
      <c r="M514" s="11">
        <f>IF($T514=0,"",IF(INDEX('Market Data'!$J$5:$J$528,$T514)=0,"n/a",IF(IF(INDEX('Market Data'!$J$5:$J$528,$T514)=0,0,IF(LEFT(INDEX('Market Data'!$AS$5:$AS$66,INDEX('Market Data'!$J$5:$J$528,$T514)-4),11)="First-month",1,0))=1,"class review",IF($I514="Bloomberg",IF(AND(ISNUMBER(INDEX('Market Data'!$AH$5:$AH$66,INDEX('Market Data'!$J$5:$J$528,$T514)-4)),N(INDEX('Market Data'!$AH$5:$AH$66,INDEX('Market Data'!$J$5:$J$528,$T514)-4))&gt;0,ISNUMBER('Market Data'!$B$1),N('Market Data'!$B$1)&gt;0),INDEX('Market Data'!$AH$5:$AH$66,INDEX('Market Data'!$J$5:$J$528,$T514)-4)*'Market Data'!$B$1/$E514-1,"pending A/FX"),IF(AND($I514="Snapshot",$Q514="Snapshot",ISNUMBER($E514),$G514=INDEX('Market Data'!$AE$5:$AE$66,INDEX('Market Data'!$J$5:$J$528,$T514)-4)),IFERROR(INDEX('Market Data'!$AC$5:$AC$66,INDEX('Market Data'!$J$5:$J$528,$T514)-4)*INDEX('Market Data'!$AD$5:$AD$66,INDEX('Market Data'!$J$5:$J$528,$T514)-4)/$E514-1,"unavailable"),IF($I514="Unavailable","unavailable","date mismatch"))))))</f>
        <v/>
      </c>
      <c r="N514" s="11">
        <f>IF($T514=0,"",IFERROR(IF(AND(N(INDEX('Market Data'!$F$5:$F$528,$T514))&gt;0,ISNUMBER(INDEX('Market Data'!$T$5:$T$528,$T514))),$E514*INDEX('Market Data'!$T$5:$T$528,$T514)/INDEX('Market Data'!$F$5:$F$528,$T514)-1,"unavailable"),"unavailable"))</f>
        <v/>
      </c>
      <c r="O514" s="9">
        <f>IF($T514=0,"",IF(IF(INDEX('Market Data'!$J$5:$J$528,$T514)=0,0,IF(LEFT(INDEX('Market Data'!$AS$5:$AS$66,INDEX('Market Data'!$J$5:$J$528,$T514)-4),11)="First-month",1,0))=1,"Class ratio review",IF($I514="Bloomberg",IF(ISNUMBER($G514),IF($G514&lt;TODAY(),"Older quote","See quote time"),"Date unavailable"),IF($I514="Snapshot",IF($G514&lt;DATEVALUE("2026-10-02"),"Older snapshot","Dated close"),"No valid quote"))))</f>
        <v/>
      </c>
      <c r="P514" s="14">
        <f>IF($T514=0,"",IF(INDEX('Market Data'!$J$5:$J$528,$T514)=0,"n/a",IF($Q514="Bloomberg",IF(AND(ISNUMBER(INDEX('Market Data'!$AK$5:$AK$66,INDEX('Market Data'!$J$5:$J$528,$T514)-4)),N(INDEX('Market Data'!$AK$5:$AK$66,INDEX('Market Data'!$J$5:$J$528,$T514)-4))&gt;0),INDEX('Market Data'!$AK$5:$AK$66,INDEX('Market Data'!$J$5:$J$528,$T514)-4),"date unavailable"),IF($Q514="Snapshot",IF(AND(ISNUMBER(INDEX('Market Data'!$AF$5:$AF$66,INDEX('Market Data'!$J$5:$J$528,$T514)-4)),N(INDEX('Market Data'!$AF$5:$AF$66,INDEX('Market Data'!$J$5:$J$528,$T514)-4))&gt;0),INDEX('Market Data'!$AF$5:$AF$66,INDEX('Market Data'!$J$5:$J$528,$T514)-4),"date unavailable"),"date unavailable"))))</f>
        <v/>
      </c>
      <c r="Q514" s="15">
        <f>IF($T514=0,"",IF(INDEX('Market Data'!$J$5:$J$528,$T514)=0,"n/a",IF(AND($M$5&lt;&gt;"Snapshot",ISNUMBER(INDEX('Market Data'!$AH$5:$AH$66,INDEX('Market Data'!$J$5:$J$528,$T514)-4)),N(INDEX('Market Data'!$AH$5:$AH$66,INDEX('Market Data'!$J$5:$J$528,$T514)-4))&gt;0),"Bloomberg",IF(AND($M$5&lt;&gt;"Bloomberg",ISNUMBER(INDEX('Market Data'!$AC$5:$AC$66,INDEX('Market Data'!$J$5:$J$528,$T514)-4)),N(INDEX('Market Data'!$AC$5:$AC$66,INDEX('Market Data'!$J$5:$J$528,$T514)-4))&gt;0),"Snapshot","Unavailable"))))</f>
        <v/>
      </c>
      <c r="T514">
        <f>IFERROR(MATCH(506,'Market Data'!$S$5:$S$528,0),0)</f>
        <v/>
      </c>
    </row>
    <row r="515" ht="34" customHeight="1">
      <c r="A515" s="8">
        <f>IF($T515=0,"",IF(INDEX('Market Data'!$A$5:$A$528,$T515)="","",INDEX('Market Data'!$A$5:$A$528,$T515)))</f>
        <v/>
      </c>
      <c r="B515" s="9">
        <f>IF($T515=0,"",IF(INDEX('Market Data'!$B$5:$B$528,$T515)="","",INDEX('Market Data'!$B$5:$B$528,$T515)))</f>
        <v/>
      </c>
      <c r="C515" s="9">
        <f>IF($T515=0,"",IF(INDEX('Market Data'!$C$5:$C$528,$T515)="","",INDEX('Market Data'!$C$5:$C$528,$T515)))</f>
        <v/>
      </c>
      <c r="D515" s="9">
        <f>IF($T515=0,"",IF(INDEX('Market Data'!$D$5:$D$528,$T515)="","",INDEX('Market Data'!$D$5:$D$528,$T515)))</f>
        <v/>
      </c>
      <c r="E515" s="10">
        <f>IF($T515=0,"",INDEX('Market Data'!$O$5:$O$528,$T515))</f>
        <v/>
      </c>
      <c r="F515" s="11">
        <f>IF($T515=0,"",IF(AND($I515="Bloomberg",ISNUMBER(INDEX('Market Data'!$L$5:$L$528,$T515))),INDEX('Market Data'!$L$5:$L$528,$T515),"unavailable"))</f>
        <v/>
      </c>
      <c r="G515" s="12">
        <f>IF($T515=0,"",IF($I515="Bloomberg",IF(AND(ISNUMBER(INDEX('Market Data'!$M$5:$M$528,$T515)),N(INDEX('Market Data'!$M$5:$M$528,$T515))&gt;0),INDEX('Market Data'!$M$5:$M$528,$T515),"date unavailable"),IF($I515="Snapshot",IF(AND(ISNUMBER(INDEX('Market Data'!$H$5:$H$528,$T515)),N(INDEX('Market Data'!$H$5:$H$528,$T515))&gt;0),INDEX('Market Data'!$H$5:$H$528,$T515),"date unavailable"),"date unavailable")))</f>
        <v/>
      </c>
      <c r="H515" s="9">
        <f>IF($T515=0,"",IF($I515="Bloomberg",IF(INDEX('Market Data'!$N$5:$N$528,$T515)="","time unavailable",INDEX('Market Data'!$N$5:$N$528,$T515)),""))</f>
        <v/>
      </c>
      <c r="I515" s="9">
        <f>IF($T515=0,"",INDEX('Market Data'!$P$5:$P$528,$T515))</f>
        <v/>
      </c>
      <c r="J515" s="13">
        <f>IF($T515=0,"",IF(INDEX('Market Data'!$E$5:$E$528,$T515)="","",INDEX('Market Data'!$E$5:$E$528,$T515)))</f>
        <v/>
      </c>
      <c r="K515" s="8">
        <f>IF($T515=0,"",IF(INDEX('Market Data'!$I$5:$I$528,$T515)="","",INDEX('Market Data'!$I$5:$I$528,$T515)))</f>
        <v/>
      </c>
      <c r="L515" s="10">
        <f>IF($T515=0,"",IF(INDEX('Market Data'!$J$5:$J$528,$T515)=0,"n/a",IF(AND($M$5&lt;&gt;"Snapshot",ISNUMBER(INDEX('Market Data'!$AH$5:$AH$66,INDEX('Market Data'!$J$5:$J$528,$T515)-4)),N(INDEX('Market Data'!$AH$5:$AH$66,INDEX('Market Data'!$J$5:$J$528,$T515)-4))&gt;0),INDEX('Market Data'!$AH$5:$AH$66,INDEX('Market Data'!$J$5:$J$528,$T515)-4),IF(AND($M$5&lt;&gt;"Bloomberg",ISNUMBER(INDEX('Market Data'!$AC$5:$AC$66,INDEX('Market Data'!$J$5:$J$528,$T515)-4)),N(INDEX('Market Data'!$AC$5:$AC$66,INDEX('Market Data'!$J$5:$J$528,$T515)-4))&gt;0),INDEX('Market Data'!$AC$5:$AC$66,INDEX('Market Data'!$J$5:$J$528,$T515)-4),"unavailable"))))</f>
        <v/>
      </c>
      <c r="M515" s="11">
        <f>IF($T515=0,"",IF(INDEX('Market Data'!$J$5:$J$528,$T515)=0,"n/a",IF(IF(INDEX('Market Data'!$J$5:$J$528,$T515)=0,0,IF(LEFT(INDEX('Market Data'!$AS$5:$AS$66,INDEX('Market Data'!$J$5:$J$528,$T515)-4),11)="First-month",1,0))=1,"class review",IF($I515="Bloomberg",IF(AND(ISNUMBER(INDEX('Market Data'!$AH$5:$AH$66,INDEX('Market Data'!$J$5:$J$528,$T515)-4)),N(INDEX('Market Data'!$AH$5:$AH$66,INDEX('Market Data'!$J$5:$J$528,$T515)-4))&gt;0,ISNUMBER('Market Data'!$B$1),N('Market Data'!$B$1)&gt;0),INDEX('Market Data'!$AH$5:$AH$66,INDEX('Market Data'!$J$5:$J$528,$T515)-4)*'Market Data'!$B$1/$E515-1,"pending A/FX"),IF(AND($I515="Snapshot",$Q515="Snapshot",ISNUMBER($E515),$G515=INDEX('Market Data'!$AE$5:$AE$66,INDEX('Market Data'!$J$5:$J$528,$T515)-4)),IFERROR(INDEX('Market Data'!$AC$5:$AC$66,INDEX('Market Data'!$J$5:$J$528,$T515)-4)*INDEX('Market Data'!$AD$5:$AD$66,INDEX('Market Data'!$J$5:$J$528,$T515)-4)/$E515-1,"unavailable"),IF($I515="Unavailable","unavailable","date mismatch"))))))</f>
        <v/>
      </c>
      <c r="N515" s="11">
        <f>IF($T515=0,"",IFERROR(IF(AND(N(INDEX('Market Data'!$F$5:$F$528,$T515))&gt;0,ISNUMBER(INDEX('Market Data'!$T$5:$T$528,$T515))),$E515*INDEX('Market Data'!$T$5:$T$528,$T515)/INDEX('Market Data'!$F$5:$F$528,$T515)-1,"unavailable"),"unavailable"))</f>
        <v/>
      </c>
      <c r="O515" s="9">
        <f>IF($T515=0,"",IF(IF(INDEX('Market Data'!$J$5:$J$528,$T515)=0,0,IF(LEFT(INDEX('Market Data'!$AS$5:$AS$66,INDEX('Market Data'!$J$5:$J$528,$T515)-4),11)="First-month",1,0))=1,"Class ratio review",IF($I515="Bloomberg",IF(ISNUMBER($G515),IF($G515&lt;TODAY(),"Older quote","See quote time"),"Date unavailable"),IF($I515="Snapshot",IF($G515&lt;DATEVALUE("2026-10-02"),"Older snapshot","Dated close"),"No valid quote"))))</f>
        <v/>
      </c>
      <c r="P515" s="14">
        <f>IF($T515=0,"",IF(INDEX('Market Data'!$J$5:$J$528,$T515)=0,"n/a",IF($Q515="Bloomberg",IF(AND(ISNUMBER(INDEX('Market Data'!$AK$5:$AK$66,INDEX('Market Data'!$J$5:$J$528,$T515)-4)),N(INDEX('Market Data'!$AK$5:$AK$66,INDEX('Market Data'!$J$5:$J$528,$T515)-4))&gt;0),INDEX('Market Data'!$AK$5:$AK$66,INDEX('Market Data'!$J$5:$J$528,$T515)-4),"date unavailable"),IF($Q515="Snapshot",IF(AND(ISNUMBER(INDEX('Market Data'!$AF$5:$AF$66,INDEX('Market Data'!$J$5:$J$528,$T515)-4)),N(INDEX('Market Data'!$AF$5:$AF$66,INDEX('Market Data'!$J$5:$J$528,$T515)-4))&gt;0),INDEX('Market Data'!$AF$5:$AF$66,INDEX('Market Data'!$J$5:$J$528,$T515)-4),"date unavailable"),"date unavailable"))))</f>
        <v/>
      </c>
      <c r="Q515" s="15">
        <f>IF($T515=0,"",IF(INDEX('Market Data'!$J$5:$J$528,$T515)=0,"n/a",IF(AND($M$5&lt;&gt;"Snapshot",ISNUMBER(INDEX('Market Data'!$AH$5:$AH$66,INDEX('Market Data'!$J$5:$J$528,$T515)-4)),N(INDEX('Market Data'!$AH$5:$AH$66,INDEX('Market Data'!$J$5:$J$528,$T515)-4))&gt;0),"Bloomberg",IF(AND($M$5&lt;&gt;"Bloomberg",ISNUMBER(INDEX('Market Data'!$AC$5:$AC$66,INDEX('Market Data'!$J$5:$J$528,$T515)-4)),N(INDEX('Market Data'!$AC$5:$AC$66,INDEX('Market Data'!$J$5:$J$528,$T515)-4))&gt;0),"Snapshot","Unavailable"))))</f>
        <v/>
      </c>
      <c r="T515">
        <f>IFERROR(MATCH(507,'Market Data'!$S$5:$S$528,0),0)</f>
        <v/>
      </c>
    </row>
    <row r="516" ht="34" customHeight="1">
      <c r="A516" s="8">
        <f>IF($T516=0,"",IF(INDEX('Market Data'!$A$5:$A$528,$T516)="","",INDEX('Market Data'!$A$5:$A$528,$T516)))</f>
        <v/>
      </c>
      <c r="B516" s="9">
        <f>IF($T516=0,"",IF(INDEX('Market Data'!$B$5:$B$528,$T516)="","",INDEX('Market Data'!$B$5:$B$528,$T516)))</f>
        <v/>
      </c>
      <c r="C516" s="9">
        <f>IF($T516=0,"",IF(INDEX('Market Data'!$C$5:$C$528,$T516)="","",INDEX('Market Data'!$C$5:$C$528,$T516)))</f>
        <v/>
      </c>
      <c r="D516" s="9">
        <f>IF($T516=0,"",IF(INDEX('Market Data'!$D$5:$D$528,$T516)="","",INDEX('Market Data'!$D$5:$D$528,$T516)))</f>
        <v/>
      </c>
      <c r="E516" s="10">
        <f>IF($T516=0,"",INDEX('Market Data'!$O$5:$O$528,$T516))</f>
        <v/>
      </c>
      <c r="F516" s="11">
        <f>IF($T516=0,"",IF(AND($I516="Bloomberg",ISNUMBER(INDEX('Market Data'!$L$5:$L$528,$T516))),INDEX('Market Data'!$L$5:$L$528,$T516),"unavailable"))</f>
        <v/>
      </c>
      <c r="G516" s="12">
        <f>IF($T516=0,"",IF($I516="Bloomberg",IF(AND(ISNUMBER(INDEX('Market Data'!$M$5:$M$528,$T516)),N(INDEX('Market Data'!$M$5:$M$528,$T516))&gt;0),INDEX('Market Data'!$M$5:$M$528,$T516),"date unavailable"),IF($I516="Snapshot",IF(AND(ISNUMBER(INDEX('Market Data'!$H$5:$H$528,$T516)),N(INDEX('Market Data'!$H$5:$H$528,$T516))&gt;0),INDEX('Market Data'!$H$5:$H$528,$T516),"date unavailable"),"date unavailable")))</f>
        <v/>
      </c>
      <c r="H516" s="9">
        <f>IF($T516=0,"",IF($I516="Bloomberg",IF(INDEX('Market Data'!$N$5:$N$528,$T516)="","time unavailable",INDEX('Market Data'!$N$5:$N$528,$T516)),""))</f>
        <v/>
      </c>
      <c r="I516" s="9">
        <f>IF($T516=0,"",INDEX('Market Data'!$P$5:$P$528,$T516))</f>
        <v/>
      </c>
      <c r="J516" s="13">
        <f>IF($T516=0,"",IF(INDEX('Market Data'!$E$5:$E$528,$T516)="","",INDEX('Market Data'!$E$5:$E$528,$T516)))</f>
        <v/>
      </c>
      <c r="K516" s="8">
        <f>IF($T516=0,"",IF(INDEX('Market Data'!$I$5:$I$528,$T516)="","",INDEX('Market Data'!$I$5:$I$528,$T516)))</f>
        <v/>
      </c>
      <c r="L516" s="10">
        <f>IF($T516=0,"",IF(INDEX('Market Data'!$J$5:$J$528,$T516)=0,"n/a",IF(AND($M$5&lt;&gt;"Snapshot",ISNUMBER(INDEX('Market Data'!$AH$5:$AH$66,INDEX('Market Data'!$J$5:$J$528,$T516)-4)),N(INDEX('Market Data'!$AH$5:$AH$66,INDEX('Market Data'!$J$5:$J$528,$T516)-4))&gt;0),INDEX('Market Data'!$AH$5:$AH$66,INDEX('Market Data'!$J$5:$J$528,$T516)-4),IF(AND($M$5&lt;&gt;"Bloomberg",ISNUMBER(INDEX('Market Data'!$AC$5:$AC$66,INDEX('Market Data'!$J$5:$J$528,$T516)-4)),N(INDEX('Market Data'!$AC$5:$AC$66,INDEX('Market Data'!$J$5:$J$528,$T516)-4))&gt;0),INDEX('Market Data'!$AC$5:$AC$66,INDEX('Market Data'!$J$5:$J$528,$T516)-4),"unavailable"))))</f>
        <v/>
      </c>
      <c r="M516" s="11">
        <f>IF($T516=0,"",IF(INDEX('Market Data'!$J$5:$J$528,$T516)=0,"n/a",IF(IF(INDEX('Market Data'!$J$5:$J$528,$T516)=0,0,IF(LEFT(INDEX('Market Data'!$AS$5:$AS$66,INDEX('Market Data'!$J$5:$J$528,$T516)-4),11)="First-month",1,0))=1,"class review",IF($I516="Bloomberg",IF(AND(ISNUMBER(INDEX('Market Data'!$AH$5:$AH$66,INDEX('Market Data'!$J$5:$J$528,$T516)-4)),N(INDEX('Market Data'!$AH$5:$AH$66,INDEX('Market Data'!$J$5:$J$528,$T516)-4))&gt;0,ISNUMBER('Market Data'!$B$1),N('Market Data'!$B$1)&gt;0),INDEX('Market Data'!$AH$5:$AH$66,INDEX('Market Data'!$J$5:$J$528,$T516)-4)*'Market Data'!$B$1/$E516-1,"pending A/FX"),IF(AND($I516="Snapshot",$Q516="Snapshot",ISNUMBER($E516),$G516=INDEX('Market Data'!$AE$5:$AE$66,INDEX('Market Data'!$J$5:$J$528,$T516)-4)),IFERROR(INDEX('Market Data'!$AC$5:$AC$66,INDEX('Market Data'!$J$5:$J$528,$T516)-4)*INDEX('Market Data'!$AD$5:$AD$66,INDEX('Market Data'!$J$5:$J$528,$T516)-4)/$E516-1,"unavailable"),IF($I516="Unavailable","unavailable","date mismatch"))))))</f>
        <v/>
      </c>
      <c r="N516" s="11">
        <f>IF($T516=0,"",IFERROR(IF(AND(N(INDEX('Market Data'!$F$5:$F$528,$T516))&gt;0,ISNUMBER(INDEX('Market Data'!$T$5:$T$528,$T516))),$E516*INDEX('Market Data'!$T$5:$T$528,$T516)/INDEX('Market Data'!$F$5:$F$528,$T516)-1,"unavailable"),"unavailable"))</f>
        <v/>
      </c>
      <c r="O516" s="9">
        <f>IF($T516=0,"",IF(IF(INDEX('Market Data'!$J$5:$J$528,$T516)=0,0,IF(LEFT(INDEX('Market Data'!$AS$5:$AS$66,INDEX('Market Data'!$J$5:$J$528,$T516)-4),11)="First-month",1,0))=1,"Class ratio review",IF($I516="Bloomberg",IF(ISNUMBER($G516),IF($G516&lt;TODAY(),"Older quote","See quote time"),"Date unavailable"),IF($I516="Snapshot",IF($G516&lt;DATEVALUE("2026-10-02"),"Older snapshot","Dated close"),"No valid quote"))))</f>
        <v/>
      </c>
      <c r="P516" s="14">
        <f>IF($T516=0,"",IF(INDEX('Market Data'!$J$5:$J$528,$T516)=0,"n/a",IF($Q516="Bloomberg",IF(AND(ISNUMBER(INDEX('Market Data'!$AK$5:$AK$66,INDEX('Market Data'!$J$5:$J$528,$T516)-4)),N(INDEX('Market Data'!$AK$5:$AK$66,INDEX('Market Data'!$J$5:$J$528,$T516)-4))&gt;0),INDEX('Market Data'!$AK$5:$AK$66,INDEX('Market Data'!$J$5:$J$528,$T516)-4),"date unavailable"),IF($Q516="Snapshot",IF(AND(ISNUMBER(INDEX('Market Data'!$AF$5:$AF$66,INDEX('Market Data'!$J$5:$J$528,$T516)-4)),N(INDEX('Market Data'!$AF$5:$AF$66,INDEX('Market Data'!$J$5:$J$528,$T516)-4))&gt;0),INDEX('Market Data'!$AF$5:$AF$66,INDEX('Market Data'!$J$5:$J$528,$T516)-4),"date unavailable"),"date unavailable"))))</f>
        <v/>
      </c>
      <c r="Q516" s="15">
        <f>IF($T516=0,"",IF(INDEX('Market Data'!$J$5:$J$528,$T516)=0,"n/a",IF(AND($M$5&lt;&gt;"Snapshot",ISNUMBER(INDEX('Market Data'!$AH$5:$AH$66,INDEX('Market Data'!$J$5:$J$528,$T516)-4)),N(INDEX('Market Data'!$AH$5:$AH$66,INDEX('Market Data'!$J$5:$J$528,$T516)-4))&gt;0),"Bloomberg",IF(AND($M$5&lt;&gt;"Bloomberg",ISNUMBER(INDEX('Market Data'!$AC$5:$AC$66,INDEX('Market Data'!$J$5:$J$528,$T516)-4)),N(INDEX('Market Data'!$AC$5:$AC$66,INDEX('Market Data'!$J$5:$J$528,$T516)-4))&gt;0),"Snapshot","Unavailable"))))</f>
        <v/>
      </c>
      <c r="T516">
        <f>IFERROR(MATCH(508,'Market Data'!$S$5:$S$528,0),0)</f>
        <v/>
      </c>
    </row>
    <row r="517" ht="34" customHeight="1">
      <c r="A517" s="8">
        <f>IF($T517=0,"",IF(INDEX('Market Data'!$A$5:$A$528,$T517)="","",INDEX('Market Data'!$A$5:$A$528,$T517)))</f>
        <v/>
      </c>
      <c r="B517" s="9">
        <f>IF($T517=0,"",IF(INDEX('Market Data'!$B$5:$B$528,$T517)="","",INDEX('Market Data'!$B$5:$B$528,$T517)))</f>
        <v/>
      </c>
      <c r="C517" s="9">
        <f>IF($T517=0,"",IF(INDEX('Market Data'!$C$5:$C$528,$T517)="","",INDEX('Market Data'!$C$5:$C$528,$T517)))</f>
        <v/>
      </c>
      <c r="D517" s="9">
        <f>IF($T517=0,"",IF(INDEX('Market Data'!$D$5:$D$528,$T517)="","",INDEX('Market Data'!$D$5:$D$528,$T517)))</f>
        <v/>
      </c>
      <c r="E517" s="10">
        <f>IF($T517=0,"",INDEX('Market Data'!$O$5:$O$528,$T517))</f>
        <v/>
      </c>
      <c r="F517" s="11">
        <f>IF($T517=0,"",IF(AND($I517="Bloomberg",ISNUMBER(INDEX('Market Data'!$L$5:$L$528,$T517))),INDEX('Market Data'!$L$5:$L$528,$T517),"unavailable"))</f>
        <v/>
      </c>
      <c r="G517" s="12">
        <f>IF($T517=0,"",IF($I517="Bloomberg",IF(AND(ISNUMBER(INDEX('Market Data'!$M$5:$M$528,$T517)),N(INDEX('Market Data'!$M$5:$M$528,$T517))&gt;0),INDEX('Market Data'!$M$5:$M$528,$T517),"date unavailable"),IF($I517="Snapshot",IF(AND(ISNUMBER(INDEX('Market Data'!$H$5:$H$528,$T517)),N(INDEX('Market Data'!$H$5:$H$528,$T517))&gt;0),INDEX('Market Data'!$H$5:$H$528,$T517),"date unavailable"),"date unavailable")))</f>
        <v/>
      </c>
      <c r="H517" s="9">
        <f>IF($T517=0,"",IF($I517="Bloomberg",IF(INDEX('Market Data'!$N$5:$N$528,$T517)="","time unavailable",INDEX('Market Data'!$N$5:$N$528,$T517)),""))</f>
        <v/>
      </c>
      <c r="I517" s="9">
        <f>IF($T517=0,"",INDEX('Market Data'!$P$5:$P$528,$T517))</f>
        <v/>
      </c>
      <c r="J517" s="13">
        <f>IF($T517=0,"",IF(INDEX('Market Data'!$E$5:$E$528,$T517)="","",INDEX('Market Data'!$E$5:$E$528,$T517)))</f>
        <v/>
      </c>
      <c r="K517" s="8">
        <f>IF($T517=0,"",IF(INDEX('Market Data'!$I$5:$I$528,$T517)="","",INDEX('Market Data'!$I$5:$I$528,$T517)))</f>
        <v/>
      </c>
      <c r="L517" s="10">
        <f>IF($T517=0,"",IF(INDEX('Market Data'!$J$5:$J$528,$T517)=0,"n/a",IF(AND($M$5&lt;&gt;"Snapshot",ISNUMBER(INDEX('Market Data'!$AH$5:$AH$66,INDEX('Market Data'!$J$5:$J$528,$T517)-4)),N(INDEX('Market Data'!$AH$5:$AH$66,INDEX('Market Data'!$J$5:$J$528,$T517)-4))&gt;0),INDEX('Market Data'!$AH$5:$AH$66,INDEX('Market Data'!$J$5:$J$528,$T517)-4),IF(AND($M$5&lt;&gt;"Bloomberg",ISNUMBER(INDEX('Market Data'!$AC$5:$AC$66,INDEX('Market Data'!$J$5:$J$528,$T517)-4)),N(INDEX('Market Data'!$AC$5:$AC$66,INDEX('Market Data'!$J$5:$J$528,$T517)-4))&gt;0),INDEX('Market Data'!$AC$5:$AC$66,INDEX('Market Data'!$J$5:$J$528,$T517)-4),"unavailable"))))</f>
        <v/>
      </c>
      <c r="M517" s="11">
        <f>IF($T517=0,"",IF(INDEX('Market Data'!$J$5:$J$528,$T517)=0,"n/a",IF(IF(INDEX('Market Data'!$J$5:$J$528,$T517)=0,0,IF(LEFT(INDEX('Market Data'!$AS$5:$AS$66,INDEX('Market Data'!$J$5:$J$528,$T517)-4),11)="First-month",1,0))=1,"class review",IF($I517="Bloomberg",IF(AND(ISNUMBER(INDEX('Market Data'!$AH$5:$AH$66,INDEX('Market Data'!$J$5:$J$528,$T517)-4)),N(INDEX('Market Data'!$AH$5:$AH$66,INDEX('Market Data'!$J$5:$J$528,$T517)-4))&gt;0,ISNUMBER('Market Data'!$B$1),N('Market Data'!$B$1)&gt;0),INDEX('Market Data'!$AH$5:$AH$66,INDEX('Market Data'!$J$5:$J$528,$T517)-4)*'Market Data'!$B$1/$E517-1,"pending A/FX"),IF(AND($I517="Snapshot",$Q517="Snapshot",ISNUMBER($E517),$G517=INDEX('Market Data'!$AE$5:$AE$66,INDEX('Market Data'!$J$5:$J$528,$T517)-4)),IFERROR(INDEX('Market Data'!$AC$5:$AC$66,INDEX('Market Data'!$J$5:$J$528,$T517)-4)*INDEX('Market Data'!$AD$5:$AD$66,INDEX('Market Data'!$J$5:$J$528,$T517)-4)/$E517-1,"unavailable"),IF($I517="Unavailable","unavailable","date mismatch"))))))</f>
        <v/>
      </c>
      <c r="N517" s="11">
        <f>IF($T517=0,"",IFERROR(IF(AND(N(INDEX('Market Data'!$F$5:$F$528,$T517))&gt;0,ISNUMBER(INDEX('Market Data'!$T$5:$T$528,$T517))),$E517*INDEX('Market Data'!$T$5:$T$528,$T517)/INDEX('Market Data'!$F$5:$F$528,$T517)-1,"unavailable"),"unavailable"))</f>
        <v/>
      </c>
      <c r="O517" s="9">
        <f>IF($T517=0,"",IF(IF(INDEX('Market Data'!$J$5:$J$528,$T517)=0,0,IF(LEFT(INDEX('Market Data'!$AS$5:$AS$66,INDEX('Market Data'!$J$5:$J$528,$T517)-4),11)="First-month",1,0))=1,"Class ratio review",IF($I517="Bloomberg",IF(ISNUMBER($G517),IF($G517&lt;TODAY(),"Older quote","See quote time"),"Date unavailable"),IF($I517="Snapshot",IF($G517&lt;DATEVALUE("2026-10-02"),"Older snapshot","Dated close"),"No valid quote"))))</f>
        <v/>
      </c>
      <c r="P517" s="14">
        <f>IF($T517=0,"",IF(INDEX('Market Data'!$J$5:$J$528,$T517)=0,"n/a",IF($Q517="Bloomberg",IF(AND(ISNUMBER(INDEX('Market Data'!$AK$5:$AK$66,INDEX('Market Data'!$J$5:$J$528,$T517)-4)),N(INDEX('Market Data'!$AK$5:$AK$66,INDEX('Market Data'!$J$5:$J$528,$T517)-4))&gt;0),INDEX('Market Data'!$AK$5:$AK$66,INDEX('Market Data'!$J$5:$J$528,$T517)-4),"date unavailable"),IF($Q517="Snapshot",IF(AND(ISNUMBER(INDEX('Market Data'!$AF$5:$AF$66,INDEX('Market Data'!$J$5:$J$528,$T517)-4)),N(INDEX('Market Data'!$AF$5:$AF$66,INDEX('Market Data'!$J$5:$J$528,$T517)-4))&gt;0),INDEX('Market Data'!$AF$5:$AF$66,INDEX('Market Data'!$J$5:$J$528,$T517)-4),"date unavailable"),"date unavailable"))))</f>
        <v/>
      </c>
      <c r="Q517" s="15">
        <f>IF($T517=0,"",IF(INDEX('Market Data'!$J$5:$J$528,$T517)=0,"n/a",IF(AND($M$5&lt;&gt;"Snapshot",ISNUMBER(INDEX('Market Data'!$AH$5:$AH$66,INDEX('Market Data'!$J$5:$J$528,$T517)-4)),N(INDEX('Market Data'!$AH$5:$AH$66,INDEX('Market Data'!$J$5:$J$528,$T517)-4))&gt;0),"Bloomberg",IF(AND($M$5&lt;&gt;"Bloomberg",ISNUMBER(INDEX('Market Data'!$AC$5:$AC$66,INDEX('Market Data'!$J$5:$J$528,$T517)-4)),N(INDEX('Market Data'!$AC$5:$AC$66,INDEX('Market Data'!$J$5:$J$528,$T517)-4))&gt;0),"Snapshot","Unavailable"))))</f>
        <v/>
      </c>
      <c r="T517">
        <f>IFERROR(MATCH(509,'Market Data'!$S$5:$S$528,0),0)</f>
        <v/>
      </c>
    </row>
    <row r="518" ht="34" customHeight="1">
      <c r="A518" s="8">
        <f>IF($T518=0,"",IF(INDEX('Market Data'!$A$5:$A$528,$T518)="","",INDEX('Market Data'!$A$5:$A$528,$T518)))</f>
        <v/>
      </c>
      <c r="B518" s="9">
        <f>IF($T518=0,"",IF(INDEX('Market Data'!$B$5:$B$528,$T518)="","",INDEX('Market Data'!$B$5:$B$528,$T518)))</f>
        <v/>
      </c>
      <c r="C518" s="9">
        <f>IF($T518=0,"",IF(INDEX('Market Data'!$C$5:$C$528,$T518)="","",INDEX('Market Data'!$C$5:$C$528,$T518)))</f>
        <v/>
      </c>
      <c r="D518" s="9">
        <f>IF($T518=0,"",IF(INDEX('Market Data'!$D$5:$D$528,$T518)="","",INDEX('Market Data'!$D$5:$D$528,$T518)))</f>
        <v/>
      </c>
      <c r="E518" s="10">
        <f>IF($T518=0,"",INDEX('Market Data'!$O$5:$O$528,$T518))</f>
        <v/>
      </c>
      <c r="F518" s="11">
        <f>IF($T518=0,"",IF(AND($I518="Bloomberg",ISNUMBER(INDEX('Market Data'!$L$5:$L$528,$T518))),INDEX('Market Data'!$L$5:$L$528,$T518),"unavailable"))</f>
        <v/>
      </c>
      <c r="G518" s="12">
        <f>IF($T518=0,"",IF($I518="Bloomberg",IF(AND(ISNUMBER(INDEX('Market Data'!$M$5:$M$528,$T518)),N(INDEX('Market Data'!$M$5:$M$528,$T518))&gt;0),INDEX('Market Data'!$M$5:$M$528,$T518),"date unavailable"),IF($I518="Snapshot",IF(AND(ISNUMBER(INDEX('Market Data'!$H$5:$H$528,$T518)),N(INDEX('Market Data'!$H$5:$H$528,$T518))&gt;0),INDEX('Market Data'!$H$5:$H$528,$T518),"date unavailable"),"date unavailable")))</f>
        <v/>
      </c>
      <c r="H518" s="9">
        <f>IF($T518=0,"",IF($I518="Bloomberg",IF(INDEX('Market Data'!$N$5:$N$528,$T518)="","time unavailable",INDEX('Market Data'!$N$5:$N$528,$T518)),""))</f>
        <v/>
      </c>
      <c r="I518" s="9">
        <f>IF($T518=0,"",INDEX('Market Data'!$P$5:$P$528,$T518))</f>
        <v/>
      </c>
      <c r="J518" s="13">
        <f>IF($T518=0,"",IF(INDEX('Market Data'!$E$5:$E$528,$T518)="","",INDEX('Market Data'!$E$5:$E$528,$T518)))</f>
        <v/>
      </c>
      <c r="K518" s="8">
        <f>IF($T518=0,"",IF(INDEX('Market Data'!$I$5:$I$528,$T518)="","",INDEX('Market Data'!$I$5:$I$528,$T518)))</f>
        <v/>
      </c>
      <c r="L518" s="10">
        <f>IF($T518=0,"",IF(INDEX('Market Data'!$J$5:$J$528,$T518)=0,"n/a",IF(AND($M$5&lt;&gt;"Snapshot",ISNUMBER(INDEX('Market Data'!$AH$5:$AH$66,INDEX('Market Data'!$J$5:$J$528,$T518)-4)),N(INDEX('Market Data'!$AH$5:$AH$66,INDEX('Market Data'!$J$5:$J$528,$T518)-4))&gt;0),INDEX('Market Data'!$AH$5:$AH$66,INDEX('Market Data'!$J$5:$J$528,$T518)-4),IF(AND($M$5&lt;&gt;"Bloomberg",ISNUMBER(INDEX('Market Data'!$AC$5:$AC$66,INDEX('Market Data'!$J$5:$J$528,$T518)-4)),N(INDEX('Market Data'!$AC$5:$AC$66,INDEX('Market Data'!$J$5:$J$528,$T518)-4))&gt;0),INDEX('Market Data'!$AC$5:$AC$66,INDEX('Market Data'!$J$5:$J$528,$T518)-4),"unavailable"))))</f>
        <v/>
      </c>
      <c r="M518" s="11">
        <f>IF($T518=0,"",IF(INDEX('Market Data'!$J$5:$J$528,$T518)=0,"n/a",IF(IF(INDEX('Market Data'!$J$5:$J$528,$T518)=0,0,IF(LEFT(INDEX('Market Data'!$AS$5:$AS$66,INDEX('Market Data'!$J$5:$J$528,$T518)-4),11)="First-month",1,0))=1,"class review",IF($I518="Bloomberg",IF(AND(ISNUMBER(INDEX('Market Data'!$AH$5:$AH$66,INDEX('Market Data'!$J$5:$J$528,$T518)-4)),N(INDEX('Market Data'!$AH$5:$AH$66,INDEX('Market Data'!$J$5:$J$528,$T518)-4))&gt;0,ISNUMBER('Market Data'!$B$1),N('Market Data'!$B$1)&gt;0),INDEX('Market Data'!$AH$5:$AH$66,INDEX('Market Data'!$J$5:$J$528,$T518)-4)*'Market Data'!$B$1/$E518-1,"pending A/FX"),IF(AND($I518="Snapshot",$Q518="Snapshot",ISNUMBER($E518),$G518=INDEX('Market Data'!$AE$5:$AE$66,INDEX('Market Data'!$J$5:$J$528,$T518)-4)),IFERROR(INDEX('Market Data'!$AC$5:$AC$66,INDEX('Market Data'!$J$5:$J$528,$T518)-4)*INDEX('Market Data'!$AD$5:$AD$66,INDEX('Market Data'!$J$5:$J$528,$T518)-4)/$E518-1,"unavailable"),IF($I518="Unavailable","unavailable","date mismatch"))))))</f>
        <v/>
      </c>
      <c r="N518" s="11">
        <f>IF($T518=0,"",IFERROR(IF(AND(N(INDEX('Market Data'!$F$5:$F$528,$T518))&gt;0,ISNUMBER(INDEX('Market Data'!$T$5:$T$528,$T518))),$E518*INDEX('Market Data'!$T$5:$T$528,$T518)/INDEX('Market Data'!$F$5:$F$528,$T518)-1,"unavailable"),"unavailable"))</f>
        <v/>
      </c>
      <c r="O518" s="9">
        <f>IF($T518=0,"",IF(IF(INDEX('Market Data'!$J$5:$J$528,$T518)=0,0,IF(LEFT(INDEX('Market Data'!$AS$5:$AS$66,INDEX('Market Data'!$J$5:$J$528,$T518)-4),11)="First-month",1,0))=1,"Class ratio review",IF($I518="Bloomberg",IF(ISNUMBER($G518),IF($G518&lt;TODAY(),"Older quote","See quote time"),"Date unavailable"),IF($I518="Snapshot",IF($G518&lt;DATEVALUE("2026-10-02"),"Older snapshot","Dated close"),"No valid quote"))))</f>
        <v/>
      </c>
      <c r="P518" s="14">
        <f>IF($T518=0,"",IF(INDEX('Market Data'!$J$5:$J$528,$T518)=0,"n/a",IF($Q518="Bloomberg",IF(AND(ISNUMBER(INDEX('Market Data'!$AK$5:$AK$66,INDEX('Market Data'!$J$5:$J$528,$T518)-4)),N(INDEX('Market Data'!$AK$5:$AK$66,INDEX('Market Data'!$J$5:$J$528,$T518)-4))&gt;0),INDEX('Market Data'!$AK$5:$AK$66,INDEX('Market Data'!$J$5:$J$528,$T518)-4),"date unavailable"),IF($Q518="Snapshot",IF(AND(ISNUMBER(INDEX('Market Data'!$AF$5:$AF$66,INDEX('Market Data'!$J$5:$J$528,$T518)-4)),N(INDEX('Market Data'!$AF$5:$AF$66,INDEX('Market Data'!$J$5:$J$528,$T518)-4))&gt;0),INDEX('Market Data'!$AF$5:$AF$66,INDEX('Market Data'!$J$5:$J$528,$T518)-4),"date unavailable"),"date unavailable"))))</f>
        <v/>
      </c>
      <c r="Q518" s="15">
        <f>IF($T518=0,"",IF(INDEX('Market Data'!$J$5:$J$528,$T518)=0,"n/a",IF(AND($M$5&lt;&gt;"Snapshot",ISNUMBER(INDEX('Market Data'!$AH$5:$AH$66,INDEX('Market Data'!$J$5:$J$528,$T518)-4)),N(INDEX('Market Data'!$AH$5:$AH$66,INDEX('Market Data'!$J$5:$J$528,$T518)-4))&gt;0),"Bloomberg",IF(AND($M$5&lt;&gt;"Bloomberg",ISNUMBER(INDEX('Market Data'!$AC$5:$AC$66,INDEX('Market Data'!$J$5:$J$528,$T518)-4)),N(INDEX('Market Data'!$AC$5:$AC$66,INDEX('Market Data'!$J$5:$J$528,$T518)-4))&gt;0),"Snapshot","Unavailable"))))</f>
        <v/>
      </c>
      <c r="T518">
        <f>IFERROR(MATCH(510,'Market Data'!$S$5:$S$528,0),0)</f>
        <v/>
      </c>
    </row>
    <row r="519" ht="34" customHeight="1">
      <c r="A519" s="8">
        <f>IF($T519=0,"",IF(INDEX('Market Data'!$A$5:$A$528,$T519)="","",INDEX('Market Data'!$A$5:$A$528,$T519)))</f>
        <v/>
      </c>
      <c r="B519" s="9">
        <f>IF($T519=0,"",IF(INDEX('Market Data'!$B$5:$B$528,$T519)="","",INDEX('Market Data'!$B$5:$B$528,$T519)))</f>
        <v/>
      </c>
      <c r="C519" s="9">
        <f>IF($T519=0,"",IF(INDEX('Market Data'!$C$5:$C$528,$T519)="","",INDEX('Market Data'!$C$5:$C$528,$T519)))</f>
        <v/>
      </c>
      <c r="D519" s="9">
        <f>IF($T519=0,"",IF(INDEX('Market Data'!$D$5:$D$528,$T519)="","",INDEX('Market Data'!$D$5:$D$528,$T519)))</f>
        <v/>
      </c>
      <c r="E519" s="10">
        <f>IF($T519=0,"",INDEX('Market Data'!$O$5:$O$528,$T519))</f>
        <v/>
      </c>
      <c r="F519" s="11">
        <f>IF($T519=0,"",IF(AND($I519="Bloomberg",ISNUMBER(INDEX('Market Data'!$L$5:$L$528,$T519))),INDEX('Market Data'!$L$5:$L$528,$T519),"unavailable"))</f>
        <v/>
      </c>
      <c r="G519" s="12">
        <f>IF($T519=0,"",IF($I519="Bloomberg",IF(AND(ISNUMBER(INDEX('Market Data'!$M$5:$M$528,$T519)),N(INDEX('Market Data'!$M$5:$M$528,$T519))&gt;0),INDEX('Market Data'!$M$5:$M$528,$T519),"date unavailable"),IF($I519="Snapshot",IF(AND(ISNUMBER(INDEX('Market Data'!$H$5:$H$528,$T519)),N(INDEX('Market Data'!$H$5:$H$528,$T519))&gt;0),INDEX('Market Data'!$H$5:$H$528,$T519),"date unavailable"),"date unavailable")))</f>
        <v/>
      </c>
      <c r="H519" s="9">
        <f>IF($T519=0,"",IF($I519="Bloomberg",IF(INDEX('Market Data'!$N$5:$N$528,$T519)="","time unavailable",INDEX('Market Data'!$N$5:$N$528,$T519)),""))</f>
        <v/>
      </c>
      <c r="I519" s="9">
        <f>IF($T519=0,"",INDEX('Market Data'!$P$5:$P$528,$T519))</f>
        <v/>
      </c>
      <c r="J519" s="13">
        <f>IF($T519=0,"",IF(INDEX('Market Data'!$E$5:$E$528,$T519)="","",INDEX('Market Data'!$E$5:$E$528,$T519)))</f>
        <v/>
      </c>
      <c r="K519" s="8">
        <f>IF($T519=0,"",IF(INDEX('Market Data'!$I$5:$I$528,$T519)="","",INDEX('Market Data'!$I$5:$I$528,$T519)))</f>
        <v/>
      </c>
      <c r="L519" s="10">
        <f>IF($T519=0,"",IF(INDEX('Market Data'!$J$5:$J$528,$T519)=0,"n/a",IF(AND($M$5&lt;&gt;"Snapshot",ISNUMBER(INDEX('Market Data'!$AH$5:$AH$66,INDEX('Market Data'!$J$5:$J$528,$T519)-4)),N(INDEX('Market Data'!$AH$5:$AH$66,INDEX('Market Data'!$J$5:$J$528,$T519)-4))&gt;0),INDEX('Market Data'!$AH$5:$AH$66,INDEX('Market Data'!$J$5:$J$528,$T519)-4),IF(AND($M$5&lt;&gt;"Bloomberg",ISNUMBER(INDEX('Market Data'!$AC$5:$AC$66,INDEX('Market Data'!$J$5:$J$528,$T519)-4)),N(INDEX('Market Data'!$AC$5:$AC$66,INDEX('Market Data'!$J$5:$J$528,$T519)-4))&gt;0),INDEX('Market Data'!$AC$5:$AC$66,INDEX('Market Data'!$J$5:$J$528,$T519)-4),"unavailable"))))</f>
        <v/>
      </c>
      <c r="M519" s="11">
        <f>IF($T519=0,"",IF(INDEX('Market Data'!$J$5:$J$528,$T519)=0,"n/a",IF(IF(INDEX('Market Data'!$J$5:$J$528,$T519)=0,0,IF(LEFT(INDEX('Market Data'!$AS$5:$AS$66,INDEX('Market Data'!$J$5:$J$528,$T519)-4),11)="First-month",1,0))=1,"class review",IF($I519="Bloomberg",IF(AND(ISNUMBER(INDEX('Market Data'!$AH$5:$AH$66,INDEX('Market Data'!$J$5:$J$528,$T519)-4)),N(INDEX('Market Data'!$AH$5:$AH$66,INDEX('Market Data'!$J$5:$J$528,$T519)-4))&gt;0,ISNUMBER('Market Data'!$B$1),N('Market Data'!$B$1)&gt;0),INDEX('Market Data'!$AH$5:$AH$66,INDEX('Market Data'!$J$5:$J$528,$T519)-4)*'Market Data'!$B$1/$E519-1,"pending A/FX"),IF(AND($I519="Snapshot",$Q519="Snapshot",ISNUMBER($E519),$G519=INDEX('Market Data'!$AE$5:$AE$66,INDEX('Market Data'!$J$5:$J$528,$T519)-4)),IFERROR(INDEX('Market Data'!$AC$5:$AC$66,INDEX('Market Data'!$J$5:$J$528,$T519)-4)*INDEX('Market Data'!$AD$5:$AD$66,INDEX('Market Data'!$J$5:$J$528,$T519)-4)/$E519-1,"unavailable"),IF($I519="Unavailable","unavailable","date mismatch"))))))</f>
        <v/>
      </c>
      <c r="N519" s="11">
        <f>IF($T519=0,"",IFERROR(IF(AND(N(INDEX('Market Data'!$F$5:$F$528,$T519))&gt;0,ISNUMBER(INDEX('Market Data'!$T$5:$T$528,$T519))),$E519*INDEX('Market Data'!$T$5:$T$528,$T519)/INDEX('Market Data'!$F$5:$F$528,$T519)-1,"unavailable"),"unavailable"))</f>
        <v/>
      </c>
      <c r="O519" s="9">
        <f>IF($T519=0,"",IF(IF(INDEX('Market Data'!$J$5:$J$528,$T519)=0,0,IF(LEFT(INDEX('Market Data'!$AS$5:$AS$66,INDEX('Market Data'!$J$5:$J$528,$T519)-4),11)="First-month",1,0))=1,"Class ratio review",IF($I519="Bloomberg",IF(ISNUMBER($G519),IF($G519&lt;TODAY(),"Older quote","See quote time"),"Date unavailable"),IF($I519="Snapshot",IF($G519&lt;DATEVALUE("2026-10-02"),"Older snapshot","Dated close"),"No valid quote"))))</f>
        <v/>
      </c>
      <c r="P519" s="14">
        <f>IF($T519=0,"",IF(INDEX('Market Data'!$J$5:$J$528,$T519)=0,"n/a",IF($Q519="Bloomberg",IF(AND(ISNUMBER(INDEX('Market Data'!$AK$5:$AK$66,INDEX('Market Data'!$J$5:$J$528,$T519)-4)),N(INDEX('Market Data'!$AK$5:$AK$66,INDEX('Market Data'!$J$5:$J$528,$T519)-4))&gt;0),INDEX('Market Data'!$AK$5:$AK$66,INDEX('Market Data'!$J$5:$J$528,$T519)-4),"date unavailable"),IF($Q519="Snapshot",IF(AND(ISNUMBER(INDEX('Market Data'!$AF$5:$AF$66,INDEX('Market Data'!$J$5:$J$528,$T519)-4)),N(INDEX('Market Data'!$AF$5:$AF$66,INDEX('Market Data'!$J$5:$J$528,$T519)-4))&gt;0),INDEX('Market Data'!$AF$5:$AF$66,INDEX('Market Data'!$J$5:$J$528,$T519)-4),"date unavailable"),"date unavailable"))))</f>
        <v/>
      </c>
      <c r="Q519" s="15">
        <f>IF($T519=0,"",IF(INDEX('Market Data'!$J$5:$J$528,$T519)=0,"n/a",IF(AND($M$5&lt;&gt;"Snapshot",ISNUMBER(INDEX('Market Data'!$AH$5:$AH$66,INDEX('Market Data'!$J$5:$J$528,$T519)-4)),N(INDEX('Market Data'!$AH$5:$AH$66,INDEX('Market Data'!$J$5:$J$528,$T519)-4))&gt;0),"Bloomberg",IF(AND($M$5&lt;&gt;"Bloomberg",ISNUMBER(INDEX('Market Data'!$AC$5:$AC$66,INDEX('Market Data'!$J$5:$J$528,$T519)-4)),N(INDEX('Market Data'!$AC$5:$AC$66,INDEX('Market Data'!$J$5:$J$528,$T519)-4))&gt;0),"Snapshot","Unavailable"))))</f>
        <v/>
      </c>
      <c r="T519">
        <f>IFERROR(MATCH(511,'Market Data'!$S$5:$S$528,0),0)</f>
        <v/>
      </c>
    </row>
    <row r="520" ht="34" customHeight="1">
      <c r="A520" s="8">
        <f>IF($T520=0,"",IF(INDEX('Market Data'!$A$5:$A$528,$T520)="","",INDEX('Market Data'!$A$5:$A$528,$T520)))</f>
        <v/>
      </c>
      <c r="B520" s="9">
        <f>IF($T520=0,"",IF(INDEX('Market Data'!$B$5:$B$528,$T520)="","",INDEX('Market Data'!$B$5:$B$528,$T520)))</f>
        <v/>
      </c>
      <c r="C520" s="9">
        <f>IF($T520=0,"",IF(INDEX('Market Data'!$C$5:$C$528,$T520)="","",INDEX('Market Data'!$C$5:$C$528,$T520)))</f>
        <v/>
      </c>
      <c r="D520" s="9">
        <f>IF($T520=0,"",IF(INDEX('Market Data'!$D$5:$D$528,$T520)="","",INDEX('Market Data'!$D$5:$D$528,$T520)))</f>
        <v/>
      </c>
      <c r="E520" s="10">
        <f>IF($T520=0,"",INDEX('Market Data'!$O$5:$O$528,$T520))</f>
        <v/>
      </c>
      <c r="F520" s="11">
        <f>IF($T520=0,"",IF(AND($I520="Bloomberg",ISNUMBER(INDEX('Market Data'!$L$5:$L$528,$T520))),INDEX('Market Data'!$L$5:$L$528,$T520),"unavailable"))</f>
        <v/>
      </c>
      <c r="G520" s="12">
        <f>IF($T520=0,"",IF($I520="Bloomberg",IF(AND(ISNUMBER(INDEX('Market Data'!$M$5:$M$528,$T520)),N(INDEX('Market Data'!$M$5:$M$528,$T520))&gt;0),INDEX('Market Data'!$M$5:$M$528,$T520),"date unavailable"),IF($I520="Snapshot",IF(AND(ISNUMBER(INDEX('Market Data'!$H$5:$H$528,$T520)),N(INDEX('Market Data'!$H$5:$H$528,$T520))&gt;0),INDEX('Market Data'!$H$5:$H$528,$T520),"date unavailable"),"date unavailable")))</f>
        <v/>
      </c>
      <c r="H520" s="9">
        <f>IF($T520=0,"",IF($I520="Bloomberg",IF(INDEX('Market Data'!$N$5:$N$528,$T520)="","time unavailable",INDEX('Market Data'!$N$5:$N$528,$T520)),""))</f>
        <v/>
      </c>
      <c r="I520" s="9">
        <f>IF($T520=0,"",INDEX('Market Data'!$P$5:$P$528,$T520))</f>
        <v/>
      </c>
      <c r="J520" s="13">
        <f>IF($T520=0,"",IF(INDEX('Market Data'!$E$5:$E$528,$T520)="","",INDEX('Market Data'!$E$5:$E$528,$T520)))</f>
        <v/>
      </c>
      <c r="K520" s="8">
        <f>IF($T520=0,"",IF(INDEX('Market Data'!$I$5:$I$528,$T520)="","",INDEX('Market Data'!$I$5:$I$528,$T520)))</f>
        <v/>
      </c>
      <c r="L520" s="10">
        <f>IF($T520=0,"",IF(INDEX('Market Data'!$J$5:$J$528,$T520)=0,"n/a",IF(AND($M$5&lt;&gt;"Snapshot",ISNUMBER(INDEX('Market Data'!$AH$5:$AH$66,INDEX('Market Data'!$J$5:$J$528,$T520)-4)),N(INDEX('Market Data'!$AH$5:$AH$66,INDEX('Market Data'!$J$5:$J$528,$T520)-4))&gt;0),INDEX('Market Data'!$AH$5:$AH$66,INDEX('Market Data'!$J$5:$J$528,$T520)-4),IF(AND($M$5&lt;&gt;"Bloomberg",ISNUMBER(INDEX('Market Data'!$AC$5:$AC$66,INDEX('Market Data'!$J$5:$J$528,$T520)-4)),N(INDEX('Market Data'!$AC$5:$AC$66,INDEX('Market Data'!$J$5:$J$528,$T520)-4))&gt;0),INDEX('Market Data'!$AC$5:$AC$66,INDEX('Market Data'!$J$5:$J$528,$T520)-4),"unavailable"))))</f>
        <v/>
      </c>
      <c r="M520" s="11">
        <f>IF($T520=0,"",IF(INDEX('Market Data'!$J$5:$J$528,$T520)=0,"n/a",IF(IF(INDEX('Market Data'!$J$5:$J$528,$T520)=0,0,IF(LEFT(INDEX('Market Data'!$AS$5:$AS$66,INDEX('Market Data'!$J$5:$J$528,$T520)-4),11)="First-month",1,0))=1,"class review",IF($I520="Bloomberg",IF(AND(ISNUMBER(INDEX('Market Data'!$AH$5:$AH$66,INDEX('Market Data'!$J$5:$J$528,$T520)-4)),N(INDEX('Market Data'!$AH$5:$AH$66,INDEX('Market Data'!$J$5:$J$528,$T520)-4))&gt;0,ISNUMBER('Market Data'!$B$1),N('Market Data'!$B$1)&gt;0),INDEX('Market Data'!$AH$5:$AH$66,INDEX('Market Data'!$J$5:$J$528,$T520)-4)*'Market Data'!$B$1/$E520-1,"pending A/FX"),IF(AND($I520="Snapshot",$Q520="Snapshot",ISNUMBER($E520),$G520=INDEX('Market Data'!$AE$5:$AE$66,INDEX('Market Data'!$J$5:$J$528,$T520)-4)),IFERROR(INDEX('Market Data'!$AC$5:$AC$66,INDEX('Market Data'!$J$5:$J$528,$T520)-4)*INDEX('Market Data'!$AD$5:$AD$66,INDEX('Market Data'!$J$5:$J$528,$T520)-4)/$E520-1,"unavailable"),IF($I520="Unavailable","unavailable","date mismatch"))))))</f>
        <v/>
      </c>
      <c r="N520" s="11">
        <f>IF($T520=0,"",IFERROR(IF(AND(N(INDEX('Market Data'!$F$5:$F$528,$T520))&gt;0,ISNUMBER(INDEX('Market Data'!$T$5:$T$528,$T520))),$E520*INDEX('Market Data'!$T$5:$T$528,$T520)/INDEX('Market Data'!$F$5:$F$528,$T520)-1,"unavailable"),"unavailable"))</f>
        <v/>
      </c>
      <c r="O520" s="9">
        <f>IF($T520=0,"",IF(IF(INDEX('Market Data'!$J$5:$J$528,$T520)=0,0,IF(LEFT(INDEX('Market Data'!$AS$5:$AS$66,INDEX('Market Data'!$J$5:$J$528,$T520)-4),11)="First-month",1,0))=1,"Class ratio review",IF($I520="Bloomberg",IF(ISNUMBER($G520),IF($G520&lt;TODAY(),"Older quote","See quote time"),"Date unavailable"),IF($I520="Snapshot",IF($G520&lt;DATEVALUE("2026-10-02"),"Older snapshot","Dated close"),"No valid quote"))))</f>
        <v/>
      </c>
      <c r="P520" s="14">
        <f>IF($T520=0,"",IF(INDEX('Market Data'!$J$5:$J$528,$T520)=0,"n/a",IF($Q520="Bloomberg",IF(AND(ISNUMBER(INDEX('Market Data'!$AK$5:$AK$66,INDEX('Market Data'!$J$5:$J$528,$T520)-4)),N(INDEX('Market Data'!$AK$5:$AK$66,INDEX('Market Data'!$J$5:$J$528,$T520)-4))&gt;0),INDEX('Market Data'!$AK$5:$AK$66,INDEX('Market Data'!$J$5:$J$528,$T520)-4),"date unavailable"),IF($Q520="Snapshot",IF(AND(ISNUMBER(INDEX('Market Data'!$AF$5:$AF$66,INDEX('Market Data'!$J$5:$J$528,$T520)-4)),N(INDEX('Market Data'!$AF$5:$AF$66,INDEX('Market Data'!$J$5:$J$528,$T520)-4))&gt;0),INDEX('Market Data'!$AF$5:$AF$66,INDEX('Market Data'!$J$5:$J$528,$T520)-4),"date unavailable"),"date unavailable"))))</f>
        <v/>
      </c>
      <c r="Q520" s="15">
        <f>IF($T520=0,"",IF(INDEX('Market Data'!$J$5:$J$528,$T520)=0,"n/a",IF(AND($M$5&lt;&gt;"Snapshot",ISNUMBER(INDEX('Market Data'!$AH$5:$AH$66,INDEX('Market Data'!$J$5:$J$528,$T520)-4)),N(INDEX('Market Data'!$AH$5:$AH$66,INDEX('Market Data'!$J$5:$J$528,$T520)-4))&gt;0),"Bloomberg",IF(AND($M$5&lt;&gt;"Bloomberg",ISNUMBER(INDEX('Market Data'!$AC$5:$AC$66,INDEX('Market Data'!$J$5:$J$528,$T520)-4)),N(INDEX('Market Data'!$AC$5:$AC$66,INDEX('Market Data'!$J$5:$J$528,$T520)-4))&gt;0),"Snapshot","Unavailable"))))</f>
        <v/>
      </c>
      <c r="T520">
        <f>IFERROR(MATCH(512,'Market Data'!$S$5:$S$528,0),0)</f>
        <v/>
      </c>
    </row>
    <row r="521" ht="34" customHeight="1">
      <c r="A521" s="8">
        <f>IF($T521=0,"",IF(INDEX('Market Data'!$A$5:$A$528,$T521)="","",INDEX('Market Data'!$A$5:$A$528,$T521)))</f>
        <v/>
      </c>
      <c r="B521" s="9">
        <f>IF($T521=0,"",IF(INDEX('Market Data'!$B$5:$B$528,$T521)="","",INDEX('Market Data'!$B$5:$B$528,$T521)))</f>
        <v/>
      </c>
      <c r="C521" s="9">
        <f>IF($T521=0,"",IF(INDEX('Market Data'!$C$5:$C$528,$T521)="","",INDEX('Market Data'!$C$5:$C$528,$T521)))</f>
        <v/>
      </c>
      <c r="D521" s="9">
        <f>IF($T521=0,"",IF(INDEX('Market Data'!$D$5:$D$528,$T521)="","",INDEX('Market Data'!$D$5:$D$528,$T521)))</f>
        <v/>
      </c>
      <c r="E521" s="10">
        <f>IF($T521=0,"",INDEX('Market Data'!$O$5:$O$528,$T521))</f>
        <v/>
      </c>
      <c r="F521" s="11">
        <f>IF($T521=0,"",IF(AND($I521="Bloomberg",ISNUMBER(INDEX('Market Data'!$L$5:$L$528,$T521))),INDEX('Market Data'!$L$5:$L$528,$T521),"unavailable"))</f>
        <v/>
      </c>
      <c r="G521" s="12">
        <f>IF($T521=0,"",IF($I521="Bloomberg",IF(AND(ISNUMBER(INDEX('Market Data'!$M$5:$M$528,$T521)),N(INDEX('Market Data'!$M$5:$M$528,$T521))&gt;0),INDEX('Market Data'!$M$5:$M$528,$T521),"date unavailable"),IF($I521="Snapshot",IF(AND(ISNUMBER(INDEX('Market Data'!$H$5:$H$528,$T521)),N(INDEX('Market Data'!$H$5:$H$528,$T521))&gt;0),INDEX('Market Data'!$H$5:$H$528,$T521),"date unavailable"),"date unavailable")))</f>
        <v/>
      </c>
      <c r="H521" s="9">
        <f>IF($T521=0,"",IF($I521="Bloomberg",IF(INDEX('Market Data'!$N$5:$N$528,$T521)="","time unavailable",INDEX('Market Data'!$N$5:$N$528,$T521)),""))</f>
        <v/>
      </c>
      <c r="I521" s="9">
        <f>IF($T521=0,"",INDEX('Market Data'!$P$5:$P$528,$T521))</f>
        <v/>
      </c>
      <c r="J521" s="13">
        <f>IF($T521=0,"",IF(INDEX('Market Data'!$E$5:$E$528,$T521)="","",INDEX('Market Data'!$E$5:$E$528,$T521)))</f>
        <v/>
      </c>
      <c r="K521" s="8">
        <f>IF($T521=0,"",IF(INDEX('Market Data'!$I$5:$I$528,$T521)="","",INDEX('Market Data'!$I$5:$I$528,$T521)))</f>
        <v/>
      </c>
      <c r="L521" s="10">
        <f>IF($T521=0,"",IF(INDEX('Market Data'!$J$5:$J$528,$T521)=0,"n/a",IF(AND($M$5&lt;&gt;"Snapshot",ISNUMBER(INDEX('Market Data'!$AH$5:$AH$66,INDEX('Market Data'!$J$5:$J$528,$T521)-4)),N(INDEX('Market Data'!$AH$5:$AH$66,INDEX('Market Data'!$J$5:$J$528,$T521)-4))&gt;0),INDEX('Market Data'!$AH$5:$AH$66,INDEX('Market Data'!$J$5:$J$528,$T521)-4),IF(AND($M$5&lt;&gt;"Bloomberg",ISNUMBER(INDEX('Market Data'!$AC$5:$AC$66,INDEX('Market Data'!$J$5:$J$528,$T521)-4)),N(INDEX('Market Data'!$AC$5:$AC$66,INDEX('Market Data'!$J$5:$J$528,$T521)-4))&gt;0),INDEX('Market Data'!$AC$5:$AC$66,INDEX('Market Data'!$J$5:$J$528,$T521)-4),"unavailable"))))</f>
        <v/>
      </c>
      <c r="M521" s="11">
        <f>IF($T521=0,"",IF(INDEX('Market Data'!$J$5:$J$528,$T521)=0,"n/a",IF(IF(INDEX('Market Data'!$J$5:$J$528,$T521)=0,0,IF(LEFT(INDEX('Market Data'!$AS$5:$AS$66,INDEX('Market Data'!$J$5:$J$528,$T521)-4),11)="First-month",1,0))=1,"class review",IF($I521="Bloomberg",IF(AND(ISNUMBER(INDEX('Market Data'!$AH$5:$AH$66,INDEX('Market Data'!$J$5:$J$528,$T521)-4)),N(INDEX('Market Data'!$AH$5:$AH$66,INDEX('Market Data'!$J$5:$J$528,$T521)-4))&gt;0,ISNUMBER('Market Data'!$B$1),N('Market Data'!$B$1)&gt;0),INDEX('Market Data'!$AH$5:$AH$66,INDEX('Market Data'!$J$5:$J$528,$T521)-4)*'Market Data'!$B$1/$E521-1,"pending A/FX"),IF(AND($I521="Snapshot",$Q521="Snapshot",ISNUMBER($E521),$G521=INDEX('Market Data'!$AE$5:$AE$66,INDEX('Market Data'!$J$5:$J$528,$T521)-4)),IFERROR(INDEX('Market Data'!$AC$5:$AC$66,INDEX('Market Data'!$J$5:$J$528,$T521)-4)*INDEX('Market Data'!$AD$5:$AD$66,INDEX('Market Data'!$J$5:$J$528,$T521)-4)/$E521-1,"unavailable"),IF($I521="Unavailable","unavailable","date mismatch"))))))</f>
        <v/>
      </c>
      <c r="N521" s="11">
        <f>IF($T521=0,"",IFERROR(IF(AND(N(INDEX('Market Data'!$F$5:$F$528,$T521))&gt;0,ISNUMBER(INDEX('Market Data'!$T$5:$T$528,$T521))),$E521*INDEX('Market Data'!$T$5:$T$528,$T521)/INDEX('Market Data'!$F$5:$F$528,$T521)-1,"unavailable"),"unavailable"))</f>
        <v/>
      </c>
      <c r="O521" s="9">
        <f>IF($T521=0,"",IF(IF(INDEX('Market Data'!$J$5:$J$528,$T521)=0,0,IF(LEFT(INDEX('Market Data'!$AS$5:$AS$66,INDEX('Market Data'!$J$5:$J$528,$T521)-4),11)="First-month",1,0))=1,"Class ratio review",IF($I521="Bloomberg",IF(ISNUMBER($G521),IF($G521&lt;TODAY(),"Older quote","See quote time"),"Date unavailable"),IF($I521="Snapshot",IF($G521&lt;DATEVALUE("2026-10-02"),"Older snapshot","Dated close"),"No valid quote"))))</f>
        <v/>
      </c>
      <c r="P521" s="14">
        <f>IF($T521=0,"",IF(INDEX('Market Data'!$J$5:$J$528,$T521)=0,"n/a",IF($Q521="Bloomberg",IF(AND(ISNUMBER(INDEX('Market Data'!$AK$5:$AK$66,INDEX('Market Data'!$J$5:$J$528,$T521)-4)),N(INDEX('Market Data'!$AK$5:$AK$66,INDEX('Market Data'!$J$5:$J$528,$T521)-4))&gt;0),INDEX('Market Data'!$AK$5:$AK$66,INDEX('Market Data'!$J$5:$J$528,$T521)-4),"date unavailable"),IF($Q521="Snapshot",IF(AND(ISNUMBER(INDEX('Market Data'!$AF$5:$AF$66,INDEX('Market Data'!$J$5:$J$528,$T521)-4)),N(INDEX('Market Data'!$AF$5:$AF$66,INDEX('Market Data'!$J$5:$J$528,$T521)-4))&gt;0),INDEX('Market Data'!$AF$5:$AF$66,INDEX('Market Data'!$J$5:$J$528,$T521)-4),"date unavailable"),"date unavailable"))))</f>
        <v/>
      </c>
      <c r="Q521" s="15">
        <f>IF($T521=0,"",IF(INDEX('Market Data'!$J$5:$J$528,$T521)=0,"n/a",IF(AND($M$5&lt;&gt;"Snapshot",ISNUMBER(INDEX('Market Data'!$AH$5:$AH$66,INDEX('Market Data'!$J$5:$J$528,$T521)-4)),N(INDEX('Market Data'!$AH$5:$AH$66,INDEX('Market Data'!$J$5:$J$528,$T521)-4))&gt;0),"Bloomberg",IF(AND($M$5&lt;&gt;"Bloomberg",ISNUMBER(INDEX('Market Data'!$AC$5:$AC$66,INDEX('Market Data'!$J$5:$J$528,$T521)-4)),N(INDEX('Market Data'!$AC$5:$AC$66,INDEX('Market Data'!$J$5:$J$528,$T521)-4))&gt;0),"Snapshot","Unavailable"))))</f>
        <v/>
      </c>
      <c r="T521">
        <f>IFERROR(MATCH(513,'Market Data'!$S$5:$S$528,0),0)</f>
        <v/>
      </c>
    </row>
    <row r="522" ht="34" customHeight="1">
      <c r="A522" s="8">
        <f>IF($T522=0,"",IF(INDEX('Market Data'!$A$5:$A$528,$T522)="","",INDEX('Market Data'!$A$5:$A$528,$T522)))</f>
        <v/>
      </c>
      <c r="B522" s="9">
        <f>IF($T522=0,"",IF(INDEX('Market Data'!$B$5:$B$528,$T522)="","",INDEX('Market Data'!$B$5:$B$528,$T522)))</f>
        <v/>
      </c>
      <c r="C522" s="9">
        <f>IF($T522=0,"",IF(INDEX('Market Data'!$C$5:$C$528,$T522)="","",INDEX('Market Data'!$C$5:$C$528,$T522)))</f>
        <v/>
      </c>
      <c r="D522" s="9">
        <f>IF($T522=0,"",IF(INDEX('Market Data'!$D$5:$D$528,$T522)="","",INDEX('Market Data'!$D$5:$D$528,$T522)))</f>
        <v/>
      </c>
      <c r="E522" s="10">
        <f>IF($T522=0,"",INDEX('Market Data'!$O$5:$O$528,$T522))</f>
        <v/>
      </c>
      <c r="F522" s="11">
        <f>IF($T522=0,"",IF(AND($I522="Bloomberg",ISNUMBER(INDEX('Market Data'!$L$5:$L$528,$T522))),INDEX('Market Data'!$L$5:$L$528,$T522),"unavailable"))</f>
        <v/>
      </c>
      <c r="G522" s="12">
        <f>IF($T522=0,"",IF($I522="Bloomberg",IF(AND(ISNUMBER(INDEX('Market Data'!$M$5:$M$528,$T522)),N(INDEX('Market Data'!$M$5:$M$528,$T522))&gt;0),INDEX('Market Data'!$M$5:$M$528,$T522),"date unavailable"),IF($I522="Snapshot",IF(AND(ISNUMBER(INDEX('Market Data'!$H$5:$H$528,$T522)),N(INDEX('Market Data'!$H$5:$H$528,$T522))&gt;0),INDEX('Market Data'!$H$5:$H$528,$T522),"date unavailable"),"date unavailable")))</f>
        <v/>
      </c>
      <c r="H522" s="9">
        <f>IF($T522=0,"",IF($I522="Bloomberg",IF(INDEX('Market Data'!$N$5:$N$528,$T522)="","time unavailable",INDEX('Market Data'!$N$5:$N$528,$T522)),""))</f>
        <v/>
      </c>
      <c r="I522" s="9">
        <f>IF($T522=0,"",INDEX('Market Data'!$P$5:$P$528,$T522))</f>
        <v/>
      </c>
      <c r="J522" s="13">
        <f>IF($T522=0,"",IF(INDEX('Market Data'!$E$5:$E$528,$T522)="","",INDEX('Market Data'!$E$5:$E$528,$T522)))</f>
        <v/>
      </c>
      <c r="K522" s="8">
        <f>IF($T522=0,"",IF(INDEX('Market Data'!$I$5:$I$528,$T522)="","",INDEX('Market Data'!$I$5:$I$528,$T522)))</f>
        <v/>
      </c>
      <c r="L522" s="10">
        <f>IF($T522=0,"",IF(INDEX('Market Data'!$J$5:$J$528,$T522)=0,"n/a",IF(AND($M$5&lt;&gt;"Snapshot",ISNUMBER(INDEX('Market Data'!$AH$5:$AH$66,INDEX('Market Data'!$J$5:$J$528,$T522)-4)),N(INDEX('Market Data'!$AH$5:$AH$66,INDEX('Market Data'!$J$5:$J$528,$T522)-4))&gt;0),INDEX('Market Data'!$AH$5:$AH$66,INDEX('Market Data'!$J$5:$J$528,$T522)-4),IF(AND($M$5&lt;&gt;"Bloomberg",ISNUMBER(INDEX('Market Data'!$AC$5:$AC$66,INDEX('Market Data'!$J$5:$J$528,$T522)-4)),N(INDEX('Market Data'!$AC$5:$AC$66,INDEX('Market Data'!$J$5:$J$528,$T522)-4))&gt;0),INDEX('Market Data'!$AC$5:$AC$66,INDEX('Market Data'!$J$5:$J$528,$T522)-4),"unavailable"))))</f>
        <v/>
      </c>
      <c r="M522" s="11">
        <f>IF($T522=0,"",IF(INDEX('Market Data'!$J$5:$J$528,$T522)=0,"n/a",IF(IF(INDEX('Market Data'!$J$5:$J$528,$T522)=0,0,IF(LEFT(INDEX('Market Data'!$AS$5:$AS$66,INDEX('Market Data'!$J$5:$J$528,$T522)-4),11)="First-month",1,0))=1,"class review",IF($I522="Bloomberg",IF(AND(ISNUMBER(INDEX('Market Data'!$AH$5:$AH$66,INDEX('Market Data'!$J$5:$J$528,$T522)-4)),N(INDEX('Market Data'!$AH$5:$AH$66,INDEX('Market Data'!$J$5:$J$528,$T522)-4))&gt;0,ISNUMBER('Market Data'!$B$1),N('Market Data'!$B$1)&gt;0),INDEX('Market Data'!$AH$5:$AH$66,INDEX('Market Data'!$J$5:$J$528,$T522)-4)*'Market Data'!$B$1/$E522-1,"pending A/FX"),IF(AND($I522="Snapshot",$Q522="Snapshot",ISNUMBER($E522),$G522=INDEX('Market Data'!$AE$5:$AE$66,INDEX('Market Data'!$J$5:$J$528,$T522)-4)),IFERROR(INDEX('Market Data'!$AC$5:$AC$66,INDEX('Market Data'!$J$5:$J$528,$T522)-4)*INDEX('Market Data'!$AD$5:$AD$66,INDEX('Market Data'!$J$5:$J$528,$T522)-4)/$E522-1,"unavailable"),IF($I522="Unavailable","unavailable","date mismatch"))))))</f>
        <v/>
      </c>
      <c r="N522" s="11">
        <f>IF($T522=0,"",IFERROR(IF(AND(N(INDEX('Market Data'!$F$5:$F$528,$T522))&gt;0,ISNUMBER(INDEX('Market Data'!$T$5:$T$528,$T522))),$E522*INDEX('Market Data'!$T$5:$T$528,$T522)/INDEX('Market Data'!$F$5:$F$528,$T522)-1,"unavailable"),"unavailable"))</f>
        <v/>
      </c>
      <c r="O522" s="9">
        <f>IF($T522=0,"",IF(IF(INDEX('Market Data'!$J$5:$J$528,$T522)=0,0,IF(LEFT(INDEX('Market Data'!$AS$5:$AS$66,INDEX('Market Data'!$J$5:$J$528,$T522)-4),11)="First-month",1,0))=1,"Class ratio review",IF($I522="Bloomberg",IF(ISNUMBER($G522),IF($G522&lt;TODAY(),"Older quote","See quote time"),"Date unavailable"),IF($I522="Snapshot",IF($G522&lt;DATEVALUE("2026-10-02"),"Older snapshot","Dated close"),"No valid quote"))))</f>
        <v/>
      </c>
      <c r="P522" s="14">
        <f>IF($T522=0,"",IF(INDEX('Market Data'!$J$5:$J$528,$T522)=0,"n/a",IF($Q522="Bloomberg",IF(AND(ISNUMBER(INDEX('Market Data'!$AK$5:$AK$66,INDEX('Market Data'!$J$5:$J$528,$T522)-4)),N(INDEX('Market Data'!$AK$5:$AK$66,INDEX('Market Data'!$J$5:$J$528,$T522)-4))&gt;0),INDEX('Market Data'!$AK$5:$AK$66,INDEX('Market Data'!$J$5:$J$528,$T522)-4),"date unavailable"),IF($Q522="Snapshot",IF(AND(ISNUMBER(INDEX('Market Data'!$AF$5:$AF$66,INDEX('Market Data'!$J$5:$J$528,$T522)-4)),N(INDEX('Market Data'!$AF$5:$AF$66,INDEX('Market Data'!$J$5:$J$528,$T522)-4))&gt;0),INDEX('Market Data'!$AF$5:$AF$66,INDEX('Market Data'!$J$5:$J$528,$T522)-4),"date unavailable"),"date unavailable"))))</f>
        <v/>
      </c>
      <c r="Q522" s="15">
        <f>IF($T522=0,"",IF(INDEX('Market Data'!$J$5:$J$528,$T522)=0,"n/a",IF(AND($M$5&lt;&gt;"Snapshot",ISNUMBER(INDEX('Market Data'!$AH$5:$AH$66,INDEX('Market Data'!$J$5:$J$528,$T522)-4)),N(INDEX('Market Data'!$AH$5:$AH$66,INDEX('Market Data'!$J$5:$J$528,$T522)-4))&gt;0),"Bloomberg",IF(AND($M$5&lt;&gt;"Bloomberg",ISNUMBER(INDEX('Market Data'!$AC$5:$AC$66,INDEX('Market Data'!$J$5:$J$528,$T522)-4)),N(INDEX('Market Data'!$AC$5:$AC$66,INDEX('Market Data'!$J$5:$J$528,$T522)-4))&gt;0),"Snapshot","Unavailable"))))</f>
        <v/>
      </c>
      <c r="T522">
        <f>IFERROR(MATCH(514,'Market Data'!$S$5:$S$528,0),0)</f>
        <v/>
      </c>
    </row>
    <row r="523" ht="34" customHeight="1">
      <c r="A523" s="8">
        <f>IF($T523=0,"",IF(INDEX('Market Data'!$A$5:$A$528,$T523)="","",INDEX('Market Data'!$A$5:$A$528,$T523)))</f>
        <v/>
      </c>
      <c r="B523" s="9">
        <f>IF($T523=0,"",IF(INDEX('Market Data'!$B$5:$B$528,$T523)="","",INDEX('Market Data'!$B$5:$B$528,$T523)))</f>
        <v/>
      </c>
      <c r="C523" s="9">
        <f>IF($T523=0,"",IF(INDEX('Market Data'!$C$5:$C$528,$T523)="","",INDEX('Market Data'!$C$5:$C$528,$T523)))</f>
        <v/>
      </c>
      <c r="D523" s="9">
        <f>IF($T523=0,"",IF(INDEX('Market Data'!$D$5:$D$528,$T523)="","",INDEX('Market Data'!$D$5:$D$528,$T523)))</f>
        <v/>
      </c>
      <c r="E523" s="10">
        <f>IF($T523=0,"",INDEX('Market Data'!$O$5:$O$528,$T523))</f>
        <v/>
      </c>
      <c r="F523" s="11">
        <f>IF($T523=0,"",IF(AND($I523="Bloomberg",ISNUMBER(INDEX('Market Data'!$L$5:$L$528,$T523))),INDEX('Market Data'!$L$5:$L$528,$T523),"unavailable"))</f>
        <v/>
      </c>
      <c r="G523" s="12">
        <f>IF($T523=0,"",IF($I523="Bloomberg",IF(AND(ISNUMBER(INDEX('Market Data'!$M$5:$M$528,$T523)),N(INDEX('Market Data'!$M$5:$M$528,$T523))&gt;0),INDEX('Market Data'!$M$5:$M$528,$T523),"date unavailable"),IF($I523="Snapshot",IF(AND(ISNUMBER(INDEX('Market Data'!$H$5:$H$528,$T523)),N(INDEX('Market Data'!$H$5:$H$528,$T523))&gt;0),INDEX('Market Data'!$H$5:$H$528,$T523),"date unavailable"),"date unavailable")))</f>
        <v/>
      </c>
      <c r="H523" s="9">
        <f>IF($T523=0,"",IF($I523="Bloomberg",IF(INDEX('Market Data'!$N$5:$N$528,$T523)="","time unavailable",INDEX('Market Data'!$N$5:$N$528,$T523)),""))</f>
        <v/>
      </c>
      <c r="I523" s="9">
        <f>IF($T523=0,"",INDEX('Market Data'!$P$5:$P$528,$T523))</f>
        <v/>
      </c>
      <c r="J523" s="13">
        <f>IF($T523=0,"",IF(INDEX('Market Data'!$E$5:$E$528,$T523)="","",INDEX('Market Data'!$E$5:$E$528,$T523)))</f>
        <v/>
      </c>
      <c r="K523" s="8">
        <f>IF($T523=0,"",IF(INDEX('Market Data'!$I$5:$I$528,$T523)="","",INDEX('Market Data'!$I$5:$I$528,$T523)))</f>
        <v/>
      </c>
      <c r="L523" s="10">
        <f>IF($T523=0,"",IF(INDEX('Market Data'!$J$5:$J$528,$T523)=0,"n/a",IF(AND($M$5&lt;&gt;"Snapshot",ISNUMBER(INDEX('Market Data'!$AH$5:$AH$66,INDEX('Market Data'!$J$5:$J$528,$T523)-4)),N(INDEX('Market Data'!$AH$5:$AH$66,INDEX('Market Data'!$J$5:$J$528,$T523)-4))&gt;0),INDEX('Market Data'!$AH$5:$AH$66,INDEX('Market Data'!$J$5:$J$528,$T523)-4),IF(AND($M$5&lt;&gt;"Bloomberg",ISNUMBER(INDEX('Market Data'!$AC$5:$AC$66,INDEX('Market Data'!$J$5:$J$528,$T523)-4)),N(INDEX('Market Data'!$AC$5:$AC$66,INDEX('Market Data'!$J$5:$J$528,$T523)-4))&gt;0),INDEX('Market Data'!$AC$5:$AC$66,INDEX('Market Data'!$J$5:$J$528,$T523)-4),"unavailable"))))</f>
        <v/>
      </c>
      <c r="M523" s="11">
        <f>IF($T523=0,"",IF(INDEX('Market Data'!$J$5:$J$528,$T523)=0,"n/a",IF(IF(INDEX('Market Data'!$J$5:$J$528,$T523)=0,0,IF(LEFT(INDEX('Market Data'!$AS$5:$AS$66,INDEX('Market Data'!$J$5:$J$528,$T523)-4),11)="First-month",1,0))=1,"class review",IF($I523="Bloomberg",IF(AND(ISNUMBER(INDEX('Market Data'!$AH$5:$AH$66,INDEX('Market Data'!$J$5:$J$528,$T523)-4)),N(INDEX('Market Data'!$AH$5:$AH$66,INDEX('Market Data'!$J$5:$J$528,$T523)-4))&gt;0,ISNUMBER('Market Data'!$B$1),N('Market Data'!$B$1)&gt;0),INDEX('Market Data'!$AH$5:$AH$66,INDEX('Market Data'!$J$5:$J$528,$T523)-4)*'Market Data'!$B$1/$E523-1,"pending A/FX"),IF(AND($I523="Snapshot",$Q523="Snapshot",ISNUMBER($E523),$G523=INDEX('Market Data'!$AE$5:$AE$66,INDEX('Market Data'!$J$5:$J$528,$T523)-4)),IFERROR(INDEX('Market Data'!$AC$5:$AC$66,INDEX('Market Data'!$J$5:$J$528,$T523)-4)*INDEX('Market Data'!$AD$5:$AD$66,INDEX('Market Data'!$J$5:$J$528,$T523)-4)/$E523-1,"unavailable"),IF($I523="Unavailable","unavailable","date mismatch"))))))</f>
        <v/>
      </c>
      <c r="N523" s="11">
        <f>IF($T523=0,"",IFERROR(IF(AND(N(INDEX('Market Data'!$F$5:$F$528,$T523))&gt;0,ISNUMBER(INDEX('Market Data'!$T$5:$T$528,$T523))),$E523*INDEX('Market Data'!$T$5:$T$528,$T523)/INDEX('Market Data'!$F$5:$F$528,$T523)-1,"unavailable"),"unavailable"))</f>
        <v/>
      </c>
      <c r="O523" s="9">
        <f>IF($T523=0,"",IF(IF(INDEX('Market Data'!$J$5:$J$528,$T523)=0,0,IF(LEFT(INDEX('Market Data'!$AS$5:$AS$66,INDEX('Market Data'!$J$5:$J$528,$T523)-4),11)="First-month",1,0))=1,"Class ratio review",IF($I523="Bloomberg",IF(ISNUMBER($G523),IF($G523&lt;TODAY(),"Older quote","See quote time"),"Date unavailable"),IF($I523="Snapshot",IF($G523&lt;DATEVALUE("2026-10-02"),"Older snapshot","Dated close"),"No valid quote"))))</f>
        <v/>
      </c>
      <c r="P523" s="14">
        <f>IF($T523=0,"",IF(INDEX('Market Data'!$J$5:$J$528,$T523)=0,"n/a",IF($Q523="Bloomberg",IF(AND(ISNUMBER(INDEX('Market Data'!$AK$5:$AK$66,INDEX('Market Data'!$J$5:$J$528,$T523)-4)),N(INDEX('Market Data'!$AK$5:$AK$66,INDEX('Market Data'!$J$5:$J$528,$T523)-4))&gt;0),INDEX('Market Data'!$AK$5:$AK$66,INDEX('Market Data'!$J$5:$J$528,$T523)-4),"date unavailable"),IF($Q523="Snapshot",IF(AND(ISNUMBER(INDEX('Market Data'!$AF$5:$AF$66,INDEX('Market Data'!$J$5:$J$528,$T523)-4)),N(INDEX('Market Data'!$AF$5:$AF$66,INDEX('Market Data'!$J$5:$J$528,$T523)-4))&gt;0),INDEX('Market Data'!$AF$5:$AF$66,INDEX('Market Data'!$J$5:$J$528,$T523)-4),"date unavailable"),"date unavailable"))))</f>
        <v/>
      </c>
      <c r="Q523" s="15">
        <f>IF($T523=0,"",IF(INDEX('Market Data'!$J$5:$J$528,$T523)=0,"n/a",IF(AND($M$5&lt;&gt;"Snapshot",ISNUMBER(INDEX('Market Data'!$AH$5:$AH$66,INDEX('Market Data'!$J$5:$J$528,$T523)-4)),N(INDEX('Market Data'!$AH$5:$AH$66,INDEX('Market Data'!$J$5:$J$528,$T523)-4))&gt;0),"Bloomberg",IF(AND($M$5&lt;&gt;"Bloomberg",ISNUMBER(INDEX('Market Data'!$AC$5:$AC$66,INDEX('Market Data'!$J$5:$J$528,$T523)-4)),N(INDEX('Market Data'!$AC$5:$AC$66,INDEX('Market Data'!$J$5:$J$528,$T523)-4))&gt;0),"Snapshot","Unavailable"))))</f>
        <v/>
      </c>
      <c r="T523">
        <f>IFERROR(MATCH(515,'Market Data'!$S$5:$S$528,0),0)</f>
        <v/>
      </c>
    </row>
    <row r="524" ht="34" customHeight="1">
      <c r="A524" s="8">
        <f>IF($T524=0,"",IF(INDEX('Market Data'!$A$5:$A$528,$T524)="","",INDEX('Market Data'!$A$5:$A$528,$T524)))</f>
        <v/>
      </c>
      <c r="B524" s="9">
        <f>IF($T524=0,"",IF(INDEX('Market Data'!$B$5:$B$528,$T524)="","",INDEX('Market Data'!$B$5:$B$528,$T524)))</f>
        <v/>
      </c>
      <c r="C524" s="9">
        <f>IF($T524=0,"",IF(INDEX('Market Data'!$C$5:$C$528,$T524)="","",INDEX('Market Data'!$C$5:$C$528,$T524)))</f>
        <v/>
      </c>
      <c r="D524" s="9">
        <f>IF($T524=0,"",IF(INDEX('Market Data'!$D$5:$D$528,$T524)="","",INDEX('Market Data'!$D$5:$D$528,$T524)))</f>
        <v/>
      </c>
      <c r="E524" s="10">
        <f>IF($T524=0,"",INDEX('Market Data'!$O$5:$O$528,$T524))</f>
        <v/>
      </c>
      <c r="F524" s="11">
        <f>IF($T524=0,"",IF(AND($I524="Bloomberg",ISNUMBER(INDEX('Market Data'!$L$5:$L$528,$T524))),INDEX('Market Data'!$L$5:$L$528,$T524),"unavailable"))</f>
        <v/>
      </c>
      <c r="G524" s="12">
        <f>IF($T524=0,"",IF($I524="Bloomberg",IF(AND(ISNUMBER(INDEX('Market Data'!$M$5:$M$528,$T524)),N(INDEX('Market Data'!$M$5:$M$528,$T524))&gt;0),INDEX('Market Data'!$M$5:$M$528,$T524),"date unavailable"),IF($I524="Snapshot",IF(AND(ISNUMBER(INDEX('Market Data'!$H$5:$H$528,$T524)),N(INDEX('Market Data'!$H$5:$H$528,$T524))&gt;0),INDEX('Market Data'!$H$5:$H$528,$T524),"date unavailable"),"date unavailable")))</f>
        <v/>
      </c>
      <c r="H524" s="9">
        <f>IF($T524=0,"",IF($I524="Bloomberg",IF(INDEX('Market Data'!$N$5:$N$528,$T524)="","time unavailable",INDEX('Market Data'!$N$5:$N$528,$T524)),""))</f>
        <v/>
      </c>
      <c r="I524" s="9">
        <f>IF($T524=0,"",INDEX('Market Data'!$P$5:$P$528,$T524))</f>
        <v/>
      </c>
      <c r="J524" s="13">
        <f>IF($T524=0,"",IF(INDEX('Market Data'!$E$5:$E$528,$T524)="","",INDEX('Market Data'!$E$5:$E$528,$T524)))</f>
        <v/>
      </c>
      <c r="K524" s="8">
        <f>IF($T524=0,"",IF(INDEX('Market Data'!$I$5:$I$528,$T524)="","",INDEX('Market Data'!$I$5:$I$528,$T524)))</f>
        <v/>
      </c>
      <c r="L524" s="10">
        <f>IF($T524=0,"",IF(INDEX('Market Data'!$J$5:$J$528,$T524)=0,"n/a",IF(AND($M$5&lt;&gt;"Snapshot",ISNUMBER(INDEX('Market Data'!$AH$5:$AH$66,INDEX('Market Data'!$J$5:$J$528,$T524)-4)),N(INDEX('Market Data'!$AH$5:$AH$66,INDEX('Market Data'!$J$5:$J$528,$T524)-4))&gt;0),INDEX('Market Data'!$AH$5:$AH$66,INDEX('Market Data'!$J$5:$J$528,$T524)-4),IF(AND($M$5&lt;&gt;"Bloomberg",ISNUMBER(INDEX('Market Data'!$AC$5:$AC$66,INDEX('Market Data'!$J$5:$J$528,$T524)-4)),N(INDEX('Market Data'!$AC$5:$AC$66,INDEX('Market Data'!$J$5:$J$528,$T524)-4))&gt;0),INDEX('Market Data'!$AC$5:$AC$66,INDEX('Market Data'!$J$5:$J$528,$T524)-4),"unavailable"))))</f>
        <v/>
      </c>
      <c r="M524" s="11">
        <f>IF($T524=0,"",IF(INDEX('Market Data'!$J$5:$J$528,$T524)=0,"n/a",IF(IF(INDEX('Market Data'!$J$5:$J$528,$T524)=0,0,IF(LEFT(INDEX('Market Data'!$AS$5:$AS$66,INDEX('Market Data'!$J$5:$J$528,$T524)-4),11)="First-month",1,0))=1,"class review",IF($I524="Bloomberg",IF(AND(ISNUMBER(INDEX('Market Data'!$AH$5:$AH$66,INDEX('Market Data'!$J$5:$J$528,$T524)-4)),N(INDEX('Market Data'!$AH$5:$AH$66,INDEX('Market Data'!$J$5:$J$528,$T524)-4))&gt;0,ISNUMBER('Market Data'!$B$1),N('Market Data'!$B$1)&gt;0),INDEX('Market Data'!$AH$5:$AH$66,INDEX('Market Data'!$J$5:$J$528,$T524)-4)*'Market Data'!$B$1/$E524-1,"pending A/FX"),IF(AND($I524="Snapshot",$Q524="Snapshot",ISNUMBER($E524),$G524=INDEX('Market Data'!$AE$5:$AE$66,INDEX('Market Data'!$J$5:$J$528,$T524)-4)),IFERROR(INDEX('Market Data'!$AC$5:$AC$66,INDEX('Market Data'!$J$5:$J$528,$T524)-4)*INDEX('Market Data'!$AD$5:$AD$66,INDEX('Market Data'!$J$5:$J$528,$T524)-4)/$E524-1,"unavailable"),IF($I524="Unavailable","unavailable","date mismatch"))))))</f>
        <v/>
      </c>
      <c r="N524" s="11">
        <f>IF($T524=0,"",IFERROR(IF(AND(N(INDEX('Market Data'!$F$5:$F$528,$T524))&gt;0,ISNUMBER(INDEX('Market Data'!$T$5:$T$528,$T524))),$E524*INDEX('Market Data'!$T$5:$T$528,$T524)/INDEX('Market Data'!$F$5:$F$528,$T524)-1,"unavailable"),"unavailable"))</f>
        <v/>
      </c>
      <c r="O524" s="9">
        <f>IF($T524=0,"",IF(IF(INDEX('Market Data'!$J$5:$J$528,$T524)=0,0,IF(LEFT(INDEX('Market Data'!$AS$5:$AS$66,INDEX('Market Data'!$J$5:$J$528,$T524)-4),11)="First-month",1,0))=1,"Class ratio review",IF($I524="Bloomberg",IF(ISNUMBER($G524),IF($G524&lt;TODAY(),"Older quote","See quote time"),"Date unavailable"),IF($I524="Snapshot",IF($G524&lt;DATEVALUE("2026-10-02"),"Older snapshot","Dated close"),"No valid quote"))))</f>
        <v/>
      </c>
      <c r="P524" s="14">
        <f>IF($T524=0,"",IF(INDEX('Market Data'!$J$5:$J$528,$T524)=0,"n/a",IF($Q524="Bloomberg",IF(AND(ISNUMBER(INDEX('Market Data'!$AK$5:$AK$66,INDEX('Market Data'!$J$5:$J$528,$T524)-4)),N(INDEX('Market Data'!$AK$5:$AK$66,INDEX('Market Data'!$J$5:$J$528,$T524)-4))&gt;0),INDEX('Market Data'!$AK$5:$AK$66,INDEX('Market Data'!$J$5:$J$528,$T524)-4),"date unavailable"),IF($Q524="Snapshot",IF(AND(ISNUMBER(INDEX('Market Data'!$AF$5:$AF$66,INDEX('Market Data'!$J$5:$J$528,$T524)-4)),N(INDEX('Market Data'!$AF$5:$AF$66,INDEX('Market Data'!$J$5:$J$528,$T524)-4))&gt;0),INDEX('Market Data'!$AF$5:$AF$66,INDEX('Market Data'!$J$5:$J$528,$T524)-4),"date unavailable"),"date unavailable"))))</f>
        <v/>
      </c>
      <c r="Q524" s="15">
        <f>IF($T524=0,"",IF(INDEX('Market Data'!$J$5:$J$528,$T524)=0,"n/a",IF(AND($M$5&lt;&gt;"Snapshot",ISNUMBER(INDEX('Market Data'!$AH$5:$AH$66,INDEX('Market Data'!$J$5:$J$528,$T524)-4)),N(INDEX('Market Data'!$AH$5:$AH$66,INDEX('Market Data'!$J$5:$J$528,$T524)-4))&gt;0),"Bloomberg",IF(AND($M$5&lt;&gt;"Bloomberg",ISNUMBER(INDEX('Market Data'!$AC$5:$AC$66,INDEX('Market Data'!$J$5:$J$528,$T524)-4)),N(INDEX('Market Data'!$AC$5:$AC$66,INDEX('Market Data'!$J$5:$J$528,$T524)-4))&gt;0),"Snapshot","Unavailable"))))</f>
        <v/>
      </c>
      <c r="T524">
        <f>IFERROR(MATCH(516,'Market Data'!$S$5:$S$528,0),0)</f>
        <v/>
      </c>
    </row>
    <row r="525" ht="34" customHeight="1">
      <c r="A525" s="8">
        <f>IF($T525=0,"",IF(INDEX('Market Data'!$A$5:$A$528,$T525)="","",INDEX('Market Data'!$A$5:$A$528,$T525)))</f>
        <v/>
      </c>
      <c r="B525" s="9">
        <f>IF($T525=0,"",IF(INDEX('Market Data'!$B$5:$B$528,$T525)="","",INDEX('Market Data'!$B$5:$B$528,$T525)))</f>
        <v/>
      </c>
      <c r="C525" s="9">
        <f>IF($T525=0,"",IF(INDEX('Market Data'!$C$5:$C$528,$T525)="","",INDEX('Market Data'!$C$5:$C$528,$T525)))</f>
        <v/>
      </c>
      <c r="D525" s="9">
        <f>IF($T525=0,"",IF(INDEX('Market Data'!$D$5:$D$528,$T525)="","",INDEX('Market Data'!$D$5:$D$528,$T525)))</f>
        <v/>
      </c>
      <c r="E525" s="10">
        <f>IF($T525=0,"",INDEX('Market Data'!$O$5:$O$528,$T525))</f>
        <v/>
      </c>
      <c r="F525" s="11">
        <f>IF($T525=0,"",IF(AND($I525="Bloomberg",ISNUMBER(INDEX('Market Data'!$L$5:$L$528,$T525))),INDEX('Market Data'!$L$5:$L$528,$T525),"unavailable"))</f>
        <v/>
      </c>
      <c r="G525" s="12">
        <f>IF($T525=0,"",IF($I525="Bloomberg",IF(AND(ISNUMBER(INDEX('Market Data'!$M$5:$M$528,$T525)),N(INDEX('Market Data'!$M$5:$M$528,$T525))&gt;0),INDEX('Market Data'!$M$5:$M$528,$T525),"date unavailable"),IF($I525="Snapshot",IF(AND(ISNUMBER(INDEX('Market Data'!$H$5:$H$528,$T525)),N(INDEX('Market Data'!$H$5:$H$528,$T525))&gt;0),INDEX('Market Data'!$H$5:$H$528,$T525),"date unavailable"),"date unavailable")))</f>
        <v/>
      </c>
      <c r="H525" s="9">
        <f>IF($T525=0,"",IF($I525="Bloomberg",IF(INDEX('Market Data'!$N$5:$N$528,$T525)="","time unavailable",INDEX('Market Data'!$N$5:$N$528,$T525)),""))</f>
        <v/>
      </c>
      <c r="I525" s="9">
        <f>IF($T525=0,"",INDEX('Market Data'!$P$5:$P$528,$T525))</f>
        <v/>
      </c>
      <c r="J525" s="13">
        <f>IF($T525=0,"",IF(INDEX('Market Data'!$E$5:$E$528,$T525)="","",INDEX('Market Data'!$E$5:$E$528,$T525)))</f>
        <v/>
      </c>
      <c r="K525" s="8">
        <f>IF($T525=0,"",IF(INDEX('Market Data'!$I$5:$I$528,$T525)="","",INDEX('Market Data'!$I$5:$I$528,$T525)))</f>
        <v/>
      </c>
      <c r="L525" s="10">
        <f>IF($T525=0,"",IF(INDEX('Market Data'!$J$5:$J$528,$T525)=0,"n/a",IF(AND($M$5&lt;&gt;"Snapshot",ISNUMBER(INDEX('Market Data'!$AH$5:$AH$66,INDEX('Market Data'!$J$5:$J$528,$T525)-4)),N(INDEX('Market Data'!$AH$5:$AH$66,INDEX('Market Data'!$J$5:$J$528,$T525)-4))&gt;0),INDEX('Market Data'!$AH$5:$AH$66,INDEX('Market Data'!$J$5:$J$528,$T525)-4),IF(AND($M$5&lt;&gt;"Bloomberg",ISNUMBER(INDEX('Market Data'!$AC$5:$AC$66,INDEX('Market Data'!$J$5:$J$528,$T525)-4)),N(INDEX('Market Data'!$AC$5:$AC$66,INDEX('Market Data'!$J$5:$J$528,$T525)-4))&gt;0),INDEX('Market Data'!$AC$5:$AC$66,INDEX('Market Data'!$J$5:$J$528,$T525)-4),"unavailable"))))</f>
        <v/>
      </c>
      <c r="M525" s="11">
        <f>IF($T525=0,"",IF(INDEX('Market Data'!$J$5:$J$528,$T525)=0,"n/a",IF(IF(INDEX('Market Data'!$J$5:$J$528,$T525)=0,0,IF(LEFT(INDEX('Market Data'!$AS$5:$AS$66,INDEX('Market Data'!$J$5:$J$528,$T525)-4),11)="First-month",1,0))=1,"class review",IF($I525="Bloomberg",IF(AND(ISNUMBER(INDEX('Market Data'!$AH$5:$AH$66,INDEX('Market Data'!$J$5:$J$528,$T525)-4)),N(INDEX('Market Data'!$AH$5:$AH$66,INDEX('Market Data'!$J$5:$J$528,$T525)-4))&gt;0,ISNUMBER('Market Data'!$B$1),N('Market Data'!$B$1)&gt;0),INDEX('Market Data'!$AH$5:$AH$66,INDEX('Market Data'!$J$5:$J$528,$T525)-4)*'Market Data'!$B$1/$E525-1,"pending A/FX"),IF(AND($I525="Snapshot",$Q525="Snapshot",ISNUMBER($E525),$G525=INDEX('Market Data'!$AE$5:$AE$66,INDEX('Market Data'!$J$5:$J$528,$T525)-4)),IFERROR(INDEX('Market Data'!$AC$5:$AC$66,INDEX('Market Data'!$J$5:$J$528,$T525)-4)*INDEX('Market Data'!$AD$5:$AD$66,INDEX('Market Data'!$J$5:$J$528,$T525)-4)/$E525-1,"unavailable"),IF($I525="Unavailable","unavailable","date mismatch"))))))</f>
        <v/>
      </c>
      <c r="N525" s="11">
        <f>IF($T525=0,"",IFERROR(IF(AND(N(INDEX('Market Data'!$F$5:$F$528,$T525))&gt;0,ISNUMBER(INDEX('Market Data'!$T$5:$T$528,$T525))),$E525*INDEX('Market Data'!$T$5:$T$528,$T525)/INDEX('Market Data'!$F$5:$F$528,$T525)-1,"unavailable"),"unavailable"))</f>
        <v/>
      </c>
      <c r="O525" s="9">
        <f>IF($T525=0,"",IF(IF(INDEX('Market Data'!$J$5:$J$528,$T525)=0,0,IF(LEFT(INDEX('Market Data'!$AS$5:$AS$66,INDEX('Market Data'!$J$5:$J$528,$T525)-4),11)="First-month",1,0))=1,"Class ratio review",IF($I525="Bloomberg",IF(ISNUMBER($G525),IF($G525&lt;TODAY(),"Older quote","See quote time"),"Date unavailable"),IF($I525="Snapshot",IF($G525&lt;DATEVALUE("2026-10-02"),"Older snapshot","Dated close"),"No valid quote"))))</f>
        <v/>
      </c>
      <c r="P525" s="14">
        <f>IF($T525=0,"",IF(INDEX('Market Data'!$J$5:$J$528,$T525)=0,"n/a",IF($Q525="Bloomberg",IF(AND(ISNUMBER(INDEX('Market Data'!$AK$5:$AK$66,INDEX('Market Data'!$J$5:$J$528,$T525)-4)),N(INDEX('Market Data'!$AK$5:$AK$66,INDEX('Market Data'!$J$5:$J$528,$T525)-4))&gt;0),INDEX('Market Data'!$AK$5:$AK$66,INDEX('Market Data'!$J$5:$J$528,$T525)-4),"date unavailable"),IF($Q525="Snapshot",IF(AND(ISNUMBER(INDEX('Market Data'!$AF$5:$AF$66,INDEX('Market Data'!$J$5:$J$528,$T525)-4)),N(INDEX('Market Data'!$AF$5:$AF$66,INDEX('Market Data'!$J$5:$J$528,$T525)-4))&gt;0),INDEX('Market Data'!$AF$5:$AF$66,INDEX('Market Data'!$J$5:$J$528,$T525)-4),"date unavailable"),"date unavailable"))))</f>
        <v/>
      </c>
      <c r="Q525" s="15">
        <f>IF($T525=0,"",IF(INDEX('Market Data'!$J$5:$J$528,$T525)=0,"n/a",IF(AND($M$5&lt;&gt;"Snapshot",ISNUMBER(INDEX('Market Data'!$AH$5:$AH$66,INDEX('Market Data'!$J$5:$J$528,$T525)-4)),N(INDEX('Market Data'!$AH$5:$AH$66,INDEX('Market Data'!$J$5:$J$528,$T525)-4))&gt;0),"Bloomberg",IF(AND($M$5&lt;&gt;"Bloomberg",ISNUMBER(INDEX('Market Data'!$AC$5:$AC$66,INDEX('Market Data'!$J$5:$J$528,$T525)-4)),N(INDEX('Market Data'!$AC$5:$AC$66,INDEX('Market Data'!$J$5:$J$528,$T525)-4))&gt;0),"Snapshot","Unavailable"))))</f>
        <v/>
      </c>
      <c r="T525">
        <f>IFERROR(MATCH(517,'Market Data'!$S$5:$S$528,0),0)</f>
        <v/>
      </c>
    </row>
    <row r="526" ht="34" customHeight="1">
      <c r="A526" s="8">
        <f>IF($T526=0,"",IF(INDEX('Market Data'!$A$5:$A$528,$T526)="","",INDEX('Market Data'!$A$5:$A$528,$T526)))</f>
        <v/>
      </c>
      <c r="B526" s="9">
        <f>IF($T526=0,"",IF(INDEX('Market Data'!$B$5:$B$528,$T526)="","",INDEX('Market Data'!$B$5:$B$528,$T526)))</f>
        <v/>
      </c>
      <c r="C526" s="9">
        <f>IF($T526=0,"",IF(INDEX('Market Data'!$C$5:$C$528,$T526)="","",INDEX('Market Data'!$C$5:$C$528,$T526)))</f>
        <v/>
      </c>
      <c r="D526" s="9">
        <f>IF($T526=0,"",IF(INDEX('Market Data'!$D$5:$D$528,$T526)="","",INDEX('Market Data'!$D$5:$D$528,$T526)))</f>
        <v/>
      </c>
      <c r="E526" s="10">
        <f>IF($T526=0,"",INDEX('Market Data'!$O$5:$O$528,$T526))</f>
        <v/>
      </c>
      <c r="F526" s="11">
        <f>IF($T526=0,"",IF(AND($I526="Bloomberg",ISNUMBER(INDEX('Market Data'!$L$5:$L$528,$T526))),INDEX('Market Data'!$L$5:$L$528,$T526),"unavailable"))</f>
        <v/>
      </c>
      <c r="G526" s="12">
        <f>IF($T526=0,"",IF($I526="Bloomberg",IF(AND(ISNUMBER(INDEX('Market Data'!$M$5:$M$528,$T526)),N(INDEX('Market Data'!$M$5:$M$528,$T526))&gt;0),INDEX('Market Data'!$M$5:$M$528,$T526),"date unavailable"),IF($I526="Snapshot",IF(AND(ISNUMBER(INDEX('Market Data'!$H$5:$H$528,$T526)),N(INDEX('Market Data'!$H$5:$H$528,$T526))&gt;0),INDEX('Market Data'!$H$5:$H$528,$T526),"date unavailable"),"date unavailable")))</f>
        <v/>
      </c>
      <c r="H526" s="9">
        <f>IF($T526=0,"",IF($I526="Bloomberg",IF(INDEX('Market Data'!$N$5:$N$528,$T526)="","time unavailable",INDEX('Market Data'!$N$5:$N$528,$T526)),""))</f>
        <v/>
      </c>
      <c r="I526" s="9">
        <f>IF($T526=0,"",INDEX('Market Data'!$P$5:$P$528,$T526))</f>
        <v/>
      </c>
      <c r="J526" s="13">
        <f>IF($T526=0,"",IF(INDEX('Market Data'!$E$5:$E$528,$T526)="","",INDEX('Market Data'!$E$5:$E$528,$T526)))</f>
        <v/>
      </c>
      <c r="K526" s="8">
        <f>IF($T526=0,"",IF(INDEX('Market Data'!$I$5:$I$528,$T526)="","",INDEX('Market Data'!$I$5:$I$528,$T526)))</f>
        <v/>
      </c>
      <c r="L526" s="10">
        <f>IF($T526=0,"",IF(INDEX('Market Data'!$J$5:$J$528,$T526)=0,"n/a",IF(AND($M$5&lt;&gt;"Snapshot",ISNUMBER(INDEX('Market Data'!$AH$5:$AH$66,INDEX('Market Data'!$J$5:$J$528,$T526)-4)),N(INDEX('Market Data'!$AH$5:$AH$66,INDEX('Market Data'!$J$5:$J$528,$T526)-4))&gt;0),INDEX('Market Data'!$AH$5:$AH$66,INDEX('Market Data'!$J$5:$J$528,$T526)-4),IF(AND($M$5&lt;&gt;"Bloomberg",ISNUMBER(INDEX('Market Data'!$AC$5:$AC$66,INDEX('Market Data'!$J$5:$J$528,$T526)-4)),N(INDEX('Market Data'!$AC$5:$AC$66,INDEX('Market Data'!$J$5:$J$528,$T526)-4))&gt;0),INDEX('Market Data'!$AC$5:$AC$66,INDEX('Market Data'!$J$5:$J$528,$T526)-4),"unavailable"))))</f>
        <v/>
      </c>
      <c r="M526" s="11">
        <f>IF($T526=0,"",IF(INDEX('Market Data'!$J$5:$J$528,$T526)=0,"n/a",IF(IF(INDEX('Market Data'!$J$5:$J$528,$T526)=0,0,IF(LEFT(INDEX('Market Data'!$AS$5:$AS$66,INDEX('Market Data'!$J$5:$J$528,$T526)-4),11)="First-month",1,0))=1,"class review",IF($I526="Bloomberg",IF(AND(ISNUMBER(INDEX('Market Data'!$AH$5:$AH$66,INDEX('Market Data'!$J$5:$J$528,$T526)-4)),N(INDEX('Market Data'!$AH$5:$AH$66,INDEX('Market Data'!$J$5:$J$528,$T526)-4))&gt;0,ISNUMBER('Market Data'!$B$1),N('Market Data'!$B$1)&gt;0),INDEX('Market Data'!$AH$5:$AH$66,INDEX('Market Data'!$J$5:$J$528,$T526)-4)*'Market Data'!$B$1/$E526-1,"pending A/FX"),IF(AND($I526="Snapshot",$Q526="Snapshot",ISNUMBER($E526),$G526=INDEX('Market Data'!$AE$5:$AE$66,INDEX('Market Data'!$J$5:$J$528,$T526)-4)),IFERROR(INDEX('Market Data'!$AC$5:$AC$66,INDEX('Market Data'!$J$5:$J$528,$T526)-4)*INDEX('Market Data'!$AD$5:$AD$66,INDEX('Market Data'!$J$5:$J$528,$T526)-4)/$E526-1,"unavailable"),IF($I526="Unavailable","unavailable","date mismatch"))))))</f>
        <v/>
      </c>
      <c r="N526" s="11">
        <f>IF($T526=0,"",IFERROR(IF(AND(N(INDEX('Market Data'!$F$5:$F$528,$T526))&gt;0,ISNUMBER(INDEX('Market Data'!$T$5:$T$528,$T526))),$E526*INDEX('Market Data'!$T$5:$T$528,$T526)/INDEX('Market Data'!$F$5:$F$528,$T526)-1,"unavailable"),"unavailable"))</f>
        <v/>
      </c>
      <c r="O526" s="9">
        <f>IF($T526=0,"",IF(IF(INDEX('Market Data'!$J$5:$J$528,$T526)=0,0,IF(LEFT(INDEX('Market Data'!$AS$5:$AS$66,INDEX('Market Data'!$J$5:$J$528,$T526)-4),11)="First-month",1,0))=1,"Class ratio review",IF($I526="Bloomberg",IF(ISNUMBER($G526),IF($G526&lt;TODAY(),"Older quote","See quote time"),"Date unavailable"),IF($I526="Snapshot",IF($G526&lt;DATEVALUE("2026-10-02"),"Older snapshot","Dated close"),"No valid quote"))))</f>
        <v/>
      </c>
      <c r="P526" s="14">
        <f>IF($T526=0,"",IF(INDEX('Market Data'!$J$5:$J$528,$T526)=0,"n/a",IF($Q526="Bloomberg",IF(AND(ISNUMBER(INDEX('Market Data'!$AK$5:$AK$66,INDEX('Market Data'!$J$5:$J$528,$T526)-4)),N(INDEX('Market Data'!$AK$5:$AK$66,INDEX('Market Data'!$J$5:$J$528,$T526)-4))&gt;0),INDEX('Market Data'!$AK$5:$AK$66,INDEX('Market Data'!$J$5:$J$528,$T526)-4),"date unavailable"),IF($Q526="Snapshot",IF(AND(ISNUMBER(INDEX('Market Data'!$AF$5:$AF$66,INDEX('Market Data'!$J$5:$J$528,$T526)-4)),N(INDEX('Market Data'!$AF$5:$AF$66,INDEX('Market Data'!$J$5:$J$528,$T526)-4))&gt;0),INDEX('Market Data'!$AF$5:$AF$66,INDEX('Market Data'!$J$5:$J$528,$T526)-4),"date unavailable"),"date unavailable"))))</f>
        <v/>
      </c>
      <c r="Q526" s="15">
        <f>IF($T526=0,"",IF(INDEX('Market Data'!$J$5:$J$528,$T526)=0,"n/a",IF(AND($M$5&lt;&gt;"Snapshot",ISNUMBER(INDEX('Market Data'!$AH$5:$AH$66,INDEX('Market Data'!$J$5:$J$528,$T526)-4)),N(INDEX('Market Data'!$AH$5:$AH$66,INDEX('Market Data'!$J$5:$J$528,$T526)-4))&gt;0),"Bloomberg",IF(AND($M$5&lt;&gt;"Bloomberg",ISNUMBER(INDEX('Market Data'!$AC$5:$AC$66,INDEX('Market Data'!$J$5:$J$528,$T526)-4)),N(INDEX('Market Data'!$AC$5:$AC$66,INDEX('Market Data'!$J$5:$J$528,$T526)-4))&gt;0),"Snapshot","Unavailable"))))</f>
        <v/>
      </c>
      <c r="T526">
        <f>IFERROR(MATCH(518,'Market Data'!$S$5:$S$528,0),0)</f>
        <v/>
      </c>
    </row>
    <row r="527" ht="34" customHeight="1">
      <c r="A527" s="8">
        <f>IF($T527=0,"",IF(INDEX('Market Data'!$A$5:$A$528,$T527)="","",INDEX('Market Data'!$A$5:$A$528,$T527)))</f>
        <v/>
      </c>
      <c r="B527" s="9">
        <f>IF($T527=0,"",IF(INDEX('Market Data'!$B$5:$B$528,$T527)="","",INDEX('Market Data'!$B$5:$B$528,$T527)))</f>
        <v/>
      </c>
      <c r="C527" s="9">
        <f>IF($T527=0,"",IF(INDEX('Market Data'!$C$5:$C$528,$T527)="","",INDEX('Market Data'!$C$5:$C$528,$T527)))</f>
        <v/>
      </c>
      <c r="D527" s="9">
        <f>IF($T527=0,"",IF(INDEX('Market Data'!$D$5:$D$528,$T527)="","",INDEX('Market Data'!$D$5:$D$528,$T527)))</f>
        <v/>
      </c>
      <c r="E527" s="10">
        <f>IF($T527=0,"",INDEX('Market Data'!$O$5:$O$528,$T527))</f>
        <v/>
      </c>
      <c r="F527" s="11">
        <f>IF($T527=0,"",IF(AND($I527="Bloomberg",ISNUMBER(INDEX('Market Data'!$L$5:$L$528,$T527))),INDEX('Market Data'!$L$5:$L$528,$T527),"unavailable"))</f>
        <v/>
      </c>
      <c r="G527" s="12">
        <f>IF($T527=0,"",IF($I527="Bloomberg",IF(AND(ISNUMBER(INDEX('Market Data'!$M$5:$M$528,$T527)),N(INDEX('Market Data'!$M$5:$M$528,$T527))&gt;0),INDEX('Market Data'!$M$5:$M$528,$T527),"date unavailable"),IF($I527="Snapshot",IF(AND(ISNUMBER(INDEX('Market Data'!$H$5:$H$528,$T527)),N(INDEX('Market Data'!$H$5:$H$528,$T527))&gt;0),INDEX('Market Data'!$H$5:$H$528,$T527),"date unavailable"),"date unavailable")))</f>
        <v/>
      </c>
      <c r="H527" s="9">
        <f>IF($T527=0,"",IF($I527="Bloomberg",IF(INDEX('Market Data'!$N$5:$N$528,$T527)="","time unavailable",INDEX('Market Data'!$N$5:$N$528,$T527)),""))</f>
        <v/>
      </c>
      <c r="I527" s="9">
        <f>IF($T527=0,"",INDEX('Market Data'!$P$5:$P$528,$T527))</f>
        <v/>
      </c>
      <c r="J527" s="13">
        <f>IF($T527=0,"",IF(INDEX('Market Data'!$E$5:$E$528,$T527)="","",INDEX('Market Data'!$E$5:$E$528,$T527)))</f>
        <v/>
      </c>
      <c r="K527" s="8">
        <f>IF($T527=0,"",IF(INDEX('Market Data'!$I$5:$I$528,$T527)="","",INDEX('Market Data'!$I$5:$I$528,$T527)))</f>
        <v/>
      </c>
      <c r="L527" s="10">
        <f>IF($T527=0,"",IF(INDEX('Market Data'!$J$5:$J$528,$T527)=0,"n/a",IF(AND($M$5&lt;&gt;"Snapshot",ISNUMBER(INDEX('Market Data'!$AH$5:$AH$66,INDEX('Market Data'!$J$5:$J$528,$T527)-4)),N(INDEX('Market Data'!$AH$5:$AH$66,INDEX('Market Data'!$J$5:$J$528,$T527)-4))&gt;0),INDEX('Market Data'!$AH$5:$AH$66,INDEX('Market Data'!$J$5:$J$528,$T527)-4),IF(AND($M$5&lt;&gt;"Bloomberg",ISNUMBER(INDEX('Market Data'!$AC$5:$AC$66,INDEX('Market Data'!$J$5:$J$528,$T527)-4)),N(INDEX('Market Data'!$AC$5:$AC$66,INDEX('Market Data'!$J$5:$J$528,$T527)-4))&gt;0),INDEX('Market Data'!$AC$5:$AC$66,INDEX('Market Data'!$J$5:$J$528,$T527)-4),"unavailable"))))</f>
        <v/>
      </c>
      <c r="M527" s="11">
        <f>IF($T527=0,"",IF(INDEX('Market Data'!$J$5:$J$528,$T527)=0,"n/a",IF(IF(INDEX('Market Data'!$J$5:$J$528,$T527)=0,0,IF(LEFT(INDEX('Market Data'!$AS$5:$AS$66,INDEX('Market Data'!$J$5:$J$528,$T527)-4),11)="First-month",1,0))=1,"class review",IF($I527="Bloomberg",IF(AND(ISNUMBER(INDEX('Market Data'!$AH$5:$AH$66,INDEX('Market Data'!$J$5:$J$528,$T527)-4)),N(INDEX('Market Data'!$AH$5:$AH$66,INDEX('Market Data'!$J$5:$J$528,$T527)-4))&gt;0,ISNUMBER('Market Data'!$B$1),N('Market Data'!$B$1)&gt;0),INDEX('Market Data'!$AH$5:$AH$66,INDEX('Market Data'!$J$5:$J$528,$T527)-4)*'Market Data'!$B$1/$E527-1,"pending A/FX"),IF(AND($I527="Snapshot",$Q527="Snapshot",ISNUMBER($E527),$G527=INDEX('Market Data'!$AE$5:$AE$66,INDEX('Market Data'!$J$5:$J$528,$T527)-4)),IFERROR(INDEX('Market Data'!$AC$5:$AC$66,INDEX('Market Data'!$J$5:$J$528,$T527)-4)*INDEX('Market Data'!$AD$5:$AD$66,INDEX('Market Data'!$J$5:$J$528,$T527)-4)/$E527-1,"unavailable"),IF($I527="Unavailable","unavailable","date mismatch"))))))</f>
        <v/>
      </c>
      <c r="N527" s="11">
        <f>IF($T527=0,"",IFERROR(IF(AND(N(INDEX('Market Data'!$F$5:$F$528,$T527))&gt;0,ISNUMBER(INDEX('Market Data'!$T$5:$T$528,$T527))),$E527*INDEX('Market Data'!$T$5:$T$528,$T527)/INDEX('Market Data'!$F$5:$F$528,$T527)-1,"unavailable"),"unavailable"))</f>
        <v/>
      </c>
      <c r="O527" s="9">
        <f>IF($T527=0,"",IF(IF(INDEX('Market Data'!$J$5:$J$528,$T527)=0,0,IF(LEFT(INDEX('Market Data'!$AS$5:$AS$66,INDEX('Market Data'!$J$5:$J$528,$T527)-4),11)="First-month",1,0))=1,"Class ratio review",IF($I527="Bloomberg",IF(ISNUMBER($G527),IF($G527&lt;TODAY(),"Older quote","See quote time"),"Date unavailable"),IF($I527="Snapshot",IF($G527&lt;DATEVALUE("2026-10-02"),"Older snapshot","Dated close"),"No valid quote"))))</f>
        <v/>
      </c>
      <c r="P527" s="14">
        <f>IF($T527=0,"",IF(INDEX('Market Data'!$J$5:$J$528,$T527)=0,"n/a",IF($Q527="Bloomberg",IF(AND(ISNUMBER(INDEX('Market Data'!$AK$5:$AK$66,INDEX('Market Data'!$J$5:$J$528,$T527)-4)),N(INDEX('Market Data'!$AK$5:$AK$66,INDEX('Market Data'!$J$5:$J$528,$T527)-4))&gt;0),INDEX('Market Data'!$AK$5:$AK$66,INDEX('Market Data'!$J$5:$J$528,$T527)-4),"date unavailable"),IF($Q527="Snapshot",IF(AND(ISNUMBER(INDEX('Market Data'!$AF$5:$AF$66,INDEX('Market Data'!$J$5:$J$528,$T527)-4)),N(INDEX('Market Data'!$AF$5:$AF$66,INDEX('Market Data'!$J$5:$J$528,$T527)-4))&gt;0),INDEX('Market Data'!$AF$5:$AF$66,INDEX('Market Data'!$J$5:$J$528,$T527)-4),"date unavailable"),"date unavailable"))))</f>
        <v/>
      </c>
      <c r="Q527" s="15">
        <f>IF($T527=0,"",IF(INDEX('Market Data'!$J$5:$J$528,$T527)=0,"n/a",IF(AND($M$5&lt;&gt;"Snapshot",ISNUMBER(INDEX('Market Data'!$AH$5:$AH$66,INDEX('Market Data'!$J$5:$J$528,$T527)-4)),N(INDEX('Market Data'!$AH$5:$AH$66,INDEX('Market Data'!$J$5:$J$528,$T527)-4))&gt;0),"Bloomberg",IF(AND($M$5&lt;&gt;"Bloomberg",ISNUMBER(INDEX('Market Data'!$AC$5:$AC$66,INDEX('Market Data'!$J$5:$J$528,$T527)-4)),N(INDEX('Market Data'!$AC$5:$AC$66,INDEX('Market Data'!$J$5:$J$528,$T527)-4))&gt;0),"Snapshot","Unavailable"))))</f>
        <v/>
      </c>
      <c r="T527">
        <f>IFERROR(MATCH(519,'Market Data'!$S$5:$S$528,0),0)</f>
        <v/>
      </c>
    </row>
    <row r="528" ht="34" customHeight="1">
      <c r="A528" s="8">
        <f>IF($T528=0,"",IF(INDEX('Market Data'!$A$5:$A$528,$T528)="","",INDEX('Market Data'!$A$5:$A$528,$T528)))</f>
        <v/>
      </c>
      <c r="B528" s="9">
        <f>IF($T528=0,"",IF(INDEX('Market Data'!$B$5:$B$528,$T528)="","",INDEX('Market Data'!$B$5:$B$528,$T528)))</f>
        <v/>
      </c>
      <c r="C528" s="9">
        <f>IF($T528=0,"",IF(INDEX('Market Data'!$C$5:$C$528,$T528)="","",INDEX('Market Data'!$C$5:$C$528,$T528)))</f>
        <v/>
      </c>
      <c r="D528" s="9">
        <f>IF($T528=0,"",IF(INDEX('Market Data'!$D$5:$D$528,$T528)="","",INDEX('Market Data'!$D$5:$D$528,$T528)))</f>
        <v/>
      </c>
      <c r="E528" s="10">
        <f>IF($T528=0,"",INDEX('Market Data'!$O$5:$O$528,$T528))</f>
        <v/>
      </c>
      <c r="F528" s="11">
        <f>IF($T528=0,"",IF(AND($I528="Bloomberg",ISNUMBER(INDEX('Market Data'!$L$5:$L$528,$T528))),INDEX('Market Data'!$L$5:$L$528,$T528),"unavailable"))</f>
        <v/>
      </c>
      <c r="G528" s="12">
        <f>IF($T528=0,"",IF($I528="Bloomberg",IF(AND(ISNUMBER(INDEX('Market Data'!$M$5:$M$528,$T528)),N(INDEX('Market Data'!$M$5:$M$528,$T528))&gt;0),INDEX('Market Data'!$M$5:$M$528,$T528),"date unavailable"),IF($I528="Snapshot",IF(AND(ISNUMBER(INDEX('Market Data'!$H$5:$H$528,$T528)),N(INDEX('Market Data'!$H$5:$H$528,$T528))&gt;0),INDEX('Market Data'!$H$5:$H$528,$T528),"date unavailable"),"date unavailable")))</f>
        <v/>
      </c>
      <c r="H528" s="9">
        <f>IF($T528=0,"",IF($I528="Bloomberg",IF(INDEX('Market Data'!$N$5:$N$528,$T528)="","time unavailable",INDEX('Market Data'!$N$5:$N$528,$T528)),""))</f>
        <v/>
      </c>
      <c r="I528" s="9">
        <f>IF($T528=0,"",INDEX('Market Data'!$P$5:$P$528,$T528))</f>
        <v/>
      </c>
      <c r="J528" s="13">
        <f>IF($T528=0,"",IF(INDEX('Market Data'!$E$5:$E$528,$T528)="","",INDEX('Market Data'!$E$5:$E$528,$T528)))</f>
        <v/>
      </c>
      <c r="K528" s="8">
        <f>IF($T528=0,"",IF(INDEX('Market Data'!$I$5:$I$528,$T528)="","",INDEX('Market Data'!$I$5:$I$528,$T528)))</f>
        <v/>
      </c>
      <c r="L528" s="10">
        <f>IF($T528=0,"",IF(INDEX('Market Data'!$J$5:$J$528,$T528)=0,"n/a",IF(AND($M$5&lt;&gt;"Snapshot",ISNUMBER(INDEX('Market Data'!$AH$5:$AH$66,INDEX('Market Data'!$J$5:$J$528,$T528)-4)),N(INDEX('Market Data'!$AH$5:$AH$66,INDEX('Market Data'!$J$5:$J$528,$T528)-4))&gt;0),INDEX('Market Data'!$AH$5:$AH$66,INDEX('Market Data'!$J$5:$J$528,$T528)-4),IF(AND($M$5&lt;&gt;"Bloomberg",ISNUMBER(INDEX('Market Data'!$AC$5:$AC$66,INDEX('Market Data'!$J$5:$J$528,$T528)-4)),N(INDEX('Market Data'!$AC$5:$AC$66,INDEX('Market Data'!$J$5:$J$528,$T528)-4))&gt;0),INDEX('Market Data'!$AC$5:$AC$66,INDEX('Market Data'!$J$5:$J$528,$T528)-4),"unavailable"))))</f>
        <v/>
      </c>
      <c r="M528" s="11">
        <f>IF($T528=0,"",IF(INDEX('Market Data'!$J$5:$J$528,$T528)=0,"n/a",IF(IF(INDEX('Market Data'!$J$5:$J$528,$T528)=0,0,IF(LEFT(INDEX('Market Data'!$AS$5:$AS$66,INDEX('Market Data'!$J$5:$J$528,$T528)-4),11)="First-month",1,0))=1,"class review",IF($I528="Bloomberg",IF(AND(ISNUMBER(INDEX('Market Data'!$AH$5:$AH$66,INDEX('Market Data'!$J$5:$J$528,$T528)-4)),N(INDEX('Market Data'!$AH$5:$AH$66,INDEX('Market Data'!$J$5:$J$528,$T528)-4))&gt;0,ISNUMBER('Market Data'!$B$1),N('Market Data'!$B$1)&gt;0),INDEX('Market Data'!$AH$5:$AH$66,INDEX('Market Data'!$J$5:$J$528,$T528)-4)*'Market Data'!$B$1/$E528-1,"pending A/FX"),IF(AND($I528="Snapshot",$Q528="Snapshot",ISNUMBER($E528),$G528=INDEX('Market Data'!$AE$5:$AE$66,INDEX('Market Data'!$J$5:$J$528,$T528)-4)),IFERROR(INDEX('Market Data'!$AC$5:$AC$66,INDEX('Market Data'!$J$5:$J$528,$T528)-4)*INDEX('Market Data'!$AD$5:$AD$66,INDEX('Market Data'!$J$5:$J$528,$T528)-4)/$E528-1,"unavailable"),IF($I528="Unavailable","unavailable","date mismatch"))))))</f>
        <v/>
      </c>
      <c r="N528" s="11">
        <f>IF($T528=0,"",IFERROR(IF(AND(N(INDEX('Market Data'!$F$5:$F$528,$T528))&gt;0,ISNUMBER(INDEX('Market Data'!$T$5:$T$528,$T528))),$E528*INDEX('Market Data'!$T$5:$T$528,$T528)/INDEX('Market Data'!$F$5:$F$528,$T528)-1,"unavailable"),"unavailable"))</f>
        <v/>
      </c>
      <c r="O528" s="9">
        <f>IF($T528=0,"",IF(IF(INDEX('Market Data'!$J$5:$J$528,$T528)=0,0,IF(LEFT(INDEX('Market Data'!$AS$5:$AS$66,INDEX('Market Data'!$J$5:$J$528,$T528)-4),11)="First-month",1,0))=1,"Class ratio review",IF($I528="Bloomberg",IF(ISNUMBER($G528),IF($G528&lt;TODAY(),"Older quote","See quote time"),"Date unavailable"),IF($I528="Snapshot",IF($G528&lt;DATEVALUE("2026-10-02"),"Older snapshot","Dated close"),"No valid quote"))))</f>
        <v/>
      </c>
      <c r="P528" s="14">
        <f>IF($T528=0,"",IF(INDEX('Market Data'!$J$5:$J$528,$T528)=0,"n/a",IF($Q528="Bloomberg",IF(AND(ISNUMBER(INDEX('Market Data'!$AK$5:$AK$66,INDEX('Market Data'!$J$5:$J$528,$T528)-4)),N(INDEX('Market Data'!$AK$5:$AK$66,INDEX('Market Data'!$J$5:$J$528,$T528)-4))&gt;0),INDEX('Market Data'!$AK$5:$AK$66,INDEX('Market Data'!$J$5:$J$528,$T528)-4),"date unavailable"),IF($Q528="Snapshot",IF(AND(ISNUMBER(INDEX('Market Data'!$AF$5:$AF$66,INDEX('Market Data'!$J$5:$J$528,$T528)-4)),N(INDEX('Market Data'!$AF$5:$AF$66,INDEX('Market Data'!$J$5:$J$528,$T528)-4))&gt;0),INDEX('Market Data'!$AF$5:$AF$66,INDEX('Market Data'!$J$5:$J$528,$T528)-4),"date unavailable"),"date unavailable"))))</f>
        <v/>
      </c>
      <c r="Q528" s="15">
        <f>IF($T528=0,"",IF(INDEX('Market Data'!$J$5:$J$528,$T528)=0,"n/a",IF(AND($M$5&lt;&gt;"Snapshot",ISNUMBER(INDEX('Market Data'!$AH$5:$AH$66,INDEX('Market Data'!$J$5:$J$528,$T528)-4)),N(INDEX('Market Data'!$AH$5:$AH$66,INDEX('Market Data'!$J$5:$J$528,$T528)-4))&gt;0),"Bloomberg",IF(AND($M$5&lt;&gt;"Bloomberg",ISNUMBER(INDEX('Market Data'!$AC$5:$AC$66,INDEX('Market Data'!$J$5:$J$528,$T528)-4)),N(INDEX('Market Data'!$AC$5:$AC$66,INDEX('Market Data'!$J$5:$J$528,$T528)-4))&gt;0),"Snapshot","Unavailable"))))</f>
        <v/>
      </c>
      <c r="T528">
        <f>IFERROR(MATCH(520,'Market Data'!$S$5:$S$528,0),0)</f>
        <v/>
      </c>
    </row>
    <row r="529" ht="34" customHeight="1">
      <c r="A529" s="8">
        <f>IF($T529=0,"",IF(INDEX('Market Data'!$A$5:$A$528,$T529)="","",INDEX('Market Data'!$A$5:$A$528,$T529)))</f>
        <v/>
      </c>
      <c r="B529" s="9">
        <f>IF($T529=0,"",IF(INDEX('Market Data'!$B$5:$B$528,$T529)="","",INDEX('Market Data'!$B$5:$B$528,$T529)))</f>
        <v/>
      </c>
      <c r="C529" s="9">
        <f>IF($T529=0,"",IF(INDEX('Market Data'!$C$5:$C$528,$T529)="","",INDEX('Market Data'!$C$5:$C$528,$T529)))</f>
        <v/>
      </c>
      <c r="D529" s="9">
        <f>IF($T529=0,"",IF(INDEX('Market Data'!$D$5:$D$528,$T529)="","",INDEX('Market Data'!$D$5:$D$528,$T529)))</f>
        <v/>
      </c>
      <c r="E529" s="10">
        <f>IF($T529=0,"",INDEX('Market Data'!$O$5:$O$528,$T529))</f>
        <v/>
      </c>
      <c r="F529" s="11">
        <f>IF($T529=0,"",IF(AND($I529="Bloomberg",ISNUMBER(INDEX('Market Data'!$L$5:$L$528,$T529))),INDEX('Market Data'!$L$5:$L$528,$T529),"unavailable"))</f>
        <v/>
      </c>
      <c r="G529" s="12">
        <f>IF($T529=0,"",IF($I529="Bloomberg",IF(AND(ISNUMBER(INDEX('Market Data'!$M$5:$M$528,$T529)),N(INDEX('Market Data'!$M$5:$M$528,$T529))&gt;0),INDEX('Market Data'!$M$5:$M$528,$T529),"date unavailable"),IF($I529="Snapshot",IF(AND(ISNUMBER(INDEX('Market Data'!$H$5:$H$528,$T529)),N(INDEX('Market Data'!$H$5:$H$528,$T529))&gt;0),INDEX('Market Data'!$H$5:$H$528,$T529),"date unavailable"),"date unavailable")))</f>
        <v/>
      </c>
      <c r="H529" s="9">
        <f>IF($T529=0,"",IF($I529="Bloomberg",IF(INDEX('Market Data'!$N$5:$N$528,$T529)="","time unavailable",INDEX('Market Data'!$N$5:$N$528,$T529)),""))</f>
        <v/>
      </c>
      <c r="I529" s="9">
        <f>IF($T529=0,"",INDEX('Market Data'!$P$5:$P$528,$T529))</f>
        <v/>
      </c>
      <c r="J529" s="13">
        <f>IF($T529=0,"",IF(INDEX('Market Data'!$E$5:$E$528,$T529)="","",INDEX('Market Data'!$E$5:$E$528,$T529)))</f>
        <v/>
      </c>
      <c r="K529" s="8">
        <f>IF($T529=0,"",IF(INDEX('Market Data'!$I$5:$I$528,$T529)="","",INDEX('Market Data'!$I$5:$I$528,$T529)))</f>
        <v/>
      </c>
      <c r="L529" s="10">
        <f>IF($T529=0,"",IF(INDEX('Market Data'!$J$5:$J$528,$T529)=0,"n/a",IF(AND($M$5&lt;&gt;"Snapshot",ISNUMBER(INDEX('Market Data'!$AH$5:$AH$66,INDEX('Market Data'!$J$5:$J$528,$T529)-4)),N(INDEX('Market Data'!$AH$5:$AH$66,INDEX('Market Data'!$J$5:$J$528,$T529)-4))&gt;0),INDEX('Market Data'!$AH$5:$AH$66,INDEX('Market Data'!$J$5:$J$528,$T529)-4),IF(AND($M$5&lt;&gt;"Bloomberg",ISNUMBER(INDEX('Market Data'!$AC$5:$AC$66,INDEX('Market Data'!$J$5:$J$528,$T529)-4)),N(INDEX('Market Data'!$AC$5:$AC$66,INDEX('Market Data'!$J$5:$J$528,$T529)-4))&gt;0),INDEX('Market Data'!$AC$5:$AC$66,INDEX('Market Data'!$J$5:$J$528,$T529)-4),"unavailable"))))</f>
        <v/>
      </c>
      <c r="M529" s="11">
        <f>IF($T529=0,"",IF(INDEX('Market Data'!$J$5:$J$528,$T529)=0,"n/a",IF(IF(INDEX('Market Data'!$J$5:$J$528,$T529)=0,0,IF(LEFT(INDEX('Market Data'!$AS$5:$AS$66,INDEX('Market Data'!$J$5:$J$528,$T529)-4),11)="First-month",1,0))=1,"class review",IF($I529="Bloomberg",IF(AND(ISNUMBER(INDEX('Market Data'!$AH$5:$AH$66,INDEX('Market Data'!$J$5:$J$528,$T529)-4)),N(INDEX('Market Data'!$AH$5:$AH$66,INDEX('Market Data'!$J$5:$J$528,$T529)-4))&gt;0,ISNUMBER('Market Data'!$B$1),N('Market Data'!$B$1)&gt;0),INDEX('Market Data'!$AH$5:$AH$66,INDEX('Market Data'!$J$5:$J$528,$T529)-4)*'Market Data'!$B$1/$E529-1,"pending A/FX"),IF(AND($I529="Snapshot",$Q529="Snapshot",ISNUMBER($E529),$G529=INDEX('Market Data'!$AE$5:$AE$66,INDEX('Market Data'!$J$5:$J$528,$T529)-4)),IFERROR(INDEX('Market Data'!$AC$5:$AC$66,INDEX('Market Data'!$J$5:$J$528,$T529)-4)*INDEX('Market Data'!$AD$5:$AD$66,INDEX('Market Data'!$J$5:$J$528,$T529)-4)/$E529-1,"unavailable"),IF($I529="Unavailable","unavailable","date mismatch"))))))</f>
        <v/>
      </c>
      <c r="N529" s="11">
        <f>IF($T529=0,"",IFERROR(IF(AND(N(INDEX('Market Data'!$F$5:$F$528,$T529))&gt;0,ISNUMBER(INDEX('Market Data'!$T$5:$T$528,$T529))),$E529*INDEX('Market Data'!$T$5:$T$528,$T529)/INDEX('Market Data'!$F$5:$F$528,$T529)-1,"unavailable"),"unavailable"))</f>
        <v/>
      </c>
      <c r="O529" s="9">
        <f>IF($T529=0,"",IF(IF(INDEX('Market Data'!$J$5:$J$528,$T529)=0,0,IF(LEFT(INDEX('Market Data'!$AS$5:$AS$66,INDEX('Market Data'!$J$5:$J$528,$T529)-4),11)="First-month",1,0))=1,"Class ratio review",IF($I529="Bloomberg",IF(ISNUMBER($G529),IF($G529&lt;TODAY(),"Older quote","See quote time"),"Date unavailable"),IF($I529="Snapshot",IF($G529&lt;DATEVALUE("2026-10-02"),"Older snapshot","Dated close"),"No valid quote"))))</f>
        <v/>
      </c>
      <c r="P529" s="14">
        <f>IF($T529=0,"",IF(INDEX('Market Data'!$J$5:$J$528,$T529)=0,"n/a",IF($Q529="Bloomberg",IF(AND(ISNUMBER(INDEX('Market Data'!$AK$5:$AK$66,INDEX('Market Data'!$J$5:$J$528,$T529)-4)),N(INDEX('Market Data'!$AK$5:$AK$66,INDEX('Market Data'!$J$5:$J$528,$T529)-4))&gt;0),INDEX('Market Data'!$AK$5:$AK$66,INDEX('Market Data'!$J$5:$J$528,$T529)-4),"date unavailable"),IF($Q529="Snapshot",IF(AND(ISNUMBER(INDEX('Market Data'!$AF$5:$AF$66,INDEX('Market Data'!$J$5:$J$528,$T529)-4)),N(INDEX('Market Data'!$AF$5:$AF$66,INDEX('Market Data'!$J$5:$J$528,$T529)-4))&gt;0),INDEX('Market Data'!$AF$5:$AF$66,INDEX('Market Data'!$J$5:$J$528,$T529)-4),"date unavailable"),"date unavailable"))))</f>
        <v/>
      </c>
      <c r="Q529" s="15">
        <f>IF($T529=0,"",IF(INDEX('Market Data'!$J$5:$J$528,$T529)=0,"n/a",IF(AND($M$5&lt;&gt;"Snapshot",ISNUMBER(INDEX('Market Data'!$AH$5:$AH$66,INDEX('Market Data'!$J$5:$J$528,$T529)-4)),N(INDEX('Market Data'!$AH$5:$AH$66,INDEX('Market Data'!$J$5:$J$528,$T529)-4))&gt;0),"Bloomberg",IF(AND($M$5&lt;&gt;"Bloomberg",ISNUMBER(INDEX('Market Data'!$AC$5:$AC$66,INDEX('Market Data'!$J$5:$J$528,$T529)-4)),N(INDEX('Market Data'!$AC$5:$AC$66,INDEX('Market Data'!$J$5:$J$528,$T529)-4))&gt;0),"Snapshot","Unavailable"))))</f>
        <v/>
      </c>
      <c r="T529">
        <f>IFERROR(MATCH(521,'Market Data'!$S$5:$S$528,0),0)</f>
        <v/>
      </c>
    </row>
    <row r="530" ht="34" customHeight="1">
      <c r="A530" s="8">
        <f>IF($T530=0,"",IF(INDEX('Market Data'!$A$5:$A$528,$T530)="","",INDEX('Market Data'!$A$5:$A$528,$T530)))</f>
        <v/>
      </c>
      <c r="B530" s="9">
        <f>IF($T530=0,"",IF(INDEX('Market Data'!$B$5:$B$528,$T530)="","",INDEX('Market Data'!$B$5:$B$528,$T530)))</f>
        <v/>
      </c>
      <c r="C530" s="9">
        <f>IF($T530=0,"",IF(INDEX('Market Data'!$C$5:$C$528,$T530)="","",INDEX('Market Data'!$C$5:$C$528,$T530)))</f>
        <v/>
      </c>
      <c r="D530" s="9">
        <f>IF($T530=0,"",IF(INDEX('Market Data'!$D$5:$D$528,$T530)="","",INDEX('Market Data'!$D$5:$D$528,$T530)))</f>
        <v/>
      </c>
      <c r="E530" s="10">
        <f>IF($T530=0,"",INDEX('Market Data'!$O$5:$O$528,$T530))</f>
        <v/>
      </c>
      <c r="F530" s="11">
        <f>IF($T530=0,"",IF(AND($I530="Bloomberg",ISNUMBER(INDEX('Market Data'!$L$5:$L$528,$T530))),INDEX('Market Data'!$L$5:$L$528,$T530),"unavailable"))</f>
        <v/>
      </c>
      <c r="G530" s="12">
        <f>IF($T530=0,"",IF($I530="Bloomberg",IF(AND(ISNUMBER(INDEX('Market Data'!$M$5:$M$528,$T530)),N(INDEX('Market Data'!$M$5:$M$528,$T530))&gt;0),INDEX('Market Data'!$M$5:$M$528,$T530),"date unavailable"),IF($I530="Snapshot",IF(AND(ISNUMBER(INDEX('Market Data'!$H$5:$H$528,$T530)),N(INDEX('Market Data'!$H$5:$H$528,$T530))&gt;0),INDEX('Market Data'!$H$5:$H$528,$T530),"date unavailable"),"date unavailable")))</f>
        <v/>
      </c>
      <c r="H530" s="9">
        <f>IF($T530=0,"",IF($I530="Bloomberg",IF(INDEX('Market Data'!$N$5:$N$528,$T530)="","time unavailable",INDEX('Market Data'!$N$5:$N$528,$T530)),""))</f>
        <v/>
      </c>
      <c r="I530" s="9">
        <f>IF($T530=0,"",INDEX('Market Data'!$P$5:$P$528,$T530))</f>
        <v/>
      </c>
      <c r="J530" s="13">
        <f>IF($T530=0,"",IF(INDEX('Market Data'!$E$5:$E$528,$T530)="","",INDEX('Market Data'!$E$5:$E$528,$T530)))</f>
        <v/>
      </c>
      <c r="K530" s="8">
        <f>IF($T530=0,"",IF(INDEX('Market Data'!$I$5:$I$528,$T530)="","",INDEX('Market Data'!$I$5:$I$528,$T530)))</f>
        <v/>
      </c>
      <c r="L530" s="10">
        <f>IF($T530=0,"",IF(INDEX('Market Data'!$J$5:$J$528,$T530)=0,"n/a",IF(AND($M$5&lt;&gt;"Snapshot",ISNUMBER(INDEX('Market Data'!$AH$5:$AH$66,INDEX('Market Data'!$J$5:$J$528,$T530)-4)),N(INDEX('Market Data'!$AH$5:$AH$66,INDEX('Market Data'!$J$5:$J$528,$T530)-4))&gt;0),INDEX('Market Data'!$AH$5:$AH$66,INDEX('Market Data'!$J$5:$J$528,$T530)-4),IF(AND($M$5&lt;&gt;"Bloomberg",ISNUMBER(INDEX('Market Data'!$AC$5:$AC$66,INDEX('Market Data'!$J$5:$J$528,$T530)-4)),N(INDEX('Market Data'!$AC$5:$AC$66,INDEX('Market Data'!$J$5:$J$528,$T530)-4))&gt;0),INDEX('Market Data'!$AC$5:$AC$66,INDEX('Market Data'!$J$5:$J$528,$T530)-4),"unavailable"))))</f>
        <v/>
      </c>
      <c r="M530" s="11">
        <f>IF($T530=0,"",IF(INDEX('Market Data'!$J$5:$J$528,$T530)=0,"n/a",IF(IF(INDEX('Market Data'!$J$5:$J$528,$T530)=0,0,IF(LEFT(INDEX('Market Data'!$AS$5:$AS$66,INDEX('Market Data'!$J$5:$J$528,$T530)-4),11)="First-month",1,0))=1,"class review",IF($I530="Bloomberg",IF(AND(ISNUMBER(INDEX('Market Data'!$AH$5:$AH$66,INDEX('Market Data'!$J$5:$J$528,$T530)-4)),N(INDEX('Market Data'!$AH$5:$AH$66,INDEX('Market Data'!$J$5:$J$528,$T530)-4))&gt;0,ISNUMBER('Market Data'!$B$1),N('Market Data'!$B$1)&gt;0),INDEX('Market Data'!$AH$5:$AH$66,INDEX('Market Data'!$J$5:$J$528,$T530)-4)*'Market Data'!$B$1/$E530-1,"pending A/FX"),IF(AND($I530="Snapshot",$Q530="Snapshot",ISNUMBER($E530),$G530=INDEX('Market Data'!$AE$5:$AE$66,INDEX('Market Data'!$J$5:$J$528,$T530)-4)),IFERROR(INDEX('Market Data'!$AC$5:$AC$66,INDEX('Market Data'!$J$5:$J$528,$T530)-4)*INDEX('Market Data'!$AD$5:$AD$66,INDEX('Market Data'!$J$5:$J$528,$T530)-4)/$E530-1,"unavailable"),IF($I530="Unavailable","unavailable","date mismatch"))))))</f>
        <v/>
      </c>
      <c r="N530" s="11">
        <f>IF($T530=0,"",IFERROR(IF(AND(N(INDEX('Market Data'!$F$5:$F$528,$T530))&gt;0,ISNUMBER(INDEX('Market Data'!$T$5:$T$528,$T530))),$E530*INDEX('Market Data'!$T$5:$T$528,$T530)/INDEX('Market Data'!$F$5:$F$528,$T530)-1,"unavailable"),"unavailable"))</f>
        <v/>
      </c>
      <c r="O530" s="9">
        <f>IF($T530=0,"",IF(IF(INDEX('Market Data'!$J$5:$J$528,$T530)=0,0,IF(LEFT(INDEX('Market Data'!$AS$5:$AS$66,INDEX('Market Data'!$J$5:$J$528,$T530)-4),11)="First-month",1,0))=1,"Class ratio review",IF($I530="Bloomberg",IF(ISNUMBER($G530),IF($G530&lt;TODAY(),"Older quote","See quote time"),"Date unavailable"),IF($I530="Snapshot",IF($G530&lt;DATEVALUE("2026-10-02"),"Older snapshot","Dated close"),"No valid quote"))))</f>
        <v/>
      </c>
      <c r="P530" s="14">
        <f>IF($T530=0,"",IF(INDEX('Market Data'!$J$5:$J$528,$T530)=0,"n/a",IF($Q530="Bloomberg",IF(AND(ISNUMBER(INDEX('Market Data'!$AK$5:$AK$66,INDEX('Market Data'!$J$5:$J$528,$T530)-4)),N(INDEX('Market Data'!$AK$5:$AK$66,INDEX('Market Data'!$J$5:$J$528,$T530)-4))&gt;0),INDEX('Market Data'!$AK$5:$AK$66,INDEX('Market Data'!$J$5:$J$528,$T530)-4),"date unavailable"),IF($Q530="Snapshot",IF(AND(ISNUMBER(INDEX('Market Data'!$AF$5:$AF$66,INDEX('Market Data'!$J$5:$J$528,$T530)-4)),N(INDEX('Market Data'!$AF$5:$AF$66,INDEX('Market Data'!$J$5:$J$528,$T530)-4))&gt;0),INDEX('Market Data'!$AF$5:$AF$66,INDEX('Market Data'!$J$5:$J$528,$T530)-4),"date unavailable"),"date unavailable"))))</f>
        <v/>
      </c>
      <c r="Q530" s="15">
        <f>IF($T530=0,"",IF(INDEX('Market Data'!$J$5:$J$528,$T530)=0,"n/a",IF(AND($M$5&lt;&gt;"Snapshot",ISNUMBER(INDEX('Market Data'!$AH$5:$AH$66,INDEX('Market Data'!$J$5:$J$528,$T530)-4)),N(INDEX('Market Data'!$AH$5:$AH$66,INDEX('Market Data'!$J$5:$J$528,$T530)-4))&gt;0),"Bloomberg",IF(AND($M$5&lt;&gt;"Bloomberg",ISNUMBER(INDEX('Market Data'!$AC$5:$AC$66,INDEX('Market Data'!$J$5:$J$528,$T530)-4)),N(INDEX('Market Data'!$AC$5:$AC$66,INDEX('Market Data'!$J$5:$J$528,$T530)-4))&gt;0),"Snapshot","Unavailable"))))</f>
        <v/>
      </c>
      <c r="T530">
        <f>IFERROR(MATCH(522,'Market Data'!$S$5:$S$528,0),0)</f>
        <v/>
      </c>
    </row>
    <row r="531" ht="34" customHeight="1">
      <c r="A531" s="8">
        <f>IF($T531=0,"",IF(INDEX('Market Data'!$A$5:$A$528,$T531)="","",INDEX('Market Data'!$A$5:$A$528,$T531)))</f>
        <v/>
      </c>
      <c r="B531" s="9">
        <f>IF($T531=0,"",IF(INDEX('Market Data'!$B$5:$B$528,$T531)="","",INDEX('Market Data'!$B$5:$B$528,$T531)))</f>
        <v/>
      </c>
      <c r="C531" s="9">
        <f>IF($T531=0,"",IF(INDEX('Market Data'!$C$5:$C$528,$T531)="","",INDEX('Market Data'!$C$5:$C$528,$T531)))</f>
        <v/>
      </c>
      <c r="D531" s="9">
        <f>IF($T531=0,"",IF(INDEX('Market Data'!$D$5:$D$528,$T531)="","",INDEX('Market Data'!$D$5:$D$528,$T531)))</f>
        <v/>
      </c>
      <c r="E531" s="10">
        <f>IF($T531=0,"",INDEX('Market Data'!$O$5:$O$528,$T531))</f>
        <v/>
      </c>
      <c r="F531" s="11">
        <f>IF($T531=0,"",IF(AND($I531="Bloomberg",ISNUMBER(INDEX('Market Data'!$L$5:$L$528,$T531))),INDEX('Market Data'!$L$5:$L$528,$T531),"unavailable"))</f>
        <v/>
      </c>
      <c r="G531" s="12">
        <f>IF($T531=0,"",IF($I531="Bloomberg",IF(AND(ISNUMBER(INDEX('Market Data'!$M$5:$M$528,$T531)),N(INDEX('Market Data'!$M$5:$M$528,$T531))&gt;0),INDEX('Market Data'!$M$5:$M$528,$T531),"date unavailable"),IF($I531="Snapshot",IF(AND(ISNUMBER(INDEX('Market Data'!$H$5:$H$528,$T531)),N(INDEX('Market Data'!$H$5:$H$528,$T531))&gt;0),INDEX('Market Data'!$H$5:$H$528,$T531),"date unavailable"),"date unavailable")))</f>
        <v/>
      </c>
      <c r="H531" s="9">
        <f>IF($T531=0,"",IF($I531="Bloomberg",IF(INDEX('Market Data'!$N$5:$N$528,$T531)="","time unavailable",INDEX('Market Data'!$N$5:$N$528,$T531)),""))</f>
        <v/>
      </c>
      <c r="I531" s="9">
        <f>IF($T531=0,"",INDEX('Market Data'!$P$5:$P$528,$T531))</f>
        <v/>
      </c>
      <c r="J531" s="13">
        <f>IF($T531=0,"",IF(INDEX('Market Data'!$E$5:$E$528,$T531)="","",INDEX('Market Data'!$E$5:$E$528,$T531)))</f>
        <v/>
      </c>
      <c r="K531" s="8">
        <f>IF($T531=0,"",IF(INDEX('Market Data'!$I$5:$I$528,$T531)="","",INDEX('Market Data'!$I$5:$I$528,$T531)))</f>
        <v/>
      </c>
      <c r="L531" s="10">
        <f>IF($T531=0,"",IF(INDEX('Market Data'!$J$5:$J$528,$T531)=0,"n/a",IF(AND($M$5&lt;&gt;"Snapshot",ISNUMBER(INDEX('Market Data'!$AH$5:$AH$66,INDEX('Market Data'!$J$5:$J$528,$T531)-4)),N(INDEX('Market Data'!$AH$5:$AH$66,INDEX('Market Data'!$J$5:$J$528,$T531)-4))&gt;0),INDEX('Market Data'!$AH$5:$AH$66,INDEX('Market Data'!$J$5:$J$528,$T531)-4),IF(AND($M$5&lt;&gt;"Bloomberg",ISNUMBER(INDEX('Market Data'!$AC$5:$AC$66,INDEX('Market Data'!$J$5:$J$528,$T531)-4)),N(INDEX('Market Data'!$AC$5:$AC$66,INDEX('Market Data'!$J$5:$J$528,$T531)-4))&gt;0),INDEX('Market Data'!$AC$5:$AC$66,INDEX('Market Data'!$J$5:$J$528,$T531)-4),"unavailable"))))</f>
        <v/>
      </c>
      <c r="M531" s="11">
        <f>IF($T531=0,"",IF(INDEX('Market Data'!$J$5:$J$528,$T531)=0,"n/a",IF(IF(INDEX('Market Data'!$J$5:$J$528,$T531)=0,0,IF(LEFT(INDEX('Market Data'!$AS$5:$AS$66,INDEX('Market Data'!$J$5:$J$528,$T531)-4),11)="First-month",1,0))=1,"class review",IF($I531="Bloomberg",IF(AND(ISNUMBER(INDEX('Market Data'!$AH$5:$AH$66,INDEX('Market Data'!$J$5:$J$528,$T531)-4)),N(INDEX('Market Data'!$AH$5:$AH$66,INDEX('Market Data'!$J$5:$J$528,$T531)-4))&gt;0,ISNUMBER('Market Data'!$B$1),N('Market Data'!$B$1)&gt;0),INDEX('Market Data'!$AH$5:$AH$66,INDEX('Market Data'!$J$5:$J$528,$T531)-4)*'Market Data'!$B$1/$E531-1,"pending A/FX"),IF(AND($I531="Snapshot",$Q531="Snapshot",ISNUMBER($E531),$G531=INDEX('Market Data'!$AE$5:$AE$66,INDEX('Market Data'!$J$5:$J$528,$T531)-4)),IFERROR(INDEX('Market Data'!$AC$5:$AC$66,INDEX('Market Data'!$J$5:$J$528,$T531)-4)*INDEX('Market Data'!$AD$5:$AD$66,INDEX('Market Data'!$J$5:$J$528,$T531)-4)/$E531-1,"unavailable"),IF($I531="Unavailable","unavailable","date mismatch"))))))</f>
        <v/>
      </c>
      <c r="N531" s="11">
        <f>IF($T531=0,"",IFERROR(IF(AND(N(INDEX('Market Data'!$F$5:$F$528,$T531))&gt;0,ISNUMBER(INDEX('Market Data'!$T$5:$T$528,$T531))),$E531*INDEX('Market Data'!$T$5:$T$528,$T531)/INDEX('Market Data'!$F$5:$F$528,$T531)-1,"unavailable"),"unavailable"))</f>
        <v/>
      </c>
      <c r="O531" s="9">
        <f>IF($T531=0,"",IF(IF(INDEX('Market Data'!$J$5:$J$528,$T531)=0,0,IF(LEFT(INDEX('Market Data'!$AS$5:$AS$66,INDEX('Market Data'!$J$5:$J$528,$T531)-4),11)="First-month",1,0))=1,"Class ratio review",IF($I531="Bloomberg",IF(ISNUMBER($G531),IF($G531&lt;TODAY(),"Older quote","See quote time"),"Date unavailable"),IF($I531="Snapshot",IF($G531&lt;DATEVALUE("2026-10-02"),"Older snapshot","Dated close"),"No valid quote"))))</f>
        <v/>
      </c>
      <c r="P531" s="14">
        <f>IF($T531=0,"",IF(INDEX('Market Data'!$J$5:$J$528,$T531)=0,"n/a",IF($Q531="Bloomberg",IF(AND(ISNUMBER(INDEX('Market Data'!$AK$5:$AK$66,INDEX('Market Data'!$J$5:$J$528,$T531)-4)),N(INDEX('Market Data'!$AK$5:$AK$66,INDEX('Market Data'!$J$5:$J$528,$T531)-4))&gt;0),INDEX('Market Data'!$AK$5:$AK$66,INDEX('Market Data'!$J$5:$J$528,$T531)-4),"date unavailable"),IF($Q531="Snapshot",IF(AND(ISNUMBER(INDEX('Market Data'!$AF$5:$AF$66,INDEX('Market Data'!$J$5:$J$528,$T531)-4)),N(INDEX('Market Data'!$AF$5:$AF$66,INDEX('Market Data'!$J$5:$J$528,$T531)-4))&gt;0),INDEX('Market Data'!$AF$5:$AF$66,INDEX('Market Data'!$J$5:$J$528,$T531)-4),"date unavailable"),"date unavailable"))))</f>
        <v/>
      </c>
      <c r="Q531" s="15">
        <f>IF($T531=0,"",IF(INDEX('Market Data'!$J$5:$J$528,$T531)=0,"n/a",IF(AND($M$5&lt;&gt;"Snapshot",ISNUMBER(INDEX('Market Data'!$AH$5:$AH$66,INDEX('Market Data'!$J$5:$J$528,$T531)-4)),N(INDEX('Market Data'!$AH$5:$AH$66,INDEX('Market Data'!$J$5:$J$528,$T531)-4))&gt;0),"Bloomberg",IF(AND($M$5&lt;&gt;"Bloomberg",ISNUMBER(INDEX('Market Data'!$AC$5:$AC$66,INDEX('Market Data'!$J$5:$J$528,$T531)-4)),N(INDEX('Market Data'!$AC$5:$AC$66,INDEX('Market Data'!$J$5:$J$528,$T531)-4))&gt;0),"Snapshot","Unavailable"))))</f>
        <v/>
      </c>
      <c r="T531">
        <f>IFERROR(MATCH(523,'Market Data'!$S$5:$S$528,0),0)</f>
        <v/>
      </c>
    </row>
    <row r="532" ht="34" customHeight="1">
      <c r="A532" s="8">
        <f>IF($T532=0,"",IF(INDEX('Market Data'!$A$5:$A$528,$T532)="","",INDEX('Market Data'!$A$5:$A$528,$T532)))</f>
        <v/>
      </c>
      <c r="B532" s="9">
        <f>IF($T532=0,"",IF(INDEX('Market Data'!$B$5:$B$528,$T532)="","",INDEX('Market Data'!$B$5:$B$528,$T532)))</f>
        <v/>
      </c>
      <c r="C532" s="9">
        <f>IF($T532=0,"",IF(INDEX('Market Data'!$C$5:$C$528,$T532)="","",INDEX('Market Data'!$C$5:$C$528,$T532)))</f>
        <v/>
      </c>
      <c r="D532" s="9">
        <f>IF($T532=0,"",IF(INDEX('Market Data'!$D$5:$D$528,$T532)="","",INDEX('Market Data'!$D$5:$D$528,$T532)))</f>
        <v/>
      </c>
      <c r="E532" s="10">
        <f>IF($T532=0,"",INDEX('Market Data'!$O$5:$O$528,$T532))</f>
        <v/>
      </c>
      <c r="F532" s="11">
        <f>IF($T532=0,"",IF(AND($I532="Bloomberg",ISNUMBER(INDEX('Market Data'!$L$5:$L$528,$T532))),INDEX('Market Data'!$L$5:$L$528,$T532),"unavailable"))</f>
        <v/>
      </c>
      <c r="G532" s="12">
        <f>IF($T532=0,"",IF($I532="Bloomberg",IF(AND(ISNUMBER(INDEX('Market Data'!$M$5:$M$528,$T532)),N(INDEX('Market Data'!$M$5:$M$528,$T532))&gt;0),INDEX('Market Data'!$M$5:$M$528,$T532),"date unavailable"),IF($I532="Snapshot",IF(AND(ISNUMBER(INDEX('Market Data'!$H$5:$H$528,$T532)),N(INDEX('Market Data'!$H$5:$H$528,$T532))&gt;0),INDEX('Market Data'!$H$5:$H$528,$T532),"date unavailable"),"date unavailable")))</f>
        <v/>
      </c>
      <c r="H532" s="9">
        <f>IF($T532=0,"",IF($I532="Bloomberg",IF(INDEX('Market Data'!$N$5:$N$528,$T532)="","time unavailable",INDEX('Market Data'!$N$5:$N$528,$T532)),""))</f>
        <v/>
      </c>
      <c r="I532" s="9">
        <f>IF($T532=0,"",INDEX('Market Data'!$P$5:$P$528,$T532))</f>
        <v/>
      </c>
      <c r="J532" s="13">
        <f>IF($T532=0,"",IF(INDEX('Market Data'!$E$5:$E$528,$T532)="","",INDEX('Market Data'!$E$5:$E$528,$T532)))</f>
        <v/>
      </c>
      <c r="K532" s="8">
        <f>IF($T532=0,"",IF(INDEX('Market Data'!$I$5:$I$528,$T532)="","",INDEX('Market Data'!$I$5:$I$528,$T532)))</f>
        <v/>
      </c>
      <c r="L532" s="10">
        <f>IF($T532=0,"",IF(INDEX('Market Data'!$J$5:$J$528,$T532)=0,"n/a",IF(AND($M$5&lt;&gt;"Snapshot",ISNUMBER(INDEX('Market Data'!$AH$5:$AH$66,INDEX('Market Data'!$J$5:$J$528,$T532)-4)),N(INDEX('Market Data'!$AH$5:$AH$66,INDEX('Market Data'!$J$5:$J$528,$T532)-4))&gt;0),INDEX('Market Data'!$AH$5:$AH$66,INDEX('Market Data'!$J$5:$J$528,$T532)-4),IF(AND($M$5&lt;&gt;"Bloomberg",ISNUMBER(INDEX('Market Data'!$AC$5:$AC$66,INDEX('Market Data'!$J$5:$J$528,$T532)-4)),N(INDEX('Market Data'!$AC$5:$AC$66,INDEX('Market Data'!$J$5:$J$528,$T532)-4))&gt;0),INDEX('Market Data'!$AC$5:$AC$66,INDEX('Market Data'!$J$5:$J$528,$T532)-4),"unavailable"))))</f>
        <v/>
      </c>
      <c r="M532" s="11">
        <f>IF($T532=0,"",IF(INDEX('Market Data'!$J$5:$J$528,$T532)=0,"n/a",IF(IF(INDEX('Market Data'!$J$5:$J$528,$T532)=0,0,IF(LEFT(INDEX('Market Data'!$AS$5:$AS$66,INDEX('Market Data'!$J$5:$J$528,$T532)-4),11)="First-month",1,0))=1,"class review",IF($I532="Bloomberg",IF(AND(ISNUMBER(INDEX('Market Data'!$AH$5:$AH$66,INDEX('Market Data'!$J$5:$J$528,$T532)-4)),N(INDEX('Market Data'!$AH$5:$AH$66,INDEX('Market Data'!$J$5:$J$528,$T532)-4))&gt;0,ISNUMBER('Market Data'!$B$1),N('Market Data'!$B$1)&gt;0),INDEX('Market Data'!$AH$5:$AH$66,INDEX('Market Data'!$J$5:$J$528,$T532)-4)*'Market Data'!$B$1/$E532-1,"pending A/FX"),IF(AND($I532="Snapshot",$Q532="Snapshot",ISNUMBER($E532),$G532=INDEX('Market Data'!$AE$5:$AE$66,INDEX('Market Data'!$J$5:$J$528,$T532)-4)),IFERROR(INDEX('Market Data'!$AC$5:$AC$66,INDEX('Market Data'!$J$5:$J$528,$T532)-4)*INDEX('Market Data'!$AD$5:$AD$66,INDEX('Market Data'!$J$5:$J$528,$T532)-4)/$E532-1,"unavailable"),IF($I532="Unavailable","unavailable","date mismatch"))))))</f>
        <v/>
      </c>
      <c r="N532" s="11">
        <f>IF($T532=0,"",IFERROR(IF(AND(N(INDEX('Market Data'!$F$5:$F$528,$T532))&gt;0,ISNUMBER(INDEX('Market Data'!$T$5:$T$528,$T532))),$E532*INDEX('Market Data'!$T$5:$T$528,$T532)/INDEX('Market Data'!$F$5:$F$528,$T532)-1,"unavailable"),"unavailable"))</f>
        <v/>
      </c>
      <c r="O532" s="9">
        <f>IF($T532=0,"",IF(IF(INDEX('Market Data'!$J$5:$J$528,$T532)=0,0,IF(LEFT(INDEX('Market Data'!$AS$5:$AS$66,INDEX('Market Data'!$J$5:$J$528,$T532)-4),11)="First-month",1,0))=1,"Class ratio review",IF($I532="Bloomberg",IF(ISNUMBER($G532),IF($G532&lt;TODAY(),"Older quote","See quote time"),"Date unavailable"),IF($I532="Snapshot",IF($G532&lt;DATEVALUE("2026-10-02"),"Older snapshot","Dated close"),"No valid quote"))))</f>
        <v/>
      </c>
      <c r="P532" s="14">
        <f>IF($T532=0,"",IF(INDEX('Market Data'!$J$5:$J$528,$T532)=0,"n/a",IF($Q532="Bloomberg",IF(AND(ISNUMBER(INDEX('Market Data'!$AK$5:$AK$66,INDEX('Market Data'!$J$5:$J$528,$T532)-4)),N(INDEX('Market Data'!$AK$5:$AK$66,INDEX('Market Data'!$J$5:$J$528,$T532)-4))&gt;0),INDEX('Market Data'!$AK$5:$AK$66,INDEX('Market Data'!$J$5:$J$528,$T532)-4),"date unavailable"),IF($Q532="Snapshot",IF(AND(ISNUMBER(INDEX('Market Data'!$AF$5:$AF$66,INDEX('Market Data'!$J$5:$J$528,$T532)-4)),N(INDEX('Market Data'!$AF$5:$AF$66,INDEX('Market Data'!$J$5:$J$528,$T532)-4))&gt;0),INDEX('Market Data'!$AF$5:$AF$66,INDEX('Market Data'!$J$5:$J$528,$T532)-4),"date unavailable"),"date unavailable"))))</f>
        <v/>
      </c>
      <c r="Q532" s="15">
        <f>IF($T532=0,"",IF(INDEX('Market Data'!$J$5:$J$528,$T532)=0,"n/a",IF(AND($M$5&lt;&gt;"Snapshot",ISNUMBER(INDEX('Market Data'!$AH$5:$AH$66,INDEX('Market Data'!$J$5:$J$528,$T532)-4)),N(INDEX('Market Data'!$AH$5:$AH$66,INDEX('Market Data'!$J$5:$J$528,$T532)-4))&gt;0),"Bloomberg",IF(AND($M$5&lt;&gt;"Bloomberg",ISNUMBER(INDEX('Market Data'!$AC$5:$AC$66,INDEX('Market Data'!$J$5:$J$528,$T532)-4)),N(INDEX('Market Data'!$AC$5:$AC$66,INDEX('Market Data'!$J$5:$J$528,$T532)-4))&gt;0),"Snapshot","Unavailable"))))</f>
        <v/>
      </c>
      <c r="T532">
        <f>IFERROR(MATCH(524,'Market Data'!$S$5:$S$528,0),0)</f>
        <v/>
      </c>
    </row>
  </sheetData>
  <mergeCells count="7">
    <mergeCell ref="L7:Q7"/>
    <mergeCell ref="A3:Q3"/>
    <mergeCell ref="B5:F5"/>
    <mergeCell ref="A7:G7"/>
    <mergeCell ref="H7:K7"/>
    <mergeCell ref="M5:Q5"/>
    <mergeCell ref="A1:Q2"/>
  </mergeCells>
  <conditionalFormatting sqref="F9:F532">
    <cfRule type="colorScale" priority="1">
      <colorScale>
        <cfvo type="min"/>
        <cfvo type="num" val="0"/>
        <cfvo type="max"/>
        <color rgb="00F6C9CF"/>
        <color rgb="00FFFFFF"/>
        <color rgb="00C7E9DC"/>
      </colorScale>
    </cfRule>
  </conditionalFormatting>
  <dataValidations count="2">
    <dataValidation sqref="M5" showDropDown="0" showInputMessage="0" showErrorMessage="0" allowBlank="0" type="list">
      <formula1>"Bloomberg,Auto,Snapshot"</formula1>
    </dataValidation>
    <dataValidation sqref="B5" showDropDown="0" showInputMessage="0" showErrorMessage="1" allowBlank="0" errorTitle="Choose from the list" error="Use a listed selection." type="list">
      <formula1>AHViewList</formula1>
    </dataValidation>
  </dataValidations>
  <printOptions horizontalCentered="1"/>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2.xml><?xml version="1.0" encoding="utf-8"?>
<worksheet xmlns="http://schemas.openxmlformats.org/spreadsheetml/2006/main">
  <sheetPr>
    <tabColor rgb="00117F80"/>
    <outlinePr summaryBelow="1" summaryRight="1"/>
    <pageSetUpPr fitToPage="1"/>
  </sheetPr>
  <dimension ref="A1:U98"/>
  <sheetViews>
    <sheetView showGridLines="0" zoomScale="90" workbookViewId="0">
      <pane xSplit="2" ySplit="6" topLeftCell="C7" activePane="bottomRight" state="frozen"/>
      <selection pane="topRight"/>
      <selection pane="bottomLeft"/>
      <selection pane="bottomRight" activeCell="A1" sqref="A1"/>
    </sheetView>
  </sheetViews>
  <sheetFormatPr baseColWidth="8" defaultRowHeight="15"/>
  <cols>
    <col width="9" customWidth="1" min="1" max="1"/>
    <col width="25" customWidth="1" min="2" max="2"/>
    <col width="18" customWidth="1" min="3" max="3"/>
    <col width="26" customWidth="1" min="4" max="4"/>
    <col width="13" customWidth="1" min="5" max="5"/>
    <col width="13" customWidth="1" min="6" max="6"/>
    <col width="15" customWidth="1" min="7" max="7"/>
    <col width="12" customWidth="1" min="8" max="8"/>
    <col width="13" customWidth="1" min="9" max="9"/>
    <col width="15" customWidth="1" min="10" max="10"/>
    <col width="12" customWidth="1" min="11" max="11"/>
    <col width="13" customWidth="1" min="12" max="12"/>
    <col width="13" customWidth="1" min="13" max="13"/>
    <col width="14" customWidth="1" min="14" max="14"/>
    <col width="18" customWidth="1" min="15" max="15"/>
    <col width="15" customWidth="1" min="16" max="16"/>
    <col width="15" customWidth="1" min="17" max="17"/>
    <col hidden="1" width="13" customWidth="1" min="20" max="20"/>
    <col hidden="1" width="13" customWidth="1" min="21" max="21"/>
  </cols>
  <sheetData>
    <row r="1" ht="22" customHeight="1">
      <c r="A1" s="1" t="inlineStr">
        <is>
          <t>A/H premium</t>
        </is>
      </c>
    </row>
    <row r="2" ht="22" customHeight="1"/>
    <row r="3" ht="22" customHeight="1">
      <c r="A3" s="2">
        <f>IF($U$4=0,"Choose an A/H IPO code. H and A codes both work.","Selected: "&amp;IF($U$4=0,"unavailable",INDEX('Market Data'!$W$5:$W$66,$U$4))&amp;". Bloomberg history requests run from H listing through TODAY. Refresh after changing the code.")</f>
        <v/>
      </c>
    </row>
    <row r="4" ht="22" customHeight="1">
      <c r="A4" s="3" t="n"/>
      <c r="B4" s="3" t="n"/>
      <c r="C4" s="3" t="n"/>
      <c r="D4" s="3" t="n"/>
      <c r="E4" s="3" t="n"/>
      <c r="F4" s="3" t="n"/>
      <c r="G4" s="3" t="n"/>
      <c r="H4" s="3" t="n"/>
      <c r="I4" s="3" t="n"/>
      <c r="J4" s="3" t="n"/>
      <c r="K4" s="3" t="n"/>
      <c r="L4" s="3" t="n"/>
      <c r="M4" s="3" t="n"/>
      <c r="N4" s="3" t="n"/>
      <c r="O4" s="3" t="n"/>
      <c r="U4">
        <f>IFERROR(MATCH(TEXT(VALUE(IFERROR(LEFT(TRIM($B$5),FIND(".",TRIM($B$5))-1),TRIM($B$5))),"0000"),'Market Data'!$X$5:$X$66,0),IFERROR(MATCH(TEXT(VALUE(IFERROR(LEFT(TRIM($B$5),FIND(".",TRIM($B$5))-1),TRIM($B$5))),"000000"),'Market Data'!$AT$5:$AT$66,0),0))</f>
        <v/>
      </c>
    </row>
    <row r="5" ht="30" customHeight="1">
      <c r="A5" s="4" t="inlineStr">
        <is>
          <t>Code</t>
        </is>
      </c>
      <c r="B5" s="16" t="inlineStr">
        <is>
          <t>3986</t>
        </is>
      </c>
      <c r="G5" s="3" t="n"/>
      <c r="H5" s="3" t="inlineStr">
        <is>
          <t>Sector</t>
        </is>
      </c>
      <c r="I5" s="17" t="inlineStr">
        <is>
          <t>All</t>
        </is>
      </c>
      <c r="L5" s="4" t="inlineStr">
        <is>
          <t>Data mode</t>
        </is>
      </c>
      <c r="M5" s="18" t="inlineStr">
        <is>
          <t>Bloomberg</t>
        </is>
      </c>
      <c r="U5">
        <f>IF(AND($M$5&lt;&gt;"Snapshot",IFERROR(MATCH($U$8,'Live History'!$A$5:$A$3004,0),0)&gt;0,COUNT('Live History'!$B$5:$B$3004)&gt;0,COUNT('Live History'!$E$5:$E$3004)&gt;0,COUNT('Live History'!$H$5:$H$3004)&gt;0,MAX('Live History'!$A$5:$A$3004)&gt;=$U$14,IFERROR(ABS(INDEX('Live History'!$B$5:$B$3004,MATCH($U$8,'Live History'!$A$5:$A$3004,0))-$U$13)&lt;=MAX(0.005,N($U$13)*0.0005),FALSE)),1,0)</f>
        <v/>
      </c>
    </row>
    <row r="6" ht="22" customHeight="1">
      <c r="A6" s="4" t="inlineStr">
        <is>
          <t>H code</t>
        </is>
      </c>
      <c r="B6" s="2">
        <f>IF($U$4=0,"unavailable",INDEX('Market Data'!$X$5:$X$66,$U$4))</f>
        <v/>
      </c>
      <c r="E6" s="2">
        <f>IFERROR(TEXT(VALUE($B$6),"0")&amp;" HK Equity","")</f>
        <v/>
      </c>
      <c r="H6" s="4" t="inlineStr">
        <is>
          <t>A code</t>
        </is>
      </c>
      <c r="I6" s="2">
        <f>IF($U$4=0,"unavailable",INDEX('Market Data'!$Y$5:$Y$66,$U$4))</f>
        <v/>
      </c>
      <c r="L6" s="2">
        <f>IFERROR(LEFT($I$6,FIND(".",$I$6)-1)&amp;" CH Equity","")</f>
        <v/>
      </c>
      <c r="U6">
        <f>MAX(1,MIN(3000,IF($U$5=1,COUNTIF('Live History'!$A$5:$A$3004,"&gt;="&amp;$U$8)+$U$12,IF($M$5="Bloomberg",1,1376-$U$7+1))))</f>
        <v/>
      </c>
    </row>
    <row r="7" ht="22" customHeight="1">
      <c r="A7" s="3">
        <f>"H listed: "&amp;IF($U$4=0,"n/a",TEXT($U$8,"dd-mmm-yy"))&amp;" | Requested through "&amp;TEXT(TODAY(),"dd-mmm-yy")</f>
        <v/>
      </c>
      <c r="U7">
        <f>IFERROR(IF($U$5=1,MATCH($U$8,'Live History'!$A$5:$A$3004,0),MATCH($U$8,'AH History'!$A$5:$A$1380,0)),1)</f>
        <v/>
      </c>
    </row>
    <row r="8" ht="22" customHeight="1">
      <c r="A8" s="19" t="inlineStr">
        <is>
          <t>H last (HK$)</t>
        </is>
      </c>
      <c r="D8" s="19" t="inlineStr">
        <is>
          <t>A in HK$</t>
        </is>
      </c>
      <c r="G8" s="3" t="n"/>
      <c r="H8" s="19" t="inlineStr">
        <is>
          <t>A premium vs H</t>
        </is>
      </c>
      <c r="K8" s="3" t="n"/>
      <c r="L8" s="19" t="inlineStr">
        <is>
          <t>A last (CNY)</t>
        </is>
      </c>
      <c r="N8" s="19" t="inlineStr">
        <is>
          <t>CNYHKD</t>
        </is>
      </c>
      <c r="U8">
        <f>IFERROR(IF($U$4=0,"",INDEX('Market Data'!$AA$5:$AA$66,$U$4)),"")</f>
        <v/>
      </c>
    </row>
    <row r="9" ht="22" customHeight="1">
      <c r="A9" s="20">
        <f>IF($U$4=0,"unavailable",INDEX('Market Data'!$AN$5:$AN$66,$U$4))</f>
        <v/>
      </c>
      <c r="D9" s="20">
        <f>IFERROR(IF($U$4=0,"unavailable",INDEX('Market Data'!$AO$5:$AO$66,$U$4))*IF($U$4=0,"unavailable",INDEX('Market Data'!$AP$5:$AP$66,$U$4)),"unavailable")</f>
        <v/>
      </c>
      <c r="G9" s="3" t="n"/>
      <c r="H9" s="21">
        <f>IF($U$11=1,"class review",IF($U$4=0,"unavailable",INDEX('Market Data'!$AQ$5:$AQ$66,$U$4)))</f>
        <v/>
      </c>
      <c r="K9" s="3" t="n"/>
      <c r="L9" s="20">
        <f>IF($U$4=0,"unavailable",INDEX('Market Data'!$AO$5:$AO$66,$U$4))</f>
        <v/>
      </c>
      <c r="N9" s="22">
        <f>IF($U$4=0,"unavailable",INDEX('Market Data'!$AP$5:$AP$66,$U$4))</f>
        <v/>
      </c>
    </row>
    <row r="10" ht="22" customHeight="1">
      <c r="G10" s="3" t="n"/>
      <c r="K10" s="3" t="n"/>
      <c r="U10">
        <f>IF($U$4=0,"unavailable",INDEX('Market Data'!$AR$5:$AR$66,$U$4))</f>
        <v/>
      </c>
    </row>
    <row r="11" ht="22" customHeight="1">
      <c r="A11" s="2">
        <f>"Quotes: "&amp;IF($U$4=0,"unavailable",INDEX('Market Data'!$AM$5:$AM$66,$U$4))&amp;IF(IF($U$4=0,"unavailable",INDEX('Market Data'!$AM$5:$AM$66,$U$4))="Snapshot"," | H "&amp;TEXT(IF($U$4=0,"unavailable",INDEX('Market Data'!$AE$5:$AE$66,$U$4)),"dd-mmm-yy")&amp;"; A "&amp;TEXT(IF($U$4=0,"unavailable",INDEX('Market Data'!$AF$5:$AF$66,$U$4)),"dd-mmm-yy")," | H "&amp;IF(ISNUMBER(INDEX('Market Data'!$M$5:$M$528,MATCH(IF($U$4=0,"unavailable",INDEX('Market Data'!$X$5:$X$66,$U$4)),'Market Data'!$A$5:$A$528,0))),TEXT(INDEX('Market Data'!$M$5:$M$528,MATCH(IF($U$4=0,"unavailable",INDEX('Market Data'!$X$5:$X$66,$U$4)),'Market Data'!$A$5:$A$528,0)),"dd-mmm-yy"),"date pending")&amp;"; A "&amp;IF(ISNUMBER(IF($U$4=0,"unavailable",INDEX('Market Data'!$AK$5:$AK$66,$U$4))),TEXT(IF($U$4=0,"unavailable",INDEX('Market Data'!$AK$5:$AK$66,$U$4)),"dd-mmm-yy"),"date pending"))</f>
        <v/>
      </c>
      <c r="H11" s="2">
        <f>"History: "&amp;IF($U$5=1,"Bloomberg to latest session"&amp;IF($U$12=1," + current quote",""),IF($M$5="Bloomberg","awaiting Bloomberg refresh","Snapshot through 2026-10-02"))&amp;" | FX "&amp;IF(IF($U$4=0,"unavailable",INDEX('Market Data'!$AM$5:$AM$66,$U$4))="Snapshot",TEXT(IF($U$4=0,"unavailable",INDEX('Market Data'!$AG$5:$AG$66,$U$4)),"dd-mmm-yy"),IF(IF($U$4=0,"unavailable",INDEX('Market Data'!$AM$5:$AM$66,$U$4))="Bloomberg","Bloomberg","unavailable"))</f>
        <v/>
      </c>
      <c r="U11">
        <f>IF(LEFT(IF($U$4=0,"unavailable",INDEX('Market Data'!$AS$5:$AS$66,$U$4)),11)="First-month",1,0)</f>
        <v/>
      </c>
    </row>
    <row r="12" ht="22" customHeight="1">
      <c r="A12" s="2" t="inlineStr">
        <is>
          <t>A premium = A(CNY) × CNYHKD ÷ H(HK$) − 1. A and H trade on different calendars and closing times; review dates before comparing.</t>
        </is>
      </c>
      <c r="U12">
        <f>IFERROR(IF(AND($U$5=1,IF($U$4=0,"unavailable",INDEX('Market Data'!$AM$5:$AM$66,$U$4))="Bloomberg",ISNUMBER(INDEX('Market Data'!$M$5:$M$528,MATCH(IF($U$4=0,"unavailable",INDEX('Market Data'!$X$5:$X$66,$U$4)),'Market Data'!$A$5:$A$528,0))),INDEX('Market Data'!$M$5:$M$528,MATCH(IF($U$4=0,"unavailable",INDEX('Market Data'!$X$5:$X$66,$U$4)),'Market Data'!$A$5:$A$528,0))=TODAY(),MAX('Live History'!$A$5:$A$3004)&lt;TODAY()),1,0),0)</f>
        <v/>
      </c>
    </row>
    <row r="13" ht="22" customHeight="1">
      <c r="A13" s="3" t="n"/>
      <c r="B13" s="3" t="n"/>
      <c r="C13" s="3" t="n"/>
      <c r="D13" s="3" t="n"/>
      <c r="E13" s="3" t="n"/>
      <c r="F13" s="3" t="n"/>
      <c r="G13" s="3" t="n"/>
      <c r="H13" s="3" t="n"/>
      <c r="I13" s="3" t="n"/>
      <c r="J13" s="3" t="n"/>
      <c r="K13" s="3" t="n"/>
      <c r="L13" s="3" t="n"/>
      <c r="M13" s="3" t="n"/>
      <c r="N13" s="3" t="n"/>
      <c r="O13" s="3" t="n"/>
      <c r="U13">
        <f>IF($U$4=0,"unavailable",INDEX('Market Data'!$BC$5:$BC$66,$U$4))</f>
        <v/>
      </c>
    </row>
    <row r="14" ht="22" customHeight="1">
      <c r="A14" s="3" t="n"/>
      <c r="B14" s="3" t="n"/>
      <c r="C14" s="3" t="n"/>
      <c r="D14" s="3" t="n"/>
      <c r="E14" s="3" t="n"/>
      <c r="F14" s="3" t="n"/>
      <c r="G14" s="3" t="n"/>
      <c r="H14" s="3" t="n"/>
      <c r="I14" s="3" t="n"/>
      <c r="J14" s="3" t="n"/>
      <c r="K14" s="3" t="n"/>
      <c r="L14" s="3" t="n"/>
      <c r="M14" s="3" t="n"/>
      <c r="N14" s="3" t="n"/>
      <c r="O14" s="3" t="n"/>
      <c r="U14">
        <f>TODAY()-8</f>
        <v/>
      </c>
    </row>
    <row r="15" ht="22" customHeight="1">
      <c r="A15" s="3" t="n"/>
      <c r="B15" s="3" t="n"/>
      <c r="C15" s="3" t="n"/>
      <c r="D15" s="3" t="n"/>
      <c r="E15" s="3" t="n"/>
      <c r="F15" s="3" t="n"/>
      <c r="G15" s="3" t="n"/>
      <c r="H15" s="3" t="n"/>
      <c r="I15" s="3" t="n"/>
      <c r="J15" s="3" t="n"/>
      <c r="K15" s="3" t="n"/>
      <c r="L15" s="3" t="n"/>
      <c r="M15" s="3" t="n"/>
      <c r="N15" s="3" t="n"/>
      <c r="O15" s="3" t="n"/>
    </row>
    <row r="16" ht="22" customHeight="1">
      <c r="A16" s="3" t="n"/>
      <c r="B16" s="3" t="n"/>
      <c r="C16" s="3" t="n"/>
      <c r="D16" s="3" t="n"/>
      <c r="E16" s="3" t="n"/>
      <c r="F16" s="3" t="n"/>
      <c r="G16" s="3" t="n"/>
      <c r="H16" s="3" t="n"/>
      <c r="I16" s="3" t="n"/>
      <c r="J16" s="3" t="n"/>
      <c r="K16" s="3" t="n"/>
      <c r="L16" s="3" t="n"/>
      <c r="M16" s="3" t="n"/>
      <c r="N16" s="3" t="n"/>
      <c r="O16" s="3" t="n"/>
    </row>
    <row r="17" ht="22" customHeight="1">
      <c r="A17" s="3" t="n"/>
      <c r="B17" s="3" t="n"/>
      <c r="C17" s="3" t="n"/>
      <c r="D17" s="3" t="n"/>
      <c r="E17" s="3" t="n"/>
      <c r="F17" s="3" t="n"/>
      <c r="G17" s="3" t="n"/>
      <c r="H17" s="3" t="n"/>
      <c r="I17" s="3" t="n"/>
      <c r="J17" s="3" t="n"/>
      <c r="K17" s="3" t="n"/>
      <c r="L17" s="3" t="n"/>
      <c r="M17" s="3" t="n"/>
      <c r="N17" s="3" t="n"/>
      <c r="O17" s="3" t="n"/>
    </row>
    <row r="18" ht="22" customHeight="1">
      <c r="A18" s="3" t="n"/>
      <c r="B18" s="3" t="n"/>
      <c r="C18" s="3" t="n"/>
      <c r="D18" s="3" t="n"/>
      <c r="E18" s="3" t="n"/>
      <c r="F18" s="3" t="n"/>
      <c r="G18" s="3" t="n"/>
      <c r="H18" s="3" t="n"/>
      <c r="I18" s="3" t="n"/>
      <c r="J18" s="3" t="n"/>
      <c r="K18" s="3" t="n"/>
      <c r="L18" s="3" t="n"/>
      <c r="M18" s="3" t="n"/>
      <c r="N18" s="3" t="n"/>
      <c r="O18" s="3" t="n"/>
    </row>
    <row r="19" ht="22" customHeight="1">
      <c r="A19" s="3" t="n"/>
      <c r="B19" s="3" t="n"/>
      <c r="C19" s="3" t="n"/>
      <c r="D19" s="3" t="n"/>
      <c r="E19" s="3" t="n"/>
      <c r="F19" s="3" t="n"/>
      <c r="G19" s="3" t="n"/>
      <c r="H19" s="3" t="n"/>
      <c r="I19" s="3" t="n"/>
      <c r="J19" s="3" t="n"/>
      <c r="K19" s="3" t="n"/>
      <c r="L19" s="3" t="n"/>
      <c r="M19" s="3" t="n"/>
      <c r="N19" s="3" t="n"/>
      <c r="O19" s="3" t="n"/>
    </row>
    <row r="20" ht="22" customHeight="1">
      <c r="A20" s="3" t="n"/>
      <c r="B20" s="3" t="n"/>
      <c r="C20" s="3" t="n"/>
      <c r="D20" s="3" t="n"/>
      <c r="E20" s="3" t="n"/>
      <c r="F20" s="3" t="n"/>
      <c r="G20" s="3" t="n"/>
      <c r="H20" s="3" t="n"/>
      <c r="I20" s="3" t="n"/>
      <c r="J20" s="3" t="n"/>
      <c r="K20" s="3" t="n"/>
      <c r="L20" s="3" t="n"/>
      <c r="M20" s="3" t="n"/>
      <c r="N20" s="3" t="n"/>
      <c r="O20" s="3" t="n"/>
    </row>
    <row r="21" ht="22" customHeight="1">
      <c r="A21" s="3" t="n"/>
      <c r="B21" s="3" t="n"/>
      <c r="C21" s="3" t="n"/>
      <c r="D21" s="3" t="n"/>
      <c r="E21" s="3" t="n"/>
      <c r="F21" s="3" t="n"/>
      <c r="G21" s="3" t="n"/>
      <c r="H21" s="3" t="n"/>
      <c r="I21" s="3" t="n"/>
      <c r="J21" s="3" t="n"/>
      <c r="K21" s="3" t="n"/>
      <c r="L21" s="3" t="n"/>
      <c r="M21" s="3" t="n"/>
      <c r="N21" s="3" t="n"/>
      <c r="O21" s="3" t="n"/>
    </row>
    <row r="22" ht="22" customHeight="1">
      <c r="A22" s="3" t="n"/>
      <c r="B22" s="3" t="n"/>
      <c r="C22" s="3" t="n"/>
      <c r="D22" s="3" t="n"/>
      <c r="E22" s="3" t="n"/>
      <c r="F22" s="3" t="n"/>
      <c r="G22" s="3" t="n"/>
      <c r="H22" s="3" t="n"/>
      <c r="I22" s="3" t="n"/>
      <c r="J22" s="3" t="n"/>
      <c r="K22" s="3" t="n"/>
      <c r="L22" s="3" t="n"/>
      <c r="M22" s="3" t="n"/>
      <c r="N22" s="3" t="n"/>
      <c r="O22" s="3" t="n"/>
    </row>
    <row r="23" ht="22" customHeight="1">
      <c r="A23" s="3" t="n"/>
      <c r="B23" s="3" t="n"/>
      <c r="C23" s="3" t="n"/>
      <c r="D23" s="3" t="n"/>
      <c r="E23" s="3" t="n"/>
      <c r="F23" s="3" t="n"/>
      <c r="G23" s="3" t="n"/>
      <c r="H23" s="3" t="n"/>
      <c r="I23" s="3" t="n"/>
      <c r="J23" s="3" t="n"/>
      <c r="K23" s="3" t="n"/>
      <c r="L23" s="3" t="n"/>
      <c r="M23" s="3" t="n"/>
      <c r="N23" s="3" t="n"/>
      <c r="O23" s="3" t="n"/>
    </row>
    <row r="24" ht="22" customHeight="1">
      <c r="A24" s="3" t="n"/>
      <c r="B24" s="3" t="n"/>
      <c r="C24" s="3" t="n"/>
      <c r="D24" s="3" t="n"/>
      <c r="E24" s="3" t="n"/>
      <c r="F24" s="3" t="n"/>
      <c r="G24" s="3" t="n"/>
      <c r="H24" s="3" t="n"/>
      <c r="I24" s="3" t="n"/>
      <c r="J24" s="3" t="n"/>
      <c r="K24" s="3" t="n"/>
      <c r="L24" s="3" t="n"/>
      <c r="M24" s="3" t="n"/>
      <c r="N24" s="3" t="n"/>
      <c r="O24" s="3" t="n"/>
    </row>
    <row r="25" ht="22" customHeight="1">
      <c r="A25" s="3" t="n"/>
      <c r="B25" s="3" t="n"/>
      <c r="C25" s="3" t="n"/>
      <c r="D25" s="3" t="n"/>
      <c r="E25" s="3" t="n"/>
      <c r="F25" s="3" t="n"/>
      <c r="G25" s="3" t="n"/>
      <c r="H25" s="3" t="n"/>
      <c r="I25" s="3" t="n"/>
      <c r="J25" s="3" t="n"/>
      <c r="K25" s="3" t="n"/>
      <c r="L25" s="3" t="n"/>
      <c r="M25" s="3" t="n"/>
      <c r="N25" s="3" t="n"/>
      <c r="O25" s="3" t="n"/>
    </row>
    <row r="26" ht="22" customHeight="1">
      <c r="A26" s="3" t="n"/>
      <c r="B26" s="3" t="n"/>
      <c r="C26" s="3" t="n"/>
      <c r="D26" s="3" t="n"/>
      <c r="E26" s="3" t="n"/>
      <c r="F26" s="3" t="n"/>
      <c r="G26" s="3" t="n"/>
      <c r="H26" s="3" t="n"/>
      <c r="I26" s="3" t="n"/>
      <c r="J26" s="3" t="n"/>
      <c r="K26" s="3" t="n"/>
      <c r="L26" s="3" t="n"/>
      <c r="M26" s="3" t="n"/>
      <c r="N26" s="3" t="n"/>
      <c r="O26" s="3" t="n"/>
    </row>
    <row r="27" ht="22" customHeight="1">
      <c r="A27" s="3" t="n"/>
      <c r="B27" s="3" t="n"/>
      <c r="C27" s="3" t="n"/>
      <c r="D27" s="3" t="n"/>
      <c r="E27" s="3" t="n"/>
      <c r="F27" s="3" t="n"/>
      <c r="G27" s="3" t="n"/>
      <c r="H27" s="3" t="n"/>
      <c r="I27" s="3" t="n"/>
      <c r="J27" s="3" t="n"/>
      <c r="K27" s="3" t="n"/>
      <c r="L27" s="3" t="n"/>
      <c r="M27" s="3" t="n"/>
      <c r="N27" s="3" t="n"/>
      <c r="O27" s="3" t="n"/>
    </row>
    <row r="28" ht="22" customHeight="1">
      <c r="A28" s="3" t="n"/>
      <c r="B28" s="3" t="n"/>
      <c r="C28" s="3" t="n"/>
      <c r="D28" s="3" t="n"/>
      <c r="E28" s="3" t="n"/>
      <c r="F28" s="3" t="n"/>
      <c r="G28" s="3" t="n"/>
      <c r="H28" s="3" t="n"/>
      <c r="I28" s="3" t="n"/>
      <c r="J28" s="3" t="n"/>
      <c r="K28" s="3" t="n"/>
      <c r="L28" s="3" t="n"/>
      <c r="M28" s="3" t="n"/>
      <c r="N28" s="3" t="n"/>
      <c r="O28" s="3" t="n"/>
    </row>
    <row r="29" ht="22" customHeight="1">
      <c r="A29" s="3" t="n"/>
      <c r="B29" s="3" t="n"/>
      <c r="C29" s="3" t="n"/>
      <c r="D29" s="3" t="n"/>
      <c r="E29" s="3" t="n"/>
      <c r="F29" s="3" t="n"/>
      <c r="G29" s="3" t="n"/>
      <c r="H29" s="3" t="n"/>
      <c r="I29" s="3" t="n"/>
      <c r="J29" s="3" t="n"/>
      <c r="K29" s="3" t="n"/>
      <c r="L29" s="3" t="n"/>
      <c r="M29" s="3" t="n"/>
      <c r="N29" s="3" t="n"/>
      <c r="O29" s="3" t="n"/>
    </row>
    <row r="30" ht="29" customHeight="1">
      <c r="A30" s="23" t="inlineStr">
        <is>
          <t>Rebased charts show raw price levels, not investment returns; share actions can change their scale. Premium history is suppressed where class conversion needs review.</t>
        </is>
      </c>
    </row>
    <row r="31" ht="22" customHeight="1">
      <c r="A31" s="24" t="inlineStr">
        <is>
          <t>A/H PAIRS ONLY</t>
        </is>
      </c>
    </row>
    <row r="32" ht="22" customHeight="1">
      <c r="A32" s="3" t="n"/>
      <c r="B32" s="3" t="n"/>
      <c r="C32" s="3" t="n"/>
      <c r="D32" s="3" t="n"/>
      <c r="E32" s="3" t="n"/>
      <c r="F32" s="3" t="n"/>
      <c r="G32" s="3" t="n"/>
      <c r="H32" s="3" t="n"/>
      <c r="I32" s="3" t="n"/>
      <c r="J32" s="3" t="n"/>
      <c r="K32" s="3" t="n"/>
      <c r="L32" s="3" t="n"/>
      <c r="M32" s="3" t="n"/>
      <c r="N32" s="3" t="n"/>
      <c r="O32" s="3" t="n"/>
    </row>
    <row r="33" ht="22" customHeight="1">
      <c r="A33" s="4" t="inlineStr">
        <is>
          <t>Sector</t>
        </is>
      </c>
      <c r="B33" s="5">
        <f>IF($I$5="All","All A/H sectors",$I$5)</f>
        <v/>
      </c>
      <c r="G33" s="3" t="n"/>
      <c r="H33" s="2">
        <f>"Pairs: "&amp;SUM('Market Data'!$AW$5:$AW$528)</f>
        <v/>
      </c>
      <c r="K33" s="3" t="n"/>
      <c r="L33" s="2" t="inlineStr">
        <is>
          <t>Snapshot cutoff: 2026-10-02</t>
        </is>
      </c>
    </row>
    <row r="34" ht="22" customHeight="1">
      <c r="A34" s="2" t="inlineStr">
        <is>
          <t>Day change = Bloomberg CHG_PCT_1D / 100. Snapshot rows show no intraday change. Quote dates identify stale or halted names.</t>
        </is>
      </c>
    </row>
    <row r="35" ht="22" customHeight="1">
      <c r="A35" s="3" t="n"/>
      <c r="B35" s="3" t="n"/>
      <c r="C35" s="3" t="n"/>
      <c r="D35" s="3" t="n"/>
      <c r="E35" s="3" t="n"/>
      <c r="F35" s="3" t="n"/>
      <c r="G35" s="3" t="n"/>
      <c r="H35" s="3" t="n"/>
      <c r="I35" s="3" t="n"/>
      <c r="J35" s="3" t="n"/>
      <c r="K35" s="3" t="n"/>
      <c r="L35" s="3" t="n"/>
      <c r="M35" s="3" t="n"/>
      <c r="N35" s="3" t="n"/>
      <c r="O35" s="3" t="n"/>
    </row>
    <row r="36" ht="38" customHeight="1">
      <c r="A36" s="6" t="inlineStr">
        <is>
          <t>H code</t>
        </is>
      </c>
      <c r="B36" s="6" t="inlineStr">
        <is>
          <t>Company</t>
        </is>
      </c>
      <c r="C36" s="6" t="inlineStr">
        <is>
          <t>Sector</t>
        </is>
      </c>
      <c r="D36" s="6" t="inlineStr">
        <is>
          <t>Subsector</t>
        </is>
      </c>
      <c r="E36" s="6" t="inlineStr">
        <is>
          <t>H last (HK$)</t>
        </is>
      </c>
      <c r="F36" s="6" t="inlineStr">
        <is>
          <t>Day change</t>
        </is>
      </c>
      <c r="G36" s="6" t="inlineStr">
        <is>
          <t>Quote date</t>
        </is>
      </c>
      <c r="H36" s="6" t="inlineStr">
        <is>
          <t>Quote time</t>
        </is>
      </c>
      <c r="I36" s="6" t="inlineStr">
        <is>
          <t>H source</t>
        </is>
      </c>
      <c r="J36" s="6" t="inlineStr">
        <is>
          <t>IPO date</t>
        </is>
      </c>
      <c r="K36" s="6" t="inlineStr">
        <is>
          <t>A code</t>
        </is>
      </c>
      <c r="L36" s="6" t="inlineStr">
        <is>
          <t>A last (CNY)</t>
        </is>
      </c>
      <c r="M36" s="6" t="inlineStr">
        <is>
          <t>A premium</t>
        </is>
      </c>
      <c r="N36" s="6" t="inlineStr">
        <is>
          <t>H since offer</t>
        </is>
      </c>
      <c r="O36" s="6" t="inlineStr">
        <is>
          <t>Status</t>
        </is>
      </c>
      <c r="P36" s="7" t="inlineStr">
        <is>
          <t>A quote date</t>
        </is>
      </c>
      <c r="Q36" s="7" t="inlineStr">
        <is>
          <t>A source</t>
        </is>
      </c>
    </row>
    <row r="37" ht="34" customHeight="1">
      <c r="A37" s="8">
        <f>IF($T37=0,"",IF(INDEX('Market Data'!$A$5:$A$528,$T37)="","",INDEX('Market Data'!$A$5:$A$528,$T37)))</f>
        <v/>
      </c>
      <c r="B37" s="9">
        <f>IF($T37=0,"",IF(INDEX('Market Data'!$B$5:$B$528,$T37)="","",INDEX('Market Data'!$B$5:$B$528,$T37)))</f>
        <v/>
      </c>
      <c r="C37" s="9">
        <f>IF($T37=0,"",IF(INDEX('Market Data'!$C$5:$C$528,$T37)="","",INDEX('Market Data'!$C$5:$C$528,$T37)))</f>
        <v/>
      </c>
      <c r="D37" s="9">
        <f>IF($T37=0,"",IF(INDEX('Market Data'!$D$5:$D$528,$T37)="","",INDEX('Market Data'!$D$5:$D$528,$T37)))</f>
        <v/>
      </c>
      <c r="E37" s="10">
        <f>IF($T37=0,"",INDEX('Market Data'!$AY$5:$AY$528,$T37))</f>
        <v/>
      </c>
      <c r="F37" s="11">
        <f>IF($T37=0,"",IF(AND($I37="Bloomberg",ISNUMBER(INDEX('Market Data'!$L$5:$L$528,$T37))),INDEX('Market Data'!$L$5:$L$528,$T37),"unavailable"))</f>
        <v/>
      </c>
      <c r="G37" s="12">
        <f>IF($T37=0,"",IF($I37="Bloomberg",IF(AND(ISNUMBER(INDEX('Market Data'!$M$5:$M$528,$T37)),N(INDEX('Market Data'!$M$5:$M$528,$T37))&gt;0),INDEX('Market Data'!$M$5:$M$528,$T37),"date unavailable"),IF($I37="Snapshot",IF(AND(ISNUMBER(INDEX('Market Data'!$H$5:$H$528,$T37)),N(INDEX('Market Data'!$H$5:$H$528,$T37))&gt;0),INDEX('Market Data'!$H$5:$H$528,$T37),"date unavailable"),"date unavailable")))</f>
        <v/>
      </c>
      <c r="H37" s="9">
        <f>IF($T37=0,"",IF($I37="Bloomberg",IF(INDEX('Market Data'!$N$5:$N$528,$T37)="","time unavailable",INDEX('Market Data'!$N$5:$N$528,$T37)),""))</f>
        <v/>
      </c>
      <c r="I37" s="9">
        <f>IF($T37=0,"",INDEX('Market Data'!$AZ$5:$AZ$528,$T37))</f>
        <v/>
      </c>
      <c r="J37" s="13">
        <f>IF($T37=0,"",IF(INDEX('Market Data'!$E$5:$E$528,$T37)="","",INDEX('Market Data'!$E$5:$E$528,$T37)))</f>
        <v/>
      </c>
      <c r="K37" s="8">
        <f>IF($T37=0,"",IF(INDEX('Market Data'!$I$5:$I$528,$T37)="","",INDEX('Market Data'!$I$5:$I$528,$T37)))</f>
        <v/>
      </c>
      <c r="L37" s="10">
        <f>IF($T37=0,"",IF(INDEX('Market Data'!$J$5:$J$528,$T37)=0,"n/a",IF(AND($M$5&lt;&gt;"Snapshot",ISNUMBER(INDEX('Market Data'!$AH$5:$AH$66,INDEX('Market Data'!$J$5:$J$528,$T37)-4)),N(INDEX('Market Data'!$AH$5:$AH$66,INDEX('Market Data'!$J$5:$J$528,$T37)-4))&gt;0),INDEX('Market Data'!$AH$5:$AH$66,INDEX('Market Data'!$J$5:$J$528,$T37)-4),IF(AND($M$5&lt;&gt;"Bloomberg",ISNUMBER(INDEX('Market Data'!$AC$5:$AC$66,INDEX('Market Data'!$J$5:$J$528,$T37)-4)),N(INDEX('Market Data'!$AC$5:$AC$66,INDEX('Market Data'!$J$5:$J$528,$T37)-4))&gt;0),INDEX('Market Data'!$AC$5:$AC$66,INDEX('Market Data'!$J$5:$J$528,$T37)-4),"unavailable"))))</f>
        <v/>
      </c>
      <c r="M37" s="11">
        <f>IF($T37=0,"",IF(INDEX('Market Data'!$J$5:$J$528,$T37)=0,"n/a",IF(IF(INDEX('Market Data'!$J$5:$J$528,$T37)=0,0,IF(LEFT(INDEX('Market Data'!$AS$5:$AS$66,INDEX('Market Data'!$J$5:$J$528,$T37)-4),11)="First-month",1,0))=1,"class review",IF($I37="Bloomberg",IF(AND($Q37="Bloomberg",ISNUMBER('Market Data'!$B$1),N('Market Data'!$B$1)&gt;0),$L37*'Market Data'!$B$1/$E37-1,"pending A/FX"),IF($I37="Snapshot",IF(AND($Q37="Snapshot",$G37=INDEX('Market Data'!$AE$5:$AE$66,INDEX('Market Data'!$J$5:$J$528,$T37)-4)),IFERROR($L37*INDEX('Market Data'!$AD$5:$AD$66,INDEX('Market Data'!$J$5:$J$528,$T37)-4)/$E37-1,"unavailable"),"date mismatch"),"unavailable")))))</f>
        <v/>
      </c>
      <c r="N37" s="11">
        <f>IF($T37=0,"",IFERROR(IF(AND(N(INDEX('Market Data'!$F$5:$F$528,$T37))&gt;0,ISNUMBER(INDEX('Market Data'!$BB$5:$BB$528,$T37))),$E37*INDEX('Market Data'!$BB$5:$BB$528,$T37)/INDEX('Market Data'!$F$5:$F$528,$T37)-1,"unavailable"),"unavailable"))</f>
        <v/>
      </c>
      <c r="O37" s="9">
        <f>IF($T37=0,"",IF(IF(INDEX('Market Data'!$J$5:$J$528,$T37)=0,0,IF(LEFT(INDEX('Market Data'!$AS$5:$AS$66,INDEX('Market Data'!$J$5:$J$528,$T37)-4),11)="First-month",1,0))=1,"Class ratio review",IF($I37="Bloomberg",IF(ISNUMBER($G37),IF($G37&lt;TODAY(),"Older quote","See quote time"),"Date unavailable"),IF($I37="Snapshot",IF($G37&lt;DATEVALUE("2026-10-02"),"Older snapshot","Dated close"),"No valid quote"))))</f>
        <v/>
      </c>
      <c r="P37" s="14">
        <f>IF($T37=0,"",IF(INDEX('Market Data'!$J$5:$J$528,$T37)=0,"n/a",IF($Q37="Bloomberg",IF(AND(ISNUMBER(INDEX('Market Data'!$AK$5:$AK$66,INDEX('Market Data'!$J$5:$J$528,$T37)-4)),N(INDEX('Market Data'!$AK$5:$AK$66,INDEX('Market Data'!$J$5:$J$528,$T37)-4))&gt;0),INDEX('Market Data'!$AK$5:$AK$66,INDEX('Market Data'!$J$5:$J$528,$T37)-4),"date unavailable"),IF($Q37="Snapshot",IF(AND(ISNUMBER(INDEX('Market Data'!$AF$5:$AF$66,INDEX('Market Data'!$J$5:$J$528,$T37)-4)),N(INDEX('Market Data'!$AF$5:$AF$66,INDEX('Market Data'!$J$5:$J$528,$T37)-4))&gt;0),INDEX('Market Data'!$AF$5:$AF$66,INDEX('Market Data'!$J$5:$J$528,$T37)-4),"date unavailable"),"date unavailable"))))</f>
        <v/>
      </c>
      <c r="Q37" s="15">
        <f>IF($T37=0,"",IF(INDEX('Market Data'!$J$5:$J$528,$T37)=0,"n/a",IF(AND($M$5&lt;&gt;"Snapshot",ISNUMBER(INDEX('Market Data'!$AH$5:$AH$66,INDEX('Market Data'!$J$5:$J$528,$T37)-4)),N(INDEX('Market Data'!$AH$5:$AH$66,INDEX('Market Data'!$J$5:$J$528,$T37)-4))&gt;0),"Bloomberg",IF(AND($M$5&lt;&gt;"Bloomberg",ISNUMBER(INDEX('Market Data'!$AC$5:$AC$66,INDEX('Market Data'!$J$5:$J$528,$T37)-4)),N(INDEX('Market Data'!$AC$5:$AC$66,INDEX('Market Data'!$J$5:$J$528,$T37)-4))&gt;0),"Snapshot","Unavailable"))))</f>
        <v/>
      </c>
      <c r="T37">
        <f>IFERROR(MATCH(1,'Market Data'!$AX$5:$AX$528,0),0)</f>
        <v/>
      </c>
    </row>
    <row r="38" ht="34" customHeight="1">
      <c r="A38" s="8">
        <f>IF($T38=0,"",IF(INDEX('Market Data'!$A$5:$A$528,$T38)="","",INDEX('Market Data'!$A$5:$A$528,$T38)))</f>
        <v/>
      </c>
      <c r="B38" s="9">
        <f>IF($T38=0,"",IF(INDEX('Market Data'!$B$5:$B$528,$T38)="","",INDEX('Market Data'!$B$5:$B$528,$T38)))</f>
        <v/>
      </c>
      <c r="C38" s="9">
        <f>IF($T38=0,"",IF(INDEX('Market Data'!$C$5:$C$528,$T38)="","",INDEX('Market Data'!$C$5:$C$528,$T38)))</f>
        <v/>
      </c>
      <c r="D38" s="9">
        <f>IF($T38=0,"",IF(INDEX('Market Data'!$D$5:$D$528,$T38)="","",INDEX('Market Data'!$D$5:$D$528,$T38)))</f>
        <v/>
      </c>
      <c r="E38" s="10">
        <f>IF($T38=0,"",INDEX('Market Data'!$AY$5:$AY$528,$T38))</f>
        <v/>
      </c>
      <c r="F38" s="11">
        <f>IF($T38=0,"",IF(AND($I38="Bloomberg",ISNUMBER(INDEX('Market Data'!$L$5:$L$528,$T38))),INDEX('Market Data'!$L$5:$L$528,$T38),"unavailable"))</f>
        <v/>
      </c>
      <c r="G38" s="12">
        <f>IF($T38=0,"",IF($I38="Bloomberg",IF(AND(ISNUMBER(INDEX('Market Data'!$M$5:$M$528,$T38)),N(INDEX('Market Data'!$M$5:$M$528,$T38))&gt;0),INDEX('Market Data'!$M$5:$M$528,$T38),"date unavailable"),IF($I38="Snapshot",IF(AND(ISNUMBER(INDEX('Market Data'!$H$5:$H$528,$T38)),N(INDEX('Market Data'!$H$5:$H$528,$T38))&gt;0),INDEX('Market Data'!$H$5:$H$528,$T38),"date unavailable"),"date unavailable")))</f>
        <v/>
      </c>
      <c r="H38" s="9">
        <f>IF($T38=0,"",IF($I38="Bloomberg",IF(INDEX('Market Data'!$N$5:$N$528,$T38)="","time unavailable",INDEX('Market Data'!$N$5:$N$528,$T38)),""))</f>
        <v/>
      </c>
      <c r="I38" s="9">
        <f>IF($T38=0,"",INDEX('Market Data'!$AZ$5:$AZ$528,$T38))</f>
        <v/>
      </c>
      <c r="J38" s="13">
        <f>IF($T38=0,"",IF(INDEX('Market Data'!$E$5:$E$528,$T38)="","",INDEX('Market Data'!$E$5:$E$528,$T38)))</f>
        <v/>
      </c>
      <c r="K38" s="8">
        <f>IF($T38=0,"",IF(INDEX('Market Data'!$I$5:$I$528,$T38)="","",INDEX('Market Data'!$I$5:$I$528,$T38)))</f>
        <v/>
      </c>
      <c r="L38" s="10">
        <f>IF($T38=0,"",IF(INDEX('Market Data'!$J$5:$J$528,$T38)=0,"n/a",IF(AND($M$5&lt;&gt;"Snapshot",ISNUMBER(INDEX('Market Data'!$AH$5:$AH$66,INDEX('Market Data'!$J$5:$J$528,$T38)-4)),N(INDEX('Market Data'!$AH$5:$AH$66,INDEX('Market Data'!$J$5:$J$528,$T38)-4))&gt;0),INDEX('Market Data'!$AH$5:$AH$66,INDEX('Market Data'!$J$5:$J$528,$T38)-4),IF(AND($M$5&lt;&gt;"Bloomberg",ISNUMBER(INDEX('Market Data'!$AC$5:$AC$66,INDEX('Market Data'!$J$5:$J$528,$T38)-4)),N(INDEX('Market Data'!$AC$5:$AC$66,INDEX('Market Data'!$J$5:$J$528,$T38)-4))&gt;0),INDEX('Market Data'!$AC$5:$AC$66,INDEX('Market Data'!$J$5:$J$528,$T38)-4),"unavailable"))))</f>
        <v/>
      </c>
      <c r="M38" s="11">
        <f>IF($T38=0,"",IF(INDEX('Market Data'!$J$5:$J$528,$T38)=0,"n/a",IF(IF(INDEX('Market Data'!$J$5:$J$528,$T38)=0,0,IF(LEFT(INDEX('Market Data'!$AS$5:$AS$66,INDEX('Market Data'!$J$5:$J$528,$T38)-4),11)="First-month",1,0))=1,"class review",IF($I38="Bloomberg",IF(AND($Q38="Bloomberg",ISNUMBER('Market Data'!$B$1),N('Market Data'!$B$1)&gt;0),$L38*'Market Data'!$B$1/$E38-1,"pending A/FX"),IF($I38="Snapshot",IF(AND($Q38="Snapshot",$G38=INDEX('Market Data'!$AE$5:$AE$66,INDEX('Market Data'!$J$5:$J$528,$T38)-4)),IFERROR($L38*INDEX('Market Data'!$AD$5:$AD$66,INDEX('Market Data'!$J$5:$J$528,$T38)-4)/$E38-1,"unavailable"),"date mismatch"),"unavailable")))))</f>
        <v/>
      </c>
      <c r="N38" s="11">
        <f>IF($T38=0,"",IFERROR(IF(AND(N(INDEX('Market Data'!$F$5:$F$528,$T38))&gt;0,ISNUMBER(INDEX('Market Data'!$BB$5:$BB$528,$T38))),$E38*INDEX('Market Data'!$BB$5:$BB$528,$T38)/INDEX('Market Data'!$F$5:$F$528,$T38)-1,"unavailable"),"unavailable"))</f>
        <v/>
      </c>
      <c r="O38" s="9">
        <f>IF($T38=0,"",IF(IF(INDEX('Market Data'!$J$5:$J$528,$T38)=0,0,IF(LEFT(INDEX('Market Data'!$AS$5:$AS$66,INDEX('Market Data'!$J$5:$J$528,$T38)-4),11)="First-month",1,0))=1,"Class ratio review",IF($I38="Bloomberg",IF(ISNUMBER($G38),IF($G38&lt;TODAY(),"Older quote","See quote time"),"Date unavailable"),IF($I38="Snapshot",IF($G38&lt;DATEVALUE("2026-10-02"),"Older snapshot","Dated close"),"No valid quote"))))</f>
        <v/>
      </c>
      <c r="P38" s="14">
        <f>IF($T38=0,"",IF(INDEX('Market Data'!$J$5:$J$528,$T38)=0,"n/a",IF($Q38="Bloomberg",IF(AND(ISNUMBER(INDEX('Market Data'!$AK$5:$AK$66,INDEX('Market Data'!$J$5:$J$528,$T38)-4)),N(INDEX('Market Data'!$AK$5:$AK$66,INDEX('Market Data'!$J$5:$J$528,$T38)-4))&gt;0),INDEX('Market Data'!$AK$5:$AK$66,INDEX('Market Data'!$J$5:$J$528,$T38)-4),"date unavailable"),IF($Q38="Snapshot",IF(AND(ISNUMBER(INDEX('Market Data'!$AF$5:$AF$66,INDEX('Market Data'!$J$5:$J$528,$T38)-4)),N(INDEX('Market Data'!$AF$5:$AF$66,INDEX('Market Data'!$J$5:$J$528,$T38)-4))&gt;0),INDEX('Market Data'!$AF$5:$AF$66,INDEX('Market Data'!$J$5:$J$528,$T38)-4),"date unavailable"),"date unavailable"))))</f>
        <v/>
      </c>
      <c r="Q38" s="15">
        <f>IF($T38=0,"",IF(INDEX('Market Data'!$J$5:$J$528,$T38)=0,"n/a",IF(AND($M$5&lt;&gt;"Snapshot",ISNUMBER(INDEX('Market Data'!$AH$5:$AH$66,INDEX('Market Data'!$J$5:$J$528,$T38)-4)),N(INDEX('Market Data'!$AH$5:$AH$66,INDEX('Market Data'!$J$5:$J$528,$T38)-4))&gt;0),"Bloomberg",IF(AND($M$5&lt;&gt;"Bloomberg",ISNUMBER(INDEX('Market Data'!$AC$5:$AC$66,INDEX('Market Data'!$J$5:$J$528,$T38)-4)),N(INDEX('Market Data'!$AC$5:$AC$66,INDEX('Market Data'!$J$5:$J$528,$T38)-4))&gt;0),"Snapshot","Unavailable"))))</f>
        <v/>
      </c>
      <c r="T38">
        <f>IFERROR(MATCH(2,'Market Data'!$AX$5:$AX$528,0),0)</f>
        <v/>
      </c>
    </row>
    <row r="39" ht="34" customHeight="1">
      <c r="A39" s="8">
        <f>IF($T39=0,"",IF(INDEX('Market Data'!$A$5:$A$528,$T39)="","",INDEX('Market Data'!$A$5:$A$528,$T39)))</f>
        <v/>
      </c>
      <c r="B39" s="9">
        <f>IF($T39=0,"",IF(INDEX('Market Data'!$B$5:$B$528,$T39)="","",INDEX('Market Data'!$B$5:$B$528,$T39)))</f>
        <v/>
      </c>
      <c r="C39" s="9">
        <f>IF($T39=0,"",IF(INDEX('Market Data'!$C$5:$C$528,$T39)="","",INDEX('Market Data'!$C$5:$C$528,$T39)))</f>
        <v/>
      </c>
      <c r="D39" s="9">
        <f>IF($T39=0,"",IF(INDEX('Market Data'!$D$5:$D$528,$T39)="","",INDEX('Market Data'!$D$5:$D$528,$T39)))</f>
        <v/>
      </c>
      <c r="E39" s="10">
        <f>IF($T39=0,"",INDEX('Market Data'!$AY$5:$AY$528,$T39))</f>
        <v/>
      </c>
      <c r="F39" s="11">
        <f>IF($T39=0,"",IF(AND($I39="Bloomberg",ISNUMBER(INDEX('Market Data'!$L$5:$L$528,$T39))),INDEX('Market Data'!$L$5:$L$528,$T39),"unavailable"))</f>
        <v/>
      </c>
      <c r="G39" s="12">
        <f>IF($T39=0,"",IF($I39="Bloomberg",IF(AND(ISNUMBER(INDEX('Market Data'!$M$5:$M$528,$T39)),N(INDEX('Market Data'!$M$5:$M$528,$T39))&gt;0),INDEX('Market Data'!$M$5:$M$528,$T39),"date unavailable"),IF($I39="Snapshot",IF(AND(ISNUMBER(INDEX('Market Data'!$H$5:$H$528,$T39)),N(INDEX('Market Data'!$H$5:$H$528,$T39))&gt;0),INDEX('Market Data'!$H$5:$H$528,$T39),"date unavailable"),"date unavailable")))</f>
        <v/>
      </c>
      <c r="H39" s="9">
        <f>IF($T39=0,"",IF($I39="Bloomberg",IF(INDEX('Market Data'!$N$5:$N$528,$T39)="","time unavailable",INDEX('Market Data'!$N$5:$N$528,$T39)),""))</f>
        <v/>
      </c>
      <c r="I39" s="9">
        <f>IF($T39=0,"",INDEX('Market Data'!$AZ$5:$AZ$528,$T39))</f>
        <v/>
      </c>
      <c r="J39" s="13">
        <f>IF($T39=0,"",IF(INDEX('Market Data'!$E$5:$E$528,$T39)="","",INDEX('Market Data'!$E$5:$E$528,$T39)))</f>
        <v/>
      </c>
      <c r="K39" s="8">
        <f>IF($T39=0,"",IF(INDEX('Market Data'!$I$5:$I$528,$T39)="","",INDEX('Market Data'!$I$5:$I$528,$T39)))</f>
        <v/>
      </c>
      <c r="L39" s="10">
        <f>IF($T39=0,"",IF(INDEX('Market Data'!$J$5:$J$528,$T39)=0,"n/a",IF(AND($M$5&lt;&gt;"Snapshot",ISNUMBER(INDEX('Market Data'!$AH$5:$AH$66,INDEX('Market Data'!$J$5:$J$528,$T39)-4)),N(INDEX('Market Data'!$AH$5:$AH$66,INDEX('Market Data'!$J$5:$J$528,$T39)-4))&gt;0),INDEX('Market Data'!$AH$5:$AH$66,INDEX('Market Data'!$J$5:$J$528,$T39)-4),IF(AND($M$5&lt;&gt;"Bloomberg",ISNUMBER(INDEX('Market Data'!$AC$5:$AC$66,INDEX('Market Data'!$J$5:$J$528,$T39)-4)),N(INDEX('Market Data'!$AC$5:$AC$66,INDEX('Market Data'!$J$5:$J$528,$T39)-4))&gt;0),INDEX('Market Data'!$AC$5:$AC$66,INDEX('Market Data'!$J$5:$J$528,$T39)-4),"unavailable"))))</f>
        <v/>
      </c>
      <c r="M39" s="11">
        <f>IF($T39=0,"",IF(INDEX('Market Data'!$J$5:$J$528,$T39)=0,"n/a",IF(IF(INDEX('Market Data'!$J$5:$J$528,$T39)=0,0,IF(LEFT(INDEX('Market Data'!$AS$5:$AS$66,INDEX('Market Data'!$J$5:$J$528,$T39)-4),11)="First-month",1,0))=1,"class review",IF($I39="Bloomberg",IF(AND($Q39="Bloomberg",ISNUMBER('Market Data'!$B$1),N('Market Data'!$B$1)&gt;0),$L39*'Market Data'!$B$1/$E39-1,"pending A/FX"),IF($I39="Snapshot",IF(AND($Q39="Snapshot",$G39=INDEX('Market Data'!$AE$5:$AE$66,INDEX('Market Data'!$J$5:$J$528,$T39)-4)),IFERROR($L39*INDEX('Market Data'!$AD$5:$AD$66,INDEX('Market Data'!$J$5:$J$528,$T39)-4)/$E39-1,"unavailable"),"date mismatch"),"unavailable")))))</f>
        <v/>
      </c>
      <c r="N39" s="11">
        <f>IF($T39=0,"",IFERROR(IF(AND(N(INDEX('Market Data'!$F$5:$F$528,$T39))&gt;0,ISNUMBER(INDEX('Market Data'!$BB$5:$BB$528,$T39))),$E39*INDEX('Market Data'!$BB$5:$BB$528,$T39)/INDEX('Market Data'!$F$5:$F$528,$T39)-1,"unavailable"),"unavailable"))</f>
        <v/>
      </c>
      <c r="O39" s="9">
        <f>IF($T39=0,"",IF(IF(INDEX('Market Data'!$J$5:$J$528,$T39)=0,0,IF(LEFT(INDEX('Market Data'!$AS$5:$AS$66,INDEX('Market Data'!$J$5:$J$528,$T39)-4),11)="First-month",1,0))=1,"Class ratio review",IF($I39="Bloomberg",IF(ISNUMBER($G39),IF($G39&lt;TODAY(),"Older quote","See quote time"),"Date unavailable"),IF($I39="Snapshot",IF($G39&lt;DATEVALUE("2026-10-02"),"Older snapshot","Dated close"),"No valid quote"))))</f>
        <v/>
      </c>
      <c r="P39" s="14">
        <f>IF($T39=0,"",IF(INDEX('Market Data'!$J$5:$J$528,$T39)=0,"n/a",IF($Q39="Bloomberg",IF(AND(ISNUMBER(INDEX('Market Data'!$AK$5:$AK$66,INDEX('Market Data'!$J$5:$J$528,$T39)-4)),N(INDEX('Market Data'!$AK$5:$AK$66,INDEX('Market Data'!$J$5:$J$528,$T39)-4))&gt;0),INDEX('Market Data'!$AK$5:$AK$66,INDEX('Market Data'!$J$5:$J$528,$T39)-4),"date unavailable"),IF($Q39="Snapshot",IF(AND(ISNUMBER(INDEX('Market Data'!$AF$5:$AF$66,INDEX('Market Data'!$J$5:$J$528,$T39)-4)),N(INDEX('Market Data'!$AF$5:$AF$66,INDEX('Market Data'!$J$5:$J$528,$T39)-4))&gt;0),INDEX('Market Data'!$AF$5:$AF$66,INDEX('Market Data'!$J$5:$J$528,$T39)-4),"date unavailable"),"date unavailable"))))</f>
        <v/>
      </c>
      <c r="Q39" s="15">
        <f>IF($T39=0,"",IF(INDEX('Market Data'!$J$5:$J$528,$T39)=0,"n/a",IF(AND($M$5&lt;&gt;"Snapshot",ISNUMBER(INDEX('Market Data'!$AH$5:$AH$66,INDEX('Market Data'!$J$5:$J$528,$T39)-4)),N(INDEX('Market Data'!$AH$5:$AH$66,INDEX('Market Data'!$J$5:$J$528,$T39)-4))&gt;0),"Bloomberg",IF(AND($M$5&lt;&gt;"Bloomberg",ISNUMBER(INDEX('Market Data'!$AC$5:$AC$66,INDEX('Market Data'!$J$5:$J$528,$T39)-4)),N(INDEX('Market Data'!$AC$5:$AC$66,INDEX('Market Data'!$J$5:$J$528,$T39)-4))&gt;0),"Snapshot","Unavailable"))))</f>
        <v/>
      </c>
      <c r="T39">
        <f>IFERROR(MATCH(3,'Market Data'!$AX$5:$AX$528,0),0)</f>
        <v/>
      </c>
    </row>
    <row r="40" ht="34" customHeight="1">
      <c r="A40" s="8">
        <f>IF($T40=0,"",IF(INDEX('Market Data'!$A$5:$A$528,$T40)="","",INDEX('Market Data'!$A$5:$A$528,$T40)))</f>
        <v/>
      </c>
      <c r="B40" s="9">
        <f>IF($T40=0,"",IF(INDEX('Market Data'!$B$5:$B$528,$T40)="","",INDEX('Market Data'!$B$5:$B$528,$T40)))</f>
        <v/>
      </c>
      <c r="C40" s="9">
        <f>IF($T40=0,"",IF(INDEX('Market Data'!$C$5:$C$528,$T40)="","",INDEX('Market Data'!$C$5:$C$528,$T40)))</f>
        <v/>
      </c>
      <c r="D40" s="9">
        <f>IF($T40=0,"",IF(INDEX('Market Data'!$D$5:$D$528,$T40)="","",INDEX('Market Data'!$D$5:$D$528,$T40)))</f>
        <v/>
      </c>
      <c r="E40" s="10">
        <f>IF($T40=0,"",INDEX('Market Data'!$AY$5:$AY$528,$T40))</f>
        <v/>
      </c>
      <c r="F40" s="11">
        <f>IF($T40=0,"",IF(AND($I40="Bloomberg",ISNUMBER(INDEX('Market Data'!$L$5:$L$528,$T40))),INDEX('Market Data'!$L$5:$L$528,$T40),"unavailable"))</f>
        <v/>
      </c>
      <c r="G40" s="12">
        <f>IF($T40=0,"",IF($I40="Bloomberg",IF(AND(ISNUMBER(INDEX('Market Data'!$M$5:$M$528,$T40)),N(INDEX('Market Data'!$M$5:$M$528,$T40))&gt;0),INDEX('Market Data'!$M$5:$M$528,$T40),"date unavailable"),IF($I40="Snapshot",IF(AND(ISNUMBER(INDEX('Market Data'!$H$5:$H$528,$T40)),N(INDEX('Market Data'!$H$5:$H$528,$T40))&gt;0),INDEX('Market Data'!$H$5:$H$528,$T40),"date unavailable"),"date unavailable")))</f>
        <v/>
      </c>
      <c r="H40" s="9">
        <f>IF($T40=0,"",IF($I40="Bloomberg",IF(INDEX('Market Data'!$N$5:$N$528,$T40)="","time unavailable",INDEX('Market Data'!$N$5:$N$528,$T40)),""))</f>
        <v/>
      </c>
      <c r="I40" s="9">
        <f>IF($T40=0,"",INDEX('Market Data'!$AZ$5:$AZ$528,$T40))</f>
        <v/>
      </c>
      <c r="J40" s="13">
        <f>IF($T40=0,"",IF(INDEX('Market Data'!$E$5:$E$528,$T40)="","",INDEX('Market Data'!$E$5:$E$528,$T40)))</f>
        <v/>
      </c>
      <c r="K40" s="8">
        <f>IF($T40=0,"",IF(INDEX('Market Data'!$I$5:$I$528,$T40)="","",INDEX('Market Data'!$I$5:$I$528,$T40)))</f>
        <v/>
      </c>
      <c r="L40" s="10">
        <f>IF($T40=0,"",IF(INDEX('Market Data'!$J$5:$J$528,$T40)=0,"n/a",IF(AND($M$5&lt;&gt;"Snapshot",ISNUMBER(INDEX('Market Data'!$AH$5:$AH$66,INDEX('Market Data'!$J$5:$J$528,$T40)-4)),N(INDEX('Market Data'!$AH$5:$AH$66,INDEX('Market Data'!$J$5:$J$528,$T40)-4))&gt;0),INDEX('Market Data'!$AH$5:$AH$66,INDEX('Market Data'!$J$5:$J$528,$T40)-4),IF(AND($M$5&lt;&gt;"Bloomberg",ISNUMBER(INDEX('Market Data'!$AC$5:$AC$66,INDEX('Market Data'!$J$5:$J$528,$T40)-4)),N(INDEX('Market Data'!$AC$5:$AC$66,INDEX('Market Data'!$J$5:$J$528,$T40)-4))&gt;0),INDEX('Market Data'!$AC$5:$AC$66,INDEX('Market Data'!$J$5:$J$528,$T40)-4),"unavailable"))))</f>
        <v/>
      </c>
      <c r="M40" s="11">
        <f>IF($T40=0,"",IF(INDEX('Market Data'!$J$5:$J$528,$T40)=0,"n/a",IF(IF(INDEX('Market Data'!$J$5:$J$528,$T40)=0,0,IF(LEFT(INDEX('Market Data'!$AS$5:$AS$66,INDEX('Market Data'!$J$5:$J$528,$T40)-4),11)="First-month",1,0))=1,"class review",IF($I40="Bloomberg",IF(AND($Q40="Bloomberg",ISNUMBER('Market Data'!$B$1),N('Market Data'!$B$1)&gt;0),$L40*'Market Data'!$B$1/$E40-1,"pending A/FX"),IF($I40="Snapshot",IF(AND($Q40="Snapshot",$G40=INDEX('Market Data'!$AE$5:$AE$66,INDEX('Market Data'!$J$5:$J$528,$T40)-4)),IFERROR($L40*INDEX('Market Data'!$AD$5:$AD$66,INDEX('Market Data'!$J$5:$J$528,$T40)-4)/$E40-1,"unavailable"),"date mismatch"),"unavailable")))))</f>
        <v/>
      </c>
      <c r="N40" s="11">
        <f>IF($T40=0,"",IFERROR(IF(AND(N(INDEX('Market Data'!$F$5:$F$528,$T40))&gt;0,ISNUMBER(INDEX('Market Data'!$BB$5:$BB$528,$T40))),$E40*INDEX('Market Data'!$BB$5:$BB$528,$T40)/INDEX('Market Data'!$F$5:$F$528,$T40)-1,"unavailable"),"unavailable"))</f>
        <v/>
      </c>
      <c r="O40" s="9">
        <f>IF($T40=0,"",IF(IF(INDEX('Market Data'!$J$5:$J$528,$T40)=0,0,IF(LEFT(INDEX('Market Data'!$AS$5:$AS$66,INDEX('Market Data'!$J$5:$J$528,$T40)-4),11)="First-month",1,0))=1,"Class ratio review",IF($I40="Bloomberg",IF(ISNUMBER($G40),IF($G40&lt;TODAY(),"Older quote","See quote time"),"Date unavailable"),IF($I40="Snapshot",IF($G40&lt;DATEVALUE("2026-10-02"),"Older snapshot","Dated close"),"No valid quote"))))</f>
        <v/>
      </c>
      <c r="P40" s="14">
        <f>IF($T40=0,"",IF(INDEX('Market Data'!$J$5:$J$528,$T40)=0,"n/a",IF($Q40="Bloomberg",IF(AND(ISNUMBER(INDEX('Market Data'!$AK$5:$AK$66,INDEX('Market Data'!$J$5:$J$528,$T40)-4)),N(INDEX('Market Data'!$AK$5:$AK$66,INDEX('Market Data'!$J$5:$J$528,$T40)-4))&gt;0),INDEX('Market Data'!$AK$5:$AK$66,INDEX('Market Data'!$J$5:$J$528,$T40)-4),"date unavailable"),IF($Q40="Snapshot",IF(AND(ISNUMBER(INDEX('Market Data'!$AF$5:$AF$66,INDEX('Market Data'!$J$5:$J$528,$T40)-4)),N(INDEX('Market Data'!$AF$5:$AF$66,INDEX('Market Data'!$J$5:$J$528,$T40)-4))&gt;0),INDEX('Market Data'!$AF$5:$AF$66,INDEX('Market Data'!$J$5:$J$528,$T40)-4),"date unavailable"),"date unavailable"))))</f>
        <v/>
      </c>
      <c r="Q40" s="15">
        <f>IF($T40=0,"",IF(INDEX('Market Data'!$J$5:$J$528,$T40)=0,"n/a",IF(AND($M$5&lt;&gt;"Snapshot",ISNUMBER(INDEX('Market Data'!$AH$5:$AH$66,INDEX('Market Data'!$J$5:$J$528,$T40)-4)),N(INDEX('Market Data'!$AH$5:$AH$66,INDEX('Market Data'!$J$5:$J$528,$T40)-4))&gt;0),"Bloomberg",IF(AND($M$5&lt;&gt;"Bloomberg",ISNUMBER(INDEX('Market Data'!$AC$5:$AC$66,INDEX('Market Data'!$J$5:$J$528,$T40)-4)),N(INDEX('Market Data'!$AC$5:$AC$66,INDEX('Market Data'!$J$5:$J$528,$T40)-4))&gt;0),"Snapshot","Unavailable"))))</f>
        <v/>
      </c>
      <c r="T40">
        <f>IFERROR(MATCH(4,'Market Data'!$AX$5:$AX$528,0),0)</f>
        <v/>
      </c>
    </row>
    <row r="41" ht="34" customHeight="1">
      <c r="A41" s="8">
        <f>IF($T41=0,"",IF(INDEX('Market Data'!$A$5:$A$528,$T41)="","",INDEX('Market Data'!$A$5:$A$528,$T41)))</f>
        <v/>
      </c>
      <c r="B41" s="9">
        <f>IF($T41=0,"",IF(INDEX('Market Data'!$B$5:$B$528,$T41)="","",INDEX('Market Data'!$B$5:$B$528,$T41)))</f>
        <v/>
      </c>
      <c r="C41" s="9">
        <f>IF($T41=0,"",IF(INDEX('Market Data'!$C$5:$C$528,$T41)="","",INDEX('Market Data'!$C$5:$C$528,$T41)))</f>
        <v/>
      </c>
      <c r="D41" s="9">
        <f>IF($T41=0,"",IF(INDEX('Market Data'!$D$5:$D$528,$T41)="","",INDEX('Market Data'!$D$5:$D$528,$T41)))</f>
        <v/>
      </c>
      <c r="E41" s="10">
        <f>IF($T41=0,"",INDEX('Market Data'!$AY$5:$AY$528,$T41))</f>
        <v/>
      </c>
      <c r="F41" s="11">
        <f>IF($T41=0,"",IF(AND($I41="Bloomberg",ISNUMBER(INDEX('Market Data'!$L$5:$L$528,$T41))),INDEX('Market Data'!$L$5:$L$528,$T41),"unavailable"))</f>
        <v/>
      </c>
      <c r="G41" s="12">
        <f>IF($T41=0,"",IF($I41="Bloomberg",IF(AND(ISNUMBER(INDEX('Market Data'!$M$5:$M$528,$T41)),N(INDEX('Market Data'!$M$5:$M$528,$T41))&gt;0),INDEX('Market Data'!$M$5:$M$528,$T41),"date unavailable"),IF($I41="Snapshot",IF(AND(ISNUMBER(INDEX('Market Data'!$H$5:$H$528,$T41)),N(INDEX('Market Data'!$H$5:$H$528,$T41))&gt;0),INDEX('Market Data'!$H$5:$H$528,$T41),"date unavailable"),"date unavailable")))</f>
        <v/>
      </c>
      <c r="H41" s="9">
        <f>IF($T41=0,"",IF($I41="Bloomberg",IF(INDEX('Market Data'!$N$5:$N$528,$T41)="","time unavailable",INDEX('Market Data'!$N$5:$N$528,$T41)),""))</f>
        <v/>
      </c>
      <c r="I41" s="9">
        <f>IF($T41=0,"",INDEX('Market Data'!$AZ$5:$AZ$528,$T41))</f>
        <v/>
      </c>
      <c r="J41" s="13">
        <f>IF($T41=0,"",IF(INDEX('Market Data'!$E$5:$E$528,$T41)="","",INDEX('Market Data'!$E$5:$E$528,$T41)))</f>
        <v/>
      </c>
      <c r="K41" s="8">
        <f>IF($T41=0,"",IF(INDEX('Market Data'!$I$5:$I$528,$T41)="","",INDEX('Market Data'!$I$5:$I$528,$T41)))</f>
        <v/>
      </c>
      <c r="L41" s="10">
        <f>IF($T41=0,"",IF(INDEX('Market Data'!$J$5:$J$528,$T41)=0,"n/a",IF(AND($M$5&lt;&gt;"Snapshot",ISNUMBER(INDEX('Market Data'!$AH$5:$AH$66,INDEX('Market Data'!$J$5:$J$528,$T41)-4)),N(INDEX('Market Data'!$AH$5:$AH$66,INDEX('Market Data'!$J$5:$J$528,$T41)-4))&gt;0),INDEX('Market Data'!$AH$5:$AH$66,INDEX('Market Data'!$J$5:$J$528,$T41)-4),IF(AND($M$5&lt;&gt;"Bloomberg",ISNUMBER(INDEX('Market Data'!$AC$5:$AC$66,INDEX('Market Data'!$J$5:$J$528,$T41)-4)),N(INDEX('Market Data'!$AC$5:$AC$66,INDEX('Market Data'!$J$5:$J$528,$T41)-4))&gt;0),INDEX('Market Data'!$AC$5:$AC$66,INDEX('Market Data'!$J$5:$J$528,$T41)-4),"unavailable"))))</f>
        <v/>
      </c>
      <c r="M41" s="11">
        <f>IF($T41=0,"",IF(INDEX('Market Data'!$J$5:$J$528,$T41)=0,"n/a",IF(IF(INDEX('Market Data'!$J$5:$J$528,$T41)=0,0,IF(LEFT(INDEX('Market Data'!$AS$5:$AS$66,INDEX('Market Data'!$J$5:$J$528,$T41)-4),11)="First-month",1,0))=1,"class review",IF($I41="Bloomberg",IF(AND($Q41="Bloomberg",ISNUMBER('Market Data'!$B$1),N('Market Data'!$B$1)&gt;0),$L41*'Market Data'!$B$1/$E41-1,"pending A/FX"),IF($I41="Snapshot",IF(AND($Q41="Snapshot",$G41=INDEX('Market Data'!$AE$5:$AE$66,INDEX('Market Data'!$J$5:$J$528,$T41)-4)),IFERROR($L41*INDEX('Market Data'!$AD$5:$AD$66,INDEX('Market Data'!$J$5:$J$528,$T41)-4)/$E41-1,"unavailable"),"date mismatch"),"unavailable")))))</f>
        <v/>
      </c>
      <c r="N41" s="11">
        <f>IF($T41=0,"",IFERROR(IF(AND(N(INDEX('Market Data'!$F$5:$F$528,$T41))&gt;0,ISNUMBER(INDEX('Market Data'!$BB$5:$BB$528,$T41))),$E41*INDEX('Market Data'!$BB$5:$BB$528,$T41)/INDEX('Market Data'!$F$5:$F$528,$T41)-1,"unavailable"),"unavailable"))</f>
        <v/>
      </c>
      <c r="O41" s="9">
        <f>IF($T41=0,"",IF(IF(INDEX('Market Data'!$J$5:$J$528,$T41)=0,0,IF(LEFT(INDEX('Market Data'!$AS$5:$AS$66,INDEX('Market Data'!$J$5:$J$528,$T41)-4),11)="First-month",1,0))=1,"Class ratio review",IF($I41="Bloomberg",IF(ISNUMBER($G41),IF($G41&lt;TODAY(),"Older quote","See quote time"),"Date unavailable"),IF($I41="Snapshot",IF($G41&lt;DATEVALUE("2026-10-02"),"Older snapshot","Dated close"),"No valid quote"))))</f>
        <v/>
      </c>
      <c r="P41" s="14">
        <f>IF($T41=0,"",IF(INDEX('Market Data'!$J$5:$J$528,$T41)=0,"n/a",IF($Q41="Bloomberg",IF(AND(ISNUMBER(INDEX('Market Data'!$AK$5:$AK$66,INDEX('Market Data'!$J$5:$J$528,$T41)-4)),N(INDEX('Market Data'!$AK$5:$AK$66,INDEX('Market Data'!$J$5:$J$528,$T41)-4))&gt;0),INDEX('Market Data'!$AK$5:$AK$66,INDEX('Market Data'!$J$5:$J$528,$T41)-4),"date unavailable"),IF($Q41="Snapshot",IF(AND(ISNUMBER(INDEX('Market Data'!$AF$5:$AF$66,INDEX('Market Data'!$J$5:$J$528,$T41)-4)),N(INDEX('Market Data'!$AF$5:$AF$66,INDEX('Market Data'!$J$5:$J$528,$T41)-4))&gt;0),INDEX('Market Data'!$AF$5:$AF$66,INDEX('Market Data'!$J$5:$J$528,$T41)-4),"date unavailable"),"date unavailable"))))</f>
        <v/>
      </c>
      <c r="Q41" s="15">
        <f>IF($T41=0,"",IF(INDEX('Market Data'!$J$5:$J$528,$T41)=0,"n/a",IF(AND($M$5&lt;&gt;"Snapshot",ISNUMBER(INDEX('Market Data'!$AH$5:$AH$66,INDEX('Market Data'!$J$5:$J$528,$T41)-4)),N(INDEX('Market Data'!$AH$5:$AH$66,INDEX('Market Data'!$J$5:$J$528,$T41)-4))&gt;0),"Bloomberg",IF(AND($M$5&lt;&gt;"Bloomberg",ISNUMBER(INDEX('Market Data'!$AC$5:$AC$66,INDEX('Market Data'!$J$5:$J$528,$T41)-4)),N(INDEX('Market Data'!$AC$5:$AC$66,INDEX('Market Data'!$J$5:$J$528,$T41)-4))&gt;0),"Snapshot","Unavailable"))))</f>
        <v/>
      </c>
      <c r="T41">
        <f>IFERROR(MATCH(5,'Market Data'!$AX$5:$AX$528,0),0)</f>
        <v/>
      </c>
    </row>
    <row r="42" ht="34" customHeight="1">
      <c r="A42" s="8">
        <f>IF($T42=0,"",IF(INDEX('Market Data'!$A$5:$A$528,$T42)="","",INDEX('Market Data'!$A$5:$A$528,$T42)))</f>
        <v/>
      </c>
      <c r="B42" s="9">
        <f>IF($T42=0,"",IF(INDEX('Market Data'!$B$5:$B$528,$T42)="","",INDEX('Market Data'!$B$5:$B$528,$T42)))</f>
        <v/>
      </c>
      <c r="C42" s="9">
        <f>IF($T42=0,"",IF(INDEX('Market Data'!$C$5:$C$528,$T42)="","",INDEX('Market Data'!$C$5:$C$528,$T42)))</f>
        <v/>
      </c>
      <c r="D42" s="9">
        <f>IF($T42=0,"",IF(INDEX('Market Data'!$D$5:$D$528,$T42)="","",INDEX('Market Data'!$D$5:$D$528,$T42)))</f>
        <v/>
      </c>
      <c r="E42" s="10">
        <f>IF($T42=0,"",INDEX('Market Data'!$AY$5:$AY$528,$T42))</f>
        <v/>
      </c>
      <c r="F42" s="11">
        <f>IF($T42=0,"",IF(AND($I42="Bloomberg",ISNUMBER(INDEX('Market Data'!$L$5:$L$528,$T42))),INDEX('Market Data'!$L$5:$L$528,$T42),"unavailable"))</f>
        <v/>
      </c>
      <c r="G42" s="12">
        <f>IF($T42=0,"",IF($I42="Bloomberg",IF(AND(ISNUMBER(INDEX('Market Data'!$M$5:$M$528,$T42)),N(INDEX('Market Data'!$M$5:$M$528,$T42))&gt;0),INDEX('Market Data'!$M$5:$M$528,$T42),"date unavailable"),IF($I42="Snapshot",IF(AND(ISNUMBER(INDEX('Market Data'!$H$5:$H$528,$T42)),N(INDEX('Market Data'!$H$5:$H$528,$T42))&gt;0),INDEX('Market Data'!$H$5:$H$528,$T42),"date unavailable"),"date unavailable")))</f>
        <v/>
      </c>
      <c r="H42" s="9">
        <f>IF($T42=0,"",IF($I42="Bloomberg",IF(INDEX('Market Data'!$N$5:$N$528,$T42)="","time unavailable",INDEX('Market Data'!$N$5:$N$528,$T42)),""))</f>
        <v/>
      </c>
      <c r="I42" s="9">
        <f>IF($T42=0,"",INDEX('Market Data'!$AZ$5:$AZ$528,$T42))</f>
        <v/>
      </c>
      <c r="J42" s="13">
        <f>IF($T42=0,"",IF(INDEX('Market Data'!$E$5:$E$528,$T42)="","",INDEX('Market Data'!$E$5:$E$528,$T42)))</f>
        <v/>
      </c>
      <c r="K42" s="8">
        <f>IF($T42=0,"",IF(INDEX('Market Data'!$I$5:$I$528,$T42)="","",INDEX('Market Data'!$I$5:$I$528,$T42)))</f>
        <v/>
      </c>
      <c r="L42" s="10">
        <f>IF($T42=0,"",IF(INDEX('Market Data'!$J$5:$J$528,$T42)=0,"n/a",IF(AND($M$5&lt;&gt;"Snapshot",ISNUMBER(INDEX('Market Data'!$AH$5:$AH$66,INDEX('Market Data'!$J$5:$J$528,$T42)-4)),N(INDEX('Market Data'!$AH$5:$AH$66,INDEX('Market Data'!$J$5:$J$528,$T42)-4))&gt;0),INDEX('Market Data'!$AH$5:$AH$66,INDEX('Market Data'!$J$5:$J$528,$T42)-4),IF(AND($M$5&lt;&gt;"Bloomberg",ISNUMBER(INDEX('Market Data'!$AC$5:$AC$66,INDEX('Market Data'!$J$5:$J$528,$T42)-4)),N(INDEX('Market Data'!$AC$5:$AC$66,INDEX('Market Data'!$J$5:$J$528,$T42)-4))&gt;0),INDEX('Market Data'!$AC$5:$AC$66,INDEX('Market Data'!$J$5:$J$528,$T42)-4),"unavailable"))))</f>
        <v/>
      </c>
      <c r="M42" s="11">
        <f>IF($T42=0,"",IF(INDEX('Market Data'!$J$5:$J$528,$T42)=0,"n/a",IF(IF(INDEX('Market Data'!$J$5:$J$528,$T42)=0,0,IF(LEFT(INDEX('Market Data'!$AS$5:$AS$66,INDEX('Market Data'!$J$5:$J$528,$T42)-4),11)="First-month",1,0))=1,"class review",IF($I42="Bloomberg",IF(AND($Q42="Bloomberg",ISNUMBER('Market Data'!$B$1),N('Market Data'!$B$1)&gt;0),$L42*'Market Data'!$B$1/$E42-1,"pending A/FX"),IF($I42="Snapshot",IF(AND($Q42="Snapshot",$G42=INDEX('Market Data'!$AE$5:$AE$66,INDEX('Market Data'!$J$5:$J$528,$T42)-4)),IFERROR($L42*INDEX('Market Data'!$AD$5:$AD$66,INDEX('Market Data'!$J$5:$J$528,$T42)-4)/$E42-1,"unavailable"),"date mismatch"),"unavailable")))))</f>
        <v/>
      </c>
      <c r="N42" s="11">
        <f>IF($T42=0,"",IFERROR(IF(AND(N(INDEX('Market Data'!$F$5:$F$528,$T42))&gt;0,ISNUMBER(INDEX('Market Data'!$BB$5:$BB$528,$T42))),$E42*INDEX('Market Data'!$BB$5:$BB$528,$T42)/INDEX('Market Data'!$F$5:$F$528,$T42)-1,"unavailable"),"unavailable"))</f>
        <v/>
      </c>
      <c r="O42" s="9">
        <f>IF($T42=0,"",IF(IF(INDEX('Market Data'!$J$5:$J$528,$T42)=0,0,IF(LEFT(INDEX('Market Data'!$AS$5:$AS$66,INDEX('Market Data'!$J$5:$J$528,$T42)-4),11)="First-month",1,0))=1,"Class ratio review",IF($I42="Bloomberg",IF(ISNUMBER($G42),IF($G42&lt;TODAY(),"Older quote","See quote time"),"Date unavailable"),IF($I42="Snapshot",IF($G42&lt;DATEVALUE("2026-10-02"),"Older snapshot","Dated close"),"No valid quote"))))</f>
        <v/>
      </c>
      <c r="P42" s="14">
        <f>IF($T42=0,"",IF(INDEX('Market Data'!$J$5:$J$528,$T42)=0,"n/a",IF($Q42="Bloomberg",IF(AND(ISNUMBER(INDEX('Market Data'!$AK$5:$AK$66,INDEX('Market Data'!$J$5:$J$528,$T42)-4)),N(INDEX('Market Data'!$AK$5:$AK$66,INDEX('Market Data'!$J$5:$J$528,$T42)-4))&gt;0),INDEX('Market Data'!$AK$5:$AK$66,INDEX('Market Data'!$J$5:$J$528,$T42)-4),"date unavailable"),IF($Q42="Snapshot",IF(AND(ISNUMBER(INDEX('Market Data'!$AF$5:$AF$66,INDEX('Market Data'!$J$5:$J$528,$T42)-4)),N(INDEX('Market Data'!$AF$5:$AF$66,INDEX('Market Data'!$J$5:$J$528,$T42)-4))&gt;0),INDEX('Market Data'!$AF$5:$AF$66,INDEX('Market Data'!$J$5:$J$528,$T42)-4),"date unavailable"),"date unavailable"))))</f>
        <v/>
      </c>
      <c r="Q42" s="15">
        <f>IF($T42=0,"",IF(INDEX('Market Data'!$J$5:$J$528,$T42)=0,"n/a",IF(AND($M$5&lt;&gt;"Snapshot",ISNUMBER(INDEX('Market Data'!$AH$5:$AH$66,INDEX('Market Data'!$J$5:$J$528,$T42)-4)),N(INDEX('Market Data'!$AH$5:$AH$66,INDEX('Market Data'!$J$5:$J$528,$T42)-4))&gt;0),"Bloomberg",IF(AND($M$5&lt;&gt;"Bloomberg",ISNUMBER(INDEX('Market Data'!$AC$5:$AC$66,INDEX('Market Data'!$J$5:$J$528,$T42)-4)),N(INDEX('Market Data'!$AC$5:$AC$66,INDEX('Market Data'!$J$5:$J$528,$T42)-4))&gt;0),"Snapshot","Unavailable"))))</f>
        <v/>
      </c>
      <c r="T42">
        <f>IFERROR(MATCH(6,'Market Data'!$AX$5:$AX$528,0),0)</f>
        <v/>
      </c>
    </row>
    <row r="43" ht="34" customHeight="1">
      <c r="A43" s="8">
        <f>IF($T43=0,"",IF(INDEX('Market Data'!$A$5:$A$528,$T43)="","",INDEX('Market Data'!$A$5:$A$528,$T43)))</f>
        <v/>
      </c>
      <c r="B43" s="9">
        <f>IF($T43=0,"",IF(INDEX('Market Data'!$B$5:$B$528,$T43)="","",INDEX('Market Data'!$B$5:$B$528,$T43)))</f>
        <v/>
      </c>
      <c r="C43" s="9">
        <f>IF($T43=0,"",IF(INDEX('Market Data'!$C$5:$C$528,$T43)="","",INDEX('Market Data'!$C$5:$C$528,$T43)))</f>
        <v/>
      </c>
      <c r="D43" s="9">
        <f>IF($T43=0,"",IF(INDEX('Market Data'!$D$5:$D$528,$T43)="","",INDEX('Market Data'!$D$5:$D$528,$T43)))</f>
        <v/>
      </c>
      <c r="E43" s="10">
        <f>IF($T43=0,"",INDEX('Market Data'!$AY$5:$AY$528,$T43))</f>
        <v/>
      </c>
      <c r="F43" s="11">
        <f>IF($T43=0,"",IF(AND($I43="Bloomberg",ISNUMBER(INDEX('Market Data'!$L$5:$L$528,$T43))),INDEX('Market Data'!$L$5:$L$528,$T43),"unavailable"))</f>
        <v/>
      </c>
      <c r="G43" s="12">
        <f>IF($T43=0,"",IF($I43="Bloomberg",IF(AND(ISNUMBER(INDEX('Market Data'!$M$5:$M$528,$T43)),N(INDEX('Market Data'!$M$5:$M$528,$T43))&gt;0),INDEX('Market Data'!$M$5:$M$528,$T43),"date unavailable"),IF($I43="Snapshot",IF(AND(ISNUMBER(INDEX('Market Data'!$H$5:$H$528,$T43)),N(INDEX('Market Data'!$H$5:$H$528,$T43))&gt;0),INDEX('Market Data'!$H$5:$H$528,$T43),"date unavailable"),"date unavailable")))</f>
        <v/>
      </c>
      <c r="H43" s="9">
        <f>IF($T43=0,"",IF($I43="Bloomberg",IF(INDEX('Market Data'!$N$5:$N$528,$T43)="","time unavailable",INDEX('Market Data'!$N$5:$N$528,$T43)),""))</f>
        <v/>
      </c>
      <c r="I43" s="9">
        <f>IF($T43=0,"",INDEX('Market Data'!$AZ$5:$AZ$528,$T43))</f>
        <v/>
      </c>
      <c r="J43" s="13">
        <f>IF($T43=0,"",IF(INDEX('Market Data'!$E$5:$E$528,$T43)="","",INDEX('Market Data'!$E$5:$E$528,$T43)))</f>
        <v/>
      </c>
      <c r="K43" s="8">
        <f>IF($T43=0,"",IF(INDEX('Market Data'!$I$5:$I$528,$T43)="","",INDEX('Market Data'!$I$5:$I$528,$T43)))</f>
        <v/>
      </c>
      <c r="L43" s="10">
        <f>IF($T43=0,"",IF(INDEX('Market Data'!$J$5:$J$528,$T43)=0,"n/a",IF(AND($M$5&lt;&gt;"Snapshot",ISNUMBER(INDEX('Market Data'!$AH$5:$AH$66,INDEX('Market Data'!$J$5:$J$528,$T43)-4)),N(INDEX('Market Data'!$AH$5:$AH$66,INDEX('Market Data'!$J$5:$J$528,$T43)-4))&gt;0),INDEX('Market Data'!$AH$5:$AH$66,INDEX('Market Data'!$J$5:$J$528,$T43)-4),IF(AND($M$5&lt;&gt;"Bloomberg",ISNUMBER(INDEX('Market Data'!$AC$5:$AC$66,INDEX('Market Data'!$J$5:$J$528,$T43)-4)),N(INDEX('Market Data'!$AC$5:$AC$66,INDEX('Market Data'!$J$5:$J$528,$T43)-4))&gt;0),INDEX('Market Data'!$AC$5:$AC$66,INDEX('Market Data'!$J$5:$J$528,$T43)-4),"unavailable"))))</f>
        <v/>
      </c>
      <c r="M43" s="11">
        <f>IF($T43=0,"",IF(INDEX('Market Data'!$J$5:$J$528,$T43)=0,"n/a",IF(IF(INDEX('Market Data'!$J$5:$J$528,$T43)=0,0,IF(LEFT(INDEX('Market Data'!$AS$5:$AS$66,INDEX('Market Data'!$J$5:$J$528,$T43)-4),11)="First-month",1,0))=1,"class review",IF($I43="Bloomberg",IF(AND($Q43="Bloomberg",ISNUMBER('Market Data'!$B$1),N('Market Data'!$B$1)&gt;0),$L43*'Market Data'!$B$1/$E43-1,"pending A/FX"),IF($I43="Snapshot",IF(AND($Q43="Snapshot",$G43=INDEX('Market Data'!$AE$5:$AE$66,INDEX('Market Data'!$J$5:$J$528,$T43)-4)),IFERROR($L43*INDEX('Market Data'!$AD$5:$AD$66,INDEX('Market Data'!$J$5:$J$528,$T43)-4)/$E43-1,"unavailable"),"date mismatch"),"unavailable")))))</f>
        <v/>
      </c>
      <c r="N43" s="11">
        <f>IF($T43=0,"",IFERROR(IF(AND(N(INDEX('Market Data'!$F$5:$F$528,$T43))&gt;0,ISNUMBER(INDEX('Market Data'!$BB$5:$BB$528,$T43))),$E43*INDEX('Market Data'!$BB$5:$BB$528,$T43)/INDEX('Market Data'!$F$5:$F$528,$T43)-1,"unavailable"),"unavailable"))</f>
        <v/>
      </c>
      <c r="O43" s="9">
        <f>IF($T43=0,"",IF(IF(INDEX('Market Data'!$J$5:$J$528,$T43)=0,0,IF(LEFT(INDEX('Market Data'!$AS$5:$AS$66,INDEX('Market Data'!$J$5:$J$528,$T43)-4),11)="First-month",1,0))=1,"Class ratio review",IF($I43="Bloomberg",IF(ISNUMBER($G43),IF($G43&lt;TODAY(),"Older quote","See quote time"),"Date unavailable"),IF($I43="Snapshot",IF($G43&lt;DATEVALUE("2026-10-02"),"Older snapshot","Dated close"),"No valid quote"))))</f>
        <v/>
      </c>
      <c r="P43" s="14">
        <f>IF($T43=0,"",IF(INDEX('Market Data'!$J$5:$J$528,$T43)=0,"n/a",IF($Q43="Bloomberg",IF(AND(ISNUMBER(INDEX('Market Data'!$AK$5:$AK$66,INDEX('Market Data'!$J$5:$J$528,$T43)-4)),N(INDEX('Market Data'!$AK$5:$AK$66,INDEX('Market Data'!$J$5:$J$528,$T43)-4))&gt;0),INDEX('Market Data'!$AK$5:$AK$66,INDEX('Market Data'!$J$5:$J$528,$T43)-4),"date unavailable"),IF($Q43="Snapshot",IF(AND(ISNUMBER(INDEX('Market Data'!$AF$5:$AF$66,INDEX('Market Data'!$J$5:$J$528,$T43)-4)),N(INDEX('Market Data'!$AF$5:$AF$66,INDEX('Market Data'!$J$5:$J$528,$T43)-4))&gt;0),INDEX('Market Data'!$AF$5:$AF$66,INDEX('Market Data'!$J$5:$J$528,$T43)-4),"date unavailable"),"date unavailable"))))</f>
        <v/>
      </c>
      <c r="Q43" s="15">
        <f>IF($T43=0,"",IF(INDEX('Market Data'!$J$5:$J$528,$T43)=0,"n/a",IF(AND($M$5&lt;&gt;"Snapshot",ISNUMBER(INDEX('Market Data'!$AH$5:$AH$66,INDEX('Market Data'!$J$5:$J$528,$T43)-4)),N(INDEX('Market Data'!$AH$5:$AH$66,INDEX('Market Data'!$J$5:$J$528,$T43)-4))&gt;0),"Bloomberg",IF(AND($M$5&lt;&gt;"Bloomberg",ISNUMBER(INDEX('Market Data'!$AC$5:$AC$66,INDEX('Market Data'!$J$5:$J$528,$T43)-4)),N(INDEX('Market Data'!$AC$5:$AC$66,INDEX('Market Data'!$J$5:$J$528,$T43)-4))&gt;0),"Snapshot","Unavailable"))))</f>
        <v/>
      </c>
      <c r="T43">
        <f>IFERROR(MATCH(7,'Market Data'!$AX$5:$AX$528,0),0)</f>
        <v/>
      </c>
    </row>
    <row r="44" ht="34" customHeight="1">
      <c r="A44" s="8">
        <f>IF($T44=0,"",IF(INDEX('Market Data'!$A$5:$A$528,$T44)="","",INDEX('Market Data'!$A$5:$A$528,$T44)))</f>
        <v/>
      </c>
      <c r="B44" s="9">
        <f>IF($T44=0,"",IF(INDEX('Market Data'!$B$5:$B$528,$T44)="","",INDEX('Market Data'!$B$5:$B$528,$T44)))</f>
        <v/>
      </c>
      <c r="C44" s="9">
        <f>IF($T44=0,"",IF(INDEX('Market Data'!$C$5:$C$528,$T44)="","",INDEX('Market Data'!$C$5:$C$528,$T44)))</f>
        <v/>
      </c>
      <c r="D44" s="9">
        <f>IF($T44=0,"",IF(INDEX('Market Data'!$D$5:$D$528,$T44)="","",INDEX('Market Data'!$D$5:$D$528,$T44)))</f>
        <v/>
      </c>
      <c r="E44" s="10">
        <f>IF($T44=0,"",INDEX('Market Data'!$AY$5:$AY$528,$T44))</f>
        <v/>
      </c>
      <c r="F44" s="11">
        <f>IF($T44=0,"",IF(AND($I44="Bloomberg",ISNUMBER(INDEX('Market Data'!$L$5:$L$528,$T44))),INDEX('Market Data'!$L$5:$L$528,$T44),"unavailable"))</f>
        <v/>
      </c>
      <c r="G44" s="12">
        <f>IF($T44=0,"",IF($I44="Bloomberg",IF(AND(ISNUMBER(INDEX('Market Data'!$M$5:$M$528,$T44)),N(INDEX('Market Data'!$M$5:$M$528,$T44))&gt;0),INDEX('Market Data'!$M$5:$M$528,$T44),"date unavailable"),IF($I44="Snapshot",IF(AND(ISNUMBER(INDEX('Market Data'!$H$5:$H$528,$T44)),N(INDEX('Market Data'!$H$5:$H$528,$T44))&gt;0),INDEX('Market Data'!$H$5:$H$528,$T44),"date unavailable"),"date unavailable")))</f>
        <v/>
      </c>
      <c r="H44" s="9">
        <f>IF($T44=0,"",IF($I44="Bloomberg",IF(INDEX('Market Data'!$N$5:$N$528,$T44)="","time unavailable",INDEX('Market Data'!$N$5:$N$528,$T44)),""))</f>
        <v/>
      </c>
      <c r="I44" s="9">
        <f>IF($T44=0,"",INDEX('Market Data'!$AZ$5:$AZ$528,$T44))</f>
        <v/>
      </c>
      <c r="J44" s="13">
        <f>IF($T44=0,"",IF(INDEX('Market Data'!$E$5:$E$528,$T44)="","",INDEX('Market Data'!$E$5:$E$528,$T44)))</f>
        <v/>
      </c>
      <c r="K44" s="8">
        <f>IF($T44=0,"",IF(INDEX('Market Data'!$I$5:$I$528,$T44)="","",INDEX('Market Data'!$I$5:$I$528,$T44)))</f>
        <v/>
      </c>
      <c r="L44" s="10">
        <f>IF($T44=0,"",IF(INDEX('Market Data'!$J$5:$J$528,$T44)=0,"n/a",IF(AND($M$5&lt;&gt;"Snapshot",ISNUMBER(INDEX('Market Data'!$AH$5:$AH$66,INDEX('Market Data'!$J$5:$J$528,$T44)-4)),N(INDEX('Market Data'!$AH$5:$AH$66,INDEX('Market Data'!$J$5:$J$528,$T44)-4))&gt;0),INDEX('Market Data'!$AH$5:$AH$66,INDEX('Market Data'!$J$5:$J$528,$T44)-4),IF(AND($M$5&lt;&gt;"Bloomberg",ISNUMBER(INDEX('Market Data'!$AC$5:$AC$66,INDEX('Market Data'!$J$5:$J$528,$T44)-4)),N(INDEX('Market Data'!$AC$5:$AC$66,INDEX('Market Data'!$J$5:$J$528,$T44)-4))&gt;0),INDEX('Market Data'!$AC$5:$AC$66,INDEX('Market Data'!$J$5:$J$528,$T44)-4),"unavailable"))))</f>
        <v/>
      </c>
      <c r="M44" s="11">
        <f>IF($T44=0,"",IF(INDEX('Market Data'!$J$5:$J$528,$T44)=0,"n/a",IF(IF(INDEX('Market Data'!$J$5:$J$528,$T44)=0,0,IF(LEFT(INDEX('Market Data'!$AS$5:$AS$66,INDEX('Market Data'!$J$5:$J$528,$T44)-4),11)="First-month",1,0))=1,"class review",IF($I44="Bloomberg",IF(AND($Q44="Bloomberg",ISNUMBER('Market Data'!$B$1),N('Market Data'!$B$1)&gt;0),$L44*'Market Data'!$B$1/$E44-1,"pending A/FX"),IF($I44="Snapshot",IF(AND($Q44="Snapshot",$G44=INDEX('Market Data'!$AE$5:$AE$66,INDEX('Market Data'!$J$5:$J$528,$T44)-4)),IFERROR($L44*INDEX('Market Data'!$AD$5:$AD$66,INDEX('Market Data'!$J$5:$J$528,$T44)-4)/$E44-1,"unavailable"),"date mismatch"),"unavailable")))))</f>
        <v/>
      </c>
      <c r="N44" s="11">
        <f>IF($T44=0,"",IFERROR(IF(AND(N(INDEX('Market Data'!$F$5:$F$528,$T44))&gt;0,ISNUMBER(INDEX('Market Data'!$BB$5:$BB$528,$T44))),$E44*INDEX('Market Data'!$BB$5:$BB$528,$T44)/INDEX('Market Data'!$F$5:$F$528,$T44)-1,"unavailable"),"unavailable"))</f>
        <v/>
      </c>
      <c r="O44" s="9">
        <f>IF($T44=0,"",IF(IF(INDEX('Market Data'!$J$5:$J$528,$T44)=0,0,IF(LEFT(INDEX('Market Data'!$AS$5:$AS$66,INDEX('Market Data'!$J$5:$J$528,$T44)-4),11)="First-month",1,0))=1,"Class ratio review",IF($I44="Bloomberg",IF(ISNUMBER($G44),IF($G44&lt;TODAY(),"Older quote","See quote time"),"Date unavailable"),IF($I44="Snapshot",IF($G44&lt;DATEVALUE("2026-10-02"),"Older snapshot","Dated close"),"No valid quote"))))</f>
        <v/>
      </c>
      <c r="P44" s="14">
        <f>IF($T44=0,"",IF(INDEX('Market Data'!$J$5:$J$528,$T44)=0,"n/a",IF($Q44="Bloomberg",IF(AND(ISNUMBER(INDEX('Market Data'!$AK$5:$AK$66,INDEX('Market Data'!$J$5:$J$528,$T44)-4)),N(INDEX('Market Data'!$AK$5:$AK$66,INDEX('Market Data'!$J$5:$J$528,$T44)-4))&gt;0),INDEX('Market Data'!$AK$5:$AK$66,INDEX('Market Data'!$J$5:$J$528,$T44)-4),"date unavailable"),IF($Q44="Snapshot",IF(AND(ISNUMBER(INDEX('Market Data'!$AF$5:$AF$66,INDEX('Market Data'!$J$5:$J$528,$T44)-4)),N(INDEX('Market Data'!$AF$5:$AF$66,INDEX('Market Data'!$J$5:$J$528,$T44)-4))&gt;0),INDEX('Market Data'!$AF$5:$AF$66,INDEX('Market Data'!$J$5:$J$528,$T44)-4),"date unavailable"),"date unavailable"))))</f>
        <v/>
      </c>
      <c r="Q44" s="15">
        <f>IF($T44=0,"",IF(INDEX('Market Data'!$J$5:$J$528,$T44)=0,"n/a",IF(AND($M$5&lt;&gt;"Snapshot",ISNUMBER(INDEX('Market Data'!$AH$5:$AH$66,INDEX('Market Data'!$J$5:$J$528,$T44)-4)),N(INDEX('Market Data'!$AH$5:$AH$66,INDEX('Market Data'!$J$5:$J$528,$T44)-4))&gt;0),"Bloomberg",IF(AND($M$5&lt;&gt;"Bloomberg",ISNUMBER(INDEX('Market Data'!$AC$5:$AC$66,INDEX('Market Data'!$J$5:$J$528,$T44)-4)),N(INDEX('Market Data'!$AC$5:$AC$66,INDEX('Market Data'!$J$5:$J$528,$T44)-4))&gt;0),"Snapshot","Unavailable"))))</f>
        <v/>
      </c>
      <c r="T44">
        <f>IFERROR(MATCH(8,'Market Data'!$AX$5:$AX$528,0),0)</f>
        <v/>
      </c>
    </row>
    <row r="45" ht="34" customHeight="1">
      <c r="A45" s="8">
        <f>IF($T45=0,"",IF(INDEX('Market Data'!$A$5:$A$528,$T45)="","",INDEX('Market Data'!$A$5:$A$528,$T45)))</f>
        <v/>
      </c>
      <c r="B45" s="9">
        <f>IF($T45=0,"",IF(INDEX('Market Data'!$B$5:$B$528,$T45)="","",INDEX('Market Data'!$B$5:$B$528,$T45)))</f>
        <v/>
      </c>
      <c r="C45" s="9">
        <f>IF($T45=0,"",IF(INDEX('Market Data'!$C$5:$C$528,$T45)="","",INDEX('Market Data'!$C$5:$C$528,$T45)))</f>
        <v/>
      </c>
      <c r="D45" s="9">
        <f>IF($T45=0,"",IF(INDEX('Market Data'!$D$5:$D$528,$T45)="","",INDEX('Market Data'!$D$5:$D$528,$T45)))</f>
        <v/>
      </c>
      <c r="E45" s="10">
        <f>IF($T45=0,"",INDEX('Market Data'!$AY$5:$AY$528,$T45))</f>
        <v/>
      </c>
      <c r="F45" s="11">
        <f>IF($T45=0,"",IF(AND($I45="Bloomberg",ISNUMBER(INDEX('Market Data'!$L$5:$L$528,$T45))),INDEX('Market Data'!$L$5:$L$528,$T45),"unavailable"))</f>
        <v/>
      </c>
      <c r="G45" s="12">
        <f>IF($T45=0,"",IF($I45="Bloomberg",IF(AND(ISNUMBER(INDEX('Market Data'!$M$5:$M$528,$T45)),N(INDEX('Market Data'!$M$5:$M$528,$T45))&gt;0),INDEX('Market Data'!$M$5:$M$528,$T45),"date unavailable"),IF($I45="Snapshot",IF(AND(ISNUMBER(INDEX('Market Data'!$H$5:$H$528,$T45)),N(INDEX('Market Data'!$H$5:$H$528,$T45))&gt;0),INDEX('Market Data'!$H$5:$H$528,$T45),"date unavailable"),"date unavailable")))</f>
        <v/>
      </c>
      <c r="H45" s="9">
        <f>IF($T45=0,"",IF($I45="Bloomberg",IF(INDEX('Market Data'!$N$5:$N$528,$T45)="","time unavailable",INDEX('Market Data'!$N$5:$N$528,$T45)),""))</f>
        <v/>
      </c>
      <c r="I45" s="9">
        <f>IF($T45=0,"",INDEX('Market Data'!$AZ$5:$AZ$528,$T45))</f>
        <v/>
      </c>
      <c r="J45" s="13">
        <f>IF($T45=0,"",IF(INDEX('Market Data'!$E$5:$E$528,$T45)="","",INDEX('Market Data'!$E$5:$E$528,$T45)))</f>
        <v/>
      </c>
      <c r="K45" s="8">
        <f>IF($T45=0,"",IF(INDEX('Market Data'!$I$5:$I$528,$T45)="","",INDEX('Market Data'!$I$5:$I$528,$T45)))</f>
        <v/>
      </c>
      <c r="L45" s="10">
        <f>IF($T45=0,"",IF(INDEX('Market Data'!$J$5:$J$528,$T45)=0,"n/a",IF(AND($M$5&lt;&gt;"Snapshot",ISNUMBER(INDEX('Market Data'!$AH$5:$AH$66,INDEX('Market Data'!$J$5:$J$528,$T45)-4)),N(INDEX('Market Data'!$AH$5:$AH$66,INDEX('Market Data'!$J$5:$J$528,$T45)-4))&gt;0),INDEX('Market Data'!$AH$5:$AH$66,INDEX('Market Data'!$J$5:$J$528,$T45)-4),IF(AND($M$5&lt;&gt;"Bloomberg",ISNUMBER(INDEX('Market Data'!$AC$5:$AC$66,INDEX('Market Data'!$J$5:$J$528,$T45)-4)),N(INDEX('Market Data'!$AC$5:$AC$66,INDEX('Market Data'!$J$5:$J$528,$T45)-4))&gt;0),INDEX('Market Data'!$AC$5:$AC$66,INDEX('Market Data'!$J$5:$J$528,$T45)-4),"unavailable"))))</f>
        <v/>
      </c>
      <c r="M45" s="11">
        <f>IF($T45=0,"",IF(INDEX('Market Data'!$J$5:$J$528,$T45)=0,"n/a",IF(IF(INDEX('Market Data'!$J$5:$J$528,$T45)=0,0,IF(LEFT(INDEX('Market Data'!$AS$5:$AS$66,INDEX('Market Data'!$J$5:$J$528,$T45)-4),11)="First-month",1,0))=1,"class review",IF($I45="Bloomberg",IF(AND($Q45="Bloomberg",ISNUMBER('Market Data'!$B$1),N('Market Data'!$B$1)&gt;0),$L45*'Market Data'!$B$1/$E45-1,"pending A/FX"),IF($I45="Snapshot",IF(AND($Q45="Snapshot",$G45=INDEX('Market Data'!$AE$5:$AE$66,INDEX('Market Data'!$J$5:$J$528,$T45)-4)),IFERROR($L45*INDEX('Market Data'!$AD$5:$AD$66,INDEX('Market Data'!$J$5:$J$528,$T45)-4)/$E45-1,"unavailable"),"date mismatch"),"unavailable")))))</f>
        <v/>
      </c>
      <c r="N45" s="11">
        <f>IF($T45=0,"",IFERROR(IF(AND(N(INDEX('Market Data'!$F$5:$F$528,$T45))&gt;0,ISNUMBER(INDEX('Market Data'!$BB$5:$BB$528,$T45))),$E45*INDEX('Market Data'!$BB$5:$BB$528,$T45)/INDEX('Market Data'!$F$5:$F$528,$T45)-1,"unavailable"),"unavailable"))</f>
        <v/>
      </c>
      <c r="O45" s="9">
        <f>IF($T45=0,"",IF(IF(INDEX('Market Data'!$J$5:$J$528,$T45)=0,0,IF(LEFT(INDEX('Market Data'!$AS$5:$AS$66,INDEX('Market Data'!$J$5:$J$528,$T45)-4),11)="First-month",1,0))=1,"Class ratio review",IF($I45="Bloomberg",IF(ISNUMBER($G45),IF($G45&lt;TODAY(),"Older quote","See quote time"),"Date unavailable"),IF($I45="Snapshot",IF($G45&lt;DATEVALUE("2026-10-02"),"Older snapshot","Dated close"),"No valid quote"))))</f>
        <v/>
      </c>
      <c r="P45" s="14">
        <f>IF($T45=0,"",IF(INDEX('Market Data'!$J$5:$J$528,$T45)=0,"n/a",IF($Q45="Bloomberg",IF(AND(ISNUMBER(INDEX('Market Data'!$AK$5:$AK$66,INDEX('Market Data'!$J$5:$J$528,$T45)-4)),N(INDEX('Market Data'!$AK$5:$AK$66,INDEX('Market Data'!$J$5:$J$528,$T45)-4))&gt;0),INDEX('Market Data'!$AK$5:$AK$66,INDEX('Market Data'!$J$5:$J$528,$T45)-4),"date unavailable"),IF($Q45="Snapshot",IF(AND(ISNUMBER(INDEX('Market Data'!$AF$5:$AF$66,INDEX('Market Data'!$J$5:$J$528,$T45)-4)),N(INDEX('Market Data'!$AF$5:$AF$66,INDEX('Market Data'!$J$5:$J$528,$T45)-4))&gt;0),INDEX('Market Data'!$AF$5:$AF$66,INDEX('Market Data'!$J$5:$J$528,$T45)-4),"date unavailable"),"date unavailable"))))</f>
        <v/>
      </c>
      <c r="Q45" s="15">
        <f>IF($T45=0,"",IF(INDEX('Market Data'!$J$5:$J$528,$T45)=0,"n/a",IF(AND($M$5&lt;&gt;"Snapshot",ISNUMBER(INDEX('Market Data'!$AH$5:$AH$66,INDEX('Market Data'!$J$5:$J$528,$T45)-4)),N(INDEX('Market Data'!$AH$5:$AH$66,INDEX('Market Data'!$J$5:$J$528,$T45)-4))&gt;0),"Bloomberg",IF(AND($M$5&lt;&gt;"Bloomberg",ISNUMBER(INDEX('Market Data'!$AC$5:$AC$66,INDEX('Market Data'!$J$5:$J$528,$T45)-4)),N(INDEX('Market Data'!$AC$5:$AC$66,INDEX('Market Data'!$J$5:$J$528,$T45)-4))&gt;0),"Snapshot","Unavailable"))))</f>
        <v/>
      </c>
      <c r="T45">
        <f>IFERROR(MATCH(9,'Market Data'!$AX$5:$AX$528,0),0)</f>
        <v/>
      </c>
    </row>
    <row r="46" ht="34" customHeight="1">
      <c r="A46" s="8">
        <f>IF($T46=0,"",IF(INDEX('Market Data'!$A$5:$A$528,$T46)="","",INDEX('Market Data'!$A$5:$A$528,$T46)))</f>
        <v/>
      </c>
      <c r="B46" s="9">
        <f>IF($T46=0,"",IF(INDEX('Market Data'!$B$5:$B$528,$T46)="","",INDEX('Market Data'!$B$5:$B$528,$T46)))</f>
        <v/>
      </c>
      <c r="C46" s="9">
        <f>IF($T46=0,"",IF(INDEX('Market Data'!$C$5:$C$528,$T46)="","",INDEX('Market Data'!$C$5:$C$528,$T46)))</f>
        <v/>
      </c>
      <c r="D46" s="9">
        <f>IF($T46=0,"",IF(INDEX('Market Data'!$D$5:$D$528,$T46)="","",INDEX('Market Data'!$D$5:$D$528,$T46)))</f>
        <v/>
      </c>
      <c r="E46" s="10">
        <f>IF($T46=0,"",INDEX('Market Data'!$AY$5:$AY$528,$T46))</f>
        <v/>
      </c>
      <c r="F46" s="11">
        <f>IF($T46=0,"",IF(AND($I46="Bloomberg",ISNUMBER(INDEX('Market Data'!$L$5:$L$528,$T46))),INDEX('Market Data'!$L$5:$L$528,$T46),"unavailable"))</f>
        <v/>
      </c>
      <c r="G46" s="12">
        <f>IF($T46=0,"",IF($I46="Bloomberg",IF(AND(ISNUMBER(INDEX('Market Data'!$M$5:$M$528,$T46)),N(INDEX('Market Data'!$M$5:$M$528,$T46))&gt;0),INDEX('Market Data'!$M$5:$M$528,$T46),"date unavailable"),IF($I46="Snapshot",IF(AND(ISNUMBER(INDEX('Market Data'!$H$5:$H$528,$T46)),N(INDEX('Market Data'!$H$5:$H$528,$T46))&gt;0),INDEX('Market Data'!$H$5:$H$528,$T46),"date unavailable"),"date unavailable")))</f>
        <v/>
      </c>
      <c r="H46" s="9">
        <f>IF($T46=0,"",IF($I46="Bloomberg",IF(INDEX('Market Data'!$N$5:$N$528,$T46)="","time unavailable",INDEX('Market Data'!$N$5:$N$528,$T46)),""))</f>
        <v/>
      </c>
      <c r="I46" s="9">
        <f>IF($T46=0,"",INDEX('Market Data'!$AZ$5:$AZ$528,$T46))</f>
        <v/>
      </c>
      <c r="J46" s="13">
        <f>IF($T46=0,"",IF(INDEX('Market Data'!$E$5:$E$528,$T46)="","",INDEX('Market Data'!$E$5:$E$528,$T46)))</f>
        <v/>
      </c>
      <c r="K46" s="8">
        <f>IF($T46=0,"",IF(INDEX('Market Data'!$I$5:$I$528,$T46)="","",INDEX('Market Data'!$I$5:$I$528,$T46)))</f>
        <v/>
      </c>
      <c r="L46" s="10">
        <f>IF($T46=0,"",IF(INDEX('Market Data'!$J$5:$J$528,$T46)=0,"n/a",IF(AND($M$5&lt;&gt;"Snapshot",ISNUMBER(INDEX('Market Data'!$AH$5:$AH$66,INDEX('Market Data'!$J$5:$J$528,$T46)-4)),N(INDEX('Market Data'!$AH$5:$AH$66,INDEX('Market Data'!$J$5:$J$528,$T46)-4))&gt;0),INDEX('Market Data'!$AH$5:$AH$66,INDEX('Market Data'!$J$5:$J$528,$T46)-4),IF(AND($M$5&lt;&gt;"Bloomberg",ISNUMBER(INDEX('Market Data'!$AC$5:$AC$66,INDEX('Market Data'!$J$5:$J$528,$T46)-4)),N(INDEX('Market Data'!$AC$5:$AC$66,INDEX('Market Data'!$J$5:$J$528,$T46)-4))&gt;0),INDEX('Market Data'!$AC$5:$AC$66,INDEX('Market Data'!$J$5:$J$528,$T46)-4),"unavailable"))))</f>
        <v/>
      </c>
      <c r="M46" s="11">
        <f>IF($T46=0,"",IF(INDEX('Market Data'!$J$5:$J$528,$T46)=0,"n/a",IF(IF(INDEX('Market Data'!$J$5:$J$528,$T46)=0,0,IF(LEFT(INDEX('Market Data'!$AS$5:$AS$66,INDEX('Market Data'!$J$5:$J$528,$T46)-4),11)="First-month",1,0))=1,"class review",IF($I46="Bloomberg",IF(AND($Q46="Bloomberg",ISNUMBER('Market Data'!$B$1),N('Market Data'!$B$1)&gt;0),$L46*'Market Data'!$B$1/$E46-1,"pending A/FX"),IF($I46="Snapshot",IF(AND($Q46="Snapshot",$G46=INDEX('Market Data'!$AE$5:$AE$66,INDEX('Market Data'!$J$5:$J$528,$T46)-4)),IFERROR($L46*INDEX('Market Data'!$AD$5:$AD$66,INDEX('Market Data'!$J$5:$J$528,$T46)-4)/$E46-1,"unavailable"),"date mismatch"),"unavailable")))))</f>
        <v/>
      </c>
      <c r="N46" s="11">
        <f>IF($T46=0,"",IFERROR(IF(AND(N(INDEX('Market Data'!$F$5:$F$528,$T46))&gt;0,ISNUMBER(INDEX('Market Data'!$BB$5:$BB$528,$T46))),$E46*INDEX('Market Data'!$BB$5:$BB$528,$T46)/INDEX('Market Data'!$F$5:$F$528,$T46)-1,"unavailable"),"unavailable"))</f>
        <v/>
      </c>
      <c r="O46" s="9">
        <f>IF($T46=0,"",IF(IF(INDEX('Market Data'!$J$5:$J$528,$T46)=0,0,IF(LEFT(INDEX('Market Data'!$AS$5:$AS$66,INDEX('Market Data'!$J$5:$J$528,$T46)-4),11)="First-month",1,0))=1,"Class ratio review",IF($I46="Bloomberg",IF(ISNUMBER($G46),IF($G46&lt;TODAY(),"Older quote","See quote time"),"Date unavailable"),IF($I46="Snapshot",IF($G46&lt;DATEVALUE("2026-10-02"),"Older snapshot","Dated close"),"No valid quote"))))</f>
        <v/>
      </c>
      <c r="P46" s="14">
        <f>IF($T46=0,"",IF(INDEX('Market Data'!$J$5:$J$528,$T46)=0,"n/a",IF($Q46="Bloomberg",IF(AND(ISNUMBER(INDEX('Market Data'!$AK$5:$AK$66,INDEX('Market Data'!$J$5:$J$528,$T46)-4)),N(INDEX('Market Data'!$AK$5:$AK$66,INDEX('Market Data'!$J$5:$J$528,$T46)-4))&gt;0),INDEX('Market Data'!$AK$5:$AK$66,INDEX('Market Data'!$J$5:$J$528,$T46)-4),"date unavailable"),IF($Q46="Snapshot",IF(AND(ISNUMBER(INDEX('Market Data'!$AF$5:$AF$66,INDEX('Market Data'!$J$5:$J$528,$T46)-4)),N(INDEX('Market Data'!$AF$5:$AF$66,INDEX('Market Data'!$J$5:$J$528,$T46)-4))&gt;0),INDEX('Market Data'!$AF$5:$AF$66,INDEX('Market Data'!$J$5:$J$528,$T46)-4),"date unavailable"),"date unavailable"))))</f>
        <v/>
      </c>
      <c r="Q46" s="15">
        <f>IF($T46=0,"",IF(INDEX('Market Data'!$J$5:$J$528,$T46)=0,"n/a",IF(AND($M$5&lt;&gt;"Snapshot",ISNUMBER(INDEX('Market Data'!$AH$5:$AH$66,INDEX('Market Data'!$J$5:$J$528,$T46)-4)),N(INDEX('Market Data'!$AH$5:$AH$66,INDEX('Market Data'!$J$5:$J$528,$T46)-4))&gt;0),"Bloomberg",IF(AND($M$5&lt;&gt;"Bloomberg",ISNUMBER(INDEX('Market Data'!$AC$5:$AC$66,INDEX('Market Data'!$J$5:$J$528,$T46)-4)),N(INDEX('Market Data'!$AC$5:$AC$66,INDEX('Market Data'!$J$5:$J$528,$T46)-4))&gt;0),"Snapshot","Unavailable"))))</f>
        <v/>
      </c>
      <c r="T46">
        <f>IFERROR(MATCH(10,'Market Data'!$AX$5:$AX$528,0),0)</f>
        <v/>
      </c>
    </row>
    <row r="47" ht="34" customHeight="1">
      <c r="A47" s="8">
        <f>IF($T47=0,"",IF(INDEX('Market Data'!$A$5:$A$528,$T47)="","",INDEX('Market Data'!$A$5:$A$528,$T47)))</f>
        <v/>
      </c>
      <c r="B47" s="9">
        <f>IF($T47=0,"",IF(INDEX('Market Data'!$B$5:$B$528,$T47)="","",INDEX('Market Data'!$B$5:$B$528,$T47)))</f>
        <v/>
      </c>
      <c r="C47" s="9">
        <f>IF($T47=0,"",IF(INDEX('Market Data'!$C$5:$C$528,$T47)="","",INDEX('Market Data'!$C$5:$C$528,$T47)))</f>
        <v/>
      </c>
      <c r="D47" s="9">
        <f>IF($T47=0,"",IF(INDEX('Market Data'!$D$5:$D$528,$T47)="","",INDEX('Market Data'!$D$5:$D$528,$T47)))</f>
        <v/>
      </c>
      <c r="E47" s="10">
        <f>IF($T47=0,"",INDEX('Market Data'!$AY$5:$AY$528,$T47))</f>
        <v/>
      </c>
      <c r="F47" s="11">
        <f>IF($T47=0,"",IF(AND($I47="Bloomberg",ISNUMBER(INDEX('Market Data'!$L$5:$L$528,$T47))),INDEX('Market Data'!$L$5:$L$528,$T47),"unavailable"))</f>
        <v/>
      </c>
      <c r="G47" s="12">
        <f>IF($T47=0,"",IF($I47="Bloomberg",IF(AND(ISNUMBER(INDEX('Market Data'!$M$5:$M$528,$T47)),N(INDEX('Market Data'!$M$5:$M$528,$T47))&gt;0),INDEX('Market Data'!$M$5:$M$528,$T47),"date unavailable"),IF($I47="Snapshot",IF(AND(ISNUMBER(INDEX('Market Data'!$H$5:$H$528,$T47)),N(INDEX('Market Data'!$H$5:$H$528,$T47))&gt;0),INDEX('Market Data'!$H$5:$H$528,$T47),"date unavailable"),"date unavailable")))</f>
        <v/>
      </c>
      <c r="H47" s="9">
        <f>IF($T47=0,"",IF($I47="Bloomberg",IF(INDEX('Market Data'!$N$5:$N$528,$T47)="","time unavailable",INDEX('Market Data'!$N$5:$N$528,$T47)),""))</f>
        <v/>
      </c>
      <c r="I47" s="9">
        <f>IF($T47=0,"",INDEX('Market Data'!$AZ$5:$AZ$528,$T47))</f>
        <v/>
      </c>
      <c r="J47" s="13">
        <f>IF($T47=0,"",IF(INDEX('Market Data'!$E$5:$E$528,$T47)="","",INDEX('Market Data'!$E$5:$E$528,$T47)))</f>
        <v/>
      </c>
      <c r="K47" s="8">
        <f>IF($T47=0,"",IF(INDEX('Market Data'!$I$5:$I$528,$T47)="","",INDEX('Market Data'!$I$5:$I$528,$T47)))</f>
        <v/>
      </c>
      <c r="L47" s="10">
        <f>IF($T47=0,"",IF(INDEX('Market Data'!$J$5:$J$528,$T47)=0,"n/a",IF(AND($M$5&lt;&gt;"Snapshot",ISNUMBER(INDEX('Market Data'!$AH$5:$AH$66,INDEX('Market Data'!$J$5:$J$528,$T47)-4)),N(INDEX('Market Data'!$AH$5:$AH$66,INDEX('Market Data'!$J$5:$J$528,$T47)-4))&gt;0),INDEX('Market Data'!$AH$5:$AH$66,INDEX('Market Data'!$J$5:$J$528,$T47)-4),IF(AND($M$5&lt;&gt;"Bloomberg",ISNUMBER(INDEX('Market Data'!$AC$5:$AC$66,INDEX('Market Data'!$J$5:$J$528,$T47)-4)),N(INDEX('Market Data'!$AC$5:$AC$66,INDEX('Market Data'!$J$5:$J$528,$T47)-4))&gt;0),INDEX('Market Data'!$AC$5:$AC$66,INDEX('Market Data'!$J$5:$J$528,$T47)-4),"unavailable"))))</f>
        <v/>
      </c>
      <c r="M47" s="11">
        <f>IF($T47=0,"",IF(INDEX('Market Data'!$J$5:$J$528,$T47)=0,"n/a",IF(IF(INDEX('Market Data'!$J$5:$J$528,$T47)=0,0,IF(LEFT(INDEX('Market Data'!$AS$5:$AS$66,INDEX('Market Data'!$J$5:$J$528,$T47)-4),11)="First-month",1,0))=1,"class review",IF($I47="Bloomberg",IF(AND($Q47="Bloomberg",ISNUMBER('Market Data'!$B$1),N('Market Data'!$B$1)&gt;0),$L47*'Market Data'!$B$1/$E47-1,"pending A/FX"),IF($I47="Snapshot",IF(AND($Q47="Snapshot",$G47=INDEX('Market Data'!$AE$5:$AE$66,INDEX('Market Data'!$J$5:$J$528,$T47)-4)),IFERROR($L47*INDEX('Market Data'!$AD$5:$AD$66,INDEX('Market Data'!$J$5:$J$528,$T47)-4)/$E47-1,"unavailable"),"date mismatch"),"unavailable")))))</f>
        <v/>
      </c>
      <c r="N47" s="11">
        <f>IF($T47=0,"",IFERROR(IF(AND(N(INDEX('Market Data'!$F$5:$F$528,$T47))&gt;0,ISNUMBER(INDEX('Market Data'!$BB$5:$BB$528,$T47))),$E47*INDEX('Market Data'!$BB$5:$BB$528,$T47)/INDEX('Market Data'!$F$5:$F$528,$T47)-1,"unavailable"),"unavailable"))</f>
        <v/>
      </c>
      <c r="O47" s="9">
        <f>IF($T47=0,"",IF(IF(INDEX('Market Data'!$J$5:$J$528,$T47)=0,0,IF(LEFT(INDEX('Market Data'!$AS$5:$AS$66,INDEX('Market Data'!$J$5:$J$528,$T47)-4),11)="First-month",1,0))=1,"Class ratio review",IF($I47="Bloomberg",IF(ISNUMBER($G47),IF($G47&lt;TODAY(),"Older quote","See quote time"),"Date unavailable"),IF($I47="Snapshot",IF($G47&lt;DATEVALUE("2026-10-02"),"Older snapshot","Dated close"),"No valid quote"))))</f>
        <v/>
      </c>
      <c r="P47" s="14">
        <f>IF($T47=0,"",IF(INDEX('Market Data'!$J$5:$J$528,$T47)=0,"n/a",IF($Q47="Bloomberg",IF(AND(ISNUMBER(INDEX('Market Data'!$AK$5:$AK$66,INDEX('Market Data'!$J$5:$J$528,$T47)-4)),N(INDEX('Market Data'!$AK$5:$AK$66,INDEX('Market Data'!$J$5:$J$528,$T47)-4))&gt;0),INDEX('Market Data'!$AK$5:$AK$66,INDEX('Market Data'!$J$5:$J$528,$T47)-4),"date unavailable"),IF($Q47="Snapshot",IF(AND(ISNUMBER(INDEX('Market Data'!$AF$5:$AF$66,INDEX('Market Data'!$J$5:$J$528,$T47)-4)),N(INDEX('Market Data'!$AF$5:$AF$66,INDEX('Market Data'!$J$5:$J$528,$T47)-4))&gt;0),INDEX('Market Data'!$AF$5:$AF$66,INDEX('Market Data'!$J$5:$J$528,$T47)-4),"date unavailable"),"date unavailable"))))</f>
        <v/>
      </c>
      <c r="Q47" s="15">
        <f>IF($T47=0,"",IF(INDEX('Market Data'!$J$5:$J$528,$T47)=0,"n/a",IF(AND($M$5&lt;&gt;"Snapshot",ISNUMBER(INDEX('Market Data'!$AH$5:$AH$66,INDEX('Market Data'!$J$5:$J$528,$T47)-4)),N(INDEX('Market Data'!$AH$5:$AH$66,INDEX('Market Data'!$J$5:$J$528,$T47)-4))&gt;0),"Bloomberg",IF(AND($M$5&lt;&gt;"Bloomberg",ISNUMBER(INDEX('Market Data'!$AC$5:$AC$66,INDEX('Market Data'!$J$5:$J$528,$T47)-4)),N(INDEX('Market Data'!$AC$5:$AC$66,INDEX('Market Data'!$J$5:$J$528,$T47)-4))&gt;0),"Snapshot","Unavailable"))))</f>
        <v/>
      </c>
      <c r="T47">
        <f>IFERROR(MATCH(11,'Market Data'!$AX$5:$AX$528,0),0)</f>
        <v/>
      </c>
    </row>
    <row r="48" ht="34" customHeight="1">
      <c r="A48" s="8">
        <f>IF($T48=0,"",IF(INDEX('Market Data'!$A$5:$A$528,$T48)="","",INDEX('Market Data'!$A$5:$A$528,$T48)))</f>
        <v/>
      </c>
      <c r="B48" s="9">
        <f>IF($T48=0,"",IF(INDEX('Market Data'!$B$5:$B$528,$T48)="","",INDEX('Market Data'!$B$5:$B$528,$T48)))</f>
        <v/>
      </c>
      <c r="C48" s="9">
        <f>IF($T48=0,"",IF(INDEX('Market Data'!$C$5:$C$528,$T48)="","",INDEX('Market Data'!$C$5:$C$528,$T48)))</f>
        <v/>
      </c>
      <c r="D48" s="9">
        <f>IF($T48=0,"",IF(INDEX('Market Data'!$D$5:$D$528,$T48)="","",INDEX('Market Data'!$D$5:$D$528,$T48)))</f>
        <v/>
      </c>
      <c r="E48" s="10">
        <f>IF($T48=0,"",INDEX('Market Data'!$AY$5:$AY$528,$T48))</f>
        <v/>
      </c>
      <c r="F48" s="11">
        <f>IF($T48=0,"",IF(AND($I48="Bloomberg",ISNUMBER(INDEX('Market Data'!$L$5:$L$528,$T48))),INDEX('Market Data'!$L$5:$L$528,$T48),"unavailable"))</f>
        <v/>
      </c>
      <c r="G48" s="12">
        <f>IF($T48=0,"",IF($I48="Bloomberg",IF(AND(ISNUMBER(INDEX('Market Data'!$M$5:$M$528,$T48)),N(INDEX('Market Data'!$M$5:$M$528,$T48))&gt;0),INDEX('Market Data'!$M$5:$M$528,$T48),"date unavailable"),IF($I48="Snapshot",IF(AND(ISNUMBER(INDEX('Market Data'!$H$5:$H$528,$T48)),N(INDEX('Market Data'!$H$5:$H$528,$T48))&gt;0),INDEX('Market Data'!$H$5:$H$528,$T48),"date unavailable"),"date unavailable")))</f>
        <v/>
      </c>
      <c r="H48" s="9">
        <f>IF($T48=0,"",IF($I48="Bloomberg",IF(INDEX('Market Data'!$N$5:$N$528,$T48)="","time unavailable",INDEX('Market Data'!$N$5:$N$528,$T48)),""))</f>
        <v/>
      </c>
      <c r="I48" s="9">
        <f>IF($T48=0,"",INDEX('Market Data'!$AZ$5:$AZ$528,$T48))</f>
        <v/>
      </c>
      <c r="J48" s="13">
        <f>IF($T48=0,"",IF(INDEX('Market Data'!$E$5:$E$528,$T48)="","",INDEX('Market Data'!$E$5:$E$528,$T48)))</f>
        <v/>
      </c>
      <c r="K48" s="8">
        <f>IF($T48=0,"",IF(INDEX('Market Data'!$I$5:$I$528,$T48)="","",INDEX('Market Data'!$I$5:$I$528,$T48)))</f>
        <v/>
      </c>
      <c r="L48" s="10">
        <f>IF($T48=0,"",IF(INDEX('Market Data'!$J$5:$J$528,$T48)=0,"n/a",IF(AND($M$5&lt;&gt;"Snapshot",ISNUMBER(INDEX('Market Data'!$AH$5:$AH$66,INDEX('Market Data'!$J$5:$J$528,$T48)-4)),N(INDEX('Market Data'!$AH$5:$AH$66,INDEX('Market Data'!$J$5:$J$528,$T48)-4))&gt;0),INDEX('Market Data'!$AH$5:$AH$66,INDEX('Market Data'!$J$5:$J$528,$T48)-4),IF(AND($M$5&lt;&gt;"Bloomberg",ISNUMBER(INDEX('Market Data'!$AC$5:$AC$66,INDEX('Market Data'!$J$5:$J$528,$T48)-4)),N(INDEX('Market Data'!$AC$5:$AC$66,INDEX('Market Data'!$J$5:$J$528,$T48)-4))&gt;0),INDEX('Market Data'!$AC$5:$AC$66,INDEX('Market Data'!$J$5:$J$528,$T48)-4),"unavailable"))))</f>
        <v/>
      </c>
      <c r="M48" s="11">
        <f>IF($T48=0,"",IF(INDEX('Market Data'!$J$5:$J$528,$T48)=0,"n/a",IF(IF(INDEX('Market Data'!$J$5:$J$528,$T48)=0,0,IF(LEFT(INDEX('Market Data'!$AS$5:$AS$66,INDEX('Market Data'!$J$5:$J$528,$T48)-4),11)="First-month",1,0))=1,"class review",IF($I48="Bloomberg",IF(AND($Q48="Bloomberg",ISNUMBER('Market Data'!$B$1),N('Market Data'!$B$1)&gt;0),$L48*'Market Data'!$B$1/$E48-1,"pending A/FX"),IF($I48="Snapshot",IF(AND($Q48="Snapshot",$G48=INDEX('Market Data'!$AE$5:$AE$66,INDEX('Market Data'!$J$5:$J$528,$T48)-4)),IFERROR($L48*INDEX('Market Data'!$AD$5:$AD$66,INDEX('Market Data'!$J$5:$J$528,$T48)-4)/$E48-1,"unavailable"),"date mismatch"),"unavailable")))))</f>
        <v/>
      </c>
      <c r="N48" s="11">
        <f>IF($T48=0,"",IFERROR(IF(AND(N(INDEX('Market Data'!$F$5:$F$528,$T48))&gt;0,ISNUMBER(INDEX('Market Data'!$BB$5:$BB$528,$T48))),$E48*INDEX('Market Data'!$BB$5:$BB$528,$T48)/INDEX('Market Data'!$F$5:$F$528,$T48)-1,"unavailable"),"unavailable"))</f>
        <v/>
      </c>
      <c r="O48" s="9">
        <f>IF($T48=0,"",IF(IF(INDEX('Market Data'!$J$5:$J$528,$T48)=0,0,IF(LEFT(INDEX('Market Data'!$AS$5:$AS$66,INDEX('Market Data'!$J$5:$J$528,$T48)-4),11)="First-month",1,0))=1,"Class ratio review",IF($I48="Bloomberg",IF(ISNUMBER($G48),IF($G48&lt;TODAY(),"Older quote","See quote time"),"Date unavailable"),IF($I48="Snapshot",IF($G48&lt;DATEVALUE("2026-10-02"),"Older snapshot","Dated close"),"No valid quote"))))</f>
        <v/>
      </c>
      <c r="P48" s="14">
        <f>IF($T48=0,"",IF(INDEX('Market Data'!$J$5:$J$528,$T48)=0,"n/a",IF($Q48="Bloomberg",IF(AND(ISNUMBER(INDEX('Market Data'!$AK$5:$AK$66,INDEX('Market Data'!$J$5:$J$528,$T48)-4)),N(INDEX('Market Data'!$AK$5:$AK$66,INDEX('Market Data'!$J$5:$J$528,$T48)-4))&gt;0),INDEX('Market Data'!$AK$5:$AK$66,INDEX('Market Data'!$J$5:$J$528,$T48)-4),"date unavailable"),IF($Q48="Snapshot",IF(AND(ISNUMBER(INDEX('Market Data'!$AF$5:$AF$66,INDEX('Market Data'!$J$5:$J$528,$T48)-4)),N(INDEX('Market Data'!$AF$5:$AF$66,INDEX('Market Data'!$J$5:$J$528,$T48)-4))&gt;0),INDEX('Market Data'!$AF$5:$AF$66,INDEX('Market Data'!$J$5:$J$528,$T48)-4),"date unavailable"),"date unavailable"))))</f>
        <v/>
      </c>
      <c r="Q48" s="15">
        <f>IF($T48=0,"",IF(INDEX('Market Data'!$J$5:$J$528,$T48)=0,"n/a",IF(AND($M$5&lt;&gt;"Snapshot",ISNUMBER(INDEX('Market Data'!$AH$5:$AH$66,INDEX('Market Data'!$J$5:$J$528,$T48)-4)),N(INDEX('Market Data'!$AH$5:$AH$66,INDEX('Market Data'!$J$5:$J$528,$T48)-4))&gt;0),"Bloomberg",IF(AND($M$5&lt;&gt;"Bloomberg",ISNUMBER(INDEX('Market Data'!$AC$5:$AC$66,INDEX('Market Data'!$J$5:$J$528,$T48)-4)),N(INDEX('Market Data'!$AC$5:$AC$66,INDEX('Market Data'!$J$5:$J$528,$T48)-4))&gt;0),"Snapshot","Unavailable"))))</f>
        <v/>
      </c>
      <c r="T48">
        <f>IFERROR(MATCH(12,'Market Data'!$AX$5:$AX$528,0),0)</f>
        <v/>
      </c>
    </row>
    <row r="49" ht="34" customHeight="1">
      <c r="A49" s="8">
        <f>IF($T49=0,"",IF(INDEX('Market Data'!$A$5:$A$528,$T49)="","",INDEX('Market Data'!$A$5:$A$528,$T49)))</f>
        <v/>
      </c>
      <c r="B49" s="9">
        <f>IF($T49=0,"",IF(INDEX('Market Data'!$B$5:$B$528,$T49)="","",INDEX('Market Data'!$B$5:$B$528,$T49)))</f>
        <v/>
      </c>
      <c r="C49" s="9">
        <f>IF($T49=0,"",IF(INDEX('Market Data'!$C$5:$C$528,$T49)="","",INDEX('Market Data'!$C$5:$C$528,$T49)))</f>
        <v/>
      </c>
      <c r="D49" s="9">
        <f>IF($T49=0,"",IF(INDEX('Market Data'!$D$5:$D$528,$T49)="","",INDEX('Market Data'!$D$5:$D$528,$T49)))</f>
        <v/>
      </c>
      <c r="E49" s="10">
        <f>IF($T49=0,"",INDEX('Market Data'!$AY$5:$AY$528,$T49))</f>
        <v/>
      </c>
      <c r="F49" s="11">
        <f>IF($T49=0,"",IF(AND($I49="Bloomberg",ISNUMBER(INDEX('Market Data'!$L$5:$L$528,$T49))),INDEX('Market Data'!$L$5:$L$528,$T49),"unavailable"))</f>
        <v/>
      </c>
      <c r="G49" s="12">
        <f>IF($T49=0,"",IF($I49="Bloomberg",IF(AND(ISNUMBER(INDEX('Market Data'!$M$5:$M$528,$T49)),N(INDEX('Market Data'!$M$5:$M$528,$T49))&gt;0),INDEX('Market Data'!$M$5:$M$528,$T49),"date unavailable"),IF($I49="Snapshot",IF(AND(ISNUMBER(INDEX('Market Data'!$H$5:$H$528,$T49)),N(INDEX('Market Data'!$H$5:$H$528,$T49))&gt;0),INDEX('Market Data'!$H$5:$H$528,$T49),"date unavailable"),"date unavailable")))</f>
        <v/>
      </c>
      <c r="H49" s="9">
        <f>IF($T49=0,"",IF($I49="Bloomberg",IF(INDEX('Market Data'!$N$5:$N$528,$T49)="","time unavailable",INDEX('Market Data'!$N$5:$N$528,$T49)),""))</f>
        <v/>
      </c>
      <c r="I49" s="9">
        <f>IF($T49=0,"",INDEX('Market Data'!$AZ$5:$AZ$528,$T49))</f>
        <v/>
      </c>
      <c r="J49" s="13">
        <f>IF($T49=0,"",IF(INDEX('Market Data'!$E$5:$E$528,$T49)="","",INDEX('Market Data'!$E$5:$E$528,$T49)))</f>
        <v/>
      </c>
      <c r="K49" s="8">
        <f>IF($T49=0,"",IF(INDEX('Market Data'!$I$5:$I$528,$T49)="","",INDEX('Market Data'!$I$5:$I$528,$T49)))</f>
        <v/>
      </c>
      <c r="L49" s="10">
        <f>IF($T49=0,"",IF(INDEX('Market Data'!$J$5:$J$528,$T49)=0,"n/a",IF(AND($M$5&lt;&gt;"Snapshot",ISNUMBER(INDEX('Market Data'!$AH$5:$AH$66,INDEX('Market Data'!$J$5:$J$528,$T49)-4)),N(INDEX('Market Data'!$AH$5:$AH$66,INDEX('Market Data'!$J$5:$J$528,$T49)-4))&gt;0),INDEX('Market Data'!$AH$5:$AH$66,INDEX('Market Data'!$J$5:$J$528,$T49)-4),IF(AND($M$5&lt;&gt;"Bloomberg",ISNUMBER(INDEX('Market Data'!$AC$5:$AC$66,INDEX('Market Data'!$J$5:$J$528,$T49)-4)),N(INDEX('Market Data'!$AC$5:$AC$66,INDEX('Market Data'!$J$5:$J$528,$T49)-4))&gt;0),INDEX('Market Data'!$AC$5:$AC$66,INDEX('Market Data'!$J$5:$J$528,$T49)-4),"unavailable"))))</f>
        <v/>
      </c>
      <c r="M49" s="11">
        <f>IF($T49=0,"",IF(INDEX('Market Data'!$J$5:$J$528,$T49)=0,"n/a",IF(IF(INDEX('Market Data'!$J$5:$J$528,$T49)=0,0,IF(LEFT(INDEX('Market Data'!$AS$5:$AS$66,INDEX('Market Data'!$J$5:$J$528,$T49)-4),11)="First-month",1,0))=1,"class review",IF($I49="Bloomberg",IF(AND($Q49="Bloomberg",ISNUMBER('Market Data'!$B$1),N('Market Data'!$B$1)&gt;0),$L49*'Market Data'!$B$1/$E49-1,"pending A/FX"),IF($I49="Snapshot",IF(AND($Q49="Snapshot",$G49=INDEX('Market Data'!$AE$5:$AE$66,INDEX('Market Data'!$J$5:$J$528,$T49)-4)),IFERROR($L49*INDEX('Market Data'!$AD$5:$AD$66,INDEX('Market Data'!$J$5:$J$528,$T49)-4)/$E49-1,"unavailable"),"date mismatch"),"unavailable")))))</f>
        <v/>
      </c>
      <c r="N49" s="11">
        <f>IF($T49=0,"",IFERROR(IF(AND(N(INDEX('Market Data'!$F$5:$F$528,$T49))&gt;0,ISNUMBER(INDEX('Market Data'!$BB$5:$BB$528,$T49))),$E49*INDEX('Market Data'!$BB$5:$BB$528,$T49)/INDEX('Market Data'!$F$5:$F$528,$T49)-1,"unavailable"),"unavailable"))</f>
        <v/>
      </c>
      <c r="O49" s="9">
        <f>IF($T49=0,"",IF(IF(INDEX('Market Data'!$J$5:$J$528,$T49)=0,0,IF(LEFT(INDEX('Market Data'!$AS$5:$AS$66,INDEX('Market Data'!$J$5:$J$528,$T49)-4),11)="First-month",1,0))=1,"Class ratio review",IF($I49="Bloomberg",IF(ISNUMBER($G49),IF($G49&lt;TODAY(),"Older quote","See quote time"),"Date unavailable"),IF($I49="Snapshot",IF($G49&lt;DATEVALUE("2026-10-02"),"Older snapshot","Dated close"),"No valid quote"))))</f>
        <v/>
      </c>
      <c r="P49" s="14">
        <f>IF($T49=0,"",IF(INDEX('Market Data'!$J$5:$J$528,$T49)=0,"n/a",IF($Q49="Bloomberg",IF(AND(ISNUMBER(INDEX('Market Data'!$AK$5:$AK$66,INDEX('Market Data'!$J$5:$J$528,$T49)-4)),N(INDEX('Market Data'!$AK$5:$AK$66,INDEX('Market Data'!$J$5:$J$528,$T49)-4))&gt;0),INDEX('Market Data'!$AK$5:$AK$66,INDEX('Market Data'!$J$5:$J$528,$T49)-4),"date unavailable"),IF($Q49="Snapshot",IF(AND(ISNUMBER(INDEX('Market Data'!$AF$5:$AF$66,INDEX('Market Data'!$J$5:$J$528,$T49)-4)),N(INDEX('Market Data'!$AF$5:$AF$66,INDEX('Market Data'!$J$5:$J$528,$T49)-4))&gt;0),INDEX('Market Data'!$AF$5:$AF$66,INDEX('Market Data'!$J$5:$J$528,$T49)-4),"date unavailable"),"date unavailable"))))</f>
        <v/>
      </c>
      <c r="Q49" s="15">
        <f>IF($T49=0,"",IF(INDEX('Market Data'!$J$5:$J$528,$T49)=0,"n/a",IF(AND($M$5&lt;&gt;"Snapshot",ISNUMBER(INDEX('Market Data'!$AH$5:$AH$66,INDEX('Market Data'!$J$5:$J$528,$T49)-4)),N(INDEX('Market Data'!$AH$5:$AH$66,INDEX('Market Data'!$J$5:$J$528,$T49)-4))&gt;0),"Bloomberg",IF(AND($M$5&lt;&gt;"Bloomberg",ISNUMBER(INDEX('Market Data'!$AC$5:$AC$66,INDEX('Market Data'!$J$5:$J$528,$T49)-4)),N(INDEX('Market Data'!$AC$5:$AC$66,INDEX('Market Data'!$J$5:$J$528,$T49)-4))&gt;0),"Snapshot","Unavailable"))))</f>
        <v/>
      </c>
      <c r="T49">
        <f>IFERROR(MATCH(13,'Market Data'!$AX$5:$AX$528,0),0)</f>
        <v/>
      </c>
    </row>
    <row r="50" ht="34" customHeight="1">
      <c r="A50" s="8">
        <f>IF($T50=0,"",IF(INDEX('Market Data'!$A$5:$A$528,$T50)="","",INDEX('Market Data'!$A$5:$A$528,$T50)))</f>
        <v/>
      </c>
      <c r="B50" s="9">
        <f>IF($T50=0,"",IF(INDEX('Market Data'!$B$5:$B$528,$T50)="","",INDEX('Market Data'!$B$5:$B$528,$T50)))</f>
        <v/>
      </c>
      <c r="C50" s="9">
        <f>IF($T50=0,"",IF(INDEX('Market Data'!$C$5:$C$528,$T50)="","",INDEX('Market Data'!$C$5:$C$528,$T50)))</f>
        <v/>
      </c>
      <c r="D50" s="9">
        <f>IF($T50=0,"",IF(INDEX('Market Data'!$D$5:$D$528,$T50)="","",INDEX('Market Data'!$D$5:$D$528,$T50)))</f>
        <v/>
      </c>
      <c r="E50" s="10">
        <f>IF($T50=0,"",INDEX('Market Data'!$AY$5:$AY$528,$T50))</f>
        <v/>
      </c>
      <c r="F50" s="11">
        <f>IF($T50=0,"",IF(AND($I50="Bloomberg",ISNUMBER(INDEX('Market Data'!$L$5:$L$528,$T50))),INDEX('Market Data'!$L$5:$L$528,$T50),"unavailable"))</f>
        <v/>
      </c>
      <c r="G50" s="12">
        <f>IF($T50=0,"",IF($I50="Bloomberg",IF(AND(ISNUMBER(INDEX('Market Data'!$M$5:$M$528,$T50)),N(INDEX('Market Data'!$M$5:$M$528,$T50))&gt;0),INDEX('Market Data'!$M$5:$M$528,$T50),"date unavailable"),IF($I50="Snapshot",IF(AND(ISNUMBER(INDEX('Market Data'!$H$5:$H$528,$T50)),N(INDEX('Market Data'!$H$5:$H$528,$T50))&gt;0),INDEX('Market Data'!$H$5:$H$528,$T50),"date unavailable"),"date unavailable")))</f>
        <v/>
      </c>
      <c r="H50" s="9">
        <f>IF($T50=0,"",IF($I50="Bloomberg",IF(INDEX('Market Data'!$N$5:$N$528,$T50)="","time unavailable",INDEX('Market Data'!$N$5:$N$528,$T50)),""))</f>
        <v/>
      </c>
      <c r="I50" s="9">
        <f>IF($T50=0,"",INDEX('Market Data'!$AZ$5:$AZ$528,$T50))</f>
        <v/>
      </c>
      <c r="J50" s="13">
        <f>IF($T50=0,"",IF(INDEX('Market Data'!$E$5:$E$528,$T50)="","",INDEX('Market Data'!$E$5:$E$528,$T50)))</f>
        <v/>
      </c>
      <c r="K50" s="8">
        <f>IF($T50=0,"",IF(INDEX('Market Data'!$I$5:$I$528,$T50)="","",INDEX('Market Data'!$I$5:$I$528,$T50)))</f>
        <v/>
      </c>
      <c r="L50" s="10">
        <f>IF($T50=0,"",IF(INDEX('Market Data'!$J$5:$J$528,$T50)=0,"n/a",IF(AND($M$5&lt;&gt;"Snapshot",ISNUMBER(INDEX('Market Data'!$AH$5:$AH$66,INDEX('Market Data'!$J$5:$J$528,$T50)-4)),N(INDEX('Market Data'!$AH$5:$AH$66,INDEX('Market Data'!$J$5:$J$528,$T50)-4))&gt;0),INDEX('Market Data'!$AH$5:$AH$66,INDEX('Market Data'!$J$5:$J$528,$T50)-4),IF(AND($M$5&lt;&gt;"Bloomberg",ISNUMBER(INDEX('Market Data'!$AC$5:$AC$66,INDEX('Market Data'!$J$5:$J$528,$T50)-4)),N(INDEX('Market Data'!$AC$5:$AC$66,INDEX('Market Data'!$J$5:$J$528,$T50)-4))&gt;0),INDEX('Market Data'!$AC$5:$AC$66,INDEX('Market Data'!$J$5:$J$528,$T50)-4),"unavailable"))))</f>
        <v/>
      </c>
      <c r="M50" s="11">
        <f>IF($T50=0,"",IF(INDEX('Market Data'!$J$5:$J$528,$T50)=0,"n/a",IF(IF(INDEX('Market Data'!$J$5:$J$528,$T50)=0,0,IF(LEFT(INDEX('Market Data'!$AS$5:$AS$66,INDEX('Market Data'!$J$5:$J$528,$T50)-4),11)="First-month",1,0))=1,"class review",IF($I50="Bloomberg",IF(AND($Q50="Bloomberg",ISNUMBER('Market Data'!$B$1),N('Market Data'!$B$1)&gt;0),$L50*'Market Data'!$B$1/$E50-1,"pending A/FX"),IF($I50="Snapshot",IF(AND($Q50="Snapshot",$G50=INDEX('Market Data'!$AE$5:$AE$66,INDEX('Market Data'!$J$5:$J$528,$T50)-4)),IFERROR($L50*INDEX('Market Data'!$AD$5:$AD$66,INDEX('Market Data'!$J$5:$J$528,$T50)-4)/$E50-1,"unavailable"),"date mismatch"),"unavailable")))))</f>
        <v/>
      </c>
      <c r="N50" s="11">
        <f>IF($T50=0,"",IFERROR(IF(AND(N(INDEX('Market Data'!$F$5:$F$528,$T50))&gt;0,ISNUMBER(INDEX('Market Data'!$BB$5:$BB$528,$T50))),$E50*INDEX('Market Data'!$BB$5:$BB$528,$T50)/INDEX('Market Data'!$F$5:$F$528,$T50)-1,"unavailable"),"unavailable"))</f>
        <v/>
      </c>
      <c r="O50" s="9">
        <f>IF($T50=0,"",IF(IF(INDEX('Market Data'!$J$5:$J$528,$T50)=0,0,IF(LEFT(INDEX('Market Data'!$AS$5:$AS$66,INDEX('Market Data'!$J$5:$J$528,$T50)-4),11)="First-month",1,0))=1,"Class ratio review",IF($I50="Bloomberg",IF(ISNUMBER($G50),IF($G50&lt;TODAY(),"Older quote","See quote time"),"Date unavailable"),IF($I50="Snapshot",IF($G50&lt;DATEVALUE("2026-10-02"),"Older snapshot","Dated close"),"No valid quote"))))</f>
        <v/>
      </c>
      <c r="P50" s="14">
        <f>IF($T50=0,"",IF(INDEX('Market Data'!$J$5:$J$528,$T50)=0,"n/a",IF($Q50="Bloomberg",IF(AND(ISNUMBER(INDEX('Market Data'!$AK$5:$AK$66,INDEX('Market Data'!$J$5:$J$528,$T50)-4)),N(INDEX('Market Data'!$AK$5:$AK$66,INDEX('Market Data'!$J$5:$J$528,$T50)-4))&gt;0),INDEX('Market Data'!$AK$5:$AK$66,INDEX('Market Data'!$J$5:$J$528,$T50)-4),"date unavailable"),IF($Q50="Snapshot",IF(AND(ISNUMBER(INDEX('Market Data'!$AF$5:$AF$66,INDEX('Market Data'!$J$5:$J$528,$T50)-4)),N(INDEX('Market Data'!$AF$5:$AF$66,INDEX('Market Data'!$J$5:$J$528,$T50)-4))&gt;0),INDEX('Market Data'!$AF$5:$AF$66,INDEX('Market Data'!$J$5:$J$528,$T50)-4),"date unavailable"),"date unavailable"))))</f>
        <v/>
      </c>
      <c r="Q50" s="15">
        <f>IF($T50=0,"",IF(INDEX('Market Data'!$J$5:$J$528,$T50)=0,"n/a",IF(AND($M$5&lt;&gt;"Snapshot",ISNUMBER(INDEX('Market Data'!$AH$5:$AH$66,INDEX('Market Data'!$J$5:$J$528,$T50)-4)),N(INDEX('Market Data'!$AH$5:$AH$66,INDEX('Market Data'!$J$5:$J$528,$T50)-4))&gt;0),"Bloomberg",IF(AND($M$5&lt;&gt;"Bloomberg",ISNUMBER(INDEX('Market Data'!$AC$5:$AC$66,INDEX('Market Data'!$J$5:$J$528,$T50)-4)),N(INDEX('Market Data'!$AC$5:$AC$66,INDEX('Market Data'!$J$5:$J$528,$T50)-4))&gt;0),"Snapshot","Unavailable"))))</f>
        <v/>
      </c>
      <c r="T50">
        <f>IFERROR(MATCH(14,'Market Data'!$AX$5:$AX$528,0),0)</f>
        <v/>
      </c>
    </row>
    <row r="51" ht="34" customHeight="1">
      <c r="A51" s="8">
        <f>IF($T51=0,"",IF(INDEX('Market Data'!$A$5:$A$528,$T51)="","",INDEX('Market Data'!$A$5:$A$528,$T51)))</f>
        <v/>
      </c>
      <c r="B51" s="9">
        <f>IF($T51=0,"",IF(INDEX('Market Data'!$B$5:$B$528,$T51)="","",INDEX('Market Data'!$B$5:$B$528,$T51)))</f>
        <v/>
      </c>
      <c r="C51" s="9">
        <f>IF($T51=0,"",IF(INDEX('Market Data'!$C$5:$C$528,$T51)="","",INDEX('Market Data'!$C$5:$C$528,$T51)))</f>
        <v/>
      </c>
      <c r="D51" s="9">
        <f>IF($T51=0,"",IF(INDEX('Market Data'!$D$5:$D$528,$T51)="","",INDEX('Market Data'!$D$5:$D$528,$T51)))</f>
        <v/>
      </c>
      <c r="E51" s="10">
        <f>IF($T51=0,"",INDEX('Market Data'!$AY$5:$AY$528,$T51))</f>
        <v/>
      </c>
      <c r="F51" s="11">
        <f>IF($T51=0,"",IF(AND($I51="Bloomberg",ISNUMBER(INDEX('Market Data'!$L$5:$L$528,$T51))),INDEX('Market Data'!$L$5:$L$528,$T51),"unavailable"))</f>
        <v/>
      </c>
      <c r="G51" s="12">
        <f>IF($T51=0,"",IF($I51="Bloomberg",IF(AND(ISNUMBER(INDEX('Market Data'!$M$5:$M$528,$T51)),N(INDEX('Market Data'!$M$5:$M$528,$T51))&gt;0),INDEX('Market Data'!$M$5:$M$528,$T51),"date unavailable"),IF($I51="Snapshot",IF(AND(ISNUMBER(INDEX('Market Data'!$H$5:$H$528,$T51)),N(INDEX('Market Data'!$H$5:$H$528,$T51))&gt;0),INDEX('Market Data'!$H$5:$H$528,$T51),"date unavailable"),"date unavailable")))</f>
        <v/>
      </c>
      <c r="H51" s="9">
        <f>IF($T51=0,"",IF($I51="Bloomberg",IF(INDEX('Market Data'!$N$5:$N$528,$T51)="","time unavailable",INDEX('Market Data'!$N$5:$N$528,$T51)),""))</f>
        <v/>
      </c>
      <c r="I51" s="9">
        <f>IF($T51=0,"",INDEX('Market Data'!$AZ$5:$AZ$528,$T51))</f>
        <v/>
      </c>
      <c r="J51" s="13">
        <f>IF($T51=0,"",IF(INDEX('Market Data'!$E$5:$E$528,$T51)="","",INDEX('Market Data'!$E$5:$E$528,$T51)))</f>
        <v/>
      </c>
      <c r="K51" s="8">
        <f>IF($T51=0,"",IF(INDEX('Market Data'!$I$5:$I$528,$T51)="","",INDEX('Market Data'!$I$5:$I$528,$T51)))</f>
        <v/>
      </c>
      <c r="L51" s="10">
        <f>IF($T51=0,"",IF(INDEX('Market Data'!$J$5:$J$528,$T51)=0,"n/a",IF(AND($M$5&lt;&gt;"Snapshot",ISNUMBER(INDEX('Market Data'!$AH$5:$AH$66,INDEX('Market Data'!$J$5:$J$528,$T51)-4)),N(INDEX('Market Data'!$AH$5:$AH$66,INDEX('Market Data'!$J$5:$J$528,$T51)-4))&gt;0),INDEX('Market Data'!$AH$5:$AH$66,INDEX('Market Data'!$J$5:$J$528,$T51)-4),IF(AND($M$5&lt;&gt;"Bloomberg",ISNUMBER(INDEX('Market Data'!$AC$5:$AC$66,INDEX('Market Data'!$J$5:$J$528,$T51)-4)),N(INDEX('Market Data'!$AC$5:$AC$66,INDEX('Market Data'!$J$5:$J$528,$T51)-4))&gt;0),INDEX('Market Data'!$AC$5:$AC$66,INDEX('Market Data'!$J$5:$J$528,$T51)-4),"unavailable"))))</f>
        <v/>
      </c>
      <c r="M51" s="11">
        <f>IF($T51=0,"",IF(INDEX('Market Data'!$J$5:$J$528,$T51)=0,"n/a",IF(IF(INDEX('Market Data'!$J$5:$J$528,$T51)=0,0,IF(LEFT(INDEX('Market Data'!$AS$5:$AS$66,INDEX('Market Data'!$J$5:$J$528,$T51)-4),11)="First-month",1,0))=1,"class review",IF($I51="Bloomberg",IF(AND($Q51="Bloomberg",ISNUMBER('Market Data'!$B$1),N('Market Data'!$B$1)&gt;0),$L51*'Market Data'!$B$1/$E51-1,"pending A/FX"),IF($I51="Snapshot",IF(AND($Q51="Snapshot",$G51=INDEX('Market Data'!$AE$5:$AE$66,INDEX('Market Data'!$J$5:$J$528,$T51)-4)),IFERROR($L51*INDEX('Market Data'!$AD$5:$AD$66,INDEX('Market Data'!$J$5:$J$528,$T51)-4)/$E51-1,"unavailable"),"date mismatch"),"unavailable")))))</f>
        <v/>
      </c>
      <c r="N51" s="11">
        <f>IF($T51=0,"",IFERROR(IF(AND(N(INDEX('Market Data'!$F$5:$F$528,$T51))&gt;0,ISNUMBER(INDEX('Market Data'!$BB$5:$BB$528,$T51))),$E51*INDEX('Market Data'!$BB$5:$BB$528,$T51)/INDEX('Market Data'!$F$5:$F$528,$T51)-1,"unavailable"),"unavailable"))</f>
        <v/>
      </c>
      <c r="O51" s="9">
        <f>IF($T51=0,"",IF(IF(INDEX('Market Data'!$J$5:$J$528,$T51)=0,0,IF(LEFT(INDEX('Market Data'!$AS$5:$AS$66,INDEX('Market Data'!$J$5:$J$528,$T51)-4),11)="First-month",1,0))=1,"Class ratio review",IF($I51="Bloomberg",IF(ISNUMBER($G51),IF($G51&lt;TODAY(),"Older quote","See quote time"),"Date unavailable"),IF($I51="Snapshot",IF($G51&lt;DATEVALUE("2026-10-02"),"Older snapshot","Dated close"),"No valid quote"))))</f>
        <v/>
      </c>
      <c r="P51" s="14">
        <f>IF($T51=0,"",IF(INDEX('Market Data'!$J$5:$J$528,$T51)=0,"n/a",IF($Q51="Bloomberg",IF(AND(ISNUMBER(INDEX('Market Data'!$AK$5:$AK$66,INDEX('Market Data'!$J$5:$J$528,$T51)-4)),N(INDEX('Market Data'!$AK$5:$AK$66,INDEX('Market Data'!$J$5:$J$528,$T51)-4))&gt;0),INDEX('Market Data'!$AK$5:$AK$66,INDEX('Market Data'!$J$5:$J$528,$T51)-4),"date unavailable"),IF($Q51="Snapshot",IF(AND(ISNUMBER(INDEX('Market Data'!$AF$5:$AF$66,INDEX('Market Data'!$J$5:$J$528,$T51)-4)),N(INDEX('Market Data'!$AF$5:$AF$66,INDEX('Market Data'!$J$5:$J$528,$T51)-4))&gt;0),INDEX('Market Data'!$AF$5:$AF$66,INDEX('Market Data'!$J$5:$J$528,$T51)-4),"date unavailable"),"date unavailable"))))</f>
        <v/>
      </c>
      <c r="Q51" s="15">
        <f>IF($T51=0,"",IF(INDEX('Market Data'!$J$5:$J$528,$T51)=0,"n/a",IF(AND($M$5&lt;&gt;"Snapshot",ISNUMBER(INDEX('Market Data'!$AH$5:$AH$66,INDEX('Market Data'!$J$5:$J$528,$T51)-4)),N(INDEX('Market Data'!$AH$5:$AH$66,INDEX('Market Data'!$J$5:$J$528,$T51)-4))&gt;0),"Bloomberg",IF(AND($M$5&lt;&gt;"Bloomberg",ISNUMBER(INDEX('Market Data'!$AC$5:$AC$66,INDEX('Market Data'!$J$5:$J$528,$T51)-4)),N(INDEX('Market Data'!$AC$5:$AC$66,INDEX('Market Data'!$J$5:$J$528,$T51)-4))&gt;0),"Snapshot","Unavailable"))))</f>
        <v/>
      </c>
      <c r="T51">
        <f>IFERROR(MATCH(15,'Market Data'!$AX$5:$AX$528,0),0)</f>
        <v/>
      </c>
    </row>
    <row r="52" ht="34" customHeight="1">
      <c r="A52" s="8">
        <f>IF($T52=0,"",IF(INDEX('Market Data'!$A$5:$A$528,$T52)="","",INDEX('Market Data'!$A$5:$A$528,$T52)))</f>
        <v/>
      </c>
      <c r="B52" s="9">
        <f>IF($T52=0,"",IF(INDEX('Market Data'!$B$5:$B$528,$T52)="","",INDEX('Market Data'!$B$5:$B$528,$T52)))</f>
        <v/>
      </c>
      <c r="C52" s="9">
        <f>IF($T52=0,"",IF(INDEX('Market Data'!$C$5:$C$528,$T52)="","",INDEX('Market Data'!$C$5:$C$528,$T52)))</f>
        <v/>
      </c>
      <c r="D52" s="9">
        <f>IF($T52=0,"",IF(INDEX('Market Data'!$D$5:$D$528,$T52)="","",INDEX('Market Data'!$D$5:$D$528,$T52)))</f>
        <v/>
      </c>
      <c r="E52" s="10">
        <f>IF($T52=0,"",INDEX('Market Data'!$AY$5:$AY$528,$T52))</f>
        <v/>
      </c>
      <c r="F52" s="11">
        <f>IF($T52=0,"",IF(AND($I52="Bloomberg",ISNUMBER(INDEX('Market Data'!$L$5:$L$528,$T52))),INDEX('Market Data'!$L$5:$L$528,$T52),"unavailable"))</f>
        <v/>
      </c>
      <c r="G52" s="12">
        <f>IF($T52=0,"",IF($I52="Bloomberg",IF(AND(ISNUMBER(INDEX('Market Data'!$M$5:$M$528,$T52)),N(INDEX('Market Data'!$M$5:$M$528,$T52))&gt;0),INDEX('Market Data'!$M$5:$M$528,$T52),"date unavailable"),IF($I52="Snapshot",IF(AND(ISNUMBER(INDEX('Market Data'!$H$5:$H$528,$T52)),N(INDEX('Market Data'!$H$5:$H$528,$T52))&gt;0),INDEX('Market Data'!$H$5:$H$528,$T52),"date unavailable"),"date unavailable")))</f>
        <v/>
      </c>
      <c r="H52" s="9">
        <f>IF($T52=0,"",IF($I52="Bloomberg",IF(INDEX('Market Data'!$N$5:$N$528,$T52)="","time unavailable",INDEX('Market Data'!$N$5:$N$528,$T52)),""))</f>
        <v/>
      </c>
      <c r="I52" s="9">
        <f>IF($T52=0,"",INDEX('Market Data'!$AZ$5:$AZ$528,$T52))</f>
        <v/>
      </c>
      <c r="J52" s="13">
        <f>IF($T52=0,"",IF(INDEX('Market Data'!$E$5:$E$528,$T52)="","",INDEX('Market Data'!$E$5:$E$528,$T52)))</f>
        <v/>
      </c>
      <c r="K52" s="8">
        <f>IF($T52=0,"",IF(INDEX('Market Data'!$I$5:$I$528,$T52)="","",INDEX('Market Data'!$I$5:$I$528,$T52)))</f>
        <v/>
      </c>
      <c r="L52" s="10">
        <f>IF($T52=0,"",IF(INDEX('Market Data'!$J$5:$J$528,$T52)=0,"n/a",IF(AND($M$5&lt;&gt;"Snapshot",ISNUMBER(INDEX('Market Data'!$AH$5:$AH$66,INDEX('Market Data'!$J$5:$J$528,$T52)-4)),N(INDEX('Market Data'!$AH$5:$AH$66,INDEX('Market Data'!$J$5:$J$528,$T52)-4))&gt;0),INDEX('Market Data'!$AH$5:$AH$66,INDEX('Market Data'!$J$5:$J$528,$T52)-4),IF(AND($M$5&lt;&gt;"Bloomberg",ISNUMBER(INDEX('Market Data'!$AC$5:$AC$66,INDEX('Market Data'!$J$5:$J$528,$T52)-4)),N(INDEX('Market Data'!$AC$5:$AC$66,INDEX('Market Data'!$J$5:$J$528,$T52)-4))&gt;0),INDEX('Market Data'!$AC$5:$AC$66,INDEX('Market Data'!$J$5:$J$528,$T52)-4),"unavailable"))))</f>
        <v/>
      </c>
      <c r="M52" s="11">
        <f>IF($T52=0,"",IF(INDEX('Market Data'!$J$5:$J$528,$T52)=0,"n/a",IF(IF(INDEX('Market Data'!$J$5:$J$528,$T52)=0,0,IF(LEFT(INDEX('Market Data'!$AS$5:$AS$66,INDEX('Market Data'!$J$5:$J$528,$T52)-4),11)="First-month",1,0))=1,"class review",IF($I52="Bloomberg",IF(AND($Q52="Bloomberg",ISNUMBER('Market Data'!$B$1),N('Market Data'!$B$1)&gt;0),$L52*'Market Data'!$B$1/$E52-1,"pending A/FX"),IF($I52="Snapshot",IF(AND($Q52="Snapshot",$G52=INDEX('Market Data'!$AE$5:$AE$66,INDEX('Market Data'!$J$5:$J$528,$T52)-4)),IFERROR($L52*INDEX('Market Data'!$AD$5:$AD$66,INDEX('Market Data'!$J$5:$J$528,$T52)-4)/$E52-1,"unavailable"),"date mismatch"),"unavailable")))))</f>
        <v/>
      </c>
      <c r="N52" s="11">
        <f>IF($T52=0,"",IFERROR(IF(AND(N(INDEX('Market Data'!$F$5:$F$528,$T52))&gt;0,ISNUMBER(INDEX('Market Data'!$BB$5:$BB$528,$T52))),$E52*INDEX('Market Data'!$BB$5:$BB$528,$T52)/INDEX('Market Data'!$F$5:$F$528,$T52)-1,"unavailable"),"unavailable"))</f>
        <v/>
      </c>
      <c r="O52" s="9">
        <f>IF($T52=0,"",IF(IF(INDEX('Market Data'!$J$5:$J$528,$T52)=0,0,IF(LEFT(INDEX('Market Data'!$AS$5:$AS$66,INDEX('Market Data'!$J$5:$J$528,$T52)-4),11)="First-month",1,0))=1,"Class ratio review",IF($I52="Bloomberg",IF(ISNUMBER($G52),IF($G52&lt;TODAY(),"Older quote","See quote time"),"Date unavailable"),IF($I52="Snapshot",IF($G52&lt;DATEVALUE("2026-10-02"),"Older snapshot","Dated close"),"No valid quote"))))</f>
        <v/>
      </c>
      <c r="P52" s="14">
        <f>IF($T52=0,"",IF(INDEX('Market Data'!$J$5:$J$528,$T52)=0,"n/a",IF($Q52="Bloomberg",IF(AND(ISNUMBER(INDEX('Market Data'!$AK$5:$AK$66,INDEX('Market Data'!$J$5:$J$528,$T52)-4)),N(INDEX('Market Data'!$AK$5:$AK$66,INDEX('Market Data'!$J$5:$J$528,$T52)-4))&gt;0),INDEX('Market Data'!$AK$5:$AK$66,INDEX('Market Data'!$J$5:$J$528,$T52)-4),"date unavailable"),IF($Q52="Snapshot",IF(AND(ISNUMBER(INDEX('Market Data'!$AF$5:$AF$66,INDEX('Market Data'!$J$5:$J$528,$T52)-4)),N(INDEX('Market Data'!$AF$5:$AF$66,INDEX('Market Data'!$J$5:$J$528,$T52)-4))&gt;0),INDEX('Market Data'!$AF$5:$AF$66,INDEX('Market Data'!$J$5:$J$528,$T52)-4),"date unavailable"),"date unavailable"))))</f>
        <v/>
      </c>
      <c r="Q52" s="15">
        <f>IF($T52=0,"",IF(INDEX('Market Data'!$J$5:$J$528,$T52)=0,"n/a",IF(AND($M$5&lt;&gt;"Snapshot",ISNUMBER(INDEX('Market Data'!$AH$5:$AH$66,INDEX('Market Data'!$J$5:$J$528,$T52)-4)),N(INDEX('Market Data'!$AH$5:$AH$66,INDEX('Market Data'!$J$5:$J$528,$T52)-4))&gt;0),"Bloomberg",IF(AND($M$5&lt;&gt;"Bloomberg",ISNUMBER(INDEX('Market Data'!$AC$5:$AC$66,INDEX('Market Data'!$J$5:$J$528,$T52)-4)),N(INDEX('Market Data'!$AC$5:$AC$66,INDEX('Market Data'!$J$5:$J$528,$T52)-4))&gt;0),"Snapshot","Unavailable"))))</f>
        <v/>
      </c>
      <c r="T52">
        <f>IFERROR(MATCH(16,'Market Data'!$AX$5:$AX$528,0),0)</f>
        <v/>
      </c>
    </row>
    <row r="53" ht="34" customHeight="1">
      <c r="A53" s="8">
        <f>IF($T53=0,"",IF(INDEX('Market Data'!$A$5:$A$528,$T53)="","",INDEX('Market Data'!$A$5:$A$528,$T53)))</f>
        <v/>
      </c>
      <c r="B53" s="9">
        <f>IF($T53=0,"",IF(INDEX('Market Data'!$B$5:$B$528,$T53)="","",INDEX('Market Data'!$B$5:$B$528,$T53)))</f>
        <v/>
      </c>
      <c r="C53" s="9">
        <f>IF($T53=0,"",IF(INDEX('Market Data'!$C$5:$C$528,$T53)="","",INDEX('Market Data'!$C$5:$C$528,$T53)))</f>
        <v/>
      </c>
      <c r="D53" s="9">
        <f>IF($T53=0,"",IF(INDEX('Market Data'!$D$5:$D$528,$T53)="","",INDEX('Market Data'!$D$5:$D$528,$T53)))</f>
        <v/>
      </c>
      <c r="E53" s="10">
        <f>IF($T53=0,"",INDEX('Market Data'!$AY$5:$AY$528,$T53))</f>
        <v/>
      </c>
      <c r="F53" s="11">
        <f>IF($T53=0,"",IF(AND($I53="Bloomberg",ISNUMBER(INDEX('Market Data'!$L$5:$L$528,$T53))),INDEX('Market Data'!$L$5:$L$528,$T53),"unavailable"))</f>
        <v/>
      </c>
      <c r="G53" s="12">
        <f>IF($T53=0,"",IF($I53="Bloomberg",IF(AND(ISNUMBER(INDEX('Market Data'!$M$5:$M$528,$T53)),N(INDEX('Market Data'!$M$5:$M$528,$T53))&gt;0),INDEX('Market Data'!$M$5:$M$528,$T53),"date unavailable"),IF($I53="Snapshot",IF(AND(ISNUMBER(INDEX('Market Data'!$H$5:$H$528,$T53)),N(INDEX('Market Data'!$H$5:$H$528,$T53))&gt;0),INDEX('Market Data'!$H$5:$H$528,$T53),"date unavailable"),"date unavailable")))</f>
        <v/>
      </c>
      <c r="H53" s="9">
        <f>IF($T53=0,"",IF($I53="Bloomberg",IF(INDEX('Market Data'!$N$5:$N$528,$T53)="","time unavailable",INDEX('Market Data'!$N$5:$N$528,$T53)),""))</f>
        <v/>
      </c>
      <c r="I53" s="9">
        <f>IF($T53=0,"",INDEX('Market Data'!$AZ$5:$AZ$528,$T53))</f>
        <v/>
      </c>
      <c r="J53" s="13">
        <f>IF($T53=0,"",IF(INDEX('Market Data'!$E$5:$E$528,$T53)="","",INDEX('Market Data'!$E$5:$E$528,$T53)))</f>
        <v/>
      </c>
      <c r="K53" s="8">
        <f>IF($T53=0,"",IF(INDEX('Market Data'!$I$5:$I$528,$T53)="","",INDEX('Market Data'!$I$5:$I$528,$T53)))</f>
        <v/>
      </c>
      <c r="L53" s="10">
        <f>IF($T53=0,"",IF(INDEX('Market Data'!$J$5:$J$528,$T53)=0,"n/a",IF(AND($M$5&lt;&gt;"Snapshot",ISNUMBER(INDEX('Market Data'!$AH$5:$AH$66,INDEX('Market Data'!$J$5:$J$528,$T53)-4)),N(INDEX('Market Data'!$AH$5:$AH$66,INDEX('Market Data'!$J$5:$J$528,$T53)-4))&gt;0),INDEX('Market Data'!$AH$5:$AH$66,INDEX('Market Data'!$J$5:$J$528,$T53)-4),IF(AND($M$5&lt;&gt;"Bloomberg",ISNUMBER(INDEX('Market Data'!$AC$5:$AC$66,INDEX('Market Data'!$J$5:$J$528,$T53)-4)),N(INDEX('Market Data'!$AC$5:$AC$66,INDEX('Market Data'!$J$5:$J$528,$T53)-4))&gt;0),INDEX('Market Data'!$AC$5:$AC$66,INDEX('Market Data'!$J$5:$J$528,$T53)-4),"unavailable"))))</f>
        <v/>
      </c>
      <c r="M53" s="11">
        <f>IF($T53=0,"",IF(INDEX('Market Data'!$J$5:$J$528,$T53)=0,"n/a",IF(IF(INDEX('Market Data'!$J$5:$J$528,$T53)=0,0,IF(LEFT(INDEX('Market Data'!$AS$5:$AS$66,INDEX('Market Data'!$J$5:$J$528,$T53)-4),11)="First-month",1,0))=1,"class review",IF($I53="Bloomberg",IF(AND($Q53="Bloomberg",ISNUMBER('Market Data'!$B$1),N('Market Data'!$B$1)&gt;0),$L53*'Market Data'!$B$1/$E53-1,"pending A/FX"),IF($I53="Snapshot",IF(AND($Q53="Snapshot",$G53=INDEX('Market Data'!$AE$5:$AE$66,INDEX('Market Data'!$J$5:$J$528,$T53)-4)),IFERROR($L53*INDEX('Market Data'!$AD$5:$AD$66,INDEX('Market Data'!$J$5:$J$528,$T53)-4)/$E53-1,"unavailable"),"date mismatch"),"unavailable")))))</f>
        <v/>
      </c>
      <c r="N53" s="11">
        <f>IF($T53=0,"",IFERROR(IF(AND(N(INDEX('Market Data'!$F$5:$F$528,$T53))&gt;0,ISNUMBER(INDEX('Market Data'!$BB$5:$BB$528,$T53))),$E53*INDEX('Market Data'!$BB$5:$BB$528,$T53)/INDEX('Market Data'!$F$5:$F$528,$T53)-1,"unavailable"),"unavailable"))</f>
        <v/>
      </c>
      <c r="O53" s="9">
        <f>IF($T53=0,"",IF(IF(INDEX('Market Data'!$J$5:$J$528,$T53)=0,0,IF(LEFT(INDEX('Market Data'!$AS$5:$AS$66,INDEX('Market Data'!$J$5:$J$528,$T53)-4),11)="First-month",1,0))=1,"Class ratio review",IF($I53="Bloomberg",IF(ISNUMBER($G53),IF($G53&lt;TODAY(),"Older quote","See quote time"),"Date unavailable"),IF($I53="Snapshot",IF($G53&lt;DATEVALUE("2026-10-02"),"Older snapshot","Dated close"),"No valid quote"))))</f>
        <v/>
      </c>
      <c r="P53" s="14">
        <f>IF($T53=0,"",IF(INDEX('Market Data'!$J$5:$J$528,$T53)=0,"n/a",IF($Q53="Bloomberg",IF(AND(ISNUMBER(INDEX('Market Data'!$AK$5:$AK$66,INDEX('Market Data'!$J$5:$J$528,$T53)-4)),N(INDEX('Market Data'!$AK$5:$AK$66,INDEX('Market Data'!$J$5:$J$528,$T53)-4))&gt;0),INDEX('Market Data'!$AK$5:$AK$66,INDEX('Market Data'!$J$5:$J$528,$T53)-4),"date unavailable"),IF($Q53="Snapshot",IF(AND(ISNUMBER(INDEX('Market Data'!$AF$5:$AF$66,INDEX('Market Data'!$J$5:$J$528,$T53)-4)),N(INDEX('Market Data'!$AF$5:$AF$66,INDEX('Market Data'!$J$5:$J$528,$T53)-4))&gt;0),INDEX('Market Data'!$AF$5:$AF$66,INDEX('Market Data'!$J$5:$J$528,$T53)-4),"date unavailable"),"date unavailable"))))</f>
        <v/>
      </c>
      <c r="Q53" s="15">
        <f>IF($T53=0,"",IF(INDEX('Market Data'!$J$5:$J$528,$T53)=0,"n/a",IF(AND($M$5&lt;&gt;"Snapshot",ISNUMBER(INDEX('Market Data'!$AH$5:$AH$66,INDEX('Market Data'!$J$5:$J$528,$T53)-4)),N(INDEX('Market Data'!$AH$5:$AH$66,INDEX('Market Data'!$J$5:$J$528,$T53)-4))&gt;0),"Bloomberg",IF(AND($M$5&lt;&gt;"Bloomberg",ISNUMBER(INDEX('Market Data'!$AC$5:$AC$66,INDEX('Market Data'!$J$5:$J$528,$T53)-4)),N(INDEX('Market Data'!$AC$5:$AC$66,INDEX('Market Data'!$J$5:$J$528,$T53)-4))&gt;0),"Snapshot","Unavailable"))))</f>
        <v/>
      </c>
      <c r="T53">
        <f>IFERROR(MATCH(17,'Market Data'!$AX$5:$AX$528,0),0)</f>
        <v/>
      </c>
    </row>
    <row r="54" ht="34" customHeight="1">
      <c r="A54" s="8">
        <f>IF($T54=0,"",IF(INDEX('Market Data'!$A$5:$A$528,$T54)="","",INDEX('Market Data'!$A$5:$A$528,$T54)))</f>
        <v/>
      </c>
      <c r="B54" s="9">
        <f>IF($T54=0,"",IF(INDEX('Market Data'!$B$5:$B$528,$T54)="","",INDEX('Market Data'!$B$5:$B$528,$T54)))</f>
        <v/>
      </c>
      <c r="C54" s="9">
        <f>IF($T54=0,"",IF(INDEX('Market Data'!$C$5:$C$528,$T54)="","",INDEX('Market Data'!$C$5:$C$528,$T54)))</f>
        <v/>
      </c>
      <c r="D54" s="9">
        <f>IF($T54=0,"",IF(INDEX('Market Data'!$D$5:$D$528,$T54)="","",INDEX('Market Data'!$D$5:$D$528,$T54)))</f>
        <v/>
      </c>
      <c r="E54" s="10">
        <f>IF($T54=0,"",INDEX('Market Data'!$AY$5:$AY$528,$T54))</f>
        <v/>
      </c>
      <c r="F54" s="11">
        <f>IF($T54=0,"",IF(AND($I54="Bloomberg",ISNUMBER(INDEX('Market Data'!$L$5:$L$528,$T54))),INDEX('Market Data'!$L$5:$L$528,$T54),"unavailable"))</f>
        <v/>
      </c>
      <c r="G54" s="12">
        <f>IF($T54=0,"",IF($I54="Bloomberg",IF(AND(ISNUMBER(INDEX('Market Data'!$M$5:$M$528,$T54)),N(INDEX('Market Data'!$M$5:$M$528,$T54))&gt;0),INDEX('Market Data'!$M$5:$M$528,$T54),"date unavailable"),IF($I54="Snapshot",IF(AND(ISNUMBER(INDEX('Market Data'!$H$5:$H$528,$T54)),N(INDEX('Market Data'!$H$5:$H$528,$T54))&gt;0),INDEX('Market Data'!$H$5:$H$528,$T54),"date unavailable"),"date unavailable")))</f>
        <v/>
      </c>
      <c r="H54" s="9">
        <f>IF($T54=0,"",IF($I54="Bloomberg",IF(INDEX('Market Data'!$N$5:$N$528,$T54)="","time unavailable",INDEX('Market Data'!$N$5:$N$528,$T54)),""))</f>
        <v/>
      </c>
      <c r="I54" s="9">
        <f>IF($T54=0,"",INDEX('Market Data'!$AZ$5:$AZ$528,$T54))</f>
        <v/>
      </c>
      <c r="J54" s="13">
        <f>IF($T54=0,"",IF(INDEX('Market Data'!$E$5:$E$528,$T54)="","",INDEX('Market Data'!$E$5:$E$528,$T54)))</f>
        <v/>
      </c>
      <c r="K54" s="8">
        <f>IF($T54=0,"",IF(INDEX('Market Data'!$I$5:$I$528,$T54)="","",INDEX('Market Data'!$I$5:$I$528,$T54)))</f>
        <v/>
      </c>
      <c r="L54" s="10">
        <f>IF($T54=0,"",IF(INDEX('Market Data'!$J$5:$J$528,$T54)=0,"n/a",IF(AND($M$5&lt;&gt;"Snapshot",ISNUMBER(INDEX('Market Data'!$AH$5:$AH$66,INDEX('Market Data'!$J$5:$J$528,$T54)-4)),N(INDEX('Market Data'!$AH$5:$AH$66,INDEX('Market Data'!$J$5:$J$528,$T54)-4))&gt;0),INDEX('Market Data'!$AH$5:$AH$66,INDEX('Market Data'!$J$5:$J$528,$T54)-4),IF(AND($M$5&lt;&gt;"Bloomberg",ISNUMBER(INDEX('Market Data'!$AC$5:$AC$66,INDEX('Market Data'!$J$5:$J$528,$T54)-4)),N(INDEX('Market Data'!$AC$5:$AC$66,INDEX('Market Data'!$J$5:$J$528,$T54)-4))&gt;0),INDEX('Market Data'!$AC$5:$AC$66,INDEX('Market Data'!$J$5:$J$528,$T54)-4),"unavailable"))))</f>
        <v/>
      </c>
      <c r="M54" s="11">
        <f>IF($T54=0,"",IF(INDEX('Market Data'!$J$5:$J$528,$T54)=0,"n/a",IF(IF(INDEX('Market Data'!$J$5:$J$528,$T54)=0,0,IF(LEFT(INDEX('Market Data'!$AS$5:$AS$66,INDEX('Market Data'!$J$5:$J$528,$T54)-4),11)="First-month",1,0))=1,"class review",IF($I54="Bloomberg",IF(AND($Q54="Bloomberg",ISNUMBER('Market Data'!$B$1),N('Market Data'!$B$1)&gt;0),$L54*'Market Data'!$B$1/$E54-1,"pending A/FX"),IF($I54="Snapshot",IF(AND($Q54="Snapshot",$G54=INDEX('Market Data'!$AE$5:$AE$66,INDEX('Market Data'!$J$5:$J$528,$T54)-4)),IFERROR($L54*INDEX('Market Data'!$AD$5:$AD$66,INDEX('Market Data'!$J$5:$J$528,$T54)-4)/$E54-1,"unavailable"),"date mismatch"),"unavailable")))))</f>
        <v/>
      </c>
      <c r="N54" s="11">
        <f>IF($T54=0,"",IFERROR(IF(AND(N(INDEX('Market Data'!$F$5:$F$528,$T54))&gt;0,ISNUMBER(INDEX('Market Data'!$BB$5:$BB$528,$T54))),$E54*INDEX('Market Data'!$BB$5:$BB$528,$T54)/INDEX('Market Data'!$F$5:$F$528,$T54)-1,"unavailable"),"unavailable"))</f>
        <v/>
      </c>
      <c r="O54" s="9">
        <f>IF($T54=0,"",IF(IF(INDEX('Market Data'!$J$5:$J$528,$T54)=0,0,IF(LEFT(INDEX('Market Data'!$AS$5:$AS$66,INDEX('Market Data'!$J$5:$J$528,$T54)-4),11)="First-month",1,0))=1,"Class ratio review",IF($I54="Bloomberg",IF(ISNUMBER($G54),IF($G54&lt;TODAY(),"Older quote","See quote time"),"Date unavailable"),IF($I54="Snapshot",IF($G54&lt;DATEVALUE("2026-10-02"),"Older snapshot","Dated close"),"No valid quote"))))</f>
        <v/>
      </c>
      <c r="P54" s="14">
        <f>IF($T54=0,"",IF(INDEX('Market Data'!$J$5:$J$528,$T54)=0,"n/a",IF($Q54="Bloomberg",IF(AND(ISNUMBER(INDEX('Market Data'!$AK$5:$AK$66,INDEX('Market Data'!$J$5:$J$528,$T54)-4)),N(INDEX('Market Data'!$AK$5:$AK$66,INDEX('Market Data'!$J$5:$J$528,$T54)-4))&gt;0),INDEX('Market Data'!$AK$5:$AK$66,INDEX('Market Data'!$J$5:$J$528,$T54)-4),"date unavailable"),IF($Q54="Snapshot",IF(AND(ISNUMBER(INDEX('Market Data'!$AF$5:$AF$66,INDEX('Market Data'!$J$5:$J$528,$T54)-4)),N(INDEX('Market Data'!$AF$5:$AF$66,INDEX('Market Data'!$J$5:$J$528,$T54)-4))&gt;0),INDEX('Market Data'!$AF$5:$AF$66,INDEX('Market Data'!$J$5:$J$528,$T54)-4),"date unavailable"),"date unavailable"))))</f>
        <v/>
      </c>
      <c r="Q54" s="15">
        <f>IF($T54=0,"",IF(INDEX('Market Data'!$J$5:$J$528,$T54)=0,"n/a",IF(AND($M$5&lt;&gt;"Snapshot",ISNUMBER(INDEX('Market Data'!$AH$5:$AH$66,INDEX('Market Data'!$J$5:$J$528,$T54)-4)),N(INDEX('Market Data'!$AH$5:$AH$66,INDEX('Market Data'!$J$5:$J$528,$T54)-4))&gt;0),"Bloomberg",IF(AND($M$5&lt;&gt;"Bloomberg",ISNUMBER(INDEX('Market Data'!$AC$5:$AC$66,INDEX('Market Data'!$J$5:$J$528,$T54)-4)),N(INDEX('Market Data'!$AC$5:$AC$66,INDEX('Market Data'!$J$5:$J$528,$T54)-4))&gt;0),"Snapshot","Unavailable"))))</f>
        <v/>
      </c>
      <c r="T54">
        <f>IFERROR(MATCH(18,'Market Data'!$AX$5:$AX$528,0),0)</f>
        <v/>
      </c>
    </row>
    <row r="55" ht="34" customHeight="1">
      <c r="A55" s="8">
        <f>IF($T55=0,"",IF(INDEX('Market Data'!$A$5:$A$528,$T55)="","",INDEX('Market Data'!$A$5:$A$528,$T55)))</f>
        <v/>
      </c>
      <c r="B55" s="9">
        <f>IF($T55=0,"",IF(INDEX('Market Data'!$B$5:$B$528,$T55)="","",INDEX('Market Data'!$B$5:$B$528,$T55)))</f>
        <v/>
      </c>
      <c r="C55" s="9">
        <f>IF($T55=0,"",IF(INDEX('Market Data'!$C$5:$C$528,$T55)="","",INDEX('Market Data'!$C$5:$C$528,$T55)))</f>
        <v/>
      </c>
      <c r="D55" s="9">
        <f>IF($T55=0,"",IF(INDEX('Market Data'!$D$5:$D$528,$T55)="","",INDEX('Market Data'!$D$5:$D$528,$T55)))</f>
        <v/>
      </c>
      <c r="E55" s="10">
        <f>IF($T55=0,"",INDEX('Market Data'!$AY$5:$AY$528,$T55))</f>
        <v/>
      </c>
      <c r="F55" s="11">
        <f>IF($T55=0,"",IF(AND($I55="Bloomberg",ISNUMBER(INDEX('Market Data'!$L$5:$L$528,$T55))),INDEX('Market Data'!$L$5:$L$528,$T55),"unavailable"))</f>
        <v/>
      </c>
      <c r="G55" s="12">
        <f>IF($T55=0,"",IF($I55="Bloomberg",IF(AND(ISNUMBER(INDEX('Market Data'!$M$5:$M$528,$T55)),N(INDEX('Market Data'!$M$5:$M$528,$T55))&gt;0),INDEX('Market Data'!$M$5:$M$528,$T55),"date unavailable"),IF($I55="Snapshot",IF(AND(ISNUMBER(INDEX('Market Data'!$H$5:$H$528,$T55)),N(INDEX('Market Data'!$H$5:$H$528,$T55))&gt;0),INDEX('Market Data'!$H$5:$H$528,$T55),"date unavailable"),"date unavailable")))</f>
        <v/>
      </c>
      <c r="H55" s="9">
        <f>IF($T55=0,"",IF($I55="Bloomberg",IF(INDEX('Market Data'!$N$5:$N$528,$T55)="","time unavailable",INDEX('Market Data'!$N$5:$N$528,$T55)),""))</f>
        <v/>
      </c>
      <c r="I55" s="9">
        <f>IF($T55=0,"",INDEX('Market Data'!$AZ$5:$AZ$528,$T55))</f>
        <v/>
      </c>
      <c r="J55" s="13">
        <f>IF($T55=0,"",IF(INDEX('Market Data'!$E$5:$E$528,$T55)="","",INDEX('Market Data'!$E$5:$E$528,$T55)))</f>
        <v/>
      </c>
      <c r="K55" s="8">
        <f>IF($T55=0,"",IF(INDEX('Market Data'!$I$5:$I$528,$T55)="","",INDEX('Market Data'!$I$5:$I$528,$T55)))</f>
        <v/>
      </c>
      <c r="L55" s="10">
        <f>IF($T55=0,"",IF(INDEX('Market Data'!$J$5:$J$528,$T55)=0,"n/a",IF(AND($M$5&lt;&gt;"Snapshot",ISNUMBER(INDEX('Market Data'!$AH$5:$AH$66,INDEX('Market Data'!$J$5:$J$528,$T55)-4)),N(INDEX('Market Data'!$AH$5:$AH$66,INDEX('Market Data'!$J$5:$J$528,$T55)-4))&gt;0),INDEX('Market Data'!$AH$5:$AH$66,INDEX('Market Data'!$J$5:$J$528,$T55)-4),IF(AND($M$5&lt;&gt;"Bloomberg",ISNUMBER(INDEX('Market Data'!$AC$5:$AC$66,INDEX('Market Data'!$J$5:$J$528,$T55)-4)),N(INDEX('Market Data'!$AC$5:$AC$66,INDEX('Market Data'!$J$5:$J$528,$T55)-4))&gt;0),INDEX('Market Data'!$AC$5:$AC$66,INDEX('Market Data'!$J$5:$J$528,$T55)-4),"unavailable"))))</f>
        <v/>
      </c>
      <c r="M55" s="11">
        <f>IF($T55=0,"",IF(INDEX('Market Data'!$J$5:$J$528,$T55)=0,"n/a",IF(IF(INDEX('Market Data'!$J$5:$J$528,$T55)=0,0,IF(LEFT(INDEX('Market Data'!$AS$5:$AS$66,INDEX('Market Data'!$J$5:$J$528,$T55)-4),11)="First-month",1,0))=1,"class review",IF($I55="Bloomberg",IF(AND($Q55="Bloomberg",ISNUMBER('Market Data'!$B$1),N('Market Data'!$B$1)&gt;0),$L55*'Market Data'!$B$1/$E55-1,"pending A/FX"),IF($I55="Snapshot",IF(AND($Q55="Snapshot",$G55=INDEX('Market Data'!$AE$5:$AE$66,INDEX('Market Data'!$J$5:$J$528,$T55)-4)),IFERROR($L55*INDEX('Market Data'!$AD$5:$AD$66,INDEX('Market Data'!$J$5:$J$528,$T55)-4)/$E55-1,"unavailable"),"date mismatch"),"unavailable")))))</f>
        <v/>
      </c>
      <c r="N55" s="11">
        <f>IF($T55=0,"",IFERROR(IF(AND(N(INDEX('Market Data'!$F$5:$F$528,$T55))&gt;0,ISNUMBER(INDEX('Market Data'!$BB$5:$BB$528,$T55))),$E55*INDEX('Market Data'!$BB$5:$BB$528,$T55)/INDEX('Market Data'!$F$5:$F$528,$T55)-1,"unavailable"),"unavailable"))</f>
        <v/>
      </c>
      <c r="O55" s="9">
        <f>IF($T55=0,"",IF(IF(INDEX('Market Data'!$J$5:$J$528,$T55)=0,0,IF(LEFT(INDEX('Market Data'!$AS$5:$AS$66,INDEX('Market Data'!$J$5:$J$528,$T55)-4),11)="First-month",1,0))=1,"Class ratio review",IF($I55="Bloomberg",IF(ISNUMBER($G55),IF($G55&lt;TODAY(),"Older quote","See quote time"),"Date unavailable"),IF($I55="Snapshot",IF($G55&lt;DATEVALUE("2026-10-02"),"Older snapshot","Dated close"),"No valid quote"))))</f>
        <v/>
      </c>
      <c r="P55" s="14">
        <f>IF($T55=0,"",IF(INDEX('Market Data'!$J$5:$J$528,$T55)=0,"n/a",IF($Q55="Bloomberg",IF(AND(ISNUMBER(INDEX('Market Data'!$AK$5:$AK$66,INDEX('Market Data'!$J$5:$J$528,$T55)-4)),N(INDEX('Market Data'!$AK$5:$AK$66,INDEX('Market Data'!$J$5:$J$528,$T55)-4))&gt;0),INDEX('Market Data'!$AK$5:$AK$66,INDEX('Market Data'!$J$5:$J$528,$T55)-4),"date unavailable"),IF($Q55="Snapshot",IF(AND(ISNUMBER(INDEX('Market Data'!$AF$5:$AF$66,INDEX('Market Data'!$J$5:$J$528,$T55)-4)),N(INDEX('Market Data'!$AF$5:$AF$66,INDEX('Market Data'!$J$5:$J$528,$T55)-4))&gt;0),INDEX('Market Data'!$AF$5:$AF$66,INDEX('Market Data'!$J$5:$J$528,$T55)-4),"date unavailable"),"date unavailable"))))</f>
        <v/>
      </c>
      <c r="Q55" s="15">
        <f>IF($T55=0,"",IF(INDEX('Market Data'!$J$5:$J$528,$T55)=0,"n/a",IF(AND($M$5&lt;&gt;"Snapshot",ISNUMBER(INDEX('Market Data'!$AH$5:$AH$66,INDEX('Market Data'!$J$5:$J$528,$T55)-4)),N(INDEX('Market Data'!$AH$5:$AH$66,INDEX('Market Data'!$J$5:$J$528,$T55)-4))&gt;0),"Bloomberg",IF(AND($M$5&lt;&gt;"Bloomberg",ISNUMBER(INDEX('Market Data'!$AC$5:$AC$66,INDEX('Market Data'!$J$5:$J$528,$T55)-4)),N(INDEX('Market Data'!$AC$5:$AC$66,INDEX('Market Data'!$J$5:$J$528,$T55)-4))&gt;0),"Snapshot","Unavailable"))))</f>
        <v/>
      </c>
      <c r="T55">
        <f>IFERROR(MATCH(19,'Market Data'!$AX$5:$AX$528,0),0)</f>
        <v/>
      </c>
    </row>
    <row r="56" ht="34" customHeight="1">
      <c r="A56" s="8">
        <f>IF($T56=0,"",IF(INDEX('Market Data'!$A$5:$A$528,$T56)="","",INDEX('Market Data'!$A$5:$A$528,$T56)))</f>
        <v/>
      </c>
      <c r="B56" s="9">
        <f>IF($T56=0,"",IF(INDEX('Market Data'!$B$5:$B$528,$T56)="","",INDEX('Market Data'!$B$5:$B$528,$T56)))</f>
        <v/>
      </c>
      <c r="C56" s="9">
        <f>IF($T56=0,"",IF(INDEX('Market Data'!$C$5:$C$528,$T56)="","",INDEX('Market Data'!$C$5:$C$528,$T56)))</f>
        <v/>
      </c>
      <c r="D56" s="9">
        <f>IF($T56=0,"",IF(INDEX('Market Data'!$D$5:$D$528,$T56)="","",INDEX('Market Data'!$D$5:$D$528,$T56)))</f>
        <v/>
      </c>
      <c r="E56" s="10">
        <f>IF($T56=0,"",INDEX('Market Data'!$AY$5:$AY$528,$T56))</f>
        <v/>
      </c>
      <c r="F56" s="11">
        <f>IF($T56=0,"",IF(AND($I56="Bloomberg",ISNUMBER(INDEX('Market Data'!$L$5:$L$528,$T56))),INDEX('Market Data'!$L$5:$L$528,$T56),"unavailable"))</f>
        <v/>
      </c>
      <c r="G56" s="12">
        <f>IF($T56=0,"",IF($I56="Bloomberg",IF(AND(ISNUMBER(INDEX('Market Data'!$M$5:$M$528,$T56)),N(INDEX('Market Data'!$M$5:$M$528,$T56))&gt;0),INDEX('Market Data'!$M$5:$M$528,$T56),"date unavailable"),IF($I56="Snapshot",IF(AND(ISNUMBER(INDEX('Market Data'!$H$5:$H$528,$T56)),N(INDEX('Market Data'!$H$5:$H$528,$T56))&gt;0),INDEX('Market Data'!$H$5:$H$528,$T56),"date unavailable"),"date unavailable")))</f>
        <v/>
      </c>
      <c r="H56" s="9">
        <f>IF($T56=0,"",IF($I56="Bloomberg",IF(INDEX('Market Data'!$N$5:$N$528,$T56)="","time unavailable",INDEX('Market Data'!$N$5:$N$528,$T56)),""))</f>
        <v/>
      </c>
      <c r="I56" s="9">
        <f>IF($T56=0,"",INDEX('Market Data'!$AZ$5:$AZ$528,$T56))</f>
        <v/>
      </c>
      <c r="J56" s="13">
        <f>IF($T56=0,"",IF(INDEX('Market Data'!$E$5:$E$528,$T56)="","",INDEX('Market Data'!$E$5:$E$528,$T56)))</f>
        <v/>
      </c>
      <c r="K56" s="8">
        <f>IF($T56=0,"",IF(INDEX('Market Data'!$I$5:$I$528,$T56)="","",INDEX('Market Data'!$I$5:$I$528,$T56)))</f>
        <v/>
      </c>
      <c r="L56" s="10">
        <f>IF($T56=0,"",IF(INDEX('Market Data'!$J$5:$J$528,$T56)=0,"n/a",IF(AND($M$5&lt;&gt;"Snapshot",ISNUMBER(INDEX('Market Data'!$AH$5:$AH$66,INDEX('Market Data'!$J$5:$J$528,$T56)-4)),N(INDEX('Market Data'!$AH$5:$AH$66,INDEX('Market Data'!$J$5:$J$528,$T56)-4))&gt;0),INDEX('Market Data'!$AH$5:$AH$66,INDEX('Market Data'!$J$5:$J$528,$T56)-4),IF(AND($M$5&lt;&gt;"Bloomberg",ISNUMBER(INDEX('Market Data'!$AC$5:$AC$66,INDEX('Market Data'!$J$5:$J$528,$T56)-4)),N(INDEX('Market Data'!$AC$5:$AC$66,INDEX('Market Data'!$J$5:$J$528,$T56)-4))&gt;0),INDEX('Market Data'!$AC$5:$AC$66,INDEX('Market Data'!$J$5:$J$528,$T56)-4),"unavailable"))))</f>
        <v/>
      </c>
      <c r="M56" s="11">
        <f>IF($T56=0,"",IF(INDEX('Market Data'!$J$5:$J$528,$T56)=0,"n/a",IF(IF(INDEX('Market Data'!$J$5:$J$528,$T56)=0,0,IF(LEFT(INDEX('Market Data'!$AS$5:$AS$66,INDEX('Market Data'!$J$5:$J$528,$T56)-4),11)="First-month",1,0))=1,"class review",IF($I56="Bloomberg",IF(AND($Q56="Bloomberg",ISNUMBER('Market Data'!$B$1),N('Market Data'!$B$1)&gt;0),$L56*'Market Data'!$B$1/$E56-1,"pending A/FX"),IF($I56="Snapshot",IF(AND($Q56="Snapshot",$G56=INDEX('Market Data'!$AE$5:$AE$66,INDEX('Market Data'!$J$5:$J$528,$T56)-4)),IFERROR($L56*INDEX('Market Data'!$AD$5:$AD$66,INDEX('Market Data'!$J$5:$J$528,$T56)-4)/$E56-1,"unavailable"),"date mismatch"),"unavailable")))))</f>
        <v/>
      </c>
      <c r="N56" s="11">
        <f>IF($T56=0,"",IFERROR(IF(AND(N(INDEX('Market Data'!$F$5:$F$528,$T56))&gt;0,ISNUMBER(INDEX('Market Data'!$BB$5:$BB$528,$T56))),$E56*INDEX('Market Data'!$BB$5:$BB$528,$T56)/INDEX('Market Data'!$F$5:$F$528,$T56)-1,"unavailable"),"unavailable"))</f>
        <v/>
      </c>
      <c r="O56" s="9">
        <f>IF($T56=0,"",IF(IF(INDEX('Market Data'!$J$5:$J$528,$T56)=0,0,IF(LEFT(INDEX('Market Data'!$AS$5:$AS$66,INDEX('Market Data'!$J$5:$J$528,$T56)-4),11)="First-month",1,0))=1,"Class ratio review",IF($I56="Bloomberg",IF(ISNUMBER($G56),IF($G56&lt;TODAY(),"Older quote","See quote time"),"Date unavailable"),IF($I56="Snapshot",IF($G56&lt;DATEVALUE("2026-10-02"),"Older snapshot","Dated close"),"No valid quote"))))</f>
        <v/>
      </c>
      <c r="P56" s="14">
        <f>IF($T56=0,"",IF(INDEX('Market Data'!$J$5:$J$528,$T56)=0,"n/a",IF($Q56="Bloomberg",IF(AND(ISNUMBER(INDEX('Market Data'!$AK$5:$AK$66,INDEX('Market Data'!$J$5:$J$528,$T56)-4)),N(INDEX('Market Data'!$AK$5:$AK$66,INDEX('Market Data'!$J$5:$J$528,$T56)-4))&gt;0),INDEX('Market Data'!$AK$5:$AK$66,INDEX('Market Data'!$J$5:$J$528,$T56)-4),"date unavailable"),IF($Q56="Snapshot",IF(AND(ISNUMBER(INDEX('Market Data'!$AF$5:$AF$66,INDEX('Market Data'!$J$5:$J$528,$T56)-4)),N(INDEX('Market Data'!$AF$5:$AF$66,INDEX('Market Data'!$J$5:$J$528,$T56)-4))&gt;0),INDEX('Market Data'!$AF$5:$AF$66,INDEX('Market Data'!$J$5:$J$528,$T56)-4),"date unavailable"),"date unavailable"))))</f>
        <v/>
      </c>
      <c r="Q56" s="15">
        <f>IF($T56=0,"",IF(INDEX('Market Data'!$J$5:$J$528,$T56)=0,"n/a",IF(AND($M$5&lt;&gt;"Snapshot",ISNUMBER(INDEX('Market Data'!$AH$5:$AH$66,INDEX('Market Data'!$J$5:$J$528,$T56)-4)),N(INDEX('Market Data'!$AH$5:$AH$66,INDEX('Market Data'!$J$5:$J$528,$T56)-4))&gt;0),"Bloomberg",IF(AND($M$5&lt;&gt;"Bloomberg",ISNUMBER(INDEX('Market Data'!$AC$5:$AC$66,INDEX('Market Data'!$J$5:$J$528,$T56)-4)),N(INDEX('Market Data'!$AC$5:$AC$66,INDEX('Market Data'!$J$5:$J$528,$T56)-4))&gt;0),"Snapshot","Unavailable"))))</f>
        <v/>
      </c>
      <c r="T56">
        <f>IFERROR(MATCH(20,'Market Data'!$AX$5:$AX$528,0),0)</f>
        <v/>
      </c>
    </row>
    <row r="57" ht="34" customHeight="1">
      <c r="A57" s="8">
        <f>IF($T57=0,"",IF(INDEX('Market Data'!$A$5:$A$528,$T57)="","",INDEX('Market Data'!$A$5:$A$528,$T57)))</f>
        <v/>
      </c>
      <c r="B57" s="9">
        <f>IF($T57=0,"",IF(INDEX('Market Data'!$B$5:$B$528,$T57)="","",INDEX('Market Data'!$B$5:$B$528,$T57)))</f>
        <v/>
      </c>
      <c r="C57" s="9">
        <f>IF($T57=0,"",IF(INDEX('Market Data'!$C$5:$C$528,$T57)="","",INDEX('Market Data'!$C$5:$C$528,$T57)))</f>
        <v/>
      </c>
      <c r="D57" s="9">
        <f>IF($T57=0,"",IF(INDEX('Market Data'!$D$5:$D$528,$T57)="","",INDEX('Market Data'!$D$5:$D$528,$T57)))</f>
        <v/>
      </c>
      <c r="E57" s="10">
        <f>IF($T57=0,"",INDEX('Market Data'!$AY$5:$AY$528,$T57))</f>
        <v/>
      </c>
      <c r="F57" s="11">
        <f>IF($T57=0,"",IF(AND($I57="Bloomberg",ISNUMBER(INDEX('Market Data'!$L$5:$L$528,$T57))),INDEX('Market Data'!$L$5:$L$528,$T57),"unavailable"))</f>
        <v/>
      </c>
      <c r="G57" s="12">
        <f>IF($T57=0,"",IF($I57="Bloomberg",IF(AND(ISNUMBER(INDEX('Market Data'!$M$5:$M$528,$T57)),N(INDEX('Market Data'!$M$5:$M$528,$T57))&gt;0),INDEX('Market Data'!$M$5:$M$528,$T57),"date unavailable"),IF($I57="Snapshot",IF(AND(ISNUMBER(INDEX('Market Data'!$H$5:$H$528,$T57)),N(INDEX('Market Data'!$H$5:$H$528,$T57))&gt;0),INDEX('Market Data'!$H$5:$H$528,$T57),"date unavailable"),"date unavailable")))</f>
        <v/>
      </c>
      <c r="H57" s="9">
        <f>IF($T57=0,"",IF($I57="Bloomberg",IF(INDEX('Market Data'!$N$5:$N$528,$T57)="","time unavailable",INDEX('Market Data'!$N$5:$N$528,$T57)),""))</f>
        <v/>
      </c>
      <c r="I57" s="9">
        <f>IF($T57=0,"",INDEX('Market Data'!$AZ$5:$AZ$528,$T57))</f>
        <v/>
      </c>
      <c r="J57" s="13">
        <f>IF($T57=0,"",IF(INDEX('Market Data'!$E$5:$E$528,$T57)="","",INDEX('Market Data'!$E$5:$E$528,$T57)))</f>
        <v/>
      </c>
      <c r="K57" s="8">
        <f>IF($T57=0,"",IF(INDEX('Market Data'!$I$5:$I$528,$T57)="","",INDEX('Market Data'!$I$5:$I$528,$T57)))</f>
        <v/>
      </c>
      <c r="L57" s="10">
        <f>IF($T57=0,"",IF(INDEX('Market Data'!$J$5:$J$528,$T57)=0,"n/a",IF(AND($M$5&lt;&gt;"Snapshot",ISNUMBER(INDEX('Market Data'!$AH$5:$AH$66,INDEX('Market Data'!$J$5:$J$528,$T57)-4)),N(INDEX('Market Data'!$AH$5:$AH$66,INDEX('Market Data'!$J$5:$J$528,$T57)-4))&gt;0),INDEX('Market Data'!$AH$5:$AH$66,INDEX('Market Data'!$J$5:$J$528,$T57)-4),IF(AND($M$5&lt;&gt;"Bloomberg",ISNUMBER(INDEX('Market Data'!$AC$5:$AC$66,INDEX('Market Data'!$J$5:$J$528,$T57)-4)),N(INDEX('Market Data'!$AC$5:$AC$66,INDEX('Market Data'!$J$5:$J$528,$T57)-4))&gt;0),INDEX('Market Data'!$AC$5:$AC$66,INDEX('Market Data'!$J$5:$J$528,$T57)-4),"unavailable"))))</f>
        <v/>
      </c>
      <c r="M57" s="11">
        <f>IF($T57=0,"",IF(INDEX('Market Data'!$J$5:$J$528,$T57)=0,"n/a",IF(IF(INDEX('Market Data'!$J$5:$J$528,$T57)=0,0,IF(LEFT(INDEX('Market Data'!$AS$5:$AS$66,INDEX('Market Data'!$J$5:$J$528,$T57)-4),11)="First-month",1,0))=1,"class review",IF($I57="Bloomberg",IF(AND($Q57="Bloomberg",ISNUMBER('Market Data'!$B$1),N('Market Data'!$B$1)&gt;0),$L57*'Market Data'!$B$1/$E57-1,"pending A/FX"),IF($I57="Snapshot",IF(AND($Q57="Snapshot",$G57=INDEX('Market Data'!$AE$5:$AE$66,INDEX('Market Data'!$J$5:$J$528,$T57)-4)),IFERROR($L57*INDEX('Market Data'!$AD$5:$AD$66,INDEX('Market Data'!$J$5:$J$528,$T57)-4)/$E57-1,"unavailable"),"date mismatch"),"unavailable")))))</f>
        <v/>
      </c>
      <c r="N57" s="11">
        <f>IF($T57=0,"",IFERROR(IF(AND(N(INDEX('Market Data'!$F$5:$F$528,$T57))&gt;0,ISNUMBER(INDEX('Market Data'!$BB$5:$BB$528,$T57))),$E57*INDEX('Market Data'!$BB$5:$BB$528,$T57)/INDEX('Market Data'!$F$5:$F$528,$T57)-1,"unavailable"),"unavailable"))</f>
        <v/>
      </c>
      <c r="O57" s="9">
        <f>IF($T57=0,"",IF(IF(INDEX('Market Data'!$J$5:$J$528,$T57)=0,0,IF(LEFT(INDEX('Market Data'!$AS$5:$AS$66,INDEX('Market Data'!$J$5:$J$528,$T57)-4),11)="First-month",1,0))=1,"Class ratio review",IF($I57="Bloomberg",IF(ISNUMBER($G57),IF($G57&lt;TODAY(),"Older quote","See quote time"),"Date unavailable"),IF($I57="Snapshot",IF($G57&lt;DATEVALUE("2026-10-02"),"Older snapshot","Dated close"),"No valid quote"))))</f>
        <v/>
      </c>
      <c r="P57" s="14">
        <f>IF($T57=0,"",IF(INDEX('Market Data'!$J$5:$J$528,$T57)=0,"n/a",IF($Q57="Bloomberg",IF(AND(ISNUMBER(INDEX('Market Data'!$AK$5:$AK$66,INDEX('Market Data'!$J$5:$J$528,$T57)-4)),N(INDEX('Market Data'!$AK$5:$AK$66,INDEX('Market Data'!$J$5:$J$528,$T57)-4))&gt;0),INDEX('Market Data'!$AK$5:$AK$66,INDEX('Market Data'!$J$5:$J$528,$T57)-4),"date unavailable"),IF($Q57="Snapshot",IF(AND(ISNUMBER(INDEX('Market Data'!$AF$5:$AF$66,INDEX('Market Data'!$J$5:$J$528,$T57)-4)),N(INDEX('Market Data'!$AF$5:$AF$66,INDEX('Market Data'!$J$5:$J$528,$T57)-4))&gt;0),INDEX('Market Data'!$AF$5:$AF$66,INDEX('Market Data'!$J$5:$J$528,$T57)-4),"date unavailable"),"date unavailable"))))</f>
        <v/>
      </c>
      <c r="Q57" s="15">
        <f>IF($T57=0,"",IF(INDEX('Market Data'!$J$5:$J$528,$T57)=0,"n/a",IF(AND($M$5&lt;&gt;"Snapshot",ISNUMBER(INDEX('Market Data'!$AH$5:$AH$66,INDEX('Market Data'!$J$5:$J$528,$T57)-4)),N(INDEX('Market Data'!$AH$5:$AH$66,INDEX('Market Data'!$J$5:$J$528,$T57)-4))&gt;0),"Bloomberg",IF(AND($M$5&lt;&gt;"Bloomberg",ISNUMBER(INDEX('Market Data'!$AC$5:$AC$66,INDEX('Market Data'!$J$5:$J$528,$T57)-4)),N(INDEX('Market Data'!$AC$5:$AC$66,INDEX('Market Data'!$J$5:$J$528,$T57)-4))&gt;0),"Snapshot","Unavailable"))))</f>
        <v/>
      </c>
      <c r="T57">
        <f>IFERROR(MATCH(21,'Market Data'!$AX$5:$AX$528,0),0)</f>
        <v/>
      </c>
    </row>
    <row r="58" ht="34" customHeight="1">
      <c r="A58" s="8">
        <f>IF($T58=0,"",IF(INDEX('Market Data'!$A$5:$A$528,$T58)="","",INDEX('Market Data'!$A$5:$A$528,$T58)))</f>
        <v/>
      </c>
      <c r="B58" s="9">
        <f>IF($T58=0,"",IF(INDEX('Market Data'!$B$5:$B$528,$T58)="","",INDEX('Market Data'!$B$5:$B$528,$T58)))</f>
        <v/>
      </c>
      <c r="C58" s="9">
        <f>IF($T58=0,"",IF(INDEX('Market Data'!$C$5:$C$528,$T58)="","",INDEX('Market Data'!$C$5:$C$528,$T58)))</f>
        <v/>
      </c>
      <c r="D58" s="9">
        <f>IF($T58=0,"",IF(INDEX('Market Data'!$D$5:$D$528,$T58)="","",INDEX('Market Data'!$D$5:$D$528,$T58)))</f>
        <v/>
      </c>
      <c r="E58" s="10">
        <f>IF($T58=0,"",INDEX('Market Data'!$AY$5:$AY$528,$T58))</f>
        <v/>
      </c>
      <c r="F58" s="11">
        <f>IF($T58=0,"",IF(AND($I58="Bloomberg",ISNUMBER(INDEX('Market Data'!$L$5:$L$528,$T58))),INDEX('Market Data'!$L$5:$L$528,$T58),"unavailable"))</f>
        <v/>
      </c>
      <c r="G58" s="12">
        <f>IF($T58=0,"",IF($I58="Bloomberg",IF(AND(ISNUMBER(INDEX('Market Data'!$M$5:$M$528,$T58)),N(INDEX('Market Data'!$M$5:$M$528,$T58))&gt;0),INDEX('Market Data'!$M$5:$M$528,$T58),"date unavailable"),IF($I58="Snapshot",IF(AND(ISNUMBER(INDEX('Market Data'!$H$5:$H$528,$T58)),N(INDEX('Market Data'!$H$5:$H$528,$T58))&gt;0),INDEX('Market Data'!$H$5:$H$528,$T58),"date unavailable"),"date unavailable")))</f>
        <v/>
      </c>
      <c r="H58" s="9">
        <f>IF($T58=0,"",IF($I58="Bloomberg",IF(INDEX('Market Data'!$N$5:$N$528,$T58)="","time unavailable",INDEX('Market Data'!$N$5:$N$528,$T58)),""))</f>
        <v/>
      </c>
      <c r="I58" s="9">
        <f>IF($T58=0,"",INDEX('Market Data'!$AZ$5:$AZ$528,$T58))</f>
        <v/>
      </c>
      <c r="J58" s="13">
        <f>IF($T58=0,"",IF(INDEX('Market Data'!$E$5:$E$528,$T58)="","",INDEX('Market Data'!$E$5:$E$528,$T58)))</f>
        <v/>
      </c>
      <c r="K58" s="8">
        <f>IF($T58=0,"",IF(INDEX('Market Data'!$I$5:$I$528,$T58)="","",INDEX('Market Data'!$I$5:$I$528,$T58)))</f>
        <v/>
      </c>
      <c r="L58" s="10">
        <f>IF($T58=0,"",IF(INDEX('Market Data'!$J$5:$J$528,$T58)=0,"n/a",IF(AND($M$5&lt;&gt;"Snapshot",ISNUMBER(INDEX('Market Data'!$AH$5:$AH$66,INDEX('Market Data'!$J$5:$J$528,$T58)-4)),N(INDEX('Market Data'!$AH$5:$AH$66,INDEX('Market Data'!$J$5:$J$528,$T58)-4))&gt;0),INDEX('Market Data'!$AH$5:$AH$66,INDEX('Market Data'!$J$5:$J$528,$T58)-4),IF(AND($M$5&lt;&gt;"Bloomberg",ISNUMBER(INDEX('Market Data'!$AC$5:$AC$66,INDEX('Market Data'!$J$5:$J$528,$T58)-4)),N(INDEX('Market Data'!$AC$5:$AC$66,INDEX('Market Data'!$J$5:$J$528,$T58)-4))&gt;0),INDEX('Market Data'!$AC$5:$AC$66,INDEX('Market Data'!$J$5:$J$528,$T58)-4),"unavailable"))))</f>
        <v/>
      </c>
      <c r="M58" s="11">
        <f>IF($T58=0,"",IF(INDEX('Market Data'!$J$5:$J$528,$T58)=0,"n/a",IF(IF(INDEX('Market Data'!$J$5:$J$528,$T58)=0,0,IF(LEFT(INDEX('Market Data'!$AS$5:$AS$66,INDEX('Market Data'!$J$5:$J$528,$T58)-4),11)="First-month",1,0))=1,"class review",IF($I58="Bloomberg",IF(AND($Q58="Bloomberg",ISNUMBER('Market Data'!$B$1),N('Market Data'!$B$1)&gt;0),$L58*'Market Data'!$B$1/$E58-1,"pending A/FX"),IF($I58="Snapshot",IF(AND($Q58="Snapshot",$G58=INDEX('Market Data'!$AE$5:$AE$66,INDEX('Market Data'!$J$5:$J$528,$T58)-4)),IFERROR($L58*INDEX('Market Data'!$AD$5:$AD$66,INDEX('Market Data'!$J$5:$J$528,$T58)-4)/$E58-1,"unavailable"),"date mismatch"),"unavailable")))))</f>
        <v/>
      </c>
      <c r="N58" s="11">
        <f>IF($T58=0,"",IFERROR(IF(AND(N(INDEX('Market Data'!$F$5:$F$528,$T58))&gt;0,ISNUMBER(INDEX('Market Data'!$BB$5:$BB$528,$T58))),$E58*INDEX('Market Data'!$BB$5:$BB$528,$T58)/INDEX('Market Data'!$F$5:$F$528,$T58)-1,"unavailable"),"unavailable"))</f>
        <v/>
      </c>
      <c r="O58" s="9">
        <f>IF($T58=0,"",IF(IF(INDEX('Market Data'!$J$5:$J$528,$T58)=0,0,IF(LEFT(INDEX('Market Data'!$AS$5:$AS$66,INDEX('Market Data'!$J$5:$J$528,$T58)-4),11)="First-month",1,0))=1,"Class ratio review",IF($I58="Bloomberg",IF(ISNUMBER($G58),IF($G58&lt;TODAY(),"Older quote","See quote time"),"Date unavailable"),IF($I58="Snapshot",IF($G58&lt;DATEVALUE("2026-10-02"),"Older snapshot","Dated close"),"No valid quote"))))</f>
        <v/>
      </c>
      <c r="P58" s="14">
        <f>IF($T58=0,"",IF(INDEX('Market Data'!$J$5:$J$528,$T58)=0,"n/a",IF($Q58="Bloomberg",IF(AND(ISNUMBER(INDEX('Market Data'!$AK$5:$AK$66,INDEX('Market Data'!$J$5:$J$528,$T58)-4)),N(INDEX('Market Data'!$AK$5:$AK$66,INDEX('Market Data'!$J$5:$J$528,$T58)-4))&gt;0),INDEX('Market Data'!$AK$5:$AK$66,INDEX('Market Data'!$J$5:$J$528,$T58)-4),"date unavailable"),IF($Q58="Snapshot",IF(AND(ISNUMBER(INDEX('Market Data'!$AF$5:$AF$66,INDEX('Market Data'!$J$5:$J$528,$T58)-4)),N(INDEX('Market Data'!$AF$5:$AF$66,INDEX('Market Data'!$J$5:$J$528,$T58)-4))&gt;0),INDEX('Market Data'!$AF$5:$AF$66,INDEX('Market Data'!$J$5:$J$528,$T58)-4),"date unavailable"),"date unavailable"))))</f>
        <v/>
      </c>
      <c r="Q58" s="15">
        <f>IF($T58=0,"",IF(INDEX('Market Data'!$J$5:$J$528,$T58)=0,"n/a",IF(AND($M$5&lt;&gt;"Snapshot",ISNUMBER(INDEX('Market Data'!$AH$5:$AH$66,INDEX('Market Data'!$J$5:$J$528,$T58)-4)),N(INDEX('Market Data'!$AH$5:$AH$66,INDEX('Market Data'!$J$5:$J$528,$T58)-4))&gt;0),"Bloomberg",IF(AND($M$5&lt;&gt;"Bloomberg",ISNUMBER(INDEX('Market Data'!$AC$5:$AC$66,INDEX('Market Data'!$J$5:$J$528,$T58)-4)),N(INDEX('Market Data'!$AC$5:$AC$66,INDEX('Market Data'!$J$5:$J$528,$T58)-4))&gt;0),"Snapshot","Unavailable"))))</f>
        <v/>
      </c>
      <c r="T58">
        <f>IFERROR(MATCH(22,'Market Data'!$AX$5:$AX$528,0),0)</f>
        <v/>
      </c>
    </row>
    <row r="59" ht="34" customHeight="1">
      <c r="A59" s="8">
        <f>IF($T59=0,"",IF(INDEX('Market Data'!$A$5:$A$528,$T59)="","",INDEX('Market Data'!$A$5:$A$528,$T59)))</f>
        <v/>
      </c>
      <c r="B59" s="9">
        <f>IF($T59=0,"",IF(INDEX('Market Data'!$B$5:$B$528,$T59)="","",INDEX('Market Data'!$B$5:$B$528,$T59)))</f>
        <v/>
      </c>
      <c r="C59" s="9">
        <f>IF($T59=0,"",IF(INDEX('Market Data'!$C$5:$C$528,$T59)="","",INDEX('Market Data'!$C$5:$C$528,$T59)))</f>
        <v/>
      </c>
      <c r="D59" s="9">
        <f>IF($T59=0,"",IF(INDEX('Market Data'!$D$5:$D$528,$T59)="","",INDEX('Market Data'!$D$5:$D$528,$T59)))</f>
        <v/>
      </c>
      <c r="E59" s="10">
        <f>IF($T59=0,"",INDEX('Market Data'!$AY$5:$AY$528,$T59))</f>
        <v/>
      </c>
      <c r="F59" s="11">
        <f>IF($T59=0,"",IF(AND($I59="Bloomberg",ISNUMBER(INDEX('Market Data'!$L$5:$L$528,$T59))),INDEX('Market Data'!$L$5:$L$528,$T59),"unavailable"))</f>
        <v/>
      </c>
      <c r="G59" s="12">
        <f>IF($T59=0,"",IF($I59="Bloomberg",IF(AND(ISNUMBER(INDEX('Market Data'!$M$5:$M$528,$T59)),N(INDEX('Market Data'!$M$5:$M$528,$T59))&gt;0),INDEX('Market Data'!$M$5:$M$528,$T59),"date unavailable"),IF($I59="Snapshot",IF(AND(ISNUMBER(INDEX('Market Data'!$H$5:$H$528,$T59)),N(INDEX('Market Data'!$H$5:$H$528,$T59))&gt;0),INDEX('Market Data'!$H$5:$H$528,$T59),"date unavailable"),"date unavailable")))</f>
        <v/>
      </c>
      <c r="H59" s="9">
        <f>IF($T59=0,"",IF($I59="Bloomberg",IF(INDEX('Market Data'!$N$5:$N$528,$T59)="","time unavailable",INDEX('Market Data'!$N$5:$N$528,$T59)),""))</f>
        <v/>
      </c>
      <c r="I59" s="9">
        <f>IF($T59=0,"",INDEX('Market Data'!$AZ$5:$AZ$528,$T59))</f>
        <v/>
      </c>
      <c r="J59" s="13">
        <f>IF($T59=0,"",IF(INDEX('Market Data'!$E$5:$E$528,$T59)="","",INDEX('Market Data'!$E$5:$E$528,$T59)))</f>
        <v/>
      </c>
      <c r="K59" s="8">
        <f>IF($T59=0,"",IF(INDEX('Market Data'!$I$5:$I$528,$T59)="","",INDEX('Market Data'!$I$5:$I$528,$T59)))</f>
        <v/>
      </c>
      <c r="L59" s="10">
        <f>IF($T59=0,"",IF(INDEX('Market Data'!$J$5:$J$528,$T59)=0,"n/a",IF(AND($M$5&lt;&gt;"Snapshot",ISNUMBER(INDEX('Market Data'!$AH$5:$AH$66,INDEX('Market Data'!$J$5:$J$528,$T59)-4)),N(INDEX('Market Data'!$AH$5:$AH$66,INDEX('Market Data'!$J$5:$J$528,$T59)-4))&gt;0),INDEX('Market Data'!$AH$5:$AH$66,INDEX('Market Data'!$J$5:$J$528,$T59)-4),IF(AND($M$5&lt;&gt;"Bloomberg",ISNUMBER(INDEX('Market Data'!$AC$5:$AC$66,INDEX('Market Data'!$J$5:$J$528,$T59)-4)),N(INDEX('Market Data'!$AC$5:$AC$66,INDEX('Market Data'!$J$5:$J$528,$T59)-4))&gt;0),INDEX('Market Data'!$AC$5:$AC$66,INDEX('Market Data'!$J$5:$J$528,$T59)-4),"unavailable"))))</f>
        <v/>
      </c>
      <c r="M59" s="11">
        <f>IF($T59=0,"",IF(INDEX('Market Data'!$J$5:$J$528,$T59)=0,"n/a",IF(IF(INDEX('Market Data'!$J$5:$J$528,$T59)=0,0,IF(LEFT(INDEX('Market Data'!$AS$5:$AS$66,INDEX('Market Data'!$J$5:$J$528,$T59)-4),11)="First-month",1,0))=1,"class review",IF($I59="Bloomberg",IF(AND($Q59="Bloomberg",ISNUMBER('Market Data'!$B$1),N('Market Data'!$B$1)&gt;0),$L59*'Market Data'!$B$1/$E59-1,"pending A/FX"),IF($I59="Snapshot",IF(AND($Q59="Snapshot",$G59=INDEX('Market Data'!$AE$5:$AE$66,INDEX('Market Data'!$J$5:$J$528,$T59)-4)),IFERROR($L59*INDEX('Market Data'!$AD$5:$AD$66,INDEX('Market Data'!$J$5:$J$528,$T59)-4)/$E59-1,"unavailable"),"date mismatch"),"unavailable")))))</f>
        <v/>
      </c>
      <c r="N59" s="11">
        <f>IF($T59=0,"",IFERROR(IF(AND(N(INDEX('Market Data'!$F$5:$F$528,$T59))&gt;0,ISNUMBER(INDEX('Market Data'!$BB$5:$BB$528,$T59))),$E59*INDEX('Market Data'!$BB$5:$BB$528,$T59)/INDEX('Market Data'!$F$5:$F$528,$T59)-1,"unavailable"),"unavailable"))</f>
        <v/>
      </c>
      <c r="O59" s="9">
        <f>IF($T59=0,"",IF(IF(INDEX('Market Data'!$J$5:$J$528,$T59)=0,0,IF(LEFT(INDEX('Market Data'!$AS$5:$AS$66,INDEX('Market Data'!$J$5:$J$528,$T59)-4),11)="First-month",1,0))=1,"Class ratio review",IF($I59="Bloomberg",IF(ISNUMBER($G59),IF($G59&lt;TODAY(),"Older quote","See quote time"),"Date unavailable"),IF($I59="Snapshot",IF($G59&lt;DATEVALUE("2026-10-02"),"Older snapshot","Dated close"),"No valid quote"))))</f>
        <v/>
      </c>
      <c r="P59" s="14">
        <f>IF($T59=0,"",IF(INDEX('Market Data'!$J$5:$J$528,$T59)=0,"n/a",IF($Q59="Bloomberg",IF(AND(ISNUMBER(INDEX('Market Data'!$AK$5:$AK$66,INDEX('Market Data'!$J$5:$J$528,$T59)-4)),N(INDEX('Market Data'!$AK$5:$AK$66,INDEX('Market Data'!$J$5:$J$528,$T59)-4))&gt;0),INDEX('Market Data'!$AK$5:$AK$66,INDEX('Market Data'!$J$5:$J$528,$T59)-4),"date unavailable"),IF($Q59="Snapshot",IF(AND(ISNUMBER(INDEX('Market Data'!$AF$5:$AF$66,INDEX('Market Data'!$J$5:$J$528,$T59)-4)),N(INDEX('Market Data'!$AF$5:$AF$66,INDEX('Market Data'!$J$5:$J$528,$T59)-4))&gt;0),INDEX('Market Data'!$AF$5:$AF$66,INDEX('Market Data'!$J$5:$J$528,$T59)-4),"date unavailable"),"date unavailable"))))</f>
        <v/>
      </c>
      <c r="Q59" s="15">
        <f>IF($T59=0,"",IF(INDEX('Market Data'!$J$5:$J$528,$T59)=0,"n/a",IF(AND($M$5&lt;&gt;"Snapshot",ISNUMBER(INDEX('Market Data'!$AH$5:$AH$66,INDEX('Market Data'!$J$5:$J$528,$T59)-4)),N(INDEX('Market Data'!$AH$5:$AH$66,INDEX('Market Data'!$J$5:$J$528,$T59)-4))&gt;0),"Bloomberg",IF(AND($M$5&lt;&gt;"Bloomberg",ISNUMBER(INDEX('Market Data'!$AC$5:$AC$66,INDEX('Market Data'!$J$5:$J$528,$T59)-4)),N(INDEX('Market Data'!$AC$5:$AC$66,INDEX('Market Data'!$J$5:$J$528,$T59)-4))&gt;0),"Snapshot","Unavailable"))))</f>
        <v/>
      </c>
      <c r="T59">
        <f>IFERROR(MATCH(23,'Market Data'!$AX$5:$AX$528,0),0)</f>
        <v/>
      </c>
    </row>
    <row r="60" ht="34" customHeight="1">
      <c r="A60" s="8">
        <f>IF($T60=0,"",IF(INDEX('Market Data'!$A$5:$A$528,$T60)="","",INDEX('Market Data'!$A$5:$A$528,$T60)))</f>
        <v/>
      </c>
      <c r="B60" s="9">
        <f>IF($T60=0,"",IF(INDEX('Market Data'!$B$5:$B$528,$T60)="","",INDEX('Market Data'!$B$5:$B$528,$T60)))</f>
        <v/>
      </c>
      <c r="C60" s="9">
        <f>IF($T60=0,"",IF(INDEX('Market Data'!$C$5:$C$528,$T60)="","",INDEX('Market Data'!$C$5:$C$528,$T60)))</f>
        <v/>
      </c>
      <c r="D60" s="9">
        <f>IF($T60=0,"",IF(INDEX('Market Data'!$D$5:$D$528,$T60)="","",INDEX('Market Data'!$D$5:$D$528,$T60)))</f>
        <v/>
      </c>
      <c r="E60" s="10">
        <f>IF($T60=0,"",INDEX('Market Data'!$AY$5:$AY$528,$T60))</f>
        <v/>
      </c>
      <c r="F60" s="11">
        <f>IF($T60=0,"",IF(AND($I60="Bloomberg",ISNUMBER(INDEX('Market Data'!$L$5:$L$528,$T60))),INDEX('Market Data'!$L$5:$L$528,$T60),"unavailable"))</f>
        <v/>
      </c>
      <c r="G60" s="12">
        <f>IF($T60=0,"",IF($I60="Bloomberg",IF(AND(ISNUMBER(INDEX('Market Data'!$M$5:$M$528,$T60)),N(INDEX('Market Data'!$M$5:$M$528,$T60))&gt;0),INDEX('Market Data'!$M$5:$M$528,$T60),"date unavailable"),IF($I60="Snapshot",IF(AND(ISNUMBER(INDEX('Market Data'!$H$5:$H$528,$T60)),N(INDEX('Market Data'!$H$5:$H$528,$T60))&gt;0),INDEX('Market Data'!$H$5:$H$528,$T60),"date unavailable"),"date unavailable")))</f>
        <v/>
      </c>
      <c r="H60" s="9">
        <f>IF($T60=0,"",IF($I60="Bloomberg",IF(INDEX('Market Data'!$N$5:$N$528,$T60)="","time unavailable",INDEX('Market Data'!$N$5:$N$528,$T60)),""))</f>
        <v/>
      </c>
      <c r="I60" s="9">
        <f>IF($T60=0,"",INDEX('Market Data'!$AZ$5:$AZ$528,$T60))</f>
        <v/>
      </c>
      <c r="J60" s="13">
        <f>IF($T60=0,"",IF(INDEX('Market Data'!$E$5:$E$528,$T60)="","",INDEX('Market Data'!$E$5:$E$528,$T60)))</f>
        <v/>
      </c>
      <c r="K60" s="8">
        <f>IF($T60=0,"",IF(INDEX('Market Data'!$I$5:$I$528,$T60)="","",INDEX('Market Data'!$I$5:$I$528,$T60)))</f>
        <v/>
      </c>
      <c r="L60" s="10">
        <f>IF($T60=0,"",IF(INDEX('Market Data'!$J$5:$J$528,$T60)=0,"n/a",IF(AND($M$5&lt;&gt;"Snapshot",ISNUMBER(INDEX('Market Data'!$AH$5:$AH$66,INDEX('Market Data'!$J$5:$J$528,$T60)-4)),N(INDEX('Market Data'!$AH$5:$AH$66,INDEX('Market Data'!$J$5:$J$528,$T60)-4))&gt;0),INDEX('Market Data'!$AH$5:$AH$66,INDEX('Market Data'!$J$5:$J$528,$T60)-4),IF(AND($M$5&lt;&gt;"Bloomberg",ISNUMBER(INDEX('Market Data'!$AC$5:$AC$66,INDEX('Market Data'!$J$5:$J$528,$T60)-4)),N(INDEX('Market Data'!$AC$5:$AC$66,INDEX('Market Data'!$J$5:$J$528,$T60)-4))&gt;0),INDEX('Market Data'!$AC$5:$AC$66,INDEX('Market Data'!$J$5:$J$528,$T60)-4),"unavailable"))))</f>
        <v/>
      </c>
      <c r="M60" s="11">
        <f>IF($T60=0,"",IF(INDEX('Market Data'!$J$5:$J$528,$T60)=0,"n/a",IF(IF(INDEX('Market Data'!$J$5:$J$528,$T60)=0,0,IF(LEFT(INDEX('Market Data'!$AS$5:$AS$66,INDEX('Market Data'!$J$5:$J$528,$T60)-4),11)="First-month",1,0))=1,"class review",IF($I60="Bloomberg",IF(AND($Q60="Bloomberg",ISNUMBER('Market Data'!$B$1),N('Market Data'!$B$1)&gt;0),$L60*'Market Data'!$B$1/$E60-1,"pending A/FX"),IF($I60="Snapshot",IF(AND($Q60="Snapshot",$G60=INDEX('Market Data'!$AE$5:$AE$66,INDEX('Market Data'!$J$5:$J$528,$T60)-4)),IFERROR($L60*INDEX('Market Data'!$AD$5:$AD$66,INDEX('Market Data'!$J$5:$J$528,$T60)-4)/$E60-1,"unavailable"),"date mismatch"),"unavailable")))))</f>
        <v/>
      </c>
      <c r="N60" s="11">
        <f>IF($T60=0,"",IFERROR(IF(AND(N(INDEX('Market Data'!$F$5:$F$528,$T60))&gt;0,ISNUMBER(INDEX('Market Data'!$BB$5:$BB$528,$T60))),$E60*INDEX('Market Data'!$BB$5:$BB$528,$T60)/INDEX('Market Data'!$F$5:$F$528,$T60)-1,"unavailable"),"unavailable"))</f>
        <v/>
      </c>
      <c r="O60" s="9">
        <f>IF($T60=0,"",IF(IF(INDEX('Market Data'!$J$5:$J$528,$T60)=0,0,IF(LEFT(INDEX('Market Data'!$AS$5:$AS$66,INDEX('Market Data'!$J$5:$J$528,$T60)-4),11)="First-month",1,0))=1,"Class ratio review",IF($I60="Bloomberg",IF(ISNUMBER($G60),IF($G60&lt;TODAY(),"Older quote","See quote time"),"Date unavailable"),IF($I60="Snapshot",IF($G60&lt;DATEVALUE("2026-10-02"),"Older snapshot","Dated close"),"No valid quote"))))</f>
        <v/>
      </c>
      <c r="P60" s="14">
        <f>IF($T60=0,"",IF(INDEX('Market Data'!$J$5:$J$528,$T60)=0,"n/a",IF($Q60="Bloomberg",IF(AND(ISNUMBER(INDEX('Market Data'!$AK$5:$AK$66,INDEX('Market Data'!$J$5:$J$528,$T60)-4)),N(INDEX('Market Data'!$AK$5:$AK$66,INDEX('Market Data'!$J$5:$J$528,$T60)-4))&gt;0),INDEX('Market Data'!$AK$5:$AK$66,INDEX('Market Data'!$J$5:$J$528,$T60)-4),"date unavailable"),IF($Q60="Snapshot",IF(AND(ISNUMBER(INDEX('Market Data'!$AF$5:$AF$66,INDEX('Market Data'!$J$5:$J$528,$T60)-4)),N(INDEX('Market Data'!$AF$5:$AF$66,INDEX('Market Data'!$J$5:$J$528,$T60)-4))&gt;0),INDEX('Market Data'!$AF$5:$AF$66,INDEX('Market Data'!$J$5:$J$528,$T60)-4),"date unavailable"),"date unavailable"))))</f>
        <v/>
      </c>
      <c r="Q60" s="15">
        <f>IF($T60=0,"",IF(INDEX('Market Data'!$J$5:$J$528,$T60)=0,"n/a",IF(AND($M$5&lt;&gt;"Snapshot",ISNUMBER(INDEX('Market Data'!$AH$5:$AH$66,INDEX('Market Data'!$J$5:$J$528,$T60)-4)),N(INDEX('Market Data'!$AH$5:$AH$66,INDEX('Market Data'!$J$5:$J$528,$T60)-4))&gt;0),"Bloomberg",IF(AND($M$5&lt;&gt;"Bloomberg",ISNUMBER(INDEX('Market Data'!$AC$5:$AC$66,INDEX('Market Data'!$J$5:$J$528,$T60)-4)),N(INDEX('Market Data'!$AC$5:$AC$66,INDEX('Market Data'!$J$5:$J$528,$T60)-4))&gt;0),"Snapshot","Unavailable"))))</f>
        <v/>
      </c>
      <c r="T60">
        <f>IFERROR(MATCH(24,'Market Data'!$AX$5:$AX$528,0),0)</f>
        <v/>
      </c>
    </row>
    <row r="61" ht="34" customHeight="1">
      <c r="A61" s="8">
        <f>IF($T61=0,"",IF(INDEX('Market Data'!$A$5:$A$528,$T61)="","",INDEX('Market Data'!$A$5:$A$528,$T61)))</f>
        <v/>
      </c>
      <c r="B61" s="9">
        <f>IF($T61=0,"",IF(INDEX('Market Data'!$B$5:$B$528,$T61)="","",INDEX('Market Data'!$B$5:$B$528,$T61)))</f>
        <v/>
      </c>
      <c r="C61" s="9">
        <f>IF($T61=0,"",IF(INDEX('Market Data'!$C$5:$C$528,$T61)="","",INDEX('Market Data'!$C$5:$C$528,$T61)))</f>
        <v/>
      </c>
      <c r="D61" s="9">
        <f>IF($T61=0,"",IF(INDEX('Market Data'!$D$5:$D$528,$T61)="","",INDEX('Market Data'!$D$5:$D$528,$T61)))</f>
        <v/>
      </c>
      <c r="E61" s="10">
        <f>IF($T61=0,"",INDEX('Market Data'!$AY$5:$AY$528,$T61))</f>
        <v/>
      </c>
      <c r="F61" s="11">
        <f>IF($T61=0,"",IF(AND($I61="Bloomberg",ISNUMBER(INDEX('Market Data'!$L$5:$L$528,$T61))),INDEX('Market Data'!$L$5:$L$528,$T61),"unavailable"))</f>
        <v/>
      </c>
      <c r="G61" s="12">
        <f>IF($T61=0,"",IF($I61="Bloomberg",IF(AND(ISNUMBER(INDEX('Market Data'!$M$5:$M$528,$T61)),N(INDEX('Market Data'!$M$5:$M$528,$T61))&gt;0),INDEX('Market Data'!$M$5:$M$528,$T61),"date unavailable"),IF($I61="Snapshot",IF(AND(ISNUMBER(INDEX('Market Data'!$H$5:$H$528,$T61)),N(INDEX('Market Data'!$H$5:$H$528,$T61))&gt;0),INDEX('Market Data'!$H$5:$H$528,$T61),"date unavailable"),"date unavailable")))</f>
        <v/>
      </c>
      <c r="H61" s="9">
        <f>IF($T61=0,"",IF($I61="Bloomberg",IF(INDEX('Market Data'!$N$5:$N$528,$T61)="","time unavailable",INDEX('Market Data'!$N$5:$N$528,$T61)),""))</f>
        <v/>
      </c>
      <c r="I61" s="9">
        <f>IF($T61=0,"",INDEX('Market Data'!$AZ$5:$AZ$528,$T61))</f>
        <v/>
      </c>
      <c r="J61" s="13">
        <f>IF($T61=0,"",IF(INDEX('Market Data'!$E$5:$E$528,$T61)="","",INDEX('Market Data'!$E$5:$E$528,$T61)))</f>
        <v/>
      </c>
      <c r="K61" s="8">
        <f>IF($T61=0,"",IF(INDEX('Market Data'!$I$5:$I$528,$T61)="","",INDEX('Market Data'!$I$5:$I$528,$T61)))</f>
        <v/>
      </c>
      <c r="L61" s="10">
        <f>IF($T61=0,"",IF(INDEX('Market Data'!$J$5:$J$528,$T61)=0,"n/a",IF(AND($M$5&lt;&gt;"Snapshot",ISNUMBER(INDEX('Market Data'!$AH$5:$AH$66,INDEX('Market Data'!$J$5:$J$528,$T61)-4)),N(INDEX('Market Data'!$AH$5:$AH$66,INDEX('Market Data'!$J$5:$J$528,$T61)-4))&gt;0),INDEX('Market Data'!$AH$5:$AH$66,INDEX('Market Data'!$J$5:$J$528,$T61)-4),IF(AND($M$5&lt;&gt;"Bloomberg",ISNUMBER(INDEX('Market Data'!$AC$5:$AC$66,INDEX('Market Data'!$J$5:$J$528,$T61)-4)),N(INDEX('Market Data'!$AC$5:$AC$66,INDEX('Market Data'!$J$5:$J$528,$T61)-4))&gt;0),INDEX('Market Data'!$AC$5:$AC$66,INDEX('Market Data'!$J$5:$J$528,$T61)-4),"unavailable"))))</f>
        <v/>
      </c>
      <c r="M61" s="11">
        <f>IF($T61=0,"",IF(INDEX('Market Data'!$J$5:$J$528,$T61)=0,"n/a",IF(IF(INDEX('Market Data'!$J$5:$J$528,$T61)=0,0,IF(LEFT(INDEX('Market Data'!$AS$5:$AS$66,INDEX('Market Data'!$J$5:$J$528,$T61)-4),11)="First-month",1,0))=1,"class review",IF($I61="Bloomberg",IF(AND($Q61="Bloomberg",ISNUMBER('Market Data'!$B$1),N('Market Data'!$B$1)&gt;0),$L61*'Market Data'!$B$1/$E61-1,"pending A/FX"),IF($I61="Snapshot",IF(AND($Q61="Snapshot",$G61=INDEX('Market Data'!$AE$5:$AE$66,INDEX('Market Data'!$J$5:$J$528,$T61)-4)),IFERROR($L61*INDEX('Market Data'!$AD$5:$AD$66,INDEX('Market Data'!$J$5:$J$528,$T61)-4)/$E61-1,"unavailable"),"date mismatch"),"unavailable")))))</f>
        <v/>
      </c>
      <c r="N61" s="11">
        <f>IF($T61=0,"",IFERROR(IF(AND(N(INDEX('Market Data'!$F$5:$F$528,$T61))&gt;0,ISNUMBER(INDEX('Market Data'!$BB$5:$BB$528,$T61))),$E61*INDEX('Market Data'!$BB$5:$BB$528,$T61)/INDEX('Market Data'!$F$5:$F$528,$T61)-1,"unavailable"),"unavailable"))</f>
        <v/>
      </c>
      <c r="O61" s="9">
        <f>IF($T61=0,"",IF(IF(INDEX('Market Data'!$J$5:$J$528,$T61)=0,0,IF(LEFT(INDEX('Market Data'!$AS$5:$AS$66,INDEX('Market Data'!$J$5:$J$528,$T61)-4),11)="First-month",1,0))=1,"Class ratio review",IF($I61="Bloomberg",IF(ISNUMBER($G61),IF($G61&lt;TODAY(),"Older quote","See quote time"),"Date unavailable"),IF($I61="Snapshot",IF($G61&lt;DATEVALUE("2026-10-02"),"Older snapshot","Dated close"),"No valid quote"))))</f>
        <v/>
      </c>
      <c r="P61" s="14">
        <f>IF($T61=0,"",IF(INDEX('Market Data'!$J$5:$J$528,$T61)=0,"n/a",IF($Q61="Bloomberg",IF(AND(ISNUMBER(INDEX('Market Data'!$AK$5:$AK$66,INDEX('Market Data'!$J$5:$J$528,$T61)-4)),N(INDEX('Market Data'!$AK$5:$AK$66,INDEX('Market Data'!$J$5:$J$528,$T61)-4))&gt;0),INDEX('Market Data'!$AK$5:$AK$66,INDEX('Market Data'!$J$5:$J$528,$T61)-4),"date unavailable"),IF($Q61="Snapshot",IF(AND(ISNUMBER(INDEX('Market Data'!$AF$5:$AF$66,INDEX('Market Data'!$J$5:$J$528,$T61)-4)),N(INDEX('Market Data'!$AF$5:$AF$66,INDEX('Market Data'!$J$5:$J$528,$T61)-4))&gt;0),INDEX('Market Data'!$AF$5:$AF$66,INDEX('Market Data'!$J$5:$J$528,$T61)-4),"date unavailable"),"date unavailable"))))</f>
        <v/>
      </c>
      <c r="Q61" s="15">
        <f>IF($T61=0,"",IF(INDEX('Market Data'!$J$5:$J$528,$T61)=0,"n/a",IF(AND($M$5&lt;&gt;"Snapshot",ISNUMBER(INDEX('Market Data'!$AH$5:$AH$66,INDEX('Market Data'!$J$5:$J$528,$T61)-4)),N(INDEX('Market Data'!$AH$5:$AH$66,INDEX('Market Data'!$J$5:$J$528,$T61)-4))&gt;0),"Bloomberg",IF(AND($M$5&lt;&gt;"Bloomberg",ISNUMBER(INDEX('Market Data'!$AC$5:$AC$66,INDEX('Market Data'!$J$5:$J$528,$T61)-4)),N(INDEX('Market Data'!$AC$5:$AC$66,INDEX('Market Data'!$J$5:$J$528,$T61)-4))&gt;0),"Snapshot","Unavailable"))))</f>
        <v/>
      </c>
      <c r="T61">
        <f>IFERROR(MATCH(25,'Market Data'!$AX$5:$AX$528,0),0)</f>
        <v/>
      </c>
    </row>
    <row r="62" ht="34" customHeight="1">
      <c r="A62" s="8">
        <f>IF($T62=0,"",IF(INDEX('Market Data'!$A$5:$A$528,$T62)="","",INDEX('Market Data'!$A$5:$A$528,$T62)))</f>
        <v/>
      </c>
      <c r="B62" s="9">
        <f>IF($T62=0,"",IF(INDEX('Market Data'!$B$5:$B$528,$T62)="","",INDEX('Market Data'!$B$5:$B$528,$T62)))</f>
        <v/>
      </c>
      <c r="C62" s="9">
        <f>IF($T62=0,"",IF(INDEX('Market Data'!$C$5:$C$528,$T62)="","",INDEX('Market Data'!$C$5:$C$528,$T62)))</f>
        <v/>
      </c>
      <c r="D62" s="9">
        <f>IF($T62=0,"",IF(INDEX('Market Data'!$D$5:$D$528,$T62)="","",INDEX('Market Data'!$D$5:$D$528,$T62)))</f>
        <v/>
      </c>
      <c r="E62" s="10">
        <f>IF($T62=0,"",INDEX('Market Data'!$AY$5:$AY$528,$T62))</f>
        <v/>
      </c>
      <c r="F62" s="11">
        <f>IF($T62=0,"",IF(AND($I62="Bloomberg",ISNUMBER(INDEX('Market Data'!$L$5:$L$528,$T62))),INDEX('Market Data'!$L$5:$L$528,$T62),"unavailable"))</f>
        <v/>
      </c>
      <c r="G62" s="12">
        <f>IF($T62=0,"",IF($I62="Bloomberg",IF(AND(ISNUMBER(INDEX('Market Data'!$M$5:$M$528,$T62)),N(INDEX('Market Data'!$M$5:$M$528,$T62))&gt;0),INDEX('Market Data'!$M$5:$M$528,$T62),"date unavailable"),IF($I62="Snapshot",IF(AND(ISNUMBER(INDEX('Market Data'!$H$5:$H$528,$T62)),N(INDEX('Market Data'!$H$5:$H$528,$T62))&gt;0),INDEX('Market Data'!$H$5:$H$528,$T62),"date unavailable"),"date unavailable")))</f>
        <v/>
      </c>
      <c r="H62" s="9">
        <f>IF($T62=0,"",IF($I62="Bloomberg",IF(INDEX('Market Data'!$N$5:$N$528,$T62)="","time unavailable",INDEX('Market Data'!$N$5:$N$528,$T62)),""))</f>
        <v/>
      </c>
      <c r="I62" s="9">
        <f>IF($T62=0,"",INDEX('Market Data'!$AZ$5:$AZ$528,$T62))</f>
        <v/>
      </c>
      <c r="J62" s="13">
        <f>IF($T62=0,"",IF(INDEX('Market Data'!$E$5:$E$528,$T62)="","",INDEX('Market Data'!$E$5:$E$528,$T62)))</f>
        <v/>
      </c>
      <c r="K62" s="8">
        <f>IF($T62=0,"",IF(INDEX('Market Data'!$I$5:$I$528,$T62)="","",INDEX('Market Data'!$I$5:$I$528,$T62)))</f>
        <v/>
      </c>
      <c r="L62" s="10">
        <f>IF($T62=0,"",IF(INDEX('Market Data'!$J$5:$J$528,$T62)=0,"n/a",IF(AND($M$5&lt;&gt;"Snapshot",ISNUMBER(INDEX('Market Data'!$AH$5:$AH$66,INDEX('Market Data'!$J$5:$J$528,$T62)-4)),N(INDEX('Market Data'!$AH$5:$AH$66,INDEX('Market Data'!$J$5:$J$528,$T62)-4))&gt;0),INDEX('Market Data'!$AH$5:$AH$66,INDEX('Market Data'!$J$5:$J$528,$T62)-4),IF(AND($M$5&lt;&gt;"Bloomberg",ISNUMBER(INDEX('Market Data'!$AC$5:$AC$66,INDEX('Market Data'!$J$5:$J$528,$T62)-4)),N(INDEX('Market Data'!$AC$5:$AC$66,INDEX('Market Data'!$J$5:$J$528,$T62)-4))&gt;0),INDEX('Market Data'!$AC$5:$AC$66,INDEX('Market Data'!$J$5:$J$528,$T62)-4),"unavailable"))))</f>
        <v/>
      </c>
      <c r="M62" s="11">
        <f>IF($T62=0,"",IF(INDEX('Market Data'!$J$5:$J$528,$T62)=0,"n/a",IF(IF(INDEX('Market Data'!$J$5:$J$528,$T62)=0,0,IF(LEFT(INDEX('Market Data'!$AS$5:$AS$66,INDEX('Market Data'!$J$5:$J$528,$T62)-4),11)="First-month",1,0))=1,"class review",IF($I62="Bloomberg",IF(AND($Q62="Bloomberg",ISNUMBER('Market Data'!$B$1),N('Market Data'!$B$1)&gt;0),$L62*'Market Data'!$B$1/$E62-1,"pending A/FX"),IF($I62="Snapshot",IF(AND($Q62="Snapshot",$G62=INDEX('Market Data'!$AE$5:$AE$66,INDEX('Market Data'!$J$5:$J$528,$T62)-4)),IFERROR($L62*INDEX('Market Data'!$AD$5:$AD$66,INDEX('Market Data'!$J$5:$J$528,$T62)-4)/$E62-1,"unavailable"),"date mismatch"),"unavailable")))))</f>
        <v/>
      </c>
      <c r="N62" s="11">
        <f>IF($T62=0,"",IFERROR(IF(AND(N(INDEX('Market Data'!$F$5:$F$528,$T62))&gt;0,ISNUMBER(INDEX('Market Data'!$BB$5:$BB$528,$T62))),$E62*INDEX('Market Data'!$BB$5:$BB$528,$T62)/INDEX('Market Data'!$F$5:$F$528,$T62)-1,"unavailable"),"unavailable"))</f>
        <v/>
      </c>
      <c r="O62" s="9">
        <f>IF($T62=0,"",IF(IF(INDEX('Market Data'!$J$5:$J$528,$T62)=0,0,IF(LEFT(INDEX('Market Data'!$AS$5:$AS$66,INDEX('Market Data'!$J$5:$J$528,$T62)-4),11)="First-month",1,0))=1,"Class ratio review",IF($I62="Bloomberg",IF(ISNUMBER($G62),IF($G62&lt;TODAY(),"Older quote","See quote time"),"Date unavailable"),IF($I62="Snapshot",IF($G62&lt;DATEVALUE("2026-10-02"),"Older snapshot","Dated close"),"No valid quote"))))</f>
        <v/>
      </c>
      <c r="P62" s="14">
        <f>IF($T62=0,"",IF(INDEX('Market Data'!$J$5:$J$528,$T62)=0,"n/a",IF($Q62="Bloomberg",IF(AND(ISNUMBER(INDEX('Market Data'!$AK$5:$AK$66,INDEX('Market Data'!$J$5:$J$528,$T62)-4)),N(INDEX('Market Data'!$AK$5:$AK$66,INDEX('Market Data'!$J$5:$J$528,$T62)-4))&gt;0),INDEX('Market Data'!$AK$5:$AK$66,INDEX('Market Data'!$J$5:$J$528,$T62)-4),"date unavailable"),IF($Q62="Snapshot",IF(AND(ISNUMBER(INDEX('Market Data'!$AF$5:$AF$66,INDEX('Market Data'!$J$5:$J$528,$T62)-4)),N(INDEX('Market Data'!$AF$5:$AF$66,INDEX('Market Data'!$J$5:$J$528,$T62)-4))&gt;0),INDEX('Market Data'!$AF$5:$AF$66,INDEX('Market Data'!$J$5:$J$528,$T62)-4),"date unavailable"),"date unavailable"))))</f>
        <v/>
      </c>
      <c r="Q62" s="15">
        <f>IF($T62=0,"",IF(INDEX('Market Data'!$J$5:$J$528,$T62)=0,"n/a",IF(AND($M$5&lt;&gt;"Snapshot",ISNUMBER(INDEX('Market Data'!$AH$5:$AH$66,INDEX('Market Data'!$J$5:$J$528,$T62)-4)),N(INDEX('Market Data'!$AH$5:$AH$66,INDEX('Market Data'!$J$5:$J$528,$T62)-4))&gt;0),"Bloomberg",IF(AND($M$5&lt;&gt;"Bloomberg",ISNUMBER(INDEX('Market Data'!$AC$5:$AC$66,INDEX('Market Data'!$J$5:$J$528,$T62)-4)),N(INDEX('Market Data'!$AC$5:$AC$66,INDEX('Market Data'!$J$5:$J$528,$T62)-4))&gt;0),"Snapshot","Unavailable"))))</f>
        <v/>
      </c>
      <c r="T62">
        <f>IFERROR(MATCH(26,'Market Data'!$AX$5:$AX$528,0),0)</f>
        <v/>
      </c>
    </row>
    <row r="63" ht="34" customHeight="1">
      <c r="A63" s="8">
        <f>IF($T63=0,"",IF(INDEX('Market Data'!$A$5:$A$528,$T63)="","",INDEX('Market Data'!$A$5:$A$528,$T63)))</f>
        <v/>
      </c>
      <c r="B63" s="9">
        <f>IF($T63=0,"",IF(INDEX('Market Data'!$B$5:$B$528,$T63)="","",INDEX('Market Data'!$B$5:$B$528,$T63)))</f>
        <v/>
      </c>
      <c r="C63" s="9">
        <f>IF($T63=0,"",IF(INDEX('Market Data'!$C$5:$C$528,$T63)="","",INDEX('Market Data'!$C$5:$C$528,$T63)))</f>
        <v/>
      </c>
      <c r="D63" s="9">
        <f>IF($T63=0,"",IF(INDEX('Market Data'!$D$5:$D$528,$T63)="","",INDEX('Market Data'!$D$5:$D$528,$T63)))</f>
        <v/>
      </c>
      <c r="E63" s="10">
        <f>IF($T63=0,"",INDEX('Market Data'!$AY$5:$AY$528,$T63))</f>
        <v/>
      </c>
      <c r="F63" s="11">
        <f>IF($T63=0,"",IF(AND($I63="Bloomberg",ISNUMBER(INDEX('Market Data'!$L$5:$L$528,$T63))),INDEX('Market Data'!$L$5:$L$528,$T63),"unavailable"))</f>
        <v/>
      </c>
      <c r="G63" s="12">
        <f>IF($T63=0,"",IF($I63="Bloomberg",IF(AND(ISNUMBER(INDEX('Market Data'!$M$5:$M$528,$T63)),N(INDEX('Market Data'!$M$5:$M$528,$T63))&gt;0),INDEX('Market Data'!$M$5:$M$528,$T63),"date unavailable"),IF($I63="Snapshot",IF(AND(ISNUMBER(INDEX('Market Data'!$H$5:$H$528,$T63)),N(INDEX('Market Data'!$H$5:$H$528,$T63))&gt;0),INDEX('Market Data'!$H$5:$H$528,$T63),"date unavailable"),"date unavailable")))</f>
        <v/>
      </c>
      <c r="H63" s="9">
        <f>IF($T63=0,"",IF($I63="Bloomberg",IF(INDEX('Market Data'!$N$5:$N$528,$T63)="","time unavailable",INDEX('Market Data'!$N$5:$N$528,$T63)),""))</f>
        <v/>
      </c>
      <c r="I63" s="9">
        <f>IF($T63=0,"",INDEX('Market Data'!$AZ$5:$AZ$528,$T63))</f>
        <v/>
      </c>
      <c r="J63" s="13">
        <f>IF($T63=0,"",IF(INDEX('Market Data'!$E$5:$E$528,$T63)="","",INDEX('Market Data'!$E$5:$E$528,$T63)))</f>
        <v/>
      </c>
      <c r="K63" s="8">
        <f>IF($T63=0,"",IF(INDEX('Market Data'!$I$5:$I$528,$T63)="","",INDEX('Market Data'!$I$5:$I$528,$T63)))</f>
        <v/>
      </c>
      <c r="L63" s="10">
        <f>IF($T63=0,"",IF(INDEX('Market Data'!$J$5:$J$528,$T63)=0,"n/a",IF(AND($M$5&lt;&gt;"Snapshot",ISNUMBER(INDEX('Market Data'!$AH$5:$AH$66,INDEX('Market Data'!$J$5:$J$528,$T63)-4)),N(INDEX('Market Data'!$AH$5:$AH$66,INDEX('Market Data'!$J$5:$J$528,$T63)-4))&gt;0),INDEX('Market Data'!$AH$5:$AH$66,INDEX('Market Data'!$J$5:$J$528,$T63)-4),IF(AND($M$5&lt;&gt;"Bloomberg",ISNUMBER(INDEX('Market Data'!$AC$5:$AC$66,INDEX('Market Data'!$J$5:$J$528,$T63)-4)),N(INDEX('Market Data'!$AC$5:$AC$66,INDEX('Market Data'!$J$5:$J$528,$T63)-4))&gt;0),INDEX('Market Data'!$AC$5:$AC$66,INDEX('Market Data'!$J$5:$J$528,$T63)-4),"unavailable"))))</f>
        <v/>
      </c>
      <c r="M63" s="11">
        <f>IF($T63=0,"",IF(INDEX('Market Data'!$J$5:$J$528,$T63)=0,"n/a",IF(IF(INDEX('Market Data'!$J$5:$J$528,$T63)=0,0,IF(LEFT(INDEX('Market Data'!$AS$5:$AS$66,INDEX('Market Data'!$J$5:$J$528,$T63)-4),11)="First-month",1,0))=1,"class review",IF($I63="Bloomberg",IF(AND($Q63="Bloomberg",ISNUMBER('Market Data'!$B$1),N('Market Data'!$B$1)&gt;0),$L63*'Market Data'!$B$1/$E63-1,"pending A/FX"),IF($I63="Snapshot",IF(AND($Q63="Snapshot",$G63=INDEX('Market Data'!$AE$5:$AE$66,INDEX('Market Data'!$J$5:$J$528,$T63)-4)),IFERROR($L63*INDEX('Market Data'!$AD$5:$AD$66,INDEX('Market Data'!$J$5:$J$528,$T63)-4)/$E63-1,"unavailable"),"date mismatch"),"unavailable")))))</f>
        <v/>
      </c>
      <c r="N63" s="11">
        <f>IF($T63=0,"",IFERROR(IF(AND(N(INDEX('Market Data'!$F$5:$F$528,$T63))&gt;0,ISNUMBER(INDEX('Market Data'!$BB$5:$BB$528,$T63))),$E63*INDEX('Market Data'!$BB$5:$BB$528,$T63)/INDEX('Market Data'!$F$5:$F$528,$T63)-1,"unavailable"),"unavailable"))</f>
        <v/>
      </c>
      <c r="O63" s="9">
        <f>IF($T63=0,"",IF(IF(INDEX('Market Data'!$J$5:$J$528,$T63)=0,0,IF(LEFT(INDEX('Market Data'!$AS$5:$AS$66,INDEX('Market Data'!$J$5:$J$528,$T63)-4),11)="First-month",1,0))=1,"Class ratio review",IF($I63="Bloomberg",IF(ISNUMBER($G63),IF($G63&lt;TODAY(),"Older quote","See quote time"),"Date unavailable"),IF($I63="Snapshot",IF($G63&lt;DATEVALUE("2026-10-02"),"Older snapshot","Dated close"),"No valid quote"))))</f>
        <v/>
      </c>
      <c r="P63" s="14">
        <f>IF($T63=0,"",IF(INDEX('Market Data'!$J$5:$J$528,$T63)=0,"n/a",IF($Q63="Bloomberg",IF(AND(ISNUMBER(INDEX('Market Data'!$AK$5:$AK$66,INDEX('Market Data'!$J$5:$J$528,$T63)-4)),N(INDEX('Market Data'!$AK$5:$AK$66,INDEX('Market Data'!$J$5:$J$528,$T63)-4))&gt;0),INDEX('Market Data'!$AK$5:$AK$66,INDEX('Market Data'!$J$5:$J$528,$T63)-4),"date unavailable"),IF($Q63="Snapshot",IF(AND(ISNUMBER(INDEX('Market Data'!$AF$5:$AF$66,INDEX('Market Data'!$J$5:$J$528,$T63)-4)),N(INDEX('Market Data'!$AF$5:$AF$66,INDEX('Market Data'!$J$5:$J$528,$T63)-4))&gt;0),INDEX('Market Data'!$AF$5:$AF$66,INDEX('Market Data'!$J$5:$J$528,$T63)-4),"date unavailable"),"date unavailable"))))</f>
        <v/>
      </c>
      <c r="Q63" s="15">
        <f>IF($T63=0,"",IF(INDEX('Market Data'!$J$5:$J$528,$T63)=0,"n/a",IF(AND($M$5&lt;&gt;"Snapshot",ISNUMBER(INDEX('Market Data'!$AH$5:$AH$66,INDEX('Market Data'!$J$5:$J$528,$T63)-4)),N(INDEX('Market Data'!$AH$5:$AH$66,INDEX('Market Data'!$J$5:$J$528,$T63)-4))&gt;0),"Bloomberg",IF(AND($M$5&lt;&gt;"Bloomberg",ISNUMBER(INDEX('Market Data'!$AC$5:$AC$66,INDEX('Market Data'!$J$5:$J$528,$T63)-4)),N(INDEX('Market Data'!$AC$5:$AC$66,INDEX('Market Data'!$J$5:$J$528,$T63)-4))&gt;0),"Snapshot","Unavailable"))))</f>
        <v/>
      </c>
      <c r="T63">
        <f>IFERROR(MATCH(27,'Market Data'!$AX$5:$AX$528,0),0)</f>
        <v/>
      </c>
    </row>
    <row r="64" ht="34" customHeight="1">
      <c r="A64" s="8">
        <f>IF($T64=0,"",IF(INDEX('Market Data'!$A$5:$A$528,$T64)="","",INDEX('Market Data'!$A$5:$A$528,$T64)))</f>
        <v/>
      </c>
      <c r="B64" s="9">
        <f>IF($T64=0,"",IF(INDEX('Market Data'!$B$5:$B$528,$T64)="","",INDEX('Market Data'!$B$5:$B$528,$T64)))</f>
        <v/>
      </c>
      <c r="C64" s="9">
        <f>IF($T64=0,"",IF(INDEX('Market Data'!$C$5:$C$528,$T64)="","",INDEX('Market Data'!$C$5:$C$528,$T64)))</f>
        <v/>
      </c>
      <c r="D64" s="9">
        <f>IF($T64=0,"",IF(INDEX('Market Data'!$D$5:$D$528,$T64)="","",INDEX('Market Data'!$D$5:$D$528,$T64)))</f>
        <v/>
      </c>
      <c r="E64" s="10">
        <f>IF($T64=0,"",INDEX('Market Data'!$AY$5:$AY$528,$T64))</f>
        <v/>
      </c>
      <c r="F64" s="11">
        <f>IF($T64=0,"",IF(AND($I64="Bloomberg",ISNUMBER(INDEX('Market Data'!$L$5:$L$528,$T64))),INDEX('Market Data'!$L$5:$L$528,$T64),"unavailable"))</f>
        <v/>
      </c>
      <c r="G64" s="12">
        <f>IF($T64=0,"",IF($I64="Bloomberg",IF(AND(ISNUMBER(INDEX('Market Data'!$M$5:$M$528,$T64)),N(INDEX('Market Data'!$M$5:$M$528,$T64))&gt;0),INDEX('Market Data'!$M$5:$M$528,$T64),"date unavailable"),IF($I64="Snapshot",IF(AND(ISNUMBER(INDEX('Market Data'!$H$5:$H$528,$T64)),N(INDEX('Market Data'!$H$5:$H$528,$T64))&gt;0),INDEX('Market Data'!$H$5:$H$528,$T64),"date unavailable"),"date unavailable")))</f>
        <v/>
      </c>
      <c r="H64" s="9">
        <f>IF($T64=0,"",IF($I64="Bloomberg",IF(INDEX('Market Data'!$N$5:$N$528,$T64)="","time unavailable",INDEX('Market Data'!$N$5:$N$528,$T64)),""))</f>
        <v/>
      </c>
      <c r="I64" s="9">
        <f>IF($T64=0,"",INDEX('Market Data'!$AZ$5:$AZ$528,$T64))</f>
        <v/>
      </c>
      <c r="J64" s="13">
        <f>IF($T64=0,"",IF(INDEX('Market Data'!$E$5:$E$528,$T64)="","",INDEX('Market Data'!$E$5:$E$528,$T64)))</f>
        <v/>
      </c>
      <c r="K64" s="8">
        <f>IF($T64=0,"",IF(INDEX('Market Data'!$I$5:$I$528,$T64)="","",INDEX('Market Data'!$I$5:$I$528,$T64)))</f>
        <v/>
      </c>
      <c r="L64" s="10">
        <f>IF($T64=0,"",IF(INDEX('Market Data'!$J$5:$J$528,$T64)=0,"n/a",IF(AND($M$5&lt;&gt;"Snapshot",ISNUMBER(INDEX('Market Data'!$AH$5:$AH$66,INDEX('Market Data'!$J$5:$J$528,$T64)-4)),N(INDEX('Market Data'!$AH$5:$AH$66,INDEX('Market Data'!$J$5:$J$528,$T64)-4))&gt;0),INDEX('Market Data'!$AH$5:$AH$66,INDEX('Market Data'!$J$5:$J$528,$T64)-4),IF(AND($M$5&lt;&gt;"Bloomberg",ISNUMBER(INDEX('Market Data'!$AC$5:$AC$66,INDEX('Market Data'!$J$5:$J$528,$T64)-4)),N(INDEX('Market Data'!$AC$5:$AC$66,INDEX('Market Data'!$J$5:$J$528,$T64)-4))&gt;0),INDEX('Market Data'!$AC$5:$AC$66,INDEX('Market Data'!$J$5:$J$528,$T64)-4),"unavailable"))))</f>
        <v/>
      </c>
      <c r="M64" s="11">
        <f>IF($T64=0,"",IF(INDEX('Market Data'!$J$5:$J$528,$T64)=0,"n/a",IF(IF(INDEX('Market Data'!$J$5:$J$528,$T64)=0,0,IF(LEFT(INDEX('Market Data'!$AS$5:$AS$66,INDEX('Market Data'!$J$5:$J$528,$T64)-4),11)="First-month",1,0))=1,"class review",IF($I64="Bloomberg",IF(AND($Q64="Bloomberg",ISNUMBER('Market Data'!$B$1),N('Market Data'!$B$1)&gt;0),$L64*'Market Data'!$B$1/$E64-1,"pending A/FX"),IF($I64="Snapshot",IF(AND($Q64="Snapshot",$G64=INDEX('Market Data'!$AE$5:$AE$66,INDEX('Market Data'!$J$5:$J$528,$T64)-4)),IFERROR($L64*INDEX('Market Data'!$AD$5:$AD$66,INDEX('Market Data'!$J$5:$J$528,$T64)-4)/$E64-1,"unavailable"),"date mismatch"),"unavailable")))))</f>
        <v/>
      </c>
      <c r="N64" s="11">
        <f>IF($T64=0,"",IFERROR(IF(AND(N(INDEX('Market Data'!$F$5:$F$528,$T64))&gt;0,ISNUMBER(INDEX('Market Data'!$BB$5:$BB$528,$T64))),$E64*INDEX('Market Data'!$BB$5:$BB$528,$T64)/INDEX('Market Data'!$F$5:$F$528,$T64)-1,"unavailable"),"unavailable"))</f>
        <v/>
      </c>
      <c r="O64" s="9">
        <f>IF($T64=0,"",IF(IF(INDEX('Market Data'!$J$5:$J$528,$T64)=0,0,IF(LEFT(INDEX('Market Data'!$AS$5:$AS$66,INDEX('Market Data'!$J$5:$J$528,$T64)-4),11)="First-month",1,0))=1,"Class ratio review",IF($I64="Bloomberg",IF(ISNUMBER($G64),IF($G64&lt;TODAY(),"Older quote","See quote time"),"Date unavailable"),IF($I64="Snapshot",IF($G64&lt;DATEVALUE("2026-10-02"),"Older snapshot","Dated close"),"No valid quote"))))</f>
        <v/>
      </c>
      <c r="P64" s="14">
        <f>IF($T64=0,"",IF(INDEX('Market Data'!$J$5:$J$528,$T64)=0,"n/a",IF($Q64="Bloomberg",IF(AND(ISNUMBER(INDEX('Market Data'!$AK$5:$AK$66,INDEX('Market Data'!$J$5:$J$528,$T64)-4)),N(INDEX('Market Data'!$AK$5:$AK$66,INDEX('Market Data'!$J$5:$J$528,$T64)-4))&gt;0),INDEX('Market Data'!$AK$5:$AK$66,INDEX('Market Data'!$J$5:$J$528,$T64)-4),"date unavailable"),IF($Q64="Snapshot",IF(AND(ISNUMBER(INDEX('Market Data'!$AF$5:$AF$66,INDEX('Market Data'!$J$5:$J$528,$T64)-4)),N(INDEX('Market Data'!$AF$5:$AF$66,INDEX('Market Data'!$J$5:$J$528,$T64)-4))&gt;0),INDEX('Market Data'!$AF$5:$AF$66,INDEX('Market Data'!$J$5:$J$528,$T64)-4),"date unavailable"),"date unavailable"))))</f>
        <v/>
      </c>
      <c r="Q64" s="15">
        <f>IF($T64=0,"",IF(INDEX('Market Data'!$J$5:$J$528,$T64)=0,"n/a",IF(AND($M$5&lt;&gt;"Snapshot",ISNUMBER(INDEX('Market Data'!$AH$5:$AH$66,INDEX('Market Data'!$J$5:$J$528,$T64)-4)),N(INDEX('Market Data'!$AH$5:$AH$66,INDEX('Market Data'!$J$5:$J$528,$T64)-4))&gt;0),"Bloomberg",IF(AND($M$5&lt;&gt;"Bloomberg",ISNUMBER(INDEX('Market Data'!$AC$5:$AC$66,INDEX('Market Data'!$J$5:$J$528,$T64)-4)),N(INDEX('Market Data'!$AC$5:$AC$66,INDEX('Market Data'!$J$5:$J$528,$T64)-4))&gt;0),"Snapshot","Unavailable"))))</f>
        <v/>
      </c>
      <c r="T64">
        <f>IFERROR(MATCH(28,'Market Data'!$AX$5:$AX$528,0),0)</f>
        <v/>
      </c>
    </row>
    <row r="65" ht="34" customHeight="1">
      <c r="A65" s="8">
        <f>IF($T65=0,"",IF(INDEX('Market Data'!$A$5:$A$528,$T65)="","",INDEX('Market Data'!$A$5:$A$528,$T65)))</f>
        <v/>
      </c>
      <c r="B65" s="9">
        <f>IF($T65=0,"",IF(INDEX('Market Data'!$B$5:$B$528,$T65)="","",INDEX('Market Data'!$B$5:$B$528,$T65)))</f>
        <v/>
      </c>
      <c r="C65" s="9">
        <f>IF($T65=0,"",IF(INDEX('Market Data'!$C$5:$C$528,$T65)="","",INDEX('Market Data'!$C$5:$C$528,$T65)))</f>
        <v/>
      </c>
      <c r="D65" s="9">
        <f>IF($T65=0,"",IF(INDEX('Market Data'!$D$5:$D$528,$T65)="","",INDEX('Market Data'!$D$5:$D$528,$T65)))</f>
        <v/>
      </c>
      <c r="E65" s="10">
        <f>IF($T65=0,"",INDEX('Market Data'!$AY$5:$AY$528,$T65))</f>
        <v/>
      </c>
      <c r="F65" s="11">
        <f>IF($T65=0,"",IF(AND($I65="Bloomberg",ISNUMBER(INDEX('Market Data'!$L$5:$L$528,$T65))),INDEX('Market Data'!$L$5:$L$528,$T65),"unavailable"))</f>
        <v/>
      </c>
      <c r="G65" s="12">
        <f>IF($T65=0,"",IF($I65="Bloomberg",IF(AND(ISNUMBER(INDEX('Market Data'!$M$5:$M$528,$T65)),N(INDEX('Market Data'!$M$5:$M$528,$T65))&gt;0),INDEX('Market Data'!$M$5:$M$528,$T65),"date unavailable"),IF($I65="Snapshot",IF(AND(ISNUMBER(INDEX('Market Data'!$H$5:$H$528,$T65)),N(INDEX('Market Data'!$H$5:$H$528,$T65))&gt;0),INDEX('Market Data'!$H$5:$H$528,$T65),"date unavailable"),"date unavailable")))</f>
        <v/>
      </c>
      <c r="H65" s="9">
        <f>IF($T65=0,"",IF($I65="Bloomberg",IF(INDEX('Market Data'!$N$5:$N$528,$T65)="","time unavailable",INDEX('Market Data'!$N$5:$N$528,$T65)),""))</f>
        <v/>
      </c>
      <c r="I65" s="9">
        <f>IF($T65=0,"",INDEX('Market Data'!$AZ$5:$AZ$528,$T65))</f>
        <v/>
      </c>
      <c r="J65" s="13">
        <f>IF($T65=0,"",IF(INDEX('Market Data'!$E$5:$E$528,$T65)="","",INDEX('Market Data'!$E$5:$E$528,$T65)))</f>
        <v/>
      </c>
      <c r="K65" s="8">
        <f>IF($T65=0,"",IF(INDEX('Market Data'!$I$5:$I$528,$T65)="","",INDEX('Market Data'!$I$5:$I$528,$T65)))</f>
        <v/>
      </c>
      <c r="L65" s="10">
        <f>IF($T65=0,"",IF(INDEX('Market Data'!$J$5:$J$528,$T65)=0,"n/a",IF(AND($M$5&lt;&gt;"Snapshot",ISNUMBER(INDEX('Market Data'!$AH$5:$AH$66,INDEX('Market Data'!$J$5:$J$528,$T65)-4)),N(INDEX('Market Data'!$AH$5:$AH$66,INDEX('Market Data'!$J$5:$J$528,$T65)-4))&gt;0),INDEX('Market Data'!$AH$5:$AH$66,INDEX('Market Data'!$J$5:$J$528,$T65)-4),IF(AND($M$5&lt;&gt;"Bloomberg",ISNUMBER(INDEX('Market Data'!$AC$5:$AC$66,INDEX('Market Data'!$J$5:$J$528,$T65)-4)),N(INDEX('Market Data'!$AC$5:$AC$66,INDEX('Market Data'!$J$5:$J$528,$T65)-4))&gt;0),INDEX('Market Data'!$AC$5:$AC$66,INDEX('Market Data'!$J$5:$J$528,$T65)-4),"unavailable"))))</f>
        <v/>
      </c>
      <c r="M65" s="11">
        <f>IF($T65=0,"",IF(INDEX('Market Data'!$J$5:$J$528,$T65)=0,"n/a",IF(IF(INDEX('Market Data'!$J$5:$J$528,$T65)=0,0,IF(LEFT(INDEX('Market Data'!$AS$5:$AS$66,INDEX('Market Data'!$J$5:$J$528,$T65)-4),11)="First-month",1,0))=1,"class review",IF($I65="Bloomberg",IF(AND($Q65="Bloomberg",ISNUMBER('Market Data'!$B$1),N('Market Data'!$B$1)&gt;0),$L65*'Market Data'!$B$1/$E65-1,"pending A/FX"),IF($I65="Snapshot",IF(AND($Q65="Snapshot",$G65=INDEX('Market Data'!$AE$5:$AE$66,INDEX('Market Data'!$J$5:$J$528,$T65)-4)),IFERROR($L65*INDEX('Market Data'!$AD$5:$AD$66,INDEX('Market Data'!$J$5:$J$528,$T65)-4)/$E65-1,"unavailable"),"date mismatch"),"unavailable")))))</f>
        <v/>
      </c>
      <c r="N65" s="11">
        <f>IF($T65=0,"",IFERROR(IF(AND(N(INDEX('Market Data'!$F$5:$F$528,$T65))&gt;0,ISNUMBER(INDEX('Market Data'!$BB$5:$BB$528,$T65))),$E65*INDEX('Market Data'!$BB$5:$BB$528,$T65)/INDEX('Market Data'!$F$5:$F$528,$T65)-1,"unavailable"),"unavailable"))</f>
        <v/>
      </c>
      <c r="O65" s="9">
        <f>IF($T65=0,"",IF(IF(INDEX('Market Data'!$J$5:$J$528,$T65)=0,0,IF(LEFT(INDEX('Market Data'!$AS$5:$AS$66,INDEX('Market Data'!$J$5:$J$528,$T65)-4),11)="First-month",1,0))=1,"Class ratio review",IF($I65="Bloomberg",IF(ISNUMBER($G65),IF($G65&lt;TODAY(),"Older quote","See quote time"),"Date unavailable"),IF($I65="Snapshot",IF($G65&lt;DATEVALUE("2026-10-02"),"Older snapshot","Dated close"),"No valid quote"))))</f>
        <v/>
      </c>
      <c r="P65" s="14">
        <f>IF($T65=0,"",IF(INDEX('Market Data'!$J$5:$J$528,$T65)=0,"n/a",IF($Q65="Bloomberg",IF(AND(ISNUMBER(INDEX('Market Data'!$AK$5:$AK$66,INDEX('Market Data'!$J$5:$J$528,$T65)-4)),N(INDEX('Market Data'!$AK$5:$AK$66,INDEX('Market Data'!$J$5:$J$528,$T65)-4))&gt;0),INDEX('Market Data'!$AK$5:$AK$66,INDEX('Market Data'!$J$5:$J$528,$T65)-4),"date unavailable"),IF($Q65="Snapshot",IF(AND(ISNUMBER(INDEX('Market Data'!$AF$5:$AF$66,INDEX('Market Data'!$J$5:$J$528,$T65)-4)),N(INDEX('Market Data'!$AF$5:$AF$66,INDEX('Market Data'!$J$5:$J$528,$T65)-4))&gt;0),INDEX('Market Data'!$AF$5:$AF$66,INDEX('Market Data'!$J$5:$J$528,$T65)-4),"date unavailable"),"date unavailable"))))</f>
        <v/>
      </c>
      <c r="Q65" s="15">
        <f>IF($T65=0,"",IF(INDEX('Market Data'!$J$5:$J$528,$T65)=0,"n/a",IF(AND($M$5&lt;&gt;"Snapshot",ISNUMBER(INDEX('Market Data'!$AH$5:$AH$66,INDEX('Market Data'!$J$5:$J$528,$T65)-4)),N(INDEX('Market Data'!$AH$5:$AH$66,INDEX('Market Data'!$J$5:$J$528,$T65)-4))&gt;0),"Bloomberg",IF(AND($M$5&lt;&gt;"Bloomberg",ISNUMBER(INDEX('Market Data'!$AC$5:$AC$66,INDEX('Market Data'!$J$5:$J$528,$T65)-4)),N(INDEX('Market Data'!$AC$5:$AC$66,INDEX('Market Data'!$J$5:$J$528,$T65)-4))&gt;0),"Snapshot","Unavailable"))))</f>
        <v/>
      </c>
      <c r="T65">
        <f>IFERROR(MATCH(29,'Market Data'!$AX$5:$AX$528,0),0)</f>
        <v/>
      </c>
    </row>
    <row r="66" ht="34" customHeight="1">
      <c r="A66" s="8">
        <f>IF($T66=0,"",IF(INDEX('Market Data'!$A$5:$A$528,$T66)="","",INDEX('Market Data'!$A$5:$A$528,$T66)))</f>
        <v/>
      </c>
      <c r="B66" s="9">
        <f>IF($T66=0,"",IF(INDEX('Market Data'!$B$5:$B$528,$T66)="","",INDEX('Market Data'!$B$5:$B$528,$T66)))</f>
        <v/>
      </c>
      <c r="C66" s="9">
        <f>IF($T66=0,"",IF(INDEX('Market Data'!$C$5:$C$528,$T66)="","",INDEX('Market Data'!$C$5:$C$528,$T66)))</f>
        <v/>
      </c>
      <c r="D66" s="9">
        <f>IF($T66=0,"",IF(INDEX('Market Data'!$D$5:$D$528,$T66)="","",INDEX('Market Data'!$D$5:$D$528,$T66)))</f>
        <v/>
      </c>
      <c r="E66" s="10">
        <f>IF($T66=0,"",INDEX('Market Data'!$AY$5:$AY$528,$T66))</f>
        <v/>
      </c>
      <c r="F66" s="11">
        <f>IF($T66=0,"",IF(AND($I66="Bloomberg",ISNUMBER(INDEX('Market Data'!$L$5:$L$528,$T66))),INDEX('Market Data'!$L$5:$L$528,$T66),"unavailable"))</f>
        <v/>
      </c>
      <c r="G66" s="12">
        <f>IF($T66=0,"",IF($I66="Bloomberg",IF(AND(ISNUMBER(INDEX('Market Data'!$M$5:$M$528,$T66)),N(INDEX('Market Data'!$M$5:$M$528,$T66))&gt;0),INDEX('Market Data'!$M$5:$M$528,$T66),"date unavailable"),IF($I66="Snapshot",IF(AND(ISNUMBER(INDEX('Market Data'!$H$5:$H$528,$T66)),N(INDEX('Market Data'!$H$5:$H$528,$T66))&gt;0),INDEX('Market Data'!$H$5:$H$528,$T66),"date unavailable"),"date unavailable")))</f>
        <v/>
      </c>
      <c r="H66" s="9">
        <f>IF($T66=0,"",IF($I66="Bloomberg",IF(INDEX('Market Data'!$N$5:$N$528,$T66)="","time unavailable",INDEX('Market Data'!$N$5:$N$528,$T66)),""))</f>
        <v/>
      </c>
      <c r="I66" s="9">
        <f>IF($T66=0,"",INDEX('Market Data'!$AZ$5:$AZ$528,$T66))</f>
        <v/>
      </c>
      <c r="J66" s="13">
        <f>IF($T66=0,"",IF(INDEX('Market Data'!$E$5:$E$528,$T66)="","",INDEX('Market Data'!$E$5:$E$528,$T66)))</f>
        <v/>
      </c>
      <c r="K66" s="8">
        <f>IF($T66=0,"",IF(INDEX('Market Data'!$I$5:$I$528,$T66)="","",INDEX('Market Data'!$I$5:$I$528,$T66)))</f>
        <v/>
      </c>
      <c r="L66" s="10">
        <f>IF($T66=0,"",IF(INDEX('Market Data'!$J$5:$J$528,$T66)=0,"n/a",IF(AND($M$5&lt;&gt;"Snapshot",ISNUMBER(INDEX('Market Data'!$AH$5:$AH$66,INDEX('Market Data'!$J$5:$J$528,$T66)-4)),N(INDEX('Market Data'!$AH$5:$AH$66,INDEX('Market Data'!$J$5:$J$528,$T66)-4))&gt;0),INDEX('Market Data'!$AH$5:$AH$66,INDEX('Market Data'!$J$5:$J$528,$T66)-4),IF(AND($M$5&lt;&gt;"Bloomberg",ISNUMBER(INDEX('Market Data'!$AC$5:$AC$66,INDEX('Market Data'!$J$5:$J$528,$T66)-4)),N(INDEX('Market Data'!$AC$5:$AC$66,INDEX('Market Data'!$J$5:$J$528,$T66)-4))&gt;0),INDEX('Market Data'!$AC$5:$AC$66,INDEX('Market Data'!$J$5:$J$528,$T66)-4),"unavailable"))))</f>
        <v/>
      </c>
      <c r="M66" s="11">
        <f>IF($T66=0,"",IF(INDEX('Market Data'!$J$5:$J$528,$T66)=0,"n/a",IF(IF(INDEX('Market Data'!$J$5:$J$528,$T66)=0,0,IF(LEFT(INDEX('Market Data'!$AS$5:$AS$66,INDEX('Market Data'!$J$5:$J$528,$T66)-4),11)="First-month",1,0))=1,"class review",IF($I66="Bloomberg",IF(AND($Q66="Bloomberg",ISNUMBER('Market Data'!$B$1),N('Market Data'!$B$1)&gt;0),$L66*'Market Data'!$B$1/$E66-1,"pending A/FX"),IF($I66="Snapshot",IF(AND($Q66="Snapshot",$G66=INDEX('Market Data'!$AE$5:$AE$66,INDEX('Market Data'!$J$5:$J$528,$T66)-4)),IFERROR($L66*INDEX('Market Data'!$AD$5:$AD$66,INDEX('Market Data'!$J$5:$J$528,$T66)-4)/$E66-1,"unavailable"),"date mismatch"),"unavailable")))))</f>
        <v/>
      </c>
      <c r="N66" s="11">
        <f>IF($T66=0,"",IFERROR(IF(AND(N(INDEX('Market Data'!$F$5:$F$528,$T66))&gt;0,ISNUMBER(INDEX('Market Data'!$BB$5:$BB$528,$T66))),$E66*INDEX('Market Data'!$BB$5:$BB$528,$T66)/INDEX('Market Data'!$F$5:$F$528,$T66)-1,"unavailable"),"unavailable"))</f>
        <v/>
      </c>
      <c r="O66" s="9">
        <f>IF($T66=0,"",IF(IF(INDEX('Market Data'!$J$5:$J$528,$T66)=0,0,IF(LEFT(INDEX('Market Data'!$AS$5:$AS$66,INDEX('Market Data'!$J$5:$J$528,$T66)-4),11)="First-month",1,0))=1,"Class ratio review",IF($I66="Bloomberg",IF(ISNUMBER($G66),IF($G66&lt;TODAY(),"Older quote","See quote time"),"Date unavailable"),IF($I66="Snapshot",IF($G66&lt;DATEVALUE("2026-10-02"),"Older snapshot","Dated close"),"No valid quote"))))</f>
        <v/>
      </c>
      <c r="P66" s="14">
        <f>IF($T66=0,"",IF(INDEX('Market Data'!$J$5:$J$528,$T66)=0,"n/a",IF($Q66="Bloomberg",IF(AND(ISNUMBER(INDEX('Market Data'!$AK$5:$AK$66,INDEX('Market Data'!$J$5:$J$528,$T66)-4)),N(INDEX('Market Data'!$AK$5:$AK$66,INDEX('Market Data'!$J$5:$J$528,$T66)-4))&gt;0),INDEX('Market Data'!$AK$5:$AK$66,INDEX('Market Data'!$J$5:$J$528,$T66)-4),"date unavailable"),IF($Q66="Snapshot",IF(AND(ISNUMBER(INDEX('Market Data'!$AF$5:$AF$66,INDEX('Market Data'!$J$5:$J$528,$T66)-4)),N(INDEX('Market Data'!$AF$5:$AF$66,INDEX('Market Data'!$J$5:$J$528,$T66)-4))&gt;0),INDEX('Market Data'!$AF$5:$AF$66,INDEX('Market Data'!$J$5:$J$528,$T66)-4),"date unavailable"),"date unavailable"))))</f>
        <v/>
      </c>
      <c r="Q66" s="15">
        <f>IF($T66=0,"",IF(INDEX('Market Data'!$J$5:$J$528,$T66)=0,"n/a",IF(AND($M$5&lt;&gt;"Snapshot",ISNUMBER(INDEX('Market Data'!$AH$5:$AH$66,INDEX('Market Data'!$J$5:$J$528,$T66)-4)),N(INDEX('Market Data'!$AH$5:$AH$66,INDEX('Market Data'!$J$5:$J$528,$T66)-4))&gt;0),"Bloomberg",IF(AND($M$5&lt;&gt;"Bloomberg",ISNUMBER(INDEX('Market Data'!$AC$5:$AC$66,INDEX('Market Data'!$J$5:$J$528,$T66)-4)),N(INDEX('Market Data'!$AC$5:$AC$66,INDEX('Market Data'!$J$5:$J$528,$T66)-4))&gt;0),"Snapshot","Unavailable"))))</f>
        <v/>
      </c>
      <c r="T66">
        <f>IFERROR(MATCH(30,'Market Data'!$AX$5:$AX$528,0),0)</f>
        <v/>
      </c>
    </row>
    <row r="67" ht="34" customHeight="1">
      <c r="A67" s="8">
        <f>IF($T67=0,"",IF(INDEX('Market Data'!$A$5:$A$528,$T67)="","",INDEX('Market Data'!$A$5:$A$528,$T67)))</f>
        <v/>
      </c>
      <c r="B67" s="9">
        <f>IF($T67=0,"",IF(INDEX('Market Data'!$B$5:$B$528,$T67)="","",INDEX('Market Data'!$B$5:$B$528,$T67)))</f>
        <v/>
      </c>
      <c r="C67" s="9">
        <f>IF($T67=0,"",IF(INDEX('Market Data'!$C$5:$C$528,$T67)="","",INDEX('Market Data'!$C$5:$C$528,$T67)))</f>
        <v/>
      </c>
      <c r="D67" s="9">
        <f>IF($T67=0,"",IF(INDEX('Market Data'!$D$5:$D$528,$T67)="","",INDEX('Market Data'!$D$5:$D$528,$T67)))</f>
        <v/>
      </c>
      <c r="E67" s="10">
        <f>IF($T67=0,"",INDEX('Market Data'!$AY$5:$AY$528,$T67))</f>
        <v/>
      </c>
      <c r="F67" s="11">
        <f>IF($T67=0,"",IF(AND($I67="Bloomberg",ISNUMBER(INDEX('Market Data'!$L$5:$L$528,$T67))),INDEX('Market Data'!$L$5:$L$528,$T67),"unavailable"))</f>
        <v/>
      </c>
      <c r="G67" s="12">
        <f>IF($T67=0,"",IF($I67="Bloomberg",IF(AND(ISNUMBER(INDEX('Market Data'!$M$5:$M$528,$T67)),N(INDEX('Market Data'!$M$5:$M$528,$T67))&gt;0),INDEX('Market Data'!$M$5:$M$528,$T67),"date unavailable"),IF($I67="Snapshot",IF(AND(ISNUMBER(INDEX('Market Data'!$H$5:$H$528,$T67)),N(INDEX('Market Data'!$H$5:$H$528,$T67))&gt;0),INDEX('Market Data'!$H$5:$H$528,$T67),"date unavailable"),"date unavailable")))</f>
        <v/>
      </c>
      <c r="H67" s="9">
        <f>IF($T67=0,"",IF($I67="Bloomberg",IF(INDEX('Market Data'!$N$5:$N$528,$T67)="","time unavailable",INDEX('Market Data'!$N$5:$N$528,$T67)),""))</f>
        <v/>
      </c>
      <c r="I67" s="9">
        <f>IF($T67=0,"",INDEX('Market Data'!$AZ$5:$AZ$528,$T67))</f>
        <v/>
      </c>
      <c r="J67" s="13">
        <f>IF($T67=0,"",IF(INDEX('Market Data'!$E$5:$E$528,$T67)="","",INDEX('Market Data'!$E$5:$E$528,$T67)))</f>
        <v/>
      </c>
      <c r="K67" s="8">
        <f>IF($T67=0,"",IF(INDEX('Market Data'!$I$5:$I$528,$T67)="","",INDEX('Market Data'!$I$5:$I$528,$T67)))</f>
        <v/>
      </c>
      <c r="L67" s="10">
        <f>IF($T67=0,"",IF(INDEX('Market Data'!$J$5:$J$528,$T67)=0,"n/a",IF(AND($M$5&lt;&gt;"Snapshot",ISNUMBER(INDEX('Market Data'!$AH$5:$AH$66,INDEX('Market Data'!$J$5:$J$528,$T67)-4)),N(INDEX('Market Data'!$AH$5:$AH$66,INDEX('Market Data'!$J$5:$J$528,$T67)-4))&gt;0),INDEX('Market Data'!$AH$5:$AH$66,INDEX('Market Data'!$J$5:$J$528,$T67)-4),IF(AND($M$5&lt;&gt;"Bloomberg",ISNUMBER(INDEX('Market Data'!$AC$5:$AC$66,INDEX('Market Data'!$J$5:$J$528,$T67)-4)),N(INDEX('Market Data'!$AC$5:$AC$66,INDEX('Market Data'!$J$5:$J$528,$T67)-4))&gt;0),INDEX('Market Data'!$AC$5:$AC$66,INDEX('Market Data'!$J$5:$J$528,$T67)-4),"unavailable"))))</f>
        <v/>
      </c>
      <c r="M67" s="11">
        <f>IF($T67=0,"",IF(INDEX('Market Data'!$J$5:$J$528,$T67)=0,"n/a",IF(IF(INDEX('Market Data'!$J$5:$J$528,$T67)=0,0,IF(LEFT(INDEX('Market Data'!$AS$5:$AS$66,INDEX('Market Data'!$J$5:$J$528,$T67)-4),11)="First-month",1,0))=1,"class review",IF($I67="Bloomberg",IF(AND($Q67="Bloomberg",ISNUMBER('Market Data'!$B$1),N('Market Data'!$B$1)&gt;0),$L67*'Market Data'!$B$1/$E67-1,"pending A/FX"),IF($I67="Snapshot",IF(AND($Q67="Snapshot",$G67=INDEX('Market Data'!$AE$5:$AE$66,INDEX('Market Data'!$J$5:$J$528,$T67)-4)),IFERROR($L67*INDEX('Market Data'!$AD$5:$AD$66,INDEX('Market Data'!$J$5:$J$528,$T67)-4)/$E67-1,"unavailable"),"date mismatch"),"unavailable")))))</f>
        <v/>
      </c>
      <c r="N67" s="11">
        <f>IF($T67=0,"",IFERROR(IF(AND(N(INDEX('Market Data'!$F$5:$F$528,$T67))&gt;0,ISNUMBER(INDEX('Market Data'!$BB$5:$BB$528,$T67))),$E67*INDEX('Market Data'!$BB$5:$BB$528,$T67)/INDEX('Market Data'!$F$5:$F$528,$T67)-1,"unavailable"),"unavailable"))</f>
        <v/>
      </c>
      <c r="O67" s="9">
        <f>IF($T67=0,"",IF(IF(INDEX('Market Data'!$J$5:$J$528,$T67)=0,0,IF(LEFT(INDEX('Market Data'!$AS$5:$AS$66,INDEX('Market Data'!$J$5:$J$528,$T67)-4),11)="First-month",1,0))=1,"Class ratio review",IF($I67="Bloomberg",IF(ISNUMBER($G67),IF($G67&lt;TODAY(),"Older quote","See quote time"),"Date unavailable"),IF($I67="Snapshot",IF($G67&lt;DATEVALUE("2026-10-02"),"Older snapshot","Dated close"),"No valid quote"))))</f>
        <v/>
      </c>
      <c r="P67" s="14">
        <f>IF($T67=0,"",IF(INDEX('Market Data'!$J$5:$J$528,$T67)=0,"n/a",IF($Q67="Bloomberg",IF(AND(ISNUMBER(INDEX('Market Data'!$AK$5:$AK$66,INDEX('Market Data'!$J$5:$J$528,$T67)-4)),N(INDEX('Market Data'!$AK$5:$AK$66,INDEX('Market Data'!$J$5:$J$528,$T67)-4))&gt;0),INDEX('Market Data'!$AK$5:$AK$66,INDEX('Market Data'!$J$5:$J$528,$T67)-4),"date unavailable"),IF($Q67="Snapshot",IF(AND(ISNUMBER(INDEX('Market Data'!$AF$5:$AF$66,INDEX('Market Data'!$J$5:$J$528,$T67)-4)),N(INDEX('Market Data'!$AF$5:$AF$66,INDEX('Market Data'!$J$5:$J$528,$T67)-4))&gt;0),INDEX('Market Data'!$AF$5:$AF$66,INDEX('Market Data'!$J$5:$J$528,$T67)-4),"date unavailable"),"date unavailable"))))</f>
        <v/>
      </c>
      <c r="Q67" s="15">
        <f>IF($T67=0,"",IF(INDEX('Market Data'!$J$5:$J$528,$T67)=0,"n/a",IF(AND($M$5&lt;&gt;"Snapshot",ISNUMBER(INDEX('Market Data'!$AH$5:$AH$66,INDEX('Market Data'!$J$5:$J$528,$T67)-4)),N(INDEX('Market Data'!$AH$5:$AH$66,INDEX('Market Data'!$J$5:$J$528,$T67)-4))&gt;0),"Bloomberg",IF(AND($M$5&lt;&gt;"Bloomberg",ISNUMBER(INDEX('Market Data'!$AC$5:$AC$66,INDEX('Market Data'!$J$5:$J$528,$T67)-4)),N(INDEX('Market Data'!$AC$5:$AC$66,INDEX('Market Data'!$J$5:$J$528,$T67)-4))&gt;0),"Snapshot","Unavailable"))))</f>
        <v/>
      </c>
      <c r="T67">
        <f>IFERROR(MATCH(31,'Market Data'!$AX$5:$AX$528,0),0)</f>
        <v/>
      </c>
    </row>
    <row r="68" ht="34" customHeight="1">
      <c r="A68" s="8">
        <f>IF($T68=0,"",IF(INDEX('Market Data'!$A$5:$A$528,$T68)="","",INDEX('Market Data'!$A$5:$A$528,$T68)))</f>
        <v/>
      </c>
      <c r="B68" s="9">
        <f>IF($T68=0,"",IF(INDEX('Market Data'!$B$5:$B$528,$T68)="","",INDEX('Market Data'!$B$5:$B$528,$T68)))</f>
        <v/>
      </c>
      <c r="C68" s="9">
        <f>IF($T68=0,"",IF(INDEX('Market Data'!$C$5:$C$528,$T68)="","",INDEX('Market Data'!$C$5:$C$528,$T68)))</f>
        <v/>
      </c>
      <c r="D68" s="9">
        <f>IF($T68=0,"",IF(INDEX('Market Data'!$D$5:$D$528,$T68)="","",INDEX('Market Data'!$D$5:$D$528,$T68)))</f>
        <v/>
      </c>
      <c r="E68" s="10">
        <f>IF($T68=0,"",INDEX('Market Data'!$AY$5:$AY$528,$T68))</f>
        <v/>
      </c>
      <c r="F68" s="11">
        <f>IF($T68=0,"",IF(AND($I68="Bloomberg",ISNUMBER(INDEX('Market Data'!$L$5:$L$528,$T68))),INDEX('Market Data'!$L$5:$L$528,$T68),"unavailable"))</f>
        <v/>
      </c>
      <c r="G68" s="12">
        <f>IF($T68=0,"",IF($I68="Bloomberg",IF(AND(ISNUMBER(INDEX('Market Data'!$M$5:$M$528,$T68)),N(INDEX('Market Data'!$M$5:$M$528,$T68))&gt;0),INDEX('Market Data'!$M$5:$M$528,$T68),"date unavailable"),IF($I68="Snapshot",IF(AND(ISNUMBER(INDEX('Market Data'!$H$5:$H$528,$T68)),N(INDEX('Market Data'!$H$5:$H$528,$T68))&gt;0),INDEX('Market Data'!$H$5:$H$528,$T68),"date unavailable"),"date unavailable")))</f>
        <v/>
      </c>
      <c r="H68" s="9">
        <f>IF($T68=0,"",IF($I68="Bloomberg",IF(INDEX('Market Data'!$N$5:$N$528,$T68)="","time unavailable",INDEX('Market Data'!$N$5:$N$528,$T68)),""))</f>
        <v/>
      </c>
      <c r="I68" s="9">
        <f>IF($T68=0,"",INDEX('Market Data'!$AZ$5:$AZ$528,$T68))</f>
        <v/>
      </c>
      <c r="J68" s="13">
        <f>IF($T68=0,"",IF(INDEX('Market Data'!$E$5:$E$528,$T68)="","",INDEX('Market Data'!$E$5:$E$528,$T68)))</f>
        <v/>
      </c>
      <c r="K68" s="8">
        <f>IF($T68=0,"",IF(INDEX('Market Data'!$I$5:$I$528,$T68)="","",INDEX('Market Data'!$I$5:$I$528,$T68)))</f>
        <v/>
      </c>
      <c r="L68" s="10">
        <f>IF($T68=0,"",IF(INDEX('Market Data'!$J$5:$J$528,$T68)=0,"n/a",IF(AND($M$5&lt;&gt;"Snapshot",ISNUMBER(INDEX('Market Data'!$AH$5:$AH$66,INDEX('Market Data'!$J$5:$J$528,$T68)-4)),N(INDEX('Market Data'!$AH$5:$AH$66,INDEX('Market Data'!$J$5:$J$528,$T68)-4))&gt;0),INDEX('Market Data'!$AH$5:$AH$66,INDEX('Market Data'!$J$5:$J$528,$T68)-4),IF(AND($M$5&lt;&gt;"Bloomberg",ISNUMBER(INDEX('Market Data'!$AC$5:$AC$66,INDEX('Market Data'!$J$5:$J$528,$T68)-4)),N(INDEX('Market Data'!$AC$5:$AC$66,INDEX('Market Data'!$J$5:$J$528,$T68)-4))&gt;0),INDEX('Market Data'!$AC$5:$AC$66,INDEX('Market Data'!$J$5:$J$528,$T68)-4),"unavailable"))))</f>
        <v/>
      </c>
      <c r="M68" s="11">
        <f>IF($T68=0,"",IF(INDEX('Market Data'!$J$5:$J$528,$T68)=0,"n/a",IF(IF(INDEX('Market Data'!$J$5:$J$528,$T68)=0,0,IF(LEFT(INDEX('Market Data'!$AS$5:$AS$66,INDEX('Market Data'!$J$5:$J$528,$T68)-4),11)="First-month",1,0))=1,"class review",IF($I68="Bloomberg",IF(AND($Q68="Bloomberg",ISNUMBER('Market Data'!$B$1),N('Market Data'!$B$1)&gt;0),$L68*'Market Data'!$B$1/$E68-1,"pending A/FX"),IF($I68="Snapshot",IF(AND($Q68="Snapshot",$G68=INDEX('Market Data'!$AE$5:$AE$66,INDEX('Market Data'!$J$5:$J$528,$T68)-4)),IFERROR($L68*INDEX('Market Data'!$AD$5:$AD$66,INDEX('Market Data'!$J$5:$J$528,$T68)-4)/$E68-1,"unavailable"),"date mismatch"),"unavailable")))))</f>
        <v/>
      </c>
      <c r="N68" s="11">
        <f>IF($T68=0,"",IFERROR(IF(AND(N(INDEX('Market Data'!$F$5:$F$528,$T68))&gt;0,ISNUMBER(INDEX('Market Data'!$BB$5:$BB$528,$T68))),$E68*INDEX('Market Data'!$BB$5:$BB$528,$T68)/INDEX('Market Data'!$F$5:$F$528,$T68)-1,"unavailable"),"unavailable"))</f>
        <v/>
      </c>
      <c r="O68" s="9">
        <f>IF($T68=0,"",IF(IF(INDEX('Market Data'!$J$5:$J$528,$T68)=0,0,IF(LEFT(INDEX('Market Data'!$AS$5:$AS$66,INDEX('Market Data'!$J$5:$J$528,$T68)-4),11)="First-month",1,0))=1,"Class ratio review",IF($I68="Bloomberg",IF(ISNUMBER($G68),IF($G68&lt;TODAY(),"Older quote","See quote time"),"Date unavailable"),IF($I68="Snapshot",IF($G68&lt;DATEVALUE("2026-10-02"),"Older snapshot","Dated close"),"No valid quote"))))</f>
        <v/>
      </c>
      <c r="P68" s="14">
        <f>IF($T68=0,"",IF(INDEX('Market Data'!$J$5:$J$528,$T68)=0,"n/a",IF($Q68="Bloomberg",IF(AND(ISNUMBER(INDEX('Market Data'!$AK$5:$AK$66,INDEX('Market Data'!$J$5:$J$528,$T68)-4)),N(INDEX('Market Data'!$AK$5:$AK$66,INDEX('Market Data'!$J$5:$J$528,$T68)-4))&gt;0),INDEX('Market Data'!$AK$5:$AK$66,INDEX('Market Data'!$J$5:$J$528,$T68)-4),"date unavailable"),IF($Q68="Snapshot",IF(AND(ISNUMBER(INDEX('Market Data'!$AF$5:$AF$66,INDEX('Market Data'!$J$5:$J$528,$T68)-4)),N(INDEX('Market Data'!$AF$5:$AF$66,INDEX('Market Data'!$J$5:$J$528,$T68)-4))&gt;0),INDEX('Market Data'!$AF$5:$AF$66,INDEX('Market Data'!$J$5:$J$528,$T68)-4),"date unavailable"),"date unavailable"))))</f>
        <v/>
      </c>
      <c r="Q68" s="15">
        <f>IF($T68=0,"",IF(INDEX('Market Data'!$J$5:$J$528,$T68)=0,"n/a",IF(AND($M$5&lt;&gt;"Snapshot",ISNUMBER(INDEX('Market Data'!$AH$5:$AH$66,INDEX('Market Data'!$J$5:$J$528,$T68)-4)),N(INDEX('Market Data'!$AH$5:$AH$66,INDEX('Market Data'!$J$5:$J$528,$T68)-4))&gt;0),"Bloomberg",IF(AND($M$5&lt;&gt;"Bloomberg",ISNUMBER(INDEX('Market Data'!$AC$5:$AC$66,INDEX('Market Data'!$J$5:$J$528,$T68)-4)),N(INDEX('Market Data'!$AC$5:$AC$66,INDEX('Market Data'!$J$5:$J$528,$T68)-4))&gt;0),"Snapshot","Unavailable"))))</f>
        <v/>
      </c>
      <c r="T68">
        <f>IFERROR(MATCH(32,'Market Data'!$AX$5:$AX$528,0),0)</f>
        <v/>
      </c>
    </row>
    <row r="69" ht="34" customHeight="1">
      <c r="A69" s="8">
        <f>IF($T69=0,"",IF(INDEX('Market Data'!$A$5:$A$528,$T69)="","",INDEX('Market Data'!$A$5:$A$528,$T69)))</f>
        <v/>
      </c>
      <c r="B69" s="9">
        <f>IF($T69=0,"",IF(INDEX('Market Data'!$B$5:$B$528,$T69)="","",INDEX('Market Data'!$B$5:$B$528,$T69)))</f>
        <v/>
      </c>
      <c r="C69" s="9">
        <f>IF($T69=0,"",IF(INDEX('Market Data'!$C$5:$C$528,$T69)="","",INDEX('Market Data'!$C$5:$C$528,$T69)))</f>
        <v/>
      </c>
      <c r="D69" s="9">
        <f>IF($T69=0,"",IF(INDEX('Market Data'!$D$5:$D$528,$T69)="","",INDEX('Market Data'!$D$5:$D$528,$T69)))</f>
        <v/>
      </c>
      <c r="E69" s="10">
        <f>IF($T69=0,"",INDEX('Market Data'!$AY$5:$AY$528,$T69))</f>
        <v/>
      </c>
      <c r="F69" s="11">
        <f>IF($T69=0,"",IF(AND($I69="Bloomberg",ISNUMBER(INDEX('Market Data'!$L$5:$L$528,$T69))),INDEX('Market Data'!$L$5:$L$528,$T69),"unavailable"))</f>
        <v/>
      </c>
      <c r="G69" s="12">
        <f>IF($T69=0,"",IF($I69="Bloomberg",IF(AND(ISNUMBER(INDEX('Market Data'!$M$5:$M$528,$T69)),N(INDEX('Market Data'!$M$5:$M$528,$T69))&gt;0),INDEX('Market Data'!$M$5:$M$528,$T69),"date unavailable"),IF($I69="Snapshot",IF(AND(ISNUMBER(INDEX('Market Data'!$H$5:$H$528,$T69)),N(INDEX('Market Data'!$H$5:$H$528,$T69))&gt;0),INDEX('Market Data'!$H$5:$H$528,$T69),"date unavailable"),"date unavailable")))</f>
        <v/>
      </c>
      <c r="H69" s="9">
        <f>IF($T69=0,"",IF($I69="Bloomberg",IF(INDEX('Market Data'!$N$5:$N$528,$T69)="","time unavailable",INDEX('Market Data'!$N$5:$N$528,$T69)),""))</f>
        <v/>
      </c>
      <c r="I69" s="9">
        <f>IF($T69=0,"",INDEX('Market Data'!$AZ$5:$AZ$528,$T69))</f>
        <v/>
      </c>
      <c r="J69" s="13">
        <f>IF($T69=0,"",IF(INDEX('Market Data'!$E$5:$E$528,$T69)="","",INDEX('Market Data'!$E$5:$E$528,$T69)))</f>
        <v/>
      </c>
      <c r="K69" s="8">
        <f>IF($T69=0,"",IF(INDEX('Market Data'!$I$5:$I$528,$T69)="","",INDEX('Market Data'!$I$5:$I$528,$T69)))</f>
        <v/>
      </c>
      <c r="L69" s="10">
        <f>IF($T69=0,"",IF(INDEX('Market Data'!$J$5:$J$528,$T69)=0,"n/a",IF(AND($M$5&lt;&gt;"Snapshot",ISNUMBER(INDEX('Market Data'!$AH$5:$AH$66,INDEX('Market Data'!$J$5:$J$528,$T69)-4)),N(INDEX('Market Data'!$AH$5:$AH$66,INDEX('Market Data'!$J$5:$J$528,$T69)-4))&gt;0),INDEX('Market Data'!$AH$5:$AH$66,INDEX('Market Data'!$J$5:$J$528,$T69)-4),IF(AND($M$5&lt;&gt;"Bloomberg",ISNUMBER(INDEX('Market Data'!$AC$5:$AC$66,INDEX('Market Data'!$J$5:$J$528,$T69)-4)),N(INDEX('Market Data'!$AC$5:$AC$66,INDEX('Market Data'!$J$5:$J$528,$T69)-4))&gt;0),INDEX('Market Data'!$AC$5:$AC$66,INDEX('Market Data'!$J$5:$J$528,$T69)-4),"unavailable"))))</f>
        <v/>
      </c>
      <c r="M69" s="11">
        <f>IF($T69=0,"",IF(INDEX('Market Data'!$J$5:$J$528,$T69)=0,"n/a",IF(IF(INDEX('Market Data'!$J$5:$J$528,$T69)=0,0,IF(LEFT(INDEX('Market Data'!$AS$5:$AS$66,INDEX('Market Data'!$J$5:$J$528,$T69)-4),11)="First-month",1,0))=1,"class review",IF($I69="Bloomberg",IF(AND($Q69="Bloomberg",ISNUMBER('Market Data'!$B$1),N('Market Data'!$B$1)&gt;0),$L69*'Market Data'!$B$1/$E69-1,"pending A/FX"),IF($I69="Snapshot",IF(AND($Q69="Snapshot",$G69=INDEX('Market Data'!$AE$5:$AE$66,INDEX('Market Data'!$J$5:$J$528,$T69)-4)),IFERROR($L69*INDEX('Market Data'!$AD$5:$AD$66,INDEX('Market Data'!$J$5:$J$528,$T69)-4)/$E69-1,"unavailable"),"date mismatch"),"unavailable")))))</f>
        <v/>
      </c>
      <c r="N69" s="11">
        <f>IF($T69=0,"",IFERROR(IF(AND(N(INDEX('Market Data'!$F$5:$F$528,$T69))&gt;0,ISNUMBER(INDEX('Market Data'!$BB$5:$BB$528,$T69))),$E69*INDEX('Market Data'!$BB$5:$BB$528,$T69)/INDEX('Market Data'!$F$5:$F$528,$T69)-1,"unavailable"),"unavailable"))</f>
        <v/>
      </c>
      <c r="O69" s="9">
        <f>IF($T69=0,"",IF(IF(INDEX('Market Data'!$J$5:$J$528,$T69)=0,0,IF(LEFT(INDEX('Market Data'!$AS$5:$AS$66,INDEX('Market Data'!$J$5:$J$528,$T69)-4),11)="First-month",1,0))=1,"Class ratio review",IF($I69="Bloomberg",IF(ISNUMBER($G69),IF($G69&lt;TODAY(),"Older quote","See quote time"),"Date unavailable"),IF($I69="Snapshot",IF($G69&lt;DATEVALUE("2026-10-02"),"Older snapshot","Dated close"),"No valid quote"))))</f>
        <v/>
      </c>
      <c r="P69" s="14">
        <f>IF($T69=0,"",IF(INDEX('Market Data'!$J$5:$J$528,$T69)=0,"n/a",IF($Q69="Bloomberg",IF(AND(ISNUMBER(INDEX('Market Data'!$AK$5:$AK$66,INDEX('Market Data'!$J$5:$J$528,$T69)-4)),N(INDEX('Market Data'!$AK$5:$AK$66,INDEX('Market Data'!$J$5:$J$528,$T69)-4))&gt;0),INDEX('Market Data'!$AK$5:$AK$66,INDEX('Market Data'!$J$5:$J$528,$T69)-4),"date unavailable"),IF($Q69="Snapshot",IF(AND(ISNUMBER(INDEX('Market Data'!$AF$5:$AF$66,INDEX('Market Data'!$J$5:$J$528,$T69)-4)),N(INDEX('Market Data'!$AF$5:$AF$66,INDEX('Market Data'!$J$5:$J$528,$T69)-4))&gt;0),INDEX('Market Data'!$AF$5:$AF$66,INDEX('Market Data'!$J$5:$J$528,$T69)-4),"date unavailable"),"date unavailable"))))</f>
        <v/>
      </c>
      <c r="Q69" s="15">
        <f>IF($T69=0,"",IF(INDEX('Market Data'!$J$5:$J$528,$T69)=0,"n/a",IF(AND($M$5&lt;&gt;"Snapshot",ISNUMBER(INDEX('Market Data'!$AH$5:$AH$66,INDEX('Market Data'!$J$5:$J$528,$T69)-4)),N(INDEX('Market Data'!$AH$5:$AH$66,INDEX('Market Data'!$J$5:$J$528,$T69)-4))&gt;0),"Bloomberg",IF(AND($M$5&lt;&gt;"Bloomberg",ISNUMBER(INDEX('Market Data'!$AC$5:$AC$66,INDEX('Market Data'!$J$5:$J$528,$T69)-4)),N(INDEX('Market Data'!$AC$5:$AC$66,INDEX('Market Data'!$J$5:$J$528,$T69)-4))&gt;0),"Snapshot","Unavailable"))))</f>
        <v/>
      </c>
      <c r="T69">
        <f>IFERROR(MATCH(33,'Market Data'!$AX$5:$AX$528,0),0)</f>
        <v/>
      </c>
    </row>
    <row r="70" ht="34" customHeight="1">
      <c r="A70" s="25">
        <f>IF($T70=0,"",IF(INDEX('Market Data'!$A$5:$A$528,$T70)="","",INDEX('Market Data'!$A$5:$A$528,$T70)))</f>
        <v/>
      </c>
      <c r="B70" s="26">
        <f>IF($T70=0,"",IF(INDEX('Market Data'!$B$5:$B$528,$T70)="","",INDEX('Market Data'!$B$5:$B$528,$T70)))</f>
        <v/>
      </c>
      <c r="C70" s="26">
        <f>IF($T70=0,"",IF(INDEX('Market Data'!$C$5:$C$528,$T70)="","",INDEX('Market Data'!$C$5:$C$528,$T70)))</f>
        <v/>
      </c>
      <c r="D70" s="26">
        <f>IF($T70=0,"",IF(INDEX('Market Data'!$D$5:$D$528,$T70)="","",INDEX('Market Data'!$D$5:$D$528,$T70)))</f>
        <v/>
      </c>
      <c r="E70" s="27">
        <f>IF($T70=0,"",INDEX('Market Data'!$AY$5:$AY$528,$T70))</f>
        <v/>
      </c>
      <c r="F70" s="28">
        <f>IF($T70=0,"",IF(AND($I70="Bloomberg",ISNUMBER(INDEX('Market Data'!$L$5:$L$528,$T70))),INDEX('Market Data'!$L$5:$L$528,$T70),"unavailable"))</f>
        <v/>
      </c>
      <c r="G70" s="29">
        <f>IF($T70=0,"",IF($I70="Bloomberg",IF(AND(ISNUMBER(INDEX('Market Data'!$M$5:$M$528,$T70)),N(INDEX('Market Data'!$M$5:$M$528,$T70))&gt;0),INDEX('Market Data'!$M$5:$M$528,$T70),"date unavailable"),IF($I70="Snapshot",IF(AND(ISNUMBER(INDEX('Market Data'!$H$5:$H$528,$T70)),N(INDEX('Market Data'!$H$5:$H$528,$T70))&gt;0),INDEX('Market Data'!$H$5:$H$528,$T70),"date unavailable"),"date unavailable")))</f>
        <v/>
      </c>
      <c r="H70" s="26">
        <f>IF($T70=0,"",IF($I70="Bloomberg",IF(INDEX('Market Data'!$N$5:$N$528,$T70)="","time unavailable",INDEX('Market Data'!$N$5:$N$528,$T70)),""))</f>
        <v/>
      </c>
      <c r="I70" s="26">
        <f>IF($T70=0,"",INDEX('Market Data'!$AZ$5:$AZ$528,$T70))</f>
        <v/>
      </c>
      <c r="J70" s="30">
        <f>IF($T70=0,"",IF(INDEX('Market Data'!$E$5:$E$528,$T70)="","",INDEX('Market Data'!$E$5:$E$528,$T70)))</f>
        <v/>
      </c>
      <c r="K70" s="25">
        <f>IF($T70=0,"",IF(INDEX('Market Data'!$I$5:$I$528,$T70)="","",INDEX('Market Data'!$I$5:$I$528,$T70)))</f>
        <v/>
      </c>
      <c r="L70" s="27">
        <f>IF($T70=0,"",IF(INDEX('Market Data'!$J$5:$J$528,$T70)=0,"n/a",IF(AND($M$5&lt;&gt;"Snapshot",ISNUMBER(INDEX('Market Data'!$AH$5:$AH$66,INDEX('Market Data'!$J$5:$J$528,$T70)-4)),N(INDEX('Market Data'!$AH$5:$AH$66,INDEX('Market Data'!$J$5:$J$528,$T70)-4))&gt;0),INDEX('Market Data'!$AH$5:$AH$66,INDEX('Market Data'!$J$5:$J$528,$T70)-4),IF(AND($M$5&lt;&gt;"Bloomberg",ISNUMBER(INDEX('Market Data'!$AC$5:$AC$66,INDEX('Market Data'!$J$5:$J$528,$T70)-4)),N(INDEX('Market Data'!$AC$5:$AC$66,INDEX('Market Data'!$J$5:$J$528,$T70)-4))&gt;0),INDEX('Market Data'!$AC$5:$AC$66,INDEX('Market Data'!$J$5:$J$528,$T70)-4),"unavailable"))))</f>
        <v/>
      </c>
      <c r="M70" s="28">
        <f>IF($T70=0,"",IF(INDEX('Market Data'!$J$5:$J$528,$T70)=0,"n/a",IF(IF(INDEX('Market Data'!$J$5:$J$528,$T70)=0,0,IF(LEFT(INDEX('Market Data'!$AS$5:$AS$66,INDEX('Market Data'!$J$5:$J$528,$T70)-4),11)="First-month",1,0))=1,"class review",IF($I70="Bloomberg",IF(AND($Q70="Bloomberg",ISNUMBER('Market Data'!$B$1),N('Market Data'!$B$1)&gt;0),$L70*'Market Data'!$B$1/$E70-1,"pending A/FX"),IF($I70="Snapshot",IF(AND($Q70="Snapshot",$G70=INDEX('Market Data'!$AE$5:$AE$66,INDEX('Market Data'!$J$5:$J$528,$T70)-4)),IFERROR($L70*INDEX('Market Data'!$AD$5:$AD$66,INDEX('Market Data'!$J$5:$J$528,$T70)-4)/$E70-1,"unavailable"),"date mismatch"),"unavailable")))))</f>
        <v/>
      </c>
      <c r="N70" s="28">
        <f>IF($T70=0,"",IFERROR(IF(AND(N(INDEX('Market Data'!$F$5:$F$528,$T70))&gt;0,ISNUMBER(INDEX('Market Data'!$BB$5:$BB$528,$T70))),$E70*INDEX('Market Data'!$BB$5:$BB$528,$T70)/INDEX('Market Data'!$F$5:$F$528,$T70)-1,"unavailable"),"unavailable"))</f>
        <v/>
      </c>
      <c r="O70" s="26">
        <f>IF($T70=0,"",IF(IF(INDEX('Market Data'!$J$5:$J$528,$T70)=0,0,IF(LEFT(INDEX('Market Data'!$AS$5:$AS$66,INDEX('Market Data'!$J$5:$J$528,$T70)-4),11)="First-month",1,0))=1,"Class ratio review",IF($I70="Bloomberg",IF(ISNUMBER($G70),IF($G70&lt;TODAY(),"Older quote","See quote time"),"Date unavailable"),IF($I70="Snapshot",IF($G70&lt;DATEVALUE("2026-10-02"),"Older snapshot","Dated close"),"No valid quote"))))</f>
        <v/>
      </c>
      <c r="P70" s="14">
        <f>IF($T70=0,"",IF(INDEX('Market Data'!$J$5:$J$528,$T70)=0,"n/a",IF($Q70="Bloomberg",IF(AND(ISNUMBER(INDEX('Market Data'!$AK$5:$AK$66,INDEX('Market Data'!$J$5:$J$528,$T70)-4)),N(INDEX('Market Data'!$AK$5:$AK$66,INDEX('Market Data'!$J$5:$J$528,$T70)-4))&gt;0),INDEX('Market Data'!$AK$5:$AK$66,INDEX('Market Data'!$J$5:$J$528,$T70)-4),"date unavailable"),IF($Q70="Snapshot",IF(AND(ISNUMBER(INDEX('Market Data'!$AF$5:$AF$66,INDEX('Market Data'!$J$5:$J$528,$T70)-4)),N(INDEX('Market Data'!$AF$5:$AF$66,INDEX('Market Data'!$J$5:$J$528,$T70)-4))&gt;0),INDEX('Market Data'!$AF$5:$AF$66,INDEX('Market Data'!$J$5:$J$528,$T70)-4),"date unavailable"),"date unavailable"))))</f>
        <v/>
      </c>
      <c r="Q70" s="15">
        <f>IF($T70=0,"",IF(INDEX('Market Data'!$J$5:$J$528,$T70)=0,"n/a",IF(AND($M$5&lt;&gt;"Snapshot",ISNUMBER(INDEX('Market Data'!$AH$5:$AH$66,INDEX('Market Data'!$J$5:$J$528,$T70)-4)),N(INDEX('Market Data'!$AH$5:$AH$66,INDEX('Market Data'!$J$5:$J$528,$T70)-4))&gt;0),"Bloomberg",IF(AND($M$5&lt;&gt;"Bloomberg",ISNUMBER(INDEX('Market Data'!$AC$5:$AC$66,INDEX('Market Data'!$J$5:$J$528,$T70)-4)),N(INDEX('Market Data'!$AC$5:$AC$66,INDEX('Market Data'!$J$5:$J$528,$T70)-4))&gt;0),"Snapshot","Unavailable"))))</f>
        <v/>
      </c>
      <c r="T70">
        <f>IFERROR(MATCH(34,'Market Data'!$AX$5:$AX$528,0),0)</f>
        <v/>
      </c>
    </row>
    <row r="71" ht="34" customHeight="1">
      <c r="A71" s="31">
        <f>IF($T71=0,"",IF(INDEX('Market Data'!$A$5:$A$528,$T71)="","",INDEX('Market Data'!$A$5:$A$528,$T71)))</f>
        <v/>
      </c>
      <c r="B71" s="15">
        <f>IF($T71=0,"",IF(INDEX('Market Data'!$B$5:$B$528,$T71)="","",INDEX('Market Data'!$B$5:$B$528,$T71)))</f>
        <v/>
      </c>
      <c r="C71" s="15">
        <f>IF($T71=0,"",IF(INDEX('Market Data'!$C$5:$C$528,$T71)="","",INDEX('Market Data'!$C$5:$C$528,$T71)))</f>
        <v/>
      </c>
      <c r="D71" s="15">
        <f>IF($T71=0,"",IF(INDEX('Market Data'!$D$5:$D$528,$T71)="","",INDEX('Market Data'!$D$5:$D$528,$T71)))</f>
        <v/>
      </c>
      <c r="E71" s="32">
        <f>IF($T71=0,"",INDEX('Market Data'!$AY$5:$AY$528,$T71))</f>
        <v/>
      </c>
      <c r="F71" s="33">
        <f>IF($T71=0,"",IF(AND($I71="Bloomberg",ISNUMBER(INDEX('Market Data'!$L$5:$L$528,$T71))),INDEX('Market Data'!$L$5:$L$528,$T71),"unavailable"))</f>
        <v/>
      </c>
      <c r="G71" s="14">
        <f>IF($T71=0,"",IF($I71="Bloomberg",IF(AND(ISNUMBER(INDEX('Market Data'!$M$5:$M$528,$T71)),N(INDEX('Market Data'!$M$5:$M$528,$T71))&gt;0),INDEX('Market Data'!$M$5:$M$528,$T71),"date unavailable"),IF($I71="Snapshot",IF(AND(ISNUMBER(INDEX('Market Data'!$H$5:$H$528,$T71)),N(INDEX('Market Data'!$H$5:$H$528,$T71))&gt;0),INDEX('Market Data'!$H$5:$H$528,$T71),"date unavailable"),"date unavailable")))</f>
        <v/>
      </c>
      <c r="H71" s="15">
        <f>IF($T71=0,"",IF($I71="Bloomberg",IF(INDEX('Market Data'!$N$5:$N$528,$T71)="","time unavailable",INDEX('Market Data'!$N$5:$N$528,$T71)),""))</f>
        <v/>
      </c>
      <c r="I71" s="15">
        <f>IF($T71=0,"",INDEX('Market Data'!$AZ$5:$AZ$528,$T71))</f>
        <v/>
      </c>
      <c r="J71" s="34">
        <f>IF($T71=0,"",IF(INDEX('Market Data'!$E$5:$E$528,$T71)="","",INDEX('Market Data'!$E$5:$E$528,$T71)))</f>
        <v/>
      </c>
      <c r="K71" s="31">
        <f>IF($T71=0,"",IF(INDEX('Market Data'!$I$5:$I$528,$T71)="","",INDEX('Market Data'!$I$5:$I$528,$T71)))</f>
        <v/>
      </c>
      <c r="L71" s="32">
        <f>IF($T71=0,"",IF(INDEX('Market Data'!$J$5:$J$528,$T71)=0,"n/a",IF(AND($M$5&lt;&gt;"Snapshot",ISNUMBER(INDEX('Market Data'!$AH$5:$AH$66,INDEX('Market Data'!$J$5:$J$528,$T71)-4)),N(INDEX('Market Data'!$AH$5:$AH$66,INDEX('Market Data'!$J$5:$J$528,$T71)-4))&gt;0),INDEX('Market Data'!$AH$5:$AH$66,INDEX('Market Data'!$J$5:$J$528,$T71)-4),IF(AND($M$5&lt;&gt;"Bloomberg",ISNUMBER(INDEX('Market Data'!$AC$5:$AC$66,INDEX('Market Data'!$J$5:$J$528,$T71)-4)),N(INDEX('Market Data'!$AC$5:$AC$66,INDEX('Market Data'!$J$5:$J$528,$T71)-4))&gt;0),INDEX('Market Data'!$AC$5:$AC$66,INDEX('Market Data'!$J$5:$J$528,$T71)-4),"unavailable"))))</f>
        <v/>
      </c>
      <c r="M71" s="33">
        <f>IF($T71=0,"",IF(INDEX('Market Data'!$J$5:$J$528,$T71)=0,"n/a",IF(IF(INDEX('Market Data'!$J$5:$J$528,$T71)=0,0,IF(LEFT(INDEX('Market Data'!$AS$5:$AS$66,INDEX('Market Data'!$J$5:$J$528,$T71)-4),11)="First-month",1,0))=1,"class review",IF($I71="Bloomberg",IF(AND($Q71="Bloomberg",ISNUMBER('Market Data'!$B$1),N('Market Data'!$B$1)&gt;0),$L71*'Market Data'!$B$1/$E71-1,"pending A/FX"),IF($I71="Snapshot",IF(AND($Q71="Snapshot",$G71=INDEX('Market Data'!$AE$5:$AE$66,INDEX('Market Data'!$J$5:$J$528,$T71)-4)),IFERROR($L71*INDEX('Market Data'!$AD$5:$AD$66,INDEX('Market Data'!$J$5:$J$528,$T71)-4)/$E71-1,"unavailable"),"date mismatch"),"unavailable")))))</f>
        <v/>
      </c>
      <c r="N71" s="33">
        <f>IF($T71=0,"",IFERROR(IF(AND(N(INDEX('Market Data'!$F$5:$F$528,$T71))&gt;0,ISNUMBER(INDEX('Market Data'!$BB$5:$BB$528,$T71))),$E71*INDEX('Market Data'!$BB$5:$BB$528,$T71)/INDEX('Market Data'!$F$5:$F$528,$T71)-1,"unavailable"),"unavailable"))</f>
        <v/>
      </c>
      <c r="O71" s="15">
        <f>IF($T71=0,"",IF(IF(INDEX('Market Data'!$J$5:$J$528,$T71)=0,0,IF(LEFT(INDEX('Market Data'!$AS$5:$AS$66,INDEX('Market Data'!$J$5:$J$528,$T71)-4),11)="First-month",1,0))=1,"Class ratio review",IF($I71="Bloomberg",IF(ISNUMBER($G71),IF($G71&lt;TODAY(),"Older quote","See quote time"),"Date unavailable"),IF($I71="Snapshot",IF($G71&lt;DATEVALUE("2026-10-02"),"Older snapshot","Dated close"),"No valid quote"))))</f>
        <v/>
      </c>
      <c r="P71" s="14">
        <f>IF($T71=0,"",IF(INDEX('Market Data'!$J$5:$J$528,$T71)=0,"n/a",IF($Q71="Bloomberg",IF(AND(ISNUMBER(INDEX('Market Data'!$AK$5:$AK$66,INDEX('Market Data'!$J$5:$J$528,$T71)-4)),N(INDEX('Market Data'!$AK$5:$AK$66,INDEX('Market Data'!$J$5:$J$528,$T71)-4))&gt;0),INDEX('Market Data'!$AK$5:$AK$66,INDEX('Market Data'!$J$5:$J$528,$T71)-4),"date unavailable"),IF($Q71="Snapshot",IF(AND(ISNUMBER(INDEX('Market Data'!$AF$5:$AF$66,INDEX('Market Data'!$J$5:$J$528,$T71)-4)),N(INDEX('Market Data'!$AF$5:$AF$66,INDEX('Market Data'!$J$5:$J$528,$T71)-4))&gt;0),INDEX('Market Data'!$AF$5:$AF$66,INDEX('Market Data'!$J$5:$J$528,$T71)-4),"date unavailable"),"date unavailable"))))</f>
        <v/>
      </c>
      <c r="Q71" s="15">
        <f>IF($T71=0,"",IF(INDEX('Market Data'!$J$5:$J$528,$T71)=0,"n/a",IF(AND($M$5&lt;&gt;"Snapshot",ISNUMBER(INDEX('Market Data'!$AH$5:$AH$66,INDEX('Market Data'!$J$5:$J$528,$T71)-4)),N(INDEX('Market Data'!$AH$5:$AH$66,INDEX('Market Data'!$J$5:$J$528,$T71)-4))&gt;0),"Bloomberg",IF(AND($M$5&lt;&gt;"Bloomberg",ISNUMBER(INDEX('Market Data'!$AC$5:$AC$66,INDEX('Market Data'!$J$5:$J$528,$T71)-4)),N(INDEX('Market Data'!$AC$5:$AC$66,INDEX('Market Data'!$J$5:$J$528,$T71)-4))&gt;0),"Snapshot","Unavailable"))))</f>
        <v/>
      </c>
      <c r="T71">
        <f>IFERROR(MATCH(35,'Market Data'!$AX$5:$AX$528,0),0)</f>
        <v/>
      </c>
    </row>
    <row r="72" ht="34" customHeight="1">
      <c r="A72" s="31">
        <f>IF($T72=0,"",IF(INDEX('Market Data'!$A$5:$A$528,$T72)="","",INDEX('Market Data'!$A$5:$A$528,$T72)))</f>
        <v/>
      </c>
      <c r="B72" s="15">
        <f>IF($T72=0,"",IF(INDEX('Market Data'!$B$5:$B$528,$T72)="","",INDEX('Market Data'!$B$5:$B$528,$T72)))</f>
        <v/>
      </c>
      <c r="C72" s="15">
        <f>IF($T72=0,"",IF(INDEX('Market Data'!$C$5:$C$528,$T72)="","",INDEX('Market Data'!$C$5:$C$528,$T72)))</f>
        <v/>
      </c>
      <c r="D72" s="15">
        <f>IF($T72=0,"",IF(INDEX('Market Data'!$D$5:$D$528,$T72)="","",INDEX('Market Data'!$D$5:$D$528,$T72)))</f>
        <v/>
      </c>
      <c r="E72" s="32">
        <f>IF($T72=0,"",INDEX('Market Data'!$AY$5:$AY$528,$T72))</f>
        <v/>
      </c>
      <c r="F72" s="33">
        <f>IF($T72=0,"",IF(AND($I72="Bloomberg",ISNUMBER(INDEX('Market Data'!$L$5:$L$528,$T72))),INDEX('Market Data'!$L$5:$L$528,$T72),"unavailable"))</f>
        <v/>
      </c>
      <c r="G72" s="14">
        <f>IF($T72=0,"",IF($I72="Bloomberg",IF(AND(ISNUMBER(INDEX('Market Data'!$M$5:$M$528,$T72)),N(INDEX('Market Data'!$M$5:$M$528,$T72))&gt;0),INDEX('Market Data'!$M$5:$M$528,$T72),"date unavailable"),IF($I72="Snapshot",IF(AND(ISNUMBER(INDEX('Market Data'!$H$5:$H$528,$T72)),N(INDEX('Market Data'!$H$5:$H$528,$T72))&gt;0),INDEX('Market Data'!$H$5:$H$528,$T72),"date unavailable"),"date unavailable")))</f>
        <v/>
      </c>
      <c r="H72" s="15">
        <f>IF($T72=0,"",IF($I72="Bloomberg",IF(INDEX('Market Data'!$N$5:$N$528,$T72)="","time unavailable",INDEX('Market Data'!$N$5:$N$528,$T72)),""))</f>
        <v/>
      </c>
      <c r="I72" s="15">
        <f>IF($T72=0,"",INDEX('Market Data'!$AZ$5:$AZ$528,$T72))</f>
        <v/>
      </c>
      <c r="J72" s="34">
        <f>IF($T72=0,"",IF(INDEX('Market Data'!$E$5:$E$528,$T72)="","",INDEX('Market Data'!$E$5:$E$528,$T72)))</f>
        <v/>
      </c>
      <c r="K72" s="31">
        <f>IF($T72=0,"",IF(INDEX('Market Data'!$I$5:$I$528,$T72)="","",INDEX('Market Data'!$I$5:$I$528,$T72)))</f>
        <v/>
      </c>
      <c r="L72" s="32">
        <f>IF($T72=0,"",IF(INDEX('Market Data'!$J$5:$J$528,$T72)=0,"n/a",IF(AND($M$5&lt;&gt;"Snapshot",ISNUMBER(INDEX('Market Data'!$AH$5:$AH$66,INDEX('Market Data'!$J$5:$J$528,$T72)-4)),N(INDEX('Market Data'!$AH$5:$AH$66,INDEX('Market Data'!$J$5:$J$528,$T72)-4))&gt;0),INDEX('Market Data'!$AH$5:$AH$66,INDEX('Market Data'!$J$5:$J$528,$T72)-4),IF(AND($M$5&lt;&gt;"Bloomberg",ISNUMBER(INDEX('Market Data'!$AC$5:$AC$66,INDEX('Market Data'!$J$5:$J$528,$T72)-4)),N(INDEX('Market Data'!$AC$5:$AC$66,INDEX('Market Data'!$J$5:$J$528,$T72)-4))&gt;0),INDEX('Market Data'!$AC$5:$AC$66,INDEX('Market Data'!$J$5:$J$528,$T72)-4),"unavailable"))))</f>
        <v/>
      </c>
      <c r="M72" s="33">
        <f>IF($T72=0,"",IF(INDEX('Market Data'!$J$5:$J$528,$T72)=0,"n/a",IF(IF(INDEX('Market Data'!$J$5:$J$528,$T72)=0,0,IF(LEFT(INDEX('Market Data'!$AS$5:$AS$66,INDEX('Market Data'!$J$5:$J$528,$T72)-4),11)="First-month",1,0))=1,"class review",IF($I72="Bloomberg",IF(AND($Q72="Bloomberg",ISNUMBER('Market Data'!$B$1),N('Market Data'!$B$1)&gt;0),$L72*'Market Data'!$B$1/$E72-1,"pending A/FX"),IF($I72="Snapshot",IF(AND($Q72="Snapshot",$G72=INDEX('Market Data'!$AE$5:$AE$66,INDEX('Market Data'!$J$5:$J$528,$T72)-4)),IFERROR($L72*INDEX('Market Data'!$AD$5:$AD$66,INDEX('Market Data'!$J$5:$J$528,$T72)-4)/$E72-1,"unavailable"),"date mismatch"),"unavailable")))))</f>
        <v/>
      </c>
      <c r="N72" s="33">
        <f>IF($T72=0,"",IFERROR(IF(AND(N(INDEX('Market Data'!$F$5:$F$528,$T72))&gt;0,ISNUMBER(INDEX('Market Data'!$BB$5:$BB$528,$T72))),$E72*INDEX('Market Data'!$BB$5:$BB$528,$T72)/INDEX('Market Data'!$F$5:$F$528,$T72)-1,"unavailable"),"unavailable"))</f>
        <v/>
      </c>
      <c r="O72" s="15">
        <f>IF($T72=0,"",IF(IF(INDEX('Market Data'!$J$5:$J$528,$T72)=0,0,IF(LEFT(INDEX('Market Data'!$AS$5:$AS$66,INDEX('Market Data'!$J$5:$J$528,$T72)-4),11)="First-month",1,0))=1,"Class ratio review",IF($I72="Bloomberg",IF(ISNUMBER($G72),IF($G72&lt;TODAY(),"Older quote","See quote time"),"Date unavailable"),IF($I72="Snapshot",IF($G72&lt;DATEVALUE("2026-10-02"),"Older snapshot","Dated close"),"No valid quote"))))</f>
        <v/>
      </c>
      <c r="P72" s="14">
        <f>IF($T72=0,"",IF(INDEX('Market Data'!$J$5:$J$528,$T72)=0,"n/a",IF($Q72="Bloomberg",IF(AND(ISNUMBER(INDEX('Market Data'!$AK$5:$AK$66,INDEX('Market Data'!$J$5:$J$528,$T72)-4)),N(INDEX('Market Data'!$AK$5:$AK$66,INDEX('Market Data'!$J$5:$J$528,$T72)-4))&gt;0),INDEX('Market Data'!$AK$5:$AK$66,INDEX('Market Data'!$J$5:$J$528,$T72)-4),"date unavailable"),IF($Q72="Snapshot",IF(AND(ISNUMBER(INDEX('Market Data'!$AF$5:$AF$66,INDEX('Market Data'!$J$5:$J$528,$T72)-4)),N(INDEX('Market Data'!$AF$5:$AF$66,INDEX('Market Data'!$J$5:$J$528,$T72)-4))&gt;0),INDEX('Market Data'!$AF$5:$AF$66,INDEX('Market Data'!$J$5:$J$528,$T72)-4),"date unavailable"),"date unavailable"))))</f>
        <v/>
      </c>
      <c r="Q72" s="15">
        <f>IF($T72=0,"",IF(INDEX('Market Data'!$J$5:$J$528,$T72)=0,"n/a",IF(AND($M$5&lt;&gt;"Snapshot",ISNUMBER(INDEX('Market Data'!$AH$5:$AH$66,INDEX('Market Data'!$J$5:$J$528,$T72)-4)),N(INDEX('Market Data'!$AH$5:$AH$66,INDEX('Market Data'!$J$5:$J$528,$T72)-4))&gt;0),"Bloomberg",IF(AND($M$5&lt;&gt;"Bloomberg",ISNUMBER(INDEX('Market Data'!$AC$5:$AC$66,INDEX('Market Data'!$J$5:$J$528,$T72)-4)),N(INDEX('Market Data'!$AC$5:$AC$66,INDEX('Market Data'!$J$5:$J$528,$T72)-4))&gt;0),"Snapshot","Unavailable"))))</f>
        <v/>
      </c>
      <c r="T72">
        <f>IFERROR(MATCH(36,'Market Data'!$AX$5:$AX$528,0),0)</f>
        <v/>
      </c>
    </row>
    <row r="73" ht="34" customHeight="1">
      <c r="A73" s="31">
        <f>IF($T73=0,"",IF(INDEX('Market Data'!$A$5:$A$528,$T73)="","",INDEX('Market Data'!$A$5:$A$528,$T73)))</f>
        <v/>
      </c>
      <c r="B73" s="15">
        <f>IF($T73=0,"",IF(INDEX('Market Data'!$B$5:$B$528,$T73)="","",INDEX('Market Data'!$B$5:$B$528,$T73)))</f>
        <v/>
      </c>
      <c r="C73" s="15">
        <f>IF($T73=0,"",IF(INDEX('Market Data'!$C$5:$C$528,$T73)="","",INDEX('Market Data'!$C$5:$C$528,$T73)))</f>
        <v/>
      </c>
      <c r="D73" s="15">
        <f>IF($T73=0,"",IF(INDEX('Market Data'!$D$5:$D$528,$T73)="","",INDEX('Market Data'!$D$5:$D$528,$T73)))</f>
        <v/>
      </c>
      <c r="E73" s="32">
        <f>IF($T73=0,"",INDEX('Market Data'!$AY$5:$AY$528,$T73))</f>
        <v/>
      </c>
      <c r="F73" s="33">
        <f>IF($T73=0,"",IF(AND($I73="Bloomberg",ISNUMBER(INDEX('Market Data'!$L$5:$L$528,$T73))),INDEX('Market Data'!$L$5:$L$528,$T73),"unavailable"))</f>
        <v/>
      </c>
      <c r="G73" s="14">
        <f>IF($T73=0,"",IF($I73="Bloomberg",IF(AND(ISNUMBER(INDEX('Market Data'!$M$5:$M$528,$T73)),N(INDEX('Market Data'!$M$5:$M$528,$T73))&gt;0),INDEX('Market Data'!$M$5:$M$528,$T73),"date unavailable"),IF($I73="Snapshot",IF(AND(ISNUMBER(INDEX('Market Data'!$H$5:$H$528,$T73)),N(INDEX('Market Data'!$H$5:$H$528,$T73))&gt;0),INDEX('Market Data'!$H$5:$H$528,$T73),"date unavailable"),"date unavailable")))</f>
        <v/>
      </c>
      <c r="H73" s="15">
        <f>IF($T73=0,"",IF($I73="Bloomberg",IF(INDEX('Market Data'!$N$5:$N$528,$T73)="","time unavailable",INDEX('Market Data'!$N$5:$N$528,$T73)),""))</f>
        <v/>
      </c>
      <c r="I73" s="15">
        <f>IF($T73=0,"",INDEX('Market Data'!$AZ$5:$AZ$528,$T73))</f>
        <v/>
      </c>
      <c r="J73" s="34">
        <f>IF($T73=0,"",IF(INDEX('Market Data'!$E$5:$E$528,$T73)="","",INDEX('Market Data'!$E$5:$E$528,$T73)))</f>
        <v/>
      </c>
      <c r="K73" s="31">
        <f>IF($T73=0,"",IF(INDEX('Market Data'!$I$5:$I$528,$T73)="","",INDEX('Market Data'!$I$5:$I$528,$T73)))</f>
        <v/>
      </c>
      <c r="L73" s="32">
        <f>IF($T73=0,"",IF(INDEX('Market Data'!$J$5:$J$528,$T73)=0,"n/a",IF(AND($M$5&lt;&gt;"Snapshot",ISNUMBER(INDEX('Market Data'!$AH$5:$AH$66,INDEX('Market Data'!$J$5:$J$528,$T73)-4)),N(INDEX('Market Data'!$AH$5:$AH$66,INDEX('Market Data'!$J$5:$J$528,$T73)-4))&gt;0),INDEX('Market Data'!$AH$5:$AH$66,INDEX('Market Data'!$J$5:$J$528,$T73)-4),IF(AND($M$5&lt;&gt;"Bloomberg",ISNUMBER(INDEX('Market Data'!$AC$5:$AC$66,INDEX('Market Data'!$J$5:$J$528,$T73)-4)),N(INDEX('Market Data'!$AC$5:$AC$66,INDEX('Market Data'!$J$5:$J$528,$T73)-4))&gt;0),INDEX('Market Data'!$AC$5:$AC$66,INDEX('Market Data'!$J$5:$J$528,$T73)-4),"unavailable"))))</f>
        <v/>
      </c>
      <c r="M73" s="33">
        <f>IF($T73=0,"",IF(INDEX('Market Data'!$J$5:$J$528,$T73)=0,"n/a",IF(IF(INDEX('Market Data'!$J$5:$J$528,$T73)=0,0,IF(LEFT(INDEX('Market Data'!$AS$5:$AS$66,INDEX('Market Data'!$J$5:$J$528,$T73)-4),11)="First-month",1,0))=1,"class review",IF($I73="Bloomberg",IF(AND($Q73="Bloomberg",ISNUMBER('Market Data'!$B$1),N('Market Data'!$B$1)&gt;0),$L73*'Market Data'!$B$1/$E73-1,"pending A/FX"),IF($I73="Snapshot",IF(AND($Q73="Snapshot",$G73=INDEX('Market Data'!$AE$5:$AE$66,INDEX('Market Data'!$J$5:$J$528,$T73)-4)),IFERROR($L73*INDEX('Market Data'!$AD$5:$AD$66,INDEX('Market Data'!$J$5:$J$528,$T73)-4)/$E73-1,"unavailable"),"date mismatch"),"unavailable")))))</f>
        <v/>
      </c>
      <c r="N73" s="33">
        <f>IF($T73=0,"",IFERROR(IF(AND(N(INDEX('Market Data'!$F$5:$F$528,$T73))&gt;0,ISNUMBER(INDEX('Market Data'!$BB$5:$BB$528,$T73))),$E73*INDEX('Market Data'!$BB$5:$BB$528,$T73)/INDEX('Market Data'!$F$5:$F$528,$T73)-1,"unavailable"),"unavailable"))</f>
        <v/>
      </c>
      <c r="O73" s="15">
        <f>IF($T73=0,"",IF(IF(INDEX('Market Data'!$J$5:$J$528,$T73)=0,0,IF(LEFT(INDEX('Market Data'!$AS$5:$AS$66,INDEX('Market Data'!$J$5:$J$528,$T73)-4),11)="First-month",1,0))=1,"Class ratio review",IF($I73="Bloomberg",IF(ISNUMBER($G73),IF($G73&lt;TODAY(),"Older quote","See quote time"),"Date unavailable"),IF($I73="Snapshot",IF($G73&lt;DATEVALUE("2026-10-02"),"Older snapshot","Dated close"),"No valid quote"))))</f>
        <v/>
      </c>
      <c r="P73" s="14">
        <f>IF($T73=0,"",IF(INDEX('Market Data'!$J$5:$J$528,$T73)=0,"n/a",IF($Q73="Bloomberg",IF(AND(ISNUMBER(INDEX('Market Data'!$AK$5:$AK$66,INDEX('Market Data'!$J$5:$J$528,$T73)-4)),N(INDEX('Market Data'!$AK$5:$AK$66,INDEX('Market Data'!$J$5:$J$528,$T73)-4))&gt;0),INDEX('Market Data'!$AK$5:$AK$66,INDEX('Market Data'!$J$5:$J$528,$T73)-4),"date unavailable"),IF($Q73="Snapshot",IF(AND(ISNUMBER(INDEX('Market Data'!$AF$5:$AF$66,INDEX('Market Data'!$J$5:$J$528,$T73)-4)),N(INDEX('Market Data'!$AF$5:$AF$66,INDEX('Market Data'!$J$5:$J$528,$T73)-4))&gt;0),INDEX('Market Data'!$AF$5:$AF$66,INDEX('Market Data'!$J$5:$J$528,$T73)-4),"date unavailable"),"date unavailable"))))</f>
        <v/>
      </c>
      <c r="Q73" s="15">
        <f>IF($T73=0,"",IF(INDEX('Market Data'!$J$5:$J$528,$T73)=0,"n/a",IF(AND($M$5&lt;&gt;"Snapshot",ISNUMBER(INDEX('Market Data'!$AH$5:$AH$66,INDEX('Market Data'!$J$5:$J$528,$T73)-4)),N(INDEX('Market Data'!$AH$5:$AH$66,INDEX('Market Data'!$J$5:$J$528,$T73)-4))&gt;0),"Bloomberg",IF(AND($M$5&lt;&gt;"Bloomberg",ISNUMBER(INDEX('Market Data'!$AC$5:$AC$66,INDEX('Market Data'!$J$5:$J$528,$T73)-4)),N(INDEX('Market Data'!$AC$5:$AC$66,INDEX('Market Data'!$J$5:$J$528,$T73)-4))&gt;0),"Snapshot","Unavailable"))))</f>
        <v/>
      </c>
      <c r="T73">
        <f>IFERROR(MATCH(37,'Market Data'!$AX$5:$AX$528,0),0)</f>
        <v/>
      </c>
    </row>
    <row r="74" ht="34" customHeight="1">
      <c r="A74" s="31">
        <f>IF($T74=0,"",IF(INDEX('Market Data'!$A$5:$A$528,$T74)="","",INDEX('Market Data'!$A$5:$A$528,$T74)))</f>
        <v/>
      </c>
      <c r="B74" s="15">
        <f>IF($T74=0,"",IF(INDEX('Market Data'!$B$5:$B$528,$T74)="","",INDEX('Market Data'!$B$5:$B$528,$T74)))</f>
        <v/>
      </c>
      <c r="C74" s="15">
        <f>IF($T74=0,"",IF(INDEX('Market Data'!$C$5:$C$528,$T74)="","",INDEX('Market Data'!$C$5:$C$528,$T74)))</f>
        <v/>
      </c>
      <c r="D74" s="15">
        <f>IF($T74=0,"",IF(INDEX('Market Data'!$D$5:$D$528,$T74)="","",INDEX('Market Data'!$D$5:$D$528,$T74)))</f>
        <v/>
      </c>
      <c r="E74" s="32">
        <f>IF($T74=0,"",INDEX('Market Data'!$AY$5:$AY$528,$T74))</f>
        <v/>
      </c>
      <c r="F74" s="33">
        <f>IF($T74=0,"",IF(AND($I74="Bloomberg",ISNUMBER(INDEX('Market Data'!$L$5:$L$528,$T74))),INDEX('Market Data'!$L$5:$L$528,$T74),"unavailable"))</f>
        <v/>
      </c>
      <c r="G74" s="14">
        <f>IF($T74=0,"",IF($I74="Bloomberg",IF(AND(ISNUMBER(INDEX('Market Data'!$M$5:$M$528,$T74)),N(INDEX('Market Data'!$M$5:$M$528,$T74))&gt;0),INDEX('Market Data'!$M$5:$M$528,$T74),"date unavailable"),IF($I74="Snapshot",IF(AND(ISNUMBER(INDEX('Market Data'!$H$5:$H$528,$T74)),N(INDEX('Market Data'!$H$5:$H$528,$T74))&gt;0),INDEX('Market Data'!$H$5:$H$528,$T74),"date unavailable"),"date unavailable")))</f>
        <v/>
      </c>
      <c r="H74" s="15">
        <f>IF($T74=0,"",IF($I74="Bloomberg",IF(INDEX('Market Data'!$N$5:$N$528,$T74)="","time unavailable",INDEX('Market Data'!$N$5:$N$528,$T74)),""))</f>
        <v/>
      </c>
      <c r="I74" s="15">
        <f>IF($T74=0,"",INDEX('Market Data'!$AZ$5:$AZ$528,$T74))</f>
        <v/>
      </c>
      <c r="J74" s="34">
        <f>IF($T74=0,"",IF(INDEX('Market Data'!$E$5:$E$528,$T74)="","",INDEX('Market Data'!$E$5:$E$528,$T74)))</f>
        <v/>
      </c>
      <c r="K74" s="31">
        <f>IF($T74=0,"",IF(INDEX('Market Data'!$I$5:$I$528,$T74)="","",INDEX('Market Data'!$I$5:$I$528,$T74)))</f>
        <v/>
      </c>
      <c r="L74" s="32">
        <f>IF($T74=0,"",IF(INDEX('Market Data'!$J$5:$J$528,$T74)=0,"n/a",IF(AND($M$5&lt;&gt;"Snapshot",ISNUMBER(INDEX('Market Data'!$AH$5:$AH$66,INDEX('Market Data'!$J$5:$J$528,$T74)-4)),N(INDEX('Market Data'!$AH$5:$AH$66,INDEX('Market Data'!$J$5:$J$528,$T74)-4))&gt;0),INDEX('Market Data'!$AH$5:$AH$66,INDEX('Market Data'!$J$5:$J$528,$T74)-4),IF(AND($M$5&lt;&gt;"Bloomberg",ISNUMBER(INDEX('Market Data'!$AC$5:$AC$66,INDEX('Market Data'!$J$5:$J$528,$T74)-4)),N(INDEX('Market Data'!$AC$5:$AC$66,INDEX('Market Data'!$J$5:$J$528,$T74)-4))&gt;0),INDEX('Market Data'!$AC$5:$AC$66,INDEX('Market Data'!$J$5:$J$528,$T74)-4),"unavailable"))))</f>
        <v/>
      </c>
      <c r="M74" s="33">
        <f>IF($T74=0,"",IF(INDEX('Market Data'!$J$5:$J$528,$T74)=0,"n/a",IF(IF(INDEX('Market Data'!$J$5:$J$528,$T74)=0,0,IF(LEFT(INDEX('Market Data'!$AS$5:$AS$66,INDEX('Market Data'!$J$5:$J$528,$T74)-4),11)="First-month",1,0))=1,"class review",IF($I74="Bloomberg",IF(AND($Q74="Bloomberg",ISNUMBER('Market Data'!$B$1),N('Market Data'!$B$1)&gt;0),$L74*'Market Data'!$B$1/$E74-1,"pending A/FX"),IF($I74="Snapshot",IF(AND($Q74="Snapshot",$G74=INDEX('Market Data'!$AE$5:$AE$66,INDEX('Market Data'!$J$5:$J$528,$T74)-4)),IFERROR($L74*INDEX('Market Data'!$AD$5:$AD$66,INDEX('Market Data'!$J$5:$J$528,$T74)-4)/$E74-1,"unavailable"),"date mismatch"),"unavailable")))))</f>
        <v/>
      </c>
      <c r="N74" s="33">
        <f>IF($T74=0,"",IFERROR(IF(AND(N(INDEX('Market Data'!$F$5:$F$528,$T74))&gt;0,ISNUMBER(INDEX('Market Data'!$BB$5:$BB$528,$T74))),$E74*INDEX('Market Data'!$BB$5:$BB$528,$T74)/INDEX('Market Data'!$F$5:$F$528,$T74)-1,"unavailable"),"unavailable"))</f>
        <v/>
      </c>
      <c r="O74" s="15">
        <f>IF($T74=0,"",IF(IF(INDEX('Market Data'!$J$5:$J$528,$T74)=0,0,IF(LEFT(INDEX('Market Data'!$AS$5:$AS$66,INDEX('Market Data'!$J$5:$J$528,$T74)-4),11)="First-month",1,0))=1,"Class ratio review",IF($I74="Bloomberg",IF(ISNUMBER($G74),IF($G74&lt;TODAY(),"Older quote","See quote time"),"Date unavailable"),IF($I74="Snapshot",IF($G74&lt;DATEVALUE("2026-10-02"),"Older snapshot","Dated close"),"No valid quote"))))</f>
        <v/>
      </c>
      <c r="P74" s="14">
        <f>IF($T74=0,"",IF(INDEX('Market Data'!$J$5:$J$528,$T74)=0,"n/a",IF($Q74="Bloomberg",IF(AND(ISNUMBER(INDEX('Market Data'!$AK$5:$AK$66,INDEX('Market Data'!$J$5:$J$528,$T74)-4)),N(INDEX('Market Data'!$AK$5:$AK$66,INDEX('Market Data'!$J$5:$J$528,$T74)-4))&gt;0),INDEX('Market Data'!$AK$5:$AK$66,INDEX('Market Data'!$J$5:$J$528,$T74)-4),"date unavailable"),IF($Q74="Snapshot",IF(AND(ISNUMBER(INDEX('Market Data'!$AF$5:$AF$66,INDEX('Market Data'!$J$5:$J$528,$T74)-4)),N(INDEX('Market Data'!$AF$5:$AF$66,INDEX('Market Data'!$J$5:$J$528,$T74)-4))&gt;0),INDEX('Market Data'!$AF$5:$AF$66,INDEX('Market Data'!$J$5:$J$528,$T74)-4),"date unavailable"),"date unavailable"))))</f>
        <v/>
      </c>
      <c r="Q74" s="15">
        <f>IF($T74=0,"",IF(INDEX('Market Data'!$J$5:$J$528,$T74)=0,"n/a",IF(AND($M$5&lt;&gt;"Snapshot",ISNUMBER(INDEX('Market Data'!$AH$5:$AH$66,INDEX('Market Data'!$J$5:$J$528,$T74)-4)),N(INDEX('Market Data'!$AH$5:$AH$66,INDEX('Market Data'!$J$5:$J$528,$T74)-4))&gt;0),"Bloomberg",IF(AND($M$5&lt;&gt;"Bloomberg",ISNUMBER(INDEX('Market Data'!$AC$5:$AC$66,INDEX('Market Data'!$J$5:$J$528,$T74)-4)),N(INDEX('Market Data'!$AC$5:$AC$66,INDEX('Market Data'!$J$5:$J$528,$T74)-4))&gt;0),"Snapshot","Unavailable"))))</f>
        <v/>
      </c>
      <c r="T74">
        <f>IFERROR(MATCH(38,'Market Data'!$AX$5:$AX$528,0),0)</f>
        <v/>
      </c>
    </row>
    <row r="75" ht="34" customHeight="1">
      <c r="A75" s="31">
        <f>IF($T75=0,"",IF(INDEX('Market Data'!$A$5:$A$528,$T75)="","",INDEX('Market Data'!$A$5:$A$528,$T75)))</f>
        <v/>
      </c>
      <c r="B75" s="15">
        <f>IF($T75=0,"",IF(INDEX('Market Data'!$B$5:$B$528,$T75)="","",INDEX('Market Data'!$B$5:$B$528,$T75)))</f>
        <v/>
      </c>
      <c r="C75" s="15">
        <f>IF($T75=0,"",IF(INDEX('Market Data'!$C$5:$C$528,$T75)="","",INDEX('Market Data'!$C$5:$C$528,$T75)))</f>
        <v/>
      </c>
      <c r="D75" s="15">
        <f>IF($T75=0,"",IF(INDEX('Market Data'!$D$5:$D$528,$T75)="","",INDEX('Market Data'!$D$5:$D$528,$T75)))</f>
        <v/>
      </c>
      <c r="E75" s="32">
        <f>IF($T75=0,"",INDEX('Market Data'!$AY$5:$AY$528,$T75))</f>
        <v/>
      </c>
      <c r="F75" s="33">
        <f>IF($T75=0,"",IF(AND($I75="Bloomberg",ISNUMBER(INDEX('Market Data'!$L$5:$L$528,$T75))),INDEX('Market Data'!$L$5:$L$528,$T75),"unavailable"))</f>
        <v/>
      </c>
      <c r="G75" s="14">
        <f>IF($T75=0,"",IF($I75="Bloomberg",IF(AND(ISNUMBER(INDEX('Market Data'!$M$5:$M$528,$T75)),N(INDEX('Market Data'!$M$5:$M$528,$T75))&gt;0),INDEX('Market Data'!$M$5:$M$528,$T75),"date unavailable"),IF($I75="Snapshot",IF(AND(ISNUMBER(INDEX('Market Data'!$H$5:$H$528,$T75)),N(INDEX('Market Data'!$H$5:$H$528,$T75))&gt;0),INDEX('Market Data'!$H$5:$H$528,$T75),"date unavailable"),"date unavailable")))</f>
        <v/>
      </c>
      <c r="H75" s="15">
        <f>IF($T75=0,"",IF($I75="Bloomberg",IF(INDEX('Market Data'!$N$5:$N$528,$T75)="","time unavailable",INDEX('Market Data'!$N$5:$N$528,$T75)),""))</f>
        <v/>
      </c>
      <c r="I75" s="15">
        <f>IF($T75=0,"",INDEX('Market Data'!$AZ$5:$AZ$528,$T75))</f>
        <v/>
      </c>
      <c r="J75" s="34">
        <f>IF($T75=0,"",IF(INDEX('Market Data'!$E$5:$E$528,$T75)="","",INDEX('Market Data'!$E$5:$E$528,$T75)))</f>
        <v/>
      </c>
      <c r="K75" s="31">
        <f>IF($T75=0,"",IF(INDEX('Market Data'!$I$5:$I$528,$T75)="","",INDEX('Market Data'!$I$5:$I$528,$T75)))</f>
        <v/>
      </c>
      <c r="L75" s="32">
        <f>IF($T75=0,"",IF(INDEX('Market Data'!$J$5:$J$528,$T75)=0,"n/a",IF(AND($M$5&lt;&gt;"Snapshot",ISNUMBER(INDEX('Market Data'!$AH$5:$AH$66,INDEX('Market Data'!$J$5:$J$528,$T75)-4)),N(INDEX('Market Data'!$AH$5:$AH$66,INDEX('Market Data'!$J$5:$J$528,$T75)-4))&gt;0),INDEX('Market Data'!$AH$5:$AH$66,INDEX('Market Data'!$J$5:$J$528,$T75)-4),IF(AND($M$5&lt;&gt;"Bloomberg",ISNUMBER(INDEX('Market Data'!$AC$5:$AC$66,INDEX('Market Data'!$J$5:$J$528,$T75)-4)),N(INDEX('Market Data'!$AC$5:$AC$66,INDEX('Market Data'!$J$5:$J$528,$T75)-4))&gt;0),INDEX('Market Data'!$AC$5:$AC$66,INDEX('Market Data'!$J$5:$J$528,$T75)-4),"unavailable"))))</f>
        <v/>
      </c>
      <c r="M75" s="33">
        <f>IF($T75=0,"",IF(INDEX('Market Data'!$J$5:$J$528,$T75)=0,"n/a",IF(IF(INDEX('Market Data'!$J$5:$J$528,$T75)=0,0,IF(LEFT(INDEX('Market Data'!$AS$5:$AS$66,INDEX('Market Data'!$J$5:$J$528,$T75)-4),11)="First-month",1,0))=1,"class review",IF($I75="Bloomberg",IF(AND($Q75="Bloomberg",ISNUMBER('Market Data'!$B$1),N('Market Data'!$B$1)&gt;0),$L75*'Market Data'!$B$1/$E75-1,"pending A/FX"),IF($I75="Snapshot",IF(AND($Q75="Snapshot",$G75=INDEX('Market Data'!$AE$5:$AE$66,INDEX('Market Data'!$J$5:$J$528,$T75)-4)),IFERROR($L75*INDEX('Market Data'!$AD$5:$AD$66,INDEX('Market Data'!$J$5:$J$528,$T75)-4)/$E75-1,"unavailable"),"date mismatch"),"unavailable")))))</f>
        <v/>
      </c>
      <c r="N75" s="33">
        <f>IF($T75=0,"",IFERROR(IF(AND(N(INDEX('Market Data'!$F$5:$F$528,$T75))&gt;0,ISNUMBER(INDEX('Market Data'!$BB$5:$BB$528,$T75))),$E75*INDEX('Market Data'!$BB$5:$BB$528,$T75)/INDEX('Market Data'!$F$5:$F$528,$T75)-1,"unavailable"),"unavailable"))</f>
        <v/>
      </c>
      <c r="O75" s="15">
        <f>IF($T75=0,"",IF(IF(INDEX('Market Data'!$J$5:$J$528,$T75)=0,0,IF(LEFT(INDEX('Market Data'!$AS$5:$AS$66,INDEX('Market Data'!$J$5:$J$528,$T75)-4),11)="First-month",1,0))=1,"Class ratio review",IF($I75="Bloomberg",IF(ISNUMBER($G75),IF($G75&lt;TODAY(),"Older quote","See quote time"),"Date unavailable"),IF($I75="Snapshot",IF($G75&lt;DATEVALUE("2026-10-02"),"Older snapshot","Dated close"),"No valid quote"))))</f>
        <v/>
      </c>
      <c r="P75" s="14">
        <f>IF($T75=0,"",IF(INDEX('Market Data'!$J$5:$J$528,$T75)=0,"n/a",IF($Q75="Bloomberg",IF(AND(ISNUMBER(INDEX('Market Data'!$AK$5:$AK$66,INDEX('Market Data'!$J$5:$J$528,$T75)-4)),N(INDEX('Market Data'!$AK$5:$AK$66,INDEX('Market Data'!$J$5:$J$528,$T75)-4))&gt;0),INDEX('Market Data'!$AK$5:$AK$66,INDEX('Market Data'!$J$5:$J$528,$T75)-4),"date unavailable"),IF($Q75="Snapshot",IF(AND(ISNUMBER(INDEX('Market Data'!$AF$5:$AF$66,INDEX('Market Data'!$J$5:$J$528,$T75)-4)),N(INDEX('Market Data'!$AF$5:$AF$66,INDEX('Market Data'!$J$5:$J$528,$T75)-4))&gt;0),INDEX('Market Data'!$AF$5:$AF$66,INDEX('Market Data'!$J$5:$J$528,$T75)-4),"date unavailable"),"date unavailable"))))</f>
        <v/>
      </c>
      <c r="Q75" s="15">
        <f>IF($T75=0,"",IF(INDEX('Market Data'!$J$5:$J$528,$T75)=0,"n/a",IF(AND($M$5&lt;&gt;"Snapshot",ISNUMBER(INDEX('Market Data'!$AH$5:$AH$66,INDEX('Market Data'!$J$5:$J$528,$T75)-4)),N(INDEX('Market Data'!$AH$5:$AH$66,INDEX('Market Data'!$J$5:$J$528,$T75)-4))&gt;0),"Bloomberg",IF(AND($M$5&lt;&gt;"Bloomberg",ISNUMBER(INDEX('Market Data'!$AC$5:$AC$66,INDEX('Market Data'!$J$5:$J$528,$T75)-4)),N(INDEX('Market Data'!$AC$5:$AC$66,INDEX('Market Data'!$J$5:$J$528,$T75)-4))&gt;0),"Snapshot","Unavailable"))))</f>
        <v/>
      </c>
      <c r="T75">
        <f>IFERROR(MATCH(39,'Market Data'!$AX$5:$AX$528,0),0)</f>
        <v/>
      </c>
    </row>
    <row r="76" ht="34" customHeight="1">
      <c r="A76" s="31">
        <f>IF($T76=0,"",IF(INDEX('Market Data'!$A$5:$A$528,$T76)="","",INDEX('Market Data'!$A$5:$A$528,$T76)))</f>
        <v/>
      </c>
      <c r="B76" s="15">
        <f>IF($T76=0,"",IF(INDEX('Market Data'!$B$5:$B$528,$T76)="","",INDEX('Market Data'!$B$5:$B$528,$T76)))</f>
        <v/>
      </c>
      <c r="C76" s="15">
        <f>IF($T76=0,"",IF(INDEX('Market Data'!$C$5:$C$528,$T76)="","",INDEX('Market Data'!$C$5:$C$528,$T76)))</f>
        <v/>
      </c>
      <c r="D76" s="15">
        <f>IF($T76=0,"",IF(INDEX('Market Data'!$D$5:$D$528,$T76)="","",INDEX('Market Data'!$D$5:$D$528,$T76)))</f>
        <v/>
      </c>
      <c r="E76" s="32">
        <f>IF($T76=0,"",INDEX('Market Data'!$AY$5:$AY$528,$T76))</f>
        <v/>
      </c>
      <c r="F76" s="33">
        <f>IF($T76=0,"",IF(AND($I76="Bloomberg",ISNUMBER(INDEX('Market Data'!$L$5:$L$528,$T76))),INDEX('Market Data'!$L$5:$L$528,$T76),"unavailable"))</f>
        <v/>
      </c>
      <c r="G76" s="14">
        <f>IF($T76=0,"",IF($I76="Bloomberg",IF(AND(ISNUMBER(INDEX('Market Data'!$M$5:$M$528,$T76)),N(INDEX('Market Data'!$M$5:$M$528,$T76))&gt;0),INDEX('Market Data'!$M$5:$M$528,$T76),"date unavailable"),IF($I76="Snapshot",IF(AND(ISNUMBER(INDEX('Market Data'!$H$5:$H$528,$T76)),N(INDEX('Market Data'!$H$5:$H$528,$T76))&gt;0),INDEX('Market Data'!$H$5:$H$528,$T76),"date unavailable"),"date unavailable")))</f>
        <v/>
      </c>
      <c r="H76" s="15">
        <f>IF($T76=0,"",IF($I76="Bloomberg",IF(INDEX('Market Data'!$N$5:$N$528,$T76)="","time unavailable",INDEX('Market Data'!$N$5:$N$528,$T76)),""))</f>
        <v/>
      </c>
      <c r="I76" s="15">
        <f>IF($T76=0,"",INDEX('Market Data'!$AZ$5:$AZ$528,$T76))</f>
        <v/>
      </c>
      <c r="J76" s="34">
        <f>IF($T76=0,"",IF(INDEX('Market Data'!$E$5:$E$528,$T76)="","",INDEX('Market Data'!$E$5:$E$528,$T76)))</f>
        <v/>
      </c>
      <c r="K76" s="31">
        <f>IF($T76=0,"",IF(INDEX('Market Data'!$I$5:$I$528,$T76)="","",INDEX('Market Data'!$I$5:$I$528,$T76)))</f>
        <v/>
      </c>
      <c r="L76" s="32">
        <f>IF($T76=0,"",IF(INDEX('Market Data'!$J$5:$J$528,$T76)=0,"n/a",IF(AND($M$5&lt;&gt;"Snapshot",ISNUMBER(INDEX('Market Data'!$AH$5:$AH$66,INDEX('Market Data'!$J$5:$J$528,$T76)-4)),N(INDEX('Market Data'!$AH$5:$AH$66,INDEX('Market Data'!$J$5:$J$528,$T76)-4))&gt;0),INDEX('Market Data'!$AH$5:$AH$66,INDEX('Market Data'!$J$5:$J$528,$T76)-4),IF(AND($M$5&lt;&gt;"Bloomberg",ISNUMBER(INDEX('Market Data'!$AC$5:$AC$66,INDEX('Market Data'!$J$5:$J$528,$T76)-4)),N(INDEX('Market Data'!$AC$5:$AC$66,INDEX('Market Data'!$J$5:$J$528,$T76)-4))&gt;0),INDEX('Market Data'!$AC$5:$AC$66,INDEX('Market Data'!$J$5:$J$528,$T76)-4),"unavailable"))))</f>
        <v/>
      </c>
      <c r="M76" s="33">
        <f>IF($T76=0,"",IF(INDEX('Market Data'!$J$5:$J$528,$T76)=0,"n/a",IF(IF(INDEX('Market Data'!$J$5:$J$528,$T76)=0,0,IF(LEFT(INDEX('Market Data'!$AS$5:$AS$66,INDEX('Market Data'!$J$5:$J$528,$T76)-4),11)="First-month",1,0))=1,"class review",IF($I76="Bloomberg",IF(AND($Q76="Bloomberg",ISNUMBER('Market Data'!$B$1),N('Market Data'!$B$1)&gt;0),$L76*'Market Data'!$B$1/$E76-1,"pending A/FX"),IF($I76="Snapshot",IF(AND($Q76="Snapshot",$G76=INDEX('Market Data'!$AE$5:$AE$66,INDEX('Market Data'!$J$5:$J$528,$T76)-4)),IFERROR($L76*INDEX('Market Data'!$AD$5:$AD$66,INDEX('Market Data'!$J$5:$J$528,$T76)-4)/$E76-1,"unavailable"),"date mismatch"),"unavailable")))))</f>
        <v/>
      </c>
      <c r="N76" s="33">
        <f>IF($T76=0,"",IFERROR(IF(AND(N(INDEX('Market Data'!$F$5:$F$528,$T76))&gt;0,ISNUMBER(INDEX('Market Data'!$BB$5:$BB$528,$T76))),$E76*INDEX('Market Data'!$BB$5:$BB$528,$T76)/INDEX('Market Data'!$F$5:$F$528,$T76)-1,"unavailable"),"unavailable"))</f>
        <v/>
      </c>
      <c r="O76" s="15">
        <f>IF($T76=0,"",IF(IF(INDEX('Market Data'!$J$5:$J$528,$T76)=0,0,IF(LEFT(INDEX('Market Data'!$AS$5:$AS$66,INDEX('Market Data'!$J$5:$J$528,$T76)-4),11)="First-month",1,0))=1,"Class ratio review",IF($I76="Bloomberg",IF(ISNUMBER($G76),IF($G76&lt;TODAY(),"Older quote","See quote time"),"Date unavailable"),IF($I76="Snapshot",IF($G76&lt;DATEVALUE("2026-10-02"),"Older snapshot","Dated close"),"No valid quote"))))</f>
        <v/>
      </c>
      <c r="P76" s="14">
        <f>IF($T76=0,"",IF(INDEX('Market Data'!$J$5:$J$528,$T76)=0,"n/a",IF($Q76="Bloomberg",IF(AND(ISNUMBER(INDEX('Market Data'!$AK$5:$AK$66,INDEX('Market Data'!$J$5:$J$528,$T76)-4)),N(INDEX('Market Data'!$AK$5:$AK$66,INDEX('Market Data'!$J$5:$J$528,$T76)-4))&gt;0),INDEX('Market Data'!$AK$5:$AK$66,INDEX('Market Data'!$J$5:$J$528,$T76)-4),"date unavailable"),IF($Q76="Snapshot",IF(AND(ISNUMBER(INDEX('Market Data'!$AF$5:$AF$66,INDEX('Market Data'!$J$5:$J$528,$T76)-4)),N(INDEX('Market Data'!$AF$5:$AF$66,INDEX('Market Data'!$J$5:$J$528,$T76)-4))&gt;0),INDEX('Market Data'!$AF$5:$AF$66,INDEX('Market Data'!$J$5:$J$528,$T76)-4),"date unavailable"),"date unavailable"))))</f>
        <v/>
      </c>
      <c r="Q76" s="15">
        <f>IF($T76=0,"",IF(INDEX('Market Data'!$J$5:$J$528,$T76)=0,"n/a",IF(AND($M$5&lt;&gt;"Snapshot",ISNUMBER(INDEX('Market Data'!$AH$5:$AH$66,INDEX('Market Data'!$J$5:$J$528,$T76)-4)),N(INDEX('Market Data'!$AH$5:$AH$66,INDEX('Market Data'!$J$5:$J$528,$T76)-4))&gt;0),"Bloomberg",IF(AND($M$5&lt;&gt;"Bloomberg",ISNUMBER(INDEX('Market Data'!$AC$5:$AC$66,INDEX('Market Data'!$J$5:$J$528,$T76)-4)),N(INDEX('Market Data'!$AC$5:$AC$66,INDEX('Market Data'!$J$5:$J$528,$T76)-4))&gt;0),"Snapshot","Unavailable"))))</f>
        <v/>
      </c>
      <c r="T76">
        <f>IFERROR(MATCH(40,'Market Data'!$AX$5:$AX$528,0),0)</f>
        <v/>
      </c>
    </row>
    <row r="77" ht="34" customHeight="1">
      <c r="A77" s="31">
        <f>IF($T77=0,"",IF(INDEX('Market Data'!$A$5:$A$528,$T77)="","",INDEX('Market Data'!$A$5:$A$528,$T77)))</f>
        <v/>
      </c>
      <c r="B77" s="15">
        <f>IF($T77=0,"",IF(INDEX('Market Data'!$B$5:$B$528,$T77)="","",INDEX('Market Data'!$B$5:$B$528,$T77)))</f>
        <v/>
      </c>
      <c r="C77" s="15">
        <f>IF($T77=0,"",IF(INDEX('Market Data'!$C$5:$C$528,$T77)="","",INDEX('Market Data'!$C$5:$C$528,$T77)))</f>
        <v/>
      </c>
      <c r="D77" s="15">
        <f>IF($T77=0,"",IF(INDEX('Market Data'!$D$5:$D$528,$T77)="","",INDEX('Market Data'!$D$5:$D$528,$T77)))</f>
        <v/>
      </c>
      <c r="E77" s="32">
        <f>IF($T77=0,"",INDEX('Market Data'!$AY$5:$AY$528,$T77))</f>
        <v/>
      </c>
      <c r="F77" s="33">
        <f>IF($T77=0,"",IF(AND($I77="Bloomberg",ISNUMBER(INDEX('Market Data'!$L$5:$L$528,$T77))),INDEX('Market Data'!$L$5:$L$528,$T77),"unavailable"))</f>
        <v/>
      </c>
      <c r="G77" s="14">
        <f>IF($T77=0,"",IF($I77="Bloomberg",IF(AND(ISNUMBER(INDEX('Market Data'!$M$5:$M$528,$T77)),N(INDEX('Market Data'!$M$5:$M$528,$T77))&gt;0),INDEX('Market Data'!$M$5:$M$528,$T77),"date unavailable"),IF($I77="Snapshot",IF(AND(ISNUMBER(INDEX('Market Data'!$H$5:$H$528,$T77)),N(INDEX('Market Data'!$H$5:$H$528,$T77))&gt;0),INDEX('Market Data'!$H$5:$H$528,$T77),"date unavailable"),"date unavailable")))</f>
        <v/>
      </c>
      <c r="H77" s="15">
        <f>IF($T77=0,"",IF($I77="Bloomberg",IF(INDEX('Market Data'!$N$5:$N$528,$T77)="","time unavailable",INDEX('Market Data'!$N$5:$N$528,$T77)),""))</f>
        <v/>
      </c>
      <c r="I77" s="15">
        <f>IF($T77=0,"",INDEX('Market Data'!$AZ$5:$AZ$528,$T77))</f>
        <v/>
      </c>
      <c r="J77" s="34">
        <f>IF($T77=0,"",IF(INDEX('Market Data'!$E$5:$E$528,$T77)="","",INDEX('Market Data'!$E$5:$E$528,$T77)))</f>
        <v/>
      </c>
      <c r="K77" s="31">
        <f>IF($T77=0,"",IF(INDEX('Market Data'!$I$5:$I$528,$T77)="","",INDEX('Market Data'!$I$5:$I$528,$T77)))</f>
        <v/>
      </c>
      <c r="L77" s="32">
        <f>IF($T77=0,"",IF(INDEX('Market Data'!$J$5:$J$528,$T77)=0,"n/a",IF(AND($M$5&lt;&gt;"Snapshot",ISNUMBER(INDEX('Market Data'!$AH$5:$AH$66,INDEX('Market Data'!$J$5:$J$528,$T77)-4)),N(INDEX('Market Data'!$AH$5:$AH$66,INDEX('Market Data'!$J$5:$J$528,$T77)-4))&gt;0),INDEX('Market Data'!$AH$5:$AH$66,INDEX('Market Data'!$J$5:$J$528,$T77)-4),IF(AND($M$5&lt;&gt;"Bloomberg",ISNUMBER(INDEX('Market Data'!$AC$5:$AC$66,INDEX('Market Data'!$J$5:$J$528,$T77)-4)),N(INDEX('Market Data'!$AC$5:$AC$66,INDEX('Market Data'!$J$5:$J$528,$T77)-4))&gt;0),INDEX('Market Data'!$AC$5:$AC$66,INDEX('Market Data'!$J$5:$J$528,$T77)-4),"unavailable"))))</f>
        <v/>
      </c>
      <c r="M77" s="33">
        <f>IF($T77=0,"",IF(INDEX('Market Data'!$J$5:$J$528,$T77)=0,"n/a",IF(IF(INDEX('Market Data'!$J$5:$J$528,$T77)=0,0,IF(LEFT(INDEX('Market Data'!$AS$5:$AS$66,INDEX('Market Data'!$J$5:$J$528,$T77)-4),11)="First-month",1,0))=1,"class review",IF($I77="Bloomberg",IF(AND($Q77="Bloomberg",ISNUMBER('Market Data'!$B$1),N('Market Data'!$B$1)&gt;0),$L77*'Market Data'!$B$1/$E77-1,"pending A/FX"),IF($I77="Snapshot",IF(AND($Q77="Snapshot",$G77=INDEX('Market Data'!$AE$5:$AE$66,INDEX('Market Data'!$J$5:$J$528,$T77)-4)),IFERROR($L77*INDEX('Market Data'!$AD$5:$AD$66,INDEX('Market Data'!$J$5:$J$528,$T77)-4)/$E77-1,"unavailable"),"date mismatch"),"unavailable")))))</f>
        <v/>
      </c>
      <c r="N77" s="33">
        <f>IF($T77=0,"",IFERROR(IF(AND(N(INDEX('Market Data'!$F$5:$F$528,$T77))&gt;0,ISNUMBER(INDEX('Market Data'!$BB$5:$BB$528,$T77))),$E77*INDEX('Market Data'!$BB$5:$BB$528,$T77)/INDEX('Market Data'!$F$5:$F$528,$T77)-1,"unavailable"),"unavailable"))</f>
        <v/>
      </c>
      <c r="O77" s="15">
        <f>IF($T77=0,"",IF(IF(INDEX('Market Data'!$J$5:$J$528,$T77)=0,0,IF(LEFT(INDEX('Market Data'!$AS$5:$AS$66,INDEX('Market Data'!$J$5:$J$528,$T77)-4),11)="First-month",1,0))=1,"Class ratio review",IF($I77="Bloomberg",IF(ISNUMBER($G77),IF($G77&lt;TODAY(),"Older quote","See quote time"),"Date unavailable"),IF($I77="Snapshot",IF($G77&lt;DATEVALUE("2026-10-02"),"Older snapshot","Dated close"),"No valid quote"))))</f>
        <v/>
      </c>
      <c r="P77" s="14">
        <f>IF($T77=0,"",IF(INDEX('Market Data'!$J$5:$J$528,$T77)=0,"n/a",IF($Q77="Bloomberg",IF(AND(ISNUMBER(INDEX('Market Data'!$AK$5:$AK$66,INDEX('Market Data'!$J$5:$J$528,$T77)-4)),N(INDEX('Market Data'!$AK$5:$AK$66,INDEX('Market Data'!$J$5:$J$528,$T77)-4))&gt;0),INDEX('Market Data'!$AK$5:$AK$66,INDEX('Market Data'!$J$5:$J$528,$T77)-4),"date unavailable"),IF($Q77="Snapshot",IF(AND(ISNUMBER(INDEX('Market Data'!$AF$5:$AF$66,INDEX('Market Data'!$J$5:$J$528,$T77)-4)),N(INDEX('Market Data'!$AF$5:$AF$66,INDEX('Market Data'!$J$5:$J$528,$T77)-4))&gt;0),INDEX('Market Data'!$AF$5:$AF$66,INDEX('Market Data'!$J$5:$J$528,$T77)-4),"date unavailable"),"date unavailable"))))</f>
        <v/>
      </c>
      <c r="Q77" s="15">
        <f>IF($T77=0,"",IF(INDEX('Market Data'!$J$5:$J$528,$T77)=0,"n/a",IF(AND($M$5&lt;&gt;"Snapshot",ISNUMBER(INDEX('Market Data'!$AH$5:$AH$66,INDEX('Market Data'!$J$5:$J$528,$T77)-4)),N(INDEX('Market Data'!$AH$5:$AH$66,INDEX('Market Data'!$J$5:$J$528,$T77)-4))&gt;0),"Bloomberg",IF(AND($M$5&lt;&gt;"Bloomberg",ISNUMBER(INDEX('Market Data'!$AC$5:$AC$66,INDEX('Market Data'!$J$5:$J$528,$T77)-4)),N(INDEX('Market Data'!$AC$5:$AC$66,INDEX('Market Data'!$J$5:$J$528,$T77)-4))&gt;0),"Snapshot","Unavailable"))))</f>
        <v/>
      </c>
      <c r="T77">
        <f>IFERROR(MATCH(41,'Market Data'!$AX$5:$AX$528,0),0)</f>
        <v/>
      </c>
    </row>
    <row r="78" ht="34" customHeight="1">
      <c r="A78" s="31">
        <f>IF($T78=0,"",IF(INDEX('Market Data'!$A$5:$A$528,$T78)="","",INDEX('Market Data'!$A$5:$A$528,$T78)))</f>
        <v/>
      </c>
      <c r="B78" s="15">
        <f>IF($T78=0,"",IF(INDEX('Market Data'!$B$5:$B$528,$T78)="","",INDEX('Market Data'!$B$5:$B$528,$T78)))</f>
        <v/>
      </c>
      <c r="C78" s="15">
        <f>IF($T78=0,"",IF(INDEX('Market Data'!$C$5:$C$528,$T78)="","",INDEX('Market Data'!$C$5:$C$528,$T78)))</f>
        <v/>
      </c>
      <c r="D78" s="15">
        <f>IF($T78=0,"",IF(INDEX('Market Data'!$D$5:$D$528,$T78)="","",INDEX('Market Data'!$D$5:$D$528,$T78)))</f>
        <v/>
      </c>
      <c r="E78" s="32">
        <f>IF($T78=0,"",INDEX('Market Data'!$AY$5:$AY$528,$T78))</f>
        <v/>
      </c>
      <c r="F78" s="33">
        <f>IF($T78=0,"",IF(AND($I78="Bloomberg",ISNUMBER(INDEX('Market Data'!$L$5:$L$528,$T78))),INDEX('Market Data'!$L$5:$L$528,$T78),"unavailable"))</f>
        <v/>
      </c>
      <c r="G78" s="14">
        <f>IF($T78=0,"",IF($I78="Bloomberg",IF(AND(ISNUMBER(INDEX('Market Data'!$M$5:$M$528,$T78)),N(INDEX('Market Data'!$M$5:$M$528,$T78))&gt;0),INDEX('Market Data'!$M$5:$M$528,$T78),"date unavailable"),IF($I78="Snapshot",IF(AND(ISNUMBER(INDEX('Market Data'!$H$5:$H$528,$T78)),N(INDEX('Market Data'!$H$5:$H$528,$T78))&gt;0),INDEX('Market Data'!$H$5:$H$528,$T78),"date unavailable"),"date unavailable")))</f>
        <v/>
      </c>
      <c r="H78" s="15">
        <f>IF($T78=0,"",IF($I78="Bloomberg",IF(INDEX('Market Data'!$N$5:$N$528,$T78)="","time unavailable",INDEX('Market Data'!$N$5:$N$528,$T78)),""))</f>
        <v/>
      </c>
      <c r="I78" s="15">
        <f>IF($T78=0,"",INDEX('Market Data'!$AZ$5:$AZ$528,$T78))</f>
        <v/>
      </c>
      <c r="J78" s="34">
        <f>IF($T78=0,"",IF(INDEX('Market Data'!$E$5:$E$528,$T78)="","",INDEX('Market Data'!$E$5:$E$528,$T78)))</f>
        <v/>
      </c>
      <c r="K78" s="31">
        <f>IF($T78=0,"",IF(INDEX('Market Data'!$I$5:$I$528,$T78)="","",INDEX('Market Data'!$I$5:$I$528,$T78)))</f>
        <v/>
      </c>
      <c r="L78" s="32">
        <f>IF($T78=0,"",IF(INDEX('Market Data'!$J$5:$J$528,$T78)=0,"n/a",IF(AND($M$5&lt;&gt;"Snapshot",ISNUMBER(INDEX('Market Data'!$AH$5:$AH$66,INDEX('Market Data'!$J$5:$J$528,$T78)-4)),N(INDEX('Market Data'!$AH$5:$AH$66,INDEX('Market Data'!$J$5:$J$528,$T78)-4))&gt;0),INDEX('Market Data'!$AH$5:$AH$66,INDEX('Market Data'!$J$5:$J$528,$T78)-4),IF(AND($M$5&lt;&gt;"Bloomberg",ISNUMBER(INDEX('Market Data'!$AC$5:$AC$66,INDEX('Market Data'!$J$5:$J$528,$T78)-4)),N(INDEX('Market Data'!$AC$5:$AC$66,INDEX('Market Data'!$J$5:$J$528,$T78)-4))&gt;0),INDEX('Market Data'!$AC$5:$AC$66,INDEX('Market Data'!$J$5:$J$528,$T78)-4),"unavailable"))))</f>
        <v/>
      </c>
      <c r="M78" s="33">
        <f>IF($T78=0,"",IF(INDEX('Market Data'!$J$5:$J$528,$T78)=0,"n/a",IF(IF(INDEX('Market Data'!$J$5:$J$528,$T78)=0,0,IF(LEFT(INDEX('Market Data'!$AS$5:$AS$66,INDEX('Market Data'!$J$5:$J$528,$T78)-4),11)="First-month",1,0))=1,"class review",IF($I78="Bloomberg",IF(AND($Q78="Bloomberg",ISNUMBER('Market Data'!$B$1),N('Market Data'!$B$1)&gt;0),$L78*'Market Data'!$B$1/$E78-1,"pending A/FX"),IF($I78="Snapshot",IF(AND($Q78="Snapshot",$G78=INDEX('Market Data'!$AE$5:$AE$66,INDEX('Market Data'!$J$5:$J$528,$T78)-4)),IFERROR($L78*INDEX('Market Data'!$AD$5:$AD$66,INDEX('Market Data'!$J$5:$J$528,$T78)-4)/$E78-1,"unavailable"),"date mismatch"),"unavailable")))))</f>
        <v/>
      </c>
      <c r="N78" s="33">
        <f>IF($T78=0,"",IFERROR(IF(AND(N(INDEX('Market Data'!$F$5:$F$528,$T78))&gt;0,ISNUMBER(INDEX('Market Data'!$BB$5:$BB$528,$T78))),$E78*INDEX('Market Data'!$BB$5:$BB$528,$T78)/INDEX('Market Data'!$F$5:$F$528,$T78)-1,"unavailable"),"unavailable"))</f>
        <v/>
      </c>
      <c r="O78" s="15">
        <f>IF($T78=0,"",IF(IF(INDEX('Market Data'!$J$5:$J$528,$T78)=0,0,IF(LEFT(INDEX('Market Data'!$AS$5:$AS$66,INDEX('Market Data'!$J$5:$J$528,$T78)-4),11)="First-month",1,0))=1,"Class ratio review",IF($I78="Bloomberg",IF(ISNUMBER($G78),IF($G78&lt;TODAY(),"Older quote","See quote time"),"Date unavailable"),IF($I78="Snapshot",IF($G78&lt;DATEVALUE("2026-10-02"),"Older snapshot","Dated close"),"No valid quote"))))</f>
        <v/>
      </c>
      <c r="P78" s="14">
        <f>IF($T78=0,"",IF(INDEX('Market Data'!$J$5:$J$528,$T78)=0,"n/a",IF($Q78="Bloomberg",IF(AND(ISNUMBER(INDEX('Market Data'!$AK$5:$AK$66,INDEX('Market Data'!$J$5:$J$528,$T78)-4)),N(INDEX('Market Data'!$AK$5:$AK$66,INDEX('Market Data'!$J$5:$J$528,$T78)-4))&gt;0),INDEX('Market Data'!$AK$5:$AK$66,INDEX('Market Data'!$J$5:$J$528,$T78)-4),"date unavailable"),IF($Q78="Snapshot",IF(AND(ISNUMBER(INDEX('Market Data'!$AF$5:$AF$66,INDEX('Market Data'!$J$5:$J$528,$T78)-4)),N(INDEX('Market Data'!$AF$5:$AF$66,INDEX('Market Data'!$J$5:$J$528,$T78)-4))&gt;0),INDEX('Market Data'!$AF$5:$AF$66,INDEX('Market Data'!$J$5:$J$528,$T78)-4),"date unavailable"),"date unavailable"))))</f>
        <v/>
      </c>
      <c r="Q78" s="15">
        <f>IF($T78=0,"",IF(INDEX('Market Data'!$J$5:$J$528,$T78)=0,"n/a",IF(AND($M$5&lt;&gt;"Snapshot",ISNUMBER(INDEX('Market Data'!$AH$5:$AH$66,INDEX('Market Data'!$J$5:$J$528,$T78)-4)),N(INDEX('Market Data'!$AH$5:$AH$66,INDEX('Market Data'!$J$5:$J$528,$T78)-4))&gt;0),"Bloomberg",IF(AND($M$5&lt;&gt;"Bloomberg",ISNUMBER(INDEX('Market Data'!$AC$5:$AC$66,INDEX('Market Data'!$J$5:$J$528,$T78)-4)),N(INDEX('Market Data'!$AC$5:$AC$66,INDEX('Market Data'!$J$5:$J$528,$T78)-4))&gt;0),"Snapshot","Unavailable"))))</f>
        <v/>
      </c>
      <c r="T78">
        <f>IFERROR(MATCH(42,'Market Data'!$AX$5:$AX$528,0),0)</f>
        <v/>
      </c>
    </row>
    <row r="79" ht="34" customHeight="1">
      <c r="A79" s="31">
        <f>IF($T79=0,"",IF(INDEX('Market Data'!$A$5:$A$528,$T79)="","",INDEX('Market Data'!$A$5:$A$528,$T79)))</f>
        <v/>
      </c>
      <c r="B79" s="15">
        <f>IF($T79=0,"",IF(INDEX('Market Data'!$B$5:$B$528,$T79)="","",INDEX('Market Data'!$B$5:$B$528,$T79)))</f>
        <v/>
      </c>
      <c r="C79" s="15">
        <f>IF($T79=0,"",IF(INDEX('Market Data'!$C$5:$C$528,$T79)="","",INDEX('Market Data'!$C$5:$C$528,$T79)))</f>
        <v/>
      </c>
      <c r="D79" s="15">
        <f>IF($T79=0,"",IF(INDEX('Market Data'!$D$5:$D$528,$T79)="","",INDEX('Market Data'!$D$5:$D$528,$T79)))</f>
        <v/>
      </c>
      <c r="E79" s="32">
        <f>IF($T79=0,"",INDEX('Market Data'!$AY$5:$AY$528,$T79))</f>
        <v/>
      </c>
      <c r="F79" s="33">
        <f>IF($T79=0,"",IF(AND($I79="Bloomberg",ISNUMBER(INDEX('Market Data'!$L$5:$L$528,$T79))),INDEX('Market Data'!$L$5:$L$528,$T79),"unavailable"))</f>
        <v/>
      </c>
      <c r="G79" s="14">
        <f>IF($T79=0,"",IF($I79="Bloomberg",IF(AND(ISNUMBER(INDEX('Market Data'!$M$5:$M$528,$T79)),N(INDEX('Market Data'!$M$5:$M$528,$T79))&gt;0),INDEX('Market Data'!$M$5:$M$528,$T79),"date unavailable"),IF($I79="Snapshot",IF(AND(ISNUMBER(INDEX('Market Data'!$H$5:$H$528,$T79)),N(INDEX('Market Data'!$H$5:$H$528,$T79))&gt;0),INDEX('Market Data'!$H$5:$H$528,$T79),"date unavailable"),"date unavailable")))</f>
        <v/>
      </c>
      <c r="H79" s="15">
        <f>IF($T79=0,"",IF($I79="Bloomberg",IF(INDEX('Market Data'!$N$5:$N$528,$T79)="","time unavailable",INDEX('Market Data'!$N$5:$N$528,$T79)),""))</f>
        <v/>
      </c>
      <c r="I79" s="15">
        <f>IF($T79=0,"",INDEX('Market Data'!$AZ$5:$AZ$528,$T79))</f>
        <v/>
      </c>
      <c r="J79" s="34">
        <f>IF($T79=0,"",IF(INDEX('Market Data'!$E$5:$E$528,$T79)="","",INDEX('Market Data'!$E$5:$E$528,$T79)))</f>
        <v/>
      </c>
      <c r="K79" s="31">
        <f>IF($T79=0,"",IF(INDEX('Market Data'!$I$5:$I$528,$T79)="","",INDEX('Market Data'!$I$5:$I$528,$T79)))</f>
        <v/>
      </c>
      <c r="L79" s="32">
        <f>IF($T79=0,"",IF(INDEX('Market Data'!$J$5:$J$528,$T79)=0,"n/a",IF(AND($M$5&lt;&gt;"Snapshot",ISNUMBER(INDEX('Market Data'!$AH$5:$AH$66,INDEX('Market Data'!$J$5:$J$528,$T79)-4)),N(INDEX('Market Data'!$AH$5:$AH$66,INDEX('Market Data'!$J$5:$J$528,$T79)-4))&gt;0),INDEX('Market Data'!$AH$5:$AH$66,INDEX('Market Data'!$J$5:$J$528,$T79)-4),IF(AND($M$5&lt;&gt;"Bloomberg",ISNUMBER(INDEX('Market Data'!$AC$5:$AC$66,INDEX('Market Data'!$J$5:$J$528,$T79)-4)),N(INDEX('Market Data'!$AC$5:$AC$66,INDEX('Market Data'!$J$5:$J$528,$T79)-4))&gt;0),INDEX('Market Data'!$AC$5:$AC$66,INDEX('Market Data'!$J$5:$J$528,$T79)-4),"unavailable"))))</f>
        <v/>
      </c>
      <c r="M79" s="33">
        <f>IF($T79=0,"",IF(INDEX('Market Data'!$J$5:$J$528,$T79)=0,"n/a",IF(IF(INDEX('Market Data'!$J$5:$J$528,$T79)=0,0,IF(LEFT(INDEX('Market Data'!$AS$5:$AS$66,INDEX('Market Data'!$J$5:$J$528,$T79)-4),11)="First-month",1,0))=1,"class review",IF($I79="Bloomberg",IF(AND($Q79="Bloomberg",ISNUMBER('Market Data'!$B$1),N('Market Data'!$B$1)&gt;0),$L79*'Market Data'!$B$1/$E79-1,"pending A/FX"),IF($I79="Snapshot",IF(AND($Q79="Snapshot",$G79=INDEX('Market Data'!$AE$5:$AE$66,INDEX('Market Data'!$J$5:$J$528,$T79)-4)),IFERROR($L79*INDEX('Market Data'!$AD$5:$AD$66,INDEX('Market Data'!$J$5:$J$528,$T79)-4)/$E79-1,"unavailable"),"date mismatch"),"unavailable")))))</f>
        <v/>
      </c>
      <c r="N79" s="33">
        <f>IF($T79=0,"",IFERROR(IF(AND(N(INDEX('Market Data'!$F$5:$F$528,$T79))&gt;0,ISNUMBER(INDEX('Market Data'!$BB$5:$BB$528,$T79))),$E79*INDEX('Market Data'!$BB$5:$BB$528,$T79)/INDEX('Market Data'!$F$5:$F$528,$T79)-1,"unavailable"),"unavailable"))</f>
        <v/>
      </c>
      <c r="O79" s="15">
        <f>IF($T79=0,"",IF(IF(INDEX('Market Data'!$J$5:$J$528,$T79)=0,0,IF(LEFT(INDEX('Market Data'!$AS$5:$AS$66,INDEX('Market Data'!$J$5:$J$528,$T79)-4),11)="First-month",1,0))=1,"Class ratio review",IF($I79="Bloomberg",IF(ISNUMBER($G79),IF($G79&lt;TODAY(),"Older quote","See quote time"),"Date unavailable"),IF($I79="Snapshot",IF($G79&lt;DATEVALUE("2026-10-02"),"Older snapshot","Dated close"),"No valid quote"))))</f>
        <v/>
      </c>
      <c r="P79" s="14">
        <f>IF($T79=0,"",IF(INDEX('Market Data'!$J$5:$J$528,$T79)=0,"n/a",IF($Q79="Bloomberg",IF(AND(ISNUMBER(INDEX('Market Data'!$AK$5:$AK$66,INDEX('Market Data'!$J$5:$J$528,$T79)-4)),N(INDEX('Market Data'!$AK$5:$AK$66,INDEX('Market Data'!$J$5:$J$528,$T79)-4))&gt;0),INDEX('Market Data'!$AK$5:$AK$66,INDEX('Market Data'!$J$5:$J$528,$T79)-4),"date unavailable"),IF($Q79="Snapshot",IF(AND(ISNUMBER(INDEX('Market Data'!$AF$5:$AF$66,INDEX('Market Data'!$J$5:$J$528,$T79)-4)),N(INDEX('Market Data'!$AF$5:$AF$66,INDEX('Market Data'!$J$5:$J$528,$T79)-4))&gt;0),INDEX('Market Data'!$AF$5:$AF$66,INDEX('Market Data'!$J$5:$J$528,$T79)-4),"date unavailable"),"date unavailable"))))</f>
        <v/>
      </c>
      <c r="Q79" s="15">
        <f>IF($T79=0,"",IF(INDEX('Market Data'!$J$5:$J$528,$T79)=0,"n/a",IF(AND($M$5&lt;&gt;"Snapshot",ISNUMBER(INDEX('Market Data'!$AH$5:$AH$66,INDEX('Market Data'!$J$5:$J$528,$T79)-4)),N(INDEX('Market Data'!$AH$5:$AH$66,INDEX('Market Data'!$J$5:$J$528,$T79)-4))&gt;0),"Bloomberg",IF(AND($M$5&lt;&gt;"Bloomberg",ISNUMBER(INDEX('Market Data'!$AC$5:$AC$66,INDEX('Market Data'!$J$5:$J$528,$T79)-4)),N(INDEX('Market Data'!$AC$5:$AC$66,INDEX('Market Data'!$J$5:$J$528,$T79)-4))&gt;0),"Snapshot","Unavailable"))))</f>
        <v/>
      </c>
      <c r="T79">
        <f>IFERROR(MATCH(43,'Market Data'!$AX$5:$AX$528,0),0)</f>
        <v/>
      </c>
    </row>
    <row r="80" ht="34" customHeight="1">
      <c r="A80" s="31">
        <f>IF($T80=0,"",IF(INDEX('Market Data'!$A$5:$A$528,$T80)="","",INDEX('Market Data'!$A$5:$A$528,$T80)))</f>
        <v/>
      </c>
      <c r="B80" s="15">
        <f>IF($T80=0,"",IF(INDEX('Market Data'!$B$5:$B$528,$T80)="","",INDEX('Market Data'!$B$5:$B$528,$T80)))</f>
        <v/>
      </c>
      <c r="C80" s="15">
        <f>IF($T80=0,"",IF(INDEX('Market Data'!$C$5:$C$528,$T80)="","",INDEX('Market Data'!$C$5:$C$528,$T80)))</f>
        <v/>
      </c>
      <c r="D80" s="15">
        <f>IF($T80=0,"",IF(INDEX('Market Data'!$D$5:$D$528,$T80)="","",INDEX('Market Data'!$D$5:$D$528,$T80)))</f>
        <v/>
      </c>
      <c r="E80" s="32">
        <f>IF($T80=0,"",INDEX('Market Data'!$AY$5:$AY$528,$T80))</f>
        <v/>
      </c>
      <c r="F80" s="33">
        <f>IF($T80=0,"",IF(AND($I80="Bloomberg",ISNUMBER(INDEX('Market Data'!$L$5:$L$528,$T80))),INDEX('Market Data'!$L$5:$L$528,$T80),"unavailable"))</f>
        <v/>
      </c>
      <c r="G80" s="14">
        <f>IF($T80=0,"",IF($I80="Bloomberg",IF(AND(ISNUMBER(INDEX('Market Data'!$M$5:$M$528,$T80)),N(INDEX('Market Data'!$M$5:$M$528,$T80))&gt;0),INDEX('Market Data'!$M$5:$M$528,$T80),"date unavailable"),IF($I80="Snapshot",IF(AND(ISNUMBER(INDEX('Market Data'!$H$5:$H$528,$T80)),N(INDEX('Market Data'!$H$5:$H$528,$T80))&gt;0),INDEX('Market Data'!$H$5:$H$528,$T80),"date unavailable"),"date unavailable")))</f>
        <v/>
      </c>
      <c r="H80" s="15">
        <f>IF($T80=0,"",IF($I80="Bloomberg",IF(INDEX('Market Data'!$N$5:$N$528,$T80)="","time unavailable",INDEX('Market Data'!$N$5:$N$528,$T80)),""))</f>
        <v/>
      </c>
      <c r="I80" s="15">
        <f>IF($T80=0,"",INDEX('Market Data'!$AZ$5:$AZ$528,$T80))</f>
        <v/>
      </c>
      <c r="J80" s="34">
        <f>IF($T80=0,"",IF(INDEX('Market Data'!$E$5:$E$528,$T80)="","",INDEX('Market Data'!$E$5:$E$528,$T80)))</f>
        <v/>
      </c>
      <c r="K80" s="31">
        <f>IF($T80=0,"",IF(INDEX('Market Data'!$I$5:$I$528,$T80)="","",INDEX('Market Data'!$I$5:$I$528,$T80)))</f>
        <v/>
      </c>
      <c r="L80" s="32">
        <f>IF($T80=0,"",IF(INDEX('Market Data'!$J$5:$J$528,$T80)=0,"n/a",IF(AND($M$5&lt;&gt;"Snapshot",ISNUMBER(INDEX('Market Data'!$AH$5:$AH$66,INDEX('Market Data'!$J$5:$J$528,$T80)-4)),N(INDEX('Market Data'!$AH$5:$AH$66,INDEX('Market Data'!$J$5:$J$528,$T80)-4))&gt;0),INDEX('Market Data'!$AH$5:$AH$66,INDEX('Market Data'!$J$5:$J$528,$T80)-4),IF(AND($M$5&lt;&gt;"Bloomberg",ISNUMBER(INDEX('Market Data'!$AC$5:$AC$66,INDEX('Market Data'!$J$5:$J$528,$T80)-4)),N(INDEX('Market Data'!$AC$5:$AC$66,INDEX('Market Data'!$J$5:$J$528,$T80)-4))&gt;0),INDEX('Market Data'!$AC$5:$AC$66,INDEX('Market Data'!$J$5:$J$528,$T80)-4),"unavailable"))))</f>
        <v/>
      </c>
      <c r="M80" s="33">
        <f>IF($T80=0,"",IF(INDEX('Market Data'!$J$5:$J$528,$T80)=0,"n/a",IF(IF(INDEX('Market Data'!$J$5:$J$528,$T80)=0,0,IF(LEFT(INDEX('Market Data'!$AS$5:$AS$66,INDEX('Market Data'!$J$5:$J$528,$T80)-4),11)="First-month",1,0))=1,"class review",IF($I80="Bloomberg",IF(AND($Q80="Bloomberg",ISNUMBER('Market Data'!$B$1),N('Market Data'!$B$1)&gt;0),$L80*'Market Data'!$B$1/$E80-1,"pending A/FX"),IF($I80="Snapshot",IF(AND($Q80="Snapshot",$G80=INDEX('Market Data'!$AE$5:$AE$66,INDEX('Market Data'!$J$5:$J$528,$T80)-4)),IFERROR($L80*INDEX('Market Data'!$AD$5:$AD$66,INDEX('Market Data'!$J$5:$J$528,$T80)-4)/$E80-1,"unavailable"),"date mismatch"),"unavailable")))))</f>
        <v/>
      </c>
      <c r="N80" s="33">
        <f>IF($T80=0,"",IFERROR(IF(AND(N(INDEX('Market Data'!$F$5:$F$528,$T80))&gt;0,ISNUMBER(INDEX('Market Data'!$BB$5:$BB$528,$T80))),$E80*INDEX('Market Data'!$BB$5:$BB$528,$T80)/INDEX('Market Data'!$F$5:$F$528,$T80)-1,"unavailable"),"unavailable"))</f>
        <v/>
      </c>
      <c r="O80" s="15">
        <f>IF($T80=0,"",IF(IF(INDEX('Market Data'!$J$5:$J$528,$T80)=0,0,IF(LEFT(INDEX('Market Data'!$AS$5:$AS$66,INDEX('Market Data'!$J$5:$J$528,$T80)-4),11)="First-month",1,0))=1,"Class ratio review",IF($I80="Bloomberg",IF(ISNUMBER($G80),IF($G80&lt;TODAY(),"Older quote","See quote time"),"Date unavailable"),IF($I80="Snapshot",IF($G80&lt;DATEVALUE("2026-10-02"),"Older snapshot","Dated close"),"No valid quote"))))</f>
        <v/>
      </c>
      <c r="P80" s="14">
        <f>IF($T80=0,"",IF(INDEX('Market Data'!$J$5:$J$528,$T80)=0,"n/a",IF($Q80="Bloomberg",IF(AND(ISNUMBER(INDEX('Market Data'!$AK$5:$AK$66,INDEX('Market Data'!$J$5:$J$528,$T80)-4)),N(INDEX('Market Data'!$AK$5:$AK$66,INDEX('Market Data'!$J$5:$J$528,$T80)-4))&gt;0),INDEX('Market Data'!$AK$5:$AK$66,INDEX('Market Data'!$J$5:$J$528,$T80)-4),"date unavailable"),IF($Q80="Snapshot",IF(AND(ISNUMBER(INDEX('Market Data'!$AF$5:$AF$66,INDEX('Market Data'!$J$5:$J$528,$T80)-4)),N(INDEX('Market Data'!$AF$5:$AF$66,INDEX('Market Data'!$J$5:$J$528,$T80)-4))&gt;0),INDEX('Market Data'!$AF$5:$AF$66,INDEX('Market Data'!$J$5:$J$528,$T80)-4),"date unavailable"),"date unavailable"))))</f>
        <v/>
      </c>
      <c r="Q80" s="15">
        <f>IF($T80=0,"",IF(INDEX('Market Data'!$J$5:$J$528,$T80)=0,"n/a",IF(AND($M$5&lt;&gt;"Snapshot",ISNUMBER(INDEX('Market Data'!$AH$5:$AH$66,INDEX('Market Data'!$J$5:$J$528,$T80)-4)),N(INDEX('Market Data'!$AH$5:$AH$66,INDEX('Market Data'!$J$5:$J$528,$T80)-4))&gt;0),"Bloomberg",IF(AND($M$5&lt;&gt;"Bloomberg",ISNUMBER(INDEX('Market Data'!$AC$5:$AC$66,INDEX('Market Data'!$J$5:$J$528,$T80)-4)),N(INDEX('Market Data'!$AC$5:$AC$66,INDEX('Market Data'!$J$5:$J$528,$T80)-4))&gt;0),"Snapshot","Unavailable"))))</f>
        <v/>
      </c>
      <c r="T80">
        <f>IFERROR(MATCH(44,'Market Data'!$AX$5:$AX$528,0),0)</f>
        <v/>
      </c>
    </row>
    <row r="81" ht="34" customHeight="1">
      <c r="A81" s="31">
        <f>IF($T81=0,"",IF(INDEX('Market Data'!$A$5:$A$528,$T81)="","",INDEX('Market Data'!$A$5:$A$528,$T81)))</f>
        <v/>
      </c>
      <c r="B81" s="15">
        <f>IF($T81=0,"",IF(INDEX('Market Data'!$B$5:$B$528,$T81)="","",INDEX('Market Data'!$B$5:$B$528,$T81)))</f>
        <v/>
      </c>
      <c r="C81" s="15">
        <f>IF($T81=0,"",IF(INDEX('Market Data'!$C$5:$C$528,$T81)="","",INDEX('Market Data'!$C$5:$C$528,$T81)))</f>
        <v/>
      </c>
      <c r="D81" s="15">
        <f>IF($T81=0,"",IF(INDEX('Market Data'!$D$5:$D$528,$T81)="","",INDEX('Market Data'!$D$5:$D$528,$T81)))</f>
        <v/>
      </c>
      <c r="E81" s="32">
        <f>IF($T81=0,"",INDEX('Market Data'!$AY$5:$AY$528,$T81))</f>
        <v/>
      </c>
      <c r="F81" s="33">
        <f>IF($T81=0,"",IF(AND($I81="Bloomberg",ISNUMBER(INDEX('Market Data'!$L$5:$L$528,$T81))),INDEX('Market Data'!$L$5:$L$528,$T81),"unavailable"))</f>
        <v/>
      </c>
      <c r="G81" s="14">
        <f>IF($T81=0,"",IF($I81="Bloomberg",IF(AND(ISNUMBER(INDEX('Market Data'!$M$5:$M$528,$T81)),N(INDEX('Market Data'!$M$5:$M$528,$T81))&gt;0),INDEX('Market Data'!$M$5:$M$528,$T81),"date unavailable"),IF($I81="Snapshot",IF(AND(ISNUMBER(INDEX('Market Data'!$H$5:$H$528,$T81)),N(INDEX('Market Data'!$H$5:$H$528,$T81))&gt;0),INDEX('Market Data'!$H$5:$H$528,$T81),"date unavailable"),"date unavailable")))</f>
        <v/>
      </c>
      <c r="H81" s="15">
        <f>IF($T81=0,"",IF($I81="Bloomberg",IF(INDEX('Market Data'!$N$5:$N$528,$T81)="","time unavailable",INDEX('Market Data'!$N$5:$N$528,$T81)),""))</f>
        <v/>
      </c>
      <c r="I81" s="15">
        <f>IF($T81=0,"",INDEX('Market Data'!$AZ$5:$AZ$528,$T81))</f>
        <v/>
      </c>
      <c r="J81" s="34">
        <f>IF($T81=0,"",IF(INDEX('Market Data'!$E$5:$E$528,$T81)="","",INDEX('Market Data'!$E$5:$E$528,$T81)))</f>
        <v/>
      </c>
      <c r="K81" s="31">
        <f>IF($T81=0,"",IF(INDEX('Market Data'!$I$5:$I$528,$T81)="","",INDEX('Market Data'!$I$5:$I$528,$T81)))</f>
        <v/>
      </c>
      <c r="L81" s="32">
        <f>IF($T81=0,"",IF(INDEX('Market Data'!$J$5:$J$528,$T81)=0,"n/a",IF(AND($M$5&lt;&gt;"Snapshot",ISNUMBER(INDEX('Market Data'!$AH$5:$AH$66,INDEX('Market Data'!$J$5:$J$528,$T81)-4)),N(INDEX('Market Data'!$AH$5:$AH$66,INDEX('Market Data'!$J$5:$J$528,$T81)-4))&gt;0),INDEX('Market Data'!$AH$5:$AH$66,INDEX('Market Data'!$J$5:$J$528,$T81)-4),IF(AND($M$5&lt;&gt;"Bloomberg",ISNUMBER(INDEX('Market Data'!$AC$5:$AC$66,INDEX('Market Data'!$J$5:$J$528,$T81)-4)),N(INDEX('Market Data'!$AC$5:$AC$66,INDEX('Market Data'!$J$5:$J$528,$T81)-4))&gt;0),INDEX('Market Data'!$AC$5:$AC$66,INDEX('Market Data'!$J$5:$J$528,$T81)-4),"unavailable"))))</f>
        <v/>
      </c>
      <c r="M81" s="33">
        <f>IF($T81=0,"",IF(INDEX('Market Data'!$J$5:$J$528,$T81)=0,"n/a",IF(IF(INDEX('Market Data'!$J$5:$J$528,$T81)=0,0,IF(LEFT(INDEX('Market Data'!$AS$5:$AS$66,INDEX('Market Data'!$J$5:$J$528,$T81)-4),11)="First-month",1,0))=1,"class review",IF($I81="Bloomberg",IF(AND($Q81="Bloomberg",ISNUMBER('Market Data'!$B$1),N('Market Data'!$B$1)&gt;0),$L81*'Market Data'!$B$1/$E81-1,"pending A/FX"),IF($I81="Snapshot",IF(AND($Q81="Snapshot",$G81=INDEX('Market Data'!$AE$5:$AE$66,INDEX('Market Data'!$J$5:$J$528,$T81)-4)),IFERROR($L81*INDEX('Market Data'!$AD$5:$AD$66,INDEX('Market Data'!$J$5:$J$528,$T81)-4)/$E81-1,"unavailable"),"date mismatch"),"unavailable")))))</f>
        <v/>
      </c>
      <c r="N81" s="33">
        <f>IF($T81=0,"",IFERROR(IF(AND(N(INDEX('Market Data'!$F$5:$F$528,$T81))&gt;0,ISNUMBER(INDEX('Market Data'!$BB$5:$BB$528,$T81))),$E81*INDEX('Market Data'!$BB$5:$BB$528,$T81)/INDEX('Market Data'!$F$5:$F$528,$T81)-1,"unavailable"),"unavailable"))</f>
        <v/>
      </c>
      <c r="O81" s="15">
        <f>IF($T81=0,"",IF(IF(INDEX('Market Data'!$J$5:$J$528,$T81)=0,0,IF(LEFT(INDEX('Market Data'!$AS$5:$AS$66,INDEX('Market Data'!$J$5:$J$528,$T81)-4),11)="First-month",1,0))=1,"Class ratio review",IF($I81="Bloomberg",IF(ISNUMBER($G81),IF($G81&lt;TODAY(),"Older quote","See quote time"),"Date unavailable"),IF($I81="Snapshot",IF($G81&lt;DATEVALUE("2026-10-02"),"Older snapshot","Dated close"),"No valid quote"))))</f>
        <v/>
      </c>
      <c r="P81" s="14">
        <f>IF($T81=0,"",IF(INDEX('Market Data'!$J$5:$J$528,$T81)=0,"n/a",IF($Q81="Bloomberg",IF(AND(ISNUMBER(INDEX('Market Data'!$AK$5:$AK$66,INDEX('Market Data'!$J$5:$J$528,$T81)-4)),N(INDEX('Market Data'!$AK$5:$AK$66,INDEX('Market Data'!$J$5:$J$528,$T81)-4))&gt;0),INDEX('Market Data'!$AK$5:$AK$66,INDEX('Market Data'!$J$5:$J$528,$T81)-4),"date unavailable"),IF($Q81="Snapshot",IF(AND(ISNUMBER(INDEX('Market Data'!$AF$5:$AF$66,INDEX('Market Data'!$J$5:$J$528,$T81)-4)),N(INDEX('Market Data'!$AF$5:$AF$66,INDEX('Market Data'!$J$5:$J$528,$T81)-4))&gt;0),INDEX('Market Data'!$AF$5:$AF$66,INDEX('Market Data'!$J$5:$J$528,$T81)-4),"date unavailable"),"date unavailable"))))</f>
        <v/>
      </c>
      <c r="Q81" s="15">
        <f>IF($T81=0,"",IF(INDEX('Market Data'!$J$5:$J$528,$T81)=0,"n/a",IF(AND($M$5&lt;&gt;"Snapshot",ISNUMBER(INDEX('Market Data'!$AH$5:$AH$66,INDEX('Market Data'!$J$5:$J$528,$T81)-4)),N(INDEX('Market Data'!$AH$5:$AH$66,INDEX('Market Data'!$J$5:$J$528,$T81)-4))&gt;0),"Bloomberg",IF(AND($M$5&lt;&gt;"Bloomberg",ISNUMBER(INDEX('Market Data'!$AC$5:$AC$66,INDEX('Market Data'!$J$5:$J$528,$T81)-4)),N(INDEX('Market Data'!$AC$5:$AC$66,INDEX('Market Data'!$J$5:$J$528,$T81)-4))&gt;0),"Snapshot","Unavailable"))))</f>
        <v/>
      </c>
      <c r="T81">
        <f>IFERROR(MATCH(45,'Market Data'!$AX$5:$AX$528,0),0)</f>
        <v/>
      </c>
    </row>
    <row r="82" ht="34" customHeight="1">
      <c r="A82" s="31">
        <f>IF($T82=0,"",IF(INDEX('Market Data'!$A$5:$A$528,$T82)="","",INDEX('Market Data'!$A$5:$A$528,$T82)))</f>
        <v/>
      </c>
      <c r="B82" s="15">
        <f>IF($T82=0,"",IF(INDEX('Market Data'!$B$5:$B$528,$T82)="","",INDEX('Market Data'!$B$5:$B$528,$T82)))</f>
        <v/>
      </c>
      <c r="C82" s="15">
        <f>IF($T82=0,"",IF(INDEX('Market Data'!$C$5:$C$528,$T82)="","",INDEX('Market Data'!$C$5:$C$528,$T82)))</f>
        <v/>
      </c>
      <c r="D82" s="15">
        <f>IF($T82=0,"",IF(INDEX('Market Data'!$D$5:$D$528,$T82)="","",INDEX('Market Data'!$D$5:$D$528,$T82)))</f>
        <v/>
      </c>
      <c r="E82" s="32">
        <f>IF($T82=0,"",INDEX('Market Data'!$AY$5:$AY$528,$T82))</f>
        <v/>
      </c>
      <c r="F82" s="33">
        <f>IF($T82=0,"",IF(AND($I82="Bloomberg",ISNUMBER(INDEX('Market Data'!$L$5:$L$528,$T82))),INDEX('Market Data'!$L$5:$L$528,$T82),"unavailable"))</f>
        <v/>
      </c>
      <c r="G82" s="14">
        <f>IF($T82=0,"",IF($I82="Bloomberg",IF(AND(ISNUMBER(INDEX('Market Data'!$M$5:$M$528,$T82)),N(INDEX('Market Data'!$M$5:$M$528,$T82))&gt;0),INDEX('Market Data'!$M$5:$M$528,$T82),"date unavailable"),IF($I82="Snapshot",IF(AND(ISNUMBER(INDEX('Market Data'!$H$5:$H$528,$T82)),N(INDEX('Market Data'!$H$5:$H$528,$T82))&gt;0),INDEX('Market Data'!$H$5:$H$528,$T82),"date unavailable"),"date unavailable")))</f>
        <v/>
      </c>
      <c r="H82" s="15">
        <f>IF($T82=0,"",IF($I82="Bloomberg",IF(INDEX('Market Data'!$N$5:$N$528,$T82)="","time unavailable",INDEX('Market Data'!$N$5:$N$528,$T82)),""))</f>
        <v/>
      </c>
      <c r="I82" s="15">
        <f>IF($T82=0,"",INDEX('Market Data'!$AZ$5:$AZ$528,$T82))</f>
        <v/>
      </c>
      <c r="J82" s="34">
        <f>IF($T82=0,"",IF(INDEX('Market Data'!$E$5:$E$528,$T82)="","",INDEX('Market Data'!$E$5:$E$528,$T82)))</f>
        <v/>
      </c>
      <c r="K82" s="31">
        <f>IF($T82=0,"",IF(INDEX('Market Data'!$I$5:$I$528,$T82)="","",INDEX('Market Data'!$I$5:$I$528,$T82)))</f>
        <v/>
      </c>
      <c r="L82" s="32">
        <f>IF($T82=0,"",IF(INDEX('Market Data'!$J$5:$J$528,$T82)=0,"n/a",IF(AND($M$5&lt;&gt;"Snapshot",ISNUMBER(INDEX('Market Data'!$AH$5:$AH$66,INDEX('Market Data'!$J$5:$J$528,$T82)-4)),N(INDEX('Market Data'!$AH$5:$AH$66,INDEX('Market Data'!$J$5:$J$528,$T82)-4))&gt;0),INDEX('Market Data'!$AH$5:$AH$66,INDEX('Market Data'!$J$5:$J$528,$T82)-4),IF(AND($M$5&lt;&gt;"Bloomberg",ISNUMBER(INDEX('Market Data'!$AC$5:$AC$66,INDEX('Market Data'!$J$5:$J$528,$T82)-4)),N(INDEX('Market Data'!$AC$5:$AC$66,INDEX('Market Data'!$J$5:$J$528,$T82)-4))&gt;0),INDEX('Market Data'!$AC$5:$AC$66,INDEX('Market Data'!$J$5:$J$528,$T82)-4),"unavailable"))))</f>
        <v/>
      </c>
      <c r="M82" s="33">
        <f>IF($T82=0,"",IF(INDEX('Market Data'!$J$5:$J$528,$T82)=0,"n/a",IF(IF(INDEX('Market Data'!$J$5:$J$528,$T82)=0,0,IF(LEFT(INDEX('Market Data'!$AS$5:$AS$66,INDEX('Market Data'!$J$5:$J$528,$T82)-4),11)="First-month",1,0))=1,"class review",IF($I82="Bloomberg",IF(AND($Q82="Bloomberg",ISNUMBER('Market Data'!$B$1),N('Market Data'!$B$1)&gt;0),$L82*'Market Data'!$B$1/$E82-1,"pending A/FX"),IF($I82="Snapshot",IF(AND($Q82="Snapshot",$G82=INDEX('Market Data'!$AE$5:$AE$66,INDEX('Market Data'!$J$5:$J$528,$T82)-4)),IFERROR($L82*INDEX('Market Data'!$AD$5:$AD$66,INDEX('Market Data'!$J$5:$J$528,$T82)-4)/$E82-1,"unavailable"),"date mismatch"),"unavailable")))))</f>
        <v/>
      </c>
      <c r="N82" s="33">
        <f>IF($T82=0,"",IFERROR(IF(AND(N(INDEX('Market Data'!$F$5:$F$528,$T82))&gt;0,ISNUMBER(INDEX('Market Data'!$BB$5:$BB$528,$T82))),$E82*INDEX('Market Data'!$BB$5:$BB$528,$T82)/INDEX('Market Data'!$F$5:$F$528,$T82)-1,"unavailable"),"unavailable"))</f>
        <v/>
      </c>
      <c r="O82" s="15">
        <f>IF($T82=0,"",IF(IF(INDEX('Market Data'!$J$5:$J$528,$T82)=0,0,IF(LEFT(INDEX('Market Data'!$AS$5:$AS$66,INDEX('Market Data'!$J$5:$J$528,$T82)-4),11)="First-month",1,0))=1,"Class ratio review",IF($I82="Bloomberg",IF(ISNUMBER($G82),IF($G82&lt;TODAY(),"Older quote","See quote time"),"Date unavailable"),IF($I82="Snapshot",IF($G82&lt;DATEVALUE("2026-10-02"),"Older snapshot","Dated close"),"No valid quote"))))</f>
        <v/>
      </c>
      <c r="P82" s="14">
        <f>IF($T82=0,"",IF(INDEX('Market Data'!$J$5:$J$528,$T82)=0,"n/a",IF($Q82="Bloomberg",IF(AND(ISNUMBER(INDEX('Market Data'!$AK$5:$AK$66,INDEX('Market Data'!$J$5:$J$528,$T82)-4)),N(INDEX('Market Data'!$AK$5:$AK$66,INDEX('Market Data'!$J$5:$J$528,$T82)-4))&gt;0),INDEX('Market Data'!$AK$5:$AK$66,INDEX('Market Data'!$J$5:$J$528,$T82)-4),"date unavailable"),IF($Q82="Snapshot",IF(AND(ISNUMBER(INDEX('Market Data'!$AF$5:$AF$66,INDEX('Market Data'!$J$5:$J$528,$T82)-4)),N(INDEX('Market Data'!$AF$5:$AF$66,INDEX('Market Data'!$J$5:$J$528,$T82)-4))&gt;0),INDEX('Market Data'!$AF$5:$AF$66,INDEX('Market Data'!$J$5:$J$528,$T82)-4),"date unavailable"),"date unavailable"))))</f>
        <v/>
      </c>
      <c r="Q82" s="15">
        <f>IF($T82=0,"",IF(INDEX('Market Data'!$J$5:$J$528,$T82)=0,"n/a",IF(AND($M$5&lt;&gt;"Snapshot",ISNUMBER(INDEX('Market Data'!$AH$5:$AH$66,INDEX('Market Data'!$J$5:$J$528,$T82)-4)),N(INDEX('Market Data'!$AH$5:$AH$66,INDEX('Market Data'!$J$5:$J$528,$T82)-4))&gt;0),"Bloomberg",IF(AND($M$5&lt;&gt;"Bloomberg",ISNUMBER(INDEX('Market Data'!$AC$5:$AC$66,INDEX('Market Data'!$J$5:$J$528,$T82)-4)),N(INDEX('Market Data'!$AC$5:$AC$66,INDEX('Market Data'!$J$5:$J$528,$T82)-4))&gt;0),"Snapshot","Unavailable"))))</f>
        <v/>
      </c>
      <c r="T82">
        <f>IFERROR(MATCH(46,'Market Data'!$AX$5:$AX$528,0),0)</f>
        <v/>
      </c>
    </row>
    <row r="83" ht="34" customHeight="1">
      <c r="A83" s="31">
        <f>IF($T83=0,"",IF(INDEX('Market Data'!$A$5:$A$528,$T83)="","",INDEX('Market Data'!$A$5:$A$528,$T83)))</f>
        <v/>
      </c>
      <c r="B83" s="15">
        <f>IF($T83=0,"",IF(INDEX('Market Data'!$B$5:$B$528,$T83)="","",INDEX('Market Data'!$B$5:$B$528,$T83)))</f>
        <v/>
      </c>
      <c r="C83" s="15">
        <f>IF($T83=0,"",IF(INDEX('Market Data'!$C$5:$C$528,$T83)="","",INDEX('Market Data'!$C$5:$C$528,$T83)))</f>
        <v/>
      </c>
      <c r="D83" s="15">
        <f>IF($T83=0,"",IF(INDEX('Market Data'!$D$5:$D$528,$T83)="","",INDEX('Market Data'!$D$5:$D$528,$T83)))</f>
        <v/>
      </c>
      <c r="E83" s="32">
        <f>IF($T83=0,"",INDEX('Market Data'!$AY$5:$AY$528,$T83))</f>
        <v/>
      </c>
      <c r="F83" s="33">
        <f>IF($T83=0,"",IF(AND($I83="Bloomberg",ISNUMBER(INDEX('Market Data'!$L$5:$L$528,$T83))),INDEX('Market Data'!$L$5:$L$528,$T83),"unavailable"))</f>
        <v/>
      </c>
      <c r="G83" s="14">
        <f>IF($T83=0,"",IF($I83="Bloomberg",IF(AND(ISNUMBER(INDEX('Market Data'!$M$5:$M$528,$T83)),N(INDEX('Market Data'!$M$5:$M$528,$T83))&gt;0),INDEX('Market Data'!$M$5:$M$528,$T83),"date unavailable"),IF($I83="Snapshot",IF(AND(ISNUMBER(INDEX('Market Data'!$H$5:$H$528,$T83)),N(INDEX('Market Data'!$H$5:$H$528,$T83))&gt;0),INDEX('Market Data'!$H$5:$H$528,$T83),"date unavailable"),"date unavailable")))</f>
        <v/>
      </c>
      <c r="H83" s="15">
        <f>IF($T83=0,"",IF($I83="Bloomberg",IF(INDEX('Market Data'!$N$5:$N$528,$T83)="","time unavailable",INDEX('Market Data'!$N$5:$N$528,$T83)),""))</f>
        <v/>
      </c>
      <c r="I83" s="15">
        <f>IF($T83=0,"",INDEX('Market Data'!$AZ$5:$AZ$528,$T83))</f>
        <v/>
      </c>
      <c r="J83" s="34">
        <f>IF($T83=0,"",IF(INDEX('Market Data'!$E$5:$E$528,$T83)="","",INDEX('Market Data'!$E$5:$E$528,$T83)))</f>
        <v/>
      </c>
      <c r="K83" s="31">
        <f>IF($T83=0,"",IF(INDEX('Market Data'!$I$5:$I$528,$T83)="","",INDEX('Market Data'!$I$5:$I$528,$T83)))</f>
        <v/>
      </c>
      <c r="L83" s="32">
        <f>IF($T83=0,"",IF(INDEX('Market Data'!$J$5:$J$528,$T83)=0,"n/a",IF(AND($M$5&lt;&gt;"Snapshot",ISNUMBER(INDEX('Market Data'!$AH$5:$AH$66,INDEX('Market Data'!$J$5:$J$528,$T83)-4)),N(INDEX('Market Data'!$AH$5:$AH$66,INDEX('Market Data'!$J$5:$J$528,$T83)-4))&gt;0),INDEX('Market Data'!$AH$5:$AH$66,INDEX('Market Data'!$J$5:$J$528,$T83)-4),IF(AND($M$5&lt;&gt;"Bloomberg",ISNUMBER(INDEX('Market Data'!$AC$5:$AC$66,INDEX('Market Data'!$J$5:$J$528,$T83)-4)),N(INDEX('Market Data'!$AC$5:$AC$66,INDEX('Market Data'!$J$5:$J$528,$T83)-4))&gt;0),INDEX('Market Data'!$AC$5:$AC$66,INDEX('Market Data'!$J$5:$J$528,$T83)-4),"unavailable"))))</f>
        <v/>
      </c>
      <c r="M83" s="33">
        <f>IF($T83=0,"",IF(INDEX('Market Data'!$J$5:$J$528,$T83)=0,"n/a",IF(IF(INDEX('Market Data'!$J$5:$J$528,$T83)=0,0,IF(LEFT(INDEX('Market Data'!$AS$5:$AS$66,INDEX('Market Data'!$J$5:$J$528,$T83)-4),11)="First-month",1,0))=1,"class review",IF($I83="Bloomberg",IF(AND($Q83="Bloomberg",ISNUMBER('Market Data'!$B$1),N('Market Data'!$B$1)&gt;0),$L83*'Market Data'!$B$1/$E83-1,"pending A/FX"),IF($I83="Snapshot",IF(AND($Q83="Snapshot",$G83=INDEX('Market Data'!$AE$5:$AE$66,INDEX('Market Data'!$J$5:$J$528,$T83)-4)),IFERROR($L83*INDEX('Market Data'!$AD$5:$AD$66,INDEX('Market Data'!$J$5:$J$528,$T83)-4)/$E83-1,"unavailable"),"date mismatch"),"unavailable")))))</f>
        <v/>
      </c>
      <c r="N83" s="33">
        <f>IF($T83=0,"",IFERROR(IF(AND(N(INDEX('Market Data'!$F$5:$F$528,$T83))&gt;0,ISNUMBER(INDEX('Market Data'!$BB$5:$BB$528,$T83))),$E83*INDEX('Market Data'!$BB$5:$BB$528,$T83)/INDEX('Market Data'!$F$5:$F$528,$T83)-1,"unavailable"),"unavailable"))</f>
        <v/>
      </c>
      <c r="O83" s="15">
        <f>IF($T83=0,"",IF(IF(INDEX('Market Data'!$J$5:$J$528,$T83)=0,0,IF(LEFT(INDEX('Market Data'!$AS$5:$AS$66,INDEX('Market Data'!$J$5:$J$528,$T83)-4),11)="First-month",1,0))=1,"Class ratio review",IF($I83="Bloomberg",IF(ISNUMBER($G83),IF($G83&lt;TODAY(),"Older quote","See quote time"),"Date unavailable"),IF($I83="Snapshot",IF($G83&lt;DATEVALUE("2026-10-02"),"Older snapshot","Dated close"),"No valid quote"))))</f>
        <v/>
      </c>
      <c r="P83" s="14">
        <f>IF($T83=0,"",IF(INDEX('Market Data'!$J$5:$J$528,$T83)=0,"n/a",IF($Q83="Bloomberg",IF(AND(ISNUMBER(INDEX('Market Data'!$AK$5:$AK$66,INDEX('Market Data'!$J$5:$J$528,$T83)-4)),N(INDEX('Market Data'!$AK$5:$AK$66,INDEX('Market Data'!$J$5:$J$528,$T83)-4))&gt;0),INDEX('Market Data'!$AK$5:$AK$66,INDEX('Market Data'!$J$5:$J$528,$T83)-4),"date unavailable"),IF($Q83="Snapshot",IF(AND(ISNUMBER(INDEX('Market Data'!$AF$5:$AF$66,INDEX('Market Data'!$J$5:$J$528,$T83)-4)),N(INDEX('Market Data'!$AF$5:$AF$66,INDEX('Market Data'!$J$5:$J$528,$T83)-4))&gt;0),INDEX('Market Data'!$AF$5:$AF$66,INDEX('Market Data'!$J$5:$J$528,$T83)-4),"date unavailable"),"date unavailable"))))</f>
        <v/>
      </c>
      <c r="Q83" s="15">
        <f>IF($T83=0,"",IF(INDEX('Market Data'!$J$5:$J$528,$T83)=0,"n/a",IF(AND($M$5&lt;&gt;"Snapshot",ISNUMBER(INDEX('Market Data'!$AH$5:$AH$66,INDEX('Market Data'!$J$5:$J$528,$T83)-4)),N(INDEX('Market Data'!$AH$5:$AH$66,INDEX('Market Data'!$J$5:$J$528,$T83)-4))&gt;0),"Bloomberg",IF(AND($M$5&lt;&gt;"Bloomberg",ISNUMBER(INDEX('Market Data'!$AC$5:$AC$66,INDEX('Market Data'!$J$5:$J$528,$T83)-4)),N(INDEX('Market Data'!$AC$5:$AC$66,INDEX('Market Data'!$J$5:$J$528,$T83)-4))&gt;0),"Snapshot","Unavailable"))))</f>
        <v/>
      </c>
      <c r="T83">
        <f>IFERROR(MATCH(47,'Market Data'!$AX$5:$AX$528,0),0)</f>
        <v/>
      </c>
    </row>
    <row r="84" ht="34" customHeight="1">
      <c r="A84" s="31">
        <f>IF($T84=0,"",IF(INDEX('Market Data'!$A$5:$A$528,$T84)="","",INDEX('Market Data'!$A$5:$A$528,$T84)))</f>
        <v/>
      </c>
      <c r="B84" s="15">
        <f>IF($T84=0,"",IF(INDEX('Market Data'!$B$5:$B$528,$T84)="","",INDEX('Market Data'!$B$5:$B$528,$T84)))</f>
        <v/>
      </c>
      <c r="C84" s="15">
        <f>IF($T84=0,"",IF(INDEX('Market Data'!$C$5:$C$528,$T84)="","",INDEX('Market Data'!$C$5:$C$528,$T84)))</f>
        <v/>
      </c>
      <c r="D84" s="15">
        <f>IF($T84=0,"",IF(INDEX('Market Data'!$D$5:$D$528,$T84)="","",INDEX('Market Data'!$D$5:$D$528,$T84)))</f>
        <v/>
      </c>
      <c r="E84" s="32">
        <f>IF($T84=0,"",INDEX('Market Data'!$AY$5:$AY$528,$T84))</f>
        <v/>
      </c>
      <c r="F84" s="33">
        <f>IF($T84=0,"",IF(AND($I84="Bloomberg",ISNUMBER(INDEX('Market Data'!$L$5:$L$528,$T84))),INDEX('Market Data'!$L$5:$L$528,$T84),"unavailable"))</f>
        <v/>
      </c>
      <c r="G84" s="14">
        <f>IF($T84=0,"",IF($I84="Bloomberg",IF(AND(ISNUMBER(INDEX('Market Data'!$M$5:$M$528,$T84)),N(INDEX('Market Data'!$M$5:$M$528,$T84))&gt;0),INDEX('Market Data'!$M$5:$M$528,$T84),"date unavailable"),IF($I84="Snapshot",IF(AND(ISNUMBER(INDEX('Market Data'!$H$5:$H$528,$T84)),N(INDEX('Market Data'!$H$5:$H$528,$T84))&gt;0),INDEX('Market Data'!$H$5:$H$528,$T84),"date unavailable"),"date unavailable")))</f>
        <v/>
      </c>
      <c r="H84" s="15">
        <f>IF($T84=0,"",IF($I84="Bloomberg",IF(INDEX('Market Data'!$N$5:$N$528,$T84)="","time unavailable",INDEX('Market Data'!$N$5:$N$528,$T84)),""))</f>
        <v/>
      </c>
      <c r="I84" s="15">
        <f>IF($T84=0,"",INDEX('Market Data'!$AZ$5:$AZ$528,$T84))</f>
        <v/>
      </c>
      <c r="J84" s="34">
        <f>IF($T84=0,"",IF(INDEX('Market Data'!$E$5:$E$528,$T84)="","",INDEX('Market Data'!$E$5:$E$528,$T84)))</f>
        <v/>
      </c>
      <c r="K84" s="31">
        <f>IF($T84=0,"",IF(INDEX('Market Data'!$I$5:$I$528,$T84)="","",INDEX('Market Data'!$I$5:$I$528,$T84)))</f>
        <v/>
      </c>
      <c r="L84" s="32">
        <f>IF($T84=0,"",IF(INDEX('Market Data'!$J$5:$J$528,$T84)=0,"n/a",IF(AND($M$5&lt;&gt;"Snapshot",ISNUMBER(INDEX('Market Data'!$AH$5:$AH$66,INDEX('Market Data'!$J$5:$J$528,$T84)-4)),N(INDEX('Market Data'!$AH$5:$AH$66,INDEX('Market Data'!$J$5:$J$528,$T84)-4))&gt;0),INDEX('Market Data'!$AH$5:$AH$66,INDEX('Market Data'!$J$5:$J$528,$T84)-4),IF(AND($M$5&lt;&gt;"Bloomberg",ISNUMBER(INDEX('Market Data'!$AC$5:$AC$66,INDEX('Market Data'!$J$5:$J$528,$T84)-4)),N(INDEX('Market Data'!$AC$5:$AC$66,INDEX('Market Data'!$J$5:$J$528,$T84)-4))&gt;0),INDEX('Market Data'!$AC$5:$AC$66,INDEX('Market Data'!$J$5:$J$528,$T84)-4),"unavailable"))))</f>
        <v/>
      </c>
      <c r="M84" s="33">
        <f>IF($T84=0,"",IF(INDEX('Market Data'!$J$5:$J$528,$T84)=0,"n/a",IF(IF(INDEX('Market Data'!$J$5:$J$528,$T84)=0,0,IF(LEFT(INDEX('Market Data'!$AS$5:$AS$66,INDEX('Market Data'!$J$5:$J$528,$T84)-4),11)="First-month",1,0))=1,"class review",IF($I84="Bloomberg",IF(AND($Q84="Bloomberg",ISNUMBER('Market Data'!$B$1),N('Market Data'!$B$1)&gt;0),$L84*'Market Data'!$B$1/$E84-1,"pending A/FX"),IF($I84="Snapshot",IF(AND($Q84="Snapshot",$G84=INDEX('Market Data'!$AE$5:$AE$66,INDEX('Market Data'!$J$5:$J$528,$T84)-4)),IFERROR($L84*INDEX('Market Data'!$AD$5:$AD$66,INDEX('Market Data'!$J$5:$J$528,$T84)-4)/$E84-1,"unavailable"),"date mismatch"),"unavailable")))))</f>
        <v/>
      </c>
      <c r="N84" s="33">
        <f>IF($T84=0,"",IFERROR(IF(AND(N(INDEX('Market Data'!$F$5:$F$528,$T84))&gt;0,ISNUMBER(INDEX('Market Data'!$BB$5:$BB$528,$T84))),$E84*INDEX('Market Data'!$BB$5:$BB$528,$T84)/INDEX('Market Data'!$F$5:$F$528,$T84)-1,"unavailable"),"unavailable"))</f>
        <v/>
      </c>
      <c r="O84" s="15">
        <f>IF($T84=0,"",IF(IF(INDEX('Market Data'!$J$5:$J$528,$T84)=0,0,IF(LEFT(INDEX('Market Data'!$AS$5:$AS$66,INDEX('Market Data'!$J$5:$J$528,$T84)-4),11)="First-month",1,0))=1,"Class ratio review",IF($I84="Bloomberg",IF(ISNUMBER($G84),IF($G84&lt;TODAY(),"Older quote","See quote time"),"Date unavailable"),IF($I84="Snapshot",IF($G84&lt;DATEVALUE("2026-10-02"),"Older snapshot","Dated close"),"No valid quote"))))</f>
        <v/>
      </c>
      <c r="P84" s="14">
        <f>IF($T84=0,"",IF(INDEX('Market Data'!$J$5:$J$528,$T84)=0,"n/a",IF($Q84="Bloomberg",IF(AND(ISNUMBER(INDEX('Market Data'!$AK$5:$AK$66,INDEX('Market Data'!$J$5:$J$528,$T84)-4)),N(INDEX('Market Data'!$AK$5:$AK$66,INDEX('Market Data'!$J$5:$J$528,$T84)-4))&gt;0),INDEX('Market Data'!$AK$5:$AK$66,INDEX('Market Data'!$J$5:$J$528,$T84)-4),"date unavailable"),IF($Q84="Snapshot",IF(AND(ISNUMBER(INDEX('Market Data'!$AF$5:$AF$66,INDEX('Market Data'!$J$5:$J$528,$T84)-4)),N(INDEX('Market Data'!$AF$5:$AF$66,INDEX('Market Data'!$J$5:$J$528,$T84)-4))&gt;0),INDEX('Market Data'!$AF$5:$AF$66,INDEX('Market Data'!$J$5:$J$528,$T84)-4),"date unavailable"),"date unavailable"))))</f>
        <v/>
      </c>
      <c r="Q84" s="15">
        <f>IF($T84=0,"",IF(INDEX('Market Data'!$J$5:$J$528,$T84)=0,"n/a",IF(AND($M$5&lt;&gt;"Snapshot",ISNUMBER(INDEX('Market Data'!$AH$5:$AH$66,INDEX('Market Data'!$J$5:$J$528,$T84)-4)),N(INDEX('Market Data'!$AH$5:$AH$66,INDEX('Market Data'!$J$5:$J$528,$T84)-4))&gt;0),"Bloomberg",IF(AND($M$5&lt;&gt;"Bloomberg",ISNUMBER(INDEX('Market Data'!$AC$5:$AC$66,INDEX('Market Data'!$J$5:$J$528,$T84)-4)),N(INDEX('Market Data'!$AC$5:$AC$66,INDEX('Market Data'!$J$5:$J$528,$T84)-4))&gt;0),"Snapshot","Unavailable"))))</f>
        <v/>
      </c>
      <c r="T84">
        <f>IFERROR(MATCH(48,'Market Data'!$AX$5:$AX$528,0),0)</f>
        <v/>
      </c>
    </row>
    <row r="85" ht="34" customHeight="1">
      <c r="A85" s="31">
        <f>IF($T85=0,"",IF(INDEX('Market Data'!$A$5:$A$528,$T85)="","",INDEX('Market Data'!$A$5:$A$528,$T85)))</f>
        <v/>
      </c>
      <c r="B85" s="15">
        <f>IF($T85=0,"",IF(INDEX('Market Data'!$B$5:$B$528,$T85)="","",INDEX('Market Data'!$B$5:$B$528,$T85)))</f>
        <v/>
      </c>
      <c r="C85" s="15">
        <f>IF($T85=0,"",IF(INDEX('Market Data'!$C$5:$C$528,$T85)="","",INDEX('Market Data'!$C$5:$C$528,$T85)))</f>
        <v/>
      </c>
      <c r="D85" s="15">
        <f>IF($T85=0,"",IF(INDEX('Market Data'!$D$5:$D$528,$T85)="","",INDEX('Market Data'!$D$5:$D$528,$T85)))</f>
        <v/>
      </c>
      <c r="E85" s="32">
        <f>IF($T85=0,"",INDEX('Market Data'!$AY$5:$AY$528,$T85))</f>
        <v/>
      </c>
      <c r="F85" s="33">
        <f>IF($T85=0,"",IF(AND($I85="Bloomberg",ISNUMBER(INDEX('Market Data'!$L$5:$L$528,$T85))),INDEX('Market Data'!$L$5:$L$528,$T85),"unavailable"))</f>
        <v/>
      </c>
      <c r="G85" s="14">
        <f>IF($T85=0,"",IF($I85="Bloomberg",IF(AND(ISNUMBER(INDEX('Market Data'!$M$5:$M$528,$T85)),N(INDEX('Market Data'!$M$5:$M$528,$T85))&gt;0),INDEX('Market Data'!$M$5:$M$528,$T85),"date unavailable"),IF($I85="Snapshot",IF(AND(ISNUMBER(INDEX('Market Data'!$H$5:$H$528,$T85)),N(INDEX('Market Data'!$H$5:$H$528,$T85))&gt;0),INDEX('Market Data'!$H$5:$H$528,$T85),"date unavailable"),"date unavailable")))</f>
        <v/>
      </c>
      <c r="H85" s="15">
        <f>IF($T85=0,"",IF($I85="Bloomberg",IF(INDEX('Market Data'!$N$5:$N$528,$T85)="","time unavailable",INDEX('Market Data'!$N$5:$N$528,$T85)),""))</f>
        <v/>
      </c>
      <c r="I85" s="15">
        <f>IF($T85=0,"",INDEX('Market Data'!$AZ$5:$AZ$528,$T85))</f>
        <v/>
      </c>
      <c r="J85" s="34">
        <f>IF($T85=0,"",IF(INDEX('Market Data'!$E$5:$E$528,$T85)="","",INDEX('Market Data'!$E$5:$E$528,$T85)))</f>
        <v/>
      </c>
      <c r="K85" s="31">
        <f>IF($T85=0,"",IF(INDEX('Market Data'!$I$5:$I$528,$T85)="","",INDEX('Market Data'!$I$5:$I$528,$T85)))</f>
        <v/>
      </c>
      <c r="L85" s="32">
        <f>IF($T85=0,"",IF(INDEX('Market Data'!$J$5:$J$528,$T85)=0,"n/a",IF(AND($M$5&lt;&gt;"Snapshot",ISNUMBER(INDEX('Market Data'!$AH$5:$AH$66,INDEX('Market Data'!$J$5:$J$528,$T85)-4)),N(INDEX('Market Data'!$AH$5:$AH$66,INDEX('Market Data'!$J$5:$J$528,$T85)-4))&gt;0),INDEX('Market Data'!$AH$5:$AH$66,INDEX('Market Data'!$J$5:$J$528,$T85)-4),IF(AND($M$5&lt;&gt;"Bloomberg",ISNUMBER(INDEX('Market Data'!$AC$5:$AC$66,INDEX('Market Data'!$J$5:$J$528,$T85)-4)),N(INDEX('Market Data'!$AC$5:$AC$66,INDEX('Market Data'!$J$5:$J$528,$T85)-4))&gt;0),INDEX('Market Data'!$AC$5:$AC$66,INDEX('Market Data'!$J$5:$J$528,$T85)-4),"unavailable"))))</f>
        <v/>
      </c>
      <c r="M85" s="33">
        <f>IF($T85=0,"",IF(INDEX('Market Data'!$J$5:$J$528,$T85)=0,"n/a",IF(IF(INDEX('Market Data'!$J$5:$J$528,$T85)=0,0,IF(LEFT(INDEX('Market Data'!$AS$5:$AS$66,INDEX('Market Data'!$J$5:$J$528,$T85)-4),11)="First-month",1,0))=1,"class review",IF($I85="Bloomberg",IF(AND($Q85="Bloomberg",ISNUMBER('Market Data'!$B$1),N('Market Data'!$B$1)&gt;0),$L85*'Market Data'!$B$1/$E85-1,"pending A/FX"),IF($I85="Snapshot",IF(AND($Q85="Snapshot",$G85=INDEX('Market Data'!$AE$5:$AE$66,INDEX('Market Data'!$J$5:$J$528,$T85)-4)),IFERROR($L85*INDEX('Market Data'!$AD$5:$AD$66,INDEX('Market Data'!$J$5:$J$528,$T85)-4)/$E85-1,"unavailable"),"date mismatch"),"unavailable")))))</f>
        <v/>
      </c>
      <c r="N85" s="33">
        <f>IF($T85=0,"",IFERROR(IF(AND(N(INDEX('Market Data'!$F$5:$F$528,$T85))&gt;0,ISNUMBER(INDEX('Market Data'!$BB$5:$BB$528,$T85))),$E85*INDEX('Market Data'!$BB$5:$BB$528,$T85)/INDEX('Market Data'!$F$5:$F$528,$T85)-1,"unavailable"),"unavailable"))</f>
        <v/>
      </c>
      <c r="O85" s="15">
        <f>IF($T85=0,"",IF(IF(INDEX('Market Data'!$J$5:$J$528,$T85)=0,0,IF(LEFT(INDEX('Market Data'!$AS$5:$AS$66,INDEX('Market Data'!$J$5:$J$528,$T85)-4),11)="First-month",1,0))=1,"Class ratio review",IF($I85="Bloomberg",IF(ISNUMBER($G85),IF($G85&lt;TODAY(),"Older quote","See quote time"),"Date unavailable"),IF($I85="Snapshot",IF($G85&lt;DATEVALUE("2026-10-02"),"Older snapshot","Dated close"),"No valid quote"))))</f>
        <v/>
      </c>
      <c r="P85" s="14">
        <f>IF($T85=0,"",IF(INDEX('Market Data'!$J$5:$J$528,$T85)=0,"n/a",IF($Q85="Bloomberg",IF(AND(ISNUMBER(INDEX('Market Data'!$AK$5:$AK$66,INDEX('Market Data'!$J$5:$J$528,$T85)-4)),N(INDEX('Market Data'!$AK$5:$AK$66,INDEX('Market Data'!$J$5:$J$528,$T85)-4))&gt;0),INDEX('Market Data'!$AK$5:$AK$66,INDEX('Market Data'!$J$5:$J$528,$T85)-4),"date unavailable"),IF($Q85="Snapshot",IF(AND(ISNUMBER(INDEX('Market Data'!$AF$5:$AF$66,INDEX('Market Data'!$J$5:$J$528,$T85)-4)),N(INDEX('Market Data'!$AF$5:$AF$66,INDEX('Market Data'!$J$5:$J$528,$T85)-4))&gt;0),INDEX('Market Data'!$AF$5:$AF$66,INDEX('Market Data'!$J$5:$J$528,$T85)-4),"date unavailable"),"date unavailable"))))</f>
        <v/>
      </c>
      <c r="Q85" s="15">
        <f>IF($T85=0,"",IF(INDEX('Market Data'!$J$5:$J$528,$T85)=0,"n/a",IF(AND($M$5&lt;&gt;"Snapshot",ISNUMBER(INDEX('Market Data'!$AH$5:$AH$66,INDEX('Market Data'!$J$5:$J$528,$T85)-4)),N(INDEX('Market Data'!$AH$5:$AH$66,INDEX('Market Data'!$J$5:$J$528,$T85)-4))&gt;0),"Bloomberg",IF(AND($M$5&lt;&gt;"Bloomberg",ISNUMBER(INDEX('Market Data'!$AC$5:$AC$66,INDEX('Market Data'!$J$5:$J$528,$T85)-4)),N(INDEX('Market Data'!$AC$5:$AC$66,INDEX('Market Data'!$J$5:$J$528,$T85)-4))&gt;0),"Snapshot","Unavailable"))))</f>
        <v/>
      </c>
      <c r="T85">
        <f>IFERROR(MATCH(49,'Market Data'!$AX$5:$AX$528,0),0)</f>
        <v/>
      </c>
    </row>
    <row r="86" ht="34" customHeight="1">
      <c r="A86" s="31">
        <f>IF($T86=0,"",IF(INDEX('Market Data'!$A$5:$A$528,$T86)="","",INDEX('Market Data'!$A$5:$A$528,$T86)))</f>
        <v/>
      </c>
      <c r="B86" s="15">
        <f>IF($T86=0,"",IF(INDEX('Market Data'!$B$5:$B$528,$T86)="","",INDEX('Market Data'!$B$5:$B$528,$T86)))</f>
        <v/>
      </c>
      <c r="C86" s="15">
        <f>IF($T86=0,"",IF(INDEX('Market Data'!$C$5:$C$528,$T86)="","",INDEX('Market Data'!$C$5:$C$528,$T86)))</f>
        <v/>
      </c>
      <c r="D86" s="15">
        <f>IF($T86=0,"",IF(INDEX('Market Data'!$D$5:$D$528,$T86)="","",INDEX('Market Data'!$D$5:$D$528,$T86)))</f>
        <v/>
      </c>
      <c r="E86" s="32">
        <f>IF($T86=0,"",INDEX('Market Data'!$AY$5:$AY$528,$T86))</f>
        <v/>
      </c>
      <c r="F86" s="33">
        <f>IF($T86=0,"",IF(AND($I86="Bloomberg",ISNUMBER(INDEX('Market Data'!$L$5:$L$528,$T86))),INDEX('Market Data'!$L$5:$L$528,$T86),"unavailable"))</f>
        <v/>
      </c>
      <c r="G86" s="14">
        <f>IF($T86=0,"",IF($I86="Bloomberg",IF(AND(ISNUMBER(INDEX('Market Data'!$M$5:$M$528,$T86)),N(INDEX('Market Data'!$M$5:$M$528,$T86))&gt;0),INDEX('Market Data'!$M$5:$M$528,$T86),"date unavailable"),IF($I86="Snapshot",IF(AND(ISNUMBER(INDEX('Market Data'!$H$5:$H$528,$T86)),N(INDEX('Market Data'!$H$5:$H$528,$T86))&gt;0),INDEX('Market Data'!$H$5:$H$528,$T86),"date unavailable"),"date unavailable")))</f>
        <v/>
      </c>
      <c r="H86" s="15">
        <f>IF($T86=0,"",IF($I86="Bloomberg",IF(INDEX('Market Data'!$N$5:$N$528,$T86)="","time unavailable",INDEX('Market Data'!$N$5:$N$528,$T86)),""))</f>
        <v/>
      </c>
      <c r="I86" s="15">
        <f>IF($T86=0,"",INDEX('Market Data'!$AZ$5:$AZ$528,$T86))</f>
        <v/>
      </c>
      <c r="J86" s="34">
        <f>IF($T86=0,"",IF(INDEX('Market Data'!$E$5:$E$528,$T86)="","",INDEX('Market Data'!$E$5:$E$528,$T86)))</f>
        <v/>
      </c>
      <c r="K86" s="31">
        <f>IF($T86=0,"",IF(INDEX('Market Data'!$I$5:$I$528,$T86)="","",INDEX('Market Data'!$I$5:$I$528,$T86)))</f>
        <v/>
      </c>
      <c r="L86" s="32">
        <f>IF($T86=0,"",IF(INDEX('Market Data'!$J$5:$J$528,$T86)=0,"n/a",IF(AND($M$5&lt;&gt;"Snapshot",ISNUMBER(INDEX('Market Data'!$AH$5:$AH$66,INDEX('Market Data'!$J$5:$J$528,$T86)-4)),N(INDEX('Market Data'!$AH$5:$AH$66,INDEX('Market Data'!$J$5:$J$528,$T86)-4))&gt;0),INDEX('Market Data'!$AH$5:$AH$66,INDEX('Market Data'!$J$5:$J$528,$T86)-4),IF(AND($M$5&lt;&gt;"Bloomberg",ISNUMBER(INDEX('Market Data'!$AC$5:$AC$66,INDEX('Market Data'!$J$5:$J$528,$T86)-4)),N(INDEX('Market Data'!$AC$5:$AC$66,INDEX('Market Data'!$J$5:$J$528,$T86)-4))&gt;0),INDEX('Market Data'!$AC$5:$AC$66,INDEX('Market Data'!$J$5:$J$528,$T86)-4),"unavailable"))))</f>
        <v/>
      </c>
      <c r="M86" s="33">
        <f>IF($T86=0,"",IF(INDEX('Market Data'!$J$5:$J$528,$T86)=0,"n/a",IF(IF(INDEX('Market Data'!$J$5:$J$528,$T86)=0,0,IF(LEFT(INDEX('Market Data'!$AS$5:$AS$66,INDEX('Market Data'!$J$5:$J$528,$T86)-4),11)="First-month",1,0))=1,"class review",IF($I86="Bloomberg",IF(AND($Q86="Bloomberg",ISNUMBER('Market Data'!$B$1),N('Market Data'!$B$1)&gt;0),$L86*'Market Data'!$B$1/$E86-1,"pending A/FX"),IF($I86="Snapshot",IF(AND($Q86="Snapshot",$G86=INDEX('Market Data'!$AE$5:$AE$66,INDEX('Market Data'!$J$5:$J$528,$T86)-4)),IFERROR($L86*INDEX('Market Data'!$AD$5:$AD$66,INDEX('Market Data'!$J$5:$J$528,$T86)-4)/$E86-1,"unavailable"),"date mismatch"),"unavailable")))))</f>
        <v/>
      </c>
      <c r="N86" s="33">
        <f>IF($T86=0,"",IFERROR(IF(AND(N(INDEX('Market Data'!$F$5:$F$528,$T86))&gt;0,ISNUMBER(INDEX('Market Data'!$BB$5:$BB$528,$T86))),$E86*INDEX('Market Data'!$BB$5:$BB$528,$T86)/INDEX('Market Data'!$F$5:$F$528,$T86)-1,"unavailable"),"unavailable"))</f>
        <v/>
      </c>
      <c r="O86" s="15">
        <f>IF($T86=0,"",IF(IF(INDEX('Market Data'!$J$5:$J$528,$T86)=0,0,IF(LEFT(INDEX('Market Data'!$AS$5:$AS$66,INDEX('Market Data'!$J$5:$J$528,$T86)-4),11)="First-month",1,0))=1,"Class ratio review",IF($I86="Bloomberg",IF(ISNUMBER($G86),IF($G86&lt;TODAY(),"Older quote","See quote time"),"Date unavailable"),IF($I86="Snapshot",IF($G86&lt;DATEVALUE("2026-10-02"),"Older snapshot","Dated close"),"No valid quote"))))</f>
        <v/>
      </c>
      <c r="P86" s="14">
        <f>IF($T86=0,"",IF(INDEX('Market Data'!$J$5:$J$528,$T86)=0,"n/a",IF($Q86="Bloomberg",IF(AND(ISNUMBER(INDEX('Market Data'!$AK$5:$AK$66,INDEX('Market Data'!$J$5:$J$528,$T86)-4)),N(INDEX('Market Data'!$AK$5:$AK$66,INDEX('Market Data'!$J$5:$J$528,$T86)-4))&gt;0),INDEX('Market Data'!$AK$5:$AK$66,INDEX('Market Data'!$J$5:$J$528,$T86)-4),"date unavailable"),IF($Q86="Snapshot",IF(AND(ISNUMBER(INDEX('Market Data'!$AF$5:$AF$66,INDEX('Market Data'!$J$5:$J$528,$T86)-4)),N(INDEX('Market Data'!$AF$5:$AF$66,INDEX('Market Data'!$J$5:$J$528,$T86)-4))&gt;0),INDEX('Market Data'!$AF$5:$AF$66,INDEX('Market Data'!$J$5:$J$528,$T86)-4),"date unavailable"),"date unavailable"))))</f>
        <v/>
      </c>
      <c r="Q86" s="15">
        <f>IF($T86=0,"",IF(INDEX('Market Data'!$J$5:$J$528,$T86)=0,"n/a",IF(AND($M$5&lt;&gt;"Snapshot",ISNUMBER(INDEX('Market Data'!$AH$5:$AH$66,INDEX('Market Data'!$J$5:$J$528,$T86)-4)),N(INDEX('Market Data'!$AH$5:$AH$66,INDEX('Market Data'!$J$5:$J$528,$T86)-4))&gt;0),"Bloomberg",IF(AND($M$5&lt;&gt;"Bloomberg",ISNUMBER(INDEX('Market Data'!$AC$5:$AC$66,INDEX('Market Data'!$J$5:$J$528,$T86)-4)),N(INDEX('Market Data'!$AC$5:$AC$66,INDEX('Market Data'!$J$5:$J$528,$T86)-4))&gt;0),"Snapshot","Unavailable"))))</f>
        <v/>
      </c>
      <c r="T86">
        <f>IFERROR(MATCH(50,'Market Data'!$AX$5:$AX$528,0),0)</f>
        <v/>
      </c>
    </row>
    <row r="87" ht="34" customHeight="1">
      <c r="A87" s="31">
        <f>IF($T87=0,"",IF(INDEX('Market Data'!$A$5:$A$528,$T87)="","",INDEX('Market Data'!$A$5:$A$528,$T87)))</f>
        <v/>
      </c>
      <c r="B87" s="15">
        <f>IF($T87=0,"",IF(INDEX('Market Data'!$B$5:$B$528,$T87)="","",INDEX('Market Data'!$B$5:$B$528,$T87)))</f>
        <v/>
      </c>
      <c r="C87" s="15">
        <f>IF($T87=0,"",IF(INDEX('Market Data'!$C$5:$C$528,$T87)="","",INDEX('Market Data'!$C$5:$C$528,$T87)))</f>
        <v/>
      </c>
      <c r="D87" s="15">
        <f>IF($T87=0,"",IF(INDEX('Market Data'!$D$5:$D$528,$T87)="","",INDEX('Market Data'!$D$5:$D$528,$T87)))</f>
        <v/>
      </c>
      <c r="E87" s="32">
        <f>IF($T87=0,"",INDEX('Market Data'!$AY$5:$AY$528,$T87))</f>
        <v/>
      </c>
      <c r="F87" s="33">
        <f>IF($T87=0,"",IF(AND($I87="Bloomberg",ISNUMBER(INDEX('Market Data'!$L$5:$L$528,$T87))),INDEX('Market Data'!$L$5:$L$528,$T87),"unavailable"))</f>
        <v/>
      </c>
      <c r="G87" s="14">
        <f>IF($T87=0,"",IF($I87="Bloomberg",IF(AND(ISNUMBER(INDEX('Market Data'!$M$5:$M$528,$T87)),N(INDEX('Market Data'!$M$5:$M$528,$T87))&gt;0),INDEX('Market Data'!$M$5:$M$528,$T87),"date unavailable"),IF($I87="Snapshot",IF(AND(ISNUMBER(INDEX('Market Data'!$H$5:$H$528,$T87)),N(INDEX('Market Data'!$H$5:$H$528,$T87))&gt;0),INDEX('Market Data'!$H$5:$H$528,$T87),"date unavailable"),"date unavailable")))</f>
        <v/>
      </c>
      <c r="H87" s="15">
        <f>IF($T87=0,"",IF($I87="Bloomberg",IF(INDEX('Market Data'!$N$5:$N$528,$T87)="","time unavailable",INDEX('Market Data'!$N$5:$N$528,$T87)),""))</f>
        <v/>
      </c>
      <c r="I87" s="15">
        <f>IF($T87=0,"",INDEX('Market Data'!$AZ$5:$AZ$528,$T87))</f>
        <v/>
      </c>
      <c r="J87" s="34">
        <f>IF($T87=0,"",IF(INDEX('Market Data'!$E$5:$E$528,$T87)="","",INDEX('Market Data'!$E$5:$E$528,$T87)))</f>
        <v/>
      </c>
      <c r="K87" s="31">
        <f>IF($T87=0,"",IF(INDEX('Market Data'!$I$5:$I$528,$T87)="","",INDEX('Market Data'!$I$5:$I$528,$T87)))</f>
        <v/>
      </c>
      <c r="L87" s="32">
        <f>IF($T87=0,"",IF(INDEX('Market Data'!$J$5:$J$528,$T87)=0,"n/a",IF(AND($M$5&lt;&gt;"Snapshot",ISNUMBER(INDEX('Market Data'!$AH$5:$AH$66,INDEX('Market Data'!$J$5:$J$528,$T87)-4)),N(INDEX('Market Data'!$AH$5:$AH$66,INDEX('Market Data'!$J$5:$J$528,$T87)-4))&gt;0),INDEX('Market Data'!$AH$5:$AH$66,INDEX('Market Data'!$J$5:$J$528,$T87)-4),IF(AND($M$5&lt;&gt;"Bloomberg",ISNUMBER(INDEX('Market Data'!$AC$5:$AC$66,INDEX('Market Data'!$J$5:$J$528,$T87)-4)),N(INDEX('Market Data'!$AC$5:$AC$66,INDEX('Market Data'!$J$5:$J$528,$T87)-4))&gt;0),INDEX('Market Data'!$AC$5:$AC$66,INDEX('Market Data'!$J$5:$J$528,$T87)-4),"unavailable"))))</f>
        <v/>
      </c>
      <c r="M87" s="33">
        <f>IF($T87=0,"",IF(INDEX('Market Data'!$J$5:$J$528,$T87)=0,"n/a",IF(IF(INDEX('Market Data'!$J$5:$J$528,$T87)=0,0,IF(LEFT(INDEX('Market Data'!$AS$5:$AS$66,INDEX('Market Data'!$J$5:$J$528,$T87)-4),11)="First-month",1,0))=1,"class review",IF($I87="Bloomberg",IF(AND($Q87="Bloomberg",ISNUMBER('Market Data'!$B$1),N('Market Data'!$B$1)&gt;0),$L87*'Market Data'!$B$1/$E87-1,"pending A/FX"),IF($I87="Snapshot",IF(AND($Q87="Snapshot",$G87=INDEX('Market Data'!$AE$5:$AE$66,INDEX('Market Data'!$J$5:$J$528,$T87)-4)),IFERROR($L87*INDEX('Market Data'!$AD$5:$AD$66,INDEX('Market Data'!$J$5:$J$528,$T87)-4)/$E87-1,"unavailable"),"date mismatch"),"unavailable")))))</f>
        <v/>
      </c>
      <c r="N87" s="33">
        <f>IF($T87=0,"",IFERROR(IF(AND(N(INDEX('Market Data'!$F$5:$F$528,$T87))&gt;0,ISNUMBER(INDEX('Market Data'!$BB$5:$BB$528,$T87))),$E87*INDEX('Market Data'!$BB$5:$BB$528,$T87)/INDEX('Market Data'!$F$5:$F$528,$T87)-1,"unavailable"),"unavailable"))</f>
        <v/>
      </c>
      <c r="O87" s="15">
        <f>IF($T87=0,"",IF(IF(INDEX('Market Data'!$J$5:$J$528,$T87)=0,0,IF(LEFT(INDEX('Market Data'!$AS$5:$AS$66,INDEX('Market Data'!$J$5:$J$528,$T87)-4),11)="First-month",1,0))=1,"Class ratio review",IF($I87="Bloomberg",IF(ISNUMBER($G87),IF($G87&lt;TODAY(),"Older quote","See quote time"),"Date unavailable"),IF($I87="Snapshot",IF($G87&lt;DATEVALUE("2026-10-02"),"Older snapshot","Dated close"),"No valid quote"))))</f>
        <v/>
      </c>
      <c r="P87" s="14">
        <f>IF($T87=0,"",IF(INDEX('Market Data'!$J$5:$J$528,$T87)=0,"n/a",IF($Q87="Bloomberg",IF(AND(ISNUMBER(INDEX('Market Data'!$AK$5:$AK$66,INDEX('Market Data'!$J$5:$J$528,$T87)-4)),N(INDEX('Market Data'!$AK$5:$AK$66,INDEX('Market Data'!$J$5:$J$528,$T87)-4))&gt;0),INDEX('Market Data'!$AK$5:$AK$66,INDEX('Market Data'!$J$5:$J$528,$T87)-4),"date unavailable"),IF($Q87="Snapshot",IF(AND(ISNUMBER(INDEX('Market Data'!$AF$5:$AF$66,INDEX('Market Data'!$J$5:$J$528,$T87)-4)),N(INDEX('Market Data'!$AF$5:$AF$66,INDEX('Market Data'!$J$5:$J$528,$T87)-4))&gt;0),INDEX('Market Data'!$AF$5:$AF$66,INDEX('Market Data'!$J$5:$J$528,$T87)-4),"date unavailable"),"date unavailable"))))</f>
        <v/>
      </c>
      <c r="Q87" s="15">
        <f>IF($T87=0,"",IF(INDEX('Market Data'!$J$5:$J$528,$T87)=0,"n/a",IF(AND($M$5&lt;&gt;"Snapshot",ISNUMBER(INDEX('Market Data'!$AH$5:$AH$66,INDEX('Market Data'!$J$5:$J$528,$T87)-4)),N(INDEX('Market Data'!$AH$5:$AH$66,INDEX('Market Data'!$J$5:$J$528,$T87)-4))&gt;0),"Bloomberg",IF(AND($M$5&lt;&gt;"Bloomberg",ISNUMBER(INDEX('Market Data'!$AC$5:$AC$66,INDEX('Market Data'!$J$5:$J$528,$T87)-4)),N(INDEX('Market Data'!$AC$5:$AC$66,INDEX('Market Data'!$J$5:$J$528,$T87)-4))&gt;0),"Snapshot","Unavailable"))))</f>
        <v/>
      </c>
      <c r="T87">
        <f>IFERROR(MATCH(51,'Market Data'!$AX$5:$AX$528,0),0)</f>
        <v/>
      </c>
    </row>
    <row r="88" ht="34" customHeight="1">
      <c r="A88" s="31">
        <f>IF($T88=0,"",IF(INDEX('Market Data'!$A$5:$A$528,$T88)="","",INDEX('Market Data'!$A$5:$A$528,$T88)))</f>
        <v/>
      </c>
      <c r="B88" s="15">
        <f>IF($T88=0,"",IF(INDEX('Market Data'!$B$5:$B$528,$T88)="","",INDEX('Market Data'!$B$5:$B$528,$T88)))</f>
        <v/>
      </c>
      <c r="C88" s="15">
        <f>IF($T88=0,"",IF(INDEX('Market Data'!$C$5:$C$528,$T88)="","",INDEX('Market Data'!$C$5:$C$528,$T88)))</f>
        <v/>
      </c>
      <c r="D88" s="15">
        <f>IF($T88=0,"",IF(INDEX('Market Data'!$D$5:$D$528,$T88)="","",INDEX('Market Data'!$D$5:$D$528,$T88)))</f>
        <v/>
      </c>
      <c r="E88" s="32">
        <f>IF($T88=0,"",INDEX('Market Data'!$AY$5:$AY$528,$T88))</f>
        <v/>
      </c>
      <c r="F88" s="33">
        <f>IF($T88=0,"",IF(AND($I88="Bloomberg",ISNUMBER(INDEX('Market Data'!$L$5:$L$528,$T88))),INDEX('Market Data'!$L$5:$L$528,$T88),"unavailable"))</f>
        <v/>
      </c>
      <c r="G88" s="14">
        <f>IF($T88=0,"",IF($I88="Bloomberg",IF(AND(ISNUMBER(INDEX('Market Data'!$M$5:$M$528,$T88)),N(INDEX('Market Data'!$M$5:$M$528,$T88))&gt;0),INDEX('Market Data'!$M$5:$M$528,$T88),"date unavailable"),IF($I88="Snapshot",IF(AND(ISNUMBER(INDEX('Market Data'!$H$5:$H$528,$T88)),N(INDEX('Market Data'!$H$5:$H$528,$T88))&gt;0),INDEX('Market Data'!$H$5:$H$528,$T88),"date unavailable"),"date unavailable")))</f>
        <v/>
      </c>
      <c r="H88" s="15">
        <f>IF($T88=0,"",IF($I88="Bloomberg",IF(INDEX('Market Data'!$N$5:$N$528,$T88)="","time unavailable",INDEX('Market Data'!$N$5:$N$528,$T88)),""))</f>
        <v/>
      </c>
      <c r="I88" s="15">
        <f>IF($T88=0,"",INDEX('Market Data'!$AZ$5:$AZ$528,$T88))</f>
        <v/>
      </c>
      <c r="J88" s="34">
        <f>IF($T88=0,"",IF(INDEX('Market Data'!$E$5:$E$528,$T88)="","",INDEX('Market Data'!$E$5:$E$528,$T88)))</f>
        <v/>
      </c>
      <c r="K88" s="31">
        <f>IF($T88=0,"",IF(INDEX('Market Data'!$I$5:$I$528,$T88)="","",INDEX('Market Data'!$I$5:$I$528,$T88)))</f>
        <v/>
      </c>
      <c r="L88" s="32">
        <f>IF($T88=0,"",IF(INDEX('Market Data'!$J$5:$J$528,$T88)=0,"n/a",IF(AND($M$5&lt;&gt;"Snapshot",ISNUMBER(INDEX('Market Data'!$AH$5:$AH$66,INDEX('Market Data'!$J$5:$J$528,$T88)-4)),N(INDEX('Market Data'!$AH$5:$AH$66,INDEX('Market Data'!$J$5:$J$528,$T88)-4))&gt;0),INDEX('Market Data'!$AH$5:$AH$66,INDEX('Market Data'!$J$5:$J$528,$T88)-4),IF(AND($M$5&lt;&gt;"Bloomberg",ISNUMBER(INDEX('Market Data'!$AC$5:$AC$66,INDEX('Market Data'!$J$5:$J$528,$T88)-4)),N(INDEX('Market Data'!$AC$5:$AC$66,INDEX('Market Data'!$J$5:$J$528,$T88)-4))&gt;0),INDEX('Market Data'!$AC$5:$AC$66,INDEX('Market Data'!$J$5:$J$528,$T88)-4),"unavailable"))))</f>
        <v/>
      </c>
      <c r="M88" s="33">
        <f>IF($T88=0,"",IF(INDEX('Market Data'!$J$5:$J$528,$T88)=0,"n/a",IF(IF(INDEX('Market Data'!$J$5:$J$528,$T88)=0,0,IF(LEFT(INDEX('Market Data'!$AS$5:$AS$66,INDEX('Market Data'!$J$5:$J$528,$T88)-4),11)="First-month",1,0))=1,"class review",IF($I88="Bloomberg",IF(AND($Q88="Bloomberg",ISNUMBER('Market Data'!$B$1),N('Market Data'!$B$1)&gt;0),$L88*'Market Data'!$B$1/$E88-1,"pending A/FX"),IF($I88="Snapshot",IF(AND($Q88="Snapshot",$G88=INDEX('Market Data'!$AE$5:$AE$66,INDEX('Market Data'!$J$5:$J$528,$T88)-4)),IFERROR($L88*INDEX('Market Data'!$AD$5:$AD$66,INDEX('Market Data'!$J$5:$J$528,$T88)-4)/$E88-1,"unavailable"),"date mismatch"),"unavailable")))))</f>
        <v/>
      </c>
      <c r="N88" s="33">
        <f>IF($T88=0,"",IFERROR(IF(AND(N(INDEX('Market Data'!$F$5:$F$528,$T88))&gt;0,ISNUMBER(INDEX('Market Data'!$BB$5:$BB$528,$T88))),$E88*INDEX('Market Data'!$BB$5:$BB$528,$T88)/INDEX('Market Data'!$F$5:$F$528,$T88)-1,"unavailable"),"unavailable"))</f>
        <v/>
      </c>
      <c r="O88" s="15">
        <f>IF($T88=0,"",IF(IF(INDEX('Market Data'!$J$5:$J$528,$T88)=0,0,IF(LEFT(INDEX('Market Data'!$AS$5:$AS$66,INDEX('Market Data'!$J$5:$J$528,$T88)-4),11)="First-month",1,0))=1,"Class ratio review",IF($I88="Bloomberg",IF(ISNUMBER($G88),IF($G88&lt;TODAY(),"Older quote","See quote time"),"Date unavailable"),IF($I88="Snapshot",IF($G88&lt;DATEVALUE("2026-10-02"),"Older snapshot","Dated close"),"No valid quote"))))</f>
        <v/>
      </c>
      <c r="P88" s="14">
        <f>IF($T88=0,"",IF(INDEX('Market Data'!$J$5:$J$528,$T88)=0,"n/a",IF($Q88="Bloomberg",IF(AND(ISNUMBER(INDEX('Market Data'!$AK$5:$AK$66,INDEX('Market Data'!$J$5:$J$528,$T88)-4)),N(INDEX('Market Data'!$AK$5:$AK$66,INDEX('Market Data'!$J$5:$J$528,$T88)-4))&gt;0),INDEX('Market Data'!$AK$5:$AK$66,INDEX('Market Data'!$J$5:$J$528,$T88)-4),"date unavailable"),IF($Q88="Snapshot",IF(AND(ISNUMBER(INDEX('Market Data'!$AF$5:$AF$66,INDEX('Market Data'!$J$5:$J$528,$T88)-4)),N(INDEX('Market Data'!$AF$5:$AF$66,INDEX('Market Data'!$J$5:$J$528,$T88)-4))&gt;0),INDEX('Market Data'!$AF$5:$AF$66,INDEX('Market Data'!$J$5:$J$528,$T88)-4),"date unavailable"),"date unavailable"))))</f>
        <v/>
      </c>
      <c r="Q88" s="15">
        <f>IF($T88=0,"",IF(INDEX('Market Data'!$J$5:$J$528,$T88)=0,"n/a",IF(AND($M$5&lt;&gt;"Snapshot",ISNUMBER(INDEX('Market Data'!$AH$5:$AH$66,INDEX('Market Data'!$J$5:$J$528,$T88)-4)),N(INDEX('Market Data'!$AH$5:$AH$66,INDEX('Market Data'!$J$5:$J$528,$T88)-4))&gt;0),"Bloomberg",IF(AND($M$5&lt;&gt;"Bloomberg",ISNUMBER(INDEX('Market Data'!$AC$5:$AC$66,INDEX('Market Data'!$J$5:$J$528,$T88)-4)),N(INDEX('Market Data'!$AC$5:$AC$66,INDEX('Market Data'!$J$5:$J$528,$T88)-4))&gt;0),"Snapshot","Unavailable"))))</f>
        <v/>
      </c>
      <c r="T88">
        <f>IFERROR(MATCH(52,'Market Data'!$AX$5:$AX$528,0),0)</f>
        <v/>
      </c>
    </row>
    <row r="89" ht="34" customHeight="1">
      <c r="A89" s="31">
        <f>IF($T89=0,"",IF(INDEX('Market Data'!$A$5:$A$528,$T89)="","",INDEX('Market Data'!$A$5:$A$528,$T89)))</f>
        <v/>
      </c>
      <c r="B89" s="15">
        <f>IF($T89=0,"",IF(INDEX('Market Data'!$B$5:$B$528,$T89)="","",INDEX('Market Data'!$B$5:$B$528,$T89)))</f>
        <v/>
      </c>
      <c r="C89" s="15">
        <f>IF($T89=0,"",IF(INDEX('Market Data'!$C$5:$C$528,$T89)="","",INDEX('Market Data'!$C$5:$C$528,$T89)))</f>
        <v/>
      </c>
      <c r="D89" s="15">
        <f>IF($T89=0,"",IF(INDEX('Market Data'!$D$5:$D$528,$T89)="","",INDEX('Market Data'!$D$5:$D$528,$T89)))</f>
        <v/>
      </c>
      <c r="E89" s="32">
        <f>IF($T89=0,"",INDEX('Market Data'!$AY$5:$AY$528,$T89))</f>
        <v/>
      </c>
      <c r="F89" s="33">
        <f>IF($T89=0,"",IF(AND($I89="Bloomberg",ISNUMBER(INDEX('Market Data'!$L$5:$L$528,$T89))),INDEX('Market Data'!$L$5:$L$528,$T89),"unavailable"))</f>
        <v/>
      </c>
      <c r="G89" s="14">
        <f>IF($T89=0,"",IF($I89="Bloomberg",IF(AND(ISNUMBER(INDEX('Market Data'!$M$5:$M$528,$T89)),N(INDEX('Market Data'!$M$5:$M$528,$T89))&gt;0),INDEX('Market Data'!$M$5:$M$528,$T89),"date unavailable"),IF($I89="Snapshot",IF(AND(ISNUMBER(INDEX('Market Data'!$H$5:$H$528,$T89)),N(INDEX('Market Data'!$H$5:$H$528,$T89))&gt;0),INDEX('Market Data'!$H$5:$H$528,$T89),"date unavailable"),"date unavailable")))</f>
        <v/>
      </c>
      <c r="H89" s="15">
        <f>IF($T89=0,"",IF($I89="Bloomberg",IF(INDEX('Market Data'!$N$5:$N$528,$T89)="","time unavailable",INDEX('Market Data'!$N$5:$N$528,$T89)),""))</f>
        <v/>
      </c>
      <c r="I89" s="15">
        <f>IF($T89=0,"",INDEX('Market Data'!$AZ$5:$AZ$528,$T89))</f>
        <v/>
      </c>
      <c r="J89" s="34">
        <f>IF($T89=0,"",IF(INDEX('Market Data'!$E$5:$E$528,$T89)="","",INDEX('Market Data'!$E$5:$E$528,$T89)))</f>
        <v/>
      </c>
      <c r="K89" s="31">
        <f>IF($T89=0,"",IF(INDEX('Market Data'!$I$5:$I$528,$T89)="","",INDEX('Market Data'!$I$5:$I$528,$T89)))</f>
        <v/>
      </c>
      <c r="L89" s="32">
        <f>IF($T89=0,"",IF(INDEX('Market Data'!$J$5:$J$528,$T89)=0,"n/a",IF(AND($M$5&lt;&gt;"Snapshot",ISNUMBER(INDEX('Market Data'!$AH$5:$AH$66,INDEX('Market Data'!$J$5:$J$528,$T89)-4)),N(INDEX('Market Data'!$AH$5:$AH$66,INDEX('Market Data'!$J$5:$J$528,$T89)-4))&gt;0),INDEX('Market Data'!$AH$5:$AH$66,INDEX('Market Data'!$J$5:$J$528,$T89)-4),IF(AND($M$5&lt;&gt;"Bloomberg",ISNUMBER(INDEX('Market Data'!$AC$5:$AC$66,INDEX('Market Data'!$J$5:$J$528,$T89)-4)),N(INDEX('Market Data'!$AC$5:$AC$66,INDEX('Market Data'!$J$5:$J$528,$T89)-4))&gt;0),INDEX('Market Data'!$AC$5:$AC$66,INDEX('Market Data'!$J$5:$J$528,$T89)-4),"unavailable"))))</f>
        <v/>
      </c>
      <c r="M89" s="33">
        <f>IF($T89=0,"",IF(INDEX('Market Data'!$J$5:$J$528,$T89)=0,"n/a",IF(IF(INDEX('Market Data'!$J$5:$J$528,$T89)=0,0,IF(LEFT(INDEX('Market Data'!$AS$5:$AS$66,INDEX('Market Data'!$J$5:$J$528,$T89)-4),11)="First-month",1,0))=1,"class review",IF($I89="Bloomberg",IF(AND($Q89="Bloomberg",ISNUMBER('Market Data'!$B$1),N('Market Data'!$B$1)&gt;0),$L89*'Market Data'!$B$1/$E89-1,"pending A/FX"),IF($I89="Snapshot",IF(AND($Q89="Snapshot",$G89=INDEX('Market Data'!$AE$5:$AE$66,INDEX('Market Data'!$J$5:$J$528,$T89)-4)),IFERROR($L89*INDEX('Market Data'!$AD$5:$AD$66,INDEX('Market Data'!$J$5:$J$528,$T89)-4)/$E89-1,"unavailable"),"date mismatch"),"unavailable")))))</f>
        <v/>
      </c>
      <c r="N89" s="33">
        <f>IF($T89=0,"",IFERROR(IF(AND(N(INDEX('Market Data'!$F$5:$F$528,$T89))&gt;0,ISNUMBER(INDEX('Market Data'!$BB$5:$BB$528,$T89))),$E89*INDEX('Market Data'!$BB$5:$BB$528,$T89)/INDEX('Market Data'!$F$5:$F$528,$T89)-1,"unavailable"),"unavailable"))</f>
        <v/>
      </c>
      <c r="O89" s="15">
        <f>IF($T89=0,"",IF(IF(INDEX('Market Data'!$J$5:$J$528,$T89)=0,0,IF(LEFT(INDEX('Market Data'!$AS$5:$AS$66,INDEX('Market Data'!$J$5:$J$528,$T89)-4),11)="First-month",1,0))=1,"Class ratio review",IF($I89="Bloomberg",IF(ISNUMBER($G89),IF($G89&lt;TODAY(),"Older quote","See quote time"),"Date unavailable"),IF($I89="Snapshot",IF($G89&lt;DATEVALUE("2026-10-02"),"Older snapshot","Dated close"),"No valid quote"))))</f>
        <v/>
      </c>
      <c r="P89" s="14">
        <f>IF($T89=0,"",IF(INDEX('Market Data'!$J$5:$J$528,$T89)=0,"n/a",IF($Q89="Bloomberg",IF(AND(ISNUMBER(INDEX('Market Data'!$AK$5:$AK$66,INDEX('Market Data'!$J$5:$J$528,$T89)-4)),N(INDEX('Market Data'!$AK$5:$AK$66,INDEX('Market Data'!$J$5:$J$528,$T89)-4))&gt;0),INDEX('Market Data'!$AK$5:$AK$66,INDEX('Market Data'!$J$5:$J$528,$T89)-4),"date unavailable"),IF($Q89="Snapshot",IF(AND(ISNUMBER(INDEX('Market Data'!$AF$5:$AF$66,INDEX('Market Data'!$J$5:$J$528,$T89)-4)),N(INDEX('Market Data'!$AF$5:$AF$66,INDEX('Market Data'!$J$5:$J$528,$T89)-4))&gt;0),INDEX('Market Data'!$AF$5:$AF$66,INDEX('Market Data'!$J$5:$J$528,$T89)-4),"date unavailable"),"date unavailable"))))</f>
        <v/>
      </c>
      <c r="Q89" s="15">
        <f>IF($T89=0,"",IF(INDEX('Market Data'!$J$5:$J$528,$T89)=0,"n/a",IF(AND($M$5&lt;&gt;"Snapshot",ISNUMBER(INDEX('Market Data'!$AH$5:$AH$66,INDEX('Market Data'!$J$5:$J$528,$T89)-4)),N(INDEX('Market Data'!$AH$5:$AH$66,INDEX('Market Data'!$J$5:$J$528,$T89)-4))&gt;0),"Bloomberg",IF(AND($M$5&lt;&gt;"Bloomberg",ISNUMBER(INDEX('Market Data'!$AC$5:$AC$66,INDEX('Market Data'!$J$5:$J$528,$T89)-4)),N(INDEX('Market Data'!$AC$5:$AC$66,INDEX('Market Data'!$J$5:$J$528,$T89)-4))&gt;0),"Snapshot","Unavailable"))))</f>
        <v/>
      </c>
      <c r="T89">
        <f>IFERROR(MATCH(53,'Market Data'!$AX$5:$AX$528,0),0)</f>
        <v/>
      </c>
    </row>
    <row r="90" ht="34" customHeight="1">
      <c r="A90" s="31">
        <f>IF($T90=0,"",IF(INDEX('Market Data'!$A$5:$A$528,$T90)="","",INDEX('Market Data'!$A$5:$A$528,$T90)))</f>
        <v/>
      </c>
      <c r="B90" s="15">
        <f>IF($T90=0,"",IF(INDEX('Market Data'!$B$5:$B$528,$T90)="","",INDEX('Market Data'!$B$5:$B$528,$T90)))</f>
        <v/>
      </c>
      <c r="C90" s="15">
        <f>IF($T90=0,"",IF(INDEX('Market Data'!$C$5:$C$528,$T90)="","",INDEX('Market Data'!$C$5:$C$528,$T90)))</f>
        <v/>
      </c>
      <c r="D90" s="15">
        <f>IF($T90=0,"",IF(INDEX('Market Data'!$D$5:$D$528,$T90)="","",INDEX('Market Data'!$D$5:$D$528,$T90)))</f>
        <v/>
      </c>
      <c r="E90" s="32">
        <f>IF($T90=0,"",INDEX('Market Data'!$AY$5:$AY$528,$T90))</f>
        <v/>
      </c>
      <c r="F90" s="33">
        <f>IF($T90=0,"",IF(AND($I90="Bloomberg",ISNUMBER(INDEX('Market Data'!$L$5:$L$528,$T90))),INDEX('Market Data'!$L$5:$L$528,$T90),"unavailable"))</f>
        <v/>
      </c>
      <c r="G90" s="14">
        <f>IF($T90=0,"",IF($I90="Bloomberg",IF(AND(ISNUMBER(INDEX('Market Data'!$M$5:$M$528,$T90)),N(INDEX('Market Data'!$M$5:$M$528,$T90))&gt;0),INDEX('Market Data'!$M$5:$M$528,$T90),"date unavailable"),IF($I90="Snapshot",IF(AND(ISNUMBER(INDEX('Market Data'!$H$5:$H$528,$T90)),N(INDEX('Market Data'!$H$5:$H$528,$T90))&gt;0),INDEX('Market Data'!$H$5:$H$528,$T90),"date unavailable"),"date unavailable")))</f>
        <v/>
      </c>
      <c r="H90" s="15">
        <f>IF($T90=0,"",IF($I90="Bloomberg",IF(INDEX('Market Data'!$N$5:$N$528,$T90)="","time unavailable",INDEX('Market Data'!$N$5:$N$528,$T90)),""))</f>
        <v/>
      </c>
      <c r="I90" s="15">
        <f>IF($T90=0,"",INDEX('Market Data'!$AZ$5:$AZ$528,$T90))</f>
        <v/>
      </c>
      <c r="J90" s="34">
        <f>IF($T90=0,"",IF(INDEX('Market Data'!$E$5:$E$528,$T90)="","",INDEX('Market Data'!$E$5:$E$528,$T90)))</f>
        <v/>
      </c>
      <c r="K90" s="31">
        <f>IF($T90=0,"",IF(INDEX('Market Data'!$I$5:$I$528,$T90)="","",INDEX('Market Data'!$I$5:$I$528,$T90)))</f>
        <v/>
      </c>
      <c r="L90" s="32">
        <f>IF($T90=0,"",IF(INDEX('Market Data'!$J$5:$J$528,$T90)=0,"n/a",IF(AND($M$5&lt;&gt;"Snapshot",ISNUMBER(INDEX('Market Data'!$AH$5:$AH$66,INDEX('Market Data'!$J$5:$J$528,$T90)-4)),N(INDEX('Market Data'!$AH$5:$AH$66,INDEX('Market Data'!$J$5:$J$528,$T90)-4))&gt;0),INDEX('Market Data'!$AH$5:$AH$66,INDEX('Market Data'!$J$5:$J$528,$T90)-4),IF(AND($M$5&lt;&gt;"Bloomberg",ISNUMBER(INDEX('Market Data'!$AC$5:$AC$66,INDEX('Market Data'!$J$5:$J$528,$T90)-4)),N(INDEX('Market Data'!$AC$5:$AC$66,INDEX('Market Data'!$J$5:$J$528,$T90)-4))&gt;0),INDEX('Market Data'!$AC$5:$AC$66,INDEX('Market Data'!$J$5:$J$528,$T90)-4),"unavailable"))))</f>
        <v/>
      </c>
      <c r="M90" s="33">
        <f>IF($T90=0,"",IF(INDEX('Market Data'!$J$5:$J$528,$T90)=0,"n/a",IF(IF(INDEX('Market Data'!$J$5:$J$528,$T90)=0,0,IF(LEFT(INDEX('Market Data'!$AS$5:$AS$66,INDEX('Market Data'!$J$5:$J$528,$T90)-4),11)="First-month",1,0))=1,"class review",IF($I90="Bloomberg",IF(AND($Q90="Bloomberg",ISNUMBER('Market Data'!$B$1),N('Market Data'!$B$1)&gt;0),$L90*'Market Data'!$B$1/$E90-1,"pending A/FX"),IF($I90="Snapshot",IF(AND($Q90="Snapshot",$G90=INDEX('Market Data'!$AE$5:$AE$66,INDEX('Market Data'!$J$5:$J$528,$T90)-4)),IFERROR($L90*INDEX('Market Data'!$AD$5:$AD$66,INDEX('Market Data'!$J$5:$J$528,$T90)-4)/$E90-1,"unavailable"),"date mismatch"),"unavailable")))))</f>
        <v/>
      </c>
      <c r="N90" s="33">
        <f>IF($T90=0,"",IFERROR(IF(AND(N(INDEX('Market Data'!$F$5:$F$528,$T90))&gt;0,ISNUMBER(INDEX('Market Data'!$BB$5:$BB$528,$T90))),$E90*INDEX('Market Data'!$BB$5:$BB$528,$T90)/INDEX('Market Data'!$F$5:$F$528,$T90)-1,"unavailable"),"unavailable"))</f>
        <v/>
      </c>
      <c r="O90" s="15">
        <f>IF($T90=0,"",IF(IF(INDEX('Market Data'!$J$5:$J$528,$T90)=0,0,IF(LEFT(INDEX('Market Data'!$AS$5:$AS$66,INDEX('Market Data'!$J$5:$J$528,$T90)-4),11)="First-month",1,0))=1,"Class ratio review",IF($I90="Bloomberg",IF(ISNUMBER($G90),IF($G90&lt;TODAY(),"Older quote","See quote time"),"Date unavailable"),IF($I90="Snapshot",IF($G90&lt;DATEVALUE("2026-10-02"),"Older snapshot","Dated close"),"No valid quote"))))</f>
        <v/>
      </c>
      <c r="P90" s="14">
        <f>IF($T90=0,"",IF(INDEX('Market Data'!$J$5:$J$528,$T90)=0,"n/a",IF($Q90="Bloomberg",IF(AND(ISNUMBER(INDEX('Market Data'!$AK$5:$AK$66,INDEX('Market Data'!$J$5:$J$528,$T90)-4)),N(INDEX('Market Data'!$AK$5:$AK$66,INDEX('Market Data'!$J$5:$J$528,$T90)-4))&gt;0),INDEX('Market Data'!$AK$5:$AK$66,INDEX('Market Data'!$J$5:$J$528,$T90)-4),"date unavailable"),IF($Q90="Snapshot",IF(AND(ISNUMBER(INDEX('Market Data'!$AF$5:$AF$66,INDEX('Market Data'!$J$5:$J$528,$T90)-4)),N(INDEX('Market Data'!$AF$5:$AF$66,INDEX('Market Data'!$J$5:$J$528,$T90)-4))&gt;0),INDEX('Market Data'!$AF$5:$AF$66,INDEX('Market Data'!$J$5:$J$528,$T90)-4),"date unavailable"),"date unavailable"))))</f>
        <v/>
      </c>
      <c r="Q90" s="15">
        <f>IF($T90=0,"",IF(INDEX('Market Data'!$J$5:$J$528,$T90)=0,"n/a",IF(AND($M$5&lt;&gt;"Snapshot",ISNUMBER(INDEX('Market Data'!$AH$5:$AH$66,INDEX('Market Data'!$J$5:$J$528,$T90)-4)),N(INDEX('Market Data'!$AH$5:$AH$66,INDEX('Market Data'!$J$5:$J$528,$T90)-4))&gt;0),"Bloomberg",IF(AND($M$5&lt;&gt;"Bloomberg",ISNUMBER(INDEX('Market Data'!$AC$5:$AC$66,INDEX('Market Data'!$J$5:$J$528,$T90)-4)),N(INDEX('Market Data'!$AC$5:$AC$66,INDEX('Market Data'!$J$5:$J$528,$T90)-4))&gt;0),"Snapshot","Unavailable"))))</f>
        <v/>
      </c>
      <c r="T90">
        <f>IFERROR(MATCH(54,'Market Data'!$AX$5:$AX$528,0),0)</f>
        <v/>
      </c>
    </row>
    <row r="91" ht="34" customHeight="1">
      <c r="A91" s="31">
        <f>IF($T91=0,"",IF(INDEX('Market Data'!$A$5:$A$528,$T91)="","",INDEX('Market Data'!$A$5:$A$528,$T91)))</f>
        <v/>
      </c>
      <c r="B91" s="15">
        <f>IF($T91=0,"",IF(INDEX('Market Data'!$B$5:$B$528,$T91)="","",INDEX('Market Data'!$B$5:$B$528,$T91)))</f>
        <v/>
      </c>
      <c r="C91" s="15">
        <f>IF($T91=0,"",IF(INDEX('Market Data'!$C$5:$C$528,$T91)="","",INDEX('Market Data'!$C$5:$C$528,$T91)))</f>
        <v/>
      </c>
      <c r="D91" s="15">
        <f>IF($T91=0,"",IF(INDEX('Market Data'!$D$5:$D$528,$T91)="","",INDEX('Market Data'!$D$5:$D$528,$T91)))</f>
        <v/>
      </c>
      <c r="E91" s="32">
        <f>IF($T91=0,"",INDEX('Market Data'!$AY$5:$AY$528,$T91))</f>
        <v/>
      </c>
      <c r="F91" s="33">
        <f>IF($T91=0,"",IF(AND($I91="Bloomberg",ISNUMBER(INDEX('Market Data'!$L$5:$L$528,$T91))),INDEX('Market Data'!$L$5:$L$528,$T91),"unavailable"))</f>
        <v/>
      </c>
      <c r="G91" s="14">
        <f>IF($T91=0,"",IF($I91="Bloomberg",IF(AND(ISNUMBER(INDEX('Market Data'!$M$5:$M$528,$T91)),N(INDEX('Market Data'!$M$5:$M$528,$T91))&gt;0),INDEX('Market Data'!$M$5:$M$528,$T91),"date unavailable"),IF($I91="Snapshot",IF(AND(ISNUMBER(INDEX('Market Data'!$H$5:$H$528,$T91)),N(INDEX('Market Data'!$H$5:$H$528,$T91))&gt;0),INDEX('Market Data'!$H$5:$H$528,$T91),"date unavailable"),"date unavailable")))</f>
        <v/>
      </c>
      <c r="H91" s="15">
        <f>IF($T91=0,"",IF($I91="Bloomberg",IF(INDEX('Market Data'!$N$5:$N$528,$T91)="","time unavailable",INDEX('Market Data'!$N$5:$N$528,$T91)),""))</f>
        <v/>
      </c>
      <c r="I91" s="15">
        <f>IF($T91=0,"",INDEX('Market Data'!$AZ$5:$AZ$528,$T91))</f>
        <v/>
      </c>
      <c r="J91" s="34">
        <f>IF($T91=0,"",IF(INDEX('Market Data'!$E$5:$E$528,$T91)="","",INDEX('Market Data'!$E$5:$E$528,$T91)))</f>
        <v/>
      </c>
      <c r="K91" s="31">
        <f>IF($T91=0,"",IF(INDEX('Market Data'!$I$5:$I$528,$T91)="","",INDEX('Market Data'!$I$5:$I$528,$T91)))</f>
        <v/>
      </c>
      <c r="L91" s="32">
        <f>IF($T91=0,"",IF(INDEX('Market Data'!$J$5:$J$528,$T91)=0,"n/a",IF(AND($M$5&lt;&gt;"Snapshot",ISNUMBER(INDEX('Market Data'!$AH$5:$AH$66,INDEX('Market Data'!$J$5:$J$528,$T91)-4)),N(INDEX('Market Data'!$AH$5:$AH$66,INDEX('Market Data'!$J$5:$J$528,$T91)-4))&gt;0),INDEX('Market Data'!$AH$5:$AH$66,INDEX('Market Data'!$J$5:$J$528,$T91)-4),IF(AND($M$5&lt;&gt;"Bloomberg",ISNUMBER(INDEX('Market Data'!$AC$5:$AC$66,INDEX('Market Data'!$J$5:$J$528,$T91)-4)),N(INDEX('Market Data'!$AC$5:$AC$66,INDEX('Market Data'!$J$5:$J$528,$T91)-4))&gt;0),INDEX('Market Data'!$AC$5:$AC$66,INDEX('Market Data'!$J$5:$J$528,$T91)-4),"unavailable"))))</f>
        <v/>
      </c>
      <c r="M91" s="33">
        <f>IF($T91=0,"",IF(INDEX('Market Data'!$J$5:$J$528,$T91)=0,"n/a",IF(IF(INDEX('Market Data'!$J$5:$J$528,$T91)=0,0,IF(LEFT(INDEX('Market Data'!$AS$5:$AS$66,INDEX('Market Data'!$J$5:$J$528,$T91)-4),11)="First-month",1,0))=1,"class review",IF($I91="Bloomberg",IF(AND($Q91="Bloomberg",ISNUMBER('Market Data'!$B$1),N('Market Data'!$B$1)&gt;0),$L91*'Market Data'!$B$1/$E91-1,"pending A/FX"),IF($I91="Snapshot",IF(AND($Q91="Snapshot",$G91=INDEX('Market Data'!$AE$5:$AE$66,INDEX('Market Data'!$J$5:$J$528,$T91)-4)),IFERROR($L91*INDEX('Market Data'!$AD$5:$AD$66,INDEX('Market Data'!$J$5:$J$528,$T91)-4)/$E91-1,"unavailable"),"date mismatch"),"unavailable")))))</f>
        <v/>
      </c>
      <c r="N91" s="33">
        <f>IF($T91=0,"",IFERROR(IF(AND(N(INDEX('Market Data'!$F$5:$F$528,$T91))&gt;0,ISNUMBER(INDEX('Market Data'!$BB$5:$BB$528,$T91))),$E91*INDEX('Market Data'!$BB$5:$BB$528,$T91)/INDEX('Market Data'!$F$5:$F$528,$T91)-1,"unavailable"),"unavailable"))</f>
        <v/>
      </c>
      <c r="O91" s="15">
        <f>IF($T91=0,"",IF(IF(INDEX('Market Data'!$J$5:$J$528,$T91)=0,0,IF(LEFT(INDEX('Market Data'!$AS$5:$AS$66,INDEX('Market Data'!$J$5:$J$528,$T91)-4),11)="First-month",1,0))=1,"Class ratio review",IF($I91="Bloomberg",IF(ISNUMBER($G91),IF($G91&lt;TODAY(),"Older quote","See quote time"),"Date unavailable"),IF($I91="Snapshot",IF($G91&lt;DATEVALUE("2026-10-02"),"Older snapshot","Dated close"),"No valid quote"))))</f>
        <v/>
      </c>
      <c r="P91" s="14">
        <f>IF($T91=0,"",IF(INDEX('Market Data'!$J$5:$J$528,$T91)=0,"n/a",IF($Q91="Bloomberg",IF(AND(ISNUMBER(INDEX('Market Data'!$AK$5:$AK$66,INDEX('Market Data'!$J$5:$J$528,$T91)-4)),N(INDEX('Market Data'!$AK$5:$AK$66,INDEX('Market Data'!$J$5:$J$528,$T91)-4))&gt;0),INDEX('Market Data'!$AK$5:$AK$66,INDEX('Market Data'!$J$5:$J$528,$T91)-4),"date unavailable"),IF($Q91="Snapshot",IF(AND(ISNUMBER(INDEX('Market Data'!$AF$5:$AF$66,INDEX('Market Data'!$J$5:$J$528,$T91)-4)),N(INDEX('Market Data'!$AF$5:$AF$66,INDEX('Market Data'!$J$5:$J$528,$T91)-4))&gt;0),INDEX('Market Data'!$AF$5:$AF$66,INDEX('Market Data'!$J$5:$J$528,$T91)-4),"date unavailable"),"date unavailable"))))</f>
        <v/>
      </c>
      <c r="Q91" s="15">
        <f>IF($T91=0,"",IF(INDEX('Market Data'!$J$5:$J$528,$T91)=0,"n/a",IF(AND($M$5&lt;&gt;"Snapshot",ISNUMBER(INDEX('Market Data'!$AH$5:$AH$66,INDEX('Market Data'!$J$5:$J$528,$T91)-4)),N(INDEX('Market Data'!$AH$5:$AH$66,INDEX('Market Data'!$J$5:$J$528,$T91)-4))&gt;0),"Bloomberg",IF(AND($M$5&lt;&gt;"Bloomberg",ISNUMBER(INDEX('Market Data'!$AC$5:$AC$66,INDEX('Market Data'!$J$5:$J$528,$T91)-4)),N(INDEX('Market Data'!$AC$5:$AC$66,INDEX('Market Data'!$J$5:$J$528,$T91)-4))&gt;0),"Snapshot","Unavailable"))))</f>
        <v/>
      </c>
      <c r="T91">
        <f>IFERROR(MATCH(55,'Market Data'!$AX$5:$AX$528,0),0)</f>
        <v/>
      </c>
    </row>
    <row r="92" ht="34" customHeight="1">
      <c r="A92" s="31">
        <f>IF($T92=0,"",IF(INDEX('Market Data'!$A$5:$A$528,$T92)="","",INDEX('Market Data'!$A$5:$A$528,$T92)))</f>
        <v/>
      </c>
      <c r="B92" s="15">
        <f>IF($T92=0,"",IF(INDEX('Market Data'!$B$5:$B$528,$T92)="","",INDEX('Market Data'!$B$5:$B$528,$T92)))</f>
        <v/>
      </c>
      <c r="C92" s="15">
        <f>IF($T92=0,"",IF(INDEX('Market Data'!$C$5:$C$528,$T92)="","",INDEX('Market Data'!$C$5:$C$528,$T92)))</f>
        <v/>
      </c>
      <c r="D92" s="15">
        <f>IF($T92=0,"",IF(INDEX('Market Data'!$D$5:$D$528,$T92)="","",INDEX('Market Data'!$D$5:$D$528,$T92)))</f>
        <v/>
      </c>
      <c r="E92" s="32">
        <f>IF($T92=0,"",INDEX('Market Data'!$AY$5:$AY$528,$T92))</f>
        <v/>
      </c>
      <c r="F92" s="33">
        <f>IF($T92=0,"",IF(AND($I92="Bloomberg",ISNUMBER(INDEX('Market Data'!$L$5:$L$528,$T92))),INDEX('Market Data'!$L$5:$L$528,$T92),"unavailable"))</f>
        <v/>
      </c>
      <c r="G92" s="14">
        <f>IF($T92=0,"",IF($I92="Bloomberg",IF(AND(ISNUMBER(INDEX('Market Data'!$M$5:$M$528,$T92)),N(INDEX('Market Data'!$M$5:$M$528,$T92))&gt;0),INDEX('Market Data'!$M$5:$M$528,$T92),"date unavailable"),IF($I92="Snapshot",IF(AND(ISNUMBER(INDEX('Market Data'!$H$5:$H$528,$T92)),N(INDEX('Market Data'!$H$5:$H$528,$T92))&gt;0),INDEX('Market Data'!$H$5:$H$528,$T92),"date unavailable"),"date unavailable")))</f>
        <v/>
      </c>
      <c r="H92" s="15">
        <f>IF($T92=0,"",IF($I92="Bloomberg",IF(INDEX('Market Data'!$N$5:$N$528,$T92)="","time unavailable",INDEX('Market Data'!$N$5:$N$528,$T92)),""))</f>
        <v/>
      </c>
      <c r="I92" s="15">
        <f>IF($T92=0,"",INDEX('Market Data'!$AZ$5:$AZ$528,$T92))</f>
        <v/>
      </c>
      <c r="J92" s="34">
        <f>IF($T92=0,"",IF(INDEX('Market Data'!$E$5:$E$528,$T92)="","",INDEX('Market Data'!$E$5:$E$528,$T92)))</f>
        <v/>
      </c>
      <c r="K92" s="31">
        <f>IF($T92=0,"",IF(INDEX('Market Data'!$I$5:$I$528,$T92)="","",INDEX('Market Data'!$I$5:$I$528,$T92)))</f>
        <v/>
      </c>
      <c r="L92" s="32">
        <f>IF($T92=0,"",IF(INDEX('Market Data'!$J$5:$J$528,$T92)=0,"n/a",IF(AND($M$5&lt;&gt;"Snapshot",ISNUMBER(INDEX('Market Data'!$AH$5:$AH$66,INDEX('Market Data'!$J$5:$J$528,$T92)-4)),N(INDEX('Market Data'!$AH$5:$AH$66,INDEX('Market Data'!$J$5:$J$528,$T92)-4))&gt;0),INDEX('Market Data'!$AH$5:$AH$66,INDEX('Market Data'!$J$5:$J$528,$T92)-4),IF(AND($M$5&lt;&gt;"Bloomberg",ISNUMBER(INDEX('Market Data'!$AC$5:$AC$66,INDEX('Market Data'!$J$5:$J$528,$T92)-4)),N(INDEX('Market Data'!$AC$5:$AC$66,INDEX('Market Data'!$J$5:$J$528,$T92)-4))&gt;0),INDEX('Market Data'!$AC$5:$AC$66,INDEX('Market Data'!$J$5:$J$528,$T92)-4),"unavailable"))))</f>
        <v/>
      </c>
      <c r="M92" s="33">
        <f>IF($T92=0,"",IF(INDEX('Market Data'!$J$5:$J$528,$T92)=0,"n/a",IF(IF(INDEX('Market Data'!$J$5:$J$528,$T92)=0,0,IF(LEFT(INDEX('Market Data'!$AS$5:$AS$66,INDEX('Market Data'!$J$5:$J$528,$T92)-4),11)="First-month",1,0))=1,"class review",IF($I92="Bloomberg",IF(AND($Q92="Bloomberg",ISNUMBER('Market Data'!$B$1),N('Market Data'!$B$1)&gt;0),$L92*'Market Data'!$B$1/$E92-1,"pending A/FX"),IF($I92="Snapshot",IF(AND($Q92="Snapshot",$G92=INDEX('Market Data'!$AE$5:$AE$66,INDEX('Market Data'!$J$5:$J$528,$T92)-4)),IFERROR($L92*INDEX('Market Data'!$AD$5:$AD$66,INDEX('Market Data'!$J$5:$J$528,$T92)-4)/$E92-1,"unavailable"),"date mismatch"),"unavailable")))))</f>
        <v/>
      </c>
      <c r="N92" s="33">
        <f>IF($T92=0,"",IFERROR(IF(AND(N(INDEX('Market Data'!$F$5:$F$528,$T92))&gt;0,ISNUMBER(INDEX('Market Data'!$BB$5:$BB$528,$T92))),$E92*INDEX('Market Data'!$BB$5:$BB$528,$T92)/INDEX('Market Data'!$F$5:$F$528,$T92)-1,"unavailable"),"unavailable"))</f>
        <v/>
      </c>
      <c r="O92" s="15">
        <f>IF($T92=0,"",IF(IF(INDEX('Market Data'!$J$5:$J$528,$T92)=0,0,IF(LEFT(INDEX('Market Data'!$AS$5:$AS$66,INDEX('Market Data'!$J$5:$J$528,$T92)-4),11)="First-month",1,0))=1,"Class ratio review",IF($I92="Bloomberg",IF(ISNUMBER($G92),IF($G92&lt;TODAY(),"Older quote","See quote time"),"Date unavailable"),IF($I92="Snapshot",IF($G92&lt;DATEVALUE("2026-10-02"),"Older snapshot","Dated close"),"No valid quote"))))</f>
        <v/>
      </c>
      <c r="P92" s="14">
        <f>IF($T92=0,"",IF(INDEX('Market Data'!$J$5:$J$528,$T92)=0,"n/a",IF($Q92="Bloomberg",IF(AND(ISNUMBER(INDEX('Market Data'!$AK$5:$AK$66,INDEX('Market Data'!$J$5:$J$528,$T92)-4)),N(INDEX('Market Data'!$AK$5:$AK$66,INDEX('Market Data'!$J$5:$J$528,$T92)-4))&gt;0),INDEX('Market Data'!$AK$5:$AK$66,INDEX('Market Data'!$J$5:$J$528,$T92)-4),"date unavailable"),IF($Q92="Snapshot",IF(AND(ISNUMBER(INDEX('Market Data'!$AF$5:$AF$66,INDEX('Market Data'!$J$5:$J$528,$T92)-4)),N(INDEX('Market Data'!$AF$5:$AF$66,INDEX('Market Data'!$J$5:$J$528,$T92)-4))&gt;0),INDEX('Market Data'!$AF$5:$AF$66,INDEX('Market Data'!$J$5:$J$528,$T92)-4),"date unavailable"),"date unavailable"))))</f>
        <v/>
      </c>
      <c r="Q92" s="15">
        <f>IF($T92=0,"",IF(INDEX('Market Data'!$J$5:$J$528,$T92)=0,"n/a",IF(AND($M$5&lt;&gt;"Snapshot",ISNUMBER(INDEX('Market Data'!$AH$5:$AH$66,INDEX('Market Data'!$J$5:$J$528,$T92)-4)),N(INDEX('Market Data'!$AH$5:$AH$66,INDEX('Market Data'!$J$5:$J$528,$T92)-4))&gt;0),"Bloomberg",IF(AND($M$5&lt;&gt;"Bloomberg",ISNUMBER(INDEX('Market Data'!$AC$5:$AC$66,INDEX('Market Data'!$J$5:$J$528,$T92)-4)),N(INDEX('Market Data'!$AC$5:$AC$66,INDEX('Market Data'!$J$5:$J$528,$T92)-4))&gt;0),"Snapshot","Unavailable"))))</f>
        <v/>
      </c>
      <c r="T92">
        <f>IFERROR(MATCH(56,'Market Data'!$AX$5:$AX$528,0),0)</f>
        <v/>
      </c>
    </row>
    <row r="93" ht="34" customHeight="1">
      <c r="A93" s="31">
        <f>IF($T93=0,"",IF(INDEX('Market Data'!$A$5:$A$528,$T93)="","",INDEX('Market Data'!$A$5:$A$528,$T93)))</f>
        <v/>
      </c>
      <c r="B93" s="15">
        <f>IF($T93=0,"",IF(INDEX('Market Data'!$B$5:$B$528,$T93)="","",INDEX('Market Data'!$B$5:$B$528,$T93)))</f>
        <v/>
      </c>
      <c r="C93" s="15">
        <f>IF($T93=0,"",IF(INDEX('Market Data'!$C$5:$C$528,$T93)="","",INDEX('Market Data'!$C$5:$C$528,$T93)))</f>
        <v/>
      </c>
      <c r="D93" s="15">
        <f>IF($T93=0,"",IF(INDEX('Market Data'!$D$5:$D$528,$T93)="","",INDEX('Market Data'!$D$5:$D$528,$T93)))</f>
        <v/>
      </c>
      <c r="E93" s="32">
        <f>IF($T93=0,"",INDEX('Market Data'!$AY$5:$AY$528,$T93))</f>
        <v/>
      </c>
      <c r="F93" s="33">
        <f>IF($T93=0,"",IF(AND($I93="Bloomberg",ISNUMBER(INDEX('Market Data'!$L$5:$L$528,$T93))),INDEX('Market Data'!$L$5:$L$528,$T93),"unavailable"))</f>
        <v/>
      </c>
      <c r="G93" s="14">
        <f>IF($T93=0,"",IF($I93="Bloomberg",IF(AND(ISNUMBER(INDEX('Market Data'!$M$5:$M$528,$T93)),N(INDEX('Market Data'!$M$5:$M$528,$T93))&gt;0),INDEX('Market Data'!$M$5:$M$528,$T93),"date unavailable"),IF($I93="Snapshot",IF(AND(ISNUMBER(INDEX('Market Data'!$H$5:$H$528,$T93)),N(INDEX('Market Data'!$H$5:$H$528,$T93))&gt;0),INDEX('Market Data'!$H$5:$H$528,$T93),"date unavailable"),"date unavailable")))</f>
        <v/>
      </c>
      <c r="H93" s="15">
        <f>IF($T93=0,"",IF($I93="Bloomberg",IF(INDEX('Market Data'!$N$5:$N$528,$T93)="","time unavailable",INDEX('Market Data'!$N$5:$N$528,$T93)),""))</f>
        <v/>
      </c>
      <c r="I93" s="15">
        <f>IF($T93=0,"",INDEX('Market Data'!$AZ$5:$AZ$528,$T93))</f>
        <v/>
      </c>
      <c r="J93" s="34">
        <f>IF($T93=0,"",IF(INDEX('Market Data'!$E$5:$E$528,$T93)="","",INDEX('Market Data'!$E$5:$E$528,$T93)))</f>
        <v/>
      </c>
      <c r="K93" s="31">
        <f>IF($T93=0,"",IF(INDEX('Market Data'!$I$5:$I$528,$T93)="","",INDEX('Market Data'!$I$5:$I$528,$T93)))</f>
        <v/>
      </c>
      <c r="L93" s="32">
        <f>IF($T93=0,"",IF(INDEX('Market Data'!$J$5:$J$528,$T93)=0,"n/a",IF(AND($M$5&lt;&gt;"Snapshot",ISNUMBER(INDEX('Market Data'!$AH$5:$AH$66,INDEX('Market Data'!$J$5:$J$528,$T93)-4)),N(INDEX('Market Data'!$AH$5:$AH$66,INDEX('Market Data'!$J$5:$J$528,$T93)-4))&gt;0),INDEX('Market Data'!$AH$5:$AH$66,INDEX('Market Data'!$J$5:$J$528,$T93)-4),IF(AND($M$5&lt;&gt;"Bloomberg",ISNUMBER(INDEX('Market Data'!$AC$5:$AC$66,INDEX('Market Data'!$J$5:$J$528,$T93)-4)),N(INDEX('Market Data'!$AC$5:$AC$66,INDEX('Market Data'!$J$5:$J$528,$T93)-4))&gt;0),INDEX('Market Data'!$AC$5:$AC$66,INDEX('Market Data'!$J$5:$J$528,$T93)-4),"unavailable"))))</f>
        <v/>
      </c>
      <c r="M93" s="33">
        <f>IF($T93=0,"",IF(INDEX('Market Data'!$J$5:$J$528,$T93)=0,"n/a",IF(IF(INDEX('Market Data'!$J$5:$J$528,$T93)=0,0,IF(LEFT(INDEX('Market Data'!$AS$5:$AS$66,INDEX('Market Data'!$J$5:$J$528,$T93)-4),11)="First-month",1,0))=1,"class review",IF($I93="Bloomberg",IF(AND($Q93="Bloomberg",ISNUMBER('Market Data'!$B$1),N('Market Data'!$B$1)&gt;0),$L93*'Market Data'!$B$1/$E93-1,"pending A/FX"),IF($I93="Snapshot",IF(AND($Q93="Snapshot",$G93=INDEX('Market Data'!$AE$5:$AE$66,INDEX('Market Data'!$J$5:$J$528,$T93)-4)),IFERROR($L93*INDEX('Market Data'!$AD$5:$AD$66,INDEX('Market Data'!$J$5:$J$528,$T93)-4)/$E93-1,"unavailable"),"date mismatch"),"unavailable")))))</f>
        <v/>
      </c>
      <c r="N93" s="33">
        <f>IF($T93=0,"",IFERROR(IF(AND(N(INDEX('Market Data'!$F$5:$F$528,$T93))&gt;0,ISNUMBER(INDEX('Market Data'!$BB$5:$BB$528,$T93))),$E93*INDEX('Market Data'!$BB$5:$BB$528,$T93)/INDEX('Market Data'!$F$5:$F$528,$T93)-1,"unavailable"),"unavailable"))</f>
        <v/>
      </c>
      <c r="O93" s="15">
        <f>IF($T93=0,"",IF(IF(INDEX('Market Data'!$J$5:$J$528,$T93)=0,0,IF(LEFT(INDEX('Market Data'!$AS$5:$AS$66,INDEX('Market Data'!$J$5:$J$528,$T93)-4),11)="First-month",1,0))=1,"Class ratio review",IF($I93="Bloomberg",IF(ISNUMBER($G93),IF($G93&lt;TODAY(),"Older quote","See quote time"),"Date unavailable"),IF($I93="Snapshot",IF($G93&lt;DATEVALUE("2026-10-02"),"Older snapshot","Dated close"),"No valid quote"))))</f>
        <v/>
      </c>
      <c r="P93" s="14">
        <f>IF($T93=0,"",IF(INDEX('Market Data'!$J$5:$J$528,$T93)=0,"n/a",IF($Q93="Bloomberg",IF(AND(ISNUMBER(INDEX('Market Data'!$AK$5:$AK$66,INDEX('Market Data'!$J$5:$J$528,$T93)-4)),N(INDEX('Market Data'!$AK$5:$AK$66,INDEX('Market Data'!$J$5:$J$528,$T93)-4))&gt;0),INDEX('Market Data'!$AK$5:$AK$66,INDEX('Market Data'!$J$5:$J$528,$T93)-4),"date unavailable"),IF($Q93="Snapshot",IF(AND(ISNUMBER(INDEX('Market Data'!$AF$5:$AF$66,INDEX('Market Data'!$J$5:$J$528,$T93)-4)),N(INDEX('Market Data'!$AF$5:$AF$66,INDEX('Market Data'!$J$5:$J$528,$T93)-4))&gt;0),INDEX('Market Data'!$AF$5:$AF$66,INDEX('Market Data'!$J$5:$J$528,$T93)-4),"date unavailable"),"date unavailable"))))</f>
        <v/>
      </c>
      <c r="Q93" s="15">
        <f>IF($T93=0,"",IF(INDEX('Market Data'!$J$5:$J$528,$T93)=0,"n/a",IF(AND($M$5&lt;&gt;"Snapshot",ISNUMBER(INDEX('Market Data'!$AH$5:$AH$66,INDEX('Market Data'!$J$5:$J$528,$T93)-4)),N(INDEX('Market Data'!$AH$5:$AH$66,INDEX('Market Data'!$J$5:$J$528,$T93)-4))&gt;0),"Bloomberg",IF(AND($M$5&lt;&gt;"Bloomberg",ISNUMBER(INDEX('Market Data'!$AC$5:$AC$66,INDEX('Market Data'!$J$5:$J$528,$T93)-4)),N(INDEX('Market Data'!$AC$5:$AC$66,INDEX('Market Data'!$J$5:$J$528,$T93)-4))&gt;0),"Snapshot","Unavailable"))))</f>
        <v/>
      </c>
      <c r="T93">
        <f>IFERROR(MATCH(57,'Market Data'!$AX$5:$AX$528,0),0)</f>
        <v/>
      </c>
    </row>
    <row r="94" ht="34" customHeight="1">
      <c r="A94" s="31">
        <f>IF($T94=0,"",IF(INDEX('Market Data'!$A$5:$A$528,$T94)="","",INDEX('Market Data'!$A$5:$A$528,$T94)))</f>
        <v/>
      </c>
      <c r="B94" s="15">
        <f>IF($T94=0,"",IF(INDEX('Market Data'!$B$5:$B$528,$T94)="","",INDEX('Market Data'!$B$5:$B$528,$T94)))</f>
        <v/>
      </c>
      <c r="C94" s="15">
        <f>IF($T94=0,"",IF(INDEX('Market Data'!$C$5:$C$528,$T94)="","",INDEX('Market Data'!$C$5:$C$528,$T94)))</f>
        <v/>
      </c>
      <c r="D94" s="15">
        <f>IF($T94=0,"",IF(INDEX('Market Data'!$D$5:$D$528,$T94)="","",INDEX('Market Data'!$D$5:$D$528,$T94)))</f>
        <v/>
      </c>
      <c r="E94" s="32">
        <f>IF($T94=0,"",INDEX('Market Data'!$AY$5:$AY$528,$T94))</f>
        <v/>
      </c>
      <c r="F94" s="33">
        <f>IF($T94=0,"",IF(AND($I94="Bloomberg",ISNUMBER(INDEX('Market Data'!$L$5:$L$528,$T94))),INDEX('Market Data'!$L$5:$L$528,$T94),"unavailable"))</f>
        <v/>
      </c>
      <c r="G94" s="14">
        <f>IF($T94=0,"",IF($I94="Bloomberg",IF(AND(ISNUMBER(INDEX('Market Data'!$M$5:$M$528,$T94)),N(INDEX('Market Data'!$M$5:$M$528,$T94))&gt;0),INDEX('Market Data'!$M$5:$M$528,$T94),"date unavailable"),IF($I94="Snapshot",IF(AND(ISNUMBER(INDEX('Market Data'!$H$5:$H$528,$T94)),N(INDEX('Market Data'!$H$5:$H$528,$T94))&gt;0),INDEX('Market Data'!$H$5:$H$528,$T94),"date unavailable"),"date unavailable")))</f>
        <v/>
      </c>
      <c r="H94" s="15">
        <f>IF($T94=0,"",IF($I94="Bloomberg",IF(INDEX('Market Data'!$N$5:$N$528,$T94)="","time unavailable",INDEX('Market Data'!$N$5:$N$528,$T94)),""))</f>
        <v/>
      </c>
      <c r="I94" s="15">
        <f>IF($T94=0,"",INDEX('Market Data'!$AZ$5:$AZ$528,$T94))</f>
        <v/>
      </c>
      <c r="J94" s="34">
        <f>IF($T94=0,"",IF(INDEX('Market Data'!$E$5:$E$528,$T94)="","",INDEX('Market Data'!$E$5:$E$528,$T94)))</f>
        <v/>
      </c>
      <c r="K94" s="31">
        <f>IF($T94=0,"",IF(INDEX('Market Data'!$I$5:$I$528,$T94)="","",INDEX('Market Data'!$I$5:$I$528,$T94)))</f>
        <v/>
      </c>
      <c r="L94" s="32">
        <f>IF($T94=0,"",IF(INDEX('Market Data'!$J$5:$J$528,$T94)=0,"n/a",IF(AND($M$5&lt;&gt;"Snapshot",ISNUMBER(INDEX('Market Data'!$AH$5:$AH$66,INDEX('Market Data'!$J$5:$J$528,$T94)-4)),N(INDEX('Market Data'!$AH$5:$AH$66,INDEX('Market Data'!$J$5:$J$528,$T94)-4))&gt;0),INDEX('Market Data'!$AH$5:$AH$66,INDEX('Market Data'!$J$5:$J$528,$T94)-4),IF(AND($M$5&lt;&gt;"Bloomberg",ISNUMBER(INDEX('Market Data'!$AC$5:$AC$66,INDEX('Market Data'!$J$5:$J$528,$T94)-4)),N(INDEX('Market Data'!$AC$5:$AC$66,INDEX('Market Data'!$J$5:$J$528,$T94)-4))&gt;0),INDEX('Market Data'!$AC$5:$AC$66,INDEX('Market Data'!$J$5:$J$528,$T94)-4),"unavailable"))))</f>
        <v/>
      </c>
      <c r="M94" s="33">
        <f>IF($T94=0,"",IF(INDEX('Market Data'!$J$5:$J$528,$T94)=0,"n/a",IF(IF(INDEX('Market Data'!$J$5:$J$528,$T94)=0,0,IF(LEFT(INDEX('Market Data'!$AS$5:$AS$66,INDEX('Market Data'!$J$5:$J$528,$T94)-4),11)="First-month",1,0))=1,"class review",IF($I94="Bloomberg",IF(AND($Q94="Bloomberg",ISNUMBER('Market Data'!$B$1),N('Market Data'!$B$1)&gt;0),$L94*'Market Data'!$B$1/$E94-1,"pending A/FX"),IF($I94="Snapshot",IF(AND($Q94="Snapshot",$G94=INDEX('Market Data'!$AE$5:$AE$66,INDEX('Market Data'!$J$5:$J$528,$T94)-4)),IFERROR($L94*INDEX('Market Data'!$AD$5:$AD$66,INDEX('Market Data'!$J$5:$J$528,$T94)-4)/$E94-1,"unavailable"),"date mismatch"),"unavailable")))))</f>
        <v/>
      </c>
      <c r="N94" s="33">
        <f>IF($T94=0,"",IFERROR(IF(AND(N(INDEX('Market Data'!$F$5:$F$528,$T94))&gt;0,ISNUMBER(INDEX('Market Data'!$BB$5:$BB$528,$T94))),$E94*INDEX('Market Data'!$BB$5:$BB$528,$T94)/INDEX('Market Data'!$F$5:$F$528,$T94)-1,"unavailable"),"unavailable"))</f>
        <v/>
      </c>
      <c r="O94" s="15">
        <f>IF($T94=0,"",IF(IF(INDEX('Market Data'!$J$5:$J$528,$T94)=0,0,IF(LEFT(INDEX('Market Data'!$AS$5:$AS$66,INDEX('Market Data'!$J$5:$J$528,$T94)-4),11)="First-month",1,0))=1,"Class ratio review",IF($I94="Bloomberg",IF(ISNUMBER($G94),IF($G94&lt;TODAY(),"Older quote","See quote time"),"Date unavailable"),IF($I94="Snapshot",IF($G94&lt;DATEVALUE("2026-10-02"),"Older snapshot","Dated close"),"No valid quote"))))</f>
        <v/>
      </c>
      <c r="P94" s="14">
        <f>IF($T94=0,"",IF(INDEX('Market Data'!$J$5:$J$528,$T94)=0,"n/a",IF($Q94="Bloomberg",IF(AND(ISNUMBER(INDEX('Market Data'!$AK$5:$AK$66,INDEX('Market Data'!$J$5:$J$528,$T94)-4)),N(INDEX('Market Data'!$AK$5:$AK$66,INDEX('Market Data'!$J$5:$J$528,$T94)-4))&gt;0),INDEX('Market Data'!$AK$5:$AK$66,INDEX('Market Data'!$J$5:$J$528,$T94)-4),"date unavailable"),IF($Q94="Snapshot",IF(AND(ISNUMBER(INDEX('Market Data'!$AF$5:$AF$66,INDEX('Market Data'!$J$5:$J$528,$T94)-4)),N(INDEX('Market Data'!$AF$5:$AF$66,INDEX('Market Data'!$J$5:$J$528,$T94)-4))&gt;0),INDEX('Market Data'!$AF$5:$AF$66,INDEX('Market Data'!$J$5:$J$528,$T94)-4),"date unavailable"),"date unavailable"))))</f>
        <v/>
      </c>
      <c r="Q94" s="15">
        <f>IF($T94=0,"",IF(INDEX('Market Data'!$J$5:$J$528,$T94)=0,"n/a",IF(AND($M$5&lt;&gt;"Snapshot",ISNUMBER(INDEX('Market Data'!$AH$5:$AH$66,INDEX('Market Data'!$J$5:$J$528,$T94)-4)),N(INDEX('Market Data'!$AH$5:$AH$66,INDEX('Market Data'!$J$5:$J$528,$T94)-4))&gt;0),"Bloomberg",IF(AND($M$5&lt;&gt;"Bloomberg",ISNUMBER(INDEX('Market Data'!$AC$5:$AC$66,INDEX('Market Data'!$J$5:$J$528,$T94)-4)),N(INDEX('Market Data'!$AC$5:$AC$66,INDEX('Market Data'!$J$5:$J$528,$T94)-4))&gt;0),"Snapshot","Unavailable"))))</f>
        <v/>
      </c>
      <c r="T94">
        <f>IFERROR(MATCH(58,'Market Data'!$AX$5:$AX$528,0),0)</f>
        <v/>
      </c>
    </row>
    <row r="95" ht="34" customHeight="1">
      <c r="A95" s="31">
        <f>IF($T95=0,"",IF(INDEX('Market Data'!$A$5:$A$528,$T95)="","",INDEX('Market Data'!$A$5:$A$528,$T95)))</f>
        <v/>
      </c>
      <c r="B95" s="15">
        <f>IF($T95=0,"",IF(INDEX('Market Data'!$B$5:$B$528,$T95)="","",INDEX('Market Data'!$B$5:$B$528,$T95)))</f>
        <v/>
      </c>
      <c r="C95" s="15">
        <f>IF($T95=0,"",IF(INDEX('Market Data'!$C$5:$C$528,$T95)="","",INDEX('Market Data'!$C$5:$C$528,$T95)))</f>
        <v/>
      </c>
      <c r="D95" s="15">
        <f>IF($T95=0,"",IF(INDEX('Market Data'!$D$5:$D$528,$T95)="","",INDEX('Market Data'!$D$5:$D$528,$T95)))</f>
        <v/>
      </c>
      <c r="E95" s="32">
        <f>IF($T95=0,"",INDEX('Market Data'!$AY$5:$AY$528,$T95))</f>
        <v/>
      </c>
      <c r="F95" s="33">
        <f>IF($T95=0,"",IF(AND($I95="Bloomberg",ISNUMBER(INDEX('Market Data'!$L$5:$L$528,$T95))),INDEX('Market Data'!$L$5:$L$528,$T95),"unavailable"))</f>
        <v/>
      </c>
      <c r="G95" s="14">
        <f>IF($T95=0,"",IF($I95="Bloomberg",IF(AND(ISNUMBER(INDEX('Market Data'!$M$5:$M$528,$T95)),N(INDEX('Market Data'!$M$5:$M$528,$T95))&gt;0),INDEX('Market Data'!$M$5:$M$528,$T95),"date unavailable"),IF($I95="Snapshot",IF(AND(ISNUMBER(INDEX('Market Data'!$H$5:$H$528,$T95)),N(INDEX('Market Data'!$H$5:$H$528,$T95))&gt;0),INDEX('Market Data'!$H$5:$H$528,$T95),"date unavailable"),"date unavailable")))</f>
        <v/>
      </c>
      <c r="H95" s="15">
        <f>IF($T95=0,"",IF($I95="Bloomberg",IF(INDEX('Market Data'!$N$5:$N$528,$T95)="","time unavailable",INDEX('Market Data'!$N$5:$N$528,$T95)),""))</f>
        <v/>
      </c>
      <c r="I95" s="15">
        <f>IF($T95=0,"",INDEX('Market Data'!$AZ$5:$AZ$528,$T95))</f>
        <v/>
      </c>
      <c r="J95" s="34">
        <f>IF($T95=0,"",IF(INDEX('Market Data'!$E$5:$E$528,$T95)="","",INDEX('Market Data'!$E$5:$E$528,$T95)))</f>
        <v/>
      </c>
      <c r="K95" s="31">
        <f>IF($T95=0,"",IF(INDEX('Market Data'!$I$5:$I$528,$T95)="","",INDEX('Market Data'!$I$5:$I$528,$T95)))</f>
        <v/>
      </c>
      <c r="L95" s="32">
        <f>IF($T95=0,"",IF(INDEX('Market Data'!$J$5:$J$528,$T95)=0,"n/a",IF(AND($M$5&lt;&gt;"Snapshot",ISNUMBER(INDEX('Market Data'!$AH$5:$AH$66,INDEX('Market Data'!$J$5:$J$528,$T95)-4)),N(INDEX('Market Data'!$AH$5:$AH$66,INDEX('Market Data'!$J$5:$J$528,$T95)-4))&gt;0),INDEX('Market Data'!$AH$5:$AH$66,INDEX('Market Data'!$J$5:$J$528,$T95)-4),IF(AND($M$5&lt;&gt;"Bloomberg",ISNUMBER(INDEX('Market Data'!$AC$5:$AC$66,INDEX('Market Data'!$J$5:$J$528,$T95)-4)),N(INDEX('Market Data'!$AC$5:$AC$66,INDEX('Market Data'!$J$5:$J$528,$T95)-4))&gt;0),INDEX('Market Data'!$AC$5:$AC$66,INDEX('Market Data'!$J$5:$J$528,$T95)-4),"unavailable"))))</f>
        <v/>
      </c>
      <c r="M95" s="33">
        <f>IF($T95=0,"",IF(INDEX('Market Data'!$J$5:$J$528,$T95)=0,"n/a",IF(IF(INDEX('Market Data'!$J$5:$J$528,$T95)=0,0,IF(LEFT(INDEX('Market Data'!$AS$5:$AS$66,INDEX('Market Data'!$J$5:$J$528,$T95)-4),11)="First-month",1,0))=1,"class review",IF($I95="Bloomberg",IF(AND($Q95="Bloomberg",ISNUMBER('Market Data'!$B$1),N('Market Data'!$B$1)&gt;0),$L95*'Market Data'!$B$1/$E95-1,"pending A/FX"),IF($I95="Snapshot",IF(AND($Q95="Snapshot",$G95=INDEX('Market Data'!$AE$5:$AE$66,INDEX('Market Data'!$J$5:$J$528,$T95)-4)),IFERROR($L95*INDEX('Market Data'!$AD$5:$AD$66,INDEX('Market Data'!$J$5:$J$528,$T95)-4)/$E95-1,"unavailable"),"date mismatch"),"unavailable")))))</f>
        <v/>
      </c>
      <c r="N95" s="33">
        <f>IF($T95=0,"",IFERROR(IF(AND(N(INDEX('Market Data'!$F$5:$F$528,$T95))&gt;0,ISNUMBER(INDEX('Market Data'!$BB$5:$BB$528,$T95))),$E95*INDEX('Market Data'!$BB$5:$BB$528,$T95)/INDEX('Market Data'!$F$5:$F$528,$T95)-1,"unavailable"),"unavailable"))</f>
        <v/>
      </c>
      <c r="O95" s="15">
        <f>IF($T95=0,"",IF(IF(INDEX('Market Data'!$J$5:$J$528,$T95)=0,0,IF(LEFT(INDEX('Market Data'!$AS$5:$AS$66,INDEX('Market Data'!$J$5:$J$528,$T95)-4),11)="First-month",1,0))=1,"Class ratio review",IF($I95="Bloomberg",IF(ISNUMBER($G95),IF($G95&lt;TODAY(),"Older quote","See quote time"),"Date unavailable"),IF($I95="Snapshot",IF($G95&lt;DATEVALUE("2026-10-02"),"Older snapshot","Dated close"),"No valid quote"))))</f>
        <v/>
      </c>
      <c r="P95" s="14">
        <f>IF($T95=0,"",IF(INDEX('Market Data'!$J$5:$J$528,$T95)=0,"n/a",IF($Q95="Bloomberg",IF(AND(ISNUMBER(INDEX('Market Data'!$AK$5:$AK$66,INDEX('Market Data'!$J$5:$J$528,$T95)-4)),N(INDEX('Market Data'!$AK$5:$AK$66,INDEX('Market Data'!$J$5:$J$528,$T95)-4))&gt;0),INDEX('Market Data'!$AK$5:$AK$66,INDEX('Market Data'!$J$5:$J$528,$T95)-4),"date unavailable"),IF($Q95="Snapshot",IF(AND(ISNUMBER(INDEX('Market Data'!$AF$5:$AF$66,INDEX('Market Data'!$J$5:$J$528,$T95)-4)),N(INDEX('Market Data'!$AF$5:$AF$66,INDEX('Market Data'!$J$5:$J$528,$T95)-4))&gt;0),INDEX('Market Data'!$AF$5:$AF$66,INDEX('Market Data'!$J$5:$J$528,$T95)-4),"date unavailable"),"date unavailable"))))</f>
        <v/>
      </c>
      <c r="Q95" s="15">
        <f>IF($T95=0,"",IF(INDEX('Market Data'!$J$5:$J$528,$T95)=0,"n/a",IF(AND($M$5&lt;&gt;"Snapshot",ISNUMBER(INDEX('Market Data'!$AH$5:$AH$66,INDEX('Market Data'!$J$5:$J$528,$T95)-4)),N(INDEX('Market Data'!$AH$5:$AH$66,INDEX('Market Data'!$J$5:$J$528,$T95)-4))&gt;0),"Bloomberg",IF(AND($M$5&lt;&gt;"Bloomberg",ISNUMBER(INDEX('Market Data'!$AC$5:$AC$66,INDEX('Market Data'!$J$5:$J$528,$T95)-4)),N(INDEX('Market Data'!$AC$5:$AC$66,INDEX('Market Data'!$J$5:$J$528,$T95)-4))&gt;0),"Snapshot","Unavailable"))))</f>
        <v/>
      </c>
      <c r="T95">
        <f>IFERROR(MATCH(59,'Market Data'!$AX$5:$AX$528,0),0)</f>
        <v/>
      </c>
    </row>
    <row r="96" ht="34" customHeight="1">
      <c r="A96" s="31">
        <f>IF($T96=0,"",IF(INDEX('Market Data'!$A$5:$A$528,$T96)="","",INDEX('Market Data'!$A$5:$A$528,$T96)))</f>
        <v/>
      </c>
      <c r="B96" s="15">
        <f>IF($T96=0,"",IF(INDEX('Market Data'!$B$5:$B$528,$T96)="","",INDEX('Market Data'!$B$5:$B$528,$T96)))</f>
        <v/>
      </c>
      <c r="C96" s="15">
        <f>IF($T96=0,"",IF(INDEX('Market Data'!$C$5:$C$528,$T96)="","",INDEX('Market Data'!$C$5:$C$528,$T96)))</f>
        <v/>
      </c>
      <c r="D96" s="15">
        <f>IF($T96=0,"",IF(INDEX('Market Data'!$D$5:$D$528,$T96)="","",INDEX('Market Data'!$D$5:$D$528,$T96)))</f>
        <v/>
      </c>
      <c r="E96" s="32">
        <f>IF($T96=0,"",INDEX('Market Data'!$AY$5:$AY$528,$T96))</f>
        <v/>
      </c>
      <c r="F96" s="33">
        <f>IF($T96=0,"",IF(AND($I96="Bloomberg",ISNUMBER(INDEX('Market Data'!$L$5:$L$528,$T96))),INDEX('Market Data'!$L$5:$L$528,$T96),"unavailable"))</f>
        <v/>
      </c>
      <c r="G96" s="14">
        <f>IF($T96=0,"",IF($I96="Bloomberg",IF(AND(ISNUMBER(INDEX('Market Data'!$M$5:$M$528,$T96)),N(INDEX('Market Data'!$M$5:$M$528,$T96))&gt;0),INDEX('Market Data'!$M$5:$M$528,$T96),"date unavailable"),IF($I96="Snapshot",IF(AND(ISNUMBER(INDEX('Market Data'!$H$5:$H$528,$T96)),N(INDEX('Market Data'!$H$5:$H$528,$T96))&gt;0),INDEX('Market Data'!$H$5:$H$528,$T96),"date unavailable"),"date unavailable")))</f>
        <v/>
      </c>
      <c r="H96" s="15">
        <f>IF($T96=0,"",IF($I96="Bloomberg",IF(INDEX('Market Data'!$N$5:$N$528,$T96)="","time unavailable",INDEX('Market Data'!$N$5:$N$528,$T96)),""))</f>
        <v/>
      </c>
      <c r="I96" s="15">
        <f>IF($T96=0,"",INDEX('Market Data'!$AZ$5:$AZ$528,$T96))</f>
        <v/>
      </c>
      <c r="J96" s="34">
        <f>IF($T96=0,"",IF(INDEX('Market Data'!$E$5:$E$528,$T96)="","",INDEX('Market Data'!$E$5:$E$528,$T96)))</f>
        <v/>
      </c>
      <c r="K96" s="31">
        <f>IF($T96=0,"",IF(INDEX('Market Data'!$I$5:$I$528,$T96)="","",INDEX('Market Data'!$I$5:$I$528,$T96)))</f>
        <v/>
      </c>
      <c r="L96" s="32">
        <f>IF($T96=0,"",IF(INDEX('Market Data'!$J$5:$J$528,$T96)=0,"n/a",IF(AND($M$5&lt;&gt;"Snapshot",ISNUMBER(INDEX('Market Data'!$AH$5:$AH$66,INDEX('Market Data'!$J$5:$J$528,$T96)-4)),N(INDEX('Market Data'!$AH$5:$AH$66,INDEX('Market Data'!$J$5:$J$528,$T96)-4))&gt;0),INDEX('Market Data'!$AH$5:$AH$66,INDEX('Market Data'!$J$5:$J$528,$T96)-4),IF(AND($M$5&lt;&gt;"Bloomberg",ISNUMBER(INDEX('Market Data'!$AC$5:$AC$66,INDEX('Market Data'!$J$5:$J$528,$T96)-4)),N(INDEX('Market Data'!$AC$5:$AC$66,INDEX('Market Data'!$J$5:$J$528,$T96)-4))&gt;0),INDEX('Market Data'!$AC$5:$AC$66,INDEX('Market Data'!$J$5:$J$528,$T96)-4),"unavailable"))))</f>
        <v/>
      </c>
      <c r="M96" s="33">
        <f>IF($T96=0,"",IF(INDEX('Market Data'!$J$5:$J$528,$T96)=0,"n/a",IF(IF(INDEX('Market Data'!$J$5:$J$528,$T96)=0,0,IF(LEFT(INDEX('Market Data'!$AS$5:$AS$66,INDEX('Market Data'!$J$5:$J$528,$T96)-4),11)="First-month",1,0))=1,"class review",IF($I96="Bloomberg",IF(AND($Q96="Bloomberg",ISNUMBER('Market Data'!$B$1),N('Market Data'!$B$1)&gt;0),$L96*'Market Data'!$B$1/$E96-1,"pending A/FX"),IF($I96="Snapshot",IF(AND($Q96="Snapshot",$G96=INDEX('Market Data'!$AE$5:$AE$66,INDEX('Market Data'!$J$5:$J$528,$T96)-4)),IFERROR($L96*INDEX('Market Data'!$AD$5:$AD$66,INDEX('Market Data'!$J$5:$J$528,$T96)-4)/$E96-1,"unavailable"),"date mismatch"),"unavailable")))))</f>
        <v/>
      </c>
      <c r="N96" s="33">
        <f>IF($T96=0,"",IFERROR(IF(AND(N(INDEX('Market Data'!$F$5:$F$528,$T96))&gt;0,ISNUMBER(INDEX('Market Data'!$BB$5:$BB$528,$T96))),$E96*INDEX('Market Data'!$BB$5:$BB$528,$T96)/INDEX('Market Data'!$F$5:$F$528,$T96)-1,"unavailable"),"unavailable"))</f>
        <v/>
      </c>
      <c r="O96" s="15">
        <f>IF($T96=0,"",IF(IF(INDEX('Market Data'!$J$5:$J$528,$T96)=0,0,IF(LEFT(INDEX('Market Data'!$AS$5:$AS$66,INDEX('Market Data'!$J$5:$J$528,$T96)-4),11)="First-month",1,0))=1,"Class ratio review",IF($I96="Bloomberg",IF(ISNUMBER($G96),IF($G96&lt;TODAY(),"Older quote","See quote time"),"Date unavailable"),IF($I96="Snapshot",IF($G96&lt;DATEVALUE("2026-10-02"),"Older snapshot","Dated close"),"No valid quote"))))</f>
        <v/>
      </c>
      <c r="P96" s="14">
        <f>IF($T96=0,"",IF(INDEX('Market Data'!$J$5:$J$528,$T96)=0,"n/a",IF($Q96="Bloomberg",IF(AND(ISNUMBER(INDEX('Market Data'!$AK$5:$AK$66,INDEX('Market Data'!$J$5:$J$528,$T96)-4)),N(INDEX('Market Data'!$AK$5:$AK$66,INDEX('Market Data'!$J$5:$J$528,$T96)-4))&gt;0),INDEX('Market Data'!$AK$5:$AK$66,INDEX('Market Data'!$J$5:$J$528,$T96)-4),"date unavailable"),IF($Q96="Snapshot",IF(AND(ISNUMBER(INDEX('Market Data'!$AF$5:$AF$66,INDEX('Market Data'!$J$5:$J$528,$T96)-4)),N(INDEX('Market Data'!$AF$5:$AF$66,INDEX('Market Data'!$J$5:$J$528,$T96)-4))&gt;0),INDEX('Market Data'!$AF$5:$AF$66,INDEX('Market Data'!$J$5:$J$528,$T96)-4),"date unavailable"),"date unavailable"))))</f>
        <v/>
      </c>
      <c r="Q96" s="15">
        <f>IF($T96=0,"",IF(INDEX('Market Data'!$J$5:$J$528,$T96)=0,"n/a",IF(AND($M$5&lt;&gt;"Snapshot",ISNUMBER(INDEX('Market Data'!$AH$5:$AH$66,INDEX('Market Data'!$J$5:$J$528,$T96)-4)),N(INDEX('Market Data'!$AH$5:$AH$66,INDEX('Market Data'!$J$5:$J$528,$T96)-4))&gt;0),"Bloomberg",IF(AND($M$5&lt;&gt;"Bloomberg",ISNUMBER(INDEX('Market Data'!$AC$5:$AC$66,INDEX('Market Data'!$J$5:$J$528,$T96)-4)),N(INDEX('Market Data'!$AC$5:$AC$66,INDEX('Market Data'!$J$5:$J$528,$T96)-4))&gt;0),"Snapshot","Unavailable"))))</f>
        <v/>
      </c>
      <c r="T96">
        <f>IFERROR(MATCH(60,'Market Data'!$AX$5:$AX$528,0),0)</f>
        <v/>
      </c>
    </row>
    <row r="97" ht="34" customHeight="1">
      <c r="A97" s="31">
        <f>IF($T97=0,"",IF(INDEX('Market Data'!$A$5:$A$528,$T97)="","",INDEX('Market Data'!$A$5:$A$528,$T97)))</f>
        <v/>
      </c>
      <c r="B97" s="15">
        <f>IF($T97=0,"",IF(INDEX('Market Data'!$B$5:$B$528,$T97)="","",INDEX('Market Data'!$B$5:$B$528,$T97)))</f>
        <v/>
      </c>
      <c r="C97" s="15">
        <f>IF($T97=0,"",IF(INDEX('Market Data'!$C$5:$C$528,$T97)="","",INDEX('Market Data'!$C$5:$C$528,$T97)))</f>
        <v/>
      </c>
      <c r="D97" s="15">
        <f>IF($T97=0,"",IF(INDEX('Market Data'!$D$5:$D$528,$T97)="","",INDEX('Market Data'!$D$5:$D$528,$T97)))</f>
        <v/>
      </c>
      <c r="E97" s="32">
        <f>IF($T97=0,"",INDEX('Market Data'!$AY$5:$AY$528,$T97))</f>
        <v/>
      </c>
      <c r="F97" s="33">
        <f>IF($T97=0,"",IF(AND($I97="Bloomberg",ISNUMBER(INDEX('Market Data'!$L$5:$L$528,$T97))),INDEX('Market Data'!$L$5:$L$528,$T97),"unavailable"))</f>
        <v/>
      </c>
      <c r="G97" s="14">
        <f>IF($T97=0,"",IF($I97="Bloomberg",IF(AND(ISNUMBER(INDEX('Market Data'!$M$5:$M$528,$T97)),N(INDEX('Market Data'!$M$5:$M$528,$T97))&gt;0),INDEX('Market Data'!$M$5:$M$528,$T97),"date unavailable"),IF($I97="Snapshot",IF(AND(ISNUMBER(INDEX('Market Data'!$H$5:$H$528,$T97)),N(INDEX('Market Data'!$H$5:$H$528,$T97))&gt;0),INDEX('Market Data'!$H$5:$H$528,$T97),"date unavailable"),"date unavailable")))</f>
        <v/>
      </c>
      <c r="H97" s="15">
        <f>IF($T97=0,"",IF($I97="Bloomberg",IF(INDEX('Market Data'!$N$5:$N$528,$T97)="","time unavailable",INDEX('Market Data'!$N$5:$N$528,$T97)),""))</f>
        <v/>
      </c>
      <c r="I97" s="15">
        <f>IF($T97=0,"",INDEX('Market Data'!$AZ$5:$AZ$528,$T97))</f>
        <v/>
      </c>
      <c r="J97" s="34">
        <f>IF($T97=0,"",IF(INDEX('Market Data'!$E$5:$E$528,$T97)="","",INDEX('Market Data'!$E$5:$E$528,$T97)))</f>
        <v/>
      </c>
      <c r="K97" s="31">
        <f>IF($T97=0,"",IF(INDEX('Market Data'!$I$5:$I$528,$T97)="","",INDEX('Market Data'!$I$5:$I$528,$T97)))</f>
        <v/>
      </c>
      <c r="L97" s="32">
        <f>IF($T97=0,"",IF(INDEX('Market Data'!$J$5:$J$528,$T97)=0,"n/a",IF(AND($M$5&lt;&gt;"Snapshot",ISNUMBER(INDEX('Market Data'!$AH$5:$AH$66,INDEX('Market Data'!$J$5:$J$528,$T97)-4)),N(INDEX('Market Data'!$AH$5:$AH$66,INDEX('Market Data'!$J$5:$J$528,$T97)-4))&gt;0),INDEX('Market Data'!$AH$5:$AH$66,INDEX('Market Data'!$J$5:$J$528,$T97)-4),IF(AND($M$5&lt;&gt;"Bloomberg",ISNUMBER(INDEX('Market Data'!$AC$5:$AC$66,INDEX('Market Data'!$J$5:$J$528,$T97)-4)),N(INDEX('Market Data'!$AC$5:$AC$66,INDEX('Market Data'!$J$5:$J$528,$T97)-4))&gt;0),INDEX('Market Data'!$AC$5:$AC$66,INDEX('Market Data'!$J$5:$J$528,$T97)-4),"unavailable"))))</f>
        <v/>
      </c>
      <c r="M97" s="33">
        <f>IF($T97=0,"",IF(INDEX('Market Data'!$J$5:$J$528,$T97)=0,"n/a",IF(IF(INDEX('Market Data'!$J$5:$J$528,$T97)=0,0,IF(LEFT(INDEX('Market Data'!$AS$5:$AS$66,INDEX('Market Data'!$J$5:$J$528,$T97)-4),11)="First-month",1,0))=1,"class review",IF($I97="Bloomberg",IF(AND($Q97="Bloomberg",ISNUMBER('Market Data'!$B$1),N('Market Data'!$B$1)&gt;0),$L97*'Market Data'!$B$1/$E97-1,"pending A/FX"),IF($I97="Snapshot",IF(AND($Q97="Snapshot",$G97=INDEX('Market Data'!$AE$5:$AE$66,INDEX('Market Data'!$J$5:$J$528,$T97)-4)),IFERROR($L97*INDEX('Market Data'!$AD$5:$AD$66,INDEX('Market Data'!$J$5:$J$528,$T97)-4)/$E97-1,"unavailable"),"date mismatch"),"unavailable")))))</f>
        <v/>
      </c>
      <c r="N97" s="33">
        <f>IF($T97=0,"",IFERROR(IF(AND(N(INDEX('Market Data'!$F$5:$F$528,$T97))&gt;0,ISNUMBER(INDEX('Market Data'!$BB$5:$BB$528,$T97))),$E97*INDEX('Market Data'!$BB$5:$BB$528,$T97)/INDEX('Market Data'!$F$5:$F$528,$T97)-1,"unavailable"),"unavailable"))</f>
        <v/>
      </c>
      <c r="O97" s="15">
        <f>IF($T97=0,"",IF(IF(INDEX('Market Data'!$J$5:$J$528,$T97)=0,0,IF(LEFT(INDEX('Market Data'!$AS$5:$AS$66,INDEX('Market Data'!$J$5:$J$528,$T97)-4),11)="First-month",1,0))=1,"Class ratio review",IF($I97="Bloomberg",IF(ISNUMBER($G97),IF($G97&lt;TODAY(),"Older quote","See quote time"),"Date unavailable"),IF($I97="Snapshot",IF($G97&lt;DATEVALUE("2026-10-02"),"Older snapshot","Dated close"),"No valid quote"))))</f>
        <v/>
      </c>
      <c r="P97" s="14">
        <f>IF($T97=0,"",IF(INDEX('Market Data'!$J$5:$J$528,$T97)=0,"n/a",IF($Q97="Bloomberg",IF(AND(ISNUMBER(INDEX('Market Data'!$AK$5:$AK$66,INDEX('Market Data'!$J$5:$J$528,$T97)-4)),N(INDEX('Market Data'!$AK$5:$AK$66,INDEX('Market Data'!$J$5:$J$528,$T97)-4))&gt;0),INDEX('Market Data'!$AK$5:$AK$66,INDEX('Market Data'!$J$5:$J$528,$T97)-4),"date unavailable"),IF($Q97="Snapshot",IF(AND(ISNUMBER(INDEX('Market Data'!$AF$5:$AF$66,INDEX('Market Data'!$J$5:$J$528,$T97)-4)),N(INDEX('Market Data'!$AF$5:$AF$66,INDEX('Market Data'!$J$5:$J$528,$T97)-4))&gt;0),INDEX('Market Data'!$AF$5:$AF$66,INDEX('Market Data'!$J$5:$J$528,$T97)-4),"date unavailable"),"date unavailable"))))</f>
        <v/>
      </c>
      <c r="Q97" s="15">
        <f>IF($T97=0,"",IF(INDEX('Market Data'!$J$5:$J$528,$T97)=0,"n/a",IF(AND($M$5&lt;&gt;"Snapshot",ISNUMBER(INDEX('Market Data'!$AH$5:$AH$66,INDEX('Market Data'!$J$5:$J$528,$T97)-4)),N(INDEX('Market Data'!$AH$5:$AH$66,INDEX('Market Data'!$J$5:$J$528,$T97)-4))&gt;0),"Bloomberg",IF(AND($M$5&lt;&gt;"Bloomberg",ISNUMBER(INDEX('Market Data'!$AC$5:$AC$66,INDEX('Market Data'!$J$5:$J$528,$T97)-4)),N(INDEX('Market Data'!$AC$5:$AC$66,INDEX('Market Data'!$J$5:$J$528,$T97)-4))&gt;0),"Snapshot","Unavailable"))))</f>
        <v/>
      </c>
      <c r="T97">
        <f>IFERROR(MATCH(61,'Market Data'!$AX$5:$AX$528,0),0)</f>
        <v/>
      </c>
    </row>
    <row r="98" ht="34" customHeight="1">
      <c r="A98" s="31">
        <f>IF($T98=0,"",IF(INDEX('Market Data'!$A$5:$A$528,$T98)="","",INDEX('Market Data'!$A$5:$A$528,$T98)))</f>
        <v/>
      </c>
      <c r="B98" s="15">
        <f>IF($T98=0,"",IF(INDEX('Market Data'!$B$5:$B$528,$T98)="","",INDEX('Market Data'!$B$5:$B$528,$T98)))</f>
        <v/>
      </c>
      <c r="C98" s="15">
        <f>IF($T98=0,"",IF(INDEX('Market Data'!$C$5:$C$528,$T98)="","",INDEX('Market Data'!$C$5:$C$528,$T98)))</f>
        <v/>
      </c>
      <c r="D98" s="15">
        <f>IF($T98=0,"",IF(INDEX('Market Data'!$D$5:$D$528,$T98)="","",INDEX('Market Data'!$D$5:$D$528,$T98)))</f>
        <v/>
      </c>
      <c r="E98" s="32">
        <f>IF($T98=0,"",INDEX('Market Data'!$AY$5:$AY$528,$T98))</f>
        <v/>
      </c>
      <c r="F98" s="33">
        <f>IF($T98=0,"",IF(AND($I98="Bloomberg",ISNUMBER(INDEX('Market Data'!$L$5:$L$528,$T98))),INDEX('Market Data'!$L$5:$L$528,$T98),"unavailable"))</f>
        <v/>
      </c>
      <c r="G98" s="14">
        <f>IF($T98=0,"",IF($I98="Bloomberg",IF(AND(ISNUMBER(INDEX('Market Data'!$M$5:$M$528,$T98)),N(INDEX('Market Data'!$M$5:$M$528,$T98))&gt;0),INDEX('Market Data'!$M$5:$M$528,$T98),"date unavailable"),IF($I98="Snapshot",IF(AND(ISNUMBER(INDEX('Market Data'!$H$5:$H$528,$T98)),N(INDEX('Market Data'!$H$5:$H$528,$T98))&gt;0),INDEX('Market Data'!$H$5:$H$528,$T98),"date unavailable"),"date unavailable")))</f>
        <v/>
      </c>
      <c r="H98" s="15">
        <f>IF($T98=0,"",IF($I98="Bloomberg",IF(INDEX('Market Data'!$N$5:$N$528,$T98)="","time unavailable",INDEX('Market Data'!$N$5:$N$528,$T98)),""))</f>
        <v/>
      </c>
      <c r="I98" s="15">
        <f>IF($T98=0,"",INDEX('Market Data'!$AZ$5:$AZ$528,$T98))</f>
        <v/>
      </c>
      <c r="J98" s="34">
        <f>IF($T98=0,"",IF(INDEX('Market Data'!$E$5:$E$528,$T98)="","",INDEX('Market Data'!$E$5:$E$528,$T98)))</f>
        <v/>
      </c>
      <c r="K98" s="31">
        <f>IF($T98=0,"",IF(INDEX('Market Data'!$I$5:$I$528,$T98)="","",INDEX('Market Data'!$I$5:$I$528,$T98)))</f>
        <v/>
      </c>
      <c r="L98" s="32">
        <f>IF($T98=0,"",IF(INDEX('Market Data'!$J$5:$J$528,$T98)=0,"n/a",IF(AND($M$5&lt;&gt;"Snapshot",ISNUMBER(INDEX('Market Data'!$AH$5:$AH$66,INDEX('Market Data'!$J$5:$J$528,$T98)-4)),N(INDEX('Market Data'!$AH$5:$AH$66,INDEX('Market Data'!$J$5:$J$528,$T98)-4))&gt;0),INDEX('Market Data'!$AH$5:$AH$66,INDEX('Market Data'!$J$5:$J$528,$T98)-4),IF(AND($M$5&lt;&gt;"Bloomberg",ISNUMBER(INDEX('Market Data'!$AC$5:$AC$66,INDEX('Market Data'!$J$5:$J$528,$T98)-4)),N(INDEX('Market Data'!$AC$5:$AC$66,INDEX('Market Data'!$J$5:$J$528,$T98)-4))&gt;0),INDEX('Market Data'!$AC$5:$AC$66,INDEX('Market Data'!$J$5:$J$528,$T98)-4),"unavailable"))))</f>
        <v/>
      </c>
      <c r="M98" s="33">
        <f>IF($T98=0,"",IF(INDEX('Market Data'!$J$5:$J$528,$T98)=0,"n/a",IF(IF(INDEX('Market Data'!$J$5:$J$528,$T98)=0,0,IF(LEFT(INDEX('Market Data'!$AS$5:$AS$66,INDEX('Market Data'!$J$5:$J$528,$T98)-4),11)="First-month",1,0))=1,"class review",IF($I98="Bloomberg",IF(AND($Q98="Bloomberg",ISNUMBER('Market Data'!$B$1),N('Market Data'!$B$1)&gt;0),$L98*'Market Data'!$B$1/$E98-1,"pending A/FX"),IF($I98="Snapshot",IF(AND($Q98="Snapshot",$G98=INDEX('Market Data'!$AE$5:$AE$66,INDEX('Market Data'!$J$5:$J$528,$T98)-4)),IFERROR($L98*INDEX('Market Data'!$AD$5:$AD$66,INDEX('Market Data'!$J$5:$J$528,$T98)-4)/$E98-1,"unavailable"),"date mismatch"),"unavailable")))))</f>
        <v/>
      </c>
      <c r="N98" s="33">
        <f>IF($T98=0,"",IFERROR(IF(AND(N(INDEX('Market Data'!$F$5:$F$528,$T98))&gt;0,ISNUMBER(INDEX('Market Data'!$BB$5:$BB$528,$T98))),$E98*INDEX('Market Data'!$BB$5:$BB$528,$T98)/INDEX('Market Data'!$F$5:$F$528,$T98)-1,"unavailable"),"unavailable"))</f>
        <v/>
      </c>
      <c r="O98" s="15">
        <f>IF($T98=0,"",IF(IF(INDEX('Market Data'!$J$5:$J$528,$T98)=0,0,IF(LEFT(INDEX('Market Data'!$AS$5:$AS$66,INDEX('Market Data'!$J$5:$J$528,$T98)-4),11)="First-month",1,0))=1,"Class ratio review",IF($I98="Bloomberg",IF(ISNUMBER($G98),IF($G98&lt;TODAY(),"Older quote","See quote time"),"Date unavailable"),IF($I98="Snapshot",IF($G98&lt;DATEVALUE("2026-10-02"),"Older snapshot","Dated close"),"No valid quote"))))</f>
        <v/>
      </c>
      <c r="P98" s="14">
        <f>IF($T98=0,"",IF(INDEX('Market Data'!$J$5:$J$528,$T98)=0,"n/a",IF($Q98="Bloomberg",IF(AND(ISNUMBER(INDEX('Market Data'!$AK$5:$AK$66,INDEX('Market Data'!$J$5:$J$528,$T98)-4)),N(INDEX('Market Data'!$AK$5:$AK$66,INDEX('Market Data'!$J$5:$J$528,$T98)-4))&gt;0),INDEX('Market Data'!$AK$5:$AK$66,INDEX('Market Data'!$J$5:$J$528,$T98)-4),"date unavailable"),IF($Q98="Snapshot",IF(AND(ISNUMBER(INDEX('Market Data'!$AF$5:$AF$66,INDEX('Market Data'!$J$5:$J$528,$T98)-4)),N(INDEX('Market Data'!$AF$5:$AF$66,INDEX('Market Data'!$J$5:$J$528,$T98)-4))&gt;0),INDEX('Market Data'!$AF$5:$AF$66,INDEX('Market Data'!$J$5:$J$528,$T98)-4),"date unavailable"),"date unavailable"))))</f>
        <v/>
      </c>
      <c r="Q98" s="15">
        <f>IF($T98=0,"",IF(INDEX('Market Data'!$J$5:$J$528,$T98)=0,"n/a",IF(AND($M$5&lt;&gt;"Snapshot",ISNUMBER(INDEX('Market Data'!$AH$5:$AH$66,INDEX('Market Data'!$J$5:$J$528,$T98)-4)),N(INDEX('Market Data'!$AH$5:$AH$66,INDEX('Market Data'!$J$5:$J$528,$T98)-4))&gt;0),"Bloomberg",IF(AND($M$5&lt;&gt;"Bloomberg",ISNUMBER(INDEX('Market Data'!$AC$5:$AC$66,INDEX('Market Data'!$J$5:$J$528,$T98)-4)),N(INDEX('Market Data'!$AC$5:$AC$66,INDEX('Market Data'!$J$5:$J$528,$T98)-4))&gt;0),"Snapshot","Unavailable"))))</f>
        <v/>
      </c>
      <c r="T98">
        <f>IFERROR(MATCH(62,'Market Data'!$AX$5:$AX$528,0),0)</f>
        <v/>
      </c>
    </row>
  </sheetData>
  <mergeCells count="29">
    <mergeCell ref="A7:O7"/>
    <mergeCell ref="L6:O6"/>
    <mergeCell ref="A9:C10"/>
    <mergeCell ref="E6:G6"/>
    <mergeCell ref="A3:O3"/>
    <mergeCell ref="L9:M10"/>
    <mergeCell ref="A12:O12"/>
    <mergeCell ref="N9:O10"/>
    <mergeCell ref="A8:C8"/>
    <mergeCell ref="I5:K5"/>
    <mergeCell ref="H9:J10"/>
    <mergeCell ref="A1:O2"/>
    <mergeCell ref="L8:M8"/>
    <mergeCell ref="D8:F8"/>
    <mergeCell ref="A11:G11"/>
    <mergeCell ref="B6:D6"/>
    <mergeCell ref="N8:O8"/>
    <mergeCell ref="H33:J33"/>
    <mergeCell ref="H11:O11"/>
    <mergeCell ref="H8:J8"/>
    <mergeCell ref="A31:O31"/>
    <mergeCell ref="A34:O34"/>
    <mergeCell ref="L33:O33"/>
    <mergeCell ref="A30:O30"/>
    <mergeCell ref="I6:K6"/>
    <mergeCell ref="B33:F33"/>
    <mergeCell ref="M5:O5"/>
    <mergeCell ref="B5:F5"/>
    <mergeCell ref="D9:F10"/>
  </mergeCells>
  <conditionalFormatting sqref="F37:F98">
    <cfRule type="colorScale" priority="1">
      <colorScale>
        <cfvo type="min"/>
        <cfvo type="num" val="0"/>
        <cfvo type="max"/>
        <color rgb="00F6C9CF"/>
        <color rgb="00FFFFFF"/>
        <color rgb="00C7E9DC"/>
      </colorScale>
    </cfRule>
  </conditionalFormatting>
  <dataValidations count="3">
    <dataValidation sqref="M5" showDropDown="0" showInputMessage="0" showErrorMessage="0" allowBlank="0" type="list">
      <formula1>"Auto,Snapshot,Bloomberg"</formula1>
    </dataValidation>
    <dataValidation sqref="B5" showDropDown="0" showInputMessage="0" showErrorMessage="0" allowBlank="0" errorTitle="Choose from the list" error="Use a listed selection." type="list">
      <formula1>AHPairList</formula1>
    </dataValidation>
    <dataValidation sqref="I5" showDropDown="0" showInputMessage="0" showErrorMessage="1" allowBlank="0" errorTitle="Choose from the list" error="Use a listed selection." type="list">
      <formula1>AHViewList</formula1>
    </dataValidation>
  </dataValidations>
  <printOptions horizontalCentered="1"/>
  <pageMargins left="0.75" right="0.75" top="1" bottom="1" header="0.5" footer="0.5"/>
  <pageSetup orientation="landscape" paperSize="8" fitToHeight="0" fitToWidth="1"/>
  <drawing xmlns:r="http://schemas.openxmlformats.org/officeDocument/2006/relationships" r:id="rId1"/>
  <legacyDrawing xmlns:r="http://schemas.openxmlformats.org/officeDocument/2006/relationships" r:id="anysvml"/>
  <tableParts count="1">
    <tablePart xmlns:r="http://schemas.openxmlformats.org/officeDocument/2006/relationships" r:id="rId2"/>
  </tableParts>
</worksheet>
</file>

<file path=xl/worksheets/sheet3.xml><?xml version="1.0" encoding="utf-8"?>
<worksheet xmlns="http://schemas.openxmlformats.org/spreadsheetml/2006/main">
  <sheetPr>
    <tabColor rgb="002A78D6"/>
    <outlinePr summaryBelow="1" summaryRight="1"/>
    <pageSetUpPr fitToPage="1"/>
  </sheetPr>
  <dimension ref="A1:BW61"/>
  <sheetViews>
    <sheetView showGridLines="0" zoomScale="90" workbookViewId="0">
      <selection activeCell="A1" sqref="A1"/>
    </sheetView>
  </sheetViews>
  <sheetFormatPr baseColWidth="8" defaultRowHeight="15"/>
  <cols>
    <col width="27" customWidth="1" min="1" max="1"/>
    <col width="22" customWidth="1" min="2" max="2"/>
    <col width="14" customWidth="1" min="3" max="3"/>
    <col width="12" customWidth="1" min="4" max="4"/>
    <col width="22" customWidth="1" min="5" max="5"/>
    <col width="20" customWidth="1" min="6" max="6"/>
    <col width="24" customWidth="1" min="7" max="7"/>
    <col width="17" customWidth="1" min="8" max="8"/>
    <col width="12" customWidth="1" min="9" max="9"/>
    <col width="9" customWidth="1" min="10" max="10"/>
    <col width="9" customWidth="1" min="11" max="11"/>
    <col width="9" customWidth="1" min="12" max="12"/>
    <col width="8" customWidth="1" min="13" max="13"/>
    <col width="8" customWidth="1" min="14" max="14"/>
    <col width="11" customWidth="1" min="15" max="15"/>
    <col width="12" customWidth="1" min="16" max="16"/>
    <col width="10" customWidth="1" min="17" max="17"/>
    <col width="9" customWidth="1" min="18" max="18"/>
    <col width="11" customWidth="1" min="19" max="19"/>
    <col width="8" customWidth="1" min="20" max="20"/>
    <col width="10" customWidth="1" min="21" max="21"/>
    <col width="8" customWidth="1" min="22" max="22"/>
    <col width="13" customWidth="1" min="23" max="23"/>
    <col width="15" customWidth="1" min="24" max="24"/>
    <col width="11" customWidth="1" min="25" max="25"/>
    <col width="46" customWidth="1" min="26" max="26"/>
    <col width="9" customWidth="1" min="27" max="27"/>
    <col width="17" customWidth="1" min="28" max="28"/>
    <col width="13" customWidth="1" min="29" max="29"/>
    <col width="34" customWidth="1" min="30" max="30"/>
    <col width="14" customWidth="1" min="31" max="31"/>
    <col width="14" customWidth="1" min="32" max="32"/>
    <col width="9" customWidth="1" min="33" max="33"/>
    <col width="18" customWidth="1" min="34" max="34"/>
    <col width="10" customWidth="1" min="35" max="35"/>
    <col width="11" customWidth="1" min="36" max="36"/>
    <col width="10"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10" customWidth="1" min="45" max="45"/>
    <col width="10" customWidth="1" min="46" max="46"/>
    <col width="10" customWidth="1" min="47" max="47"/>
    <col width="10" customWidth="1" min="48" max="48"/>
    <col width="11" customWidth="1" min="49" max="49"/>
    <col width="11" customWidth="1" min="50" max="50"/>
    <col width="10" customWidth="1" min="51" max="51"/>
    <col width="11" customWidth="1" min="52" max="52"/>
    <col width="11" customWidth="1" min="53" max="53"/>
    <col width="8" customWidth="1" min="54" max="54"/>
    <col width="8" customWidth="1" min="55" max="55"/>
    <col width="10" customWidth="1" min="56" max="56"/>
    <col width="10" customWidth="1" min="57" max="57"/>
    <col width="8" customWidth="1" min="58" max="58"/>
    <col width="11" customWidth="1" min="59" max="59"/>
    <col width="10" customWidth="1" min="60" max="60"/>
    <col width="10" customWidth="1" min="61" max="61"/>
    <col width="8" customWidth="1" min="62" max="62"/>
    <col width="11" customWidth="1" min="63" max="63"/>
    <col width="11" customWidth="1" min="64" max="64"/>
    <col width="10" customWidth="1" min="65" max="65"/>
    <col width="11" customWidth="1" min="66" max="66"/>
    <col width="14" customWidth="1" min="67" max="67"/>
    <col width="11" customWidth="1" min="68" max="68"/>
    <col width="11" customWidth="1" min="69" max="69"/>
    <col width="30" customWidth="1" min="70" max="70"/>
    <col width="34" customWidth="1" min="71" max="71"/>
    <col width="9" customWidth="1" min="72" max="72"/>
    <col width="14" customWidth="1" min="73" max="73"/>
    <col width="8" customWidth="1" min="74" max="74"/>
    <col width="46" customWidth="1" min="75" max="75"/>
  </cols>
  <sheetData>
    <row r="1" ht="30" customHeight="1">
      <c r="A1" s="35" t="inlineStr">
        <is>
          <t>COMPS SCREENER</t>
        </is>
      </c>
    </row>
    <row r="2" ht="34" customHeight="1">
      <c r="A2" s="36" t="inlineStr">
        <is>
          <t>Pick a deal in the blue cell, or type your own terms in the override column. Comps rank same-subsector first. Blue = input, grey = calculated.</t>
        </is>
      </c>
    </row>
    <row r="3"/>
    <row r="4" ht="30" customHeight="1">
      <c r="A4" s="37" t="inlineStr">
        <is>
          <t>TARGET</t>
        </is>
      </c>
      <c r="B4" s="38" t="n"/>
      <c r="C4" s="38" t="n"/>
      <c r="D4" s="38" t="n"/>
      <c r="E4" s="39" t="n"/>
    </row>
    <row r="5" ht="34" customHeight="1">
      <c r="A5" s="40" t="inlineStr">
        <is>
          <t>Pick a deal (pipeline or listed)</t>
        </is>
      </c>
      <c r="B5" s="41" t="inlineStr">
        <is>
          <t>Beijing ESWIN Computing Technology Co., Ltd.</t>
        </is>
      </c>
      <c r="C5" s="42" t="n"/>
      <c r="D5" s="42" t="n"/>
      <c r="E5" s="42" t="n"/>
      <c r="F5" s="42" t="n"/>
      <c r="G5" s="43">
        <f>IF(AND($D$8="",N($D$9)&lt;=0),"No subsector or size set: ranking on profile and recency only.",IF($D$8="","No subsector set: ranking on size, profile and recency.",IF(N($D$9)&lt;=0,"No deal size yet: ranking on subsector, profile and recency. Type an expected size to add size proximity.","Ranking on "&amp;$D$8&amp;", size HK$"&amp;TEXT($D$9,"#,##0")&amp;"m.")))</f>
        <v/>
      </c>
    </row>
    <row r="6" ht="30" customHeight="1">
      <c r="A6" s="44" t="inlineStr">
        <is>
          <t>Attribute</t>
        </is>
      </c>
      <c r="B6" s="45" t="inlineStr">
        <is>
          <t>From the pick</t>
        </is>
      </c>
      <c r="C6" s="45" t="inlineStr">
        <is>
          <t>Override (type)</t>
        </is>
      </c>
      <c r="D6" s="45" t="inlineStr">
        <is>
          <t>Used</t>
        </is>
      </c>
      <c r="E6" s="46" t="inlineStr"/>
    </row>
    <row r="7" ht="30" customHeight="1">
      <c r="A7" s="40" t="inlineStr">
        <is>
          <t>Sector</t>
        </is>
      </c>
      <c r="B7" s="43">
        <f>IFERROR(INDEX('Calc (scoring engine)'!$AB$3:$AB$539,MATCH($B$5,AllDeals,0)),"")</f>
        <v/>
      </c>
      <c r="C7" s="47" t="n"/>
      <c r="D7" s="43">
        <f>IF($C7&lt;&gt;"",$C7,$B7)</f>
        <v/>
      </c>
      <c r="E7" s="48" t="n"/>
      <c r="G7" s="49" t="inlineStr">
        <is>
          <t>SIZE BENCHMARK</t>
        </is>
      </c>
      <c r="H7" s="42" t="n"/>
    </row>
    <row r="8" ht="16" customHeight="1">
      <c r="A8" s="40" t="inlineStr">
        <is>
          <t>Subsector (ranks first)</t>
        </is>
      </c>
      <c r="B8" s="43">
        <f>IFERROR(INDEX('Calc (scoring engine)'!$AC$3:$AC$539,MATCH($B$5,AllDeals,0)),"")</f>
        <v/>
      </c>
      <c r="C8" s="47" t="n"/>
      <c r="D8" s="43">
        <f>IF($C8&lt;&gt;"",$C8,$B8)</f>
        <v/>
      </c>
      <c r="E8" s="50" t="n"/>
      <c r="G8" s="51" t="inlineStr">
        <is>
          <t>Percentile vs 2021-26 deals</t>
        </is>
      </c>
      <c r="H8" s="52">
        <f>IF(N($D$9)&lt;=0,"n/a",COUNTIF(Database!$I$5:$I$528,"&lt;"&amp;$D$9)/COUNT(Database!$I$5:$I$528))</f>
        <v/>
      </c>
    </row>
    <row r="9" ht="16" customHeight="1">
      <c r="A9" s="40" t="inlineStr">
        <is>
          <t>Size (HK$m)</t>
        </is>
      </c>
      <c r="B9" s="53">
        <f>IFERROR(INDEX('Calc (scoring engine)'!$AD$3:$AD$539,MATCH($B$5,AllDeals,0)),"")</f>
        <v/>
      </c>
      <c r="C9" s="54" t="n"/>
      <c r="D9" s="53">
        <f>IF($C9&lt;&gt;"",$C9,$B9)</f>
        <v/>
      </c>
      <c r="E9" s="48" t="n"/>
      <c r="G9" s="51" t="inlineStr">
        <is>
          <t>Bucket</t>
        </is>
      </c>
      <c r="H9" s="43">
        <f>IF(N($D$9)&lt;=0,"size not set",IF($D$9&gt;=20000,"Mega",IF($D$9&gt;=5000,"Large",IF($D$9&gt;=1000,"Mid","Small"))))</f>
        <v/>
      </c>
    </row>
    <row r="10" ht="16" customHeight="1">
      <c r="A10" s="40" t="inlineStr">
        <is>
          <t>Profitable (Y/N)</t>
        </is>
      </c>
      <c r="B10" s="43">
        <f>IFERROR(INDEX('Calc (scoring engine)'!$AE$3:$AE$539,MATCH($B$5,AllDeals,0)),"")</f>
        <v/>
      </c>
      <c r="C10" s="47" t="n"/>
      <c r="D10" s="43">
        <f>IF($C10&lt;&gt;"",$C10,$B10)</f>
        <v/>
      </c>
      <c r="E10" s="50" t="n"/>
    </row>
    <row r="11" ht="30" customHeight="1">
      <c r="A11" s="40" t="inlineStr">
        <is>
          <t>H-share (Y/N)</t>
        </is>
      </c>
      <c r="B11" s="43">
        <f>IFERROR(INDEX('Calc (scoring engine)'!$AF$3:$AF$539,MATCH($B$5,AllDeals,0)),"")</f>
        <v/>
      </c>
      <c r="C11" s="47" t="n"/>
      <c r="D11" s="43">
        <f>IF($C11&lt;&gt;"",$C11,$B11)</f>
        <v/>
      </c>
      <c r="E11" s="48" t="n"/>
      <c r="G11" s="49" t="inlineStr">
        <is>
          <t>ON FILE FOR THIS DEAL</t>
        </is>
      </c>
      <c r="H11" s="42" t="n"/>
    </row>
    <row r="12" ht="16" customHeight="1">
      <c r="A12" s="40" t="inlineStr">
        <is>
          <t>IPO / expected date</t>
        </is>
      </c>
      <c r="B12" s="55">
        <f>IFERROR(INDEX('Calc (scoring engine)'!$AG$3:$AG$539,MATCH($B$5,AllDeals,0)),"")</f>
        <v/>
      </c>
      <c r="C12" s="56" t="n"/>
      <c r="D12" s="55">
        <f>IF($C12&lt;&gt;"",$C12,IF(ISNUMBER($B12),$B12,TODAY()))</f>
        <v/>
      </c>
      <c r="E12" s="50" t="n"/>
      <c r="G12" s="51" t="inlineStr">
        <is>
          <t>Day-1</t>
        </is>
      </c>
      <c r="H12" s="57">
        <f>IFERROR(IF(INDEX(Database!$AJ$5:$AJ$528,MATCH($B$5,Database!$B$5:$B$528,0))="","—",INDEX(Database!$AJ$5:$AJ$528,MATCH($B$5,Database!$B$5:$B$528,0))),"not listed yet")</f>
        <v/>
      </c>
    </row>
    <row r="13" ht="16" customHeight="1">
      <c r="A13" s="40" t="inlineStr">
        <is>
          <t>Target P/E (x)</t>
        </is>
      </c>
      <c r="B13" s="58">
        <f>IFERROR(INDEX('Calc (scoring engine)'!$AH$3:$AH$539,MATCH($B$5,AllDeals,0)),"")</f>
        <v/>
      </c>
      <c r="C13" s="59" t="n"/>
      <c r="D13" s="58">
        <f>IF($C13&lt;&gt;"",$C13,$B13)</f>
        <v/>
      </c>
      <c r="E13" s="48" t="n"/>
      <c r="G13" s="51" t="inlineStr">
        <is>
          <t>1-month</t>
        </is>
      </c>
      <c r="H13" s="57">
        <f>IFERROR(IF(INDEX(Database!$AQ$5:$AQ$528,MATCH($B$5,Database!$B$5:$B$528,0))="","—",INDEX(Database!$AQ$5:$AQ$528,MATCH($B$5,Database!$B$5:$B$528,0))),"not listed yet")</f>
        <v/>
      </c>
    </row>
    <row r="14" ht="16" customHeight="1">
      <c r="A14" s="40" t="inlineStr">
        <is>
          <t>Public sub (x), expected</t>
        </is>
      </c>
      <c r="B14" s="60">
        <f>IFERROR(INDEX(Database!$S$5:$S$528,MATCH($B$5,Database!$B$5:$B$528,0)),"")</f>
        <v/>
      </c>
      <c r="C14" s="61" t="n"/>
      <c r="D14" s="60">
        <f>IF($C14&lt;&gt;"",$C14,$B14)</f>
        <v/>
      </c>
      <c r="E14" s="50" t="n"/>
      <c r="G14" s="51" t="inlineStr">
        <is>
          <t>Public sub (x)</t>
        </is>
      </c>
      <c r="H14" s="60">
        <f>IFERROR(IF(INDEX(Database!$S$5:$S$528,MATCH($B$5,Database!$B$5:$B$528,0))="","—",INDEX(Database!$S$5:$S$528,MATCH($B$5,Database!$B$5:$B$528,0))),"not listed yet")</f>
        <v/>
      </c>
    </row>
    <row r="15" ht="30" customHeight="1">
      <c r="A15" s="62" t="inlineStr">
        <is>
          <t>RANK AND FILTER</t>
        </is>
      </c>
      <c r="B15" s="63" t="inlineStr">
        <is>
          <t>Setting</t>
        </is>
      </c>
      <c r="C15" s="63" t="inlineStr"/>
      <c r="D15" s="63" t="inlineStr"/>
      <c r="E15" s="64" t="inlineStr"/>
      <c r="G15" s="51" t="inlineStr">
        <is>
          <t>Cornerstone %</t>
        </is>
      </c>
      <c r="H15" s="65">
        <f>IFERROR(IF(INDEX(Database!$U$5:$U$528,MATCH($B$5,Database!$B$5:$B$528,0))="","—",INDEX(Database!$U$5:$U$528,MATCH($B$5,Database!$B$5:$B$528,0))),"not listed yet")</f>
        <v/>
      </c>
    </row>
    <row r="16" ht="16" customHeight="1">
      <c r="A16" s="40" t="inlineStr">
        <is>
          <t>Rank by</t>
        </is>
      </c>
      <c r="B16" s="66" t="inlineStr">
        <is>
          <t>standard</t>
        </is>
      </c>
      <c r="C16" s="67" t="n"/>
      <c r="D16" s="67" t="n"/>
      <c r="E16" s="48" t="n"/>
      <c r="G16" s="51" t="inlineStr">
        <is>
          <t>Sponsors</t>
        </is>
      </c>
      <c r="H16" s="43">
        <f>IFERROR(IF(INDEX(Database!$BU$5:$BU$528,MATCH($B$5,Database!$B$5:$B$528,0))="","—",INDEX(Database!$BU$5:$BU$528,MATCH($B$5,Database!$B$5:$B$528,0))),"not listed yet")</f>
        <v/>
      </c>
    </row>
    <row r="17" ht="16" customHeight="1">
      <c r="A17" s="40" t="inlineStr">
        <is>
          <t>Cornerstone investor to match (e.g. hillhouse)</t>
        </is>
      </c>
      <c r="B17" s="47" t="n"/>
      <c r="C17" s="51" t="inlineStr">
        <is>
          <t>Force-include codes (9888, 2015)</t>
        </is>
      </c>
      <c r="D17" s="47" t="n"/>
      <c r="E17" s="48" t="n"/>
    </row>
    <row r="18" ht="16" customHeight="1">
      <c r="A18" s="68" t="inlineStr">
        <is>
          <t>A-share filter</t>
        </is>
      </c>
      <c r="B18" s="69" t="inlineStr">
        <is>
          <t>All</t>
        </is>
      </c>
      <c r="C18" s="70" t="inlineStr">
        <is>
          <t>Comps to show (3-15)</t>
        </is>
      </c>
      <c r="D18" s="71" t="n">
        <v>10</v>
      </c>
      <c r="E18" s="72" t="n"/>
    </row>
    <row r="19" ht="30" customHeight="1">
      <c r="A19" s="73" t="inlineStr">
        <is>
          <t>IDENTITY</t>
        </is>
      </c>
      <c r="B19" s="42" t="n"/>
      <c r="C19" s="42" t="n"/>
      <c r="D19" s="42" t="n"/>
      <c r="E19" s="42" t="n"/>
      <c r="F19" s="42" t="n"/>
      <c r="G19" s="42" t="n"/>
      <c r="H19" s="42" t="n"/>
      <c r="I19" s="74" t="inlineStr">
        <is>
          <t>DEAL TERMS</t>
        </is>
      </c>
      <c r="J19" s="42" t="n"/>
      <c r="K19" s="42" t="n"/>
      <c r="L19" s="42" t="n"/>
      <c r="M19" s="42" t="n"/>
      <c r="N19" s="42" t="n"/>
      <c r="O19" s="42" t="n"/>
      <c r="P19" s="42" t="n"/>
      <c r="Q19" s="75" t="inlineStr">
        <is>
          <t>DEMAND</t>
        </is>
      </c>
      <c r="R19" s="42" t="n"/>
      <c r="S19" s="42" t="n"/>
      <c r="T19" s="42" t="n"/>
      <c r="U19" s="42" t="n"/>
      <c r="V19" s="42" t="n"/>
      <c r="W19" s="42" t="n"/>
      <c r="X19" s="42" t="n"/>
      <c r="Y19" s="42" t="n"/>
      <c r="Z19" s="42" t="n"/>
      <c r="AA19" s="42" t="n"/>
      <c r="AB19" s="42" t="n"/>
      <c r="AC19" s="42" t="n"/>
      <c r="AD19" s="42" t="n"/>
      <c r="AE19" s="42" t="n"/>
      <c r="AF19" s="76" t="inlineStr">
        <is>
          <t>PERFORMANCE</t>
        </is>
      </c>
      <c r="AG19" s="42" t="n"/>
      <c r="AH19" s="42" t="n"/>
      <c r="AI19" s="42" t="n"/>
      <c r="AJ19" s="42" t="n"/>
      <c r="AK19" s="42" t="n"/>
      <c r="AL19" s="42" t="n"/>
      <c r="AM19" s="42" t="n"/>
      <c r="AN19" s="42" t="n"/>
      <c r="AO19" s="42" t="n"/>
      <c r="AP19" s="42" t="n"/>
      <c r="AQ19" s="42" t="n"/>
      <c r="AR19" s="42" t="n"/>
      <c r="AS19" s="42" t="n"/>
      <c r="AT19" s="42" t="n"/>
      <c r="AU19" s="42" t="n"/>
      <c r="AV19" s="42" t="n"/>
      <c r="AW19" s="42" t="n"/>
      <c r="AX19" s="42" t="n"/>
      <c r="AY19" s="42" t="n"/>
      <c r="AZ19" s="77" t="inlineStr">
        <is>
          <t>FUNDAMENTALS</t>
        </is>
      </c>
      <c r="BA19" s="42" t="n"/>
      <c r="BB19" s="42" t="n"/>
      <c r="BC19" s="42" t="n"/>
      <c r="BD19" s="42" t="n"/>
      <c r="BE19" s="42" t="n"/>
      <c r="BF19" s="42" t="n"/>
      <c r="BG19" s="42" t="n"/>
      <c r="BH19" s="42" t="n"/>
      <c r="BI19" s="42" t="n"/>
      <c r="BJ19" s="78" t="inlineStr">
        <is>
          <t>A / H</t>
        </is>
      </c>
      <c r="BK19" s="42" t="n"/>
      <c r="BL19" s="42" t="n"/>
      <c r="BM19" s="42" t="n"/>
      <c r="BN19" s="42" t="n"/>
      <c r="BO19" s="42" t="n"/>
      <c r="BP19" s="42" t="n"/>
      <c r="BQ19" s="42" t="n"/>
      <c r="BR19" s="79" t="inlineStr">
        <is>
          <t>BANKS &amp; DOCS</t>
        </is>
      </c>
      <c r="BS19" s="42" t="n"/>
      <c r="BT19" s="80" t="inlineStr">
        <is>
          <t>SCORING</t>
        </is>
      </c>
      <c r="BU19" s="42" t="n"/>
      <c r="BV19" s="42" t="n"/>
      <c r="BW19" s="42" t="n"/>
    </row>
    <row r="20" ht="48" customHeight="1">
      <c r="A20" s="81" t="inlineStr">
        <is>
          <t>Rank</t>
        </is>
      </c>
      <c r="B20" s="81" t="inlineStr">
        <is>
          <t>Name</t>
        </is>
      </c>
      <c r="C20" s="81" t="inlineStr">
        <is>
          <t>Code</t>
        </is>
      </c>
      <c r="D20" s="81" t="inlineStr">
        <is>
          <t>Sector</t>
        </is>
      </c>
      <c r="E20" s="81" t="inlineStr">
        <is>
          <t>Subsector</t>
        </is>
      </c>
      <c r="F20" s="81" t="inlineStr">
        <is>
          <t>Industry (AAStocks)</t>
        </is>
      </c>
      <c r="G20" s="81" t="inlineStr">
        <is>
          <t>Regime</t>
        </is>
      </c>
      <c r="H20" s="81" t="inlineStr">
        <is>
          <t>IPO date</t>
        </is>
      </c>
      <c r="I20" s="81" t="inlineStr">
        <is>
          <t>Deal size (HK$m)</t>
        </is>
      </c>
      <c r="J20" s="81" t="inlineStr">
        <is>
          <t>Range low (HK$)</t>
        </is>
      </c>
      <c r="K20" s="81" t="inlineStr">
        <is>
          <t>Max/cap (HK$)</t>
        </is>
      </c>
      <c r="L20" s="81" t="inlineStr">
        <is>
          <t>Final px (HK$)</t>
        </is>
      </c>
      <c r="M20" s="81" t="inlineStr">
        <is>
          <t>Priced at cap</t>
        </is>
      </c>
      <c r="N20" s="81" t="inlineStr">
        <is>
          <t>% of cap</t>
        </is>
      </c>
      <c r="O20" s="81" t="inlineStr">
        <is>
          <t>Priced in range %</t>
        </is>
      </c>
      <c r="P20" s="81" t="inlineStr">
        <is>
          <t>Mkt cap at IPO (HK$m)</t>
        </is>
      </c>
      <c r="Q20" s="81" t="inlineStr">
        <is>
          <t>Public sub (x)</t>
        </is>
      </c>
      <c r="R20" s="81" t="inlineStr">
        <is>
          <t>Intl sub (x)</t>
        </is>
      </c>
      <c r="S20" s="81" t="inlineStr">
        <is>
          <t>Cornerstone %</t>
        </is>
      </c>
      <c r="T20" s="81" t="inlineStr">
        <is>
          <t>Intl placees</t>
        </is>
      </c>
      <c r="U20" s="81" t="inlineStr">
        <is>
          <t>Public alloc % (final)</t>
        </is>
      </c>
      <c r="V20" s="81" t="inlineStr">
        <is>
          <t>Clawback</t>
        </is>
      </c>
      <c r="W20" s="81" t="inlineStr">
        <is>
          <t>Eff. free float (HK$m)</t>
        </is>
      </c>
      <c r="X20" s="81" t="inlineStr">
        <is>
          <t>Eff. free float (shares)</t>
        </is>
      </c>
      <c r="Y20" s="81" t="inlineStr">
        <is>
          <t>Eff. free float (% of cap)</t>
        </is>
      </c>
      <c r="Z20" s="81" t="inlineStr">
        <is>
          <t>Cornerstone investors</t>
        </is>
      </c>
      <c r="AA20" s="81" t="inlineStr">
        <is>
          <t>Greenshoe size (%)</t>
        </is>
      </c>
      <c r="AB20" s="81" t="inlineStr">
        <is>
          <t>Shoe outcome (final)</t>
        </is>
      </c>
      <c r="AC20" s="81" t="inlineStr">
        <is>
          <t>Shoe ends (filed)</t>
        </is>
      </c>
      <c r="AD20" s="81" t="inlineStr">
        <is>
          <t>Stabilising manager</t>
        </is>
      </c>
      <c r="AE20" s="81" t="inlineStr">
        <is>
          <t>SM key</t>
        </is>
      </c>
      <c r="AF20" s="81" t="inlineStr">
        <is>
          <t>Grey mkt % vs offer</t>
        </is>
      </c>
      <c r="AG20" s="81" t="inlineStr">
        <is>
          <t>Day-1</t>
        </is>
      </c>
      <c r="AH20" s="81" t="inlineStr">
        <is>
          <t>Benchmark index Day-1</t>
        </is>
      </c>
      <c r="AI20" s="81" t="inlineStr">
        <is>
          <t>Day-1 open pop</t>
        </is>
      </c>
      <c r="AJ20" s="81" t="inlineStr">
        <is>
          <t>Day-1 open to close</t>
        </is>
      </c>
      <c r="AK20" s="81" t="inlineStr">
        <is>
          <t>Day-1 vol / retail float (x)</t>
        </is>
      </c>
      <c r="AL20" s="81" t="inlineStr">
        <is>
          <t>Day-1 range %</t>
        </is>
      </c>
      <c r="AM20" s="81" t="inlineStr">
        <is>
          <t>1-week</t>
        </is>
      </c>
      <c r="AN20" s="81" t="inlineStr">
        <is>
          <t>1-month</t>
        </is>
      </c>
      <c r="AO20" s="81" t="inlineStr">
        <is>
          <t>3-month</t>
        </is>
      </c>
      <c r="AP20" s="82" t="inlineStr">
        <is>
          <t>1w ex-pop</t>
        </is>
      </c>
      <c r="AQ20" s="82" t="inlineStr">
        <is>
          <t>1m ex-pop</t>
        </is>
      </c>
      <c r="AR20" s="82" t="inlineStr">
        <is>
          <t>3m ex-pop</t>
        </is>
      </c>
      <c r="AS20" s="81" t="inlineStr">
        <is>
          <t>Alpha 1w vs index</t>
        </is>
      </c>
      <c r="AT20" s="81" t="inlineStr">
        <is>
          <t>Alpha 1m vs index</t>
        </is>
      </c>
      <c r="AU20" s="81" t="inlineStr">
        <is>
          <t>Alpha 3m vs index</t>
        </is>
      </c>
      <c r="AV20" s="82" t="inlineStr">
        <is>
          <t>Alpha 1m ex-pop</t>
        </is>
      </c>
      <c r="AW20" s="81" t="inlineStr">
        <is>
          <t>Index, IPO to 1m</t>
        </is>
      </c>
      <c r="AX20" s="81" t="inlineStr">
        <is>
          <t>Index, day-1 to 1m</t>
        </is>
      </c>
      <c r="AY20" s="81" t="inlineStr">
        <is>
          <t>Since IPO</t>
        </is>
      </c>
      <c r="AZ20" s="81" t="inlineStr">
        <is>
          <t>Latest FY rev (HK$m)</t>
        </is>
      </c>
      <c r="BA20" s="81" t="inlineStr">
        <is>
          <t>Latest FY NI (HK$m)</t>
        </is>
      </c>
      <c r="BB20" s="81" t="inlineStr">
        <is>
          <t>Profitable</t>
        </is>
      </c>
      <c r="BC20" s="81" t="inlineStr">
        <is>
          <t>P/E at IPO</t>
        </is>
      </c>
      <c r="BD20" s="81" t="inlineStr">
        <is>
          <t>P/E at IPO (BBG)</t>
        </is>
      </c>
      <c r="BE20" s="81" t="inlineStr">
        <is>
          <t>P/E today (BBG)</t>
        </is>
      </c>
      <c r="BF20" s="81" t="inlineStr">
        <is>
          <t>P/S at IPO</t>
        </is>
      </c>
      <c r="BG20" s="81" t="inlineStr">
        <is>
          <t>P/S today (BBG)</t>
        </is>
      </c>
      <c r="BH20" s="81" t="inlineStr">
        <is>
          <t>P/E now (x)</t>
        </is>
      </c>
      <c r="BI20" s="81" t="inlineStr">
        <is>
          <t>P/S now (x)</t>
        </is>
      </c>
      <c r="BJ20" s="81" t="inlineStr">
        <is>
          <t>A/H pair</t>
        </is>
      </c>
      <c r="BK20" s="81" t="inlineStr">
        <is>
          <t>A-share code</t>
        </is>
      </c>
      <c r="BL20" s="81" t="inlineStr">
        <is>
          <t>A prem vs H at IPO</t>
        </is>
      </c>
      <c r="BM20" s="81" t="inlineStr">
        <is>
          <t>A close used (HK$)</t>
        </is>
      </c>
      <c r="BN20" s="81" t="inlineStr">
        <is>
          <t>A premium (today)</t>
        </is>
      </c>
      <c r="BO20" s="81" t="inlineStr">
        <is>
          <t>A-line mkt cap now (HK$m)</t>
        </is>
      </c>
      <c r="BP20" s="81" t="inlineStr">
        <is>
          <t>A P/E @H-IPO (BBG)</t>
        </is>
      </c>
      <c r="BQ20" s="81" t="inlineStr">
        <is>
          <t>HSAHP @IPO (BBG)</t>
        </is>
      </c>
      <c r="BR20" s="81" t="inlineStr">
        <is>
          <t>Sponsors</t>
        </is>
      </c>
      <c r="BS20" s="81" t="inlineStr">
        <is>
          <t>Bookrunners</t>
        </is>
      </c>
      <c r="BT20" s="81" t="inlineStr">
        <is>
          <t>Shared CS</t>
        </is>
      </c>
      <c r="BU20" s="81" t="inlineStr">
        <is>
          <t>Match</t>
        </is>
      </c>
      <c r="BV20" s="81" t="inlineStr">
        <is>
          <t>Score</t>
        </is>
      </c>
      <c r="BW20" s="81" t="inlineStr">
        <is>
          <t>why</t>
        </is>
      </c>
    </row>
    <row r="21">
      <c r="A21" s="83">
        <f>IF(OR(1&gt;MAX(3,MIN(15,N($D$18))),IFERROR(LARGE('Calc (scoring engine)'!$K$5:$K$528,1),-999999)&lt;=-900000),"",1)</f>
        <v/>
      </c>
      <c r="B21" s="43">
        <f>IF(OR(1&gt;MAX(3,MIN(15,N($D$18))),IFERROR(LARGE('Calc (scoring engine)'!$K$5:$K$528,1),-999999)&lt;=-900000),"",IFERROR(IF(INDEX(Database!$B$5:$B$528,MATCH(LARGE('Calc (scoring engine)'!$K$5:$K$528,1),'Calc (scoring engine)'!$K$5:$K$528,0))="","—",INDEX(Database!$B$5:$B$528,MATCH(LARGE('Calc (scoring engine)'!$K$5:$K$528,1),'Calc (scoring engine)'!$K$5:$K$528,0))),""))</f>
        <v/>
      </c>
      <c r="C21" s="84">
        <f>IF(OR(1&gt;MAX(3,MIN(15,N($D$18))),IFERROR(LARGE('Calc (scoring engine)'!$K$5:$K$528,1),-999999)&lt;=-900000),"",IFERROR(IF(INDEX(Database!$A$5:$A$528,MATCH(LARGE('Calc (scoring engine)'!$K$5:$K$528,1),'Calc (scoring engine)'!$K$5:$K$528,0))="","—",INDEX(Database!$A$5:$A$528,MATCH(LARGE('Calc (scoring engine)'!$K$5:$K$528,1),'Calc (scoring engine)'!$K$5:$K$528,0))),""))</f>
        <v/>
      </c>
      <c r="D21" s="43">
        <f>IF(OR(1&gt;MAX(3,MIN(15,N($D$18))),IFERROR(LARGE('Calc (scoring engine)'!$K$5:$K$528,1),-999999)&lt;=-900000),"",IFERROR(IF(INDEX(Database!$D$5:$D$528,MATCH(LARGE('Calc (scoring engine)'!$K$5:$K$528,1),'Calc (scoring engine)'!$K$5:$K$528,0))="","—",INDEX(Database!$D$5:$D$528,MATCH(LARGE('Calc (scoring engine)'!$K$5:$K$528,1),'Calc (scoring engine)'!$K$5:$K$528,0))),""))</f>
        <v/>
      </c>
      <c r="E21" s="43">
        <f>IF(OR(1&gt;MAX(3,MIN(15,N($D$18))),IFERROR(LARGE('Calc (scoring engine)'!$K$5:$K$528,1),-999999)&lt;=-900000),"",IFERROR(IF(INDEX(Database!$E$5:$E$528,MATCH(LARGE('Calc (scoring engine)'!$K$5:$K$528,1),'Calc (scoring engine)'!$K$5:$K$528,0))="","—",INDEX(Database!$E$5:$E$528,MATCH(LARGE('Calc (scoring engine)'!$K$5:$K$528,1),'Calc (scoring engine)'!$K$5:$K$528,0))),""))</f>
        <v/>
      </c>
      <c r="F21" s="43">
        <f>IF(OR(1&gt;MAX(3,MIN(15,N($D$18))),IFERROR(LARGE('Calc (scoring engine)'!$K$5:$K$528,1),-999999)&lt;=-900000),"",IFERROR(IF(INDEX(Database!$F$5:$F$528,MATCH(LARGE('Calc (scoring engine)'!$K$5:$K$528,1),'Calc (scoring engine)'!$K$5:$K$528,0))="","—",INDEX(Database!$F$5:$F$528,MATCH(LARGE('Calc (scoring engine)'!$K$5:$K$528,1),'Calc (scoring engine)'!$K$5:$K$528,0))),""))</f>
        <v/>
      </c>
      <c r="G21" s="43">
        <f>IF(OR(1&gt;MAX(3,MIN(15,N($D$18))),IFERROR(LARGE('Calc (scoring engine)'!$K$5:$K$528,1),-999999)&lt;=-900000),"",IFERROR(IF(INDEX(Database!$G$5:$G$528,MATCH(LARGE('Calc (scoring engine)'!$K$5:$K$528,1),'Calc (scoring engine)'!$K$5:$K$528,0))="","—",INDEX(Database!$G$5:$G$528,MATCH(LARGE('Calc (scoring engine)'!$K$5:$K$528,1),'Calc (scoring engine)'!$K$5:$K$528,0))),""))</f>
        <v/>
      </c>
      <c r="H21" s="55">
        <f>IF(OR(1&gt;MAX(3,MIN(15,N($D$18))),IFERROR(LARGE('Calc (scoring engine)'!$K$5:$K$528,1),-999999)&lt;=-900000),"",IFERROR(IF(INDEX(Database!$H$5:$H$528,MATCH(LARGE('Calc (scoring engine)'!$K$5:$K$528,1),'Calc (scoring engine)'!$K$5:$K$528,0))="","—",INDEX(Database!$H$5:$H$528,MATCH(LARGE('Calc (scoring engine)'!$K$5:$K$528,1),'Calc (scoring engine)'!$K$5:$K$528,0))),""))</f>
        <v/>
      </c>
      <c r="I21" s="53">
        <f>IF(OR(1&gt;MAX(3,MIN(15,N($D$18))),IFERROR(LARGE('Calc (scoring engine)'!$K$5:$K$528,1),-999999)&lt;=-900000),"",IFERROR(IF(INDEX(Database!$I$5:$I$528,MATCH(LARGE('Calc (scoring engine)'!$K$5:$K$528,1),'Calc (scoring engine)'!$K$5:$K$528,0))="","—",INDEX(Database!$I$5:$I$528,MATCH(LARGE('Calc (scoring engine)'!$K$5:$K$528,1),'Calc (scoring engine)'!$K$5:$K$528,0))),""))</f>
        <v/>
      </c>
      <c r="J21" s="85">
        <f>IF(OR(1&gt;MAX(3,MIN(15,N($D$18))),IFERROR(LARGE('Calc (scoring engine)'!$K$5:$K$528,1),-999999)&lt;=-900000),"",IFERROR(IF(INDEX(Database!$K$5:$K$528,MATCH(LARGE('Calc (scoring engine)'!$K$5:$K$528,1),'Calc (scoring engine)'!$K$5:$K$528,0))="","—",INDEX(Database!$K$5:$K$528,MATCH(LARGE('Calc (scoring engine)'!$K$5:$K$528,1),'Calc (scoring engine)'!$K$5:$K$528,0))),""))</f>
        <v/>
      </c>
      <c r="K21" s="85">
        <f>IF(OR(1&gt;MAX(3,MIN(15,N($D$18))),IFERROR(LARGE('Calc (scoring engine)'!$K$5:$K$528,1),-999999)&lt;=-900000),"",IFERROR(IF(INDEX(Database!$L$5:$L$528,MATCH(LARGE('Calc (scoring engine)'!$K$5:$K$528,1),'Calc (scoring engine)'!$K$5:$K$528,0))="","—",INDEX(Database!$L$5:$L$528,MATCH(LARGE('Calc (scoring engine)'!$K$5:$K$528,1),'Calc (scoring engine)'!$K$5:$K$528,0))),""))</f>
        <v/>
      </c>
      <c r="L21" s="85">
        <f>IF(OR(1&gt;MAX(3,MIN(15,N($D$18))),IFERROR(LARGE('Calc (scoring engine)'!$K$5:$K$528,1),-999999)&lt;=-900000),"",IFERROR(IF(INDEX(Database!$M$5:$M$528,MATCH(LARGE('Calc (scoring engine)'!$K$5:$K$528,1),'Calc (scoring engine)'!$K$5:$K$528,0))="","—",INDEX(Database!$M$5:$M$528,MATCH(LARGE('Calc (scoring engine)'!$K$5:$K$528,1),'Calc (scoring engine)'!$K$5:$K$528,0))),""))</f>
        <v/>
      </c>
      <c r="M21" s="43">
        <f>IF(OR(1&gt;MAX(3,MIN(15,N($D$18))),IFERROR(LARGE('Calc (scoring engine)'!$K$5:$K$528,1),-999999)&lt;=-900000),"",IFERROR(IF(INDEX(Database!$N$5:$N$528,MATCH(LARGE('Calc (scoring engine)'!$K$5:$K$528,1),'Calc (scoring engine)'!$K$5:$K$528,0))="","—",INDEX(Database!$N$5:$N$528,MATCH(LARGE('Calc (scoring engine)'!$K$5:$K$528,1),'Calc (scoring engine)'!$K$5:$K$528,0))),""))</f>
        <v/>
      </c>
      <c r="N21" s="65">
        <f>IF(OR(1&gt;MAX(3,MIN(15,N($D$18))),IFERROR(LARGE('Calc (scoring engine)'!$K$5:$K$528,1),-999999)&lt;=-900000),"",IFERROR(IF(INDEX(Database!$O$5:$O$528,MATCH(LARGE('Calc (scoring engine)'!$K$5:$K$528,1),'Calc (scoring engine)'!$K$5:$K$528,0))="","—",INDEX(Database!$O$5:$O$528,MATCH(LARGE('Calc (scoring engine)'!$K$5:$K$528,1),'Calc (scoring engine)'!$K$5:$K$528,0))),""))</f>
        <v/>
      </c>
      <c r="O21" s="65">
        <f>IF(OR(1&gt;MAX(3,MIN(15,N($D$18))),IFERROR(LARGE('Calc (scoring engine)'!$K$5:$K$528,1),-999999)&lt;=-900000),"",IFERROR(IF(INDEX(Database!$P$5:$P$528,MATCH(LARGE('Calc (scoring engine)'!$K$5:$K$528,1),'Calc (scoring engine)'!$K$5:$K$528,0))="","—",INDEX(Database!$P$5:$P$528,MATCH(LARGE('Calc (scoring engine)'!$K$5:$K$528,1),'Calc (scoring engine)'!$K$5:$K$528,0))),""))</f>
        <v/>
      </c>
      <c r="P21" s="53">
        <f>IF(OR(1&gt;MAX(3,MIN(15,N($D$18))),IFERROR(LARGE('Calc (scoring engine)'!$K$5:$K$528,1),-999999)&lt;=-900000),"",IFERROR(IF(INDEX(Database!$Q$5:$Q$528,MATCH(LARGE('Calc (scoring engine)'!$K$5:$K$528,1),'Calc (scoring engine)'!$K$5:$K$528,0))="","—",INDEX(Database!$Q$5:$Q$528,MATCH(LARGE('Calc (scoring engine)'!$K$5:$K$528,1),'Calc (scoring engine)'!$K$5:$K$528,0))),""))</f>
        <v/>
      </c>
      <c r="Q21" s="60">
        <f>IF(OR(1&gt;MAX(3,MIN(15,N($D$18))),IFERROR(LARGE('Calc (scoring engine)'!$K$5:$K$528,1),-999999)&lt;=-900000),"",IFERROR(IF(INDEX(Database!$S$5:$S$528,MATCH(LARGE('Calc (scoring engine)'!$K$5:$K$528,1),'Calc (scoring engine)'!$K$5:$K$528,0))="","—",INDEX(Database!$S$5:$S$528,MATCH(LARGE('Calc (scoring engine)'!$K$5:$K$528,1),'Calc (scoring engine)'!$K$5:$K$528,0))),""))</f>
        <v/>
      </c>
      <c r="R21" s="86">
        <f>IF(OR(1&gt;MAX(3,MIN(15,N($D$18))),IFERROR(LARGE('Calc (scoring engine)'!$K$5:$K$528,1),-999999)&lt;=-900000),"",IFERROR(IF(INDEX(Database!$T$5:$T$528,MATCH(LARGE('Calc (scoring engine)'!$K$5:$K$528,1),'Calc (scoring engine)'!$K$5:$K$528,0))="","—",INDEX(Database!$T$5:$T$528,MATCH(LARGE('Calc (scoring engine)'!$K$5:$K$528,1),'Calc (scoring engine)'!$K$5:$K$528,0))),""))</f>
        <v/>
      </c>
      <c r="S21" s="87">
        <f>IF(OR(1&gt;MAX(3,MIN(15,N($D$18))),IFERROR(LARGE('Calc (scoring engine)'!$K$5:$K$528,1),-999999)&lt;=-900000),"",IFERROR(IF(INDEX(Database!$U$5:$U$528,MATCH(LARGE('Calc (scoring engine)'!$K$5:$K$528,1),'Calc (scoring engine)'!$K$5:$K$528,0))="","—",INDEX(Database!$U$5:$U$528,MATCH(LARGE('Calc (scoring engine)'!$K$5:$K$528,1),'Calc (scoring engine)'!$K$5:$K$528,0))),""))</f>
        <v/>
      </c>
      <c r="T21" s="88">
        <f>IF(OR(1&gt;MAX(3,MIN(15,N($D$18))),IFERROR(LARGE('Calc (scoring engine)'!$K$5:$K$528,1),-999999)&lt;=-900000),"",IFERROR(IF(INDEX(Database!$V$5:$V$528,MATCH(LARGE('Calc (scoring engine)'!$K$5:$K$528,1),'Calc (scoring engine)'!$K$5:$K$528,0))="","—",INDEX(Database!$V$5:$V$528,MATCH(LARGE('Calc (scoring engine)'!$K$5:$K$528,1),'Calc (scoring engine)'!$K$5:$K$528,0))),""))</f>
        <v/>
      </c>
      <c r="U21" s="65">
        <f>IF(OR(1&gt;MAX(3,MIN(15,N($D$18))),IFERROR(LARGE('Calc (scoring engine)'!$K$5:$K$528,1),-999999)&lt;=-900000),"",IFERROR(IF(INDEX(Database!$W$5:$W$528,MATCH(LARGE('Calc (scoring engine)'!$K$5:$K$528,1),'Calc (scoring engine)'!$K$5:$K$528,0))="","—",INDEX(Database!$W$5:$W$528,MATCH(LARGE('Calc (scoring engine)'!$K$5:$K$528,1),'Calc (scoring engine)'!$K$5:$K$528,0))),""))</f>
        <v/>
      </c>
      <c r="V21" s="43">
        <f>IF(OR(1&gt;MAX(3,MIN(15,N($D$18))),IFERROR(LARGE('Calc (scoring engine)'!$K$5:$K$528,1),-999999)&lt;=-900000),"",IFERROR(IF(INDEX(Database!$X$5:$X$528,MATCH(LARGE('Calc (scoring engine)'!$K$5:$K$528,1),'Calc (scoring engine)'!$K$5:$K$528,0))="","—",INDEX(Database!$X$5:$X$528,MATCH(LARGE('Calc (scoring engine)'!$K$5:$K$528,1),'Calc (scoring engine)'!$K$5:$K$528,0))),""))</f>
        <v/>
      </c>
      <c r="W21" s="53">
        <f>IF(OR(1&gt;MAX(3,MIN(15,N($D$18))),IFERROR(LARGE('Calc (scoring engine)'!$K$5:$K$528,1),-999999)&lt;=-900000),"",IFERROR(IF(INDEX(Database!$Y$5:$Y$528,MATCH(LARGE('Calc (scoring engine)'!$K$5:$K$528,1),'Calc (scoring engine)'!$K$5:$K$528,0))="","—",INDEX(Database!$Y$5:$Y$528,MATCH(LARGE('Calc (scoring engine)'!$K$5:$K$528,1),'Calc (scoring engine)'!$K$5:$K$528,0))),""))</f>
        <v/>
      </c>
      <c r="X21" s="53">
        <f>IF(OR(1&gt;MAX(3,MIN(15,N($D$18))),IFERROR(LARGE('Calc (scoring engine)'!$K$5:$K$528,1),-999999)&lt;=-900000),"",IFERROR(IF(INDEX(Database!$Z$5:$Z$528,MATCH(LARGE('Calc (scoring engine)'!$K$5:$K$528,1),'Calc (scoring engine)'!$K$5:$K$528,0))="","—",INDEX(Database!$Z$5:$Z$528,MATCH(LARGE('Calc (scoring engine)'!$K$5:$K$528,1),'Calc (scoring engine)'!$K$5:$K$528,0))),""))</f>
        <v/>
      </c>
      <c r="Y21" s="65">
        <f>IF(OR(1&gt;MAX(3,MIN(15,N($D$18))),IFERROR(LARGE('Calc (scoring engine)'!$K$5:$K$528,1),-999999)&lt;=-900000),"",IFERROR(IF(INDEX(Database!$AA$5:$AA$528,MATCH(LARGE('Calc (scoring engine)'!$K$5:$K$528,1),'Calc (scoring engine)'!$K$5:$K$528,0))="","—",INDEX(Database!$AA$5:$AA$528,MATCH(LARGE('Calc (scoring engine)'!$K$5:$K$528,1),'Calc (scoring engine)'!$K$5:$K$528,0))),""))</f>
        <v/>
      </c>
      <c r="Z21" s="43">
        <f>IF(OR(1&gt;MAX(3,MIN(15,N($D$18))),IFERROR(LARGE('Calc (scoring engine)'!$K$5:$K$528,1),-999999)&lt;=-900000),"",IFERROR(IF(INDEX(Database!$AB$5:$AB$528,MATCH(LARGE('Calc (scoring engine)'!$K$5:$K$528,1),'Calc (scoring engine)'!$K$5:$K$528,0))="","—",INDEX(Database!$AB$5:$AB$528,MATCH(LARGE('Calc (scoring engine)'!$K$5:$K$528,1),'Calc (scoring engine)'!$K$5:$K$528,0))),""))</f>
        <v/>
      </c>
      <c r="AA21" s="65">
        <f>IF(OR(1&gt;MAX(3,MIN(15,N($D$18))),IFERROR(LARGE('Calc (scoring engine)'!$K$5:$K$528,1),-999999)&lt;=-900000),"",IFERROR(IF(INDEX(Database!$AD$5:$AD$528,MATCH(LARGE('Calc (scoring engine)'!$K$5:$K$528,1),'Calc (scoring engine)'!$K$5:$K$528,0))="","—",INDEX(Database!$AD$5:$AD$528,MATCH(LARGE('Calc (scoring engine)'!$K$5:$K$528,1),'Calc (scoring engine)'!$K$5:$K$528,0))),""))</f>
        <v/>
      </c>
      <c r="AB21" s="43">
        <f>IF(OR(1&gt;MAX(3,MIN(15,N($D$18))),IFERROR(LARGE('Calc (scoring engine)'!$K$5:$K$528,1),-999999)&lt;=-900000),"",IFERROR(IF(INDEX(Database!$AE$5:$AE$528,MATCH(LARGE('Calc (scoring engine)'!$K$5:$K$528,1),'Calc (scoring engine)'!$K$5:$K$528,0))="","—",INDEX(Database!$AE$5:$AE$528,MATCH(LARGE('Calc (scoring engine)'!$K$5:$K$528,1),'Calc (scoring engine)'!$K$5:$K$528,0))),""))</f>
        <v/>
      </c>
      <c r="AC21" s="43">
        <f>IF(OR(1&gt;MAX(3,MIN(15,N($D$18))),IFERROR(LARGE('Calc (scoring engine)'!$K$5:$K$528,1),-999999)&lt;=-900000),"",IFERROR(IF(INDEX(Database!$AF$5:$AF$528,MATCH(LARGE('Calc (scoring engine)'!$K$5:$K$528,1),'Calc (scoring engine)'!$K$5:$K$528,0))="","—",INDEX(Database!$AF$5:$AF$528,MATCH(LARGE('Calc (scoring engine)'!$K$5:$K$528,1),'Calc (scoring engine)'!$K$5:$K$528,0))),""))</f>
        <v/>
      </c>
      <c r="AD21" s="43">
        <f>IF(OR(1&gt;MAX(3,MIN(15,N($D$18))),IFERROR(LARGE('Calc (scoring engine)'!$K$5:$K$528,1),-999999)&lt;=-900000),"",IFERROR(IF(INDEX(Database!$AG$5:$AG$528,MATCH(LARGE('Calc (scoring engine)'!$K$5:$K$528,1),'Calc (scoring engine)'!$K$5:$K$528,0))="","—",INDEX(Database!$AG$5:$AG$528,MATCH(LARGE('Calc (scoring engine)'!$K$5:$K$528,1),'Calc (scoring engine)'!$K$5:$K$528,0))),""))</f>
        <v/>
      </c>
      <c r="AE21" s="43">
        <f>IF(OR(1&gt;MAX(3,MIN(15,N($D$18))),IFERROR(LARGE('Calc (scoring engine)'!$K$5:$K$528,1),-999999)&lt;=-900000),"",IFERROR(IF(INDEX(Database!$AH$5:$AH$528,MATCH(LARGE('Calc (scoring engine)'!$K$5:$K$528,1),'Calc (scoring engine)'!$K$5:$K$528,0))="","—",INDEX(Database!$AH$5:$AH$528,MATCH(LARGE('Calc (scoring engine)'!$K$5:$K$528,1),'Calc (scoring engine)'!$K$5:$K$528,0))),""))</f>
        <v/>
      </c>
      <c r="AF21" s="57">
        <f>IF(OR(1&gt;MAX(3,MIN(15,N($D$18))),IFERROR(LARGE('Calc (scoring engine)'!$K$5:$K$528,1),-999999)&lt;=-900000),"",IFERROR(IF(INDEX(Database!$AI$5:$AI$528,MATCH(LARGE('Calc (scoring engine)'!$K$5:$K$528,1),'Calc (scoring engine)'!$K$5:$K$528,0))="","—",INDEX(Database!$AI$5:$AI$528,MATCH(LARGE('Calc (scoring engine)'!$K$5:$K$528,1),'Calc (scoring engine)'!$K$5:$K$528,0))),""))</f>
        <v/>
      </c>
      <c r="AG21" s="57">
        <f>IF(OR(1&gt;MAX(3,MIN(15,N($D$18))),IFERROR(LARGE('Calc (scoring engine)'!$K$5:$K$528,1),-999999)&lt;=-900000),"",IFERROR(IF(INDEX(Database!$AJ$5:$AJ$528,MATCH(LARGE('Calc (scoring engine)'!$K$5:$K$528,1),'Calc (scoring engine)'!$K$5:$K$528,0))="","—",INDEX(Database!$AJ$5:$AJ$528,MATCH(LARGE('Calc (scoring engine)'!$K$5:$K$528,1),'Calc (scoring engine)'!$K$5:$K$528,0))),""))</f>
        <v/>
      </c>
      <c r="AH21" s="57">
        <f>IF(OR(1&gt;MAX(3,MIN(15,N($D$18))),IFERROR(LARGE('Calc (scoring engine)'!$K$5:$K$528,1),-999999)&lt;=-900000),"",IFERROR(IF(INDEX(Database!$AK$5:$AK$528,MATCH(LARGE('Calc (scoring engine)'!$K$5:$K$528,1),'Calc (scoring engine)'!$K$5:$K$528,0))="","—",INDEX(Database!$AK$5:$AK$528,MATCH(LARGE('Calc (scoring engine)'!$K$5:$K$528,1),'Calc (scoring engine)'!$K$5:$K$528,0))),""))</f>
        <v/>
      </c>
      <c r="AI21" s="57">
        <f>IF(OR(1&gt;MAX(3,MIN(15,N($D$18))),IFERROR(LARGE('Calc (scoring engine)'!$K$5:$K$528,1),-999999)&lt;=-900000),"",IFERROR(IF(INDEX(Database!$AL$5:$AL$528,MATCH(LARGE('Calc (scoring engine)'!$K$5:$K$528,1),'Calc (scoring engine)'!$K$5:$K$528,0))="","—",INDEX(Database!$AL$5:$AL$528,MATCH(LARGE('Calc (scoring engine)'!$K$5:$K$528,1),'Calc (scoring engine)'!$K$5:$K$528,0))),""))</f>
        <v/>
      </c>
      <c r="AJ21" s="57">
        <f>IF(OR(1&gt;MAX(3,MIN(15,N($D$18))),IFERROR(LARGE('Calc (scoring engine)'!$K$5:$K$528,1),-999999)&lt;=-900000),"",IFERROR(IF(INDEX(Database!$AM$5:$AM$528,MATCH(LARGE('Calc (scoring engine)'!$K$5:$K$528,1),'Calc (scoring engine)'!$K$5:$K$528,0))="","—",INDEX(Database!$AM$5:$AM$528,MATCH(LARGE('Calc (scoring engine)'!$K$5:$K$528,1),'Calc (scoring engine)'!$K$5:$K$528,0))),""))</f>
        <v/>
      </c>
      <c r="AK21" s="58">
        <f>IF(OR(1&gt;MAX(3,MIN(15,N($D$18))),IFERROR(LARGE('Calc (scoring engine)'!$K$5:$K$528,1),-999999)&lt;=-900000),"",IFERROR(IF(INDEX(Database!$AN$5:$AN$528,MATCH(LARGE('Calc (scoring engine)'!$K$5:$K$528,1),'Calc (scoring engine)'!$K$5:$K$528,0))="","—",INDEX(Database!$AN$5:$AN$528,MATCH(LARGE('Calc (scoring engine)'!$K$5:$K$528,1),'Calc (scoring engine)'!$K$5:$K$528,0))),""))</f>
        <v/>
      </c>
      <c r="AL21" s="65">
        <f>IF(OR(1&gt;MAX(3,MIN(15,N($D$18))),IFERROR(LARGE('Calc (scoring engine)'!$K$5:$K$528,1),-999999)&lt;=-900000),"",IFERROR(IF(INDEX(Database!$AO$5:$AO$528,MATCH(LARGE('Calc (scoring engine)'!$K$5:$K$528,1),'Calc (scoring engine)'!$K$5:$K$528,0))="","—",INDEX(Database!$AO$5:$AO$528,MATCH(LARGE('Calc (scoring engine)'!$K$5:$K$528,1),'Calc (scoring engine)'!$K$5:$K$528,0))),""))</f>
        <v/>
      </c>
      <c r="AM21" s="57">
        <f>IF(OR(1&gt;MAX(3,MIN(15,N($D$18))),IFERROR(LARGE('Calc (scoring engine)'!$K$5:$K$528,1),-999999)&lt;=-900000),"",IFERROR(IF(INDEX(Database!$AP$5:$AP$528,MATCH(LARGE('Calc (scoring engine)'!$K$5:$K$528,1),'Calc (scoring engine)'!$K$5:$K$528,0))="","—",INDEX(Database!$AP$5:$AP$528,MATCH(LARGE('Calc (scoring engine)'!$K$5:$K$528,1),'Calc (scoring engine)'!$K$5:$K$528,0))),""))</f>
        <v/>
      </c>
      <c r="AN21" s="57">
        <f>IF(OR(1&gt;MAX(3,MIN(15,N($D$18))),IFERROR(LARGE('Calc (scoring engine)'!$K$5:$K$528,1),-999999)&lt;=-900000),"",IFERROR(IF(INDEX(Database!$AQ$5:$AQ$528,MATCH(LARGE('Calc (scoring engine)'!$K$5:$K$528,1),'Calc (scoring engine)'!$K$5:$K$528,0))="","—",INDEX(Database!$AQ$5:$AQ$528,MATCH(LARGE('Calc (scoring engine)'!$K$5:$K$528,1),'Calc (scoring engine)'!$K$5:$K$528,0))),""))</f>
        <v/>
      </c>
      <c r="AO21" s="57">
        <f>IF(OR(1&gt;MAX(3,MIN(15,N($D$18))),IFERROR(LARGE('Calc (scoring engine)'!$K$5:$K$528,1),-999999)&lt;=-900000),"",IFERROR(IF(INDEX(Database!$AR$5:$AR$528,MATCH(LARGE('Calc (scoring engine)'!$K$5:$K$528,1),'Calc (scoring engine)'!$K$5:$K$528,0))="","—",INDEX(Database!$AR$5:$AR$528,MATCH(LARGE('Calc (scoring engine)'!$K$5:$K$528,1),'Calc (scoring engine)'!$K$5:$K$528,0))),""))</f>
        <v/>
      </c>
      <c r="AP21" s="57">
        <f>IF(OR(1&gt;MAX(3,MIN(15,N($D$18))),IFERROR(LARGE('Calc (scoring engine)'!$K$5:$K$528,1),-999999)&lt;=-900000),"",IFERROR(IF(INDEX(Database!$AS$5:$AS$528,MATCH(LARGE('Calc (scoring engine)'!$K$5:$K$528,1),'Calc (scoring engine)'!$K$5:$K$528,0))="","—",INDEX(Database!$AS$5:$AS$528,MATCH(LARGE('Calc (scoring engine)'!$K$5:$K$528,1),'Calc (scoring engine)'!$K$5:$K$528,0))),""))</f>
        <v/>
      </c>
      <c r="AQ21" s="57">
        <f>IF(OR(1&gt;MAX(3,MIN(15,N($D$18))),IFERROR(LARGE('Calc (scoring engine)'!$K$5:$K$528,1),-999999)&lt;=-900000),"",IFERROR(IF(INDEX(Database!$AT$5:$AT$528,MATCH(LARGE('Calc (scoring engine)'!$K$5:$K$528,1),'Calc (scoring engine)'!$K$5:$K$528,0))="","—",INDEX(Database!$AT$5:$AT$528,MATCH(LARGE('Calc (scoring engine)'!$K$5:$K$528,1),'Calc (scoring engine)'!$K$5:$K$528,0))),""))</f>
        <v/>
      </c>
      <c r="AR21" s="57">
        <f>IF(OR(1&gt;MAX(3,MIN(15,N($D$18))),IFERROR(LARGE('Calc (scoring engine)'!$K$5:$K$528,1),-999999)&lt;=-900000),"",IFERROR(IF(INDEX(Database!$AU$5:$AU$528,MATCH(LARGE('Calc (scoring engine)'!$K$5:$K$528,1),'Calc (scoring engine)'!$K$5:$K$528,0))="","—",INDEX(Database!$AU$5:$AU$528,MATCH(LARGE('Calc (scoring engine)'!$K$5:$K$528,1),'Calc (scoring engine)'!$K$5:$K$528,0))),""))</f>
        <v/>
      </c>
      <c r="AS21" s="57">
        <f>IF(OR(1&gt;MAX(3,MIN(15,N($D$18))),IFERROR(LARGE('Calc (scoring engine)'!$K$5:$K$528,1),-999999)&lt;=-900000),"",IFERROR(IF(INDEX(Database!$AV$5:$AV$528,MATCH(LARGE('Calc (scoring engine)'!$K$5:$K$528,1),'Calc (scoring engine)'!$K$5:$K$528,0))="","—",INDEX(Database!$AV$5:$AV$528,MATCH(LARGE('Calc (scoring engine)'!$K$5:$K$528,1),'Calc (scoring engine)'!$K$5:$K$528,0))),""))</f>
        <v/>
      </c>
      <c r="AT21" s="57">
        <f>IF(OR(1&gt;MAX(3,MIN(15,N($D$18))),IFERROR(LARGE('Calc (scoring engine)'!$K$5:$K$528,1),-999999)&lt;=-900000),"",IFERROR(IF(INDEX(Database!$AW$5:$AW$528,MATCH(LARGE('Calc (scoring engine)'!$K$5:$K$528,1),'Calc (scoring engine)'!$K$5:$K$528,0))="","—",INDEX(Database!$AW$5:$AW$528,MATCH(LARGE('Calc (scoring engine)'!$K$5:$K$528,1),'Calc (scoring engine)'!$K$5:$K$528,0))),""))</f>
        <v/>
      </c>
      <c r="AU21" s="57">
        <f>IF(OR(1&gt;MAX(3,MIN(15,N($D$18))),IFERROR(LARGE('Calc (scoring engine)'!$K$5:$K$528,1),-999999)&lt;=-900000),"",IFERROR(IF(INDEX(Database!$AX$5:$AX$528,MATCH(LARGE('Calc (scoring engine)'!$K$5:$K$528,1),'Calc (scoring engine)'!$K$5:$K$528,0))="","—",INDEX(Database!$AX$5:$AX$528,MATCH(LARGE('Calc (scoring engine)'!$K$5:$K$528,1),'Calc (scoring engine)'!$K$5:$K$528,0))),""))</f>
        <v/>
      </c>
      <c r="AV21" s="57">
        <f>IF(OR(1&gt;MAX(3,MIN(15,N($D$18))),IFERROR(LARGE('Calc (scoring engine)'!$K$5:$K$528,1),-999999)&lt;=-900000),"",IFERROR(IF(INDEX(Database!$AY$5:$AY$528,MATCH(LARGE('Calc (scoring engine)'!$K$5:$K$528,1),'Calc (scoring engine)'!$K$5:$K$528,0))="","—",INDEX(Database!$AY$5:$AY$528,MATCH(LARGE('Calc (scoring engine)'!$K$5:$K$528,1),'Calc (scoring engine)'!$K$5:$K$528,0))),""))</f>
        <v/>
      </c>
      <c r="AW21" s="57">
        <f>IF(OR(1&gt;MAX(3,MIN(15,N($D$18))),IFERROR(LARGE('Calc (scoring engine)'!$K$5:$K$528,1),-999999)&lt;=-900000),"",IFERROR(IF(INDEX(Database!$AZ$5:$AZ$528,MATCH(LARGE('Calc (scoring engine)'!$K$5:$K$528,1),'Calc (scoring engine)'!$K$5:$K$528,0))="","—",INDEX(Database!$AZ$5:$AZ$528,MATCH(LARGE('Calc (scoring engine)'!$K$5:$K$528,1),'Calc (scoring engine)'!$K$5:$K$528,0))),""))</f>
        <v/>
      </c>
      <c r="AX21" s="57">
        <f>IF(OR(1&gt;MAX(3,MIN(15,N($D$18))),IFERROR(LARGE('Calc (scoring engine)'!$K$5:$K$528,1),-999999)&lt;=-900000),"",IFERROR(IF(INDEX(Database!$BA$5:$BA$528,MATCH(LARGE('Calc (scoring engine)'!$K$5:$K$528,1),'Calc (scoring engine)'!$K$5:$K$528,0))="","—",INDEX(Database!$BA$5:$BA$528,MATCH(LARGE('Calc (scoring engine)'!$K$5:$K$528,1),'Calc (scoring engine)'!$K$5:$K$528,0))),""))</f>
        <v/>
      </c>
      <c r="AY21" s="57">
        <f>IF(OR(1&gt;MAX(3,MIN(15,N($D$18))),IFERROR(LARGE('Calc (scoring engine)'!$K$5:$K$528,1),-999999)&lt;=-900000),"",IFERROR(IF(INDEX(Database!$BC$5:$BC$528,MATCH(LARGE('Calc (scoring engine)'!$K$5:$K$528,1),'Calc (scoring engine)'!$K$5:$K$528,0))="","—",INDEX(Database!$BC$5:$BC$528,MATCH(LARGE('Calc (scoring engine)'!$K$5:$K$528,1),'Calc (scoring engine)'!$K$5:$K$528,0))),""))</f>
        <v/>
      </c>
      <c r="AZ21" s="53">
        <f>IF(OR(1&gt;MAX(3,MIN(15,N($D$18))),IFERROR(LARGE('Calc (scoring engine)'!$K$5:$K$528,1),-999999)&lt;=-900000),"",IFERROR(IF(INDEX(Database!$BE$5:$BE$528,MATCH(LARGE('Calc (scoring engine)'!$K$5:$K$528,1),'Calc (scoring engine)'!$K$5:$K$528,0))="","—",INDEX(Database!$BE$5:$BE$528,MATCH(LARGE('Calc (scoring engine)'!$K$5:$K$528,1),'Calc (scoring engine)'!$K$5:$K$528,0))),""))</f>
        <v/>
      </c>
      <c r="BA21" s="53">
        <f>IF(OR(1&gt;MAX(3,MIN(15,N($D$18))),IFERROR(LARGE('Calc (scoring engine)'!$K$5:$K$528,1),-999999)&lt;=-900000),"",IFERROR(IF(INDEX(Database!$BF$5:$BF$528,MATCH(LARGE('Calc (scoring engine)'!$K$5:$K$528,1),'Calc (scoring engine)'!$K$5:$K$528,0))="","—",INDEX(Database!$BF$5:$BF$528,MATCH(LARGE('Calc (scoring engine)'!$K$5:$K$528,1),'Calc (scoring engine)'!$K$5:$K$528,0))),""))</f>
        <v/>
      </c>
      <c r="BB21" s="43">
        <f>IF(OR(1&gt;MAX(3,MIN(15,N($D$18))),IFERROR(LARGE('Calc (scoring engine)'!$K$5:$K$528,1),-999999)&lt;=-900000),"",IFERROR(IF(INDEX(Database!$BG$5:$BG$528,MATCH(LARGE('Calc (scoring engine)'!$K$5:$K$528,1),'Calc (scoring engine)'!$K$5:$K$528,0))="","—",INDEX(Database!$BG$5:$BG$528,MATCH(LARGE('Calc (scoring engine)'!$K$5:$K$528,1),'Calc (scoring engine)'!$K$5:$K$528,0))),""))</f>
        <v/>
      </c>
      <c r="BC21" s="58">
        <f>IF(OR(1&gt;MAX(3,MIN(15,N($D$18))),IFERROR(LARGE('Calc (scoring engine)'!$K$5:$K$528,1),-999999)&lt;=-900000),"",IFERROR(IF(N(INDEX(Database!$BH$5:$BH$528,MATCH(LARGE('Calc (scoring engine)'!$K$5:$K$528,1),'Calc (scoring engine)'!$K$5:$K$528,0)))&lt;=0,IF(INDEX(Database!$BG$5:$BG$528,MATCH(LARGE('Calc (scoring engine)'!$K$5:$K$528,1),'Calc (scoring engine)'!$K$5:$K$528,0))="N","n/m","—"),INDEX(Database!$BH$5:$BH$528,MATCH(LARGE('Calc (scoring engine)'!$K$5:$K$528,1),'Calc (scoring engine)'!$K$5:$K$528,0))),""))</f>
        <v/>
      </c>
      <c r="BD21" s="58">
        <f>IF(OR(1&gt;MAX(3,MIN(15,N($D$18))),IFERROR(LARGE('Calc (scoring engine)'!$K$5:$K$528,1),-999999)&lt;=-900000),"",IFERROR(IF(INDEX(Database!$BI$5:$BI$528,MATCH(LARGE('Calc (scoring engine)'!$K$5:$K$528,1),'Calc (scoring engine)'!$K$5:$K$528,0))="","—",INDEX(Database!$BI$5:$BI$528,MATCH(LARGE('Calc (scoring engine)'!$K$5:$K$528,1),'Calc (scoring engine)'!$K$5:$K$528,0))),""))</f>
        <v/>
      </c>
      <c r="BE21" s="58">
        <f>IF(OR(1&gt;MAX(3,MIN(15,N($D$18))),IFERROR(LARGE('Calc (scoring engine)'!$K$5:$K$528,1),-999999)&lt;=-900000),"",IFERROR(IF(INDEX(Database!$BJ$5:$BJ$528,MATCH(LARGE('Calc (scoring engine)'!$K$5:$K$528,1),'Calc (scoring engine)'!$K$5:$K$528,0))="","—",INDEX(Database!$BJ$5:$BJ$528,MATCH(LARGE('Calc (scoring engine)'!$K$5:$K$528,1),'Calc (scoring engine)'!$K$5:$K$528,0))),""))</f>
        <v/>
      </c>
      <c r="BF21" s="58">
        <f>IF(OR(1&gt;MAX(3,MIN(15,N($D$18))),IFERROR(LARGE('Calc (scoring engine)'!$K$5:$K$528,1),-999999)&lt;=-900000),"",IFERROR(IF(INDEX(Database!$BK$5:$BK$528,MATCH(LARGE('Calc (scoring engine)'!$K$5:$K$528,1),'Calc (scoring engine)'!$K$5:$K$528,0))="","—",INDEX(Database!$BK$5:$BK$528,MATCH(LARGE('Calc (scoring engine)'!$K$5:$K$528,1),'Calc (scoring engine)'!$K$5:$K$528,0))),""))</f>
        <v/>
      </c>
      <c r="BG21" s="58">
        <f>IF(OR(1&gt;MAX(3,MIN(15,N($D$18))),IFERROR(LARGE('Calc (scoring engine)'!$K$5:$K$528,1),-999999)&lt;=-900000),"",IFERROR(IF(INDEX(Database!$BL$5:$BL$528,MATCH(LARGE('Calc (scoring engine)'!$K$5:$K$528,1),'Calc (scoring engine)'!$K$5:$K$528,0))="","—",INDEX(Database!$BL$5:$BL$528,MATCH(LARGE('Calc (scoring engine)'!$K$5:$K$528,1),'Calc (scoring engine)'!$K$5:$K$528,0))),""))</f>
        <v/>
      </c>
      <c r="BH21" s="58">
        <f>IF(OR(1&gt;MAX(3,MIN(15,N($D$18))),IFERROR(LARGE('Calc (scoring engine)'!$K$5:$K$528,1),-999999)&lt;=-900000),"",IFERROR(IFERROR(BDP(TEXT(INDEX(Database!$A$5:$A$528,MATCH(LARGE('Calc (scoring engine)'!$K$5:$K$528,1),'Calc (scoring engine)'!$K$5:$K$528,0)),"0")&amp;" HK Equity","PE_RATIO"),IF(INDEX(Database!$BJ$5:$BJ$528,MATCH(LARGE('Calc (scoring engine)'!$K$5:$K$528,1),'Calc (scoring engine)'!$K$5:$K$528,0))="","—",INDEX(Database!$BJ$5:$BJ$528,MATCH(LARGE('Calc (scoring engine)'!$K$5:$K$528,1),'Calc (scoring engine)'!$K$5:$K$528,0)))),""))</f>
        <v/>
      </c>
      <c r="BI21" s="58">
        <f>IF(OR(1&gt;MAX(3,MIN(15,N($D$18))),IFERROR(LARGE('Calc (scoring engine)'!$K$5:$K$528,1),-999999)&lt;=-900000),"",IFERROR(IFERROR(BDP(TEXT(INDEX(Database!$A$5:$A$528,MATCH(LARGE('Calc (scoring engine)'!$K$5:$K$528,1),'Calc (scoring engine)'!$K$5:$K$528,0)),"0")&amp;" HK Equity","PX_TO_SALES_RATIO"),IF(INDEX(Database!$BK$5:$BK$528,MATCH(LARGE('Calc (scoring engine)'!$K$5:$K$528,1),'Calc (scoring engine)'!$K$5:$K$528,0))="","—",INDEX(Database!$BK$5:$BK$528,MATCH(LARGE('Calc (scoring engine)'!$K$5:$K$528,1),'Calc (scoring engine)'!$K$5:$K$528,0)))),""))</f>
        <v/>
      </c>
      <c r="BJ21" s="43">
        <f>IF(OR(1&gt;MAX(3,MIN(15,N($D$18))),IFERROR(LARGE('Calc (scoring engine)'!$K$5:$K$528,1),-999999)&lt;=-900000),"",IFERROR(IF(INDEX(Database!$BM$5:$BM$528,MATCH(LARGE('Calc (scoring engine)'!$K$5:$K$528,1),'Calc (scoring engine)'!$K$5:$K$528,0))="","—",INDEX(Database!$BM$5:$BM$528,MATCH(LARGE('Calc (scoring engine)'!$K$5:$K$528,1),'Calc (scoring engine)'!$K$5:$K$528,0))),""))</f>
        <v/>
      </c>
      <c r="BK21" s="43">
        <f>IF(OR(1&gt;MAX(3,MIN(15,N($D$18))),IFERROR(LARGE('Calc (scoring engine)'!$K$5:$K$528,1),-999999)&lt;=-900000),"",IFERROR(IF(INDEX(Database!$BN$5:$BN$528,MATCH(LARGE('Calc (scoring engine)'!$K$5:$K$528,1),'Calc (scoring engine)'!$K$5:$K$528,0))="","—",INDEX(Database!$BN$5:$BN$528,MATCH(LARGE('Calc (scoring engine)'!$K$5:$K$528,1),'Calc (scoring engine)'!$K$5:$K$528,0))),""))</f>
        <v/>
      </c>
      <c r="BL21" s="57">
        <f>IF(OR(1&gt;MAX(3,MIN(15,N($D$18))),IFERROR(LARGE('Calc (scoring engine)'!$K$5:$K$528,1),-999999)&lt;=-900000),"",IFERROR(IF(INDEX(Database!$BO$5:$BO$528,MATCH(LARGE('Calc (scoring engine)'!$K$5:$K$528,1),'Calc (scoring engine)'!$K$5:$K$528,0))="","—",INDEX(Database!$BO$5:$BO$528,MATCH(LARGE('Calc (scoring engine)'!$K$5:$K$528,1),'Calc (scoring engine)'!$K$5:$K$528,0))),""))</f>
        <v/>
      </c>
      <c r="BM21" s="85">
        <f>IF(OR(1&gt;MAX(3,MIN(15,N($D$18))),IFERROR(LARGE('Calc (scoring engine)'!$K$5:$K$528,1),-999999)&lt;=-900000),"",IFERROR(IF(INDEX(Database!$BP$5:$BP$528,MATCH(LARGE('Calc (scoring engine)'!$K$5:$K$528,1),'Calc (scoring engine)'!$K$5:$K$528,0))="","—",INDEX(Database!$BP$5:$BP$528,MATCH(LARGE('Calc (scoring engine)'!$K$5:$K$528,1),'Calc (scoring engine)'!$K$5:$K$528,0))),""))</f>
        <v/>
      </c>
      <c r="BN21" s="89">
        <f>IF(OR(1&gt;MAX(3,MIN(15,N($D$18))),IFERROR(LARGE('Calc (scoring engine)'!$K$5:$K$528,1),-999999)&lt;=-900000),"",IFERROR(IF(INDEX(Database!$BQ$5:$BQ$528,MATCH(LARGE('Calc (scoring engine)'!$K$5:$K$528,1),'Calc (scoring engine)'!$K$5:$K$528,0))="","—",INDEX(Database!$BQ$5:$BQ$528,MATCH(LARGE('Calc (scoring engine)'!$K$5:$K$528,1),'Calc (scoring engine)'!$K$5:$K$528,0))),""))</f>
        <v/>
      </c>
      <c r="BO21" s="53">
        <f>IF(OR(1&gt;MAX(3,MIN(15,N($D$18))),IFERROR(LARGE('Calc (scoring engine)'!$K$5:$K$528,1),-999999)&lt;=-900000),"",IFERROR(IF(INDEX(Database!$BR$5:$BR$528,MATCH(LARGE('Calc (scoring engine)'!$K$5:$K$528,1),'Calc (scoring engine)'!$K$5:$K$528,0))="","—",INDEX(Database!$BR$5:$BR$528,MATCH(LARGE('Calc (scoring engine)'!$K$5:$K$528,1),'Calc (scoring engine)'!$K$5:$K$528,0))),""))</f>
        <v/>
      </c>
      <c r="BP21" s="58">
        <f>IF(OR(1&gt;MAX(3,MIN(15,N($D$18))),IFERROR(LARGE('Calc (scoring engine)'!$K$5:$K$528,1),-999999)&lt;=-900000),"",IFERROR(IF(INDEX(Database!$BS$5:$BS$528,MATCH(LARGE('Calc (scoring engine)'!$K$5:$K$528,1),'Calc (scoring engine)'!$K$5:$K$528,0))="","—",INDEX(Database!$BS$5:$BS$528,MATCH(LARGE('Calc (scoring engine)'!$K$5:$K$528,1),'Calc (scoring engine)'!$K$5:$K$528,0))),""))</f>
        <v/>
      </c>
      <c r="BQ21" s="58">
        <f>IF(OR(1&gt;MAX(3,MIN(15,N($D$18))),IFERROR(LARGE('Calc (scoring engine)'!$K$5:$K$528,1),-999999)&lt;=-900000),"",IFERROR(IF(INDEX(Database!$BT$5:$BT$528,MATCH(LARGE('Calc (scoring engine)'!$K$5:$K$528,1),'Calc (scoring engine)'!$K$5:$K$528,0))="","—",INDEX(Database!$BT$5:$BT$528,MATCH(LARGE('Calc (scoring engine)'!$K$5:$K$528,1),'Calc (scoring engine)'!$K$5:$K$528,0))),""))</f>
        <v/>
      </c>
      <c r="BR21" s="43">
        <f>IF(OR(1&gt;MAX(3,MIN(15,N($D$18))),IFERROR(LARGE('Calc (scoring engine)'!$K$5:$K$528,1),-999999)&lt;=-900000),"",IFERROR(IF(INDEX(Database!$BU$5:$BU$528,MATCH(LARGE('Calc (scoring engine)'!$K$5:$K$528,1),'Calc (scoring engine)'!$K$5:$K$528,0))="","—",INDEX(Database!$BU$5:$BU$528,MATCH(LARGE('Calc (scoring engine)'!$K$5:$K$528,1),'Calc (scoring engine)'!$K$5:$K$528,0))),""))</f>
        <v/>
      </c>
      <c r="BS21" s="43">
        <f>IF(OR(1&gt;MAX(3,MIN(15,N($D$18))),IFERROR(LARGE('Calc (scoring engine)'!$K$5:$K$528,1),-999999)&lt;=-900000),"",IFERROR(IF(INDEX(Database!$BW$5:$BW$528,MATCH(LARGE('Calc (scoring engine)'!$K$5:$K$528,1),'Calc (scoring engine)'!$K$5:$K$528,0))="","—",INDEX(Database!$BW$5:$BW$528,MATCH(LARGE('Calc (scoring engine)'!$K$5:$K$528,1),'Calc (scoring engine)'!$K$5:$K$528,0))),""))</f>
        <v/>
      </c>
      <c r="BT21" s="88">
        <f>IF(OR(1&gt;MAX(3,MIN(15,N($D$18))),IFERROR(LARGE('Calc (scoring engine)'!$K$5:$K$528,1),-999999)&lt;=-900000),"",IFERROR(IF(INDEX('Calc (scoring engine)'!$H$5:$H$528,MATCH(LARGE('Calc (scoring engine)'!$K$5:$K$528,1),'Calc (scoring engine)'!$K$5:$K$528,0))&gt;0,INDEX('Calc (scoring engine)'!$H$5:$H$528,MATCH(LARGE('Calc (scoring engine)'!$K$5:$K$528,1),'Calc (scoring engine)'!$K$5:$K$528,0)),""),""))</f>
        <v/>
      </c>
      <c r="BU21" s="43">
        <f>IF(OR(1&gt;MAX(3,MIN(15,N($D$18))),IFERROR(LARGE('Calc (scoring engine)'!$K$5:$K$528,1),-999999)&lt;=-900000),"",IF(IFERROR(INDEX('Calc (scoring engine)'!$B$5:$B$528,MATCH(LARGE('Calc (scoring engine)'!$K$5:$K$528,1),'Calc (scoring engine)'!$K$5:$K$528,0)),0)=1,"same subsector","sector only"))</f>
        <v/>
      </c>
      <c r="BV21" s="88">
        <f>IF(OR(1&gt;MAX(3,MIN(15,N($D$18))),IFERROR(LARGE('Calc (scoring engine)'!$K$5:$K$528,1),-999999)&lt;=-900000),"",ROUND(IFERROR(LARGE('Calc (scoring engine)'!$K$5:$K$528,1),0),0))</f>
        <v/>
      </c>
      <c r="BW21" s="43">
        <f>IF(OR(1&gt;MAX(3,MIN(15,N($D$18))),IFERROR(LARGE('Calc (scoring engine)'!$K$5:$K$528,1),-999999)&lt;=-900000),"",IFERROR("sub "&amp;INDEX('Calc (scoring engine)'!$B$5:$B$528,MATCH(LARGE('Calc (scoring engine)'!$K$5:$K$528,1),'Calc (scoring engine)'!$K$5:$K$528,0))*W_SUB&amp;" + size "&amp;ROUND(INDEX('Calc (scoring engine)'!$D$5:$D$528,MATCH(LARGE('Calc (scoring engine)'!$K$5:$K$528,1),'Calc (scoring engine)'!$K$5:$K$528,0))*W_SIZE,0)&amp;" + prof "&amp;INDEX('Calc (scoring engine)'!$E$5:$E$528,MATCH(LARGE('Calc (scoring engine)'!$K$5:$K$528,1),'Calc (scoring engine)'!$K$5:$K$528,0))*W_PROF&amp;" + recency "&amp;ROUND(INDEX('Calc (scoring engine)'!$G$5:$G$528,MATCH(LARGE('Calc (scoring engine)'!$K$5:$K$528,1),'Calc (scoring engine)'!$K$5:$K$528,0))*W_REC,0)&amp;IF(INDEX('Calc (scoring engine)'!$H$5:$H$528,MATCH(LARGE('Calc (scoring engine)'!$K$5:$K$528,1),'Calc (scoring engine)'!$K$5:$K$528,0))&gt;0," + shared CS x"&amp;INDEX('Calc (scoring engine)'!$H$5:$H$528,MATCH(LARGE('Calc (scoring engine)'!$K$5:$K$528,1),'Calc (scoring engine)'!$K$5:$K$528,0)),""),""))</f>
        <v/>
      </c>
    </row>
    <row r="22">
      <c r="A22" s="83">
        <f>IF(OR(2&gt;MAX(3,MIN(15,N($D$18))),IFERROR(LARGE('Calc (scoring engine)'!$K$5:$K$528,2),-999999)&lt;=-900000),"",2)</f>
        <v/>
      </c>
      <c r="B22" s="43">
        <f>IF(OR(2&gt;MAX(3,MIN(15,N($D$18))),IFERROR(LARGE('Calc (scoring engine)'!$K$5:$K$528,2),-999999)&lt;=-900000),"",IFERROR(IF(INDEX(Database!$B$5:$B$528,MATCH(LARGE('Calc (scoring engine)'!$K$5:$K$528,2),'Calc (scoring engine)'!$K$5:$K$528,0))="","—",INDEX(Database!$B$5:$B$528,MATCH(LARGE('Calc (scoring engine)'!$K$5:$K$528,2),'Calc (scoring engine)'!$K$5:$K$528,0))),""))</f>
        <v/>
      </c>
      <c r="C22" s="84">
        <f>IF(OR(2&gt;MAX(3,MIN(15,N($D$18))),IFERROR(LARGE('Calc (scoring engine)'!$K$5:$K$528,2),-999999)&lt;=-900000),"",IFERROR(IF(INDEX(Database!$A$5:$A$528,MATCH(LARGE('Calc (scoring engine)'!$K$5:$K$528,2),'Calc (scoring engine)'!$K$5:$K$528,0))="","—",INDEX(Database!$A$5:$A$528,MATCH(LARGE('Calc (scoring engine)'!$K$5:$K$528,2),'Calc (scoring engine)'!$K$5:$K$528,0))),""))</f>
        <v/>
      </c>
      <c r="D22" s="43">
        <f>IF(OR(2&gt;MAX(3,MIN(15,N($D$18))),IFERROR(LARGE('Calc (scoring engine)'!$K$5:$K$528,2),-999999)&lt;=-900000),"",IFERROR(IF(INDEX(Database!$D$5:$D$528,MATCH(LARGE('Calc (scoring engine)'!$K$5:$K$528,2),'Calc (scoring engine)'!$K$5:$K$528,0))="","—",INDEX(Database!$D$5:$D$528,MATCH(LARGE('Calc (scoring engine)'!$K$5:$K$528,2),'Calc (scoring engine)'!$K$5:$K$528,0))),""))</f>
        <v/>
      </c>
      <c r="E22" s="43">
        <f>IF(OR(2&gt;MAX(3,MIN(15,N($D$18))),IFERROR(LARGE('Calc (scoring engine)'!$K$5:$K$528,2),-999999)&lt;=-900000),"",IFERROR(IF(INDEX(Database!$E$5:$E$528,MATCH(LARGE('Calc (scoring engine)'!$K$5:$K$528,2),'Calc (scoring engine)'!$K$5:$K$528,0))="","—",INDEX(Database!$E$5:$E$528,MATCH(LARGE('Calc (scoring engine)'!$K$5:$K$528,2),'Calc (scoring engine)'!$K$5:$K$528,0))),""))</f>
        <v/>
      </c>
      <c r="F22" s="43">
        <f>IF(OR(2&gt;MAX(3,MIN(15,N($D$18))),IFERROR(LARGE('Calc (scoring engine)'!$K$5:$K$528,2),-999999)&lt;=-900000),"",IFERROR(IF(INDEX(Database!$F$5:$F$528,MATCH(LARGE('Calc (scoring engine)'!$K$5:$K$528,2),'Calc (scoring engine)'!$K$5:$K$528,0))="","—",INDEX(Database!$F$5:$F$528,MATCH(LARGE('Calc (scoring engine)'!$K$5:$K$528,2),'Calc (scoring engine)'!$K$5:$K$528,0))),""))</f>
        <v/>
      </c>
      <c r="G22" s="43">
        <f>IF(OR(2&gt;MAX(3,MIN(15,N($D$18))),IFERROR(LARGE('Calc (scoring engine)'!$K$5:$K$528,2),-999999)&lt;=-900000),"",IFERROR(IF(INDEX(Database!$G$5:$G$528,MATCH(LARGE('Calc (scoring engine)'!$K$5:$K$528,2),'Calc (scoring engine)'!$K$5:$K$528,0))="","—",INDEX(Database!$G$5:$G$528,MATCH(LARGE('Calc (scoring engine)'!$K$5:$K$528,2),'Calc (scoring engine)'!$K$5:$K$528,0))),""))</f>
        <v/>
      </c>
      <c r="H22" s="55">
        <f>IF(OR(2&gt;MAX(3,MIN(15,N($D$18))),IFERROR(LARGE('Calc (scoring engine)'!$K$5:$K$528,2),-999999)&lt;=-900000),"",IFERROR(IF(INDEX(Database!$H$5:$H$528,MATCH(LARGE('Calc (scoring engine)'!$K$5:$K$528,2),'Calc (scoring engine)'!$K$5:$K$528,0))="","—",INDEX(Database!$H$5:$H$528,MATCH(LARGE('Calc (scoring engine)'!$K$5:$K$528,2),'Calc (scoring engine)'!$K$5:$K$528,0))),""))</f>
        <v/>
      </c>
      <c r="I22" s="53">
        <f>IF(OR(2&gt;MAX(3,MIN(15,N($D$18))),IFERROR(LARGE('Calc (scoring engine)'!$K$5:$K$528,2),-999999)&lt;=-900000),"",IFERROR(IF(INDEX(Database!$I$5:$I$528,MATCH(LARGE('Calc (scoring engine)'!$K$5:$K$528,2),'Calc (scoring engine)'!$K$5:$K$528,0))="","—",INDEX(Database!$I$5:$I$528,MATCH(LARGE('Calc (scoring engine)'!$K$5:$K$528,2),'Calc (scoring engine)'!$K$5:$K$528,0))),""))</f>
        <v/>
      </c>
      <c r="J22" s="85">
        <f>IF(OR(2&gt;MAX(3,MIN(15,N($D$18))),IFERROR(LARGE('Calc (scoring engine)'!$K$5:$K$528,2),-999999)&lt;=-900000),"",IFERROR(IF(INDEX(Database!$K$5:$K$528,MATCH(LARGE('Calc (scoring engine)'!$K$5:$K$528,2),'Calc (scoring engine)'!$K$5:$K$528,0))="","—",INDEX(Database!$K$5:$K$528,MATCH(LARGE('Calc (scoring engine)'!$K$5:$K$528,2),'Calc (scoring engine)'!$K$5:$K$528,0))),""))</f>
        <v/>
      </c>
      <c r="K22" s="85">
        <f>IF(OR(2&gt;MAX(3,MIN(15,N($D$18))),IFERROR(LARGE('Calc (scoring engine)'!$K$5:$K$528,2),-999999)&lt;=-900000),"",IFERROR(IF(INDEX(Database!$L$5:$L$528,MATCH(LARGE('Calc (scoring engine)'!$K$5:$K$528,2),'Calc (scoring engine)'!$K$5:$K$528,0))="","—",INDEX(Database!$L$5:$L$528,MATCH(LARGE('Calc (scoring engine)'!$K$5:$K$528,2),'Calc (scoring engine)'!$K$5:$K$528,0))),""))</f>
        <v/>
      </c>
      <c r="L22" s="85">
        <f>IF(OR(2&gt;MAX(3,MIN(15,N($D$18))),IFERROR(LARGE('Calc (scoring engine)'!$K$5:$K$528,2),-999999)&lt;=-900000),"",IFERROR(IF(INDEX(Database!$M$5:$M$528,MATCH(LARGE('Calc (scoring engine)'!$K$5:$K$528,2),'Calc (scoring engine)'!$K$5:$K$528,0))="","—",INDEX(Database!$M$5:$M$528,MATCH(LARGE('Calc (scoring engine)'!$K$5:$K$528,2),'Calc (scoring engine)'!$K$5:$K$528,0))),""))</f>
        <v/>
      </c>
      <c r="M22" s="43">
        <f>IF(OR(2&gt;MAX(3,MIN(15,N($D$18))),IFERROR(LARGE('Calc (scoring engine)'!$K$5:$K$528,2),-999999)&lt;=-900000),"",IFERROR(IF(INDEX(Database!$N$5:$N$528,MATCH(LARGE('Calc (scoring engine)'!$K$5:$K$528,2),'Calc (scoring engine)'!$K$5:$K$528,0))="","—",INDEX(Database!$N$5:$N$528,MATCH(LARGE('Calc (scoring engine)'!$K$5:$K$528,2),'Calc (scoring engine)'!$K$5:$K$528,0))),""))</f>
        <v/>
      </c>
      <c r="N22" s="65">
        <f>IF(OR(2&gt;MAX(3,MIN(15,N($D$18))),IFERROR(LARGE('Calc (scoring engine)'!$K$5:$K$528,2),-999999)&lt;=-900000),"",IFERROR(IF(INDEX(Database!$O$5:$O$528,MATCH(LARGE('Calc (scoring engine)'!$K$5:$K$528,2),'Calc (scoring engine)'!$K$5:$K$528,0))="","—",INDEX(Database!$O$5:$O$528,MATCH(LARGE('Calc (scoring engine)'!$K$5:$K$528,2),'Calc (scoring engine)'!$K$5:$K$528,0))),""))</f>
        <v/>
      </c>
      <c r="O22" s="65">
        <f>IF(OR(2&gt;MAX(3,MIN(15,N($D$18))),IFERROR(LARGE('Calc (scoring engine)'!$K$5:$K$528,2),-999999)&lt;=-900000),"",IFERROR(IF(INDEX(Database!$P$5:$P$528,MATCH(LARGE('Calc (scoring engine)'!$K$5:$K$528,2),'Calc (scoring engine)'!$K$5:$K$528,0))="","—",INDEX(Database!$P$5:$P$528,MATCH(LARGE('Calc (scoring engine)'!$K$5:$K$528,2),'Calc (scoring engine)'!$K$5:$K$528,0))),""))</f>
        <v/>
      </c>
      <c r="P22" s="53">
        <f>IF(OR(2&gt;MAX(3,MIN(15,N($D$18))),IFERROR(LARGE('Calc (scoring engine)'!$K$5:$K$528,2),-999999)&lt;=-900000),"",IFERROR(IF(INDEX(Database!$Q$5:$Q$528,MATCH(LARGE('Calc (scoring engine)'!$K$5:$K$528,2),'Calc (scoring engine)'!$K$5:$K$528,0))="","—",INDEX(Database!$Q$5:$Q$528,MATCH(LARGE('Calc (scoring engine)'!$K$5:$K$528,2),'Calc (scoring engine)'!$K$5:$K$528,0))),""))</f>
        <v/>
      </c>
      <c r="Q22" s="60">
        <f>IF(OR(2&gt;MAX(3,MIN(15,N($D$18))),IFERROR(LARGE('Calc (scoring engine)'!$K$5:$K$528,2),-999999)&lt;=-900000),"",IFERROR(IF(INDEX(Database!$S$5:$S$528,MATCH(LARGE('Calc (scoring engine)'!$K$5:$K$528,2),'Calc (scoring engine)'!$K$5:$K$528,0))="","—",INDEX(Database!$S$5:$S$528,MATCH(LARGE('Calc (scoring engine)'!$K$5:$K$528,2),'Calc (scoring engine)'!$K$5:$K$528,0))),""))</f>
        <v/>
      </c>
      <c r="R22" s="86">
        <f>IF(OR(2&gt;MAX(3,MIN(15,N($D$18))),IFERROR(LARGE('Calc (scoring engine)'!$K$5:$K$528,2),-999999)&lt;=-900000),"",IFERROR(IF(INDEX(Database!$T$5:$T$528,MATCH(LARGE('Calc (scoring engine)'!$K$5:$K$528,2),'Calc (scoring engine)'!$K$5:$K$528,0))="","—",INDEX(Database!$T$5:$T$528,MATCH(LARGE('Calc (scoring engine)'!$K$5:$K$528,2),'Calc (scoring engine)'!$K$5:$K$528,0))),""))</f>
        <v/>
      </c>
      <c r="S22" s="87">
        <f>IF(OR(2&gt;MAX(3,MIN(15,N($D$18))),IFERROR(LARGE('Calc (scoring engine)'!$K$5:$K$528,2),-999999)&lt;=-900000),"",IFERROR(IF(INDEX(Database!$U$5:$U$528,MATCH(LARGE('Calc (scoring engine)'!$K$5:$K$528,2),'Calc (scoring engine)'!$K$5:$K$528,0))="","—",INDEX(Database!$U$5:$U$528,MATCH(LARGE('Calc (scoring engine)'!$K$5:$K$528,2),'Calc (scoring engine)'!$K$5:$K$528,0))),""))</f>
        <v/>
      </c>
      <c r="T22" s="88">
        <f>IF(OR(2&gt;MAX(3,MIN(15,N($D$18))),IFERROR(LARGE('Calc (scoring engine)'!$K$5:$K$528,2),-999999)&lt;=-900000),"",IFERROR(IF(INDEX(Database!$V$5:$V$528,MATCH(LARGE('Calc (scoring engine)'!$K$5:$K$528,2),'Calc (scoring engine)'!$K$5:$K$528,0))="","—",INDEX(Database!$V$5:$V$528,MATCH(LARGE('Calc (scoring engine)'!$K$5:$K$528,2),'Calc (scoring engine)'!$K$5:$K$528,0))),""))</f>
        <v/>
      </c>
      <c r="U22" s="65">
        <f>IF(OR(2&gt;MAX(3,MIN(15,N($D$18))),IFERROR(LARGE('Calc (scoring engine)'!$K$5:$K$528,2),-999999)&lt;=-900000),"",IFERROR(IF(INDEX(Database!$W$5:$W$528,MATCH(LARGE('Calc (scoring engine)'!$K$5:$K$528,2),'Calc (scoring engine)'!$K$5:$K$528,0))="","—",INDEX(Database!$W$5:$W$528,MATCH(LARGE('Calc (scoring engine)'!$K$5:$K$528,2),'Calc (scoring engine)'!$K$5:$K$528,0))),""))</f>
        <v/>
      </c>
      <c r="V22" s="43">
        <f>IF(OR(2&gt;MAX(3,MIN(15,N($D$18))),IFERROR(LARGE('Calc (scoring engine)'!$K$5:$K$528,2),-999999)&lt;=-900000),"",IFERROR(IF(INDEX(Database!$X$5:$X$528,MATCH(LARGE('Calc (scoring engine)'!$K$5:$K$528,2),'Calc (scoring engine)'!$K$5:$K$528,0))="","—",INDEX(Database!$X$5:$X$528,MATCH(LARGE('Calc (scoring engine)'!$K$5:$K$528,2),'Calc (scoring engine)'!$K$5:$K$528,0))),""))</f>
        <v/>
      </c>
      <c r="W22" s="53">
        <f>IF(OR(2&gt;MAX(3,MIN(15,N($D$18))),IFERROR(LARGE('Calc (scoring engine)'!$K$5:$K$528,2),-999999)&lt;=-900000),"",IFERROR(IF(INDEX(Database!$Y$5:$Y$528,MATCH(LARGE('Calc (scoring engine)'!$K$5:$K$528,2),'Calc (scoring engine)'!$K$5:$K$528,0))="","—",INDEX(Database!$Y$5:$Y$528,MATCH(LARGE('Calc (scoring engine)'!$K$5:$K$528,2),'Calc (scoring engine)'!$K$5:$K$528,0))),""))</f>
        <v/>
      </c>
      <c r="X22" s="53">
        <f>IF(OR(2&gt;MAX(3,MIN(15,N($D$18))),IFERROR(LARGE('Calc (scoring engine)'!$K$5:$K$528,2),-999999)&lt;=-900000),"",IFERROR(IF(INDEX(Database!$Z$5:$Z$528,MATCH(LARGE('Calc (scoring engine)'!$K$5:$K$528,2),'Calc (scoring engine)'!$K$5:$K$528,0))="","—",INDEX(Database!$Z$5:$Z$528,MATCH(LARGE('Calc (scoring engine)'!$K$5:$K$528,2),'Calc (scoring engine)'!$K$5:$K$528,0))),""))</f>
        <v/>
      </c>
      <c r="Y22" s="65">
        <f>IF(OR(2&gt;MAX(3,MIN(15,N($D$18))),IFERROR(LARGE('Calc (scoring engine)'!$K$5:$K$528,2),-999999)&lt;=-900000),"",IFERROR(IF(INDEX(Database!$AA$5:$AA$528,MATCH(LARGE('Calc (scoring engine)'!$K$5:$K$528,2),'Calc (scoring engine)'!$K$5:$K$528,0))="","—",INDEX(Database!$AA$5:$AA$528,MATCH(LARGE('Calc (scoring engine)'!$K$5:$K$528,2),'Calc (scoring engine)'!$K$5:$K$528,0))),""))</f>
        <v/>
      </c>
      <c r="Z22" s="43">
        <f>IF(OR(2&gt;MAX(3,MIN(15,N($D$18))),IFERROR(LARGE('Calc (scoring engine)'!$K$5:$K$528,2),-999999)&lt;=-900000),"",IFERROR(IF(INDEX(Database!$AB$5:$AB$528,MATCH(LARGE('Calc (scoring engine)'!$K$5:$K$528,2),'Calc (scoring engine)'!$K$5:$K$528,0))="","—",INDEX(Database!$AB$5:$AB$528,MATCH(LARGE('Calc (scoring engine)'!$K$5:$K$528,2),'Calc (scoring engine)'!$K$5:$K$528,0))),""))</f>
        <v/>
      </c>
      <c r="AA22" s="65">
        <f>IF(OR(2&gt;MAX(3,MIN(15,N($D$18))),IFERROR(LARGE('Calc (scoring engine)'!$K$5:$K$528,2),-999999)&lt;=-900000),"",IFERROR(IF(INDEX(Database!$AD$5:$AD$528,MATCH(LARGE('Calc (scoring engine)'!$K$5:$K$528,2),'Calc (scoring engine)'!$K$5:$K$528,0))="","—",INDEX(Database!$AD$5:$AD$528,MATCH(LARGE('Calc (scoring engine)'!$K$5:$K$528,2),'Calc (scoring engine)'!$K$5:$K$528,0))),""))</f>
        <v/>
      </c>
      <c r="AB22" s="43">
        <f>IF(OR(2&gt;MAX(3,MIN(15,N($D$18))),IFERROR(LARGE('Calc (scoring engine)'!$K$5:$K$528,2),-999999)&lt;=-900000),"",IFERROR(IF(INDEX(Database!$AE$5:$AE$528,MATCH(LARGE('Calc (scoring engine)'!$K$5:$K$528,2),'Calc (scoring engine)'!$K$5:$K$528,0))="","—",INDEX(Database!$AE$5:$AE$528,MATCH(LARGE('Calc (scoring engine)'!$K$5:$K$528,2),'Calc (scoring engine)'!$K$5:$K$528,0))),""))</f>
        <v/>
      </c>
      <c r="AC22" s="43">
        <f>IF(OR(2&gt;MAX(3,MIN(15,N($D$18))),IFERROR(LARGE('Calc (scoring engine)'!$K$5:$K$528,2),-999999)&lt;=-900000),"",IFERROR(IF(INDEX(Database!$AF$5:$AF$528,MATCH(LARGE('Calc (scoring engine)'!$K$5:$K$528,2),'Calc (scoring engine)'!$K$5:$K$528,0))="","—",INDEX(Database!$AF$5:$AF$528,MATCH(LARGE('Calc (scoring engine)'!$K$5:$K$528,2),'Calc (scoring engine)'!$K$5:$K$528,0))),""))</f>
        <v/>
      </c>
      <c r="AD22" s="43">
        <f>IF(OR(2&gt;MAX(3,MIN(15,N($D$18))),IFERROR(LARGE('Calc (scoring engine)'!$K$5:$K$528,2),-999999)&lt;=-900000),"",IFERROR(IF(INDEX(Database!$AG$5:$AG$528,MATCH(LARGE('Calc (scoring engine)'!$K$5:$K$528,2),'Calc (scoring engine)'!$K$5:$K$528,0))="","—",INDEX(Database!$AG$5:$AG$528,MATCH(LARGE('Calc (scoring engine)'!$K$5:$K$528,2),'Calc (scoring engine)'!$K$5:$K$528,0))),""))</f>
        <v/>
      </c>
      <c r="AE22" s="43">
        <f>IF(OR(2&gt;MAX(3,MIN(15,N($D$18))),IFERROR(LARGE('Calc (scoring engine)'!$K$5:$K$528,2),-999999)&lt;=-900000),"",IFERROR(IF(INDEX(Database!$AH$5:$AH$528,MATCH(LARGE('Calc (scoring engine)'!$K$5:$K$528,2),'Calc (scoring engine)'!$K$5:$K$528,0))="","—",INDEX(Database!$AH$5:$AH$528,MATCH(LARGE('Calc (scoring engine)'!$K$5:$K$528,2),'Calc (scoring engine)'!$K$5:$K$528,0))),""))</f>
        <v/>
      </c>
      <c r="AF22" s="57">
        <f>IF(OR(2&gt;MAX(3,MIN(15,N($D$18))),IFERROR(LARGE('Calc (scoring engine)'!$K$5:$K$528,2),-999999)&lt;=-900000),"",IFERROR(IF(INDEX(Database!$AI$5:$AI$528,MATCH(LARGE('Calc (scoring engine)'!$K$5:$K$528,2),'Calc (scoring engine)'!$K$5:$K$528,0))="","—",INDEX(Database!$AI$5:$AI$528,MATCH(LARGE('Calc (scoring engine)'!$K$5:$K$528,2),'Calc (scoring engine)'!$K$5:$K$528,0))),""))</f>
        <v/>
      </c>
      <c r="AG22" s="57">
        <f>IF(OR(2&gt;MAX(3,MIN(15,N($D$18))),IFERROR(LARGE('Calc (scoring engine)'!$K$5:$K$528,2),-999999)&lt;=-900000),"",IFERROR(IF(INDEX(Database!$AJ$5:$AJ$528,MATCH(LARGE('Calc (scoring engine)'!$K$5:$K$528,2),'Calc (scoring engine)'!$K$5:$K$528,0))="","—",INDEX(Database!$AJ$5:$AJ$528,MATCH(LARGE('Calc (scoring engine)'!$K$5:$K$528,2),'Calc (scoring engine)'!$K$5:$K$528,0))),""))</f>
        <v/>
      </c>
      <c r="AH22" s="57">
        <f>IF(OR(2&gt;MAX(3,MIN(15,N($D$18))),IFERROR(LARGE('Calc (scoring engine)'!$K$5:$K$528,2),-999999)&lt;=-900000),"",IFERROR(IF(INDEX(Database!$AK$5:$AK$528,MATCH(LARGE('Calc (scoring engine)'!$K$5:$K$528,2),'Calc (scoring engine)'!$K$5:$K$528,0))="","—",INDEX(Database!$AK$5:$AK$528,MATCH(LARGE('Calc (scoring engine)'!$K$5:$K$528,2),'Calc (scoring engine)'!$K$5:$K$528,0))),""))</f>
        <v/>
      </c>
      <c r="AI22" s="57">
        <f>IF(OR(2&gt;MAX(3,MIN(15,N($D$18))),IFERROR(LARGE('Calc (scoring engine)'!$K$5:$K$528,2),-999999)&lt;=-900000),"",IFERROR(IF(INDEX(Database!$AL$5:$AL$528,MATCH(LARGE('Calc (scoring engine)'!$K$5:$K$528,2),'Calc (scoring engine)'!$K$5:$K$528,0))="","—",INDEX(Database!$AL$5:$AL$528,MATCH(LARGE('Calc (scoring engine)'!$K$5:$K$528,2),'Calc (scoring engine)'!$K$5:$K$528,0))),""))</f>
        <v/>
      </c>
      <c r="AJ22" s="57">
        <f>IF(OR(2&gt;MAX(3,MIN(15,N($D$18))),IFERROR(LARGE('Calc (scoring engine)'!$K$5:$K$528,2),-999999)&lt;=-900000),"",IFERROR(IF(INDEX(Database!$AM$5:$AM$528,MATCH(LARGE('Calc (scoring engine)'!$K$5:$K$528,2),'Calc (scoring engine)'!$K$5:$K$528,0))="","—",INDEX(Database!$AM$5:$AM$528,MATCH(LARGE('Calc (scoring engine)'!$K$5:$K$528,2),'Calc (scoring engine)'!$K$5:$K$528,0))),""))</f>
        <v/>
      </c>
      <c r="AK22" s="58">
        <f>IF(OR(2&gt;MAX(3,MIN(15,N($D$18))),IFERROR(LARGE('Calc (scoring engine)'!$K$5:$K$528,2),-999999)&lt;=-900000),"",IFERROR(IF(INDEX(Database!$AN$5:$AN$528,MATCH(LARGE('Calc (scoring engine)'!$K$5:$K$528,2),'Calc (scoring engine)'!$K$5:$K$528,0))="","—",INDEX(Database!$AN$5:$AN$528,MATCH(LARGE('Calc (scoring engine)'!$K$5:$K$528,2),'Calc (scoring engine)'!$K$5:$K$528,0))),""))</f>
        <v/>
      </c>
      <c r="AL22" s="65">
        <f>IF(OR(2&gt;MAX(3,MIN(15,N($D$18))),IFERROR(LARGE('Calc (scoring engine)'!$K$5:$K$528,2),-999999)&lt;=-900000),"",IFERROR(IF(INDEX(Database!$AO$5:$AO$528,MATCH(LARGE('Calc (scoring engine)'!$K$5:$K$528,2),'Calc (scoring engine)'!$K$5:$K$528,0))="","—",INDEX(Database!$AO$5:$AO$528,MATCH(LARGE('Calc (scoring engine)'!$K$5:$K$528,2),'Calc (scoring engine)'!$K$5:$K$528,0))),""))</f>
        <v/>
      </c>
      <c r="AM22" s="57">
        <f>IF(OR(2&gt;MAX(3,MIN(15,N($D$18))),IFERROR(LARGE('Calc (scoring engine)'!$K$5:$K$528,2),-999999)&lt;=-900000),"",IFERROR(IF(INDEX(Database!$AP$5:$AP$528,MATCH(LARGE('Calc (scoring engine)'!$K$5:$K$528,2),'Calc (scoring engine)'!$K$5:$K$528,0))="","—",INDEX(Database!$AP$5:$AP$528,MATCH(LARGE('Calc (scoring engine)'!$K$5:$K$528,2),'Calc (scoring engine)'!$K$5:$K$528,0))),""))</f>
        <v/>
      </c>
      <c r="AN22" s="57">
        <f>IF(OR(2&gt;MAX(3,MIN(15,N($D$18))),IFERROR(LARGE('Calc (scoring engine)'!$K$5:$K$528,2),-999999)&lt;=-900000),"",IFERROR(IF(INDEX(Database!$AQ$5:$AQ$528,MATCH(LARGE('Calc (scoring engine)'!$K$5:$K$528,2),'Calc (scoring engine)'!$K$5:$K$528,0))="","—",INDEX(Database!$AQ$5:$AQ$528,MATCH(LARGE('Calc (scoring engine)'!$K$5:$K$528,2),'Calc (scoring engine)'!$K$5:$K$528,0))),""))</f>
        <v/>
      </c>
      <c r="AO22" s="57">
        <f>IF(OR(2&gt;MAX(3,MIN(15,N($D$18))),IFERROR(LARGE('Calc (scoring engine)'!$K$5:$K$528,2),-999999)&lt;=-900000),"",IFERROR(IF(INDEX(Database!$AR$5:$AR$528,MATCH(LARGE('Calc (scoring engine)'!$K$5:$K$528,2),'Calc (scoring engine)'!$K$5:$K$528,0))="","—",INDEX(Database!$AR$5:$AR$528,MATCH(LARGE('Calc (scoring engine)'!$K$5:$K$528,2),'Calc (scoring engine)'!$K$5:$K$528,0))),""))</f>
        <v/>
      </c>
      <c r="AP22" s="57">
        <f>IF(OR(2&gt;MAX(3,MIN(15,N($D$18))),IFERROR(LARGE('Calc (scoring engine)'!$K$5:$K$528,2),-999999)&lt;=-900000),"",IFERROR(IF(INDEX(Database!$AS$5:$AS$528,MATCH(LARGE('Calc (scoring engine)'!$K$5:$K$528,2),'Calc (scoring engine)'!$K$5:$K$528,0))="","—",INDEX(Database!$AS$5:$AS$528,MATCH(LARGE('Calc (scoring engine)'!$K$5:$K$528,2),'Calc (scoring engine)'!$K$5:$K$528,0))),""))</f>
        <v/>
      </c>
      <c r="AQ22" s="57">
        <f>IF(OR(2&gt;MAX(3,MIN(15,N($D$18))),IFERROR(LARGE('Calc (scoring engine)'!$K$5:$K$528,2),-999999)&lt;=-900000),"",IFERROR(IF(INDEX(Database!$AT$5:$AT$528,MATCH(LARGE('Calc (scoring engine)'!$K$5:$K$528,2),'Calc (scoring engine)'!$K$5:$K$528,0))="","—",INDEX(Database!$AT$5:$AT$528,MATCH(LARGE('Calc (scoring engine)'!$K$5:$K$528,2),'Calc (scoring engine)'!$K$5:$K$528,0))),""))</f>
        <v/>
      </c>
      <c r="AR22" s="57">
        <f>IF(OR(2&gt;MAX(3,MIN(15,N($D$18))),IFERROR(LARGE('Calc (scoring engine)'!$K$5:$K$528,2),-999999)&lt;=-900000),"",IFERROR(IF(INDEX(Database!$AU$5:$AU$528,MATCH(LARGE('Calc (scoring engine)'!$K$5:$K$528,2),'Calc (scoring engine)'!$K$5:$K$528,0))="","—",INDEX(Database!$AU$5:$AU$528,MATCH(LARGE('Calc (scoring engine)'!$K$5:$K$528,2),'Calc (scoring engine)'!$K$5:$K$528,0))),""))</f>
        <v/>
      </c>
      <c r="AS22" s="57">
        <f>IF(OR(2&gt;MAX(3,MIN(15,N($D$18))),IFERROR(LARGE('Calc (scoring engine)'!$K$5:$K$528,2),-999999)&lt;=-900000),"",IFERROR(IF(INDEX(Database!$AV$5:$AV$528,MATCH(LARGE('Calc (scoring engine)'!$K$5:$K$528,2),'Calc (scoring engine)'!$K$5:$K$528,0))="","—",INDEX(Database!$AV$5:$AV$528,MATCH(LARGE('Calc (scoring engine)'!$K$5:$K$528,2),'Calc (scoring engine)'!$K$5:$K$528,0))),""))</f>
        <v/>
      </c>
      <c r="AT22" s="57">
        <f>IF(OR(2&gt;MAX(3,MIN(15,N($D$18))),IFERROR(LARGE('Calc (scoring engine)'!$K$5:$K$528,2),-999999)&lt;=-900000),"",IFERROR(IF(INDEX(Database!$AW$5:$AW$528,MATCH(LARGE('Calc (scoring engine)'!$K$5:$K$528,2),'Calc (scoring engine)'!$K$5:$K$528,0))="","—",INDEX(Database!$AW$5:$AW$528,MATCH(LARGE('Calc (scoring engine)'!$K$5:$K$528,2),'Calc (scoring engine)'!$K$5:$K$528,0))),""))</f>
        <v/>
      </c>
      <c r="AU22" s="57">
        <f>IF(OR(2&gt;MAX(3,MIN(15,N($D$18))),IFERROR(LARGE('Calc (scoring engine)'!$K$5:$K$528,2),-999999)&lt;=-900000),"",IFERROR(IF(INDEX(Database!$AX$5:$AX$528,MATCH(LARGE('Calc (scoring engine)'!$K$5:$K$528,2),'Calc (scoring engine)'!$K$5:$K$528,0))="","—",INDEX(Database!$AX$5:$AX$528,MATCH(LARGE('Calc (scoring engine)'!$K$5:$K$528,2),'Calc (scoring engine)'!$K$5:$K$528,0))),""))</f>
        <v/>
      </c>
      <c r="AV22" s="57">
        <f>IF(OR(2&gt;MAX(3,MIN(15,N($D$18))),IFERROR(LARGE('Calc (scoring engine)'!$K$5:$K$528,2),-999999)&lt;=-900000),"",IFERROR(IF(INDEX(Database!$AY$5:$AY$528,MATCH(LARGE('Calc (scoring engine)'!$K$5:$K$528,2),'Calc (scoring engine)'!$K$5:$K$528,0))="","—",INDEX(Database!$AY$5:$AY$528,MATCH(LARGE('Calc (scoring engine)'!$K$5:$K$528,2),'Calc (scoring engine)'!$K$5:$K$528,0))),""))</f>
        <v/>
      </c>
      <c r="AW22" s="57">
        <f>IF(OR(2&gt;MAX(3,MIN(15,N($D$18))),IFERROR(LARGE('Calc (scoring engine)'!$K$5:$K$528,2),-999999)&lt;=-900000),"",IFERROR(IF(INDEX(Database!$AZ$5:$AZ$528,MATCH(LARGE('Calc (scoring engine)'!$K$5:$K$528,2),'Calc (scoring engine)'!$K$5:$K$528,0))="","—",INDEX(Database!$AZ$5:$AZ$528,MATCH(LARGE('Calc (scoring engine)'!$K$5:$K$528,2),'Calc (scoring engine)'!$K$5:$K$528,0))),""))</f>
        <v/>
      </c>
      <c r="AX22" s="57">
        <f>IF(OR(2&gt;MAX(3,MIN(15,N($D$18))),IFERROR(LARGE('Calc (scoring engine)'!$K$5:$K$528,2),-999999)&lt;=-900000),"",IFERROR(IF(INDEX(Database!$BA$5:$BA$528,MATCH(LARGE('Calc (scoring engine)'!$K$5:$K$528,2),'Calc (scoring engine)'!$K$5:$K$528,0))="","—",INDEX(Database!$BA$5:$BA$528,MATCH(LARGE('Calc (scoring engine)'!$K$5:$K$528,2),'Calc (scoring engine)'!$K$5:$K$528,0))),""))</f>
        <v/>
      </c>
      <c r="AY22" s="57">
        <f>IF(OR(2&gt;MAX(3,MIN(15,N($D$18))),IFERROR(LARGE('Calc (scoring engine)'!$K$5:$K$528,2),-999999)&lt;=-900000),"",IFERROR(IF(INDEX(Database!$BC$5:$BC$528,MATCH(LARGE('Calc (scoring engine)'!$K$5:$K$528,2),'Calc (scoring engine)'!$K$5:$K$528,0))="","—",INDEX(Database!$BC$5:$BC$528,MATCH(LARGE('Calc (scoring engine)'!$K$5:$K$528,2),'Calc (scoring engine)'!$K$5:$K$528,0))),""))</f>
        <v/>
      </c>
      <c r="AZ22" s="53">
        <f>IF(OR(2&gt;MAX(3,MIN(15,N($D$18))),IFERROR(LARGE('Calc (scoring engine)'!$K$5:$K$528,2),-999999)&lt;=-900000),"",IFERROR(IF(INDEX(Database!$BE$5:$BE$528,MATCH(LARGE('Calc (scoring engine)'!$K$5:$K$528,2),'Calc (scoring engine)'!$K$5:$K$528,0))="","—",INDEX(Database!$BE$5:$BE$528,MATCH(LARGE('Calc (scoring engine)'!$K$5:$K$528,2),'Calc (scoring engine)'!$K$5:$K$528,0))),""))</f>
        <v/>
      </c>
      <c r="BA22" s="53">
        <f>IF(OR(2&gt;MAX(3,MIN(15,N($D$18))),IFERROR(LARGE('Calc (scoring engine)'!$K$5:$K$528,2),-999999)&lt;=-900000),"",IFERROR(IF(INDEX(Database!$BF$5:$BF$528,MATCH(LARGE('Calc (scoring engine)'!$K$5:$K$528,2),'Calc (scoring engine)'!$K$5:$K$528,0))="","—",INDEX(Database!$BF$5:$BF$528,MATCH(LARGE('Calc (scoring engine)'!$K$5:$K$528,2),'Calc (scoring engine)'!$K$5:$K$528,0))),""))</f>
        <v/>
      </c>
      <c r="BB22" s="43">
        <f>IF(OR(2&gt;MAX(3,MIN(15,N($D$18))),IFERROR(LARGE('Calc (scoring engine)'!$K$5:$K$528,2),-999999)&lt;=-900000),"",IFERROR(IF(INDEX(Database!$BG$5:$BG$528,MATCH(LARGE('Calc (scoring engine)'!$K$5:$K$528,2),'Calc (scoring engine)'!$K$5:$K$528,0))="","—",INDEX(Database!$BG$5:$BG$528,MATCH(LARGE('Calc (scoring engine)'!$K$5:$K$528,2),'Calc (scoring engine)'!$K$5:$K$528,0))),""))</f>
        <v/>
      </c>
      <c r="BC22" s="58">
        <f>IF(OR(2&gt;MAX(3,MIN(15,N($D$18))),IFERROR(LARGE('Calc (scoring engine)'!$K$5:$K$528,2),-999999)&lt;=-900000),"",IFERROR(IF(N(INDEX(Database!$BH$5:$BH$528,MATCH(LARGE('Calc (scoring engine)'!$K$5:$K$528,2),'Calc (scoring engine)'!$K$5:$K$528,0)))&lt;=0,IF(INDEX(Database!$BG$5:$BG$528,MATCH(LARGE('Calc (scoring engine)'!$K$5:$K$528,2),'Calc (scoring engine)'!$K$5:$K$528,0))="N","n/m","—"),INDEX(Database!$BH$5:$BH$528,MATCH(LARGE('Calc (scoring engine)'!$K$5:$K$528,2),'Calc (scoring engine)'!$K$5:$K$528,0))),""))</f>
        <v/>
      </c>
      <c r="BD22" s="58">
        <f>IF(OR(2&gt;MAX(3,MIN(15,N($D$18))),IFERROR(LARGE('Calc (scoring engine)'!$K$5:$K$528,2),-999999)&lt;=-900000),"",IFERROR(IF(INDEX(Database!$BI$5:$BI$528,MATCH(LARGE('Calc (scoring engine)'!$K$5:$K$528,2),'Calc (scoring engine)'!$K$5:$K$528,0))="","—",INDEX(Database!$BI$5:$BI$528,MATCH(LARGE('Calc (scoring engine)'!$K$5:$K$528,2),'Calc (scoring engine)'!$K$5:$K$528,0))),""))</f>
        <v/>
      </c>
      <c r="BE22" s="58">
        <f>IF(OR(2&gt;MAX(3,MIN(15,N($D$18))),IFERROR(LARGE('Calc (scoring engine)'!$K$5:$K$528,2),-999999)&lt;=-900000),"",IFERROR(IF(INDEX(Database!$BJ$5:$BJ$528,MATCH(LARGE('Calc (scoring engine)'!$K$5:$K$528,2),'Calc (scoring engine)'!$K$5:$K$528,0))="","—",INDEX(Database!$BJ$5:$BJ$528,MATCH(LARGE('Calc (scoring engine)'!$K$5:$K$528,2),'Calc (scoring engine)'!$K$5:$K$528,0))),""))</f>
        <v/>
      </c>
      <c r="BF22" s="58">
        <f>IF(OR(2&gt;MAX(3,MIN(15,N($D$18))),IFERROR(LARGE('Calc (scoring engine)'!$K$5:$K$528,2),-999999)&lt;=-900000),"",IFERROR(IF(INDEX(Database!$BK$5:$BK$528,MATCH(LARGE('Calc (scoring engine)'!$K$5:$K$528,2),'Calc (scoring engine)'!$K$5:$K$528,0))="","—",INDEX(Database!$BK$5:$BK$528,MATCH(LARGE('Calc (scoring engine)'!$K$5:$K$528,2),'Calc (scoring engine)'!$K$5:$K$528,0))),""))</f>
        <v/>
      </c>
      <c r="BG22" s="58">
        <f>IF(OR(2&gt;MAX(3,MIN(15,N($D$18))),IFERROR(LARGE('Calc (scoring engine)'!$K$5:$K$528,2),-999999)&lt;=-900000),"",IFERROR(IF(INDEX(Database!$BL$5:$BL$528,MATCH(LARGE('Calc (scoring engine)'!$K$5:$K$528,2),'Calc (scoring engine)'!$K$5:$K$528,0))="","—",INDEX(Database!$BL$5:$BL$528,MATCH(LARGE('Calc (scoring engine)'!$K$5:$K$528,2),'Calc (scoring engine)'!$K$5:$K$528,0))),""))</f>
        <v/>
      </c>
      <c r="BH22" s="58">
        <f>IF(OR(2&gt;MAX(3,MIN(15,N($D$18))),IFERROR(LARGE('Calc (scoring engine)'!$K$5:$K$528,2),-999999)&lt;=-900000),"",IFERROR(IFERROR(BDP(TEXT(INDEX(Database!$A$5:$A$528,MATCH(LARGE('Calc (scoring engine)'!$K$5:$K$528,2),'Calc (scoring engine)'!$K$5:$K$528,0)),"0")&amp;" HK Equity","PE_RATIO"),IF(INDEX(Database!$BJ$5:$BJ$528,MATCH(LARGE('Calc (scoring engine)'!$K$5:$K$528,2),'Calc (scoring engine)'!$K$5:$K$528,0))="","—",INDEX(Database!$BJ$5:$BJ$528,MATCH(LARGE('Calc (scoring engine)'!$K$5:$K$528,2),'Calc (scoring engine)'!$K$5:$K$528,0)))),""))</f>
        <v/>
      </c>
      <c r="BI22" s="58">
        <f>IF(OR(2&gt;MAX(3,MIN(15,N($D$18))),IFERROR(LARGE('Calc (scoring engine)'!$K$5:$K$528,2),-999999)&lt;=-900000),"",IFERROR(IFERROR(BDP(TEXT(INDEX(Database!$A$5:$A$528,MATCH(LARGE('Calc (scoring engine)'!$K$5:$K$528,2),'Calc (scoring engine)'!$K$5:$K$528,0)),"0")&amp;" HK Equity","PX_TO_SALES_RATIO"),IF(INDEX(Database!$BK$5:$BK$528,MATCH(LARGE('Calc (scoring engine)'!$K$5:$K$528,2),'Calc (scoring engine)'!$K$5:$K$528,0))="","—",INDEX(Database!$BK$5:$BK$528,MATCH(LARGE('Calc (scoring engine)'!$K$5:$K$528,2),'Calc (scoring engine)'!$K$5:$K$528,0)))),""))</f>
        <v/>
      </c>
      <c r="BJ22" s="43">
        <f>IF(OR(2&gt;MAX(3,MIN(15,N($D$18))),IFERROR(LARGE('Calc (scoring engine)'!$K$5:$K$528,2),-999999)&lt;=-900000),"",IFERROR(IF(INDEX(Database!$BM$5:$BM$528,MATCH(LARGE('Calc (scoring engine)'!$K$5:$K$528,2),'Calc (scoring engine)'!$K$5:$K$528,0))="","—",INDEX(Database!$BM$5:$BM$528,MATCH(LARGE('Calc (scoring engine)'!$K$5:$K$528,2),'Calc (scoring engine)'!$K$5:$K$528,0))),""))</f>
        <v/>
      </c>
      <c r="BK22" s="43">
        <f>IF(OR(2&gt;MAX(3,MIN(15,N($D$18))),IFERROR(LARGE('Calc (scoring engine)'!$K$5:$K$528,2),-999999)&lt;=-900000),"",IFERROR(IF(INDEX(Database!$BN$5:$BN$528,MATCH(LARGE('Calc (scoring engine)'!$K$5:$K$528,2),'Calc (scoring engine)'!$K$5:$K$528,0))="","—",INDEX(Database!$BN$5:$BN$528,MATCH(LARGE('Calc (scoring engine)'!$K$5:$K$528,2),'Calc (scoring engine)'!$K$5:$K$528,0))),""))</f>
        <v/>
      </c>
      <c r="BL22" s="57">
        <f>IF(OR(2&gt;MAX(3,MIN(15,N($D$18))),IFERROR(LARGE('Calc (scoring engine)'!$K$5:$K$528,2),-999999)&lt;=-900000),"",IFERROR(IF(INDEX(Database!$BO$5:$BO$528,MATCH(LARGE('Calc (scoring engine)'!$K$5:$K$528,2),'Calc (scoring engine)'!$K$5:$K$528,0))="","—",INDEX(Database!$BO$5:$BO$528,MATCH(LARGE('Calc (scoring engine)'!$K$5:$K$528,2),'Calc (scoring engine)'!$K$5:$K$528,0))),""))</f>
        <v/>
      </c>
      <c r="BM22" s="85">
        <f>IF(OR(2&gt;MAX(3,MIN(15,N($D$18))),IFERROR(LARGE('Calc (scoring engine)'!$K$5:$K$528,2),-999999)&lt;=-900000),"",IFERROR(IF(INDEX(Database!$BP$5:$BP$528,MATCH(LARGE('Calc (scoring engine)'!$K$5:$K$528,2),'Calc (scoring engine)'!$K$5:$K$528,0))="","—",INDEX(Database!$BP$5:$BP$528,MATCH(LARGE('Calc (scoring engine)'!$K$5:$K$528,2),'Calc (scoring engine)'!$K$5:$K$528,0))),""))</f>
        <v/>
      </c>
      <c r="BN22" s="89">
        <f>IF(OR(2&gt;MAX(3,MIN(15,N($D$18))),IFERROR(LARGE('Calc (scoring engine)'!$K$5:$K$528,2),-999999)&lt;=-900000),"",IFERROR(IF(INDEX(Database!$BQ$5:$BQ$528,MATCH(LARGE('Calc (scoring engine)'!$K$5:$K$528,2),'Calc (scoring engine)'!$K$5:$K$528,0))="","—",INDEX(Database!$BQ$5:$BQ$528,MATCH(LARGE('Calc (scoring engine)'!$K$5:$K$528,2),'Calc (scoring engine)'!$K$5:$K$528,0))),""))</f>
        <v/>
      </c>
      <c r="BO22" s="53">
        <f>IF(OR(2&gt;MAX(3,MIN(15,N($D$18))),IFERROR(LARGE('Calc (scoring engine)'!$K$5:$K$528,2),-999999)&lt;=-900000),"",IFERROR(IF(INDEX(Database!$BR$5:$BR$528,MATCH(LARGE('Calc (scoring engine)'!$K$5:$K$528,2),'Calc (scoring engine)'!$K$5:$K$528,0))="","—",INDEX(Database!$BR$5:$BR$528,MATCH(LARGE('Calc (scoring engine)'!$K$5:$K$528,2),'Calc (scoring engine)'!$K$5:$K$528,0))),""))</f>
        <v/>
      </c>
      <c r="BP22" s="58">
        <f>IF(OR(2&gt;MAX(3,MIN(15,N($D$18))),IFERROR(LARGE('Calc (scoring engine)'!$K$5:$K$528,2),-999999)&lt;=-900000),"",IFERROR(IF(INDEX(Database!$BS$5:$BS$528,MATCH(LARGE('Calc (scoring engine)'!$K$5:$K$528,2),'Calc (scoring engine)'!$K$5:$K$528,0))="","—",INDEX(Database!$BS$5:$BS$528,MATCH(LARGE('Calc (scoring engine)'!$K$5:$K$528,2),'Calc (scoring engine)'!$K$5:$K$528,0))),""))</f>
        <v/>
      </c>
      <c r="BQ22" s="58">
        <f>IF(OR(2&gt;MAX(3,MIN(15,N($D$18))),IFERROR(LARGE('Calc (scoring engine)'!$K$5:$K$528,2),-999999)&lt;=-900000),"",IFERROR(IF(INDEX(Database!$BT$5:$BT$528,MATCH(LARGE('Calc (scoring engine)'!$K$5:$K$528,2),'Calc (scoring engine)'!$K$5:$K$528,0))="","—",INDEX(Database!$BT$5:$BT$528,MATCH(LARGE('Calc (scoring engine)'!$K$5:$K$528,2),'Calc (scoring engine)'!$K$5:$K$528,0))),""))</f>
        <v/>
      </c>
      <c r="BR22" s="43">
        <f>IF(OR(2&gt;MAX(3,MIN(15,N($D$18))),IFERROR(LARGE('Calc (scoring engine)'!$K$5:$K$528,2),-999999)&lt;=-900000),"",IFERROR(IF(INDEX(Database!$BU$5:$BU$528,MATCH(LARGE('Calc (scoring engine)'!$K$5:$K$528,2),'Calc (scoring engine)'!$K$5:$K$528,0))="","—",INDEX(Database!$BU$5:$BU$528,MATCH(LARGE('Calc (scoring engine)'!$K$5:$K$528,2),'Calc (scoring engine)'!$K$5:$K$528,0))),""))</f>
        <v/>
      </c>
      <c r="BS22" s="43">
        <f>IF(OR(2&gt;MAX(3,MIN(15,N($D$18))),IFERROR(LARGE('Calc (scoring engine)'!$K$5:$K$528,2),-999999)&lt;=-900000),"",IFERROR(IF(INDEX(Database!$BW$5:$BW$528,MATCH(LARGE('Calc (scoring engine)'!$K$5:$K$528,2),'Calc (scoring engine)'!$K$5:$K$528,0))="","—",INDEX(Database!$BW$5:$BW$528,MATCH(LARGE('Calc (scoring engine)'!$K$5:$K$528,2),'Calc (scoring engine)'!$K$5:$K$528,0))),""))</f>
        <v/>
      </c>
      <c r="BT22" s="88">
        <f>IF(OR(2&gt;MAX(3,MIN(15,N($D$18))),IFERROR(LARGE('Calc (scoring engine)'!$K$5:$K$528,2),-999999)&lt;=-900000),"",IFERROR(IF(INDEX('Calc (scoring engine)'!$H$5:$H$528,MATCH(LARGE('Calc (scoring engine)'!$K$5:$K$528,2),'Calc (scoring engine)'!$K$5:$K$528,0))&gt;0,INDEX('Calc (scoring engine)'!$H$5:$H$528,MATCH(LARGE('Calc (scoring engine)'!$K$5:$K$528,2),'Calc (scoring engine)'!$K$5:$K$528,0)),""),""))</f>
        <v/>
      </c>
      <c r="BU22" s="43">
        <f>IF(OR(2&gt;MAX(3,MIN(15,N($D$18))),IFERROR(LARGE('Calc (scoring engine)'!$K$5:$K$528,2),-999999)&lt;=-900000),"",IF(IFERROR(INDEX('Calc (scoring engine)'!$B$5:$B$528,MATCH(LARGE('Calc (scoring engine)'!$K$5:$K$528,2),'Calc (scoring engine)'!$K$5:$K$528,0)),0)=1,"same subsector","sector only"))</f>
        <v/>
      </c>
      <c r="BV22" s="88">
        <f>IF(OR(2&gt;MAX(3,MIN(15,N($D$18))),IFERROR(LARGE('Calc (scoring engine)'!$K$5:$K$528,2),-999999)&lt;=-900000),"",ROUND(IFERROR(LARGE('Calc (scoring engine)'!$K$5:$K$528,2),0),0))</f>
        <v/>
      </c>
      <c r="BW22" s="43">
        <f>IF(OR(2&gt;MAX(3,MIN(15,N($D$18))),IFERROR(LARGE('Calc (scoring engine)'!$K$5:$K$528,2),-999999)&lt;=-900000),"",IFERROR("sub "&amp;INDEX('Calc (scoring engine)'!$B$5:$B$528,MATCH(LARGE('Calc (scoring engine)'!$K$5:$K$528,2),'Calc (scoring engine)'!$K$5:$K$528,0))*W_SUB&amp;" + size "&amp;ROUND(INDEX('Calc (scoring engine)'!$D$5:$D$528,MATCH(LARGE('Calc (scoring engine)'!$K$5:$K$528,2),'Calc (scoring engine)'!$K$5:$K$528,0))*W_SIZE,0)&amp;" + prof "&amp;INDEX('Calc (scoring engine)'!$E$5:$E$528,MATCH(LARGE('Calc (scoring engine)'!$K$5:$K$528,2),'Calc (scoring engine)'!$K$5:$K$528,0))*W_PROF&amp;" + recency "&amp;ROUND(INDEX('Calc (scoring engine)'!$G$5:$G$528,MATCH(LARGE('Calc (scoring engine)'!$K$5:$K$528,2),'Calc (scoring engine)'!$K$5:$K$528,0))*W_REC,0)&amp;IF(INDEX('Calc (scoring engine)'!$H$5:$H$528,MATCH(LARGE('Calc (scoring engine)'!$K$5:$K$528,2),'Calc (scoring engine)'!$K$5:$K$528,0))&gt;0," + shared CS x"&amp;INDEX('Calc (scoring engine)'!$H$5:$H$528,MATCH(LARGE('Calc (scoring engine)'!$K$5:$K$528,2),'Calc (scoring engine)'!$K$5:$K$528,0)),""),""))</f>
        <v/>
      </c>
    </row>
    <row r="23">
      <c r="A23" s="83">
        <f>IF(OR(3&gt;MAX(3,MIN(15,N($D$18))),IFERROR(LARGE('Calc (scoring engine)'!$K$5:$K$528,3),-999999)&lt;=-900000),"",3)</f>
        <v/>
      </c>
      <c r="B23" s="43">
        <f>IF(OR(3&gt;MAX(3,MIN(15,N($D$18))),IFERROR(LARGE('Calc (scoring engine)'!$K$5:$K$528,3),-999999)&lt;=-900000),"",IFERROR(IF(INDEX(Database!$B$5:$B$528,MATCH(LARGE('Calc (scoring engine)'!$K$5:$K$528,3),'Calc (scoring engine)'!$K$5:$K$528,0))="","—",INDEX(Database!$B$5:$B$528,MATCH(LARGE('Calc (scoring engine)'!$K$5:$K$528,3),'Calc (scoring engine)'!$K$5:$K$528,0))),""))</f>
        <v/>
      </c>
      <c r="C23" s="84">
        <f>IF(OR(3&gt;MAX(3,MIN(15,N($D$18))),IFERROR(LARGE('Calc (scoring engine)'!$K$5:$K$528,3),-999999)&lt;=-900000),"",IFERROR(IF(INDEX(Database!$A$5:$A$528,MATCH(LARGE('Calc (scoring engine)'!$K$5:$K$528,3),'Calc (scoring engine)'!$K$5:$K$528,0))="","—",INDEX(Database!$A$5:$A$528,MATCH(LARGE('Calc (scoring engine)'!$K$5:$K$528,3),'Calc (scoring engine)'!$K$5:$K$528,0))),""))</f>
        <v/>
      </c>
      <c r="D23" s="43">
        <f>IF(OR(3&gt;MAX(3,MIN(15,N($D$18))),IFERROR(LARGE('Calc (scoring engine)'!$K$5:$K$528,3),-999999)&lt;=-900000),"",IFERROR(IF(INDEX(Database!$D$5:$D$528,MATCH(LARGE('Calc (scoring engine)'!$K$5:$K$528,3),'Calc (scoring engine)'!$K$5:$K$528,0))="","—",INDEX(Database!$D$5:$D$528,MATCH(LARGE('Calc (scoring engine)'!$K$5:$K$528,3),'Calc (scoring engine)'!$K$5:$K$528,0))),""))</f>
        <v/>
      </c>
      <c r="E23" s="43">
        <f>IF(OR(3&gt;MAX(3,MIN(15,N($D$18))),IFERROR(LARGE('Calc (scoring engine)'!$K$5:$K$528,3),-999999)&lt;=-900000),"",IFERROR(IF(INDEX(Database!$E$5:$E$528,MATCH(LARGE('Calc (scoring engine)'!$K$5:$K$528,3),'Calc (scoring engine)'!$K$5:$K$528,0))="","—",INDEX(Database!$E$5:$E$528,MATCH(LARGE('Calc (scoring engine)'!$K$5:$K$528,3),'Calc (scoring engine)'!$K$5:$K$528,0))),""))</f>
        <v/>
      </c>
      <c r="F23" s="43">
        <f>IF(OR(3&gt;MAX(3,MIN(15,N($D$18))),IFERROR(LARGE('Calc (scoring engine)'!$K$5:$K$528,3),-999999)&lt;=-900000),"",IFERROR(IF(INDEX(Database!$F$5:$F$528,MATCH(LARGE('Calc (scoring engine)'!$K$5:$K$528,3),'Calc (scoring engine)'!$K$5:$K$528,0))="","—",INDEX(Database!$F$5:$F$528,MATCH(LARGE('Calc (scoring engine)'!$K$5:$K$528,3),'Calc (scoring engine)'!$K$5:$K$528,0))),""))</f>
        <v/>
      </c>
      <c r="G23" s="43">
        <f>IF(OR(3&gt;MAX(3,MIN(15,N($D$18))),IFERROR(LARGE('Calc (scoring engine)'!$K$5:$K$528,3),-999999)&lt;=-900000),"",IFERROR(IF(INDEX(Database!$G$5:$G$528,MATCH(LARGE('Calc (scoring engine)'!$K$5:$K$528,3),'Calc (scoring engine)'!$K$5:$K$528,0))="","—",INDEX(Database!$G$5:$G$528,MATCH(LARGE('Calc (scoring engine)'!$K$5:$K$528,3),'Calc (scoring engine)'!$K$5:$K$528,0))),""))</f>
        <v/>
      </c>
      <c r="H23" s="55">
        <f>IF(OR(3&gt;MAX(3,MIN(15,N($D$18))),IFERROR(LARGE('Calc (scoring engine)'!$K$5:$K$528,3),-999999)&lt;=-900000),"",IFERROR(IF(INDEX(Database!$H$5:$H$528,MATCH(LARGE('Calc (scoring engine)'!$K$5:$K$528,3),'Calc (scoring engine)'!$K$5:$K$528,0))="","—",INDEX(Database!$H$5:$H$528,MATCH(LARGE('Calc (scoring engine)'!$K$5:$K$528,3),'Calc (scoring engine)'!$K$5:$K$528,0))),""))</f>
        <v/>
      </c>
      <c r="I23" s="53">
        <f>IF(OR(3&gt;MAX(3,MIN(15,N($D$18))),IFERROR(LARGE('Calc (scoring engine)'!$K$5:$K$528,3),-999999)&lt;=-900000),"",IFERROR(IF(INDEX(Database!$I$5:$I$528,MATCH(LARGE('Calc (scoring engine)'!$K$5:$K$528,3),'Calc (scoring engine)'!$K$5:$K$528,0))="","—",INDEX(Database!$I$5:$I$528,MATCH(LARGE('Calc (scoring engine)'!$K$5:$K$528,3),'Calc (scoring engine)'!$K$5:$K$528,0))),""))</f>
        <v/>
      </c>
      <c r="J23" s="85">
        <f>IF(OR(3&gt;MAX(3,MIN(15,N($D$18))),IFERROR(LARGE('Calc (scoring engine)'!$K$5:$K$528,3),-999999)&lt;=-900000),"",IFERROR(IF(INDEX(Database!$K$5:$K$528,MATCH(LARGE('Calc (scoring engine)'!$K$5:$K$528,3),'Calc (scoring engine)'!$K$5:$K$528,0))="","—",INDEX(Database!$K$5:$K$528,MATCH(LARGE('Calc (scoring engine)'!$K$5:$K$528,3),'Calc (scoring engine)'!$K$5:$K$528,0))),""))</f>
        <v/>
      </c>
      <c r="K23" s="85">
        <f>IF(OR(3&gt;MAX(3,MIN(15,N($D$18))),IFERROR(LARGE('Calc (scoring engine)'!$K$5:$K$528,3),-999999)&lt;=-900000),"",IFERROR(IF(INDEX(Database!$L$5:$L$528,MATCH(LARGE('Calc (scoring engine)'!$K$5:$K$528,3),'Calc (scoring engine)'!$K$5:$K$528,0))="","—",INDEX(Database!$L$5:$L$528,MATCH(LARGE('Calc (scoring engine)'!$K$5:$K$528,3),'Calc (scoring engine)'!$K$5:$K$528,0))),""))</f>
        <v/>
      </c>
      <c r="L23" s="85">
        <f>IF(OR(3&gt;MAX(3,MIN(15,N($D$18))),IFERROR(LARGE('Calc (scoring engine)'!$K$5:$K$528,3),-999999)&lt;=-900000),"",IFERROR(IF(INDEX(Database!$M$5:$M$528,MATCH(LARGE('Calc (scoring engine)'!$K$5:$K$528,3),'Calc (scoring engine)'!$K$5:$K$528,0))="","—",INDEX(Database!$M$5:$M$528,MATCH(LARGE('Calc (scoring engine)'!$K$5:$K$528,3),'Calc (scoring engine)'!$K$5:$K$528,0))),""))</f>
        <v/>
      </c>
      <c r="M23" s="43">
        <f>IF(OR(3&gt;MAX(3,MIN(15,N($D$18))),IFERROR(LARGE('Calc (scoring engine)'!$K$5:$K$528,3),-999999)&lt;=-900000),"",IFERROR(IF(INDEX(Database!$N$5:$N$528,MATCH(LARGE('Calc (scoring engine)'!$K$5:$K$528,3),'Calc (scoring engine)'!$K$5:$K$528,0))="","—",INDEX(Database!$N$5:$N$528,MATCH(LARGE('Calc (scoring engine)'!$K$5:$K$528,3),'Calc (scoring engine)'!$K$5:$K$528,0))),""))</f>
        <v/>
      </c>
      <c r="N23" s="65">
        <f>IF(OR(3&gt;MAX(3,MIN(15,N($D$18))),IFERROR(LARGE('Calc (scoring engine)'!$K$5:$K$528,3),-999999)&lt;=-900000),"",IFERROR(IF(INDEX(Database!$O$5:$O$528,MATCH(LARGE('Calc (scoring engine)'!$K$5:$K$528,3),'Calc (scoring engine)'!$K$5:$K$528,0))="","—",INDEX(Database!$O$5:$O$528,MATCH(LARGE('Calc (scoring engine)'!$K$5:$K$528,3),'Calc (scoring engine)'!$K$5:$K$528,0))),""))</f>
        <v/>
      </c>
      <c r="O23" s="65">
        <f>IF(OR(3&gt;MAX(3,MIN(15,N($D$18))),IFERROR(LARGE('Calc (scoring engine)'!$K$5:$K$528,3),-999999)&lt;=-900000),"",IFERROR(IF(INDEX(Database!$P$5:$P$528,MATCH(LARGE('Calc (scoring engine)'!$K$5:$K$528,3),'Calc (scoring engine)'!$K$5:$K$528,0))="","—",INDEX(Database!$P$5:$P$528,MATCH(LARGE('Calc (scoring engine)'!$K$5:$K$528,3),'Calc (scoring engine)'!$K$5:$K$528,0))),""))</f>
        <v/>
      </c>
      <c r="P23" s="53">
        <f>IF(OR(3&gt;MAX(3,MIN(15,N($D$18))),IFERROR(LARGE('Calc (scoring engine)'!$K$5:$K$528,3),-999999)&lt;=-900000),"",IFERROR(IF(INDEX(Database!$Q$5:$Q$528,MATCH(LARGE('Calc (scoring engine)'!$K$5:$K$528,3),'Calc (scoring engine)'!$K$5:$K$528,0))="","—",INDEX(Database!$Q$5:$Q$528,MATCH(LARGE('Calc (scoring engine)'!$K$5:$K$528,3),'Calc (scoring engine)'!$K$5:$K$528,0))),""))</f>
        <v/>
      </c>
      <c r="Q23" s="60">
        <f>IF(OR(3&gt;MAX(3,MIN(15,N($D$18))),IFERROR(LARGE('Calc (scoring engine)'!$K$5:$K$528,3),-999999)&lt;=-900000),"",IFERROR(IF(INDEX(Database!$S$5:$S$528,MATCH(LARGE('Calc (scoring engine)'!$K$5:$K$528,3),'Calc (scoring engine)'!$K$5:$K$528,0))="","—",INDEX(Database!$S$5:$S$528,MATCH(LARGE('Calc (scoring engine)'!$K$5:$K$528,3),'Calc (scoring engine)'!$K$5:$K$528,0))),""))</f>
        <v/>
      </c>
      <c r="R23" s="86">
        <f>IF(OR(3&gt;MAX(3,MIN(15,N($D$18))),IFERROR(LARGE('Calc (scoring engine)'!$K$5:$K$528,3),-999999)&lt;=-900000),"",IFERROR(IF(INDEX(Database!$T$5:$T$528,MATCH(LARGE('Calc (scoring engine)'!$K$5:$K$528,3),'Calc (scoring engine)'!$K$5:$K$528,0))="","—",INDEX(Database!$T$5:$T$528,MATCH(LARGE('Calc (scoring engine)'!$K$5:$K$528,3),'Calc (scoring engine)'!$K$5:$K$528,0))),""))</f>
        <v/>
      </c>
      <c r="S23" s="87">
        <f>IF(OR(3&gt;MAX(3,MIN(15,N($D$18))),IFERROR(LARGE('Calc (scoring engine)'!$K$5:$K$528,3),-999999)&lt;=-900000),"",IFERROR(IF(INDEX(Database!$U$5:$U$528,MATCH(LARGE('Calc (scoring engine)'!$K$5:$K$528,3),'Calc (scoring engine)'!$K$5:$K$528,0))="","—",INDEX(Database!$U$5:$U$528,MATCH(LARGE('Calc (scoring engine)'!$K$5:$K$528,3),'Calc (scoring engine)'!$K$5:$K$528,0))),""))</f>
        <v/>
      </c>
      <c r="T23" s="88">
        <f>IF(OR(3&gt;MAX(3,MIN(15,N($D$18))),IFERROR(LARGE('Calc (scoring engine)'!$K$5:$K$528,3),-999999)&lt;=-900000),"",IFERROR(IF(INDEX(Database!$V$5:$V$528,MATCH(LARGE('Calc (scoring engine)'!$K$5:$K$528,3),'Calc (scoring engine)'!$K$5:$K$528,0))="","—",INDEX(Database!$V$5:$V$528,MATCH(LARGE('Calc (scoring engine)'!$K$5:$K$528,3),'Calc (scoring engine)'!$K$5:$K$528,0))),""))</f>
        <v/>
      </c>
      <c r="U23" s="65">
        <f>IF(OR(3&gt;MAX(3,MIN(15,N($D$18))),IFERROR(LARGE('Calc (scoring engine)'!$K$5:$K$528,3),-999999)&lt;=-900000),"",IFERROR(IF(INDEX(Database!$W$5:$W$528,MATCH(LARGE('Calc (scoring engine)'!$K$5:$K$528,3),'Calc (scoring engine)'!$K$5:$K$528,0))="","—",INDEX(Database!$W$5:$W$528,MATCH(LARGE('Calc (scoring engine)'!$K$5:$K$528,3),'Calc (scoring engine)'!$K$5:$K$528,0))),""))</f>
        <v/>
      </c>
      <c r="V23" s="43">
        <f>IF(OR(3&gt;MAX(3,MIN(15,N($D$18))),IFERROR(LARGE('Calc (scoring engine)'!$K$5:$K$528,3),-999999)&lt;=-900000),"",IFERROR(IF(INDEX(Database!$X$5:$X$528,MATCH(LARGE('Calc (scoring engine)'!$K$5:$K$528,3),'Calc (scoring engine)'!$K$5:$K$528,0))="","—",INDEX(Database!$X$5:$X$528,MATCH(LARGE('Calc (scoring engine)'!$K$5:$K$528,3),'Calc (scoring engine)'!$K$5:$K$528,0))),""))</f>
        <v/>
      </c>
      <c r="W23" s="53">
        <f>IF(OR(3&gt;MAX(3,MIN(15,N($D$18))),IFERROR(LARGE('Calc (scoring engine)'!$K$5:$K$528,3),-999999)&lt;=-900000),"",IFERROR(IF(INDEX(Database!$Y$5:$Y$528,MATCH(LARGE('Calc (scoring engine)'!$K$5:$K$528,3),'Calc (scoring engine)'!$K$5:$K$528,0))="","—",INDEX(Database!$Y$5:$Y$528,MATCH(LARGE('Calc (scoring engine)'!$K$5:$K$528,3),'Calc (scoring engine)'!$K$5:$K$528,0))),""))</f>
        <v/>
      </c>
      <c r="X23" s="53">
        <f>IF(OR(3&gt;MAX(3,MIN(15,N($D$18))),IFERROR(LARGE('Calc (scoring engine)'!$K$5:$K$528,3),-999999)&lt;=-900000),"",IFERROR(IF(INDEX(Database!$Z$5:$Z$528,MATCH(LARGE('Calc (scoring engine)'!$K$5:$K$528,3),'Calc (scoring engine)'!$K$5:$K$528,0))="","—",INDEX(Database!$Z$5:$Z$528,MATCH(LARGE('Calc (scoring engine)'!$K$5:$K$528,3),'Calc (scoring engine)'!$K$5:$K$528,0))),""))</f>
        <v/>
      </c>
      <c r="Y23" s="65">
        <f>IF(OR(3&gt;MAX(3,MIN(15,N($D$18))),IFERROR(LARGE('Calc (scoring engine)'!$K$5:$K$528,3),-999999)&lt;=-900000),"",IFERROR(IF(INDEX(Database!$AA$5:$AA$528,MATCH(LARGE('Calc (scoring engine)'!$K$5:$K$528,3),'Calc (scoring engine)'!$K$5:$K$528,0))="","—",INDEX(Database!$AA$5:$AA$528,MATCH(LARGE('Calc (scoring engine)'!$K$5:$K$528,3),'Calc (scoring engine)'!$K$5:$K$528,0))),""))</f>
        <v/>
      </c>
      <c r="Z23" s="43">
        <f>IF(OR(3&gt;MAX(3,MIN(15,N($D$18))),IFERROR(LARGE('Calc (scoring engine)'!$K$5:$K$528,3),-999999)&lt;=-900000),"",IFERROR(IF(INDEX(Database!$AB$5:$AB$528,MATCH(LARGE('Calc (scoring engine)'!$K$5:$K$528,3),'Calc (scoring engine)'!$K$5:$K$528,0))="","—",INDEX(Database!$AB$5:$AB$528,MATCH(LARGE('Calc (scoring engine)'!$K$5:$K$528,3),'Calc (scoring engine)'!$K$5:$K$528,0))),""))</f>
        <v/>
      </c>
      <c r="AA23" s="65">
        <f>IF(OR(3&gt;MAX(3,MIN(15,N($D$18))),IFERROR(LARGE('Calc (scoring engine)'!$K$5:$K$528,3),-999999)&lt;=-900000),"",IFERROR(IF(INDEX(Database!$AD$5:$AD$528,MATCH(LARGE('Calc (scoring engine)'!$K$5:$K$528,3),'Calc (scoring engine)'!$K$5:$K$528,0))="","—",INDEX(Database!$AD$5:$AD$528,MATCH(LARGE('Calc (scoring engine)'!$K$5:$K$528,3),'Calc (scoring engine)'!$K$5:$K$528,0))),""))</f>
        <v/>
      </c>
      <c r="AB23" s="43">
        <f>IF(OR(3&gt;MAX(3,MIN(15,N($D$18))),IFERROR(LARGE('Calc (scoring engine)'!$K$5:$K$528,3),-999999)&lt;=-900000),"",IFERROR(IF(INDEX(Database!$AE$5:$AE$528,MATCH(LARGE('Calc (scoring engine)'!$K$5:$K$528,3),'Calc (scoring engine)'!$K$5:$K$528,0))="","—",INDEX(Database!$AE$5:$AE$528,MATCH(LARGE('Calc (scoring engine)'!$K$5:$K$528,3),'Calc (scoring engine)'!$K$5:$K$528,0))),""))</f>
        <v/>
      </c>
      <c r="AC23" s="43">
        <f>IF(OR(3&gt;MAX(3,MIN(15,N($D$18))),IFERROR(LARGE('Calc (scoring engine)'!$K$5:$K$528,3),-999999)&lt;=-900000),"",IFERROR(IF(INDEX(Database!$AF$5:$AF$528,MATCH(LARGE('Calc (scoring engine)'!$K$5:$K$528,3),'Calc (scoring engine)'!$K$5:$K$528,0))="","—",INDEX(Database!$AF$5:$AF$528,MATCH(LARGE('Calc (scoring engine)'!$K$5:$K$528,3),'Calc (scoring engine)'!$K$5:$K$528,0))),""))</f>
        <v/>
      </c>
      <c r="AD23" s="43">
        <f>IF(OR(3&gt;MAX(3,MIN(15,N($D$18))),IFERROR(LARGE('Calc (scoring engine)'!$K$5:$K$528,3),-999999)&lt;=-900000),"",IFERROR(IF(INDEX(Database!$AG$5:$AG$528,MATCH(LARGE('Calc (scoring engine)'!$K$5:$K$528,3),'Calc (scoring engine)'!$K$5:$K$528,0))="","—",INDEX(Database!$AG$5:$AG$528,MATCH(LARGE('Calc (scoring engine)'!$K$5:$K$528,3),'Calc (scoring engine)'!$K$5:$K$528,0))),""))</f>
        <v/>
      </c>
      <c r="AE23" s="43">
        <f>IF(OR(3&gt;MAX(3,MIN(15,N($D$18))),IFERROR(LARGE('Calc (scoring engine)'!$K$5:$K$528,3),-999999)&lt;=-900000),"",IFERROR(IF(INDEX(Database!$AH$5:$AH$528,MATCH(LARGE('Calc (scoring engine)'!$K$5:$K$528,3),'Calc (scoring engine)'!$K$5:$K$528,0))="","—",INDEX(Database!$AH$5:$AH$528,MATCH(LARGE('Calc (scoring engine)'!$K$5:$K$528,3),'Calc (scoring engine)'!$K$5:$K$528,0))),""))</f>
        <v/>
      </c>
      <c r="AF23" s="57">
        <f>IF(OR(3&gt;MAX(3,MIN(15,N($D$18))),IFERROR(LARGE('Calc (scoring engine)'!$K$5:$K$528,3),-999999)&lt;=-900000),"",IFERROR(IF(INDEX(Database!$AI$5:$AI$528,MATCH(LARGE('Calc (scoring engine)'!$K$5:$K$528,3),'Calc (scoring engine)'!$K$5:$K$528,0))="","—",INDEX(Database!$AI$5:$AI$528,MATCH(LARGE('Calc (scoring engine)'!$K$5:$K$528,3),'Calc (scoring engine)'!$K$5:$K$528,0))),""))</f>
        <v/>
      </c>
      <c r="AG23" s="57">
        <f>IF(OR(3&gt;MAX(3,MIN(15,N($D$18))),IFERROR(LARGE('Calc (scoring engine)'!$K$5:$K$528,3),-999999)&lt;=-900000),"",IFERROR(IF(INDEX(Database!$AJ$5:$AJ$528,MATCH(LARGE('Calc (scoring engine)'!$K$5:$K$528,3),'Calc (scoring engine)'!$K$5:$K$528,0))="","—",INDEX(Database!$AJ$5:$AJ$528,MATCH(LARGE('Calc (scoring engine)'!$K$5:$K$528,3),'Calc (scoring engine)'!$K$5:$K$528,0))),""))</f>
        <v/>
      </c>
      <c r="AH23" s="57">
        <f>IF(OR(3&gt;MAX(3,MIN(15,N($D$18))),IFERROR(LARGE('Calc (scoring engine)'!$K$5:$K$528,3),-999999)&lt;=-900000),"",IFERROR(IF(INDEX(Database!$AK$5:$AK$528,MATCH(LARGE('Calc (scoring engine)'!$K$5:$K$528,3),'Calc (scoring engine)'!$K$5:$K$528,0))="","—",INDEX(Database!$AK$5:$AK$528,MATCH(LARGE('Calc (scoring engine)'!$K$5:$K$528,3),'Calc (scoring engine)'!$K$5:$K$528,0))),""))</f>
        <v/>
      </c>
      <c r="AI23" s="57">
        <f>IF(OR(3&gt;MAX(3,MIN(15,N($D$18))),IFERROR(LARGE('Calc (scoring engine)'!$K$5:$K$528,3),-999999)&lt;=-900000),"",IFERROR(IF(INDEX(Database!$AL$5:$AL$528,MATCH(LARGE('Calc (scoring engine)'!$K$5:$K$528,3),'Calc (scoring engine)'!$K$5:$K$528,0))="","—",INDEX(Database!$AL$5:$AL$528,MATCH(LARGE('Calc (scoring engine)'!$K$5:$K$528,3),'Calc (scoring engine)'!$K$5:$K$528,0))),""))</f>
        <v/>
      </c>
      <c r="AJ23" s="57">
        <f>IF(OR(3&gt;MAX(3,MIN(15,N($D$18))),IFERROR(LARGE('Calc (scoring engine)'!$K$5:$K$528,3),-999999)&lt;=-900000),"",IFERROR(IF(INDEX(Database!$AM$5:$AM$528,MATCH(LARGE('Calc (scoring engine)'!$K$5:$K$528,3),'Calc (scoring engine)'!$K$5:$K$528,0))="","—",INDEX(Database!$AM$5:$AM$528,MATCH(LARGE('Calc (scoring engine)'!$K$5:$K$528,3),'Calc (scoring engine)'!$K$5:$K$528,0))),""))</f>
        <v/>
      </c>
      <c r="AK23" s="58">
        <f>IF(OR(3&gt;MAX(3,MIN(15,N($D$18))),IFERROR(LARGE('Calc (scoring engine)'!$K$5:$K$528,3),-999999)&lt;=-900000),"",IFERROR(IF(INDEX(Database!$AN$5:$AN$528,MATCH(LARGE('Calc (scoring engine)'!$K$5:$K$528,3),'Calc (scoring engine)'!$K$5:$K$528,0))="","—",INDEX(Database!$AN$5:$AN$528,MATCH(LARGE('Calc (scoring engine)'!$K$5:$K$528,3),'Calc (scoring engine)'!$K$5:$K$528,0))),""))</f>
        <v/>
      </c>
      <c r="AL23" s="65">
        <f>IF(OR(3&gt;MAX(3,MIN(15,N($D$18))),IFERROR(LARGE('Calc (scoring engine)'!$K$5:$K$528,3),-999999)&lt;=-900000),"",IFERROR(IF(INDEX(Database!$AO$5:$AO$528,MATCH(LARGE('Calc (scoring engine)'!$K$5:$K$528,3),'Calc (scoring engine)'!$K$5:$K$528,0))="","—",INDEX(Database!$AO$5:$AO$528,MATCH(LARGE('Calc (scoring engine)'!$K$5:$K$528,3),'Calc (scoring engine)'!$K$5:$K$528,0))),""))</f>
        <v/>
      </c>
      <c r="AM23" s="57">
        <f>IF(OR(3&gt;MAX(3,MIN(15,N($D$18))),IFERROR(LARGE('Calc (scoring engine)'!$K$5:$K$528,3),-999999)&lt;=-900000),"",IFERROR(IF(INDEX(Database!$AP$5:$AP$528,MATCH(LARGE('Calc (scoring engine)'!$K$5:$K$528,3),'Calc (scoring engine)'!$K$5:$K$528,0))="","—",INDEX(Database!$AP$5:$AP$528,MATCH(LARGE('Calc (scoring engine)'!$K$5:$K$528,3),'Calc (scoring engine)'!$K$5:$K$528,0))),""))</f>
        <v/>
      </c>
      <c r="AN23" s="57">
        <f>IF(OR(3&gt;MAX(3,MIN(15,N($D$18))),IFERROR(LARGE('Calc (scoring engine)'!$K$5:$K$528,3),-999999)&lt;=-900000),"",IFERROR(IF(INDEX(Database!$AQ$5:$AQ$528,MATCH(LARGE('Calc (scoring engine)'!$K$5:$K$528,3),'Calc (scoring engine)'!$K$5:$K$528,0))="","—",INDEX(Database!$AQ$5:$AQ$528,MATCH(LARGE('Calc (scoring engine)'!$K$5:$K$528,3),'Calc (scoring engine)'!$K$5:$K$528,0))),""))</f>
        <v/>
      </c>
      <c r="AO23" s="57">
        <f>IF(OR(3&gt;MAX(3,MIN(15,N($D$18))),IFERROR(LARGE('Calc (scoring engine)'!$K$5:$K$528,3),-999999)&lt;=-900000),"",IFERROR(IF(INDEX(Database!$AR$5:$AR$528,MATCH(LARGE('Calc (scoring engine)'!$K$5:$K$528,3),'Calc (scoring engine)'!$K$5:$K$528,0))="","—",INDEX(Database!$AR$5:$AR$528,MATCH(LARGE('Calc (scoring engine)'!$K$5:$K$528,3),'Calc (scoring engine)'!$K$5:$K$528,0))),""))</f>
        <v/>
      </c>
      <c r="AP23" s="57">
        <f>IF(OR(3&gt;MAX(3,MIN(15,N($D$18))),IFERROR(LARGE('Calc (scoring engine)'!$K$5:$K$528,3),-999999)&lt;=-900000),"",IFERROR(IF(INDEX(Database!$AS$5:$AS$528,MATCH(LARGE('Calc (scoring engine)'!$K$5:$K$528,3),'Calc (scoring engine)'!$K$5:$K$528,0))="","—",INDEX(Database!$AS$5:$AS$528,MATCH(LARGE('Calc (scoring engine)'!$K$5:$K$528,3),'Calc (scoring engine)'!$K$5:$K$528,0))),""))</f>
        <v/>
      </c>
      <c r="AQ23" s="57">
        <f>IF(OR(3&gt;MAX(3,MIN(15,N($D$18))),IFERROR(LARGE('Calc (scoring engine)'!$K$5:$K$528,3),-999999)&lt;=-900000),"",IFERROR(IF(INDEX(Database!$AT$5:$AT$528,MATCH(LARGE('Calc (scoring engine)'!$K$5:$K$528,3),'Calc (scoring engine)'!$K$5:$K$528,0))="","—",INDEX(Database!$AT$5:$AT$528,MATCH(LARGE('Calc (scoring engine)'!$K$5:$K$528,3),'Calc (scoring engine)'!$K$5:$K$528,0))),""))</f>
        <v/>
      </c>
      <c r="AR23" s="57">
        <f>IF(OR(3&gt;MAX(3,MIN(15,N($D$18))),IFERROR(LARGE('Calc (scoring engine)'!$K$5:$K$528,3),-999999)&lt;=-900000),"",IFERROR(IF(INDEX(Database!$AU$5:$AU$528,MATCH(LARGE('Calc (scoring engine)'!$K$5:$K$528,3),'Calc (scoring engine)'!$K$5:$K$528,0))="","—",INDEX(Database!$AU$5:$AU$528,MATCH(LARGE('Calc (scoring engine)'!$K$5:$K$528,3),'Calc (scoring engine)'!$K$5:$K$528,0))),""))</f>
        <v/>
      </c>
      <c r="AS23" s="57">
        <f>IF(OR(3&gt;MAX(3,MIN(15,N($D$18))),IFERROR(LARGE('Calc (scoring engine)'!$K$5:$K$528,3),-999999)&lt;=-900000),"",IFERROR(IF(INDEX(Database!$AV$5:$AV$528,MATCH(LARGE('Calc (scoring engine)'!$K$5:$K$528,3),'Calc (scoring engine)'!$K$5:$K$528,0))="","—",INDEX(Database!$AV$5:$AV$528,MATCH(LARGE('Calc (scoring engine)'!$K$5:$K$528,3),'Calc (scoring engine)'!$K$5:$K$528,0))),""))</f>
        <v/>
      </c>
      <c r="AT23" s="57">
        <f>IF(OR(3&gt;MAX(3,MIN(15,N($D$18))),IFERROR(LARGE('Calc (scoring engine)'!$K$5:$K$528,3),-999999)&lt;=-900000),"",IFERROR(IF(INDEX(Database!$AW$5:$AW$528,MATCH(LARGE('Calc (scoring engine)'!$K$5:$K$528,3),'Calc (scoring engine)'!$K$5:$K$528,0))="","—",INDEX(Database!$AW$5:$AW$528,MATCH(LARGE('Calc (scoring engine)'!$K$5:$K$528,3),'Calc (scoring engine)'!$K$5:$K$528,0))),""))</f>
        <v/>
      </c>
      <c r="AU23" s="57">
        <f>IF(OR(3&gt;MAX(3,MIN(15,N($D$18))),IFERROR(LARGE('Calc (scoring engine)'!$K$5:$K$528,3),-999999)&lt;=-900000),"",IFERROR(IF(INDEX(Database!$AX$5:$AX$528,MATCH(LARGE('Calc (scoring engine)'!$K$5:$K$528,3),'Calc (scoring engine)'!$K$5:$K$528,0))="","—",INDEX(Database!$AX$5:$AX$528,MATCH(LARGE('Calc (scoring engine)'!$K$5:$K$528,3),'Calc (scoring engine)'!$K$5:$K$528,0))),""))</f>
        <v/>
      </c>
      <c r="AV23" s="57">
        <f>IF(OR(3&gt;MAX(3,MIN(15,N($D$18))),IFERROR(LARGE('Calc (scoring engine)'!$K$5:$K$528,3),-999999)&lt;=-900000),"",IFERROR(IF(INDEX(Database!$AY$5:$AY$528,MATCH(LARGE('Calc (scoring engine)'!$K$5:$K$528,3),'Calc (scoring engine)'!$K$5:$K$528,0))="","—",INDEX(Database!$AY$5:$AY$528,MATCH(LARGE('Calc (scoring engine)'!$K$5:$K$528,3),'Calc (scoring engine)'!$K$5:$K$528,0))),""))</f>
        <v/>
      </c>
      <c r="AW23" s="57">
        <f>IF(OR(3&gt;MAX(3,MIN(15,N($D$18))),IFERROR(LARGE('Calc (scoring engine)'!$K$5:$K$528,3),-999999)&lt;=-900000),"",IFERROR(IF(INDEX(Database!$AZ$5:$AZ$528,MATCH(LARGE('Calc (scoring engine)'!$K$5:$K$528,3),'Calc (scoring engine)'!$K$5:$K$528,0))="","—",INDEX(Database!$AZ$5:$AZ$528,MATCH(LARGE('Calc (scoring engine)'!$K$5:$K$528,3),'Calc (scoring engine)'!$K$5:$K$528,0))),""))</f>
        <v/>
      </c>
      <c r="AX23" s="57">
        <f>IF(OR(3&gt;MAX(3,MIN(15,N($D$18))),IFERROR(LARGE('Calc (scoring engine)'!$K$5:$K$528,3),-999999)&lt;=-900000),"",IFERROR(IF(INDEX(Database!$BA$5:$BA$528,MATCH(LARGE('Calc (scoring engine)'!$K$5:$K$528,3),'Calc (scoring engine)'!$K$5:$K$528,0))="","—",INDEX(Database!$BA$5:$BA$528,MATCH(LARGE('Calc (scoring engine)'!$K$5:$K$528,3),'Calc (scoring engine)'!$K$5:$K$528,0))),""))</f>
        <v/>
      </c>
      <c r="AY23" s="57">
        <f>IF(OR(3&gt;MAX(3,MIN(15,N($D$18))),IFERROR(LARGE('Calc (scoring engine)'!$K$5:$K$528,3),-999999)&lt;=-900000),"",IFERROR(IF(INDEX(Database!$BC$5:$BC$528,MATCH(LARGE('Calc (scoring engine)'!$K$5:$K$528,3),'Calc (scoring engine)'!$K$5:$K$528,0))="","—",INDEX(Database!$BC$5:$BC$528,MATCH(LARGE('Calc (scoring engine)'!$K$5:$K$528,3),'Calc (scoring engine)'!$K$5:$K$528,0))),""))</f>
        <v/>
      </c>
      <c r="AZ23" s="53">
        <f>IF(OR(3&gt;MAX(3,MIN(15,N($D$18))),IFERROR(LARGE('Calc (scoring engine)'!$K$5:$K$528,3),-999999)&lt;=-900000),"",IFERROR(IF(INDEX(Database!$BE$5:$BE$528,MATCH(LARGE('Calc (scoring engine)'!$K$5:$K$528,3),'Calc (scoring engine)'!$K$5:$K$528,0))="","—",INDEX(Database!$BE$5:$BE$528,MATCH(LARGE('Calc (scoring engine)'!$K$5:$K$528,3),'Calc (scoring engine)'!$K$5:$K$528,0))),""))</f>
        <v/>
      </c>
      <c r="BA23" s="53">
        <f>IF(OR(3&gt;MAX(3,MIN(15,N($D$18))),IFERROR(LARGE('Calc (scoring engine)'!$K$5:$K$528,3),-999999)&lt;=-900000),"",IFERROR(IF(INDEX(Database!$BF$5:$BF$528,MATCH(LARGE('Calc (scoring engine)'!$K$5:$K$528,3),'Calc (scoring engine)'!$K$5:$K$528,0))="","—",INDEX(Database!$BF$5:$BF$528,MATCH(LARGE('Calc (scoring engine)'!$K$5:$K$528,3),'Calc (scoring engine)'!$K$5:$K$528,0))),""))</f>
        <v/>
      </c>
      <c r="BB23" s="43">
        <f>IF(OR(3&gt;MAX(3,MIN(15,N($D$18))),IFERROR(LARGE('Calc (scoring engine)'!$K$5:$K$528,3),-999999)&lt;=-900000),"",IFERROR(IF(INDEX(Database!$BG$5:$BG$528,MATCH(LARGE('Calc (scoring engine)'!$K$5:$K$528,3),'Calc (scoring engine)'!$K$5:$K$528,0))="","—",INDEX(Database!$BG$5:$BG$528,MATCH(LARGE('Calc (scoring engine)'!$K$5:$K$528,3),'Calc (scoring engine)'!$K$5:$K$528,0))),""))</f>
        <v/>
      </c>
      <c r="BC23" s="58">
        <f>IF(OR(3&gt;MAX(3,MIN(15,N($D$18))),IFERROR(LARGE('Calc (scoring engine)'!$K$5:$K$528,3),-999999)&lt;=-900000),"",IFERROR(IF(N(INDEX(Database!$BH$5:$BH$528,MATCH(LARGE('Calc (scoring engine)'!$K$5:$K$528,3),'Calc (scoring engine)'!$K$5:$K$528,0)))&lt;=0,IF(INDEX(Database!$BG$5:$BG$528,MATCH(LARGE('Calc (scoring engine)'!$K$5:$K$528,3),'Calc (scoring engine)'!$K$5:$K$528,0))="N","n/m","—"),INDEX(Database!$BH$5:$BH$528,MATCH(LARGE('Calc (scoring engine)'!$K$5:$K$528,3),'Calc (scoring engine)'!$K$5:$K$528,0))),""))</f>
        <v/>
      </c>
      <c r="BD23" s="58">
        <f>IF(OR(3&gt;MAX(3,MIN(15,N($D$18))),IFERROR(LARGE('Calc (scoring engine)'!$K$5:$K$528,3),-999999)&lt;=-900000),"",IFERROR(IF(INDEX(Database!$BI$5:$BI$528,MATCH(LARGE('Calc (scoring engine)'!$K$5:$K$528,3),'Calc (scoring engine)'!$K$5:$K$528,0))="","—",INDEX(Database!$BI$5:$BI$528,MATCH(LARGE('Calc (scoring engine)'!$K$5:$K$528,3),'Calc (scoring engine)'!$K$5:$K$528,0))),""))</f>
        <v/>
      </c>
      <c r="BE23" s="58">
        <f>IF(OR(3&gt;MAX(3,MIN(15,N($D$18))),IFERROR(LARGE('Calc (scoring engine)'!$K$5:$K$528,3),-999999)&lt;=-900000),"",IFERROR(IF(INDEX(Database!$BJ$5:$BJ$528,MATCH(LARGE('Calc (scoring engine)'!$K$5:$K$528,3),'Calc (scoring engine)'!$K$5:$K$528,0))="","—",INDEX(Database!$BJ$5:$BJ$528,MATCH(LARGE('Calc (scoring engine)'!$K$5:$K$528,3),'Calc (scoring engine)'!$K$5:$K$528,0))),""))</f>
        <v/>
      </c>
      <c r="BF23" s="58">
        <f>IF(OR(3&gt;MAX(3,MIN(15,N($D$18))),IFERROR(LARGE('Calc (scoring engine)'!$K$5:$K$528,3),-999999)&lt;=-900000),"",IFERROR(IF(INDEX(Database!$BK$5:$BK$528,MATCH(LARGE('Calc (scoring engine)'!$K$5:$K$528,3),'Calc (scoring engine)'!$K$5:$K$528,0))="","—",INDEX(Database!$BK$5:$BK$528,MATCH(LARGE('Calc (scoring engine)'!$K$5:$K$528,3),'Calc (scoring engine)'!$K$5:$K$528,0))),""))</f>
        <v/>
      </c>
      <c r="BG23" s="58">
        <f>IF(OR(3&gt;MAX(3,MIN(15,N($D$18))),IFERROR(LARGE('Calc (scoring engine)'!$K$5:$K$528,3),-999999)&lt;=-900000),"",IFERROR(IF(INDEX(Database!$BL$5:$BL$528,MATCH(LARGE('Calc (scoring engine)'!$K$5:$K$528,3),'Calc (scoring engine)'!$K$5:$K$528,0))="","—",INDEX(Database!$BL$5:$BL$528,MATCH(LARGE('Calc (scoring engine)'!$K$5:$K$528,3),'Calc (scoring engine)'!$K$5:$K$528,0))),""))</f>
        <v/>
      </c>
      <c r="BH23" s="58">
        <f>IF(OR(3&gt;MAX(3,MIN(15,N($D$18))),IFERROR(LARGE('Calc (scoring engine)'!$K$5:$K$528,3),-999999)&lt;=-900000),"",IFERROR(IFERROR(BDP(TEXT(INDEX(Database!$A$5:$A$528,MATCH(LARGE('Calc (scoring engine)'!$K$5:$K$528,3),'Calc (scoring engine)'!$K$5:$K$528,0)),"0")&amp;" HK Equity","PE_RATIO"),IF(INDEX(Database!$BJ$5:$BJ$528,MATCH(LARGE('Calc (scoring engine)'!$K$5:$K$528,3),'Calc (scoring engine)'!$K$5:$K$528,0))="","—",INDEX(Database!$BJ$5:$BJ$528,MATCH(LARGE('Calc (scoring engine)'!$K$5:$K$528,3),'Calc (scoring engine)'!$K$5:$K$528,0)))),""))</f>
        <v/>
      </c>
      <c r="BI23" s="58">
        <f>IF(OR(3&gt;MAX(3,MIN(15,N($D$18))),IFERROR(LARGE('Calc (scoring engine)'!$K$5:$K$528,3),-999999)&lt;=-900000),"",IFERROR(IFERROR(BDP(TEXT(INDEX(Database!$A$5:$A$528,MATCH(LARGE('Calc (scoring engine)'!$K$5:$K$528,3),'Calc (scoring engine)'!$K$5:$K$528,0)),"0")&amp;" HK Equity","PX_TO_SALES_RATIO"),IF(INDEX(Database!$BK$5:$BK$528,MATCH(LARGE('Calc (scoring engine)'!$K$5:$K$528,3),'Calc (scoring engine)'!$K$5:$K$528,0))="","—",INDEX(Database!$BK$5:$BK$528,MATCH(LARGE('Calc (scoring engine)'!$K$5:$K$528,3),'Calc (scoring engine)'!$K$5:$K$528,0)))),""))</f>
        <v/>
      </c>
      <c r="BJ23" s="43">
        <f>IF(OR(3&gt;MAX(3,MIN(15,N($D$18))),IFERROR(LARGE('Calc (scoring engine)'!$K$5:$K$528,3),-999999)&lt;=-900000),"",IFERROR(IF(INDEX(Database!$BM$5:$BM$528,MATCH(LARGE('Calc (scoring engine)'!$K$5:$K$528,3),'Calc (scoring engine)'!$K$5:$K$528,0))="","—",INDEX(Database!$BM$5:$BM$528,MATCH(LARGE('Calc (scoring engine)'!$K$5:$K$528,3),'Calc (scoring engine)'!$K$5:$K$528,0))),""))</f>
        <v/>
      </c>
      <c r="BK23" s="43">
        <f>IF(OR(3&gt;MAX(3,MIN(15,N($D$18))),IFERROR(LARGE('Calc (scoring engine)'!$K$5:$K$528,3),-999999)&lt;=-900000),"",IFERROR(IF(INDEX(Database!$BN$5:$BN$528,MATCH(LARGE('Calc (scoring engine)'!$K$5:$K$528,3),'Calc (scoring engine)'!$K$5:$K$528,0))="","—",INDEX(Database!$BN$5:$BN$528,MATCH(LARGE('Calc (scoring engine)'!$K$5:$K$528,3),'Calc (scoring engine)'!$K$5:$K$528,0))),""))</f>
        <v/>
      </c>
      <c r="BL23" s="57">
        <f>IF(OR(3&gt;MAX(3,MIN(15,N($D$18))),IFERROR(LARGE('Calc (scoring engine)'!$K$5:$K$528,3),-999999)&lt;=-900000),"",IFERROR(IF(INDEX(Database!$BO$5:$BO$528,MATCH(LARGE('Calc (scoring engine)'!$K$5:$K$528,3),'Calc (scoring engine)'!$K$5:$K$528,0))="","—",INDEX(Database!$BO$5:$BO$528,MATCH(LARGE('Calc (scoring engine)'!$K$5:$K$528,3),'Calc (scoring engine)'!$K$5:$K$528,0))),""))</f>
        <v/>
      </c>
      <c r="BM23" s="85">
        <f>IF(OR(3&gt;MAX(3,MIN(15,N($D$18))),IFERROR(LARGE('Calc (scoring engine)'!$K$5:$K$528,3),-999999)&lt;=-900000),"",IFERROR(IF(INDEX(Database!$BP$5:$BP$528,MATCH(LARGE('Calc (scoring engine)'!$K$5:$K$528,3),'Calc (scoring engine)'!$K$5:$K$528,0))="","—",INDEX(Database!$BP$5:$BP$528,MATCH(LARGE('Calc (scoring engine)'!$K$5:$K$528,3),'Calc (scoring engine)'!$K$5:$K$528,0))),""))</f>
        <v/>
      </c>
      <c r="BN23" s="89">
        <f>IF(OR(3&gt;MAX(3,MIN(15,N($D$18))),IFERROR(LARGE('Calc (scoring engine)'!$K$5:$K$528,3),-999999)&lt;=-900000),"",IFERROR(IF(INDEX(Database!$BQ$5:$BQ$528,MATCH(LARGE('Calc (scoring engine)'!$K$5:$K$528,3),'Calc (scoring engine)'!$K$5:$K$528,0))="","—",INDEX(Database!$BQ$5:$BQ$528,MATCH(LARGE('Calc (scoring engine)'!$K$5:$K$528,3),'Calc (scoring engine)'!$K$5:$K$528,0))),""))</f>
        <v/>
      </c>
      <c r="BO23" s="53">
        <f>IF(OR(3&gt;MAX(3,MIN(15,N($D$18))),IFERROR(LARGE('Calc (scoring engine)'!$K$5:$K$528,3),-999999)&lt;=-900000),"",IFERROR(IF(INDEX(Database!$BR$5:$BR$528,MATCH(LARGE('Calc (scoring engine)'!$K$5:$K$528,3),'Calc (scoring engine)'!$K$5:$K$528,0))="","—",INDEX(Database!$BR$5:$BR$528,MATCH(LARGE('Calc (scoring engine)'!$K$5:$K$528,3),'Calc (scoring engine)'!$K$5:$K$528,0))),""))</f>
        <v/>
      </c>
      <c r="BP23" s="58">
        <f>IF(OR(3&gt;MAX(3,MIN(15,N($D$18))),IFERROR(LARGE('Calc (scoring engine)'!$K$5:$K$528,3),-999999)&lt;=-900000),"",IFERROR(IF(INDEX(Database!$BS$5:$BS$528,MATCH(LARGE('Calc (scoring engine)'!$K$5:$K$528,3),'Calc (scoring engine)'!$K$5:$K$528,0))="","—",INDEX(Database!$BS$5:$BS$528,MATCH(LARGE('Calc (scoring engine)'!$K$5:$K$528,3),'Calc (scoring engine)'!$K$5:$K$528,0))),""))</f>
        <v/>
      </c>
      <c r="BQ23" s="58">
        <f>IF(OR(3&gt;MAX(3,MIN(15,N($D$18))),IFERROR(LARGE('Calc (scoring engine)'!$K$5:$K$528,3),-999999)&lt;=-900000),"",IFERROR(IF(INDEX(Database!$BT$5:$BT$528,MATCH(LARGE('Calc (scoring engine)'!$K$5:$K$528,3),'Calc (scoring engine)'!$K$5:$K$528,0))="","—",INDEX(Database!$BT$5:$BT$528,MATCH(LARGE('Calc (scoring engine)'!$K$5:$K$528,3),'Calc (scoring engine)'!$K$5:$K$528,0))),""))</f>
        <v/>
      </c>
      <c r="BR23" s="43">
        <f>IF(OR(3&gt;MAX(3,MIN(15,N($D$18))),IFERROR(LARGE('Calc (scoring engine)'!$K$5:$K$528,3),-999999)&lt;=-900000),"",IFERROR(IF(INDEX(Database!$BU$5:$BU$528,MATCH(LARGE('Calc (scoring engine)'!$K$5:$K$528,3),'Calc (scoring engine)'!$K$5:$K$528,0))="","—",INDEX(Database!$BU$5:$BU$528,MATCH(LARGE('Calc (scoring engine)'!$K$5:$K$528,3),'Calc (scoring engine)'!$K$5:$K$528,0))),""))</f>
        <v/>
      </c>
      <c r="BS23" s="43">
        <f>IF(OR(3&gt;MAX(3,MIN(15,N($D$18))),IFERROR(LARGE('Calc (scoring engine)'!$K$5:$K$528,3),-999999)&lt;=-900000),"",IFERROR(IF(INDEX(Database!$BW$5:$BW$528,MATCH(LARGE('Calc (scoring engine)'!$K$5:$K$528,3),'Calc (scoring engine)'!$K$5:$K$528,0))="","—",INDEX(Database!$BW$5:$BW$528,MATCH(LARGE('Calc (scoring engine)'!$K$5:$K$528,3),'Calc (scoring engine)'!$K$5:$K$528,0))),""))</f>
        <v/>
      </c>
      <c r="BT23" s="88">
        <f>IF(OR(3&gt;MAX(3,MIN(15,N($D$18))),IFERROR(LARGE('Calc (scoring engine)'!$K$5:$K$528,3),-999999)&lt;=-900000),"",IFERROR(IF(INDEX('Calc (scoring engine)'!$H$5:$H$528,MATCH(LARGE('Calc (scoring engine)'!$K$5:$K$528,3),'Calc (scoring engine)'!$K$5:$K$528,0))&gt;0,INDEX('Calc (scoring engine)'!$H$5:$H$528,MATCH(LARGE('Calc (scoring engine)'!$K$5:$K$528,3),'Calc (scoring engine)'!$K$5:$K$528,0)),""),""))</f>
        <v/>
      </c>
      <c r="BU23" s="43">
        <f>IF(OR(3&gt;MAX(3,MIN(15,N($D$18))),IFERROR(LARGE('Calc (scoring engine)'!$K$5:$K$528,3),-999999)&lt;=-900000),"",IF(IFERROR(INDEX('Calc (scoring engine)'!$B$5:$B$528,MATCH(LARGE('Calc (scoring engine)'!$K$5:$K$528,3),'Calc (scoring engine)'!$K$5:$K$528,0)),0)=1,"same subsector","sector only"))</f>
        <v/>
      </c>
      <c r="BV23" s="88">
        <f>IF(OR(3&gt;MAX(3,MIN(15,N($D$18))),IFERROR(LARGE('Calc (scoring engine)'!$K$5:$K$528,3),-999999)&lt;=-900000),"",ROUND(IFERROR(LARGE('Calc (scoring engine)'!$K$5:$K$528,3),0),0))</f>
        <v/>
      </c>
      <c r="BW23" s="43">
        <f>IF(OR(3&gt;MAX(3,MIN(15,N($D$18))),IFERROR(LARGE('Calc (scoring engine)'!$K$5:$K$528,3),-999999)&lt;=-900000),"",IFERROR("sub "&amp;INDEX('Calc (scoring engine)'!$B$5:$B$528,MATCH(LARGE('Calc (scoring engine)'!$K$5:$K$528,3),'Calc (scoring engine)'!$K$5:$K$528,0))*W_SUB&amp;" + size "&amp;ROUND(INDEX('Calc (scoring engine)'!$D$5:$D$528,MATCH(LARGE('Calc (scoring engine)'!$K$5:$K$528,3),'Calc (scoring engine)'!$K$5:$K$528,0))*W_SIZE,0)&amp;" + prof "&amp;INDEX('Calc (scoring engine)'!$E$5:$E$528,MATCH(LARGE('Calc (scoring engine)'!$K$5:$K$528,3),'Calc (scoring engine)'!$K$5:$K$528,0))*W_PROF&amp;" + recency "&amp;ROUND(INDEX('Calc (scoring engine)'!$G$5:$G$528,MATCH(LARGE('Calc (scoring engine)'!$K$5:$K$528,3),'Calc (scoring engine)'!$K$5:$K$528,0))*W_REC,0)&amp;IF(INDEX('Calc (scoring engine)'!$H$5:$H$528,MATCH(LARGE('Calc (scoring engine)'!$K$5:$K$528,3),'Calc (scoring engine)'!$K$5:$K$528,0))&gt;0," + shared CS x"&amp;INDEX('Calc (scoring engine)'!$H$5:$H$528,MATCH(LARGE('Calc (scoring engine)'!$K$5:$K$528,3),'Calc (scoring engine)'!$K$5:$K$528,0)),""),""))</f>
        <v/>
      </c>
    </row>
    <row r="24">
      <c r="A24" s="83">
        <f>IF(OR(4&gt;MAX(3,MIN(15,N($D$18))),IFERROR(LARGE('Calc (scoring engine)'!$K$5:$K$528,4),-999999)&lt;=-900000),"",4)</f>
        <v/>
      </c>
      <c r="B24" s="43">
        <f>IF(OR(4&gt;MAX(3,MIN(15,N($D$18))),IFERROR(LARGE('Calc (scoring engine)'!$K$5:$K$528,4),-999999)&lt;=-900000),"",IFERROR(IF(INDEX(Database!$B$5:$B$528,MATCH(LARGE('Calc (scoring engine)'!$K$5:$K$528,4),'Calc (scoring engine)'!$K$5:$K$528,0))="","—",INDEX(Database!$B$5:$B$528,MATCH(LARGE('Calc (scoring engine)'!$K$5:$K$528,4),'Calc (scoring engine)'!$K$5:$K$528,0))),""))</f>
        <v/>
      </c>
      <c r="C24" s="84">
        <f>IF(OR(4&gt;MAX(3,MIN(15,N($D$18))),IFERROR(LARGE('Calc (scoring engine)'!$K$5:$K$528,4),-999999)&lt;=-900000),"",IFERROR(IF(INDEX(Database!$A$5:$A$528,MATCH(LARGE('Calc (scoring engine)'!$K$5:$K$528,4),'Calc (scoring engine)'!$K$5:$K$528,0))="","—",INDEX(Database!$A$5:$A$528,MATCH(LARGE('Calc (scoring engine)'!$K$5:$K$528,4),'Calc (scoring engine)'!$K$5:$K$528,0))),""))</f>
        <v/>
      </c>
      <c r="D24" s="43">
        <f>IF(OR(4&gt;MAX(3,MIN(15,N($D$18))),IFERROR(LARGE('Calc (scoring engine)'!$K$5:$K$528,4),-999999)&lt;=-900000),"",IFERROR(IF(INDEX(Database!$D$5:$D$528,MATCH(LARGE('Calc (scoring engine)'!$K$5:$K$528,4),'Calc (scoring engine)'!$K$5:$K$528,0))="","—",INDEX(Database!$D$5:$D$528,MATCH(LARGE('Calc (scoring engine)'!$K$5:$K$528,4),'Calc (scoring engine)'!$K$5:$K$528,0))),""))</f>
        <v/>
      </c>
      <c r="E24" s="43">
        <f>IF(OR(4&gt;MAX(3,MIN(15,N($D$18))),IFERROR(LARGE('Calc (scoring engine)'!$K$5:$K$528,4),-999999)&lt;=-900000),"",IFERROR(IF(INDEX(Database!$E$5:$E$528,MATCH(LARGE('Calc (scoring engine)'!$K$5:$K$528,4),'Calc (scoring engine)'!$K$5:$K$528,0))="","—",INDEX(Database!$E$5:$E$528,MATCH(LARGE('Calc (scoring engine)'!$K$5:$K$528,4),'Calc (scoring engine)'!$K$5:$K$528,0))),""))</f>
        <v/>
      </c>
      <c r="F24" s="43">
        <f>IF(OR(4&gt;MAX(3,MIN(15,N($D$18))),IFERROR(LARGE('Calc (scoring engine)'!$K$5:$K$528,4),-999999)&lt;=-900000),"",IFERROR(IF(INDEX(Database!$F$5:$F$528,MATCH(LARGE('Calc (scoring engine)'!$K$5:$K$528,4),'Calc (scoring engine)'!$K$5:$K$528,0))="","—",INDEX(Database!$F$5:$F$528,MATCH(LARGE('Calc (scoring engine)'!$K$5:$K$528,4),'Calc (scoring engine)'!$K$5:$K$528,0))),""))</f>
        <v/>
      </c>
      <c r="G24" s="43">
        <f>IF(OR(4&gt;MAX(3,MIN(15,N($D$18))),IFERROR(LARGE('Calc (scoring engine)'!$K$5:$K$528,4),-999999)&lt;=-900000),"",IFERROR(IF(INDEX(Database!$G$5:$G$528,MATCH(LARGE('Calc (scoring engine)'!$K$5:$K$528,4),'Calc (scoring engine)'!$K$5:$K$528,0))="","—",INDEX(Database!$G$5:$G$528,MATCH(LARGE('Calc (scoring engine)'!$K$5:$K$528,4),'Calc (scoring engine)'!$K$5:$K$528,0))),""))</f>
        <v/>
      </c>
      <c r="H24" s="55">
        <f>IF(OR(4&gt;MAX(3,MIN(15,N($D$18))),IFERROR(LARGE('Calc (scoring engine)'!$K$5:$K$528,4),-999999)&lt;=-900000),"",IFERROR(IF(INDEX(Database!$H$5:$H$528,MATCH(LARGE('Calc (scoring engine)'!$K$5:$K$528,4),'Calc (scoring engine)'!$K$5:$K$528,0))="","—",INDEX(Database!$H$5:$H$528,MATCH(LARGE('Calc (scoring engine)'!$K$5:$K$528,4),'Calc (scoring engine)'!$K$5:$K$528,0))),""))</f>
        <v/>
      </c>
      <c r="I24" s="53">
        <f>IF(OR(4&gt;MAX(3,MIN(15,N($D$18))),IFERROR(LARGE('Calc (scoring engine)'!$K$5:$K$528,4),-999999)&lt;=-900000),"",IFERROR(IF(INDEX(Database!$I$5:$I$528,MATCH(LARGE('Calc (scoring engine)'!$K$5:$K$528,4),'Calc (scoring engine)'!$K$5:$K$528,0))="","—",INDEX(Database!$I$5:$I$528,MATCH(LARGE('Calc (scoring engine)'!$K$5:$K$528,4),'Calc (scoring engine)'!$K$5:$K$528,0))),""))</f>
        <v/>
      </c>
      <c r="J24" s="85">
        <f>IF(OR(4&gt;MAX(3,MIN(15,N($D$18))),IFERROR(LARGE('Calc (scoring engine)'!$K$5:$K$528,4),-999999)&lt;=-900000),"",IFERROR(IF(INDEX(Database!$K$5:$K$528,MATCH(LARGE('Calc (scoring engine)'!$K$5:$K$528,4),'Calc (scoring engine)'!$K$5:$K$528,0))="","—",INDEX(Database!$K$5:$K$528,MATCH(LARGE('Calc (scoring engine)'!$K$5:$K$528,4),'Calc (scoring engine)'!$K$5:$K$528,0))),""))</f>
        <v/>
      </c>
      <c r="K24" s="85">
        <f>IF(OR(4&gt;MAX(3,MIN(15,N($D$18))),IFERROR(LARGE('Calc (scoring engine)'!$K$5:$K$528,4),-999999)&lt;=-900000),"",IFERROR(IF(INDEX(Database!$L$5:$L$528,MATCH(LARGE('Calc (scoring engine)'!$K$5:$K$528,4),'Calc (scoring engine)'!$K$5:$K$528,0))="","—",INDEX(Database!$L$5:$L$528,MATCH(LARGE('Calc (scoring engine)'!$K$5:$K$528,4),'Calc (scoring engine)'!$K$5:$K$528,0))),""))</f>
        <v/>
      </c>
      <c r="L24" s="85">
        <f>IF(OR(4&gt;MAX(3,MIN(15,N($D$18))),IFERROR(LARGE('Calc (scoring engine)'!$K$5:$K$528,4),-999999)&lt;=-900000),"",IFERROR(IF(INDEX(Database!$M$5:$M$528,MATCH(LARGE('Calc (scoring engine)'!$K$5:$K$528,4),'Calc (scoring engine)'!$K$5:$K$528,0))="","—",INDEX(Database!$M$5:$M$528,MATCH(LARGE('Calc (scoring engine)'!$K$5:$K$528,4),'Calc (scoring engine)'!$K$5:$K$528,0))),""))</f>
        <v/>
      </c>
      <c r="M24" s="43">
        <f>IF(OR(4&gt;MAX(3,MIN(15,N($D$18))),IFERROR(LARGE('Calc (scoring engine)'!$K$5:$K$528,4),-999999)&lt;=-900000),"",IFERROR(IF(INDEX(Database!$N$5:$N$528,MATCH(LARGE('Calc (scoring engine)'!$K$5:$K$528,4),'Calc (scoring engine)'!$K$5:$K$528,0))="","—",INDEX(Database!$N$5:$N$528,MATCH(LARGE('Calc (scoring engine)'!$K$5:$K$528,4),'Calc (scoring engine)'!$K$5:$K$528,0))),""))</f>
        <v/>
      </c>
      <c r="N24" s="65">
        <f>IF(OR(4&gt;MAX(3,MIN(15,N($D$18))),IFERROR(LARGE('Calc (scoring engine)'!$K$5:$K$528,4),-999999)&lt;=-900000),"",IFERROR(IF(INDEX(Database!$O$5:$O$528,MATCH(LARGE('Calc (scoring engine)'!$K$5:$K$528,4),'Calc (scoring engine)'!$K$5:$K$528,0))="","—",INDEX(Database!$O$5:$O$528,MATCH(LARGE('Calc (scoring engine)'!$K$5:$K$528,4),'Calc (scoring engine)'!$K$5:$K$528,0))),""))</f>
        <v/>
      </c>
      <c r="O24" s="65">
        <f>IF(OR(4&gt;MAX(3,MIN(15,N($D$18))),IFERROR(LARGE('Calc (scoring engine)'!$K$5:$K$528,4),-999999)&lt;=-900000),"",IFERROR(IF(INDEX(Database!$P$5:$P$528,MATCH(LARGE('Calc (scoring engine)'!$K$5:$K$528,4),'Calc (scoring engine)'!$K$5:$K$528,0))="","—",INDEX(Database!$P$5:$P$528,MATCH(LARGE('Calc (scoring engine)'!$K$5:$K$528,4),'Calc (scoring engine)'!$K$5:$K$528,0))),""))</f>
        <v/>
      </c>
      <c r="P24" s="53">
        <f>IF(OR(4&gt;MAX(3,MIN(15,N($D$18))),IFERROR(LARGE('Calc (scoring engine)'!$K$5:$K$528,4),-999999)&lt;=-900000),"",IFERROR(IF(INDEX(Database!$Q$5:$Q$528,MATCH(LARGE('Calc (scoring engine)'!$K$5:$K$528,4),'Calc (scoring engine)'!$K$5:$K$528,0))="","—",INDEX(Database!$Q$5:$Q$528,MATCH(LARGE('Calc (scoring engine)'!$K$5:$K$528,4),'Calc (scoring engine)'!$K$5:$K$528,0))),""))</f>
        <v/>
      </c>
      <c r="Q24" s="60">
        <f>IF(OR(4&gt;MAX(3,MIN(15,N($D$18))),IFERROR(LARGE('Calc (scoring engine)'!$K$5:$K$528,4),-999999)&lt;=-900000),"",IFERROR(IF(INDEX(Database!$S$5:$S$528,MATCH(LARGE('Calc (scoring engine)'!$K$5:$K$528,4),'Calc (scoring engine)'!$K$5:$K$528,0))="","—",INDEX(Database!$S$5:$S$528,MATCH(LARGE('Calc (scoring engine)'!$K$5:$K$528,4),'Calc (scoring engine)'!$K$5:$K$528,0))),""))</f>
        <v/>
      </c>
      <c r="R24" s="86">
        <f>IF(OR(4&gt;MAX(3,MIN(15,N($D$18))),IFERROR(LARGE('Calc (scoring engine)'!$K$5:$K$528,4),-999999)&lt;=-900000),"",IFERROR(IF(INDEX(Database!$T$5:$T$528,MATCH(LARGE('Calc (scoring engine)'!$K$5:$K$528,4),'Calc (scoring engine)'!$K$5:$K$528,0))="","—",INDEX(Database!$T$5:$T$528,MATCH(LARGE('Calc (scoring engine)'!$K$5:$K$528,4),'Calc (scoring engine)'!$K$5:$K$528,0))),""))</f>
        <v/>
      </c>
      <c r="S24" s="87">
        <f>IF(OR(4&gt;MAX(3,MIN(15,N($D$18))),IFERROR(LARGE('Calc (scoring engine)'!$K$5:$K$528,4),-999999)&lt;=-900000),"",IFERROR(IF(INDEX(Database!$U$5:$U$528,MATCH(LARGE('Calc (scoring engine)'!$K$5:$K$528,4),'Calc (scoring engine)'!$K$5:$K$528,0))="","—",INDEX(Database!$U$5:$U$528,MATCH(LARGE('Calc (scoring engine)'!$K$5:$K$528,4),'Calc (scoring engine)'!$K$5:$K$528,0))),""))</f>
        <v/>
      </c>
      <c r="T24" s="88">
        <f>IF(OR(4&gt;MAX(3,MIN(15,N($D$18))),IFERROR(LARGE('Calc (scoring engine)'!$K$5:$K$528,4),-999999)&lt;=-900000),"",IFERROR(IF(INDEX(Database!$V$5:$V$528,MATCH(LARGE('Calc (scoring engine)'!$K$5:$K$528,4),'Calc (scoring engine)'!$K$5:$K$528,0))="","—",INDEX(Database!$V$5:$V$528,MATCH(LARGE('Calc (scoring engine)'!$K$5:$K$528,4),'Calc (scoring engine)'!$K$5:$K$528,0))),""))</f>
        <v/>
      </c>
      <c r="U24" s="65">
        <f>IF(OR(4&gt;MAX(3,MIN(15,N($D$18))),IFERROR(LARGE('Calc (scoring engine)'!$K$5:$K$528,4),-999999)&lt;=-900000),"",IFERROR(IF(INDEX(Database!$W$5:$W$528,MATCH(LARGE('Calc (scoring engine)'!$K$5:$K$528,4),'Calc (scoring engine)'!$K$5:$K$528,0))="","—",INDEX(Database!$W$5:$W$528,MATCH(LARGE('Calc (scoring engine)'!$K$5:$K$528,4),'Calc (scoring engine)'!$K$5:$K$528,0))),""))</f>
        <v/>
      </c>
      <c r="V24" s="43">
        <f>IF(OR(4&gt;MAX(3,MIN(15,N($D$18))),IFERROR(LARGE('Calc (scoring engine)'!$K$5:$K$528,4),-999999)&lt;=-900000),"",IFERROR(IF(INDEX(Database!$X$5:$X$528,MATCH(LARGE('Calc (scoring engine)'!$K$5:$K$528,4),'Calc (scoring engine)'!$K$5:$K$528,0))="","—",INDEX(Database!$X$5:$X$528,MATCH(LARGE('Calc (scoring engine)'!$K$5:$K$528,4),'Calc (scoring engine)'!$K$5:$K$528,0))),""))</f>
        <v/>
      </c>
      <c r="W24" s="53">
        <f>IF(OR(4&gt;MAX(3,MIN(15,N($D$18))),IFERROR(LARGE('Calc (scoring engine)'!$K$5:$K$528,4),-999999)&lt;=-900000),"",IFERROR(IF(INDEX(Database!$Y$5:$Y$528,MATCH(LARGE('Calc (scoring engine)'!$K$5:$K$528,4),'Calc (scoring engine)'!$K$5:$K$528,0))="","—",INDEX(Database!$Y$5:$Y$528,MATCH(LARGE('Calc (scoring engine)'!$K$5:$K$528,4),'Calc (scoring engine)'!$K$5:$K$528,0))),""))</f>
        <v/>
      </c>
      <c r="X24" s="53">
        <f>IF(OR(4&gt;MAX(3,MIN(15,N($D$18))),IFERROR(LARGE('Calc (scoring engine)'!$K$5:$K$528,4),-999999)&lt;=-900000),"",IFERROR(IF(INDEX(Database!$Z$5:$Z$528,MATCH(LARGE('Calc (scoring engine)'!$K$5:$K$528,4),'Calc (scoring engine)'!$K$5:$K$528,0))="","—",INDEX(Database!$Z$5:$Z$528,MATCH(LARGE('Calc (scoring engine)'!$K$5:$K$528,4),'Calc (scoring engine)'!$K$5:$K$528,0))),""))</f>
        <v/>
      </c>
      <c r="Y24" s="65">
        <f>IF(OR(4&gt;MAX(3,MIN(15,N($D$18))),IFERROR(LARGE('Calc (scoring engine)'!$K$5:$K$528,4),-999999)&lt;=-900000),"",IFERROR(IF(INDEX(Database!$AA$5:$AA$528,MATCH(LARGE('Calc (scoring engine)'!$K$5:$K$528,4),'Calc (scoring engine)'!$K$5:$K$528,0))="","—",INDEX(Database!$AA$5:$AA$528,MATCH(LARGE('Calc (scoring engine)'!$K$5:$K$528,4),'Calc (scoring engine)'!$K$5:$K$528,0))),""))</f>
        <v/>
      </c>
      <c r="Z24" s="43">
        <f>IF(OR(4&gt;MAX(3,MIN(15,N($D$18))),IFERROR(LARGE('Calc (scoring engine)'!$K$5:$K$528,4),-999999)&lt;=-900000),"",IFERROR(IF(INDEX(Database!$AB$5:$AB$528,MATCH(LARGE('Calc (scoring engine)'!$K$5:$K$528,4),'Calc (scoring engine)'!$K$5:$K$528,0))="","—",INDEX(Database!$AB$5:$AB$528,MATCH(LARGE('Calc (scoring engine)'!$K$5:$K$528,4),'Calc (scoring engine)'!$K$5:$K$528,0))),""))</f>
        <v/>
      </c>
      <c r="AA24" s="65">
        <f>IF(OR(4&gt;MAX(3,MIN(15,N($D$18))),IFERROR(LARGE('Calc (scoring engine)'!$K$5:$K$528,4),-999999)&lt;=-900000),"",IFERROR(IF(INDEX(Database!$AD$5:$AD$528,MATCH(LARGE('Calc (scoring engine)'!$K$5:$K$528,4),'Calc (scoring engine)'!$K$5:$K$528,0))="","—",INDEX(Database!$AD$5:$AD$528,MATCH(LARGE('Calc (scoring engine)'!$K$5:$K$528,4),'Calc (scoring engine)'!$K$5:$K$528,0))),""))</f>
        <v/>
      </c>
      <c r="AB24" s="43">
        <f>IF(OR(4&gt;MAX(3,MIN(15,N($D$18))),IFERROR(LARGE('Calc (scoring engine)'!$K$5:$K$528,4),-999999)&lt;=-900000),"",IFERROR(IF(INDEX(Database!$AE$5:$AE$528,MATCH(LARGE('Calc (scoring engine)'!$K$5:$K$528,4),'Calc (scoring engine)'!$K$5:$K$528,0))="","—",INDEX(Database!$AE$5:$AE$528,MATCH(LARGE('Calc (scoring engine)'!$K$5:$K$528,4),'Calc (scoring engine)'!$K$5:$K$528,0))),""))</f>
        <v/>
      </c>
      <c r="AC24" s="43">
        <f>IF(OR(4&gt;MAX(3,MIN(15,N($D$18))),IFERROR(LARGE('Calc (scoring engine)'!$K$5:$K$528,4),-999999)&lt;=-900000),"",IFERROR(IF(INDEX(Database!$AF$5:$AF$528,MATCH(LARGE('Calc (scoring engine)'!$K$5:$K$528,4),'Calc (scoring engine)'!$K$5:$K$528,0))="","—",INDEX(Database!$AF$5:$AF$528,MATCH(LARGE('Calc (scoring engine)'!$K$5:$K$528,4),'Calc (scoring engine)'!$K$5:$K$528,0))),""))</f>
        <v/>
      </c>
      <c r="AD24" s="43">
        <f>IF(OR(4&gt;MAX(3,MIN(15,N($D$18))),IFERROR(LARGE('Calc (scoring engine)'!$K$5:$K$528,4),-999999)&lt;=-900000),"",IFERROR(IF(INDEX(Database!$AG$5:$AG$528,MATCH(LARGE('Calc (scoring engine)'!$K$5:$K$528,4),'Calc (scoring engine)'!$K$5:$K$528,0))="","—",INDEX(Database!$AG$5:$AG$528,MATCH(LARGE('Calc (scoring engine)'!$K$5:$K$528,4),'Calc (scoring engine)'!$K$5:$K$528,0))),""))</f>
        <v/>
      </c>
      <c r="AE24" s="43">
        <f>IF(OR(4&gt;MAX(3,MIN(15,N($D$18))),IFERROR(LARGE('Calc (scoring engine)'!$K$5:$K$528,4),-999999)&lt;=-900000),"",IFERROR(IF(INDEX(Database!$AH$5:$AH$528,MATCH(LARGE('Calc (scoring engine)'!$K$5:$K$528,4),'Calc (scoring engine)'!$K$5:$K$528,0))="","—",INDEX(Database!$AH$5:$AH$528,MATCH(LARGE('Calc (scoring engine)'!$K$5:$K$528,4),'Calc (scoring engine)'!$K$5:$K$528,0))),""))</f>
        <v/>
      </c>
      <c r="AF24" s="57">
        <f>IF(OR(4&gt;MAX(3,MIN(15,N($D$18))),IFERROR(LARGE('Calc (scoring engine)'!$K$5:$K$528,4),-999999)&lt;=-900000),"",IFERROR(IF(INDEX(Database!$AI$5:$AI$528,MATCH(LARGE('Calc (scoring engine)'!$K$5:$K$528,4),'Calc (scoring engine)'!$K$5:$K$528,0))="","—",INDEX(Database!$AI$5:$AI$528,MATCH(LARGE('Calc (scoring engine)'!$K$5:$K$528,4),'Calc (scoring engine)'!$K$5:$K$528,0))),""))</f>
        <v/>
      </c>
      <c r="AG24" s="57">
        <f>IF(OR(4&gt;MAX(3,MIN(15,N($D$18))),IFERROR(LARGE('Calc (scoring engine)'!$K$5:$K$528,4),-999999)&lt;=-900000),"",IFERROR(IF(INDEX(Database!$AJ$5:$AJ$528,MATCH(LARGE('Calc (scoring engine)'!$K$5:$K$528,4),'Calc (scoring engine)'!$K$5:$K$528,0))="","—",INDEX(Database!$AJ$5:$AJ$528,MATCH(LARGE('Calc (scoring engine)'!$K$5:$K$528,4),'Calc (scoring engine)'!$K$5:$K$528,0))),""))</f>
        <v/>
      </c>
      <c r="AH24" s="57">
        <f>IF(OR(4&gt;MAX(3,MIN(15,N($D$18))),IFERROR(LARGE('Calc (scoring engine)'!$K$5:$K$528,4),-999999)&lt;=-900000),"",IFERROR(IF(INDEX(Database!$AK$5:$AK$528,MATCH(LARGE('Calc (scoring engine)'!$K$5:$K$528,4),'Calc (scoring engine)'!$K$5:$K$528,0))="","—",INDEX(Database!$AK$5:$AK$528,MATCH(LARGE('Calc (scoring engine)'!$K$5:$K$528,4),'Calc (scoring engine)'!$K$5:$K$528,0))),""))</f>
        <v/>
      </c>
      <c r="AI24" s="57">
        <f>IF(OR(4&gt;MAX(3,MIN(15,N($D$18))),IFERROR(LARGE('Calc (scoring engine)'!$K$5:$K$528,4),-999999)&lt;=-900000),"",IFERROR(IF(INDEX(Database!$AL$5:$AL$528,MATCH(LARGE('Calc (scoring engine)'!$K$5:$K$528,4),'Calc (scoring engine)'!$K$5:$K$528,0))="","—",INDEX(Database!$AL$5:$AL$528,MATCH(LARGE('Calc (scoring engine)'!$K$5:$K$528,4),'Calc (scoring engine)'!$K$5:$K$528,0))),""))</f>
        <v/>
      </c>
      <c r="AJ24" s="57">
        <f>IF(OR(4&gt;MAX(3,MIN(15,N($D$18))),IFERROR(LARGE('Calc (scoring engine)'!$K$5:$K$528,4),-999999)&lt;=-900000),"",IFERROR(IF(INDEX(Database!$AM$5:$AM$528,MATCH(LARGE('Calc (scoring engine)'!$K$5:$K$528,4),'Calc (scoring engine)'!$K$5:$K$528,0))="","—",INDEX(Database!$AM$5:$AM$528,MATCH(LARGE('Calc (scoring engine)'!$K$5:$K$528,4),'Calc (scoring engine)'!$K$5:$K$528,0))),""))</f>
        <v/>
      </c>
      <c r="AK24" s="58">
        <f>IF(OR(4&gt;MAX(3,MIN(15,N($D$18))),IFERROR(LARGE('Calc (scoring engine)'!$K$5:$K$528,4),-999999)&lt;=-900000),"",IFERROR(IF(INDEX(Database!$AN$5:$AN$528,MATCH(LARGE('Calc (scoring engine)'!$K$5:$K$528,4),'Calc (scoring engine)'!$K$5:$K$528,0))="","—",INDEX(Database!$AN$5:$AN$528,MATCH(LARGE('Calc (scoring engine)'!$K$5:$K$528,4),'Calc (scoring engine)'!$K$5:$K$528,0))),""))</f>
        <v/>
      </c>
      <c r="AL24" s="65">
        <f>IF(OR(4&gt;MAX(3,MIN(15,N($D$18))),IFERROR(LARGE('Calc (scoring engine)'!$K$5:$K$528,4),-999999)&lt;=-900000),"",IFERROR(IF(INDEX(Database!$AO$5:$AO$528,MATCH(LARGE('Calc (scoring engine)'!$K$5:$K$528,4),'Calc (scoring engine)'!$K$5:$K$528,0))="","—",INDEX(Database!$AO$5:$AO$528,MATCH(LARGE('Calc (scoring engine)'!$K$5:$K$528,4),'Calc (scoring engine)'!$K$5:$K$528,0))),""))</f>
        <v/>
      </c>
      <c r="AM24" s="57">
        <f>IF(OR(4&gt;MAX(3,MIN(15,N($D$18))),IFERROR(LARGE('Calc (scoring engine)'!$K$5:$K$528,4),-999999)&lt;=-900000),"",IFERROR(IF(INDEX(Database!$AP$5:$AP$528,MATCH(LARGE('Calc (scoring engine)'!$K$5:$K$528,4),'Calc (scoring engine)'!$K$5:$K$528,0))="","—",INDEX(Database!$AP$5:$AP$528,MATCH(LARGE('Calc (scoring engine)'!$K$5:$K$528,4),'Calc (scoring engine)'!$K$5:$K$528,0))),""))</f>
        <v/>
      </c>
      <c r="AN24" s="57">
        <f>IF(OR(4&gt;MAX(3,MIN(15,N($D$18))),IFERROR(LARGE('Calc (scoring engine)'!$K$5:$K$528,4),-999999)&lt;=-900000),"",IFERROR(IF(INDEX(Database!$AQ$5:$AQ$528,MATCH(LARGE('Calc (scoring engine)'!$K$5:$K$528,4),'Calc (scoring engine)'!$K$5:$K$528,0))="","—",INDEX(Database!$AQ$5:$AQ$528,MATCH(LARGE('Calc (scoring engine)'!$K$5:$K$528,4),'Calc (scoring engine)'!$K$5:$K$528,0))),""))</f>
        <v/>
      </c>
      <c r="AO24" s="57">
        <f>IF(OR(4&gt;MAX(3,MIN(15,N($D$18))),IFERROR(LARGE('Calc (scoring engine)'!$K$5:$K$528,4),-999999)&lt;=-900000),"",IFERROR(IF(INDEX(Database!$AR$5:$AR$528,MATCH(LARGE('Calc (scoring engine)'!$K$5:$K$528,4),'Calc (scoring engine)'!$K$5:$K$528,0))="","—",INDEX(Database!$AR$5:$AR$528,MATCH(LARGE('Calc (scoring engine)'!$K$5:$K$528,4),'Calc (scoring engine)'!$K$5:$K$528,0))),""))</f>
        <v/>
      </c>
      <c r="AP24" s="57">
        <f>IF(OR(4&gt;MAX(3,MIN(15,N($D$18))),IFERROR(LARGE('Calc (scoring engine)'!$K$5:$K$528,4),-999999)&lt;=-900000),"",IFERROR(IF(INDEX(Database!$AS$5:$AS$528,MATCH(LARGE('Calc (scoring engine)'!$K$5:$K$528,4),'Calc (scoring engine)'!$K$5:$K$528,0))="","—",INDEX(Database!$AS$5:$AS$528,MATCH(LARGE('Calc (scoring engine)'!$K$5:$K$528,4),'Calc (scoring engine)'!$K$5:$K$528,0))),""))</f>
        <v/>
      </c>
      <c r="AQ24" s="57">
        <f>IF(OR(4&gt;MAX(3,MIN(15,N($D$18))),IFERROR(LARGE('Calc (scoring engine)'!$K$5:$K$528,4),-999999)&lt;=-900000),"",IFERROR(IF(INDEX(Database!$AT$5:$AT$528,MATCH(LARGE('Calc (scoring engine)'!$K$5:$K$528,4),'Calc (scoring engine)'!$K$5:$K$528,0))="","—",INDEX(Database!$AT$5:$AT$528,MATCH(LARGE('Calc (scoring engine)'!$K$5:$K$528,4),'Calc (scoring engine)'!$K$5:$K$528,0))),""))</f>
        <v/>
      </c>
      <c r="AR24" s="57">
        <f>IF(OR(4&gt;MAX(3,MIN(15,N($D$18))),IFERROR(LARGE('Calc (scoring engine)'!$K$5:$K$528,4),-999999)&lt;=-900000),"",IFERROR(IF(INDEX(Database!$AU$5:$AU$528,MATCH(LARGE('Calc (scoring engine)'!$K$5:$K$528,4),'Calc (scoring engine)'!$K$5:$K$528,0))="","—",INDEX(Database!$AU$5:$AU$528,MATCH(LARGE('Calc (scoring engine)'!$K$5:$K$528,4),'Calc (scoring engine)'!$K$5:$K$528,0))),""))</f>
        <v/>
      </c>
      <c r="AS24" s="57">
        <f>IF(OR(4&gt;MAX(3,MIN(15,N($D$18))),IFERROR(LARGE('Calc (scoring engine)'!$K$5:$K$528,4),-999999)&lt;=-900000),"",IFERROR(IF(INDEX(Database!$AV$5:$AV$528,MATCH(LARGE('Calc (scoring engine)'!$K$5:$K$528,4),'Calc (scoring engine)'!$K$5:$K$528,0))="","—",INDEX(Database!$AV$5:$AV$528,MATCH(LARGE('Calc (scoring engine)'!$K$5:$K$528,4),'Calc (scoring engine)'!$K$5:$K$528,0))),""))</f>
        <v/>
      </c>
      <c r="AT24" s="57">
        <f>IF(OR(4&gt;MAX(3,MIN(15,N($D$18))),IFERROR(LARGE('Calc (scoring engine)'!$K$5:$K$528,4),-999999)&lt;=-900000),"",IFERROR(IF(INDEX(Database!$AW$5:$AW$528,MATCH(LARGE('Calc (scoring engine)'!$K$5:$K$528,4),'Calc (scoring engine)'!$K$5:$K$528,0))="","—",INDEX(Database!$AW$5:$AW$528,MATCH(LARGE('Calc (scoring engine)'!$K$5:$K$528,4),'Calc (scoring engine)'!$K$5:$K$528,0))),""))</f>
        <v/>
      </c>
      <c r="AU24" s="57">
        <f>IF(OR(4&gt;MAX(3,MIN(15,N($D$18))),IFERROR(LARGE('Calc (scoring engine)'!$K$5:$K$528,4),-999999)&lt;=-900000),"",IFERROR(IF(INDEX(Database!$AX$5:$AX$528,MATCH(LARGE('Calc (scoring engine)'!$K$5:$K$528,4),'Calc (scoring engine)'!$K$5:$K$528,0))="","—",INDEX(Database!$AX$5:$AX$528,MATCH(LARGE('Calc (scoring engine)'!$K$5:$K$528,4),'Calc (scoring engine)'!$K$5:$K$528,0))),""))</f>
        <v/>
      </c>
      <c r="AV24" s="57">
        <f>IF(OR(4&gt;MAX(3,MIN(15,N($D$18))),IFERROR(LARGE('Calc (scoring engine)'!$K$5:$K$528,4),-999999)&lt;=-900000),"",IFERROR(IF(INDEX(Database!$AY$5:$AY$528,MATCH(LARGE('Calc (scoring engine)'!$K$5:$K$528,4),'Calc (scoring engine)'!$K$5:$K$528,0))="","—",INDEX(Database!$AY$5:$AY$528,MATCH(LARGE('Calc (scoring engine)'!$K$5:$K$528,4),'Calc (scoring engine)'!$K$5:$K$528,0))),""))</f>
        <v/>
      </c>
      <c r="AW24" s="57">
        <f>IF(OR(4&gt;MAX(3,MIN(15,N($D$18))),IFERROR(LARGE('Calc (scoring engine)'!$K$5:$K$528,4),-999999)&lt;=-900000),"",IFERROR(IF(INDEX(Database!$AZ$5:$AZ$528,MATCH(LARGE('Calc (scoring engine)'!$K$5:$K$528,4),'Calc (scoring engine)'!$K$5:$K$528,0))="","—",INDEX(Database!$AZ$5:$AZ$528,MATCH(LARGE('Calc (scoring engine)'!$K$5:$K$528,4),'Calc (scoring engine)'!$K$5:$K$528,0))),""))</f>
        <v/>
      </c>
      <c r="AX24" s="57">
        <f>IF(OR(4&gt;MAX(3,MIN(15,N($D$18))),IFERROR(LARGE('Calc (scoring engine)'!$K$5:$K$528,4),-999999)&lt;=-900000),"",IFERROR(IF(INDEX(Database!$BA$5:$BA$528,MATCH(LARGE('Calc (scoring engine)'!$K$5:$K$528,4),'Calc (scoring engine)'!$K$5:$K$528,0))="","—",INDEX(Database!$BA$5:$BA$528,MATCH(LARGE('Calc (scoring engine)'!$K$5:$K$528,4),'Calc (scoring engine)'!$K$5:$K$528,0))),""))</f>
        <v/>
      </c>
      <c r="AY24" s="57">
        <f>IF(OR(4&gt;MAX(3,MIN(15,N($D$18))),IFERROR(LARGE('Calc (scoring engine)'!$K$5:$K$528,4),-999999)&lt;=-900000),"",IFERROR(IF(INDEX(Database!$BC$5:$BC$528,MATCH(LARGE('Calc (scoring engine)'!$K$5:$K$528,4),'Calc (scoring engine)'!$K$5:$K$528,0))="","—",INDEX(Database!$BC$5:$BC$528,MATCH(LARGE('Calc (scoring engine)'!$K$5:$K$528,4),'Calc (scoring engine)'!$K$5:$K$528,0))),""))</f>
        <v/>
      </c>
      <c r="AZ24" s="53">
        <f>IF(OR(4&gt;MAX(3,MIN(15,N($D$18))),IFERROR(LARGE('Calc (scoring engine)'!$K$5:$K$528,4),-999999)&lt;=-900000),"",IFERROR(IF(INDEX(Database!$BE$5:$BE$528,MATCH(LARGE('Calc (scoring engine)'!$K$5:$K$528,4),'Calc (scoring engine)'!$K$5:$K$528,0))="","—",INDEX(Database!$BE$5:$BE$528,MATCH(LARGE('Calc (scoring engine)'!$K$5:$K$528,4),'Calc (scoring engine)'!$K$5:$K$528,0))),""))</f>
        <v/>
      </c>
      <c r="BA24" s="53">
        <f>IF(OR(4&gt;MAX(3,MIN(15,N($D$18))),IFERROR(LARGE('Calc (scoring engine)'!$K$5:$K$528,4),-999999)&lt;=-900000),"",IFERROR(IF(INDEX(Database!$BF$5:$BF$528,MATCH(LARGE('Calc (scoring engine)'!$K$5:$K$528,4),'Calc (scoring engine)'!$K$5:$K$528,0))="","—",INDEX(Database!$BF$5:$BF$528,MATCH(LARGE('Calc (scoring engine)'!$K$5:$K$528,4),'Calc (scoring engine)'!$K$5:$K$528,0))),""))</f>
        <v/>
      </c>
      <c r="BB24" s="43">
        <f>IF(OR(4&gt;MAX(3,MIN(15,N($D$18))),IFERROR(LARGE('Calc (scoring engine)'!$K$5:$K$528,4),-999999)&lt;=-900000),"",IFERROR(IF(INDEX(Database!$BG$5:$BG$528,MATCH(LARGE('Calc (scoring engine)'!$K$5:$K$528,4),'Calc (scoring engine)'!$K$5:$K$528,0))="","—",INDEX(Database!$BG$5:$BG$528,MATCH(LARGE('Calc (scoring engine)'!$K$5:$K$528,4),'Calc (scoring engine)'!$K$5:$K$528,0))),""))</f>
        <v/>
      </c>
      <c r="BC24" s="58">
        <f>IF(OR(4&gt;MAX(3,MIN(15,N($D$18))),IFERROR(LARGE('Calc (scoring engine)'!$K$5:$K$528,4),-999999)&lt;=-900000),"",IFERROR(IF(N(INDEX(Database!$BH$5:$BH$528,MATCH(LARGE('Calc (scoring engine)'!$K$5:$K$528,4),'Calc (scoring engine)'!$K$5:$K$528,0)))&lt;=0,IF(INDEX(Database!$BG$5:$BG$528,MATCH(LARGE('Calc (scoring engine)'!$K$5:$K$528,4),'Calc (scoring engine)'!$K$5:$K$528,0))="N","n/m","—"),INDEX(Database!$BH$5:$BH$528,MATCH(LARGE('Calc (scoring engine)'!$K$5:$K$528,4),'Calc (scoring engine)'!$K$5:$K$528,0))),""))</f>
        <v/>
      </c>
      <c r="BD24" s="58">
        <f>IF(OR(4&gt;MAX(3,MIN(15,N($D$18))),IFERROR(LARGE('Calc (scoring engine)'!$K$5:$K$528,4),-999999)&lt;=-900000),"",IFERROR(IF(INDEX(Database!$BI$5:$BI$528,MATCH(LARGE('Calc (scoring engine)'!$K$5:$K$528,4),'Calc (scoring engine)'!$K$5:$K$528,0))="","—",INDEX(Database!$BI$5:$BI$528,MATCH(LARGE('Calc (scoring engine)'!$K$5:$K$528,4),'Calc (scoring engine)'!$K$5:$K$528,0))),""))</f>
        <v/>
      </c>
      <c r="BE24" s="58">
        <f>IF(OR(4&gt;MAX(3,MIN(15,N($D$18))),IFERROR(LARGE('Calc (scoring engine)'!$K$5:$K$528,4),-999999)&lt;=-900000),"",IFERROR(IF(INDEX(Database!$BJ$5:$BJ$528,MATCH(LARGE('Calc (scoring engine)'!$K$5:$K$528,4),'Calc (scoring engine)'!$K$5:$K$528,0))="","—",INDEX(Database!$BJ$5:$BJ$528,MATCH(LARGE('Calc (scoring engine)'!$K$5:$K$528,4),'Calc (scoring engine)'!$K$5:$K$528,0))),""))</f>
        <v/>
      </c>
      <c r="BF24" s="58">
        <f>IF(OR(4&gt;MAX(3,MIN(15,N($D$18))),IFERROR(LARGE('Calc (scoring engine)'!$K$5:$K$528,4),-999999)&lt;=-900000),"",IFERROR(IF(INDEX(Database!$BK$5:$BK$528,MATCH(LARGE('Calc (scoring engine)'!$K$5:$K$528,4),'Calc (scoring engine)'!$K$5:$K$528,0))="","—",INDEX(Database!$BK$5:$BK$528,MATCH(LARGE('Calc (scoring engine)'!$K$5:$K$528,4),'Calc (scoring engine)'!$K$5:$K$528,0))),""))</f>
        <v/>
      </c>
      <c r="BG24" s="58">
        <f>IF(OR(4&gt;MAX(3,MIN(15,N($D$18))),IFERROR(LARGE('Calc (scoring engine)'!$K$5:$K$528,4),-999999)&lt;=-900000),"",IFERROR(IF(INDEX(Database!$BL$5:$BL$528,MATCH(LARGE('Calc (scoring engine)'!$K$5:$K$528,4),'Calc (scoring engine)'!$K$5:$K$528,0))="","—",INDEX(Database!$BL$5:$BL$528,MATCH(LARGE('Calc (scoring engine)'!$K$5:$K$528,4),'Calc (scoring engine)'!$K$5:$K$528,0))),""))</f>
        <v/>
      </c>
      <c r="BH24" s="58">
        <f>IF(OR(4&gt;MAX(3,MIN(15,N($D$18))),IFERROR(LARGE('Calc (scoring engine)'!$K$5:$K$528,4),-999999)&lt;=-900000),"",IFERROR(IFERROR(BDP(TEXT(INDEX(Database!$A$5:$A$528,MATCH(LARGE('Calc (scoring engine)'!$K$5:$K$528,4),'Calc (scoring engine)'!$K$5:$K$528,0)),"0")&amp;" HK Equity","PE_RATIO"),IF(INDEX(Database!$BJ$5:$BJ$528,MATCH(LARGE('Calc (scoring engine)'!$K$5:$K$528,4),'Calc (scoring engine)'!$K$5:$K$528,0))="","—",INDEX(Database!$BJ$5:$BJ$528,MATCH(LARGE('Calc (scoring engine)'!$K$5:$K$528,4),'Calc (scoring engine)'!$K$5:$K$528,0)))),""))</f>
        <v/>
      </c>
      <c r="BI24" s="58">
        <f>IF(OR(4&gt;MAX(3,MIN(15,N($D$18))),IFERROR(LARGE('Calc (scoring engine)'!$K$5:$K$528,4),-999999)&lt;=-900000),"",IFERROR(IFERROR(BDP(TEXT(INDEX(Database!$A$5:$A$528,MATCH(LARGE('Calc (scoring engine)'!$K$5:$K$528,4),'Calc (scoring engine)'!$K$5:$K$528,0)),"0")&amp;" HK Equity","PX_TO_SALES_RATIO"),IF(INDEX(Database!$BK$5:$BK$528,MATCH(LARGE('Calc (scoring engine)'!$K$5:$K$528,4),'Calc (scoring engine)'!$K$5:$K$528,0))="","—",INDEX(Database!$BK$5:$BK$528,MATCH(LARGE('Calc (scoring engine)'!$K$5:$K$528,4),'Calc (scoring engine)'!$K$5:$K$528,0)))),""))</f>
        <v/>
      </c>
      <c r="BJ24" s="43">
        <f>IF(OR(4&gt;MAX(3,MIN(15,N($D$18))),IFERROR(LARGE('Calc (scoring engine)'!$K$5:$K$528,4),-999999)&lt;=-900000),"",IFERROR(IF(INDEX(Database!$BM$5:$BM$528,MATCH(LARGE('Calc (scoring engine)'!$K$5:$K$528,4),'Calc (scoring engine)'!$K$5:$K$528,0))="","—",INDEX(Database!$BM$5:$BM$528,MATCH(LARGE('Calc (scoring engine)'!$K$5:$K$528,4),'Calc (scoring engine)'!$K$5:$K$528,0))),""))</f>
        <v/>
      </c>
      <c r="BK24" s="43">
        <f>IF(OR(4&gt;MAX(3,MIN(15,N($D$18))),IFERROR(LARGE('Calc (scoring engine)'!$K$5:$K$528,4),-999999)&lt;=-900000),"",IFERROR(IF(INDEX(Database!$BN$5:$BN$528,MATCH(LARGE('Calc (scoring engine)'!$K$5:$K$528,4),'Calc (scoring engine)'!$K$5:$K$528,0))="","—",INDEX(Database!$BN$5:$BN$528,MATCH(LARGE('Calc (scoring engine)'!$K$5:$K$528,4),'Calc (scoring engine)'!$K$5:$K$528,0))),""))</f>
        <v/>
      </c>
      <c r="BL24" s="57">
        <f>IF(OR(4&gt;MAX(3,MIN(15,N($D$18))),IFERROR(LARGE('Calc (scoring engine)'!$K$5:$K$528,4),-999999)&lt;=-900000),"",IFERROR(IF(INDEX(Database!$BO$5:$BO$528,MATCH(LARGE('Calc (scoring engine)'!$K$5:$K$528,4),'Calc (scoring engine)'!$K$5:$K$528,0))="","—",INDEX(Database!$BO$5:$BO$528,MATCH(LARGE('Calc (scoring engine)'!$K$5:$K$528,4),'Calc (scoring engine)'!$K$5:$K$528,0))),""))</f>
        <v/>
      </c>
      <c r="BM24" s="85">
        <f>IF(OR(4&gt;MAX(3,MIN(15,N($D$18))),IFERROR(LARGE('Calc (scoring engine)'!$K$5:$K$528,4),-999999)&lt;=-900000),"",IFERROR(IF(INDEX(Database!$BP$5:$BP$528,MATCH(LARGE('Calc (scoring engine)'!$K$5:$K$528,4),'Calc (scoring engine)'!$K$5:$K$528,0))="","—",INDEX(Database!$BP$5:$BP$528,MATCH(LARGE('Calc (scoring engine)'!$K$5:$K$528,4),'Calc (scoring engine)'!$K$5:$K$528,0))),""))</f>
        <v/>
      </c>
      <c r="BN24" s="89">
        <f>IF(OR(4&gt;MAX(3,MIN(15,N($D$18))),IFERROR(LARGE('Calc (scoring engine)'!$K$5:$K$528,4),-999999)&lt;=-900000),"",IFERROR(IF(INDEX(Database!$BQ$5:$BQ$528,MATCH(LARGE('Calc (scoring engine)'!$K$5:$K$528,4),'Calc (scoring engine)'!$K$5:$K$528,0))="","—",INDEX(Database!$BQ$5:$BQ$528,MATCH(LARGE('Calc (scoring engine)'!$K$5:$K$528,4),'Calc (scoring engine)'!$K$5:$K$528,0))),""))</f>
        <v/>
      </c>
      <c r="BO24" s="53">
        <f>IF(OR(4&gt;MAX(3,MIN(15,N($D$18))),IFERROR(LARGE('Calc (scoring engine)'!$K$5:$K$528,4),-999999)&lt;=-900000),"",IFERROR(IF(INDEX(Database!$BR$5:$BR$528,MATCH(LARGE('Calc (scoring engine)'!$K$5:$K$528,4),'Calc (scoring engine)'!$K$5:$K$528,0))="","—",INDEX(Database!$BR$5:$BR$528,MATCH(LARGE('Calc (scoring engine)'!$K$5:$K$528,4),'Calc (scoring engine)'!$K$5:$K$528,0))),""))</f>
        <v/>
      </c>
      <c r="BP24" s="58">
        <f>IF(OR(4&gt;MAX(3,MIN(15,N($D$18))),IFERROR(LARGE('Calc (scoring engine)'!$K$5:$K$528,4),-999999)&lt;=-900000),"",IFERROR(IF(INDEX(Database!$BS$5:$BS$528,MATCH(LARGE('Calc (scoring engine)'!$K$5:$K$528,4),'Calc (scoring engine)'!$K$5:$K$528,0))="","—",INDEX(Database!$BS$5:$BS$528,MATCH(LARGE('Calc (scoring engine)'!$K$5:$K$528,4),'Calc (scoring engine)'!$K$5:$K$528,0))),""))</f>
        <v/>
      </c>
      <c r="BQ24" s="58">
        <f>IF(OR(4&gt;MAX(3,MIN(15,N($D$18))),IFERROR(LARGE('Calc (scoring engine)'!$K$5:$K$528,4),-999999)&lt;=-900000),"",IFERROR(IF(INDEX(Database!$BT$5:$BT$528,MATCH(LARGE('Calc (scoring engine)'!$K$5:$K$528,4),'Calc (scoring engine)'!$K$5:$K$528,0))="","—",INDEX(Database!$BT$5:$BT$528,MATCH(LARGE('Calc (scoring engine)'!$K$5:$K$528,4),'Calc (scoring engine)'!$K$5:$K$528,0))),""))</f>
        <v/>
      </c>
      <c r="BR24" s="43">
        <f>IF(OR(4&gt;MAX(3,MIN(15,N($D$18))),IFERROR(LARGE('Calc (scoring engine)'!$K$5:$K$528,4),-999999)&lt;=-900000),"",IFERROR(IF(INDEX(Database!$BU$5:$BU$528,MATCH(LARGE('Calc (scoring engine)'!$K$5:$K$528,4),'Calc (scoring engine)'!$K$5:$K$528,0))="","—",INDEX(Database!$BU$5:$BU$528,MATCH(LARGE('Calc (scoring engine)'!$K$5:$K$528,4),'Calc (scoring engine)'!$K$5:$K$528,0))),""))</f>
        <v/>
      </c>
      <c r="BS24" s="43">
        <f>IF(OR(4&gt;MAX(3,MIN(15,N($D$18))),IFERROR(LARGE('Calc (scoring engine)'!$K$5:$K$528,4),-999999)&lt;=-900000),"",IFERROR(IF(INDEX(Database!$BW$5:$BW$528,MATCH(LARGE('Calc (scoring engine)'!$K$5:$K$528,4),'Calc (scoring engine)'!$K$5:$K$528,0))="","—",INDEX(Database!$BW$5:$BW$528,MATCH(LARGE('Calc (scoring engine)'!$K$5:$K$528,4),'Calc (scoring engine)'!$K$5:$K$528,0))),""))</f>
        <v/>
      </c>
      <c r="BT24" s="88">
        <f>IF(OR(4&gt;MAX(3,MIN(15,N($D$18))),IFERROR(LARGE('Calc (scoring engine)'!$K$5:$K$528,4),-999999)&lt;=-900000),"",IFERROR(IF(INDEX('Calc (scoring engine)'!$H$5:$H$528,MATCH(LARGE('Calc (scoring engine)'!$K$5:$K$528,4),'Calc (scoring engine)'!$K$5:$K$528,0))&gt;0,INDEX('Calc (scoring engine)'!$H$5:$H$528,MATCH(LARGE('Calc (scoring engine)'!$K$5:$K$528,4),'Calc (scoring engine)'!$K$5:$K$528,0)),""),""))</f>
        <v/>
      </c>
      <c r="BU24" s="43">
        <f>IF(OR(4&gt;MAX(3,MIN(15,N($D$18))),IFERROR(LARGE('Calc (scoring engine)'!$K$5:$K$528,4),-999999)&lt;=-900000),"",IF(IFERROR(INDEX('Calc (scoring engine)'!$B$5:$B$528,MATCH(LARGE('Calc (scoring engine)'!$K$5:$K$528,4),'Calc (scoring engine)'!$K$5:$K$528,0)),0)=1,"same subsector","sector only"))</f>
        <v/>
      </c>
      <c r="BV24" s="88">
        <f>IF(OR(4&gt;MAX(3,MIN(15,N($D$18))),IFERROR(LARGE('Calc (scoring engine)'!$K$5:$K$528,4),-999999)&lt;=-900000),"",ROUND(IFERROR(LARGE('Calc (scoring engine)'!$K$5:$K$528,4),0),0))</f>
        <v/>
      </c>
      <c r="BW24" s="43">
        <f>IF(OR(4&gt;MAX(3,MIN(15,N($D$18))),IFERROR(LARGE('Calc (scoring engine)'!$K$5:$K$528,4),-999999)&lt;=-900000),"",IFERROR("sub "&amp;INDEX('Calc (scoring engine)'!$B$5:$B$528,MATCH(LARGE('Calc (scoring engine)'!$K$5:$K$528,4),'Calc (scoring engine)'!$K$5:$K$528,0))*W_SUB&amp;" + size "&amp;ROUND(INDEX('Calc (scoring engine)'!$D$5:$D$528,MATCH(LARGE('Calc (scoring engine)'!$K$5:$K$528,4),'Calc (scoring engine)'!$K$5:$K$528,0))*W_SIZE,0)&amp;" + prof "&amp;INDEX('Calc (scoring engine)'!$E$5:$E$528,MATCH(LARGE('Calc (scoring engine)'!$K$5:$K$528,4),'Calc (scoring engine)'!$K$5:$K$528,0))*W_PROF&amp;" + recency "&amp;ROUND(INDEX('Calc (scoring engine)'!$G$5:$G$528,MATCH(LARGE('Calc (scoring engine)'!$K$5:$K$528,4),'Calc (scoring engine)'!$K$5:$K$528,0))*W_REC,0)&amp;IF(INDEX('Calc (scoring engine)'!$H$5:$H$528,MATCH(LARGE('Calc (scoring engine)'!$K$5:$K$528,4),'Calc (scoring engine)'!$K$5:$K$528,0))&gt;0," + shared CS x"&amp;INDEX('Calc (scoring engine)'!$H$5:$H$528,MATCH(LARGE('Calc (scoring engine)'!$K$5:$K$528,4),'Calc (scoring engine)'!$K$5:$K$528,0)),""),""))</f>
        <v/>
      </c>
    </row>
    <row r="25">
      <c r="A25" s="83">
        <f>IF(OR(5&gt;MAX(3,MIN(15,N($D$18))),IFERROR(LARGE('Calc (scoring engine)'!$K$5:$K$528,5),-999999)&lt;=-900000),"",5)</f>
        <v/>
      </c>
      <c r="B25" s="43">
        <f>IF(OR(5&gt;MAX(3,MIN(15,N($D$18))),IFERROR(LARGE('Calc (scoring engine)'!$K$5:$K$528,5),-999999)&lt;=-900000),"",IFERROR(IF(INDEX(Database!$B$5:$B$528,MATCH(LARGE('Calc (scoring engine)'!$K$5:$K$528,5),'Calc (scoring engine)'!$K$5:$K$528,0))="","—",INDEX(Database!$B$5:$B$528,MATCH(LARGE('Calc (scoring engine)'!$K$5:$K$528,5),'Calc (scoring engine)'!$K$5:$K$528,0))),""))</f>
        <v/>
      </c>
      <c r="C25" s="84">
        <f>IF(OR(5&gt;MAX(3,MIN(15,N($D$18))),IFERROR(LARGE('Calc (scoring engine)'!$K$5:$K$528,5),-999999)&lt;=-900000),"",IFERROR(IF(INDEX(Database!$A$5:$A$528,MATCH(LARGE('Calc (scoring engine)'!$K$5:$K$528,5),'Calc (scoring engine)'!$K$5:$K$528,0))="","—",INDEX(Database!$A$5:$A$528,MATCH(LARGE('Calc (scoring engine)'!$K$5:$K$528,5),'Calc (scoring engine)'!$K$5:$K$528,0))),""))</f>
        <v/>
      </c>
      <c r="D25" s="43">
        <f>IF(OR(5&gt;MAX(3,MIN(15,N($D$18))),IFERROR(LARGE('Calc (scoring engine)'!$K$5:$K$528,5),-999999)&lt;=-900000),"",IFERROR(IF(INDEX(Database!$D$5:$D$528,MATCH(LARGE('Calc (scoring engine)'!$K$5:$K$528,5),'Calc (scoring engine)'!$K$5:$K$528,0))="","—",INDEX(Database!$D$5:$D$528,MATCH(LARGE('Calc (scoring engine)'!$K$5:$K$528,5),'Calc (scoring engine)'!$K$5:$K$528,0))),""))</f>
        <v/>
      </c>
      <c r="E25" s="43">
        <f>IF(OR(5&gt;MAX(3,MIN(15,N($D$18))),IFERROR(LARGE('Calc (scoring engine)'!$K$5:$K$528,5),-999999)&lt;=-900000),"",IFERROR(IF(INDEX(Database!$E$5:$E$528,MATCH(LARGE('Calc (scoring engine)'!$K$5:$K$528,5),'Calc (scoring engine)'!$K$5:$K$528,0))="","—",INDEX(Database!$E$5:$E$528,MATCH(LARGE('Calc (scoring engine)'!$K$5:$K$528,5),'Calc (scoring engine)'!$K$5:$K$528,0))),""))</f>
        <v/>
      </c>
      <c r="F25" s="43">
        <f>IF(OR(5&gt;MAX(3,MIN(15,N($D$18))),IFERROR(LARGE('Calc (scoring engine)'!$K$5:$K$528,5),-999999)&lt;=-900000),"",IFERROR(IF(INDEX(Database!$F$5:$F$528,MATCH(LARGE('Calc (scoring engine)'!$K$5:$K$528,5),'Calc (scoring engine)'!$K$5:$K$528,0))="","—",INDEX(Database!$F$5:$F$528,MATCH(LARGE('Calc (scoring engine)'!$K$5:$K$528,5),'Calc (scoring engine)'!$K$5:$K$528,0))),""))</f>
        <v/>
      </c>
      <c r="G25" s="43">
        <f>IF(OR(5&gt;MAX(3,MIN(15,N($D$18))),IFERROR(LARGE('Calc (scoring engine)'!$K$5:$K$528,5),-999999)&lt;=-900000),"",IFERROR(IF(INDEX(Database!$G$5:$G$528,MATCH(LARGE('Calc (scoring engine)'!$K$5:$K$528,5),'Calc (scoring engine)'!$K$5:$K$528,0))="","—",INDEX(Database!$G$5:$G$528,MATCH(LARGE('Calc (scoring engine)'!$K$5:$K$528,5),'Calc (scoring engine)'!$K$5:$K$528,0))),""))</f>
        <v/>
      </c>
      <c r="H25" s="55">
        <f>IF(OR(5&gt;MAX(3,MIN(15,N($D$18))),IFERROR(LARGE('Calc (scoring engine)'!$K$5:$K$528,5),-999999)&lt;=-900000),"",IFERROR(IF(INDEX(Database!$H$5:$H$528,MATCH(LARGE('Calc (scoring engine)'!$K$5:$K$528,5),'Calc (scoring engine)'!$K$5:$K$528,0))="","—",INDEX(Database!$H$5:$H$528,MATCH(LARGE('Calc (scoring engine)'!$K$5:$K$528,5),'Calc (scoring engine)'!$K$5:$K$528,0))),""))</f>
        <v/>
      </c>
      <c r="I25" s="53">
        <f>IF(OR(5&gt;MAX(3,MIN(15,N($D$18))),IFERROR(LARGE('Calc (scoring engine)'!$K$5:$K$528,5),-999999)&lt;=-900000),"",IFERROR(IF(INDEX(Database!$I$5:$I$528,MATCH(LARGE('Calc (scoring engine)'!$K$5:$K$528,5),'Calc (scoring engine)'!$K$5:$K$528,0))="","—",INDEX(Database!$I$5:$I$528,MATCH(LARGE('Calc (scoring engine)'!$K$5:$K$528,5),'Calc (scoring engine)'!$K$5:$K$528,0))),""))</f>
        <v/>
      </c>
      <c r="J25" s="85">
        <f>IF(OR(5&gt;MAX(3,MIN(15,N($D$18))),IFERROR(LARGE('Calc (scoring engine)'!$K$5:$K$528,5),-999999)&lt;=-900000),"",IFERROR(IF(INDEX(Database!$K$5:$K$528,MATCH(LARGE('Calc (scoring engine)'!$K$5:$K$528,5),'Calc (scoring engine)'!$K$5:$K$528,0))="","—",INDEX(Database!$K$5:$K$528,MATCH(LARGE('Calc (scoring engine)'!$K$5:$K$528,5),'Calc (scoring engine)'!$K$5:$K$528,0))),""))</f>
        <v/>
      </c>
      <c r="K25" s="85">
        <f>IF(OR(5&gt;MAX(3,MIN(15,N($D$18))),IFERROR(LARGE('Calc (scoring engine)'!$K$5:$K$528,5),-999999)&lt;=-900000),"",IFERROR(IF(INDEX(Database!$L$5:$L$528,MATCH(LARGE('Calc (scoring engine)'!$K$5:$K$528,5),'Calc (scoring engine)'!$K$5:$K$528,0))="","—",INDEX(Database!$L$5:$L$528,MATCH(LARGE('Calc (scoring engine)'!$K$5:$K$528,5),'Calc (scoring engine)'!$K$5:$K$528,0))),""))</f>
        <v/>
      </c>
      <c r="L25" s="85">
        <f>IF(OR(5&gt;MAX(3,MIN(15,N($D$18))),IFERROR(LARGE('Calc (scoring engine)'!$K$5:$K$528,5),-999999)&lt;=-900000),"",IFERROR(IF(INDEX(Database!$M$5:$M$528,MATCH(LARGE('Calc (scoring engine)'!$K$5:$K$528,5),'Calc (scoring engine)'!$K$5:$K$528,0))="","—",INDEX(Database!$M$5:$M$528,MATCH(LARGE('Calc (scoring engine)'!$K$5:$K$528,5),'Calc (scoring engine)'!$K$5:$K$528,0))),""))</f>
        <v/>
      </c>
      <c r="M25" s="43">
        <f>IF(OR(5&gt;MAX(3,MIN(15,N($D$18))),IFERROR(LARGE('Calc (scoring engine)'!$K$5:$K$528,5),-999999)&lt;=-900000),"",IFERROR(IF(INDEX(Database!$N$5:$N$528,MATCH(LARGE('Calc (scoring engine)'!$K$5:$K$528,5),'Calc (scoring engine)'!$K$5:$K$528,0))="","—",INDEX(Database!$N$5:$N$528,MATCH(LARGE('Calc (scoring engine)'!$K$5:$K$528,5),'Calc (scoring engine)'!$K$5:$K$528,0))),""))</f>
        <v/>
      </c>
      <c r="N25" s="65">
        <f>IF(OR(5&gt;MAX(3,MIN(15,N($D$18))),IFERROR(LARGE('Calc (scoring engine)'!$K$5:$K$528,5),-999999)&lt;=-900000),"",IFERROR(IF(INDEX(Database!$O$5:$O$528,MATCH(LARGE('Calc (scoring engine)'!$K$5:$K$528,5),'Calc (scoring engine)'!$K$5:$K$528,0))="","—",INDEX(Database!$O$5:$O$528,MATCH(LARGE('Calc (scoring engine)'!$K$5:$K$528,5),'Calc (scoring engine)'!$K$5:$K$528,0))),""))</f>
        <v/>
      </c>
      <c r="O25" s="65">
        <f>IF(OR(5&gt;MAX(3,MIN(15,N($D$18))),IFERROR(LARGE('Calc (scoring engine)'!$K$5:$K$528,5),-999999)&lt;=-900000),"",IFERROR(IF(INDEX(Database!$P$5:$P$528,MATCH(LARGE('Calc (scoring engine)'!$K$5:$K$528,5),'Calc (scoring engine)'!$K$5:$K$528,0))="","—",INDEX(Database!$P$5:$P$528,MATCH(LARGE('Calc (scoring engine)'!$K$5:$K$528,5),'Calc (scoring engine)'!$K$5:$K$528,0))),""))</f>
        <v/>
      </c>
      <c r="P25" s="53">
        <f>IF(OR(5&gt;MAX(3,MIN(15,N($D$18))),IFERROR(LARGE('Calc (scoring engine)'!$K$5:$K$528,5),-999999)&lt;=-900000),"",IFERROR(IF(INDEX(Database!$Q$5:$Q$528,MATCH(LARGE('Calc (scoring engine)'!$K$5:$K$528,5),'Calc (scoring engine)'!$K$5:$K$528,0))="","—",INDEX(Database!$Q$5:$Q$528,MATCH(LARGE('Calc (scoring engine)'!$K$5:$K$528,5),'Calc (scoring engine)'!$K$5:$K$528,0))),""))</f>
        <v/>
      </c>
      <c r="Q25" s="60">
        <f>IF(OR(5&gt;MAX(3,MIN(15,N($D$18))),IFERROR(LARGE('Calc (scoring engine)'!$K$5:$K$528,5),-999999)&lt;=-900000),"",IFERROR(IF(INDEX(Database!$S$5:$S$528,MATCH(LARGE('Calc (scoring engine)'!$K$5:$K$528,5),'Calc (scoring engine)'!$K$5:$K$528,0))="","—",INDEX(Database!$S$5:$S$528,MATCH(LARGE('Calc (scoring engine)'!$K$5:$K$528,5),'Calc (scoring engine)'!$K$5:$K$528,0))),""))</f>
        <v/>
      </c>
      <c r="R25" s="86">
        <f>IF(OR(5&gt;MAX(3,MIN(15,N($D$18))),IFERROR(LARGE('Calc (scoring engine)'!$K$5:$K$528,5),-999999)&lt;=-900000),"",IFERROR(IF(INDEX(Database!$T$5:$T$528,MATCH(LARGE('Calc (scoring engine)'!$K$5:$K$528,5),'Calc (scoring engine)'!$K$5:$K$528,0))="","—",INDEX(Database!$T$5:$T$528,MATCH(LARGE('Calc (scoring engine)'!$K$5:$K$528,5),'Calc (scoring engine)'!$K$5:$K$528,0))),""))</f>
        <v/>
      </c>
      <c r="S25" s="87">
        <f>IF(OR(5&gt;MAX(3,MIN(15,N($D$18))),IFERROR(LARGE('Calc (scoring engine)'!$K$5:$K$528,5),-999999)&lt;=-900000),"",IFERROR(IF(INDEX(Database!$U$5:$U$528,MATCH(LARGE('Calc (scoring engine)'!$K$5:$K$528,5),'Calc (scoring engine)'!$K$5:$K$528,0))="","—",INDEX(Database!$U$5:$U$528,MATCH(LARGE('Calc (scoring engine)'!$K$5:$K$528,5),'Calc (scoring engine)'!$K$5:$K$528,0))),""))</f>
        <v/>
      </c>
      <c r="T25" s="88">
        <f>IF(OR(5&gt;MAX(3,MIN(15,N($D$18))),IFERROR(LARGE('Calc (scoring engine)'!$K$5:$K$528,5),-999999)&lt;=-900000),"",IFERROR(IF(INDEX(Database!$V$5:$V$528,MATCH(LARGE('Calc (scoring engine)'!$K$5:$K$528,5),'Calc (scoring engine)'!$K$5:$K$528,0))="","—",INDEX(Database!$V$5:$V$528,MATCH(LARGE('Calc (scoring engine)'!$K$5:$K$528,5),'Calc (scoring engine)'!$K$5:$K$528,0))),""))</f>
        <v/>
      </c>
      <c r="U25" s="65">
        <f>IF(OR(5&gt;MAX(3,MIN(15,N($D$18))),IFERROR(LARGE('Calc (scoring engine)'!$K$5:$K$528,5),-999999)&lt;=-900000),"",IFERROR(IF(INDEX(Database!$W$5:$W$528,MATCH(LARGE('Calc (scoring engine)'!$K$5:$K$528,5),'Calc (scoring engine)'!$K$5:$K$528,0))="","—",INDEX(Database!$W$5:$W$528,MATCH(LARGE('Calc (scoring engine)'!$K$5:$K$528,5),'Calc (scoring engine)'!$K$5:$K$528,0))),""))</f>
        <v/>
      </c>
      <c r="V25" s="43">
        <f>IF(OR(5&gt;MAX(3,MIN(15,N($D$18))),IFERROR(LARGE('Calc (scoring engine)'!$K$5:$K$528,5),-999999)&lt;=-900000),"",IFERROR(IF(INDEX(Database!$X$5:$X$528,MATCH(LARGE('Calc (scoring engine)'!$K$5:$K$528,5),'Calc (scoring engine)'!$K$5:$K$528,0))="","—",INDEX(Database!$X$5:$X$528,MATCH(LARGE('Calc (scoring engine)'!$K$5:$K$528,5),'Calc (scoring engine)'!$K$5:$K$528,0))),""))</f>
        <v/>
      </c>
      <c r="W25" s="53">
        <f>IF(OR(5&gt;MAX(3,MIN(15,N($D$18))),IFERROR(LARGE('Calc (scoring engine)'!$K$5:$K$528,5),-999999)&lt;=-900000),"",IFERROR(IF(INDEX(Database!$Y$5:$Y$528,MATCH(LARGE('Calc (scoring engine)'!$K$5:$K$528,5),'Calc (scoring engine)'!$K$5:$K$528,0))="","—",INDEX(Database!$Y$5:$Y$528,MATCH(LARGE('Calc (scoring engine)'!$K$5:$K$528,5),'Calc (scoring engine)'!$K$5:$K$528,0))),""))</f>
        <v/>
      </c>
      <c r="X25" s="53">
        <f>IF(OR(5&gt;MAX(3,MIN(15,N($D$18))),IFERROR(LARGE('Calc (scoring engine)'!$K$5:$K$528,5),-999999)&lt;=-900000),"",IFERROR(IF(INDEX(Database!$Z$5:$Z$528,MATCH(LARGE('Calc (scoring engine)'!$K$5:$K$528,5),'Calc (scoring engine)'!$K$5:$K$528,0))="","—",INDEX(Database!$Z$5:$Z$528,MATCH(LARGE('Calc (scoring engine)'!$K$5:$K$528,5),'Calc (scoring engine)'!$K$5:$K$528,0))),""))</f>
        <v/>
      </c>
      <c r="Y25" s="65">
        <f>IF(OR(5&gt;MAX(3,MIN(15,N($D$18))),IFERROR(LARGE('Calc (scoring engine)'!$K$5:$K$528,5),-999999)&lt;=-900000),"",IFERROR(IF(INDEX(Database!$AA$5:$AA$528,MATCH(LARGE('Calc (scoring engine)'!$K$5:$K$528,5),'Calc (scoring engine)'!$K$5:$K$528,0))="","—",INDEX(Database!$AA$5:$AA$528,MATCH(LARGE('Calc (scoring engine)'!$K$5:$K$528,5),'Calc (scoring engine)'!$K$5:$K$528,0))),""))</f>
        <v/>
      </c>
      <c r="Z25" s="43">
        <f>IF(OR(5&gt;MAX(3,MIN(15,N($D$18))),IFERROR(LARGE('Calc (scoring engine)'!$K$5:$K$528,5),-999999)&lt;=-900000),"",IFERROR(IF(INDEX(Database!$AB$5:$AB$528,MATCH(LARGE('Calc (scoring engine)'!$K$5:$K$528,5),'Calc (scoring engine)'!$K$5:$K$528,0))="","—",INDEX(Database!$AB$5:$AB$528,MATCH(LARGE('Calc (scoring engine)'!$K$5:$K$528,5),'Calc (scoring engine)'!$K$5:$K$528,0))),""))</f>
        <v/>
      </c>
      <c r="AA25" s="65">
        <f>IF(OR(5&gt;MAX(3,MIN(15,N($D$18))),IFERROR(LARGE('Calc (scoring engine)'!$K$5:$K$528,5),-999999)&lt;=-900000),"",IFERROR(IF(INDEX(Database!$AD$5:$AD$528,MATCH(LARGE('Calc (scoring engine)'!$K$5:$K$528,5),'Calc (scoring engine)'!$K$5:$K$528,0))="","—",INDEX(Database!$AD$5:$AD$528,MATCH(LARGE('Calc (scoring engine)'!$K$5:$K$528,5),'Calc (scoring engine)'!$K$5:$K$528,0))),""))</f>
        <v/>
      </c>
      <c r="AB25" s="43">
        <f>IF(OR(5&gt;MAX(3,MIN(15,N($D$18))),IFERROR(LARGE('Calc (scoring engine)'!$K$5:$K$528,5),-999999)&lt;=-900000),"",IFERROR(IF(INDEX(Database!$AE$5:$AE$528,MATCH(LARGE('Calc (scoring engine)'!$K$5:$K$528,5),'Calc (scoring engine)'!$K$5:$K$528,0))="","—",INDEX(Database!$AE$5:$AE$528,MATCH(LARGE('Calc (scoring engine)'!$K$5:$K$528,5),'Calc (scoring engine)'!$K$5:$K$528,0))),""))</f>
        <v/>
      </c>
      <c r="AC25" s="43">
        <f>IF(OR(5&gt;MAX(3,MIN(15,N($D$18))),IFERROR(LARGE('Calc (scoring engine)'!$K$5:$K$528,5),-999999)&lt;=-900000),"",IFERROR(IF(INDEX(Database!$AF$5:$AF$528,MATCH(LARGE('Calc (scoring engine)'!$K$5:$K$528,5),'Calc (scoring engine)'!$K$5:$K$528,0))="","—",INDEX(Database!$AF$5:$AF$528,MATCH(LARGE('Calc (scoring engine)'!$K$5:$K$528,5),'Calc (scoring engine)'!$K$5:$K$528,0))),""))</f>
        <v/>
      </c>
      <c r="AD25" s="43">
        <f>IF(OR(5&gt;MAX(3,MIN(15,N($D$18))),IFERROR(LARGE('Calc (scoring engine)'!$K$5:$K$528,5),-999999)&lt;=-900000),"",IFERROR(IF(INDEX(Database!$AG$5:$AG$528,MATCH(LARGE('Calc (scoring engine)'!$K$5:$K$528,5),'Calc (scoring engine)'!$K$5:$K$528,0))="","—",INDEX(Database!$AG$5:$AG$528,MATCH(LARGE('Calc (scoring engine)'!$K$5:$K$528,5),'Calc (scoring engine)'!$K$5:$K$528,0))),""))</f>
        <v/>
      </c>
      <c r="AE25" s="43">
        <f>IF(OR(5&gt;MAX(3,MIN(15,N($D$18))),IFERROR(LARGE('Calc (scoring engine)'!$K$5:$K$528,5),-999999)&lt;=-900000),"",IFERROR(IF(INDEX(Database!$AH$5:$AH$528,MATCH(LARGE('Calc (scoring engine)'!$K$5:$K$528,5),'Calc (scoring engine)'!$K$5:$K$528,0))="","—",INDEX(Database!$AH$5:$AH$528,MATCH(LARGE('Calc (scoring engine)'!$K$5:$K$528,5),'Calc (scoring engine)'!$K$5:$K$528,0))),""))</f>
        <v/>
      </c>
      <c r="AF25" s="57">
        <f>IF(OR(5&gt;MAX(3,MIN(15,N($D$18))),IFERROR(LARGE('Calc (scoring engine)'!$K$5:$K$528,5),-999999)&lt;=-900000),"",IFERROR(IF(INDEX(Database!$AI$5:$AI$528,MATCH(LARGE('Calc (scoring engine)'!$K$5:$K$528,5),'Calc (scoring engine)'!$K$5:$K$528,0))="","—",INDEX(Database!$AI$5:$AI$528,MATCH(LARGE('Calc (scoring engine)'!$K$5:$K$528,5),'Calc (scoring engine)'!$K$5:$K$528,0))),""))</f>
        <v/>
      </c>
      <c r="AG25" s="57">
        <f>IF(OR(5&gt;MAX(3,MIN(15,N($D$18))),IFERROR(LARGE('Calc (scoring engine)'!$K$5:$K$528,5),-999999)&lt;=-900000),"",IFERROR(IF(INDEX(Database!$AJ$5:$AJ$528,MATCH(LARGE('Calc (scoring engine)'!$K$5:$K$528,5),'Calc (scoring engine)'!$K$5:$K$528,0))="","—",INDEX(Database!$AJ$5:$AJ$528,MATCH(LARGE('Calc (scoring engine)'!$K$5:$K$528,5),'Calc (scoring engine)'!$K$5:$K$528,0))),""))</f>
        <v/>
      </c>
      <c r="AH25" s="57">
        <f>IF(OR(5&gt;MAX(3,MIN(15,N($D$18))),IFERROR(LARGE('Calc (scoring engine)'!$K$5:$K$528,5),-999999)&lt;=-900000),"",IFERROR(IF(INDEX(Database!$AK$5:$AK$528,MATCH(LARGE('Calc (scoring engine)'!$K$5:$K$528,5),'Calc (scoring engine)'!$K$5:$K$528,0))="","—",INDEX(Database!$AK$5:$AK$528,MATCH(LARGE('Calc (scoring engine)'!$K$5:$K$528,5),'Calc (scoring engine)'!$K$5:$K$528,0))),""))</f>
        <v/>
      </c>
      <c r="AI25" s="57">
        <f>IF(OR(5&gt;MAX(3,MIN(15,N($D$18))),IFERROR(LARGE('Calc (scoring engine)'!$K$5:$K$528,5),-999999)&lt;=-900000),"",IFERROR(IF(INDEX(Database!$AL$5:$AL$528,MATCH(LARGE('Calc (scoring engine)'!$K$5:$K$528,5),'Calc (scoring engine)'!$K$5:$K$528,0))="","—",INDEX(Database!$AL$5:$AL$528,MATCH(LARGE('Calc (scoring engine)'!$K$5:$K$528,5),'Calc (scoring engine)'!$K$5:$K$528,0))),""))</f>
        <v/>
      </c>
      <c r="AJ25" s="57">
        <f>IF(OR(5&gt;MAX(3,MIN(15,N($D$18))),IFERROR(LARGE('Calc (scoring engine)'!$K$5:$K$528,5),-999999)&lt;=-900000),"",IFERROR(IF(INDEX(Database!$AM$5:$AM$528,MATCH(LARGE('Calc (scoring engine)'!$K$5:$K$528,5),'Calc (scoring engine)'!$K$5:$K$528,0))="","—",INDEX(Database!$AM$5:$AM$528,MATCH(LARGE('Calc (scoring engine)'!$K$5:$K$528,5),'Calc (scoring engine)'!$K$5:$K$528,0))),""))</f>
        <v/>
      </c>
      <c r="AK25" s="58">
        <f>IF(OR(5&gt;MAX(3,MIN(15,N($D$18))),IFERROR(LARGE('Calc (scoring engine)'!$K$5:$K$528,5),-999999)&lt;=-900000),"",IFERROR(IF(INDEX(Database!$AN$5:$AN$528,MATCH(LARGE('Calc (scoring engine)'!$K$5:$K$528,5),'Calc (scoring engine)'!$K$5:$K$528,0))="","—",INDEX(Database!$AN$5:$AN$528,MATCH(LARGE('Calc (scoring engine)'!$K$5:$K$528,5),'Calc (scoring engine)'!$K$5:$K$528,0))),""))</f>
        <v/>
      </c>
      <c r="AL25" s="65">
        <f>IF(OR(5&gt;MAX(3,MIN(15,N($D$18))),IFERROR(LARGE('Calc (scoring engine)'!$K$5:$K$528,5),-999999)&lt;=-900000),"",IFERROR(IF(INDEX(Database!$AO$5:$AO$528,MATCH(LARGE('Calc (scoring engine)'!$K$5:$K$528,5),'Calc (scoring engine)'!$K$5:$K$528,0))="","—",INDEX(Database!$AO$5:$AO$528,MATCH(LARGE('Calc (scoring engine)'!$K$5:$K$528,5),'Calc (scoring engine)'!$K$5:$K$528,0))),""))</f>
        <v/>
      </c>
      <c r="AM25" s="57">
        <f>IF(OR(5&gt;MAX(3,MIN(15,N($D$18))),IFERROR(LARGE('Calc (scoring engine)'!$K$5:$K$528,5),-999999)&lt;=-900000),"",IFERROR(IF(INDEX(Database!$AP$5:$AP$528,MATCH(LARGE('Calc (scoring engine)'!$K$5:$K$528,5),'Calc (scoring engine)'!$K$5:$K$528,0))="","—",INDEX(Database!$AP$5:$AP$528,MATCH(LARGE('Calc (scoring engine)'!$K$5:$K$528,5),'Calc (scoring engine)'!$K$5:$K$528,0))),""))</f>
        <v/>
      </c>
      <c r="AN25" s="57">
        <f>IF(OR(5&gt;MAX(3,MIN(15,N($D$18))),IFERROR(LARGE('Calc (scoring engine)'!$K$5:$K$528,5),-999999)&lt;=-900000),"",IFERROR(IF(INDEX(Database!$AQ$5:$AQ$528,MATCH(LARGE('Calc (scoring engine)'!$K$5:$K$528,5),'Calc (scoring engine)'!$K$5:$K$528,0))="","—",INDEX(Database!$AQ$5:$AQ$528,MATCH(LARGE('Calc (scoring engine)'!$K$5:$K$528,5),'Calc (scoring engine)'!$K$5:$K$528,0))),""))</f>
        <v/>
      </c>
      <c r="AO25" s="57">
        <f>IF(OR(5&gt;MAX(3,MIN(15,N($D$18))),IFERROR(LARGE('Calc (scoring engine)'!$K$5:$K$528,5),-999999)&lt;=-900000),"",IFERROR(IF(INDEX(Database!$AR$5:$AR$528,MATCH(LARGE('Calc (scoring engine)'!$K$5:$K$528,5),'Calc (scoring engine)'!$K$5:$K$528,0))="","—",INDEX(Database!$AR$5:$AR$528,MATCH(LARGE('Calc (scoring engine)'!$K$5:$K$528,5),'Calc (scoring engine)'!$K$5:$K$528,0))),""))</f>
        <v/>
      </c>
      <c r="AP25" s="57">
        <f>IF(OR(5&gt;MAX(3,MIN(15,N($D$18))),IFERROR(LARGE('Calc (scoring engine)'!$K$5:$K$528,5),-999999)&lt;=-900000),"",IFERROR(IF(INDEX(Database!$AS$5:$AS$528,MATCH(LARGE('Calc (scoring engine)'!$K$5:$K$528,5),'Calc (scoring engine)'!$K$5:$K$528,0))="","—",INDEX(Database!$AS$5:$AS$528,MATCH(LARGE('Calc (scoring engine)'!$K$5:$K$528,5),'Calc (scoring engine)'!$K$5:$K$528,0))),""))</f>
        <v/>
      </c>
      <c r="AQ25" s="57">
        <f>IF(OR(5&gt;MAX(3,MIN(15,N($D$18))),IFERROR(LARGE('Calc (scoring engine)'!$K$5:$K$528,5),-999999)&lt;=-900000),"",IFERROR(IF(INDEX(Database!$AT$5:$AT$528,MATCH(LARGE('Calc (scoring engine)'!$K$5:$K$528,5),'Calc (scoring engine)'!$K$5:$K$528,0))="","—",INDEX(Database!$AT$5:$AT$528,MATCH(LARGE('Calc (scoring engine)'!$K$5:$K$528,5),'Calc (scoring engine)'!$K$5:$K$528,0))),""))</f>
        <v/>
      </c>
      <c r="AR25" s="57">
        <f>IF(OR(5&gt;MAX(3,MIN(15,N($D$18))),IFERROR(LARGE('Calc (scoring engine)'!$K$5:$K$528,5),-999999)&lt;=-900000),"",IFERROR(IF(INDEX(Database!$AU$5:$AU$528,MATCH(LARGE('Calc (scoring engine)'!$K$5:$K$528,5),'Calc (scoring engine)'!$K$5:$K$528,0))="","—",INDEX(Database!$AU$5:$AU$528,MATCH(LARGE('Calc (scoring engine)'!$K$5:$K$528,5),'Calc (scoring engine)'!$K$5:$K$528,0))),""))</f>
        <v/>
      </c>
      <c r="AS25" s="57">
        <f>IF(OR(5&gt;MAX(3,MIN(15,N($D$18))),IFERROR(LARGE('Calc (scoring engine)'!$K$5:$K$528,5),-999999)&lt;=-900000),"",IFERROR(IF(INDEX(Database!$AV$5:$AV$528,MATCH(LARGE('Calc (scoring engine)'!$K$5:$K$528,5),'Calc (scoring engine)'!$K$5:$K$528,0))="","—",INDEX(Database!$AV$5:$AV$528,MATCH(LARGE('Calc (scoring engine)'!$K$5:$K$528,5),'Calc (scoring engine)'!$K$5:$K$528,0))),""))</f>
        <v/>
      </c>
      <c r="AT25" s="57">
        <f>IF(OR(5&gt;MAX(3,MIN(15,N($D$18))),IFERROR(LARGE('Calc (scoring engine)'!$K$5:$K$528,5),-999999)&lt;=-900000),"",IFERROR(IF(INDEX(Database!$AW$5:$AW$528,MATCH(LARGE('Calc (scoring engine)'!$K$5:$K$528,5),'Calc (scoring engine)'!$K$5:$K$528,0))="","—",INDEX(Database!$AW$5:$AW$528,MATCH(LARGE('Calc (scoring engine)'!$K$5:$K$528,5),'Calc (scoring engine)'!$K$5:$K$528,0))),""))</f>
        <v/>
      </c>
      <c r="AU25" s="57">
        <f>IF(OR(5&gt;MAX(3,MIN(15,N($D$18))),IFERROR(LARGE('Calc (scoring engine)'!$K$5:$K$528,5),-999999)&lt;=-900000),"",IFERROR(IF(INDEX(Database!$AX$5:$AX$528,MATCH(LARGE('Calc (scoring engine)'!$K$5:$K$528,5),'Calc (scoring engine)'!$K$5:$K$528,0))="","—",INDEX(Database!$AX$5:$AX$528,MATCH(LARGE('Calc (scoring engine)'!$K$5:$K$528,5),'Calc (scoring engine)'!$K$5:$K$528,0))),""))</f>
        <v/>
      </c>
      <c r="AV25" s="57">
        <f>IF(OR(5&gt;MAX(3,MIN(15,N($D$18))),IFERROR(LARGE('Calc (scoring engine)'!$K$5:$K$528,5),-999999)&lt;=-900000),"",IFERROR(IF(INDEX(Database!$AY$5:$AY$528,MATCH(LARGE('Calc (scoring engine)'!$K$5:$K$528,5),'Calc (scoring engine)'!$K$5:$K$528,0))="","—",INDEX(Database!$AY$5:$AY$528,MATCH(LARGE('Calc (scoring engine)'!$K$5:$K$528,5),'Calc (scoring engine)'!$K$5:$K$528,0))),""))</f>
        <v/>
      </c>
      <c r="AW25" s="57">
        <f>IF(OR(5&gt;MAX(3,MIN(15,N($D$18))),IFERROR(LARGE('Calc (scoring engine)'!$K$5:$K$528,5),-999999)&lt;=-900000),"",IFERROR(IF(INDEX(Database!$AZ$5:$AZ$528,MATCH(LARGE('Calc (scoring engine)'!$K$5:$K$528,5),'Calc (scoring engine)'!$K$5:$K$528,0))="","—",INDEX(Database!$AZ$5:$AZ$528,MATCH(LARGE('Calc (scoring engine)'!$K$5:$K$528,5),'Calc (scoring engine)'!$K$5:$K$528,0))),""))</f>
        <v/>
      </c>
      <c r="AX25" s="57">
        <f>IF(OR(5&gt;MAX(3,MIN(15,N($D$18))),IFERROR(LARGE('Calc (scoring engine)'!$K$5:$K$528,5),-999999)&lt;=-900000),"",IFERROR(IF(INDEX(Database!$BA$5:$BA$528,MATCH(LARGE('Calc (scoring engine)'!$K$5:$K$528,5),'Calc (scoring engine)'!$K$5:$K$528,0))="","—",INDEX(Database!$BA$5:$BA$528,MATCH(LARGE('Calc (scoring engine)'!$K$5:$K$528,5),'Calc (scoring engine)'!$K$5:$K$528,0))),""))</f>
        <v/>
      </c>
      <c r="AY25" s="57">
        <f>IF(OR(5&gt;MAX(3,MIN(15,N($D$18))),IFERROR(LARGE('Calc (scoring engine)'!$K$5:$K$528,5),-999999)&lt;=-900000),"",IFERROR(IF(INDEX(Database!$BC$5:$BC$528,MATCH(LARGE('Calc (scoring engine)'!$K$5:$K$528,5),'Calc (scoring engine)'!$K$5:$K$528,0))="","—",INDEX(Database!$BC$5:$BC$528,MATCH(LARGE('Calc (scoring engine)'!$K$5:$K$528,5),'Calc (scoring engine)'!$K$5:$K$528,0))),""))</f>
        <v/>
      </c>
      <c r="AZ25" s="53">
        <f>IF(OR(5&gt;MAX(3,MIN(15,N($D$18))),IFERROR(LARGE('Calc (scoring engine)'!$K$5:$K$528,5),-999999)&lt;=-900000),"",IFERROR(IF(INDEX(Database!$BE$5:$BE$528,MATCH(LARGE('Calc (scoring engine)'!$K$5:$K$528,5),'Calc (scoring engine)'!$K$5:$K$528,0))="","—",INDEX(Database!$BE$5:$BE$528,MATCH(LARGE('Calc (scoring engine)'!$K$5:$K$528,5),'Calc (scoring engine)'!$K$5:$K$528,0))),""))</f>
        <v/>
      </c>
      <c r="BA25" s="53">
        <f>IF(OR(5&gt;MAX(3,MIN(15,N($D$18))),IFERROR(LARGE('Calc (scoring engine)'!$K$5:$K$528,5),-999999)&lt;=-900000),"",IFERROR(IF(INDEX(Database!$BF$5:$BF$528,MATCH(LARGE('Calc (scoring engine)'!$K$5:$K$528,5),'Calc (scoring engine)'!$K$5:$K$528,0))="","—",INDEX(Database!$BF$5:$BF$528,MATCH(LARGE('Calc (scoring engine)'!$K$5:$K$528,5),'Calc (scoring engine)'!$K$5:$K$528,0))),""))</f>
        <v/>
      </c>
      <c r="BB25" s="43">
        <f>IF(OR(5&gt;MAX(3,MIN(15,N($D$18))),IFERROR(LARGE('Calc (scoring engine)'!$K$5:$K$528,5),-999999)&lt;=-900000),"",IFERROR(IF(INDEX(Database!$BG$5:$BG$528,MATCH(LARGE('Calc (scoring engine)'!$K$5:$K$528,5),'Calc (scoring engine)'!$K$5:$K$528,0))="","—",INDEX(Database!$BG$5:$BG$528,MATCH(LARGE('Calc (scoring engine)'!$K$5:$K$528,5),'Calc (scoring engine)'!$K$5:$K$528,0))),""))</f>
        <v/>
      </c>
      <c r="BC25" s="58">
        <f>IF(OR(5&gt;MAX(3,MIN(15,N($D$18))),IFERROR(LARGE('Calc (scoring engine)'!$K$5:$K$528,5),-999999)&lt;=-900000),"",IFERROR(IF(N(INDEX(Database!$BH$5:$BH$528,MATCH(LARGE('Calc (scoring engine)'!$K$5:$K$528,5),'Calc (scoring engine)'!$K$5:$K$528,0)))&lt;=0,IF(INDEX(Database!$BG$5:$BG$528,MATCH(LARGE('Calc (scoring engine)'!$K$5:$K$528,5),'Calc (scoring engine)'!$K$5:$K$528,0))="N","n/m","—"),INDEX(Database!$BH$5:$BH$528,MATCH(LARGE('Calc (scoring engine)'!$K$5:$K$528,5),'Calc (scoring engine)'!$K$5:$K$528,0))),""))</f>
        <v/>
      </c>
      <c r="BD25" s="58">
        <f>IF(OR(5&gt;MAX(3,MIN(15,N($D$18))),IFERROR(LARGE('Calc (scoring engine)'!$K$5:$K$528,5),-999999)&lt;=-900000),"",IFERROR(IF(INDEX(Database!$BI$5:$BI$528,MATCH(LARGE('Calc (scoring engine)'!$K$5:$K$528,5),'Calc (scoring engine)'!$K$5:$K$528,0))="","—",INDEX(Database!$BI$5:$BI$528,MATCH(LARGE('Calc (scoring engine)'!$K$5:$K$528,5),'Calc (scoring engine)'!$K$5:$K$528,0))),""))</f>
        <v/>
      </c>
      <c r="BE25" s="58">
        <f>IF(OR(5&gt;MAX(3,MIN(15,N($D$18))),IFERROR(LARGE('Calc (scoring engine)'!$K$5:$K$528,5),-999999)&lt;=-900000),"",IFERROR(IF(INDEX(Database!$BJ$5:$BJ$528,MATCH(LARGE('Calc (scoring engine)'!$K$5:$K$528,5),'Calc (scoring engine)'!$K$5:$K$528,0))="","—",INDEX(Database!$BJ$5:$BJ$528,MATCH(LARGE('Calc (scoring engine)'!$K$5:$K$528,5),'Calc (scoring engine)'!$K$5:$K$528,0))),""))</f>
        <v/>
      </c>
      <c r="BF25" s="58">
        <f>IF(OR(5&gt;MAX(3,MIN(15,N($D$18))),IFERROR(LARGE('Calc (scoring engine)'!$K$5:$K$528,5),-999999)&lt;=-900000),"",IFERROR(IF(INDEX(Database!$BK$5:$BK$528,MATCH(LARGE('Calc (scoring engine)'!$K$5:$K$528,5),'Calc (scoring engine)'!$K$5:$K$528,0))="","—",INDEX(Database!$BK$5:$BK$528,MATCH(LARGE('Calc (scoring engine)'!$K$5:$K$528,5),'Calc (scoring engine)'!$K$5:$K$528,0))),""))</f>
        <v/>
      </c>
      <c r="BG25" s="58">
        <f>IF(OR(5&gt;MAX(3,MIN(15,N($D$18))),IFERROR(LARGE('Calc (scoring engine)'!$K$5:$K$528,5),-999999)&lt;=-900000),"",IFERROR(IF(INDEX(Database!$BL$5:$BL$528,MATCH(LARGE('Calc (scoring engine)'!$K$5:$K$528,5),'Calc (scoring engine)'!$K$5:$K$528,0))="","—",INDEX(Database!$BL$5:$BL$528,MATCH(LARGE('Calc (scoring engine)'!$K$5:$K$528,5),'Calc (scoring engine)'!$K$5:$K$528,0))),""))</f>
        <v/>
      </c>
      <c r="BH25" s="58">
        <f>IF(OR(5&gt;MAX(3,MIN(15,N($D$18))),IFERROR(LARGE('Calc (scoring engine)'!$K$5:$K$528,5),-999999)&lt;=-900000),"",IFERROR(IFERROR(BDP(TEXT(INDEX(Database!$A$5:$A$528,MATCH(LARGE('Calc (scoring engine)'!$K$5:$K$528,5),'Calc (scoring engine)'!$K$5:$K$528,0)),"0")&amp;" HK Equity","PE_RATIO"),IF(INDEX(Database!$BJ$5:$BJ$528,MATCH(LARGE('Calc (scoring engine)'!$K$5:$K$528,5),'Calc (scoring engine)'!$K$5:$K$528,0))="","—",INDEX(Database!$BJ$5:$BJ$528,MATCH(LARGE('Calc (scoring engine)'!$K$5:$K$528,5),'Calc (scoring engine)'!$K$5:$K$528,0)))),""))</f>
        <v/>
      </c>
      <c r="BI25" s="58">
        <f>IF(OR(5&gt;MAX(3,MIN(15,N($D$18))),IFERROR(LARGE('Calc (scoring engine)'!$K$5:$K$528,5),-999999)&lt;=-900000),"",IFERROR(IFERROR(BDP(TEXT(INDEX(Database!$A$5:$A$528,MATCH(LARGE('Calc (scoring engine)'!$K$5:$K$528,5),'Calc (scoring engine)'!$K$5:$K$528,0)),"0")&amp;" HK Equity","PX_TO_SALES_RATIO"),IF(INDEX(Database!$BK$5:$BK$528,MATCH(LARGE('Calc (scoring engine)'!$K$5:$K$528,5),'Calc (scoring engine)'!$K$5:$K$528,0))="","—",INDEX(Database!$BK$5:$BK$528,MATCH(LARGE('Calc (scoring engine)'!$K$5:$K$528,5),'Calc (scoring engine)'!$K$5:$K$528,0)))),""))</f>
        <v/>
      </c>
      <c r="BJ25" s="43">
        <f>IF(OR(5&gt;MAX(3,MIN(15,N($D$18))),IFERROR(LARGE('Calc (scoring engine)'!$K$5:$K$528,5),-999999)&lt;=-900000),"",IFERROR(IF(INDEX(Database!$BM$5:$BM$528,MATCH(LARGE('Calc (scoring engine)'!$K$5:$K$528,5),'Calc (scoring engine)'!$K$5:$K$528,0))="","—",INDEX(Database!$BM$5:$BM$528,MATCH(LARGE('Calc (scoring engine)'!$K$5:$K$528,5),'Calc (scoring engine)'!$K$5:$K$528,0))),""))</f>
        <v/>
      </c>
      <c r="BK25" s="43">
        <f>IF(OR(5&gt;MAX(3,MIN(15,N($D$18))),IFERROR(LARGE('Calc (scoring engine)'!$K$5:$K$528,5),-999999)&lt;=-900000),"",IFERROR(IF(INDEX(Database!$BN$5:$BN$528,MATCH(LARGE('Calc (scoring engine)'!$K$5:$K$528,5),'Calc (scoring engine)'!$K$5:$K$528,0))="","—",INDEX(Database!$BN$5:$BN$528,MATCH(LARGE('Calc (scoring engine)'!$K$5:$K$528,5),'Calc (scoring engine)'!$K$5:$K$528,0))),""))</f>
        <v/>
      </c>
      <c r="BL25" s="57">
        <f>IF(OR(5&gt;MAX(3,MIN(15,N($D$18))),IFERROR(LARGE('Calc (scoring engine)'!$K$5:$K$528,5),-999999)&lt;=-900000),"",IFERROR(IF(INDEX(Database!$BO$5:$BO$528,MATCH(LARGE('Calc (scoring engine)'!$K$5:$K$528,5),'Calc (scoring engine)'!$K$5:$K$528,0))="","—",INDEX(Database!$BO$5:$BO$528,MATCH(LARGE('Calc (scoring engine)'!$K$5:$K$528,5),'Calc (scoring engine)'!$K$5:$K$528,0))),""))</f>
        <v/>
      </c>
      <c r="BM25" s="85">
        <f>IF(OR(5&gt;MAX(3,MIN(15,N($D$18))),IFERROR(LARGE('Calc (scoring engine)'!$K$5:$K$528,5),-999999)&lt;=-900000),"",IFERROR(IF(INDEX(Database!$BP$5:$BP$528,MATCH(LARGE('Calc (scoring engine)'!$K$5:$K$528,5),'Calc (scoring engine)'!$K$5:$K$528,0))="","—",INDEX(Database!$BP$5:$BP$528,MATCH(LARGE('Calc (scoring engine)'!$K$5:$K$528,5),'Calc (scoring engine)'!$K$5:$K$528,0))),""))</f>
        <v/>
      </c>
      <c r="BN25" s="89">
        <f>IF(OR(5&gt;MAX(3,MIN(15,N($D$18))),IFERROR(LARGE('Calc (scoring engine)'!$K$5:$K$528,5),-999999)&lt;=-900000),"",IFERROR(IF(INDEX(Database!$BQ$5:$BQ$528,MATCH(LARGE('Calc (scoring engine)'!$K$5:$K$528,5),'Calc (scoring engine)'!$K$5:$K$528,0))="","—",INDEX(Database!$BQ$5:$BQ$528,MATCH(LARGE('Calc (scoring engine)'!$K$5:$K$528,5),'Calc (scoring engine)'!$K$5:$K$528,0))),""))</f>
        <v/>
      </c>
      <c r="BO25" s="53">
        <f>IF(OR(5&gt;MAX(3,MIN(15,N($D$18))),IFERROR(LARGE('Calc (scoring engine)'!$K$5:$K$528,5),-999999)&lt;=-900000),"",IFERROR(IF(INDEX(Database!$BR$5:$BR$528,MATCH(LARGE('Calc (scoring engine)'!$K$5:$K$528,5),'Calc (scoring engine)'!$K$5:$K$528,0))="","—",INDEX(Database!$BR$5:$BR$528,MATCH(LARGE('Calc (scoring engine)'!$K$5:$K$528,5),'Calc (scoring engine)'!$K$5:$K$528,0))),""))</f>
        <v/>
      </c>
      <c r="BP25" s="58">
        <f>IF(OR(5&gt;MAX(3,MIN(15,N($D$18))),IFERROR(LARGE('Calc (scoring engine)'!$K$5:$K$528,5),-999999)&lt;=-900000),"",IFERROR(IF(INDEX(Database!$BS$5:$BS$528,MATCH(LARGE('Calc (scoring engine)'!$K$5:$K$528,5),'Calc (scoring engine)'!$K$5:$K$528,0))="","—",INDEX(Database!$BS$5:$BS$528,MATCH(LARGE('Calc (scoring engine)'!$K$5:$K$528,5),'Calc (scoring engine)'!$K$5:$K$528,0))),""))</f>
        <v/>
      </c>
      <c r="BQ25" s="58">
        <f>IF(OR(5&gt;MAX(3,MIN(15,N($D$18))),IFERROR(LARGE('Calc (scoring engine)'!$K$5:$K$528,5),-999999)&lt;=-900000),"",IFERROR(IF(INDEX(Database!$BT$5:$BT$528,MATCH(LARGE('Calc (scoring engine)'!$K$5:$K$528,5),'Calc (scoring engine)'!$K$5:$K$528,0))="","—",INDEX(Database!$BT$5:$BT$528,MATCH(LARGE('Calc (scoring engine)'!$K$5:$K$528,5),'Calc (scoring engine)'!$K$5:$K$528,0))),""))</f>
        <v/>
      </c>
      <c r="BR25" s="43">
        <f>IF(OR(5&gt;MAX(3,MIN(15,N($D$18))),IFERROR(LARGE('Calc (scoring engine)'!$K$5:$K$528,5),-999999)&lt;=-900000),"",IFERROR(IF(INDEX(Database!$BU$5:$BU$528,MATCH(LARGE('Calc (scoring engine)'!$K$5:$K$528,5),'Calc (scoring engine)'!$K$5:$K$528,0))="","—",INDEX(Database!$BU$5:$BU$528,MATCH(LARGE('Calc (scoring engine)'!$K$5:$K$528,5),'Calc (scoring engine)'!$K$5:$K$528,0))),""))</f>
        <v/>
      </c>
      <c r="BS25" s="43">
        <f>IF(OR(5&gt;MAX(3,MIN(15,N($D$18))),IFERROR(LARGE('Calc (scoring engine)'!$K$5:$K$528,5),-999999)&lt;=-900000),"",IFERROR(IF(INDEX(Database!$BW$5:$BW$528,MATCH(LARGE('Calc (scoring engine)'!$K$5:$K$528,5),'Calc (scoring engine)'!$K$5:$K$528,0))="","—",INDEX(Database!$BW$5:$BW$528,MATCH(LARGE('Calc (scoring engine)'!$K$5:$K$528,5),'Calc (scoring engine)'!$K$5:$K$528,0))),""))</f>
        <v/>
      </c>
      <c r="BT25" s="88">
        <f>IF(OR(5&gt;MAX(3,MIN(15,N($D$18))),IFERROR(LARGE('Calc (scoring engine)'!$K$5:$K$528,5),-999999)&lt;=-900000),"",IFERROR(IF(INDEX('Calc (scoring engine)'!$H$5:$H$528,MATCH(LARGE('Calc (scoring engine)'!$K$5:$K$528,5),'Calc (scoring engine)'!$K$5:$K$528,0))&gt;0,INDEX('Calc (scoring engine)'!$H$5:$H$528,MATCH(LARGE('Calc (scoring engine)'!$K$5:$K$528,5),'Calc (scoring engine)'!$K$5:$K$528,0)),""),""))</f>
        <v/>
      </c>
      <c r="BU25" s="43">
        <f>IF(OR(5&gt;MAX(3,MIN(15,N($D$18))),IFERROR(LARGE('Calc (scoring engine)'!$K$5:$K$528,5),-999999)&lt;=-900000),"",IF(IFERROR(INDEX('Calc (scoring engine)'!$B$5:$B$528,MATCH(LARGE('Calc (scoring engine)'!$K$5:$K$528,5),'Calc (scoring engine)'!$K$5:$K$528,0)),0)=1,"same subsector","sector only"))</f>
        <v/>
      </c>
      <c r="BV25" s="88">
        <f>IF(OR(5&gt;MAX(3,MIN(15,N($D$18))),IFERROR(LARGE('Calc (scoring engine)'!$K$5:$K$528,5),-999999)&lt;=-900000),"",ROUND(IFERROR(LARGE('Calc (scoring engine)'!$K$5:$K$528,5),0),0))</f>
        <v/>
      </c>
      <c r="BW25" s="43">
        <f>IF(OR(5&gt;MAX(3,MIN(15,N($D$18))),IFERROR(LARGE('Calc (scoring engine)'!$K$5:$K$528,5),-999999)&lt;=-900000),"",IFERROR("sub "&amp;INDEX('Calc (scoring engine)'!$B$5:$B$528,MATCH(LARGE('Calc (scoring engine)'!$K$5:$K$528,5),'Calc (scoring engine)'!$K$5:$K$528,0))*W_SUB&amp;" + size "&amp;ROUND(INDEX('Calc (scoring engine)'!$D$5:$D$528,MATCH(LARGE('Calc (scoring engine)'!$K$5:$K$528,5),'Calc (scoring engine)'!$K$5:$K$528,0))*W_SIZE,0)&amp;" + prof "&amp;INDEX('Calc (scoring engine)'!$E$5:$E$528,MATCH(LARGE('Calc (scoring engine)'!$K$5:$K$528,5),'Calc (scoring engine)'!$K$5:$K$528,0))*W_PROF&amp;" + recency "&amp;ROUND(INDEX('Calc (scoring engine)'!$G$5:$G$528,MATCH(LARGE('Calc (scoring engine)'!$K$5:$K$528,5),'Calc (scoring engine)'!$K$5:$K$528,0))*W_REC,0)&amp;IF(INDEX('Calc (scoring engine)'!$H$5:$H$528,MATCH(LARGE('Calc (scoring engine)'!$K$5:$K$528,5),'Calc (scoring engine)'!$K$5:$K$528,0))&gt;0," + shared CS x"&amp;INDEX('Calc (scoring engine)'!$H$5:$H$528,MATCH(LARGE('Calc (scoring engine)'!$K$5:$K$528,5),'Calc (scoring engine)'!$K$5:$K$528,0)),""),""))</f>
        <v/>
      </c>
    </row>
    <row r="26">
      <c r="A26" s="83">
        <f>IF(OR(6&gt;MAX(3,MIN(15,N($D$18))),IFERROR(LARGE('Calc (scoring engine)'!$K$5:$K$528,6),-999999)&lt;=-900000),"",6)</f>
        <v/>
      </c>
      <c r="B26" s="43">
        <f>IF(OR(6&gt;MAX(3,MIN(15,N($D$18))),IFERROR(LARGE('Calc (scoring engine)'!$K$5:$K$528,6),-999999)&lt;=-900000),"",IFERROR(IF(INDEX(Database!$B$5:$B$528,MATCH(LARGE('Calc (scoring engine)'!$K$5:$K$528,6),'Calc (scoring engine)'!$K$5:$K$528,0))="","—",INDEX(Database!$B$5:$B$528,MATCH(LARGE('Calc (scoring engine)'!$K$5:$K$528,6),'Calc (scoring engine)'!$K$5:$K$528,0))),""))</f>
        <v/>
      </c>
      <c r="C26" s="84">
        <f>IF(OR(6&gt;MAX(3,MIN(15,N($D$18))),IFERROR(LARGE('Calc (scoring engine)'!$K$5:$K$528,6),-999999)&lt;=-900000),"",IFERROR(IF(INDEX(Database!$A$5:$A$528,MATCH(LARGE('Calc (scoring engine)'!$K$5:$K$528,6),'Calc (scoring engine)'!$K$5:$K$528,0))="","—",INDEX(Database!$A$5:$A$528,MATCH(LARGE('Calc (scoring engine)'!$K$5:$K$528,6),'Calc (scoring engine)'!$K$5:$K$528,0))),""))</f>
        <v/>
      </c>
      <c r="D26" s="43">
        <f>IF(OR(6&gt;MAX(3,MIN(15,N($D$18))),IFERROR(LARGE('Calc (scoring engine)'!$K$5:$K$528,6),-999999)&lt;=-900000),"",IFERROR(IF(INDEX(Database!$D$5:$D$528,MATCH(LARGE('Calc (scoring engine)'!$K$5:$K$528,6),'Calc (scoring engine)'!$K$5:$K$528,0))="","—",INDEX(Database!$D$5:$D$528,MATCH(LARGE('Calc (scoring engine)'!$K$5:$K$528,6),'Calc (scoring engine)'!$K$5:$K$528,0))),""))</f>
        <v/>
      </c>
      <c r="E26" s="43">
        <f>IF(OR(6&gt;MAX(3,MIN(15,N($D$18))),IFERROR(LARGE('Calc (scoring engine)'!$K$5:$K$528,6),-999999)&lt;=-900000),"",IFERROR(IF(INDEX(Database!$E$5:$E$528,MATCH(LARGE('Calc (scoring engine)'!$K$5:$K$528,6),'Calc (scoring engine)'!$K$5:$K$528,0))="","—",INDEX(Database!$E$5:$E$528,MATCH(LARGE('Calc (scoring engine)'!$K$5:$K$528,6),'Calc (scoring engine)'!$K$5:$K$528,0))),""))</f>
        <v/>
      </c>
      <c r="F26" s="43">
        <f>IF(OR(6&gt;MAX(3,MIN(15,N($D$18))),IFERROR(LARGE('Calc (scoring engine)'!$K$5:$K$528,6),-999999)&lt;=-900000),"",IFERROR(IF(INDEX(Database!$F$5:$F$528,MATCH(LARGE('Calc (scoring engine)'!$K$5:$K$528,6),'Calc (scoring engine)'!$K$5:$K$528,0))="","—",INDEX(Database!$F$5:$F$528,MATCH(LARGE('Calc (scoring engine)'!$K$5:$K$528,6),'Calc (scoring engine)'!$K$5:$K$528,0))),""))</f>
        <v/>
      </c>
      <c r="G26" s="43">
        <f>IF(OR(6&gt;MAX(3,MIN(15,N($D$18))),IFERROR(LARGE('Calc (scoring engine)'!$K$5:$K$528,6),-999999)&lt;=-900000),"",IFERROR(IF(INDEX(Database!$G$5:$G$528,MATCH(LARGE('Calc (scoring engine)'!$K$5:$K$528,6),'Calc (scoring engine)'!$K$5:$K$528,0))="","—",INDEX(Database!$G$5:$G$528,MATCH(LARGE('Calc (scoring engine)'!$K$5:$K$528,6),'Calc (scoring engine)'!$K$5:$K$528,0))),""))</f>
        <v/>
      </c>
      <c r="H26" s="55">
        <f>IF(OR(6&gt;MAX(3,MIN(15,N($D$18))),IFERROR(LARGE('Calc (scoring engine)'!$K$5:$K$528,6),-999999)&lt;=-900000),"",IFERROR(IF(INDEX(Database!$H$5:$H$528,MATCH(LARGE('Calc (scoring engine)'!$K$5:$K$528,6),'Calc (scoring engine)'!$K$5:$K$528,0))="","—",INDEX(Database!$H$5:$H$528,MATCH(LARGE('Calc (scoring engine)'!$K$5:$K$528,6),'Calc (scoring engine)'!$K$5:$K$528,0))),""))</f>
        <v/>
      </c>
      <c r="I26" s="53">
        <f>IF(OR(6&gt;MAX(3,MIN(15,N($D$18))),IFERROR(LARGE('Calc (scoring engine)'!$K$5:$K$528,6),-999999)&lt;=-900000),"",IFERROR(IF(INDEX(Database!$I$5:$I$528,MATCH(LARGE('Calc (scoring engine)'!$K$5:$K$528,6),'Calc (scoring engine)'!$K$5:$K$528,0))="","—",INDEX(Database!$I$5:$I$528,MATCH(LARGE('Calc (scoring engine)'!$K$5:$K$528,6),'Calc (scoring engine)'!$K$5:$K$528,0))),""))</f>
        <v/>
      </c>
      <c r="J26" s="85">
        <f>IF(OR(6&gt;MAX(3,MIN(15,N($D$18))),IFERROR(LARGE('Calc (scoring engine)'!$K$5:$K$528,6),-999999)&lt;=-900000),"",IFERROR(IF(INDEX(Database!$K$5:$K$528,MATCH(LARGE('Calc (scoring engine)'!$K$5:$K$528,6),'Calc (scoring engine)'!$K$5:$K$528,0))="","—",INDEX(Database!$K$5:$K$528,MATCH(LARGE('Calc (scoring engine)'!$K$5:$K$528,6),'Calc (scoring engine)'!$K$5:$K$528,0))),""))</f>
        <v/>
      </c>
      <c r="K26" s="85">
        <f>IF(OR(6&gt;MAX(3,MIN(15,N($D$18))),IFERROR(LARGE('Calc (scoring engine)'!$K$5:$K$528,6),-999999)&lt;=-900000),"",IFERROR(IF(INDEX(Database!$L$5:$L$528,MATCH(LARGE('Calc (scoring engine)'!$K$5:$K$528,6),'Calc (scoring engine)'!$K$5:$K$528,0))="","—",INDEX(Database!$L$5:$L$528,MATCH(LARGE('Calc (scoring engine)'!$K$5:$K$528,6),'Calc (scoring engine)'!$K$5:$K$528,0))),""))</f>
        <v/>
      </c>
      <c r="L26" s="85">
        <f>IF(OR(6&gt;MAX(3,MIN(15,N($D$18))),IFERROR(LARGE('Calc (scoring engine)'!$K$5:$K$528,6),-999999)&lt;=-900000),"",IFERROR(IF(INDEX(Database!$M$5:$M$528,MATCH(LARGE('Calc (scoring engine)'!$K$5:$K$528,6),'Calc (scoring engine)'!$K$5:$K$528,0))="","—",INDEX(Database!$M$5:$M$528,MATCH(LARGE('Calc (scoring engine)'!$K$5:$K$528,6),'Calc (scoring engine)'!$K$5:$K$528,0))),""))</f>
        <v/>
      </c>
      <c r="M26" s="43">
        <f>IF(OR(6&gt;MAX(3,MIN(15,N($D$18))),IFERROR(LARGE('Calc (scoring engine)'!$K$5:$K$528,6),-999999)&lt;=-900000),"",IFERROR(IF(INDEX(Database!$N$5:$N$528,MATCH(LARGE('Calc (scoring engine)'!$K$5:$K$528,6),'Calc (scoring engine)'!$K$5:$K$528,0))="","—",INDEX(Database!$N$5:$N$528,MATCH(LARGE('Calc (scoring engine)'!$K$5:$K$528,6),'Calc (scoring engine)'!$K$5:$K$528,0))),""))</f>
        <v/>
      </c>
      <c r="N26" s="65">
        <f>IF(OR(6&gt;MAX(3,MIN(15,N($D$18))),IFERROR(LARGE('Calc (scoring engine)'!$K$5:$K$528,6),-999999)&lt;=-900000),"",IFERROR(IF(INDEX(Database!$O$5:$O$528,MATCH(LARGE('Calc (scoring engine)'!$K$5:$K$528,6),'Calc (scoring engine)'!$K$5:$K$528,0))="","—",INDEX(Database!$O$5:$O$528,MATCH(LARGE('Calc (scoring engine)'!$K$5:$K$528,6),'Calc (scoring engine)'!$K$5:$K$528,0))),""))</f>
        <v/>
      </c>
      <c r="O26" s="65">
        <f>IF(OR(6&gt;MAX(3,MIN(15,N($D$18))),IFERROR(LARGE('Calc (scoring engine)'!$K$5:$K$528,6),-999999)&lt;=-900000),"",IFERROR(IF(INDEX(Database!$P$5:$P$528,MATCH(LARGE('Calc (scoring engine)'!$K$5:$K$528,6),'Calc (scoring engine)'!$K$5:$K$528,0))="","—",INDEX(Database!$P$5:$P$528,MATCH(LARGE('Calc (scoring engine)'!$K$5:$K$528,6),'Calc (scoring engine)'!$K$5:$K$528,0))),""))</f>
        <v/>
      </c>
      <c r="P26" s="53">
        <f>IF(OR(6&gt;MAX(3,MIN(15,N($D$18))),IFERROR(LARGE('Calc (scoring engine)'!$K$5:$K$528,6),-999999)&lt;=-900000),"",IFERROR(IF(INDEX(Database!$Q$5:$Q$528,MATCH(LARGE('Calc (scoring engine)'!$K$5:$K$528,6),'Calc (scoring engine)'!$K$5:$K$528,0))="","—",INDEX(Database!$Q$5:$Q$528,MATCH(LARGE('Calc (scoring engine)'!$K$5:$K$528,6),'Calc (scoring engine)'!$K$5:$K$528,0))),""))</f>
        <v/>
      </c>
      <c r="Q26" s="60">
        <f>IF(OR(6&gt;MAX(3,MIN(15,N($D$18))),IFERROR(LARGE('Calc (scoring engine)'!$K$5:$K$528,6),-999999)&lt;=-900000),"",IFERROR(IF(INDEX(Database!$S$5:$S$528,MATCH(LARGE('Calc (scoring engine)'!$K$5:$K$528,6),'Calc (scoring engine)'!$K$5:$K$528,0))="","—",INDEX(Database!$S$5:$S$528,MATCH(LARGE('Calc (scoring engine)'!$K$5:$K$528,6),'Calc (scoring engine)'!$K$5:$K$528,0))),""))</f>
        <v/>
      </c>
      <c r="R26" s="86">
        <f>IF(OR(6&gt;MAX(3,MIN(15,N($D$18))),IFERROR(LARGE('Calc (scoring engine)'!$K$5:$K$528,6),-999999)&lt;=-900000),"",IFERROR(IF(INDEX(Database!$T$5:$T$528,MATCH(LARGE('Calc (scoring engine)'!$K$5:$K$528,6),'Calc (scoring engine)'!$K$5:$K$528,0))="","—",INDEX(Database!$T$5:$T$528,MATCH(LARGE('Calc (scoring engine)'!$K$5:$K$528,6),'Calc (scoring engine)'!$K$5:$K$528,0))),""))</f>
        <v/>
      </c>
      <c r="S26" s="87">
        <f>IF(OR(6&gt;MAX(3,MIN(15,N($D$18))),IFERROR(LARGE('Calc (scoring engine)'!$K$5:$K$528,6),-999999)&lt;=-900000),"",IFERROR(IF(INDEX(Database!$U$5:$U$528,MATCH(LARGE('Calc (scoring engine)'!$K$5:$K$528,6),'Calc (scoring engine)'!$K$5:$K$528,0))="","—",INDEX(Database!$U$5:$U$528,MATCH(LARGE('Calc (scoring engine)'!$K$5:$K$528,6),'Calc (scoring engine)'!$K$5:$K$528,0))),""))</f>
        <v/>
      </c>
      <c r="T26" s="88">
        <f>IF(OR(6&gt;MAX(3,MIN(15,N($D$18))),IFERROR(LARGE('Calc (scoring engine)'!$K$5:$K$528,6),-999999)&lt;=-900000),"",IFERROR(IF(INDEX(Database!$V$5:$V$528,MATCH(LARGE('Calc (scoring engine)'!$K$5:$K$528,6),'Calc (scoring engine)'!$K$5:$K$528,0))="","—",INDEX(Database!$V$5:$V$528,MATCH(LARGE('Calc (scoring engine)'!$K$5:$K$528,6),'Calc (scoring engine)'!$K$5:$K$528,0))),""))</f>
        <v/>
      </c>
      <c r="U26" s="65">
        <f>IF(OR(6&gt;MAX(3,MIN(15,N($D$18))),IFERROR(LARGE('Calc (scoring engine)'!$K$5:$K$528,6),-999999)&lt;=-900000),"",IFERROR(IF(INDEX(Database!$W$5:$W$528,MATCH(LARGE('Calc (scoring engine)'!$K$5:$K$528,6),'Calc (scoring engine)'!$K$5:$K$528,0))="","—",INDEX(Database!$W$5:$W$528,MATCH(LARGE('Calc (scoring engine)'!$K$5:$K$528,6),'Calc (scoring engine)'!$K$5:$K$528,0))),""))</f>
        <v/>
      </c>
      <c r="V26" s="43">
        <f>IF(OR(6&gt;MAX(3,MIN(15,N($D$18))),IFERROR(LARGE('Calc (scoring engine)'!$K$5:$K$528,6),-999999)&lt;=-900000),"",IFERROR(IF(INDEX(Database!$X$5:$X$528,MATCH(LARGE('Calc (scoring engine)'!$K$5:$K$528,6),'Calc (scoring engine)'!$K$5:$K$528,0))="","—",INDEX(Database!$X$5:$X$528,MATCH(LARGE('Calc (scoring engine)'!$K$5:$K$528,6),'Calc (scoring engine)'!$K$5:$K$528,0))),""))</f>
        <v/>
      </c>
      <c r="W26" s="53">
        <f>IF(OR(6&gt;MAX(3,MIN(15,N($D$18))),IFERROR(LARGE('Calc (scoring engine)'!$K$5:$K$528,6),-999999)&lt;=-900000),"",IFERROR(IF(INDEX(Database!$Y$5:$Y$528,MATCH(LARGE('Calc (scoring engine)'!$K$5:$K$528,6),'Calc (scoring engine)'!$K$5:$K$528,0))="","—",INDEX(Database!$Y$5:$Y$528,MATCH(LARGE('Calc (scoring engine)'!$K$5:$K$528,6),'Calc (scoring engine)'!$K$5:$K$528,0))),""))</f>
        <v/>
      </c>
      <c r="X26" s="53">
        <f>IF(OR(6&gt;MAX(3,MIN(15,N($D$18))),IFERROR(LARGE('Calc (scoring engine)'!$K$5:$K$528,6),-999999)&lt;=-900000),"",IFERROR(IF(INDEX(Database!$Z$5:$Z$528,MATCH(LARGE('Calc (scoring engine)'!$K$5:$K$528,6),'Calc (scoring engine)'!$K$5:$K$528,0))="","—",INDEX(Database!$Z$5:$Z$528,MATCH(LARGE('Calc (scoring engine)'!$K$5:$K$528,6),'Calc (scoring engine)'!$K$5:$K$528,0))),""))</f>
        <v/>
      </c>
      <c r="Y26" s="65">
        <f>IF(OR(6&gt;MAX(3,MIN(15,N($D$18))),IFERROR(LARGE('Calc (scoring engine)'!$K$5:$K$528,6),-999999)&lt;=-900000),"",IFERROR(IF(INDEX(Database!$AA$5:$AA$528,MATCH(LARGE('Calc (scoring engine)'!$K$5:$K$528,6),'Calc (scoring engine)'!$K$5:$K$528,0))="","—",INDEX(Database!$AA$5:$AA$528,MATCH(LARGE('Calc (scoring engine)'!$K$5:$K$528,6),'Calc (scoring engine)'!$K$5:$K$528,0))),""))</f>
        <v/>
      </c>
      <c r="Z26" s="43">
        <f>IF(OR(6&gt;MAX(3,MIN(15,N($D$18))),IFERROR(LARGE('Calc (scoring engine)'!$K$5:$K$528,6),-999999)&lt;=-900000),"",IFERROR(IF(INDEX(Database!$AB$5:$AB$528,MATCH(LARGE('Calc (scoring engine)'!$K$5:$K$528,6),'Calc (scoring engine)'!$K$5:$K$528,0))="","—",INDEX(Database!$AB$5:$AB$528,MATCH(LARGE('Calc (scoring engine)'!$K$5:$K$528,6),'Calc (scoring engine)'!$K$5:$K$528,0))),""))</f>
        <v/>
      </c>
      <c r="AA26" s="65">
        <f>IF(OR(6&gt;MAX(3,MIN(15,N($D$18))),IFERROR(LARGE('Calc (scoring engine)'!$K$5:$K$528,6),-999999)&lt;=-900000),"",IFERROR(IF(INDEX(Database!$AD$5:$AD$528,MATCH(LARGE('Calc (scoring engine)'!$K$5:$K$528,6),'Calc (scoring engine)'!$K$5:$K$528,0))="","—",INDEX(Database!$AD$5:$AD$528,MATCH(LARGE('Calc (scoring engine)'!$K$5:$K$528,6),'Calc (scoring engine)'!$K$5:$K$528,0))),""))</f>
        <v/>
      </c>
      <c r="AB26" s="43">
        <f>IF(OR(6&gt;MAX(3,MIN(15,N($D$18))),IFERROR(LARGE('Calc (scoring engine)'!$K$5:$K$528,6),-999999)&lt;=-900000),"",IFERROR(IF(INDEX(Database!$AE$5:$AE$528,MATCH(LARGE('Calc (scoring engine)'!$K$5:$K$528,6),'Calc (scoring engine)'!$K$5:$K$528,0))="","—",INDEX(Database!$AE$5:$AE$528,MATCH(LARGE('Calc (scoring engine)'!$K$5:$K$528,6),'Calc (scoring engine)'!$K$5:$K$528,0))),""))</f>
        <v/>
      </c>
      <c r="AC26" s="43">
        <f>IF(OR(6&gt;MAX(3,MIN(15,N($D$18))),IFERROR(LARGE('Calc (scoring engine)'!$K$5:$K$528,6),-999999)&lt;=-900000),"",IFERROR(IF(INDEX(Database!$AF$5:$AF$528,MATCH(LARGE('Calc (scoring engine)'!$K$5:$K$528,6),'Calc (scoring engine)'!$K$5:$K$528,0))="","—",INDEX(Database!$AF$5:$AF$528,MATCH(LARGE('Calc (scoring engine)'!$K$5:$K$528,6),'Calc (scoring engine)'!$K$5:$K$528,0))),""))</f>
        <v/>
      </c>
      <c r="AD26" s="43">
        <f>IF(OR(6&gt;MAX(3,MIN(15,N($D$18))),IFERROR(LARGE('Calc (scoring engine)'!$K$5:$K$528,6),-999999)&lt;=-900000),"",IFERROR(IF(INDEX(Database!$AG$5:$AG$528,MATCH(LARGE('Calc (scoring engine)'!$K$5:$K$528,6),'Calc (scoring engine)'!$K$5:$K$528,0))="","—",INDEX(Database!$AG$5:$AG$528,MATCH(LARGE('Calc (scoring engine)'!$K$5:$K$528,6),'Calc (scoring engine)'!$K$5:$K$528,0))),""))</f>
        <v/>
      </c>
      <c r="AE26" s="43">
        <f>IF(OR(6&gt;MAX(3,MIN(15,N($D$18))),IFERROR(LARGE('Calc (scoring engine)'!$K$5:$K$528,6),-999999)&lt;=-900000),"",IFERROR(IF(INDEX(Database!$AH$5:$AH$528,MATCH(LARGE('Calc (scoring engine)'!$K$5:$K$528,6),'Calc (scoring engine)'!$K$5:$K$528,0))="","—",INDEX(Database!$AH$5:$AH$528,MATCH(LARGE('Calc (scoring engine)'!$K$5:$K$528,6),'Calc (scoring engine)'!$K$5:$K$528,0))),""))</f>
        <v/>
      </c>
      <c r="AF26" s="57">
        <f>IF(OR(6&gt;MAX(3,MIN(15,N($D$18))),IFERROR(LARGE('Calc (scoring engine)'!$K$5:$K$528,6),-999999)&lt;=-900000),"",IFERROR(IF(INDEX(Database!$AI$5:$AI$528,MATCH(LARGE('Calc (scoring engine)'!$K$5:$K$528,6),'Calc (scoring engine)'!$K$5:$K$528,0))="","—",INDEX(Database!$AI$5:$AI$528,MATCH(LARGE('Calc (scoring engine)'!$K$5:$K$528,6),'Calc (scoring engine)'!$K$5:$K$528,0))),""))</f>
        <v/>
      </c>
      <c r="AG26" s="57">
        <f>IF(OR(6&gt;MAX(3,MIN(15,N($D$18))),IFERROR(LARGE('Calc (scoring engine)'!$K$5:$K$528,6),-999999)&lt;=-900000),"",IFERROR(IF(INDEX(Database!$AJ$5:$AJ$528,MATCH(LARGE('Calc (scoring engine)'!$K$5:$K$528,6),'Calc (scoring engine)'!$K$5:$K$528,0))="","—",INDEX(Database!$AJ$5:$AJ$528,MATCH(LARGE('Calc (scoring engine)'!$K$5:$K$528,6),'Calc (scoring engine)'!$K$5:$K$528,0))),""))</f>
        <v/>
      </c>
      <c r="AH26" s="57">
        <f>IF(OR(6&gt;MAX(3,MIN(15,N($D$18))),IFERROR(LARGE('Calc (scoring engine)'!$K$5:$K$528,6),-999999)&lt;=-900000),"",IFERROR(IF(INDEX(Database!$AK$5:$AK$528,MATCH(LARGE('Calc (scoring engine)'!$K$5:$K$528,6),'Calc (scoring engine)'!$K$5:$K$528,0))="","—",INDEX(Database!$AK$5:$AK$528,MATCH(LARGE('Calc (scoring engine)'!$K$5:$K$528,6),'Calc (scoring engine)'!$K$5:$K$528,0))),""))</f>
        <v/>
      </c>
      <c r="AI26" s="57">
        <f>IF(OR(6&gt;MAX(3,MIN(15,N($D$18))),IFERROR(LARGE('Calc (scoring engine)'!$K$5:$K$528,6),-999999)&lt;=-900000),"",IFERROR(IF(INDEX(Database!$AL$5:$AL$528,MATCH(LARGE('Calc (scoring engine)'!$K$5:$K$528,6),'Calc (scoring engine)'!$K$5:$K$528,0))="","—",INDEX(Database!$AL$5:$AL$528,MATCH(LARGE('Calc (scoring engine)'!$K$5:$K$528,6),'Calc (scoring engine)'!$K$5:$K$528,0))),""))</f>
        <v/>
      </c>
      <c r="AJ26" s="57">
        <f>IF(OR(6&gt;MAX(3,MIN(15,N($D$18))),IFERROR(LARGE('Calc (scoring engine)'!$K$5:$K$528,6),-999999)&lt;=-900000),"",IFERROR(IF(INDEX(Database!$AM$5:$AM$528,MATCH(LARGE('Calc (scoring engine)'!$K$5:$K$528,6),'Calc (scoring engine)'!$K$5:$K$528,0))="","—",INDEX(Database!$AM$5:$AM$528,MATCH(LARGE('Calc (scoring engine)'!$K$5:$K$528,6),'Calc (scoring engine)'!$K$5:$K$528,0))),""))</f>
        <v/>
      </c>
      <c r="AK26" s="58">
        <f>IF(OR(6&gt;MAX(3,MIN(15,N($D$18))),IFERROR(LARGE('Calc (scoring engine)'!$K$5:$K$528,6),-999999)&lt;=-900000),"",IFERROR(IF(INDEX(Database!$AN$5:$AN$528,MATCH(LARGE('Calc (scoring engine)'!$K$5:$K$528,6),'Calc (scoring engine)'!$K$5:$K$528,0))="","—",INDEX(Database!$AN$5:$AN$528,MATCH(LARGE('Calc (scoring engine)'!$K$5:$K$528,6),'Calc (scoring engine)'!$K$5:$K$528,0))),""))</f>
        <v/>
      </c>
      <c r="AL26" s="65">
        <f>IF(OR(6&gt;MAX(3,MIN(15,N($D$18))),IFERROR(LARGE('Calc (scoring engine)'!$K$5:$K$528,6),-999999)&lt;=-900000),"",IFERROR(IF(INDEX(Database!$AO$5:$AO$528,MATCH(LARGE('Calc (scoring engine)'!$K$5:$K$528,6),'Calc (scoring engine)'!$K$5:$K$528,0))="","—",INDEX(Database!$AO$5:$AO$528,MATCH(LARGE('Calc (scoring engine)'!$K$5:$K$528,6),'Calc (scoring engine)'!$K$5:$K$528,0))),""))</f>
        <v/>
      </c>
      <c r="AM26" s="57">
        <f>IF(OR(6&gt;MAX(3,MIN(15,N($D$18))),IFERROR(LARGE('Calc (scoring engine)'!$K$5:$K$528,6),-999999)&lt;=-900000),"",IFERROR(IF(INDEX(Database!$AP$5:$AP$528,MATCH(LARGE('Calc (scoring engine)'!$K$5:$K$528,6),'Calc (scoring engine)'!$K$5:$K$528,0))="","—",INDEX(Database!$AP$5:$AP$528,MATCH(LARGE('Calc (scoring engine)'!$K$5:$K$528,6),'Calc (scoring engine)'!$K$5:$K$528,0))),""))</f>
        <v/>
      </c>
      <c r="AN26" s="57">
        <f>IF(OR(6&gt;MAX(3,MIN(15,N($D$18))),IFERROR(LARGE('Calc (scoring engine)'!$K$5:$K$528,6),-999999)&lt;=-900000),"",IFERROR(IF(INDEX(Database!$AQ$5:$AQ$528,MATCH(LARGE('Calc (scoring engine)'!$K$5:$K$528,6),'Calc (scoring engine)'!$K$5:$K$528,0))="","—",INDEX(Database!$AQ$5:$AQ$528,MATCH(LARGE('Calc (scoring engine)'!$K$5:$K$528,6),'Calc (scoring engine)'!$K$5:$K$528,0))),""))</f>
        <v/>
      </c>
      <c r="AO26" s="57">
        <f>IF(OR(6&gt;MAX(3,MIN(15,N($D$18))),IFERROR(LARGE('Calc (scoring engine)'!$K$5:$K$528,6),-999999)&lt;=-900000),"",IFERROR(IF(INDEX(Database!$AR$5:$AR$528,MATCH(LARGE('Calc (scoring engine)'!$K$5:$K$528,6),'Calc (scoring engine)'!$K$5:$K$528,0))="","—",INDEX(Database!$AR$5:$AR$528,MATCH(LARGE('Calc (scoring engine)'!$K$5:$K$528,6),'Calc (scoring engine)'!$K$5:$K$528,0))),""))</f>
        <v/>
      </c>
      <c r="AP26" s="57">
        <f>IF(OR(6&gt;MAX(3,MIN(15,N($D$18))),IFERROR(LARGE('Calc (scoring engine)'!$K$5:$K$528,6),-999999)&lt;=-900000),"",IFERROR(IF(INDEX(Database!$AS$5:$AS$528,MATCH(LARGE('Calc (scoring engine)'!$K$5:$K$528,6),'Calc (scoring engine)'!$K$5:$K$528,0))="","—",INDEX(Database!$AS$5:$AS$528,MATCH(LARGE('Calc (scoring engine)'!$K$5:$K$528,6),'Calc (scoring engine)'!$K$5:$K$528,0))),""))</f>
        <v/>
      </c>
      <c r="AQ26" s="57">
        <f>IF(OR(6&gt;MAX(3,MIN(15,N($D$18))),IFERROR(LARGE('Calc (scoring engine)'!$K$5:$K$528,6),-999999)&lt;=-900000),"",IFERROR(IF(INDEX(Database!$AT$5:$AT$528,MATCH(LARGE('Calc (scoring engine)'!$K$5:$K$528,6),'Calc (scoring engine)'!$K$5:$K$528,0))="","—",INDEX(Database!$AT$5:$AT$528,MATCH(LARGE('Calc (scoring engine)'!$K$5:$K$528,6),'Calc (scoring engine)'!$K$5:$K$528,0))),""))</f>
        <v/>
      </c>
      <c r="AR26" s="57">
        <f>IF(OR(6&gt;MAX(3,MIN(15,N($D$18))),IFERROR(LARGE('Calc (scoring engine)'!$K$5:$K$528,6),-999999)&lt;=-900000),"",IFERROR(IF(INDEX(Database!$AU$5:$AU$528,MATCH(LARGE('Calc (scoring engine)'!$K$5:$K$528,6),'Calc (scoring engine)'!$K$5:$K$528,0))="","—",INDEX(Database!$AU$5:$AU$528,MATCH(LARGE('Calc (scoring engine)'!$K$5:$K$528,6),'Calc (scoring engine)'!$K$5:$K$528,0))),""))</f>
        <v/>
      </c>
      <c r="AS26" s="57">
        <f>IF(OR(6&gt;MAX(3,MIN(15,N($D$18))),IFERROR(LARGE('Calc (scoring engine)'!$K$5:$K$528,6),-999999)&lt;=-900000),"",IFERROR(IF(INDEX(Database!$AV$5:$AV$528,MATCH(LARGE('Calc (scoring engine)'!$K$5:$K$528,6),'Calc (scoring engine)'!$K$5:$K$528,0))="","—",INDEX(Database!$AV$5:$AV$528,MATCH(LARGE('Calc (scoring engine)'!$K$5:$K$528,6),'Calc (scoring engine)'!$K$5:$K$528,0))),""))</f>
        <v/>
      </c>
      <c r="AT26" s="57">
        <f>IF(OR(6&gt;MAX(3,MIN(15,N($D$18))),IFERROR(LARGE('Calc (scoring engine)'!$K$5:$K$528,6),-999999)&lt;=-900000),"",IFERROR(IF(INDEX(Database!$AW$5:$AW$528,MATCH(LARGE('Calc (scoring engine)'!$K$5:$K$528,6),'Calc (scoring engine)'!$K$5:$K$528,0))="","—",INDEX(Database!$AW$5:$AW$528,MATCH(LARGE('Calc (scoring engine)'!$K$5:$K$528,6),'Calc (scoring engine)'!$K$5:$K$528,0))),""))</f>
        <v/>
      </c>
      <c r="AU26" s="57">
        <f>IF(OR(6&gt;MAX(3,MIN(15,N($D$18))),IFERROR(LARGE('Calc (scoring engine)'!$K$5:$K$528,6),-999999)&lt;=-900000),"",IFERROR(IF(INDEX(Database!$AX$5:$AX$528,MATCH(LARGE('Calc (scoring engine)'!$K$5:$K$528,6),'Calc (scoring engine)'!$K$5:$K$528,0))="","—",INDEX(Database!$AX$5:$AX$528,MATCH(LARGE('Calc (scoring engine)'!$K$5:$K$528,6),'Calc (scoring engine)'!$K$5:$K$528,0))),""))</f>
        <v/>
      </c>
      <c r="AV26" s="57">
        <f>IF(OR(6&gt;MAX(3,MIN(15,N($D$18))),IFERROR(LARGE('Calc (scoring engine)'!$K$5:$K$528,6),-999999)&lt;=-900000),"",IFERROR(IF(INDEX(Database!$AY$5:$AY$528,MATCH(LARGE('Calc (scoring engine)'!$K$5:$K$528,6),'Calc (scoring engine)'!$K$5:$K$528,0))="","—",INDEX(Database!$AY$5:$AY$528,MATCH(LARGE('Calc (scoring engine)'!$K$5:$K$528,6),'Calc (scoring engine)'!$K$5:$K$528,0))),""))</f>
        <v/>
      </c>
      <c r="AW26" s="57">
        <f>IF(OR(6&gt;MAX(3,MIN(15,N($D$18))),IFERROR(LARGE('Calc (scoring engine)'!$K$5:$K$528,6),-999999)&lt;=-900000),"",IFERROR(IF(INDEX(Database!$AZ$5:$AZ$528,MATCH(LARGE('Calc (scoring engine)'!$K$5:$K$528,6),'Calc (scoring engine)'!$K$5:$K$528,0))="","—",INDEX(Database!$AZ$5:$AZ$528,MATCH(LARGE('Calc (scoring engine)'!$K$5:$K$528,6),'Calc (scoring engine)'!$K$5:$K$528,0))),""))</f>
        <v/>
      </c>
      <c r="AX26" s="57">
        <f>IF(OR(6&gt;MAX(3,MIN(15,N($D$18))),IFERROR(LARGE('Calc (scoring engine)'!$K$5:$K$528,6),-999999)&lt;=-900000),"",IFERROR(IF(INDEX(Database!$BA$5:$BA$528,MATCH(LARGE('Calc (scoring engine)'!$K$5:$K$528,6),'Calc (scoring engine)'!$K$5:$K$528,0))="","—",INDEX(Database!$BA$5:$BA$528,MATCH(LARGE('Calc (scoring engine)'!$K$5:$K$528,6),'Calc (scoring engine)'!$K$5:$K$528,0))),""))</f>
        <v/>
      </c>
      <c r="AY26" s="57">
        <f>IF(OR(6&gt;MAX(3,MIN(15,N($D$18))),IFERROR(LARGE('Calc (scoring engine)'!$K$5:$K$528,6),-999999)&lt;=-900000),"",IFERROR(IF(INDEX(Database!$BC$5:$BC$528,MATCH(LARGE('Calc (scoring engine)'!$K$5:$K$528,6),'Calc (scoring engine)'!$K$5:$K$528,0))="","—",INDEX(Database!$BC$5:$BC$528,MATCH(LARGE('Calc (scoring engine)'!$K$5:$K$528,6),'Calc (scoring engine)'!$K$5:$K$528,0))),""))</f>
        <v/>
      </c>
      <c r="AZ26" s="53">
        <f>IF(OR(6&gt;MAX(3,MIN(15,N($D$18))),IFERROR(LARGE('Calc (scoring engine)'!$K$5:$K$528,6),-999999)&lt;=-900000),"",IFERROR(IF(INDEX(Database!$BE$5:$BE$528,MATCH(LARGE('Calc (scoring engine)'!$K$5:$K$528,6),'Calc (scoring engine)'!$K$5:$K$528,0))="","—",INDEX(Database!$BE$5:$BE$528,MATCH(LARGE('Calc (scoring engine)'!$K$5:$K$528,6),'Calc (scoring engine)'!$K$5:$K$528,0))),""))</f>
        <v/>
      </c>
      <c r="BA26" s="53">
        <f>IF(OR(6&gt;MAX(3,MIN(15,N($D$18))),IFERROR(LARGE('Calc (scoring engine)'!$K$5:$K$528,6),-999999)&lt;=-900000),"",IFERROR(IF(INDEX(Database!$BF$5:$BF$528,MATCH(LARGE('Calc (scoring engine)'!$K$5:$K$528,6),'Calc (scoring engine)'!$K$5:$K$528,0))="","—",INDEX(Database!$BF$5:$BF$528,MATCH(LARGE('Calc (scoring engine)'!$K$5:$K$528,6),'Calc (scoring engine)'!$K$5:$K$528,0))),""))</f>
        <v/>
      </c>
      <c r="BB26" s="43">
        <f>IF(OR(6&gt;MAX(3,MIN(15,N($D$18))),IFERROR(LARGE('Calc (scoring engine)'!$K$5:$K$528,6),-999999)&lt;=-900000),"",IFERROR(IF(INDEX(Database!$BG$5:$BG$528,MATCH(LARGE('Calc (scoring engine)'!$K$5:$K$528,6),'Calc (scoring engine)'!$K$5:$K$528,0))="","—",INDEX(Database!$BG$5:$BG$528,MATCH(LARGE('Calc (scoring engine)'!$K$5:$K$528,6),'Calc (scoring engine)'!$K$5:$K$528,0))),""))</f>
        <v/>
      </c>
      <c r="BC26" s="58">
        <f>IF(OR(6&gt;MAX(3,MIN(15,N($D$18))),IFERROR(LARGE('Calc (scoring engine)'!$K$5:$K$528,6),-999999)&lt;=-900000),"",IFERROR(IF(N(INDEX(Database!$BH$5:$BH$528,MATCH(LARGE('Calc (scoring engine)'!$K$5:$K$528,6),'Calc (scoring engine)'!$K$5:$K$528,0)))&lt;=0,IF(INDEX(Database!$BG$5:$BG$528,MATCH(LARGE('Calc (scoring engine)'!$K$5:$K$528,6),'Calc (scoring engine)'!$K$5:$K$528,0))="N","n/m","—"),INDEX(Database!$BH$5:$BH$528,MATCH(LARGE('Calc (scoring engine)'!$K$5:$K$528,6),'Calc (scoring engine)'!$K$5:$K$528,0))),""))</f>
        <v/>
      </c>
      <c r="BD26" s="58">
        <f>IF(OR(6&gt;MAX(3,MIN(15,N($D$18))),IFERROR(LARGE('Calc (scoring engine)'!$K$5:$K$528,6),-999999)&lt;=-900000),"",IFERROR(IF(INDEX(Database!$BI$5:$BI$528,MATCH(LARGE('Calc (scoring engine)'!$K$5:$K$528,6),'Calc (scoring engine)'!$K$5:$K$528,0))="","—",INDEX(Database!$BI$5:$BI$528,MATCH(LARGE('Calc (scoring engine)'!$K$5:$K$528,6),'Calc (scoring engine)'!$K$5:$K$528,0))),""))</f>
        <v/>
      </c>
      <c r="BE26" s="58">
        <f>IF(OR(6&gt;MAX(3,MIN(15,N($D$18))),IFERROR(LARGE('Calc (scoring engine)'!$K$5:$K$528,6),-999999)&lt;=-900000),"",IFERROR(IF(INDEX(Database!$BJ$5:$BJ$528,MATCH(LARGE('Calc (scoring engine)'!$K$5:$K$528,6),'Calc (scoring engine)'!$K$5:$K$528,0))="","—",INDEX(Database!$BJ$5:$BJ$528,MATCH(LARGE('Calc (scoring engine)'!$K$5:$K$528,6),'Calc (scoring engine)'!$K$5:$K$528,0))),""))</f>
        <v/>
      </c>
      <c r="BF26" s="58">
        <f>IF(OR(6&gt;MAX(3,MIN(15,N($D$18))),IFERROR(LARGE('Calc (scoring engine)'!$K$5:$K$528,6),-999999)&lt;=-900000),"",IFERROR(IF(INDEX(Database!$BK$5:$BK$528,MATCH(LARGE('Calc (scoring engine)'!$K$5:$K$528,6),'Calc (scoring engine)'!$K$5:$K$528,0))="","—",INDEX(Database!$BK$5:$BK$528,MATCH(LARGE('Calc (scoring engine)'!$K$5:$K$528,6),'Calc (scoring engine)'!$K$5:$K$528,0))),""))</f>
        <v/>
      </c>
      <c r="BG26" s="58">
        <f>IF(OR(6&gt;MAX(3,MIN(15,N($D$18))),IFERROR(LARGE('Calc (scoring engine)'!$K$5:$K$528,6),-999999)&lt;=-900000),"",IFERROR(IF(INDEX(Database!$BL$5:$BL$528,MATCH(LARGE('Calc (scoring engine)'!$K$5:$K$528,6),'Calc (scoring engine)'!$K$5:$K$528,0))="","—",INDEX(Database!$BL$5:$BL$528,MATCH(LARGE('Calc (scoring engine)'!$K$5:$K$528,6),'Calc (scoring engine)'!$K$5:$K$528,0))),""))</f>
        <v/>
      </c>
      <c r="BH26" s="58">
        <f>IF(OR(6&gt;MAX(3,MIN(15,N($D$18))),IFERROR(LARGE('Calc (scoring engine)'!$K$5:$K$528,6),-999999)&lt;=-900000),"",IFERROR(IFERROR(BDP(TEXT(INDEX(Database!$A$5:$A$528,MATCH(LARGE('Calc (scoring engine)'!$K$5:$K$528,6),'Calc (scoring engine)'!$K$5:$K$528,0)),"0")&amp;" HK Equity","PE_RATIO"),IF(INDEX(Database!$BJ$5:$BJ$528,MATCH(LARGE('Calc (scoring engine)'!$K$5:$K$528,6),'Calc (scoring engine)'!$K$5:$K$528,0))="","—",INDEX(Database!$BJ$5:$BJ$528,MATCH(LARGE('Calc (scoring engine)'!$K$5:$K$528,6),'Calc (scoring engine)'!$K$5:$K$528,0)))),""))</f>
        <v/>
      </c>
      <c r="BI26" s="58">
        <f>IF(OR(6&gt;MAX(3,MIN(15,N($D$18))),IFERROR(LARGE('Calc (scoring engine)'!$K$5:$K$528,6),-999999)&lt;=-900000),"",IFERROR(IFERROR(BDP(TEXT(INDEX(Database!$A$5:$A$528,MATCH(LARGE('Calc (scoring engine)'!$K$5:$K$528,6),'Calc (scoring engine)'!$K$5:$K$528,0)),"0")&amp;" HK Equity","PX_TO_SALES_RATIO"),IF(INDEX(Database!$BK$5:$BK$528,MATCH(LARGE('Calc (scoring engine)'!$K$5:$K$528,6),'Calc (scoring engine)'!$K$5:$K$528,0))="","—",INDEX(Database!$BK$5:$BK$528,MATCH(LARGE('Calc (scoring engine)'!$K$5:$K$528,6),'Calc (scoring engine)'!$K$5:$K$528,0)))),""))</f>
        <v/>
      </c>
      <c r="BJ26" s="43">
        <f>IF(OR(6&gt;MAX(3,MIN(15,N($D$18))),IFERROR(LARGE('Calc (scoring engine)'!$K$5:$K$528,6),-999999)&lt;=-900000),"",IFERROR(IF(INDEX(Database!$BM$5:$BM$528,MATCH(LARGE('Calc (scoring engine)'!$K$5:$K$528,6),'Calc (scoring engine)'!$K$5:$K$528,0))="","—",INDEX(Database!$BM$5:$BM$528,MATCH(LARGE('Calc (scoring engine)'!$K$5:$K$528,6),'Calc (scoring engine)'!$K$5:$K$528,0))),""))</f>
        <v/>
      </c>
      <c r="BK26" s="43">
        <f>IF(OR(6&gt;MAX(3,MIN(15,N($D$18))),IFERROR(LARGE('Calc (scoring engine)'!$K$5:$K$528,6),-999999)&lt;=-900000),"",IFERROR(IF(INDEX(Database!$BN$5:$BN$528,MATCH(LARGE('Calc (scoring engine)'!$K$5:$K$528,6),'Calc (scoring engine)'!$K$5:$K$528,0))="","—",INDEX(Database!$BN$5:$BN$528,MATCH(LARGE('Calc (scoring engine)'!$K$5:$K$528,6),'Calc (scoring engine)'!$K$5:$K$528,0))),""))</f>
        <v/>
      </c>
      <c r="BL26" s="57">
        <f>IF(OR(6&gt;MAX(3,MIN(15,N($D$18))),IFERROR(LARGE('Calc (scoring engine)'!$K$5:$K$528,6),-999999)&lt;=-900000),"",IFERROR(IF(INDEX(Database!$BO$5:$BO$528,MATCH(LARGE('Calc (scoring engine)'!$K$5:$K$528,6),'Calc (scoring engine)'!$K$5:$K$528,0))="","—",INDEX(Database!$BO$5:$BO$528,MATCH(LARGE('Calc (scoring engine)'!$K$5:$K$528,6),'Calc (scoring engine)'!$K$5:$K$528,0))),""))</f>
        <v/>
      </c>
      <c r="BM26" s="85">
        <f>IF(OR(6&gt;MAX(3,MIN(15,N($D$18))),IFERROR(LARGE('Calc (scoring engine)'!$K$5:$K$528,6),-999999)&lt;=-900000),"",IFERROR(IF(INDEX(Database!$BP$5:$BP$528,MATCH(LARGE('Calc (scoring engine)'!$K$5:$K$528,6),'Calc (scoring engine)'!$K$5:$K$528,0))="","—",INDEX(Database!$BP$5:$BP$528,MATCH(LARGE('Calc (scoring engine)'!$K$5:$K$528,6),'Calc (scoring engine)'!$K$5:$K$528,0))),""))</f>
        <v/>
      </c>
      <c r="BN26" s="89">
        <f>IF(OR(6&gt;MAX(3,MIN(15,N($D$18))),IFERROR(LARGE('Calc (scoring engine)'!$K$5:$K$528,6),-999999)&lt;=-900000),"",IFERROR(IF(INDEX(Database!$BQ$5:$BQ$528,MATCH(LARGE('Calc (scoring engine)'!$K$5:$K$528,6),'Calc (scoring engine)'!$K$5:$K$528,0))="","—",INDEX(Database!$BQ$5:$BQ$528,MATCH(LARGE('Calc (scoring engine)'!$K$5:$K$528,6),'Calc (scoring engine)'!$K$5:$K$528,0))),""))</f>
        <v/>
      </c>
      <c r="BO26" s="53">
        <f>IF(OR(6&gt;MAX(3,MIN(15,N($D$18))),IFERROR(LARGE('Calc (scoring engine)'!$K$5:$K$528,6),-999999)&lt;=-900000),"",IFERROR(IF(INDEX(Database!$BR$5:$BR$528,MATCH(LARGE('Calc (scoring engine)'!$K$5:$K$528,6),'Calc (scoring engine)'!$K$5:$K$528,0))="","—",INDEX(Database!$BR$5:$BR$528,MATCH(LARGE('Calc (scoring engine)'!$K$5:$K$528,6),'Calc (scoring engine)'!$K$5:$K$528,0))),""))</f>
        <v/>
      </c>
      <c r="BP26" s="58">
        <f>IF(OR(6&gt;MAX(3,MIN(15,N($D$18))),IFERROR(LARGE('Calc (scoring engine)'!$K$5:$K$528,6),-999999)&lt;=-900000),"",IFERROR(IF(INDEX(Database!$BS$5:$BS$528,MATCH(LARGE('Calc (scoring engine)'!$K$5:$K$528,6),'Calc (scoring engine)'!$K$5:$K$528,0))="","—",INDEX(Database!$BS$5:$BS$528,MATCH(LARGE('Calc (scoring engine)'!$K$5:$K$528,6),'Calc (scoring engine)'!$K$5:$K$528,0))),""))</f>
        <v/>
      </c>
      <c r="BQ26" s="58">
        <f>IF(OR(6&gt;MAX(3,MIN(15,N($D$18))),IFERROR(LARGE('Calc (scoring engine)'!$K$5:$K$528,6),-999999)&lt;=-900000),"",IFERROR(IF(INDEX(Database!$BT$5:$BT$528,MATCH(LARGE('Calc (scoring engine)'!$K$5:$K$528,6),'Calc (scoring engine)'!$K$5:$K$528,0))="","—",INDEX(Database!$BT$5:$BT$528,MATCH(LARGE('Calc (scoring engine)'!$K$5:$K$528,6),'Calc (scoring engine)'!$K$5:$K$528,0))),""))</f>
        <v/>
      </c>
      <c r="BR26" s="43">
        <f>IF(OR(6&gt;MAX(3,MIN(15,N($D$18))),IFERROR(LARGE('Calc (scoring engine)'!$K$5:$K$528,6),-999999)&lt;=-900000),"",IFERROR(IF(INDEX(Database!$BU$5:$BU$528,MATCH(LARGE('Calc (scoring engine)'!$K$5:$K$528,6),'Calc (scoring engine)'!$K$5:$K$528,0))="","—",INDEX(Database!$BU$5:$BU$528,MATCH(LARGE('Calc (scoring engine)'!$K$5:$K$528,6),'Calc (scoring engine)'!$K$5:$K$528,0))),""))</f>
        <v/>
      </c>
      <c r="BS26" s="43">
        <f>IF(OR(6&gt;MAX(3,MIN(15,N($D$18))),IFERROR(LARGE('Calc (scoring engine)'!$K$5:$K$528,6),-999999)&lt;=-900000),"",IFERROR(IF(INDEX(Database!$BW$5:$BW$528,MATCH(LARGE('Calc (scoring engine)'!$K$5:$K$528,6),'Calc (scoring engine)'!$K$5:$K$528,0))="","—",INDEX(Database!$BW$5:$BW$528,MATCH(LARGE('Calc (scoring engine)'!$K$5:$K$528,6),'Calc (scoring engine)'!$K$5:$K$528,0))),""))</f>
        <v/>
      </c>
      <c r="BT26" s="88">
        <f>IF(OR(6&gt;MAX(3,MIN(15,N($D$18))),IFERROR(LARGE('Calc (scoring engine)'!$K$5:$K$528,6),-999999)&lt;=-900000),"",IFERROR(IF(INDEX('Calc (scoring engine)'!$H$5:$H$528,MATCH(LARGE('Calc (scoring engine)'!$K$5:$K$528,6),'Calc (scoring engine)'!$K$5:$K$528,0))&gt;0,INDEX('Calc (scoring engine)'!$H$5:$H$528,MATCH(LARGE('Calc (scoring engine)'!$K$5:$K$528,6),'Calc (scoring engine)'!$K$5:$K$528,0)),""),""))</f>
        <v/>
      </c>
      <c r="BU26" s="43">
        <f>IF(OR(6&gt;MAX(3,MIN(15,N($D$18))),IFERROR(LARGE('Calc (scoring engine)'!$K$5:$K$528,6),-999999)&lt;=-900000),"",IF(IFERROR(INDEX('Calc (scoring engine)'!$B$5:$B$528,MATCH(LARGE('Calc (scoring engine)'!$K$5:$K$528,6),'Calc (scoring engine)'!$K$5:$K$528,0)),0)=1,"same subsector","sector only"))</f>
        <v/>
      </c>
      <c r="BV26" s="88">
        <f>IF(OR(6&gt;MAX(3,MIN(15,N($D$18))),IFERROR(LARGE('Calc (scoring engine)'!$K$5:$K$528,6),-999999)&lt;=-900000),"",ROUND(IFERROR(LARGE('Calc (scoring engine)'!$K$5:$K$528,6),0),0))</f>
        <v/>
      </c>
      <c r="BW26" s="43">
        <f>IF(OR(6&gt;MAX(3,MIN(15,N($D$18))),IFERROR(LARGE('Calc (scoring engine)'!$K$5:$K$528,6),-999999)&lt;=-900000),"",IFERROR("sub "&amp;INDEX('Calc (scoring engine)'!$B$5:$B$528,MATCH(LARGE('Calc (scoring engine)'!$K$5:$K$528,6),'Calc (scoring engine)'!$K$5:$K$528,0))*W_SUB&amp;" + size "&amp;ROUND(INDEX('Calc (scoring engine)'!$D$5:$D$528,MATCH(LARGE('Calc (scoring engine)'!$K$5:$K$528,6),'Calc (scoring engine)'!$K$5:$K$528,0))*W_SIZE,0)&amp;" + prof "&amp;INDEX('Calc (scoring engine)'!$E$5:$E$528,MATCH(LARGE('Calc (scoring engine)'!$K$5:$K$528,6),'Calc (scoring engine)'!$K$5:$K$528,0))*W_PROF&amp;" + recency "&amp;ROUND(INDEX('Calc (scoring engine)'!$G$5:$G$528,MATCH(LARGE('Calc (scoring engine)'!$K$5:$K$528,6),'Calc (scoring engine)'!$K$5:$K$528,0))*W_REC,0)&amp;IF(INDEX('Calc (scoring engine)'!$H$5:$H$528,MATCH(LARGE('Calc (scoring engine)'!$K$5:$K$528,6),'Calc (scoring engine)'!$K$5:$K$528,0))&gt;0," + shared CS x"&amp;INDEX('Calc (scoring engine)'!$H$5:$H$528,MATCH(LARGE('Calc (scoring engine)'!$K$5:$K$528,6),'Calc (scoring engine)'!$K$5:$K$528,0)),""),""))</f>
        <v/>
      </c>
    </row>
    <row r="27">
      <c r="A27" s="83">
        <f>IF(OR(7&gt;MAX(3,MIN(15,N($D$18))),IFERROR(LARGE('Calc (scoring engine)'!$K$5:$K$528,7),-999999)&lt;=-900000),"",7)</f>
        <v/>
      </c>
      <c r="B27" s="43">
        <f>IF(OR(7&gt;MAX(3,MIN(15,N($D$18))),IFERROR(LARGE('Calc (scoring engine)'!$K$5:$K$528,7),-999999)&lt;=-900000),"",IFERROR(IF(INDEX(Database!$B$5:$B$528,MATCH(LARGE('Calc (scoring engine)'!$K$5:$K$528,7),'Calc (scoring engine)'!$K$5:$K$528,0))="","—",INDEX(Database!$B$5:$B$528,MATCH(LARGE('Calc (scoring engine)'!$K$5:$K$528,7),'Calc (scoring engine)'!$K$5:$K$528,0))),""))</f>
        <v/>
      </c>
      <c r="C27" s="84">
        <f>IF(OR(7&gt;MAX(3,MIN(15,N($D$18))),IFERROR(LARGE('Calc (scoring engine)'!$K$5:$K$528,7),-999999)&lt;=-900000),"",IFERROR(IF(INDEX(Database!$A$5:$A$528,MATCH(LARGE('Calc (scoring engine)'!$K$5:$K$528,7),'Calc (scoring engine)'!$K$5:$K$528,0))="","—",INDEX(Database!$A$5:$A$528,MATCH(LARGE('Calc (scoring engine)'!$K$5:$K$528,7),'Calc (scoring engine)'!$K$5:$K$528,0))),""))</f>
        <v/>
      </c>
      <c r="D27" s="43">
        <f>IF(OR(7&gt;MAX(3,MIN(15,N($D$18))),IFERROR(LARGE('Calc (scoring engine)'!$K$5:$K$528,7),-999999)&lt;=-900000),"",IFERROR(IF(INDEX(Database!$D$5:$D$528,MATCH(LARGE('Calc (scoring engine)'!$K$5:$K$528,7),'Calc (scoring engine)'!$K$5:$K$528,0))="","—",INDEX(Database!$D$5:$D$528,MATCH(LARGE('Calc (scoring engine)'!$K$5:$K$528,7),'Calc (scoring engine)'!$K$5:$K$528,0))),""))</f>
        <v/>
      </c>
      <c r="E27" s="43">
        <f>IF(OR(7&gt;MAX(3,MIN(15,N($D$18))),IFERROR(LARGE('Calc (scoring engine)'!$K$5:$K$528,7),-999999)&lt;=-900000),"",IFERROR(IF(INDEX(Database!$E$5:$E$528,MATCH(LARGE('Calc (scoring engine)'!$K$5:$K$528,7),'Calc (scoring engine)'!$K$5:$K$528,0))="","—",INDEX(Database!$E$5:$E$528,MATCH(LARGE('Calc (scoring engine)'!$K$5:$K$528,7),'Calc (scoring engine)'!$K$5:$K$528,0))),""))</f>
        <v/>
      </c>
      <c r="F27" s="43">
        <f>IF(OR(7&gt;MAX(3,MIN(15,N($D$18))),IFERROR(LARGE('Calc (scoring engine)'!$K$5:$K$528,7),-999999)&lt;=-900000),"",IFERROR(IF(INDEX(Database!$F$5:$F$528,MATCH(LARGE('Calc (scoring engine)'!$K$5:$K$528,7),'Calc (scoring engine)'!$K$5:$K$528,0))="","—",INDEX(Database!$F$5:$F$528,MATCH(LARGE('Calc (scoring engine)'!$K$5:$K$528,7),'Calc (scoring engine)'!$K$5:$K$528,0))),""))</f>
        <v/>
      </c>
      <c r="G27" s="43">
        <f>IF(OR(7&gt;MAX(3,MIN(15,N($D$18))),IFERROR(LARGE('Calc (scoring engine)'!$K$5:$K$528,7),-999999)&lt;=-900000),"",IFERROR(IF(INDEX(Database!$G$5:$G$528,MATCH(LARGE('Calc (scoring engine)'!$K$5:$K$528,7),'Calc (scoring engine)'!$K$5:$K$528,0))="","—",INDEX(Database!$G$5:$G$528,MATCH(LARGE('Calc (scoring engine)'!$K$5:$K$528,7),'Calc (scoring engine)'!$K$5:$K$528,0))),""))</f>
        <v/>
      </c>
      <c r="H27" s="55">
        <f>IF(OR(7&gt;MAX(3,MIN(15,N($D$18))),IFERROR(LARGE('Calc (scoring engine)'!$K$5:$K$528,7),-999999)&lt;=-900000),"",IFERROR(IF(INDEX(Database!$H$5:$H$528,MATCH(LARGE('Calc (scoring engine)'!$K$5:$K$528,7),'Calc (scoring engine)'!$K$5:$K$528,0))="","—",INDEX(Database!$H$5:$H$528,MATCH(LARGE('Calc (scoring engine)'!$K$5:$K$528,7),'Calc (scoring engine)'!$K$5:$K$528,0))),""))</f>
        <v/>
      </c>
      <c r="I27" s="53">
        <f>IF(OR(7&gt;MAX(3,MIN(15,N($D$18))),IFERROR(LARGE('Calc (scoring engine)'!$K$5:$K$528,7),-999999)&lt;=-900000),"",IFERROR(IF(INDEX(Database!$I$5:$I$528,MATCH(LARGE('Calc (scoring engine)'!$K$5:$K$528,7),'Calc (scoring engine)'!$K$5:$K$528,0))="","—",INDEX(Database!$I$5:$I$528,MATCH(LARGE('Calc (scoring engine)'!$K$5:$K$528,7),'Calc (scoring engine)'!$K$5:$K$528,0))),""))</f>
        <v/>
      </c>
      <c r="J27" s="85">
        <f>IF(OR(7&gt;MAX(3,MIN(15,N($D$18))),IFERROR(LARGE('Calc (scoring engine)'!$K$5:$K$528,7),-999999)&lt;=-900000),"",IFERROR(IF(INDEX(Database!$K$5:$K$528,MATCH(LARGE('Calc (scoring engine)'!$K$5:$K$528,7),'Calc (scoring engine)'!$K$5:$K$528,0))="","—",INDEX(Database!$K$5:$K$528,MATCH(LARGE('Calc (scoring engine)'!$K$5:$K$528,7),'Calc (scoring engine)'!$K$5:$K$528,0))),""))</f>
        <v/>
      </c>
      <c r="K27" s="85">
        <f>IF(OR(7&gt;MAX(3,MIN(15,N($D$18))),IFERROR(LARGE('Calc (scoring engine)'!$K$5:$K$528,7),-999999)&lt;=-900000),"",IFERROR(IF(INDEX(Database!$L$5:$L$528,MATCH(LARGE('Calc (scoring engine)'!$K$5:$K$528,7),'Calc (scoring engine)'!$K$5:$K$528,0))="","—",INDEX(Database!$L$5:$L$528,MATCH(LARGE('Calc (scoring engine)'!$K$5:$K$528,7),'Calc (scoring engine)'!$K$5:$K$528,0))),""))</f>
        <v/>
      </c>
      <c r="L27" s="85">
        <f>IF(OR(7&gt;MAX(3,MIN(15,N($D$18))),IFERROR(LARGE('Calc (scoring engine)'!$K$5:$K$528,7),-999999)&lt;=-900000),"",IFERROR(IF(INDEX(Database!$M$5:$M$528,MATCH(LARGE('Calc (scoring engine)'!$K$5:$K$528,7),'Calc (scoring engine)'!$K$5:$K$528,0))="","—",INDEX(Database!$M$5:$M$528,MATCH(LARGE('Calc (scoring engine)'!$K$5:$K$528,7),'Calc (scoring engine)'!$K$5:$K$528,0))),""))</f>
        <v/>
      </c>
      <c r="M27" s="43">
        <f>IF(OR(7&gt;MAX(3,MIN(15,N($D$18))),IFERROR(LARGE('Calc (scoring engine)'!$K$5:$K$528,7),-999999)&lt;=-900000),"",IFERROR(IF(INDEX(Database!$N$5:$N$528,MATCH(LARGE('Calc (scoring engine)'!$K$5:$K$528,7),'Calc (scoring engine)'!$K$5:$K$528,0))="","—",INDEX(Database!$N$5:$N$528,MATCH(LARGE('Calc (scoring engine)'!$K$5:$K$528,7),'Calc (scoring engine)'!$K$5:$K$528,0))),""))</f>
        <v/>
      </c>
      <c r="N27" s="65">
        <f>IF(OR(7&gt;MAX(3,MIN(15,N($D$18))),IFERROR(LARGE('Calc (scoring engine)'!$K$5:$K$528,7),-999999)&lt;=-900000),"",IFERROR(IF(INDEX(Database!$O$5:$O$528,MATCH(LARGE('Calc (scoring engine)'!$K$5:$K$528,7),'Calc (scoring engine)'!$K$5:$K$528,0))="","—",INDEX(Database!$O$5:$O$528,MATCH(LARGE('Calc (scoring engine)'!$K$5:$K$528,7),'Calc (scoring engine)'!$K$5:$K$528,0))),""))</f>
        <v/>
      </c>
      <c r="O27" s="65">
        <f>IF(OR(7&gt;MAX(3,MIN(15,N($D$18))),IFERROR(LARGE('Calc (scoring engine)'!$K$5:$K$528,7),-999999)&lt;=-900000),"",IFERROR(IF(INDEX(Database!$P$5:$P$528,MATCH(LARGE('Calc (scoring engine)'!$K$5:$K$528,7),'Calc (scoring engine)'!$K$5:$K$528,0))="","—",INDEX(Database!$P$5:$P$528,MATCH(LARGE('Calc (scoring engine)'!$K$5:$K$528,7),'Calc (scoring engine)'!$K$5:$K$528,0))),""))</f>
        <v/>
      </c>
      <c r="P27" s="53">
        <f>IF(OR(7&gt;MAX(3,MIN(15,N($D$18))),IFERROR(LARGE('Calc (scoring engine)'!$K$5:$K$528,7),-999999)&lt;=-900000),"",IFERROR(IF(INDEX(Database!$Q$5:$Q$528,MATCH(LARGE('Calc (scoring engine)'!$K$5:$K$528,7),'Calc (scoring engine)'!$K$5:$K$528,0))="","—",INDEX(Database!$Q$5:$Q$528,MATCH(LARGE('Calc (scoring engine)'!$K$5:$K$528,7),'Calc (scoring engine)'!$K$5:$K$528,0))),""))</f>
        <v/>
      </c>
      <c r="Q27" s="60">
        <f>IF(OR(7&gt;MAX(3,MIN(15,N($D$18))),IFERROR(LARGE('Calc (scoring engine)'!$K$5:$K$528,7),-999999)&lt;=-900000),"",IFERROR(IF(INDEX(Database!$S$5:$S$528,MATCH(LARGE('Calc (scoring engine)'!$K$5:$K$528,7),'Calc (scoring engine)'!$K$5:$K$528,0))="","—",INDEX(Database!$S$5:$S$528,MATCH(LARGE('Calc (scoring engine)'!$K$5:$K$528,7),'Calc (scoring engine)'!$K$5:$K$528,0))),""))</f>
        <v/>
      </c>
      <c r="R27" s="86">
        <f>IF(OR(7&gt;MAX(3,MIN(15,N($D$18))),IFERROR(LARGE('Calc (scoring engine)'!$K$5:$K$528,7),-999999)&lt;=-900000),"",IFERROR(IF(INDEX(Database!$T$5:$T$528,MATCH(LARGE('Calc (scoring engine)'!$K$5:$K$528,7),'Calc (scoring engine)'!$K$5:$K$528,0))="","—",INDEX(Database!$T$5:$T$528,MATCH(LARGE('Calc (scoring engine)'!$K$5:$K$528,7),'Calc (scoring engine)'!$K$5:$K$528,0))),""))</f>
        <v/>
      </c>
      <c r="S27" s="87">
        <f>IF(OR(7&gt;MAX(3,MIN(15,N($D$18))),IFERROR(LARGE('Calc (scoring engine)'!$K$5:$K$528,7),-999999)&lt;=-900000),"",IFERROR(IF(INDEX(Database!$U$5:$U$528,MATCH(LARGE('Calc (scoring engine)'!$K$5:$K$528,7),'Calc (scoring engine)'!$K$5:$K$528,0))="","—",INDEX(Database!$U$5:$U$528,MATCH(LARGE('Calc (scoring engine)'!$K$5:$K$528,7),'Calc (scoring engine)'!$K$5:$K$528,0))),""))</f>
        <v/>
      </c>
      <c r="T27" s="88">
        <f>IF(OR(7&gt;MAX(3,MIN(15,N($D$18))),IFERROR(LARGE('Calc (scoring engine)'!$K$5:$K$528,7),-999999)&lt;=-900000),"",IFERROR(IF(INDEX(Database!$V$5:$V$528,MATCH(LARGE('Calc (scoring engine)'!$K$5:$K$528,7),'Calc (scoring engine)'!$K$5:$K$528,0))="","—",INDEX(Database!$V$5:$V$528,MATCH(LARGE('Calc (scoring engine)'!$K$5:$K$528,7),'Calc (scoring engine)'!$K$5:$K$528,0))),""))</f>
        <v/>
      </c>
      <c r="U27" s="65">
        <f>IF(OR(7&gt;MAX(3,MIN(15,N($D$18))),IFERROR(LARGE('Calc (scoring engine)'!$K$5:$K$528,7),-999999)&lt;=-900000),"",IFERROR(IF(INDEX(Database!$W$5:$W$528,MATCH(LARGE('Calc (scoring engine)'!$K$5:$K$528,7),'Calc (scoring engine)'!$K$5:$K$528,0))="","—",INDEX(Database!$W$5:$W$528,MATCH(LARGE('Calc (scoring engine)'!$K$5:$K$528,7),'Calc (scoring engine)'!$K$5:$K$528,0))),""))</f>
        <v/>
      </c>
      <c r="V27" s="43">
        <f>IF(OR(7&gt;MAX(3,MIN(15,N($D$18))),IFERROR(LARGE('Calc (scoring engine)'!$K$5:$K$528,7),-999999)&lt;=-900000),"",IFERROR(IF(INDEX(Database!$X$5:$X$528,MATCH(LARGE('Calc (scoring engine)'!$K$5:$K$528,7),'Calc (scoring engine)'!$K$5:$K$528,0))="","—",INDEX(Database!$X$5:$X$528,MATCH(LARGE('Calc (scoring engine)'!$K$5:$K$528,7),'Calc (scoring engine)'!$K$5:$K$528,0))),""))</f>
        <v/>
      </c>
      <c r="W27" s="53">
        <f>IF(OR(7&gt;MAX(3,MIN(15,N($D$18))),IFERROR(LARGE('Calc (scoring engine)'!$K$5:$K$528,7),-999999)&lt;=-900000),"",IFERROR(IF(INDEX(Database!$Y$5:$Y$528,MATCH(LARGE('Calc (scoring engine)'!$K$5:$K$528,7),'Calc (scoring engine)'!$K$5:$K$528,0))="","—",INDEX(Database!$Y$5:$Y$528,MATCH(LARGE('Calc (scoring engine)'!$K$5:$K$528,7),'Calc (scoring engine)'!$K$5:$K$528,0))),""))</f>
        <v/>
      </c>
      <c r="X27" s="53">
        <f>IF(OR(7&gt;MAX(3,MIN(15,N($D$18))),IFERROR(LARGE('Calc (scoring engine)'!$K$5:$K$528,7),-999999)&lt;=-900000),"",IFERROR(IF(INDEX(Database!$Z$5:$Z$528,MATCH(LARGE('Calc (scoring engine)'!$K$5:$K$528,7),'Calc (scoring engine)'!$K$5:$K$528,0))="","—",INDEX(Database!$Z$5:$Z$528,MATCH(LARGE('Calc (scoring engine)'!$K$5:$K$528,7),'Calc (scoring engine)'!$K$5:$K$528,0))),""))</f>
        <v/>
      </c>
      <c r="Y27" s="65">
        <f>IF(OR(7&gt;MAX(3,MIN(15,N($D$18))),IFERROR(LARGE('Calc (scoring engine)'!$K$5:$K$528,7),-999999)&lt;=-900000),"",IFERROR(IF(INDEX(Database!$AA$5:$AA$528,MATCH(LARGE('Calc (scoring engine)'!$K$5:$K$528,7),'Calc (scoring engine)'!$K$5:$K$528,0))="","—",INDEX(Database!$AA$5:$AA$528,MATCH(LARGE('Calc (scoring engine)'!$K$5:$K$528,7),'Calc (scoring engine)'!$K$5:$K$528,0))),""))</f>
        <v/>
      </c>
      <c r="Z27" s="43">
        <f>IF(OR(7&gt;MAX(3,MIN(15,N($D$18))),IFERROR(LARGE('Calc (scoring engine)'!$K$5:$K$528,7),-999999)&lt;=-900000),"",IFERROR(IF(INDEX(Database!$AB$5:$AB$528,MATCH(LARGE('Calc (scoring engine)'!$K$5:$K$528,7),'Calc (scoring engine)'!$K$5:$K$528,0))="","—",INDEX(Database!$AB$5:$AB$528,MATCH(LARGE('Calc (scoring engine)'!$K$5:$K$528,7),'Calc (scoring engine)'!$K$5:$K$528,0))),""))</f>
        <v/>
      </c>
      <c r="AA27" s="65">
        <f>IF(OR(7&gt;MAX(3,MIN(15,N($D$18))),IFERROR(LARGE('Calc (scoring engine)'!$K$5:$K$528,7),-999999)&lt;=-900000),"",IFERROR(IF(INDEX(Database!$AD$5:$AD$528,MATCH(LARGE('Calc (scoring engine)'!$K$5:$K$528,7),'Calc (scoring engine)'!$K$5:$K$528,0))="","—",INDEX(Database!$AD$5:$AD$528,MATCH(LARGE('Calc (scoring engine)'!$K$5:$K$528,7),'Calc (scoring engine)'!$K$5:$K$528,0))),""))</f>
        <v/>
      </c>
      <c r="AB27" s="43">
        <f>IF(OR(7&gt;MAX(3,MIN(15,N($D$18))),IFERROR(LARGE('Calc (scoring engine)'!$K$5:$K$528,7),-999999)&lt;=-900000),"",IFERROR(IF(INDEX(Database!$AE$5:$AE$528,MATCH(LARGE('Calc (scoring engine)'!$K$5:$K$528,7),'Calc (scoring engine)'!$K$5:$K$528,0))="","—",INDEX(Database!$AE$5:$AE$528,MATCH(LARGE('Calc (scoring engine)'!$K$5:$K$528,7),'Calc (scoring engine)'!$K$5:$K$528,0))),""))</f>
        <v/>
      </c>
      <c r="AC27" s="43">
        <f>IF(OR(7&gt;MAX(3,MIN(15,N($D$18))),IFERROR(LARGE('Calc (scoring engine)'!$K$5:$K$528,7),-999999)&lt;=-900000),"",IFERROR(IF(INDEX(Database!$AF$5:$AF$528,MATCH(LARGE('Calc (scoring engine)'!$K$5:$K$528,7),'Calc (scoring engine)'!$K$5:$K$528,0))="","—",INDEX(Database!$AF$5:$AF$528,MATCH(LARGE('Calc (scoring engine)'!$K$5:$K$528,7),'Calc (scoring engine)'!$K$5:$K$528,0))),""))</f>
        <v/>
      </c>
      <c r="AD27" s="43">
        <f>IF(OR(7&gt;MAX(3,MIN(15,N($D$18))),IFERROR(LARGE('Calc (scoring engine)'!$K$5:$K$528,7),-999999)&lt;=-900000),"",IFERROR(IF(INDEX(Database!$AG$5:$AG$528,MATCH(LARGE('Calc (scoring engine)'!$K$5:$K$528,7),'Calc (scoring engine)'!$K$5:$K$528,0))="","—",INDEX(Database!$AG$5:$AG$528,MATCH(LARGE('Calc (scoring engine)'!$K$5:$K$528,7),'Calc (scoring engine)'!$K$5:$K$528,0))),""))</f>
        <v/>
      </c>
      <c r="AE27" s="43">
        <f>IF(OR(7&gt;MAX(3,MIN(15,N($D$18))),IFERROR(LARGE('Calc (scoring engine)'!$K$5:$K$528,7),-999999)&lt;=-900000),"",IFERROR(IF(INDEX(Database!$AH$5:$AH$528,MATCH(LARGE('Calc (scoring engine)'!$K$5:$K$528,7),'Calc (scoring engine)'!$K$5:$K$528,0))="","—",INDEX(Database!$AH$5:$AH$528,MATCH(LARGE('Calc (scoring engine)'!$K$5:$K$528,7),'Calc (scoring engine)'!$K$5:$K$528,0))),""))</f>
        <v/>
      </c>
      <c r="AF27" s="57">
        <f>IF(OR(7&gt;MAX(3,MIN(15,N($D$18))),IFERROR(LARGE('Calc (scoring engine)'!$K$5:$K$528,7),-999999)&lt;=-900000),"",IFERROR(IF(INDEX(Database!$AI$5:$AI$528,MATCH(LARGE('Calc (scoring engine)'!$K$5:$K$528,7),'Calc (scoring engine)'!$K$5:$K$528,0))="","—",INDEX(Database!$AI$5:$AI$528,MATCH(LARGE('Calc (scoring engine)'!$K$5:$K$528,7),'Calc (scoring engine)'!$K$5:$K$528,0))),""))</f>
        <v/>
      </c>
      <c r="AG27" s="57">
        <f>IF(OR(7&gt;MAX(3,MIN(15,N($D$18))),IFERROR(LARGE('Calc (scoring engine)'!$K$5:$K$528,7),-999999)&lt;=-900000),"",IFERROR(IF(INDEX(Database!$AJ$5:$AJ$528,MATCH(LARGE('Calc (scoring engine)'!$K$5:$K$528,7),'Calc (scoring engine)'!$K$5:$K$528,0))="","—",INDEX(Database!$AJ$5:$AJ$528,MATCH(LARGE('Calc (scoring engine)'!$K$5:$K$528,7),'Calc (scoring engine)'!$K$5:$K$528,0))),""))</f>
        <v/>
      </c>
      <c r="AH27" s="57">
        <f>IF(OR(7&gt;MAX(3,MIN(15,N($D$18))),IFERROR(LARGE('Calc (scoring engine)'!$K$5:$K$528,7),-999999)&lt;=-900000),"",IFERROR(IF(INDEX(Database!$AK$5:$AK$528,MATCH(LARGE('Calc (scoring engine)'!$K$5:$K$528,7),'Calc (scoring engine)'!$K$5:$K$528,0))="","—",INDEX(Database!$AK$5:$AK$528,MATCH(LARGE('Calc (scoring engine)'!$K$5:$K$528,7),'Calc (scoring engine)'!$K$5:$K$528,0))),""))</f>
        <v/>
      </c>
      <c r="AI27" s="57">
        <f>IF(OR(7&gt;MAX(3,MIN(15,N($D$18))),IFERROR(LARGE('Calc (scoring engine)'!$K$5:$K$528,7),-999999)&lt;=-900000),"",IFERROR(IF(INDEX(Database!$AL$5:$AL$528,MATCH(LARGE('Calc (scoring engine)'!$K$5:$K$528,7),'Calc (scoring engine)'!$K$5:$K$528,0))="","—",INDEX(Database!$AL$5:$AL$528,MATCH(LARGE('Calc (scoring engine)'!$K$5:$K$528,7),'Calc (scoring engine)'!$K$5:$K$528,0))),""))</f>
        <v/>
      </c>
      <c r="AJ27" s="57">
        <f>IF(OR(7&gt;MAX(3,MIN(15,N($D$18))),IFERROR(LARGE('Calc (scoring engine)'!$K$5:$K$528,7),-999999)&lt;=-900000),"",IFERROR(IF(INDEX(Database!$AM$5:$AM$528,MATCH(LARGE('Calc (scoring engine)'!$K$5:$K$528,7),'Calc (scoring engine)'!$K$5:$K$528,0))="","—",INDEX(Database!$AM$5:$AM$528,MATCH(LARGE('Calc (scoring engine)'!$K$5:$K$528,7),'Calc (scoring engine)'!$K$5:$K$528,0))),""))</f>
        <v/>
      </c>
      <c r="AK27" s="58">
        <f>IF(OR(7&gt;MAX(3,MIN(15,N($D$18))),IFERROR(LARGE('Calc (scoring engine)'!$K$5:$K$528,7),-999999)&lt;=-900000),"",IFERROR(IF(INDEX(Database!$AN$5:$AN$528,MATCH(LARGE('Calc (scoring engine)'!$K$5:$K$528,7),'Calc (scoring engine)'!$K$5:$K$528,0))="","—",INDEX(Database!$AN$5:$AN$528,MATCH(LARGE('Calc (scoring engine)'!$K$5:$K$528,7),'Calc (scoring engine)'!$K$5:$K$528,0))),""))</f>
        <v/>
      </c>
      <c r="AL27" s="65">
        <f>IF(OR(7&gt;MAX(3,MIN(15,N($D$18))),IFERROR(LARGE('Calc (scoring engine)'!$K$5:$K$528,7),-999999)&lt;=-900000),"",IFERROR(IF(INDEX(Database!$AO$5:$AO$528,MATCH(LARGE('Calc (scoring engine)'!$K$5:$K$528,7),'Calc (scoring engine)'!$K$5:$K$528,0))="","—",INDEX(Database!$AO$5:$AO$528,MATCH(LARGE('Calc (scoring engine)'!$K$5:$K$528,7),'Calc (scoring engine)'!$K$5:$K$528,0))),""))</f>
        <v/>
      </c>
      <c r="AM27" s="57">
        <f>IF(OR(7&gt;MAX(3,MIN(15,N($D$18))),IFERROR(LARGE('Calc (scoring engine)'!$K$5:$K$528,7),-999999)&lt;=-900000),"",IFERROR(IF(INDEX(Database!$AP$5:$AP$528,MATCH(LARGE('Calc (scoring engine)'!$K$5:$K$528,7),'Calc (scoring engine)'!$K$5:$K$528,0))="","—",INDEX(Database!$AP$5:$AP$528,MATCH(LARGE('Calc (scoring engine)'!$K$5:$K$528,7),'Calc (scoring engine)'!$K$5:$K$528,0))),""))</f>
        <v/>
      </c>
      <c r="AN27" s="57">
        <f>IF(OR(7&gt;MAX(3,MIN(15,N($D$18))),IFERROR(LARGE('Calc (scoring engine)'!$K$5:$K$528,7),-999999)&lt;=-900000),"",IFERROR(IF(INDEX(Database!$AQ$5:$AQ$528,MATCH(LARGE('Calc (scoring engine)'!$K$5:$K$528,7),'Calc (scoring engine)'!$K$5:$K$528,0))="","—",INDEX(Database!$AQ$5:$AQ$528,MATCH(LARGE('Calc (scoring engine)'!$K$5:$K$528,7),'Calc (scoring engine)'!$K$5:$K$528,0))),""))</f>
        <v/>
      </c>
      <c r="AO27" s="57">
        <f>IF(OR(7&gt;MAX(3,MIN(15,N($D$18))),IFERROR(LARGE('Calc (scoring engine)'!$K$5:$K$528,7),-999999)&lt;=-900000),"",IFERROR(IF(INDEX(Database!$AR$5:$AR$528,MATCH(LARGE('Calc (scoring engine)'!$K$5:$K$528,7),'Calc (scoring engine)'!$K$5:$K$528,0))="","—",INDEX(Database!$AR$5:$AR$528,MATCH(LARGE('Calc (scoring engine)'!$K$5:$K$528,7),'Calc (scoring engine)'!$K$5:$K$528,0))),""))</f>
        <v/>
      </c>
      <c r="AP27" s="57">
        <f>IF(OR(7&gt;MAX(3,MIN(15,N($D$18))),IFERROR(LARGE('Calc (scoring engine)'!$K$5:$K$528,7),-999999)&lt;=-900000),"",IFERROR(IF(INDEX(Database!$AS$5:$AS$528,MATCH(LARGE('Calc (scoring engine)'!$K$5:$K$528,7),'Calc (scoring engine)'!$K$5:$K$528,0))="","—",INDEX(Database!$AS$5:$AS$528,MATCH(LARGE('Calc (scoring engine)'!$K$5:$K$528,7),'Calc (scoring engine)'!$K$5:$K$528,0))),""))</f>
        <v/>
      </c>
      <c r="AQ27" s="57">
        <f>IF(OR(7&gt;MAX(3,MIN(15,N($D$18))),IFERROR(LARGE('Calc (scoring engine)'!$K$5:$K$528,7),-999999)&lt;=-900000),"",IFERROR(IF(INDEX(Database!$AT$5:$AT$528,MATCH(LARGE('Calc (scoring engine)'!$K$5:$K$528,7),'Calc (scoring engine)'!$K$5:$K$528,0))="","—",INDEX(Database!$AT$5:$AT$528,MATCH(LARGE('Calc (scoring engine)'!$K$5:$K$528,7),'Calc (scoring engine)'!$K$5:$K$528,0))),""))</f>
        <v/>
      </c>
      <c r="AR27" s="57">
        <f>IF(OR(7&gt;MAX(3,MIN(15,N($D$18))),IFERROR(LARGE('Calc (scoring engine)'!$K$5:$K$528,7),-999999)&lt;=-900000),"",IFERROR(IF(INDEX(Database!$AU$5:$AU$528,MATCH(LARGE('Calc (scoring engine)'!$K$5:$K$528,7),'Calc (scoring engine)'!$K$5:$K$528,0))="","—",INDEX(Database!$AU$5:$AU$528,MATCH(LARGE('Calc (scoring engine)'!$K$5:$K$528,7),'Calc (scoring engine)'!$K$5:$K$528,0))),""))</f>
        <v/>
      </c>
      <c r="AS27" s="57">
        <f>IF(OR(7&gt;MAX(3,MIN(15,N($D$18))),IFERROR(LARGE('Calc (scoring engine)'!$K$5:$K$528,7),-999999)&lt;=-900000),"",IFERROR(IF(INDEX(Database!$AV$5:$AV$528,MATCH(LARGE('Calc (scoring engine)'!$K$5:$K$528,7),'Calc (scoring engine)'!$K$5:$K$528,0))="","—",INDEX(Database!$AV$5:$AV$528,MATCH(LARGE('Calc (scoring engine)'!$K$5:$K$528,7),'Calc (scoring engine)'!$K$5:$K$528,0))),""))</f>
        <v/>
      </c>
      <c r="AT27" s="57">
        <f>IF(OR(7&gt;MAX(3,MIN(15,N($D$18))),IFERROR(LARGE('Calc (scoring engine)'!$K$5:$K$528,7),-999999)&lt;=-900000),"",IFERROR(IF(INDEX(Database!$AW$5:$AW$528,MATCH(LARGE('Calc (scoring engine)'!$K$5:$K$528,7),'Calc (scoring engine)'!$K$5:$K$528,0))="","—",INDEX(Database!$AW$5:$AW$528,MATCH(LARGE('Calc (scoring engine)'!$K$5:$K$528,7),'Calc (scoring engine)'!$K$5:$K$528,0))),""))</f>
        <v/>
      </c>
      <c r="AU27" s="57">
        <f>IF(OR(7&gt;MAX(3,MIN(15,N($D$18))),IFERROR(LARGE('Calc (scoring engine)'!$K$5:$K$528,7),-999999)&lt;=-900000),"",IFERROR(IF(INDEX(Database!$AX$5:$AX$528,MATCH(LARGE('Calc (scoring engine)'!$K$5:$K$528,7),'Calc (scoring engine)'!$K$5:$K$528,0))="","—",INDEX(Database!$AX$5:$AX$528,MATCH(LARGE('Calc (scoring engine)'!$K$5:$K$528,7),'Calc (scoring engine)'!$K$5:$K$528,0))),""))</f>
        <v/>
      </c>
      <c r="AV27" s="57">
        <f>IF(OR(7&gt;MAX(3,MIN(15,N($D$18))),IFERROR(LARGE('Calc (scoring engine)'!$K$5:$K$528,7),-999999)&lt;=-900000),"",IFERROR(IF(INDEX(Database!$AY$5:$AY$528,MATCH(LARGE('Calc (scoring engine)'!$K$5:$K$528,7),'Calc (scoring engine)'!$K$5:$K$528,0))="","—",INDEX(Database!$AY$5:$AY$528,MATCH(LARGE('Calc (scoring engine)'!$K$5:$K$528,7),'Calc (scoring engine)'!$K$5:$K$528,0))),""))</f>
        <v/>
      </c>
      <c r="AW27" s="57">
        <f>IF(OR(7&gt;MAX(3,MIN(15,N($D$18))),IFERROR(LARGE('Calc (scoring engine)'!$K$5:$K$528,7),-999999)&lt;=-900000),"",IFERROR(IF(INDEX(Database!$AZ$5:$AZ$528,MATCH(LARGE('Calc (scoring engine)'!$K$5:$K$528,7),'Calc (scoring engine)'!$K$5:$K$528,0))="","—",INDEX(Database!$AZ$5:$AZ$528,MATCH(LARGE('Calc (scoring engine)'!$K$5:$K$528,7),'Calc (scoring engine)'!$K$5:$K$528,0))),""))</f>
        <v/>
      </c>
      <c r="AX27" s="57">
        <f>IF(OR(7&gt;MAX(3,MIN(15,N($D$18))),IFERROR(LARGE('Calc (scoring engine)'!$K$5:$K$528,7),-999999)&lt;=-900000),"",IFERROR(IF(INDEX(Database!$BA$5:$BA$528,MATCH(LARGE('Calc (scoring engine)'!$K$5:$K$528,7),'Calc (scoring engine)'!$K$5:$K$528,0))="","—",INDEX(Database!$BA$5:$BA$528,MATCH(LARGE('Calc (scoring engine)'!$K$5:$K$528,7),'Calc (scoring engine)'!$K$5:$K$528,0))),""))</f>
        <v/>
      </c>
      <c r="AY27" s="57">
        <f>IF(OR(7&gt;MAX(3,MIN(15,N($D$18))),IFERROR(LARGE('Calc (scoring engine)'!$K$5:$K$528,7),-999999)&lt;=-900000),"",IFERROR(IF(INDEX(Database!$BC$5:$BC$528,MATCH(LARGE('Calc (scoring engine)'!$K$5:$K$528,7),'Calc (scoring engine)'!$K$5:$K$528,0))="","—",INDEX(Database!$BC$5:$BC$528,MATCH(LARGE('Calc (scoring engine)'!$K$5:$K$528,7),'Calc (scoring engine)'!$K$5:$K$528,0))),""))</f>
        <v/>
      </c>
      <c r="AZ27" s="53">
        <f>IF(OR(7&gt;MAX(3,MIN(15,N($D$18))),IFERROR(LARGE('Calc (scoring engine)'!$K$5:$K$528,7),-999999)&lt;=-900000),"",IFERROR(IF(INDEX(Database!$BE$5:$BE$528,MATCH(LARGE('Calc (scoring engine)'!$K$5:$K$528,7),'Calc (scoring engine)'!$K$5:$K$528,0))="","—",INDEX(Database!$BE$5:$BE$528,MATCH(LARGE('Calc (scoring engine)'!$K$5:$K$528,7),'Calc (scoring engine)'!$K$5:$K$528,0))),""))</f>
        <v/>
      </c>
      <c r="BA27" s="53">
        <f>IF(OR(7&gt;MAX(3,MIN(15,N($D$18))),IFERROR(LARGE('Calc (scoring engine)'!$K$5:$K$528,7),-999999)&lt;=-900000),"",IFERROR(IF(INDEX(Database!$BF$5:$BF$528,MATCH(LARGE('Calc (scoring engine)'!$K$5:$K$528,7),'Calc (scoring engine)'!$K$5:$K$528,0))="","—",INDEX(Database!$BF$5:$BF$528,MATCH(LARGE('Calc (scoring engine)'!$K$5:$K$528,7),'Calc (scoring engine)'!$K$5:$K$528,0))),""))</f>
        <v/>
      </c>
      <c r="BB27" s="43">
        <f>IF(OR(7&gt;MAX(3,MIN(15,N($D$18))),IFERROR(LARGE('Calc (scoring engine)'!$K$5:$K$528,7),-999999)&lt;=-900000),"",IFERROR(IF(INDEX(Database!$BG$5:$BG$528,MATCH(LARGE('Calc (scoring engine)'!$K$5:$K$528,7),'Calc (scoring engine)'!$K$5:$K$528,0))="","—",INDEX(Database!$BG$5:$BG$528,MATCH(LARGE('Calc (scoring engine)'!$K$5:$K$528,7),'Calc (scoring engine)'!$K$5:$K$528,0))),""))</f>
        <v/>
      </c>
      <c r="BC27" s="58">
        <f>IF(OR(7&gt;MAX(3,MIN(15,N($D$18))),IFERROR(LARGE('Calc (scoring engine)'!$K$5:$K$528,7),-999999)&lt;=-900000),"",IFERROR(IF(N(INDEX(Database!$BH$5:$BH$528,MATCH(LARGE('Calc (scoring engine)'!$K$5:$K$528,7),'Calc (scoring engine)'!$K$5:$K$528,0)))&lt;=0,IF(INDEX(Database!$BG$5:$BG$528,MATCH(LARGE('Calc (scoring engine)'!$K$5:$K$528,7),'Calc (scoring engine)'!$K$5:$K$528,0))="N","n/m","—"),INDEX(Database!$BH$5:$BH$528,MATCH(LARGE('Calc (scoring engine)'!$K$5:$K$528,7),'Calc (scoring engine)'!$K$5:$K$528,0))),""))</f>
        <v/>
      </c>
      <c r="BD27" s="58">
        <f>IF(OR(7&gt;MAX(3,MIN(15,N($D$18))),IFERROR(LARGE('Calc (scoring engine)'!$K$5:$K$528,7),-999999)&lt;=-900000),"",IFERROR(IF(INDEX(Database!$BI$5:$BI$528,MATCH(LARGE('Calc (scoring engine)'!$K$5:$K$528,7),'Calc (scoring engine)'!$K$5:$K$528,0))="","—",INDEX(Database!$BI$5:$BI$528,MATCH(LARGE('Calc (scoring engine)'!$K$5:$K$528,7),'Calc (scoring engine)'!$K$5:$K$528,0))),""))</f>
        <v/>
      </c>
      <c r="BE27" s="58">
        <f>IF(OR(7&gt;MAX(3,MIN(15,N($D$18))),IFERROR(LARGE('Calc (scoring engine)'!$K$5:$K$528,7),-999999)&lt;=-900000),"",IFERROR(IF(INDEX(Database!$BJ$5:$BJ$528,MATCH(LARGE('Calc (scoring engine)'!$K$5:$K$528,7),'Calc (scoring engine)'!$K$5:$K$528,0))="","—",INDEX(Database!$BJ$5:$BJ$528,MATCH(LARGE('Calc (scoring engine)'!$K$5:$K$528,7),'Calc (scoring engine)'!$K$5:$K$528,0))),""))</f>
        <v/>
      </c>
      <c r="BF27" s="58">
        <f>IF(OR(7&gt;MAX(3,MIN(15,N($D$18))),IFERROR(LARGE('Calc (scoring engine)'!$K$5:$K$528,7),-999999)&lt;=-900000),"",IFERROR(IF(INDEX(Database!$BK$5:$BK$528,MATCH(LARGE('Calc (scoring engine)'!$K$5:$K$528,7),'Calc (scoring engine)'!$K$5:$K$528,0))="","—",INDEX(Database!$BK$5:$BK$528,MATCH(LARGE('Calc (scoring engine)'!$K$5:$K$528,7),'Calc (scoring engine)'!$K$5:$K$528,0))),""))</f>
        <v/>
      </c>
      <c r="BG27" s="58">
        <f>IF(OR(7&gt;MAX(3,MIN(15,N($D$18))),IFERROR(LARGE('Calc (scoring engine)'!$K$5:$K$528,7),-999999)&lt;=-900000),"",IFERROR(IF(INDEX(Database!$BL$5:$BL$528,MATCH(LARGE('Calc (scoring engine)'!$K$5:$K$528,7),'Calc (scoring engine)'!$K$5:$K$528,0))="","—",INDEX(Database!$BL$5:$BL$528,MATCH(LARGE('Calc (scoring engine)'!$K$5:$K$528,7),'Calc (scoring engine)'!$K$5:$K$528,0))),""))</f>
        <v/>
      </c>
      <c r="BH27" s="58">
        <f>IF(OR(7&gt;MAX(3,MIN(15,N($D$18))),IFERROR(LARGE('Calc (scoring engine)'!$K$5:$K$528,7),-999999)&lt;=-900000),"",IFERROR(IFERROR(BDP(TEXT(INDEX(Database!$A$5:$A$528,MATCH(LARGE('Calc (scoring engine)'!$K$5:$K$528,7),'Calc (scoring engine)'!$K$5:$K$528,0)),"0")&amp;" HK Equity","PE_RATIO"),IF(INDEX(Database!$BJ$5:$BJ$528,MATCH(LARGE('Calc (scoring engine)'!$K$5:$K$528,7),'Calc (scoring engine)'!$K$5:$K$528,0))="","—",INDEX(Database!$BJ$5:$BJ$528,MATCH(LARGE('Calc (scoring engine)'!$K$5:$K$528,7),'Calc (scoring engine)'!$K$5:$K$528,0)))),""))</f>
        <v/>
      </c>
      <c r="BI27" s="58">
        <f>IF(OR(7&gt;MAX(3,MIN(15,N($D$18))),IFERROR(LARGE('Calc (scoring engine)'!$K$5:$K$528,7),-999999)&lt;=-900000),"",IFERROR(IFERROR(BDP(TEXT(INDEX(Database!$A$5:$A$528,MATCH(LARGE('Calc (scoring engine)'!$K$5:$K$528,7),'Calc (scoring engine)'!$K$5:$K$528,0)),"0")&amp;" HK Equity","PX_TO_SALES_RATIO"),IF(INDEX(Database!$BK$5:$BK$528,MATCH(LARGE('Calc (scoring engine)'!$K$5:$K$528,7),'Calc (scoring engine)'!$K$5:$K$528,0))="","—",INDEX(Database!$BK$5:$BK$528,MATCH(LARGE('Calc (scoring engine)'!$K$5:$K$528,7),'Calc (scoring engine)'!$K$5:$K$528,0)))),""))</f>
        <v/>
      </c>
      <c r="BJ27" s="43">
        <f>IF(OR(7&gt;MAX(3,MIN(15,N($D$18))),IFERROR(LARGE('Calc (scoring engine)'!$K$5:$K$528,7),-999999)&lt;=-900000),"",IFERROR(IF(INDEX(Database!$BM$5:$BM$528,MATCH(LARGE('Calc (scoring engine)'!$K$5:$K$528,7),'Calc (scoring engine)'!$K$5:$K$528,0))="","—",INDEX(Database!$BM$5:$BM$528,MATCH(LARGE('Calc (scoring engine)'!$K$5:$K$528,7),'Calc (scoring engine)'!$K$5:$K$528,0))),""))</f>
        <v/>
      </c>
      <c r="BK27" s="43">
        <f>IF(OR(7&gt;MAX(3,MIN(15,N($D$18))),IFERROR(LARGE('Calc (scoring engine)'!$K$5:$K$528,7),-999999)&lt;=-900000),"",IFERROR(IF(INDEX(Database!$BN$5:$BN$528,MATCH(LARGE('Calc (scoring engine)'!$K$5:$K$528,7),'Calc (scoring engine)'!$K$5:$K$528,0))="","—",INDEX(Database!$BN$5:$BN$528,MATCH(LARGE('Calc (scoring engine)'!$K$5:$K$528,7),'Calc (scoring engine)'!$K$5:$K$528,0))),""))</f>
        <v/>
      </c>
      <c r="BL27" s="57">
        <f>IF(OR(7&gt;MAX(3,MIN(15,N($D$18))),IFERROR(LARGE('Calc (scoring engine)'!$K$5:$K$528,7),-999999)&lt;=-900000),"",IFERROR(IF(INDEX(Database!$BO$5:$BO$528,MATCH(LARGE('Calc (scoring engine)'!$K$5:$K$528,7),'Calc (scoring engine)'!$K$5:$K$528,0))="","—",INDEX(Database!$BO$5:$BO$528,MATCH(LARGE('Calc (scoring engine)'!$K$5:$K$528,7),'Calc (scoring engine)'!$K$5:$K$528,0))),""))</f>
        <v/>
      </c>
      <c r="BM27" s="85">
        <f>IF(OR(7&gt;MAX(3,MIN(15,N($D$18))),IFERROR(LARGE('Calc (scoring engine)'!$K$5:$K$528,7),-999999)&lt;=-900000),"",IFERROR(IF(INDEX(Database!$BP$5:$BP$528,MATCH(LARGE('Calc (scoring engine)'!$K$5:$K$528,7),'Calc (scoring engine)'!$K$5:$K$528,0))="","—",INDEX(Database!$BP$5:$BP$528,MATCH(LARGE('Calc (scoring engine)'!$K$5:$K$528,7),'Calc (scoring engine)'!$K$5:$K$528,0))),""))</f>
        <v/>
      </c>
      <c r="BN27" s="89">
        <f>IF(OR(7&gt;MAX(3,MIN(15,N($D$18))),IFERROR(LARGE('Calc (scoring engine)'!$K$5:$K$528,7),-999999)&lt;=-900000),"",IFERROR(IF(INDEX(Database!$BQ$5:$BQ$528,MATCH(LARGE('Calc (scoring engine)'!$K$5:$K$528,7),'Calc (scoring engine)'!$K$5:$K$528,0))="","—",INDEX(Database!$BQ$5:$BQ$528,MATCH(LARGE('Calc (scoring engine)'!$K$5:$K$528,7),'Calc (scoring engine)'!$K$5:$K$528,0))),""))</f>
        <v/>
      </c>
      <c r="BO27" s="53">
        <f>IF(OR(7&gt;MAX(3,MIN(15,N($D$18))),IFERROR(LARGE('Calc (scoring engine)'!$K$5:$K$528,7),-999999)&lt;=-900000),"",IFERROR(IF(INDEX(Database!$BR$5:$BR$528,MATCH(LARGE('Calc (scoring engine)'!$K$5:$K$528,7),'Calc (scoring engine)'!$K$5:$K$528,0))="","—",INDEX(Database!$BR$5:$BR$528,MATCH(LARGE('Calc (scoring engine)'!$K$5:$K$528,7),'Calc (scoring engine)'!$K$5:$K$528,0))),""))</f>
        <v/>
      </c>
      <c r="BP27" s="58">
        <f>IF(OR(7&gt;MAX(3,MIN(15,N($D$18))),IFERROR(LARGE('Calc (scoring engine)'!$K$5:$K$528,7),-999999)&lt;=-900000),"",IFERROR(IF(INDEX(Database!$BS$5:$BS$528,MATCH(LARGE('Calc (scoring engine)'!$K$5:$K$528,7),'Calc (scoring engine)'!$K$5:$K$528,0))="","—",INDEX(Database!$BS$5:$BS$528,MATCH(LARGE('Calc (scoring engine)'!$K$5:$K$528,7),'Calc (scoring engine)'!$K$5:$K$528,0))),""))</f>
        <v/>
      </c>
      <c r="BQ27" s="58">
        <f>IF(OR(7&gt;MAX(3,MIN(15,N($D$18))),IFERROR(LARGE('Calc (scoring engine)'!$K$5:$K$528,7),-999999)&lt;=-900000),"",IFERROR(IF(INDEX(Database!$BT$5:$BT$528,MATCH(LARGE('Calc (scoring engine)'!$K$5:$K$528,7),'Calc (scoring engine)'!$K$5:$K$528,0))="","—",INDEX(Database!$BT$5:$BT$528,MATCH(LARGE('Calc (scoring engine)'!$K$5:$K$528,7),'Calc (scoring engine)'!$K$5:$K$528,0))),""))</f>
        <v/>
      </c>
      <c r="BR27" s="43">
        <f>IF(OR(7&gt;MAX(3,MIN(15,N($D$18))),IFERROR(LARGE('Calc (scoring engine)'!$K$5:$K$528,7),-999999)&lt;=-900000),"",IFERROR(IF(INDEX(Database!$BU$5:$BU$528,MATCH(LARGE('Calc (scoring engine)'!$K$5:$K$528,7),'Calc (scoring engine)'!$K$5:$K$528,0))="","—",INDEX(Database!$BU$5:$BU$528,MATCH(LARGE('Calc (scoring engine)'!$K$5:$K$528,7),'Calc (scoring engine)'!$K$5:$K$528,0))),""))</f>
        <v/>
      </c>
      <c r="BS27" s="43">
        <f>IF(OR(7&gt;MAX(3,MIN(15,N($D$18))),IFERROR(LARGE('Calc (scoring engine)'!$K$5:$K$528,7),-999999)&lt;=-900000),"",IFERROR(IF(INDEX(Database!$BW$5:$BW$528,MATCH(LARGE('Calc (scoring engine)'!$K$5:$K$528,7),'Calc (scoring engine)'!$K$5:$K$528,0))="","—",INDEX(Database!$BW$5:$BW$528,MATCH(LARGE('Calc (scoring engine)'!$K$5:$K$528,7),'Calc (scoring engine)'!$K$5:$K$528,0))),""))</f>
        <v/>
      </c>
      <c r="BT27" s="88">
        <f>IF(OR(7&gt;MAX(3,MIN(15,N($D$18))),IFERROR(LARGE('Calc (scoring engine)'!$K$5:$K$528,7),-999999)&lt;=-900000),"",IFERROR(IF(INDEX('Calc (scoring engine)'!$H$5:$H$528,MATCH(LARGE('Calc (scoring engine)'!$K$5:$K$528,7),'Calc (scoring engine)'!$K$5:$K$528,0))&gt;0,INDEX('Calc (scoring engine)'!$H$5:$H$528,MATCH(LARGE('Calc (scoring engine)'!$K$5:$K$528,7),'Calc (scoring engine)'!$K$5:$K$528,0)),""),""))</f>
        <v/>
      </c>
      <c r="BU27" s="43">
        <f>IF(OR(7&gt;MAX(3,MIN(15,N($D$18))),IFERROR(LARGE('Calc (scoring engine)'!$K$5:$K$528,7),-999999)&lt;=-900000),"",IF(IFERROR(INDEX('Calc (scoring engine)'!$B$5:$B$528,MATCH(LARGE('Calc (scoring engine)'!$K$5:$K$528,7),'Calc (scoring engine)'!$K$5:$K$528,0)),0)=1,"same subsector","sector only"))</f>
        <v/>
      </c>
      <c r="BV27" s="88">
        <f>IF(OR(7&gt;MAX(3,MIN(15,N($D$18))),IFERROR(LARGE('Calc (scoring engine)'!$K$5:$K$528,7),-999999)&lt;=-900000),"",ROUND(IFERROR(LARGE('Calc (scoring engine)'!$K$5:$K$528,7),0),0))</f>
        <v/>
      </c>
      <c r="BW27" s="43">
        <f>IF(OR(7&gt;MAX(3,MIN(15,N($D$18))),IFERROR(LARGE('Calc (scoring engine)'!$K$5:$K$528,7),-999999)&lt;=-900000),"",IFERROR("sub "&amp;INDEX('Calc (scoring engine)'!$B$5:$B$528,MATCH(LARGE('Calc (scoring engine)'!$K$5:$K$528,7),'Calc (scoring engine)'!$K$5:$K$528,0))*W_SUB&amp;" + size "&amp;ROUND(INDEX('Calc (scoring engine)'!$D$5:$D$528,MATCH(LARGE('Calc (scoring engine)'!$K$5:$K$528,7),'Calc (scoring engine)'!$K$5:$K$528,0))*W_SIZE,0)&amp;" + prof "&amp;INDEX('Calc (scoring engine)'!$E$5:$E$528,MATCH(LARGE('Calc (scoring engine)'!$K$5:$K$528,7),'Calc (scoring engine)'!$K$5:$K$528,0))*W_PROF&amp;" + recency "&amp;ROUND(INDEX('Calc (scoring engine)'!$G$5:$G$528,MATCH(LARGE('Calc (scoring engine)'!$K$5:$K$528,7),'Calc (scoring engine)'!$K$5:$K$528,0))*W_REC,0)&amp;IF(INDEX('Calc (scoring engine)'!$H$5:$H$528,MATCH(LARGE('Calc (scoring engine)'!$K$5:$K$528,7),'Calc (scoring engine)'!$K$5:$K$528,0))&gt;0," + shared CS x"&amp;INDEX('Calc (scoring engine)'!$H$5:$H$528,MATCH(LARGE('Calc (scoring engine)'!$K$5:$K$528,7),'Calc (scoring engine)'!$K$5:$K$528,0)),""),""))</f>
        <v/>
      </c>
    </row>
    <row r="28">
      <c r="A28" s="83">
        <f>IF(OR(8&gt;MAX(3,MIN(15,N($D$18))),IFERROR(LARGE('Calc (scoring engine)'!$K$5:$K$528,8),-999999)&lt;=-900000),"",8)</f>
        <v/>
      </c>
      <c r="B28" s="43">
        <f>IF(OR(8&gt;MAX(3,MIN(15,N($D$18))),IFERROR(LARGE('Calc (scoring engine)'!$K$5:$K$528,8),-999999)&lt;=-900000),"",IFERROR(IF(INDEX(Database!$B$5:$B$528,MATCH(LARGE('Calc (scoring engine)'!$K$5:$K$528,8),'Calc (scoring engine)'!$K$5:$K$528,0))="","—",INDEX(Database!$B$5:$B$528,MATCH(LARGE('Calc (scoring engine)'!$K$5:$K$528,8),'Calc (scoring engine)'!$K$5:$K$528,0))),""))</f>
        <v/>
      </c>
      <c r="C28" s="84">
        <f>IF(OR(8&gt;MAX(3,MIN(15,N($D$18))),IFERROR(LARGE('Calc (scoring engine)'!$K$5:$K$528,8),-999999)&lt;=-900000),"",IFERROR(IF(INDEX(Database!$A$5:$A$528,MATCH(LARGE('Calc (scoring engine)'!$K$5:$K$528,8),'Calc (scoring engine)'!$K$5:$K$528,0))="","—",INDEX(Database!$A$5:$A$528,MATCH(LARGE('Calc (scoring engine)'!$K$5:$K$528,8),'Calc (scoring engine)'!$K$5:$K$528,0))),""))</f>
        <v/>
      </c>
      <c r="D28" s="43">
        <f>IF(OR(8&gt;MAX(3,MIN(15,N($D$18))),IFERROR(LARGE('Calc (scoring engine)'!$K$5:$K$528,8),-999999)&lt;=-900000),"",IFERROR(IF(INDEX(Database!$D$5:$D$528,MATCH(LARGE('Calc (scoring engine)'!$K$5:$K$528,8),'Calc (scoring engine)'!$K$5:$K$528,0))="","—",INDEX(Database!$D$5:$D$528,MATCH(LARGE('Calc (scoring engine)'!$K$5:$K$528,8),'Calc (scoring engine)'!$K$5:$K$528,0))),""))</f>
        <v/>
      </c>
      <c r="E28" s="43">
        <f>IF(OR(8&gt;MAX(3,MIN(15,N($D$18))),IFERROR(LARGE('Calc (scoring engine)'!$K$5:$K$528,8),-999999)&lt;=-900000),"",IFERROR(IF(INDEX(Database!$E$5:$E$528,MATCH(LARGE('Calc (scoring engine)'!$K$5:$K$528,8),'Calc (scoring engine)'!$K$5:$K$528,0))="","—",INDEX(Database!$E$5:$E$528,MATCH(LARGE('Calc (scoring engine)'!$K$5:$K$528,8),'Calc (scoring engine)'!$K$5:$K$528,0))),""))</f>
        <v/>
      </c>
      <c r="F28" s="43">
        <f>IF(OR(8&gt;MAX(3,MIN(15,N($D$18))),IFERROR(LARGE('Calc (scoring engine)'!$K$5:$K$528,8),-999999)&lt;=-900000),"",IFERROR(IF(INDEX(Database!$F$5:$F$528,MATCH(LARGE('Calc (scoring engine)'!$K$5:$K$528,8),'Calc (scoring engine)'!$K$5:$K$528,0))="","—",INDEX(Database!$F$5:$F$528,MATCH(LARGE('Calc (scoring engine)'!$K$5:$K$528,8),'Calc (scoring engine)'!$K$5:$K$528,0))),""))</f>
        <v/>
      </c>
      <c r="G28" s="43">
        <f>IF(OR(8&gt;MAX(3,MIN(15,N($D$18))),IFERROR(LARGE('Calc (scoring engine)'!$K$5:$K$528,8),-999999)&lt;=-900000),"",IFERROR(IF(INDEX(Database!$G$5:$G$528,MATCH(LARGE('Calc (scoring engine)'!$K$5:$K$528,8),'Calc (scoring engine)'!$K$5:$K$528,0))="","—",INDEX(Database!$G$5:$G$528,MATCH(LARGE('Calc (scoring engine)'!$K$5:$K$528,8),'Calc (scoring engine)'!$K$5:$K$528,0))),""))</f>
        <v/>
      </c>
      <c r="H28" s="55">
        <f>IF(OR(8&gt;MAX(3,MIN(15,N($D$18))),IFERROR(LARGE('Calc (scoring engine)'!$K$5:$K$528,8),-999999)&lt;=-900000),"",IFERROR(IF(INDEX(Database!$H$5:$H$528,MATCH(LARGE('Calc (scoring engine)'!$K$5:$K$528,8),'Calc (scoring engine)'!$K$5:$K$528,0))="","—",INDEX(Database!$H$5:$H$528,MATCH(LARGE('Calc (scoring engine)'!$K$5:$K$528,8),'Calc (scoring engine)'!$K$5:$K$528,0))),""))</f>
        <v/>
      </c>
      <c r="I28" s="53">
        <f>IF(OR(8&gt;MAX(3,MIN(15,N($D$18))),IFERROR(LARGE('Calc (scoring engine)'!$K$5:$K$528,8),-999999)&lt;=-900000),"",IFERROR(IF(INDEX(Database!$I$5:$I$528,MATCH(LARGE('Calc (scoring engine)'!$K$5:$K$528,8),'Calc (scoring engine)'!$K$5:$K$528,0))="","—",INDEX(Database!$I$5:$I$528,MATCH(LARGE('Calc (scoring engine)'!$K$5:$K$528,8),'Calc (scoring engine)'!$K$5:$K$528,0))),""))</f>
        <v/>
      </c>
      <c r="J28" s="85">
        <f>IF(OR(8&gt;MAX(3,MIN(15,N($D$18))),IFERROR(LARGE('Calc (scoring engine)'!$K$5:$K$528,8),-999999)&lt;=-900000),"",IFERROR(IF(INDEX(Database!$K$5:$K$528,MATCH(LARGE('Calc (scoring engine)'!$K$5:$K$528,8),'Calc (scoring engine)'!$K$5:$K$528,0))="","—",INDEX(Database!$K$5:$K$528,MATCH(LARGE('Calc (scoring engine)'!$K$5:$K$528,8),'Calc (scoring engine)'!$K$5:$K$528,0))),""))</f>
        <v/>
      </c>
      <c r="K28" s="85">
        <f>IF(OR(8&gt;MAX(3,MIN(15,N($D$18))),IFERROR(LARGE('Calc (scoring engine)'!$K$5:$K$528,8),-999999)&lt;=-900000),"",IFERROR(IF(INDEX(Database!$L$5:$L$528,MATCH(LARGE('Calc (scoring engine)'!$K$5:$K$528,8),'Calc (scoring engine)'!$K$5:$K$528,0))="","—",INDEX(Database!$L$5:$L$528,MATCH(LARGE('Calc (scoring engine)'!$K$5:$K$528,8),'Calc (scoring engine)'!$K$5:$K$528,0))),""))</f>
        <v/>
      </c>
      <c r="L28" s="85">
        <f>IF(OR(8&gt;MAX(3,MIN(15,N($D$18))),IFERROR(LARGE('Calc (scoring engine)'!$K$5:$K$528,8),-999999)&lt;=-900000),"",IFERROR(IF(INDEX(Database!$M$5:$M$528,MATCH(LARGE('Calc (scoring engine)'!$K$5:$K$528,8),'Calc (scoring engine)'!$K$5:$K$528,0))="","—",INDEX(Database!$M$5:$M$528,MATCH(LARGE('Calc (scoring engine)'!$K$5:$K$528,8),'Calc (scoring engine)'!$K$5:$K$528,0))),""))</f>
        <v/>
      </c>
      <c r="M28" s="43">
        <f>IF(OR(8&gt;MAX(3,MIN(15,N($D$18))),IFERROR(LARGE('Calc (scoring engine)'!$K$5:$K$528,8),-999999)&lt;=-900000),"",IFERROR(IF(INDEX(Database!$N$5:$N$528,MATCH(LARGE('Calc (scoring engine)'!$K$5:$K$528,8),'Calc (scoring engine)'!$K$5:$K$528,0))="","—",INDEX(Database!$N$5:$N$528,MATCH(LARGE('Calc (scoring engine)'!$K$5:$K$528,8),'Calc (scoring engine)'!$K$5:$K$528,0))),""))</f>
        <v/>
      </c>
      <c r="N28" s="65">
        <f>IF(OR(8&gt;MAX(3,MIN(15,N($D$18))),IFERROR(LARGE('Calc (scoring engine)'!$K$5:$K$528,8),-999999)&lt;=-900000),"",IFERROR(IF(INDEX(Database!$O$5:$O$528,MATCH(LARGE('Calc (scoring engine)'!$K$5:$K$528,8),'Calc (scoring engine)'!$K$5:$K$528,0))="","—",INDEX(Database!$O$5:$O$528,MATCH(LARGE('Calc (scoring engine)'!$K$5:$K$528,8),'Calc (scoring engine)'!$K$5:$K$528,0))),""))</f>
        <v/>
      </c>
      <c r="O28" s="65">
        <f>IF(OR(8&gt;MAX(3,MIN(15,N($D$18))),IFERROR(LARGE('Calc (scoring engine)'!$K$5:$K$528,8),-999999)&lt;=-900000),"",IFERROR(IF(INDEX(Database!$P$5:$P$528,MATCH(LARGE('Calc (scoring engine)'!$K$5:$K$528,8),'Calc (scoring engine)'!$K$5:$K$528,0))="","—",INDEX(Database!$P$5:$P$528,MATCH(LARGE('Calc (scoring engine)'!$K$5:$K$528,8),'Calc (scoring engine)'!$K$5:$K$528,0))),""))</f>
        <v/>
      </c>
      <c r="P28" s="53">
        <f>IF(OR(8&gt;MAX(3,MIN(15,N($D$18))),IFERROR(LARGE('Calc (scoring engine)'!$K$5:$K$528,8),-999999)&lt;=-900000),"",IFERROR(IF(INDEX(Database!$Q$5:$Q$528,MATCH(LARGE('Calc (scoring engine)'!$K$5:$K$528,8),'Calc (scoring engine)'!$K$5:$K$528,0))="","—",INDEX(Database!$Q$5:$Q$528,MATCH(LARGE('Calc (scoring engine)'!$K$5:$K$528,8),'Calc (scoring engine)'!$K$5:$K$528,0))),""))</f>
        <v/>
      </c>
      <c r="Q28" s="60">
        <f>IF(OR(8&gt;MAX(3,MIN(15,N($D$18))),IFERROR(LARGE('Calc (scoring engine)'!$K$5:$K$528,8),-999999)&lt;=-900000),"",IFERROR(IF(INDEX(Database!$S$5:$S$528,MATCH(LARGE('Calc (scoring engine)'!$K$5:$K$528,8),'Calc (scoring engine)'!$K$5:$K$528,0))="","—",INDEX(Database!$S$5:$S$528,MATCH(LARGE('Calc (scoring engine)'!$K$5:$K$528,8),'Calc (scoring engine)'!$K$5:$K$528,0))),""))</f>
        <v/>
      </c>
      <c r="R28" s="86">
        <f>IF(OR(8&gt;MAX(3,MIN(15,N($D$18))),IFERROR(LARGE('Calc (scoring engine)'!$K$5:$K$528,8),-999999)&lt;=-900000),"",IFERROR(IF(INDEX(Database!$T$5:$T$528,MATCH(LARGE('Calc (scoring engine)'!$K$5:$K$528,8),'Calc (scoring engine)'!$K$5:$K$528,0))="","—",INDEX(Database!$T$5:$T$528,MATCH(LARGE('Calc (scoring engine)'!$K$5:$K$528,8),'Calc (scoring engine)'!$K$5:$K$528,0))),""))</f>
        <v/>
      </c>
      <c r="S28" s="87">
        <f>IF(OR(8&gt;MAX(3,MIN(15,N($D$18))),IFERROR(LARGE('Calc (scoring engine)'!$K$5:$K$528,8),-999999)&lt;=-900000),"",IFERROR(IF(INDEX(Database!$U$5:$U$528,MATCH(LARGE('Calc (scoring engine)'!$K$5:$K$528,8),'Calc (scoring engine)'!$K$5:$K$528,0))="","—",INDEX(Database!$U$5:$U$528,MATCH(LARGE('Calc (scoring engine)'!$K$5:$K$528,8),'Calc (scoring engine)'!$K$5:$K$528,0))),""))</f>
        <v/>
      </c>
      <c r="T28" s="88">
        <f>IF(OR(8&gt;MAX(3,MIN(15,N($D$18))),IFERROR(LARGE('Calc (scoring engine)'!$K$5:$K$528,8),-999999)&lt;=-900000),"",IFERROR(IF(INDEX(Database!$V$5:$V$528,MATCH(LARGE('Calc (scoring engine)'!$K$5:$K$528,8),'Calc (scoring engine)'!$K$5:$K$528,0))="","—",INDEX(Database!$V$5:$V$528,MATCH(LARGE('Calc (scoring engine)'!$K$5:$K$528,8),'Calc (scoring engine)'!$K$5:$K$528,0))),""))</f>
        <v/>
      </c>
      <c r="U28" s="65">
        <f>IF(OR(8&gt;MAX(3,MIN(15,N($D$18))),IFERROR(LARGE('Calc (scoring engine)'!$K$5:$K$528,8),-999999)&lt;=-900000),"",IFERROR(IF(INDEX(Database!$W$5:$W$528,MATCH(LARGE('Calc (scoring engine)'!$K$5:$K$528,8),'Calc (scoring engine)'!$K$5:$K$528,0))="","—",INDEX(Database!$W$5:$W$528,MATCH(LARGE('Calc (scoring engine)'!$K$5:$K$528,8),'Calc (scoring engine)'!$K$5:$K$528,0))),""))</f>
        <v/>
      </c>
      <c r="V28" s="43">
        <f>IF(OR(8&gt;MAX(3,MIN(15,N($D$18))),IFERROR(LARGE('Calc (scoring engine)'!$K$5:$K$528,8),-999999)&lt;=-900000),"",IFERROR(IF(INDEX(Database!$X$5:$X$528,MATCH(LARGE('Calc (scoring engine)'!$K$5:$K$528,8),'Calc (scoring engine)'!$K$5:$K$528,0))="","—",INDEX(Database!$X$5:$X$528,MATCH(LARGE('Calc (scoring engine)'!$K$5:$K$528,8),'Calc (scoring engine)'!$K$5:$K$528,0))),""))</f>
        <v/>
      </c>
      <c r="W28" s="53">
        <f>IF(OR(8&gt;MAX(3,MIN(15,N($D$18))),IFERROR(LARGE('Calc (scoring engine)'!$K$5:$K$528,8),-999999)&lt;=-900000),"",IFERROR(IF(INDEX(Database!$Y$5:$Y$528,MATCH(LARGE('Calc (scoring engine)'!$K$5:$K$528,8),'Calc (scoring engine)'!$K$5:$K$528,0))="","—",INDEX(Database!$Y$5:$Y$528,MATCH(LARGE('Calc (scoring engine)'!$K$5:$K$528,8),'Calc (scoring engine)'!$K$5:$K$528,0))),""))</f>
        <v/>
      </c>
      <c r="X28" s="53">
        <f>IF(OR(8&gt;MAX(3,MIN(15,N($D$18))),IFERROR(LARGE('Calc (scoring engine)'!$K$5:$K$528,8),-999999)&lt;=-900000),"",IFERROR(IF(INDEX(Database!$Z$5:$Z$528,MATCH(LARGE('Calc (scoring engine)'!$K$5:$K$528,8),'Calc (scoring engine)'!$K$5:$K$528,0))="","—",INDEX(Database!$Z$5:$Z$528,MATCH(LARGE('Calc (scoring engine)'!$K$5:$K$528,8),'Calc (scoring engine)'!$K$5:$K$528,0))),""))</f>
        <v/>
      </c>
      <c r="Y28" s="65">
        <f>IF(OR(8&gt;MAX(3,MIN(15,N($D$18))),IFERROR(LARGE('Calc (scoring engine)'!$K$5:$K$528,8),-999999)&lt;=-900000),"",IFERROR(IF(INDEX(Database!$AA$5:$AA$528,MATCH(LARGE('Calc (scoring engine)'!$K$5:$K$528,8),'Calc (scoring engine)'!$K$5:$K$528,0))="","—",INDEX(Database!$AA$5:$AA$528,MATCH(LARGE('Calc (scoring engine)'!$K$5:$K$528,8),'Calc (scoring engine)'!$K$5:$K$528,0))),""))</f>
        <v/>
      </c>
      <c r="Z28" s="43">
        <f>IF(OR(8&gt;MAX(3,MIN(15,N($D$18))),IFERROR(LARGE('Calc (scoring engine)'!$K$5:$K$528,8),-999999)&lt;=-900000),"",IFERROR(IF(INDEX(Database!$AB$5:$AB$528,MATCH(LARGE('Calc (scoring engine)'!$K$5:$K$528,8),'Calc (scoring engine)'!$K$5:$K$528,0))="","—",INDEX(Database!$AB$5:$AB$528,MATCH(LARGE('Calc (scoring engine)'!$K$5:$K$528,8),'Calc (scoring engine)'!$K$5:$K$528,0))),""))</f>
        <v/>
      </c>
      <c r="AA28" s="65">
        <f>IF(OR(8&gt;MAX(3,MIN(15,N($D$18))),IFERROR(LARGE('Calc (scoring engine)'!$K$5:$K$528,8),-999999)&lt;=-900000),"",IFERROR(IF(INDEX(Database!$AD$5:$AD$528,MATCH(LARGE('Calc (scoring engine)'!$K$5:$K$528,8),'Calc (scoring engine)'!$K$5:$K$528,0))="","—",INDEX(Database!$AD$5:$AD$528,MATCH(LARGE('Calc (scoring engine)'!$K$5:$K$528,8),'Calc (scoring engine)'!$K$5:$K$528,0))),""))</f>
        <v/>
      </c>
      <c r="AB28" s="43">
        <f>IF(OR(8&gt;MAX(3,MIN(15,N($D$18))),IFERROR(LARGE('Calc (scoring engine)'!$K$5:$K$528,8),-999999)&lt;=-900000),"",IFERROR(IF(INDEX(Database!$AE$5:$AE$528,MATCH(LARGE('Calc (scoring engine)'!$K$5:$K$528,8),'Calc (scoring engine)'!$K$5:$K$528,0))="","—",INDEX(Database!$AE$5:$AE$528,MATCH(LARGE('Calc (scoring engine)'!$K$5:$K$528,8),'Calc (scoring engine)'!$K$5:$K$528,0))),""))</f>
        <v/>
      </c>
      <c r="AC28" s="43">
        <f>IF(OR(8&gt;MAX(3,MIN(15,N($D$18))),IFERROR(LARGE('Calc (scoring engine)'!$K$5:$K$528,8),-999999)&lt;=-900000),"",IFERROR(IF(INDEX(Database!$AF$5:$AF$528,MATCH(LARGE('Calc (scoring engine)'!$K$5:$K$528,8),'Calc (scoring engine)'!$K$5:$K$528,0))="","—",INDEX(Database!$AF$5:$AF$528,MATCH(LARGE('Calc (scoring engine)'!$K$5:$K$528,8),'Calc (scoring engine)'!$K$5:$K$528,0))),""))</f>
        <v/>
      </c>
      <c r="AD28" s="43">
        <f>IF(OR(8&gt;MAX(3,MIN(15,N($D$18))),IFERROR(LARGE('Calc (scoring engine)'!$K$5:$K$528,8),-999999)&lt;=-900000),"",IFERROR(IF(INDEX(Database!$AG$5:$AG$528,MATCH(LARGE('Calc (scoring engine)'!$K$5:$K$528,8),'Calc (scoring engine)'!$K$5:$K$528,0))="","—",INDEX(Database!$AG$5:$AG$528,MATCH(LARGE('Calc (scoring engine)'!$K$5:$K$528,8),'Calc (scoring engine)'!$K$5:$K$528,0))),""))</f>
        <v/>
      </c>
      <c r="AE28" s="43">
        <f>IF(OR(8&gt;MAX(3,MIN(15,N($D$18))),IFERROR(LARGE('Calc (scoring engine)'!$K$5:$K$528,8),-999999)&lt;=-900000),"",IFERROR(IF(INDEX(Database!$AH$5:$AH$528,MATCH(LARGE('Calc (scoring engine)'!$K$5:$K$528,8),'Calc (scoring engine)'!$K$5:$K$528,0))="","—",INDEX(Database!$AH$5:$AH$528,MATCH(LARGE('Calc (scoring engine)'!$K$5:$K$528,8),'Calc (scoring engine)'!$K$5:$K$528,0))),""))</f>
        <v/>
      </c>
      <c r="AF28" s="57">
        <f>IF(OR(8&gt;MAX(3,MIN(15,N($D$18))),IFERROR(LARGE('Calc (scoring engine)'!$K$5:$K$528,8),-999999)&lt;=-900000),"",IFERROR(IF(INDEX(Database!$AI$5:$AI$528,MATCH(LARGE('Calc (scoring engine)'!$K$5:$K$528,8),'Calc (scoring engine)'!$K$5:$K$528,0))="","—",INDEX(Database!$AI$5:$AI$528,MATCH(LARGE('Calc (scoring engine)'!$K$5:$K$528,8),'Calc (scoring engine)'!$K$5:$K$528,0))),""))</f>
        <v/>
      </c>
      <c r="AG28" s="57">
        <f>IF(OR(8&gt;MAX(3,MIN(15,N($D$18))),IFERROR(LARGE('Calc (scoring engine)'!$K$5:$K$528,8),-999999)&lt;=-900000),"",IFERROR(IF(INDEX(Database!$AJ$5:$AJ$528,MATCH(LARGE('Calc (scoring engine)'!$K$5:$K$528,8),'Calc (scoring engine)'!$K$5:$K$528,0))="","—",INDEX(Database!$AJ$5:$AJ$528,MATCH(LARGE('Calc (scoring engine)'!$K$5:$K$528,8),'Calc (scoring engine)'!$K$5:$K$528,0))),""))</f>
        <v/>
      </c>
      <c r="AH28" s="57">
        <f>IF(OR(8&gt;MAX(3,MIN(15,N($D$18))),IFERROR(LARGE('Calc (scoring engine)'!$K$5:$K$528,8),-999999)&lt;=-900000),"",IFERROR(IF(INDEX(Database!$AK$5:$AK$528,MATCH(LARGE('Calc (scoring engine)'!$K$5:$K$528,8),'Calc (scoring engine)'!$K$5:$K$528,0))="","—",INDEX(Database!$AK$5:$AK$528,MATCH(LARGE('Calc (scoring engine)'!$K$5:$K$528,8),'Calc (scoring engine)'!$K$5:$K$528,0))),""))</f>
        <v/>
      </c>
      <c r="AI28" s="57">
        <f>IF(OR(8&gt;MAX(3,MIN(15,N($D$18))),IFERROR(LARGE('Calc (scoring engine)'!$K$5:$K$528,8),-999999)&lt;=-900000),"",IFERROR(IF(INDEX(Database!$AL$5:$AL$528,MATCH(LARGE('Calc (scoring engine)'!$K$5:$K$528,8),'Calc (scoring engine)'!$K$5:$K$528,0))="","—",INDEX(Database!$AL$5:$AL$528,MATCH(LARGE('Calc (scoring engine)'!$K$5:$K$528,8),'Calc (scoring engine)'!$K$5:$K$528,0))),""))</f>
        <v/>
      </c>
      <c r="AJ28" s="57">
        <f>IF(OR(8&gt;MAX(3,MIN(15,N($D$18))),IFERROR(LARGE('Calc (scoring engine)'!$K$5:$K$528,8),-999999)&lt;=-900000),"",IFERROR(IF(INDEX(Database!$AM$5:$AM$528,MATCH(LARGE('Calc (scoring engine)'!$K$5:$K$528,8),'Calc (scoring engine)'!$K$5:$K$528,0))="","—",INDEX(Database!$AM$5:$AM$528,MATCH(LARGE('Calc (scoring engine)'!$K$5:$K$528,8),'Calc (scoring engine)'!$K$5:$K$528,0))),""))</f>
        <v/>
      </c>
      <c r="AK28" s="58">
        <f>IF(OR(8&gt;MAX(3,MIN(15,N($D$18))),IFERROR(LARGE('Calc (scoring engine)'!$K$5:$K$528,8),-999999)&lt;=-900000),"",IFERROR(IF(INDEX(Database!$AN$5:$AN$528,MATCH(LARGE('Calc (scoring engine)'!$K$5:$K$528,8),'Calc (scoring engine)'!$K$5:$K$528,0))="","—",INDEX(Database!$AN$5:$AN$528,MATCH(LARGE('Calc (scoring engine)'!$K$5:$K$528,8),'Calc (scoring engine)'!$K$5:$K$528,0))),""))</f>
        <v/>
      </c>
      <c r="AL28" s="65">
        <f>IF(OR(8&gt;MAX(3,MIN(15,N($D$18))),IFERROR(LARGE('Calc (scoring engine)'!$K$5:$K$528,8),-999999)&lt;=-900000),"",IFERROR(IF(INDEX(Database!$AO$5:$AO$528,MATCH(LARGE('Calc (scoring engine)'!$K$5:$K$528,8),'Calc (scoring engine)'!$K$5:$K$528,0))="","—",INDEX(Database!$AO$5:$AO$528,MATCH(LARGE('Calc (scoring engine)'!$K$5:$K$528,8),'Calc (scoring engine)'!$K$5:$K$528,0))),""))</f>
        <v/>
      </c>
      <c r="AM28" s="57">
        <f>IF(OR(8&gt;MAX(3,MIN(15,N($D$18))),IFERROR(LARGE('Calc (scoring engine)'!$K$5:$K$528,8),-999999)&lt;=-900000),"",IFERROR(IF(INDEX(Database!$AP$5:$AP$528,MATCH(LARGE('Calc (scoring engine)'!$K$5:$K$528,8),'Calc (scoring engine)'!$K$5:$K$528,0))="","—",INDEX(Database!$AP$5:$AP$528,MATCH(LARGE('Calc (scoring engine)'!$K$5:$K$528,8),'Calc (scoring engine)'!$K$5:$K$528,0))),""))</f>
        <v/>
      </c>
      <c r="AN28" s="57">
        <f>IF(OR(8&gt;MAX(3,MIN(15,N($D$18))),IFERROR(LARGE('Calc (scoring engine)'!$K$5:$K$528,8),-999999)&lt;=-900000),"",IFERROR(IF(INDEX(Database!$AQ$5:$AQ$528,MATCH(LARGE('Calc (scoring engine)'!$K$5:$K$528,8),'Calc (scoring engine)'!$K$5:$K$528,0))="","—",INDEX(Database!$AQ$5:$AQ$528,MATCH(LARGE('Calc (scoring engine)'!$K$5:$K$528,8),'Calc (scoring engine)'!$K$5:$K$528,0))),""))</f>
        <v/>
      </c>
      <c r="AO28" s="57">
        <f>IF(OR(8&gt;MAX(3,MIN(15,N($D$18))),IFERROR(LARGE('Calc (scoring engine)'!$K$5:$K$528,8),-999999)&lt;=-900000),"",IFERROR(IF(INDEX(Database!$AR$5:$AR$528,MATCH(LARGE('Calc (scoring engine)'!$K$5:$K$528,8),'Calc (scoring engine)'!$K$5:$K$528,0))="","—",INDEX(Database!$AR$5:$AR$528,MATCH(LARGE('Calc (scoring engine)'!$K$5:$K$528,8),'Calc (scoring engine)'!$K$5:$K$528,0))),""))</f>
        <v/>
      </c>
      <c r="AP28" s="57">
        <f>IF(OR(8&gt;MAX(3,MIN(15,N($D$18))),IFERROR(LARGE('Calc (scoring engine)'!$K$5:$K$528,8),-999999)&lt;=-900000),"",IFERROR(IF(INDEX(Database!$AS$5:$AS$528,MATCH(LARGE('Calc (scoring engine)'!$K$5:$K$528,8),'Calc (scoring engine)'!$K$5:$K$528,0))="","—",INDEX(Database!$AS$5:$AS$528,MATCH(LARGE('Calc (scoring engine)'!$K$5:$K$528,8),'Calc (scoring engine)'!$K$5:$K$528,0))),""))</f>
        <v/>
      </c>
      <c r="AQ28" s="57">
        <f>IF(OR(8&gt;MAX(3,MIN(15,N($D$18))),IFERROR(LARGE('Calc (scoring engine)'!$K$5:$K$528,8),-999999)&lt;=-900000),"",IFERROR(IF(INDEX(Database!$AT$5:$AT$528,MATCH(LARGE('Calc (scoring engine)'!$K$5:$K$528,8),'Calc (scoring engine)'!$K$5:$K$528,0))="","—",INDEX(Database!$AT$5:$AT$528,MATCH(LARGE('Calc (scoring engine)'!$K$5:$K$528,8),'Calc (scoring engine)'!$K$5:$K$528,0))),""))</f>
        <v/>
      </c>
      <c r="AR28" s="57">
        <f>IF(OR(8&gt;MAX(3,MIN(15,N($D$18))),IFERROR(LARGE('Calc (scoring engine)'!$K$5:$K$528,8),-999999)&lt;=-900000),"",IFERROR(IF(INDEX(Database!$AU$5:$AU$528,MATCH(LARGE('Calc (scoring engine)'!$K$5:$K$528,8),'Calc (scoring engine)'!$K$5:$K$528,0))="","—",INDEX(Database!$AU$5:$AU$528,MATCH(LARGE('Calc (scoring engine)'!$K$5:$K$528,8),'Calc (scoring engine)'!$K$5:$K$528,0))),""))</f>
        <v/>
      </c>
      <c r="AS28" s="57">
        <f>IF(OR(8&gt;MAX(3,MIN(15,N($D$18))),IFERROR(LARGE('Calc (scoring engine)'!$K$5:$K$528,8),-999999)&lt;=-900000),"",IFERROR(IF(INDEX(Database!$AV$5:$AV$528,MATCH(LARGE('Calc (scoring engine)'!$K$5:$K$528,8),'Calc (scoring engine)'!$K$5:$K$528,0))="","—",INDEX(Database!$AV$5:$AV$528,MATCH(LARGE('Calc (scoring engine)'!$K$5:$K$528,8),'Calc (scoring engine)'!$K$5:$K$528,0))),""))</f>
        <v/>
      </c>
      <c r="AT28" s="57">
        <f>IF(OR(8&gt;MAX(3,MIN(15,N($D$18))),IFERROR(LARGE('Calc (scoring engine)'!$K$5:$K$528,8),-999999)&lt;=-900000),"",IFERROR(IF(INDEX(Database!$AW$5:$AW$528,MATCH(LARGE('Calc (scoring engine)'!$K$5:$K$528,8),'Calc (scoring engine)'!$K$5:$K$528,0))="","—",INDEX(Database!$AW$5:$AW$528,MATCH(LARGE('Calc (scoring engine)'!$K$5:$K$528,8),'Calc (scoring engine)'!$K$5:$K$528,0))),""))</f>
        <v/>
      </c>
      <c r="AU28" s="57">
        <f>IF(OR(8&gt;MAX(3,MIN(15,N($D$18))),IFERROR(LARGE('Calc (scoring engine)'!$K$5:$K$528,8),-999999)&lt;=-900000),"",IFERROR(IF(INDEX(Database!$AX$5:$AX$528,MATCH(LARGE('Calc (scoring engine)'!$K$5:$K$528,8),'Calc (scoring engine)'!$K$5:$K$528,0))="","—",INDEX(Database!$AX$5:$AX$528,MATCH(LARGE('Calc (scoring engine)'!$K$5:$K$528,8),'Calc (scoring engine)'!$K$5:$K$528,0))),""))</f>
        <v/>
      </c>
      <c r="AV28" s="57">
        <f>IF(OR(8&gt;MAX(3,MIN(15,N($D$18))),IFERROR(LARGE('Calc (scoring engine)'!$K$5:$K$528,8),-999999)&lt;=-900000),"",IFERROR(IF(INDEX(Database!$AY$5:$AY$528,MATCH(LARGE('Calc (scoring engine)'!$K$5:$K$528,8),'Calc (scoring engine)'!$K$5:$K$528,0))="","—",INDEX(Database!$AY$5:$AY$528,MATCH(LARGE('Calc (scoring engine)'!$K$5:$K$528,8),'Calc (scoring engine)'!$K$5:$K$528,0))),""))</f>
        <v/>
      </c>
      <c r="AW28" s="57">
        <f>IF(OR(8&gt;MAX(3,MIN(15,N($D$18))),IFERROR(LARGE('Calc (scoring engine)'!$K$5:$K$528,8),-999999)&lt;=-900000),"",IFERROR(IF(INDEX(Database!$AZ$5:$AZ$528,MATCH(LARGE('Calc (scoring engine)'!$K$5:$K$528,8),'Calc (scoring engine)'!$K$5:$K$528,0))="","—",INDEX(Database!$AZ$5:$AZ$528,MATCH(LARGE('Calc (scoring engine)'!$K$5:$K$528,8),'Calc (scoring engine)'!$K$5:$K$528,0))),""))</f>
        <v/>
      </c>
      <c r="AX28" s="57">
        <f>IF(OR(8&gt;MAX(3,MIN(15,N($D$18))),IFERROR(LARGE('Calc (scoring engine)'!$K$5:$K$528,8),-999999)&lt;=-900000),"",IFERROR(IF(INDEX(Database!$BA$5:$BA$528,MATCH(LARGE('Calc (scoring engine)'!$K$5:$K$528,8),'Calc (scoring engine)'!$K$5:$K$528,0))="","—",INDEX(Database!$BA$5:$BA$528,MATCH(LARGE('Calc (scoring engine)'!$K$5:$K$528,8),'Calc (scoring engine)'!$K$5:$K$528,0))),""))</f>
        <v/>
      </c>
      <c r="AY28" s="57">
        <f>IF(OR(8&gt;MAX(3,MIN(15,N($D$18))),IFERROR(LARGE('Calc (scoring engine)'!$K$5:$K$528,8),-999999)&lt;=-900000),"",IFERROR(IF(INDEX(Database!$BC$5:$BC$528,MATCH(LARGE('Calc (scoring engine)'!$K$5:$K$528,8),'Calc (scoring engine)'!$K$5:$K$528,0))="","—",INDEX(Database!$BC$5:$BC$528,MATCH(LARGE('Calc (scoring engine)'!$K$5:$K$528,8),'Calc (scoring engine)'!$K$5:$K$528,0))),""))</f>
        <v/>
      </c>
      <c r="AZ28" s="53">
        <f>IF(OR(8&gt;MAX(3,MIN(15,N($D$18))),IFERROR(LARGE('Calc (scoring engine)'!$K$5:$K$528,8),-999999)&lt;=-900000),"",IFERROR(IF(INDEX(Database!$BE$5:$BE$528,MATCH(LARGE('Calc (scoring engine)'!$K$5:$K$528,8),'Calc (scoring engine)'!$K$5:$K$528,0))="","—",INDEX(Database!$BE$5:$BE$528,MATCH(LARGE('Calc (scoring engine)'!$K$5:$K$528,8),'Calc (scoring engine)'!$K$5:$K$528,0))),""))</f>
        <v/>
      </c>
      <c r="BA28" s="53">
        <f>IF(OR(8&gt;MAX(3,MIN(15,N($D$18))),IFERROR(LARGE('Calc (scoring engine)'!$K$5:$K$528,8),-999999)&lt;=-900000),"",IFERROR(IF(INDEX(Database!$BF$5:$BF$528,MATCH(LARGE('Calc (scoring engine)'!$K$5:$K$528,8),'Calc (scoring engine)'!$K$5:$K$528,0))="","—",INDEX(Database!$BF$5:$BF$528,MATCH(LARGE('Calc (scoring engine)'!$K$5:$K$528,8),'Calc (scoring engine)'!$K$5:$K$528,0))),""))</f>
        <v/>
      </c>
      <c r="BB28" s="43">
        <f>IF(OR(8&gt;MAX(3,MIN(15,N($D$18))),IFERROR(LARGE('Calc (scoring engine)'!$K$5:$K$528,8),-999999)&lt;=-900000),"",IFERROR(IF(INDEX(Database!$BG$5:$BG$528,MATCH(LARGE('Calc (scoring engine)'!$K$5:$K$528,8),'Calc (scoring engine)'!$K$5:$K$528,0))="","—",INDEX(Database!$BG$5:$BG$528,MATCH(LARGE('Calc (scoring engine)'!$K$5:$K$528,8),'Calc (scoring engine)'!$K$5:$K$528,0))),""))</f>
        <v/>
      </c>
      <c r="BC28" s="58">
        <f>IF(OR(8&gt;MAX(3,MIN(15,N($D$18))),IFERROR(LARGE('Calc (scoring engine)'!$K$5:$K$528,8),-999999)&lt;=-900000),"",IFERROR(IF(N(INDEX(Database!$BH$5:$BH$528,MATCH(LARGE('Calc (scoring engine)'!$K$5:$K$528,8),'Calc (scoring engine)'!$K$5:$K$528,0)))&lt;=0,IF(INDEX(Database!$BG$5:$BG$528,MATCH(LARGE('Calc (scoring engine)'!$K$5:$K$528,8),'Calc (scoring engine)'!$K$5:$K$528,0))="N","n/m","—"),INDEX(Database!$BH$5:$BH$528,MATCH(LARGE('Calc (scoring engine)'!$K$5:$K$528,8),'Calc (scoring engine)'!$K$5:$K$528,0))),""))</f>
        <v/>
      </c>
      <c r="BD28" s="58">
        <f>IF(OR(8&gt;MAX(3,MIN(15,N($D$18))),IFERROR(LARGE('Calc (scoring engine)'!$K$5:$K$528,8),-999999)&lt;=-900000),"",IFERROR(IF(INDEX(Database!$BI$5:$BI$528,MATCH(LARGE('Calc (scoring engine)'!$K$5:$K$528,8),'Calc (scoring engine)'!$K$5:$K$528,0))="","—",INDEX(Database!$BI$5:$BI$528,MATCH(LARGE('Calc (scoring engine)'!$K$5:$K$528,8),'Calc (scoring engine)'!$K$5:$K$528,0))),""))</f>
        <v/>
      </c>
      <c r="BE28" s="58">
        <f>IF(OR(8&gt;MAX(3,MIN(15,N($D$18))),IFERROR(LARGE('Calc (scoring engine)'!$K$5:$K$528,8),-999999)&lt;=-900000),"",IFERROR(IF(INDEX(Database!$BJ$5:$BJ$528,MATCH(LARGE('Calc (scoring engine)'!$K$5:$K$528,8),'Calc (scoring engine)'!$K$5:$K$528,0))="","—",INDEX(Database!$BJ$5:$BJ$528,MATCH(LARGE('Calc (scoring engine)'!$K$5:$K$528,8),'Calc (scoring engine)'!$K$5:$K$528,0))),""))</f>
        <v/>
      </c>
      <c r="BF28" s="58">
        <f>IF(OR(8&gt;MAX(3,MIN(15,N($D$18))),IFERROR(LARGE('Calc (scoring engine)'!$K$5:$K$528,8),-999999)&lt;=-900000),"",IFERROR(IF(INDEX(Database!$BK$5:$BK$528,MATCH(LARGE('Calc (scoring engine)'!$K$5:$K$528,8),'Calc (scoring engine)'!$K$5:$K$528,0))="","—",INDEX(Database!$BK$5:$BK$528,MATCH(LARGE('Calc (scoring engine)'!$K$5:$K$528,8),'Calc (scoring engine)'!$K$5:$K$528,0))),""))</f>
        <v/>
      </c>
      <c r="BG28" s="58">
        <f>IF(OR(8&gt;MAX(3,MIN(15,N($D$18))),IFERROR(LARGE('Calc (scoring engine)'!$K$5:$K$528,8),-999999)&lt;=-900000),"",IFERROR(IF(INDEX(Database!$BL$5:$BL$528,MATCH(LARGE('Calc (scoring engine)'!$K$5:$K$528,8),'Calc (scoring engine)'!$K$5:$K$528,0))="","—",INDEX(Database!$BL$5:$BL$528,MATCH(LARGE('Calc (scoring engine)'!$K$5:$K$528,8),'Calc (scoring engine)'!$K$5:$K$528,0))),""))</f>
        <v/>
      </c>
      <c r="BH28" s="58">
        <f>IF(OR(8&gt;MAX(3,MIN(15,N($D$18))),IFERROR(LARGE('Calc (scoring engine)'!$K$5:$K$528,8),-999999)&lt;=-900000),"",IFERROR(IFERROR(BDP(TEXT(INDEX(Database!$A$5:$A$528,MATCH(LARGE('Calc (scoring engine)'!$K$5:$K$528,8),'Calc (scoring engine)'!$K$5:$K$528,0)),"0")&amp;" HK Equity","PE_RATIO"),IF(INDEX(Database!$BJ$5:$BJ$528,MATCH(LARGE('Calc (scoring engine)'!$K$5:$K$528,8),'Calc (scoring engine)'!$K$5:$K$528,0))="","—",INDEX(Database!$BJ$5:$BJ$528,MATCH(LARGE('Calc (scoring engine)'!$K$5:$K$528,8),'Calc (scoring engine)'!$K$5:$K$528,0)))),""))</f>
        <v/>
      </c>
      <c r="BI28" s="58">
        <f>IF(OR(8&gt;MAX(3,MIN(15,N($D$18))),IFERROR(LARGE('Calc (scoring engine)'!$K$5:$K$528,8),-999999)&lt;=-900000),"",IFERROR(IFERROR(BDP(TEXT(INDEX(Database!$A$5:$A$528,MATCH(LARGE('Calc (scoring engine)'!$K$5:$K$528,8),'Calc (scoring engine)'!$K$5:$K$528,0)),"0")&amp;" HK Equity","PX_TO_SALES_RATIO"),IF(INDEX(Database!$BK$5:$BK$528,MATCH(LARGE('Calc (scoring engine)'!$K$5:$K$528,8),'Calc (scoring engine)'!$K$5:$K$528,0))="","—",INDEX(Database!$BK$5:$BK$528,MATCH(LARGE('Calc (scoring engine)'!$K$5:$K$528,8),'Calc (scoring engine)'!$K$5:$K$528,0)))),""))</f>
        <v/>
      </c>
      <c r="BJ28" s="43">
        <f>IF(OR(8&gt;MAX(3,MIN(15,N($D$18))),IFERROR(LARGE('Calc (scoring engine)'!$K$5:$K$528,8),-999999)&lt;=-900000),"",IFERROR(IF(INDEX(Database!$BM$5:$BM$528,MATCH(LARGE('Calc (scoring engine)'!$K$5:$K$528,8),'Calc (scoring engine)'!$K$5:$K$528,0))="","—",INDEX(Database!$BM$5:$BM$528,MATCH(LARGE('Calc (scoring engine)'!$K$5:$K$528,8),'Calc (scoring engine)'!$K$5:$K$528,0))),""))</f>
        <v/>
      </c>
      <c r="BK28" s="43">
        <f>IF(OR(8&gt;MAX(3,MIN(15,N($D$18))),IFERROR(LARGE('Calc (scoring engine)'!$K$5:$K$528,8),-999999)&lt;=-900000),"",IFERROR(IF(INDEX(Database!$BN$5:$BN$528,MATCH(LARGE('Calc (scoring engine)'!$K$5:$K$528,8),'Calc (scoring engine)'!$K$5:$K$528,0))="","—",INDEX(Database!$BN$5:$BN$528,MATCH(LARGE('Calc (scoring engine)'!$K$5:$K$528,8),'Calc (scoring engine)'!$K$5:$K$528,0))),""))</f>
        <v/>
      </c>
      <c r="BL28" s="57">
        <f>IF(OR(8&gt;MAX(3,MIN(15,N($D$18))),IFERROR(LARGE('Calc (scoring engine)'!$K$5:$K$528,8),-999999)&lt;=-900000),"",IFERROR(IF(INDEX(Database!$BO$5:$BO$528,MATCH(LARGE('Calc (scoring engine)'!$K$5:$K$528,8),'Calc (scoring engine)'!$K$5:$K$528,0))="","—",INDEX(Database!$BO$5:$BO$528,MATCH(LARGE('Calc (scoring engine)'!$K$5:$K$528,8),'Calc (scoring engine)'!$K$5:$K$528,0))),""))</f>
        <v/>
      </c>
      <c r="BM28" s="85">
        <f>IF(OR(8&gt;MAX(3,MIN(15,N($D$18))),IFERROR(LARGE('Calc (scoring engine)'!$K$5:$K$528,8),-999999)&lt;=-900000),"",IFERROR(IF(INDEX(Database!$BP$5:$BP$528,MATCH(LARGE('Calc (scoring engine)'!$K$5:$K$528,8),'Calc (scoring engine)'!$K$5:$K$528,0))="","—",INDEX(Database!$BP$5:$BP$528,MATCH(LARGE('Calc (scoring engine)'!$K$5:$K$528,8),'Calc (scoring engine)'!$K$5:$K$528,0))),""))</f>
        <v/>
      </c>
      <c r="BN28" s="89">
        <f>IF(OR(8&gt;MAX(3,MIN(15,N($D$18))),IFERROR(LARGE('Calc (scoring engine)'!$K$5:$K$528,8),-999999)&lt;=-900000),"",IFERROR(IF(INDEX(Database!$BQ$5:$BQ$528,MATCH(LARGE('Calc (scoring engine)'!$K$5:$K$528,8),'Calc (scoring engine)'!$K$5:$K$528,0))="","—",INDEX(Database!$BQ$5:$BQ$528,MATCH(LARGE('Calc (scoring engine)'!$K$5:$K$528,8),'Calc (scoring engine)'!$K$5:$K$528,0))),""))</f>
        <v/>
      </c>
      <c r="BO28" s="53">
        <f>IF(OR(8&gt;MAX(3,MIN(15,N($D$18))),IFERROR(LARGE('Calc (scoring engine)'!$K$5:$K$528,8),-999999)&lt;=-900000),"",IFERROR(IF(INDEX(Database!$BR$5:$BR$528,MATCH(LARGE('Calc (scoring engine)'!$K$5:$K$528,8),'Calc (scoring engine)'!$K$5:$K$528,0))="","—",INDEX(Database!$BR$5:$BR$528,MATCH(LARGE('Calc (scoring engine)'!$K$5:$K$528,8),'Calc (scoring engine)'!$K$5:$K$528,0))),""))</f>
        <v/>
      </c>
      <c r="BP28" s="58">
        <f>IF(OR(8&gt;MAX(3,MIN(15,N($D$18))),IFERROR(LARGE('Calc (scoring engine)'!$K$5:$K$528,8),-999999)&lt;=-900000),"",IFERROR(IF(INDEX(Database!$BS$5:$BS$528,MATCH(LARGE('Calc (scoring engine)'!$K$5:$K$528,8),'Calc (scoring engine)'!$K$5:$K$528,0))="","—",INDEX(Database!$BS$5:$BS$528,MATCH(LARGE('Calc (scoring engine)'!$K$5:$K$528,8),'Calc (scoring engine)'!$K$5:$K$528,0))),""))</f>
        <v/>
      </c>
      <c r="BQ28" s="58">
        <f>IF(OR(8&gt;MAX(3,MIN(15,N($D$18))),IFERROR(LARGE('Calc (scoring engine)'!$K$5:$K$528,8),-999999)&lt;=-900000),"",IFERROR(IF(INDEX(Database!$BT$5:$BT$528,MATCH(LARGE('Calc (scoring engine)'!$K$5:$K$528,8),'Calc (scoring engine)'!$K$5:$K$528,0))="","—",INDEX(Database!$BT$5:$BT$528,MATCH(LARGE('Calc (scoring engine)'!$K$5:$K$528,8),'Calc (scoring engine)'!$K$5:$K$528,0))),""))</f>
        <v/>
      </c>
      <c r="BR28" s="43">
        <f>IF(OR(8&gt;MAX(3,MIN(15,N($D$18))),IFERROR(LARGE('Calc (scoring engine)'!$K$5:$K$528,8),-999999)&lt;=-900000),"",IFERROR(IF(INDEX(Database!$BU$5:$BU$528,MATCH(LARGE('Calc (scoring engine)'!$K$5:$K$528,8),'Calc (scoring engine)'!$K$5:$K$528,0))="","—",INDEX(Database!$BU$5:$BU$528,MATCH(LARGE('Calc (scoring engine)'!$K$5:$K$528,8),'Calc (scoring engine)'!$K$5:$K$528,0))),""))</f>
        <v/>
      </c>
      <c r="BS28" s="43">
        <f>IF(OR(8&gt;MAX(3,MIN(15,N($D$18))),IFERROR(LARGE('Calc (scoring engine)'!$K$5:$K$528,8),-999999)&lt;=-900000),"",IFERROR(IF(INDEX(Database!$BW$5:$BW$528,MATCH(LARGE('Calc (scoring engine)'!$K$5:$K$528,8),'Calc (scoring engine)'!$K$5:$K$528,0))="","—",INDEX(Database!$BW$5:$BW$528,MATCH(LARGE('Calc (scoring engine)'!$K$5:$K$528,8),'Calc (scoring engine)'!$K$5:$K$528,0))),""))</f>
        <v/>
      </c>
      <c r="BT28" s="88">
        <f>IF(OR(8&gt;MAX(3,MIN(15,N($D$18))),IFERROR(LARGE('Calc (scoring engine)'!$K$5:$K$528,8),-999999)&lt;=-900000),"",IFERROR(IF(INDEX('Calc (scoring engine)'!$H$5:$H$528,MATCH(LARGE('Calc (scoring engine)'!$K$5:$K$528,8),'Calc (scoring engine)'!$K$5:$K$528,0))&gt;0,INDEX('Calc (scoring engine)'!$H$5:$H$528,MATCH(LARGE('Calc (scoring engine)'!$K$5:$K$528,8),'Calc (scoring engine)'!$K$5:$K$528,0)),""),""))</f>
        <v/>
      </c>
      <c r="BU28" s="43">
        <f>IF(OR(8&gt;MAX(3,MIN(15,N($D$18))),IFERROR(LARGE('Calc (scoring engine)'!$K$5:$K$528,8),-999999)&lt;=-900000),"",IF(IFERROR(INDEX('Calc (scoring engine)'!$B$5:$B$528,MATCH(LARGE('Calc (scoring engine)'!$K$5:$K$528,8),'Calc (scoring engine)'!$K$5:$K$528,0)),0)=1,"same subsector","sector only"))</f>
        <v/>
      </c>
      <c r="BV28" s="88">
        <f>IF(OR(8&gt;MAX(3,MIN(15,N($D$18))),IFERROR(LARGE('Calc (scoring engine)'!$K$5:$K$528,8),-999999)&lt;=-900000),"",ROUND(IFERROR(LARGE('Calc (scoring engine)'!$K$5:$K$528,8),0),0))</f>
        <v/>
      </c>
      <c r="BW28" s="43">
        <f>IF(OR(8&gt;MAX(3,MIN(15,N($D$18))),IFERROR(LARGE('Calc (scoring engine)'!$K$5:$K$528,8),-999999)&lt;=-900000),"",IFERROR("sub "&amp;INDEX('Calc (scoring engine)'!$B$5:$B$528,MATCH(LARGE('Calc (scoring engine)'!$K$5:$K$528,8),'Calc (scoring engine)'!$K$5:$K$528,0))*W_SUB&amp;" + size "&amp;ROUND(INDEX('Calc (scoring engine)'!$D$5:$D$528,MATCH(LARGE('Calc (scoring engine)'!$K$5:$K$528,8),'Calc (scoring engine)'!$K$5:$K$528,0))*W_SIZE,0)&amp;" + prof "&amp;INDEX('Calc (scoring engine)'!$E$5:$E$528,MATCH(LARGE('Calc (scoring engine)'!$K$5:$K$528,8),'Calc (scoring engine)'!$K$5:$K$528,0))*W_PROF&amp;" + recency "&amp;ROUND(INDEX('Calc (scoring engine)'!$G$5:$G$528,MATCH(LARGE('Calc (scoring engine)'!$K$5:$K$528,8),'Calc (scoring engine)'!$K$5:$K$528,0))*W_REC,0)&amp;IF(INDEX('Calc (scoring engine)'!$H$5:$H$528,MATCH(LARGE('Calc (scoring engine)'!$K$5:$K$528,8),'Calc (scoring engine)'!$K$5:$K$528,0))&gt;0," + shared CS x"&amp;INDEX('Calc (scoring engine)'!$H$5:$H$528,MATCH(LARGE('Calc (scoring engine)'!$K$5:$K$528,8),'Calc (scoring engine)'!$K$5:$K$528,0)),""),""))</f>
        <v/>
      </c>
    </row>
    <row r="29">
      <c r="A29" s="83">
        <f>IF(OR(9&gt;MAX(3,MIN(15,N($D$18))),IFERROR(LARGE('Calc (scoring engine)'!$K$5:$K$528,9),-999999)&lt;=-900000),"",9)</f>
        <v/>
      </c>
      <c r="B29" s="43">
        <f>IF(OR(9&gt;MAX(3,MIN(15,N($D$18))),IFERROR(LARGE('Calc (scoring engine)'!$K$5:$K$528,9),-999999)&lt;=-900000),"",IFERROR(IF(INDEX(Database!$B$5:$B$528,MATCH(LARGE('Calc (scoring engine)'!$K$5:$K$528,9),'Calc (scoring engine)'!$K$5:$K$528,0))="","—",INDEX(Database!$B$5:$B$528,MATCH(LARGE('Calc (scoring engine)'!$K$5:$K$528,9),'Calc (scoring engine)'!$K$5:$K$528,0))),""))</f>
        <v/>
      </c>
      <c r="C29" s="84">
        <f>IF(OR(9&gt;MAX(3,MIN(15,N($D$18))),IFERROR(LARGE('Calc (scoring engine)'!$K$5:$K$528,9),-999999)&lt;=-900000),"",IFERROR(IF(INDEX(Database!$A$5:$A$528,MATCH(LARGE('Calc (scoring engine)'!$K$5:$K$528,9),'Calc (scoring engine)'!$K$5:$K$528,0))="","—",INDEX(Database!$A$5:$A$528,MATCH(LARGE('Calc (scoring engine)'!$K$5:$K$528,9),'Calc (scoring engine)'!$K$5:$K$528,0))),""))</f>
        <v/>
      </c>
      <c r="D29" s="43">
        <f>IF(OR(9&gt;MAX(3,MIN(15,N($D$18))),IFERROR(LARGE('Calc (scoring engine)'!$K$5:$K$528,9),-999999)&lt;=-900000),"",IFERROR(IF(INDEX(Database!$D$5:$D$528,MATCH(LARGE('Calc (scoring engine)'!$K$5:$K$528,9),'Calc (scoring engine)'!$K$5:$K$528,0))="","—",INDEX(Database!$D$5:$D$528,MATCH(LARGE('Calc (scoring engine)'!$K$5:$K$528,9),'Calc (scoring engine)'!$K$5:$K$528,0))),""))</f>
        <v/>
      </c>
      <c r="E29" s="43">
        <f>IF(OR(9&gt;MAX(3,MIN(15,N($D$18))),IFERROR(LARGE('Calc (scoring engine)'!$K$5:$K$528,9),-999999)&lt;=-900000),"",IFERROR(IF(INDEX(Database!$E$5:$E$528,MATCH(LARGE('Calc (scoring engine)'!$K$5:$K$528,9),'Calc (scoring engine)'!$K$5:$K$528,0))="","—",INDEX(Database!$E$5:$E$528,MATCH(LARGE('Calc (scoring engine)'!$K$5:$K$528,9),'Calc (scoring engine)'!$K$5:$K$528,0))),""))</f>
        <v/>
      </c>
      <c r="F29" s="43">
        <f>IF(OR(9&gt;MAX(3,MIN(15,N($D$18))),IFERROR(LARGE('Calc (scoring engine)'!$K$5:$K$528,9),-999999)&lt;=-900000),"",IFERROR(IF(INDEX(Database!$F$5:$F$528,MATCH(LARGE('Calc (scoring engine)'!$K$5:$K$528,9),'Calc (scoring engine)'!$K$5:$K$528,0))="","—",INDEX(Database!$F$5:$F$528,MATCH(LARGE('Calc (scoring engine)'!$K$5:$K$528,9),'Calc (scoring engine)'!$K$5:$K$528,0))),""))</f>
        <v/>
      </c>
      <c r="G29" s="43">
        <f>IF(OR(9&gt;MAX(3,MIN(15,N($D$18))),IFERROR(LARGE('Calc (scoring engine)'!$K$5:$K$528,9),-999999)&lt;=-900000),"",IFERROR(IF(INDEX(Database!$G$5:$G$528,MATCH(LARGE('Calc (scoring engine)'!$K$5:$K$528,9),'Calc (scoring engine)'!$K$5:$K$528,0))="","—",INDEX(Database!$G$5:$G$528,MATCH(LARGE('Calc (scoring engine)'!$K$5:$K$528,9),'Calc (scoring engine)'!$K$5:$K$528,0))),""))</f>
        <v/>
      </c>
      <c r="H29" s="55">
        <f>IF(OR(9&gt;MAX(3,MIN(15,N($D$18))),IFERROR(LARGE('Calc (scoring engine)'!$K$5:$K$528,9),-999999)&lt;=-900000),"",IFERROR(IF(INDEX(Database!$H$5:$H$528,MATCH(LARGE('Calc (scoring engine)'!$K$5:$K$528,9),'Calc (scoring engine)'!$K$5:$K$528,0))="","—",INDEX(Database!$H$5:$H$528,MATCH(LARGE('Calc (scoring engine)'!$K$5:$K$528,9),'Calc (scoring engine)'!$K$5:$K$528,0))),""))</f>
        <v/>
      </c>
      <c r="I29" s="53">
        <f>IF(OR(9&gt;MAX(3,MIN(15,N($D$18))),IFERROR(LARGE('Calc (scoring engine)'!$K$5:$K$528,9),-999999)&lt;=-900000),"",IFERROR(IF(INDEX(Database!$I$5:$I$528,MATCH(LARGE('Calc (scoring engine)'!$K$5:$K$528,9),'Calc (scoring engine)'!$K$5:$K$528,0))="","—",INDEX(Database!$I$5:$I$528,MATCH(LARGE('Calc (scoring engine)'!$K$5:$K$528,9),'Calc (scoring engine)'!$K$5:$K$528,0))),""))</f>
        <v/>
      </c>
      <c r="J29" s="85">
        <f>IF(OR(9&gt;MAX(3,MIN(15,N($D$18))),IFERROR(LARGE('Calc (scoring engine)'!$K$5:$K$528,9),-999999)&lt;=-900000),"",IFERROR(IF(INDEX(Database!$K$5:$K$528,MATCH(LARGE('Calc (scoring engine)'!$K$5:$K$528,9),'Calc (scoring engine)'!$K$5:$K$528,0))="","—",INDEX(Database!$K$5:$K$528,MATCH(LARGE('Calc (scoring engine)'!$K$5:$K$528,9),'Calc (scoring engine)'!$K$5:$K$528,0))),""))</f>
        <v/>
      </c>
      <c r="K29" s="85">
        <f>IF(OR(9&gt;MAX(3,MIN(15,N($D$18))),IFERROR(LARGE('Calc (scoring engine)'!$K$5:$K$528,9),-999999)&lt;=-900000),"",IFERROR(IF(INDEX(Database!$L$5:$L$528,MATCH(LARGE('Calc (scoring engine)'!$K$5:$K$528,9),'Calc (scoring engine)'!$K$5:$K$528,0))="","—",INDEX(Database!$L$5:$L$528,MATCH(LARGE('Calc (scoring engine)'!$K$5:$K$528,9),'Calc (scoring engine)'!$K$5:$K$528,0))),""))</f>
        <v/>
      </c>
      <c r="L29" s="85">
        <f>IF(OR(9&gt;MAX(3,MIN(15,N($D$18))),IFERROR(LARGE('Calc (scoring engine)'!$K$5:$K$528,9),-999999)&lt;=-900000),"",IFERROR(IF(INDEX(Database!$M$5:$M$528,MATCH(LARGE('Calc (scoring engine)'!$K$5:$K$528,9),'Calc (scoring engine)'!$K$5:$K$528,0))="","—",INDEX(Database!$M$5:$M$528,MATCH(LARGE('Calc (scoring engine)'!$K$5:$K$528,9),'Calc (scoring engine)'!$K$5:$K$528,0))),""))</f>
        <v/>
      </c>
      <c r="M29" s="43">
        <f>IF(OR(9&gt;MAX(3,MIN(15,N($D$18))),IFERROR(LARGE('Calc (scoring engine)'!$K$5:$K$528,9),-999999)&lt;=-900000),"",IFERROR(IF(INDEX(Database!$N$5:$N$528,MATCH(LARGE('Calc (scoring engine)'!$K$5:$K$528,9),'Calc (scoring engine)'!$K$5:$K$528,0))="","—",INDEX(Database!$N$5:$N$528,MATCH(LARGE('Calc (scoring engine)'!$K$5:$K$528,9),'Calc (scoring engine)'!$K$5:$K$528,0))),""))</f>
        <v/>
      </c>
      <c r="N29" s="65">
        <f>IF(OR(9&gt;MAX(3,MIN(15,N($D$18))),IFERROR(LARGE('Calc (scoring engine)'!$K$5:$K$528,9),-999999)&lt;=-900000),"",IFERROR(IF(INDEX(Database!$O$5:$O$528,MATCH(LARGE('Calc (scoring engine)'!$K$5:$K$528,9),'Calc (scoring engine)'!$K$5:$K$528,0))="","—",INDEX(Database!$O$5:$O$528,MATCH(LARGE('Calc (scoring engine)'!$K$5:$K$528,9),'Calc (scoring engine)'!$K$5:$K$528,0))),""))</f>
        <v/>
      </c>
      <c r="O29" s="65">
        <f>IF(OR(9&gt;MAX(3,MIN(15,N($D$18))),IFERROR(LARGE('Calc (scoring engine)'!$K$5:$K$528,9),-999999)&lt;=-900000),"",IFERROR(IF(INDEX(Database!$P$5:$P$528,MATCH(LARGE('Calc (scoring engine)'!$K$5:$K$528,9),'Calc (scoring engine)'!$K$5:$K$528,0))="","—",INDEX(Database!$P$5:$P$528,MATCH(LARGE('Calc (scoring engine)'!$K$5:$K$528,9),'Calc (scoring engine)'!$K$5:$K$528,0))),""))</f>
        <v/>
      </c>
      <c r="P29" s="53">
        <f>IF(OR(9&gt;MAX(3,MIN(15,N($D$18))),IFERROR(LARGE('Calc (scoring engine)'!$K$5:$K$528,9),-999999)&lt;=-900000),"",IFERROR(IF(INDEX(Database!$Q$5:$Q$528,MATCH(LARGE('Calc (scoring engine)'!$K$5:$K$528,9),'Calc (scoring engine)'!$K$5:$K$528,0))="","—",INDEX(Database!$Q$5:$Q$528,MATCH(LARGE('Calc (scoring engine)'!$K$5:$K$528,9),'Calc (scoring engine)'!$K$5:$K$528,0))),""))</f>
        <v/>
      </c>
      <c r="Q29" s="60">
        <f>IF(OR(9&gt;MAX(3,MIN(15,N($D$18))),IFERROR(LARGE('Calc (scoring engine)'!$K$5:$K$528,9),-999999)&lt;=-900000),"",IFERROR(IF(INDEX(Database!$S$5:$S$528,MATCH(LARGE('Calc (scoring engine)'!$K$5:$K$528,9),'Calc (scoring engine)'!$K$5:$K$528,0))="","—",INDEX(Database!$S$5:$S$528,MATCH(LARGE('Calc (scoring engine)'!$K$5:$K$528,9),'Calc (scoring engine)'!$K$5:$K$528,0))),""))</f>
        <v/>
      </c>
      <c r="R29" s="86">
        <f>IF(OR(9&gt;MAX(3,MIN(15,N($D$18))),IFERROR(LARGE('Calc (scoring engine)'!$K$5:$K$528,9),-999999)&lt;=-900000),"",IFERROR(IF(INDEX(Database!$T$5:$T$528,MATCH(LARGE('Calc (scoring engine)'!$K$5:$K$528,9),'Calc (scoring engine)'!$K$5:$K$528,0))="","—",INDEX(Database!$T$5:$T$528,MATCH(LARGE('Calc (scoring engine)'!$K$5:$K$528,9),'Calc (scoring engine)'!$K$5:$K$528,0))),""))</f>
        <v/>
      </c>
      <c r="S29" s="87">
        <f>IF(OR(9&gt;MAX(3,MIN(15,N($D$18))),IFERROR(LARGE('Calc (scoring engine)'!$K$5:$K$528,9),-999999)&lt;=-900000),"",IFERROR(IF(INDEX(Database!$U$5:$U$528,MATCH(LARGE('Calc (scoring engine)'!$K$5:$K$528,9),'Calc (scoring engine)'!$K$5:$K$528,0))="","—",INDEX(Database!$U$5:$U$528,MATCH(LARGE('Calc (scoring engine)'!$K$5:$K$528,9),'Calc (scoring engine)'!$K$5:$K$528,0))),""))</f>
        <v/>
      </c>
      <c r="T29" s="88">
        <f>IF(OR(9&gt;MAX(3,MIN(15,N($D$18))),IFERROR(LARGE('Calc (scoring engine)'!$K$5:$K$528,9),-999999)&lt;=-900000),"",IFERROR(IF(INDEX(Database!$V$5:$V$528,MATCH(LARGE('Calc (scoring engine)'!$K$5:$K$528,9),'Calc (scoring engine)'!$K$5:$K$528,0))="","—",INDEX(Database!$V$5:$V$528,MATCH(LARGE('Calc (scoring engine)'!$K$5:$K$528,9),'Calc (scoring engine)'!$K$5:$K$528,0))),""))</f>
        <v/>
      </c>
      <c r="U29" s="65">
        <f>IF(OR(9&gt;MAX(3,MIN(15,N($D$18))),IFERROR(LARGE('Calc (scoring engine)'!$K$5:$K$528,9),-999999)&lt;=-900000),"",IFERROR(IF(INDEX(Database!$W$5:$W$528,MATCH(LARGE('Calc (scoring engine)'!$K$5:$K$528,9),'Calc (scoring engine)'!$K$5:$K$528,0))="","—",INDEX(Database!$W$5:$W$528,MATCH(LARGE('Calc (scoring engine)'!$K$5:$K$528,9),'Calc (scoring engine)'!$K$5:$K$528,0))),""))</f>
        <v/>
      </c>
      <c r="V29" s="43">
        <f>IF(OR(9&gt;MAX(3,MIN(15,N($D$18))),IFERROR(LARGE('Calc (scoring engine)'!$K$5:$K$528,9),-999999)&lt;=-900000),"",IFERROR(IF(INDEX(Database!$X$5:$X$528,MATCH(LARGE('Calc (scoring engine)'!$K$5:$K$528,9),'Calc (scoring engine)'!$K$5:$K$528,0))="","—",INDEX(Database!$X$5:$X$528,MATCH(LARGE('Calc (scoring engine)'!$K$5:$K$528,9),'Calc (scoring engine)'!$K$5:$K$528,0))),""))</f>
        <v/>
      </c>
      <c r="W29" s="53">
        <f>IF(OR(9&gt;MAX(3,MIN(15,N($D$18))),IFERROR(LARGE('Calc (scoring engine)'!$K$5:$K$528,9),-999999)&lt;=-900000),"",IFERROR(IF(INDEX(Database!$Y$5:$Y$528,MATCH(LARGE('Calc (scoring engine)'!$K$5:$K$528,9),'Calc (scoring engine)'!$K$5:$K$528,0))="","—",INDEX(Database!$Y$5:$Y$528,MATCH(LARGE('Calc (scoring engine)'!$K$5:$K$528,9),'Calc (scoring engine)'!$K$5:$K$528,0))),""))</f>
        <v/>
      </c>
      <c r="X29" s="53">
        <f>IF(OR(9&gt;MAX(3,MIN(15,N($D$18))),IFERROR(LARGE('Calc (scoring engine)'!$K$5:$K$528,9),-999999)&lt;=-900000),"",IFERROR(IF(INDEX(Database!$Z$5:$Z$528,MATCH(LARGE('Calc (scoring engine)'!$K$5:$K$528,9),'Calc (scoring engine)'!$K$5:$K$528,0))="","—",INDEX(Database!$Z$5:$Z$528,MATCH(LARGE('Calc (scoring engine)'!$K$5:$K$528,9),'Calc (scoring engine)'!$K$5:$K$528,0))),""))</f>
        <v/>
      </c>
      <c r="Y29" s="65">
        <f>IF(OR(9&gt;MAX(3,MIN(15,N($D$18))),IFERROR(LARGE('Calc (scoring engine)'!$K$5:$K$528,9),-999999)&lt;=-900000),"",IFERROR(IF(INDEX(Database!$AA$5:$AA$528,MATCH(LARGE('Calc (scoring engine)'!$K$5:$K$528,9),'Calc (scoring engine)'!$K$5:$K$528,0))="","—",INDEX(Database!$AA$5:$AA$528,MATCH(LARGE('Calc (scoring engine)'!$K$5:$K$528,9),'Calc (scoring engine)'!$K$5:$K$528,0))),""))</f>
        <v/>
      </c>
      <c r="Z29" s="43">
        <f>IF(OR(9&gt;MAX(3,MIN(15,N($D$18))),IFERROR(LARGE('Calc (scoring engine)'!$K$5:$K$528,9),-999999)&lt;=-900000),"",IFERROR(IF(INDEX(Database!$AB$5:$AB$528,MATCH(LARGE('Calc (scoring engine)'!$K$5:$K$528,9),'Calc (scoring engine)'!$K$5:$K$528,0))="","—",INDEX(Database!$AB$5:$AB$528,MATCH(LARGE('Calc (scoring engine)'!$K$5:$K$528,9),'Calc (scoring engine)'!$K$5:$K$528,0))),""))</f>
        <v/>
      </c>
      <c r="AA29" s="65">
        <f>IF(OR(9&gt;MAX(3,MIN(15,N($D$18))),IFERROR(LARGE('Calc (scoring engine)'!$K$5:$K$528,9),-999999)&lt;=-900000),"",IFERROR(IF(INDEX(Database!$AD$5:$AD$528,MATCH(LARGE('Calc (scoring engine)'!$K$5:$K$528,9),'Calc (scoring engine)'!$K$5:$K$528,0))="","—",INDEX(Database!$AD$5:$AD$528,MATCH(LARGE('Calc (scoring engine)'!$K$5:$K$528,9),'Calc (scoring engine)'!$K$5:$K$528,0))),""))</f>
        <v/>
      </c>
      <c r="AB29" s="43">
        <f>IF(OR(9&gt;MAX(3,MIN(15,N($D$18))),IFERROR(LARGE('Calc (scoring engine)'!$K$5:$K$528,9),-999999)&lt;=-900000),"",IFERROR(IF(INDEX(Database!$AE$5:$AE$528,MATCH(LARGE('Calc (scoring engine)'!$K$5:$K$528,9),'Calc (scoring engine)'!$K$5:$K$528,0))="","—",INDEX(Database!$AE$5:$AE$528,MATCH(LARGE('Calc (scoring engine)'!$K$5:$K$528,9),'Calc (scoring engine)'!$K$5:$K$528,0))),""))</f>
        <v/>
      </c>
      <c r="AC29" s="43">
        <f>IF(OR(9&gt;MAX(3,MIN(15,N($D$18))),IFERROR(LARGE('Calc (scoring engine)'!$K$5:$K$528,9),-999999)&lt;=-900000),"",IFERROR(IF(INDEX(Database!$AF$5:$AF$528,MATCH(LARGE('Calc (scoring engine)'!$K$5:$K$528,9),'Calc (scoring engine)'!$K$5:$K$528,0))="","—",INDEX(Database!$AF$5:$AF$528,MATCH(LARGE('Calc (scoring engine)'!$K$5:$K$528,9),'Calc (scoring engine)'!$K$5:$K$528,0))),""))</f>
        <v/>
      </c>
      <c r="AD29" s="43">
        <f>IF(OR(9&gt;MAX(3,MIN(15,N($D$18))),IFERROR(LARGE('Calc (scoring engine)'!$K$5:$K$528,9),-999999)&lt;=-900000),"",IFERROR(IF(INDEX(Database!$AG$5:$AG$528,MATCH(LARGE('Calc (scoring engine)'!$K$5:$K$528,9),'Calc (scoring engine)'!$K$5:$K$528,0))="","—",INDEX(Database!$AG$5:$AG$528,MATCH(LARGE('Calc (scoring engine)'!$K$5:$K$528,9),'Calc (scoring engine)'!$K$5:$K$528,0))),""))</f>
        <v/>
      </c>
      <c r="AE29" s="43">
        <f>IF(OR(9&gt;MAX(3,MIN(15,N($D$18))),IFERROR(LARGE('Calc (scoring engine)'!$K$5:$K$528,9),-999999)&lt;=-900000),"",IFERROR(IF(INDEX(Database!$AH$5:$AH$528,MATCH(LARGE('Calc (scoring engine)'!$K$5:$K$528,9),'Calc (scoring engine)'!$K$5:$K$528,0))="","—",INDEX(Database!$AH$5:$AH$528,MATCH(LARGE('Calc (scoring engine)'!$K$5:$K$528,9),'Calc (scoring engine)'!$K$5:$K$528,0))),""))</f>
        <v/>
      </c>
      <c r="AF29" s="57">
        <f>IF(OR(9&gt;MAX(3,MIN(15,N($D$18))),IFERROR(LARGE('Calc (scoring engine)'!$K$5:$K$528,9),-999999)&lt;=-900000),"",IFERROR(IF(INDEX(Database!$AI$5:$AI$528,MATCH(LARGE('Calc (scoring engine)'!$K$5:$K$528,9),'Calc (scoring engine)'!$K$5:$K$528,0))="","—",INDEX(Database!$AI$5:$AI$528,MATCH(LARGE('Calc (scoring engine)'!$K$5:$K$528,9),'Calc (scoring engine)'!$K$5:$K$528,0))),""))</f>
        <v/>
      </c>
      <c r="AG29" s="57">
        <f>IF(OR(9&gt;MAX(3,MIN(15,N($D$18))),IFERROR(LARGE('Calc (scoring engine)'!$K$5:$K$528,9),-999999)&lt;=-900000),"",IFERROR(IF(INDEX(Database!$AJ$5:$AJ$528,MATCH(LARGE('Calc (scoring engine)'!$K$5:$K$528,9),'Calc (scoring engine)'!$K$5:$K$528,0))="","—",INDEX(Database!$AJ$5:$AJ$528,MATCH(LARGE('Calc (scoring engine)'!$K$5:$K$528,9),'Calc (scoring engine)'!$K$5:$K$528,0))),""))</f>
        <v/>
      </c>
      <c r="AH29" s="57">
        <f>IF(OR(9&gt;MAX(3,MIN(15,N($D$18))),IFERROR(LARGE('Calc (scoring engine)'!$K$5:$K$528,9),-999999)&lt;=-900000),"",IFERROR(IF(INDEX(Database!$AK$5:$AK$528,MATCH(LARGE('Calc (scoring engine)'!$K$5:$K$528,9),'Calc (scoring engine)'!$K$5:$K$528,0))="","—",INDEX(Database!$AK$5:$AK$528,MATCH(LARGE('Calc (scoring engine)'!$K$5:$K$528,9),'Calc (scoring engine)'!$K$5:$K$528,0))),""))</f>
        <v/>
      </c>
      <c r="AI29" s="57">
        <f>IF(OR(9&gt;MAX(3,MIN(15,N($D$18))),IFERROR(LARGE('Calc (scoring engine)'!$K$5:$K$528,9),-999999)&lt;=-900000),"",IFERROR(IF(INDEX(Database!$AL$5:$AL$528,MATCH(LARGE('Calc (scoring engine)'!$K$5:$K$528,9),'Calc (scoring engine)'!$K$5:$K$528,0))="","—",INDEX(Database!$AL$5:$AL$528,MATCH(LARGE('Calc (scoring engine)'!$K$5:$K$528,9),'Calc (scoring engine)'!$K$5:$K$528,0))),""))</f>
        <v/>
      </c>
      <c r="AJ29" s="57">
        <f>IF(OR(9&gt;MAX(3,MIN(15,N($D$18))),IFERROR(LARGE('Calc (scoring engine)'!$K$5:$K$528,9),-999999)&lt;=-900000),"",IFERROR(IF(INDEX(Database!$AM$5:$AM$528,MATCH(LARGE('Calc (scoring engine)'!$K$5:$K$528,9),'Calc (scoring engine)'!$K$5:$K$528,0))="","—",INDEX(Database!$AM$5:$AM$528,MATCH(LARGE('Calc (scoring engine)'!$K$5:$K$528,9),'Calc (scoring engine)'!$K$5:$K$528,0))),""))</f>
        <v/>
      </c>
      <c r="AK29" s="58">
        <f>IF(OR(9&gt;MAX(3,MIN(15,N($D$18))),IFERROR(LARGE('Calc (scoring engine)'!$K$5:$K$528,9),-999999)&lt;=-900000),"",IFERROR(IF(INDEX(Database!$AN$5:$AN$528,MATCH(LARGE('Calc (scoring engine)'!$K$5:$K$528,9),'Calc (scoring engine)'!$K$5:$K$528,0))="","—",INDEX(Database!$AN$5:$AN$528,MATCH(LARGE('Calc (scoring engine)'!$K$5:$K$528,9),'Calc (scoring engine)'!$K$5:$K$528,0))),""))</f>
        <v/>
      </c>
      <c r="AL29" s="65">
        <f>IF(OR(9&gt;MAX(3,MIN(15,N($D$18))),IFERROR(LARGE('Calc (scoring engine)'!$K$5:$K$528,9),-999999)&lt;=-900000),"",IFERROR(IF(INDEX(Database!$AO$5:$AO$528,MATCH(LARGE('Calc (scoring engine)'!$K$5:$K$528,9),'Calc (scoring engine)'!$K$5:$K$528,0))="","—",INDEX(Database!$AO$5:$AO$528,MATCH(LARGE('Calc (scoring engine)'!$K$5:$K$528,9),'Calc (scoring engine)'!$K$5:$K$528,0))),""))</f>
        <v/>
      </c>
      <c r="AM29" s="57">
        <f>IF(OR(9&gt;MAX(3,MIN(15,N($D$18))),IFERROR(LARGE('Calc (scoring engine)'!$K$5:$K$528,9),-999999)&lt;=-900000),"",IFERROR(IF(INDEX(Database!$AP$5:$AP$528,MATCH(LARGE('Calc (scoring engine)'!$K$5:$K$528,9),'Calc (scoring engine)'!$K$5:$K$528,0))="","—",INDEX(Database!$AP$5:$AP$528,MATCH(LARGE('Calc (scoring engine)'!$K$5:$K$528,9),'Calc (scoring engine)'!$K$5:$K$528,0))),""))</f>
        <v/>
      </c>
      <c r="AN29" s="57">
        <f>IF(OR(9&gt;MAX(3,MIN(15,N($D$18))),IFERROR(LARGE('Calc (scoring engine)'!$K$5:$K$528,9),-999999)&lt;=-900000),"",IFERROR(IF(INDEX(Database!$AQ$5:$AQ$528,MATCH(LARGE('Calc (scoring engine)'!$K$5:$K$528,9),'Calc (scoring engine)'!$K$5:$K$528,0))="","—",INDEX(Database!$AQ$5:$AQ$528,MATCH(LARGE('Calc (scoring engine)'!$K$5:$K$528,9),'Calc (scoring engine)'!$K$5:$K$528,0))),""))</f>
        <v/>
      </c>
      <c r="AO29" s="57">
        <f>IF(OR(9&gt;MAX(3,MIN(15,N($D$18))),IFERROR(LARGE('Calc (scoring engine)'!$K$5:$K$528,9),-999999)&lt;=-900000),"",IFERROR(IF(INDEX(Database!$AR$5:$AR$528,MATCH(LARGE('Calc (scoring engine)'!$K$5:$K$528,9),'Calc (scoring engine)'!$K$5:$K$528,0))="","—",INDEX(Database!$AR$5:$AR$528,MATCH(LARGE('Calc (scoring engine)'!$K$5:$K$528,9),'Calc (scoring engine)'!$K$5:$K$528,0))),""))</f>
        <v/>
      </c>
      <c r="AP29" s="57">
        <f>IF(OR(9&gt;MAX(3,MIN(15,N($D$18))),IFERROR(LARGE('Calc (scoring engine)'!$K$5:$K$528,9),-999999)&lt;=-900000),"",IFERROR(IF(INDEX(Database!$AS$5:$AS$528,MATCH(LARGE('Calc (scoring engine)'!$K$5:$K$528,9),'Calc (scoring engine)'!$K$5:$K$528,0))="","—",INDEX(Database!$AS$5:$AS$528,MATCH(LARGE('Calc (scoring engine)'!$K$5:$K$528,9),'Calc (scoring engine)'!$K$5:$K$528,0))),""))</f>
        <v/>
      </c>
      <c r="AQ29" s="57">
        <f>IF(OR(9&gt;MAX(3,MIN(15,N($D$18))),IFERROR(LARGE('Calc (scoring engine)'!$K$5:$K$528,9),-999999)&lt;=-900000),"",IFERROR(IF(INDEX(Database!$AT$5:$AT$528,MATCH(LARGE('Calc (scoring engine)'!$K$5:$K$528,9),'Calc (scoring engine)'!$K$5:$K$528,0))="","—",INDEX(Database!$AT$5:$AT$528,MATCH(LARGE('Calc (scoring engine)'!$K$5:$K$528,9),'Calc (scoring engine)'!$K$5:$K$528,0))),""))</f>
        <v/>
      </c>
      <c r="AR29" s="57">
        <f>IF(OR(9&gt;MAX(3,MIN(15,N($D$18))),IFERROR(LARGE('Calc (scoring engine)'!$K$5:$K$528,9),-999999)&lt;=-900000),"",IFERROR(IF(INDEX(Database!$AU$5:$AU$528,MATCH(LARGE('Calc (scoring engine)'!$K$5:$K$528,9),'Calc (scoring engine)'!$K$5:$K$528,0))="","—",INDEX(Database!$AU$5:$AU$528,MATCH(LARGE('Calc (scoring engine)'!$K$5:$K$528,9),'Calc (scoring engine)'!$K$5:$K$528,0))),""))</f>
        <v/>
      </c>
      <c r="AS29" s="57">
        <f>IF(OR(9&gt;MAX(3,MIN(15,N($D$18))),IFERROR(LARGE('Calc (scoring engine)'!$K$5:$K$528,9),-999999)&lt;=-900000),"",IFERROR(IF(INDEX(Database!$AV$5:$AV$528,MATCH(LARGE('Calc (scoring engine)'!$K$5:$K$528,9),'Calc (scoring engine)'!$K$5:$K$528,0))="","—",INDEX(Database!$AV$5:$AV$528,MATCH(LARGE('Calc (scoring engine)'!$K$5:$K$528,9),'Calc (scoring engine)'!$K$5:$K$528,0))),""))</f>
        <v/>
      </c>
      <c r="AT29" s="57">
        <f>IF(OR(9&gt;MAX(3,MIN(15,N($D$18))),IFERROR(LARGE('Calc (scoring engine)'!$K$5:$K$528,9),-999999)&lt;=-900000),"",IFERROR(IF(INDEX(Database!$AW$5:$AW$528,MATCH(LARGE('Calc (scoring engine)'!$K$5:$K$528,9),'Calc (scoring engine)'!$K$5:$K$528,0))="","—",INDEX(Database!$AW$5:$AW$528,MATCH(LARGE('Calc (scoring engine)'!$K$5:$K$528,9),'Calc (scoring engine)'!$K$5:$K$528,0))),""))</f>
        <v/>
      </c>
      <c r="AU29" s="57">
        <f>IF(OR(9&gt;MAX(3,MIN(15,N($D$18))),IFERROR(LARGE('Calc (scoring engine)'!$K$5:$K$528,9),-999999)&lt;=-900000),"",IFERROR(IF(INDEX(Database!$AX$5:$AX$528,MATCH(LARGE('Calc (scoring engine)'!$K$5:$K$528,9),'Calc (scoring engine)'!$K$5:$K$528,0))="","—",INDEX(Database!$AX$5:$AX$528,MATCH(LARGE('Calc (scoring engine)'!$K$5:$K$528,9),'Calc (scoring engine)'!$K$5:$K$528,0))),""))</f>
        <v/>
      </c>
      <c r="AV29" s="57">
        <f>IF(OR(9&gt;MAX(3,MIN(15,N($D$18))),IFERROR(LARGE('Calc (scoring engine)'!$K$5:$K$528,9),-999999)&lt;=-900000),"",IFERROR(IF(INDEX(Database!$AY$5:$AY$528,MATCH(LARGE('Calc (scoring engine)'!$K$5:$K$528,9),'Calc (scoring engine)'!$K$5:$K$528,0))="","—",INDEX(Database!$AY$5:$AY$528,MATCH(LARGE('Calc (scoring engine)'!$K$5:$K$528,9),'Calc (scoring engine)'!$K$5:$K$528,0))),""))</f>
        <v/>
      </c>
      <c r="AW29" s="57">
        <f>IF(OR(9&gt;MAX(3,MIN(15,N($D$18))),IFERROR(LARGE('Calc (scoring engine)'!$K$5:$K$528,9),-999999)&lt;=-900000),"",IFERROR(IF(INDEX(Database!$AZ$5:$AZ$528,MATCH(LARGE('Calc (scoring engine)'!$K$5:$K$528,9),'Calc (scoring engine)'!$K$5:$K$528,0))="","—",INDEX(Database!$AZ$5:$AZ$528,MATCH(LARGE('Calc (scoring engine)'!$K$5:$K$528,9),'Calc (scoring engine)'!$K$5:$K$528,0))),""))</f>
        <v/>
      </c>
      <c r="AX29" s="57">
        <f>IF(OR(9&gt;MAX(3,MIN(15,N($D$18))),IFERROR(LARGE('Calc (scoring engine)'!$K$5:$K$528,9),-999999)&lt;=-900000),"",IFERROR(IF(INDEX(Database!$BA$5:$BA$528,MATCH(LARGE('Calc (scoring engine)'!$K$5:$K$528,9),'Calc (scoring engine)'!$K$5:$K$528,0))="","—",INDEX(Database!$BA$5:$BA$528,MATCH(LARGE('Calc (scoring engine)'!$K$5:$K$528,9),'Calc (scoring engine)'!$K$5:$K$528,0))),""))</f>
        <v/>
      </c>
      <c r="AY29" s="57">
        <f>IF(OR(9&gt;MAX(3,MIN(15,N($D$18))),IFERROR(LARGE('Calc (scoring engine)'!$K$5:$K$528,9),-999999)&lt;=-900000),"",IFERROR(IF(INDEX(Database!$BC$5:$BC$528,MATCH(LARGE('Calc (scoring engine)'!$K$5:$K$528,9),'Calc (scoring engine)'!$K$5:$K$528,0))="","—",INDEX(Database!$BC$5:$BC$528,MATCH(LARGE('Calc (scoring engine)'!$K$5:$K$528,9),'Calc (scoring engine)'!$K$5:$K$528,0))),""))</f>
        <v/>
      </c>
      <c r="AZ29" s="53">
        <f>IF(OR(9&gt;MAX(3,MIN(15,N($D$18))),IFERROR(LARGE('Calc (scoring engine)'!$K$5:$K$528,9),-999999)&lt;=-900000),"",IFERROR(IF(INDEX(Database!$BE$5:$BE$528,MATCH(LARGE('Calc (scoring engine)'!$K$5:$K$528,9),'Calc (scoring engine)'!$K$5:$K$528,0))="","—",INDEX(Database!$BE$5:$BE$528,MATCH(LARGE('Calc (scoring engine)'!$K$5:$K$528,9),'Calc (scoring engine)'!$K$5:$K$528,0))),""))</f>
        <v/>
      </c>
      <c r="BA29" s="53">
        <f>IF(OR(9&gt;MAX(3,MIN(15,N($D$18))),IFERROR(LARGE('Calc (scoring engine)'!$K$5:$K$528,9),-999999)&lt;=-900000),"",IFERROR(IF(INDEX(Database!$BF$5:$BF$528,MATCH(LARGE('Calc (scoring engine)'!$K$5:$K$528,9),'Calc (scoring engine)'!$K$5:$K$528,0))="","—",INDEX(Database!$BF$5:$BF$528,MATCH(LARGE('Calc (scoring engine)'!$K$5:$K$528,9),'Calc (scoring engine)'!$K$5:$K$528,0))),""))</f>
        <v/>
      </c>
      <c r="BB29" s="43">
        <f>IF(OR(9&gt;MAX(3,MIN(15,N($D$18))),IFERROR(LARGE('Calc (scoring engine)'!$K$5:$K$528,9),-999999)&lt;=-900000),"",IFERROR(IF(INDEX(Database!$BG$5:$BG$528,MATCH(LARGE('Calc (scoring engine)'!$K$5:$K$528,9),'Calc (scoring engine)'!$K$5:$K$528,0))="","—",INDEX(Database!$BG$5:$BG$528,MATCH(LARGE('Calc (scoring engine)'!$K$5:$K$528,9),'Calc (scoring engine)'!$K$5:$K$528,0))),""))</f>
        <v/>
      </c>
      <c r="BC29" s="58">
        <f>IF(OR(9&gt;MAX(3,MIN(15,N($D$18))),IFERROR(LARGE('Calc (scoring engine)'!$K$5:$K$528,9),-999999)&lt;=-900000),"",IFERROR(IF(N(INDEX(Database!$BH$5:$BH$528,MATCH(LARGE('Calc (scoring engine)'!$K$5:$K$528,9),'Calc (scoring engine)'!$K$5:$K$528,0)))&lt;=0,IF(INDEX(Database!$BG$5:$BG$528,MATCH(LARGE('Calc (scoring engine)'!$K$5:$K$528,9),'Calc (scoring engine)'!$K$5:$K$528,0))="N","n/m","—"),INDEX(Database!$BH$5:$BH$528,MATCH(LARGE('Calc (scoring engine)'!$K$5:$K$528,9),'Calc (scoring engine)'!$K$5:$K$528,0))),""))</f>
        <v/>
      </c>
      <c r="BD29" s="58">
        <f>IF(OR(9&gt;MAX(3,MIN(15,N($D$18))),IFERROR(LARGE('Calc (scoring engine)'!$K$5:$K$528,9),-999999)&lt;=-900000),"",IFERROR(IF(INDEX(Database!$BI$5:$BI$528,MATCH(LARGE('Calc (scoring engine)'!$K$5:$K$528,9),'Calc (scoring engine)'!$K$5:$K$528,0))="","—",INDEX(Database!$BI$5:$BI$528,MATCH(LARGE('Calc (scoring engine)'!$K$5:$K$528,9),'Calc (scoring engine)'!$K$5:$K$528,0))),""))</f>
        <v/>
      </c>
      <c r="BE29" s="58">
        <f>IF(OR(9&gt;MAX(3,MIN(15,N($D$18))),IFERROR(LARGE('Calc (scoring engine)'!$K$5:$K$528,9),-999999)&lt;=-900000),"",IFERROR(IF(INDEX(Database!$BJ$5:$BJ$528,MATCH(LARGE('Calc (scoring engine)'!$K$5:$K$528,9),'Calc (scoring engine)'!$K$5:$K$528,0))="","—",INDEX(Database!$BJ$5:$BJ$528,MATCH(LARGE('Calc (scoring engine)'!$K$5:$K$528,9),'Calc (scoring engine)'!$K$5:$K$528,0))),""))</f>
        <v/>
      </c>
      <c r="BF29" s="58">
        <f>IF(OR(9&gt;MAX(3,MIN(15,N($D$18))),IFERROR(LARGE('Calc (scoring engine)'!$K$5:$K$528,9),-999999)&lt;=-900000),"",IFERROR(IF(INDEX(Database!$BK$5:$BK$528,MATCH(LARGE('Calc (scoring engine)'!$K$5:$K$528,9),'Calc (scoring engine)'!$K$5:$K$528,0))="","—",INDEX(Database!$BK$5:$BK$528,MATCH(LARGE('Calc (scoring engine)'!$K$5:$K$528,9),'Calc (scoring engine)'!$K$5:$K$528,0))),""))</f>
        <v/>
      </c>
      <c r="BG29" s="58">
        <f>IF(OR(9&gt;MAX(3,MIN(15,N($D$18))),IFERROR(LARGE('Calc (scoring engine)'!$K$5:$K$528,9),-999999)&lt;=-900000),"",IFERROR(IF(INDEX(Database!$BL$5:$BL$528,MATCH(LARGE('Calc (scoring engine)'!$K$5:$K$528,9),'Calc (scoring engine)'!$K$5:$K$528,0))="","—",INDEX(Database!$BL$5:$BL$528,MATCH(LARGE('Calc (scoring engine)'!$K$5:$K$528,9),'Calc (scoring engine)'!$K$5:$K$528,0))),""))</f>
        <v/>
      </c>
      <c r="BH29" s="58">
        <f>IF(OR(9&gt;MAX(3,MIN(15,N($D$18))),IFERROR(LARGE('Calc (scoring engine)'!$K$5:$K$528,9),-999999)&lt;=-900000),"",IFERROR(IFERROR(BDP(TEXT(INDEX(Database!$A$5:$A$528,MATCH(LARGE('Calc (scoring engine)'!$K$5:$K$528,9),'Calc (scoring engine)'!$K$5:$K$528,0)),"0")&amp;" HK Equity","PE_RATIO"),IF(INDEX(Database!$BJ$5:$BJ$528,MATCH(LARGE('Calc (scoring engine)'!$K$5:$K$528,9),'Calc (scoring engine)'!$K$5:$K$528,0))="","—",INDEX(Database!$BJ$5:$BJ$528,MATCH(LARGE('Calc (scoring engine)'!$K$5:$K$528,9),'Calc (scoring engine)'!$K$5:$K$528,0)))),""))</f>
        <v/>
      </c>
      <c r="BI29" s="58">
        <f>IF(OR(9&gt;MAX(3,MIN(15,N($D$18))),IFERROR(LARGE('Calc (scoring engine)'!$K$5:$K$528,9),-999999)&lt;=-900000),"",IFERROR(IFERROR(BDP(TEXT(INDEX(Database!$A$5:$A$528,MATCH(LARGE('Calc (scoring engine)'!$K$5:$K$528,9),'Calc (scoring engine)'!$K$5:$K$528,0)),"0")&amp;" HK Equity","PX_TO_SALES_RATIO"),IF(INDEX(Database!$BK$5:$BK$528,MATCH(LARGE('Calc (scoring engine)'!$K$5:$K$528,9),'Calc (scoring engine)'!$K$5:$K$528,0))="","—",INDEX(Database!$BK$5:$BK$528,MATCH(LARGE('Calc (scoring engine)'!$K$5:$K$528,9),'Calc (scoring engine)'!$K$5:$K$528,0)))),""))</f>
        <v/>
      </c>
      <c r="BJ29" s="43">
        <f>IF(OR(9&gt;MAX(3,MIN(15,N($D$18))),IFERROR(LARGE('Calc (scoring engine)'!$K$5:$K$528,9),-999999)&lt;=-900000),"",IFERROR(IF(INDEX(Database!$BM$5:$BM$528,MATCH(LARGE('Calc (scoring engine)'!$K$5:$K$528,9),'Calc (scoring engine)'!$K$5:$K$528,0))="","—",INDEX(Database!$BM$5:$BM$528,MATCH(LARGE('Calc (scoring engine)'!$K$5:$K$528,9),'Calc (scoring engine)'!$K$5:$K$528,0))),""))</f>
        <v/>
      </c>
      <c r="BK29" s="43">
        <f>IF(OR(9&gt;MAX(3,MIN(15,N($D$18))),IFERROR(LARGE('Calc (scoring engine)'!$K$5:$K$528,9),-999999)&lt;=-900000),"",IFERROR(IF(INDEX(Database!$BN$5:$BN$528,MATCH(LARGE('Calc (scoring engine)'!$K$5:$K$528,9),'Calc (scoring engine)'!$K$5:$K$528,0))="","—",INDEX(Database!$BN$5:$BN$528,MATCH(LARGE('Calc (scoring engine)'!$K$5:$K$528,9),'Calc (scoring engine)'!$K$5:$K$528,0))),""))</f>
        <v/>
      </c>
      <c r="BL29" s="57">
        <f>IF(OR(9&gt;MAX(3,MIN(15,N($D$18))),IFERROR(LARGE('Calc (scoring engine)'!$K$5:$K$528,9),-999999)&lt;=-900000),"",IFERROR(IF(INDEX(Database!$BO$5:$BO$528,MATCH(LARGE('Calc (scoring engine)'!$K$5:$K$528,9),'Calc (scoring engine)'!$K$5:$K$528,0))="","—",INDEX(Database!$BO$5:$BO$528,MATCH(LARGE('Calc (scoring engine)'!$K$5:$K$528,9),'Calc (scoring engine)'!$K$5:$K$528,0))),""))</f>
        <v/>
      </c>
      <c r="BM29" s="85">
        <f>IF(OR(9&gt;MAX(3,MIN(15,N($D$18))),IFERROR(LARGE('Calc (scoring engine)'!$K$5:$K$528,9),-999999)&lt;=-900000),"",IFERROR(IF(INDEX(Database!$BP$5:$BP$528,MATCH(LARGE('Calc (scoring engine)'!$K$5:$K$528,9),'Calc (scoring engine)'!$K$5:$K$528,0))="","—",INDEX(Database!$BP$5:$BP$528,MATCH(LARGE('Calc (scoring engine)'!$K$5:$K$528,9),'Calc (scoring engine)'!$K$5:$K$528,0))),""))</f>
        <v/>
      </c>
      <c r="BN29" s="89">
        <f>IF(OR(9&gt;MAX(3,MIN(15,N($D$18))),IFERROR(LARGE('Calc (scoring engine)'!$K$5:$K$528,9),-999999)&lt;=-900000),"",IFERROR(IF(INDEX(Database!$BQ$5:$BQ$528,MATCH(LARGE('Calc (scoring engine)'!$K$5:$K$528,9),'Calc (scoring engine)'!$K$5:$K$528,0))="","—",INDEX(Database!$BQ$5:$BQ$528,MATCH(LARGE('Calc (scoring engine)'!$K$5:$K$528,9),'Calc (scoring engine)'!$K$5:$K$528,0))),""))</f>
        <v/>
      </c>
      <c r="BO29" s="53">
        <f>IF(OR(9&gt;MAX(3,MIN(15,N($D$18))),IFERROR(LARGE('Calc (scoring engine)'!$K$5:$K$528,9),-999999)&lt;=-900000),"",IFERROR(IF(INDEX(Database!$BR$5:$BR$528,MATCH(LARGE('Calc (scoring engine)'!$K$5:$K$528,9),'Calc (scoring engine)'!$K$5:$K$528,0))="","—",INDEX(Database!$BR$5:$BR$528,MATCH(LARGE('Calc (scoring engine)'!$K$5:$K$528,9),'Calc (scoring engine)'!$K$5:$K$528,0))),""))</f>
        <v/>
      </c>
      <c r="BP29" s="58">
        <f>IF(OR(9&gt;MAX(3,MIN(15,N($D$18))),IFERROR(LARGE('Calc (scoring engine)'!$K$5:$K$528,9),-999999)&lt;=-900000),"",IFERROR(IF(INDEX(Database!$BS$5:$BS$528,MATCH(LARGE('Calc (scoring engine)'!$K$5:$K$528,9),'Calc (scoring engine)'!$K$5:$K$528,0))="","—",INDEX(Database!$BS$5:$BS$528,MATCH(LARGE('Calc (scoring engine)'!$K$5:$K$528,9),'Calc (scoring engine)'!$K$5:$K$528,0))),""))</f>
        <v/>
      </c>
      <c r="BQ29" s="58">
        <f>IF(OR(9&gt;MAX(3,MIN(15,N($D$18))),IFERROR(LARGE('Calc (scoring engine)'!$K$5:$K$528,9),-999999)&lt;=-900000),"",IFERROR(IF(INDEX(Database!$BT$5:$BT$528,MATCH(LARGE('Calc (scoring engine)'!$K$5:$K$528,9),'Calc (scoring engine)'!$K$5:$K$528,0))="","—",INDEX(Database!$BT$5:$BT$528,MATCH(LARGE('Calc (scoring engine)'!$K$5:$K$528,9),'Calc (scoring engine)'!$K$5:$K$528,0))),""))</f>
        <v/>
      </c>
      <c r="BR29" s="43">
        <f>IF(OR(9&gt;MAX(3,MIN(15,N($D$18))),IFERROR(LARGE('Calc (scoring engine)'!$K$5:$K$528,9),-999999)&lt;=-900000),"",IFERROR(IF(INDEX(Database!$BU$5:$BU$528,MATCH(LARGE('Calc (scoring engine)'!$K$5:$K$528,9),'Calc (scoring engine)'!$K$5:$K$528,0))="","—",INDEX(Database!$BU$5:$BU$528,MATCH(LARGE('Calc (scoring engine)'!$K$5:$K$528,9),'Calc (scoring engine)'!$K$5:$K$528,0))),""))</f>
        <v/>
      </c>
      <c r="BS29" s="43">
        <f>IF(OR(9&gt;MAX(3,MIN(15,N($D$18))),IFERROR(LARGE('Calc (scoring engine)'!$K$5:$K$528,9),-999999)&lt;=-900000),"",IFERROR(IF(INDEX(Database!$BW$5:$BW$528,MATCH(LARGE('Calc (scoring engine)'!$K$5:$K$528,9),'Calc (scoring engine)'!$K$5:$K$528,0))="","—",INDEX(Database!$BW$5:$BW$528,MATCH(LARGE('Calc (scoring engine)'!$K$5:$K$528,9),'Calc (scoring engine)'!$K$5:$K$528,0))),""))</f>
        <v/>
      </c>
      <c r="BT29" s="88">
        <f>IF(OR(9&gt;MAX(3,MIN(15,N($D$18))),IFERROR(LARGE('Calc (scoring engine)'!$K$5:$K$528,9),-999999)&lt;=-900000),"",IFERROR(IF(INDEX('Calc (scoring engine)'!$H$5:$H$528,MATCH(LARGE('Calc (scoring engine)'!$K$5:$K$528,9),'Calc (scoring engine)'!$K$5:$K$528,0))&gt;0,INDEX('Calc (scoring engine)'!$H$5:$H$528,MATCH(LARGE('Calc (scoring engine)'!$K$5:$K$528,9),'Calc (scoring engine)'!$K$5:$K$528,0)),""),""))</f>
        <v/>
      </c>
      <c r="BU29" s="43">
        <f>IF(OR(9&gt;MAX(3,MIN(15,N($D$18))),IFERROR(LARGE('Calc (scoring engine)'!$K$5:$K$528,9),-999999)&lt;=-900000),"",IF(IFERROR(INDEX('Calc (scoring engine)'!$B$5:$B$528,MATCH(LARGE('Calc (scoring engine)'!$K$5:$K$528,9),'Calc (scoring engine)'!$K$5:$K$528,0)),0)=1,"same subsector","sector only"))</f>
        <v/>
      </c>
      <c r="BV29" s="88">
        <f>IF(OR(9&gt;MAX(3,MIN(15,N($D$18))),IFERROR(LARGE('Calc (scoring engine)'!$K$5:$K$528,9),-999999)&lt;=-900000),"",ROUND(IFERROR(LARGE('Calc (scoring engine)'!$K$5:$K$528,9),0),0))</f>
        <v/>
      </c>
      <c r="BW29" s="43">
        <f>IF(OR(9&gt;MAX(3,MIN(15,N($D$18))),IFERROR(LARGE('Calc (scoring engine)'!$K$5:$K$528,9),-999999)&lt;=-900000),"",IFERROR("sub "&amp;INDEX('Calc (scoring engine)'!$B$5:$B$528,MATCH(LARGE('Calc (scoring engine)'!$K$5:$K$528,9),'Calc (scoring engine)'!$K$5:$K$528,0))*W_SUB&amp;" + size "&amp;ROUND(INDEX('Calc (scoring engine)'!$D$5:$D$528,MATCH(LARGE('Calc (scoring engine)'!$K$5:$K$528,9),'Calc (scoring engine)'!$K$5:$K$528,0))*W_SIZE,0)&amp;" + prof "&amp;INDEX('Calc (scoring engine)'!$E$5:$E$528,MATCH(LARGE('Calc (scoring engine)'!$K$5:$K$528,9),'Calc (scoring engine)'!$K$5:$K$528,0))*W_PROF&amp;" + recency "&amp;ROUND(INDEX('Calc (scoring engine)'!$G$5:$G$528,MATCH(LARGE('Calc (scoring engine)'!$K$5:$K$528,9),'Calc (scoring engine)'!$K$5:$K$528,0))*W_REC,0)&amp;IF(INDEX('Calc (scoring engine)'!$H$5:$H$528,MATCH(LARGE('Calc (scoring engine)'!$K$5:$K$528,9),'Calc (scoring engine)'!$K$5:$K$528,0))&gt;0," + shared CS x"&amp;INDEX('Calc (scoring engine)'!$H$5:$H$528,MATCH(LARGE('Calc (scoring engine)'!$K$5:$K$528,9),'Calc (scoring engine)'!$K$5:$K$528,0)),""),""))</f>
        <v/>
      </c>
    </row>
    <row r="30">
      <c r="A30" s="83">
        <f>IF(OR(10&gt;MAX(3,MIN(15,N($D$18))),IFERROR(LARGE('Calc (scoring engine)'!$K$5:$K$528,10),-999999)&lt;=-900000),"",10)</f>
        <v/>
      </c>
      <c r="B30" s="43">
        <f>IF(OR(10&gt;MAX(3,MIN(15,N($D$18))),IFERROR(LARGE('Calc (scoring engine)'!$K$5:$K$528,10),-999999)&lt;=-900000),"",IFERROR(IF(INDEX(Database!$B$5:$B$528,MATCH(LARGE('Calc (scoring engine)'!$K$5:$K$528,10),'Calc (scoring engine)'!$K$5:$K$528,0))="","—",INDEX(Database!$B$5:$B$528,MATCH(LARGE('Calc (scoring engine)'!$K$5:$K$528,10),'Calc (scoring engine)'!$K$5:$K$528,0))),""))</f>
        <v/>
      </c>
      <c r="C30" s="84">
        <f>IF(OR(10&gt;MAX(3,MIN(15,N($D$18))),IFERROR(LARGE('Calc (scoring engine)'!$K$5:$K$528,10),-999999)&lt;=-900000),"",IFERROR(IF(INDEX(Database!$A$5:$A$528,MATCH(LARGE('Calc (scoring engine)'!$K$5:$K$528,10),'Calc (scoring engine)'!$K$5:$K$528,0))="","—",INDEX(Database!$A$5:$A$528,MATCH(LARGE('Calc (scoring engine)'!$K$5:$K$528,10),'Calc (scoring engine)'!$K$5:$K$528,0))),""))</f>
        <v/>
      </c>
      <c r="D30" s="43">
        <f>IF(OR(10&gt;MAX(3,MIN(15,N($D$18))),IFERROR(LARGE('Calc (scoring engine)'!$K$5:$K$528,10),-999999)&lt;=-900000),"",IFERROR(IF(INDEX(Database!$D$5:$D$528,MATCH(LARGE('Calc (scoring engine)'!$K$5:$K$528,10),'Calc (scoring engine)'!$K$5:$K$528,0))="","—",INDEX(Database!$D$5:$D$528,MATCH(LARGE('Calc (scoring engine)'!$K$5:$K$528,10),'Calc (scoring engine)'!$K$5:$K$528,0))),""))</f>
        <v/>
      </c>
      <c r="E30" s="43">
        <f>IF(OR(10&gt;MAX(3,MIN(15,N($D$18))),IFERROR(LARGE('Calc (scoring engine)'!$K$5:$K$528,10),-999999)&lt;=-900000),"",IFERROR(IF(INDEX(Database!$E$5:$E$528,MATCH(LARGE('Calc (scoring engine)'!$K$5:$K$528,10),'Calc (scoring engine)'!$K$5:$K$528,0))="","—",INDEX(Database!$E$5:$E$528,MATCH(LARGE('Calc (scoring engine)'!$K$5:$K$528,10),'Calc (scoring engine)'!$K$5:$K$528,0))),""))</f>
        <v/>
      </c>
      <c r="F30" s="43">
        <f>IF(OR(10&gt;MAX(3,MIN(15,N($D$18))),IFERROR(LARGE('Calc (scoring engine)'!$K$5:$K$528,10),-999999)&lt;=-900000),"",IFERROR(IF(INDEX(Database!$F$5:$F$528,MATCH(LARGE('Calc (scoring engine)'!$K$5:$K$528,10),'Calc (scoring engine)'!$K$5:$K$528,0))="","—",INDEX(Database!$F$5:$F$528,MATCH(LARGE('Calc (scoring engine)'!$K$5:$K$528,10),'Calc (scoring engine)'!$K$5:$K$528,0))),""))</f>
        <v/>
      </c>
      <c r="G30" s="43">
        <f>IF(OR(10&gt;MAX(3,MIN(15,N($D$18))),IFERROR(LARGE('Calc (scoring engine)'!$K$5:$K$528,10),-999999)&lt;=-900000),"",IFERROR(IF(INDEX(Database!$G$5:$G$528,MATCH(LARGE('Calc (scoring engine)'!$K$5:$K$528,10),'Calc (scoring engine)'!$K$5:$K$528,0))="","—",INDEX(Database!$G$5:$G$528,MATCH(LARGE('Calc (scoring engine)'!$K$5:$K$528,10),'Calc (scoring engine)'!$K$5:$K$528,0))),""))</f>
        <v/>
      </c>
      <c r="H30" s="55">
        <f>IF(OR(10&gt;MAX(3,MIN(15,N($D$18))),IFERROR(LARGE('Calc (scoring engine)'!$K$5:$K$528,10),-999999)&lt;=-900000),"",IFERROR(IF(INDEX(Database!$H$5:$H$528,MATCH(LARGE('Calc (scoring engine)'!$K$5:$K$528,10),'Calc (scoring engine)'!$K$5:$K$528,0))="","—",INDEX(Database!$H$5:$H$528,MATCH(LARGE('Calc (scoring engine)'!$K$5:$K$528,10),'Calc (scoring engine)'!$K$5:$K$528,0))),""))</f>
        <v/>
      </c>
      <c r="I30" s="53">
        <f>IF(OR(10&gt;MAX(3,MIN(15,N($D$18))),IFERROR(LARGE('Calc (scoring engine)'!$K$5:$K$528,10),-999999)&lt;=-900000),"",IFERROR(IF(INDEX(Database!$I$5:$I$528,MATCH(LARGE('Calc (scoring engine)'!$K$5:$K$528,10),'Calc (scoring engine)'!$K$5:$K$528,0))="","—",INDEX(Database!$I$5:$I$528,MATCH(LARGE('Calc (scoring engine)'!$K$5:$K$528,10),'Calc (scoring engine)'!$K$5:$K$528,0))),""))</f>
        <v/>
      </c>
      <c r="J30" s="85">
        <f>IF(OR(10&gt;MAX(3,MIN(15,N($D$18))),IFERROR(LARGE('Calc (scoring engine)'!$K$5:$K$528,10),-999999)&lt;=-900000),"",IFERROR(IF(INDEX(Database!$K$5:$K$528,MATCH(LARGE('Calc (scoring engine)'!$K$5:$K$528,10),'Calc (scoring engine)'!$K$5:$K$528,0))="","—",INDEX(Database!$K$5:$K$528,MATCH(LARGE('Calc (scoring engine)'!$K$5:$K$528,10),'Calc (scoring engine)'!$K$5:$K$528,0))),""))</f>
        <v/>
      </c>
      <c r="K30" s="85">
        <f>IF(OR(10&gt;MAX(3,MIN(15,N($D$18))),IFERROR(LARGE('Calc (scoring engine)'!$K$5:$K$528,10),-999999)&lt;=-900000),"",IFERROR(IF(INDEX(Database!$L$5:$L$528,MATCH(LARGE('Calc (scoring engine)'!$K$5:$K$528,10),'Calc (scoring engine)'!$K$5:$K$528,0))="","—",INDEX(Database!$L$5:$L$528,MATCH(LARGE('Calc (scoring engine)'!$K$5:$K$528,10),'Calc (scoring engine)'!$K$5:$K$528,0))),""))</f>
        <v/>
      </c>
      <c r="L30" s="85">
        <f>IF(OR(10&gt;MAX(3,MIN(15,N($D$18))),IFERROR(LARGE('Calc (scoring engine)'!$K$5:$K$528,10),-999999)&lt;=-900000),"",IFERROR(IF(INDEX(Database!$M$5:$M$528,MATCH(LARGE('Calc (scoring engine)'!$K$5:$K$528,10),'Calc (scoring engine)'!$K$5:$K$528,0))="","—",INDEX(Database!$M$5:$M$528,MATCH(LARGE('Calc (scoring engine)'!$K$5:$K$528,10),'Calc (scoring engine)'!$K$5:$K$528,0))),""))</f>
        <v/>
      </c>
      <c r="M30" s="43">
        <f>IF(OR(10&gt;MAX(3,MIN(15,N($D$18))),IFERROR(LARGE('Calc (scoring engine)'!$K$5:$K$528,10),-999999)&lt;=-900000),"",IFERROR(IF(INDEX(Database!$N$5:$N$528,MATCH(LARGE('Calc (scoring engine)'!$K$5:$K$528,10),'Calc (scoring engine)'!$K$5:$K$528,0))="","—",INDEX(Database!$N$5:$N$528,MATCH(LARGE('Calc (scoring engine)'!$K$5:$K$528,10),'Calc (scoring engine)'!$K$5:$K$528,0))),""))</f>
        <v/>
      </c>
      <c r="N30" s="65">
        <f>IF(OR(10&gt;MAX(3,MIN(15,N($D$18))),IFERROR(LARGE('Calc (scoring engine)'!$K$5:$K$528,10),-999999)&lt;=-900000),"",IFERROR(IF(INDEX(Database!$O$5:$O$528,MATCH(LARGE('Calc (scoring engine)'!$K$5:$K$528,10),'Calc (scoring engine)'!$K$5:$K$528,0))="","—",INDEX(Database!$O$5:$O$528,MATCH(LARGE('Calc (scoring engine)'!$K$5:$K$528,10),'Calc (scoring engine)'!$K$5:$K$528,0))),""))</f>
        <v/>
      </c>
      <c r="O30" s="65">
        <f>IF(OR(10&gt;MAX(3,MIN(15,N($D$18))),IFERROR(LARGE('Calc (scoring engine)'!$K$5:$K$528,10),-999999)&lt;=-900000),"",IFERROR(IF(INDEX(Database!$P$5:$P$528,MATCH(LARGE('Calc (scoring engine)'!$K$5:$K$528,10),'Calc (scoring engine)'!$K$5:$K$528,0))="","—",INDEX(Database!$P$5:$P$528,MATCH(LARGE('Calc (scoring engine)'!$K$5:$K$528,10),'Calc (scoring engine)'!$K$5:$K$528,0))),""))</f>
        <v/>
      </c>
      <c r="P30" s="53">
        <f>IF(OR(10&gt;MAX(3,MIN(15,N($D$18))),IFERROR(LARGE('Calc (scoring engine)'!$K$5:$K$528,10),-999999)&lt;=-900000),"",IFERROR(IF(INDEX(Database!$Q$5:$Q$528,MATCH(LARGE('Calc (scoring engine)'!$K$5:$K$528,10),'Calc (scoring engine)'!$K$5:$K$528,0))="","—",INDEX(Database!$Q$5:$Q$528,MATCH(LARGE('Calc (scoring engine)'!$K$5:$K$528,10),'Calc (scoring engine)'!$K$5:$K$528,0))),""))</f>
        <v/>
      </c>
      <c r="Q30" s="60">
        <f>IF(OR(10&gt;MAX(3,MIN(15,N($D$18))),IFERROR(LARGE('Calc (scoring engine)'!$K$5:$K$528,10),-999999)&lt;=-900000),"",IFERROR(IF(INDEX(Database!$S$5:$S$528,MATCH(LARGE('Calc (scoring engine)'!$K$5:$K$528,10),'Calc (scoring engine)'!$K$5:$K$528,0))="","—",INDEX(Database!$S$5:$S$528,MATCH(LARGE('Calc (scoring engine)'!$K$5:$K$528,10),'Calc (scoring engine)'!$K$5:$K$528,0))),""))</f>
        <v/>
      </c>
      <c r="R30" s="86">
        <f>IF(OR(10&gt;MAX(3,MIN(15,N($D$18))),IFERROR(LARGE('Calc (scoring engine)'!$K$5:$K$528,10),-999999)&lt;=-900000),"",IFERROR(IF(INDEX(Database!$T$5:$T$528,MATCH(LARGE('Calc (scoring engine)'!$K$5:$K$528,10),'Calc (scoring engine)'!$K$5:$K$528,0))="","—",INDEX(Database!$T$5:$T$528,MATCH(LARGE('Calc (scoring engine)'!$K$5:$K$528,10),'Calc (scoring engine)'!$K$5:$K$528,0))),""))</f>
        <v/>
      </c>
      <c r="S30" s="87">
        <f>IF(OR(10&gt;MAX(3,MIN(15,N($D$18))),IFERROR(LARGE('Calc (scoring engine)'!$K$5:$K$528,10),-999999)&lt;=-900000),"",IFERROR(IF(INDEX(Database!$U$5:$U$528,MATCH(LARGE('Calc (scoring engine)'!$K$5:$K$528,10),'Calc (scoring engine)'!$K$5:$K$528,0))="","—",INDEX(Database!$U$5:$U$528,MATCH(LARGE('Calc (scoring engine)'!$K$5:$K$528,10),'Calc (scoring engine)'!$K$5:$K$528,0))),""))</f>
        <v/>
      </c>
      <c r="T30" s="88">
        <f>IF(OR(10&gt;MAX(3,MIN(15,N($D$18))),IFERROR(LARGE('Calc (scoring engine)'!$K$5:$K$528,10),-999999)&lt;=-900000),"",IFERROR(IF(INDEX(Database!$V$5:$V$528,MATCH(LARGE('Calc (scoring engine)'!$K$5:$K$528,10),'Calc (scoring engine)'!$K$5:$K$528,0))="","—",INDEX(Database!$V$5:$V$528,MATCH(LARGE('Calc (scoring engine)'!$K$5:$K$528,10),'Calc (scoring engine)'!$K$5:$K$528,0))),""))</f>
        <v/>
      </c>
      <c r="U30" s="65">
        <f>IF(OR(10&gt;MAX(3,MIN(15,N($D$18))),IFERROR(LARGE('Calc (scoring engine)'!$K$5:$K$528,10),-999999)&lt;=-900000),"",IFERROR(IF(INDEX(Database!$W$5:$W$528,MATCH(LARGE('Calc (scoring engine)'!$K$5:$K$528,10),'Calc (scoring engine)'!$K$5:$K$528,0))="","—",INDEX(Database!$W$5:$W$528,MATCH(LARGE('Calc (scoring engine)'!$K$5:$K$528,10),'Calc (scoring engine)'!$K$5:$K$528,0))),""))</f>
        <v/>
      </c>
      <c r="V30" s="43">
        <f>IF(OR(10&gt;MAX(3,MIN(15,N($D$18))),IFERROR(LARGE('Calc (scoring engine)'!$K$5:$K$528,10),-999999)&lt;=-900000),"",IFERROR(IF(INDEX(Database!$X$5:$X$528,MATCH(LARGE('Calc (scoring engine)'!$K$5:$K$528,10),'Calc (scoring engine)'!$K$5:$K$528,0))="","—",INDEX(Database!$X$5:$X$528,MATCH(LARGE('Calc (scoring engine)'!$K$5:$K$528,10),'Calc (scoring engine)'!$K$5:$K$528,0))),""))</f>
        <v/>
      </c>
      <c r="W30" s="53">
        <f>IF(OR(10&gt;MAX(3,MIN(15,N($D$18))),IFERROR(LARGE('Calc (scoring engine)'!$K$5:$K$528,10),-999999)&lt;=-900000),"",IFERROR(IF(INDEX(Database!$Y$5:$Y$528,MATCH(LARGE('Calc (scoring engine)'!$K$5:$K$528,10),'Calc (scoring engine)'!$K$5:$K$528,0))="","—",INDEX(Database!$Y$5:$Y$528,MATCH(LARGE('Calc (scoring engine)'!$K$5:$K$528,10),'Calc (scoring engine)'!$K$5:$K$528,0))),""))</f>
        <v/>
      </c>
      <c r="X30" s="53">
        <f>IF(OR(10&gt;MAX(3,MIN(15,N($D$18))),IFERROR(LARGE('Calc (scoring engine)'!$K$5:$K$528,10),-999999)&lt;=-900000),"",IFERROR(IF(INDEX(Database!$Z$5:$Z$528,MATCH(LARGE('Calc (scoring engine)'!$K$5:$K$528,10),'Calc (scoring engine)'!$K$5:$K$528,0))="","—",INDEX(Database!$Z$5:$Z$528,MATCH(LARGE('Calc (scoring engine)'!$K$5:$K$528,10),'Calc (scoring engine)'!$K$5:$K$528,0))),""))</f>
        <v/>
      </c>
      <c r="Y30" s="65">
        <f>IF(OR(10&gt;MAX(3,MIN(15,N($D$18))),IFERROR(LARGE('Calc (scoring engine)'!$K$5:$K$528,10),-999999)&lt;=-900000),"",IFERROR(IF(INDEX(Database!$AA$5:$AA$528,MATCH(LARGE('Calc (scoring engine)'!$K$5:$K$528,10),'Calc (scoring engine)'!$K$5:$K$528,0))="","—",INDEX(Database!$AA$5:$AA$528,MATCH(LARGE('Calc (scoring engine)'!$K$5:$K$528,10),'Calc (scoring engine)'!$K$5:$K$528,0))),""))</f>
        <v/>
      </c>
      <c r="Z30" s="43">
        <f>IF(OR(10&gt;MAX(3,MIN(15,N($D$18))),IFERROR(LARGE('Calc (scoring engine)'!$K$5:$K$528,10),-999999)&lt;=-900000),"",IFERROR(IF(INDEX(Database!$AB$5:$AB$528,MATCH(LARGE('Calc (scoring engine)'!$K$5:$K$528,10),'Calc (scoring engine)'!$K$5:$K$528,0))="","—",INDEX(Database!$AB$5:$AB$528,MATCH(LARGE('Calc (scoring engine)'!$K$5:$K$528,10),'Calc (scoring engine)'!$K$5:$K$528,0))),""))</f>
        <v/>
      </c>
      <c r="AA30" s="65">
        <f>IF(OR(10&gt;MAX(3,MIN(15,N($D$18))),IFERROR(LARGE('Calc (scoring engine)'!$K$5:$K$528,10),-999999)&lt;=-900000),"",IFERROR(IF(INDEX(Database!$AD$5:$AD$528,MATCH(LARGE('Calc (scoring engine)'!$K$5:$K$528,10),'Calc (scoring engine)'!$K$5:$K$528,0))="","—",INDEX(Database!$AD$5:$AD$528,MATCH(LARGE('Calc (scoring engine)'!$K$5:$K$528,10),'Calc (scoring engine)'!$K$5:$K$528,0))),""))</f>
        <v/>
      </c>
      <c r="AB30" s="43">
        <f>IF(OR(10&gt;MAX(3,MIN(15,N($D$18))),IFERROR(LARGE('Calc (scoring engine)'!$K$5:$K$528,10),-999999)&lt;=-900000),"",IFERROR(IF(INDEX(Database!$AE$5:$AE$528,MATCH(LARGE('Calc (scoring engine)'!$K$5:$K$528,10),'Calc (scoring engine)'!$K$5:$K$528,0))="","—",INDEX(Database!$AE$5:$AE$528,MATCH(LARGE('Calc (scoring engine)'!$K$5:$K$528,10),'Calc (scoring engine)'!$K$5:$K$528,0))),""))</f>
        <v/>
      </c>
      <c r="AC30" s="43">
        <f>IF(OR(10&gt;MAX(3,MIN(15,N($D$18))),IFERROR(LARGE('Calc (scoring engine)'!$K$5:$K$528,10),-999999)&lt;=-900000),"",IFERROR(IF(INDEX(Database!$AF$5:$AF$528,MATCH(LARGE('Calc (scoring engine)'!$K$5:$K$528,10),'Calc (scoring engine)'!$K$5:$K$528,0))="","—",INDEX(Database!$AF$5:$AF$528,MATCH(LARGE('Calc (scoring engine)'!$K$5:$K$528,10),'Calc (scoring engine)'!$K$5:$K$528,0))),""))</f>
        <v/>
      </c>
      <c r="AD30" s="43">
        <f>IF(OR(10&gt;MAX(3,MIN(15,N($D$18))),IFERROR(LARGE('Calc (scoring engine)'!$K$5:$K$528,10),-999999)&lt;=-900000),"",IFERROR(IF(INDEX(Database!$AG$5:$AG$528,MATCH(LARGE('Calc (scoring engine)'!$K$5:$K$528,10),'Calc (scoring engine)'!$K$5:$K$528,0))="","—",INDEX(Database!$AG$5:$AG$528,MATCH(LARGE('Calc (scoring engine)'!$K$5:$K$528,10),'Calc (scoring engine)'!$K$5:$K$528,0))),""))</f>
        <v/>
      </c>
      <c r="AE30" s="43">
        <f>IF(OR(10&gt;MAX(3,MIN(15,N($D$18))),IFERROR(LARGE('Calc (scoring engine)'!$K$5:$K$528,10),-999999)&lt;=-900000),"",IFERROR(IF(INDEX(Database!$AH$5:$AH$528,MATCH(LARGE('Calc (scoring engine)'!$K$5:$K$528,10),'Calc (scoring engine)'!$K$5:$K$528,0))="","—",INDEX(Database!$AH$5:$AH$528,MATCH(LARGE('Calc (scoring engine)'!$K$5:$K$528,10),'Calc (scoring engine)'!$K$5:$K$528,0))),""))</f>
        <v/>
      </c>
      <c r="AF30" s="57">
        <f>IF(OR(10&gt;MAX(3,MIN(15,N($D$18))),IFERROR(LARGE('Calc (scoring engine)'!$K$5:$K$528,10),-999999)&lt;=-900000),"",IFERROR(IF(INDEX(Database!$AI$5:$AI$528,MATCH(LARGE('Calc (scoring engine)'!$K$5:$K$528,10),'Calc (scoring engine)'!$K$5:$K$528,0))="","—",INDEX(Database!$AI$5:$AI$528,MATCH(LARGE('Calc (scoring engine)'!$K$5:$K$528,10),'Calc (scoring engine)'!$K$5:$K$528,0))),""))</f>
        <v/>
      </c>
      <c r="AG30" s="57">
        <f>IF(OR(10&gt;MAX(3,MIN(15,N($D$18))),IFERROR(LARGE('Calc (scoring engine)'!$K$5:$K$528,10),-999999)&lt;=-900000),"",IFERROR(IF(INDEX(Database!$AJ$5:$AJ$528,MATCH(LARGE('Calc (scoring engine)'!$K$5:$K$528,10),'Calc (scoring engine)'!$K$5:$K$528,0))="","—",INDEX(Database!$AJ$5:$AJ$528,MATCH(LARGE('Calc (scoring engine)'!$K$5:$K$528,10),'Calc (scoring engine)'!$K$5:$K$528,0))),""))</f>
        <v/>
      </c>
      <c r="AH30" s="57">
        <f>IF(OR(10&gt;MAX(3,MIN(15,N($D$18))),IFERROR(LARGE('Calc (scoring engine)'!$K$5:$K$528,10),-999999)&lt;=-900000),"",IFERROR(IF(INDEX(Database!$AK$5:$AK$528,MATCH(LARGE('Calc (scoring engine)'!$K$5:$K$528,10),'Calc (scoring engine)'!$K$5:$K$528,0))="","—",INDEX(Database!$AK$5:$AK$528,MATCH(LARGE('Calc (scoring engine)'!$K$5:$K$528,10),'Calc (scoring engine)'!$K$5:$K$528,0))),""))</f>
        <v/>
      </c>
      <c r="AI30" s="57">
        <f>IF(OR(10&gt;MAX(3,MIN(15,N($D$18))),IFERROR(LARGE('Calc (scoring engine)'!$K$5:$K$528,10),-999999)&lt;=-900000),"",IFERROR(IF(INDEX(Database!$AL$5:$AL$528,MATCH(LARGE('Calc (scoring engine)'!$K$5:$K$528,10),'Calc (scoring engine)'!$K$5:$K$528,0))="","—",INDEX(Database!$AL$5:$AL$528,MATCH(LARGE('Calc (scoring engine)'!$K$5:$K$528,10),'Calc (scoring engine)'!$K$5:$K$528,0))),""))</f>
        <v/>
      </c>
      <c r="AJ30" s="57">
        <f>IF(OR(10&gt;MAX(3,MIN(15,N($D$18))),IFERROR(LARGE('Calc (scoring engine)'!$K$5:$K$528,10),-999999)&lt;=-900000),"",IFERROR(IF(INDEX(Database!$AM$5:$AM$528,MATCH(LARGE('Calc (scoring engine)'!$K$5:$K$528,10),'Calc (scoring engine)'!$K$5:$K$528,0))="","—",INDEX(Database!$AM$5:$AM$528,MATCH(LARGE('Calc (scoring engine)'!$K$5:$K$528,10),'Calc (scoring engine)'!$K$5:$K$528,0))),""))</f>
        <v/>
      </c>
      <c r="AK30" s="58">
        <f>IF(OR(10&gt;MAX(3,MIN(15,N($D$18))),IFERROR(LARGE('Calc (scoring engine)'!$K$5:$K$528,10),-999999)&lt;=-900000),"",IFERROR(IF(INDEX(Database!$AN$5:$AN$528,MATCH(LARGE('Calc (scoring engine)'!$K$5:$K$528,10),'Calc (scoring engine)'!$K$5:$K$528,0))="","—",INDEX(Database!$AN$5:$AN$528,MATCH(LARGE('Calc (scoring engine)'!$K$5:$K$528,10),'Calc (scoring engine)'!$K$5:$K$528,0))),""))</f>
        <v/>
      </c>
      <c r="AL30" s="65">
        <f>IF(OR(10&gt;MAX(3,MIN(15,N($D$18))),IFERROR(LARGE('Calc (scoring engine)'!$K$5:$K$528,10),-999999)&lt;=-900000),"",IFERROR(IF(INDEX(Database!$AO$5:$AO$528,MATCH(LARGE('Calc (scoring engine)'!$K$5:$K$528,10),'Calc (scoring engine)'!$K$5:$K$528,0))="","—",INDEX(Database!$AO$5:$AO$528,MATCH(LARGE('Calc (scoring engine)'!$K$5:$K$528,10),'Calc (scoring engine)'!$K$5:$K$528,0))),""))</f>
        <v/>
      </c>
      <c r="AM30" s="57">
        <f>IF(OR(10&gt;MAX(3,MIN(15,N($D$18))),IFERROR(LARGE('Calc (scoring engine)'!$K$5:$K$528,10),-999999)&lt;=-900000),"",IFERROR(IF(INDEX(Database!$AP$5:$AP$528,MATCH(LARGE('Calc (scoring engine)'!$K$5:$K$528,10),'Calc (scoring engine)'!$K$5:$K$528,0))="","—",INDEX(Database!$AP$5:$AP$528,MATCH(LARGE('Calc (scoring engine)'!$K$5:$K$528,10),'Calc (scoring engine)'!$K$5:$K$528,0))),""))</f>
        <v/>
      </c>
      <c r="AN30" s="57">
        <f>IF(OR(10&gt;MAX(3,MIN(15,N($D$18))),IFERROR(LARGE('Calc (scoring engine)'!$K$5:$K$528,10),-999999)&lt;=-900000),"",IFERROR(IF(INDEX(Database!$AQ$5:$AQ$528,MATCH(LARGE('Calc (scoring engine)'!$K$5:$K$528,10),'Calc (scoring engine)'!$K$5:$K$528,0))="","—",INDEX(Database!$AQ$5:$AQ$528,MATCH(LARGE('Calc (scoring engine)'!$K$5:$K$528,10),'Calc (scoring engine)'!$K$5:$K$528,0))),""))</f>
        <v/>
      </c>
      <c r="AO30" s="57">
        <f>IF(OR(10&gt;MAX(3,MIN(15,N($D$18))),IFERROR(LARGE('Calc (scoring engine)'!$K$5:$K$528,10),-999999)&lt;=-900000),"",IFERROR(IF(INDEX(Database!$AR$5:$AR$528,MATCH(LARGE('Calc (scoring engine)'!$K$5:$K$528,10),'Calc (scoring engine)'!$K$5:$K$528,0))="","—",INDEX(Database!$AR$5:$AR$528,MATCH(LARGE('Calc (scoring engine)'!$K$5:$K$528,10),'Calc (scoring engine)'!$K$5:$K$528,0))),""))</f>
        <v/>
      </c>
      <c r="AP30" s="57">
        <f>IF(OR(10&gt;MAX(3,MIN(15,N($D$18))),IFERROR(LARGE('Calc (scoring engine)'!$K$5:$K$528,10),-999999)&lt;=-900000),"",IFERROR(IF(INDEX(Database!$AS$5:$AS$528,MATCH(LARGE('Calc (scoring engine)'!$K$5:$K$528,10),'Calc (scoring engine)'!$K$5:$K$528,0))="","—",INDEX(Database!$AS$5:$AS$528,MATCH(LARGE('Calc (scoring engine)'!$K$5:$K$528,10),'Calc (scoring engine)'!$K$5:$K$528,0))),""))</f>
        <v/>
      </c>
      <c r="AQ30" s="57">
        <f>IF(OR(10&gt;MAX(3,MIN(15,N($D$18))),IFERROR(LARGE('Calc (scoring engine)'!$K$5:$K$528,10),-999999)&lt;=-900000),"",IFERROR(IF(INDEX(Database!$AT$5:$AT$528,MATCH(LARGE('Calc (scoring engine)'!$K$5:$K$528,10),'Calc (scoring engine)'!$K$5:$K$528,0))="","—",INDEX(Database!$AT$5:$AT$528,MATCH(LARGE('Calc (scoring engine)'!$K$5:$K$528,10),'Calc (scoring engine)'!$K$5:$K$528,0))),""))</f>
        <v/>
      </c>
      <c r="AR30" s="57">
        <f>IF(OR(10&gt;MAX(3,MIN(15,N($D$18))),IFERROR(LARGE('Calc (scoring engine)'!$K$5:$K$528,10),-999999)&lt;=-900000),"",IFERROR(IF(INDEX(Database!$AU$5:$AU$528,MATCH(LARGE('Calc (scoring engine)'!$K$5:$K$528,10),'Calc (scoring engine)'!$K$5:$K$528,0))="","—",INDEX(Database!$AU$5:$AU$528,MATCH(LARGE('Calc (scoring engine)'!$K$5:$K$528,10),'Calc (scoring engine)'!$K$5:$K$528,0))),""))</f>
        <v/>
      </c>
      <c r="AS30" s="57">
        <f>IF(OR(10&gt;MAX(3,MIN(15,N($D$18))),IFERROR(LARGE('Calc (scoring engine)'!$K$5:$K$528,10),-999999)&lt;=-900000),"",IFERROR(IF(INDEX(Database!$AV$5:$AV$528,MATCH(LARGE('Calc (scoring engine)'!$K$5:$K$528,10),'Calc (scoring engine)'!$K$5:$K$528,0))="","—",INDEX(Database!$AV$5:$AV$528,MATCH(LARGE('Calc (scoring engine)'!$K$5:$K$528,10),'Calc (scoring engine)'!$K$5:$K$528,0))),""))</f>
        <v/>
      </c>
      <c r="AT30" s="57">
        <f>IF(OR(10&gt;MAX(3,MIN(15,N($D$18))),IFERROR(LARGE('Calc (scoring engine)'!$K$5:$K$528,10),-999999)&lt;=-900000),"",IFERROR(IF(INDEX(Database!$AW$5:$AW$528,MATCH(LARGE('Calc (scoring engine)'!$K$5:$K$528,10),'Calc (scoring engine)'!$K$5:$K$528,0))="","—",INDEX(Database!$AW$5:$AW$528,MATCH(LARGE('Calc (scoring engine)'!$K$5:$K$528,10),'Calc (scoring engine)'!$K$5:$K$528,0))),""))</f>
        <v/>
      </c>
      <c r="AU30" s="57">
        <f>IF(OR(10&gt;MAX(3,MIN(15,N($D$18))),IFERROR(LARGE('Calc (scoring engine)'!$K$5:$K$528,10),-999999)&lt;=-900000),"",IFERROR(IF(INDEX(Database!$AX$5:$AX$528,MATCH(LARGE('Calc (scoring engine)'!$K$5:$K$528,10),'Calc (scoring engine)'!$K$5:$K$528,0))="","—",INDEX(Database!$AX$5:$AX$528,MATCH(LARGE('Calc (scoring engine)'!$K$5:$K$528,10),'Calc (scoring engine)'!$K$5:$K$528,0))),""))</f>
        <v/>
      </c>
      <c r="AV30" s="57">
        <f>IF(OR(10&gt;MAX(3,MIN(15,N($D$18))),IFERROR(LARGE('Calc (scoring engine)'!$K$5:$K$528,10),-999999)&lt;=-900000),"",IFERROR(IF(INDEX(Database!$AY$5:$AY$528,MATCH(LARGE('Calc (scoring engine)'!$K$5:$K$528,10),'Calc (scoring engine)'!$K$5:$K$528,0))="","—",INDEX(Database!$AY$5:$AY$528,MATCH(LARGE('Calc (scoring engine)'!$K$5:$K$528,10),'Calc (scoring engine)'!$K$5:$K$528,0))),""))</f>
        <v/>
      </c>
      <c r="AW30" s="57">
        <f>IF(OR(10&gt;MAX(3,MIN(15,N($D$18))),IFERROR(LARGE('Calc (scoring engine)'!$K$5:$K$528,10),-999999)&lt;=-900000),"",IFERROR(IF(INDEX(Database!$AZ$5:$AZ$528,MATCH(LARGE('Calc (scoring engine)'!$K$5:$K$528,10),'Calc (scoring engine)'!$K$5:$K$528,0))="","—",INDEX(Database!$AZ$5:$AZ$528,MATCH(LARGE('Calc (scoring engine)'!$K$5:$K$528,10),'Calc (scoring engine)'!$K$5:$K$528,0))),""))</f>
        <v/>
      </c>
      <c r="AX30" s="57">
        <f>IF(OR(10&gt;MAX(3,MIN(15,N($D$18))),IFERROR(LARGE('Calc (scoring engine)'!$K$5:$K$528,10),-999999)&lt;=-900000),"",IFERROR(IF(INDEX(Database!$BA$5:$BA$528,MATCH(LARGE('Calc (scoring engine)'!$K$5:$K$528,10),'Calc (scoring engine)'!$K$5:$K$528,0))="","—",INDEX(Database!$BA$5:$BA$528,MATCH(LARGE('Calc (scoring engine)'!$K$5:$K$528,10),'Calc (scoring engine)'!$K$5:$K$528,0))),""))</f>
        <v/>
      </c>
      <c r="AY30" s="57">
        <f>IF(OR(10&gt;MAX(3,MIN(15,N($D$18))),IFERROR(LARGE('Calc (scoring engine)'!$K$5:$K$528,10),-999999)&lt;=-900000),"",IFERROR(IF(INDEX(Database!$BC$5:$BC$528,MATCH(LARGE('Calc (scoring engine)'!$K$5:$K$528,10),'Calc (scoring engine)'!$K$5:$K$528,0))="","—",INDEX(Database!$BC$5:$BC$528,MATCH(LARGE('Calc (scoring engine)'!$K$5:$K$528,10),'Calc (scoring engine)'!$K$5:$K$528,0))),""))</f>
        <v/>
      </c>
      <c r="AZ30" s="53">
        <f>IF(OR(10&gt;MAX(3,MIN(15,N($D$18))),IFERROR(LARGE('Calc (scoring engine)'!$K$5:$K$528,10),-999999)&lt;=-900000),"",IFERROR(IF(INDEX(Database!$BE$5:$BE$528,MATCH(LARGE('Calc (scoring engine)'!$K$5:$K$528,10),'Calc (scoring engine)'!$K$5:$K$528,0))="","—",INDEX(Database!$BE$5:$BE$528,MATCH(LARGE('Calc (scoring engine)'!$K$5:$K$528,10),'Calc (scoring engine)'!$K$5:$K$528,0))),""))</f>
        <v/>
      </c>
      <c r="BA30" s="53">
        <f>IF(OR(10&gt;MAX(3,MIN(15,N($D$18))),IFERROR(LARGE('Calc (scoring engine)'!$K$5:$K$528,10),-999999)&lt;=-900000),"",IFERROR(IF(INDEX(Database!$BF$5:$BF$528,MATCH(LARGE('Calc (scoring engine)'!$K$5:$K$528,10),'Calc (scoring engine)'!$K$5:$K$528,0))="","—",INDEX(Database!$BF$5:$BF$528,MATCH(LARGE('Calc (scoring engine)'!$K$5:$K$528,10),'Calc (scoring engine)'!$K$5:$K$528,0))),""))</f>
        <v/>
      </c>
      <c r="BB30" s="43">
        <f>IF(OR(10&gt;MAX(3,MIN(15,N($D$18))),IFERROR(LARGE('Calc (scoring engine)'!$K$5:$K$528,10),-999999)&lt;=-900000),"",IFERROR(IF(INDEX(Database!$BG$5:$BG$528,MATCH(LARGE('Calc (scoring engine)'!$K$5:$K$528,10),'Calc (scoring engine)'!$K$5:$K$528,0))="","—",INDEX(Database!$BG$5:$BG$528,MATCH(LARGE('Calc (scoring engine)'!$K$5:$K$528,10),'Calc (scoring engine)'!$K$5:$K$528,0))),""))</f>
        <v/>
      </c>
      <c r="BC30" s="58">
        <f>IF(OR(10&gt;MAX(3,MIN(15,N($D$18))),IFERROR(LARGE('Calc (scoring engine)'!$K$5:$K$528,10),-999999)&lt;=-900000),"",IFERROR(IF(N(INDEX(Database!$BH$5:$BH$528,MATCH(LARGE('Calc (scoring engine)'!$K$5:$K$528,10),'Calc (scoring engine)'!$K$5:$K$528,0)))&lt;=0,IF(INDEX(Database!$BG$5:$BG$528,MATCH(LARGE('Calc (scoring engine)'!$K$5:$K$528,10),'Calc (scoring engine)'!$K$5:$K$528,0))="N","n/m","—"),INDEX(Database!$BH$5:$BH$528,MATCH(LARGE('Calc (scoring engine)'!$K$5:$K$528,10),'Calc (scoring engine)'!$K$5:$K$528,0))),""))</f>
        <v/>
      </c>
      <c r="BD30" s="58">
        <f>IF(OR(10&gt;MAX(3,MIN(15,N($D$18))),IFERROR(LARGE('Calc (scoring engine)'!$K$5:$K$528,10),-999999)&lt;=-900000),"",IFERROR(IF(INDEX(Database!$BI$5:$BI$528,MATCH(LARGE('Calc (scoring engine)'!$K$5:$K$528,10),'Calc (scoring engine)'!$K$5:$K$528,0))="","—",INDEX(Database!$BI$5:$BI$528,MATCH(LARGE('Calc (scoring engine)'!$K$5:$K$528,10),'Calc (scoring engine)'!$K$5:$K$528,0))),""))</f>
        <v/>
      </c>
      <c r="BE30" s="58">
        <f>IF(OR(10&gt;MAX(3,MIN(15,N($D$18))),IFERROR(LARGE('Calc (scoring engine)'!$K$5:$K$528,10),-999999)&lt;=-900000),"",IFERROR(IF(INDEX(Database!$BJ$5:$BJ$528,MATCH(LARGE('Calc (scoring engine)'!$K$5:$K$528,10),'Calc (scoring engine)'!$K$5:$K$528,0))="","—",INDEX(Database!$BJ$5:$BJ$528,MATCH(LARGE('Calc (scoring engine)'!$K$5:$K$528,10),'Calc (scoring engine)'!$K$5:$K$528,0))),""))</f>
        <v/>
      </c>
      <c r="BF30" s="58">
        <f>IF(OR(10&gt;MAX(3,MIN(15,N($D$18))),IFERROR(LARGE('Calc (scoring engine)'!$K$5:$K$528,10),-999999)&lt;=-900000),"",IFERROR(IF(INDEX(Database!$BK$5:$BK$528,MATCH(LARGE('Calc (scoring engine)'!$K$5:$K$528,10),'Calc (scoring engine)'!$K$5:$K$528,0))="","—",INDEX(Database!$BK$5:$BK$528,MATCH(LARGE('Calc (scoring engine)'!$K$5:$K$528,10),'Calc (scoring engine)'!$K$5:$K$528,0))),""))</f>
        <v/>
      </c>
      <c r="BG30" s="58">
        <f>IF(OR(10&gt;MAX(3,MIN(15,N($D$18))),IFERROR(LARGE('Calc (scoring engine)'!$K$5:$K$528,10),-999999)&lt;=-900000),"",IFERROR(IF(INDEX(Database!$BL$5:$BL$528,MATCH(LARGE('Calc (scoring engine)'!$K$5:$K$528,10),'Calc (scoring engine)'!$K$5:$K$528,0))="","—",INDEX(Database!$BL$5:$BL$528,MATCH(LARGE('Calc (scoring engine)'!$K$5:$K$528,10),'Calc (scoring engine)'!$K$5:$K$528,0))),""))</f>
        <v/>
      </c>
      <c r="BH30" s="58">
        <f>IF(OR(10&gt;MAX(3,MIN(15,N($D$18))),IFERROR(LARGE('Calc (scoring engine)'!$K$5:$K$528,10),-999999)&lt;=-900000),"",IFERROR(IFERROR(BDP(TEXT(INDEX(Database!$A$5:$A$528,MATCH(LARGE('Calc (scoring engine)'!$K$5:$K$528,10),'Calc (scoring engine)'!$K$5:$K$528,0)),"0")&amp;" HK Equity","PE_RATIO"),IF(INDEX(Database!$BJ$5:$BJ$528,MATCH(LARGE('Calc (scoring engine)'!$K$5:$K$528,10),'Calc (scoring engine)'!$K$5:$K$528,0))="","—",INDEX(Database!$BJ$5:$BJ$528,MATCH(LARGE('Calc (scoring engine)'!$K$5:$K$528,10),'Calc (scoring engine)'!$K$5:$K$528,0)))),""))</f>
        <v/>
      </c>
      <c r="BI30" s="58">
        <f>IF(OR(10&gt;MAX(3,MIN(15,N($D$18))),IFERROR(LARGE('Calc (scoring engine)'!$K$5:$K$528,10),-999999)&lt;=-900000),"",IFERROR(IFERROR(BDP(TEXT(INDEX(Database!$A$5:$A$528,MATCH(LARGE('Calc (scoring engine)'!$K$5:$K$528,10),'Calc (scoring engine)'!$K$5:$K$528,0)),"0")&amp;" HK Equity","PX_TO_SALES_RATIO"),IF(INDEX(Database!$BK$5:$BK$528,MATCH(LARGE('Calc (scoring engine)'!$K$5:$K$528,10),'Calc (scoring engine)'!$K$5:$K$528,0))="","—",INDEX(Database!$BK$5:$BK$528,MATCH(LARGE('Calc (scoring engine)'!$K$5:$K$528,10),'Calc (scoring engine)'!$K$5:$K$528,0)))),""))</f>
        <v/>
      </c>
      <c r="BJ30" s="43">
        <f>IF(OR(10&gt;MAX(3,MIN(15,N($D$18))),IFERROR(LARGE('Calc (scoring engine)'!$K$5:$K$528,10),-999999)&lt;=-900000),"",IFERROR(IF(INDEX(Database!$BM$5:$BM$528,MATCH(LARGE('Calc (scoring engine)'!$K$5:$K$528,10),'Calc (scoring engine)'!$K$5:$K$528,0))="","—",INDEX(Database!$BM$5:$BM$528,MATCH(LARGE('Calc (scoring engine)'!$K$5:$K$528,10),'Calc (scoring engine)'!$K$5:$K$528,0))),""))</f>
        <v/>
      </c>
      <c r="BK30" s="43">
        <f>IF(OR(10&gt;MAX(3,MIN(15,N($D$18))),IFERROR(LARGE('Calc (scoring engine)'!$K$5:$K$528,10),-999999)&lt;=-900000),"",IFERROR(IF(INDEX(Database!$BN$5:$BN$528,MATCH(LARGE('Calc (scoring engine)'!$K$5:$K$528,10),'Calc (scoring engine)'!$K$5:$K$528,0))="","—",INDEX(Database!$BN$5:$BN$528,MATCH(LARGE('Calc (scoring engine)'!$K$5:$K$528,10),'Calc (scoring engine)'!$K$5:$K$528,0))),""))</f>
        <v/>
      </c>
      <c r="BL30" s="57">
        <f>IF(OR(10&gt;MAX(3,MIN(15,N($D$18))),IFERROR(LARGE('Calc (scoring engine)'!$K$5:$K$528,10),-999999)&lt;=-900000),"",IFERROR(IF(INDEX(Database!$BO$5:$BO$528,MATCH(LARGE('Calc (scoring engine)'!$K$5:$K$528,10),'Calc (scoring engine)'!$K$5:$K$528,0))="","—",INDEX(Database!$BO$5:$BO$528,MATCH(LARGE('Calc (scoring engine)'!$K$5:$K$528,10),'Calc (scoring engine)'!$K$5:$K$528,0))),""))</f>
        <v/>
      </c>
      <c r="BM30" s="85">
        <f>IF(OR(10&gt;MAX(3,MIN(15,N($D$18))),IFERROR(LARGE('Calc (scoring engine)'!$K$5:$K$528,10),-999999)&lt;=-900000),"",IFERROR(IF(INDEX(Database!$BP$5:$BP$528,MATCH(LARGE('Calc (scoring engine)'!$K$5:$K$528,10),'Calc (scoring engine)'!$K$5:$K$528,0))="","—",INDEX(Database!$BP$5:$BP$528,MATCH(LARGE('Calc (scoring engine)'!$K$5:$K$528,10),'Calc (scoring engine)'!$K$5:$K$528,0))),""))</f>
        <v/>
      </c>
      <c r="BN30" s="89">
        <f>IF(OR(10&gt;MAX(3,MIN(15,N($D$18))),IFERROR(LARGE('Calc (scoring engine)'!$K$5:$K$528,10),-999999)&lt;=-900000),"",IFERROR(IF(INDEX(Database!$BQ$5:$BQ$528,MATCH(LARGE('Calc (scoring engine)'!$K$5:$K$528,10),'Calc (scoring engine)'!$K$5:$K$528,0))="","—",INDEX(Database!$BQ$5:$BQ$528,MATCH(LARGE('Calc (scoring engine)'!$K$5:$K$528,10),'Calc (scoring engine)'!$K$5:$K$528,0))),""))</f>
        <v/>
      </c>
      <c r="BO30" s="53">
        <f>IF(OR(10&gt;MAX(3,MIN(15,N($D$18))),IFERROR(LARGE('Calc (scoring engine)'!$K$5:$K$528,10),-999999)&lt;=-900000),"",IFERROR(IF(INDEX(Database!$BR$5:$BR$528,MATCH(LARGE('Calc (scoring engine)'!$K$5:$K$528,10),'Calc (scoring engine)'!$K$5:$K$528,0))="","—",INDEX(Database!$BR$5:$BR$528,MATCH(LARGE('Calc (scoring engine)'!$K$5:$K$528,10),'Calc (scoring engine)'!$K$5:$K$528,0))),""))</f>
        <v/>
      </c>
      <c r="BP30" s="58">
        <f>IF(OR(10&gt;MAX(3,MIN(15,N($D$18))),IFERROR(LARGE('Calc (scoring engine)'!$K$5:$K$528,10),-999999)&lt;=-900000),"",IFERROR(IF(INDEX(Database!$BS$5:$BS$528,MATCH(LARGE('Calc (scoring engine)'!$K$5:$K$528,10),'Calc (scoring engine)'!$K$5:$K$528,0))="","—",INDEX(Database!$BS$5:$BS$528,MATCH(LARGE('Calc (scoring engine)'!$K$5:$K$528,10),'Calc (scoring engine)'!$K$5:$K$528,0))),""))</f>
        <v/>
      </c>
      <c r="BQ30" s="58">
        <f>IF(OR(10&gt;MAX(3,MIN(15,N($D$18))),IFERROR(LARGE('Calc (scoring engine)'!$K$5:$K$528,10),-999999)&lt;=-900000),"",IFERROR(IF(INDEX(Database!$BT$5:$BT$528,MATCH(LARGE('Calc (scoring engine)'!$K$5:$K$528,10),'Calc (scoring engine)'!$K$5:$K$528,0))="","—",INDEX(Database!$BT$5:$BT$528,MATCH(LARGE('Calc (scoring engine)'!$K$5:$K$528,10),'Calc (scoring engine)'!$K$5:$K$528,0))),""))</f>
        <v/>
      </c>
      <c r="BR30" s="43">
        <f>IF(OR(10&gt;MAX(3,MIN(15,N($D$18))),IFERROR(LARGE('Calc (scoring engine)'!$K$5:$K$528,10),-999999)&lt;=-900000),"",IFERROR(IF(INDEX(Database!$BU$5:$BU$528,MATCH(LARGE('Calc (scoring engine)'!$K$5:$K$528,10),'Calc (scoring engine)'!$K$5:$K$528,0))="","—",INDEX(Database!$BU$5:$BU$528,MATCH(LARGE('Calc (scoring engine)'!$K$5:$K$528,10),'Calc (scoring engine)'!$K$5:$K$528,0))),""))</f>
        <v/>
      </c>
      <c r="BS30" s="43">
        <f>IF(OR(10&gt;MAX(3,MIN(15,N($D$18))),IFERROR(LARGE('Calc (scoring engine)'!$K$5:$K$528,10),-999999)&lt;=-900000),"",IFERROR(IF(INDEX(Database!$BW$5:$BW$528,MATCH(LARGE('Calc (scoring engine)'!$K$5:$K$528,10),'Calc (scoring engine)'!$K$5:$K$528,0))="","—",INDEX(Database!$BW$5:$BW$528,MATCH(LARGE('Calc (scoring engine)'!$K$5:$K$528,10),'Calc (scoring engine)'!$K$5:$K$528,0))),""))</f>
        <v/>
      </c>
      <c r="BT30" s="88">
        <f>IF(OR(10&gt;MAX(3,MIN(15,N($D$18))),IFERROR(LARGE('Calc (scoring engine)'!$K$5:$K$528,10),-999999)&lt;=-900000),"",IFERROR(IF(INDEX('Calc (scoring engine)'!$H$5:$H$528,MATCH(LARGE('Calc (scoring engine)'!$K$5:$K$528,10),'Calc (scoring engine)'!$K$5:$K$528,0))&gt;0,INDEX('Calc (scoring engine)'!$H$5:$H$528,MATCH(LARGE('Calc (scoring engine)'!$K$5:$K$528,10),'Calc (scoring engine)'!$K$5:$K$528,0)),""),""))</f>
        <v/>
      </c>
      <c r="BU30" s="43">
        <f>IF(OR(10&gt;MAX(3,MIN(15,N($D$18))),IFERROR(LARGE('Calc (scoring engine)'!$K$5:$K$528,10),-999999)&lt;=-900000),"",IF(IFERROR(INDEX('Calc (scoring engine)'!$B$5:$B$528,MATCH(LARGE('Calc (scoring engine)'!$K$5:$K$528,10),'Calc (scoring engine)'!$K$5:$K$528,0)),0)=1,"same subsector","sector only"))</f>
        <v/>
      </c>
      <c r="BV30" s="88">
        <f>IF(OR(10&gt;MAX(3,MIN(15,N($D$18))),IFERROR(LARGE('Calc (scoring engine)'!$K$5:$K$528,10),-999999)&lt;=-900000),"",ROUND(IFERROR(LARGE('Calc (scoring engine)'!$K$5:$K$528,10),0),0))</f>
        <v/>
      </c>
      <c r="BW30" s="43">
        <f>IF(OR(10&gt;MAX(3,MIN(15,N($D$18))),IFERROR(LARGE('Calc (scoring engine)'!$K$5:$K$528,10),-999999)&lt;=-900000),"",IFERROR("sub "&amp;INDEX('Calc (scoring engine)'!$B$5:$B$528,MATCH(LARGE('Calc (scoring engine)'!$K$5:$K$528,10),'Calc (scoring engine)'!$K$5:$K$528,0))*W_SUB&amp;" + size "&amp;ROUND(INDEX('Calc (scoring engine)'!$D$5:$D$528,MATCH(LARGE('Calc (scoring engine)'!$K$5:$K$528,10),'Calc (scoring engine)'!$K$5:$K$528,0))*W_SIZE,0)&amp;" + prof "&amp;INDEX('Calc (scoring engine)'!$E$5:$E$528,MATCH(LARGE('Calc (scoring engine)'!$K$5:$K$528,10),'Calc (scoring engine)'!$K$5:$K$528,0))*W_PROF&amp;" + recency "&amp;ROUND(INDEX('Calc (scoring engine)'!$G$5:$G$528,MATCH(LARGE('Calc (scoring engine)'!$K$5:$K$528,10),'Calc (scoring engine)'!$K$5:$K$528,0))*W_REC,0)&amp;IF(INDEX('Calc (scoring engine)'!$H$5:$H$528,MATCH(LARGE('Calc (scoring engine)'!$K$5:$K$528,10),'Calc (scoring engine)'!$K$5:$K$528,0))&gt;0," + shared CS x"&amp;INDEX('Calc (scoring engine)'!$H$5:$H$528,MATCH(LARGE('Calc (scoring engine)'!$K$5:$K$528,10),'Calc (scoring engine)'!$K$5:$K$528,0)),""),""))</f>
        <v/>
      </c>
    </row>
    <row r="31">
      <c r="A31" s="83">
        <f>IF(OR(11&gt;MAX(3,MIN(15,N($D$18))),IFERROR(LARGE('Calc (scoring engine)'!$K$5:$K$528,11),-999999)&lt;=-900000),"",11)</f>
        <v/>
      </c>
      <c r="B31" s="43">
        <f>IF(OR(11&gt;MAX(3,MIN(15,N($D$18))),IFERROR(LARGE('Calc (scoring engine)'!$K$5:$K$528,11),-999999)&lt;=-900000),"",IFERROR(IF(INDEX(Database!$B$5:$B$528,MATCH(LARGE('Calc (scoring engine)'!$K$5:$K$528,11),'Calc (scoring engine)'!$K$5:$K$528,0))="","—",INDEX(Database!$B$5:$B$528,MATCH(LARGE('Calc (scoring engine)'!$K$5:$K$528,11),'Calc (scoring engine)'!$K$5:$K$528,0))),""))</f>
        <v/>
      </c>
      <c r="C31" s="84">
        <f>IF(OR(11&gt;MAX(3,MIN(15,N($D$18))),IFERROR(LARGE('Calc (scoring engine)'!$K$5:$K$528,11),-999999)&lt;=-900000),"",IFERROR(IF(INDEX(Database!$A$5:$A$528,MATCH(LARGE('Calc (scoring engine)'!$K$5:$K$528,11),'Calc (scoring engine)'!$K$5:$K$528,0))="","—",INDEX(Database!$A$5:$A$528,MATCH(LARGE('Calc (scoring engine)'!$K$5:$K$528,11),'Calc (scoring engine)'!$K$5:$K$528,0))),""))</f>
        <v/>
      </c>
      <c r="D31" s="43">
        <f>IF(OR(11&gt;MAX(3,MIN(15,N($D$18))),IFERROR(LARGE('Calc (scoring engine)'!$K$5:$K$528,11),-999999)&lt;=-900000),"",IFERROR(IF(INDEX(Database!$D$5:$D$528,MATCH(LARGE('Calc (scoring engine)'!$K$5:$K$528,11),'Calc (scoring engine)'!$K$5:$K$528,0))="","—",INDEX(Database!$D$5:$D$528,MATCH(LARGE('Calc (scoring engine)'!$K$5:$K$528,11),'Calc (scoring engine)'!$K$5:$K$528,0))),""))</f>
        <v/>
      </c>
      <c r="E31" s="43">
        <f>IF(OR(11&gt;MAX(3,MIN(15,N($D$18))),IFERROR(LARGE('Calc (scoring engine)'!$K$5:$K$528,11),-999999)&lt;=-900000),"",IFERROR(IF(INDEX(Database!$E$5:$E$528,MATCH(LARGE('Calc (scoring engine)'!$K$5:$K$528,11),'Calc (scoring engine)'!$K$5:$K$528,0))="","—",INDEX(Database!$E$5:$E$528,MATCH(LARGE('Calc (scoring engine)'!$K$5:$K$528,11),'Calc (scoring engine)'!$K$5:$K$528,0))),""))</f>
        <v/>
      </c>
      <c r="F31" s="43">
        <f>IF(OR(11&gt;MAX(3,MIN(15,N($D$18))),IFERROR(LARGE('Calc (scoring engine)'!$K$5:$K$528,11),-999999)&lt;=-900000),"",IFERROR(IF(INDEX(Database!$F$5:$F$528,MATCH(LARGE('Calc (scoring engine)'!$K$5:$K$528,11),'Calc (scoring engine)'!$K$5:$K$528,0))="","—",INDEX(Database!$F$5:$F$528,MATCH(LARGE('Calc (scoring engine)'!$K$5:$K$528,11),'Calc (scoring engine)'!$K$5:$K$528,0))),""))</f>
        <v/>
      </c>
      <c r="G31" s="43">
        <f>IF(OR(11&gt;MAX(3,MIN(15,N($D$18))),IFERROR(LARGE('Calc (scoring engine)'!$K$5:$K$528,11),-999999)&lt;=-900000),"",IFERROR(IF(INDEX(Database!$G$5:$G$528,MATCH(LARGE('Calc (scoring engine)'!$K$5:$K$528,11),'Calc (scoring engine)'!$K$5:$K$528,0))="","—",INDEX(Database!$G$5:$G$528,MATCH(LARGE('Calc (scoring engine)'!$K$5:$K$528,11),'Calc (scoring engine)'!$K$5:$K$528,0))),""))</f>
        <v/>
      </c>
      <c r="H31" s="55">
        <f>IF(OR(11&gt;MAX(3,MIN(15,N($D$18))),IFERROR(LARGE('Calc (scoring engine)'!$K$5:$K$528,11),-999999)&lt;=-900000),"",IFERROR(IF(INDEX(Database!$H$5:$H$528,MATCH(LARGE('Calc (scoring engine)'!$K$5:$K$528,11),'Calc (scoring engine)'!$K$5:$K$528,0))="","—",INDEX(Database!$H$5:$H$528,MATCH(LARGE('Calc (scoring engine)'!$K$5:$K$528,11),'Calc (scoring engine)'!$K$5:$K$528,0))),""))</f>
        <v/>
      </c>
      <c r="I31" s="53">
        <f>IF(OR(11&gt;MAX(3,MIN(15,N($D$18))),IFERROR(LARGE('Calc (scoring engine)'!$K$5:$K$528,11),-999999)&lt;=-900000),"",IFERROR(IF(INDEX(Database!$I$5:$I$528,MATCH(LARGE('Calc (scoring engine)'!$K$5:$K$528,11),'Calc (scoring engine)'!$K$5:$K$528,0))="","—",INDEX(Database!$I$5:$I$528,MATCH(LARGE('Calc (scoring engine)'!$K$5:$K$528,11),'Calc (scoring engine)'!$K$5:$K$528,0))),""))</f>
        <v/>
      </c>
      <c r="J31" s="85">
        <f>IF(OR(11&gt;MAX(3,MIN(15,N($D$18))),IFERROR(LARGE('Calc (scoring engine)'!$K$5:$K$528,11),-999999)&lt;=-900000),"",IFERROR(IF(INDEX(Database!$K$5:$K$528,MATCH(LARGE('Calc (scoring engine)'!$K$5:$K$528,11),'Calc (scoring engine)'!$K$5:$K$528,0))="","—",INDEX(Database!$K$5:$K$528,MATCH(LARGE('Calc (scoring engine)'!$K$5:$K$528,11),'Calc (scoring engine)'!$K$5:$K$528,0))),""))</f>
        <v/>
      </c>
      <c r="K31" s="85">
        <f>IF(OR(11&gt;MAX(3,MIN(15,N($D$18))),IFERROR(LARGE('Calc (scoring engine)'!$K$5:$K$528,11),-999999)&lt;=-900000),"",IFERROR(IF(INDEX(Database!$L$5:$L$528,MATCH(LARGE('Calc (scoring engine)'!$K$5:$K$528,11),'Calc (scoring engine)'!$K$5:$K$528,0))="","—",INDEX(Database!$L$5:$L$528,MATCH(LARGE('Calc (scoring engine)'!$K$5:$K$528,11),'Calc (scoring engine)'!$K$5:$K$528,0))),""))</f>
        <v/>
      </c>
      <c r="L31" s="85">
        <f>IF(OR(11&gt;MAX(3,MIN(15,N($D$18))),IFERROR(LARGE('Calc (scoring engine)'!$K$5:$K$528,11),-999999)&lt;=-900000),"",IFERROR(IF(INDEX(Database!$M$5:$M$528,MATCH(LARGE('Calc (scoring engine)'!$K$5:$K$528,11),'Calc (scoring engine)'!$K$5:$K$528,0))="","—",INDEX(Database!$M$5:$M$528,MATCH(LARGE('Calc (scoring engine)'!$K$5:$K$528,11),'Calc (scoring engine)'!$K$5:$K$528,0))),""))</f>
        <v/>
      </c>
      <c r="M31" s="43">
        <f>IF(OR(11&gt;MAX(3,MIN(15,N($D$18))),IFERROR(LARGE('Calc (scoring engine)'!$K$5:$K$528,11),-999999)&lt;=-900000),"",IFERROR(IF(INDEX(Database!$N$5:$N$528,MATCH(LARGE('Calc (scoring engine)'!$K$5:$K$528,11),'Calc (scoring engine)'!$K$5:$K$528,0))="","—",INDEX(Database!$N$5:$N$528,MATCH(LARGE('Calc (scoring engine)'!$K$5:$K$528,11),'Calc (scoring engine)'!$K$5:$K$528,0))),""))</f>
        <v/>
      </c>
      <c r="N31" s="65">
        <f>IF(OR(11&gt;MAX(3,MIN(15,N($D$18))),IFERROR(LARGE('Calc (scoring engine)'!$K$5:$K$528,11),-999999)&lt;=-900000),"",IFERROR(IF(INDEX(Database!$O$5:$O$528,MATCH(LARGE('Calc (scoring engine)'!$K$5:$K$528,11),'Calc (scoring engine)'!$K$5:$K$528,0))="","—",INDEX(Database!$O$5:$O$528,MATCH(LARGE('Calc (scoring engine)'!$K$5:$K$528,11),'Calc (scoring engine)'!$K$5:$K$528,0))),""))</f>
        <v/>
      </c>
      <c r="O31" s="65">
        <f>IF(OR(11&gt;MAX(3,MIN(15,N($D$18))),IFERROR(LARGE('Calc (scoring engine)'!$K$5:$K$528,11),-999999)&lt;=-900000),"",IFERROR(IF(INDEX(Database!$P$5:$P$528,MATCH(LARGE('Calc (scoring engine)'!$K$5:$K$528,11),'Calc (scoring engine)'!$K$5:$K$528,0))="","—",INDEX(Database!$P$5:$P$528,MATCH(LARGE('Calc (scoring engine)'!$K$5:$K$528,11),'Calc (scoring engine)'!$K$5:$K$528,0))),""))</f>
        <v/>
      </c>
      <c r="P31" s="53">
        <f>IF(OR(11&gt;MAX(3,MIN(15,N($D$18))),IFERROR(LARGE('Calc (scoring engine)'!$K$5:$K$528,11),-999999)&lt;=-900000),"",IFERROR(IF(INDEX(Database!$Q$5:$Q$528,MATCH(LARGE('Calc (scoring engine)'!$K$5:$K$528,11),'Calc (scoring engine)'!$K$5:$K$528,0))="","—",INDEX(Database!$Q$5:$Q$528,MATCH(LARGE('Calc (scoring engine)'!$K$5:$K$528,11),'Calc (scoring engine)'!$K$5:$K$528,0))),""))</f>
        <v/>
      </c>
      <c r="Q31" s="60">
        <f>IF(OR(11&gt;MAX(3,MIN(15,N($D$18))),IFERROR(LARGE('Calc (scoring engine)'!$K$5:$K$528,11),-999999)&lt;=-900000),"",IFERROR(IF(INDEX(Database!$S$5:$S$528,MATCH(LARGE('Calc (scoring engine)'!$K$5:$K$528,11),'Calc (scoring engine)'!$K$5:$K$528,0))="","—",INDEX(Database!$S$5:$S$528,MATCH(LARGE('Calc (scoring engine)'!$K$5:$K$528,11),'Calc (scoring engine)'!$K$5:$K$528,0))),""))</f>
        <v/>
      </c>
      <c r="R31" s="86">
        <f>IF(OR(11&gt;MAX(3,MIN(15,N($D$18))),IFERROR(LARGE('Calc (scoring engine)'!$K$5:$K$528,11),-999999)&lt;=-900000),"",IFERROR(IF(INDEX(Database!$T$5:$T$528,MATCH(LARGE('Calc (scoring engine)'!$K$5:$K$528,11),'Calc (scoring engine)'!$K$5:$K$528,0))="","—",INDEX(Database!$T$5:$T$528,MATCH(LARGE('Calc (scoring engine)'!$K$5:$K$528,11),'Calc (scoring engine)'!$K$5:$K$528,0))),""))</f>
        <v/>
      </c>
      <c r="S31" s="87">
        <f>IF(OR(11&gt;MAX(3,MIN(15,N($D$18))),IFERROR(LARGE('Calc (scoring engine)'!$K$5:$K$528,11),-999999)&lt;=-900000),"",IFERROR(IF(INDEX(Database!$U$5:$U$528,MATCH(LARGE('Calc (scoring engine)'!$K$5:$K$528,11),'Calc (scoring engine)'!$K$5:$K$528,0))="","—",INDEX(Database!$U$5:$U$528,MATCH(LARGE('Calc (scoring engine)'!$K$5:$K$528,11),'Calc (scoring engine)'!$K$5:$K$528,0))),""))</f>
        <v/>
      </c>
      <c r="T31" s="88">
        <f>IF(OR(11&gt;MAX(3,MIN(15,N($D$18))),IFERROR(LARGE('Calc (scoring engine)'!$K$5:$K$528,11),-999999)&lt;=-900000),"",IFERROR(IF(INDEX(Database!$V$5:$V$528,MATCH(LARGE('Calc (scoring engine)'!$K$5:$K$528,11),'Calc (scoring engine)'!$K$5:$K$528,0))="","—",INDEX(Database!$V$5:$V$528,MATCH(LARGE('Calc (scoring engine)'!$K$5:$K$528,11),'Calc (scoring engine)'!$K$5:$K$528,0))),""))</f>
        <v/>
      </c>
      <c r="U31" s="65">
        <f>IF(OR(11&gt;MAX(3,MIN(15,N($D$18))),IFERROR(LARGE('Calc (scoring engine)'!$K$5:$K$528,11),-999999)&lt;=-900000),"",IFERROR(IF(INDEX(Database!$W$5:$W$528,MATCH(LARGE('Calc (scoring engine)'!$K$5:$K$528,11),'Calc (scoring engine)'!$K$5:$K$528,0))="","—",INDEX(Database!$W$5:$W$528,MATCH(LARGE('Calc (scoring engine)'!$K$5:$K$528,11),'Calc (scoring engine)'!$K$5:$K$528,0))),""))</f>
        <v/>
      </c>
      <c r="V31" s="43">
        <f>IF(OR(11&gt;MAX(3,MIN(15,N($D$18))),IFERROR(LARGE('Calc (scoring engine)'!$K$5:$K$528,11),-999999)&lt;=-900000),"",IFERROR(IF(INDEX(Database!$X$5:$X$528,MATCH(LARGE('Calc (scoring engine)'!$K$5:$K$528,11),'Calc (scoring engine)'!$K$5:$K$528,0))="","—",INDEX(Database!$X$5:$X$528,MATCH(LARGE('Calc (scoring engine)'!$K$5:$K$528,11),'Calc (scoring engine)'!$K$5:$K$528,0))),""))</f>
        <v/>
      </c>
      <c r="W31" s="53">
        <f>IF(OR(11&gt;MAX(3,MIN(15,N($D$18))),IFERROR(LARGE('Calc (scoring engine)'!$K$5:$K$528,11),-999999)&lt;=-900000),"",IFERROR(IF(INDEX(Database!$Y$5:$Y$528,MATCH(LARGE('Calc (scoring engine)'!$K$5:$K$528,11),'Calc (scoring engine)'!$K$5:$K$528,0))="","—",INDEX(Database!$Y$5:$Y$528,MATCH(LARGE('Calc (scoring engine)'!$K$5:$K$528,11),'Calc (scoring engine)'!$K$5:$K$528,0))),""))</f>
        <v/>
      </c>
      <c r="X31" s="53">
        <f>IF(OR(11&gt;MAX(3,MIN(15,N($D$18))),IFERROR(LARGE('Calc (scoring engine)'!$K$5:$K$528,11),-999999)&lt;=-900000),"",IFERROR(IF(INDEX(Database!$Z$5:$Z$528,MATCH(LARGE('Calc (scoring engine)'!$K$5:$K$528,11),'Calc (scoring engine)'!$K$5:$K$528,0))="","—",INDEX(Database!$Z$5:$Z$528,MATCH(LARGE('Calc (scoring engine)'!$K$5:$K$528,11),'Calc (scoring engine)'!$K$5:$K$528,0))),""))</f>
        <v/>
      </c>
      <c r="Y31" s="65">
        <f>IF(OR(11&gt;MAX(3,MIN(15,N($D$18))),IFERROR(LARGE('Calc (scoring engine)'!$K$5:$K$528,11),-999999)&lt;=-900000),"",IFERROR(IF(INDEX(Database!$AA$5:$AA$528,MATCH(LARGE('Calc (scoring engine)'!$K$5:$K$528,11),'Calc (scoring engine)'!$K$5:$K$528,0))="","—",INDEX(Database!$AA$5:$AA$528,MATCH(LARGE('Calc (scoring engine)'!$K$5:$K$528,11),'Calc (scoring engine)'!$K$5:$K$528,0))),""))</f>
        <v/>
      </c>
      <c r="Z31" s="43">
        <f>IF(OR(11&gt;MAX(3,MIN(15,N($D$18))),IFERROR(LARGE('Calc (scoring engine)'!$K$5:$K$528,11),-999999)&lt;=-900000),"",IFERROR(IF(INDEX(Database!$AB$5:$AB$528,MATCH(LARGE('Calc (scoring engine)'!$K$5:$K$528,11),'Calc (scoring engine)'!$K$5:$K$528,0))="","—",INDEX(Database!$AB$5:$AB$528,MATCH(LARGE('Calc (scoring engine)'!$K$5:$K$528,11),'Calc (scoring engine)'!$K$5:$K$528,0))),""))</f>
        <v/>
      </c>
      <c r="AA31" s="65">
        <f>IF(OR(11&gt;MAX(3,MIN(15,N($D$18))),IFERROR(LARGE('Calc (scoring engine)'!$K$5:$K$528,11),-999999)&lt;=-900000),"",IFERROR(IF(INDEX(Database!$AD$5:$AD$528,MATCH(LARGE('Calc (scoring engine)'!$K$5:$K$528,11),'Calc (scoring engine)'!$K$5:$K$528,0))="","—",INDEX(Database!$AD$5:$AD$528,MATCH(LARGE('Calc (scoring engine)'!$K$5:$K$528,11),'Calc (scoring engine)'!$K$5:$K$528,0))),""))</f>
        <v/>
      </c>
      <c r="AB31" s="43">
        <f>IF(OR(11&gt;MAX(3,MIN(15,N($D$18))),IFERROR(LARGE('Calc (scoring engine)'!$K$5:$K$528,11),-999999)&lt;=-900000),"",IFERROR(IF(INDEX(Database!$AE$5:$AE$528,MATCH(LARGE('Calc (scoring engine)'!$K$5:$K$528,11),'Calc (scoring engine)'!$K$5:$K$528,0))="","—",INDEX(Database!$AE$5:$AE$528,MATCH(LARGE('Calc (scoring engine)'!$K$5:$K$528,11),'Calc (scoring engine)'!$K$5:$K$528,0))),""))</f>
        <v/>
      </c>
      <c r="AC31" s="43">
        <f>IF(OR(11&gt;MAX(3,MIN(15,N($D$18))),IFERROR(LARGE('Calc (scoring engine)'!$K$5:$K$528,11),-999999)&lt;=-900000),"",IFERROR(IF(INDEX(Database!$AF$5:$AF$528,MATCH(LARGE('Calc (scoring engine)'!$K$5:$K$528,11),'Calc (scoring engine)'!$K$5:$K$528,0))="","—",INDEX(Database!$AF$5:$AF$528,MATCH(LARGE('Calc (scoring engine)'!$K$5:$K$528,11),'Calc (scoring engine)'!$K$5:$K$528,0))),""))</f>
        <v/>
      </c>
      <c r="AD31" s="43">
        <f>IF(OR(11&gt;MAX(3,MIN(15,N($D$18))),IFERROR(LARGE('Calc (scoring engine)'!$K$5:$K$528,11),-999999)&lt;=-900000),"",IFERROR(IF(INDEX(Database!$AG$5:$AG$528,MATCH(LARGE('Calc (scoring engine)'!$K$5:$K$528,11),'Calc (scoring engine)'!$K$5:$K$528,0))="","—",INDEX(Database!$AG$5:$AG$528,MATCH(LARGE('Calc (scoring engine)'!$K$5:$K$528,11),'Calc (scoring engine)'!$K$5:$K$528,0))),""))</f>
        <v/>
      </c>
      <c r="AE31" s="43">
        <f>IF(OR(11&gt;MAX(3,MIN(15,N($D$18))),IFERROR(LARGE('Calc (scoring engine)'!$K$5:$K$528,11),-999999)&lt;=-900000),"",IFERROR(IF(INDEX(Database!$AH$5:$AH$528,MATCH(LARGE('Calc (scoring engine)'!$K$5:$K$528,11),'Calc (scoring engine)'!$K$5:$K$528,0))="","—",INDEX(Database!$AH$5:$AH$528,MATCH(LARGE('Calc (scoring engine)'!$K$5:$K$528,11),'Calc (scoring engine)'!$K$5:$K$528,0))),""))</f>
        <v/>
      </c>
      <c r="AF31" s="57">
        <f>IF(OR(11&gt;MAX(3,MIN(15,N($D$18))),IFERROR(LARGE('Calc (scoring engine)'!$K$5:$K$528,11),-999999)&lt;=-900000),"",IFERROR(IF(INDEX(Database!$AI$5:$AI$528,MATCH(LARGE('Calc (scoring engine)'!$K$5:$K$528,11),'Calc (scoring engine)'!$K$5:$K$528,0))="","—",INDEX(Database!$AI$5:$AI$528,MATCH(LARGE('Calc (scoring engine)'!$K$5:$K$528,11),'Calc (scoring engine)'!$K$5:$K$528,0))),""))</f>
        <v/>
      </c>
      <c r="AG31" s="57">
        <f>IF(OR(11&gt;MAX(3,MIN(15,N($D$18))),IFERROR(LARGE('Calc (scoring engine)'!$K$5:$K$528,11),-999999)&lt;=-900000),"",IFERROR(IF(INDEX(Database!$AJ$5:$AJ$528,MATCH(LARGE('Calc (scoring engine)'!$K$5:$K$528,11),'Calc (scoring engine)'!$K$5:$K$528,0))="","—",INDEX(Database!$AJ$5:$AJ$528,MATCH(LARGE('Calc (scoring engine)'!$K$5:$K$528,11),'Calc (scoring engine)'!$K$5:$K$528,0))),""))</f>
        <v/>
      </c>
      <c r="AH31" s="57">
        <f>IF(OR(11&gt;MAX(3,MIN(15,N($D$18))),IFERROR(LARGE('Calc (scoring engine)'!$K$5:$K$528,11),-999999)&lt;=-900000),"",IFERROR(IF(INDEX(Database!$AK$5:$AK$528,MATCH(LARGE('Calc (scoring engine)'!$K$5:$K$528,11),'Calc (scoring engine)'!$K$5:$K$528,0))="","—",INDEX(Database!$AK$5:$AK$528,MATCH(LARGE('Calc (scoring engine)'!$K$5:$K$528,11),'Calc (scoring engine)'!$K$5:$K$528,0))),""))</f>
        <v/>
      </c>
      <c r="AI31" s="57">
        <f>IF(OR(11&gt;MAX(3,MIN(15,N($D$18))),IFERROR(LARGE('Calc (scoring engine)'!$K$5:$K$528,11),-999999)&lt;=-900000),"",IFERROR(IF(INDEX(Database!$AL$5:$AL$528,MATCH(LARGE('Calc (scoring engine)'!$K$5:$K$528,11),'Calc (scoring engine)'!$K$5:$K$528,0))="","—",INDEX(Database!$AL$5:$AL$528,MATCH(LARGE('Calc (scoring engine)'!$K$5:$K$528,11),'Calc (scoring engine)'!$K$5:$K$528,0))),""))</f>
        <v/>
      </c>
      <c r="AJ31" s="57">
        <f>IF(OR(11&gt;MAX(3,MIN(15,N($D$18))),IFERROR(LARGE('Calc (scoring engine)'!$K$5:$K$528,11),-999999)&lt;=-900000),"",IFERROR(IF(INDEX(Database!$AM$5:$AM$528,MATCH(LARGE('Calc (scoring engine)'!$K$5:$K$528,11),'Calc (scoring engine)'!$K$5:$K$528,0))="","—",INDEX(Database!$AM$5:$AM$528,MATCH(LARGE('Calc (scoring engine)'!$K$5:$K$528,11),'Calc (scoring engine)'!$K$5:$K$528,0))),""))</f>
        <v/>
      </c>
      <c r="AK31" s="58">
        <f>IF(OR(11&gt;MAX(3,MIN(15,N($D$18))),IFERROR(LARGE('Calc (scoring engine)'!$K$5:$K$528,11),-999999)&lt;=-900000),"",IFERROR(IF(INDEX(Database!$AN$5:$AN$528,MATCH(LARGE('Calc (scoring engine)'!$K$5:$K$528,11),'Calc (scoring engine)'!$K$5:$K$528,0))="","—",INDEX(Database!$AN$5:$AN$528,MATCH(LARGE('Calc (scoring engine)'!$K$5:$K$528,11),'Calc (scoring engine)'!$K$5:$K$528,0))),""))</f>
        <v/>
      </c>
      <c r="AL31" s="65">
        <f>IF(OR(11&gt;MAX(3,MIN(15,N($D$18))),IFERROR(LARGE('Calc (scoring engine)'!$K$5:$K$528,11),-999999)&lt;=-900000),"",IFERROR(IF(INDEX(Database!$AO$5:$AO$528,MATCH(LARGE('Calc (scoring engine)'!$K$5:$K$528,11),'Calc (scoring engine)'!$K$5:$K$528,0))="","—",INDEX(Database!$AO$5:$AO$528,MATCH(LARGE('Calc (scoring engine)'!$K$5:$K$528,11),'Calc (scoring engine)'!$K$5:$K$528,0))),""))</f>
        <v/>
      </c>
      <c r="AM31" s="57">
        <f>IF(OR(11&gt;MAX(3,MIN(15,N($D$18))),IFERROR(LARGE('Calc (scoring engine)'!$K$5:$K$528,11),-999999)&lt;=-900000),"",IFERROR(IF(INDEX(Database!$AP$5:$AP$528,MATCH(LARGE('Calc (scoring engine)'!$K$5:$K$528,11),'Calc (scoring engine)'!$K$5:$K$528,0))="","—",INDEX(Database!$AP$5:$AP$528,MATCH(LARGE('Calc (scoring engine)'!$K$5:$K$528,11),'Calc (scoring engine)'!$K$5:$K$528,0))),""))</f>
        <v/>
      </c>
      <c r="AN31" s="57">
        <f>IF(OR(11&gt;MAX(3,MIN(15,N($D$18))),IFERROR(LARGE('Calc (scoring engine)'!$K$5:$K$528,11),-999999)&lt;=-900000),"",IFERROR(IF(INDEX(Database!$AQ$5:$AQ$528,MATCH(LARGE('Calc (scoring engine)'!$K$5:$K$528,11),'Calc (scoring engine)'!$K$5:$K$528,0))="","—",INDEX(Database!$AQ$5:$AQ$528,MATCH(LARGE('Calc (scoring engine)'!$K$5:$K$528,11),'Calc (scoring engine)'!$K$5:$K$528,0))),""))</f>
        <v/>
      </c>
      <c r="AO31" s="57">
        <f>IF(OR(11&gt;MAX(3,MIN(15,N($D$18))),IFERROR(LARGE('Calc (scoring engine)'!$K$5:$K$528,11),-999999)&lt;=-900000),"",IFERROR(IF(INDEX(Database!$AR$5:$AR$528,MATCH(LARGE('Calc (scoring engine)'!$K$5:$K$528,11),'Calc (scoring engine)'!$K$5:$K$528,0))="","—",INDEX(Database!$AR$5:$AR$528,MATCH(LARGE('Calc (scoring engine)'!$K$5:$K$528,11),'Calc (scoring engine)'!$K$5:$K$528,0))),""))</f>
        <v/>
      </c>
      <c r="AP31" s="57">
        <f>IF(OR(11&gt;MAX(3,MIN(15,N($D$18))),IFERROR(LARGE('Calc (scoring engine)'!$K$5:$K$528,11),-999999)&lt;=-900000),"",IFERROR(IF(INDEX(Database!$AS$5:$AS$528,MATCH(LARGE('Calc (scoring engine)'!$K$5:$K$528,11),'Calc (scoring engine)'!$K$5:$K$528,0))="","—",INDEX(Database!$AS$5:$AS$528,MATCH(LARGE('Calc (scoring engine)'!$K$5:$K$528,11),'Calc (scoring engine)'!$K$5:$K$528,0))),""))</f>
        <v/>
      </c>
      <c r="AQ31" s="57">
        <f>IF(OR(11&gt;MAX(3,MIN(15,N($D$18))),IFERROR(LARGE('Calc (scoring engine)'!$K$5:$K$528,11),-999999)&lt;=-900000),"",IFERROR(IF(INDEX(Database!$AT$5:$AT$528,MATCH(LARGE('Calc (scoring engine)'!$K$5:$K$528,11),'Calc (scoring engine)'!$K$5:$K$528,0))="","—",INDEX(Database!$AT$5:$AT$528,MATCH(LARGE('Calc (scoring engine)'!$K$5:$K$528,11),'Calc (scoring engine)'!$K$5:$K$528,0))),""))</f>
        <v/>
      </c>
      <c r="AR31" s="57">
        <f>IF(OR(11&gt;MAX(3,MIN(15,N($D$18))),IFERROR(LARGE('Calc (scoring engine)'!$K$5:$K$528,11),-999999)&lt;=-900000),"",IFERROR(IF(INDEX(Database!$AU$5:$AU$528,MATCH(LARGE('Calc (scoring engine)'!$K$5:$K$528,11),'Calc (scoring engine)'!$K$5:$K$528,0))="","—",INDEX(Database!$AU$5:$AU$528,MATCH(LARGE('Calc (scoring engine)'!$K$5:$K$528,11),'Calc (scoring engine)'!$K$5:$K$528,0))),""))</f>
        <v/>
      </c>
      <c r="AS31" s="57">
        <f>IF(OR(11&gt;MAX(3,MIN(15,N($D$18))),IFERROR(LARGE('Calc (scoring engine)'!$K$5:$K$528,11),-999999)&lt;=-900000),"",IFERROR(IF(INDEX(Database!$AV$5:$AV$528,MATCH(LARGE('Calc (scoring engine)'!$K$5:$K$528,11),'Calc (scoring engine)'!$K$5:$K$528,0))="","—",INDEX(Database!$AV$5:$AV$528,MATCH(LARGE('Calc (scoring engine)'!$K$5:$K$528,11),'Calc (scoring engine)'!$K$5:$K$528,0))),""))</f>
        <v/>
      </c>
      <c r="AT31" s="57">
        <f>IF(OR(11&gt;MAX(3,MIN(15,N($D$18))),IFERROR(LARGE('Calc (scoring engine)'!$K$5:$K$528,11),-999999)&lt;=-900000),"",IFERROR(IF(INDEX(Database!$AW$5:$AW$528,MATCH(LARGE('Calc (scoring engine)'!$K$5:$K$528,11),'Calc (scoring engine)'!$K$5:$K$528,0))="","—",INDEX(Database!$AW$5:$AW$528,MATCH(LARGE('Calc (scoring engine)'!$K$5:$K$528,11),'Calc (scoring engine)'!$K$5:$K$528,0))),""))</f>
        <v/>
      </c>
      <c r="AU31" s="57">
        <f>IF(OR(11&gt;MAX(3,MIN(15,N($D$18))),IFERROR(LARGE('Calc (scoring engine)'!$K$5:$K$528,11),-999999)&lt;=-900000),"",IFERROR(IF(INDEX(Database!$AX$5:$AX$528,MATCH(LARGE('Calc (scoring engine)'!$K$5:$K$528,11),'Calc (scoring engine)'!$K$5:$K$528,0))="","—",INDEX(Database!$AX$5:$AX$528,MATCH(LARGE('Calc (scoring engine)'!$K$5:$K$528,11),'Calc (scoring engine)'!$K$5:$K$528,0))),""))</f>
        <v/>
      </c>
      <c r="AV31" s="57">
        <f>IF(OR(11&gt;MAX(3,MIN(15,N($D$18))),IFERROR(LARGE('Calc (scoring engine)'!$K$5:$K$528,11),-999999)&lt;=-900000),"",IFERROR(IF(INDEX(Database!$AY$5:$AY$528,MATCH(LARGE('Calc (scoring engine)'!$K$5:$K$528,11),'Calc (scoring engine)'!$K$5:$K$528,0))="","—",INDEX(Database!$AY$5:$AY$528,MATCH(LARGE('Calc (scoring engine)'!$K$5:$K$528,11),'Calc (scoring engine)'!$K$5:$K$528,0))),""))</f>
        <v/>
      </c>
      <c r="AW31" s="57">
        <f>IF(OR(11&gt;MAX(3,MIN(15,N($D$18))),IFERROR(LARGE('Calc (scoring engine)'!$K$5:$K$528,11),-999999)&lt;=-900000),"",IFERROR(IF(INDEX(Database!$AZ$5:$AZ$528,MATCH(LARGE('Calc (scoring engine)'!$K$5:$K$528,11),'Calc (scoring engine)'!$K$5:$K$528,0))="","—",INDEX(Database!$AZ$5:$AZ$528,MATCH(LARGE('Calc (scoring engine)'!$K$5:$K$528,11),'Calc (scoring engine)'!$K$5:$K$528,0))),""))</f>
        <v/>
      </c>
      <c r="AX31" s="57">
        <f>IF(OR(11&gt;MAX(3,MIN(15,N($D$18))),IFERROR(LARGE('Calc (scoring engine)'!$K$5:$K$528,11),-999999)&lt;=-900000),"",IFERROR(IF(INDEX(Database!$BA$5:$BA$528,MATCH(LARGE('Calc (scoring engine)'!$K$5:$K$528,11),'Calc (scoring engine)'!$K$5:$K$528,0))="","—",INDEX(Database!$BA$5:$BA$528,MATCH(LARGE('Calc (scoring engine)'!$K$5:$K$528,11),'Calc (scoring engine)'!$K$5:$K$528,0))),""))</f>
        <v/>
      </c>
      <c r="AY31" s="57">
        <f>IF(OR(11&gt;MAX(3,MIN(15,N($D$18))),IFERROR(LARGE('Calc (scoring engine)'!$K$5:$K$528,11),-999999)&lt;=-900000),"",IFERROR(IF(INDEX(Database!$BC$5:$BC$528,MATCH(LARGE('Calc (scoring engine)'!$K$5:$K$528,11),'Calc (scoring engine)'!$K$5:$K$528,0))="","—",INDEX(Database!$BC$5:$BC$528,MATCH(LARGE('Calc (scoring engine)'!$K$5:$K$528,11),'Calc (scoring engine)'!$K$5:$K$528,0))),""))</f>
        <v/>
      </c>
      <c r="AZ31" s="53">
        <f>IF(OR(11&gt;MAX(3,MIN(15,N($D$18))),IFERROR(LARGE('Calc (scoring engine)'!$K$5:$K$528,11),-999999)&lt;=-900000),"",IFERROR(IF(INDEX(Database!$BE$5:$BE$528,MATCH(LARGE('Calc (scoring engine)'!$K$5:$K$528,11),'Calc (scoring engine)'!$K$5:$K$528,0))="","—",INDEX(Database!$BE$5:$BE$528,MATCH(LARGE('Calc (scoring engine)'!$K$5:$K$528,11),'Calc (scoring engine)'!$K$5:$K$528,0))),""))</f>
        <v/>
      </c>
      <c r="BA31" s="53">
        <f>IF(OR(11&gt;MAX(3,MIN(15,N($D$18))),IFERROR(LARGE('Calc (scoring engine)'!$K$5:$K$528,11),-999999)&lt;=-900000),"",IFERROR(IF(INDEX(Database!$BF$5:$BF$528,MATCH(LARGE('Calc (scoring engine)'!$K$5:$K$528,11),'Calc (scoring engine)'!$K$5:$K$528,0))="","—",INDEX(Database!$BF$5:$BF$528,MATCH(LARGE('Calc (scoring engine)'!$K$5:$K$528,11),'Calc (scoring engine)'!$K$5:$K$528,0))),""))</f>
        <v/>
      </c>
      <c r="BB31" s="43">
        <f>IF(OR(11&gt;MAX(3,MIN(15,N($D$18))),IFERROR(LARGE('Calc (scoring engine)'!$K$5:$K$528,11),-999999)&lt;=-900000),"",IFERROR(IF(INDEX(Database!$BG$5:$BG$528,MATCH(LARGE('Calc (scoring engine)'!$K$5:$K$528,11),'Calc (scoring engine)'!$K$5:$K$528,0))="","—",INDEX(Database!$BG$5:$BG$528,MATCH(LARGE('Calc (scoring engine)'!$K$5:$K$528,11),'Calc (scoring engine)'!$K$5:$K$528,0))),""))</f>
        <v/>
      </c>
      <c r="BC31" s="58">
        <f>IF(OR(11&gt;MAX(3,MIN(15,N($D$18))),IFERROR(LARGE('Calc (scoring engine)'!$K$5:$K$528,11),-999999)&lt;=-900000),"",IFERROR(IF(N(INDEX(Database!$BH$5:$BH$528,MATCH(LARGE('Calc (scoring engine)'!$K$5:$K$528,11),'Calc (scoring engine)'!$K$5:$K$528,0)))&lt;=0,IF(INDEX(Database!$BG$5:$BG$528,MATCH(LARGE('Calc (scoring engine)'!$K$5:$K$528,11),'Calc (scoring engine)'!$K$5:$K$528,0))="N","n/m","—"),INDEX(Database!$BH$5:$BH$528,MATCH(LARGE('Calc (scoring engine)'!$K$5:$K$528,11),'Calc (scoring engine)'!$K$5:$K$528,0))),""))</f>
        <v/>
      </c>
      <c r="BD31" s="58">
        <f>IF(OR(11&gt;MAX(3,MIN(15,N($D$18))),IFERROR(LARGE('Calc (scoring engine)'!$K$5:$K$528,11),-999999)&lt;=-900000),"",IFERROR(IF(INDEX(Database!$BI$5:$BI$528,MATCH(LARGE('Calc (scoring engine)'!$K$5:$K$528,11),'Calc (scoring engine)'!$K$5:$K$528,0))="","—",INDEX(Database!$BI$5:$BI$528,MATCH(LARGE('Calc (scoring engine)'!$K$5:$K$528,11),'Calc (scoring engine)'!$K$5:$K$528,0))),""))</f>
        <v/>
      </c>
      <c r="BE31" s="58">
        <f>IF(OR(11&gt;MAX(3,MIN(15,N($D$18))),IFERROR(LARGE('Calc (scoring engine)'!$K$5:$K$528,11),-999999)&lt;=-900000),"",IFERROR(IF(INDEX(Database!$BJ$5:$BJ$528,MATCH(LARGE('Calc (scoring engine)'!$K$5:$K$528,11),'Calc (scoring engine)'!$K$5:$K$528,0))="","—",INDEX(Database!$BJ$5:$BJ$528,MATCH(LARGE('Calc (scoring engine)'!$K$5:$K$528,11),'Calc (scoring engine)'!$K$5:$K$528,0))),""))</f>
        <v/>
      </c>
      <c r="BF31" s="58">
        <f>IF(OR(11&gt;MAX(3,MIN(15,N($D$18))),IFERROR(LARGE('Calc (scoring engine)'!$K$5:$K$528,11),-999999)&lt;=-900000),"",IFERROR(IF(INDEX(Database!$BK$5:$BK$528,MATCH(LARGE('Calc (scoring engine)'!$K$5:$K$528,11),'Calc (scoring engine)'!$K$5:$K$528,0))="","—",INDEX(Database!$BK$5:$BK$528,MATCH(LARGE('Calc (scoring engine)'!$K$5:$K$528,11),'Calc (scoring engine)'!$K$5:$K$528,0))),""))</f>
        <v/>
      </c>
      <c r="BG31" s="58">
        <f>IF(OR(11&gt;MAX(3,MIN(15,N($D$18))),IFERROR(LARGE('Calc (scoring engine)'!$K$5:$K$528,11),-999999)&lt;=-900000),"",IFERROR(IF(INDEX(Database!$BL$5:$BL$528,MATCH(LARGE('Calc (scoring engine)'!$K$5:$K$528,11),'Calc (scoring engine)'!$K$5:$K$528,0))="","—",INDEX(Database!$BL$5:$BL$528,MATCH(LARGE('Calc (scoring engine)'!$K$5:$K$528,11),'Calc (scoring engine)'!$K$5:$K$528,0))),""))</f>
        <v/>
      </c>
      <c r="BH31" s="58">
        <f>IF(OR(11&gt;MAX(3,MIN(15,N($D$18))),IFERROR(LARGE('Calc (scoring engine)'!$K$5:$K$528,11),-999999)&lt;=-900000),"",IFERROR(IFERROR(BDP(TEXT(INDEX(Database!$A$5:$A$528,MATCH(LARGE('Calc (scoring engine)'!$K$5:$K$528,11),'Calc (scoring engine)'!$K$5:$K$528,0)),"0")&amp;" HK Equity","PE_RATIO"),IF(INDEX(Database!$BJ$5:$BJ$528,MATCH(LARGE('Calc (scoring engine)'!$K$5:$K$528,11),'Calc (scoring engine)'!$K$5:$K$528,0))="","—",INDEX(Database!$BJ$5:$BJ$528,MATCH(LARGE('Calc (scoring engine)'!$K$5:$K$528,11),'Calc (scoring engine)'!$K$5:$K$528,0)))),""))</f>
        <v/>
      </c>
      <c r="BI31" s="58">
        <f>IF(OR(11&gt;MAX(3,MIN(15,N($D$18))),IFERROR(LARGE('Calc (scoring engine)'!$K$5:$K$528,11),-999999)&lt;=-900000),"",IFERROR(IFERROR(BDP(TEXT(INDEX(Database!$A$5:$A$528,MATCH(LARGE('Calc (scoring engine)'!$K$5:$K$528,11),'Calc (scoring engine)'!$K$5:$K$528,0)),"0")&amp;" HK Equity","PX_TO_SALES_RATIO"),IF(INDEX(Database!$BK$5:$BK$528,MATCH(LARGE('Calc (scoring engine)'!$K$5:$K$528,11),'Calc (scoring engine)'!$K$5:$K$528,0))="","—",INDEX(Database!$BK$5:$BK$528,MATCH(LARGE('Calc (scoring engine)'!$K$5:$K$528,11),'Calc (scoring engine)'!$K$5:$K$528,0)))),""))</f>
        <v/>
      </c>
      <c r="BJ31" s="43">
        <f>IF(OR(11&gt;MAX(3,MIN(15,N($D$18))),IFERROR(LARGE('Calc (scoring engine)'!$K$5:$K$528,11),-999999)&lt;=-900000),"",IFERROR(IF(INDEX(Database!$BM$5:$BM$528,MATCH(LARGE('Calc (scoring engine)'!$K$5:$K$528,11),'Calc (scoring engine)'!$K$5:$K$528,0))="","—",INDEX(Database!$BM$5:$BM$528,MATCH(LARGE('Calc (scoring engine)'!$K$5:$K$528,11),'Calc (scoring engine)'!$K$5:$K$528,0))),""))</f>
        <v/>
      </c>
      <c r="BK31" s="43">
        <f>IF(OR(11&gt;MAX(3,MIN(15,N($D$18))),IFERROR(LARGE('Calc (scoring engine)'!$K$5:$K$528,11),-999999)&lt;=-900000),"",IFERROR(IF(INDEX(Database!$BN$5:$BN$528,MATCH(LARGE('Calc (scoring engine)'!$K$5:$K$528,11),'Calc (scoring engine)'!$K$5:$K$528,0))="","—",INDEX(Database!$BN$5:$BN$528,MATCH(LARGE('Calc (scoring engine)'!$K$5:$K$528,11),'Calc (scoring engine)'!$K$5:$K$528,0))),""))</f>
        <v/>
      </c>
      <c r="BL31" s="57">
        <f>IF(OR(11&gt;MAX(3,MIN(15,N($D$18))),IFERROR(LARGE('Calc (scoring engine)'!$K$5:$K$528,11),-999999)&lt;=-900000),"",IFERROR(IF(INDEX(Database!$BO$5:$BO$528,MATCH(LARGE('Calc (scoring engine)'!$K$5:$K$528,11),'Calc (scoring engine)'!$K$5:$K$528,0))="","—",INDEX(Database!$BO$5:$BO$528,MATCH(LARGE('Calc (scoring engine)'!$K$5:$K$528,11),'Calc (scoring engine)'!$K$5:$K$528,0))),""))</f>
        <v/>
      </c>
      <c r="BM31" s="85">
        <f>IF(OR(11&gt;MAX(3,MIN(15,N($D$18))),IFERROR(LARGE('Calc (scoring engine)'!$K$5:$K$528,11),-999999)&lt;=-900000),"",IFERROR(IF(INDEX(Database!$BP$5:$BP$528,MATCH(LARGE('Calc (scoring engine)'!$K$5:$K$528,11),'Calc (scoring engine)'!$K$5:$K$528,0))="","—",INDEX(Database!$BP$5:$BP$528,MATCH(LARGE('Calc (scoring engine)'!$K$5:$K$528,11),'Calc (scoring engine)'!$K$5:$K$528,0))),""))</f>
        <v/>
      </c>
      <c r="BN31" s="89">
        <f>IF(OR(11&gt;MAX(3,MIN(15,N($D$18))),IFERROR(LARGE('Calc (scoring engine)'!$K$5:$K$528,11),-999999)&lt;=-900000),"",IFERROR(IF(INDEX(Database!$BQ$5:$BQ$528,MATCH(LARGE('Calc (scoring engine)'!$K$5:$K$528,11),'Calc (scoring engine)'!$K$5:$K$528,0))="","—",INDEX(Database!$BQ$5:$BQ$528,MATCH(LARGE('Calc (scoring engine)'!$K$5:$K$528,11),'Calc (scoring engine)'!$K$5:$K$528,0))),""))</f>
        <v/>
      </c>
      <c r="BO31" s="53">
        <f>IF(OR(11&gt;MAX(3,MIN(15,N($D$18))),IFERROR(LARGE('Calc (scoring engine)'!$K$5:$K$528,11),-999999)&lt;=-900000),"",IFERROR(IF(INDEX(Database!$BR$5:$BR$528,MATCH(LARGE('Calc (scoring engine)'!$K$5:$K$528,11),'Calc (scoring engine)'!$K$5:$K$528,0))="","—",INDEX(Database!$BR$5:$BR$528,MATCH(LARGE('Calc (scoring engine)'!$K$5:$K$528,11),'Calc (scoring engine)'!$K$5:$K$528,0))),""))</f>
        <v/>
      </c>
      <c r="BP31" s="58">
        <f>IF(OR(11&gt;MAX(3,MIN(15,N($D$18))),IFERROR(LARGE('Calc (scoring engine)'!$K$5:$K$528,11),-999999)&lt;=-900000),"",IFERROR(IF(INDEX(Database!$BS$5:$BS$528,MATCH(LARGE('Calc (scoring engine)'!$K$5:$K$528,11),'Calc (scoring engine)'!$K$5:$K$528,0))="","—",INDEX(Database!$BS$5:$BS$528,MATCH(LARGE('Calc (scoring engine)'!$K$5:$K$528,11),'Calc (scoring engine)'!$K$5:$K$528,0))),""))</f>
        <v/>
      </c>
      <c r="BQ31" s="58">
        <f>IF(OR(11&gt;MAX(3,MIN(15,N($D$18))),IFERROR(LARGE('Calc (scoring engine)'!$K$5:$K$528,11),-999999)&lt;=-900000),"",IFERROR(IF(INDEX(Database!$BT$5:$BT$528,MATCH(LARGE('Calc (scoring engine)'!$K$5:$K$528,11),'Calc (scoring engine)'!$K$5:$K$528,0))="","—",INDEX(Database!$BT$5:$BT$528,MATCH(LARGE('Calc (scoring engine)'!$K$5:$K$528,11),'Calc (scoring engine)'!$K$5:$K$528,0))),""))</f>
        <v/>
      </c>
      <c r="BR31" s="43">
        <f>IF(OR(11&gt;MAX(3,MIN(15,N($D$18))),IFERROR(LARGE('Calc (scoring engine)'!$K$5:$K$528,11),-999999)&lt;=-900000),"",IFERROR(IF(INDEX(Database!$BU$5:$BU$528,MATCH(LARGE('Calc (scoring engine)'!$K$5:$K$528,11),'Calc (scoring engine)'!$K$5:$K$528,0))="","—",INDEX(Database!$BU$5:$BU$528,MATCH(LARGE('Calc (scoring engine)'!$K$5:$K$528,11),'Calc (scoring engine)'!$K$5:$K$528,0))),""))</f>
        <v/>
      </c>
      <c r="BS31" s="43">
        <f>IF(OR(11&gt;MAX(3,MIN(15,N($D$18))),IFERROR(LARGE('Calc (scoring engine)'!$K$5:$K$528,11),-999999)&lt;=-900000),"",IFERROR(IF(INDEX(Database!$BW$5:$BW$528,MATCH(LARGE('Calc (scoring engine)'!$K$5:$K$528,11),'Calc (scoring engine)'!$K$5:$K$528,0))="","—",INDEX(Database!$BW$5:$BW$528,MATCH(LARGE('Calc (scoring engine)'!$K$5:$K$528,11),'Calc (scoring engine)'!$K$5:$K$528,0))),""))</f>
        <v/>
      </c>
      <c r="BT31" s="88">
        <f>IF(OR(11&gt;MAX(3,MIN(15,N($D$18))),IFERROR(LARGE('Calc (scoring engine)'!$K$5:$K$528,11),-999999)&lt;=-900000),"",IFERROR(IF(INDEX('Calc (scoring engine)'!$H$5:$H$528,MATCH(LARGE('Calc (scoring engine)'!$K$5:$K$528,11),'Calc (scoring engine)'!$K$5:$K$528,0))&gt;0,INDEX('Calc (scoring engine)'!$H$5:$H$528,MATCH(LARGE('Calc (scoring engine)'!$K$5:$K$528,11),'Calc (scoring engine)'!$K$5:$K$528,0)),""),""))</f>
        <v/>
      </c>
      <c r="BU31" s="43">
        <f>IF(OR(11&gt;MAX(3,MIN(15,N($D$18))),IFERROR(LARGE('Calc (scoring engine)'!$K$5:$K$528,11),-999999)&lt;=-900000),"",IF(IFERROR(INDEX('Calc (scoring engine)'!$B$5:$B$528,MATCH(LARGE('Calc (scoring engine)'!$K$5:$K$528,11),'Calc (scoring engine)'!$K$5:$K$528,0)),0)=1,"same subsector","sector only"))</f>
        <v/>
      </c>
      <c r="BV31" s="88">
        <f>IF(OR(11&gt;MAX(3,MIN(15,N($D$18))),IFERROR(LARGE('Calc (scoring engine)'!$K$5:$K$528,11),-999999)&lt;=-900000),"",ROUND(IFERROR(LARGE('Calc (scoring engine)'!$K$5:$K$528,11),0),0))</f>
        <v/>
      </c>
      <c r="BW31" s="43">
        <f>IF(OR(11&gt;MAX(3,MIN(15,N($D$18))),IFERROR(LARGE('Calc (scoring engine)'!$K$5:$K$528,11),-999999)&lt;=-900000),"",IFERROR("sub "&amp;INDEX('Calc (scoring engine)'!$B$5:$B$528,MATCH(LARGE('Calc (scoring engine)'!$K$5:$K$528,11),'Calc (scoring engine)'!$K$5:$K$528,0))*W_SUB&amp;" + size "&amp;ROUND(INDEX('Calc (scoring engine)'!$D$5:$D$528,MATCH(LARGE('Calc (scoring engine)'!$K$5:$K$528,11),'Calc (scoring engine)'!$K$5:$K$528,0))*W_SIZE,0)&amp;" + prof "&amp;INDEX('Calc (scoring engine)'!$E$5:$E$528,MATCH(LARGE('Calc (scoring engine)'!$K$5:$K$528,11),'Calc (scoring engine)'!$K$5:$K$528,0))*W_PROF&amp;" + recency "&amp;ROUND(INDEX('Calc (scoring engine)'!$G$5:$G$528,MATCH(LARGE('Calc (scoring engine)'!$K$5:$K$528,11),'Calc (scoring engine)'!$K$5:$K$528,0))*W_REC,0)&amp;IF(INDEX('Calc (scoring engine)'!$H$5:$H$528,MATCH(LARGE('Calc (scoring engine)'!$K$5:$K$528,11),'Calc (scoring engine)'!$K$5:$K$528,0))&gt;0," + shared CS x"&amp;INDEX('Calc (scoring engine)'!$H$5:$H$528,MATCH(LARGE('Calc (scoring engine)'!$K$5:$K$528,11),'Calc (scoring engine)'!$K$5:$K$528,0)),""),""))</f>
        <v/>
      </c>
    </row>
    <row r="32">
      <c r="A32" s="83">
        <f>IF(OR(12&gt;MAX(3,MIN(15,N($D$18))),IFERROR(LARGE('Calc (scoring engine)'!$K$5:$K$528,12),-999999)&lt;=-900000),"",12)</f>
        <v/>
      </c>
      <c r="B32" s="43">
        <f>IF(OR(12&gt;MAX(3,MIN(15,N($D$18))),IFERROR(LARGE('Calc (scoring engine)'!$K$5:$K$528,12),-999999)&lt;=-900000),"",IFERROR(IF(INDEX(Database!$B$5:$B$528,MATCH(LARGE('Calc (scoring engine)'!$K$5:$K$528,12),'Calc (scoring engine)'!$K$5:$K$528,0))="","—",INDEX(Database!$B$5:$B$528,MATCH(LARGE('Calc (scoring engine)'!$K$5:$K$528,12),'Calc (scoring engine)'!$K$5:$K$528,0))),""))</f>
        <v/>
      </c>
      <c r="C32" s="84">
        <f>IF(OR(12&gt;MAX(3,MIN(15,N($D$18))),IFERROR(LARGE('Calc (scoring engine)'!$K$5:$K$528,12),-999999)&lt;=-900000),"",IFERROR(IF(INDEX(Database!$A$5:$A$528,MATCH(LARGE('Calc (scoring engine)'!$K$5:$K$528,12),'Calc (scoring engine)'!$K$5:$K$528,0))="","—",INDEX(Database!$A$5:$A$528,MATCH(LARGE('Calc (scoring engine)'!$K$5:$K$528,12),'Calc (scoring engine)'!$K$5:$K$528,0))),""))</f>
        <v/>
      </c>
      <c r="D32" s="43">
        <f>IF(OR(12&gt;MAX(3,MIN(15,N($D$18))),IFERROR(LARGE('Calc (scoring engine)'!$K$5:$K$528,12),-999999)&lt;=-900000),"",IFERROR(IF(INDEX(Database!$D$5:$D$528,MATCH(LARGE('Calc (scoring engine)'!$K$5:$K$528,12),'Calc (scoring engine)'!$K$5:$K$528,0))="","—",INDEX(Database!$D$5:$D$528,MATCH(LARGE('Calc (scoring engine)'!$K$5:$K$528,12),'Calc (scoring engine)'!$K$5:$K$528,0))),""))</f>
        <v/>
      </c>
      <c r="E32" s="43">
        <f>IF(OR(12&gt;MAX(3,MIN(15,N($D$18))),IFERROR(LARGE('Calc (scoring engine)'!$K$5:$K$528,12),-999999)&lt;=-900000),"",IFERROR(IF(INDEX(Database!$E$5:$E$528,MATCH(LARGE('Calc (scoring engine)'!$K$5:$K$528,12),'Calc (scoring engine)'!$K$5:$K$528,0))="","—",INDEX(Database!$E$5:$E$528,MATCH(LARGE('Calc (scoring engine)'!$K$5:$K$528,12),'Calc (scoring engine)'!$K$5:$K$528,0))),""))</f>
        <v/>
      </c>
      <c r="F32" s="43">
        <f>IF(OR(12&gt;MAX(3,MIN(15,N($D$18))),IFERROR(LARGE('Calc (scoring engine)'!$K$5:$K$528,12),-999999)&lt;=-900000),"",IFERROR(IF(INDEX(Database!$F$5:$F$528,MATCH(LARGE('Calc (scoring engine)'!$K$5:$K$528,12),'Calc (scoring engine)'!$K$5:$K$528,0))="","—",INDEX(Database!$F$5:$F$528,MATCH(LARGE('Calc (scoring engine)'!$K$5:$K$528,12),'Calc (scoring engine)'!$K$5:$K$528,0))),""))</f>
        <v/>
      </c>
      <c r="G32" s="43">
        <f>IF(OR(12&gt;MAX(3,MIN(15,N($D$18))),IFERROR(LARGE('Calc (scoring engine)'!$K$5:$K$528,12),-999999)&lt;=-900000),"",IFERROR(IF(INDEX(Database!$G$5:$G$528,MATCH(LARGE('Calc (scoring engine)'!$K$5:$K$528,12),'Calc (scoring engine)'!$K$5:$K$528,0))="","—",INDEX(Database!$G$5:$G$528,MATCH(LARGE('Calc (scoring engine)'!$K$5:$K$528,12),'Calc (scoring engine)'!$K$5:$K$528,0))),""))</f>
        <v/>
      </c>
      <c r="H32" s="55">
        <f>IF(OR(12&gt;MAX(3,MIN(15,N($D$18))),IFERROR(LARGE('Calc (scoring engine)'!$K$5:$K$528,12),-999999)&lt;=-900000),"",IFERROR(IF(INDEX(Database!$H$5:$H$528,MATCH(LARGE('Calc (scoring engine)'!$K$5:$K$528,12),'Calc (scoring engine)'!$K$5:$K$528,0))="","—",INDEX(Database!$H$5:$H$528,MATCH(LARGE('Calc (scoring engine)'!$K$5:$K$528,12),'Calc (scoring engine)'!$K$5:$K$528,0))),""))</f>
        <v/>
      </c>
      <c r="I32" s="53">
        <f>IF(OR(12&gt;MAX(3,MIN(15,N($D$18))),IFERROR(LARGE('Calc (scoring engine)'!$K$5:$K$528,12),-999999)&lt;=-900000),"",IFERROR(IF(INDEX(Database!$I$5:$I$528,MATCH(LARGE('Calc (scoring engine)'!$K$5:$K$528,12),'Calc (scoring engine)'!$K$5:$K$528,0))="","—",INDEX(Database!$I$5:$I$528,MATCH(LARGE('Calc (scoring engine)'!$K$5:$K$528,12),'Calc (scoring engine)'!$K$5:$K$528,0))),""))</f>
        <v/>
      </c>
      <c r="J32" s="85">
        <f>IF(OR(12&gt;MAX(3,MIN(15,N($D$18))),IFERROR(LARGE('Calc (scoring engine)'!$K$5:$K$528,12),-999999)&lt;=-900000),"",IFERROR(IF(INDEX(Database!$K$5:$K$528,MATCH(LARGE('Calc (scoring engine)'!$K$5:$K$528,12),'Calc (scoring engine)'!$K$5:$K$528,0))="","—",INDEX(Database!$K$5:$K$528,MATCH(LARGE('Calc (scoring engine)'!$K$5:$K$528,12),'Calc (scoring engine)'!$K$5:$K$528,0))),""))</f>
        <v/>
      </c>
      <c r="K32" s="85">
        <f>IF(OR(12&gt;MAX(3,MIN(15,N($D$18))),IFERROR(LARGE('Calc (scoring engine)'!$K$5:$K$528,12),-999999)&lt;=-900000),"",IFERROR(IF(INDEX(Database!$L$5:$L$528,MATCH(LARGE('Calc (scoring engine)'!$K$5:$K$528,12),'Calc (scoring engine)'!$K$5:$K$528,0))="","—",INDEX(Database!$L$5:$L$528,MATCH(LARGE('Calc (scoring engine)'!$K$5:$K$528,12),'Calc (scoring engine)'!$K$5:$K$528,0))),""))</f>
        <v/>
      </c>
      <c r="L32" s="85">
        <f>IF(OR(12&gt;MAX(3,MIN(15,N($D$18))),IFERROR(LARGE('Calc (scoring engine)'!$K$5:$K$528,12),-999999)&lt;=-900000),"",IFERROR(IF(INDEX(Database!$M$5:$M$528,MATCH(LARGE('Calc (scoring engine)'!$K$5:$K$528,12),'Calc (scoring engine)'!$K$5:$K$528,0))="","—",INDEX(Database!$M$5:$M$528,MATCH(LARGE('Calc (scoring engine)'!$K$5:$K$528,12),'Calc (scoring engine)'!$K$5:$K$528,0))),""))</f>
        <v/>
      </c>
      <c r="M32" s="43">
        <f>IF(OR(12&gt;MAX(3,MIN(15,N($D$18))),IFERROR(LARGE('Calc (scoring engine)'!$K$5:$K$528,12),-999999)&lt;=-900000),"",IFERROR(IF(INDEX(Database!$N$5:$N$528,MATCH(LARGE('Calc (scoring engine)'!$K$5:$K$528,12),'Calc (scoring engine)'!$K$5:$K$528,0))="","—",INDEX(Database!$N$5:$N$528,MATCH(LARGE('Calc (scoring engine)'!$K$5:$K$528,12),'Calc (scoring engine)'!$K$5:$K$528,0))),""))</f>
        <v/>
      </c>
      <c r="N32" s="65">
        <f>IF(OR(12&gt;MAX(3,MIN(15,N($D$18))),IFERROR(LARGE('Calc (scoring engine)'!$K$5:$K$528,12),-999999)&lt;=-900000),"",IFERROR(IF(INDEX(Database!$O$5:$O$528,MATCH(LARGE('Calc (scoring engine)'!$K$5:$K$528,12),'Calc (scoring engine)'!$K$5:$K$528,0))="","—",INDEX(Database!$O$5:$O$528,MATCH(LARGE('Calc (scoring engine)'!$K$5:$K$528,12),'Calc (scoring engine)'!$K$5:$K$528,0))),""))</f>
        <v/>
      </c>
      <c r="O32" s="65">
        <f>IF(OR(12&gt;MAX(3,MIN(15,N($D$18))),IFERROR(LARGE('Calc (scoring engine)'!$K$5:$K$528,12),-999999)&lt;=-900000),"",IFERROR(IF(INDEX(Database!$P$5:$P$528,MATCH(LARGE('Calc (scoring engine)'!$K$5:$K$528,12),'Calc (scoring engine)'!$K$5:$K$528,0))="","—",INDEX(Database!$P$5:$P$528,MATCH(LARGE('Calc (scoring engine)'!$K$5:$K$528,12),'Calc (scoring engine)'!$K$5:$K$528,0))),""))</f>
        <v/>
      </c>
      <c r="P32" s="53">
        <f>IF(OR(12&gt;MAX(3,MIN(15,N($D$18))),IFERROR(LARGE('Calc (scoring engine)'!$K$5:$K$528,12),-999999)&lt;=-900000),"",IFERROR(IF(INDEX(Database!$Q$5:$Q$528,MATCH(LARGE('Calc (scoring engine)'!$K$5:$K$528,12),'Calc (scoring engine)'!$K$5:$K$528,0))="","—",INDEX(Database!$Q$5:$Q$528,MATCH(LARGE('Calc (scoring engine)'!$K$5:$K$528,12),'Calc (scoring engine)'!$K$5:$K$528,0))),""))</f>
        <v/>
      </c>
      <c r="Q32" s="60">
        <f>IF(OR(12&gt;MAX(3,MIN(15,N($D$18))),IFERROR(LARGE('Calc (scoring engine)'!$K$5:$K$528,12),-999999)&lt;=-900000),"",IFERROR(IF(INDEX(Database!$S$5:$S$528,MATCH(LARGE('Calc (scoring engine)'!$K$5:$K$528,12),'Calc (scoring engine)'!$K$5:$K$528,0))="","—",INDEX(Database!$S$5:$S$528,MATCH(LARGE('Calc (scoring engine)'!$K$5:$K$528,12),'Calc (scoring engine)'!$K$5:$K$528,0))),""))</f>
        <v/>
      </c>
      <c r="R32" s="86">
        <f>IF(OR(12&gt;MAX(3,MIN(15,N($D$18))),IFERROR(LARGE('Calc (scoring engine)'!$K$5:$K$528,12),-999999)&lt;=-900000),"",IFERROR(IF(INDEX(Database!$T$5:$T$528,MATCH(LARGE('Calc (scoring engine)'!$K$5:$K$528,12),'Calc (scoring engine)'!$K$5:$K$528,0))="","—",INDEX(Database!$T$5:$T$528,MATCH(LARGE('Calc (scoring engine)'!$K$5:$K$528,12),'Calc (scoring engine)'!$K$5:$K$528,0))),""))</f>
        <v/>
      </c>
      <c r="S32" s="87">
        <f>IF(OR(12&gt;MAX(3,MIN(15,N($D$18))),IFERROR(LARGE('Calc (scoring engine)'!$K$5:$K$528,12),-999999)&lt;=-900000),"",IFERROR(IF(INDEX(Database!$U$5:$U$528,MATCH(LARGE('Calc (scoring engine)'!$K$5:$K$528,12),'Calc (scoring engine)'!$K$5:$K$528,0))="","—",INDEX(Database!$U$5:$U$528,MATCH(LARGE('Calc (scoring engine)'!$K$5:$K$528,12),'Calc (scoring engine)'!$K$5:$K$528,0))),""))</f>
        <v/>
      </c>
      <c r="T32" s="88">
        <f>IF(OR(12&gt;MAX(3,MIN(15,N($D$18))),IFERROR(LARGE('Calc (scoring engine)'!$K$5:$K$528,12),-999999)&lt;=-900000),"",IFERROR(IF(INDEX(Database!$V$5:$V$528,MATCH(LARGE('Calc (scoring engine)'!$K$5:$K$528,12),'Calc (scoring engine)'!$K$5:$K$528,0))="","—",INDEX(Database!$V$5:$V$528,MATCH(LARGE('Calc (scoring engine)'!$K$5:$K$528,12),'Calc (scoring engine)'!$K$5:$K$528,0))),""))</f>
        <v/>
      </c>
      <c r="U32" s="65">
        <f>IF(OR(12&gt;MAX(3,MIN(15,N($D$18))),IFERROR(LARGE('Calc (scoring engine)'!$K$5:$K$528,12),-999999)&lt;=-900000),"",IFERROR(IF(INDEX(Database!$W$5:$W$528,MATCH(LARGE('Calc (scoring engine)'!$K$5:$K$528,12),'Calc (scoring engine)'!$K$5:$K$528,0))="","—",INDEX(Database!$W$5:$W$528,MATCH(LARGE('Calc (scoring engine)'!$K$5:$K$528,12),'Calc (scoring engine)'!$K$5:$K$528,0))),""))</f>
        <v/>
      </c>
      <c r="V32" s="43">
        <f>IF(OR(12&gt;MAX(3,MIN(15,N($D$18))),IFERROR(LARGE('Calc (scoring engine)'!$K$5:$K$528,12),-999999)&lt;=-900000),"",IFERROR(IF(INDEX(Database!$X$5:$X$528,MATCH(LARGE('Calc (scoring engine)'!$K$5:$K$528,12),'Calc (scoring engine)'!$K$5:$K$528,0))="","—",INDEX(Database!$X$5:$X$528,MATCH(LARGE('Calc (scoring engine)'!$K$5:$K$528,12),'Calc (scoring engine)'!$K$5:$K$528,0))),""))</f>
        <v/>
      </c>
      <c r="W32" s="53">
        <f>IF(OR(12&gt;MAX(3,MIN(15,N($D$18))),IFERROR(LARGE('Calc (scoring engine)'!$K$5:$K$528,12),-999999)&lt;=-900000),"",IFERROR(IF(INDEX(Database!$Y$5:$Y$528,MATCH(LARGE('Calc (scoring engine)'!$K$5:$K$528,12),'Calc (scoring engine)'!$K$5:$K$528,0))="","—",INDEX(Database!$Y$5:$Y$528,MATCH(LARGE('Calc (scoring engine)'!$K$5:$K$528,12),'Calc (scoring engine)'!$K$5:$K$528,0))),""))</f>
        <v/>
      </c>
      <c r="X32" s="53">
        <f>IF(OR(12&gt;MAX(3,MIN(15,N($D$18))),IFERROR(LARGE('Calc (scoring engine)'!$K$5:$K$528,12),-999999)&lt;=-900000),"",IFERROR(IF(INDEX(Database!$Z$5:$Z$528,MATCH(LARGE('Calc (scoring engine)'!$K$5:$K$528,12),'Calc (scoring engine)'!$K$5:$K$528,0))="","—",INDEX(Database!$Z$5:$Z$528,MATCH(LARGE('Calc (scoring engine)'!$K$5:$K$528,12),'Calc (scoring engine)'!$K$5:$K$528,0))),""))</f>
        <v/>
      </c>
      <c r="Y32" s="65">
        <f>IF(OR(12&gt;MAX(3,MIN(15,N($D$18))),IFERROR(LARGE('Calc (scoring engine)'!$K$5:$K$528,12),-999999)&lt;=-900000),"",IFERROR(IF(INDEX(Database!$AA$5:$AA$528,MATCH(LARGE('Calc (scoring engine)'!$K$5:$K$528,12),'Calc (scoring engine)'!$K$5:$K$528,0))="","—",INDEX(Database!$AA$5:$AA$528,MATCH(LARGE('Calc (scoring engine)'!$K$5:$K$528,12),'Calc (scoring engine)'!$K$5:$K$528,0))),""))</f>
        <v/>
      </c>
      <c r="Z32" s="43">
        <f>IF(OR(12&gt;MAX(3,MIN(15,N($D$18))),IFERROR(LARGE('Calc (scoring engine)'!$K$5:$K$528,12),-999999)&lt;=-900000),"",IFERROR(IF(INDEX(Database!$AB$5:$AB$528,MATCH(LARGE('Calc (scoring engine)'!$K$5:$K$528,12),'Calc (scoring engine)'!$K$5:$K$528,0))="","—",INDEX(Database!$AB$5:$AB$528,MATCH(LARGE('Calc (scoring engine)'!$K$5:$K$528,12),'Calc (scoring engine)'!$K$5:$K$528,0))),""))</f>
        <v/>
      </c>
      <c r="AA32" s="65">
        <f>IF(OR(12&gt;MAX(3,MIN(15,N($D$18))),IFERROR(LARGE('Calc (scoring engine)'!$K$5:$K$528,12),-999999)&lt;=-900000),"",IFERROR(IF(INDEX(Database!$AD$5:$AD$528,MATCH(LARGE('Calc (scoring engine)'!$K$5:$K$528,12),'Calc (scoring engine)'!$K$5:$K$528,0))="","—",INDEX(Database!$AD$5:$AD$528,MATCH(LARGE('Calc (scoring engine)'!$K$5:$K$528,12),'Calc (scoring engine)'!$K$5:$K$528,0))),""))</f>
        <v/>
      </c>
      <c r="AB32" s="43">
        <f>IF(OR(12&gt;MAX(3,MIN(15,N($D$18))),IFERROR(LARGE('Calc (scoring engine)'!$K$5:$K$528,12),-999999)&lt;=-900000),"",IFERROR(IF(INDEX(Database!$AE$5:$AE$528,MATCH(LARGE('Calc (scoring engine)'!$K$5:$K$528,12),'Calc (scoring engine)'!$K$5:$K$528,0))="","—",INDEX(Database!$AE$5:$AE$528,MATCH(LARGE('Calc (scoring engine)'!$K$5:$K$528,12),'Calc (scoring engine)'!$K$5:$K$528,0))),""))</f>
        <v/>
      </c>
      <c r="AC32" s="43">
        <f>IF(OR(12&gt;MAX(3,MIN(15,N($D$18))),IFERROR(LARGE('Calc (scoring engine)'!$K$5:$K$528,12),-999999)&lt;=-900000),"",IFERROR(IF(INDEX(Database!$AF$5:$AF$528,MATCH(LARGE('Calc (scoring engine)'!$K$5:$K$528,12),'Calc (scoring engine)'!$K$5:$K$528,0))="","—",INDEX(Database!$AF$5:$AF$528,MATCH(LARGE('Calc (scoring engine)'!$K$5:$K$528,12),'Calc (scoring engine)'!$K$5:$K$528,0))),""))</f>
        <v/>
      </c>
      <c r="AD32" s="43">
        <f>IF(OR(12&gt;MAX(3,MIN(15,N($D$18))),IFERROR(LARGE('Calc (scoring engine)'!$K$5:$K$528,12),-999999)&lt;=-900000),"",IFERROR(IF(INDEX(Database!$AG$5:$AG$528,MATCH(LARGE('Calc (scoring engine)'!$K$5:$K$528,12),'Calc (scoring engine)'!$K$5:$K$528,0))="","—",INDEX(Database!$AG$5:$AG$528,MATCH(LARGE('Calc (scoring engine)'!$K$5:$K$528,12),'Calc (scoring engine)'!$K$5:$K$528,0))),""))</f>
        <v/>
      </c>
      <c r="AE32" s="43">
        <f>IF(OR(12&gt;MAX(3,MIN(15,N($D$18))),IFERROR(LARGE('Calc (scoring engine)'!$K$5:$K$528,12),-999999)&lt;=-900000),"",IFERROR(IF(INDEX(Database!$AH$5:$AH$528,MATCH(LARGE('Calc (scoring engine)'!$K$5:$K$528,12),'Calc (scoring engine)'!$K$5:$K$528,0))="","—",INDEX(Database!$AH$5:$AH$528,MATCH(LARGE('Calc (scoring engine)'!$K$5:$K$528,12),'Calc (scoring engine)'!$K$5:$K$528,0))),""))</f>
        <v/>
      </c>
      <c r="AF32" s="57">
        <f>IF(OR(12&gt;MAX(3,MIN(15,N($D$18))),IFERROR(LARGE('Calc (scoring engine)'!$K$5:$K$528,12),-999999)&lt;=-900000),"",IFERROR(IF(INDEX(Database!$AI$5:$AI$528,MATCH(LARGE('Calc (scoring engine)'!$K$5:$K$528,12),'Calc (scoring engine)'!$K$5:$K$528,0))="","—",INDEX(Database!$AI$5:$AI$528,MATCH(LARGE('Calc (scoring engine)'!$K$5:$K$528,12),'Calc (scoring engine)'!$K$5:$K$528,0))),""))</f>
        <v/>
      </c>
      <c r="AG32" s="57">
        <f>IF(OR(12&gt;MAX(3,MIN(15,N($D$18))),IFERROR(LARGE('Calc (scoring engine)'!$K$5:$K$528,12),-999999)&lt;=-900000),"",IFERROR(IF(INDEX(Database!$AJ$5:$AJ$528,MATCH(LARGE('Calc (scoring engine)'!$K$5:$K$528,12),'Calc (scoring engine)'!$K$5:$K$528,0))="","—",INDEX(Database!$AJ$5:$AJ$528,MATCH(LARGE('Calc (scoring engine)'!$K$5:$K$528,12),'Calc (scoring engine)'!$K$5:$K$528,0))),""))</f>
        <v/>
      </c>
      <c r="AH32" s="57">
        <f>IF(OR(12&gt;MAX(3,MIN(15,N($D$18))),IFERROR(LARGE('Calc (scoring engine)'!$K$5:$K$528,12),-999999)&lt;=-900000),"",IFERROR(IF(INDEX(Database!$AK$5:$AK$528,MATCH(LARGE('Calc (scoring engine)'!$K$5:$K$528,12),'Calc (scoring engine)'!$K$5:$K$528,0))="","—",INDEX(Database!$AK$5:$AK$528,MATCH(LARGE('Calc (scoring engine)'!$K$5:$K$528,12),'Calc (scoring engine)'!$K$5:$K$528,0))),""))</f>
        <v/>
      </c>
      <c r="AI32" s="57">
        <f>IF(OR(12&gt;MAX(3,MIN(15,N($D$18))),IFERROR(LARGE('Calc (scoring engine)'!$K$5:$K$528,12),-999999)&lt;=-900000),"",IFERROR(IF(INDEX(Database!$AL$5:$AL$528,MATCH(LARGE('Calc (scoring engine)'!$K$5:$K$528,12),'Calc (scoring engine)'!$K$5:$K$528,0))="","—",INDEX(Database!$AL$5:$AL$528,MATCH(LARGE('Calc (scoring engine)'!$K$5:$K$528,12),'Calc (scoring engine)'!$K$5:$K$528,0))),""))</f>
        <v/>
      </c>
      <c r="AJ32" s="57">
        <f>IF(OR(12&gt;MAX(3,MIN(15,N($D$18))),IFERROR(LARGE('Calc (scoring engine)'!$K$5:$K$528,12),-999999)&lt;=-900000),"",IFERROR(IF(INDEX(Database!$AM$5:$AM$528,MATCH(LARGE('Calc (scoring engine)'!$K$5:$K$528,12),'Calc (scoring engine)'!$K$5:$K$528,0))="","—",INDEX(Database!$AM$5:$AM$528,MATCH(LARGE('Calc (scoring engine)'!$K$5:$K$528,12),'Calc (scoring engine)'!$K$5:$K$528,0))),""))</f>
        <v/>
      </c>
      <c r="AK32" s="58">
        <f>IF(OR(12&gt;MAX(3,MIN(15,N($D$18))),IFERROR(LARGE('Calc (scoring engine)'!$K$5:$K$528,12),-999999)&lt;=-900000),"",IFERROR(IF(INDEX(Database!$AN$5:$AN$528,MATCH(LARGE('Calc (scoring engine)'!$K$5:$K$528,12),'Calc (scoring engine)'!$K$5:$K$528,0))="","—",INDEX(Database!$AN$5:$AN$528,MATCH(LARGE('Calc (scoring engine)'!$K$5:$K$528,12),'Calc (scoring engine)'!$K$5:$K$528,0))),""))</f>
        <v/>
      </c>
      <c r="AL32" s="65">
        <f>IF(OR(12&gt;MAX(3,MIN(15,N($D$18))),IFERROR(LARGE('Calc (scoring engine)'!$K$5:$K$528,12),-999999)&lt;=-900000),"",IFERROR(IF(INDEX(Database!$AO$5:$AO$528,MATCH(LARGE('Calc (scoring engine)'!$K$5:$K$528,12),'Calc (scoring engine)'!$K$5:$K$528,0))="","—",INDEX(Database!$AO$5:$AO$528,MATCH(LARGE('Calc (scoring engine)'!$K$5:$K$528,12),'Calc (scoring engine)'!$K$5:$K$528,0))),""))</f>
        <v/>
      </c>
      <c r="AM32" s="57">
        <f>IF(OR(12&gt;MAX(3,MIN(15,N($D$18))),IFERROR(LARGE('Calc (scoring engine)'!$K$5:$K$528,12),-999999)&lt;=-900000),"",IFERROR(IF(INDEX(Database!$AP$5:$AP$528,MATCH(LARGE('Calc (scoring engine)'!$K$5:$K$528,12),'Calc (scoring engine)'!$K$5:$K$528,0))="","—",INDEX(Database!$AP$5:$AP$528,MATCH(LARGE('Calc (scoring engine)'!$K$5:$K$528,12),'Calc (scoring engine)'!$K$5:$K$528,0))),""))</f>
        <v/>
      </c>
      <c r="AN32" s="57">
        <f>IF(OR(12&gt;MAX(3,MIN(15,N($D$18))),IFERROR(LARGE('Calc (scoring engine)'!$K$5:$K$528,12),-999999)&lt;=-900000),"",IFERROR(IF(INDEX(Database!$AQ$5:$AQ$528,MATCH(LARGE('Calc (scoring engine)'!$K$5:$K$528,12),'Calc (scoring engine)'!$K$5:$K$528,0))="","—",INDEX(Database!$AQ$5:$AQ$528,MATCH(LARGE('Calc (scoring engine)'!$K$5:$K$528,12),'Calc (scoring engine)'!$K$5:$K$528,0))),""))</f>
        <v/>
      </c>
      <c r="AO32" s="57">
        <f>IF(OR(12&gt;MAX(3,MIN(15,N($D$18))),IFERROR(LARGE('Calc (scoring engine)'!$K$5:$K$528,12),-999999)&lt;=-900000),"",IFERROR(IF(INDEX(Database!$AR$5:$AR$528,MATCH(LARGE('Calc (scoring engine)'!$K$5:$K$528,12),'Calc (scoring engine)'!$K$5:$K$528,0))="","—",INDEX(Database!$AR$5:$AR$528,MATCH(LARGE('Calc (scoring engine)'!$K$5:$K$528,12),'Calc (scoring engine)'!$K$5:$K$528,0))),""))</f>
        <v/>
      </c>
      <c r="AP32" s="57">
        <f>IF(OR(12&gt;MAX(3,MIN(15,N($D$18))),IFERROR(LARGE('Calc (scoring engine)'!$K$5:$K$528,12),-999999)&lt;=-900000),"",IFERROR(IF(INDEX(Database!$AS$5:$AS$528,MATCH(LARGE('Calc (scoring engine)'!$K$5:$K$528,12),'Calc (scoring engine)'!$K$5:$K$528,0))="","—",INDEX(Database!$AS$5:$AS$528,MATCH(LARGE('Calc (scoring engine)'!$K$5:$K$528,12),'Calc (scoring engine)'!$K$5:$K$528,0))),""))</f>
        <v/>
      </c>
      <c r="AQ32" s="57">
        <f>IF(OR(12&gt;MAX(3,MIN(15,N($D$18))),IFERROR(LARGE('Calc (scoring engine)'!$K$5:$K$528,12),-999999)&lt;=-900000),"",IFERROR(IF(INDEX(Database!$AT$5:$AT$528,MATCH(LARGE('Calc (scoring engine)'!$K$5:$K$528,12),'Calc (scoring engine)'!$K$5:$K$528,0))="","—",INDEX(Database!$AT$5:$AT$528,MATCH(LARGE('Calc (scoring engine)'!$K$5:$K$528,12),'Calc (scoring engine)'!$K$5:$K$528,0))),""))</f>
        <v/>
      </c>
      <c r="AR32" s="57">
        <f>IF(OR(12&gt;MAX(3,MIN(15,N($D$18))),IFERROR(LARGE('Calc (scoring engine)'!$K$5:$K$528,12),-999999)&lt;=-900000),"",IFERROR(IF(INDEX(Database!$AU$5:$AU$528,MATCH(LARGE('Calc (scoring engine)'!$K$5:$K$528,12),'Calc (scoring engine)'!$K$5:$K$528,0))="","—",INDEX(Database!$AU$5:$AU$528,MATCH(LARGE('Calc (scoring engine)'!$K$5:$K$528,12),'Calc (scoring engine)'!$K$5:$K$528,0))),""))</f>
        <v/>
      </c>
      <c r="AS32" s="57">
        <f>IF(OR(12&gt;MAX(3,MIN(15,N($D$18))),IFERROR(LARGE('Calc (scoring engine)'!$K$5:$K$528,12),-999999)&lt;=-900000),"",IFERROR(IF(INDEX(Database!$AV$5:$AV$528,MATCH(LARGE('Calc (scoring engine)'!$K$5:$K$528,12),'Calc (scoring engine)'!$K$5:$K$528,0))="","—",INDEX(Database!$AV$5:$AV$528,MATCH(LARGE('Calc (scoring engine)'!$K$5:$K$528,12),'Calc (scoring engine)'!$K$5:$K$528,0))),""))</f>
        <v/>
      </c>
      <c r="AT32" s="57">
        <f>IF(OR(12&gt;MAX(3,MIN(15,N($D$18))),IFERROR(LARGE('Calc (scoring engine)'!$K$5:$K$528,12),-999999)&lt;=-900000),"",IFERROR(IF(INDEX(Database!$AW$5:$AW$528,MATCH(LARGE('Calc (scoring engine)'!$K$5:$K$528,12),'Calc (scoring engine)'!$K$5:$K$528,0))="","—",INDEX(Database!$AW$5:$AW$528,MATCH(LARGE('Calc (scoring engine)'!$K$5:$K$528,12),'Calc (scoring engine)'!$K$5:$K$528,0))),""))</f>
        <v/>
      </c>
      <c r="AU32" s="57">
        <f>IF(OR(12&gt;MAX(3,MIN(15,N($D$18))),IFERROR(LARGE('Calc (scoring engine)'!$K$5:$K$528,12),-999999)&lt;=-900000),"",IFERROR(IF(INDEX(Database!$AX$5:$AX$528,MATCH(LARGE('Calc (scoring engine)'!$K$5:$K$528,12),'Calc (scoring engine)'!$K$5:$K$528,0))="","—",INDEX(Database!$AX$5:$AX$528,MATCH(LARGE('Calc (scoring engine)'!$K$5:$K$528,12),'Calc (scoring engine)'!$K$5:$K$528,0))),""))</f>
        <v/>
      </c>
      <c r="AV32" s="57">
        <f>IF(OR(12&gt;MAX(3,MIN(15,N($D$18))),IFERROR(LARGE('Calc (scoring engine)'!$K$5:$K$528,12),-999999)&lt;=-900000),"",IFERROR(IF(INDEX(Database!$AY$5:$AY$528,MATCH(LARGE('Calc (scoring engine)'!$K$5:$K$528,12),'Calc (scoring engine)'!$K$5:$K$528,0))="","—",INDEX(Database!$AY$5:$AY$528,MATCH(LARGE('Calc (scoring engine)'!$K$5:$K$528,12),'Calc (scoring engine)'!$K$5:$K$528,0))),""))</f>
        <v/>
      </c>
      <c r="AW32" s="57">
        <f>IF(OR(12&gt;MAX(3,MIN(15,N($D$18))),IFERROR(LARGE('Calc (scoring engine)'!$K$5:$K$528,12),-999999)&lt;=-900000),"",IFERROR(IF(INDEX(Database!$AZ$5:$AZ$528,MATCH(LARGE('Calc (scoring engine)'!$K$5:$K$528,12),'Calc (scoring engine)'!$K$5:$K$528,0))="","—",INDEX(Database!$AZ$5:$AZ$528,MATCH(LARGE('Calc (scoring engine)'!$K$5:$K$528,12),'Calc (scoring engine)'!$K$5:$K$528,0))),""))</f>
        <v/>
      </c>
      <c r="AX32" s="57">
        <f>IF(OR(12&gt;MAX(3,MIN(15,N($D$18))),IFERROR(LARGE('Calc (scoring engine)'!$K$5:$K$528,12),-999999)&lt;=-900000),"",IFERROR(IF(INDEX(Database!$BA$5:$BA$528,MATCH(LARGE('Calc (scoring engine)'!$K$5:$K$528,12),'Calc (scoring engine)'!$K$5:$K$528,0))="","—",INDEX(Database!$BA$5:$BA$528,MATCH(LARGE('Calc (scoring engine)'!$K$5:$K$528,12),'Calc (scoring engine)'!$K$5:$K$528,0))),""))</f>
        <v/>
      </c>
      <c r="AY32" s="57">
        <f>IF(OR(12&gt;MAX(3,MIN(15,N($D$18))),IFERROR(LARGE('Calc (scoring engine)'!$K$5:$K$528,12),-999999)&lt;=-900000),"",IFERROR(IF(INDEX(Database!$BC$5:$BC$528,MATCH(LARGE('Calc (scoring engine)'!$K$5:$K$528,12),'Calc (scoring engine)'!$K$5:$K$528,0))="","—",INDEX(Database!$BC$5:$BC$528,MATCH(LARGE('Calc (scoring engine)'!$K$5:$K$528,12),'Calc (scoring engine)'!$K$5:$K$528,0))),""))</f>
        <v/>
      </c>
      <c r="AZ32" s="53">
        <f>IF(OR(12&gt;MAX(3,MIN(15,N($D$18))),IFERROR(LARGE('Calc (scoring engine)'!$K$5:$K$528,12),-999999)&lt;=-900000),"",IFERROR(IF(INDEX(Database!$BE$5:$BE$528,MATCH(LARGE('Calc (scoring engine)'!$K$5:$K$528,12),'Calc (scoring engine)'!$K$5:$K$528,0))="","—",INDEX(Database!$BE$5:$BE$528,MATCH(LARGE('Calc (scoring engine)'!$K$5:$K$528,12),'Calc (scoring engine)'!$K$5:$K$528,0))),""))</f>
        <v/>
      </c>
      <c r="BA32" s="53">
        <f>IF(OR(12&gt;MAX(3,MIN(15,N($D$18))),IFERROR(LARGE('Calc (scoring engine)'!$K$5:$K$528,12),-999999)&lt;=-900000),"",IFERROR(IF(INDEX(Database!$BF$5:$BF$528,MATCH(LARGE('Calc (scoring engine)'!$K$5:$K$528,12),'Calc (scoring engine)'!$K$5:$K$528,0))="","—",INDEX(Database!$BF$5:$BF$528,MATCH(LARGE('Calc (scoring engine)'!$K$5:$K$528,12),'Calc (scoring engine)'!$K$5:$K$528,0))),""))</f>
        <v/>
      </c>
      <c r="BB32" s="43">
        <f>IF(OR(12&gt;MAX(3,MIN(15,N($D$18))),IFERROR(LARGE('Calc (scoring engine)'!$K$5:$K$528,12),-999999)&lt;=-900000),"",IFERROR(IF(INDEX(Database!$BG$5:$BG$528,MATCH(LARGE('Calc (scoring engine)'!$K$5:$K$528,12),'Calc (scoring engine)'!$K$5:$K$528,0))="","—",INDEX(Database!$BG$5:$BG$528,MATCH(LARGE('Calc (scoring engine)'!$K$5:$K$528,12),'Calc (scoring engine)'!$K$5:$K$528,0))),""))</f>
        <v/>
      </c>
      <c r="BC32" s="58">
        <f>IF(OR(12&gt;MAX(3,MIN(15,N($D$18))),IFERROR(LARGE('Calc (scoring engine)'!$K$5:$K$528,12),-999999)&lt;=-900000),"",IFERROR(IF(N(INDEX(Database!$BH$5:$BH$528,MATCH(LARGE('Calc (scoring engine)'!$K$5:$K$528,12),'Calc (scoring engine)'!$K$5:$K$528,0)))&lt;=0,IF(INDEX(Database!$BG$5:$BG$528,MATCH(LARGE('Calc (scoring engine)'!$K$5:$K$528,12),'Calc (scoring engine)'!$K$5:$K$528,0))="N","n/m","—"),INDEX(Database!$BH$5:$BH$528,MATCH(LARGE('Calc (scoring engine)'!$K$5:$K$528,12),'Calc (scoring engine)'!$K$5:$K$528,0))),""))</f>
        <v/>
      </c>
      <c r="BD32" s="58">
        <f>IF(OR(12&gt;MAX(3,MIN(15,N($D$18))),IFERROR(LARGE('Calc (scoring engine)'!$K$5:$K$528,12),-999999)&lt;=-900000),"",IFERROR(IF(INDEX(Database!$BI$5:$BI$528,MATCH(LARGE('Calc (scoring engine)'!$K$5:$K$528,12),'Calc (scoring engine)'!$K$5:$K$528,0))="","—",INDEX(Database!$BI$5:$BI$528,MATCH(LARGE('Calc (scoring engine)'!$K$5:$K$528,12),'Calc (scoring engine)'!$K$5:$K$528,0))),""))</f>
        <v/>
      </c>
      <c r="BE32" s="58">
        <f>IF(OR(12&gt;MAX(3,MIN(15,N($D$18))),IFERROR(LARGE('Calc (scoring engine)'!$K$5:$K$528,12),-999999)&lt;=-900000),"",IFERROR(IF(INDEX(Database!$BJ$5:$BJ$528,MATCH(LARGE('Calc (scoring engine)'!$K$5:$K$528,12),'Calc (scoring engine)'!$K$5:$K$528,0))="","—",INDEX(Database!$BJ$5:$BJ$528,MATCH(LARGE('Calc (scoring engine)'!$K$5:$K$528,12),'Calc (scoring engine)'!$K$5:$K$528,0))),""))</f>
        <v/>
      </c>
      <c r="BF32" s="58">
        <f>IF(OR(12&gt;MAX(3,MIN(15,N($D$18))),IFERROR(LARGE('Calc (scoring engine)'!$K$5:$K$528,12),-999999)&lt;=-900000),"",IFERROR(IF(INDEX(Database!$BK$5:$BK$528,MATCH(LARGE('Calc (scoring engine)'!$K$5:$K$528,12),'Calc (scoring engine)'!$K$5:$K$528,0))="","—",INDEX(Database!$BK$5:$BK$528,MATCH(LARGE('Calc (scoring engine)'!$K$5:$K$528,12),'Calc (scoring engine)'!$K$5:$K$528,0))),""))</f>
        <v/>
      </c>
      <c r="BG32" s="58">
        <f>IF(OR(12&gt;MAX(3,MIN(15,N($D$18))),IFERROR(LARGE('Calc (scoring engine)'!$K$5:$K$528,12),-999999)&lt;=-900000),"",IFERROR(IF(INDEX(Database!$BL$5:$BL$528,MATCH(LARGE('Calc (scoring engine)'!$K$5:$K$528,12),'Calc (scoring engine)'!$K$5:$K$528,0))="","—",INDEX(Database!$BL$5:$BL$528,MATCH(LARGE('Calc (scoring engine)'!$K$5:$K$528,12),'Calc (scoring engine)'!$K$5:$K$528,0))),""))</f>
        <v/>
      </c>
      <c r="BH32" s="58">
        <f>IF(OR(12&gt;MAX(3,MIN(15,N($D$18))),IFERROR(LARGE('Calc (scoring engine)'!$K$5:$K$528,12),-999999)&lt;=-900000),"",IFERROR(IFERROR(BDP(TEXT(INDEX(Database!$A$5:$A$528,MATCH(LARGE('Calc (scoring engine)'!$K$5:$K$528,12),'Calc (scoring engine)'!$K$5:$K$528,0)),"0")&amp;" HK Equity","PE_RATIO"),IF(INDEX(Database!$BJ$5:$BJ$528,MATCH(LARGE('Calc (scoring engine)'!$K$5:$K$528,12),'Calc (scoring engine)'!$K$5:$K$528,0))="","—",INDEX(Database!$BJ$5:$BJ$528,MATCH(LARGE('Calc (scoring engine)'!$K$5:$K$528,12),'Calc (scoring engine)'!$K$5:$K$528,0)))),""))</f>
        <v/>
      </c>
      <c r="BI32" s="58">
        <f>IF(OR(12&gt;MAX(3,MIN(15,N($D$18))),IFERROR(LARGE('Calc (scoring engine)'!$K$5:$K$528,12),-999999)&lt;=-900000),"",IFERROR(IFERROR(BDP(TEXT(INDEX(Database!$A$5:$A$528,MATCH(LARGE('Calc (scoring engine)'!$K$5:$K$528,12),'Calc (scoring engine)'!$K$5:$K$528,0)),"0")&amp;" HK Equity","PX_TO_SALES_RATIO"),IF(INDEX(Database!$BK$5:$BK$528,MATCH(LARGE('Calc (scoring engine)'!$K$5:$K$528,12),'Calc (scoring engine)'!$K$5:$K$528,0))="","—",INDEX(Database!$BK$5:$BK$528,MATCH(LARGE('Calc (scoring engine)'!$K$5:$K$528,12),'Calc (scoring engine)'!$K$5:$K$528,0)))),""))</f>
        <v/>
      </c>
      <c r="BJ32" s="43">
        <f>IF(OR(12&gt;MAX(3,MIN(15,N($D$18))),IFERROR(LARGE('Calc (scoring engine)'!$K$5:$K$528,12),-999999)&lt;=-900000),"",IFERROR(IF(INDEX(Database!$BM$5:$BM$528,MATCH(LARGE('Calc (scoring engine)'!$K$5:$K$528,12),'Calc (scoring engine)'!$K$5:$K$528,0))="","—",INDEX(Database!$BM$5:$BM$528,MATCH(LARGE('Calc (scoring engine)'!$K$5:$K$528,12),'Calc (scoring engine)'!$K$5:$K$528,0))),""))</f>
        <v/>
      </c>
      <c r="BK32" s="43">
        <f>IF(OR(12&gt;MAX(3,MIN(15,N($D$18))),IFERROR(LARGE('Calc (scoring engine)'!$K$5:$K$528,12),-999999)&lt;=-900000),"",IFERROR(IF(INDEX(Database!$BN$5:$BN$528,MATCH(LARGE('Calc (scoring engine)'!$K$5:$K$528,12),'Calc (scoring engine)'!$K$5:$K$528,0))="","—",INDEX(Database!$BN$5:$BN$528,MATCH(LARGE('Calc (scoring engine)'!$K$5:$K$528,12),'Calc (scoring engine)'!$K$5:$K$528,0))),""))</f>
        <v/>
      </c>
      <c r="BL32" s="57">
        <f>IF(OR(12&gt;MAX(3,MIN(15,N($D$18))),IFERROR(LARGE('Calc (scoring engine)'!$K$5:$K$528,12),-999999)&lt;=-900000),"",IFERROR(IF(INDEX(Database!$BO$5:$BO$528,MATCH(LARGE('Calc (scoring engine)'!$K$5:$K$528,12),'Calc (scoring engine)'!$K$5:$K$528,0))="","—",INDEX(Database!$BO$5:$BO$528,MATCH(LARGE('Calc (scoring engine)'!$K$5:$K$528,12),'Calc (scoring engine)'!$K$5:$K$528,0))),""))</f>
        <v/>
      </c>
      <c r="BM32" s="85">
        <f>IF(OR(12&gt;MAX(3,MIN(15,N($D$18))),IFERROR(LARGE('Calc (scoring engine)'!$K$5:$K$528,12),-999999)&lt;=-900000),"",IFERROR(IF(INDEX(Database!$BP$5:$BP$528,MATCH(LARGE('Calc (scoring engine)'!$K$5:$K$528,12),'Calc (scoring engine)'!$K$5:$K$528,0))="","—",INDEX(Database!$BP$5:$BP$528,MATCH(LARGE('Calc (scoring engine)'!$K$5:$K$528,12),'Calc (scoring engine)'!$K$5:$K$528,0))),""))</f>
        <v/>
      </c>
      <c r="BN32" s="89">
        <f>IF(OR(12&gt;MAX(3,MIN(15,N($D$18))),IFERROR(LARGE('Calc (scoring engine)'!$K$5:$K$528,12),-999999)&lt;=-900000),"",IFERROR(IF(INDEX(Database!$BQ$5:$BQ$528,MATCH(LARGE('Calc (scoring engine)'!$K$5:$K$528,12),'Calc (scoring engine)'!$K$5:$K$528,0))="","—",INDEX(Database!$BQ$5:$BQ$528,MATCH(LARGE('Calc (scoring engine)'!$K$5:$K$528,12),'Calc (scoring engine)'!$K$5:$K$528,0))),""))</f>
        <v/>
      </c>
      <c r="BO32" s="53">
        <f>IF(OR(12&gt;MAX(3,MIN(15,N($D$18))),IFERROR(LARGE('Calc (scoring engine)'!$K$5:$K$528,12),-999999)&lt;=-900000),"",IFERROR(IF(INDEX(Database!$BR$5:$BR$528,MATCH(LARGE('Calc (scoring engine)'!$K$5:$K$528,12),'Calc (scoring engine)'!$K$5:$K$528,0))="","—",INDEX(Database!$BR$5:$BR$528,MATCH(LARGE('Calc (scoring engine)'!$K$5:$K$528,12),'Calc (scoring engine)'!$K$5:$K$528,0))),""))</f>
        <v/>
      </c>
      <c r="BP32" s="58">
        <f>IF(OR(12&gt;MAX(3,MIN(15,N($D$18))),IFERROR(LARGE('Calc (scoring engine)'!$K$5:$K$528,12),-999999)&lt;=-900000),"",IFERROR(IF(INDEX(Database!$BS$5:$BS$528,MATCH(LARGE('Calc (scoring engine)'!$K$5:$K$528,12),'Calc (scoring engine)'!$K$5:$K$528,0))="","—",INDEX(Database!$BS$5:$BS$528,MATCH(LARGE('Calc (scoring engine)'!$K$5:$K$528,12),'Calc (scoring engine)'!$K$5:$K$528,0))),""))</f>
        <v/>
      </c>
      <c r="BQ32" s="58">
        <f>IF(OR(12&gt;MAX(3,MIN(15,N($D$18))),IFERROR(LARGE('Calc (scoring engine)'!$K$5:$K$528,12),-999999)&lt;=-900000),"",IFERROR(IF(INDEX(Database!$BT$5:$BT$528,MATCH(LARGE('Calc (scoring engine)'!$K$5:$K$528,12),'Calc (scoring engine)'!$K$5:$K$528,0))="","—",INDEX(Database!$BT$5:$BT$528,MATCH(LARGE('Calc (scoring engine)'!$K$5:$K$528,12),'Calc (scoring engine)'!$K$5:$K$528,0))),""))</f>
        <v/>
      </c>
      <c r="BR32" s="43">
        <f>IF(OR(12&gt;MAX(3,MIN(15,N($D$18))),IFERROR(LARGE('Calc (scoring engine)'!$K$5:$K$528,12),-999999)&lt;=-900000),"",IFERROR(IF(INDEX(Database!$BU$5:$BU$528,MATCH(LARGE('Calc (scoring engine)'!$K$5:$K$528,12),'Calc (scoring engine)'!$K$5:$K$528,0))="","—",INDEX(Database!$BU$5:$BU$528,MATCH(LARGE('Calc (scoring engine)'!$K$5:$K$528,12),'Calc (scoring engine)'!$K$5:$K$528,0))),""))</f>
        <v/>
      </c>
      <c r="BS32" s="43">
        <f>IF(OR(12&gt;MAX(3,MIN(15,N($D$18))),IFERROR(LARGE('Calc (scoring engine)'!$K$5:$K$528,12),-999999)&lt;=-900000),"",IFERROR(IF(INDEX(Database!$BW$5:$BW$528,MATCH(LARGE('Calc (scoring engine)'!$K$5:$K$528,12),'Calc (scoring engine)'!$K$5:$K$528,0))="","—",INDEX(Database!$BW$5:$BW$528,MATCH(LARGE('Calc (scoring engine)'!$K$5:$K$528,12),'Calc (scoring engine)'!$K$5:$K$528,0))),""))</f>
        <v/>
      </c>
      <c r="BT32" s="88">
        <f>IF(OR(12&gt;MAX(3,MIN(15,N($D$18))),IFERROR(LARGE('Calc (scoring engine)'!$K$5:$K$528,12),-999999)&lt;=-900000),"",IFERROR(IF(INDEX('Calc (scoring engine)'!$H$5:$H$528,MATCH(LARGE('Calc (scoring engine)'!$K$5:$K$528,12),'Calc (scoring engine)'!$K$5:$K$528,0))&gt;0,INDEX('Calc (scoring engine)'!$H$5:$H$528,MATCH(LARGE('Calc (scoring engine)'!$K$5:$K$528,12),'Calc (scoring engine)'!$K$5:$K$528,0)),""),""))</f>
        <v/>
      </c>
      <c r="BU32" s="43">
        <f>IF(OR(12&gt;MAX(3,MIN(15,N($D$18))),IFERROR(LARGE('Calc (scoring engine)'!$K$5:$K$528,12),-999999)&lt;=-900000),"",IF(IFERROR(INDEX('Calc (scoring engine)'!$B$5:$B$528,MATCH(LARGE('Calc (scoring engine)'!$K$5:$K$528,12),'Calc (scoring engine)'!$K$5:$K$528,0)),0)=1,"same subsector","sector only"))</f>
        <v/>
      </c>
      <c r="BV32" s="88">
        <f>IF(OR(12&gt;MAX(3,MIN(15,N($D$18))),IFERROR(LARGE('Calc (scoring engine)'!$K$5:$K$528,12),-999999)&lt;=-900000),"",ROUND(IFERROR(LARGE('Calc (scoring engine)'!$K$5:$K$528,12),0),0))</f>
        <v/>
      </c>
      <c r="BW32" s="43">
        <f>IF(OR(12&gt;MAX(3,MIN(15,N($D$18))),IFERROR(LARGE('Calc (scoring engine)'!$K$5:$K$528,12),-999999)&lt;=-900000),"",IFERROR("sub "&amp;INDEX('Calc (scoring engine)'!$B$5:$B$528,MATCH(LARGE('Calc (scoring engine)'!$K$5:$K$528,12),'Calc (scoring engine)'!$K$5:$K$528,0))*W_SUB&amp;" + size "&amp;ROUND(INDEX('Calc (scoring engine)'!$D$5:$D$528,MATCH(LARGE('Calc (scoring engine)'!$K$5:$K$528,12),'Calc (scoring engine)'!$K$5:$K$528,0))*W_SIZE,0)&amp;" + prof "&amp;INDEX('Calc (scoring engine)'!$E$5:$E$528,MATCH(LARGE('Calc (scoring engine)'!$K$5:$K$528,12),'Calc (scoring engine)'!$K$5:$K$528,0))*W_PROF&amp;" + recency "&amp;ROUND(INDEX('Calc (scoring engine)'!$G$5:$G$528,MATCH(LARGE('Calc (scoring engine)'!$K$5:$K$528,12),'Calc (scoring engine)'!$K$5:$K$528,0))*W_REC,0)&amp;IF(INDEX('Calc (scoring engine)'!$H$5:$H$528,MATCH(LARGE('Calc (scoring engine)'!$K$5:$K$528,12),'Calc (scoring engine)'!$K$5:$K$528,0))&gt;0," + shared CS x"&amp;INDEX('Calc (scoring engine)'!$H$5:$H$528,MATCH(LARGE('Calc (scoring engine)'!$K$5:$K$528,12),'Calc (scoring engine)'!$K$5:$K$528,0)),""),""))</f>
        <v/>
      </c>
    </row>
    <row r="33">
      <c r="A33" s="83">
        <f>IF(OR(13&gt;MAX(3,MIN(15,N($D$18))),IFERROR(LARGE('Calc (scoring engine)'!$K$5:$K$528,13),-999999)&lt;=-900000),"",13)</f>
        <v/>
      </c>
      <c r="B33" s="43">
        <f>IF(OR(13&gt;MAX(3,MIN(15,N($D$18))),IFERROR(LARGE('Calc (scoring engine)'!$K$5:$K$528,13),-999999)&lt;=-900000),"",IFERROR(IF(INDEX(Database!$B$5:$B$528,MATCH(LARGE('Calc (scoring engine)'!$K$5:$K$528,13),'Calc (scoring engine)'!$K$5:$K$528,0))="","—",INDEX(Database!$B$5:$B$528,MATCH(LARGE('Calc (scoring engine)'!$K$5:$K$528,13),'Calc (scoring engine)'!$K$5:$K$528,0))),""))</f>
        <v/>
      </c>
      <c r="C33" s="84">
        <f>IF(OR(13&gt;MAX(3,MIN(15,N($D$18))),IFERROR(LARGE('Calc (scoring engine)'!$K$5:$K$528,13),-999999)&lt;=-900000),"",IFERROR(IF(INDEX(Database!$A$5:$A$528,MATCH(LARGE('Calc (scoring engine)'!$K$5:$K$528,13),'Calc (scoring engine)'!$K$5:$K$528,0))="","—",INDEX(Database!$A$5:$A$528,MATCH(LARGE('Calc (scoring engine)'!$K$5:$K$528,13),'Calc (scoring engine)'!$K$5:$K$528,0))),""))</f>
        <v/>
      </c>
      <c r="D33" s="43">
        <f>IF(OR(13&gt;MAX(3,MIN(15,N($D$18))),IFERROR(LARGE('Calc (scoring engine)'!$K$5:$K$528,13),-999999)&lt;=-900000),"",IFERROR(IF(INDEX(Database!$D$5:$D$528,MATCH(LARGE('Calc (scoring engine)'!$K$5:$K$528,13),'Calc (scoring engine)'!$K$5:$K$528,0))="","—",INDEX(Database!$D$5:$D$528,MATCH(LARGE('Calc (scoring engine)'!$K$5:$K$528,13),'Calc (scoring engine)'!$K$5:$K$528,0))),""))</f>
        <v/>
      </c>
      <c r="E33" s="43">
        <f>IF(OR(13&gt;MAX(3,MIN(15,N($D$18))),IFERROR(LARGE('Calc (scoring engine)'!$K$5:$K$528,13),-999999)&lt;=-900000),"",IFERROR(IF(INDEX(Database!$E$5:$E$528,MATCH(LARGE('Calc (scoring engine)'!$K$5:$K$528,13),'Calc (scoring engine)'!$K$5:$K$528,0))="","—",INDEX(Database!$E$5:$E$528,MATCH(LARGE('Calc (scoring engine)'!$K$5:$K$528,13),'Calc (scoring engine)'!$K$5:$K$528,0))),""))</f>
        <v/>
      </c>
      <c r="F33" s="43">
        <f>IF(OR(13&gt;MAX(3,MIN(15,N($D$18))),IFERROR(LARGE('Calc (scoring engine)'!$K$5:$K$528,13),-999999)&lt;=-900000),"",IFERROR(IF(INDEX(Database!$F$5:$F$528,MATCH(LARGE('Calc (scoring engine)'!$K$5:$K$528,13),'Calc (scoring engine)'!$K$5:$K$528,0))="","—",INDEX(Database!$F$5:$F$528,MATCH(LARGE('Calc (scoring engine)'!$K$5:$K$528,13),'Calc (scoring engine)'!$K$5:$K$528,0))),""))</f>
        <v/>
      </c>
      <c r="G33" s="43">
        <f>IF(OR(13&gt;MAX(3,MIN(15,N($D$18))),IFERROR(LARGE('Calc (scoring engine)'!$K$5:$K$528,13),-999999)&lt;=-900000),"",IFERROR(IF(INDEX(Database!$G$5:$G$528,MATCH(LARGE('Calc (scoring engine)'!$K$5:$K$528,13),'Calc (scoring engine)'!$K$5:$K$528,0))="","—",INDEX(Database!$G$5:$G$528,MATCH(LARGE('Calc (scoring engine)'!$K$5:$K$528,13),'Calc (scoring engine)'!$K$5:$K$528,0))),""))</f>
        <v/>
      </c>
      <c r="H33" s="55">
        <f>IF(OR(13&gt;MAX(3,MIN(15,N($D$18))),IFERROR(LARGE('Calc (scoring engine)'!$K$5:$K$528,13),-999999)&lt;=-900000),"",IFERROR(IF(INDEX(Database!$H$5:$H$528,MATCH(LARGE('Calc (scoring engine)'!$K$5:$K$528,13),'Calc (scoring engine)'!$K$5:$K$528,0))="","—",INDEX(Database!$H$5:$H$528,MATCH(LARGE('Calc (scoring engine)'!$K$5:$K$528,13),'Calc (scoring engine)'!$K$5:$K$528,0))),""))</f>
        <v/>
      </c>
      <c r="I33" s="53">
        <f>IF(OR(13&gt;MAX(3,MIN(15,N($D$18))),IFERROR(LARGE('Calc (scoring engine)'!$K$5:$K$528,13),-999999)&lt;=-900000),"",IFERROR(IF(INDEX(Database!$I$5:$I$528,MATCH(LARGE('Calc (scoring engine)'!$K$5:$K$528,13),'Calc (scoring engine)'!$K$5:$K$528,0))="","—",INDEX(Database!$I$5:$I$528,MATCH(LARGE('Calc (scoring engine)'!$K$5:$K$528,13),'Calc (scoring engine)'!$K$5:$K$528,0))),""))</f>
        <v/>
      </c>
      <c r="J33" s="85">
        <f>IF(OR(13&gt;MAX(3,MIN(15,N($D$18))),IFERROR(LARGE('Calc (scoring engine)'!$K$5:$K$528,13),-999999)&lt;=-900000),"",IFERROR(IF(INDEX(Database!$K$5:$K$528,MATCH(LARGE('Calc (scoring engine)'!$K$5:$K$528,13),'Calc (scoring engine)'!$K$5:$K$528,0))="","—",INDEX(Database!$K$5:$K$528,MATCH(LARGE('Calc (scoring engine)'!$K$5:$K$528,13),'Calc (scoring engine)'!$K$5:$K$528,0))),""))</f>
        <v/>
      </c>
      <c r="K33" s="85">
        <f>IF(OR(13&gt;MAX(3,MIN(15,N($D$18))),IFERROR(LARGE('Calc (scoring engine)'!$K$5:$K$528,13),-999999)&lt;=-900000),"",IFERROR(IF(INDEX(Database!$L$5:$L$528,MATCH(LARGE('Calc (scoring engine)'!$K$5:$K$528,13),'Calc (scoring engine)'!$K$5:$K$528,0))="","—",INDEX(Database!$L$5:$L$528,MATCH(LARGE('Calc (scoring engine)'!$K$5:$K$528,13),'Calc (scoring engine)'!$K$5:$K$528,0))),""))</f>
        <v/>
      </c>
      <c r="L33" s="85">
        <f>IF(OR(13&gt;MAX(3,MIN(15,N($D$18))),IFERROR(LARGE('Calc (scoring engine)'!$K$5:$K$528,13),-999999)&lt;=-900000),"",IFERROR(IF(INDEX(Database!$M$5:$M$528,MATCH(LARGE('Calc (scoring engine)'!$K$5:$K$528,13),'Calc (scoring engine)'!$K$5:$K$528,0))="","—",INDEX(Database!$M$5:$M$528,MATCH(LARGE('Calc (scoring engine)'!$K$5:$K$528,13),'Calc (scoring engine)'!$K$5:$K$528,0))),""))</f>
        <v/>
      </c>
      <c r="M33" s="43">
        <f>IF(OR(13&gt;MAX(3,MIN(15,N($D$18))),IFERROR(LARGE('Calc (scoring engine)'!$K$5:$K$528,13),-999999)&lt;=-900000),"",IFERROR(IF(INDEX(Database!$N$5:$N$528,MATCH(LARGE('Calc (scoring engine)'!$K$5:$K$528,13),'Calc (scoring engine)'!$K$5:$K$528,0))="","—",INDEX(Database!$N$5:$N$528,MATCH(LARGE('Calc (scoring engine)'!$K$5:$K$528,13),'Calc (scoring engine)'!$K$5:$K$528,0))),""))</f>
        <v/>
      </c>
      <c r="N33" s="65">
        <f>IF(OR(13&gt;MAX(3,MIN(15,N($D$18))),IFERROR(LARGE('Calc (scoring engine)'!$K$5:$K$528,13),-999999)&lt;=-900000),"",IFERROR(IF(INDEX(Database!$O$5:$O$528,MATCH(LARGE('Calc (scoring engine)'!$K$5:$K$528,13),'Calc (scoring engine)'!$K$5:$K$528,0))="","—",INDEX(Database!$O$5:$O$528,MATCH(LARGE('Calc (scoring engine)'!$K$5:$K$528,13),'Calc (scoring engine)'!$K$5:$K$528,0))),""))</f>
        <v/>
      </c>
      <c r="O33" s="65">
        <f>IF(OR(13&gt;MAX(3,MIN(15,N($D$18))),IFERROR(LARGE('Calc (scoring engine)'!$K$5:$K$528,13),-999999)&lt;=-900000),"",IFERROR(IF(INDEX(Database!$P$5:$P$528,MATCH(LARGE('Calc (scoring engine)'!$K$5:$K$528,13),'Calc (scoring engine)'!$K$5:$K$528,0))="","—",INDEX(Database!$P$5:$P$528,MATCH(LARGE('Calc (scoring engine)'!$K$5:$K$528,13),'Calc (scoring engine)'!$K$5:$K$528,0))),""))</f>
        <v/>
      </c>
      <c r="P33" s="53">
        <f>IF(OR(13&gt;MAX(3,MIN(15,N($D$18))),IFERROR(LARGE('Calc (scoring engine)'!$K$5:$K$528,13),-999999)&lt;=-900000),"",IFERROR(IF(INDEX(Database!$Q$5:$Q$528,MATCH(LARGE('Calc (scoring engine)'!$K$5:$K$528,13),'Calc (scoring engine)'!$K$5:$K$528,0))="","—",INDEX(Database!$Q$5:$Q$528,MATCH(LARGE('Calc (scoring engine)'!$K$5:$K$528,13),'Calc (scoring engine)'!$K$5:$K$528,0))),""))</f>
        <v/>
      </c>
      <c r="Q33" s="60">
        <f>IF(OR(13&gt;MAX(3,MIN(15,N($D$18))),IFERROR(LARGE('Calc (scoring engine)'!$K$5:$K$528,13),-999999)&lt;=-900000),"",IFERROR(IF(INDEX(Database!$S$5:$S$528,MATCH(LARGE('Calc (scoring engine)'!$K$5:$K$528,13),'Calc (scoring engine)'!$K$5:$K$528,0))="","—",INDEX(Database!$S$5:$S$528,MATCH(LARGE('Calc (scoring engine)'!$K$5:$K$528,13),'Calc (scoring engine)'!$K$5:$K$528,0))),""))</f>
        <v/>
      </c>
      <c r="R33" s="86">
        <f>IF(OR(13&gt;MAX(3,MIN(15,N($D$18))),IFERROR(LARGE('Calc (scoring engine)'!$K$5:$K$528,13),-999999)&lt;=-900000),"",IFERROR(IF(INDEX(Database!$T$5:$T$528,MATCH(LARGE('Calc (scoring engine)'!$K$5:$K$528,13),'Calc (scoring engine)'!$K$5:$K$528,0))="","—",INDEX(Database!$T$5:$T$528,MATCH(LARGE('Calc (scoring engine)'!$K$5:$K$528,13),'Calc (scoring engine)'!$K$5:$K$528,0))),""))</f>
        <v/>
      </c>
      <c r="S33" s="87">
        <f>IF(OR(13&gt;MAX(3,MIN(15,N($D$18))),IFERROR(LARGE('Calc (scoring engine)'!$K$5:$K$528,13),-999999)&lt;=-900000),"",IFERROR(IF(INDEX(Database!$U$5:$U$528,MATCH(LARGE('Calc (scoring engine)'!$K$5:$K$528,13),'Calc (scoring engine)'!$K$5:$K$528,0))="","—",INDEX(Database!$U$5:$U$528,MATCH(LARGE('Calc (scoring engine)'!$K$5:$K$528,13),'Calc (scoring engine)'!$K$5:$K$528,0))),""))</f>
        <v/>
      </c>
      <c r="T33" s="88">
        <f>IF(OR(13&gt;MAX(3,MIN(15,N($D$18))),IFERROR(LARGE('Calc (scoring engine)'!$K$5:$K$528,13),-999999)&lt;=-900000),"",IFERROR(IF(INDEX(Database!$V$5:$V$528,MATCH(LARGE('Calc (scoring engine)'!$K$5:$K$528,13),'Calc (scoring engine)'!$K$5:$K$528,0))="","—",INDEX(Database!$V$5:$V$528,MATCH(LARGE('Calc (scoring engine)'!$K$5:$K$528,13),'Calc (scoring engine)'!$K$5:$K$528,0))),""))</f>
        <v/>
      </c>
      <c r="U33" s="65">
        <f>IF(OR(13&gt;MAX(3,MIN(15,N($D$18))),IFERROR(LARGE('Calc (scoring engine)'!$K$5:$K$528,13),-999999)&lt;=-900000),"",IFERROR(IF(INDEX(Database!$W$5:$W$528,MATCH(LARGE('Calc (scoring engine)'!$K$5:$K$528,13),'Calc (scoring engine)'!$K$5:$K$528,0))="","—",INDEX(Database!$W$5:$W$528,MATCH(LARGE('Calc (scoring engine)'!$K$5:$K$528,13),'Calc (scoring engine)'!$K$5:$K$528,0))),""))</f>
        <v/>
      </c>
      <c r="V33" s="43">
        <f>IF(OR(13&gt;MAX(3,MIN(15,N($D$18))),IFERROR(LARGE('Calc (scoring engine)'!$K$5:$K$528,13),-999999)&lt;=-900000),"",IFERROR(IF(INDEX(Database!$X$5:$X$528,MATCH(LARGE('Calc (scoring engine)'!$K$5:$K$528,13),'Calc (scoring engine)'!$K$5:$K$528,0))="","—",INDEX(Database!$X$5:$X$528,MATCH(LARGE('Calc (scoring engine)'!$K$5:$K$528,13),'Calc (scoring engine)'!$K$5:$K$528,0))),""))</f>
        <v/>
      </c>
      <c r="W33" s="53">
        <f>IF(OR(13&gt;MAX(3,MIN(15,N($D$18))),IFERROR(LARGE('Calc (scoring engine)'!$K$5:$K$528,13),-999999)&lt;=-900000),"",IFERROR(IF(INDEX(Database!$Y$5:$Y$528,MATCH(LARGE('Calc (scoring engine)'!$K$5:$K$528,13),'Calc (scoring engine)'!$K$5:$K$528,0))="","—",INDEX(Database!$Y$5:$Y$528,MATCH(LARGE('Calc (scoring engine)'!$K$5:$K$528,13),'Calc (scoring engine)'!$K$5:$K$528,0))),""))</f>
        <v/>
      </c>
      <c r="X33" s="53">
        <f>IF(OR(13&gt;MAX(3,MIN(15,N($D$18))),IFERROR(LARGE('Calc (scoring engine)'!$K$5:$K$528,13),-999999)&lt;=-900000),"",IFERROR(IF(INDEX(Database!$Z$5:$Z$528,MATCH(LARGE('Calc (scoring engine)'!$K$5:$K$528,13),'Calc (scoring engine)'!$K$5:$K$528,0))="","—",INDEX(Database!$Z$5:$Z$528,MATCH(LARGE('Calc (scoring engine)'!$K$5:$K$528,13),'Calc (scoring engine)'!$K$5:$K$528,0))),""))</f>
        <v/>
      </c>
      <c r="Y33" s="65">
        <f>IF(OR(13&gt;MAX(3,MIN(15,N($D$18))),IFERROR(LARGE('Calc (scoring engine)'!$K$5:$K$528,13),-999999)&lt;=-900000),"",IFERROR(IF(INDEX(Database!$AA$5:$AA$528,MATCH(LARGE('Calc (scoring engine)'!$K$5:$K$528,13),'Calc (scoring engine)'!$K$5:$K$528,0))="","—",INDEX(Database!$AA$5:$AA$528,MATCH(LARGE('Calc (scoring engine)'!$K$5:$K$528,13),'Calc (scoring engine)'!$K$5:$K$528,0))),""))</f>
        <v/>
      </c>
      <c r="Z33" s="43">
        <f>IF(OR(13&gt;MAX(3,MIN(15,N($D$18))),IFERROR(LARGE('Calc (scoring engine)'!$K$5:$K$528,13),-999999)&lt;=-900000),"",IFERROR(IF(INDEX(Database!$AB$5:$AB$528,MATCH(LARGE('Calc (scoring engine)'!$K$5:$K$528,13),'Calc (scoring engine)'!$K$5:$K$528,0))="","—",INDEX(Database!$AB$5:$AB$528,MATCH(LARGE('Calc (scoring engine)'!$K$5:$K$528,13),'Calc (scoring engine)'!$K$5:$K$528,0))),""))</f>
        <v/>
      </c>
      <c r="AA33" s="65">
        <f>IF(OR(13&gt;MAX(3,MIN(15,N($D$18))),IFERROR(LARGE('Calc (scoring engine)'!$K$5:$K$528,13),-999999)&lt;=-900000),"",IFERROR(IF(INDEX(Database!$AD$5:$AD$528,MATCH(LARGE('Calc (scoring engine)'!$K$5:$K$528,13),'Calc (scoring engine)'!$K$5:$K$528,0))="","—",INDEX(Database!$AD$5:$AD$528,MATCH(LARGE('Calc (scoring engine)'!$K$5:$K$528,13),'Calc (scoring engine)'!$K$5:$K$528,0))),""))</f>
        <v/>
      </c>
      <c r="AB33" s="43">
        <f>IF(OR(13&gt;MAX(3,MIN(15,N($D$18))),IFERROR(LARGE('Calc (scoring engine)'!$K$5:$K$528,13),-999999)&lt;=-900000),"",IFERROR(IF(INDEX(Database!$AE$5:$AE$528,MATCH(LARGE('Calc (scoring engine)'!$K$5:$K$528,13),'Calc (scoring engine)'!$K$5:$K$528,0))="","—",INDEX(Database!$AE$5:$AE$528,MATCH(LARGE('Calc (scoring engine)'!$K$5:$K$528,13),'Calc (scoring engine)'!$K$5:$K$528,0))),""))</f>
        <v/>
      </c>
      <c r="AC33" s="43">
        <f>IF(OR(13&gt;MAX(3,MIN(15,N($D$18))),IFERROR(LARGE('Calc (scoring engine)'!$K$5:$K$528,13),-999999)&lt;=-900000),"",IFERROR(IF(INDEX(Database!$AF$5:$AF$528,MATCH(LARGE('Calc (scoring engine)'!$K$5:$K$528,13),'Calc (scoring engine)'!$K$5:$K$528,0))="","—",INDEX(Database!$AF$5:$AF$528,MATCH(LARGE('Calc (scoring engine)'!$K$5:$K$528,13),'Calc (scoring engine)'!$K$5:$K$528,0))),""))</f>
        <v/>
      </c>
      <c r="AD33" s="43">
        <f>IF(OR(13&gt;MAX(3,MIN(15,N($D$18))),IFERROR(LARGE('Calc (scoring engine)'!$K$5:$K$528,13),-999999)&lt;=-900000),"",IFERROR(IF(INDEX(Database!$AG$5:$AG$528,MATCH(LARGE('Calc (scoring engine)'!$K$5:$K$528,13),'Calc (scoring engine)'!$K$5:$K$528,0))="","—",INDEX(Database!$AG$5:$AG$528,MATCH(LARGE('Calc (scoring engine)'!$K$5:$K$528,13),'Calc (scoring engine)'!$K$5:$K$528,0))),""))</f>
        <v/>
      </c>
      <c r="AE33" s="43">
        <f>IF(OR(13&gt;MAX(3,MIN(15,N($D$18))),IFERROR(LARGE('Calc (scoring engine)'!$K$5:$K$528,13),-999999)&lt;=-900000),"",IFERROR(IF(INDEX(Database!$AH$5:$AH$528,MATCH(LARGE('Calc (scoring engine)'!$K$5:$K$528,13),'Calc (scoring engine)'!$K$5:$K$528,0))="","—",INDEX(Database!$AH$5:$AH$528,MATCH(LARGE('Calc (scoring engine)'!$K$5:$K$528,13),'Calc (scoring engine)'!$K$5:$K$528,0))),""))</f>
        <v/>
      </c>
      <c r="AF33" s="57">
        <f>IF(OR(13&gt;MAX(3,MIN(15,N($D$18))),IFERROR(LARGE('Calc (scoring engine)'!$K$5:$K$528,13),-999999)&lt;=-900000),"",IFERROR(IF(INDEX(Database!$AI$5:$AI$528,MATCH(LARGE('Calc (scoring engine)'!$K$5:$K$528,13),'Calc (scoring engine)'!$K$5:$K$528,0))="","—",INDEX(Database!$AI$5:$AI$528,MATCH(LARGE('Calc (scoring engine)'!$K$5:$K$528,13),'Calc (scoring engine)'!$K$5:$K$528,0))),""))</f>
        <v/>
      </c>
      <c r="AG33" s="57">
        <f>IF(OR(13&gt;MAX(3,MIN(15,N($D$18))),IFERROR(LARGE('Calc (scoring engine)'!$K$5:$K$528,13),-999999)&lt;=-900000),"",IFERROR(IF(INDEX(Database!$AJ$5:$AJ$528,MATCH(LARGE('Calc (scoring engine)'!$K$5:$K$528,13),'Calc (scoring engine)'!$K$5:$K$528,0))="","—",INDEX(Database!$AJ$5:$AJ$528,MATCH(LARGE('Calc (scoring engine)'!$K$5:$K$528,13),'Calc (scoring engine)'!$K$5:$K$528,0))),""))</f>
        <v/>
      </c>
      <c r="AH33" s="57">
        <f>IF(OR(13&gt;MAX(3,MIN(15,N($D$18))),IFERROR(LARGE('Calc (scoring engine)'!$K$5:$K$528,13),-999999)&lt;=-900000),"",IFERROR(IF(INDEX(Database!$AK$5:$AK$528,MATCH(LARGE('Calc (scoring engine)'!$K$5:$K$528,13),'Calc (scoring engine)'!$K$5:$K$528,0))="","—",INDEX(Database!$AK$5:$AK$528,MATCH(LARGE('Calc (scoring engine)'!$K$5:$K$528,13),'Calc (scoring engine)'!$K$5:$K$528,0))),""))</f>
        <v/>
      </c>
      <c r="AI33" s="57">
        <f>IF(OR(13&gt;MAX(3,MIN(15,N($D$18))),IFERROR(LARGE('Calc (scoring engine)'!$K$5:$K$528,13),-999999)&lt;=-900000),"",IFERROR(IF(INDEX(Database!$AL$5:$AL$528,MATCH(LARGE('Calc (scoring engine)'!$K$5:$K$528,13),'Calc (scoring engine)'!$K$5:$K$528,0))="","—",INDEX(Database!$AL$5:$AL$528,MATCH(LARGE('Calc (scoring engine)'!$K$5:$K$528,13),'Calc (scoring engine)'!$K$5:$K$528,0))),""))</f>
        <v/>
      </c>
      <c r="AJ33" s="57">
        <f>IF(OR(13&gt;MAX(3,MIN(15,N($D$18))),IFERROR(LARGE('Calc (scoring engine)'!$K$5:$K$528,13),-999999)&lt;=-900000),"",IFERROR(IF(INDEX(Database!$AM$5:$AM$528,MATCH(LARGE('Calc (scoring engine)'!$K$5:$K$528,13),'Calc (scoring engine)'!$K$5:$K$528,0))="","—",INDEX(Database!$AM$5:$AM$528,MATCH(LARGE('Calc (scoring engine)'!$K$5:$K$528,13),'Calc (scoring engine)'!$K$5:$K$528,0))),""))</f>
        <v/>
      </c>
      <c r="AK33" s="58">
        <f>IF(OR(13&gt;MAX(3,MIN(15,N($D$18))),IFERROR(LARGE('Calc (scoring engine)'!$K$5:$K$528,13),-999999)&lt;=-900000),"",IFERROR(IF(INDEX(Database!$AN$5:$AN$528,MATCH(LARGE('Calc (scoring engine)'!$K$5:$K$528,13),'Calc (scoring engine)'!$K$5:$K$528,0))="","—",INDEX(Database!$AN$5:$AN$528,MATCH(LARGE('Calc (scoring engine)'!$K$5:$K$528,13),'Calc (scoring engine)'!$K$5:$K$528,0))),""))</f>
        <v/>
      </c>
      <c r="AL33" s="65">
        <f>IF(OR(13&gt;MAX(3,MIN(15,N($D$18))),IFERROR(LARGE('Calc (scoring engine)'!$K$5:$K$528,13),-999999)&lt;=-900000),"",IFERROR(IF(INDEX(Database!$AO$5:$AO$528,MATCH(LARGE('Calc (scoring engine)'!$K$5:$K$528,13),'Calc (scoring engine)'!$K$5:$K$528,0))="","—",INDEX(Database!$AO$5:$AO$528,MATCH(LARGE('Calc (scoring engine)'!$K$5:$K$528,13),'Calc (scoring engine)'!$K$5:$K$528,0))),""))</f>
        <v/>
      </c>
      <c r="AM33" s="57">
        <f>IF(OR(13&gt;MAX(3,MIN(15,N($D$18))),IFERROR(LARGE('Calc (scoring engine)'!$K$5:$K$528,13),-999999)&lt;=-900000),"",IFERROR(IF(INDEX(Database!$AP$5:$AP$528,MATCH(LARGE('Calc (scoring engine)'!$K$5:$K$528,13),'Calc (scoring engine)'!$K$5:$K$528,0))="","—",INDEX(Database!$AP$5:$AP$528,MATCH(LARGE('Calc (scoring engine)'!$K$5:$K$528,13),'Calc (scoring engine)'!$K$5:$K$528,0))),""))</f>
        <v/>
      </c>
      <c r="AN33" s="57">
        <f>IF(OR(13&gt;MAX(3,MIN(15,N($D$18))),IFERROR(LARGE('Calc (scoring engine)'!$K$5:$K$528,13),-999999)&lt;=-900000),"",IFERROR(IF(INDEX(Database!$AQ$5:$AQ$528,MATCH(LARGE('Calc (scoring engine)'!$K$5:$K$528,13),'Calc (scoring engine)'!$K$5:$K$528,0))="","—",INDEX(Database!$AQ$5:$AQ$528,MATCH(LARGE('Calc (scoring engine)'!$K$5:$K$528,13),'Calc (scoring engine)'!$K$5:$K$528,0))),""))</f>
        <v/>
      </c>
      <c r="AO33" s="57">
        <f>IF(OR(13&gt;MAX(3,MIN(15,N($D$18))),IFERROR(LARGE('Calc (scoring engine)'!$K$5:$K$528,13),-999999)&lt;=-900000),"",IFERROR(IF(INDEX(Database!$AR$5:$AR$528,MATCH(LARGE('Calc (scoring engine)'!$K$5:$K$528,13),'Calc (scoring engine)'!$K$5:$K$528,0))="","—",INDEX(Database!$AR$5:$AR$528,MATCH(LARGE('Calc (scoring engine)'!$K$5:$K$528,13),'Calc (scoring engine)'!$K$5:$K$528,0))),""))</f>
        <v/>
      </c>
      <c r="AP33" s="57">
        <f>IF(OR(13&gt;MAX(3,MIN(15,N($D$18))),IFERROR(LARGE('Calc (scoring engine)'!$K$5:$K$528,13),-999999)&lt;=-900000),"",IFERROR(IF(INDEX(Database!$AS$5:$AS$528,MATCH(LARGE('Calc (scoring engine)'!$K$5:$K$528,13),'Calc (scoring engine)'!$K$5:$K$528,0))="","—",INDEX(Database!$AS$5:$AS$528,MATCH(LARGE('Calc (scoring engine)'!$K$5:$K$528,13),'Calc (scoring engine)'!$K$5:$K$528,0))),""))</f>
        <v/>
      </c>
      <c r="AQ33" s="57">
        <f>IF(OR(13&gt;MAX(3,MIN(15,N($D$18))),IFERROR(LARGE('Calc (scoring engine)'!$K$5:$K$528,13),-999999)&lt;=-900000),"",IFERROR(IF(INDEX(Database!$AT$5:$AT$528,MATCH(LARGE('Calc (scoring engine)'!$K$5:$K$528,13),'Calc (scoring engine)'!$K$5:$K$528,0))="","—",INDEX(Database!$AT$5:$AT$528,MATCH(LARGE('Calc (scoring engine)'!$K$5:$K$528,13),'Calc (scoring engine)'!$K$5:$K$528,0))),""))</f>
        <v/>
      </c>
      <c r="AR33" s="57">
        <f>IF(OR(13&gt;MAX(3,MIN(15,N($D$18))),IFERROR(LARGE('Calc (scoring engine)'!$K$5:$K$528,13),-999999)&lt;=-900000),"",IFERROR(IF(INDEX(Database!$AU$5:$AU$528,MATCH(LARGE('Calc (scoring engine)'!$K$5:$K$528,13),'Calc (scoring engine)'!$K$5:$K$528,0))="","—",INDEX(Database!$AU$5:$AU$528,MATCH(LARGE('Calc (scoring engine)'!$K$5:$K$528,13),'Calc (scoring engine)'!$K$5:$K$528,0))),""))</f>
        <v/>
      </c>
      <c r="AS33" s="57">
        <f>IF(OR(13&gt;MAX(3,MIN(15,N($D$18))),IFERROR(LARGE('Calc (scoring engine)'!$K$5:$K$528,13),-999999)&lt;=-900000),"",IFERROR(IF(INDEX(Database!$AV$5:$AV$528,MATCH(LARGE('Calc (scoring engine)'!$K$5:$K$528,13),'Calc (scoring engine)'!$K$5:$K$528,0))="","—",INDEX(Database!$AV$5:$AV$528,MATCH(LARGE('Calc (scoring engine)'!$K$5:$K$528,13),'Calc (scoring engine)'!$K$5:$K$528,0))),""))</f>
        <v/>
      </c>
      <c r="AT33" s="57">
        <f>IF(OR(13&gt;MAX(3,MIN(15,N($D$18))),IFERROR(LARGE('Calc (scoring engine)'!$K$5:$K$528,13),-999999)&lt;=-900000),"",IFERROR(IF(INDEX(Database!$AW$5:$AW$528,MATCH(LARGE('Calc (scoring engine)'!$K$5:$K$528,13),'Calc (scoring engine)'!$K$5:$K$528,0))="","—",INDEX(Database!$AW$5:$AW$528,MATCH(LARGE('Calc (scoring engine)'!$K$5:$K$528,13),'Calc (scoring engine)'!$K$5:$K$528,0))),""))</f>
        <v/>
      </c>
      <c r="AU33" s="57">
        <f>IF(OR(13&gt;MAX(3,MIN(15,N($D$18))),IFERROR(LARGE('Calc (scoring engine)'!$K$5:$K$528,13),-999999)&lt;=-900000),"",IFERROR(IF(INDEX(Database!$AX$5:$AX$528,MATCH(LARGE('Calc (scoring engine)'!$K$5:$K$528,13),'Calc (scoring engine)'!$K$5:$K$528,0))="","—",INDEX(Database!$AX$5:$AX$528,MATCH(LARGE('Calc (scoring engine)'!$K$5:$K$528,13),'Calc (scoring engine)'!$K$5:$K$528,0))),""))</f>
        <v/>
      </c>
      <c r="AV33" s="57">
        <f>IF(OR(13&gt;MAX(3,MIN(15,N($D$18))),IFERROR(LARGE('Calc (scoring engine)'!$K$5:$K$528,13),-999999)&lt;=-900000),"",IFERROR(IF(INDEX(Database!$AY$5:$AY$528,MATCH(LARGE('Calc (scoring engine)'!$K$5:$K$528,13),'Calc (scoring engine)'!$K$5:$K$528,0))="","—",INDEX(Database!$AY$5:$AY$528,MATCH(LARGE('Calc (scoring engine)'!$K$5:$K$528,13),'Calc (scoring engine)'!$K$5:$K$528,0))),""))</f>
        <v/>
      </c>
      <c r="AW33" s="57">
        <f>IF(OR(13&gt;MAX(3,MIN(15,N($D$18))),IFERROR(LARGE('Calc (scoring engine)'!$K$5:$K$528,13),-999999)&lt;=-900000),"",IFERROR(IF(INDEX(Database!$AZ$5:$AZ$528,MATCH(LARGE('Calc (scoring engine)'!$K$5:$K$528,13),'Calc (scoring engine)'!$K$5:$K$528,0))="","—",INDEX(Database!$AZ$5:$AZ$528,MATCH(LARGE('Calc (scoring engine)'!$K$5:$K$528,13),'Calc (scoring engine)'!$K$5:$K$528,0))),""))</f>
        <v/>
      </c>
      <c r="AX33" s="57">
        <f>IF(OR(13&gt;MAX(3,MIN(15,N($D$18))),IFERROR(LARGE('Calc (scoring engine)'!$K$5:$K$528,13),-999999)&lt;=-900000),"",IFERROR(IF(INDEX(Database!$BA$5:$BA$528,MATCH(LARGE('Calc (scoring engine)'!$K$5:$K$528,13),'Calc (scoring engine)'!$K$5:$K$528,0))="","—",INDEX(Database!$BA$5:$BA$528,MATCH(LARGE('Calc (scoring engine)'!$K$5:$K$528,13),'Calc (scoring engine)'!$K$5:$K$528,0))),""))</f>
        <v/>
      </c>
      <c r="AY33" s="57">
        <f>IF(OR(13&gt;MAX(3,MIN(15,N($D$18))),IFERROR(LARGE('Calc (scoring engine)'!$K$5:$K$528,13),-999999)&lt;=-900000),"",IFERROR(IF(INDEX(Database!$BC$5:$BC$528,MATCH(LARGE('Calc (scoring engine)'!$K$5:$K$528,13),'Calc (scoring engine)'!$K$5:$K$528,0))="","—",INDEX(Database!$BC$5:$BC$528,MATCH(LARGE('Calc (scoring engine)'!$K$5:$K$528,13),'Calc (scoring engine)'!$K$5:$K$528,0))),""))</f>
        <v/>
      </c>
      <c r="AZ33" s="53">
        <f>IF(OR(13&gt;MAX(3,MIN(15,N($D$18))),IFERROR(LARGE('Calc (scoring engine)'!$K$5:$K$528,13),-999999)&lt;=-900000),"",IFERROR(IF(INDEX(Database!$BE$5:$BE$528,MATCH(LARGE('Calc (scoring engine)'!$K$5:$K$528,13),'Calc (scoring engine)'!$K$5:$K$528,0))="","—",INDEX(Database!$BE$5:$BE$528,MATCH(LARGE('Calc (scoring engine)'!$K$5:$K$528,13),'Calc (scoring engine)'!$K$5:$K$528,0))),""))</f>
        <v/>
      </c>
      <c r="BA33" s="53">
        <f>IF(OR(13&gt;MAX(3,MIN(15,N($D$18))),IFERROR(LARGE('Calc (scoring engine)'!$K$5:$K$528,13),-999999)&lt;=-900000),"",IFERROR(IF(INDEX(Database!$BF$5:$BF$528,MATCH(LARGE('Calc (scoring engine)'!$K$5:$K$528,13),'Calc (scoring engine)'!$K$5:$K$528,0))="","—",INDEX(Database!$BF$5:$BF$528,MATCH(LARGE('Calc (scoring engine)'!$K$5:$K$528,13),'Calc (scoring engine)'!$K$5:$K$528,0))),""))</f>
        <v/>
      </c>
      <c r="BB33" s="43">
        <f>IF(OR(13&gt;MAX(3,MIN(15,N($D$18))),IFERROR(LARGE('Calc (scoring engine)'!$K$5:$K$528,13),-999999)&lt;=-900000),"",IFERROR(IF(INDEX(Database!$BG$5:$BG$528,MATCH(LARGE('Calc (scoring engine)'!$K$5:$K$528,13),'Calc (scoring engine)'!$K$5:$K$528,0))="","—",INDEX(Database!$BG$5:$BG$528,MATCH(LARGE('Calc (scoring engine)'!$K$5:$K$528,13),'Calc (scoring engine)'!$K$5:$K$528,0))),""))</f>
        <v/>
      </c>
      <c r="BC33" s="58">
        <f>IF(OR(13&gt;MAX(3,MIN(15,N($D$18))),IFERROR(LARGE('Calc (scoring engine)'!$K$5:$K$528,13),-999999)&lt;=-900000),"",IFERROR(IF(N(INDEX(Database!$BH$5:$BH$528,MATCH(LARGE('Calc (scoring engine)'!$K$5:$K$528,13),'Calc (scoring engine)'!$K$5:$K$528,0)))&lt;=0,IF(INDEX(Database!$BG$5:$BG$528,MATCH(LARGE('Calc (scoring engine)'!$K$5:$K$528,13),'Calc (scoring engine)'!$K$5:$K$528,0))="N","n/m","—"),INDEX(Database!$BH$5:$BH$528,MATCH(LARGE('Calc (scoring engine)'!$K$5:$K$528,13),'Calc (scoring engine)'!$K$5:$K$528,0))),""))</f>
        <v/>
      </c>
      <c r="BD33" s="58">
        <f>IF(OR(13&gt;MAX(3,MIN(15,N($D$18))),IFERROR(LARGE('Calc (scoring engine)'!$K$5:$K$528,13),-999999)&lt;=-900000),"",IFERROR(IF(INDEX(Database!$BI$5:$BI$528,MATCH(LARGE('Calc (scoring engine)'!$K$5:$K$528,13),'Calc (scoring engine)'!$K$5:$K$528,0))="","—",INDEX(Database!$BI$5:$BI$528,MATCH(LARGE('Calc (scoring engine)'!$K$5:$K$528,13),'Calc (scoring engine)'!$K$5:$K$528,0))),""))</f>
        <v/>
      </c>
      <c r="BE33" s="58">
        <f>IF(OR(13&gt;MAX(3,MIN(15,N($D$18))),IFERROR(LARGE('Calc (scoring engine)'!$K$5:$K$528,13),-999999)&lt;=-900000),"",IFERROR(IF(INDEX(Database!$BJ$5:$BJ$528,MATCH(LARGE('Calc (scoring engine)'!$K$5:$K$528,13),'Calc (scoring engine)'!$K$5:$K$528,0))="","—",INDEX(Database!$BJ$5:$BJ$528,MATCH(LARGE('Calc (scoring engine)'!$K$5:$K$528,13),'Calc (scoring engine)'!$K$5:$K$528,0))),""))</f>
        <v/>
      </c>
      <c r="BF33" s="58">
        <f>IF(OR(13&gt;MAX(3,MIN(15,N($D$18))),IFERROR(LARGE('Calc (scoring engine)'!$K$5:$K$528,13),-999999)&lt;=-900000),"",IFERROR(IF(INDEX(Database!$BK$5:$BK$528,MATCH(LARGE('Calc (scoring engine)'!$K$5:$K$528,13),'Calc (scoring engine)'!$K$5:$K$528,0))="","—",INDEX(Database!$BK$5:$BK$528,MATCH(LARGE('Calc (scoring engine)'!$K$5:$K$528,13),'Calc (scoring engine)'!$K$5:$K$528,0))),""))</f>
        <v/>
      </c>
      <c r="BG33" s="58">
        <f>IF(OR(13&gt;MAX(3,MIN(15,N($D$18))),IFERROR(LARGE('Calc (scoring engine)'!$K$5:$K$528,13),-999999)&lt;=-900000),"",IFERROR(IF(INDEX(Database!$BL$5:$BL$528,MATCH(LARGE('Calc (scoring engine)'!$K$5:$K$528,13),'Calc (scoring engine)'!$K$5:$K$528,0))="","—",INDEX(Database!$BL$5:$BL$528,MATCH(LARGE('Calc (scoring engine)'!$K$5:$K$528,13),'Calc (scoring engine)'!$K$5:$K$528,0))),""))</f>
        <v/>
      </c>
      <c r="BH33" s="58">
        <f>IF(OR(13&gt;MAX(3,MIN(15,N($D$18))),IFERROR(LARGE('Calc (scoring engine)'!$K$5:$K$528,13),-999999)&lt;=-900000),"",IFERROR(IFERROR(BDP(TEXT(INDEX(Database!$A$5:$A$528,MATCH(LARGE('Calc (scoring engine)'!$K$5:$K$528,13),'Calc (scoring engine)'!$K$5:$K$528,0)),"0")&amp;" HK Equity","PE_RATIO"),IF(INDEX(Database!$BJ$5:$BJ$528,MATCH(LARGE('Calc (scoring engine)'!$K$5:$K$528,13),'Calc (scoring engine)'!$K$5:$K$528,0))="","—",INDEX(Database!$BJ$5:$BJ$528,MATCH(LARGE('Calc (scoring engine)'!$K$5:$K$528,13),'Calc (scoring engine)'!$K$5:$K$528,0)))),""))</f>
        <v/>
      </c>
      <c r="BI33" s="58">
        <f>IF(OR(13&gt;MAX(3,MIN(15,N($D$18))),IFERROR(LARGE('Calc (scoring engine)'!$K$5:$K$528,13),-999999)&lt;=-900000),"",IFERROR(IFERROR(BDP(TEXT(INDEX(Database!$A$5:$A$528,MATCH(LARGE('Calc (scoring engine)'!$K$5:$K$528,13),'Calc (scoring engine)'!$K$5:$K$528,0)),"0")&amp;" HK Equity","PX_TO_SALES_RATIO"),IF(INDEX(Database!$BK$5:$BK$528,MATCH(LARGE('Calc (scoring engine)'!$K$5:$K$528,13),'Calc (scoring engine)'!$K$5:$K$528,0))="","—",INDEX(Database!$BK$5:$BK$528,MATCH(LARGE('Calc (scoring engine)'!$K$5:$K$528,13),'Calc (scoring engine)'!$K$5:$K$528,0)))),""))</f>
        <v/>
      </c>
      <c r="BJ33" s="43">
        <f>IF(OR(13&gt;MAX(3,MIN(15,N($D$18))),IFERROR(LARGE('Calc (scoring engine)'!$K$5:$K$528,13),-999999)&lt;=-900000),"",IFERROR(IF(INDEX(Database!$BM$5:$BM$528,MATCH(LARGE('Calc (scoring engine)'!$K$5:$K$528,13),'Calc (scoring engine)'!$K$5:$K$528,0))="","—",INDEX(Database!$BM$5:$BM$528,MATCH(LARGE('Calc (scoring engine)'!$K$5:$K$528,13),'Calc (scoring engine)'!$K$5:$K$528,0))),""))</f>
        <v/>
      </c>
      <c r="BK33" s="43">
        <f>IF(OR(13&gt;MAX(3,MIN(15,N($D$18))),IFERROR(LARGE('Calc (scoring engine)'!$K$5:$K$528,13),-999999)&lt;=-900000),"",IFERROR(IF(INDEX(Database!$BN$5:$BN$528,MATCH(LARGE('Calc (scoring engine)'!$K$5:$K$528,13),'Calc (scoring engine)'!$K$5:$K$528,0))="","—",INDEX(Database!$BN$5:$BN$528,MATCH(LARGE('Calc (scoring engine)'!$K$5:$K$528,13),'Calc (scoring engine)'!$K$5:$K$528,0))),""))</f>
        <v/>
      </c>
      <c r="BL33" s="57">
        <f>IF(OR(13&gt;MAX(3,MIN(15,N($D$18))),IFERROR(LARGE('Calc (scoring engine)'!$K$5:$K$528,13),-999999)&lt;=-900000),"",IFERROR(IF(INDEX(Database!$BO$5:$BO$528,MATCH(LARGE('Calc (scoring engine)'!$K$5:$K$528,13),'Calc (scoring engine)'!$K$5:$K$528,0))="","—",INDEX(Database!$BO$5:$BO$528,MATCH(LARGE('Calc (scoring engine)'!$K$5:$K$528,13),'Calc (scoring engine)'!$K$5:$K$528,0))),""))</f>
        <v/>
      </c>
      <c r="BM33" s="85">
        <f>IF(OR(13&gt;MAX(3,MIN(15,N($D$18))),IFERROR(LARGE('Calc (scoring engine)'!$K$5:$K$528,13),-999999)&lt;=-900000),"",IFERROR(IF(INDEX(Database!$BP$5:$BP$528,MATCH(LARGE('Calc (scoring engine)'!$K$5:$K$528,13),'Calc (scoring engine)'!$K$5:$K$528,0))="","—",INDEX(Database!$BP$5:$BP$528,MATCH(LARGE('Calc (scoring engine)'!$K$5:$K$528,13),'Calc (scoring engine)'!$K$5:$K$528,0))),""))</f>
        <v/>
      </c>
      <c r="BN33" s="89">
        <f>IF(OR(13&gt;MAX(3,MIN(15,N($D$18))),IFERROR(LARGE('Calc (scoring engine)'!$K$5:$K$528,13),-999999)&lt;=-900000),"",IFERROR(IF(INDEX(Database!$BQ$5:$BQ$528,MATCH(LARGE('Calc (scoring engine)'!$K$5:$K$528,13),'Calc (scoring engine)'!$K$5:$K$528,0))="","—",INDEX(Database!$BQ$5:$BQ$528,MATCH(LARGE('Calc (scoring engine)'!$K$5:$K$528,13),'Calc (scoring engine)'!$K$5:$K$528,0))),""))</f>
        <v/>
      </c>
      <c r="BO33" s="53">
        <f>IF(OR(13&gt;MAX(3,MIN(15,N($D$18))),IFERROR(LARGE('Calc (scoring engine)'!$K$5:$K$528,13),-999999)&lt;=-900000),"",IFERROR(IF(INDEX(Database!$BR$5:$BR$528,MATCH(LARGE('Calc (scoring engine)'!$K$5:$K$528,13),'Calc (scoring engine)'!$K$5:$K$528,0))="","—",INDEX(Database!$BR$5:$BR$528,MATCH(LARGE('Calc (scoring engine)'!$K$5:$K$528,13),'Calc (scoring engine)'!$K$5:$K$528,0))),""))</f>
        <v/>
      </c>
      <c r="BP33" s="58">
        <f>IF(OR(13&gt;MAX(3,MIN(15,N($D$18))),IFERROR(LARGE('Calc (scoring engine)'!$K$5:$K$528,13),-999999)&lt;=-900000),"",IFERROR(IF(INDEX(Database!$BS$5:$BS$528,MATCH(LARGE('Calc (scoring engine)'!$K$5:$K$528,13),'Calc (scoring engine)'!$K$5:$K$528,0))="","—",INDEX(Database!$BS$5:$BS$528,MATCH(LARGE('Calc (scoring engine)'!$K$5:$K$528,13),'Calc (scoring engine)'!$K$5:$K$528,0))),""))</f>
        <v/>
      </c>
      <c r="BQ33" s="58">
        <f>IF(OR(13&gt;MAX(3,MIN(15,N($D$18))),IFERROR(LARGE('Calc (scoring engine)'!$K$5:$K$528,13),-999999)&lt;=-900000),"",IFERROR(IF(INDEX(Database!$BT$5:$BT$528,MATCH(LARGE('Calc (scoring engine)'!$K$5:$K$528,13),'Calc (scoring engine)'!$K$5:$K$528,0))="","—",INDEX(Database!$BT$5:$BT$528,MATCH(LARGE('Calc (scoring engine)'!$K$5:$K$528,13),'Calc (scoring engine)'!$K$5:$K$528,0))),""))</f>
        <v/>
      </c>
      <c r="BR33" s="43">
        <f>IF(OR(13&gt;MAX(3,MIN(15,N($D$18))),IFERROR(LARGE('Calc (scoring engine)'!$K$5:$K$528,13),-999999)&lt;=-900000),"",IFERROR(IF(INDEX(Database!$BU$5:$BU$528,MATCH(LARGE('Calc (scoring engine)'!$K$5:$K$528,13),'Calc (scoring engine)'!$K$5:$K$528,0))="","—",INDEX(Database!$BU$5:$BU$528,MATCH(LARGE('Calc (scoring engine)'!$K$5:$K$528,13),'Calc (scoring engine)'!$K$5:$K$528,0))),""))</f>
        <v/>
      </c>
      <c r="BS33" s="43">
        <f>IF(OR(13&gt;MAX(3,MIN(15,N($D$18))),IFERROR(LARGE('Calc (scoring engine)'!$K$5:$K$528,13),-999999)&lt;=-900000),"",IFERROR(IF(INDEX(Database!$BW$5:$BW$528,MATCH(LARGE('Calc (scoring engine)'!$K$5:$K$528,13),'Calc (scoring engine)'!$K$5:$K$528,0))="","—",INDEX(Database!$BW$5:$BW$528,MATCH(LARGE('Calc (scoring engine)'!$K$5:$K$528,13),'Calc (scoring engine)'!$K$5:$K$528,0))),""))</f>
        <v/>
      </c>
      <c r="BT33" s="88">
        <f>IF(OR(13&gt;MAX(3,MIN(15,N($D$18))),IFERROR(LARGE('Calc (scoring engine)'!$K$5:$K$528,13),-999999)&lt;=-900000),"",IFERROR(IF(INDEX('Calc (scoring engine)'!$H$5:$H$528,MATCH(LARGE('Calc (scoring engine)'!$K$5:$K$528,13),'Calc (scoring engine)'!$K$5:$K$528,0))&gt;0,INDEX('Calc (scoring engine)'!$H$5:$H$528,MATCH(LARGE('Calc (scoring engine)'!$K$5:$K$528,13),'Calc (scoring engine)'!$K$5:$K$528,0)),""),""))</f>
        <v/>
      </c>
      <c r="BU33" s="43">
        <f>IF(OR(13&gt;MAX(3,MIN(15,N($D$18))),IFERROR(LARGE('Calc (scoring engine)'!$K$5:$K$528,13),-999999)&lt;=-900000),"",IF(IFERROR(INDEX('Calc (scoring engine)'!$B$5:$B$528,MATCH(LARGE('Calc (scoring engine)'!$K$5:$K$528,13),'Calc (scoring engine)'!$K$5:$K$528,0)),0)=1,"same subsector","sector only"))</f>
        <v/>
      </c>
      <c r="BV33" s="88">
        <f>IF(OR(13&gt;MAX(3,MIN(15,N($D$18))),IFERROR(LARGE('Calc (scoring engine)'!$K$5:$K$528,13),-999999)&lt;=-900000),"",ROUND(IFERROR(LARGE('Calc (scoring engine)'!$K$5:$K$528,13),0),0))</f>
        <v/>
      </c>
      <c r="BW33" s="43">
        <f>IF(OR(13&gt;MAX(3,MIN(15,N($D$18))),IFERROR(LARGE('Calc (scoring engine)'!$K$5:$K$528,13),-999999)&lt;=-900000),"",IFERROR("sub "&amp;INDEX('Calc (scoring engine)'!$B$5:$B$528,MATCH(LARGE('Calc (scoring engine)'!$K$5:$K$528,13),'Calc (scoring engine)'!$K$5:$K$528,0))*W_SUB&amp;" + size "&amp;ROUND(INDEX('Calc (scoring engine)'!$D$5:$D$528,MATCH(LARGE('Calc (scoring engine)'!$K$5:$K$528,13),'Calc (scoring engine)'!$K$5:$K$528,0))*W_SIZE,0)&amp;" + prof "&amp;INDEX('Calc (scoring engine)'!$E$5:$E$528,MATCH(LARGE('Calc (scoring engine)'!$K$5:$K$528,13),'Calc (scoring engine)'!$K$5:$K$528,0))*W_PROF&amp;" + recency "&amp;ROUND(INDEX('Calc (scoring engine)'!$G$5:$G$528,MATCH(LARGE('Calc (scoring engine)'!$K$5:$K$528,13),'Calc (scoring engine)'!$K$5:$K$528,0))*W_REC,0)&amp;IF(INDEX('Calc (scoring engine)'!$H$5:$H$528,MATCH(LARGE('Calc (scoring engine)'!$K$5:$K$528,13),'Calc (scoring engine)'!$K$5:$K$528,0))&gt;0," + shared CS x"&amp;INDEX('Calc (scoring engine)'!$H$5:$H$528,MATCH(LARGE('Calc (scoring engine)'!$K$5:$K$528,13),'Calc (scoring engine)'!$K$5:$K$528,0)),""),""))</f>
        <v/>
      </c>
    </row>
    <row r="34">
      <c r="A34" s="83">
        <f>IF(OR(14&gt;MAX(3,MIN(15,N($D$18))),IFERROR(LARGE('Calc (scoring engine)'!$K$5:$K$528,14),-999999)&lt;=-900000),"",14)</f>
        <v/>
      </c>
      <c r="B34" s="43">
        <f>IF(OR(14&gt;MAX(3,MIN(15,N($D$18))),IFERROR(LARGE('Calc (scoring engine)'!$K$5:$K$528,14),-999999)&lt;=-900000),"",IFERROR(IF(INDEX(Database!$B$5:$B$528,MATCH(LARGE('Calc (scoring engine)'!$K$5:$K$528,14),'Calc (scoring engine)'!$K$5:$K$528,0))="","—",INDEX(Database!$B$5:$B$528,MATCH(LARGE('Calc (scoring engine)'!$K$5:$K$528,14),'Calc (scoring engine)'!$K$5:$K$528,0))),""))</f>
        <v/>
      </c>
      <c r="C34" s="84">
        <f>IF(OR(14&gt;MAX(3,MIN(15,N($D$18))),IFERROR(LARGE('Calc (scoring engine)'!$K$5:$K$528,14),-999999)&lt;=-900000),"",IFERROR(IF(INDEX(Database!$A$5:$A$528,MATCH(LARGE('Calc (scoring engine)'!$K$5:$K$528,14),'Calc (scoring engine)'!$K$5:$K$528,0))="","—",INDEX(Database!$A$5:$A$528,MATCH(LARGE('Calc (scoring engine)'!$K$5:$K$528,14),'Calc (scoring engine)'!$K$5:$K$528,0))),""))</f>
        <v/>
      </c>
      <c r="D34" s="43">
        <f>IF(OR(14&gt;MAX(3,MIN(15,N($D$18))),IFERROR(LARGE('Calc (scoring engine)'!$K$5:$K$528,14),-999999)&lt;=-900000),"",IFERROR(IF(INDEX(Database!$D$5:$D$528,MATCH(LARGE('Calc (scoring engine)'!$K$5:$K$528,14),'Calc (scoring engine)'!$K$5:$K$528,0))="","—",INDEX(Database!$D$5:$D$528,MATCH(LARGE('Calc (scoring engine)'!$K$5:$K$528,14),'Calc (scoring engine)'!$K$5:$K$528,0))),""))</f>
        <v/>
      </c>
      <c r="E34" s="43">
        <f>IF(OR(14&gt;MAX(3,MIN(15,N($D$18))),IFERROR(LARGE('Calc (scoring engine)'!$K$5:$K$528,14),-999999)&lt;=-900000),"",IFERROR(IF(INDEX(Database!$E$5:$E$528,MATCH(LARGE('Calc (scoring engine)'!$K$5:$K$528,14),'Calc (scoring engine)'!$K$5:$K$528,0))="","—",INDEX(Database!$E$5:$E$528,MATCH(LARGE('Calc (scoring engine)'!$K$5:$K$528,14),'Calc (scoring engine)'!$K$5:$K$528,0))),""))</f>
        <v/>
      </c>
      <c r="F34" s="43">
        <f>IF(OR(14&gt;MAX(3,MIN(15,N($D$18))),IFERROR(LARGE('Calc (scoring engine)'!$K$5:$K$528,14),-999999)&lt;=-900000),"",IFERROR(IF(INDEX(Database!$F$5:$F$528,MATCH(LARGE('Calc (scoring engine)'!$K$5:$K$528,14),'Calc (scoring engine)'!$K$5:$K$528,0))="","—",INDEX(Database!$F$5:$F$528,MATCH(LARGE('Calc (scoring engine)'!$K$5:$K$528,14),'Calc (scoring engine)'!$K$5:$K$528,0))),""))</f>
        <v/>
      </c>
      <c r="G34" s="43">
        <f>IF(OR(14&gt;MAX(3,MIN(15,N($D$18))),IFERROR(LARGE('Calc (scoring engine)'!$K$5:$K$528,14),-999999)&lt;=-900000),"",IFERROR(IF(INDEX(Database!$G$5:$G$528,MATCH(LARGE('Calc (scoring engine)'!$K$5:$K$528,14),'Calc (scoring engine)'!$K$5:$K$528,0))="","—",INDEX(Database!$G$5:$G$528,MATCH(LARGE('Calc (scoring engine)'!$K$5:$K$528,14),'Calc (scoring engine)'!$K$5:$K$528,0))),""))</f>
        <v/>
      </c>
      <c r="H34" s="55">
        <f>IF(OR(14&gt;MAX(3,MIN(15,N($D$18))),IFERROR(LARGE('Calc (scoring engine)'!$K$5:$K$528,14),-999999)&lt;=-900000),"",IFERROR(IF(INDEX(Database!$H$5:$H$528,MATCH(LARGE('Calc (scoring engine)'!$K$5:$K$528,14),'Calc (scoring engine)'!$K$5:$K$528,0))="","—",INDEX(Database!$H$5:$H$528,MATCH(LARGE('Calc (scoring engine)'!$K$5:$K$528,14),'Calc (scoring engine)'!$K$5:$K$528,0))),""))</f>
        <v/>
      </c>
      <c r="I34" s="53">
        <f>IF(OR(14&gt;MAX(3,MIN(15,N($D$18))),IFERROR(LARGE('Calc (scoring engine)'!$K$5:$K$528,14),-999999)&lt;=-900000),"",IFERROR(IF(INDEX(Database!$I$5:$I$528,MATCH(LARGE('Calc (scoring engine)'!$K$5:$K$528,14),'Calc (scoring engine)'!$K$5:$K$528,0))="","—",INDEX(Database!$I$5:$I$528,MATCH(LARGE('Calc (scoring engine)'!$K$5:$K$528,14),'Calc (scoring engine)'!$K$5:$K$528,0))),""))</f>
        <v/>
      </c>
      <c r="J34" s="85">
        <f>IF(OR(14&gt;MAX(3,MIN(15,N($D$18))),IFERROR(LARGE('Calc (scoring engine)'!$K$5:$K$528,14),-999999)&lt;=-900000),"",IFERROR(IF(INDEX(Database!$K$5:$K$528,MATCH(LARGE('Calc (scoring engine)'!$K$5:$K$528,14),'Calc (scoring engine)'!$K$5:$K$528,0))="","—",INDEX(Database!$K$5:$K$528,MATCH(LARGE('Calc (scoring engine)'!$K$5:$K$528,14),'Calc (scoring engine)'!$K$5:$K$528,0))),""))</f>
        <v/>
      </c>
      <c r="K34" s="85">
        <f>IF(OR(14&gt;MAX(3,MIN(15,N($D$18))),IFERROR(LARGE('Calc (scoring engine)'!$K$5:$K$528,14),-999999)&lt;=-900000),"",IFERROR(IF(INDEX(Database!$L$5:$L$528,MATCH(LARGE('Calc (scoring engine)'!$K$5:$K$528,14),'Calc (scoring engine)'!$K$5:$K$528,0))="","—",INDEX(Database!$L$5:$L$528,MATCH(LARGE('Calc (scoring engine)'!$K$5:$K$528,14),'Calc (scoring engine)'!$K$5:$K$528,0))),""))</f>
        <v/>
      </c>
      <c r="L34" s="85">
        <f>IF(OR(14&gt;MAX(3,MIN(15,N($D$18))),IFERROR(LARGE('Calc (scoring engine)'!$K$5:$K$528,14),-999999)&lt;=-900000),"",IFERROR(IF(INDEX(Database!$M$5:$M$528,MATCH(LARGE('Calc (scoring engine)'!$K$5:$K$528,14),'Calc (scoring engine)'!$K$5:$K$528,0))="","—",INDEX(Database!$M$5:$M$528,MATCH(LARGE('Calc (scoring engine)'!$K$5:$K$528,14),'Calc (scoring engine)'!$K$5:$K$528,0))),""))</f>
        <v/>
      </c>
      <c r="M34" s="43">
        <f>IF(OR(14&gt;MAX(3,MIN(15,N($D$18))),IFERROR(LARGE('Calc (scoring engine)'!$K$5:$K$528,14),-999999)&lt;=-900000),"",IFERROR(IF(INDEX(Database!$N$5:$N$528,MATCH(LARGE('Calc (scoring engine)'!$K$5:$K$528,14),'Calc (scoring engine)'!$K$5:$K$528,0))="","—",INDEX(Database!$N$5:$N$528,MATCH(LARGE('Calc (scoring engine)'!$K$5:$K$528,14),'Calc (scoring engine)'!$K$5:$K$528,0))),""))</f>
        <v/>
      </c>
      <c r="N34" s="65">
        <f>IF(OR(14&gt;MAX(3,MIN(15,N($D$18))),IFERROR(LARGE('Calc (scoring engine)'!$K$5:$K$528,14),-999999)&lt;=-900000),"",IFERROR(IF(INDEX(Database!$O$5:$O$528,MATCH(LARGE('Calc (scoring engine)'!$K$5:$K$528,14),'Calc (scoring engine)'!$K$5:$K$528,0))="","—",INDEX(Database!$O$5:$O$528,MATCH(LARGE('Calc (scoring engine)'!$K$5:$K$528,14),'Calc (scoring engine)'!$K$5:$K$528,0))),""))</f>
        <v/>
      </c>
      <c r="O34" s="65">
        <f>IF(OR(14&gt;MAX(3,MIN(15,N($D$18))),IFERROR(LARGE('Calc (scoring engine)'!$K$5:$K$528,14),-999999)&lt;=-900000),"",IFERROR(IF(INDEX(Database!$P$5:$P$528,MATCH(LARGE('Calc (scoring engine)'!$K$5:$K$528,14),'Calc (scoring engine)'!$K$5:$K$528,0))="","—",INDEX(Database!$P$5:$P$528,MATCH(LARGE('Calc (scoring engine)'!$K$5:$K$528,14),'Calc (scoring engine)'!$K$5:$K$528,0))),""))</f>
        <v/>
      </c>
      <c r="P34" s="53">
        <f>IF(OR(14&gt;MAX(3,MIN(15,N($D$18))),IFERROR(LARGE('Calc (scoring engine)'!$K$5:$K$528,14),-999999)&lt;=-900000),"",IFERROR(IF(INDEX(Database!$Q$5:$Q$528,MATCH(LARGE('Calc (scoring engine)'!$K$5:$K$528,14),'Calc (scoring engine)'!$K$5:$K$528,0))="","—",INDEX(Database!$Q$5:$Q$528,MATCH(LARGE('Calc (scoring engine)'!$K$5:$K$528,14),'Calc (scoring engine)'!$K$5:$K$528,0))),""))</f>
        <v/>
      </c>
      <c r="Q34" s="60">
        <f>IF(OR(14&gt;MAX(3,MIN(15,N($D$18))),IFERROR(LARGE('Calc (scoring engine)'!$K$5:$K$528,14),-999999)&lt;=-900000),"",IFERROR(IF(INDEX(Database!$S$5:$S$528,MATCH(LARGE('Calc (scoring engine)'!$K$5:$K$528,14),'Calc (scoring engine)'!$K$5:$K$528,0))="","—",INDEX(Database!$S$5:$S$528,MATCH(LARGE('Calc (scoring engine)'!$K$5:$K$528,14),'Calc (scoring engine)'!$K$5:$K$528,0))),""))</f>
        <v/>
      </c>
      <c r="R34" s="86">
        <f>IF(OR(14&gt;MAX(3,MIN(15,N($D$18))),IFERROR(LARGE('Calc (scoring engine)'!$K$5:$K$528,14),-999999)&lt;=-900000),"",IFERROR(IF(INDEX(Database!$T$5:$T$528,MATCH(LARGE('Calc (scoring engine)'!$K$5:$K$528,14),'Calc (scoring engine)'!$K$5:$K$528,0))="","—",INDEX(Database!$T$5:$T$528,MATCH(LARGE('Calc (scoring engine)'!$K$5:$K$528,14),'Calc (scoring engine)'!$K$5:$K$528,0))),""))</f>
        <v/>
      </c>
      <c r="S34" s="87">
        <f>IF(OR(14&gt;MAX(3,MIN(15,N($D$18))),IFERROR(LARGE('Calc (scoring engine)'!$K$5:$K$528,14),-999999)&lt;=-900000),"",IFERROR(IF(INDEX(Database!$U$5:$U$528,MATCH(LARGE('Calc (scoring engine)'!$K$5:$K$528,14),'Calc (scoring engine)'!$K$5:$K$528,0))="","—",INDEX(Database!$U$5:$U$528,MATCH(LARGE('Calc (scoring engine)'!$K$5:$K$528,14),'Calc (scoring engine)'!$K$5:$K$528,0))),""))</f>
        <v/>
      </c>
      <c r="T34" s="88">
        <f>IF(OR(14&gt;MAX(3,MIN(15,N($D$18))),IFERROR(LARGE('Calc (scoring engine)'!$K$5:$K$528,14),-999999)&lt;=-900000),"",IFERROR(IF(INDEX(Database!$V$5:$V$528,MATCH(LARGE('Calc (scoring engine)'!$K$5:$K$528,14),'Calc (scoring engine)'!$K$5:$K$528,0))="","—",INDEX(Database!$V$5:$V$528,MATCH(LARGE('Calc (scoring engine)'!$K$5:$K$528,14),'Calc (scoring engine)'!$K$5:$K$528,0))),""))</f>
        <v/>
      </c>
      <c r="U34" s="65">
        <f>IF(OR(14&gt;MAX(3,MIN(15,N($D$18))),IFERROR(LARGE('Calc (scoring engine)'!$K$5:$K$528,14),-999999)&lt;=-900000),"",IFERROR(IF(INDEX(Database!$W$5:$W$528,MATCH(LARGE('Calc (scoring engine)'!$K$5:$K$528,14),'Calc (scoring engine)'!$K$5:$K$528,0))="","—",INDEX(Database!$W$5:$W$528,MATCH(LARGE('Calc (scoring engine)'!$K$5:$K$528,14),'Calc (scoring engine)'!$K$5:$K$528,0))),""))</f>
        <v/>
      </c>
      <c r="V34" s="43">
        <f>IF(OR(14&gt;MAX(3,MIN(15,N($D$18))),IFERROR(LARGE('Calc (scoring engine)'!$K$5:$K$528,14),-999999)&lt;=-900000),"",IFERROR(IF(INDEX(Database!$X$5:$X$528,MATCH(LARGE('Calc (scoring engine)'!$K$5:$K$528,14),'Calc (scoring engine)'!$K$5:$K$528,0))="","—",INDEX(Database!$X$5:$X$528,MATCH(LARGE('Calc (scoring engine)'!$K$5:$K$528,14),'Calc (scoring engine)'!$K$5:$K$528,0))),""))</f>
        <v/>
      </c>
      <c r="W34" s="53">
        <f>IF(OR(14&gt;MAX(3,MIN(15,N($D$18))),IFERROR(LARGE('Calc (scoring engine)'!$K$5:$K$528,14),-999999)&lt;=-900000),"",IFERROR(IF(INDEX(Database!$Y$5:$Y$528,MATCH(LARGE('Calc (scoring engine)'!$K$5:$K$528,14),'Calc (scoring engine)'!$K$5:$K$528,0))="","—",INDEX(Database!$Y$5:$Y$528,MATCH(LARGE('Calc (scoring engine)'!$K$5:$K$528,14),'Calc (scoring engine)'!$K$5:$K$528,0))),""))</f>
        <v/>
      </c>
      <c r="X34" s="53">
        <f>IF(OR(14&gt;MAX(3,MIN(15,N($D$18))),IFERROR(LARGE('Calc (scoring engine)'!$K$5:$K$528,14),-999999)&lt;=-900000),"",IFERROR(IF(INDEX(Database!$Z$5:$Z$528,MATCH(LARGE('Calc (scoring engine)'!$K$5:$K$528,14),'Calc (scoring engine)'!$K$5:$K$528,0))="","—",INDEX(Database!$Z$5:$Z$528,MATCH(LARGE('Calc (scoring engine)'!$K$5:$K$528,14),'Calc (scoring engine)'!$K$5:$K$528,0))),""))</f>
        <v/>
      </c>
      <c r="Y34" s="65">
        <f>IF(OR(14&gt;MAX(3,MIN(15,N($D$18))),IFERROR(LARGE('Calc (scoring engine)'!$K$5:$K$528,14),-999999)&lt;=-900000),"",IFERROR(IF(INDEX(Database!$AA$5:$AA$528,MATCH(LARGE('Calc (scoring engine)'!$K$5:$K$528,14),'Calc (scoring engine)'!$K$5:$K$528,0))="","—",INDEX(Database!$AA$5:$AA$528,MATCH(LARGE('Calc (scoring engine)'!$K$5:$K$528,14),'Calc (scoring engine)'!$K$5:$K$528,0))),""))</f>
        <v/>
      </c>
      <c r="Z34" s="43">
        <f>IF(OR(14&gt;MAX(3,MIN(15,N($D$18))),IFERROR(LARGE('Calc (scoring engine)'!$K$5:$K$528,14),-999999)&lt;=-900000),"",IFERROR(IF(INDEX(Database!$AB$5:$AB$528,MATCH(LARGE('Calc (scoring engine)'!$K$5:$K$528,14),'Calc (scoring engine)'!$K$5:$K$528,0))="","—",INDEX(Database!$AB$5:$AB$528,MATCH(LARGE('Calc (scoring engine)'!$K$5:$K$528,14),'Calc (scoring engine)'!$K$5:$K$528,0))),""))</f>
        <v/>
      </c>
      <c r="AA34" s="65">
        <f>IF(OR(14&gt;MAX(3,MIN(15,N($D$18))),IFERROR(LARGE('Calc (scoring engine)'!$K$5:$K$528,14),-999999)&lt;=-900000),"",IFERROR(IF(INDEX(Database!$AD$5:$AD$528,MATCH(LARGE('Calc (scoring engine)'!$K$5:$K$528,14),'Calc (scoring engine)'!$K$5:$K$528,0))="","—",INDEX(Database!$AD$5:$AD$528,MATCH(LARGE('Calc (scoring engine)'!$K$5:$K$528,14),'Calc (scoring engine)'!$K$5:$K$528,0))),""))</f>
        <v/>
      </c>
      <c r="AB34" s="43">
        <f>IF(OR(14&gt;MAX(3,MIN(15,N($D$18))),IFERROR(LARGE('Calc (scoring engine)'!$K$5:$K$528,14),-999999)&lt;=-900000),"",IFERROR(IF(INDEX(Database!$AE$5:$AE$528,MATCH(LARGE('Calc (scoring engine)'!$K$5:$K$528,14),'Calc (scoring engine)'!$K$5:$K$528,0))="","—",INDEX(Database!$AE$5:$AE$528,MATCH(LARGE('Calc (scoring engine)'!$K$5:$K$528,14),'Calc (scoring engine)'!$K$5:$K$528,0))),""))</f>
        <v/>
      </c>
      <c r="AC34" s="43">
        <f>IF(OR(14&gt;MAX(3,MIN(15,N($D$18))),IFERROR(LARGE('Calc (scoring engine)'!$K$5:$K$528,14),-999999)&lt;=-900000),"",IFERROR(IF(INDEX(Database!$AF$5:$AF$528,MATCH(LARGE('Calc (scoring engine)'!$K$5:$K$528,14),'Calc (scoring engine)'!$K$5:$K$528,0))="","—",INDEX(Database!$AF$5:$AF$528,MATCH(LARGE('Calc (scoring engine)'!$K$5:$K$528,14),'Calc (scoring engine)'!$K$5:$K$528,0))),""))</f>
        <v/>
      </c>
      <c r="AD34" s="43">
        <f>IF(OR(14&gt;MAX(3,MIN(15,N($D$18))),IFERROR(LARGE('Calc (scoring engine)'!$K$5:$K$528,14),-999999)&lt;=-900000),"",IFERROR(IF(INDEX(Database!$AG$5:$AG$528,MATCH(LARGE('Calc (scoring engine)'!$K$5:$K$528,14),'Calc (scoring engine)'!$K$5:$K$528,0))="","—",INDEX(Database!$AG$5:$AG$528,MATCH(LARGE('Calc (scoring engine)'!$K$5:$K$528,14),'Calc (scoring engine)'!$K$5:$K$528,0))),""))</f>
        <v/>
      </c>
      <c r="AE34" s="43">
        <f>IF(OR(14&gt;MAX(3,MIN(15,N($D$18))),IFERROR(LARGE('Calc (scoring engine)'!$K$5:$K$528,14),-999999)&lt;=-900000),"",IFERROR(IF(INDEX(Database!$AH$5:$AH$528,MATCH(LARGE('Calc (scoring engine)'!$K$5:$K$528,14),'Calc (scoring engine)'!$K$5:$K$528,0))="","—",INDEX(Database!$AH$5:$AH$528,MATCH(LARGE('Calc (scoring engine)'!$K$5:$K$528,14),'Calc (scoring engine)'!$K$5:$K$528,0))),""))</f>
        <v/>
      </c>
      <c r="AF34" s="57">
        <f>IF(OR(14&gt;MAX(3,MIN(15,N($D$18))),IFERROR(LARGE('Calc (scoring engine)'!$K$5:$K$528,14),-999999)&lt;=-900000),"",IFERROR(IF(INDEX(Database!$AI$5:$AI$528,MATCH(LARGE('Calc (scoring engine)'!$K$5:$K$528,14),'Calc (scoring engine)'!$K$5:$K$528,0))="","—",INDEX(Database!$AI$5:$AI$528,MATCH(LARGE('Calc (scoring engine)'!$K$5:$K$528,14),'Calc (scoring engine)'!$K$5:$K$528,0))),""))</f>
        <v/>
      </c>
      <c r="AG34" s="57">
        <f>IF(OR(14&gt;MAX(3,MIN(15,N($D$18))),IFERROR(LARGE('Calc (scoring engine)'!$K$5:$K$528,14),-999999)&lt;=-900000),"",IFERROR(IF(INDEX(Database!$AJ$5:$AJ$528,MATCH(LARGE('Calc (scoring engine)'!$K$5:$K$528,14),'Calc (scoring engine)'!$K$5:$K$528,0))="","—",INDEX(Database!$AJ$5:$AJ$528,MATCH(LARGE('Calc (scoring engine)'!$K$5:$K$528,14),'Calc (scoring engine)'!$K$5:$K$528,0))),""))</f>
        <v/>
      </c>
      <c r="AH34" s="57">
        <f>IF(OR(14&gt;MAX(3,MIN(15,N($D$18))),IFERROR(LARGE('Calc (scoring engine)'!$K$5:$K$528,14),-999999)&lt;=-900000),"",IFERROR(IF(INDEX(Database!$AK$5:$AK$528,MATCH(LARGE('Calc (scoring engine)'!$K$5:$K$528,14),'Calc (scoring engine)'!$K$5:$K$528,0))="","—",INDEX(Database!$AK$5:$AK$528,MATCH(LARGE('Calc (scoring engine)'!$K$5:$K$528,14),'Calc (scoring engine)'!$K$5:$K$528,0))),""))</f>
        <v/>
      </c>
      <c r="AI34" s="57">
        <f>IF(OR(14&gt;MAX(3,MIN(15,N($D$18))),IFERROR(LARGE('Calc (scoring engine)'!$K$5:$K$528,14),-999999)&lt;=-900000),"",IFERROR(IF(INDEX(Database!$AL$5:$AL$528,MATCH(LARGE('Calc (scoring engine)'!$K$5:$K$528,14),'Calc (scoring engine)'!$K$5:$K$528,0))="","—",INDEX(Database!$AL$5:$AL$528,MATCH(LARGE('Calc (scoring engine)'!$K$5:$K$528,14),'Calc (scoring engine)'!$K$5:$K$528,0))),""))</f>
        <v/>
      </c>
      <c r="AJ34" s="57">
        <f>IF(OR(14&gt;MAX(3,MIN(15,N($D$18))),IFERROR(LARGE('Calc (scoring engine)'!$K$5:$K$528,14),-999999)&lt;=-900000),"",IFERROR(IF(INDEX(Database!$AM$5:$AM$528,MATCH(LARGE('Calc (scoring engine)'!$K$5:$K$528,14),'Calc (scoring engine)'!$K$5:$K$528,0))="","—",INDEX(Database!$AM$5:$AM$528,MATCH(LARGE('Calc (scoring engine)'!$K$5:$K$528,14),'Calc (scoring engine)'!$K$5:$K$528,0))),""))</f>
        <v/>
      </c>
      <c r="AK34" s="58">
        <f>IF(OR(14&gt;MAX(3,MIN(15,N($D$18))),IFERROR(LARGE('Calc (scoring engine)'!$K$5:$K$528,14),-999999)&lt;=-900000),"",IFERROR(IF(INDEX(Database!$AN$5:$AN$528,MATCH(LARGE('Calc (scoring engine)'!$K$5:$K$528,14),'Calc (scoring engine)'!$K$5:$K$528,0))="","—",INDEX(Database!$AN$5:$AN$528,MATCH(LARGE('Calc (scoring engine)'!$K$5:$K$528,14),'Calc (scoring engine)'!$K$5:$K$528,0))),""))</f>
        <v/>
      </c>
      <c r="AL34" s="65">
        <f>IF(OR(14&gt;MAX(3,MIN(15,N($D$18))),IFERROR(LARGE('Calc (scoring engine)'!$K$5:$K$528,14),-999999)&lt;=-900000),"",IFERROR(IF(INDEX(Database!$AO$5:$AO$528,MATCH(LARGE('Calc (scoring engine)'!$K$5:$K$528,14),'Calc (scoring engine)'!$K$5:$K$528,0))="","—",INDEX(Database!$AO$5:$AO$528,MATCH(LARGE('Calc (scoring engine)'!$K$5:$K$528,14),'Calc (scoring engine)'!$K$5:$K$528,0))),""))</f>
        <v/>
      </c>
      <c r="AM34" s="57">
        <f>IF(OR(14&gt;MAX(3,MIN(15,N($D$18))),IFERROR(LARGE('Calc (scoring engine)'!$K$5:$K$528,14),-999999)&lt;=-900000),"",IFERROR(IF(INDEX(Database!$AP$5:$AP$528,MATCH(LARGE('Calc (scoring engine)'!$K$5:$K$528,14),'Calc (scoring engine)'!$K$5:$K$528,0))="","—",INDEX(Database!$AP$5:$AP$528,MATCH(LARGE('Calc (scoring engine)'!$K$5:$K$528,14),'Calc (scoring engine)'!$K$5:$K$528,0))),""))</f>
        <v/>
      </c>
      <c r="AN34" s="57">
        <f>IF(OR(14&gt;MAX(3,MIN(15,N($D$18))),IFERROR(LARGE('Calc (scoring engine)'!$K$5:$K$528,14),-999999)&lt;=-900000),"",IFERROR(IF(INDEX(Database!$AQ$5:$AQ$528,MATCH(LARGE('Calc (scoring engine)'!$K$5:$K$528,14),'Calc (scoring engine)'!$K$5:$K$528,0))="","—",INDEX(Database!$AQ$5:$AQ$528,MATCH(LARGE('Calc (scoring engine)'!$K$5:$K$528,14),'Calc (scoring engine)'!$K$5:$K$528,0))),""))</f>
        <v/>
      </c>
      <c r="AO34" s="57">
        <f>IF(OR(14&gt;MAX(3,MIN(15,N($D$18))),IFERROR(LARGE('Calc (scoring engine)'!$K$5:$K$528,14),-999999)&lt;=-900000),"",IFERROR(IF(INDEX(Database!$AR$5:$AR$528,MATCH(LARGE('Calc (scoring engine)'!$K$5:$K$528,14),'Calc (scoring engine)'!$K$5:$K$528,0))="","—",INDEX(Database!$AR$5:$AR$528,MATCH(LARGE('Calc (scoring engine)'!$K$5:$K$528,14),'Calc (scoring engine)'!$K$5:$K$528,0))),""))</f>
        <v/>
      </c>
      <c r="AP34" s="57">
        <f>IF(OR(14&gt;MAX(3,MIN(15,N($D$18))),IFERROR(LARGE('Calc (scoring engine)'!$K$5:$K$528,14),-999999)&lt;=-900000),"",IFERROR(IF(INDEX(Database!$AS$5:$AS$528,MATCH(LARGE('Calc (scoring engine)'!$K$5:$K$528,14),'Calc (scoring engine)'!$K$5:$K$528,0))="","—",INDEX(Database!$AS$5:$AS$528,MATCH(LARGE('Calc (scoring engine)'!$K$5:$K$528,14),'Calc (scoring engine)'!$K$5:$K$528,0))),""))</f>
        <v/>
      </c>
      <c r="AQ34" s="57">
        <f>IF(OR(14&gt;MAX(3,MIN(15,N($D$18))),IFERROR(LARGE('Calc (scoring engine)'!$K$5:$K$528,14),-999999)&lt;=-900000),"",IFERROR(IF(INDEX(Database!$AT$5:$AT$528,MATCH(LARGE('Calc (scoring engine)'!$K$5:$K$528,14),'Calc (scoring engine)'!$K$5:$K$528,0))="","—",INDEX(Database!$AT$5:$AT$528,MATCH(LARGE('Calc (scoring engine)'!$K$5:$K$528,14),'Calc (scoring engine)'!$K$5:$K$528,0))),""))</f>
        <v/>
      </c>
      <c r="AR34" s="57">
        <f>IF(OR(14&gt;MAX(3,MIN(15,N($D$18))),IFERROR(LARGE('Calc (scoring engine)'!$K$5:$K$528,14),-999999)&lt;=-900000),"",IFERROR(IF(INDEX(Database!$AU$5:$AU$528,MATCH(LARGE('Calc (scoring engine)'!$K$5:$K$528,14),'Calc (scoring engine)'!$K$5:$K$528,0))="","—",INDEX(Database!$AU$5:$AU$528,MATCH(LARGE('Calc (scoring engine)'!$K$5:$K$528,14),'Calc (scoring engine)'!$K$5:$K$528,0))),""))</f>
        <v/>
      </c>
      <c r="AS34" s="57">
        <f>IF(OR(14&gt;MAX(3,MIN(15,N($D$18))),IFERROR(LARGE('Calc (scoring engine)'!$K$5:$K$528,14),-999999)&lt;=-900000),"",IFERROR(IF(INDEX(Database!$AV$5:$AV$528,MATCH(LARGE('Calc (scoring engine)'!$K$5:$K$528,14),'Calc (scoring engine)'!$K$5:$K$528,0))="","—",INDEX(Database!$AV$5:$AV$528,MATCH(LARGE('Calc (scoring engine)'!$K$5:$K$528,14),'Calc (scoring engine)'!$K$5:$K$528,0))),""))</f>
        <v/>
      </c>
      <c r="AT34" s="57">
        <f>IF(OR(14&gt;MAX(3,MIN(15,N($D$18))),IFERROR(LARGE('Calc (scoring engine)'!$K$5:$K$528,14),-999999)&lt;=-900000),"",IFERROR(IF(INDEX(Database!$AW$5:$AW$528,MATCH(LARGE('Calc (scoring engine)'!$K$5:$K$528,14),'Calc (scoring engine)'!$K$5:$K$528,0))="","—",INDEX(Database!$AW$5:$AW$528,MATCH(LARGE('Calc (scoring engine)'!$K$5:$K$528,14),'Calc (scoring engine)'!$K$5:$K$528,0))),""))</f>
        <v/>
      </c>
      <c r="AU34" s="57">
        <f>IF(OR(14&gt;MAX(3,MIN(15,N($D$18))),IFERROR(LARGE('Calc (scoring engine)'!$K$5:$K$528,14),-999999)&lt;=-900000),"",IFERROR(IF(INDEX(Database!$AX$5:$AX$528,MATCH(LARGE('Calc (scoring engine)'!$K$5:$K$528,14),'Calc (scoring engine)'!$K$5:$K$528,0))="","—",INDEX(Database!$AX$5:$AX$528,MATCH(LARGE('Calc (scoring engine)'!$K$5:$K$528,14),'Calc (scoring engine)'!$K$5:$K$528,0))),""))</f>
        <v/>
      </c>
      <c r="AV34" s="57">
        <f>IF(OR(14&gt;MAX(3,MIN(15,N($D$18))),IFERROR(LARGE('Calc (scoring engine)'!$K$5:$K$528,14),-999999)&lt;=-900000),"",IFERROR(IF(INDEX(Database!$AY$5:$AY$528,MATCH(LARGE('Calc (scoring engine)'!$K$5:$K$528,14),'Calc (scoring engine)'!$K$5:$K$528,0))="","—",INDEX(Database!$AY$5:$AY$528,MATCH(LARGE('Calc (scoring engine)'!$K$5:$K$528,14),'Calc (scoring engine)'!$K$5:$K$528,0))),""))</f>
        <v/>
      </c>
      <c r="AW34" s="57">
        <f>IF(OR(14&gt;MAX(3,MIN(15,N($D$18))),IFERROR(LARGE('Calc (scoring engine)'!$K$5:$K$528,14),-999999)&lt;=-900000),"",IFERROR(IF(INDEX(Database!$AZ$5:$AZ$528,MATCH(LARGE('Calc (scoring engine)'!$K$5:$K$528,14),'Calc (scoring engine)'!$K$5:$K$528,0))="","—",INDEX(Database!$AZ$5:$AZ$528,MATCH(LARGE('Calc (scoring engine)'!$K$5:$K$528,14),'Calc (scoring engine)'!$K$5:$K$528,0))),""))</f>
        <v/>
      </c>
      <c r="AX34" s="57">
        <f>IF(OR(14&gt;MAX(3,MIN(15,N($D$18))),IFERROR(LARGE('Calc (scoring engine)'!$K$5:$K$528,14),-999999)&lt;=-900000),"",IFERROR(IF(INDEX(Database!$BA$5:$BA$528,MATCH(LARGE('Calc (scoring engine)'!$K$5:$K$528,14),'Calc (scoring engine)'!$K$5:$K$528,0))="","—",INDEX(Database!$BA$5:$BA$528,MATCH(LARGE('Calc (scoring engine)'!$K$5:$K$528,14),'Calc (scoring engine)'!$K$5:$K$528,0))),""))</f>
        <v/>
      </c>
      <c r="AY34" s="57">
        <f>IF(OR(14&gt;MAX(3,MIN(15,N($D$18))),IFERROR(LARGE('Calc (scoring engine)'!$K$5:$K$528,14),-999999)&lt;=-900000),"",IFERROR(IF(INDEX(Database!$BC$5:$BC$528,MATCH(LARGE('Calc (scoring engine)'!$K$5:$K$528,14),'Calc (scoring engine)'!$K$5:$K$528,0))="","—",INDEX(Database!$BC$5:$BC$528,MATCH(LARGE('Calc (scoring engine)'!$K$5:$K$528,14),'Calc (scoring engine)'!$K$5:$K$528,0))),""))</f>
        <v/>
      </c>
      <c r="AZ34" s="53">
        <f>IF(OR(14&gt;MAX(3,MIN(15,N($D$18))),IFERROR(LARGE('Calc (scoring engine)'!$K$5:$K$528,14),-999999)&lt;=-900000),"",IFERROR(IF(INDEX(Database!$BE$5:$BE$528,MATCH(LARGE('Calc (scoring engine)'!$K$5:$K$528,14),'Calc (scoring engine)'!$K$5:$K$528,0))="","—",INDEX(Database!$BE$5:$BE$528,MATCH(LARGE('Calc (scoring engine)'!$K$5:$K$528,14),'Calc (scoring engine)'!$K$5:$K$528,0))),""))</f>
        <v/>
      </c>
      <c r="BA34" s="53">
        <f>IF(OR(14&gt;MAX(3,MIN(15,N($D$18))),IFERROR(LARGE('Calc (scoring engine)'!$K$5:$K$528,14),-999999)&lt;=-900000),"",IFERROR(IF(INDEX(Database!$BF$5:$BF$528,MATCH(LARGE('Calc (scoring engine)'!$K$5:$K$528,14),'Calc (scoring engine)'!$K$5:$K$528,0))="","—",INDEX(Database!$BF$5:$BF$528,MATCH(LARGE('Calc (scoring engine)'!$K$5:$K$528,14),'Calc (scoring engine)'!$K$5:$K$528,0))),""))</f>
        <v/>
      </c>
      <c r="BB34" s="43">
        <f>IF(OR(14&gt;MAX(3,MIN(15,N($D$18))),IFERROR(LARGE('Calc (scoring engine)'!$K$5:$K$528,14),-999999)&lt;=-900000),"",IFERROR(IF(INDEX(Database!$BG$5:$BG$528,MATCH(LARGE('Calc (scoring engine)'!$K$5:$K$528,14),'Calc (scoring engine)'!$K$5:$K$528,0))="","—",INDEX(Database!$BG$5:$BG$528,MATCH(LARGE('Calc (scoring engine)'!$K$5:$K$528,14),'Calc (scoring engine)'!$K$5:$K$528,0))),""))</f>
        <v/>
      </c>
      <c r="BC34" s="58">
        <f>IF(OR(14&gt;MAX(3,MIN(15,N($D$18))),IFERROR(LARGE('Calc (scoring engine)'!$K$5:$K$528,14),-999999)&lt;=-900000),"",IFERROR(IF(N(INDEX(Database!$BH$5:$BH$528,MATCH(LARGE('Calc (scoring engine)'!$K$5:$K$528,14),'Calc (scoring engine)'!$K$5:$K$528,0)))&lt;=0,IF(INDEX(Database!$BG$5:$BG$528,MATCH(LARGE('Calc (scoring engine)'!$K$5:$K$528,14),'Calc (scoring engine)'!$K$5:$K$528,0))="N","n/m","—"),INDEX(Database!$BH$5:$BH$528,MATCH(LARGE('Calc (scoring engine)'!$K$5:$K$528,14),'Calc (scoring engine)'!$K$5:$K$528,0))),""))</f>
        <v/>
      </c>
      <c r="BD34" s="58">
        <f>IF(OR(14&gt;MAX(3,MIN(15,N($D$18))),IFERROR(LARGE('Calc (scoring engine)'!$K$5:$K$528,14),-999999)&lt;=-900000),"",IFERROR(IF(INDEX(Database!$BI$5:$BI$528,MATCH(LARGE('Calc (scoring engine)'!$K$5:$K$528,14),'Calc (scoring engine)'!$K$5:$K$528,0))="","—",INDEX(Database!$BI$5:$BI$528,MATCH(LARGE('Calc (scoring engine)'!$K$5:$K$528,14),'Calc (scoring engine)'!$K$5:$K$528,0))),""))</f>
        <v/>
      </c>
      <c r="BE34" s="58">
        <f>IF(OR(14&gt;MAX(3,MIN(15,N($D$18))),IFERROR(LARGE('Calc (scoring engine)'!$K$5:$K$528,14),-999999)&lt;=-900000),"",IFERROR(IF(INDEX(Database!$BJ$5:$BJ$528,MATCH(LARGE('Calc (scoring engine)'!$K$5:$K$528,14),'Calc (scoring engine)'!$K$5:$K$528,0))="","—",INDEX(Database!$BJ$5:$BJ$528,MATCH(LARGE('Calc (scoring engine)'!$K$5:$K$528,14),'Calc (scoring engine)'!$K$5:$K$528,0))),""))</f>
        <v/>
      </c>
      <c r="BF34" s="58">
        <f>IF(OR(14&gt;MAX(3,MIN(15,N($D$18))),IFERROR(LARGE('Calc (scoring engine)'!$K$5:$K$528,14),-999999)&lt;=-900000),"",IFERROR(IF(INDEX(Database!$BK$5:$BK$528,MATCH(LARGE('Calc (scoring engine)'!$K$5:$K$528,14),'Calc (scoring engine)'!$K$5:$K$528,0))="","—",INDEX(Database!$BK$5:$BK$528,MATCH(LARGE('Calc (scoring engine)'!$K$5:$K$528,14),'Calc (scoring engine)'!$K$5:$K$528,0))),""))</f>
        <v/>
      </c>
      <c r="BG34" s="58">
        <f>IF(OR(14&gt;MAX(3,MIN(15,N($D$18))),IFERROR(LARGE('Calc (scoring engine)'!$K$5:$K$528,14),-999999)&lt;=-900000),"",IFERROR(IF(INDEX(Database!$BL$5:$BL$528,MATCH(LARGE('Calc (scoring engine)'!$K$5:$K$528,14),'Calc (scoring engine)'!$K$5:$K$528,0))="","—",INDEX(Database!$BL$5:$BL$528,MATCH(LARGE('Calc (scoring engine)'!$K$5:$K$528,14),'Calc (scoring engine)'!$K$5:$K$528,0))),""))</f>
        <v/>
      </c>
      <c r="BH34" s="58">
        <f>IF(OR(14&gt;MAX(3,MIN(15,N($D$18))),IFERROR(LARGE('Calc (scoring engine)'!$K$5:$K$528,14),-999999)&lt;=-900000),"",IFERROR(IFERROR(BDP(TEXT(INDEX(Database!$A$5:$A$528,MATCH(LARGE('Calc (scoring engine)'!$K$5:$K$528,14),'Calc (scoring engine)'!$K$5:$K$528,0)),"0")&amp;" HK Equity","PE_RATIO"),IF(INDEX(Database!$BJ$5:$BJ$528,MATCH(LARGE('Calc (scoring engine)'!$K$5:$K$528,14),'Calc (scoring engine)'!$K$5:$K$528,0))="","—",INDEX(Database!$BJ$5:$BJ$528,MATCH(LARGE('Calc (scoring engine)'!$K$5:$K$528,14),'Calc (scoring engine)'!$K$5:$K$528,0)))),""))</f>
        <v/>
      </c>
      <c r="BI34" s="58">
        <f>IF(OR(14&gt;MAX(3,MIN(15,N($D$18))),IFERROR(LARGE('Calc (scoring engine)'!$K$5:$K$528,14),-999999)&lt;=-900000),"",IFERROR(IFERROR(BDP(TEXT(INDEX(Database!$A$5:$A$528,MATCH(LARGE('Calc (scoring engine)'!$K$5:$K$528,14),'Calc (scoring engine)'!$K$5:$K$528,0)),"0")&amp;" HK Equity","PX_TO_SALES_RATIO"),IF(INDEX(Database!$BK$5:$BK$528,MATCH(LARGE('Calc (scoring engine)'!$K$5:$K$528,14),'Calc (scoring engine)'!$K$5:$K$528,0))="","—",INDEX(Database!$BK$5:$BK$528,MATCH(LARGE('Calc (scoring engine)'!$K$5:$K$528,14),'Calc (scoring engine)'!$K$5:$K$528,0)))),""))</f>
        <v/>
      </c>
      <c r="BJ34" s="43">
        <f>IF(OR(14&gt;MAX(3,MIN(15,N($D$18))),IFERROR(LARGE('Calc (scoring engine)'!$K$5:$K$528,14),-999999)&lt;=-900000),"",IFERROR(IF(INDEX(Database!$BM$5:$BM$528,MATCH(LARGE('Calc (scoring engine)'!$K$5:$K$528,14),'Calc (scoring engine)'!$K$5:$K$528,0))="","—",INDEX(Database!$BM$5:$BM$528,MATCH(LARGE('Calc (scoring engine)'!$K$5:$K$528,14),'Calc (scoring engine)'!$K$5:$K$528,0))),""))</f>
        <v/>
      </c>
      <c r="BK34" s="43">
        <f>IF(OR(14&gt;MAX(3,MIN(15,N($D$18))),IFERROR(LARGE('Calc (scoring engine)'!$K$5:$K$528,14),-999999)&lt;=-900000),"",IFERROR(IF(INDEX(Database!$BN$5:$BN$528,MATCH(LARGE('Calc (scoring engine)'!$K$5:$K$528,14),'Calc (scoring engine)'!$K$5:$K$528,0))="","—",INDEX(Database!$BN$5:$BN$528,MATCH(LARGE('Calc (scoring engine)'!$K$5:$K$528,14),'Calc (scoring engine)'!$K$5:$K$528,0))),""))</f>
        <v/>
      </c>
      <c r="BL34" s="57">
        <f>IF(OR(14&gt;MAX(3,MIN(15,N($D$18))),IFERROR(LARGE('Calc (scoring engine)'!$K$5:$K$528,14),-999999)&lt;=-900000),"",IFERROR(IF(INDEX(Database!$BO$5:$BO$528,MATCH(LARGE('Calc (scoring engine)'!$K$5:$K$528,14),'Calc (scoring engine)'!$K$5:$K$528,0))="","—",INDEX(Database!$BO$5:$BO$528,MATCH(LARGE('Calc (scoring engine)'!$K$5:$K$528,14),'Calc (scoring engine)'!$K$5:$K$528,0))),""))</f>
        <v/>
      </c>
      <c r="BM34" s="85">
        <f>IF(OR(14&gt;MAX(3,MIN(15,N($D$18))),IFERROR(LARGE('Calc (scoring engine)'!$K$5:$K$528,14),-999999)&lt;=-900000),"",IFERROR(IF(INDEX(Database!$BP$5:$BP$528,MATCH(LARGE('Calc (scoring engine)'!$K$5:$K$528,14),'Calc (scoring engine)'!$K$5:$K$528,0))="","—",INDEX(Database!$BP$5:$BP$528,MATCH(LARGE('Calc (scoring engine)'!$K$5:$K$528,14),'Calc (scoring engine)'!$K$5:$K$528,0))),""))</f>
        <v/>
      </c>
      <c r="BN34" s="89">
        <f>IF(OR(14&gt;MAX(3,MIN(15,N($D$18))),IFERROR(LARGE('Calc (scoring engine)'!$K$5:$K$528,14),-999999)&lt;=-900000),"",IFERROR(IF(INDEX(Database!$BQ$5:$BQ$528,MATCH(LARGE('Calc (scoring engine)'!$K$5:$K$528,14),'Calc (scoring engine)'!$K$5:$K$528,0))="","—",INDEX(Database!$BQ$5:$BQ$528,MATCH(LARGE('Calc (scoring engine)'!$K$5:$K$528,14),'Calc (scoring engine)'!$K$5:$K$528,0))),""))</f>
        <v/>
      </c>
      <c r="BO34" s="53">
        <f>IF(OR(14&gt;MAX(3,MIN(15,N($D$18))),IFERROR(LARGE('Calc (scoring engine)'!$K$5:$K$528,14),-999999)&lt;=-900000),"",IFERROR(IF(INDEX(Database!$BR$5:$BR$528,MATCH(LARGE('Calc (scoring engine)'!$K$5:$K$528,14),'Calc (scoring engine)'!$K$5:$K$528,0))="","—",INDEX(Database!$BR$5:$BR$528,MATCH(LARGE('Calc (scoring engine)'!$K$5:$K$528,14),'Calc (scoring engine)'!$K$5:$K$528,0))),""))</f>
        <v/>
      </c>
      <c r="BP34" s="58">
        <f>IF(OR(14&gt;MAX(3,MIN(15,N($D$18))),IFERROR(LARGE('Calc (scoring engine)'!$K$5:$K$528,14),-999999)&lt;=-900000),"",IFERROR(IF(INDEX(Database!$BS$5:$BS$528,MATCH(LARGE('Calc (scoring engine)'!$K$5:$K$528,14),'Calc (scoring engine)'!$K$5:$K$528,0))="","—",INDEX(Database!$BS$5:$BS$528,MATCH(LARGE('Calc (scoring engine)'!$K$5:$K$528,14),'Calc (scoring engine)'!$K$5:$K$528,0))),""))</f>
        <v/>
      </c>
      <c r="BQ34" s="58">
        <f>IF(OR(14&gt;MAX(3,MIN(15,N($D$18))),IFERROR(LARGE('Calc (scoring engine)'!$K$5:$K$528,14),-999999)&lt;=-900000),"",IFERROR(IF(INDEX(Database!$BT$5:$BT$528,MATCH(LARGE('Calc (scoring engine)'!$K$5:$K$528,14),'Calc (scoring engine)'!$K$5:$K$528,0))="","—",INDEX(Database!$BT$5:$BT$528,MATCH(LARGE('Calc (scoring engine)'!$K$5:$K$528,14),'Calc (scoring engine)'!$K$5:$K$528,0))),""))</f>
        <v/>
      </c>
      <c r="BR34" s="43">
        <f>IF(OR(14&gt;MAX(3,MIN(15,N($D$18))),IFERROR(LARGE('Calc (scoring engine)'!$K$5:$K$528,14),-999999)&lt;=-900000),"",IFERROR(IF(INDEX(Database!$BU$5:$BU$528,MATCH(LARGE('Calc (scoring engine)'!$K$5:$K$528,14),'Calc (scoring engine)'!$K$5:$K$528,0))="","—",INDEX(Database!$BU$5:$BU$528,MATCH(LARGE('Calc (scoring engine)'!$K$5:$K$528,14),'Calc (scoring engine)'!$K$5:$K$528,0))),""))</f>
        <v/>
      </c>
      <c r="BS34" s="43">
        <f>IF(OR(14&gt;MAX(3,MIN(15,N($D$18))),IFERROR(LARGE('Calc (scoring engine)'!$K$5:$K$528,14),-999999)&lt;=-900000),"",IFERROR(IF(INDEX(Database!$BW$5:$BW$528,MATCH(LARGE('Calc (scoring engine)'!$K$5:$K$528,14),'Calc (scoring engine)'!$K$5:$K$528,0))="","—",INDEX(Database!$BW$5:$BW$528,MATCH(LARGE('Calc (scoring engine)'!$K$5:$K$528,14),'Calc (scoring engine)'!$K$5:$K$528,0))),""))</f>
        <v/>
      </c>
      <c r="BT34" s="88">
        <f>IF(OR(14&gt;MAX(3,MIN(15,N($D$18))),IFERROR(LARGE('Calc (scoring engine)'!$K$5:$K$528,14),-999999)&lt;=-900000),"",IFERROR(IF(INDEX('Calc (scoring engine)'!$H$5:$H$528,MATCH(LARGE('Calc (scoring engine)'!$K$5:$K$528,14),'Calc (scoring engine)'!$K$5:$K$528,0))&gt;0,INDEX('Calc (scoring engine)'!$H$5:$H$528,MATCH(LARGE('Calc (scoring engine)'!$K$5:$K$528,14),'Calc (scoring engine)'!$K$5:$K$528,0)),""),""))</f>
        <v/>
      </c>
      <c r="BU34" s="43">
        <f>IF(OR(14&gt;MAX(3,MIN(15,N($D$18))),IFERROR(LARGE('Calc (scoring engine)'!$K$5:$K$528,14),-999999)&lt;=-900000),"",IF(IFERROR(INDEX('Calc (scoring engine)'!$B$5:$B$528,MATCH(LARGE('Calc (scoring engine)'!$K$5:$K$528,14),'Calc (scoring engine)'!$K$5:$K$528,0)),0)=1,"same subsector","sector only"))</f>
        <v/>
      </c>
      <c r="BV34" s="88">
        <f>IF(OR(14&gt;MAX(3,MIN(15,N($D$18))),IFERROR(LARGE('Calc (scoring engine)'!$K$5:$K$528,14),-999999)&lt;=-900000),"",ROUND(IFERROR(LARGE('Calc (scoring engine)'!$K$5:$K$528,14),0),0))</f>
        <v/>
      </c>
      <c r="BW34" s="43">
        <f>IF(OR(14&gt;MAX(3,MIN(15,N($D$18))),IFERROR(LARGE('Calc (scoring engine)'!$K$5:$K$528,14),-999999)&lt;=-900000),"",IFERROR("sub "&amp;INDEX('Calc (scoring engine)'!$B$5:$B$528,MATCH(LARGE('Calc (scoring engine)'!$K$5:$K$528,14),'Calc (scoring engine)'!$K$5:$K$528,0))*W_SUB&amp;" + size "&amp;ROUND(INDEX('Calc (scoring engine)'!$D$5:$D$528,MATCH(LARGE('Calc (scoring engine)'!$K$5:$K$528,14),'Calc (scoring engine)'!$K$5:$K$528,0))*W_SIZE,0)&amp;" + prof "&amp;INDEX('Calc (scoring engine)'!$E$5:$E$528,MATCH(LARGE('Calc (scoring engine)'!$K$5:$K$528,14),'Calc (scoring engine)'!$K$5:$K$528,0))*W_PROF&amp;" + recency "&amp;ROUND(INDEX('Calc (scoring engine)'!$G$5:$G$528,MATCH(LARGE('Calc (scoring engine)'!$K$5:$K$528,14),'Calc (scoring engine)'!$K$5:$K$528,0))*W_REC,0)&amp;IF(INDEX('Calc (scoring engine)'!$H$5:$H$528,MATCH(LARGE('Calc (scoring engine)'!$K$5:$K$528,14),'Calc (scoring engine)'!$K$5:$K$528,0))&gt;0," + shared CS x"&amp;INDEX('Calc (scoring engine)'!$H$5:$H$528,MATCH(LARGE('Calc (scoring engine)'!$K$5:$K$528,14),'Calc (scoring engine)'!$K$5:$K$528,0)),""),""))</f>
        <v/>
      </c>
    </row>
    <row r="35">
      <c r="A35" s="83">
        <f>IF(OR(15&gt;MAX(3,MIN(15,N($D$18))),IFERROR(LARGE('Calc (scoring engine)'!$K$5:$K$528,15),-999999)&lt;=-900000),"",15)</f>
        <v/>
      </c>
      <c r="B35" s="43">
        <f>IF(OR(15&gt;MAX(3,MIN(15,N($D$18))),IFERROR(LARGE('Calc (scoring engine)'!$K$5:$K$528,15),-999999)&lt;=-900000),"",IFERROR(IF(INDEX(Database!$B$5:$B$528,MATCH(LARGE('Calc (scoring engine)'!$K$5:$K$528,15),'Calc (scoring engine)'!$K$5:$K$528,0))="","—",INDEX(Database!$B$5:$B$528,MATCH(LARGE('Calc (scoring engine)'!$K$5:$K$528,15),'Calc (scoring engine)'!$K$5:$K$528,0))),""))</f>
        <v/>
      </c>
      <c r="C35" s="84">
        <f>IF(OR(15&gt;MAX(3,MIN(15,N($D$18))),IFERROR(LARGE('Calc (scoring engine)'!$K$5:$K$528,15),-999999)&lt;=-900000),"",IFERROR(IF(INDEX(Database!$A$5:$A$528,MATCH(LARGE('Calc (scoring engine)'!$K$5:$K$528,15),'Calc (scoring engine)'!$K$5:$K$528,0))="","—",INDEX(Database!$A$5:$A$528,MATCH(LARGE('Calc (scoring engine)'!$K$5:$K$528,15),'Calc (scoring engine)'!$K$5:$K$528,0))),""))</f>
        <v/>
      </c>
      <c r="D35" s="43">
        <f>IF(OR(15&gt;MAX(3,MIN(15,N($D$18))),IFERROR(LARGE('Calc (scoring engine)'!$K$5:$K$528,15),-999999)&lt;=-900000),"",IFERROR(IF(INDEX(Database!$D$5:$D$528,MATCH(LARGE('Calc (scoring engine)'!$K$5:$K$528,15),'Calc (scoring engine)'!$K$5:$K$528,0))="","—",INDEX(Database!$D$5:$D$528,MATCH(LARGE('Calc (scoring engine)'!$K$5:$K$528,15),'Calc (scoring engine)'!$K$5:$K$528,0))),""))</f>
        <v/>
      </c>
      <c r="E35" s="43">
        <f>IF(OR(15&gt;MAX(3,MIN(15,N($D$18))),IFERROR(LARGE('Calc (scoring engine)'!$K$5:$K$528,15),-999999)&lt;=-900000),"",IFERROR(IF(INDEX(Database!$E$5:$E$528,MATCH(LARGE('Calc (scoring engine)'!$K$5:$K$528,15),'Calc (scoring engine)'!$K$5:$K$528,0))="","—",INDEX(Database!$E$5:$E$528,MATCH(LARGE('Calc (scoring engine)'!$K$5:$K$528,15),'Calc (scoring engine)'!$K$5:$K$528,0))),""))</f>
        <v/>
      </c>
      <c r="F35" s="43">
        <f>IF(OR(15&gt;MAX(3,MIN(15,N($D$18))),IFERROR(LARGE('Calc (scoring engine)'!$K$5:$K$528,15),-999999)&lt;=-900000),"",IFERROR(IF(INDEX(Database!$F$5:$F$528,MATCH(LARGE('Calc (scoring engine)'!$K$5:$K$528,15),'Calc (scoring engine)'!$K$5:$K$528,0))="","—",INDEX(Database!$F$5:$F$528,MATCH(LARGE('Calc (scoring engine)'!$K$5:$K$528,15),'Calc (scoring engine)'!$K$5:$K$528,0))),""))</f>
        <v/>
      </c>
      <c r="G35" s="43">
        <f>IF(OR(15&gt;MAX(3,MIN(15,N($D$18))),IFERROR(LARGE('Calc (scoring engine)'!$K$5:$K$528,15),-999999)&lt;=-900000),"",IFERROR(IF(INDEX(Database!$G$5:$G$528,MATCH(LARGE('Calc (scoring engine)'!$K$5:$K$528,15),'Calc (scoring engine)'!$K$5:$K$528,0))="","—",INDEX(Database!$G$5:$G$528,MATCH(LARGE('Calc (scoring engine)'!$K$5:$K$528,15),'Calc (scoring engine)'!$K$5:$K$528,0))),""))</f>
        <v/>
      </c>
      <c r="H35" s="55">
        <f>IF(OR(15&gt;MAX(3,MIN(15,N($D$18))),IFERROR(LARGE('Calc (scoring engine)'!$K$5:$K$528,15),-999999)&lt;=-900000),"",IFERROR(IF(INDEX(Database!$H$5:$H$528,MATCH(LARGE('Calc (scoring engine)'!$K$5:$K$528,15),'Calc (scoring engine)'!$K$5:$K$528,0))="","—",INDEX(Database!$H$5:$H$528,MATCH(LARGE('Calc (scoring engine)'!$K$5:$K$528,15),'Calc (scoring engine)'!$K$5:$K$528,0))),""))</f>
        <v/>
      </c>
      <c r="I35" s="53">
        <f>IF(OR(15&gt;MAX(3,MIN(15,N($D$18))),IFERROR(LARGE('Calc (scoring engine)'!$K$5:$K$528,15),-999999)&lt;=-900000),"",IFERROR(IF(INDEX(Database!$I$5:$I$528,MATCH(LARGE('Calc (scoring engine)'!$K$5:$K$528,15),'Calc (scoring engine)'!$K$5:$K$528,0))="","—",INDEX(Database!$I$5:$I$528,MATCH(LARGE('Calc (scoring engine)'!$K$5:$K$528,15),'Calc (scoring engine)'!$K$5:$K$528,0))),""))</f>
        <v/>
      </c>
      <c r="J35" s="85">
        <f>IF(OR(15&gt;MAX(3,MIN(15,N($D$18))),IFERROR(LARGE('Calc (scoring engine)'!$K$5:$K$528,15),-999999)&lt;=-900000),"",IFERROR(IF(INDEX(Database!$K$5:$K$528,MATCH(LARGE('Calc (scoring engine)'!$K$5:$K$528,15),'Calc (scoring engine)'!$K$5:$K$528,0))="","—",INDEX(Database!$K$5:$K$528,MATCH(LARGE('Calc (scoring engine)'!$K$5:$K$528,15),'Calc (scoring engine)'!$K$5:$K$528,0))),""))</f>
        <v/>
      </c>
      <c r="K35" s="85">
        <f>IF(OR(15&gt;MAX(3,MIN(15,N($D$18))),IFERROR(LARGE('Calc (scoring engine)'!$K$5:$K$528,15),-999999)&lt;=-900000),"",IFERROR(IF(INDEX(Database!$L$5:$L$528,MATCH(LARGE('Calc (scoring engine)'!$K$5:$K$528,15),'Calc (scoring engine)'!$K$5:$K$528,0))="","—",INDEX(Database!$L$5:$L$528,MATCH(LARGE('Calc (scoring engine)'!$K$5:$K$528,15),'Calc (scoring engine)'!$K$5:$K$528,0))),""))</f>
        <v/>
      </c>
      <c r="L35" s="85">
        <f>IF(OR(15&gt;MAX(3,MIN(15,N($D$18))),IFERROR(LARGE('Calc (scoring engine)'!$K$5:$K$528,15),-999999)&lt;=-900000),"",IFERROR(IF(INDEX(Database!$M$5:$M$528,MATCH(LARGE('Calc (scoring engine)'!$K$5:$K$528,15),'Calc (scoring engine)'!$K$5:$K$528,0))="","—",INDEX(Database!$M$5:$M$528,MATCH(LARGE('Calc (scoring engine)'!$K$5:$K$528,15),'Calc (scoring engine)'!$K$5:$K$528,0))),""))</f>
        <v/>
      </c>
      <c r="M35" s="43">
        <f>IF(OR(15&gt;MAX(3,MIN(15,N($D$18))),IFERROR(LARGE('Calc (scoring engine)'!$K$5:$K$528,15),-999999)&lt;=-900000),"",IFERROR(IF(INDEX(Database!$N$5:$N$528,MATCH(LARGE('Calc (scoring engine)'!$K$5:$K$528,15),'Calc (scoring engine)'!$K$5:$K$528,0))="","—",INDEX(Database!$N$5:$N$528,MATCH(LARGE('Calc (scoring engine)'!$K$5:$K$528,15),'Calc (scoring engine)'!$K$5:$K$528,0))),""))</f>
        <v/>
      </c>
      <c r="N35" s="65">
        <f>IF(OR(15&gt;MAX(3,MIN(15,N($D$18))),IFERROR(LARGE('Calc (scoring engine)'!$K$5:$K$528,15),-999999)&lt;=-900000),"",IFERROR(IF(INDEX(Database!$O$5:$O$528,MATCH(LARGE('Calc (scoring engine)'!$K$5:$K$528,15),'Calc (scoring engine)'!$K$5:$K$528,0))="","—",INDEX(Database!$O$5:$O$528,MATCH(LARGE('Calc (scoring engine)'!$K$5:$K$528,15),'Calc (scoring engine)'!$K$5:$K$528,0))),""))</f>
        <v/>
      </c>
      <c r="O35" s="65">
        <f>IF(OR(15&gt;MAX(3,MIN(15,N($D$18))),IFERROR(LARGE('Calc (scoring engine)'!$K$5:$K$528,15),-999999)&lt;=-900000),"",IFERROR(IF(INDEX(Database!$P$5:$P$528,MATCH(LARGE('Calc (scoring engine)'!$K$5:$K$528,15),'Calc (scoring engine)'!$K$5:$K$528,0))="","—",INDEX(Database!$P$5:$P$528,MATCH(LARGE('Calc (scoring engine)'!$K$5:$K$528,15),'Calc (scoring engine)'!$K$5:$K$528,0))),""))</f>
        <v/>
      </c>
      <c r="P35" s="53">
        <f>IF(OR(15&gt;MAX(3,MIN(15,N($D$18))),IFERROR(LARGE('Calc (scoring engine)'!$K$5:$K$528,15),-999999)&lt;=-900000),"",IFERROR(IF(INDEX(Database!$Q$5:$Q$528,MATCH(LARGE('Calc (scoring engine)'!$K$5:$K$528,15),'Calc (scoring engine)'!$K$5:$K$528,0))="","—",INDEX(Database!$Q$5:$Q$528,MATCH(LARGE('Calc (scoring engine)'!$K$5:$K$528,15),'Calc (scoring engine)'!$K$5:$K$528,0))),""))</f>
        <v/>
      </c>
      <c r="Q35" s="60">
        <f>IF(OR(15&gt;MAX(3,MIN(15,N($D$18))),IFERROR(LARGE('Calc (scoring engine)'!$K$5:$K$528,15),-999999)&lt;=-900000),"",IFERROR(IF(INDEX(Database!$S$5:$S$528,MATCH(LARGE('Calc (scoring engine)'!$K$5:$K$528,15),'Calc (scoring engine)'!$K$5:$K$528,0))="","—",INDEX(Database!$S$5:$S$528,MATCH(LARGE('Calc (scoring engine)'!$K$5:$K$528,15),'Calc (scoring engine)'!$K$5:$K$528,0))),""))</f>
        <v/>
      </c>
      <c r="R35" s="86">
        <f>IF(OR(15&gt;MAX(3,MIN(15,N($D$18))),IFERROR(LARGE('Calc (scoring engine)'!$K$5:$K$528,15),-999999)&lt;=-900000),"",IFERROR(IF(INDEX(Database!$T$5:$T$528,MATCH(LARGE('Calc (scoring engine)'!$K$5:$K$528,15),'Calc (scoring engine)'!$K$5:$K$528,0))="","—",INDEX(Database!$T$5:$T$528,MATCH(LARGE('Calc (scoring engine)'!$K$5:$K$528,15),'Calc (scoring engine)'!$K$5:$K$528,0))),""))</f>
        <v/>
      </c>
      <c r="S35" s="87">
        <f>IF(OR(15&gt;MAX(3,MIN(15,N($D$18))),IFERROR(LARGE('Calc (scoring engine)'!$K$5:$K$528,15),-999999)&lt;=-900000),"",IFERROR(IF(INDEX(Database!$U$5:$U$528,MATCH(LARGE('Calc (scoring engine)'!$K$5:$K$528,15),'Calc (scoring engine)'!$K$5:$K$528,0))="","—",INDEX(Database!$U$5:$U$528,MATCH(LARGE('Calc (scoring engine)'!$K$5:$K$528,15),'Calc (scoring engine)'!$K$5:$K$528,0))),""))</f>
        <v/>
      </c>
      <c r="T35" s="88">
        <f>IF(OR(15&gt;MAX(3,MIN(15,N($D$18))),IFERROR(LARGE('Calc (scoring engine)'!$K$5:$K$528,15),-999999)&lt;=-900000),"",IFERROR(IF(INDEX(Database!$V$5:$V$528,MATCH(LARGE('Calc (scoring engine)'!$K$5:$K$528,15),'Calc (scoring engine)'!$K$5:$K$528,0))="","—",INDEX(Database!$V$5:$V$528,MATCH(LARGE('Calc (scoring engine)'!$K$5:$K$528,15),'Calc (scoring engine)'!$K$5:$K$528,0))),""))</f>
        <v/>
      </c>
      <c r="U35" s="65">
        <f>IF(OR(15&gt;MAX(3,MIN(15,N($D$18))),IFERROR(LARGE('Calc (scoring engine)'!$K$5:$K$528,15),-999999)&lt;=-900000),"",IFERROR(IF(INDEX(Database!$W$5:$W$528,MATCH(LARGE('Calc (scoring engine)'!$K$5:$K$528,15),'Calc (scoring engine)'!$K$5:$K$528,0))="","—",INDEX(Database!$W$5:$W$528,MATCH(LARGE('Calc (scoring engine)'!$K$5:$K$528,15),'Calc (scoring engine)'!$K$5:$K$528,0))),""))</f>
        <v/>
      </c>
      <c r="V35" s="43">
        <f>IF(OR(15&gt;MAX(3,MIN(15,N($D$18))),IFERROR(LARGE('Calc (scoring engine)'!$K$5:$K$528,15),-999999)&lt;=-900000),"",IFERROR(IF(INDEX(Database!$X$5:$X$528,MATCH(LARGE('Calc (scoring engine)'!$K$5:$K$528,15),'Calc (scoring engine)'!$K$5:$K$528,0))="","—",INDEX(Database!$X$5:$X$528,MATCH(LARGE('Calc (scoring engine)'!$K$5:$K$528,15),'Calc (scoring engine)'!$K$5:$K$528,0))),""))</f>
        <v/>
      </c>
      <c r="W35" s="53">
        <f>IF(OR(15&gt;MAX(3,MIN(15,N($D$18))),IFERROR(LARGE('Calc (scoring engine)'!$K$5:$K$528,15),-999999)&lt;=-900000),"",IFERROR(IF(INDEX(Database!$Y$5:$Y$528,MATCH(LARGE('Calc (scoring engine)'!$K$5:$K$528,15),'Calc (scoring engine)'!$K$5:$K$528,0))="","—",INDEX(Database!$Y$5:$Y$528,MATCH(LARGE('Calc (scoring engine)'!$K$5:$K$528,15),'Calc (scoring engine)'!$K$5:$K$528,0))),""))</f>
        <v/>
      </c>
      <c r="X35" s="53">
        <f>IF(OR(15&gt;MAX(3,MIN(15,N($D$18))),IFERROR(LARGE('Calc (scoring engine)'!$K$5:$K$528,15),-999999)&lt;=-900000),"",IFERROR(IF(INDEX(Database!$Z$5:$Z$528,MATCH(LARGE('Calc (scoring engine)'!$K$5:$K$528,15),'Calc (scoring engine)'!$K$5:$K$528,0))="","—",INDEX(Database!$Z$5:$Z$528,MATCH(LARGE('Calc (scoring engine)'!$K$5:$K$528,15),'Calc (scoring engine)'!$K$5:$K$528,0))),""))</f>
        <v/>
      </c>
      <c r="Y35" s="65">
        <f>IF(OR(15&gt;MAX(3,MIN(15,N($D$18))),IFERROR(LARGE('Calc (scoring engine)'!$K$5:$K$528,15),-999999)&lt;=-900000),"",IFERROR(IF(INDEX(Database!$AA$5:$AA$528,MATCH(LARGE('Calc (scoring engine)'!$K$5:$K$528,15),'Calc (scoring engine)'!$K$5:$K$528,0))="","—",INDEX(Database!$AA$5:$AA$528,MATCH(LARGE('Calc (scoring engine)'!$K$5:$K$528,15),'Calc (scoring engine)'!$K$5:$K$528,0))),""))</f>
        <v/>
      </c>
      <c r="Z35" s="43">
        <f>IF(OR(15&gt;MAX(3,MIN(15,N($D$18))),IFERROR(LARGE('Calc (scoring engine)'!$K$5:$K$528,15),-999999)&lt;=-900000),"",IFERROR(IF(INDEX(Database!$AB$5:$AB$528,MATCH(LARGE('Calc (scoring engine)'!$K$5:$K$528,15),'Calc (scoring engine)'!$K$5:$K$528,0))="","—",INDEX(Database!$AB$5:$AB$528,MATCH(LARGE('Calc (scoring engine)'!$K$5:$K$528,15),'Calc (scoring engine)'!$K$5:$K$528,0))),""))</f>
        <v/>
      </c>
      <c r="AA35" s="65">
        <f>IF(OR(15&gt;MAX(3,MIN(15,N($D$18))),IFERROR(LARGE('Calc (scoring engine)'!$K$5:$K$528,15),-999999)&lt;=-900000),"",IFERROR(IF(INDEX(Database!$AD$5:$AD$528,MATCH(LARGE('Calc (scoring engine)'!$K$5:$K$528,15),'Calc (scoring engine)'!$K$5:$K$528,0))="","—",INDEX(Database!$AD$5:$AD$528,MATCH(LARGE('Calc (scoring engine)'!$K$5:$K$528,15),'Calc (scoring engine)'!$K$5:$K$528,0))),""))</f>
        <v/>
      </c>
      <c r="AB35" s="43">
        <f>IF(OR(15&gt;MAX(3,MIN(15,N($D$18))),IFERROR(LARGE('Calc (scoring engine)'!$K$5:$K$528,15),-999999)&lt;=-900000),"",IFERROR(IF(INDEX(Database!$AE$5:$AE$528,MATCH(LARGE('Calc (scoring engine)'!$K$5:$K$528,15),'Calc (scoring engine)'!$K$5:$K$528,0))="","—",INDEX(Database!$AE$5:$AE$528,MATCH(LARGE('Calc (scoring engine)'!$K$5:$K$528,15),'Calc (scoring engine)'!$K$5:$K$528,0))),""))</f>
        <v/>
      </c>
      <c r="AC35" s="43">
        <f>IF(OR(15&gt;MAX(3,MIN(15,N($D$18))),IFERROR(LARGE('Calc (scoring engine)'!$K$5:$K$528,15),-999999)&lt;=-900000),"",IFERROR(IF(INDEX(Database!$AF$5:$AF$528,MATCH(LARGE('Calc (scoring engine)'!$K$5:$K$528,15),'Calc (scoring engine)'!$K$5:$K$528,0))="","—",INDEX(Database!$AF$5:$AF$528,MATCH(LARGE('Calc (scoring engine)'!$K$5:$K$528,15),'Calc (scoring engine)'!$K$5:$K$528,0))),""))</f>
        <v/>
      </c>
      <c r="AD35" s="43">
        <f>IF(OR(15&gt;MAX(3,MIN(15,N($D$18))),IFERROR(LARGE('Calc (scoring engine)'!$K$5:$K$528,15),-999999)&lt;=-900000),"",IFERROR(IF(INDEX(Database!$AG$5:$AG$528,MATCH(LARGE('Calc (scoring engine)'!$K$5:$K$528,15),'Calc (scoring engine)'!$K$5:$K$528,0))="","—",INDEX(Database!$AG$5:$AG$528,MATCH(LARGE('Calc (scoring engine)'!$K$5:$K$528,15),'Calc (scoring engine)'!$K$5:$K$528,0))),""))</f>
        <v/>
      </c>
      <c r="AE35" s="43">
        <f>IF(OR(15&gt;MAX(3,MIN(15,N($D$18))),IFERROR(LARGE('Calc (scoring engine)'!$K$5:$K$528,15),-999999)&lt;=-900000),"",IFERROR(IF(INDEX(Database!$AH$5:$AH$528,MATCH(LARGE('Calc (scoring engine)'!$K$5:$K$528,15),'Calc (scoring engine)'!$K$5:$K$528,0))="","—",INDEX(Database!$AH$5:$AH$528,MATCH(LARGE('Calc (scoring engine)'!$K$5:$K$528,15),'Calc (scoring engine)'!$K$5:$K$528,0))),""))</f>
        <v/>
      </c>
      <c r="AF35" s="57">
        <f>IF(OR(15&gt;MAX(3,MIN(15,N($D$18))),IFERROR(LARGE('Calc (scoring engine)'!$K$5:$K$528,15),-999999)&lt;=-900000),"",IFERROR(IF(INDEX(Database!$AI$5:$AI$528,MATCH(LARGE('Calc (scoring engine)'!$K$5:$K$528,15),'Calc (scoring engine)'!$K$5:$K$528,0))="","—",INDEX(Database!$AI$5:$AI$528,MATCH(LARGE('Calc (scoring engine)'!$K$5:$K$528,15),'Calc (scoring engine)'!$K$5:$K$528,0))),""))</f>
        <v/>
      </c>
      <c r="AG35" s="57">
        <f>IF(OR(15&gt;MAX(3,MIN(15,N($D$18))),IFERROR(LARGE('Calc (scoring engine)'!$K$5:$K$528,15),-999999)&lt;=-900000),"",IFERROR(IF(INDEX(Database!$AJ$5:$AJ$528,MATCH(LARGE('Calc (scoring engine)'!$K$5:$K$528,15),'Calc (scoring engine)'!$K$5:$K$528,0))="","—",INDEX(Database!$AJ$5:$AJ$528,MATCH(LARGE('Calc (scoring engine)'!$K$5:$K$528,15),'Calc (scoring engine)'!$K$5:$K$528,0))),""))</f>
        <v/>
      </c>
      <c r="AH35" s="57">
        <f>IF(OR(15&gt;MAX(3,MIN(15,N($D$18))),IFERROR(LARGE('Calc (scoring engine)'!$K$5:$K$528,15),-999999)&lt;=-900000),"",IFERROR(IF(INDEX(Database!$AK$5:$AK$528,MATCH(LARGE('Calc (scoring engine)'!$K$5:$K$528,15),'Calc (scoring engine)'!$K$5:$K$528,0))="","—",INDEX(Database!$AK$5:$AK$528,MATCH(LARGE('Calc (scoring engine)'!$K$5:$K$528,15),'Calc (scoring engine)'!$K$5:$K$528,0))),""))</f>
        <v/>
      </c>
      <c r="AI35" s="57">
        <f>IF(OR(15&gt;MAX(3,MIN(15,N($D$18))),IFERROR(LARGE('Calc (scoring engine)'!$K$5:$K$528,15),-999999)&lt;=-900000),"",IFERROR(IF(INDEX(Database!$AL$5:$AL$528,MATCH(LARGE('Calc (scoring engine)'!$K$5:$K$528,15),'Calc (scoring engine)'!$K$5:$K$528,0))="","—",INDEX(Database!$AL$5:$AL$528,MATCH(LARGE('Calc (scoring engine)'!$K$5:$K$528,15),'Calc (scoring engine)'!$K$5:$K$528,0))),""))</f>
        <v/>
      </c>
      <c r="AJ35" s="57">
        <f>IF(OR(15&gt;MAX(3,MIN(15,N($D$18))),IFERROR(LARGE('Calc (scoring engine)'!$K$5:$K$528,15),-999999)&lt;=-900000),"",IFERROR(IF(INDEX(Database!$AM$5:$AM$528,MATCH(LARGE('Calc (scoring engine)'!$K$5:$K$528,15),'Calc (scoring engine)'!$K$5:$K$528,0))="","—",INDEX(Database!$AM$5:$AM$528,MATCH(LARGE('Calc (scoring engine)'!$K$5:$K$528,15),'Calc (scoring engine)'!$K$5:$K$528,0))),""))</f>
        <v/>
      </c>
      <c r="AK35" s="58">
        <f>IF(OR(15&gt;MAX(3,MIN(15,N($D$18))),IFERROR(LARGE('Calc (scoring engine)'!$K$5:$K$528,15),-999999)&lt;=-900000),"",IFERROR(IF(INDEX(Database!$AN$5:$AN$528,MATCH(LARGE('Calc (scoring engine)'!$K$5:$K$528,15),'Calc (scoring engine)'!$K$5:$K$528,0))="","—",INDEX(Database!$AN$5:$AN$528,MATCH(LARGE('Calc (scoring engine)'!$K$5:$K$528,15),'Calc (scoring engine)'!$K$5:$K$528,0))),""))</f>
        <v/>
      </c>
      <c r="AL35" s="65">
        <f>IF(OR(15&gt;MAX(3,MIN(15,N($D$18))),IFERROR(LARGE('Calc (scoring engine)'!$K$5:$K$528,15),-999999)&lt;=-900000),"",IFERROR(IF(INDEX(Database!$AO$5:$AO$528,MATCH(LARGE('Calc (scoring engine)'!$K$5:$K$528,15),'Calc (scoring engine)'!$K$5:$K$528,0))="","—",INDEX(Database!$AO$5:$AO$528,MATCH(LARGE('Calc (scoring engine)'!$K$5:$K$528,15),'Calc (scoring engine)'!$K$5:$K$528,0))),""))</f>
        <v/>
      </c>
      <c r="AM35" s="57">
        <f>IF(OR(15&gt;MAX(3,MIN(15,N($D$18))),IFERROR(LARGE('Calc (scoring engine)'!$K$5:$K$528,15),-999999)&lt;=-900000),"",IFERROR(IF(INDEX(Database!$AP$5:$AP$528,MATCH(LARGE('Calc (scoring engine)'!$K$5:$K$528,15),'Calc (scoring engine)'!$K$5:$K$528,0))="","—",INDEX(Database!$AP$5:$AP$528,MATCH(LARGE('Calc (scoring engine)'!$K$5:$K$528,15),'Calc (scoring engine)'!$K$5:$K$528,0))),""))</f>
        <v/>
      </c>
      <c r="AN35" s="57">
        <f>IF(OR(15&gt;MAX(3,MIN(15,N($D$18))),IFERROR(LARGE('Calc (scoring engine)'!$K$5:$K$528,15),-999999)&lt;=-900000),"",IFERROR(IF(INDEX(Database!$AQ$5:$AQ$528,MATCH(LARGE('Calc (scoring engine)'!$K$5:$K$528,15),'Calc (scoring engine)'!$K$5:$K$528,0))="","—",INDEX(Database!$AQ$5:$AQ$528,MATCH(LARGE('Calc (scoring engine)'!$K$5:$K$528,15),'Calc (scoring engine)'!$K$5:$K$528,0))),""))</f>
        <v/>
      </c>
      <c r="AO35" s="57">
        <f>IF(OR(15&gt;MAX(3,MIN(15,N($D$18))),IFERROR(LARGE('Calc (scoring engine)'!$K$5:$K$528,15),-999999)&lt;=-900000),"",IFERROR(IF(INDEX(Database!$AR$5:$AR$528,MATCH(LARGE('Calc (scoring engine)'!$K$5:$K$528,15),'Calc (scoring engine)'!$K$5:$K$528,0))="","—",INDEX(Database!$AR$5:$AR$528,MATCH(LARGE('Calc (scoring engine)'!$K$5:$K$528,15),'Calc (scoring engine)'!$K$5:$K$528,0))),""))</f>
        <v/>
      </c>
      <c r="AP35" s="57">
        <f>IF(OR(15&gt;MAX(3,MIN(15,N($D$18))),IFERROR(LARGE('Calc (scoring engine)'!$K$5:$K$528,15),-999999)&lt;=-900000),"",IFERROR(IF(INDEX(Database!$AS$5:$AS$528,MATCH(LARGE('Calc (scoring engine)'!$K$5:$K$528,15),'Calc (scoring engine)'!$K$5:$K$528,0))="","—",INDEX(Database!$AS$5:$AS$528,MATCH(LARGE('Calc (scoring engine)'!$K$5:$K$528,15),'Calc (scoring engine)'!$K$5:$K$528,0))),""))</f>
        <v/>
      </c>
      <c r="AQ35" s="57">
        <f>IF(OR(15&gt;MAX(3,MIN(15,N($D$18))),IFERROR(LARGE('Calc (scoring engine)'!$K$5:$K$528,15),-999999)&lt;=-900000),"",IFERROR(IF(INDEX(Database!$AT$5:$AT$528,MATCH(LARGE('Calc (scoring engine)'!$K$5:$K$528,15),'Calc (scoring engine)'!$K$5:$K$528,0))="","—",INDEX(Database!$AT$5:$AT$528,MATCH(LARGE('Calc (scoring engine)'!$K$5:$K$528,15),'Calc (scoring engine)'!$K$5:$K$528,0))),""))</f>
        <v/>
      </c>
      <c r="AR35" s="57">
        <f>IF(OR(15&gt;MAX(3,MIN(15,N($D$18))),IFERROR(LARGE('Calc (scoring engine)'!$K$5:$K$528,15),-999999)&lt;=-900000),"",IFERROR(IF(INDEX(Database!$AU$5:$AU$528,MATCH(LARGE('Calc (scoring engine)'!$K$5:$K$528,15),'Calc (scoring engine)'!$K$5:$K$528,0))="","—",INDEX(Database!$AU$5:$AU$528,MATCH(LARGE('Calc (scoring engine)'!$K$5:$K$528,15),'Calc (scoring engine)'!$K$5:$K$528,0))),""))</f>
        <v/>
      </c>
      <c r="AS35" s="57">
        <f>IF(OR(15&gt;MAX(3,MIN(15,N($D$18))),IFERROR(LARGE('Calc (scoring engine)'!$K$5:$K$528,15),-999999)&lt;=-900000),"",IFERROR(IF(INDEX(Database!$AV$5:$AV$528,MATCH(LARGE('Calc (scoring engine)'!$K$5:$K$528,15),'Calc (scoring engine)'!$K$5:$K$528,0))="","—",INDEX(Database!$AV$5:$AV$528,MATCH(LARGE('Calc (scoring engine)'!$K$5:$K$528,15),'Calc (scoring engine)'!$K$5:$K$528,0))),""))</f>
        <v/>
      </c>
      <c r="AT35" s="57">
        <f>IF(OR(15&gt;MAX(3,MIN(15,N($D$18))),IFERROR(LARGE('Calc (scoring engine)'!$K$5:$K$528,15),-999999)&lt;=-900000),"",IFERROR(IF(INDEX(Database!$AW$5:$AW$528,MATCH(LARGE('Calc (scoring engine)'!$K$5:$K$528,15),'Calc (scoring engine)'!$K$5:$K$528,0))="","—",INDEX(Database!$AW$5:$AW$528,MATCH(LARGE('Calc (scoring engine)'!$K$5:$K$528,15),'Calc (scoring engine)'!$K$5:$K$528,0))),""))</f>
        <v/>
      </c>
      <c r="AU35" s="57">
        <f>IF(OR(15&gt;MAX(3,MIN(15,N($D$18))),IFERROR(LARGE('Calc (scoring engine)'!$K$5:$K$528,15),-999999)&lt;=-900000),"",IFERROR(IF(INDEX(Database!$AX$5:$AX$528,MATCH(LARGE('Calc (scoring engine)'!$K$5:$K$528,15),'Calc (scoring engine)'!$K$5:$K$528,0))="","—",INDEX(Database!$AX$5:$AX$528,MATCH(LARGE('Calc (scoring engine)'!$K$5:$K$528,15),'Calc (scoring engine)'!$K$5:$K$528,0))),""))</f>
        <v/>
      </c>
      <c r="AV35" s="57">
        <f>IF(OR(15&gt;MAX(3,MIN(15,N($D$18))),IFERROR(LARGE('Calc (scoring engine)'!$K$5:$K$528,15),-999999)&lt;=-900000),"",IFERROR(IF(INDEX(Database!$AY$5:$AY$528,MATCH(LARGE('Calc (scoring engine)'!$K$5:$K$528,15),'Calc (scoring engine)'!$K$5:$K$528,0))="","—",INDEX(Database!$AY$5:$AY$528,MATCH(LARGE('Calc (scoring engine)'!$K$5:$K$528,15),'Calc (scoring engine)'!$K$5:$K$528,0))),""))</f>
        <v/>
      </c>
      <c r="AW35" s="57">
        <f>IF(OR(15&gt;MAX(3,MIN(15,N($D$18))),IFERROR(LARGE('Calc (scoring engine)'!$K$5:$K$528,15),-999999)&lt;=-900000),"",IFERROR(IF(INDEX(Database!$AZ$5:$AZ$528,MATCH(LARGE('Calc (scoring engine)'!$K$5:$K$528,15),'Calc (scoring engine)'!$K$5:$K$528,0))="","—",INDEX(Database!$AZ$5:$AZ$528,MATCH(LARGE('Calc (scoring engine)'!$K$5:$K$528,15),'Calc (scoring engine)'!$K$5:$K$528,0))),""))</f>
        <v/>
      </c>
      <c r="AX35" s="57">
        <f>IF(OR(15&gt;MAX(3,MIN(15,N($D$18))),IFERROR(LARGE('Calc (scoring engine)'!$K$5:$K$528,15),-999999)&lt;=-900000),"",IFERROR(IF(INDEX(Database!$BA$5:$BA$528,MATCH(LARGE('Calc (scoring engine)'!$K$5:$K$528,15),'Calc (scoring engine)'!$K$5:$K$528,0))="","—",INDEX(Database!$BA$5:$BA$528,MATCH(LARGE('Calc (scoring engine)'!$K$5:$K$528,15),'Calc (scoring engine)'!$K$5:$K$528,0))),""))</f>
        <v/>
      </c>
      <c r="AY35" s="57">
        <f>IF(OR(15&gt;MAX(3,MIN(15,N($D$18))),IFERROR(LARGE('Calc (scoring engine)'!$K$5:$K$528,15),-999999)&lt;=-900000),"",IFERROR(IF(INDEX(Database!$BC$5:$BC$528,MATCH(LARGE('Calc (scoring engine)'!$K$5:$K$528,15),'Calc (scoring engine)'!$K$5:$K$528,0))="","—",INDEX(Database!$BC$5:$BC$528,MATCH(LARGE('Calc (scoring engine)'!$K$5:$K$528,15),'Calc (scoring engine)'!$K$5:$K$528,0))),""))</f>
        <v/>
      </c>
      <c r="AZ35" s="53">
        <f>IF(OR(15&gt;MAX(3,MIN(15,N($D$18))),IFERROR(LARGE('Calc (scoring engine)'!$K$5:$K$528,15),-999999)&lt;=-900000),"",IFERROR(IF(INDEX(Database!$BE$5:$BE$528,MATCH(LARGE('Calc (scoring engine)'!$K$5:$K$528,15),'Calc (scoring engine)'!$K$5:$K$528,0))="","—",INDEX(Database!$BE$5:$BE$528,MATCH(LARGE('Calc (scoring engine)'!$K$5:$K$528,15),'Calc (scoring engine)'!$K$5:$K$528,0))),""))</f>
        <v/>
      </c>
      <c r="BA35" s="53">
        <f>IF(OR(15&gt;MAX(3,MIN(15,N($D$18))),IFERROR(LARGE('Calc (scoring engine)'!$K$5:$K$528,15),-999999)&lt;=-900000),"",IFERROR(IF(INDEX(Database!$BF$5:$BF$528,MATCH(LARGE('Calc (scoring engine)'!$K$5:$K$528,15),'Calc (scoring engine)'!$K$5:$K$528,0))="","—",INDEX(Database!$BF$5:$BF$528,MATCH(LARGE('Calc (scoring engine)'!$K$5:$K$528,15),'Calc (scoring engine)'!$K$5:$K$528,0))),""))</f>
        <v/>
      </c>
      <c r="BB35" s="43">
        <f>IF(OR(15&gt;MAX(3,MIN(15,N($D$18))),IFERROR(LARGE('Calc (scoring engine)'!$K$5:$K$528,15),-999999)&lt;=-900000),"",IFERROR(IF(INDEX(Database!$BG$5:$BG$528,MATCH(LARGE('Calc (scoring engine)'!$K$5:$K$528,15),'Calc (scoring engine)'!$K$5:$K$528,0))="","—",INDEX(Database!$BG$5:$BG$528,MATCH(LARGE('Calc (scoring engine)'!$K$5:$K$528,15),'Calc (scoring engine)'!$K$5:$K$528,0))),""))</f>
        <v/>
      </c>
      <c r="BC35" s="58">
        <f>IF(OR(15&gt;MAX(3,MIN(15,N($D$18))),IFERROR(LARGE('Calc (scoring engine)'!$K$5:$K$528,15),-999999)&lt;=-900000),"",IFERROR(IF(N(INDEX(Database!$BH$5:$BH$528,MATCH(LARGE('Calc (scoring engine)'!$K$5:$K$528,15),'Calc (scoring engine)'!$K$5:$K$528,0)))&lt;=0,IF(INDEX(Database!$BG$5:$BG$528,MATCH(LARGE('Calc (scoring engine)'!$K$5:$K$528,15),'Calc (scoring engine)'!$K$5:$K$528,0))="N","n/m","—"),INDEX(Database!$BH$5:$BH$528,MATCH(LARGE('Calc (scoring engine)'!$K$5:$K$528,15),'Calc (scoring engine)'!$K$5:$K$528,0))),""))</f>
        <v/>
      </c>
      <c r="BD35" s="58">
        <f>IF(OR(15&gt;MAX(3,MIN(15,N($D$18))),IFERROR(LARGE('Calc (scoring engine)'!$K$5:$K$528,15),-999999)&lt;=-900000),"",IFERROR(IF(INDEX(Database!$BI$5:$BI$528,MATCH(LARGE('Calc (scoring engine)'!$K$5:$K$528,15),'Calc (scoring engine)'!$K$5:$K$528,0))="","—",INDEX(Database!$BI$5:$BI$528,MATCH(LARGE('Calc (scoring engine)'!$K$5:$K$528,15),'Calc (scoring engine)'!$K$5:$K$528,0))),""))</f>
        <v/>
      </c>
      <c r="BE35" s="58">
        <f>IF(OR(15&gt;MAX(3,MIN(15,N($D$18))),IFERROR(LARGE('Calc (scoring engine)'!$K$5:$K$528,15),-999999)&lt;=-900000),"",IFERROR(IF(INDEX(Database!$BJ$5:$BJ$528,MATCH(LARGE('Calc (scoring engine)'!$K$5:$K$528,15),'Calc (scoring engine)'!$K$5:$K$528,0))="","—",INDEX(Database!$BJ$5:$BJ$528,MATCH(LARGE('Calc (scoring engine)'!$K$5:$K$528,15),'Calc (scoring engine)'!$K$5:$K$528,0))),""))</f>
        <v/>
      </c>
      <c r="BF35" s="58">
        <f>IF(OR(15&gt;MAX(3,MIN(15,N($D$18))),IFERROR(LARGE('Calc (scoring engine)'!$K$5:$K$528,15),-999999)&lt;=-900000),"",IFERROR(IF(INDEX(Database!$BK$5:$BK$528,MATCH(LARGE('Calc (scoring engine)'!$K$5:$K$528,15),'Calc (scoring engine)'!$K$5:$K$528,0))="","—",INDEX(Database!$BK$5:$BK$528,MATCH(LARGE('Calc (scoring engine)'!$K$5:$K$528,15),'Calc (scoring engine)'!$K$5:$K$528,0))),""))</f>
        <v/>
      </c>
      <c r="BG35" s="58">
        <f>IF(OR(15&gt;MAX(3,MIN(15,N($D$18))),IFERROR(LARGE('Calc (scoring engine)'!$K$5:$K$528,15),-999999)&lt;=-900000),"",IFERROR(IF(INDEX(Database!$BL$5:$BL$528,MATCH(LARGE('Calc (scoring engine)'!$K$5:$K$528,15),'Calc (scoring engine)'!$K$5:$K$528,0))="","—",INDEX(Database!$BL$5:$BL$528,MATCH(LARGE('Calc (scoring engine)'!$K$5:$K$528,15),'Calc (scoring engine)'!$K$5:$K$528,0))),""))</f>
        <v/>
      </c>
      <c r="BH35" s="58">
        <f>IF(OR(15&gt;MAX(3,MIN(15,N($D$18))),IFERROR(LARGE('Calc (scoring engine)'!$K$5:$K$528,15),-999999)&lt;=-900000),"",IFERROR(IFERROR(BDP(TEXT(INDEX(Database!$A$5:$A$528,MATCH(LARGE('Calc (scoring engine)'!$K$5:$K$528,15),'Calc (scoring engine)'!$K$5:$K$528,0)),"0")&amp;" HK Equity","PE_RATIO"),IF(INDEX(Database!$BJ$5:$BJ$528,MATCH(LARGE('Calc (scoring engine)'!$K$5:$K$528,15),'Calc (scoring engine)'!$K$5:$K$528,0))="","—",INDEX(Database!$BJ$5:$BJ$528,MATCH(LARGE('Calc (scoring engine)'!$K$5:$K$528,15),'Calc (scoring engine)'!$K$5:$K$528,0)))),""))</f>
        <v/>
      </c>
      <c r="BI35" s="58">
        <f>IF(OR(15&gt;MAX(3,MIN(15,N($D$18))),IFERROR(LARGE('Calc (scoring engine)'!$K$5:$K$528,15),-999999)&lt;=-900000),"",IFERROR(IFERROR(BDP(TEXT(INDEX(Database!$A$5:$A$528,MATCH(LARGE('Calc (scoring engine)'!$K$5:$K$528,15),'Calc (scoring engine)'!$K$5:$K$528,0)),"0")&amp;" HK Equity","PX_TO_SALES_RATIO"),IF(INDEX(Database!$BK$5:$BK$528,MATCH(LARGE('Calc (scoring engine)'!$K$5:$K$528,15),'Calc (scoring engine)'!$K$5:$K$528,0))="","—",INDEX(Database!$BK$5:$BK$528,MATCH(LARGE('Calc (scoring engine)'!$K$5:$K$528,15),'Calc (scoring engine)'!$K$5:$K$528,0)))),""))</f>
        <v/>
      </c>
      <c r="BJ35" s="43">
        <f>IF(OR(15&gt;MAX(3,MIN(15,N($D$18))),IFERROR(LARGE('Calc (scoring engine)'!$K$5:$K$528,15),-999999)&lt;=-900000),"",IFERROR(IF(INDEX(Database!$BM$5:$BM$528,MATCH(LARGE('Calc (scoring engine)'!$K$5:$K$528,15),'Calc (scoring engine)'!$K$5:$K$528,0))="","—",INDEX(Database!$BM$5:$BM$528,MATCH(LARGE('Calc (scoring engine)'!$K$5:$K$528,15),'Calc (scoring engine)'!$K$5:$K$528,0))),""))</f>
        <v/>
      </c>
      <c r="BK35" s="43">
        <f>IF(OR(15&gt;MAX(3,MIN(15,N($D$18))),IFERROR(LARGE('Calc (scoring engine)'!$K$5:$K$528,15),-999999)&lt;=-900000),"",IFERROR(IF(INDEX(Database!$BN$5:$BN$528,MATCH(LARGE('Calc (scoring engine)'!$K$5:$K$528,15),'Calc (scoring engine)'!$K$5:$K$528,0))="","—",INDEX(Database!$BN$5:$BN$528,MATCH(LARGE('Calc (scoring engine)'!$K$5:$K$528,15),'Calc (scoring engine)'!$K$5:$K$528,0))),""))</f>
        <v/>
      </c>
      <c r="BL35" s="57">
        <f>IF(OR(15&gt;MAX(3,MIN(15,N($D$18))),IFERROR(LARGE('Calc (scoring engine)'!$K$5:$K$528,15),-999999)&lt;=-900000),"",IFERROR(IF(INDEX(Database!$BO$5:$BO$528,MATCH(LARGE('Calc (scoring engine)'!$K$5:$K$528,15),'Calc (scoring engine)'!$K$5:$K$528,0))="","—",INDEX(Database!$BO$5:$BO$528,MATCH(LARGE('Calc (scoring engine)'!$K$5:$K$528,15),'Calc (scoring engine)'!$K$5:$K$528,0))),""))</f>
        <v/>
      </c>
      <c r="BM35" s="85">
        <f>IF(OR(15&gt;MAX(3,MIN(15,N($D$18))),IFERROR(LARGE('Calc (scoring engine)'!$K$5:$K$528,15),-999999)&lt;=-900000),"",IFERROR(IF(INDEX(Database!$BP$5:$BP$528,MATCH(LARGE('Calc (scoring engine)'!$K$5:$K$528,15),'Calc (scoring engine)'!$K$5:$K$528,0))="","—",INDEX(Database!$BP$5:$BP$528,MATCH(LARGE('Calc (scoring engine)'!$K$5:$K$528,15),'Calc (scoring engine)'!$K$5:$K$528,0))),""))</f>
        <v/>
      </c>
      <c r="BN35" s="89">
        <f>IF(OR(15&gt;MAX(3,MIN(15,N($D$18))),IFERROR(LARGE('Calc (scoring engine)'!$K$5:$K$528,15),-999999)&lt;=-900000),"",IFERROR(IF(INDEX(Database!$BQ$5:$BQ$528,MATCH(LARGE('Calc (scoring engine)'!$K$5:$K$528,15),'Calc (scoring engine)'!$K$5:$K$528,0))="","—",INDEX(Database!$BQ$5:$BQ$528,MATCH(LARGE('Calc (scoring engine)'!$K$5:$K$528,15),'Calc (scoring engine)'!$K$5:$K$528,0))),""))</f>
        <v/>
      </c>
      <c r="BO35" s="53">
        <f>IF(OR(15&gt;MAX(3,MIN(15,N($D$18))),IFERROR(LARGE('Calc (scoring engine)'!$K$5:$K$528,15),-999999)&lt;=-900000),"",IFERROR(IF(INDEX(Database!$BR$5:$BR$528,MATCH(LARGE('Calc (scoring engine)'!$K$5:$K$528,15),'Calc (scoring engine)'!$K$5:$K$528,0))="","—",INDEX(Database!$BR$5:$BR$528,MATCH(LARGE('Calc (scoring engine)'!$K$5:$K$528,15),'Calc (scoring engine)'!$K$5:$K$528,0))),""))</f>
        <v/>
      </c>
      <c r="BP35" s="58">
        <f>IF(OR(15&gt;MAX(3,MIN(15,N($D$18))),IFERROR(LARGE('Calc (scoring engine)'!$K$5:$K$528,15),-999999)&lt;=-900000),"",IFERROR(IF(INDEX(Database!$BS$5:$BS$528,MATCH(LARGE('Calc (scoring engine)'!$K$5:$K$528,15),'Calc (scoring engine)'!$K$5:$K$528,0))="","—",INDEX(Database!$BS$5:$BS$528,MATCH(LARGE('Calc (scoring engine)'!$K$5:$K$528,15),'Calc (scoring engine)'!$K$5:$K$528,0))),""))</f>
        <v/>
      </c>
      <c r="BQ35" s="58">
        <f>IF(OR(15&gt;MAX(3,MIN(15,N($D$18))),IFERROR(LARGE('Calc (scoring engine)'!$K$5:$K$528,15),-999999)&lt;=-900000),"",IFERROR(IF(INDEX(Database!$BT$5:$BT$528,MATCH(LARGE('Calc (scoring engine)'!$K$5:$K$528,15),'Calc (scoring engine)'!$K$5:$K$528,0))="","—",INDEX(Database!$BT$5:$BT$528,MATCH(LARGE('Calc (scoring engine)'!$K$5:$K$528,15),'Calc (scoring engine)'!$K$5:$K$528,0))),""))</f>
        <v/>
      </c>
      <c r="BR35" s="43">
        <f>IF(OR(15&gt;MAX(3,MIN(15,N($D$18))),IFERROR(LARGE('Calc (scoring engine)'!$K$5:$K$528,15),-999999)&lt;=-900000),"",IFERROR(IF(INDEX(Database!$BU$5:$BU$528,MATCH(LARGE('Calc (scoring engine)'!$K$5:$K$528,15),'Calc (scoring engine)'!$K$5:$K$528,0))="","—",INDEX(Database!$BU$5:$BU$528,MATCH(LARGE('Calc (scoring engine)'!$K$5:$K$528,15),'Calc (scoring engine)'!$K$5:$K$528,0))),""))</f>
        <v/>
      </c>
      <c r="BS35" s="43">
        <f>IF(OR(15&gt;MAX(3,MIN(15,N($D$18))),IFERROR(LARGE('Calc (scoring engine)'!$K$5:$K$528,15),-999999)&lt;=-900000),"",IFERROR(IF(INDEX(Database!$BW$5:$BW$528,MATCH(LARGE('Calc (scoring engine)'!$K$5:$K$528,15),'Calc (scoring engine)'!$K$5:$K$528,0))="","—",INDEX(Database!$BW$5:$BW$528,MATCH(LARGE('Calc (scoring engine)'!$K$5:$K$528,15),'Calc (scoring engine)'!$K$5:$K$528,0))),""))</f>
        <v/>
      </c>
      <c r="BT35" s="88">
        <f>IF(OR(15&gt;MAX(3,MIN(15,N($D$18))),IFERROR(LARGE('Calc (scoring engine)'!$K$5:$K$528,15),-999999)&lt;=-900000),"",IFERROR(IF(INDEX('Calc (scoring engine)'!$H$5:$H$528,MATCH(LARGE('Calc (scoring engine)'!$K$5:$K$528,15),'Calc (scoring engine)'!$K$5:$K$528,0))&gt;0,INDEX('Calc (scoring engine)'!$H$5:$H$528,MATCH(LARGE('Calc (scoring engine)'!$K$5:$K$528,15),'Calc (scoring engine)'!$K$5:$K$528,0)),""),""))</f>
        <v/>
      </c>
      <c r="BU35" s="43">
        <f>IF(OR(15&gt;MAX(3,MIN(15,N($D$18))),IFERROR(LARGE('Calc (scoring engine)'!$K$5:$K$528,15),-999999)&lt;=-900000),"",IF(IFERROR(INDEX('Calc (scoring engine)'!$B$5:$B$528,MATCH(LARGE('Calc (scoring engine)'!$K$5:$K$528,15),'Calc (scoring engine)'!$K$5:$K$528,0)),0)=1,"same subsector","sector only"))</f>
        <v/>
      </c>
      <c r="BV35" s="88">
        <f>IF(OR(15&gt;MAX(3,MIN(15,N($D$18))),IFERROR(LARGE('Calc (scoring engine)'!$K$5:$K$528,15),-999999)&lt;=-900000),"",ROUND(IFERROR(LARGE('Calc (scoring engine)'!$K$5:$K$528,15),0),0))</f>
        <v/>
      </c>
      <c r="BW35" s="43">
        <f>IF(OR(15&gt;MAX(3,MIN(15,N($D$18))),IFERROR(LARGE('Calc (scoring engine)'!$K$5:$K$528,15),-999999)&lt;=-900000),"",IFERROR("sub "&amp;INDEX('Calc (scoring engine)'!$B$5:$B$528,MATCH(LARGE('Calc (scoring engine)'!$K$5:$K$528,15),'Calc (scoring engine)'!$K$5:$K$528,0))*W_SUB&amp;" + size "&amp;ROUND(INDEX('Calc (scoring engine)'!$D$5:$D$528,MATCH(LARGE('Calc (scoring engine)'!$K$5:$K$528,15),'Calc (scoring engine)'!$K$5:$K$528,0))*W_SIZE,0)&amp;" + prof "&amp;INDEX('Calc (scoring engine)'!$E$5:$E$528,MATCH(LARGE('Calc (scoring engine)'!$K$5:$K$528,15),'Calc (scoring engine)'!$K$5:$K$528,0))*W_PROF&amp;" + recency "&amp;ROUND(INDEX('Calc (scoring engine)'!$G$5:$G$528,MATCH(LARGE('Calc (scoring engine)'!$K$5:$K$528,15),'Calc (scoring engine)'!$K$5:$K$528,0))*W_REC,0)&amp;IF(INDEX('Calc (scoring engine)'!$H$5:$H$528,MATCH(LARGE('Calc (scoring engine)'!$K$5:$K$528,15),'Calc (scoring engine)'!$K$5:$K$528,0))&gt;0," + shared CS x"&amp;INDEX('Calc (scoring engine)'!$H$5:$H$528,MATCH(LARGE('Calc (scoring engine)'!$K$5:$K$528,15),'Calc (scoring engine)'!$K$5:$K$528,0)),""),""))</f>
        <v/>
      </c>
    </row>
    <row r="36"/>
    <row r="37">
      <c r="A37" s="90" t="inlineStr">
        <is>
          <t>Median of shown comps</t>
        </is>
      </c>
      <c r="B37" s="91" t="n"/>
      <c r="C37" s="91" t="n"/>
      <c r="D37" s="91" t="n"/>
      <c r="E37" s="91" t="n"/>
      <c r="F37" s="91" t="n"/>
      <c r="G37" s="91" t="n"/>
      <c r="H37" s="91" t="n"/>
      <c r="I37" s="92">
        <f>IFERROR(MEDIAN(I21:I35),"")</f>
        <v/>
      </c>
      <c r="J37" s="93">
        <f>IFERROR(MEDIAN(J21:J35),"")</f>
        <v/>
      </c>
      <c r="K37" s="93">
        <f>IFERROR(MEDIAN(K21:K35),"")</f>
        <v/>
      </c>
      <c r="L37" s="93">
        <f>IFERROR(MEDIAN(L21:L35),"")</f>
        <v/>
      </c>
      <c r="M37" s="91" t="n"/>
      <c r="N37" s="94">
        <f>IFERROR(MEDIAN(N21:N35),"")</f>
        <v/>
      </c>
      <c r="O37" s="94">
        <f>IFERROR(MEDIAN(O21:O35),"")</f>
        <v/>
      </c>
      <c r="P37" s="92">
        <f>IFERROR(MEDIAN(P21:P35),"")</f>
        <v/>
      </c>
      <c r="Q37" s="95">
        <f>IFERROR(MEDIAN(Q21:Q35),"")</f>
        <v/>
      </c>
      <c r="R37" s="96">
        <f>IFERROR(MEDIAN(R21:R35),"")</f>
        <v/>
      </c>
      <c r="S37" s="97">
        <f>IFERROR(MEDIAN(S21:S35),"")</f>
        <v/>
      </c>
      <c r="T37" s="98">
        <f>IFERROR(MEDIAN(T21:T35),"")</f>
        <v/>
      </c>
      <c r="U37" s="94">
        <f>IFERROR(MEDIAN(U21:U35),"")</f>
        <v/>
      </c>
      <c r="V37" s="91" t="n"/>
      <c r="W37" s="92">
        <f>IFERROR(MEDIAN(W21:W35),"")</f>
        <v/>
      </c>
      <c r="X37" s="92">
        <f>IFERROR(MEDIAN(X21:X35),"")</f>
        <v/>
      </c>
      <c r="Y37" s="94">
        <f>IFERROR(MEDIAN(Y21:Y35),"")</f>
        <v/>
      </c>
      <c r="Z37" s="91" t="n"/>
      <c r="AA37" s="94">
        <f>IFERROR(MEDIAN(AA21:AA35),"")</f>
        <v/>
      </c>
      <c r="AB37" s="91" t="n"/>
      <c r="AC37" s="91" t="n"/>
      <c r="AD37" s="91" t="n"/>
      <c r="AE37" s="91" t="n"/>
      <c r="AF37" s="99">
        <f>IFERROR(MEDIAN(AF21:AF35),"")</f>
        <v/>
      </c>
      <c r="AG37" s="99">
        <f>IFERROR(MEDIAN(AG21:AG35),"")</f>
        <v/>
      </c>
      <c r="AH37" s="99">
        <f>IFERROR(MEDIAN(AH21:AH35),"")</f>
        <v/>
      </c>
      <c r="AI37" s="99">
        <f>IFERROR(MEDIAN(AI21:AI35),"")</f>
        <v/>
      </c>
      <c r="AJ37" s="99">
        <f>IFERROR(MEDIAN(AJ21:AJ35),"")</f>
        <v/>
      </c>
      <c r="AK37" s="100">
        <f>IFERROR(MEDIAN(AK21:AK35),"")</f>
        <v/>
      </c>
      <c r="AL37" s="94">
        <f>IFERROR(MEDIAN(AL21:AL35),"")</f>
        <v/>
      </c>
      <c r="AM37" s="99">
        <f>IFERROR(MEDIAN(AM21:AM35),"")</f>
        <v/>
      </c>
      <c r="AN37" s="99">
        <f>IFERROR(MEDIAN(AN21:AN35),"")</f>
        <v/>
      </c>
      <c r="AO37" s="99">
        <f>IFERROR(MEDIAN(AO21:AO35),"")</f>
        <v/>
      </c>
      <c r="AP37" s="99">
        <f>IFERROR(MEDIAN(AP21:AP35),"")</f>
        <v/>
      </c>
      <c r="AQ37" s="99">
        <f>IFERROR(MEDIAN(AQ21:AQ35),"")</f>
        <v/>
      </c>
      <c r="AR37" s="99">
        <f>IFERROR(MEDIAN(AR21:AR35),"")</f>
        <v/>
      </c>
      <c r="AS37" s="99">
        <f>IFERROR(MEDIAN(AS21:AS35),"")</f>
        <v/>
      </c>
      <c r="AT37" s="99">
        <f>IFERROR(MEDIAN(AT21:AT35),"")</f>
        <v/>
      </c>
      <c r="AU37" s="99">
        <f>IFERROR(MEDIAN(AU21:AU35),"")</f>
        <v/>
      </c>
      <c r="AV37" s="99">
        <f>IFERROR(MEDIAN(AV21:AV35),"")</f>
        <v/>
      </c>
      <c r="AW37" s="99">
        <f>IFERROR(MEDIAN(AW21:AW35),"")</f>
        <v/>
      </c>
      <c r="AX37" s="99">
        <f>IFERROR(MEDIAN(AX21:AX35),"")</f>
        <v/>
      </c>
      <c r="AY37" s="99">
        <f>IFERROR(MEDIAN(AY21:AY35),"")</f>
        <v/>
      </c>
      <c r="AZ37" s="92">
        <f>IFERROR(MEDIAN(AZ21:AZ35),"")</f>
        <v/>
      </c>
      <c r="BA37" s="92">
        <f>IFERROR(MEDIAN(BA21:BA35),"")</f>
        <v/>
      </c>
      <c r="BB37" s="91" t="n"/>
      <c r="BC37" s="100">
        <f>IFERROR(MEDIAN(BC21:BC35),"")</f>
        <v/>
      </c>
      <c r="BD37" s="100">
        <f>IFERROR(MEDIAN(BD21:BD35),"")</f>
        <v/>
      </c>
      <c r="BE37" s="100">
        <f>IFERROR(MEDIAN(BE21:BE35),"")</f>
        <v/>
      </c>
      <c r="BF37" s="100">
        <f>IFERROR(MEDIAN(BF21:BF35),"")</f>
        <v/>
      </c>
      <c r="BG37" s="100">
        <f>IFERROR(MEDIAN(BG21:BG35),"")</f>
        <v/>
      </c>
      <c r="BH37" s="100">
        <f>IFERROR(MEDIAN(BH21:BH35),"")</f>
        <v/>
      </c>
      <c r="BI37" s="100">
        <f>IFERROR(MEDIAN(BI21:BI35),"")</f>
        <v/>
      </c>
      <c r="BJ37" s="91" t="n"/>
      <c r="BK37" s="91" t="n"/>
      <c r="BL37" s="99">
        <f>IFERROR(MEDIAN(BL21:BL35),"")</f>
        <v/>
      </c>
      <c r="BM37" s="93">
        <f>IFERROR(MEDIAN(BM21:BM35),"")</f>
        <v/>
      </c>
      <c r="BN37" s="101">
        <f>IFERROR(MEDIAN(BN21:BN35),"")</f>
        <v/>
      </c>
      <c r="BO37" s="92">
        <f>IFERROR(MEDIAN(BO21:BO35),"")</f>
        <v/>
      </c>
      <c r="BP37" s="100">
        <f>IFERROR(MEDIAN(BP21:BP35),"")</f>
        <v/>
      </c>
      <c r="BQ37" s="100">
        <f>IFERROR(MEDIAN(BQ21:BQ35),"")</f>
        <v/>
      </c>
      <c r="BR37" s="91" t="n"/>
      <c r="BS37" s="91" t="n"/>
      <c r="BT37" s="91" t="n"/>
      <c r="BU37" s="91" t="n"/>
      <c r="BV37" s="91" t="n"/>
      <c r="BW37" s="91" t="n"/>
    </row>
    <row r="38"/>
    <row r="39"/>
    <row r="40" ht="30" customHeight="1">
      <c r="A40" s="102" t="inlineStr">
        <is>
          <t>TARGET VS CLOSEST COMP</t>
        </is>
      </c>
      <c r="B40" s="42" t="n"/>
      <c r="C40" s="42" t="n"/>
      <c r="D40" s="42" t="n"/>
    </row>
    <row r="41" ht="30" customHeight="1">
      <c r="A41" s="103" t="inlineStr"/>
      <c r="B41" s="103" t="inlineStr">
        <is>
          <t>Target</t>
        </is>
      </c>
      <c r="C41" s="103" t="inlineStr">
        <is>
          <t>Comp #1</t>
        </is>
      </c>
      <c r="D41" s="103" t="inlineStr">
        <is>
          <t>Median of shown</t>
        </is>
      </c>
    </row>
    <row r="42">
      <c r="A42" s="51" t="inlineStr">
        <is>
          <t>Name</t>
        </is>
      </c>
      <c r="B42" s="43">
        <f>$B$5</f>
        <v/>
      </c>
      <c r="C42" s="43">
        <f>IFERROR($B$21,"")</f>
        <v/>
      </c>
    </row>
    <row r="43">
      <c r="A43" s="51" t="inlineStr">
        <is>
          <t>Subsector</t>
        </is>
      </c>
      <c r="B43" s="43">
        <f>$D$8</f>
        <v/>
      </c>
      <c r="C43" s="43">
        <f>IFERROR($E$21,"")</f>
        <v/>
      </c>
    </row>
    <row r="44">
      <c r="A44" s="51" t="inlineStr">
        <is>
          <t>Size HK$m</t>
        </is>
      </c>
      <c r="B44" s="43">
        <f>$D$9</f>
        <v/>
      </c>
      <c r="C44" s="43">
        <f>IFERROR($I$21,"")</f>
        <v/>
      </c>
      <c r="D44" s="43">
        <f>IFERROR($I$37,"")</f>
        <v/>
      </c>
    </row>
    <row r="45">
      <c r="A45" s="51" t="inlineStr">
        <is>
          <t>P/E (x)</t>
        </is>
      </c>
      <c r="B45" s="43">
        <f>"—"</f>
        <v/>
      </c>
      <c r="C45" s="43">
        <f>IFERROR($BC$21,"")</f>
        <v/>
      </c>
      <c r="D45" s="43">
        <f>IFERROR($BC$37,"")</f>
        <v/>
      </c>
    </row>
    <row r="46">
      <c r="A46" s="51" t="inlineStr">
        <is>
          <t>Public sub (x)</t>
        </is>
      </c>
      <c r="B46" s="43">
        <f>"—"</f>
        <v/>
      </c>
      <c r="C46" s="43">
        <f>IFERROR($Q$21,"")</f>
        <v/>
      </c>
      <c r="D46" s="43">
        <f>IFERROR($Q$37,"")</f>
        <v/>
      </c>
    </row>
    <row r="47">
      <c r="A47" s="51" t="inlineStr">
        <is>
          <t>Day-1</t>
        </is>
      </c>
      <c r="B47" s="43">
        <f>"—"</f>
        <v/>
      </c>
      <c r="C47" s="43">
        <f>IFERROR($AG$21,"")</f>
        <v/>
      </c>
      <c r="D47" s="43">
        <f>IFERROR($AG$37,"")</f>
        <v/>
      </c>
    </row>
    <row r="48">
      <c r="A48" s="51" t="inlineStr">
        <is>
          <t>1-month</t>
        </is>
      </c>
      <c r="B48" s="43">
        <f>"—"</f>
        <v/>
      </c>
      <c r="C48" s="43">
        <f>IFERROR($AN$21,"")</f>
        <v/>
      </c>
      <c r="D48" s="43">
        <f>IFERROR($AN$37,"")</f>
        <v/>
      </c>
    </row>
    <row r="49">
      <c r="A49" s="51" t="inlineStr">
        <is>
          <t>3-month</t>
        </is>
      </c>
      <c r="B49" s="43">
        <f>"—"</f>
        <v/>
      </c>
      <c r="C49" s="43">
        <f>IFERROR($AO$21,"")</f>
        <v/>
      </c>
      <c r="D49" s="43">
        <f>IFERROR($AO$37,"")</f>
        <v/>
      </c>
    </row>
    <row r="50"/>
    <row r="51"/>
    <row r="52" ht="30" customHeight="1">
      <c r="A52" s="104" t="inlineStr">
        <is>
          <t>A-SHARE PANEL (live on the terminal; scraped quote off it)</t>
        </is>
      </c>
      <c r="B52" s="42" t="n"/>
      <c r="C52" s="42" t="n"/>
      <c r="D52" s="42" t="n"/>
      <c r="F52" s="104" t="inlineStr">
        <is>
          <t>A-SHARE CLOSE, LAST MONTH (fills on the terminal)</t>
        </is>
      </c>
      <c r="G52" s="42" t="n"/>
    </row>
    <row r="53">
      <c r="A53" s="51" t="inlineStr">
        <is>
          <t>A price now (CNY)</t>
        </is>
      </c>
      <c r="B53" s="86">
        <f>IF($F$54="","no A line",IFERROR(BDP($F$54,"PX_LAST"),IFERROR(INDEX(Pipeline!$V$6:$V$18,MATCH($B$5,Pipeline!$B$6:$B$18,0)),"run on terminal")))</f>
        <v/>
      </c>
      <c r="F53" s="43">
        <f>IFERROR(INDEX(Database!$BN$5:$BN$528,MATCH($B$5,Database!$B$5:$B$528,0)),IFERROR(INDEX(Pipeline!$U$6:$U$18,MATCH($B$5,Pipeline!$B$6:$B$18,0)),""))</f>
        <v/>
      </c>
      <c r="G53" s="105" t="inlineStr">
        <is>
          <t>A-share code of the pick</t>
        </is>
      </c>
    </row>
    <row r="54">
      <c r="A54" s="51" t="inlineStr">
        <is>
          <t>CNY to HKD</t>
        </is>
      </c>
      <c r="B54" s="106">
        <f>IFERROR(BDP("CNYHKD Curncy","PX_LAST"),"run on terminal")</f>
        <v/>
      </c>
      <c r="F54" s="43">
        <f>IFERROR(IF(F53="","",LEFT(F53,FIND(".",F53)-1)&amp;" CH Equity"),"")</f>
        <v/>
      </c>
      <c r="G54" s="105" t="inlineStr">
        <is>
          <t>Bloomberg ticker</t>
        </is>
      </c>
    </row>
    <row r="55" ht="30" customHeight="1">
      <c r="A55" s="51" t="inlineStr">
        <is>
          <t>A price (HK$)</t>
        </is>
      </c>
      <c r="B55" s="86">
        <f>IF(OR(NOT(ISNUMBER(A_PX)),N(A_FX)&lt;=0),"n/a",A_PX*A_FX)</f>
        <v/>
      </c>
      <c r="F55" s="78" t="inlineStr">
        <is>
          <t>Date</t>
        </is>
      </c>
      <c r="G55" s="78" t="inlineStr">
        <is>
          <t>Close (CNY)</t>
        </is>
      </c>
    </row>
    <row r="56">
      <c r="A56" s="51" t="inlineStr">
        <is>
          <t>A P/E (TTM)</t>
        </is>
      </c>
      <c r="B56" s="58">
        <f>IF($F$54="","n/a",IFERROR(BDP($F$54,"PE_RATIO"),IFERROR(INDEX(Pipeline!$W$6:$W$18,MATCH($B$5,Pipeline!$B$6:$B$18,0)),"run on terminal")))</f>
        <v/>
      </c>
      <c r="F56" s="43">
        <f>IF($F$54="","no A-share for this pick",IFERROR(BDH($F$54,"PX_LAST",TODAY()-31,TODAY()),"run on terminal"))</f>
        <v/>
      </c>
    </row>
    <row r="57">
      <c r="A57" s="51" t="inlineStr">
        <is>
          <t>H offer / cap (HK$)</t>
        </is>
      </c>
      <c r="B57" s="86">
        <f>IFERROR(INDEX(Database!$M$5:$M$528,MATCH($B$5,Database!$B$5:$B$528,0)),IFERROR(INDEX(Pipeline!$L$6:$L$18,MATCH($B$5,Pipeline!$B$6:$B$18,0)),""))</f>
        <v/>
      </c>
    </row>
    <row r="58">
      <c r="A58" s="51" t="inlineStr">
        <is>
          <t>A premium vs H (+ = A above)</t>
        </is>
      </c>
      <c r="B58" s="89">
        <f>IFERROR(IF(OR(N(A_HKD)&lt;=0,N(H_TRM)&lt;=0),"n/a",A_HKD/H_TRM-1),"n/a")</f>
        <v/>
      </c>
    </row>
    <row r="59">
      <c r="A59" s="51" t="inlineStr">
        <is>
          <t>H P/E now (TTM)</t>
        </is>
      </c>
      <c r="B59" s="58">
        <f>IF(IFERROR(TEXT(VALUE(IFERROR(INDEX(Database!$A$5:$A$528,MATCH($B$5,Database!$B$5:$B$528,0)),IFERROR(INDEX(Pipeline!$A$6:$A$18,MATCH($B$5,Pipeline!$B$6:$B$18,0)),""))),"0")&amp;" HK Equity","")="","n/a",IFERROR(BDP(IFERROR(TEXT(VALUE(IFERROR(INDEX(Database!$A$5:$A$528,MATCH($B$5,Database!$B$5:$B$528,0)),IFERROR(INDEX(Pipeline!$A$6:$A$18,MATCH($B$5,Pipeline!$B$6:$B$18,0)),""))),"0")&amp;" HK Equity",""),"PE_RATIO"),IFERROR(INDEX(Database!$BJ$5:$BJ$528,MATCH($B$5,Database!$B$5:$B$528,0)),"run on terminal")))</f>
        <v/>
      </c>
    </row>
    <row r="60">
      <c r="A60" s="51" t="inlineStr">
        <is>
          <t>H P/S now</t>
        </is>
      </c>
      <c r="B60" s="58">
        <f>IF(IFERROR(TEXT(VALUE(IFERROR(INDEX(Database!$A$5:$A$528,MATCH($B$5,Database!$B$5:$B$528,0)),IFERROR(INDEX(Pipeline!$A$6:$A$18,MATCH($B$5,Pipeline!$B$6:$B$18,0)),""))),"0")&amp;" HK Equity","")="","n/a",IFERROR(BDP(IFERROR(TEXT(VALUE(IFERROR(INDEX(Database!$A$5:$A$528,MATCH($B$5,Database!$B$5:$B$528,0)),IFERROR(INDEX(Pipeline!$A$6:$A$18,MATCH($B$5,Pipeline!$B$6:$B$18,0)),""))),"0")&amp;" HK Equity",""),"PX_TO_SALES_RATIO"),IFERROR(INDEX(Database!$BK$5:$BK$528,MATCH($B$5,Database!$B$5:$B$528,0)),"run on terminal")))</f>
        <v/>
      </c>
    </row>
    <row r="61">
      <c r="A61" s="51" t="inlineStr">
        <is>
          <t>A-line company mkt cap (HK$m)</t>
        </is>
      </c>
      <c r="B61" s="53">
        <f>IF($F$54="","no A line",IFERROR(BDP($F$54,"CUR_MKT_CAP")*IF(N(A_FX)&gt;0,A_FX,NA()),IFERROR(INDEX(Database!$BR$5:$BR$528,MATCH($B$5,Database!$B$5:$B$528,0)),"run on terminal")))</f>
        <v/>
      </c>
    </row>
  </sheetData>
  <mergeCells count="16">
    <mergeCell ref="F52:G52"/>
    <mergeCell ref="AF19:AY19"/>
    <mergeCell ref="AZ19:BI19"/>
    <mergeCell ref="BJ19:BQ19"/>
    <mergeCell ref="A4:E4"/>
    <mergeCell ref="A40:D40"/>
    <mergeCell ref="A2:L2"/>
    <mergeCell ref="G7:H7"/>
    <mergeCell ref="G11:H11"/>
    <mergeCell ref="B5:F5"/>
    <mergeCell ref="I19:P19"/>
    <mergeCell ref="Q19:AE19"/>
    <mergeCell ref="A52:D52"/>
    <mergeCell ref="A19:H19"/>
    <mergeCell ref="BT19:BW19"/>
    <mergeCell ref="BR19:BS19"/>
  </mergeCells>
  <conditionalFormatting sqref="A21:BW21">
    <cfRule type="expression" priority="24" dxfId="0">
      <formula>$BU21="same subsector"</formula>
    </cfRule>
    <cfRule type="expression" priority="25" dxfId="1">
      <formula>$BU21="sector only"</formula>
    </cfRule>
  </conditionalFormatting>
  <conditionalFormatting sqref="A22:BW22">
    <cfRule type="expression" priority="26" dxfId="0">
      <formula>$BU22="same subsector"</formula>
    </cfRule>
    <cfRule type="expression" priority="27" dxfId="1">
      <formula>$BU22="sector only"</formula>
    </cfRule>
  </conditionalFormatting>
  <conditionalFormatting sqref="A23:BW23">
    <cfRule type="expression" priority="28" dxfId="0">
      <formula>$BU23="same subsector"</formula>
    </cfRule>
    <cfRule type="expression" priority="29" dxfId="1">
      <formula>$BU23="sector only"</formula>
    </cfRule>
  </conditionalFormatting>
  <conditionalFormatting sqref="A24:BW24">
    <cfRule type="expression" priority="30" dxfId="0">
      <formula>$BU24="same subsector"</formula>
    </cfRule>
    <cfRule type="expression" priority="31" dxfId="1">
      <formula>$BU24="sector only"</formula>
    </cfRule>
  </conditionalFormatting>
  <conditionalFormatting sqref="A25:BW25">
    <cfRule type="expression" priority="32" dxfId="0">
      <formula>$BU25="same subsector"</formula>
    </cfRule>
    <cfRule type="expression" priority="33" dxfId="1">
      <formula>$BU25="sector only"</formula>
    </cfRule>
  </conditionalFormatting>
  <conditionalFormatting sqref="A26:BW26">
    <cfRule type="expression" priority="34" dxfId="0">
      <formula>$BU26="same subsector"</formula>
    </cfRule>
    <cfRule type="expression" priority="35" dxfId="1">
      <formula>$BU26="sector only"</formula>
    </cfRule>
  </conditionalFormatting>
  <conditionalFormatting sqref="A27:BW27">
    <cfRule type="expression" priority="36" dxfId="0">
      <formula>$BU27="same subsector"</formula>
    </cfRule>
    <cfRule type="expression" priority="37" dxfId="1">
      <formula>$BU27="sector only"</formula>
    </cfRule>
  </conditionalFormatting>
  <conditionalFormatting sqref="A28:BW28">
    <cfRule type="expression" priority="38" dxfId="0">
      <formula>$BU28="same subsector"</formula>
    </cfRule>
    <cfRule type="expression" priority="39" dxfId="1">
      <formula>$BU28="sector only"</formula>
    </cfRule>
  </conditionalFormatting>
  <conditionalFormatting sqref="A29:BW29">
    <cfRule type="expression" priority="40" dxfId="0">
      <formula>$BU29="same subsector"</formula>
    </cfRule>
    <cfRule type="expression" priority="41" dxfId="1">
      <formula>$BU29="sector only"</formula>
    </cfRule>
  </conditionalFormatting>
  <conditionalFormatting sqref="A30:BW30">
    <cfRule type="expression" priority="42" dxfId="0">
      <formula>$BU30="same subsector"</formula>
    </cfRule>
    <cfRule type="expression" priority="43" dxfId="1">
      <formula>$BU30="sector only"</formula>
    </cfRule>
  </conditionalFormatting>
  <conditionalFormatting sqref="A31:BW31">
    <cfRule type="expression" priority="44" dxfId="0">
      <formula>$BU31="same subsector"</formula>
    </cfRule>
    <cfRule type="expression" priority="45" dxfId="1">
      <formula>$BU31="sector only"</formula>
    </cfRule>
  </conditionalFormatting>
  <conditionalFormatting sqref="A32:BW32">
    <cfRule type="expression" priority="46" dxfId="0">
      <formula>$BU32="same subsector"</formula>
    </cfRule>
    <cfRule type="expression" priority="47" dxfId="1">
      <formula>$BU32="sector only"</formula>
    </cfRule>
  </conditionalFormatting>
  <conditionalFormatting sqref="A33:BW33">
    <cfRule type="expression" priority="48" dxfId="0">
      <formula>$BU33="same subsector"</formula>
    </cfRule>
    <cfRule type="expression" priority="49" dxfId="1">
      <formula>$BU33="sector only"</formula>
    </cfRule>
  </conditionalFormatting>
  <conditionalFormatting sqref="A34:BW34">
    <cfRule type="expression" priority="50" dxfId="0">
      <formula>$BU34="same subsector"</formula>
    </cfRule>
    <cfRule type="expression" priority="51" dxfId="1">
      <formula>$BU34="sector only"</formula>
    </cfRule>
  </conditionalFormatting>
  <conditionalFormatting sqref="A35:BW35">
    <cfRule type="expression" priority="52" dxfId="0">
      <formula>$BU35="same subsector"</formula>
    </cfRule>
    <cfRule type="expression" priority="53" dxfId="1">
      <formula>$BU35="sector only"</formula>
    </cfRule>
  </conditionalFormatting>
  <conditionalFormatting sqref="AM21:AM35">
    <cfRule type="colorScale" priority="1">
      <colorScale>
        <cfvo type="num" val="-60"/>
        <cfvo type="num" val="0"/>
        <cfvo type="num" val="60"/>
        <color rgb="00F8696B"/>
        <color rgb="00FFFFFF"/>
        <color rgb="0063BE7B"/>
      </colorScale>
    </cfRule>
  </conditionalFormatting>
  <conditionalFormatting sqref="AQ21:AQ35">
    <cfRule type="colorScale" priority="2">
      <colorScale>
        <cfvo type="num" val="-60"/>
        <cfvo type="num" val="0"/>
        <cfvo type="num" val="60"/>
        <color rgb="00F8696B"/>
        <color rgb="00FFFFFF"/>
        <color rgb="0063BE7B"/>
      </colorScale>
    </cfRule>
  </conditionalFormatting>
  <conditionalFormatting sqref="AH21:AH35">
    <cfRule type="colorScale" priority="3">
      <colorScale>
        <cfvo type="num" val="-60"/>
        <cfvo type="num" val="0"/>
        <cfvo type="num" val="60"/>
        <color rgb="00F8696B"/>
        <color rgb="00FFFFFF"/>
        <color rgb="0063BE7B"/>
      </colorScale>
    </cfRule>
  </conditionalFormatting>
  <conditionalFormatting sqref="AU21:AU35">
    <cfRule type="colorScale" priority="4">
      <colorScale>
        <cfvo type="num" val="-60"/>
        <cfvo type="num" val="0"/>
        <cfvo type="num" val="60"/>
        <color rgb="00F8696B"/>
        <color rgb="00FFFFFF"/>
        <color rgb="0063BE7B"/>
      </colorScale>
    </cfRule>
  </conditionalFormatting>
  <conditionalFormatting sqref="AR21:AR35">
    <cfRule type="colorScale" priority="5">
      <colorScale>
        <cfvo type="num" val="-60"/>
        <cfvo type="num" val="0"/>
        <cfvo type="num" val="60"/>
        <color rgb="00F8696B"/>
        <color rgb="00FFFFFF"/>
        <color rgb="0063BE7B"/>
      </colorScale>
    </cfRule>
  </conditionalFormatting>
  <conditionalFormatting sqref="AY21:AY35">
    <cfRule type="colorScale" priority="6">
      <colorScale>
        <cfvo type="num" val="-60"/>
        <cfvo type="num" val="0"/>
        <cfvo type="num" val="60"/>
        <color rgb="00F8696B"/>
        <color rgb="00FFFFFF"/>
        <color rgb="0063BE7B"/>
      </colorScale>
    </cfRule>
  </conditionalFormatting>
  <conditionalFormatting sqref="AN21:AN35">
    <cfRule type="colorScale" priority="7">
      <colorScale>
        <cfvo type="num" val="-60"/>
        <cfvo type="num" val="0"/>
        <cfvo type="num" val="60"/>
        <color rgb="00F8696B"/>
        <color rgb="00FFFFFF"/>
        <color rgb="0063BE7B"/>
      </colorScale>
    </cfRule>
  </conditionalFormatting>
  <conditionalFormatting sqref="AW21:AW35">
    <cfRule type="colorScale" priority="8">
      <colorScale>
        <cfvo type="num" val="-60"/>
        <cfvo type="num" val="0"/>
        <cfvo type="num" val="60"/>
        <color rgb="00F8696B"/>
        <color rgb="00FFFFFF"/>
        <color rgb="0063BE7B"/>
      </colorScale>
    </cfRule>
  </conditionalFormatting>
  <conditionalFormatting sqref="BN21:BN35">
    <cfRule type="colorScale" priority="9">
      <colorScale>
        <cfvo type="num" val="-60"/>
        <cfvo type="num" val="0"/>
        <cfvo type="num" val="60"/>
        <color rgb="00F8696B"/>
        <color rgb="00FFFFFF"/>
        <color rgb="0063BE7B"/>
      </colorScale>
    </cfRule>
  </conditionalFormatting>
  <conditionalFormatting sqref="AX21:AX35">
    <cfRule type="colorScale" priority="10">
      <colorScale>
        <cfvo type="num" val="-60"/>
        <cfvo type="num" val="0"/>
        <cfvo type="num" val="60"/>
        <color rgb="00F8696B"/>
        <color rgb="00FFFFFF"/>
        <color rgb="0063BE7B"/>
      </colorScale>
    </cfRule>
  </conditionalFormatting>
  <conditionalFormatting sqref="AF21:AF35">
    <cfRule type="colorScale" priority="11">
      <colorScale>
        <cfvo type="num" val="-60"/>
        <cfvo type="num" val="0"/>
        <cfvo type="num" val="60"/>
        <color rgb="00F8696B"/>
        <color rgb="00FFFFFF"/>
        <color rgb="0063BE7B"/>
      </colorScale>
    </cfRule>
  </conditionalFormatting>
  <conditionalFormatting sqref="AP21:AP35">
    <cfRule type="colorScale" priority="12">
      <colorScale>
        <cfvo type="num" val="-60"/>
        <cfvo type="num" val="0"/>
        <cfvo type="num" val="60"/>
        <color rgb="00F8696B"/>
        <color rgb="00FFFFFF"/>
        <color rgb="0063BE7B"/>
      </colorScale>
    </cfRule>
  </conditionalFormatting>
  <conditionalFormatting sqref="BL21:BL35">
    <cfRule type="colorScale" priority="13">
      <colorScale>
        <cfvo type="num" val="-60"/>
        <cfvo type="num" val="0"/>
        <cfvo type="num" val="60"/>
        <color rgb="00F8696B"/>
        <color rgb="00FFFFFF"/>
        <color rgb="0063BE7B"/>
      </colorScale>
    </cfRule>
  </conditionalFormatting>
  <conditionalFormatting sqref="AO21:AO35">
    <cfRule type="colorScale" priority="14">
      <colorScale>
        <cfvo type="num" val="-60"/>
        <cfvo type="num" val="0"/>
        <cfvo type="num" val="60"/>
        <color rgb="00F8696B"/>
        <color rgb="00FFFFFF"/>
        <color rgb="0063BE7B"/>
      </colorScale>
    </cfRule>
  </conditionalFormatting>
  <conditionalFormatting sqref="AV21:AV35">
    <cfRule type="colorScale" priority="15">
      <colorScale>
        <cfvo type="num" val="-60"/>
        <cfvo type="num" val="0"/>
        <cfvo type="num" val="60"/>
        <color rgb="00F8696B"/>
        <color rgb="00FFFFFF"/>
        <color rgb="0063BE7B"/>
      </colorScale>
    </cfRule>
  </conditionalFormatting>
  <conditionalFormatting sqref="AJ21:AJ35">
    <cfRule type="colorScale" priority="16">
      <colorScale>
        <cfvo type="num" val="-60"/>
        <cfvo type="num" val="0"/>
        <cfvo type="num" val="60"/>
        <color rgb="00F8696B"/>
        <color rgb="00FFFFFF"/>
        <color rgb="0063BE7B"/>
      </colorScale>
    </cfRule>
  </conditionalFormatting>
  <conditionalFormatting sqref="AG21:AG35">
    <cfRule type="colorScale" priority="17">
      <colorScale>
        <cfvo type="num" val="-60"/>
        <cfvo type="num" val="0"/>
        <cfvo type="num" val="60"/>
        <color rgb="00F8696B"/>
        <color rgb="00FFFFFF"/>
        <color rgb="0063BE7B"/>
      </colorScale>
    </cfRule>
  </conditionalFormatting>
  <conditionalFormatting sqref="AI21:AI35">
    <cfRule type="colorScale" priority="18">
      <colorScale>
        <cfvo type="num" val="-60"/>
        <cfvo type="num" val="0"/>
        <cfvo type="num" val="60"/>
        <color rgb="00F8696B"/>
        <color rgb="00FFFFFF"/>
        <color rgb="0063BE7B"/>
      </colorScale>
    </cfRule>
  </conditionalFormatting>
  <conditionalFormatting sqref="AT21:AT35">
    <cfRule type="colorScale" priority="19">
      <colorScale>
        <cfvo type="num" val="-60"/>
        <cfvo type="num" val="0"/>
        <cfvo type="num" val="60"/>
        <color rgb="00F8696B"/>
        <color rgb="00FFFFFF"/>
        <color rgb="0063BE7B"/>
      </colorScale>
    </cfRule>
  </conditionalFormatting>
  <conditionalFormatting sqref="AS21:AS35">
    <cfRule type="colorScale" priority="20">
      <colorScale>
        <cfvo type="num" val="-60"/>
        <cfvo type="num" val="0"/>
        <cfvo type="num" val="60"/>
        <color rgb="00F8696B"/>
        <color rgb="00FFFFFF"/>
        <color rgb="0063BE7B"/>
      </colorScale>
    </cfRule>
  </conditionalFormatting>
  <conditionalFormatting sqref="I21:I35">
    <cfRule type="dataBar" priority="21">
      <dataBar showValue="1">
        <cfvo type="min"/>
        <cfvo type="max"/>
        <color rgb="004472C4"/>
      </dataBar>
    </cfRule>
  </conditionalFormatting>
  <conditionalFormatting sqref="Q21:Q35">
    <cfRule type="dataBar" priority="22">
      <dataBar showValue="1">
        <cfvo type="min"/>
        <cfvo type="max"/>
        <color rgb="004472C4"/>
      </dataBar>
    </cfRule>
  </conditionalFormatting>
  <conditionalFormatting sqref="S21:S35">
    <cfRule type="dataBar" priority="23">
      <dataBar showValue="1">
        <cfvo type="min"/>
        <cfvo type="max"/>
        <color rgb="004472C4"/>
      </dataBar>
    </cfRule>
  </conditionalFormatting>
  <conditionalFormatting sqref="A21:BW35">
    <cfRule type="expression" priority="54" dxfId="2" stopIfTrue="0">
      <formula>MOD(ROW(),2)=0</formula>
    </cfRule>
  </conditionalFormatting>
  <dataValidations count="3">
    <dataValidation sqref="B5" showDropDown="0" showInputMessage="0" showErrorMessage="0" allowBlank="1" type="list">
      <formula1>=AllDeals</formula1>
    </dataValidation>
    <dataValidation sqref="B16" showDropDown="0" showInputMessage="0" showErrorMessage="0" allowBlank="0" type="list">
      <formula1>"standard,cornerstone overlap first,demand-similar first"</formula1>
    </dataValidation>
    <dataValidation sqref="B18" showDropDown="0" showInputMessage="0" showErrorMessage="0" allowBlank="0" type="list">
      <formula1>"All,With A-share,Without A-share"</formula1>
    </dataValidation>
  </dataValidations>
  <printOptions horizontalCentered="1"/>
  <pageMargins left="0.75" right="0.75" top="1" bottom="1" header="0.5" footer="0.5"/>
  <pageSetup orientation="landscape" paperSize="8" fitToHeight="0" fitToWidth="1"/>
  <drawing xmlns:r="http://schemas.openxmlformats.org/officeDocument/2006/relationships" r:id="rId1"/>
</worksheet>
</file>

<file path=xl/worksheets/sheet4.xml><?xml version="1.0" encoding="utf-8"?>
<worksheet xmlns="http://schemas.openxmlformats.org/spreadsheetml/2006/main">
  <sheetPr>
    <tabColor rgb="001F3864"/>
    <outlinePr summaryBelow="1" summaryRight="1"/>
    <pageSetUpPr fitToPage="1"/>
  </sheetPr>
  <dimension ref="A1:CC528"/>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13" customWidth="1" min="3" max="3"/>
    <col width="12" customWidth="1" min="4" max="4"/>
    <col width="22" customWidth="1" min="5" max="5"/>
    <col width="20" customWidth="1" min="6" max="6"/>
    <col width="9" customWidth="1" min="7" max="7"/>
    <col width="11" customWidth="1" min="8" max="8"/>
    <col width="12" customWidth="1" min="9" max="9"/>
    <col width="15" customWidth="1" min="10" max="10"/>
    <col width="9" customWidth="1" min="11" max="11"/>
    <col width="9" customWidth="1" min="12" max="12"/>
    <col width="9" customWidth="1" min="13" max="13"/>
    <col width="8" customWidth="1" min="14" max="14"/>
    <col width="8" customWidth="1" min="15" max="15"/>
    <col width="11" customWidth="1" min="16" max="16"/>
    <col width="12" customWidth="1" min="17" max="17"/>
    <col width="26" customWidth="1" min="18" max="18"/>
    <col width="10" customWidth="1" min="19" max="19"/>
    <col width="9" customWidth="1" min="20" max="20"/>
    <col width="11" customWidth="1" min="21" max="21"/>
    <col width="8" customWidth="1" min="22" max="22"/>
    <col width="10" customWidth="1" min="23" max="23"/>
    <col width="8" customWidth="1" min="24" max="24"/>
    <col width="13" customWidth="1" min="25" max="25"/>
    <col width="15" customWidth="1" min="26" max="26"/>
    <col width="11" customWidth="1" min="27" max="27"/>
    <col width="46" customWidth="1" min="28" max="28"/>
    <col width="16" customWidth="1" min="29" max="29"/>
    <col width="9" customWidth="1" min="30" max="30"/>
    <col width="17" customWidth="1" min="31" max="31"/>
    <col width="13" customWidth="1" min="32" max="32"/>
    <col width="34" customWidth="1" min="33" max="33"/>
    <col width="14" customWidth="1" min="34" max="34"/>
    <col width="14" customWidth="1" min="35" max="35"/>
    <col width="9" customWidth="1" min="36" max="36"/>
    <col width="18" customWidth="1" min="37" max="37"/>
    <col width="10" customWidth="1" min="38" max="38"/>
    <col width="11" customWidth="1" min="39" max="39"/>
    <col width="10"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10" customWidth="1" min="48" max="48"/>
    <col width="10" customWidth="1" min="49" max="49"/>
    <col width="10" customWidth="1" min="50" max="50"/>
    <col width="10" customWidth="1" min="51" max="51"/>
    <col width="11" customWidth="1" min="52" max="52"/>
    <col width="11" customWidth="1" min="53" max="53"/>
    <col width="22" customWidth="1" min="54" max="54"/>
    <col width="10" customWidth="1" min="55" max="55"/>
    <col width="11" customWidth="1" min="56" max="56"/>
    <col width="11" customWidth="1" min="57" max="57"/>
    <col width="11" customWidth="1" min="58" max="58"/>
    <col width="8" customWidth="1" min="59" max="59"/>
    <col width="8" customWidth="1" min="60" max="60"/>
    <col width="10" customWidth="1" min="61" max="61"/>
    <col width="10" customWidth="1" min="62" max="62"/>
    <col width="8" customWidth="1" min="63" max="63"/>
    <col width="11" customWidth="1" min="64" max="64"/>
    <col width="8" customWidth="1" min="65" max="65"/>
    <col width="11" customWidth="1" min="66" max="66"/>
    <col width="11" customWidth="1" min="67" max="67"/>
    <col width="10" customWidth="1" min="68" max="68"/>
    <col width="11" customWidth="1" min="69" max="69"/>
    <col width="14" customWidth="1" min="70" max="70"/>
    <col width="11" customWidth="1" min="71" max="71"/>
    <col width="11" customWidth="1" min="72" max="72"/>
    <col width="30" customWidth="1" min="73" max="73"/>
    <col width="30" customWidth="1" min="74" max="74"/>
    <col width="34" customWidth="1" min="75" max="75"/>
    <col width="34" customWidth="1" min="76" max="76"/>
    <col width="11" customWidth="1" min="77" max="77"/>
    <col width="13" customWidth="1" min="78" max="78"/>
    <col width="15" customWidth="1" min="79" max="79"/>
    <col width="40" customWidth="1" min="80" max="80"/>
    <col width="64" customWidth="1" min="81" max="81"/>
  </cols>
  <sheetData>
    <row r="1" ht="30" customHeight="1">
      <c r="A1" s="35" t="inlineStr">
        <is>
          <t>HK IPO DATABASE, Main Board 2021-2026</t>
        </is>
      </c>
    </row>
    <row r="2" ht="34" customHeight="1">
      <c r="A2" s="36" t="inlineStr">
        <is>
          <t>One row per deal. Money in HK$m, returns in %. Day-1 + = closed above the offer. Orange = sources disagree; grey = calculated; blue = input.</t>
        </is>
      </c>
    </row>
    <row r="3" ht="30" customHeight="1">
      <c r="A3" s="73" t="inlineStr">
        <is>
          <t>IDENTITY</t>
        </is>
      </c>
      <c r="B3" s="42" t="n"/>
      <c r="C3" s="42" t="n"/>
      <c r="D3" s="42" t="n"/>
      <c r="E3" s="42" t="n"/>
      <c r="F3" s="42" t="n"/>
      <c r="G3" s="42" t="n"/>
      <c r="H3" s="42" t="n"/>
      <c r="I3" s="74" t="inlineStr">
        <is>
          <t>DEAL TERMS</t>
        </is>
      </c>
      <c r="J3" s="42" t="n"/>
      <c r="K3" s="42" t="n"/>
      <c r="L3" s="42" t="n"/>
      <c r="M3" s="42" t="n"/>
      <c r="N3" s="42" t="n"/>
      <c r="O3" s="42" t="n"/>
      <c r="P3" s="42" t="n"/>
      <c r="Q3" s="42" t="n"/>
      <c r="R3" s="42" t="n"/>
      <c r="S3" s="75" t="inlineStr">
        <is>
          <t>DEMAND</t>
        </is>
      </c>
      <c r="T3" s="42" t="n"/>
      <c r="U3" s="42" t="n"/>
      <c r="V3" s="42" t="n"/>
      <c r="W3" s="42" t="n"/>
      <c r="X3" s="42" t="n"/>
      <c r="Y3" s="42" t="n"/>
      <c r="Z3" s="42" t="n"/>
      <c r="AA3" s="42" t="n"/>
      <c r="AB3" s="42" t="n"/>
      <c r="AC3" s="42" t="n"/>
      <c r="AD3" s="42" t="n"/>
      <c r="AE3" s="42" t="n"/>
      <c r="AF3" s="42" t="n"/>
      <c r="AG3" s="42" t="n"/>
      <c r="AH3" s="42" t="n"/>
      <c r="AI3" s="76" t="inlineStr">
        <is>
          <t>PERFORMANCE</t>
        </is>
      </c>
      <c r="AJ3" s="42" t="n"/>
      <c r="AK3" s="42" t="n"/>
      <c r="AL3" s="42" t="n"/>
      <c r="AM3" s="42" t="n"/>
      <c r="AN3" s="42" t="n"/>
      <c r="AO3" s="42" t="n"/>
      <c r="AP3" s="42" t="n"/>
      <c r="AQ3" s="42" t="n"/>
      <c r="AR3" s="42" t="n"/>
      <c r="AS3" s="42" t="n"/>
      <c r="AT3" s="42" t="n"/>
      <c r="AU3" s="42" t="n"/>
      <c r="AV3" s="42" t="n"/>
      <c r="AW3" s="42" t="n"/>
      <c r="AX3" s="42" t="n"/>
      <c r="AY3" s="42" t="n"/>
      <c r="AZ3" s="42" t="n"/>
      <c r="BA3" s="42" t="n"/>
      <c r="BB3" s="42" t="n"/>
      <c r="BC3" s="42" t="n"/>
      <c r="BD3" s="42" t="n"/>
      <c r="BE3" s="77" t="inlineStr">
        <is>
          <t>FUNDAMENTALS</t>
        </is>
      </c>
      <c r="BF3" s="42" t="n"/>
      <c r="BG3" s="42" t="n"/>
      <c r="BH3" s="42" t="n"/>
      <c r="BI3" s="42" t="n"/>
      <c r="BJ3" s="42" t="n"/>
      <c r="BK3" s="42" t="n"/>
      <c r="BL3" s="42" t="n"/>
      <c r="BM3" s="78" t="inlineStr">
        <is>
          <t>A / H</t>
        </is>
      </c>
      <c r="BN3" s="42" t="n"/>
      <c r="BO3" s="42" t="n"/>
      <c r="BP3" s="42" t="n"/>
      <c r="BQ3" s="42" t="n"/>
      <c r="BR3" s="42" t="n"/>
      <c r="BS3" s="42" t="n"/>
      <c r="BT3" s="42" t="n"/>
      <c r="BU3" s="79" t="inlineStr">
        <is>
          <t>BANKS &amp; DOCS</t>
        </is>
      </c>
      <c r="BV3" s="42" t="n"/>
      <c r="BW3" s="42" t="n"/>
      <c r="BX3" s="42" t="n"/>
      <c r="BY3" s="42" t="n"/>
      <c r="BZ3" s="42" t="n"/>
      <c r="CA3" s="42" t="n"/>
      <c r="CB3" s="77" t="inlineStr">
        <is>
          <t>NOTES</t>
        </is>
      </c>
      <c r="CC3" s="42" t="n"/>
    </row>
    <row r="4" ht="48" customHeight="1">
      <c r="A4" s="81" t="inlineStr">
        <is>
          <t>Code</t>
        </is>
      </c>
      <c r="B4" s="81" t="inlineStr">
        <is>
          <t>Name</t>
        </is>
      </c>
      <c r="C4" s="81" t="inlineStr">
        <is>
          <t>Name (CN)</t>
        </is>
      </c>
      <c r="D4" s="81" t="inlineStr">
        <is>
          <t>Sector</t>
        </is>
      </c>
      <c r="E4" s="81" t="inlineStr">
        <is>
          <t>Subsector</t>
        </is>
      </c>
      <c r="F4" s="81" t="inlineStr">
        <is>
          <t>Industry (AAStocks)</t>
        </is>
      </c>
      <c r="G4" s="81" t="inlineStr">
        <is>
          <t>Regime</t>
        </is>
      </c>
      <c r="H4" s="81" t="inlineStr">
        <is>
          <t>IPO date</t>
        </is>
      </c>
      <c r="I4" s="81" t="inlineStr">
        <is>
          <t>Deal size (HK$m)</t>
        </is>
      </c>
      <c r="J4" s="81" t="inlineStr">
        <is>
          <t>Size basis</t>
        </is>
      </c>
      <c r="K4" s="81" t="inlineStr">
        <is>
          <t>Range low (HK$)</t>
        </is>
      </c>
      <c r="L4" s="81" t="inlineStr">
        <is>
          <t>Max/cap (HK$)</t>
        </is>
      </c>
      <c r="M4" s="81" t="inlineStr">
        <is>
          <t>Final px (HK$)</t>
        </is>
      </c>
      <c r="N4" s="81" t="inlineStr">
        <is>
          <t>Priced at cap</t>
        </is>
      </c>
      <c r="O4" s="81" t="inlineStr">
        <is>
          <t>% of cap</t>
        </is>
      </c>
      <c r="P4" s="81" t="inlineStr">
        <is>
          <t>Priced in range %</t>
        </is>
      </c>
      <c r="Q4" s="81" t="inlineStr">
        <is>
          <t>Mkt cap at IPO (HK$m)</t>
        </is>
      </c>
      <c r="R4" s="81" t="inlineStr">
        <is>
          <t>Mkt cap basis</t>
        </is>
      </c>
      <c r="S4" s="81" t="inlineStr">
        <is>
          <t>Public sub (x)</t>
        </is>
      </c>
      <c r="T4" s="81" t="inlineStr">
        <is>
          <t>Intl sub (x)</t>
        </is>
      </c>
      <c r="U4" s="81" t="inlineStr">
        <is>
          <t>Cornerstone (% of offer)</t>
        </is>
      </c>
      <c r="V4" s="81" t="inlineStr">
        <is>
          <t>Intl placees</t>
        </is>
      </c>
      <c r="W4" s="81" t="inlineStr">
        <is>
          <t>Public alloc % (final)</t>
        </is>
      </c>
      <c r="X4" s="81" t="inlineStr">
        <is>
          <t>Clawback</t>
        </is>
      </c>
      <c r="Y4" s="81" t="inlineStr">
        <is>
          <t>Eff. free float (HK$m)</t>
        </is>
      </c>
      <c r="Z4" s="81" t="inlineStr">
        <is>
          <t>Eff. free float (shares)</t>
        </is>
      </c>
      <c r="AA4" s="81" t="inlineStr">
        <is>
          <t>Eff. free float (% of cap)</t>
        </is>
      </c>
      <c r="AB4" s="81" t="inlineStr">
        <is>
          <t>Cornerstone investors</t>
        </is>
      </c>
      <c r="AC4" s="81" t="inlineStr">
        <is>
          <t>CS keys</t>
        </is>
      </c>
      <c r="AD4" s="81" t="inlineStr">
        <is>
          <t>Greenshoe size (%)</t>
        </is>
      </c>
      <c r="AE4" s="81" t="inlineStr">
        <is>
          <t>Shoe outcome (final)</t>
        </is>
      </c>
      <c r="AF4" s="81" t="inlineStr">
        <is>
          <t>Shoe ends (filed)</t>
        </is>
      </c>
      <c r="AG4" s="81" t="inlineStr">
        <is>
          <t>Stabilising manager</t>
        </is>
      </c>
      <c r="AH4" s="81" t="inlineStr">
        <is>
          <t>SM key</t>
        </is>
      </c>
      <c r="AI4" s="81" t="inlineStr">
        <is>
          <t>Grey mkt % vs offer</t>
        </is>
      </c>
      <c r="AJ4" s="81" t="inlineStr">
        <is>
          <t>Day-1</t>
        </is>
      </c>
      <c r="AK4" s="81" t="inlineStr">
        <is>
          <t>Benchmark index Day-1</t>
        </is>
      </c>
      <c r="AL4" s="81" t="inlineStr">
        <is>
          <t>Day-1 open pop</t>
        </is>
      </c>
      <c r="AM4" s="82" t="inlineStr">
        <is>
          <t>Day-1 open to close</t>
        </is>
      </c>
      <c r="AN4" s="81" t="inlineStr">
        <is>
          <t>Day-1 vol / retail float (x)</t>
        </is>
      </c>
      <c r="AO4" s="81" t="inlineStr">
        <is>
          <t>Day-1 range %</t>
        </is>
      </c>
      <c r="AP4" s="81" t="inlineStr">
        <is>
          <t>1-week</t>
        </is>
      </c>
      <c r="AQ4" s="81" t="inlineStr">
        <is>
          <t>1-month</t>
        </is>
      </c>
      <c r="AR4" s="81" t="inlineStr">
        <is>
          <t>3-month</t>
        </is>
      </c>
      <c r="AS4" s="82" t="inlineStr">
        <is>
          <t>1w ex-pop</t>
        </is>
      </c>
      <c r="AT4" s="82" t="inlineStr">
        <is>
          <t>1m ex-pop</t>
        </is>
      </c>
      <c r="AU4" s="82" t="inlineStr">
        <is>
          <t>3m ex-pop</t>
        </is>
      </c>
      <c r="AV4" s="81" t="inlineStr">
        <is>
          <t>Alpha 1w vs index</t>
        </is>
      </c>
      <c r="AW4" s="81" t="inlineStr">
        <is>
          <t>Alpha 1m vs index</t>
        </is>
      </c>
      <c r="AX4" s="81" t="inlineStr">
        <is>
          <t>Alpha 3m vs index</t>
        </is>
      </c>
      <c r="AY4" s="82" t="inlineStr">
        <is>
          <t>Alpha 1m ex-pop</t>
        </is>
      </c>
      <c r="AZ4" s="81" t="inlineStr">
        <is>
          <t>Index, IPO to 1m</t>
        </is>
      </c>
      <c r="BA4" s="81" t="inlineStr">
        <is>
          <t>Index, day-1 to 1m</t>
        </is>
      </c>
      <c r="BB4" s="81" t="inlineStr">
        <is>
          <t>Benchmark</t>
        </is>
      </c>
      <c r="BC4" s="81" t="inlineStr">
        <is>
          <t>Since IPO</t>
        </is>
      </c>
      <c r="BD4" s="81" t="inlineStr">
        <is>
          <t>Prices as of</t>
        </is>
      </c>
      <c r="BE4" s="81" t="inlineStr">
        <is>
          <t>Latest FY rev (HK$m)</t>
        </is>
      </c>
      <c r="BF4" s="81" t="inlineStr">
        <is>
          <t>Latest FY NI (HK$m)</t>
        </is>
      </c>
      <c r="BG4" s="81" t="inlineStr">
        <is>
          <t>Profitable</t>
        </is>
      </c>
      <c r="BH4" s="81" t="inlineStr">
        <is>
          <t>P/E at IPO</t>
        </is>
      </c>
      <c r="BI4" s="81" t="inlineStr">
        <is>
          <t>P/E at IPO (BBG)</t>
        </is>
      </c>
      <c r="BJ4" s="81" t="inlineStr">
        <is>
          <t>P/E today (BBG)</t>
        </is>
      </c>
      <c r="BK4" s="81" t="inlineStr">
        <is>
          <t>P/S at IPO</t>
        </is>
      </c>
      <c r="BL4" s="81" t="inlineStr">
        <is>
          <t>P/S today (BBG)</t>
        </is>
      </c>
      <c r="BM4" s="81" t="inlineStr">
        <is>
          <t>A/H pair</t>
        </is>
      </c>
      <c r="BN4" s="81" t="inlineStr">
        <is>
          <t>A-share code</t>
        </is>
      </c>
      <c r="BO4" s="81" t="inlineStr">
        <is>
          <t>A prem vs H at IPO</t>
        </is>
      </c>
      <c r="BP4" s="81" t="inlineStr">
        <is>
          <t>A close used (HK$)</t>
        </is>
      </c>
      <c r="BQ4" s="81" t="inlineStr">
        <is>
          <t>A premium (today)</t>
        </is>
      </c>
      <c r="BR4" s="81" t="inlineStr">
        <is>
          <t>A-line mkt cap now (HK$m)</t>
        </is>
      </c>
      <c r="BS4" s="81" t="inlineStr">
        <is>
          <t>A P/E @H-IPO (BBG)</t>
        </is>
      </c>
      <c r="BT4" s="81" t="inlineStr">
        <is>
          <t>HSAHP @IPO (BBG)</t>
        </is>
      </c>
      <c r="BU4" s="81" t="inlineStr">
        <is>
          <t>Sponsors</t>
        </is>
      </c>
      <c r="BV4" s="81" t="inlineStr">
        <is>
          <t>Sponsors (AAStocks)</t>
        </is>
      </c>
      <c r="BW4" s="81" t="inlineStr">
        <is>
          <t>Bookrunners</t>
        </is>
      </c>
      <c r="BX4" s="81" t="inlineStr">
        <is>
          <t>Underwriters (AAStocks)</t>
        </is>
      </c>
      <c r="BY4" s="81" t="inlineStr">
        <is>
          <t>Prospectus</t>
        </is>
      </c>
      <c r="BZ4" s="81" t="inlineStr">
        <is>
          <t>Allotment result</t>
        </is>
      </c>
      <c r="CA4" s="81" t="inlineStr">
        <is>
          <t>Stabilisation notice</t>
        </is>
      </c>
      <c r="CB4" s="81" t="inlineStr">
        <is>
          <t>Valuation notes</t>
        </is>
      </c>
      <c r="CC4" s="81" t="inlineStr">
        <is>
          <t>Notes on blanks</t>
        </is>
      </c>
    </row>
    <row r="5" ht="22" customHeight="1">
      <c r="A5" s="107" t="inlineStr">
        <is>
          <t>9600</t>
        </is>
      </c>
      <c r="B5" s="108" t="inlineStr">
        <is>
          <t>NEWLINK TECH</t>
        </is>
      </c>
      <c r="C5" s="108" t="inlineStr">
        <is>
          <t>新紐科技</t>
        </is>
      </c>
      <c r="D5" s="108" t="inlineStr">
        <is>
          <t>Healthcare</t>
        </is>
      </c>
      <c r="E5" s="108" t="inlineStr">
        <is>
          <t>Digital health</t>
        </is>
      </c>
      <c r="F5" s="108" t="inlineStr">
        <is>
          <t>IT Consulting &amp; Other Services</t>
        </is>
      </c>
      <c r="G5" s="108" t="inlineStr">
        <is>
          <t>Standard</t>
        </is>
      </c>
      <c r="H5" s="109" t="n">
        <v>44202</v>
      </c>
      <c r="I5" s="110" t="n">
        <v>872</v>
      </c>
      <c r="J5" s="108" t="inlineStr">
        <is>
          <t>gross (price x shares)</t>
        </is>
      </c>
      <c r="K5" s="111" t="n">
        <v>3.06</v>
      </c>
      <c r="L5" s="111" t="n">
        <v>4.36</v>
      </c>
      <c r="M5" s="111" t="n">
        <v>4.36</v>
      </c>
      <c r="N5" s="108" t="inlineStr">
        <is>
          <t>Y</t>
        </is>
      </c>
      <c r="O5" s="112" t="n">
        <v>100</v>
      </c>
      <c r="P5" s="112" t="n">
        <v>100</v>
      </c>
      <c r="Q5" s="113" t="n">
        <v>3488</v>
      </c>
      <c r="R5" s="108" t="inlineStr">
        <is>
          <t>aastocks:上市市值 at the struck price</t>
        </is>
      </c>
      <c r="S5" s="114" t="n">
        <v>446.57</v>
      </c>
      <c r="T5" s="115" t="n">
        <v>2.4</v>
      </c>
      <c r="U5" s="116" t="n">
        <v>25.8</v>
      </c>
      <c r="V5" s="117" t="n">
        <v>302</v>
      </c>
      <c r="W5" s="118" t="n"/>
      <c r="X5" s="119" t="n"/>
      <c r="Y5" s="113" t="n">
        <v>647.02</v>
      </c>
      <c r="Z5" s="113" t="n">
        <v>148400000</v>
      </c>
      <c r="AA5" s="112" t="n">
        <v>18.55</v>
      </c>
      <c r="AB5" s="108" t="inlineStr">
        <is>
          <t>Caitong Fund Management Co., Ltd; Hony Goldstream Special Opportunity Fund I</t>
        </is>
      </c>
      <c r="AC5" s="108" t="inlineStr">
        <is>
          <t>caitong;hony</t>
        </is>
      </c>
      <c r="AD5" s="112" t="n">
        <v>10</v>
      </c>
      <c r="AE5" s="108" t="inlineStr">
        <is>
          <t>lapsed</t>
        </is>
      </c>
      <c r="AF5" s="119" t="n"/>
      <c r="AG5" s="108" t="inlineStr">
        <is>
          <t>Mont Avenir Capital Limited</t>
        </is>
      </c>
      <c r="AH5" s="108" t="inlineStr">
        <is>
          <t>Mont Avenir</t>
        </is>
      </c>
      <c r="AI5" s="120" t="n">
        <v>0.92</v>
      </c>
      <c r="AJ5" s="121" t="n">
        <v>-5.96</v>
      </c>
      <c r="AK5" s="121" t="n">
        <v>-0.11</v>
      </c>
      <c r="AL5" s="121" t="n">
        <v>-5.5</v>
      </c>
      <c r="AM5" s="121" t="n">
        <v>-0.49</v>
      </c>
      <c r="AN5" s="122" t="n"/>
      <c r="AO5" s="112" t="n">
        <v>10.19</v>
      </c>
      <c r="AP5" s="121" t="n">
        <v>-11.24</v>
      </c>
      <c r="AQ5" s="121" t="n">
        <v>-27.98</v>
      </c>
      <c r="AR5" s="121" t="n">
        <v>-50.23</v>
      </c>
      <c r="AS5" s="121" t="n">
        <v>-5.61</v>
      </c>
      <c r="AT5" s="121" t="n">
        <v>-23.42</v>
      </c>
      <c r="AU5" s="121" t="n">
        <v>-47.08</v>
      </c>
      <c r="AV5" s="121" t="n">
        <v>-14.15</v>
      </c>
      <c r="AW5" s="121" t="n">
        <v>-41.54</v>
      </c>
      <c r="AX5" s="121" t="n">
        <v>-46.95</v>
      </c>
      <c r="AY5" s="121" t="n">
        <v>-37.1</v>
      </c>
      <c r="AZ5" s="121" t="n">
        <v>13.56</v>
      </c>
      <c r="BA5" s="121" t="n">
        <v>13.68</v>
      </c>
      <c r="BB5" s="108" t="inlineStr">
        <is>
          <t>China Biotech ETF (HS biotech proxy)</t>
        </is>
      </c>
      <c r="BC5" s="121" t="n">
        <v>-97</v>
      </c>
      <c r="BD5" s="109" t="n">
        <v>46297</v>
      </c>
      <c r="BE5" s="110" t="n">
        <v>163.9</v>
      </c>
      <c r="BF5" s="113" t="n">
        <v>36.4</v>
      </c>
      <c r="BG5" s="108" t="inlineStr">
        <is>
          <t>Y</t>
        </is>
      </c>
      <c r="BH5" s="123" t="n">
        <v>95.8</v>
      </c>
      <c r="BI5" s="122" t="n"/>
      <c r="BJ5" s="122" t="n"/>
      <c r="BK5" s="123" t="n">
        <v>21.3</v>
      </c>
      <c r="BL5" s="124">
        <f>IF('BBG Verify'!S5="","not filed; run on terminal",'BBG Verify'!S5)</f>
        <v/>
      </c>
      <c r="BM5" s="125" t="inlineStr">
        <is>
          <t>N</t>
        </is>
      </c>
      <c r="BN5" s="126">
        <f>IF('BBG Verify'!K5="","not filed; run on terminal",'BBG Verify'!K5)</f>
        <v/>
      </c>
      <c r="BO5" s="108" t="inlineStr">
        <is>
          <t>N/A</t>
        </is>
      </c>
      <c r="BP5" s="108" t="inlineStr">
        <is>
          <t>N/A</t>
        </is>
      </c>
      <c r="BQ5" s="108" t="inlineStr">
        <is>
          <t>N/A</t>
        </is>
      </c>
      <c r="BR5" s="108" t="inlineStr">
        <is>
          <t>N/A</t>
        </is>
      </c>
      <c r="BS5" s="108" t="inlineStr">
        <is>
          <t>N/A</t>
        </is>
      </c>
      <c r="BT5" s="108" t="inlineStr">
        <is>
          <t>N/A</t>
        </is>
      </c>
      <c r="BU5" s="125" t="inlineStr">
        <is>
          <t>Mont Avenir Capital Limited</t>
        </is>
      </c>
      <c r="BV5" s="108" t="inlineStr">
        <is>
          <t>Mont Avenir Capital Limited</t>
        </is>
      </c>
      <c r="BW5" s="108" t="inlineStr">
        <is>
          <t>Mont Avenir Capital Limited; SPDB International Capital Limited; Futu Securities International (Hong Kong) Limited; AMTD Global Markets Limited; China Merchants Securities (HK) Co., Limited</t>
        </is>
      </c>
      <c r="BX5" s="108" t="inlineStr">
        <is>
          <t>AMTD Global Markets Limited; China Merchants Securities (HK) Company Limited; Futu Securities International (Hong Kong) Limited; Mont Avenir Capital Limited; SPDB International Capital Limited</t>
        </is>
      </c>
      <c r="BY5" s="127">
        <f>HYPERLINK("https://www1.hkexnews.hk/listedco/listconews/sehk/2020/1221/2020122100005.pdf","prospectus")</f>
        <v/>
      </c>
      <c r="BZ5" s="127">
        <f>HYPERLINK("https://www1.hkexnews.hk/listedco/listconews/sehk/2021/0105/2021010500020.htm","allotment")</f>
        <v/>
      </c>
      <c r="CA5" s="127">
        <f>HYPERLINK("https://www1.hkexnews.hk/listedco/listconews/sehk/2021/0124/2021012400011.pdf","stabilisation")</f>
        <v/>
      </c>
      <c r="CB5" s="128" t="n"/>
      <c r="CC5" s="108" t="inlineStr">
        <is>
          <t>greenshoe: outcome published; expiry date not in the notice; market cap: published listing cap used; the estimate from deal size / offer % of enlarged capital disagreed; allocation: allocation table not in this notice's format (older prose announcement); day-1 tape: volume on file; the retail multiple needs the final public split, which this notice does not state</t>
        </is>
      </c>
    </row>
    <row r="6" ht="22" customHeight="1">
      <c r="A6" s="107" t="inlineStr">
        <is>
          <t>1855</t>
        </is>
      </c>
      <c r="B6" s="108" t="inlineStr">
        <is>
          <t>ZONBONG ENVIRO</t>
        </is>
      </c>
      <c r="C6" s="108" t="inlineStr">
        <is>
          <t>中慶股份</t>
        </is>
      </c>
      <c r="D6" s="108" t="inlineStr">
        <is>
          <t>Industrials</t>
        </is>
      </c>
      <c r="E6" s="108" t="inlineStr">
        <is>
          <t>Construction / engineering</t>
        </is>
      </c>
      <c r="F6" s="108" t="inlineStr">
        <is>
          <t>Building Construction</t>
        </is>
      </c>
      <c r="G6" s="108" t="inlineStr">
        <is>
          <t>Standard</t>
        </is>
      </c>
      <c r="H6" s="109" t="n">
        <v>44202</v>
      </c>
      <c r="I6" s="110" t="n">
        <v>137.5</v>
      </c>
      <c r="J6" s="108" t="inlineStr">
        <is>
          <t>gross (price x shares)</t>
        </is>
      </c>
      <c r="K6" s="129" t="n"/>
      <c r="L6" s="111" t="n">
        <v>2</v>
      </c>
      <c r="M6" s="111" t="n">
        <v>2</v>
      </c>
      <c r="N6" s="108" t="inlineStr">
        <is>
          <t>Y</t>
        </is>
      </c>
      <c r="O6" s="112" t="n">
        <v>100</v>
      </c>
      <c r="P6" s="118" t="n"/>
      <c r="Q6" s="113" t="n">
        <v>594</v>
      </c>
      <c r="R6" s="108" t="inlineStr">
        <is>
          <t>aastocks:上市市值 at the struck price</t>
        </is>
      </c>
      <c r="S6" s="114" t="n">
        <v>36.25</v>
      </c>
      <c r="T6" s="115" t="n">
        <v>1.01</v>
      </c>
      <c r="U6" s="116" t="n">
        <v>0</v>
      </c>
      <c r="V6" s="117" t="n">
        <v>60</v>
      </c>
      <c r="W6" s="118" t="n"/>
      <c r="X6" s="119" t="n"/>
      <c r="Y6" s="113" t="n">
        <v>137.5</v>
      </c>
      <c r="Z6" s="113" t="n">
        <v>68750000</v>
      </c>
      <c r="AA6" s="112" t="n">
        <v>23.15</v>
      </c>
      <c r="AB6" s="108" t="inlineStr">
        <is>
          <t>none — no cornerstone tranche</t>
        </is>
      </c>
      <c r="AC6" s="108" t="inlineStr">
        <is>
          <t>none</t>
        </is>
      </c>
      <c r="AD6" s="118" t="n"/>
      <c r="AE6" s="108" t="inlineStr">
        <is>
          <t>lapsed</t>
        </is>
      </c>
      <c r="AF6" s="119" t="n"/>
      <c r="AG6" s="108" t="inlineStr">
        <is>
          <t>China Tonghai Securities Limited</t>
        </is>
      </c>
      <c r="AH6" s="108" t="inlineStr">
        <is>
          <t>China Tonghai</t>
        </is>
      </c>
      <c r="AI6" s="120" t="n">
        <v>1</v>
      </c>
      <c r="AJ6" s="121" t="n">
        <v>2.5</v>
      </c>
      <c r="AK6" s="121" t="n">
        <v>0.91</v>
      </c>
      <c r="AL6" s="121" t="n">
        <v>-0.5</v>
      </c>
      <c r="AM6" s="121" t="n">
        <v>3.02</v>
      </c>
      <c r="AN6" s="122" t="n"/>
      <c r="AO6" s="112" t="n">
        <v>17.59</v>
      </c>
      <c r="AP6" s="121" t="n">
        <v>-5</v>
      </c>
      <c r="AQ6" s="121" t="n">
        <v>-5</v>
      </c>
      <c r="AR6" s="121" t="n">
        <v>3.5</v>
      </c>
      <c r="AS6" s="121" t="n">
        <v>-7.32</v>
      </c>
      <c r="AT6" s="121" t="n">
        <v>-7.32</v>
      </c>
      <c r="AU6" s="121" t="n">
        <v>0.98</v>
      </c>
      <c r="AV6" s="121" t="n">
        <v>-5.71</v>
      </c>
      <c r="AW6" s="121" t="n">
        <v>-15.56</v>
      </c>
      <c r="AX6" s="121" t="n">
        <v>3.47</v>
      </c>
      <c r="AY6" s="121" t="n">
        <v>-16.88</v>
      </c>
      <c r="AZ6" s="121" t="n">
        <v>10.56</v>
      </c>
      <c r="BA6" s="121" t="n">
        <v>9.56</v>
      </c>
      <c r="BB6" s="108" t="inlineStr">
        <is>
          <t>Hang Seng Commerce &amp; Industry sub-index</t>
        </is>
      </c>
      <c r="BC6" s="121" t="n">
        <v>-77.8</v>
      </c>
      <c r="BD6" s="109" t="n">
        <v>46297</v>
      </c>
      <c r="BE6" s="110" t="n">
        <v>987.2</v>
      </c>
      <c r="BF6" s="113" t="n">
        <v>54.4</v>
      </c>
      <c r="BG6" s="108" t="inlineStr">
        <is>
          <t>Y</t>
        </is>
      </c>
      <c r="BH6" s="123" t="n">
        <v>10.9</v>
      </c>
      <c r="BI6" s="122" t="n"/>
      <c r="BJ6" s="123" t="n">
        <v>5.7</v>
      </c>
      <c r="BK6" s="123" t="n">
        <v>0.6</v>
      </c>
      <c r="BL6" s="124">
        <f>IF('BBG Verify'!S6="","not filed; run on terminal",'BBG Verify'!S6)</f>
        <v/>
      </c>
      <c r="BM6" s="125" t="inlineStr">
        <is>
          <t>N</t>
        </is>
      </c>
      <c r="BN6" s="126">
        <f>IF('BBG Verify'!K6="","not filed; run on terminal",'BBG Verify'!K6)</f>
        <v/>
      </c>
      <c r="BO6" s="108" t="inlineStr">
        <is>
          <t>N/A</t>
        </is>
      </c>
      <c r="BP6" s="108" t="inlineStr">
        <is>
          <t>N/A</t>
        </is>
      </c>
      <c r="BQ6" s="108" t="inlineStr">
        <is>
          <t>N/A</t>
        </is>
      </c>
      <c r="BR6" s="108" t="inlineStr">
        <is>
          <t>N/A</t>
        </is>
      </c>
      <c r="BS6" s="108" t="inlineStr">
        <is>
          <t>N/A</t>
        </is>
      </c>
      <c r="BT6" s="108" t="inlineStr">
        <is>
          <t>N/A</t>
        </is>
      </c>
      <c r="BU6" s="125" t="inlineStr">
        <is>
          <t>China Tonghai Capital Limited</t>
        </is>
      </c>
      <c r="BV6" s="108" t="inlineStr">
        <is>
          <t>China Tonghai Capital Limited</t>
        </is>
      </c>
      <c r="BW6" s="108" t="inlineStr">
        <is>
          <t>China Tonghai Securities Limited; CMBC Securities Company Limited; Southwest Securities (HK) Brokerage Limited; SPDB International Capital Limited</t>
        </is>
      </c>
      <c r="BX6" s="108" t="inlineStr">
        <is>
          <t>Central China International Capital Limited; China Tonghai Securities Limited; CMBC Securities Company Limited; Elstone Securities Limited; Eddid Securities and Futures Limited; Realord Asia Pacific Securities Limited; Shenwan Hongyuan Capital (H.K.) Limited; SPDB International Capital Limited; Seazen Resources Securities Limited; Southwest Securities (HK) Brokerage Limited</t>
        </is>
      </c>
      <c r="BY6" s="127">
        <f>HYPERLINK("https://www1.hkexnews.hk/listedco/listconews/sehk/2020/1222/2020122200050.htm","prospectus")</f>
        <v/>
      </c>
      <c r="BZ6" s="127">
        <f>HYPERLINK("https://www1.hkexnews.hk/listedco/listconews/sehk/2021/0105/2021010500038.htm","allotment")</f>
        <v/>
      </c>
      <c r="CA6" s="127">
        <f>HYPERLINK("https://www1.hkexnews.hk/listedco/listconews/sehk/2021/0203/2021020300669.pdf","stabilisation")</f>
        <v/>
      </c>
      <c r="CB6" s="128" t="n"/>
      <c r="CC6" s="108" t="inlineStr">
        <is>
          <t>greenshoe: outcome published; expiry date not in the notice; price range: fixed-price offering (no indicative range); range low: maximum offer price only, no floor published; cornerstone list: no cornerstone tranche; greenshoe size: no over-allotment option; allocation: allocation table not in this notice's format (older prose announcement); day-1 tape: volume on file; the retail multiple needs the final public split, which this notice does not state</t>
        </is>
      </c>
    </row>
    <row r="7" ht="22" customHeight="1">
      <c r="A7" s="107" t="inlineStr">
        <is>
          <t>1440</t>
        </is>
      </c>
      <c r="B7" s="108" t="inlineStr">
        <is>
          <t>DEYUN HOLDING</t>
        </is>
      </c>
      <c r="C7" s="108" t="inlineStr">
        <is>
          <t>應星控股</t>
        </is>
      </c>
      <c r="D7" s="108" t="inlineStr">
        <is>
          <t>Industrials</t>
        </is>
      </c>
      <c r="E7" s="108" t="inlineStr">
        <is>
          <t>Construction / engineering</t>
        </is>
      </c>
      <c r="F7" s="108" t="inlineStr">
        <is>
          <t>Textiles</t>
        </is>
      </c>
      <c r="G7" s="108" t="inlineStr">
        <is>
          <t>Standard</t>
        </is>
      </c>
      <c r="H7" s="109" t="n">
        <v>44209</v>
      </c>
      <c r="I7" s="110" t="n">
        <v>126</v>
      </c>
      <c r="J7" s="108" t="inlineStr">
        <is>
          <t>gross (price x shares)</t>
        </is>
      </c>
      <c r="K7" s="111" t="n">
        <v>0.4</v>
      </c>
      <c r="L7" s="111" t="n">
        <v>0.5</v>
      </c>
      <c r="M7" s="111" t="n">
        <v>0.4</v>
      </c>
      <c r="N7" s="108" t="inlineStr">
        <is>
          <t>N</t>
        </is>
      </c>
      <c r="O7" s="112" t="n">
        <v>80</v>
      </c>
      <c r="P7" s="112" t="n">
        <v>0</v>
      </c>
      <c r="Q7" s="113" t="n">
        <v>560</v>
      </c>
      <c r="R7" s="108" t="inlineStr">
        <is>
          <t>derived:deal size / offer % of enlarged capital</t>
        </is>
      </c>
      <c r="S7" s="114" t="n">
        <v>33.62</v>
      </c>
      <c r="T7" s="115" t="n">
        <v>0.96</v>
      </c>
      <c r="U7" s="116" t="n">
        <v>45.1</v>
      </c>
      <c r="V7" s="117" t="n">
        <v>218</v>
      </c>
      <c r="W7" s="112" t="n">
        <v>20</v>
      </c>
      <c r="X7" s="119" t="n"/>
      <c r="Y7" s="113" t="n">
        <v>69.17</v>
      </c>
      <c r="Z7" s="113" t="n">
        <v>172935000</v>
      </c>
      <c r="AA7" s="112" t="n">
        <v>12.35</v>
      </c>
      <c r="AB7" s="108" t="inlineStr">
        <is>
          <t>Cheng Hung Ping; Tam Yuk Ching Jenny; Tsai Chuen Sui Robert</t>
        </is>
      </c>
      <c r="AC7" s="108" t="inlineStr">
        <is>
          <t>cheng-hung;tam;tsai</t>
        </is>
      </c>
      <c r="AD7" s="112" t="n">
        <v>7.5</v>
      </c>
      <c r="AE7" s="119" t="n"/>
      <c r="AF7" s="108" t="inlineStr">
        <is>
          <t>2021-01-30</t>
        </is>
      </c>
      <c r="AG7" s="108" t="inlineStr">
        <is>
          <t>Dakin Securities Limited</t>
        </is>
      </c>
      <c r="AH7" s="108" t="inlineStr">
        <is>
          <t>Dakin</t>
        </is>
      </c>
      <c r="AI7" s="120" t="n">
        <v>7.5</v>
      </c>
      <c r="AJ7" s="121" t="n">
        <v>3.75</v>
      </c>
      <c r="AK7" s="121" t="n">
        <v>0.09</v>
      </c>
      <c r="AL7" s="121" t="n">
        <v>5</v>
      </c>
      <c r="AM7" s="121" t="n">
        <v>-1.19</v>
      </c>
      <c r="AN7" s="123" t="n">
        <v>1.52</v>
      </c>
      <c r="AO7" s="112" t="n">
        <v>27.38</v>
      </c>
      <c r="AP7" s="121" t="n">
        <v>25</v>
      </c>
      <c r="AQ7" s="121" t="n">
        <v>60</v>
      </c>
      <c r="AR7" s="121" t="n">
        <v>22.5</v>
      </c>
      <c r="AS7" s="121" t="n">
        <v>20.48</v>
      </c>
      <c r="AT7" s="121" t="n">
        <v>54.22</v>
      </c>
      <c r="AU7" s="121" t="n">
        <v>18.07</v>
      </c>
      <c r="AV7" s="121" t="n">
        <v>15.11</v>
      </c>
      <c r="AW7" s="121" t="n">
        <v>45.86</v>
      </c>
      <c r="AX7" s="121" t="n">
        <v>20.13</v>
      </c>
      <c r="AY7" s="121" t="n">
        <v>40.18</v>
      </c>
      <c r="AZ7" s="121" t="n">
        <v>14.14</v>
      </c>
      <c r="BA7" s="121" t="n">
        <v>14.04</v>
      </c>
      <c r="BB7" s="108" t="inlineStr">
        <is>
          <t>Hang Seng Commerce &amp; Industry sub-index</t>
        </is>
      </c>
      <c r="BC7" s="121" t="n">
        <v>4750</v>
      </c>
      <c r="BD7" s="109" t="n">
        <v>46297</v>
      </c>
      <c r="BE7" s="110" t="n">
        <v>223.8</v>
      </c>
      <c r="BF7" s="113" t="n">
        <v>46</v>
      </c>
      <c r="BG7" s="108" t="inlineStr">
        <is>
          <t>Y</t>
        </is>
      </c>
      <c r="BH7" s="123" t="n">
        <v>12.2</v>
      </c>
      <c r="BI7" s="122" t="n"/>
      <c r="BJ7" s="122" t="n"/>
      <c r="BK7" s="123" t="n">
        <v>2.5</v>
      </c>
      <c r="BL7" s="124">
        <f>IF('BBG Verify'!S7="","not filed; run on terminal",'BBG Verify'!S7)</f>
        <v/>
      </c>
      <c r="BM7" s="125" t="inlineStr">
        <is>
          <t>N</t>
        </is>
      </c>
      <c r="BN7" s="126">
        <f>IF('BBG Verify'!K7="","not filed; run on terminal",'BBG Verify'!K7)</f>
        <v/>
      </c>
      <c r="BO7" s="108" t="inlineStr">
        <is>
          <t>N/A</t>
        </is>
      </c>
      <c r="BP7" s="108" t="inlineStr">
        <is>
          <t>N/A</t>
        </is>
      </c>
      <c r="BQ7" s="108" t="inlineStr">
        <is>
          <t>N/A</t>
        </is>
      </c>
      <c r="BR7" s="108" t="inlineStr">
        <is>
          <t>N/A</t>
        </is>
      </c>
      <c r="BS7" s="108" t="inlineStr">
        <is>
          <t>N/A</t>
        </is>
      </c>
      <c r="BT7" s="108" t="inlineStr">
        <is>
          <t>N/A</t>
        </is>
      </c>
      <c r="BU7" s="125" t="inlineStr">
        <is>
          <t>Dakin Capital Limited</t>
        </is>
      </c>
      <c r="BV7" s="108" t="inlineStr">
        <is>
          <t>Dakin Capital Limited</t>
        </is>
      </c>
      <c r="BW7" s="108" t="inlineStr">
        <is>
          <t>Dakin Securities Limited; BOCOM International Securities Limited</t>
        </is>
      </c>
      <c r="BX7" s="108" t="inlineStr">
        <is>
          <t>Beta International Securities Limited; CCB International Capital Limited; Dakin Securities Limited; I Win Securities Limited; Red Eagle Securities Limited; Yuzhou Financial Holdings Limited</t>
        </is>
      </c>
      <c r="BY7" s="127">
        <f>HYPERLINK("https://www1.hkexnews.hk/listedco/listconews/sehk/2020/1228/2020122800063.pdf","prospectus")</f>
        <v/>
      </c>
      <c r="BZ7" s="127">
        <f>HYPERLINK("https://www1.hkexnews.hk/listedco/listconews/sehk/2021/0112/2021011200008.htm","allotment")</f>
        <v/>
      </c>
      <c r="CA7" s="119" t="n"/>
      <c r="CB7" s="128" t="n"/>
      <c r="CC7" s="108" t="inlineStr">
        <is>
          <t>greenshoe: end-of-stabilisation notice not found; allocation: clawback line not in this notice; a 12-28% split is consistent with either a tier-1 clawback or a placing shortfall</t>
        </is>
      </c>
    </row>
    <row r="8" ht="22" customHeight="1">
      <c r="A8" s="107" t="inlineStr">
        <is>
          <t>2129</t>
        </is>
      </c>
      <c r="B8" s="108" t="inlineStr">
        <is>
          <t>LEGION CONSO</t>
        </is>
      </c>
      <c r="C8" s="108" t="inlineStr">
        <is>
          <t>LEGION CONSO</t>
        </is>
      </c>
      <c r="D8" s="108" t="inlineStr">
        <is>
          <t>Industrials</t>
        </is>
      </c>
      <c r="E8" s="108" t="inlineStr">
        <is>
          <t>Logistics</t>
        </is>
      </c>
      <c r="F8" s="108" t="inlineStr">
        <is>
          <t>Air Freight &amp; Logistics</t>
        </is>
      </c>
      <c r="G8" s="108" t="inlineStr">
        <is>
          <t>Standard</t>
        </is>
      </c>
      <c r="H8" s="109" t="n">
        <v>44209</v>
      </c>
      <c r="I8" s="110" t="n">
        <v>125</v>
      </c>
      <c r="J8" s="108" t="inlineStr">
        <is>
          <t>gross (price x shares)</t>
        </is>
      </c>
      <c r="K8" s="111" t="n">
        <v>0.4</v>
      </c>
      <c r="L8" s="111" t="n">
        <v>0.52</v>
      </c>
      <c r="M8" s="111" t="n">
        <v>0.4</v>
      </c>
      <c r="N8" s="108" t="inlineStr">
        <is>
          <t>N</t>
        </is>
      </c>
      <c r="O8" s="112" t="n">
        <v>76.90000000000001</v>
      </c>
      <c r="P8" s="112" t="n">
        <v>0</v>
      </c>
      <c r="Q8" s="113" t="n">
        <v>615.4</v>
      </c>
      <c r="R8" s="108" t="inlineStr">
        <is>
          <t>aastocks:上市市值 at the struck price</t>
        </is>
      </c>
      <c r="S8" s="114" t="n">
        <v>443.37</v>
      </c>
      <c r="T8" s="115" t="n">
        <v>1.5</v>
      </c>
      <c r="U8" s="116" t="n">
        <v>0</v>
      </c>
      <c r="V8" s="117" t="n">
        <v>90</v>
      </c>
      <c r="W8" s="118" t="n"/>
      <c r="X8" s="119" t="n"/>
      <c r="Y8" s="113" t="n">
        <v>125</v>
      </c>
      <c r="Z8" s="113" t="n">
        <v>312500000</v>
      </c>
      <c r="AA8" s="112" t="n">
        <v>20.31</v>
      </c>
      <c r="AB8" s="108" t="inlineStr">
        <is>
          <t>none — no cornerstone tranche</t>
        </is>
      </c>
      <c r="AC8" s="108" t="inlineStr">
        <is>
          <t>none</t>
        </is>
      </c>
      <c r="AD8" s="118" t="n"/>
      <c r="AE8" s="119" t="n"/>
      <c r="AF8" s="119" t="n"/>
      <c r="AG8" s="108" t="inlineStr">
        <is>
          <t>Alpha Financial Group Limited</t>
        </is>
      </c>
      <c r="AH8" s="108" t="inlineStr">
        <is>
          <t>Alpha</t>
        </is>
      </c>
      <c r="AI8" s="120" t="n">
        <v>27.5</v>
      </c>
      <c r="AJ8" s="121" t="n">
        <v>-12.5</v>
      </c>
      <c r="AK8" s="121" t="n">
        <v>0.09</v>
      </c>
      <c r="AL8" s="121" t="n">
        <v>15</v>
      </c>
      <c r="AM8" s="121" t="n">
        <v>-23.91</v>
      </c>
      <c r="AN8" s="122" t="n"/>
      <c r="AO8" s="112" t="n">
        <v>32.61</v>
      </c>
      <c r="AP8" s="121" t="n">
        <v>-31.25</v>
      </c>
      <c r="AQ8" s="121" t="n">
        <v>-42</v>
      </c>
      <c r="AR8" s="121" t="n">
        <v>-55</v>
      </c>
      <c r="AS8" s="121" t="n">
        <v>-21.43</v>
      </c>
      <c r="AT8" s="121" t="n">
        <v>-33.71</v>
      </c>
      <c r="AU8" s="121" t="n">
        <v>-48.57</v>
      </c>
      <c r="AV8" s="121" t="n">
        <v>-41.14</v>
      </c>
      <c r="AW8" s="121" t="n">
        <v>-56.14</v>
      </c>
      <c r="AX8" s="121" t="n">
        <v>-57.37</v>
      </c>
      <c r="AY8" s="121" t="n">
        <v>-47.75</v>
      </c>
      <c r="AZ8" s="121" t="n">
        <v>14.14</v>
      </c>
      <c r="BA8" s="121" t="n">
        <v>14.04</v>
      </c>
      <c r="BB8" s="108" t="inlineStr">
        <is>
          <t>Hang Seng Commerce &amp; Industry sub-index</t>
        </is>
      </c>
      <c r="BC8" s="121" t="n">
        <v>-30</v>
      </c>
      <c r="BD8" s="109" t="n">
        <v>46297</v>
      </c>
      <c r="BE8" s="110" t="n">
        <v>248.9</v>
      </c>
      <c r="BF8" s="113" t="n">
        <v>34.5</v>
      </c>
      <c r="BG8" s="108" t="inlineStr">
        <is>
          <t>Y</t>
        </is>
      </c>
      <c r="BH8" s="123" t="n">
        <v>17.8</v>
      </c>
      <c r="BI8" s="122" t="n"/>
      <c r="BJ8" s="122" t="n"/>
      <c r="BK8" s="123" t="n">
        <v>2.5</v>
      </c>
      <c r="BL8" s="124">
        <f>IF('BBG Verify'!S8="","not filed; run on terminal",'BBG Verify'!S8)</f>
        <v/>
      </c>
      <c r="BM8" s="125" t="inlineStr">
        <is>
          <t>N</t>
        </is>
      </c>
      <c r="BN8" s="126">
        <f>IF('BBG Verify'!K8="","not filed; run on terminal",'BBG Verify'!K8)</f>
        <v/>
      </c>
      <c r="BO8" s="108" t="inlineStr">
        <is>
          <t>N/A</t>
        </is>
      </c>
      <c r="BP8" s="108" t="inlineStr">
        <is>
          <t>N/A</t>
        </is>
      </c>
      <c r="BQ8" s="108" t="inlineStr">
        <is>
          <t>N/A</t>
        </is>
      </c>
      <c r="BR8" s="108" t="inlineStr">
        <is>
          <t>N/A</t>
        </is>
      </c>
      <c r="BS8" s="108" t="inlineStr">
        <is>
          <t>N/A</t>
        </is>
      </c>
      <c r="BT8" s="108" t="inlineStr">
        <is>
          <t>N/A</t>
        </is>
      </c>
      <c r="BU8" s="125" t="inlineStr">
        <is>
          <t>Ample Capital Limited</t>
        </is>
      </c>
      <c r="BV8" s="108" t="inlineStr">
        <is>
          <t>Ample Capital Limited</t>
        </is>
      </c>
      <c r="BW8" s="108" t="inlineStr">
        <is>
          <t>and Public Offer Underwriter Alpha Financial Group Limited; and Public Offer Underwriters Elstone Securities Limited; AFG Securities Limited; Ample Capital Limited; BOCOM International Securities Limited; CMBC Securities Company Limited; First Fidelity Capital (International) Limited; Get Nice Securities Limited; Head &amp; Shoulders Securities Limited; Plutus Securities Limited; Seazen Resources Securities Limited; Sinomax Securities Limited</t>
        </is>
      </c>
      <c r="BX8" s="108" t="inlineStr">
        <is>
          <t>Ample Capital Limited; Alpha Financial Group Limited; AFG Securities Limited; Beta International Securities Limited; CIS Securities Asset Management Limited; CMBC Securities Company Limited; Elstone Securities Limited; First Fidelity Capital (International) Limited; Get Nice Securities Limited; Head &amp; Shoulders Securities Limited; Plutus Securities Limited; Sinomax Securities Limited</t>
        </is>
      </c>
      <c r="BY8" s="127">
        <f>HYPERLINK("https://www1.hkexnews.hk/listedco/listconews/sehk/2020/1230/2020123000007.pdf","prospectus")</f>
        <v/>
      </c>
      <c r="BZ8" s="127">
        <f>HYPERLINK("https://www1.hkexnews.hk/listedco/listconews/sehk/2021/0112/2021011200024.htm","allotment")</f>
        <v/>
      </c>
      <c r="CA8" s="119" t="n"/>
      <c r="CB8" s="128" t="n"/>
      <c r="CC8" s="108" t="inlineStr">
        <is>
          <t>greenshoe: no over-allotment option; sponsor: English name not in the filing; AAStocks 保薦人 shown; cornerstone list: no cornerstone tranche; greenshoe size: no over-allotment option; allocation: allocation table not in this notice's format (older prose announcement); day-1 tape: volume on file; the retail multiple needs the final public split, which this notice does not state</t>
        </is>
      </c>
    </row>
    <row r="9" ht="22" customHeight="1">
      <c r="A9" s="107" t="inlineStr">
        <is>
          <t>2153</t>
        </is>
      </c>
      <c r="B9" s="108" t="inlineStr">
        <is>
          <t>TAT HONG EQUIP</t>
        </is>
      </c>
      <c r="C9" s="108" t="inlineStr">
        <is>
          <t>達豐設備</t>
        </is>
      </c>
      <c r="D9" s="108" t="inlineStr">
        <is>
          <t>Industrials</t>
        </is>
      </c>
      <c r="E9" s="108" t="inlineStr">
        <is>
          <t>Capital goods / machinery</t>
        </is>
      </c>
      <c r="F9" s="108" t="inlineStr">
        <is>
          <t>Construction &amp; Engineering</t>
        </is>
      </c>
      <c r="G9" s="108" t="inlineStr">
        <is>
          <t>Standard</t>
        </is>
      </c>
      <c r="H9" s="109" t="n">
        <v>44209</v>
      </c>
      <c r="I9" s="110" t="n">
        <v>644.8</v>
      </c>
      <c r="J9" s="108" t="inlineStr">
        <is>
          <t>gross (price x shares)</t>
        </is>
      </c>
      <c r="K9" s="111" t="n">
        <v>1.5</v>
      </c>
      <c r="L9" s="111" t="n">
        <v>1.96</v>
      </c>
      <c r="M9" s="111" t="n">
        <v>1.73</v>
      </c>
      <c r="N9" s="108" t="inlineStr">
        <is>
          <t>N</t>
        </is>
      </c>
      <c r="O9" s="112" t="n">
        <v>88.3</v>
      </c>
      <c r="P9" s="112" t="n">
        <v>50</v>
      </c>
      <c r="Q9" s="113" t="n">
        <v>2018.7</v>
      </c>
      <c r="R9" s="108" t="inlineStr">
        <is>
          <t>prospectus:stated market capitalisation</t>
        </is>
      </c>
      <c r="S9" s="114" t="n">
        <v>10.3</v>
      </c>
      <c r="T9" s="115" t="n">
        <v>1.02</v>
      </c>
      <c r="U9" s="116" t="n">
        <v>37.5</v>
      </c>
      <c r="V9" s="117" t="n">
        <v>135</v>
      </c>
      <c r="W9" s="118" t="n"/>
      <c r="X9" s="119" t="n"/>
      <c r="Y9" s="113" t="n">
        <v>403</v>
      </c>
      <c r="Z9" s="113" t="n">
        <v>232950000</v>
      </c>
      <c r="AA9" s="112" t="n">
        <v>19.96</v>
      </c>
      <c r="AB9" s="108" t="inlineStr">
        <is>
          <t>Yanlord Investment Limited; Zoomlion International Trading (H.K.) Co., Limited</t>
        </is>
      </c>
      <c r="AC9" s="108" t="inlineStr">
        <is>
          <t>yanlord;zoomlion</t>
        </is>
      </c>
      <c r="AD9" s="112" t="n">
        <v>11.9</v>
      </c>
      <c r="AE9" s="108" t="inlineStr">
        <is>
          <t>lapsed</t>
        </is>
      </c>
      <c r="AF9" s="119" t="n"/>
      <c r="AG9" s="108" t="inlineStr">
        <is>
          <t>Fortune</t>
        </is>
      </c>
      <c r="AH9" s="108" t="inlineStr">
        <is>
          <t>Fortune</t>
        </is>
      </c>
      <c r="AI9" s="120" t="n">
        <v>-4.62</v>
      </c>
      <c r="AJ9" s="121" t="n">
        <v>-8.67</v>
      </c>
      <c r="AK9" s="121" t="n">
        <v>0.09</v>
      </c>
      <c r="AL9" s="121" t="n">
        <v>-19.08</v>
      </c>
      <c r="AM9" s="121" t="n">
        <v>12.86</v>
      </c>
      <c r="AN9" s="122" t="n"/>
      <c r="AO9" s="112" t="n">
        <v>20</v>
      </c>
      <c r="AP9" s="121" t="n">
        <v>5.78</v>
      </c>
      <c r="AQ9" s="121" t="n">
        <v>-13.87</v>
      </c>
      <c r="AR9" s="121" t="n">
        <v>-13.29</v>
      </c>
      <c r="AS9" s="121" t="n">
        <v>15.82</v>
      </c>
      <c r="AT9" s="121" t="n">
        <v>-5.69</v>
      </c>
      <c r="AU9" s="121" t="n">
        <v>-5.06</v>
      </c>
      <c r="AV9" s="121" t="n">
        <v>-4.11</v>
      </c>
      <c r="AW9" s="121" t="n">
        <v>-28.01</v>
      </c>
      <c r="AX9" s="121" t="n">
        <v>-15.66</v>
      </c>
      <c r="AY9" s="121" t="n">
        <v>-19.73</v>
      </c>
      <c r="AZ9" s="121" t="n">
        <v>14.14</v>
      </c>
      <c r="BA9" s="121" t="n">
        <v>14.04</v>
      </c>
      <c r="BB9" s="108" t="inlineStr">
        <is>
          <t>Hang Seng Commerce &amp; Industry sub-index</t>
        </is>
      </c>
      <c r="BC9" s="121" t="n">
        <v>-52.31</v>
      </c>
      <c r="BD9" s="109" t="n">
        <v>46297</v>
      </c>
      <c r="BE9" s="110" t="n">
        <v>819.4</v>
      </c>
      <c r="BF9" s="113" t="n">
        <v>84.09999999999999</v>
      </c>
      <c r="BG9" s="108" t="inlineStr">
        <is>
          <t>Y</t>
        </is>
      </c>
      <c r="BH9" s="123" t="n">
        <v>24</v>
      </c>
      <c r="BI9" s="122" t="n"/>
      <c r="BJ9" s="122" t="n"/>
      <c r="BK9" s="123" t="n">
        <v>2.5</v>
      </c>
      <c r="BL9" s="124">
        <f>IF('BBG Verify'!S9="","not filed; run on terminal",'BBG Verify'!S9)</f>
        <v/>
      </c>
      <c r="BM9" s="125" t="inlineStr">
        <is>
          <t>N</t>
        </is>
      </c>
      <c r="BN9" s="126">
        <f>IF('BBG Verify'!K9="","not filed; run on terminal",'BBG Verify'!K9)</f>
        <v/>
      </c>
      <c r="BO9" s="108" t="inlineStr">
        <is>
          <t>N/A</t>
        </is>
      </c>
      <c r="BP9" s="108" t="inlineStr">
        <is>
          <t>N/A</t>
        </is>
      </c>
      <c r="BQ9" s="108" t="inlineStr">
        <is>
          <t>N/A</t>
        </is>
      </c>
      <c r="BR9" s="108" t="inlineStr">
        <is>
          <t>N/A</t>
        </is>
      </c>
      <c r="BS9" s="108" t="inlineStr">
        <is>
          <t>N/A</t>
        </is>
      </c>
      <c r="BT9" s="108" t="inlineStr">
        <is>
          <t>N/A</t>
        </is>
      </c>
      <c r="BU9" s="125" t="inlineStr">
        <is>
          <t>Fortune Financial Capital Limited</t>
        </is>
      </c>
      <c r="BV9" s="108" t="inlineStr">
        <is>
          <t>Fortune Financial Capital Limited</t>
        </is>
      </c>
      <c r="BW9" s="108" t="inlineStr">
        <is>
          <t>Fortune (HK) Securities Limited; CCB International Capital Limited; Zhongtai International Securities Limited; Valuable Capital Limited; China Everbright Securities (HK) Limited; Huabang Securities Limited; China Industrial Securities International Capital Limited; Crosby Securities Limited</t>
        </is>
      </c>
      <c r="BX9" s="108" t="inlineStr">
        <is>
          <t>Blackwell Global Securities Limited; CCB International Capital Limited; China Everbright Securities (HK) Limited; China Tonghai Securities Limited; China Industrial Securities International Capital Limited; Crosby Securities Limited; Fortune (HK) Securities Limited; Huabang Securities Limited; SPDB International Capital Limited; TUS Corporate Finance Limited</t>
        </is>
      </c>
      <c r="BY9" s="127">
        <f>HYPERLINK("https://www1.hkexnews.hk/listedco/listconews/sehk/2020/1230/2020123000017.pdf","prospectus")</f>
        <v/>
      </c>
      <c r="BZ9" s="127">
        <f>HYPERLINK("https://www1.hkexnews.hk/listedco/listconews/sehk/2021/0112/2021011200086.htm","allotment")</f>
        <v/>
      </c>
      <c r="CA9" s="127">
        <f>HYPERLINK("https://www1.hkexnews.hk/listedco/listconews/sehk/2021/0204/2021020400633.pdf","stabilisation")</f>
        <v/>
      </c>
      <c r="CB9" s="128" t="n"/>
      <c r="CC9" s="108" t="inlineStr">
        <is>
          <t>greenshoe: outcome published; expiry date not in the notice; allocation: allocation table not in this notice's format (older prose announcement); day-1 tape: volume on file; the retail multiple needs the final public split, which this notice does not state</t>
        </is>
      </c>
    </row>
    <row r="10" ht="22" customHeight="1">
      <c r="A10" s="107" t="inlineStr">
        <is>
          <t>1643</t>
        </is>
      </c>
      <c r="B10" s="108" t="inlineStr">
        <is>
          <t>MODERN CHI MED</t>
        </is>
      </c>
      <c r="C10" s="108" t="inlineStr">
        <is>
          <t>現代中藥集團</t>
        </is>
      </c>
      <c r="D10" s="108" t="inlineStr">
        <is>
          <t>Healthcare</t>
        </is>
      </c>
      <c r="E10" s="108" t="inlineStr">
        <is>
          <t>TCM</t>
        </is>
      </c>
      <c r="F10" s="108" t="inlineStr">
        <is>
          <t>Pharmaceuticals</t>
        </is>
      </c>
      <c r="G10" s="108" t="inlineStr">
        <is>
          <t>Standard</t>
        </is>
      </c>
      <c r="H10" s="109" t="n">
        <v>44211</v>
      </c>
      <c r="I10" s="110" t="n">
        <v>177</v>
      </c>
      <c r="J10" s="108" t="inlineStr">
        <is>
          <t>gross (price x shares)</t>
        </is>
      </c>
      <c r="K10" s="111" t="n">
        <v>0.92</v>
      </c>
      <c r="L10" s="111" t="n">
        <v>1.47</v>
      </c>
      <c r="M10" s="111" t="n">
        <v>1.18</v>
      </c>
      <c r="N10" s="108" t="inlineStr">
        <is>
          <t>N</t>
        </is>
      </c>
      <c r="O10" s="112" t="n">
        <v>80.3</v>
      </c>
      <c r="P10" s="112" t="n">
        <v>47.3</v>
      </c>
      <c r="Q10" s="113" t="n">
        <v>816.9</v>
      </c>
      <c r="R10" s="108" t="inlineStr">
        <is>
          <t>aastocks:上市市值 at the struck price</t>
        </is>
      </c>
      <c r="S10" s="114" t="n">
        <v>30.66</v>
      </c>
      <c r="T10" s="115" t="n">
        <v>1.004</v>
      </c>
      <c r="U10" s="116" t="n">
        <v>0</v>
      </c>
      <c r="V10" s="117" t="n">
        <v>124</v>
      </c>
      <c r="W10" s="118" t="n"/>
      <c r="X10" s="119" t="n"/>
      <c r="Y10" s="113" t="n">
        <v>177</v>
      </c>
      <c r="Z10" s="113" t="n">
        <v>150000000</v>
      </c>
      <c r="AA10" s="112" t="n">
        <v>21.67</v>
      </c>
      <c r="AB10" s="108" t="inlineStr">
        <is>
          <t>none — no cornerstone tranche</t>
        </is>
      </c>
      <c r="AC10" s="108" t="inlineStr">
        <is>
          <t>none</t>
        </is>
      </c>
      <c r="AD10" s="112" t="n">
        <v>7</v>
      </c>
      <c r="AE10" s="119" t="n"/>
      <c r="AF10" s="108" t="inlineStr">
        <is>
          <t>2021-02-06</t>
        </is>
      </c>
      <c r="AG10" s="108" t="inlineStr">
        <is>
          <t>Wealth Link Securities Limited</t>
        </is>
      </c>
      <c r="AH10" s="108" t="inlineStr">
        <is>
          <t>Wealth Link</t>
        </is>
      </c>
      <c r="AI10" s="120" t="n">
        <v>17.8</v>
      </c>
      <c r="AJ10" s="121" t="n">
        <v>6.78</v>
      </c>
      <c r="AK10" s="121" t="n">
        <v>-0.4</v>
      </c>
      <c r="AL10" s="121" t="n">
        <v>-0.85</v>
      </c>
      <c r="AM10" s="121" t="n">
        <v>7.7</v>
      </c>
      <c r="AN10" s="122" t="n"/>
      <c r="AO10" s="112" t="n">
        <v>23.08</v>
      </c>
      <c r="AP10" s="121" t="n">
        <v>-11.86</v>
      </c>
      <c r="AQ10" s="121" t="n">
        <v>-21.19</v>
      </c>
      <c r="AR10" s="121" t="n">
        <v>-28.81</v>
      </c>
      <c r="AS10" s="121" t="n">
        <v>-17.46</v>
      </c>
      <c r="AT10" s="121" t="n">
        <v>-26.19</v>
      </c>
      <c r="AU10" s="121" t="n">
        <v>-33.33</v>
      </c>
      <c r="AV10" s="121" t="n">
        <v>-22.93</v>
      </c>
      <c r="AW10" s="121" t="n">
        <v>-36.53</v>
      </c>
      <c r="AX10" s="121" t="n">
        <v>-26.19</v>
      </c>
      <c r="AY10" s="121" t="n">
        <v>-42</v>
      </c>
      <c r="AZ10" s="121" t="n">
        <v>15.34</v>
      </c>
      <c r="BA10" s="121" t="n">
        <v>15.81</v>
      </c>
      <c r="BB10" s="108" t="inlineStr">
        <is>
          <t>China Biotech ETF (HS biotech proxy)</t>
        </is>
      </c>
      <c r="BC10" s="121" t="n">
        <v>-43.64</v>
      </c>
      <c r="BD10" s="109" t="n">
        <v>46297</v>
      </c>
      <c r="BE10" s="110" t="n">
        <v>240.6</v>
      </c>
      <c r="BF10" s="113" t="n">
        <v>50.9</v>
      </c>
      <c r="BG10" s="108" t="inlineStr">
        <is>
          <t>Y</t>
        </is>
      </c>
      <c r="BH10" s="123" t="n">
        <v>16</v>
      </c>
      <c r="BI10" s="122" t="n"/>
      <c r="BJ10" s="122" t="n"/>
      <c r="BK10" s="123" t="n">
        <v>3.4</v>
      </c>
      <c r="BL10" s="124">
        <f>IF('BBG Verify'!S10="","not filed; run on terminal",'BBG Verify'!S10)</f>
        <v/>
      </c>
      <c r="BM10" s="125" t="inlineStr">
        <is>
          <t>N</t>
        </is>
      </c>
      <c r="BN10" s="126">
        <f>IF('BBG Verify'!K10="","not filed; run on terminal",'BBG Verify'!K10)</f>
        <v/>
      </c>
      <c r="BO10" s="108" t="inlineStr">
        <is>
          <t>N/A</t>
        </is>
      </c>
      <c r="BP10" s="108" t="inlineStr">
        <is>
          <t>N/A</t>
        </is>
      </c>
      <c r="BQ10" s="108" t="inlineStr">
        <is>
          <t>N/A</t>
        </is>
      </c>
      <c r="BR10" s="108" t="inlineStr">
        <is>
          <t>N/A</t>
        </is>
      </c>
      <c r="BS10" s="108" t="inlineStr">
        <is>
          <t>N/A</t>
        </is>
      </c>
      <c r="BT10" s="108" t="inlineStr">
        <is>
          <t>N/A</t>
        </is>
      </c>
      <c r="BU10" s="125" t="inlineStr">
        <is>
          <t>Soochow Securities International Capital Limited</t>
        </is>
      </c>
      <c r="BV10" s="108" t="inlineStr">
        <is>
          <t>Soochow Securities International Capital Limited</t>
        </is>
      </c>
      <c r="BW10" s="108" t="inlineStr">
        <is>
          <t>SPDB International Capital Limited; BOCOM International Securities Limited; Yue Xiu Securities Company Limited; Shanxi Securities International Limited; Elstone Securities Limited</t>
        </is>
      </c>
      <c r="BX10" s="108" t="inlineStr">
        <is>
          <t>Beta International Securities Limited; CNI Securities Group Limited; DL Securities (HK) Limited; Elstone Securities Limited; Forthright Securities Company Limited; Fuyuan Securities Limited; Shenwan Hongyuan Securities (H.K.) Limited; SPDB International Capital Limited; Soochow Securities International Brokerage Limited; Shanxi Securities International Limited; Wealth Link Securities Limited; Yue Xiu Securities Company Limited</t>
        </is>
      </c>
      <c r="BY10" s="127">
        <f>HYPERLINK("https://www1.hkexnews.hk/listedco/listconews/sehk/2020/1231/2020123100103.pdf","prospectus")</f>
        <v/>
      </c>
      <c r="BZ10" s="127">
        <f>HYPERLINK("https://www1.hkexnews.hk/listedco/listconews/sehk/2021/0114/2021011400022.htm","allotment")</f>
        <v/>
      </c>
      <c r="CA10" s="119" t="n"/>
      <c r="CB10" s="128" t="n"/>
      <c r="CC10" s="108" t="inlineStr">
        <is>
          <t>greenshoe: end-of-stabilisation notice not found; market cap: published listing cap used; the estimate from deal size / offer % of enlarged capital disagreed; cornerstone list: no cornerstone tranche; allocation: allocation table not in this notice's format (older prose announcement); day-1 tape: volume on file; the retail multiple needs the final public split, which this notice does not state</t>
        </is>
      </c>
    </row>
    <row r="11" ht="22" customHeight="1">
      <c r="A11" s="107" t="inlineStr">
        <is>
          <t>2146</t>
        </is>
      </c>
      <c r="B11" s="108" t="inlineStr">
        <is>
          <t>ROISERV</t>
        </is>
      </c>
      <c r="C11" s="108" t="inlineStr">
        <is>
          <t>榮萬家</t>
        </is>
      </c>
      <c r="D11" s="108" t="inlineStr">
        <is>
          <t>Real Estate</t>
        </is>
      </c>
      <c r="E11" s="108" t="inlineStr">
        <is>
          <t>Property management</t>
        </is>
      </c>
      <c r="F11" s="108" t="inlineStr">
        <is>
          <t>Property Service and Management</t>
        </is>
      </c>
      <c r="G11" s="108" t="inlineStr">
        <is>
          <t>Standard</t>
        </is>
      </c>
      <c r="H11" s="109" t="n">
        <v>44211</v>
      </c>
      <c r="I11" s="110" t="n">
        <v>1265.2</v>
      </c>
      <c r="J11" s="108" t="inlineStr">
        <is>
          <t>gross (price x shares)</t>
        </is>
      </c>
      <c r="K11" s="111" t="n">
        <v>13.46</v>
      </c>
      <c r="L11" s="111" t="n">
        <v>18.36</v>
      </c>
      <c r="M11" s="111" t="n">
        <v>13.46</v>
      </c>
      <c r="N11" s="108" t="inlineStr">
        <is>
          <t>N</t>
        </is>
      </c>
      <c r="O11" s="112" t="n">
        <v>73.3</v>
      </c>
      <c r="P11" s="112" t="n">
        <v>0</v>
      </c>
      <c r="Q11" s="113" t="n">
        <v>6411.7</v>
      </c>
      <c r="R11" s="108" t="inlineStr">
        <is>
          <t>aastocks:上市市值 at the struck price</t>
        </is>
      </c>
      <c r="S11" s="114" t="n">
        <v>6.62</v>
      </c>
      <c r="T11" s="115" t="n">
        <v>1.94</v>
      </c>
      <c r="U11" s="116" t="n">
        <v>0</v>
      </c>
      <c r="V11" s="117" t="n">
        <v>108</v>
      </c>
      <c r="W11" s="118" t="n"/>
      <c r="X11" s="119" t="n"/>
      <c r="Y11" s="113" t="n">
        <v>1265.2</v>
      </c>
      <c r="Z11" s="113" t="n">
        <v>94000000</v>
      </c>
      <c r="AA11" s="112" t="n">
        <v>19.73</v>
      </c>
      <c r="AB11" s="108" t="inlineStr">
        <is>
          <t>none — no cornerstone tranche</t>
        </is>
      </c>
      <c r="AC11" s="108" t="inlineStr">
        <is>
          <t>none</t>
        </is>
      </c>
      <c r="AD11" s="112" t="n">
        <v>6.05</v>
      </c>
      <c r="AE11" s="108" t="inlineStr">
        <is>
          <t>lapsed</t>
        </is>
      </c>
      <c r="AF11" s="108" t="inlineStr">
        <is>
          <t>2021-02-07</t>
        </is>
      </c>
      <c r="AG11" s="108" t="inlineStr">
        <is>
          <t>Huatai Financial Holdings</t>
        </is>
      </c>
      <c r="AH11" s="108" t="inlineStr">
        <is>
          <t>Huatai</t>
        </is>
      </c>
      <c r="AI11" s="130" t="n"/>
      <c r="AJ11" s="121" t="n">
        <v>-8.17</v>
      </c>
      <c r="AK11" s="121" t="n">
        <v>0.03</v>
      </c>
      <c r="AL11" s="121" t="n">
        <v>-4.9</v>
      </c>
      <c r="AM11" s="121" t="n">
        <v>-3.44</v>
      </c>
      <c r="AN11" s="122" t="n"/>
      <c r="AO11" s="112" t="n">
        <v>6.56</v>
      </c>
      <c r="AP11" s="121" t="n">
        <v>-11.59</v>
      </c>
      <c r="AQ11" s="121" t="n">
        <v>-34.03</v>
      </c>
      <c r="AR11" s="121" t="n">
        <v>-36.85</v>
      </c>
      <c r="AS11" s="121" t="n">
        <v>-3.72</v>
      </c>
      <c r="AT11" s="121" t="n">
        <v>-28.16</v>
      </c>
      <c r="AU11" s="121" t="n">
        <v>-31.23</v>
      </c>
      <c r="AV11" s="121" t="n">
        <v>-13.66</v>
      </c>
      <c r="AW11" s="121" t="n">
        <v>-36.68</v>
      </c>
      <c r="AX11" s="121" t="n">
        <v>-47.57</v>
      </c>
      <c r="AY11" s="121" t="n">
        <v>-30.78</v>
      </c>
      <c r="AZ11" s="121" t="n">
        <v>2.65</v>
      </c>
      <c r="BA11" s="121" t="n">
        <v>2.62</v>
      </c>
      <c r="BB11" s="108" t="inlineStr">
        <is>
          <t>Hang Seng Properties sub-index</t>
        </is>
      </c>
      <c r="BC11" s="121" t="n">
        <v>-86.63</v>
      </c>
      <c r="BD11" s="109" t="n">
        <v>46297</v>
      </c>
      <c r="BE11" s="110" t="n">
        <v>1410.2</v>
      </c>
      <c r="BF11" s="113" t="n">
        <v>124.5</v>
      </c>
      <c r="BG11" s="108" t="inlineStr">
        <is>
          <t>Y</t>
        </is>
      </c>
      <c r="BH11" s="123" t="n">
        <v>51.5</v>
      </c>
      <c r="BI11" s="123" t="n">
        <v>10.7</v>
      </c>
      <c r="BJ11" s="123" t="n">
        <v>5.9</v>
      </c>
      <c r="BK11" s="123" t="n">
        <v>4.5</v>
      </c>
      <c r="BL11" s="124">
        <f>IF('BBG Verify'!S11="","not filed; run on terminal",'BBG Verify'!S11)</f>
        <v/>
      </c>
      <c r="BM11" s="125" t="inlineStr">
        <is>
          <t>N</t>
        </is>
      </c>
      <c r="BN11" s="126">
        <f>IF('BBG Verify'!K11="","not filed; run on terminal",'BBG Verify'!K11)</f>
        <v/>
      </c>
      <c r="BO11" s="108" t="inlineStr">
        <is>
          <t>N/A</t>
        </is>
      </c>
      <c r="BP11" s="108" t="inlineStr">
        <is>
          <t>N/A</t>
        </is>
      </c>
      <c r="BQ11" s="108" t="inlineStr">
        <is>
          <t>N/A</t>
        </is>
      </c>
      <c r="BR11" s="108" t="inlineStr">
        <is>
          <t>N/A</t>
        </is>
      </c>
      <c r="BS11" s="108" t="inlineStr">
        <is>
          <t>N/A</t>
        </is>
      </c>
      <c r="BT11" s="108" t="inlineStr">
        <is>
          <t>N/A</t>
        </is>
      </c>
      <c r="BU11" s="125" t="inlineStr">
        <is>
          <t>Huatai Financial Holdings (Hong Kong) Limited</t>
        </is>
      </c>
      <c r="BV11" s="108" t="inlineStr">
        <is>
          <t>Huatai Financial Holdings (Hong Kong) Limited</t>
        </is>
      </c>
      <c r="BW11" s="108" t="inlineStr">
        <is>
          <t>Huatai Financial Holdings (Hong Kong) Limited; Haitong International Securities Company Limited; Soochow Securities International Brokerage Limited; UOB Kay Hian (Hong Kong) Limited; Fuyuan Securities Limited; BOCOM International Securities Limited; CCB International Capital Limited; China Securities (International) Corporate Finance Company Limited; CMB International Capital Limited; ICBC International Capital Limited; Realord Asia Pacific Securities Limited; Yue Xiu Securities Company Limited</t>
        </is>
      </c>
      <c r="BX11" s="108" t="inlineStr">
        <is>
          <t>Alpha International Securities (HK) Limited; Beta International Securities Limited; Blackwell Global Securities Limited; CCB International Capital Limited; CMB International Capital Corporation Limited; China Securities (International) Corporate Finance Company Limited; Fuyuan Securities Limited; Guotai Junan Securities (Hong Kong) Limited; Huatai Financial Holdings (Hong Kong) Limited; Haitong International Securities Company Limited; ICBC International Securities Limited; Maxa Capital Limited</t>
        </is>
      </c>
      <c r="BY11" s="127">
        <f>HYPERLINK("https://www1.hkexnews.hk/listedco/listconews/sehk/2020/1231/2020123100013.pdf","prospectus")</f>
        <v/>
      </c>
      <c r="BZ11" s="127">
        <f>HYPERLINK("https://www1.hkexnews.hk/listedco/listconews/sehk/2021/0114/2021011400038.htm","allotment")</f>
        <v/>
      </c>
      <c r="CA11" s="127">
        <f>HYPERLINK("https://www1.hkexnews.hk/listedco/listconews/sehk/2021/0207/2021020700027.pdf","stabilisation")</f>
        <v/>
      </c>
      <c r="CB11" s="128" t="n"/>
      <c r="CC11" s="108" t="inlineStr">
        <is>
          <t>market cap: published listing cap used; the estimate from stated market capitalisation, rescaled to the offer price disagreed; cornerstone list: no cornerstone tranche; grey market: etnet's story of the session gave only the Phillip open (13.5, +0.3% vs offer) on 2021-01-14; no close was published; allocation: allocation table not in this notice's format (older prose announcement); day-1 tape: volume on file; the retail multiple needs the final public split, which this notice does not state</t>
        </is>
      </c>
    </row>
    <row r="12" ht="22" customHeight="1">
      <c r="A12" s="107" t="inlineStr">
        <is>
          <t>2125</t>
        </is>
      </c>
      <c r="B12" s="108" t="inlineStr">
        <is>
          <t>STRAWBEAR ENT</t>
        </is>
      </c>
      <c r="C12" s="108" t="inlineStr">
        <is>
          <t>稻草熊娛樂</t>
        </is>
      </c>
      <c r="D12" s="108" t="inlineStr">
        <is>
          <t>TMT-other</t>
        </is>
      </c>
      <c r="E12" s="108" t="inlineStr">
        <is>
          <t>Media / advertising</t>
        </is>
      </c>
      <c r="F12" s="108" t="inlineStr">
        <is>
          <t>Movies &amp; Entertainment</t>
        </is>
      </c>
      <c r="G12" s="108" t="inlineStr">
        <is>
          <t>Standard</t>
        </is>
      </c>
      <c r="H12" s="109" t="n">
        <v>44211</v>
      </c>
      <c r="I12" s="110" t="n">
        <v>974.8</v>
      </c>
      <c r="J12" s="108" t="inlineStr">
        <is>
          <t>gross (price x shares)</t>
        </is>
      </c>
      <c r="K12" s="111" t="n">
        <v>5.1</v>
      </c>
      <c r="L12" s="111" t="n">
        <v>6.16</v>
      </c>
      <c r="M12" s="111" t="n">
        <v>5.88</v>
      </c>
      <c r="N12" s="108" t="inlineStr">
        <is>
          <t>N</t>
        </is>
      </c>
      <c r="O12" s="112" t="n">
        <v>95.5</v>
      </c>
      <c r="P12" s="112" t="n">
        <v>73.59999999999999</v>
      </c>
      <c r="Q12" s="113" t="n">
        <v>3381.8</v>
      </c>
      <c r="R12" s="108" t="inlineStr">
        <is>
          <t>prospectus:stated market capitalisation</t>
        </is>
      </c>
      <c r="S12" s="114" t="n">
        <v>403.54</v>
      </c>
      <c r="T12" s="115" t="n">
        <v>13.41</v>
      </c>
      <c r="U12" s="116" t="n">
        <v>40</v>
      </c>
      <c r="V12" s="117" t="n">
        <v>233</v>
      </c>
      <c r="W12" s="112" t="n">
        <v>50</v>
      </c>
      <c r="X12" s="108" t="inlineStr">
        <is>
          <t>YES</t>
        </is>
      </c>
      <c r="Y12" s="113" t="n">
        <v>584.88</v>
      </c>
      <c r="Z12" s="113" t="n">
        <v>99468000</v>
      </c>
      <c r="AA12" s="112" t="n">
        <v>17.29</v>
      </c>
      <c r="AB12" s="108" t="inlineStr">
        <is>
          <t>Origin Flair Limited; Snow Lake Funds and Accounts; Vipshop International Holdings Limited</t>
        </is>
      </c>
      <c r="AC12" s="108" t="inlineStr">
        <is>
          <t>origin;snow;vipshop</t>
        </is>
      </c>
      <c r="AD12" s="112" t="n">
        <v>14.68</v>
      </c>
      <c r="AE12" s="108" t="inlineStr">
        <is>
          <t>full</t>
        </is>
      </c>
      <c r="AF12" s="108" t="inlineStr">
        <is>
          <t>2021-02-07</t>
        </is>
      </c>
      <c r="AG12" s="108" t="inlineStr">
        <is>
          <t>China Securities</t>
        </is>
      </c>
      <c r="AH12" s="108" t="inlineStr">
        <is>
          <t>China Securities</t>
        </is>
      </c>
      <c r="AI12" s="120" t="n">
        <v>31.12</v>
      </c>
      <c r="AJ12" s="121" t="n">
        <v>83.67</v>
      </c>
      <c r="AK12" s="121" t="n">
        <v>0.27</v>
      </c>
      <c r="AL12" s="121" t="n">
        <v>19.05</v>
      </c>
      <c r="AM12" s="121" t="n">
        <v>54.28</v>
      </c>
      <c r="AN12" s="123" t="n">
        <v>3.59</v>
      </c>
      <c r="AO12" s="112" t="n">
        <v>75.14</v>
      </c>
      <c r="AP12" s="121" t="n">
        <v>25.85</v>
      </c>
      <c r="AQ12" s="121" t="n">
        <v>32.31</v>
      </c>
      <c r="AR12" s="121" t="n">
        <v>130.95</v>
      </c>
      <c r="AS12" s="121" t="n">
        <v>-31.48</v>
      </c>
      <c r="AT12" s="121" t="n">
        <v>-27.96</v>
      </c>
      <c r="AU12" s="121" t="n">
        <v>25.74</v>
      </c>
      <c r="AV12" s="121" t="n">
        <v>22.51</v>
      </c>
      <c r="AW12" s="121" t="n">
        <v>23.23</v>
      </c>
      <c r="AX12" s="121" t="n">
        <v>130.51</v>
      </c>
      <c r="AY12" s="121" t="n">
        <v>-36.75</v>
      </c>
      <c r="AZ12" s="121" t="n">
        <v>9.08</v>
      </c>
      <c r="BA12" s="121" t="n">
        <v>8.789999999999999</v>
      </c>
      <c r="BB12" s="108" t="inlineStr">
        <is>
          <t>Hang Seng Index</t>
        </is>
      </c>
      <c r="BC12" s="121" t="n">
        <v>-95.31999999999999</v>
      </c>
      <c r="BD12" s="109" t="n">
        <v>46297</v>
      </c>
      <c r="BE12" s="110" t="n">
        <v>836.3</v>
      </c>
      <c r="BF12" s="113" t="n">
        <v>55.4</v>
      </c>
      <c r="BG12" s="108" t="inlineStr">
        <is>
          <t>Y</t>
        </is>
      </c>
      <c r="BH12" s="123" t="n">
        <v>61</v>
      </c>
      <c r="BI12" s="122" t="n"/>
      <c r="BJ12" s="122" t="n"/>
      <c r="BK12" s="123" t="n">
        <v>4</v>
      </c>
      <c r="BL12" s="124">
        <f>IF('BBG Verify'!S12="","not filed; run on terminal",'BBG Verify'!S12)</f>
        <v/>
      </c>
      <c r="BM12" s="125" t="inlineStr">
        <is>
          <t>N</t>
        </is>
      </c>
      <c r="BN12" s="126">
        <f>IF('BBG Verify'!K12="","not filed; run on terminal",'BBG Verify'!K12)</f>
        <v/>
      </c>
      <c r="BO12" s="108" t="inlineStr">
        <is>
          <t>N/A</t>
        </is>
      </c>
      <c r="BP12" s="108" t="inlineStr">
        <is>
          <t>N/A</t>
        </is>
      </c>
      <c r="BQ12" s="108" t="inlineStr">
        <is>
          <t>N/A</t>
        </is>
      </c>
      <c r="BR12" s="108" t="inlineStr">
        <is>
          <t>N/A</t>
        </is>
      </c>
      <c r="BS12" s="108" t="inlineStr">
        <is>
          <t>N/A</t>
        </is>
      </c>
      <c r="BT12" s="108" t="inlineStr">
        <is>
          <t>N/A</t>
        </is>
      </c>
      <c r="BU12" s="125" t="inlineStr">
        <is>
          <t>China Merchants Securities (HK) Co., Limited; China Securities (International) Corporate Finance Company Limited</t>
        </is>
      </c>
      <c r="BV12" s="108" t="inlineStr">
        <is>
          <t>China Securities (International) Corporate Finance Company Limited; China Merchants Securities (HK) Company Limited</t>
        </is>
      </c>
      <c r="BW12" s="108" t="inlineStr">
        <is>
          <t>China Merchants Securities (HK) Co., Limited; China Renaissance Securities (Hong Kong) Limited; China Securities (International) Corporate Finance Company Limited; ABCI Capital Limited; Haitong International Securities Company Limited; Huatai Financial Holdings (Hong Kong) Limited; CMB International Capital Limited; Futu Securities International (Hong Kong) Limited</t>
        </is>
      </c>
      <c r="BX12" s="108" t="inlineStr">
        <is>
          <t>ABCI Securities Company Limited; Beta International Securities Limited; China Galaxy International Securities (Hong Kong) Company Limited; CMB International Capital Limited; China Merchants Securities (HK) Company Limited; China Renaissance Securities (Hong Kong) Limited; China Securities (International) Corporate Finance Company Limited; Futu Securities International (Hong Kong) Limited; Huatai Financial Holdings (Hong Kong) Limited; Haitong International Securities Company Limited</t>
        </is>
      </c>
      <c r="BY12" s="127">
        <f>HYPERLINK("https://www1.hkexnews.hk/listedco/listconews/sehk/2020/1231/2020123100263.pdf","prospectus")</f>
        <v/>
      </c>
      <c r="BZ12" s="127">
        <f>HYPERLINK("https://www1.hkexnews.hk/listedco/listconews/sehk/2021/0114/2021011400088.htm","allotment")</f>
        <v/>
      </c>
      <c r="CA12" s="127">
        <f>HYPERLINK("https://www1.hkexnews.hk/listedco/listconews/sehk/2021/0207/2021020700085.pdf","stabilisation")</f>
        <v/>
      </c>
      <c r="CB12" s="128" t="n"/>
      <c r="CC12" s="108" t="inlineStr">
        <is>
          <t>cornerstone: table parse 80% rejected (institutional total implies 40%); the filed aggregate-amount sentence used</t>
        </is>
      </c>
    </row>
    <row r="13" ht="22" customHeight="1">
      <c r="A13" s="107" t="inlineStr">
        <is>
          <t>2158</t>
        </is>
      </c>
      <c r="B13" s="108" t="inlineStr">
        <is>
          <t>YIDU TECH</t>
        </is>
      </c>
      <c r="C13" s="108" t="inlineStr">
        <is>
          <t>醫渡科技</t>
        </is>
      </c>
      <c r="D13" s="108" t="inlineStr">
        <is>
          <t>Healthcare</t>
        </is>
      </c>
      <c r="E13" s="108" t="inlineStr">
        <is>
          <t>Digital health</t>
        </is>
      </c>
      <c r="F13" s="108" t="inlineStr">
        <is>
          <t>Health Care Services</t>
        </is>
      </c>
      <c r="G13" s="108" t="inlineStr">
        <is>
          <t>Standard</t>
        </is>
      </c>
      <c r="H13" s="109" t="n">
        <v>44211</v>
      </c>
      <c r="I13" s="110" t="n">
        <v>4114.6</v>
      </c>
      <c r="J13" s="108" t="inlineStr">
        <is>
          <t>gross (price x shares)</t>
        </is>
      </c>
      <c r="K13" s="111" t="n">
        <v>23.5</v>
      </c>
      <c r="L13" s="111" t="n">
        <v>26.3</v>
      </c>
      <c r="M13" s="111" t="n">
        <v>26.3</v>
      </c>
      <c r="N13" s="108" t="inlineStr">
        <is>
          <t>Y</t>
        </is>
      </c>
      <c r="O13" s="112" t="n">
        <v>100</v>
      </c>
      <c r="P13" s="112" t="n">
        <v>100</v>
      </c>
      <c r="Q13" s="113" t="n">
        <v>21154.8</v>
      </c>
      <c r="R13" s="108" t="inlineStr">
        <is>
          <t>derived:deal size / offer % of enlarged capital</t>
        </is>
      </c>
      <c r="S13" s="114" t="n">
        <v>1633.84</v>
      </c>
      <c r="T13" s="115" t="n">
        <v>33.4</v>
      </c>
      <c r="U13" s="116" t="n">
        <v>15.1</v>
      </c>
      <c r="V13" s="117" t="n">
        <v>267</v>
      </c>
      <c r="W13" s="112" t="n">
        <v>50</v>
      </c>
      <c r="X13" s="108" t="inlineStr">
        <is>
          <t>YES</t>
        </is>
      </c>
      <c r="Y13" s="113" t="n">
        <v>3493.3</v>
      </c>
      <c r="Z13" s="113" t="n">
        <v>132826050</v>
      </c>
      <c r="AA13" s="112" t="n">
        <v>16.51</v>
      </c>
      <c r="AB13" s="108" t="inlineStr">
        <is>
          <t>3W Fund Management Limited; China Orient Multi-Strategy Master Fund; CPP Investment Board PMI-2 Inc; Matthews Funds; OrbiMed Capital LLC; Tencent Mobility Limited; Velmar Company Limited</t>
        </is>
      </c>
      <c r="AC13" s="108" t="inlineStr">
        <is>
          <t>3w;orient;cpp;matthews;orbimed;tencent;velmar</t>
        </is>
      </c>
      <c r="AD13" s="112" t="n">
        <v>17.35</v>
      </c>
      <c r="AE13" s="108" t="inlineStr">
        <is>
          <t>full</t>
        </is>
      </c>
      <c r="AF13" s="108" t="inlineStr">
        <is>
          <t>2021-02-06</t>
        </is>
      </c>
      <c r="AG13" s="108" t="inlineStr">
        <is>
          <t>Goldman Sachs</t>
        </is>
      </c>
      <c r="AH13" s="108" t="inlineStr">
        <is>
          <t>Goldman Sachs</t>
        </is>
      </c>
      <c r="AI13" s="120" t="n">
        <v>121.48</v>
      </c>
      <c r="AJ13" s="121" t="n">
        <v>147.91</v>
      </c>
      <c r="AK13" s="121" t="n">
        <v>-0.4</v>
      </c>
      <c r="AL13" s="121" t="n">
        <v>121.48</v>
      </c>
      <c r="AM13" s="121" t="n">
        <v>11.93</v>
      </c>
      <c r="AN13" s="123" t="n">
        <v>1.45</v>
      </c>
      <c r="AO13" s="112" t="n">
        <v>19.83</v>
      </c>
      <c r="AP13" s="121" t="n">
        <v>135.74</v>
      </c>
      <c r="AQ13" s="121" t="n">
        <v>136.12</v>
      </c>
      <c r="AR13" s="121" t="n">
        <v>38.78</v>
      </c>
      <c r="AS13" s="121" t="n">
        <v>-4.91</v>
      </c>
      <c r="AT13" s="121" t="n">
        <v>-4.76</v>
      </c>
      <c r="AU13" s="121" t="n">
        <v>-44.02</v>
      </c>
      <c r="AV13" s="121" t="n">
        <v>124.67</v>
      </c>
      <c r="AW13" s="121" t="n">
        <v>120.78</v>
      </c>
      <c r="AX13" s="121" t="n">
        <v>41.4</v>
      </c>
      <c r="AY13" s="121" t="n">
        <v>-20.57</v>
      </c>
      <c r="AZ13" s="121" t="n">
        <v>15.34</v>
      </c>
      <c r="BA13" s="121" t="n">
        <v>15.81</v>
      </c>
      <c r="BB13" s="108" t="inlineStr">
        <is>
          <t>China Biotech ETF (HS biotech proxy)</t>
        </is>
      </c>
      <c r="BC13" s="121" t="n">
        <v>-87.40000000000001</v>
      </c>
      <c r="BD13" s="109" t="n">
        <v>46297</v>
      </c>
      <c r="BE13" s="110" t="n">
        <v>613.9</v>
      </c>
      <c r="BF13" s="131" t="n"/>
      <c r="BG13" s="119" t="n"/>
      <c r="BH13" s="124">
        <f>IF('BBG Verify'!O13="","not filed; run on terminal",'BBG Verify'!O13)</f>
        <v/>
      </c>
      <c r="BI13" s="122" t="n"/>
      <c r="BJ13" s="123" t="n">
        <v>51.4</v>
      </c>
      <c r="BK13" s="123" t="n">
        <v>34.5</v>
      </c>
      <c r="BL13" s="124">
        <f>IF('BBG Verify'!S13="","not filed; run on terminal",'BBG Verify'!S13)</f>
        <v/>
      </c>
      <c r="BM13" s="125" t="inlineStr">
        <is>
          <t>N</t>
        </is>
      </c>
      <c r="BN13" s="126">
        <f>IF('BBG Verify'!K13="","not filed; run on terminal",'BBG Verify'!K13)</f>
        <v/>
      </c>
      <c r="BO13" s="108" t="inlineStr">
        <is>
          <t>N/A</t>
        </is>
      </c>
      <c r="BP13" s="108" t="inlineStr">
        <is>
          <t>N/A</t>
        </is>
      </c>
      <c r="BQ13" s="108" t="inlineStr">
        <is>
          <t>N/A</t>
        </is>
      </c>
      <c r="BR13" s="108" t="inlineStr">
        <is>
          <t>N/A</t>
        </is>
      </c>
      <c r="BS13" s="108" t="inlineStr">
        <is>
          <t>N/A</t>
        </is>
      </c>
      <c r="BT13" s="108" t="inlineStr">
        <is>
          <t>N/A</t>
        </is>
      </c>
      <c r="BU13" s="125" t="inlineStr">
        <is>
          <t>Goldman Sachs (Asia) L.L.C; China International Capital Corporation Hong Kong Securities Limited</t>
        </is>
      </c>
      <c r="BV13" s="108" t="inlineStr">
        <is>
          <t>China International Capital Corporation Hong Kong Securities Limited; Goldman Sachs (Asia) L.L.C.</t>
        </is>
      </c>
      <c r="BW13" s="108" t="inlineStr">
        <is>
          <t>Goldman Sachs (Asia) L.L.C; China International Capital Corporation Hong Kong Securities Limited; Citigroup Global Markets Asia Limited; Citigroup Global Markets Limited</t>
        </is>
      </c>
      <c r="BX13" s="108" t="inlineStr">
        <is>
          <t>Citigroup Global Markets Asia Limited; China International Capital Corporation Hong Kong Securities Limited; China Merchants Securities (HK) Company Limited; Goldman Sachs (Asia) L.L.C.</t>
        </is>
      </c>
      <c r="BY13" s="127">
        <f>HYPERLINK("https://www1.hkexnews.hk/listedco/listconews/sehk/2020/1231/2020123100119.pdf","prospectus")</f>
        <v/>
      </c>
      <c r="BZ13" s="127">
        <f>HYPERLINK("https://www1.hkexnews.hk/listedco/listconews/sehk/2021/0114/2021011400064.htm","allotment")</f>
        <v/>
      </c>
      <c r="CA13" s="127">
        <f>HYPERLINK("https://www1.hkexnews.hk/listedco/listconews/sehk/2021/0207/2021020700079.pdf","stabilisation")</f>
        <v/>
      </c>
      <c r="CB13" s="128" t="n"/>
      <c r="CC13" s="108" t="inlineStr">
        <is>
          <t>P/E: net income not extractable; market cap: prospectus 'market capitalisation' line is the listing-rule threshold, not the issuer's figure; rejected; financials: not extractable; pre-IPO year outside the AAStocks window</t>
        </is>
      </c>
    </row>
    <row r="14" ht="22" customHeight="1">
      <c r="A14" s="107" t="inlineStr">
        <is>
          <t>1490</t>
        </is>
      </c>
      <c r="B14" s="108" t="inlineStr">
        <is>
          <t>CHESHI</t>
        </is>
      </c>
      <c r="C14" s="108" t="inlineStr">
        <is>
          <t>AI X TECH</t>
        </is>
      </c>
      <c r="D14" s="108" t="inlineStr">
        <is>
          <t>TMT-other</t>
        </is>
      </c>
      <c r="E14" s="108" t="inlineStr">
        <is>
          <t>Media / advertising</t>
        </is>
      </c>
      <c r="F14" s="108" t="inlineStr">
        <is>
          <t>Advertising</t>
        </is>
      </c>
      <c r="G14" s="108" t="inlineStr">
        <is>
          <t>Standard</t>
        </is>
      </c>
      <c r="H14" s="109" t="n">
        <v>44211</v>
      </c>
      <c r="I14" s="110" t="n">
        <v>250.9</v>
      </c>
      <c r="J14" s="108" t="inlineStr">
        <is>
          <t>gross (price x shares)</t>
        </is>
      </c>
      <c r="K14" s="129" t="n"/>
      <c r="L14" s="111" t="n">
        <v>1.23</v>
      </c>
      <c r="M14" s="111" t="n">
        <v>1.23</v>
      </c>
      <c r="N14" s="108" t="inlineStr">
        <is>
          <t>Y</t>
        </is>
      </c>
      <c r="O14" s="112" t="n">
        <v>100</v>
      </c>
      <c r="P14" s="118" t="n"/>
      <c r="Q14" s="113" t="n">
        <v>1456.8</v>
      </c>
      <c r="R14" s="108" t="inlineStr">
        <is>
          <t>aastocks:上市市值 at the struck price</t>
        </is>
      </c>
      <c r="S14" s="114" t="n">
        <v>1274.76</v>
      </c>
      <c r="T14" s="115" t="n">
        <v>21.7</v>
      </c>
      <c r="U14" s="116" t="n">
        <v>36.4</v>
      </c>
      <c r="V14" s="117" t="n">
        <v>204</v>
      </c>
      <c r="W14" s="112" t="n">
        <v>50</v>
      </c>
      <c r="X14" s="108" t="inlineStr">
        <is>
          <t>YES</t>
        </is>
      </c>
      <c r="Y14" s="113" t="n">
        <v>159.57</v>
      </c>
      <c r="Z14" s="113" t="n">
        <v>129744000</v>
      </c>
      <c r="AA14" s="112" t="n">
        <v>10.95</v>
      </c>
      <c r="AB14" s="108" t="inlineStr">
        <is>
          <t>Coast Flagship Investment SPC; Goldstream Capital Management Limited; Huatai Financial Holdings (Hong Kong) Limited; Shimmering Skyline L.P</t>
        </is>
      </c>
      <c r="AC14" s="108" t="inlineStr">
        <is>
          <t>coast;goldstream;huatai;shimmering</t>
        </is>
      </c>
      <c r="AD14" s="118" t="n"/>
      <c r="AE14" s="108" t="inlineStr">
        <is>
          <t>full</t>
        </is>
      </c>
      <c r="AF14" s="108" t="inlineStr">
        <is>
          <t>2021-02-07</t>
        </is>
      </c>
      <c r="AG14" s="108" t="inlineStr">
        <is>
          <t>ABCI Securities Company Limited</t>
        </is>
      </c>
      <c r="AH14" s="108" t="inlineStr">
        <is>
          <t>ABCI</t>
        </is>
      </c>
      <c r="AI14" s="120" t="n">
        <v>48.78</v>
      </c>
      <c r="AJ14" s="121" t="n">
        <v>21.95</v>
      </c>
      <c r="AK14" s="121" t="n">
        <v>0.27</v>
      </c>
      <c r="AL14" s="121" t="n">
        <v>38.21</v>
      </c>
      <c r="AM14" s="121" t="n">
        <v>-11.76</v>
      </c>
      <c r="AN14" s="123" t="n">
        <v>2.8</v>
      </c>
      <c r="AO14" s="112" t="n">
        <v>19.41</v>
      </c>
      <c r="AP14" s="121" t="n">
        <v>10.57</v>
      </c>
      <c r="AQ14" s="121" t="n">
        <v>8.130000000000001</v>
      </c>
      <c r="AR14" s="121" t="n">
        <v>21.14</v>
      </c>
      <c r="AS14" s="121" t="n">
        <v>-9.33</v>
      </c>
      <c r="AT14" s="121" t="n">
        <v>-11.33</v>
      </c>
      <c r="AU14" s="121" t="n">
        <v>-0.66</v>
      </c>
      <c r="AV14" s="121" t="n">
        <v>7.23</v>
      </c>
      <c r="AW14" s="121" t="n">
        <v>-0.95</v>
      </c>
      <c r="AX14" s="121" t="n">
        <v>20.7</v>
      </c>
      <c r="AY14" s="121" t="n">
        <v>-20.12</v>
      </c>
      <c r="AZ14" s="121" t="n">
        <v>9.08</v>
      </c>
      <c r="BA14" s="121" t="n">
        <v>8.789999999999999</v>
      </c>
      <c r="BB14" s="108" t="inlineStr">
        <is>
          <t>Hang Seng Index</t>
        </is>
      </c>
      <c r="BC14" s="121" t="n">
        <v>-78.86</v>
      </c>
      <c r="BD14" s="109" t="n">
        <v>46297</v>
      </c>
      <c r="BE14" s="132" t="n"/>
      <c r="BF14" s="113" t="n">
        <v>52.4</v>
      </c>
      <c r="BG14" s="108" t="inlineStr">
        <is>
          <t>Y</t>
        </is>
      </c>
      <c r="BH14" s="123" t="n">
        <v>27.8</v>
      </c>
      <c r="BI14" s="123" t="n">
        <v>15.1</v>
      </c>
      <c r="BJ14" s="122" t="n"/>
      <c r="BK14" s="122" t="n"/>
      <c r="BL14" s="124">
        <f>IF('BBG Verify'!S14="","not filed; run on terminal",'BBG Verify'!S14)</f>
        <v/>
      </c>
      <c r="BM14" s="125" t="inlineStr">
        <is>
          <t>N</t>
        </is>
      </c>
      <c r="BN14" s="126">
        <f>IF('BBG Verify'!K14="","not filed; run on terminal",'BBG Verify'!K14)</f>
        <v/>
      </c>
      <c r="BO14" s="108" t="inlineStr">
        <is>
          <t>N/A</t>
        </is>
      </c>
      <c r="BP14" s="108" t="inlineStr">
        <is>
          <t>N/A</t>
        </is>
      </c>
      <c r="BQ14" s="108" t="inlineStr">
        <is>
          <t>N/A</t>
        </is>
      </c>
      <c r="BR14" s="108" t="inlineStr">
        <is>
          <t>N/A</t>
        </is>
      </c>
      <c r="BS14" s="108" t="inlineStr">
        <is>
          <t>N/A</t>
        </is>
      </c>
      <c r="BT14" s="108" t="inlineStr">
        <is>
          <t>N/A</t>
        </is>
      </c>
      <c r="BU14" s="125" t="inlineStr">
        <is>
          <t>ABCI Capital Limited</t>
        </is>
      </c>
      <c r="BV14" s="108" t="inlineStr">
        <is>
          <t>ABCI Capital Limited</t>
        </is>
      </c>
      <c r="BW14" s="108" t="inlineStr">
        <is>
          <t>ABCI Capital Limited; SBI China Capital Financial Services Limited; Harvest International Securities Company Limited; BOCOM International Securities Limited; Haitong International Securities Company Limited; Futu Securities International (Hong Kong) Limited; Valuable Capital Limited; Yue Xiu Securities Company Limited</t>
        </is>
      </c>
      <c r="BX14" s="108" t="inlineStr">
        <is>
          <t>ABCI Securities Company Limited; Alpha International Securities (HK) Limited; Beta International Securities Limited; China Sky Securities Limited; Fosun Hani Securities Limited; Futu Securities International (Hong Kong) Limited; Haitong International Securities Company Limited; Harvest International Securities Company Limited; Livermore Holdings Limited; SBI China Capital Financial Services Limited; Soochow Securities International Brokerage Limited</t>
        </is>
      </c>
      <c r="BY14" s="127">
        <f>HYPERLINK("https://www1.hkexnews.hk/listedco/listconews/sehk/2020/1231/2020123100280.htm","prospectus")</f>
        <v/>
      </c>
      <c r="BZ14" s="127">
        <f>HYPERLINK("https://www1.hkexnews.hk/listedco/listconews/sehk/2021/0114/2021011400106.htm","allotment")</f>
        <v/>
      </c>
      <c r="CA14" s="127">
        <f>HYPERLINK("https://www1.hkexnews.hk/listedco/listconews/sehk/2021/0207/2021020700025.pdf","stabilisation")</f>
        <v/>
      </c>
      <c r="CB14" s="128" t="n"/>
      <c r="CC14" s="108" t="inlineStr">
        <is>
          <t>price range: fixed-price offering (no indicative range); range low: maximum offer price only, no floor published; market cap: published listing cap used; the estimate from deal size / offer % of enlarged capital disagreed; cornerstone %: upper bound: AAStocks institutional total / deal size; greenshoe size: no over-allotment option; P/S: revenue not extractable; financials: not extractable; pre-IPO year outside the AAStocks window</t>
        </is>
      </c>
    </row>
    <row r="15" ht="22" customHeight="1">
      <c r="A15" s="107" t="inlineStr">
        <is>
          <t>9608</t>
        </is>
      </c>
      <c r="B15" s="108" t="inlineStr">
        <is>
          <t>SUNDY SERVICE</t>
        </is>
      </c>
      <c r="C15" s="108" t="inlineStr">
        <is>
          <t>宋都服務</t>
        </is>
      </c>
      <c r="D15" s="108" t="inlineStr">
        <is>
          <t>Real Estate</t>
        </is>
      </c>
      <c r="E15" s="108" t="inlineStr">
        <is>
          <t>Property management</t>
        </is>
      </c>
      <c r="F15" s="108" t="inlineStr">
        <is>
          <t>Property Service and Management</t>
        </is>
      </c>
      <c r="G15" s="108" t="inlineStr">
        <is>
          <t>Standard</t>
        </is>
      </c>
      <c r="H15" s="109" t="n">
        <v>44214</v>
      </c>
      <c r="I15" s="110" t="n">
        <v>200</v>
      </c>
      <c r="J15" s="108" t="inlineStr">
        <is>
          <t>gross (price x shares)</t>
        </is>
      </c>
      <c r="K15" s="111" t="n">
        <v>0.21</v>
      </c>
      <c r="L15" s="111" t="n">
        <v>0.29</v>
      </c>
      <c r="M15" s="111" t="n">
        <v>0.25</v>
      </c>
      <c r="N15" s="108" t="inlineStr">
        <is>
          <t>N</t>
        </is>
      </c>
      <c r="O15" s="112" t="n">
        <v>86.2</v>
      </c>
      <c r="P15" s="112" t="n">
        <v>50</v>
      </c>
      <c r="Q15" s="113" t="n">
        <v>672</v>
      </c>
      <c r="R15" s="108" t="inlineStr">
        <is>
          <t>prospectus:stated market capitalisation</t>
        </is>
      </c>
      <c r="S15" s="114" t="n">
        <v>25.24</v>
      </c>
      <c r="T15" s="115" t="n">
        <v>1.31</v>
      </c>
      <c r="U15" s="116" t="n">
        <v>14.88</v>
      </c>
      <c r="V15" s="117" t="n">
        <v>87</v>
      </c>
      <c r="W15" s="112" t="n">
        <v>30</v>
      </c>
      <c r="X15" s="108" t="inlineStr">
        <is>
          <t>YES</t>
        </is>
      </c>
      <c r="Y15" s="113" t="n">
        <v>170.24</v>
      </c>
      <c r="Z15" s="113" t="n">
        <v>680960000</v>
      </c>
      <c r="AA15" s="112" t="n">
        <v>25.33</v>
      </c>
      <c r="AB15" s="108" t="inlineStr">
        <is>
          <t>Jiu Rong Holdings Limited</t>
        </is>
      </c>
      <c r="AC15" s="108" t="inlineStr">
        <is>
          <t>jiu</t>
        </is>
      </c>
      <c r="AD15" s="112" t="n">
        <v>5</v>
      </c>
      <c r="AE15" s="108" t="inlineStr">
        <is>
          <t>lapsed (no over-allocation)</t>
        </is>
      </c>
      <c r="AF15" s="108" t="inlineStr">
        <is>
          <t>2021-02-06</t>
        </is>
      </c>
      <c r="AG15" s="108" t="inlineStr">
        <is>
          <t>Elstone Securities Limited</t>
        </is>
      </c>
      <c r="AH15" s="108" t="inlineStr">
        <is>
          <t>Elstone</t>
        </is>
      </c>
      <c r="AI15" s="120" t="n">
        <v>-6.4</v>
      </c>
      <c r="AJ15" s="121" t="n">
        <v>-36</v>
      </c>
      <c r="AK15" s="121" t="n">
        <v>0.54</v>
      </c>
      <c r="AL15" s="121" t="n">
        <v>-10</v>
      </c>
      <c r="AM15" s="121" t="n">
        <v>-28.89</v>
      </c>
      <c r="AN15" s="123" t="n">
        <v>2.23</v>
      </c>
      <c r="AO15" s="112" t="n">
        <v>30.67</v>
      </c>
      <c r="AP15" s="121" t="n">
        <v>-48</v>
      </c>
      <c r="AQ15" s="121" t="n">
        <v>-50.4</v>
      </c>
      <c r="AR15" s="121" t="n">
        <v>-52.4</v>
      </c>
      <c r="AS15" s="121" t="n">
        <v>-18.75</v>
      </c>
      <c r="AT15" s="121" t="n">
        <v>-22.5</v>
      </c>
      <c r="AU15" s="121" t="n">
        <v>-25.63</v>
      </c>
      <c r="AV15" s="121" t="n">
        <v>-49.1</v>
      </c>
      <c r="AW15" s="121" t="n">
        <v>-52.84</v>
      </c>
      <c r="AX15" s="121" t="n">
        <v>-63.17</v>
      </c>
      <c r="AY15" s="121" t="n">
        <v>-24.4</v>
      </c>
      <c r="AZ15" s="121" t="n">
        <v>2.44</v>
      </c>
      <c r="BA15" s="121" t="n">
        <v>1.9</v>
      </c>
      <c r="BB15" s="108" t="inlineStr">
        <is>
          <t>Hang Seng Properties sub-index</t>
        </is>
      </c>
      <c r="BC15" s="121" t="n">
        <v>-80</v>
      </c>
      <c r="BD15" s="109" t="n">
        <v>46297</v>
      </c>
      <c r="BE15" s="110" t="n">
        <v>244.7</v>
      </c>
      <c r="BF15" s="113" t="n">
        <v>38.8</v>
      </c>
      <c r="BG15" s="108" t="inlineStr">
        <is>
          <t>Y</t>
        </is>
      </c>
      <c r="BH15" s="123" t="n">
        <v>17.3</v>
      </c>
      <c r="BI15" s="122" t="n"/>
      <c r="BJ15" s="123" t="n">
        <v>9.300000000000001</v>
      </c>
      <c r="BK15" s="123" t="n">
        <v>2.7</v>
      </c>
      <c r="BL15" s="124">
        <f>IF('BBG Verify'!S15="","not filed; run on terminal",'BBG Verify'!S15)</f>
        <v/>
      </c>
      <c r="BM15" s="125" t="inlineStr">
        <is>
          <t>N</t>
        </is>
      </c>
      <c r="BN15" s="126">
        <f>IF('BBG Verify'!K15="","not filed; run on terminal",'BBG Verify'!K15)</f>
        <v/>
      </c>
      <c r="BO15" s="108" t="inlineStr">
        <is>
          <t>N/A</t>
        </is>
      </c>
      <c r="BP15" s="108" t="inlineStr">
        <is>
          <t>N/A</t>
        </is>
      </c>
      <c r="BQ15" s="108" t="inlineStr">
        <is>
          <t>N/A</t>
        </is>
      </c>
      <c r="BR15" s="108" t="inlineStr">
        <is>
          <t>N/A</t>
        </is>
      </c>
      <c r="BS15" s="108" t="inlineStr">
        <is>
          <t>N/A</t>
        </is>
      </c>
      <c r="BT15" s="108" t="inlineStr">
        <is>
          <t>N/A</t>
        </is>
      </c>
      <c r="BU15" s="125" t="inlineStr">
        <is>
          <t>Cinda International Capital Limited</t>
        </is>
      </c>
      <c r="BV15" s="108" t="inlineStr">
        <is>
          <t>Cinda International Capital Limited</t>
        </is>
      </c>
      <c r="BW15" s="108" t="inlineStr">
        <is>
          <t>Cinda International Capital Limited; Elstone Securities Limited; CCB International Capital Limited; Crosby Securities Limited</t>
        </is>
      </c>
      <c r="BX15" s="108" t="inlineStr">
        <is>
          <t>CCB International Capital Limited; China Galaxy International Securities (Hong Kong) Company Limited; Cinda International Capital Limited; Conrad Investment Services Limited; Crosby Securities Limited; DL Securities (HK) Limited; Elstone Securities Limited; Livermore Holdings Limited; Space Securities Limited; TUS Corporate Finance Limited</t>
        </is>
      </c>
      <c r="BY15" s="127">
        <f>HYPERLINK("https://www1.hkexnews.hk/listedco/listconews/sehk/2020/1231/2020123100097.pdf","prospectus")</f>
        <v/>
      </c>
      <c r="BZ15" s="127">
        <f>HYPERLINK("https://www1.hkexnews.hk/listedco/listconews/sehk/2021/0115/2021011500020.htm","allotment")</f>
        <v/>
      </c>
      <c r="CA15" s="127">
        <f>HYPERLINK("https://www1.hkexnews.hk/listedco/listconews/sehk/2021/0208/2021020800187.pdf","stabilisation")</f>
        <v/>
      </c>
      <c r="CB15" s="128" t="n"/>
      <c r="CC15" s="108" t="inlineStr"/>
    </row>
    <row r="16" ht="22" customHeight="1">
      <c r="A16" s="107" t="inlineStr">
        <is>
          <t>2159</t>
        </is>
      </c>
      <c r="B16" s="108" t="inlineStr">
        <is>
          <t>MEDIWELCOME</t>
        </is>
      </c>
      <c r="C16" s="108" t="inlineStr">
        <is>
          <t>麥迪衛康</t>
        </is>
      </c>
      <c r="D16" s="108" t="inlineStr">
        <is>
          <t>Healthcare</t>
        </is>
      </c>
      <c r="E16" s="108" t="inlineStr">
        <is>
          <t>Digital health</t>
        </is>
      </c>
      <c r="F16" s="108" t="inlineStr">
        <is>
          <t>Health Care Services</t>
        </is>
      </c>
      <c r="G16" s="108" t="inlineStr">
        <is>
          <t>Standard</t>
        </is>
      </c>
      <c r="H16" s="109" t="n">
        <v>44215</v>
      </c>
      <c r="I16" s="110" t="n">
        <v>150</v>
      </c>
      <c r="J16" s="108" t="inlineStr">
        <is>
          <t>gross (price x shares)</t>
        </is>
      </c>
      <c r="K16" s="111" t="n">
        <v>3</v>
      </c>
      <c r="L16" s="111" t="n">
        <v>4</v>
      </c>
      <c r="M16" s="111" t="n">
        <v>3</v>
      </c>
      <c r="N16" s="108" t="inlineStr">
        <is>
          <t>N</t>
        </is>
      </c>
      <c r="O16" s="112" t="n">
        <v>75</v>
      </c>
      <c r="P16" s="112" t="n">
        <v>0</v>
      </c>
      <c r="Q16" s="113" t="n">
        <v>750</v>
      </c>
      <c r="R16" s="108" t="inlineStr">
        <is>
          <t>aastocks:上市市值 at the struck price</t>
        </is>
      </c>
      <c r="S16" s="114" t="n">
        <v>168.75</v>
      </c>
      <c r="T16" s="115" t="n">
        <v>1.13</v>
      </c>
      <c r="U16" s="116" t="n">
        <v>0</v>
      </c>
      <c r="V16" s="117" t="n">
        <v>205</v>
      </c>
      <c r="W16" s="112" t="n">
        <v>50</v>
      </c>
      <c r="X16" s="108" t="inlineStr">
        <is>
          <t>YES</t>
        </is>
      </c>
      <c r="Y16" s="113" t="n">
        <v>150</v>
      </c>
      <c r="Z16" s="113" t="n">
        <v>50000000</v>
      </c>
      <c r="AA16" s="112" t="n">
        <v>20</v>
      </c>
      <c r="AB16" s="108" t="inlineStr">
        <is>
          <t>none — no cornerstone tranche</t>
        </is>
      </c>
      <c r="AC16" s="108" t="inlineStr">
        <is>
          <t>none</t>
        </is>
      </c>
      <c r="AD16" s="112" t="n">
        <v>15</v>
      </c>
      <c r="AE16" s="108" t="inlineStr">
        <is>
          <t>lapsed</t>
        </is>
      </c>
      <c r="AF16" s="119" t="n"/>
      <c r="AG16" s="119" t="n"/>
      <c r="AH16" s="119" t="n"/>
      <c r="AI16" s="120" t="n">
        <v>10.67</v>
      </c>
      <c r="AJ16" s="121" t="n">
        <v>26.33</v>
      </c>
      <c r="AK16" s="121" t="n">
        <v>1.09</v>
      </c>
      <c r="AL16" s="121" t="n">
        <v>33.33</v>
      </c>
      <c r="AM16" s="121" t="n">
        <v>-5.25</v>
      </c>
      <c r="AN16" s="123" t="n">
        <v>4.02</v>
      </c>
      <c r="AO16" s="112" t="n">
        <v>30.25</v>
      </c>
      <c r="AP16" s="121" t="n">
        <v>24.67</v>
      </c>
      <c r="AQ16" s="121" t="n">
        <v>22.67</v>
      </c>
      <c r="AR16" s="121" t="n">
        <v>-8.33</v>
      </c>
      <c r="AS16" s="121" t="n">
        <v>-1.31</v>
      </c>
      <c r="AT16" s="121" t="n">
        <v>-2.9</v>
      </c>
      <c r="AU16" s="121" t="n">
        <v>-27.44</v>
      </c>
      <c r="AV16" s="121" t="n">
        <v>17.7</v>
      </c>
      <c r="AW16" s="121" t="n">
        <v>14.24</v>
      </c>
      <c r="AX16" s="121" t="n">
        <v>-9.49</v>
      </c>
      <c r="AY16" s="121" t="n">
        <v>-10.16</v>
      </c>
      <c r="AZ16" s="121" t="n">
        <v>8.43</v>
      </c>
      <c r="BA16" s="121" t="n">
        <v>7.26</v>
      </c>
      <c r="BB16" s="108" t="inlineStr">
        <is>
          <t>China Biotech ETF (HS biotech proxy)</t>
        </is>
      </c>
      <c r="BC16" s="121" t="n">
        <v>-44.5</v>
      </c>
      <c r="BD16" s="109" t="n">
        <v>46297</v>
      </c>
      <c r="BE16" s="110" t="n">
        <v>469.9</v>
      </c>
      <c r="BF16" s="113" t="n">
        <v>28.6</v>
      </c>
      <c r="BG16" s="108" t="inlineStr">
        <is>
          <t>Y</t>
        </is>
      </c>
      <c r="BH16" s="123" t="n">
        <v>26.2</v>
      </c>
      <c r="BI16" s="122" t="n"/>
      <c r="BJ16" s="123" t="n">
        <v>10.6</v>
      </c>
      <c r="BK16" s="123" t="n">
        <v>1.6</v>
      </c>
      <c r="BL16" s="124">
        <f>IF('BBG Verify'!S16="","not filed; run on terminal",'BBG Verify'!S16)</f>
        <v/>
      </c>
      <c r="BM16" s="125" t="inlineStr">
        <is>
          <t>N</t>
        </is>
      </c>
      <c r="BN16" s="126">
        <f>IF('BBG Verify'!K16="","not filed; run on terminal",'BBG Verify'!K16)</f>
        <v/>
      </c>
      <c r="BO16" s="108" t="inlineStr">
        <is>
          <t>N/A</t>
        </is>
      </c>
      <c r="BP16" s="108" t="inlineStr">
        <is>
          <t>N/A</t>
        </is>
      </c>
      <c r="BQ16" s="108" t="inlineStr">
        <is>
          <t>N/A</t>
        </is>
      </c>
      <c r="BR16" s="108" t="inlineStr">
        <is>
          <t>N/A</t>
        </is>
      </c>
      <c r="BS16" s="108" t="inlineStr">
        <is>
          <t>N/A</t>
        </is>
      </c>
      <c r="BT16" s="108" t="inlineStr">
        <is>
          <t>N/A</t>
        </is>
      </c>
      <c r="BU16" s="125" t="inlineStr">
        <is>
          <t>CEB International Capital Corporation Limited</t>
        </is>
      </c>
      <c r="BV16" s="108" t="inlineStr">
        <is>
          <t>CEB International Capital Corporation Limited</t>
        </is>
      </c>
      <c r="BW16" s="108" t="inlineStr">
        <is>
          <t>CEB International Capital Corporation Limited; Aristo Securities Limited; BOCOM International Securities Limited; CMBC Securities Company Limited; SPDB International Capital Limited</t>
        </is>
      </c>
      <c r="BX16" s="108" t="inlineStr">
        <is>
          <t>Aristo Securities Limited; Beta International Securities Limited; CEB International Capital Corporation Limited; CMBC Securities Company Limited; Ruibang Securities Limited; SPDB International Capital Limited; Wonderland International Securities Limited</t>
        </is>
      </c>
      <c r="BY16" s="127">
        <f>HYPERLINK("https://www1.hkexnews.hk/listedco/listconews/sehk/2020/1231/2020123100137.pdf","prospectus")</f>
        <v/>
      </c>
      <c r="BZ16" s="127">
        <f>HYPERLINK("https://www1.hkexnews.hk/listedco/listconews/sehk/2021/0118/2021011800013.htm","allotment")</f>
        <v/>
      </c>
      <c r="CA16" s="127">
        <f>HYPERLINK("https://www1.hkexnews.hk/listedco/listconews/sehk/2021/0209/2021020900406.pdf","stabilisation")</f>
        <v/>
      </c>
      <c r="CB16" s="128" t="n"/>
      <c r="CC16" s="108" t="inlineStr">
        <is>
          <t>greenshoe: outcome published; expiry date not in the notice; market cap: published listing cap used; the estimate from deal size / offer % of enlarged capital disagreed; cornerstone list: no cornerstone tranche; stabilising manager: not named in the allotment notice or prospectus glossary</t>
        </is>
      </c>
    </row>
    <row r="17" ht="22" customHeight="1">
      <c r="A17" s="107" t="inlineStr">
        <is>
          <t>6668</t>
        </is>
      </c>
      <c r="B17" s="108" t="inlineStr">
        <is>
          <t>E-STAR CM</t>
        </is>
      </c>
      <c r="C17" s="108" t="inlineStr">
        <is>
          <t>星盛商業</t>
        </is>
      </c>
      <c r="D17" s="108" t="inlineStr">
        <is>
          <t>Real Estate</t>
        </is>
      </c>
      <c r="E17" s="108" t="inlineStr">
        <is>
          <t>Property management</t>
        </is>
      </c>
      <c r="F17" s="108" t="inlineStr">
        <is>
          <t>Property Service and Management</t>
        </is>
      </c>
      <c r="G17" s="108" t="inlineStr">
        <is>
          <t>Standard</t>
        </is>
      </c>
      <c r="H17" s="109" t="n">
        <v>44222</v>
      </c>
      <c r="I17" s="110" t="n">
        <v>965</v>
      </c>
      <c r="J17" s="108" t="inlineStr">
        <is>
          <t>gross (price x shares)</t>
        </is>
      </c>
      <c r="K17" s="111" t="n">
        <v>3.2</v>
      </c>
      <c r="L17" s="111" t="n">
        <v>3.88</v>
      </c>
      <c r="M17" s="111" t="n">
        <v>3.86</v>
      </c>
      <c r="N17" s="108" t="inlineStr">
        <is>
          <t>N</t>
        </is>
      </c>
      <c r="O17" s="112" t="n">
        <v>99.5</v>
      </c>
      <c r="P17" s="112" t="n">
        <v>97.09999999999999</v>
      </c>
      <c r="Q17" s="113" t="n">
        <v>3482.5</v>
      </c>
      <c r="R17" s="108" t="inlineStr">
        <is>
          <t>derived:deal size / offer % of enlarged capital</t>
        </is>
      </c>
      <c r="S17" s="114" t="n">
        <v>756.85</v>
      </c>
      <c r="T17" s="115" t="n">
        <v>9</v>
      </c>
      <c r="U17" s="116" t="n">
        <v>32</v>
      </c>
      <c r="V17" s="117" t="n">
        <v>167</v>
      </c>
      <c r="W17" s="112" t="n">
        <v>50</v>
      </c>
      <c r="X17" s="108" t="inlineStr">
        <is>
          <t>YES</t>
        </is>
      </c>
      <c r="Y17" s="113" t="n">
        <v>656.2</v>
      </c>
      <c r="Z17" s="113" t="n">
        <v>170000000</v>
      </c>
      <c r="AA17" s="112" t="n">
        <v>18.84</v>
      </c>
      <c r="AB17" s="108" t="inlineStr">
        <is>
          <t>Pilgrim Ever Project Company Limited; SCGC Capital Holding Company Limited; Shenzhen Qichang Investment Holding Limited; Virtues Origin SPC</t>
        </is>
      </c>
      <c r="AC17" s="108" t="inlineStr">
        <is>
          <t>pilgrim;scgc;shenzhen-qichang;virtues</t>
        </is>
      </c>
      <c r="AD17" s="112" t="n">
        <v>8</v>
      </c>
      <c r="AE17" s="108" t="inlineStr">
        <is>
          <t>partial</t>
        </is>
      </c>
      <c r="AF17" s="108" t="inlineStr">
        <is>
          <t>2021-02-18</t>
        </is>
      </c>
      <c r="AG17" s="108" t="inlineStr">
        <is>
          <t>CCB International Capital Limited</t>
        </is>
      </c>
      <c r="AH17" s="108" t="inlineStr">
        <is>
          <t>CCB</t>
        </is>
      </c>
      <c r="AI17" s="120" t="n">
        <v>21.5</v>
      </c>
      <c r="AJ17" s="121" t="n">
        <v>3.63</v>
      </c>
      <c r="AK17" s="121" t="n">
        <v>0.22</v>
      </c>
      <c r="AL17" s="121" t="n">
        <v>13.99</v>
      </c>
      <c r="AM17" s="121" t="n">
        <v>-9.09</v>
      </c>
      <c r="AN17" s="123" t="n">
        <v>1.51</v>
      </c>
      <c r="AO17" s="112" t="n">
        <v>14.09</v>
      </c>
      <c r="AP17" s="121" t="n">
        <v>3.11</v>
      </c>
      <c r="AQ17" s="121" t="n">
        <v>-8.029999999999999</v>
      </c>
      <c r="AR17" s="121" t="n">
        <v>16.58</v>
      </c>
      <c r="AS17" s="121" t="n">
        <v>-0.5</v>
      </c>
      <c r="AT17" s="121" t="n">
        <v>-11.25</v>
      </c>
      <c r="AU17" s="121" t="n">
        <v>12.5</v>
      </c>
      <c r="AV17" s="121" t="n">
        <v>5.99</v>
      </c>
      <c r="AW17" s="121" t="n">
        <v>-16.36</v>
      </c>
      <c r="AX17" s="121" t="n">
        <v>8.76</v>
      </c>
      <c r="AY17" s="121" t="n">
        <v>-19.34</v>
      </c>
      <c r="AZ17" s="121" t="n">
        <v>8.33</v>
      </c>
      <c r="BA17" s="121" t="n">
        <v>8.09</v>
      </c>
      <c r="BB17" s="108" t="inlineStr">
        <is>
          <t>Hang Seng Properties sub-index</t>
        </is>
      </c>
      <c r="BC17" s="121" t="n">
        <v>-64.12</v>
      </c>
      <c r="BD17" s="109" t="n">
        <v>46297</v>
      </c>
      <c r="BE17" s="110" t="n">
        <v>426</v>
      </c>
      <c r="BF17" s="131" t="n"/>
      <c r="BG17" s="119" t="n"/>
      <c r="BH17" s="124">
        <f>IF('BBG Verify'!O17="","not filed; run on terminal",'BBG Verify'!O17)</f>
        <v/>
      </c>
      <c r="BI17" s="122" t="n"/>
      <c r="BJ17" s="123" t="n">
        <v>7.9</v>
      </c>
      <c r="BK17" s="123" t="n">
        <v>8.199999999999999</v>
      </c>
      <c r="BL17" s="124">
        <f>IF('BBG Verify'!S17="","not filed; run on terminal",'BBG Verify'!S17)</f>
        <v/>
      </c>
      <c r="BM17" s="125" t="inlineStr">
        <is>
          <t>N</t>
        </is>
      </c>
      <c r="BN17" s="126">
        <f>IF('BBG Verify'!K17="","not filed; run on terminal",'BBG Verify'!K17)</f>
        <v/>
      </c>
      <c r="BO17" s="108" t="inlineStr">
        <is>
          <t>N/A</t>
        </is>
      </c>
      <c r="BP17" s="108" t="inlineStr">
        <is>
          <t>N/A</t>
        </is>
      </c>
      <c r="BQ17" s="108" t="inlineStr">
        <is>
          <t>N/A</t>
        </is>
      </c>
      <c r="BR17" s="108" t="inlineStr">
        <is>
          <t>N/A</t>
        </is>
      </c>
      <c r="BS17" s="108" t="inlineStr">
        <is>
          <t>N/A</t>
        </is>
      </c>
      <c r="BT17" s="108" t="inlineStr">
        <is>
          <t>N/A</t>
        </is>
      </c>
      <c r="BU17" s="125" t="inlineStr">
        <is>
          <t>CCB International Capital Limited; China Securities (International) Corporate Finance Company Limited</t>
        </is>
      </c>
      <c r="BV17" s="108" t="inlineStr">
        <is>
          <t>CCB International Capital Limited; China Securities (International) Corporate Finance Company Limited</t>
        </is>
      </c>
      <c r="BW17" s="108" t="inlineStr">
        <is>
          <t>CCB International Capital Limited; China Securities (International) Corporate Finance Company Limited; Shenwan Hongyuan Securities (H.K.) Limited; ABCI Capital Limited; China Industrial Securities International Capital Limited; UOB Kay Hian (Hong Kong) Limited; HeungKong Securities Limited; Futu Securities International (Hong Kong) Limited; AMTD Global Markets Limited</t>
        </is>
      </c>
      <c r="BX17" s="108" t="inlineStr">
        <is>
          <t>ABCI Securities Company Limited; AMTD Global Markets Limited; CCB International Capital Limited; China Industrial Securities International Capital Limited; China Securities (International) Corporate Finance Company Limited; Futu Securities International (Hong Kong) Limited; HeungKong Securities Limited; Shenwan Hongyuan Securities (H.K.) Limited; UOB Kay Hian (Hong Kong) Limited</t>
        </is>
      </c>
      <c r="BY17" s="127">
        <f>HYPERLINK("https://www1.hkexnews.hk/listedco/listconews/sehk/2021/0114/2021011400003.pdf","prospectus")</f>
        <v/>
      </c>
      <c r="BZ17" s="127">
        <f>HYPERLINK("https://www1.hkexnews.hk/listedco/listconews/sehk/2021/0125/2021012500004.htm","allotment")</f>
        <v/>
      </c>
      <c r="CA17" s="127">
        <f>HYPERLINK("https://www1.hkexnews.hk/listedco/listconews/sehk/2021/0218/2021021800882.pdf","stabilisation")</f>
        <v/>
      </c>
      <c r="CB17" s="128" t="n"/>
      <c r="CC17" s="108" t="inlineStr">
        <is>
          <t>P/E: net income not extractable; financials: not extractable; pre-IPO year outside the AAStocks window</t>
        </is>
      </c>
    </row>
    <row r="18" ht="22" customHeight="1">
      <c r="A18" s="107" t="inlineStr">
        <is>
          <t>2160</t>
        </is>
      </c>
      <c r="B18" s="108" t="inlineStr">
        <is>
          <t>CARDIOFLOW-B</t>
        </is>
      </c>
      <c r="C18" s="108" t="inlineStr">
        <is>
          <t>微創心通－Ｂ</t>
        </is>
      </c>
      <c r="D18" s="108" t="inlineStr">
        <is>
          <t>Healthcare</t>
        </is>
      </c>
      <c r="E18" s="108" t="inlineStr">
        <is>
          <t>Medical devices</t>
        </is>
      </c>
      <c r="F18" s="108" t="inlineStr">
        <is>
          <t>Biotechnology</t>
        </is>
      </c>
      <c r="G18" s="108" t="inlineStr">
        <is>
          <t>18A</t>
        </is>
      </c>
      <c r="H18" s="109" t="n">
        <v>44231</v>
      </c>
      <c r="I18" s="110" t="n">
        <v>2508.6</v>
      </c>
      <c r="J18" s="108" t="inlineStr">
        <is>
          <t>gross (price x shares)</t>
        </is>
      </c>
      <c r="K18" s="129" t="n"/>
      <c r="L18" s="111" t="n">
        <v>12.2</v>
      </c>
      <c r="M18" s="111" t="n">
        <v>12.2</v>
      </c>
      <c r="N18" s="108" t="inlineStr">
        <is>
          <t>Y</t>
        </is>
      </c>
      <c r="O18" s="112" t="n">
        <v>100</v>
      </c>
      <c r="P18" s="118" t="n"/>
      <c r="Q18" s="113" t="n">
        <v>27925.2</v>
      </c>
      <c r="R18" s="108" t="inlineStr">
        <is>
          <t>aastocks:上市市值 at the struck price</t>
        </is>
      </c>
      <c r="S18" s="114" t="n">
        <v>769</v>
      </c>
      <c r="T18" s="115" t="n">
        <v>54</v>
      </c>
      <c r="U18" s="116" t="n">
        <v>38.9</v>
      </c>
      <c r="V18" s="117" t="n">
        <v>281</v>
      </c>
      <c r="W18" s="118" t="n"/>
      <c r="X18" s="119" t="n"/>
      <c r="Y18" s="113" t="n">
        <v>1532.75</v>
      </c>
      <c r="Z18" s="113" t="n">
        <v>125633820</v>
      </c>
      <c r="AA18" s="112" t="n">
        <v>5.49</v>
      </c>
      <c r="AB18" s="108" t="inlineStr">
        <is>
          <t>3W Fund Management Limited; CDG Group Fund L.P; China Asset Management Co., Ltd; CPE Greater China Enterprises Growth Fund; Gaoling Fund, L.P.; YHG Investment, L.P; GIC Private Limited; Indus Capital Partners, LLC; Kunlun Group Limited; Lake Bleu Prime Healthcare Master Fund Limited; Pinpoint Asset Management Limited; Snow Lake China Master Long Fund, Ltd; Taikang Life Insurance Co., Ltd; Tybourne Capital Management (HK) Limited; Woodline Master Fund LP; WT Asset Management Limited; Yi Fang Da Brocade Inv. Limited</t>
        </is>
      </c>
      <c r="AC18" s="108" t="inlineStr">
        <is>
          <t>3w;cdg;china-asset;cpe;gaoling;yhg;gic;indus;kunlun;lake;pinpoint;snow;taikang;tybourne;woodline;wt;yi</t>
        </is>
      </c>
      <c r="AD18" s="118" t="n"/>
      <c r="AE18" s="108" t="inlineStr">
        <is>
          <t>full</t>
        </is>
      </c>
      <c r="AF18" s="108" t="inlineStr">
        <is>
          <t>2021-02-28</t>
        </is>
      </c>
      <c r="AG18" s="119" t="n"/>
      <c r="AH18" s="119" t="n"/>
      <c r="AI18" s="120" t="n">
        <v>65.56999999999999</v>
      </c>
      <c r="AJ18" s="121" t="n">
        <v>54.26</v>
      </c>
      <c r="AK18" s="121" t="n">
        <v>-0.19</v>
      </c>
      <c r="AL18" s="121" t="n">
        <v>76.23</v>
      </c>
      <c r="AM18" s="121" t="n">
        <v>-12.47</v>
      </c>
      <c r="AN18" s="122" t="n"/>
      <c r="AO18" s="112" t="n">
        <v>18.98</v>
      </c>
      <c r="AP18" s="121" t="n">
        <v>59.67</v>
      </c>
      <c r="AQ18" s="121" t="n">
        <v>29.51</v>
      </c>
      <c r="AR18" s="121" t="n">
        <v>27.54</v>
      </c>
      <c r="AS18" s="121" t="n">
        <v>3.51</v>
      </c>
      <c r="AT18" s="121" t="n">
        <v>-16.04</v>
      </c>
      <c r="AU18" s="121" t="n">
        <v>-17.32</v>
      </c>
      <c r="AV18" s="121" t="n">
        <v>53.43</v>
      </c>
      <c r="AW18" s="121" t="n">
        <v>48.39</v>
      </c>
      <c r="AX18" s="121" t="n">
        <v>36.5</v>
      </c>
      <c r="AY18" s="121" t="n">
        <v>2.69</v>
      </c>
      <c r="AZ18" s="121" t="n">
        <v>-18.88</v>
      </c>
      <c r="BA18" s="121" t="n">
        <v>-18.73</v>
      </c>
      <c r="BB18" s="108" t="inlineStr">
        <is>
          <t>China Biotech ETF (HS biotech proxy)</t>
        </is>
      </c>
      <c r="BC18" s="121" t="n">
        <v>-97.90000000000001</v>
      </c>
      <c r="BD18" s="109" t="n">
        <v>46265</v>
      </c>
      <c r="BE18" s="110" t="n">
        <v>53.3</v>
      </c>
      <c r="BF18" s="113" t="n">
        <v>-91.8</v>
      </c>
      <c r="BG18" s="108" t="inlineStr">
        <is>
          <t>N</t>
        </is>
      </c>
      <c r="BH18" s="108" t="inlineStr">
        <is>
          <t>n/m</t>
        </is>
      </c>
      <c r="BI18" s="122" t="n"/>
      <c r="BJ18" s="122" t="n"/>
      <c r="BK18" s="123" t="n">
        <v>523.9</v>
      </c>
      <c r="BL18" s="124">
        <f>IF('BBG Verify'!S18="","not filed; run on terminal",'BBG Verify'!S18)</f>
        <v/>
      </c>
      <c r="BM18" s="125" t="inlineStr">
        <is>
          <t>N</t>
        </is>
      </c>
      <c r="BN18" s="126">
        <f>IF('BBG Verify'!K18="","not filed; run on terminal",'BBG Verify'!K18)</f>
        <v/>
      </c>
      <c r="BO18" s="108" t="inlineStr">
        <is>
          <t>N/A</t>
        </is>
      </c>
      <c r="BP18" s="108" t="inlineStr">
        <is>
          <t>N/A</t>
        </is>
      </c>
      <c r="BQ18" s="108" t="inlineStr">
        <is>
          <t>N/A</t>
        </is>
      </c>
      <c r="BR18" s="108" t="inlineStr">
        <is>
          <t>N/A</t>
        </is>
      </c>
      <c r="BS18" s="108" t="inlineStr">
        <is>
          <t>N/A</t>
        </is>
      </c>
      <c r="BT18" s="108" t="inlineStr">
        <is>
          <t>N/A</t>
        </is>
      </c>
      <c r="BU18" s="125" t="inlineStr">
        <is>
          <t>J.P. Morgan Securities (Far East) Limited; Citigroup Global Markets Asia Limited; China International Capital Corporation Hong Kong Securities Limited</t>
        </is>
      </c>
      <c r="BV18" s="108" t="inlineStr">
        <is>
          <t>China International Capital Corporation Hong Kong Securities Limited; J.P. Morgan Securities (Far East) Limited; Citigroup Global Markets Asia Limited</t>
        </is>
      </c>
      <c r="BW18" s="108" t="inlineStr">
        <is>
          <t>J.P. Morgan Securities (Asia Pacific) Limited; Citigroup Global Markets Asia Limited; China International Capital Corporation Hong Kong Securities Limited; J.P. Morgan Securities plc; Citigroup Global Markets Limited</t>
        </is>
      </c>
      <c r="BX18" s="108" t="inlineStr">
        <is>
          <t>Citigroup Global Markets Asia Limited; China International Capital Corporation Hong Kong Securities Limited; J.P. Morgan Securities (Asia Pacific) Limited</t>
        </is>
      </c>
      <c r="BY18" s="127">
        <f>HYPERLINK("https://www1.hkexnews.hk/listedco/listconews/sehk/2021/0126/2021012600169.htm","prospectus")</f>
        <v/>
      </c>
      <c r="BZ18" s="127">
        <f>HYPERLINK("https://www1.hkexnews.hk/listedco/listconews/sehk/2021/0203/2021020300020.htm","allotment")</f>
        <v/>
      </c>
      <c r="CA18" s="127">
        <f>HYPERLINK("https://www1.hkexnews.hk/listedco/listconews/sehk/2021/0228/2021022800029.pdf","stabilisation")</f>
        <v/>
      </c>
      <c r="CB18" s="128" t="n"/>
      <c r="CC18" s="108" t="inlineStr">
        <is>
          <t>P/E: loss-making at IPO, use P/S; price range: fixed-price offering (no indicative range); range low: maximum offer price only, no floor published; cornerstone %: upper bound: AAStocks institutional total / deal size; greenshoe size: no over-allotment option; P/S: 524x on HK$53.3m revenue, effectively pre-revenue; not comparable; stabilising manager: not named in the allotment notice or prospectus glossary; price series: last available quoted close 2026-08-31; may be suspended, delisted or a source gap; price and benchmark end on that date; allocation: allocation table not in this notice's format (older prose announcement); day-1 tape: volume on file; the retail multiple needs the final public split, which this notice does not state</t>
        </is>
      </c>
    </row>
    <row r="19" ht="22" customHeight="1">
      <c r="A19" s="107" t="inlineStr">
        <is>
          <t>2161</t>
        </is>
      </c>
      <c r="B19" s="108" t="inlineStr">
        <is>
          <t>JBM HEALTHCARE</t>
        </is>
      </c>
      <c r="C19" s="108" t="inlineStr">
        <is>
          <t>健倍苗苗</t>
        </is>
      </c>
      <c r="D19" s="108" t="inlineStr">
        <is>
          <t>Healthcare</t>
        </is>
      </c>
      <c r="E19" s="108" t="inlineStr">
        <is>
          <t>Biopharma commercial</t>
        </is>
      </c>
      <c r="F19" s="108" t="inlineStr">
        <is>
          <t>Health Care Supplies</t>
        </is>
      </c>
      <c r="G19" s="108" t="inlineStr">
        <is>
          <t>Standard</t>
        </is>
      </c>
      <c r="H19" s="109" t="n">
        <v>44232</v>
      </c>
      <c r="I19" s="110" t="n">
        <v>10.6</v>
      </c>
      <c r="J19" s="108" t="inlineStr">
        <is>
          <t>net proceeds</t>
        </is>
      </c>
      <c r="K19" s="129" t="n"/>
      <c r="L19" s="111" t="n">
        <v>1.2</v>
      </c>
      <c r="M19" s="111" t="n">
        <v>1.2</v>
      </c>
      <c r="N19" s="108" t="inlineStr">
        <is>
          <t>Y</t>
        </is>
      </c>
      <c r="O19" s="112" t="n">
        <v>100</v>
      </c>
      <c r="P19" s="118" t="n"/>
      <c r="Q19" s="113" t="n">
        <v>1072.4</v>
      </c>
      <c r="R19" s="108" t="inlineStr">
        <is>
          <t>press:broker factsheet (cyberquote 2161.pdf): HK$1,072.4m at HK$1.20 | FINANCIALS (HKD x1.0): JBM Healthcare FY2020 (Mar-YE) prospectus: revenue HK$381.5m, profit HK$44.3m</t>
        </is>
      </c>
      <c r="S19" s="114" t="n">
        <v>22.47</v>
      </c>
      <c r="T19" s="133">
        <f>IF('BBG Verify'!E19="","not filed; run on terminal",'BBG Verify'!E19)</f>
        <v/>
      </c>
      <c r="U19" s="116" t="n">
        <v>0</v>
      </c>
      <c r="V19" s="134" t="n"/>
      <c r="W19" s="118" t="n"/>
      <c r="X19" s="119" t="n"/>
      <c r="Y19" s="113" t="n">
        <v>10.6</v>
      </c>
      <c r="Z19" s="131" t="n"/>
      <c r="AA19" s="112" t="n">
        <v>0.99</v>
      </c>
      <c r="AB19" s="108" t="inlineStr">
        <is>
          <t>none — no cornerstone tranche</t>
        </is>
      </c>
      <c r="AC19" s="108" t="inlineStr">
        <is>
          <t>none</t>
        </is>
      </c>
      <c r="AD19" s="118" t="n"/>
      <c r="AE19" s="119" t="n"/>
      <c r="AF19" s="119" t="n"/>
      <c r="AG19" s="119" t="n"/>
      <c r="AH19" s="119" t="n"/>
      <c r="AI19" s="120" t="n">
        <v>14.17</v>
      </c>
      <c r="AJ19" s="121" t="n">
        <v>80</v>
      </c>
      <c r="AK19" s="121" t="n">
        <v>1.02</v>
      </c>
      <c r="AL19" s="121" t="n">
        <v>23.33</v>
      </c>
      <c r="AM19" s="121" t="n">
        <v>45.95</v>
      </c>
      <c r="AN19" s="122" t="n"/>
      <c r="AO19" s="112" t="n">
        <v>116.89</v>
      </c>
      <c r="AP19" s="121" t="n">
        <v>100</v>
      </c>
      <c r="AQ19" s="121" t="n">
        <v>21.67</v>
      </c>
      <c r="AR19" s="121" t="n">
        <v>50</v>
      </c>
      <c r="AS19" s="121" t="n">
        <v>11.11</v>
      </c>
      <c r="AT19" s="121" t="n">
        <v>-32.41</v>
      </c>
      <c r="AU19" s="121" t="n">
        <v>-16.67</v>
      </c>
      <c r="AV19" s="121" t="n">
        <v>93.61</v>
      </c>
      <c r="AW19" s="121" t="n">
        <v>39.37</v>
      </c>
      <c r="AX19" s="121" t="n">
        <v>56.87</v>
      </c>
      <c r="AY19" s="121" t="n">
        <v>-13.87</v>
      </c>
      <c r="AZ19" s="121" t="n">
        <v>-17.7</v>
      </c>
      <c r="BA19" s="121" t="n">
        <v>-18.54</v>
      </c>
      <c r="BB19" s="108" t="inlineStr">
        <is>
          <t>China Biotech ETF (HS biotech proxy)</t>
        </is>
      </c>
      <c r="BC19" s="121" t="n">
        <v>35</v>
      </c>
      <c r="BD19" s="109" t="n">
        <v>46297</v>
      </c>
      <c r="BE19" s="110" t="n">
        <v>381.5</v>
      </c>
      <c r="BF19" s="113" t="n">
        <v>44.3</v>
      </c>
      <c r="BG19" s="108" t="inlineStr">
        <is>
          <t>Y</t>
        </is>
      </c>
      <c r="BH19" s="123" t="n">
        <v>24.2</v>
      </c>
      <c r="BI19" s="122" t="n"/>
      <c r="BJ19" s="123" t="n">
        <v>7.4</v>
      </c>
      <c r="BK19" s="123" t="n">
        <v>2.8</v>
      </c>
      <c r="BL19" s="124">
        <f>IF('BBG Verify'!S19="","not filed; run on terminal",'BBG Verify'!S19)</f>
        <v/>
      </c>
      <c r="BM19" s="125" t="inlineStr">
        <is>
          <t>N</t>
        </is>
      </c>
      <c r="BN19" s="126">
        <f>IF('BBG Verify'!K19="","not filed; run on terminal",'BBG Verify'!K19)</f>
        <v/>
      </c>
      <c r="BO19" s="108" t="inlineStr">
        <is>
          <t>N/A</t>
        </is>
      </c>
      <c r="BP19" s="108" t="inlineStr">
        <is>
          <t>N/A</t>
        </is>
      </c>
      <c r="BQ19" s="108" t="inlineStr">
        <is>
          <t>N/A</t>
        </is>
      </c>
      <c r="BR19" s="108" t="inlineStr">
        <is>
          <t>N/A</t>
        </is>
      </c>
      <c r="BS19" s="108" t="inlineStr">
        <is>
          <t>N/A</t>
        </is>
      </c>
      <c r="BT19" s="108" t="inlineStr">
        <is>
          <t>N/A</t>
        </is>
      </c>
      <c r="BU19" s="125" t="inlineStr">
        <is>
          <t>China Galaxy International Securities (Hong Kong) Company Limited</t>
        </is>
      </c>
      <c r="BV19" s="108" t="inlineStr">
        <is>
          <t>China Galaxy International Securities (Hong Kong) Company Limited</t>
        </is>
      </c>
      <c r="BW19" s="108" t="inlineStr">
        <is>
          <t>China Galaxy International Securities (Hong Kong) Company Limited; Cinda International Capital Limited; Eddid Securities and Futures Limited; Fosun Hani Securities Limited; HeungKong Securities Limited; Maxa Capital Limited; Southwest Securities (HK) Brokerage Limited; TUS Corporate Finance Limited</t>
        </is>
      </c>
      <c r="BX19" s="108" t="inlineStr">
        <is>
          <t>China Galaxy International Securities (Hong Kong) Company Limited; Cinda International Capital Limited; Eddid Securities and Futures Limited; Fosun Hani Securities Limited; HeungKong Securities Limited; Maxa Capital Limited; Southwest Securities (HK) Brokerage Limited; TUS Corporate Finance Limited</t>
        </is>
      </c>
      <c r="BY19" s="127">
        <f>HYPERLINK("https://www1.hkexnews.hk/listedco/listconews/sehk/2021/0126/2021012600248.pdf","prospectus")</f>
        <v/>
      </c>
      <c r="BZ19" s="127">
        <f>HYPERLINK("https://www1.hkexnews.hk/listedco/listconews/sehk/2021/0204/2021020400012.htm","allotment")</f>
        <v/>
      </c>
      <c r="CA19" s="119" t="n"/>
      <c r="CB19" s="128" t="n"/>
      <c r="CC19" s="108" t="inlineStr">
        <is>
          <t>intl sub: not stated in the filing; greenshoe: no over-allotment option; range low: maximum offer price only, no floor published; sponsor: English name not in the filing; AAStocks 保薦人 shown; cornerstone list: no cornerstone tranche; greenshoe size: no over-allotment option; stabilising manager: no over-allotment option, so none appointed; eff float shares: share count unavailable; the HK$m figure is exact; allocation: allocation table not in this notice's format (older prose announcement); day-1 tape: volume on file; the retail multiple needs the final public split, which this notice does not state</t>
        </is>
      </c>
    </row>
    <row r="20" ht="22" customHeight="1">
      <c r="A20" s="107" t="inlineStr">
        <is>
          <t>1024</t>
        </is>
      </c>
      <c r="B20" s="108" t="inlineStr">
        <is>
          <t>KUAISHOU-W</t>
        </is>
      </c>
      <c r="C20" s="108" t="inlineStr">
        <is>
          <t>快手－Ｗ</t>
        </is>
      </c>
      <c r="D20" s="108" t="inlineStr">
        <is>
          <t>Tech/AI</t>
        </is>
      </c>
      <c r="E20" s="108" t="inlineStr">
        <is>
          <t>Internet platform / e-commerce</t>
        </is>
      </c>
      <c r="F20" s="108" t="inlineStr">
        <is>
          <t>e-Commerce &amp; Internet Services</t>
        </is>
      </c>
      <c r="G20" s="108" t="inlineStr">
        <is>
          <t>WVR</t>
        </is>
      </c>
      <c r="H20" s="109" t="n">
        <v>44232</v>
      </c>
      <c r="I20" s="110" t="n">
        <v>42000.1</v>
      </c>
      <c r="J20" s="108" t="inlineStr">
        <is>
          <t>gross (price x shares)</t>
        </is>
      </c>
      <c r="K20" s="129" t="n"/>
      <c r="L20" s="111" t="n">
        <v>115</v>
      </c>
      <c r="M20" s="111" t="n">
        <v>115</v>
      </c>
      <c r="N20" s="108" t="inlineStr">
        <is>
          <t>Y</t>
        </is>
      </c>
      <c r="O20" s="112" t="n">
        <v>100</v>
      </c>
      <c r="P20" s="118" t="n"/>
      <c r="Q20" s="113" t="n">
        <v>457482.6</v>
      </c>
      <c r="R20" s="108" t="inlineStr">
        <is>
          <t>aastocks:上市市值 at the struck price</t>
        </is>
      </c>
      <c r="S20" s="114" t="n">
        <v>1204.16</v>
      </c>
      <c r="T20" s="115" t="n">
        <v>39</v>
      </c>
      <c r="U20" s="116" t="n">
        <v>45.23</v>
      </c>
      <c r="V20" s="117" t="n">
        <v>734</v>
      </c>
      <c r="W20" s="118" t="n"/>
      <c r="X20" s="119" t="n"/>
      <c r="Y20" s="113" t="n">
        <v>23003.45</v>
      </c>
      <c r="Z20" s="113" t="n">
        <v>200030227</v>
      </c>
      <c r="AA20" s="112" t="n">
        <v>5.03</v>
      </c>
      <c r="AB20" s="108" t="inlineStr">
        <is>
          <t>Aranda Investments Pte. Ltd; BlackRock; CPP Investment Board PMI-2 Inc; FIL Investment Management (Hong Kong) Limited; GIC Private Limited; Invesco Ltd; Morgan Stanley Asia Limited; Morgan Stanley Investment Management Inc; Sunny Festive Limited; The Capital Group Funds</t>
        </is>
      </c>
      <c r="AC20" s="108" t="inlineStr">
        <is>
          <t>aranda;blackrock;cpp;fil;gic;invesco;morgan;sunny;the-capital</t>
        </is>
      </c>
      <c r="AD20" s="118" t="n"/>
      <c r="AE20" s="108" t="inlineStr">
        <is>
          <t>full</t>
        </is>
      </c>
      <c r="AF20" s="108" t="inlineStr">
        <is>
          <t>2021-02-28</t>
        </is>
      </c>
      <c r="AG20" s="108" t="inlineStr">
        <is>
          <t>Morgan Stanley Asia Limited</t>
        </is>
      </c>
      <c r="AH20" s="108" t="inlineStr">
        <is>
          <t>Morgan Stanley</t>
        </is>
      </c>
      <c r="AI20" s="120" t="n">
        <v>191.83</v>
      </c>
      <c r="AJ20" s="121" t="n">
        <v>160.87</v>
      </c>
      <c r="AK20" s="121" t="n">
        <v>-0.92</v>
      </c>
      <c r="AL20" s="121" t="n">
        <v>193.91</v>
      </c>
      <c r="AM20" s="121" t="n">
        <v>-11.24</v>
      </c>
      <c r="AN20" s="122" t="n"/>
      <c r="AO20" s="112" t="n">
        <v>13.31</v>
      </c>
      <c r="AP20" s="121" t="n">
        <v>250.43</v>
      </c>
      <c r="AQ20" s="121" t="n">
        <v>141.91</v>
      </c>
      <c r="AR20" s="121" t="n">
        <v>105.39</v>
      </c>
      <c r="AS20" s="121" t="n">
        <v>34.33</v>
      </c>
      <c r="AT20" s="121" t="n">
        <v>-7.27</v>
      </c>
      <c r="AU20" s="121" t="n">
        <v>-21.27</v>
      </c>
      <c r="AV20" s="121" t="n">
        <v>242.45</v>
      </c>
      <c r="AW20" s="121" t="n">
        <v>158.43</v>
      </c>
      <c r="AX20" s="121" t="n">
        <v>126.23</v>
      </c>
      <c r="AY20" s="121" t="n">
        <v>8.48</v>
      </c>
      <c r="AZ20" s="121" t="n">
        <v>-16.52</v>
      </c>
      <c r="BA20" s="121" t="n">
        <v>-15.75</v>
      </c>
      <c r="BB20" s="108" t="inlineStr">
        <is>
          <t>HSTECH (Hang Seng TECH ETF)</t>
        </is>
      </c>
      <c r="BC20" s="121" t="n">
        <v>-74.28</v>
      </c>
      <c r="BD20" s="109" t="n">
        <v>46297</v>
      </c>
      <c r="BE20" s="132" t="n"/>
      <c r="BF20" s="131" t="n"/>
      <c r="BG20" s="119" t="n"/>
      <c r="BH20" s="124">
        <f>IF('BBG Verify'!O20="","not filed; run on terminal",'BBG Verify'!O20)</f>
        <v/>
      </c>
      <c r="BI20" s="122" t="n"/>
      <c r="BJ20" s="123" t="n">
        <v>8</v>
      </c>
      <c r="BK20" s="122" t="n"/>
      <c r="BL20" s="124">
        <f>IF('BBG Verify'!S20="","not filed; run on terminal",'BBG Verify'!S20)</f>
        <v/>
      </c>
      <c r="BM20" s="125" t="inlineStr">
        <is>
          <t>N</t>
        </is>
      </c>
      <c r="BN20" s="126">
        <f>IF('BBG Verify'!K20="","not filed; run on terminal",'BBG Verify'!K20)</f>
        <v/>
      </c>
      <c r="BO20" s="108" t="inlineStr">
        <is>
          <t>N/A</t>
        </is>
      </c>
      <c r="BP20" s="108" t="inlineStr">
        <is>
          <t>N/A</t>
        </is>
      </c>
      <c r="BQ20" s="108" t="inlineStr">
        <is>
          <t>N/A</t>
        </is>
      </c>
      <c r="BR20" s="108" t="inlineStr">
        <is>
          <t>N/A</t>
        </is>
      </c>
      <c r="BS20" s="108" t="inlineStr">
        <is>
          <t>N/A</t>
        </is>
      </c>
      <c r="BT20" s="108" t="inlineStr">
        <is>
          <t>N/A</t>
        </is>
      </c>
      <c r="BU20" s="125" t="inlineStr">
        <is>
          <t>Morgan Stanley Asia Limited; Merrill Lynch Far East Limited; China Renaissance Securities (Hong Kong) Limited</t>
        </is>
      </c>
      <c r="BV20" s="108" t="inlineStr">
        <is>
          <t>Morgan Stanley Asia Limited; Merrill Lynch Far East Limited; China Renaissance Securities (Hong Kong) Limited</t>
        </is>
      </c>
      <c r="BW20" s="108" t="inlineStr">
        <is>
          <t>Morgan Stanley &amp; Co. International plc; Canary Wharf London E14 4QA United Kingdom Merrill Lynch (Asia Pacific) Limited; China Renaissance Securities (Hong Kong) Limited; ICBC International Securities Limited</t>
        </is>
      </c>
      <c r="BX20" s="108" t="inlineStr">
        <is>
          <t>BOCI Asia Limited; CMB International Capital Limited; China Renaissance Securities (Hong Kong) Limited; Futu Securities International (Hong Kong) Limited; Haitong International Securities Company Limited; The Hongkong and Shanghai Banking Corporation Limited; ICBC International Securities Limited; Merrill Lynch (Asia Pacific) Limited; Morgan Stanley Asia Limited</t>
        </is>
      </c>
      <c r="BY20" s="127">
        <f>HYPERLINK("https://www1.hkexnews.hk/listedco/listconews/sehk/2021/0126/2021012600093.htm","prospectus")</f>
        <v/>
      </c>
      <c r="BZ20" s="127">
        <f>HYPERLINK("https://www1.hkexnews.hk/listedco/listconews/sehk/2021/0204/2021020400034.htm","allotment")</f>
        <v/>
      </c>
      <c r="CA20" s="127">
        <f>HYPERLINK("https://www1.hkexnews.hk/listedco/listconews/sehk/2021/0301/2021030100029.pdf","stabilisation")</f>
        <v/>
      </c>
      <c r="CB20" s="128" t="n"/>
      <c r="CC20" s="108" t="inlineStr">
        <is>
          <t>P/E: net income not extractable; price range: fixed-price offering (no indicative range); range low: maximum offer price only, no floor published; A/H: no A-share listing; nearest A proxy Mango Excellent Media (300413.SZ); greenshoe size: no over-allotment option; P/S: revenue not extractable; financials: not extractable; pre-IPO year outside the AAStocks window; allocation: allocation table not in this notice's format (older prose announcement); day-1 tape: volume on file; the retail multiple needs the final public split, which this notice does not state</t>
        </is>
      </c>
    </row>
    <row r="21" ht="22" customHeight="1">
      <c r="A21" s="107" t="inlineStr">
        <is>
          <t>2170</t>
        </is>
      </c>
      <c r="B21" s="108" t="inlineStr">
        <is>
          <t>BASECARE-B</t>
        </is>
      </c>
      <c r="C21" s="108" t="inlineStr">
        <is>
          <t>貝康醫療－Ｂ</t>
        </is>
      </c>
      <c r="D21" s="108" t="inlineStr">
        <is>
          <t>Healthcare</t>
        </is>
      </c>
      <c r="E21" s="108" t="inlineStr">
        <is>
          <t>Medical devices</t>
        </is>
      </c>
      <c r="F21" s="108" t="inlineStr">
        <is>
          <t>Biotechnology</t>
        </is>
      </c>
      <c r="G21" s="108" t="inlineStr">
        <is>
          <t>18A</t>
        </is>
      </c>
      <c r="H21" s="109" t="n">
        <v>44235</v>
      </c>
      <c r="I21" s="110" t="n">
        <v>1824</v>
      </c>
      <c r="J21" s="108" t="inlineStr">
        <is>
          <t>gross (price x shares)</t>
        </is>
      </c>
      <c r="K21" s="129" t="n"/>
      <c r="L21" s="111" t="n">
        <v>27.36</v>
      </c>
      <c r="M21" s="111" t="n">
        <v>27.36</v>
      </c>
      <c r="N21" s="108" t="inlineStr">
        <is>
          <t>Y</t>
        </is>
      </c>
      <c r="O21" s="112" t="n">
        <v>100</v>
      </c>
      <c r="P21" s="118" t="n"/>
      <c r="Q21" s="113" t="n">
        <v>7346.9</v>
      </c>
      <c r="R21" s="108" t="inlineStr">
        <is>
          <t>aastocks:上市市值 at the struck price</t>
        </is>
      </c>
      <c r="S21" s="114" t="n">
        <v>402.8</v>
      </c>
      <c r="T21" s="115" t="n">
        <v>21.8</v>
      </c>
      <c r="U21" s="116" t="n">
        <v>17</v>
      </c>
      <c r="V21" s="117" t="n">
        <v>112</v>
      </c>
      <c r="W21" s="112" t="n">
        <v>50</v>
      </c>
      <c r="X21" s="108" t="inlineStr">
        <is>
          <t>YES</t>
        </is>
      </c>
      <c r="Y21" s="113" t="n">
        <v>1513.92</v>
      </c>
      <c r="Z21" s="113" t="n">
        <v>55333610</v>
      </c>
      <c r="AA21" s="112" t="n">
        <v>20.61</v>
      </c>
      <c r="AB21" s="108" t="inlineStr">
        <is>
          <t>Affin Hwang Asset Management Berhad; CRF Investment Holdings Company Limited; Foresight Funds; IvyRock Asset Management (HK) Limited; Lake Bleu Prime Healthcare Master Fund Limited; OrbiMed Funds; WinTwin Capital Limited</t>
        </is>
      </c>
      <c r="AC21" s="108" t="inlineStr">
        <is>
          <t>affin;crf;foresight;ivyrock;lake;orbimed;wintwin</t>
        </is>
      </c>
      <c r="AD21" s="118" t="n"/>
      <c r="AE21" s="108" t="inlineStr">
        <is>
          <t>partial</t>
        </is>
      </c>
      <c r="AF21" s="108" t="inlineStr">
        <is>
          <t>2021-03-03</t>
        </is>
      </c>
      <c r="AG21" s="108" t="inlineStr">
        <is>
          <t>CLSA Limited</t>
        </is>
      </c>
      <c r="AH21" s="108" t="inlineStr">
        <is>
          <t>CLSA</t>
        </is>
      </c>
      <c r="AI21" s="120" t="n">
        <v>16.78</v>
      </c>
      <c r="AJ21" s="121" t="n">
        <v>1.24</v>
      </c>
      <c r="AK21" s="121" t="n">
        <v>0.85</v>
      </c>
      <c r="AL21" s="121" t="n">
        <v>9.65</v>
      </c>
      <c r="AM21" s="121" t="n">
        <v>-7.67</v>
      </c>
      <c r="AN21" s="123" t="n">
        <v>1.53</v>
      </c>
      <c r="AO21" s="112" t="n">
        <v>15.83</v>
      </c>
      <c r="AP21" s="121" t="n">
        <v>16.96</v>
      </c>
      <c r="AQ21" s="121" t="n">
        <v>-25.26</v>
      </c>
      <c r="AR21" s="121" t="n">
        <v>-1.32</v>
      </c>
      <c r="AS21" s="121" t="n">
        <v>15.53</v>
      </c>
      <c r="AT21" s="121" t="n">
        <v>-26.18</v>
      </c>
      <c r="AU21" s="121" t="n">
        <v>-2.53</v>
      </c>
      <c r="AV21" s="121" t="n">
        <v>11.93</v>
      </c>
      <c r="AW21" s="121" t="n">
        <v>-9.67</v>
      </c>
      <c r="AX21" s="121" t="n">
        <v>6.3</v>
      </c>
      <c r="AY21" s="121" t="n">
        <v>-9.880000000000001</v>
      </c>
      <c r="AZ21" s="121" t="n">
        <v>-15.59</v>
      </c>
      <c r="BA21" s="121" t="n">
        <v>-16.3</v>
      </c>
      <c r="BB21" s="108" t="inlineStr">
        <is>
          <t>China Biotech ETF (HS biotech proxy)</t>
        </is>
      </c>
      <c r="BC21" s="121" t="n">
        <v>-95.38</v>
      </c>
      <c r="BD21" s="109" t="n">
        <v>46297</v>
      </c>
      <c r="BE21" s="110" t="n">
        <v>46</v>
      </c>
      <c r="BF21" s="131" t="n"/>
      <c r="BG21" s="119" t="n"/>
      <c r="BH21" s="124">
        <f>IF('BBG Verify'!O21="","not filed; run on terminal",'BBG Verify'!O21)</f>
        <v/>
      </c>
      <c r="BI21" s="122" t="n"/>
      <c r="BJ21" s="122" t="n"/>
      <c r="BK21" s="123" t="n">
        <v>159.7</v>
      </c>
      <c r="BL21" s="124">
        <f>IF('BBG Verify'!S21="","not filed; run on terminal",'BBG Verify'!S21)</f>
        <v/>
      </c>
      <c r="BM21" s="125" t="inlineStr">
        <is>
          <t>N</t>
        </is>
      </c>
      <c r="BN21" s="126">
        <f>IF('BBG Verify'!K21="","not filed; run on terminal",'BBG Verify'!K21)</f>
        <v/>
      </c>
      <c r="BO21" s="108" t="inlineStr">
        <is>
          <t>N/A</t>
        </is>
      </c>
      <c r="BP21" s="108" t="inlineStr">
        <is>
          <t>N/A</t>
        </is>
      </c>
      <c r="BQ21" s="108" t="inlineStr">
        <is>
          <t>N/A</t>
        </is>
      </c>
      <c r="BR21" s="108" t="inlineStr">
        <is>
          <t>N/A</t>
        </is>
      </c>
      <c r="BS21" s="108" t="inlineStr">
        <is>
          <t>N/A</t>
        </is>
      </c>
      <c r="BT21" s="108" t="inlineStr">
        <is>
          <t>N/A</t>
        </is>
      </c>
      <c r="BU21" s="125" t="inlineStr">
        <is>
          <t>CLSA Capital Markets Limited</t>
        </is>
      </c>
      <c r="BV21" s="108" t="inlineStr">
        <is>
          <t>CLSA Capital Markets Limited</t>
        </is>
      </c>
      <c r="BW21" s="108" t="inlineStr">
        <is>
          <t>CLSA Limited; Citigroup Global Markets Asia Limited; China International Capital Corporation Hong Kong Securities Limited; Citigroup Global Markets Limited; 1 1 2– China International Capital Corporation Hong Kong Securities Limited; Haitong International Securities Company Limited; CMB International Capital Limited; ICBC International Capital Limited; SPDB International Capital Limited</t>
        </is>
      </c>
      <c r="BX21" s="108" t="inlineStr">
        <is>
          <t>Citigroup Global Markets Asia Limited; China International Capital Corporation Hong Kong Securities Limited; CLSA Limited; CMB International Capital Corporation Limited; Futu Securities International (Hong Kong) Limited; Haitong International Securities Company Limited; ICBC International Securities Limited; SPDB International Capital Limited</t>
        </is>
      </c>
      <c r="BY21" s="127">
        <f>HYPERLINK("https://www1.hkexnews.hk/listedco/listconews/sehk/2021/0127/2021012700036.htm","prospectus")</f>
        <v/>
      </c>
      <c r="BZ21" s="127">
        <f>HYPERLINK("https://www1.hkexnews.hk/listedco/listconews/sehk/2021/0205/2021020500040.htm","allotment")</f>
        <v/>
      </c>
      <c r="CA21" s="127">
        <f>HYPERLINK("https://www1.hkexnews.hk/listedco/listconews/sehk/2021/0304/2021030400005.pdf","stabilisation")</f>
        <v/>
      </c>
      <c r="CB21" s="128" t="n"/>
      <c r="CC21" s="108" t="inlineStr">
        <is>
          <t>P/E: net income not extractable; price range: fixed-price offering (no indicative range); range low: maximum offer price only, no floor published; cornerstone: % from the prospectus; AAStocks table includes non-cornerstone orders; greenshoe size: no over-allotment option; financials: not extractable; pre-IPO year outside the AAStocks window</t>
        </is>
      </c>
    </row>
    <row r="22" ht="22" customHeight="1">
      <c r="A22" s="107" t="inlineStr">
        <is>
          <t>1473</t>
        </is>
      </c>
      <c r="B22" s="108" t="inlineStr">
        <is>
          <t>PANGAEA CONNECT</t>
        </is>
      </c>
      <c r="C22" s="108" t="inlineStr">
        <is>
          <t>環聯連訊</t>
        </is>
      </c>
      <c r="D22" s="108" t="inlineStr">
        <is>
          <t>Tech/AI</t>
        </is>
      </c>
      <c r="E22" s="108" t="inlineStr">
        <is>
          <t>SaaS / enterprise software</t>
        </is>
      </c>
      <c r="F22" s="108" t="inlineStr">
        <is>
          <t>Telecommunications &amp; Networking Equipment</t>
        </is>
      </c>
      <c r="G22" s="108" t="inlineStr">
        <is>
          <t>Standard</t>
        </is>
      </c>
      <c r="H22" s="109" t="n">
        <v>44246</v>
      </c>
      <c r="I22" s="110" t="n">
        <v>140</v>
      </c>
      <c r="J22" s="108" t="inlineStr">
        <is>
          <t>gross (price x shares)</t>
        </is>
      </c>
      <c r="K22" s="111" t="n">
        <v>0.52</v>
      </c>
      <c r="L22" s="111" t="n">
        <v>0.58</v>
      </c>
      <c r="M22" s="111" t="n">
        <v>0.5600000000000001</v>
      </c>
      <c r="N22" s="108" t="inlineStr">
        <is>
          <t>N</t>
        </is>
      </c>
      <c r="O22" s="112" t="n">
        <v>96.59999999999999</v>
      </c>
      <c r="P22" s="112" t="n">
        <v>66.7</v>
      </c>
      <c r="Q22" s="113" t="n">
        <v>502.1</v>
      </c>
      <c r="R22" s="108" t="inlineStr">
        <is>
          <t>prospectus:stated market capitalisation, rescaled to the offer price</t>
        </is>
      </c>
      <c r="S22" s="114" t="n">
        <v>64.15000000000001</v>
      </c>
      <c r="T22" s="115" t="n">
        <v>1.01</v>
      </c>
      <c r="U22" s="116" t="n">
        <v>0</v>
      </c>
      <c r="V22" s="117" t="n">
        <v>165</v>
      </c>
      <c r="W22" s="118" t="n"/>
      <c r="X22" s="119" t="n"/>
      <c r="Y22" s="113" t="n">
        <v>140</v>
      </c>
      <c r="Z22" s="113" t="n">
        <v>250000000</v>
      </c>
      <c r="AA22" s="112" t="n">
        <v>27.88</v>
      </c>
      <c r="AB22" s="108" t="inlineStr">
        <is>
          <t>none — no cornerstone tranche</t>
        </is>
      </c>
      <c r="AC22" s="108" t="inlineStr">
        <is>
          <t>none</t>
        </is>
      </c>
      <c r="AD22" s="112" t="n">
        <v>15</v>
      </c>
      <c r="AE22" s="119" t="n"/>
      <c r="AF22" s="119" t="n"/>
      <c r="AG22" s="108" t="inlineStr">
        <is>
          <t>Stabilisin g Manager</t>
        </is>
      </c>
      <c r="AH22" s="108" t="inlineStr">
        <is>
          <t>Stabilisin g</t>
        </is>
      </c>
      <c r="AI22" s="120" t="n">
        <v>12.5</v>
      </c>
      <c r="AJ22" s="121" t="n">
        <v>26.79</v>
      </c>
      <c r="AK22" s="121" t="n">
        <v>-2.14</v>
      </c>
      <c r="AL22" s="121" t="n">
        <v>19.64</v>
      </c>
      <c r="AM22" s="121" t="n">
        <v>5.98</v>
      </c>
      <c r="AN22" s="122" t="n"/>
      <c r="AO22" s="112" t="n">
        <v>31.34</v>
      </c>
      <c r="AP22" s="121" t="n">
        <v>1.79</v>
      </c>
      <c r="AQ22" s="121" t="n">
        <v>8.93</v>
      </c>
      <c r="AR22" s="121" t="n">
        <v>16.07</v>
      </c>
      <c r="AS22" s="121" t="n">
        <v>-19.72</v>
      </c>
      <c r="AT22" s="121" t="n">
        <v>-14.09</v>
      </c>
      <c r="AU22" s="121" t="n">
        <v>-8.449999999999999</v>
      </c>
      <c r="AV22" s="121" t="n">
        <v>18.57</v>
      </c>
      <c r="AW22" s="121" t="n">
        <v>30.32</v>
      </c>
      <c r="AX22" s="121" t="n">
        <v>41.65</v>
      </c>
      <c r="AY22" s="121" t="n">
        <v>5.58</v>
      </c>
      <c r="AZ22" s="121" t="n">
        <v>-21.39</v>
      </c>
      <c r="BA22" s="121" t="n">
        <v>-19.67</v>
      </c>
      <c r="BB22" s="108" t="inlineStr">
        <is>
          <t>HSTECH (Hang Seng TECH ETF)</t>
        </is>
      </c>
      <c r="BC22" s="121" t="n">
        <v>166.07</v>
      </c>
      <c r="BD22" s="109" t="n">
        <v>46297</v>
      </c>
      <c r="BE22" s="132" t="n"/>
      <c r="BF22" s="113" t="n">
        <v>34.9</v>
      </c>
      <c r="BG22" s="108" t="inlineStr">
        <is>
          <t>Y</t>
        </is>
      </c>
      <c r="BH22" s="123" t="n">
        <v>14.4</v>
      </c>
      <c r="BI22" s="122" t="n"/>
      <c r="BJ22" s="123" t="n">
        <v>37.1</v>
      </c>
      <c r="BK22" s="122" t="n"/>
      <c r="BL22" s="124">
        <f>IF('BBG Verify'!S22="","not filed; run on terminal",'BBG Verify'!S22)</f>
        <v/>
      </c>
      <c r="BM22" s="125" t="inlineStr">
        <is>
          <t>N</t>
        </is>
      </c>
      <c r="BN22" s="126">
        <f>IF('BBG Verify'!K22="","not filed; run on terminal",'BBG Verify'!K22)</f>
        <v/>
      </c>
      <c r="BO22" s="108" t="inlineStr">
        <is>
          <t>N/A</t>
        </is>
      </c>
      <c r="BP22" s="108" t="inlineStr">
        <is>
          <t>N/A</t>
        </is>
      </c>
      <c r="BQ22" s="108" t="inlineStr">
        <is>
          <t>N/A</t>
        </is>
      </c>
      <c r="BR22" s="108" t="inlineStr">
        <is>
          <t>N/A</t>
        </is>
      </c>
      <c r="BS22" s="108" t="inlineStr">
        <is>
          <t>N/A</t>
        </is>
      </c>
      <c r="BT22" s="108" t="inlineStr">
        <is>
          <t>N/A</t>
        </is>
      </c>
      <c r="BU22" s="125" t="inlineStr">
        <is>
          <t>Honestum International Limited</t>
        </is>
      </c>
      <c r="BV22" s="108" t="inlineStr">
        <is>
          <t>Honestum International Limited</t>
        </is>
      </c>
      <c r="BW22" s="108" t="inlineStr">
        <is>
          <t>CMBC Securities Company Limited; Forwin Securities Group Limited; Lego Securities Limited; Crosby Securities Limited; GLAM Capital Limited</t>
        </is>
      </c>
      <c r="BX22" s="108" t="inlineStr">
        <is>
          <t>CMBC Securities Company Limited; Crosby Securities Limited; Enhanced Securities Limited; Forwin Securities Group Limited; GLAM Capital Limited; Lego Securities Limited; Victory Securities Company Limited</t>
        </is>
      </c>
      <c r="BY22" s="127">
        <f>HYPERLINK("https://www1.hkexnews.hk/listedco/listconews/sehk/2021/0129/2021012901777.pdf","prospectus")</f>
        <v/>
      </c>
      <c r="BZ22" s="127">
        <f>HYPERLINK("https://www1.hkexnews.hk/listedco/listconews/sehk/2021/0218/2021021800016.htm","allotment")</f>
        <v/>
      </c>
      <c r="CA22" s="127">
        <f>HYPERLINK("https://www1.hkexnews.hk/listedco/listconews/sehk/2021/0308/2021030801177.pdf","stabilisation")</f>
        <v/>
      </c>
      <c r="CB22" s="128" t="n"/>
      <c r="CC22" s="108" t="inlineStr">
        <is>
          <t>greenshoe: end-of-stabilisation notice not found; market cap: prospectus cap HK$520m at HK$0.58, rescaled to HK$0.56; cornerstone list: no cornerstone tranche; P/S: revenue not extractable; financials: not extractable; pre-IPO year outside the AAStocks window; stabilisation notice: notice linked; outcome wording not recognised, result left blank; allocation: allocation table not in this notice's format (older prose announcement); day-1 tape: volume on file; the retail multiple needs the final public split, which this notice does not state</t>
        </is>
      </c>
    </row>
    <row r="23" ht="22" customHeight="1">
      <c r="A23" s="107" t="inlineStr">
        <is>
          <t>6127</t>
        </is>
      </c>
      <c r="B23" s="108" t="inlineStr">
        <is>
          <t>JOINN</t>
        </is>
      </c>
      <c r="C23" s="108" t="inlineStr">
        <is>
          <t>昭衍新藥</t>
        </is>
      </c>
      <c r="D23" s="108" t="inlineStr">
        <is>
          <t>Healthcare</t>
        </is>
      </c>
      <c r="E23" s="108" t="inlineStr">
        <is>
          <t>CXO / pharma services</t>
        </is>
      </c>
      <c r="F23" s="108" t="inlineStr">
        <is>
          <t>Health Care Services</t>
        </is>
      </c>
      <c r="G23" s="108" t="inlineStr">
        <is>
          <t>Standard</t>
        </is>
      </c>
      <c r="H23" s="109" t="n">
        <v>44253</v>
      </c>
      <c r="I23" s="110" t="n">
        <v>6542</v>
      </c>
      <c r="J23" s="108" t="inlineStr">
        <is>
          <t>gross (price x shares)</t>
        </is>
      </c>
      <c r="K23" s="111" t="n">
        <v>133</v>
      </c>
      <c r="L23" s="111" t="n">
        <v>151</v>
      </c>
      <c r="M23" s="111" t="n">
        <v>151</v>
      </c>
      <c r="N23" s="108" t="inlineStr">
        <is>
          <t>Y</t>
        </is>
      </c>
      <c r="O23" s="112" t="n">
        <v>100</v>
      </c>
      <c r="P23" s="112" t="n">
        <v>100</v>
      </c>
      <c r="Q23" s="113" t="n">
        <v>40893.9</v>
      </c>
      <c r="R23" s="108" t="inlineStr">
        <is>
          <t>aastocks:上市市值 at the struck price</t>
        </is>
      </c>
      <c r="S23" s="114" t="n">
        <v>310</v>
      </c>
      <c r="T23" s="115" t="n">
        <v>26</v>
      </c>
      <c r="U23" s="116" t="n">
        <v>31.8</v>
      </c>
      <c r="V23" s="117" t="n">
        <v>339</v>
      </c>
      <c r="W23" s="112" t="n">
        <v>36</v>
      </c>
      <c r="X23" s="108" t="inlineStr">
        <is>
          <t>YES</t>
        </is>
      </c>
      <c r="Y23" s="113" t="n">
        <v>4461.64</v>
      </c>
      <c r="Z23" s="113" t="n">
        <v>29547514</v>
      </c>
      <c r="AA23" s="112" t="n">
        <v>10.91</v>
      </c>
      <c r="AB23" s="108" t="inlineStr">
        <is>
          <t>Carmignac Funds; China Structural Reform Fund Corporation Limited; CPE Greater China Enterprises Growth Fund; CRF Investment Holdings Company Limited; Janchor Partners Pan-Asian Master Fund; Lake Bleu Prime Healthcare Master Fund Limited; Octagon Capital Advisors LP; OrbiMed Funds; SCC Growth VI Holdco F, Ltd; Valliance Fund</t>
        </is>
      </c>
      <c r="AC23" s="108" t="inlineStr">
        <is>
          <t>carmignac;structural;cpe;crf;janchor;lake;octagon;orbimed;scc;valliance</t>
        </is>
      </c>
      <c r="AD23" s="112" t="n">
        <v>5.8</v>
      </c>
      <c r="AE23" s="108" t="inlineStr">
        <is>
          <t>partial</t>
        </is>
      </c>
      <c r="AF23" s="108" t="inlineStr">
        <is>
          <t>2021-03-21</t>
        </is>
      </c>
      <c r="AG23" s="119" t="n"/>
      <c r="AH23" s="119" t="n"/>
      <c r="AI23" s="120" t="n">
        <v>-3.97</v>
      </c>
      <c r="AJ23" s="121" t="n">
        <v>-8.609999999999999</v>
      </c>
      <c r="AK23" s="121" t="n">
        <v>-2.12</v>
      </c>
      <c r="AL23" s="121" t="n">
        <v>-1.99</v>
      </c>
      <c r="AM23" s="121" t="n">
        <v>-6.75</v>
      </c>
      <c r="AN23" s="123" t="n">
        <v>0.75</v>
      </c>
      <c r="AO23" s="112" t="n">
        <v>6.76</v>
      </c>
      <c r="AP23" s="121" t="n">
        <v>-12.58</v>
      </c>
      <c r="AQ23" s="121" t="n">
        <v>-8.48</v>
      </c>
      <c r="AR23" s="121" t="n">
        <v>4.17</v>
      </c>
      <c r="AS23" s="121" t="n">
        <v>-4.34</v>
      </c>
      <c r="AT23" s="121" t="n">
        <v>0.14</v>
      </c>
      <c r="AU23" s="121" t="n">
        <v>13.98</v>
      </c>
      <c r="AV23" s="121" t="n">
        <v>-5.7</v>
      </c>
      <c r="AW23" s="121" t="n">
        <v>-0.34</v>
      </c>
      <c r="AX23" s="121" t="n">
        <v>-5.9</v>
      </c>
      <c r="AY23" s="121" t="n">
        <v>6.29</v>
      </c>
      <c r="AZ23" s="121" t="n">
        <v>-8.140000000000001</v>
      </c>
      <c r="BA23" s="121" t="n">
        <v>-6.15</v>
      </c>
      <c r="BB23" s="108" t="inlineStr">
        <is>
          <t>China Biotech ETF (HS biotech proxy)</t>
        </is>
      </c>
      <c r="BC23" s="121" t="n">
        <v>-44.72</v>
      </c>
      <c r="BD23" s="109" t="n">
        <v>46297</v>
      </c>
      <c r="BE23" s="132" t="n"/>
      <c r="BF23" s="131" t="n"/>
      <c r="BG23" s="119" t="n"/>
      <c r="BH23" s="123" t="n">
        <v>87.5</v>
      </c>
      <c r="BI23" s="123" t="n">
        <v>87.5</v>
      </c>
      <c r="BJ23" s="123" t="n">
        <v>34.6</v>
      </c>
      <c r="BK23" s="122" t="n"/>
      <c r="BL23" s="124">
        <f>IF('BBG Verify'!S23="","not filed; run on terminal",'BBG Verify'!S23)</f>
        <v/>
      </c>
      <c r="BM23" s="125" t="inlineStr">
        <is>
          <t>Y</t>
        </is>
      </c>
      <c r="BN23" s="108" t="inlineStr">
        <is>
          <t>603127.SS</t>
        </is>
      </c>
      <c r="BO23" s="121" t="n">
        <v>12.28</v>
      </c>
      <c r="BP23" s="111" t="n">
        <v>169.5434</v>
      </c>
      <c r="BQ23" s="135" t="n">
        <v>0.8965</v>
      </c>
      <c r="BR23" s="113" t="n">
        <v>43245.7</v>
      </c>
      <c r="BS23" s="124">
        <f>IF('BBG Verify'!Q23="","run on terminal",'BBG Verify'!Q23)</f>
        <v/>
      </c>
      <c r="BT23" s="124">
        <f>IF('BBG Verify'!R23="","run on terminal",'BBG Verify'!R23)</f>
        <v/>
      </c>
      <c r="BU23" s="125" t="inlineStr">
        <is>
          <t>CLSA Capital Markets Limited</t>
        </is>
      </c>
      <c r="BV23" s="108" t="inlineStr">
        <is>
          <t>CLSA Capital Markets Limited</t>
        </is>
      </c>
      <c r="BW23" s="108" t="inlineStr">
        <is>
          <t>CLSA Limited; Merrill Lynch (Asia Pacific) Limited; China International Capital Corporation Hong Kong Securities Limited; Haitong International Securities Company Limited; BOCI Asia Limited; CMB International Capital Limited; BOCOM International Securities Limited; ICBC International Capital Limited</t>
        </is>
      </c>
      <c r="BX23" s="108" t="inlineStr">
        <is>
          <t>Beta International Securities Limited; BOCI Asia Limited; China International Capital Corporation Hong Kong Securities Limited; CLSA Limited; CMB International Capital Limited; China Merchants Securities (HK) Company Limited; Haitong International Securities Company Limited; ICBC International Securities Limited; Merrill Lynch (Asia Pacific) Limited</t>
        </is>
      </c>
      <c r="BY23" s="127">
        <f>HYPERLINK("https://www1.hkexnews.hk/listedco/listconews/sehk/2021/0216/2021021600009.pdf","prospectus")</f>
        <v/>
      </c>
      <c r="BZ23" s="127">
        <f>HYPERLINK("https://www1.hkexnews.hk/listedco/listconews/sehk/2021/0225/2021022500020.htm","allotment")</f>
        <v/>
      </c>
      <c r="CA23" s="127">
        <f>HYPERLINK("https://www1.hkexnews.hk/listedco/listconews/sehk/2021/0321/2021032100045.pdf","stabilisation")</f>
        <v/>
      </c>
      <c r="CB23" s="128" t="n"/>
      <c r="CC23" s="108" t="inlineStr">
        <is>
          <t>P/E: Bloomberg trailing-12m basis (prospectus-year multiple not derivable); A/H: H listed Feb 2021; CRO safety-evaluation leader; P/S: revenue not extractable; stabilising manager: not named in the allotment notice or prospectus glossary; financials: not extractable; pre-IPO year outside the AAStocks window</t>
        </is>
      </c>
    </row>
    <row r="24" ht="22" customHeight="1">
      <c r="A24" s="107" t="inlineStr">
        <is>
          <t>6601</t>
        </is>
      </c>
      <c r="B24" s="108" t="inlineStr">
        <is>
          <t>CHEERWIN GP</t>
        </is>
      </c>
      <c r="C24" s="108" t="inlineStr">
        <is>
          <t>朝雲集團</t>
        </is>
      </c>
      <c r="D24" s="108" t="inlineStr">
        <is>
          <t>Consumer</t>
        </is>
      </c>
      <c r="E24" s="108" t="inlineStr">
        <is>
          <t>Beauty / personal care</t>
        </is>
      </c>
      <c r="F24" s="108" t="inlineStr">
        <is>
          <t>Household Products</t>
        </is>
      </c>
      <c r="G24" s="108" t="inlineStr">
        <is>
          <t>Standard</t>
        </is>
      </c>
      <c r="H24" s="109" t="n">
        <v>44265</v>
      </c>
      <c r="I24" s="110" t="n">
        <v>3066.7</v>
      </c>
      <c r="J24" s="108" t="inlineStr">
        <is>
          <t>gross (price x shares)</t>
        </is>
      </c>
      <c r="K24" s="111" t="n">
        <v>7.8</v>
      </c>
      <c r="L24" s="111" t="n">
        <v>9.199999999999999</v>
      </c>
      <c r="M24" s="111" t="n">
        <v>9.199999999999999</v>
      </c>
      <c r="N24" s="108" t="inlineStr">
        <is>
          <t>Y</t>
        </is>
      </c>
      <c r="O24" s="112" t="n">
        <v>100</v>
      </c>
      <c r="P24" s="112" t="n">
        <v>100</v>
      </c>
      <c r="Q24" s="113" t="n">
        <v>12266.7</v>
      </c>
      <c r="R24" s="108" t="inlineStr">
        <is>
          <t>aastocks:上市市值 at the struck price</t>
        </is>
      </c>
      <c r="S24" s="114" t="n">
        <v>172.32</v>
      </c>
      <c r="T24" s="115" t="n">
        <v>13.8</v>
      </c>
      <c r="U24" s="116" t="n">
        <v>0</v>
      </c>
      <c r="V24" s="117" t="n">
        <v>270</v>
      </c>
      <c r="W24" s="112" t="n">
        <v>50</v>
      </c>
      <c r="X24" s="108" t="inlineStr">
        <is>
          <t>YES</t>
        </is>
      </c>
      <c r="Y24" s="113" t="n">
        <v>3066.7</v>
      </c>
      <c r="Z24" s="113" t="n">
        <v>333333500</v>
      </c>
      <c r="AA24" s="112" t="n">
        <v>25</v>
      </c>
      <c r="AB24" s="108" t="inlineStr">
        <is>
          <t>none — no cornerstone tranche</t>
        </is>
      </c>
      <c r="AC24" s="108" t="inlineStr">
        <is>
          <t>none</t>
        </is>
      </c>
      <c r="AD24" s="112" t="n">
        <v>6</v>
      </c>
      <c r="AE24" s="108" t="inlineStr">
        <is>
          <t>lapsed</t>
        </is>
      </c>
      <c r="AF24" s="108" t="inlineStr">
        <is>
          <t>2021-04-02</t>
        </is>
      </c>
      <c r="AG24" s="108" t="inlineStr">
        <is>
          <t>Morgan Stanley Asia Limited DEFINITIONS –2 8</t>
        </is>
      </c>
      <c r="AH24" s="108" t="inlineStr">
        <is>
          <t>Morgan Stanley</t>
        </is>
      </c>
      <c r="AI24" s="120" t="n">
        <v>-20</v>
      </c>
      <c r="AJ24" s="121" t="n">
        <v>-13.15</v>
      </c>
      <c r="AK24" s="121" t="n">
        <v>1.68</v>
      </c>
      <c r="AL24" s="121" t="n">
        <v>-14.24</v>
      </c>
      <c r="AM24" s="121" t="n">
        <v>1.27</v>
      </c>
      <c r="AN24" s="123" t="n">
        <v>1.3</v>
      </c>
      <c r="AO24" s="112" t="n">
        <v>17.62</v>
      </c>
      <c r="AP24" s="121" t="n">
        <v>-9.24</v>
      </c>
      <c r="AQ24" s="121" t="n">
        <v>-9.779999999999999</v>
      </c>
      <c r="AR24" s="121" t="n">
        <v>-9.779999999999999</v>
      </c>
      <c r="AS24" s="121" t="n">
        <v>4.5</v>
      </c>
      <c r="AT24" s="121" t="n">
        <v>3.88</v>
      </c>
      <c r="AU24" s="121" t="n">
        <v>3.88</v>
      </c>
      <c r="AV24" s="121" t="n">
        <v>-12.74</v>
      </c>
      <c r="AW24" s="121" t="n">
        <v>-9.15</v>
      </c>
      <c r="AX24" s="121" t="n">
        <v>-13.12</v>
      </c>
      <c r="AY24" s="121" t="n">
        <v>6.15</v>
      </c>
      <c r="AZ24" s="121" t="n">
        <v>-0.63</v>
      </c>
      <c r="BA24" s="121" t="n">
        <v>-2.27</v>
      </c>
      <c r="BB24" s="108" t="inlineStr">
        <is>
          <t>Hang Seng Commerce &amp; Industry sub-index</t>
        </is>
      </c>
      <c r="BC24" s="121" t="n">
        <v>-76.41</v>
      </c>
      <c r="BD24" s="109" t="n">
        <v>46297</v>
      </c>
      <c r="BE24" s="110" t="n">
        <v>1521.7</v>
      </c>
      <c r="BF24" s="113" t="n">
        <v>202.8</v>
      </c>
      <c r="BG24" s="108" t="inlineStr">
        <is>
          <t>Y</t>
        </is>
      </c>
      <c r="BH24" s="123" t="n">
        <v>60.5</v>
      </c>
      <c r="BI24" s="122" t="n"/>
      <c r="BJ24" s="123" t="n">
        <v>11.5</v>
      </c>
      <c r="BK24" s="123" t="n">
        <v>8.1</v>
      </c>
      <c r="BL24" s="124">
        <f>IF('BBG Verify'!S24="","not filed; run on terminal",'BBG Verify'!S24)</f>
        <v/>
      </c>
      <c r="BM24" s="125" t="inlineStr">
        <is>
          <t>N</t>
        </is>
      </c>
      <c r="BN24" s="126">
        <f>IF('BBG Verify'!K24="","not filed; run on terminal",'BBG Verify'!K24)</f>
        <v/>
      </c>
      <c r="BO24" s="108" t="inlineStr">
        <is>
          <t>N/A</t>
        </is>
      </c>
      <c r="BP24" s="108" t="inlineStr">
        <is>
          <t>N/A</t>
        </is>
      </c>
      <c r="BQ24" s="108" t="inlineStr">
        <is>
          <t>N/A</t>
        </is>
      </c>
      <c r="BR24" s="108" t="inlineStr">
        <is>
          <t>N/A</t>
        </is>
      </c>
      <c r="BS24" s="108" t="inlineStr">
        <is>
          <t>N/A</t>
        </is>
      </c>
      <c r="BT24" s="108" t="inlineStr">
        <is>
          <t>N/A</t>
        </is>
      </c>
      <c r="BU24" s="125" t="inlineStr">
        <is>
          <t>Morgan Stanley Asia Limited; China International Capital Corporation Hong Kong Securities Limited</t>
        </is>
      </c>
      <c r="BV24" s="108" t="inlineStr">
        <is>
          <t>Morgan Stanley Asia Limited; China International Capital Corporation (HK) Ltd</t>
        </is>
      </c>
      <c r="BW24" s="108" t="inlineStr">
        <is>
          <t>Morgan Stanley Asia Limited; China International Capital Corporation Hong Kong Securities Limited</t>
        </is>
      </c>
      <c r="BX24" s="108" t="inlineStr">
        <is>
          <t>China International Capital Corporation Hong Kong Securities Limited; Futu Securities International (Hong Kong) Limited; Morgan Stanley Asia Limited</t>
        </is>
      </c>
      <c r="BY24" s="127">
        <f>HYPERLINK("https://www1.hkexnews.hk/listedco/listconews/sehk/2021/0226/2021022600033.pdf","prospectus")</f>
        <v/>
      </c>
      <c r="BZ24" s="127">
        <f>HYPERLINK("https://www1.hkexnews.hk/listedco/listconews/sehk/2021/0309/2021030900022.htm","allotment")</f>
        <v/>
      </c>
      <c r="CA24" s="127">
        <f>HYPERLINK("https://www1.hkexnews.hk/listedco/listconews/sehk/2021/0407/2021040700023.pdf","stabilisation")</f>
        <v/>
      </c>
      <c r="CB24" s="128" t="n"/>
      <c r="CC24" s="108" t="inlineStr">
        <is>
          <t>market cap: published listing cap used; the estimate from deal size / offer % of enlarged capital disagreed; cornerstone list: no cornerstone tranche</t>
        </is>
      </c>
    </row>
    <row r="25" ht="22" customHeight="1">
      <c r="A25" s="107" t="inlineStr">
        <is>
          <t>1413</t>
        </is>
      </c>
      <c r="B25" s="108" t="inlineStr">
        <is>
          <t>KWONG LUEN ENG</t>
        </is>
      </c>
      <c r="C25" s="108" t="inlineStr">
        <is>
          <t>鑄帝控股</t>
        </is>
      </c>
      <c r="D25" s="108" t="inlineStr">
        <is>
          <t>Industrials</t>
        </is>
      </c>
      <c r="E25" s="108" t="inlineStr">
        <is>
          <t>Construction / engineering</t>
        </is>
      </c>
      <c r="F25" s="108" t="inlineStr">
        <is>
          <t>Construction &amp; Engineering</t>
        </is>
      </c>
      <c r="G25" s="108" t="inlineStr">
        <is>
          <t>Standard</t>
        </is>
      </c>
      <c r="H25" s="109" t="n">
        <v>44266</v>
      </c>
      <c r="I25" s="110" t="n">
        <v>135</v>
      </c>
      <c r="J25" s="108" t="inlineStr">
        <is>
          <t>gross (price x shares)</t>
        </is>
      </c>
      <c r="K25" s="111" t="n">
        <v>0.5</v>
      </c>
      <c r="L25" s="111" t="n">
        <v>0.54</v>
      </c>
      <c r="M25" s="111" t="n">
        <v>0.54</v>
      </c>
      <c r="N25" s="108" t="inlineStr">
        <is>
          <t>Y</t>
        </is>
      </c>
      <c r="O25" s="112" t="n">
        <v>100</v>
      </c>
      <c r="P25" s="112" t="n">
        <v>100</v>
      </c>
      <c r="Q25" s="113" t="n">
        <v>540</v>
      </c>
      <c r="R25" s="108" t="inlineStr">
        <is>
          <t>aastocks:上市市值 at the struck price</t>
        </is>
      </c>
      <c r="S25" s="114" t="n">
        <v>54.29</v>
      </c>
      <c r="T25" s="115" t="n">
        <v>1.05</v>
      </c>
      <c r="U25" s="116" t="n">
        <v>0</v>
      </c>
      <c r="V25" s="117" t="n">
        <v>147</v>
      </c>
      <c r="W25" s="112" t="n">
        <v>40</v>
      </c>
      <c r="X25" s="108" t="inlineStr">
        <is>
          <t>YES</t>
        </is>
      </c>
      <c r="Y25" s="113" t="n">
        <v>135</v>
      </c>
      <c r="Z25" s="113" t="n">
        <v>250000000</v>
      </c>
      <c r="AA25" s="112" t="n">
        <v>25</v>
      </c>
      <c r="AB25" s="108" t="inlineStr">
        <is>
          <t>none — no cornerstone tranche</t>
        </is>
      </c>
      <c r="AC25" s="108" t="inlineStr">
        <is>
          <t>none</t>
        </is>
      </c>
      <c r="AD25" s="112" t="n">
        <v>15</v>
      </c>
      <c r="AE25" s="119" t="n"/>
      <c r="AF25" s="119" t="n"/>
      <c r="AG25" s="108" t="inlineStr">
        <is>
          <t>Space Securities Limited</t>
        </is>
      </c>
      <c r="AH25" s="108" t="inlineStr">
        <is>
          <t>Space</t>
        </is>
      </c>
      <c r="AI25" s="120" t="n">
        <v>3.7</v>
      </c>
      <c r="AJ25" s="121" t="n">
        <v>-22.22</v>
      </c>
      <c r="AK25" s="121" t="n">
        <v>3.06</v>
      </c>
      <c r="AL25" s="121" t="n">
        <v>-5.56</v>
      </c>
      <c r="AM25" s="121" t="n">
        <v>-17.64</v>
      </c>
      <c r="AN25" s="123" t="n">
        <v>3.43</v>
      </c>
      <c r="AO25" s="112" t="n">
        <v>22.55</v>
      </c>
      <c r="AP25" s="121" t="n">
        <v>-29.63</v>
      </c>
      <c r="AQ25" s="121" t="n">
        <v>-37.96</v>
      </c>
      <c r="AR25" s="121" t="n">
        <v>-40.74</v>
      </c>
      <c r="AS25" s="121" t="n">
        <v>-9.529999999999999</v>
      </c>
      <c r="AT25" s="121" t="n">
        <v>-20.24</v>
      </c>
      <c r="AU25" s="121" t="n">
        <v>-23.81</v>
      </c>
      <c r="AV25" s="121" t="n">
        <v>-33.31</v>
      </c>
      <c r="AW25" s="121" t="n">
        <v>-38</v>
      </c>
      <c r="AX25" s="121" t="n">
        <v>-42.08</v>
      </c>
      <c r="AY25" s="121" t="n">
        <v>-17.31</v>
      </c>
      <c r="AZ25" s="121" t="n">
        <v>0.04</v>
      </c>
      <c r="BA25" s="121" t="n">
        <v>-2.93</v>
      </c>
      <c r="BB25" s="108" t="inlineStr">
        <is>
          <t>Hang Seng Commerce &amp; Industry sub-index</t>
        </is>
      </c>
      <c r="BC25" s="121" t="n">
        <v>-91.84999999999999</v>
      </c>
      <c r="BD25" s="109" t="n">
        <v>46297</v>
      </c>
      <c r="BE25" s="110" t="n">
        <v>404.8</v>
      </c>
      <c r="BF25" s="113" t="n">
        <v>38.4</v>
      </c>
      <c r="BG25" s="108" t="inlineStr">
        <is>
          <t>Y</t>
        </is>
      </c>
      <c r="BH25" s="123" t="n">
        <v>14.1</v>
      </c>
      <c r="BI25" s="122" t="n"/>
      <c r="BJ25" s="122" t="n"/>
      <c r="BK25" s="123" t="n">
        <v>1.3</v>
      </c>
      <c r="BL25" s="124">
        <f>IF('BBG Verify'!S25="","not filed; run on terminal",'BBG Verify'!S25)</f>
        <v/>
      </c>
      <c r="BM25" s="125" t="inlineStr">
        <is>
          <t>N</t>
        </is>
      </c>
      <c r="BN25" s="126">
        <f>IF('BBG Verify'!K25="","not filed; run on terminal",'BBG Verify'!K25)</f>
        <v/>
      </c>
      <c r="BO25" s="108" t="inlineStr">
        <is>
          <t>N/A</t>
        </is>
      </c>
      <c r="BP25" s="108" t="inlineStr">
        <is>
          <t>N/A</t>
        </is>
      </c>
      <c r="BQ25" s="108" t="inlineStr">
        <is>
          <t>N/A</t>
        </is>
      </c>
      <c r="BR25" s="108" t="inlineStr">
        <is>
          <t>N/A</t>
        </is>
      </c>
      <c r="BS25" s="108" t="inlineStr">
        <is>
          <t>N/A</t>
        </is>
      </c>
      <c r="BT25" s="108" t="inlineStr">
        <is>
          <t>N/A</t>
        </is>
      </c>
      <c r="BU25" s="125" t="inlineStr">
        <is>
          <t>Grande Capital Limited</t>
        </is>
      </c>
      <c r="BV25" s="108" t="inlineStr">
        <is>
          <t>Grande Capital Limited</t>
        </is>
      </c>
      <c r="BW25" s="108" t="inlineStr">
        <is>
          <t>Space Securities Limited; CMBC Securities Company Limited; Innovax Securities Limited; SPDB International Capital Limited</t>
        </is>
      </c>
      <c r="BX25" s="108" t="inlineStr">
        <is>
          <t>CMBC Securities Company Limited; DL Securities (HK) Limited; Freeman Securities Limited; GLAM Capital Limited; Guosen Securities (HK) Capital Company Limited; Innovax Securities Limited; Plutus Securities Limited; Realord Asia Pacific Securities Limited; SPDB International Capital Limited; Space Securities Limited</t>
        </is>
      </c>
      <c r="BY25" s="127">
        <f>HYPERLINK("https://www1.hkexnews.hk/listedco/listconews/sehk/2021/0226/2021022600013.pdf","prospectus")</f>
        <v/>
      </c>
      <c r="BZ25" s="127">
        <f>HYPERLINK("https://www1.hkexnews.hk/listedco/listconews/sehk/2021/0310/2021031000014.htm","allotment")</f>
        <v/>
      </c>
      <c r="CA25" s="119" t="n"/>
      <c r="CB25" s="128" t="n"/>
      <c r="CC25" s="108" t="inlineStr">
        <is>
          <t>greenshoe: end-of-stabilisation notice not found; sponsor: English name not in the filing; AAStocks 保薦人 shown; cornerstone list: no cornerstone tranche</t>
        </is>
      </c>
    </row>
    <row r="26" ht="22" customHeight="1">
      <c r="A26" s="107" t="inlineStr">
        <is>
          <t>2518</t>
        </is>
      </c>
      <c r="B26" s="108" t="inlineStr">
        <is>
          <t>AUTOHOME-S</t>
        </is>
      </c>
      <c r="C26" s="108" t="inlineStr">
        <is>
          <t>汽車之家－Ｓ</t>
        </is>
      </c>
      <c r="D26" s="108" t="inlineStr">
        <is>
          <t>Tech/AI</t>
        </is>
      </c>
      <c r="E26" s="108" t="inlineStr">
        <is>
          <t>Internet platform / e-commerce</t>
        </is>
      </c>
      <c r="F26" s="108" t="inlineStr">
        <is>
          <t>e-Commerce &amp; Internet Services</t>
        </is>
      </c>
      <c r="G26" s="108" t="inlineStr">
        <is>
          <t>Secondary</t>
        </is>
      </c>
      <c r="H26" s="109" t="n">
        <v>44270</v>
      </c>
      <c r="I26" s="110" t="n">
        <v>5340.3</v>
      </c>
      <c r="J26" s="108" t="inlineStr">
        <is>
          <t>gross (price x shares)</t>
        </is>
      </c>
      <c r="K26" s="129" t="n"/>
      <c r="L26" s="111" t="n">
        <v>251.8</v>
      </c>
      <c r="M26" s="111" t="n">
        <v>176.3</v>
      </c>
      <c r="N26" s="108" t="inlineStr">
        <is>
          <t>N</t>
        </is>
      </c>
      <c r="O26" s="112" t="n">
        <v>70</v>
      </c>
      <c r="P26" s="118" t="n"/>
      <c r="Q26" s="113" t="n">
        <v>88980</v>
      </c>
      <c r="R26" s="108" t="inlineStr">
        <is>
          <t>press:lanjinger.com/d/154659: 开盘181港元 市值913.77亿 | FINANCIALS (RMB x1.1): Autohome FY2020 PR: net revenues RMB8,658.6m, NI attributable RMB3,405.2m</t>
        </is>
      </c>
      <c r="S26" s="114" t="n">
        <v>10.71</v>
      </c>
      <c r="T26" s="115" t="n">
        <v>4</v>
      </c>
      <c r="U26" s="116" t="n">
        <v>0</v>
      </c>
      <c r="V26" s="117" t="n">
        <v>110</v>
      </c>
      <c r="W26" s="118" t="n"/>
      <c r="X26" s="119" t="n"/>
      <c r="Y26" s="113" t="n">
        <v>5340.3</v>
      </c>
      <c r="Z26" s="113" t="n">
        <v>30291200</v>
      </c>
      <c r="AA26" s="112" t="n">
        <v>6</v>
      </c>
      <c r="AB26" s="108" t="inlineStr">
        <is>
          <t>none — no cornerstone tranche</t>
        </is>
      </c>
      <c r="AC26" s="108" t="inlineStr">
        <is>
          <t>none</t>
        </is>
      </c>
      <c r="AD26" s="112" t="n">
        <v>6</v>
      </c>
      <c r="AE26" s="108" t="inlineStr">
        <is>
          <t>full</t>
        </is>
      </c>
      <c r="AF26" s="108" t="inlineStr">
        <is>
          <t>2021-04-08</t>
        </is>
      </c>
      <c r="AG26" s="119" t="n"/>
      <c r="AH26" s="119" t="n"/>
      <c r="AI26" s="120" t="n">
        <v>6.92</v>
      </c>
      <c r="AJ26" s="121" t="n">
        <v>2.1</v>
      </c>
      <c r="AK26" s="121" t="n">
        <v>-2.55</v>
      </c>
      <c r="AL26" s="121" t="n">
        <v>2.67</v>
      </c>
      <c r="AM26" s="121" t="n">
        <v>-0.5600000000000001</v>
      </c>
      <c r="AN26" s="122" t="n"/>
      <c r="AO26" s="112" t="n">
        <v>3.54</v>
      </c>
      <c r="AP26" s="121" t="n">
        <v>10.72</v>
      </c>
      <c r="AQ26" s="121" t="n">
        <v>3.52</v>
      </c>
      <c r="AR26" s="121" t="n">
        <v>-28.64</v>
      </c>
      <c r="AS26" s="121" t="n">
        <v>8.44</v>
      </c>
      <c r="AT26" s="121" t="n">
        <v>1.39</v>
      </c>
      <c r="AU26" s="121" t="n">
        <v>-30.11</v>
      </c>
      <c r="AV26" s="121" t="n">
        <v>10.48</v>
      </c>
      <c r="AW26" s="121" t="n">
        <v>6.55</v>
      </c>
      <c r="AX26" s="121" t="n">
        <v>-21.39</v>
      </c>
      <c r="AY26" s="121" t="n">
        <v>1.88</v>
      </c>
      <c r="AZ26" s="121" t="n">
        <v>-3.03</v>
      </c>
      <c r="BA26" s="121" t="n">
        <v>-0.49</v>
      </c>
      <c r="BB26" s="108" t="inlineStr">
        <is>
          <t>HSTECH (Hang Seng TECH ETF)</t>
        </is>
      </c>
      <c r="BC26" s="121" t="n">
        <v>-76.52</v>
      </c>
      <c r="BD26" s="109" t="n">
        <v>46297</v>
      </c>
      <c r="BE26" s="110" t="n">
        <v>9524.5</v>
      </c>
      <c r="BF26" s="113" t="n">
        <v>3745.7</v>
      </c>
      <c r="BG26" s="108" t="inlineStr">
        <is>
          <t>Y</t>
        </is>
      </c>
      <c r="BH26" s="123" t="n">
        <v>23.8</v>
      </c>
      <c r="BI26" s="122" t="n"/>
      <c r="BJ26" s="122" t="n"/>
      <c r="BK26" s="123" t="n">
        <v>9.300000000000001</v>
      </c>
      <c r="BL26" s="124">
        <f>IF('BBG Verify'!S26="","not filed; run on terminal",'BBG Verify'!S26)</f>
        <v/>
      </c>
      <c r="BM26" s="125" t="inlineStr">
        <is>
          <t>N</t>
        </is>
      </c>
      <c r="BN26" s="126">
        <f>IF('BBG Verify'!K26="","not filed; run on terminal",'BBG Verify'!K26)</f>
        <v/>
      </c>
      <c r="BO26" s="108" t="inlineStr">
        <is>
          <t>N/A</t>
        </is>
      </c>
      <c r="BP26" s="108" t="inlineStr">
        <is>
          <t>N/A</t>
        </is>
      </c>
      <c r="BQ26" s="108" t="inlineStr">
        <is>
          <t>N/A</t>
        </is>
      </c>
      <c r="BR26" s="108" t="inlineStr">
        <is>
          <t>N/A</t>
        </is>
      </c>
      <c r="BS26" s="108" t="inlineStr">
        <is>
          <t>N/A</t>
        </is>
      </c>
      <c r="BT26" s="108" t="inlineStr">
        <is>
          <t>N/A</t>
        </is>
      </c>
      <c r="BU26" s="125" t="inlineStr">
        <is>
          <t>China International Capital Corporation Hong Kong Securities Limited; (in alphabetical order with no ranking assigned) Credit Suisse (Hong Kong) Limited; Goldman Sachs (Asia) L.L.C</t>
        </is>
      </c>
      <c r="BV26" s="108" t="inlineStr">
        <is>
          <t>China International Capital Corporation Hong Kong Securities Limited; Goldman Sachs (Asia) L.L.C.; Credit Suisse (Hong Kong) Limited</t>
        </is>
      </c>
      <c r="BW26" s="108" t="inlineStr">
        <is>
          <t>China International Capital Corporation Hong Kong Securities Limited; (in alphabetical order with no ranking assigned) Credit Suisse (Hong Kong) Limited; The Hongkong and Shanghai Banking Corporation Limited; Deutsche Bank AG, Hong Kong Branch; China PA Securities (Hong Kong) Company Limited; ABCI Capital Limited</t>
        </is>
      </c>
      <c r="BX26" s="108" t="inlineStr">
        <is>
          <t>ABCI Securities Company Limited; China International Capital Corporation Hong Kong Securities Limited; China PA Securities (Hong Kong) Company Limited; Credit Suisse (Hong Kong) Limited; Deutsche Bank AG, Hong Kong Branch; Goldman Sachs (Asia) L.L.C.; Haitong International Securities Company Limited; The Hongkong and Shanghai Banking Corporation Limited</t>
        </is>
      </c>
      <c r="BY26" s="127">
        <f>HYPERLINK("https://www1.hkexnews.hk/listedco/listconews/sehk/2021/0304/2021030400013.pdf","prospectus")</f>
        <v/>
      </c>
      <c r="BZ26" s="127">
        <f>HYPERLINK("https://www1.hkexnews.hk/listedco/listconews/sehk/2021/0312/2021031200028.htm","allotment")</f>
        <v/>
      </c>
      <c r="CA26" s="127">
        <f>HYPERLINK("https://www1.hkexnews.hk/listedco/listconews/sehk/2021/0409/2021040900003.pdf","stabilisation")</f>
        <v/>
      </c>
      <c r="CB26" s="128" t="n"/>
      <c r="CC26" s="108" t="inlineStr">
        <is>
          <t>range low: maximum offer price only, no floor published; cornerstone list: no cornerstone tranche; stabilising manager: not named in the allotment notice or prospectus glossary; allocation: allocation table not in this notice's format (older prose announcement); day-1 tape: volume on file; the retail multiple needs the final public split, which this notice does not state</t>
        </is>
      </c>
    </row>
    <row r="27" ht="22" customHeight="1">
      <c r="A27" s="107" t="inlineStr">
        <is>
          <t>1927</t>
        </is>
      </c>
      <c r="B27" s="108" t="inlineStr">
        <is>
          <t>JIUJIUWANG</t>
        </is>
      </c>
      <c r="C27" s="108" t="inlineStr">
        <is>
          <t>久久王</t>
        </is>
      </c>
      <c r="D27" s="108" t="inlineStr">
        <is>
          <t>Consumer</t>
        </is>
      </c>
      <c r="E27" s="108" t="inlineStr">
        <is>
          <t>Beverages / packaged food</t>
        </is>
      </c>
      <c r="F27" s="108" t="inlineStr">
        <is>
          <t>Packaged Foods</t>
        </is>
      </c>
      <c r="G27" s="108" t="inlineStr">
        <is>
          <t>Standard</t>
        </is>
      </c>
      <c r="H27" s="109" t="n">
        <v>44271</v>
      </c>
      <c r="I27" s="110" t="n">
        <v>148.5</v>
      </c>
      <c r="J27" s="108" t="inlineStr">
        <is>
          <t>gross (price x shares)</t>
        </is>
      </c>
      <c r="K27" s="111" t="n">
        <v>0.65</v>
      </c>
      <c r="L27" s="111" t="n">
        <v>0.75</v>
      </c>
      <c r="M27" s="111" t="n">
        <v>0.75</v>
      </c>
      <c r="N27" s="108" t="inlineStr">
        <is>
          <t>Y</t>
        </is>
      </c>
      <c r="O27" s="112" t="n">
        <v>100</v>
      </c>
      <c r="P27" s="112" t="n">
        <v>100</v>
      </c>
      <c r="Q27" s="113" t="n">
        <v>594</v>
      </c>
      <c r="R27" s="108" t="inlineStr">
        <is>
          <t>aastocks:上市市值 at the struck price</t>
        </is>
      </c>
      <c r="S27" s="114" t="n">
        <v>214.36</v>
      </c>
      <c r="T27" s="115" t="n">
        <v>1.14</v>
      </c>
      <c r="U27" s="116" t="n">
        <v>0</v>
      </c>
      <c r="V27" s="117" t="n">
        <v>222</v>
      </c>
      <c r="W27" s="118" t="n"/>
      <c r="X27" s="119" t="n"/>
      <c r="Y27" s="113" t="n">
        <v>148.5</v>
      </c>
      <c r="Z27" s="113" t="n">
        <v>198000000</v>
      </c>
      <c r="AA27" s="112" t="n">
        <v>25</v>
      </c>
      <c r="AB27" s="108" t="inlineStr">
        <is>
          <t>none — no cornerstone tranche</t>
        </is>
      </c>
      <c r="AC27" s="108" t="inlineStr">
        <is>
          <t>none</t>
        </is>
      </c>
      <c r="AD27" s="112" t="n">
        <v>15</v>
      </c>
      <c r="AE27" s="119" t="n"/>
      <c r="AF27" s="119" t="n"/>
      <c r="AG27" s="108" t="inlineStr">
        <is>
          <t>First Fidelity Capi tal</t>
        </is>
      </c>
      <c r="AH27" s="108" t="inlineStr">
        <is>
          <t>First Fidelity Capi</t>
        </is>
      </c>
      <c r="AI27" s="120" t="n">
        <v>0</v>
      </c>
      <c r="AJ27" s="121" t="n">
        <v>-26.67</v>
      </c>
      <c r="AK27" s="121" t="n">
        <v>2.23</v>
      </c>
      <c r="AL27" s="121" t="n">
        <v>-8</v>
      </c>
      <c r="AM27" s="121" t="n">
        <v>-20.29</v>
      </c>
      <c r="AN27" s="122" t="n"/>
      <c r="AO27" s="112" t="n">
        <v>46.38</v>
      </c>
      <c r="AP27" s="121" t="n">
        <v>-34.67</v>
      </c>
      <c r="AQ27" s="121" t="n">
        <v>-40</v>
      </c>
      <c r="AR27" s="121" t="n">
        <v>-46.67</v>
      </c>
      <c r="AS27" s="121" t="n">
        <v>-10.91</v>
      </c>
      <c r="AT27" s="121" t="n">
        <v>-18.18</v>
      </c>
      <c r="AU27" s="121" t="n">
        <v>-27.27</v>
      </c>
      <c r="AV27" s="121" t="n">
        <v>-34</v>
      </c>
      <c r="AW27" s="121" t="n">
        <v>-42.02</v>
      </c>
      <c r="AX27" s="121" t="n">
        <v>-49.65</v>
      </c>
      <c r="AY27" s="121" t="n">
        <v>-17.97</v>
      </c>
      <c r="AZ27" s="121" t="n">
        <v>2.02</v>
      </c>
      <c r="BA27" s="121" t="n">
        <v>-0.21</v>
      </c>
      <c r="BB27" s="108" t="inlineStr">
        <is>
          <t>Hang Seng Commerce &amp; Industry sub-index</t>
        </is>
      </c>
      <c r="BC27" s="121" t="n">
        <v>-54.67</v>
      </c>
      <c r="BD27" s="109" t="n">
        <v>46297</v>
      </c>
      <c r="BE27" s="110" t="n">
        <v>455.5</v>
      </c>
      <c r="BF27" s="113" t="n">
        <v>47.5</v>
      </c>
      <c r="BG27" s="108" t="inlineStr">
        <is>
          <t>Y</t>
        </is>
      </c>
      <c r="BH27" s="123" t="n">
        <v>12.5</v>
      </c>
      <c r="BI27" s="123" t="n">
        <v>6.2</v>
      </c>
      <c r="BJ27" s="122" t="n"/>
      <c r="BK27" s="123" t="n">
        <v>1.3</v>
      </c>
      <c r="BL27" s="124">
        <f>IF('BBG Verify'!S27="","not filed; run on terminal",'BBG Verify'!S27)</f>
        <v/>
      </c>
      <c r="BM27" s="125" t="inlineStr">
        <is>
          <t>N</t>
        </is>
      </c>
      <c r="BN27" s="126">
        <f>IF('BBG Verify'!K27="","not filed; run on terminal",'BBG Verify'!K27)</f>
        <v/>
      </c>
      <c r="BO27" s="108" t="inlineStr">
        <is>
          <t>N/A</t>
        </is>
      </c>
      <c r="BP27" s="108" t="inlineStr">
        <is>
          <t>N/A</t>
        </is>
      </c>
      <c r="BQ27" s="108" t="inlineStr">
        <is>
          <t>N/A</t>
        </is>
      </c>
      <c r="BR27" s="108" t="inlineStr">
        <is>
          <t>N/A</t>
        </is>
      </c>
      <c r="BS27" s="108" t="inlineStr">
        <is>
          <t>N/A</t>
        </is>
      </c>
      <c r="BT27" s="108" t="inlineStr">
        <is>
          <t>N/A</t>
        </is>
      </c>
      <c r="BU27" s="125" t="inlineStr">
        <is>
          <t>Lego Corporate Finance Limited</t>
        </is>
      </c>
      <c r="BV27" s="108" t="inlineStr">
        <is>
          <t>Lego Corporate Finance Limited</t>
        </is>
      </c>
      <c r="BW27" s="108" t="inlineStr">
        <is>
          <t>Aristo Securities Limited; Brilliant Norton Securities Company Limited; China Tonghai Securities Limited; First Fidelity Capital (International) Limited; Fruit Tree Securities Limited; Grand China Securities Limited; Kirin Securities Limited; Lego Securities Limited; Lee Go Securities Limited; MTF Securities Limited; Realord Asia Pacific Securities Limited; Seazen Resources Securities Limited</t>
        </is>
      </c>
      <c r="BX27" s="108" t="inlineStr">
        <is>
          <t>Aristo Securities Limited; Brilliant Norton Securities Company Limited; China Tonghai Securities Limited; First Fidelity Capital (International) Limited; Fruit Tree Securities Limited; Grand China Securities Limited; Kirin Securities Limited; Lego Securities Limited; Lee Go Securities Limited; MTF Securities Limited; Realord Asia Pacific Securities Limited; Seazen Resources Securities Limited</t>
        </is>
      </c>
      <c r="BY27" s="127">
        <f>HYPERLINK("https://www1.hkexnews.hk/listedco/listconews/sehk/2021/0226/2021022600021.pdf","prospectus")</f>
        <v/>
      </c>
      <c r="BZ27" s="127">
        <f>HYPERLINK("https://www1.hkexnews.hk/listedco/listconews/sehk/2021/0315/2021031500018.htm","allotment")</f>
        <v/>
      </c>
      <c r="CA27" s="127">
        <f>HYPERLINK("https://www1.hkexnews.hk/listedco/listconews/sehk/2021/0414/2021041401047.pdf","stabilisation")</f>
        <v/>
      </c>
      <c r="CB27" s="128" t="n"/>
      <c r="CC27" s="108" t="inlineStr">
        <is>
          <t>greenshoe: end-of-stabilisation notice not found; market cap: published listing cap used; the estimate from deal size / offer % of enlarged capital disagreed; cornerstone list: no cornerstone tranche; stabilisation notice: notice linked; outcome wording not recognised, result left blank; allocation: allocation table not in this notice's format (older prose announcement); day-1 tape: volume on file; the retail multiple needs the final public split, which this notice does not state</t>
        </is>
      </c>
    </row>
    <row r="28" ht="22" customHeight="1">
      <c r="A28" s="107" t="inlineStr">
        <is>
          <t>9888</t>
        </is>
      </c>
      <c r="B28" s="108" t="inlineStr">
        <is>
          <t>BIDU-SW</t>
        </is>
      </c>
      <c r="C28" s="108" t="inlineStr">
        <is>
          <t>百度集團－Ｗ</t>
        </is>
      </c>
      <c r="D28" s="108" t="inlineStr">
        <is>
          <t>Tech/AI</t>
        </is>
      </c>
      <c r="E28" s="108" t="inlineStr">
        <is>
          <t>Internet platform / e-commerce</t>
        </is>
      </c>
      <c r="F28" s="108" t="inlineStr">
        <is>
          <t>e-Commerce &amp; Internet Services</t>
        </is>
      </c>
      <c r="G28" s="108" t="inlineStr">
        <is>
          <t>Secondary + WVR</t>
        </is>
      </c>
      <c r="H28" s="109" t="n">
        <v>44278</v>
      </c>
      <c r="I28" s="110" t="n">
        <v>23940</v>
      </c>
      <c r="J28" s="108" t="inlineStr">
        <is>
          <t>gross (price x shares)</t>
        </is>
      </c>
      <c r="K28" s="129" t="n"/>
      <c r="L28" s="111" t="n">
        <v>295</v>
      </c>
      <c r="M28" s="111" t="n">
        <v>252</v>
      </c>
      <c r="N28" s="108" t="inlineStr">
        <is>
          <t>N</t>
        </is>
      </c>
      <c r="O28" s="112" t="n">
        <v>85.40000000000001</v>
      </c>
      <c r="P28" s="118" t="n"/>
      <c r="Q28" s="113" t="n">
        <v>712800</v>
      </c>
      <c r="R28" s="108" t="inlineStr">
        <is>
          <t>press:sina tech 2021-03-23 + STCN: 总市值7128亿港元 | FINANCIALS (RMB x1.1): Baidu FY2020 PR: total revenues RMB107,074m, NI attributable RMB22,472m</t>
        </is>
      </c>
      <c r="S28" s="114" t="n">
        <v>112.01</v>
      </c>
      <c r="T28" s="115" t="n">
        <v>10</v>
      </c>
      <c r="U28" s="116" t="n">
        <v>0</v>
      </c>
      <c r="V28" s="117" t="n">
        <v>13</v>
      </c>
      <c r="W28" s="118" t="n"/>
      <c r="X28" s="119" t="n"/>
      <c r="Y28" s="113" t="n">
        <v>23940</v>
      </c>
      <c r="Z28" s="113" t="n">
        <v>95000000</v>
      </c>
      <c r="AA28" s="112" t="n">
        <v>3.36</v>
      </c>
      <c r="AB28" s="108" t="inlineStr">
        <is>
          <t>none — no cornerstone tranche</t>
        </is>
      </c>
      <c r="AC28" s="108" t="inlineStr">
        <is>
          <t>none</t>
        </is>
      </c>
      <c r="AD28" s="112" t="n">
        <v>10</v>
      </c>
      <c r="AE28" s="119" t="n"/>
      <c r="AF28" s="108" t="inlineStr">
        <is>
          <t>2021-04-16</t>
        </is>
      </c>
      <c r="AG28" s="108" t="inlineStr">
        <is>
          <t>Merrill Lynch</t>
        </is>
      </c>
      <c r="AH28" s="108" t="inlineStr">
        <is>
          <t>Merrill Lynch</t>
        </is>
      </c>
      <c r="AI28" s="120" t="n">
        <v>1.11</v>
      </c>
      <c r="AJ28" s="121" t="n">
        <v>0</v>
      </c>
      <c r="AK28" s="121" t="n">
        <v>-2.37</v>
      </c>
      <c r="AL28" s="121" t="n">
        <v>0.79</v>
      </c>
      <c r="AM28" s="121" t="n">
        <v>-0.78</v>
      </c>
      <c r="AN28" s="122" t="n"/>
      <c r="AO28" s="112" t="n">
        <v>1.97</v>
      </c>
      <c r="AP28" s="121" t="n">
        <v>-19.92</v>
      </c>
      <c r="AQ28" s="121" t="n">
        <v>-14.84</v>
      </c>
      <c r="AR28" s="121" t="n">
        <v>-24.4</v>
      </c>
      <c r="AS28" s="121" t="n">
        <v>-19.92</v>
      </c>
      <c r="AT28" s="121" t="n">
        <v>-14.84</v>
      </c>
      <c r="AU28" s="121" t="n">
        <v>-24.4</v>
      </c>
      <c r="AV28" s="121" t="n">
        <v>-16.19</v>
      </c>
      <c r="AW28" s="121" t="n">
        <v>-14.43</v>
      </c>
      <c r="AX28" s="121" t="n">
        <v>-21.14</v>
      </c>
      <c r="AY28" s="121" t="n">
        <v>-16.84</v>
      </c>
      <c r="AZ28" s="121" t="n">
        <v>-0.41</v>
      </c>
      <c r="BA28" s="121" t="n">
        <v>2</v>
      </c>
      <c r="BB28" s="108" t="inlineStr">
        <is>
          <t>HSTECH (Hang Seng TECH ETF)</t>
        </is>
      </c>
      <c r="BC28" s="121" t="n">
        <v>-66.98</v>
      </c>
      <c r="BD28" s="109" t="n">
        <v>46297</v>
      </c>
      <c r="BE28" s="110" t="n">
        <v>117781.4</v>
      </c>
      <c r="BF28" s="113" t="n">
        <v>24719.2</v>
      </c>
      <c r="BG28" s="108" t="inlineStr">
        <is>
          <t>Y</t>
        </is>
      </c>
      <c r="BH28" s="123" t="n">
        <v>28.8</v>
      </c>
      <c r="BI28" s="122" t="n"/>
      <c r="BJ28" s="122" t="n"/>
      <c r="BK28" s="123" t="n">
        <v>6.1</v>
      </c>
      <c r="BL28" s="124">
        <f>IF('BBG Verify'!S28="","not filed; run on terminal",'BBG Verify'!S28)</f>
        <v/>
      </c>
      <c r="BM28" s="125" t="inlineStr">
        <is>
          <t>N</t>
        </is>
      </c>
      <c r="BN28" s="126">
        <f>IF('BBG Verify'!K28="","not filed; run on terminal",'BBG Verify'!K28)</f>
        <v/>
      </c>
      <c r="BO28" s="108" t="inlineStr">
        <is>
          <t>N/A</t>
        </is>
      </c>
      <c r="BP28" s="108" t="inlineStr">
        <is>
          <t>N/A</t>
        </is>
      </c>
      <c r="BQ28" s="108" t="inlineStr">
        <is>
          <t>N/A</t>
        </is>
      </c>
      <c r="BR28" s="108" t="inlineStr">
        <is>
          <t>N/A</t>
        </is>
      </c>
      <c r="BS28" s="108" t="inlineStr">
        <is>
          <t>N/A</t>
        </is>
      </c>
      <c r="BT28" s="108" t="inlineStr">
        <is>
          <t>N/A</t>
        </is>
      </c>
      <c r="BU28" s="125" t="inlineStr">
        <is>
          <t>Merrill Lynch (Asia Pacific) Limited; CLSA Capital Markets Limited; Goldman Sachs (Asia) L.L.C; CLSA Limited</t>
        </is>
      </c>
      <c r="BV28" s="108" t="inlineStr">
        <is>
          <t>Merrill Lynch (Asia Pacific) Limited; Goldman Sachs (Asia) L.L.C.; CLSA Capital Markets Limited</t>
        </is>
      </c>
      <c r="BW28" s="108" t="inlineStr">
        <is>
          <t>UBS AG Hong Kong Branch; CCB International Capital Limited; UBS Securities LLC; China Renaissance Securities (Hong Kong) Limited; Nomura International (Hong Kong) Limited; Citigroup Global Markets Asia Limited; Citigroup Global Markets Limited; Canary Wharf London E14 5LB United Kingdom ICBC International Capital Limited; ICBC International Securities Limited; ABCI SECURITIES COMPANY LIMITED</t>
        </is>
      </c>
      <c r="BX28" s="108" t="inlineStr">
        <is>
          <t>ABCI Securities Company Limited; BOCI Asia Limited; CCB International Capital Limited; Citigroup Global Markets Asia Limited; China International Capital Corporation Hong Kong Securities Limited; CLSA Limited; China Renaissance Securities (Hong Kong) Limited; Futu Securities International (Hong Kong) Limited; Goldman Sachs (Asia) L.L.C.; Haitong International Securities Company Limited; ICBC International Securities Limited; Merrill Lynch (Asia Pacific) Limited</t>
        </is>
      </c>
      <c r="BY28" s="127">
        <f>HYPERLINK("https://www1.hkexnews.hk/listedco/listconews/sehk/2021/0312/2021031200021.pdf","prospectus")</f>
        <v/>
      </c>
      <c r="BZ28" s="127">
        <f>HYPERLINK("https://www1.hkexnews.hk/listedco/listconews/sehk/2021/0322/2021032200016.htm","allotment")</f>
        <v/>
      </c>
      <c r="CA28" s="127">
        <f>HYPERLINK("https://www1.hkexnews.hk/listedco/listconews/sehk/2021/0418/2021041800007.pdf","stabilisation")</f>
        <v/>
      </c>
      <c r="CB28" s="128" t="n"/>
      <c r="CC28" s="108" t="inlineStr">
        <is>
          <t>greenshoe: end-of-stabilisation notice not found; range low: maximum offer price only, no floor published; cornerstone list: no cornerstone tranche; stabilisation notice: notice linked; outcome wording not recognised, result left blank; allocation: allocation table not in this notice's format (older prose announcement); day-1 tape: volume on file; the retail multiple needs the final public split, which this notice does not state</t>
        </is>
      </c>
    </row>
    <row r="29" ht="22" customHeight="1">
      <c r="A29" s="107" t="inlineStr">
        <is>
          <t>2187</t>
        </is>
      </c>
      <c r="B29" s="108" t="inlineStr">
        <is>
          <t>ZHIXIN GP HLDG</t>
        </is>
      </c>
      <c r="C29" s="108" t="inlineStr">
        <is>
          <t>智欣集團控股</t>
        </is>
      </c>
      <c r="D29" s="108" t="inlineStr">
        <is>
          <t>Industrials</t>
        </is>
      </c>
      <c r="E29" s="108" t="inlineStr">
        <is>
          <t>Construction / engineering</t>
        </is>
      </c>
      <c r="F29" s="108" t="inlineStr">
        <is>
          <t>Construction Materials</t>
        </is>
      </c>
      <c r="G29" s="108" t="inlineStr">
        <is>
          <t>Standard</t>
        </is>
      </c>
      <c r="H29" s="109" t="n">
        <v>44281</v>
      </c>
      <c r="I29" s="110" t="n">
        <v>241.4</v>
      </c>
      <c r="J29" s="108" t="inlineStr">
        <is>
          <t>net proceeds</t>
        </is>
      </c>
      <c r="K29" s="129" t="n"/>
      <c r="L29" s="111" t="n">
        <v>1.5</v>
      </c>
      <c r="M29" s="111" t="n">
        <v>1.5</v>
      </c>
      <c r="N29" s="108" t="inlineStr">
        <is>
          <t>Y</t>
        </is>
      </c>
      <c r="O29" s="112" t="n">
        <v>100</v>
      </c>
      <c r="P29" s="118" t="n"/>
      <c r="Q29" s="113" t="n">
        <v>1122</v>
      </c>
      <c r="R29" s="108" t="inlineStr">
        <is>
          <t>prospectus:stated market capitalisation</t>
        </is>
      </c>
      <c r="S29" s="114" t="n">
        <v>25.24</v>
      </c>
      <c r="T29" s="133">
        <f>IF('BBG Verify'!E29="","not filed; run on terminal",'BBG Verify'!E29)</f>
        <v/>
      </c>
      <c r="U29" s="116" t="n">
        <v>30.3</v>
      </c>
      <c r="V29" s="117" t="n">
        <v>195</v>
      </c>
      <c r="W29" s="118" t="n"/>
      <c r="X29" s="119" t="n"/>
      <c r="Y29" s="113" t="n">
        <v>168.26</v>
      </c>
      <c r="Z29" s="131" t="n"/>
      <c r="AA29" s="112" t="n">
        <v>15</v>
      </c>
      <c r="AB29" s="108" t="inlineStr">
        <is>
          <t>Tenancy Co., Limited; Wang Miao</t>
        </is>
      </c>
      <c r="AC29" s="108" t="inlineStr">
        <is>
          <t>tenancy;wang-miao</t>
        </is>
      </c>
      <c r="AD29" s="118" t="n"/>
      <c r="AE29" s="119" t="n"/>
      <c r="AF29" s="119" t="n"/>
      <c r="AG29" s="119" t="n"/>
      <c r="AH29" s="119" t="n"/>
      <c r="AI29" s="120" t="n">
        <v>4</v>
      </c>
      <c r="AJ29" s="121" t="n">
        <v>-29.33</v>
      </c>
      <c r="AK29" s="121" t="n">
        <v>2.32</v>
      </c>
      <c r="AL29" s="121" t="n">
        <v>-3.33</v>
      </c>
      <c r="AM29" s="121" t="n">
        <v>-26.9</v>
      </c>
      <c r="AN29" s="122" t="n"/>
      <c r="AO29" s="112" t="n">
        <v>33.1</v>
      </c>
      <c r="AP29" s="121" t="n">
        <v>-30</v>
      </c>
      <c r="AQ29" s="121" t="n">
        <v>-23.33</v>
      </c>
      <c r="AR29" s="121" t="n">
        <v>-16</v>
      </c>
      <c r="AS29" s="121" t="n">
        <v>-0.95</v>
      </c>
      <c r="AT29" s="121" t="n">
        <v>8.49</v>
      </c>
      <c r="AU29" s="121" t="n">
        <v>18.86</v>
      </c>
      <c r="AV29" s="121" t="n">
        <v>-34.83</v>
      </c>
      <c r="AW29" s="121" t="n">
        <v>-29.89</v>
      </c>
      <c r="AX29" s="121" t="n">
        <v>-25.18</v>
      </c>
      <c r="AY29" s="121" t="n">
        <v>4.34</v>
      </c>
      <c r="AZ29" s="121" t="n">
        <v>6.56</v>
      </c>
      <c r="BA29" s="121" t="n">
        <v>4.15</v>
      </c>
      <c r="BB29" s="108" t="inlineStr">
        <is>
          <t>Hang Seng Commerce &amp; Industry sub-index</t>
        </is>
      </c>
      <c r="BC29" s="121" t="n">
        <v>-68.33</v>
      </c>
      <c r="BD29" s="109" t="n">
        <v>46297</v>
      </c>
      <c r="BE29" s="110" t="n">
        <v>649.9</v>
      </c>
      <c r="BF29" s="113" t="n">
        <v>46</v>
      </c>
      <c r="BG29" s="108" t="inlineStr">
        <is>
          <t>Y</t>
        </is>
      </c>
      <c r="BH29" s="123" t="n">
        <v>24.4</v>
      </c>
      <c r="BI29" s="123" t="n">
        <v>8.199999999999999</v>
      </c>
      <c r="BJ29" s="122" t="n"/>
      <c r="BK29" s="123" t="n">
        <v>1.7</v>
      </c>
      <c r="BL29" s="124">
        <f>IF('BBG Verify'!S29="","not filed; run on terminal",'BBG Verify'!S29)</f>
        <v/>
      </c>
      <c r="BM29" s="125" t="inlineStr">
        <is>
          <t>N</t>
        </is>
      </c>
      <c r="BN29" s="126">
        <f>IF('BBG Verify'!K29="","not filed; run on terminal",'BBG Verify'!K29)</f>
        <v/>
      </c>
      <c r="BO29" s="108" t="inlineStr">
        <is>
          <t>N/A</t>
        </is>
      </c>
      <c r="BP29" s="108" t="inlineStr">
        <is>
          <t>N/A</t>
        </is>
      </c>
      <c r="BQ29" s="108" t="inlineStr">
        <is>
          <t>N/A</t>
        </is>
      </c>
      <c r="BR29" s="108" t="inlineStr">
        <is>
          <t>N/A</t>
        </is>
      </c>
      <c r="BS29" s="108" t="inlineStr">
        <is>
          <t>N/A</t>
        </is>
      </c>
      <c r="BT29" s="108" t="inlineStr">
        <is>
          <t>N/A</t>
        </is>
      </c>
      <c r="BU29" s="125" t="inlineStr">
        <is>
          <t>Kingsway Capital Limited</t>
        </is>
      </c>
      <c r="BV29" s="108" t="inlineStr">
        <is>
          <t>Kingsway Capital Limited</t>
        </is>
      </c>
      <c r="BW29" s="108" t="inlineStr">
        <is>
          <t>Kingsway Financial Services Group Limited; Seazen Resources Securities Limited; Zhongtai International Securities Limited; SPDB International Capital Limited</t>
        </is>
      </c>
      <c r="BX29" s="108" t="inlineStr">
        <is>
          <t>Haitong International Securities Company Limited; Kingsway Financial Services Group Limited; SPDB International Capital Limited; Seazen Resources Securities Limited; Zhongtai International Securities Limited; ZMF Asset Management Limited</t>
        </is>
      </c>
      <c r="BY29" s="127">
        <f>HYPERLINK("https://www1.hkexnews.hk/listedco/listconews/sehk/2021/0316/2021031600111.pdf","prospectus")</f>
        <v/>
      </c>
      <c r="BZ29" s="127">
        <f>HYPERLINK("https://www1.hkexnews.hk/listedco/listconews/sehk/2021/0325/2021032500100.htm","allotment")</f>
        <v/>
      </c>
      <c r="CA29" s="119" t="n"/>
      <c r="CB29" s="128" t="n"/>
      <c r="CC29" s="108" t="inlineStr">
        <is>
          <t>intl sub: parsed 0.9x rejected (implausible against a 25x public book); BBG Verify CP037 fills it; greenshoe: no over-allotment option; range low: maximum offer price only, no floor published; cornerstone: table parse 80% rejected (institutional total implies 30%); the AAStocks institutional total used; greenshoe size: no over-allotment option; stabilising manager: no over-allotment option, so none appointed; eff float shares: share count unavailable; the HK$m figure is exact; allocation: allocation table not in this notice's format (older prose announcement); day-1 tape: volume on file; the retail multiple needs the final public split, which this notice does not state</t>
        </is>
      </c>
    </row>
    <row r="30" ht="22" customHeight="1">
      <c r="A30" s="107" t="inlineStr">
        <is>
          <t>9626</t>
        </is>
      </c>
      <c r="B30" s="108" t="inlineStr">
        <is>
          <t>BILIBILI-SW</t>
        </is>
      </c>
      <c r="C30" s="108" t="inlineStr">
        <is>
          <t>嗶哩嗶哩－Ｗ</t>
        </is>
      </c>
      <c r="D30" s="108" t="inlineStr">
        <is>
          <t>Tech/AI</t>
        </is>
      </c>
      <c r="E30" s="108" t="inlineStr">
        <is>
          <t>Internet platform / e-commerce</t>
        </is>
      </c>
      <c r="F30" s="108" t="inlineStr">
        <is>
          <t>e-Commerce &amp; Internet Services</t>
        </is>
      </c>
      <c r="G30" s="108" t="inlineStr">
        <is>
          <t>Secondary + WVR</t>
        </is>
      </c>
      <c r="H30" s="109" t="n">
        <v>44284</v>
      </c>
      <c r="I30" s="110" t="n">
        <v>20200</v>
      </c>
      <c r="J30" s="108" t="inlineStr">
        <is>
          <t>gross (price x shares)</t>
        </is>
      </c>
      <c r="K30" s="129" t="n"/>
      <c r="L30" s="111" t="n">
        <v>988</v>
      </c>
      <c r="M30" s="111" t="n">
        <v>808</v>
      </c>
      <c r="N30" s="108" t="inlineStr">
        <is>
          <t>N</t>
        </is>
      </c>
      <c r="O30" s="112" t="n">
        <v>81.8</v>
      </c>
      <c r="P30" s="118" t="n"/>
      <c r="Q30" s="113" t="n">
        <v>298019</v>
      </c>
      <c r="R30" s="108" t="inlineStr">
        <is>
          <t>press:chinanews 2021-03-30: 总市值约2980.19亿港元 | FINANCIALS (RMB x1.1): Bilibili FY2020 PR/20-F: total net revenues RMB11,999.0m (stored NI is the attributable line, kept)</t>
        </is>
      </c>
      <c r="S30" s="114" t="n">
        <v>174.19</v>
      </c>
      <c r="T30" s="115" t="n">
        <v>11.9</v>
      </c>
      <c r="U30" s="116" t="n">
        <v>0</v>
      </c>
      <c r="V30" s="117" t="n">
        <v>396</v>
      </c>
      <c r="W30" s="118" t="n"/>
      <c r="X30" s="119" t="n"/>
      <c r="Y30" s="113" t="n">
        <v>20200</v>
      </c>
      <c r="Z30" s="113" t="n">
        <v>25000000</v>
      </c>
      <c r="AA30" s="112" t="n">
        <v>6.78</v>
      </c>
      <c r="AB30" s="108" t="inlineStr">
        <is>
          <t>none — no cornerstone tranche</t>
        </is>
      </c>
      <c r="AC30" s="108" t="inlineStr">
        <is>
          <t>none</t>
        </is>
      </c>
      <c r="AD30" s="112" t="n">
        <v>6.6</v>
      </c>
      <c r="AE30" s="108" t="inlineStr">
        <is>
          <t>full</t>
        </is>
      </c>
      <c r="AF30" s="108" t="inlineStr">
        <is>
          <t>2021-04-22</t>
        </is>
      </c>
      <c r="AG30" s="108" t="inlineStr">
        <is>
          <t>Morgan Stanley Asia Limited</t>
        </is>
      </c>
      <c r="AH30" s="108" t="inlineStr">
        <is>
          <t>Morgan Stanley</t>
        </is>
      </c>
      <c r="AI30" s="120" t="n">
        <v>-6.56</v>
      </c>
      <c r="AJ30" s="121" t="n">
        <v>-0.99</v>
      </c>
      <c r="AK30" s="121" t="n">
        <v>-1.99</v>
      </c>
      <c r="AL30" s="121" t="n">
        <v>-2.23</v>
      </c>
      <c r="AM30" s="121" t="n">
        <v>1.27</v>
      </c>
      <c r="AN30" s="122" t="n"/>
      <c r="AO30" s="112" t="n">
        <v>5.95</v>
      </c>
      <c r="AP30" s="121" t="n">
        <v>5.82</v>
      </c>
      <c r="AQ30" s="121" t="n">
        <v>10.27</v>
      </c>
      <c r="AR30" s="121" t="n">
        <v>15.72</v>
      </c>
      <c r="AS30" s="121" t="n">
        <v>6.88</v>
      </c>
      <c r="AT30" s="121" t="n">
        <v>11.37</v>
      </c>
      <c r="AU30" s="121" t="n">
        <v>16.88</v>
      </c>
      <c r="AV30" s="121" t="n">
        <v>1.79</v>
      </c>
      <c r="AW30" s="121" t="n">
        <v>7.85</v>
      </c>
      <c r="AX30" s="121" t="n">
        <v>18.57</v>
      </c>
      <c r="AY30" s="121" t="n">
        <v>6.88</v>
      </c>
      <c r="AZ30" s="121" t="n">
        <v>2.42</v>
      </c>
      <c r="BA30" s="121" t="n">
        <v>4.49</v>
      </c>
      <c r="BB30" s="108" t="inlineStr">
        <is>
          <t>HSTECH (Hang Seng TECH ETF)</t>
        </is>
      </c>
      <c r="BC30" s="121" t="n">
        <v>-85.89</v>
      </c>
      <c r="BD30" s="109" t="n">
        <v>46297</v>
      </c>
      <c r="BE30" s="110" t="n">
        <v>13198.9</v>
      </c>
      <c r="BF30" s="113" t="n">
        <v>-3359.4</v>
      </c>
      <c r="BG30" s="108" t="inlineStr">
        <is>
          <t>N</t>
        </is>
      </c>
      <c r="BH30" s="108" t="inlineStr">
        <is>
          <t>n/m</t>
        </is>
      </c>
      <c r="BI30" s="122" t="n"/>
      <c r="BJ30" s="122" t="n"/>
      <c r="BK30" s="123" t="n">
        <v>22.6</v>
      </c>
      <c r="BL30" s="124">
        <f>IF('BBG Verify'!S30="","not filed; run on terminal",'BBG Verify'!S30)</f>
        <v/>
      </c>
      <c r="BM30" s="125" t="inlineStr">
        <is>
          <t>N</t>
        </is>
      </c>
      <c r="BN30" s="126">
        <f>IF('BBG Verify'!K30="","not filed; run on terminal",'BBG Verify'!K30)</f>
        <v/>
      </c>
      <c r="BO30" s="108" t="inlineStr">
        <is>
          <t>N/A</t>
        </is>
      </c>
      <c r="BP30" s="108" t="inlineStr">
        <is>
          <t>N/A</t>
        </is>
      </c>
      <c r="BQ30" s="108" t="inlineStr">
        <is>
          <t>N/A</t>
        </is>
      </c>
      <c r="BR30" s="108" t="inlineStr">
        <is>
          <t>N/A</t>
        </is>
      </c>
      <c r="BS30" s="108" t="inlineStr">
        <is>
          <t>N/A</t>
        </is>
      </c>
      <c r="BT30" s="108" t="inlineStr">
        <is>
          <t>N/A</t>
        </is>
      </c>
      <c r="BU30" s="125" t="inlineStr">
        <is>
          <t>Morgan Stanley Asia Limited; Goldman Sachs (Asia) L.L.C; J.P. Morgan Securities (Far East) Limited; UBS Securities Hong Kong Limited</t>
        </is>
      </c>
      <c r="BV30" s="108" t="inlineStr">
        <is>
          <t>Morgan Stanley Asia Limited; J.P. Morgan Securities (Far East) Limited; UBS Securities Hong Kong Limited; Goldman Sachs (Asia) L.L.C.</t>
        </is>
      </c>
      <c r="BW30" s="108" t="inlineStr">
        <is>
          <t>Morgan Stanley Asia Limited; Goldman Sachs (Asia) L.L.C; J.P. Morgan Securities (Asia Pacific) Limited; UBS AG Hong Kong Branch; Morgan Stanley &amp; Co. International plc; London, E14 4QA United Kingdom Goldman Sachs (Asia) L.L.C; J.P. Morgan Securities plc; Canary Wharf London E14 5JP United Kingdom J.P. Morgan Securities LLC; UBS Securities LLC; Merrill Lynch (Asia Pacific) Limited</t>
        </is>
      </c>
      <c r="BX30" s="108" t="inlineStr">
        <is>
          <t>CCB International Capital Limited; China International Capital Corporation Hong Kong Securities Limited; CLSA Limited; CMB International Capital Limited; Credit Suisse (Hong Kong) Limited; Futu Securities International (Hong Kong) Limited; Guotai Junan Securities (Hong Kong) Limited; Goldman Sachs (Asia) L.L.C.; Haitong International Securities Company Limited; J.P. Morgan Securities (Asia Pacific) Limited; Merrill Lynch (Asia Pacific) Limited; Morgan Stanley Asia Limited</t>
        </is>
      </c>
      <c r="BY30" s="127">
        <f>HYPERLINK("https://www1.hkexnews.hk/listedco/listconews/sehk/2021/0318/2021031800173.pdf","prospectus")</f>
        <v/>
      </c>
      <c r="BZ30" s="127">
        <f>HYPERLINK("https://www1.hkexnews.hk/listedco/listconews/sehk/2021/0326/2021032600074.htm","allotment")</f>
        <v/>
      </c>
      <c r="CA30" s="127">
        <f>HYPERLINK("https://www1.hkexnews.hk/listedco/listconews/sehk/2021/0422/2021042202002.pdf","stabilisation")</f>
        <v/>
      </c>
      <c r="CB30" s="128" t="n"/>
      <c r="CC30" s="108" t="inlineStr">
        <is>
          <t>P/E: loss-making at IPO, use P/S; range low: maximum offer price only, no floor published; cornerstone list: no cornerstone tranche; allocation: allocation table not in this notice's format (older prose announcement); day-1 tape: volume on file; the retail multiple needs the final public split, which this notice does not state</t>
        </is>
      </c>
    </row>
    <row r="31" ht="22" customHeight="1">
      <c r="A31" s="107" t="inlineStr">
        <is>
          <t>6939</t>
        </is>
      </c>
      <c r="B31" s="108" t="inlineStr">
        <is>
          <t>MEGAIN</t>
        </is>
      </c>
      <c r="C31" s="108" t="inlineStr">
        <is>
          <t>美佳音控股</t>
        </is>
      </c>
      <c r="D31" s="108" t="inlineStr">
        <is>
          <t>Tech/AI</t>
        </is>
      </c>
      <c r="E31" s="108" t="inlineStr">
        <is>
          <t>Other / diversified semiconductors</t>
        </is>
      </c>
      <c r="F31" s="108" t="inlineStr">
        <is>
          <t>Electrical Components &amp; Equipment</t>
        </is>
      </c>
      <c r="G31" s="108" t="inlineStr">
        <is>
          <t>Standard</t>
        </is>
      </c>
      <c r="H31" s="109" t="n">
        <v>44286</v>
      </c>
      <c r="I31" s="110" t="n">
        <v>157.5</v>
      </c>
      <c r="J31" s="108" t="inlineStr">
        <is>
          <t>gross (price x shares)</t>
        </is>
      </c>
      <c r="K31" s="111" t="n">
        <v>1.15</v>
      </c>
      <c r="L31" s="111" t="n">
        <v>1.35</v>
      </c>
      <c r="M31" s="111" t="n">
        <v>1.26</v>
      </c>
      <c r="N31" s="108" t="inlineStr">
        <is>
          <t>N</t>
        </is>
      </c>
      <c r="O31" s="112" t="n">
        <v>93.3</v>
      </c>
      <c r="P31" s="112" t="n">
        <v>55</v>
      </c>
      <c r="Q31" s="113" t="n">
        <v>693.4</v>
      </c>
      <c r="R31" s="108" t="inlineStr">
        <is>
          <t>aastocks:上市市值 at the struck price</t>
        </is>
      </c>
      <c r="S31" s="114" t="n">
        <v>22.43</v>
      </c>
      <c r="T31" s="115" t="n">
        <v>1.71</v>
      </c>
      <c r="U31" s="116" t="n">
        <v>0</v>
      </c>
      <c r="V31" s="117" t="n">
        <v>201</v>
      </c>
      <c r="W31" s="112" t="n">
        <v>30</v>
      </c>
      <c r="X31" s="108" t="inlineStr">
        <is>
          <t>YES</t>
        </is>
      </c>
      <c r="Y31" s="113" t="n">
        <v>157.5</v>
      </c>
      <c r="Z31" s="113" t="n">
        <v>125000000</v>
      </c>
      <c r="AA31" s="112" t="n">
        <v>22.71</v>
      </c>
      <c r="AB31" s="108" t="inlineStr">
        <is>
          <t>none — no cornerstone tranche</t>
        </is>
      </c>
      <c r="AC31" s="108" t="inlineStr">
        <is>
          <t>none</t>
        </is>
      </c>
      <c r="AD31" s="112" t="n">
        <v>16.63</v>
      </c>
      <c r="AE31" s="108" t="inlineStr">
        <is>
          <t>full</t>
        </is>
      </c>
      <c r="AF31" s="119" t="n"/>
      <c r="AG31" s="108" t="inlineStr">
        <is>
          <t>CMBC Securities Company Limited</t>
        </is>
      </c>
      <c r="AH31" s="108" t="inlineStr">
        <is>
          <t>CMBC</t>
        </is>
      </c>
      <c r="AI31" s="120" t="n">
        <v>6.35</v>
      </c>
      <c r="AJ31" s="121" t="n">
        <v>6.35</v>
      </c>
      <c r="AK31" s="121" t="n">
        <v>0</v>
      </c>
      <c r="AL31" s="121" t="n">
        <v>10.32</v>
      </c>
      <c r="AM31" s="121" t="n">
        <v>-3.6</v>
      </c>
      <c r="AN31" s="123" t="n">
        <v>1.89</v>
      </c>
      <c r="AO31" s="112" t="n">
        <v>12.23</v>
      </c>
      <c r="AP31" s="121" t="n">
        <v>12.7</v>
      </c>
      <c r="AQ31" s="121" t="n">
        <v>15.08</v>
      </c>
      <c r="AR31" s="121" t="n">
        <v>44.44</v>
      </c>
      <c r="AS31" s="121" t="n">
        <v>5.97</v>
      </c>
      <c r="AT31" s="121" t="n">
        <v>8.210000000000001</v>
      </c>
      <c r="AU31" s="121" t="n">
        <v>35.82</v>
      </c>
      <c r="AV31" s="121" t="n">
        <v>12.64</v>
      </c>
      <c r="AW31" s="121" t="n">
        <v>13.91</v>
      </c>
      <c r="AX31" s="121" t="n">
        <v>50.84</v>
      </c>
      <c r="AY31" s="121" t="n">
        <v>7.04</v>
      </c>
      <c r="AZ31" s="121" t="n">
        <v>1.17</v>
      </c>
      <c r="BA31" s="121" t="n">
        <v>1.17</v>
      </c>
      <c r="BB31" s="108" t="inlineStr">
        <is>
          <t>HSTECH (Hang Seng TECH ETF)</t>
        </is>
      </c>
      <c r="BC31" s="121" t="n">
        <v>-5.56</v>
      </c>
      <c r="BD31" s="109" t="n">
        <v>46297</v>
      </c>
      <c r="BE31" s="110" t="n">
        <v>173.8</v>
      </c>
      <c r="BF31" s="113" t="n">
        <v>45.4</v>
      </c>
      <c r="BG31" s="108" t="inlineStr">
        <is>
          <t>Y</t>
        </is>
      </c>
      <c r="BH31" s="123" t="n">
        <v>15.3</v>
      </c>
      <c r="BI31" s="122" t="n"/>
      <c r="BJ31" s="122" t="n"/>
      <c r="BK31" s="123" t="n">
        <v>4</v>
      </c>
      <c r="BL31" s="124">
        <f>IF('BBG Verify'!S31="","not filed; run on terminal",'BBG Verify'!S31)</f>
        <v/>
      </c>
      <c r="BM31" s="125" t="inlineStr">
        <is>
          <t>N</t>
        </is>
      </c>
      <c r="BN31" s="126">
        <f>IF('BBG Verify'!K31="","not filed; run on terminal",'BBG Verify'!K31)</f>
        <v/>
      </c>
      <c r="BO31" s="108" t="inlineStr">
        <is>
          <t>N/A</t>
        </is>
      </c>
      <c r="BP31" s="108" t="inlineStr">
        <is>
          <t>N/A</t>
        </is>
      </c>
      <c r="BQ31" s="108" t="inlineStr">
        <is>
          <t>N/A</t>
        </is>
      </c>
      <c r="BR31" s="108" t="inlineStr">
        <is>
          <t>N/A</t>
        </is>
      </c>
      <c r="BS31" s="108" t="inlineStr">
        <is>
          <t>N/A</t>
        </is>
      </c>
      <c r="BT31" s="108" t="inlineStr">
        <is>
          <t>N/A</t>
        </is>
      </c>
      <c r="BU31" s="125" t="inlineStr">
        <is>
          <t>CMBC International Capital Limited</t>
        </is>
      </c>
      <c r="BV31" s="108" t="inlineStr">
        <is>
          <t>CMBC International Capital Limited</t>
        </is>
      </c>
      <c r="BW31" s="108" t="inlineStr">
        <is>
          <t>CMBC Securities Company Limited; Yuan Tong Global Securities Limited; CCB International Capital Limited; Haitong International Securities Company Limited; BOCOM International Securities Limited; Dongxing Securities (Hong Kong) Company Limited; Vision Finance International Company Limited</t>
        </is>
      </c>
      <c r="BX31" s="108" t="inlineStr">
        <is>
          <t>Beta International Securities Limited; CCB International Capital Limited; CMBC Securities Company Limited; China Sky Securities Limited; Dongxing Securities (Hong Kong) Company Limited; Ever-Long Securities Company Limited; Fulbright Securities Limited; Glory Sun Securities Limited; Grand View Securities Limited; Haitong International Securities Company Limited; Lego Securities Limited; Livermore Holdings Limited</t>
        </is>
      </c>
      <c r="BY31" s="127">
        <f>HYPERLINK("https://www1.hkexnews.hk/listedco/listconews/sehk/2021/0318/2021031800013.pdf","prospectus")</f>
        <v/>
      </c>
      <c r="BZ31" s="127">
        <f>HYPERLINK("https://www1.hkexnews.hk/listedco/listconews/sehk/2021/0330/2021033000148.htm","allotment")</f>
        <v/>
      </c>
      <c r="CA31" s="127">
        <f>HYPERLINK("https://www1.hkexnews.hk/listedco/listconews/sehk/2021/0422/2021042201830.pdf","stabilisation")</f>
        <v/>
      </c>
      <c r="CB31" s="128" t="n"/>
      <c r="CC31" s="108" t="inlineStr">
        <is>
          <t>greenshoe: outcome published; expiry date not in the notice; market cap: published listing cap used; the estimate from deal size / offer % of enlarged capital disagreed; cornerstone list: no cornerstone tranche</t>
        </is>
      </c>
    </row>
    <row r="32" ht="22" customHeight="1">
      <c r="A32" s="107" t="inlineStr">
        <is>
          <t>6608</t>
        </is>
      </c>
      <c r="B32" s="108" t="inlineStr">
        <is>
          <t>BAIRONG-W</t>
        </is>
      </c>
      <c r="C32" s="108" t="inlineStr">
        <is>
          <t>百融智能－Ｗ</t>
        </is>
      </c>
      <c r="D32" s="108" t="inlineStr">
        <is>
          <t>Tech/AI</t>
        </is>
      </c>
      <c r="E32" s="108" t="inlineStr">
        <is>
          <t>Fintech platform</t>
        </is>
      </c>
      <c r="F32" s="108" t="inlineStr">
        <is>
          <t>Systems Software</t>
        </is>
      </c>
      <c r="G32" s="108" t="inlineStr">
        <is>
          <t>WVR</t>
        </is>
      </c>
      <c r="H32" s="109" t="n">
        <v>44286</v>
      </c>
      <c r="I32" s="110" t="n">
        <v>3937.6</v>
      </c>
      <c r="J32" s="108" t="inlineStr">
        <is>
          <t>gross (price x shares)</t>
        </is>
      </c>
      <c r="K32" s="129" t="n"/>
      <c r="L32" s="111" t="n">
        <v>31.8</v>
      </c>
      <c r="M32" s="111" t="n">
        <v>31.8</v>
      </c>
      <c r="N32" s="108" t="inlineStr">
        <is>
          <t>Y</t>
        </is>
      </c>
      <c r="O32" s="112" t="n">
        <v>100</v>
      </c>
      <c r="P32" s="118" t="n"/>
      <c r="Q32" s="113" t="n">
        <v>15750.2</v>
      </c>
      <c r="R32" s="108" t="inlineStr">
        <is>
          <t>aastocks:上市市值 at the struck price</t>
        </is>
      </c>
      <c r="S32" s="114" t="n">
        <v>150.67</v>
      </c>
      <c r="T32" s="115" t="n">
        <v>36.3</v>
      </c>
      <c r="U32" s="116" t="n">
        <v>47.3</v>
      </c>
      <c r="V32" s="117" t="n">
        <v>198</v>
      </c>
      <c r="W32" s="118" t="n"/>
      <c r="X32" s="119" t="n"/>
      <c r="Y32" s="113" t="n">
        <v>2075.12</v>
      </c>
      <c r="Z32" s="113" t="n">
        <v>65254458</v>
      </c>
      <c r="AA32" s="112" t="n">
        <v>13.18</v>
      </c>
      <c r="AB32" s="108" t="inlineStr">
        <is>
          <t>Cederberg Capital Limited; China Structural Reform Fund Corporation Limited; Franchise Fund LP</t>
        </is>
      </c>
      <c r="AC32" s="108" t="inlineStr">
        <is>
          <t>cederberg;structural;franchise</t>
        </is>
      </c>
      <c r="AD32" s="112" t="n">
        <v>5.19</v>
      </c>
      <c r="AE32" s="108" t="inlineStr">
        <is>
          <t>lapsed</t>
        </is>
      </c>
      <c r="AF32" s="119" t="n"/>
      <c r="AG32" s="119" t="n"/>
      <c r="AH32" s="119" t="n"/>
      <c r="AI32" s="120" t="n">
        <v>-7.23</v>
      </c>
      <c r="AJ32" s="121" t="n">
        <v>-16.04</v>
      </c>
      <c r="AK32" s="121" t="n">
        <v>0</v>
      </c>
      <c r="AL32" s="121" t="n">
        <v>-7.39</v>
      </c>
      <c r="AM32" s="121" t="n">
        <v>-9.34</v>
      </c>
      <c r="AN32" s="122" t="n"/>
      <c r="AO32" s="112" t="n">
        <v>9.51</v>
      </c>
      <c r="AP32" s="121" t="n">
        <v>-23.11</v>
      </c>
      <c r="AQ32" s="121" t="n">
        <v>-35.06</v>
      </c>
      <c r="AR32" s="121" t="n">
        <v>-40.57</v>
      </c>
      <c r="AS32" s="121" t="n">
        <v>-8.42</v>
      </c>
      <c r="AT32" s="121" t="n">
        <v>-22.65</v>
      </c>
      <c r="AU32" s="121" t="n">
        <v>-29.22</v>
      </c>
      <c r="AV32" s="121" t="n">
        <v>-23.17</v>
      </c>
      <c r="AW32" s="121" t="n">
        <v>-36.23</v>
      </c>
      <c r="AX32" s="121" t="n">
        <v>-34.17</v>
      </c>
      <c r="AY32" s="121" t="n">
        <v>-23.82</v>
      </c>
      <c r="AZ32" s="121" t="n">
        <v>1.17</v>
      </c>
      <c r="BA32" s="121" t="n">
        <v>1.17</v>
      </c>
      <c r="BB32" s="108" t="inlineStr">
        <is>
          <t>HSTECH (Hang Seng TECH ETF)</t>
        </is>
      </c>
      <c r="BC32" s="121" t="n">
        <v>-84.04000000000001</v>
      </c>
      <c r="BD32" s="109" t="n">
        <v>46297</v>
      </c>
      <c r="BE32" s="110" t="n">
        <v>447</v>
      </c>
      <c r="BF32" s="113" t="n">
        <v>-103.6</v>
      </c>
      <c r="BG32" s="108" t="inlineStr">
        <is>
          <t>N</t>
        </is>
      </c>
      <c r="BH32" s="108" t="inlineStr">
        <is>
          <t>n/m</t>
        </is>
      </c>
      <c r="BI32" s="122" t="n"/>
      <c r="BJ32" s="123" t="n">
        <v>32.3</v>
      </c>
      <c r="BK32" s="123" t="n">
        <v>35.2</v>
      </c>
      <c r="BL32" s="124">
        <f>IF('BBG Verify'!S32="","not filed; run on terminal",'BBG Verify'!S32)</f>
        <v/>
      </c>
      <c r="BM32" s="125" t="inlineStr">
        <is>
          <t>N</t>
        </is>
      </c>
      <c r="BN32" s="126">
        <f>IF('BBG Verify'!K32="","not filed; run on terminal",'BBG Verify'!K32)</f>
        <v/>
      </c>
      <c r="BO32" s="108" t="inlineStr">
        <is>
          <t>N/A</t>
        </is>
      </c>
      <c r="BP32" s="108" t="inlineStr">
        <is>
          <t>N/A</t>
        </is>
      </c>
      <c r="BQ32" s="108" t="inlineStr">
        <is>
          <t>N/A</t>
        </is>
      </c>
      <c r="BR32" s="108" t="inlineStr">
        <is>
          <t>N/A</t>
        </is>
      </c>
      <c r="BS32" s="108" t="inlineStr">
        <is>
          <t>N/A</t>
        </is>
      </c>
      <c r="BT32" s="108" t="inlineStr">
        <is>
          <t>N/A</t>
        </is>
      </c>
      <c r="BU32" s="125" t="inlineStr">
        <is>
          <t>Morgan Stanley Asia Limited; China International Capital Corporation Hong Kong Securities Limited; CMBC International Capital Limited</t>
        </is>
      </c>
      <c r="BV32" s="108" t="inlineStr">
        <is>
          <t>China International Capital Corporation Hong Kong Securities Limited; Morgan Stanley Asia Limited; CMBC International Capital Limited</t>
        </is>
      </c>
      <c r="BW32" s="108" t="inlineStr">
        <is>
          <t>Morgan Stanley Asia Limited; China International Capital Corporation Hong Kong Securities Limited; CMBC Securities Company Limited; ICBC International Capital Limited; Haitong International Securities Company Limited; CMB INTERNATIONAL CAPITAL LIMITED; Daiwa Capital Markets Hong Kong Limited; Futu Securities International (Hong Kong) Limited</t>
        </is>
      </c>
      <c r="BX32" s="108" t="inlineStr">
        <is>
          <t>China International Capital Corporation Hong Kong Securities Limited; CMBC Securities Company Limited; CMB International Capital Corporation Limited; Daiwa Capital Markets Hong Kong Limited; Futu Securities International (Hong Kong) Limited; Haitong International Securities Company Limited; ICBC International Securities Limited; Morgan Stanley Asia Limited; SBI China Capital Financial Services Limited</t>
        </is>
      </c>
      <c r="BY32" s="127">
        <f>HYPERLINK("https://www1.hkexnews.hk/listedco/listconews/sehk/2021/0319/2021031900021.pdf","prospectus")</f>
        <v/>
      </c>
      <c r="BZ32" s="127">
        <f>HYPERLINK("https://www1.hkexnews.hk/listedco/listconews/sehk/2021/0330/2021033000204.htm","allotment")</f>
        <v/>
      </c>
      <c r="CA32" s="127">
        <f>HYPERLINK("https://www1.hkexnews.hk/listedco/listconews/sehk/2021/0423/2021042302099.pdf","stabilisation")</f>
        <v/>
      </c>
      <c r="CB32" s="128" t="n"/>
      <c r="CC32" s="108" t="inlineStr">
        <is>
          <t>P/E: loss-making at IPO, use P/S; greenshoe: outcome published; expiry date not in the notice; range low: maximum offer price only, no floor published; market cap: prospectus 'market capitalisation' line is the listing-rule threshold, not the issuer's figure; rejected; stabilising manager: not named in the allotment notice or prospectus glossary; allocation: allocation table not in this notice's format (older prose announcement); day-1 tape: volume on file; the retail multiple needs the final public split, which this notice does not state</t>
        </is>
      </c>
    </row>
    <row r="33" ht="22" customHeight="1">
      <c r="A33" s="107" t="inlineStr">
        <is>
          <t>2195</t>
        </is>
      </c>
      <c r="B33" s="108" t="inlineStr">
        <is>
          <t>UNITY ENT</t>
        </is>
      </c>
      <c r="C33" s="108" t="inlineStr">
        <is>
          <t>盈滙企業控股</t>
        </is>
      </c>
      <c r="D33" s="108" t="inlineStr">
        <is>
          <t>Industrials</t>
        </is>
      </c>
      <c r="E33" s="108" t="inlineStr">
        <is>
          <t>Construction / engineering</t>
        </is>
      </c>
      <c r="F33" s="108" t="inlineStr">
        <is>
          <t>Building Construction</t>
        </is>
      </c>
      <c r="G33" s="108" t="inlineStr">
        <is>
          <t>Standard</t>
        </is>
      </c>
      <c r="H33" s="109" t="n">
        <v>44286</v>
      </c>
      <c r="I33" s="110" t="n">
        <v>140</v>
      </c>
      <c r="J33" s="108" t="inlineStr">
        <is>
          <t>gross (price x shares)</t>
        </is>
      </c>
      <c r="K33" s="111" t="n">
        <v>0.5</v>
      </c>
      <c r="L33" s="111" t="n">
        <v>0.5600000000000001</v>
      </c>
      <c r="M33" s="111" t="n">
        <v>0.5600000000000001</v>
      </c>
      <c r="N33" s="108" t="inlineStr">
        <is>
          <t>Y</t>
        </is>
      </c>
      <c r="O33" s="112" t="n">
        <v>100</v>
      </c>
      <c r="P33" s="112" t="n">
        <v>100</v>
      </c>
      <c r="Q33" s="113" t="n">
        <v>560</v>
      </c>
      <c r="R33" s="108" t="inlineStr">
        <is>
          <t>aastocks:上市市值 at the struck price</t>
        </is>
      </c>
      <c r="S33" s="114" t="n">
        <v>21.65</v>
      </c>
      <c r="T33" s="115" t="n">
        <v>1.08</v>
      </c>
      <c r="U33" s="116" t="n">
        <v>0</v>
      </c>
      <c r="V33" s="117" t="n">
        <v>129</v>
      </c>
      <c r="W33" s="112" t="n">
        <v>30</v>
      </c>
      <c r="X33" s="108" t="inlineStr">
        <is>
          <t>YES</t>
        </is>
      </c>
      <c r="Y33" s="113" t="n">
        <v>140</v>
      </c>
      <c r="Z33" s="113" t="n">
        <v>250000000</v>
      </c>
      <c r="AA33" s="112" t="n">
        <v>25</v>
      </c>
      <c r="AB33" s="108" t="inlineStr">
        <is>
          <t>none — no cornerstone tranche</t>
        </is>
      </c>
      <c r="AC33" s="108" t="inlineStr">
        <is>
          <t>none</t>
        </is>
      </c>
      <c r="AD33" s="118" t="n"/>
      <c r="AE33" s="119" t="n"/>
      <c r="AF33" s="108" t="inlineStr">
        <is>
          <t>2021-04-23</t>
        </is>
      </c>
      <c r="AG33" s="119" t="n"/>
      <c r="AH33" s="119" t="n"/>
      <c r="AI33" s="120" t="n">
        <v>-29.46</v>
      </c>
      <c r="AJ33" s="121" t="n">
        <v>-41.07</v>
      </c>
      <c r="AK33" s="121" t="n">
        <v>-0.23</v>
      </c>
      <c r="AL33" s="121" t="n">
        <v>-28.57</v>
      </c>
      <c r="AM33" s="121" t="n">
        <v>-17.5</v>
      </c>
      <c r="AN33" s="123" t="n">
        <v>1.4</v>
      </c>
      <c r="AO33" s="112" t="n">
        <v>21.25</v>
      </c>
      <c r="AP33" s="121" t="n">
        <v>-46.43</v>
      </c>
      <c r="AQ33" s="121" t="n">
        <v>-17.86</v>
      </c>
      <c r="AR33" s="121" t="n">
        <v>-24.11</v>
      </c>
      <c r="AS33" s="121" t="n">
        <v>-9.1</v>
      </c>
      <c r="AT33" s="121" t="n">
        <v>39.39</v>
      </c>
      <c r="AU33" s="121" t="n">
        <v>28.78</v>
      </c>
      <c r="AV33" s="121" t="n">
        <v>-46.9</v>
      </c>
      <c r="AW33" s="121" t="n">
        <v>-19.52</v>
      </c>
      <c r="AX33" s="121" t="n">
        <v>-25.43</v>
      </c>
      <c r="AY33" s="121" t="n">
        <v>37.49</v>
      </c>
      <c r="AZ33" s="121" t="n">
        <v>1.66</v>
      </c>
      <c r="BA33" s="121" t="n">
        <v>1.9</v>
      </c>
      <c r="BB33" s="108" t="inlineStr">
        <is>
          <t>Hang Seng Commerce &amp; Industry sub-index</t>
        </is>
      </c>
      <c r="BC33" s="121" t="n">
        <v>-95.54000000000001</v>
      </c>
      <c r="BD33" s="109" t="n">
        <v>46297</v>
      </c>
      <c r="BE33" s="110" t="n">
        <v>302</v>
      </c>
      <c r="BF33" s="113" t="n">
        <v>43.2</v>
      </c>
      <c r="BG33" s="108" t="inlineStr">
        <is>
          <t>Y</t>
        </is>
      </c>
      <c r="BH33" s="123" t="n">
        <v>13</v>
      </c>
      <c r="BI33" s="123" t="n">
        <v>6.6</v>
      </c>
      <c r="BJ33" s="122" t="n"/>
      <c r="BK33" s="123" t="n">
        <v>1.9</v>
      </c>
      <c r="BL33" s="124">
        <f>IF('BBG Verify'!S33="","not filed; run on terminal",'BBG Verify'!S33)</f>
        <v/>
      </c>
      <c r="BM33" s="125" t="inlineStr">
        <is>
          <t>N</t>
        </is>
      </c>
      <c r="BN33" s="126">
        <f>IF('BBG Verify'!K33="","not filed; run on terminal",'BBG Verify'!K33)</f>
        <v/>
      </c>
      <c r="BO33" s="108" t="inlineStr">
        <is>
          <t>N/A</t>
        </is>
      </c>
      <c r="BP33" s="108" t="inlineStr">
        <is>
          <t>N/A</t>
        </is>
      </c>
      <c r="BQ33" s="108" t="inlineStr">
        <is>
          <t>N/A</t>
        </is>
      </c>
      <c r="BR33" s="108" t="inlineStr">
        <is>
          <t>N/A</t>
        </is>
      </c>
      <c r="BS33" s="108" t="inlineStr">
        <is>
          <t>N/A</t>
        </is>
      </c>
      <c r="BT33" s="108" t="inlineStr">
        <is>
          <t>N/A</t>
        </is>
      </c>
      <c r="BU33" s="125" t="inlineStr">
        <is>
          <t>Grande Capital Limited</t>
        </is>
      </c>
      <c r="BV33" s="108" t="inlineStr">
        <is>
          <t>Grande Capital Limited</t>
        </is>
      </c>
      <c r="BW33" s="108" t="inlineStr">
        <is>
          <t>Zhong J ia Securities Limited; MTF Securities Limited</t>
        </is>
      </c>
      <c r="BX33" s="108" t="inlineStr">
        <is>
          <t>ChaoShang Securities Limited; Get Nice Securities Limited; Head &amp; Shoulders Securities Limited; MTF Securities Limited; Sinomax Securities Limited; Vinco Capital Limited; Zhong Jia Securities Limited</t>
        </is>
      </c>
      <c r="BY33" s="127">
        <f>HYPERLINK("https://www1.hkexnews.hk/listedco/listconews/sehk/2021/0319/2021031900036.htm","prospectus")</f>
        <v/>
      </c>
      <c r="BZ33" s="127">
        <f>HYPERLINK("https://www1.hkexnews.hk/listedco/listconews/sehk/2021/0330/2021033000230.htm","allotment")</f>
        <v/>
      </c>
      <c r="CA33" s="119" t="n"/>
      <c r="CB33" s="128" t="n"/>
      <c r="CC33" s="108" t="inlineStr">
        <is>
          <t>greenshoe: no over-allotment option; sponsor: English name not in the filing; AAStocks 保薦人 shown; cornerstone list: no cornerstone tranche; greenshoe size: no over-allotment option; stabilising manager: no over-allotment option, so none appointed</t>
        </is>
      </c>
    </row>
    <row r="34" ht="22" customHeight="1">
      <c r="A34" s="107" t="inlineStr">
        <is>
          <t>9959</t>
        </is>
      </c>
      <c r="B34" s="108" t="inlineStr">
        <is>
          <t>LINKLOGIS–W</t>
        </is>
      </c>
      <c r="C34" s="108" t="inlineStr">
        <is>
          <t>聯易融科技－Ｗ</t>
        </is>
      </c>
      <c r="D34" s="108" t="inlineStr">
        <is>
          <t>Tech/AI</t>
        </is>
      </c>
      <c r="E34" s="108" t="inlineStr">
        <is>
          <t>Fintech platform</t>
        </is>
      </c>
      <c r="F34" s="108" t="inlineStr">
        <is>
          <t>IT Consulting &amp; Other Services</t>
        </is>
      </c>
      <c r="G34" s="108" t="inlineStr">
        <is>
          <t>WVR</t>
        </is>
      </c>
      <c r="H34" s="109" t="n">
        <v>44295</v>
      </c>
      <c r="I34" s="110" t="n">
        <v>7961.6</v>
      </c>
      <c r="J34" s="108" t="inlineStr">
        <is>
          <t>gross (price x shares)</t>
        </is>
      </c>
      <c r="K34" s="111" t="n">
        <v>16.28</v>
      </c>
      <c r="L34" s="111" t="n">
        <v>18.28</v>
      </c>
      <c r="M34" s="111" t="n">
        <v>17.58</v>
      </c>
      <c r="N34" s="108" t="inlineStr">
        <is>
          <t>N</t>
        </is>
      </c>
      <c r="O34" s="112" t="n">
        <v>96.2</v>
      </c>
      <c r="P34" s="112" t="n">
        <v>65</v>
      </c>
      <c r="Q34" s="113" t="n">
        <v>35452.4</v>
      </c>
      <c r="R34" s="108" t="inlineStr">
        <is>
          <t>prospectus:stated market capitalisation, rescaled to the offer price</t>
        </is>
      </c>
      <c r="S34" s="114" t="n">
        <v>98.45999999999999</v>
      </c>
      <c r="T34" s="115" t="n">
        <v>14.83</v>
      </c>
      <c r="U34" s="116" t="n">
        <v>35.6</v>
      </c>
      <c r="V34" s="117" t="n">
        <v>294</v>
      </c>
      <c r="W34" s="118" t="n"/>
      <c r="X34" s="119" t="n"/>
      <c r="Y34" s="113" t="n">
        <v>5127.27</v>
      </c>
      <c r="Z34" s="113" t="n">
        <v>291653754</v>
      </c>
      <c r="AA34" s="112" t="n">
        <v>14.46</v>
      </c>
      <c r="AB34" s="108" t="inlineStr">
        <is>
          <t>BlackRock Funds; EDB Investments; Fidelity International; Janus Henderson Funds; Ontario Teachers Pension Plan Board; Sequoia Funds</t>
        </is>
      </c>
      <c r="AC34" s="108" t="inlineStr">
        <is>
          <t>blackrock;edb;fidelity;janus;ontario;sequoia</t>
        </is>
      </c>
      <c r="AD34" s="112" t="n">
        <v>15</v>
      </c>
      <c r="AE34" s="108" t="inlineStr">
        <is>
          <t>full</t>
        </is>
      </c>
      <c r="AF34" s="108" t="inlineStr">
        <is>
          <t>2021-04-30</t>
        </is>
      </c>
      <c r="AG34" s="108" t="inlineStr">
        <is>
          <t>Goldman Sachs</t>
        </is>
      </c>
      <c r="AH34" s="108" t="inlineStr">
        <is>
          <t>Goldman Sachs</t>
        </is>
      </c>
      <c r="AI34" s="120" t="n">
        <v>3.98</v>
      </c>
      <c r="AJ34" s="121" t="n">
        <v>9.9</v>
      </c>
      <c r="AK34" s="121" t="n">
        <v>-1.73</v>
      </c>
      <c r="AL34" s="121" t="n">
        <v>9.9</v>
      </c>
      <c r="AM34" s="121" t="n">
        <v>0</v>
      </c>
      <c r="AN34" s="122" t="n"/>
      <c r="AO34" s="112" t="n">
        <v>7.35</v>
      </c>
      <c r="AP34" s="121" t="n">
        <v>25.43</v>
      </c>
      <c r="AQ34" s="121" t="n">
        <v>25.14</v>
      </c>
      <c r="AR34" s="121" t="n">
        <v>-17.41</v>
      </c>
      <c r="AS34" s="121" t="n">
        <v>14.13</v>
      </c>
      <c r="AT34" s="121" t="n">
        <v>13.87</v>
      </c>
      <c r="AU34" s="121" t="n">
        <v>-24.85</v>
      </c>
      <c r="AV34" s="121" t="n">
        <v>28.11</v>
      </c>
      <c r="AW34" s="121" t="n">
        <v>31.82</v>
      </c>
      <c r="AX34" s="121" t="n">
        <v>-6.26</v>
      </c>
      <c r="AY34" s="121" t="n">
        <v>18.91</v>
      </c>
      <c r="AZ34" s="121" t="n">
        <v>-6.68</v>
      </c>
      <c r="BA34" s="121" t="n">
        <v>-5.04</v>
      </c>
      <c r="BB34" s="108" t="inlineStr">
        <is>
          <t>HSTECH (Hang Seng TECH ETF)</t>
        </is>
      </c>
      <c r="BC34" s="121" t="n">
        <v>-87.31999999999999</v>
      </c>
      <c r="BD34" s="109" t="n">
        <v>46297</v>
      </c>
      <c r="BE34" s="110" t="n">
        <v>167.9</v>
      </c>
      <c r="BF34" s="113" t="n">
        <v>-787</v>
      </c>
      <c r="BG34" s="108" t="inlineStr">
        <is>
          <t>N</t>
        </is>
      </c>
      <c r="BH34" s="108" t="inlineStr">
        <is>
          <t>n/m</t>
        </is>
      </c>
      <c r="BI34" s="122" t="n"/>
      <c r="BJ34" s="122" t="n"/>
      <c r="BK34" s="123" t="n">
        <v>211.2</v>
      </c>
      <c r="BL34" s="124">
        <f>IF('BBG Verify'!S34="","not filed; run on terminal",'BBG Verify'!S34)</f>
        <v/>
      </c>
      <c r="BM34" s="125" t="inlineStr">
        <is>
          <t>N</t>
        </is>
      </c>
      <c r="BN34" s="126">
        <f>IF('BBG Verify'!K34="","not filed; run on terminal",'BBG Verify'!K34)</f>
        <v/>
      </c>
      <c r="BO34" s="108" t="inlineStr">
        <is>
          <t>N/A</t>
        </is>
      </c>
      <c r="BP34" s="108" t="inlineStr">
        <is>
          <t>N/A</t>
        </is>
      </c>
      <c r="BQ34" s="108" t="inlineStr">
        <is>
          <t>N/A</t>
        </is>
      </c>
      <c r="BR34" s="108" t="inlineStr">
        <is>
          <t>N/A</t>
        </is>
      </c>
      <c r="BS34" s="108" t="inlineStr">
        <is>
          <t>N/A</t>
        </is>
      </c>
      <c r="BT34" s="108" t="inlineStr">
        <is>
          <t>N/A</t>
        </is>
      </c>
      <c r="BU34" s="125" t="inlineStr">
        <is>
          <t>Goldman Sachs (Asia) L.L.C; China International Capital Corporation Hong Kong Securities Limited</t>
        </is>
      </c>
      <c r="BV34" s="108" t="inlineStr">
        <is>
          <t>China International Capital Corporation Hong Kong Securities Limited; Goldman Sachs (Asia) L.L.C.</t>
        </is>
      </c>
      <c r="BW34" s="108" t="inlineStr">
        <is>
          <t>Goldman Sachs (Asia) L.L.C; China International Capital Corporation Hong Kong Securities Limited; Citigroup Global Markets Asia Limited; Kong) Limited; CLSA Limited</t>
        </is>
      </c>
      <c r="BX34" s="108" t="inlineStr">
        <is>
          <t>CCB International Capital Limited; Citigroup Global Markets Asia Limited; China International Capital Corporation Hong Kong Securities Limited; CLSA Limited; China Merchants Securities (HK) Company Limited; China Renaissance Securities (Hong Kong) Limited; Futu Securities International (Hong Kong) Limited; Goldman Sachs (Asia) L.L.C.; Huajin Securities (International) Limited; Valuable Capital Limited</t>
        </is>
      </c>
      <c r="BY34" s="127">
        <f>HYPERLINK("https://www1.hkexnews.hk/listedco/listconews/sehk/2021/0326/2021032600037.pdf","prospectus")</f>
        <v/>
      </c>
      <c r="BZ34" s="127">
        <f>HYPERLINK("https://www1.hkexnews.hk/listedco/listconews/sehk/2021/0408/2021040800096.htm","allotment")</f>
        <v/>
      </c>
      <c r="CA34" s="127">
        <f>HYPERLINK("https://www1.hkexnews.hk/listedco/listconews/sehk/2021/0430/2021043002237.pdf","stabilisation")</f>
        <v/>
      </c>
      <c r="CB34" s="128" t="n"/>
      <c r="CC34" s="108" t="inlineStr">
        <is>
          <t>P/E: loss-making at IPO, use P/S; market cap: prospectus cap HK$36,864m at HK$18.28, rescaled to HK$17.58; cornerstone: % from the prospectus; AAStocks table includes non-cornerstone orders; allocation: allocation table not in this notice's format (older prose announcement); day-1 tape: volume on file; the retail multiple needs the final public split, which this notice does not state</t>
        </is>
      </c>
    </row>
    <row r="35" ht="22" customHeight="1">
      <c r="A35" s="107" t="inlineStr">
        <is>
          <t>9961</t>
        </is>
      </c>
      <c r="B35" s="108" t="inlineStr">
        <is>
          <t>TRIP.COM-S</t>
        </is>
      </c>
      <c r="C35" s="108" t="inlineStr">
        <is>
          <t>攜程集團－Ｓ</t>
        </is>
      </c>
      <c r="D35" s="108" t="inlineStr">
        <is>
          <t>Tech/AI</t>
        </is>
      </c>
      <c r="E35" s="108" t="inlineStr">
        <is>
          <t>Internet platform / e-commerce</t>
        </is>
      </c>
      <c r="F35" s="108" t="inlineStr">
        <is>
          <t>Tourism</t>
        </is>
      </c>
      <c r="G35" s="108" t="inlineStr">
        <is>
          <t>Secondary</t>
        </is>
      </c>
      <c r="H35" s="109" t="n">
        <v>44305</v>
      </c>
      <c r="I35" s="110" t="n">
        <v>8478.299999999999</v>
      </c>
      <c r="J35" s="108" t="inlineStr">
        <is>
          <t>gross (price x shares)</t>
        </is>
      </c>
      <c r="K35" s="129" t="n"/>
      <c r="L35" s="111" t="n">
        <v>333</v>
      </c>
      <c r="M35" s="111" t="n">
        <v>268</v>
      </c>
      <c r="N35" s="108" t="inlineStr">
        <is>
          <t>N</t>
        </is>
      </c>
      <c r="O35" s="112" t="n">
        <v>80.5</v>
      </c>
      <c r="P35" s="118" t="n"/>
      <c r="Q35" s="113" t="n">
        <v>210692.8</v>
      </c>
      <c r="R35" s="108" t="inlineStr">
        <is>
          <t>prospectus:stated market capitalisation</t>
        </is>
      </c>
      <c r="S35" s="114" t="n">
        <v>17.78</v>
      </c>
      <c r="T35" s="115" t="n">
        <v>5.06</v>
      </c>
      <c r="U35" s="116" t="n">
        <v>0</v>
      </c>
      <c r="V35" s="117" t="n">
        <v>123</v>
      </c>
      <c r="W35" s="118" t="n"/>
      <c r="X35" s="119" t="n"/>
      <c r="Y35" s="113" t="n">
        <v>8478.299999999999</v>
      </c>
      <c r="Z35" s="113" t="n">
        <v>31635600</v>
      </c>
      <c r="AA35" s="112" t="n">
        <v>4.02</v>
      </c>
      <c r="AB35" s="108" t="inlineStr">
        <is>
          <t>none — no cornerstone tranche</t>
        </is>
      </c>
      <c r="AC35" s="108" t="inlineStr">
        <is>
          <t>none</t>
        </is>
      </c>
      <c r="AD35" s="112" t="n">
        <v>6.4</v>
      </c>
      <c r="AE35" s="108" t="inlineStr">
        <is>
          <t>full</t>
        </is>
      </c>
      <c r="AF35" s="108" t="inlineStr">
        <is>
          <t>2021-05-13</t>
        </is>
      </c>
      <c r="AG35" s="119" t="n"/>
      <c r="AH35" s="119" t="n"/>
      <c r="AI35" s="120" t="n">
        <v>3.73</v>
      </c>
      <c r="AJ35" s="121" t="n">
        <v>4.55</v>
      </c>
      <c r="AK35" s="121" t="n">
        <v>1.35</v>
      </c>
      <c r="AL35" s="121" t="n">
        <v>4.85</v>
      </c>
      <c r="AM35" s="121" t="n">
        <v>-0.29</v>
      </c>
      <c r="AN35" s="122" t="n"/>
      <c r="AO35" s="112" t="n">
        <v>2.14</v>
      </c>
      <c r="AP35" s="121" t="n">
        <v>11.49</v>
      </c>
      <c r="AQ35" s="121" t="n">
        <v>13.73</v>
      </c>
      <c r="AR35" s="121" t="n">
        <v>-16.04</v>
      </c>
      <c r="AS35" s="121" t="n">
        <v>6.64</v>
      </c>
      <c r="AT35" s="121" t="n">
        <v>8.779999999999999</v>
      </c>
      <c r="AU35" s="121" t="n">
        <v>-19.69</v>
      </c>
      <c r="AV35" s="121" t="n">
        <v>8.550000000000001</v>
      </c>
      <c r="AW35" s="121" t="n">
        <v>18.69</v>
      </c>
      <c r="AX35" s="121" t="n">
        <v>-5.26</v>
      </c>
      <c r="AY35" s="121" t="n">
        <v>15.01</v>
      </c>
      <c r="AZ35" s="121" t="n">
        <v>-4.96</v>
      </c>
      <c r="BA35" s="121" t="n">
        <v>-6.23</v>
      </c>
      <c r="BB35" s="108" t="inlineStr">
        <is>
          <t>HSTECH (Hang Seng TECH ETF)</t>
        </is>
      </c>
      <c r="BC35" s="121" t="n">
        <v>12.84</v>
      </c>
      <c r="BD35" s="109" t="n">
        <v>46297</v>
      </c>
      <c r="BE35" s="110" t="n">
        <v>20147.6</v>
      </c>
      <c r="BF35" s="113" t="n">
        <v>-3571.7</v>
      </c>
      <c r="BG35" s="108" t="inlineStr">
        <is>
          <t>N</t>
        </is>
      </c>
      <c r="BH35" s="108" t="inlineStr">
        <is>
          <t>n/m</t>
        </is>
      </c>
      <c r="BI35" s="122" t="n"/>
      <c r="BJ35" s="123" t="n">
        <v>7.3</v>
      </c>
      <c r="BK35" s="123" t="n">
        <v>10.5</v>
      </c>
      <c r="BL35" s="124">
        <f>IF('BBG Verify'!S35="","not filed; run on terminal",'BBG Verify'!S35)</f>
        <v/>
      </c>
      <c r="BM35" s="125" t="inlineStr">
        <is>
          <t>N</t>
        </is>
      </c>
      <c r="BN35" s="126">
        <f>IF('BBG Verify'!K35="","not filed; run on terminal",'BBG Verify'!K35)</f>
        <v/>
      </c>
      <c r="BO35" s="108" t="inlineStr">
        <is>
          <t>N/A</t>
        </is>
      </c>
      <c r="BP35" s="108" t="inlineStr">
        <is>
          <t>N/A</t>
        </is>
      </c>
      <c r="BQ35" s="108" t="inlineStr">
        <is>
          <t>N/A</t>
        </is>
      </c>
      <c r="BR35" s="108" t="inlineStr">
        <is>
          <t>N/A</t>
        </is>
      </c>
      <c r="BS35" s="108" t="inlineStr">
        <is>
          <t>N/A</t>
        </is>
      </c>
      <c r="BT35" s="108" t="inlineStr">
        <is>
          <t>N/A</t>
        </is>
      </c>
      <c r="BU35" s="125" t="inlineStr">
        <is>
          <t>J.P. Morgan Securities (Far East) Limited; China International Capital Corporation Hong Kong Securities Limited; Goldman Sachs (Asia) L.L.C; J.P. Morgan Securities (Asia Pacific) Limited; The Hongkong and Shanghai Banking Corporation Limited; CMB International Capital Limited</t>
        </is>
      </c>
      <c r="BV35" s="108" t="inlineStr">
        <is>
          <t>China International Capital Corporation Hong Kong Securities Limited; J.P. Morgan Securities (Far East) Limited; Goldman Sachs (Asia) L.L.C.</t>
        </is>
      </c>
      <c r="BW35" s="108" t="inlineStr">
        <is>
          <t>ICBC International Securities Limited; ABCI Securities Company Limited</t>
        </is>
      </c>
      <c r="BX35" s="108" t="inlineStr">
        <is>
          <t>ABCI Securities Company Limited; BOCI Asia Limited; CCB International Capital Limited; China International Capital Corporation Hong Kong Securities Limited; CMB International Capital Corporation Limited; DBS Asia Capital Limited; Goldman Sachs (Asia) L.L.C.; Haitong International Securities Company Limited; The Hongkong and Shanghai Banking Corporation Limited; ICBC International Securities Limited; J.P. Morgan Securities (Asia Pacific) Limited; Mizuho Securities Asia Limited</t>
        </is>
      </c>
      <c r="BY35" s="127">
        <f>HYPERLINK("https://www1.hkexnews.hk/listedco/listconews/sehk/2021/0408/2021040800019.pdf","prospectus")</f>
        <v/>
      </c>
      <c r="BZ35" s="127">
        <f>HYPERLINK("https://www1.hkexnews.hk/listedco/listconews/sehk/2021/0416/2021041600028.htm","allotment")</f>
        <v/>
      </c>
      <c r="CA35" s="127">
        <f>HYPERLINK("https://www1.hkexnews.hk/listedco/listconews/sehk/2021/0513/2021051300333.pdf","stabilisation")</f>
        <v/>
      </c>
      <c r="CB35" s="128" t="n"/>
      <c r="CC35" s="108" t="inlineStr">
        <is>
          <t>P/E: loss-making at IPO, use P/S; range low: maximum offer price only, no floor published; cornerstone list: no cornerstone tranche; stabilising manager: not named in the allotment notice or prospectus glossary; allocation: allocation table not in this notice's format (older prose announcement); day-1 tape: volume on file; the retail multiple needs the final public split, which this notice does not state</t>
        </is>
      </c>
    </row>
    <row r="36" ht="22" customHeight="1">
      <c r="A36" s="107" t="inlineStr">
        <is>
          <t>6622</t>
        </is>
      </c>
      <c r="B36" s="108" t="inlineStr">
        <is>
          <t>ZHAOKE OPHTH-B</t>
        </is>
      </c>
      <c r="C36" s="108" t="inlineStr">
        <is>
          <t>兆科眼科－Ｂ</t>
        </is>
      </c>
      <c r="D36" s="108" t="inlineStr">
        <is>
          <t>Healthcare</t>
        </is>
      </c>
      <c r="E36" s="108" t="inlineStr">
        <is>
          <t>Biotech pre-revenue (18A)</t>
        </is>
      </c>
      <c r="F36" s="108" t="inlineStr">
        <is>
          <t>Biotechnology</t>
        </is>
      </c>
      <c r="G36" s="108" t="inlineStr">
        <is>
          <t>18A</t>
        </is>
      </c>
      <c r="H36" s="109" t="n">
        <v>44315</v>
      </c>
      <c r="I36" s="110" t="n">
        <v>2075.9</v>
      </c>
      <c r="J36" s="108" t="inlineStr">
        <is>
          <t>gross (price x shares)</t>
        </is>
      </c>
      <c r="K36" s="111" t="n">
        <v>15.38</v>
      </c>
      <c r="L36" s="111" t="n">
        <v>16.8</v>
      </c>
      <c r="M36" s="111" t="n">
        <v>16.8</v>
      </c>
      <c r="N36" s="108" t="inlineStr">
        <is>
          <t>Y</t>
        </is>
      </c>
      <c r="O36" s="112" t="n">
        <v>100</v>
      </c>
      <c r="P36" s="112" t="n">
        <v>100</v>
      </c>
      <c r="Q36" s="113" t="n">
        <v>8077.4</v>
      </c>
      <c r="R36" s="108" t="inlineStr">
        <is>
          <t>derived:deal size / offer % of enlarged capital</t>
        </is>
      </c>
      <c r="S36" s="114" t="n">
        <v>56</v>
      </c>
      <c r="T36" s="115" t="n">
        <v>5.3</v>
      </c>
      <c r="U36" s="116" t="n">
        <v>20.6</v>
      </c>
      <c r="V36" s="117" t="n">
        <v>110</v>
      </c>
      <c r="W36" s="118" t="n"/>
      <c r="X36" s="119" t="n"/>
      <c r="Y36" s="113" t="n">
        <v>1648.26</v>
      </c>
      <c r="Z36" s="113" t="n">
        <v>98112595</v>
      </c>
      <c r="AA36" s="112" t="n">
        <v>20.41</v>
      </c>
      <c r="AB36" s="108" t="inlineStr">
        <is>
          <t>CaaS Capital Master Fund LP; GIC Private Limited; Golden Valley Global Limited; Jennison Associates LLC; Mass Ave Global, Inc; Matthews Asia Growth Fund and Matthews Asia Innovators Fund; OrbiMed Partners Master Fund Limited; OrbiMed Genesis Master Fund, L.P; VMS Zhaoke Investment Fund SP</t>
        </is>
      </c>
      <c r="AC36" s="108" t="inlineStr">
        <is>
          <t>caas;gic;golden-valley;jennison;mass;matthews;orbimed;vms</t>
        </is>
      </c>
      <c r="AD36" s="112" t="n">
        <v>5</v>
      </c>
      <c r="AE36" s="108" t="inlineStr">
        <is>
          <t>lapsed</t>
        </is>
      </c>
      <c r="AF36" s="108" t="inlineStr">
        <is>
          <t>2021-05-21</t>
        </is>
      </c>
      <c r="AG36" s="108" t="inlineStr">
        <is>
          <t>Goldman Sachs</t>
        </is>
      </c>
      <c r="AH36" s="108" t="inlineStr">
        <is>
          <t>Goldman Sachs</t>
        </is>
      </c>
      <c r="AI36" s="120" t="n">
        <v>-5.83</v>
      </c>
      <c r="AJ36" s="121" t="n">
        <v>-14.76</v>
      </c>
      <c r="AK36" s="121" t="n">
        <v>-0.84</v>
      </c>
      <c r="AL36" s="121" t="n">
        <v>-7.62</v>
      </c>
      <c r="AM36" s="121" t="n">
        <v>-7.73</v>
      </c>
      <c r="AN36" s="122" t="n"/>
      <c r="AO36" s="112" t="n">
        <v>8.51</v>
      </c>
      <c r="AP36" s="121" t="n">
        <v>-32.14</v>
      </c>
      <c r="AQ36" s="121" t="n">
        <v>-20.95</v>
      </c>
      <c r="AR36" s="121" t="n">
        <v>-52.38</v>
      </c>
      <c r="AS36" s="121" t="n">
        <v>-20.39</v>
      </c>
      <c r="AT36" s="121" t="n">
        <v>-7.26</v>
      </c>
      <c r="AU36" s="121" t="n">
        <v>-44.13</v>
      </c>
      <c r="AV36" s="121" t="n">
        <v>-27.25</v>
      </c>
      <c r="AW36" s="121" t="n">
        <v>-25.08</v>
      </c>
      <c r="AX36" s="121" t="n">
        <v>-46.33</v>
      </c>
      <c r="AY36" s="121" t="n">
        <v>-12.27</v>
      </c>
      <c r="AZ36" s="121" t="n">
        <v>4.13</v>
      </c>
      <c r="BA36" s="121" t="n">
        <v>5.01</v>
      </c>
      <c r="BB36" s="108" t="inlineStr">
        <is>
          <t>China Biotech ETF (HS biotech proxy)</t>
        </is>
      </c>
      <c r="BC36" s="121" t="n">
        <v>-85.20999999999999</v>
      </c>
      <c r="BD36" s="109" t="n">
        <v>46297</v>
      </c>
      <c r="BE36" s="110" t="n">
        <v>0</v>
      </c>
      <c r="BF36" s="113" t="n">
        <v>-799.7</v>
      </c>
      <c r="BG36" s="108" t="inlineStr">
        <is>
          <t>N</t>
        </is>
      </c>
      <c r="BH36" s="108" t="inlineStr">
        <is>
          <t>n/m</t>
        </is>
      </c>
      <c r="BI36" s="122" t="n"/>
      <c r="BJ36" s="122" t="n"/>
      <c r="BK36" s="108" t="inlineStr">
        <is>
          <t>pre-rev</t>
        </is>
      </c>
      <c r="BL36" s="124">
        <f>IF('BBG Verify'!S36="","not filed; run on terminal",'BBG Verify'!S36)</f>
        <v/>
      </c>
      <c r="BM36" s="125" t="inlineStr">
        <is>
          <t>N</t>
        </is>
      </c>
      <c r="BN36" s="126">
        <f>IF('BBG Verify'!K36="","not filed; run on terminal",'BBG Verify'!K36)</f>
        <v/>
      </c>
      <c r="BO36" s="108" t="inlineStr">
        <is>
          <t>N/A</t>
        </is>
      </c>
      <c r="BP36" s="108" t="inlineStr">
        <is>
          <t>N/A</t>
        </is>
      </c>
      <c r="BQ36" s="108" t="inlineStr">
        <is>
          <t>N/A</t>
        </is>
      </c>
      <c r="BR36" s="108" t="inlineStr">
        <is>
          <t>N/A</t>
        </is>
      </c>
      <c r="BS36" s="108" t="inlineStr">
        <is>
          <t>N/A</t>
        </is>
      </c>
      <c r="BT36" s="108" t="inlineStr">
        <is>
          <t>N/A</t>
        </is>
      </c>
      <c r="BU36" s="125" t="inlineStr">
        <is>
          <t>Goldman Sachs (Asia) L.L.C; Jefferies Hong Kong Limited</t>
        </is>
      </c>
      <c r="BV36" s="108" t="inlineStr">
        <is>
          <t>Jefferies Hong Kong Limited; Goldman Sachs (Asia) L.L.C.</t>
        </is>
      </c>
      <c r="BW36" s="108" t="inlineStr">
        <is>
          <t>Goldman Sachs (Asia) L.L.C; Jefferies Hong Kong Limited; Haitong International Securities Company Limited; The Hongkong and Shanghai Banking Corporation Limited; Fosun Hani Securities Limited; Macquarie Capital Limited; SPDB International Capital Limited; VMS Securities Limited</t>
        </is>
      </c>
      <c r="BX36" s="108" t="inlineStr">
        <is>
          <t>Fosun Hani Securities Limited; Goldman Sachs (Asia) L.L.C.; Haitong International Securities Company Limited; The Hongkong and Shanghai Banking Corporation Limited; Jefferies Hong Kong Limited; Macquarie Capital Limited; SPDB International Capital Limited; VMS Securities Limited</t>
        </is>
      </c>
      <c r="BY36" s="127">
        <f>HYPERLINK("https://www1.hkexnews.hk/listedco/listconews/sehk/2021/0416/2021041600009.pdf","prospectus")</f>
        <v/>
      </c>
      <c r="BZ36" s="127">
        <f>HYPERLINK("https://www1.hkexnews.hk/listedco/listconews/sehk/2021/0428/2021042800066.htm","allotment")</f>
        <v/>
      </c>
      <c r="CA36" s="127">
        <f>HYPERLINK("https://www1.hkexnews.hk/listedco/listconews/sehk/2021/0521/2021052101496.pdf","stabilisation")</f>
        <v/>
      </c>
      <c r="CB36" s="128" t="n"/>
      <c r="CC36" s="108" t="inlineStr">
        <is>
          <t>P/E: loss-making at IPO, use P/S; P/S: pre-revenue issuer, no sales multiple; allocation: allocation table not in this notice's format (older prose announcement); day-1 tape: volume on file; the retail multiple needs the final public split, which this notice does not state</t>
        </is>
      </c>
    </row>
    <row r="37" ht="22" customHeight="1">
      <c r="A37" s="107" t="inlineStr">
        <is>
          <t>2191</t>
        </is>
      </c>
      <c r="B37" s="108" t="inlineStr">
        <is>
          <t>SF REIT</t>
        </is>
      </c>
      <c r="C37" s="108" t="inlineStr">
        <is>
          <t>順豐房託</t>
        </is>
      </c>
      <c r="D37" s="108" t="inlineStr">
        <is>
          <t>Real Estate</t>
        </is>
      </c>
      <c r="E37" s="108" t="inlineStr">
        <is>
          <t>REITs / asset-light</t>
        </is>
      </c>
      <c r="F37" s="108" t="inlineStr">
        <is>
          <t>Office and Commercial REIT's</t>
        </is>
      </c>
      <c r="G37" s="108" t="inlineStr">
        <is>
          <t>Standard</t>
        </is>
      </c>
      <c r="H37" s="109" t="n">
        <v>44333</v>
      </c>
      <c r="I37" s="110" t="n">
        <v>2498</v>
      </c>
      <c r="J37" s="108" t="inlineStr">
        <is>
          <t>net proceeds</t>
        </is>
      </c>
      <c r="K37" s="111" t="n">
        <v>4.68</v>
      </c>
      <c r="L37" s="111" t="n">
        <v>5.16</v>
      </c>
      <c r="M37" s="111" t="n">
        <v>4.98</v>
      </c>
      <c r="N37" s="108" t="inlineStr">
        <is>
          <t>N</t>
        </is>
      </c>
      <c r="O37" s="112" t="n">
        <v>96.5</v>
      </c>
      <c r="P37" s="112" t="n">
        <v>62.5</v>
      </c>
      <c r="Q37" s="113" t="n">
        <v>4128</v>
      </c>
      <c r="R37" s="108" t="inlineStr">
        <is>
          <t>prospectus:stated market capitalisation</t>
        </is>
      </c>
      <c r="S37" s="114" t="n">
        <v>5</v>
      </c>
      <c r="T37" s="115" t="n">
        <v>3</v>
      </c>
      <c r="U37" s="116" t="n">
        <v>14.9</v>
      </c>
      <c r="V37" s="117" t="n">
        <v>126</v>
      </c>
      <c r="W37" s="118" t="n"/>
      <c r="X37" s="119" t="n"/>
      <c r="Y37" s="113" t="n">
        <v>2125.8</v>
      </c>
      <c r="Z37" s="131" t="n"/>
      <c r="AA37" s="112" t="n">
        <v>51.5</v>
      </c>
      <c r="AB37" s="108" t="inlineStr">
        <is>
          <t>China Orient Multi-Strategy Master Fund; CI Global Asset Management</t>
        </is>
      </c>
      <c r="AC37" s="108" t="inlineStr">
        <is>
          <t>orient;ci</t>
        </is>
      </c>
      <c r="AD37" s="112" t="n">
        <v>5</v>
      </c>
      <c r="AE37" s="108" t="inlineStr">
        <is>
          <t>lapsed</t>
        </is>
      </c>
      <c r="AF37" s="119" t="n"/>
      <c r="AG37" s="108" t="inlineStr">
        <is>
          <t>Credit Suisse</t>
        </is>
      </c>
      <c r="AH37" s="108" t="inlineStr">
        <is>
          <t>Credit Suisse</t>
        </is>
      </c>
      <c r="AI37" s="120" t="n">
        <v>-0.8</v>
      </c>
      <c r="AJ37" s="121" t="n">
        <v>-16.47</v>
      </c>
      <c r="AK37" s="121" t="n">
        <v>-0.14</v>
      </c>
      <c r="AL37" s="121" t="n">
        <v>-9.84</v>
      </c>
      <c r="AM37" s="121" t="n">
        <v>-7.35</v>
      </c>
      <c r="AN37" s="122" t="n"/>
      <c r="AO37" s="112" t="n">
        <v>9.800000000000001</v>
      </c>
      <c r="AP37" s="121" t="n">
        <v>-7.63</v>
      </c>
      <c r="AQ37" s="121" t="n">
        <v>-9.640000000000001</v>
      </c>
      <c r="AR37" s="121" t="n">
        <v>-12.45</v>
      </c>
      <c r="AS37" s="121" t="n">
        <v>10.58</v>
      </c>
      <c r="AT37" s="121" t="n">
        <v>8.18</v>
      </c>
      <c r="AU37" s="121" t="n">
        <v>4.81</v>
      </c>
      <c r="AV37" s="121" t="n">
        <v>-9.73</v>
      </c>
      <c r="AW37" s="121" t="n">
        <v>-12.34</v>
      </c>
      <c r="AX37" s="121" t="n">
        <v>-5.34</v>
      </c>
      <c r="AY37" s="121" t="n">
        <v>5.33</v>
      </c>
      <c r="AZ37" s="121" t="n">
        <v>2.7</v>
      </c>
      <c r="BA37" s="121" t="n">
        <v>2.85</v>
      </c>
      <c r="BB37" s="108" t="inlineStr">
        <is>
          <t>Hang Seng Properties sub-index</t>
        </is>
      </c>
      <c r="BC37" s="121" t="n">
        <v>-49.1</v>
      </c>
      <c r="BD37" s="109" t="n">
        <v>46297</v>
      </c>
      <c r="BE37" s="110" t="n">
        <v>279</v>
      </c>
      <c r="BF37" s="113" t="n">
        <v>26.9</v>
      </c>
      <c r="BG37" s="108" t="inlineStr">
        <is>
          <t>Y</t>
        </is>
      </c>
      <c r="BH37" s="123" t="n">
        <v>153.5</v>
      </c>
      <c r="BI37" s="122" t="n"/>
      <c r="BJ37" s="123" t="n">
        <v>106.9</v>
      </c>
      <c r="BK37" s="123" t="n">
        <v>14.8</v>
      </c>
      <c r="BL37" s="124">
        <f>IF('BBG Verify'!S37="","not filed; run on terminal",'BBG Verify'!S37)</f>
        <v/>
      </c>
      <c r="BM37" s="125" t="inlineStr">
        <is>
          <t>N</t>
        </is>
      </c>
      <c r="BN37" s="126">
        <f>IF('BBG Verify'!K37="","not filed; run on terminal",'BBG Verify'!K37)</f>
        <v/>
      </c>
      <c r="BO37" s="108" t="inlineStr">
        <is>
          <t>N/A</t>
        </is>
      </c>
      <c r="BP37" s="108" t="inlineStr">
        <is>
          <t>N/A</t>
        </is>
      </c>
      <c r="BQ37" s="108" t="inlineStr">
        <is>
          <t>N/A</t>
        </is>
      </c>
      <c r="BR37" s="108" t="inlineStr">
        <is>
          <t>N/A</t>
        </is>
      </c>
      <c r="BS37" s="108" t="inlineStr">
        <is>
          <t>N/A</t>
        </is>
      </c>
      <c r="BT37" s="108" t="inlineStr">
        <is>
          <t>N/A</t>
        </is>
      </c>
      <c r="BU37" s="125" t="inlineStr">
        <is>
          <t>Credit Suisse (Hong Kong) Limited; DBS Asia Capital Limited; J.P. Morgan Securities (Asia Pacific) Limited</t>
        </is>
      </c>
      <c r="BV37" s="108" t="inlineStr">
        <is>
          <t>Credit Suisse (Hong Kong) Limited; DBS Asia Capital Limited; J.P. Morgan Securities (Asia Pacific) Limited</t>
        </is>
      </c>
      <c r="BW37" s="108" t="inlineStr">
        <is>
          <t>REIT Manager SF REIT Asset Management Limited; HONG Kam Kit, Eddie CHOW Chi Ping, Simon Trustee DB Trustees (Hong Kong) Limited; Hong Kong Unit Registrar Tricor Investor Services Limited; PARTIES INVOLVED IN THE GLOBAL OFFERING Sole Listing Agent DBS Asia Capital Limited; DBS Asia Capital Limited; Credit Suisse (Hong Kong) Limited; J.P. Morgan Securities (Asia Pacific) Limited; J.P. Morgan Securities plc</t>
        </is>
      </c>
      <c r="BX37" s="108" t="inlineStr">
        <is>
          <t>Credit Suisse (Hong Kong) Limited; DBS Asia Capital Limited; J.P. Morgan Securities (Asia Pacific) Limited</t>
        </is>
      </c>
      <c r="BY37" s="127">
        <f>HYPERLINK("https://www1.hkexnews.hk/listedco/listconews/sehk/2021/0505/2021050500053.pdf","prospectus")</f>
        <v/>
      </c>
      <c r="BZ37" s="127">
        <f>HYPERLINK("https://www1.hkexnews.hk/listedco/listconews/sehk/2021/0514/2021051400092.htm","allotment")</f>
        <v/>
      </c>
      <c r="CA37" s="127">
        <f>HYPERLINK("https://www1.hkexnews.hk/listedco/listconews/sehk/2021/0609/2021060900679.pdf","stabilisation")</f>
        <v/>
      </c>
      <c r="CB37" s="128" t="n"/>
      <c r="CC37" s="108" t="inlineStr">
        <is>
          <t>greenshoe: outcome published; expiry date not in the notice; sponsor: English name not in the filing; AAStocks 保薦人 shown; eff float shares: share count unavailable; the HK$m figure is exact; allocation: allocation table not in this notice's format (older prose announcement); day-1 tape: volume on file; the retail multiple needs the final public split, which this notice does not state</t>
        </is>
      </c>
    </row>
    <row r="38" ht="22" customHeight="1">
      <c r="A38" s="107" t="inlineStr">
        <is>
          <t>3658</t>
        </is>
      </c>
      <c r="B38" s="108" t="inlineStr">
        <is>
          <t>NEW HOPE SERV</t>
        </is>
      </c>
      <c r="C38" s="108" t="inlineStr">
        <is>
          <t>新希望服務</t>
        </is>
      </c>
      <c r="D38" s="108" t="inlineStr">
        <is>
          <t>Real Estate</t>
        </is>
      </c>
      <c r="E38" s="108" t="inlineStr">
        <is>
          <t>Property management</t>
        </is>
      </c>
      <c r="F38" s="108" t="inlineStr">
        <is>
          <t>Property Service and Management</t>
        </is>
      </c>
      <c r="G38" s="108" t="inlineStr">
        <is>
          <t>Standard</t>
        </is>
      </c>
      <c r="H38" s="109" t="n">
        <v>44341</v>
      </c>
      <c r="I38" s="110" t="n">
        <v>760</v>
      </c>
      <c r="J38" s="108" t="inlineStr">
        <is>
          <t>gross (price x shares)</t>
        </is>
      </c>
      <c r="K38" s="111" t="n">
        <v>3.8</v>
      </c>
      <c r="L38" s="111" t="n">
        <v>4.7</v>
      </c>
      <c r="M38" s="111" t="n">
        <v>3.8</v>
      </c>
      <c r="N38" s="108" t="inlineStr">
        <is>
          <t>N</t>
        </is>
      </c>
      <c r="O38" s="112" t="n">
        <v>80.90000000000001</v>
      </c>
      <c r="P38" s="112" t="n">
        <v>0</v>
      </c>
      <c r="Q38" s="113" t="n">
        <v>3686.1</v>
      </c>
      <c r="R38" s="108" t="inlineStr">
        <is>
          <t>aastocks:上市市值 at the struck price</t>
        </is>
      </c>
      <c r="S38" s="114" t="n">
        <v>4.75</v>
      </c>
      <c r="T38" s="115" t="n">
        <v>1.78</v>
      </c>
      <c r="U38" s="116" t="n">
        <v>50.3</v>
      </c>
      <c r="V38" s="117" t="n">
        <v>96</v>
      </c>
      <c r="W38" s="118" t="n"/>
      <c r="X38" s="119" t="n"/>
      <c r="Y38" s="113" t="n">
        <v>377.72</v>
      </c>
      <c r="Z38" s="113" t="n">
        <v>99400000</v>
      </c>
      <c r="AA38" s="112" t="n">
        <v>10.25</v>
      </c>
      <c r="AB38" s="108" t="inlineStr">
        <is>
          <t>China Sichuan International Investment Limited; Golden Star International Pty Limited; Green Better Limited; Keltic Investment (HK) Limited; Neptune Investments Holdings Limited; Peak Reinsurance Company Limited</t>
        </is>
      </c>
      <c r="AC38" s="108" t="inlineStr">
        <is>
          <t>sichuan;golden-star;green;keltic;neptune;peak</t>
        </is>
      </c>
      <c r="AD38" s="112" t="n">
        <v>7.7</v>
      </c>
      <c r="AE38" s="108" t="inlineStr">
        <is>
          <t>partial</t>
        </is>
      </c>
      <c r="AF38" s="119" t="n"/>
      <c r="AG38" s="119" t="n"/>
      <c r="AH38" s="119" t="n"/>
      <c r="AI38" s="120" t="n">
        <v>-3.16</v>
      </c>
      <c r="AJ38" s="121" t="n">
        <v>0.53</v>
      </c>
      <c r="AK38" s="121" t="n">
        <v>0.6</v>
      </c>
      <c r="AL38" s="121" t="n">
        <v>0</v>
      </c>
      <c r="AM38" s="121" t="n">
        <v>0.53</v>
      </c>
      <c r="AN38" s="122" t="n"/>
      <c r="AO38" s="112" t="n">
        <v>6.32</v>
      </c>
      <c r="AP38" s="121" t="n">
        <v>5</v>
      </c>
      <c r="AQ38" s="121" t="n">
        <v>-25.79</v>
      </c>
      <c r="AR38" s="121" t="n">
        <v>-45.26</v>
      </c>
      <c r="AS38" s="121" t="n">
        <v>4.45</v>
      </c>
      <c r="AT38" s="121" t="n">
        <v>-26.18</v>
      </c>
      <c r="AU38" s="121" t="n">
        <v>-45.55</v>
      </c>
      <c r="AV38" s="121" t="n">
        <v>3.61</v>
      </c>
      <c r="AW38" s="121" t="n">
        <v>-26.66</v>
      </c>
      <c r="AX38" s="121" t="n">
        <v>-35.18</v>
      </c>
      <c r="AY38" s="121" t="n">
        <v>-26.45</v>
      </c>
      <c r="AZ38" s="121" t="n">
        <v>0.87</v>
      </c>
      <c r="BA38" s="121" t="n">
        <v>0.27</v>
      </c>
      <c r="BB38" s="108" t="inlineStr">
        <is>
          <t>Hang Seng Properties sub-index</t>
        </is>
      </c>
      <c r="BC38" s="121" t="n">
        <v>-56.71</v>
      </c>
      <c r="BD38" s="109" t="n">
        <v>46297</v>
      </c>
      <c r="BE38" s="110" t="n">
        <v>647.1</v>
      </c>
      <c r="BF38" s="113" t="n">
        <v>120.7</v>
      </c>
      <c r="BG38" s="108" t="inlineStr">
        <is>
          <t>Y</t>
        </is>
      </c>
      <c r="BH38" s="123" t="n">
        <v>30.5</v>
      </c>
      <c r="BI38" s="122" t="n"/>
      <c r="BJ38" s="123" t="n">
        <v>5.9</v>
      </c>
      <c r="BK38" s="123" t="n">
        <v>5.7</v>
      </c>
      <c r="BL38" s="124">
        <f>IF('BBG Verify'!S38="","not filed; run on terminal",'BBG Verify'!S38)</f>
        <v/>
      </c>
      <c r="BM38" s="125" t="inlineStr">
        <is>
          <t>N</t>
        </is>
      </c>
      <c r="BN38" s="126">
        <f>IF('BBG Verify'!K38="","not filed; run on terminal",'BBG Verify'!K38)</f>
        <v/>
      </c>
      <c r="BO38" s="108" t="inlineStr">
        <is>
          <t>N/A</t>
        </is>
      </c>
      <c r="BP38" s="108" t="inlineStr">
        <is>
          <t>N/A</t>
        </is>
      </c>
      <c r="BQ38" s="108" t="inlineStr">
        <is>
          <t>N/A</t>
        </is>
      </c>
      <c r="BR38" s="108" t="inlineStr">
        <is>
          <t>N/A</t>
        </is>
      </c>
      <c r="BS38" s="108" t="inlineStr">
        <is>
          <t>N/A</t>
        </is>
      </c>
      <c r="BT38" s="108" t="inlineStr">
        <is>
          <t>N/A</t>
        </is>
      </c>
      <c r="BU38" s="125" t="inlineStr">
        <is>
          <t>ABCI Capital Limited</t>
        </is>
      </c>
      <c r="BV38" s="108" t="inlineStr">
        <is>
          <t>ABCI Capital Limited</t>
        </is>
      </c>
      <c r="BW38" s="108" t="inlineStr">
        <is>
          <t>ABCI Capital Limited; Haitong International Securities Company Limited; CMB International Capital Limited; CLSA Limited; CMBC Securities Company Limited; China Everbright Securities (HK) Limited</t>
        </is>
      </c>
      <c r="BX38" s="108" t="inlineStr">
        <is>
          <t>ABCI Securities Company Limited; China Everbright Securities (HK) Limited; CLSA Limited; CMBC Securities Company Limited; CMB International Capital Corporation Limited; Fortune (HK) Securities Limited; Futu Securities International (Hong Kong) Limited; Haitong International Securities Company Limited; Livermore Holdings Limited</t>
        </is>
      </c>
      <c r="BY38" s="127">
        <f>HYPERLINK("https://www1.hkexnews.hk/listedco/listconews/sehk/2021/0511/2021051100021.pdf","prospectus")</f>
        <v/>
      </c>
      <c r="BZ38" s="127">
        <f>HYPERLINK("https://www1.hkexnews.hk/listedco/listconews/sehk/2021/0524/2021052400010.htm","allotment")</f>
        <v/>
      </c>
      <c r="CA38" s="127">
        <f>HYPERLINK("https://www1.hkexnews.hk/listedco/listconews/sehk/2021/0615/2021061500076.pdf","stabilisation")</f>
        <v/>
      </c>
      <c r="CB38" s="128" t="n"/>
      <c r="CC38" s="108" t="inlineStr">
        <is>
          <t>greenshoe: outcome published; expiry date not in the notice; stabilising manager: not named in the allotment notice or prospectus glossary; allocation: allocation table not in this notice's format (older prose announcement); day-1 tape: volume on file; the retail multiple needs the final public split, which this notice does not state</t>
        </is>
      </c>
    </row>
    <row r="39" ht="22" customHeight="1">
      <c r="A39" s="107" t="inlineStr">
        <is>
          <t>2618</t>
        </is>
      </c>
      <c r="B39" s="108" t="inlineStr">
        <is>
          <t>JD LOGISTICS</t>
        </is>
      </c>
      <c r="C39" s="108" t="inlineStr">
        <is>
          <t>京東物流</t>
        </is>
      </c>
      <c r="D39" s="108" t="inlineStr">
        <is>
          <t>Industrials</t>
        </is>
      </c>
      <c r="E39" s="108" t="inlineStr">
        <is>
          <t>Logistics</t>
        </is>
      </c>
      <c r="F39" s="108" t="inlineStr">
        <is>
          <t>Air Freight &amp; Logistics</t>
        </is>
      </c>
      <c r="G39" s="108" t="inlineStr">
        <is>
          <t>Standard</t>
        </is>
      </c>
      <c r="H39" s="109" t="n">
        <v>44344</v>
      </c>
      <c r="I39" s="110" t="n">
        <v>24585.7</v>
      </c>
      <c r="J39" s="108" t="inlineStr">
        <is>
          <t>gross (price x shares)</t>
        </is>
      </c>
      <c r="K39" s="129" t="n"/>
      <c r="L39" s="111" t="n">
        <v>43.36</v>
      </c>
      <c r="M39" s="111" t="n">
        <v>40.36</v>
      </c>
      <c r="N39" s="108" t="inlineStr">
        <is>
          <t>N</t>
        </is>
      </c>
      <c r="O39" s="112" t="n">
        <v>93.09999999999999</v>
      </c>
      <c r="P39" s="118" t="n"/>
      <c r="Q39" s="113" t="n">
        <v>266382.9</v>
      </c>
      <c r="R39" s="108" t="inlineStr">
        <is>
          <t>aastocks:上市市值 at the struck price</t>
        </is>
      </c>
      <c r="S39" s="114" t="n">
        <v>715.61</v>
      </c>
      <c r="T39" s="115" t="n">
        <v>10.8</v>
      </c>
      <c r="U39" s="116" t="n">
        <v>48.33</v>
      </c>
      <c r="V39" s="117" t="n">
        <v>580</v>
      </c>
      <c r="W39" s="112" t="n">
        <v>9</v>
      </c>
      <c r="X39" s="108" t="inlineStr">
        <is>
          <t>NO</t>
        </is>
      </c>
      <c r="Y39" s="113" t="n">
        <v>12703.43</v>
      </c>
      <c r="Z39" s="113" t="n">
        <v>314753385</v>
      </c>
      <c r="AA39" s="112" t="n">
        <v>4.77</v>
      </c>
      <c r="AB39" s="108" t="inlineStr">
        <is>
          <t>China Chengtong Investment Company Limited; Internet Fund IIIA Pte. Ltd; Matthews Funds; Oaktree Emerging Markets Equity Fund, L.P; SoftBank Group; The Blackstone Group Inc</t>
        </is>
      </c>
      <c r="AC39" s="108" t="inlineStr">
        <is>
          <t>chengtong;internet;matthews;oaktree;softbank;blackstone</t>
        </is>
      </c>
      <c r="AD39" s="112" t="n">
        <v>10</v>
      </c>
      <c r="AE39" s="108" t="inlineStr">
        <is>
          <t>full</t>
        </is>
      </c>
      <c r="AF39" s="108" t="inlineStr">
        <is>
          <t>2021-06-20</t>
        </is>
      </c>
      <c r="AG39" s="108" t="inlineStr">
        <is>
          <t>Merrill Lynch</t>
        </is>
      </c>
      <c r="AH39" s="108" t="inlineStr">
        <is>
          <t>Merrill Lynch</t>
        </is>
      </c>
      <c r="AI39" s="120" t="n">
        <v>20.29</v>
      </c>
      <c r="AJ39" s="121" t="n">
        <v>3.32</v>
      </c>
      <c r="AK39" s="121" t="n">
        <v>-1.23</v>
      </c>
      <c r="AL39" s="121" t="n">
        <v>14.1</v>
      </c>
      <c r="AM39" s="121" t="n">
        <v>-9.449999999999999</v>
      </c>
      <c r="AN39" s="123" t="n">
        <v>2.89</v>
      </c>
      <c r="AO39" s="112" t="n">
        <v>14.12</v>
      </c>
      <c r="AP39" s="121" t="n">
        <v>16.33</v>
      </c>
      <c r="AQ39" s="121" t="n">
        <v>4.19</v>
      </c>
      <c r="AR39" s="121" t="n">
        <v>-24.18</v>
      </c>
      <c r="AS39" s="121" t="n">
        <v>12.59</v>
      </c>
      <c r="AT39" s="121" t="n">
        <v>0.84</v>
      </c>
      <c r="AU39" s="121" t="n">
        <v>-26.62</v>
      </c>
      <c r="AV39" s="121" t="n">
        <v>15.58</v>
      </c>
      <c r="AW39" s="121" t="n">
        <v>-0.14</v>
      </c>
      <c r="AX39" s="121" t="n">
        <v>-9.92</v>
      </c>
      <c r="AY39" s="121" t="n">
        <v>-4.79</v>
      </c>
      <c r="AZ39" s="121" t="n">
        <v>4.33</v>
      </c>
      <c r="BA39" s="121" t="n">
        <v>5.63</v>
      </c>
      <c r="BB39" s="108" t="inlineStr">
        <is>
          <t>Hang Seng Commerce &amp; Industry sub-index</t>
        </is>
      </c>
      <c r="BC39" s="121" t="n">
        <v>-76</v>
      </c>
      <c r="BD39" s="109" t="n">
        <v>46297</v>
      </c>
      <c r="BE39" s="110" t="n">
        <v>80712.2</v>
      </c>
      <c r="BF39" s="113" t="n">
        <v>-4441</v>
      </c>
      <c r="BG39" s="108" t="inlineStr">
        <is>
          <t>N</t>
        </is>
      </c>
      <c r="BH39" s="108" t="inlineStr">
        <is>
          <t>n/m</t>
        </is>
      </c>
      <c r="BI39" s="122" t="n"/>
      <c r="BJ39" s="123" t="n">
        <v>8.9</v>
      </c>
      <c r="BK39" s="123" t="n">
        <v>3.3</v>
      </c>
      <c r="BL39" s="124">
        <f>IF('BBG Verify'!S39="","not filed; run on terminal",'BBG Verify'!S39)</f>
        <v/>
      </c>
      <c r="BM39" s="125" t="inlineStr">
        <is>
          <t>N</t>
        </is>
      </c>
      <c r="BN39" s="126">
        <f>IF('BBG Verify'!K39="","not filed; run on terminal",'BBG Verify'!K39)</f>
        <v/>
      </c>
      <c r="BO39" s="108" t="inlineStr">
        <is>
          <t>N/A</t>
        </is>
      </c>
      <c r="BP39" s="108" t="inlineStr">
        <is>
          <t>N/A</t>
        </is>
      </c>
      <c r="BQ39" s="108" t="inlineStr">
        <is>
          <t>N/A</t>
        </is>
      </c>
      <c r="BR39" s="108" t="inlineStr">
        <is>
          <t>N/A</t>
        </is>
      </c>
      <c r="BS39" s="108" t="inlineStr">
        <is>
          <t>N/A</t>
        </is>
      </c>
      <c r="BT39" s="108" t="inlineStr">
        <is>
          <t>N/A</t>
        </is>
      </c>
      <c r="BU39" s="125" t="inlineStr">
        <is>
          <t>Merrill Lynch (Asia Pacific) Limited; Goldman Sachs (Asia) L.L.C; Haitong International Capital Limited; UBS AG Hong Kong Branch; Haitong International Securities Company Limited</t>
        </is>
      </c>
      <c r="BV39" s="108" t="inlineStr">
        <is>
          <t>Haitong International Capital Limited; Merrill Lynch (Asia Pacific) Limited; Goldman Sachs (Asia) L.L.C.</t>
        </is>
      </c>
      <c r="BW39" s="108" t="inlineStr">
        <is>
          <t>Merrill Lynch (Asia Pacific) Limited; Goldman Sachs (Asia) L.L.C; Haitong International Securities Company Limited; UBS AG Hong Kong Branch; CLSA Limited; ICBC International Capital Limited; CCB International Capital Limited; China Renaissance Securities (Hong Kong) Limited; BOCOM International Securities Limited; BOCI Asia Limited; ABCI Capital Limited; Guotai Junan Securities (Hong Kong) Limited; Futu Securities International (Hong Kong) Limited; Mizuho Securities Asia Limited</t>
        </is>
      </c>
      <c r="BX39" s="108" t="inlineStr">
        <is>
          <t>ABCI Securities Company Limited; Beta International Securities Limited; BOCI Asia Limited; CCB International Capital Limited; CLSA Limited; CMB International Capital Limited; China Renaissance Securities (Hong Kong) Limited; Futu Securities International (Hong Kong) Limited; Guotai Junan Securities (Hong Kong) Limited; Goldman Sachs (Asia) L.L.C.; Haitong International Securities Company Limited; ICBC International Securities Limited</t>
        </is>
      </c>
      <c r="BY39" s="127">
        <f>HYPERLINK("https://www1.hkexnews.hk/listedco/listconews/sehk/2021/0517/2021051700091.pdf","prospectus")</f>
        <v/>
      </c>
      <c r="BZ39" s="127">
        <f>HYPERLINK("https://www1.hkexnews.hk/listedco/listconews/sehk/2021/0527/2021052700014.htm","allotment")</f>
        <v/>
      </c>
      <c r="CA39" s="127">
        <f>HYPERLINK("https://www1.hkexnews.hk/listedco/listconews/sehk/2021/0620/2021062000009.pdf","stabilisation")</f>
        <v/>
      </c>
      <c r="CB39" s="128" t="n"/>
      <c r="CC39" s="108" t="inlineStr">
        <is>
          <t>P/E: loss-making at IPO, use P/S; range low: maximum offer price only, no floor published; market cap: prospectus 'market capitalisation' line is the listing-rule threshold, not the issuer's figure; rejected</t>
        </is>
      </c>
    </row>
    <row r="40" ht="22" customHeight="1">
      <c r="A40" s="107" t="inlineStr">
        <is>
          <t>9982</t>
        </is>
      </c>
      <c r="B40" s="108" t="inlineStr">
        <is>
          <t>CENTRALCHINA MT</t>
        </is>
      </c>
      <c r="C40" s="108" t="inlineStr">
        <is>
          <t>中原建業</t>
        </is>
      </c>
      <c r="D40" s="108" t="inlineStr">
        <is>
          <t>Real Estate</t>
        </is>
      </c>
      <c r="E40" s="108" t="inlineStr">
        <is>
          <t>Property management</t>
        </is>
      </c>
      <c r="F40" s="108" t="inlineStr">
        <is>
          <t>Property Development</t>
        </is>
      </c>
      <c r="G40" s="108" t="inlineStr">
        <is>
          <t>Standard</t>
        </is>
      </c>
      <c r="H40" s="109" t="n">
        <v>44347</v>
      </c>
      <c r="I40" s="110" t="n">
        <v>984.5</v>
      </c>
      <c r="J40" s="108" t="inlineStr">
        <is>
          <t>gross (price x shares)</t>
        </is>
      </c>
      <c r="K40" s="111" t="n">
        <v>2.4</v>
      </c>
      <c r="L40" s="111" t="n">
        <v>3.2</v>
      </c>
      <c r="M40" s="111" t="n">
        <v>3</v>
      </c>
      <c r="N40" s="108" t="inlineStr">
        <is>
          <t>N</t>
        </is>
      </c>
      <c r="O40" s="112" t="n">
        <v>93.8</v>
      </c>
      <c r="P40" s="112" t="n">
        <v>75</v>
      </c>
      <c r="Q40" s="113" t="n">
        <v>8712.4</v>
      </c>
      <c r="R40" s="108" t="inlineStr">
        <is>
          <t>derived:deal size / offer % of enlarged capital</t>
        </is>
      </c>
      <c r="S40" s="114" t="n">
        <v>4.99</v>
      </c>
      <c r="T40" s="115" t="n">
        <v>0.72</v>
      </c>
      <c r="U40" s="116" t="n">
        <v>4.8</v>
      </c>
      <c r="V40" s="117" t="n">
        <v>137</v>
      </c>
      <c r="W40" s="118" t="n"/>
      <c r="X40" s="119" t="n"/>
      <c r="Y40" s="113" t="n">
        <v>937.24</v>
      </c>
      <c r="Z40" s="113" t="n">
        <v>312419744</v>
      </c>
      <c r="AA40" s="112" t="n">
        <v>10.76</v>
      </c>
      <c r="AB40" s="108" t="inlineStr">
        <is>
          <t>Lucky Advent Limited</t>
        </is>
      </c>
      <c r="AC40" s="108" t="inlineStr">
        <is>
          <t>lucky</t>
        </is>
      </c>
      <c r="AD40" s="112" t="n">
        <v>10</v>
      </c>
      <c r="AE40" s="108" t="inlineStr">
        <is>
          <t>lapsed</t>
        </is>
      </c>
      <c r="AF40" s="108" t="inlineStr">
        <is>
          <t>2021-06-23</t>
        </is>
      </c>
      <c r="AG40" s="108" t="inlineStr">
        <is>
          <t>BN P Paribas Securities</t>
        </is>
      </c>
      <c r="AH40" s="108" t="inlineStr">
        <is>
          <t>BN P</t>
        </is>
      </c>
      <c r="AI40" s="120" t="n">
        <v>-14</v>
      </c>
      <c r="AJ40" s="121" t="n">
        <v>-12</v>
      </c>
      <c r="AK40" s="121" t="n">
        <v>-1.43</v>
      </c>
      <c r="AL40" s="121" t="n">
        <v>-16.67</v>
      </c>
      <c r="AM40" s="121" t="n">
        <v>5.6</v>
      </c>
      <c r="AN40" s="122" t="n"/>
      <c r="AO40" s="112" t="n">
        <v>15.2</v>
      </c>
      <c r="AP40" s="121" t="n">
        <v>-9</v>
      </c>
      <c r="AQ40" s="121" t="n">
        <v>-23.67</v>
      </c>
      <c r="AR40" s="121" t="n">
        <v>-38.33</v>
      </c>
      <c r="AS40" s="121" t="n">
        <v>3.41</v>
      </c>
      <c r="AT40" s="121" t="n">
        <v>-13.26</v>
      </c>
      <c r="AU40" s="121" t="n">
        <v>-29.92</v>
      </c>
      <c r="AV40" s="121" t="n">
        <v>-6.86</v>
      </c>
      <c r="AW40" s="121" t="n">
        <v>-20.27</v>
      </c>
      <c r="AX40" s="121" t="n">
        <v>-25.76</v>
      </c>
      <c r="AY40" s="121" t="n">
        <v>-11.26</v>
      </c>
      <c r="AZ40" s="121" t="n">
        <v>-3.4</v>
      </c>
      <c r="BA40" s="121" t="n">
        <v>-2</v>
      </c>
      <c r="BB40" s="108" t="inlineStr">
        <is>
          <t>Hang Seng Properties sub-index</t>
        </is>
      </c>
      <c r="BC40" s="121" t="n">
        <v>-97.27</v>
      </c>
      <c r="BD40" s="109" t="n">
        <v>46297</v>
      </c>
      <c r="BE40" s="110" t="n">
        <v>1267.2</v>
      </c>
      <c r="BF40" s="113" t="n">
        <v>749.1</v>
      </c>
      <c r="BG40" s="108" t="inlineStr">
        <is>
          <t>Y</t>
        </is>
      </c>
      <c r="BH40" s="123" t="n">
        <v>11.6</v>
      </c>
      <c r="BI40" s="122" t="n"/>
      <c r="BJ40" s="123" t="n">
        <v>6.1</v>
      </c>
      <c r="BK40" s="123" t="n">
        <v>6.9</v>
      </c>
      <c r="BL40" s="124">
        <f>IF('BBG Verify'!S40="","not filed; run on terminal",'BBG Verify'!S40)</f>
        <v/>
      </c>
      <c r="BM40" s="125" t="inlineStr">
        <is>
          <t>N</t>
        </is>
      </c>
      <c r="BN40" s="126">
        <f>IF('BBG Verify'!K40="","not filed; run on terminal",'BBG Verify'!K40)</f>
        <v/>
      </c>
      <c r="BO40" s="108" t="inlineStr">
        <is>
          <t>N/A</t>
        </is>
      </c>
      <c r="BP40" s="108" t="inlineStr">
        <is>
          <t>N/A</t>
        </is>
      </c>
      <c r="BQ40" s="108" t="inlineStr">
        <is>
          <t>N/A</t>
        </is>
      </c>
      <c r="BR40" s="108" t="inlineStr">
        <is>
          <t>N/A</t>
        </is>
      </c>
      <c r="BS40" s="108" t="inlineStr">
        <is>
          <t>N/A</t>
        </is>
      </c>
      <c r="BT40" s="108" t="inlineStr">
        <is>
          <t>N/A</t>
        </is>
      </c>
      <c r="BU40" s="125" t="inlineStr">
        <is>
          <t>ICBC International Capital Limited; CCB International Capital Limited; to CCRE and our Company BNP Paribas Securities (Asia) Limited</t>
        </is>
      </c>
      <c r="BV40" s="108" t="inlineStr">
        <is>
          <t>CCB International Capital Limited; ICBC International Capital Limited</t>
        </is>
      </c>
      <c r="BW40" s="108" t="inlineStr">
        <is>
          <t>BNP Paribas Securities (Asia) Limited; CCB International Capital Limited; ICBC International Capital Limited; ABCI Capital Limited; China Galaxy International Securities (Hong Kong) Co., Limited; CMB International Capital Limited; CRIC Securities Company Limited</t>
        </is>
      </c>
      <c r="BX40" s="108" t="inlineStr">
        <is>
          <t>ABCI Securities Company Limited; BNP Paribas Securities (Asia) Limited; CCB International Capital Limited; China Galaxy International Securities (Hong Kong) Company Limited; CMB International Capital Limited; CRIC Securities Company Limited; ICBC International Securities Limited; I Win Securities Limited; Livermore Holdings Limited</t>
        </is>
      </c>
      <c r="BY40" s="127">
        <f>HYPERLINK("https://www1.hkexnews.hk/listedco/listconews/sehk/2021/0518/2021051800033.pdf","prospectus")</f>
        <v/>
      </c>
      <c r="BZ40" s="127">
        <f>HYPERLINK("https://www1.hkexnews.hk/listedco/listconews/sehk/2021/0528/2021052800048.htm","allotment")</f>
        <v/>
      </c>
      <c r="CA40" s="127">
        <f>HYPERLINK("https://www1.hkexnews.hk/listedco/listconews/sehk/2021/0623/2021062301182.pdf","stabilisation")</f>
        <v/>
      </c>
      <c r="CB40" s="128" t="n"/>
      <c r="CC40" s="108" t="inlineStr">
        <is>
          <t>allocation: allocation table not in this notice's format (older prose announcement); day-1 tape: volume on file; the retail multiple needs the final public split, which this notice does not state</t>
        </is>
      </c>
    </row>
    <row r="41" ht="22" customHeight="1">
      <c r="A41" s="107" t="inlineStr">
        <is>
          <t>6699</t>
        </is>
      </c>
      <c r="B41" s="108" t="inlineStr">
        <is>
          <t>ANGELALIGN</t>
        </is>
      </c>
      <c r="C41" s="108" t="inlineStr">
        <is>
          <t>時代天使</t>
        </is>
      </c>
      <c r="D41" s="108" t="inlineStr">
        <is>
          <t>Healthcare</t>
        </is>
      </c>
      <c r="E41" s="108" t="inlineStr">
        <is>
          <t>Medical devices</t>
        </is>
      </c>
      <c r="F41" s="108" t="inlineStr">
        <is>
          <t>Health Care Services</t>
        </is>
      </c>
      <c r="G41" s="108" t="inlineStr">
        <is>
          <t>Standard</t>
        </is>
      </c>
      <c r="H41" s="109" t="n">
        <v>44363</v>
      </c>
      <c r="I41" s="110" t="n">
        <v>2911.5</v>
      </c>
      <c r="J41" s="108" t="inlineStr">
        <is>
          <t>gross (price x shares)</t>
        </is>
      </c>
      <c r="K41" s="111" t="n">
        <v>147</v>
      </c>
      <c r="L41" s="111" t="n">
        <v>173</v>
      </c>
      <c r="M41" s="111" t="n">
        <v>173</v>
      </c>
      <c r="N41" s="108" t="inlineStr">
        <is>
          <t>Y</t>
        </is>
      </c>
      <c r="O41" s="112" t="n">
        <v>100</v>
      </c>
      <c r="P41" s="112" t="n">
        <v>100</v>
      </c>
      <c r="Q41" s="113" t="n">
        <v>24373.6</v>
      </c>
      <c r="R41" s="108" t="inlineStr">
        <is>
          <t>prospectus:stated market capitalisation</t>
        </is>
      </c>
      <c r="S41" s="114" t="n">
        <v>2079.16</v>
      </c>
      <c r="T41" s="115" t="n">
        <v>114.7</v>
      </c>
      <c r="U41" s="116" t="n">
        <v>0</v>
      </c>
      <c r="V41" s="117" t="n">
        <v>194</v>
      </c>
      <c r="W41" s="118" t="n"/>
      <c r="X41" s="119" t="n"/>
      <c r="Y41" s="113" t="n">
        <v>2911.5</v>
      </c>
      <c r="Z41" s="113" t="n">
        <v>16829600</v>
      </c>
      <c r="AA41" s="112" t="n">
        <v>11.95</v>
      </c>
      <c r="AB41" s="108" t="inlineStr">
        <is>
          <t>none — no cornerstone tranche</t>
        </is>
      </c>
      <c r="AC41" s="108" t="inlineStr">
        <is>
          <t>none</t>
        </is>
      </c>
      <c r="AD41" s="112" t="n">
        <v>10</v>
      </c>
      <c r="AE41" s="108" t="inlineStr">
        <is>
          <t>full</t>
        </is>
      </c>
      <c r="AF41" s="108" t="inlineStr">
        <is>
          <t>2021-07-08</t>
        </is>
      </c>
      <c r="AG41" s="108" t="inlineStr">
        <is>
          <t>Goldman Sachs</t>
        </is>
      </c>
      <c r="AH41" s="108" t="inlineStr">
        <is>
          <t>Goldman Sachs</t>
        </is>
      </c>
      <c r="AI41" s="120" t="n">
        <v>113.06</v>
      </c>
      <c r="AJ41" s="121" t="n">
        <v>131.79</v>
      </c>
      <c r="AK41" s="121" t="n">
        <v>-2.8</v>
      </c>
      <c r="AL41" s="121" t="n">
        <v>131.21</v>
      </c>
      <c r="AM41" s="121" t="n">
        <v>0.25</v>
      </c>
      <c r="AN41" s="122" t="n"/>
      <c r="AO41" s="112" t="n">
        <v>28.75</v>
      </c>
      <c r="AP41" s="121" t="n">
        <v>144.51</v>
      </c>
      <c r="AQ41" s="121" t="n">
        <v>141.97</v>
      </c>
      <c r="AR41" s="121" t="n">
        <v>109.36</v>
      </c>
      <c r="AS41" s="121" t="n">
        <v>5.49</v>
      </c>
      <c r="AT41" s="121" t="n">
        <v>4.39</v>
      </c>
      <c r="AU41" s="121" t="n">
        <v>-9.68</v>
      </c>
      <c r="AV41" s="121" t="n">
        <v>141.81</v>
      </c>
      <c r="AW41" s="121" t="n">
        <v>141.37</v>
      </c>
      <c r="AX41" s="121" t="n">
        <v>123.22</v>
      </c>
      <c r="AY41" s="121" t="n">
        <v>0.89</v>
      </c>
      <c r="AZ41" s="121" t="n">
        <v>0.6</v>
      </c>
      <c r="BA41" s="121" t="n">
        <v>3.5</v>
      </c>
      <c r="BB41" s="108" t="inlineStr">
        <is>
          <t>China Biotech ETF (HS biotech proxy)</t>
        </is>
      </c>
      <c r="BC41" s="121" t="n">
        <v>-51.13</v>
      </c>
      <c r="BD41" s="109" t="n">
        <v>46297</v>
      </c>
      <c r="BE41" s="110" t="n">
        <v>898.2</v>
      </c>
      <c r="BF41" s="113" t="n">
        <v>166</v>
      </c>
      <c r="BG41" s="108" t="inlineStr">
        <is>
          <t>Y</t>
        </is>
      </c>
      <c r="BH41" s="123" t="n">
        <v>146.8</v>
      </c>
      <c r="BI41" s="123" t="n">
        <v>282.1</v>
      </c>
      <c r="BJ41" s="123" t="n">
        <v>70.59999999999999</v>
      </c>
      <c r="BK41" s="123" t="n">
        <v>27.1</v>
      </c>
      <c r="BL41" s="124">
        <f>IF('BBG Verify'!S41="","not filed; run on terminal",'BBG Verify'!S41)</f>
        <v/>
      </c>
      <c r="BM41" s="125" t="inlineStr">
        <is>
          <t>N</t>
        </is>
      </c>
      <c r="BN41" s="126">
        <f>IF('BBG Verify'!K41="","not filed; run on terminal",'BBG Verify'!K41)</f>
        <v/>
      </c>
      <c r="BO41" s="108" t="inlineStr">
        <is>
          <t>N/A</t>
        </is>
      </c>
      <c r="BP41" s="108" t="inlineStr">
        <is>
          <t>N/A</t>
        </is>
      </c>
      <c r="BQ41" s="108" t="inlineStr">
        <is>
          <t>N/A</t>
        </is>
      </c>
      <c r="BR41" s="108" t="inlineStr">
        <is>
          <t>N/A</t>
        </is>
      </c>
      <c r="BS41" s="108" t="inlineStr">
        <is>
          <t>N/A</t>
        </is>
      </c>
      <c r="BT41" s="108" t="inlineStr">
        <is>
          <t>N/A</t>
        </is>
      </c>
      <c r="BU41" s="125" t="inlineStr">
        <is>
          <t>China Insights Industry Consultancy Limited; Shanghai, PRC Receiving Banks Standard Chartered Bank (Hong Kong) Limited; Bank of China (Hong Kong) Limited; The Cayman Islands Principal Share Registrar Maples Fund Services (Cayman) Limited; Somerley Capital Limited; China Minsheng Bank, Shanghai Branch; Pudong New Area Shanghai, PRC China CITIC Bank, Wuxi Huishan Sub-Branch; Wuxi City, PRC Bank of China, Shanghai KIC Science Park Sub-Branch</t>
        </is>
      </c>
      <c r="BV41" s="108" t="inlineStr">
        <is>
          <t>China International Capital Corporation Hong Kong Securities Limited; Goldman Sachs (Asia) L.L.C.</t>
        </is>
      </c>
      <c r="BW41" s="108" t="inlineStr">
        <is>
          <t>China International Capital Corporation Hong Kong Securities Limited; Goldman Sachs (Asia) L.L.C.</t>
        </is>
      </c>
      <c r="BX41" s="108" t="inlineStr">
        <is>
          <t>China International Capital Corporation Hong Kong Securities Limited; Goldman Sachs (Asia) L.L.C.</t>
        </is>
      </c>
      <c r="BY41" s="127">
        <f>HYPERLINK("https://www1.hkexnews.hk/listedco/listconews/sehk/2021/0603/2021060300011.pdf","prospectus")</f>
        <v/>
      </c>
      <c r="BZ41" s="127">
        <f>HYPERLINK("https://www1.hkexnews.hk/listedco/listconews/sehk/2021/0615/2021061500010.htm","allotment")</f>
        <v/>
      </c>
      <c r="CA41" s="127">
        <f>HYPERLINK("https://www1.hkexnews.hk/listedco/listconews/sehk/2021/0708/2021070801042.pdf","stabilisation")</f>
        <v/>
      </c>
      <c r="CB41" s="128" t="n"/>
      <c r="CC41" s="108" t="inlineStr">
        <is>
          <t>cornerstone list: no cornerstone tranche; allocation: allocation table not in this notice's format (older prose announcement); day-1 tape: volume on file; the retail multiple needs the final public split, which this notice does not state</t>
        </is>
      </c>
    </row>
    <row r="42" ht="22" customHeight="1">
      <c r="A42" s="107" t="inlineStr">
        <is>
          <t>2171</t>
        </is>
      </c>
      <c r="B42" s="108" t="inlineStr">
        <is>
          <t>CARSGEN-B</t>
        </is>
      </c>
      <c r="C42" s="108" t="inlineStr">
        <is>
          <t>科濟藥業－Ｂ</t>
        </is>
      </c>
      <c r="D42" s="108" t="inlineStr">
        <is>
          <t>Healthcare</t>
        </is>
      </c>
      <c r="E42" s="108" t="inlineStr">
        <is>
          <t>Biotech pre-revenue (18A)</t>
        </is>
      </c>
      <c r="F42" s="108" t="inlineStr">
        <is>
          <t>Biotechnology</t>
        </is>
      </c>
      <c r="G42" s="108" t="inlineStr">
        <is>
          <t>18A</t>
        </is>
      </c>
      <c r="H42" s="109" t="n">
        <v>44365</v>
      </c>
      <c r="I42" s="110" t="n">
        <v>3107.7</v>
      </c>
      <c r="J42" s="108" t="inlineStr">
        <is>
          <t>gross (price x shares)</t>
        </is>
      </c>
      <c r="K42" s="111" t="n">
        <v>29.6</v>
      </c>
      <c r="L42" s="111" t="n">
        <v>32.8</v>
      </c>
      <c r="M42" s="111" t="n">
        <v>32.8</v>
      </c>
      <c r="N42" s="108" t="inlineStr">
        <is>
          <t>Y</t>
        </is>
      </c>
      <c r="O42" s="112" t="n">
        <v>100</v>
      </c>
      <c r="P42" s="112" t="n">
        <v>100</v>
      </c>
      <c r="Q42" s="113" t="n">
        <v>17700</v>
      </c>
      <c r="R42" s="108" t="inlineStr">
        <is>
          <t>prospectus:stated market capitalisation</t>
        </is>
      </c>
      <c r="S42" s="114" t="n">
        <v>434.57</v>
      </c>
      <c r="T42" s="115" t="n">
        <v>8.199999999999999</v>
      </c>
      <c r="U42" s="116" t="n">
        <v>27.2</v>
      </c>
      <c r="V42" s="117" t="n">
        <v>106</v>
      </c>
      <c r="W42" s="112" t="n">
        <v>50</v>
      </c>
      <c r="X42" s="108" t="inlineStr">
        <is>
          <t>YES</t>
        </is>
      </c>
      <c r="Y42" s="113" t="n">
        <v>2262.41</v>
      </c>
      <c r="Z42" s="113" t="n">
        <v>68975816</v>
      </c>
      <c r="AA42" s="112" t="n">
        <v>12.78</v>
      </c>
      <c r="AB42" s="108" t="inlineStr">
        <is>
          <t>Affin Hwang Asset Management Berhad; China Southern Asset Management Co., Ltd; CloudAlpha Master Fund; Dymon Asia Capital (Singapore) Pte. Ltd; Foresight Fund Management Co., Ltd; GF Fund Management Co., Ltd; IvyRock Asset Management (HK) Limited; LAV Star Limited; WT Asset Management Limited</t>
        </is>
      </c>
      <c r="AC42" s="108" t="inlineStr">
        <is>
          <t>affin;southern;cloudalpha;dymon;foresight;gf;ivyrock;lav;wt</t>
        </is>
      </c>
      <c r="AD42" s="112" t="n">
        <v>5.5</v>
      </c>
      <c r="AE42" s="108" t="inlineStr">
        <is>
          <t>lapsed</t>
        </is>
      </c>
      <c r="AF42" s="108" t="inlineStr">
        <is>
          <t>2021-07-10</t>
        </is>
      </c>
      <c r="AG42" s="108" t="inlineStr">
        <is>
          <t>Goldman Sachs</t>
        </is>
      </c>
      <c r="AH42" s="108" t="inlineStr">
        <is>
          <t>Goldman Sachs</t>
        </is>
      </c>
      <c r="AI42" s="120" t="n">
        <v>-16.01</v>
      </c>
      <c r="AJ42" s="121" t="n">
        <v>-8.539999999999999</v>
      </c>
      <c r="AK42" s="121" t="n">
        <v>1.58</v>
      </c>
      <c r="AL42" s="121" t="n">
        <v>-17.53</v>
      </c>
      <c r="AM42" s="121" t="n">
        <v>10.9</v>
      </c>
      <c r="AN42" s="123" t="n">
        <v>1.15</v>
      </c>
      <c r="AO42" s="112" t="n">
        <v>21.81</v>
      </c>
      <c r="AP42" s="121" t="n">
        <v>-3.05</v>
      </c>
      <c r="AQ42" s="121" t="n">
        <v>-8.69</v>
      </c>
      <c r="AR42" s="121" t="n">
        <v>32.16</v>
      </c>
      <c r="AS42" s="121" t="n">
        <v>6</v>
      </c>
      <c r="AT42" s="121" t="n">
        <v>-0.16</v>
      </c>
      <c r="AU42" s="121" t="n">
        <v>44.5</v>
      </c>
      <c r="AV42" s="121" t="n">
        <v>-9.98</v>
      </c>
      <c r="AW42" s="121" t="n">
        <v>-12.93</v>
      </c>
      <c r="AX42" s="121" t="n">
        <v>45.72</v>
      </c>
      <c r="AY42" s="121" t="n">
        <v>-2.77</v>
      </c>
      <c r="AZ42" s="121" t="n">
        <v>4.24</v>
      </c>
      <c r="BA42" s="121" t="n">
        <v>2.61</v>
      </c>
      <c r="BB42" s="108" t="inlineStr">
        <is>
          <t>China Biotech ETF (HS biotech proxy)</t>
        </is>
      </c>
      <c r="BC42" s="121" t="n">
        <v>-62.04</v>
      </c>
      <c r="BD42" s="109" t="n">
        <v>46297</v>
      </c>
      <c r="BE42" s="110" t="n">
        <v>34.1</v>
      </c>
      <c r="BF42" s="113" t="n">
        <v>-291.6</v>
      </c>
      <c r="BG42" s="108" t="inlineStr">
        <is>
          <t>N</t>
        </is>
      </c>
      <c r="BH42" s="108" t="inlineStr">
        <is>
          <t>n/m</t>
        </is>
      </c>
      <c r="BI42" s="122" t="n"/>
      <c r="BJ42" s="122" t="n"/>
      <c r="BK42" s="123" t="n">
        <v>519.1</v>
      </c>
      <c r="BL42" s="124">
        <f>IF('BBG Verify'!S42="","not filed; run on terminal",'BBG Verify'!S42)</f>
        <v/>
      </c>
      <c r="BM42" s="125" t="inlineStr">
        <is>
          <t>N</t>
        </is>
      </c>
      <c r="BN42" s="126">
        <f>IF('BBG Verify'!K42="","not filed; run on terminal",'BBG Verify'!K42)</f>
        <v/>
      </c>
      <c r="BO42" s="108" t="inlineStr">
        <is>
          <t>N/A</t>
        </is>
      </c>
      <c r="BP42" s="108" t="inlineStr">
        <is>
          <t>N/A</t>
        </is>
      </c>
      <c r="BQ42" s="108" t="inlineStr">
        <is>
          <t>N/A</t>
        </is>
      </c>
      <c r="BR42" s="108" t="inlineStr">
        <is>
          <t>N/A</t>
        </is>
      </c>
      <c r="BS42" s="108" t="inlineStr">
        <is>
          <t>N/A</t>
        </is>
      </c>
      <c r="BT42" s="108" t="inlineStr">
        <is>
          <t>N/A</t>
        </is>
      </c>
      <c r="BU42" s="125" t="inlineStr">
        <is>
          <t>Goldman Sachs (Asia) L.L.C; UBS Securities Hong Kong Limited</t>
        </is>
      </c>
      <c r="BV42" s="108" t="inlineStr">
        <is>
          <t>UBS Securities Hong Kong Limited; Goldman Sachs (Asia) L.L.C.</t>
        </is>
      </c>
      <c r="BW42" s="108" t="inlineStr">
        <is>
          <t>Goldman Sachs (Asia) L.L.C; UBS AG Hong Kong Branch; CLSA Limited; Credit Suisse (Hong Kong) Limited</t>
        </is>
      </c>
      <c r="BX42" s="108" t="inlineStr">
        <is>
          <t>CLSA Limited; Credit Suisse (Hong Kong) Limited; Goldman Sachs (Asia) L.L.C.; UBS AG Hong Kong Branch</t>
        </is>
      </c>
      <c r="BY42" s="127">
        <f>HYPERLINK("https://www1.hkexnews.hk/listedco/listconews/sehk/2021/0607/2021060700009.pdf","prospectus")</f>
        <v/>
      </c>
      <c r="BZ42" s="127">
        <f>HYPERLINK("https://www1.hkexnews.hk/listedco/listconews/sehk/2021/0617/2021061700006.htm","allotment")</f>
        <v/>
      </c>
      <c r="CA42" s="127">
        <f>HYPERLINK("https://www1.hkexnews.hk/listedco/listconews/sehk/2021/0712/2021071200836.pdf","stabilisation")</f>
        <v/>
      </c>
      <c r="CB42" s="128" t="n"/>
      <c r="CC42" s="108" t="inlineStr">
        <is>
          <t>P/E: loss-making at IPO, use P/S; cornerstone: % from the prospectus; AAStocks table includes non-cornerstone orders; P/S: 519x on HK$34.1m revenue, effectively pre-revenue; not comparable</t>
        </is>
      </c>
    </row>
    <row r="43" ht="22" customHeight="1">
      <c r="A43" s="107" t="inlineStr">
        <is>
          <t>9858</t>
        </is>
      </c>
      <c r="B43" s="108" t="inlineStr">
        <is>
          <t>YOURAN DAIRY</t>
        </is>
      </c>
      <c r="C43" s="108" t="inlineStr">
        <is>
          <t>優然牧業</t>
        </is>
      </c>
      <c r="D43" s="108" t="inlineStr">
        <is>
          <t>Consumer</t>
        </is>
      </c>
      <c r="E43" s="108" t="inlineStr">
        <is>
          <t>Beverages / packaged food</t>
        </is>
      </c>
      <c r="F43" s="108" t="inlineStr">
        <is>
          <t>Dairy Products</t>
        </is>
      </c>
      <c r="G43" s="108" t="inlineStr">
        <is>
          <t>Standard</t>
        </is>
      </c>
      <c r="H43" s="109" t="n">
        <v>44365</v>
      </c>
      <c r="I43" s="110" t="n">
        <v>4993.7</v>
      </c>
      <c r="J43" s="108" t="inlineStr">
        <is>
          <t>gross (price x shares)</t>
        </is>
      </c>
      <c r="K43" s="111" t="n">
        <v>6.98</v>
      </c>
      <c r="L43" s="111" t="n">
        <v>8.66</v>
      </c>
      <c r="M43" s="111" t="n">
        <v>6.98</v>
      </c>
      <c r="N43" s="108" t="inlineStr">
        <is>
          <t>N</t>
        </is>
      </c>
      <c r="O43" s="112" t="n">
        <v>80.59999999999999</v>
      </c>
      <c r="P43" s="112" t="n">
        <v>0</v>
      </c>
      <c r="Q43" s="113" t="n">
        <v>31631.2</v>
      </c>
      <c r="R43" s="108" t="inlineStr">
        <is>
          <t>aastocks:上市市值 at the struck price</t>
        </is>
      </c>
      <c r="S43" s="114" t="n">
        <v>3.73</v>
      </c>
      <c r="T43" s="115" t="n">
        <v>3.88</v>
      </c>
      <c r="U43" s="116" t="n">
        <v>7.77</v>
      </c>
      <c r="V43" s="117" t="n">
        <v>100</v>
      </c>
      <c r="W43" s="118" t="n"/>
      <c r="X43" s="119" t="n"/>
      <c r="Y43" s="113" t="n">
        <v>4605.69</v>
      </c>
      <c r="Z43" s="113" t="n">
        <v>659845700</v>
      </c>
      <c r="AA43" s="112" t="n">
        <v>14.56</v>
      </c>
      <c r="AB43" s="108" t="inlineStr">
        <is>
          <t>CITIC-Prudential Life Insurance Company Limited; Harvest Private Wealth Thematic Fund SPC</t>
        </is>
      </c>
      <c r="AC43" s="108" t="inlineStr">
        <is>
          <t>citic;harvest</t>
        </is>
      </c>
      <c r="AD43" s="112" t="n">
        <v>16.97</v>
      </c>
      <c r="AE43" s="108" t="inlineStr">
        <is>
          <t>lapsed</t>
        </is>
      </c>
      <c r="AF43" s="108" t="inlineStr">
        <is>
          <t>2021-07-10</t>
        </is>
      </c>
      <c r="AG43" s="108" t="inlineStr">
        <is>
          <t>Credit Suisse</t>
        </is>
      </c>
      <c r="AH43" s="108" t="inlineStr">
        <is>
          <t>Credit Suisse</t>
        </is>
      </c>
      <c r="AI43" s="120" t="n">
        <v>-8.31</v>
      </c>
      <c r="AJ43" s="121" t="n">
        <v>-11.89</v>
      </c>
      <c r="AK43" s="121" t="n">
        <v>2.1</v>
      </c>
      <c r="AL43" s="121" t="n">
        <v>-10.03</v>
      </c>
      <c r="AM43" s="121" t="n">
        <v>-2.07</v>
      </c>
      <c r="AN43" s="122" t="n"/>
      <c r="AO43" s="112" t="n">
        <v>15.61</v>
      </c>
      <c r="AP43" s="121" t="n">
        <v>-11.32</v>
      </c>
      <c r="AQ43" s="121" t="n">
        <v>-26.93</v>
      </c>
      <c r="AR43" s="121" t="n">
        <v>-29.08</v>
      </c>
      <c r="AS43" s="121" t="n">
        <v>0.65</v>
      </c>
      <c r="AT43" s="121" t="n">
        <v>-17.07</v>
      </c>
      <c r="AU43" s="121" t="n">
        <v>-19.51</v>
      </c>
      <c r="AV43" s="121" t="n">
        <v>-16.57</v>
      </c>
      <c r="AW43" s="121" t="n">
        <v>-23.51</v>
      </c>
      <c r="AX43" s="121" t="n">
        <v>-13.87</v>
      </c>
      <c r="AY43" s="121" t="n">
        <v>-11.67</v>
      </c>
      <c r="AZ43" s="121" t="n">
        <v>-3.42</v>
      </c>
      <c r="BA43" s="121" t="n">
        <v>-5.4</v>
      </c>
      <c r="BB43" s="108" t="inlineStr">
        <is>
          <t>Hang Seng Commerce &amp; Industry sub-index</t>
        </is>
      </c>
      <c r="BC43" s="121" t="n">
        <v>-44.91</v>
      </c>
      <c r="BD43" s="109" t="n">
        <v>46297</v>
      </c>
      <c r="BE43" s="110" t="n">
        <v>12959.3</v>
      </c>
      <c r="BF43" s="113" t="n">
        <v>1694.7</v>
      </c>
      <c r="BG43" s="108" t="inlineStr">
        <is>
          <t>Y</t>
        </is>
      </c>
      <c r="BH43" s="123" t="n">
        <v>18.7</v>
      </c>
      <c r="BI43" s="123" t="n">
        <v>12.3</v>
      </c>
      <c r="BJ43" s="122" t="n"/>
      <c r="BK43" s="123" t="n">
        <v>2.4</v>
      </c>
      <c r="BL43" s="124">
        <f>IF('BBG Verify'!S43="","not filed; run on terminal",'BBG Verify'!S43)</f>
        <v/>
      </c>
      <c r="BM43" s="125" t="inlineStr">
        <is>
          <t>N</t>
        </is>
      </c>
      <c r="BN43" s="126">
        <f>IF('BBG Verify'!K43="","not filed; run on terminal",'BBG Verify'!K43)</f>
        <v/>
      </c>
      <c r="BO43" s="108" t="inlineStr">
        <is>
          <t>N/A</t>
        </is>
      </c>
      <c r="BP43" s="108" t="inlineStr">
        <is>
          <t>N/A</t>
        </is>
      </c>
      <c r="BQ43" s="108" t="inlineStr">
        <is>
          <t>N/A</t>
        </is>
      </c>
      <c r="BR43" s="108" t="inlineStr">
        <is>
          <t>N/A</t>
        </is>
      </c>
      <c r="BS43" s="108" t="inlineStr">
        <is>
          <t>N/A</t>
        </is>
      </c>
      <c r="BT43" s="108" t="inlineStr">
        <is>
          <t>N/A</t>
        </is>
      </c>
      <c r="BU43" s="125" t="inlineStr">
        <is>
          <t>Huatai Financial Holdings (Hong Kong) Limited; Credit Suisse (Hong Kong) Limited</t>
        </is>
      </c>
      <c r="BV43" s="108" t="inlineStr">
        <is>
          <t>Huatai Financial Holdings (Hong Kong) Limited; Credit Suisse (Hong Kong) Limited</t>
        </is>
      </c>
      <c r="BW43" s="108" t="inlineStr">
        <is>
          <t>Huatai Financial Holdings (Hong Kong) Limited; Credit Suisse (Hong Kong) Limited; Citigroup Global Markets Asia Limited; CLSA Limited; Citigroup Global Markets Limited; Canary Wharf London E14 5LB United Kingdom CLSA Limited; The Hongkong and Shanghai Banking Corporation Limited; BOCOM International Securities Limited; Corporate Finance Company Limited; ICBC International Capital Limited; Futu Securities International (Hong Kong) Limited</t>
        </is>
      </c>
      <c r="BX43" s="108" t="inlineStr">
        <is>
          <t>Beta International Securities Limited; Citigroup Global Markets Asia Limited; CLSA Limited; Credit Suisse (Hong Kong) Limited; China Securities (International) Corporate Finance Company Limited; Futu Securities International (Hong Kong) Limited; Huatai Financial Holdings (Hong Kong) Limited; The Hongkong and Shanghai Banking Corporation Limited; ICBC International Securities Limited</t>
        </is>
      </c>
      <c r="BY43" s="127">
        <f>HYPERLINK("https://www1.hkexnews.hk/listedco/listconews/sehk/2021/0607/2021060700019.pdf","prospectus")</f>
        <v/>
      </c>
      <c r="BZ43" s="127">
        <f>HYPERLINK("https://www1.hkexnews.hk/listedco/listconews/sehk/2021/0617/2021061700034.htm","allotment")</f>
        <v/>
      </c>
      <c r="CA43" s="127">
        <f>HYPERLINK("https://www1.hkexnews.hk/listedco/listconews/sehk/2021/0711/2021071100011.pdf","stabilisation")</f>
        <v/>
      </c>
      <c r="CB43" s="128" t="n"/>
      <c r="CC43" s="108" t="inlineStr">
        <is>
          <t>market cap: published listing cap used; the estimate from deal size / offer % of enlarged capital disagreed; allocation: allocation table not in this notice's format (older prose announcement); day-1 tape: volume on file; the retail multiple needs the final public split, which this notice does not state</t>
        </is>
      </c>
    </row>
    <row r="44" ht="22" customHeight="1">
      <c r="A44" s="107" t="inlineStr">
        <is>
          <t>2155</t>
        </is>
      </c>
      <c r="B44" s="108" t="inlineStr">
        <is>
          <t>MORIMATSU INTL</t>
        </is>
      </c>
      <c r="C44" s="108" t="inlineStr">
        <is>
          <t>森松國際</t>
        </is>
      </c>
      <c r="D44" s="108" t="inlineStr">
        <is>
          <t>Industrials</t>
        </is>
      </c>
      <c r="E44" s="108" t="inlineStr">
        <is>
          <t>Capital goods / machinery</t>
        </is>
      </c>
      <c r="F44" s="108" t="inlineStr">
        <is>
          <t>Industrial Machinery</t>
        </is>
      </c>
      <c r="G44" s="108" t="inlineStr">
        <is>
          <t>Standard</t>
        </is>
      </c>
      <c r="H44" s="109" t="n">
        <v>44375</v>
      </c>
      <c r="I44" s="110" t="n">
        <v>620</v>
      </c>
      <c r="J44" s="108" t="inlineStr">
        <is>
          <t>gross (price x shares)</t>
        </is>
      </c>
      <c r="K44" s="111" t="n">
        <v>2.2</v>
      </c>
      <c r="L44" s="111" t="n">
        <v>2.48</v>
      </c>
      <c r="M44" s="111" t="n">
        <v>2.48</v>
      </c>
      <c r="N44" s="108" t="inlineStr">
        <is>
          <t>Y</t>
        </is>
      </c>
      <c r="O44" s="112" t="n">
        <v>100</v>
      </c>
      <c r="P44" s="112" t="n">
        <v>100</v>
      </c>
      <c r="Q44" s="113" t="n">
        <v>2755.6</v>
      </c>
      <c r="R44" s="108" t="inlineStr">
        <is>
          <t>derived:deal size / offer % of enlarged capital</t>
        </is>
      </c>
      <c r="S44" s="114" t="n">
        <v>23.71</v>
      </c>
      <c r="T44" s="115" t="n">
        <v>2.36</v>
      </c>
      <c r="U44" s="116" t="n">
        <v>44.63</v>
      </c>
      <c r="V44" s="117" t="n">
        <v>134</v>
      </c>
      <c r="W44" s="112" t="n">
        <v>30</v>
      </c>
      <c r="X44" s="108" t="inlineStr">
        <is>
          <t>YES</t>
        </is>
      </c>
      <c r="Y44" s="113" t="n">
        <v>343.29</v>
      </c>
      <c r="Z44" s="113" t="n">
        <v>138425000</v>
      </c>
      <c r="AA44" s="112" t="n">
        <v>12.46</v>
      </c>
      <c r="AB44" s="108" t="inlineStr">
        <is>
          <t>China Universal Asset Management Limited Liability Company; Huayou HongKong Holding Limited; Hwa-An International Limited; Jingzhirui (Suzhou) Microelectronic Technology Co., Ltd; WuXi Biologics HealthCare Venture; Zhang Ning</t>
        </is>
      </c>
      <c r="AC44" s="108" t="inlineStr">
        <is>
          <t>universal;huayou;hwa;jingzhirui;wuxi;zhang-ning</t>
        </is>
      </c>
      <c r="AD44" s="112" t="n">
        <v>12.37</v>
      </c>
      <c r="AE44" s="108" t="inlineStr">
        <is>
          <t>full</t>
        </is>
      </c>
      <c r="AF44" s="119" t="n"/>
      <c r="AG44" s="108" t="inlineStr">
        <is>
          <t>Sinolink Securities</t>
        </is>
      </c>
      <c r="AH44" s="108" t="inlineStr">
        <is>
          <t>Sinolink</t>
        </is>
      </c>
      <c r="AI44" s="120" t="n">
        <v>61.29</v>
      </c>
      <c r="AJ44" s="121" t="n">
        <v>258.87</v>
      </c>
      <c r="AK44" s="121" t="n">
        <v>0.6899999999999999</v>
      </c>
      <c r="AL44" s="121" t="n">
        <v>100</v>
      </c>
      <c r="AM44" s="121" t="n">
        <v>79.44</v>
      </c>
      <c r="AN44" s="123" t="n">
        <v>2.3</v>
      </c>
      <c r="AO44" s="112" t="n">
        <v>116.94</v>
      </c>
      <c r="AP44" s="121" t="n">
        <v>459.68</v>
      </c>
      <c r="AQ44" s="121" t="n">
        <v>303.23</v>
      </c>
      <c r="AR44" s="121" t="n">
        <v>290.73</v>
      </c>
      <c r="AS44" s="121" t="n">
        <v>55.96</v>
      </c>
      <c r="AT44" s="121" t="n">
        <v>12.36</v>
      </c>
      <c r="AU44" s="121" t="n">
        <v>8.880000000000001</v>
      </c>
      <c r="AV44" s="121" t="n">
        <v>465.58</v>
      </c>
      <c r="AW44" s="121" t="n">
        <v>320.73</v>
      </c>
      <c r="AX44" s="121" t="n">
        <v>311.13</v>
      </c>
      <c r="AY44" s="121" t="n">
        <v>30.43</v>
      </c>
      <c r="AZ44" s="121" t="n">
        <v>-17.5</v>
      </c>
      <c r="BA44" s="121" t="n">
        <v>-18.07</v>
      </c>
      <c r="BB44" s="108" t="inlineStr">
        <is>
          <t>Hang Seng Commerce &amp; Industry sub-index</t>
        </is>
      </c>
      <c r="BC44" s="121" t="n">
        <v>184.07</v>
      </c>
      <c r="BD44" s="109" t="n">
        <v>46297</v>
      </c>
      <c r="BE44" s="110" t="n">
        <v>3109</v>
      </c>
      <c r="BF44" s="113" t="n">
        <v>161.3</v>
      </c>
      <c r="BG44" s="108" t="inlineStr">
        <is>
          <t>Y</t>
        </is>
      </c>
      <c r="BH44" s="123" t="n">
        <v>17.1</v>
      </c>
      <c r="BI44" s="122" t="n"/>
      <c r="BJ44" s="123" t="n">
        <v>13.4</v>
      </c>
      <c r="BK44" s="123" t="n">
        <v>0.9</v>
      </c>
      <c r="BL44" s="124">
        <f>IF('BBG Verify'!S44="","not filed; run on terminal",'BBG Verify'!S44)</f>
        <v/>
      </c>
      <c r="BM44" s="125" t="inlineStr">
        <is>
          <t>N</t>
        </is>
      </c>
      <c r="BN44" s="126">
        <f>IF('BBG Verify'!K44="","not filed; run on terminal",'BBG Verify'!K44)</f>
        <v/>
      </c>
      <c r="BO44" s="108" t="inlineStr">
        <is>
          <t>N/A</t>
        </is>
      </c>
      <c r="BP44" s="108" t="inlineStr">
        <is>
          <t>N/A</t>
        </is>
      </c>
      <c r="BQ44" s="108" t="inlineStr">
        <is>
          <t>N/A</t>
        </is>
      </c>
      <c r="BR44" s="108" t="inlineStr">
        <is>
          <t>N/A</t>
        </is>
      </c>
      <c r="BS44" s="108" t="inlineStr">
        <is>
          <t>N/A</t>
        </is>
      </c>
      <c r="BT44" s="108" t="inlineStr">
        <is>
          <t>N/A</t>
        </is>
      </c>
      <c r="BU44" s="125" t="inlineStr">
        <is>
          <t>Sinolink Securities (Hong Kong) Company Limited</t>
        </is>
      </c>
      <c r="BV44" s="108" t="inlineStr">
        <is>
          <t>Sinolink Securities (Hong Kong) Company Limited</t>
        </is>
      </c>
      <c r="BW44" s="108" t="inlineStr">
        <is>
          <t>Sinolink Securities (Hong Kong) Company Limited; Haitong International Securities Company Limited; Innovax Securities Limited</t>
        </is>
      </c>
      <c r="BX44" s="108" t="inlineStr">
        <is>
          <t>Futu Securities International (Hong Kong) Limited; Haitong International Securities Company Limited; Innovax Securities Limited; Livermore Holdings Limited; Sinolink Securities (Hong Kong) Company Limited; Sinomax Securities Limited</t>
        </is>
      </c>
      <c r="BY44" s="127">
        <f>HYPERLINK("https://www1.hkexnews.hk/listedco/listconews/sehk/2021/0615/2021061500023.pdf","prospectus")</f>
        <v/>
      </c>
      <c r="BZ44" s="127">
        <f>HYPERLINK("https://www1.hkexnews.hk/listedco/listconews/sehk/2021/0625/2021062500064.htm","allotment")</f>
        <v/>
      </c>
      <c r="CA44" s="127">
        <f>HYPERLINK("https://www1.hkexnews.hk/listedco/listconews/sehk/2021/0719/2021071900868.pdf","stabilisation")</f>
        <v/>
      </c>
      <c r="CB44" s="128" t="n"/>
      <c r="CC44" s="108" t="inlineStr">
        <is>
          <t>greenshoe: outcome published; expiry date not in the notice</t>
        </is>
      </c>
    </row>
    <row r="45" ht="22" customHeight="1">
      <c r="A45" s="107" t="inlineStr">
        <is>
          <t>6626</t>
        </is>
      </c>
      <c r="B45" s="108" t="inlineStr">
        <is>
          <t>YUEXIU SERVICES</t>
        </is>
      </c>
      <c r="C45" s="108" t="inlineStr">
        <is>
          <t>越秀服務</t>
        </is>
      </c>
      <c r="D45" s="108" t="inlineStr">
        <is>
          <t>Real Estate</t>
        </is>
      </c>
      <c r="E45" s="108" t="inlineStr">
        <is>
          <t>Property management</t>
        </is>
      </c>
      <c r="F45" s="108" t="inlineStr">
        <is>
          <t>Property Service and Management</t>
        </is>
      </c>
      <c r="G45" s="108" t="inlineStr">
        <is>
          <t>Standard</t>
        </is>
      </c>
      <c r="H45" s="109" t="n">
        <v>44375</v>
      </c>
      <c r="I45" s="110" t="n">
        <v>1803.9</v>
      </c>
      <c r="J45" s="108" t="inlineStr">
        <is>
          <t>gross (price x shares)</t>
        </is>
      </c>
      <c r="K45" s="111" t="n">
        <v>4.88</v>
      </c>
      <c r="L45" s="111" t="n">
        <v>6.52</v>
      </c>
      <c r="M45" s="111" t="n">
        <v>4.88</v>
      </c>
      <c r="N45" s="108" t="inlineStr">
        <is>
          <t>N</t>
        </is>
      </c>
      <c r="O45" s="112" t="n">
        <v>74.8</v>
      </c>
      <c r="P45" s="112" t="n">
        <v>0</v>
      </c>
      <c r="Q45" s="113" t="n">
        <v>9295.700000000001</v>
      </c>
      <c r="R45" s="108" t="inlineStr">
        <is>
          <t>aastocks:上市市值 at the struck price</t>
        </is>
      </c>
      <c r="S45" s="114" t="n">
        <v>9.880000000000001</v>
      </c>
      <c r="T45" s="115" t="n">
        <v>2.4</v>
      </c>
      <c r="U45" s="116" t="n">
        <v>10.76</v>
      </c>
      <c r="V45" s="117" t="n">
        <v>164</v>
      </c>
      <c r="W45" s="118" t="n"/>
      <c r="X45" s="119" t="n"/>
      <c r="Y45" s="113" t="n">
        <v>1609.8</v>
      </c>
      <c r="Z45" s="113" t="n">
        <v>329884584</v>
      </c>
      <c r="AA45" s="112" t="n">
        <v>17.32</v>
      </c>
      <c r="AB45" s="108" t="inlineStr">
        <is>
          <t>Crotona Assets Limited; Goingup Inc Limited; Jiang Ganjun; Kaiser Private Equity Fund SPC-SPI; Ke Jiansheng; Keltic Investment (HK) Limited; New China Asset Management (Hong Kong) Limited; SensePower Management Limited; Sunfly Holding Co., Ltd; Wealthking Investments Limited</t>
        </is>
      </c>
      <c r="AC45" s="108" t="inlineStr">
        <is>
          <t>crotona;goingup;jiang-ganjun;kaiser;ke;keltic;new;sensepower;sunfly;wealthking</t>
        </is>
      </c>
      <c r="AD45" s="112" t="n">
        <v>6.11</v>
      </c>
      <c r="AE45" s="108" t="inlineStr">
        <is>
          <t>partial</t>
        </is>
      </c>
      <c r="AF45" s="108" t="inlineStr">
        <is>
          <t>2021-07-21</t>
        </is>
      </c>
      <c r="AG45" s="108" t="inlineStr">
        <is>
          <t>Yue Xiu Securities Company Limited</t>
        </is>
      </c>
      <c r="AH45" s="108" t="inlineStr">
        <is>
          <t>Yue Xiu</t>
        </is>
      </c>
      <c r="AI45" s="120" t="n">
        <v>0.41</v>
      </c>
      <c r="AJ45" s="121" t="n">
        <v>0</v>
      </c>
      <c r="AK45" s="121" t="n">
        <v>-0.45</v>
      </c>
      <c r="AL45" s="121" t="n">
        <v>-1.64</v>
      </c>
      <c r="AM45" s="121" t="n">
        <v>1.67</v>
      </c>
      <c r="AN45" s="122" t="n"/>
      <c r="AO45" s="112" t="n">
        <v>4.79</v>
      </c>
      <c r="AP45" s="121" t="n">
        <v>10.04</v>
      </c>
      <c r="AQ45" s="121" t="n">
        <v>-13.93</v>
      </c>
      <c r="AR45" s="121" t="n">
        <v>-33.81</v>
      </c>
      <c r="AS45" s="121" t="n">
        <v>10.04</v>
      </c>
      <c r="AT45" s="121" t="n">
        <v>-13.93</v>
      </c>
      <c r="AU45" s="121" t="n">
        <v>-33.81</v>
      </c>
      <c r="AV45" s="121" t="n">
        <v>12.74</v>
      </c>
      <c r="AW45" s="121" t="n">
        <v>-5.36</v>
      </c>
      <c r="AX45" s="121" t="n">
        <v>-13.45</v>
      </c>
      <c r="AY45" s="121" t="n">
        <v>-5.77</v>
      </c>
      <c r="AZ45" s="121" t="n">
        <v>-8.57</v>
      </c>
      <c r="BA45" s="121" t="n">
        <v>-8.16</v>
      </c>
      <c r="BB45" s="108" t="inlineStr">
        <is>
          <t>Hang Seng Properties sub-index</t>
        </is>
      </c>
      <c r="BC45" s="121" t="n">
        <v>-63.83</v>
      </c>
      <c r="BD45" s="109" t="n">
        <v>46297</v>
      </c>
      <c r="BE45" s="110" t="n">
        <v>1284.9</v>
      </c>
      <c r="BF45" s="113" t="n">
        <v>224.1</v>
      </c>
      <c r="BG45" s="108" t="inlineStr">
        <is>
          <t>Y</t>
        </is>
      </c>
      <c r="BH45" s="123" t="n">
        <v>41.5</v>
      </c>
      <c r="BI45" s="122" t="n"/>
      <c r="BJ45" s="123" t="n">
        <v>8</v>
      </c>
      <c r="BK45" s="123" t="n">
        <v>7.2</v>
      </c>
      <c r="BL45" s="124">
        <f>IF('BBG Verify'!S45="","not filed; run on terminal",'BBG Verify'!S45)</f>
        <v/>
      </c>
      <c r="BM45" s="125" t="inlineStr">
        <is>
          <t>N</t>
        </is>
      </c>
      <c r="BN45" s="126">
        <f>IF('BBG Verify'!K45="","not filed; run on terminal",'BBG Verify'!K45)</f>
        <v/>
      </c>
      <c r="BO45" s="108" t="inlineStr">
        <is>
          <t>N/A</t>
        </is>
      </c>
      <c r="BP45" s="108" t="inlineStr">
        <is>
          <t>N/A</t>
        </is>
      </c>
      <c r="BQ45" s="108" t="inlineStr">
        <is>
          <t>N/A</t>
        </is>
      </c>
      <c r="BR45" s="108" t="inlineStr">
        <is>
          <t>N/A</t>
        </is>
      </c>
      <c r="BS45" s="108" t="inlineStr">
        <is>
          <t>N/A</t>
        </is>
      </c>
      <c r="BT45" s="108" t="inlineStr">
        <is>
          <t>N/A</t>
        </is>
      </c>
      <c r="BU45" s="125" t="inlineStr">
        <is>
          <t>ABCI Capital Limited; China Securities (International) Corporate Finance Company Limited; CCB International Capital Limited; Yue Xiu Capital Limited</t>
        </is>
      </c>
      <c r="BV45" s="108" t="inlineStr">
        <is>
          <t>CCB International Capital Limited; China Securities (International) Corporate Finance Company Limited; Yue Xiu Capital Limited; ABCI Capital Limited</t>
        </is>
      </c>
      <c r="BW45" s="108" t="inlineStr">
        <is>
          <t>ABCI Capital Limited; China Securities (International) Corporate Finance Company Limited; CCB International Capital Limited; Yue Xiu Securities Company Limited; BOCOM International Securities Limited; BOCI Asia Limited; Chong Hing Securities Limited; CLSA Limited; CMBC Securities Company Limited; Haitong International Securities Company Limited; ICBC International Capital Limited</t>
        </is>
      </c>
      <c r="BX45" s="108" t="inlineStr">
        <is>
          <t>ABCI Securities Company Limited; Beta International Securities Limited; BOCI Asia Limited; CCB International Capital Limited; China International Capital Corporation Hong Kong Securities Limited; Chong Hing Securities Limited; CLSA Limited; CMBC Securities Company Limited; China Securities (International) Corporate Finance Company Limited; Futu Securities International (Hong Kong) Limited; Haitong International Securities Company Limited; ICBC International Securities Limited</t>
        </is>
      </c>
      <c r="BY45" s="127">
        <f>HYPERLINK("https://www1.hkexnews.hk/listedco/listconews/sehk/2021/0616/2021061600035.pdf","prospectus")</f>
        <v/>
      </c>
      <c r="BZ45" s="127">
        <f>HYPERLINK("https://www1.hkexnews.hk/listedco/listconews/sehk/2021/0625/2021062500178.htm","allotment")</f>
        <v/>
      </c>
      <c r="CA45" s="127">
        <f>HYPERLINK("https://www1.hkexnews.hk/listedco/listconews/sehk/2021/0721/2021072101184.pdf","stabilisation")</f>
        <v/>
      </c>
      <c r="CB45" s="128" t="n"/>
      <c r="CC45" s="108" t="inlineStr">
        <is>
          <t>market cap: published listing cap used; the estimate from stated market capitalisation, rescaled to the offer price disagreed; cornerstone: % from the prospectus; AAStocks table includes non-cornerstone orders; allocation: allocation table not in this notice's format (older prose announcement); day-1 tape: volume on file; the retail multiple needs the final public split, which this notice does not state</t>
        </is>
      </c>
    </row>
    <row r="46" ht="22" customHeight="1">
      <c r="A46" s="107" t="inlineStr">
        <is>
          <t>0013</t>
        </is>
      </c>
      <c r="B46" s="108" t="inlineStr">
        <is>
          <t>HUTCHMED</t>
        </is>
      </c>
      <c r="C46" s="108" t="inlineStr">
        <is>
          <t>和黃醫藥</t>
        </is>
      </c>
      <c r="D46" s="108" t="inlineStr">
        <is>
          <t>Healthcare</t>
        </is>
      </c>
      <c r="E46" s="108" t="inlineStr">
        <is>
          <t>Biopharma commercial</t>
        </is>
      </c>
      <c r="F46" s="108" t="inlineStr">
        <is>
          <t>Biotechnology</t>
        </is>
      </c>
      <c r="G46" s="108" t="inlineStr">
        <is>
          <t>Standard</t>
        </is>
      </c>
      <c r="H46" s="109" t="n">
        <v>44377</v>
      </c>
      <c r="I46" s="110" t="n">
        <v>4170.4</v>
      </c>
      <c r="J46" s="108" t="inlineStr">
        <is>
          <t>gross (price x shares)</t>
        </is>
      </c>
      <c r="K46" s="129" t="n"/>
      <c r="L46" s="111" t="n">
        <v>45</v>
      </c>
      <c r="M46" s="111" t="n">
        <v>40.1</v>
      </c>
      <c r="N46" s="108" t="inlineStr">
        <is>
          <t>N</t>
        </is>
      </c>
      <c r="O46" s="112" t="n">
        <v>89.09999999999999</v>
      </c>
      <c r="P46" s="118" t="n"/>
      <c r="Q46" s="113" t="n">
        <v>34025.5</v>
      </c>
      <c r="R46" s="108" t="inlineStr">
        <is>
          <t>prospectus:stated market capitalisation, rescaled to the offer price</t>
        </is>
      </c>
      <c r="S46" s="114" t="n">
        <v>5.23</v>
      </c>
      <c r="T46" s="115" t="n">
        <v>5</v>
      </c>
      <c r="U46" s="116" t="n">
        <v>44.9</v>
      </c>
      <c r="V46" s="117" t="n">
        <v>50</v>
      </c>
      <c r="W46" s="118" t="n"/>
      <c r="X46" s="119" t="n"/>
      <c r="Y46" s="113" t="n">
        <v>2297.89</v>
      </c>
      <c r="Z46" s="113" t="n">
        <v>57304000</v>
      </c>
      <c r="AA46" s="112" t="n">
        <v>6.75</v>
      </c>
      <c r="AB46" s="108" t="inlineStr">
        <is>
          <t>CA Fern Parent; CICC Grandeur (Xiamen) Equity Investment Fund Partnership (L.P.); CPP Investments; General Atlantic Singapore HCM Pte. Ltd; HBM Healthcare Investments (Cayman) Ltd</t>
        </is>
      </c>
      <c r="AC46" s="108" t="inlineStr">
        <is>
          <t>ca;china-international;cpp;general;hbm</t>
        </is>
      </c>
      <c r="AD46" s="112" t="n">
        <v>5.1</v>
      </c>
      <c r="AE46" s="108" t="inlineStr">
        <is>
          <t>full</t>
        </is>
      </c>
      <c r="AF46" s="108" t="inlineStr">
        <is>
          <t>2021-07-23</t>
        </is>
      </c>
      <c r="AG46" s="108" t="inlineStr">
        <is>
          <t>Morgan Stanley Asia Limited</t>
        </is>
      </c>
      <c r="AH46" s="108" t="inlineStr">
        <is>
          <t>Morgan Stanley</t>
        </is>
      </c>
      <c r="AI46" s="120" t="n">
        <v>24.94</v>
      </c>
      <c r="AJ46" s="121" t="n">
        <v>50.37</v>
      </c>
      <c r="AK46" s="121" t="n">
        <v>-0.71</v>
      </c>
      <c r="AL46" s="121" t="n">
        <v>28.18</v>
      </c>
      <c r="AM46" s="121" t="n">
        <v>17.31</v>
      </c>
      <c r="AN46" s="122" t="n"/>
      <c r="AO46" s="112" t="n">
        <v>67.31999999999999</v>
      </c>
      <c r="AP46" s="121" t="n">
        <v>42.02</v>
      </c>
      <c r="AQ46" s="121" t="n">
        <v>76.06</v>
      </c>
      <c r="AR46" s="121" t="n">
        <v>44.26</v>
      </c>
      <c r="AS46" s="121" t="n">
        <v>-5.55</v>
      </c>
      <c r="AT46" s="121" t="n">
        <v>17.08</v>
      </c>
      <c r="AU46" s="121" t="n">
        <v>-4.06</v>
      </c>
      <c r="AV46" s="121" t="n">
        <v>48.98</v>
      </c>
      <c r="AW46" s="121" t="n">
        <v>85.86</v>
      </c>
      <c r="AX46" s="121" t="n">
        <v>62.51</v>
      </c>
      <c r="AY46" s="121" t="n">
        <v>26.24</v>
      </c>
      <c r="AZ46" s="121" t="n">
        <v>-9.800000000000001</v>
      </c>
      <c r="BA46" s="121" t="n">
        <v>-9.16</v>
      </c>
      <c r="BB46" s="108" t="inlineStr">
        <is>
          <t>China Biotech ETF (HS biotech proxy)</t>
        </is>
      </c>
      <c r="BC46" s="121" t="n">
        <v>-43.89</v>
      </c>
      <c r="BD46" s="109" t="n">
        <v>46297</v>
      </c>
      <c r="BE46" s="110" t="n">
        <v>1778.2</v>
      </c>
      <c r="BF46" s="113" t="n">
        <v>-901</v>
      </c>
      <c r="BG46" s="108" t="inlineStr">
        <is>
          <t>N</t>
        </is>
      </c>
      <c r="BH46" s="108" t="inlineStr">
        <is>
          <t>n/m</t>
        </is>
      </c>
      <c r="BI46" s="122" t="n"/>
      <c r="BJ46" s="122" t="n"/>
      <c r="BK46" s="123" t="n">
        <v>19.1</v>
      </c>
      <c r="BL46" s="124">
        <f>IF('BBG Verify'!S46="","not filed; run on terminal",'BBG Verify'!S46)</f>
        <v/>
      </c>
      <c r="BM46" s="125" t="inlineStr">
        <is>
          <t>N</t>
        </is>
      </c>
      <c r="BN46" s="126">
        <f>IF('BBG Verify'!K46="","not filed; run on terminal",'BBG Verify'!K46)</f>
        <v/>
      </c>
      <c r="BO46" s="108" t="inlineStr">
        <is>
          <t>N/A</t>
        </is>
      </c>
      <c r="BP46" s="108" t="inlineStr">
        <is>
          <t>N/A</t>
        </is>
      </c>
      <c r="BQ46" s="108" t="inlineStr">
        <is>
          <t>N/A</t>
        </is>
      </c>
      <c r="BR46" s="108" t="inlineStr">
        <is>
          <t>N/A</t>
        </is>
      </c>
      <c r="BS46" s="108" t="inlineStr">
        <is>
          <t>N/A</t>
        </is>
      </c>
      <c r="BT46" s="108" t="inlineStr">
        <is>
          <t>N/A</t>
        </is>
      </c>
      <c r="BU46" s="125" t="inlineStr">
        <is>
          <t>Morgan Stanley Asia Limited; Jefferies Hong Kong Limited; China International Capital Corporation Hong Kong Securities Limited</t>
        </is>
      </c>
      <c r="BV46" s="108" t="inlineStr">
        <is>
          <t>China International Capital Corporation Hong Kong Securities Limited; Jefferies Hong Kong Limited; Morgan Stanley Asia Limited</t>
        </is>
      </c>
      <c r="BW46" s="108" t="inlineStr">
        <is>
          <t>Morgan Stanley Asia Limited; Jefferies Hong Kong Limited; China International Capital Corporation Hong Kong Securities Limited; Credit Suisse (Hong Kong) Limited; Morgan Stanley &amp; Co. International plc; London E14 4QA United Kingdom Jefferies Hong Kong Limited; The Hongkong and Shanghai Banking Corporation Limited; Macquarie Capital Limited; Deutsche Bank AG, Hong Kong Branch; BOCI Asia Limited; CMB International Capital Limited; China Merchants Securities (HK) Co., Limited</t>
        </is>
      </c>
      <c r="BX46" s="108" t="inlineStr">
        <is>
          <t>BOCI Asia Limited; China International Capital Corporation Hong Kong Securities Limited; CMB International Capital Corporation Limited; China Merchants Securities (HK) Company Limited; Credit Suisse (Hong Kong) Limited; Deutsche Bank AG, Hong Kong Branch; The Hongkong and Shanghai Banking Corporation Limited; Jefferies Hong Kong Limited; Macquarie Capital Limited; Morgan Stanley Asia Limited</t>
        </is>
      </c>
      <c r="BY46" s="127">
        <f>HYPERLINK("https://www1.hkexnews.hk/listedco/listconews/sehk/2021/0618/2021061800169.pdf","prospectus")</f>
        <v/>
      </c>
      <c r="BZ46" s="127">
        <f>HYPERLINK("https://www1.hkexnews.hk/listedco/listconews/sehk/2021/0629/2021062900052.htm","allotment")</f>
        <v/>
      </c>
      <c r="CA46" s="127">
        <f>HYPERLINK("https://www1.hkexnews.hk/listedco/listconews/sehk/2021/0723/2021072300852.pdf","stabilisation")</f>
        <v/>
      </c>
      <c r="CB46" s="128" t="n"/>
      <c r="CC46" s="108" t="inlineStr">
        <is>
          <t>P/E: loss-making at IPO, use P/S; range low: maximum offer price only, no floor published; market cap: prospectus cap HK$38,183m at HK$45.00, rescaled to HK$40.10; allocation: allocation table not in this notice's format (older prose announcement); day-1 tape: volume on file; the retail multiple needs the final public split, which this notice does not state</t>
        </is>
      </c>
    </row>
    <row r="47" ht="22" customHeight="1">
      <c r="A47" s="107" t="inlineStr">
        <is>
          <t>2150</t>
        </is>
      </c>
      <c r="B47" s="108" t="inlineStr">
        <is>
          <t>NAYUKI</t>
        </is>
      </c>
      <c r="C47" s="108" t="inlineStr">
        <is>
          <t>奈雪的茶</t>
        </is>
      </c>
      <c r="D47" s="108" t="inlineStr">
        <is>
          <t>Consumer</t>
        </is>
      </c>
      <c r="E47" s="108" t="inlineStr">
        <is>
          <t>F&amp;B chains / restaurants</t>
        </is>
      </c>
      <c r="F47" s="108" t="inlineStr">
        <is>
          <t>Restaurants</t>
        </is>
      </c>
      <c r="G47" s="108" t="inlineStr">
        <is>
          <t>Standard</t>
        </is>
      </c>
      <c r="H47" s="109" t="n">
        <v>44377</v>
      </c>
      <c r="I47" s="110" t="n">
        <v>4842.4</v>
      </c>
      <c r="J47" s="108" t="inlineStr">
        <is>
          <t>net proceeds</t>
        </is>
      </c>
      <c r="K47" s="111" t="n">
        <v>17.2</v>
      </c>
      <c r="L47" s="111" t="n">
        <v>19.8</v>
      </c>
      <c r="M47" s="111" t="n">
        <v>19.8</v>
      </c>
      <c r="N47" s="108" t="inlineStr">
        <is>
          <t>Y</t>
        </is>
      </c>
      <c r="O47" s="112" t="n">
        <v>100</v>
      </c>
      <c r="P47" s="112" t="n">
        <v>100</v>
      </c>
      <c r="Q47" s="113" t="n">
        <v>29500.2</v>
      </c>
      <c r="R47" s="108" t="inlineStr">
        <is>
          <t>prospectus:stated market capitalisation</t>
        </is>
      </c>
      <c r="S47" s="114" t="n">
        <v>432.03</v>
      </c>
      <c r="T47" s="115" t="n">
        <v>18.18</v>
      </c>
      <c r="U47" s="116" t="n">
        <v>23.6</v>
      </c>
      <c r="V47" s="117" t="n">
        <v>393</v>
      </c>
      <c r="W47" s="118" t="n"/>
      <c r="X47" s="119" t="n"/>
      <c r="Y47" s="113" t="n">
        <v>3699.59</v>
      </c>
      <c r="Z47" s="131" t="n"/>
      <c r="AA47" s="112" t="n">
        <v>12.54</v>
      </c>
      <c r="AB47" s="108" t="inlineStr">
        <is>
          <t>China Southern Asset Management Co., Ltd; China Universal Asset Management Co., LtdChina Universal Asset Management Co., Ltd; GF Fund Management Co., Ltd; Grand Rejuvenation Premium Selection Fund SPC; UBS Funds</t>
        </is>
      </c>
      <c r="AC47" s="108" t="inlineStr">
        <is>
          <t>southern;universal;gf;grand-rejuvenation;ubs</t>
        </is>
      </c>
      <c r="AD47" s="112" t="n">
        <v>15</v>
      </c>
      <c r="AE47" s="108" t="inlineStr">
        <is>
          <t>lapsed</t>
        </is>
      </c>
      <c r="AF47" s="108" t="inlineStr">
        <is>
          <t>2021-07-23</t>
        </is>
      </c>
      <c r="AG47" s="108" t="inlineStr">
        <is>
          <t>J.P. Morgan Securities</t>
        </is>
      </c>
      <c r="AH47" s="108" t="inlineStr">
        <is>
          <t>JP Morgan</t>
        </is>
      </c>
      <c r="AI47" s="120" t="n">
        <v>-1.31</v>
      </c>
      <c r="AJ47" s="121" t="n">
        <v>-13.54</v>
      </c>
      <c r="AK47" s="121" t="n">
        <v>-0.7</v>
      </c>
      <c r="AL47" s="121" t="n">
        <v>-4.75</v>
      </c>
      <c r="AM47" s="121" t="n">
        <v>-9.23</v>
      </c>
      <c r="AN47" s="122" t="n"/>
      <c r="AO47" s="112" t="n">
        <v>12.2</v>
      </c>
      <c r="AP47" s="121" t="n">
        <v>-19.09</v>
      </c>
      <c r="AQ47" s="121" t="n">
        <v>-42.93</v>
      </c>
      <c r="AR47" s="121" t="n">
        <v>-39.19</v>
      </c>
      <c r="AS47" s="121" t="n">
        <v>-6.42</v>
      </c>
      <c r="AT47" s="121" t="n">
        <v>-33.99</v>
      </c>
      <c r="AU47" s="121" t="n">
        <v>-29.67</v>
      </c>
      <c r="AV47" s="121" t="n">
        <v>-9.67</v>
      </c>
      <c r="AW47" s="121" t="n">
        <v>-28.13</v>
      </c>
      <c r="AX47" s="121" t="n">
        <v>-20.13</v>
      </c>
      <c r="AY47" s="121" t="n">
        <v>-19.79</v>
      </c>
      <c r="AZ47" s="121" t="n">
        <v>-14.8</v>
      </c>
      <c r="BA47" s="121" t="n">
        <v>-14.2</v>
      </c>
      <c r="BB47" s="108" t="inlineStr">
        <is>
          <t>Hang Seng Commerce &amp; Industry sub-index</t>
        </is>
      </c>
      <c r="BC47" s="121" t="n">
        <v>-96.54000000000001</v>
      </c>
      <c r="BD47" s="109" t="n">
        <v>46297</v>
      </c>
      <c r="BE47" s="110" t="n">
        <v>3362.9</v>
      </c>
      <c r="BF47" s="113" t="n">
        <v>-223.6</v>
      </c>
      <c r="BG47" s="108" t="inlineStr">
        <is>
          <t>N</t>
        </is>
      </c>
      <c r="BH47" s="108" t="inlineStr">
        <is>
          <t>n/m</t>
        </is>
      </c>
      <c r="BI47" s="122" t="n"/>
      <c r="BJ47" s="122" t="n"/>
      <c r="BK47" s="123" t="n">
        <v>8.800000000000001</v>
      </c>
      <c r="BL47" s="124">
        <f>IF('BBG Verify'!S47="","not filed; run on terminal",'BBG Verify'!S47)</f>
        <v/>
      </c>
      <c r="BM47" s="125" t="inlineStr">
        <is>
          <t>N</t>
        </is>
      </c>
      <c r="BN47" s="126">
        <f>IF('BBG Verify'!K47="","not filed; run on terminal",'BBG Verify'!K47)</f>
        <v/>
      </c>
      <c r="BO47" s="108" t="inlineStr">
        <is>
          <t>N/A</t>
        </is>
      </c>
      <c r="BP47" s="108" t="inlineStr">
        <is>
          <t>N/A</t>
        </is>
      </c>
      <c r="BQ47" s="108" t="inlineStr">
        <is>
          <t>N/A</t>
        </is>
      </c>
      <c r="BR47" s="108" t="inlineStr">
        <is>
          <t>N/A</t>
        </is>
      </c>
      <c r="BS47" s="108" t="inlineStr">
        <is>
          <t>N/A</t>
        </is>
      </c>
      <c r="BT47" s="108" t="inlineStr">
        <is>
          <t>N/A</t>
        </is>
      </c>
      <c r="BU47" s="125" t="inlineStr">
        <is>
          <t>J.P. Morgan Securities (Far East) Limited; CMB International Capital Limited; Huatai Financial Holdings (Hong Kong) Limited</t>
        </is>
      </c>
      <c r="BV47" s="108" t="inlineStr">
        <is>
          <t>J.P. Morgan Securities (Far East) Limited; Huatai Financial Holdings (Hong Kong) Limited; CMB International Capital Limited</t>
        </is>
      </c>
      <c r="BW47" s="108" t="inlineStr">
        <is>
          <t>J.P. Morgan Securities (Asia Pacific) Limited; CMB International Capital Limited; Huatai Financial Holdings (Hong Kong) Limited; J.P. Morgan Securities plc; Canary Wharf London E14 5JP United Kingdom CMB International Capital Limited; Haitong International Securities Company Limited; ABCI Capital Limited</t>
        </is>
      </c>
      <c r="BX47" s="108" t="inlineStr">
        <is>
          <t>ABCI Securities Company Limited; Beta International Securities Limited; CMB International Capital Corporation Limited; Futu Securities International (Hong Kong) Limited; Huatai Financial Holdings (Hong Kong) Limited; Haitong International Securities Company Limited; J.P. Morgan Securities (Asia Pacific) Limited</t>
        </is>
      </c>
      <c r="BY47" s="127">
        <f>HYPERLINK("https://www1.hkexnews.hk/listedco/listconews/sehk/2021/0618/2021061800009.pdf","prospectus")</f>
        <v/>
      </c>
      <c r="BZ47" s="127">
        <f>HYPERLINK("https://www1.hkexnews.hk/listedco/listconews/sehk/2021/0629/2021062900074.htm","allotment")</f>
        <v/>
      </c>
      <c r="CA47" s="127">
        <f>HYPERLINK("https://www1.hkexnews.hk/listedco/listconews/sehk/2021/0723/2021072300965.pdf","stabilisation")</f>
        <v/>
      </c>
      <c r="CB47" s="128" t="n"/>
      <c r="CC47" s="108" t="inlineStr">
        <is>
          <t>P/E: loss-making at IPO, use P/S; eff float shares: share count unavailable; the HK$m figure is exact; allocation: allocation table not in this notice's format (older prose announcement); day-1 tape: volume on file; the retail multiple needs the final public split, which this notice does not state</t>
        </is>
      </c>
    </row>
    <row r="48" ht="22" customHeight="1">
      <c r="A48" s="107" t="inlineStr">
        <is>
          <t>0606</t>
        </is>
      </c>
      <c r="B48" s="108" t="inlineStr">
        <is>
          <t>SCE CM</t>
        </is>
      </c>
      <c r="C48" s="108" t="inlineStr">
        <is>
          <t>中駿商管</t>
        </is>
      </c>
      <c r="D48" s="108" t="inlineStr">
        <is>
          <t>Real Estate</t>
        </is>
      </c>
      <c r="E48" s="108" t="inlineStr">
        <is>
          <t>Property management</t>
        </is>
      </c>
      <c r="F48" s="108" t="inlineStr">
        <is>
          <t>Property Service and Management</t>
        </is>
      </c>
      <c r="G48" s="108" t="inlineStr">
        <is>
          <t>Standard</t>
        </is>
      </c>
      <c r="H48" s="109" t="n">
        <v>44379</v>
      </c>
      <c r="I48" s="110" t="n">
        <v>1850</v>
      </c>
      <c r="J48" s="108" t="inlineStr">
        <is>
          <t>gross (price x shares)</t>
        </is>
      </c>
      <c r="K48" s="111" t="n">
        <v>3.7</v>
      </c>
      <c r="L48" s="111" t="n">
        <v>4.6</v>
      </c>
      <c r="M48" s="111" t="n">
        <v>3.7</v>
      </c>
      <c r="N48" s="108" t="inlineStr">
        <is>
          <t>N</t>
        </is>
      </c>
      <c r="O48" s="112" t="n">
        <v>80.40000000000001</v>
      </c>
      <c r="P48" s="112" t="n">
        <v>0</v>
      </c>
      <c r="Q48" s="113" t="n">
        <v>7400</v>
      </c>
      <c r="R48" s="108" t="inlineStr">
        <is>
          <t>derived:deal size / offer % of enlarged capital</t>
        </is>
      </c>
      <c r="S48" s="114" t="n">
        <v>1.3</v>
      </c>
      <c r="T48" s="115" t="n">
        <v>3.65</v>
      </c>
      <c r="U48" s="116" t="n">
        <v>32.6</v>
      </c>
      <c r="V48" s="117" t="n">
        <v>121</v>
      </c>
      <c r="W48" s="118" t="n"/>
      <c r="X48" s="119" t="n"/>
      <c r="Y48" s="113" t="n">
        <v>1246.9</v>
      </c>
      <c r="Z48" s="113" t="n">
        <v>337000000</v>
      </c>
      <c r="AA48" s="112" t="n">
        <v>16.85</v>
      </c>
      <c r="AB48" s="108" t="inlineStr">
        <is>
          <t>He Sheng Overseas Holdings Limited; King Terrace Limited; Lam Yuen Ying; TX Capital Value Fund</t>
        </is>
      </c>
      <c r="AC48" s="108" t="inlineStr">
        <is>
          <t>he-sheng;king;lam;tx</t>
        </is>
      </c>
      <c r="AD48" s="112" t="n">
        <v>10</v>
      </c>
      <c r="AE48" s="108" t="inlineStr">
        <is>
          <t>full</t>
        </is>
      </c>
      <c r="AF48" s="108" t="inlineStr">
        <is>
          <t>2021-07-24</t>
        </is>
      </c>
      <c r="AG48" s="108" t="inlineStr">
        <is>
          <t>UBS AG Hong Kong Branch</t>
        </is>
      </c>
      <c r="AH48" s="108" t="inlineStr">
        <is>
          <t>UBS</t>
        </is>
      </c>
      <c r="AI48" s="120" t="n">
        <v>5.95</v>
      </c>
      <c r="AJ48" s="121" t="n">
        <v>8.109999999999999</v>
      </c>
      <c r="AK48" s="121" t="n">
        <v>-1.01</v>
      </c>
      <c r="AL48" s="121" t="n">
        <v>2.97</v>
      </c>
      <c r="AM48" s="121" t="n">
        <v>4.99</v>
      </c>
      <c r="AN48" s="122" t="n"/>
      <c r="AO48" s="112" t="n">
        <v>9.19</v>
      </c>
      <c r="AP48" s="121" t="n">
        <v>11.89</v>
      </c>
      <c r="AQ48" s="121" t="n">
        <v>8.92</v>
      </c>
      <c r="AR48" s="121" t="n">
        <v>14.05</v>
      </c>
      <c r="AS48" s="121" t="n">
        <v>3.5</v>
      </c>
      <c r="AT48" s="121" t="n">
        <v>0.75</v>
      </c>
      <c r="AU48" s="121" t="n">
        <v>5.49</v>
      </c>
      <c r="AV48" s="121" t="n">
        <v>15.43</v>
      </c>
      <c r="AW48" s="121" t="n">
        <v>16.43</v>
      </c>
      <c r="AX48" s="121" t="n">
        <v>27.06</v>
      </c>
      <c r="AY48" s="121" t="n">
        <v>7.31</v>
      </c>
      <c r="AZ48" s="121" t="n">
        <v>-7.51</v>
      </c>
      <c r="BA48" s="121" t="n">
        <v>-6.56</v>
      </c>
      <c r="BB48" s="108" t="inlineStr">
        <is>
          <t>Hang Seng Properties sub-index</t>
        </is>
      </c>
      <c r="BC48" s="121" t="n">
        <v>-93.3</v>
      </c>
      <c r="BD48" s="109" t="n">
        <v>46297</v>
      </c>
      <c r="BE48" s="110" t="n">
        <v>885.8</v>
      </c>
      <c r="BF48" s="113" t="n">
        <v>178.8</v>
      </c>
      <c r="BG48" s="108" t="inlineStr">
        <is>
          <t>Y</t>
        </is>
      </c>
      <c r="BH48" s="123" t="n">
        <v>41.4</v>
      </c>
      <c r="BI48" s="122" t="n"/>
      <c r="BJ48" s="122" t="n"/>
      <c r="BK48" s="123" t="n">
        <v>8.4</v>
      </c>
      <c r="BL48" s="124">
        <f>IF('BBG Verify'!S48="","not filed; run on terminal",'BBG Verify'!S48)</f>
        <v/>
      </c>
      <c r="BM48" s="125" t="inlineStr">
        <is>
          <t>N</t>
        </is>
      </c>
      <c r="BN48" s="126">
        <f>IF('BBG Verify'!K48="","not filed; run on terminal",'BBG Verify'!K48)</f>
        <v/>
      </c>
      <c r="BO48" s="108" t="inlineStr">
        <is>
          <t>N/A</t>
        </is>
      </c>
      <c r="BP48" s="108" t="inlineStr">
        <is>
          <t>N/A</t>
        </is>
      </c>
      <c r="BQ48" s="108" t="inlineStr">
        <is>
          <t>N/A</t>
        </is>
      </c>
      <c r="BR48" s="108" t="inlineStr">
        <is>
          <t>N/A</t>
        </is>
      </c>
      <c r="BS48" s="108" t="inlineStr">
        <is>
          <t>N/A</t>
        </is>
      </c>
      <c r="BT48" s="108" t="inlineStr">
        <is>
          <t>N/A</t>
        </is>
      </c>
      <c r="BU48" s="125" t="inlineStr">
        <is>
          <t>UBS AG Hong Kong Branch</t>
        </is>
      </c>
      <c r="BV48" s="108" t="inlineStr">
        <is>
          <t>UBS Securities Hong Kong Limited; Merrill Lynch (Asia Pacific) Limited; Merrill Lynch Far East Limited; UBS AG Hong Kong Branch</t>
        </is>
      </c>
      <c r="BW48" s="108" t="inlineStr">
        <is>
          <t>CLSA Limited; CRIC Securities Company Limited; Futu Securities International (Hong Kong) Limited; The Hongkong and Shanghai Banking Corporation Limited; Merrill Lynch (Asia Pacific) Limited; UBS AG Hong Kong Branch</t>
        </is>
      </c>
      <c r="BX48" s="108" t="inlineStr">
        <is>
          <t>CLSA Limited; CRIC Securities Company Limited; Futu Securities International (Hong Kong) Limited; The Hongkong and Shanghai Banking Corporation Limited; Merrill Lynch (Asia Pacific) Limited; UBS AG Hong Kong Branch</t>
        </is>
      </c>
      <c r="BY48" s="127">
        <f>HYPERLINK("https://www1.hkexnews.hk/listedco/listconews/sehk/2021/0621/2021062100009.pdf","prospectus")</f>
        <v/>
      </c>
      <c r="BZ48" s="127">
        <f>HYPERLINK("https://www1.hkexnews.hk/listedco/listconews/sehk/2021/0630/2021063000308.htm","allotment")</f>
        <v/>
      </c>
      <c r="CA48" s="127">
        <f>HYPERLINK("https://www1.hkexnews.hk/listedco/listconews/sehk/2021/0726/2021072600097.pdf","stabilisation")</f>
        <v/>
      </c>
      <c r="CB48" s="128" t="n"/>
      <c r="CC48" s="108" t="inlineStr">
        <is>
          <t>allocation: allocation table not in this notice's format (older prose announcement); day-1 tape: volume on file; the retail multiple needs the final public split, which this notice does not state</t>
        </is>
      </c>
    </row>
    <row r="49" ht="22" customHeight="1">
      <c r="A49" s="107" t="inlineStr">
        <is>
          <t>2190</t>
        </is>
      </c>
      <c r="B49" s="108" t="inlineStr">
        <is>
          <t>ZYLOXTB-B</t>
        </is>
      </c>
      <c r="C49" s="108" t="inlineStr">
        <is>
          <t>歸創通橋</t>
        </is>
      </c>
      <c r="D49" s="108" t="inlineStr">
        <is>
          <t>Healthcare</t>
        </is>
      </c>
      <c r="E49" s="108" t="inlineStr">
        <is>
          <t>Medical devices</t>
        </is>
      </c>
      <c r="F49" s="108" t="inlineStr">
        <is>
          <t>Biotechnology</t>
        </is>
      </c>
      <c r="G49" s="108" t="inlineStr">
        <is>
          <t>18A</t>
        </is>
      </c>
      <c r="H49" s="109" t="n">
        <v>44382</v>
      </c>
      <c r="I49" s="110" t="n">
        <v>2562</v>
      </c>
      <c r="J49" s="108" t="inlineStr">
        <is>
          <t>gross (price x shares)</t>
        </is>
      </c>
      <c r="K49" s="111" t="n">
        <v>39.8</v>
      </c>
      <c r="L49" s="111" t="n">
        <v>42.7</v>
      </c>
      <c r="M49" s="111" t="n">
        <v>42.7</v>
      </c>
      <c r="N49" s="108" t="inlineStr">
        <is>
          <t>Y</t>
        </is>
      </c>
      <c r="O49" s="112" t="n">
        <v>100</v>
      </c>
      <c r="P49" s="112" t="n">
        <v>100</v>
      </c>
      <c r="Q49" s="113" t="n">
        <v>12317.3</v>
      </c>
      <c r="R49" s="108" t="inlineStr">
        <is>
          <t>derived:deal size / offer % of enlarged capital</t>
        </is>
      </c>
      <c r="S49" s="114" t="n">
        <v>1190.37</v>
      </c>
      <c r="T49" s="115" t="n">
        <v>22.5</v>
      </c>
      <c r="U49" s="116" t="n">
        <v>44.9</v>
      </c>
      <c r="V49" s="117" t="n">
        <v>154</v>
      </c>
      <c r="W49" s="112" t="n">
        <v>50</v>
      </c>
      <c r="X49" s="108" t="inlineStr">
        <is>
          <t>YES</t>
        </is>
      </c>
      <c r="Y49" s="113" t="n">
        <v>1411.66</v>
      </c>
      <c r="Z49" s="113" t="n">
        <v>33060000</v>
      </c>
      <c r="AA49" s="112" t="n">
        <v>11.46</v>
      </c>
      <c r="AB49" s="108" t="inlineStr">
        <is>
          <t>AIHC Capital Management Limited; Athos Capital Limited; Boyu Capital Opportunity Master Fund; Cormorant Asset Management, LP; Fidelity International; Gaoling Fund, L.P.; YHG Investment, L.P; Hudson Bay Master Fund Ltd; IvyRock Asset Management (HK) Limited; Lake Bleu Prime Healthcare Master Fund Limited; Octagon Investments Master Fund LP; Sage Partners Master Fund; Snow Lake China Master Fund, Ltd</t>
        </is>
      </c>
      <c r="AC49" s="108" t="inlineStr">
        <is>
          <t>aihc;athos;boyu;cormorant;fidelity;gaoling;yhg;hudson;ivyrock;lake;octagon;sage;snow</t>
        </is>
      </c>
      <c r="AD49" s="112" t="n">
        <v>15.94</v>
      </c>
      <c r="AE49" s="108" t="inlineStr">
        <is>
          <t>full</t>
        </is>
      </c>
      <c r="AF49" s="108" t="inlineStr">
        <is>
          <t>2021-07-25</t>
        </is>
      </c>
      <c r="AG49" s="108" t="inlineStr">
        <is>
          <t>Morgan Stanley Asia Limited</t>
        </is>
      </c>
      <c r="AH49" s="108" t="inlineStr">
        <is>
          <t>Morgan Stanley</t>
        </is>
      </c>
      <c r="AI49" s="120" t="n">
        <v>30.21</v>
      </c>
      <c r="AJ49" s="121" t="n">
        <v>40.52</v>
      </c>
      <c r="AK49" s="121" t="n">
        <v>-0.55</v>
      </c>
      <c r="AL49" s="121" t="n">
        <v>28.81</v>
      </c>
      <c r="AM49" s="121" t="n">
        <v>9.09</v>
      </c>
      <c r="AN49" s="123" t="n">
        <v>1.97</v>
      </c>
      <c r="AO49" s="112" t="n">
        <v>18.73</v>
      </c>
      <c r="AP49" s="121" t="n">
        <v>29.51</v>
      </c>
      <c r="AQ49" s="121" t="n">
        <v>8.67</v>
      </c>
      <c r="AR49" s="121" t="n">
        <v>-1.64</v>
      </c>
      <c r="AS49" s="121" t="n">
        <v>-7.84</v>
      </c>
      <c r="AT49" s="121" t="n">
        <v>-22.67</v>
      </c>
      <c r="AU49" s="121" t="n">
        <v>-30</v>
      </c>
      <c r="AV49" s="121" t="n">
        <v>30.01</v>
      </c>
      <c r="AW49" s="121" t="n">
        <v>9.76</v>
      </c>
      <c r="AX49" s="121" t="n">
        <v>14.7</v>
      </c>
      <c r="AY49" s="121" t="n">
        <v>-22.14</v>
      </c>
      <c r="AZ49" s="121" t="n">
        <v>-1.09</v>
      </c>
      <c r="BA49" s="121" t="n">
        <v>-0.53</v>
      </c>
      <c r="BB49" s="108" t="inlineStr">
        <is>
          <t>China Biotech ETF (HS biotech proxy)</t>
        </is>
      </c>
      <c r="BC49" s="121" t="n">
        <v>-49.79</v>
      </c>
      <c r="BD49" s="109" t="n">
        <v>46297</v>
      </c>
      <c r="BE49" s="110" t="n">
        <v>30.4</v>
      </c>
      <c r="BF49" s="113" t="n">
        <v>-110.5</v>
      </c>
      <c r="BG49" s="108" t="inlineStr">
        <is>
          <t>N</t>
        </is>
      </c>
      <c r="BH49" s="108" t="inlineStr">
        <is>
          <t>n/m</t>
        </is>
      </c>
      <c r="BI49" s="122" t="n"/>
      <c r="BJ49" s="123" t="n">
        <v>22.4</v>
      </c>
      <c r="BK49" s="123" t="n">
        <v>405.2</v>
      </c>
      <c r="BL49" s="124">
        <f>IF('BBG Verify'!S49="","not filed; run on terminal",'BBG Verify'!S49)</f>
        <v/>
      </c>
      <c r="BM49" s="125" t="inlineStr">
        <is>
          <t>N</t>
        </is>
      </c>
      <c r="BN49" s="126">
        <f>IF('BBG Verify'!K49="","not filed; run on terminal",'BBG Verify'!K49)</f>
        <v/>
      </c>
      <c r="BO49" s="108" t="inlineStr">
        <is>
          <t>N/A</t>
        </is>
      </c>
      <c r="BP49" s="108" t="inlineStr">
        <is>
          <t>N/A</t>
        </is>
      </c>
      <c r="BQ49" s="108" t="inlineStr">
        <is>
          <t>N/A</t>
        </is>
      </c>
      <c r="BR49" s="108" t="inlineStr">
        <is>
          <t>N/A</t>
        </is>
      </c>
      <c r="BS49" s="108" t="inlineStr">
        <is>
          <t>N/A</t>
        </is>
      </c>
      <c r="BT49" s="108" t="inlineStr">
        <is>
          <t>N/A</t>
        </is>
      </c>
      <c r="BU49" s="125" t="inlineStr">
        <is>
          <t>Morgan Stanley Asia Limited; CLSA Capital Markets Limited</t>
        </is>
      </c>
      <c r="BV49" s="108" t="inlineStr">
        <is>
          <t>Morgan Stanley Asia Limited; CLSA Capital Markets Limited</t>
        </is>
      </c>
      <c r="BW49" s="108" t="inlineStr">
        <is>
          <t>Morgan Stanley Asia Limited; CLSA Limited; China Industrial Securities International Capital Limited; Essence International Securities (Hong Kong) Limited; ICBC International Capital Limited; CMB International Capital Limited; Morgan Stanley &amp; Co. International plc; London E14 4QA United Kingdom CLSA Limited</t>
        </is>
      </c>
      <c r="BX49" s="108" t="inlineStr">
        <is>
          <t>China Industrial Securities International Capital Limited; CLSA Limited; CMB International Capital Limited; Essence International Securities (Hong Kong) Limited; ICBC International Securities Limited; Morgan Stanley Asia Limited</t>
        </is>
      </c>
      <c r="BY49" s="127">
        <f>HYPERLINK("https://www1.hkexnews.hk/listedco/listconews/sehk/2021/0622/2021062200009.pdf","prospectus")</f>
        <v/>
      </c>
      <c r="BZ49" s="127">
        <f>HYPERLINK("https://www1.hkexnews.hk/listedco/listconews/sehk/2021/0702/2021070200028.htm","allotment")</f>
        <v/>
      </c>
      <c r="CA49" s="127">
        <f>HYPERLINK("https://www1.hkexnews.hk/listedco/listconews/sehk/2021/0726/2021072601655.pdf","stabilisation")</f>
        <v/>
      </c>
      <c r="CB49" s="128" t="n"/>
      <c r="CC49" s="108" t="inlineStr">
        <is>
          <t>P/E: loss-making at IPO, use P/S; market cap: prospectus 'market capitalisation' line is the listing-rule threshold, not the issuer's figure; rejected; P/S: 405x on HK$30.4m revenue, effectively pre-revenue; not comparable</t>
        </is>
      </c>
    </row>
    <row r="50" ht="22" customHeight="1">
      <c r="A50" s="107" t="inlineStr">
        <is>
          <t>2219</t>
        </is>
      </c>
      <c r="B50" s="108" t="inlineStr">
        <is>
          <t>CHAOJU EYE CARE</t>
        </is>
      </c>
      <c r="C50" s="108" t="inlineStr">
        <is>
          <t>朝聚眼科</t>
        </is>
      </c>
      <c r="D50" s="108" t="inlineStr">
        <is>
          <t>Healthcare</t>
        </is>
      </c>
      <c r="E50" s="108" t="inlineStr">
        <is>
          <t>Hospitals / clinics</t>
        </is>
      </c>
      <c r="F50" s="108" t="inlineStr">
        <is>
          <t>Health Care Services</t>
        </is>
      </c>
      <c r="G50" s="108" t="inlineStr">
        <is>
          <t>Standard</t>
        </is>
      </c>
      <c r="H50" s="109" t="n">
        <v>44384</v>
      </c>
      <c r="I50" s="110" t="n">
        <v>1811.9</v>
      </c>
      <c r="J50" s="108" t="inlineStr">
        <is>
          <t>gross (price x shares)</t>
        </is>
      </c>
      <c r="K50" s="111" t="n">
        <v>9.48</v>
      </c>
      <c r="L50" s="111" t="n">
        <v>10.6</v>
      </c>
      <c r="M50" s="111" t="n">
        <v>10.6</v>
      </c>
      <c r="N50" s="108" t="inlineStr">
        <is>
          <t>Y</t>
        </is>
      </c>
      <c r="O50" s="112" t="n">
        <v>100</v>
      </c>
      <c r="P50" s="112" t="n">
        <v>100</v>
      </c>
      <c r="Q50" s="113" t="n">
        <v>7288.4</v>
      </c>
      <c r="R50" s="108" t="inlineStr">
        <is>
          <t>derived:deal size / offer % of enlarged capital</t>
        </is>
      </c>
      <c r="S50" s="114" t="n">
        <v>113.97</v>
      </c>
      <c r="T50" s="115" t="n">
        <v>17.83</v>
      </c>
      <c r="U50" s="116" t="n">
        <v>49.4</v>
      </c>
      <c r="V50" s="117" t="n">
        <v>115</v>
      </c>
      <c r="W50" s="112" t="n">
        <v>50</v>
      </c>
      <c r="X50" s="108" t="inlineStr">
        <is>
          <t>YES</t>
        </is>
      </c>
      <c r="Y50" s="113" t="n">
        <v>916.8200000000001</v>
      </c>
      <c r="Z50" s="113" t="n">
        <v>86490580</v>
      </c>
      <c r="AA50" s="112" t="n">
        <v>12.58</v>
      </c>
      <c r="AB50" s="108" t="inlineStr">
        <is>
          <t>Fullgoal Fund Management Co., Ltd; Gigantic Wealth Holdings Limited; GT Cedar Capital (Hong Kong) Limited; The Valliance Fund</t>
        </is>
      </c>
      <c r="AC50" s="108" t="inlineStr">
        <is>
          <t>fullgoal;gigantic;gt;valliance</t>
        </is>
      </c>
      <c r="AD50" s="112" t="n">
        <v>15</v>
      </c>
      <c r="AE50" s="108" t="inlineStr">
        <is>
          <t>full</t>
        </is>
      </c>
      <c r="AF50" s="108" t="inlineStr">
        <is>
          <t>2021-07-29</t>
        </is>
      </c>
      <c r="AG50" s="108" t="inlineStr">
        <is>
          <t>Haitong International Securities Company Limited</t>
        </is>
      </c>
      <c r="AH50" s="108" t="inlineStr">
        <is>
          <t>Haitong</t>
        </is>
      </c>
      <c r="AI50" s="120" t="n">
        <v>2.08</v>
      </c>
      <c r="AJ50" s="121" t="n">
        <v>33.02</v>
      </c>
      <c r="AK50" s="121" t="n">
        <v>2.08</v>
      </c>
      <c r="AL50" s="121" t="n">
        <v>0</v>
      </c>
      <c r="AM50" s="121" t="n">
        <v>33.02</v>
      </c>
      <c r="AN50" s="123" t="n">
        <v>1.94</v>
      </c>
      <c r="AO50" s="112" t="n">
        <v>53.77</v>
      </c>
      <c r="AP50" s="121" t="n">
        <v>44.34</v>
      </c>
      <c r="AQ50" s="121" t="n">
        <v>25.47</v>
      </c>
      <c r="AR50" s="121" t="n">
        <v>-10.47</v>
      </c>
      <c r="AS50" s="121" t="n">
        <v>8.51</v>
      </c>
      <c r="AT50" s="121" t="n">
        <v>-5.68</v>
      </c>
      <c r="AU50" s="121" t="n">
        <v>-32.69</v>
      </c>
      <c r="AV50" s="121" t="n">
        <v>39.55</v>
      </c>
      <c r="AW50" s="121" t="n">
        <v>21.82</v>
      </c>
      <c r="AX50" s="121" t="n">
        <v>2.92</v>
      </c>
      <c r="AY50" s="121" t="n">
        <v>-7.22</v>
      </c>
      <c r="AZ50" s="121" t="n">
        <v>3.65</v>
      </c>
      <c r="BA50" s="121" t="n">
        <v>1.54</v>
      </c>
      <c r="BB50" s="108" t="inlineStr">
        <is>
          <t>China Biotech ETF (HS biotech proxy)</t>
        </is>
      </c>
      <c r="BC50" s="121" t="n">
        <v>-77.41</v>
      </c>
      <c r="BD50" s="109" t="n">
        <v>46297</v>
      </c>
      <c r="BE50" s="110" t="n">
        <v>873.7</v>
      </c>
      <c r="BF50" s="113" t="n">
        <v>132.6</v>
      </c>
      <c r="BG50" s="108" t="inlineStr">
        <is>
          <t>Y</t>
        </is>
      </c>
      <c r="BH50" s="123" t="n">
        <v>55</v>
      </c>
      <c r="BI50" s="122" t="n"/>
      <c r="BJ50" s="123" t="n">
        <v>8.5</v>
      </c>
      <c r="BK50" s="123" t="n">
        <v>8.300000000000001</v>
      </c>
      <c r="BL50" s="124">
        <f>IF('BBG Verify'!S50="","not filed; run on terminal",'BBG Verify'!S50)</f>
        <v/>
      </c>
      <c r="BM50" s="125" t="inlineStr">
        <is>
          <t>N</t>
        </is>
      </c>
      <c r="BN50" s="126">
        <f>IF('BBG Verify'!K50="","not filed; run on terminal",'BBG Verify'!K50)</f>
        <v/>
      </c>
      <c r="BO50" s="108" t="inlineStr">
        <is>
          <t>N/A</t>
        </is>
      </c>
      <c r="BP50" s="108" t="inlineStr">
        <is>
          <t>N/A</t>
        </is>
      </c>
      <c r="BQ50" s="108" t="inlineStr">
        <is>
          <t>N/A</t>
        </is>
      </c>
      <c r="BR50" s="108" t="inlineStr">
        <is>
          <t>N/A</t>
        </is>
      </c>
      <c r="BS50" s="108" t="inlineStr">
        <is>
          <t>N/A</t>
        </is>
      </c>
      <c r="BT50" s="108" t="inlineStr">
        <is>
          <t>N/A</t>
        </is>
      </c>
      <c r="BU50" s="125" t="inlineStr">
        <is>
          <t>Haitong International Capital Limited; Industrial and Commercial Bank of China (Asia) Limited; Hong Kong Share Registrar Computershare Hong Kong Investor Services Limited; Industrial and Commercial Bank of China Co., Ltd., Xiamen Xinglin Branch</t>
        </is>
      </c>
      <c r="BV50" s="108" t="inlineStr">
        <is>
          <t>Haitong International Capital Limited; Huatai Financial Holdings (Hong Kong) Limited</t>
        </is>
      </c>
      <c r="BW50" s="108" t="inlineStr">
        <is>
          <t>Huatai Financial Holdings (Hong Kong) Limited; Haitong International Securities Company Limited</t>
        </is>
      </c>
      <c r="BX50" s="108" t="inlineStr">
        <is>
          <t>Huatai Financial Holdings (Hong Kong) Limited; Haitong International Securities Company Limited</t>
        </is>
      </c>
      <c r="BY50" s="127">
        <f>HYPERLINK("https://www1.hkexnews.hk/listedco/listconews/sehk/2021/0624/2021062400013.pdf","prospectus")</f>
        <v/>
      </c>
      <c r="BZ50" s="127">
        <f>HYPERLINK("https://www1.hkexnews.hk/listedco/listconews/sehk/2021/0706/2021070600016.htm","allotment")</f>
        <v/>
      </c>
      <c r="CA50" s="127">
        <f>HYPERLINK("https://www1.hkexnews.hk/listedco/listconews/sehk/2021/0729/2021072901513.pdf","stabilisation")</f>
        <v/>
      </c>
      <c r="CB50" s="128" t="n"/>
      <c r="CC50" s="108" t="inlineStr"/>
    </row>
    <row r="51" ht="22" customHeight="1">
      <c r="A51" s="107" t="inlineStr">
        <is>
          <t>9868</t>
        </is>
      </c>
      <c r="B51" s="108" t="inlineStr">
        <is>
          <t>XPENG-W</t>
        </is>
      </c>
      <c r="C51" s="108" t="inlineStr">
        <is>
          <t>小鵬集團－Ｗ</t>
        </is>
      </c>
      <c r="D51" s="108" t="inlineStr">
        <is>
          <t>Consumer</t>
        </is>
      </c>
      <c r="E51" s="108" t="inlineStr">
        <is>
          <t>Autos (NEV OEM)</t>
        </is>
      </c>
      <c r="F51" s="108" t="inlineStr">
        <is>
          <t>Automobile Manufacturers</t>
        </is>
      </c>
      <c r="G51" s="108" t="inlineStr">
        <is>
          <t>WVR</t>
        </is>
      </c>
      <c r="H51" s="109" t="n">
        <v>44384</v>
      </c>
      <c r="I51" s="110" t="n">
        <v>14025</v>
      </c>
      <c r="J51" s="108" t="inlineStr">
        <is>
          <t>gross (price x shares)</t>
        </is>
      </c>
      <c r="K51" s="129" t="n"/>
      <c r="L51" s="111" t="n">
        <v>180</v>
      </c>
      <c r="M51" s="111" t="n">
        <v>165</v>
      </c>
      <c r="N51" s="108" t="inlineStr">
        <is>
          <t>N</t>
        </is>
      </c>
      <c r="O51" s="112" t="n">
        <v>91.7</v>
      </c>
      <c r="P51" s="118" t="n"/>
      <c r="Q51" s="113" t="n">
        <v>270000</v>
      </c>
      <c r="R51" s="108" t="inlineStr">
        <is>
          <t>press:sina 2021-07-07: 市值超2700亿港元 | FINANCIALS (RMB x1.1): XPeng FY2020 PR: total revenues RMB5,844.3m, net loss RMB2,732.0m</t>
        </is>
      </c>
      <c r="S51" s="114" t="n">
        <v>14.73</v>
      </c>
      <c r="T51" s="115" t="n">
        <v>2.36</v>
      </c>
      <c r="U51" s="116" t="n">
        <v>0</v>
      </c>
      <c r="V51" s="117" t="n">
        <v>127</v>
      </c>
      <c r="W51" s="118" t="n"/>
      <c r="X51" s="119" t="n"/>
      <c r="Y51" s="113" t="n">
        <v>14025</v>
      </c>
      <c r="Z51" s="113" t="n">
        <v>85000000</v>
      </c>
      <c r="AA51" s="112" t="n">
        <v>5.19</v>
      </c>
      <c r="AB51" s="108" t="inlineStr">
        <is>
          <t>none — no cornerstone tranche</t>
        </is>
      </c>
      <c r="AC51" s="108" t="inlineStr">
        <is>
          <t>none</t>
        </is>
      </c>
      <c r="AD51" s="112" t="n">
        <v>7.5</v>
      </c>
      <c r="AE51" s="108" t="inlineStr">
        <is>
          <t>partial</t>
        </is>
      </c>
      <c r="AF51" s="119" t="n"/>
      <c r="AG51" s="108" t="inlineStr">
        <is>
          <t>J.P. Morgan Securities</t>
        </is>
      </c>
      <c r="AH51" s="108" t="inlineStr">
        <is>
          <t>JP Morgan</t>
        </is>
      </c>
      <c r="AI51" s="120" t="n">
        <v>-0.42</v>
      </c>
      <c r="AJ51" s="121" t="n">
        <v>0</v>
      </c>
      <c r="AK51" s="121" t="n">
        <v>-0.16</v>
      </c>
      <c r="AL51" s="121" t="n">
        <v>1.82</v>
      </c>
      <c r="AM51" s="121" t="n">
        <v>-1.79</v>
      </c>
      <c r="AN51" s="122" t="n"/>
      <c r="AO51" s="112" t="n">
        <v>5.48</v>
      </c>
      <c r="AP51" s="121" t="n">
        <v>-8.48</v>
      </c>
      <c r="AQ51" s="121" t="n">
        <v>-0.12</v>
      </c>
      <c r="AR51" s="121" t="n">
        <v>-17.7</v>
      </c>
      <c r="AS51" s="121" t="n">
        <v>-8.48</v>
      </c>
      <c r="AT51" s="121" t="n">
        <v>-0.12</v>
      </c>
      <c r="AU51" s="121" t="n">
        <v>-17.7</v>
      </c>
      <c r="AV51" s="121" t="n">
        <v>-8.69</v>
      </c>
      <c r="AW51" s="121" t="n">
        <v>8.289999999999999</v>
      </c>
      <c r="AX51" s="121" t="n">
        <v>0.82</v>
      </c>
      <c r="AY51" s="121" t="n">
        <v>8.15</v>
      </c>
      <c r="AZ51" s="121" t="n">
        <v>-8.41</v>
      </c>
      <c r="BA51" s="121" t="n">
        <v>-8.27</v>
      </c>
      <c r="BB51" s="108" t="inlineStr">
        <is>
          <t>Hang Seng Commerce &amp; Industry sub-index</t>
        </is>
      </c>
      <c r="BC51" s="121" t="n">
        <v>-77.95999999999999</v>
      </c>
      <c r="BD51" s="109" t="n">
        <v>46297</v>
      </c>
      <c r="BE51" s="110" t="n">
        <v>6428.7</v>
      </c>
      <c r="BF51" s="113" t="n">
        <v>-3005.2</v>
      </c>
      <c r="BG51" s="108" t="inlineStr">
        <is>
          <t>N</t>
        </is>
      </c>
      <c r="BH51" s="108" t="inlineStr">
        <is>
          <t>n/m</t>
        </is>
      </c>
      <c r="BI51" s="122" t="n"/>
      <c r="BJ51" s="122" t="n"/>
      <c r="BK51" s="123" t="n">
        <v>42</v>
      </c>
      <c r="BL51" s="124">
        <f>IF('BBG Verify'!S51="","not filed; run on terminal",'BBG Verify'!S51)</f>
        <v/>
      </c>
      <c r="BM51" s="125" t="inlineStr">
        <is>
          <t>N</t>
        </is>
      </c>
      <c r="BN51" s="126">
        <f>IF('BBG Verify'!K51="","not filed; run on terminal",'BBG Verify'!K51)</f>
        <v/>
      </c>
      <c r="BO51" s="108" t="inlineStr">
        <is>
          <t>N/A</t>
        </is>
      </c>
      <c r="BP51" s="108" t="inlineStr">
        <is>
          <t>N/A</t>
        </is>
      </c>
      <c r="BQ51" s="108" t="inlineStr">
        <is>
          <t>N/A</t>
        </is>
      </c>
      <c r="BR51" s="108" t="inlineStr">
        <is>
          <t>N/A</t>
        </is>
      </c>
      <c r="BS51" s="108" t="inlineStr">
        <is>
          <t>N/A</t>
        </is>
      </c>
      <c r="BT51" s="108" t="inlineStr">
        <is>
          <t>N/A</t>
        </is>
      </c>
      <c r="BU51" s="125" t="inlineStr">
        <is>
          <t>J.P. Morgan Securities (Far East) Limited; Merrill Lynch (Asia Pacific) Limited; J.P. Morgan Securities (Asia Pacific) Limited; Citigroup Global Markets Asia Limited</t>
        </is>
      </c>
      <c r="BV51" s="108" t="inlineStr">
        <is>
          <t>J.P. Morgan Securities (Far East) Limited; Merrill Lynch (Asia Pacific) Limited</t>
        </is>
      </c>
      <c r="BW51" s="108" t="inlineStr">
        <is>
          <t>J.P. Morgan Securities (Asia Pacific) Limited; Merrill Lynch (Asia Pacific) Limited; Citigroup Global Markets Asia Limited; CLSA Limited; J.P. Morgan Securities plc; Canary Wharf London E14 5JP United Kingdom J.P. Morgan Securities LLC; Citigroup Global Markets Limited; ABCI Capital Limited; ABCI Securities Company Limited</t>
        </is>
      </c>
      <c r="BX51" s="108" t="inlineStr">
        <is>
          <t>ABCI Securities Company Limited; BOCI Asia Limited; Citigroup Global Markets Asia Limited; CLSA Limited; Futu Securities International (Hong Kong) Limited; J.P. Morgan Securities (Asia Pacific) Limited; Merrill Lynch (Asia Pacific) Limited</t>
        </is>
      </c>
      <c r="BY51" s="127">
        <f>HYPERLINK("https://www1.hkexnews.hk/listedco/listconews/sehk/2021/0625/2021062500039.pdf","prospectus")</f>
        <v/>
      </c>
      <c r="BZ51" s="127">
        <f>HYPERLINK("https://www1.hkexnews.hk/listedco/listconews/sehk/2021/0706/2021070600032.htm","allotment")</f>
        <v/>
      </c>
      <c r="CA51" s="127">
        <f>HYPERLINK("https://www1.hkexnews.hk/listedco/listconews/sehk/2021/0730/2021073001378.pdf","stabilisation")</f>
        <v/>
      </c>
      <c r="CB51" s="128" t="n"/>
      <c r="CC51" s="108" t="inlineStr">
        <is>
          <t>P/E: loss-making at IPO, use P/S; greenshoe: outcome published; expiry date not in the notice; range low: maximum offer price only, no floor published; cornerstone list: no cornerstone tranche; allocation: allocation table not in this notice's format (older prose announcement); day-1 tape: volume on file; the retail multiple needs the final public split, which this notice does not state</t>
        </is>
      </c>
    </row>
    <row r="52" ht="22" customHeight="1">
      <c r="A52" s="107" t="inlineStr">
        <is>
          <t>1965</t>
        </is>
      </c>
      <c r="B52" s="108" t="inlineStr">
        <is>
          <t>LANDSEA LIFE</t>
        </is>
      </c>
      <c r="C52" s="108" t="inlineStr">
        <is>
          <t>朗詩綠色生活</t>
        </is>
      </c>
      <c r="D52" s="108" t="inlineStr">
        <is>
          <t>Real Estate</t>
        </is>
      </c>
      <c r="E52" s="108" t="inlineStr">
        <is>
          <t>Property management</t>
        </is>
      </c>
      <c r="F52" s="108" t="inlineStr">
        <is>
          <t>Property Service and Management</t>
        </is>
      </c>
      <c r="G52" s="108" t="inlineStr">
        <is>
          <t>Standard</t>
        </is>
      </c>
      <c r="H52" s="109" t="n">
        <v>44385</v>
      </c>
      <c r="I52" s="110" t="n">
        <v>318</v>
      </c>
      <c r="J52" s="108" t="inlineStr">
        <is>
          <t>gross (price x shares)</t>
        </is>
      </c>
      <c r="K52" s="111" t="n">
        <v>2.86</v>
      </c>
      <c r="L52" s="111" t="n">
        <v>4.16</v>
      </c>
      <c r="M52" s="111" t="n">
        <v>3.18</v>
      </c>
      <c r="N52" s="108" t="inlineStr">
        <is>
          <t>N</t>
        </is>
      </c>
      <c r="O52" s="112" t="n">
        <v>76.40000000000001</v>
      </c>
      <c r="P52" s="112" t="n">
        <v>24.6</v>
      </c>
      <c r="Q52" s="113" t="n">
        <v>1583</v>
      </c>
      <c r="R52" s="108" t="inlineStr">
        <is>
          <t>aastocks:上市市值 at the struck price</t>
        </is>
      </c>
      <c r="S52" s="114" t="n">
        <v>8.01</v>
      </c>
      <c r="T52" s="115" t="n">
        <v>1.25</v>
      </c>
      <c r="U52" s="116" t="n">
        <v>24.5</v>
      </c>
      <c r="V52" s="117" t="n">
        <v>138</v>
      </c>
      <c r="W52" s="118" t="n"/>
      <c r="X52" s="119" t="n"/>
      <c r="Y52" s="113" t="n">
        <v>240.09</v>
      </c>
      <c r="Z52" s="113" t="n">
        <v>75500000</v>
      </c>
      <c r="AA52" s="112" t="n">
        <v>15.17</v>
      </c>
      <c r="AB52" s="108" t="inlineStr">
        <is>
          <t>CURA International (Hong Kong) Investment Management Company Limited</t>
        </is>
      </c>
      <c r="AC52" s="108" t="inlineStr">
        <is>
          <t>cura</t>
        </is>
      </c>
      <c r="AD52" s="112" t="n">
        <v>10</v>
      </c>
      <c r="AE52" s="108" t="inlineStr">
        <is>
          <t>partial</t>
        </is>
      </c>
      <c r="AF52" s="108" t="inlineStr">
        <is>
          <t>2021-07-30</t>
        </is>
      </c>
      <c r="AG52" s="108" t="inlineStr">
        <is>
          <t>Haitong International Securities Company Limited</t>
        </is>
      </c>
      <c r="AH52" s="108" t="inlineStr">
        <is>
          <t>Haitong</t>
        </is>
      </c>
      <c r="AI52" s="120" t="n">
        <v>66.67</v>
      </c>
      <c r="AJ52" s="121" t="n">
        <v>41.51</v>
      </c>
      <c r="AK52" s="121" t="n">
        <v>-1.47</v>
      </c>
      <c r="AL52" s="121" t="n">
        <v>88.68000000000001</v>
      </c>
      <c r="AM52" s="121" t="n">
        <v>-25</v>
      </c>
      <c r="AN52" s="122" t="n"/>
      <c r="AO52" s="112" t="n">
        <v>51.67</v>
      </c>
      <c r="AP52" s="121" t="n">
        <v>2.52</v>
      </c>
      <c r="AQ52" s="121" t="n">
        <v>0</v>
      </c>
      <c r="AR52" s="121" t="n">
        <v>3.77</v>
      </c>
      <c r="AS52" s="121" t="n">
        <v>-27.55</v>
      </c>
      <c r="AT52" s="121" t="n">
        <v>-29.33</v>
      </c>
      <c r="AU52" s="121" t="n">
        <v>-26.67</v>
      </c>
      <c r="AV52" s="121" t="n">
        <v>2.52</v>
      </c>
      <c r="AW52" s="121" t="n">
        <v>9.33</v>
      </c>
      <c r="AX52" s="121" t="n">
        <v>15.35</v>
      </c>
      <c r="AY52" s="121" t="n">
        <v>-21.36</v>
      </c>
      <c r="AZ52" s="121" t="n">
        <v>-9.33</v>
      </c>
      <c r="BA52" s="121" t="n">
        <v>-7.97</v>
      </c>
      <c r="BB52" s="108" t="inlineStr">
        <is>
          <t>Hang Seng Properties sub-index</t>
        </is>
      </c>
      <c r="BC52" s="121" t="n">
        <v>-95.72</v>
      </c>
      <c r="BD52" s="109" t="n">
        <v>46297</v>
      </c>
      <c r="BE52" s="110" t="n">
        <v>131.9</v>
      </c>
      <c r="BF52" s="113" t="n">
        <v>72.09999999999999</v>
      </c>
      <c r="BG52" s="108" t="inlineStr">
        <is>
          <t>Y</t>
        </is>
      </c>
      <c r="BH52" s="123" t="n">
        <v>22</v>
      </c>
      <c r="BI52" s="122" t="n"/>
      <c r="BJ52" s="123" t="n">
        <v>1.9</v>
      </c>
      <c r="BK52" s="123" t="n">
        <v>12</v>
      </c>
      <c r="BL52" s="124">
        <f>IF('BBG Verify'!S52="","not filed; run on terminal",'BBG Verify'!S52)</f>
        <v/>
      </c>
      <c r="BM52" s="125" t="inlineStr">
        <is>
          <t>N</t>
        </is>
      </c>
      <c r="BN52" s="126">
        <f>IF('BBG Verify'!K52="","not filed; run on terminal",'BBG Verify'!K52)</f>
        <v/>
      </c>
      <c r="BO52" s="108" t="inlineStr">
        <is>
          <t>N/A</t>
        </is>
      </c>
      <c r="BP52" s="108" t="inlineStr">
        <is>
          <t>N/A</t>
        </is>
      </c>
      <c r="BQ52" s="108" t="inlineStr">
        <is>
          <t>N/A</t>
        </is>
      </c>
      <c r="BR52" s="108" t="inlineStr">
        <is>
          <t>N/A</t>
        </is>
      </c>
      <c r="BS52" s="108" t="inlineStr">
        <is>
          <t>N/A</t>
        </is>
      </c>
      <c r="BT52" s="108" t="inlineStr">
        <is>
          <t>N/A</t>
        </is>
      </c>
      <c r="BU52" s="125" t="inlineStr">
        <is>
          <t>Haitong International Capital Limited</t>
        </is>
      </c>
      <c r="BV52" s="108" t="inlineStr">
        <is>
          <t>Haitong International Capital Limited</t>
        </is>
      </c>
      <c r="BW52" s="108" t="inlineStr">
        <is>
          <t>Beta International Securities Limited; CCB International Capital Limited; China Industrial Securities International Capital Limited; CLSA Limited; CMB International Capital Corporation Limited; CRIC Securities Company Limited; Essence International Securities (Hong Kong) Limited; Futu Securities International (Hong Kong) Limited; Haitong International Securities Company Limited; Maxa Capital Limited; Orient Securities (Hong Kong) Limited; Sunfund Securities Limited</t>
        </is>
      </c>
      <c r="BX52" s="108" t="inlineStr">
        <is>
          <t>Beta International Securities Limited; CCB International Capital Limited; China Industrial Securities International Capital Limited; CLSA Limited; CMB International Capital Corporation Limited; CRIC Securities Company Limited; Essence International Securities (Hong Kong) Limited; Futu Securities International (Hong Kong) Limited; Haitong International Securities Company Limited; Maxa Capital Limited; Orient Securities (Hong Kong) Limited; Sunfund Securities Limited</t>
        </is>
      </c>
      <c r="BY52" s="127">
        <f>HYPERLINK("https://www1.hkexnews.hk/listedco/listconews/sehk/2021/0625/2021062500057.pdf","prospectus")</f>
        <v/>
      </c>
      <c r="BZ52" s="127">
        <f>HYPERLINK("https://www1.hkexnews.hk/listedco/listconews/sehk/2021/0707/2021070700022.htm","allotment")</f>
        <v/>
      </c>
      <c r="CA52" s="127">
        <f>HYPERLINK("https://www1.hkexnews.hk/listedco/listconews/sehk/2021/0730/2021073001922.pdf","stabilisation")</f>
        <v/>
      </c>
      <c r="CB52" s="128" t="n"/>
      <c r="CC52" s="108" t="inlineStr">
        <is>
          <t>market cap: published listing cap used; the estimate from deal size / offer % of enlarged capital disagreed; cornerstone: table parse 76% rejected (institutional total implies 25%); the AAStocks institutional total used; allocation: allocation table not in this notice's format (older prose announcement); day-1 tape: volume on file; the retail multiple needs the final public split, which this notice does not state</t>
        </is>
      </c>
    </row>
    <row r="53" ht="22" customHeight="1">
      <c r="A53" s="107" t="inlineStr">
        <is>
          <t>2162</t>
        </is>
      </c>
      <c r="B53" s="108" t="inlineStr">
        <is>
          <t>KEYMED BIO-B</t>
        </is>
      </c>
      <c r="C53" s="108" t="inlineStr">
        <is>
          <t>康諾亞－Ｂ</t>
        </is>
      </c>
      <c r="D53" s="108" t="inlineStr">
        <is>
          <t>Healthcare</t>
        </is>
      </c>
      <c r="E53" s="108" t="inlineStr">
        <is>
          <t>Biotech pre-revenue (18A)</t>
        </is>
      </c>
      <c r="F53" s="108" t="inlineStr">
        <is>
          <t>Biotechnology</t>
        </is>
      </c>
      <c r="G53" s="108" t="inlineStr">
        <is>
          <t>18A</t>
        </is>
      </c>
      <c r="H53" s="109" t="n">
        <v>44385</v>
      </c>
      <c r="I53" s="110" t="n">
        <v>3105.5</v>
      </c>
      <c r="J53" s="108" t="inlineStr">
        <is>
          <t>gross (price x shares)</t>
        </is>
      </c>
      <c r="K53" s="111" t="n">
        <v>50.5</v>
      </c>
      <c r="L53" s="111" t="n">
        <v>53.3</v>
      </c>
      <c r="M53" s="111" t="n">
        <v>53.3</v>
      </c>
      <c r="N53" s="108" t="inlineStr">
        <is>
          <t>Y</t>
        </is>
      </c>
      <c r="O53" s="112" t="n">
        <v>100</v>
      </c>
      <c r="P53" s="112" t="n">
        <v>100</v>
      </c>
      <c r="Q53" s="113" t="n">
        <v>13685.3</v>
      </c>
      <c r="R53" s="108" t="inlineStr">
        <is>
          <t>prospectus:stated market capitalisation</t>
        </is>
      </c>
      <c r="S53" s="114" t="n">
        <v>429.97</v>
      </c>
      <c r="T53" s="115" t="n">
        <v>21.9</v>
      </c>
      <c r="U53" s="116" t="n">
        <v>20</v>
      </c>
      <c r="V53" s="117" t="n">
        <v>158</v>
      </c>
      <c r="W53" s="112" t="n">
        <v>50</v>
      </c>
      <c r="X53" s="108" t="inlineStr">
        <is>
          <t>YES</t>
        </is>
      </c>
      <c r="Y53" s="113" t="n">
        <v>2484.4</v>
      </c>
      <c r="Z53" s="113" t="n">
        <v>46611600</v>
      </c>
      <c r="AA53" s="112" t="n">
        <v>18.15</v>
      </c>
      <c r="AB53" s="108" t="inlineStr">
        <is>
          <t>Aranda Investments Pte. Ltd; Boyu Capital Opportunities Master Fund; Double Joy Ventures Limited; Dragon Merit Holdings Limited; Hillhouse Capital Advisors, Ltd; Hudson Bay Master Fund Ltd; Invesco Ltd; Janchor Partners Pan-Asian Master Fund; Lake Bleu Prime Healthcare Master Fund Limited; LAV Group; Octagon Investments Master Fund LP; Sage Partners Master Fund; Springhill Master Fund Limited; UBS Asset Management (Singapore) Ltd; Yi Fang Da Sirius Inv. Limited</t>
        </is>
      </c>
      <c r="AC53" s="108" t="inlineStr">
        <is>
          <t>aranda;boyu;double;dragon;hillhouse;hudson;invesco;janchor;lake;lav;octagon;sage;springhill;ubs;yi</t>
        </is>
      </c>
      <c r="AD53" s="112" t="n">
        <v>10.78</v>
      </c>
      <c r="AE53" s="108" t="inlineStr">
        <is>
          <t>full</t>
        </is>
      </c>
      <c r="AF53" s="108" t="inlineStr">
        <is>
          <t>2021-07-30</t>
        </is>
      </c>
      <c r="AG53" s="108" t="inlineStr">
        <is>
          <t>Morgan Stanley Asia Limited</t>
        </is>
      </c>
      <c r="AH53" s="108" t="inlineStr">
        <is>
          <t>Morgan Stanley</t>
        </is>
      </c>
      <c r="AI53" s="120" t="n">
        <v>34.15</v>
      </c>
      <c r="AJ53" s="121" t="n">
        <v>27.58</v>
      </c>
      <c r="AK53" s="121" t="n">
        <v>-1.91</v>
      </c>
      <c r="AL53" s="121" t="n">
        <v>46.34</v>
      </c>
      <c r="AM53" s="121" t="n">
        <v>-12.82</v>
      </c>
      <c r="AN53" s="123" t="n">
        <v>1.46</v>
      </c>
      <c r="AO53" s="112" t="n">
        <v>17.44</v>
      </c>
      <c r="AP53" s="121" t="n">
        <v>27.95</v>
      </c>
      <c r="AQ53" s="121" t="n">
        <v>22.51</v>
      </c>
      <c r="AR53" s="121" t="n">
        <v>-6.19</v>
      </c>
      <c r="AS53" s="121" t="n">
        <v>0.29</v>
      </c>
      <c r="AT53" s="121" t="n">
        <v>-3.97</v>
      </c>
      <c r="AU53" s="121" t="n">
        <v>-26.47</v>
      </c>
      <c r="AV53" s="121" t="n">
        <v>26.02</v>
      </c>
      <c r="AW53" s="121" t="n">
        <v>25.29</v>
      </c>
      <c r="AX53" s="121" t="n">
        <v>7.58</v>
      </c>
      <c r="AY53" s="121" t="n">
        <v>-3.08</v>
      </c>
      <c r="AZ53" s="121" t="n">
        <v>-2.78</v>
      </c>
      <c r="BA53" s="121" t="n">
        <v>-0.89</v>
      </c>
      <c r="BB53" s="108" t="inlineStr">
        <is>
          <t>China Biotech ETF (HS biotech proxy)</t>
        </is>
      </c>
      <c r="BC53" s="121" t="n">
        <v>47.94</v>
      </c>
      <c r="BD53" s="109" t="n">
        <v>46297</v>
      </c>
      <c r="BE53" s="110" t="n">
        <v>0</v>
      </c>
      <c r="BF53" s="113" t="n">
        <v>-900.7</v>
      </c>
      <c r="BG53" s="108" t="inlineStr">
        <is>
          <t>N</t>
        </is>
      </c>
      <c r="BH53" s="108" t="inlineStr">
        <is>
          <t>n/m</t>
        </is>
      </c>
      <c r="BI53" s="122" t="n"/>
      <c r="BJ53" s="122" t="n"/>
      <c r="BK53" s="108" t="inlineStr">
        <is>
          <t>pre-rev</t>
        </is>
      </c>
      <c r="BL53" s="124">
        <f>IF('BBG Verify'!S53="","not filed; run on terminal",'BBG Verify'!S53)</f>
        <v/>
      </c>
      <c r="BM53" s="125" t="inlineStr">
        <is>
          <t>N</t>
        </is>
      </c>
      <c r="BN53" s="126">
        <f>IF('BBG Verify'!K53="","not filed; run on terminal",'BBG Verify'!K53)</f>
        <v/>
      </c>
      <c r="BO53" s="108" t="inlineStr">
        <is>
          <t>N/A</t>
        </is>
      </c>
      <c r="BP53" s="108" t="inlineStr">
        <is>
          <t>N/A</t>
        </is>
      </c>
      <c r="BQ53" s="108" t="inlineStr">
        <is>
          <t>N/A</t>
        </is>
      </c>
      <c r="BR53" s="108" t="inlineStr">
        <is>
          <t>N/A</t>
        </is>
      </c>
      <c r="BS53" s="108" t="inlineStr">
        <is>
          <t>N/A</t>
        </is>
      </c>
      <c r="BT53" s="108" t="inlineStr">
        <is>
          <t>N/A</t>
        </is>
      </c>
      <c r="BU53" s="125" t="inlineStr">
        <is>
          <t>Morgan Stanley Asia Limited; China International Capital Corporation Hong Kong Securities Limited; Huatai Financial Holdings (Hong Kong) Limited</t>
        </is>
      </c>
      <c r="BV53" s="108" t="inlineStr">
        <is>
          <t>China International Capital Corporation Hong Kong Securities Limited; Morgan Stanley Asia Limited; Huatai Financial Holdings (Hong Kong) Limited</t>
        </is>
      </c>
      <c r="BW53" s="108" t="inlineStr">
        <is>
          <t>Morgan Stanley Asia Limited; China International Capital Corporation Hong Kong Securities Limited; Huatai Financial Holdings (Hong Kong) Limited; Morgan Stanley &amp; Co. International plc; China Everbright Securities (HK) Limited</t>
        </is>
      </c>
      <c r="BX53" s="108" t="inlineStr">
        <is>
          <t>China Everbright Securities (HK) Limited; China International Capital Corporation Hong Kong Securities Limited; Huatai Financial Holdings (Hong Kong) Limited; Morgan Stanley Asia Limited</t>
        </is>
      </c>
      <c r="BY53" s="127">
        <f>HYPERLINK("https://www1.hkexnews.hk/listedco/listconews/sehk/2021/0625/2021062500031.pdf","prospectus")</f>
        <v/>
      </c>
      <c r="BZ53" s="127">
        <f>HYPERLINK("https://www1.hkexnews.hk/listedco/listconews/sehk/2021/0707/2021070700054.htm","allotment")</f>
        <v/>
      </c>
      <c r="CA53" s="127">
        <f>HYPERLINK("https://www1.hkexnews.hk/listedco/listconews/sehk/2021/0730/2021073001918.pdf","stabilisation")</f>
        <v/>
      </c>
      <c r="CB53" s="128" t="n"/>
      <c r="CC53" s="108" t="inlineStr">
        <is>
          <t>P/E: loss-making at IPO, use P/S; cornerstone: % from the prospectus; AAStocks table includes non-cornerstone orders; P/S: pre-revenue issuer, no sales multiple</t>
        </is>
      </c>
    </row>
    <row r="54" ht="22" customHeight="1">
      <c r="A54" s="107" t="inlineStr">
        <is>
          <t>2209</t>
        </is>
      </c>
      <c r="B54" s="108" t="inlineStr">
        <is>
          <t>YESASIA HLDGS</t>
        </is>
      </c>
      <c r="C54" s="108" t="inlineStr">
        <is>
          <t>喆麗控股</t>
        </is>
      </c>
      <c r="D54" s="108" t="inlineStr">
        <is>
          <t>Tech/AI</t>
        </is>
      </c>
      <c r="E54" s="108" t="inlineStr">
        <is>
          <t>Internet platform / e-commerce</t>
        </is>
      </c>
      <c r="F54" s="108" t="inlineStr">
        <is>
          <t>e-Commerce &amp; Internet Services</t>
        </is>
      </c>
      <c r="G54" s="108" t="inlineStr">
        <is>
          <t>Standard</t>
        </is>
      </c>
      <c r="H54" s="109" t="n">
        <v>44386</v>
      </c>
      <c r="I54" s="110" t="n">
        <v>91</v>
      </c>
      <c r="J54" s="108" t="inlineStr">
        <is>
          <t>net proceeds</t>
        </is>
      </c>
      <c r="K54" s="111" t="n">
        <v>3</v>
      </c>
      <c r="L54" s="111" t="n">
        <v>3.33</v>
      </c>
      <c r="M54" s="111" t="n">
        <v>3.28</v>
      </c>
      <c r="N54" s="108" t="inlineStr">
        <is>
          <t>N</t>
        </is>
      </c>
      <c r="O54" s="112" t="n">
        <v>98.5</v>
      </c>
      <c r="P54" s="112" t="n">
        <v>84.8</v>
      </c>
      <c r="Q54" s="113" t="n">
        <v>1316</v>
      </c>
      <c r="R54" s="108" t="inlineStr">
        <is>
          <t>aastocks:上市市值 at the struck price</t>
        </is>
      </c>
      <c r="S54" s="114" t="n">
        <v>145.3</v>
      </c>
      <c r="T54" s="115" t="n">
        <v>3.2</v>
      </c>
      <c r="U54" s="116" t="n">
        <v>37.94</v>
      </c>
      <c r="V54" s="117" t="n">
        <v>82</v>
      </c>
      <c r="W54" s="118" t="n"/>
      <c r="X54" s="119" t="n"/>
      <c r="Y54" s="113" t="n">
        <v>56.47</v>
      </c>
      <c r="Z54" s="131" t="n"/>
      <c r="AA54" s="112" t="n">
        <v>4.29</v>
      </c>
      <c r="AB54" s="108" t="inlineStr">
        <is>
          <t>CS Logistics Holdings Ltd; Triple Surge Holdings Limited</t>
        </is>
      </c>
      <c r="AC54" s="108" t="inlineStr">
        <is>
          <t>cs;triple</t>
        </is>
      </c>
      <c r="AD54" s="112" t="n">
        <v>11.3</v>
      </c>
      <c r="AE54" s="108" t="inlineStr">
        <is>
          <t>partial</t>
        </is>
      </c>
      <c r="AF54" s="108" t="inlineStr">
        <is>
          <t>2021-08-01</t>
        </is>
      </c>
      <c r="AG54" s="108" t="inlineStr">
        <is>
          <t>UOB Kay Hian</t>
        </is>
      </c>
      <c r="AH54" s="108" t="inlineStr">
        <is>
          <t>UOB Kay</t>
        </is>
      </c>
      <c r="AI54" s="120" t="n">
        <v>35.37</v>
      </c>
      <c r="AJ54" s="121" t="n">
        <v>5.49</v>
      </c>
      <c r="AK54" s="121" t="n">
        <v>1.03</v>
      </c>
      <c r="AL54" s="121" t="n">
        <v>47.26</v>
      </c>
      <c r="AM54" s="121" t="n">
        <v>-28.36</v>
      </c>
      <c r="AN54" s="122" t="n"/>
      <c r="AO54" s="112" t="n">
        <v>31.47</v>
      </c>
      <c r="AP54" s="121" t="n">
        <v>-7.62</v>
      </c>
      <c r="AQ54" s="121" t="n">
        <v>-20.12</v>
      </c>
      <c r="AR54" s="121" t="n">
        <v>-56.1</v>
      </c>
      <c r="AS54" s="121" t="n">
        <v>-12.43</v>
      </c>
      <c r="AT54" s="121" t="n">
        <v>-24.28</v>
      </c>
      <c r="AU54" s="121" t="n">
        <v>-58.38</v>
      </c>
      <c r="AV54" s="121" t="n">
        <v>-11.53</v>
      </c>
      <c r="AW54" s="121" t="n">
        <v>-10.79</v>
      </c>
      <c r="AX54" s="121" t="n">
        <v>-40.38</v>
      </c>
      <c r="AY54" s="121" t="n">
        <v>-14.02</v>
      </c>
      <c r="AZ54" s="121" t="n">
        <v>-9.33</v>
      </c>
      <c r="BA54" s="121" t="n">
        <v>-10.26</v>
      </c>
      <c r="BB54" s="108" t="inlineStr">
        <is>
          <t>HSTECH (Hang Seng TECH ETF)</t>
        </is>
      </c>
      <c r="BC54" s="121" t="n">
        <v>-3.2</v>
      </c>
      <c r="BD54" s="109" t="n">
        <v>46297</v>
      </c>
      <c r="BE54" s="110" t="n">
        <v>1351.9</v>
      </c>
      <c r="BF54" s="113" t="n">
        <v>87.5</v>
      </c>
      <c r="BG54" s="108" t="inlineStr">
        <is>
          <t>Y</t>
        </is>
      </c>
      <c r="BH54" s="123" t="n">
        <v>15</v>
      </c>
      <c r="BI54" s="122" t="n"/>
      <c r="BJ54" s="123" t="n">
        <v>8.199999999999999</v>
      </c>
      <c r="BK54" s="123" t="n">
        <v>1</v>
      </c>
      <c r="BL54" s="124">
        <f>IF('BBG Verify'!S54="","not filed; run on terminal",'BBG Verify'!S54)</f>
        <v/>
      </c>
      <c r="BM54" s="125" t="inlineStr">
        <is>
          <t>N</t>
        </is>
      </c>
      <c r="BN54" s="126">
        <f>IF('BBG Verify'!K54="","not filed; run on terminal",'BBG Verify'!K54)</f>
        <v/>
      </c>
      <c r="BO54" s="108" t="inlineStr">
        <is>
          <t>N/A</t>
        </is>
      </c>
      <c r="BP54" s="108" t="inlineStr">
        <is>
          <t>N/A</t>
        </is>
      </c>
      <c r="BQ54" s="108" t="inlineStr">
        <is>
          <t>N/A</t>
        </is>
      </c>
      <c r="BR54" s="108" t="inlineStr">
        <is>
          <t>N/A</t>
        </is>
      </c>
      <c r="BS54" s="108" t="inlineStr">
        <is>
          <t>N/A</t>
        </is>
      </c>
      <c r="BT54" s="108" t="inlineStr">
        <is>
          <t>N/A</t>
        </is>
      </c>
      <c r="BU54" s="125" t="inlineStr">
        <is>
          <t>UOB Kay Hian (Hong Kong) Limited</t>
        </is>
      </c>
      <c r="BV54" s="108" t="inlineStr">
        <is>
          <t>UOB Kay Hian (Hong Kong) Limited</t>
        </is>
      </c>
      <c r="BW54" s="108" t="inlineStr">
        <is>
          <t>UOB Kay Hian (Hong Kong) Limited; Anuenue Securities Limited; China Everbright Securities (HK) Limited; Haitong International Securities Company Limited; ICBC International Capital Limited; Soochow Securities International Brokerage Limited; VMS Securities Limited</t>
        </is>
      </c>
      <c r="BX54" s="108" t="inlineStr">
        <is>
          <t>Anuenue Securities Limited; China Everbright Securities (HK) Limited; Haitong International Securities Company Limited; ICBC International Securities Limited; Maxa Capital Limited; Soochow Securities International Brokerage Limited; UOB Kay Hian (Hong Kong) Limited; Valuable Capital Limited; VMS Securities Limited</t>
        </is>
      </c>
      <c r="BY54" s="127">
        <f>HYPERLINK("https://www1.hkexnews.hk/listedco/listconews/sehk/2021/0628/2021062800027.pdf","prospectus")</f>
        <v/>
      </c>
      <c r="BZ54" s="127">
        <f>HYPERLINK("https://www1.hkexnews.hk/listedco/listconews/sehk/2021/0708/2021070800026.htm","allotment")</f>
        <v/>
      </c>
      <c r="CA54" s="127">
        <f>HYPERLINK("https://www1.hkexnews.hk/listedco/listconews/sehk/2021/0801/2021080100011.pdf","stabilisation")</f>
        <v/>
      </c>
      <c r="CB54" s="128" t="n"/>
      <c r="CC54" s="108" t="inlineStr">
        <is>
          <t>market cap: published listing cap used; the estimate from deal size / offer % of enlarged capital disagreed; deal size: stated gross HK$4.5m rejected, below the net proceeds of HK$91.0m; eff float shares: share count unavailable; the HK$m figure is exact; allocation: allocation table not in this notice's format (older prose announcement); day-1 tape: volume on file; the retail multiple needs the final public split, which this notice does not state</t>
        </is>
      </c>
    </row>
    <row r="55" ht="22" customHeight="1">
      <c r="A55" s="107" t="inlineStr">
        <is>
          <t>2165</t>
        </is>
      </c>
      <c r="B55" s="108" t="inlineStr">
        <is>
          <t>LING YUE SER GP</t>
        </is>
      </c>
      <c r="C55" s="108" t="inlineStr">
        <is>
          <t>領悅服務集團</t>
        </is>
      </c>
      <c r="D55" s="108" t="inlineStr">
        <is>
          <t>Real Estate</t>
        </is>
      </c>
      <c r="E55" s="108" t="inlineStr">
        <is>
          <t>Property management</t>
        </is>
      </c>
      <c r="F55" s="108" t="inlineStr">
        <is>
          <t>Property Service and Management</t>
        </is>
      </c>
      <c r="G55" s="108" t="inlineStr">
        <is>
          <t>Standard</t>
        </is>
      </c>
      <c r="H55" s="109" t="n">
        <v>44389</v>
      </c>
      <c r="I55" s="110" t="n">
        <v>293.3</v>
      </c>
      <c r="J55" s="108" t="inlineStr">
        <is>
          <t>gross (price x shares)</t>
        </is>
      </c>
      <c r="K55" s="111" t="n">
        <v>3.75</v>
      </c>
      <c r="L55" s="111" t="n">
        <v>4.55</v>
      </c>
      <c r="M55" s="111" t="n">
        <v>4.19</v>
      </c>
      <c r="N55" s="108" t="inlineStr">
        <is>
          <t>N</t>
        </is>
      </c>
      <c r="O55" s="112" t="n">
        <v>92.09999999999999</v>
      </c>
      <c r="P55" s="112" t="n">
        <v>55</v>
      </c>
      <c r="Q55" s="113" t="n">
        <v>1058.8</v>
      </c>
      <c r="R55" s="108" t="inlineStr">
        <is>
          <t>derived:deal size / offer % of enlarged capital</t>
        </is>
      </c>
      <c r="S55" s="114" t="n">
        <v>5.23</v>
      </c>
      <c r="T55" s="115" t="n">
        <v>1.2</v>
      </c>
      <c r="U55" s="116" t="n">
        <v>0</v>
      </c>
      <c r="V55" s="117" t="n">
        <v>111</v>
      </c>
      <c r="W55" s="118" t="n"/>
      <c r="X55" s="119" t="n"/>
      <c r="Y55" s="113" t="n">
        <v>293.3</v>
      </c>
      <c r="Z55" s="113" t="n">
        <v>70000000</v>
      </c>
      <c r="AA55" s="112" t="n">
        <v>27.7</v>
      </c>
      <c r="AB55" s="108" t="inlineStr">
        <is>
          <t>none — no cornerstone tranche</t>
        </is>
      </c>
      <c r="AC55" s="108" t="inlineStr">
        <is>
          <t>none</t>
        </is>
      </c>
      <c r="AD55" s="112" t="n">
        <v>16.5</v>
      </c>
      <c r="AE55" s="108" t="inlineStr">
        <is>
          <t>partial</t>
        </is>
      </c>
      <c r="AF55" s="108" t="inlineStr">
        <is>
          <t>2021-08-04</t>
        </is>
      </c>
      <c r="AG55" s="108" t="inlineStr">
        <is>
          <t>CCB International Capital Limited</t>
        </is>
      </c>
      <c r="AH55" s="108" t="inlineStr">
        <is>
          <t>CCB</t>
        </is>
      </c>
      <c r="AI55" s="120" t="n">
        <v>37.23</v>
      </c>
      <c r="AJ55" s="121" t="n">
        <v>0</v>
      </c>
      <c r="AK55" s="121" t="n">
        <v>1.28</v>
      </c>
      <c r="AL55" s="121" t="n">
        <v>24.11</v>
      </c>
      <c r="AM55" s="121" t="n">
        <v>-19.43</v>
      </c>
      <c r="AN55" s="122" t="n"/>
      <c r="AO55" s="112" t="n">
        <v>25.19</v>
      </c>
      <c r="AP55" s="121" t="n">
        <v>0</v>
      </c>
      <c r="AQ55" s="121" t="n">
        <v>0.24</v>
      </c>
      <c r="AR55" s="121" t="n">
        <v>0</v>
      </c>
      <c r="AS55" s="121" t="n">
        <v>0</v>
      </c>
      <c r="AT55" s="121" t="n">
        <v>0.24</v>
      </c>
      <c r="AU55" s="121" t="n">
        <v>0</v>
      </c>
      <c r="AV55" s="121" t="n">
        <v>-1.01</v>
      </c>
      <c r="AW55" s="121" t="n">
        <v>5.83</v>
      </c>
      <c r="AX55" s="121" t="n">
        <v>9.390000000000001</v>
      </c>
      <c r="AY55" s="121" t="n">
        <v>7.02</v>
      </c>
      <c r="AZ55" s="121" t="n">
        <v>-5.59</v>
      </c>
      <c r="BA55" s="121" t="n">
        <v>-6.78</v>
      </c>
      <c r="BB55" s="108" t="inlineStr">
        <is>
          <t>Hang Seng Properties sub-index</t>
        </is>
      </c>
      <c r="BC55" s="121" t="n">
        <v>-60.74</v>
      </c>
      <c r="BD55" s="109" t="n">
        <v>46297</v>
      </c>
      <c r="BE55" s="110" t="n">
        <v>471</v>
      </c>
      <c r="BF55" s="113" t="n">
        <v>77.3</v>
      </c>
      <c r="BG55" s="108" t="inlineStr">
        <is>
          <t>Y</t>
        </is>
      </c>
      <c r="BH55" s="123" t="n">
        <v>13.7</v>
      </c>
      <c r="BI55" s="122" t="n"/>
      <c r="BJ55" s="123" t="n">
        <v>5.1</v>
      </c>
      <c r="BK55" s="123" t="n">
        <v>2.2</v>
      </c>
      <c r="BL55" s="124">
        <f>IF('BBG Verify'!S55="","not filed; run on terminal",'BBG Verify'!S55)</f>
        <v/>
      </c>
      <c r="BM55" s="125" t="inlineStr">
        <is>
          <t>N</t>
        </is>
      </c>
      <c r="BN55" s="126">
        <f>IF('BBG Verify'!K55="","not filed; run on terminal",'BBG Verify'!K55)</f>
        <v/>
      </c>
      <c r="BO55" s="108" t="inlineStr">
        <is>
          <t>N/A</t>
        </is>
      </c>
      <c r="BP55" s="108" t="inlineStr">
        <is>
          <t>N/A</t>
        </is>
      </c>
      <c r="BQ55" s="108" t="inlineStr">
        <is>
          <t>N/A</t>
        </is>
      </c>
      <c r="BR55" s="108" t="inlineStr">
        <is>
          <t>N/A</t>
        </is>
      </c>
      <c r="BS55" s="108" t="inlineStr">
        <is>
          <t>N/A</t>
        </is>
      </c>
      <c r="BT55" s="108" t="inlineStr">
        <is>
          <t>N/A</t>
        </is>
      </c>
      <c r="BU55" s="125" t="inlineStr">
        <is>
          <t>CCB International Capital Limited</t>
        </is>
      </c>
      <c r="BV55" s="108" t="inlineStr">
        <is>
          <t>CCB International Capital Limited</t>
        </is>
      </c>
      <c r="BW55" s="108" t="inlineStr">
        <is>
          <t>CCB International Capital Limited; CMB International Capital Limited; Huatai Financial Holdings (Hong Kong) Limited; Seazen Resources Securities Limited; Shenwan Hongyuan Securities (H.K.) Limited; CMBC Securities Company Limited</t>
        </is>
      </c>
      <c r="BX55" s="108" t="inlineStr">
        <is>
          <t>CCB International Capital Limited; CMBC Securities Company Limited; CMB International Capital Limited; Huatai Financial Holdings (Hong Kong) Limited; I Win Securities Limited; Shenwan Hongyuan Securities (H.K.) Limited; Seazen Resources Securities Limited; Vision Capital International Holdings Limited</t>
        </is>
      </c>
      <c r="BY55" s="127">
        <f>HYPERLINK("https://www1.hkexnews.hk/listedco/listconews/sehk/2021/0629/2021062900045.pdf","prospectus")</f>
        <v/>
      </c>
      <c r="BZ55" s="127">
        <f>HYPERLINK("https://www1.hkexnews.hk/listedco/listconews/sehk/2021/0709/2021070900020.htm","allotment")</f>
        <v/>
      </c>
      <c r="CA55" s="127">
        <f>HYPERLINK("https://www1.hkexnews.hk/listedco/listconews/sehk/2021/0805/2021080500013.pdf","stabilisation")</f>
        <v/>
      </c>
      <c r="CB55" s="128" t="n"/>
      <c r="CC55" s="108" t="inlineStr">
        <is>
          <t>cornerstone list: no cornerstone tranche; allocation: allocation table not in this notice's format (older prose announcement); day-1 tape: volume on file; the retail multiple needs the final public split, which this notice does not state</t>
        </is>
      </c>
    </row>
    <row r="56" ht="22" customHeight="1">
      <c r="A56" s="107" t="inlineStr">
        <is>
          <t>2177</t>
        </is>
      </c>
      <c r="B56" s="108" t="inlineStr">
        <is>
          <t>UNQ HOLDINGS</t>
        </is>
      </c>
      <c r="C56" s="108" t="inlineStr">
        <is>
          <t>優趣匯控股</t>
        </is>
      </c>
      <c r="D56" s="108" t="inlineStr">
        <is>
          <t>Tech/AI</t>
        </is>
      </c>
      <c r="E56" s="108" t="inlineStr">
        <is>
          <t>Internet platform / e-commerce</t>
        </is>
      </c>
      <c r="F56" s="108" t="inlineStr">
        <is>
          <t>e-Commerce &amp; Internet Services</t>
        </is>
      </c>
      <c r="G56" s="108" t="inlineStr">
        <is>
          <t>Standard</t>
        </is>
      </c>
      <c r="H56" s="109" t="n">
        <v>44389</v>
      </c>
      <c r="I56" s="110" t="n">
        <v>327.99</v>
      </c>
      <c r="J56" s="108" t="inlineStr">
        <is>
          <t>net proceeds</t>
        </is>
      </c>
      <c r="K56" s="111" t="n">
        <v>11.86</v>
      </c>
      <c r="L56" s="111" t="n">
        <v>15.35</v>
      </c>
      <c r="M56" s="111" t="n">
        <v>11.86</v>
      </c>
      <c r="N56" s="108" t="inlineStr">
        <is>
          <t>N</t>
        </is>
      </c>
      <c r="O56" s="112" t="n">
        <v>77.3</v>
      </c>
      <c r="P56" s="112" t="n">
        <v>0</v>
      </c>
      <c r="Q56" s="113" t="n">
        <v>2414.9</v>
      </c>
      <c r="R56" s="108" t="inlineStr">
        <is>
          <t>aastocks:上市市值 at the struck price</t>
        </is>
      </c>
      <c r="S56" s="114" t="n">
        <v>25.45</v>
      </c>
      <c r="T56" s="115" t="n">
        <v>1.83</v>
      </c>
      <c r="U56" s="116" t="n">
        <v>31.3</v>
      </c>
      <c r="V56" s="117" t="n">
        <v>150</v>
      </c>
      <c r="W56" s="112" t="n">
        <v>30</v>
      </c>
      <c r="X56" s="108" t="inlineStr">
        <is>
          <t>YES</t>
        </is>
      </c>
      <c r="Y56" s="113" t="n">
        <v>225.33</v>
      </c>
      <c r="Z56" s="131" t="n"/>
      <c r="AA56" s="112" t="n">
        <v>9.33</v>
      </c>
      <c r="AB56" s="108" t="inlineStr">
        <is>
          <t>Country Garden Property Services HK Holdings Company Limited; Kobayashi Pharmaceutical Co., Ltd; Unicharm Corporation</t>
        </is>
      </c>
      <c r="AC56" s="108" t="inlineStr">
        <is>
          <t>country;kobayashi;unicharm</t>
        </is>
      </c>
      <c r="AD56" s="112" t="n">
        <v>17.7</v>
      </c>
      <c r="AE56" s="108" t="inlineStr">
        <is>
          <t>lapsed</t>
        </is>
      </c>
      <c r="AF56" s="108" t="inlineStr">
        <is>
          <t>2021-08-04</t>
        </is>
      </c>
      <c r="AG56" s="108" t="inlineStr">
        <is>
          <t>China International Capital Corporation Hong Kong Securities Limited</t>
        </is>
      </c>
      <c r="AH56" s="108" t="inlineStr">
        <is>
          <t>China International</t>
        </is>
      </c>
      <c r="AI56" s="120" t="n">
        <v>4.89</v>
      </c>
      <c r="AJ56" s="121" t="n">
        <v>-23.78</v>
      </c>
      <c r="AK56" s="121" t="n">
        <v>1.22</v>
      </c>
      <c r="AL56" s="121" t="n">
        <v>3.04</v>
      </c>
      <c r="AM56" s="121" t="n">
        <v>-26.03</v>
      </c>
      <c r="AN56" s="123" t="n">
        <v>2.02</v>
      </c>
      <c r="AO56" s="112" t="n">
        <v>29.05</v>
      </c>
      <c r="AP56" s="121" t="n">
        <v>-29.09</v>
      </c>
      <c r="AQ56" s="121" t="n">
        <v>-50.42</v>
      </c>
      <c r="AR56" s="121" t="n">
        <v>-57</v>
      </c>
      <c r="AS56" s="121" t="n">
        <v>-6.97</v>
      </c>
      <c r="AT56" s="121" t="n">
        <v>-34.95</v>
      </c>
      <c r="AU56" s="121" t="n">
        <v>-43.58</v>
      </c>
      <c r="AV56" s="121" t="n">
        <v>-29.02</v>
      </c>
      <c r="AW56" s="121" t="n">
        <v>-42.4</v>
      </c>
      <c r="AX56" s="121" t="n">
        <v>-43.14</v>
      </c>
      <c r="AY56" s="121" t="n">
        <v>-25.82</v>
      </c>
      <c r="AZ56" s="121" t="n">
        <v>-8.02</v>
      </c>
      <c r="BA56" s="121" t="n">
        <v>-9.130000000000001</v>
      </c>
      <c r="BB56" s="108" t="inlineStr">
        <is>
          <t>HSTECH (Hang Seng TECH ETF)</t>
        </is>
      </c>
      <c r="BC56" s="121" t="n">
        <v>-80.19</v>
      </c>
      <c r="BD56" s="109" t="n">
        <v>46297</v>
      </c>
      <c r="BE56" s="110" t="n">
        <v>3080.9</v>
      </c>
      <c r="BF56" s="113" t="n">
        <v>47.3</v>
      </c>
      <c r="BG56" s="108" t="inlineStr">
        <is>
          <t>Y</t>
        </is>
      </c>
      <c r="BH56" s="123" t="n">
        <v>51.1</v>
      </c>
      <c r="BI56" s="122" t="n"/>
      <c r="BJ56" s="123" t="n">
        <v>12.5</v>
      </c>
      <c r="BK56" s="123" t="n">
        <v>0.8</v>
      </c>
      <c r="BL56" s="124">
        <f>IF('BBG Verify'!S56="","not filed; run on terminal",'BBG Verify'!S56)</f>
        <v/>
      </c>
      <c r="BM56" s="125" t="inlineStr">
        <is>
          <t>N</t>
        </is>
      </c>
      <c r="BN56" s="126">
        <f>IF('BBG Verify'!K56="","not filed; run on terminal",'BBG Verify'!K56)</f>
        <v/>
      </c>
      <c r="BO56" s="108" t="inlineStr">
        <is>
          <t>N/A</t>
        </is>
      </c>
      <c r="BP56" s="108" t="inlineStr">
        <is>
          <t>N/A</t>
        </is>
      </c>
      <c r="BQ56" s="108" t="inlineStr">
        <is>
          <t>N/A</t>
        </is>
      </c>
      <c r="BR56" s="108" t="inlineStr">
        <is>
          <t>N/A</t>
        </is>
      </c>
      <c r="BS56" s="108" t="inlineStr">
        <is>
          <t>N/A</t>
        </is>
      </c>
      <c r="BT56" s="108" t="inlineStr">
        <is>
          <t>N/A</t>
        </is>
      </c>
      <c r="BU56" s="125" t="inlineStr">
        <is>
          <t>China International Capital Corporation Hong Kong Securities Limited</t>
        </is>
      </c>
      <c r="BV56" s="108" t="inlineStr">
        <is>
          <t>China International Capital Corporation Hong Kong Securities Limited</t>
        </is>
      </c>
      <c r="BW56" s="108" t="inlineStr">
        <is>
          <t>China International Capital Corporation Hong Kong Securities Limited; Nomura International (Hong Kong) Limited; BOCI Asia Limited; BOCOM International Securities Limited; Futu Securities International (Hong Kong) Limited; Haitong International Securities Company Limited; Sunfund Securities Limited; Zhongtai International Securities Limited</t>
        </is>
      </c>
      <c r="BX56" s="108" t="inlineStr">
        <is>
          <t>Beta International Securities Limited; BOCI Asia Limited; China International Capital Corporation Hong Kong Securities Limited; Futu Securities International (Hong Kong) Limited; Haitong International Securities Company Limited; Livermore Holdings Limited; Nomura International (Hong Kong) Limited; Sunfund Securities Limited; Zhongtai International Securities Limited</t>
        </is>
      </c>
      <c r="BY56" s="127">
        <f>HYPERLINK("https://www1.hkexnews.hk/listedco/listconews/sehk/2021/0628/2021062800009.pdf","prospectus")</f>
        <v/>
      </c>
      <c r="BZ56" s="127">
        <f>HYPERLINK("https://www1.hkexnews.hk/listedco/listconews/sehk/2021/0709/2021070900048.htm","allotment")</f>
        <v/>
      </c>
      <c r="CA56" s="127">
        <f>HYPERLINK("https://www1.hkexnews.hk/listedco/listconews/sehk/2021/0804/2021080401759.pdf","stabilisation")</f>
        <v/>
      </c>
      <c r="CB56" s="128" t="n"/>
      <c r="CC56" s="108" t="inlineStr">
        <is>
          <t>market cap: published listing cap used; the estimate from stated market capitalisation, rescaled to the offer price disagreed; eff float shares: share count unavailable; the HK$m figure is exact</t>
        </is>
      </c>
    </row>
    <row r="57" ht="22" customHeight="1">
      <c r="A57" s="107" t="inlineStr">
        <is>
          <t>6913</t>
        </is>
      </c>
      <c r="B57" s="108" t="inlineStr">
        <is>
          <t>SCVE GROUP</t>
        </is>
      </c>
      <c r="C57" s="108" t="inlineStr">
        <is>
          <t>華南職業教育</t>
        </is>
      </c>
      <c r="D57" s="108" t="inlineStr">
        <is>
          <t>Consumer</t>
        </is>
      </c>
      <c r="E57" s="108" t="inlineStr">
        <is>
          <t>Consumer services / education</t>
        </is>
      </c>
      <c r="F57" s="108" t="inlineStr">
        <is>
          <t>Education Services</t>
        </is>
      </c>
      <c r="G57" s="108" t="inlineStr">
        <is>
          <t>Standard</t>
        </is>
      </c>
      <c r="H57" s="109" t="n">
        <v>44390</v>
      </c>
      <c r="I57" s="110" t="n">
        <v>531.1</v>
      </c>
      <c r="J57" s="108" t="inlineStr">
        <is>
          <t>gross (price x shares)</t>
        </is>
      </c>
      <c r="K57" s="111" t="n">
        <v>1.59</v>
      </c>
      <c r="L57" s="111" t="n">
        <v>2.01</v>
      </c>
      <c r="M57" s="111" t="n">
        <v>1.59</v>
      </c>
      <c r="N57" s="108" t="inlineStr">
        <is>
          <t>N</t>
        </is>
      </c>
      <c r="O57" s="112" t="n">
        <v>79.09999999999999</v>
      </c>
      <c r="P57" s="112" t="n">
        <v>0</v>
      </c>
      <c r="Q57" s="113" t="n">
        <v>2564.2</v>
      </c>
      <c r="R57" s="108" t="inlineStr">
        <is>
          <t>aastocks:上市市值 at the struck price</t>
        </is>
      </c>
      <c r="S57" s="114" t="n">
        <v>6.01</v>
      </c>
      <c r="T57" s="115" t="n">
        <v>1.99</v>
      </c>
      <c r="U57" s="116" t="n">
        <v>0</v>
      </c>
      <c r="V57" s="117" t="n">
        <v>101</v>
      </c>
      <c r="W57" s="118" t="n"/>
      <c r="X57" s="119" t="n"/>
      <c r="Y57" s="113" t="n">
        <v>531.1</v>
      </c>
      <c r="Z57" s="113" t="n">
        <v>334000000</v>
      </c>
      <c r="AA57" s="112" t="n">
        <v>20.71</v>
      </c>
      <c r="AB57" s="108" t="inlineStr">
        <is>
          <t>none — no cornerstone tranche</t>
        </is>
      </c>
      <c r="AC57" s="108" t="inlineStr">
        <is>
          <t>none</t>
        </is>
      </c>
      <c r="AD57" s="112" t="n">
        <v>12.3</v>
      </c>
      <c r="AE57" s="108" t="inlineStr">
        <is>
          <t>lapsed</t>
        </is>
      </c>
      <c r="AF57" s="119" t="n"/>
      <c r="AG57" s="108" t="inlineStr">
        <is>
          <t>BNP Paribas Securities</t>
        </is>
      </c>
      <c r="AH57" s="108" t="inlineStr">
        <is>
          <t>BNP Paribas</t>
        </is>
      </c>
      <c r="AI57" s="120" t="n">
        <v>-6.29</v>
      </c>
      <c r="AJ57" s="121" t="n">
        <v>-16.98</v>
      </c>
      <c r="AK57" s="121" t="n">
        <v>1.89</v>
      </c>
      <c r="AL57" s="121" t="n">
        <v>-8.81</v>
      </c>
      <c r="AM57" s="121" t="n">
        <v>-8.960000000000001</v>
      </c>
      <c r="AN57" s="122" t="n"/>
      <c r="AO57" s="112" t="n">
        <v>17.24</v>
      </c>
      <c r="AP57" s="121" t="n">
        <v>-33.33</v>
      </c>
      <c r="AQ57" s="121" t="n">
        <v>-11.95</v>
      </c>
      <c r="AR57" s="121" t="n">
        <v>-24.53</v>
      </c>
      <c r="AS57" s="121" t="n">
        <v>-19.69</v>
      </c>
      <c r="AT57" s="121" t="n">
        <v>6.06</v>
      </c>
      <c r="AU57" s="121" t="n">
        <v>-9.09</v>
      </c>
      <c r="AV57" s="121" t="n">
        <v>-32.43</v>
      </c>
      <c r="AW57" s="121" t="n">
        <v>-6.8</v>
      </c>
      <c r="AX57" s="121" t="n">
        <v>-12.42</v>
      </c>
      <c r="AY57" s="121" t="n">
        <v>12.97</v>
      </c>
      <c r="AZ57" s="121" t="n">
        <v>-5.15</v>
      </c>
      <c r="BA57" s="121" t="n">
        <v>-6.91</v>
      </c>
      <c r="BB57" s="108" t="inlineStr">
        <is>
          <t>Hang Seng Commerce &amp; Industry sub-index</t>
        </is>
      </c>
      <c r="BC57" s="121" t="n">
        <v>-94.34</v>
      </c>
      <c r="BD57" s="109" t="n">
        <v>46297</v>
      </c>
      <c r="BE57" s="110" t="n">
        <v>495</v>
      </c>
      <c r="BF57" s="113" t="n">
        <v>187</v>
      </c>
      <c r="BG57" s="108" t="inlineStr">
        <is>
          <t>Y</t>
        </is>
      </c>
      <c r="BH57" s="123" t="n">
        <v>13.7</v>
      </c>
      <c r="BI57" s="122" t="n"/>
      <c r="BJ57" s="122" t="n"/>
      <c r="BK57" s="123" t="n">
        <v>5.2</v>
      </c>
      <c r="BL57" s="124">
        <f>IF('BBG Verify'!S57="","not filed; run on terminal",'BBG Verify'!S57)</f>
        <v/>
      </c>
      <c r="BM57" s="125" t="inlineStr">
        <is>
          <t>N</t>
        </is>
      </c>
      <c r="BN57" s="126">
        <f>IF('BBG Verify'!K57="","not filed; run on terminal",'BBG Verify'!K57)</f>
        <v/>
      </c>
      <c r="BO57" s="108" t="inlineStr">
        <is>
          <t>N/A</t>
        </is>
      </c>
      <c r="BP57" s="108" t="inlineStr">
        <is>
          <t>N/A</t>
        </is>
      </c>
      <c r="BQ57" s="108" t="inlineStr">
        <is>
          <t>N/A</t>
        </is>
      </c>
      <c r="BR57" s="108" t="inlineStr">
        <is>
          <t>N/A</t>
        </is>
      </c>
      <c r="BS57" s="108" t="inlineStr">
        <is>
          <t>N/A</t>
        </is>
      </c>
      <c r="BT57" s="108" t="inlineStr">
        <is>
          <t>N/A</t>
        </is>
      </c>
      <c r="BU57" s="125" t="inlineStr">
        <is>
          <t>BNP Paribas Securities (Asia) Limited</t>
        </is>
      </c>
      <c r="BV57" s="108" t="inlineStr">
        <is>
          <t>BNP Paribas Securities (Asia) Limited</t>
        </is>
      </c>
      <c r="BW57" s="108" t="inlineStr">
        <is>
          <t>BNP Paribas Securities (Asia) Limited; Haitong International Securities Company Limited; CCB International Capital Limited; CMB International Capital Limited; Futu Securities International (Hong Kong) Limited; China Galaxy International Securities (Hong Kong) Co., Limited</t>
        </is>
      </c>
      <c r="BX57" s="108" t="inlineStr">
        <is>
          <t>BNP Paribas Securities (Asia) Limited; CCB International Capital Limited; China Galaxy International Securities (Hong Kong) Company Limited; CMB International Capital Corporation Limited; Futu Securities International (Hong Kong) Limited; Haitong International Securities Company Limited; Sinomax Securities Limited</t>
        </is>
      </c>
      <c r="BY57" s="127">
        <f>HYPERLINK("https://www1.hkexnews.hk/listedco/listconews/sehk/2021/0630/2021063000199.pdf","prospectus")</f>
        <v/>
      </c>
      <c r="BZ57" s="127">
        <f>HYPERLINK("https://www1.hkexnews.hk/listedco/listconews/sehk/2021/0712/2021071200022.htm","allotment")</f>
        <v/>
      </c>
      <c r="CA57" s="127">
        <f>HYPERLINK("https://www1.hkexnews.hk/listedco/listconews/sehk/2021/0805/2021080500675.pdf","stabilisation")</f>
        <v/>
      </c>
      <c r="CB57" s="128" t="n"/>
      <c r="CC57" s="108" t="inlineStr">
        <is>
          <t>greenshoe: outcome published; expiry date not in the notice; market cap: published listing cap used; the estimate from deal size / offer % of enlarged capital disagreed; cornerstone list: no cornerstone tranche; allocation: allocation table not in this notice's format (older prose announcement); day-1 tape: volume on file; the retail multiple needs the final public split, which this notice does not state</t>
        </is>
      </c>
    </row>
    <row r="58" ht="22" customHeight="1">
      <c r="A58" s="107" t="inlineStr">
        <is>
          <t>2137</t>
        </is>
      </c>
      <c r="B58" s="108" t="inlineStr">
        <is>
          <t>BRII - B</t>
        </is>
      </c>
      <c r="C58" s="108" t="inlineStr">
        <is>
          <t>騰盛博藥－Ｂ</t>
        </is>
      </c>
      <c r="D58" s="108" t="inlineStr">
        <is>
          <t>Healthcare</t>
        </is>
      </c>
      <c r="E58" s="108" t="inlineStr">
        <is>
          <t>Biotech pre-revenue (18A)</t>
        </is>
      </c>
      <c r="F58" s="108" t="inlineStr">
        <is>
          <t>Biotechnology</t>
        </is>
      </c>
      <c r="G58" s="108" t="inlineStr">
        <is>
          <t>Standard</t>
        </is>
      </c>
      <c r="H58" s="109" t="n">
        <v>44390</v>
      </c>
      <c r="I58" s="110" t="n">
        <v>2482.7</v>
      </c>
      <c r="J58" s="108" t="inlineStr">
        <is>
          <t>gross (price x shares)</t>
        </is>
      </c>
      <c r="K58" s="111" t="n">
        <v>21</v>
      </c>
      <c r="L58" s="111" t="n">
        <v>22.25</v>
      </c>
      <c r="M58" s="111" t="n">
        <v>22.25</v>
      </c>
      <c r="N58" s="108" t="inlineStr">
        <is>
          <t>Y</t>
        </is>
      </c>
      <c r="O58" s="112" t="n">
        <v>100</v>
      </c>
      <c r="P58" s="112" t="n">
        <v>100</v>
      </c>
      <c r="Q58" s="113" t="n">
        <v>13987</v>
      </c>
      <c r="R58" s="108" t="inlineStr">
        <is>
          <t>derived:deal size / offer % of enlarged capital</t>
        </is>
      </c>
      <c r="S58" s="114" t="n">
        <v>292</v>
      </c>
      <c r="T58" s="115" t="n">
        <v>12</v>
      </c>
      <c r="U58" s="116" t="n">
        <v>47.52</v>
      </c>
      <c r="V58" s="117" t="n">
        <v>160</v>
      </c>
      <c r="W58" s="112" t="n">
        <v>50</v>
      </c>
      <c r="X58" s="108" t="inlineStr">
        <is>
          <t>YES</t>
        </is>
      </c>
      <c r="Y58" s="113" t="n">
        <v>1302.92</v>
      </c>
      <c r="Z58" s="113" t="n">
        <v>58557184</v>
      </c>
      <c r="AA58" s="112" t="n">
        <v>9.32</v>
      </c>
      <c r="AB58" s="108" t="inlineStr">
        <is>
          <t>AIHC Master Fund; Athos Asia Event Driven Master Fund; Boyu Capital Opportunities Master Fund; Invesco Advisers, Inc; RBC Global Asset Management (Asia) Limited; Sage Partners Master Fund; SCC Growth V Holdco Q, Ltd; Springhill Master Fund Limited; The Valliance Fund; UBS Asset Management (Singapore) Ltd; Youyu Global Limited</t>
        </is>
      </c>
      <c r="AC58" s="108" t="inlineStr">
        <is>
          <t>aihc;athos;boyu;invesco;rbc;sage;scc;springhill;valliance;ubs;youyu</t>
        </is>
      </c>
      <c r="AD58" s="112" t="n">
        <v>6.1</v>
      </c>
      <c r="AE58" s="108" t="inlineStr">
        <is>
          <t>partial</t>
        </is>
      </c>
      <c r="AF58" s="108" t="inlineStr">
        <is>
          <t>2021-08-05</t>
        </is>
      </c>
      <c r="AG58" s="108" t="inlineStr">
        <is>
          <t>Morgan Stanley Asia Limited</t>
        </is>
      </c>
      <c r="AH58" s="108" t="inlineStr">
        <is>
          <t>Morgan Stanley</t>
        </is>
      </c>
      <c r="AI58" s="120" t="n">
        <v>-6.07</v>
      </c>
      <c r="AJ58" s="121" t="n">
        <v>3.15</v>
      </c>
      <c r="AK58" s="121" t="n">
        <v>-0.48</v>
      </c>
      <c r="AL58" s="121" t="n">
        <v>-3.82</v>
      </c>
      <c r="AM58" s="121" t="n">
        <v>7.25</v>
      </c>
      <c r="AN58" s="123" t="n">
        <v>1.21</v>
      </c>
      <c r="AO58" s="112" t="n">
        <v>16.12</v>
      </c>
      <c r="AP58" s="121" t="n">
        <v>-6.52</v>
      </c>
      <c r="AQ58" s="121" t="n">
        <v>79.78</v>
      </c>
      <c r="AR58" s="121" t="n">
        <v>22.02</v>
      </c>
      <c r="AS58" s="121" t="n">
        <v>-9.369999999999999</v>
      </c>
      <c r="AT58" s="121" t="n">
        <v>74.29000000000001</v>
      </c>
      <c r="AU58" s="121" t="n">
        <v>18.29</v>
      </c>
      <c r="AV58" s="121" t="n">
        <v>-6.88</v>
      </c>
      <c r="AW58" s="121" t="n">
        <v>87.09999999999999</v>
      </c>
      <c r="AX58" s="121" t="n">
        <v>39.45</v>
      </c>
      <c r="AY58" s="121" t="n">
        <v>81.17</v>
      </c>
      <c r="AZ58" s="121" t="n">
        <v>-7.32</v>
      </c>
      <c r="BA58" s="121" t="n">
        <v>-6.88</v>
      </c>
      <c r="BB58" s="108" t="inlineStr">
        <is>
          <t>China Biotech ETF (HS biotech proxy)</t>
        </is>
      </c>
      <c r="BC58" s="121" t="n">
        <v>-96.13</v>
      </c>
      <c r="BD58" s="109" t="n">
        <v>46297</v>
      </c>
      <c r="BE58" s="110" t="n">
        <v>34.1</v>
      </c>
      <c r="BF58" s="113" t="n">
        <v>-1411.9</v>
      </c>
      <c r="BG58" s="108" t="inlineStr">
        <is>
          <t>N</t>
        </is>
      </c>
      <c r="BH58" s="108" t="inlineStr">
        <is>
          <t>n/m</t>
        </is>
      </c>
      <c r="BI58" s="122" t="n"/>
      <c r="BJ58" s="122" t="n"/>
      <c r="BK58" s="123" t="n">
        <v>410.2</v>
      </c>
      <c r="BL58" s="124">
        <f>IF('BBG Verify'!S58="","not filed; run on terminal",'BBG Verify'!S58)</f>
        <v/>
      </c>
      <c r="BM58" s="125" t="inlineStr">
        <is>
          <t>N</t>
        </is>
      </c>
      <c r="BN58" s="126">
        <f>IF('BBG Verify'!K58="","not filed; run on terminal",'BBG Verify'!K58)</f>
        <v/>
      </c>
      <c r="BO58" s="108" t="inlineStr">
        <is>
          <t>N/A</t>
        </is>
      </c>
      <c r="BP58" s="108" t="inlineStr">
        <is>
          <t>N/A</t>
        </is>
      </c>
      <c r="BQ58" s="108" t="inlineStr">
        <is>
          <t>N/A</t>
        </is>
      </c>
      <c r="BR58" s="108" t="inlineStr">
        <is>
          <t>N/A</t>
        </is>
      </c>
      <c r="BS58" s="108" t="inlineStr">
        <is>
          <t>N/A</t>
        </is>
      </c>
      <c r="BT58" s="108" t="inlineStr">
        <is>
          <t>N/A</t>
        </is>
      </c>
      <c r="BU58" s="125" t="inlineStr">
        <is>
          <t>Morgan Stanley Asia Limited; UBS Securities Hong Kong Limited</t>
        </is>
      </c>
      <c r="BV58" s="108" t="inlineStr">
        <is>
          <t>Morgan Stanley Asia Limited; UBS Securities Hong Kong Limited</t>
        </is>
      </c>
      <c r="BW58" s="108" t="inlineStr">
        <is>
          <t>Morgan Stanley Asia Limited; UBS AG Hong Kong Branch; China International Capital Corporation Hong Kong Securities Limited</t>
        </is>
      </c>
      <c r="BX58" s="108" t="inlineStr">
        <is>
          <t>China International Capital Corporation Hong Kong Securities Limited; Morgan Stanley Asia Limited; UBS AG Hong Kong Branch</t>
        </is>
      </c>
      <c r="BY58" s="127">
        <f>HYPERLINK("https://www1.hkexnews.hk/listedco/listconews/sehk/2021/0630/2021063000045.pdf","prospectus")</f>
        <v/>
      </c>
      <c r="BZ58" s="127">
        <f>HYPERLINK("https://www1.hkexnews.hk/listedco/listconews/sehk/2021/0712/2021071200036.htm","allotment")</f>
        <v/>
      </c>
      <c r="CA58" s="127">
        <f>HYPERLINK("https://www1.hkexnews.hk/listedco/listconews/sehk/2021/0805/2021080502190.pdf","stabilisation")</f>
        <v/>
      </c>
      <c r="CB58" s="128" t="n"/>
      <c r="CC58" s="108" t="inlineStr">
        <is>
          <t>P/E: loss-making at IPO, use P/S; P/S: 410x on HK$34.1m revenue, effectively pre-revenue; not comparable</t>
        </is>
      </c>
    </row>
    <row r="59" ht="22" customHeight="1">
      <c r="A59" s="107" t="inlineStr">
        <is>
          <t>2192</t>
        </is>
      </c>
      <c r="B59" s="108" t="inlineStr">
        <is>
          <t>MEDLIVE</t>
        </is>
      </c>
      <c r="C59" s="108" t="inlineStr">
        <is>
          <t>醫脈通</t>
        </is>
      </c>
      <c r="D59" s="108" t="inlineStr">
        <is>
          <t>Healthcare</t>
        </is>
      </c>
      <c r="E59" s="108" t="inlineStr">
        <is>
          <t>Digital health</t>
        </is>
      </c>
      <c r="F59" s="108" t="inlineStr">
        <is>
          <t>Health Care Services</t>
        </is>
      </c>
      <c r="G59" s="108" t="inlineStr">
        <is>
          <t>Standard</t>
        </is>
      </c>
      <c r="H59" s="109" t="n">
        <v>44392</v>
      </c>
      <c r="I59" s="110" t="n">
        <v>4218.6</v>
      </c>
      <c r="J59" s="108" t="inlineStr">
        <is>
          <t>gross (price x shares)</t>
        </is>
      </c>
      <c r="K59" s="111" t="n">
        <v>24.1</v>
      </c>
      <c r="L59" s="111" t="n">
        <v>27.2</v>
      </c>
      <c r="M59" s="111" t="n">
        <v>27.2</v>
      </c>
      <c r="N59" s="108" t="inlineStr">
        <is>
          <t>Y</t>
        </is>
      </c>
      <c r="O59" s="112" t="n">
        <v>100</v>
      </c>
      <c r="P59" s="112" t="n">
        <v>100</v>
      </c>
      <c r="Q59" s="113" t="n">
        <v>17703</v>
      </c>
      <c r="R59" s="108" t="inlineStr">
        <is>
          <t>prospectus:stated market capitalisation</t>
        </is>
      </c>
      <c r="S59" s="114" t="n">
        <v>592.41</v>
      </c>
      <c r="T59" s="115" t="n">
        <v>31.2</v>
      </c>
      <c r="U59" s="116" t="n">
        <v>40.48</v>
      </c>
      <c r="V59" s="117" t="n">
        <v>207</v>
      </c>
      <c r="W59" s="118" t="n"/>
      <c r="X59" s="119" t="n"/>
      <c r="Y59" s="113" t="n">
        <v>2510.91</v>
      </c>
      <c r="Z59" s="113" t="n">
        <v>92313139</v>
      </c>
      <c r="AA59" s="112" t="n">
        <v>14.18</v>
      </c>
      <c r="AB59" s="108" t="inlineStr">
        <is>
          <t>Fidelity Investments; FIL Investment Management (Hong Kong) Limited; GIC Private Limited; Matthews Funds; OrbiMed Funds; Springhill Master Fund Limited; Tencent Mobility Limited</t>
        </is>
      </c>
      <c r="AC59" s="108" t="inlineStr">
        <is>
          <t>fidelity;fil;gic;matthews;orbimed;springhill;tencent</t>
        </is>
      </c>
      <c r="AD59" s="112" t="n">
        <v>5.2</v>
      </c>
      <c r="AE59" s="108" t="inlineStr">
        <is>
          <t>partial</t>
        </is>
      </c>
      <c r="AF59" s="108" t="inlineStr">
        <is>
          <t>2021-08-06</t>
        </is>
      </c>
      <c r="AG59" s="108" t="inlineStr">
        <is>
          <t>Goldman Sachs</t>
        </is>
      </c>
      <c r="AH59" s="108" t="inlineStr">
        <is>
          <t>Goldman Sachs</t>
        </is>
      </c>
      <c r="AI59" s="120" t="n">
        <v>6.62</v>
      </c>
      <c r="AJ59" s="121" t="n">
        <v>13.97</v>
      </c>
      <c r="AK59" s="121" t="n">
        <v>-0.71</v>
      </c>
      <c r="AL59" s="121" t="n">
        <v>6.25</v>
      </c>
      <c r="AM59" s="121" t="n">
        <v>7.27</v>
      </c>
      <c r="AN59" s="122" t="n"/>
      <c r="AO59" s="112" t="n">
        <v>14.53</v>
      </c>
      <c r="AP59" s="121" t="n">
        <v>11.21</v>
      </c>
      <c r="AQ59" s="121" t="n">
        <v>29.23</v>
      </c>
      <c r="AR59" s="121" t="n">
        <v>42.28</v>
      </c>
      <c r="AS59" s="121" t="n">
        <v>-2.42</v>
      </c>
      <c r="AT59" s="121" t="n">
        <v>13.39</v>
      </c>
      <c r="AU59" s="121" t="n">
        <v>24.84</v>
      </c>
      <c r="AV59" s="121" t="n">
        <v>13.47</v>
      </c>
      <c r="AW59" s="121" t="n">
        <v>39.37</v>
      </c>
      <c r="AX59" s="121" t="n">
        <v>60.8</v>
      </c>
      <c r="AY59" s="121" t="n">
        <v>22.89</v>
      </c>
      <c r="AZ59" s="121" t="n">
        <v>-10.14</v>
      </c>
      <c r="BA59" s="121" t="n">
        <v>-9.5</v>
      </c>
      <c r="BB59" s="108" t="inlineStr">
        <is>
          <t>China Biotech ETF (HS biotech proxy)</t>
        </is>
      </c>
      <c r="BC59" s="121" t="n">
        <v>-76.36</v>
      </c>
      <c r="BD59" s="109" t="n">
        <v>46297</v>
      </c>
      <c r="BE59" s="110" t="n">
        <v>234.9</v>
      </c>
      <c r="BF59" s="113" t="n">
        <v>93.7</v>
      </c>
      <c r="BG59" s="108" t="inlineStr">
        <is>
          <t>Y</t>
        </is>
      </c>
      <c r="BH59" s="123" t="n">
        <v>188.9</v>
      </c>
      <c r="BI59" s="122" t="n"/>
      <c r="BJ59" s="123" t="n">
        <v>15.2</v>
      </c>
      <c r="BK59" s="123" t="n">
        <v>75.40000000000001</v>
      </c>
      <c r="BL59" s="124">
        <f>IF('BBG Verify'!S59="","not filed; run on terminal",'BBG Verify'!S59)</f>
        <v/>
      </c>
      <c r="BM59" s="125" t="inlineStr">
        <is>
          <t>N</t>
        </is>
      </c>
      <c r="BN59" s="126">
        <f>IF('BBG Verify'!K59="","not filed; run on terminal",'BBG Verify'!K59)</f>
        <v/>
      </c>
      <c r="BO59" s="108" t="inlineStr">
        <is>
          <t>N/A</t>
        </is>
      </c>
      <c r="BP59" s="108" t="inlineStr">
        <is>
          <t>N/A</t>
        </is>
      </c>
      <c r="BQ59" s="108" t="inlineStr">
        <is>
          <t>N/A</t>
        </is>
      </c>
      <c r="BR59" s="108" t="inlineStr">
        <is>
          <t>N/A</t>
        </is>
      </c>
      <c r="BS59" s="108" t="inlineStr">
        <is>
          <t>N/A</t>
        </is>
      </c>
      <c r="BT59" s="108" t="inlineStr">
        <is>
          <t>N/A</t>
        </is>
      </c>
      <c r="BU59" s="125" t="inlineStr">
        <is>
          <t>Frost &amp; Sullivan (Beijing) Inc., Shanghai Branch; Bank of China (Hong Kong) Limited; KY1-1102 Cayman Islands Hong Kong Share Registrar Tricor Investor Services Limited; Somerley Capital Limited; Bank of Beijing Co., Ltd., Beijing Branch; The Industrial Bank Co., Ltd., Beijing Branch; Sanyuanqiao Sub-branch; CORPORATE INFORMATION China Citic Bank Corporation Limited, Beijing Branch; Jiuxianqiao Sub-branch; DBS Bank (China) Limited, Beijing Branch</t>
        </is>
      </c>
      <c r="BV59" s="108" t="inlineStr">
        <is>
          <t>Haitong International Capital Limited; Goldman Sachs (Asia) L.L.C.</t>
        </is>
      </c>
      <c r="BW59" s="108" t="inlineStr">
        <is>
          <t>China International Capital Corporation Hong Kong Securities Limited; Goldman Sachs (Asia) L.L.C.; Haitong International Securities Company Limited</t>
        </is>
      </c>
      <c r="BX59" s="108" t="inlineStr">
        <is>
          <t>China International Capital Corporation Hong Kong Securities Limited; Goldman Sachs (Asia) L.L.C.; Haitong International Securities Company Limited</t>
        </is>
      </c>
      <c r="BY59" s="127">
        <f>HYPERLINK("https://www1.hkexnews.hk/listedco/listconews/sehk/2021/0630/2021063000187.pdf","prospectus")</f>
        <v/>
      </c>
      <c r="BZ59" s="127">
        <f>HYPERLINK("https://www1.hkexnews.hk/listedco/listconews/sehk/2021/0714/2021071400028.htm","allotment")</f>
        <v/>
      </c>
      <c r="CA59" s="127">
        <f>HYPERLINK("https://www1.hkexnews.hk/listedco/listconews/sehk/2021/0808/2021080800055.pdf","stabilisation")</f>
        <v/>
      </c>
      <c r="CB59" s="128" t="n"/>
      <c r="CC59" s="108" t="inlineStr">
        <is>
          <t>allocation: allocation table not in this notice's format (older prose announcement); day-1 tape: volume on file; the retail multiple needs the final public split, which this notice does not state</t>
        </is>
      </c>
    </row>
    <row r="60" ht="22" customHeight="1">
      <c r="A60" s="107" t="inlineStr">
        <is>
          <t>6909</t>
        </is>
      </c>
      <c r="B60" s="108" t="inlineStr">
        <is>
          <t>BETTERLIFE HLDG</t>
        </is>
      </c>
      <c r="C60" s="108" t="inlineStr">
        <is>
          <t>百得利控股</t>
        </is>
      </c>
      <c r="D60" s="108" t="inlineStr">
        <is>
          <t>Consumer</t>
        </is>
      </c>
      <c r="E60" s="108" t="inlineStr">
        <is>
          <t>Retail / distribution</t>
        </is>
      </c>
      <c r="F60" s="108" t="inlineStr">
        <is>
          <t>Automotive Retail</t>
        </is>
      </c>
      <c r="G60" s="108" t="inlineStr">
        <is>
          <t>Standard</t>
        </is>
      </c>
      <c r="H60" s="109" t="n">
        <v>44392</v>
      </c>
      <c r="I60" s="110" t="n">
        <v>660</v>
      </c>
      <c r="J60" s="108" t="inlineStr">
        <is>
          <t>gross (price x shares)</t>
        </is>
      </c>
      <c r="K60" s="111" t="n">
        <v>4</v>
      </c>
      <c r="L60" s="111" t="n">
        <v>4.8</v>
      </c>
      <c r="M60" s="111" t="n">
        <v>4.4</v>
      </c>
      <c r="N60" s="108" t="inlineStr">
        <is>
          <t>N</t>
        </is>
      </c>
      <c r="O60" s="112" t="n">
        <v>91.7</v>
      </c>
      <c r="P60" s="112" t="n">
        <v>50</v>
      </c>
      <c r="Q60" s="113" t="n">
        <v>2640</v>
      </c>
      <c r="R60" s="108" t="inlineStr">
        <is>
          <t>derived:deal size / offer % of enlarged capital</t>
        </is>
      </c>
      <c r="S60" s="114" t="n">
        <v>43.92</v>
      </c>
      <c r="T60" s="115" t="n">
        <v>2.28</v>
      </c>
      <c r="U60" s="116" t="n">
        <v>0</v>
      </c>
      <c r="V60" s="117" t="n">
        <v>127</v>
      </c>
      <c r="W60" s="112" t="n">
        <v>30</v>
      </c>
      <c r="X60" s="108" t="inlineStr">
        <is>
          <t>YES</t>
        </is>
      </c>
      <c r="Y60" s="113" t="n">
        <v>660</v>
      </c>
      <c r="Z60" s="113" t="n">
        <v>150000000</v>
      </c>
      <c r="AA60" s="112" t="n">
        <v>25</v>
      </c>
      <c r="AB60" s="108" t="inlineStr">
        <is>
          <t>none — no cornerstone tranche</t>
        </is>
      </c>
      <c r="AC60" s="108" t="inlineStr">
        <is>
          <t>none</t>
        </is>
      </c>
      <c r="AD60" s="112" t="n">
        <v>9.800000000000001</v>
      </c>
      <c r="AE60" s="108" t="inlineStr">
        <is>
          <t>full</t>
        </is>
      </c>
      <c r="AF60" s="119" t="n"/>
      <c r="AG60" s="108" t="inlineStr">
        <is>
          <t>Macquarie</t>
        </is>
      </c>
      <c r="AH60" s="108" t="inlineStr">
        <is>
          <t>Macquarie</t>
        </is>
      </c>
      <c r="AI60" s="120" t="n">
        <v>31.36</v>
      </c>
      <c r="AJ60" s="121" t="n">
        <v>25</v>
      </c>
      <c r="AK60" s="121" t="n">
        <v>0.38</v>
      </c>
      <c r="AL60" s="121" t="n">
        <v>34.09</v>
      </c>
      <c r="AM60" s="121" t="n">
        <v>-6.78</v>
      </c>
      <c r="AN60" s="123" t="n">
        <v>2.57</v>
      </c>
      <c r="AO60" s="112" t="n">
        <v>23.56</v>
      </c>
      <c r="AP60" s="121" t="n">
        <v>89.55</v>
      </c>
      <c r="AQ60" s="121" t="n">
        <v>63.41</v>
      </c>
      <c r="AR60" s="121" t="n">
        <v>57.27</v>
      </c>
      <c r="AS60" s="121" t="n">
        <v>51.64</v>
      </c>
      <c r="AT60" s="121" t="n">
        <v>30.73</v>
      </c>
      <c r="AU60" s="121" t="n">
        <v>25.82</v>
      </c>
      <c r="AV60" s="121" t="n">
        <v>90.8</v>
      </c>
      <c r="AW60" s="121" t="n">
        <v>71.28</v>
      </c>
      <c r="AX60" s="121" t="n">
        <v>68.45</v>
      </c>
      <c r="AY60" s="121" t="n">
        <v>38.95</v>
      </c>
      <c r="AZ60" s="121" t="n">
        <v>-7.87</v>
      </c>
      <c r="BA60" s="121" t="n">
        <v>-8.220000000000001</v>
      </c>
      <c r="BB60" s="108" t="inlineStr">
        <is>
          <t>Hang Seng Commerce &amp; Industry sub-index</t>
        </is>
      </c>
      <c r="BC60" s="121" t="n">
        <v>-94.93000000000001</v>
      </c>
      <c r="BD60" s="109" t="n">
        <v>46297</v>
      </c>
      <c r="BE60" s="110" t="n">
        <v>9386.4</v>
      </c>
      <c r="BF60" s="113" t="n">
        <v>337.1</v>
      </c>
      <c r="BG60" s="108" t="inlineStr">
        <is>
          <t>Y</t>
        </is>
      </c>
      <c r="BH60" s="123" t="n">
        <v>7.8</v>
      </c>
      <c r="BI60" s="122" t="n"/>
      <c r="BJ60" s="123" t="n">
        <v>62.1</v>
      </c>
      <c r="BK60" s="123" t="n">
        <v>0.3</v>
      </c>
      <c r="BL60" s="124">
        <f>IF('BBG Verify'!S60="","not filed; run on terminal",'BBG Verify'!S60)</f>
        <v/>
      </c>
      <c r="BM60" s="125" t="inlineStr">
        <is>
          <t>N</t>
        </is>
      </c>
      <c r="BN60" s="126">
        <f>IF('BBG Verify'!K60="","not filed; run on terminal",'BBG Verify'!K60)</f>
        <v/>
      </c>
      <c r="BO60" s="108" t="inlineStr">
        <is>
          <t>N/A</t>
        </is>
      </c>
      <c r="BP60" s="108" t="inlineStr">
        <is>
          <t>N/A</t>
        </is>
      </c>
      <c r="BQ60" s="108" t="inlineStr">
        <is>
          <t>N/A</t>
        </is>
      </c>
      <c r="BR60" s="108" t="inlineStr">
        <is>
          <t>N/A</t>
        </is>
      </c>
      <c r="BS60" s="108" t="inlineStr">
        <is>
          <t>N/A</t>
        </is>
      </c>
      <c r="BT60" s="108" t="inlineStr">
        <is>
          <t>N/A</t>
        </is>
      </c>
      <c r="BU60" s="125" t="inlineStr">
        <is>
          <t>Macquarie Capital Limited</t>
        </is>
      </c>
      <c r="BV60" s="108" t="inlineStr">
        <is>
          <t>Macquarie Capital Limited</t>
        </is>
      </c>
      <c r="BW60" s="108" t="inlineStr">
        <is>
          <t>Macquarie Capital Limited; Huatai Financial Holdings (Hong Kong) Limited; BOCOM International Securities Limited; UOB Kay Hian (Hong Kong) Limited; DBS Asia Capital Limited; First Shanghai Securities Limited; Maxa Capital Limited</t>
        </is>
      </c>
      <c r="BX60" s="108" t="inlineStr">
        <is>
          <t>Beta International Securities Limited; DBS Asia Capital Limited; First Shanghai Securities Limited; Futu Securities International (Hong Kong) Limited; Huatai Financial Holdings (Hong Kong) Limited; Huajin Securities (International) Limited; Macquarie Capital Limited; Maxa Capital Limited; UOB Kay Hian (Hong Kong) Limited</t>
        </is>
      </c>
      <c r="BY60" s="127">
        <f>HYPERLINK("https://www1.hkexnews.hk/listedco/listconews/sehk/2021/0630/2021063000067.pdf","prospectus")</f>
        <v/>
      </c>
      <c r="BZ60" s="127">
        <f>HYPERLINK("https://www1.hkexnews.hk/listedco/listconews/sehk/2021/0714/2021071400040.htm","allotment")</f>
        <v/>
      </c>
      <c r="CA60" s="127">
        <f>HYPERLINK("https://www1.hkexnews.hk/listedco/listconews/sehk/2021/0808/2021080800009.pdf","stabilisation")</f>
        <v/>
      </c>
      <c r="CB60" s="128" t="n"/>
      <c r="CC60" s="108" t="inlineStr">
        <is>
          <t>greenshoe: outcome published; expiry date not in the notice; cornerstone list: no cornerstone tranche</t>
        </is>
      </c>
    </row>
    <row r="61" ht="22" customHeight="1">
      <c r="A61" s="107" t="inlineStr">
        <is>
          <t>2215</t>
        </is>
      </c>
      <c r="B61" s="108" t="inlineStr">
        <is>
          <t>DEXIN SER GROUP</t>
        </is>
      </c>
      <c r="C61" s="108" t="inlineStr">
        <is>
          <t>德信服務集團</t>
        </is>
      </c>
      <c r="D61" s="108" t="inlineStr">
        <is>
          <t>Real Estate</t>
        </is>
      </c>
      <c r="E61" s="108" t="inlineStr">
        <is>
          <t>Property management</t>
        </is>
      </c>
      <c r="F61" s="108" t="inlineStr">
        <is>
          <t>Property Service and Management</t>
        </is>
      </c>
      <c r="G61" s="108" t="inlineStr">
        <is>
          <t>Standard</t>
        </is>
      </c>
      <c r="H61" s="109" t="n">
        <v>44392</v>
      </c>
      <c r="I61" s="110" t="n">
        <v>765</v>
      </c>
      <c r="J61" s="108" t="inlineStr">
        <is>
          <t>gross (price x shares)</t>
        </is>
      </c>
      <c r="K61" s="111" t="n">
        <v>2.66</v>
      </c>
      <c r="L61" s="111" t="n">
        <v>3.44</v>
      </c>
      <c r="M61" s="111" t="n">
        <v>3.06</v>
      </c>
      <c r="N61" s="108" t="inlineStr">
        <is>
          <t>N</t>
        </is>
      </c>
      <c r="O61" s="112" t="n">
        <v>89</v>
      </c>
      <c r="P61" s="112" t="n">
        <v>51.3</v>
      </c>
      <c r="Q61" s="113" t="n">
        <v>2760.7</v>
      </c>
      <c r="R61" s="108" t="inlineStr">
        <is>
          <t>derived:deal size / offer % of enlarged capital</t>
        </is>
      </c>
      <c r="S61" s="114" t="n">
        <v>3.08</v>
      </c>
      <c r="T61" s="115" t="n">
        <v>1.31</v>
      </c>
      <c r="U61" s="116" t="n">
        <v>21.4</v>
      </c>
      <c r="V61" s="117" t="n">
        <v>111</v>
      </c>
      <c r="W61" s="118" t="n"/>
      <c r="X61" s="119" t="n"/>
      <c r="Y61" s="113" t="n">
        <v>601.29</v>
      </c>
      <c r="Z61" s="113" t="n">
        <v>196500000</v>
      </c>
      <c r="AA61" s="112" t="n">
        <v>21.78</v>
      </c>
      <c r="AB61" s="108" t="inlineStr">
        <is>
          <t>Hangzhou Jintou Shenghan Investment Partnership (Limited Partnership); Hangzhou Light Industrial Association Investment Group Co.,Ltd; JIC TRUST CO., LTD</t>
        </is>
      </c>
      <c r="AC61" s="108" t="inlineStr">
        <is>
          <t>hangzhou-jintou;hangzhou-light;jic</t>
        </is>
      </c>
      <c r="AD61" s="112" t="n">
        <v>15</v>
      </c>
      <c r="AE61" s="108" t="inlineStr">
        <is>
          <t>partial</t>
        </is>
      </c>
      <c r="AF61" s="108" t="inlineStr">
        <is>
          <t>2021-08-07</t>
        </is>
      </c>
      <c r="AG61" s="108" t="inlineStr">
        <is>
          <t>CCB International Capital Limited</t>
        </is>
      </c>
      <c r="AH61" s="108" t="inlineStr">
        <is>
          <t>CCB</t>
        </is>
      </c>
      <c r="AI61" s="120" t="n">
        <v>-3.27</v>
      </c>
      <c r="AJ61" s="121" t="n">
        <v>0</v>
      </c>
      <c r="AK61" s="121" t="n">
        <v>1.98</v>
      </c>
      <c r="AL61" s="121" t="n">
        <v>0</v>
      </c>
      <c r="AM61" s="121" t="n">
        <v>0</v>
      </c>
      <c r="AN61" s="122" t="n"/>
      <c r="AO61" s="112" t="n">
        <v>2.61</v>
      </c>
      <c r="AP61" s="121" t="n">
        <v>-0</v>
      </c>
      <c r="AQ61" s="121" t="n">
        <v>9.800000000000001</v>
      </c>
      <c r="AR61" s="121" t="n">
        <v>10.13</v>
      </c>
      <c r="AS61" s="121" t="n">
        <v>0</v>
      </c>
      <c r="AT61" s="121" t="n">
        <v>9.800000000000001</v>
      </c>
      <c r="AU61" s="121" t="n">
        <v>10.13</v>
      </c>
      <c r="AV61" s="121" t="n">
        <v>-1.15</v>
      </c>
      <c r="AW61" s="121" t="n">
        <v>14.33</v>
      </c>
      <c r="AX61" s="121" t="n">
        <v>19.43</v>
      </c>
      <c r="AY61" s="121" t="n">
        <v>16.19</v>
      </c>
      <c r="AZ61" s="121" t="n">
        <v>-4.53</v>
      </c>
      <c r="BA61" s="121" t="n">
        <v>-6.39</v>
      </c>
      <c r="BB61" s="108" t="inlineStr">
        <is>
          <t>Hang Seng Properties sub-index</t>
        </is>
      </c>
      <c r="BC61" s="121" t="n">
        <v>-92.97</v>
      </c>
      <c r="BD61" s="109" t="n">
        <v>46297</v>
      </c>
      <c r="BE61" s="110" t="n">
        <v>761.6</v>
      </c>
      <c r="BF61" s="113" t="n">
        <v>116.4</v>
      </c>
      <c r="BG61" s="108" t="inlineStr">
        <is>
          <t>Y</t>
        </is>
      </c>
      <c r="BH61" s="123" t="n">
        <v>23.7</v>
      </c>
      <c r="BI61" s="122" t="n"/>
      <c r="BJ61" s="122" t="n"/>
      <c r="BK61" s="123" t="n">
        <v>3.6</v>
      </c>
      <c r="BL61" s="124">
        <f>IF('BBG Verify'!S61="","not filed; run on terminal",'BBG Verify'!S61)</f>
        <v/>
      </c>
      <c r="BM61" s="125" t="inlineStr">
        <is>
          <t>N</t>
        </is>
      </c>
      <c r="BN61" s="126">
        <f>IF('BBG Verify'!K61="","not filed; run on terminal",'BBG Verify'!K61)</f>
        <v/>
      </c>
      <c r="BO61" s="108" t="inlineStr">
        <is>
          <t>N/A</t>
        </is>
      </c>
      <c r="BP61" s="108" t="inlineStr">
        <is>
          <t>N/A</t>
        </is>
      </c>
      <c r="BQ61" s="108" t="inlineStr">
        <is>
          <t>N/A</t>
        </is>
      </c>
      <c r="BR61" s="108" t="inlineStr">
        <is>
          <t>N/A</t>
        </is>
      </c>
      <c r="BS61" s="108" t="inlineStr">
        <is>
          <t>N/A</t>
        </is>
      </c>
      <c r="BT61" s="108" t="inlineStr">
        <is>
          <t>N/A</t>
        </is>
      </c>
      <c r="BU61" s="125" t="inlineStr">
        <is>
          <t>CCB International Capital Limited</t>
        </is>
      </c>
      <c r="BV61" s="108" t="inlineStr">
        <is>
          <t>CCB International Capital Limited</t>
        </is>
      </c>
      <c r="BW61" s="108" t="inlineStr">
        <is>
          <t>CCB International Capital Limited; China Industrial Securities International Capital Limited; Zhongtai International Securities Limited; Vision Capital International Holdings Limited</t>
        </is>
      </c>
      <c r="BX61" s="108" t="inlineStr">
        <is>
          <t>CCB International Capital Limited; China Industrial Securities International Capital Limited; Futu Securities International (Hong Kong) Limited; I Win Securities Limited; Valuable Capital Limited; Vision Capital International Holdings Limited; Zhongtai International Securities Limited</t>
        </is>
      </c>
      <c r="BY61" s="127">
        <f>HYPERLINK("https://www1.hkexnews.hk/listedco/listconews/sehk/2021/0629/2021062900043.pdf","prospectus")</f>
        <v/>
      </c>
      <c r="BZ61" s="127">
        <f>HYPERLINK("https://www1.hkexnews.hk/listedco/listconews/sehk/2021/0714/2021071400259.htm","allotment")</f>
        <v/>
      </c>
      <c r="CA61" s="127">
        <f>HYPERLINK("https://www1.hkexnews.hk/listedco/listconews/sehk/2021/0808/2021080800043.pdf","stabilisation")</f>
        <v/>
      </c>
      <c r="CB61" s="128" t="n"/>
      <c r="CC61" s="108" t="inlineStr">
        <is>
          <t>allocation: allocation table not in this notice's format (older prose announcement); day-1 tape: volume on file; the retail multiple needs the final public split, which this notice does not state</t>
        </is>
      </c>
    </row>
    <row r="62" ht="22" customHeight="1">
      <c r="A62" s="107" t="inlineStr">
        <is>
          <t>9960</t>
        </is>
      </c>
      <c r="B62" s="108" t="inlineStr">
        <is>
          <t>KINDSTAR GLOBAL</t>
        </is>
      </c>
      <c r="C62" s="108" t="inlineStr">
        <is>
          <t>康聖環球</t>
        </is>
      </c>
      <c r="D62" s="108" t="inlineStr">
        <is>
          <t>Healthcare</t>
        </is>
      </c>
      <c r="E62" s="108" t="inlineStr">
        <is>
          <t>CXO / pharma services</t>
        </is>
      </c>
      <c r="F62" s="108" t="inlineStr">
        <is>
          <t>Health Care Services</t>
        </is>
      </c>
      <c r="G62" s="108" t="inlineStr">
        <is>
          <t>Standard</t>
        </is>
      </c>
      <c r="H62" s="109" t="n">
        <v>44393</v>
      </c>
      <c r="I62" s="110" t="n">
        <v>2214.2</v>
      </c>
      <c r="J62" s="108" t="inlineStr">
        <is>
          <t>gross (price x shares)</t>
        </is>
      </c>
      <c r="K62" s="111" t="n">
        <v>8.6</v>
      </c>
      <c r="L62" s="111" t="n">
        <v>9.779999999999999</v>
      </c>
      <c r="M62" s="111" t="n">
        <v>9.779999999999999</v>
      </c>
      <c r="N62" s="108" t="inlineStr">
        <is>
          <t>Y</t>
        </is>
      </c>
      <c r="O62" s="112" t="n">
        <v>100</v>
      </c>
      <c r="P62" s="112" t="n">
        <v>100</v>
      </c>
      <c r="Q62" s="113" t="n">
        <v>7993.5</v>
      </c>
      <c r="R62" s="108" t="inlineStr">
        <is>
          <t>derived:deal size / offer % of enlarged capital</t>
        </is>
      </c>
      <c r="S62" s="114" t="n">
        <v>543.03</v>
      </c>
      <c r="T62" s="115" t="n">
        <v>13.81</v>
      </c>
      <c r="U62" s="116" t="n">
        <v>49.08</v>
      </c>
      <c r="V62" s="117" t="n">
        <v>162</v>
      </c>
      <c r="W62" s="112" t="n">
        <v>50</v>
      </c>
      <c r="X62" s="108" t="inlineStr">
        <is>
          <t>YES</t>
        </is>
      </c>
      <c r="Y62" s="113" t="n">
        <v>1127.47</v>
      </c>
      <c r="Z62" s="113" t="n">
        <v>115285426</v>
      </c>
      <c r="AA62" s="112" t="n">
        <v>14.1</v>
      </c>
      <c r="AB62" s="108" t="inlineStr">
        <is>
          <t>Athos Capital Limited; BlackRock; Carmignac Funds; China Pinnacle Equity Management Limited; DNCA Finance; IvyRock Asset Management (HK) Limited; Snow Lake Capital (HK) Limited</t>
        </is>
      </c>
      <c r="AC62" s="108" t="inlineStr">
        <is>
          <t>athos;blackrock;carmignac;pinnacle;dnca;ivyrock;snow</t>
        </is>
      </c>
      <c r="AD62" s="112" t="n">
        <v>7.2</v>
      </c>
      <c r="AE62" s="108" t="inlineStr">
        <is>
          <t>lapsed</t>
        </is>
      </c>
      <c r="AF62" s="108" t="inlineStr">
        <is>
          <t>2021-08-06</t>
        </is>
      </c>
      <c r="AG62" s="108" t="inlineStr">
        <is>
          <t>Goldman Sachs</t>
        </is>
      </c>
      <c r="AH62" s="108" t="inlineStr">
        <is>
          <t>Goldman Sachs</t>
        </is>
      </c>
      <c r="AI62" s="120" t="n">
        <v>-7.06</v>
      </c>
      <c r="AJ62" s="121" t="n">
        <v>-7.57</v>
      </c>
      <c r="AK62" s="121" t="n">
        <v>-0.34</v>
      </c>
      <c r="AL62" s="121" t="n">
        <v>0</v>
      </c>
      <c r="AM62" s="121" t="n">
        <v>-7.57</v>
      </c>
      <c r="AN62" s="123" t="n">
        <v>0.86</v>
      </c>
      <c r="AO62" s="112" t="n">
        <v>7.67</v>
      </c>
      <c r="AP62" s="121" t="n">
        <v>-18</v>
      </c>
      <c r="AQ62" s="121" t="n">
        <v>-20.76</v>
      </c>
      <c r="AR62" s="121" t="n">
        <v>-45.3</v>
      </c>
      <c r="AS62" s="121" t="n">
        <v>-11.28</v>
      </c>
      <c r="AT62" s="121" t="n">
        <v>-14.27</v>
      </c>
      <c r="AU62" s="121" t="n">
        <v>-40.82</v>
      </c>
      <c r="AV62" s="121" t="n">
        <v>-13.98</v>
      </c>
      <c r="AW62" s="121" t="n">
        <v>-10.43</v>
      </c>
      <c r="AX62" s="121" t="n">
        <v>-28.86</v>
      </c>
      <c r="AY62" s="121" t="n">
        <v>-4.25</v>
      </c>
      <c r="AZ62" s="121" t="n">
        <v>-10.33</v>
      </c>
      <c r="BA62" s="121" t="n">
        <v>-10.02</v>
      </c>
      <c r="BB62" s="108" t="inlineStr">
        <is>
          <t>China Biotech ETF (HS biotech proxy)</t>
        </is>
      </c>
      <c r="BC62" s="121" t="n">
        <v>-90.8</v>
      </c>
      <c r="BD62" s="109" t="n">
        <v>46297</v>
      </c>
      <c r="BE62" s="110" t="n">
        <v>980.5</v>
      </c>
      <c r="BF62" s="113" t="n">
        <v>-1067.1</v>
      </c>
      <c r="BG62" s="108" t="inlineStr">
        <is>
          <t>N</t>
        </is>
      </c>
      <c r="BH62" s="108" t="inlineStr">
        <is>
          <t>n/m</t>
        </is>
      </c>
      <c r="BI62" s="122" t="n"/>
      <c r="BJ62" s="122" t="n"/>
      <c r="BK62" s="123" t="n">
        <v>8.199999999999999</v>
      </c>
      <c r="BL62" s="124">
        <f>IF('BBG Verify'!S62="","not filed; run on terminal",'BBG Verify'!S62)</f>
        <v/>
      </c>
      <c r="BM62" s="125" t="inlineStr">
        <is>
          <t>N</t>
        </is>
      </c>
      <c r="BN62" s="126">
        <f>IF('BBG Verify'!K62="","not filed; run on terminal",'BBG Verify'!K62)</f>
        <v/>
      </c>
      <c r="BO62" s="108" t="inlineStr">
        <is>
          <t>N/A</t>
        </is>
      </c>
      <c r="BP62" s="108" t="inlineStr">
        <is>
          <t>N/A</t>
        </is>
      </c>
      <c r="BQ62" s="108" t="inlineStr">
        <is>
          <t>N/A</t>
        </is>
      </c>
      <c r="BR62" s="108" t="inlineStr">
        <is>
          <t>N/A</t>
        </is>
      </c>
      <c r="BS62" s="108" t="inlineStr">
        <is>
          <t>N/A</t>
        </is>
      </c>
      <c r="BT62" s="108" t="inlineStr">
        <is>
          <t>N/A</t>
        </is>
      </c>
      <c r="BU62" s="125" t="inlineStr">
        <is>
          <t>Goldman Sachs (Asia) L.L.C; China International Capital Corporation Hong Kong Securities Limited; Credit Suisse (Hong Kong) Limited</t>
        </is>
      </c>
      <c r="BV62" s="108" t="inlineStr">
        <is>
          <t>China International Capital Corporation Hong Kong Securities Limited; Goldman Sachs (Asia) L.L.C.; Credit Suisse (Hong Kong) Limited</t>
        </is>
      </c>
      <c r="BW62" s="108" t="inlineStr">
        <is>
          <t>Goldman Sachs (Asia) L.L.C; China International Capital Corporation Hong Kong Securities Limited; Credit Suisse (Hong Kong) Limited</t>
        </is>
      </c>
      <c r="BX62" s="108" t="inlineStr">
        <is>
          <t>China International Capital Corporation Hong Kong Securities Limited; Credit Suisse (Hong Kong) Limited; Futu Securities International (Hong Kong) Limited; Guotai Junan Securities (Hong Kong) Limited; Goldman Sachs (Asia) L.L.C.; VMS Securities Limited</t>
        </is>
      </c>
      <c r="BY62" s="127">
        <f>HYPERLINK("https://www1.hkexnews.hk/listedco/listconews/sehk/2021/0629/2021062900037.pdf","prospectus")</f>
        <v/>
      </c>
      <c r="BZ62" s="127">
        <f>HYPERLINK("https://www1.hkexnews.hk/listedco/listconews/sehk/2021/0715/2021071500008.htm","allotment")</f>
        <v/>
      </c>
      <c r="CA62" s="127">
        <f>HYPERLINK("https://www1.hkexnews.hk/listedco/listconews/sehk/2021/0806/2021080601107.pdf","stabilisation")</f>
        <v/>
      </c>
      <c r="CB62" s="128" t="n"/>
      <c r="CC62" s="108" t="inlineStr">
        <is>
          <t>P/E: loss-making at IPO, use P/S</t>
        </is>
      </c>
    </row>
    <row r="63" ht="22" customHeight="1">
      <c r="A63" s="107" t="inlineStr">
        <is>
          <t>2175</t>
        </is>
      </c>
      <c r="B63" s="108" t="inlineStr">
        <is>
          <t>CH GENERAL EDU</t>
        </is>
      </c>
      <c r="C63" s="108" t="inlineStr">
        <is>
          <t>中國通才教育</t>
        </is>
      </c>
      <c r="D63" s="108" t="inlineStr">
        <is>
          <t>Consumer</t>
        </is>
      </c>
      <c r="E63" s="108" t="inlineStr">
        <is>
          <t>Consumer services / education</t>
        </is>
      </c>
      <c r="F63" s="108" t="inlineStr">
        <is>
          <t>Education Services</t>
        </is>
      </c>
      <c r="G63" s="108" t="inlineStr">
        <is>
          <t>Standard</t>
        </is>
      </c>
      <c r="H63" s="109" t="n">
        <v>44393</v>
      </c>
      <c r="I63" s="110" t="n">
        <v>461.2</v>
      </c>
      <c r="J63" s="108" t="inlineStr">
        <is>
          <t>gross (price x shares)</t>
        </is>
      </c>
      <c r="K63" s="111" t="n">
        <v>3.16</v>
      </c>
      <c r="L63" s="111" t="n">
        <v>4.38</v>
      </c>
      <c r="M63" s="111" t="n">
        <v>3.69</v>
      </c>
      <c r="N63" s="108" t="inlineStr">
        <is>
          <t>N</t>
        </is>
      </c>
      <c r="O63" s="112" t="n">
        <v>84.2</v>
      </c>
      <c r="P63" s="112" t="n">
        <v>43.4</v>
      </c>
      <c r="Q63" s="113" t="n">
        <v>2117</v>
      </c>
      <c r="R63" s="108" t="inlineStr">
        <is>
          <t>aastocks:上市市值 at the struck price</t>
        </is>
      </c>
      <c r="S63" s="114" t="n">
        <v>4.12</v>
      </c>
      <c r="T63" s="115" t="n">
        <v>1.47</v>
      </c>
      <c r="U63" s="116" t="n">
        <v>0</v>
      </c>
      <c r="V63" s="117" t="n">
        <v>110</v>
      </c>
      <c r="W63" s="118" t="n"/>
      <c r="X63" s="119" t="n"/>
      <c r="Y63" s="113" t="n">
        <v>461.2</v>
      </c>
      <c r="Z63" s="113" t="n">
        <v>125000000</v>
      </c>
      <c r="AA63" s="112" t="n">
        <v>21.79</v>
      </c>
      <c r="AB63" s="108" t="inlineStr">
        <is>
          <t>none — no cornerstone tranche</t>
        </is>
      </c>
      <c r="AC63" s="108" t="inlineStr">
        <is>
          <t>none</t>
        </is>
      </c>
      <c r="AD63" s="112" t="n">
        <v>20</v>
      </c>
      <c r="AE63" s="108" t="inlineStr">
        <is>
          <t>partial</t>
        </is>
      </c>
      <c r="AF63" s="119" t="n"/>
      <c r="AG63" s="108" t="inlineStr">
        <is>
          <t>Guotai Junan Securities</t>
        </is>
      </c>
      <c r="AH63" s="108" t="inlineStr">
        <is>
          <t>Guotai Junan</t>
        </is>
      </c>
      <c r="AI63" s="120" t="n">
        <v>-10.84</v>
      </c>
      <c r="AJ63" s="121" t="n">
        <v>0</v>
      </c>
      <c r="AK63" s="121" t="n">
        <v>-0.06</v>
      </c>
      <c r="AL63" s="121" t="n">
        <v>-10.84</v>
      </c>
      <c r="AM63" s="121" t="n">
        <v>12.16</v>
      </c>
      <c r="AN63" s="122" t="n"/>
      <c r="AO63" s="112" t="n">
        <v>12.46</v>
      </c>
      <c r="AP63" s="121" t="n">
        <v>0.8100000000000001</v>
      </c>
      <c r="AQ63" s="121" t="n">
        <v>20.6</v>
      </c>
      <c r="AR63" s="121" t="n">
        <v>16.8</v>
      </c>
      <c r="AS63" s="121" t="n">
        <v>0.8100000000000001</v>
      </c>
      <c r="AT63" s="121" t="n">
        <v>20.6</v>
      </c>
      <c r="AU63" s="121" t="n">
        <v>16.8</v>
      </c>
      <c r="AV63" s="121" t="n">
        <v>4.18</v>
      </c>
      <c r="AW63" s="121" t="n">
        <v>30.6</v>
      </c>
      <c r="AX63" s="121" t="n">
        <v>26.69</v>
      </c>
      <c r="AY63" s="121" t="n">
        <v>30.55</v>
      </c>
      <c r="AZ63" s="121" t="n">
        <v>-10</v>
      </c>
      <c r="BA63" s="121" t="n">
        <v>-9.949999999999999</v>
      </c>
      <c r="BB63" s="108" t="inlineStr">
        <is>
          <t>Hang Seng Commerce &amp; Industry sub-index</t>
        </is>
      </c>
      <c r="BC63" s="121" t="n">
        <v>-40.24</v>
      </c>
      <c r="BD63" s="109" t="n">
        <v>46297</v>
      </c>
      <c r="BE63" s="110" t="n">
        <v>298.2</v>
      </c>
      <c r="BF63" s="113" t="n">
        <v>157</v>
      </c>
      <c r="BG63" s="108" t="inlineStr">
        <is>
          <t>Y</t>
        </is>
      </c>
      <c r="BH63" s="123" t="n">
        <v>13.5</v>
      </c>
      <c r="BI63" s="122" t="n"/>
      <c r="BJ63" s="123" t="n">
        <v>13.5</v>
      </c>
      <c r="BK63" s="123" t="n">
        <v>7.1</v>
      </c>
      <c r="BL63" s="124">
        <f>IF('BBG Verify'!S63="","not filed; run on terminal",'BBG Verify'!S63)</f>
        <v/>
      </c>
      <c r="BM63" s="125" t="inlineStr">
        <is>
          <t>N</t>
        </is>
      </c>
      <c r="BN63" s="126">
        <f>IF('BBG Verify'!K63="","not filed; run on terminal",'BBG Verify'!K63)</f>
        <v/>
      </c>
      <c r="BO63" s="108" t="inlineStr">
        <is>
          <t>N/A</t>
        </is>
      </c>
      <c r="BP63" s="108" t="inlineStr">
        <is>
          <t>N/A</t>
        </is>
      </c>
      <c r="BQ63" s="108" t="inlineStr">
        <is>
          <t>N/A</t>
        </is>
      </c>
      <c r="BR63" s="108" t="inlineStr">
        <is>
          <t>N/A</t>
        </is>
      </c>
      <c r="BS63" s="108" t="inlineStr">
        <is>
          <t>N/A</t>
        </is>
      </c>
      <c r="BT63" s="108" t="inlineStr">
        <is>
          <t>N/A</t>
        </is>
      </c>
      <c r="BU63" s="125" t="inlineStr">
        <is>
          <t>Guotai Junan Capital Limited</t>
        </is>
      </c>
      <c r="BV63" s="108" t="inlineStr">
        <is>
          <t>Guotai Junan Capital Limited</t>
        </is>
      </c>
      <c r="BW63" s="108" t="inlineStr">
        <is>
          <t>Guotai Junan Securities (Hong Kong) Limited; China Merchants Securities (HK) Co., Limited; Haitong International Securities Company Limited; Shenwan Hongyuan Securities (H.K.) Limited; CMB International Capital Limited; China Everbright Securities (HK) Limited; Shanxi Securities International Limited; Harmonia Capital Limited; HTF Securities Limited; CMBC Securities Company Limited; Livermore Holdings Limited</t>
        </is>
      </c>
      <c r="BX63" s="108" t="inlineStr">
        <is>
          <t>Aristo Securities Limited; China Everbright Securities (HK) Limited; China Galaxy International Securities (Hong Kong) Company Limited; CMBC Securities Company Limited; CMB International Capital Limited; China Merchants Securities (HK) Company Limited; Guotai Junan Securities (Hong Kong) Limited; Harmonia Capital Limited; Haitong International Securities Company Limited; HTF Securities Limited; Livermore Holdings Limited; Merdeka Securities Limited</t>
        </is>
      </c>
      <c r="BY63" s="127">
        <f>HYPERLINK("https://www1.hkexnews.hk/listedco/listconews/sehk/2021/0630/2021063000077.pdf","prospectus")</f>
        <v/>
      </c>
      <c r="BZ63" s="127">
        <f>HYPERLINK("https://www1.hkexnews.hk/listedco/listconews/sehk/2021/0715/2021071500034.htm","allotment")</f>
        <v/>
      </c>
      <c r="CA63" s="127">
        <f>HYPERLINK("https://www1.hkexnews.hk/listedco/listconews/sehk/2021/0808/2021080800003.pdf","stabilisation")</f>
        <v/>
      </c>
      <c r="CB63" s="128" t="n"/>
      <c r="CC63" s="108" t="inlineStr">
        <is>
          <t>greenshoe: outcome published; expiry date not in the notice; market cap: published listing cap used; the estimate from stated market capitalisation, rescaled to the offer price disagreed; cornerstone list: no cornerstone tranche; allocation: allocation table not in this notice's format (older prose announcement); day-1 tape: volume on file; the retail multiple needs the final public split, which this notice does not state</t>
        </is>
      </c>
    </row>
    <row r="64" ht="22" customHeight="1">
      <c r="A64" s="107" t="inlineStr">
        <is>
          <t>2205</t>
        </is>
      </c>
      <c r="B64" s="108" t="inlineStr">
        <is>
          <t>KANGQIAO SER</t>
        </is>
      </c>
      <c r="C64" s="108" t="inlineStr">
        <is>
          <t>康橋悅生活</t>
        </is>
      </c>
      <c r="D64" s="108" t="inlineStr">
        <is>
          <t>Real Estate</t>
        </is>
      </c>
      <c r="E64" s="108" t="inlineStr">
        <is>
          <t>Property management</t>
        </is>
      </c>
      <c r="F64" s="108" t="inlineStr">
        <is>
          <t>Property Service and Management</t>
        </is>
      </c>
      <c r="G64" s="108" t="inlineStr">
        <is>
          <t>Standard</t>
        </is>
      </c>
      <c r="H64" s="109" t="n">
        <v>44393</v>
      </c>
      <c r="I64" s="110" t="n">
        <v>644</v>
      </c>
      <c r="J64" s="108" t="inlineStr">
        <is>
          <t>gross (price x shares)</t>
        </is>
      </c>
      <c r="K64" s="111" t="n">
        <v>2.78</v>
      </c>
      <c r="L64" s="111" t="n">
        <v>3.88</v>
      </c>
      <c r="M64" s="111" t="n">
        <v>3.68</v>
      </c>
      <c r="N64" s="108" t="inlineStr">
        <is>
          <t>N</t>
        </is>
      </c>
      <c r="O64" s="112" t="n">
        <v>94.8</v>
      </c>
      <c r="P64" s="112" t="n">
        <v>81.8</v>
      </c>
      <c r="Q64" s="113" t="n">
        <v>2324.1</v>
      </c>
      <c r="R64" s="108" t="inlineStr">
        <is>
          <t>derived:deal size / offer % of enlarged capital</t>
        </is>
      </c>
      <c r="S64" s="114" t="n">
        <v>23.72</v>
      </c>
      <c r="T64" s="115" t="n">
        <v>1.55</v>
      </c>
      <c r="U64" s="116" t="n">
        <v>38.55</v>
      </c>
      <c r="V64" s="117" t="n">
        <v>127</v>
      </c>
      <c r="W64" s="112" t="n">
        <v>30</v>
      </c>
      <c r="X64" s="108" t="inlineStr">
        <is>
          <t>YES</t>
        </is>
      </c>
      <c r="Y64" s="113" t="n">
        <v>395.74</v>
      </c>
      <c r="Z64" s="113" t="n">
        <v>107537500</v>
      </c>
      <c r="AA64" s="112" t="n">
        <v>17.03</v>
      </c>
      <c r="AB64" s="108" t="inlineStr">
        <is>
          <t>58.com Holdings Inc; Autobio Group Co., Ltd; Country Garden Property Services HK Holdings Company Limited</t>
        </is>
      </c>
      <c r="AC64" s="108" t="inlineStr">
        <is>
          <t>58;autobio;country</t>
        </is>
      </c>
      <c r="AD64" s="112" t="n">
        <v>10.2</v>
      </c>
      <c r="AE64" s="108" t="inlineStr">
        <is>
          <t>lapsed</t>
        </is>
      </c>
      <c r="AF64" s="108" t="inlineStr">
        <is>
          <t>2021-08-08</t>
        </is>
      </c>
      <c r="AG64" s="108" t="inlineStr">
        <is>
          <t>CCB International Capital Limited</t>
        </is>
      </c>
      <c r="AH64" s="108" t="inlineStr">
        <is>
          <t>CCB</t>
        </is>
      </c>
      <c r="AI64" s="120" t="n">
        <v>-2.17</v>
      </c>
      <c r="AJ64" s="121" t="n">
        <v>-1.09</v>
      </c>
      <c r="AK64" s="121" t="n">
        <v>-0.38</v>
      </c>
      <c r="AL64" s="121" t="n">
        <v>0</v>
      </c>
      <c r="AM64" s="121" t="n">
        <v>-1.09</v>
      </c>
      <c r="AN64" s="123" t="n">
        <v>1.05</v>
      </c>
      <c r="AO64" s="112" t="n">
        <v>7.34</v>
      </c>
      <c r="AP64" s="121" t="n">
        <v>-1.09</v>
      </c>
      <c r="AQ64" s="121" t="n">
        <v>-2.99</v>
      </c>
      <c r="AR64" s="121" t="n">
        <v>-0.82</v>
      </c>
      <c r="AS64" s="121" t="n">
        <v>0</v>
      </c>
      <c r="AT64" s="121" t="n">
        <v>-1.92</v>
      </c>
      <c r="AU64" s="121" t="n">
        <v>0.27</v>
      </c>
      <c r="AV64" s="121" t="n">
        <v>0.46</v>
      </c>
      <c r="AW64" s="121" t="n">
        <v>2.73</v>
      </c>
      <c r="AX64" s="121" t="n">
        <v>10.38</v>
      </c>
      <c r="AY64" s="121" t="n">
        <v>3.44</v>
      </c>
      <c r="AZ64" s="121" t="n">
        <v>-5.72</v>
      </c>
      <c r="BA64" s="121" t="n">
        <v>-5.36</v>
      </c>
      <c r="BB64" s="108" t="inlineStr">
        <is>
          <t>Hang Seng Properties sub-index</t>
        </is>
      </c>
      <c r="BC64" s="121" t="n">
        <v>-88.04000000000001</v>
      </c>
      <c r="BD64" s="109" t="n">
        <v>46297</v>
      </c>
      <c r="BE64" s="110" t="n">
        <v>633.1</v>
      </c>
      <c r="BF64" s="113" t="n">
        <v>101</v>
      </c>
      <c r="BG64" s="108" t="inlineStr">
        <is>
          <t>Y</t>
        </is>
      </c>
      <c r="BH64" s="123" t="n">
        <v>23</v>
      </c>
      <c r="BI64" s="123" t="n">
        <v>16.3</v>
      </c>
      <c r="BJ64" s="122" t="n"/>
      <c r="BK64" s="123" t="n">
        <v>3.7</v>
      </c>
      <c r="BL64" s="124">
        <f>IF('BBG Verify'!S64="","not filed; run on terminal",'BBG Verify'!S64)</f>
        <v/>
      </c>
      <c r="BM64" s="125" t="inlineStr">
        <is>
          <t>N</t>
        </is>
      </c>
      <c r="BN64" s="126">
        <f>IF('BBG Verify'!K64="","not filed; run on terminal",'BBG Verify'!K64)</f>
        <v/>
      </c>
      <c r="BO64" s="108" t="inlineStr">
        <is>
          <t>N/A</t>
        </is>
      </c>
      <c r="BP64" s="108" t="inlineStr">
        <is>
          <t>N/A</t>
        </is>
      </c>
      <c r="BQ64" s="108" t="inlineStr">
        <is>
          <t>N/A</t>
        </is>
      </c>
      <c r="BR64" s="108" t="inlineStr">
        <is>
          <t>N/A</t>
        </is>
      </c>
      <c r="BS64" s="108" t="inlineStr">
        <is>
          <t>N/A</t>
        </is>
      </c>
      <c r="BT64" s="108" t="inlineStr">
        <is>
          <t>N/A</t>
        </is>
      </c>
      <c r="BU64" s="125" t="inlineStr">
        <is>
          <t>CCB International Capital Limited</t>
        </is>
      </c>
      <c r="BV64" s="108" t="inlineStr">
        <is>
          <t>CCB International Capital Limited</t>
        </is>
      </c>
      <c r="BW64" s="108" t="inlineStr">
        <is>
          <t>CCB International Capital Limited; Haitong International Securities Company Limited; Sheng Yuan Securities Limited; Shenwan Hongyuan Securities (H.K.) Limited; DL SECURITIES (HK) LIMITED</t>
        </is>
      </c>
      <c r="BX64" s="108" t="inlineStr">
        <is>
          <t>CCB International Capital Limited; DL Securities (HK) Limited; Futu Securities International (Hong Kong) Limited; Guosen Securities (HK) Capital Company Limited; Haitong International Securities Company Limited; Livermore Holdings Limited; Opus Capital Limited; Shenwan Hongyuan Securities (H.K.) Limited; Sheng Yuan Securities Limited</t>
        </is>
      </c>
      <c r="BY64" s="127">
        <f>HYPERLINK("https://www1.hkexnews.hk/listedco/listconews/sehk/2021/0629/2021062900193.pdf","prospectus")</f>
        <v/>
      </c>
      <c r="BZ64" s="127">
        <f>HYPERLINK("https://www1.hkexnews.hk/listedco/listconews/sehk/2021/0715/2021071500080.htm","allotment")</f>
        <v/>
      </c>
      <c r="CA64" s="127">
        <f>HYPERLINK("https://www1.hkexnews.hk/listedco/listconews/sehk/2021/0809/2021080900033.pdf","stabilisation")</f>
        <v/>
      </c>
      <c r="CB64" s="128" t="n"/>
      <c r="CC64" s="108" t="inlineStr"/>
    </row>
    <row r="65" ht="22" customHeight="1">
      <c r="A65" s="107" t="inlineStr">
        <is>
          <t>6616</t>
        </is>
      </c>
      <c r="B65" s="108" t="inlineStr">
        <is>
          <t>GLOBAL NEW MAT</t>
        </is>
      </c>
      <c r="C65" s="108" t="inlineStr">
        <is>
          <t>環球新材國際</t>
        </is>
      </c>
      <c r="D65" s="108" t="inlineStr">
        <is>
          <t>Materials/Energy</t>
        </is>
      </c>
      <c r="E65" s="108" t="inlineStr">
        <is>
          <t>Chemicals</t>
        </is>
      </c>
      <c r="F65" s="108" t="inlineStr">
        <is>
          <t>Diversified Chemicals</t>
        </is>
      </c>
      <c r="G65" s="108" t="inlineStr">
        <is>
          <t>Standard</t>
        </is>
      </c>
      <c r="H65" s="109" t="n">
        <v>44393</v>
      </c>
      <c r="I65" s="110" t="n">
        <v>944.7</v>
      </c>
      <c r="J65" s="108" t="inlineStr">
        <is>
          <t>gross (price x shares)</t>
        </is>
      </c>
      <c r="K65" s="111" t="n">
        <v>3.52</v>
      </c>
      <c r="L65" s="111" t="n">
        <v>4.22</v>
      </c>
      <c r="M65" s="111" t="n">
        <v>3.25</v>
      </c>
      <c r="N65" s="108" t="inlineStr">
        <is>
          <t>N</t>
        </is>
      </c>
      <c r="O65" s="112" t="n">
        <v>77</v>
      </c>
      <c r="P65" s="112" t="n">
        <v>-38.6</v>
      </c>
      <c r="Q65" s="113" t="n">
        <v>4741.6</v>
      </c>
      <c r="R65" s="108" t="inlineStr">
        <is>
          <t>aastocks:上市市值 at the struck price</t>
        </is>
      </c>
      <c r="S65" s="114" t="n">
        <v>10.79</v>
      </c>
      <c r="T65" s="115" t="n">
        <v>1.16</v>
      </c>
      <c r="U65" s="116" t="n">
        <v>2.1</v>
      </c>
      <c r="V65" s="117" t="n">
        <v>177</v>
      </c>
      <c r="W65" s="118" t="n"/>
      <c r="X65" s="119" t="n"/>
      <c r="Y65" s="113" t="n">
        <v>924.86</v>
      </c>
      <c r="Z65" s="113" t="n">
        <v>284569846</v>
      </c>
      <c r="AA65" s="112" t="n">
        <v>19.51</v>
      </c>
      <c r="AB65" s="108" t="inlineStr">
        <is>
          <t>Shanghai Huijin Asset Management Co., Ltd; YBN Investments</t>
        </is>
      </c>
      <c r="AC65" s="108" t="inlineStr">
        <is>
          <t>shanghai-huijin;ybn</t>
        </is>
      </c>
      <c r="AD65" s="112" t="n">
        <v>6.6</v>
      </c>
      <c r="AE65" s="108" t="inlineStr">
        <is>
          <t>partial</t>
        </is>
      </c>
      <c r="AF65" s="108" t="inlineStr">
        <is>
          <t>2021-08-05</t>
        </is>
      </c>
      <c r="AG65" s="108" t="inlineStr">
        <is>
          <t>Essence International Securities</t>
        </is>
      </c>
      <c r="AH65" s="108" t="inlineStr">
        <is>
          <t>Essence</t>
        </is>
      </c>
      <c r="AI65" s="120" t="n">
        <v>21.54</v>
      </c>
      <c r="AJ65" s="121" t="n">
        <v>13.85</v>
      </c>
      <c r="AK65" s="121" t="n">
        <v>-0.06</v>
      </c>
      <c r="AL65" s="121" t="n">
        <v>26.15</v>
      </c>
      <c r="AM65" s="121" t="n">
        <v>-9.75</v>
      </c>
      <c r="AN65" s="122" t="n"/>
      <c r="AO65" s="112" t="n">
        <v>13.41</v>
      </c>
      <c r="AP65" s="121" t="n">
        <v>26.46</v>
      </c>
      <c r="AQ65" s="121" t="n">
        <v>93.84999999999999</v>
      </c>
      <c r="AR65" s="121" t="n">
        <v>61.54</v>
      </c>
      <c r="AS65" s="121" t="n">
        <v>11.08</v>
      </c>
      <c r="AT65" s="121" t="n">
        <v>70.27</v>
      </c>
      <c r="AU65" s="121" t="n">
        <v>41.89</v>
      </c>
      <c r="AV65" s="121" t="n">
        <v>29.83</v>
      </c>
      <c r="AW65" s="121" t="n">
        <v>103.85</v>
      </c>
      <c r="AX65" s="121" t="n">
        <v>71.43000000000001</v>
      </c>
      <c r="AY65" s="121" t="n">
        <v>80.22</v>
      </c>
      <c r="AZ65" s="121" t="n">
        <v>-10</v>
      </c>
      <c r="BA65" s="121" t="n">
        <v>-9.949999999999999</v>
      </c>
      <c r="BB65" s="108" t="inlineStr">
        <is>
          <t>Hang Seng Commerce &amp; Industry sub-index</t>
        </is>
      </c>
      <c r="BC65" s="121" t="n">
        <v>178.46</v>
      </c>
      <c r="BD65" s="109" t="n">
        <v>46297</v>
      </c>
      <c r="BE65" s="110" t="n">
        <v>626</v>
      </c>
      <c r="BF65" s="113" t="n">
        <v>168.1</v>
      </c>
      <c r="BG65" s="108" t="inlineStr">
        <is>
          <t>Y</t>
        </is>
      </c>
      <c r="BH65" s="123" t="n">
        <v>28.2</v>
      </c>
      <c r="BI65" s="122" t="n"/>
      <c r="BJ65" s="122" t="n"/>
      <c r="BK65" s="123" t="n">
        <v>7.6</v>
      </c>
      <c r="BL65" s="124">
        <f>IF('BBG Verify'!S65="","not filed; run on terminal",'BBG Verify'!S65)</f>
        <v/>
      </c>
      <c r="BM65" s="125" t="inlineStr">
        <is>
          <t>N</t>
        </is>
      </c>
      <c r="BN65" s="126">
        <f>IF('BBG Verify'!K65="","not filed; run on terminal",'BBG Verify'!K65)</f>
        <v/>
      </c>
      <c r="BO65" s="108" t="inlineStr">
        <is>
          <t>N/A</t>
        </is>
      </c>
      <c r="BP65" s="108" t="inlineStr">
        <is>
          <t>N/A</t>
        </is>
      </c>
      <c r="BQ65" s="108" t="inlineStr">
        <is>
          <t>N/A</t>
        </is>
      </c>
      <c r="BR65" s="108" t="inlineStr">
        <is>
          <t>N/A</t>
        </is>
      </c>
      <c r="BS65" s="108" t="inlineStr">
        <is>
          <t>N/A</t>
        </is>
      </c>
      <c r="BT65" s="108" t="inlineStr">
        <is>
          <t>N/A</t>
        </is>
      </c>
      <c r="BU65" s="125" t="inlineStr">
        <is>
          <t>Essence Corporate Finance (Hong Kong) Limited</t>
        </is>
      </c>
      <c r="BV65" s="108" t="inlineStr">
        <is>
          <t>Essence Corporate Finance (Hong Kong) Limited</t>
        </is>
      </c>
      <c r="BW65" s="108"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 Fuyuan Securities Limited; GF Securities (Hong Kong) Brokerage Limited; Guotai Junan Securities (Hong Kong) Limited; Guosen Securities (HK) Capital Company Limited; HK Monkey Securities Limited; Shenwan Hongyuan Securities (H.K.) Limited</t>
        </is>
      </c>
      <c r="BX65" s="108"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 Fuyuan Securities Limited; GF Securities (Hong Kong) Brokerage Limited; Guotai Junan Securities (Hong Kong) Limited; Guosen Securities (HK) Capital Company Limited; HK Monkey Securities Limited; Shenwan Hongyuan Securities (H.K.) Limited</t>
        </is>
      </c>
      <c r="BY65" s="127">
        <f>HYPERLINK("https://www1.hkexnews.hk/listedco/listconews/sehk/2021/0630/2021063000059.pdf","prospectus")</f>
        <v/>
      </c>
      <c r="BZ65" s="127">
        <f>HYPERLINK("https://www1.hkexnews.hk/listedco/listconews/sehk/2021/0715/2021071500120.htm","allotment")</f>
        <v/>
      </c>
      <c r="CA65" s="127">
        <f>HYPERLINK("https://www1.hkexnews.hk/listedco/listconews/sehk/2021/0805/2021080502158.pdf","stabilisation")</f>
        <v/>
      </c>
      <c r="CB65" s="128" t="n"/>
      <c r="CC65" s="108" t="inlineStr">
        <is>
          <t>price range: priced HK$3.25, below the HK$3.52 floor (downward offer price adjustment); market cap: published listing cap used; the estimate from deal size / offer % of enlarged capital disagreed; allocation: allocation table not in this notice's format (older prose announcement); day-1 tape: volume on file; the retail multiple needs the final public split, which this notice does not state</t>
        </is>
      </c>
    </row>
    <row r="66" ht="22" customHeight="1">
      <c r="A66" s="107" t="inlineStr">
        <is>
          <t>6611</t>
        </is>
      </c>
      <c r="B66" s="108" t="inlineStr">
        <is>
          <t>SANXUN GROUP</t>
        </is>
      </c>
      <c r="C66" s="108" t="inlineStr">
        <is>
          <t>三巽集團</t>
        </is>
      </c>
      <c r="D66" s="108" t="inlineStr">
        <is>
          <t>Real Estate</t>
        </is>
      </c>
      <c r="E66" s="108" t="inlineStr">
        <is>
          <t>Developers</t>
        </is>
      </c>
      <c r="F66" s="108" t="inlineStr">
        <is>
          <t>Property Development</t>
        </is>
      </c>
      <c r="G66" s="108" t="inlineStr">
        <is>
          <t>Standard</t>
        </is>
      </c>
      <c r="H66" s="109" t="n">
        <v>44396</v>
      </c>
      <c r="I66" s="110" t="n">
        <v>783.8</v>
      </c>
      <c r="J66" s="108" t="inlineStr">
        <is>
          <t>gross (price x shares)</t>
        </is>
      </c>
      <c r="K66" s="111" t="n">
        <v>3.3</v>
      </c>
      <c r="L66" s="111" t="n">
        <v>5.2</v>
      </c>
      <c r="M66" s="111" t="n">
        <v>4.75</v>
      </c>
      <c r="N66" s="108" t="inlineStr">
        <is>
          <t>N</t>
        </is>
      </c>
      <c r="O66" s="112" t="n">
        <v>91.3</v>
      </c>
      <c r="P66" s="112" t="n">
        <v>76.3</v>
      </c>
      <c r="Q66" s="113" t="n">
        <v>2805</v>
      </c>
      <c r="R66" s="108" t="inlineStr">
        <is>
          <t>prospectus:stated market capitalisation</t>
        </is>
      </c>
      <c r="S66" s="114" t="n">
        <v>3.22</v>
      </c>
      <c r="T66" s="115" t="n">
        <v>1.29</v>
      </c>
      <c r="U66" s="116" t="n">
        <v>0</v>
      </c>
      <c r="V66" s="117" t="n">
        <v>109</v>
      </c>
      <c r="W66" s="118" t="n"/>
      <c r="X66" s="119" t="n"/>
      <c r="Y66" s="113" t="n">
        <v>783.8</v>
      </c>
      <c r="Z66" s="113" t="n">
        <v>165000000</v>
      </c>
      <c r="AA66" s="112" t="n">
        <v>27.94</v>
      </c>
      <c r="AB66" s="108" t="inlineStr">
        <is>
          <t>none — no cornerstone tranche</t>
        </is>
      </c>
      <c r="AC66" s="108" t="inlineStr">
        <is>
          <t>none</t>
        </is>
      </c>
      <c r="AD66" s="112" t="n">
        <v>15</v>
      </c>
      <c r="AE66" s="108" t="inlineStr">
        <is>
          <t>partial</t>
        </is>
      </c>
      <c r="AF66" s="108" t="inlineStr">
        <is>
          <t>2021-08-11</t>
        </is>
      </c>
      <c r="AG66" s="108" t="inlineStr">
        <is>
          <t>CCB International Capital Limited</t>
        </is>
      </c>
      <c r="AH66" s="108" t="inlineStr">
        <is>
          <t>CCB</t>
        </is>
      </c>
      <c r="AI66" s="120" t="n">
        <v>0.63</v>
      </c>
      <c r="AJ66" s="121" t="n">
        <v>0</v>
      </c>
      <c r="AK66" s="121" t="n">
        <v>-1.17</v>
      </c>
      <c r="AL66" s="121" t="n">
        <v>0.21</v>
      </c>
      <c r="AM66" s="121" t="n">
        <v>-0.21</v>
      </c>
      <c r="AN66" s="122" t="n"/>
      <c r="AO66" s="112" t="n">
        <v>0.42</v>
      </c>
      <c r="AP66" s="121" t="n">
        <v>0</v>
      </c>
      <c r="AQ66" s="121" t="n">
        <v>-7.37</v>
      </c>
      <c r="AR66" s="121" t="n">
        <v>-3.16</v>
      </c>
      <c r="AS66" s="121" t="n">
        <v>0</v>
      </c>
      <c r="AT66" s="121" t="n">
        <v>-7.37</v>
      </c>
      <c r="AU66" s="121" t="n">
        <v>-3.16</v>
      </c>
      <c r="AV66" s="121" t="n">
        <v>4.15</v>
      </c>
      <c r="AW66" s="121" t="n">
        <v>-1.03</v>
      </c>
      <c r="AX66" s="121" t="n">
        <v>7.04</v>
      </c>
      <c r="AY66" s="121" t="n">
        <v>-2.14</v>
      </c>
      <c r="AZ66" s="121" t="n">
        <v>-6.34</v>
      </c>
      <c r="BA66" s="121" t="n">
        <v>-5.23</v>
      </c>
      <c r="BB66" s="108" t="inlineStr">
        <is>
          <t>Hang Seng Properties sub-index</t>
        </is>
      </c>
      <c r="BC66" s="121" t="n">
        <v>-99.03</v>
      </c>
      <c r="BD66" s="109" t="n">
        <v>45747</v>
      </c>
      <c r="BE66" s="110" t="n">
        <v>4340.7</v>
      </c>
      <c r="BF66" s="113" t="n">
        <v>404.5</v>
      </c>
      <c r="BG66" s="108" t="inlineStr">
        <is>
          <t>Y</t>
        </is>
      </c>
      <c r="BH66" s="123" t="n">
        <v>6.9</v>
      </c>
      <c r="BI66" s="122" t="n"/>
      <c r="BJ66" s="122" t="n"/>
      <c r="BK66" s="123" t="n">
        <v>0.6</v>
      </c>
      <c r="BL66" s="124">
        <f>IF('BBG Verify'!S66="","not filed; run on terminal",'BBG Verify'!S66)</f>
        <v/>
      </c>
      <c r="BM66" s="125" t="inlineStr">
        <is>
          <t>N</t>
        </is>
      </c>
      <c r="BN66" s="126">
        <f>IF('BBG Verify'!K66="","not filed; run on terminal",'BBG Verify'!K66)</f>
        <v/>
      </c>
      <c r="BO66" s="108" t="inlineStr">
        <is>
          <t>N/A</t>
        </is>
      </c>
      <c r="BP66" s="108" t="inlineStr">
        <is>
          <t>N/A</t>
        </is>
      </c>
      <c r="BQ66" s="108" t="inlineStr">
        <is>
          <t>N/A</t>
        </is>
      </c>
      <c r="BR66" s="108" t="inlineStr">
        <is>
          <t>N/A</t>
        </is>
      </c>
      <c r="BS66" s="108" t="inlineStr">
        <is>
          <t>N/A</t>
        </is>
      </c>
      <c r="BT66" s="108" t="inlineStr">
        <is>
          <t>N/A</t>
        </is>
      </c>
      <c r="BU66" s="125" t="inlineStr">
        <is>
          <t>CCB International Capital Limited</t>
        </is>
      </c>
      <c r="BV66" s="108" t="inlineStr">
        <is>
          <t>CCB International Capital Limited</t>
        </is>
      </c>
      <c r="BW66" s="108" t="inlineStr">
        <is>
          <t>CCB International Capital Limited; CRIC Securities Company Limited; BOCOM International Securities Limited</t>
        </is>
      </c>
      <c r="BX66" s="108" t="inlineStr">
        <is>
          <t>Beta International Securities Limited; CCB International Capital Limited; CRIC Securities Company Limited; Futu Securities International (Hong Kong) Limited; I Win Securities Limited; Valuable Capital Limited</t>
        </is>
      </c>
      <c r="BY66" s="127">
        <f>HYPERLINK("https://www1.hkexnews.hk/listedco/listconews/sehk/2021/0630/2021063000037.pdf","prospectus")</f>
        <v/>
      </c>
      <c r="BZ66" s="127">
        <f>HYPERLINK("https://www1.hkexnews.hk/listedco/listconews/sehk/2021/0716/2021071600044.htm","allotment")</f>
        <v/>
      </c>
      <c r="CA66" s="127">
        <f>HYPERLINK("https://www1.hkexnews.hk/listedco/listconews/sehk/2021/0811/2021081101494.pdf","stabilisation")</f>
        <v/>
      </c>
      <c r="CB66" s="128" t="n"/>
      <c r="CC66" s="108" t="inlineStr">
        <is>
          <t>sponsor: English name not in the filing; AAStocks 保薦人 shown; cornerstone list: no cornerstone tranche; price series: Confirmed suspension; last traded close 2025-03-31; price and benchmark returns both end on that date.; allocation: allocation table not in this notice's format (older prose announcement); day-1 tape: volume on file; the retail multiple needs the final public split, which this notice does not state</t>
        </is>
      </c>
    </row>
    <row r="67" ht="22" customHeight="1">
      <c r="A67" s="107" t="inlineStr">
        <is>
          <t>2015</t>
        </is>
      </c>
      <c r="B67" s="108" t="inlineStr">
        <is>
          <t>LI AUTO-W</t>
        </is>
      </c>
      <c r="C67" s="108" t="inlineStr">
        <is>
          <t>理想汽車－Ｗ</t>
        </is>
      </c>
      <c r="D67" s="108" t="inlineStr">
        <is>
          <t>Consumer</t>
        </is>
      </c>
      <c r="E67" s="108" t="inlineStr">
        <is>
          <t>Autos (NEV OEM)</t>
        </is>
      </c>
      <c r="F67" s="108" t="inlineStr">
        <is>
          <t>Automobile Manufacturers</t>
        </is>
      </c>
      <c r="G67" s="108" t="inlineStr">
        <is>
          <t>WVR</t>
        </is>
      </c>
      <c r="H67" s="109" t="n">
        <v>44420</v>
      </c>
      <c r="I67" s="110" t="n">
        <v>11800</v>
      </c>
      <c r="J67" s="108" t="inlineStr">
        <is>
          <t>gross (price x shares)</t>
        </is>
      </c>
      <c r="K67" s="129" t="n"/>
      <c r="L67" s="111" t="n">
        <v>150</v>
      </c>
      <c r="M67" s="111" t="n">
        <v>118</v>
      </c>
      <c r="N67" s="108" t="inlineStr">
        <is>
          <t>N</t>
        </is>
      </c>
      <c r="O67" s="112" t="n">
        <v>78.7</v>
      </c>
      <c r="P67" s="118" t="n"/>
      <c r="Q67" s="113" t="n">
        <v>242136</v>
      </c>
      <c r="R67" s="108" t="inlineStr">
        <is>
          <t>prospectus:stated market capitalisation, rescaled to the offer price</t>
        </is>
      </c>
      <c r="S67" s="114" t="n">
        <v>5.5</v>
      </c>
      <c r="T67" s="115" t="n">
        <v>7.9</v>
      </c>
      <c r="U67" s="116" t="n">
        <v>0</v>
      </c>
      <c r="V67" s="117" t="n">
        <v>108</v>
      </c>
      <c r="W67" s="118" t="n"/>
      <c r="X67" s="119" t="n"/>
      <c r="Y67" s="113" t="n">
        <v>11800</v>
      </c>
      <c r="Z67" s="113" t="n">
        <v>100000000</v>
      </c>
      <c r="AA67" s="112" t="n">
        <v>4.87</v>
      </c>
      <c r="AB67" s="108" t="inlineStr">
        <is>
          <t>none — no cornerstone tranche</t>
        </is>
      </c>
      <c r="AC67" s="108" t="inlineStr">
        <is>
          <t>none</t>
        </is>
      </c>
      <c r="AD67" s="112" t="n">
        <v>5.56</v>
      </c>
      <c r="AE67" s="108" t="inlineStr">
        <is>
          <t>partial</t>
        </is>
      </c>
      <c r="AF67" s="119" t="n"/>
      <c r="AG67" s="108" t="inlineStr">
        <is>
          <t>Goldman Sachs</t>
        </is>
      </c>
      <c r="AH67" s="108" t="inlineStr">
        <is>
          <t>Goldman Sachs</t>
        </is>
      </c>
      <c r="AI67" s="120" t="n">
        <v>-1.78</v>
      </c>
      <c r="AJ67" s="121" t="n">
        <v>-0.85</v>
      </c>
      <c r="AK67" s="121" t="n">
        <v>-0.17</v>
      </c>
      <c r="AL67" s="121" t="n">
        <v>0</v>
      </c>
      <c r="AM67" s="121" t="n">
        <v>-0.85</v>
      </c>
      <c r="AN67" s="122" t="n"/>
      <c r="AO67" s="112" t="n">
        <v>2.54</v>
      </c>
      <c r="AP67" s="121" t="n">
        <v>-7.71</v>
      </c>
      <c r="AQ67" s="121" t="n">
        <v>0.76</v>
      </c>
      <c r="AR67" s="121" t="n">
        <v>0.85</v>
      </c>
      <c r="AS67" s="121" t="n">
        <v>-6.92</v>
      </c>
      <c r="AT67" s="121" t="n">
        <v>1.62</v>
      </c>
      <c r="AU67" s="121" t="n">
        <v>1.71</v>
      </c>
      <c r="AV67" s="121" t="n">
        <v>0.27</v>
      </c>
      <c r="AW67" s="121" t="n">
        <v>2.02</v>
      </c>
      <c r="AX67" s="121" t="n">
        <v>5.17</v>
      </c>
      <c r="AY67" s="121" t="n">
        <v>2.71</v>
      </c>
      <c r="AZ67" s="121" t="n">
        <v>-1.26</v>
      </c>
      <c r="BA67" s="121" t="n">
        <v>-1.09</v>
      </c>
      <c r="BB67" s="108" t="inlineStr">
        <is>
          <t>Hang Seng Commerce &amp; Industry sub-index</t>
        </is>
      </c>
      <c r="BC67" s="121" t="n">
        <v>-63.88</v>
      </c>
      <c r="BD67" s="109" t="n">
        <v>46297</v>
      </c>
      <c r="BE67" s="110" t="n">
        <v>10402.3</v>
      </c>
      <c r="BF67" s="113" t="n">
        <v>-166.9</v>
      </c>
      <c r="BG67" s="108" t="inlineStr">
        <is>
          <t>N</t>
        </is>
      </c>
      <c r="BH67" s="108" t="inlineStr">
        <is>
          <t>n/m</t>
        </is>
      </c>
      <c r="BI67" s="122" t="n"/>
      <c r="BJ67" s="122" t="n"/>
      <c r="BK67" s="123" t="n">
        <v>23.3</v>
      </c>
      <c r="BL67" s="124">
        <f>IF('BBG Verify'!S67="","not filed; run on terminal",'BBG Verify'!S67)</f>
        <v/>
      </c>
      <c r="BM67" s="125" t="inlineStr">
        <is>
          <t>N</t>
        </is>
      </c>
      <c r="BN67" s="126">
        <f>IF('BBG Verify'!K67="","not filed; run on terminal",'BBG Verify'!K67)</f>
        <v/>
      </c>
      <c r="BO67" s="108" t="inlineStr">
        <is>
          <t>N/A</t>
        </is>
      </c>
      <c r="BP67" s="108" t="inlineStr">
        <is>
          <t>N/A</t>
        </is>
      </c>
      <c r="BQ67" s="108" t="inlineStr">
        <is>
          <t>N/A</t>
        </is>
      </c>
      <c r="BR67" s="108" t="inlineStr">
        <is>
          <t>N/A</t>
        </is>
      </c>
      <c r="BS67" s="108" t="inlineStr">
        <is>
          <t>N/A</t>
        </is>
      </c>
      <c r="BT67" s="108" t="inlineStr">
        <is>
          <t>N/A</t>
        </is>
      </c>
      <c r="BU67" s="125" t="inlineStr">
        <is>
          <t>Goldman Sachs (Asia) L.L.C; China International Capital Corporation Hong Kong Securities Limited</t>
        </is>
      </c>
      <c r="BV67" s="108" t="inlineStr">
        <is>
          <t>China International Capital Corporation Hong Kong Securities Limited; Goldman Sachs (Asia) L.L.C.</t>
        </is>
      </c>
      <c r="BW67" s="108" t="inlineStr">
        <is>
          <t>Goldman Sachs (Asia) L.L.C; China International Capital Corporation Hong Kong Securities Limited; UBS AG Hong Kong Branch; UBS Securities LLC; CLSA Limited; BOCI Asia Limited; CMB International Capital Limited; Futu Securities International (Hong Kong) Limited; to our Company UBS AG Hong Kong Branch</t>
        </is>
      </c>
      <c r="BX67" s="108" t="inlineStr">
        <is>
          <t>BOCI Asia Limited; China International Capital Corporation Hong Kong Securities Limited; CLSA Limited; CMB International Capital Limited; Futu Securities International (Hong Kong) Limited; Goldman Sachs (Asia) L.L.C.; UBS AG Hong Kong Branch</t>
        </is>
      </c>
      <c r="BY67" s="127">
        <f>HYPERLINK("https://www1.hkexnews.hk/listedco/listconews/sehk/2021/0803/2021080300011.pdf","prospectus")</f>
        <v/>
      </c>
      <c r="BZ67" s="127">
        <f>HYPERLINK("https://www1.hkexnews.hk/listedco/listconews/sehk/2021/0811/2021081100020.htm","allotment")</f>
        <v/>
      </c>
      <c r="CA67" s="127">
        <f>HYPERLINK("https://www1.hkexnews.hk/listedco/listconews/sehk/2021/0905/2021090500025.pdf","stabilisation")</f>
        <v/>
      </c>
      <c r="CB67" s="128" t="n"/>
      <c r="CC67" s="108" t="inlineStr">
        <is>
          <t>P/E: loss-making at IPO, use P/S; greenshoe: outcome published; expiry date not in the notice; range low: maximum offer price only, no floor published; market cap: prospectus cap HK$307,800m at HK$150.00, rescaled to HK$118.00; cornerstone list: no cornerstone tranche; allocation: allocation table not in this notice's format (older prose announcement); day-1 tape: volume on file; the retail multiple needs the final public split, which this notice does not state</t>
        </is>
      </c>
    </row>
    <row r="68" ht="22" customHeight="1">
      <c r="A68" s="107" t="inlineStr">
        <is>
          <t>6609</t>
        </is>
      </c>
      <c r="B68" s="108" t="inlineStr">
        <is>
          <t>HEARTCARE-B</t>
        </is>
      </c>
      <c r="C68" s="108" t="inlineStr">
        <is>
          <t>心瑋醫療－Ｂ</t>
        </is>
      </c>
      <c r="D68" s="108" t="inlineStr">
        <is>
          <t>Healthcare</t>
        </is>
      </c>
      <c r="E68" s="108" t="inlineStr">
        <is>
          <t>Medical devices</t>
        </is>
      </c>
      <c r="F68" s="108" t="inlineStr">
        <is>
          <t>Biotechnology</t>
        </is>
      </c>
      <c r="G68" s="108" t="inlineStr">
        <is>
          <t>18A</t>
        </is>
      </c>
      <c r="H68" s="109" t="n">
        <v>44428</v>
      </c>
      <c r="I68" s="110" t="n">
        <v>459.7</v>
      </c>
      <c r="J68" s="108" t="inlineStr">
        <is>
          <t>net proceeds</t>
        </is>
      </c>
      <c r="K68" s="111" t="n">
        <v>160</v>
      </c>
      <c r="L68" s="111" t="n">
        <v>171</v>
      </c>
      <c r="M68" s="111" t="n">
        <v>171</v>
      </c>
      <c r="N68" s="108" t="inlineStr">
        <is>
          <t>Y</t>
        </is>
      </c>
      <c r="O68" s="112" t="n">
        <v>100</v>
      </c>
      <c r="P68" s="112" t="n">
        <v>100</v>
      </c>
      <c r="Q68" s="113" t="n">
        <v>6640.7</v>
      </c>
      <c r="R68" s="108" t="inlineStr">
        <is>
          <t>aastocks:上市市值 at the struck price</t>
        </is>
      </c>
      <c r="S68" s="114" t="n">
        <v>333.14</v>
      </c>
      <c r="T68" s="115" t="n">
        <v>8.300000000000001</v>
      </c>
      <c r="U68" s="116" t="n">
        <v>13.8</v>
      </c>
      <c r="V68" s="117" t="n">
        <v>44</v>
      </c>
      <c r="W68" s="112" t="n">
        <v>50</v>
      </c>
      <c r="X68" s="108" t="inlineStr">
        <is>
          <t>YES</t>
        </is>
      </c>
      <c r="Y68" s="113" t="n">
        <v>396.26</v>
      </c>
      <c r="Z68" s="131" t="n"/>
      <c r="AA68" s="112" t="n">
        <v>5.97</v>
      </c>
      <c r="AB68" s="108" t="inlineStr">
        <is>
          <t>3W Fund Management Limited; Aspex Master Fund; Boyu Capital Opportunities Master Fund; Goldstream Capital Segregated Portfolio Company - Goldstream Healthcare Focus Fund SP; Lake Bleu Prime Healthcare Master Fund Limited; LYFE CAPITAL FUND III (DRAGON), L.P; Octagon Investments Master Fund LP; Sage Partners Master Fund; Superstring Capital Master Fund LP; The Valliance Fund</t>
        </is>
      </c>
      <c r="AC68" s="108" t="inlineStr">
        <is>
          <t>3w;aspex;boyu;goldstream;lake;lyfe;octagon;sage;superstring;valliance</t>
        </is>
      </c>
      <c r="AD68" s="112" t="n">
        <v>9.470000000000001</v>
      </c>
      <c r="AE68" s="108" t="inlineStr">
        <is>
          <t>lapsed</t>
        </is>
      </c>
      <c r="AF68" s="119" t="n"/>
      <c r="AG68" s="108" t="inlineStr">
        <is>
          <t>Goldman Sachs</t>
        </is>
      </c>
      <c r="AH68" s="108" t="inlineStr">
        <is>
          <t>Goldman Sachs</t>
        </is>
      </c>
      <c r="AI68" s="120" t="n">
        <v>-14.91</v>
      </c>
      <c r="AJ68" s="121" t="n">
        <v>-24.56</v>
      </c>
      <c r="AK68" s="121" t="n">
        <v>-4.89</v>
      </c>
      <c r="AL68" s="121" t="n">
        <v>-17.43</v>
      </c>
      <c r="AM68" s="121" t="n">
        <v>-8.640000000000001</v>
      </c>
      <c r="AN68" s="123" t="n">
        <v>0.62</v>
      </c>
      <c r="AO68" s="112" t="n">
        <v>11.33</v>
      </c>
      <c r="AP68" s="121" t="n">
        <v>-28.19</v>
      </c>
      <c r="AQ68" s="121" t="n">
        <v>-42.4</v>
      </c>
      <c r="AR68" s="121" t="n">
        <v>-56.9</v>
      </c>
      <c r="AS68" s="121" t="n">
        <v>-4.81</v>
      </c>
      <c r="AT68" s="121" t="n">
        <v>-23.65</v>
      </c>
      <c r="AU68" s="121" t="n">
        <v>-42.87</v>
      </c>
      <c r="AV68" s="121" t="n">
        <v>-24.24</v>
      </c>
      <c r="AW68" s="121" t="n">
        <v>-42.45</v>
      </c>
      <c r="AX68" s="121" t="n">
        <v>-47.55</v>
      </c>
      <c r="AY68" s="121" t="n">
        <v>-28.85</v>
      </c>
      <c r="AZ68" s="121" t="n">
        <v>0.05</v>
      </c>
      <c r="BA68" s="121" t="n">
        <v>5.2</v>
      </c>
      <c r="BB68" s="108" t="inlineStr">
        <is>
          <t>China Biotech ETF (HS biotech proxy)</t>
        </is>
      </c>
      <c r="BC68" s="121" t="n">
        <v>-68.92</v>
      </c>
      <c r="BD68" s="109" t="n">
        <v>46297</v>
      </c>
      <c r="BE68" s="110" t="n">
        <v>0.1</v>
      </c>
      <c r="BF68" s="131" t="n"/>
      <c r="BG68" s="119" t="n"/>
      <c r="BH68" s="124">
        <f>IF('BBG Verify'!O68="","not filed; run on terminal",'BBG Verify'!O68)</f>
        <v/>
      </c>
      <c r="BI68" s="122" t="n"/>
      <c r="BJ68" s="123" t="n">
        <v>20.8</v>
      </c>
      <c r="BK68" s="123" t="n">
        <v>66407</v>
      </c>
      <c r="BL68" s="124">
        <f>IF('BBG Verify'!S68="","not filed; run on terminal",'BBG Verify'!S68)</f>
        <v/>
      </c>
      <c r="BM68" s="125" t="inlineStr">
        <is>
          <t>N</t>
        </is>
      </c>
      <c r="BN68" s="126">
        <f>IF('BBG Verify'!K68="","not filed; run on terminal",'BBG Verify'!K68)</f>
        <v/>
      </c>
      <c r="BO68" s="108" t="inlineStr">
        <is>
          <t>N/A</t>
        </is>
      </c>
      <c r="BP68" s="108" t="inlineStr">
        <is>
          <t>N/A</t>
        </is>
      </c>
      <c r="BQ68" s="108" t="inlineStr">
        <is>
          <t>N/A</t>
        </is>
      </c>
      <c r="BR68" s="108" t="inlineStr">
        <is>
          <t>N/A</t>
        </is>
      </c>
      <c r="BS68" s="108" t="inlineStr">
        <is>
          <t>N/A</t>
        </is>
      </c>
      <c r="BT68" s="108" t="inlineStr">
        <is>
          <t>N/A</t>
        </is>
      </c>
      <c r="BU68" s="125" t="inlineStr">
        <is>
          <t>Goldman Sachs (Asia) L.L.C; China International Capital Corporation Hong Kong Securities Limited</t>
        </is>
      </c>
      <c r="BV68" s="108" t="inlineStr">
        <is>
          <t>China International Capital Corporation Hong Kong Securities Limited; Goldman Sachs (Asia) L.L.C.</t>
        </is>
      </c>
      <c r="BW68" s="108" t="inlineStr">
        <is>
          <t>Goldman Sachs (Asia) L.L.C; China International Capital Corporation Hong Kong Securities Limited</t>
        </is>
      </c>
      <c r="BX68" s="108" t="inlineStr">
        <is>
          <t>China International Capital Corporation Hong Kong Securities Limited; Futu Securities International (Hong Kong) Limited; Goldman Sachs (Asia) L.L.C.</t>
        </is>
      </c>
      <c r="BY68" s="127">
        <f>HYPERLINK("https://www1.hkexnews.hk/listedco/listconews/sehk/2021/0810/2021081000015.pdf","prospectus")</f>
        <v/>
      </c>
      <c r="BZ68" s="127">
        <f>HYPERLINK("https://www1.hkexnews.hk/listedco/listconews/sehk/2021/0819/2021081900014.htm","allotment")</f>
        <v/>
      </c>
      <c r="CA68" s="127">
        <f>HYPERLINK("https://www1.hkexnews.hk/listedco/listconews/sehk/2021/0912/2021091200105.pdf","stabilisation")</f>
        <v/>
      </c>
      <c r="CB68" s="128" t="n"/>
      <c r="CC68" s="108" t="inlineStr">
        <is>
          <t>P/E: net income not extractable; greenshoe: outcome published; expiry date not in the notice; market cap: published listing cap used; the estimate from deal size / offer % of enlarged capital disagreed; cornerstone: % from the prospectus; AAStocks table includes non-cornerstone orders; P/S: 66,407x on HK$0.1m revenue, effectively pre-revenue; not comparable; financials: not extractable; pre-IPO year outside the AAStocks window; eff float shares: share count unavailable; the HK$m figure is exact</t>
        </is>
      </c>
    </row>
    <row r="69" ht="22" customHeight="1">
      <c r="A69" s="107" t="inlineStr">
        <is>
          <t>6669</t>
        </is>
      </c>
      <c r="B69" s="108" t="inlineStr">
        <is>
          <t>ACOTEC-B</t>
        </is>
      </c>
      <c r="C69" s="108" t="inlineStr">
        <is>
          <t>先瑞達醫療－Ｂ</t>
        </is>
      </c>
      <c r="D69" s="108" t="inlineStr">
        <is>
          <t>Healthcare</t>
        </is>
      </c>
      <c r="E69" s="108" t="inlineStr">
        <is>
          <t>Medical devices</t>
        </is>
      </c>
      <c r="F69" s="108" t="inlineStr">
        <is>
          <t>Biotechnology</t>
        </is>
      </c>
      <c r="G69" s="108" t="inlineStr">
        <is>
          <t>18A</t>
        </is>
      </c>
      <c r="H69" s="109" t="n">
        <v>44432</v>
      </c>
      <c r="I69" s="110" t="n">
        <v>1633.5</v>
      </c>
      <c r="J69" s="108" t="inlineStr">
        <is>
          <t>gross (price x shares)</t>
        </is>
      </c>
      <c r="K69" s="111" t="n">
        <v>22.2</v>
      </c>
      <c r="L69" s="111" t="n">
        <v>23.8</v>
      </c>
      <c r="M69" s="111" t="n">
        <v>23.8</v>
      </c>
      <c r="N69" s="108" t="inlineStr">
        <is>
          <t>Y</t>
        </is>
      </c>
      <c r="O69" s="112" t="n">
        <v>100</v>
      </c>
      <c r="P69" s="112" t="n">
        <v>100</v>
      </c>
      <c r="Q69" s="113" t="n">
        <v>6694.7</v>
      </c>
      <c r="R69" s="108" t="inlineStr">
        <is>
          <t>derived:deal size / offer % of enlarged capital</t>
        </is>
      </c>
      <c r="S69" s="114" t="n">
        <v>654.51</v>
      </c>
      <c r="T69" s="115" t="n">
        <v>4.86</v>
      </c>
      <c r="U69" s="116" t="n">
        <v>28.5</v>
      </c>
      <c r="V69" s="117" t="n">
        <v>189</v>
      </c>
      <c r="W69" s="112" t="n">
        <v>50</v>
      </c>
      <c r="X69" s="108" t="inlineStr">
        <is>
          <t>YES</t>
        </is>
      </c>
      <c r="Y69" s="113" t="n">
        <v>1167.95</v>
      </c>
      <c r="Z69" s="113" t="n">
        <v>49072595</v>
      </c>
      <c r="AA69" s="112" t="n">
        <v>17.45</v>
      </c>
      <c r="AB69" s="108" t="inlineStr">
        <is>
          <t>Athos Asia Event Driven Master Fund; China International Capital Corporation Limited; China Universal Asset Management Limited Liability Company; CPE Investment Wu Limited; Daguan International Limited; Dymon Asia Capital (Singapore) Pte. Ltd; E Fund Global Healthcare Sector Sponsored Hybrid Fund; New Journey Hospital Group Ltd; Panjing Harbourview Investment Fund; Perseverance Asset Management International (Singapore) Pte. Ltd; Pinpoint Asset Management Limited; PRIMEONE LUCK LIMITED; The Valliance Fund</t>
        </is>
      </c>
      <c r="AC69" s="108" t="inlineStr">
        <is>
          <t>athos;china-international;universal;cpe;daguan;dymon;healthcare;new-journey;panjing;perseverance;pinpoint;primeone;valliance</t>
        </is>
      </c>
      <c r="AD69" s="112" t="n">
        <v>11.72</v>
      </c>
      <c r="AE69" s="108" t="inlineStr">
        <is>
          <t>lapsed</t>
        </is>
      </c>
      <c r="AF69" s="108" t="inlineStr">
        <is>
          <t>2021-09-16</t>
        </is>
      </c>
      <c r="AG69" s="108" t="inlineStr">
        <is>
          <t>Morgan Stanley Asia Limited</t>
        </is>
      </c>
      <c r="AH69" s="108" t="inlineStr">
        <is>
          <t>Morgan Stanley</t>
        </is>
      </c>
      <c r="AI69" s="120" t="n">
        <v>-25.38</v>
      </c>
      <c r="AJ69" s="121" t="n">
        <v>-26.05</v>
      </c>
      <c r="AK69" s="121" t="n">
        <v>1.9</v>
      </c>
      <c r="AL69" s="121" t="n">
        <v>-23.03</v>
      </c>
      <c r="AM69" s="121" t="n">
        <v>-3.92</v>
      </c>
      <c r="AN69" s="123" t="n">
        <v>0.9</v>
      </c>
      <c r="AO69" s="112" t="n">
        <v>7.53</v>
      </c>
      <c r="AP69" s="121" t="n">
        <v>-26.89</v>
      </c>
      <c r="AQ69" s="121" t="n">
        <v>-37.9</v>
      </c>
      <c r="AR69" s="121" t="n">
        <v>-41.01</v>
      </c>
      <c r="AS69" s="121" t="n">
        <v>-1.14</v>
      </c>
      <c r="AT69" s="121" t="n">
        <v>-16.02</v>
      </c>
      <c r="AU69" s="121" t="n">
        <v>-20.23</v>
      </c>
      <c r="AV69" s="121" t="n">
        <v>-25.03</v>
      </c>
      <c r="AW69" s="121" t="n">
        <v>-38.55</v>
      </c>
      <c r="AX69" s="121" t="n">
        <v>-36.11</v>
      </c>
      <c r="AY69" s="121" t="n">
        <v>-14.79</v>
      </c>
      <c r="AZ69" s="121" t="n">
        <v>0.65</v>
      </c>
      <c r="BA69" s="121" t="n">
        <v>-1.23</v>
      </c>
      <c r="BB69" s="108" t="inlineStr">
        <is>
          <t>China Biotech ETF (HS biotech proxy)</t>
        </is>
      </c>
      <c r="BC69" s="121" t="n">
        <v>-74.59999999999999</v>
      </c>
      <c r="BD69" s="109" t="n">
        <v>46297</v>
      </c>
      <c r="BE69" s="110" t="n">
        <v>21.6</v>
      </c>
      <c r="BF69" s="113" t="n">
        <v>-4.1</v>
      </c>
      <c r="BG69" s="108" t="inlineStr">
        <is>
          <t>N</t>
        </is>
      </c>
      <c r="BH69" s="108" t="inlineStr">
        <is>
          <t>n/m</t>
        </is>
      </c>
      <c r="BI69" s="122" t="n"/>
      <c r="BJ69" s="123" t="n">
        <v>14</v>
      </c>
      <c r="BK69" s="123" t="n">
        <v>309.9</v>
      </c>
      <c r="BL69" s="124">
        <f>IF('BBG Verify'!S69="","not filed; run on terminal",'BBG Verify'!S69)</f>
        <v/>
      </c>
      <c r="BM69" s="125" t="inlineStr">
        <is>
          <t>N</t>
        </is>
      </c>
      <c r="BN69" s="126">
        <f>IF('BBG Verify'!K69="","not filed; run on terminal",'BBG Verify'!K69)</f>
        <v/>
      </c>
      <c r="BO69" s="108" t="inlineStr">
        <is>
          <t>N/A</t>
        </is>
      </c>
      <c r="BP69" s="108" t="inlineStr">
        <is>
          <t>N/A</t>
        </is>
      </c>
      <c r="BQ69" s="108" t="inlineStr">
        <is>
          <t>N/A</t>
        </is>
      </c>
      <c r="BR69" s="108" t="inlineStr">
        <is>
          <t>N/A</t>
        </is>
      </c>
      <c r="BS69" s="108" t="inlineStr">
        <is>
          <t>N/A</t>
        </is>
      </c>
      <c r="BT69" s="108" t="inlineStr">
        <is>
          <t>N/A</t>
        </is>
      </c>
      <c r="BU69" s="125" t="inlineStr">
        <is>
          <t>Morgan Stanley Asia Limited; China International Capital Corporation Hong Kong Securities Limited</t>
        </is>
      </c>
      <c r="BV69" s="108" t="inlineStr">
        <is>
          <t>China International Capital Corporation Hong Kong Securities Limited; Morgan Stanley Asia Limited</t>
        </is>
      </c>
      <c r="BW69" s="108" t="inlineStr">
        <is>
          <t>Morgan Stanley Asia Limited; Morgan Stanley &amp; Co. International plc; China Merchants Securities (HK) Co., Limited; Valuable Capital Limited</t>
        </is>
      </c>
      <c r="BX69" s="108" t="inlineStr">
        <is>
          <t>China International Capital Corporation Hong Kong Securities Limited; China Merchants Securities (HK) Company Limited; Morgan Stanley Asia Limited; Valuable Capital Limited</t>
        </is>
      </c>
      <c r="BY69" s="127">
        <f>HYPERLINK("https://www1.hkexnews.hk/listedco/listconews/sehk/2021/0812/2021081200017.pdf","prospectus")</f>
        <v/>
      </c>
      <c r="BZ69" s="127">
        <f>HYPERLINK("https://www1.hkexnews.hk/listedco/listconews/sehk/2021/0823/2021082300014.htm","allotment")</f>
        <v/>
      </c>
      <c r="CA69" s="127">
        <f>HYPERLINK("https://www1.hkexnews.hk/listedco/listconews/sehk/2021/0916/2021091601755.pdf","stabilisation")</f>
        <v/>
      </c>
      <c r="CB69" s="128" t="n"/>
      <c r="CC69" s="108" t="inlineStr">
        <is>
          <t>P/E: loss-making at IPO, use P/S; cornerstone: % from the prospectus; AAStocks table includes non-cornerstone orders; P/S: 310x on HK$21.6m revenue, effectively pre-revenue; not comparable</t>
        </is>
      </c>
    </row>
    <row r="70" ht="22" customHeight="1">
      <c r="A70" s="107" t="inlineStr">
        <is>
          <t>9869</t>
        </is>
      </c>
      <c r="B70" s="108" t="inlineStr">
        <is>
          <t>HELENS</t>
        </is>
      </c>
      <c r="C70" s="108" t="inlineStr">
        <is>
          <t>海倫司</t>
        </is>
      </c>
      <c r="D70" s="108" t="inlineStr">
        <is>
          <t>Consumer</t>
        </is>
      </c>
      <c r="E70" s="108" t="inlineStr">
        <is>
          <t>F&amp;B chains / restaurants</t>
        </is>
      </c>
      <c r="F70" s="108" t="inlineStr">
        <is>
          <t>Restaurants</t>
        </is>
      </c>
      <c r="G70" s="108" t="inlineStr">
        <is>
          <t>Standard</t>
        </is>
      </c>
      <c r="H70" s="109" t="n">
        <v>44449</v>
      </c>
      <c r="I70" s="110" t="n">
        <v>2662</v>
      </c>
      <c r="J70" s="108" t="inlineStr">
        <is>
          <t>gross (price x shares)</t>
        </is>
      </c>
      <c r="K70" s="111" t="n">
        <v>18.82</v>
      </c>
      <c r="L70" s="111" t="n">
        <v>20.72</v>
      </c>
      <c r="M70" s="111" t="n">
        <v>19.77</v>
      </c>
      <c r="N70" s="108" t="inlineStr">
        <is>
          <t>N</t>
        </is>
      </c>
      <c r="O70" s="112" t="n">
        <v>95.40000000000001</v>
      </c>
      <c r="P70" s="112" t="n">
        <v>50</v>
      </c>
      <c r="Q70" s="113" t="n">
        <v>27135.6</v>
      </c>
      <c r="R70" s="108" t="inlineStr">
        <is>
          <t>prospectus:stated market capitalisation, rescaled to the offer price</t>
        </is>
      </c>
      <c r="S70" s="114" t="n">
        <v>30.8</v>
      </c>
      <c r="T70" s="115" t="n">
        <v>25.58</v>
      </c>
      <c r="U70" s="116" t="n">
        <v>0</v>
      </c>
      <c r="V70" s="117" t="n">
        <v>145</v>
      </c>
      <c r="W70" s="118" t="n"/>
      <c r="X70" s="119" t="n"/>
      <c r="Y70" s="113" t="n">
        <v>2662</v>
      </c>
      <c r="Z70" s="113" t="n">
        <v>134650000</v>
      </c>
      <c r="AA70" s="112" t="n">
        <v>9.81</v>
      </c>
      <c r="AB70" s="108" t="inlineStr">
        <is>
          <t>none — no cornerstone tranche</t>
        </is>
      </c>
      <c r="AC70" s="108" t="inlineStr">
        <is>
          <t>none</t>
        </is>
      </c>
      <c r="AD70" s="112" t="n">
        <v>19.4478</v>
      </c>
      <c r="AE70" s="108" t="inlineStr">
        <is>
          <t>full</t>
        </is>
      </c>
      <c r="AF70" s="108" t="inlineStr">
        <is>
          <t>2021-10-03</t>
        </is>
      </c>
      <c r="AG70" s="108" t="inlineStr">
        <is>
          <t>China International Capital Corporation Hong Kong Securities Limited</t>
        </is>
      </c>
      <c r="AH70" s="108" t="inlineStr">
        <is>
          <t>China International</t>
        </is>
      </c>
      <c r="AI70" s="120" t="n">
        <v>6.22</v>
      </c>
      <c r="AJ70" s="121" t="n">
        <v>22.91</v>
      </c>
      <c r="AK70" s="121" t="n">
        <v>2.15</v>
      </c>
      <c r="AL70" s="121" t="n">
        <v>16.59</v>
      </c>
      <c r="AM70" s="121" t="n">
        <v>5.42</v>
      </c>
      <c r="AN70" s="122" t="n"/>
      <c r="AO70" s="112" t="n">
        <v>11.93</v>
      </c>
      <c r="AP70" s="121" t="n">
        <v>16.34</v>
      </c>
      <c r="AQ70" s="121" t="n">
        <v>2.93</v>
      </c>
      <c r="AR70" s="121" t="n">
        <v>4.96</v>
      </c>
      <c r="AS70" s="121" t="n">
        <v>-5.35</v>
      </c>
      <c r="AT70" s="121" t="n">
        <v>-16.26</v>
      </c>
      <c r="AU70" s="121" t="n">
        <v>-14.6</v>
      </c>
      <c r="AV70" s="121" t="n">
        <v>19.3</v>
      </c>
      <c r="AW70" s="121" t="n">
        <v>5.11</v>
      </c>
      <c r="AX70" s="121" t="n">
        <v>16.34</v>
      </c>
      <c r="AY70" s="121" t="n">
        <v>-12.03</v>
      </c>
      <c r="AZ70" s="121" t="n">
        <v>-2.18</v>
      </c>
      <c r="BA70" s="121" t="n">
        <v>-4.23</v>
      </c>
      <c r="BB70" s="108" t="inlineStr">
        <is>
          <t>Hang Seng Commerce &amp; Industry sub-index</t>
        </is>
      </c>
      <c r="BC70" s="121" t="n">
        <v>-95.25</v>
      </c>
      <c r="BD70" s="109" t="n">
        <v>46297</v>
      </c>
      <c r="BE70" s="110" t="n">
        <v>899.7</v>
      </c>
      <c r="BF70" s="113" t="n">
        <v>106.7</v>
      </c>
      <c r="BG70" s="108" t="inlineStr">
        <is>
          <t>Y</t>
        </is>
      </c>
      <c r="BH70" s="123" t="n">
        <v>254.3</v>
      </c>
      <c r="BI70" s="122" t="n"/>
      <c r="BJ70" s="123" t="n">
        <v>49.6</v>
      </c>
      <c r="BK70" s="123" t="n">
        <v>30.2</v>
      </c>
      <c r="BL70" s="124">
        <f>IF('BBG Verify'!S70="","not filed; run on terminal",'BBG Verify'!S70)</f>
        <v/>
      </c>
      <c r="BM70" s="125" t="inlineStr">
        <is>
          <t>N</t>
        </is>
      </c>
      <c r="BN70" s="126">
        <f>IF('BBG Verify'!K70="","not filed; run on terminal",'BBG Verify'!K70)</f>
        <v/>
      </c>
      <c r="BO70" s="108" t="inlineStr">
        <is>
          <t>N/A</t>
        </is>
      </c>
      <c r="BP70" s="108" t="inlineStr">
        <is>
          <t>N/A</t>
        </is>
      </c>
      <c r="BQ70" s="108" t="inlineStr">
        <is>
          <t>N/A</t>
        </is>
      </c>
      <c r="BR70" s="108" t="inlineStr">
        <is>
          <t>N/A</t>
        </is>
      </c>
      <c r="BS70" s="108" t="inlineStr">
        <is>
          <t>N/A</t>
        </is>
      </c>
      <c r="BT70" s="108" t="inlineStr">
        <is>
          <t>N/A</t>
        </is>
      </c>
      <c r="BU70" s="125" t="inlineStr">
        <is>
          <t>China International Capital Corporation Hong Kong Securities Limited; Somerley Capital Limited; CMB Wing Lung Bank Limited; Standard Chartered Bank (Hong Kong) Limited; and Transfer Office Walkers Corporate Limited; China Merchants Bank Co., Ltd., Wuhan Guanggu Technology Sub-branch; Wuhan, Hubei Province The PRC Standard Chartered Bank (Hong Kong) Ltd</t>
        </is>
      </c>
      <c r="BV70" s="108" t="inlineStr">
        <is>
          <t>China International Capital Corporation Hong Kong Securities Limited</t>
        </is>
      </c>
      <c r="BW70" s="108" t="inlineStr">
        <is>
          <t>China International Capital Corporation Hong Kong Securities Limited</t>
        </is>
      </c>
      <c r="BX70" s="108" t="inlineStr">
        <is>
          <t>China International Capital Corporation Hong Kong Securities Limited</t>
        </is>
      </c>
      <c r="BY70" s="127">
        <f>HYPERLINK("https://www1.hkexnews.hk/listedco/listconews/sehk/2021/0831/2021083100011.pdf","prospectus")</f>
        <v/>
      </c>
      <c r="BZ70" s="127">
        <f>HYPERLINK("https://www1.hkexnews.hk/listedco/listconews/sehk/2021/0909/2021090900010.htm","allotment")</f>
        <v/>
      </c>
      <c r="CA70" s="127">
        <f>HYPERLINK("https://www1.hkexnews.hk/listedco/listconews/sehk/2021/1003/2021100300023.pdf","stabilisation")</f>
        <v/>
      </c>
      <c r="CB70" s="128" t="n"/>
      <c r="CC70" s="108" t="inlineStr">
        <is>
          <t>market cap: prospectus cap HK$25,832m at HK$18.82, rescaled to HK$19.77; cornerstone list: no cornerstone tranche; allocation: allocation table not in this notice's format (older prose announcement); day-1 tape: volume on file; the retail multiple needs the final public split, which this notice does not state</t>
        </is>
      </c>
    </row>
    <row r="71" ht="22" customHeight="1">
      <c r="A71" s="107" t="inlineStr">
        <is>
          <t>2216</t>
        </is>
      </c>
      <c r="B71" s="108" t="inlineStr">
        <is>
          <t>BRONCUS-B</t>
        </is>
      </c>
      <c r="C71" s="108" t="inlineStr">
        <is>
          <t>堃博醫療－Ｂ</t>
        </is>
      </c>
      <c r="D71" s="108" t="inlineStr">
        <is>
          <t>Healthcare</t>
        </is>
      </c>
      <c r="E71" s="108" t="inlineStr">
        <is>
          <t>Medical devices</t>
        </is>
      </c>
      <c r="F71" s="108" t="inlineStr">
        <is>
          <t>Biotechnology</t>
        </is>
      </c>
      <c r="G71" s="108" t="inlineStr">
        <is>
          <t>18A</t>
        </is>
      </c>
      <c r="H71" s="109" t="n">
        <v>44463</v>
      </c>
      <c r="I71" s="110" t="n">
        <v>1670.9</v>
      </c>
      <c r="J71" s="108" t="inlineStr">
        <is>
          <t>gross (price x shares)</t>
        </is>
      </c>
      <c r="K71" s="111" t="n">
        <v>17.2</v>
      </c>
      <c r="L71" s="111" t="n">
        <v>18.7</v>
      </c>
      <c r="M71" s="111" t="n">
        <v>18.7</v>
      </c>
      <c r="N71" s="108" t="inlineStr">
        <is>
          <t>Y</t>
        </is>
      </c>
      <c r="O71" s="112" t="n">
        <v>100</v>
      </c>
      <c r="P71" s="112" t="n">
        <v>100</v>
      </c>
      <c r="Q71" s="113" t="n">
        <v>9435</v>
      </c>
      <c r="R71" s="108" t="inlineStr">
        <is>
          <t>prospectus:stated market capitalisation</t>
        </is>
      </c>
      <c r="S71" s="114" t="n">
        <v>11.13</v>
      </c>
      <c r="T71" s="115" t="n">
        <v>4.1</v>
      </c>
      <c r="U71" s="116" t="n">
        <v>42.3</v>
      </c>
      <c r="V71" s="117" t="n">
        <v>103</v>
      </c>
      <c r="W71" s="118" t="n"/>
      <c r="X71" s="119" t="n"/>
      <c r="Y71" s="113" t="n">
        <v>964.11</v>
      </c>
      <c r="Z71" s="113" t="n">
        <v>51557835</v>
      </c>
      <c r="AA71" s="112" t="n">
        <v>10.22</v>
      </c>
      <c r="AB71" s="108" t="inlineStr">
        <is>
          <t>Artisan China Post-Venture Master Fund LP; CEPHEI; Emerging Markets Healthcare Partners LLC; Lake Bleu Prime Healthcare Master Fund Limited; Snow Lake China Master Fund, Ltd; Springhill Master Fund Limited; Summer Healthcare Fund, L.P; The Valliance Fund; UBS Asset Management (Singapore) Ltd; Worldwide Healthcare Partners LLC</t>
        </is>
      </c>
      <c r="AC71" s="108" t="inlineStr">
        <is>
          <t>artisan;cephei;emerging;lake;snow;springhill;summer;valliance;ubs;healthcare</t>
        </is>
      </c>
      <c r="AD71" s="112" t="n">
        <v>7</v>
      </c>
      <c r="AE71" s="108" t="inlineStr">
        <is>
          <t>lapsed</t>
        </is>
      </c>
      <c r="AF71" s="108" t="inlineStr">
        <is>
          <t>2021-10-16</t>
        </is>
      </c>
      <c r="AG71" s="108" t="inlineStr">
        <is>
          <t>Goldman Sachs</t>
        </is>
      </c>
      <c r="AH71" s="108" t="inlineStr">
        <is>
          <t>Goldman Sachs</t>
        </is>
      </c>
      <c r="AI71" s="120" t="n">
        <v>-10.59</v>
      </c>
      <c r="AJ71" s="121" t="n">
        <v>-19.79</v>
      </c>
      <c r="AK71" s="121" t="n">
        <v>-0.17</v>
      </c>
      <c r="AL71" s="121" t="n">
        <v>-3.74</v>
      </c>
      <c r="AM71" s="121" t="n">
        <v>-16.67</v>
      </c>
      <c r="AN71" s="122" t="n"/>
      <c r="AO71" s="112" t="n">
        <v>18.89</v>
      </c>
      <c r="AP71" s="121" t="n">
        <v>-27.81</v>
      </c>
      <c r="AQ71" s="121" t="n">
        <v>-39.57</v>
      </c>
      <c r="AR71" s="121" t="n">
        <v>-56.74</v>
      </c>
      <c r="AS71" s="121" t="n">
        <v>-10</v>
      </c>
      <c r="AT71" s="121" t="n">
        <v>-24.66</v>
      </c>
      <c r="AU71" s="121" t="n">
        <v>-46.07</v>
      </c>
      <c r="AV71" s="121" t="n">
        <v>-25.6</v>
      </c>
      <c r="AW71" s="121" t="n">
        <v>-32.85</v>
      </c>
      <c r="AX71" s="121" t="n">
        <v>-40.49</v>
      </c>
      <c r="AY71" s="121" t="n">
        <v>-18.1</v>
      </c>
      <c r="AZ71" s="121" t="n">
        <v>-6.72</v>
      </c>
      <c r="BA71" s="121" t="n">
        <v>-6.56</v>
      </c>
      <c r="BB71" s="108" t="inlineStr">
        <is>
          <t>China Biotech ETF (HS biotech proxy)</t>
        </is>
      </c>
      <c r="BC71" s="121" t="n">
        <v>-96.02</v>
      </c>
      <c r="BD71" s="109" t="n">
        <v>46297</v>
      </c>
      <c r="BE71" s="110" t="n">
        <v>4.1</v>
      </c>
      <c r="BF71" s="131" t="n"/>
      <c r="BG71" s="119" t="n"/>
      <c r="BH71" s="124">
        <f>IF('BBG Verify'!O71="","not filed; run on terminal",'BBG Verify'!O71)</f>
        <v/>
      </c>
      <c r="BI71" s="122" t="n"/>
      <c r="BJ71" s="122" t="n"/>
      <c r="BK71" s="123" t="n">
        <v>2301.2</v>
      </c>
      <c r="BL71" s="124">
        <f>IF('BBG Verify'!S71="","not filed; run on terminal",'BBG Verify'!S71)</f>
        <v/>
      </c>
      <c r="BM71" s="125" t="inlineStr">
        <is>
          <t>N</t>
        </is>
      </c>
      <c r="BN71" s="126">
        <f>IF('BBG Verify'!K71="","not filed; run on terminal",'BBG Verify'!K71)</f>
        <v/>
      </c>
      <c r="BO71" s="108" t="inlineStr">
        <is>
          <t>N/A</t>
        </is>
      </c>
      <c r="BP71" s="108" t="inlineStr">
        <is>
          <t>N/A</t>
        </is>
      </c>
      <c r="BQ71" s="108" t="inlineStr">
        <is>
          <t>N/A</t>
        </is>
      </c>
      <c r="BR71" s="108" t="inlineStr">
        <is>
          <t>N/A</t>
        </is>
      </c>
      <c r="BS71" s="108" t="inlineStr">
        <is>
          <t>N/A</t>
        </is>
      </c>
      <c r="BT71" s="108" t="inlineStr">
        <is>
          <t>N/A</t>
        </is>
      </c>
      <c r="BU71" s="125" t="inlineStr">
        <is>
          <t>Goldman Sachs (Asia) L.L.C; Haitong International Capital Limited</t>
        </is>
      </c>
      <c r="BV71" s="108" t="inlineStr">
        <is>
          <t>Haitong International Capital Limited; Goldman Sachs (Asia) L.L.C.</t>
        </is>
      </c>
      <c r="BW71" s="108" t="inlineStr">
        <is>
          <t>Goldman Sachs (Asia) L.L.C; Haitong International Securities Company Limited; Credit Suisse (Hong Kong) Limited; CMB International Capital Limited; Huatai Financial Holdings (Hong Kong) Limited; China Industrial Securities International Capital Limited; CNCB (Hong Kong) Capital Limited</t>
        </is>
      </c>
      <c r="BX71" s="108" t="inlineStr">
        <is>
          <t>China Industrial Securities International Capital Limited; CMB International Capital Limited; CNCB (Hong Kong) Capital Limited; Credit Suisse (Hong Kong) Limited; Goldman Sachs (Asia) L.L.C.; Huatai Financial Holdings (Hong Kong) Limited; Haitong International Securities Company Limited</t>
        </is>
      </c>
      <c r="BY71" s="127">
        <f>HYPERLINK("https://www1.hkexnews.hk/listedco/listconews/sehk/2021/0913/2021091300015.pdf","prospectus")</f>
        <v/>
      </c>
      <c r="BZ71" s="127">
        <f>HYPERLINK("https://www1.hkexnews.hk/listedco/listconews/sehk/2021/0923/2021092300020.htm","allotment")</f>
        <v/>
      </c>
      <c r="CA71" s="127">
        <f>HYPERLINK("https://www1.hkexnews.hk/listedco/listconews/sehk/2021/1017/2021101700017.pdf","stabilisation")</f>
        <v/>
      </c>
      <c r="CB71" s="128" t="n"/>
      <c r="CC71" s="108" t="inlineStr">
        <is>
          <t>P/E: net income not extractable; P/S: 2,301x on HK$4.1m revenue, effectively pre-revenue; not comparable; financials: not extractable; pre-IPO year outside the AAStocks window; allocation: allocation table not in this notice's format (older prose announcement); day-1 tape: volume on file; the retail multiple needs the final public split, which this notice does not state</t>
        </is>
      </c>
    </row>
    <row r="72" ht="22" customHeight="1">
      <c r="A72" s="107" t="inlineStr">
        <is>
          <t>9889</t>
        </is>
      </c>
      <c r="B72" s="108" t="inlineStr">
        <is>
          <t>DRCB</t>
        </is>
      </c>
      <c r="C72" s="108" t="inlineStr">
        <is>
          <t>東莞農商銀行</t>
        </is>
      </c>
      <c r="D72" s="108" t="inlineStr">
        <is>
          <t>Financials</t>
        </is>
      </c>
      <c r="E72" s="108" t="inlineStr">
        <is>
          <t>Banks</t>
        </is>
      </c>
      <c r="F72" s="108" t="inlineStr">
        <is>
          <t>Diversified Banks</t>
        </is>
      </c>
      <c r="G72" s="108" t="inlineStr">
        <is>
          <t>Standard</t>
        </is>
      </c>
      <c r="H72" s="109" t="n">
        <v>44468</v>
      </c>
      <c r="I72" s="110" t="n">
        <v>8881.700000000001</v>
      </c>
      <c r="J72" s="108" t="inlineStr">
        <is>
          <t>net proceeds</t>
        </is>
      </c>
      <c r="K72" s="129" t="n"/>
      <c r="L72" s="111" t="n">
        <v>7.92</v>
      </c>
      <c r="M72" s="111" t="n">
        <v>7.92</v>
      </c>
      <c r="N72" s="108" t="inlineStr">
        <is>
          <t>Y</t>
        </is>
      </c>
      <c r="O72" s="112" t="n">
        <v>100</v>
      </c>
      <c r="P72" s="118" t="n"/>
      <c r="Q72" s="113" t="n">
        <v>57278.2</v>
      </c>
      <c r="R72" s="108" t="inlineStr">
        <is>
          <t>aastocks:上市市值 at the struck price</t>
        </is>
      </c>
      <c r="S72" s="114" t="n">
        <v>0.22</v>
      </c>
      <c r="T72" s="115" t="n">
        <v>1.18</v>
      </c>
      <c r="U72" s="116" t="n">
        <v>11.3</v>
      </c>
      <c r="V72" s="117" t="n">
        <v>126</v>
      </c>
      <c r="W72" s="112" t="n">
        <v>2.25</v>
      </c>
      <c r="X72" s="108" t="inlineStr">
        <is>
          <t>NO</t>
        </is>
      </c>
      <c r="Y72" s="113" t="n">
        <v>7878.07</v>
      </c>
      <c r="Z72" s="131" t="n"/>
      <c r="AA72" s="112" t="n">
        <v>13.75</v>
      </c>
      <c r="AB72" s="108" t="inlineStr">
        <is>
          <t>Fook Man Development Company Limited</t>
        </is>
      </c>
      <c r="AC72" s="108" t="inlineStr">
        <is>
          <t>fook</t>
        </is>
      </c>
      <c r="AD72" s="112" t="n">
        <v>16.67</v>
      </c>
      <c r="AE72" s="108" t="inlineStr">
        <is>
          <t>lapsed (no over-allocation)</t>
        </is>
      </c>
      <c r="AF72" s="119" t="n"/>
      <c r="AG72" s="108" t="inlineStr">
        <is>
          <t>ABCI Securities Company Limited</t>
        </is>
      </c>
      <c r="AH72" s="108" t="inlineStr">
        <is>
          <t>ABCI</t>
        </is>
      </c>
      <c r="AI72" s="120" t="n">
        <v>-5.3</v>
      </c>
      <c r="AJ72" s="121" t="n">
        <v>4.17</v>
      </c>
      <c r="AK72" s="121" t="n">
        <v>1.74</v>
      </c>
      <c r="AL72" s="121" t="n">
        <v>1.01</v>
      </c>
      <c r="AM72" s="121" t="n">
        <v>3.13</v>
      </c>
      <c r="AN72" s="123" t="n">
        <v>1.13</v>
      </c>
      <c r="AO72" s="112" t="n">
        <v>23.63</v>
      </c>
      <c r="AP72" s="121" t="n">
        <v>-4.92</v>
      </c>
      <c r="AQ72" s="121" t="n">
        <v>-8.59</v>
      </c>
      <c r="AR72" s="121" t="n">
        <v>-4.67</v>
      </c>
      <c r="AS72" s="121" t="n">
        <v>-8.73</v>
      </c>
      <c r="AT72" s="121" t="n">
        <v>-12.25</v>
      </c>
      <c r="AU72" s="121" t="n">
        <v>-8.49</v>
      </c>
      <c r="AV72" s="121" t="n">
        <v>-8.08</v>
      </c>
      <c r="AW72" s="121" t="n">
        <v>-12.64</v>
      </c>
      <c r="AX72" s="121" t="n">
        <v>-6</v>
      </c>
      <c r="AY72" s="121" t="n">
        <v>-14.52</v>
      </c>
      <c r="AZ72" s="121" t="n">
        <v>4.05</v>
      </c>
      <c r="BA72" s="121" t="n">
        <v>2.27</v>
      </c>
      <c r="BB72" s="108" t="inlineStr">
        <is>
          <t>Hang Seng Finance sub-index</t>
        </is>
      </c>
      <c r="BC72" s="121" t="n">
        <v>-60.48</v>
      </c>
      <c r="BD72" s="109" t="n">
        <v>46297</v>
      </c>
      <c r="BE72" s="132" t="n"/>
      <c r="BF72" s="131" t="n"/>
      <c r="BG72" s="119" t="n"/>
      <c r="BH72" s="124">
        <f>IF('BBG Verify'!O72="","not filed; run on terminal",'BBG Verify'!O72)</f>
        <v/>
      </c>
      <c r="BI72" s="122" t="n"/>
      <c r="BJ72" s="123" t="n">
        <v>5</v>
      </c>
      <c r="BK72" s="122" t="n"/>
      <c r="BL72" s="124">
        <f>IF('BBG Verify'!S72="","not filed; run on terminal",'BBG Verify'!S72)</f>
        <v/>
      </c>
      <c r="BM72" s="125" t="inlineStr">
        <is>
          <t>N</t>
        </is>
      </c>
      <c r="BN72" s="126">
        <f>IF('BBG Verify'!K72="","not filed; run on terminal",'BBG Verify'!K72)</f>
        <v/>
      </c>
      <c r="BO72" s="108" t="inlineStr">
        <is>
          <t>N/A</t>
        </is>
      </c>
      <c r="BP72" s="108" t="inlineStr">
        <is>
          <t>N/A</t>
        </is>
      </c>
      <c r="BQ72" s="108" t="inlineStr">
        <is>
          <t>N/A</t>
        </is>
      </c>
      <c r="BR72" s="108" t="inlineStr">
        <is>
          <t>N/A</t>
        </is>
      </c>
      <c r="BS72" s="108" t="inlineStr">
        <is>
          <t>N/A</t>
        </is>
      </c>
      <c r="BT72" s="108" t="inlineStr">
        <is>
          <t>N/A</t>
        </is>
      </c>
      <c r="BU72" s="125" t="inlineStr">
        <is>
          <t>China Merchants Securities (HK) Co., Limited; CMB International Capital Limited; ABCI Capital Limited; ICBC International Capital Limited</t>
        </is>
      </c>
      <c r="BV72" s="108" t="inlineStr">
        <is>
          <t>CMB International Capital Limited; China Merchants Securities (HK) Company Limited; ICBC International Capital Limited; ABCI Capital Limited</t>
        </is>
      </c>
      <c r="BW72" s="108" t="inlineStr">
        <is>
          <t>ABCI Capital Limited; China Merchants Securities (HK) Co., Limited; CMB International Capital Limited; Fortune (HK) Securities Limited; ICBC International Capital Limited; Haitong International Securities Company Limited; CCB International Capital Limited; AMTD Global Markets Limited</t>
        </is>
      </c>
      <c r="BX72" s="108" t="inlineStr">
        <is>
          <t>ABCI Securities Company Limited; AMTD Global Markets Limited; CCB International Capital Limited; CMB International Capital Limited; China Merchants Securities (HK) Company Limited; Fortune (HK) Securities Limited; Haitong International Securities Company Limited; ICBC International Securities Limited</t>
        </is>
      </c>
      <c r="BY72" s="127">
        <f>HYPERLINK("https://www1.hkexnews.hk/listedco/listconews/sehk/2021/0916/2021091600052.htm","prospectus")</f>
        <v/>
      </c>
      <c r="BZ72" s="127">
        <f>HYPERLINK("https://www1.hkexnews.hk/listedco/listconews/sehk/2021/0928/2021092800010.htm","allotment")</f>
        <v/>
      </c>
      <c r="CA72" s="127">
        <f>HYPERLINK("https://www1.hkexnews.hk/listedco/listconews/sehk/2021/1021/2021102100557.pdf","stabilisation")</f>
        <v/>
      </c>
      <c r="CB72" s="128" t="n"/>
      <c r="CC72" s="108" t="inlineStr">
        <is>
          <t>P/E: net income not extractable; greenshoe: outcome published; expiry date not in the notice; price range: fixed-price offering (no indicative range); range low: maximum offer price only, no floor published; cornerstone %: upper bound: AAStocks institutional total / deal size; P/S: revenue not extractable; financials: not extractable; pre-IPO year outside the AAStocks window; eff float shares: share count unavailable; the HK$m figure is exact</t>
        </is>
      </c>
    </row>
    <row r="73" ht="22" customHeight="1">
      <c r="A73" s="107" t="inlineStr">
        <is>
          <t>6628</t>
        </is>
      </c>
      <c r="B73" s="108" t="inlineStr">
        <is>
          <t>TRANSCENTA-B</t>
        </is>
      </c>
      <c r="C73" s="108" t="inlineStr">
        <is>
          <t>創勝集團醫藥－Ｂ</t>
        </is>
      </c>
      <c r="D73" s="108" t="inlineStr">
        <is>
          <t>Healthcare</t>
        </is>
      </c>
      <c r="E73" s="108" t="inlineStr">
        <is>
          <t>Biotech pre-revenue (18A)</t>
        </is>
      </c>
      <c r="F73" s="108" t="inlineStr">
        <is>
          <t>Biotechnology</t>
        </is>
      </c>
      <c r="G73" s="108" t="inlineStr">
        <is>
          <t>18A</t>
        </is>
      </c>
      <c r="H73" s="109" t="n">
        <v>44468</v>
      </c>
      <c r="I73" s="110" t="n">
        <v>645.3</v>
      </c>
      <c r="J73" s="108" t="inlineStr">
        <is>
          <t>gross (price x shares)</t>
        </is>
      </c>
      <c r="K73" s="129" t="n"/>
      <c r="L73" s="111" t="n">
        <v>16</v>
      </c>
      <c r="M73" s="111" t="n">
        <v>16</v>
      </c>
      <c r="N73" s="108" t="inlineStr">
        <is>
          <t>Y</t>
        </is>
      </c>
      <c r="O73" s="112" t="n">
        <v>100</v>
      </c>
      <c r="P73" s="118" t="n"/>
      <c r="Q73" s="113" t="n">
        <v>6265</v>
      </c>
      <c r="R73" s="108" t="inlineStr">
        <is>
          <t>derived:deal size / offer % of enlarged capital</t>
        </is>
      </c>
      <c r="S73" s="114" t="n">
        <v>60.7</v>
      </c>
      <c r="T73" s="115" t="n">
        <v>2.1</v>
      </c>
      <c r="U73" s="116" t="n">
        <v>82.2</v>
      </c>
      <c r="V73" s="117" t="n">
        <v>109</v>
      </c>
      <c r="W73" s="118" t="n"/>
      <c r="X73" s="119" t="n"/>
      <c r="Y73" s="113" t="n">
        <v>114.86</v>
      </c>
      <c r="Z73" s="113" t="n">
        <v>7178740</v>
      </c>
      <c r="AA73" s="112" t="n">
        <v>1.83</v>
      </c>
      <c r="AB73" s="108" t="inlineStr">
        <is>
          <t>China Structural Reform Fund Corporation Limited; LAV Biosciences Fund V, L.P</t>
        </is>
      </c>
      <c r="AC73" s="108" t="inlineStr">
        <is>
          <t>structural;lav</t>
        </is>
      </c>
      <c r="AD73" s="112" t="n">
        <v>15.1</v>
      </c>
      <c r="AE73" s="108" t="inlineStr">
        <is>
          <t>lapsed</t>
        </is>
      </c>
      <c r="AF73" s="108" t="inlineStr">
        <is>
          <t>2021-10-17</t>
        </is>
      </c>
      <c r="AG73" s="108" t="inlineStr">
        <is>
          <t>Goldman Sachs</t>
        </is>
      </c>
      <c r="AH73" s="108" t="inlineStr">
        <is>
          <t>Goldman Sachs</t>
        </is>
      </c>
      <c r="AI73" s="120" t="n">
        <v>-17.75</v>
      </c>
      <c r="AJ73" s="121" t="n">
        <v>-17.25</v>
      </c>
      <c r="AK73" s="121" t="n">
        <v>-1.22</v>
      </c>
      <c r="AL73" s="121" t="n">
        <v>-18.75</v>
      </c>
      <c r="AM73" s="121" t="n">
        <v>1.85</v>
      </c>
      <c r="AN73" s="122" t="n"/>
      <c r="AO73" s="112" t="n">
        <v>9.69</v>
      </c>
      <c r="AP73" s="121" t="n">
        <v>-3.12</v>
      </c>
      <c r="AQ73" s="121" t="n">
        <v>-43.81</v>
      </c>
      <c r="AR73" s="121" t="n">
        <v>-42.5</v>
      </c>
      <c r="AS73" s="121" t="n">
        <v>17.08</v>
      </c>
      <c r="AT73" s="121" t="n">
        <v>-32.1</v>
      </c>
      <c r="AU73" s="121" t="n">
        <v>-30.51</v>
      </c>
      <c r="AV73" s="121" t="n">
        <v>-1.95</v>
      </c>
      <c r="AW73" s="121" t="n">
        <v>-34.62</v>
      </c>
      <c r="AX73" s="121" t="n">
        <v>-26.95</v>
      </c>
      <c r="AY73" s="121" t="n">
        <v>-24.04</v>
      </c>
      <c r="AZ73" s="121" t="n">
        <v>-9.19</v>
      </c>
      <c r="BA73" s="121" t="n">
        <v>-8.06</v>
      </c>
      <c r="BB73" s="108" t="inlineStr">
        <is>
          <t>China Biotech ETF (HS biotech proxy)</t>
        </is>
      </c>
      <c r="BC73" s="121" t="n">
        <v>-94.38</v>
      </c>
      <c r="BD73" s="109" t="n">
        <v>46297</v>
      </c>
      <c r="BE73" s="110" t="n">
        <v>7.5</v>
      </c>
      <c r="BF73" s="113" t="n">
        <v>-27.3</v>
      </c>
      <c r="BG73" s="108" t="inlineStr">
        <is>
          <t>N</t>
        </is>
      </c>
      <c r="BH73" s="108" t="inlineStr">
        <is>
          <t>n/m</t>
        </is>
      </c>
      <c r="BI73" s="122" t="n"/>
      <c r="BJ73" s="122" t="n"/>
      <c r="BK73" s="123" t="n">
        <v>835.3</v>
      </c>
      <c r="BL73" s="124">
        <f>IF('BBG Verify'!S73="","not filed; run on terminal",'BBG Verify'!S73)</f>
        <v/>
      </c>
      <c r="BM73" s="125" t="inlineStr">
        <is>
          <t>N</t>
        </is>
      </c>
      <c r="BN73" s="126">
        <f>IF('BBG Verify'!K73="","not filed; run on terminal",'BBG Verify'!K73)</f>
        <v/>
      </c>
      <c r="BO73" s="108" t="inlineStr">
        <is>
          <t>N/A</t>
        </is>
      </c>
      <c r="BP73" s="108" t="inlineStr">
        <is>
          <t>N/A</t>
        </is>
      </c>
      <c r="BQ73" s="108" t="inlineStr">
        <is>
          <t>N/A</t>
        </is>
      </c>
      <c r="BR73" s="108" t="inlineStr">
        <is>
          <t>N/A</t>
        </is>
      </c>
      <c r="BS73" s="108" t="inlineStr">
        <is>
          <t>N/A</t>
        </is>
      </c>
      <c r="BT73" s="108" t="inlineStr">
        <is>
          <t>N/A</t>
        </is>
      </c>
      <c r="BU73" s="125" t="inlineStr">
        <is>
          <t>Industry consultant China Insights Industry Consultancy Limited; Receiving bank Bank of China (Hong Kong) Limited; Registered office in the Cayman Islands Walkers Corporate Limited; transfer office Walkers Corporate Limited; Tricor Investor Services Limited; Compliance adviser Anglo Chinese Corporate Finance, Limited; Principal banks The Hongkong and Shanghai Banking Corporation Limited; China Construction Bank, Suzhou Branch</t>
        </is>
      </c>
      <c r="BV73" s="108" t="inlineStr">
        <is>
          <t>China International Capital Corporation Hong Kong Securities Limited; Goldman Sachs (Asia) L.L.C.</t>
        </is>
      </c>
      <c r="BW73" s="108" t="inlineStr">
        <is>
          <t>BOCI Asia Limited; China International Capital Corporation Hong Kong Securities Limited; China Renaissance Securities (Hong Kong) Limited; Goldman Sachs (Asia) L.L.C.</t>
        </is>
      </c>
      <c r="BX73" s="108" t="inlineStr">
        <is>
          <t>BOCI Asia Limited; China International Capital Corporation Hong Kong Securities Limited; China Renaissance Securities (Hong Kong) Limited; Goldman Sachs (Asia) L.L.C.</t>
        </is>
      </c>
      <c r="BY73" s="127">
        <f>HYPERLINK("https://www1.hkexnews.hk/listedco/listconews/sehk/2021/0914/2021091400015.pdf","prospectus")</f>
        <v/>
      </c>
      <c r="BZ73" s="127">
        <f>HYPERLINK("https://www1.hkexnews.hk/listedco/listconews/sehk/2021/0928/2021092800028.htm","allotment")</f>
        <v/>
      </c>
      <c r="CA73" s="127">
        <f>HYPERLINK("https://www1.hkexnews.hk/listedco/listconews/sehk/2021/1017/2021101700005.pdf","stabilisation")</f>
        <v/>
      </c>
      <c r="CB73" s="128" t="n"/>
      <c r="CC73" s="108" t="inlineStr">
        <is>
          <t>P/E: loss-making at IPO, use P/S; range low: maximum offer price only, no floor published; cornerstone: table parse 83% rejected (institutional total implies 46%); the filed aggregate-amount sentence used; P/S: 835x on HK$7.5m revenue, effectively pre-revenue; not comparable; allocation: allocation table not in this notice's format (older prose announcement); day-1 tape: volume on file; the retail multiple needs the final public split, which this notice does not state</t>
        </is>
      </c>
    </row>
    <row r="74" ht="22" customHeight="1">
      <c r="A74" s="107" t="inlineStr">
        <is>
          <t>2378</t>
        </is>
      </c>
      <c r="B74" s="108" t="inlineStr">
        <is>
          <t>PRU</t>
        </is>
      </c>
      <c r="C74" s="108" t="inlineStr">
        <is>
          <t>保誠</t>
        </is>
      </c>
      <c r="D74" s="108" t="inlineStr">
        <is>
          <t>Financials</t>
        </is>
      </c>
      <c r="E74" s="108" t="inlineStr">
        <is>
          <t>Insurance</t>
        </is>
      </c>
      <c r="F74" s="119" t="n"/>
      <c r="G74" s="108" t="inlineStr">
        <is>
          <t>Standard</t>
        </is>
      </c>
      <c r="H74" s="109" t="n">
        <v>44473</v>
      </c>
      <c r="I74" s="110" t="n">
        <v>18500</v>
      </c>
      <c r="J74" s="108" t="inlineStr">
        <is>
          <t>net proceeds</t>
        </is>
      </c>
      <c r="K74" s="129" t="n"/>
      <c r="L74" s="111" t="n">
        <v>172</v>
      </c>
      <c r="M74" s="111" t="n">
        <v>143.8</v>
      </c>
      <c r="N74" s="108" t="inlineStr">
        <is>
          <t>N</t>
        </is>
      </c>
      <c r="O74" s="112" t="n">
        <v>83.59999999999999</v>
      </c>
      <c r="P74" s="118" t="n"/>
      <c r="Q74" s="136">
        <f>IF('BBG Verify'!M74="","not filed; run on terminal",'BBG Verify'!M74)</f>
        <v/>
      </c>
      <c r="R74" s="119" t="n"/>
      <c r="S74" s="114" t="n">
        <v>1.43</v>
      </c>
      <c r="T74" s="115" t="n">
        <v>1.43</v>
      </c>
      <c r="U74" s="116" t="n">
        <v>0</v>
      </c>
      <c r="V74" s="134" t="n"/>
      <c r="W74" s="118" t="n"/>
      <c r="X74" s="119" t="n"/>
      <c r="Y74" s="113" t="n">
        <v>18500</v>
      </c>
      <c r="Z74" s="131" t="n"/>
      <c r="AA74" s="118" t="n"/>
      <c r="AB74" s="108" t="inlineStr">
        <is>
          <t>none — no cornerstone tranche</t>
        </is>
      </c>
      <c r="AC74" s="108" t="inlineStr">
        <is>
          <t>none</t>
        </is>
      </c>
      <c r="AD74" s="118" t="n"/>
      <c r="AE74" s="119" t="n"/>
      <c r="AF74" s="119" t="n"/>
      <c r="AG74" s="119" t="n"/>
      <c r="AH74" s="119" t="n"/>
      <c r="AI74" s="130" t="n"/>
      <c r="AJ74" s="121" t="n">
        <v>4.73</v>
      </c>
      <c r="AK74" s="121" t="n">
        <v>-1.72</v>
      </c>
      <c r="AL74" s="121" t="n">
        <v>4.38</v>
      </c>
      <c r="AM74" s="121" t="n">
        <v>0.34</v>
      </c>
      <c r="AN74" s="122" t="n"/>
      <c r="AO74" s="112" t="n">
        <v>1.93</v>
      </c>
      <c r="AP74" s="121" t="n">
        <v>10.64</v>
      </c>
      <c r="AQ74" s="121" t="n">
        <v>8.9</v>
      </c>
      <c r="AR74" s="121" t="n">
        <v>-6.05</v>
      </c>
      <c r="AS74" s="121" t="n">
        <v>5.64</v>
      </c>
      <c r="AT74" s="121" t="n">
        <v>3.98</v>
      </c>
      <c r="AU74" s="121" t="n">
        <v>-10.29</v>
      </c>
      <c r="AV74" s="121" t="n">
        <v>8.119999999999999</v>
      </c>
      <c r="AW74" s="121" t="n">
        <v>7.57</v>
      </c>
      <c r="AX74" s="121" t="n">
        <v>-6.76</v>
      </c>
      <c r="AY74" s="121" t="n">
        <v>0.88</v>
      </c>
      <c r="AZ74" s="121" t="n">
        <v>1.33</v>
      </c>
      <c r="BA74" s="121" t="n">
        <v>3.1</v>
      </c>
      <c r="BB74" s="108" t="inlineStr">
        <is>
          <t>Hang Seng Finance sub-index</t>
        </is>
      </c>
      <c r="BC74" s="121" t="n">
        <v>-33.94</v>
      </c>
      <c r="BD74" s="109" t="n">
        <v>46297</v>
      </c>
      <c r="BE74" s="132" t="n"/>
      <c r="BF74" s="131" t="n"/>
      <c r="BG74" s="119" t="n"/>
      <c r="BH74" s="123" t="n">
        <v>17.4</v>
      </c>
      <c r="BI74" s="123" t="n">
        <v>17.4</v>
      </c>
      <c r="BJ74" s="123" t="n">
        <v>8.800000000000001</v>
      </c>
      <c r="BK74" s="122" t="n"/>
      <c r="BL74" s="124">
        <f>IF('BBG Verify'!S74="","not filed; run on terminal",'BBG Verify'!S74)</f>
        <v/>
      </c>
      <c r="BM74" s="125" t="inlineStr">
        <is>
          <t>N</t>
        </is>
      </c>
      <c r="BN74" s="126">
        <f>IF('BBG Verify'!K74="","not filed; run on terminal",'BBG Verify'!K74)</f>
        <v/>
      </c>
      <c r="BO74" s="108" t="inlineStr">
        <is>
          <t>N/A</t>
        </is>
      </c>
      <c r="BP74" s="108" t="inlineStr">
        <is>
          <t>N/A</t>
        </is>
      </c>
      <c r="BQ74" s="108" t="inlineStr">
        <is>
          <t>N/A</t>
        </is>
      </c>
      <c r="BR74" s="108" t="inlineStr">
        <is>
          <t>N/A</t>
        </is>
      </c>
      <c r="BS74" s="108" t="inlineStr">
        <is>
          <t>N/A</t>
        </is>
      </c>
      <c r="BT74" s="108" t="inlineStr">
        <is>
          <t>N/A</t>
        </is>
      </c>
      <c r="BU74" s="125" t="inlineStr">
        <is>
          <t>N/A — existing listing (2021 share offer)</t>
        </is>
      </c>
      <c r="BV74" s="108" t="inlineStr">
        <is>
          <t>not reported by AAStocks; see Sponsors</t>
        </is>
      </c>
      <c r="BW74" s="108" t="inlineStr">
        <is>
          <t>Citi; Goldman Sachs; CLSA Limited; HSBC; BofA Securities; Credit Suisse; UBS AG; UOB Kay Hian</t>
        </is>
      </c>
      <c r="BX74" s="119" t="n"/>
      <c r="BY74" s="127">
        <f>HYPERLINK("https://www1.hkexnews.hk/listedco/listconews/sehk/2021/0920/2021092000007.pdf","prospectus")</f>
        <v/>
      </c>
      <c r="BZ74" s="127">
        <f>HYPERLINK("https://www1.hkexnews.hk/listedco/listconews/sehk/2021/0930/2021093000120.htm","allotment")</f>
        <v/>
      </c>
      <c r="CA74" s="119" t="n"/>
      <c r="CB74" s="128" t="n"/>
      <c r="CC74" s="108" t="inlineStr">
        <is>
          <t>P/E: Bloomberg trailing-12m basis (prospectus-year multiple not derivable); greenshoe: no over-allotment option; range low: maximum offer price only, no floor published; sponsor: no sponsor: an already-listed issuer's offer; Rothschild &amp; Co was financial adviser; market cap: no share count, offer % of capital or published listing cap; cornerstone list: no cornerstone tranche; greenshoe size: no over-allotment option; P/S: revenue not extractable; stabilising manager: no over-allotment option, so none appointed; financials: not extractable; pre-IPO year outside the AAStocks window; grey market: close not verified in the captured sources; historical press archives may hold one; eff free float: % of cap not computable: market cap not derivable; eff float shares: share count unavailable; the HK$m figure is exact; AAStocks fields: no AAStocks IPO page (listing by introduction or transfer, no public offer); allocation: allocation table not in this notice's format (older prose announcement); day-1 tape: volume on file; the retail multiple needs the final public split, which this notice does not state</t>
        </is>
      </c>
    </row>
    <row r="75" ht="22" customHeight="1">
      <c r="A75" s="107" t="inlineStr">
        <is>
          <t>2256</t>
        </is>
      </c>
      <c r="B75" s="108" t="inlineStr">
        <is>
          <t>ABBISKO-B</t>
        </is>
      </c>
      <c r="C75" s="108" t="inlineStr">
        <is>
          <t>和譽－Ｂ</t>
        </is>
      </c>
      <c r="D75" s="108" t="inlineStr">
        <is>
          <t>Healthcare</t>
        </is>
      </c>
      <c r="E75" s="108" t="inlineStr">
        <is>
          <t>Biotech pre-revenue (18A)</t>
        </is>
      </c>
      <c r="F75" s="108" t="inlineStr">
        <is>
          <t>Biotechnology</t>
        </is>
      </c>
      <c r="G75" s="108" t="inlineStr">
        <is>
          <t>18A</t>
        </is>
      </c>
      <c r="H75" s="109" t="n">
        <v>44484</v>
      </c>
      <c r="I75" s="110" t="n">
        <v>1753.6</v>
      </c>
      <c r="J75" s="108" t="inlineStr">
        <is>
          <t>gross (price x shares)</t>
        </is>
      </c>
      <c r="K75" s="111" t="n">
        <v>12.16</v>
      </c>
      <c r="L75" s="111" t="n">
        <v>12.46</v>
      </c>
      <c r="M75" s="111" t="n">
        <v>12.46</v>
      </c>
      <c r="N75" s="108" t="inlineStr">
        <is>
          <t>Y</t>
        </is>
      </c>
      <c r="O75" s="112" t="n">
        <v>100</v>
      </c>
      <c r="P75" s="112" t="n">
        <v>100</v>
      </c>
      <c r="Q75" s="113" t="n">
        <v>8542</v>
      </c>
      <c r="R75" s="108" t="inlineStr">
        <is>
          <t>prospectus:stated market capitalisation</t>
        </is>
      </c>
      <c r="S75" s="114" t="n">
        <v>5.64</v>
      </c>
      <c r="T75" s="115" t="n">
        <v>4.65</v>
      </c>
      <c r="U75" s="116" t="n">
        <v>56.63</v>
      </c>
      <c r="V75" s="117" t="n">
        <v>124</v>
      </c>
      <c r="W75" s="118" t="n"/>
      <c r="X75" s="119" t="n"/>
      <c r="Y75" s="113" t="n">
        <v>760.54</v>
      </c>
      <c r="Z75" s="113" t="n">
        <v>61037203</v>
      </c>
      <c r="AA75" s="112" t="n">
        <v>8.9</v>
      </c>
      <c r="AB75" s="108" t="inlineStr">
        <is>
          <t>AIHC Master Fund; Aranda Investments Pte. Ltd; BlackRock Global Funds – World Healthscience Fund; Epsomite Gem Investments Ltd; Hudson Bay Master Fund Ltd; Janchor Partners Pan-Asian Master Fund; Lake Bleu Prime Healthcare Master Fund Limited; LAV Fund VI, L.P; OrbiMed New Horizons Master Fund, L.P; UBS Asset Management (Singapore) Ltd; Vivo Opportunity Fund, L.P</t>
        </is>
      </c>
      <c r="AC75" s="108" t="inlineStr">
        <is>
          <t>aihc;aranda;blackrock;epsomite;hudson;janchor;lake;lav;orbimed;ubs;vivo</t>
        </is>
      </c>
      <c r="AD75" s="112" t="n">
        <v>8.5</v>
      </c>
      <c r="AE75" s="108" t="inlineStr">
        <is>
          <t>partial</t>
        </is>
      </c>
      <c r="AF75" s="119" t="n"/>
      <c r="AG75" s="108" t="inlineStr">
        <is>
          <t>Morgan Stanley Asia Limited</t>
        </is>
      </c>
      <c r="AH75" s="108" t="inlineStr">
        <is>
          <t>Morgan Stanley</t>
        </is>
      </c>
      <c r="AI75" s="120" t="n">
        <v>-7.22</v>
      </c>
      <c r="AJ75" s="121" t="n">
        <v>-0.48</v>
      </c>
      <c r="AK75" s="121" t="n">
        <v>-0.07000000000000001</v>
      </c>
      <c r="AL75" s="121" t="n">
        <v>-9.31</v>
      </c>
      <c r="AM75" s="121" t="n">
        <v>9.74</v>
      </c>
      <c r="AN75" s="122" t="n"/>
      <c r="AO75" s="118" t="n"/>
      <c r="AP75" s="121" t="n">
        <v>-6.9</v>
      </c>
      <c r="AQ75" s="121" t="n">
        <v>-13</v>
      </c>
      <c r="AR75" s="121" t="n">
        <v>-31.94</v>
      </c>
      <c r="AS75" s="121" t="n">
        <v>-6.45</v>
      </c>
      <c r="AT75" s="121" t="n">
        <v>-12.58</v>
      </c>
      <c r="AU75" s="121" t="n">
        <v>-31.61</v>
      </c>
      <c r="AV75" s="121" t="n">
        <v>-7.73</v>
      </c>
      <c r="AW75" s="121" t="n">
        <v>-10.74</v>
      </c>
      <c r="AX75" s="121" t="n">
        <v>-15.87</v>
      </c>
      <c r="AY75" s="121" t="n">
        <v>-10.38</v>
      </c>
      <c r="AZ75" s="121" t="n">
        <v>-2.26</v>
      </c>
      <c r="BA75" s="121" t="n">
        <v>-2.2</v>
      </c>
      <c r="BB75" s="108" t="inlineStr">
        <is>
          <t>China Biotech ETF (HS biotech proxy)</t>
        </is>
      </c>
      <c r="BC75" s="121" t="n">
        <v>-29.78</v>
      </c>
      <c r="BD75" s="109" t="n">
        <v>46297</v>
      </c>
      <c r="BE75" s="110" t="n">
        <v>0.6</v>
      </c>
      <c r="BF75" s="113" t="n">
        <v>-147.3</v>
      </c>
      <c r="BG75" s="108" t="inlineStr">
        <is>
          <t>N</t>
        </is>
      </c>
      <c r="BH75" s="108" t="inlineStr">
        <is>
          <t>n/m</t>
        </is>
      </c>
      <c r="BI75" s="122" t="n"/>
      <c r="BJ75" s="123" t="n">
        <v>111.1</v>
      </c>
      <c r="BK75" s="123" t="n">
        <v>14236.7</v>
      </c>
      <c r="BL75" s="124">
        <f>IF('BBG Verify'!S75="","not filed; run on terminal",'BBG Verify'!S75)</f>
        <v/>
      </c>
      <c r="BM75" s="125" t="inlineStr">
        <is>
          <t>N</t>
        </is>
      </c>
      <c r="BN75" s="126">
        <f>IF('BBG Verify'!K75="","not filed; run on terminal",'BBG Verify'!K75)</f>
        <v/>
      </c>
      <c r="BO75" s="108" t="inlineStr">
        <is>
          <t>N/A</t>
        </is>
      </c>
      <c r="BP75" s="108" t="inlineStr">
        <is>
          <t>N/A</t>
        </is>
      </c>
      <c r="BQ75" s="108" t="inlineStr">
        <is>
          <t>N/A</t>
        </is>
      </c>
      <c r="BR75" s="108" t="inlineStr">
        <is>
          <t>N/A</t>
        </is>
      </c>
      <c r="BS75" s="108" t="inlineStr">
        <is>
          <t>N/A</t>
        </is>
      </c>
      <c r="BT75" s="108" t="inlineStr">
        <is>
          <t>N/A</t>
        </is>
      </c>
      <c r="BU75" s="125" t="inlineStr">
        <is>
          <t>Morgan Stanley Asia Limited; J.P. Morgan Securities (Far East) Limited</t>
        </is>
      </c>
      <c r="BV75" s="108" t="inlineStr">
        <is>
          <t>Morgan Stanley Asia Limited; J.P. Morgan Securities (Far East) Limited</t>
        </is>
      </c>
      <c r="BW75" s="108" t="inlineStr">
        <is>
          <t>Morgan Stanley Asia Limited; J.P. Morgan Securities (Asia Pacific) Limited; China International Capital Corporation Hong Kong Securities Limited</t>
        </is>
      </c>
      <c r="BX75" s="108" t="inlineStr">
        <is>
          <t>China International Capital Corporation Hong Kong Securities Limited; China Industrial Securities International Capital Limited; Huatai Financial Holdings (Hong Kong) Limited; Haitong International Securities Company Limited; The Hongkong and Shanghai Banking Corporation Limited; J.P. Morgan Securities (Asia Pacific) Limited; J.P. Morgan Securities plc; Morgan Stanley Asia Limited; Morgan Stanley &amp; Co. International plc; SVB Leerink LLC</t>
        </is>
      </c>
      <c r="BY75" s="127">
        <f>HYPERLINK("https://www1.hkexnews.hk/listedco/listconews/sehk/2021/0930/2021093000017.pdf","prospectus")</f>
        <v/>
      </c>
      <c r="BZ75" s="127">
        <f>HYPERLINK("https://www1.hkexnews.hk/listedco/listconews/sehk/2021/1012/2021101200008.htm","allotment")</f>
        <v/>
      </c>
      <c r="CA75" s="127">
        <f>HYPERLINK("https://www1.hkexnews.hk/listedco/listconews/sehk/2021/1105/2021110501527.pdf","stabilisation")</f>
        <v/>
      </c>
      <c r="CB75" s="128" t="n"/>
      <c r="CC75" s="108" t="inlineStr">
        <is>
          <t>P/E: loss-making at IPO, use P/S; greenshoe: outcome published; expiry date not in the notice; P/S: 14,237x on HK$0.6m revenue, effectively pre-revenue; not comparable; listing date: Formal listing 13 October 2021; first share trading 15 October after Typhoon Kompasu closure. Company announcement: https://www.abbisko.com/newsDetail/90.html; allocation: allocation table not in this notice's format (older prose announcement); day-1 tape: no listing-day bar in the kline feed</t>
        </is>
      </c>
    </row>
    <row r="76" ht="22" customHeight="1">
      <c r="A76" s="107" t="inlineStr">
        <is>
          <t>2235</t>
        </is>
      </c>
      <c r="B76" s="108" t="inlineStr">
        <is>
          <t>MICROTECH MED-B</t>
        </is>
      </c>
      <c r="C76" s="108" t="inlineStr">
        <is>
          <t>微泰醫療－Ｂ</t>
        </is>
      </c>
      <c r="D76" s="108" t="inlineStr">
        <is>
          <t>Healthcare</t>
        </is>
      </c>
      <c r="E76" s="108" t="inlineStr">
        <is>
          <t>Medical devices</t>
        </is>
      </c>
      <c r="F76" s="108" t="inlineStr">
        <is>
          <t>Biotechnology</t>
        </is>
      </c>
      <c r="G76" s="108" t="inlineStr">
        <is>
          <t>18A</t>
        </is>
      </c>
      <c r="H76" s="109" t="n">
        <v>44488</v>
      </c>
      <c r="I76" s="110" t="n">
        <v>1937.6</v>
      </c>
      <c r="J76" s="108" t="inlineStr">
        <is>
          <t>gross (price x shares)</t>
        </is>
      </c>
      <c r="K76" s="111" t="n">
        <v>27.7</v>
      </c>
      <c r="L76" s="111" t="n">
        <v>31.15</v>
      </c>
      <c r="M76" s="111" t="n">
        <v>30.5</v>
      </c>
      <c r="N76" s="108" t="inlineStr">
        <is>
          <t>N</t>
        </is>
      </c>
      <c r="O76" s="112" t="n">
        <v>97.90000000000001</v>
      </c>
      <c r="P76" s="112" t="n">
        <v>81.2</v>
      </c>
      <c r="Q76" s="113" t="n">
        <v>11485.5</v>
      </c>
      <c r="R76" s="108" t="inlineStr">
        <is>
          <t>derived:deal size / offer % of enlarged capital</t>
        </is>
      </c>
      <c r="S76" s="114" t="n">
        <v>6.79</v>
      </c>
      <c r="T76" s="115" t="n">
        <v>4.9</v>
      </c>
      <c r="U76" s="116" t="n">
        <v>61.7</v>
      </c>
      <c r="V76" s="117" t="n">
        <v>107</v>
      </c>
      <c r="W76" s="118" t="n"/>
      <c r="X76" s="119" t="n"/>
      <c r="Y76" s="113" t="n">
        <v>742.1</v>
      </c>
      <c r="Z76" s="113" t="n">
        <v>24331798</v>
      </c>
      <c r="AA76" s="112" t="n">
        <v>6.46</v>
      </c>
      <c r="AB76" s="108" t="inlineStr">
        <is>
          <t>Boyu Capital Opportunities Master Fund; Hudson Bay Master Fund Ltd; Invesco Advisers, Inc; Lake Bleu Prime Healthcare Master Fund Limited; LAV Star Opportunities Limited; Octagon Investments Master Fund LP; OrbiMed Advisors LLC; Sage Partners Master Fund; Springhill Master Fund Limited; Tencent Mobility Limited; UBS Asset Management (Singapore) Ltd</t>
        </is>
      </c>
      <c r="AC76" s="108" t="inlineStr">
        <is>
          <t>boyu;hudson;invesco;lake;lav;octagon;orbimed;sage;springhill;tencent;ubs</t>
        </is>
      </c>
      <c r="AD76" s="112" t="n">
        <v>17.36</v>
      </c>
      <c r="AE76" s="108" t="inlineStr">
        <is>
          <t>partial</t>
        </is>
      </c>
      <c r="AF76" s="108" t="inlineStr">
        <is>
          <t>2021-11-10</t>
        </is>
      </c>
      <c r="AG76" s="108" t="inlineStr">
        <is>
          <t>Goldman Sachs</t>
        </is>
      </c>
      <c r="AH76" s="108" t="inlineStr">
        <is>
          <t>Goldman Sachs</t>
        </is>
      </c>
      <c r="AI76" s="120" t="n">
        <v>1.31</v>
      </c>
      <c r="AJ76" s="121" t="n">
        <v>0</v>
      </c>
      <c r="AK76" s="121" t="n">
        <v>1.83</v>
      </c>
      <c r="AL76" s="121" t="n">
        <v>1.64</v>
      </c>
      <c r="AM76" s="121" t="n">
        <v>-1.61</v>
      </c>
      <c r="AN76" s="122" t="n"/>
      <c r="AO76" s="112" t="n">
        <v>3.23</v>
      </c>
      <c r="AP76" s="121" t="n">
        <v>0.16</v>
      </c>
      <c r="AQ76" s="121" t="n">
        <v>-6.56</v>
      </c>
      <c r="AR76" s="121" t="n">
        <v>-35.74</v>
      </c>
      <c r="AS76" s="121" t="n">
        <v>0.16</v>
      </c>
      <c r="AT76" s="121" t="n">
        <v>-6.56</v>
      </c>
      <c r="AU76" s="121" t="n">
        <v>-35.74</v>
      </c>
      <c r="AV76" s="121" t="n">
        <v>-1.15</v>
      </c>
      <c r="AW76" s="121" t="n">
        <v>-7.91</v>
      </c>
      <c r="AX76" s="121" t="n">
        <v>-20.8</v>
      </c>
      <c r="AY76" s="121" t="n">
        <v>-6.09</v>
      </c>
      <c r="AZ76" s="121" t="n">
        <v>1.35</v>
      </c>
      <c r="BA76" s="121" t="n">
        <v>-0.47</v>
      </c>
      <c r="BB76" s="108" t="inlineStr">
        <is>
          <t>China Biotech ETF (HS biotech proxy)</t>
        </is>
      </c>
      <c r="BC76" s="121" t="n">
        <v>-77.23</v>
      </c>
      <c r="BD76" s="109" t="n">
        <v>46297</v>
      </c>
      <c r="BE76" s="110" t="n">
        <v>19.5</v>
      </c>
      <c r="BF76" s="113" t="n">
        <v>-4.5</v>
      </c>
      <c r="BG76" s="108" t="inlineStr">
        <is>
          <t>N</t>
        </is>
      </c>
      <c r="BH76" s="108" t="inlineStr">
        <is>
          <t>n/m</t>
        </is>
      </c>
      <c r="BI76" s="122" t="n"/>
      <c r="BJ76" s="123" t="n">
        <v>62.2</v>
      </c>
      <c r="BK76" s="123" t="n">
        <v>589</v>
      </c>
      <c r="BL76" s="124">
        <f>IF('BBG Verify'!S76="","not filed; run on terminal",'BBG Verify'!S76)</f>
        <v/>
      </c>
      <c r="BM76" s="125" t="inlineStr">
        <is>
          <t>N</t>
        </is>
      </c>
      <c r="BN76" s="126">
        <f>IF('BBG Verify'!K76="","not filed; run on terminal",'BBG Verify'!K76)</f>
        <v/>
      </c>
      <c r="BO76" s="108" t="inlineStr">
        <is>
          <t>N/A</t>
        </is>
      </c>
      <c r="BP76" s="108" t="inlineStr">
        <is>
          <t>N/A</t>
        </is>
      </c>
      <c r="BQ76" s="108" t="inlineStr">
        <is>
          <t>N/A</t>
        </is>
      </c>
      <c r="BR76" s="108" t="inlineStr">
        <is>
          <t>N/A</t>
        </is>
      </c>
      <c r="BS76" s="108" t="inlineStr">
        <is>
          <t>N/A</t>
        </is>
      </c>
      <c r="BT76" s="108" t="inlineStr">
        <is>
          <t>N/A</t>
        </is>
      </c>
      <c r="BU76" s="125" t="inlineStr">
        <is>
          <t>Goldman Sachs (Asia) L.L.C; China International Capital Corporation Hong Kong Securities Limited</t>
        </is>
      </c>
      <c r="BV76" s="108" t="inlineStr">
        <is>
          <t>China International Capital Corporation Hong Kong Securities Limited; Goldman Sachs (Asia) L.L.C.</t>
        </is>
      </c>
      <c r="BW76" s="108" t="inlineStr">
        <is>
          <t>Goldman Sachs (Asia) L.L.C; China International Capital Corporation Hong Kong Securities Limited; CLSA Limited</t>
        </is>
      </c>
      <c r="BX76" s="108" t="inlineStr">
        <is>
          <t>China International Capital Corporation Hong Kong Securities Limited; CLSA Limited; Goldman Sachs (Asia) L.L.C.</t>
        </is>
      </c>
      <c r="BY76" s="127">
        <f>HYPERLINK("https://www1.hkexnews.hk/listedco/listconews/sehk/2021/1006/2021100600007.pdf","prospectus")</f>
        <v/>
      </c>
      <c r="BZ76" s="127">
        <f>HYPERLINK("https://www1.hkexnews.hk/listedco/listconews/sehk/2021/1018/2021101800008.htm","allotment")</f>
        <v/>
      </c>
      <c r="CA76" s="127">
        <f>HYPERLINK("https://www1.hkexnews.hk/listedco/listconews/sehk/2021/1111/2021111100027.pdf","stabilisation")</f>
        <v/>
      </c>
      <c r="CB76" s="128" t="n"/>
      <c r="CC76" s="108" t="inlineStr">
        <is>
          <t>P/E: loss-making at IPO, use P/S; P/S: 589x on HK$19.5m revenue, effectively pre-revenue; not comparable; deal size: stated gross HK$75.7m rejected, below the net proceeds of HK$1,815.1m; allocation: allocation table not in this notice's format (older prose announcement); day-1 tape: volume on file; the retail multiple needs the final public split, which this notice does not state</t>
        </is>
      </c>
    </row>
    <row r="77" ht="22" customHeight="1">
      <c r="A77" s="107" t="inlineStr">
        <is>
          <t>2252</t>
        </is>
      </c>
      <c r="B77" s="108" t="inlineStr">
        <is>
          <t>MEDBOT-B</t>
        </is>
      </c>
      <c r="C77" s="108" t="inlineStr">
        <is>
          <t>微創機器人－Ｂ</t>
        </is>
      </c>
      <c r="D77" s="108" t="inlineStr">
        <is>
          <t>Healthcare</t>
        </is>
      </c>
      <c r="E77" s="108" t="inlineStr">
        <is>
          <t>Medical devices</t>
        </is>
      </c>
      <c r="F77" s="108" t="inlineStr">
        <is>
          <t>Biotechnology</t>
        </is>
      </c>
      <c r="G77" s="108" t="inlineStr">
        <is>
          <t>18A</t>
        </is>
      </c>
      <c r="H77" s="109" t="n">
        <v>44502</v>
      </c>
      <c r="I77" s="110" t="n">
        <v>1563.8</v>
      </c>
      <c r="J77" s="108" t="inlineStr">
        <is>
          <t>gross (price x shares)</t>
        </is>
      </c>
      <c r="K77" s="111" t="n">
        <v>36</v>
      </c>
      <c r="L77" s="111" t="n">
        <v>43.2</v>
      </c>
      <c r="M77" s="111" t="n">
        <v>43.2</v>
      </c>
      <c r="N77" s="108" t="inlineStr">
        <is>
          <t>Y</t>
        </is>
      </c>
      <c r="O77" s="112" t="n">
        <v>100</v>
      </c>
      <c r="P77" s="112" t="n">
        <v>100</v>
      </c>
      <c r="Q77" s="113" t="n">
        <v>41411.3</v>
      </c>
      <c r="R77" s="108" t="inlineStr">
        <is>
          <t>aastocks:上市市值 at the struck price</t>
        </is>
      </c>
      <c r="S77" s="114" t="n">
        <v>163.83</v>
      </c>
      <c r="T77" s="115" t="n">
        <v>16</v>
      </c>
      <c r="U77" s="116" t="n">
        <v>45</v>
      </c>
      <c r="V77" s="117" t="n">
        <v>114</v>
      </c>
      <c r="W77" s="118" t="n"/>
      <c r="X77" s="119" t="n"/>
      <c r="Y77" s="113" t="n">
        <v>860.09</v>
      </c>
      <c r="Z77" s="113" t="n">
        <v>19910000</v>
      </c>
      <c r="AA77" s="112" t="n">
        <v>2.08</v>
      </c>
      <c r="AB77" s="108" t="inlineStr">
        <is>
          <t>Artisan China Post-Venture Master Fund LP; Aspex Master Fund; CloudAlpha Master Fund; Hillhouse Funds; LAV Fund VI, L.P; Snow Lake Funds and Accounts; Yorkool International Limited</t>
        </is>
      </c>
      <c r="AC77" s="108" t="inlineStr">
        <is>
          <t>artisan;aspex;cloudalpha;hillhouse;lav;snow;yorkool</t>
        </is>
      </c>
      <c r="AD77" s="112" t="n">
        <v>15</v>
      </c>
      <c r="AE77" s="108" t="inlineStr">
        <is>
          <t>full</t>
        </is>
      </c>
      <c r="AF77" s="108" t="inlineStr">
        <is>
          <t>2021-11-25</t>
        </is>
      </c>
      <c r="AG77" s="119" t="n"/>
      <c r="AH77" s="119" t="n"/>
      <c r="AI77" s="120" t="n">
        <v>-7.06</v>
      </c>
      <c r="AJ77" s="121" t="n">
        <v>6.02</v>
      </c>
      <c r="AK77" s="121" t="n">
        <v>-1.59</v>
      </c>
      <c r="AL77" s="121" t="n">
        <v>-7.87</v>
      </c>
      <c r="AM77" s="121" t="n">
        <v>15.08</v>
      </c>
      <c r="AN77" s="122" t="n"/>
      <c r="AO77" s="112" t="n">
        <v>24.62</v>
      </c>
      <c r="AP77" s="121" t="n">
        <v>34.03</v>
      </c>
      <c r="AQ77" s="121" t="n">
        <v>24.19</v>
      </c>
      <c r="AR77" s="121" t="n">
        <v>9.949999999999999</v>
      </c>
      <c r="AS77" s="121" t="n">
        <v>26.42</v>
      </c>
      <c r="AT77" s="121" t="n">
        <v>17.14</v>
      </c>
      <c r="AU77" s="121" t="n">
        <v>3.71</v>
      </c>
      <c r="AV77" s="121" t="n">
        <v>36.38</v>
      </c>
      <c r="AW77" s="121" t="n">
        <v>22.54</v>
      </c>
      <c r="AX77" s="121" t="n">
        <v>32.97</v>
      </c>
      <c r="AY77" s="121" t="n">
        <v>13.85</v>
      </c>
      <c r="AZ77" s="121" t="n">
        <v>1.65</v>
      </c>
      <c r="BA77" s="121" t="n">
        <v>3.29</v>
      </c>
      <c r="BB77" s="108" t="inlineStr">
        <is>
          <t>China Biotech ETF (HS biotech proxy)</t>
        </is>
      </c>
      <c r="BC77" s="121" t="n">
        <v>-50.97</v>
      </c>
      <c r="BD77" s="109" t="n">
        <v>46265</v>
      </c>
      <c r="BE77" s="110" t="n">
        <v>8.800000000000001</v>
      </c>
      <c r="BF77" s="113" t="n">
        <v>-53.9</v>
      </c>
      <c r="BG77" s="108" t="inlineStr">
        <is>
          <t>N</t>
        </is>
      </c>
      <c r="BH77" s="108" t="inlineStr">
        <is>
          <t>n/m</t>
        </is>
      </c>
      <c r="BI77" s="122" t="n"/>
      <c r="BJ77" s="122" t="n"/>
      <c r="BK77" s="123" t="n">
        <v>4705.8</v>
      </c>
      <c r="BL77" s="124">
        <f>IF('BBG Verify'!S77="","not filed; run on terminal",'BBG Verify'!S77)</f>
        <v/>
      </c>
      <c r="BM77" s="125" t="inlineStr">
        <is>
          <t>N</t>
        </is>
      </c>
      <c r="BN77" s="126">
        <f>IF('BBG Verify'!K77="","not filed; run on terminal",'BBG Verify'!K77)</f>
        <v/>
      </c>
      <c r="BO77" s="108" t="inlineStr">
        <is>
          <t>N/A</t>
        </is>
      </c>
      <c r="BP77" s="108" t="inlineStr">
        <is>
          <t>N/A</t>
        </is>
      </c>
      <c r="BQ77" s="108" t="inlineStr">
        <is>
          <t>N/A</t>
        </is>
      </c>
      <c r="BR77" s="108" t="inlineStr">
        <is>
          <t>N/A</t>
        </is>
      </c>
      <c r="BS77" s="108" t="inlineStr">
        <is>
          <t>N/A</t>
        </is>
      </c>
      <c r="BT77" s="108" t="inlineStr">
        <is>
          <t>N/A</t>
        </is>
      </c>
      <c r="BU77" s="125" t="inlineStr">
        <is>
          <t>J.P. Morgan Securities (Far East) Limited; China International Capital Corporation Hong Kong Securities Limited</t>
        </is>
      </c>
      <c r="BV77" s="108" t="inlineStr">
        <is>
          <t>China International Capital Corporation Hong Kong Securities Limited; J.P. Morgan Securities (Far East) Limited</t>
        </is>
      </c>
      <c r="BW77" s="108" t="inlineStr">
        <is>
          <t>J.P. Morgan Securities (Asia Pacific) Limited; China International Capital Corporation Hong Kong Securities Limited</t>
        </is>
      </c>
      <c r="BX77" s="108" t="inlineStr">
        <is>
          <t>China International Capital Corporation Hong Kong Securities Limited; Futu Securities International (Hong Kong) Limited; J.P. Morgan Securities (Asia Pacific) Limited; Livermore Holdings Limited</t>
        </is>
      </c>
      <c r="BY77" s="127">
        <f>HYPERLINK("https://www1.hkexnews.hk/listedco/listconews/sehk/2021/1021/2021102100011.pdf","prospectus")</f>
        <v/>
      </c>
      <c r="BZ77" s="127">
        <f>HYPERLINK("https://www1.hkexnews.hk/listedco/listconews/sehk/2021/1101/2021110100012.htm","allotment")</f>
        <v/>
      </c>
      <c r="CA77" s="127">
        <f>HYPERLINK("https://www1.hkexnews.hk/listedco/listconews/sehk/2021/1125/2021112501059.pdf","stabilisation")</f>
        <v/>
      </c>
      <c r="CB77" s="128" t="n"/>
      <c r="CC77" s="108" t="inlineStr">
        <is>
          <t>P/E: loss-making at IPO, use P/S; P/S: 4,706x on HK$8.8m revenue, effectively pre-revenue; not comparable; stabilising manager: not named in the allotment notice or prospectus glossary; price series: last available quoted close 2026-08-31; may be suspended, delisted or a source gap; price and benchmark end on that date; allocation: allocation table not in this notice's format (older prose announcement); day-1 tape: volume on file; the retail multiple needs the final public split, which this notice does not state</t>
        </is>
      </c>
    </row>
    <row r="78" ht="22" customHeight="1">
      <c r="A78" s="107" t="inlineStr">
        <is>
          <t>2251</t>
        </is>
      </c>
      <c r="B78" s="108" t="inlineStr">
        <is>
          <t>AIRDOC-B</t>
        </is>
      </c>
      <c r="C78" s="108" t="inlineStr">
        <is>
          <t>鷹瞳科技－Ｂ</t>
        </is>
      </c>
      <c r="D78" s="108" t="inlineStr">
        <is>
          <t>Healthcare</t>
        </is>
      </c>
      <c r="E78" s="108" t="inlineStr">
        <is>
          <t>Digital health</t>
        </is>
      </c>
      <c r="F78" s="108" t="inlineStr">
        <is>
          <t>Biotechnology</t>
        </is>
      </c>
      <c r="G78" s="108" t="inlineStr">
        <is>
          <t>18A</t>
        </is>
      </c>
      <c r="H78" s="109" t="n">
        <v>44505</v>
      </c>
      <c r="I78" s="110" t="n">
        <v>1566.4</v>
      </c>
      <c r="J78" s="108" t="inlineStr">
        <is>
          <t>net proceeds</t>
        </is>
      </c>
      <c r="K78" s="111" t="n">
        <v>75.09999999999999</v>
      </c>
      <c r="L78" s="111" t="n">
        <v>81.3</v>
      </c>
      <c r="M78" s="111" t="n">
        <v>75.09999999999999</v>
      </c>
      <c r="N78" s="108" t="inlineStr">
        <is>
          <t>N</t>
        </is>
      </c>
      <c r="O78" s="112" t="n">
        <v>92.40000000000001</v>
      </c>
      <c r="P78" s="112" t="n">
        <v>0</v>
      </c>
      <c r="Q78" s="113" t="n">
        <v>8099.1</v>
      </c>
      <c r="R78" s="108" t="inlineStr">
        <is>
          <t>aastocks:上市市值 at the struck price</t>
        </is>
      </c>
      <c r="S78" s="114" t="n">
        <v>6.18</v>
      </c>
      <c r="T78" s="115" t="n">
        <v>2.9</v>
      </c>
      <c r="U78" s="116" t="n">
        <v>32.3</v>
      </c>
      <c r="V78" s="117" t="n">
        <v>127</v>
      </c>
      <c r="W78" s="118" t="n"/>
      <c r="X78" s="119" t="n"/>
      <c r="Y78" s="113" t="n">
        <v>1060.45</v>
      </c>
      <c r="Z78" s="131" t="n"/>
      <c r="AA78" s="112" t="n">
        <v>13.09</v>
      </c>
      <c r="AB78" s="108" t="inlineStr">
        <is>
          <t>CloudAlpha Master Fund; GF Fund Management Co., Ltd; IvyRock Asset Management (HK) Limited; Lake Bleu Prime Healthcare Master Fund Limited; LAV Star Opportunities Limited; LMR Master Fund Limited; OrbiMed Genesis Master Fund, L.P; OrbiMed New Horizons Master Fund, L.P; WT Asset Management Limited</t>
        </is>
      </c>
      <c r="AC78" s="108" t="inlineStr">
        <is>
          <t>cloudalpha;gf;ivyrock;lake;lav;lmr;orbimed;wt</t>
        </is>
      </c>
      <c r="AD78" s="112" t="n">
        <v>10</v>
      </c>
      <c r="AE78" s="108" t="inlineStr">
        <is>
          <t>lapsed</t>
        </is>
      </c>
      <c r="AF78" s="108" t="inlineStr">
        <is>
          <t>2021-11-28</t>
        </is>
      </c>
      <c r="AG78" s="119" t="n"/>
      <c r="AH78" s="119" t="n"/>
      <c r="AI78" s="120" t="n">
        <v>-2.8</v>
      </c>
      <c r="AJ78" s="121" t="n">
        <v>-9.449999999999999</v>
      </c>
      <c r="AK78" s="121" t="n">
        <v>-1.32</v>
      </c>
      <c r="AL78" s="121" t="n">
        <v>-9.99</v>
      </c>
      <c r="AM78" s="121" t="n">
        <v>0.6</v>
      </c>
      <c r="AN78" s="122" t="n"/>
      <c r="AO78" s="112" t="n">
        <v>13.98</v>
      </c>
      <c r="AP78" s="121" t="n">
        <v>-12.98</v>
      </c>
      <c r="AQ78" s="121" t="n">
        <v>-24.37</v>
      </c>
      <c r="AR78" s="121" t="n">
        <v>-56.06</v>
      </c>
      <c r="AS78" s="121" t="n">
        <v>-3.9</v>
      </c>
      <c r="AT78" s="121" t="n">
        <v>-16.48</v>
      </c>
      <c r="AU78" s="121" t="n">
        <v>-51.47</v>
      </c>
      <c r="AV78" s="121" t="n">
        <v>-13.64</v>
      </c>
      <c r="AW78" s="121" t="n">
        <v>-20.53</v>
      </c>
      <c r="AX78" s="121" t="n">
        <v>-31.59</v>
      </c>
      <c r="AY78" s="121" t="n">
        <v>-13.92</v>
      </c>
      <c r="AZ78" s="121" t="n">
        <v>-3.84</v>
      </c>
      <c r="BA78" s="121" t="n">
        <v>-2.56</v>
      </c>
      <c r="BB78" s="108" t="inlineStr">
        <is>
          <t>China Biotech ETF (HS biotech proxy)</t>
        </is>
      </c>
      <c r="BC78" s="121" t="n">
        <v>-87.75</v>
      </c>
      <c r="BD78" s="109" t="n">
        <v>46297</v>
      </c>
      <c r="BE78" s="110" t="n">
        <v>7.2</v>
      </c>
      <c r="BF78" s="113" t="n">
        <v>-53.7</v>
      </c>
      <c r="BG78" s="108" t="inlineStr">
        <is>
          <t>N</t>
        </is>
      </c>
      <c r="BH78" s="108" t="inlineStr">
        <is>
          <t>n/m</t>
        </is>
      </c>
      <c r="BI78" s="122" t="n"/>
      <c r="BJ78" s="122" t="n"/>
      <c r="BK78" s="123" t="n">
        <v>1124.9</v>
      </c>
      <c r="BL78" s="124">
        <f>IF('BBG Verify'!S78="","not filed; run on terminal",'BBG Verify'!S78)</f>
        <v/>
      </c>
      <c r="BM78" s="125" t="inlineStr">
        <is>
          <t>N</t>
        </is>
      </c>
      <c r="BN78" s="126">
        <f>IF('BBG Verify'!K78="","not filed; run on terminal",'BBG Verify'!K78)</f>
        <v/>
      </c>
      <c r="BO78" s="108" t="inlineStr">
        <is>
          <t>N/A</t>
        </is>
      </c>
      <c r="BP78" s="108" t="inlineStr">
        <is>
          <t>N/A</t>
        </is>
      </c>
      <c r="BQ78" s="108" t="inlineStr">
        <is>
          <t>N/A</t>
        </is>
      </c>
      <c r="BR78" s="108" t="inlineStr">
        <is>
          <t>N/A</t>
        </is>
      </c>
      <c r="BS78" s="108" t="inlineStr">
        <is>
          <t>N/A</t>
        </is>
      </c>
      <c r="BT78" s="108" t="inlineStr">
        <is>
          <t>N/A</t>
        </is>
      </c>
      <c r="BU78" s="125" t="inlineStr">
        <is>
          <t>UBS Securities Hong Kong Limited; CLSA Capital Markets Limited; UBS AG Hong Kong Branch; CLSA Limited</t>
        </is>
      </c>
      <c r="BV78" s="108" t="inlineStr">
        <is>
          <t>UBS Securities Hong Kong Limited; CLSA Capital Markets Limited</t>
        </is>
      </c>
      <c r="BW78" s="108" t="inlineStr">
        <is>
          <t>UBS AG Hong Kong Branch; CLSA Limited; CMB International Capital Limited; Haitong International Securities Company Limited; Essence International Securities (Hong Kong) Limited; Fosun Hani Securities Limited; GF Securities (Hong Kong) Brokerage Limited; Guodu Securities (Hong Kong) Limited; SPDB International Capital Limited</t>
        </is>
      </c>
      <c r="BX78" s="108" t="inlineStr">
        <is>
          <t>CLSA Limited; CMB International Capital Limited; China PA Securities (Hong Kong) Company Limited; Essence International Securities (Hong Kong) Limited; Fosun Hani Securities Limited; Guodu Securities (Hong Kong) Limited; GF Securities (Hong Kong) Brokerage Limited; Haitong International Securities Company Limited; SPDB International Capital Limited; UBS AG Hong Kong Branch</t>
        </is>
      </c>
      <c r="BY78" s="127">
        <f>HYPERLINK("https://www1.hkexnews.hk/listedco/listconews/sehk/2021/1026/2021102600012.htm","prospectus")</f>
        <v/>
      </c>
      <c r="BZ78" s="127">
        <f>HYPERLINK("https://www1.hkexnews.hk/listedco/listconews/sehk/2021/1104/2021110400022.htm","allotment")</f>
        <v/>
      </c>
      <c r="CA78" s="127">
        <f>HYPERLINK("https://www1.hkexnews.hk/listedco/listconews/sehk/2021/1128/2021112800017.pdf","stabilisation")</f>
        <v/>
      </c>
      <c r="CB78" s="128" t="n"/>
      <c r="CC78" s="108" t="inlineStr">
        <is>
          <t>P/E: loss-making at IPO, use P/S; P/S: 1,125x on HK$7.2m revenue, effectively pre-revenue; not comparable; stabilising manager: not named in the allotment notice or prospectus glossary; eff float shares: share count unavailable; the HK$m figure is exact; allocation: allocation table not in this notice's format (older prose announcement); day-1 tape: volume on file; the retail multiple needs the final public split, which this notice does not state</t>
        </is>
      </c>
    </row>
    <row r="79" ht="22" customHeight="1">
      <c r="A79" s="107" t="inlineStr">
        <is>
          <t>2197</t>
        </is>
      </c>
      <c r="B79" s="108" t="inlineStr">
        <is>
          <t>CLOVER BIO-B</t>
        </is>
      </c>
      <c r="C79" s="108" t="inlineStr">
        <is>
          <t>三葉草生物－Ｂ</t>
        </is>
      </c>
      <c r="D79" s="108" t="inlineStr">
        <is>
          <t>Healthcare</t>
        </is>
      </c>
      <c r="E79" s="108" t="inlineStr">
        <is>
          <t>Biotech pre-revenue (18A)</t>
        </is>
      </c>
      <c r="F79" s="108" t="inlineStr">
        <is>
          <t>Biotechnology</t>
        </is>
      </c>
      <c r="G79" s="108" t="inlineStr">
        <is>
          <t>18A</t>
        </is>
      </c>
      <c r="H79" s="109" t="n">
        <v>44505</v>
      </c>
      <c r="I79" s="110" t="n">
        <v>2007</v>
      </c>
      <c r="J79" s="108" t="inlineStr">
        <is>
          <t>gross (price x shares)</t>
        </is>
      </c>
      <c r="K79" s="111" t="n">
        <v>12.8</v>
      </c>
      <c r="L79" s="111" t="n">
        <v>13.5</v>
      </c>
      <c r="M79" s="111" t="n">
        <v>13.38</v>
      </c>
      <c r="N79" s="108" t="inlineStr">
        <is>
          <t>N</t>
        </is>
      </c>
      <c r="O79" s="112" t="n">
        <v>99.09999999999999</v>
      </c>
      <c r="P79" s="112" t="n">
        <v>82.90000000000001</v>
      </c>
      <c r="Q79" s="113" t="n">
        <v>14823.9</v>
      </c>
      <c r="R79" s="108" t="inlineStr">
        <is>
          <t>prospectus:stated market capitalisation</t>
        </is>
      </c>
      <c r="S79" s="114" t="n">
        <v>4.4</v>
      </c>
      <c r="T79" s="115" t="n">
        <v>3.21</v>
      </c>
      <c r="U79" s="116" t="n">
        <v>10.8</v>
      </c>
      <c r="V79" s="117" t="n">
        <v>126</v>
      </c>
      <c r="W79" s="118" t="n"/>
      <c r="X79" s="119" t="n"/>
      <c r="Y79" s="113" t="n">
        <v>1790.24</v>
      </c>
      <c r="Z79" s="113" t="n">
        <v>133800000</v>
      </c>
      <c r="AA79" s="112" t="n">
        <v>12.08</v>
      </c>
      <c r="AB79" s="108" t="inlineStr">
        <is>
          <t>Athos Capital Limited; HHLR Fund, L.P.; YHG Investment, L.P; Oceanpine Capital Management Limited; OrbiMed Funds; Rock Springs Capital Master Fund LP; Springhill Master Fund Limited; Superstring Capital Master Fund LP; Toroa Master Fund</t>
        </is>
      </c>
      <c r="AC79" s="108" t="inlineStr">
        <is>
          <t>athos;hhlr;yhg;oceanpine;orbimed;rock;springhill;superstring;toroa</t>
        </is>
      </c>
      <c r="AD79" s="112" t="n">
        <v>6.9</v>
      </c>
      <c r="AE79" s="108" t="inlineStr">
        <is>
          <t>lapsed</t>
        </is>
      </c>
      <c r="AF79" s="108" t="inlineStr">
        <is>
          <t>2021-11-27</t>
        </is>
      </c>
      <c r="AG79" s="119" t="n"/>
      <c r="AH79" s="119" t="n"/>
      <c r="AI79" s="120" t="n">
        <v>-1.2</v>
      </c>
      <c r="AJ79" s="121" t="n">
        <v>-2.99</v>
      </c>
      <c r="AK79" s="121" t="n">
        <v>-1.32</v>
      </c>
      <c r="AL79" s="121" t="n">
        <v>0</v>
      </c>
      <c r="AM79" s="121" t="n">
        <v>-2.99</v>
      </c>
      <c r="AN79" s="122" t="n"/>
      <c r="AO79" s="112" t="n">
        <v>10.01</v>
      </c>
      <c r="AP79" s="121" t="n">
        <v>-22.57</v>
      </c>
      <c r="AQ79" s="121" t="n">
        <v>-16.89</v>
      </c>
      <c r="AR79" s="121" t="n">
        <v>-17.79</v>
      </c>
      <c r="AS79" s="121" t="n">
        <v>-20.18</v>
      </c>
      <c r="AT79" s="121" t="n">
        <v>-14.33</v>
      </c>
      <c r="AU79" s="121" t="n">
        <v>-15.26</v>
      </c>
      <c r="AV79" s="121" t="n">
        <v>-23.23</v>
      </c>
      <c r="AW79" s="121" t="n">
        <v>-13.05</v>
      </c>
      <c r="AX79" s="121" t="n">
        <v>6.68</v>
      </c>
      <c r="AY79" s="121" t="n">
        <v>-11.77</v>
      </c>
      <c r="AZ79" s="121" t="n">
        <v>-3.84</v>
      </c>
      <c r="BA79" s="121" t="n">
        <v>-2.56</v>
      </c>
      <c r="BB79" s="108" t="inlineStr">
        <is>
          <t>China Biotech ETF (HS biotech proxy)</t>
        </is>
      </c>
      <c r="BC79" s="121" t="n">
        <v>-86.66</v>
      </c>
      <c r="BD79" s="109" t="n">
        <v>46297</v>
      </c>
      <c r="BE79" s="110" t="n">
        <v>1119.8</v>
      </c>
      <c r="BF79" s="113" t="n">
        <v>-163</v>
      </c>
      <c r="BG79" s="108" t="inlineStr">
        <is>
          <t>N</t>
        </is>
      </c>
      <c r="BH79" s="108" t="inlineStr">
        <is>
          <t>n/m</t>
        </is>
      </c>
      <c r="BI79" s="122" t="n"/>
      <c r="BJ79" s="122" t="n"/>
      <c r="BK79" s="123" t="n">
        <v>13.2</v>
      </c>
      <c r="BL79" s="124">
        <f>IF('BBG Verify'!S79="","not filed; run on terminal",'BBG Verify'!S79)</f>
        <v/>
      </c>
      <c r="BM79" s="125" t="inlineStr">
        <is>
          <t>N</t>
        </is>
      </c>
      <c r="BN79" s="126">
        <f>IF('BBG Verify'!K79="","not filed; run on terminal",'BBG Verify'!K79)</f>
        <v/>
      </c>
      <c r="BO79" s="108" t="inlineStr">
        <is>
          <t>N/A</t>
        </is>
      </c>
      <c r="BP79" s="108" t="inlineStr">
        <is>
          <t>N/A</t>
        </is>
      </c>
      <c r="BQ79" s="108" t="inlineStr">
        <is>
          <t>N/A</t>
        </is>
      </c>
      <c r="BR79" s="108" t="inlineStr">
        <is>
          <t>N/A</t>
        </is>
      </c>
      <c r="BS79" s="108" t="inlineStr">
        <is>
          <t>N/A</t>
        </is>
      </c>
      <c r="BT79" s="108" t="inlineStr">
        <is>
          <t>N/A</t>
        </is>
      </c>
      <c r="BU79" s="125" t="inlineStr">
        <is>
          <t>Goldman Sachs (Asia) L.L.C; China International Capital Corporation Hong Kong Securities Limited</t>
        </is>
      </c>
      <c r="BV79" s="108" t="inlineStr">
        <is>
          <t>China International Capital Corporation Hong Kong Securities Limited; Goldman Sachs (Asia) L.L.C.</t>
        </is>
      </c>
      <c r="BW79" s="108" t="inlineStr">
        <is>
          <t>China International Capital Corporation Hong Kong Securities Limited; Credit Suisse (Hong Kong) Limited; Goldman Sachs (Asia) L.L.C.</t>
        </is>
      </c>
      <c r="BX79" s="108" t="inlineStr">
        <is>
          <t>China International Capital Corporation Hong Kong Securities Limited; Credit Suisse (Hong Kong) Limited; Goldman Sachs (Asia) L.L.C.</t>
        </is>
      </c>
      <c r="BY79" s="127">
        <f>HYPERLINK("https://www1.hkexnews.hk/listedco/listconews/sehk/2021/1025/2021102500007.pdf","prospectus")</f>
        <v/>
      </c>
      <c r="BZ79" s="127">
        <f>HYPERLINK("https://www1.hkexnews.hk/listedco/listconews/sehk/2021/1104/2021110400036.htm","allotment")</f>
        <v/>
      </c>
      <c r="CA79" s="127">
        <f>HYPERLINK("https://www1.hkexnews.hk/listedco/listconews/sehk/2021/1129/2021112900089.pdf","stabilisation")</f>
        <v/>
      </c>
      <c r="CB79" s="128" t="n"/>
      <c r="CC79" s="108" t="inlineStr">
        <is>
          <t>P/E: loss-making at IPO, use P/S; cornerstone: % from the prospectus; AAStocks table includes non-cornerstone orders; stabilising manager: not named in the allotment notice or prospectus glossary; allocation: allocation table not in this notice's format (older prose announcement); day-1 tape: volume on file; the retail multiple needs the final public split, which this notice does not state</t>
        </is>
      </c>
    </row>
    <row r="80" ht="22" customHeight="1">
      <c r="A80" s="107" t="inlineStr">
        <is>
          <t>1948</t>
        </is>
      </c>
      <c r="B80" s="108" t="inlineStr">
        <is>
          <t>UJU HOLDING</t>
        </is>
      </c>
      <c r="C80" s="108" t="inlineStr">
        <is>
          <t>優矩控股</t>
        </is>
      </c>
      <c r="D80" s="108" t="inlineStr">
        <is>
          <t>TMT-other</t>
        </is>
      </c>
      <c r="E80" s="108" t="inlineStr">
        <is>
          <t>Media / advertising</t>
        </is>
      </c>
      <c r="F80" s="108" t="inlineStr">
        <is>
          <t>Advertising</t>
        </is>
      </c>
      <c r="G80" s="108" t="inlineStr">
        <is>
          <t>Standard</t>
        </is>
      </c>
      <c r="H80" s="109" t="n">
        <v>44508</v>
      </c>
      <c r="I80" s="110" t="n">
        <v>804</v>
      </c>
      <c r="J80" s="108" t="inlineStr">
        <is>
          <t>gross (price x shares)</t>
        </is>
      </c>
      <c r="K80" s="111" t="n">
        <v>6.7</v>
      </c>
      <c r="L80" s="111" t="n">
        <v>9.16</v>
      </c>
      <c r="M80" s="111" t="n">
        <v>6.7</v>
      </c>
      <c r="N80" s="108" t="inlineStr">
        <is>
          <t>N</t>
        </is>
      </c>
      <c r="O80" s="112" t="n">
        <v>73.09999999999999</v>
      </c>
      <c r="P80" s="112" t="n">
        <v>0</v>
      </c>
      <c r="Q80" s="113" t="n">
        <v>5099.6</v>
      </c>
      <c r="R80" s="108" t="inlineStr">
        <is>
          <t>aastocks:上市市值 at the struck price</t>
        </is>
      </c>
      <c r="S80" s="114" t="n">
        <v>4.56</v>
      </c>
      <c r="T80" s="115" t="n">
        <v>2.07</v>
      </c>
      <c r="U80" s="116" t="n">
        <v>14.5</v>
      </c>
      <c r="V80" s="117" t="n">
        <v>141</v>
      </c>
      <c r="W80" s="118" t="n"/>
      <c r="X80" s="119" t="n"/>
      <c r="Y80" s="113" t="n">
        <v>687.42</v>
      </c>
      <c r="Z80" s="113" t="n">
        <v>102600000</v>
      </c>
      <c r="AA80" s="112" t="n">
        <v>13.48</v>
      </c>
      <c r="AB80" s="108" t="inlineStr">
        <is>
          <t>BYTEDANCE (HK) LIMITED; Green Better Limited</t>
        </is>
      </c>
      <c r="AC80" s="108" t="inlineStr">
        <is>
          <t>bytedance;green</t>
        </is>
      </c>
      <c r="AD80" s="112" t="n">
        <v>18</v>
      </c>
      <c r="AE80" s="108" t="inlineStr">
        <is>
          <t>lapsed</t>
        </is>
      </c>
      <c r="AF80" s="108" t="inlineStr">
        <is>
          <t>2021-11-28</t>
        </is>
      </c>
      <c r="AG80" s="108" t="inlineStr">
        <is>
          <t>Guotai Junan Securities</t>
        </is>
      </c>
      <c r="AH80" s="108" t="inlineStr">
        <is>
          <t>Guotai Junan</t>
        </is>
      </c>
      <c r="AI80" s="120" t="n">
        <v>-4.48</v>
      </c>
      <c r="AJ80" s="121" t="n">
        <v>-4.48</v>
      </c>
      <c r="AK80" s="121" t="n">
        <v>-0.43</v>
      </c>
      <c r="AL80" s="121" t="n">
        <v>0</v>
      </c>
      <c r="AM80" s="121" t="n">
        <v>-4.48</v>
      </c>
      <c r="AN80" s="122" t="n"/>
      <c r="AO80" s="112" t="n">
        <v>7.16</v>
      </c>
      <c r="AP80" s="121" t="n">
        <v>-1.94</v>
      </c>
      <c r="AQ80" s="121" t="n">
        <v>-19.4</v>
      </c>
      <c r="AR80" s="121" t="n">
        <v>-13.58</v>
      </c>
      <c r="AS80" s="121" t="n">
        <v>2.66</v>
      </c>
      <c r="AT80" s="121" t="n">
        <v>-15.62</v>
      </c>
      <c r="AU80" s="121" t="n">
        <v>-9.529999999999999</v>
      </c>
      <c r="AV80" s="121" t="n">
        <v>-4.03</v>
      </c>
      <c r="AW80" s="121" t="n">
        <v>-15.83</v>
      </c>
      <c r="AX80" s="121" t="n">
        <v>-13.42</v>
      </c>
      <c r="AY80" s="121" t="n">
        <v>-12.47</v>
      </c>
      <c r="AZ80" s="121" t="n">
        <v>-3.57</v>
      </c>
      <c r="BA80" s="121" t="n">
        <v>-3.15</v>
      </c>
      <c r="BB80" s="108" t="inlineStr">
        <is>
          <t>Hang Seng Index</t>
        </is>
      </c>
      <c r="BC80" s="121" t="n">
        <v>-45.3</v>
      </c>
      <c r="BD80" s="109" t="n">
        <v>46297</v>
      </c>
      <c r="BE80" s="110" t="n">
        <v>6996.8</v>
      </c>
      <c r="BF80" s="113" t="n">
        <v>146.5</v>
      </c>
      <c r="BG80" s="108" t="inlineStr">
        <is>
          <t>Y</t>
        </is>
      </c>
      <c r="BH80" s="123" t="n">
        <v>34.8</v>
      </c>
      <c r="BI80" s="122" t="n"/>
      <c r="BJ80" s="123" t="n">
        <v>12.9</v>
      </c>
      <c r="BK80" s="123" t="n">
        <v>0.7</v>
      </c>
      <c r="BL80" s="124">
        <f>IF('BBG Verify'!S80="","not filed; run on terminal",'BBG Verify'!S80)</f>
        <v/>
      </c>
      <c r="BM80" s="125" t="inlineStr">
        <is>
          <t>N</t>
        </is>
      </c>
      <c r="BN80" s="126">
        <f>IF('BBG Verify'!K80="","not filed; run on terminal",'BBG Verify'!K80)</f>
        <v/>
      </c>
      <c r="BO80" s="108" t="inlineStr">
        <is>
          <t>N/A</t>
        </is>
      </c>
      <c r="BP80" s="108" t="inlineStr">
        <is>
          <t>N/A</t>
        </is>
      </c>
      <c r="BQ80" s="108" t="inlineStr">
        <is>
          <t>N/A</t>
        </is>
      </c>
      <c r="BR80" s="108" t="inlineStr">
        <is>
          <t>N/A</t>
        </is>
      </c>
      <c r="BS80" s="108" t="inlineStr">
        <is>
          <t>N/A</t>
        </is>
      </c>
      <c r="BT80" s="108" t="inlineStr">
        <is>
          <t>N/A</t>
        </is>
      </c>
      <c r="BU80" s="125" t="inlineStr">
        <is>
          <t>CMBC International Capital Limited; SBI China Capital Hong Kong Securities Limited</t>
        </is>
      </c>
      <c r="BV80" s="108" t="inlineStr">
        <is>
          <t>CMBC International Capital Limited</t>
        </is>
      </c>
      <c r="BW80" s="108" t="inlineStr">
        <is>
          <t>CMBC Securities Company Limited; Guotai Junan Securities (Hong Kong) Limited; CLSA Limited; CMB International Securities Limited; Valuable Capital Limited; Essence International Securities (Hong Kong) Limited; CCB International Securities Limited; Shenwan Hongyuan Securities (H.K.) Limited; SBI China Capital Financial Services Limited; BOCI Securities Limited; Futu Securities International (Hong Kong) Limited</t>
        </is>
      </c>
      <c r="BX80" s="108" t="inlineStr">
        <is>
          <t>BOCI Securities Limited; CCB International Securities Limited; CLSA Limited; CMBC Securities Company Limited; CMB International Securities Limited; Essence International Securities (Hong Kong) Limited; Futu Securities International (Hong Kong) Limited; Guotai Junan Securities (Hong Kong) Limited; Haitong International Securities Company Limited; Livermore Holdings Limited; SBI China Capital Financial Services Limited; Shenwan Hongyuan Securities (H.K.) Limited</t>
        </is>
      </c>
      <c r="BY80" s="127">
        <f>HYPERLINK("https://www1.hkexnews.hk/listedco/listconews/sehk/2021/1026/2021102600091.pdf","prospectus")</f>
        <v/>
      </c>
      <c r="BZ80" s="127">
        <f>HYPERLINK("https://www1.hkexnews.hk/listedco/listconews/sehk/2021/1105/2021110500012.htm","allotment")</f>
        <v/>
      </c>
      <c r="CA80" s="127">
        <f>HYPERLINK("https://www1.hkexnews.hk/listedco/listconews/sehk/2021/1128/2021112800021.pdf","stabilisation")</f>
        <v/>
      </c>
      <c r="CB80" s="128" t="n"/>
      <c r="CC80" s="108" t="inlineStr">
        <is>
          <t>market cap: published listing cap used; the estimate from deal size / offer % of enlarged capital disagreed; allocation: allocation table not in this notice's format (older prose announcement); day-1 tape: volume on file; the retail multiple needs the final public split, which this notice does not state</t>
        </is>
      </c>
    </row>
    <row r="81" ht="22" customHeight="1">
      <c r="A81" s="107" t="inlineStr">
        <is>
          <t>2210</t>
        </is>
      </c>
      <c r="B81" s="108" t="inlineStr">
        <is>
          <t>BEIJING JIAYE</t>
        </is>
      </c>
      <c r="C81" s="108" t="inlineStr">
        <is>
          <t>京城佳業</t>
        </is>
      </c>
      <c r="D81" s="108" t="inlineStr">
        <is>
          <t>Real Estate</t>
        </is>
      </c>
      <c r="E81" s="108" t="inlineStr">
        <is>
          <t>Property management</t>
        </is>
      </c>
      <c r="F81" s="108" t="inlineStr">
        <is>
          <t>Property Service and Management</t>
        </is>
      </c>
      <c r="G81" s="108" t="inlineStr">
        <is>
          <t>Standard</t>
        </is>
      </c>
      <c r="H81" s="109" t="n">
        <v>44510</v>
      </c>
      <c r="I81" s="110" t="n">
        <v>303.6</v>
      </c>
      <c r="J81" s="108" t="inlineStr">
        <is>
          <t>gross (price x shares)</t>
        </is>
      </c>
      <c r="K81" s="129" t="n"/>
      <c r="L81" s="111" t="n">
        <v>9.960000000000001</v>
      </c>
      <c r="M81" s="111" t="n">
        <v>8.279999999999999</v>
      </c>
      <c r="N81" s="108" t="inlineStr">
        <is>
          <t>N</t>
        </is>
      </c>
      <c r="O81" s="112" t="n">
        <v>83.09999999999999</v>
      </c>
      <c r="P81" s="118" t="n"/>
      <c r="Q81" s="113" t="n">
        <v>1214.4</v>
      </c>
      <c r="R81" s="108" t="inlineStr">
        <is>
          <t>derived:deal size / offer % of enlarged capital</t>
        </is>
      </c>
      <c r="S81" s="114" t="n">
        <v>2.88</v>
      </c>
      <c r="T81" s="115" t="n">
        <v>1.41</v>
      </c>
      <c r="U81" s="116" t="n">
        <v>48.9</v>
      </c>
      <c r="V81" s="117" t="n">
        <v>110</v>
      </c>
      <c r="W81" s="118" t="n"/>
      <c r="X81" s="119" t="n"/>
      <c r="Y81" s="113" t="n">
        <v>155.14</v>
      </c>
      <c r="Z81" s="113" t="n">
        <v>18736939</v>
      </c>
      <c r="AA81" s="112" t="n">
        <v>12.78</v>
      </c>
      <c r="AB81" s="108" t="inlineStr">
        <is>
          <t>Glodon (Hongkong) Software Limited; Keltic Investment (HK) Limited</t>
        </is>
      </c>
      <c r="AC81" s="108" t="inlineStr">
        <is>
          <t>glodon;keltic</t>
        </is>
      </c>
      <c r="AD81" s="112" t="n">
        <v>15</v>
      </c>
      <c r="AE81" s="108" t="inlineStr">
        <is>
          <t>lapsed</t>
        </is>
      </c>
      <c r="AF81" s="108" t="inlineStr">
        <is>
          <t>2021-12-03</t>
        </is>
      </c>
      <c r="AG81" s="108" t="inlineStr">
        <is>
          <t>China International Capital Corporation Hong Kong Securities Limited</t>
        </is>
      </c>
      <c r="AH81" s="108" t="inlineStr">
        <is>
          <t>China International</t>
        </is>
      </c>
      <c r="AI81" s="120" t="n">
        <v>-0.97</v>
      </c>
      <c r="AJ81" s="121" t="n">
        <v>-0.24</v>
      </c>
      <c r="AK81" s="121" t="n">
        <v>3.06</v>
      </c>
      <c r="AL81" s="121" t="n">
        <v>0</v>
      </c>
      <c r="AM81" s="121" t="n">
        <v>-0.24</v>
      </c>
      <c r="AN81" s="122" t="n"/>
      <c r="AO81" s="112" t="n">
        <v>5.92</v>
      </c>
      <c r="AP81" s="121" t="n">
        <v>-9.300000000000001</v>
      </c>
      <c r="AQ81" s="121" t="n">
        <v>-31.28</v>
      </c>
      <c r="AR81" s="121" t="n">
        <v>-42.63</v>
      </c>
      <c r="AS81" s="121" t="n">
        <v>-9.08</v>
      </c>
      <c r="AT81" s="121" t="n">
        <v>-31.11</v>
      </c>
      <c r="AU81" s="121" t="n">
        <v>-42.49</v>
      </c>
      <c r="AV81" s="121" t="n">
        <v>-13.82</v>
      </c>
      <c r="AW81" s="121" t="n">
        <v>-34.16</v>
      </c>
      <c r="AX81" s="121" t="n">
        <v>-51.1</v>
      </c>
      <c r="AY81" s="121" t="n">
        <v>-30.94</v>
      </c>
      <c r="AZ81" s="121" t="n">
        <v>2.88</v>
      </c>
      <c r="BA81" s="121" t="n">
        <v>-0.17</v>
      </c>
      <c r="BB81" s="108" t="inlineStr">
        <is>
          <t>Hang Seng Properties sub-index</t>
        </is>
      </c>
      <c r="BC81" s="121" t="n">
        <v>-75.84999999999999</v>
      </c>
      <c r="BD81" s="109" t="n">
        <v>46297</v>
      </c>
      <c r="BE81" s="110" t="n">
        <v>1199.6</v>
      </c>
      <c r="BF81" s="113" t="n">
        <v>75.59999999999999</v>
      </c>
      <c r="BG81" s="108" t="inlineStr">
        <is>
          <t>Y</t>
        </is>
      </c>
      <c r="BH81" s="123" t="n">
        <v>16.1</v>
      </c>
      <c r="BI81" s="122" t="n"/>
      <c r="BJ81" s="123" t="n">
        <v>4.6</v>
      </c>
      <c r="BK81" s="123" t="n">
        <v>1</v>
      </c>
      <c r="BL81" s="124">
        <f>IF('BBG Verify'!S81="","not filed; run on terminal",'BBG Verify'!S81)</f>
        <v/>
      </c>
      <c r="BM81" s="125" t="inlineStr">
        <is>
          <t>N</t>
        </is>
      </c>
      <c r="BN81" s="126">
        <f>IF('BBG Verify'!K81="","not filed; run on terminal",'BBG Verify'!K81)</f>
        <v/>
      </c>
      <c r="BO81" s="108" t="inlineStr">
        <is>
          <t>N/A</t>
        </is>
      </c>
      <c r="BP81" s="108" t="inlineStr">
        <is>
          <t>N/A</t>
        </is>
      </c>
      <c r="BQ81" s="108" t="inlineStr">
        <is>
          <t>N/A</t>
        </is>
      </c>
      <c r="BR81" s="108" t="inlineStr">
        <is>
          <t>N/A</t>
        </is>
      </c>
      <c r="BS81" s="108" t="inlineStr">
        <is>
          <t>N/A</t>
        </is>
      </c>
      <c r="BT81" s="108" t="inlineStr">
        <is>
          <t>N/A</t>
        </is>
      </c>
      <c r="BU81" s="125" t="inlineStr">
        <is>
          <t>China International Capital Corporation Hong Kong Securities Limited</t>
        </is>
      </c>
      <c r="BV81" s="108" t="inlineStr">
        <is>
          <t>China International Capital Corporation Hong Kong Securities Limited</t>
        </is>
      </c>
      <c r="BW81" s="108" t="inlineStr">
        <is>
          <t>China International Capital Corporation Hong Kong Securities Limited; Zhongtai International Securities Limited; BOCOM International Securities Limited; CMBC Securities Company Limited; CCB International Capital Limited</t>
        </is>
      </c>
      <c r="BX81" s="108" t="inlineStr">
        <is>
          <t>Beta International Securities Limited; CCB International Capital Limited; China International Capital Corporation Hong Kong Securities Limited; CMBC Securities Company Limited; CMB International Capital Limited; Zhongtai International Securities Limited</t>
        </is>
      </c>
      <c r="BY81" s="127">
        <f>HYPERLINK("https://www1.hkexnews.hk/listedco/listconews/sehk/2021/1029/2021102900097.pdf","prospectus")</f>
        <v/>
      </c>
      <c r="BZ81" s="127">
        <f>HYPERLINK("https://www1.hkexnews.hk/listedco/listconews/sehk/2021/1109/2021110900030.htm","allotment")</f>
        <v/>
      </c>
      <c r="CA81" s="127">
        <f>HYPERLINK("https://www1.hkexnews.hk/listedco/listconews/sehk/2021/1203/2021120301558.pdf","stabilisation")</f>
        <v/>
      </c>
      <c r="CB81" s="128" t="n"/>
      <c r="CC81" s="108" t="inlineStr">
        <is>
          <t>range low: maximum offer price only, no floor published; allocation: allocation table not in this notice's format (older prose announcement); day-1 tape: volume on file; the retail multiple needs the final public split, which this notice does not state</t>
        </is>
      </c>
    </row>
    <row r="82" ht="22" customHeight="1">
      <c r="A82" s="107" t="inlineStr">
        <is>
          <t>2265</t>
        </is>
      </c>
      <c r="B82" s="108" t="inlineStr">
        <is>
          <t>HC ENV TECH</t>
        </is>
      </c>
      <c r="C82" s="108" t="inlineStr">
        <is>
          <t>鴻承環保科技</t>
        </is>
      </c>
      <c r="D82" s="108" t="inlineStr">
        <is>
          <t>Materials/Energy</t>
        </is>
      </c>
      <c r="E82" s="108" t="inlineStr">
        <is>
          <t>Oil &amp; gas / utilities</t>
        </is>
      </c>
      <c r="F82" s="108" t="inlineStr">
        <is>
          <t>Environmental &amp; Facilities Services</t>
        </is>
      </c>
      <c r="G82" s="108" t="inlineStr">
        <is>
          <t>Standard</t>
        </is>
      </c>
      <c r="H82" s="109" t="n">
        <v>44512</v>
      </c>
      <c r="I82" s="110" t="n">
        <v>255</v>
      </c>
      <c r="J82" s="108" t="inlineStr">
        <is>
          <t>gross (price x shares)</t>
        </is>
      </c>
      <c r="K82" s="129" t="n"/>
      <c r="L82" s="111" t="n">
        <v>1.48</v>
      </c>
      <c r="M82" s="111" t="n">
        <v>1.02</v>
      </c>
      <c r="N82" s="108" t="inlineStr">
        <is>
          <t>N</t>
        </is>
      </c>
      <c r="O82" s="112" t="n">
        <v>68.90000000000001</v>
      </c>
      <c r="P82" s="118" t="n"/>
      <c r="Q82" s="113" t="n">
        <v>1133.3</v>
      </c>
      <c r="R82" s="108" t="inlineStr">
        <is>
          <t>derived:deal size / offer % of enlarged capital</t>
        </is>
      </c>
      <c r="S82" s="114" t="n">
        <v>24.26</v>
      </c>
      <c r="T82" s="115" t="n">
        <v>1.02</v>
      </c>
      <c r="U82" s="116" t="n">
        <v>0</v>
      </c>
      <c r="V82" s="117" t="n">
        <v>146</v>
      </c>
      <c r="W82" s="112" t="n">
        <v>30</v>
      </c>
      <c r="X82" s="108" t="inlineStr">
        <is>
          <t>YES</t>
        </is>
      </c>
      <c r="Y82" s="113" t="n">
        <v>255</v>
      </c>
      <c r="Z82" s="113" t="n">
        <v>250000000</v>
      </c>
      <c r="AA82" s="112" t="n">
        <v>22.5</v>
      </c>
      <c r="AB82" s="108" t="inlineStr">
        <is>
          <t>none — no cornerstone tranche</t>
        </is>
      </c>
      <c r="AC82" s="108" t="inlineStr">
        <is>
          <t>none</t>
        </is>
      </c>
      <c r="AD82" s="112" t="n">
        <v>20</v>
      </c>
      <c r="AE82" s="108" t="inlineStr">
        <is>
          <t>lapsed (no over-allocation)</t>
        </is>
      </c>
      <c r="AF82" s="108" t="inlineStr">
        <is>
          <t>2021-12-03</t>
        </is>
      </c>
      <c r="AG82" s="108" t="inlineStr">
        <is>
          <t>First Shanghai Securities Limited</t>
        </is>
      </c>
      <c r="AH82" s="108" t="inlineStr">
        <is>
          <t>First Shanghai</t>
        </is>
      </c>
      <c r="AI82" s="120" t="n">
        <v>0.98</v>
      </c>
      <c r="AJ82" s="121" t="n">
        <v>-10.78</v>
      </c>
      <c r="AK82" s="121" t="n">
        <v>0.66</v>
      </c>
      <c r="AL82" s="121" t="n">
        <v>1.96</v>
      </c>
      <c r="AM82" s="121" t="n">
        <v>-12.5</v>
      </c>
      <c r="AN82" s="123" t="n">
        <v>0.6899999999999999</v>
      </c>
      <c r="AO82" s="112" t="n">
        <v>15.38</v>
      </c>
      <c r="AP82" s="121" t="n">
        <v>-3.92</v>
      </c>
      <c r="AQ82" s="121" t="n">
        <v>-10.78</v>
      </c>
      <c r="AR82" s="121" t="n">
        <v>-17.65</v>
      </c>
      <c r="AS82" s="121" t="n">
        <v>7.69</v>
      </c>
      <c r="AT82" s="121" t="n">
        <v>0</v>
      </c>
      <c r="AU82" s="121" t="n">
        <v>-7.7</v>
      </c>
      <c r="AV82" s="121" t="n">
        <v>-2.51</v>
      </c>
      <c r="AW82" s="121" t="n">
        <v>-2.37</v>
      </c>
      <c r="AX82" s="121" t="n">
        <v>-4.62</v>
      </c>
      <c r="AY82" s="121" t="n">
        <v>9.01</v>
      </c>
      <c r="AZ82" s="121" t="n">
        <v>-8.41</v>
      </c>
      <c r="BA82" s="121" t="n">
        <v>-9.01</v>
      </c>
      <c r="BB82" s="108" t="inlineStr">
        <is>
          <t>Hang Seng Commerce &amp; Industry sub-index</t>
        </is>
      </c>
      <c r="BC82" s="121" t="n">
        <v>7.84</v>
      </c>
      <c r="BD82" s="109" t="n">
        <v>46297</v>
      </c>
      <c r="BE82" s="110" t="n">
        <v>225.9</v>
      </c>
      <c r="BF82" s="113" t="n">
        <v>80.2</v>
      </c>
      <c r="BG82" s="108" t="inlineStr">
        <is>
          <t>Y</t>
        </is>
      </c>
      <c r="BH82" s="123" t="n">
        <v>14.1</v>
      </c>
      <c r="BI82" s="122" t="n"/>
      <c r="BJ82" s="123" t="n">
        <v>12.2</v>
      </c>
      <c r="BK82" s="123" t="n">
        <v>5</v>
      </c>
      <c r="BL82" s="124">
        <f>IF('BBG Verify'!S82="","not filed; run on terminal",'BBG Verify'!S82)</f>
        <v/>
      </c>
      <c r="BM82" s="125" t="inlineStr">
        <is>
          <t>N</t>
        </is>
      </c>
      <c r="BN82" s="126">
        <f>IF('BBG Verify'!K82="","not filed; run on terminal",'BBG Verify'!K82)</f>
        <v/>
      </c>
      <c r="BO82" s="108" t="inlineStr">
        <is>
          <t>N/A</t>
        </is>
      </c>
      <c r="BP82" s="108" t="inlineStr">
        <is>
          <t>N/A</t>
        </is>
      </c>
      <c r="BQ82" s="108" t="inlineStr">
        <is>
          <t>N/A</t>
        </is>
      </c>
      <c r="BR82" s="108" t="inlineStr">
        <is>
          <t>N/A</t>
        </is>
      </c>
      <c r="BS82" s="108" t="inlineStr">
        <is>
          <t>N/A</t>
        </is>
      </c>
      <c r="BT82" s="108" t="inlineStr">
        <is>
          <t>N/A</t>
        </is>
      </c>
      <c r="BU82" s="125" t="inlineStr">
        <is>
          <t>First Shanghai Capital Limited</t>
        </is>
      </c>
      <c r="BV82" s="108" t="inlineStr">
        <is>
          <t>First Shanghai Capital Limited</t>
        </is>
      </c>
      <c r="BW82" s="108" t="inlineStr">
        <is>
          <t>First Shanghai Securities Limited; Zhongtai International Securities Limited; Valuable Capital Limited; ICBC International Capital Limited; Blackwell Global Securities Limited</t>
        </is>
      </c>
      <c r="BX82" s="108" t="inlineStr">
        <is>
          <t>Blackwell Global Securities Limited; China Galaxy International Securities (Hong Kong) Company Limited; First Shanghai Securities Limited; Fosun Hani Securities Limited; ICBC International Securities Limited; Valuable Capital Limited; Zhongtai International Securities Limited</t>
        </is>
      </c>
      <c r="BY82" s="127">
        <f>HYPERLINK("https://www1.hkexnews.hk/listedco/listconews/sehk/2021/1029/2021102900113.pdf","prospectus")</f>
        <v/>
      </c>
      <c r="BZ82" s="127">
        <f>HYPERLINK("https://www1.hkexnews.hk/listedco/listconews/sehk/2021/1111/2021111100010.htm","allotment")</f>
        <v/>
      </c>
      <c r="CA82" s="127">
        <f>HYPERLINK("https://www1.hkexnews.hk/listedco/listconews/sehk/2021/1203/2021120301544.pdf","stabilisation")</f>
        <v/>
      </c>
      <c r="CB82" s="128" t="n"/>
      <c r="CC82" s="108" t="inlineStr">
        <is>
          <t>range low: maximum offer price only, no floor published; cornerstone list: no cornerstone tranche</t>
        </is>
      </c>
    </row>
    <row r="83" ht="22" customHeight="1">
      <c r="A83" s="107" t="inlineStr">
        <is>
          <t>9899</t>
        </is>
      </c>
      <c r="B83" s="108" t="inlineStr">
        <is>
          <t>CLOUD VILLAGE</t>
        </is>
      </c>
      <c r="C83" s="108" t="inlineStr">
        <is>
          <t>網易雲音樂</t>
        </is>
      </c>
      <c r="D83" s="108" t="inlineStr">
        <is>
          <t>Tech/AI</t>
        </is>
      </c>
      <c r="E83" s="108" t="inlineStr">
        <is>
          <t>Internet platform / e-commerce</t>
        </is>
      </c>
      <c r="F83" s="108" t="inlineStr">
        <is>
          <t>e-Commerce &amp; Internet Services</t>
        </is>
      </c>
      <c r="G83" s="108" t="inlineStr">
        <is>
          <t>Standard</t>
        </is>
      </c>
      <c r="H83" s="109" t="n">
        <v>44532</v>
      </c>
      <c r="I83" s="110" t="n">
        <v>3280</v>
      </c>
      <c r="J83" s="108" t="inlineStr">
        <is>
          <t>gross (price x shares)</t>
        </is>
      </c>
      <c r="K83" s="129" t="n"/>
      <c r="L83" s="111" t="n">
        <v>220</v>
      </c>
      <c r="M83" s="111" t="n">
        <v>205</v>
      </c>
      <c r="N83" s="108" t="inlineStr">
        <is>
          <t>N</t>
        </is>
      </c>
      <c r="O83" s="112" t="n">
        <v>93.2</v>
      </c>
      <c r="P83" s="118" t="n"/>
      <c r="Q83" s="113" t="n">
        <v>36782.6</v>
      </c>
      <c r="R83" s="108" t="inlineStr">
        <is>
          <t>prospectus:stated market capitalisation, rescaled to the offer price</t>
        </is>
      </c>
      <c r="S83" s="114" t="n">
        <v>8.92</v>
      </c>
      <c r="T83" s="115" t="n">
        <v>1.7</v>
      </c>
      <c r="U83" s="116" t="n">
        <v>83.15000000000001</v>
      </c>
      <c r="V83" s="117" t="n">
        <v>144</v>
      </c>
      <c r="W83" s="118" t="n"/>
      <c r="X83" s="119" t="n"/>
      <c r="Y83" s="113" t="n">
        <v>552.6799999999999</v>
      </c>
      <c r="Z83" s="113" t="n">
        <v>2696000</v>
      </c>
      <c r="AA83" s="112" t="n">
        <v>1.5</v>
      </c>
      <c r="AB83" s="108" t="inlineStr">
        <is>
          <t>NetEase, Inc; Orbis Investment Management Limited; Sony Music Entertainment</t>
        </is>
      </c>
      <c r="AC83" s="108" t="inlineStr">
        <is>
          <t>netease;orbis;sony</t>
        </is>
      </c>
      <c r="AD83" s="112" t="n">
        <v>7.7</v>
      </c>
      <c r="AE83" s="108" t="inlineStr">
        <is>
          <t>lapsed</t>
        </is>
      </c>
      <c r="AF83" s="108" t="inlineStr">
        <is>
          <t>2021-12-26</t>
        </is>
      </c>
      <c r="AG83" s="108" t="inlineStr">
        <is>
          <t>Merrill Lynch</t>
        </is>
      </c>
      <c r="AH83" s="108" t="inlineStr">
        <is>
          <t>Merrill Lynch</t>
        </is>
      </c>
      <c r="AI83" s="120" t="n">
        <v>-2.24</v>
      </c>
      <c r="AJ83" s="121" t="n">
        <v>-2.49</v>
      </c>
      <c r="AK83" s="121" t="n">
        <v>-0.92</v>
      </c>
      <c r="AL83" s="121" t="n">
        <v>0</v>
      </c>
      <c r="AM83" s="121" t="n">
        <v>-2.49</v>
      </c>
      <c r="AN83" s="122" t="n"/>
      <c r="AO83" s="112" t="n">
        <v>2.59</v>
      </c>
      <c r="AP83" s="121" t="n">
        <v>-2.73</v>
      </c>
      <c r="AQ83" s="121" t="n">
        <v>-27.02</v>
      </c>
      <c r="AR83" s="121" t="n">
        <v>-55.12</v>
      </c>
      <c r="AS83" s="121" t="n">
        <v>-0.25</v>
      </c>
      <c r="AT83" s="121" t="n">
        <v>-25.16</v>
      </c>
      <c r="AU83" s="121" t="n">
        <v>-53.97</v>
      </c>
      <c r="AV83" s="121" t="n">
        <v>-3.15</v>
      </c>
      <c r="AW83" s="121" t="n">
        <v>-20.01</v>
      </c>
      <c r="AX83" s="121" t="n">
        <v>-29.15</v>
      </c>
      <c r="AY83" s="121" t="n">
        <v>-19.02</v>
      </c>
      <c r="AZ83" s="121" t="n">
        <v>-7.01</v>
      </c>
      <c r="BA83" s="121" t="n">
        <v>-6.14</v>
      </c>
      <c r="BB83" s="108" t="inlineStr">
        <is>
          <t>HSTECH (Hang Seng TECH ETF)</t>
        </is>
      </c>
      <c r="BC83" s="121" t="n">
        <v>-59.29</v>
      </c>
      <c r="BD83" s="109" t="n">
        <v>46297</v>
      </c>
      <c r="BE83" s="110" t="n">
        <v>5385.3</v>
      </c>
      <c r="BF83" s="131" t="n"/>
      <c r="BG83" s="119" t="n"/>
      <c r="BH83" s="124">
        <f>IF('BBG Verify'!O83="","not filed; run on terminal",'BBG Verify'!O83)</f>
        <v/>
      </c>
      <c r="BI83" s="122" t="n"/>
      <c r="BJ83" s="123" t="n">
        <v>7.7</v>
      </c>
      <c r="BK83" s="123" t="n">
        <v>6.8</v>
      </c>
      <c r="BL83" s="124">
        <f>IF('BBG Verify'!S83="","not filed; run on terminal",'BBG Verify'!S83)</f>
        <v/>
      </c>
      <c r="BM83" s="125" t="inlineStr">
        <is>
          <t>N</t>
        </is>
      </c>
      <c r="BN83" s="126">
        <f>IF('BBG Verify'!K83="","not filed; run on terminal",'BBG Verify'!K83)</f>
        <v/>
      </c>
      <c r="BO83" s="108" t="inlineStr">
        <is>
          <t>N/A</t>
        </is>
      </c>
      <c r="BP83" s="108" t="inlineStr">
        <is>
          <t>N/A</t>
        </is>
      </c>
      <c r="BQ83" s="108" t="inlineStr">
        <is>
          <t>N/A</t>
        </is>
      </c>
      <c r="BR83" s="108" t="inlineStr">
        <is>
          <t>N/A</t>
        </is>
      </c>
      <c r="BS83" s="108" t="inlineStr">
        <is>
          <t>N/A</t>
        </is>
      </c>
      <c r="BT83" s="108" t="inlineStr">
        <is>
          <t>N/A</t>
        </is>
      </c>
      <c r="BU83" s="125" t="inlineStr">
        <is>
          <t>BofA Securities; CICC; Credit Suisse</t>
        </is>
      </c>
      <c r="BV83" s="108" t="inlineStr">
        <is>
          <t>China International Capital Corporation Hong Kong Securities Limited; Merrill Lynch (Asia Pacific) Limited; Credit Suisse (Hong Kong) Limited</t>
        </is>
      </c>
      <c r="BW83" s="108" t="inlineStr">
        <is>
          <t>ABCI Securities Company Limited; BOCI Asia Limited; CCB International Capital Limited; Citigroup Global Markets Asia Limited; China International Capital Corporation Hong Kong Securities Limited; CMB International Capital Corporation Limited; Credit Suisse (Hong Kong) Limited; Huatai Financial Holdings (Hong Kong) Limited; The Hongkong and Shanghai Banking Corporation Limited; ICBC International Securities Limited; Merrill Lynch (Asia Pacific) Limited</t>
        </is>
      </c>
      <c r="BX83" s="108" t="inlineStr">
        <is>
          <t>ABCI Securities Company Limited; BOCI Asia Limited; CCB International Capital Limited; Citigroup Global Markets Asia Limited; China International Capital Corporation Hong Kong Securities Limited; CMB International Capital Corporation Limited; Credit Suisse (Hong Kong) Limited; Huatai Financial Holdings (Hong Kong) Limited; The Hongkong and Shanghai Banking Corporation Limited; ICBC International Securities Limited; Merrill Lynch (Asia Pacific) Limited</t>
        </is>
      </c>
      <c r="BY83" s="127">
        <f>HYPERLINK("https://www1.hkexnews.hk/listedco/listconews/sehk/2021/1123/2021112300032.pdf","prospectus")</f>
        <v/>
      </c>
      <c r="BZ83" s="127">
        <f>HYPERLINK("https://www1.hkexnews.hk/listedco/listconews/sehk/2021/1201/2021120100040.htm","allotment")</f>
        <v/>
      </c>
      <c r="CA83" s="127">
        <f>HYPERLINK("https://www1.hkexnews.hk/listedco/listconews/sehk/2021/1227/2021122700001.pdf","stabilisation")</f>
        <v/>
      </c>
      <c r="CB83" s="128" t="n"/>
      <c r="CC83" s="108" t="inlineStr">
        <is>
          <t>P/E: net income not extractable; range low: maximum offer price only, no floor published; market cap: prospectus cap HK$39,474m at HK$220.00, rescaled to HK$205.00; financials: not extractable; pre-IPO year outside the AAStocks window; allocation: allocation table not in this notice's format (older prose announcement); day-1 tape: volume on file; the retail multiple needs the final public split, which this notice does not state</t>
        </is>
      </c>
    </row>
    <row r="84" ht="22" customHeight="1">
      <c r="A84" s="107" t="inlineStr">
        <is>
          <t>9898</t>
        </is>
      </c>
      <c r="B84" s="108" t="inlineStr">
        <is>
          <t>WB-SW</t>
        </is>
      </c>
      <c r="C84" s="108" t="inlineStr">
        <is>
          <t>微博－ＳＷ</t>
        </is>
      </c>
      <c r="D84" s="108" t="inlineStr">
        <is>
          <t>Tech/AI</t>
        </is>
      </c>
      <c r="E84" s="108" t="inlineStr">
        <is>
          <t>Internet platform / e-commerce</t>
        </is>
      </c>
      <c r="F84" s="108" t="inlineStr">
        <is>
          <t>e-Commerce &amp; Internet Services</t>
        </is>
      </c>
      <c r="G84" s="108" t="inlineStr">
        <is>
          <t>Secondary + WVR</t>
        </is>
      </c>
      <c r="H84" s="109" t="n">
        <v>44538</v>
      </c>
      <c r="I84" s="110" t="n">
        <v>3000.8</v>
      </c>
      <c r="J84" s="108" t="inlineStr">
        <is>
          <t>gross (price x shares)</t>
        </is>
      </c>
      <c r="K84" s="129" t="n"/>
      <c r="L84" s="111" t="n">
        <v>388</v>
      </c>
      <c r="M84" s="111" t="n">
        <v>272.8</v>
      </c>
      <c r="N84" s="108" t="inlineStr">
        <is>
          <t>N</t>
        </is>
      </c>
      <c r="O84" s="112" t="n">
        <v>70.3</v>
      </c>
      <c r="P84" s="118" t="n"/>
      <c r="Q84" s="113" t="n">
        <v>91022</v>
      </c>
      <c r="R84" s="108" t="inlineStr">
        <is>
          <t>prospectus:stated market capitalisation</t>
        </is>
      </c>
      <c r="S84" s="114" t="n">
        <v>2.67</v>
      </c>
      <c r="T84" s="115" t="n">
        <v>5.5</v>
      </c>
      <c r="U84" s="116" t="n">
        <v>0</v>
      </c>
      <c r="V84" s="117" t="n">
        <v>148</v>
      </c>
      <c r="W84" s="118" t="n"/>
      <c r="X84" s="119" t="n"/>
      <c r="Y84" s="113" t="n">
        <v>3000.8</v>
      </c>
      <c r="Z84" s="113" t="n">
        <v>11000000</v>
      </c>
      <c r="AA84" s="112" t="n">
        <v>3.3</v>
      </c>
      <c r="AB84" s="108" t="inlineStr">
        <is>
          <t>none — no cornerstone tranche</t>
        </is>
      </c>
      <c r="AC84" s="108" t="inlineStr">
        <is>
          <t>none</t>
        </is>
      </c>
      <c r="AD84" s="112" t="n">
        <v>5.4</v>
      </c>
      <c r="AE84" s="108" t="inlineStr">
        <is>
          <t>partial</t>
        </is>
      </c>
      <c r="AF84" s="108" t="inlineStr">
        <is>
          <t>2022-01-01</t>
        </is>
      </c>
      <c r="AG84" s="108" t="inlineStr">
        <is>
          <t>Goldman Sachs</t>
        </is>
      </c>
      <c r="AH84" s="108" t="inlineStr">
        <is>
          <t>Goldman Sachs</t>
        </is>
      </c>
      <c r="AI84" s="120" t="n">
        <v>-6.16</v>
      </c>
      <c r="AJ84" s="121" t="n">
        <v>-7.18</v>
      </c>
      <c r="AK84" s="121" t="n">
        <v>-0.25</v>
      </c>
      <c r="AL84" s="121" t="n">
        <v>-6.09</v>
      </c>
      <c r="AM84" s="121" t="n">
        <v>-1.16</v>
      </c>
      <c r="AN84" s="122" t="n"/>
      <c r="AO84" s="112" t="n">
        <v>2.26</v>
      </c>
      <c r="AP84" s="121" t="n">
        <v>-19.65</v>
      </c>
      <c r="AQ84" s="121" t="n">
        <v>-4.4</v>
      </c>
      <c r="AR84" s="121" t="n">
        <v>-28.52</v>
      </c>
      <c r="AS84" s="121" t="n">
        <v>-13.43</v>
      </c>
      <c r="AT84" s="121" t="n">
        <v>3</v>
      </c>
      <c r="AU84" s="121" t="n">
        <v>-22.99</v>
      </c>
      <c r="AV84" s="121" t="n">
        <v>-16.44</v>
      </c>
      <c r="AW84" s="121" t="n">
        <v>3.72</v>
      </c>
      <c r="AX84" s="121" t="n">
        <v>0.45</v>
      </c>
      <c r="AY84" s="121" t="n">
        <v>10.89</v>
      </c>
      <c r="AZ84" s="121" t="n">
        <v>-8.119999999999999</v>
      </c>
      <c r="BA84" s="121" t="n">
        <v>-7.89</v>
      </c>
      <c r="BB84" s="108" t="inlineStr">
        <is>
          <t>HSTECH (Hang Seng TECH ETF)</t>
        </is>
      </c>
      <c r="BC84" s="121" t="n">
        <v>-81.79000000000001</v>
      </c>
      <c r="BD84" s="109" t="n">
        <v>46297</v>
      </c>
      <c r="BE84" s="132" t="n"/>
      <c r="BF84" s="131" t="n"/>
      <c r="BG84" s="119" t="n"/>
      <c r="BH84" s="123" t="n">
        <v>11.2</v>
      </c>
      <c r="BI84" s="123" t="n">
        <v>11.2</v>
      </c>
      <c r="BJ84" s="123" t="n">
        <v>4.9</v>
      </c>
      <c r="BK84" s="122" t="n"/>
      <c r="BL84" s="124">
        <f>IF('BBG Verify'!S84="","not filed; run on terminal",'BBG Verify'!S84)</f>
        <v/>
      </c>
      <c r="BM84" s="125" t="inlineStr">
        <is>
          <t>N</t>
        </is>
      </c>
      <c r="BN84" s="126">
        <f>IF('BBG Verify'!K84="","not filed; run on terminal",'BBG Verify'!K84)</f>
        <v/>
      </c>
      <c r="BO84" s="108" t="inlineStr">
        <is>
          <t>N/A</t>
        </is>
      </c>
      <c r="BP84" s="108" t="inlineStr">
        <is>
          <t>N/A</t>
        </is>
      </c>
      <c r="BQ84" s="108" t="inlineStr">
        <is>
          <t>N/A</t>
        </is>
      </c>
      <c r="BR84" s="108" t="inlineStr">
        <is>
          <t>N/A</t>
        </is>
      </c>
      <c r="BS84" s="108" t="inlineStr">
        <is>
          <t>N/A</t>
        </is>
      </c>
      <c r="BT84" s="108" t="inlineStr">
        <is>
          <t>N/A</t>
        </is>
      </c>
      <c r="BU84" s="125" t="inlineStr">
        <is>
          <t>Goldman Sachs (Asia) L.L.C; Credit Suisse (Hong Kong) Limited; CLSA Capital Markets Limited; China International Capital Corporation Hong Kong Securities Limited; CLSA Limited</t>
        </is>
      </c>
      <c r="BV84" s="108" t="inlineStr">
        <is>
          <t>China International Capital Corporation Hong Kong Securities Limited; Goldman Sachs (Asia) L.L.C.; CLSA Capital Markets Limited; Credit Suisse (Hong Kong) Limited</t>
        </is>
      </c>
      <c r="BW84" s="108" t="inlineStr">
        <is>
          <t>Goldman Sachs (Asia) L.L.C; Credit Suisse (Hong Kong) Limited; CLSA Limited; China International Capital Corporation Hong Kong Securities Limited; Nomura International (Hong Kong) Limited; Deutsche Bank AG, Hong Kong Branch; Haitong International Securities Company Limited; Huatai Financial Holdings (Hong Kong) Limited; Valuable Capital Limited; ABCI Capital Limited; CMBC Securities Company Limited; CMB International Capital Limited</t>
        </is>
      </c>
      <c r="BX84" s="108" t="inlineStr">
        <is>
          <t>ABCI Securities Company Limited; China International Capital Corporation Hong Kong Securities Limited; CLSA Limited; CMBC Securities Company Limited; CMB International Capital Limited; Credit Suisse (Hong Kong) Limited; Deutsche Bank AG, Hong Kong Branch; Goldman Sachs (Asia) L.L.C.; Huatai Financial Holdings (Hong Kong) Limited; Haitong International Securities Company Limited; Nomura International (Hong Kong) Limited; Valuable Capital Limited</t>
        </is>
      </c>
      <c r="BY84" s="127">
        <f>HYPERLINK("https://www1.hkexnews.hk/listedco/listconews/sehk/2021/1129/2021112900007.pdf","prospectus")</f>
        <v/>
      </c>
      <c r="BZ84" s="127">
        <f>HYPERLINK("https://www1.hkexnews.hk/listedco/listconews/sehk/2021/1207/2021120700020.htm","allotment")</f>
        <v/>
      </c>
      <c r="CA84" s="127">
        <f>HYPERLINK("https://www1.hkexnews.hk/listedco/listconews/sehk/2022/0102/2022010200019.pdf","stabilisation")</f>
        <v/>
      </c>
      <c r="CB84" s="128" t="n"/>
      <c r="CC84" s="108" t="inlineStr">
        <is>
          <t>P/E: Bloomberg trailing-12m basis (prospectus-year multiple not derivable); range low: maximum offer price only, no floor published; cornerstone list: no cornerstone tranche; P/S: revenue not extractable; financials: not extractable; pre-IPO year outside the AAStocks window; allocation: allocation table not in this notice's format (older prose announcement); day-1 tape: volume on file; the retail multiple needs the final public split, which this notice does not state</t>
        </is>
      </c>
    </row>
    <row r="85" ht="22" customHeight="1">
      <c r="A85" s="107" t="inlineStr">
        <is>
          <t>1228</t>
        </is>
      </c>
      <c r="B85" s="108" t="inlineStr">
        <is>
          <t>CANBRIDGE-B</t>
        </is>
      </c>
      <c r="C85" s="108" t="inlineStr">
        <is>
          <t>北海康成－Ｂ</t>
        </is>
      </c>
      <c r="D85" s="108" t="inlineStr">
        <is>
          <t>Healthcare</t>
        </is>
      </c>
      <c r="E85" s="108" t="inlineStr">
        <is>
          <t>Biotech pre-revenue (18A)</t>
        </is>
      </c>
      <c r="F85" s="108" t="inlineStr">
        <is>
          <t>Biotechnology</t>
        </is>
      </c>
      <c r="G85" s="108" t="inlineStr">
        <is>
          <t>18A</t>
        </is>
      </c>
      <c r="H85" s="109" t="n">
        <v>44540</v>
      </c>
      <c r="I85" s="110" t="n">
        <v>685.1</v>
      </c>
      <c r="J85" s="108" t="inlineStr">
        <is>
          <t>gross (price x shares)</t>
        </is>
      </c>
      <c r="K85" s="129" t="n"/>
      <c r="L85" s="111" t="n">
        <v>12.18</v>
      </c>
      <c r="M85" s="111" t="n">
        <v>12.18</v>
      </c>
      <c r="N85" s="108" t="inlineStr">
        <is>
          <t>Y</t>
        </is>
      </c>
      <c r="O85" s="112" t="n">
        <v>100</v>
      </c>
      <c r="P85" s="118" t="n"/>
      <c r="Q85" s="113" t="n">
        <v>5166.7</v>
      </c>
      <c r="R85" s="108" t="inlineStr">
        <is>
          <t>prospectus:stated market capitalisation</t>
        </is>
      </c>
      <c r="S85" s="114" t="n">
        <v>1.97</v>
      </c>
      <c r="T85" s="115" t="n">
        <v>2.8</v>
      </c>
      <c r="U85" s="116" t="n">
        <v>75.8</v>
      </c>
      <c r="V85" s="117" t="n">
        <v>113</v>
      </c>
      <c r="W85" s="118" t="n"/>
      <c r="X85" s="119" t="n"/>
      <c r="Y85" s="113" t="n">
        <v>165.79</v>
      </c>
      <c r="Z85" s="113" t="n">
        <v>13612742</v>
      </c>
      <c r="AA85" s="112" t="n">
        <v>3.21</v>
      </c>
      <c r="AB85" s="108" t="inlineStr">
        <is>
          <t>Belinda A. Termeer; General Atlantic Singapore CP Pte. Ltd; Hongkong Ruihua Investment Management Limited; Hudson Bay Master Fund Ltd; Janus Investors; RA Capital Healthcare Fund, L.P; WuXi Biologics HealthCare Venture</t>
        </is>
      </c>
      <c r="AC85" s="108" t="inlineStr">
        <is>
          <t>belinda;general;hongkong;hudson;janus;ra;wuxi</t>
        </is>
      </c>
      <c r="AD85" s="112" t="n">
        <v>11.8</v>
      </c>
      <c r="AE85" s="108" t="inlineStr">
        <is>
          <t>lapsed</t>
        </is>
      </c>
      <c r="AF85" s="108" t="inlineStr">
        <is>
          <t>2022-01-02</t>
        </is>
      </c>
      <c r="AG85" s="119" t="n"/>
      <c r="AH85" s="119" t="n"/>
      <c r="AI85" s="120" t="n">
        <v>-9.69</v>
      </c>
      <c r="AJ85" s="121" t="n">
        <v>-26.93</v>
      </c>
      <c r="AK85" s="121" t="n">
        <v>-1.54</v>
      </c>
      <c r="AL85" s="121" t="n">
        <v>-19.54</v>
      </c>
      <c r="AM85" s="121" t="n">
        <v>-9.18</v>
      </c>
      <c r="AN85" s="122" t="n"/>
      <c r="AO85" s="112" t="n">
        <v>14.08</v>
      </c>
      <c r="AP85" s="121" t="n">
        <v>-30.13</v>
      </c>
      <c r="AQ85" s="121" t="n">
        <v>-32.84</v>
      </c>
      <c r="AR85" s="121" t="n">
        <v>-64.37</v>
      </c>
      <c r="AS85" s="121" t="n">
        <v>-4.38</v>
      </c>
      <c r="AT85" s="121" t="n">
        <v>-8.09</v>
      </c>
      <c r="AU85" s="121" t="n">
        <v>-51.24</v>
      </c>
      <c r="AV85" s="121" t="n">
        <v>-23.79</v>
      </c>
      <c r="AW85" s="121" t="n">
        <v>-22.11</v>
      </c>
      <c r="AX85" s="121" t="n">
        <v>-26.66</v>
      </c>
      <c r="AY85" s="121" t="n">
        <v>1.24</v>
      </c>
      <c r="AZ85" s="121" t="n">
        <v>-10.73</v>
      </c>
      <c r="BA85" s="121" t="n">
        <v>-9.33</v>
      </c>
      <c r="BB85" s="108" t="inlineStr">
        <is>
          <t>China Biotech ETF (HS biotech proxy)</t>
        </is>
      </c>
      <c r="BC85" s="121" t="n">
        <v>-83.17</v>
      </c>
      <c r="BD85" s="109" t="n">
        <v>46297</v>
      </c>
      <c r="BE85" s="110" t="n">
        <v>2.1</v>
      </c>
      <c r="BF85" s="113" t="n">
        <v>-172.4</v>
      </c>
      <c r="BG85" s="108" t="inlineStr">
        <is>
          <t>N</t>
        </is>
      </c>
      <c r="BH85" s="108" t="inlineStr">
        <is>
          <t>n/m</t>
        </is>
      </c>
      <c r="BI85" s="122" t="n"/>
      <c r="BJ85" s="123" t="n">
        <v>37.8</v>
      </c>
      <c r="BK85" s="123" t="n">
        <v>2460.3</v>
      </c>
      <c r="BL85" s="124">
        <f>IF('BBG Verify'!S85="","not filed; run on terminal",'BBG Verify'!S85)</f>
        <v/>
      </c>
      <c r="BM85" s="125" t="inlineStr">
        <is>
          <t>N</t>
        </is>
      </c>
      <c r="BN85" s="126">
        <f>IF('BBG Verify'!K85="","not filed; run on terminal",'BBG Verify'!K85)</f>
        <v/>
      </c>
      <c r="BO85" s="108" t="inlineStr">
        <is>
          <t>N/A</t>
        </is>
      </c>
      <c r="BP85" s="108" t="inlineStr">
        <is>
          <t>N/A</t>
        </is>
      </c>
      <c r="BQ85" s="108" t="inlineStr">
        <is>
          <t>N/A</t>
        </is>
      </c>
      <c r="BR85" s="108" t="inlineStr">
        <is>
          <t>N/A</t>
        </is>
      </c>
      <c r="BS85" s="108" t="inlineStr">
        <is>
          <t>N/A</t>
        </is>
      </c>
      <c r="BT85" s="108" t="inlineStr">
        <is>
          <t>N/A</t>
        </is>
      </c>
      <c r="BU85" s="125" t="inlineStr">
        <is>
          <t>Morgan Stanley Asia Limited; Jefferies Hong Kong Limited</t>
        </is>
      </c>
      <c r="BV85" s="108" t="inlineStr">
        <is>
          <t>Jefferies Hong Kong Limited; Morgan Stanley Asia Limited</t>
        </is>
      </c>
      <c r="BW85" s="108" t="inlineStr">
        <is>
          <t>Morgan Stanley Asia Limited; Jefferies Hong Kong Limited; Haitong International Securities Company Limited; Morgan Stanley &amp; Co. International plc; China Merchants Securities (HK) Co., Limited; BOCI Asia Limited</t>
        </is>
      </c>
      <c r="BX85" s="108" t="inlineStr">
        <is>
          <t>BOCI Asia Limited; China Merchants Securities (HK) Company Limited; Futu Securities International (Hong Kong) Limited; Haitong International Securities Company Limited; Jefferies Hong Kong Limited; Morgan Stanley Asia Limited</t>
        </is>
      </c>
      <c r="BY85" s="127">
        <f>HYPERLINK("https://www1.hkexnews.hk/listedco/listconews/sehk/2021/1130/2021113000013.pdf","prospectus")</f>
        <v/>
      </c>
      <c r="BZ85" s="127">
        <f>HYPERLINK("https://www1.hkexnews.hk/listedco/listconews/sehk/2021/1209/2021120900010.htm","allotment")</f>
        <v/>
      </c>
      <c r="CA85" s="127">
        <f>HYPERLINK("https://www1.hkexnews.hk/listedco/listconews/sehk/2022/0102/2022010200017.pdf","stabilisation")</f>
        <v/>
      </c>
      <c r="CB85" s="128" t="n"/>
      <c r="CC85" s="108" t="inlineStr">
        <is>
          <t>P/E: loss-making at IPO, use P/S; range low: maximum offer price only, no floor published; P/S: 2,460x on HK$2.1m revenue, effectively pre-revenue; not comparable; stabilising manager: not named in the allotment notice or prospectus glossary; allocation: allocation table not in this notice's format (older prose announcement); day-1 tape: volume on file; the retail multiple needs the final public split, which this notice does not state</t>
        </is>
      </c>
    </row>
    <row r="86" ht="22" customHeight="1">
      <c r="A86" s="107" t="inlineStr">
        <is>
          <t>2273</t>
        </is>
      </c>
      <c r="B86" s="108" t="inlineStr">
        <is>
          <t>GUSHENGTANG</t>
        </is>
      </c>
      <c r="C86" s="108" t="inlineStr">
        <is>
          <t>固生堂</t>
        </is>
      </c>
      <c r="D86" s="108" t="inlineStr">
        <is>
          <t>Healthcare</t>
        </is>
      </c>
      <c r="E86" s="108" t="inlineStr">
        <is>
          <t>TCM</t>
        </is>
      </c>
      <c r="F86" s="108" t="inlineStr">
        <is>
          <t>Health Care Services</t>
        </is>
      </c>
      <c r="G86" s="108" t="inlineStr">
        <is>
          <t>Standard</t>
        </is>
      </c>
      <c r="H86" s="109" t="n">
        <v>44540</v>
      </c>
      <c r="I86" s="110" t="n">
        <v>808.5</v>
      </c>
      <c r="J86" s="108" t="inlineStr">
        <is>
          <t>gross (price x shares)</t>
        </is>
      </c>
      <c r="K86" s="111" t="n">
        <v>25.8</v>
      </c>
      <c r="L86" s="111" t="n">
        <v>29</v>
      </c>
      <c r="M86" s="111" t="n">
        <v>29</v>
      </c>
      <c r="N86" s="108" t="inlineStr">
        <is>
          <t>Y</t>
        </is>
      </c>
      <c r="O86" s="112" t="n">
        <v>100</v>
      </c>
      <c r="P86" s="112" t="n">
        <v>100</v>
      </c>
      <c r="Q86" s="113" t="n">
        <v>5914.4</v>
      </c>
      <c r="R86" s="108" t="inlineStr">
        <is>
          <t>derived:deal size / offer % of enlarged capital</t>
        </is>
      </c>
      <c r="S86" s="114" t="n">
        <v>2.84</v>
      </c>
      <c r="T86" s="115" t="n">
        <v>4.4</v>
      </c>
      <c r="U86" s="116" t="n">
        <v>40.32</v>
      </c>
      <c r="V86" s="117" t="n">
        <v>69</v>
      </c>
      <c r="W86" s="118" t="n"/>
      <c r="X86" s="119" t="n"/>
      <c r="Y86" s="113" t="n">
        <v>482.51</v>
      </c>
      <c r="Z86" s="113" t="n">
        <v>16637590</v>
      </c>
      <c r="AA86" s="112" t="n">
        <v>8.16</v>
      </c>
      <c r="AB86" s="108" t="inlineStr">
        <is>
          <t>Boyu Capital Opportunities Master Fund; Foresight Funds; Sage Partners Master Fund; UBS Asset Management (Singapore) Ltd</t>
        </is>
      </c>
      <c r="AC86" s="108" t="inlineStr">
        <is>
          <t>boyu;foresight;sage;ubs</t>
        </is>
      </c>
      <c r="AD86" s="112" t="n">
        <v>15.14</v>
      </c>
      <c r="AE86" s="108" t="inlineStr">
        <is>
          <t>lapsed</t>
        </is>
      </c>
      <c r="AF86" s="108" t="inlineStr">
        <is>
          <t>2022-01-02</t>
        </is>
      </c>
      <c r="AG86" s="108" t="inlineStr">
        <is>
          <t>Merrill Lynch International</t>
        </is>
      </c>
      <c r="AH86" s="108" t="inlineStr">
        <is>
          <t>Merrill Lynch</t>
        </is>
      </c>
      <c r="AI86" s="120" t="n">
        <v>18.62</v>
      </c>
      <c r="AJ86" s="121" t="n">
        <v>0</v>
      </c>
      <c r="AK86" s="121" t="n">
        <v>-1.54</v>
      </c>
      <c r="AL86" s="121" t="n">
        <v>15.17</v>
      </c>
      <c r="AM86" s="121" t="n">
        <v>-13.17</v>
      </c>
      <c r="AN86" s="122" t="n"/>
      <c r="AO86" s="112" t="n">
        <v>16.77</v>
      </c>
      <c r="AP86" s="121" t="n">
        <v>-17.24</v>
      </c>
      <c r="AQ86" s="121" t="n">
        <v>45.86</v>
      </c>
      <c r="AR86" s="121" t="n">
        <v>-28.45</v>
      </c>
      <c r="AS86" s="121" t="n">
        <v>-17.24</v>
      </c>
      <c r="AT86" s="121" t="n">
        <v>45.86</v>
      </c>
      <c r="AU86" s="121" t="n">
        <v>-28.45</v>
      </c>
      <c r="AV86" s="121" t="n">
        <v>-10.9</v>
      </c>
      <c r="AW86" s="121" t="n">
        <v>56.59</v>
      </c>
      <c r="AX86" s="121" t="n">
        <v>9.26</v>
      </c>
      <c r="AY86" s="121" t="n">
        <v>55.19</v>
      </c>
      <c r="AZ86" s="121" t="n">
        <v>-10.73</v>
      </c>
      <c r="BA86" s="121" t="n">
        <v>-9.33</v>
      </c>
      <c r="BB86" s="108" t="inlineStr">
        <is>
          <t>China Biotech ETF (HS biotech proxy)</t>
        </is>
      </c>
      <c r="BC86" s="121" t="n">
        <v>-9.859999999999999</v>
      </c>
      <c r="BD86" s="109" t="n">
        <v>46297</v>
      </c>
      <c r="BE86" s="110" t="n">
        <v>1017.9</v>
      </c>
      <c r="BF86" s="113" t="n">
        <v>-280.9</v>
      </c>
      <c r="BG86" s="108" t="inlineStr">
        <is>
          <t>N</t>
        </is>
      </c>
      <c r="BH86" s="108" t="inlineStr">
        <is>
          <t>n/m</t>
        </is>
      </c>
      <c r="BI86" s="122" t="n"/>
      <c r="BJ86" s="123" t="n">
        <v>15.7</v>
      </c>
      <c r="BK86" s="123" t="n">
        <v>5.8</v>
      </c>
      <c r="BL86" s="124">
        <f>IF('BBG Verify'!S86="","not filed; run on terminal",'BBG Verify'!S86)</f>
        <v/>
      </c>
      <c r="BM86" s="125" t="inlineStr">
        <is>
          <t>N</t>
        </is>
      </c>
      <c r="BN86" s="126">
        <f>IF('BBG Verify'!K86="","not filed; run on terminal",'BBG Verify'!K86)</f>
        <v/>
      </c>
      <c r="BO86" s="108" t="inlineStr">
        <is>
          <t>N/A</t>
        </is>
      </c>
      <c r="BP86" s="108" t="inlineStr">
        <is>
          <t>N/A</t>
        </is>
      </c>
      <c r="BQ86" s="108" t="inlineStr">
        <is>
          <t>N/A</t>
        </is>
      </c>
      <c r="BR86" s="108" t="inlineStr">
        <is>
          <t>N/A</t>
        </is>
      </c>
      <c r="BS86" s="108" t="inlineStr">
        <is>
          <t>N/A</t>
        </is>
      </c>
      <c r="BT86" s="108" t="inlineStr">
        <is>
          <t>N/A</t>
        </is>
      </c>
      <c r="BU86" s="125" t="inlineStr">
        <is>
          <t>Merrill Lynch (Asia Pacific) Limited; Haitong International Capital Limited; Haitong International Securities Company Limited</t>
        </is>
      </c>
      <c r="BV86" s="108" t="inlineStr">
        <is>
          <t>Haitong International Capital Limited; Merrill Lynch (Asia Pacific) Limited</t>
        </is>
      </c>
      <c r="BW86" s="108" t="inlineStr">
        <is>
          <t>Merrill Lynch (Asia Pacific) Limited; Haitong International Securities Company Limited; China International Capital Corporation Hong Kong Securities Limited; GF Securities (Hong Kong) Brokerage Limited; ICBC International Capital Limited</t>
        </is>
      </c>
      <c r="BX86" s="108" t="inlineStr">
        <is>
          <t>China International Capital Corporation Hong Kong Securities Limited; Futu Securities International (Hong Kong) Limited; GF Securities (Hong Kong) Brokerage Limited; Haitong International Securities Company Limited; ICBC International Securities Limited; Merrill Lynch (Asia Pacific) Limited; Sinomax Securities Limited</t>
        </is>
      </c>
      <c r="BY86" s="127">
        <f>HYPERLINK("https://www1.hkexnews.hk/listedco/listconews/sehk/2021/1130/2021113000025.pdf","prospectus")</f>
        <v/>
      </c>
      <c r="BZ86" s="127">
        <f>HYPERLINK("https://www1.hkexnews.hk/listedco/listconews/sehk/2021/1209/2021120900040.htm","allotment")</f>
        <v/>
      </c>
      <c r="CA86" s="127">
        <f>HYPERLINK("https://www1.hkexnews.hk/listedco/listconews/sehk/2022/0103/2022010302918.pdf","stabilisation")</f>
        <v/>
      </c>
      <c r="CB86" s="128" t="n"/>
      <c r="CC86" s="108" t="inlineStr">
        <is>
          <t>P/E: loss-making at IPO, use P/S; greenshoe: conflict: notice read 'lapsed' but Bloomberg records 4,181,700 shares exercised; check the notice; market cap: prospectus 'market capitalisation' line is the listing-rule threshold, not the issuer's figure; rejected; allocation: allocation table not in this notice's format (older prose announcement); day-1 tape: volume on file; the retail multiple needs the final public split, which this notice does not state</t>
        </is>
      </c>
    </row>
    <row r="87" ht="22" customHeight="1">
      <c r="A87" s="107" t="inlineStr">
        <is>
          <t>6821</t>
        </is>
      </c>
      <c r="B87" s="108" t="inlineStr">
        <is>
          <t>ASYMCHEM</t>
        </is>
      </c>
      <c r="C87" s="108" t="inlineStr">
        <is>
          <t>凱萊英</t>
        </is>
      </c>
      <c r="D87" s="108" t="inlineStr">
        <is>
          <t>Healthcare</t>
        </is>
      </c>
      <c r="E87" s="108" t="inlineStr">
        <is>
          <t>CXO / pharma services</t>
        </is>
      </c>
      <c r="F87" s="108" t="inlineStr">
        <is>
          <t>Pharmaceuticals</t>
        </is>
      </c>
      <c r="G87" s="108" t="inlineStr">
        <is>
          <t>Standard</t>
        </is>
      </c>
      <c r="H87" s="109" t="n">
        <v>44540</v>
      </c>
      <c r="I87" s="110" t="n">
        <v>7145.2</v>
      </c>
      <c r="J87" s="108" t="inlineStr">
        <is>
          <t>gross (price x shares)</t>
        </is>
      </c>
      <c r="K87" s="111" t="n">
        <v>350</v>
      </c>
      <c r="L87" s="111" t="n">
        <v>410</v>
      </c>
      <c r="M87" s="111" t="n">
        <v>388</v>
      </c>
      <c r="N87" s="108" t="inlineStr">
        <is>
          <t>N</t>
        </is>
      </c>
      <c r="O87" s="112" t="n">
        <v>94.59999999999999</v>
      </c>
      <c r="P87" s="112" t="n">
        <v>63.3</v>
      </c>
      <c r="Q87" s="113" t="n">
        <v>141820</v>
      </c>
      <c r="R87" s="108" t="inlineStr">
        <is>
          <t>prospectus:stated market capitalisation</t>
        </is>
      </c>
      <c r="S87" s="114" t="n">
        <v>4.5</v>
      </c>
      <c r="T87" s="115" t="n">
        <v>4.5</v>
      </c>
      <c r="U87" s="116" t="n">
        <v>0</v>
      </c>
      <c r="V87" s="117" t="n">
        <v>102</v>
      </c>
      <c r="W87" s="118" t="n"/>
      <c r="X87" s="119" t="n"/>
      <c r="Y87" s="113" t="n">
        <v>7145.2</v>
      </c>
      <c r="Z87" s="113" t="n">
        <v>18415400</v>
      </c>
      <c r="AA87" s="112" t="n">
        <v>5.04</v>
      </c>
      <c r="AB87" s="108" t="inlineStr">
        <is>
          <t>none — no cornerstone tranche</t>
        </is>
      </c>
      <c r="AC87" s="108" t="inlineStr">
        <is>
          <t>none</t>
        </is>
      </c>
      <c r="AD87" s="112" t="n">
        <v>7.97</v>
      </c>
      <c r="AE87" s="108" t="inlineStr">
        <is>
          <t>partial</t>
        </is>
      </c>
      <c r="AF87" s="108" t="inlineStr">
        <is>
          <t>2022-01-02</t>
        </is>
      </c>
      <c r="AG87" s="108" t="inlineStr">
        <is>
          <t>Goldman Sachs</t>
        </is>
      </c>
      <c r="AH87" s="108" t="inlineStr">
        <is>
          <t>Goldman Sachs</t>
        </is>
      </c>
      <c r="AI87" s="120" t="n">
        <v>-4.38</v>
      </c>
      <c r="AJ87" s="121" t="n">
        <v>-4.64</v>
      </c>
      <c r="AK87" s="121" t="n">
        <v>-1.54</v>
      </c>
      <c r="AL87" s="121" t="n">
        <v>0</v>
      </c>
      <c r="AM87" s="121" t="n">
        <v>-4.64</v>
      </c>
      <c r="AN87" s="122" t="n"/>
      <c r="AO87" s="112" t="n">
        <v>5.52</v>
      </c>
      <c r="AP87" s="121" t="n">
        <v>-16.55</v>
      </c>
      <c r="AQ87" s="121" t="n">
        <v>-32.27</v>
      </c>
      <c r="AR87" s="121" t="n">
        <v>-44.85</v>
      </c>
      <c r="AS87" s="121" t="n">
        <v>-12.49</v>
      </c>
      <c r="AT87" s="121" t="n">
        <v>-28.97</v>
      </c>
      <c r="AU87" s="121" t="n">
        <v>-42.17</v>
      </c>
      <c r="AV87" s="121" t="n">
        <v>-10.21</v>
      </c>
      <c r="AW87" s="121" t="n">
        <v>-21.54</v>
      </c>
      <c r="AX87" s="121" t="n">
        <v>-7.14</v>
      </c>
      <c r="AY87" s="121" t="n">
        <v>-19.64</v>
      </c>
      <c r="AZ87" s="121" t="n">
        <v>-10.73</v>
      </c>
      <c r="BA87" s="121" t="n">
        <v>-9.33</v>
      </c>
      <c r="BB87" s="108" t="inlineStr">
        <is>
          <t>China Biotech ETF (HS biotech proxy)</t>
        </is>
      </c>
      <c r="BC87" s="121" t="n">
        <v>-39.89</v>
      </c>
      <c r="BD87" s="109" t="n">
        <v>46297</v>
      </c>
      <c r="BE87" s="110" t="n">
        <v>3450.4</v>
      </c>
      <c r="BF87" s="113" t="n">
        <v>791.7</v>
      </c>
      <c r="BG87" s="108" t="inlineStr">
        <is>
          <t>Y</t>
        </is>
      </c>
      <c r="BH87" s="123" t="n">
        <v>179.1</v>
      </c>
      <c r="BI87" s="122" t="n"/>
      <c r="BJ87" s="122" t="n"/>
      <c r="BK87" s="123" t="n">
        <v>41.1</v>
      </c>
      <c r="BL87" s="124">
        <f>IF('BBG Verify'!S87="","not filed; run on terminal",'BBG Verify'!S87)</f>
        <v/>
      </c>
      <c r="BM87" s="125" t="inlineStr">
        <is>
          <t>Y</t>
        </is>
      </c>
      <c r="BN87" s="108" t="inlineStr">
        <is>
          <t>002821.SZ</t>
        </is>
      </c>
      <c r="BO87" s="121" t="n">
        <v>50.64</v>
      </c>
      <c r="BP87" s="111" t="n">
        <v>584.465</v>
      </c>
      <c r="BQ87" s="135" t="n">
        <v>0.3249</v>
      </c>
      <c r="BR87" s="113" t="n">
        <v>79923.7</v>
      </c>
      <c r="BS87" s="124">
        <f>IF('BBG Verify'!Q87="","run on terminal",'BBG Verify'!Q87)</f>
        <v/>
      </c>
      <c r="BT87" s="124">
        <f>IF('BBG Verify'!R87="","run on terminal",'BBG Verify'!R87)</f>
        <v/>
      </c>
      <c r="BU87" s="125" t="inlineStr">
        <is>
          <t>Goldman Sachs (Asia) L.L.C; CLSA Capital Markets Limited</t>
        </is>
      </c>
      <c r="BV87" s="108" t="inlineStr">
        <is>
          <t>Goldman Sachs (Asia) L.L.C.; CLSA Capital Markets Limited</t>
        </is>
      </c>
      <c r="BW87" s="108" t="inlineStr">
        <is>
          <t>Goldman Sachs (Asia) L.L.C; CLSA Limited; Credit Suisse (Hong Kong) Limited; Citigroup Global Markets Asia Limited; BOCOM International Securities Limited</t>
        </is>
      </c>
      <c r="BX87" s="108" t="inlineStr">
        <is>
          <t>Beta International Securities Limited; Citigroup Global Markets Asia Limited; CLSA Limited; Credit Suisse (Hong Kong) Limited; Guotai Junan Securities (Hong Kong) Limited; Goldman Sachs (Asia) L.L.C.</t>
        </is>
      </c>
      <c r="BY87" s="127">
        <f>HYPERLINK("https://www1.hkexnews.hk/listedco/listconews/sehk/2021/1130/2021113000029.pdf","prospectus")</f>
        <v/>
      </c>
      <c r="BZ87" s="127">
        <f>HYPERLINK("https://www1.hkexnews.hk/listedco/listconews/sehk/2021/1209/2021120900056.htm","allotment")</f>
        <v/>
      </c>
      <c r="CA87" s="127">
        <f>HYPERLINK("https://www1.hkexnews.hk/listedco/listconews/sehk/2022/0102/2022010200055.pdf","stabilisation")</f>
        <v/>
      </c>
      <c r="CB87" s="128" t="n"/>
      <c r="CC87" s="108" t="inlineStr">
        <is>
          <t>A/H: H listed Dec 2021 (CDMO); cornerstone list: no cornerstone tranche; allocation: allocation table not in this notice's format (older prose announcement); day-1 tape: volume on file; the retail multiple needs the final public split, which this notice does not state</t>
        </is>
      </c>
    </row>
    <row r="88" ht="22" customHeight="1">
      <c r="A88" s="107" t="inlineStr">
        <is>
          <t>2279</t>
        </is>
      </c>
      <c r="B88" s="108" t="inlineStr">
        <is>
          <t>YONGHE MEDICAL</t>
        </is>
      </c>
      <c r="C88" s="108" t="inlineStr">
        <is>
          <t>雍禾醫療</t>
        </is>
      </c>
      <c r="D88" s="108" t="inlineStr">
        <is>
          <t>Healthcare</t>
        </is>
      </c>
      <c r="E88" s="108" t="inlineStr">
        <is>
          <t>Hospitals / clinics</t>
        </is>
      </c>
      <c r="F88" s="108" t="inlineStr">
        <is>
          <t>Health Care Services</t>
        </is>
      </c>
      <c r="G88" s="108" t="inlineStr">
        <is>
          <t>Standard</t>
        </is>
      </c>
      <c r="H88" s="109" t="n">
        <v>44543</v>
      </c>
      <c r="I88" s="110" t="n">
        <v>1491.9</v>
      </c>
      <c r="J88" s="108" t="inlineStr">
        <is>
          <t>gross (price x shares)</t>
        </is>
      </c>
      <c r="K88" s="129" t="n"/>
      <c r="L88" s="111" t="n">
        <v>15.8</v>
      </c>
      <c r="M88" s="111" t="n">
        <v>15.8</v>
      </c>
      <c r="N88" s="108" t="inlineStr">
        <is>
          <t>Y</t>
        </is>
      </c>
      <c r="O88" s="112" t="n">
        <v>100</v>
      </c>
      <c r="P88" s="118" t="n"/>
      <c r="Q88" s="113" t="n">
        <v>8215.299999999999</v>
      </c>
      <c r="R88" s="108" t="inlineStr">
        <is>
          <t>prospectus:stated market capitalisation</t>
        </is>
      </c>
      <c r="S88" s="114" t="n">
        <v>160.06</v>
      </c>
      <c r="T88" s="115" t="n">
        <v>8.390000000000001</v>
      </c>
      <c r="U88" s="116" t="n">
        <v>50</v>
      </c>
      <c r="V88" s="117" t="n">
        <v>25</v>
      </c>
      <c r="W88" s="112" t="n">
        <v>50</v>
      </c>
      <c r="X88" s="108" t="inlineStr">
        <is>
          <t>YES</t>
        </is>
      </c>
      <c r="Y88" s="113" t="n">
        <v>745.95</v>
      </c>
      <c r="Z88" s="113" t="n">
        <v>47212000</v>
      </c>
      <c r="AA88" s="112" t="n">
        <v>9.08</v>
      </c>
      <c r="AB88" s="108" t="inlineStr">
        <is>
          <t>Athos Capital Limited; Enreal and Forreal Funds; Hudson Bay Master Fund Ltd; IvyRock Asset Management (HK) Limited; Lake Bleu Prime Healthcare Master Fund Limited; LAV Star Funds; NCC China A-Share Master Fund; WT Asset Management Limited; Yi Fang Da Hadar Investment Limited; York Asian Opportunities Investments Master Fund, LP</t>
        </is>
      </c>
      <c r="AC88" s="108" t="inlineStr">
        <is>
          <t>athos;enreal;hudson;ivyrock;lake;lav;ncc;wt;yi;york</t>
        </is>
      </c>
      <c r="AD88" s="112" t="n">
        <v>9.199999999999999</v>
      </c>
      <c r="AE88" s="108" t="inlineStr">
        <is>
          <t>partial</t>
        </is>
      </c>
      <c r="AF88" s="108" t="inlineStr">
        <is>
          <t>2022-01-05</t>
        </is>
      </c>
      <c r="AG88" s="108" t="inlineStr">
        <is>
          <t>Morgan Stanley Asia Limited</t>
        </is>
      </c>
      <c r="AH88" s="108" t="inlineStr">
        <is>
          <t>Morgan Stanley</t>
        </is>
      </c>
      <c r="AI88" s="120" t="n">
        <v>-3.54</v>
      </c>
      <c r="AJ88" s="121" t="n">
        <v>5.06</v>
      </c>
      <c r="AK88" s="121" t="n">
        <v>-1.9</v>
      </c>
      <c r="AL88" s="121" t="n">
        <v>-0.25</v>
      </c>
      <c r="AM88" s="121" t="n">
        <v>5.32</v>
      </c>
      <c r="AN88" s="123" t="n">
        <v>1.3</v>
      </c>
      <c r="AO88" s="112" t="n">
        <v>17.26</v>
      </c>
      <c r="AP88" s="121" t="n">
        <v>1.14</v>
      </c>
      <c r="AQ88" s="121" t="n">
        <v>-17.34</v>
      </c>
      <c r="AR88" s="121" t="n">
        <v>-38.1</v>
      </c>
      <c r="AS88" s="121" t="n">
        <v>-3.73</v>
      </c>
      <c r="AT88" s="121" t="n">
        <v>-21.32</v>
      </c>
      <c r="AU88" s="121" t="n">
        <v>-41.08</v>
      </c>
      <c r="AV88" s="121" t="n">
        <v>8.140000000000001</v>
      </c>
      <c r="AW88" s="121" t="n">
        <v>-9.119999999999999</v>
      </c>
      <c r="AX88" s="121" t="n">
        <v>-6.64</v>
      </c>
      <c r="AY88" s="121" t="n">
        <v>-14.87</v>
      </c>
      <c r="AZ88" s="121" t="n">
        <v>-8.220000000000001</v>
      </c>
      <c r="BA88" s="121" t="n">
        <v>-6.45</v>
      </c>
      <c r="BB88" s="108" t="inlineStr">
        <is>
          <t>China Biotech ETF (HS biotech proxy)</t>
        </is>
      </c>
      <c r="BC88" s="121" t="n">
        <v>-87.28</v>
      </c>
      <c r="BD88" s="109" t="n">
        <v>46297</v>
      </c>
      <c r="BE88" s="110" t="n">
        <v>1801.8</v>
      </c>
      <c r="BF88" s="113" t="n">
        <v>179.3</v>
      </c>
      <c r="BG88" s="108" t="inlineStr">
        <is>
          <t>Y</t>
        </is>
      </c>
      <c r="BH88" s="123" t="n">
        <v>45.8</v>
      </c>
      <c r="BI88" s="122" t="n"/>
      <c r="BJ88" s="123" t="n">
        <v>14.9</v>
      </c>
      <c r="BK88" s="123" t="n">
        <v>4.6</v>
      </c>
      <c r="BL88" s="124">
        <f>IF('BBG Verify'!S88="","not filed; run on terminal",'BBG Verify'!S88)</f>
        <v/>
      </c>
      <c r="BM88" s="125" t="inlineStr">
        <is>
          <t>N</t>
        </is>
      </c>
      <c r="BN88" s="126">
        <f>IF('BBG Verify'!K88="","not filed; run on terminal",'BBG Verify'!K88)</f>
        <v/>
      </c>
      <c r="BO88" s="108" t="inlineStr">
        <is>
          <t>N/A</t>
        </is>
      </c>
      <c r="BP88" s="108" t="inlineStr">
        <is>
          <t>N/A</t>
        </is>
      </c>
      <c r="BQ88" s="108" t="inlineStr">
        <is>
          <t>N/A</t>
        </is>
      </c>
      <c r="BR88" s="108" t="inlineStr">
        <is>
          <t>N/A</t>
        </is>
      </c>
      <c r="BS88" s="108" t="inlineStr">
        <is>
          <t>N/A</t>
        </is>
      </c>
      <c r="BT88" s="108" t="inlineStr">
        <is>
          <t>N/A</t>
        </is>
      </c>
      <c r="BU88" s="125" t="inlineStr">
        <is>
          <t>Morgan Stanley Asia Limited; China International Capital Corporation Hong Kong Securities Limited</t>
        </is>
      </c>
      <c r="BV88" s="108" t="inlineStr">
        <is>
          <t>China International Capital Corporation Hong Kong Securities Limited; Morgan Stanley Asia Limited</t>
        </is>
      </c>
      <c r="BW88" s="108" t="inlineStr">
        <is>
          <t>Morgan Stanley Asia Limited; China International Capital Corporation Hong Kong Securities Limited; Morgan Stanley &amp; Co. International plc</t>
        </is>
      </c>
      <c r="BX88" s="108" t="inlineStr">
        <is>
          <t>China International Capital Corporation Hong Kong Securities Limited; Morgan Stanley Asia Limited</t>
        </is>
      </c>
      <c r="BY88" s="127">
        <f>HYPERLINK("https://www1.hkexnews.hk/listedco/listconews/sehk/2021/1201/2021120100031.pdf","prospectus")</f>
        <v/>
      </c>
      <c r="BZ88" s="127">
        <f>HYPERLINK("https://www1.hkexnews.hk/listedco/listconews/sehk/2021/1210/2021121000062.htm","allotment")</f>
        <v/>
      </c>
      <c r="CA88" s="127">
        <f>HYPERLINK("https://www1.hkexnews.hk/listedco/listconews/sehk/2022/0105/2022010502109.pdf","stabilisation")</f>
        <v/>
      </c>
      <c r="CB88" s="128" t="n"/>
      <c r="CC88" s="108" t="inlineStr">
        <is>
          <t>range low: maximum offer price only, no floor published</t>
        </is>
      </c>
    </row>
    <row r="89" ht="22" customHeight="1">
      <c r="A89" s="107" t="inlineStr">
        <is>
          <t>9699</t>
        </is>
      </c>
      <c r="B89" s="108" t="inlineStr">
        <is>
          <t>SF INTRA-CITY</t>
        </is>
      </c>
      <c r="C89" s="108" t="inlineStr">
        <is>
          <t>順豐同城</t>
        </is>
      </c>
      <c r="D89" s="108" t="inlineStr">
        <is>
          <t>Industrials</t>
        </is>
      </c>
      <c r="E89" s="108" t="inlineStr">
        <is>
          <t>Logistics</t>
        </is>
      </c>
      <c r="F89" s="108" t="inlineStr">
        <is>
          <t>Air Freight &amp; Logistics</t>
        </is>
      </c>
      <c r="G89" s="108" t="inlineStr">
        <is>
          <t>Standard</t>
        </is>
      </c>
      <c r="H89" s="109" t="n">
        <v>44544</v>
      </c>
      <c r="I89" s="110" t="n">
        <v>2154</v>
      </c>
      <c r="J89" s="108" t="inlineStr">
        <is>
          <t>gross (price x shares)</t>
        </is>
      </c>
      <c r="K89" s="111" t="n">
        <v>16.42</v>
      </c>
      <c r="L89" s="111" t="n">
        <v>17.96</v>
      </c>
      <c r="M89" s="111" t="n">
        <v>16.42</v>
      </c>
      <c r="N89" s="108" t="inlineStr">
        <is>
          <t>N</t>
        </is>
      </c>
      <c r="O89" s="112" t="n">
        <v>91.40000000000001</v>
      </c>
      <c r="P89" s="112" t="n">
        <v>0</v>
      </c>
      <c r="Q89" s="113" t="n">
        <v>14013.1</v>
      </c>
      <c r="R89" s="108" t="inlineStr">
        <is>
          <t>prospectus:stated market capitalisation, rescaled to the offer price</t>
        </is>
      </c>
      <c r="S89" s="114" t="n">
        <v>2.93</v>
      </c>
      <c r="T89" s="115" t="n">
        <v>2.41</v>
      </c>
      <c r="U89" s="116" t="n">
        <v>43.9</v>
      </c>
      <c r="V89" s="117" t="n">
        <v>24</v>
      </c>
      <c r="W89" s="118" t="n"/>
      <c r="X89" s="119" t="n"/>
      <c r="Y89" s="113" t="n">
        <v>1208.39</v>
      </c>
      <c r="Z89" s="113" t="n">
        <v>73592429</v>
      </c>
      <c r="AA89" s="112" t="n">
        <v>8.619999999999999</v>
      </c>
      <c r="AB89" s="108" t="inlineStr">
        <is>
          <t>Hello Inc; Taobao China Holding Limited</t>
        </is>
      </c>
      <c r="AC89" s="108" t="inlineStr">
        <is>
          <t>hello;taobao</t>
        </is>
      </c>
      <c r="AD89" s="112" t="n">
        <v>5.6</v>
      </c>
      <c r="AE89" s="108" t="inlineStr">
        <is>
          <t>lapsed</t>
        </is>
      </c>
      <c r="AF89" s="119" t="n"/>
      <c r="AG89" s="108" t="inlineStr">
        <is>
          <t>China International Capital Corporation Hong Kong Securities Limited</t>
        </is>
      </c>
      <c r="AH89" s="108" t="inlineStr">
        <is>
          <t>China International</t>
        </is>
      </c>
      <c r="AI89" s="120" t="n">
        <v>-2.31</v>
      </c>
      <c r="AJ89" s="121" t="n">
        <v>-9.26</v>
      </c>
      <c r="AK89" s="121" t="n">
        <v>-1.28</v>
      </c>
      <c r="AL89" s="121" t="n">
        <v>-7.43</v>
      </c>
      <c r="AM89" s="121" t="n">
        <v>-1.98</v>
      </c>
      <c r="AN89" s="122" t="n"/>
      <c r="AO89" s="112" t="n">
        <v>10.79</v>
      </c>
      <c r="AP89" s="121" t="n">
        <v>-6.94</v>
      </c>
      <c r="AQ89" s="121" t="n">
        <v>-19.85</v>
      </c>
      <c r="AR89" s="121" t="n">
        <v>-52.01</v>
      </c>
      <c r="AS89" s="121" t="n">
        <v>2.56</v>
      </c>
      <c r="AT89" s="121" t="n">
        <v>-11.67</v>
      </c>
      <c r="AU89" s="121" t="n">
        <v>-47.11</v>
      </c>
      <c r="AV89" s="121" t="n">
        <v>-0.86</v>
      </c>
      <c r="AW89" s="121" t="n">
        <v>-18.45</v>
      </c>
      <c r="AX89" s="121" t="n">
        <v>-32.97</v>
      </c>
      <c r="AY89" s="121" t="n">
        <v>-11.54</v>
      </c>
      <c r="AZ89" s="121" t="n">
        <v>-1.4</v>
      </c>
      <c r="BA89" s="121" t="n">
        <v>-0.13</v>
      </c>
      <c r="BB89" s="108" t="inlineStr">
        <is>
          <t>Hang Seng Commerce &amp; Industry sub-index</t>
        </is>
      </c>
      <c r="BC89" s="121" t="n">
        <v>-48.81</v>
      </c>
      <c r="BD89" s="109" t="n">
        <v>46297</v>
      </c>
      <c r="BE89" s="110" t="n">
        <v>5327.7</v>
      </c>
      <c r="BF89" s="113" t="n">
        <v>-833.4</v>
      </c>
      <c r="BG89" s="108" t="inlineStr">
        <is>
          <t>N</t>
        </is>
      </c>
      <c r="BH89" s="108" t="inlineStr">
        <is>
          <t>n/m</t>
        </is>
      </c>
      <c r="BI89" s="122" t="n"/>
      <c r="BJ89" s="123" t="n">
        <v>22.6</v>
      </c>
      <c r="BK89" s="123" t="n">
        <v>2.6</v>
      </c>
      <c r="BL89" s="124">
        <f>IF('BBG Verify'!S89="","not filed; run on terminal",'BBG Verify'!S89)</f>
        <v/>
      </c>
      <c r="BM89" s="125" t="inlineStr">
        <is>
          <t>N</t>
        </is>
      </c>
      <c r="BN89" s="126">
        <f>IF('BBG Verify'!K89="","not filed; run on terminal",'BBG Verify'!K89)</f>
        <v/>
      </c>
      <c r="BO89" s="108" t="inlineStr">
        <is>
          <t>N/A</t>
        </is>
      </c>
      <c r="BP89" s="108" t="inlineStr">
        <is>
          <t>N/A</t>
        </is>
      </c>
      <c r="BQ89" s="108" t="inlineStr">
        <is>
          <t>N/A</t>
        </is>
      </c>
      <c r="BR89" s="108" t="inlineStr">
        <is>
          <t>N/A</t>
        </is>
      </c>
      <c r="BS89" s="108" t="inlineStr">
        <is>
          <t>N/A</t>
        </is>
      </c>
      <c r="BT89" s="108" t="inlineStr">
        <is>
          <t>N/A</t>
        </is>
      </c>
      <c r="BU89" s="125" t="inlineStr">
        <is>
          <t>China International Capital Corporation Hong Kong Securities Limited; Merrill Lynch (Asia Pacific) Limited</t>
        </is>
      </c>
      <c r="BV89" s="108" t="inlineStr">
        <is>
          <t>China International Capital Corporation Hong Kong Securities Limited; Merrill Lynch (Asia Pacific) Limited</t>
        </is>
      </c>
      <c r="BW89" s="108" t="inlineStr">
        <is>
          <t>China International Capital Corporation Hong Kong Securities Limited; Merrill Lynch (Asia Pacific) Limited; Credit Suisse (Hong Kong) Limited; Huatai Financial Holdings (Hong Kong) Limited; CLSA Limited; CMB International Capital Limited; ABCI Capital Limited; Futu Securities International (Hong Kong) Limited</t>
        </is>
      </c>
      <c r="BX89" s="108" t="inlineStr">
        <is>
          <t>ABCI Securities Company Limited; China International Capital Corporation Hong Kong Securities Limited; CLSA Limited; CMB International Capital Limited; Credit Suisse (Hong Kong) Limited; Futu Securities International (Hong Kong) Limited; Huatai Financial Holdings (Hong Kong) Limited; Merrill Lynch (Asia Pacific) Limited</t>
        </is>
      </c>
      <c r="BY89" s="127">
        <f>HYPERLINK("https://www1.hkexnews.hk/listedco/listconews/sehk/2021/1130/2021113000021.pdf","prospectus")</f>
        <v/>
      </c>
      <c r="BZ89" s="127">
        <f>HYPERLINK("https://www1.hkexnews.hk/listedco/listconews/sehk/2021/1213/2021121300010.htm","allotment")</f>
        <v/>
      </c>
      <c r="CA89" s="127">
        <f>HYPERLINK("https://www1.hkexnews.hk/listedco/listconews/sehk/2022/0106/2022010601365.pdf","stabilisation")</f>
        <v/>
      </c>
      <c r="CB89" s="128" t="n"/>
      <c r="CC89" s="108" t="inlineStr">
        <is>
          <t>P/E: loss-making at IPO, use P/S; greenshoe: outcome published; expiry date not in the notice; market cap: prospectus cap HK$15,327m at HK$17.96, rescaled to HK$16.42; allocation: allocation table not in this notice's format (older prose announcement); day-1 tape: volume on file; the retail multiple needs the final public split, which this notice does not state</t>
        </is>
      </c>
    </row>
    <row r="90" ht="22" customHeight="1">
      <c r="A90" s="107" t="inlineStr">
        <is>
          <t>2276</t>
        </is>
      </c>
      <c r="B90" s="108" t="inlineStr">
        <is>
          <t>CONANT OPTICAL</t>
        </is>
      </c>
      <c r="C90" s="108" t="inlineStr">
        <is>
          <t>康耐特光學</t>
        </is>
      </c>
      <c r="D90" s="108" t="inlineStr">
        <is>
          <t>Healthcare</t>
        </is>
      </c>
      <c r="E90" s="108" t="inlineStr">
        <is>
          <t>Medical devices</t>
        </is>
      </c>
      <c r="F90" s="108" t="inlineStr">
        <is>
          <t>Optical Products</t>
        </is>
      </c>
      <c r="G90" s="108" t="inlineStr">
        <is>
          <t>Standard</t>
        </is>
      </c>
      <c r="H90" s="109" t="n">
        <v>44546</v>
      </c>
      <c r="I90" s="110" t="n">
        <v>542.3</v>
      </c>
      <c r="J90" s="108" t="inlineStr">
        <is>
          <t>gross (price x shares)</t>
        </is>
      </c>
      <c r="K90" s="111" t="n">
        <v>4.46</v>
      </c>
      <c r="L90" s="111" t="n">
        <v>6.1</v>
      </c>
      <c r="M90" s="111" t="n">
        <v>4.46</v>
      </c>
      <c r="N90" s="108" t="inlineStr">
        <is>
          <t>N</t>
        </is>
      </c>
      <c r="O90" s="112" t="n">
        <v>73.09999999999999</v>
      </c>
      <c r="P90" s="112" t="n">
        <v>0</v>
      </c>
      <c r="Q90" s="113" t="n">
        <v>1902.6</v>
      </c>
      <c r="R90" s="108" t="inlineStr">
        <is>
          <t>prospectus:stated market capitalisation</t>
        </is>
      </c>
      <c r="S90" s="114" t="n">
        <v>1.78</v>
      </c>
      <c r="T90" s="115" t="n">
        <v>1.12</v>
      </c>
      <c r="U90" s="116" t="n">
        <v>0</v>
      </c>
      <c r="V90" s="117" t="n">
        <v>113</v>
      </c>
      <c r="W90" s="118" t="n"/>
      <c r="X90" s="119" t="n"/>
      <c r="Y90" s="113" t="n">
        <v>542.3</v>
      </c>
      <c r="Z90" s="113" t="n">
        <v>121600000</v>
      </c>
      <c r="AA90" s="112" t="n">
        <v>28.5</v>
      </c>
      <c r="AB90" s="108" t="inlineStr">
        <is>
          <t>none — no cornerstone tranche</t>
        </is>
      </c>
      <c r="AC90" s="108" t="inlineStr">
        <is>
          <t>none</t>
        </is>
      </c>
      <c r="AD90" s="112" t="n">
        <v>15</v>
      </c>
      <c r="AE90" s="108" t="inlineStr">
        <is>
          <t>lapsed (no over-allocation)</t>
        </is>
      </c>
      <c r="AF90" s="108" t="inlineStr">
        <is>
          <t>2022-01-08</t>
        </is>
      </c>
      <c r="AG90" s="108" t="inlineStr">
        <is>
          <t>Guotai Junan Securities</t>
        </is>
      </c>
      <c r="AH90" s="108" t="inlineStr">
        <is>
          <t>Guotai Junan</t>
        </is>
      </c>
      <c r="AI90" s="120" t="n">
        <v>0.45</v>
      </c>
      <c r="AJ90" s="121" t="n">
        <v>2.02</v>
      </c>
      <c r="AK90" s="121" t="n">
        <v>3.05</v>
      </c>
      <c r="AL90" s="121" t="n">
        <v>-0.67</v>
      </c>
      <c r="AM90" s="121" t="n">
        <v>2.71</v>
      </c>
      <c r="AN90" s="122" t="n"/>
      <c r="AO90" s="112" t="n">
        <v>10.84</v>
      </c>
      <c r="AP90" s="121" t="n">
        <v>0.45</v>
      </c>
      <c r="AQ90" s="121" t="n">
        <v>-2.69</v>
      </c>
      <c r="AR90" s="121" t="n">
        <v>4.48</v>
      </c>
      <c r="AS90" s="121" t="n">
        <v>-1.54</v>
      </c>
      <c r="AT90" s="121" t="n">
        <v>-4.62</v>
      </c>
      <c r="AU90" s="121" t="n">
        <v>2.41</v>
      </c>
      <c r="AV90" s="121" t="n">
        <v>1.2</v>
      </c>
      <c r="AW90" s="121" t="n">
        <v>0.59</v>
      </c>
      <c r="AX90" s="121" t="n">
        <v>24.37</v>
      </c>
      <c r="AY90" s="121" t="n">
        <v>1.52</v>
      </c>
      <c r="AZ90" s="121" t="n">
        <v>-3.28</v>
      </c>
      <c r="BA90" s="121" t="n">
        <v>-6.14</v>
      </c>
      <c r="BB90" s="108" t="inlineStr">
        <is>
          <t>China Biotech ETF (HS biotech proxy)</t>
        </is>
      </c>
      <c r="BC90" s="121" t="n">
        <v>699.1</v>
      </c>
      <c r="BD90" s="109" t="n">
        <v>46297</v>
      </c>
      <c r="BE90" s="110" t="n">
        <v>13.5</v>
      </c>
      <c r="BF90" s="113" t="n">
        <v>-1.6</v>
      </c>
      <c r="BG90" s="108" t="inlineStr">
        <is>
          <t>N</t>
        </is>
      </c>
      <c r="BH90" s="108" t="inlineStr">
        <is>
          <t>n/m</t>
        </is>
      </c>
      <c r="BI90" s="122" t="n"/>
      <c r="BJ90" s="123" t="n">
        <v>28.3</v>
      </c>
      <c r="BK90" s="123" t="n">
        <v>140.9</v>
      </c>
      <c r="BL90" s="124">
        <f>IF('BBG Verify'!S90="","not filed; run on terminal",'BBG Verify'!S90)</f>
        <v/>
      </c>
      <c r="BM90" s="125" t="inlineStr">
        <is>
          <t>N</t>
        </is>
      </c>
      <c r="BN90" s="126">
        <f>IF('BBG Verify'!K90="","not filed; run on terminal",'BBG Verify'!K90)</f>
        <v/>
      </c>
      <c r="BO90" s="108" t="inlineStr">
        <is>
          <t>N/A</t>
        </is>
      </c>
      <c r="BP90" s="108" t="inlineStr">
        <is>
          <t>N/A</t>
        </is>
      </c>
      <c r="BQ90" s="108" t="inlineStr">
        <is>
          <t>N/A</t>
        </is>
      </c>
      <c r="BR90" s="108" t="inlineStr">
        <is>
          <t>N/A</t>
        </is>
      </c>
      <c r="BS90" s="108" t="inlineStr">
        <is>
          <t>N/A</t>
        </is>
      </c>
      <c r="BT90" s="108" t="inlineStr">
        <is>
          <t>N/A</t>
        </is>
      </c>
      <c r="BU90" s="125" t="inlineStr">
        <is>
          <t>Guotai Junan Capital Limited</t>
        </is>
      </c>
      <c r="BV90" s="108" t="inlineStr">
        <is>
          <t>Guotai Junan Capital Limited</t>
        </is>
      </c>
      <c r="BW90" s="108" t="inlineStr">
        <is>
          <t>Guotai Junan Securities (Hong Kong) Limited</t>
        </is>
      </c>
      <c r="BX90" s="108" t="inlineStr">
        <is>
          <t>Ever-Long Securities Company Limited; Guotai Junan Securities (Hong Kong) Limited; HTF Securities Limited; Merdeka Securities Limited</t>
        </is>
      </c>
      <c r="BY90" s="127">
        <f>HYPERLINK("https://www1.hkexnews.hk/listedco/listconews/sehk/2021/1130/2021113000017.pdf","prospectus")</f>
        <v/>
      </c>
      <c r="BZ90" s="127">
        <f>HYPERLINK("https://www1.hkexnews.hk/listedco/listconews/sehk/2021/1215/2021121500014.htm","allotment")</f>
        <v/>
      </c>
      <c r="CA90" s="127">
        <f>HYPERLINK("https://www1.hkexnews.hk/listedco/listconews/sehk/2022/0109/2022010900013.pdf","stabilisation")</f>
        <v/>
      </c>
      <c r="CB90" s="128" t="n"/>
      <c r="CC90" s="108" t="inlineStr">
        <is>
          <t>P/E: loss-making at IPO, use P/S; cornerstone list: no cornerstone tranche; allocation: allocation table not in this notice's format (older prose announcement); day-1 tape: volume on file; the retail multiple needs the final public split, which this notice does not state</t>
        </is>
      </c>
    </row>
    <row r="91" ht="22" customHeight="1">
      <c r="A91" s="107" t="inlineStr">
        <is>
          <t>6633</t>
        </is>
      </c>
      <c r="B91" s="108" t="inlineStr">
        <is>
          <t>QINGCI GAMES</t>
        </is>
      </c>
      <c r="C91" s="108" t="inlineStr">
        <is>
          <t>青瓷遊戲</t>
        </is>
      </c>
      <c r="D91" s="108" t="inlineStr">
        <is>
          <t>TMT-other</t>
        </is>
      </c>
      <c r="E91" s="108" t="inlineStr">
        <is>
          <t>Media / advertising</t>
        </is>
      </c>
      <c r="F91" s="108" t="inlineStr">
        <is>
          <t>Gaming Software</t>
        </is>
      </c>
      <c r="G91" s="108" t="inlineStr">
        <is>
          <t>Standard</t>
        </is>
      </c>
      <c r="H91" s="109" t="n">
        <v>44546</v>
      </c>
      <c r="I91" s="110" t="n">
        <v>952</v>
      </c>
      <c r="J91" s="108" t="inlineStr">
        <is>
          <t>gross (price x shares)</t>
        </is>
      </c>
      <c r="K91" s="111" t="n">
        <v>11.2</v>
      </c>
      <c r="L91" s="111" t="n">
        <v>14</v>
      </c>
      <c r="M91" s="111" t="n">
        <v>11.2</v>
      </c>
      <c r="N91" s="108" t="inlineStr">
        <is>
          <t>N</t>
        </is>
      </c>
      <c r="O91" s="112" t="n">
        <v>80</v>
      </c>
      <c r="P91" s="112" t="n">
        <v>0</v>
      </c>
      <c r="Q91" s="113" t="n">
        <v>7672</v>
      </c>
      <c r="R91" s="108" t="inlineStr">
        <is>
          <t>prospectus:stated market capitalisation</t>
        </is>
      </c>
      <c r="S91" s="114" t="n">
        <v>3.64</v>
      </c>
      <c r="T91" s="115" t="n">
        <v>1.77</v>
      </c>
      <c r="U91" s="116" t="n">
        <v>57.3</v>
      </c>
      <c r="V91" s="117" t="n">
        <v>113</v>
      </c>
      <c r="W91" s="118" t="n"/>
      <c r="X91" s="119" t="n"/>
      <c r="Y91" s="113" t="n">
        <v>406.5</v>
      </c>
      <c r="Z91" s="113" t="n">
        <v>36295000</v>
      </c>
      <c r="AA91" s="112" t="n">
        <v>5.3</v>
      </c>
      <c r="AB91" s="108" t="inlineStr">
        <is>
          <t>ABCI China Dynamic Growth SP; Boyu Capital Opportunities Master Fund; GF Global Capital Limited; Harvest Alternative Investment Opportunities Fund SP3; I-China Holdings Limited; Qookka Entertainment Limited</t>
        </is>
      </c>
      <c r="AC91" s="108" t="inlineStr">
        <is>
          <t>agricultural;boyu;gf;harvest;china-holdings;qookka</t>
        </is>
      </c>
      <c r="AD91" s="112" t="n">
        <v>7.11</v>
      </c>
      <c r="AE91" s="108" t="inlineStr">
        <is>
          <t>partial</t>
        </is>
      </c>
      <c r="AF91" s="108" t="inlineStr">
        <is>
          <t>2022-01-08</t>
        </is>
      </c>
      <c r="AG91" s="108" t="inlineStr">
        <is>
          <t>China International Capital Corporation Hong Kong Securities Limited</t>
        </is>
      </c>
      <c r="AH91" s="108" t="inlineStr">
        <is>
          <t>China International</t>
        </is>
      </c>
      <c r="AI91" s="120" t="n">
        <v>-8.93</v>
      </c>
      <c r="AJ91" s="121" t="n">
        <v>-4.64</v>
      </c>
      <c r="AK91" s="121" t="n">
        <v>0.23</v>
      </c>
      <c r="AL91" s="121" t="n">
        <v>-8.93</v>
      </c>
      <c r="AM91" s="121" t="n">
        <v>4.71</v>
      </c>
      <c r="AN91" s="122" t="n"/>
      <c r="AO91" s="112" t="n">
        <v>16.37</v>
      </c>
      <c r="AP91" s="121" t="n">
        <v>-4.46</v>
      </c>
      <c r="AQ91" s="121" t="n">
        <v>-21.34</v>
      </c>
      <c r="AR91" s="121" t="n">
        <v>-61.88</v>
      </c>
      <c r="AS91" s="121" t="n">
        <v>0.19</v>
      </c>
      <c r="AT91" s="121" t="n">
        <v>-17.51</v>
      </c>
      <c r="AU91" s="121" t="n">
        <v>-60.03</v>
      </c>
      <c r="AV91" s="121" t="n">
        <v>-3.49</v>
      </c>
      <c r="AW91" s="121" t="n">
        <v>-24.74</v>
      </c>
      <c r="AX91" s="121" t="n">
        <v>-52.49</v>
      </c>
      <c r="AY91" s="121" t="n">
        <v>-20.67</v>
      </c>
      <c r="AZ91" s="121" t="n">
        <v>3.4</v>
      </c>
      <c r="BA91" s="121" t="n">
        <v>3.16</v>
      </c>
      <c r="BB91" s="108" t="inlineStr">
        <is>
          <t>Hang Seng Index</t>
        </is>
      </c>
      <c r="BC91" s="121" t="n">
        <v>-72.05</v>
      </c>
      <c r="BD91" s="109" t="n">
        <v>46297</v>
      </c>
      <c r="BE91" s="110" t="n">
        <v>1349.6</v>
      </c>
      <c r="BF91" s="113" t="n">
        <v>124.6</v>
      </c>
      <c r="BG91" s="108" t="inlineStr">
        <is>
          <t>Y</t>
        </is>
      </c>
      <c r="BH91" s="123" t="n">
        <v>61.6</v>
      </c>
      <c r="BI91" s="122" t="n"/>
      <c r="BJ91" s="123" t="n">
        <v>14.8</v>
      </c>
      <c r="BK91" s="123" t="n">
        <v>5.7</v>
      </c>
      <c r="BL91" s="124">
        <f>IF('BBG Verify'!S91="","not filed; run on terminal",'BBG Verify'!S91)</f>
        <v/>
      </c>
      <c r="BM91" s="125" t="inlineStr">
        <is>
          <t>N</t>
        </is>
      </c>
      <c r="BN91" s="126">
        <f>IF('BBG Verify'!K91="","not filed; run on terminal",'BBG Verify'!K91)</f>
        <v/>
      </c>
      <c r="BO91" s="108" t="inlineStr">
        <is>
          <t>N/A</t>
        </is>
      </c>
      <c r="BP91" s="108" t="inlineStr">
        <is>
          <t>N/A</t>
        </is>
      </c>
      <c r="BQ91" s="108" t="inlineStr">
        <is>
          <t>N/A</t>
        </is>
      </c>
      <c r="BR91" s="108" t="inlineStr">
        <is>
          <t>N/A</t>
        </is>
      </c>
      <c r="BS91" s="108" t="inlineStr">
        <is>
          <t>N/A</t>
        </is>
      </c>
      <c r="BT91" s="108" t="inlineStr">
        <is>
          <t>N/A</t>
        </is>
      </c>
      <c r="BU91" s="125" t="inlineStr">
        <is>
          <t>China International Capital Corporation Hong Kong Securities Limited; CLSA Capital Markets Limited; CLSA Limited</t>
        </is>
      </c>
      <c r="BV91" s="108" t="inlineStr">
        <is>
          <t>China International Capital Corporation Hong Kong Securities Limited; CLSA Capital Markets Limited</t>
        </is>
      </c>
      <c r="BW91" s="108" t="inlineStr">
        <is>
          <t>China International Capital Corporation Hong Kong Securities Limited; CLSA Limited; China Merchants Securities (HK) Co., Limited; (Below in alphabetical order) ABCI Capital Limited; Guotai Junan Securities (Hong Kong) Limited; Valuable Capital Limited</t>
        </is>
      </c>
      <c r="BX91" s="108" t="inlineStr">
        <is>
          <t>ABCI Securities Company Limited; China International Capital Corporation Hong Kong Securities Limited; CLSA Limited; China Merchants Securities (HK) Company Limited; Guotai Junan Securities (Hong Kong) Limited; TFI Securities and Futures Limited; Valuable Capital Limited</t>
        </is>
      </c>
      <c r="BY91" s="127">
        <f>HYPERLINK("https://www1.hkexnews.hk/listedco/listconews/sehk/2021/1206/2021120600013.pdf","prospectus")</f>
        <v/>
      </c>
      <c r="BZ91" s="127">
        <f>HYPERLINK("https://www1.hkexnews.hk/listedco/listconews/sehk/2021/1215/2021121500032.htm","allotment")</f>
        <v/>
      </c>
      <c r="CA91" s="127">
        <f>HYPERLINK("https://www1.hkexnews.hk/listedco/listconews/sehk/2022/0110/2022011000737.pdf","stabilisation")</f>
        <v/>
      </c>
      <c r="CB91" s="128" t="n"/>
      <c r="CC91" s="108" t="inlineStr">
        <is>
          <t>allocation: allocation table not in this notice's format (older prose announcement); day-1 tape: volume on file; the retail multiple needs the final public split, which this notice does not state</t>
        </is>
      </c>
    </row>
    <row r="92" ht="22" customHeight="1">
      <c r="A92" s="107" t="inlineStr">
        <is>
          <t>2270</t>
        </is>
      </c>
      <c r="B92" s="108" t="inlineStr">
        <is>
          <t>DESUN SERVICES</t>
        </is>
      </c>
      <c r="C92" s="108" t="inlineStr">
        <is>
          <t>德商產投服務</t>
        </is>
      </c>
      <c r="D92" s="108" t="inlineStr">
        <is>
          <t>Real Estate</t>
        </is>
      </c>
      <c r="E92" s="108" t="inlineStr">
        <is>
          <t>Property management</t>
        </is>
      </c>
      <c r="F92" s="108" t="inlineStr">
        <is>
          <t>Property Service and Management</t>
        </is>
      </c>
      <c r="G92" s="108" t="inlineStr">
        <is>
          <t>Standard</t>
        </is>
      </c>
      <c r="H92" s="109" t="n">
        <v>44547</v>
      </c>
      <c r="I92" s="110" t="n">
        <v>166.5</v>
      </c>
      <c r="J92" s="108" t="inlineStr">
        <is>
          <t>gross (price x shares)</t>
        </is>
      </c>
      <c r="K92" s="111" t="n">
        <v>1.1</v>
      </c>
      <c r="L92" s="111" t="n">
        <v>1.46</v>
      </c>
      <c r="M92" s="111" t="n">
        <v>1.11</v>
      </c>
      <c r="N92" s="108" t="inlineStr">
        <is>
          <t>N</t>
        </is>
      </c>
      <c r="O92" s="112" t="n">
        <v>76</v>
      </c>
      <c r="P92" s="112" t="n">
        <v>2.8</v>
      </c>
      <c r="Q92" s="113" t="n">
        <v>660</v>
      </c>
      <c r="R92" s="108" t="inlineStr">
        <is>
          <t>prospectus:stated market capitalisation</t>
        </is>
      </c>
      <c r="S92" s="114" t="n">
        <v>1.37</v>
      </c>
      <c r="T92" s="115" t="n">
        <v>1.17</v>
      </c>
      <c r="U92" s="116" t="n">
        <v>0</v>
      </c>
      <c r="V92" s="117" t="n">
        <v>110</v>
      </c>
      <c r="W92" s="118" t="n"/>
      <c r="X92" s="119" t="n"/>
      <c r="Y92" s="113" t="n">
        <v>166.5</v>
      </c>
      <c r="Z92" s="113" t="n">
        <v>150000000</v>
      </c>
      <c r="AA92" s="112" t="n">
        <v>25.23</v>
      </c>
      <c r="AB92" s="108" t="inlineStr">
        <is>
          <t>none — no cornerstone tranche</t>
        </is>
      </c>
      <c r="AC92" s="108" t="inlineStr">
        <is>
          <t>none</t>
        </is>
      </c>
      <c r="AD92" s="112" t="n">
        <v>15</v>
      </c>
      <c r="AE92" s="108" t="inlineStr">
        <is>
          <t>partial</t>
        </is>
      </c>
      <c r="AF92" s="108" t="inlineStr">
        <is>
          <t>2022-01-06</t>
        </is>
      </c>
      <c r="AG92" s="108" t="inlineStr">
        <is>
          <t>Shenwan Hongyuan Securities</t>
        </is>
      </c>
      <c r="AH92" s="108" t="inlineStr">
        <is>
          <t>Shenwan Hongyuan</t>
        </is>
      </c>
      <c r="AI92" s="120" t="n">
        <v>7.21</v>
      </c>
      <c r="AJ92" s="121" t="n">
        <v>-5.41</v>
      </c>
      <c r="AK92" s="121" t="n">
        <v>-0.34</v>
      </c>
      <c r="AL92" s="121" t="n">
        <v>4.5</v>
      </c>
      <c r="AM92" s="121" t="n">
        <v>-9.48</v>
      </c>
      <c r="AN92" s="122" t="n"/>
      <c r="AO92" s="112" t="n">
        <v>12.93</v>
      </c>
      <c r="AP92" s="121" t="n">
        <v>0</v>
      </c>
      <c r="AQ92" s="121" t="n">
        <v>-1.8</v>
      </c>
      <c r="AR92" s="121" t="n">
        <v>-0.9</v>
      </c>
      <c r="AS92" s="121" t="n">
        <v>5.72</v>
      </c>
      <c r="AT92" s="121" t="n">
        <v>3.82</v>
      </c>
      <c r="AU92" s="121" t="n">
        <v>4.77</v>
      </c>
      <c r="AV92" s="121" t="n">
        <v>0.83</v>
      </c>
      <c r="AW92" s="121" t="n">
        <v>-3.13</v>
      </c>
      <c r="AX92" s="121" t="n">
        <v>-2.05</v>
      </c>
      <c r="AY92" s="121" t="n">
        <v>2.14</v>
      </c>
      <c r="AZ92" s="121" t="n">
        <v>1.33</v>
      </c>
      <c r="BA92" s="121" t="n">
        <v>1.68</v>
      </c>
      <c r="BB92" s="108" t="inlineStr">
        <is>
          <t>Hang Seng Properties sub-index</t>
        </is>
      </c>
      <c r="BC92" s="121" t="n">
        <v>438.29</v>
      </c>
      <c r="BD92" s="109" t="n">
        <v>46297</v>
      </c>
      <c r="BE92" s="110" t="n">
        <v>61.3</v>
      </c>
      <c r="BF92" s="113" t="n">
        <v>47.2</v>
      </c>
      <c r="BG92" s="108" t="inlineStr">
        <is>
          <t>Y</t>
        </is>
      </c>
      <c r="BH92" s="123" t="n">
        <v>14</v>
      </c>
      <c r="BI92" s="122" t="n"/>
      <c r="BJ92" s="123" t="n">
        <v>104.3</v>
      </c>
      <c r="BK92" s="123" t="n">
        <v>10.8</v>
      </c>
      <c r="BL92" s="124">
        <f>IF('BBG Verify'!S92="","not filed; run on terminal",'BBG Verify'!S92)</f>
        <v/>
      </c>
      <c r="BM92" s="125" t="inlineStr">
        <is>
          <t>N</t>
        </is>
      </c>
      <c r="BN92" s="126">
        <f>IF('BBG Verify'!K92="","not filed; run on terminal",'BBG Verify'!K92)</f>
        <v/>
      </c>
      <c r="BO92" s="108" t="inlineStr">
        <is>
          <t>N/A</t>
        </is>
      </c>
      <c r="BP92" s="108" t="inlineStr">
        <is>
          <t>N/A</t>
        </is>
      </c>
      <c r="BQ92" s="108" t="inlineStr">
        <is>
          <t>N/A</t>
        </is>
      </c>
      <c r="BR92" s="108" t="inlineStr">
        <is>
          <t>N/A</t>
        </is>
      </c>
      <c r="BS92" s="108" t="inlineStr">
        <is>
          <t>N/A</t>
        </is>
      </c>
      <c r="BT92" s="108" t="inlineStr">
        <is>
          <t>N/A</t>
        </is>
      </c>
      <c r="BU92" s="125" t="inlineStr">
        <is>
          <t>Shenwan Hongyuan Capital (H.K.) Limited</t>
        </is>
      </c>
      <c r="BV92" s="108" t="inlineStr">
        <is>
          <t>Shenwan Hongyuan Capital (H.K.) Limited</t>
        </is>
      </c>
      <c r="BW92" s="108" t="inlineStr">
        <is>
          <t>Shenwan Hongyuan Securities (H.K.) Limited; China Everbright Securities (HK) Limited; Guosen Securities (HK) Capital Company Limited; Livermore Holdings Limited; CMBC Securities Company Limited; SPDB International Capital Limited; ZMF Asset Management Limited</t>
        </is>
      </c>
      <c r="BX92" s="108" t="inlineStr">
        <is>
          <t>China Everbright Securities (HK) Limited; CMBC Securities Company Limited; Guosen Securities (HK) Capital Company Limited; Livermore Holdings Limited; Shenwan Hongyuan Securities (H.K.) Limited; SPDB International Capital Limited; ZMF Asset Management Limited</t>
        </is>
      </c>
      <c r="BY92" s="127">
        <f>HYPERLINK("https://www1.hkexnews.hk/listedco/listconews/sehk/2021/1130/2021113000045.pdf","prospectus")</f>
        <v/>
      </c>
      <c r="BZ92" s="127">
        <f>HYPERLINK("https://www1.hkexnews.hk/listedco/listconews/sehk/2021/1216/2021121600022.htm","allotment")</f>
        <v/>
      </c>
      <c r="CA92" s="127">
        <f>HYPERLINK("https://www1.hkexnews.hk/listedco/listconews/sehk/2022/0106/2022010601685.pdf","stabilisation")</f>
        <v/>
      </c>
      <c r="CB92" s="128" t="n"/>
      <c r="CC92" s="108" t="inlineStr">
        <is>
          <t>cornerstone list: no cornerstone tranche; allocation: allocation table not in this notice's format (older prose announcement); day-1 tape: volume on file; the retail multiple needs the final public split, which this notice does not state</t>
        </is>
      </c>
    </row>
    <row r="93" ht="22" customHeight="1">
      <c r="A93" s="107" t="inlineStr">
        <is>
          <t>2185</t>
        </is>
      </c>
      <c r="B93" s="108" t="inlineStr">
        <is>
          <t>BIOHEART-B</t>
        </is>
      </c>
      <c r="C93" s="108" t="inlineStr">
        <is>
          <t>百心安－Ｂ</t>
        </is>
      </c>
      <c r="D93" s="108" t="inlineStr">
        <is>
          <t>Healthcare</t>
        </is>
      </c>
      <c r="E93" s="108" t="inlineStr">
        <is>
          <t>Medical devices</t>
        </is>
      </c>
      <c r="F93" s="108" t="inlineStr">
        <is>
          <t>Health Care Equipment</t>
        </is>
      </c>
      <c r="G93" s="108" t="inlineStr">
        <is>
          <t>18A</t>
        </is>
      </c>
      <c r="H93" s="109" t="n">
        <v>44553</v>
      </c>
      <c r="I93" s="110" t="n">
        <v>508.7</v>
      </c>
      <c r="J93" s="108" t="inlineStr">
        <is>
          <t>gross (price x shares)</t>
        </is>
      </c>
      <c r="K93" s="129" t="n"/>
      <c r="L93" s="111" t="n">
        <v>24.79</v>
      </c>
      <c r="M93" s="111" t="n">
        <v>21.25</v>
      </c>
      <c r="N93" s="108" t="inlineStr">
        <is>
          <t>N</t>
        </is>
      </c>
      <c r="O93" s="112" t="n">
        <v>85.7</v>
      </c>
      <c r="P93" s="118" t="n"/>
      <c r="Q93" s="113" t="n">
        <v>4574.6</v>
      </c>
      <c r="R93" s="108" t="inlineStr">
        <is>
          <t>derived:deal size / offer % of enlarged capital</t>
        </is>
      </c>
      <c r="S93" s="114" t="n">
        <v>1.52</v>
      </c>
      <c r="T93" s="115" t="n">
        <v>1.16</v>
      </c>
      <c r="U93" s="116" t="n">
        <v>0</v>
      </c>
      <c r="V93" s="117" t="n">
        <v>111</v>
      </c>
      <c r="W93" s="118" t="n"/>
      <c r="X93" s="119" t="n"/>
      <c r="Y93" s="113" t="n">
        <v>508.7</v>
      </c>
      <c r="Z93" s="113" t="n">
        <v>23937000</v>
      </c>
      <c r="AA93" s="112" t="n">
        <v>11.12</v>
      </c>
      <c r="AB93" s="108" t="inlineStr">
        <is>
          <t>none — no cornerstone tranche</t>
        </is>
      </c>
      <c r="AC93" s="108" t="inlineStr">
        <is>
          <t>none</t>
        </is>
      </c>
      <c r="AD93" s="112" t="n">
        <v>15.44</v>
      </c>
      <c r="AE93" s="108" t="inlineStr">
        <is>
          <t>lapsed</t>
        </is>
      </c>
      <c r="AF93" s="119" t="n"/>
      <c r="AG93" s="108" t="inlineStr">
        <is>
          <t>Huatai Financial Holdings</t>
        </is>
      </c>
      <c r="AH93" s="108" t="inlineStr">
        <is>
          <t>Huatai</t>
        </is>
      </c>
      <c r="AI93" s="120" t="n">
        <v>-4.47</v>
      </c>
      <c r="AJ93" s="121" t="n">
        <v>-5.41</v>
      </c>
      <c r="AK93" s="121" t="n">
        <v>-1.24</v>
      </c>
      <c r="AL93" s="121" t="n">
        <v>-11.15</v>
      </c>
      <c r="AM93" s="121" t="n">
        <v>6.46</v>
      </c>
      <c r="AN93" s="122" t="n"/>
      <c r="AO93" s="112" t="n">
        <v>11.28</v>
      </c>
      <c r="AP93" s="121" t="n">
        <v>27.29</v>
      </c>
      <c r="AQ93" s="121" t="n">
        <v>37.18</v>
      </c>
      <c r="AR93" s="121" t="n">
        <v>110.82</v>
      </c>
      <c r="AS93" s="121" t="n">
        <v>34.57</v>
      </c>
      <c r="AT93" s="121" t="n">
        <v>45.03</v>
      </c>
      <c r="AU93" s="121" t="n">
        <v>122.88</v>
      </c>
      <c r="AV93" s="121" t="n">
        <v>27.61</v>
      </c>
      <c r="AW93" s="121" t="n">
        <v>45.84</v>
      </c>
      <c r="AX93" s="121" t="n">
        <v>131.04</v>
      </c>
      <c r="AY93" s="121" t="n">
        <v>52.55</v>
      </c>
      <c r="AZ93" s="121" t="n">
        <v>-8.66</v>
      </c>
      <c r="BA93" s="121" t="n">
        <v>-7.52</v>
      </c>
      <c r="BB93" s="108" t="inlineStr">
        <is>
          <t>China Biotech ETF (HS biotech proxy)</t>
        </is>
      </c>
      <c r="BC93" s="121" t="n">
        <v>-93.27</v>
      </c>
      <c r="BD93" s="109" t="n">
        <v>46297</v>
      </c>
      <c r="BE93" s="110" t="n">
        <v>67.90000000000001</v>
      </c>
      <c r="BF93" s="113" t="n">
        <v>-15</v>
      </c>
      <c r="BG93" s="108" t="inlineStr">
        <is>
          <t>N</t>
        </is>
      </c>
      <c r="BH93" s="108" t="inlineStr">
        <is>
          <t>n/m</t>
        </is>
      </c>
      <c r="BI93" s="122" t="n"/>
      <c r="BJ93" s="122" t="n"/>
      <c r="BK93" s="123" t="n">
        <v>67.40000000000001</v>
      </c>
      <c r="BL93" s="124">
        <f>IF('BBG Verify'!S93="","not filed; run on terminal",'BBG Verify'!S93)</f>
        <v/>
      </c>
      <c r="BM93" s="125" t="inlineStr">
        <is>
          <t>N</t>
        </is>
      </c>
      <c r="BN93" s="126">
        <f>IF('BBG Verify'!K93="","not filed; run on terminal",'BBG Verify'!K93)</f>
        <v/>
      </c>
      <c r="BO93" s="108" t="inlineStr">
        <is>
          <t>N/A</t>
        </is>
      </c>
      <c r="BP93" s="108" t="inlineStr">
        <is>
          <t>N/A</t>
        </is>
      </c>
      <c r="BQ93" s="108" t="inlineStr">
        <is>
          <t>N/A</t>
        </is>
      </c>
      <c r="BR93" s="108" t="inlineStr">
        <is>
          <t>N/A</t>
        </is>
      </c>
      <c r="BS93" s="108" t="inlineStr">
        <is>
          <t>N/A</t>
        </is>
      </c>
      <c r="BT93" s="108" t="inlineStr">
        <is>
          <t>N/A</t>
        </is>
      </c>
      <c r="BU93" s="125" t="inlineStr">
        <is>
          <t>Huatai Financial Holdings (Hong Kong) Limited</t>
        </is>
      </c>
      <c r="BV93" s="108" t="inlineStr">
        <is>
          <t>Huatai Financial Holdings (Hong Kong) Limited</t>
        </is>
      </c>
      <c r="BW93" s="108" t="inlineStr">
        <is>
          <t>Huatai Financial Holdings (Hong Kong) Limited</t>
        </is>
      </c>
      <c r="BX93" s="108" t="inlineStr">
        <is>
          <t>Huatai Financial Holdings (Hong Kong) Limited</t>
        </is>
      </c>
      <c r="BY93" s="127">
        <f>HYPERLINK("https://www1.hkexnews.hk/listedco/listconews/sehk/2021/1213/2021121300025.pdf","prospectus")</f>
        <v/>
      </c>
      <c r="BZ93" s="127">
        <f>HYPERLINK("https://www1.hkexnews.hk/listedco/listconews/sehk/2021/1222/2021122200010.htm","allotment")</f>
        <v/>
      </c>
      <c r="CA93" s="127">
        <f>HYPERLINK("https://www1.hkexnews.hk/listedco/listconews/sehk/2022/0117/2022011700011.pdf","stabilisation")</f>
        <v/>
      </c>
      <c r="CB93" s="128" t="n"/>
      <c r="CC93" s="108" t="inlineStr">
        <is>
          <t>P/E: loss-making at IPO, use P/S; greenshoe: outcome published; expiry date not in the notice; range low: maximum offer price only, no floor published; cornerstone list: no cornerstone tranche; deal size: stated gross HK$26.5m rejected, below the net proceeds of HK$441.7m; allocation: allocation table not in this notice's format (older prose announcement); day-1 tape: volume on file; the retail multiple needs the final public split, which this notice does not state</t>
        </is>
      </c>
    </row>
    <row r="94" ht="22" customHeight="1">
      <c r="A94" s="107" t="inlineStr">
        <is>
          <t>2285</t>
        </is>
      </c>
      <c r="B94" s="108" t="inlineStr">
        <is>
          <t>CHERVON</t>
        </is>
      </c>
      <c r="C94" s="108" t="inlineStr">
        <is>
          <t>泉峰控股</t>
        </is>
      </c>
      <c r="D94" s="108" t="inlineStr">
        <is>
          <t>Industrials</t>
        </is>
      </c>
      <c r="E94" s="108" t="inlineStr">
        <is>
          <t>Capital goods / machinery</t>
        </is>
      </c>
      <c r="F94" s="108" t="inlineStr">
        <is>
          <t>Household Appliances</t>
        </is>
      </c>
      <c r="G94" s="108" t="inlineStr">
        <is>
          <t>Standard</t>
        </is>
      </c>
      <c r="H94" s="109" t="n">
        <v>44560</v>
      </c>
      <c r="I94" s="110" t="n">
        <v>3135.5</v>
      </c>
      <c r="J94" s="108" t="inlineStr">
        <is>
          <t>gross (price x shares)</t>
        </is>
      </c>
      <c r="K94" s="111" t="n">
        <v>37.6</v>
      </c>
      <c r="L94" s="111" t="n">
        <v>43.6</v>
      </c>
      <c r="M94" s="111" t="n">
        <v>43.6</v>
      </c>
      <c r="N94" s="108" t="inlineStr">
        <is>
          <t>Y</t>
        </is>
      </c>
      <c r="O94" s="112" t="n">
        <v>100</v>
      </c>
      <c r="P94" s="112" t="n">
        <v>100</v>
      </c>
      <c r="Q94" s="113" t="n">
        <v>18030</v>
      </c>
      <c r="R94" s="108" t="inlineStr">
        <is>
          <t>prospectus:stated market capitalisation</t>
        </is>
      </c>
      <c r="S94" s="114" t="n">
        <v>7.49</v>
      </c>
      <c r="T94" s="115" t="n">
        <v>7.27</v>
      </c>
      <c r="U94" s="116" t="n">
        <v>13.8</v>
      </c>
      <c r="V94" s="117" t="n">
        <v>120</v>
      </c>
      <c r="W94" s="118" t="n"/>
      <c r="X94" s="119" t="n"/>
      <c r="Y94" s="113" t="n">
        <v>2702.8</v>
      </c>
      <c r="Z94" s="113" t="n">
        <v>61991592</v>
      </c>
      <c r="AA94" s="112" t="n">
        <v>14.99</v>
      </c>
      <c r="AB94" s="108" t="inlineStr">
        <is>
          <t>3W Fund Management Limited; Dragon Billion China Master Fund; Greenwoods Asset Management Hong Kong Limited; IvyRock Asset Management (HK) Limited; Luo Jinhong; Value Partners Hong Kong Limited</t>
        </is>
      </c>
      <c r="AC94" s="108" t="inlineStr">
        <is>
          <t>3w;dragon;greenwoods;ivyrock;luo-jinhong;value</t>
        </is>
      </c>
      <c r="AD94" s="112" t="n">
        <v>10</v>
      </c>
      <c r="AE94" s="108" t="inlineStr">
        <is>
          <t>full</t>
        </is>
      </c>
      <c r="AF94" s="108" t="inlineStr">
        <is>
          <t>2022-01-21</t>
        </is>
      </c>
      <c r="AG94" s="119" t="n"/>
      <c r="AH94" s="119" t="n"/>
      <c r="AI94" s="120" t="n">
        <v>15.25</v>
      </c>
      <c r="AJ94" s="121" t="n">
        <v>28.44</v>
      </c>
      <c r="AK94" s="121" t="n">
        <v>0.24</v>
      </c>
      <c r="AL94" s="121" t="n">
        <v>18.81</v>
      </c>
      <c r="AM94" s="121" t="n">
        <v>8.109999999999999</v>
      </c>
      <c r="AN94" s="122" t="n"/>
      <c r="AO94" s="112" t="n">
        <v>12.16</v>
      </c>
      <c r="AP94" s="121" t="n">
        <v>27.98</v>
      </c>
      <c r="AQ94" s="121" t="n">
        <v>28.9</v>
      </c>
      <c r="AR94" s="121" t="n">
        <v>27.06</v>
      </c>
      <c r="AS94" s="121" t="n">
        <v>-0.36</v>
      </c>
      <c r="AT94" s="121" t="n">
        <v>0.36</v>
      </c>
      <c r="AU94" s="121" t="n">
        <v>-1.07</v>
      </c>
      <c r="AV94" s="121" t="n">
        <v>28.96</v>
      </c>
      <c r="AW94" s="121" t="n">
        <v>30.61</v>
      </c>
      <c r="AX94" s="121" t="n">
        <v>38.55</v>
      </c>
      <c r="AY94" s="121" t="n">
        <v>2.31</v>
      </c>
      <c r="AZ94" s="121" t="n">
        <v>-1.71</v>
      </c>
      <c r="BA94" s="121" t="n">
        <v>-1.95</v>
      </c>
      <c r="BB94" s="108" t="inlineStr">
        <is>
          <t>Hang Seng Commerce &amp; Industry sub-index</t>
        </is>
      </c>
      <c r="BC94" s="121" t="n">
        <v>-33.67</v>
      </c>
      <c r="BD94" s="109" t="n">
        <v>46297</v>
      </c>
      <c r="BE94" s="110" t="n">
        <v>9367</v>
      </c>
      <c r="BF94" s="113" t="n">
        <v>377.4</v>
      </c>
      <c r="BG94" s="108" t="inlineStr">
        <is>
          <t>Y</t>
        </is>
      </c>
      <c r="BH94" s="123" t="n">
        <v>47.8</v>
      </c>
      <c r="BI94" s="123" t="n">
        <v>26</v>
      </c>
      <c r="BJ94" s="123" t="n">
        <v>12.5</v>
      </c>
      <c r="BK94" s="123" t="n">
        <v>1.9</v>
      </c>
      <c r="BL94" s="124">
        <f>IF('BBG Verify'!S94="","not filed; run on terminal",'BBG Verify'!S94)</f>
        <v/>
      </c>
      <c r="BM94" s="125" t="inlineStr">
        <is>
          <t>N</t>
        </is>
      </c>
      <c r="BN94" s="126">
        <f>IF('BBG Verify'!K94="","not filed; run on terminal",'BBG Verify'!K94)</f>
        <v/>
      </c>
      <c r="BO94" s="108" t="inlineStr">
        <is>
          <t>N/A</t>
        </is>
      </c>
      <c r="BP94" s="108" t="inlineStr">
        <is>
          <t>N/A</t>
        </is>
      </c>
      <c r="BQ94" s="108" t="inlineStr">
        <is>
          <t>N/A</t>
        </is>
      </c>
      <c r="BR94" s="108" t="inlineStr">
        <is>
          <t>N/A</t>
        </is>
      </c>
      <c r="BS94" s="108" t="inlineStr">
        <is>
          <t>N/A</t>
        </is>
      </c>
      <c r="BT94" s="108" t="inlineStr">
        <is>
          <t>N/A</t>
        </is>
      </c>
      <c r="BU94" s="125" t="inlineStr">
        <is>
          <t>China International Capital Corporation Hong Kong Securities Limited; Citigroup Global Markets Asia Limited</t>
        </is>
      </c>
      <c r="BV94" s="108" t="inlineStr">
        <is>
          <t>China International Capital Corporation Hong Kong Securities Limited; Citigroup Global Markets Asia Limited</t>
        </is>
      </c>
      <c r="BW94" s="108" t="inlineStr">
        <is>
          <t>China International Capital Corporation Hong Kong Securities Limited; Citigroup Global Markets Asia Limited; The Hongkong and Shanghai Banking Corporation Limited; (in relation to the Hong Kong Public Offering only) Citigroup Global Markets Limited; BOCOM International Securities Limited; CMB International Capital Limited</t>
        </is>
      </c>
      <c r="BX94" s="108" t="inlineStr">
        <is>
          <t>Beta International Securities Limited; Citigroup Global Markets Asia Limited; China International Capital Corporation Hong Kong Securities Limited; CMB International Capital Limited; The Hongkong and Shanghai Banking Corporation Limited</t>
        </is>
      </c>
      <c r="BY94" s="127">
        <f>HYPERLINK("https://www1.hkexnews.hk/listedco/listconews/sehk/2021/1217/2021121700005.pdf","prospectus")</f>
        <v/>
      </c>
      <c r="BZ94" s="127">
        <f>HYPERLINK("https://www1.hkexnews.hk/listedco/listconews/sehk/2021/1229/2021122900020.htm","allotment")</f>
        <v/>
      </c>
      <c r="CA94" s="127">
        <f>HYPERLINK("https://www1.hkexnews.hk/listedco/listconews/sehk/2022/0121/2022012101124.pdf","stabilisation")</f>
        <v/>
      </c>
      <c r="CB94" s="128" t="n"/>
      <c r="CC94" s="108" t="inlineStr">
        <is>
          <t>cornerstone: % from the prospectus; AAStocks table includes non-cornerstone orders; stabilising manager: not named in the allotment notice or prospectus glossary; allocation: allocation table not in this notice's format (older prose announcement); day-1 tape: volume on file; the retail multiple needs the final public split, which this notice does not state</t>
        </is>
      </c>
    </row>
    <row r="95" ht="22" customHeight="1">
      <c r="A95" s="107" t="inlineStr">
        <is>
          <t>2257</t>
        </is>
      </c>
      <c r="B95" s="108" t="inlineStr">
        <is>
          <t>SIRNAOMICS-B</t>
        </is>
      </c>
      <c r="C95" s="108" t="inlineStr">
        <is>
          <t>聖諾醫藥－Ｂ</t>
        </is>
      </c>
      <c r="D95" s="108" t="inlineStr">
        <is>
          <t>Healthcare</t>
        </is>
      </c>
      <c r="E95" s="108" t="inlineStr">
        <is>
          <t>Biotech pre-revenue (18A)</t>
        </is>
      </c>
      <c r="F95" s="108" t="inlineStr">
        <is>
          <t>Biotechnology</t>
        </is>
      </c>
      <c r="G95" s="108" t="inlineStr">
        <is>
          <t>18A</t>
        </is>
      </c>
      <c r="H95" s="109" t="n">
        <v>44560</v>
      </c>
      <c r="I95" s="110" t="n">
        <v>496.9</v>
      </c>
      <c r="J95" s="108" t="inlineStr">
        <is>
          <t>gross (price x shares)</t>
        </is>
      </c>
      <c r="K95" s="129" t="n"/>
      <c r="L95" s="111" t="n">
        <v>65.90000000000001</v>
      </c>
      <c r="M95" s="111" t="n">
        <v>65.90000000000001</v>
      </c>
      <c r="N95" s="108" t="inlineStr">
        <is>
          <t>Y</t>
        </is>
      </c>
      <c r="O95" s="112" t="n">
        <v>100</v>
      </c>
      <c r="P95" s="118" t="n"/>
      <c r="Q95" s="113" t="n">
        <v>5261.1</v>
      </c>
      <c r="R95" s="108" t="inlineStr">
        <is>
          <t>prospectus:stated market capitalisation, rescaled to the offer price</t>
        </is>
      </c>
      <c r="S95" s="114" t="n">
        <v>5.68</v>
      </c>
      <c r="T95" s="115" t="n">
        <v>1.22</v>
      </c>
      <c r="U95" s="116" t="n">
        <v>41.1</v>
      </c>
      <c r="V95" s="117" t="n">
        <v>147</v>
      </c>
      <c r="W95" s="118" t="n"/>
      <c r="X95" s="119" t="n"/>
      <c r="Y95" s="113" t="n">
        <v>292.67</v>
      </c>
      <c r="Z95" s="113" t="n">
        <v>4441060</v>
      </c>
      <c r="AA95" s="112" t="n">
        <v>5.56</v>
      </c>
      <c r="AB95" s="108" t="inlineStr">
        <is>
          <t>Kunming Jiashiqing Investment Partnership (Limited Partnership); Zhejiang Innoforce Pharmaceuticals Co., Ltd</t>
        </is>
      </c>
      <c r="AC95" s="108" t="inlineStr">
        <is>
          <t>kunming;zhejiang</t>
        </is>
      </c>
      <c r="AD95" s="112" t="n">
        <v>14.5</v>
      </c>
      <c r="AE95" s="108" t="inlineStr">
        <is>
          <t>partial</t>
        </is>
      </c>
      <c r="AF95" s="108" t="inlineStr">
        <is>
          <t>2022-01-22</t>
        </is>
      </c>
      <c r="AG95" s="108" t="inlineStr">
        <is>
          <t>China International Capital Corporation Hong Kong Securities Limited</t>
        </is>
      </c>
      <c r="AH95" s="108" t="inlineStr">
        <is>
          <t>China International</t>
        </is>
      </c>
      <c r="AI95" s="120" t="n">
        <v>0.08</v>
      </c>
      <c r="AJ95" s="121" t="n">
        <v>18.21</v>
      </c>
      <c r="AK95" s="121" t="n">
        <v>1.1</v>
      </c>
      <c r="AL95" s="121" t="n">
        <v>0</v>
      </c>
      <c r="AM95" s="121" t="n">
        <v>18.21</v>
      </c>
      <c r="AN95" s="122" t="n"/>
      <c r="AO95" s="112" t="n">
        <v>21.85</v>
      </c>
      <c r="AP95" s="121" t="n">
        <v>20.03</v>
      </c>
      <c r="AQ95" s="121" t="n">
        <v>11.53</v>
      </c>
      <c r="AR95" s="121" t="n">
        <v>22.31</v>
      </c>
      <c r="AS95" s="121" t="n">
        <v>1.54</v>
      </c>
      <c r="AT95" s="121" t="n">
        <v>-5.65</v>
      </c>
      <c r="AU95" s="121" t="n">
        <v>3.47</v>
      </c>
      <c r="AV95" s="121" t="n">
        <v>25.37</v>
      </c>
      <c r="AW95" s="121" t="n">
        <v>28.3</v>
      </c>
      <c r="AX95" s="121" t="n">
        <v>41.81</v>
      </c>
      <c r="AY95" s="121" t="n">
        <v>12.02</v>
      </c>
      <c r="AZ95" s="121" t="n">
        <v>-16.77</v>
      </c>
      <c r="BA95" s="121" t="n">
        <v>-17.67</v>
      </c>
      <c r="BB95" s="108" t="inlineStr">
        <is>
          <t>China Biotech ETF (HS biotech proxy)</t>
        </is>
      </c>
      <c r="BC95" s="121" t="n">
        <v>-94.31999999999999</v>
      </c>
      <c r="BD95" s="109" t="n">
        <v>46297</v>
      </c>
      <c r="BE95" s="110" t="n">
        <v>0</v>
      </c>
      <c r="BF95" s="113" t="n">
        <v>-361.9</v>
      </c>
      <c r="BG95" s="108" t="inlineStr">
        <is>
          <t>N</t>
        </is>
      </c>
      <c r="BH95" s="108" t="inlineStr">
        <is>
          <t>n/m</t>
        </is>
      </c>
      <c r="BI95" s="122" t="n"/>
      <c r="BJ95" s="122" t="n"/>
      <c r="BK95" s="108" t="inlineStr">
        <is>
          <t>pre-rev</t>
        </is>
      </c>
      <c r="BL95" s="124">
        <f>IF('BBG Verify'!S95="","not filed; run on terminal",'BBG Verify'!S95)</f>
        <v/>
      </c>
      <c r="BM95" s="125" t="inlineStr">
        <is>
          <t>N</t>
        </is>
      </c>
      <c r="BN95" s="126">
        <f>IF('BBG Verify'!K95="","not filed; run on terminal",'BBG Verify'!K95)</f>
        <v/>
      </c>
      <c r="BO95" s="108" t="inlineStr">
        <is>
          <t>N/A</t>
        </is>
      </c>
      <c r="BP95" s="108" t="inlineStr">
        <is>
          <t>N/A</t>
        </is>
      </c>
      <c r="BQ95" s="108" t="inlineStr">
        <is>
          <t>N/A</t>
        </is>
      </c>
      <c r="BR95" s="108" t="inlineStr">
        <is>
          <t>N/A</t>
        </is>
      </c>
      <c r="BS95" s="108" t="inlineStr">
        <is>
          <t>N/A</t>
        </is>
      </c>
      <c r="BT95" s="108" t="inlineStr">
        <is>
          <t>N/A</t>
        </is>
      </c>
      <c r="BU95" s="125" t="inlineStr">
        <is>
          <t>China International Capital Corporation Hong Kong Securities Limited; Nomura International (Hong Kong) Limited</t>
        </is>
      </c>
      <c r="BV95" s="108" t="inlineStr">
        <is>
          <t>China International Capital Corporation Hong Kong Securities Limited</t>
        </is>
      </c>
      <c r="BW95" s="108" t="inlineStr">
        <is>
          <t>China International Capital Corporation Hong Kong Securities Limited; The Hongkong and Shanghai Banking Corporation Limited; Nomura International (Hong Kong) Limited; China Merchants Securities (HK) Co., Limited; China PA Securities (Hong Kong) Company Limited; Alpha Win Capital Limited; Valuable Capital Limited</t>
        </is>
      </c>
      <c r="BX95" s="108"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 Valuable Capital Limited</t>
        </is>
      </c>
      <c r="BY95" s="127">
        <f>HYPERLINK("https://www1.hkexnews.hk/listedco/listconews/sehk/2021/1220/2021122000014.htm","prospectus")</f>
        <v/>
      </c>
      <c r="BZ95" s="127">
        <f>HYPERLINK("https://www1.hkexnews.hk/listedco/listconews/sehk/2021/1229/2021122900046.htm","allotment")</f>
        <v/>
      </c>
      <c r="CA95" s="127">
        <f>HYPERLINK("https://www1.hkexnews.hk/listedco/listconews/sehk/2022/0123/2022012300079.pdf","stabilisation")</f>
        <v/>
      </c>
      <c r="CB95" s="128" t="n"/>
      <c r="CC95" s="108" t="inlineStr">
        <is>
          <t>P/E: loss-making at IPO, use P/S; price range: fixed-price offering (no indicative range); range low: maximum offer price only, no floor published; market cap: prospectus cap HK$5,804m at HK$72.70, rescaled to HK$65.90; P/S: pre-revenue issuer, no sales multiple; allocation: allocation table not in this notice's format (older prose announcement); day-1 tape: volume on file; the retail multiple needs the final public split, which this notice does not state</t>
        </is>
      </c>
    </row>
    <row r="96" ht="22" customHeight="1">
      <c r="A96" s="107" t="inlineStr">
        <is>
          <t>0020</t>
        </is>
      </c>
      <c r="B96" s="108" t="inlineStr">
        <is>
          <t>SENSETIME-W</t>
        </is>
      </c>
      <c r="C96" s="108" t="inlineStr">
        <is>
          <t>商湯－Ｗ</t>
        </is>
      </c>
      <c r="D96" s="108" t="inlineStr">
        <is>
          <t>Tech/AI</t>
        </is>
      </c>
      <c r="E96" s="108" t="inlineStr">
        <is>
          <t>AI application / agent software</t>
        </is>
      </c>
      <c r="F96" s="108" t="inlineStr">
        <is>
          <t>Application Software</t>
        </is>
      </c>
      <c r="G96" s="108" t="inlineStr">
        <is>
          <t>WVR</t>
        </is>
      </c>
      <c r="H96" s="109" t="n">
        <v>44560</v>
      </c>
      <c r="I96" s="110" t="n">
        <v>5775</v>
      </c>
      <c r="J96" s="108" t="inlineStr">
        <is>
          <t>gross (price x shares)</t>
        </is>
      </c>
      <c r="K96" s="111" t="n">
        <v>3.85</v>
      </c>
      <c r="L96" s="111" t="n">
        <v>3.99</v>
      </c>
      <c r="M96" s="111" t="n">
        <v>3.85</v>
      </c>
      <c r="N96" s="108" t="inlineStr">
        <is>
          <t>N</t>
        </is>
      </c>
      <c r="O96" s="112" t="n">
        <v>96.5</v>
      </c>
      <c r="P96" s="112" t="n">
        <v>0</v>
      </c>
      <c r="Q96" s="113" t="n">
        <v>133529.9</v>
      </c>
      <c r="R96" s="108" t="inlineStr">
        <is>
          <t>aastocks:上市市值 at the struck price</t>
        </is>
      </c>
      <c r="S96" s="114" t="n">
        <v>5.18</v>
      </c>
      <c r="T96" s="115" t="n">
        <v>1.5</v>
      </c>
      <c r="U96" s="116" t="n">
        <v>68.89</v>
      </c>
      <c r="V96" s="117" t="n">
        <v>132</v>
      </c>
      <c r="W96" s="118" t="n"/>
      <c r="X96" s="119" t="n"/>
      <c r="Y96" s="113" t="n">
        <v>1796.6</v>
      </c>
      <c r="Z96" s="113" t="n">
        <v>466650000</v>
      </c>
      <c r="AA96" s="112" t="n">
        <v>1.35</v>
      </c>
      <c r="AB96" s="108" t="inlineStr">
        <is>
          <t>C-MER Eye Care Holdings Limited; Guosheng Overseas Holdings (Hong Kong) Limited; Guotai Junan Investments (Hong Kong) Limited; HKSTP Venture Fund; SAIC Motor HK Investment Limited; Shanghai Artificial Intelligence Industry Equity Investment Fund Partnership; Shanghai Xuhui Capital Investment Co., Ltd; Taizhou Culture &amp; Tourism Development Group Ltd; The China State-owned Enterprise Mixed Ownership Reform Fund Co., Ltd</t>
        </is>
      </c>
      <c r="AC96" s="108" t="inlineStr">
        <is>
          <t>mer;guosheng;guotai;hkstp;saic;shanghai-artificial;shanghai-xuhui;taizhou;state-owned</t>
        </is>
      </c>
      <c r="AD96" s="118" t="n"/>
      <c r="AE96" s="108" t="inlineStr">
        <is>
          <t>full</t>
        </is>
      </c>
      <c r="AF96" s="108" t="inlineStr">
        <is>
          <t>2022-01-22</t>
        </is>
      </c>
      <c r="AG96" s="108" t="inlineStr">
        <is>
          <t>China International Capital Corporation Hong Kong Securities Limited</t>
        </is>
      </c>
      <c r="AH96" s="108" t="inlineStr">
        <is>
          <t>China International</t>
        </is>
      </c>
      <c r="AI96" s="120" t="n">
        <v>-0.52</v>
      </c>
      <c r="AJ96" s="121" t="n">
        <v>7.27</v>
      </c>
      <c r="AK96" s="121" t="n">
        <v>0.28</v>
      </c>
      <c r="AL96" s="121" t="n">
        <v>1.56</v>
      </c>
      <c r="AM96" s="121" t="n">
        <v>5.62</v>
      </c>
      <c r="AN96" s="122" t="n"/>
      <c r="AO96" s="112" t="n">
        <v>21.48</v>
      </c>
      <c r="AP96" s="121" t="n">
        <v>106.49</v>
      </c>
      <c r="AQ96" s="121" t="n">
        <v>64.16</v>
      </c>
      <c r="AR96" s="121" t="n">
        <v>58.96</v>
      </c>
      <c r="AS96" s="121" t="n">
        <v>92.5</v>
      </c>
      <c r="AT96" s="121" t="n">
        <v>53.03</v>
      </c>
      <c r="AU96" s="121" t="n">
        <v>48.19</v>
      </c>
      <c r="AV96" s="121" t="n">
        <v>107.69</v>
      </c>
      <c r="AW96" s="121" t="n">
        <v>67.31</v>
      </c>
      <c r="AX96" s="121" t="n">
        <v>75.63</v>
      </c>
      <c r="AY96" s="121" t="n">
        <v>56.45</v>
      </c>
      <c r="AZ96" s="121" t="n">
        <v>-3.15</v>
      </c>
      <c r="BA96" s="121" t="n">
        <v>-3.42</v>
      </c>
      <c r="BB96" s="108" t="inlineStr">
        <is>
          <t>HSTECH (Hang Seng TECH ETF)</t>
        </is>
      </c>
      <c r="BC96" s="121" t="n">
        <v>-68.95999999999999</v>
      </c>
      <c r="BD96" s="109" t="n">
        <v>46297</v>
      </c>
      <c r="BE96" s="110" t="n">
        <v>5170.3</v>
      </c>
      <c r="BF96" s="113" t="n">
        <v>-18854.1</v>
      </c>
      <c r="BG96" s="108" t="inlineStr">
        <is>
          <t>N</t>
        </is>
      </c>
      <c r="BH96" s="108" t="inlineStr">
        <is>
          <t>n/m</t>
        </is>
      </c>
      <c r="BI96" s="122" t="n"/>
      <c r="BJ96" s="122" t="n"/>
      <c r="BK96" s="123" t="n">
        <v>25.8</v>
      </c>
      <c r="BL96" s="124">
        <f>IF('BBG Verify'!S96="","not filed; run on terminal",'BBG Verify'!S96)</f>
        <v/>
      </c>
      <c r="BM96" s="125" t="inlineStr">
        <is>
          <t>N</t>
        </is>
      </c>
      <c r="BN96" s="126">
        <f>IF('BBG Verify'!K96="","not filed; run on terminal",'BBG Verify'!K96)</f>
        <v/>
      </c>
      <c r="BO96" s="108" t="inlineStr">
        <is>
          <t>N/A</t>
        </is>
      </c>
      <c r="BP96" s="108" t="inlineStr">
        <is>
          <t>N/A</t>
        </is>
      </c>
      <c r="BQ96" s="108" t="inlineStr">
        <is>
          <t>N/A</t>
        </is>
      </c>
      <c r="BR96" s="108" t="inlineStr">
        <is>
          <t>N/A</t>
        </is>
      </c>
      <c r="BS96" s="108" t="inlineStr">
        <is>
          <t>N/A</t>
        </is>
      </c>
      <c r="BT96" s="108" t="inlineStr">
        <is>
          <t>N/A</t>
        </is>
      </c>
      <c r="BU96" s="125" t="inlineStr">
        <is>
          <t>CICC; Haitong International; HSBC</t>
        </is>
      </c>
      <c r="BV96" s="108" t="inlineStr">
        <is>
          <t>China International Capital Corporation Hong Kong Securities Limited; Haitong International Capital Limited; The Hongkong and Shanghai Banking Corporation Limited; HSBC Corporate Finance (Hong Kong) Limited</t>
        </is>
      </c>
      <c r="BW96" s="108" t="inlineStr">
        <is>
          <t>CMB International Capital Limited; DBS Asia Capital Limited; China Merchants Securities (HK) Co., Limited; BOCI Asia Limited; S AMENDMENTS TO THE PROSPECTUS CCB International Capital Limited; UOB Kay Hian (Hong Kong) Limited; ICBC International Capital Limited; Lu International (Hong Kong) Limited; ABCI Capital Limited; Orient Securities (Hong Kong) Limited; Futu Securities International (Hong Kong) Limited; Zero2IPO Securities Limited</t>
        </is>
      </c>
      <c r="BX96" s="108" t="inlineStr">
        <is>
          <t>ABCI Securities Company Limited; BOCI Asia Limited; CCB International Capital Limited; China International Capital Corporation Hong Kong Securities Limited; CMB International Capital Limited; China Merchants Securities (HK) Company Limited; DBS Asia Capital Limited; Futu Securities International (Hong Kong) Limited; Haitong International Securities Company Limited; The Hongkong and Shanghai Banking Corporation Limited; ICBC International Securities Limited; Lu International (Hong Kong) Limited</t>
        </is>
      </c>
      <c r="BY96" s="127">
        <f>HYPERLINK("https://www1.hkexnews.hk/listedco/listconews/sehk/2021/1220/2021122000084.htm","prospectus")</f>
        <v/>
      </c>
      <c r="BZ96" s="127">
        <f>HYPERLINK("https://www1.hkexnews.hk/listedco/listconews/sehk/2021/1229/2021122900058.htm","allotment")</f>
        <v/>
      </c>
      <c r="CA96" s="127">
        <f>HYPERLINK("https://www1.hkexnews.hk/listedco/listconews/sehk/2022/0123/2022012300035.pdf","stabilisation")</f>
        <v/>
      </c>
      <c r="CB96" s="128" t="n"/>
      <c r="CC96" s="108" t="inlineStr">
        <is>
          <t>P/E: loss-making at IPO, use P/S; A/H: no A-share listing; nearest A proxy CloudWalk Technology (688327.SS); greenshoe size: no over-allotment option; allocation: allocation table not in this notice's format (older prose announcement); day-1 tape: volume on file; the retail multiple needs the final public split, which this notice does not state</t>
        </is>
      </c>
    </row>
    <row r="97" ht="22" customHeight="1">
      <c r="A97" s="107" t="inlineStr">
        <is>
          <t>2260</t>
        </is>
      </c>
      <c r="B97" s="108" t="inlineStr">
        <is>
          <t>VANOV HOLDINGS</t>
        </is>
      </c>
      <c r="C97" s="108" t="inlineStr">
        <is>
          <t>環龍控股</t>
        </is>
      </c>
      <c r="D97" s="108" t="inlineStr">
        <is>
          <t>Industrials</t>
        </is>
      </c>
      <c r="E97" s="108" t="inlineStr">
        <is>
          <t>Capital goods / machinery</t>
        </is>
      </c>
      <c r="F97" s="108" t="inlineStr">
        <is>
          <t>Paper Products</t>
        </is>
      </c>
      <c r="G97" s="108" t="inlineStr">
        <is>
          <t>Standard</t>
        </is>
      </c>
      <c r="H97" s="109" t="n">
        <v>44572</v>
      </c>
      <c r="I97" s="110" t="n">
        <v>139.3</v>
      </c>
      <c r="J97" s="108" t="inlineStr">
        <is>
          <t>gross (price x shares)</t>
        </is>
      </c>
      <c r="K97" s="129" t="n"/>
      <c r="L97" s="111" t="n">
        <v>1.22</v>
      </c>
      <c r="M97" s="111" t="n">
        <v>1.22</v>
      </c>
      <c r="N97" s="108" t="inlineStr">
        <is>
          <t>Y</t>
        </is>
      </c>
      <c r="O97" s="112" t="n">
        <v>100</v>
      </c>
      <c r="P97" s="118" t="n"/>
      <c r="Q97" s="113" t="n">
        <v>643</v>
      </c>
      <c r="R97" s="108" t="inlineStr">
        <is>
          <t>aastocks:上市市值 at the struck price</t>
        </is>
      </c>
      <c r="S97" s="114" t="n">
        <v>13.66</v>
      </c>
      <c r="T97" s="115" t="n">
        <v>13.66</v>
      </c>
      <c r="U97" s="116" t="n">
        <v>15.9</v>
      </c>
      <c r="V97" s="117" t="n">
        <v>163</v>
      </c>
      <c r="W97" s="118" t="n"/>
      <c r="X97" s="119" t="n"/>
      <c r="Y97" s="113" t="n">
        <v>117.15</v>
      </c>
      <c r="Z97" s="113" t="n">
        <v>96042200</v>
      </c>
      <c r="AA97" s="112" t="n">
        <v>18.22</v>
      </c>
      <c r="AB97" s="108" t="inlineStr">
        <is>
          <t>Chen Xiong; Gong Chaohui</t>
        </is>
      </c>
      <c r="AC97" s="108" t="inlineStr">
        <is>
          <t>chen-xiong;gong</t>
        </is>
      </c>
      <c r="AD97" s="118" t="n"/>
      <c r="AE97" s="108" t="inlineStr">
        <is>
          <t>partial</t>
        </is>
      </c>
      <c r="AF97" s="119" t="n"/>
      <c r="AG97" s="108" t="inlineStr">
        <is>
          <t>CMBC Securities Company Limited</t>
        </is>
      </c>
      <c r="AH97" s="108" t="inlineStr">
        <is>
          <t>CMBC</t>
        </is>
      </c>
      <c r="AI97" s="120" t="n">
        <v>3.28</v>
      </c>
      <c r="AJ97" s="121" t="n">
        <v>0.82</v>
      </c>
      <c r="AK97" s="121" t="n">
        <v>0.02</v>
      </c>
      <c r="AL97" s="121" t="n">
        <v>4.1</v>
      </c>
      <c r="AM97" s="121" t="n">
        <v>-3.15</v>
      </c>
      <c r="AN97" s="122" t="n"/>
      <c r="AO97" s="112" t="n">
        <v>19.69</v>
      </c>
      <c r="AP97" s="121" t="n">
        <v>0.82</v>
      </c>
      <c r="AQ97" s="121" t="n">
        <v>0</v>
      </c>
      <c r="AR97" s="121" t="n">
        <v>0</v>
      </c>
      <c r="AS97" s="121" t="n">
        <v>0</v>
      </c>
      <c r="AT97" s="121" t="n">
        <v>-0.8100000000000001</v>
      </c>
      <c r="AU97" s="121" t="n">
        <v>-0.8100000000000001</v>
      </c>
      <c r="AV97" s="121" t="n">
        <v>-1.01</v>
      </c>
      <c r="AW97" s="121" t="n">
        <v>-0.55</v>
      </c>
      <c r="AX97" s="121" t="n">
        <v>15.79</v>
      </c>
      <c r="AY97" s="121" t="n">
        <v>-1.34</v>
      </c>
      <c r="AZ97" s="121" t="n">
        <v>0.55</v>
      </c>
      <c r="BA97" s="121" t="n">
        <v>0.53</v>
      </c>
      <c r="BB97" s="108" t="inlineStr">
        <is>
          <t>Hang Seng Commerce &amp; Industry sub-index</t>
        </is>
      </c>
      <c r="BC97" s="121" t="n">
        <v>-1.23</v>
      </c>
      <c r="BD97" s="109" t="n">
        <v>46297</v>
      </c>
      <c r="BE97" s="110" t="n">
        <v>201</v>
      </c>
      <c r="BF97" s="113" t="n">
        <v>45.1</v>
      </c>
      <c r="BG97" s="108" t="inlineStr">
        <is>
          <t>Y</t>
        </is>
      </c>
      <c r="BH97" s="123" t="n">
        <v>14.3</v>
      </c>
      <c r="BI97" s="123" t="n">
        <v>7.4</v>
      </c>
      <c r="BJ97" s="123" t="n">
        <v>14.8</v>
      </c>
      <c r="BK97" s="123" t="n">
        <v>3.2</v>
      </c>
      <c r="BL97" s="124">
        <f>IF('BBG Verify'!S97="","not filed; run on terminal",'BBG Verify'!S97)</f>
        <v/>
      </c>
      <c r="BM97" s="125" t="inlineStr">
        <is>
          <t>N</t>
        </is>
      </c>
      <c r="BN97" s="126">
        <f>IF('BBG Verify'!K97="","not filed; run on terminal",'BBG Verify'!K97)</f>
        <v/>
      </c>
      <c r="BO97" s="108" t="inlineStr">
        <is>
          <t>N/A</t>
        </is>
      </c>
      <c r="BP97" s="108" t="inlineStr">
        <is>
          <t>N/A</t>
        </is>
      </c>
      <c r="BQ97" s="108" t="inlineStr">
        <is>
          <t>N/A</t>
        </is>
      </c>
      <c r="BR97" s="108" t="inlineStr">
        <is>
          <t>N/A</t>
        </is>
      </c>
      <c r="BS97" s="108" t="inlineStr">
        <is>
          <t>N/A</t>
        </is>
      </c>
      <c r="BT97" s="108" t="inlineStr">
        <is>
          <t>N/A</t>
        </is>
      </c>
      <c r="BU97" s="125" t="inlineStr">
        <is>
          <t>CMBC International Capital Limited</t>
        </is>
      </c>
      <c r="BV97" s="108" t="inlineStr">
        <is>
          <t>CMBC International Capital Limited</t>
        </is>
      </c>
      <c r="BW97" s="108" t="inlineStr">
        <is>
          <t>CMBC Securities Company Limited; ABCI Capital Limited; CCB International Capital Limited; Essence International Securities (Hong Kong) Limited; CEB International Capital Corporation Limited; China Everbright Securities (HK) Limited; China Industrial Securities International Capital Limited; Livermore Holdings Limited; SBI China Capital Financial Services Limited; China Tonghai Securities Limited; Zhongtai International Securities Limited</t>
        </is>
      </c>
      <c r="BX97" s="108" t="inlineStr">
        <is>
          <t>ABCI Securities Company Limited; CCB International Capital Limited; CEB International Capital Corporation Limited; China Everbright Securities (HK) Limited; China Tonghai Securities Limited; China Industrial Securities International Capital Limited; CMBC Securities Company Limited; China Sky Securities Limited; Essence International Securities (Hong Kong) Limited; Eddid Securities and Futures Limited; Forwin Securities Group Limited; Guosen Securities (HK) Capital Company Limited</t>
        </is>
      </c>
      <c r="BY97" s="127">
        <f>HYPERLINK("https://www1.hkexnews.hk/listedco/listconews/sehk/2021/1229/2021122900078.htm","prospectus")</f>
        <v/>
      </c>
      <c r="BZ97" s="127">
        <f>HYPERLINK("https://www1.hkexnews.hk/listedco/listconews/sehk/2022/0110/2022011000034.htm","allotment")</f>
        <v/>
      </c>
      <c r="CA97" s="127">
        <f>HYPERLINK("https://www1.hkexnews.hk/listedco/listconews/sehk/2022/0204/2022020400047.pdf","stabilisation")</f>
        <v/>
      </c>
      <c r="CB97" s="128" t="n"/>
      <c r="CC97" s="108" t="inlineStr">
        <is>
          <t>greenshoe: outcome published; expiry date not in the notice; price range: fixed-price offering (no indicative range); range low: maximum offer price only, no floor published; greenshoe size: no over-allotment option; allocation: allocation table not in this notice's format (older prose announcement); day-1 tape: volume on file; the retail multiple needs the final public split, which this notice does not state</t>
        </is>
      </c>
    </row>
    <row r="98" ht="22" customHeight="1">
      <c r="A98" s="107" t="inlineStr">
        <is>
          <t>6680</t>
        </is>
      </c>
      <c r="B98" s="108" t="inlineStr">
        <is>
          <t>JLMAG</t>
        </is>
      </c>
      <c r="C98" s="108" t="inlineStr">
        <is>
          <t>金力永磁</t>
        </is>
      </c>
      <c r="D98" s="108" t="inlineStr">
        <is>
          <t>Industrials</t>
        </is>
      </c>
      <c r="E98" s="108" t="inlineStr">
        <is>
          <t>Capital goods / machinery</t>
        </is>
      </c>
      <c r="F98" s="108" t="inlineStr">
        <is>
          <t>Diversified Metals &amp; Minerals</t>
        </is>
      </c>
      <c r="G98" s="108" t="inlineStr">
        <is>
          <t>Standard</t>
        </is>
      </c>
      <c r="H98" s="109" t="n">
        <v>44575</v>
      </c>
      <c r="I98" s="110" t="n">
        <v>4240.8</v>
      </c>
      <c r="J98" s="108" t="inlineStr">
        <is>
          <t>gross (price x shares)</t>
        </is>
      </c>
      <c r="K98" s="111" t="n">
        <v>33.8</v>
      </c>
      <c r="L98" s="111" t="n">
        <v>40.3</v>
      </c>
      <c r="M98" s="111" t="n">
        <v>33.8</v>
      </c>
      <c r="N98" s="108" t="inlineStr">
        <is>
          <t>N</t>
        </is>
      </c>
      <c r="O98" s="112" t="n">
        <v>83.90000000000001</v>
      </c>
      <c r="P98" s="112" t="n">
        <v>0</v>
      </c>
      <c r="Q98" s="113" t="n">
        <v>32831.6</v>
      </c>
      <c r="R98" s="108" t="inlineStr">
        <is>
          <t>aastocks:上市市值 at the struck price</t>
        </is>
      </c>
      <c r="S98" s="114" t="n">
        <v>15</v>
      </c>
      <c r="T98" s="115" t="n">
        <v>1.57</v>
      </c>
      <c r="U98" s="116" t="n">
        <v>50.56</v>
      </c>
      <c r="V98" s="117" t="n">
        <v>161</v>
      </c>
      <c r="W98" s="118" t="n"/>
      <c r="X98" s="119" t="n"/>
      <c r="Y98" s="113" t="n">
        <v>2096.65</v>
      </c>
      <c r="Z98" s="113" t="n">
        <v>62030390</v>
      </c>
      <c r="AA98" s="112" t="n">
        <v>6.39</v>
      </c>
      <c r="AB98" s="108" t="inlineStr">
        <is>
          <t>CITIC-Prudential Life Insurance Company Limited; CR Alpha Investment II Limited; SINO-BLR Industrial Investment Fund, L.P; The China State-owned Enterprise Mixed Ownership Reform Fund Co., Ltd</t>
        </is>
      </c>
      <c r="AC98" s="108" t="inlineStr">
        <is>
          <t>citic;cr;sino-blr;state-owned</t>
        </is>
      </c>
      <c r="AD98" s="112" t="n">
        <v>15</v>
      </c>
      <c r="AE98" s="108" t="inlineStr">
        <is>
          <t>lapsed</t>
        </is>
      </c>
      <c r="AF98" s="108" t="inlineStr">
        <is>
          <t>2022-02-06</t>
        </is>
      </c>
      <c r="AG98" s="119" t="n"/>
      <c r="AH98" s="119" t="n"/>
      <c r="AI98" s="120" t="n">
        <v>-17.6</v>
      </c>
      <c r="AJ98" s="121" t="n">
        <v>-16.57</v>
      </c>
      <c r="AK98" s="121" t="n">
        <v>-0.72</v>
      </c>
      <c r="AL98" s="121" t="n">
        <v>-8.880000000000001</v>
      </c>
      <c r="AM98" s="121" t="n">
        <v>-8.44</v>
      </c>
      <c r="AN98" s="122" t="n"/>
      <c r="AO98" s="112" t="n">
        <v>9.09</v>
      </c>
      <c r="AP98" s="121" t="n">
        <v>-19.23</v>
      </c>
      <c r="AQ98" s="121" t="n">
        <v>-11.54</v>
      </c>
      <c r="AR98" s="121" t="n">
        <v>-35.06</v>
      </c>
      <c r="AS98" s="121" t="n">
        <v>-3.19</v>
      </c>
      <c r="AT98" s="121" t="n">
        <v>6.03</v>
      </c>
      <c r="AU98" s="121" t="n">
        <v>-22.16</v>
      </c>
      <c r="AV98" s="121" t="n">
        <v>-20.73</v>
      </c>
      <c r="AW98" s="121" t="n">
        <v>-10.29</v>
      </c>
      <c r="AX98" s="121" t="n">
        <v>-11.36</v>
      </c>
      <c r="AY98" s="121" t="n">
        <v>6.57</v>
      </c>
      <c r="AZ98" s="121" t="n">
        <v>-1.25</v>
      </c>
      <c r="BA98" s="121" t="n">
        <v>-0.54</v>
      </c>
      <c r="BB98" s="108" t="inlineStr">
        <is>
          <t>Hang Seng Commerce &amp; Industry sub-index</t>
        </is>
      </c>
      <c r="BC98" s="121" t="n">
        <v>-29.94</v>
      </c>
      <c r="BD98" s="109" t="n">
        <v>46297</v>
      </c>
      <c r="BE98" s="110" t="n">
        <v>2517.5</v>
      </c>
      <c r="BF98" s="113" t="n">
        <v>-0.7</v>
      </c>
      <c r="BG98" s="108" t="inlineStr">
        <is>
          <t>N</t>
        </is>
      </c>
      <c r="BH98" s="108" t="inlineStr">
        <is>
          <t>n/m</t>
        </is>
      </c>
      <c r="BI98" s="123" t="n">
        <v>30.9</v>
      </c>
      <c r="BJ98" s="123" t="n">
        <v>27.9</v>
      </c>
      <c r="BK98" s="123" t="n">
        <v>13</v>
      </c>
      <c r="BL98" s="124">
        <f>IF('BBG Verify'!S98="","not filed; run on terminal",'BBG Verify'!S98)</f>
        <v/>
      </c>
      <c r="BM98" s="125" t="inlineStr">
        <is>
          <t>Y</t>
        </is>
      </c>
      <c r="BN98" s="108" t="inlineStr">
        <is>
          <t>300748.SZ</t>
        </is>
      </c>
      <c r="BO98" s="121" t="n">
        <v>38.51</v>
      </c>
      <c r="BP98" s="111" t="n">
        <v>46.8177</v>
      </c>
      <c r="BQ98" s="135" t="n">
        <v>0.9062</v>
      </c>
      <c r="BR98" s="113" t="n">
        <v>39007.7</v>
      </c>
      <c r="BS98" s="124">
        <f>IF('BBG Verify'!Q98="","run on terminal",'BBG Verify'!Q98)</f>
        <v/>
      </c>
      <c r="BT98" s="124">
        <f>IF('BBG Verify'!R98="","run on terminal",'BBG Verify'!R98)</f>
        <v/>
      </c>
      <c r="BU98" s="125" t="inlineStr">
        <is>
          <t>CLSA Capital Markets Limited; BNP Paribas Securities (Asia) Limited</t>
        </is>
      </c>
      <c r="BV98" s="108" t="inlineStr">
        <is>
          <t>BNP Paribas Securities (Asia) Limited; CLSA Capital Markets Limited</t>
        </is>
      </c>
      <c r="BW98" s="108" t="inlineStr">
        <is>
          <t>CLSA Limited; BNP Paribas Securities (Asia) Limited; DBS Asia Capital Limited</t>
        </is>
      </c>
      <c r="BX98" s="108" t="inlineStr">
        <is>
          <t>BNP Paribas Securities (Asia) Limited; CLSA Limited; DBS Asia Capital Limited; Futu Securities International (Hong Kong) Limited; Livermore Holdings Limited</t>
        </is>
      </c>
      <c r="BY98" s="127">
        <f>HYPERLINK("https://www1.hkexnews.hk/listedco/listconews/sehk/2021/1231/2021123100023.pdf","prospectus")</f>
        <v/>
      </c>
      <c r="BZ98" s="127">
        <f>HYPERLINK("https://www1.hkexnews.hk/listedco/listconews/sehk/2022/0113/2022011300010.htm","allotment")</f>
        <v/>
      </c>
      <c r="CA98" s="127">
        <f>HYPERLINK("https://www1.hkexnews.hk/listedco/listconews/sehk/2022/0206/2022020600019.pdf","stabilisation")</f>
        <v/>
      </c>
      <c r="CB98" s="128" t="n"/>
      <c r="CC98" s="108" t="inlineStr">
        <is>
          <t>P/E: loss-making at IPO, use P/S; A/H: H listed Jan 2022 (NdFeB magnets); market cap: prospectus 'market capitalisation' line is the listing-rule threshold, not the issuer's figure; rejected; stabilising manager: not named in the allotment notice or prospectus glossary; allocation: allocation table not in this notice's format (older prose announcement); day-1 tape: volume on file; the retail multiple needs the final public split, which this notice does not state</t>
        </is>
      </c>
    </row>
    <row r="99" ht="22" customHeight="1">
      <c r="A99" s="107" t="inlineStr">
        <is>
          <t>2250</t>
        </is>
      </c>
      <c r="B99" s="108" t="inlineStr">
        <is>
          <t>SEMK HOLDINGS</t>
        </is>
      </c>
      <c r="C99" s="108" t="inlineStr">
        <is>
          <t>小黃鴨德盈</t>
        </is>
      </c>
      <c r="D99" s="108" t="inlineStr">
        <is>
          <t>TMT-other</t>
        </is>
      </c>
      <c r="E99" s="108" t="inlineStr">
        <is>
          <t>Media / advertising</t>
        </is>
      </c>
      <c r="F99" s="108" t="inlineStr">
        <is>
          <t>e-Commerce &amp; Internet Services</t>
        </is>
      </c>
      <c r="G99" s="108" t="inlineStr">
        <is>
          <t>Standard</t>
        </is>
      </c>
      <c r="H99" s="109" t="n">
        <v>44578</v>
      </c>
      <c r="I99" s="110" t="n">
        <v>246</v>
      </c>
      <c r="J99" s="108" t="inlineStr">
        <is>
          <t>gross (price x shares)</t>
        </is>
      </c>
      <c r="K99" s="111" t="n">
        <v>2.05</v>
      </c>
      <c r="L99" s="111" t="n">
        <v>3.45</v>
      </c>
      <c r="M99" s="111" t="n">
        <v>2.05</v>
      </c>
      <c r="N99" s="108" t="inlineStr">
        <is>
          <t>N</t>
        </is>
      </c>
      <c r="O99" s="112" t="n">
        <v>59.4</v>
      </c>
      <c r="P99" s="112" t="n">
        <v>0</v>
      </c>
      <c r="Q99" s="113" t="n">
        <v>2881.9</v>
      </c>
      <c r="R99" s="108" t="inlineStr">
        <is>
          <t>aastocks:上市市值 at the struck price</t>
        </is>
      </c>
      <c r="S99" s="114" t="n">
        <v>7.31</v>
      </c>
      <c r="T99" s="115" t="n">
        <v>1.24</v>
      </c>
      <c r="U99" s="116" t="n">
        <v>0</v>
      </c>
      <c r="V99" s="117" t="n">
        <v>157</v>
      </c>
      <c r="W99" s="118" t="n"/>
      <c r="X99" s="119" t="n"/>
      <c r="Y99" s="113" t="n">
        <v>246</v>
      </c>
      <c r="Z99" s="113" t="n">
        <v>120000000</v>
      </c>
      <c r="AA99" s="112" t="n">
        <v>8.539999999999999</v>
      </c>
      <c r="AB99" s="108" t="inlineStr">
        <is>
          <t>none — no cornerstone tranche</t>
        </is>
      </c>
      <c r="AC99" s="108" t="inlineStr">
        <is>
          <t>none</t>
        </is>
      </c>
      <c r="AD99" s="112" t="n">
        <v>10</v>
      </c>
      <c r="AE99" s="108" t="inlineStr">
        <is>
          <t>lapsed (no over-allocation)</t>
        </is>
      </c>
      <c r="AF99" s="108" t="inlineStr">
        <is>
          <t>2022-02-06</t>
        </is>
      </c>
      <c r="AG99" s="108" t="inlineStr">
        <is>
          <t>China Everbright Securities</t>
        </is>
      </c>
      <c r="AH99" s="108" t="inlineStr">
        <is>
          <t>China Everbright</t>
        </is>
      </c>
      <c r="AI99" s="120" t="n">
        <v>10.73</v>
      </c>
      <c r="AJ99" s="121" t="n">
        <v>16.59</v>
      </c>
      <c r="AK99" s="121" t="n">
        <v>-0.68</v>
      </c>
      <c r="AL99" s="121" t="n">
        <v>26.83</v>
      </c>
      <c r="AM99" s="121" t="n">
        <v>-8.07</v>
      </c>
      <c r="AN99" s="122" t="n"/>
      <c r="AO99" s="112" t="n">
        <v>16.54</v>
      </c>
      <c r="AP99" s="121" t="n">
        <v>2.44</v>
      </c>
      <c r="AQ99" s="121" t="n">
        <v>2.44</v>
      </c>
      <c r="AR99" s="121" t="n">
        <v>-13.17</v>
      </c>
      <c r="AS99" s="121" t="n">
        <v>-12.14</v>
      </c>
      <c r="AT99" s="121" t="n">
        <v>-12.14</v>
      </c>
      <c r="AU99" s="121" t="n">
        <v>-25.53</v>
      </c>
      <c r="AV99" s="121" t="n">
        <v>1.32</v>
      </c>
      <c r="AW99" s="121" t="n">
        <v>2.67</v>
      </c>
      <c r="AX99" s="121" t="n">
        <v>2.19</v>
      </c>
      <c r="AY99" s="121" t="n">
        <v>-12.59</v>
      </c>
      <c r="AZ99" s="121" t="n">
        <v>-0.23</v>
      </c>
      <c r="BA99" s="121" t="n">
        <v>0.45</v>
      </c>
      <c r="BB99" s="108" t="inlineStr">
        <is>
          <t>Hang Seng Index</t>
        </is>
      </c>
      <c r="BC99" s="121" t="n">
        <v>-85.37</v>
      </c>
      <c r="BD99" s="109" t="n">
        <v>46297</v>
      </c>
      <c r="BE99" s="110" t="n">
        <v>233.5</v>
      </c>
      <c r="BF99" s="113" t="n">
        <v>54.5</v>
      </c>
      <c r="BG99" s="108" t="inlineStr">
        <is>
          <t>Y</t>
        </is>
      </c>
      <c r="BH99" s="123" t="n">
        <v>52.9</v>
      </c>
      <c r="BI99" s="122" t="n"/>
      <c r="BJ99" s="122" t="n"/>
      <c r="BK99" s="123" t="n">
        <v>12.3</v>
      </c>
      <c r="BL99" s="124">
        <f>IF('BBG Verify'!S99="","not filed; run on terminal",'BBG Verify'!S99)</f>
        <v/>
      </c>
      <c r="BM99" s="125" t="inlineStr">
        <is>
          <t>N</t>
        </is>
      </c>
      <c r="BN99" s="126">
        <f>IF('BBG Verify'!K99="","not filed; run on terminal",'BBG Verify'!K99)</f>
        <v/>
      </c>
      <c r="BO99" s="108" t="inlineStr">
        <is>
          <t>N/A</t>
        </is>
      </c>
      <c r="BP99" s="108" t="inlineStr">
        <is>
          <t>N/A</t>
        </is>
      </c>
      <c r="BQ99" s="108" t="inlineStr">
        <is>
          <t>N/A</t>
        </is>
      </c>
      <c r="BR99" s="108" t="inlineStr">
        <is>
          <t>N/A</t>
        </is>
      </c>
      <c r="BS99" s="108" t="inlineStr">
        <is>
          <t>N/A</t>
        </is>
      </c>
      <c r="BT99" s="108" t="inlineStr">
        <is>
          <t>N/A</t>
        </is>
      </c>
      <c r="BU99" s="125" t="inlineStr">
        <is>
          <t>China Everbright Capital Limited; China Everbright Securities (HK) Limited</t>
        </is>
      </c>
      <c r="BV99" s="108" t="inlineStr">
        <is>
          <t>China Everbright Capital Limited</t>
        </is>
      </c>
      <c r="BW99" s="108" t="inlineStr">
        <is>
          <t>China Everbright Securities (HK) Limited; UOB Kay Hian (Hong Kong) Limited; BOCOM International Securities Limited; CMBC Securities Company Limited; Fosun Hani Securities Limited; Grand China Securities Limited; Zhongtai International Securities Limited</t>
        </is>
      </c>
      <c r="BX99" s="108" t="inlineStr">
        <is>
          <t>Beta International Securities Limited; China Everbright Securities (HK) Limited; CMBC Securities Company Limited; First Shanghai Securities Limited; Fosun Hani Securities Limited; Guotai Junan Securities (Hong Kong) Limited; Grand China Securities Limited; Innovax Securities Limited; Livermore Holdings Limited; Maxa Capital Limited; UOB Kay Hian (Hong Kong) Limited</t>
        </is>
      </c>
      <c r="BY99" s="127">
        <f>HYPERLINK("https://www1.hkexnews.hk/listedco/listconews/sehk/2021/1230/2021123000005.pdf","prospectus")</f>
        <v/>
      </c>
      <c r="BZ99" s="127">
        <f>HYPERLINK("https://www1.hkexnews.hk/listedco/listconews/sehk/2022/0114/2022011400002.htm","allotment")</f>
        <v/>
      </c>
      <c r="CA99" s="127">
        <f>HYPERLINK("https://www1.hkexnews.hk/listedco/listconews/sehk/2022/0206/2022020600003.pdf","stabilisation")</f>
        <v/>
      </c>
      <c r="CB99" s="128" t="n"/>
      <c r="CC99" s="108" t="inlineStr">
        <is>
          <t>market cap: published listing cap used; the estimate from deal size / offer % of enlarged capital disagreed; cornerstone list: no cornerstone tranche; allocation: allocation table not in this notice's format (older prose announcement); day-1 tape: volume on file; the retail multiple needs the final public split, which this notice does not state</t>
        </is>
      </c>
    </row>
    <row r="100" ht="22" customHeight="1">
      <c r="A100" s="107" t="inlineStr">
        <is>
          <t>2121</t>
        </is>
      </c>
      <c r="B100" s="108" t="inlineStr">
        <is>
          <t>AINNOVATION</t>
        </is>
      </c>
      <c r="C100" s="108" t="inlineStr">
        <is>
          <t>創新奇智</t>
        </is>
      </c>
      <c r="D100" s="108" t="inlineStr">
        <is>
          <t>Tech/AI</t>
        </is>
      </c>
      <c r="E100" s="108" t="inlineStr">
        <is>
          <t>AI application / agent software</t>
        </is>
      </c>
      <c r="F100" s="108" t="inlineStr">
        <is>
          <t>Application Software</t>
        </is>
      </c>
      <c r="G100" s="108" t="inlineStr">
        <is>
          <t>Standard</t>
        </is>
      </c>
      <c r="H100" s="109" t="n">
        <v>44588</v>
      </c>
      <c r="I100" s="110" t="n">
        <v>1176.8</v>
      </c>
      <c r="J100" s="108" t="inlineStr">
        <is>
          <t>gross (price x shares)</t>
        </is>
      </c>
      <c r="K100" s="111" t="n">
        <v>26.3</v>
      </c>
      <c r="L100" s="111" t="n">
        <v>27.3</v>
      </c>
      <c r="M100" s="111" t="n">
        <v>26.3</v>
      </c>
      <c r="N100" s="108" t="inlineStr">
        <is>
          <t>N</t>
        </is>
      </c>
      <c r="O100" s="112" t="n">
        <v>96.3</v>
      </c>
      <c r="P100" s="112" t="n">
        <v>0</v>
      </c>
      <c r="Q100" s="113" t="n">
        <v>15248.5</v>
      </c>
      <c r="R100" s="108" t="inlineStr">
        <is>
          <t>aastocks:上市市值 at the struck price</t>
        </is>
      </c>
      <c r="S100" s="114" t="n">
        <v>13.89</v>
      </c>
      <c r="T100" s="115" t="n">
        <v>2.62</v>
      </c>
      <c r="U100" s="116" t="n">
        <v>17.06</v>
      </c>
      <c r="V100" s="117" t="n">
        <v>60</v>
      </c>
      <c r="W100" s="118" t="n"/>
      <c r="X100" s="119" t="n"/>
      <c r="Y100" s="113" t="n">
        <v>976.04</v>
      </c>
      <c r="Z100" s="113" t="n">
        <v>37111005</v>
      </c>
      <c r="AA100" s="112" t="n">
        <v>6.4</v>
      </c>
      <c r="AB100" s="108" t="inlineStr">
        <is>
          <t>Laurion Capital Master Fund Ltd; SVF II Zeal</t>
        </is>
      </c>
      <c r="AC100" s="108" t="inlineStr">
        <is>
          <t>laurion;svf</t>
        </is>
      </c>
      <c r="AD100" s="112" t="n">
        <v>7.12</v>
      </c>
      <c r="AE100" s="108" t="inlineStr">
        <is>
          <t>lapsed</t>
        </is>
      </c>
      <c r="AF100" s="108" t="inlineStr">
        <is>
          <t>2022-02-19</t>
        </is>
      </c>
      <c r="AG100" s="108" t="inlineStr">
        <is>
          <t>UBS AG Hong Kong Branch</t>
        </is>
      </c>
      <c r="AH100" s="108" t="inlineStr">
        <is>
          <t>UBS</t>
        </is>
      </c>
      <c r="AI100" s="120" t="n">
        <v>-4.37</v>
      </c>
      <c r="AJ100" s="121" t="n">
        <v>-25.48</v>
      </c>
      <c r="AK100" s="121" t="n">
        <v>-3.89</v>
      </c>
      <c r="AL100" s="121" t="n">
        <v>0</v>
      </c>
      <c r="AM100" s="121" t="n">
        <v>-25.48</v>
      </c>
      <c r="AN100" s="122" t="n"/>
      <c r="AO100" s="112" t="n">
        <v>28.14</v>
      </c>
      <c r="AP100" s="121" t="n">
        <v>-34.37</v>
      </c>
      <c r="AQ100" s="121" t="n">
        <v>-46.77</v>
      </c>
      <c r="AR100" s="121" t="n">
        <v>-24.11</v>
      </c>
      <c r="AS100" s="121" t="n">
        <v>-11.93</v>
      </c>
      <c r="AT100" s="121" t="n">
        <v>-28.57</v>
      </c>
      <c r="AU100" s="121" t="n">
        <v>1.84</v>
      </c>
      <c r="AV100" s="121" t="n">
        <v>-31.3</v>
      </c>
      <c r="AW100" s="121" t="n">
        <v>-36.17</v>
      </c>
      <c r="AX100" s="121" t="n">
        <v>-0.93</v>
      </c>
      <c r="AY100" s="121" t="n">
        <v>-21.59</v>
      </c>
      <c r="AZ100" s="121" t="n">
        <v>-10.6</v>
      </c>
      <c r="BA100" s="121" t="n">
        <v>-6.98</v>
      </c>
      <c r="BB100" s="108" t="inlineStr">
        <is>
          <t>HSTECH (Hang Seng TECH ETF)</t>
        </is>
      </c>
      <c r="BC100" s="121" t="n">
        <v>-88.17</v>
      </c>
      <c r="BD100" s="109" t="n">
        <v>46297</v>
      </c>
      <c r="BE100" s="110" t="n">
        <v>508.6</v>
      </c>
      <c r="BF100" s="113" t="n">
        <v>-0.6</v>
      </c>
      <c r="BG100" s="108" t="inlineStr">
        <is>
          <t>N</t>
        </is>
      </c>
      <c r="BH100" s="108" t="inlineStr">
        <is>
          <t>n/m</t>
        </is>
      </c>
      <c r="BI100" s="122" t="n"/>
      <c r="BJ100" s="122" t="n"/>
      <c r="BK100" s="123" t="n">
        <v>30</v>
      </c>
      <c r="BL100" s="124">
        <f>IF('BBG Verify'!S100="","not filed; run on terminal",'BBG Verify'!S100)</f>
        <v/>
      </c>
      <c r="BM100" s="125" t="inlineStr">
        <is>
          <t>N</t>
        </is>
      </c>
      <c r="BN100" s="126">
        <f>IF('BBG Verify'!K100="","not filed; run on terminal",'BBG Verify'!K100)</f>
        <v/>
      </c>
      <c r="BO100" s="108" t="inlineStr">
        <is>
          <t>N/A</t>
        </is>
      </c>
      <c r="BP100" s="108" t="inlineStr">
        <is>
          <t>N/A</t>
        </is>
      </c>
      <c r="BQ100" s="108" t="inlineStr">
        <is>
          <t>N/A</t>
        </is>
      </c>
      <c r="BR100" s="108" t="inlineStr">
        <is>
          <t>N/A</t>
        </is>
      </c>
      <c r="BS100" s="108" t="inlineStr">
        <is>
          <t>N/A</t>
        </is>
      </c>
      <c r="BT100" s="108" t="inlineStr">
        <is>
          <t>N/A</t>
        </is>
      </c>
      <c r="BU100" s="125" t="inlineStr">
        <is>
          <t>UBS Securities Hong Kong Limited; China International Capital Corporation Hong Kong Securities Limited; China Renaissance Securities (Hong Kong) Limited</t>
        </is>
      </c>
      <c r="BV100" s="108" t="inlineStr">
        <is>
          <t>China International Capital Corporation Hong Kong Securities Limited; UBS Securities Hong Kong Limited; China Renaissance Securities (Hong Kong) Limited</t>
        </is>
      </c>
      <c r="BW100" s="108" t="inlineStr">
        <is>
          <t>UBS AG Hong Kong Branch; China International Capital Corporation Hong Kong Securities Limited; China Renaissance Securities (Hong Kong) Limited; ICBC International Capital Limited; ICBC International Securities Limited</t>
        </is>
      </c>
      <c r="BX100" s="108"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 Lu International (Hong Kong) Limited; Shanxi Securities International Limited; Tiger Brokers (HK) Global Limited; UBS AG Hong Kong Branch</t>
        </is>
      </c>
      <c r="BY100" s="127">
        <f>HYPERLINK("https://www1.hkexnews.hk/listedco/listconews/sehk/2022/0117/2022011700007.pdf","prospectus")</f>
        <v/>
      </c>
      <c r="BZ100" s="127">
        <f>HYPERLINK("https://www1.hkexnews.hk/listedco/listconews/sehk/2022/0126/2022012600012.htm","allotment")</f>
        <v/>
      </c>
      <c r="CA100" s="127">
        <f>HYPERLINK("https://www1.hkexnews.hk/listedco/listconews/sehk/2022/0221/2022022100003.pdf","stabilisation")</f>
        <v/>
      </c>
      <c r="CB100" s="128" t="n"/>
      <c r="CC100" s="108" t="inlineStr">
        <is>
          <t>P/E: loss-making at IPO, use P/S; market cap: published listing cap used; the estimate from deal size / offer % of enlarged capital disagreed; allocation: allocation table not in this notice's format (older prose announcement); day-1 tape: volume on file; the retail multiple needs the final public split, which this notice does not state</t>
        </is>
      </c>
    </row>
    <row r="101" ht="22" customHeight="1">
      <c r="A101" s="107" t="inlineStr">
        <is>
          <t>9878</t>
        </is>
      </c>
      <c r="B101" s="108" t="inlineStr">
        <is>
          <t>HUITONGDA NET</t>
        </is>
      </c>
      <c r="C101" s="108" t="inlineStr">
        <is>
          <t>匯通達網絡</t>
        </is>
      </c>
      <c r="D101" s="108" t="inlineStr">
        <is>
          <t>Tech/AI</t>
        </is>
      </c>
      <c r="E101" s="108" t="inlineStr">
        <is>
          <t>Internet platform / e-commerce</t>
        </is>
      </c>
      <c r="F101" s="108" t="inlineStr">
        <is>
          <t>e-Commerce &amp; Internet Services</t>
        </is>
      </c>
      <c r="G101" s="108" t="inlineStr">
        <is>
          <t>Standard</t>
        </is>
      </c>
      <c r="H101" s="109" t="n">
        <v>44610</v>
      </c>
      <c r="I101" s="110" t="n">
        <v>2219.1</v>
      </c>
      <c r="J101" s="108" t="inlineStr">
        <is>
          <t>gross (price x shares)</t>
        </is>
      </c>
      <c r="K101" s="111" t="n">
        <v>43</v>
      </c>
      <c r="L101" s="111" t="n">
        <v>48</v>
      </c>
      <c r="M101" s="111" t="n">
        <v>43</v>
      </c>
      <c r="N101" s="108" t="inlineStr">
        <is>
          <t>N</t>
        </is>
      </c>
      <c r="O101" s="112" t="n">
        <v>89.59999999999999</v>
      </c>
      <c r="P101" s="112" t="n">
        <v>0</v>
      </c>
      <c r="Q101" s="113" t="n">
        <v>21337.5</v>
      </c>
      <c r="R101" s="108" t="inlineStr">
        <is>
          <t>derived:deal size / offer % of enlarged capital</t>
        </is>
      </c>
      <c r="S101" s="114" t="n">
        <v>1.67</v>
      </c>
      <c r="T101" s="115" t="n">
        <v>2.05</v>
      </c>
      <c r="U101" s="116" t="n">
        <v>23</v>
      </c>
      <c r="V101" s="117" t="n">
        <v>58</v>
      </c>
      <c r="W101" s="118" t="n"/>
      <c r="X101" s="119" t="n"/>
      <c r="Y101" s="113" t="n">
        <v>1708.71</v>
      </c>
      <c r="Z101" s="113" t="n">
        <v>39736774</v>
      </c>
      <c r="AA101" s="112" t="n">
        <v>8.01</v>
      </c>
      <c r="AB101" s="108" t="inlineStr">
        <is>
          <t>Golden Feather Corporation; Greenwoods Asset Management Hong Kong Limited; Heilan Group Co., Limited; SensePower Management Limited; Skyworth Overseas Investment Holdings Limited; Windfall T&amp;L SPC</t>
        </is>
      </c>
      <c r="AC101" s="108" t="inlineStr">
        <is>
          <t>golden-feather;greenwoods;heilan;sensepower;skyworth;windfall</t>
        </is>
      </c>
      <c r="AD101" s="112" t="n">
        <v>10.4</v>
      </c>
      <c r="AE101" s="108" t="inlineStr">
        <is>
          <t>partial</t>
        </is>
      </c>
      <c r="AF101" s="108" t="inlineStr">
        <is>
          <t>2022-03-12</t>
        </is>
      </c>
      <c r="AG101" s="108" t="inlineStr">
        <is>
          <t>China International Capital Corporation Hong Kong Securities Limited</t>
        </is>
      </c>
      <c r="AH101" s="108" t="inlineStr">
        <is>
          <t>China International</t>
        </is>
      </c>
      <c r="AI101" s="120" t="n">
        <v>4.88</v>
      </c>
      <c r="AJ101" s="121" t="n">
        <v>4.88</v>
      </c>
      <c r="AK101" s="121" t="n">
        <v>-3.14</v>
      </c>
      <c r="AL101" s="121" t="n">
        <v>1.28</v>
      </c>
      <c r="AM101" s="121" t="n">
        <v>3.55</v>
      </c>
      <c r="AN101" s="122" t="n"/>
      <c r="AO101" s="112" t="n">
        <v>5.74</v>
      </c>
      <c r="AP101" s="121" t="n">
        <v>0</v>
      </c>
      <c r="AQ101" s="121" t="n">
        <v>-8.49</v>
      </c>
      <c r="AR101" s="121" t="n">
        <v>3.02</v>
      </c>
      <c r="AS101" s="121" t="n">
        <v>-4.65</v>
      </c>
      <c r="AT101" s="121" t="n">
        <v>-12.75</v>
      </c>
      <c r="AU101" s="121" t="n">
        <v>-1.77</v>
      </c>
      <c r="AV101" s="121" t="n">
        <v>9.32</v>
      </c>
      <c r="AW101" s="121" t="n">
        <v>13.55</v>
      </c>
      <c r="AX101" s="121" t="n">
        <v>31.41</v>
      </c>
      <c r="AY101" s="121" t="n">
        <v>6.77</v>
      </c>
      <c r="AZ101" s="121" t="n">
        <v>-22.04</v>
      </c>
      <c r="BA101" s="121" t="n">
        <v>-19.52</v>
      </c>
      <c r="BB101" s="108" t="inlineStr">
        <is>
          <t>HSTECH (Hang Seng TECH ETF)</t>
        </is>
      </c>
      <c r="BC101" s="121" t="n">
        <v>-84.06999999999999</v>
      </c>
      <c r="BD101" s="109" t="n">
        <v>46297</v>
      </c>
      <c r="BE101" s="110" t="n">
        <v>54592</v>
      </c>
      <c r="BF101" s="113" t="n">
        <v>-308</v>
      </c>
      <c r="BG101" s="108" t="inlineStr">
        <is>
          <t>N</t>
        </is>
      </c>
      <c r="BH101" s="108" t="inlineStr">
        <is>
          <t>n/m</t>
        </is>
      </c>
      <c r="BI101" s="122" t="n"/>
      <c r="BJ101" s="123" t="n">
        <v>14.5</v>
      </c>
      <c r="BK101" s="123" t="n">
        <v>0.4</v>
      </c>
      <c r="BL101" s="124">
        <f>IF('BBG Verify'!S101="","not filed; run on terminal",'BBG Verify'!S101)</f>
        <v/>
      </c>
      <c r="BM101" s="125" t="inlineStr">
        <is>
          <t>N</t>
        </is>
      </c>
      <c r="BN101" s="126">
        <f>IF('BBG Verify'!K101="","not filed; run on terminal",'BBG Verify'!K101)</f>
        <v/>
      </c>
      <c r="BO101" s="108" t="inlineStr">
        <is>
          <t>N/A</t>
        </is>
      </c>
      <c r="BP101" s="108" t="inlineStr">
        <is>
          <t>N/A</t>
        </is>
      </c>
      <c r="BQ101" s="108" t="inlineStr">
        <is>
          <t>N/A</t>
        </is>
      </c>
      <c r="BR101" s="108" t="inlineStr">
        <is>
          <t>N/A</t>
        </is>
      </c>
      <c r="BS101" s="108" t="inlineStr">
        <is>
          <t>N/A</t>
        </is>
      </c>
      <c r="BT101" s="108" t="inlineStr">
        <is>
          <t>N/A</t>
        </is>
      </c>
      <c r="BU101" s="125" t="inlineStr">
        <is>
          <t>China International Capital Corporation Hong Kong Securities Limited; Citigroup Global Markets Asia Limited; China Renaissance Securities (Hong Kong) Limited</t>
        </is>
      </c>
      <c r="BV101" s="108" t="inlineStr">
        <is>
          <t>China International Capital Corporation Hong Kong Securities Limited; China Renaissance Securities (Hong Kong) Limited; Citigroup Global Markets Asia Limited</t>
        </is>
      </c>
      <c r="BW101" s="108" t="inlineStr">
        <is>
          <t>China International Capital Corporation Hong Kong Securities Limited; Citigroup Global Markets Asia Limited; China Renaissance Securities (Hong Kong) Limited; The Hongkong and Shanghai Banking Corporation Limited; Haitong International Securities Company Limited; SPDB International Capital Limited; Citigroup Global Markets Limited; BOCOM International Securities Limited; BOCI Asia Limited; CCB International Capital Limited; ABCI CAPITAL LIMITED</t>
        </is>
      </c>
      <c r="BX101" s="108" t="inlineStr">
        <is>
          <t>ABCI Securities Company Limited; Beta International Securities Limited; BOCI Asia Limited; CCB International Capital Limited; Citigroup Global Markets Asia Limited; China International Capital Corporation Hong Kong Securities Limited; CMB International Capital Limited; China Renaissance Securities (Hong Kong) Limited; Futu Securities International (Hong Kong) Limited; Head &amp; Shoulders Securities Limited; Haitong International Securities Company Limited; The Hongkong and Shanghai Banking Corporation Limited</t>
        </is>
      </c>
      <c r="BY101" s="127">
        <f>HYPERLINK("https://www1.hkexnews.hk/listedco/listconews/sehk/2022/0131/2022013100005.pdf","prospectus")</f>
        <v/>
      </c>
      <c r="BZ101" s="127">
        <f>HYPERLINK("https://www1.hkexnews.hk/listedco/listconews/sehk/2022/0217/2022021700014.htm","allotment")</f>
        <v/>
      </c>
      <c r="CA101" s="127">
        <f>HYPERLINK("https://www1.hkexnews.hk/listedco/listconews/sehk/2022/0313/2022031300003.pdf","stabilisation")</f>
        <v/>
      </c>
      <c r="CB101" s="128" t="n"/>
      <c r="CC101" s="108" t="inlineStr">
        <is>
          <t>P/E: loss-making at IPO, use P/S; cornerstone: % from the prospectus; AAStocks table includes non-cornerstone orders; allocation: allocation table not in this notice's format (older prose announcement); day-1 tape: volume on file; the retail multiple needs the final public split, which this notice does not state</t>
        </is>
      </c>
    </row>
    <row r="102" ht="22" customHeight="1">
      <c r="A102" s="107" t="inlineStr">
        <is>
          <t>1406</t>
        </is>
      </c>
      <c r="B102" s="108" t="inlineStr">
        <is>
          <t>CLARITY MEDICAL</t>
        </is>
      </c>
      <c r="C102" s="108" t="inlineStr">
        <is>
          <t>清晰醫療</t>
        </is>
      </c>
      <c r="D102" s="108" t="inlineStr">
        <is>
          <t>Healthcare</t>
        </is>
      </c>
      <c r="E102" s="108" t="inlineStr">
        <is>
          <t>Hospitals / clinics</t>
        </is>
      </c>
      <c r="F102" s="108" t="inlineStr">
        <is>
          <t>Health Care Services</t>
        </is>
      </c>
      <c r="G102" s="108" t="inlineStr">
        <is>
          <t>Standard</t>
        </is>
      </c>
      <c r="H102" s="109" t="n">
        <v>44610</v>
      </c>
      <c r="I102" s="110" t="n">
        <v>217.6</v>
      </c>
      <c r="J102" s="108" t="inlineStr">
        <is>
          <t>gross (price x shares)</t>
        </is>
      </c>
      <c r="K102" s="111" t="n">
        <v>1.6</v>
      </c>
      <c r="L102" s="111" t="n">
        <v>3</v>
      </c>
      <c r="M102" s="111" t="n">
        <v>1.6</v>
      </c>
      <c r="N102" s="108" t="inlineStr">
        <is>
          <t>N</t>
        </is>
      </c>
      <c r="O102" s="112" t="n">
        <v>53.3</v>
      </c>
      <c r="P102" s="112" t="n">
        <v>0</v>
      </c>
      <c r="Q102" s="113" t="n">
        <v>1173.3</v>
      </c>
      <c r="R102" s="108" t="inlineStr">
        <is>
          <t>aastocks:上市市值 at the struck price</t>
        </is>
      </c>
      <c r="S102" s="114" t="n">
        <v>6.17</v>
      </c>
      <c r="T102" s="115" t="n">
        <v>1.13</v>
      </c>
      <c r="U102" s="116" t="n">
        <v>0</v>
      </c>
      <c r="V102" s="117" t="n">
        <v>187</v>
      </c>
      <c r="W102" s="118" t="n"/>
      <c r="X102" s="119" t="n"/>
      <c r="Y102" s="113" t="n">
        <v>217.6</v>
      </c>
      <c r="Z102" s="113" t="n">
        <v>136000000</v>
      </c>
      <c r="AA102" s="112" t="n">
        <v>18.55</v>
      </c>
      <c r="AB102" s="108" t="inlineStr">
        <is>
          <t>none — no cornerstone tranche</t>
        </is>
      </c>
      <c r="AC102" s="108" t="inlineStr">
        <is>
          <t>none</t>
        </is>
      </c>
      <c r="AD102" s="112" t="n">
        <v>5.63</v>
      </c>
      <c r="AE102" s="108" t="inlineStr">
        <is>
          <t>lapsed</t>
        </is>
      </c>
      <c r="AF102" s="108" t="inlineStr">
        <is>
          <t>2022-03-12</t>
        </is>
      </c>
      <c r="AG102" s="108" t="inlineStr">
        <is>
          <t>China Everbright Securities</t>
        </is>
      </c>
      <c r="AH102" s="108" t="inlineStr">
        <is>
          <t>China Everbright</t>
        </is>
      </c>
      <c r="AI102" s="120" t="n">
        <v>0</v>
      </c>
      <c r="AJ102" s="121" t="n">
        <v>-3.75</v>
      </c>
      <c r="AK102" s="121" t="n">
        <v>0.35</v>
      </c>
      <c r="AL102" s="121" t="n">
        <v>-0.62</v>
      </c>
      <c r="AM102" s="121" t="n">
        <v>-3.15</v>
      </c>
      <c r="AN102" s="122" t="n"/>
      <c r="AO102" s="112" t="n">
        <v>9.43</v>
      </c>
      <c r="AP102" s="121" t="n">
        <v>-10</v>
      </c>
      <c r="AQ102" s="121" t="n">
        <v>-15</v>
      </c>
      <c r="AR102" s="121" t="n">
        <v>-27.5</v>
      </c>
      <c r="AS102" s="121" t="n">
        <v>-6.49</v>
      </c>
      <c r="AT102" s="121" t="n">
        <v>-11.69</v>
      </c>
      <c r="AU102" s="121" t="n">
        <v>-24.68</v>
      </c>
      <c r="AV102" s="121" t="n">
        <v>-10.67</v>
      </c>
      <c r="AW102" s="121" t="n">
        <v>-11.11</v>
      </c>
      <c r="AX102" s="121" t="n">
        <v>-7.91</v>
      </c>
      <c r="AY102" s="121" t="n">
        <v>-7.47</v>
      </c>
      <c r="AZ102" s="121" t="n">
        <v>-3.89</v>
      </c>
      <c r="BA102" s="121" t="n">
        <v>-4.22</v>
      </c>
      <c r="BB102" s="108" t="inlineStr">
        <is>
          <t>China Biotech ETF (HS biotech proxy)</t>
        </is>
      </c>
      <c r="BC102" s="121" t="n">
        <v>-77.81</v>
      </c>
      <c r="BD102" s="109" t="n">
        <v>45761</v>
      </c>
      <c r="BE102" s="110" t="n">
        <v>222.4</v>
      </c>
      <c r="BF102" s="113" t="n">
        <v>30</v>
      </c>
      <c r="BG102" s="108" t="inlineStr">
        <is>
          <t>Y</t>
        </is>
      </c>
      <c r="BH102" s="123" t="n">
        <v>39.1</v>
      </c>
      <c r="BI102" s="122" t="n"/>
      <c r="BJ102" s="122" t="n"/>
      <c r="BK102" s="123" t="n">
        <v>5.3</v>
      </c>
      <c r="BL102" s="124">
        <f>IF('BBG Verify'!S102="","not filed; run on terminal",'BBG Verify'!S102)</f>
        <v/>
      </c>
      <c r="BM102" s="125" t="inlineStr">
        <is>
          <t>N</t>
        </is>
      </c>
      <c r="BN102" s="126">
        <f>IF('BBG Verify'!K102="","not filed; run on terminal",'BBG Verify'!K102)</f>
        <v/>
      </c>
      <c r="BO102" s="108" t="inlineStr">
        <is>
          <t>N/A</t>
        </is>
      </c>
      <c r="BP102" s="108" t="inlineStr">
        <is>
          <t>N/A</t>
        </is>
      </c>
      <c r="BQ102" s="108" t="inlineStr">
        <is>
          <t>N/A</t>
        </is>
      </c>
      <c r="BR102" s="108" t="inlineStr">
        <is>
          <t>N/A</t>
        </is>
      </c>
      <c r="BS102" s="108" t="inlineStr">
        <is>
          <t>N/A</t>
        </is>
      </c>
      <c r="BT102" s="108" t="inlineStr">
        <is>
          <t>N/A</t>
        </is>
      </c>
      <c r="BU102" s="125" t="inlineStr">
        <is>
          <t>China Everbright Capital Limited; China Eve rbright Securities (HK) Limited; Zhongtai International Securities Limited</t>
        </is>
      </c>
      <c r="BV102" s="108" t="inlineStr">
        <is>
          <t>China Everbright Capital Limited</t>
        </is>
      </c>
      <c r="BW102" s="108" t="inlineStr">
        <is>
          <t>China Everbright Securities (HK) Limited; CMB International Capital Limited; Zhongtai International Securities Limited; ABCI Capital Limited; Bradbury Securities Limited; CMBC Securities Company Limited; First Shanghai Securities Limited; Futu Securities International (Hong Kong) Limited; Guotai Junan Securities (Hong Kong) Limited; Shenwan Hongyuan Securities (H.K.) Limited</t>
        </is>
      </c>
      <c r="BX102" s="108" t="inlineStr">
        <is>
          <t>ABCI Securities Company Limited; Bradbury Securities Limited; Beta International Securities Limited; China Everbright Securities (HK) Limited; CMBC Securities Company Limited; CMB International Capital Corporation Limited; Chuenman Securities Limited; First Shanghai Securities Limited; Futu Securities International (Hong Kong) Limited; Guotai Junan Securities (Hong Kong) Limited; Shenwan Hongyuan Securities (H.K.) Limited; Valuable Capital Limited</t>
        </is>
      </c>
      <c r="BY102" s="127">
        <f>HYPERLINK("https://www1.hkexnews.hk/listedco/listconews/sehk/2022/0131/2022013100022.pdf","prospectus")</f>
        <v/>
      </c>
      <c r="BZ102" s="127">
        <f>HYPERLINK("https://www1.hkexnews.hk/listedco/listconews/sehk/2022/0217/2022021700028.htm","allotment")</f>
        <v/>
      </c>
      <c r="CA102" s="127">
        <f>HYPERLINK("https://www1.hkexnews.hk/listedco/listconews/sehk/2022/0314/2022031400039.pdf","stabilisation")</f>
        <v/>
      </c>
      <c r="CB102" s="128" t="n"/>
      <c r="CC102" s="108" t="inlineStr">
        <is>
          <t>market cap: published listing cap used; the estimate from deal size / offer % of enlarged capital disagreed; cornerstone list: no cornerstone tranche; price series: last available quoted close 2025-04-14; may be suspended, delisted or a source gap; price and benchmark end on that date; allocation: allocation table not in this notice's format (older prose announcement); day-1 tape: volume on file; the retail multiple needs the final public split, which this notice does not state</t>
        </is>
      </c>
    </row>
    <row r="103" ht="22" customHeight="1">
      <c r="A103" s="107" t="inlineStr">
        <is>
          <t>2157</t>
        </is>
      </c>
      <c r="B103" s="108" t="inlineStr">
        <is>
          <t>LEPU BIO-B</t>
        </is>
      </c>
      <c r="C103" s="108" t="inlineStr">
        <is>
          <t>樂普生物</t>
        </is>
      </c>
      <c r="D103" s="108" t="inlineStr">
        <is>
          <t>Healthcare</t>
        </is>
      </c>
      <c r="E103" s="108" t="inlineStr">
        <is>
          <t>Biotech pre-revenue (18A)</t>
        </is>
      </c>
      <c r="F103" s="108" t="inlineStr">
        <is>
          <t>Biotechnology</t>
        </is>
      </c>
      <c r="G103" s="108" t="inlineStr">
        <is>
          <t>18A</t>
        </is>
      </c>
      <c r="H103" s="109" t="n">
        <v>44615</v>
      </c>
      <c r="I103" s="110" t="n">
        <v>904.6</v>
      </c>
      <c r="J103" s="108" t="inlineStr">
        <is>
          <t>gross (price x shares)</t>
        </is>
      </c>
      <c r="K103" s="111" t="n">
        <v>6.87</v>
      </c>
      <c r="L103" s="111" t="n">
        <v>7.38</v>
      </c>
      <c r="M103" s="111" t="n">
        <v>7.13</v>
      </c>
      <c r="N103" s="108" t="inlineStr">
        <is>
          <t>N</t>
        </is>
      </c>
      <c r="O103" s="112" t="n">
        <v>96.59999999999999</v>
      </c>
      <c r="P103" s="112" t="n">
        <v>51</v>
      </c>
      <c r="Q103" s="113" t="n">
        <v>11008</v>
      </c>
      <c r="R103" s="108" t="inlineStr">
        <is>
          <t>prospectus:stated market capitalisation, rescaled to the offer price</t>
        </is>
      </c>
      <c r="S103" s="114" t="n">
        <v>5.65</v>
      </c>
      <c r="T103" s="115" t="n">
        <v>1.53</v>
      </c>
      <c r="U103" s="116" t="n">
        <v>41.61</v>
      </c>
      <c r="V103" s="117" t="n">
        <v>132</v>
      </c>
      <c r="W103" s="118" t="n"/>
      <c r="X103" s="119" t="n"/>
      <c r="Y103" s="113" t="n">
        <v>528.2</v>
      </c>
      <c r="Z103" s="113" t="n">
        <v>74082896</v>
      </c>
      <c r="AA103" s="112" t="n">
        <v>4.8</v>
      </c>
      <c r="AB103" s="108" t="inlineStr">
        <is>
          <t>King Star; Vivo Capital</t>
        </is>
      </c>
      <c r="AC103" s="108" t="inlineStr">
        <is>
          <t>king;vivo</t>
        </is>
      </c>
      <c r="AD103" s="112" t="n">
        <v>8.699999999999999</v>
      </c>
      <c r="AE103" s="108" t="inlineStr">
        <is>
          <t>partial</t>
        </is>
      </c>
      <c r="AF103" s="108" t="inlineStr">
        <is>
          <t>2022-03-17</t>
        </is>
      </c>
      <c r="AG103" s="108" t="inlineStr">
        <is>
          <t>China International Capital Corporation Hong Kong Securities Limited</t>
        </is>
      </c>
      <c r="AH103" s="108" t="inlineStr">
        <is>
          <t>China International</t>
        </is>
      </c>
      <c r="AI103" s="120" t="n">
        <v>0.42</v>
      </c>
      <c r="AJ103" s="121" t="n">
        <v>0.14</v>
      </c>
      <c r="AK103" s="121" t="n">
        <v>1.59</v>
      </c>
      <c r="AL103" s="121" t="n">
        <v>0</v>
      </c>
      <c r="AM103" s="121" t="n">
        <v>0.14</v>
      </c>
      <c r="AN103" s="122" t="n"/>
      <c r="AO103" s="112" t="n">
        <v>8.98</v>
      </c>
      <c r="AP103" s="121" t="n">
        <v>0</v>
      </c>
      <c r="AQ103" s="121" t="n">
        <v>-7.43</v>
      </c>
      <c r="AR103" s="121" t="n">
        <v>-8.699999999999999</v>
      </c>
      <c r="AS103" s="121" t="n">
        <v>-0.14</v>
      </c>
      <c r="AT103" s="121" t="n">
        <v>-7.56</v>
      </c>
      <c r="AU103" s="121" t="n">
        <v>-8.83</v>
      </c>
      <c r="AV103" s="121" t="n">
        <v>-1.78</v>
      </c>
      <c r="AW103" s="121" t="n">
        <v>-11.67</v>
      </c>
      <c r="AX103" s="121" t="n">
        <v>8.51</v>
      </c>
      <c r="AY103" s="121" t="n">
        <v>-10.17</v>
      </c>
      <c r="AZ103" s="121" t="n">
        <v>4.24</v>
      </c>
      <c r="BA103" s="121" t="n">
        <v>2.61</v>
      </c>
      <c r="BB103" s="108" t="inlineStr">
        <is>
          <t>China Biotech ETF (HS biotech proxy)</t>
        </is>
      </c>
      <c r="BC103" s="121" t="n">
        <v>-43.27</v>
      </c>
      <c r="BD103" s="109" t="n">
        <v>46297</v>
      </c>
      <c r="BE103" s="110" t="n">
        <v>0</v>
      </c>
      <c r="BF103" s="113" t="n">
        <v>-674.7</v>
      </c>
      <c r="BG103" s="108" t="inlineStr">
        <is>
          <t>N</t>
        </is>
      </c>
      <c r="BH103" s="108" t="inlineStr">
        <is>
          <t>n/m</t>
        </is>
      </c>
      <c r="BI103" s="122" t="n"/>
      <c r="BJ103" s="123" t="n">
        <v>27.2</v>
      </c>
      <c r="BK103" s="108" t="inlineStr">
        <is>
          <t>pre-rev</t>
        </is>
      </c>
      <c r="BL103" s="124">
        <f>IF('BBG Verify'!S103="","not filed; run on terminal",'BBG Verify'!S103)</f>
        <v/>
      </c>
      <c r="BM103" s="125" t="inlineStr">
        <is>
          <t>N</t>
        </is>
      </c>
      <c r="BN103" s="126">
        <f>IF('BBG Verify'!K103="","not filed; run on terminal",'BBG Verify'!K103)</f>
        <v/>
      </c>
      <c r="BO103" s="108" t="inlineStr">
        <is>
          <t>N/A</t>
        </is>
      </c>
      <c r="BP103" s="108" t="inlineStr">
        <is>
          <t>N/A</t>
        </is>
      </c>
      <c r="BQ103" s="108" t="inlineStr">
        <is>
          <t>N/A</t>
        </is>
      </c>
      <c r="BR103" s="108" t="inlineStr">
        <is>
          <t>N/A</t>
        </is>
      </c>
      <c r="BS103" s="108" t="inlineStr">
        <is>
          <t>N/A</t>
        </is>
      </c>
      <c r="BT103" s="108" t="inlineStr">
        <is>
          <t>N/A</t>
        </is>
      </c>
      <c r="BU103" s="125" t="inlineStr">
        <is>
          <t>China International Capital Corporation Hong Kong Securities Limited; Morgan Stanley Asia Limited</t>
        </is>
      </c>
      <c r="BV103" s="108" t="inlineStr">
        <is>
          <t>China International Capital Corporation Hong Kong Securities Limited; Morgan Stanley Asia Limited</t>
        </is>
      </c>
      <c r="BW103" s="108" t="inlineStr">
        <is>
          <t>China International Capital Corporation Hong Kong Securities Limited; Morgan Stanley Asia Limited; Morgan Stanley &amp; Co. International plc; Huatai Financial Holdings (Hong Kong) Limited; China Galaxy International Securities (Hong Kong) Co., Limited; Valuable Capital Limited</t>
        </is>
      </c>
      <c r="BX103" s="108" t="inlineStr">
        <is>
          <t>China Galaxy International Securities (Hong Kong) Company Limited; China International Capital Corporation Hong Kong Securities Limited; Huatai Financial Holdings (Hong Kong) Limited; Haitong International Securities Company Limited; Morgan Stanley Asia Limited; Tiger Brokers (HK) Global Limited; Valuable Capital Limited</t>
        </is>
      </c>
      <c r="BY103" s="127">
        <f>HYPERLINK("https://www1.hkexnews.hk/listedco/listconews/sehk/2022/0210/2022021000013.pdf","prospectus")</f>
        <v/>
      </c>
      <c r="BZ103" s="127">
        <f>HYPERLINK("https://www1.hkexnews.hk/listedco/listconews/sehk/2022/0222/2022022200012.htm","allotment")</f>
        <v/>
      </c>
      <c r="CA103" s="127">
        <f>HYPERLINK("https://www1.hkexnews.hk/listedco/listconews/sehk/2022/0317/2022031702152.pdf","stabilisation")</f>
        <v/>
      </c>
      <c r="CB103" s="128" t="n"/>
      <c r="CC103" s="108" t="inlineStr">
        <is>
          <t>P/E: loss-making at IPO, use P/S; market cap: prospectus cap HK$11,394m at HK$7.38, rescaled to HK$7.13; P/S: pre-revenue issuer, no sales multiple; deal size: stated gross HK$36.2m rejected, below the net proceeds of HK$804.2m; allocation: allocation table not in this notice's format (older prose announcement); day-1 tape: volume on file; the retail multiple needs the final public split, which this notice does not state</t>
        </is>
      </c>
    </row>
    <row r="104" ht="22" customHeight="1">
      <c r="A104" s="107" t="inlineStr">
        <is>
          <t>6639</t>
        </is>
      </c>
      <c r="B104" s="108" t="inlineStr">
        <is>
          <t>ARRAIL GROUP</t>
        </is>
      </c>
      <c r="C104" s="108" t="inlineStr">
        <is>
          <t>瑞爾集團</t>
        </is>
      </c>
      <c r="D104" s="108" t="inlineStr">
        <is>
          <t>Healthcare</t>
        </is>
      </c>
      <c r="E104" s="108" t="inlineStr">
        <is>
          <t>Hospitals / clinics</t>
        </is>
      </c>
      <c r="F104" s="108" t="inlineStr">
        <is>
          <t>Health Care Services</t>
        </is>
      </c>
      <c r="G104" s="108" t="inlineStr">
        <is>
          <t>Standard</t>
        </is>
      </c>
      <c r="H104" s="109" t="n">
        <v>44642</v>
      </c>
      <c r="I104" s="110" t="n">
        <v>680.2</v>
      </c>
      <c r="J104" s="108" t="inlineStr">
        <is>
          <t>gross (price x shares)</t>
        </is>
      </c>
      <c r="K104" s="129" t="n"/>
      <c r="L104" s="111" t="n">
        <v>14.62</v>
      </c>
      <c r="M104" s="111" t="n">
        <v>14.62</v>
      </c>
      <c r="N104" s="108" t="inlineStr">
        <is>
          <t>Y</t>
        </is>
      </c>
      <c r="O104" s="112" t="n">
        <v>100</v>
      </c>
      <c r="P104" s="118" t="n"/>
      <c r="Q104" s="113" t="n">
        <v>7474.7</v>
      </c>
      <c r="R104" s="108" t="inlineStr">
        <is>
          <t>derived:deal size / offer % of enlarged capital</t>
        </is>
      </c>
      <c r="S104" s="114" t="n">
        <v>1.74</v>
      </c>
      <c r="T104" s="115" t="n">
        <v>1.62</v>
      </c>
      <c r="U104" s="116" t="n">
        <v>31.9</v>
      </c>
      <c r="V104" s="117" t="n">
        <v>121</v>
      </c>
      <c r="W104" s="118" t="n"/>
      <c r="X104" s="119" t="n"/>
      <c r="Y104" s="113" t="n">
        <v>463.22</v>
      </c>
      <c r="Z104" s="113" t="n">
        <v>31685228</v>
      </c>
      <c r="AA104" s="112" t="n">
        <v>6.2</v>
      </c>
      <c r="AB104" s="108" t="inlineStr">
        <is>
          <t>Abax Asian Structured Private Credit Fund III, LP; Harvest International Premium Value (Secondary Market) Fund SPC; Hudson Bay Master Fund Ltd; OrbiMed Genesis Master Fund, L.P; Top Vast (Hong Kong) Limited</t>
        </is>
      </c>
      <c r="AC104" s="108" t="inlineStr">
        <is>
          <t>abax;harvest;hudson;orbimed;top</t>
        </is>
      </c>
      <c r="AD104" s="112" t="n">
        <v>10.92</v>
      </c>
      <c r="AE104" s="108" t="inlineStr">
        <is>
          <t>lapsed</t>
        </is>
      </c>
      <c r="AF104" s="108" t="inlineStr">
        <is>
          <t>2022-04-13</t>
        </is>
      </c>
      <c r="AG104" s="108" t="inlineStr">
        <is>
          <t>Morgan Stanley Asia Limited</t>
        </is>
      </c>
      <c r="AH104" s="108" t="inlineStr">
        <is>
          <t>Morgan Stanley</t>
        </is>
      </c>
      <c r="AI104" s="120" t="n">
        <v>-5.34</v>
      </c>
      <c r="AJ104" s="121" t="n">
        <v>-5.61</v>
      </c>
      <c r="AK104" s="121" t="n">
        <v>-0.8100000000000001</v>
      </c>
      <c r="AL104" s="121" t="n">
        <v>-0.14</v>
      </c>
      <c r="AM104" s="121" t="n">
        <v>-5.48</v>
      </c>
      <c r="AN104" s="122" t="n"/>
      <c r="AO104" s="112" t="n">
        <v>11.1</v>
      </c>
      <c r="AP104" s="121" t="n">
        <v>-1.5</v>
      </c>
      <c r="AQ104" s="121" t="n">
        <v>-20.52</v>
      </c>
      <c r="AR104" s="121" t="n">
        <v>-19.56</v>
      </c>
      <c r="AS104" s="121" t="n">
        <v>4.35</v>
      </c>
      <c r="AT104" s="121" t="n">
        <v>-15.8</v>
      </c>
      <c r="AU104" s="121" t="n">
        <v>-14.78</v>
      </c>
      <c r="AV104" s="121" t="n">
        <v>-3.3</v>
      </c>
      <c r="AW104" s="121" t="n">
        <v>-5.59</v>
      </c>
      <c r="AX104" s="121" t="n">
        <v>-18.89</v>
      </c>
      <c r="AY104" s="121" t="n">
        <v>-1.57</v>
      </c>
      <c r="AZ104" s="121" t="n">
        <v>-14.93</v>
      </c>
      <c r="BA104" s="121" t="n">
        <v>-14.23</v>
      </c>
      <c r="BB104" s="108" t="inlineStr">
        <is>
          <t>China Biotech ETF (HS biotech proxy)</t>
        </is>
      </c>
      <c r="BC104" s="121" t="n">
        <v>-87.48</v>
      </c>
      <c r="BD104" s="109" t="n">
        <v>45989</v>
      </c>
      <c r="BE104" s="110" t="n">
        <v>1666.6</v>
      </c>
      <c r="BF104" s="113" t="n">
        <v>-657.5</v>
      </c>
      <c r="BG104" s="108" t="inlineStr">
        <is>
          <t>N</t>
        </is>
      </c>
      <c r="BH104" s="108" t="inlineStr">
        <is>
          <t>n/m</t>
        </is>
      </c>
      <c r="BI104" s="122" t="n"/>
      <c r="BJ104" s="123" t="n">
        <v>25.6</v>
      </c>
      <c r="BK104" s="123" t="n">
        <v>4.5</v>
      </c>
      <c r="BL104" s="124">
        <f>IF('BBG Verify'!S104="","not filed; run on terminal",'BBG Verify'!S104)</f>
        <v/>
      </c>
      <c r="BM104" s="125" t="inlineStr">
        <is>
          <t>N</t>
        </is>
      </c>
      <c r="BN104" s="126">
        <f>IF('BBG Verify'!K104="","not filed; run on terminal",'BBG Verify'!K104)</f>
        <v/>
      </c>
      <c r="BO104" s="108" t="inlineStr">
        <is>
          <t>N/A</t>
        </is>
      </c>
      <c r="BP104" s="108" t="inlineStr">
        <is>
          <t>N/A</t>
        </is>
      </c>
      <c r="BQ104" s="108" t="inlineStr">
        <is>
          <t>N/A</t>
        </is>
      </c>
      <c r="BR104" s="108" t="inlineStr">
        <is>
          <t>N/A</t>
        </is>
      </c>
      <c r="BS104" s="108" t="inlineStr">
        <is>
          <t>N/A</t>
        </is>
      </c>
      <c r="BT104" s="108" t="inlineStr">
        <is>
          <t>N/A</t>
        </is>
      </c>
      <c r="BU104" s="125" t="inlineStr">
        <is>
          <t>Morgan Stanley Asia Limited; UBS Securities Hong Kong Limited</t>
        </is>
      </c>
      <c r="BV104" s="108" t="inlineStr">
        <is>
          <t>Morgan Stanley Asia Limited; UBS Securities Hong Kong Limited</t>
        </is>
      </c>
      <c r="BW104" s="108" t="inlineStr">
        <is>
          <t>Morgan Stanley Asia Limited; UBS AG Hong Kong Branch; China International Capital Corporation Hong Kong Securities Limited; Haitong International Securities Company Limited</t>
        </is>
      </c>
      <c r="BX104" s="108" t="inlineStr">
        <is>
          <t>China International Capital Corporation Hong Kong Securities Limited; CMB International Capital Limited; Futu Securities International (Hong Kong) Limited; Haitong International Securities Company Limited; The Hongkong and Shanghai Banking Corporation Limited; Morgan Stanley Asia Limited; UBS AG Hong Kong Branch</t>
        </is>
      </c>
      <c r="BY104" s="127">
        <f>HYPERLINK("https://www1.hkexnews.hk/listedco/listconews/sehk/2022/0309/2022030900091.pdf","prospectus")</f>
        <v/>
      </c>
      <c r="BZ104" s="127">
        <f>HYPERLINK("https://www1.hkexnews.hk/listedco/listconews/sehk/2022/0321/2022032100094.htm","allotment")</f>
        <v/>
      </c>
      <c r="CA104" s="127">
        <f>HYPERLINK("https://www1.hkexnews.hk/listedco/listconews/sehk/2022/0413/2022041301532.pdf","stabilisation")</f>
        <v/>
      </c>
      <c r="CB104" s="128" t="n"/>
      <c r="CC104" s="108" t="inlineStr">
        <is>
          <t>P/E: loss-making at IPO, use P/S; range low: maximum offer price only, no floor published; cornerstone: % from the prospectus; AAStocks table includes non-cornerstone orders; price series: last available quoted close 2025-11-28; may be suspended, delisted or a source gap; price and benchmark end on that date; allocation: allocation table not in this notice's format (older prose announcement); day-1 tape: volume on file; the retail multiple needs the final public split, which this notice does not state</t>
        </is>
      </c>
    </row>
    <row r="105" ht="22" customHeight="1">
      <c r="A105" s="107" t="inlineStr">
        <is>
          <t>9638</t>
        </is>
      </c>
      <c r="B105" s="108" t="inlineStr">
        <is>
          <t>FERRETTI</t>
        </is>
      </c>
      <c r="C105" s="108" t="inlineStr">
        <is>
          <t>法拉帝</t>
        </is>
      </c>
      <c r="D105" s="108" t="inlineStr">
        <is>
          <t>Consumer</t>
        </is>
      </c>
      <c r="E105" s="108" t="inlineStr">
        <is>
          <t>Apparel / luxury</t>
        </is>
      </c>
      <c r="F105" s="108" t="inlineStr">
        <is>
          <t>Leisure Products</t>
        </is>
      </c>
      <c r="G105" s="108" t="inlineStr">
        <is>
          <t>Standard</t>
        </is>
      </c>
      <c r="H105" s="109" t="n">
        <v>44651</v>
      </c>
      <c r="I105" s="110" t="n">
        <v>1912.3</v>
      </c>
      <c r="J105" s="108" t="inlineStr">
        <is>
          <t>gross (price x shares)</t>
        </is>
      </c>
      <c r="K105" s="111" t="n">
        <v>21.82</v>
      </c>
      <c r="L105" s="111" t="n">
        <v>28.24</v>
      </c>
      <c r="M105" s="111" t="n">
        <v>22.88</v>
      </c>
      <c r="N105" s="108" t="inlineStr">
        <is>
          <t>N</t>
        </is>
      </c>
      <c r="O105" s="112" t="n">
        <v>81</v>
      </c>
      <c r="P105" s="112" t="n">
        <v>16.5</v>
      </c>
      <c r="Q105" s="113" t="n">
        <v>9146.299999999999</v>
      </c>
      <c r="R105" s="108" t="inlineStr">
        <is>
          <t>aastocks:上市市值 at the struck price</t>
        </is>
      </c>
      <c r="S105" s="114" t="n">
        <v>1.07</v>
      </c>
      <c r="T105" s="115" t="n">
        <v>2.06</v>
      </c>
      <c r="U105" s="116" t="n">
        <v>53.02</v>
      </c>
      <c r="V105" s="117" t="n">
        <v>125</v>
      </c>
      <c r="W105" s="118" t="n"/>
      <c r="X105" s="119" t="n"/>
      <c r="Y105" s="113" t="n">
        <v>898.4</v>
      </c>
      <c r="Z105" s="113" t="n">
        <v>39265884</v>
      </c>
      <c r="AA105" s="112" t="n">
        <v>9.82</v>
      </c>
      <c r="AB105" s="108" t="inlineStr">
        <is>
          <t>Hainan Financial Holdings Co., Ltd; Hainan Free Trade Port Construction Investment Fund Co., Ltd; Qingdao Haifa Holding Development Co., Ltd; Sanya Development Holdings Co., Ltd; Sunshine Life Insurance Corporation Limited</t>
        </is>
      </c>
      <c r="AC105" s="108" t="inlineStr">
        <is>
          <t>hainan;qingdao;sanya;sunshine</t>
        </is>
      </c>
      <c r="AD105" s="112" t="n">
        <v>15</v>
      </c>
      <c r="AE105" s="108" t="inlineStr">
        <is>
          <t>partial</t>
        </is>
      </c>
      <c r="AF105" s="108" t="inlineStr">
        <is>
          <t>2022-04-24</t>
        </is>
      </c>
      <c r="AG105" s="119" t="n"/>
      <c r="AH105" s="119" t="n"/>
      <c r="AI105" s="120" t="n">
        <v>1.18</v>
      </c>
      <c r="AJ105" s="121" t="n">
        <v>-0.13</v>
      </c>
      <c r="AK105" s="121" t="n">
        <v>-1.95</v>
      </c>
      <c r="AL105" s="121" t="n">
        <v>0.74</v>
      </c>
      <c r="AM105" s="121" t="n">
        <v>-0.86</v>
      </c>
      <c r="AN105" s="122" t="n"/>
      <c r="AO105" s="112" t="n">
        <v>3.9</v>
      </c>
      <c r="AP105" s="121" t="n">
        <v>-0.13</v>
      </c>
      <c r="AQ105" s="121" t="n">
        <v>9.27</v>
      </c>
      <c r="AR105" s="121" t="n">
        <v>-13.11</v>
      </c>
      <c r="AS105" s="121" t="n">
        <v>0</v>
      </c>
      <c r="AT105" s="121" t="n">
        <v>9.41</v>
      </c>
      <c r="AU105" s="121" t="n">
        <v>-13</v>
      </c>
      <c r="AV105" s="121" t="n">
        <v>4.09</v>
      </c>
      <c r="AW105" s="121" t="n">
        <v>16.35</v>
      </c>
      <c r="AX105" s="121" t="n">
        <v>-13.58</v>
      </c>
      <c r="AY105" s="121" t="n">
        <v>14.64</v>
      </c>
      <c r="AZ105" s="121" t="n">
        <v>-7.08</v>
      </c>
      <c r="BA105" s="121" t="n">
        <v>-5.23</v>
      </c>
      <c r="BB105" s="108" t="inlineStr">
        <is>
          <t>Hang Seng Commerce &amp; Industry sub-index</t>
        </is>
      </c>
      <c r="BC105" s="121" t="n">
        <v>55.94</v>
      </c>
      <c r="BD105" s="109" t="n">
        <v>46297</v>
      </c>
      <c r="BE105" s="132" t="n"/>
      <c r="BF105" s="131" t="n"/>
      <c r="BG105" s="119" t="n"/>
      <c r="BH105" s="123" t="n">
        <v>18</v>
      </c>
      <c r="BI105" s="123" t="n">
        <v>18</v>
      </c>
      <c r="BJ105" s="123" t="n">
        <v>16</v>
      </c>
      <c r="BK105" s="122" t="n"/>
      <c r="BL105" s="124">
        <f>IF('BBG Verify'!S105="","not filed; run on terminal",'BBG Verify'!S105)</f>
        <v/>
      </c>
      <c r="BM105" s="125" t="inlineStr">
        <is>
          <t>N</t>
        </is>
      </c>
      <c r="BN105" s="126">
        <f>IF('BBG Verify'!K105="","not filed; run on terminal",'BBG Verify'!K105)</f>
        <v/>
      </c>
      <c r="BO105" s="108" t="inlineStr">
        <is>
          <t>N/A</t>
        </is>
      </c>
      <c r="BP105" s="108" t="inlineStr">
        <is>
          <t>N/A</t>
        </is>
      </c>
      <c r="BQ105" s="108" t="inlineStr">
        <is>
          <t>N/A</t>
        </is>
      </c>
      <c r="BR105" s="108" t="inlineStr">
        <is>
          <t>N/A</t>
        </is>
      </c>
      <c r="BS105" s="108" t="inlineStr">
        <is>
          <t>N/A</t>
        </is>
      </c>
      <c r="BT105" s="108" t="inlineStr">
        <is>
          <t>N/A</t>
        </is>
      </c>
      <c r="BU105" s="125" t="inlineStr">
        <is>
          <t>China International Capital Corporation Hong Kong Securities Limited</t>
        </is>
      </c>
      <c r="BV105" s="108" t="inlineStr">
        <is>
          <t>China International Capital Corporation Hong Kong Securities Limited</t>
        </is>
      </c>
      <c r="BW105" s="108" t="inlineStr">
        <is>
          <t>China International Capital Corporation Hong Kong Securities Limited; BNP Paribas Securities (Asia) Limited; Zhongtai International Securities Limited</t>
        </is>
      </c>
      <c r="BX105" s="108" t="inlineStr">
        <is>
          <t>BNP Paribas Securities (Asia) Limited; China International Capital Corporation Hong Kong Securities Limited; Zhongtai International Securities Limited</t>
        </is>
      </c>
      <c r="BY105" s="127">
        <f>HYPERLINK("https://www1.hkexnews.hk/listedco/listconews/sehk/2022/0322/2022032200013.pdf","prospectus")</f>
        <v/>
      </c>
      <c r="BZ105" s="127">
        <f>HYPERLINK("https://www1.hkexnews.hk/listedco/listconews/sehk/2022/0330/2022033000050.htm","allotment")</f>
        <v/>
      </c>
      <c r="CA105" s="127">
        <f>HYPERLINK("https://www1.hkexnews.hk/listedco/listconews/sehk/2022/0424/2022042400017.pdf","stabilisation")</f>
        <v/>
      </c>
      <c r="CB105" s="128" t="n"/>
      <c r="CC105" s="108" t="inlineStr">
        <is>
          <t>P/E: Bloomberg trailing-12m basis (prospectus-year multiple not derivable); P/S: revenue not extractable; stabilising manager: not named in the allotment notice or prospectus glossary; financials: not extractable; pre-IPO year outside the AAStocks window; allocation: allocation table not in this notice's format (older prose announcement); day-1 tape: volume on file; the retail multiple needs the final public split, which this notice does not state</t>
        </is>
      </c>
    </row>
    <row r="106" ht="22" customHeight="1">
      <c r="A106" s="107" t="inlineStr">
        <is>
          <t>2179</t>
        </is>
      </c>
      <c r="B106" s="108" t="inlineStr">
        <is>
          <t>RECBIO-B</t>
        </is>
      </c>
      <c r="C106" s="108" t="inlineStr">
        <is>
          <t>瑞科生物－Ｂ</t>
        </is>
      </c>
      <c r="D106" s="108" t="inlineStr">
        <is>
          <t>Healthcare</t>
        </is>
      </c>
      <c r="E106" s="108" t="inlineStr">
        <is>
          <t>Biotech pre-revenue (18A)</t>
        </is>
      </c>
      <c r="F106" s="108" t="inlineStr">
        <is>
          <t>Biotechnology</t>
        </is>
      </c>
      <c r="G106" s="108" t="inlineStr">
        <is>
          <t>18A</t>
        </is>
      </c>
      <c r="H106" s="109" t="n">
        <v>44651</v>
      </c>
      <c r="I106" s="110" t="n">
        <v>672.4</v>
      </c>
      <c r="J106" s="108" t="inlineStr">
        <is>
          <t>net proceeds</t>
        </is>
      </c>
      <c r="K106" s="129" t="n"/>
      <c r="L106" s="111" t="n">
        <v>24.8</v>
      </c>
      <c r="M106" s="111" t="n">
        <v>24.8</v>
      </c>
      <c r="N106" s="108" t="inlineStr">
        <is>
          <t>Y</t>
        </is>
      </c>
      <c r="O106" s="112" t="n">
        <v>100</v>
      </c>
      <c r="P106" s="118" t="n"/>
      <c r="Q106" s="113" t="n">
        <v>9160.799999999999</v>
      </c>
      <c r="R106" s="108" t="inlineStr">
        <is>
          <t>derived:deal size / offer % of enlarged capital</t>
        </is>
      </c>
      <c r="S106" s="114" t="n">
        <v>10.65</v>
      </c>
      <c r="T106" s="115" t="n">
        <v>1.39</v>
      </c>
      <c r="U106" s="116" t="n">
        <v>18.62</v>
      </c>
      <c r="V106" s="117" t="n">
        <v>167</v>
      </c>
      <c r="W106" s="118" t="n"/>
      <c r="X106" s="119" t="n"/>
      <c r="Y106" s="113" t="n">
        <v>547.2</v>
      </c>
      <c r="Z106" s="131" t="n"/>
      <c r="AA106" s="112" t="n">
        <v>5.97</v>
      </c>
      <c r="AB106" s="108" t="inlineStr">
        <is>
          <t>Harvest High Yield SP; SCC Growth VI Holdco C (HK) Limited; SCHP Master Fund; Yangtze River (Hong Kong) Limited</t>
        </is>
      </c>
      <c r="AC106" s="108" t="inlineStr">
        <is>
          <t>harvest;scc;schp;yangtze</t>
        </is>
      </c>
      <c r="AD106" s="112" t="n">
        <v>6.44</v>
      </c>
      <c r="AE106" s="108" t="inlineStr">
        <is>
          <t>partial</t>
        </is>
      </c>
      <c r="AF106" s="108" t="inlineStr">
        <is>
          <t>2022-04-23</t>
        </is>
      </c>
      <c r="AG106" s="108" t="inlineStr">
        <is>
          <t>Morgan Stanley Asia Limited</t>
        </is>
      </c>
      <c r="AH106" s="108" t="inlineStr">
        <is>
          <t>Morgan Stanley</t>
        </is>
      </c>
      <c r="AI106" s="120" t="n">
        <v>2.82</v>
      </c>
      <c r="AJ106" s="121" t="n">
        <v>1.81</v>
      </c>
      <c r="AK106" s="121" t="n">
        <v>-2.93</v>
      </c>
      <c r="AL106" s="121" t="n">
        <v>0.8100000000000001</v>
      </c>
      <c r="AM106" s="121" t="n">
        <v>0.99</v>
      </c>
      <c r="AN106" s="122" t="n"/>
      <c r="AO106" s="112" t="n">
        <v>5.2</v>
      </c>
      <c r="AP106" s="121" t="n">
        <v>10.08</v>
      </c>
      <c r="AQ106" s="121" t="n">
        <v>0.2</v>
      </c>
      <c r="AR106" s="121" t="n">
        <v>-8.67</v>
      </c>
      <c r="AS106" s="121" t="n">
        <v>8.119999999999999</v>
      </c>
      <c r="AT106" s="121" t="n">
        <v>-1.58</v>
      </c>
      <c r="AU106" s="121" t="n">
        <v>-10.29</v>
      </c>
      <c r="AV106" s="121" t="n">
        <v>15.66</v>
      </c>
      <c r="AW106" s="121" t="n">
        <v>16.05</v>
      </c>
      <c r="AX106" s="121" t="n">
        <v>-10.35</v>
      </c>
      <c r="AY106" s="121" t="n">
        <v>11.73</v>
      </c>
      <c r="AZ106" s="121" t="n">
        <v>-15.85</v>
      </c>
      <c r="BA106" s="121" t="n">
        <v>-13.31</v>
      </c>
      <c r="BB106" s="108" t="inlineStr">
        <is>
          <t>China Biotech ETF (HS biotech proxy)</t>
        </is>
      </c>
      <c r="BC106" s="121" t="n">
        <v>-82.23999999999999</v>
      </c>
      <c r="BD106" s="109" t="n">
        <v>46297</v>
      </c>
      <c r="BE106" s="110" t="n">
        <v>0</v>
      </c>
      <c r="BF106" s="113" t="n">
        <v>-723.4</v>
      </c>
      <c r="BG106" s="108" t="inlineStr">
        <is>
          <t>N</t>
        </is>
      </c>
      <c r="BH106" s="108" t="inlineStr">
        <is>
          <t>n/m</t>
        </is>
      </c>
      <c r="BI106" s="122" t="n"/>
      <c r="BJ106" s="122" t="n"/>
      <c r="BK106" s="108" t="inlineStr">
        <is>
          <t>pre-rev</t>
        </is>
      </c>
      <c r="BL106" s="124">
        <f>IF('BBG Verify'!S106="","not filed; run on terminal",'BBG Verify'!S106)</f>
        <v/>
      </c>
      <c r="BM106" s="125" t="inlineStr">
        <is>
          <t>N</t>
        </is>
      </c>
      <c r="BN106" s="126">
        <f>IF('BBG Verify'!K106="","not filed; run on terminal",'BBG Verify'!K106)</f>
        <v/>
      </c>
      <c r="BO106" s="108" t="inlineStr">
        <is>
          <t>N/A</t>
        </is>
      </c>
      <c r="BP106" s="108" t="inlineStr">
        <is>
          <t>N/A</t>
        </is>
      </c>
      <c r="BQ106" s="108" t="inlineStr">
        <is>
          <t>N/A</t>
        </is>
      </c>
      <c r="BR106" s="108" t="inlineStr">
        <is>
          <t>N/A</t>
        </is>
      </c>
      <c r="BS106" s="108" t="inlineStr">
        <is>
          <t>N/A</t>
        </is>
      </c>
      <c r="BT106" s="108" t="inlineStr">
        <is>
          <t>N/A</t>
        </is>
      </c>
      <c r="BU106" s="125" t="inlineStr">
        <is>
          <t>Morgan Stanley Asia Limited; CMB International Capital Limited; CLSA Capital Markets Limited; Morgan Stanley &amp; Co. International plc; London E14 4QA United Kingdom CMB International Capital Limited; CLSA Limited</t>
        </is>
      </c>
      <c r="BV106" s="108" t="inlineStr">
        <is>
          <t>Morgan Stanley Asia Limited; CLSA Capital Markets Limited; CMB International Capital Corporation Limited</t>
        </is>
      </c>
      <c r="BW106" s="108" t="inlineStr">
        <is>
          <t>Morgan Stanley Asia Limited; CMB International Capital Limited; CLSA Limited; Morgan Stanley &amp; Co. International plc; London E14 4QA United Kingdom CMB International Capital Limited; Haitong International Securities Company Limited; GF Securities (Hong Kong) Brokerage Limited; Essence International Securities (Hong Kong) Limited; Valuable Capital Limited</t>
        </is>
      </c>
      <c r="BX106" s="108" t="inlineStr">
        <is>
          <t>China Industrial Securities International Capital Limited; CLSA Limited; CMB International Capital Limited; Essence International Securities (Hong Kong) Limited; GF Securities (Hong Kong) Brokerage Limited; Haitong International Securities Company Limited; Livermore Holdings Limited; Morgan Stanley Asia Limited; Valuable Capital Limited</t>
        </is>
      </c>
      <c r="BY106" s="127">
        <f>HYPERLINK("https://www1.hkexnews.hk/listedco/listconews/sehk/2022/0321/2022032100025.pdf","prospectus")</f>
        <v/>
      </c>
      <c r="BZ106" s="127">
        <f>HYPERLINK("https://www1.hkexnews.hk/listedco/listconews/sehk/2022/0330/2022033000086.htm","allotment")</f>
        <v/>
      </c>
      <c r="CA106" s="127">
        <f>HYPERLINK("https://www1.hkexnews.hk/listedco/listconews/sehk/2022/0424/2022042400203.pdf","stabilisation")</f>
        <v/>
      </c>
      <c r="CB106" s="128" t="n"/>
      <c r="CC106" s="108" t="inlineStr">
        <is>
          <t>P/E: loss-making at IPO, use P/S; range low: maximum offer price only, no floor published; cornerstone: % from the prospectus; AAStocks table includes non-cornerstone orders; P/S: pre-revenue issuer, no sales multiple; deal size: stated gross HK$32.5m rejected, below the net proceeds of HK$672.4m; eff float shares: share count unavailable; the HK$m figure is exact; allocation: allocation table not in this notice's format (older prose announcement); day-1 tape: volume on file; the retail multiple needs the final public split, which this notice does not state</t>
        </is>
      </c>
    </row>
    <row r="107" ht="22" customHeight="1">
      <c r="A107" s="107" t="inlineStr">
        <is>
          <t>2370</t>
        </is>
      </c>
      <c r="B107" s="108" t="inlineStr">
        <is>
          <t>REDCO HEALTHY</t>
        </is>
      </c>
      <c r="C107" s="108" t="inlineStr">
        <is>
          <t>力高健康生活</t>
        </is>
      </c>
      <c r="D107" s="108" t="inlineStr">
        <is>
          <t>Real Estate</t>
        </is>
      </c>
      <c r="E107" s="108" t="inlineStr">
        <is>
          <t>Property management</t>
        </is>
      </c>
      <c r="F107" s="108" t="inlineStr">
        <is>
          <t>Property Service and Management</t>
        </is>
      </c>
      <c r="G107" s="108" t="inlineStr">
        <is>
          <t>Standard</t>
        </is>
      </c>
      <c r="H107" s="109" t="n">
        <v>44651</v>
      </c>
      <c r="I107" s="110" t="n">
        <v>205</v>
      </c>
      <c r="J107" s="108" t="inlineStr">
        <is>
          <t>gross (price x shares)</t>
        </is>
      </c>
      <c r="K107" s="111" t="n">
        <v>4.1</v>
      </c>
      <c r="L107" s="111" t="n">
        <v>5.1</v>
      </c>
      <c r="M107" s="111" t="n">
        <v>4.1</v>
      </c>
      <c r="N107" s="108" t="inlineStr">
        <is>
          <t>N</t>
        </is>
      </c>
      <c r="O107" s="112" t="n">
        <v>80.40000000000001</v>
      </c>
      <c r="P107" s="112" t="n">
        <v>0</v>
      </c>
      <c r="Q107" s="113" t="n">
        <v>980.8</v>
      </c>
      <c r="R107" s="108" t="inlineStr">
        <is>
          <t>aastocks:上市市值 at the struck price</t>
        </is>
      </c>
      <c r="S107" s="114" t="n">
        <v>1.99</v>
      </c>
      <c r="T107" s="115" t="n">
        <v>1.14</v>
      </c>
      <c r="U107" s="116" t="n">
        <v>0</v>
      </c>
      <c r="V107" s="117" t="n">
        <v>210</v>
      </c>
      <c r="W107" s="118" t="n"/>
      <c r="X107" s="119" t="n"/>
      <c r="Y107" s="113" t="n">
        <v>205</v>
      </c>
      <c r="Z107" s="113" t="n">
        <v>50000000</v>
      </c>
      <c r="AA107" s="112" t="n">
        <v>20.9</v>
      </c>
      <c r="AB107" s="108" t="inlineStr">
        <is>
          <t>none — no cornerstone tranche</t>
        </is>
      </c>
      <c r="AC107" s="108" t="inlineStr">
        <is>
          <t>none</t>
        </is>
      </c>
      <c r="AD107" s="112" t="n">
        <v>15</v>
      </c>
      <c r="AE107" s="108" t="inlineStr">
        <is>
          <t>lapsed (no over-allocation)</t>
        </is>
      </c>
      <c r="AF107" s="108" t="inlineStr">
        <is>
          <t>2022-04-24</t>
        </is>
      </c>
      <c r="AG107" s="108" t="inlineStr">
        <is>
          <t>ABCI Securities Company Limited</t>
        </is>
      </c>
      <c r="AH107" s="108" t="inlineStr">
        <is>
          <t>ABCI</t>
        </is>
      </c>
      <c r="AI107" s="120" t="n">
        <v>11.46</v>
      </c>
      <c r="AJ107" s="121" t="n">
        <v>26.34</v>
      </c>
      <c r="AK107" s="121" t="n">
        <v>-1.39</v>
      </c>
      <c r="AL107" s="121" t="n">
        <v>10.98</v>
      </c>
      <c r="AM107" s="121" t="n">
        <v>13.84</v>
      </c>
      <c r="AN107" s="122" t="n"/>
      <c r="AO107" s="112" t="n">
        <v>44.84</v>
      </c>
      <c r="AP107" s="121" t="n">
        <v>101.22</v>
      </c>
      <c r="AQ107" s="121" t="n">
        <v>103.66</v>
      </c>
      <c r="AR107" s="121" t="n">
        <v>168.29</v>
      </c>
      <c r="AS107" s="121" t="n">
        <v>59.27</v>
      </c>
      <c r="AT107" s="121" t="n">
        <v>61.2</v>
      </c>
      <c r="AU107" s="121" t="n">
        <v>112.36</v>
      </c>
      <c r="AV107" s="121" t="n">
        <v>97.17</v>
      </c>
      <c r="AW107" s="121" t="n">
        <v>106.03</v>
      </c>
      <c r="AX107" s="121" t="n">
        <v>174.01</v>
      </c>
      <c r="AY107" s="121" t="n">
        <v>62.19</v>
      </c>
      <c r="AZ107" s="121" t="n">
        <v>-2.37</v>
      </c>
      <c r="BA107" s="121" t="n">
        <v>-0.99</v>
      </c>
      <c r="BB107" s="108" t="inlineStr">
        <is>
          <t>Hang Seng Properties sub-index</t>
        </is>
      </c>
      <c r="BC107" s="121" t="n">
        <v>-70</v>
      </c>
      <c r="BD107" s="109" t="n">
        <v>46297</v>
      </c>
      <c r="BE107" s="110" t="n">
        <v>243.8</v>
      </c>
      <c r="BF107" s="113" t="n">
        <v>32.8</v>
      </c>
      <c r="BG107" s="108" t="inlineStr">
        <is>
          <t>Y</t>
        </is>
      </c>
      <c r="BH107" s="123" t="n">
        <v>29.9</v>
      </c>
      <c r="BI107" s="122" t="n"/>
      <c r="BJ107" s="122" t="n"/>
      <c r="BK107" s="123" t="n">
        <v>4</v>
      </c>
      <c r="BL107" s="124">
        <f>IF('BBG Verify'!S107="","not filed; run on terminal",'BBG Verify'!S107)</f>
        <v/>
      </c>
      <c r="BM107" s="125" t="inlineStr">
        <is>
          <t>N</t>
        </is>
      </c>
      <c r="BN107" s="126">
        <f>IF('BBG Verify'!K107="","not filed; run on terminal",'BBG Verify'!K107)</f>
        <v/>
      </c>
      <c r="BO107" s="108" t="inlineStr">
        <is>
          <t>N/A</t>
        </is>
      </c>
      <c r="BP107" s="108" t="inlineStr">
        <is>
          <t>N/A</t>
        </is>
      </c>
      <c r="BQ107" s="108" t="inlineStr">
        <is>
          <t>N/A</t>
        </is>
      </c>
      <c r="BR107" s="108" t="inlineStr">
        <is>
          <t>N/A</t>
        </is>
      </c>
      <c r="BS107" s="108" t="inlineStr">
        <is>
          <t>N/A</t>
        </is>
      </c>
      <c r="BT107" s="108" t="inlineStr">
        <is>
          <t>N/A</t>
        </is>
      </c>
      <c r="BU107" s="125" t="inlineStr">
        <is>
          <t>ABCI Capital Limited</t>
        </is>
      </c>
      <c r="BV107" s="108" t="inlineStr">
        <is>
          <t>ABCI Capital Limited</t>
        </is>
      </c>
      <c r="BW107" s="108" t="inlineStr">
        <is>
          <t>ABCI Capital Limited; Valuable Capital Limited; Guotai Junan Securities (Hong Kong) Limited; CCB International Capital Limited; Zhongtai International Securities Limited</t>
        </is>
      </c>
      <c r="BX107" s="108" t="inlineStr">
        <is>
          <t>ABCI Securities Company Limited; CCB International Capital Limited; Guotai Junan Securities (Hong Kong) Limited; Sorrento Securities Limited; Valuable Capital Limited; Yuzhou Financial Holdings Limited; Zheshang International Financial Holdings Co., Limited; Zhongtai International Securities Limited</t>
        </is>
      </c>
      <c r="BY107" s="127">
        <f>HYPERLINK("https://www1.hkexnews.hk/listedco/listconews/sehk/2022/0322/2022032200231.pdf","prospectus")</f>
        <v/>
      </c>
      <c r="BZ107" s="127">
        <f>HYPERLINK("https://www1.hkexnews.hk/listedco/listconews/sehk/2022/0330/2022033000152.htm","allotment")</f>
        <v/>
      </c>
      <c r="CA107" s="127">
        <f>HYPERLINK("https://www1.hkexnews.hk/listedco/listconews/sehk/2022/0425/2022042500019.pdf","stabilisation")</f>
        <v/>
      </c>
      <c r="CB107" s="128" t="n"/>
      <c r="CC107" s="108" t="inlineStr">
        <is>
          <t>cornerstone list: no cornerstone tranche; allocation: allocation table not in this notice's format (older prose announcement); day-1 tape: volume on file; the retail multiple needs the final public split, which this notice does not state</t>
        </is>
      </c>
    </row>
    <row r="108" ht="22" customHeight="1">
      <c r="A108" s="107" t="inlineStr">
        <is>
          <t>2390</t>
        </is>
      </c>
      <c r="B108" s="108" t="inlineStr">
        <is>
          <t>ZHIHU-W</t>
        </is>
      </c>
      <c r="C108" s="108" t="inlineStr">
        <is>
          <t>知乎－Ｗ</t>
        </is>
      </c>
      <c r="D108" s="108" t="inlineStr">
        <is>
          <t>Tech/AI</t>
        </is>
      </c>
      <c r="E108" s="108" t="inlineStr">
        <is>
          <t>Internet platform / e-commerce</t>
        </is>
      </c>
      <c r="F108" s="108" t="inlineStr">
        <is>
          <t>e-Commerce &amp; Internet Services</t>
        </is>
      </c>
      <c r="G108" s="108" t="inlineStr">
        <is>
          <t>WVR</t>
        </is>
      </c>
      <c r="H108" s="109" t="n">
        <v>44673</v>
      </c>
      <c r="I108" s="110" t="n">
        <v>833.6</v>
      </c>
      <c r="J108" s="108" t="inlineStr">
        <is>
          <t>gross (price x shares)</t>
        </is>
      </c>
      <c r="K108" s="129" t="n"/>
      <c r="L108" s="111" t="n">
        <v>32.06</v>
      </c>
      <c r="M108" s="111" t="n">
        <v>32.06</v>
      </c>
      <c r="N108" s="108" t="inlineStr">
        <is>
          <t>Y</t>
        </is>
      </c>
      <c r="O108" s="112" t="n">
        <v>100</v>
      </c>
      <c r="P108" s="118" t="n"/>
      <c r="Q108" s="113" t="n">
        <v>16410</v>
      </c>
      <c r="R108" s="108" t="inlineStr">
        <is>
          <t>prospectus:stated market capitalisation</t>
        </is>
      </c>
      <c r="S108" s="114" t="n">
        <v>1</v>
      </c>
      <c r="T108" s="115" t="n">
        <v>4.37</v>
      </c>
      <c r="U108" s="116" t="n">
        <v>0</v>
      </c>
      <c r="V108" s="117" t="n">
        <v>114</v>
      </c>
      <c r="W108" s="118" t="n"/>
      <c r="X108" s="119" t="n"/>
      <c r="Y108" s="113" t="n">
        <v>833.6</v>
      </c>
      <c r="Z108" s="113" t="n">
        <v>26000000</v>
      </c>
      <c r="AA108" s="112" t="n">
        <v>5.08</v>
      </c>
      <c r="AB108" s="108" t="inlineStr">
        <is>
          <t>none — no cornerstone tranche</t>
        </is>
      </c>
      <c r="AC108" s="108" t="inlineStr">
        <is>
          <t>none</t>
        </is>
      </c>
      <c r="AD108" s="112" t="n">
        <v>8.199999999999999</v>
      </c>
      <c r="AE108" s="108" t="inlineStr">
        <is>
          <t>lapsed</t>
        </is>
      </c>
      <c r="AF108" s="108" t="inlineStr">
        <is>
          <t>2022-05-14</t>
        </is>
      </c>
      <c r="AG108" s="108" t="inlineStr">
        <is>
          <t>Credit Suisse</t>
        </is>
      </c>
      <c r="AH108" s="108" t="inlineStr">
        <is>
          <t>Credit Suisse</t>
        </is>
      </c>
      <c r="AI108" s="120" t="n">
        <v>-22.65</v>
      </c>
      <c r="AJ108" s="121" t="n">
        <v>-23.58</v>
      </c>
      <c r="AK108" s="121" t="n">
        <v>0.31</v>
      </c>
      <c r="AL108" s="121" t="n">
        <v>-22.18</v>
      </c>
      <c r="AM108" s="121" t="n">
        <v>-1.8</v>
      </c>
      <c r="AN108" s="122" t="n"/>
      <c r="AO108" s="112" t="n">
        <v>10.62</v>
      </c>
      <c r="AP108" s="121" t="n">
        <v>-15.78</v>
      </c>
      <c r="AQ108" s="121" t="n">
        <v>-36.21</v>
      </c>
      <c r="AR108" s="121" t="n">
        <v>-32.94</v>
      </c>
      <c r="AS108" s="121" t="n">
        <v>10.21</v>
      </c>
      <c r="AT108" s="121" t="n">
        <v>-16.53</v>
      </c>
      <c r="AU108" s="121" t="n">
        <v>-12.25</v>
      </c>
      <c r="AV108" s="121" t="n">
        <v>-27.89</v>
      </c>
      <c r="AW108" s="121" t="n">
        <v>-37.89</v>
      </c>
      <c r="AX108" s="121" t="n">
        <v>-48.56</v>
      </c>
      <c r="AY108" s="121" t="n">
        <v>-17.9</v>
      </c>
      <c r="AZ108" s="121" t="n">
        <v>1.68</v>
      </c>
      <c r="BA108" s="121" t="n">
        <v>1.37</v>
      </c>
      <c r="BB108" s="108" t="inlineStr">
        <is>
          <t>HSTECH (Hang Seng TECH ETF)</t>
        </is>
      </c>
      <c r="BC108" s="121" t="n">
        <v>-71.62</v>
      </c>
      <c r="BD108" s="109" t="n">
        <v>46297</v>
      </c>
      <c r="BE108" s="132" t="n"/>
      <c r="BF108" s="131" t="n"/>
      <c r="BG108" s="119" t="n"/>
      <c r="BH108" s="124">
        <f>IF('BBG Verify'!O108="","not filed; run on terminal",'BBG Verify'!O108)</f>
        <v/>
      </c>
      <c r="BI108" s="122" t="n"/>
      <c r="BJ108" s="122" t="n"/>
      <c r="BK108" s="122" t="n"/>
      <c r="BL108" s="124">
        <f>IF('BBG Verify'!S108="","not filed; run on terminal",'BBG Verify'!S108)</f>
        <v/>
      </c>
      <c r="BM108" s="125" t="inlineStr">
        <is>
          <t>N</t>
        </is>
      </c>
      <c r="BN108" s="126">
        <f>IF('BBG Verify'!K108="","not filed; run on terminal",'BBG Verify'!K108)</f>
        <v/>
      </c>
      <c r="BO108" s="108" t="inlineStr">
        <is>
          <t>N/A</t>
        </is>
      </c>
      <c r="BP108" s="108" t="inlineStr">
        <is>
          <t>N/A</t>
        </is>
      </c>
      <c r="BQ108" s="108" t="inlineStr">
        <is>
          <t>N/A</t>
        </is>
      </c>
      <c r="BR108" s="108" t="inlineStr">
        <is>
          <t>N/A</t>
        </is>
      </c>
      <c r="BS108" s="108" t="inlineStr">
        <is>
          <t>N/A</t>
        </is>
      </c>
      <c r="BT108" s="108" t="inlineStr">
        <is>
          <t>N/A</t>
        </is>
      </c>
      <c r="BU108" s="125" t="inlineStr">
        <is>
          <t>Credit Suisse (Hong Kong) Limited; J.P. Morgan Securities (Far East) Limited; China International Capital Corporation Hong Kong Securities Limited; CMB International Capital Limited</t>
        </is>
      </c>
      <c r="BV108" s="108" t="inlineStr">
        <is>
          <t>China International Capital Corporation Hong Kong Securities Limited; J.P. Morgan Securities (Far East) Limited; CMB International Capital Limited; Credit Suisse (Hong Kong) Limited</t>
        </is>
      </c>
      <c r="BW108" s="108" t="inlineStr">
        <is>
          <t>Credit Suisse (Hong Kong) Limited; J.P. Morgan Securities (Asia Pacific) Limited; China International Capital Corporation Hong Kong Securities Limited</t>
        </is>
      </c>
      <c r="BX108" s="108" t="inlineStr">
        <is>
          <t>CCB International Capital Limited; China International Capital Corporation Hong Kong Securities Limited; Citrus Securities Limited; CMB International Capital Corporation Limited; Credit Suisse (Hong Kong) Limited; Haitong International Securities Company Limited; J.P. Morgan Securities (Asia Pacific) Limited</t>
        </is>
      </c>
      <c r="BY108" s="127">
        <f>HYPERLINK("https://www1.hkexnews.hk/listedco/listconews/sehk/2022/0411/2022041100022.htm","prospectus")</f>
        <v/>
      </c>
      <c r="BZ108" s="127">
        <f>HYPERLINK("https://www1.hkexnews.hk/listedco/listconews/sehk/2022/0421/2022042100020.htm","allotment")</f>
        <v/>
      </c>
      <c r="CA108" s="127">
        <f>HYPERLINK("https://www1.hkexnews.hk/listedco/listconews/sehk/2022/0515/2022051500043.pdf","stabilisation")</f>
        <v/>
      </c>
      <c r="CB108" s="128" t="n"/>
      <c r="CC108" s="108" t="inlineStr">
        <is>
          <t>P/E: net income not extractable; price range: fixed-price offering (no indicative range); range low: maximum offer price only, no floor published; cornerstone list: no cornerstone tranche; P/S: revenue not extractable; financials: not extractable; pre-IPO year outside the AAStocks window; allocation: allocation table not in this notice's format (older prose announcement); day-1 tape: volume on file; the retail multiple needs the final public split, which this notice does not state</t>
        </is>
      </c>
    </row>
    <row r="109" ht="22" customHeight="1">
      <c r="A109" s="107" t="inlineStr">
        <is>
          <t>2352</t>
        </is>
      </c>
      <c r="B109" s="108" t="inlineStr">
        <is>
          <t>DOWELL SERVICE</t>
        </is>
      </c>
      <c r="C109" s="108" t="inlineStr">
        <is>
          <t>東原仁知服務</t>
        </is>
      </c>
      <c r="D109" s="108" t="inlineStr">
        <is>
          <t>Real Estate</t>
        </is>
      </c>
      <c r="E109" s="108" t="inlineStr">
        <is>
          <t>Property management</t>
        </is>
      </c>
      <c r="F109" s="108" t="inlineStr">
        <is>
          <t>Property Service and Management</t>
        </is>
      </c>
      <c r="G109" s="108" t="inlineStr">
        <is>
          <t>Standard</t>
        </is>
      </c>
      <c r="H109" s="109" t="n">
        <v>44680</v>
      </c>
      <c r="I109" s="110" t="n">
        <v>198.3</v>
      </c>
      <c r="J109" s="108" t="inlineStr">
        <is>
          <t>gross (price x shares)</t>
        </is>
      </c>
      <c r="K109" s="111" t="n">
        <v>11.9</v>
      </c>
      <c r="L109" s="111" t="n">
        <v>15.4</v>
      </c>
      <c r="M109" s="111" t="n">
        <v>11.9</v>
      </c>
      <c r="N109" s="108" t="inlineStr">
        <is>
          <t>N</t>
        </is>
      </c>
      <c r="O109" s="112" t="n">
        <v>77.3</v>
      </c>
      <c r="P109" s="112" t="n">
        <v>0</v>
      </c>
      <c r="Q109" s="113" t="n">
        <v>793.2</v>
      </c>
      <c r="R109" s="108" t="inlineStr">
        <is>
          <t>derived:deal size / offer % of enlarged capital</t>
        </is>
      </c>
      <c r="S109" s="114" t="n">
        <v>4.35</v>
      </c>
      <c r="T109" s="115" t="n">
        <v>1.56</v>
      </c>
      <c r="U109" s="116" t="n">
        <v>0</v>
      </c>
      <c r="V109" s="117" t="n">
        <v>109</v>
      </c>
      <c r="W109" s="118" t="n"/>
      <c r="X109" s="119" t="n"/>
      <c r="Y109" s="113" t="n">
        <v>198.3</v>
      </c>
      <c r="Z109" s="113" t="n">
        <v>16666667</v>
      </c>
      <c r="AA109" s="112" t="n">
        <v>25</v>
      </c>
      <c r="AB109" s="108" t="inlineStr">
        <is>
          <t>none — no cornerstone tranche</t>
        </is>
      </c>
      <c r="AC109" s="108" t="inlineStr">
        <is>
          <t>none</t>
        </is>
      </c>
      <c r="AD109" s="112" t="n">
        <v>7.48</v>
      </c>
      <c r="AE109" s="108" t="inlineStr">
        <is>
          <t>partial</t>
        </is>
      </c>
      <c r="AF109" s="108" t="inlineStr">
        <is>
          <t>2022-05-22</t>
        </is>
      </c>
      <c r="AG109" s="108" t="inlineStr">
        <is>
          <t>Guotai Junan Securities</t>
        </is>
      </c>
      <c r="AH109" s="108" t="inlineStr">
        <is>
          <t>Guotai Junan</t>
        </is>
      </c>
      <c r="AI109" s="120" t="n">
        <v>3.03</v>
      </c>
      <c r="AJ109" s="121" t="n">
        <v>0</v>
      </c>
      <c r="AK109" s="121" t="n">
        <v>0.44</v>
      </c>
      <c r="AL109" s="121" t="n">
        <v>0</v>
      </c>
      <c r="AM109" s="121" t="n">
        <v>0</v>
      </c>
      <c r="AN109" s="122" t="n"/>
      <c r="AO109" s="112" t="n">
        <v>6.55</v>
      </c>
      <c r="AP109" s="121" t="n">
        <v>-4.2</v>
      </c>
      <c r="AQ109" s="121" t="n">
        <v>-0</v>
      </c>
      <c r="AR109" s="121" t="n">
        <v>-18.49</v>
      </c>
      <c r="AS109" s="121" t="n">
        <v>-4.2</v>
      </c>
      <c r="AT109" s="121" t="n">
        <v>0</v>
      </c>
      <c r="AU109" s="121" t="n">
        <v>-18.49</v>
      </c>
      <c r="AV109" s="121" t="n">
        <v>0.41</v>
      </c>
      <c r="AW109" s="121" t="n">
        <v>-0.61</v>
      </c>
      <c r="AX109" s="121" t="n">
        <v>-4.38</v>
      </c>
      <c r="AY109" s="121" t="n">
        <v>-0.17</v>
      </c>
      <c r="AZ109" s="121" t="n">
        <v>0.61</v>
      </c>
      <c r="BA109" s="121" t="n">
        <v>0.17</v>
      </c>
      <c r="BB109" s="108" t="inlineStr">
        <is>
          <t>Hang Seng Properties sub-index</t>
        </is>
      </c>
      <c r="BC109" s="121" t="n">
        <v>-64.70999999999999</v>
      </c>
      <c r="BD109" s="109" t="n">
        <v>46297</v>
      </c>
      <c r="BE109" s="110" t="n">
        <v>1312.8</v>
      </c>
      <c r="BF109" s="113" t="n">
        <v>143.4</v>
      </c>
      <c r="BG109" s="108" t="inlineStr">
        <is>
          <t>Y</t>
        </is>
      </c>
      <c r="BH109" s="123" t="n">
        <v>5.5</v>
      </c>
      <c r="BI109" s="122" t="n"/>
      <c r="BJ109" s="123" t="n">
        <v>7.1</v>
      </c>
      <c r="BK109" s="123" t="n">
        <v>0.6</v>
      </c>
      <c r="BL109" s="124">
        <f>IF('BBG Verify'!S109="","not filed; run on terminal",'BBG Verify'!S109)</f>
        <v/>
      </c>
      <c r="BM109" s="125" t="inlineStr">
        <is>
          <t>N</t>
        </is>
      </c>
      <c r="BN109" s="126">
        <f>IF('BBG Verify'!K109="","not filed; run on terminal",'BBG Verify'!K109)</f>
        <v/>
      </c>
      <c r="BO109" s="108" t="inlineStr">
        <is>
          <t>N/A</t>
        </is>
      </c>
      <c r="BP109" s="108" t="inlineStr">
        <is>
          <t>N/A</t>
        </is>
      </c>
      <c r="BQ109" s="108" t="inlineStr">
        <is>
          <t>N/A</t>
        </is>
      </c>
      <c r="BR109" s="108" t="inlineStr">
        <is>
          <t>N/A</t>
        </is>
      </c>
      <c r="BS109" s="108" t="inlineStr">
        <is>
          <t>N/A</t>
        </is>
      </c>
      <c r="BT109" s="108" t="inlineStr">
        <is>
          <t>N/A</t>
        </is>
      </c>
      <c r="BU109" s="125" t="inlineStr">
        <is>
          <t>Guotai Junan Capital Limited</t>
        </is>
      </c>
      <c r="BV109" s="108" t="inlineStr">
        <is>
          <t>Guotai Junan Capital Limited</t>
        </is>
      </c>
      <c r="BW109" s="108" t="inlineStr">
        <is>
          <t>Guotai Junan Securities (Hong Kong) Limited; ABCI Capital Limited; BOCOM International Securities Limited; CLSA Limited; ICBC International Capital Limited; CMBC Securities Company Limited; Fortune (HK) Securities Limited; Futu Securities International (Hong Kong) Limited; Guosen Securities (HK) Capital Company Limited; Zheshang International Financial Holdings Co., Limited</t>
        </is>
      </c>
      <c r="BX109" s="108" t="inlineStr">
        <is>
          <t>ABCI Securities Company Limited; Beta International Securities Limited; China Everbright Securities (HK) Limited; CLSA Limited; CMBC Securities Company Limited; Fortune (HK) Securities Limited; Futu Securities International (Hong Kong) Limited; Guotai Junan Securities (Hong Kong) Limited; Guosen Securities (HK) Capital Company Limited; ICBC International Securities Limited; Merdeka Securities Limited; Zheshang International Financial Holdings Co., Limited</t>
        </is>
      </c>
      <c r="BY109" s="127">
        <f>HYPERLINK("https://www1.hkexnews.hk/listedco/listconews/sehk/2022/0419/2022041900041.pdf","prospectus")</f>
        <v/>
      </c>
      <c r="BZ109" s="127">
        <f>HYPERLINK("https://www1.hkexnews.hk/listedco/listconews/sehk/2022/0428/2022042800071.htm","allotment")</f>
        <v/>
      </c>
      <c r="CA109" s="127">
        <f>HYPERLINK("https://www1.hkexnews.hk/listedco/listconews/sehk/2022/0523/2022052300039.pdf","stabilisation")</f>
        <v/>
      </c>
      <c r="CB109" s="128" t="n"/>
      <c r="CC109" s="108" t="inlineStr">
        <is>
          <t>cornerstone list: no cornerstone tranche; allocation: allocation table not in this notice's format (older prose announcement); day-1 tape: volume on file; the retail multiple needs the final public split, which this notice does not state</t>
        </is>
      </c>
    </row>
    <row r="110" ht="22" customHeight="1">
      <c r="A110" s="107" t="inlineStr">
        <is>
          <t>2325</t>
        </is>
      </c>
      <c r="B110" s="108" t="inlineStr">
        <is>
          <t>YUNKANG GROUP</t>
        </is>
      </c>
      <c r="C110" s="108" t="inlineStr">
        <is>
          <t>雲康集團</t>
        </is>
      </c>
      <c r="D110" s="108" t="inlineStr">
        <is>
          <t>Healthcare</t>
        </is>
      </c>
      <c r="E110" s="108" t="inlineStr">
        <is>
          <t>CXO / pharma services</t>
        </is>
      </c>
      <c r="F110" s="108" t="inlineStr">
        <is>
          <t>Health Care Services</t>
        </is>
      </c>
      <c r="G110" s="108" t="inlineStr">
        <is>
          <t>Standard</t>
        </is>
      </c>
      <c r="H110" s="109" t="n">
        <v>44699</v>
      </c>
      <c r="I110" s="110" t="n">
        <v>1090.3</v>
      </c>
      <c r="J110" s="108" t="inlineStr">
        <is>
          <t>gross (price x shares)</t>
        </is>
      </c>
      <c r="K110" s="129" t="n"/>
      <c r="L110" s="111" t="n">
        <v>7.89</v>
      </c>
      <c r="M110" s="111" t="n">
        <v>7.89</v>
      </c>
      <c r="N110" s="108" t="inlineStr">
        <is>
          <t>Y</t>
        </is>
      </c>
      <c r="O110" s="112" t="n">
        <v>100</v>
      </c>
      <c r="P110" s="118" t="n"/>
      <c r="Q110" s="113" t="n">
        <v>4343.8</v>
      </c>
      <c r="R110" s="108" t="inlineStr">
        <is>
          <t>derived:deal size / offer % of enlarged capital</t>
        </is>
      </c>
      <c r="S110" s="114" t="n">
        <v>1.35</v>
      </c>
      <c r="T110" s="115" t="n">
        <v>1.39</v>
      </c>
      <c r="U110" s="116" t="n">
        <v>30.2</v>
      </c>
      <c r="V110" s="117" t="n">
        <v>136</v>
      </c>
      <c r="W110" s="118" t="n"/>
      <c r="X110" s="119" t="n"/>
      <c r="Y110" s="113" t="n">
        <v>761.03</v>
      </c>
      <c r="Z110" s="113" t="n">
        <v>96455224</v>
      </c>
      <c r="AA110" s="112" t="n">
        <v>17.52</v>
      </c>
      <c r="AB110" s="108" t="inlineStr">
        <is>
          <t>Harvest International Premium Value (Secondary Market) Fund SPC; YHLO (Hong Kong) Limited</t>
        </is>
      </c>
      <c r="AC110" s="108" t="inlineStr">
        <is>
          <t>harvest;yhlo</t>
        </is>
      </c>
      <c r="AD110" s="112" t="n">
        <v>6.17</v>
      </c>
      <c r="AE110" s="108" t="inlineStr">
        <is>
          <t>partial</t>
        </is>
      </c>
      <c r="AF110" s="119" t="n"/>
      <c r="AG110" s="108" t="inlineStr">
        <is>
          <t>CMB International Securities Limited</t>
        </is>
      </c>
      <c r="AH110" s="108" t="inlineStr">
        <is>
          <t>CMB</t>
        </is>
      </c>
      <c r="AI110" s="120" t="n">
        <v>-3.8</v>
      </c>
      <c r="AJ110" s="121" t="n">
        <v>7.73</v>
      </c>
      <c r="AK110" s="121" t="n">
        <v>-0.88</v>
      </c>
      <c r="AL110" s="121" t="n">
        <v>0</v>
      </c>
      <c r="AM110" s="121" t="n">
        <v>7.73</v>
      </c>
      <c r="AN110" s="122" t="n"/>
      <c r="AO110" s="112" t="n">
        <v>24.08</v>
      </c>
      <c r="AP110" s="121" t="n">
        <v>15.34</v>
      </c>
      <c r="AQ110" s="121" t="n">
        <v>94.42</v>
      </c>
      <c r="AR110" s="121" t="n">
        <v>129.4</v>
      </c>
      <c r="AS110" s="121" t="n">
        <v>7.06</v>
      </c>
      <c r="AT110" s="121" t="n">
        <v>80.47</v>
      </c>
      <c r="AU110" s="121" t="n">
        <v>112.94</v>
      </c>
      <c r="AV110" s="121" t="n">
        <v>17.68</v>
      </c>
      <c r="AW110" s="121" t="n">
        <v>88.43000000000001</v>
      </c>
      <c r="AX110" s="121" t="n">
        <v>119.58</v>
      </c>
      <c r="AY110" s="121" t="n">
        <v>73.54000000000001</v>
      </c>
      <c r="AZ110" s="121" t="n">
        <v>5.99</v>
      </c>
      <c r="BA110" s="121" t="n">
        <v>6.93</v>
      </c>
      <c r="BB110" s="108" t="inlineStr">
        <is>
          <t>China Biotech ETF (HS biotech proxy)</t>
        </is>
      </c>
      <c r="BC110" s="121" t="n">
        <v>-94.11</v>
      </c>
      <c r="BD110" s="109" t="n">
        <v>46297</v>
      </c>
      <c r="BE110" s="110" t="n">
        <v>1320.4</v>
      </c>
      <c r="BF110" s="113" t="n">
        <v>286.2</v>
      </c>
      <c r="BG110" s="108" t="inlineStr">
        <is>
          <t>Y</t>
        </is>
      </c>
      <c r="BH110" s="123" t="n">
        <v>15.2</v>
      </c>
      <c r="BI110" s="122" t="n"/>
      <c r="BJ110" s="123" t="n">
        <v>58.6</v>
      </c>
      <c r="BK110" s="123" t="n">
        <v>3.3</v>
      </c>
      <c r="BL110" s="124">
        <f>IF('BBG Verify'!S110="","not filed; run on terminal",'BBG Verify'!S110)</f>
        <v/>
      </c>
      <c r="BM110" s="125" t="inlineStr">
        <is>
          <t>N</t>
        </is>
      </c>
      <c r="BN110" s="126">
        <f>IF('BBG Verify'!K110="","not filed; run on terminal",'BBG Verify'!K110)</f>
        <v/>
      </c>
      <c r="BO110" s="108" t="inlineStr">
        <is>
          <t>N/A</t>
        </is>
      </c>
      <c r="BP110" s="108" t="inlineStr">
        <is>
          <t>N/A</t>
        </is>
      </c>
      <c r="BQ110" s="108" t="inlineStr">
        <is>
          <t>N/A</t>
        </is>
      </c>
      <c r="BR110" s="108" t="inlineStr">
        <is>
          <t>N/A</t>
        </is>
      </c>
      <c r="BS110" s="108" t="inlineStr">
        <is>
          <t>N/A</t>
        </is>
      </c>
      <c r="BT110" s="108" t="inlineStr">
        <is>
          <t>N/A</t>
        </is>
      </c>
      <c r="BU110" s="125" t="inlineStr">
        <is>
          <t>CMB International Capital Limited; SPDB International Capital Limited</t>
        </is>
      </c>
      <c r="BV110" s="108" t="inlineStr">
        <is>
          <t>CMB International Capital Limited; SPDB International Capital Limited</t>
        </is>
      </c>
      <c r="BW110" s="108" t="inlineStr">
        <is>
          <t>CMB International Capital Limited; SPDB International Capital Limited; China Merchants Securities (HK) Co., Limited; CCB International Capital Limited; CRIC Securities Company Limited; Futu Securities International (Hong Kong) Limited</t>
        </is>
      </c>
      <c r="BX110" s="108" t="inlineStr">
        <is>
          <t>Blackwell Global Securities Limited; CCB International Capital Limited; CMB International Capital Limited; China Merchants Securities (HK) Company Limited; CRIC Securities Company Limited; Futu Securities International (Hong Kong) Limited; Livermore Holdings Limited; SPDB International Capital Limited</t>
        </is>
      </c>
      <c r="BY110" s="127">
        <f>HYPERLINK("https://www1.hkexnews.hk/listedco/listconews/sehk/2022/0505/2022050500011.pdf","prospectus")</f>
        <v/>
      </c>
      <c r="BZ110" s="127">
        <f>HYPERLINK("https://www1.hkexnews.hk/listedco/listconews/sehk/2022/0517/2022051700032.htm","allotment")</f>
        <v/>
      </c>
      <c r="CA110" s="127">
        <f>HYPERLINK("https://www1.hkexnews.hk/listedco/listconews/sehk/2022/0610/2022061001076.pdf","stabilisation")</f>
        <v/>
      </c>
      <c r="CB110" s="128" t="n"/>
      <c r="CC110" s="108" t="inlineStr">
        <is>
          <t>greenshoe: outcome published; expiry date not in the notice; range low: maximum offer price only, no floor published; allocation: allocation table not in this notice's format (older prose announcement); day-1 tape: volume on file; the retail multiple needs the final public split, which this notice does not state</t>
        </is>
      </c>
    </row>
    <row r="111" ht="22" customHeight="1">
      <c r="A111" s="107" t="inlineStr">
        <is>
          <t>2347</t>
        </is>
      </c>
      <c r="B111" s="108" t="inlineStr">
        <is>
          <t>YOHO GROUP</t>
        </is>
      </c>
      <c r="C111" s="108" t="inlineStr">
        <is>
          <t>友和集團</t>
        </is>
      </c>
      <c r="D111" s="108" t="inlineStr">
        <is>
          <t>Consumer</t>
        </is>
      </c>
      <c r="E111" s="108" t="inlineStr">
        <is>
          <t>Retail / distribution</t>
        </is>
      </c>
      <c r="F111" s="108" t="inlineStr">
        <is>
          <t>Household Appliances Retail</t>
        </is>
      </c>
      <c r="G111" s="108" t="inlineStr">
        <is>
          <t>Standard</t>
        </is>
      </c>
      <c r="H111" s="109" t="n">
        <v>44722</v>
      </c>
      <c r="I111" s="110" t="n">
        <v>115.5</v>
      </c>
      <c r="J111" s="108" t="inlineStr">
        <is>
          <t>gross (price x shares)</t>
        </is>
      </c>
      <c r="K111" s="111" t="n">
        <v>2.1</v>
      </c>
      <c r="L111" s="111" t="n">
        <v>2.6</v>
      </c>
      <c r="M111" s="111" t="n">
        <v>2.1</v>
      </c>
      <c r="N111" s="108" t="inlineStr">
        <is>
          <t>N</t>
        </is>
      </c>
      <c r="O111" s="112" t="n">
        <v>80.8</v>
      </c>
      <c r="P111" s="112" t="n">
        <v>0</v>
      </c>
      <c r="Q111" s="113" t="n">
        <v>1251.9</v>
      </c>
      <c r="R111" s="108" t="inlineStr">
        <is>
          <t>aastocks:上市市值 at the struck price</t>
        </is>
      </c>
      <c r="S111" s="114" t="n">
        <v>8.369999999999999</v>
      </c>
      <c r="T111" s="115" t="n">
        <v>1.23</v>
      </c>
      <c r="U111" s="116" t="n">
        <v>0</v>
      </c>
      <c r="V111" s="117" t="n">
        <v>159</v>
      </c>
      <c r="W111" s="118" t="n"/>
      <c r="X111" s="119" t="n"/>
      <c r="Y111" s="113" t="n">
        <v>115.5</v>
      </c>
      <c r="Z111" s="113" t="n">
        <v>55000000</v>
      </c>
      <c r="AA111" s="112" t="n">
        <v>9.23</v>
      </c>
      <c r="AB111" s="108" t="inlineStr">
        <is>
          <t>none — no cornerstone tranche</t>
        </is>
      </c>
      <c r="AC111" s="108" t="inlineStr">
        <is>
          <t>none</t>
        </is>
      </c>
      <c r="AD111" s="112" t="n">
        <v>15</v>
      </c>
      <c r="AE111" s="108" t="inlineStr">
        <is>
          <t>lapsed</t>
        </is>
      </c>
      <c r="AF111" s="119" t="n"/>
      <c r="AG111" s="108" t="inlineStr">
        <is>
          <t>CMBC Securities Company Limited</t>
        </is>
      </c>
      <c r="AH111" s="108" t="inlineStr">
        <is>
          <t>CMBC</t>
        </is>
      </c>
      <c r="AI111" s="120" t="n">
        <v>2.38</v>
      </c>
      <c r="AJ111" s="121" t="n">
        <v>0</v>
      </c>
      <c r="AK111" s="121" t="n">
        <v>0.41</v>
      </c>
      <c r="AL111" s="121" t="n">
        <v>8.57</v>
      </c>
      <c r="AM111" s="121" t="n">
        <v>-7.89</v>
      </c>
      <c r="AN111" s="122" t="n"/>
      <c r="AO111" s="112" t="n">
        <v>19.74</v>
      </c>
      <c r="AP111" s="121" t="n">
        <v>-6.19</v>
      </c>
      <c r="AQ111" s="121" t="n">
        <v>-28.1</v>
      </c>
      <c r="AR111" s="121" t="n">
        <v>-35.24</v>
      </c>
      <c r="AS111" s="121" t="n">
        <v>-6.19</v>
      </c>
      <c r="AT111" s="121" t="n">
        <v>-28.1</v>
      </c>
      <c r="AU111" s="121" t="n">
        <v>-35.24</v>
      </c>
      <c r="AV111" s="121" t="n">
        <v>-1.68</v>
      </c>
      <c r="AW111" s="121" t="n">
        <v>-21.83</v>
      </c>
      <c r="AX111" s="121" t="n">
        <v>-20.29</v>
      </c>
      <c r="AY111" s="121" t="n">
        <v>-21.45</v>
      </c>
      <c r="AZ111" s="121" t="n">
        <v>-6.27</v>
      </c>
      <c r="BA111" s="121" t="n">
        <v>-6.65</v>
      </c>
      <c r="BB111" s="108" t="inlineStr">
        <is>
          <t>Hang Seng Commerce &amp; Industry sub-index</t>
        </is>
      </c>
      <c r="BC111" s="121" t="n">
        <v>-62.38</v>
      </c>
      <c r="BD111" s="109" t="n">
        <v>46297</v>
      </c>
      <c r="BE111" s="110" t="n">
        <v>523</v>
      </c>
      <c r="BF111" s="113" t="n">
        <v>33.7</v>
      </c>
      <c r="BG111" s="108" t="inlineStr">
        <is>
          <t>Y</t>
        </is>
      </c>
      <c r="BH111" s="123" t="n">
        <v>37.1</v>
      </c>
      <c r="BI111" s="122" t="n"/>
      <c r="BJ111" s="123" t="n">
        <v>20.8</v>
      </c>
      <c r="BK111" s="123" t="n">
        <v>2.4</v>
      </c>
      <c r="BL111" s="124">
        <f>IF('BBG Verify'!S111="","not filed; run on terminal",'BBG Verify'!S111)</f>
        <v/>
      </c>
      <c r="BM111" s="125" t="inlineStr">
        <is>
          <t>N</t>
        </is>
      </c>
      <c r="BN111" s="126">
        <f>IF('BBG Verify'!K111="","not filed; run on terminal",'BBG Verify'!K111)</f>
        <v/>
      </c>
      <c r="BO111" s="108" t="inlineStr">
        <is>
          <t>N/A</t>
        </is>
      </c>
      <c r="BP111" s="108" t="inlineStr">
        <is>
          <t>N/A</t>
        </is>
      </c>
      <c r="BQ111" s="108" t="inlineStr">
        <is>
          <t>N/A</t>
        </is>
      </c>
      <c r="BR111" s="108" t="inlineStr">
        <is>
          <t>N/A</t>
        </is>
      </c>
      <c r="BS111" s="108" t="inlineStr">
        <is>
          <t>N/A</t>
        </is>
      </c>
      <c r="BT111" s="108" t="inlineStr">
        <is>
          <t>N/A</t>
        </is>
      </c>
      <c r="BU111" s="125" t="inlineStr">
        <is>
          <t>CMBC International Capital Limited; Note Wings Securities Limited</t>
        </is>
      </c>
      <c r="BV111" s="108" t="inlineStr">
        <is>
          <t>CMBC International Capital Limited</t>
        </is>
      </c>
      <c r="BW111" s="108" t="inlineStr">
        <is>
          <t>CMBC Securities Company Limited; Eddid Securities and Futures Limited; Haitong International Securities Company Limited; Zhongtai International Securities Limited; China Everbright Securities (HK) Limited; SBI China Capital Financial Services Limited; Futu Securities International (Hong Kong) Limited; Valuable Capital Limited; Cinda International Capital Limited</t>
        </is>
      </c>
      <c r="BX111" s="108" t="inlineStr">
        <is>
          <t>China Everbright Securities (HK) Limited; China Tonghai Securities Limited; Cinda International Capital Limited; CMBC Securities Company Limited; China Sky Securities Limited; Ever-Long Securities Company Limited; Eddid Securities and Futures Limited; FUTEC Financial Limited; Futu Securities International (Hong Kong) Limited; Haitong International Securities Company Limited; Livermore Holdings Limited; SBI China Capital Financial Services Limited</t>
        </is>
      </c>
      <c r="BY111" s="127">
        <f>HYPERLINK("https://www1.hkexnews.hk/listedco/listconews/sehk/2022/0526/2022052600069.pdf","prospectus")</f>
        <v/>
      </c>
      <c r="BZ111" s="127">
        <f>HYPERLINK("https://www1.hkexnews.hk/listedco/listconews/sehk/2022/0609/2022060900032.htm","allotment")</f>
        <v/>
      </c>
      <c r="CA111" s="127">
        <f>HYPERLINK("https://www1.hkexnews.hk/listedco/listconews/sehk/2022/0630/2022063000818.pdf","stabilisation")</f>
        <v/>
      </c>
      <c r="CB111" s="128" t="n"/>
      <c r="CC111" s="108" t="inlineStr">
        <is>
          <t>greenshoe: outcome published; expiry date not in the notice; market cap: published listing cap used; the estimate from deal size / offer % of enlarged capital disagreed; cornerstone list: no cornerstone tranche; allocation: allocation table not in this notice's format (older prose announcement); day-1 tape: volume on file; the retail multiple needs the final public split, which this notice does not state</t>
        </is>
      </c>
    </row>
    <row r="112" ht="22" customHeight="1">
      <c r="A112" s="107" t="inlineStr">
        <is>
          <t>6667</t>
        </is>
      </c>
      <c r="B112" s="108" t="inlineStr">
        <is>
          <t>MEGA GENOMICS</t>
        </is>
      </c>
      <c r="C112" s="108" t="inlineStr">
        <is>
          <t>美因基因</t>
        </is>
      </c>
      <c r="D112" s="108" t="inlineStr">
        <is>
          <t>Healthcare</t>
        </is>
      </c>
      <c r="E112" s="108" t="inlineStr">
        <is>
          <t>CXO / pharma services</t>
        </is>
      </c>
      <c r="F112" s="108" t="inlineStr">
        <is>
          <t>Biotechnology - Supplies &amp; Services</t>
        </is>
      </c>
      <c r="G112" s="108" t="inlineStr">
        <is>
          <t>Standard</t>
        </is>
      </c>
      <c r="H112" s="109" t="n">
        <v>44734</v>
      </c>
      <c r="I112" s="110" t="n">
        <v>215.3</v>
      </c>
      <c r="J112" s="108" t="inlineStr">
        <is>
          <t>gross (price x shares)</t>
        </is>
      </c>
      <c r="K112" s="111" t="n">
        <v>18</v>
      </c>
      <c r="L112" s="111" t="n">
        <v>22</v>
      </c>
      <c r="M112" s="111" t="n">
        <v>18</v>
      </c>
      <c r="N112" s="108" t="inlineStr">
        <is>
          <t>N</t>
        </is>
      </c>
      <c r="O112" s="112" t="n">
        <v>81.8</v>
      </c>
      <c r="P112" s="112" t="n">
        <v>0</v>
      </c>
      <c r="Q112" s="113" t="n">
        <v>4306</v>
      </c>
      <c r="R112" s="108" t="inlineStr">
        <is>
          <t>derived:deal size / offer % of enlarged capital</t>
        </is>
      </c>
      <c r="S112" s="114" t="n">
        <v>9.619999999999999</v>
      </c>
      <c r="T112" s="115" t="n">
        <v>2.05</v>
      </c>
      <c r="U112" s="116" t="n">
        <v>75.90000000000001</v>
      </c>
      <c r="V112" s="117" t="n">
        <v>140</v>
      </c>
      <c r="W112" s="118" t="n"/>
      <c r="X112" s="119" t="n"/>
      <c r="Y112" s="113" t="n">
        <v>51.89</v>
      </c>
      <c r="Z112" s="113" t="n">
        <v>2882794</v>
      </c>
      <c r="AA112" s="112" t="n">
        <v>1.2</v>
      </c>
      <c r="AB112" s="108" t="inlineStr">
        <is>
          <t>Maccura Biotechnology Co., Ltd; Nanchang Financial Holdings Co., Ltd; Nanchang Industrial Park Equity Investment Partnership (Limited Partnership)</t>
        </is>
      </c>
      <c r="AC112" s="108" t="inlineStr">
        <is>
          <t>maccura;nanchang</t>
        </is>
      </c>
      <c r="AD112" s="112" t="n">
        <v>15</v>
      </c>
      <c r="AE112" s="108" t="inlineStr">
        <is>
          <t>lapsed</t>
        </is>
      </c>
      <c r="AF112" s="108" t="inlineStr">
        <is>
          <t>2022-07-15</t>
        </is>
      </c>
      <c r="AG112" s="108" t="inlineStr">
        <is>
          <t>China Securities</t>
        </is>
      </c>
      <c r="AH112" s="108" t="inlineStr">
        <is>
          <t>China Securities</t>
        </is>
      </c>
      <c r="AI112" s="120" t="n">
        <v>8.56</v>
      </c>
      <c r="AJ112" s="121" t="n">
        <v>0</v>
      </c>
      <c r="AK112" s="121" t="n">
        <v>-1.14</v>
      </c>
      <c r="AL112" s="121" t="n">
        <v>8.220000000000001</v>
      </c>
      <c r="AM112" s="121" t="n">
        <v>-7.6</v>
      </c>
      <c r="AN112" s="122" t="n"/>
      <c r="AO112" s="112" t="n">
        <v>15.4</v>
      </c>
      <c r="AP112" s="121" t="n">
        <v>-1.11</v>
      </c>
      <c r="AQ112" s="121" t="n">
        <v>-1.22</v>
      </c>
      <c r="AR112" s="121" t="n">
        <v>-24.22</v>
      </c>
      <c r="AS112" s="121" t="n">
        <v>-1.11</v>
      </c>
      <c r="AT112" s="121" t="n">
        <v>-1.22</v>
      </c>
      <c r="AU112" s="121" t="n">
        <v>-24.22</v>
      </c>
      <c r="AV112" s="121" t="n">
        <v>-4.87</v>
      </c>
      <c r="AW112" s="121" t="n">
        <v>-6.85</v>
      </c>
      <c r="AX112" s="121" t="n">
        <v>-9.83</v>
      </c>
      <c r="AY112" s="121" t="n">
        <v>-8.07</v>
      </c>
      <c r="AZ112" s="121" t="n">
        <v>5.63</v>
      </c>
      <c r="BA112" s="121" t="n">
        <v>6.85</v>
      </c>
      <c r="BB112" s="108" t="inlineStr">
        <is>
          <t>China Biotech ETF (HS biotech proxy)</t>
        </is>
      </c>
      <c r="BC112" s="121" t="n">
        <v>-60.83</v>
      </c>
      <c r="BD112" s="109" t="n">
        <v>46297</v>
      </c>
      <c r="BE112" s="110" t="n">
        <v>260.9</v>
      </c>
      <c r="BF112" s="113" t="n">
        <v>86.90000000000001</v>
      </c>
      <c r="BG112" s="108" t="inlineStr">
        <is>
          <t>Y</t>
        </is>
      </c>
      <c r="BH112" s="123" t="n">
        <v>49.6</v>
      </c>
      <c r="BI112" s="123" t="n">
        <v>24.8</v>
      </c>
      <c r="BJ112" s="123" t="n">
        <v>43.5</v>
      </c>
      <c r="BK112" s="123" t="n">
        <v>16.5</v>
      </c>
      <c r="BL112" s="124">
        <f>IF('BBG Verify'!S112="","not filed; run on terminal",'BBG Verify'!S112)</f>
        <v/>
      </c>
      <c r="BM112" s="125" t="inlineStr">
        <is>
          <t>N</t>
        </is>
      </c>
      <c r="BN112" s="126">
        <f>IF('BBG Verify'!K112="","not filed; run on terminal",'BBG Verify'!K112)</f>
        <v/>
      </c>
      <c r="BO112" s="108" t="inlineStr">
        <is>
          <t>N/A</t>
        </is>
      </c>
      <c r="BP112" s="108" t="inlineStr">
        <is>
          <t>N/A</t>
        </is>
      </c>
      <c r="BQ112" s="108" t="inlineStr">
        <is>
          <t>N/A</t>
        </is>
      </c>
      <c r="BR112" s="108" t="inlineStr">
        <is>
          <t>N/A</t>
        </is>
      </c>
      <c r="BS112" s="108" t="inlineStr">
        <is>
          <t>N/A</t>
        </is>
      </c>
      <c r="BT112" s="108" t="inlineStr">
        <is>
          <t>N/A</t>
        </is>
      </c>
      <c r="BU112" s="125" t="inlineStr">
        <is>
          <t>China Securities (International) Corporate Finance Company Limited</t>
        </is>
      </c>
      <c r="BV112" s="108" t="inlineStr">
        <is>
          <t>China Securities (International) Corporate Finance Company Limited</t>
        </is>
      </c>
      <c r="BW112" s="108" t="inlineStr">
        <is>
          <t>China Securities (International) Corporate Finance Company Limited; China Merchants Securities (HK) Co., Limited</t>
        </is>
      </c>
      <c r="BX112" s="108" t="inlineStr">
        <is>
          <t>China Merchants Securities (HK) Company Limited; China Securities (International) Corporate Finance Company Limited; Futu Securities International (Hong Kong) Limited; Guotai Junan Securities (Hong Kong) Limited; Livermore Holdings Limited; Tiger Brokers (HK) Global Limited; Zhongtai International Securities Limited</t>
        </is>
      </c>
      <c r="BY112" s="127">
        <f>HYPERLINK("https://www1.hkexnews.hk/listedco/listconews/sehk/2022/0610/2022061000015.pdf","prospectus")</f>
        <v/>
      </c>
      <c r="BZ112" s="127">
        <f>HYPERLINK("https://www1.hkexnews.hk/listedco/listconews/sehk/2022/0621/2022062100030.htm","allotment")</f>
        <v/>
      </c>
      <c r="CA112" s="127">
        <f>HYPERLINK("https://www1.hkexnews.hk/listedco/listconews/sehk/2022/0715/2022071501424.pdf","stabilisation")</f>
        <v/>
      </c>
      <c r="CB112" s="128" t="n"/>
      <c r="CC112" s="108" t="inlineStr">
        <is>
          <t>cornerstone %: upper bound: AAStocks institutional total / deal size; allocation: allocation table not in this notice's format (older prose announcement); day-1 tape: volume on file; the retail multiple needs the final public split, which this notice does not state</t>
        </is>
      </c>
    </row>
    <row r="113" ht="22" customHeight="1">
      <c r="A113" s="107" t="inlineStr">
        <is>
          <t>2246</t>
        </is>
      </c>
      <c r="B113" s="108" t="inlineStr">
        <is>
          <t>GOGOX</t>
        </is>
      </c>
      <c r="C113" s="108" t="inlineStr">
        <is>
          <t>快狗打車</t>
        </is>
      </c>
      <c r="D113" s="108" t="inlineStr">
        <is>
          <t>Industrials</t>
        </is>
      </c>
      <c r="E113" s="108" t="inlineStr">
        <is>
          <t>Logistics</t>
        </is>
      </c>
      <c r="F113" s="108" t="inlineStr">
        <is>
          <t>Air Freight &amp; Logistics</t>
        </is>
      </c>
      <c r="G113" s="108" t="inlineStr">
        <is>
          <t>Standard</t>
        </is>
      </c>
      <c r="H113" s="109" t="n">
        <v>44736</v>
      </c>
      <c r="I113" s="110" t="n">
        <v>670.8</v>
      </c>
      <c r="J113" s="108" t="inlineStr">
        <is>
          <t>gross (price x shares)</t>
        </is>
      </c>
      <c r="K113" s="129" t="n"/>
      <c r="L113" s="111" t="n">
        <v>21.5</v>
      </c>
      <c r="M113" s="111" t="n">
        <v>21.5</v>
      </c>
      <c r="N113" s="108" t="inlineStr">
        <is>
          <t>Y</t>
        </is>
      </c>
      <c r="O113" s="112" t="n">
        <v>100</v>
      </c>
      <c r="P113" s="118" t="n"/>
      <c r="Q113" s="113" t="n">
        <v>13152.9</v>
      </c>
      <c r="R113" s="108" t="inlineStr">
        <is>
          <t>derived:deal size / offer % of enlarged capital</t>
        </is>
      </c>
      <c r="S113" s="114" t="n">
        <v>4.05</v>
      </c>
      <c r="T113" s="115" t="n">
        <v>1.4</v>
      </c>
      <c r="U113" s="116" t="n">
        <v>74.3</v>
      </c>
      <c r="V113" s="117" t="n">
        <v>126</v>
      </c>
      <c r="W113" s="118" t="n"/>
      <c r="X113" s="119" t="n"/>
      <c r="Y113" s="113" t="n">
        <v>172.4</v>
      </c>
      <c r="Z113" s="113" t="n">
        <v>8018400</v>
      </c>
      <c r="AA113" s="112" t="n">
        <v>1.31</v>
      </c>
      <c r="AB113" s="108" t="inlineStr">
        <is>
          <t>Chery Commercial Vehicle (Anhui) Company Limited; GF Global Capital Limited</t>
        </is>
      </c>
      <c r="AC113" s="108" t="inlineStr">
        <is>
          <t>chery;gf</t>
        </is>
      </c>
      <c r="AD113" s="112" t="n">
        <v>19.11</v>
      </c>
      <c r="AE113" s="108" t="inlineStr">
        <is>
          <t>lapsed</t>
        </is>
      </c>
      <c r="AF113" s="108" t="inlineStr">
        <is>
          <t>2022-07-17</t>
        </is>
      </c>
      <c r="AG113" s="108" t="inlineStr">
        <is>
          <t>UBS AG Hong Kong Branch</t>
        </is>
      </c>
      <c r="AH113" s="108" t="inlineStr">
        <is>
          <t>UBS</t>
        </is>
      </c>
      <c r="AI113" s="120" t="n">
        <v>-1.86</v>
      </c>
      <c r="AJ113" s="121" t="n">
        <v>-22.23</v>
      </c>
      <c r="AK113" s="121" t="n">
        <v>3.09</v>
      </c>
      <c r="AL113" s="121" t="n">
        <v>0</v>
      </c>
      <c r="AM113" s="121" t="n">
        <v>-22.23</v>
      </c>
      <c r="AN113" s="122" t="n"/>
      <c r="AO113" s="112" t="n">
        <v>29.91</v>
      </c>
      <c r="AP113" s="121" t="n">
        <v>-47.91</v>
      </c>
      <c r="AQ113" s="121" t="n">
        <v>-68.33</v>
      </c>
      <c r="AR113" s="121" t="n">
        <v>-76.73999999999999</v>
      </c>
      <c r="AS113" s="121" t="n">
        <v>-33.02</v>
      </c>
      <c r="AT113" s="121" t="n">
        <v>-59.28</v>
      </c>
      <c r="AU113" s="121" t="n">
        <v>-70.09</v>
      </c>
      <c r="AV113" s="121" t="n">
        <v>-51.25</v>
      </c>
      <c r="AW113" s="121" t="n">
        <v>-67.92</v>
      </c>
      <c r="AX113" s="121" t="n">
        <v>-59.72</v>
      </c>
      <c r="AY113" s="121" t="n">
        <v>-55.88</v>
      </c>
      <c r="AZ113" s="121" t="n">
        <v>-0.41</v>
      </c>
      <c r="BA113" s="121" t="n">
        <v>-3.4</v>
      </c>
      <c r="BB113" s="108" t="inlineStr">
        <is>
          <t>Hang Seng Commerce &amp; Industry sub-index</t>
        </is>
      </c>
      <c r="BC113" s="121" t="n">
        <v>-99.5</v>
      </c>
      <c r="BD113" s="109" t="n">
        <v>46297</v>
      </c>
      <c r="BE113" s="110" t="n">
        <v>583.4</v>
      </c>
      <c r="BF113" s="113" t="n">
        <v>-960.1</v>
      </c>
      <c r="BG113" s="108" t="inlineStr">
        <is>
          <t>N</t>
        </is>
      </c>
      <c r="BH113" s="108" t="inlineStr">
        <is>
          <t>n/m</t>
        </is>
      </c>
      <c r="BI113" s="122" t="n"/>
      <c r="BJ113" s="122" t="n"/>
      <c r="BK113" s="123" t="n">
        <v>22.5</v>
      </c>
      <c r="BL113" s="124">
        <f>IF('BBG Verify'!S113="","not filed; run on terminal",'BBG Verify'!S113)</f>
        <v/>
      </c>
      <c r="BM113" s="125" t="inlineStr">
        <is>
          <t>N</t>
        </is>
      </c>
      <c r="BN113" s="126">
        <f>IF('BBG Verify'!K113="","not filed; run on terminal",'BBG Verify'!K113)</f>
        <v/>
      </c>
      <c r="BO113" s="108" t="inlineStr">
        <is>
          <t>N/A</t>
        </is>
      </c>
      <c r="BP113" s="108" t="inlineStr">
        <is>
          <t>N/A</t>
        </is>
      </c>
      <c r="BQ113" s="108" t="inlineStr">
        <is>
          <t>N/A</t>
        </is>
      </c>
      <c r="BR113" s="108" t="inlineStr">
        <is>
          <t>N/A</t>
        </is>
      </c>
      <c r="BS113" s="108" t="inlineStr">
        <is>
          <t>N/A</t>
        </is>
      </c>
      <c r="BT113" s="108" t="inlineStr">
        <is>
          <t>N/A</t>
        </is>
      </c>
      <c r="BU113" s="125" t="inlineStr">
        <is>
          <t>UBS Securities Hong Kong Limited; China International Capital Corporation Hong Kong Securities Limited; BOCOM International (Asia) Limited; ABCI Capital Limited</t>
        </is>
      </c>
      <c r="BV113" s="108" t="inlineStr">
        <is>
          <t>China International Capital Corporation Hong Kong Securities Limited; UBS Securities Hong Kong Limited; BOCOM International (Asia) Limited; ABCI Capital Limited</t>
        </is>
      </c>
      <c r="BW113" s="108" t="inlineStr">
        <is>
          <t>UBS AG Hong Kong Branch; China International Capital Corporation Hong Kong Securities Limited; BOCOM International Securities Limited; ABCI Capital Limited; Futu Securities International (Hong Kong) Limited; Zhongtai International Securities Limited; Fosun Hani Securities Limited</t>
        </is>
      </c>
      <c r="BX113" s="108" t="inlineStr">
        <is>
          <t>ABCI Securities Company Limited; Beta International Securities Limited; CEB International Capital Corporation Limited; China International Capital Corporation Hong Kong Securities Limited; Eddid Securities and Futures Limited; Fosun Hani Securities Limited; Futu Securities International (Hong Kong) Limited; Livermore Holdings Limited; Tiger Brokers (HK) Global Limited; UBS AG Hong Kong Branch; Zhongtai International Securities Limited</t>
        </is>
      </c>
      <c r="BY113" s="127">
        <f>HYPERLINK("https://www1.hkexnews.hk/listedco/listconews/sehk/2022/0614/2022061400009.pdf","prospectus")</f>
        <v/>
      </c>
      <c r="BZ113" s="127">
        <f>HYPERLINK("https://www1.hkexnews.hk/listedco/listconews/sehk/2022/0623/2022062300034.htm","allotment")</f>
        <v/>
      </c>
      <c r="CA113" s="127">
        <f>HYPERLINK("https://www1.hkexnews.hk/listedco/listconews/sehk/2022/0718/2022071800093.pdf","stabilisation")</f>
        <v/>
      </c>
      <c r="CB113" s="128" t="n"/>
      <c r="CC113" s="108" t="inlineStr">
        <is>
          <t>P/E: loss-making at IPO, use P/S; range low: maximum offer price only, no floor published; allocation: allocation table not in this notice's format (older prose announcement); day-1 tape: volume on file; the retail multiple needs the final public split, which this notice does not state</t>
        </is>
      </c>
    </row>
    <row r="114" ht="22" customHeight="1">
      <c r="A114" s="107" t="inlineStr">
        <is>
          <t>2167</t>
        </is>
      </c>
      <c r="B114" s="108" t="inlineStr">
        <is>
          <t>TI CLOUD</t>
        </is>
      </c>
      <c r="C114" s="108" t="inlineStr">
        <is>
          <t>天潤雲</t>
        </is>
      </c>
      <c r="D114" s="108" t="inlineStr">
        <is>
          <t>Tech/AI</t>
        </is>
      </c>
      <c r="E114" s="108" t="inlineStr">
        <is>
          <t>SaaS / enterprise software</t>
        </is>
      </c>
      <c r="F114" s="108" t="inlineStr">
        <is>
          <t>Systems Software</t>
        </is>
      </c>
      <c r="G114" s="108" t="inlineStr">
        <is>
          <t>Standard</t>
        </is>
      </c>
      <c r="H114" s="109" t="n">
        <v>44742</v>
      </c>
      <c r="I114" s="110" t="n">
        <v>559.4</v>
      </c>
      <c r="J114" s="108" t="inlineStr">
        <is>
          <t>gross (price x shares)</t>
        </is>
      </c>
      <c r="K114" s="111" t="n">
        <v>12.85</v>
      </c>
      <c r="L114" s="111" t="n">
        <v>13.85</v>
      </c>
      <c r="M114" s="111" t="n">
        <v>12.85</v>
      </c>
      <c r="N114" s="108" t="inlineStr">
        <is>
          <t>N</t>
        </is>
      </c>
      <c r="O114" s="112" t="n">
        <v>92.8</v>
      </c>
      <c r="P114" s="112" t="n">
        <v>0</v>
      </c>
      <c r="Q114" s="113" t="n">
        <v>2237.6</v>
      </c>
      <c r="R114" s="108" t="inlineStr">
        <is>
          <t>derived:deal size / offer % of enlarged capital</t>
        </is>
      </c>
      <c r="S114" s="114" t="n">
        <v>1.17</v>
      </c>
      <c r="T114" s="115" t="n">
        <v>1.27</v>
      </c>
      <c r="U114" s="116" t="n">
        <v>23.4</v>
      </c>
      <c r="V114" s="117" t="n">
        <v>116</v>
      </c>
      <c r="W114" s="118" t="n"/>
      <c r="X114" s="119" t="n"/>
      <c r="Y114" s="113" t="n">
        <v>428.5</v>
      </c>
      <c r="Z114" s="113" t="n">
        <v>33343980</v>
      </c>
      <c r="AA114" s="112" t="n">
        <v>19.15</v>
      </c>
      <c r="AB114" s="108" t="inlineStr">
        <is>
          <t>Agora, Inc; Platinum Investment Management Limited</t>
        </is>
      </c>
      <c r="AC114" s="108" t="inlineStr">
        <is>
          <t>agora;platinum</t>
        </is>
      </c>
      <c r="AD114" s="112" t="n">
        <v>8.09</v>
      </c>
      <c r="AE114" s="108" t="inlineStr">
        <is>
          <t>partial</t>
        </is>
      </c>
      <c r="AF114" s="108" t="inlineStr">
        <is>
          <t>2022-07-24</t>
        </is>
      </c>
      <c r="AG114" s="108" t="inlineStr">
        <is>
          <t>China International Capital Corporation Hong Kong Securities Limited</t>
        </is>
      </c>
      <c r="AH114" s="108" t="inlineStr">
        <is>
          <t>China International</t>
        </is>
      </c>
      <c r="AI114" s="120" t="n">
        <v>-15.8</v>
      </c>
      <c r="AJ114" s="121" t="n">
        <v>-0.08</v>
      </c>
      <c r="AK114" s="121" t="n">
        <v>-1.23</v>
      </c>
      <c r="AL114" s="121" t="n">
        <v>-0.08</v>
      </c>
      <c r="AM114" s="121" t="n">
        <v>0</v>
      </c>
      <c r="AN114" s="122" t="n"/>
      <c r="AO114" s="112" t="n">
        <v>0.16</v>
      </c>
      <c r="AP114" s="121" t="n">
        <v>2.72</v>
      </c>
      <c r="AQ114" s="121" t="n">
        <v>-19.07</v>
      </c>
      <c r="AR114" s="121" t="n">
        <v>-22.26</v>
      </c>
      <c r="AS114" s="121" t="n">
        <v>2.8</v>
      </c>
      <c r="AT114" s="121" t="n">
        <v>-19.01</v>
      </c>
      <c r="AU114" s="121" t="n">
        <v>-22.2</v>
      </c>
      <c r="AV114" s="121" t="n">
        <v>5.43</v>
      </c>
      <c r="AW114" s="121" t="n">
        <v>-6.78</v>
      </c>
      <c r="AX114" s="121" t="n">
        <v>7.17</v>
      </c>
      <c r="AY114" s="121" t="n">
        <v>-7.82</v>
      </c>
      <c r="AZ114" s="121" t="n">
        <v>-12.29</v>
      </c>
      <c r="BA114" s="121" t="n">
        <v>-11.19</v>
      </c>
      <c r="BB114" s="108" t="inlineStr">
        <is>
          <t>HSTECH (Hang Seng TECH ETF)</t>
        </is>
      </c>
      <c r="BC114" s="121" t="n">
        <v>-65.76000000000001</v>
      </c>
      <c r="BD114" s="109" t="n">
        <v>46297</v>
      </c>
      <c r="BE114" s="110" t="n">
        <v>442.1</v>
      </c>
      <c r="BF114" s="113" t="n">
        <v>19.6</v>
      </c>
      <c r="BG114" s="108" t="inlineStr">
        <is>
          <t>Y</t>
        </is>
      </c>
      <c r="BH114" s="123" t="n">
        <v>114.2</v>
      </c>
      <c r="BI114" s="122" t="n"/>
      <c r="BJ114" s="123" t="n">
        <v>10.2</v>
      </c>
      <c r="BK114" s="123" t="n">
        <v>5.1</v>
      </c>
      <c r="BL114" s="124">
        <f>IF('BBG Verify'!S114="","not filed; run on terminal",'BBG Verify'!S114)</f>
        <v/>
      </c>
      <c r="BM114" s="125" t="inlineStr">
        <is>
          <t>N</t>
        </is>
      </c>
      <c r="BN114" s="126">
        <f>IF('BBG Verify'!K114="","not filed; run on terminal",'BBG Verify'!K114)</f>
        <v/>
      </c>
      <c r="BO114" s="108" t="inlineStr">
        <is>
          <t>N/A</t>
        </is>
      </c>
      <c r="BP114" s="108" t="inlineStr">
        <is>
          <t>N/A</t>
        </is>
      </c>
      <c r="BQ114" s="108" t="inlineStr">
        <is>
          <t>N/A</t>
        </is>
      </c>
      <c r="BR114" s="108" t="inlineStr">
        <is>
          <t>N/A</t>
        </is>
      </c>
      <c r="BS114" s="108" t="inlineStr">
        <is>
          <t>N/A</t>
        </is>
      </c>
      <c r="BT114" s="108" t="inlineStr">
        <is>
          <t>N/A</t>
        </is>
      </c>
      <c r="BU114" s="125" t="inlineStr">
        <is>
          <t>China International Capital Corporation Hong Kong Securities Limited</t>
        </is>
      </c>
      <c r="BV114" s="108" t="inlineStr">
        <is>
          <t>China International Capital Corporation Hong Kong Securities Limited</t>
        </is>
      </c>
      <c r="BW114" s="108" t="inlineStr">
        <is>
          <t>China International Capital Corporation Hong Kong Securities Limited; Macquarie Capital Limited; CMB International Capital Limited; BOCI Asia Limited; Shenwan Hongyuan Securities (H.K.) Limited; Tiger Brokers (HK) Global Limited; Futu Securities International (Hong Kong) Limited</t>
        </is>
      </c>
      <c r="BX114" s="108" t="inlineStr">
        <is>
          <t>BOCI Asia Limited; China International Capital Corporation Hong Kong Securities Limited; CMB International Capital Limited; Futu Securities International (Hong Kong) Limited; Livermore Holdings Limited; Macquarie Capital Limited; Silverbricks Securities Company Limited; Shenwan Hongyuan Securities (H.K.) Limited; Tiger Brokers (HK) Global Limited</t>
        </is>
      </c>
      <c r="BY114" s="127">
        <f>HYPERLINK("https://www1.hkexnews.hk/listedco/listconews/sehk/2022/0621/2022062100009.pdf","prospectus")</f>
        <v/>
      </c>
      <c r="BZ114" s="127">
        <f>HYPERLINK("https://www1.hkexnews.hk/listedco/listconews/sehk/2022/0629/2022062900092.htm","allotment")</f>
        <v/>
      </c>
      <c r="CA114" s="127">
        <f>HYPERLINK("https://www1.hkexnews.hk/listedco/listconews/sehk/2022/0724/2022072400037.pdf","stabilisation")</f>
        <v/>
      </c>
      <c r="CB114" s="128" t="n"/>
      <c r="CC114" s="108" t="inlineStr">
        <is>
          <t>allocation: allocation table not in this notice's format (older prose announcement); day-1 tape: volume on file; the retail multiple needs the final public split, which this notice does not state</t>
        </is>
      </c>
    </row>
    <row r="115" ht="22" customHeight="1">
      <c r="A115" s="107" t="inlineStr">
        <is>
          <t>2372</t>
        </is>
      </c>
      <c r="B115" s="108" t="inlineStr">
        <is>
          <t>WEILI HOLDINGS</t>
        </is>
      </c>
      <c r="C115" s="108" t="inlineStr">
        <is>
          <t>偉立控股</t>
        </is>
      </c>
      <c r="D115" s="108" t="inlineStr">
        <is>
          <t>Materials/Energy</t>
        </is>
      </c>
      <c r="E115" s="108" t="inlineStr">
        <is>
          <t>Chemicals</t>
        </is>
      </c>
      <c r="F115" s="108" t="inlineStr">
        <is>
          <t>Cigarette Products</t>
        </is>
      </c>
      <c r="G115" s="108" t="inlineStr">
        <is>
          <t>Standard</t>
        </is>
      </c>
      <c r="H115" s="109" t="n">
        <v>44742</v>
      </c>
      <c r="I115" s="110" t="n">
        <v>126</v>
      </c>
      <c r="J115" s="108" t="inlineStr">
        <is>
          <t>gross (price x shares)</t>
        </is>
      </c>
      <c r="K115" s="111" t="n">
        <v>0.63</v>
      </c>
      <c r="L115" s="111" t="n">
        <v>0.67</v>
      </c>
      <c r="M115" s="111" t="n">
        <v>0.63</v>
      </c>
      <c r="N115" s="108" t="inlineStr">
        <is>
          <t>N</t>
        </is>
      </c>
      <c r="O115" s="112" t="n">
        <v>94</v>
      </c>
      <c r="P115" s="112" t="n">
        <v>0</v>
      </c>
      <c r="Q115" s="113" t="n">
        <v>534.1</v>
      </c>
      <c r="R115" s="108" t="inlineStr">
        <is>
          <t>aastocks:上市市值 at the struck price</t>
        </is>
      </c>
      <c r="S115" s="114" t="n">
        <v>11.37</v>
      </c>
      <c r="T115" s="115" t="n">
        <v>1.29</v>
      </c>
      <c r="U115" s="116" t="n">
        <v>0</v>
      </c>
      <c r="V115" s="117" t="n">
        <v>171</v>
      </c>
      <c r="W115" s="118" t="n"/>
      <c r="X115" s="119" t="n"/>
      <c r="Y115" s="113" t="n">
        <v>126</v>
      </c>
      <c r="Z115" s="113" t="n">
        <v>200000000</v>
      </c>
      <c r="AA115" s="112" t="n">
        <v>23.59</v>
      </c>
      <c r="AB115" s="108" t="inlineStr">
        <is>
          <t>none — no cornerstone tranche</t>
        </is>
      </c>
      <c r="AC115" s="108" t="inlineStr">
        <is>
          <t>none</t>
        </is>
      </c>
      <c r="AD115" s="118" t="n"/>
      <c r="AE115" s="108" t="inlineStr">
        <is>
          <t>lapsed (no over-allocation)</t>
        </is>
      </c>
      <c r="AF115" s="119" t="n"/>
      <c r="AG115" s="119" t="n"/>
      <c r="AH115" s="119" t="n"/>
      <c r="AI115" s="120" t="n">
        <v>3.17</v>
      </c>
      <c r="AJ115" s="121" t="n">
        <v>0</v>
      </c>
      <c r="AK115" s="121" t="n">
        <v>-1.13</v>
      </c>
      <c r="AL115" s="121" t="n">
        <v>11.11</v>
      </c>
      <c r="AM115" s="121" t="n">
        <v>-10</v>
      </c>
      <c r="AN115" s="122" t="n"/>
      <c r="AO115" s="112" t="n">
        <v>14.29</v>
      </c>
      <c r="AP115" s="121" t="n">
        <v>4.76</v>
      </c>
      <c r="AQ115" s="121" t="n">
        <v>-30.16</v>
      </c>
      <c r="AR115" s="121" t="n">
        <v>-30.16</v>
      </c>
      <c r="AS115" s="121" t="n">
        <v>4.76</v>
      </c>
      <c r="AT115" s="121" t="n">
        <v>-30.16</v>
      </c>
      <c r="AU115" s="121" t="n">
        <v>-30.16</v>
      </c>
      <c r="AV115" s="121" t="n">
        <v>4.94</v>
      </c>
      <c r="AW115" s="121" t="n">
        <v>-21.1</v>
      </c>
      <c r="AX115" s="121" t="n">
        <v>-8.720000000000001</v>
      </c>
      <c r="AY115" s="121" t="n">
        <v>-22.14</v>
      </c>
      <c r="AZ115" s="121" t="n">
        <v>-9.06</v>
      </c>
      <c r="BA115" s="121" t="n">
        <v>-8.02</v>
      </c>
      <c r="BB115" s="108" t="inlineStr">
        <is>
          <t>Hang Seng Commerce &amp; Industry sub-index</t>
        </is>
      </c>
      <c r="BC115" s="121" t="n">
        <v>46.83</v>
      </c>
      <c r="BD115" s="109" t="n">
        <v>46297</v>
      </c>
      <c r="BE115" s="110" t="n">
        <v>407.3</v>
      </c>
      <c r="BF115" s="113" t="n">
        <v>39.3</v>
      </c>
      <c r="BG115" s="108" t="inlineStr">
        <is>
          <t>Y</t>
        </is>
      </c>
      <c r="BH115" s="123" t="n">
        <v>13.6</v>
      </c>
      <c r="BI115" s="122" t="n"/>
      <c r="BJ115" s="122" t="n"/>
      <c r="BK115" s="123" t="n">
        <v>1.3</v>
      </c>
      <c r="BL115" s="124">
        <f>IF('BBG Verify'!S115="","not filed; run on terminal",'BBG Verify'!S115)</f>
        <v/>
      </c>
      <c r="BM115" s="125" t="inlineStr">
        <is>
          <t>N</t>
        </is>
      </c>
      <c r="BN115" s="126">
        <f>IF('BBG Verify'!K115="","not filed; run on terminal",'BBG Verify'!K115)</f>
        <v/>
      </c>
      <c r="BO115" s="108" t="inlineStr">
        <is>
          <t>N/A</t>
        </is>
      </c>
      <c r="BP115" s="108" t="inlineStr">
        <is>
          <t>N/A</t>
        </is>
      </c>
      <c r="BQ115" s="108" t="inlineStr">
        <is>
          <t>N/A</t>
        </is>
      </c>
      <c r="BR115" s="108" t="inlineStr">
        <is>
          <t>N/A</t>
        </is>
      </c>
      <c r="BS115" s="108" t="inlineStr">
        <is>
          <t>N/A</t>
        </is>
      </c>
      <c r="BT115" s="108" t="inlineStr">
        <is>
          <t>N/A</t>
        </is>
      </c>
      <c r="BU115" s="125" t="inlineStr">
        <is>
          <t>Grande Capital Limited</t>
        </is>
      </c>
      <c r="BV115" s="108" t="inlineStr">
        <is>
          <t>Grande Capital Limited</t>
        </is>
      </c>
      <c r="BW115" s="108" t="inlineStr">
        <is>
          <t>First Shanghai Securities Limited; CRIC Securities Company Limited; Zhongtai International Securities Limited</t>
        </is>
      </c>
      <c r="BX115" s="108" t="inlineStr">
        <is>
          <t>China Galaxy International Securities (Hong Kong) Company Limited; Cinda International Capital Limited; CRIC Securities Company Limited; First Shanghai Securities Limited; Kingsway Financial Services Group Limited; Livermore Holdings Limited; Valuable Capital Limited; Zhongtai International Securities Limited</t>
        </is>
      </c>
      <c r="BY115" s="127">
        <f>HYPERLINK("https://www1.hkexnews.hk/listedco/listconews/sehk/2022/0617/2022061700066.htm","prospectus")</f>
        <v/>
      </c>
      <c r="BZ115" s="127">
        <f>HYPERLINK("https://www1.hkexnews.hk/listedco/listconews/sehk/2022/0629/2022062900108.htm","allotment")</f>
        <v/>
      </c>
      <c r="CA115" s="127">
        <f>HYPERLINK("https://www1.hkexnews.hk/listedco/listconews/sehk/2022/0722/2022072201214.pdf","stabilisation")</f>
        <v/>
      </c>
      <c r="CB115" s="128" t="n"/>
      <c r="CC115" s="108" t="inlineStr">
        <is>
          <t>greenshoe: outcome published; expiry date not in the notice; sponsor: English name not in the filing; AAStocks 保薦人 shown; cornerstone list: no cornerstone tranche; greenshoe size: no over-allotment option; stabilising manager: not named in the allotment notice or prospectus glossary; allocation: allocation table not in this notice's format (older prose announcement); day-1 tape: volume on file; the retail multiple needs the final public split, which this notice does not state</t>
        </is>
      </c>
    </row>
    <row r="116" ht="22" customHeight="1">
      <c r="A116" s="107" t="inlineStr">
        <is>
          <t>2391</t>
        </is>
      </c>
      <c r="B116" s="108" t="inlineStr">
        <is>
          <t>TUYA-W</t>
        </is>
      </c>
      <c r="C116" s="108" t="inlineStr">
        <is>
          <t>塗鴉智能－Ｗ</t>
        </is>
      </c>
      <c r="D116" s="108" t="inlineStr">
        <is>
          <t>Tech/AI</t>
        </is>
      </c>
      <c r="E116" s="108" t="inlineStr">
        <is>
          <t>SaaS / enterprise software</t>
        </is>
      </c>
      <c r="F116" s="108" t="inlineStr">
        <is>
          <t>Systems Software</t>
        </is>
      </c>
      <c r="G116" s="108" t="inlineStr">
        <is>
          <t>WVR</t>
        </is>
      </c>
      <c r="H116" s="109" t="n">
        <v>44747</v>
      </c>
      <c r="I116" s="110" t="n">
        <v>140.9</v>
      </c>
      <c r="J116" s="108" t="inlineStr">
        <is>
          <t>gross (price x shares)</t>
        </is>
      </c>
      <c r="K116" s="129" t="n"/>
      <c r="L116" s="111" t="n">
        <v>22.8</v>
      </c>
      <c r="M116" s="111" t="n">
        <v>19.3</v>
      </c>
      <c r="N116" s="108" t="inlineStr">
        <is>
          <t>N</t>
        </is>
      </c>
      <c r="O116" s="112" t="n">
        <v>84.59999999999999</v>
      </c>
      <c r="P116" s="118" t="n"/>
      <c r="Q116" s="113" t="n">
        <v>13190.9</v>
      </c>
      <c r="R116" s="108" t="inlineStr">
        <is>
          <t>prospectus:stated market capitalisation</t>
        </is>
      </c>
      <c r="S116" s="114" t="n">
        <v>9.949999999999999</v>
      </c>
      <c r="T116" s="115" t="n">
        <v>1.3</v>
      </c>
      <c r="U116" s="116" t="n">
        <v>0</v>
      </c>
      <c r="V116" s="117" t="n">
        <v>103</v>
      </c>
      <c r="W116" s="118" t="n"/>
      <c r="X116" s="119" t="n"/>
      <c r="Y116" s="113" t="n">
        <v>140.9</v>
      </c>
      <c r="Z116" s="113" t="n">
        <v>7300000</v>
      </c>
      <c r="AA116" s="112" t="n">
        <v>1.07</v>
      </c>
      <c r="AB116" s="108" t="inlineStr">
        <is>
          <t>none — no cornerstone tranche</t>
        </is>
      </c>
      <c r="AC116" s="108" t="inlineStr">
        <is>
          <t>none</t>
        </is>
      </c>
      <c r="AD116" s="112" t="n">
        <v>10.33</v>
      </c>
      <c r="AE116" s="108" t="inlineStr">
        <is>
          <t>lapsed</t>
        </is>
      </c>
      <c r="AF116" s="119" t="n"/>
      <c r="AG116" s="108" t="inlineStr">
        <is>
          <t>Morgan Stanley Asia Limited</t>
        </is>
      </c>
      <c r="AH116" s="108" t="inlineStr">
        <is>
          <t>Morgan Stanley</t>
        </is>
      </c>
      <c r="AI116" s="120" t="n">
        <v>1.66</v>
      </c>
      <c r="AJ116" s="121" t="n">
        <v>0</v>
      </c>
      <c r="AK116" s="121" t="n">
        <v>-0.58</v>
      </c>
      <c r="AL116" s="121" t="n">
        <v>1.35</v>
      </c>
      <c r="AM116" s="121" t="n">
        <v>-1.33</v>
      </c>
      <c r="AN116" s="122" t="n"/>
      <c r="AO116" s="112" t="n">
        <v>3.27</v>
      </c>
      <c r="AP116" s="121" t="n">
        <v>-2.07</v>
      </c>
      <c r="AQ116" s="121" t="n">
        <v>-30.05</v>
      </c>
      <c r="AR116" s="121" t="n">
        <v>-60.62</v>
      </c>
      <c r="AS116" s="121" t="n">
        <v>-2.07</v>
      </c>
      <c r="AT116" s="121" t="n">
        <v>-30.05</v>
      </c>
      <c r="AU116" s="121" t="n">
        <v>-60.62</v>
      </c>
      <c r="AV116" s="121" t="n">
        <v>5.15</v>
      </c>
      <c r="AW116" s="121" t="n">
        <v>-16.97</v>
      </c>
      <c r="AX116" s="121" t="n">
        <v>-30.77</v>
      </c>
      <c r="AY116" s="121" t="n">
        <v>-17.48</v>
      </c>
      <c r="AZ116" s="121" t="n">
        <v>-13.08</v>
      </c>
      <c r="BA116" s="121" t="n">
        <v>-12.57</v>
      </c>
      <c r="BB116" s="108" t="inlineStr">
        <is>
          <t>HSTECH (Hang Seng TECH ETF)</t>
        </is>
      </c>
      <c r="BC116" s="121" t="n">
        <v>-32.54</v>
      </c>
      <c r="BD116" s="109" t="n">
        <v>46297</v>
      </c>
      <c r="BE116" s="110" t="n">
        <v>2356.2</v>
      </c>
      <c r="BF116" s="113" t="n">
        <v>-1368.3</v>
      </c>
      <c r="BG116" s="108" t="inlineStr">
        <is>
          <t>N</t>
        </is>
      </c>
      <c r="BH116" s="108" t="inlineStr">
        <is>
          <t>n/m</t>
        </is>
      </c>
      <c r="BI116" s="122" t="n"/>
      <c r="BJ116" s="122" t="n"/>
      <c r="BK116" s="123" t="n">
        <v>5.6</v>
      </c>
      <c r="BL116" s="124">
        <f>IF('BBG Verify'!S116="","not filed; run on terminal",'BBG Verify'!S116)</f>
        <v/>
      </c>
      <c r="BM116" s="125" t="inlineStr">
        <is>
          <t>N</t>
        </is>
      </c>
      <c r="BN116" s="126">
        <f>IF('BBG Verify'!K116="","not filed; run on terminal",'BBG Verify'!K116)</f>
        <v/>
      </c>
      <c r="BO116" s="108" t="inlineStr">
        <is>
          <t>N/A</t>
        </is>
      </c>
      <c r="BP116" s="108" t="inlineStr">
        <is>
          <t>N/A</t>
        </is>
      </c>
      <c r="BQ116" s="108" t="inlineStr">
        <is>
          <t>N/A</t>
        </is>
      </c>
      <c r="BR116" s="108" t="inlineStr">
        <is>
          <t>N/A</t>
        </is>
      </c>
      <c r="BS116" s="108" t="inlineStr">
        <is>
          <t>N/A</t>
        </is>
      </c>
      <c r="BT116" s="108" t="inlineStr">
        <is>
          <t>N/A</t>
        </is>
      </c>
      <c r="BU116" s="125" t="inlineStr">
        <is>
          <t>China International Capital Corporation Hong Kong Securities Limited; Merrill Lynch (Asia Pacific) Limited; Morgan Stanley Asia Limited</t>
        </is>
      </c>
      <c r="BV116" s="108" t="inlineStr">
        <is>
          <t>China International Capital Corporation Hong Kong Securities Limited; Morgan Stanley Asia Limited; Merrill Lynch (Asia Pacific) Limited</t>
        </is>
      </c>
      <c r="BW116" s="108" t="inlineStr">
        <is>
          <t>China International Capital Corporation Hong Kong Securities Limited; Morgan Stanley Asia Limited; Merrill Lynch (Asia Pacific) Limited; CMB International Capital Limited; Tiger Brokers (HK) Global Limited</t>
        </is>
      </c>
      <c r="BX116" s="108" t="inlineStr">
        <is>
          <t>China International Capital Corporation Hong Kong Securities Limited; CMB International Capital Corporation Limited; Merrill Lynch (Asia Pacific) Limited; Morgan Stanley Asia Limited; Tiger Brokers (HK) Global Limited</t>
        </is>
      </c>
      <c r="BY116" s="127">
        <f>HYPERLINK("https://www1.hkexnews.hk/listedco/listconews/sehk/2022/0622/2022062200189.pdf","prospectus")</f>
        <v/>
      </c>
      <c r="BZ116" s="127">
        <f>HYPERLINK("https://www1.hkexnews.hk/listedco/listconews/sehk/2022/0704/2022070400032.htm","allotment")</f>
        <v/>
      </c>
      <c r="CA116" s="127">
        <f>HYPERLINK("https://www1.hkexnews.hk/listedco/listconews/sehk/2022/0727/2022072701192.pdf","stabilisation")</f>
        <v/>
      </c>
      <c r="CB116" s="128" t="n"/>
      <c r="CC116" s="108" t="inlineStr">
        <is>
          <t>P/E: loss-making at IPO, use P/S; greenshoe: outcome published; expiry date not in the notice; range low: maximum offer price only, no floor published; cornerstone list: no cornerstone tranche; allocation: allocation table not in this notice's format (older prose announcement); day-1 tape: volume on file; the retail multiple needs the final public split, which this notice does not state</t>
        </is>
      </c>
    </row>
    <row r="117" ht="22" customHeight="1">
      <c r="A117" s="107" t="inlineStr">
        <is>
          <t>9955</t>
        </is>
      </c>
      <c r="B117" s="108" t="inlineStr">
        <is>
          <t>CLOUDR</t>
        </is>
      </c>
      <c r="C117" s="108" t="inlineStr">
        <is>
          <t>智雲健康</t>
        </is>
      </c>
      <c r="D117" s="108" t="inlineStr">
        <is>
          <t>Healthcare</t>
        </is>
      </c>
      <c r="E117" s="108" t="inlineStr">
        <is>
          <t>Digital health</t>
        </is>
      </c>
      <c r="F117" s="108" t="inlineStr">
        <is>
          <t>Health Care Equipment</t>
        </is>
      </c>
      <c r="G117" s="108" t="inlineStr">
        <is>
          <t>Standard</t>
        </is>
      </c>
      <c r="H117" s="109" t="n">
        <v>44748</v>
      </c>
      <c r="I117" s="110" t="n">
        <v>579.5</v>
      </c>
      <c r="J117" s="108" t="inlineStr">
        <is>
          <t>gross (price x shares)</t>
        </is>
      </c>
      <c r="K117" s="129" t="n"/>
      <c r="L117" s="111" t="n">
        <v>30.5</v>
      </c>
      <c r="M117" s="111" t="n">
        <v>30.5</v>
      </c>
      <c r="N117" s="108" t="inlineStr">
        <is>
          <t>Y</t>
        </is>
      </c>
      <c r="O117" s="112" t="n">
        <v>100</v>
      </c>
      <c r="P117" s="118" t="n"/>
      <c r="Q117" s="113" t="n">
        <v>17896</v>
      </c>
      <c r="R117" s="108" t="inlineStr">
        <is>
          <t>press:sina/雷峰网 2022-07: 收28.2港元 市值165.54亿</t>
        </is>
      </c>
      <c r="S117" s="114" t="n">
        <v>7.89</v>
      </c>
      <c r="T117" s="115" t="n">
        <v>2.15</v>
      </c>
      <c r="U117" s="116" t="n">
        <v>60.96</v>
      </c>
      <c r="V117" s="117" t="n">
        <v>194</v>
      </c>
      <c r="W117" s="118" t="n"/>
      <c r="X117" s="119" t="n"/>
      <c r="Y117" s="113" t="n">
        <v>226.24</v>
      </c>
      <c r="Z117" s="113" t="n">
        <v>7417600</v>
      </c>
      <c r="AA117" s="112" t="n">
        <v>1.26</v>
      </c>
      <c r="AB117" s="108" t="inlineStr">
        <is>
          <t>Harvest International Premium Value (Secondary Market) Fund SPC; Sanofi Foreign Participations B.V; Tasly International Capital Limited; Yangtze River (Hong Kong) Limited</t>
        </is>
      </c>
      <c r="AC117" s="108" t="inlineStr">
        <is>
          <t>harvest;sanofi;tasly;yangtze</t>
        </is>
      </c>
      <c r="AD117" s="112" t="n">
        <v>15.23</v>
      </c>
      <c r="AE117" s="108" t="inlineStr">
        <is>
          <t>lapsed</t>
        </is>
      </c>
      <c r="AF117" s="108" t="inlineStr">
        <is>
          <t>2022-07-28</t>
        </is>
      </c>
      <c r="AG117" s="108" t="inlineStr">
        <is>
          <t>Morgan Stanley Asia Limited</t>
        </is>
      </c>
      <c r="AH117" s="108" t="inlineStr">
        <is>
          <t>Morgan Stanley</t>
        </is>
      </c>
      <c r="AI117" s="120" t="n">
        <v>-0.33</v>
      </c>
      <c r="AJ117" s="121" t="n">
        <v>-7.54</v>
      </c>
      <c r="AK117" s="121" t="n">
        <v>-1.81</v>
      </c>
      <c r="AL117" s="121" t="n">
        <v>0</v>
      </c>
      <c r="AM117" s="121" t="n">
        <v>-7.54</v>
      </c>
      <c r="AN117" s="122" t="n"/>
      <c r="AO117" s="112" t="n">
        <v>20.82</v>
      </c>
      <c r="AP117" s="121" t="n">
        <v>-9.84</v>
      </c>
      <c r="AQ117" s="121" t="n">
        <v>-33.77</v>
      </c>
      <c r="AR117" s="121" t="n">
        <v>-54.43</v>
      </c>
      <c r="AS117" s="121" t="n">
        <v>-2.49</v>
      </c>
      <c r="AT117" s="121" t="n">
        <v>-28.37</v>
      </c>
      <c r="AU117" s="121" t="n">
        <v>-50.71</v>
      </c>
      <c r="AV117" s="121" t="n">
        <v>-2.59</v>
      </c>
      <c r="AW117" s="121" t="n">
        <v>-20.96</v>
      </c>
      <c r="AX117" s="121" t="n">
        <v>-30.06</v>
      </c>
      <c r="AY117" s="121" t="n">
        <v>-17.17</v>
      </c>
      <c r="AZ117" s="121" t="n">
        <v>-12.81</v>
      </c>
      <c r="BA117" s="121" t="n">
        <v>-11.2</v>
      </c>
      <c r="BB117" s="108" t="inlineStr">
        <is>
          <t>China Biotech ETF (HS biotech proxy)</t>
        </is>
      </c>
      <c r="BC117" s="121" t="n">
        <v>-98.45999999999999</v>
      </c>
      <c r="BD117" s="109" t="n">
        <v>46297</v>
      </c>
      <c r="BE117" s="132" t="n"/>
      <c r="BF117" s="131" t="n"/>
      <c r="BG117" s="119" t="n"/>
      <c r="BH117" s="124">
        <f>IF('BBG Verify'!O117="","not filed; run on terminal",'BBG Verify'!O117)</f>
        <v/>
      </c>
      <c r="BI117" s="122" t="n"/>
      <c r="BJ117" s="122" t="n"/>
      <c r="BK117" s="122" t="n"/>
      <c r="BL117" s="124">
        <f>IF('BBG Verify'!S117="","not filed; run on terminal",'BBG Verify'!S117)</f>
        <v/>
      </c>
      <c r="BM117" s="125" t="inlineStr">
        <is>
          <t>N</t>
        </is>
      </c>
      <c r="BN117" s="126">
        <f>IF('BBG Verify'!K117="","not filed; run on terminal",'BBG Verify'!K117)</f>
        <v/>
      </c>
      <c r="BO117" s="108" t="inlineStr">
        <is>
          <t>N/A</t>
        </is>
      </c>
      <c r="BP117" s="108" t="inlineStr">
        <is>
          <t>N/A</t>
        </is>
      </c>
      <c r="BQ117" s="108" t="inlineStr">
        <is>
          <t>N/A</t>
        </is>
      </c>
      <c r="BR117" s="108" t="inlineStr">
        <is>
          <t>N/A</t>
        </is>
      </c>
      <c r="BS117" s="108" t="inlineStr">
        <is>
          <t>N/A</t>
        </is>
      </c>
      <c r="BT117" s="108" t="inlineStr">
        <is>
          <t>N/A</t>
        </is>
      </c>
      <c r="BU117" s="125" t="inlineStr">
        <is>
          <t>Morgan Stanley Asia Limited; J.P. Morgan Securities (Far East) Limited; J.P. Morgan Securities (Asia Pacific) Limited; China International Capital Corporation Hong Kong Securities Limited</t>
        </is>
      </c>
      <c r="BV117" s="108" t="inlineStr">
        <is>
          <t>Morgan Stanley Asia Limited; J.P. Morgan Securities (Far East) Limited</t>
        </is>
      </c>
      <c r="BW117" s="108" t="inlineStr">
        <is>
          <t>Morgan Stanley Asia Limited; J.P. Morgan Securities (Asia Pacific) Limited; China International Capital Corporation Hong Kong Securities Limited; CMB International Capital Limited; J.P. Morgan Securities plc; Valuable Capital Limited</t>
        </is>
      </c>
      <c r="BX117" s="108" t="inlineStr">
        <is>
          <t>China International Capital Corporation Hong Kong Securities Limited; CMB International Capital Limited; J.P. Morgan Securities (Asia Pacific) Limited; Morgan Stanley Asia Limited; Valuable Capital Limited</t>
        </is>
      </c>
      <c r="BY117" s="127">
        <f>HYPERLINK("https://www1.hkexnews.hk/listedco/listconews/sehk/2022/0623/2022062300064.htm","prospectus")</f>
        <v/>
      </c>
      <c r="BZ117" s="127">
        <f>HYPERLINK("https://www1.hkexnews.hk/listedco/listconews/sehk/2022/0705/2022070500012.htm","allotment")</f>
        <v/>
      </c>
      <c r="CA117" s="127">
        <f>HYPERLINK("https://www1.hkexnews.hk/listedco/listconews/sehk/2022/0728/2022072801570.pdf","stabilisation")</f>
        <v/>
      </c>
      <c r="CB117" s="128" t="n"/>
      <c r="CC117" s="108" t="inlineStr">
        <is>
          <t>P/E: net income not extractable; price range: fixed-price offering (no indicative range); range low: maximum offer price only, no floor published; P/S: revenue not extractable; financials: not extractable; pre-IPO year outside the AAStocks window; allocation: allocation table not in this notice's format (older prose announcement); day-1 tape: volume on file; the retail multiple needs the final public split, which this notice does not state</t>
        </is>
      </c>
    </row>
    <row r="118" ht="22" customHeight="1">
      <c r="A118" s="107" t="inlineStr">
        <is>
          <t>2376</t>
        </is>
      </c>
      <c r="B118" s="108" t="inlineStr">
        <is>
          <t>LUSHANGSERVICES</t>
        </is>
      </c>
      <c r="C118" s="108" t="inlineStr">
        <is>
          <t>魯商服務</t>
        </is>
      </c>
      <c r="D118" s="108" t="inlineStr">
        <is>
          <t>Real Estate</t>
        </is>
      </c>
      <c r="E118" s="108" t="inlineStr">
        <is>
          <t>Property management</t>
        </is>
      </c>
      <c r="F118" s="108" t="inlineStr">
        <is>
          <t>Property Service and Management</t>
        </is>
      </c>
      <c r="G118" s="108" t="inlineStr">
        <is>
          <t>Standard</t>
        </is>
      </c>
      <c r="H118" s="109" t="n">
        <v>44750</v>
      </c>
      <c r="I118" s="110" t="n">
        <v>197.4</v>
      </c>
      <c r="J118" s="108" t="inlineStr">
        <is>
          <t>gross (price x shares)</t>
        </is>
      </c>
      <c r="K118" s="111" t="n">
        <v>5.3</v>
      </c>
      <c r="L118" s="111" t="n">
        <v>7.92</v>
      </c>
      <c r="M118" s="111" t="n">
        <v>5.92</v>
      </c>
      <c r="N118" s="108" t="inlineStr">
        <is>
          <t>N</t>
        </is>
      </c>
      <c r="O118" s="112" t="n">
        <v>74.7</v>
      </c>
      <c r="P118" s="112" t="n">
        <v>23.7</v>
      </c>
      <c r="Q118" s="113" t="n">
        <v>967.9</v>
      </c>
      <c r="R118" s="108" t="inlineStr">
        <is>
          <t>aastocks:上市市值 at the struck price</t>
        </is>
      </c>
      <c r="S118" s="114" t="n">
        <v>7.39</v>
      </c>
      <c r="T118" s="115" t="n">
        <v>1.2</v>
      </c>
      <c r="U118" s="116" t="n">
        <v>0</v>
      </c>
      <c r="V118" s="117" t="n">
        <v>125</v>
      </c>
      <c r="W118" s="118" t="n"/>
      <c r="X118" s="119" t="n"/>
      <c r="Y118" s="113" t="n">
        <v>197.4</v>
      </c>
      <c r="Z118" s="113" t="n">
        <v>33340000</v>
      </c>
      <c r="AA118" s="112" t="n">
        <v>20.39</v>
      </c>
      <c r="AB118" s="108" t="inlineStr">
        <is>
          <t>none — no cornerstone tranche</t>
        </is>
      </c>
      <c r="AC118" s="108" t="inlineStr">
        <is>
          <t>none</t>
        </is>
      </c>
      <c r="AD118" s="112" t="n">
        <v>15</v>
      </c>
      <c r="AE118" s="108" t="inlineStr">
        <is>
          <t>lapsed</t>
        </is>
      </c>
      <c r="AF118" s="108" t="inlineStr">
        <is>
          <t>2022-07-30</t>
        </is>
      </c>
      <c r="AG118" s="108" t="inlineStr">
        <is>
          <t>ABCI Securities Company Limited</t>
        </is>
      </c>
      <c r="AH118" s="108" t="inlineStr">
        <is>
          <t>ABCI</t>
        </is>
      </c>
      <c r="AI118" s="120" t="n">
        <v>-4.73</v>
      </c>
      <c r="AJ118" s="121" t="n">
        <v>-25.17</v>
      </c>
      <c r="AK118" s="121" t="n">
        <v>0.97</v>
      </c>
      <c r="AL118" s="121" t="n">
        <v>-15.37</v>
      </c>
      <c r="AM118" s="121" t="n">
        <v>-11.58</v>
      </c>
      <c r="AN118" s="122" t="n"/>
      <c r="AO118" s="112" t="n">
        <v>20.56</v>
      </c>
      <c r="AP118" s="121" t="n">
        <v>-39.19</v>
      </c>
      <c r="AQ118" s="121" t="n">
        <v>-57.43</v>
      </c>
      <c r="AR118" s="121" t="n">
        <v>-60.3</v>
      </c>
      <c r="AS118" s="121" t="n">
        <v>-18.74</v>
      </c>
      <c r="AT118" s="121" t="n">
        <v>-43.11</v>
      </c>
      <c r="AU118" s="121" t="n">
        <v>-46.95</v>
      </c>
      <c r="AV118" s="121" t="n">
        <v>-31.5</v>
      </c>
      <c r="AW118" s="121" t="n">
        <v>-46.54</v>
      </c>
      <c r="AX118" s="121" t="n">
        <v>-41.93</v>
      </c>
      <c r="AY118" s="121" t="n">
        <v>-31.36</v>
      </c>
      <c r="AZ118" s="121" t="n">
        <v>-10.89</v>
      </c>
      <c r="BA118" s="121" t="n">
        <v>-11.75</v>
      </c>
      <c r="BB118" s="108" t="inlineStr">
        <is>
          <t>Hang Seng Properties sub-index</t>
        </is>
      </c>
      <c r="BC118" s="121" t="n">
        <v>-61.49</v>
      </c>
      <c r="BD118" s="109" t="n">
        <v>46297</v>
      </c>
      <c r="BE118" s="110" t="n">
        <v>641.1</v>
      </c>
      <c r="BF118" s="113" t="n">
        <v>84.7</v>
      </c>
      <c r="BG118" s="108" t="inlineStr">
        <is>
          <t>Y</t>
        </is>
      </c>
      <c r="BH118" s="123" t="n">
        <v>11.4</v>
      </c>
      <c r="BI118" s="122" t="n"/>
      <c r="BJ118" s="123" t="n">
        <v>7.4</v>
      </c>
      <c r="BK118" s="123" t="n">
        <v>1.5</v>
      </c>
      <c r="BL118" s="124">
        <f>IF('BBG Verify'!S118="","not filed; run on terminal",'BBG Verify'!S118)</f>
        <v/>
      </c>
      <c r="BM118" s="125" t="inlineStr">
        <is>
          <t>N</t>
        </is>
      </c>
      <c r="BN118" s="126">
        <f>IF('BBG Verify'!K118="","not filed; run on terminal",'BBG Verify'!K118)</f>
        <v/>
      </c>
      <c r="BO118" s="108" t="inlineStr">
        <is>
          <t>N/A</t>
        </is>
      </c>
      <c r="BP118" s="108" t="inlineStr">
        <is>
          <t>N/A</t>
        </is>
      </c>
      <c r="BQ118" s="108" t="inlineStr">
        <is>
          <t>N/A</t>
        </is>
      </c>
      <c r="BR118" s="108" t="inlineStr">
        <is>
          <t>N/A</t>
        </is>
      </c>
      <c r="BS118" s="108" t="inlineStr">
        <is>
          <t>N/A</t>
        </is>
      </c>
      <c r="BT118" s="108" t="inlineStr">
        <is>
          <t>N/A</t>
        </is>
      </c>
      <c r="BU118" s="125" t="inlineStr">
        <is>
          <t>ABCI Capital Limited</t>
        </is>
      </c>
      <c r="BV118" s="108" t="inlineStr">
        <is>
          <t>ABCI Capital Limited</t>
        </is>
      </c>
      <c r="BW118" s="108" t="inlineStr">
        <is>
          <t>ABCI Capital Limited; Zhongtai International Securities Limited; China International Capital Corporation Hong Kong Securities Limited; GF Securities (Hong Kong) Brokerage Limited; Guotai Junan Securities (Hong Kong) Limited; CMBC Securities Company Limited; Yue Xiu Securities Company Limited; China Chengtong (Hong Kong) Asset Management Company Limited; Fortune (HK) Securities Limited; Eddid Securities and Futures Limited</t>
        </is>
      </c>
      <c r="BX118" s="108" t="inlineStr">
        <is>
          <t>ABCI Securities Company Limited; China Chengtong (Hong Kong) Asset Management Company Limited; China Everbright Securities (HK) Limited; China International Capital Corporation Hong Kong Securities Limited; CMBC Securities Company Limited; Eddid Securities and Futures Limited; Fortune (HK) Securities Limited; GF Securities (Hong Kong) Brokerage Limited; Guotai Junan Securities (Hong Kong) Limited; Livermore Holdings Limited; Valuable Capital Limited; Yue Xiu Securities Company Limited</t>
        </is>
      </c>
      <c r="BY118" s="127">
        <f>HYPERLINK("https://www1.hkexnews.hk/listedco/listconews/sehk/2022/0627/2022062700017.pdf","prospectus")</f>
        <v/>
      </c>
      <c r="BZ118" s="127">
        <f>HYPERLINK("https://www1.hkexnews.hk/listedco/listconews/sehk/2022/0707/2022070700020.htm","allotment")</f>
        <v/>
      </c>
      <c r="CA118" s="127">
        <f>HYPERLINK("https://www1.hkexnews.hk/listedco/listconews/sehk/2022/0801/2022080101943.pdf","stabilisation")</f>
        <v/>
      </c>
      <c r="CB118" s="128" t="n"/>
      <c r="CC118" s="108" t="inlineStr">
        <is>
          <t>cornerstone list: no cornerstone tranche; allocation: allocation table not in this notice's format (older prose announcement); day-1 tape: volume on file; the retail multiple needs the final public split, which this notice does not state</t>
        </is>
      </c>
    </row>
    <row r="119" ht="22" customHeight="1">
      <c r="A119" s="107" t="inlineStr">
        <is>
          <t>2392</t>
        </is>
      </c>
      <c r="B119" s="108" t="inlineStr">
        <is>
          <t>XUANWU CLOUD</t>
        </is>
      </c>
      <c r="C119" s="108" t="inlineStr">
        <is>
          <t>玄武雲</t>
        </is>
      </c>
      <c r="D119" s="108" t="inlineStr">
        <is>
          <t>Tech/AI</t>
        </is>
      </c>
      <c r="E119" s="108" t="inlineStr">
        <is>
          <t>SaaS / enterprise software</t>
        </is>
      </c>
      <c r="F119" s="108" t="inlineStr">
        <is>
          <t>Systems Software</t>
        </is>
      </c>
      <c r="G119" s="108" t="inlineStr">
        <is>
          <t>Standard</t>
        </is>
      </c>
      <c r="H119" s="109" t="n">
        <v>44750</v>
      </c>
      <c r="I119" s="110" t="n">
        <v>214.6</v>
      </c>
      <c r="J119" s="108" t="inlineStr">
        <is>
          <t>gross (price x shares)</t>
        </is>
      </c>
      <c r="K119" s="111" t="n">
        <v>4.93</v>
      </c>
      <c r="L119" s="111" t="n">
        <v>6.91</v>
      </c>
      <c r="M119" s="111" t="n">
        <v>6.24</v>
      </c>
      <c r="N119" s="108" t="inlineStr">
        <is>
          <t>N</t>
        </is>
      </c>
      <c r="O119" s="112" t="n">
        <v>90.3</v>
      </c>
      <c r="P119" s="112" t="n">
        <v>66.2</v>
      </c>
      <c r="Q119" s="113" t="n">
        <v>3871.8</v>
      </c>
      <c r="R119" s="108" t="inlineStr">
        <is>
          <t>aastocks:上市市值 at the struck price</t>
        </is>
      </c>
      <c r="S119" s="114" t="n">
        <v>42.13</v>
      </c>
      <c r="T119" s="115" t="n">
        <v>2.09</v>
      </c>
      <c r="U119" s="116" t="n">
        <v>27.2</v>
      </c>
      <c r="V119" s="117" t="n">
        <v>107</v>
      </c>
      <c r="W119" s="112" t="n">
        <v>30</v>
      </c>
      <c r="X119" s="108" t="inlineStr">
        <is>
          <t>YES</t>
        </is>
      </c>
      <c r="Y119" s="113" t="n">
        <v>156.23</v>
      </c>
      <c r="Z119" s="113" t="n">
        <v>25036284</v>
      </c>
      <c r="AA119" s="112" t="n">
        <v>4.04</v>
      </c>
      <c r="AB119" s="108" t="inlineStr">
        <is>
          <t>Colorful Cloud</t>
        </is>
      </c>
      <c r="AC119" s="108" t="inlineStr">
        <is>
          <t>colorful</t>
        </is>
      </c>
      <c r="AD119" s="112" t="n">
        <v>5.62</v>
      </c>
      <c r="AE119" s="108" t="inlineStr">
        <is>
          <t>lapsed</t>
        </is>
      </c>
      <c r="AF119" s="108" t="inlineStr">
        <is>
          <t>2022-07-30</t>
        </is>
      </c>
      <c r="AG119" s="108" t="inlineStr">
        <is>
          <t>CMB International Global Markets Limited</t>
        </is>
      </c>
      <c r="AH119" s="108" t="inlineStr">
        <is>
          <t>CMB</t>
        </is>
      </c>
      <c r="AI119" s="120" t="n">
        <v>-0.64</v>
      </c>
      <c r="AJ119" s="121" t="n">
        <v>0.64</v>
      </c>
      <c r="AK119" s="121" t="n">
        <v>0.72</v>
      </c>
      <c r="AL119" s="121" t="n">
        <v>0</v>
      </c>
      <c r="AM119" s="121" t="n">
        <v>0.64</v>
      </c>
      <c r="AN119" s="123" t="n">
        <v>1.15</v>
      </c>
      <c r="AO119" s="112" t="n">
        <v>10.26</v>
      </c>
      <c r="AP119" s="121" t="n">
        <v>-7.05</v>
      </c>
      <c r="AQ119" s="121" t="n">
        <v>4.17</v>
      </c>
      <c r="AR119" s="121" t="n">
        <v>-3.21</v>
      </c>
      <c r="AS119" s="121" t="n">
        <v>-7.64</v>
      </c>
      <c r="AT119" s="121" t="n">
        <v>3.51</v>
      </c>
      <c r="AU119" s="121" t="n">
        <v>-3.83</v>
      </c>
      <c r="AV119" s="121" t="n">
        <v>-0.33</v>
      </c>
      <c r="AW119" s="121" t="n">
        <v>12.94</v>
      </c>
      <c r="AX119" s="121" t="n">
        <v>22.36</v>
      </c>
      <c r="AY119" s="121" t="n">
        <v>12.93</v>
      </c>
      <c r="AZ119" s="121" t="n">
        <v>-8.77</v>
      </c>
      <c r="BA119" s="121" t="n">
        <v>-9.42</v>
      </c>
      <c r="BB119" s="108" t="inlineStr">
        <is>
          <t>HSTECH (Hang Seng TECH ETF)</t>
        </is>
      </c>
      <c r="BC119" s="121" t="n">
        <v>-84.13</v>
      </c>
      <c r="BD119" s="109" t="n">
        <v>46297</v>
      </c>
      <c r="BE119" s="110" t="n">
        <v>876.4</v>
      </c>
      <c r="BF119" s="113" t="n">
        <v>32.2</v>
      </c>
      <c r="BG119" s="108" t="inlineStr">
        <is>
          <t>Y</t>
        </is>
      </c>
      <c r="BH119" s="123" t="n">
        <v>120.2</v>
      </c>
      <c r="BI119" s="122" t="n"/>
      <c r="BJ119" s="122" t="n"/>
      <c r="BK119" s="123" t="n">
        <v>4.4</v>
      </c>
      <c r="BL119" s="124">
        <f>IF('BBG Verify'!S119="","not filed; run on terminal",'BBG Verify'!S119)</f>
        <v/>
      </c>
      <c r="BM119" s="125" t="inlineStr">
        <is>
          <t>N</t>
        </is>
      </c>
      <c r="BN119" s="126">
        <f>IF('BBG Verify'!K119="","not filed; run on terminal",'BBG Verify'!K119)</f>
        <v/>
      </c>
      <c r="BO119" s="108" t="inlineStr">
        <is>
          <t>N/A</t>
        </is>
      </c>
      <c r="BP119" s="108" t="inlineStr">
        <is>
          <t>N/A</t>
        </is>
      </c>
      <c r="BQ119" s="108" t="inlineStr">
        <is>
          <t>N/A</t>
        </is>
      </c>
      <c r="BR119" s="108" t="inlineStr">
        <is>
          <t>N/A</t>
        </is>
      </c>
      <c r="BS119" s="108" t="inlineStr">
        <is>
          <t>N/A</t>
        </is>
      </c>
      <c r="BT119" s="108" t="inlineStr">
        <is>
          <t>N/A</t>
        </is>
      </c>
      <c r="BU119" s="125" t="inlineStr">
        <is>
          <t>CMB International Capital Limited</t>
        </is>
      </c>
      <c r="BV119" s="108" t="inlineStr">
        <is>
          <t>CMB International Capital Corporation Limited</t>
        </is>
      </c>
      <c r="BW119" s="108" t="inlineStr">
        <is>
          <t>CMB International Capital Limited; Huatai Financial Holdings (Hong Kong) Limited; CLSA Limited; Guotai Junan Securities (Hong Kong) Limited; Citrus Securities Limited</t>
        </is>
      </c>
      <c r="BX119" s="108" t="inlineStr">
        <is>
          <t>Citrus Securities Limited; CLSA Limited; CMB International Capital Limited; Guotai Junan Securities (Hong Kong) Limited; Huatai Financial Holdings (Hong Kong) Limited; Livermore Holdings Limited</t>
        </is>
      </c>
      <c r="BY119" s="127">
        <f>HYPERLINK("https://www1.hkexnews.hk/listedco/listconews/sehk/2022/0624/2022062400033.pdf","prospectus")</f>
        <v/>
      </c>
      <c r="BZ119" s="127">
        <f>HYPERLINK("https://www1.hkexnews.hk/listedco/listconews/sehk/2022/0707/2022070700032.htm","allotment")</f>
        <v/>
      </c>
      <c r="CA119" s="127">
        <f>HYPERLINK("https://www1.hkexnews.hk/listedco/listconews/sehk/2022/0731/2022073100021.pdf","stabilisation")</f>
        <v/>
      </c>
      <c r="CB119" s="128" t="n"/>
      <c r="CC119" s="108" t="inlineStr">
        <is>
          <t>market cap: published listing cap used; the estimate from stated market capitalisation disagreed</t>
        </is>
      </c>
    </row>
    <row r="120" ht="22" customHeight="1">
      <c r="A120" s="107" t="inlineStr">
        <is>
          <t>2297</t>
        </is>
      </c>
      <c r="B120" s="108" t="inlineStr">
        <is>
          <t>RAINMED-B</t>
        </is>
      </c>
      <c r="C120" s="108" t="inlineStr">
        <is>
          <t>潤邁德－Ｂ</t>
        </is>
      </c>
      <c r="D120" s="108" t="inlineStr">
        <is>
          <t>Healthcare</t>
        </is>
      </c>
      <c r="E120" s="108" t="inlineStr">
        <is>
          <t>Medical devices</t>
        </is>
      </c>
      <c r="F120" s="108" t="inlineStr">
        <is>
          <t>Biotechnology - Medical Devices</t>
        </is>
      </c>
      <c r="G120" s="108" t="inlineStr">
        <is>
          <t>18A</t>
        </is>
      </c>
      <c r="H120" s="109" t="n">
        <v>44750</v>
      </c>
      <c r="I120" s="110" t="n">
        <v>145.7</v>
      </c>
      <c r="J120" s="108" t="inlineStr">
        <is>
          <t>gross (price x shares)</t>
        </is>
      </c>
      <c r="K120" s="129" t="n"/>
      <c r="L120" s="111" t="n">
        <v>6.24</v>
      </c>
      <c r="M120" s="111" t="n">
        <v>6.24</v>
      </c>
      <c r="N120" s="108" t="inlineStr">
        <is>
          <t>Y</t>
        </is>
      </c>
      <c r="O120" s="112" t="n">
        <v>100</v>
      </c>
      <c r="P120" s="118" t="n"/>
      <c r="Q120" s="113" t="n">
        <v>7287.1</v>
      </c>
      <c r="R120" s="108" t="inlineStr">
        <is>
          <t>aastocks:上市市值 at the struck price</t>
        </is>
      </c>
      <c r="S120" s="114" t="n">
        <v>6.35</v>
      </c>
      <c r="T120" s="115" t="n">
        <v>1.34</v>
      </c>
      <c r="U120" s="116" t="n">
        <v>0</v>
      </c>
      <c r="V120" s="117" t="n">
        <v>154</v>
      </c>
      <c r="W120" s="118" t="n"/>
      <c r="X120" s="119" t="n"/>
      <c r="Y120" s="113" t="n">
        <v>145.7</v>
      </c>
      <c r="Z120" s="113" t="n">
        <v>23348000</v>
      </c>
      <c r="AA120" s="112" t="n">
        <v>2</v>
      </c>
      <c r="AB120" s="108" t="inlineStr">
        <is>
          <t>none — no cornerstone tranche</t>
        </is>
      </c>
      <c r="AC120" s="108" t="inlineStr">
        <is>
          <t>none</t>
        </is>
      </c>
      <c r="AD120" s="112" t="n">
        <v>18.4</v>
      </c>
      <c r="AE120" s="108" t="inlineStr">
        <is>
          <t>partial</t>
        </is>
      </c>
      <c r="AF120" s="108" t="inlineStr">
        <is>
          <t>2022-07-30</t>
        </is>
      </c>
      <c r="AG120" s="108" t="inlineStr">
        <is>
          <t>Huatai Financial Holdings</t>
        </is>
      </c>
      <c r="AH120" s="108" t="inlineStr">
        <is>
          <t>Huatai</t>
        </is>
      </c>
      <c r="AI120" s="120" t="n">
        <v>-0.64</v>
      </c>
      <c r="AJ120" s="121" t="n">
        <v>-15.38</v>
      </c>
      <c r="AK120" s="121" t="n">
        <v>-0.63</v>
      </c>
      <c r="AL120" s="121" t="n">
        <v>-10.26</v>
      </c>
      <c r="AM120" s="121" t="n">
        <v>-5.71</v>
      </c>
      <c r="AN120" s="122" t="n"/>
      <c r="AO120" s="112" t="n">
        <v>19.64</v>
      </c>
      <c r="AP120" s="121" t="n">
        <v>-18.11</v>
      </c>
      <c r="AQ120" s="121" t="n">
        <v>-33.49</v>
      </c>
      <c r="AR120" s="121" t="n">
        <v>-52.88</v>
      </c>
      <c r="AS120" s="121" t="n">
        <v>-3.23</v>
      </c>
      <c r="AT120" s="121" t="n">
        <v>-21.4</v>
      </c>
      <c r="AU120" s="121" t="n">
        <v>-44.32</v>
      </c>
      <c r="AV120" s="121" t="n">
        <v>-13.29</v>
      </c>
      <c r="AW120" s="121" t="n">
        <v>-25.89</v>
      </c>
      <c r="AX120" s="121" t="n">
        <v>-28.65</v>
      </c>
      <c r="AY120" s="121" t="n">
        <v>-14.38</v>
      </c>
      <c r="AZ120" s="121" t="n">
        <v>-7.6</v>
      </c>
      <c r="BA120" s="121" t="n">
        <v>-7.02</v>
      </c>
      <c r="BB120" s="108" t="inlineStr">
        <is>
          <t>China Biotech ETF (HS biotech proxy)</t>
        </is>
      </c>
      <c r="BC120" s="121" t="n">
        <v>-97.52</v>
      </c>
      <c r="BD120" s="109" t="n">
        <v>46297</v>
      </c>
      <c r="BE120" s="110" t="n">
        <v>89.3</v>
      </c>
      <c r="BF120" s="113" t="n">
        <v>-697</v>
      </c>
      <c r="BG120" s="108" t="inlineStr">
        <is>
          <t>N</t>
        </is>
      </c>
      <c r="BH120" s="108" t="inlineStr">
        <is>
          <t>n/m</t>
        </is>
      </c>
      <c r="BI120" s="122" t="n"/>
      <c r="BJ120" s="122" t="n"/>
      <c r="BK120" s="123" t="n">
        <v>81.59999999999999</v>
      </c>
      <c r="BL120" s="124">
        <f>IF('BBG Verify'!S120="","not filed; run on terminal",'BBG Verify'!S120)</f>
        <v/>
      </c>
      <c r="BM120" s="125" t="inlineStr">
        <is>
          <t>N</t>
        </is>
      </c>
      <c r="BN120" s="126">
        <f>IF('BBG Verify'!K120="","not filed; run on terminal",'BBG Verify'!K120)</f>
        <v/>
      </c>
      <c r="BO120" s="108" t="inlineStr">
        <is>
          <t>N/A</t>
        </is>
      </c>
      <c r="BP120" s="108" t="inlineStr">
        <is>
          <t>N/A</t>
        </is>
      </c>
      <c r="BQ120" s="108" t="inlineStr">
        <is>
          <t>N/A</t>
        </is>
      </c>
      <c r="BR120" s="108" t="inlineStr">
        <is>
          <t>N/A</t>
        </is>
      </c>
      <c r="BS120" s="108" t="inlineStr">
        <is>
          <t>N/A</t>
        </is>
      </c>
      <c r="BT120" s="108" t="inlineStr">
        <is>
          <t>N/A</t>
        </is>
      </c>
      <c r="BU120" s="125" t="inlineStr">
        <is>
          <t>Huatai Financial Holdings (Hong Kong) Limited</t>
        </is>
      </c>
      <c r="BV120" s="108" t="inlineStr">
        <is>
          <t>Huatai Financial Holdings (Hong Kong) Limited</t>
        </is>
      </c>
      <c r="BW120" s="108" t="inlineStr">
        <is>
          <t>Huatai Financial Holdings (Hong Kong) Limited; Zhongtai International Securities Limited; BOCOM International Securities Limited; Eddid Securities and Futures Limited</t>
        </is>
      </c>
      <c r="BX120" s="108" t="inlineStr">
        <is>
          <t>Beta International Securities Limited; Eddid Securities and Futures Limited; Huatai Financial Holdings (Hong Kong) Limited; Livermore Holdings Limited; Zhongtai International Securities Limited</t>
        </is>
      </c>
      <c r="BY120" s="127">
        <f>HYPERLINK("https://www1.hkexnews.hk/listedco/listconews/sehk/2022/0627/2022062700021.pdf","prospectus")</f>
        <v/>
      </c>
      <c r="BZ120" s="127">
        <f>HYPERLINK("https://www1.hkexnews.hk/listedco/listconews/sehk/2022/0707/2022070700056.htm","allotment")</f>
        <v/>
      </c>
      <c r="CA120" s="127">
        <f>HYPERLINK("https://www1.hkexnews.hk/listedco/listconews/sehk/2022/0801/2022080100005.pdf","stabilisation")</f>
        <v/>
      </c>
      <c r="CB120" s="128" t="n"/>
      <c r="CC120" s="108" t="inlineStr">
        <is>
          <t>P/E: loss-making at IPO, use P/S; range low: maximum offer price only, no floor published; market cap: published listing cap used; the estimate from stated market capitalisation disagreed; cornerstone list: no cornerstone tranche; allocation: allocation table not in this notice's format (older prose announcement); day-1 tape: volume on file; the retail multiple needs the final public split, which this notice does not state</t>
        </is>
      </c>
    </row>
    <row r="121" ht="22" customHeight="1">
      <c r="A121" s="107" t="inlineStr">
        <is>
          <t>2361</t>
        </is>
      </c>
      <c r="B121" s="108" t="inlineStr">
        <is>
          <t>SINOHEALTH HLDG</t>
        </is>
      </c>
      <c r="C121" s="108" t="inlineStr">
        <is>
          <t>中康科技控股</t>
        </is>
      </c>
      <c r="D121" s="108" t="inlineStr">
        <is>
          <t>Healthcare</t>
        </is>
      </c>
      <c r="E121" s="108" t="inlineStr">
        <is>
          <t>Digital health</t>
        </is>
      </c>
      <c r="F121" s="108" t="inlineStr">
        <is>
          <t>Health Care Services</t>
        </is>
      </c>
      <c r="G121" s="108" t="inlineStr">
        <is>
          <t>Standard</t>
        </is>
      </c>
      <c r="H121" s="109" t="n">
        <v>44754</v>
      </c>
      <c r="I121" s="110" t="n">
        <v>402</v>
      </c>
      <c r="J121" s="108" t="inlineStr">
        <is>
          <t>gross (price x shares)</t>
        </is>
      </c>
      <c r="K121" s="111" t="n">
        <v>5.36</v>
      </c>
      <c r="L121" s="111" t="n">
        <v>6.96</v>
      </c>
      <c r="M121" s="111" t="n">
        <v>5.36</v>
      </c>
      <c r="N121" s="108" t="inlineStr">
        <is>
          <t>N</t>
        </is>
      </c>
      <c r="O121" s="112" t="n">
        <v>77</v>
      </c>
      <c r="P121" s="112" t="n">
        <v>0</v>
      </c>
      <c r="Q121" s="113" t="n">
        <v>2978.1</v>
      </c>
      <c r="R121" s="108" t="inlineStr">
        <is>
          <t>aastocks:上市市值 at the struck price</t>
        </is>
      </c>
      <c r="S121" s="114" t="n">
        <v>2.21</v>
      </c>
      <c r="T121" s="115" t="n">
        <v>1.36</v>
      </c>
      <c r="U121" s="116" t="n">
        <v>13.8</v>
      </c>
      <c r="V121" s="117" t="n">
        <v>137</v>
      </c>
      <c r="W121" s="118" t="n"/>
      <c r="X121" s="119" t="n"/>
      <c r="Y121" s="113" t="n">
        <v>346.52</v>
      </c>
      <c r="Z121" s="113" t="n">
        <v>64650000</v>
      </c>
      <c r="AA121" s="112" t="n">
        <v>11.64</v>
      </c>
      <c r="AB121" s="108" t="inlineStr">
        <is>
          <t>Baheal Wellness Limited; Kangshi No.1 LP; Luns Family Holdings Limited; Zheng Jingjie</t>
        </is>
      </c>
      <c r="AC121" s="108" t="inlineStr">
        <is>
          <t>baheal;kangshi;luns;zheng-jingjie</t>
        </is>
      </c>
      <c r="AD121" s="112" t="n">
        <v>16.6667</v>
      </c>
      <c r="AE121" s="108" t="inlineStr">
        <is>
          <t>partial</t>
        </is>
      </c>
      <c r="AF121" s="119" t="n"/>
      <c r="AG121" s="108" t="inlineStr">
        <is>
          <t>BNP Paribas Securities</t>
        </is>
      </c>
      <c r="AH121" s="108" t="inlineStr">
        <is>
          <t>BNP Paribas</t>
        </is>
      </c>
      <c r="AI121" s="120" t="n">
        <v>-14.18</v>
      </c>
      <c r="AJ121" s="121" t="n">
        <v>0</v>
      </c>
      <c r="AK121" s="121" t="n">
        <v>-3.13</v>
      </c>
      <c r="AL121" s="121" t="n">
        <v>-11.57</v>
      </c>
      <c r="AM121" s="121" t="n">
        <v>13.08</v>
      </c>
      <c r="AN121" s="122" t="n"/>
      <c r="AO121" s="112" t="n">
        <v>25.53</v>
      </c>
      <c r="AP121" s="121" t="n">
        <v>11.94</v>
      </c>
      <c r="AQ121" s="121" t="n">
        <v>-1.49</v>
      </c>
      <c r="AR121" s="121" t="n">
        <v>-38.06</v>
      </c>
      <c r="AS121" s="121" t="n">
        <v>11.94</v>
      </c>
      <c r="AT121" s="121" t="n">
        <v>-1.49</v>
      </c>
      <c r="AU121" s="121" t="n">
        <v>-38.06</v>
      </c>
      <c r="AV121" s="121" t="n">
        <v>15.54</v>
      </c>
      <c r="AW121" s="121" t="n">
        <v>7.56</v>
      </c>
      <c r="AX121" s="121" t="n">
        <v>-12.31</v>
      </c>
      <c r="AY121" s="121" t="n">
        <v>4.62</v>
      </c>
      <c r="AZ121" s="121" t="n">
        <v>-9.050000000000001</v>
      </c>
      <c r="BA121" s="121" t="n">
        <v>-6.11</v>
      </c>
      <c r="BB121" s="108" t="inlineStr">
        <is>
          <t>China Biotech ETF (HS biotech proxy)</t>
        </is>
      </c>
      <c r="BC121" s="121" t="n">
        <v>-23.88</v>
      </c>
      <c r="BD121" s="109" t="n">
        <v>46297</v>
      </c>
      <c r="BE121" s="110" t="n">
        <v>356.6</v>
      </c>
      <c r="BF121" s="113" t="n">
        <v>79.2</v>
      </c>
      <c r="BG121" s="108" t="inlineStr">
        <is>
          <t>Y</t>
        </is>
      </c>
      <c r="BH121" s="123" t="n">
        <v>37.6</v>
      </c>
      <c r="BI121" s="122" t="n"/>
      <c r="BJ121" s="123" t="n">
        <v>22.1</v>
      </c>
      <c r="BK121" s="123" t="n">
        <v>8.4</v>
      </c>
      <c r="BL121" s="124">
        <f>IF('BBG Verify'!S121="","not filed; run on terminal",'BBG Verify'!S121)</f>
        <v/>
      </c>
      <c r="BM121" s="125" t="inlineStr">
        <is>
          <t>N</t>
        </is>
      </c>
      <c r="BN121" s="126">
        <f>IF('BBG Verify'!K121="","not filed; run on terminal",'BBG Verify'!K121)</f>
        <v/>
      </c>
      <c r="BO121" s="108" t="inlineStr">
        <is>
          <t>N/A</t>
        </is>
      </c>
      <c r="BP121" s="108" t="inlineStr">
        <is>
          <t>N/A</t>
        </is>
      </c>
      <c r="BQ121" s="108" t="inlineStr">
        <is>
          <t>N/A</t>
        </is>
      </c>
      <c r="BR121" s="108" t="inlineStr">
        <is>
          <t>N/A</t>
        </is>
      </c>
      <c r="BS121" s="108" t="inlineStr">
        <is>
          <t>N/A</t>
        </is>
      </c>
      <c r="BT121" s="108" t="inlineStr">
        <is>
          <t>N/A</t>
        </is>
      </c>
      <c r="BU121" s="125" t="inlineStr">
        <is>
          <t>BNP Paribas Securities (Asia) Limited</t>
        </is>
      </c>
      <c r="BV121" s="108" t="inlineStr">
        <is>
          <t>BNP Paribas Securities (Asia) Limited</t>
        </is>
      </c>
      <c r="BW121" s="108" t="inlineStr">
        <is>
          <t>BNP Paribas Securities (Asia) Limited; CCB International Capital Limited; Orient Securities (Hong Kong) Limited</t>
        </is>
      </c>
      <c r="BX121" s="108" t="inlineStr">
        <is>
          <t>BNP Paribas Securities (Asia) Limited; CCB International Capital Limited; Eddid Securities and Futures Limited; Fosun Hani Securities Limited; Futu Securities International (Hong Kong) Limited; Guotai Junan Securities (Hong Kong) Limited; Haitong International Securities Company Limited; Innovax Securities Limited; Livermore Holdings Limited; Orient Securities (Hong Kong) Limited; UOB Kay Hian (Hong Kong) Limited; Zhongtai International Securities Limited</t>
        </is>
      </c>
      <c r="BY121" s="127">
        <f>HYPERLINK("https://www1.hkexnews.hk/listedco/listconews/sehk/2022/0628/2022062800038.pdf","prospectus")</f>
        <v/>
      </c>
      <c r="BZ121" s="127">
        <f>HYPERLINK("https://www1.hkexnews.hk/listedco/listconews/sehk/2022/0711/2022071100010.htm","allotment")</f>
        <v/>
      </c>
      <c r="CA121" s="127">
        <f>HYPERLINK("https://www1.hkexnews.hk/listedco/listconews/sehk/2022/0804/2022080401926.pdf","stabilisation")</f>
        <v/>
      </c>
      <c r="CB121" s="128" t="n"/>
      <c r="CC121" s="108" t="inlineStr">
        <is>
          <t>greenshoe: outcome published; expiry date not in the notice; allocation: allocation table not in this notice's format (older prose announcement); day-1 tape: volume on file; the retail multiple needs the final public split, which this notice does not state</t>
        </is>
      </c>
    </row>
    <row r="122" ht="22" customHeight="1">
      <c r="A122" s="107" t="inlineStr">
        <is>
          <t>2385</t>
        </is>
      </c>
      <c r="B122" s="108" t="inlineStr">
        <is>
          <t>READBOY</t>
        </is>
      </c>
      <c r="C122" s="108" t="inlineStr">
        <is>
          <t>讀書郎</t>
        </is>
      </c>
      <c r="D122" s="108" t="inlineStr">
        <is>
          <t>Tech/AI</t>
        </is>
      </c>
      <c r="E122" s="108" t="inlineStr">
        <is>
          <t>Smart hardware / consumer electronics</t>
        </is>
      </c>
      <c r="F122" s="108" t="inlineStr">
        <is>
          <t>Education Services</t>
        </is>
      </c>
      <c r="G122" s="108" t="inlineStr">
        <is>
          <t>Standard</t>
        </is>
      </c>
      <c r="H122" s="109" t="n">
        <v>44754</v>
      </c>
      <c r="I122" s="110" t="n">
        <v>395.2</v>
      </c>
      <c r="J122" s="108" t="inlineStr">
        <is>
          <t>gross (price x shares)</t>
        </is>
      </c>
      <c r="K122" s="111" t="n">
        <v>7.6</v>
      </c>
      <c r="L122" s="111" t="n">
        <v>10</v>
      </c>
      <c r="M122" s="111" t="n">
        <v>7.6</v>
      </c>
      <c r="N122" s="108" t="inlineStr">
        <is>
          <t>N</t>
        </is>
      </c>
      <c r="O122" s="112" t="n">
        <v>76</v>
      </c>
      <c r="P122" s="112" t="n">
        <v>0</v>
      </c>
      <c r="Q122" s="113" t="n">
        <v>3317.2</v>
      </c>
      <c r="R122" s="108" t="inlineStr">
        <is>
          <t>aastocks:上市市值 at the struck price</t>
        </is>
      </c>
      <c r="S122" s="114" t="n">
        <v>1.73</v>
      </c>
      <c r="T122" s="115" t="n">
        <v>1.62</v>
      </c>
      <c r="U122" s="116" t="n">
        <v>54.22</v>
      </c>
      <c r="V122" s="117" t="n">
        <v>133</v>
      </c>
      <c r="W122" s="118" t="n"/>
      <c r="X122" s="119" t="n"/>
      <c r="Y122" s="113" t="n">
        <v>180.92</v>
      </c>
      <c r="Z122" s="113" t="n">
        <v>23805600</v>
      </c>
      <c r="AA122" s="112" t="n">
        <v>5.45</v>
      </c>
      <c r="AB122" s="108" t="inlineStr">
        <is>
          <t>Azure Telecommunication; Eastland; Gold Synergy; Gui Chunfang; Jin Tao; Tower Lead; Yang Xiaojie; Zheng Changping</t>
        </is>
      </c>
      <c r="AC122" s="108" t="inlineStr">
        <is>
          <t>azure;eastland;gold;gui;jin-tao;tower;yang-xiaojie;zheng-changping</t>
        </is>
      </c>
      <c r="AD122" s="112" t="n">
        <v>15</v>
      </c>
      <c r="AE122" s="108" t="inlineStr">
        <is>
          <t>lapsed</t>
        </is>
      </c>
      <c r="AF122" s="108" t="inlineStr">
        <is>
          <t>2022-08-04</t>
        </is>
      </c>
      <c r="AG122" s="108" t="inlineStr">
        <is>
          <t>China Securities</t>
        </is>
      </c>
      <c r="AH122" s="108" t="inlineStr">
        <is>
          <t>China Securities</t>
        </is>
      </c>
      <c r="AI122" s="120" t="n">
        <v>-3.03</v>
      </c>
      <c r="AJ122" s="121" t="n">
        <v>-5.26</v>
      </c>
      <c r="AK122" s="121" t="n">
        <v>-1.54</v>
      </c>
      <c r="AL122" s="121" t="n">
        <v>-28.95</v>
      </c>
      <c r="AM122" s="121" t="n">
        <v>33.34</v>
      </c>
      <c r="AN122" s="122" t="n"/>
      <c r="AO122" s="112" t="n">
        <v>37.96</v>
      </c>
      <c r="AP122" s="121" t="n">
        <v>-3.03</v>
      </c>
      <c r="AQ122" s="121" t="n">
        <v>-7.89</v>
      </c>
      <c r="AR122" s="121" t="n">
        <v>-6.32</v>
      </c>
      <c r="AS122" s="121" t="n">
        <v>2.35</v>
      </c>
      <c r="AT122" s="121" t="n">
        <v>-2.78</v>
      </c>
      <c r="AU122" s="121" t="n">
        <v>-1.12</v>
      </c>
      <c r="AV122" s="121" t="n">
        <v>-1.27</v>
      </c>
      <c r="AW122" s="121" t="n">
        <v>1.14</v>
      </c>
      <c r="AX122" s="121" t="n">
        <v>22.53</v>
      </c>
      <c r="AY122" s="121" t="n">
        <v>4.83</v>
      </c>
      <c r="AZ122" s="121" t="n">
        <v>-9.029999999999999</v>
      </c>
      <c r="BA122" s="121" t="n">
        <v>-7.61</v>
      </c>
      <c r="BB122" s="108" t="inlineStr">
        <is>
          <t>HSTECH (Hang Seng TECH ETF)</t>
        </is>
      </c>
      <c r="BC122" s="121" t="n">
        <v>-39.8</v>
      </c>
      <c r="BD122" s="109" t="n">
        <v>46297</v>
      </c>
      <c r="BE122" s="110" t="n">
        <v>894.5</v>
      </c>
      <c r="BF122" s="113" t="n">
        <v>90.40000000000001</v>
      </c>
      <c r="BG122" s="108" t="inlineStr">
        <is>
          <t>Y</t>
        </is>
      </c>
      <c r="BH122" s="123" t="n">
        <v>36.7</v>
      </c>
      <c r="BI122" s="122" t="n"/>
      <c r="BJ122" s="122" t="n"/>
      <c r="BK122" s="123" t="n">
        <v>3.7</v>
      </c>
      <c r="BL122" s="124">
        <f>IF('BBG Verify'!S122="","not filed; run on terminal",'BBG Verify'!S122)</f>
        <v/>
      </c>
      <c r="BM122" s="125" t="inlineStr">
        <is>
          <t>N</t>
        </is>
      </c>
      <c r="BN122" s="126">
        <f>IF('BBG Verify'!K122="","not filed; run on terminal",'BBG Verify'!K122)</f>
        <v/>
      </c>
      <c r="BO122" s="108" t="inlineStr">
        <is>
          <t>N/A</t>
        </is>
      </c>
      <c r="BP122" s="108" t="inlineStr">
        <is>
          <t>N/A</t>
        </is>
      </c>
      <c r="BQ122" s="108" t="inlineStr">
        <is>
          <t>N/A</t>
        </is>
      </c>
      <c r="BR122" s="108" t="inlineStr">
        <is>
          <t>N/A</t>
        </is>
      </c>
      <c r="BS122" s="108" t="inlineStr">
        <is>
          <t>N/A</t>
        </is>
      </c>
      <c r="BT122" s="108" t="inlineStr">
        <is>
          <t>N/A</t>
        </is>
      </c>
      <c r="BU122" s="125" t="inlineStr">
        <is>
          <t>China Securities (International) Corporate Finance Company Limited; Macquarie Capital Limited</t>
        </is>
      </c>
      <c r="BV122" s="108" t="inlineStr">
        <is>
          <t>China Securities (International) Corporate Finance Company Limited; Macquarie Capital Limited</t>
        </is>
      </c>
      <c r="BW122" s="108" t="inlineStr">
        <is>
          <t>China Securities (International) Corporate Finance Company Limited; Macquarie Capital Limited</t>
        </is>
      </c>
      <c r="BX122" s="108" t="inlineStr">
        <is>
          <t>Beta International Securities Limited; China Merchants Securities (HK) Company Limited; China Securities (International) Corporate Finance Company Limited; Eddid Securities and Futures Limited; Futu Securities International (Hong Kong) Limited; Guotai Junan Securities (Hong Kong) Limited; Haitong International Securities Company Limited; Livermore Holdings Limited; Macquarie Capital Limited; Tiger Brokers (HK) Global Limited</t>
        </is>
      </c>
      <c r="BY122" s="127">
        <f>HYPERLINK("https://www1.hkexnews.hk/listedco/listconews/sehk/2022/0629/2022062900037.pdf","prospectus")</f>
        <v/>
      </c>
      <c r="BZ122" s="127">
        <f>HYPERLINK("https://www1.hkexnews.hk/listedco/listconews/sehk/2022/0711/2022071100024.htm","allotment")</f>
        <v/>
      </c>
      <c r="CA122" s="127">
        <f>HYPERLINK("https://www1.hkexnews.hk/listedco/listconews/sehk/2022/0804/2022080401924.pdf","stabilisation")</f>
        <v/>
      </c>
      <c r="CB122" s="128" t="n"/>
      <c r="CC122" s="108" t="inlineStr">
        <is>
          <t>market cap: published listing cap used; the estimate from deal size / offer % of enlarged capital disagreed; allocation: allocation table not in this notice's format (older prose announcement); day-1 tape: volume on file; the retail multiple needs the final public split, which this notice does not state</t>
        </is>
      </c>
    </row>
    <row r="123" ht="22" customHeight="1">
      <c r="A123" s="107" t="inlineStr">
        <is>
          <t>9896</t>
        </is>
      </c>
      <c r="B123" s="108" t="inlineStr">
        <is>
          <t>MNSO</t>
        </is>
      </c>
      <c r="C123" s="108" t="inlineStr">
        <is>
          <t>名創優品</t>
        </is>
      </c>
      <c r="D123" s="108" t="inlineStr">
        <is>
          <t>Consumer</t>
        </is>
      </c>
      <c r="E123" s="108" t="inlineStr">
        <is>
          <t>Retail / distribution</t>
        </is>
      </c>
      <c r="F123" s="108" t="inlineStr">
        <is>
          <t>Hypermarkets, Supermarkets &amp; Convenience Stores</t>
        </is>
      </c>
      <c r="G123" s="108" t="inlineStr">
        <is>
          <t>Standard</t>
        </is>
      </c>
      <c r="H123" s="109" t="n">
        <v>44755</v>
      </c>
      <c r="I123" s="110" t="n">
        <v>475.7</v>
      </c>
      <c r="J123" s="108" t="inlineStr">
        <is>
          <t>net proceeds</t>
        </is>
      </c>
      <c r="K123" s="129" t="n"/>
      <c r="L123" s="111" t="n">
        <v>13.8</v>
      </c>
      <c r="M123" s="111" t="n">
        <v>13.8</v>
      </c>
      <c r="N123" s="108" t="inlineStr">
        <is>
          <t>Y</t>
        </is>
      </c>
      <c r="O123" s="112" t="n">
        <v>100</v>
      </c>
      <c r="P123" s="118" t="n"/>
      <c r="Q123" s="113" t="n">
        <v>12856.8</v>
      </c>
      <c r="R123" s="108" t="inlineStr">
        <is>
          <t>derived:deal size / offer % of enlarged capital</t>
        </is>
      </c>
      <c r="S123" s="114" t="n">
        <v>1.4</v>
      </c>
      <c r="T123" s="115" t="n">
        <v>4.84</v>
      </c>
      <c r="U123" s="116" t="n">
        <v>0</v>
      </c>
      <c r="V123" s="117" t="n">
        <v>123</v>
      </c>
      <c r="W123" s="118" t="n"/>
      <c r="X123" s="119" t="n"/>
      <c r="Y123" s="113" t="n">
        <v>475.7</v>
      </c>
      <c r="Z123" s="131" t="n"/>
      <c r="AA123" s="112" t="n">
        <v>3.7</v>
      </c>
      <c r="AB123" s="108" t="inlineStr">
        <is>
          <t>none — no cornerstone tranche</t>
        </is>
      </c>
      <c r="AC123" s="108" t="inlineStr">
        <is>
          <t>none</t>
        </is>
      </c>
      <c r="AD123" s="112" t="n">
        <v>5</v>
      </c>
      <c r="AE123" s="108" t="inlineStr">
        <is>
          <t>partial</t>
        </is>
      </c>
      <c r="AF123" s="119" t="n"/>
      <c r="AG123" s="108" t="inlineStr">
        <is>
          <t>Merrill Lynch International</t>
        </is>
      </c>
      <c r="AH123" s="108" t="inlineStr">
        <is>
          <t>Merrill Lynch</t>
        </is>
      </c>
      <c r="AI123" s="120" t="n">
        <v>-4.35</v>
      </c>
      <c r="AJ123" s="121" t="n">
        <v>-3.04</v>
      </c>
      <c r="AK123" s="121" t="n">
        <v>0.18</v>
      </c>
      <c r="AL123" s="121" t="n">
        <v>-4.35</v>
      </c>
      <c r="AM123" s="121" t="n">
        <v>1.37</v>
      </c>
      <c r="AN123" s="122" t="n"/>
      <c r="AO123" s="112" t="n">
        <v>4.09</v>
      </c>
      <c r="AP123" s="121" t="n">
        <v>3.77</v>
      </c>
      <c r="AQ123" s="121" t="n">
        <v>-12.9</v>
      </c>
      <c r="AR123" s="121" t="n">
        <v>-26.23</v>
      </c>
      <c r="AS123" s="121" t="n">
        <v>7.02</v>
      </c>
      <c r="AT123" s="121" t="n">
        <v>-10.17</v>
      </c>
      <c r="AU123" s="121" t="n">
        <v>-23.92</v>
      </c>
      <c r="AV123" s="121" t="n">
        <v>1.69</v>
      </c>
      <c r="AW123" s="121" t="n">
        <v>-9.449999999999999</v>
      </c>
      <c r="AX123" s="121" t="n">
        <v>-5.92</v>
      </c>
      <c r="AY123" s="121" t="n">
        <v>-6.55</v>
      </c>
      <c r="AZ123" s="121" t="n">
        <v>-3.45</v>
      </c>
      <c r="BA123" s="121" t="n">
        <v>-3.62</v>
      </c>
      <c r="BB123" s="108" t="inlineStr">
        <is>
          <t>Hang Seng Commerce &amp; Industry sub-index</t>
        </is>
      </c>
      <c r="BC123" s="121" t="n">
        <v>27.61</v>
      </c>
      <c r="BD123" s="109" t="n">
        <v>46297</v>
      </c>
      <c r="BE123" s="110" t="n">
        <v>11094.2</v>
      </c>
      <c r="BF123" s="113" t="n">
        <v>702</v>
      </c>
      <c r="BG123" s="108" t="inlineStr">
        <is>
          <t>Y</t>
        </is>
      </c>
      <c r="BH123" s="123" t="n">
        <v>18.3</v>
      </c>
      <c r="BI123" s="122" t="n"/>
      <c r="BJ123" s="122" t="n"/>
      <c r="BK123" s="123" t="n">
        <v>1.2</v>
      </c>
      <c r="BL123" s="124">
        <f>IF('BBG Verify'!S123="","not filed; run on terminal",'BBG Verify'!S123)</f>
        <v/>
      </c>
      <c r="BM123" s="125" t="inlineStr">
        <is>
          <t>N</t>
        </is>
      </c>
      <c r="BN123" s="126">
        <f>IF('BBG Verify'!K123="","not filed; run on terminal",'BBG Verify'!K123)</f>
        <v/>
      </c>
      <c r="BO123" s="108" t="inlineStr">
        <is>
          <t>N/A</t>
        </is>
      </c>
      <c r="BP123" s="108" t="inlineStr">
        <is>
          <t>N/A</t>
        </is>
      </c>
      <c r="BQ123" s="108" t="inlineStr">
        <is>
          <t>N/A</t>
        </is>
      </c>
      <c r="BR123" s="108" t="inlineStr">
        <is>
          <t>N/A</t>
        </is>
      </c>
      <c r="BS123" s="108" t="inlineStr">
        <is>
          <t>N/A</t>
        </is>
      </c>
      <c r="BT123" s="108" t="inlineStr">
        <is>
          <t>N/A</t>
        </is>
      </c>
      <c r="BU123" s="125" t="inlineStr">
        <is>
          <t>Merrill Lynch (Asia Pacific) Limited; Haitong International Capital Limited; UBS Securities Hong Kong Limited</t>
        </is>
      </c>
      <c r="BV123" s="108" t="inlineStr">
        <is>
          <t>Haitong International Capital Limited; UBS Securities Hong Kong Limited; Merrill Lynch (Asia Pacific) Limited</t>
        </is>
      </c>
      <c r="BW123" s="108" t="inlineStr">
        <is>
          <t>Merrill Lynch (Asia Pacific) Limited; Haitong International Securities Company Limited; UBS AG Hong Kong Branch; UBS Securities LLC</t>
        </is>
      </c>
      <c r="BX123" s="108" t="inlineStr">
        <is>
          <t>Futu Securities International (Hong Kong) Limited; GF Securities (Hong Kong) Brokerage Limited; Haitong International Securities Company Limited; Merrill Lynch (Asia Pacific) Limited; UBS AG Hong Kong Branch</t>
        </is>
      </c>
      <c r="BY123" s="127">
        <f>HYPERLINK("https://www1.hkexnews.hk/listedco/listconews/sehk/2022/0630/2022063000250.htm","prospectus")</f>
        <v/>
      </c>
      <c r="BZ123" s="127">
        <f>HYPERLINK("https://www1.hkexnews.hk/listedco/listconews/sehk/2022/0712/2022071200016.htm","allotment")</f>
        <v/>
      </c>
      <c r="CA123" s="127">
        <f>HYPERLINK("https://www1.hkexnews.hk/listedco/listconews/sehk/2022/0805/2022080501253.pdf","stabilisation")</f>
        <v/>
      </c>
      <c r="CB123" s="128" t="n"/>
      <c r="CC123" s="108" t="inlineStr">
        <is>
          <t>greenshoe: outcome published; expiry date not in the notice; price range: fixed-price offering (no indicative range); range low: maximum offer price only, no floor published; cornerstone list: no cornerstone tranche; eff float shares: share count unavailable; the HK$m figure is exact; allocation: allocation table not in this notice's format (older prose announcement); day-1 tape: volume on file; the retail multiple needs the final public split, which this notice does not state</t>
        </is>
      </c>
    </row>
    <row r="124" ht="22" customHeight="1">
      <c r="A124" s="107" t="inlineStr">
        <is>
          <t>6661</t>
        </is>
      </c>
      <c r="B124" s="108" t="inlineStr">
        <is>
          <t>HUZHOU GAS</t>
        </is>
      </c>
      <c r="C124" s="108" t="inlineStr">
        <is>
          <t>湖州燃氣</t>
        </is>
      </c>
      <c r="D124" s="108" t="inlineStr">
        <is>
          <t>Materials/Energy</t>
        </is>
      </c>
      <c r="E124" s="108" t="inlineStr">
        <is>
          <t>Oil &amp; gas / utilities</t>
        </is>
      </c>
      <c r="F124" s="108" t="inlineStr">
        <is>
          <t>Gas Utilities</t>
        </is>
      </c>
      <c r="G124" s="108" t="inlineStr">
        <is>
          <t>Standard</t>
        </is>
      </c>
      <c r="H124" s="109" t="n">
        <v>44755</v>
      </c>
      <c r="I124" s="110" t="n">
        <v>304</v>
      </c>
      <c r="J124" s="108" t="inlineStr">
        <is>
          <t>gross (price x shares)</t>
        </is>
      </c>
      <c r="K124" s="129" t="n"/>
      <c r="L124" s="111" t="n">
        <v>6.08</v>
      </c>
      <c r="M124" s="111" t="n">
        <v>6.08</v>
      </c>
      <c r="N124" s="108" t="inlineStr">
        <is>
          <t>Y</t>
        </is>
      </c>
      <c r="O124" s="112" t="n">
        <v>100</v>
      </c>
      <c r="P124" s="118" t="n"/>
      <c r="Q124" s="113" t="n">
        <v>1097.1</v>
      </c>
      <c r="R124" s="108" t="inlineStr">
        <is>
          <t>derived:deal size / offer % of enlarged capital</t>
        </is>
      </c>
      <c r="S124" s="114" t="n">
        <v>8.08</v>
      </c>
      <c r="T124" s="115" t="n">
        <v>1.18</v>
      </c>
      <c r="U124" s="116" t="n">
        <v>18.9</v>
      </c>
      <c r="V124" s="117" t="n">
        <v>119</v>
      </c>
      <c r="W124" s="118" t="n"/>
      <c r="X124" s="119" t="n"/>
      <c r="Y124" s="113" t="n">
        <v>246.54</v>
      </c>
      <c r="Z124" s="113" t="n">
        <v>40550000</v>
      </c>
      <c r="AA124" s="112" t="n">
        <v>22.47</v>
      </c>
      <c r="AB124" s="108" t="inlineStr">
        <is>
          <t>Huzhou Erqing Asset Operation Co., Ltd; Zhejiang Caixu Equity Investment Co., Ltd; Zhejiang Jiening Equity Investment Co., Ltd; Zhejiang Lichen Equity Investment Co., Ltd</t>
        </is>
      </c>
      <c r="AC124" s="108" t="inlineStr">
        <is>
          <t>huzhou;zhejiang</t>
        </is>
      </c>
      <c r="AD124" s="112" t="n">
        <v>14.6</v>
      </c>
      <c r="AE124" s="108" t="inlineStr">
        <is>
          <t>partial</t>
        </is>
      </c>
      <c r="AF124" s="108" t="inlineStr">
        <is>
          <t>2022-08-04</t>
        </is>
      </c>
      <c r="AG124" s="108" t="inlineStr">
        <is>
          <t>BOCOM International Securities</t>
        </is>
      </c>
      <c r="AH124" s="108" t="inlineStr">
        <is>
          <t>BOCOM</t>
        </is>
      </c>
      <c r="AI124" s="120" t="n">
        <v>-8.06</v>
      </c>
      <c r="AJ124" s="121" t="n">
        <v>-7.89</v>
      </c>
      <c r="AK124" s="121" t="n">
        <v>0.18</v>
      </c>
      <c r="AL124" s="121" t="n">
        <v>-1.64</v>
      </c>
      <c r="AM124" s="121" t="n">
        <v>-6.35</v>
      </c>
      <c r="AN124" s="122" t="n"/>
      <c r="AO124" s="112" t="n">
        <v>10.54</v>
      </c>
      <c r="AP124" s="121" t="n">
        <v>-1.32</v>
      </c>
      <c r="AQ124" s="121" t="n">
        <v>-9.539999999999999</v>
      </c>
      <c r="AR124" s="121" t="n">
        <v>-5.43</v>
      </c>
      <c r="AS124" s="121" t="n">
        <v>7.13</v>
      </c>
      <c r="AT124" s="121" t="n">
        <v>-1.79</v>
      </c>
      <c r="AU124" s="121" t="n">
        <v>2.67</v>
      </c>
      <c r="AV124" s="121" t="n">
        <v>-3.4</v>
      </c>
      <c r="AW124" s="121" t="n">
        <v>-6.09</v>
      </c>
      <c r="AX124" s="121" t="n">
        <v>14.88</v>
      </c>
      <c r="AY124" s="121" t="n">
        <v>1.83</v>
      </c>
      <c r="AZ124" s="121" t="n">
        <v>-3.45</v>
      </c>
      <c r="BA124" s="121" t="n">
        <v>-3.62</v>
      </c>
      <c r="BB124" s="108" t="inlineStr">
        <is>
          <t>Hang Seng Commerce &amp; Industry sub-index</t>
        </is>
      </c>
      <c r="BC124" s="121" t="n">
        <v>-18.59</v>
      </c>
      <c r="BD124" s="109" t="n">
        <v>46297</v>
      </c>
      <c r="BE124" s="110" t="n">
        <v>2044.6</v>
      </c>
      <c r="BF124" s="113" t="n">
        <v>183.4</v>
      </c>
      <c r="BG124" s="108" t="inlineStr">
        <is>
          <t>Y</t>
        </is>
      </c>
      <c r="BH124" s="123" t="n">
        <v>6</v>
      </c>
      <c r="BI124" s="122" t="n"/>
      <c r="BJ124" s="123" t="n">
        <v>9.1</v>
      </c>
      <c r="BK124" s="123" t="n">
        <v>0.5</v>
      </c>
      <c r="BL124" s="124">
        <f>IF('BBG Verify'!S124="","not filed; run on terminal",'BBG Verify'!S124)</f>
        <v/>
      </c>
      <c r="BM124" s="125" t="inlineStr">
        <is>
          <t>N</t>
        </is>
      </c>
      <c r="BN124" s="126">
        <f>IF('BBG Verify'!K124="","not filed; run on terminal",'BBG Verify'!K124)</f>
        <v/>
      </c>
      <c r="BO124" s="108" t="inlineStr">
        <is>
          <t>N/A</t>
        </is>
      </c>
      <c r="BP124" s="108" t="inlineStr">
        <is>
          <t>N/A</t>
        </is>
      </c>
      <c r="BQ124" s="108" t="inlineStr">
        <is>
          <t>N/A</t>
        </is>
      </c>
      <c r="BR124" s="108" t="inlineStr">
        <is>
          <t>N/A</t>
        </is>
      </c>
      <c r="BS124" s="108" t="inlineStr">
        <is>
          <t>N/A</t>
        </is>
      </c>
      <c r="BT124" s="108" t="inlineStr">
        <is>
          <t>N/A</t>
        </is>
      </c>
      <c r="BU124" s="125" t="inlineStr">
        <is>
          <t>BOCOM International (Asia) Limited</t>
        </is>
      </c>
      <c r="BV124" s="108" t="inlineStr">
        <is>
          <t>BOCOM International (Asia) Limited</t>
        </is>
      </c>
      <c r="BW124" s="108" t="inlineStr">
        <is>
          <t>CEB International Capital Corporation Limited; China Everbright Securities (HK) Limited; China Industrial Securities International Capital Limited; China Tonghai Securities Limited; CMBC Securities Company Limited; Guotai Junan Securities (Hong Kong) Limited; Zhongtai International Securities Limited</t>
        </is>
      </c>
      <c r="BX124" s="108" t="inlineStr">
        <is>
          <t>Beta International Securities Limited; CEB International Capital Corporation Limited; China Everbright Securities (HK) Limited; China Tonghai Securities Limited; China Industrial Securities International Capital Limited; CMBC Securities Company Limited; Essence International Securities (Hong Kong) Limited; Eddid Securities and Futures Limited; Guotai Junan Securities (Hong Kong) Limited; Livermore Holdings Limited; Maxa Capital Limited; Sigma Capital Management Limited</t>
        </is>
      </c>
      <c r="BY124" s="127">
        <f>HYPERLINK("https://www1.hkexnews.hk/listedco/listconews/sehk/2022/0629/2022062900043.pdf","prospectus")</f>
        <v/>
      </c>
      <c r="BZ124" s="127">
        <f>HYPERLINK("https://www1.hkexnews.hk/listedco/listconews/sehk/2022/0712/2022071200042.htm","allotment")</f>
        <v/>
      </c>
      <c r="CA124" s="127">
        <f>HYPERLINK("https://www1.hkexnews.hk/listedco/listconews/sehk/2022/0805/2022080501239.pdf","stabilisation")</f>
        <v/>
      </c>
      <c r="CB124" s="128" t="n"/>
      <c r="CC124" s="108" t="inlineStr">
        <is>
          <t>range low: maximum offer price only, no floor published; cornerstone: % from the prospectus; AAStocks table includes non-cornerstone orders; allocation: allocation table not in this notice's format (older prose announcement); day-1 tape: volume on file; the retail multiple needs the final public split, which this notice does not state</t>
        </is>
      </c>
    </row>
    <row r="125" ht="22" customHeight="1">
      <c r="A125" s="107" t="inlineStr">
        <is>
          <t>6686</t>
        </is>
      </c>
      <c r="B125" s="108" t="inlineStr">
        <is>
          <t>NOAH HOLDINGS-S</t>
        </is>
      </c>
      <c r="C125" s="108" t="inlineStr">
        <is>
          <t>諾亞控股</t>
        </is>
      </c>
      <c r="D125" s="108" t="inlineStr">
        <is>
          <t>Financials</t>
        </is>
      </c>
      <c r="E125" s="108" t="inlineStr">
        <is>
          <t>Brokers / asset management</t>
        </is>
      </c>
      <c r="F125" s="108" t="inlineStr">
        <is>
          <t>Investment Holdings &amp; Assets Management</t>
        </is>
      </c>
      <c r="G125" s="108" t="inlineStr">
        <is>
          <t>Secondary</t>
        </is>
      </c>
      <c r="H125" s="109" t="n">
        <v>44755</v>
      </c>
      <c r="I125" s="110" t="n">
        <v>321.2</v>
      </c>
      <c r="J125" s="108" t="inlineStr">
        <is>
          <t>gross (price x shares)</t>
        </is>
      </c>
      <c r="K125" s="129" t="n"/>
      <c r="L125" s="111" t="n">
        <v>307</v>
      </c>
      <c r="M125" s="111" t="n">
        <v>292</v>
      </c>
      <c r="N125" s="108" t="inlineStr">
        <is>
          <t>N</t>
        </is>
      </c>
      <c r="O125" s="112" t="n">
        <v>95.09999999999999</v>
      </c>
      <c r="P125" s="118" t="n"/>
      <c r="Q125" s="113" t="n">
        <v>9575.1</v>
      </c>
      <c r="R125" s="108" t="inlineStr">
        <is>
          <t>prospectus:stated market capitalisation</t>
        </is>
      </c>
      <c r="S125" s="114" t="n">
        <v>3.26</v>
      </c>
      <c r="T125" s="115" t="n">
        <v>5.9</v>
      </c>
      <c r="U125" s="116" t="n">
        <v>0</v>
      </c>
      <c r="V125" s="117" t="n">
        <v>118</v>
      </c>
      <c r="W125" s="118" t="n"/>
      <c r="X125" s="119" t="n"/>
      <c r="Y125" s="113" t="n">
        <v>321.2</v>
      </c>
      <c r="Z125" s="113" t="n">
        <v>1100000</v>
      </c>
      <c r="AA125" s="112" t="n">
        <v>3.35</v>
      </c>
      <c r="AB125" s="108" t="inlineStr">
        <is>
          <t>none — no cornerstone tranche</t>
        </is>
      </c>
      <c r="AC125" s="108" t="inlineStr">
        <is>
          <t>none</t>
        </is>
      </c>
      <c r="AD125" s="112" t="n">
        <v>11.9</v>
      </c>
      <c r="AE125" s="108" t="inlineStr">
        <is>
          <t>partial</t>
        </is>
      </c>
      <c r="AF125" s="108" t="inlineStr">
        <is>
          <t>2022-08-05</t>
        </is>
      </c>
      <c r="AG125" s="108" t="inlineStr">
        <is>
          <t>Goldman Sachs</t>
        </is>
      </c>
      <c r="AH125" s="108" t="inlineStr">
        <is>
          <t>Goldman Sachs</t>
        </is>
      </c>
      <c r="AI125" s="120" t="n">
        <v>-5.82</v>
      </c>
      <c r="AJ125" s="121" t="n">
        <v>-4.45</v>
      </c>
      <c r="AK125" s="121" t="n">
        <v>-0.63</v>
      </c>
      <c r="AL125" s="121" t="n">
        <v>-2.4</v>
      </c>
      <c r="AM125" s="121" t="n">
        <v>-2.1</v>
      </c>
      <c r="AN125" s="122" t="n"/>
      <c r="AO125" s="112" t="n">
        <v>5.54</v>
      </c>
      <c r="AP125" s="121" t="n">
        <v>-6.16</v>
      </c>
      <c r="AQ125" s="121" t="n">
        <v>-10.62</v>
      </c>
      <c r="AR125" s="121" t="n">
        <v>-27.12</v>
      </c>
      <c r="AS125" s="121" t="n">
        <v>-1.79</v>
      </c>
      <c r="AT125" s="121" t="n">
        <v>-6.46</v>
      </c>
      <c r="AU125" s="121" t="n">
        <v>-23.73</v>
      </c>
      <c r="AV125" s="121" t="n">
        <v>-4.66</v>
      </c>
      <c r="AW125" s="121" t="n">
        <v>-7.54</v>
      </c>
      <c r="AX125" s="121" t="n">
        <v>-8.26</v>
      </c>
      <c r="AY125" s="121" t="n">
        <v>-4</v>
      </c>
      <c r="AZ125" s="121" t="n">
        <v>-3.08</v>
      </c>
      <c r="BA125" s="121" t="n">
        <v>-2.46</v>
      </c>
      <c r="BB125" s="108" t="inlineStr">
        <is>
          <t>Hang Seng Finance sub-index</t>
        </is>
      </c>
      <c r="BC125" s="121" t="n">
        <v>-56.16</v>
      </c>
      <c r="BD125" s="109" t="n">
        <v>46297</v>
      </c>
      <c r="BE125" s="110" t="n">
        <v>4759.3</v>
      </c>
      <c r="BF125" s="131" t="n"/>
      <c r="BG125" s="108" t="inlineStr">
        <is>
          <t>Y</t>
        </is>
      </c>
      <c r="BH125" s="124">
        <f>IF('BBG Verify'!O125="","not filed; run on terminal",'BBG Verify'!O125)</f>
        <v/>
      </c>
      <c r="BI125" s="122" t="n"/>
      <c r="BJ125" s="122" t="n"/>
      <c r="BK125" s="123" t="n">
        <v>2</v>
      </c>
      <c r="BL125" s="124">
        <f>IF('BBG Verify'!S125="","not filed; run on terminal",'BBG Verify'!S125)</f>
        <v/>
      </c>
      <c r="BM125" s="125" t="inlineStr">
        <is>
          <t>N</t>
        </is>
      </c>
      <c r="BN125" s="126">
        <f>IF('BBG Verify'!K125="","not filed; run on terminal",'BBG Verify'!K125)</f>
        <v/>
      </c>
      <c r="BO125" s="108" t="inlineStr">
        <is>
          <t>N/A</t>
        </is>
      </c>
      <c r="BP125" s="108" t="inlineStr">
        <is>
          <t>N/A</t>
        </is>
      </c>
      <c r="BQ125" s="108" t="inlineStr">
        <is>
          <t>N/A</t>
        </is>
      </c>
      <c r="BR125" s="108" t="inlineStr">
        <is>
          <t>N/A</t>
        </is>
      </c>
      <c r="BS125" s="108" t="inlineStr">
        <is>
          <t>N/A</t>
        </is>
      </c>
      <c r="BT125" s="108" t="inlineStr">
        <is>
          <t>N/A</t>
        </is>
      </c>
      <c r="BU125" s="125" t="inlineStr">
        <is>
          <t>Goldman Sachs (Asia) L.L.C</t>
        </is>
      </c>
      <c r="BV125" s="108" t="inlineStr">
        <is>
          <t>Goldman Sachs (Asia) L.L.C.</t>
        </is>
      </c>
      <c r="BW125" s="108" t="inlineStr">
        <is>
          <t>Futu Securities International (Hong Kong) Limited</t>
        </is>
      </c>
      <c r="BX125" s="108" t="inlineStr">
        <is>
          <t>BOCI Asia Limited; DBS Asia Capital Limited; Futu Securities International (Hong Kong) Limited; Goldman Sachs (Asia) L.L.C.</t>
        </is>
      </c>
      <c r="BY125" s="127">
        <f>HYPERLINK("https://www1.hkexnews.hk/listedco/listconews/sehk/2022/0629/2022062902037.pdf","prospectus")</f>
        <v/>
      </c>
      <c r="BZ125" s="127">
        <f>HYPERLINK("https://www1.hkexnews.hk/listedco/listconews/sehk/2022/0712/2022071200028.htm","allotment")</f>
        <v/>
      </c>
      <c r="CA125" s="127">
        <f>HYPERLINK("https://www1.hkexnews.hk/listedco/listconews/sehk/2022/0805/2022080501393.pdf","stabilisation")</f>
        <v/>
      </c>
      <c r="CB125" s="128" t="n"/>
      <c r="CC125" s="108" t="inlineStr">
        <is>
          <t>P/E: withheld: 5,040x fails the 300x plausibility cap; extracted net income HK$1.9m suspect; range low: maximum offer price only, no floor published; cornerstone list: no cornerstone tranche; financials: not extractable; pre-IPO year outside the AAStocks window; allocation: allocation table not in this notice's format (older prose announcement); day-1 tape: volume on file; the retail multiple needs the final public split, which this notice does not state</t>
        </is>
      </c>
    </row>
    <row r="126" ht="22" customHeight="1">
      <c r="A126" s="107" t="inlineStr">
        <is>
          <t>9696</t>
        </is>
      </c>
      <c r="B126" s="108" t="inlineStr">
        <is>
          <t>TIANQI LITHIUM</t>
        </is>
      </c>
      <c r="C126" s="108" t="inlineStr">
        <is>
          <t>天齊鋰業</t>
        </is>
      </c>
      <c r="D126" s="108" t="inlineStr">
        <is>
          <t>Materials/Energy</t>
        </is>
      </c>
      <c r="E126" s="108" t="inlineStr">
        <is>
          <t>Mining / metals</t>
        </is>
      </c>
      <c r="F126" s="108" t="inlineStr">
        <is>
          <t>Diversified Metals &amp; Minerals</t>
        </is>
      </c>
      <c r="G126" s="108" t="inlineStr">
        <is>
          <t>Standard</t>
        </is>
      </c>
      <c r="H126" s="109" t="n">
        <v>44755</v>
      </c>
      <c r="I126" s="110" t="n">
        <v>13458</v>
      </c>
      <c r="J126" s="108" t="inlineStr">
        <is>
          <t>gross (price x shares)</t>
        </is>
      </c>
      <c r="K126" s="129" t="n"/>
      <c r="L126" s="111" t="n">
        <v>82</v>
      </c>
      <c r="M126" s="111" t="n">
        <v>82</v>
      </c>
      <c r="N126" s="108" t="inlineStr">
        <is>
          <t>Y</t>
        </is>
      </c>
      <c r="O126" s="112" t="n">
        <v>100</v>
      </c>
      <c r="P126" s="118" t="n"/>
      <c r="Q126" s="113" t="n">
        <v>123912.2</v>
      </c>
      <c r="R126" s="108" t="inlineStr">
        <is>
          <t>aastocks:上市市值 at the struck price</t>
        </is>
      </c>
      <c r="S126" s="114" t="n">
        <v>9.300000000000001</v>
      </c>
      <c r="T126" s="115" t="n">
        <v>5.2</v>
      </c>
      <c r="U126" s="116" t="n">
        <v>36.4</v>
      </c>
      <c r="V126" s="117" t="n">
        <v>251</v>
      </c>
      <c r="W126" s="118" t="n"/>
      <c r="X126" s="119" t="n"/>
      <c r="Y126" s="113" t="n">
        <v>8559.290000000001</v>
      </c>
      <c r="Z126" s="113" t="n">
        <v>104381719</v>
      </c>
      <c r="AA126" s="112" t="n">
        <v>6.91</v>
      </c>
      <c r="AB126" s="108" t="inlineStr">
        <is>
          <t>CALB Co., Ltd; CPIC Investment Management (H.K.) Company Limited; Gold Mountains (H.K.) International Mining Company Limited; LG Chem, Ltd; Pacific Asset Management Co., Limited; Shenzhen Dynanonic Company Limited; Sichuan Energy Investment (Hong Kong) Holdings Limited</t>
        </is>
      </c>
      <c r="AC126" s="108" t="inlineStr">
        <is>
          <t>calb;cpic;gold;lg;pacific-asset;shenzhen-dynanonic;sichuan</t>
        </is>
      </c>
      <c r="AD126" s="118" t="n"/>
      <c r="AE126" s="108" t="inlineStr">
        <is>
          <t>lapsed</t>
        </is>
      </c>
      <c r="AF126" s="108" t="inlineStr">
        <is>
          <t>2022-08-05</t>
        </is>
      </c>
      <c r="AG126" s="108" t="inlineStr">
        <is>
          <t>Morgan Stanley Asia Limited</t>
        </is>
      </c>
      <c r="AH126" s="108" t="inlineStr">
        <is>
          <t>Morgan Stanley</t>
        </is>
      </c>
      <c r="AI126" s="120" t="n">
        <v>-7.93</v>
      </c>
      <c r="AJ126" s="121" t="n">
        <v>0</v>
      </c>
      <c r="AK126" s="121" t="n">
        <v>0.18</v>
      </c>
      <c r="AL126" s="121" t="n">
        <v>-9.15</v>
      </c>
      <c r="AM126" s="121" t="n">
        <v>10.07</v>
      </c>
      <c r="AN126" s="122" t="n"/>
      <c r="AO126" s="112" t="n">
        <v>12.55</v>
      </c>
      <c r="AP126" s="121" t="n">
        <v>-3.84</v>
      </c>
      <c r="AQ126" s="121" t="n">
        <v>4.33</v>
      </c>
      <c r="AR126" s="121" t="n">
        <v>-21.22</v>
      </c>
      <c r="AS126" s="121" t="n">
        <v>-3.84</v>
      </c>
      <c r="AT126" s="121" t="n">
        <v>4.33</v>
      </c>
      <c r="AU126" s="121" t="n">
        <v>-21.22</v>
      </c>
      <c r="AV126" s="121" t="n">
        <v>-5.92</v>
      </c>
      <c r="AW126" s="121" t="n">
        <v>7.78</v>
      </c>
      <c r="AX126" s="121" t="n">
        <v>-0.91</v>
      </c>
      <c r="AY126" s="121" t="n">
        <v>7.95</v>
      </c>
      <c r="AZ126" s="121" t="n">
        <v>-3.45</v>
      </c>
      <c r="BA126" s="121" t="n">
        <v>-3.62</v>
      </c>
      <c r="BB126" s="108" t="inlineStr">
        <is>
          <t>Hang Seng Commerce &amp; Industry sub-index</t>
        </is>
      </c>
      <c r="BC126" s="121" t="n">
        <v>-65.61</v>
      </c>
      <c r="BD126" s="109" t="n">
        <v>46297</v>
      </c>
      <c r="BE126" s="110" t="n">
        <v>8357.700000000001</v>
      </c>
      <c r="BF126" s="113" t="n">
        <v>5258.7</v>
      </c>
      <c r="BG126" s="108" t="inlineStr">
        <is>
          <t>Y</t>
        </is>
      </c>
      <c r="BH126" s="123" t="n">
        <v>23.6</v>
      </c>
      <c r="BI126" s="123" t="n">
        <v>8.5</v>
      </c>
      <c r="BJ126" s="123" t="n">
        <v>23.2</v>
      </c>
      <c r="BK126" s="123" t="n">
        <v>14.8</v>
      </c>
      <c r="BL126" s="124">
        <f>IF('BBG Verify'!S126="","not filed; run on terminal",'BBG Verify'!S126)</f>
        <v/>
      </c>
      <c r="BM126" s="125" t="inlineStr">
        <is>
          <t>Y</t>
        </is>
      </c>
      <c r="BN126" s="108" t="inlineStr">
        <is>
          <t>002466.SZ</t>
        </is>
      </c>
      <c r="BO126" s="121" t="n">
        <v>82.11</v>
      </c>
      <c r="BP126" s="111" t="n">
        <v>149.3266</v>
      </c>
      <c r="BQ126" s="135" t="n">
        <v>0.6703</v>
      </c>
      <c r="BR126" s="113" t="n">
        <v>80719.8</v>
      </c>
      <c r="BS126" s="124">
        <f>IF('BBG Verify'!Q126="","run on terminal",'BBG Verify'!Q126)</f>
        <v/>
      </c>
      <c r="BT126" s="124">
        <f>IF('BBG Verify'!R126="","run on terminal",'BBG Verify'!R126)</f>
        <v/>
      </c>
      <c r="BU126" s="125" t="inlineStr">
        <is>
          <t>Morgan Stanley Asia Limited; China International Capital Corporation Hong Kong Securities Limited; CMB International Capital Limited</t>
        </is>
      </c>
      <c r="BV126" s="108" t="inlineStr">
        <is>
          <t>China International Capital Corporation Hong Kong Securities Limited; Morgan Stanley Asia Limited; CMB International Capital Corporation Limited</t>
        </is>
      </c>
      <c r="BW126" s="108" t="inlineStr">
        <is>
          <t>Morgan Stanley Asia Limited; CMB International Capital Limited; BNP Paribas Securities (Asia) Limited; Credit Suisse (Hong Kong) Limited; China International Capital Corporation Hong Kong Securities Limited; Banco BTG Pactual S.A. – Cayman Branch; Futu Securities International (Hong Kong) Limited; Huatai Financial Holdings (Hong Kong) Limited</t>
        </is>
      </c>
      <c r="BX126" s="108"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 Huatai Financial Holdings (Hong Kong) Limited; Morgan Stanley Asia Limited</t>
        </is>
      </c>
      <c r="BY126" s="127">
        <f>HYPERLINK("https://www1.hkexnews.hk/listedco/listconews/sehk/2022/0630/2022063000146.htm","prospectus")</f>
        <v/>
      </c>
      <c r="BZ126" s="127">
        <f>HYPERLINK("https://www1.hkexnews.hk/listedco/listconews/sehk/2022/0712/2022071200062.htm","allotment")</f>
        <v/>
      </c>
      <c r="CA126" s="127">
        <f>HYPERLINK("https://www1.hkexnews.hk/listedco/listconews/sehk/2022/0805/2022080501243.pdf","stabilisation")</f>
        <v/>
      </c>
      <c r="CB126" s="128" t="n"/>
      <c r="CC126" s="108" t="inlineStr">
        <is>
          <t>price range: fixed-price offering (no indicative range); range low: maximum offer price only, no floor published; A/H: Jul 2022, ~US$1.7bn; largest HK IPO of 2022 at pricing; cornerstone %: upper bound: AAStocks institutional total / deal size; greenshoe size: no over-allotment option; allocation: allocation table not in this notice's format (older prose announcement); day-1 tape: volume on file; the retail multiple needs the final public split, which this notice does not state</t>
        </is>
      </c>
    </row>
    <row r="127" ht="22" customHeight="1">
      <c r="A127" s="107" t="inlineStr">
        <is>
          <t>2418</t>
        </is>
      </c>
      <c r="B127" s="108" t="inlineStr">
        <is>
          <t>DEEWIN</t>
        </is>
      </c>
      <c r="C127" s="108" t="inlineStr">
        <is>
          <t>德銀天下</t>
        </is>
      </c>
      <c r="D127" s="108" t="inlineStr">
        <is>
          <t>Industrials</t>
        </is>
      </c>
      <c r="E127" s="108" t="inlineStr">
        <is>
          <t>Logistics</t>
        </is>
      </c>
      <c r="F127" s="108" t="inlineStr">
        <is>
          <t>Automotive Retail</t>
        </is>
      </c>
      <c r="G127" s="108" t="inlineStr">
        <is>
          <t>Standard</t>
        </is>
      </c>
      <c r="H127" s="109" t="n">
        <v>44757</v>
      </c>
      <c r="I127" s="110" t="n">
        <v>977.4</v>
      </c>
      <c r="J127" s="108" t="inlineStr">
        <is>
          <t>gross (price x shares)</t>
        </is>
      </c>
      <c r="K127" s="111" t="n">
        <v>1.78</v>
      </c>
      <c r="L127" s="111" t="n">
        <v>2.13</v>
      </c>
      <c r="M127" s="111" t="n">
        <v>1.8</v>
      </c>
      <c r="N127" s="108" t="inlineStr">
        <is>
          <t>N</t>
        </is>
      </c>
      <c r="O127" s="112" t="n">
        <v>84.5</v>
      </c>
      <c r="P127" s="112" t="n">
        <v>5.7</v>
      </c>
      <c r="Q127" s="113" t="n">
        <v>3909.6</v>
      </c>
      <c r="R127" s="108" t="inlineStr">
        <is>
          <t>derived:deal size / offer % of enlarged capital</t>
        </is>
      </c>
      <c r="S127" s="114" t="n">
        <v>0.42</v>
      </c>
      <c r="T127" s="115" t="n">
        <v>1.41</v>
      </c>
      <c r="U127" s="116" t="n">
        <v>21.12</v>
      </c>
      <c r="V127" s="117" t="n">
        <v>140</v>
      </c>
      <c r="W127" s="118" t="n"/>
      <c r="X127" s="119" t="n"/>
      <c r="Y127" s="113" t="n">
        <v>770.97</v>
      </c>
      <c r="Z127" s="113" t="n">
        <v>428318400</v>
      </c>
      <c r="AA127" s="112" t="n">
        <v>19.72</v>
      </c>
      <c r="AB127" s="108" t="inlineStr">
        <is>
          <t>Shaanxi Tide Automobile Air Conditioning Co., Ltd; Streamax Electronics Limited; Xian Yuanda Electronic Equipment Co., Ltd</t>
        </is>
      </c>
      <c r="AC127" s="108" t="inlineStr">
        <is>
          <t>shaanxi;streamax;xian</t>
        </is>
      </c>
      <c r="AD127" s="112" t="n">
        <v>5.28</v>
      </c>
      <c r="AE127" s="108" t="inlineStr">
        <is>
          <t>partial</t>
        </is>
      </c>
      <c r="AF127" s="108" t="inlineStr">
        <is>
          <t>2022-08-07</t>
        </is>
      </c>
      <c r="AG127" s="108" t="inlineStr">
        <is>
          <t>China Securities</t>
        </is>
      </c>
      <c r="AH127" s="108" t="inlineStr">
        <is>
          <t>China Securities</t>
        </is>
      </c>
      <c r="AI127" s="120" t="n">
        <v>-5</v>
      </c>
      <c r="AJ127" s="121" t="n">
        <v>0</v>
      </c>
      <c r="AK127" s="121" t="n">
        <v>-2.4</v>
      </c>
      <c r="AL127" s="121" t="n">
        <v>-2.78</v>
      </c>
      <c r="AM127" s="121" t="n">
        <v>2.86</v>
      </c>
      <c r="AN127" s="122" t="n"/>
      <c r="AO127" s="112" t="n">
        <v>12.57</v>
      </c>
      <c r="AP127" s="121" t="n">
        <v>-8.890000000000001</v>
      </c>
      <c r="AQ127" s="121" t="n">
        <v>-31.67</v>
      </c>
      <c r="AR127" s="121" t="n">
        <v>-46.11</v>
      </c>
      <c r="AS127" s="121" t="n">
        <v>-8.890000000000001</v>
      </c>
      <c r="AT127" s="121" t="n">
        <v>-31.67</v>
      </c>
      <c r="AU127" s="121" t="n">
        <v>-46.11</v>
      </c>
      <c r="AV127" s="121" t="n">
        <v>-9.18</v>
      </c>
      <c r="AW127" s="121" t="n">
        <v>-27.28</v>
      </c>
      <c r="AX127" s="121" t="n">
        <v>-24.25</v>
      </c>
      <c r="AY127" s="121" t="n">
        <v>-29.63</v>
      </c>
      <c r="AZ127" s="121" t="n">
        <v>-4.39</v>
      </c>
      <c r="BA127" s="121" t="n">
        <v>-2.04</v>
      </c>
      <c r="BB127" s="108" t="inlineStr">
        <is>
          <t>Hang Seng Commerce &amp; Industry sub-index</t>
        </is>
      </c>
      <c r="BC127" s="121" t="n">
        <v>46.94</v>
      </c>
      <c r="BD127" s="109" t="n">
        <v>46297</v>
      </c>
      <c r="BE127" s="110" t="n">
        <v>3439.5</v>
      </c>
      <c r="BF127" s="113" t="n">
        <v>405.6</v>
      </c>
      <c r="BG127" s="108" t="inlineStr">
        <is>
          <t>Y</t>
        </is>
      </c>
      <c r="BH127" s="123" t="n">
        <v>9.6</v>
      </c>
      <c r="BI127" s="122" t="n"/>
      <c r="BJ127" s="123" t="n">
        <v>79.7</v>
      </c>
      <c r="BK127" s="123" t="n">
        <v>1.1</v>
      </c>
      <c r="BL127" s="124">
        <f>IF('BBG Verify'!S127="","not filed; run on terminal",'BBG Verify'!S127)</f>
        <v/>
      </c>
      <c r="BM127" s="125" t="inlineStr">
        <is>
          <t>N</t>
        </is>
      </c>
      <c r="BN127" s="126">
        <f>IF('BBG Verify'!K127="","not filed; run on terminal",'BBG Verify'!K127)</f>
        <v/>
      </c>
      <c r="BO127" s="108" t="inlineStr">
        <is>
          <t>N/A</t>
        </is>
      </c>
      <c r="BP127" s="108" t="inlineStr">
        <is>
          <t>N/A</t>
        </is>
      </c>
      <c r="BQ127" s="108" t="inlineStr">
        <is>
          <t>N/A</t>
        </is>
      </c>
      <c r="BR127" s="108" t="inlineStr">
        <is>
          <t>N/A</t>
        </is>
      </c>
      <c r="BS127" s="108" t="inlineStr">
        <is>
          <t>N/A</t>
        </is>
      </c>
      <c r="BT127" s="108" t="inlineStr">
        <is>
          <t>N/A</t>
        </is>
      </c>
      <c r="BU127" s="125" t="inlineStr">
        <is>
          <t>China Securities (International) Corporate Finance Company Limited</t>
        </is>
      </c>
      <c r="BV127" s="108" t="inlineStr">
        <is>
          <t>China Securities (International) Corporate Finance Company Limited</t>
        </is>
      </c>
      <c r="BW127" s="108" t="inlineStr">
        <is>
          <t>China Securities (International) Corporate Finance Company Limited; Huatai Financial Holdings (Hong Kong) Limited; CEB International Capital Corporation Limited; BOCI Asia Limited; Futu Securities International (Hong Kong) Limited; Tiger Brokers (HK) Global Limited; Livermore Holdings Limited; Guotai Junan Securities (Hong Kong) Limited; Eddid Securities and Futures Limited</t>
        </is>
      </c>
      <c r="BX127" s="108" t="inlineStr">
        <is>
          <t>BOCI Asia Limited; CEB International Capital Corporation Limited; China Securities (International) Corporate Finance Company Limited; Eddid Securities and Futures Limited; Futu Securities International (Hong Kong) Limited; Guotai Junan Securities (Hong Kong) Limited; Huatai Financial Holdings (Hong Kong) Limited; Livermore Holdings Limited; Tiger Brokers (HK) Global Limited; Zhongtai International Securities Limited</t>
        </is>
      </c>
      <c r="BY127" s="127">
        <f>HYPERLINK("https://www1.hkexnews.hk/listedco/listconews/sehk/2022/0630/2022063000037.pdf","prospectus")</f>
        <v/>
      </c>
      <c r="BZ127" s="127">
        <f>HYPERLINK("https://www1.hkexnews.hk/listedco/listconews/sehk/2022/0714/2022071400006.htm","allotment")</f>
        <v/>
      </c>
      <c r="CA127" s="127">
        <f>HYPERLINK("https://www1.hkexnews.hk/listedco/listconews/sehk/2022/0808/2022080800065.pdf","stabilisation")</f>
        <v/>
      </c>
      <c r="CB127" s="128" t="n"/>
      <c r="CC127" s="108" t="inlineStr">
        <is>
          <t>sponsor: English name not in the filing; AAStocks 保薦人 shown; allocation: allocation table not in this notice's format (older prose announcement); day-1 tape: volume on file; the retail multiple needs the final public split, which this notice does not state</t>
        </is>
      </c>
    </row>
    <row r="128" ht="22" customHeight="1">
      <c r="A128" s="107" t="inlineStr">
        <is>
          <t>1204</t>
        </is>
      </c>
      <c r="B128" s="108" t="inlineStr">
        <is>
          <t>BOARDWARE INTEL</t>
        </is>
      </c>
      <c r="C128" s="108" t="inlineStr">
        <is>
          <t>博維智慧</t>
        </is>
      </c>
      <c r="D128" s="108" t="inlineStr">
        <is>
          <t>Tech/AI</t>
        </is>
      </c>
      <c r="E128" s="108" t="inlineStr">
        <is>
          <t>SaaS / enterprise software</t>
        </is>
      </c>
      <c r="F128" s="108" t="inlineStr">
        <is>
          <t>IT Consulting &amp; Other Services</t>
        </is>
      </c>
      <c r="G128" s="108" t="inlineStr">
        <is>
          <t>Standard</t>
        </is>
      </c>
      <c r="H128" s="109" t="n">
        <v>44757</v>
      </c>
      <c r="I128" s="110" t="n">
        <v>135</v>
      </c>
      <c r="J128" s="108" t="inlineStr">
        <is>
          <t>gross (price x shares)</t>
        </is>
      </c>
      <c r="K128" s="129" t="n"/>
      <c r="L128" s="111" t="n">
        <v>1.08</v>
      </c>
      <c r="M128" s="111" t="n">
        <v>1.08</v>
      </c>
      <c r="N128" s="108" t="inlineStr">
        <is>
          <t>Y</t>
        </is>
      </c>
      <c r="O128" s="112" t="n">
        <v>100</v>
      </c>
      <c r="P128" s="118" t="n"/>
      <c r="Q128" s="113" t="n">
        <v>585</v>
      </c>
      <c r="R128" s="108" t="inlineStr">
        <is>
          <t>aastocks:上市市值 at the struck price</t>
        </is>
      </c>
      <c r="S128" s="114" t="n">
        <v>10.69</v>
      </c>
      <c r="T128" s="115" t="n">
        <v>1.03</v>
      </c>
      <c r="U128" s="116" t="n">
        <v>22.2</v>
      </c>
      <c r="V128" s="117" t="n">
        <v>136</v>
      </c>
      <c r="W128" s="118" t="n"/>
      <c r="X128" s="119" t="n"/>
      <c r="Y128" s="113" t="n">
        <v>105.03</v>
      </c>
      <c r="Z128" s="113" t="n">
        <v>97250000</v>
      </c>
      <c r="AA128" s="112" t="n">
        <v>17.95</v>
      </c>
      <c r="AB128" s="108" t="inlineStr">
        <is>
          <t>Ung Choi Kun</t>
        </is>
      </c>
      <c r="AC128" s="108" t="inlineStr">
        <is>
          <t>ung</t>
        </is>
      </c>
      <c r="AD128" s="118" t="n"/>
      <c r="AE128" s="108" t="inlineStr">
        <is>
          <t>lapsed (no over-allocation)</t>
        </is>
      </c>
      <c r="AF128" s="119" t="n"/>
      <c r="AG128" s="108" t="inlineStr">
        <is>
          <t>China Tonghai Securities Limited</t>
        </is>
      </c>
      <c r="AH128" s="108" t="inlineStr">
        <is>
          <t>China Tonghai</t>
        </is>
      </c>
      <c r="AI128" s="120" t="n">
        <v>4.63</v>
      </c>
      <c r="AJ128" s="121" t="n">
        <v>12.96</v>
      </c>
      <c r="AK128" s="121" t="n">
        <v>-2.88</v>
      </c>
      <c r="AL128" s="121" t="n">
        <v>5.56</v>
      </c>
      <c r="AM128" s="121" t="n">
        <v>7.01</v>
      </c>
      <c r="AN128" s="122" t="n"/>
      <c r="AO128" s="112" t="n">
        <v>23.68</v>
      </c>
      <c r="AP128" s="121" t="n">
        <v>12.96</v>
      </c>
      <c r="AQ128" s="121" t="n">
        <v>10.19</v>
      </c>
      <c r="AR128" s="121" t="n">
        <v>-3.7</v>
      </c>
      <c r="AS128" s="121" t="n">
        <v>0</v>
      </c>
      <c r="AT128" s="121" t="n">
        <v>-2.45</v>
      </c>
      <c r="AU128" s="121" t="n">
        <v>-14.75</v>
      </c>
      <c r="AV128" s="121" t="n">
        <v>12.56</v>
      </c>
      <c r="AW128" s="121" t="n">
        <v>15.77</v>
      </c>
      <c r="AX128" s="121" t="n">
        <v>26.3</v>
      </c>
      <c r="AY128" s="121" t="n">
        <v>0.33</v>
      </c>
      <c r="AZ128" s="121" t="n">
        <v>-5.58</v>
      </c>
      <c r="BA128" s="121" t="n">
        <v>-2.78</v>
      </c>
      <c r="BB128" s="108" t="inlineStr">
        <is>
          <t>HSTECH (Hang Seng TECH ETF)</t>
        </is>
      </c>
      <c r="BC128" s="121" t="n">
        <v>57.41</v>
      </c>
      <c r="BD128" s="109" t="n">
        <v>46297</v>
      </c>
      <c r="BE128" s="110" t="n">
        <v>534.3</v>
      </c>
      <c r="BF128" s="113" t="n">
        <v>24</v>
      </c>
      <c r="BG128" s="108" t="inlineStr">
        <is>
          <t>Y</t>
        </is>
      </c>
      <c r="BH128" s="123" t="n">
        <v>24.4</v>
      </c>
      <c r="BI128" s="122" t="n"/>
      <c r="BJ128" s="123" t="n">
        <v>113.4</v>
      </c>
      <c r="BK128" s="123" t="n">
        <v>1.1</v>
      </c>
      <c r="BL128" s="124">
        <f>IF('BBG Verify'!S128="","not filed; run on terminal",'BBG Verify'!S128)</f>
        <v/>
      </c>
      <c r="BM128" s="125" t="inlineStr">
        <is>
          <t>N</t>
        </is>
      </c>
      <c r="BN128" s="126">
        <f>IF('BBG Verify'!K128="","not filed; run on terminal",'BBG Verify'!K128)</f>
        <v/>
      </c>
      <c r="BO128" s="108" t="inlineStr">
        <is>
          <t>N/A</t>
        </is>
      </c>
      <c r="BP128" s="108" t="inlineStr">
        <is>
          <t>N/A</t>
        </is>
      </c>
      <c r="BQ128" s="108" t="inlineStr">
        <is>
          <t>N/A</t>
        </is>
      </c>
      <c r="BR128" s="108" t="inlineStr">
        <is>
          <t>N/A</t>
        </is>
      </c>
      <c r="BS128" s="108" t="inlineStr">
        <is>
          <t>N/A</t>
        </is>
      </c>
      <c r="BT128" s="108" t="inlineStr">
        <is>
          <t>N/A</t>
        </is>
      </c>
      <c r="BU128" s="125" t="inlineStr">
        <is>
          <t>China Tonghai Capital Limited</t>
        </is>
      </c>
      <c r="BV128" s="108" t="inlineStr">
        <is>
          <t>China Tonghai Capital Limited</t>
        </is>
      </c>
      <c r="BW128" s="108" t="inlineStr">
        <is>
          <t>China Tonghai Securities Limited; Blackwell Global Securities Limited; BOCOM International Securities Limited; CCB International Capital Limited; China Galaxy International Securities (Hong Kong) Co., Limited; CMBC Securities Company Limited; Eddid Securities and Futures Limited; Fortune (HK) Securities Limited; Innovax Securities Limited; Zhongtai International Securities Limited</t>
        </is>
      </c>
      <c r="BX128" s="108" t="inlineStr">
        <is>
          <t>Beta International Securities Limited; Blackwell Global Securities Limited; CCB International Capital Limited; China Galaxy International Securities (Hong Kong) Company Limited; China Tonghai Securities Limited; CMBC Securities Company Limited; Eddid Securities and Futures Limited; Fortune (HK) Securities Limited; Guotai Junan Securities (Hong Kong) Limited; Innovax Securities Limited</t>
        </is>
      </c>
      <c r="BY128" s="127">
        <f>HYPERLINK("https://www1.hkexnews.hk/listedco/listconews/sehk/2022/0629/2022062900148.htm","prospectus")</f>
        <v/>
      </c>
      <c r="BZ128" s="127">
        <f>HYPERLINK("https://www1.hkexnews.hk/listedco/listconews/sehk/2022/0714/2022071400026.htm","allotment")</f>
        <v/>
      </c>
      <c r="CA128" s="127">
        <f>HYPERLINK("https://www1.hkexnews.hk/listedco/listconews/sehk/2022/0805/2022080500015.pdf","stabilisation")</f>
        <v/>
      </c>
      <c r="CB128" s="128" t="n"/>
      <c r="CC128" s="108" t="inlineStr">
        <is>
          <t>greenshoe: outcome published; expiry date not in the notice; price range: fixed-price offering (no indicative range); range low: maximum offer price only, no floor published; cornerstone: table parse 72% rejected (institutional total implies 22%); the AAStocks institutional total used; greenshoe size: no over-allotment option; allocation: allocation table not in this notice's format (older prose announcement); day-1 tape: volume on file; the retail multiple needs the final public split, which this notice does not state</t>
        </is>
      </c>
    </row>
    <row r="129" ht="22" customHeight="1">
      <c r="A129" s="107" t="inlineStr">
        <is>
          <t>2172</t>
        </is>
      </c>
      <c r="B129" s="108" t="inlineStr">
        <is>
          <t>MICROPORT NEURO</t>
        </is>
      </c>
      <c r="C129" s="108" t="inlineStr">
        <is>
          <t>微創腦科學</t>
        </is>
      </c>
      <c r="D129" s="108" t="inlineStr">
        <is>
          <t>Healthcare</t>
        </is>
      </c>
      <c r="E129" s="108" t="inlineStr">
        <is>
          <t>Medical devices</t>
        </is>
      </c>
      <c r="F129" s="108" t="inlineStr">
        <is>
          <t>Health Care Equipment</t>
        </is>
      </c>
      <c r="G129" s="108" t="inlineStr">
        <is>
          <t>Standard</t>
        </is>
      </c>
      <c r="H129" s="109" t="n">
        <v>44757</v>
      </c>
      <c r="I129" s="110" t="n">
        <v>337.6</v>
      </c>
      <c r="J129" s="108" t="inlineStr">
        <is>
          <t>gross (price x shares)</t>
        </is>
      </c>
      <c r="K129" s="129" t="n"/>
      <c r="L129" s="111" t="n">
        <v>24.64</v>
      </c>
      <c r="M129" s="111" t="n">
        <v>24.64</v>
      </c>
      <c r="N129" s="108" t="inlineStr">
        <is>
          <t>Y</t>
        </is>
      </c>
      <c r="O129" s="112" t="n">
        <v>100</v>
      </c>
      <c r="P129" s="118" t="n"/>
      <c r="Q129" s="113" t="n">
        <v>14450</v>
      </c>
      <c r="R129" s="108" t="inlineStr">
        <is>
          <t>press:vbdata/动脉网: 上市总市值144.5亿</t>
        </is>
      </c>
      <c r="S129" s="114" t="n">
        <v>45.27</v>
      </c>
      <c r="T129" s="115" t="n">
        <v>2.14</v>
      </c>
      <c r="U129" s="116" t="n">
        <v>61.9</v>
      </c>
      <c r="V129" s="117" t="n">
        <v>110</v>
      </c>
      <c r="W129" s="118" t="n"/>
      <c r="X129" s="119" t="n"/>
      <c r="Y129" s="113" t="n">
        <v>128.63</v>
      </c>
      <c r="Z129" s="113" t="n">
        <v>5219700</v>
      </c>
      <c r="AA129" s="112" t="n">
        <v>0.89</v>
      </c>
      <c r="AB129" s="108" t="inlineStr">
        <is>
          <t>Harvest; Xinhuanet Co., Ltd</t>
        </is>
      </c>
      <c r="AC129" s="108" t="inlineStr">
        <is>
          <t>harvest;xinhuanet</t>
        </is>
      </c>
      <c r="AD129" s="118" t="n"/>
      <c r="AE129" s="108" t="inlineStr">
        <is>
          <t>lapsed</t>
        </is>
      </c>
      <c r="AF129" s="108" t="inlineStr">
        <is>
          <t>2022-08-07</t>
        </is>
      </c>
      <c r="AG129" s="108" t="inlineStr">
        <is>
          <t>China International Capital Corporation Hong Kong Securities Limited</t>
        </is>
      </c>
      <c r="AH129" s="108" t="inlineStr">
        <is>
          <t>China International</t>
        </is>
      </c>
      <c r="AI129" s="120" t="n">
        <v>-0.37</v>
      </c>
      <c r="AJ129" s="121" t="n">
        <v>-0.16</v>
      </c>
      <c r="AK129" s="121" t="n">
        <v>-2.55</v>
      </c>
      <c r="AL129" s="121" t="n">
        <v>0.24</v>
      </c>
      <c r="AM129" s="121" t="n">
        <v>-0.4</v>
      </c>
      <c r="AN129" s="122" t="n"/>
      <c r="AO129" s="112" t="n">
        <v>4.25</v>
      </c>
      <c r="AP129" s="121" t="n">
        <v>-0.37</v>
      </c>
      <c r="AQ129" s="121" t="n">
        <v>-0.97</v>
      </c>
      <c r="AR129" s="121" t="n">
        <v>-0.37</v>
      </c>
      <c r="AS129" s="121" t="n">
        <v>-0.21</v>
      </c>
      <c r="AT129" s="121" t="n">
        <v>-0.8100000000000001</v>
      </c>
      <c r="AU129" s="121" t="n">
        <v>-0.21</v>
      </c>
      <c r="AV129" s="121" t="n">
        <v>2.56</v>
      </c>
      <c r="AW129" s="121" t="n">
        <v>5.44</v>
      </c>
      <c r="AX129" s="121" t="n">
        <v>17.36</v>
      </c>
      <c r="AY129" s="121" t="n">
        <v>3.16</v>
      </c>
      <c r="AZ129" s="121" t="n">
        <v>-6.41</v>
      </c>
      <c r="BA129" s="121" t="n">
        <v>-3.97</v>
      </c>
      <c r="BB129" s="108" t="inlineStr">
        <is>
          <t>China Biotech ETF (HS biotech proxy)</t>
        </is>
      </c>
      <c r="BC129" s="121" t="n">
        <v>-67.31</v>
      </c>
      <c r="BD129" s="109" t="n">
        <v>46265</v>
      </c>
      <c r="BE129" s="110" t="n">
        <v>421.1</v>
      </c>
      <c r="BF129" s="131" t="n"/>
      <c r="BG129" s="108" t="inlineStr">
        <is>
          <t>Y</t>
        </is>
      </c>
      <c r="BH129" s="124">
        <f>IF('BBG Verify'!O129="","not filed; run on terminal",'BBG Verify'!O129)</f>
        <v/>
      </c>
      <c r="BI129" s="122" t="n"/>
      <c r="BJ129" s="123" t="n">
        <v>23.6</v>
      </c>
      <c r="BK129" s="123" t="n">
        <v>34.3</v>
      </c>
      <c r="BL129" s="124">
        <f>IF('BBG Verify'!S129="","not filed; run on terminal",'BBG Verify'!S129)</f>
        <v/>
      </c>
      <c r="BM129" s="125" t="inlineStr">
        <is>
          <t>N</t>
        </is>
      </c>
      <c r="BN129" s="126">
        <f>IF('BBG Verify'!K129="","not filed; run on terminal",'BBG Verify'!K129)</f>
        <v/>
      </c>
      <c r="BO129" s="108" t="inlineStr">
        <is>
          <t>N/A</t>
        </is>
      </c>
      <c r="BP129" s="108" t="inlineStr">
        <is>
          <t>N/A</t>
        </is>
      </c>
      <c r="BQ129" s="108" t="inlineStr">
        <is>
          <t>N/A</t>
        </is>
      </c>
      <c r="BR129" s="108" t="inlineStr">
        <is>
          <t>N/A</t>
        </is>
      </c>
      <c r="BS129" s="108" t="inlineStr">
        <is>
          <t>N/A</t>
        </is>
      </c>
      <c r="BT129" s="108" t="inlineStr">
        <is>
          <t>N/A</t>
        </is>
      </c>
      <c r="BU129" s="125" t="inlineStr">
        <is>
          <t>J.P. Morgan Securities (Far East) Limited; China International Capital Corporation Hong Kong Securities Limited</t>
        </is>
      </c>
      <c r="BV129" s="108" t="inlineStr">
        <is>
          <t>China International Capital Corporation Hong Kong Securities Limited; J.P. Morgan Securities (Far East) Limited</t>
        </is>
      </c>
      <c r="BW129" s="108" t="inlineStr">
        <is>
          <t>J.P. Morgan Securities (Asia Pacific) Limited; China International Capital Corporation Hong Kong Securities Limited; J.P. Morgan Securities plc; Futu Securities International (Hong Kong) Limited; Livermore Holdings Limited</t>
        </is>
      </c>
      <c r="BX129" s="108" t="inlineStr">
        <is>
          <t>China International Capital Corporation Hong Kong Securities Limited; Futu Securities International (Hong Kong) Limited; J.P. Morgan Securities (Asia Pacific) Limited; Livermore Holdings Limited</t>
        </is>
      </c>
      <c r="BY129" s="127">
        <f>HYPERLINK("https://www1.hkexnews.hk/listedco/listconews/sehk/2022/0629/2022062900318.htm","prospectus")</f>
        <v/>
      </c>
      <c r="BZ129" s="127">
        <f>HYPERLINK("https://www1.hkexnews.hk/listedco/listconews/sehk/2022/0714/2022071400060.htm","allotment")</f>
        <v/>
      </c>
      <c r="CA129" s="127">
        <f>HYPERLINK("https://www1.hkexnews.hk/listedco/listconews/sehk/2022/0807/2022080700009.pdf","stabilisation")</f>
        <v/>
      </c>
      <c r="CB129" s="128" t="n"/>
      <c r="CC129" s="108" t="inlineStr">
        <is>
          <t>P/E: withheld: 543x fails the 300x plausibility cap; extracted net income HK$26.6m suspect; price range: fixed-price offering (no indicative range); range low: maximum offer price only, no floor published; greenshoe size: no over-allotment option; financials: not extractable; pre-IPO year outside the AAStocks window; price series: last available quoted close 2026-08-31; may be suspended, delisted or a source gap; price and benchmark end on that date; allocation: allocation table not in this notice's format (older prose announcement); day-1 tape: volume on file; the retail multiple needs the final public split, which this notice does not state</t>
        </is>
      </c>
    </row>
    <row r="130" ht="22" customHeight="1">
      <c r="A130" s="107" t="inlineStr">
        <is>
          <t>2237</t>
        </is>
      </c>
      <c r="B130" s="108" t="inlineStr">
        <is>
          <t>CHINA GRAPHITE</t>
        </is>
      </c>
      <c r="C130" s="108" t="inlineStr">
        <is>
          <t>中國石墨</t>
        </is>
      </c>
      <c r="D130" s="108" t="inlineStr">
        <is>
          <t>Materials/Energy</t>
        </is>
      </c>
      <c r="E130" s="108" t="inlineStr">
        <is>
          <t>Mining / metals</t>
        </is>
      </c>
      <c r="F130" s="108" t="inlineStr">
        <is>
          <t>Diversified Metals &amp; Minerals</t>
        </is>
      </c>
      <c r="G130" s="108" t="inlineStr">
        <is>
          <t>Standard</t>
        </is>
      </c>
      <c r="H130" s="109" t="n">
        <v>44760</v>
      </c>
      <c r="I130" s="110" t="n">
        <v>130</v>
      </c>
      <c r="J130" s="108" t="inlineStr">
        <is>
          <t>gross (price x shares)</t>
        </is>
      </c>
      <c r="K130" s="111" t="n">
        <v>0.325</v>
      </c>
      <c r="L130" s="111" t="n">
        <v>0.375</v>
      </c>
      <c r="M130" s="111" t="n">
        <v>0.325</v>
      </c>
      <c r="N130" s="108" t="inlineStr">
        <is>
          <t>N</t>
        </is>
      </c>
      <c r="O130" s="112" t="n">
        <v>86.7</v>
      </c>
      <c r="P130" s="112" t="n">
        <v>0</v>
      </c>
      <c r="Q130" s="113" t="n">
        <v>520</v>
      </c>
      <c r="R130" s="108" t="inlineStr">
        <is>
          <t>derived:deal size / offer % of enlarged capital</t>
        </is>
      </c>
      <c r="S130" s="114" t="n">
        <v>26.51</v>
      </c>
      <c r="T130" s="115" t="n">
        <v>1.06</v>
      </c>
      <c r="U130" s="116" t="n">
        <v>0</v>
      </c>
      <c r="V130" s="117" t="n">
        <v>202</v>
      </c>
      <c r="W130" s="118" t="n"/>
      <c r="X130" s="119" t="n"/>
      <c r="Y130" s="113" t="n">
        <v>130</v>
      </c>
      <c r="Z130" s="113" t="n">
        <v>400000000</v>
      </c>
      <c r="AA130" s="112" t="n">
        <v>25</v>
      </c>
      <c r="AB130" s="108" t="inlineStr">
        <is>
          <t>none — no cornerstone tranche</t>
        </is>
      </c>
      <c r="AC130" s="108" t="inlineStr">
        <is>
          <t>none</t>
        </is>
      </c>
      <c r="AD130" s="112" t="n">
        <v>15</v>
      </c>
      <c r="AE130" s="108" t="inlineStr">
        <is>
          <t>lapsed (no over-allocation)</t>
        </is>
      </c>
      <c r="AF130" s="119" t="n"/>
      <c r="AG130" s="108" t="inlineStr">
        <is>
          <t>Lego Securities Lim ited</t>
        </is>
      </c>
      <c r="AH130" s="108" t="inlineStr">
        <is>
          <t>Lego</t>
        </is>
      </c>
      <c r="AI130" s="120" t="n">
        <v>15.38</v>
      </c>
      <c r="AJ130" s="121" t="n">
        <v>143.08</v>
      </c>
      <c r="AK130" s="121" t="n">
        <v>2.83</v>
      </c>
      <c r="AL130" s="121" t="n">
        <v>35.38</v>
      </c>
      <c r="AM130" s="121" t="n">
        <v>79.55</v>
      </c>
      <c r="AN130" s="122" t="n"/>
      <c r="AO130" s="112" t="n">
        <v>187.5</v>
      </c>
      <c r="AP130" s="121" t="n">
        <v>56.92</v>
      </c>
      <c r="AQ130" s="121" t="n">
        <v>176.92</v>
      </c>
      <c r="AR130" s="121" t="n">
        <v>183.08</v>
      </c>
      <c r="AS130" s="121" t="n">
        <v>-35.45</v>
      </c>
      <c r="AT130" s="121" t="n">
        <v>13.92</v>
      </c>
      <c r="AU130" s="121" t="n">
        <v>16.46</v>
      </c>
      <c r="AV130" s="121" t="n">
        <v>55.26</v>
      </c>
      <c r="AW130" s="121" t="n">
        <v>180.79</v>
      </c>
      <c r="AX130" s="121" t="n">
        <v>203.2</v>
      </c>
      <c r="AY130" s="121" t="n">
        <v>20.44</v>
      </c>
      <c r="AZ130" s="121" t="n">
        <v>-3.87</v>
      </c>
      <c r="BA130" s="121" t="n">
        <v>-6.52</v>
      </c>
      <c r="BB130" s="108" t="inlineStr">
        <is>
          <t>Hang Seng Commerce &amp; Industry sub-index</t>
        </is>
      </c>
      <c r="BC130" s="121" t="n">
        <v>-44.92</v>
      </c>
      <c r="BD130" s="109" t="n">
        <v>46297</v>
      </c>
      <c r="BE130" s="110" t="n">
        <v>218.2</v>
      </c>
      <c r="BF130" s="113" t="n">
        <v>58.7</v>
      </c>
      <c r="BG130" s="108" t="inlineStr">
        <is>
          <t>Y</t>
        </is>
      </c>
      <c r="BH130" s="123" t="n">
        <v>8.9</v>
      </c>
      <c r="BI130" s="122" t="n"/>
      <c r="BJ130" s="123" t="n">
        <v>53.8</v>
      </c>
      <c r="BK130" s="123" t="n">
        <v>2.4</v>
      </c>
      <c r="BL130" s="124">
        <f>IF('BBG Verify'!S130="","not filed; run on terminal",'BBG Verify'!S130)</f>
        <v/>
      </c>
      <c r="BM130" s="125" t="inlineStr">
        <is>
          <t>N</t>
        </is>
      </c>
      <c r="BN130" s="126">
        <f>IF('BBG Verify'!K130="","not filed; run on terminal",'BBG Verify'!K130)</f>
        <v/>
      </c>
      <c r="BO130" s="108" t="inlineStr">
        <is>
          <t>N/A</t>
        </is>
      </c>
      <c r="BP130" s="108" t="inlineStr">
        <is>
          <t>N/A</t>
        </is>
      </c>
      <c r="BQ130" s="108" t="inlineStr">
        <is>
          <t>N/A</t>
        </is>
      </c>
      <c r="BR130" s="108" t="inlineStr">
        <is>
          <t>N/A</t>
        </is>
      </c>
      <c r="BS130" s="108" t="inlineStr">
        <is>
          <t>N/A</t>
        </is>
      </c>
      <c r="BT130" s="108" t="inlineStr">
        <is>
          <t>N/A</t>
        </is>
      </c>
      <c r="BU130" s="125" t="inlineStr">
        <is>
          <t>Lego Corporate Finance Limited</t>
        </is>
      </c>
      <c r="BV130" s="108" t="inlineStr">
        <is>
          <t>Lego Corporate Finance Limited</t>
        </is>
      </c>
      <c r="BW130" s="108" t="inlineStr">
        <is>
          <t>China Galaxy Internati onal Securities (Hong Kong) Co., Limited; China Tonghai Securities Limited; Guotai Junan Securities (Hong Kong) Limited</t>
        </is>
      </c>
      <c r="BX130" s="108" t="inlineStr">
        <is>
          <t>Alpha Financial Group Limited; AMC Wanhai Securities Limited; CCB International Capital Limited; China Galaxy International Securities (Hong Kong) Company Limited; China Tonghai Securities Limited; CIS Securities Asset Management Limited; CSFG International Securities Limited; Elstone Securities Limited; Eddid Securities and Futures Limited; Golden Eagle Brokerage Limited; Guotai Junan Securities (Hong Kong) Limited; Lego Securities Limited</t>
        </is>
      </c>
      <c r="BY130" s="127">
        <f>HYPERLINK("https://www1.hkexnews.hk/listedco/listconews/sehk/2022/0630/2022063000021.pdf","prospectus")</f>
        <v/>
      </c>
      <c r="BZ130" s="127">
        <f>HYPERLINK("https://www1.hkexnews.hk/listedco/listconews/sehk/2022/0715/2022071500016.htm","allotment")</f>
        <v/>
      </c>
      <c r="CA130" s="127">
        <f>HYPERLINK("https://www1.hkexnews.hk/listedco/listconews/sehk/2022/0808/2022080800011.pdf","stabilisation")</f>
        <v/>
      </c>
      <c r="CB130" s="128" t="n"/>
      <c r="CC130" s="108" t="inlineStr">
        <is>
          <t>greenshoe: outcome published; expiry date not in the notice; cornerstone list: no cornerstone tranche; allocation: allocation table not in this notice's format (older prose announcement); day-1 tape: volume on file; the retail multiple needs the final public split, which this notice does not state</t>
        </is>
      </c>
    </row>
    <row r="131" ht="22" customHeight="1">
      <c r="A131" s="107" t="inlineStr">
        <is>
          <t>9857</t>
        </is>
      </c>
      <c r="B131" s="108" t="inlineStr">
        <is>
          <t>LINMON MEDIA</t>
        </is>
      </c>
      <c r="C131" s="108" t="inlineStr">
        <is>
          <t>檸萌影視</t>
        </is>
      </c>
      <c r="D131" s="108" t="inlineStr">
        <is>
          <t>TMT-other</t>
        </is>
      </c>
      <c r="E131" s="108" t="inlineStr">
        <is>
          <t>Media / advertising</t>
        </is>
      </c>
      <c r="F131" s="108" t="inlineStr">
        <is>
          <t>Movies &amp; Entertainment</t>
        </is>
      </c>
      <c r="G131" s="108" t="inlineStr">
        <is>
          <t>Standard</t>
        </is>
      </c>
      <c r="H131" s="109" t="n">
        <v>44783</v>
      </c>
      <c r="I131" s="110" t="n">
        <v>420.1</v>
      </c>
      <c r="J131" s="108" t="inlineStr">
        <is>
          <t>gross (price x shares)</t>
        </is>
      </c>
      <c r="K131" s="111" t="n">
        <v>27.75</v>
      </c>
      <c r="L131" s="111" t="n">
        <v>33.3</v>
      </c>
      <c r="M131" s="111" t="n">
        <v>27.75</v>
      </c>
      <c r="N131" s="108" t="inlineStr">
        <is>
          <t>N</t>
        </is>
      </c>
      <c r="O131" s="112" t="n">
        <v>83.3</v>
      </c>
      <c r="P131" s="112" t="n">
        <v>0</v>
      </c>
      <c r="Q131" s="113" t="n">
        <v>11669.9</v>
      </c>
      <c r="R131" s="108" t="inlineStr">
        <is>
          <t>aastocks:上市市值 at the struck price</t>
        </is>
      </c>
      <c r="S131" s="114" t="n">
        <v>0.8100000000000001</v>
      </c>
      <c r="T131" s="115" t="n">
        <v>1.38</v>
      </c>
      <c r="U131" s="116" t="n">
        <v>46.7</v>
      </c>
      <c r="V131" s="117" t="n">
        <v>112</v>
      </c>
      <c r="W131" s="112" t="n">
        <v>8.07</v>
      </c>
      <c r="X131" s="108" t="inlineStr">
        <is>
          <t>NO</t>
        </is>
      </c>
      <c r="Y131" s="113" t="n">
        <v>223.91</v>
      </c>
      <c r="Z131" s="113" t="n">
        <v>8069247</v>
      </c>
      <c r="AA131" s="112" t="n">
        <v>1.92</v>
      </c>
      <c r="AB131" s="108" t="inlineStr">
        <is>
          <t>Harvest International Premium Value (Secondary Market) Fund SPC; Heilan Group Co., Limited</t>
        </is>
      </c>
      <c r="AC131" s="108" t="inlineStr">
        <is>
          <t>harvest;heilan</t>
        </is>
      </c>
      <c r="AD131" s="112" t="n">
        <v>20</v>
      </c>
      <c r="AE131" s="108" t="inlineStr">
        <is>
          <t>lapsed</t>
        </is>
      </c>
      <c r="AF131" s="108" t="inlineStr">
        <is>
          <t>2022-09-02</t>
        </is>
      </c>
      <c r="AG131" s="108" t="inlineStr">
        <is>
          <t>Morgan Stanley Asia Limited</t>
        </is>
      </c>
      <c r="AH131" s="108" t="inlineStr">
        <is>
          <t>Morgan Stanley</t>
        </is>
      </c>
      <c r="AI131" s="120" t="n">
        <v>-2.52</v>
      </c>
      <c r="AJ131" s="121" t="n">
        <v>-2.7</v>
      </c>
      <c r="AK131" s="121" t="n">
        <v>-1.96</v>
      </c>
      <c r="AL131" s="121" t="n">
        <v>0</v>
      </c>
      <c r="AM131" s="121" t="n">
        <v>-2.7</v>
      </c>
      <c r="AN131" s="123" t="n">
        <v>1.37</v>
      </c>
      <c r="AO131" s="112" t="n">
        <v>4.32</v>
      </c>
      <c r="AP131" s="121" t="n">
        <v>0</v>
      </c>
      <c r="AQ131" s="121" t="n">
        <v>-3.42</v>
      </c>
      <c r="AR131" s="121" t="n">
        <v>-12.43</v>
      </c>
      <c r="AS131" s="121" t="n">
        <v>2.77</v>
      </c>
      <c r="AT131" s="121" t="n">
        <v>-0.74</v>
      </c>
      <c r="AU131" s="121" t="n">
        <v>-10</v>
      </c>
      <c r="AV131" s="121" t="n">
        <v>0.4</v>
      </c>
      <c r="AW131" s="121" t="n">
        <v>2.32</v>
      </c>
      <c r="AX131" s="121" t="n">
        <v>5.79</v>
      </c>
      <c r="AY131" s="121" t="n">
        <v>3.12</v>
      </c>
      <c r="AZ131" s="121" t="n">
        <v>-5.74</v>
      </c>
      <c r="BA131" s="121" t="n">
        <v>-3.86</v>
      </c>
      <c r="BB131" s="108" t="inlineStr">
        <is>
          <t>Hang Seng Index</t>
        </is>
      </c>
      <c r="BC131" s="121" t="n">
        <v>-90.27</v>
      </c>
      <c r="BD131" s="109" t="n">
        <v>46297</v>
      </c>
      <c r="BE131" s="110" t="n">
        <v>1373.9</v>
      </c>
      <c r="BF131" s="113" t="n">
        <v>67</v>
      </c>
      <c r="BG131" s="108" t="inlineStr">
        <is>
          <t>Y</t>
        </is>
      </c>
      <c r="BH131" s="123" t="n">
        <v>174.2</v>
      </c>
      <c r="BI131" s="122" t="n"/>
      <c r="BJ131" s="123" t="n">
        <v>27.3</v>
      </c>
      <c r="BK131" s="123" t="n">
        <v>8.5</v>
      </c>
      <c r="BL131" s="124">
        <f>IF('BBG Verify'!S131="","not filed; run on terminal",'BBG Verify'!S131)</f>
        <v/>
      </c>
      <c r="BM131" s="125" t="inlineStr">
        <is>
          <t>N</t>
        </is>
      </c>
      <c r="BN131" s="126">
        <f>IF('BBG Verify'!K131="","not filed; run on terminal",'BBG Verify'!K131)</f>
        <v/>
      </c>
      <c r="BO131" s="108" t="inlineStr">
        <is>
          <t>N/A</t>
        </is>
      </c>
      <c r="BP131" s="108" t="inlineStr">
        <is>
          <t>N/A</t>
        </is>
      </c>
      <c r="BQ131" s="108" t="inlineStr">
        <is>
          <t>N/A</t>
        </is>
      </c>
      <c r="BR131" s="108" t="inlineStr">
        <is>
          <t>N/A</t>
        </is>
      </c>
      <c r="BS131" s="108" t="inlineStr">
        <is>
          <t>N/A</t>
        </is>
      </c>
      <c r="BT131" s="108" t="inlineStr">
        <is>
          <t>N/A</t>
        </is>
      </c>
      <c r="BU131" s="125" t="inlineStr">
        <is>
          <t>Morgan Stanley Asia Limited; China International Capital Corporation Hong Kong Securities Limited</t>
        </is>
      </c>
      <c r="BV131" s="108" t="inlineStr">
        <is>
          <t>China International Capital Corporation Hong Kong Securities Limited; Morgan Stanley Asia Limited</t>
        </is>
      </c>
      <c r="BW131" s="108" t="inlineStr">
        <is>
          <t>Morgan Stanley Asia Limited; China International Capital Corporation Hong Kong Securities Limited; CMB International Capital Limited; Futu Securities International (Hong Kong) Limited</t>
        </is>
      </c>
      <c r="BX131" s="108" t="inlineStr">
        <is>
          <t>China International Capital Corporation Hong Kong Securities Limited; CMB International Capital Limited; Futu Securities International (Hong Kong) Limited; Livermore Holdings Limited; Morgan Stanley Asia Limited</t>
        </is>
      </c>
      <c r="BY131" s="127">
        <f>HYPERLINK("https://www1.hkexnews.hk/listedco/listconews/sehk/2022/0729/2022072900015.pdf","prospectus")</f>
        <v/>
      </c>
      <c r="BZ131" s="127">
        <f>HYPERLINK("https://www1.hkexnews.hk/listedco/listconews/sehk/2022/0809/2022080900036.htm","allotment")</f>
        <v/>
      </c>
      <c r="CA131" s="127">
        <f>HYPERLINK("https://www1.hkexnews.hk/listedco/listconews/sehk/2022/0902/2022090202423.pdf","stabilisation")</f>
        <v/>
      </c>
      <c r="CB131" s="128" t="n"/>
      <c r="CC131" s="108" t="inlineStr">
        <is>
          <t>market cap: published listing cap used; the estimate from stated market capitalisation, rescaled to the offer price disagreed</t>
        </is>
      </c>
    </row>
    <row r="132" ht="22" customHeight="1">
      <c r="A132" s="107" t="inlineStr">
        <is>
          <t>2321</t>
        </is>
      </c>
      <c r="B132" s="108" t="inlineStr">
        <is>
          <t>SWANGCHAICHUAN</t>
        </is>
      </c>
      <c r="C132" s="108" t="inlineStr">
        <is>
          <t>雙財莊</t>
        </is>
      </c>
      <c r="D132" s="108" t="inlineStr">
        <is>
          <t>Materials/Energy</t>
        </is>
      </c>
      <c r="E132" s="108" t="inlineStr">
        <is>
          <t>Oil &amp; gas / utilities</t>
        </is>
      </c>
      <c r="F132" s="108" t="inlineStr">
        <is>
          <t>Packaged Foods</t>
        </is>
      </c>
      <c r="G132" s="108" t="inlineStr">
        <is>
          <t>Standard</t>
        </is>
      </c>
      <c r="H132" s="109" t="n">
        <v>44792</v>
      </c>
      <c r="I132" s="110" t="n">
        <v>135</v>
      </c>
      <c r="J132" s="108" t="inlineStr">
        <is>
          <t>gross (price x shares)</t>
        </is>
      </c>
      <c r="K132" s="111" t="n">
        <v>0.52</v>
      </c>
      <c r="L132" s="111" t="n">
        <v>0.5600000000000001</v>
      </c>
      <c r="M132" s="111" t="n">
        <v>0.5600000000000001</v>
      </c>
      <c r="N132" s="108" t="inlineStr">
        <is>
          <t>Y</t>
        </is>
      </c>
      <c r="O132" s="112" t="n">
        <v>100</v>
      </c>
      <c r="P132" s="112" t="n">
        <v>100</v>
      </c>
      <c r="Q132" s="113" t="n">
        <v>487.4</v>
      </c>
      <c r="R132" s="108" t="inlineStr">
        <is>
          <t>derived:deal size / offer % of enlarged capital</t>
        </is>
      </c>
      <c r="S132" s="114" t="n">
        <v>19.2</v>
      </c>
      <c r="T132" s="115" t="n">
        <v>2.1</v>
      </c>
      <c r="U132" s="116" t="n">
        <v>38.4</v>
      </c>
      <c r="V132" s="117" t="n">
        <v>327</v>
      </c>
      <c r="W132" s="112" t="n">
        <v>30</v>
      </c>
      <c r="X132" s="108" t="inlineStr">
        <is>
          <t>YES</t>
        </is>
      </c>
      <c r="Y132" s="113" t="n">
        <v>83.16</v>
      </c>
      <c r="Z132" s="113" t="n">
        <v>148456000</v>
      </c>
      <c r="AA132" s="112" t="n">
        <v>17.06</v>
      </c>
      <c r="AB132" s="108" t="inlineStr">
        <is>
          <t>Dato Sri Ng Chong Keong; Dato Sri Pek Kok Sam; Huihuang Resources Limited; Mr. Tee Kian Heng</t>
        </is>
      </c>
      <c r="AC132" s="108" t="inlineStr">
        <is>
          <t>dato;huihuang;mr-tee</t>
        </is>
      </c>
      <c r="AD132" s="112" t="n">
        <v>15</v>
      </c>
      <c r="AE132" s="108" t="inlineStr">
        <is>
          <t>full</t>
        </is>
      </c>
      <c r="AF132" s="119" t="n"/>
      <c r="AG132" s="108" t="inlineStr">
        <is>
          <t>Elstone Securities Limited</t>
        </is>
      </c>
      <c r="AH132" s="108" t="inlineStr">
        <is>
          <t>Elstone</t>
        </is>
      </c>
      <c r="AI132" s="120" t="n">
        <v>53.57</v>
      </c>
      <c r="AJ132" s="121" t="n">
        <v>41.07</v>
      </c>
      <c r="AK132" s="121" t="n">
        <v>-0.04</v>
      </c>
      <c r="AL132" s="121" t="n">
        <v>42.86</v>
      </c>
      <c r="AM132" s="121" t="n">
        <v>-1.25</v>
      </c>
      <c r="AN132" s="123" t="n">
        <v>2.99</v>
      </c>
      <c r="AO132" s="112" t="n">
        <v>45</v>
      </c>
      <c r="AP132" s="121" t="n">
        <v>62.5</v>
      </c>
      <c r="AQ132" s="121" t="n">
        <v>96.43000000000001</v>
      </c>
      <c r="AR132" s="121" t="n">
        <v>258.93</v>
      </c>
      <c r="AS132" s="121" t="n">
        <v>15.19</v>
      </c>
      <c r="AT132" s="121" t="n">
        <v>39.24</v>
      </c>
      <c r="AU132" s="121" t="n">
        <v>154.43</v>
      </c>
      <c r="AV132" s="121" t="n">
        <v>59.03</v>
      </c>
      <c r="AW132" s="121" t="n">
        <v>102.35</v>
      </c>
      <c r="AX132" s="121" t="n">
        <v>268.7</v>
      </c>
      <c r="AY132" s="121" t="n">
        <v>45.12</v>
      </c>
      <c r="AZ132" s="121" t="n">
        <v>-5.92</v>
      </c>
      <c r="BA132" s="121" t="n">
        <v>-5.88</v>
      </c>
      <c r="BB132" s="108" t="inlineStr">
        <is>
          <t>Hang Seng Commerce &amp; Industry sub-index</t>
        </is>
      </c>
      <c r="BC132" s="121" t="n">
        <v>-5.36</v>
      </c>
      <c r="BD132" s="109" t="n">
        <v>46297</v>
      </c>
      <c r="BE132" s="110" t="n">
        <v>668.7</v>
      </c>
      <c r="BF132" s="113" t="n">
        <v>23.6</v>
      </c>
      <c r="BG132" s="108" t="inlineStr">
        <is>
          <t>Y</t>
        </is>
      </c>
      <c r="BH132" s="123" t="n">
        <v>20.7</v>
      </c>
      <c r="BI132" s="122" t="n"/>
      <c r="BJ132" s="123" t="n">
        <v>8.1</v>
      </c>
      <c r="BK132" s="123" t="n">
        <v>0.7</v>
      </c>
      <c r="BL132" s="124">
        <f>IF('BBG Verify'!S132="","not filed; run on terminal",'BBG Verify'!S132)</f>
        <v/>
      </c>
      <c r="BM132" s="125" t="inlineStr">
        <is>
          <t>N</t>
        </is>
      </c>
      <c r="BN132" s="126">
        <f>IF('BBG Verify'!K132="","not filed; run on terminal",'BBG Verify'!K132)</f>
        <v/>
      </c>
      <c r="BO132" s="108" t="inlineStr">
        <is>
          <t>N/A</t>
        </is>
      </c>
      <c r="BP132" s="108" t="inlineStr">
        <is>
          <t>N/A</t>
        </is>
      </c>
      <c r="BQ132" s="108" t="inlineStr">
        <is>
          <t>N/A</t>
        </is>
      </c>
      <c r="BR132" s="108" t="inlineStr">
        <is>
          <t>N/A</t>
        </is>
      </c>
      <c r="BS132" s="108" t="inlineStr">
        <is>
          <t>N/A</t>
        </is>
      </c>
      <c r="BT132" s="108" t="inlineStr">
        <is>
          <t>N/A</t>
        </is>
      </c>
      <c r="BU132" s="125" t="inlineStr">
        <is>
          <t>Sunny Fortune Capital Limited</t>
        </is>
      </c>
      <c r="BV132" s="108" t="inlineStr">
        <is>
          <t>Sunny Fortune Capital Limited</t>
        </is>
      </c>
      <c r="BW132" s="108" t="inlineStr">
        <is>
          <t>Sunny Fortune Capital Limited; Elstone Securities Limited; BOCOM International Securities Limited; China Galaxy International Securities (Hong Kong) Co., Limited; CMBC Securities Company Limited; Haitong International Securities Company Limited; Phillip Securities (Hong Kong) Limited</t>
        </is>
      </c>
      <c r="BX132" s="108" t="inlineStr">
        <is>
          <t>Beta International Securities Limited; China Galaxy International Securities (Hong Kong) Company Limited; CMBC Securities Company Limited; Elstone Securities Limited; Haitong International Securities Company Limited; Phillip Securities (Hong Kong) Limited; Sunny Fortune Capital Limited</t>
        </is>
      </c>
      <c r="BY132" s="127">
        <f>HYPERLINK("https://www1.hkexnews.hk/listedco/listconews/sehk/2022/0808/2022080800013.pdf","prospectus")</f>
        <v/>
      </c>
      <c r="BZ132" s="127">
        <f>HYPERLINK("https://www1.hkexnews.hk/listedco/listconews/sehk/2022/0818/2022081800018.htm","allotment")</f>
        <v/>
      </c>
      <c r="CA132" s="127">
        <f>HYPERLINK("https://www1.hkexnews.hk/listedco/listconews/sehk/2022/0913/2022091300161.pdf","stabilisation")</f>
        <v/>
      </c>
      <c r="CB132" s="128" t="n"/>
      <c r="CC132" s="108" t="inlineStr">
        <is>
          <t>greenshoe: outcome published; expiry date not in the notice</t>
        </is>
      </c>
    </row>
    <row r="133" ht="22" customHeight="1">
      <c r="A133" s="107" t="inlineStr">
        <is>
          <t>2152</t>
        </is>
      </c>
      <c r="B133" s="108" t="inlineStr">
        <is>
          <t>SUXIN SERVICES</t>
        </is>
      </c>
      <c r="C133" s="108" t="inlineStr">
        <is>
          <t>蘇新服務</t>
        </is>
      </c>
      <c r="D133" s="108" t="inlineStr">
        <is>
          <t>Real Estate</t>
        </is>
      </c>
      <c r="E133" s="108" t="inlineStr">
        <is>
          <t>Property management</t>
        </is>
      </c>
      <c r="F133" s="108" t="inlineStr">
        <is>
          <t>Property Service and Management</t>
        </is>
      </c>
      <c r="G133" s="108" t="inlineStr">
        <is>
          <t>Standard</t>
        </is>
      </c>
      <c r="H133" s="109" t="n">
        <v>44797</v>
      </c>
      <c r="I133" s="110" t="n">
        <v>215</v>
      </c>
      <c r="J133" s="108" t="inlineStr">
        <is>
          <t>gross (price x shares)</t>
        </is>
      </c>
      <c r="K133" s="111" t="n">
        <v>8.6</v>
      </c>
      <c r="L133" s="111" t="n">
        <v>9.6</v>
      </c>
      <c r="M133" s="111" t="n">
        <v>8.6</v>
      </c>
      <c r="N133" s="108" t="inlineStr">
        <is>
          <t>N</t>
        </is>
      </c>
      <c r="O133" s="112" t="n">
        <v>89.59999999999999</v>
      </c>
      <c r="P133" s="112" t="n">
        <v>0</v>
      </c>
      <c r="Q133" s="113" t="n">
        <v>959.6</v>
      </c>
      <c r="R133" s="108" t="inlineStr">
        <is>
          <t>aastocks:上市市值 at the struck price</t>
        </is>
      </c>
      <c r="S133" s="114" t="n">
        <v>0.71</v>
      </c>
      <c r="T133" s="115" t="n">
        <v>1.2</v>
      </c>
      <c r="U133" s="116" t="n">
        <v>20.2</v>
      </c>
      <c r="V133" s="117" t="n">
        <v>130</v>
      </c>
      <c r="W133" s="112" t="n">
        <v>7.07</v>
      </c>
      <c r="X133" s="108" t="inlineStr">
        <is>
          <t>NO</t>
        </is>
      </c>
      <c r="Y133" s="113" t="n">
        <v>171.57</v>
      </c>
      <c r="Z133" s="113" t="n">
        <v>19950000</v>
      </c>
      <c r="AA133" s="112" t="n">
        <v>17.88</v>
      </c>
      <c r="AB133" s="108" t="inlineStr">
        <is>
          <t>Chiyu International Capital Limited; Suzhou Guanglin Construction Company Limited; Suzhou Qianmo Village Development Construction Tourism Company Limited</t>
        </is>
      </c>
      <c r="AC133" s="108" t="inlineStr">
        <is>
          <t>chiyu;suzhou</t>
        </is>
      </c>
      <c r="AD133" s="112" t="n">
        <v>17.55</v>
      </c>
      <c r="AE133" s="108" t="inlineStr">
        <is>
          <t>partial</t>
        </is>
      </c>
      <c r="AF133" s="108" t="inlineStr">
        <is>
          <t>2022-09-15</t>
        </is>
      </c>
      <c r="AG133" s="108" t="inlineStr">
        <is>
          <t>BOCOM International Securities Limited</t>
        </is>
      </c>
      <c r="AH133" s="108" t="inlineStr">
        <is>
          <t>BOCOM</t>
        </is>
      </c>
      <c r="AI133" s="120" t="n">
        <v>-1.28</v>
      </c>
      <c r="AJ133" s="121" t="n">
        <v>-0.12</v>
      </c>
      <c r="AK133" s="121" t="n">
        <v>-1.37</v>
      </c>
      <c r="AL133" s="121" t="n">
        <v>-4.65</v>
      </c>
      <c r="AM133" s="121" t="n">
        <v>4.75</v>
      </c>
      <c r="AN133" s="123" t="n">
        <v>0.6899999999999999</v>
      </c>
      <c r="AO133" s="112" t="n">
        <v>7.56</v>
      </c>
      <c r="AP133" s="121" t="n">
        <v>-0.12</v>
      </c>
      <c r="AQ133" s="121" t="n">
        <v>-27.33</v>
      </c>
      <c r="AR133" s="121" t="n">
        <v>-29.07</v>
      </c>
      <c r="AS133" s="121" t="n">
        <v>0</v>
      </c>
      <c r="AT133" s="121" t="n">
        <v>-27.24</v>
      </c>
      <c r="AU133" s="121" t="n">
        <v>-28.98</v>
      </c>
      <c r="AV133" s="121" t="n">
        <v>0.08</v>
      </c>
      <c r="AW133" s="121" t="n">
        <v>-26.23</v>
      </c>
      <c r="AX133" s="121" t="n">
        <v>-20.32</v>
      </c>
      <c r="AY133" s="121" t="n">
        <v>-27.51</v>
      </c>
      <c r="AZ133" s="121" t="n">
        <v>-1.1</v>
      </c>
      <c r="BA133" s="121" t="n">
        <v>0.27</v>
      </c>
      <c r="BB133" s="108" t="inlineStr">
        <is>
          <t>Hang Seng Properties sub-index</t>
        </is>
      </c>
      <c r="BC133" s="121" t="n">
        <v>-48.08</v>
      </c>
      <c r="BD133" s="109" t="n">
        <v>46297</v>
      </c>
      <c r="BE133" s="110" t="n">
        <v>508.2</v>
      </c>
      <c r="BF133" s="113" t="n">
        <v>62.2</v>
      </c>
      <c r="BG133" s="108" t="inlineStr">
        <is>
          <t>Y</t>
        </is>
      </c>
      <c r="BH133" s="123" t="n">
        <v>15.4</v>
      </c>
      <c r="BI133" s="122" t="n"/>
      <c r="BJ133" s="123" t="n">
        <v>5.6</v>
      </c>
      <c r="BK133" s="123" t="n">
        <v>1.9</v>
      </c>
      <c r="BL133" s="124">
        <f>IF('BBG Verify'!S133="","not filed; run on terminal",'BBG Verify'!S133)</f>
        <v/>
      </c>
      <c r="BM133" s="125" t="inlineStr">
        <is>
          <t>N</t>
        </is>
      </c>
      <c r="BN133" s="126">
        <f>IF('BBG Verify'!K133="","not filed; run on terminal",'BBG Verify'!K133)</f>
        <v/>
      </c>
      <c r="BO133" s="108" t="inlineStr">
        <is>
          <t>N/A</t>
        </is>
      </c>
      <c r="BP133" s="108" t="inlineStr">
        <is>
          <t>N/A</t>
        </is>
      </c>
      <c r="BQ133" s="108" t="inlineStr">
        <is>
          <t>N/A</t>
        </is>
      </c>
      <c r="BR133" s="108" t="inlineStr">
        <is>
          <t>N/A</t>
        </is>
      </c>
      <c r="BS133" s="108" t="inlineStr">
        <is>
          <t>N/A</t>
        </is>
      </c>
      <c r="BT133" s="108" t="inlineStr">
        <is>
          <t>N/A</t>
        </is>
      </c>
      <c r="BU133" s="125" t="inlineStr">
        <is>
          <t>BOCOM International (Asia) Limited; BOCOM International Securities Limited</t>
        </is>
      </c>
      <c r="BV133" s="108" t="inlineStr">
        <is>
          <t>BOCOM International (Asia) Limited</t>
        </is>
      </c>
      <c r="BW133" s="108" t="inlineStr">
        <is>
          <t>Haitong International Securities Company Limited; China Everbright Securities (HK) Limited; CEB International Capital Corporation Limited; CMBC Securities Company Limited; Essence International Securities (Hong Kong) Limited; ABCI Capital Limited</t>
        </is>
      </c>
      <c r="BX133" s="108" t="inlineStr">
        <is>
          <t>ABCI Securities Company Limited; Beta International Securities Limited; CEB International Capital Corporation Limited; China Everbright Securities (HK) Limited; CMBC Securities Company Limited; Essence International Securities (Hong Kong) Limited; Eddid Securities and Futures Limited; Haitong International Securities Company Limited; Maxa Capital Limited; Shenwan Hongyuan Securities (H.K.) Limited; Sinomax Securities Limited; Zhongtai International Securities Limited</t>
        </is>
      </c>
      <c r="BY133" s="127">
        <f>HYPERLINK("https://www1.hkexnews.hk/listedco/listconews/sehk/2022/0811/2022081100025.pdf","prospectus")</f>
        <v/>
      </c>
      <c r="BZ133" s="127">
        <f>HYPERLINK("https://www1.hkexnews.hk/listedco/listconews/sehk/2022/0823/2022082300018.htm","allotment")</f>
        <v/>
      </c>
      <c r="CA133" s="127">
        <f>HYPERLINK("https://www1.hkexnews.hk/listedco/listconews/sehk/2022/0915/2022091501585.pdf","stabilisation")</f>
        <v/>
      </c>
      <c r="CB133" s="128" t="n"/>
      <c r="CC133" s="108" t="inlineStr">
        <is>
          <t>market cap: published listing cap used; the estimate from deal size / offer % of enlarged capital disagreed; cornerstone %: upper bound: AAStocks institutional total / deal size</t>
        </is>
      </c>
    </row>
    <row r="134" ht="22" customHeight="1">
      <c r="A134" s="107" t="inlineStr">
        <is>
          <t>1880</t>
        </is>
      </c>
      <c r="B134" s="108" t="inlineStr">
        <is>
          <t>CTG DUTY-FREE</t>
        </is>
      </c>
      <c r="C134" s="108" t="inlineStr">
        <is>
          <t>中國中免</t>
        </is>
      </c>
      <c r="D134" s="108" t="inlineStr">
        <is>
          <t>Consumer</t>
        </is>
      </c>
      <c r="E134" s="108" t="inlineStr">
        <is>
          <t>Retail / distribution</t>
        </is>
      </c>
      <c r="F134" s="108" t="inlineStr">
        <is>
          <t>Tourism</t>
        </is>
      </c>
      <c r="G134" s="108" t="inlineStr">
        <is>
          <t>Standard</t>
        </is>
      </c>
      <c r="H134" s="109" t="n">
        <v>44798</v>
      </c>
      <c r="I134" s="110" t="n">
        <v>16236.4</v>
      </c>
      <c r="J134" s="108" t="inlineStr">
        <is>
          <t>gross (price x shares)</t>
        </is>
      </c>
      <c r="K134" s="111" t="n">
        <v>143.5</v>
      </c>
      <c r="L134" s="111" t="n">
        <v>165.5</v>
      </c>
      <c r="M134" s="111" t="n">
        <v>158</v>
      </c>
      <c r="N134" s="108" t="inlineStr">
        <is>
          <t>N</t>
        </is>
      </c>
      <c r="O134" s="112" t="n">
        <v>95.5</v>
      </c>
      <c r="P134" s="112" t="n">
        <v>65.90000000000001</v>
      </c>
      <c r="Q134" s="113" t="n">
        <v>284350.3</v>
      </c>
      <c r="R134" s="108" t="inlineStr">
        <is>
          <t>derived:deal size / offer % of enlarged capital</t>
        </is>
      </c>
      <c r="S134" s="114" t="n">
        <v>1.06</v>
      </c>
      <c r="T134" s="115" t="n">
        <v>4.7</v>
      </c>
      <c r="U134" s="116" t="n">
        <v>44.5</v>
      </c>
      <c r="V134" s="117" t="n">
        <v>140</v>
      </c>
      <c r="W134" s="118" t="n"/>
      <c r="X134" s="119" t="n"/>
      <c r="Y134" s="113" t="n">
        <v>9011.200000000001</v>
      </c>
      <c r="Z134" s="113" t="n">
        <v>57032854</v>
      </c>
      <c r="AA134" s="112" t="n">
        <v>3.17</v>
      </c>
      <c r="AB134" s="108" t="inlineStr">
        <is>
          <t>AMOREPACIFIC Group; China State-Owned Enterprise Mixed Ownership Reform Fund Co., Ltd; China Structural Reform Fund Corporation Limited; COSCO Shipping (Hong Kong) Co., Limited; Hainan Free Trade Port Construction Investment Fund Co., Ltd; Luzhou Laojiao Co., Ltd; Rongshi International Holding Company Limited; Shanghai Airport Investment Corporation Limited; The Oaktree Funds</t>
        </is>
      </c>
      <c r="AC134" s="108" t="inlineStr">
        <is>
          <t>amorepacific;state-owned;structural;cosco;hainan;luzhou;rongshi;shanghai-airport;oaktree</t>
        </is>
      </c>
      <c r="AD134" s="112" t="n">
        <v>5</v>
      </c>
      <c r="AE134" s="108" t="inlineStr">
        <is>
          <t>partial</t>
        </is>
      </c>
      <c r="AF134" s="108" t="inlineStr">
        <is>
          <t>2022-09-17</t>
        </is>
      </c>
      <c r="AG134" s="108" t="inlineStr">
        <is>
          <t>China International Capital Corporation Hong Kong Securities Limited</t>
        </is>
      </c>
      <c r="AH134" s="108" t="inlineStr">
        <is>
          <t>China International</t>
        </is>
      </c>
      <c r="AI134" s="120" t="n">
        <v>-4.75</v>
      </c>
      <c r="AJ134" s="121" t="n">
        <v>0</v>
      </c>
      <c r="AK134" s="121" t="n">
        <v>4.8</v>
      </c>
      <c r="AL134" s="121" t="n">
        <v>-24.05</v>
      </c>
      <c r="AM134" s="121" t="n">
        <v>31.67</v>
      </c>
      <c r="AN134" s="122" t="n"/>
      <c r="AO134" s="112" t="n">
        <v>32.75</v>
      </c>
      <c r="AP134" s="121" t="n">
        <v>8.23</v>
      </c>
      <c r="AQ134" s="121" t="n">
        <v>17.09</v>
      </c>
      <c r="AR134" s="121" t="n">
        <v>9.300000000000001</v>
      </c>
      <c r="AS134" s="121" t="n">
        <v>8.23</v>
      </c>
      <c r="AT134" s="121" t="n">
        <v>17.09</v>
      </c>
      <c r="AU134" s="121" t="n">
        <v>9.300000000000001</v>
      </c>
      <c r="AV134" s="121" t="n">
        <v>5.36</v>
      </c>
      <c r="AW134" s="121" t="n">
        <v>24.76</v>
      </c>
      <c r="AX134" s="121" t="n">
        <v>20.62</v>
      </c>
      <c r="AY134" s="121" t="n">
        <v>28.99</v>
      </c>
      <c r="AZ134" s="121" t="n">
        <v>-7.67</v>
      </c>
      <c r="BA134" s="121" t="n">
        <v>-11.9</v>
      </c>
      <c r="BB134" s="108" t="inlineStr">
        <is>
          <t>Hang Seng Commerce &amp; Industry sub-index</t>
        </is>
      </c>
      <c r="BC134" s="121" t="n">
        <v>-70.97</v>
      </c>
      <c r="BD134" s="109" t="n">
        <v>46297</v>
      </c>
      <c r="BE134" s="110" t="n">
        <v>74443.10000000001</v>
      </c>
      <c r="BF134" s="113" t="n">
        <v>13685.4</v>
      </c>
      <c r="BG134" s="108" t="inlineStr">
        <is>
          <t>Y</t>
        </is>
      </c>
      <c r="BH134" s="123" t="n">
        <v>20.8</v>
      </c>
      <c r="BI134" s="123" t="n">
        <v>32.6</v>
      </c>
      <c r="BJ134" s="123" t="n">
        <v>22</v>
      </c>
      <c r="BK134" s="123" t="n">
        <v>3.8</v>
      </c>
      <c r="BL134" s="124">
        <f>IF('BBG Verify'!S134="","not filed; run on terminal",'BBG Verify'!S134)</f>
        <v/>
      </c>
      <c r="BM134" s="125" t="inlineStr">
        <is>
          <t>Y</t>
        </is>
      </c>
      <c r="BN134" s="108" t="inlineStr">
        <is>
          <t>601888.SS</t>
        </is>
      </c>
      <c r="BO134" s="121" t="n">
        <v>37.93</v>
      </c>
      <c r="BP134" s="111" t="n">
        <v>217.934</v>
      </c>
      <c r="BQ134" s="135" t="n">
        <v>0.3127</v>
      </c>
      <c r="BR134" s="113" t="n">
        <v>125124.4</v>
      </c>
      <c r="BS134" s="124">
        <f>IF('BBG Verify'!Q134="","run on terminal",'BBG Verify'!Q134)</f>
        <v/>
      </c>
      <c r="BT134" s="124">
        <f>IF('BBG Verify'!R134="","run on terminal",'BBG Verify'!R134)</f>
        <v/>
      </c>
      <c r="BU134" s="125" t="inlineStr">
        <is>
          <t>China International Capital Corporation Hong Kong Securities Limited; UBS Securities Hong Kong Limited</t>
        </is>
      </c>
      <c r="BV134" s="108" t="inlineStr">
        <is>
          <t>China International Capital Corporation Hong Kong Securities Limited; UBS Securities Hong Kong Limited</t>
        </is>
      </c>
      <c r="BW134" s="108" t="inlineStr">
        <is>
          <t>China International Capital Corporation Hong Kong Securities Limited; UBS AG Hong Kong Branch; CCB International Capital Limited; CLSA Limited; Haitong International Securities Company Limited; ABCI Capital Limited; BOCI Asia Limited; BOCOM International Securities Limited; CMB International Capital Limited; DBS Asia Capital Limited; Guotai Junan Securities (Hong Kong) Limited; ICBC International Capital Limited</t>
        </is>
      </c>
      <c r="BX134" s="108" t="inlineStr">
        <is>
          <t>ABCI Securities Company Limited; Beta International Securities Limited; BOCI Asia Limited; CCB International Capital Limited; China Galaxy International Securities (Hong Kong) Company Limited; China International Capital Corporation Hong Kong Securities Limited; CLSA Limited; CMB International Capital Limited; China Securities (International) Corporate Finance Company Limited; DBS Asia Capital Limited; Guotai Junan Securities (Hong Kong) Limited; Haitong International Securities Company Limited</t>
        </is>
      </c>
      <c r="BY134" s="127">
        <f>HYPERLINK("https://www1.hkexnews.hk/listedco/listconews/sehk/2022/0815/2022081500013.pdf","prospectus")</f>
        <v/>
      </c>
      <c r="BZ134" s="127">
        <f>HYPERLINK("https://www1.hkexnews.hk/listedco/listconews/sehk/2022/0824/2022082400024.htm","allotment")</f>
        <v/>
      </c>
      <c r="CA134" s="127">
        <f>HYPERLINK("https://www1.hkexnews.hk/listedco/listconews/sehk/2022/0919/2022091900011.pdf","stabilisation")</f>
        <v/>
      </c>
      <c r="CB134" s="128" t="n"/>
      <c r="CC134" s="108" t="inlineStr">
        <is>
          <t>A/H: Aug 2022, ~US$2.1bn H offering; allocation: allocation table not in this notice's format (older prose announcement); day-1 tape: volume on file; the retail multiple needs the final public split, which this notice does not state</t>
        </is>
      </c>
    </row>
    <row r="135" ht="22" customHeight="1">
      <c r="A135" s="107" t="inlineStr">
        <is>
          <t>2315</t>
        </is>
      </c>
      <c r="B135" s="108" t="inlineStr">
        <is>
          <t>BIOCYTOGEN-B</t>
        </is>
      </c>
      <c r="C135" s="108" t="inlineStr">
        <is>
          <t>百奧賽圖－Ｂ</t>
        </is>
      </c>
      <c r="D135" s="108" t="inlineStr">
        <is>
          <t>Healthcare</t>
        </is>
      </c>
      <c r="E135" s="108" t="inlineStr">
        <is>
          <t>Biotech pre-revenue (18A)</t>
        </is>
      </c>
      <c r="F135" s="108" t="inlineStr">
        <is>
          <t>Biotechnology - Supplies &amp; Services</t>
        </is>
      </c>
      <c r="G135" s="108" t="inlineStr">
        <is>
          <t>18A</t>
        </is>
      </c>
      <c r="H135" s="109" t="n">
        <v>44805</v>
      </c>
      <c r="I135" s="110" t="n">
        <v>548.7</v>
      </c>
      <c r="J135" s="108" t="inlineStr">
        <is>
          <t>gross (price x shares)</t>
        </is>
      </c>
      <c r="K135" s="129" t="n"/>
      <c r="L135" s="111" t="n">
        <v>25.22</v>
      </c>
      <c r="M135" s="111" t="n">
        <v>25.22</v>
      </c>
      <c r="N135" s="108" t="inlineStr">
        <is>
          <t>Y</t>
        </is>
      </c>
      <c r="O135" s="112" t="n">
        <v>100</v>
      </c>
      <c r="P135" s="118" t="n"/>
      <c r="Q135" s="113" t="n">
        <v>10004.5</v>
      </c>
      <c r="R135" s="108" t="inlineStr">
        <is>
          <t>prospectus:stated market capitalisation</t>
        </is>
      </c>
      <c r="S135" s="114" t="n">
        <v>5.93</v>
      </c>
      <c r="T135" s="115" t="n">
        <v>1.6</v>
      </c>
      <c r="U135" s="116" t="n">
        <v>71.14</v>
      </c>
      <c r="V135" s="117" t="n">
        <v>127</v>
      </c>
      <c r="W135" s="118" t="n"/>
      <c r="X135" s="119" t="n"/>
      <c r="Y135" s="113" t="n">
        <v>158.35</v>
      </c>
      <c r="Z135" s="113" t="n">
        <v>6279503</v>
      </c>
      <c r="AA135" s="112" t="n">
        <v>1.58</v>
      </c>
      <c r="AB135" s="108" t="inlineStr">
        <is>
          <t>Beijing Xingxing Equity Investment Partnership (Limited Partnership); QuantumPharm Limited; RemeGen Co., Ltd; Sanjin International CO., LTD; VEKEN (HONGKONG) ECONOMIC AND TRADE CO., LIMITED</t>
        </is>
      </c>
      <c r="AC135" s="108" t="inlineStr">
        <is>
          <t>beijing-xingxing;quantumpharm;remegen;sanjin;veken</t>
        </is>
      </c>
      <c r="AD135" s="112" t="n">
        <v>14.1</v>
      </c>
      <c r="AE135" s="108" t="inlineStr">
        <is>
          <t>partial</t>
        </is>
      </c>
      <c r="AF135" s="108" t="inlineStr">
        <is>
          <t>2022-09-23</t>
        </is>
      </c>
      <c r="AG135" s="108" t="inlineStr">
        <is>
          <t>Goldman Sachs</t>
        </is>
      </c>
      <c r="AH135" s="108" t="inlineStr">
        <is>
          <t>Goldman Sachs</t>
        </is>
      </c>
      <c r="AI135" s="120" t="n">
        <v>5.08</v>
      </c>
      <c r="AJ135" s="121" t="n">
        <v>3.09</v>
      </c>
      <c r="AK135" s="121" t="n">
        <v>-0.61</v>
      </c>
      <c r="AL135" s="121" t="n">
        <v>4.28</v>
      </c>
      <c r="AM135" s="121" t="n">
        <v>-1.14</v>
      </c>
      <c r="AN135" s="122" t="n"/>
      <c r="AO135" s="112" t="n">
        <v>12.74</v>
      </c>
      <c r="AP135" s="121" t="n">
        <v>0.71</v>
      </c>
      <c r="AQ135" s="121" t="n">
        <v>5.47</v>
      </c>
      <c r="AR135" s="121" t="n">
        <v>3.09</v>
      </c>
      <c r="AS135" s="121" t="n">
        <v>-2.31</v>
      </c>
      <c r="AT135" s="121" t="n">
        <v>2.31</v>
      </c>
      <c r="AU135" s="121" t="n">
        <v>0</v>
      </c>
      <c r="AV135" s="121" t="n">
        <v>5.94</v>
      </c>
      <c r="AW135" s="121" t="n">
        <v>19.05</v>
      </c>
      <c r="AX135" s="121" t="n">
        <v>3.95</v>
      </c>
      <c r="AY135" s="121" t="n">
        <v>15.36</v>
      </c>
      <c r="AZ135" s="121" t="n">
        <v>-13.58</v>
      </c>
      <c r="BA135" s="121" t="n">
        <v>-13.05</v>
      </c>
      <c r="BB135" s="108" t="inlineStr">
        <is>
          <t>China Biotech ETF (HS biotech proxy)</t>
        </is>
      </c>
      <c r="BC135" s="121" t="n">
        <v>167.45</v>
      </c>
      <c r="BD135" s="109" t="n">
        <v>46297</v>
      </c>
      <c r="BE135" s="110" t="n">
        <v>390</v>
      </c>
      <c r="BF135" s="113" t="n">
        <v>-600.1</v>
      </c>
      <c r="BG135" s="108" t="inlineStr">
        <is>
          <t>N</t>
        </is>
      </c>
      <c r="BH135" s="108" t="inlineStr">
        <is>
          <t>n/m</t>
        </is>
      </c>
      <c r="BI135" s="122" t="n"/>
      <c r="BJ135" s="123" t="n">
        <v>127.3</v>
      </c>
      <c r="BK135" s="123" t="n">
        <v>25.7</v>
      </c>
      <c r="BL135" s="124">
        <f>IF('BBG Verify'!S135="","not filed; run on terminal",'BBG Verify'!S135)</f>
        <v/>
      </c>
      <c r="BM135" s="125" t="inlineStr">
        <is>
          <t>Y</t>
        </is>
      </c>
      <c r="BN135" s="108" t="inlineStr">
        <is>
          <t>688796.SS</t>
        </is>
      </c>
      <c r="BO135" s="137" t="n"/>
      <c r="BP135" s="129" t="n"/>
      <c r="BQ135" s="135" t="n">
        <v>1.1993</v>
      </c>
      <c r="BR135" s="113" t="n">
        <v>66320.2</v>
      </c>
      <c r="BS135" s="124">
        <f>IF('BBG Verify'!Q135="","run on terminal",'BBG Verify'!Q135)</f>
        <v/>
      </c>
      <c r="BT135" s="124">
        <f>IF('BBG Verify'!R135="","run on terminal",'BBG Verify'!R135)</f>
        <v/>
      </c>
      <c r="BU135" s="125" t="inlineStr">
        <is>
          <t>Goldman Sachs (Asia) L.L.C; China International Capital Corporation Hong Kong Securities Limited</t>
        </is>
      </c>
      <c r="BV135" s="108" t="inlineStr">
        <is>
          <t>China International Capital Corporation Hong Kong Securities Limited; Goldman Sachs (Asia) L.L.C.</t>
        </is>
      </c>
      <c r="BW135" s="108" t="inlineStr">
        <is>
          <t>Goldman Sachs (Asia) L.L.C; CMB International Capital Limited; CLSA Limited; China International Capital Corporation Hong Kong Securities Limited; Futu Securities International (Hong Kong) Limited; Valuable Capital Limited; Haitong International Securities Company Limited</t>
        </is>
      </c>
      <c r="BX135" s="108" t="inlineStr">
        <is>
          <t>Beta International Securities Limited; China International Capital Corporation Hong Kong Securities Limited; CLSA Limited; CMB International Capital Limited; Futu Securities International (Hong Kong) Limited; Goldman Sachs (Asia) L.L.C.; Haitong International Securities Company Limited; Valuable Capital Limited</t>
        </is>
      </c>
      <c r="BY135" s="127">
        <f>HYPERLINK("https://www1.hkexnews.hk/listedco/listconews/sehk/2022/0819/2022081900021.pdf","prospectus")</f>
        <v/>
      </c>
      <c r="BZ135" s="127">
        <f>HYPERLINK("https://www1.hkexnews.hk/listedco/listconews/sehk/2022/0831/2022083100060.htm","allotment")</f>
        <v/>
      </c>
      <c r="CA135" s="127">
        <f>HYPERLINK("https://www1.hkexnews.hk/listedco/listconews/sehk/2022/0923/2022092301878.pdf","stabilisation")</f>
        <v/>
      </c>
      <c r="CB135" s="128" t="n"/>
      <c r="CC135" s="108" t="inlineStr">
        <is>
          <t>P/E: loss-making at IPO, use P/S; range low: maximum offer price only, no floor published; A/H: A-share 688796 listed after the H IPO, so there is no at-IPO premium; today's is live; deal size: stated gross HK$16.9m rejected, below the net proceeds of HK$471.1m; allocation: allocation table not in this notice's format (older prose announcement); day-1 tape: volume on file; the retail multiple needs the final public split, which this notice does not state</t>
        </is>
      </c>
    </row>
    <row r="136" ht="22" customHeight="1">
      <c r="A136" s="107" t="inlineStr">
        <is>
          <t>9886</t>
        </is>
      </c>
      <c r="B136" s="108" t="inlineStr">
        <is>
          <t>DINGDANG HEALTH</t>
        </is>
      </c>
      <c r="C136" s="108" t="inlineStr">
        <is>
          <t>叮噹健康</t>
        </is>
      </c>
      <c r="D136" s="108" t="inlineStr">
        <is>
          <t>Healthcare</t>
        </is>
      </c>
      <c r="E136" s="108" t="inlineStr">
        <is>
          <t>Digital health</t>
        </is>
      </c>
      <c r="F136" s="108" t="inlineStr">
        <is>
          <t>Health Care Services</t>
        </is>
      </c>
      <c r="G136" s="108" t="inlineStr">
        <is>
          <t>Standard</t>
        </is>
      </c>
      <c r="H136" s="109" t="n">
        <v>44818</v>
      </c>
      <c r="I136" s="110" t="n">
        <v>402.4</v>
      </c>
      <c r="J136" s="108" t="inlineStr">
        <is>
          <t>gross (price x shares)</t>
        </is>
      </c>
      <c r="K136" s="129" t="n"/>
      <c r="L136" s="111" t="n">
        <v>12</v>
      </c>
      <c r="M136" s="111" t="n">
        <v>12</v>
      </c>
      <c r="N136" s="108" t="inlineStr">
        <is>
          <t>Y</t>
        </is>
      </c>
      <c r="O136" s="112" t="n">
        <v>100</v>
      </c>
      <c r="P136" s="118" t="n"/>
      <c r="Q136" s="113" t="n">
        <v>16096</v>
      </c>
      <c r="R136" s="108" t="inlineStr">
        <is>
          <t>derived:deal size / offer % of enlarged capital</t>
        </is>
      </c>
      <c r="S136" s="114" t="n">
        <v>7.2</v>
      </c>
      <c r="T136" s="115" t="n">
        <v>1.7</v>
      </c>
      <c r="U136" s="116" t="n">
        <v>74.09</v>
      </c>
      <c r="V136" s="117" t="n">
        <v>131</v>
      </c>
      <c r="W136" s="118" t="n"/>
      <c r="X136" s="119" t="n"/>
      <c r="Y136" s="113" t="n">
        <v>104.26</v>
      </c>
      <c r="Z136" s="113" t="n">
        <v>8689437</v>
      </c>
      <c r="AA136" s="112" t="n">
        <v>0.65</v>
      </c>
      <c r="AB136" s="108" t="inlineStr">
        <is>
          <t>Harvest International Premium Value (Secondary Market) Fund SPC; Jumpcan International Co., Ltd; Sunshine Life Insurance Corporation Limited</t>
        </is>
      </c>
      <c r="AC136" s="108" t="inlineStr">
        <is>
          <t>harvest;jumpcan;sunshine</t>
        </is>
      </c>
      <c r="AD136" s="112" t="n">
        <v>10</v>
      </c>
      <c r="AE136" s="108" t="inlineStr">
        <is>
          <t>lapsed</t>
        </is>
      </c>
      <c r="AF136" s="108" t="inlineStr">
        <is>
          <t>2022-10-06</t>
        </is>
      </c>
      <c r="AG136" s="108" t="inlineStr">
        <is>
          <t>China International Capital Corporation Hong Kong Securities Limited</t>
        </is>
      </c>
      <c r="AH136" s="108" t="inlineStr">
        <is>
          <t>China International</t>
        </is>
      </c>
      <c r="AI136" s="120" t="n">
        <v>0.83</v>
      </c>
      <c r="AJ136" s="121" t="n">
        <v>0</v>
      </c>
      <c r="AK136" s="121" t="n">
        <v>-1.65</v>
      </c>
      <c r="AL136" s="121" t="n">
        <v>2.83</v>
      </c>
      <c r="AM136" s="121" t="n">
        <v>-2.75</v>
      </c>
      <c r="AN136" s="122" t="n"/>
      <c r="AO136" s="112" t="n">
        <v>2.76</v>
      </c>
      <c r="AP136" s="121" t="n">
        <v>0.33</v>
      </c>
      <c r="AQ136" s="121" t="n">
        <v>-1</v>
      </c>
      <c r="AR136" s="121" t="n">
        <v>0</v>
      </c>
      <c r="AS136" s="121" t="n">
        <v>0.33</v>
      </c>
      <c r="AT136" s="121" t="n">
        <v>-1</v>
      </c>
      <c r="AU136" s="121" t="n">
        <v>0</v>
      </c>
      <c r="AV136" s="121" t="n">
        <v>8.640000000000001</v>
      </c>
      <c r="AW136" s="121" t="n">
        <v>3.13</v>
      </c>
      <c r="AX136" s="121" t="n">
        <v>-5.67</v>
      </c>
      <c r="AY136" s="121" t="n">
        <v>1.52</v>
      </c>
      <c r="AZ136" s="121" t="n">
        <v>-4.13</v>
      </c>
      <c r="BA136" s="121" t="n">
        <v>-2.52</v>
      </c>
      <c r="BB136" s="108" t="inlineStr">
        <is>
          <t>China Biotech ETF (HS biotech proxy)</t>
        </is>
      </c>
      <c r="BC136" s="121" t="n">
        <v>-93.33</v>
      </c>
      <c r="BD136" s="109" t="n">
        <v>46297</v>
      </c>
      <c r="BE136" s="110" t="n">
        <v>2451.4</v>
      </c>
      <c r="BF136" s="113" t="n">
        <v>-1.2</v>
      </c>
      <c r="BG136" s="108" t="inlineStr">
        <is>
          <t>N</t>
        </is>
      </c>
      <c r="BH136" s="108" t="inlineStr">
        <is>
          <t>n/m</t>
        </is>
      </c>
      <c r="BI136" s="122" t="n"/>
      <c r="BJ136" s="122" t="n"/>
      <c r="BK136" s="123" t="n">
        <v>6.6</v>
      </c>
      <c r="BL136" s="124">
        <f>IF('BBG Verify'!S136="","not filed; run on terminal",'BBG Verify'!S136)</f>
        <v/>
      </c>
      <c r="BM136" s="125" t="inlineStr">
        <is>
          <t>N</t>
        </is>
      </c>
      <c r="BN136" s="126">
        <f>IF('BBG Verify'!K136="","not filed; run on terminal",'BBG Verify'!K136)</f>
        <v/>
      </c>
      <c r="BO136" s="108" t="inlineStr">
        <is>
          <t>N/A</t>
        </is>
      </c>
      <c r="BP136" s="108" t="inlineStr">
        <is>
          <t>N/A</t>
        </is>
      </c>
      <c r="BQ136" s="108" t="inlineStr">
        <is>
          <t>N/A</t>
        </is>
      </c>
      <c r="BR136" s="108" t="inlineStr">
        <is>
          <t>N/A</t>
        </is>
      </c>
      <c r="BS136" s="108" t="inlineStr">
        <is>
          <t>N/A</t>
        </is>
      </c>
      <c r="BT136" s="108" t="inlineStr">
        <is>
          <t>N/A</t>
        </is>
      </c>
      <c r="BU136" s="125" t="inlineStr">
        <is>
          <t>CMB International Capital Limited</t>
        </is>
      </c>
      <c r="BV136" s="108" t="inlineStr">
        <is>
          <t>China International Capital Corporation Hong Kong Securities Limited; CMB International Capital Corporation Limited</t>
        </is>
      </c>
      <c r="BW136" s="108" t="inlineStr">
        <is>
          <t>CMB International Capital Limited; China International Capital Corporation Hong Kong Securities Limited; Futu Securities International (Hong Kong) Limited</t>
        </is>
      </c>
      <c r="BX136" s="108" t="inlineStr">
        <is>
          <t>China International Capital Corporation Hong Kong Securities Limited; CMB International Capital Corporation Limited; Futu Securities International (Hong Kong) Limited; Silverbricks Securities Company Limited</t>
        </is>
      </c>
      <c r="BY136" s="127">
        <f>HYPERLINK("https://www1.hkexnews.hk/listedco/listconews/sehk/2022/0901/2022090100013.pdf","prospectus")</f>
        <v/>
      </c>
      <c r="BZ136" s="127">
        <f>HYPERLINK("https://www1.hkexnews.hk/listedco/listconews/sehk/2022/0913/2022091300006.htm","allotment")</f>
        <v/>
      </c>
      <c r="CA136" s="127">
        <f>HYPERLINK("https://www1.hkexnews.hk/listedco/listconews/sehk/2022/1006/2022100601196.pdf","stabilisation")</f>
        <v/>
      </c>
      <c r="CB136" s="128" t="n"/>
      <c r="CC136" s="108" t="inlineStr">
        <is>
          <t>P/E: loss-making at IPO, use P/S; range low: maximum offer price only, no floor published; allocation: allocation table not in this notice's format (older prose announcement); day-1 tape: volume on file; the retail multiple needs the final public split, which this notice does not state</t>
        </is>
      </c>
    </row>
    <row r="137" ht="22" customHeight="1">
      <c r="A137" s="107" t="inlineStr">
        <is>
          <t>2350</t>
        </is>
      </c>
      <c r="B137" s="108" t="inlineStr">
        <is>
          <t>MTT GROUP</t>
        </is>
      </c>
      <c r="C137" s="108" t="inlineStr">
        <is>
          <t>數科集團</t>
        </is>
      </c>
      <c r="D137" s="108" t="inlineStr">
        <is>
          <t>Industrials</t>
        </is>
      </c>
      <c r="E137" s="108" t="inlineStr">
        <is>
          <t>Construction / engineering</t>
        </is>
      </c>
      <c r="F137" s="108" t="inlineStr">
        <is>
          <t>IT Products Distributors</t>
        </is>
      </c>
      <c r="G137" s="108" t="inlineStr">
        <is>
          <t>Standard</t>
        </is>
      </c>
      <c r="H137" s="109" t="n">
        <v>44830</v>
      </c>
      <c r="I137" s="110" t="n">
        <v>119.5</v>
      </c>
      <c r="J137" s="108" t="inlineStr">
        <is>
          <t>gross (price x shares)</t>
        </is>
      </c>
      <c r="K137" s="129" t="n"/>
      <c r="L137" s="111" t="n">
        <v>0.85</v>
      </c>
      <c r="M137" s="111" t="n">
        <v>0.85</v>
      </c>
      <c r="N137" s="108" t="inlineStr">
        <is>
          <t>Y</t>
        </is>
      </c>
      <c r="O137" s="112" t="n">
        <v>100</v>
      </c>
      <c r="P137" s="118" t="n"/>
      <c r="Q137" s="113" t="n">
        <v>518.8</v>
      </c>
      <c r="R137" s="108" t="inlineStr">
        <is>
          <t>aastocks:上市市值 at the struck price</t>
        </is>
      </c>
      <c r="S137" s="114" t="n">
        <v>151.3</v>
      </c>
      <c r="T137" s="115" t="n">
        <v>1.1</v>
      </c>
      <c r="U137" s="116" t="n">
        <v>27.6</v>
      </c>
      <c r="V137" s="117" t="n">
        <v>231</v>
      </c>
      <c r="W137" s="118" t="n"/>
      <c r="X137" s="119" t="n"/>
      <c r="Y137" s="113" t="n">
        <v>86.52</v>
      </c>
      <c r="Z137" s="113" t="n">
        <v>101812500</v>
      </c>
      <c r="AA137" s="112" t="n">
        <v>16.68</v>
      </c>
      <c r="AB137" s="108" t="inlineStr">
        <is>
          <t>ATNT Group Management Limited; EC InfoTech Limited; Mr. Cheng Wan Wai; Mr. Hung Kwong Yee; Wong Cheuk Tim, Timothy</t>
        </is>
      </c>
      <c r="AC137" s="108" t="inlineStr">
        <is>
          <t>atnt;ec;mr-cheng;mr-hung;wong</t>
        </is>
      </c>
      <c r="AD137" s="118" t="n"/>
      <c r="AE137" s="108" t="inlineStr">
        <is>
          <t>lapsed (no over-allocation)</t>
        </is>
      </c>
      <c r="AF137" s="119" t="n"/>
      <c r="AG137" s="108" t="inlineStr">
        <is>
          <t>Innovax Securities</t>
        </is>
      </c>
      <c r="AH137" s="108" t="inlineStr">
        <is>
          <t>Innovax</t>
        </is>
      </c>
      <c r="AI137" s="120" t="n">
        <v>3.53</v>
      </c>
      <c r="AJ137" s="121" t="n">
        <v>-27.06</v>
      </c>
      <c r="AK137" s="121" t="n">
        <v>1.16</v>
      </c>
      <c r="AL137" s="121" t="n">
        <v>5.88</v>
      </c>
      <c r="AM137" s="121" t="n">
        <v>-31.11</v>
      </c>
      <c r="AN137" s="123" t="n">
        <v>1.46</v>
      </c>
      <c r="AO137" s="112" t="n">
        <v>37.78</v>
      </c>
      <c r="AP137" s="121" t="n">
        <v>-34.12</v>
      </c>
      <c r="AQ137" s="121" t="n">
        <v>-41.18</v>
      </c>
      <c r="AR137" s="121" t="n">
        <v>-54.12</v>
      </c>
      <c r="AS137" s="121" t="n">
        <v>-9.68</v>
      </c>
      <c r="AT137" s="121" t="n">
        <v>-19.36</v>
      </c>
      <c r="AU137" s="121" t="n">
        <v>-37.1</v>
      </c>
      <c r="AV137" s="121" t="n">
        <v>-31.16</v>
      </c>
      <c r="AW137" s="121" t="n">
        <v>-25.58</v>
      </c>
      <c r="AX137" s="121" t="n">
        <v>-63.72</v>
      </c>
      <c r="AY137" s="121" t="n">
        <v>-2.79</v>
      </c>
      <c r="AZ137" s="121" t="n">
        <v>-15.6</v>
      </c>
      <c r="BA137" s="121" t="n">
        <v>-16.57</v>
      </c>
      <c r="BB137" s="108" t="inlineStr">
        <is>
          <t>Hang Seng Commerce &amp; Industry sub-index</t>
        </is>
      </c>
      <c r="BC137" s="121" t="n">
        <v>-16.47</v>
      </c>
      <c r="BD137" s="109" t="n">
        <v>46297</v>
      </c>
      <c r="BE137" s="110" t="n">
        <v>631.5</v>
      </c>
      <c r="BF137" s="113" t="n">
        <v>47.3</v>
      </c>
      <c r="BG137" s="108" t="inlineStr">
        <is>
          <t>Y</t>
        </is>
      </c>
      <c r="BH137" s="123" t="n">
        <v>11</v>
      </c>
      <c r="BI137" s="122" t="n"/>
      <c r="BJ137" s="122" t="n"/>
      <c r="BK137" s="123" t="n">
        <v>0.8</v>
      </c>
      <c r="BL137" s="124">
        <f>IF('BBG Verify'!S137="","not filed; run on terminal",'BBG Verify'!S137)</f>
        <v/>
      </c>
      <c r="BM137" s="125" t="inlineStr">
        <is>
          <t>N</t>
        </is>
      </c>
      <c r="BN137" s="126">
        <f>IF('BBG Verify'!K137="","not filed; run on terminal",'BBG Verify'!K137)</f>
        <v/>
      </c>
      <c r="BO137" s="108" t="inlineStr">
        <is>
          <t>N/A</t>
        </is>
      </c>
      <c r="BP137" s="108" t="inlineStr">
        <is>
          <t>N/A</t>
        </is>
      </c>
      <c r="BQ137" s="108" t="inlineStr">
        <is>
          <t>N/A</t>
        </is>
      </c>
      <c r="BR137" s="108" t="inlineStr">
        <is>
          <t>N/A</t>
        </is>
      </c>
      <c r="BS137" s="108" t="inlineStr">
        <is>
          <t>N/A</t>
        </is>
      </c>
      <c r="BT137" s="108" t="inlineStr">
        <is>
          <t>N/A</t>
        </is>
      </c>
      <c r="BU137" s="125" t="inlineStr">
        <is>
          <t>Innovax Capital Limited</t>
        </is>
      </c>
      <c r="BV137" s="108" t="inlineStr">
        <is>
          <t>Innovax Capital Limited</t>
        </is>
      </c>
      <c r="BW137" s="108" t="inlineStr">
        <is>
          <t>and Innovax Securities Limited</t>
        </is>
      </c>
      <c r="BX137" s="108" t="inlineStr">
        <is>
          <t>Canfield Securities Company Limited; China PA Securities (Hong Kong) Company Limited; Innovax Securities Limited; Sinomax Securities Limited</t>
        </is>
      </c>
      <c r="BY137" s="127">
        <f>HYPERLINK("https://www1.hkexnews.hk/listedco/listconews/sehk/2022/0913/2022091300024.htm","prospectus")</f>
        <v/>
      </c>
      <c r="BZ137" s="127">
        <f>HYPERLINK("https://www1.hkexnews.hk/listedco/listconews/sehk/2022/0923/2022092300212.htm","allotment")</f>
        <v/>
      </c>
      <c r="CA137" s="127">
        <f>HYPERLINK("https://www1.hkexnews.hk/listedco/listconews/sehk/2022/1017/2022101700385.pdf","stabilisation")</f>
        <v/>
      </c>
      <c r="CB137" s="128" t="n"/>
      <c r="CC137" s="108" t="inlineStr">
        <is>
          <t>greenshoe: outcome published; expiry date not in the notice; price range: fixed-price offering (no indicative range); range low: maximum offer price only, no floor published; returns: returns exclude the entitlement value of 2026-06-15 rights 2-for-5 @ HK$0.275; Bloomberg back-adjusts by x1.246; cornerstone: table parse 100% rejected (institutional total implies 28%); the AAStocks institutional total used; greenshoe size: no over-allotment option; allocation: allocation table not in this notice's format (older prose announcement)</t>
        </is>
      </c>
    </row>
    <row r="138" ht="22" customHeight="1">
      <c r="A138" s="107" t="inlineStr">
        <is>
          <t>9863</t>
        </is>
      </c>
      <c r="B138" s="108" t="inlineStr">
        <is>
          <t>LEAPMOTOR</t>
        </is>
      </c>
      <c r="C138" s="108" t="inlineStr">
        <is>
          <t>零跑汽車</t>
        </is>
      </c>
      <c r="D138" s="108" t="inlineStr">
        <is>
          <t>Consumer</t>
        </is>
      </c>
      <c r="E138" s="108" t="inlineStr">
        <is>
          <t>Autos (NEV OEM)</t>
        </is>
      </c>
      <c r="F138" s="108" t="inlineStr">
        <is>
          <t>Automobile Manufacturers</t>
        </is>
      </c>
      <c r="G138" s="108" t="inlineStr">
        <is>
          <t>Standard</t>
        </is>
      </c>
      <c r="H138" s="109" t="n">
        <v>44833</v>
      </c>
      <c r="I138" s="110" t="n">
        <v>6279.3</v>
      </c>
      <c r="J138" s="108" t="inlineStr">
        <is>
          <t>gross (price x shares)</t>
        </is>
      </c>
      <c r="K138" s="111" t="n">
        <v>48</v>
      </c>
      <c r="L138" s="111" t="n">
        <v>62</v>
      </c>
      <c r="M138" s="111" t="n">
        <v>48</v>
      </c>
      <c r="N138" s="108" t="inlineStr">
        <is>
          <t>N</t>
        </is>
      </c>
      <c r="O138" s="112" t="n">
        <v>77.40000000000001</v>
      </c>
      <c r="P138" s="112" t="n">
        <v>0</v>
      </c>
      <c r="Q138" s="113" t="n">
        <v>55081.6</v>
      </c>
      <c r="R138" s="108" t="inlineStr">
        <is>
          <t>derived:deal size / offer % of enlarged capital</t>
        </is>
      </c>
      <c r="S138" s="114" t="n">
        <v>0.16</v>
      </c>
      <c r="T138" s="115" t="n">
        <v>2.33</v>
      </c>
      <c r="U138" s="116" t="n">
        <v>29.6</v>
      </c>
      <c r="V138" s="117" t="n">
        <v>137</v>
      </c>
      <c r="W138" s="118" t="n"/>
      <c r="X138" s="119" t="n"/>
      <c r="Y138" s="113" t="n">
        <v>4420.63</v>
      </c>
      <c r="Z138" s="113" t="n">
        <v>92096646</v>
      </c>
      <c r="AA138" s="112" t="n">
        <v>8.029999999999999</v>
      </c>
      <c r="AB138" s="108" t="inlineStr">
        <is>
          <t>GF Fund Management Co., Ltd; Jinhua Industrial Fund Co., Ltd; Jinhua Jinkai Industrial Leading Investment Partnership (Limited Partnership); Kwok Tai East International Group Limited; Zhejiang Industrial Fund</t>
        </is>
      </c>
      <c r="AC138" s="108" t="inlineStr">
        <is>
          <t>gf;jinhua;kwok;zhejiang</t>
        </is>
      </c>
      <c r="AD138" s="112" t="n">
        <v>14.6</v>
      </c>
      <c r="AE138" s="108" t="inlineStr">
        <is>
          <t>lapsed</t>
        </is>
      </c>
      <c r="AF138" s="108" t="inlineStr">
        <is>
          <t>2022-10-23</t>
        </is>
      </c>
      <c r="AG138" s="108" t="inlineStr">
        <is>
          <t>J.P. Morgan Securities</t>
        </is>
      </c>
      <c r="AH138" s="108" t="inlineStr">
        <is>
          <t>JP Morgan</t>
        </is>
      </c>
      <c r="AI138" s="120" t="n">
        <v>-14.58</v>
      </c>
      <c r="AJ138" s="121" t="n">
        <v>-33.54</v>
      </c>
      <c r="AK138" s="121" t="n">
        <v>-0.27</v>
      </c>
      <c r="AL138" s="121" t="n">
        <v>-14.58</v>
      </c>
      <c r="AM138" s="121" t="n">
        <v>-22.2</v>
      </c>
      <c r="AN138" s="122" t="n"/>
      <c r="AO138" s="112" t="n">
        <v>31.59</v>
      </c>
      <c r="AP138" s="121" t="n">
        <v>-48.33</v>
      </c>
      <c r="AQ138" s="121" t="n">
        <v>-62.21</v>
      </c>
      <c r="AR138" s="121" t="n">
        <v>-37.08</v>
      </c>
      <c r="AS138" s="121" t="n">
        <v>-22.25</v>
      </c>
      <c r="AT138" s="121" t="n">
        <v>-43.14</v>
      </c>
      <c r="AU138" s="121" t="n">
        <v>-5.33</v>
      </c>
      <c r="AV138" s="121" t="n">
        <v>-50.82</v>
      </c>
      <c r="AW138" s="121" t="n">
        <v>-44.05</v>
      </c>
      <c r="AX138" s="121" t="n">
        <v>-48.68</v>
      </c>
      <c r="AY138" s="121" t="n">
        <v>-25.2</v>
      </c>
      <c r="AZ138" s="121" t="n">
        <v>-18.16</v>
      </c>
      <c r="BA138" s="121" t="n">
        <v>-17.94</v>
      </c>
      <c r="BB138" s="108" t="inlineStr">
        <is>
          <t>Hang Seng Commerce &amp; Industry sub-index</t>
        </is>
      </c>
      <c r="BC138" s="121" t="n">
        <v>-28.08</v>
      </c>
      <c r="BD138" s="109" t="n">
        <v>46297</v>
      </c>
      <c r="BE138" s="110" t="n">
        <v>694.4</v>
      </c>
      <c r="BF138" s="113" t="n">
        <v>-3130.4</v>
      </c>
      <c r="BG138" s="108" t="inlineStr">
        <is>
          <t>N</t>
        </is>
      </c>
      <c r="BH138" s="108" t="inlineStr">
        <is>
          <t>n/m</t>
        </is>
      </c>
      <c r="BI138" s="122" t="n"/>
      <c r="BJ138" s="123" t="n">
        <v>95.59999999999999</v>
      </c>
      <c r="BK138" s="123" t="n">
        <v>79.3</v>
      </c>
      <c r="BL138" s="124">
        <f>IF('BBG Verify'!S138="","not filed; run on terminal",'BBG Verify'!S138)</f>
        <v/>
      </c>
      <c r="BM138" s="125" t="inlineStr">
        <is>
          <t>N</t>
        </is>
      </c>
      <c r="BN138" s="126">
        <f>IF('BBG Verify'!K138="","not filed; run on terminal",'BBG Verify'!K138)</f>
        <v/>
      </c>
      <c r="BO138" s="108" t="inlineStr">
        <is>
          <t>N/A</t>
        </is>
      </c>
      <c r="BP138" s="108" t="inlineStr">
        <is>
          <t>N/A</t>
        </is>
      </c>
      <c r="BQ138" s="108" t="inlineStr">
        <is>
          <t>N/A</t>
        </is>
      </c>
      <c r="BR138" s="108" t="inlineStr">
        <is>
          <t>N/A</t>
        </is>
      </c>
      <c r="BS138" s="108" t="inlineStr">
        <is>
          <t>N/A</t>
        </is>
      </c>
      <c r="BT138" s="108" t="inlineStr">
        <is>
          <t>N/A</t>
        </is>
      </c>
      <c r="BU138" s="125" t="inlineStr">
        <is>
          <t>J.P . Morgan Securities (Far East) Limited; China International Capital Corporation Hong Kong Securities Limited; Citigroup Global Markets Asia Limited; CCB International Capital Limited</t>
        </is>
      </c>
      <c r="BV138" s="108" t="inlineStr">
        <is>
          <t>China International Capital Corporation Hong Kong Securities Limited; CCB International Capital Limited; J.P. Morgan Securities (Far East) Limited; Citigroup Global Markets Asia Limited</t>
        </is>
      </c>
      <c r="BW138" s="108" t="inlineStr">
        <is>
          <t>J.P . Morgan Securities (Asia Pacific) Limited; China International Capital Corporation Hong Kong Securities Limited; Citigroup Global Markets Asia Limited; CCB International Capital Limited; China Securities (International) Corporate Finance Company Limited; J.P . Morgan Securities plc; Citigroup Global Markets Limited; London E14 5LB United Kingdom CCB International Capital Limited; Huatai Financial Holdings (Hong Kong) Limited; ABCI Capital Limited; Futu Securities International (Hong Kong) Limited</t>
        </is>
      </c>
      <c r="BX138" s="108" t="inlineStr">
        <is>
          <t>ABCI Securities Company Limited; CCB International Capital Limited; Citigroup Global Markets Asia Limited; China International Capital Corporation Hong Kong Securities Limited; CLSA Limited; China Securities (International) Corporate Finance Company Limited; Futu Securities International (Hong Kong) Limited; Huatai Financial Holdings (Hong Kong) Limited; J.P. Morgan Securities (Asia Pacific) Limited; Tiger Brokers (HK) Global Limited</t>
        </is>
      </c>
      <c r="BY138" s="127">
        <f>HYPERLINK("https://www1.hkexnews.hk/listedco/listconews/sehk/2022/0920/2022092000023.pdf","prospectus")</f>
        <v/>
      </c>
      <c r="BZ138" s="127">
        <f>HYPERLINK("https://www1.hkexnews.hk/listedco/listconews/sehk/2022/0928/2022092800020.htm","allotment")</f>
        <v/>
      </c>
      <c r="CA138" s="127">
        <f>HYPERLINK("https://www1.hkexnews.hk/listedco/listconews/sehk/2022/1023/2022102300019.pdf","stabilisation")</f>
        <v/>
      </c>
      <c r="CB138" s="128" t="n"/>
      <c r="CC138" s="108" t="inlineStr">
        <is>
          <t>P/E: loss-making at IPO, use P/S; allocation: allocation table not in this notice's format (older prose announcement); day-1 tape: volume on file; the retail multiple needs the final public split, which this notice does not state</t>
        </is>
      </c>
    </row>
    <row r="139" ht="22" customHeight="1">
      <c r="A139" s="107" t="inlineStr">
        <is>
          <t>2602</t>
        </is>
      </c>
      <c r="B139" s="108" t="inlineStr">
        <is>
          <t>ONEWO</t>
        </is>
      </c>
      <c r="C139" s="108" t="inlineStr">
        <is>
          <t>萬物雲</t>
        </is>
      </c>
      <c r="D139" s="108" t="inlineStr">
        <is>
          <t>Real Estate</t>
        </is>
      </c>
      <c r="E139" s="108" t="inlineStr">
        <is>
          <t>Property management</t>
        </is>
      </c>
      <c r="F139" s="108" t="inlineStr">
        <is>
          <t>Property Service and Management</t>
        </is>
      </c>
      <c r="G139" s="108" t="inlineStr">
        <is>
          <t>Standard</t>
        </is>
      </c>
      <c r="H139" s="109" t="n">
        <v>44833</v>
      </c>
      <c r="I139" s="110" t="n">
        <v>5759.8</v>
      </c>
      <c r="J139" s="108" t="inlineStr">
        <is>
          <t>gross (price x shares)</t>
        </is>
      </c>
      <c r="K139" s="111" t="n">
        <v>47.1</v>
      </c>
      <c r="L139" s="111" t="n">
        <v>52.7</v>
      </c>
      <c r="M139" s="111" t="n">
        <v>49.35</v>
      </c>
      <c r="N139" s="108" t="inlineStr">
        <is>
          <t>N</t>
        </is>
      </c>
      <c r="O139" s="112" t="n">
        <v>93.59999999999999</v>
      </c>
      <c r="P139" s="112" t="n">
        <v>40.2</v>
      </c>
      <c r="Q139" s="113" t="n">
        <v>61685.8</v>
      </c>
      <c r="R139" s="108" t="inlineStr">
        <is>
          <t>aastocks:上市市值 at the struck price</t>
        </is>
      </c>
      <c r="S139" s="114" t="n">
        <v>0.82</v>
      </c>
      <c r="T139" s="115" t="n">
        <v>3.3</v>
      </c>
      <c r="U139" s="116" t="n">
        <v>37.56</v>
      </c>
      <c r="V139" s="117" t="n">
        <v>106</v>
      </c>
      <c r="W139" s="112" t="n">
        <v>8.17</v>
      </c>
      <c r="X139" s="108" t="inlineStr">
        <is>
          <t>NO</t>
        </is>
      </c>
      <c r="Y139" s="113" t="n">
        <v>3596.42</v>
      </c>
      <c r="Z139" s="113" t="n">
        <v>72876222</v>
      </c>
      <c r="AA139" s="112" t="n">
        <v>5.83</v>
      </c>
      <c r="AB139" s="108" t="inlineStr">
        <is>
          <t>Athos Asia Event Driven Master Fund; Cephei QFII China Total Return Fund Ltd; China Chengtong Investment Company Limited; HHLR Fund, L.P.; YHG Investment, L.P; The China State-owned Enterprise Mixed Ownership Reform Fund Co., Ltd; UBS Asset Management (Singapore) Ltd</t>
        </is>
      </c>
      <c r="AC139" s="108" t="inlineStr">
        <is>
          <t>athos;cephei;chengtong;hhlr;yhg;state-owned;ubs</t>
        </is>
      </c>
      <c r="AD139" s="112" t="n">
        <v>10</v>
      </c>
      <c r="AE139" s="108" t="inlineStr">
        <is>
          <t>partial</t>
        </is>
      </c>
      <c r="AF139" s="108" t="inlineStr">
        <is>
          <t>2022-10-22</t>
        </is>
      </c>
      <c r="AG139" s="108" t="inlineStr">
        <is>
          <t>Goldman Sachs</t>
        </is>
      </c>
      <c r="AH139" s="108" t="inlineStr">
        <is>
          <t>Goldman Sachs</t>
        </is>
      </c>
      <c r="AI139" s="120" t="n">
        <v>-8.210000000000001</v>
      </c>
      <c r="AJ139" s="121" t="n">
        <v>-6.79</v>
      </c>
      <c r="AK139" s="121" t="n">
        <v>-1.83</v>
      </c>
      <c r="AL139" s="121" t="n">
        <v>-7.6</v>
      </c>
      <c r="AM139" s="121" t="n">
        <v>0.88</v>
      </c>
      <c r="AN139" s="123" t="n">
        <v>1.98</v>
      </c>
      <c r="AO139" s="112" t="n">
        <v>11.84</v>
      </c>
      <c r="AP139" s="121" t="n">
        <v>-11.65</v>
      </c>
      <c r="AQ139" s="121" t="n">
        <v>-39.72</v>
      </c>
      <c r="AR139" s="121" t="n">
        <v>-0.61</v>
      </c>
      <c r="AS139" s="121" t="n">
        <v>-5.21</v>
      </c>
      <c r="AT139" s="121" t="n">
        <v>-35.33</v>
      </c>
      <c r="AU139" s="121" t="n">
        <v>6.63</v>
      </c>
      <c r="AV139" s="121" t="n">
        <v>-12.68</v>
      </c>
      <c r="AW139" s="121" t="n">
        <v>-20.53</v>
      </c>
      <c r="AX139" s="121" t="n">
        <v>-13.61</v>
      </c>
      <c r="AY139" s="121" t="n">
        <v>-17.65</v>
      </c>
      <c r="AZ139" s="121" t="n">
        <v>-19.19</v>
      </c>
      <c r="BA139" s="121" t="n">
        <v>-17.68</v>
      </c>
      <c r="BB139" s="108" t="inlineStr">
        <is>
          <t>Hang Seng Properties sub-index</t>
        </is>
      </c>
      <c r="BC139" s="121" t="n">
        <v>-61.68</v>
      </c>
      <c r="BD139" s="109" t="n">
        <v>46297</v>
      </c>
      <c r="BE139" s="110" t="n">
        <v>26075</v>
      </c>
      <c r="BF139" s="113" t="n">
        <v>1885.7</v>
      </c>
      <c r="BG139" s="108" t="inlineStr">
        <is>
          <t>Y</t>
        </is>
      </c>
      <c r="BH139" s="123" t="n">
        <v>32.7</v>
      </c>
      <c r="BI139" s="123" t="n">
        <v>24.2</v>
      </c>
      <c r="BJ139" s="123" t="n">
        <v>26</v>
      </c>
      <c r="BK139" s="123" t="n">
        <v>2.4</v>
      </c>
      <c r="BL139" s="124">
        <f>IF('BBG Verify'!S139="","not filed; run on terminal",'BBG Verify'!S139)</f>
        <v/>
      </c>
      <c r="BM139" s="125" t="inlineStr">
        <is>
          <t>N</t>
        </is>
      </c>
      <c r="BN139" s="126">
        <f>IF('BBG Verify'!K139="","not filed; run on terminal",'BBG Verify'!K139)</f>
        <v/>
      </c>
      <c r="BO139" s="108" t="inlineStr">
        <is>
          <t>N/A</t>
        </is>
      </c>
      <c r="BP139" s="108" t="inlineStr">
        <is>
          <t>N/A</t>
        </is>
      </c>
      <c r="BQ139" s="108" t="inlineStr">
        <is>
          <t>N/A</t>
        </is>
      </c>
      <c r="BR139" s="108" t="inlineStr">
        <is>
          <t>N/A</t>
        </is>
      </c>
      <c r="BS139" s="108" t="inlineStr">
        <is>
          <t>N/A</t>
        </is>
      </c>
      <c r="BT139" s="108" t="inlineStr">
        <is>
          <t>N/A</t>
        </is>
      </c>
      <c r="BU139" s="125" t="inlineStr">
        <is>
          <t>CLSA Capital Markets Limited; Citigroup Global Markets Asia Limited; Goldman Sachs (Asia) L.L.C; CLSA Limited</t>
        </is>
      </c>
      <c r="BV139" s="108" t="inlineStr">
        <is>
          <t>Goldman Sachs (Asia) L.L.C.; CLSA Capital Markets Limited; Citigroup Global Markets Asia Limited</t>
        </is>
      </c>
      <c r="BW139" s="108" t="inlineStr">
        <is>
          <t>CLSA Limited; Citigroup Global Markets Asia Limited; Goldman Sachs (Asia) L.L.C; CMB International Capital Limited; ICBC International Capital Limited; Citigroup Global Markets Limited; Canary Wharf London E14 5LB United Kingdom Goldman Sachs (Asia) L.L.C; ICBC International Securities Limited</t>
        </is>
      </c>
      <c r="BX139" s="108" t="inlineStr">
        <is>
          <t>ABCI Securities Company Limited; BOCI Asia Limited; CCB International Capital Limited; Citigroup Global Markets Asia Limited; CLSA Limited; CMB International Capital Limited; Goldman Sachs (Asia) L.L.C.; Guosen Securities (HK) Capital Company Limited; ICBC International Securities Limited</t>
        </is>
      </c>
      <c r="BY139" s="127">
        <f>HYPERLINK("https://www1.hkexnews.hk/listedco/listconews/sehk/2022/0919/2022091900009.pdf","prospectus")</f>
        <v/>
      </c>
      <c r="BZ139" s="127">
        <f>HYPERLINK("https://www1.hkexnews.hk/listedco/listconews/sehk/2022/0928/2022092800042.htm","allotment")</f>
        <v/>
      </c>
      <c r="CA139" s="127">
        <f>HYPERLINK("https://www1.hkexnews.hk/listedco/listconews/sehk/2022/1023/2022102300033.pdf","stabilisation")</f>
        <v/>
      </c>
      <c r="CB139" s="128" t="n"/>
      <c r="CC139" s="108" t="inlineStr">
        <is>
          <t>market cap: published listing cap used; the estimate from stated market capitalisation disagreed</t>
        </is>
      </c>
    </row>
    <row r="140" ht="22" customHeight="1">
      <c r="A140" s="107" t="inlineStr">
        <is>
          <t>6660</t>
        </is>
      </c>
      <c r="B140" s="108" t="inlineStr">
        <is>
          <t>AIM VACCINE</t>
        </is>
      </c>
      <c r="C140" s="108" t="inlineStr">
        <is>
          <t>艾美疫苗</t>
        </is>
      </c>
      <c r="D140" s="108" t="inlineStr">
        <is>
          <t>Healthcare</t>
        </is>
      </c>
      <c r="E140" s="108" t="inlineStr">
        <is>
          <t>Biopharma commercial</t>
        </is>
      </c>
      <c r="F140" s="108" t="inlineStr">
        <is>
          <t>Biotechnology - Pharmaceuticals</t>
        </is>
      </c>
      <c r="G140" s="108" t="inlineStr">
        <is>
          <t>Standard</t>
        </is>
      </c>
      <c r="H140" s="109" t="n">
        <v>44840</v>
      </c>
      <c r="I140" s="110" t="n">
        <v>157</v>
      </c>
      <c r="J140" s="108" t="inlineStr">
        <is>
          <t>gross (price x shares)</t>
        </is>
      </c>
      <c r="K140" s="129" t="n"/>
      <c r="L140" s="111" t="n">
        <v>16.16</v>
      </c>
      <c r="M140" s="111" t="n">
        <v>16.16</v>
      </c>
      <c r="N140" s="108" t="inlineStr">
        <is>
          <t>Y</t>
        </is>
      </c>
      <c r="O140" s="112" t="n">
        <v>100</v>
      </c>
      <c r="P140" s="118" t="n"/>
      <c r="Q140" s="113" t="n">
        <v>19549</v>
      </c>
      <c r="R140" s="108" t="inlineStr">
        <is>
          <t>prospectus:stated market capitalisation</t>
        </is>
      </c>
      <c r="S140" s="114" t="n">
        <v>3.15</v>
      </c>
      <c r="T140" s="115" t="n">
        <v>3.27</v>
      </c>
      <c r="U140" s="116" t="n">
        <v>0</v>
      </c>
      <c r="V140" s="117" t="n">
        <v>115</v>
      </c>
      <c r="W140" s="118" t="n"/>
      <c r="X140" s="119" t="n"/>
      <c r="Y140" s="113" t="n">
        <v>157</v>
      </c>
      <c r="Z140" s="113" t="n">
        <v>9714000</v>
      </c>
      <c r="AA140" s="112" t="n">
        <v>0.8</v>
      </c>
      <c r="AB140" s="108" t="inlineStr">
        <is>
          <t>none — no cornerstone tranche</t>
        </is>
      </c>
      <c r="AC140" s="108" t="inlineStr">
        <is>
          <t>none</t>
        </is>
      </c>
      <c r="AD140" s="112" t="n">
        <v>20</v>
      </c>
      <c r="AE140" s="108" t="inlineStr">
        <is>
          <t>partial</t>
        </is>
      </c>
      <c r="AF140" s="108" t="inlineStr">
        <is>
          <t>2022-10-28</t>
        </is>
      </c>
      <c r="AG140" s="108" t="inlineStr">
        <is>
          <t>Goldman Sachs</t>
        </is>
      </c>
      <c r="AH140" s="108" t="inlineStr">
        <is>
          <t>Goldman Sachs</t>
        </is>
      </c>
      <c r="AI140" s="120" t="n">
        <v>-1.11</v>
      </c>
      <c r="AJ140" s="121" t="n">
        <v>3.09</v>
      </c>
      <c r="AK140" s="121" t="n">
        <v>-1.37</v>
      </c>
      <c r="AL140" s="121" t="n">
        <v>-7.18</v>
      </c>
      <c r="AM140" s="121" t="n">
        <v>11.06</v>
      </c>
      <c r="AN140" s="122" t="n"/>
      <c r="AO140" s="112" t="n">
        <v>11.47</v>
      </c>
      <c r="AP140" s="121" t="n">
        <v>3.71</v>
      </c>
      <c r="AQ140" s="121" t="n">
        <v>77.59999999999999</v>
      </c>
      <c r="AR140" s="121" t="n">
        <v>54.7</v>
      </c>
      <c r="AS140" s="121" t="n">
        <v>0.6</v>
      </c>
      <c r="AT140" s="121" t="n">
        <v>72.28</v>
      </c>
      <c r="AU140" s="121" t="n">
        <v>50.06</v>
      </c>
      <c r="AV140" s="121" t="n">
        <v>7.04</v>
      </c>
      <c r="AW140" s="121" t="n">
        <v>65.25</v>
      </c>
      <c r="AX140" s="121" t="n">
        <v>35.21</v>
      </c>
      <c r="AY140" s="121" t="n">
        <v>58.37</v>
      </c>
      <c r="AZ140" s="121" t="n">
        <v>12.35</v>
      </c>
      <c r="BA140" s="121" t="n">
        <v>13.91</v>
      </c>
      <c r="BB140" s="108" t="inlineStr">
        <is>
          <t>China Biotech ETF (HS biotech proxy)</t>
        </is>
      </c>
      <c r="BC140" s="121" t="n">
        <v>-89.59999999999999</v>
      </c>
      <c r="BD140" s="109" t="n">
        <v>46297</v>
      </c>
      <c r="BE140" s="110" t="n">
        <v>1727.1</v>
      </c>
      <c r="BF140" s="113" t="n">
        <v>-667.4</v>
      </c>
      <c r="BG140" s="108" t="inlineStr">
        <is>
          <t>N</t>
        </is>
      </c>
      <c r="BH140" s="108" t="inlineStr">
        <is>
          <t>n/m</t>
        </is>
      </c>
      <c r="BI140" s="122" t="n"/>
      <c r="BJ140" s="122" t="n"/>
      <c r="BK140" s="123" t="n">
        <v>11.3</v>
      </c>
      <c r="BL140" s="124">
        <f>IF('BBG Verify'!S140="","not filed; run on terminal",'BBG Verify'!S140)</f>
        <v/>
      </c>
      <c r="BM140" s="125" t="inlineStr">
        <is>
          <t>N</t>
        </is>
      </c>
      <c r="BN140" s="126">
        <f>IF('BBG Verify'!K140="","not filed; run on terminal",'BBG Verify'!K140)</f>
        <v/>
      </c>
      <c r="BO140" s="108" t="inlineStr">
        <is>
          <t>N/A</t>
        </is>
      </c>
      <c r="BP140" s="108" t="inlineStr">
        <is>
          <t>N/A</t>
        </is>
      </c>
      <c r="BQ140" s="108" t="inlineStr">
        <is>
          <t>N/A</t>
        </is>
      </c>
      <c r="BR140" s="108" t="inlineStr">
        <is>
          <t>N/A</t>
        </is>
      </c>
      <c r="BS140" s="108" t="inlineStr">
        <is>
          <t>N/A</t>
        </is>
      </c>
      <c r="BT140" s="108" t="inlineStr">
        <is>
          <t>N/A</t>
        </is>
      </c>
      <c r="BU140" s="125" t="inlineStr">
        <is>
          <t>Goldman Sachs (Asia) L.L.C; China International Capital Corporation Hong Kong Securities Limited; China Securities (International) Corporate Finance Company Limited; Macquarie Capital Limited</t>
        </is>
      </c>
      <c r="BV140" s="108" t="inlineStr">
        <is>
          <t>China International Capital Corporation Hong Kong Securities Limited; Goldman Sachs (Asia) L.L.C.; China Securities (International) Corporate Finance Company Limited; Macquarie Capital Limited</t>
        </is>
      </c>
      <c r="BW140" s="108" t="inlineStr">
        <is>
          <t>Goldman Sachs (Asia) L.L.C; China International Capital Corporation Hong Kong Securities Limited; China Securities (International) Corporate Finance Company Limited; Macquarie Capital Limited; ICBC International Capital Limited; CMB International Capital Limited; Futu Securities International (Hong Kong) Limited; Tiger Brokers (HK) Global Limited</t>
        </is>
      </c>
      <c r="BX140" s="108" t="inlineStr">
        <is>
          <t>BOCI Asia Limited; China International Capital Corporation Hong Kong Securities Limited; CMB International Capital Limited; China Securities (International) Corporate Finance Company Limited; Futu Securities International (Hong Kong) Limited; Goldman Sachs (Asia) L.L.C.; ICBC International Securities Limited; Livermore Holdings Limited; Macquarie Capital Limited; Tiger Brokers (HK) Global Limited</t>
        </is>
      </c>
      <c r="BY140" s="127">
        <f>HYPERLINK("https://www1.hkexnews.hk/listedco/listconews/sehk/2022/0923/2022092300031.pdf","prospectus")</f>
        <v/>
      </c>
      <c r="BZ140" s="127">
        <f>HYPERLINK("https://www1.hkexnews.hk/listedco/listconews/sehk/2022/1005/2022100500006.htm","allotment")</f>
        <v/>
      </c>
      <c r="CA140" s="127">
        <f>HYPERLINK("https://www1.hkexnews.hk/listedco/listconews/sehk/2022/1028/2022102802169.pdf","stabilisation")</f>
        <v/>
      </c>
      <c r="CB140" s="128" t="n"/>
      <c r="CC140" s="108" t="inlineStr">
        <is>
          <t>P/E: loss-making at IPO, use P/S; range low: maximum offer price only, no floor published; cornerstone list: no cornerstone tranche; allocation: allocation table not in this notice's format (older prose announcement); day-1 tape: volume on file; the retail multiple needs the final public split, which this notice does not state</t>
        </is>
      </c>
    </row>
    <row r="141" ht="22" customHeight="1">
      <c r="A141" s="107" t="inlineStr">
        <is>
          <t>3931</t>
        </is>
      </c>
      <c r="B141" s="108" t="inlineStr">
        <is>
          <t>CALB</t>
        </is>
      </c>
      <c r="C141" s="108" t="inlineStr">
        <is>
          <t>中創新航</t>
        </is>
      </c>
      <c r="D141" s="108" t="inlineStr">
        <is>
          <t>Industrials</t>
        </is>
      </c>
      <c r="E141" s="108" t="inlineStr">
        <is>
          <t>Batteries / energy storage</t>
        </is>
      </c>
      <c r="F141" s="108" t="inlineStr">
        <is>
          <t>Battery Products</t>
        </is>
      </c>
      <c r="G141" s="108" t="inlineStr">
        <is>
          <t>Standard</t>
        </is>
      </c>
      <c r="H141" s="109" t="n">
        <v>44840</v>
      </c>
      <c r="I141" s="110" t="n">
        <v>9863.9</v>
      </c>
      <c r="J141" s="108" t="inlineStr">
        <is>
          <t>net proceeds</t>
        </is>
      </c>
      <c r="K141" s="111" t="n">
        <v>38</v>
      </c>
      <c r="L141" s="111" t="n">
        <v>51</v>
      </c>
      <c r="M141" s="111" t="n">
        <v>38</v>
      </c>
      <c r="N141" s="108" t="inlineStr">
        <is>
          <t>N</t>
        </is>
      </c>
      <c r="O141" s="112" t="n">
        <v>74.5</v>
      </c>
      <c r="P141" s="112" t="n">
        <v>0</v>
      </c>
      <c r="Q141" s="113" t="n">
        <v>67347.5</v>
      </c>
      <c r="R141" s="108" t="inlineStr">
        <is>
          <t>prospectus:stated market capitalisation</t>
        </is>
      </c>
      <c r="S141" s="114" t="n">
        <v>0.21</v>
      </c>
      <c r="T141" s="115" t="n">
        <v>2.11</v>
      </c>
      <c r="U141" s="116" t="n">
        <v>58.7</v>
      </c>
      <c r="V141" s="117" t="n">
        <v>127</v>
      </c>
      <c r="W141" s="112" t="n">
        <v>1.06</v>
      </c>
      <c r="X141" s="108" t="inlineStr">
        <is>
          <t>NO</t>
        </is>
      </c>
      <c r="Y141" s="113" t="n">
        <v>4073.79</v>
      </c>
      <c r="Z141" s="131" t="n"/>
      <c r="AA141" s="112" t="n">
        <v>6.05</v>
      </c>
      <c r="AB141" s="108" t="inlineStr">
        <is>
          <t>Changzhou Jingce New Energy Tech Co., Ltd; CNGR Hong Kong Material Science &amp; Technology Co., Limited; Hans Laser Technology Co., Limited; Hefei Beicheng Construction Investment (Group) Company Limited; Jiangmen New Energy; Jiangsu Pure Precision Technology Co., Ltd; Lv Lizhi; Tianqi Lithium HK Co., Limited; Tibet Nord Technology Co., Ltd; TMA International PTE. LTD; Wang Sing International Resources Limited; XING FA (HONG KONG) IMP.&amp;EXP. LIMITED; XPeng Inc; Zhenshi Group (HK) Heshi Composite Materials Co., Limited</t>
        </is>
      </c>
      <c r="AC141" s="108" t="inlineStr">
        <is>
          <t>changzhou;cngr;hans;hefei;jiangmen;jiangsu;lv;tianqi;tibet;tma;wang-sing;xing;xpeng;zhenshi</t>
        </is>
      </c>
      <c r="AD141" s="112" t="n">
        <v>14.32</v>
      </c>
      <c r="AE141" s="108" t="inlineStr">
        <is>
          <t>lapsed</t>
        </is>
      </c>
      <c r="AF141" s="108" t="inlineStr">
        <is>
          <t>2022-10-28</t>
        </is>
      </c>
      <c r="AG141" s="108" t="inlineStr">
        <is>
          <t>Huatai Financial Holdings</t>
        </is>
      </c>
      <c r="AH141" s="108" t="inlineStr">
        <is>
          <t>Huatai</t>
        </is>
      </c>
      <c r="AI141" s="120" t="n">
        <v>0</v>
      </c>
      <c r="AJ141" s="121" t="n">
        <v>0</v>
      </c>
      <c r="AK141" s="121" t="n">
        <v>-0.37</v>
      </c>
      <c r="AL141" s="121" t="n">
        <v>0</v>
      </c>
      <c r="AM141" s="121" t="n">
        <v>0</v>
      </c>
      <c r="AN141" s="123" t="n">
        <v>16.74</v>
      </c>
      <c r="AO141" s="112" t="n">
        <v>3.42</v>
      </c>
      <c r="AP141" s="121" t="n">
        <v>-2.63</v>
      </c>
      <c r="AQ141" s="121" t="n">
        <v>-37.76</v>
      </c>
      <c r="AR141" s="121" t="n">
        <v>-45.79</v>
      </c>
      <c r="AS141" s="121" t="n">
        <v>-2.63</v>
      </c>
      <c r="AT141" s="121" t="n">
        <v>-37.76</v>
      </c>
      <c r="AU141" s="121" t="n">
        <v>-45.79</v>
      </c>
      <c r="AV141" s="121" t="n">
        <v>8.5</v>
      </c>
      <c r="AW141" s="121" t="n">
        <v>-26.11</v>
      </c>
      <c r="AX141" s="121" t="n">
        <v>-60.24</v>
      </c>
      <c r="AY141" s="121" t="n">
        <v>-26.44</v>
      </c>
      <c r="AZ141" s="121" t="n">
        <v>-11.65</v>
      </c>
      <c r="BA141" s="121" t="n">
        <v>-11.32</v>
      </c>
      <c r="BB141" s="108" t="inlineStr">
        <is>
          <t>Hang Seng Commerce &amp; Industry sub-index</t>
        </is>
      </c>
      <c r="BC141" s="121" t="n">
        <v>-57.63</v>
      </c>
      <c r="BD141" s="109" t="n">
        <v>46297</v>
      </c>
      <c r="BE141" s="110" t="n">
        <v>7498.8</v>
      </c>
      <c r="BF141" s="131" t="n"/>
      <c r="BG141" s="108" t="inlineStr">
        <is>
          <t>Y</t>
        </is>
      </c>
      <c r="BH141" s="124">
        <f>IF('BBG Verify'!O141="","not filed; run on terminal",'BBG Verify'!O141)</f>
        <v/>
      </c>
      <c r="BI141" s="122" t="n"/>
      <c r="BJ141" s="123" t="n">
        <v>20.7</v>
      </c>
      <c r="BK141" s="123" t="n">
        <v>9</v>
      </c>
      <c r="BL141" s="124">
        <f>IF('BBG Verify'!S141="","not filed; run on terminal",'BBG Verify'!S141)</f>
        <v/>
      </c>
      <c r="BM141" s="125" t="inlineStr">
        <is>
          <t>N</t>
        </is>
      </c>
      <c r="BN141" s="126">
        <f>IF('BBG Verify'!K141="","not filed; run on terminal",'BBG Verify'!K141)</f>
        <v/>
      </c>
      <c r="BO141" s="108" t="inlineStr">
        <is>
          <t>N/A</t>
        </is>
      </c>
      <c r="BP141" s="108" t="inlineStr">
        <is>
          <t>N/A</t>
        </is>
      </c>
      <c r="BQ141" s="108" t="inlineStr">
        <is>
          <t>N/A</t>
        </is>
      </c>
      <c r="BR141" s="108" t="inlineStr">
        <is>
          <t>N/A</t>
        </is>
      </c>
      <c r="BS141" s="108" t="inlineStr">
        <is>
          <t>N/A</t>
        </is>
      </c>
      <c r="BT141" s="108" t="inlineStr">
        <is>
          <t>N/A</t>
        </is>
      </c>
      <c r="BU141" s="125" t="inlineStr">
        <is>
          <t>OC Huatai Financial Holdings (Hong Kong) Limited</t>
        </is>
      </c>
      <c r="BV141" s="108" t="inlineStr">
        <is>
          <t>Huatai Financial Holdings (Hong Kong) Limited</t>
        </is>
      </c>
      <c r="BW141" s="108" t="inlineStr">
        <is>
          <t>Huatai Financial Holdings (Hong Kong) Limited; J.P. Morgan Securities (Asia Pacific) Limited; Citigroup Global Markets Asia Limited</t>
        </is>
      </c>
      <c r="BX141" s="108" t="inlineStr">
        <is>
          <t>Citigroup Global Markets Asia Limited; Credit Suisse (Hong Kong) Limited; Futu Securities International (Hong Kong) Limited; Huatai Financial Holdings (Hong Kong) Limited; J.P. Morgan Securities (Asia Pacific) Limited</t>
        </is>
      </c>
      <c r="BY141" s="127">
        <f>HYPERLINK("https://www1.hkexnews.hk/listedco/listconews/sehk/2022/0923/2022092300035.pdf","prospectus")</f>
        <v/>
      </c>
      <c r="BZ141" s="127">
        <f>HYPERLINK("https://www1.hkexnews.hk/listedco/listconews/sehk/2022/1005/2022100500028.htm","allotment")</f>
        <v/>
      </c>
      <c r="CA141" s="127">
        <f>HYPERLINK("https://www1.hkexnews.hk/listedco/listconews/sehk/2022/1028/2022102801659.pdf","stabilisation")</f>
        <v/>
      </c>
      <c r="CB141" s="128" t="n"/>
      <c r="CC141" s="108" t="inlineStr">
        <is>
          <t>P/E: withheld: 549x fails the 300x plausibility cap; extracted net income HK$122.7m suspect; cornerstone: table parse 93% rejected (institutional total implies 58%); the filed aggregate-amount sentence used; financials: not extractable; pre-IPO year outside the AAStocks window; eff float shares: share count unavailable; the HK$m figure is exact</t>
        </is>
      </c>
    </row>
    <row r="142" ht="22" customHeight="1">
      <c r="A142" s="107" t="inlineStr">
        <is>
          <t>9877</t>
        </is>
      </c>
      <c r="B142" s="108" t="inlineStr">
        <is>
          <t>JENSCARE-B</t>
        </is>
      </c>
      <c r="C142" s="108" t="inlineStr">
        <is>
          <t>健世科技－Ｂ</t>
        </is>
      </c>
      <c r="D142" s="108" t="inlineStr">
        <is>
          <t>Healthcare</t>
        </is>
      </c>
      <c r="E142" s="108" t="inlineStr">
        <is>
          <t>Medical devices</t>
        </is>
      </c>
      <c r="F142" s="108" t="inlineStr">
        <is>
          <t>Biotechnology - Medical Devices</t>
        </is>
      </c>
      <c r="G142" s="108" t="inlineStr">
        <is>
          <t>18A</t>
        </is>
      </c>
      <c r="H142" s="109" t="n">
        <v>44844</v>
      </c>
      <c r="I142" s="110" t="n">
        <v>224.5</v>
      </c>
      <c r="J142" s="108" t="inlineStr">
        <is>
          <t>gross (price x shares)</t>
        </is>
      </c>
      <c r="K142" s="111" t="n">
        <v>26.7</v>
      </c>
      <c r="L142" s="111" t="n">
        <v>28.8</v>
      </c>
      <c r="M142" s="111" t="n">
        <v>27.8</v>
      </c>
      <c r="N142" s="108" t="inlineStr">
        <is>
          <t>N</t>
        </is>
      </c>
      <c r="O142" s="112" t="n">
        <v>96.5</v>
      </c>
      <c r="P142" s="112" t="n">
        <v>52.4</v>
      </c>
      <c r="Q142" s="113" t="n">
        <v>10751.6</v>
      </c>
      <c r="R142" s="108" t="inlineStr">
        <is>
          <t>prospectus:stated market capitalisation, rescaled to the offer price</t>
        </is>
      </c>
      <c r="S142" s="114" t="n">
        <v>1.52</v>
      </c>
      <c r="T142" s="115" t="n">
        <v>1.19</v>
      </c>
      <c r="U142" s="116" t="n">
        <v>77.7</v>
      </c>
      <c r="V142" s="117" t="n">
        <v>114</v>
      </c>
      <c r="W142" s="118" t="n"/>
      <c r="X142" s="119" t="n"/>
      <c r="Y142" s="113" t="n">
        <v>50.06</v>
      </c>
      <c r="Z142" s="113" t="n">
        <v>1801037</v>
      </c>
      <c r="AA142" s="112" t="n">
        <v>0.47</v>
      </c>
      <c r="AB142" s="108" t="inlineStr">
        <is>
          <t>LifeTech Scientific Corporation</t>
        </is>
      </c>
      <c r="AC142" s="108" t="inlineStr">
        <is>
          <t>lifetech</t>
        </is>
      </c>
      <c r="AD142" s="112" t="n">
        <v>17.32</v>
      </c>
      <c r="AE142" s="108" t="inlineStr">
        <is>
          <t>lapsed</t>
        </is>
      </c>
      <c r="AF142" s="108" t="inlineStr">
        <is>
          <t>2022-10-29</t>
        </is>
      </c>
      <c r="AG142" s="108" t="inlineStr">
        <is>
          <t>China International Capital Corporation Hong Kong Securities Limited</t>
        </is>
      </c>
      <c r="AH142" s="108" t="inlineStr">
        <is>
          <t>China International</t>
        </is>
      </c>
      <c r="AI142" s="120" t="n">
        <v>0.72</v>
      </c>
      <c r="AJ142" s="121" t="n">
        <v>1.62</v>
      </c>
      <c r="AK142" s="121" t="n">
        <v>-2.3</v>
      </c>
      <c r="AL142" s="121" t="n">
        <v>0.72</v>
      </c>
      <c r="AM142" s="121" t="n">
        <v>0.89</v>
      </c>
      <c r="AN142" s="122" t="n"/>
      <c r="AO142" s="112" t="n">
        <v>9.640000000000001</v>
      </c>
      <c r="AP142" s="121" t="n">
        <v>0.54</v>
      </c>
      <c r="AQ142" s="121" t="n">
        <v>11.51</v>
      </c>
      <c r="AR142" s="121" t="n">
        <v>28.42</v>
      </c>
      <c r="AS142" s="121" t="n">
        <v>-1.06</v>
      </c>
      <c r="AT142" s="121" t="n">
        <v>9.73</v>
      </c>
      <c r="AU142" s="121" t="n">
        <v>26.37</v>
      </c>
      <c r="AV142" s="121" t="n">
        <v>-7.07</v>
      </c>
      <c r="AW142" s="121" t="n">
        <v>-4.32</v>
      </c>
      <c r="AX142" s="121" t="n">
        <v>4.05</v>
      </c>
      <c r="AY142" s="121" t="n">
        <v>-8.83</v>
      </c>
      <c r="AZ142" s="121" t="n">
        <v>15.83</v>
      </c>
      <c r="BA142" s="121" t="n">
        <v>18.56</v>
      </c>
      <c r="BB142" s="108" t="inlineStr">
        <is>
          <t>China Biotech ETF (HS biotech proxy)</t>
        </is>
      </c>
      <c r="BC142" s="121" t="n">
        <v>-73.40000000000001</v>
      </c>
      <c r="BD142" s="109" t="n">
        <v>46297</v>
      </c>
      <c r="BE142" s="110" t="n">
        <v>172.8</v>
      </c>
      <c r="BF142" s="113" t="n">
        <v>59.7</v>
      </c>
      <c r="BG142" s="108" t="inlineStr">
        <is>
          <t>Y</t>
        </is>
      </c>
      <c r="BH142" s="123" t="n">
        <v>180.1</v>
      </c>
      <c r="BI142" s="122" t="n"/>
      <c r="BJ142" s="122" t="n"/>
      <c r="BK142" s="123" t="n">
        <v>62.2</v>
      </c>
      <c r="BL142" s="124">
        <f>IF('BBG Verify'!S142="","not filed; run on terminal",'BBG Verify'!S142)</f>
        <v/>
      </c>
      <c r="BM142" s="125" t="inlineStr">
        <is>
          <t>N</t>
        </is>
      </c>
      <c r="BN142" s="126">
        <f>IF('BBG Verify'!K142="","not filed; run on terminal",'BBG Verify'!K142)</f>
        <v/>
      </c>
      <c r="BO142" s="108" t="inlineStr">
        <is>
          <t>N/A</t>
        </is>
      </c>
      <c r="BP142" s="108" t="inlineStr">
        <is>
          <t>N/A</t>
        </is>
      </c>
      <c r="BQ142" s="108" t="inlineStr">
        <is>
          <t>N/A</t>
        </is>
      </c>
      <c r="BR142" s="108" t="inlineStr">
        <is>
          <t>N/A</t>
        </is>
      </c>
      <c r="BS142" s="108" t="inlineStr">
        <is>
          <t>N/A</t>
        </is>
      </c>
      <c r="BT142" s="108" t="inlineStr">
        <is>
          <t>N/A</t>
        </is>
      </c>
      <c r="BU142" s="125" t="inlineStr">
        <is>
          <t>China International Capital Corporation Hong Kong Securities Limited; Citigroup Global Markets Asia Limited</t>
        </is>
      </c>
      <c r="BV142" s="108" t="inlineStr">
        <is>
          <t>China International Capital Corporation Hong Kong Securities Limited; Citigroup Global Markets Asia Limited</t>
        </is>
      </c>
      <c r="BW142" s="108" t="inlineStr">
        <is>
          <t>China International Capital Corporation Hong Kong Securities Limited; Citigroup Global Markets Asia Limited; Huatai Financial Holdings (Hong Kong) Limited; ABCI Capital Limited; Citigroup Global Markets Limited; 115 – Huatai Financial Holdings (Hong Kong) Limited; BOCOM International Securities Limited; Futu Securities International (Hong Kong) Limited; Tiger Brokers (HK) Global Limited</t>
        </is>
      </c>
      <c r="BX142" s="108" t="inlineStr">
        <is>
          <t>ABCI Capital Limited; Beta International Securities Limited; Citigroup Global Markets Asia Limited; China International Capital Corporation Hong Kong Securities Limited; Futu Securities International (Hong Kong) Limited; Huatai Financial Holdings (Hong Kong) Limited; Silverbricks Securities Company Limited; Tiger Brokers (HK) Global Limited</t>
        </is>
      </c>
      <c r="BY142" s="127">
        <f>HYPERLINK("https://www1.hkexnews.hk/listedco/listconews/sehk/2022/0923/2022092300017.pdf","prospectus")</f>
        <v/>
      </c>
      <c r="BZ142" s="127">
        <f>HYPERLINK("https://www1.hkexnews.hk/listedco/listconews/sehk/2022/1007/2022100700012.htm","allotment")</f>
        <v/>
      </c>
      <c r="CA142" s="127">
        <f>HYPERLINK("https://www1.hkexnews.hk/listedco/listconews/sehk/2022/1031/2022103100005.pdf","stabilisation")</f>
        <v/>
      </c>
      <c r="CB142" s="128" t="n"/>
      <c r="CC142" s="108" t="inlineStr">
        <is>
          <t>market cap: prospectus cap HK$11,138m at HK$28.80, rescaled to HK$27.80; deal size: stated gross HK$32.2m rejected; 8,076,400 offer shares at HK$27.80 = HK$224.5m; allocation: allocation table not in this notice's format (older prose announcement); day-1 tape: volume on file; the retail multiple needs the final public split, which this notice does not state</t>
        </is>
      </c>
    </row>
    <row r="143" ht="22" customHeight="1">
      <c r="A143" s="107" t="inlineStr">
        <is>
          <t>1489</t>
        </is>
      </c>
      <c r="B143" s="108" t="inlineStr">
        <is>
          <t>GC CONSTRUCTION</t>
        </is>
      </c>
      <c r="C143" s="108" t="inlineStr">
        <is>
          <t>GC CONSTRUCTION</t>
        </is>
      </c>
      <c r="D143" s="108" t="inlineStr">
        <is>
          <t>Industrials</t>
        </is>
      </c>
      <c r="E143" s="108" t="inlineStr">
        <is>
          <t>Construction / engineering</t>
        </is>
      </c>
      <c r="F143" s="108" t="inlineStr">
        <is>
          <t>Building Construction</t>
        </is>
      </c>
      <c r="G143" s="108" t="inlineStr">
        <is>
          <t>Standard</t>
        </is>
      </c>
      <c r="H143" s="109" t="n">
        <v>44844</v>
      </c>
      <c r="I143" s="110" t="n">
        <v>125</v>
      </c>
      <c r="J143" s="108" t="inlineStr">
        <is>
          <t>gross (price x shares)</t>
        </is>
      </c>
      <c r="K143" s="129" t="n"/>
      <c r="L143" s="111" t="n">
        <v>0.54</v>
      </c>
      <c r="M143" s="111" t="n">
        <v>0.5</v>
      </c>
      <c r="N143" s="108" t="inlineStr">
        <is>
          <t>N</t>
        </is>
      </c>
      <c r="O143" s="112" t="n">
        <v>92.59999999999999</v>
      </c>
      <c r="P143" s="118" t="n"/>
      <c r="Q143" s="113" t="n">
        <v>537</v>
      </c>
      <c r="R143" s="108" t="inlineStr">
        <is>
          <t>aastocks:上市市值 at the struck price</t>
        </is>
      </c>
      <c r="S143" s="114" t="n">
        <v>7.58</v>
      </c>
      <c r="T143" s="115" t="n">
        <v>1.04</v>
      </c>
      <c r="U143" s="116" t="n">
        <v>16</v>
      </c>
      <c r="V143" s="117" t="n">
        <v>133</v>
      </c>
      <c r="W143" s="118" t="n"/>
      <c r="X143" s="119" t="n"/>
      <c r="Y143" s="113" t="n">
        <v>105</v>
      </c>
      <c r="Z143" s="113" t="n">
        <v>210000000</v>
      </c>
      <c r="AA143" s="112" t="n">
        <v>19.55</v>
      </c>
      <c r="AB143" s="108" t="inlineStr">
        <is>
          <t>Chu Kin Lan; Infinitus Wealth Limited</t>
        </is>
      </c>
      <c r="AC143" s="108" t="inlineStr">
        <is>
          <t>chu;infinitus</t>
        </is>
      </c>
      <c r="AD143" s="118" t="n"/>
      <c r="AE143" s="119" t="n"/>
      <c r="AF143" s="119" t="n"/>
      <c r="AG143" s="108" t="inlineStr">
        <is>
          <t>China Tonghai Securities Limited</t>
        </is>
      </c>
      <c r="AH143" s="108" t="inlineStr">
        <is>
          <t>China Tonghai</t>
        </is>
      </c>
      <c r="AI143" s="120" t="n">
        <v>24</v>
      </c>
      <c r="AJ143" s="121" t="n">
        <v>10</v>
      </c>
      <c r="AK143" s="121" t="n">
        <v>-3.69</v>
      </c>
      <c r="AL143" s="121" t="n">
        <v>24</v>
      </c>
      <c r="AM143" s="121" t="n">
        <v>-11.29</v>
      </c>
      <c r="AN143" s="122" t="n"/>
      <c r="AO143" s="112" t="n">
        <v>24.19</v>
      </c>
      <c r="AP143" s="121" t="n">
        <v>2</v>
      </c>
      <c r="AQ143" s="121" t="n">
        <v>8</v>
      </c>
      <c r="AR143" s="121" t="n">
        <v>0</v>
      </c>
      <c r="AS143" s="121" t="n">
        <v>-7.27</v>
      </c>
      <c r="AT143" s="121" t="n">
        <v>-1.82</v>
      </c>
      <c r="AU143" s="121" t="n">
        <v>-9.09</v>
      </c>
      <c r="AV143" s="121" t="n">
        <v>10.1</v>
      </c>
      <c r="AW143" s="121" t="n">
        <v>16.15</v>
      </c>
      <c r="AX143" s="121" t="n">
        <v>-20.19</v>
      </c>
      <c r="AY143" s="121" t="n">
        <v>2.81</v>
      </c>
      <c r="AZ143" s="121" t="n">
        <v>-8.15</v>
      </c>
      <c r="BA143" s="121" t="n">
        <v>-4.63</v>
      </c>
      <c r="BB143" s="108" t="inlineStr">
        <is>
          <t>Hang Seng Commerce &amp; Industry sub-index</t>
        </is>
      </c>
      <c r="BC143" s="121" t="n">
        <v>660</v>
      </c>
      <c r="BD143" s="109" t="n">
        <v>46297</v>
      </c>
      <c r="BE143" s="110" t="n">
        <v>440.4</v>
      </c>
      <c r="BF143" s="113" t="n">
        <v>46</v>
      </c>
      <c r="BG143" s="108" t="inlineStr">
        <is>
          <t>Y</t>
        </is>
      </c>
      <c r="BH143" s="123" t="n">
        <v>11.7</v>
      </c>
      <c r="BI143" s="122" t="n"/>
      <c r="BJ143" s="122" t="n"/>
      <c r="BK143" s="123" t="n">
        <v>1.2</v>
      </c>
      <c r="BL143" s="124">
        <f>IF('BBG Verify'!S143="","not filed; run on terminal",'BBG Verify'!S143)</f>
        <v/>
      </c>
      <c r="BM143" s="125" t="inlineStr">
        <is>
          <t>N</t>
        </is>
      </c>
      <c r="BN143" s="126">
        <f>IF('BBG Verify'!K143="","not filed; run on terminal",'BBG Verify'!K143)</f>
        <v/>
      </c>
      <c r="BO143" s="108" t="inlineStr">
        <is>
          <t>N/A</t>
        </is>
      </c>
      <c r="BP143" s="108" t="inlineStr">
        <is>
          <t>N/A</t>
        </is>
      </c>
      <c r="BQ143" s="108" t="inlineStr">
        <is>
          <t>N/A</t>
        </is>
      </c>
      <c r="BR143" s="108" t="inlineStr">
        <is>
          <t>N/A</t>
        </is>
      </c>
      <c r="BS143" s="108" t="inlineStr">
        <is>
          <t>N/A</t>
        </is>
      </c>
      <c r="BT143" s="108" t="inlineStr">
        <is>
          <t>N/A</t>
        </is>
      </c>
      <c r="BU143" s="125" t="inlineStr">
        <is>
          <t>Grande Capital Limited</t>
        </is>
      </c>
      <c r="BV143" s="108" t="inlineStr">
        <is>
          <t>Grande Capital Limited</t>
        </is>
      </c>
      <c r="BW143" s="108" t="inlineStr">
        <is>
          <t>China Tonghai Securities Limited; Realord Asia Pacific Securities Limited</t>
        </is>
      </c>
      <c r="BX143" s="108" t="inlineStr">
        <is>
          <t>China Tonghai Securities Limited; CSFG International Securities Limited; Chief Securities Limited; Realord Asia Pacific Securities Limited; Sinomax Securities Limited</t>
        </is>
      </c>
      <c r="BY143" s="127">
        <f>HYPERLINK("https://www1.hkexnews.hk/listedco/listconews/sehk/2022/0923/2022092300044.htm","prospectus")</f>
        <v/>
      </c>
      <c r="BZ143" s="127">
        <f>HYPERLINK("https://www1.hkexnews.hk/listedco/listconews/sehk/2022/1007/2022100700042.htm","allotment")</f>
        <v/>
      </c>
      <c r="CA143" s="119" t="n"/>
      <c r="CB143" s="128" t="n"/>
      <c r="CC143" s="108" t="inlineStr">
        <is>
          <t>greenshoe: no over-allotment option; range low: maximum offer price only, no floor published; sponsor: English name not in the filing; AAStocks 保薦人 shown; cornerstone %: upper bound: AAStocks institutional total / deal size; greenshoe size: no over-allotment option; allocation: allocation table not in this notice's format (older prose announcement); day-1 tape: volume on file; the retail multiple needs the final public split, which this notice does not state</t>
        </is>
      </c>
    </row>
    <row r="144" ht="22" customHeight="1">
      <c r="A144" s="107" t="inlineStr">
        <is>
          <t>2422</t>
        </is>
      </c>
      <c r="B144" s="108" t="inlineStr">
        <is>
          <t>REGO INTERACT</t>
        </is>
      </c>
      <c r="C144" s="108" t="inlineStr">
        <is>
          <t>潤歌互動</t>
        </is>
      </c>
      <c r="D144" s="108" t="inlineStr">
        <is>
          <t>TMT-other</t>
        </is>
      </c>
      <c r="E144" s="108" t="inlineStr">
        <is>
          <t>Media / advertising</t>
        </is>
      </c>
      <c r="F144" s="108" t="inlineStr">
        <is>
          <t>Advertising</t>
        </is>
      </c>
      <c r="G144" s="108" t="inlineStr">
        <is>
          <t>Standard</t>
        </is>
      </c>
      <c r="H144" s="109" t="n">
        <v>44851</v>
      </c>
      <c r="I144" s="110" t="n">
        <v>160</v>
      </c>
      <c r="J144" s="108" t="inlineStr">
        <is>
          <t>gross (price x shares)</t>
        </is>
      </c>
      <c r="K144" s="111" t="n">
        <v>0.64</v>
      </c>
      <c r="L144" s="111" t="n">
        <v>0.8</v>
      </c>
      <c r="M144" s="111" t="n">
        <v>0.64</v>
      </c>
      <c r="N144" s="108" t="inlineStr">
        <is>
          <t>N</t>
        </is>
      </c>
      <c r="O144" s="112" t="n">
        <v>80</v>
      </c>
      <c r="P144" s="112" t="n">
        <v>0</v>
      </c>
      <c r="Q144" s="113" t="n">
        <v>577.4</v>
      </c>
      <c r="R144" s="108" t="inlineStr">
        <is>
          <t>derived:deal size / offer % of enlarged capital</t>
        </is>
      </c>
      <c r="S144" s="114" t="n">
        <v>14.1</v>
      </c>
      <c r="T144" s="115" t="n">
        <v>1.37</v>
      </c>
      <c r="U144" s="116" t="n">
        <v>9.4</v>
      </c>
      <c r="V144" s="117" t="n">
        <v>141</v>
      </c>
      <c r="W144" s="118" t="n"/>
      <c r="X144" s="119" t="n"/>
      <c r="Y144" s="113" t="n">
        <v>144.96</v>
      </c>
      <c r="Z144" s="113" t="n">
        <v>226500000</v>
      </c>
      <c r="AA144" s="112" t="n">
        <v>25.11</v>
      </c>
      <c r="AB144" s="108" t="inlineStr">
        <is>
          <t>Fighton Asia Master Fund Limited</t>
        </is>
      </c>
      <c r="AC144" s="108" t="inlineStr">
        <is>
          <t>fighton</t>
        </is>
      </c>
      <c r="AD144" s="112" t="n">
        <v>10</v>
      </c>
      <c r="AE144" s="108" t="inlineStr">
        <is>
          <t>lapsed (no over-allocation)</t>
        </is>
      </c>
      <c r="AF144" s="119" t="n"/>
      <c r="AG144" s="108" t="inlineStr">
        <is>
          <t>CMBC Securities Company Limited</t>
        </is>
      </c>
      <c r="AH144" s="108" t="inlineStr">
        <is>
          <t>CMBC</t>
        </is>
      </c>
      <c r="AI144" s="120" t="n">
        <v>53.12</v>
      </c>
      <c r="AJ144" s="121" t="n">
        <v>110.94</v>
      </c>
      <c r="AK144" s="121" t="n">
        <v>0.15</v>
      </c>
      <c r="AL144" s="121" t="n">
        <v>103.12</v>
      </c>
      <c r="AM144" s="121" t="n">
        <v>3.85</v>
      </c>
      <c r="AN144" s="122" t="n"/>
      <c r="AO144" s="112" t="n">
        <v>44.62</v>
      </c>
      <c r="AP144" s="121" t="n">
        <v>218.75</v>
      </c>
      <c r="AQ144" s="121" t="n">
        <v>314.06</v>
      </c>
      <c r="AR144" s="121" t="n">
        <v>284.38</v>
      </c>
      <c r="AS144" s="121" t="n">
        <v>51.11</v>
      </c>
      <c r="AT144" s="121" t="n">
        <v>96.29000000000001</v>
      </c>
      <c r="AU144" s="121" t="n">
        <v>82.22</v>
      </c>
      <c r="AV144" s="121" t="n">
        <v>227.23</v>
      </c>
      <c r="AW144" s="121" t="n">
        <v>303.48</v>
      </c>
      <c r="AX144" s="121" t="n">
        <v>254.3</v>
      </c>
      <c r="AY144" s="121" t="n">
        <v>85.88</v>
      </c>
      <c r="AZ144" s="121" t="n">
        <v>10.58</v>
      </c>
      <c r="BA144" s="121" t="n">
        <v>10.41</v>
      </c>
      <c r="BB144" s="108" t="inlineStr">
        <is>
          <t>Hang Seng Index</t>
        </is>
      </c>
      <c r="BC144" s="121" t="n">
        <v>223.44</v>
      </c>
      <c r="BD144" s="109" t="n">
        <v>46297</v>
      </c>
      <c r="BE144" s="110" t="n">
        <v>241.5</v>
      </c>
      <c r="BF144" s="113" t="n">
        <v>55</v>
      </c>
      <c r="BG144" s="108" t="inlineStr">
        <is>
          <t>Y</t>
        </is>
      </c>
      <c r="BH144" s="123" t="n">
        <v>10.5</v>
      </c>
      <c r="BI144" s="122" t="n"/>
      <c r="BJ144" s="122" t="n"/>
      <c r="BK144" s="123" t="n">
        <v>2.4</v>
      </c>
      <c r="BL144" s="124">
        <f>IF('BBG Verify'!S144="","not filed; run on terminal",'BBG Verify'!S144)</f>
        <v/>
      </c>
      <c r="BM144" s="125" t="inlineStr">
        <is>
          <t>N</t>
        </is>
      </c>
      <c r="BN144" s="126">
        <f>IF('BBG Verify'!K144="","not filed; run on terminal",'BBG Verify'!K144)</f>
        <v/>
      </c>
      <c r="BO144" s="108" t="inlineStr">
        <is>
          <t>N/A</t>
        </is>
      </c>
      <c r="BP144" s="108" t="inlineStr">
        <is>
          <t>N/A</t>
        </is>
      </c>
      <c r="BQ144" s="108" t="inlineStr">
        <is>
          <t>N/A</t>
        </is>
      </c>
      <c r="BR144" s="108" t="inlineStr">
        <is>
          <t>N/A</t>
        </is>
      </c>
      <c r="BS144" s="108" t="inlineStr">
        <is>
          <t>N/A</t>
        </is>
      </c>
      <c r="BT144" s="108" t="inlineStr">
        <is>
          <t>N/A</t>
        </is>
      </c>
      <c r="BU144" s="125" t="inlineStr">
        <is>
          <t>CMBC International Capital Limited</t>
        </is>
      </c>
      <c r="BV144" s="108" t="inlineStr">
        <is>
          <t>CMBC International Capital Limited</t>
        </is>
      </c>
      <c r="BW144" s="108" t="inlineStr">
        <is>
          <t>CMBC Securities Company Limited; China Galaxy International Securities (Hong Kong) Co., Limited; Alpha International Securities (HONG KONG) Limited; Zheshang International Financial Holdings Co., Limited; Blackwell Global Securities Limited; ABCI Capital Limited; BOCOM International Securities Limited; CCB International Capital Limited; China Everbright Securities (HK) Limited; Zhongtai International Securities Limited; SBI China Capital Financial Services Limited; Shenwan Hongyuan Securities (H.K.) Limited</t>
        </is>
      </c>
      <c r="BX144" s="108" t="inlineStr">
        <is>
          <t>ABCI Capital Limited; ABCI Securities Company Limited; Alpha International Securities (HK) Limited; Beta International Securities Limited; Blackwell Global Securities Limited; CCB International Capital Limited; China Everbright Securities (HK) Limited; China Galaxy International Securities (Hong Kong) Company Limited; China Industrial Securities International Capital Limited; CMBC Securities Company Limited; Guotai Junan Securities (Hong Kong) Limited; Livermore Holdings Limited</t>
        </is>
      </c>
      <c r="BY144" s="127">
        <f>HYPERLINK("https://www1.hkexnews.hk/listedco/listconews/sehk/2022/0930/2022093000075.pdf","prospectus")</f>
        <v/>
      </c>
      <c r="BZ144" s="127">
        <f>HYPERLINK("https://www1.hkexnews.hk/listedco/listconews/sehk/2022/1014/2022101400042.htm","allotment")</f>
        <v/>
      </c>
      <c r="CA144" s="127">
        <f>HYPERLINK("https://www1.hkexnews.hk/listedco/listconews/sehk/2022/1106/2022110600015.pdf","stabilisation")</f>
        <v/>
      </c>
      <c r="CB144" s="128" t="n"/>
      <c r="CC144" s="108" t="inlineStr">
        <is>
          <t>greenshoe: outcome published; expiry date not in the notice; returns: returns exclude the entitlement value of 2022-11 UNVERIFIED entitlement-class adjustment; Bloomberg back-adjusts by x1.194; allocation: allocation table not in this notice's format (older prose announcement); day-1 tape: volume on file; the retail multiple needs the final public split, which this notice does not state</t>
        </is>
      </c>
    </row>
    <row r="145" ht="22" customHeight="1">
      <c r="A145" s="107" t="inlineStr">
        <is>
          <t>6610</t>
        </is>
      </c>
      <c r="B145" s="108" t="inlineStr">
        <is>
          <t>FLOWING CLOUD</t>
        </is>
      </c>
      <c r="C145" s="108" t="inlineStr">
        <is>
          <t>飛天雲動</t>
        </is>
      </c>
      <c r="D145" s="108" t="inlineStr">
        <is>
          <t>TMT-other</t>
        </is>
      </c>
      <c r="E145" s="108" t="inlineStr">
        <is>
          <t>Media / advertising</t>
        </is>
      </c>
      <c r="F145" s="108" t="inlineStr">
        <is>
          <t>Systems Software</t>
        </is>
      </c>
      <c r="G145" s="108" t="inlineStr">
        <is>
          <t>Standard</t>
        </is>
      </c>
      <c r="H145" s="109" t="n">
        <v>44852</v>
      </c>
      <c r="I145" s="110" t="n">
        <v>600</v>
      </c>
      <c r="J145" s="108" t="inlineStr">
        <is>
          <t>gross (price x shares)</t>
        </is>
      </c>
      <c r="K145" s="111" t="n">
        <v>2.21</v>
      </c>
      <c r="L145" s="111" t="n">
        <v>2.88</v>
      </c>
      <c r="M145" s="111" t="n">
        <v>2.21</v>
      </c>
      <c r="N145" s="108" t="inlineStr">
        <is>
          <t>N</t>
        </is>
      </c>
      <c r="O145" s="112" t="n">
        <v>76.7</v>
      </c>
      <c r="P145" s="112" t="n">
        <v>0</v>
      </c>
      <c r="Q145" s="113" t="n">
        <v>4930.7</v>
      </c>
      <c r="R145" s="108" t="inlineStr">
        <is>
          <t>aastocks:上市市值 at the struck price</t>
        </is>
      </c>
      <c r="S145" s="114" t="n">
        <v>1.05</v>
      </c>
      <c r="T145" s="115" t="n">
        <v>1.07</v>
      </c>
      <c r="U145" s="116" t="n">
        <v>14.7</v>
      </c>
      <c r="V145" s="117" t="n">
        <v>138</v>
      </c>
      <c r="W145" s="118" t="n"/>
      <c r="X145" s="119" t="n"/>
      <c r="Y145" s="113" t="n">
        <v>511.8</v>
      </c>
      <c r="Z145" s="113" t="n">
        <v>231589500</v>
      </c>
      <c r="AA145" s="112" t="n">
        <v>10.38</v>
      </c>
      <c r="AB145" s="108" t="inlineStr">
        <is>
          <t>Anji Guorong Construction Co., Ltd; Anji Qicai Lingfeng Rural Tourism Investment Co., Ltd; SensePower Management Limited; TradeGo FinTech Limited; Zhejiang Tianzihu Industry Investment Co., Ltd</t>
        </is>
      </c>
      <c r="AC145" s="108" t="inlineStr">
        <is>
          <t>anji;sensepower;tradego;zhejiang</t>
        </is>
      </c>
      <c r="AD145" s="112" t="n">
        <v>16.87</v>
      </c>
      <c r="AE145" s="108" t="inlineStr">
        <is>
          <t>lapsed</t>
        </is>
      </c>
      <c r="AF145" s="108" t="inlineStr">
        <is>
          <t>2022-11-06</t>
        </is>
      </c>
      <c r="AG145" s="108" t="inlineStr">
        <is>
          <t>Shenwan Hongyuan Securities</t>
        </is>
      </c>
      <c r="AH145" s="108" t="inlineStr">
        <is>
          <t>Shenwan Hongyuan</t>
        </is>
      </c>
      <c r="AI145" s="120" t="n">
        <v>-4.52</v>
      </c>
      <c r="AJ145" s="121" t="n">
        <v>-4.07</v>
      </c>
      <c r="AK145" s="121" t="n">
        <v>1.82</v>
      </c>
      <c r="AL145" s="121" t="n">
        <v>0</v>
      </c>
      <c r="AM145" s="121" t="n">
        <v>-4.07</v>
      </c>
      <c r="AN145" s="122" t="n"/>
      <c r="AO145" s="112" t="n">
        <v>15.84</v>
      </c>
      <c r="AP145" s="121" t="n">
        <v>3.62</v>
      </c>
      <c r="AQ145" s="121" t="n">
        <v>47.96</v>
      </c>
      <c r="AR145" s="121" t="n">
        <v>89.59</v>
      </c>
      <c r="AS145" s="121" t="n">
        <v>8.02</v>
      </c>
      <c r="AT145" s="121" t="n">
        <v>54.24</v>
      </c>
      <c r="AU145" s="121" t="n">
        <v>97.63</v>
      </c>
      <c r="AV145" s="121" t="n">
        <v>12.33</v>
      </c>
      <c r="AW145" s="121" t="n">
        <v>38.07</v>
      </c>
      <c r="AX145" s="121" t="n">
        <v>59.1</v>
      </c>
      <c r="AY145" s="121" t="n">
        <v>46.31</v>
      </c>
      <c r="AZ145" s="121" t="n">
        <v>9.890000000000001</v>
      </c>
      <c r="BA145" s="121" t="n">
        <v>7.93</v>
      </c>
      <c r="BB145" s="108" t="inlineStr">
        <is>
          <t>Hang Seng Index</t>
        </is>
      </c>
      <c r="BC145" s="121" t="n">
        <v>-98.39</v>
      </c>
      <c r="BD145" s="109" t="n">
        <v>46297</v>
      </c>
      <c r="BE145" s="110" t="n">
        <v>654.8</v>
      </c>
      <c r="BF145" s="113" t="n">
        <v>78.90000000000001</v>
      </c>
      <c r="BG145" s="108" t="inlineStr">
        <is>
          <t>Y</t>
        </is>
      </c>
      <c r="BH145" s="123" t="n">
        <v>62.5</v>
      </c>
      <c r="BI145" s="122" t="n"/>
      <c r="BJ145" s="122" t="n"/>
      <c r="BK145" s="123" t="n">
        <v>7.5</v>
      </c>
      <c r="BL145" s="124">
        <f>IF('BBG Verify'!S145="","not filed; run on terminal",'BBG Verify'!S145)</f>
        <v/>
      </c>
      <c r="BM145" s="125" t="inlineStr">
        <is>
          <t>N</t>
        </is>
      </c>
      <c r="BN145" s="126">
        <f>IF('BBG Verify'!K145="","not filed; run on terminal",'BBG Verify'!K145)</f>
        <v/>
      </c>
      <c r="BO145" s="108" t="inlineStr">
        <is>
          <t>N/A</t>
        </is>
      </c>
      <c r="BP145" s="108" t="inlineStr">
        <is>
          <t>N/A</t>
        </is>
      </c>
      <c r="BQ145" s="108" t="inlineStr">
        <is>
          <t>N/A</t>
        </is>
      </c>
      <c r="BR145" s="108" t="inlineStr">
        <is>
          <t>N/A</t>
        </is>
      </c>
      <c r="BS145" s="108" t="inlineStr">
        <is>
          <t>N/A</t>
        </is>
      </c>
      <c r="BT145" s="108" t="inlineStr">
        <is>
          <t>N/A</t>
        </is>
      </c>
      <c r="BU145" s="125" t="inlineStr">
        <is>
          <t>Shenwan Hongyuan Capital (H.K.) Limited</t>
        </is>
      </c>
      <c r="BV145" s="108" t="inlineStr">
        <is>
          <t>Shenwan Hongyuan Capital (H.K.) Limited</t>
        </is>
      </c>
      <c r="BW145" s="108" t="inlineStr">
        <is>
          <t>Shenwan Hongyuan Securities (H.K.) Limited; CLSA Limited; CMB International Capital Limited; DBS Asia Capital Limited; Huatai Financial Holdings (Hong Kong) Limited; ABCI Capital Limited; Citrus Securities Limited; Zhongtai International Securities Limited; China Everbright Securities (HK) Limited; West Bull Securities Limited; China Galaxy International Securities (Hong Kong) Co., Limited</t>
        </is>
      </c>
      <c r="BX145" s="108" t="inlineStr">
        <is>
          <t>ABCI Securities Company Limited; China Everbright Securities (HK) Limited; China Galaxy International Securities (Hong Kong) Company Limited; Citrus Securities Limited; CLSA Limited; CMB International Capital Limited; DBS Asia Capital Limited; Dragonstone Capital Management Limited; Futu Securities International (Hong Kong) Limited; Huatai Financial Holdings (Hong Kong) Limited; Livermore Holdings Limited; Phillip Securities (Hong Kong) Limited</t>
        </is>
      </c>
      <c r="BY145" s="127">
        <f>HYPERLINK("https://www1.hkexnews.hk/listedco/listconews/sehk/2022/0929/2022092900133.pdf","prospectus")</f>
        <v/>
      </c>
      <c r="BZ145" s="127">
        <f>HYPERLINK("https://www1.hkexnews.hk/listedco/listconews/sehk/2022/1017/2022101700012.htm","allotment")</f>
        <v/>
      </c>
      <c r="CA145" s="127">
        <f>HYPERLINK("https://www1.hkexnews.hk/listedco/listconews/sehk/2022/1107/2022110700440.pdf","stabilisation")</f>
        <v/>
      </c>
      <c r="CB145" s="128" t="n"/>
      <c r="CC145" s="108" t="inlineStr">
        <is>
          <t>market cap: published listing cap used; the estimate from deal size / offer % of enlarged capital disagreed; allocation: allocation table not in this notice's format (older prose announcement); day-1 tape: volume on file; the retail multiple needs the final public split, which this notice does not state</t>
        </is>
      </c>
    </row>
    <row r="146" ht="22" customHeight="1">
      <c r="A146" s="107" t="inlineStr">
        <is>
          <t>2367</t>
        </is>
      </c>
      <c r="B146" s="108" t="inlineStr">
        <is>
          <t>GIANT BIOGENE</t>
        </is>
      </c>
      <c r="C146" s="108" t="inlineStr">
        <is>
          <t>巨子生物</t>
        </is>
      </c>
      <c r="D146" s="108" t="inlineStr">
        <is>
          <t>Consumer</t>
        </is>
      </c>
      <c r="E146" s="108" t="inlineStr">
        <is>
          <t>Beauty / personal care</t>
        </is>
      </c>
      <c r="F146" s="108" t="inlineStr">
        <is>
          <t>Beauty &amp; Toiletries Products and Services</t>
        </is>
      </c>
      <c r="G146" s="108" t="inlineStr">
        <is>
          <t>Standard</t>
        </is>
      </c>
      <c r="H146" s="109" t="n">
        <v>44869</v>
      </c>
      <c r="I146" s="110" t="n">
        <v>549.4</v>
      </c>
      <c r="J146" s="108" t="inlineStr">
        <is>
          <t>gross (price x shares)</t>
        </is>
      </c>
      <c r="K146" s="111" t="n">
        <v>24.3</v>
      </c>
      <c r="L146" s="111" t="n">
        <v>27.7</v>
      </c>
      <c r="M146" s="111" t="n">
        <v>24.3</v>
      </c>
      <c r="N146" s="108" t="inlineStr">
        <is>
          <t>N</t>
        </is>
      </c>
      <c r="O146" s="112" t="n">
        <v>87.7</v>
      </c>
      <c r="P146" s="112" t="n">
        <v>0</v>
      </c>
      <c r="Q146" s="113" t="n">
        <v>21138.4</v>
      </c>
      <c r="R146" s="108" t="inlineStr">
        <is>
          <t>prospectus:stated market capitalisation, rescaled to the offer price</t>
        </is>
      </c>
      <c r="S146" s="114" t="n">
        <v>2.08</v>
      </c>
      <c r="T146" s="115" t="n">
        <v>4.22</v>
      </c>
      <c r="U146" s="116" t="n">
        <v>0</v>
      </c>
      <c r="V146" s="117" t="n">
        <v>117</v>
      </c>
      <c r="W146" s="118" t="n"/>
      <c r="X146" s="119" t="n"/>
      <c r="Y146" s="113" t="n">
        <v>549.4</v>
      </c>
      <c r="Z146" s="113" t="n">
        <v>22608800</v>
      </c>
      <c r="AA146" s="112" t="n">
        <v>2.6</v>
      </c>
      <c r="AB146" s="108" t="inlineStr">
        <is>
          <t>none — no cornerstone tranche</t>
        </is>
      </c>
      <c r="AC146" s="108" t="inlineStr">
        <is>
          <t>none</t>
        </is>
      </c>
      <c r="AD146" s="112" t="n">
        <v>10</v>
      </c>
      <c r="AE146" s="108" t="inlineStr">
        <is>
          <t>full</t>
        </is>
      </c>
      <c r="AF146" s="108" t="inlineStr">
        <is>
          <t>2022-11-27</t>
        </is>
      </c>
      <c r="AG146" s="108" t="inlineStr">
        <is>
          <t>Goldman Sachs</t>
        </is>
      </c>
      <c r="AH146" s="108" t="inlineStr">
        <is>
          <t>Goldman Sachs</t>
        </is>
      </c>
      <c r="AI146" s="120" t="n">
        <v>5.97</v>
      </c>
      <c r="AJ146" s="121" t="n">
        <v>9.880000000000001</v>
      </c>
      <c r="AK146" s="121" t="n">
        <v>6.48</v>
      </c>
      <c r="AL146" s="121" t="n">
        <v>7</v>
      </c>
      <c r="AM146" s="121" t="n">
        <v>2.69</v>
      </c>
      <c r="AN146" s="122" t="n"/>
      <c r="AO146" s="112" t="n">
        <v>19.62</v>
      </c>
      <c r="AP146" s="121" t="n">
        <v>37.45</v>
      </c>
      <c r="AQ146" s="121" t="n">
        <v>24.28</v>
      </c>
      <c r="AR146" s="121" t="n">
        <v>106.38</v>
      </c>
      <c r="AS146" s="121" t="n">
        <v>25.09</v>
      </c>
      <c r="AT146" s="121" t="n">
        <v>13.11</v>
      </c>
      <c r="AU146" s="121" t="n">
        <v>87.81999999999999</v>
      </c>
      <c r="AV146" s="121" t="n">
        <v>24.53</v>
      </c>
      <c r="AW146" s="121" t="n">
        <v>-4.9</v>
      </c>
      <c r="AX146" s="121" t="n">
        <v>62.73</v>
      </c>
      <c r="AY146" s="121" t="n">
        <v>-8.210000000000001</v>
      </c>
      <c r="AZ146" s="121" t="n">
        <v>29.18</v>
      </c>
      <c r="BA146" s="121" t="n">
        <v>21.32</v>
      </c>
      <c r="BB146" s="108" t="inlineStr">
        <is>
          <t>Hang Seng Commerce &amp; Industry sub-index</t>
        </is>
      </c>
      <c r="BC146" s="121" t="n">
        <v>-3.54</v>
      </c>
      <c r="BD146" s="109" t="n">
        <v>46297</v>
      </c>
      <c r="BE146" s="110" t="n">
        <v>1707.7</v>
      </c>
      <c r="BF146" s="113" t="n">
        <v>910.9</v>
      </c>
      <c r="BG146" s="108" t="inlineStr">
        <is>
          <t>Y</t>
        </is>
      </c>
      <c r="BH146" s="123" t="n">
        <v>23.2</v>
      </c>
      <c r="BI146" s="122" t="n"/>
      <c r="BJ146" s="123" t="n">
        <v>14</v>
      </c>
      <c r="BK146" s="123" t="n">
        <v>12.4</v>
      </c>
      <c r="BL146" s="124">
        <f>IF('BBG Verify'!S146="","not filed; run on terminal",'BBG Verify'!S146)</f>
        <v/>
      </c>
      <c r="BM146" s="125" t="inlineStr">
        <is>
          <t>N</t>
        </is>
      </c>
      <c r="BN146" s="126">
        <f>IF('BBG Verify'!K146="","not filed; run on terminal",'BBG Verify'!K146)</f>
        <v/>
      </c>
      <c r="BO146" s="108" t="inlineStr">
        <is>
          <t>N/A</t>
        </is>
      </c>
      <c r="BP146" s="108" t="inlineStr">
        <is>
          <t>N/A</t>
        </is>
      </c>
      <c r="BQ146" s="108" t="inlineStr">
        <is>
          <t>N/A</t>
        </is>
      </c>
      <c r="BR146" s="108" t="inlineStr">
        <is>
          <t>N/A</t>
        </is>
      </c>
      <c r="BS146" s="108" t="inlineStr">
        <is>
          <t>N/A</t>
        </is>
      </c>
      <c r="BT146" s="108" t="inlineStr">
        <is>
          <t>N/A</t>
        </is>
      </c>
      <c r="BU146" s="125" t="inlineStr">
        <is>
          <t>China International Capital Corporation Hong Kong Securities Limited; Goldman Sachs (Asia) L.L.C.</t>
        </is>
      </c>
      <c r="BV146" s="108" t="inlineStr">
        <is>
          <t>China International Capital Corporation Hong Kong Securities Limited; Goldman Sachs (Asia) L.L.C.</t>
        </is>
      </c>
      <c r="BW146" s="108"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X146" s="108"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Y146" s="127">
        <f>HYPERLINK("https://www1.hkexnews.hk/listedco/listconews/sehk/2022/1025/2022102500007.pdf","prospectus")</f>
        <v/>
      </c>
      <c r="BZ146" s="127">
        <f>HYPERLINK("https://www1.hkexnews.hk/listedco/listconews/sehk/2022/1103/2022110300024.htm","allotment")</f>
        <v/>
      </c>
      <c r="CA146" s="127">
        <f>HYPERLINK("https://www1.hkexnews.hk/listedco/listconews/sehk/2022/1127/2022112700063.pdf","stabilisation")</f>
        <v/>
      </c>
      <c r="CB146" s="128" t="n"/>
      <c r="CC146" s="108" t="inlineStr">
        <is>
          <t>sponsor: English name not in the filing; AAStocks 保薦人 shown; market cap: prospectus cap HK$24,096m at HK$27.70, rescaled to HK$24.30; cornerstone list: no cornerstone tranche; allocation: allocation table not in this notice's format (older prose announcement); day-1 tape: volume on file; the retail multiple needs the final public split, which this notice does not state</t>
        </is>
      </c>
    </row>
    <row r="147" ht="22" customHeight="1">
      <c r="A147" s="107" t="inlineStr">
        <is>
          <t>2291</t>
        </is>
      </c>
      <c r="B147" s="108" t="inlineStr">
        <is>
          <t>SCIENTECH</t>
        </is>
      </c>
      <c r="C147" s="108" t="inlineStr">
        <is>
          <t>心泰醫療</t>
        </is>
      </c>
      <c r="D147" s="108" t="inlineStr">
        <is>
          <t>Healthcare</t>
        </is>
      </c>
      <c r="E147" s="108" t="inlineStr">
        <is>
          <t>Medical devices</t>
        </is>
      </c>
      <c r="F147" s="108" t="inlineStr">
        <is>
          <t>Health Care Equipment</t>
        </is>
      </c>
      <c r="G147" s="108" t="inlineStr">
        <is>
          <t>Standard</t>
        </is>
      </c>
      <c r="H147" s="109" t="n">
        <v>44873</v>
      </c>
      <c r="I147" s="110" t="n">
        <v>654.6</v>
      </c>
      <c r="J147" s="108" t="inlineStr">
        <is>
          <t>gross (price x shares)</t>
        </is>
      </c>
      <c r="K147" s="111" t="n">
        <v>29.15</v>
      </c>
      <c r="L147" s="111" t="n">
        <v>31.45</v>
      </c>
      <c r="M147" s="111" t="n">
        <v>29.15</v>
      </c>
      <c r="N147" s="108" t="inlineStr">
        <is>
          <t>N</t>
        </is>
      </c>
      <c r="O147" s="112" t="n">
        <v>92.7</v>
      </c>
      <c r="P147" s="112" t="n">
        <v>0</v>
      </c>
      <c r="Q147" s="113" t="n">
        <v>10847</v>
      </c>
      <c r="R147" s="108" t="inlineStr">
        <is>
          <t>aastocks:上市市值 at the struck price</t>
        </is>
      </c>
      <c r="S147" s="114" t="n">
        <v>2.11</v>
      </c>
      <c r="T147" s="115" t="n">
        <v>1.38</v>
      </c>
      <c r="U147" s="116" t="n">
        <v>29.6</v>
      </c>
      <c r="V147" s="117" t="n">
        <v>157</v>
      </c>
      <c r="W147" s="118" t="n"/>
      <c r="X147" s="119" t="n"/>
      <c r="Y147" s="113" t="n">
        <v>460.84</v>
      </c>
      <c r="Z147" s="113" t="n">
        <v>15808320</v>
      </c>
      <c r="AA147" s="112" t="n">
        <v>4.25</v>
      </c>
      <c r="AB147" s="108" t="inlineStr">
        <is>
          <t>Harvest International Premium Value (Secondary Market) Fund SPC; Jointown International Group Company Limited; Shanghai Lingang Economic Development Group Investment Management Co., Ltd.*</t>
        </is>
      </c>
      <c r="AC147" s="108" t="inlineStr">
        <is>
          <t>harvest;jointown;shanghai-lingang</t>
        </is>
      </c>
      <c r="AD147" s="112" t="n">
        <v>8.52</v>
      </c>
      <c r="AE147" s="108" t="inlineStr">
        <is>
          <t>lapsed</t>
        </is>
      </c>
      <c r="AF147" s="108" t="inlineStr">
        <is>
          <t>2022-12-01</t>
        </is>
      </c>
      <c r="AG147" s="108" t="inlineStr">
        <is>
          <t>China International Capital Corporation Hong Kong Securities Limited</t>
        </is>
      </c>
      <c r="AH147" s="108" t="inlineStr">
        <is>
          <t>China International</t>
        </is>
      </c>
      <c r="AI147" s="120" t="n">
        <v>0.34</v>
      </c>
      <c r="AJ147" s="121" t="n">
        <v>0</v>
      </c>
      <c r="AK147" s="121" t="n">
        <v>-1.34</v>
      </c>
      <c r="AL147" s="121" t="n">
        <v>2.23</v>
      </c>
      <c r="AM147" s="121" t="n">
        <v>-2.18</v>
      </c>
      <c r="AN147" s="122" t="n"/>
      <c r="AO147" s="112" t="n">
        <v>5.2</v>
      </c>
      <c r="AP147" s="121" t="n">
        <v>-5.49</v>
      </c>
      <c r="AQ147" s="121" t="n">
        <v>-0.17</v>
      </c>
      <c r="AR147" s="121" t="n">
        <v>-0.51</v>
      </c>
      <c r="AS147" s="121" t="n">
        <v>-5.49</v>
      </c>
      <c r="AT147" s="121" t="n">
        <v>-0.17</v>
      </c>
      <c r="AU147" s="121" t="n">
        <v>-0.51</v>
      </c>
      <c r="AV147" s="121" t="n">
        <v>-8.24</v>
      </c>
      <c r="AW147" s="121" t="n">
        <v>3.51</v>
      </c>
      <c r="AX147" s="121" t="n">
        <v>-7.17</v>
      </c>
      <c r="AY147" s="121" t="n">
        <v>2.19</v>
      </c>
      <c r="AZ147" s="121" t="n">
        <v>-3.68</v>
      </c>
      <c r="BA147" s="121" t="n">
        <v>-2.36</v>
      </c>
      <c r="BB147" s="108" t="inlineStr">
        <is>
          <t>China Biotech ETF (HS biotech proxy)</t>
        </is>
      </c>
      <c r="BC147" s="121" t="n">
        <v>-56.74</v>
      </c>
      <c r="BD147" s="109" t="n">
        <v>46297</v>
      </c>
      <c r="BE147" s="110" t="n">
        <v>244.8</v>
      </c>
      <c r="BF147" s="113" t="n">
        <v>64.59999999999999</v>
      </c>
      <c r="BG147" s="108" t="inlineStr">
        <is>
          <t>Y</t>
        </is>
      </c>
      <c r="BH147" s="123" t="n">
        <v>167.9</v>
      </c>
      <c r="BI147" s="122" t="n"/>
      <c r="BJ147" s="123" t="n">
        <v>14</v>
      </c>
      <c r="BK147" s="123" t="n">
        <v>44.3</v>
      </c>
      <c r="BL147" s="124">
        <f>IF('BBG Verify'!S147="","not filed; run on terminal",'BBG Verify'!S147)</f>
        <v/>
      </c>
      <c r="BM147" s="125" t="inlineStr">
        <is>
          <t>N</t>
        </is>
      </c>
      <c r="BN147" s="126">
        <f>IF('BBG Verify'!K147="","not filed; run on terminal",'BBG Verify'!K147)</f>
        <v/>
      </c>
      <c r="BO147" s="108" t="inlineStr">
        <is>
          <t>N/A</t>
        </is>
      </c>
      <c r="BP147" s="108" t="inlineStr">
        <is>
          <t>N/A</t>
        </is>
      </c>
      <c r="BQ147" s="108" t="inlineStr">
        <is>
          <t>N/A</t>
        </is>
      </c>
      <c r="BR147" s="108" t="inlineStr">
        <is>
          <t>N/A</t>
        </is>
      </c>
      <c r="BS147" s="108" t="inlineStr">
        <is>
          <t>N/A</t>
        </is>
      </c>
      <c r="BT147" s="108" t="inlineStr">
        <is>
          <t>N/A</t>
        </is>
      </c>
      <c r="BU147" s="125" t="inlineStr">
        <is>
          <t>China International Capital Corporation Hong Kong Securities Limited</t>
        </is>
      </c>
      <c r="BV147" s="108" t="inlineStr">
        <is>
          <t>China International Capital Corporation Hong Kong Securities Limited</t>
        </is>
      </c>
      <c r="BW147" s="108" t="inlineStr">
        <is>
          <t>China International Capital Corporation Hong Kong Securities Limited; CLSA Limited; China Galaxy International Securities (Hong Kong) Co., Limited; Huatai Financial Holdings (Hong Kong) Limited; V aluable Capital Limited</t>
        </is>
      </c>
      <c r="BX147" s="108" t="inlineStr">
        <is>
          <t>China Galaxy International Securities (Hong Kong) Company Limited; China International Capital Corporation Hong Kong Securities Limited; CLSA Limited; Huatai Financial Holdings (Hong Kong) Limited; Valuable Capital Limited</t>
        </is>
      </c>
      <c r="BY147" s="127">
        <f>HYPERLINK("https://www1.hkexnews.hk/listedco/listconews/sehk/2022/1027/2022102700013.pdf","prospectus")</f>
        <v/>
      </c>
      <c r="BZ147" s="127">
        <f>HYPERLINK("https://www1.hkexnews.hk/listedco/listconews/sehk/2022/1107/2022110700010.htm","allotment")</f>
        <v/>
      </c>
      <c r="CA147" s="127">
        <f>HYPERLINK("https://www1.hkexnews.hk/listedco/listconews/sehk/2022/1201/2022120103355.pdf","stabilisation")</f>
        <v/>
      </c>
      <c r="CB147" s="128" t="n"/>
      <c r="CC147" s="108" t="inlineStr">
        <is>
          <t>sponsor: English name not in the filing; AAStocks 保薦人 shown; market cap: prospectus 'market capitalisation' line is the listing-rule threshold, not the issuer's figure; rejected; allocation: allocation table not in this notice's format (older prose announcement); day-1 tape: volume on file; the retail multiple needs the final public split, which this notice does not state</t>
        </is>
      </c>
    </row>
    <row r="148" ht="22" customHeight="1">
      <c r="A148" s="107" t="inlineStr">
        <is>
          <t>6696</t>
        </is>
      </c>
      <c r="B148" s="108" t="inlineStr">
        <is>
          <t>MANY IDEA CLOUD</t>
        </is>
      </c>
      <c r="C148" s="108" t="inlineStr">
        <is>
          <t>多想雲</t>
        </is>
      </c>
      <c r="D148" s="108" t="inlineStr">
        <is>
          <t>TMT-other</t>
        </is>
      </c>
      <c r="E148" s="108" t="inlineStr">
        <is>
          <t>Media / advertising</t>
        </is>
      </c>
      <c r="F148" s="108" t="inlineStr">
        <is>
          <t>Advertising</t>
        </is>
      </c>
      <c r="G148" s="108" t="inlineStr">
        <is>
          <t>Standard</t>
        </is>
      </c>
      <c r="H148" s="109" t="n">
        <v>44874</v>
      </c>
      <c r="I148" s="110" t="n">
        <v>313.6</v>
      </c>
      <c r="J148" s="108" t="inlineStr">
        <is>
          <t>gross (price x shares)</t>
        </is>
      </c>
      <c r="K148" s="111" t="n">
        <v>1.88</v>
      </c>
      <c r="L148" s="111" t="n">
        <v>2.38</v>
      </c>
      <c r="M148" s="111" t="n">
        <v>1.96</v>
      </c>
      <c r="N148" s="108" t="inlineStr">
        <is>
          <t>N</t>
        </is>
      </c>
      <c r="O148" s="112" t="n">
        <v>82.40000000000001</v>
      </c>
      <c r="P148" s="112" t="n">
        <v>16</v>
      </c>
      <c r="Q148" s="113" t="n">
        <v>1833.4</v>
      </c>
      <c r="R148" s="108" t="inlineStr">
        <is>
          <t>aastocks:上市市值 at the struck price</t>
        </is>
      </c>
      <c r="S148" s="114" t="n">
        <v>2.81</v>
      </c>
      <c r="T148" s="115" t="n">
        <v>1.01</v>
      </c>
      <c r="U148" s="116" t="n">
        <v>3.32</v>
      </c>
      <c r="V148" s="117" t="n">
        <v>170</v>
      </c>
      <c r="W148" s="118" t="n"/>
      <c r="X148" s="119" t="n"/>
      <c r="Y148" s="113" t="n">
        <v>303.19</v>
      </c>
      <c r="Z148" s="113" t="n">
        <v>154688000</v>
      </c>
      <c r="AA148" s="112" t="n">
        <v>16.54</v>
      </c>
      <c r="AB148" s="108" t="inlineStr">
        <is>
          <t>Lai Shixian</t>
        </is>
      </c>
      <c r="AC148" s="108" t="inlineStr">
        <is>
          <t>lai</t>
        </is>
      </c>
      <c r="AD148" s="112" t="n">
        <v>15</v>
      </c>
      <c r="AE148" s="108" t="inlineStr">
        <is>
          <t>lapsed (no over-allocation)</t>
        </is>
      </c>
      <c r="AF148" s="119" t="n"/>
      <c r="AG148" s="108" t="inlineStr">
        <is>
          <t>Zhongtai International Securities Limited</t>
        </is>
      </c>
      <c r="AH148" s="108" t="inlineStr">
        <is>
          <t>Zhongtai</t>
        </is>
      </c>
      <c r="AI148" s="120" t="n">
        <v>42.86</v>
      </c>
      <c r="AJ148" s="121" t="n">
        <v>2.04</v>
      </c>
      <c r="AK148" s="121" t="n">
        <v>-1.2</v>
      </c>
      <c r="AL148" s="121" t="n">
        <v>48.47</v>
      </c>
      <c r="AM148" s="121" t="n">
        <v>-31.27</v>
      </c>
      <c r="AN148" s="122" t="n"/>
      <c r="AO148" s="112" t="n">
        <v>56.7</v>
      </c>
      <c r="AP148" s="121" t="n">
        <v>-15.82</v>
      </c>
      <c r="AQ148" s="121" t="n">
        <v>-64.29000000000001</v>
      </c>
      <c r="AR148" s="121" t="n">
        <v>-70.92</v>
      </c>
      <c r="AS148" s="121" t="n">
        <v>-17.5</v>
      </c>
      <c r="AT148" s="121" t="n">
        <v>-65</v>
      </c>
      <c r="AU148" s="121" t="n">
        <v>-71.5</v>
      </c>
      <c r="AV148" s="121" t="n">
        <v>-26.08</v>
      </c>
      <c r="AW148" s="121" t="n">
        <v>-81.76000000000001</v>
      </c>
      <c r="AX148" s="121" t="n">
        <v>-98.44</v>
      </c>
      <c r="AY148" s="121" t="n">
        <v>-83.90000000000001</v>
      </c>
      <c r="AZ148" s="121" t="n">
        <v>17.47</v>
      </c>
      <c r="BA148" s="121" t="n">
        <v>18.9</v>
      </c>
      <c r="BB148" s="108" t="inlineStr">
        <is>
          <t>Hang Seng Index</t>
        </is>
      </c>
      <c r="BC148" s="121" t="n">
        <v>-92.5</v>
      </c>
      <c r="BD148" s="109" t="n">
        <v>46111</v>
      </c>
      <c r="BE148" s="110" t="n">
        <v>388.6</v>
      </c>
      <c r="BF148" s="113" t="n">
        <v>71.2</v>
      </c>
      <c r="BG148" s="108" t="inlineStr">
        <is>
          <t>Y</t>
        </is>
      </c>
      <c r="BH148" s="123" t="n">
        <v>25.8</v>
      </c>
      <c r="BI148" s="122" t="n"/>
      <c r="BJ148" s="122" t="n"/>
      <c r="BK148" s="123" t="n">
        <v>4.7</v>
      </c>
      <c r="BL148" s="124">
        <f>IF('BBG Verify'!S148="","not filed; run on terminal",'BBG Verify'!S148)</f>
        <v/>
      </c>
      <c r="BM148" s="125" t="inlineStr">
        <is>
          <t>N</t>
        </is>
      </c>
      <c r="BN148" s="126">
        <f>IF('BBG Verify'!K148="","not filed; run on terminal",'BBG Verify'!K148)</f>
        <v/>
      </c>
      <c r="BO148" s="108" t="inlineStr">
        <is>
          <t>N/A</t>
        </is>
      </c>
      <c r="BP148" s="108" t="inlineStr">
        <is>
          <t>N/A</t>
        </is>
      </c>
      <c r="BQ148" s="108" t="inlineStr">
        <is>
          <t>N/A</t>
        </is>
      </c>
      <c r="BR148" s="108" t="inlineStr">
        <is>
          <t>N/A</t>
        </is>
      </c>
      <c r="BS148" s="108" t="inlineStr">
        <is>
          <t>N/A</t>
        </is>
      </c>
      <c r="BT148" s="108" t="inlineStr">
        <is>
          <t>N/A</t>
        </is>
      </c>
      <c r="BU148" s="125" t="inlineStr">
        <is>
          <t>Zhongtai International Capital Limited</t>
        </is>
      </c>
      <c r="BV148" s="108" t="inlineStr">
        <is>
          <t>Zhongtai International Capital Limited</t>
        </is>
      </c>
      <c r="BW148" s="108" t="inlineStr">
        <is>
          <t>Zhongtai International Securities Limited; Sunfund Securities Limited; CLSALimited; Zheshang International Financial Holdings Co., Limited; SPDB International Capital Limited; BOCOM International Securities Limited; Shenwan Hongyuan Securities (H.K.) Limited; China Industrial Securities International Capital Limited; Guotai Junan Securities (Hong Kong) Limited; Maxa Capital Limited</t>
        </is>
      </c>
      <c r="BX148" s="108" t="inlineStr">
        <is>
          <t>Beta International Securities Limited; China Industrial Securities International Capital Limited; CLSA Limited; First Shanghai Securities Limited; Guotai Junan Securities (Hong Kong) Limited; Goldlink Securities Limited; Livermore Holdings Limited; Maxa Capital Limited; Shenwan Hongyuan Securities (H.K.) Limited; SPDB International Capital Limited; Sunfund Securities Limited; Tiger Brokers (HK) Global Limited</t>
        </is>
      </c>
      <c r="BY148" s="127">
        <f>HYPERLINK("https://www1.hkexnews.hk/listedco/listconews/sehk/2022/1028/2022102800015.pdf","prospectus")</f>
        <v/>
      </c>
      <c r="BZ148" s="127">
        <f>HYPERLINK("https://www1.hkexnews.hk/listedco/listconews/sehk/2022/1108/2022110800012.htm","allotment")</f>
        <v/>
      </c>
      <c r="CA148" s="127">
        <f>HYPERLINK("https://www1.hkexnews.hk/listedco/listconews/sehk/2022/1202/2022120200787.pdf","stabilisation")</f>
        <v/>
      </c>
      <c r="CB148" s="128" t="n"/>
      <c r="CC148" s="108" t="inlineStr">
        <is>
          <t>greenshoe: outcome published; expiry date not in the notice; returns: returns exclude the entitlement value of 2024-03-12 open offer 1-for-2 @ HK$0.15; 2025-11-26 rights 6-for-1 @ HK$0.4753 (post-consolidation); Bloomberg back-adjusts by x1.242; price series: last available quoted close 2026-03-30; may be suspended, delisted or a source gap; price and benchmark end on that date; allocation: allocation table not in this notice's format (older prose announcement); day-1 tape: volume on file; the retail multiple needs the final public split, which this notice does not state</t>
        </is>
      </c>
    </row>
    <row r="149" ht="22" customHeight="1">
      <c r="A149" s="107" t="inlineStr">
        <is>
          <t>2420</t>
        </is>
      </c>
      <c r="B149" s="108" t="inlineStr">
        <is>
          <t>ZIBUYU</t>
        </is>
      </c>
      <c r="C149" s="108" t="inlineStr">
        <is>
          <t>子不語</t>
        </is>
      </c>
      <c r="D149" s="108" t="inlineStr">
        <is>
          <t>Tech/AI</t>
        </is>
      </c>
      <c r="E149" s="108" t="inlineStr">
        <is>
          <t>Internet platform / e-commerce</t>
        </is>
      </c>
      <c r="F149" s="108" t="inlineStr">
        <is>
          <t>e-Commerce &amp; Internet Services</t>
        </is>
      </c>
      <c r="G149" s="108" t="inlineStr">
        <is>
          <t>Standard</t>
        </is>
      </c>
      <c r="H149" s="109" t="n">
        <v>44876</v>
      </c>
      <c r="I149" s="110" t="n">
        <v>229.9</v>
      </c>
      <c r="J149" s="108" t="inlineStr">
        <is>
          <t>gross (price x shares)</t>
        </is>
      </c>
      <c r="K149" s="111" t="n">
        <v>7.86</v>
      </c>
      <c r="L149" s="111" t="n">
        <v>9.42</v>
      </c>
      <c r="M149" s="111" t="n">
        <v>7.86</v>
      </c>
      <c r="N149" s="108" t="inlineStr">
        <is>
          <t>N</t>
        </is>
      </c>
      <c r="O149" s="112" t="n">
        <v>83.40000000000001</v>
      </c>
      <c r="P149" s="112" t="n">
        <v>0</v>
      </c>
      <c r="Q149" s="113" t="n">
        <v>4580.8</v>
      </c>
      <c r="R149" s="108" t="inlineStr">
        <is>
          <t>aastocks:上市市值 at the struck price</t>
        </is>
      </c>
      <c r="S149" s="114" t="n">
        <v>1.91</v>
      </c>
      <c r="T149" s="115" t="n">
        <v>1.56</v>
      </c>
      <c r="U149" s="116" t="n">
        <v>37.9</v>
      </c>
      <c r="V149" s="117" t="n">
        <v>127</v>
      </c>
      <c r="W149" s="118" t="n"/>
      <c r="X149" s="119" t="n"/>
      <c r="Y149" s="113" t="n">
        <v>142.77</v>
      </c>
      <c r="Z149" s="113" t="n">
        <v>18164250</v>
      </c>
      <c r="AA149" s="112" t="n">
        <v>3.12</v>
      </c>
      <c r="AB149" s="108" t="inlineStr">
        <is>
          <t>De Well Group Singapore Pte. Ltd; GF Fund Management Co., Ltd; Zhejiang Eifini Industrial Co., Ltd</t>
        </is>
      </c>
      <c r="AC149" s="108" t="inlineStr">
        <is>
          <t>de;gf;zhejiang</t>
        </is>
      </c>
      <c r="AD149" s="118" t="n"/>
      <c r="AE149" s="119" t="n"/>
      <c r="AF149" s="119" t="n"/>
      <c r="AG149" s="119" t="n"/>
      <c r="AH149" s="119" t="n"/>
      <c r="AI149" s="120" t="n">
        <v>8.140000000000001</v>
      </c>
      <c r="AJ149" s="121" t="n">
        <v>5.47</v>
      </c>
      <c r="AK149" s="121" t="n">
        <v>10.24</v>
      </c>
      <c r="AL149" s="121" t="n">
        <v>6.36</v>
      </c>
      <c r="AM149" s="121" t="n">
        <v>-0.84</v>
      </c>
      <c r="AN149" s="122" t="n"/>
      <c r="AO149" s="112" t="n">
        <v>38.28</v>
      </c>
      <c r="AP149" s="121" t="n">
        <v>-16.41</v>
      </c>
      <c r="AQ149" s="121" t="n">
        <v>-20.87</v>
      </c>
      <c r="AR149" s="121" t="n">
        <v>-33.84</v>
      </c>
      <c r="AS149" s="121" t="n">
        <v>-20.75</v>
      </c>
      <c r="AT149" s="121" t="n">
        <v>-24.97</v>
      </c>
      <c r="AU149" s="121" t="n">
        <v>-37.27</v>
      </c>
      <c r="AV149" s="121" t="n">
        <v>-34.21</v>
      </c>
      <c r="AW149" s="121" t="n">
        <v>-52.69</v>
      </c>
      <c r="AX149" s="121" t="n">
        <v>-71.23</v>
      </c>
      <c r="AY149" s="121" t="n">
        <v>-44.54</v>
      </c>
      <c r="AZ149" s="121" t="n">
        <v>31.82</v>
      </c>
      <c r="BA149" s="121" t="n">
        <v>19.57</v>
      </c>
      <c r="BB149" s="108" t="inlineStr">
        <is>
          <t>HSTECH (Hang Seng TECH ETF)</t>
        </is>
      </c>
      <c r="BC149" s="121" t="n">
        <v>-25</v>
      </c>
      <c r="BD149" s="109" t="n">
        <v>46297</v>
      </c>
      <c r="BE149" s="110" t="n">
        <v>2581.2</v>
      </c>
      <c r="BF149" s="113" t="n">
        <v>89.2</v>
      </c>
      <c r="BG149" s="108" t="inlineStr">
        <is>
          <t>Y</t>
        </is>
      </c>
      <c r="BH149" s="123" t="n">
        <v>51.4</v>
      </c>
      <c r="BI149" s="122" t="n"/>
      <c r="BJ149" s="123" t="n">
        <v>5.9</v>
      </c>
      <c r="BK149" s="123" t="n">
        <v>1.8</v>
      </c>
      <c r="BL149" s="124">
        <f>IF('BBG Verify'!S149="","not filed; run on terminal",'BBG Verify'!S149)</f>
        <v/>
      </c>
      <c r="BM149" s="125" t="inlineStr">
        <is>
          <t>N</t>
        </is>
      </c>
      <c r="BN149" s="126">
        <f>IF('BBG Verify'!K149="","not filed; run on terminal",'BBG Verify'!K149)</f>
        <v/>
      </c>
      <c r="BO149" s="108" t="inlineStr">
        <is>
          <t>N/A</t>
        </is>
      </c>
      <c r="BP149" s="108" t="inlineStr">
        <is>
          <t>N/A</t>
        </is>
      </c>
      <c r="BQ149" s="108" t="inlineStr">
        <is>
          <t>N/A</t>
        </is>
      </c>
      <c r="BR149" s="108" t="inlineStr">
        <is>
          <t>N/A</t>
        </is>
      </c>
      <c r="BS149" s="108" t="inlineStr">
        <is>
          <t>N/A</t>
        </is>
      </c>
      <c r="BT149" s="108" t="inlineStr">
        <is>
          <t>N/A</t>
        </is>
      </c>
      <c r="BU149" s="125" t="inlineStr">
        <is>
          <t>Huatai Financial Holdings (Hong Kong) Limited; ABCI Capital Limited</t>
        </is>
      </c>
      <c r="BV149" s="108" t="inlineStr">
        <is>
          <t>Huatai Financial Holdings (Hong Kong) Limited; ABCI Capital Limited</t>
        </is>
      </c>
      <c r="BW149" s="108" t="inlineStr">
        <is>
          <t>Huatai Financial Holdings (Hong Kong) Limited; ABCI Capital Limited; Shenwan Hongyuan Securities (H.K.) Limited; BOCOM International Securities Limited</t>
        </is>
      </c>
      <c r="BX149" s="108" t="inlineStr">
        <is>
          <t>ABCI Securities Company Limited; Beta International Securities Limited; Futu Securities International (Hong Kong) Limited; Guotai Junan Securities (Hong Kong) Limited; Huatai Financial Holdings (Hong Kong) Limited; Shenwan Hongyuan Securities (H.K.) Limited; Victory Securities Company Limited</t>
        </is>
      </c>
      <c r="BY149" s="127">
        <f>HYPERLINK("https://www1.hkexnews.hk/listedco/listconews/sehk/2022/1031/2022103100013.pdf","prospectus")</f>
        <v/>
      </c>
      <c r="BZ149" s="127">
        <f>HYPERLINK("https://www1.hkexnews.hk/listedco/listconews/sehk/2022/1110/2022111000034.htm","allotment")</f>
        <v/>
      </c>
      <c r="CA149" s="119" t="n"/>
      <c r="CB149" s="128" t="n"/>
      <c r="CC149" s="108" t="inlineStr">
        <is>
          <t>greenshoe: no over-allotment option; market cap: published listing cap used; the estimate from stated market capitalisation, rescaled to the offer price disagreed; cornerstone: % from the prospectus; AAStocks table includes non-cornerstone orders; greenshoe size: no over-allotment option; stabilising manager: filing states none appointed (allotment announcement: 'no stabilizing manager will be appointed' stated in the filing); allocation: allocation table not in this notice's format (older prose announcement); day-1 tape: volume on file; the retail multiple needs the final public split, which this notice does not state</t>
        </is>
      </c>
    </row>
    <row r="150" ht="22" customHeight="1">
      <c r="A150" s="107" t="inlineStr">
        <is>
          <t>1407</t>
        </is>
      </c>
      <c r="B150" s="108" t="inlineStr">
        <is>
          <t>JY GAS</t>
        </is>
      </c>
      <c r="C150" s="108" t="inlineStr">
        <is>
          <t>交運燃氣</t>
        </is>
      </c>
      <c r="D150" s="108" t="inlineStr">
        <is>
          <t>Materials/Energy</t>
        </is>
      </c>
      <c r="E150" s="108" t="inlineStr">
        <is>
          <t>Oil &amp; gas / utilities</t>
        </is>
      </c>
      <c r="F150" s="108" t="inlineStr">
        <is>
          <t>Gas Utilities</t>
        </is>
      </c>
      <c r="G150" s="108" t="inlineStr">
        <is>
          <t>Standard</t>
        </is>
      </c>
      <c r="H150" s="109" t="n">
        <v>44881</v>
      </c>
      <c r="I150" s="110" t="n">
        <v>156.2</v>
      </c>
      <c r="J150" s="108" t="inlineStr">
        <is>
          <t>gross (price x shares)</t>
        </is>
      </c>
      <c r="K150" s="111" t="n">
        <v>1.42</v>
      </c>
      <c r="L150" s="111" t="n">
        <v>1.62</v>
      </c>
      <c r="M150" s="111" t="n">
        <v>1.42</v>
      </c>
      <c r="N150" s="108" t="inlineStr">
        <is>
          <t>N</t>
        </is>
      </c>
      <c r="O150" s="112" t="n">
        <v>87.7</v>
      </c>
      <c r="P150" s="112" t="n">
        <v>0</v>
      </c>
      <c r="Q150" s="113" t="n">
        <v>701.9</v>
      </c>
      <c r="R150" s="108" t="inlineStr">
        <is>
          <t>aastocks:上市市值 at the struck price</t>
        </is>
      </c>
      <c r="S150" s="114" t="n">
        <v>7.15</v>
      </c>
      <c r="T150" s="115" t="n">
        <v>1.17</v>
      </c>
      <c r="U150" s="116" t="n">
        <v>0</v>
      </c>
      <c r="V150" s="117" t="n">
        <v>131</v>
      </c>
      <c r="W150" s="118" t="n"/>
      <c r="X150" s="119" t="n"/>
      <c r="Y150" s="113" t="n">
        <v>156.2</v>
      </c>
      <c r="Z150" s="113" t="n">
        <v>110000000</v>
      </c>
      <c r="AA150" s="112" t="n">
        <v>22.25</v>
      </c>
      <c r="AB150" s="108" t="inlineStr">
        <is>
          <t>none — no cornerstone tranche</t>
        </is>
      </c>
      <c r="AC150" s="108" t="inlineStr">
        <is>
          <t>none</t>
        </is>
      </c>
      <c r="AD150" s="112" t="n">
        <v>10</v>
      </c>
      <c r="AE150" s="108" t="inlineStr">
        <is>
          <t>lapsed (no over-allocation)</t>
        </is>
      </c>
      <c r="AF150" s="108" t="inlineStr">
        <is>
          <t>2022-12-07</t>
        </is>
      </c>
      <c r="AG150" s="108" t="inlineStr">
        <is>
          <t>China Industrial Securities International Capital Limited</t>
        </is>
      </c>
      <c r="AH150" s="108" t="inlineStr">
        <is>
          <t>China Industrial</t>
        </is>
      </c>
      <c r="AI150" s="120" t="n">
        <v>28.17</v>
      </c>
      <c r="AJ150" s="121" t="n">
        <v>0</v>
      </c>
      <c r="AK150" s="121" t="n">
        <v>-0.29</v>
      </c>
      <c r="AL150" s="121" t="n">
        <v>7.04</v>
      </c>
      <c r="AM150" s="121" t="n">
        <v>-6.58</v>
      </c>
      <c r="AN150" s="122" t="n"/>
      <c r="AO150" s="112" t="n">
        <v>23.03</v>
      </c>
      <c r="AP150" s="121" t="n">
        <v>-5.63</v>
      </c>
      <c r="AQ150" s="121" t="n">
        <v>-25.35</v>
      </c>
      <c r="AR150" s="121" t="n">
        <v>-47.89</v>
      </c>
      <c r="AS150" s="121" t="n">
        <v>-5.63</v>
      </c>
      <c r="AT150" s="121" t="n">
        <v>-25.35</v>
      </c>
      <c r="AU150" s="121" t="n">
        <v>-47.89</v>
      </c>
      <c r="AV150" s="121" t="n">
        <v>0.57</v>
      </c>
      <c r="AW150" s="121" t="n">
        <v>-30.25</v>
      </c>
      <c r="AX150" s="121" t="n">
        <v>-58.57</v>
      </c>
      <c r="AY150" s="121" t="n">
        <v>-30.56</v>
      </c>
      <c r="AZ150" s="121" t="n">
        <v>4.9</v>
      </c>
      <c r="BA150" s="121" t="n">
        <v>5.21</v>
      </c>
      <c r="BB150" s="108" t="inlineStr">
        <is>
          <t>Hang Seng Commerce &amp; Industry sub-index</t>
        </is>
      </c>
      <c r="BC150" s="121" t="n">
        <v>-50.35</v>
      </c>
      <c r="BD150" s="109" t="n">
        <v>46297</v>
      </c>
      <c r="BE150" s="110" t="n">
        <v>485</v>
      </c>
      <c r="BF150" s="113" t="n">
        <v>75.2</v>
      </c>
      <c r="BG150" s="108" t="inlineStr">
        <is>
          <t>Y</t>
        </is>
      </c>
      <c r="BH150" s="123" t="n">
        <v>9.300000000000001</v>
      </c>
      <c r="BI150" s="122" t="n"/>
      <c r="BJ150" s="123" t="n">
        <v>8.1</v>
      </c>
      <c r="BK150" s="123" t="n">
        <v>1.4</v>
      </c>
      <c r="BL150" s="124">
        <f>IF('BBG Verify'!S150="","not filed; run on terminal",'BBG Verify'!S150)</f>
        <v/>
      </c>
      <c r="BM150" s="125" t="inlineStr">
        <is>
          <t>N</t>
        </is>
      </c>
      <c r="BN150" s="126">
        <f>IF('BBG Verify'!K150="","not filed; run on terminal",'BBG Verify'!K150)</f>
        <v/>
      </c>
      <c r="BO150" s="108" t="inlineStr">
        <is>
          <t>N/A</t>
        </is>
      </c>
      <c r="BP150" s="108" t="inlineStr">
        <is>
          <t>N/A</t>
        </is>
      </c>
      <c r="BQ150" s="108" t="inlineStr">
        <is>
          <t>N/A</t>
        </is>
      </c>
      <c r="BR150" s="108" t="inlineStr">
        <is>
          <t>N/A</t>
        </is>
      </c>
      <c r="BS150" s="108" t="inlineStr">
        <is>
          <t>N/A</t>
        </is>
      </c>
      <c r="BT150" s="108" t="inlineStr">
        <is>
          <t>N/A</t>
        </is>
      </c>
      <c r="BU150" s="125" t="inlineStr">
        <is>
          <t>China Industrial Securities International Capital Limited</t>
        </is>
      </c>
      <c r="BV150" s="108" t="inlineStr">
        <is>
          <t>China Industrial Securities International Capital Limited</t>
        </is>
      </c>
      <c r="BW150" s="108" t="inlineStr">
        <is>
          <t>China Industrial Securities International Capital Limited; ABCI Capital Limited; ICBC International Capital Limited; CCB International Capital Limited; BOCOM International Securities Limited; CMBC Securities Company Limited; SPDB International Capital Limited; Zhongtai International Securities Limited; China Everbright Securities (HK) Limited; SBI China Capital Financial Services Limited; Livermore Holdings Limited; Valuable Capital Limited</t>
        </is>
      </c>
      <c r="BX150" s="108" t="inlineStr">
        <is>
          <t>ABCI Securities Company Limited; Beta International Securities Limited; CCB International Capital Limited; CEB International Capital Corporation Limited; China Everbright Securities (HK) Limited; China Industrial Securities International Capital Limited; CMBC Securities Company Limited; ICBC International Securities Limited; Livermore Holdings Limited; Maxa Capital Limited; SBI China Capital Financial Services Limited; SPDB International Capital Limited</t>
        </is>
      </c>
      <c r="BY150" s="127">
        <f>HYPERLINK("https://www1.hkexnews.hk/listedco/listconews/sehk/2022/1031/2022103100007.pdf","prospectus")</f>
        <v/>
      </c>
      <c r="BZ150" s="127">
        <f>HYPERLINK("https://www1.hkexnews.hk/listedco/listconews/sehk/2022/1115/2022111500160.htm","allotment")</f>
        <v/>
      </c>
      <c r="CA150" s="127">
        <f>HYPERLINK("https://www1.hkexnews.hk/listedco/listconews/sehk/2022/1208/2022120800587.pdf","stabilisation")</f>
        <v/>
      </c>
      <c r="CB150" s="128" t="n"/>
      <c r="CC150" s="108" t="inlineStr">
        <is>
          <t>market cap: published listing cap used; the estimate from deal size / offer % of enlarged capital disagreed; cornerstone list: no cornerstone tranche; allocation: allocation table not in this notice's format (older prose announcement); day-1 tape: volume on file; the retail multiple needs the final public split, which this notice does not state</t>
        </is>
      </c>
    </row>
    <row r="151" ht="22" customHeight="1">
      <c r="A151" s="107" t="inlineStr">
        <is>
          <t>2436</t>
        </is>
      </c>
      <c r="B151" s="108" t="inlineStr">
        <is>
          <t>LX TECHNOLOGY</t>
        </is>
      </c>
      <c r="C151" s="108" t="inlineStr">
        <is>
          <t>凌雄科技</t>
        </is>
      </c>
      <c r="D151" s="108" t="inlineStr">
        <is>
          <t>Tech/AI</t>
        </is>
      </c>
      <c r="E151" s="108" t="inlineStr">
        <is>
          <t>SaaS / enterprise software</t>
        </is>
      </c>
      <c r="F151" s="108" t="inlineStr">
        <is>
          <t>Computer Storage &amp; Peripherals</t>
        </is>
      </c>
      <c r="G151" s="108" t="inlineStr">
        <is>
          <t>Standard</t>
        </is>
      </c>
      <c r="H151" s="109" t="n">
        <v>44889</v>
      </c>
      <c r="I151" s="110" t="n">
        <v>404.8</v>
      </c>
      <c r="J151" s="108" t="inlineStr">
        <is>
          <t>gross (price x shares)</t>
        </is>
      </c>
      <c r="K151" s="111" t="n">
        <v>7.6</v>
      </c>
      <c r="L151" s="111" t="n">
        <v>8.74</v>
      </c>
      <c r="M151" s="111" t="n">
        <v>7.6</v>
      </c>
      <c r="N151" s="108" t="inlineStr">
        <is>
          <t>N</t>
        </is>
      </c>
      <c r="O151" s="112" t="n">
        <v>87</v>
      </c>
      <c r="P151" s="112" t="n">
        <v>0</v>
      </c>
      <c r="Q151" s="113" t="n">
        <v>2684.4</v>
      </c>
      <c r="R151" s="108" t="inlineStr">
        <is>
          <t>derived:deal size / offer % of enlarged capital</t>
        </is>
      </c>
      <c r="S151" s="114" t="n">
        <v>15</v>
      </c>
      <c r="T151" s="115" t="n">
        <v>1.12</v>
      </c>
      <c r="U151" s="116" t="n">
        <v>0</v>
      </c>
      <c r="V151" s="117" t="n">
        <v>107</v>
      </c>
      <c r="W151" s="118" t="n"/>
      <c r="X151" s="119" t="n"/>
      <c r="Y151" s="113" t="n">
        <v>404.8</v>
      </c>
      <c r="Z151" s="113" t="n">
        <v>53259000</v>
      </c>
      <c r="AA151" s="112" t="n">
        <v>15.08</v>
      </c>
      <c r="AB151" s="108" t="inlineStr">
        <is>
          <t>none — no cornerstone tranche</t>
        </is>
      </c>
      <c r="AC151" s="108" t="inlineStr">
        <is>
          <t>none</t>
        </is>
      </c>
      <c r="AD151" s="112" t="n">
        <v>5.06</v>
      </c>
      <c r="AE151" s="119" t="n"/>
      <c r="AF151" s="108" t="inlineStr">
        <is>
          <t>2022-12-17</t>
        </is>
      </c>
      <c r="AG151" s="108" t="inlineStr">
        <is>
          <t>Haitong International Securities Company Limited</t>
        </is>
      </c>
      <c r="AH151" s="108" t="inlineStr">
        <is>
          <t>Haitong</t>
        </is>
      </c>
      <c r="AI151" s="120" t="n">
        <v>3.95</v>
      </c>
      <c r="AJ151" s="121" t="n">
        <v>2.63</v>
      </c>
      <c r="AK151" s="121" t="n">
        <v>0.8</v>
      </c>
      <c r="AL151" s="121" t="n">
        <v>3.95</v>
      </c>
      <c r="AM151" s="121" t="n">
        <v>-1.27</v>
      </c>
      <c r="AN151" s="122" t="n"/>
      <c r="AO151" s="112" t="n">
        <v>12.53</v>
      </c>
      <c r="AP151" s="121" t="n">
        <v>18.29</v>
      </c>
      <c r="AQ151" s="121" t="n">
        <v>43.42</v>
      </c>
      <c r="AR151" s="121" t="n">
        <v>77.37</v>
      </c>
      <c r="AS151" s="121" t="n">
        <v>15.26</v>
      </c>
      <c r="AT151" s="121" t="n">
        <v>39.74</v>
      </c>
      <c r="AU151" s="121" t="n">
        <v>72.81999999999999</v>
      </c>
      <c r="AV151" s="121" t="n">
        <v>10.48</v>
      </c>
      <c r="AW151" s="121" t="n">
        <v>27.34</v>
      </c>
      <c r="AX151" s="121" t="n">
        <v>59.87</v>
      </c>
      <c r="AY151" s="121" t="n">
        <v>24.58</v>
      </c>
      <c r="AZ151" s="121" t="n">
        <v>16.08</v>
      </c>
      <c r="BA151" s="121" t="n">
        <v>15.16</v>
      </c>
      <c r="BB151" s="108" t="inlineStr">
        <is>
          <t>HSTECH (Hang Seng TECH ETF)</t>
        </is>
      </c>
      <c r="BC151" s="121" t="n">
        <v>113.55</v>
      </c>
      <c r="BD151" s="109" t="n">
        <v>46297</v>
      </c>
      <c r="BE151" s="110" t="n">
        <v>1463.4</v>
      </c>
      <c r="BF151" s="113" t="n">
        <v>-493.6</v>
      </c>
      <c r="BG151" s="108" t="inlineStr">
        <is>
          <t>N</t>
        </is>
      </c>
      <c r="BH151" s="108" t="inlineStr">
        <is>
          <t>n/m</t>
        </is>
      </c>
      <c r="BI151" s="122" t="n"/>
      <c r="BJ151" s="123" t="n">
        <v>360.2</v>
      </c>
      <c r="BK151" s="123" t="n">
        <v>1.8</v>
      </c>
      <c r="BL151" s="124">
        <f>IF('BBG Verify'!S151="","not filed; run on terminal",'BBG Verify'!S151)</f>
        <v/>
      </c>
      <c r="BM151" s="125" t="inlineStr">
        <is>
          <t>N</t>
        </is>
      </c>
      <c r="BN151" s="126">
        <f>IF('BBG Verify'!K151="","not filed; run on terminal",'BBG Verify'!K151)</f>
        <v/>
      </c>
      <c r="BO151" s="108" t="inlineStr">
        <is>
          <t>N/A</t>
        </is>
      </c>
      <c r="BP151" s="108" t="inlineStr">
        <is>
          <t>N/A</t>
        </is>
      </c>
      <c r="BQ151" s="108" t="inlineStr">
        <is>
          <t>N/A</t>
        </is>
      </c>
      <c r="BR151" s="108" t="inlineStr">
        <is>
          <t>N/A</t>
        </is>
      </c>
      <c r="BS151" s="108" t="inlineStr">
        <is>
          <t>N/A</t>
        </is>
      </c>
      <c r="BT151" s="108" t="inlineStr">
        <is>
          <t>N/A</t>
        </is>
      </c>
      <c r="BU151" s="125" t="inlineStr">
        <is>
          <t>Haitong International Capital Limited</t>
        </is>
      </c>
      <c r="BV151" s="108" t="inlineStr">
        <is>
          <t>Haitong International Capital Limited</t>
        </is>
      </c>
      <c r="BW151" s="108" t="inlineStr">
        <is>
          <t>Haitong International Securities Company Limited; Futu Securities International (Hong Kong) Limited; Tiger Brokers (HK) Global Limited; Dragonstone Capital Management Limited</t>
        </is>
      </c>
      <c r="BX151" s="108" t="inlineStr">
        <is>
          <t>CSFG International Securities Limited; Dragonstone Capital Management Limited; Futu Securities International (Hong Kong) Limited; Haitong International Securities Company Limited; Maxa Capital Limited; Sinomax Securities Limited; Tiger Brokers (HK) Global Limited</t>
        </is>
      </c>
      <c r="BY151" s="127">
        <f>HYPERLINK("https://www1.hkexnews.hk/listedco/listconews/sehk/2022/1114/2022111400005.pdf","prospectus")</f>
        <v/>
      </c>
      <c r="BZ151" s="127">
        <f>HYPERLINK("https://www1.hkexnews.hk/listedco/listconews/sehk/2022/1123/2022112300038.htm","allotment")</f>
        <v/>
      </c>
      <c r="CA151" s="119" t="n"/>
      <c r="CB151" s="128" t="n"/>
      <c r="CC151" s="108" t="inlineStr">
        <is>
          <t>P/E: loss-making at IPO, use P/S; greenshoe: end-of-stabilisation notice not found; cornerstone list: no cornerstone tranche; allocation: allocation table not in this notice's format (older prose announcement); day-1 tape: volume on file; the retail multiple needs the final public split, which this notice does not state</t>
        </is>
      </c>
    </row>
    <row r="152" ht="22" customHeight="1">
      <c r="A152" s="107" t="inlineStr">
        <is>
          <t>3660</t>
        </is>
      </c>
      <c r="B152" s="108" t="inlineStr">
        <is>
          <t>360 DIGITECH-S</t>
        </is>
      </c>
      <c r="C152" s="108" t="inlineStr">
        <is>
          <t>奇富科技－Ｓ</t>
        </is>
      </c>
      <c r="D152" s="108" t="inlineStr">
        <is>
          <t>Tech/AI</t>
        </is>
      </c>
      <c r="E152" s="108" t="inlineStr">
        <is>
          <t>Fintech platform</t>
        </is>
      </c>
      <c r="F152" s="108" t="inlineStr">
        <is>
          <t>Other Diversified Financial Services</t>
        </is>
      </c>
      <c r="G152" s="108" t="inlineStr">
        <is>
          <t>Secondary</t>
        </is>
      </c>
      <c r="H152" s="109" t="n">
        <v>44894</v>
      </c>
      <c r="I152" s="110" t="n">
        <v>277.2</v>
      </c>
      <c r="J152" s="108" t="inlineStr">
        <is>
          <t>gross (price x shares)</t>
        </is>
      </c>
      <c r="K152" s="129" t="n"/>
      <c r="L152" s="111" t="n">
        <v>50.03</v>
      </c>
      <c r="M152" s="111" t="n">
        <v>50.03</v>
      </c>
      <c r="N152" s="108" t="inlineStr">
        <is>
          <t>Y</t>
        </is>
      </c>
      <c r="O152" s="112" t="n">
        <v>100</v>
      </c>
      <c r="P152" s="118" t="n"/>
      <c r="Q152" s="113" t="n">
        <v>28200</v>
      </c>
      <c r="R152" s="108" t="inlineStr">
        <is>
          <t>prospectus:stated market capitalisation</t>
        </is>
      </c>
      <c r="S152" s="114" t="n">
        <v>2.46</v>
      </c>
      <c r="T152" s="115" t="n">
        <v>5.3</v>
      </c>
      <c r="U152" s="116" t="n">
        <v>0</v>
      </c>
      <c r="V152" s="117" t="n">
        <v>102</v>
      </c>
      <c r="W152" s="118" t="n"/>
      <c r="X152" s="119" t="n"/>
      <c r="Y152" s="113" t="n">
        <v>277.2</v>
      </c>
      <c r="Z152" s="113" t="n">
        <v>5540000</v>
      </c>
      <c r="AA152" s="112" t="n">
        <v>0.98</v>
      </c>
      <c r="AB152" s="108" t="inlineStr">
        <is>
          <t>none — no cornerstone tranche</t>
        </is>
      </c>
      <c r="AC152" s="108" t="inlineStr">
        <is>
          <t>none</t>
        </is>
      </c>
      <c r="AD152" s="112" t="n">
        <v>10</v>
      </c>
      <c r="AE152" s="119" t="n"/>
      <c r="AF152" s="108" t="inlineStr">
        <is>
          <t>2022-12-23</t>
        </is>
      </c>
      <c r="AG152" s="108" t="inlineStr">
        <is>
          <t>Citigroup Global Markets Asia Limited</t>
        </is>
      </c>
      <c r="AH152" s="108" t="inlineStr">
        <is>
          <t>Citigroup</t>
        </is>
      </c>
      <c r="AI152" s="120" t="n">
        <v>0.84</v>
      </c>
      <c r="AJ152" s="121" t="n">
        <v>3.44</v>
      </c>
      <c r="AK152" s="121" t="n">
        <v>8.09</v>
      </c>
      <c r="AL152" s="121" t="n">
        <v>1.14</v>
      </c>
      <c r="AM152" s="121" t="n">
        <v>2.27</v>
      </c>
      <c r="AN152" s="122" t="n"/>
      <c r="AO152" s="112" t="n">
        <v>3.85</v>
      </c>
      <c r="AP152" s="121" t="n">
        <v>33.82</v>
      </c>
      <c r="AQ152" s="121" t="n">
        <v>57.31</v>
      </c>
      <c r="AR152" s="121" t="n">
        <v>67.90000000000001</v>
      </c>
      <c r="AS152" s="121" t="n">
        <v>29.37</v>
      </c>
      <c r="AT152" s="121" t="n">
        <v>52.08</v>
      </c>
      <c r="AU152" s="121" t="n">
        <v>62.32</v>
      </c>
      <c r="AV152" s="121" t="n">
        <v>12.92</v>
      </c>
      <c r="AW152" s="121" t="n">
        <v>37.06</v>
      </c>
      <c r="AX152" s="121" t="n">
        <v>46.65</v>
      </c>
      <c r="AY152" s="121" t="n">
        <v>40.83</v>
      </c>
      <c r="AZ152" s="121" t="n">
        <v>20.25</v>
      </c>
      <c r="BA152" s="121" t="n">
        <v>11.25</v>
      </c>
      <c r="BB152" s="108" t="inlineStr">
        <is>
          <t>HSTECH (Hang Seng TECH ETF)</t>
        </is>
      </c>
      <c r="BC152" s="121" t="n">
        <v>-48.43</v>
      </c>
      <c r="BD152" s="109" t="n">
        <v>46297</v>
      </c>
      <c r="BE152" s="110" t="n">
        <v>18299.2</v>
      </c>
      <c r="BF152" s="113" t="n">
        <v>6359.9</v>
      </c>
      <c r="BG152" s="108" t="inlineStr">
        <is>
          <t>Y</t>
        </is>
      </c>
      <c r="BH152" s="123" t="n">
        <v>4.4</v>
      </c>
      <c r="BI152" s="122" t="n"/>
      <c r="BJ152" s="122" t="n"/>
      <c r="BK152" s="123" t="n">
        <v>1.5</v>
      </c>
      <c r="BL152" s="124">
        <f>IF('BBG Verify'!S152="","not filed; run on terminal",'BBG Verify'!S152)</f>
        <v/>
      </c>
      <c r="BM152" s="125" t="inlineStr">
        <is>
          <t>N</t>
        </is>
      </c>
      <c r="BN152" s="126">
        <f>IF('BBG Verify'!K152="","not filed; run on terminal",'BBG Verify'!K152)</f>
        <v/>
      </c>
      <c r="BO152" s="108" t="inlineStr">
        <is>
          <t>N/A</t>
        </is>
      </c>
      <c r="BP152" s="108" t="inlineStr">
        <is>
          <t>N/A</t>
        </is>
      </c>
      <c r="BQ152" s="108" t="inlineStr">
        <is>
          <t>N/A</t>
        </is>
      </c>
      <c r="BR152" s="108" t="inlineStr">
        <is>
          <t>N/A</t>
        </is>
      </c>
      <c r="BS152" s="108" t="inlineStr">
        <is>
          <t>N/A</t>
        </is>
      </c>
      <c r="BT152" s="108" t="inlineStr">
        <is>
          <t>N/A</t>
        </is>
      </c>
      <c r="BU152" s="125" t="inlineStr">
        <is>
          <t>Citigroup Global Markets Asia Limited; China International Capital Corporation Hong Kong Securities Limited</t>
        </is>
      </c>
      <c r="BV152" s="108" t="inlineStr">
        <is>
          <t>China International Capital Corporation Hong Kong Securities Limited; Citigroup Global Markets Asia Limited</t>
        </is>
      </c>
      <c r="BW152" s="108" t="inlineStr">
        <is>
          <t>Citigroup Global Markets Asia Limited; China International Capital Corporation Hong Kong Securities Limited; Citigroup Global Markets Limited; 198 – China International Capital Corporation Hong Kong Securities Limited; CCB International Capital Limited; Futu Securities International (Hong Kong) Limited; Tiger Brokers (HK) Global Limited</t>
        </is>
      </c>
      <c r="BX152" s="108" t="inlineStr">
        <is>
          <t>CCB International Capital Limited; Citigroup Global Markets Asia Limited; China International Capital Corporation Hong Kong Securities Limited; Futu Securities International (Hong Kong) Limited; Livermore Holdings Limited; Tiger Brokers (HK) Global Limited</t>
        </is>
      </c>
      <c r="BY152" s="127">
        <f>HYPERLINK("https://www1.hkexnews.hk/listedco/listconews/sehk/2022/1118/2022111800030.htm","prospectus")</f>
        <v/>
      </c>
      <c r="BZ152" s="127">
        <f>HYPERLINK("https://www1.hkexnews.hk/listedco/listconews/sehk/2022/1128/2022112800016.htm","allotment")</f>
        <v/>
      </c>
      <c r="CA152" s="127">
        <f>HYPERLINK("https://www1.hkexnews.hk/listedco/listconews/sehk/2022/1223/2022122300416.pdf","stabilisation")</f>
        <v/>
      </c>
      <c r="CB152" s="128" t="n"/>
      <c r="CC152" s="108" t="inlineStr">
        <is>
          <t>greenshoe: end-of-stabilisation notice not found; price range: fixed-price offering (no indicative range); range low: maximum offer price only, no floor published; cornerstone list: no cornerstone tranche; stabilisation notice: notice linked; outcome wording not recognised, result left blank; allocation: allocation table not in this notice's format (older prose announcement); day-1 tape: volume on file; the retail multiple needs the final public split, which this notice does not state</t>
        </is>
      </c>
    </row>
    <row r="153" ht="22" customHeight="1">
      <c r="A153" s="107" t="inlineStr">
        <is>
          <t>2245</t>
        </is>
      </c>
      <c r="B153" s="108" t="inlineStr">
        <is>
          <t>LYGEND RESOURCE</t>
        </is>
      </c>
      <c r="C153" s="108" t="inlineStr">
        <is>
          <t>力勤資源</t>
        </is>
      </c>
      <c r="D153" s="108" t="inlineStr">
        <is>
          <t>Materials/Energy</t>
        </is>
      </c>
      <c r="E153" s="108" t="inlineStr">
        <is>
          <t>Mining / metals</t>
        </is>
      </c>
      <c r="F153" s="108" t="inlineStr">
        <is>
          <t>Diversified Metals &amp; Minerals</t>
        </is>
      </c>
      <c r="G153" s="108" t="inlineStr">
        <is>
          <t>Standard</t>
        </is>
      </c>
      <c r="H153" s="109" t="n">
        <v>44896</v>
      </c>
      <c r="I153" s="110" t="n">
        <v>3674.3</v>
      </c>
      <c r="J153" s="108" t="inlineStr">
        <is>
          <t>gross (price x shares)</t>
        </is>
      </c>
      <c r="K153" s="129" t="n"/>
      <c r="L153" s="111" t="n">
        <v>15.8</v>
      </c>
      <c r="M153" s="111" t="n">
        <v>15.8</v>
      </c>
      <c r="N153" s="108" t="inlineStr">
        <is>
          <t>Y</t>
        </is>
      </c>
      <c r="O153" s="112" t="n">
        <v>100</v>
      </c>
      <c r="P153" s="118" t="n"/>
      <c r="Q153" s="113" t="n">
        <v>27664.5</v>
      </c>
      <c r="R153" s="108" t="inlineStr">
        <is>
          <t>aastocks:上市市值 at the struck price</t>
        </is>
      </c>
      <c r="S153" s="114" t="n">
        <v>1.47</v>
      </c>
      <c r="T153" s="115" t="n">
        <v>1.4</v>
      </c>
      <c r="U153" s="116" t="n">
        <v>69.40000000000001</v>
      </c>
      <c r="V153" s="117" t="n">
        <v>124</v>
      </c>
      <c r="W153" s="118" t="n"/>
      <c r="X153" s="119" t="n"/>
      <c r="Y153" s="113" t="n">
        <v>1124.34</v>
      </c>
      <c r="Z153" s="113" t="n">
        <v>71159566</v>
      </c>
      <c r="AA153" s="112" t="n">
        <v>4.06</v>
      </c>
      <c r="AB153" s="108" t="inlineStr">
        <is>
          <t>China State-Owned Enterprise Mixed Ownership Reform Fund Co., Ltd; GEM Hong Kong International Co., Limited; Hongkong Brunp and Catl Co., Limited; Hubei Ronbay Battery Triangle No. 1 Equity Investment Fund Partnership; Ningbo Yinzhou District Financial Holding Co., Ltd</t>
        </is>
      </c>
      <c r="AC153" s="108" t="inlineStr">
        <is>
          <t>state-owned;gem;hongkong;hubei;ningbo</t>
        </is>
      </c>
      <c r="AD153" s="118" t="n"/>
      <c r="AE153" s="108" t="inlineStr">
        <is>
          <t>partial</t>
        </is>
      </c>
      <c r="AF153" s="108" t="inlineStr">
        <is>
          <t>2022-12-24</t>
        </is>
      </c>
      <c r="AG153" s="108" t="inlineStr">
        <is>
          <t>China International Capital Corporation Hong Kong Securities Limited</t>
        </is>
      </c>
      <c r="AH153" s="108" t="inlineStr">
        <is>
          <t>China International</t>
        </is>
      </c>
      <c r="AI153" s="120" t="n">
        <v>-1.9</v>
      </c>
      <c r="AJ153" s="121" t="n">
        <v>0</v>
      </c>
      <c r="AK153" s="121" t="n">
        <v>0.97</v>
      </c>
      <c r="AL153" s="121" t="n">
        <v>0</v>
      </c>
      <c r="AM153" s="121" t="n">
        <v>0</v>
      </c>
      <c r="AN153" s="122" t="n"/>
      <c r="AO153" s="112" t="n">
        <v>1.39</v>
      </c>
      <c r="AP153" s="121" t="n">
        <v>-3.67</v>
      </c>
      <c r="AQ153" s="121" t="n">
        <v>1.14</v>
      </c>
      <c r="AR153" s="121" t="n">
        <v>-19.37</v>
      </c>
      <c r="AS153" s="121" t="n">
        <v>-3.67</v>
      </c>
      <c r="AT153" s="121" t="n">
        <v>1.14</v>
      </c>
      <c r="AU153" s="121" t="n">
        <v>-19.37</v>
      </c>
      <c r="AV153" s="121" t="n">
        <v>-10.02</v>
      </c>
      <c r="AW153" s="121" t="n">
        <v>-11.5</v>
      </c>
      <c r="AX153" s="121" t="n">
        <v>-25.92</v>
      </c>
      <c r="AY153" s="121" t="n">
        <v>-10.42</v>
      </c>
      <c r="AZ153" s="121" t="n">
        <v>12.64</v>
      </c>
      <c r="BA153" s="121" t="n">
        <v>11.56</v>
      </c>
      <c r="BB153" s="108" t="inlineStr">
        <is>
          <t>Hang Seng Commerce &amp; Industry sub-index</t>
        </is>
      </c>
      <c r="BC153" s="121" t="n">
        <v>26.84</v>
      </c>
      <c r="BD153" s="109" t="n">
        <v>46297</v>
      </c>
      <c r="BE153" s="110" t="n">
        <v>13694.2</v>
      </c>
      <c r="BF153" s="113" t="n">
        <v>1386</v>
      </c>
      <c r="BG153" s="108" t="inlineStr">
        <is>
          <t>Y</t>
        </is>
      </c>
      <c r="BH153" s="123" t="n">
        <v>20</v>
      </c>
      <c r="BI153" s="123" t="n">
        <v>3.4</v>
      </c>
      <c r="BJ153" s="123" t="n">
        <v>7.2</v>
      </c>
      <c r="BK153" s="123" t="n">
        <v>2</v>
      </c>
      <c r="BL153" s="124">
        <f>IF('BBG Verify'!S153="","not filed; run on terminal",'BBG Verify'!S153)</f>
        <v/>
      </c>
      <c r="BM153" s="125" t="inlineStr">
        <is>
          <t>N</t>
        </is>
      </c>
      <c r="BN153" s="126">
        <f>IF('BBG Verify'!K153="","not filed; run on terminal",'BBG Verify'!K153)</f>
        <v/>
      </c>
      <c r="BO153" s="108" t="inlineStr">
        <is>
          <t>N/A</t>
        </is>
      </c>
      <c r="BP153" s="108" t="inlineStr">
        <is>
          <t>N/A</t>
        </is>
      </c>
      <c r="BQ153" s="108" t="inlineStr">
        <is>
          <t>N/A</t>
        </is>
      </c>
      <c r="BR153" s="108" t="inlineStr">
        <is>
          <t>N/A</t>
        </is>
      </c>
      <c r="BS153" s="108" t="inlineStr">
        <is>
          <t>N/A</t>
        </is>
      </c>
      <c r="BT153" s="108" t="inlineStr">
        <is>
          <t>N/A</t>
        </is>
      </c>
      <c r="BU153" s="125" t="inlineStr">
        <is>
          <t>China International Capital Corporation Hong Kong Securities Limited; CMB International Capital Limited</t>
        </is>
      </c>
      <c r="BV153" s="108" t="inlineStr">
        <is>
          <t>China International Capital Corporation Hong Kong Securities Limited; CMB International Capital Limited</t>
        </is>
      </c>
      <c r="BW153" s="108" t="inlineStr">
        <is>
          <t>China International Capital Corporation Hong Kong Securities Limited; CMB International Capital Limited; BOCI Asia Limited; DBS Asia Capital Limited; ABCI Capital Limited; BNP Paribas Securities (Asia) Limited</t>
        </is>
      </c>
      <c r="BX153" s="108" t="inlineStr">
        <is>
          <t>ABCI Securities Company Limited; BNP Paribas Securities (Asia) Limited; BOCI Asia Limited; China International Capital Corporation Hong Kong Securities Limited; CMB International Capital Limited; DBS Asia Capital Limited; Silverbricks Securities Company Limited</t>
        </is>
      </c>
      <c r="BY153" s="127">
        <f>HYPERLINK("https://www1.hkexnews.hk/listedco/listconews/sehk/2022/1121/2022112100023.htm","prospectus")</f>
        <v/>
      </c>
      <c r="BZ153" s="127">
        <f>HYPERLINK("https://www1.hkexnews.hk/listedco/listconews/sehk/2022/1130/2022113000304.htm","allotment")</f>
        <v/>
      </c>
      <c r="CA153" s="127">
        <f>HYPERLINK("https://www1.hkexnews.hk/listedco/listconews/sehk/2022/1228/2022122801241.pdf","stabilisation")</f>
        <v/>
      </c>
      <c r="CB153" s="128" t="n"/>
      <c r="CC153" s="108" t="inlineStr">
        <is>
          <t>price range: fixed-price offering (no indicative range); range low: maximum offer price only, no floor published; cornerstone %: upper bound: AAStocks institutional total / deal size; greenshoe size: no over-allotment option; allocation: allocation table not in this notice's format (older prose announcement); day-1 tape: volume on file; the retail multiple needs the final public split, which this notice does not state</t>
        </is>
      </c>
    </row>
    <row r="154" ht="22" customHeight="1">
      <c r="A154" s="107" t="inlineStr">
        <is>
          <t>6963</t>
        </is>
      </c>
      <c r="B154" s="108" t="inlineStr">
        <is>
          <t>SUNSHINE INS</t>
        </is>
      </c>
      <c r="C154" s="108" t="inlineStr">
        <is>
          <t>陽光保險</t>
        </is>
      </c>
      <c r="D154" s="108" t="inlineStr">
        <is>
          <t>Financials</t>
        </is>
      </c>
      <c r="E154" s="108" t="inlineStr">
        <is>
          <t>Insurance</t>
        </is>
      </c>
      <c r="F154" s="108" t="inlineStr">
        <is>
          <t>Life &amp; Health Insurance</t>
        </is>
      </c>
      <c r="G154" s="108" t="inlineStr">
        <is>
          <t>Standard</t>
        </is>
      </c>
      <c r="H154" s="109" t="n">
        <v>44904</v>
      </c>
      <c r="I154" s="110" t="n">
        <v>6705.4</v>
      </c>
      <c r="J154" s="108" t="inlineStr">
        <is>
          <t>gross (price x shares)</t>
        </is>
      </c>
      <c r="K154" s="129" t="n"/>
      <c r="L154" s="111" t="n">
        <v>6.45</v>
      </c>
      <c r="M154" s="111" t="n">
        <v>5.83</v>
      </c>
      <c r="N154" s="108" t="inlineStr">
        <is>
          <t>N</t>
        </is>
      </c>
      <c r="O154" s="112" t="n">
        <v>90.40000000000001</v>
      </c>
      <c r="P154" s="118" t="n"/>
      <c r="Q154" s="113" t="n">
        <v>59182.7</v>
      </c>
      <c r="R154" s="108" t="inlineStr">
        <is>
          <t>derived:deal size / offer % of enlarged capital</t>
        </is>
      </c>
      <c r="S154" s="114" t="n">
        <v>0.13</v>
      </c>
      <c r="T154" s="115" t="n">
        <v>1.34</v>
      </c>
      <c r="U154" s="116" t="n">
        <v>0</v>
      </c>
      <c r="V154" s="117" t="n">
        <v>53</v>
      </c>
      <c r="W154" s="112" t="n">
        <v>1.26</v>
      </c>
      <c r="X154" s="108" t="inlineStr">
        <is>
          <t>NO</t>
        </is>
      </c>
      <c r="Y154" s="113" t="n">
        <v>6705.4</v>
      </c>
      <c r="Z154" s="113" t="n">
        <v>1150152500</v>
      </c>
      <c r="AA154" s="112" t="n">
        <v>11.33</v>
      </c>
      <c r="AB154" s="108" t="inlineStr">
        <is>
          <t>none — no cornerstone tranche</t>
        </is>
      </c>
      <c r="AC154" s="108" t="inlineStr">
        <is>
          <t>none</t>
        </is>
      </c>
      <c r="AD154" s="112" t="n">
        <v>10</v>
      </c>
      <c r="AE154" s="108" t="inlineStr">
        <is>
          <t>lapsed</t>
        </is>
      </c>
      <c r="AF154" s="108" t="inlineStr">
        <is>
          <t>2023-01-04</t>
        </is>
      </c>
      <c r="AG154" s="108" t="inlineStr">
        <is>
          <t>Huatai Financial Holdings</t>
        </is>
      </c>
      <c r="AH154" s="108" t="inlineStr">
        <is>
          <t>Huatai</t>
        </is>
      </c>
      <c r="AI154" s="120" t="n">
        <v>-0.17</v>
      </c>
      <c r="AJ154" s="121" t="n">
        <v>0</v>
      </c>
      <c r="AK154" s="121" t="n">
        <v>1.56</v>
      </c>
      <c r="AL154" s="121" t="n">
        <v>0</v>
      </c>
      <c r="AM154" s="121" t="n">
        <v>0</v>
      </c>
      <c r="AN154" s="123" t="n">
        <v>4.09</v>
      </c>
      <c r="AO154" s="112" t="n">
        <v>5.49</v>
      </c>
      <c r="AP154" s="121" t="n">
        <v>-27.27</v>
      </c>
      <c r="AQ154" s="121" t="n">
        <v>-12.86</v>
      </c>
      <c r="AR154" s="121" t="n">
        <v>-30.02</v>
      </c>
      <c r="AS154" s="121" t="n">
        <v>-27.27</v>
      </c>
      <c r="AT154" s="121" t="n">
        <v>-12.86</v>
      </c>
      <c r="AU154" s="121" t="n">
        <v>-30.02</v>
      </c>
      <c r="AV154" s="121" t="n">
        <v>-27.83</v>
      </c>
      <c r="AW154" s="121" t="n">
        <v>-23.24</v>
      </c>
      <c r="AX154" s="121" t="n">
        <v>-33.01</v>
      </c>
      <c r="AY154" s="121" t="n">
        <v>-21.55</v>
      </c>
      <c r="AZ154" s="121" t="n">
        <v>10.38</v>
      </c>
      <c r="BA154" s="121" t="n">
        <v>8.69</v>
      </c>
      <c r="BB154" s="108" t="inlineStr">
        <is>
          <t>Hang Seng Finance sub-index</t>
        </is>
      </c>
      <c r="BC154" s="121" t="n">
        <v>-40.91</v>
      </c>
      <c r="BD154" s="109" t="n">
        <v>46297</v>
      </c>
      <c r="BE154" s="110" t="n">
        <v>108190.5</v>
      </c>
      <c r="BF154" s="113" t="n">
        <v>6471.3</v>
      </c>
      <c r="BG154" s="108" t="inlineStr">
        <is>
          <t>Y</t>
        </is>
      </c>
      <c r="BH154" s="123" t="n">
        <v>9.1</v>
      </c>
      <c r="BI154" s="123" t="n">
        <v>7.9</v>
      </c>
      <c r="BJ154" s="123" t="n">
        <v>5.4</v>
      </c>
      <c r="BK154" s="123" t="n">
        <v>0.5</v>
      </c>
      <c r="BL154" s="124">
        <f>IF('BBG Verify'!S154="","not filed; run on terminal",'BBG Verify'!S154)</f>
        <v/>
      </c>
      <c r="BM154" s="125" t="inlineStr">
        <is>
          <t>N</t>
        </is>
      </c>
      <c r="BN154" s="126">
        <f>IF('BBG Verify'!K154="","not filed; run on terminal",'BBG Verify'!K154)</f>
        <v/>
      </c>
      <c r="BO154" s="108" t="inlineStr">
        <is>
          <t>N/A</t>
        </is>
      </c>
      <c r="BP154" s="108" t="inlineStr">
        <is>
          <t>N/A</t>
        </is>
      </c>
      <c r="BQ154" s="108" t="inlineStr">
        <is>
          <t>N/A</t>
        </is>
      </c>
      <c r="BR154" s="108" t="inlineStr">
        <is>
          <t>N/A</t>
        </is>
      </c>
      <c r="BS154" s="108" t="inlineStr">
        <is>
          <t>N/A</t>
        </is>
      </c>
      <c r="BT154" s="108" t="inlineStr">
        <is>
          <t>N/A</t>
        </is>
      </c>
      <c r="BU154" s="125" t="inlineStr">
        <is>
          <t>Huatai Financial Holdings (Hong Kong) Limited; China International Capital Corporation Hong Kong Securities Limited; UBS Securities Hong Kong Limited; CCB International Capital Limited</t>
        </is>
      </c>
      <c r="BV154" s="108" t="inlineStr">
        <is>
          <t>China International Capital Corporation Hong Kong Securities Limited; CCB International Capital Limited; UBS Securities Hong Kong Limited; Huatai Financial Holdings (Hong Kong) Limited</t>
        </is>
      </c>
      <c r="BW154" s="108" t="inlineStr">
        <is>
          <t>Huatai Financial Holdings (Hong Kong) Limited; China International Capital Corporation Hong Kong Securities Limited; UBS AG Hong Kong Branch; CCB International Capital Limited; BNP Paribas Securities (Asia) Limited; BOCOM International Securities Limited; ICBC International Capital Limited; CLSA Limited; ABCI Capital Limited; China Merchants Securities (HK) Co., Limited; Shenwan Hongyuan Securities (H.K.) Limited; Soochow Securities International Brokerage Limited</t>
        </is>
      </c>
      <c r="BX154" s="108" t="inlineStr">
        <is>
          <t>ABCI Securities Company Limited; Beta International Securities Limited; BNP Paribas Securities (Asia) Limited; CCB International Capital Limited; China International Capital Corporation Hong Kong Securities Limited; CMB International Capital Corporation Limited; China Merchants Securities (HK) Company Limited; Huatai Financial Holdings (Hong Kong) Limited; ICBC International Securities Limited; Shenwan Hongyuan Securities (H.K.) Limited; Soochow Securities International Brokerage Limited; UBS AG Hong Kong Branch</t>
        </is>
      </c>
      <c r="BY154" s="127">
        <f>HYPERLINK("https://www1.hkexnews.hk/listedco/listconews/sehk/2022/1130/2022113000027.pdf","prospectus")</f>
        <v/>
      </c>
      <c r="BZ154" s="127">
        <f>HYPERLINK("https://www1.hkexnews.hk/listedco/listconews/sehk/2022/1208/2022120800048.htm","allotment")</f>
        <v/>
      </c>
      <c r="CA154" s="127">
        <f>HYPERLINK("https://www1.hkexnews.hk/listedco/listconews/sehk/2023/0105/2023010500005.pdf","stabilisation")</f>
        <v/>
      </c>
      <c r="CB154" s="128" t="n"/>
      <c r="CC154" s="108" t="inlineStr">
        <is>
          <t>range low: maximum offer price only, no floor published; cornerstone list: no cornerstone tranche</t>
        </is>
      </c>
    </row>
    <row r="155" ht="22" customHeight="1">
      <c r="A155" s="107" t="inlineStr">
        <is>
          <t>2407</t>
        </is>
      </c>
      <c r="B155" s="108" t="inlineStr">
        <is>
          <t>GAUSH MEDITECH</t>
        </is>
      </c>
      <c r="C155" s="108" t="inlineStr">
        <is>
          <t>高視醫療</t>
        </is>
      </c>
      <c r="D155" s="108" t="inlineStr">
        <is>
          <t>Healthcare</t>
        </is>
      </c>
      <c r="E155" s="108" t="inlineStr">
        <is>
          <t>Medical devices</t>
        </is>
      </c>
      <c r="F155" s="108" t="inlineStr">
        <is>
          <t>Health Care Equipment</t>
        </is>
      </c>
      <c r="G155" s="108" t="inlineStr">
        <is>
          <t>Standard</t>
        </is>
      </c>
      <c r="H155" s="109" t="n">
        <v>44907</v>
      </c>
      <c r="I155" s="110" t="n">
        <v>283.1</v>
      </c>
      <c r="J155" s="108" t="inlineStr">
        <is>
          <t>net proceeds</t>
        </is>
      </c>
      <c r="K155" s="129" t="n"/>
      <c r="L155" s="111" t="n">
        <v>51.4</v>
      </c>
      <c r="M155" s="111" t="n">
        <v>51.4</v>
      </c>
      <c r="N155" s="108" t="inlineStr">
        <is>
          <t>Y</t>
        </is>
      </c>
      <c r="O155" s="112" t="n">
        <v>100</v>
      </c>
      <c r="P155" s="118" t="n"/>
      <c r="Q155" s="113" t="n">
        <v>2822.5</v>
      </c>
      <c r="R155" s="108" t="inlineStr">
        <is>
          <t>derived:deal size / offer % of enlarged capital</t>
        </is>
      </c>
      <c r="S155" s="114" t="n">
        <v>1.52</v>
      </c>
      <c r="T155" s="115" t="n">
        <v>1.04</v>
      </c>
      <c r="U155" s="116" t="n">
        <v>94.52</v>
      </c>
      <c r="V155" s="117" t="n">
        <v>102</v>
      </c>
      <c r="W155" s="118" t="n"/>
      <c r="X155" s="119" t="n"/>
      <c r="Y155" s="113" t="n">
        <v>15.51</v>
      </c>
      <c r="Z155" s="131" t="n"/>
      <c r="AA155" s="112" t="n">
        <v>0.55</v>
      </c>
      <c r="AB155" s="108" t="inlineStr">
        <is>
          <t>CL Kiwi Holding Ltd; Jiangsu Sino-German Services Trade Industry Investment Fund L.P; Wuxi Gaoshi Venture Capital L.P; Wuxi Shigao Equity Investment L.P</t>
        </is>
      </c>
      <c r="AC155" s="108" t="inlineStr">
        <is>
          <t>cl;jiangsu;wuxi</t>
        </is>
      </c>
      <c r="AD155" s="112" t="n">
        <v>8.83</v>
      </c>
      <c r="AE155" s="108" t="inlineStr">
        <is>
          <t>partial</t>
        </is>
      </c>
      <c r="AF155" s="108" t="inlineStr">
        <is>
          <t>2023-01-04</t>
        </is>
      </c>
      <c r="AG155" s="119" t="n"/>
      <c r="AH155" s="119" t="n"/>
      <c r="AI155" s="120" t="n">
        <v>-3.5</v>
      </c>
      <c r="AJ155" s="121" t="n">
        <v>0</v>
      </c>
      <c r="AK155" s="121" t="n">
        <v>0.18</v>
      </c>
      <c r="AL155" s="121" t="n">
        <v>-0.39</v>
      </c>
      <c r="AM155" s="121" t="n">
        <v>0.39</v>
      </c>
      <c r="AN155" s="122" t="n"/>
      <c r="AO155" s="112" t="n">
        <v>6.84</v>
      </c>
      <c r="AP155" s="121" t="n">
        <v>0</v>
      </c>
      <c r="AQ155" s="121" t="n">
        <v>-2.72</v>
      </c>
      <c r="AR155" s="121" t="n">
        <v>-4.28</v>
      </c>
      <c r="AS155" s="121" t="n">
        <v>0</v>
      </c>
      <c r="AT155" s="121" t="n">
        <v>-2.72</v>
      </c>
      <c r="AU155" s="121" t="n">
        <v>-4.28</v>
      </c>
      <c r="AV155" s="121" t="n">
        <v>5.08</v>
      </c>
      <c r="AW155" s="121" t="n">
        <v>-13.03</v>
      </c>
      <c r="AX155" s="121" t="n">
        <v>-1.41</v>
      </c>
      <c r="AY155" s="121" t="n">
        <v>-12.83</v>
      </c>
      <c r="AZ155" s="121" t="n">
        <v>10.31</v>
      </c>
      <c r="BA155" s="121" t="n">
        <v>10.11</v>
      </c>
      <c r="BB155" s="108" t="inlineStr">
        <is>
          <t>China Biotech ETF (HS biotech proxy)</t>
        </is>
      </c>
      <c r="BC155" s="121" t="n">
        <v>-91.25</v>
      </c>
      <c r="BD155" s="109" t="n">
        <v>46297</v>
      </c>
      <c r="BE155" s="110" t="n">
        <v>1428</v>
      </c>
      <c r="BF155" s="113" t="n">
        <v>-151.8</v>
      </c>
      <c r="BG155" s="108" t="inlineStr">
        <is>
          <t>N</t>
        </is>
      </c>
      <c r="BH155" s="108" t="inlineStr">
        <is>
          <t>n/m</t>
        </is>
      </c>
      <c r="BI155" s="122" t="n"/>
      <c r="BJ155" s="123" t="n">
        <v>6</v>
      </c>
      <c r="BK155" s="123" t="n">
        <v>2</v>
      </c>
      <c r="BL155" s="124">
        <f>IF('BBG Verify'!S155="","not filed; run on terminal",'BBG Verify'!S155)</f>
        <v/>
      </c>
      <c r="BM155" s="125" t="inlineStr">
        <is>
          <t>N</t>
        </is>
      </c>
      <c r="BN155" s="126">
        <f>IF('BBG Verify'!K155="","not filed; run on terminal",'BBG Verify'!K155)</f>
        <v/>
      </c>
      <c r="BO155" s="108" t="inlineStr">
        <is>
          <t>N/A</t>
        </is>
      </c>
      <c r="BP155" s="108" t="inlineStr">
        <is>
          <t>N/A</t>
        </is>
      </c>
      <c r="BQ155" s="108" t="inlineStr">
        <is>
          <t>N/A</t>
        </is>
      </c>
      <c r="BR155" s="108" t="inlineStr">
        <is>
          <t>N/A</t>
        </is>
      </c>
      <c r="BS155" s="108" t="inlineStr">
        <is>
          <t>N/A</t>
        </is>
      </c>
      <c r="BT155" s="108" t="inlineStr">
        <is>
          <t>N/A</t>
        </is>
      </c>
      <c r="BU155" s="125" t="inlineStr">
        <is>
          <t>Morgan Stanley Asia Limited; Haitong International Capital Limited</t>
        </is>
      </c>
      <c r="BV155" s="108" t="inlineStr">
        <is>
          <t>Morgan Stanley Asia Limited; Haitong International Capital Limited</t>
        </is>
      </c>
      <c r="BW155" s="108" t="inlineStr">
        <is>
          <t>Morgan Stanley Asia Limited; Haitong International Securities Company Limited</t>
        </is>
      </c>
      <c r="BX155" s="108" t="inlineStr">
        <is>
          <t>Daiwa Capital Markets Hong Kong Limited; Futu Securities International (Hong Kong) Limited; Haitong International Securities Company Limited; Maxa Capital Limited; Morgan Stanley Asia Limited; Sinomax Securities Limited; Tiger Brokers (HK) Global Limited</t>
        </is>
      </c>
      <c r="BY155" s="127">
        <f>HYPERLINK("https://www1.hkexnews.hk/listedco/listconews/sehk/2022/1130/2022113000167.pdf","prospectus")</f>
        <v/>
      </c>
      <c r="BZ155" s="127">
        <f>HYPERLINK("https://www1.hkexnews.hk/listedco/listconews/sehk/2022/1209/2022120900012.htm","allotment")</f>
        <v/>
      </c>
      <c r="CA155" s="127">
        <f>HYPERLINK("https://www1.hkexnews.hk/listedco/listconews/sehk/2023/0104/2023010402177.pdf","stabilisation")</f>
        <v/>
      </c>
      <c r="CB155" s="128" t="n"/>
      <c r="CC155" s="108" t="inlineStr">
        <is>
          <t>P/E: loss-making at IPO, use P/S; range low: maximum offer price only, no floor published; stabilising manager: not named in the allotment notice or prospectus glossary; eff float shares: share count unavailable; the HK$m figure is exact; allocation: allocation table not in this notice's format (older prose announcement); day-1 tape: volume on file; the retail multiple needs the final public split, which this notice does not state</t>
        </is>
      </c>
    </row>
    <row r="156" ht="22" customHeight="1">
      <c r="A156" s="107" t="inlineStr">
        <is>
          <t>2440</t>
        </is>
      </c>
      <c r="B156" s="108" t="inlineStr">
        <is>
          <t>HOWKINGTECH</t>
        </is>
      </c>
      <c r="C156" s="108" t="inlineStr">
        <is>
          <t>迷策略</t>
        </is>
      </c>
      <c r="D156" s="108" t="inlineStr">
        <is>
          <t>Tech/AI</t>
        </is>
      </c>
      <c r="E156" s="108" t="inlineStr">
        <is>
          <t>SaaS / enterprise software</t>
        </is>
      </c>
      <c r="F156" s="108" t="inlineStr">
        <is>
          <t>Telecommunications &amp; Networking Equipment</t>
        </is>
      </c>
      <c r="G156" s="108" t="inlineStr">
        <is>
          <t>Standard</t>
        </is>
      </c>
      <c r="H156" s="109" t="n">
        <v>44907</v>
      </c>
      <c r="I156" s="110" t="n">
        <v>98.3</v>
      </c>
      <c r="J156" s="108" t="inlineStr">
        <is>
          <t>gross (price x shares)</t>
        </is>
      </c>
      <c r="K156" s="111" t="n">
        <v>2.73</v>
      </c>
      <c r="L156" s="111" t="n">
        <v>3.28</v>
      </c>
      <c r="M156" s="111" t="n">
        <v>2.73</v>
      </c>
      <c r="N156" s="108" t="inlineStr">
        <is>
          <t>N</t>
        </is>
      </c>
      <c r="O156" s="112" t="n">
        <v>83.2</v>
      </c>
      <c r="P156" s="112" t="n">
        <v>0</v>
      </c>
      <c r="Q156" s="113" t="n">
        <v>614.4</v>
      </c>
      <c r="R156" s="108" t="inlineStr">
        <is>
          <t>derived:deal size / offer % of enlarged capital</t>
        </is>
      </c>
      <c r="S156" s="114" t="n">
        <v>96.73</v>
      </c>
      <c r="T156" s="115" t="n">
        <v>1.1</v>
      </c>
      <c r="U156" s="116" t="n">
        <v>58.333</v>
      </c>
      <c r="V156" s="117" t="n">
        <v>157</v>
      </c>
      <c r="W156" s="112" t="n">
        <v>40</v>
      </c>
      <c r="X156" s="108" t="inlineStr">
        <is>
          <t>YES</t>
        </is>
      </c>
      <c r="Y156" s="113" t="n">
        <v>40.96</v>
      </c>
      <c r="Z156" s="113" t="n">
        <v>15000120</v>
      </c>
      <c r="AA156" s="112" t="n">
        <v>6.67</v>
      </c>
      <c r="AB156" s="108" t="inlineStr">
        <is>
          <t>Anji Jize LLP; Anji Kaize LLP</t>
        </is>
      </c>
      <c r="AC156" s="108" t="inlineStr">
        <is>
          <t>anji</t>
        </is>
      </c>
      <c r="AD156" s="112" t="n">
        <v>9.333</v>
      </c>
      <c r="AE156" s="119" t="n"/>
      <c r="AF156" s="119" t="n"/>
      <c r="AG156" s="108" t="inlineStr">
        <is>
          <t>China PA Securities</t>
        </is>
      </c>
      <c r="AH156" s="108" t="inlineStr">
        <is>
          <t>China PA</t>
        </is>
      </c>
      <c r="AI156" s="120" t="n">
        <v>-16.12</v>
      </c>
      <c r="AJ156" s="121" t="n">
        <v>-26.74</v>
      </c>
      <c r="AK156" s="121" t="n">
        <v>-4.45</v>
      </c>
      <c r="AL156" s="121" t="n">
        <v>-18.68</v>
      </c>
      <c r="AM156" s="121" t="n">
        <v>-9.91</v>
      </c>
      <c r="AN156" s="123" t="n">
        <v>1.09</v>
      </c>
      <c r="AO156" s="112" t="n">
        <v>17.12</v>
      </c>
      <c r="AP156" s="121" t="n">
        <v>-41.76</v>
      </c>
      <c r="AQ156" s="121" t="n">
        <v>-47.25</v>
      </c>
      <c r="AR156" s="121" t="n">
        <v>-44.69</v>
      </c>
      <c r="AS156" s="121" t="n">
        <v>-20.5</v>
      </c>
      <c r="AT156" s="121" t="n">
        <v>-28</v>
      </c>
      <c r="AU156" s="121" t="n">
        <v>-24.5</v>
      </c>
      <c r="AV156" s="121" t="n">
        <v>-35.87</v>
      </c>
      <c r="AW156" s="121" t="n">
        <v>-51.43</v>
      </c>
      <c r="AX156" s="121" t="n">
        <v>-35.55</v>
      </c>
      <c r="AY156" s="121" t="n">
        <v>-37.03</v>
      </c>
      <c r="AZ156" s="121" t="n">
        <v>4.18</v>
      </c>
      <c r="BA156" s="121" t="n">
        <v>9.029999999999999</v>
      </c>
      <c r="BB156" s="108" t="inlineStr">
        <is>
          <t>HSTECH (Hang Seng TECH ETF)</t>
        </is>
      </c>
      <c r="BC156" s="121" t="n">
        <v>-69.95999999999999</v>
      </c>
      <c r="BD156" s="109" t="n">
        <v>46297</v>
      </c>
      <c r="BE156" s="110" t="n">
        <v>208.5</v>
      </c>
      <c r="BF156" s="113" t="n">
        <v>37.8</v>
      </c>
      <c r="BG156" s="108" t="inlineStr">
        <is>
          <t>Y</t>
        </is>
      </c>
      <c r="BH156" s="123" t="n">
        <v>16.3</v>
      </c>
      <c r="BI156" s="122" t="n"/>
      <c r="BJ156" s="122" t="n"/>
      <c r="BK156" s="123" t="n">
        <v>2.9</v>
      </c>
      <c r="BL156" s="124">
        <f>IF('BBG Verify'!S156="","not filed; run on terminal",'BBG Verify'!S156)</f>
        <v/>
      </c>
      <c r="BM156" s="125" t="inlineStr">
        <is>
          <t>N</t>
        </is>
      </c>
      <c r="BN156" s="126">
        <f>IF('BBG Verify'!K156="","not filed; run on terminal",'BBG Verify'!K156)</f>
        <v/>
      </c>
      <c r="BO156" s="108" t="inlineStr">
        <is>
          <t>N/A</t>
        </is>
      </c>
      <c r="BP156" s="108" t="inlineStr">
        <is>
          <t>N/A</t>
        </is>
      </c>
      <c r="BQ156" s="108" t="inlineStr">
        <is>
          <t>N/A</t>
        </is>
      </c>
      <c r="BR156" s="108" t="inlineStr">
        <is>
          <t>N/A</t>
        </is>
      </c>
      <c r="BS156" s="108" t="inlineStr">
        <is>
          <t>N/A</t>
        </is>
      </c>
      <c r="BT156" s="108" t="inlineStr">
        <is>
          <t>N/A</t>
        </is>
      </c>
      <c r="BU156" s="125" t="inlineStr">
        <is>
          <t>Ping An of China Capital (Hong Kong) Company Limited</t>
        </is>
      </c>
      <c r="BV156" s="108" t="inlineStr">
        <is>
          <t>Ping An of China Capital (Hong Kong) Company Limited</t>
        </is>
      </c>
      <c r="BW156" s="108" t="inlineStr">
        <is>
          <t>China PA Securities (Hong Kong) Company Limited; Innovax Securities Limited; CMBC Securities Company Limited; Valuable Capital Limited</t>
        </is>
      </c>
      <c r="BX156" s="108" t="inlineStr">
        <is>
          <t>Central China International Capital Limited; CMBC Securities Company Limited; China PA Securities (Hong Kong) Company Limited; Innovax Securities Limited; Lego Securities Limited; Tiger Brokers (HK) Global Limited; Valuable Capital Limited</t>
        </is>
      </c>
      <c r="BY156" s="127">
        <f>HYPERLINK("https://www1.hkexnews.hk/listedco/listconews/sehk/2022/1130/2022113000131.pdf","prospectus")</f>
        <v/>
      </c>
      <c r="BZ156" s="127">
        <f>HYPERLINK("https://www1.hkexnews.hk/listedco/listconews/sehk/2022/1209/2022120900148.htm","allotment")</f>
        <v/>
      </c>
      <c r="CA156" s="119" t="n"/>
      <c r="CB156" s="128" t="n"/>
      <c r="CC156" s="108" t="inlineStr">
        <is>
          <t>greenshoe: end-of-stabilisation notice not found; returns: returns exclude the entitlement value of 2025-06-24 rights 1-for-2 @ HK$1.262 (now MemeStrategy); Bloomberg back-adjusts by x1.224</t>
        </is>
      </c>
    </row>
    <row r="157" ht="22" customHeight="1">
      <c r="A157" s="107" t="inlineStr">
        <is>
          <t>1947</t>
        </is>
      </c>
      <c r="B157" s="108" t="inlineStr">
        <is>
          <t>MEIHAO GROUP</t>
        </is>
      </c>
      <c r="C157" s="108" t="inlineStr">
        <is>
          <t>美皓集團</t>
        </is>
      </c>
      <c r="D157" s="108" t="inlineStr">
        <is>
          <t>Healthcare</t>
        </is>
      </c>
      <c r="E157" s="108" t="inlineStr">
        <is>
          <t>Hospitals / clinics</t>
        </is>
      </c>
      <c r="F157" s="108" t="inlineStr">
        <is>
          <t>Health Care Services</t>
        </is>
      </c>
      <c r="G157" s="108" t="inlineStr">
        <is>
          <t>Standard</t>
        </is>
      </c>
      <c r="H157" s="109" t="n">
        <v>44909</v>
      </c>
      <c r="I157" s="110" t="n">
        <v>126</v>
      </c>
      <c r="J157" s="108" t="inlineStr">
        <is>
          <t>gross (price x shares)</t>
        </is>
      </c>
      <c r="K157" s="111" t="n">
        <v>0.84</v>
      </c>
      <c r="L157" s="111" t="n">
        <v>1</v>
      </c>
      <c r="M157" s="111" t="n">
        <v>0.84</v>
      </c>
      <c r="N157" s="108" t="inlineStr">
        <is>
          <t>N</t>
        </is>
      </c>
      <c r="O157" s="112" t="n">
        <v>84</v>
      </c>
      <c r="P157" s="112" t="n">
        <v>0</v>
      </c>
      <c r="Q157" s="113" t="n">
        <v>560</v>
      </c>
      <c r="R157" s="108" t="inlineStr">
        <is>
          <t>derived:deal size / offer % of enlarged capital</t>
        </is>
      </c>
      <c r="S157" s="114" t="n">
        <v>41.31</v>
      </c>
      <c r="T157" s="115" t="n">
        <v>1.37</v>
      </c>
      <c r="U157" s="116" t="n">
        <v>0</v>
      </c>
      <c r="V157" s="117" t="n">
        <v>136</v>
      </c>
      <c r="W157" s="112" t="n">
        <v>30</v>
      </c>
      <c r="X157" s="108" t="inlineStr">
        <is>
          <t>YES</t>
        </is>
      </c>
      <c r="Y157" s="113" t="n">
        <v>126</v>
      </c>
      <c r="Z157" s="113" t="n">
        <v>150000000</v>
      </c>
      <c r="AA157" s="112" t="n">
        <v>22.5</v>
      </c>
      <c r="AB157" s="108" t="inlineStr">
        <is>
          <t>none — no cornerstone tranche</t>
        </is>
      </c>
      <c r="AC157" s="108" t="inlineStr">
        <is>
          <t>none</t>
        </is>
      </c>
      <c r="AD157" s="112" t="n">
        <v>10</v>
      </c>
      <c r="AE157" s="108" t="inlineStr">
        <is>
          <t>lapsed (no over-allocation)</t>
        </is>
      </c>
      <c r="AF157" s="108" t="inlineStr">
        <is>
          <t>2023-01-05</t>
        </is>
      </c>
      <c r="AG157" s="108" t="inlineStr">
        <is>
          <t>Innovax Securities Limited</t>
        </is>
      </c>
      <c r="AH157" s="108" t="inlineStr">
        <is>
          <t>Innovax</t>
        </is>
      </c>
      <c r="AI157" s="120" t="n">
        <v>-3.57</v>
      </c>
      <c r="AJ157" s="121" t="n">
        <v>-14.29</v>
      </c>
      <c r="AK157" s="121" t="n">
        <v>-0.29</v>
      </c>
      <c r="AL157" s="121" t="n">
        <v>-9.52</v>
      </c>
      <c r="AM157" s="121" t="n">
        <v>-5.27</v>
      </c>
      <c r="AN157" s="123" t="n">
        <v>1.5</v>
      </c>
      <c r="AO157" s="112" t="n">
        <v>17.11</v>
      </c>
      <c r="AP157" s="121" t="n">
        <v>-39.29</v>
      </c>
      <c r="AQ157" s="121" t="n">
        <v>-36.9</v>
      </c>
      <c r="AR157" s="121" t="n">
        <v>-40.48</v>
      </c>
      <c r="AS157" s="121" t="n">
        <v>-29.17</v>
      </c>
      <c r="AT157" s="121" t="n">
        <v>-26.38</v>
      </c>
      <c r="AU157" s="121" t="n">
        <v>-30.56</v>
      </c>
      <c r="AV157" s="121" t="n">
        <v>-33.66</v>
      </c>
      <c r="AW157" s="121" t="n">
        <v>-46.59</v>
      </c>
      <c r="AX157" s="121" t="n">
        <v>-37.97</v>
      </c>
      <c r="AY157" s="121" t="n">
        <v>-36.38</v>
      </c>
      <c r="AZ157" s="121" t="n">
        <v>9.69</v>
      </c>
      <c r="BA157" s="121" t="n">
        <v>10</v>
      </c>
      <c r="BB157" s="108" t="inlineStr">
        <is>
          <t>China Biotech ETF (HS biotech proxy)</t>
        </is>
      </c>
      <c r="BC157" s="121" t="n">
        <v>-35.71</v>
      </c>
      <c r="BD157" s="109" t="n">
        <v>46297</v>
      </c>
      <c r="BE157" s="110" t="n">
        <v>115.8</v>
      </c>
      <c r="BF157" s="113" t="n">
        <v>35.4</v>
      </c>
      <c r="BG157" s="108" t="inlineStr">
        <is>
          <t>Y</t>
        </is>
      </c>
      <c r="BH157" s="123" t="n">
        <v>15.8</v>
      </c>
      <c r="BI157" s="122" t="n"/>
      <c r="BJ157" s="122" t="n"/>
      <c r="BK157" s="123" t="n">
        <v>4.8</v>
      </c>
      <c r="BL157" s="124">
        <f>IF('BBG Verify'!S157="","not filed; run on terminal",'BBG Verify'!S157)</f>
        <v/>
      </c>
      <c r="BM157" s="125" t="inlineStr">
        <is>
          <t>N</t>
        </is>
      </c>
      <c r="BN157" s="126">
        <f>IF('BBG Verify'!K157="","not filed; run on terminal",'BBG Verify'!K157)</f>
        <v/>
      </c>
      <c r="BO157" s="108" t="inlineStr">
        <is>
          <t>N/A</t>
        </is>
      </c>
      <c r="BP157" s="108" t="inlineStr">
        <is>
          <t>N/A</t>
        </is>
      </c>
      <c r="BQ157" s="108" t="inlineStr">
        <is>
          <t>N/A</t>
        </is>
      </c>
      <c r="BR157" s="108" t="inlineStr">
        <is>
          <t>N/A</t>
        </is>
      </c>
      <c r="BS157" s="108" t="inlineStr">
        <is>
          <t>N/A</t>
        </is>
      </c>
      <c r="BT157" s="108" t="inlineStr">
        <is>
          <t>N/A</t>
        </is>
      </c>
      <c r="BU157" s="125" t="inlineStr">
        <is>
          <t>Innovax Capital Limited; Sinolink Securities (Hong Kong) Company Limited</t>
        </is>
      </c>
      <c r="BV157" s="108" t="inlineStr">
        <is>
          <t>Innovax Capital Limited; Sinolink Securities (Hong Kong) Company Limited</t>
        </is>
      </c>
      <c r="BW157" s="108" t="inlineStr">
        <is>
          <t>Innovax Securities Limited; WE Securities Limited; Sinolink Securities (Hong Kong) Company Limited; Guotai Junan Securities (Hong Kong) Limited; CCB International Capital Limited; CMBC Securities Company Limited; CSFG International Securities Limited; HGNH International Securities Co., Limited</t>
        </is>
      </c>
      <c r="BX157" s="108" t="inlineStr">
        <is>
          <t>CCB International Capital Limited; CMBC Securities Company Limited; CSFG International Securities Limited; Guotai Junan Securities (Hong Kong) Limited; HGNH International Securities Co., Limited; Innovax Securities Limited; Sinolink Securities (Hong Kong) Company Limited; Tiger Brokers (HK) Global Limited; WE Securities Limited</t>
        </is>
      </c>
      <c r="BY157" s="127">
        <f>HYPERLINK("https://www1.hkexnews.hk/listedco/listconews/sehk/2022/1130/2022113000017.pdf","prospectus")</f>
        <v/>
      </c>
      <c r="BZ157" s="127">
        <f>HYPERLINK("https://www1.hkexnews.hk/listedco/listconews/sehk/2022/1213/2022121300028.htm","allotment")</f>
        <v/>
      </c>
      <c r="CA157" s="127">
        <f>HYPERLINK("https://www1.hkexnews.hk/listedco/listconews/sehk/2023/0105/2023010501561.pdf","stabilisation")</f>
        <v/>
      </c>
      <c r="CB157" s="128" t="n"/>
      <c r="CC157" s="108" t="inlineStr">
        <is>
          <t>cornerstone list: no cornerstone tranche</t>
        </is>
      </c>
    </row>
    <row r="158" ht="22" customHeight="1">
      <c r="A158" s="107" t="inlineStr">
        <is>
          <t>1244</t>
        </is>
      </c>
      <c r="B158" s="108" t="inlineStr">
        <is>
          <t>3D MEDICINES-B</t>
        </is>
      </c>
      <c r="C158" s="108" t="inlineStr">
        <is>
          <t>思路迪醫藥股份</t>
        </is>
      </c>
      <c r="D158" s="108" t="inlineStr">
        <is>
          <t>Healthcare</t>
        </is>
      </c>
      <c r="E158" s="108" t="inlineStr">
        <is>
          <t>Biotech pre-revenue (18A)</t>
        </is>
      </c>
      <c r="F158" s="108" t="inlineStr">
        <is>
          <t>Biotechnology - Supplies &amp; Services</t>
        </is>
      </c>
      <c r="G158" s="108" t="inlineStr">
        <is>
          <t>18A</t>
        </is>
      </c>
      <c r="H158" s="109" t="n">
        <v>44910</v>
      </c>
      <c r="I158" s="110" t="n">
        <v>251.1</v>
      </c>
      <c r="J158" s="108" t="inlineStr">
        <is>
          <t>net proceeds</t>
        </is>
      </c>
      <c r="K158" s="111" t="n">
        <v>22.96</v>
      </c>
      <c r="L158" s="111" t="n">
        <v>26.24</v>
      </c>
      <c r="M158" s="111" t="n">
        <v>24.98</v>
      </c>
      <c r="N158" s="108" t="inlineStr">
        <is>
          <t>N</t>
        </is>
      </c>
      <c r="O158" s="112" t="n">
        <v>95.2</v>
      </c>
      <c r="P158" s="112" t="n">
        <v>61.6</v>
      </c>
      <c r="Q158" s="113" t="n">
        <v>6678.6</v>
      </c>
      <c r="R158" s="108" t="inlineStr">
        <is>
          <t>aastocks:上市市值 at the struck price</t>
        </is>
      </c>
      <c r="S158" s="114" t="n">
        <v>5.97</v>
      </c>
      <c r="T158" s="115" t="n">
        <v>1.26</v>
      </c>
      <c r="U158" s="116" t="n">
        <v>62.49</v>
      </c>
      <c r="V158" s="117" t="n">
        <v>109</v>
      </c>
      <c r="W158" s="118" t="n"/>
      <c r="X158" s="119" t="n"/>
      <c r="Y158" s="113" t="n">
        <v>94.19</v>
      </c>
      <c r="Z158" s="131" t="n"/>
      <c r="AA158" s="112" t="n">
        <v>1.41</v>
      </c>
      <c r="AB158" s="108" t="inlineStr">
        <is>
          <t>Harvest International Premium Value (Secondary Market) Fund SPC; Mobilewise Limited; TradArt Investment SP; Xuzhou Economic Technology Development Zone (HK) Investment Co., Limited</t>
        </is>
      </c>
      <c r="AC158" s="108" t="inlineStr">
        <is>
          <t>harvest;mobilewise;tradart;xuzhou</t>
        </is>
      </c>
      <c r="AD158" s="112" t="n">
        <v>7.29</v>
      </c>
      <c r="AE158" s="108" t="inlineStr">
        <is>
          <t>partial</t>
        </is>
      </c>
      <c r="AF158" s="108" t="inlineStr">
        <is>
          <t>2023-01-06</t>
        </is>
      </c>
      <c r="AG158" s="108" t="inlineStr">
        <is>
          <t>China Securities</t>
        </is>
      </c>
      <c r="AH158" s="108" t="inlineStr">
        <is>
          <t>China Securities</t>
        </is>
      </c>
      <c r="AI158" s="120" t="n">
        <v>15.89</v>
      </c>
      <c r="AJ158" s="121" t="n">
        <v>25.9</v>
      </c>
      <c r="AK158" s="121" t="n">
        <v>-1.82</v>
      </c>
      <c r="AL158" s="121" t="n">
        <v>16.09</v>
      </c>
      <c r="AM158" s="121" t="n">
        <v>8.449999999999999</v>
      </c>
      <c r="AN158" s="122" t="n"/>
      <c r="AO158" s="112" t="n">
        <v>15.86</v>
      </c>
      <c r="AP158" s="121" t="n">
        <v>66.13</v>
      </c>
      <c r="AQ158" s="121" t="n">
        <v>139.39</v>
      </c>
      <c r="AR158" s="121" t="n">
        <v>167.21</v>
      </c>
      <c r="AS158" s="121" t="n">
        <v>31.95</v>
      </c>
      <c r="AT158" s="121" t="n">
        <v>90.14</v>
      </c>
      <c r="AU158" s="121" t="n">
        <v>112.24</v>
      </c>
      <c r="AV158" s="121" t="n">
        <v>70.7</v>
      </c>
      <c r="AW158" s="121" t="n">
        <v>129.95</v>
      </c>
      <c r="AX158" s="121" t="n">
        <v>169.24</v>
      </c>
      <c r="AY158" s="121" t="n">
        <v>78.68000000000001</v>
      </c>
      <c r="AZ158" s="121" t="n">
        <v>9.44</v>
      </c>
      <c r="BA158" s="121" t="n">
        <v>11.46</v>
      </c>
      <c r="BB158" s="108" t="inlineStr">
        <is>
          <t>China Biotech ETF (HS biotech proxy)</t>
        </is>
      </c>
      <c r="BC158" s="121" t="n">
        <v>-88.83</v>
      </c>
      <c r="BD158" s="109" t="n">
        <v>46297</v>
      </c>
      <c r="BE158" s="110" t="n">
        <v>177.2</v>
      </c>
      <c r="BF158" s="113" t="n">
        <v>-1577.5</v>
      </c>
      <c r="BG158" s="108" t="inlineStr">
        <is>
          <t>N</t>
        </is>
      </c>
      <c r="BH158" s="108" t="inlineStr">
        <is>
          <t>n/m</t>
        </is>
      </c>
      <c r="BI158" s="122" t="n"/>
      <c r="BJ158" s="122" t="n"/>
      <c r="BK158" s="123" t="n">
        <v>37.7</v>
      </c>
      <c r="BL158" s="124">
        <f>IF('BBG Verify'!S158="","not filed; run on terminal",'BBG Verify'!S158)</f>
        <v/>
      </c>
      <c r="BM158" s="125" t="inlineStr">
        <is>
          <t>N</t>
        </is>
      </c>
      <c r="BN158" s="126">
        <f>IF('BBG Verify'!K158="","not filed; run on terminal",'BBG Verify'!K158)</f>
        <v/>
      </c>
      <c r="BO158" s="108" t="inlineStr">
        <is>
          <t>N/A</t>
        </is>
      </c>
      <c r="BP158" s="108" t="inlineStr">
        <is>
          <t>N/A</t>
        </is>
      </c>
      <c r="BQ158" s="108" t="inlineStr">
        <is>
          <t>N/A</t>
        </is>
      </c>
      <c r="BR158" s="108" t="inlineStr">
        <is>
          <t>N/A</t>
        </is>
      </c>
      <c r="BS158" s="108" t="inlineStr">
        <is>
          <t>N/A</t>
        </is>
      </c>
      <c r="BT158" s="108" t="inlineStr">
        <is>
          <t>N/A</t>
        </is>
      </c>
      <c r="BU158" s="125" t="inlineStr">
        <is>
          <t>China International Capital Corporation Hong Kong Securities Limited; China Securities (International) Corporate Finance Company Limited</t>
        </is>
      </c>
      <c r="BV158" s="108" t="inlineStr">
        <is>
          <t>China International Capital Corporation Hong Kong Securities Limited; China Securities (International) Corporate Finance Company Limited</t>
        </is>
      </c>
      <c r="BW158" s="108" t="inlineStr">
        <is>
          <t>China International Capital Corporation Hong Kong Securities Limited; China Securities (International) Corporate Finance Company Limited; CNCB (Hong Kong) Capital Limited; CCB International Capital Limited; Huarong International Securities Limited; Livermore Holdings Limited; ABCI Capital Limited; Tiger Brokers (HK) Global Limited</t>
        </is>
      </c>
      <c r="BX158" s="108" t="inlineStr">
        <is>
          <t>ABCI Securities Company Limited; CCB International Capital Limited; China International Capital Corporation Hong Kong Securities Limited; CNCB (Hong Kong) Capital Limited; CSFG International Securities Limited; China Securities (International) Corporate Finance Company Limited; Futu Securities International (Hong Kong) Limited; Huarong International Securities Limited; Lego Securities Limited; Livermore Holdings Limited; Tiger Brokers (HK) Global Limited; Valuable Capital Limited</t>
        </is>
      </c>
      <c r="BY158" s="127">
        <f>HYPERLINK("https://www1.hkexnews.hk/listedco/listconews/sehk/2022/1129/2022112900013.pdf","prospectus")</f>
        <v/>
      </c>
      <c r="BZ158" s="127">
        <f>HYPERLINK("https://www1.hkexnews.hk/listedco/listconews/sehk/2022/1214/2022121400036.htm","allotment")</f>
        <v/>
      </c>
      <c r="CA158" s="127">
        <f>HYPERLINK("https://www1.hkexnews.hk/listedco/listconews/sehk/2023/0109/2023010900027.pdf","stabilisation")</f>
        <v/>
      </c>
      <c r="CB158" s="128" t="n"/>
      <c r="CC158" s="108" t="inlineStr">
        <is>
          <t>P/E: loss-making at IPO, use P/S; market cap: published listing cap used; the estimate from deal size / offer % of enlarged capital disagreed; cornerstone: % from the prospectus; AAStocks table includes non-cornerstone orders; eff float shares: share count unavailable; the HK$m figure is exact; allocation: allocation table not in this notice's format (older prose announcement); day-1 tape: volume on file; the retail multiple needs the final public split, which this notice does not state</t>
        </is>
      </c>
    </row>
    <row r="159" ht="22" customHeight="1">
      <c r="A159" s="107" t="inlineStr">
        <is>
          <t>9985</t>
        </is>
      </c>
      <c r="B159" s="108" t="inlineStr">
        <is>
          <t>WEILONG</t>
        </is>
      </c>
      <c r="C159" s="108" t="inlineStr">
        <is>
          <t>衛龍美味</t>
        </is>
      </c>
      <c r="D159" s="108" t="inlineStr">
        <is>
          <t>Consumer</t>
        </is>
      </c>
      <c r="E159" s="108" t="inlineStr">
        <is>
          <t>Beverages / packaged food</t>
        </is>
      </c>
      <c r="F159" s="108" t="inlineStr">
        <is>
          <t>Packaged Foods</t>
        </is>
      </c>
      <c r="G159" s="108" t="inlineStr">
        <is>
          <t>Standard</t>
        </is>
      </c>
      <c r="H159" s="109" t="n">
        <v>44910</v>
      </c>
      <c r="I159" s="110" t="n">
        <v>1018</v>
      </c>
      <c r="J159" s="108" t="inlineStr">
        <is>
          <t>gross (price x shares)</t>
        </is>
      </c>
      <c r="K159" s="111" t="n">
        <v>10.4</v>
      </c>
      <c r="L159" s="111" t="n">
        <v>11.4</v>
      </c>
      <c r="M159" s="111" t="n">
        <v>10.56</v>
      </c>
      <c r="N159" s="108" t="inlineStr">
        <is>
          <t>N</t>
        </is>
      </c>
      <c r="O159" s="112" t="n">
        <v>92.59999999999999</v>
      </c>
      <c r="P159" s="112" t="n">
        <v>16</v>
      </c>
      <c r="Q159" s="113" t="n">
        <v>24829.3</v>
      </c>
      <c r="R159" s="108" t="inlineStr">
        <is>
          <t>derived:deal size / offer % of enlarged capital</t>
        </is>
      </c>
      <c r="S159" s="114" t="n">
        <v>15.3</v>
      </c>
      <c r="T159" s="115" t="n">
        <v>2.6</v>
      </c>
      <c r="U159" s="116" t="n">
        <v>57.46</v>
      </c>
      <c r="V159" s="117" t="n">
        <v>133</v>
      </c>
      <c r="W159" s="112" t="n">
        <v>30</v>
      </c>
      <c r="X159" s="108" t="inlineStr">
        <is>
          <t>YES</t>
        </is>
      </c>
      <c r="Y159" s="113" t="n">
        <v>433.06</v>
      </c>
      <c r="Z159" s="113" t="n">
        <v>41007284</v>
      </c>
      <c r="AA159" s="112" t="n">
        <v>1.74</v>
      </c>
      <c r="AB159" s="108" t="inlineStr">
        <is>
          <t>Media Global Management Limited; Prospect Bridge Value L.P; Sunshine Life Insurance Corporation Limited</t>
        </is>
      </c>
      <c r="AC159" s="108" t="inlineStr">
        <is>
          <t>media;prospect;sunshine</t>
        </is>
      </c>
      <c r="AD159" s="112" t="n">
        <v>17.06</v>
      </c>
      <c r="AE159" s="108" t="inlineStr">
        <is>
          <t>lapsed</t>
        </is>
      </c>
      <c r="AF159" s="108" t="inlineStr">
        <is>
          <t>2023-01-07</t>
        </is>
      </c>
      <c r="AG159" s="108" t="inlineStr">
        <is>
          <t>Morgan Stanley Asia Limited</t>
        </is>
      </c>
      <c r="AH159" s="108" t="inlineStr">
        <is>
          <t>Morgan Stanley</t>
        </is>
      </c>
      <c r="AI159" s="120" t="n">
        <v>-2.08</v>
      </c>
      <c r="AJ159" s="121" t="n">
        <v>-5.11</v>
      </c>
      <c r="AK159" s="121" t="n">
        <v>-2.17</v>
      </c>
      <c r="AL159" s="121" t="n">
        <v>-3.41</v>
      </c>
      <c r="AM159" s="121" t="n">
        <v>-1.76</v>
      </c>
      <c r="AN159" s="123" t="n">
        <v>0.72</v>
      </c>
      <c r="AO159" s="112" t="n">
        <v>7.45</v>
      </c>
      <c r="AP159" s="121" t="n">
        <v>-12.12</v>
      </c>
      <c r="AQ159" s="121" t="n">
        <v>-0.57</v>
      </c>
      <c r="AR159" s="121" t="n">
        <v>7.95</v>
      </c>
      <c r="AS159" s="121" t="n">
        <v>-7.39</v>
      </c>
      <c r="AT159" s="121" t="n">
        <v>4.78</v>
      </c>
      <c r="AU159" s="121" t="n">
        <v>13.76</v>
      </c>
      <c r="AV159" s="121" t="n">
        <v>-12.16</v>
      </c>
      <c r="AW159" s="121" t="n">
        <v>-11.74</v>
      </c>
      <c r="AX159" s="121" t="n">
        <v>10.29</v>
      </c>
      <c r="AY159" s="121" t="n">
        <v>-8.85</v>
      </c>
      <c r="AZ159" s="121" t="n">
        <v>11.17</v>
      </c>
      <c r="BA159" s="121" t="n">
        <v>13.63</v>
      </c>
      <c r="BB159" s="108" t="inlineStr">
        <is>
          <t>Hang Seng Commerce &amp; Industry sub-index</t>
        </is>
      </c>
      <c r="BC159" s="121" t="n">
        <v>-38.45</v>
      </c>
      <c r="BD159" s="109" t="n">
        <v>46297</v>
      </c>
      <c r="BE159" s="110" t="n">
        <v>5280.2</v>
      </c>
      <c r="BF159" s="113" t="n">
        <v>1206.3</v>
      </c>
      <c r="BG159" s="108" t="inlineStr">
        <is>
          <t>Y</t>
        </is>
      </c>
      <c r="BH159" s="123" t="n">
        <v>20.6</v>
      </c>
      <c r="BI159" s="122" t="n"/>
      <c r="BJ159" s="123" t="n">
        <v>12.1</v>
      </c>
      <c r="BK159" s="123" t="n">
        <v>4.7</v>
      </c>
      <c r="BL159" s="124">
        <f>IF('BBG Verify'!S159="","not filed; run on terminal",'BBG Verify'!S159)</f>
        <v/>
      </c>
      <c r="BM159" s="125" t="inlineStr">
        <is>
          <t>N</t>
        </is>
      </c>
      <c r="BN159" s="126">
        <f>IF('BBG Verify'!K159="","not filed; run on terminal",'BBG Verify'!K159)</f>
        <v/>
      </c>
      <c r="BO159" s="108" t="inlineStr">
        <is>
          <t>N/A</t>
        </is>
      </c>
      <c r="BP159" s="108" t="inlineStr">
        <is>
          <t>N/A</t>
        </is>
      </c>
      <c r="BQ159" s="108" t="inlineStr">
        <is>
          <t>N/A</t>
        </is>
      </c>
      <c r="BR159" s="108" t="inlineStr">
        <is>
          <t>N/A</t>
        </is>
      </c>
      <c r="BS159" s="108" t="inlineStr">
        <is>
          <t>N/A</t>
        </is>
      </c>
      <c r="BT159" s="108" t="inlineStr">
        <is>
          <t>N/A</t>
        </is>
      </c>
      <c r="BU159" s="125" t="inlineStr">
        <is>
          <t>Morgan Stanley Asia Limited; China International Capital Corporation Hong Kong Securities Limited</t>
        </is>
      </c>
      <c r="BV159" s="108" t="inlineStr">
        <is>
          <t>China International Capital Corporation Hong Kong Securities Limited; Morgan Stanley Asia Limited; UBS Securities Hong Kong Limited</t>
        </is>
      </c>
      <c r="BW159" s="108" t="inlineStr">
        <is>
          <t>UBS AG Hong Kong Branch; Morgan Stanley Asia Limited; China International Capital Corporation Hong Kong Securities Limited; Futu Securities International (Hong Kong) Limited</t>
        </is>
      </c>
      <c r="BX159" s="108" t="inlineStr">
        <is>
          <t>BNP Paribas Securities (Asia) Limited; CCB International Capital Limited; China International Capital Corporation Hong Kong Securities Limited; Futu Securities International (Hong Kong) Limited; I Win Securities Limited; Morgan Stanley Asia Limited; Silverbricks Securities Company Limited; UBS AG Hong Kong Branch</t>
        </is>
      </c>
      <c r="BY159" s="127">
        <f>HYPERLINK("https://www1.hkexnews.hk/listedco/listconews/sehk/2022/1205/2022120500015.pdf","prospectus")</f>
        <v/>
      </c>
      <c r="BZ159" s="127">
        <f>HYPERLINK("https://www1.hkexnews.hk/listedco/listconews/sehk/2022/1214/2022121400094.htm","allotment")</f>
        <v/>
      </c>
      <c r="CA159" s="127">
        <f>HYPERLINK("https://www1.hkexnews.hk/listedco/listconews/sehk/2023/0109/2023010900033.pdf","stabilisation")</f>
        <v/>
      </c>
      <c r="CB159" s="128" t="n"/>
      <c r="CC159" s="108" t="inlineStr"/>
    </row>
    <row r="160" ht="22" customHeight="1">
      <c r="A160" s="107" t="inlineStr">
        <is>
          <t>2457</t>
        </is>
      </c>
      <c r="B160" s="108" t="inlineStr">
        <is>
          <t>BUYANG INTL</t>
        </is>
      </c>
      <c r="C160" s="108" t="inlineStr">
        <is>
          <t>步陽國際</t>
        </is>
      </c>
      <c r="D160" s="108" t="inlineStr">
        <is>
          <t>Consumer</t>
        </is>
      </c>
      <c r="E160" s="108" t="inlineStr">
        <is>
          <t>Auto parts / supply chain</t>
        </is>
      </c>
      <c r="F160" s="108" t="inlineStr">
        <is>
          <t>Tires &amp; Rubber</t>
        </is>
      </c>
      <c r="G160" s="108" t="inlineStr">
        <is>
          <t>Standard</t>
        </is>
      </c>
      <c r="H160" s="109" t="n">
        <v>44910</v>
      </c>
      <c r="I160" s="110" t="n">
        <v>125</v>
      </c>
      <c r="J160" s="108" t="inlineStr">
        <is>
          <t>gross (price x shares)</t>
        </is>
      </c>
      <c r="K160" s="129" t="n"/>
      <c r="L160" s="111" t="n">
        <v>0.5</v>
      </c>
      <c r="M160" s="111" t="n">
        <v>0.5</v>
      </c>
      <c r="N160" s="108" t="inlineStr">
        <is>
          <t>Y</t>
        </is>
      </c>
      <c r="O160" s="112" t="n">
        <v>100</v>
      </c>
      <c r="P160" s="118" t="n"/>
      <c r="Q160" s="113" t="n">
        <v>600</v>
      </c>
      <c r="R160" s="108" t="inlineStr">
        <is>
          <t>aastocks:上市市值 at the struck price</t>
        </is>
      </c>
      <c r="S160" s="114" t="n">
        <v>51.22</v>
      </c>
      <c r="T160" s="115" t="n">
        <v>1.19</v>
      </c>
      <c r="U160" s="116" t="n">
        <v>24</v>
      </c>
      <c r="V160" s="117" t="n">
        <v>136</v>
      </c>
      <c r="W160" s="112" t="n">
        <v>40</v>
      </c>
      <c r="X160" s="108" t="inlineStr">
        <is>
          <t>YES</t>
        </is>
      </c>
      <c r="Y160" s="113" t="n">
        <v>95</v>
      </c>
      <c r="Z160" s="113" t="n">
        <v>190000000</v>
      </c>
      <c r="AA160" s="112" t="n">
        <v>15.83</v>
      </c>
      <c r="AB160" s="108" t="inlineStr">
        <is>
          <t>Arda (HK) Investment Co., Limited</t>
        </is>
      </c>
      <c r="AC160" s="108" t="inlineStr">
        <is>
          <t>arda</t>
        </is>
      </c>
      <c r="AD160" s="118" t="n"/>
      <c r="AE160" s="108" t="inlineStr">
        <is>
          <t>lapsed (no over-allocation)</t>
        </is>
      </c>
      <c r="AF160" s="119" t="n"/>
      <c r="AG160" s="108" t="inlineStr">
        <is>
          <t>Zhongtai International Securities Limited</t>
        </is>
      </c>
      <c r="AH160" s="108" t="inlineStr">
        <is>
          <t>Zhongtai</t>
        </is>
      </c>
      <c r="AI160" s="120" t="n">
        <v>-20</v>
      </c>
      <c r="AJ160" s="121" t="n">
        <v>-40</v>
      </c>
      <c r="AK160" s="121" t="n">
        <v>-2.17</v>
      </c>
      <c r="AL160" s="121" t="n">
        <v>-29</v>
      </c>
      <c r="AM160" s="121" t="n">
        <v>-15.49</v>
      </c>
      <c r="AN160" s="123" t="n">
        <v>2.2</v>
      </c>
      <c r="AO160" s="112" t="n">
        <v>36.62</v>
      </c>
      <c r="AP160" s="121" t="n">
        <v>-25</v>
      </c>
      <c r="AQ160" s="121" t="n">
        <v>-15</v>
      </c>
      <c r="AR160" s="121" t="n">
        <v>-31</v>
      </c>
      <c r="AS160" s="121" t="n">
        <v>25</v>
      </c>
      <c r="AT160" s="121" t="n">
        <v>41.67</v>
      </c>
      <c r="AU160" s="121" t="n">
        <v>15</v>
      </c>
      <c r="AV160" s="121" t="n">
        <v>-25.04</v>
      </c>
      <c r="AW160" s="121" t="n">
        <v>-26.17</v>
      </c>
      <c r="AX160" s="121" t="n">
        <v>-28.66</v>
      </c>
      <c r="AY160" s="121" t="n">
        <v>28.04</v>
      </c>
      <c r="AZ160" s="121" t="n">
        <v>11.17</v>
      </c>
      <c r="BA160" s="121" t="n">
        <v>13.63</v>
      </c>
      <c r="BB160" s="108" t="inlineStr">
        <is>
          <t>Hang Seng Commerce &amp; Industry sub-index</t>
        </is>
      </c>
      <c r="BC160" s="121" t="n">
        <v>25</v>
      </c>
      <c r="BD160" s="109" t="n">
        <v>46297</v>
      </c>
      <c r="BE160" s="110" t="n">
        <v>484.4</v>
      </c>
      <c r="BF160" s="113" t="n">
        <v>41.4</v>
      </c>
      <c r="BG160" s="108" t="inlineStr">
        <is>
          <t>Y</t>
        </is>
      </c>
      <c r="BH160" s="123" t="n">
        <v>14.5</v>
      </c>
      <c r="BI160" s="122" t="n"/>
      <c r="BJ160" s="123" t="n">
        <v>28.6</v>
      </c>
      <c r="BK160" s="123" t="n">
        <v>1.2</v>
      </c>
      <c r="BL160" s="124">
        <f>IF('BBG Verify'!S160="","not filed; run on terminal",'BBG Verify'!S160)</f>
        <v/>
      </c>
      <c r="BM160" s="125" t="inlineStr">
        <is>
          <t>N</t>
        </is>
      </c>
      <c r="BN160" s="126">
        <f>IF('BBG Verify'!K160="","not filed; run on terminal",'BBG Verify'!K160)</f>
        <v/>
      </c>
      <c r="BO160" s="108" t="inlineStr">
        <is>
          <t>N/A</t>
        </is>
      </c>
      <c r="BP160" s="108" t="inlineStr">
        <is>
          <t>N/A</t>
        </is>
      </c>
      <c r="BQ160" s="108" t="inlineStr">
        <is>
          <t>N/A</t>
        </is>
      </c>
      <c r="BR160" s="108" t="inlineStr">
        <is>
          <t>N/A</t>
        </is>
      </c>
      <c r="BS160" s="108" t="inlineStr">
        <is>
          <t>N/A</t>
        </is>
      </c>
      <c r="BT160" s="108" t="inlineStr">
        <is>
          <t>N/A</t>
        </is>
      </c>
      <c r="BU160" s="125" t="inlineStr">
        <is>
          <t>Zhongtai International Capital Limited; OC Zhongtai International Securities Limited</t>
        </is>
      </c>
      <c r="BV160" s="108" t="inlineStr">
        <is>
          <t>Zhongtai International Capital Limited</t>
        </is>
      </c>
      <c r="BW160" s="108" t="inlineStr">
        <is>
          <t>Zhongtai International Securities Limited; BOCOM International Securities Limited; SPDB International Capital Limited; GF Securities (Hong Kong) Brokerage Limited; CEB International Capital Corporation Limited; Southwest Securities (HK) Brokerage Limited; First Shanghai Securities Limited; China Tonghai Securities Limited; Zheshang International Financial Holdings Co., Limited; ZMF Asset Management Limited</t>
        </is>
      </c>
      <c r="BX160" s="108" t="inlineStr">
        <is>
          <t>Beta International Securities Limited; CEB International Capital Corporation Limited; China Tonghai Securities Limited; China PA Securities (Hong Kong) Company Limited; First Shanghai Securities Limited; GF Securities (Hong Kong) Brokerage Limited; Goldlink Securities Limited; Sunhigh Financial Holdings Limited; SPDB International Capital Limited; Southwest Securities (HK) Brokerage Limited; West Bull Securities Limited; Zheshang International Financial Holdings Co., Limited</t>
        </is>
      </c>
      <c r="BY160" s="127">
        <f>HYPERLINK("https://www1.hkexnews.hk/listedco/listconews/sehk/2022/1129/2022112900024.htm","prospectus")</f>
        <v/>
      </c>
      <c r="BZ160" s="127">
        <f>HYPERLINK("https://www1.hkexnews.hk/listedco/listconews/sehk/2022/1214/2022121400106.htm","allotment")</f>
        <v/>
      </c>
      <c r="CA160" s="127">
        <f>HYPERLINK("https://www1.hkexnews.hk/listedco/listconews/sehk/2023/0106/2023010600817.pdf","stabilisation")</f>
        <v/>
      </c>
      <c r="CB160" s="128" t="n"/>
      <c r="CC160" s="108" t="inlineStr">
        <is>
          <t>greenshoe: outcome published; expiry date not in the notice; range low: maximum offer price only, no floor published; cornerstone %: upper bound: AAStocks institutional total / deal size; greenshoe size: no over-allotment option</t>
        </is>
      </c>
    </row>
    <row r="161" ht="22" customHeight="1">
      <c r="A161" s="107" t="inlineStr">
        <is>
          <t>2145</t>
        </is>
      </c>
      <c r="B161" s="108" t="inlineStr">
        <is>
          <t>CHICMAX</t>
        </is>
      </c>
      <c r="C161" s="108" t="inlineStr">
        <is>
          <t>上美股份</t>
        </is>
      </c>
      <c r="D161" s="108" t="inlineStr">
        <is>
          <t>Consumer</t>
        </is>
      </c>
      <c r="E161" s="108" t="inlineStr">
        <is>
          <t>Beauty / personal care</t>
        </is>
      </c>
      <c r="F161" s="108" t="inlineStr">
        <is>
          <t>Beauty &amp; Toiletries Products and Services</t>
        </is>
      </c>
      <c r="G161" s="108" t="inlineStr">
        <is>
          <t>Standard</t>
        </is>
      </c>
      <c r="H161" s="109" t="n">
        <v>44917</v>
      </c>
      <c r="I161" s="110" t="n">
        <v>931.3</v>
      </c>
      <c r="J161" s="108" t="inlineStr">
        <is>
          <t>gross (price x shares)</t>
        </is>
      </c>
      <c r="K161" s="111" t="n">
        <v>25.2</v>
      </c>
      <c r="L161" s="111" t="n">
        <v>29.8</v>
      </c>
      <c r="M161" s="111" t="n">
        <v>25.2</v>
      </c>
      <c r="N161" s="108" t="inlineStr">
        <is>
          <t>N</t>
        </is>
      </c>
      <c r="O161" s="112" t="n">
        <v>84.59999999999999</v>
      </c>
      <c r="P161" s="112" t="n">
        <v>0</v>
      </c>
      <c r="Q161" s="113" t="n">
        <v>8785.799999999999</v>
      </c>
      <c r="R161" s="108" t="inlineStr">
        <is>
          <t>derived:deal size / offer % of enlarged capital</t>
        </is>
      </c>
      <c r="S161" s="114" t="n">
        <v>0.48</v>
      </c>
      <c r="T161" s="115" t="n">
        <v>1.42</v>
      </c>
      <c r="U161" s="116" t="n">
        <v>0</v>
      </c>
      <c r="V161" s="117" t="n">
        <v>141</v>
      </c>
      <c r="W161" s="118" t="n"/>
      <c r="X161" s="119" t="n"/>
      <c r="Y161" s="113" t="n">
        <v>931.3</v>
      </c>
      <c r="Z161" s="113" t="n">
        <v>36958000</v>
      </c>
      <c r="AA161" s="112" t="n">
        <v>10.6</v>
      </c>
      <c r="AB161" s="108" t="inlineStr">
        <is>
          <t>none — no cornerstone tranche</t>
        </is>
      </c>
      <c r="AC161" s="108" t="inlineStr">
        <is>
          <t>none</t>
        </is>
      </c>
      <c r="AD161" s="112" t="n">
        <v>10.6</v>
      </c>
      <c r="AE161" s="108" t="inlineStr">
        <is>
          <t>partial</t>
        </is>
      </c>
      <c r="AF161" s="108" t="inlineStr">
        <is>
          <t>2023-01-14</t>
        </is>
      </c>
      <c r="AG161" s="108" t="inlineStr">
        <is>
          <t>China International Capital Corporation Hong Kong Securities Limited</t>
        </is>
      </c>
      <c r="AH161" s="108" t="inlineStr">
        <is>
          <t>China International</t>
        </is>
      </c>
      <c r="AI161" s="120" t="n">
        <v>-1.39</v>
      </c>
      <c r="AJ161" s="121" t="n">
        <v>0</v>
      </c>
      <c r="AK161" s="121" t="n">
        <v>3.87</v>
      </c>
      <c r="AL161" s="121" t="n">
        <v>0</v>
      </c>
      <c r="AM161" s="121" t="n">
        <v>0</v>
      </c>
      <c r="AN161" s="122" t="n"/>
      <c r="AO161" s="112" t="n">
        <v>7.14</v>
      </c>
      <c r="AP161" s="121" t="n">
        <v>19.05</v>
      </c>
      <c r="AQ161" s="121" t="n">
        <v>20.63</v>
      </c>
      <c r="AR161" s="121" t="n">
        <v>0.79</v>
      </c>
      <c r="AS161" s="121" t="n">
        <v>19.05</v>
      </c>
      <c r="AT161" s="121" t="n">
        <v>20.63</v>
      </c>
      <c r="AU161" s="121" t="n">
        <v>0.79</v>
      </c>
      <c r="AV161" s="121" t="n">
        <v>13.54</v>
      </c>
      <c r="AW161" s="121" t="n">
        <v>3.49</v>
      </c>
      <c r="AX161" s="121" t="n">
        <v>-5.67</v>
      </c>
      <c r="AY161" s="121" t="n">
        <v>7.86</v>
      </c>
      <c r="AZ161" s="121" t="n">
        <v>17.14</v>
      </c>
      <c r="BA161" s="121" t="n">
        <v>12.77</v>
      </c>
      <c r="BB161" s="108" t="inlineStr">
        <is>
          <t>Hang Seng Commerce &amp; Industry sub-index</t>
        </is>
      </c>
      <c r="BC161" s="121" t="n">
        <v>-17.54</v>
      </c>
      <c r="BD161" s="109" t="n">
        <v>46297</v>
      </c>
      <c r="BE161" s="110" t="n">
        <v>3980.8</v>
      </c>
      <c r="BF161" s="113" t="n">
        <v>372.7</v>
      </c>
      <c r="BG161" s="108" t="inlineStr">
        <is>
          <t>Y</t>
        </is>
      </c>
      <c r="BH161" s="123" t="n">
        <v>23.6</v>
      </c>
      <c r="BI161" s="122" t="n"/>
      <c r="BJ161" s="123" t="n">
        <v>9</v>
      </c>
      <c r="BK161" s="123" t="n">
        <v>2.2</v>
      </c>
      <c r="BL161" s="124">
        <f>IF('BBG Verify'!S161="","not filed; run on terminal",'BBG Verify'!S161)</f>
        <v/>
      </c>
      <c r="BM161" s="125" t="inlineStr">
        <is>
          <t>N</t>
        </is>
      </c>
      <c r="BN161" s="126">
        <f>IF('BBG Verify'!K161="","not filed; run on terminal",'BBG Verify'!K161)</f>
        <v/>
      </c>
      <c r="BO161" s="108" t="inlineStr">
        <is>
          <t>N/A</t>
        </is>
      </c>
      <c r="BP161" s="108" t="inlineStr">
        <is>
          <t>N/A</t>
        </is>
      </c>
      <c r="BQ161" s="108" t="inlineStr">
        <is>
          <t>N/A</t>
        </is>
      </c>
      <c r="BR161" s="108" t="inlineStr">
        <is>
          <t>N/A</t>
        </is>
      </c>
      <c r="BS161" s="108" t="inlineStr">
        <is>
          <t>N/A</t>
        </is>
      </c>
      <c r="BT161" s="108" t="inlineStr">
        <is>
          <t>N/A</t>
        </is>
      </c>
      <c r="BU161" s="125" t="inlineStr">
        <is>
          <t>J.P. Morgan Securities (Far East) Limited; China International Capital Corporation Hong Kong Securities Limited; CLSA Capital Markets Limited</t>
        </is>
      </c>
      <c r="BV161" s="108" t="inlineStr">
        <is>
          <t>China International Capital Corporation Hong Kong Securities Limited; J.P. Morgan Securities (Far East) Limited; CLSA Capital Markets Limited</t>
        </is>
      </c>
      <c r="BW161" s="108" t="inlineStr">
        <is>
          <t>J.P. Morgan Securities (Asia Pacific) Limited; China International Capital Corporation Hong Kong Securities Limited; CLSA Limited; J.P. Morgan Securities plc; Shenwan Hongyuan Securities (H.K.) Limited; Tiger Brokers (HK) Global Limited; Futu Securities International (Hong Kong) Limited; Valuable Capital Limited; BOCI Asia Limited</t>
        </is>
      </c>
      <c r="BX161" s="108" t="inlineStr">
        <is>
          <t>BOCI Asia Limited; China International Capital Corporation Hong Kong Securities Limited; CLSA Limited; Futu Securities International (Hong Kong) Limited; J.P. Morgan Securities (Asia Pacific) Limited; Shenwan Hongyuan Securities (H.K.) Limited; Tiger Brokers (HK) Global Limited; Valuable Capital Limited; Zhongtai International Securities Limited</t>
        </is>
      </c>
      <c r="BY161" s="127">
        <f>HYPERLINK("https://www1.hkexnews.hk/listedco/listconews/sehk/2022/1212/2022121200011.pdf","prospectus")</f>
        <v/>
      </c>
      <c r="BZ161" s="127">
        <f>HYPERLINK("https://www1.hkexnews.hk/listedco/listconews/sehk/2022/1221/2022122100048.htm","allotment")</f>
        <v/>
      </c>
      <c r="CA161" s="127">
        <f>HYPERLINK("https://www1.hkexnews.hk/listedco/listconews/sehk/2023/0116/2023011600073.pdf","stabilisation")</f>
        <v/>
      </c>
      <c r="CB161" s="128" t="n"/>
      <c r="CC161" s="108" t="inlineStr">
        <is>
          <t>cornerstone list: no cornerstone tranche; allocation: allocation table not in this notice's format (older prose announcement); day-1 tape: volume on file; the retail multiple needs the final public split, which this notice does not state</t>
        </is>
      </c>
    </row>
    <row r="162" ht="22" customHeight="1">
      <c r="A162" s="107" t="inlineStr">
        <is>
          <t>0314</t>
        </is>
      </c>
      <c r="B162" s="108" t="inlineStr">
        <is>
          <t>SIPAI HEALTH</t>
        </is>
      </c>
      <c r="C162" s="108" t="inlineStr">
        <is>
          <t>思派健康</t>
        </is>
      </c>
      <c r="D162" s="108" t="inlineStr">
        <is>
          <t>Healthcare</t>
        </is>
      </c>
      <c r="E162" s="108" t="inlineStr">
        <is>
          <t>Digital health</t>
        </is>
      </c>
      <c r="F162" s="108" t="inlineStr">
        <is>
          <t>Health Care Supplies</t>
        </is>
      </c>
      <c r="G162" s="108" t="inlineStr">
        <is>
          <t>Standard</t>
        </is>
      </c>
      <c r="H162" s="109" t="n">
        <v>44918</v>
      </c>
      <c r="I162" s="110" t="n">
        <v>184.5</v>
      </c>
      <c r="J162" s="108" t="inlineStr">
        <is>
          <t>gross (price x shares)</t>
        </is>
      </c>
      <c r="K162" s="129" t="n"/>
      <c r="L162" s="111" t="n">
        <v>18.6</v>
      </c>
      <c r="M162" s="111" t="n">
        <v>18.6</v>
      </c>
      <c r="N162" s="108" t="inlineStr">
        <is>
          <t>Y</t>
        </is>
      </c>
      <c r="O162" s="112" t="n">
        <v>100</v>
      </c>
      <c r="P162" s="118" t="n"/>
      <c r="Q162" s="136">
        <f>IF('BBG Verify'!M162="","not filed; run on terminal",'BBG Verify'!M162)</f>
        <v/>
      </c>
      <c r="R162" s="119" t="n"/>
      <c r="S162" s="114" t="n">
        <v>8.27</v>
      </c>
      <c r="T162" s="115" t="n">
        <v>1.41</v>
      </c>
      <c r="U162" s="116" t="n">
        <v>0</v>
      </c>
      <c r="V162" s="117" t="n">
        <v>124</v>
      </c>
      <c r="W162" s="118" t="n"/>
      <c r="X162" s="119" t="n"/>
      <c r="Y162" s="113" t="n">
        <v>184.5</v>
      </c>
      <c r="Z162" s="113" t="n">
        <v>9919400</v>
      </c>
      <c r="AA162" s="118" t="n"/>
      <c r="AB162" s="108" t="inlineStr">
        <is>
          <t>none — no cornerstone tranche</t>
        </is>
      </c>
      <c r="AC162" s="108" t="inlineStr">
        <is>
          <t>none</t>
        </is>
      </c>
      <c r="AD162" s="118" t="n"/>
      <c r="AE162" s="108" t="inlineStr">
        <is>
          <t>lapsed</t>
        </is>
      </c>
      <c r="AF162" s="108" t="inlineStr">
        <is>
          <t>2023-01-14</t>
        </is>
      </c>
      <c r="AG162" s="108" t="inlineStr">
        <is>
          <t>Morgan Stanley Asia Limited</t>
        </is>
      </c>
      <c r="AH162" s="108" t="inlineStr">
        <is>
          <t>Morgan Stanley</t>
        </is>
      </c>
      <c r="AI162" s="120" t="n">
        <v>29.03</v>
      </c>
      <c r="AJ162" s="121" t="n">
        <v>34.41</v>
      </c>
      <c r="AK162" s="121" t="n">
        <v>0.62</v>
      </c>
      <c r="AL162" s="121" t="n">
        <v>27.42</v>
      </c>
      <c r="AM162" s="121" t="n">
        <v>5.49</v>
      </c>
      <c r="AN162" s="122" t="n"/>
      <c r="AO162" s="112" t="n">
        <v>19.41</v>
      </c>
      <c r="AP162" s="121" t="n">
        <v>0</v>
      </c>
      <c r="AQ162" s="121" t="n">
        <v>7.42</v>
      </c>
      <c r="AR162" s="121" t="n">
        <v>97.84999999999999</v>
      </c>
      <c r="AS162" s="121" t="n">
        <v>-25.6</v>
      </c>
      <c r="AT162" s="121" t="n">
        <v>-20.08</v>
      </c>
      <c r="AU162" s="121" t="n">
        <v>47.2</v>
      </c>
      <c r="AV162" s="121" t="n">
        <v>-8.31</v>
      </c>
      <c r="AW162" s="121" t="n">
        <v>-5.25</v>
      </c>
      <c r="AX162" s="121" t="n">
        <v>97.47</v>
      </c>
      <c r="AY162" s="121" t="n">
        <v>-32.05</v>
      </c>
      <c r="AZ162" s="121" t="n">
        <v>12.67</v>
      </c>
      <c r="BA162" s="121" t="n">
        <v>11.97</v>
      </c>
      <c r="BB162" s="108" t="inlineStr">
        <is>
          <t>China Biotech ETF (HS biotech proxy)</t>
        </is>
      </c>
      <c r="BC162" s="121" t="n">
        <v>-91.77</v>
      </c>
      <c r="BD162" s="109" t="n">
        <v>46297</v>
      </c>
      <c r="BE162" s="110" t="n">
        <v>3821.3</v>
      </c>
      <c r="BF162" s="113" t="n">
        <v>-4114.5</v>
      </c>
      <c r="BG162" s="108" t="inlineStr">
        <is>
          <t>N</t>
        </is>
      </c>
      <c r="BH162" s="108" t="inlineStr">
        <is>
          <t>n/m</t>
        </is>
      </c>
      <c r="BI162" s="122" t="n"/>
      <c r="BJ162" s="122" t="n"/>
      <c r="BK162" s="122" t="n"/>
      <c r="BL162" s="124">
        <f>IF('BBG Verify'!S162="","not filed; run on terminal",'BBG Verify'!S162)</f>
        <v/>
      </c>
      <c r="BM162" s="125" t="inlineStr">
        <is>
          <t>N</t>
        </is>
      </c>
      <c r="BN162" s="126">
        <f>IF('BBG Verify'!K162="","not filed; run on terminal",'BBG Verify'!K162)</f>
        <v/>
      </c>
      <c r="BO162" s="108" t="inlineStr">
        <is>
          <t>N/A</t>
        </is>
      </c>
      <c r="BP162" s="108" t="inlineStr">
        <is>
          <t>N/A</t>
        </is>
      </c>
      <c r="BQ162" s="108" t="inlineStr">
        <is>
          <t>N/A</t>
        </is>
      </c>
      <c r="BR162" s="108" t="inlineStr">
        <is>
          <t>N/A</t>
        </is>
      </c>
      <c r="BS162" s="108" t="inlineStr">
        <is>
          <t>N/A</t>
        </is>
      </c>
      <c r="BT162" s="108" t="inlineStr">
        <is>
          <t>N/A</t>
        </is>
      </c>
      <c r="BU162" s="125" t="inlineStr">
        <is>
          <t>Morgan Stanley Asia Limited; Haitong International Capital Limited; Haitong International Securities Company Limited</t>
        </is>
      </c>
      <c r="BV162" s="108" t="inlineStr">
        <is>
          <t>Morgan Stanley Asia Limited; Haitong International Capital Limited</t>
        </is>
      </c>
      <c r="BW162" s="108" t="inlineStr">
        <is>
          <t>Futu Securities International (Hong Kong) Limited; Haitong International Securities Company Limited; I Win Securities Limited; Maxa Capital Limited; Morgan Stanley Asia Limited</t>
        </is>
      </c>
      <c r="BX162" s="108" t="inlineStr">
        <is>
          <t>Futu Securities International (Hong Kong) Limited; Haitong International Securities Company Limited; I Win Securities Limited; Maxa Capital Limited; Morgan Stanley Asia Limited</t>
        </is>
      </c>
      <c r="BY162" s="127">
        <f>HYPERLINK("https://www1.hkexnews.hk/listedco/listconews/sehk/2022/1212/2022121200024.htm","prospectus")</f>
        <v/>
      </c>
      <c r="BZ162" s="127">
        <f>HYPERLINK("https://www1.hkexnews.hk/listedco/listconews/sehk/2022/1222/2022122200018.htm","allotment")</f>
        <v/>
      </c>
      <c r="CA162" s="127">
        <f>HYPERLINK("https://www1.hkexnews.hk/listedco/listconews/sehk/2023/0115/2023011500007.pdf","stabilisation")</f>
        <v/>
      </c>
      <c r="CB162" s="128" t="n"/>
      <c r="CC162" s="108" t="inlineStr">
        <is>
          <t>P/E: loss-making at IPO, use P/S; price range: fixed-price offering (no indicative range); range low: maximum offer price only, no floor published; market cap: no share count, offer % of capital or published listing cap; cornerstone list: no cornerstone tranche; greenshoe size: no over-allotment option; P/S: market cap not derivable; eff free float: % of cap not computable: market cap not derivable; allocation: allocation table not in this notice's format (older prose announcement); day-1 tape: volume on file; the retail multiple needs the final public split, which this notice does not state</t>
        </is>
      </c>
    </row>
    <row r="163" ht="22" customHeight="1">
      <c r="A163" s="107" t="inlineStr">
        <is>
          <t>6929</t>
        </is>
      </c>
      <c r="B163" s="108" t="inlineStr">
        <is>
          <t>ORBUSNEICH</t>
        </is>
      </c>
      <c r="C163" s="108" t="inlineStr">
        <is>
          <t>業聚醫療</t>
        </is>
      </c>
      <c r="D163" s="108" t="inlineStr">
        <is>
          <t>Healthcare</t>
        </is>
      </c>
      <c r="E163" s="108" t="inlineStr">
        <is>
          <t>Medical devices</t>
        </is>
      </c>
      <c r="F163" s="108" t="inlineStr">
        <is>
          <t>Health Care Equipment</t>
        </is>
      </c>
      <c r="G163" s="108" t="inlineStr">
        <is>
          <t>Standard</t>
        </is>
      </c>
      <c r="H163" s="109" t="n">
        <v>44918</v>
      </c>
      <c r="I163" s="110" t="n">
        <v>480.8</v>
      </c>
      <c r="J163" s="108" t="inlineStr">
        <is>
          <t>gross (price x shares)</t>
        </is>
      </c>
      <c r="K163" s="129" t="n"/>
      <c r="L163" s="111" t="n">
        <v>8.800000000000001</v>
      </c>
      <c r="M163" s="111" t="n">
        <v>8.800000000000001</v>
      </c>
      <c r="N163" s="108" t="inlineStr">
        <is>
          <t>Y</t>
        </is>
      </c>
      <c r="O163" s="112" t="n">
        <v>100</v>
      </c>
      <c r="P163" s="118" t="n"/>
      <c r="Q163" s="113" t="n">
        <v>7284</v>
      </c>
      <c r="R163" s="108" t="inlineStr">
        <is>
          <t>prospectus:stated market capitalisation</t>
        </is>
      </c>
      <c r="S163" s="114" t="n">
        <v>2.01</v>
      </c>
      <c r="T163" s="115" t="n">
        <v>1.09</v>
      </c>
      <c r="U163" s="116" t="n">
        <v>72.59999999999999</v>
      </c>
      <c r="V163" s="117" t="n">
        <v>115</v>
      </c>
      <c r="W163" s="118" t="n"/>
      <c r="X163" s="119" t="n"/>
      <c r="Y163" s="113" t="n">
        <v>131.74</v>
      </c>
      <c r="Z163" s="113" t="n">
        <v>14969442</v>
      </c>
      <c r="AA163" s="112" t="n">
        <v>1.81</v>
      </c>
      <c r="AB163" s="108" t="inlineStr">
        <is>
          <t>Hangzhou Fuyang Industrial Fund Investment Management Co., Ltd</t>
        </is>
      </c>
      <c r="AC163" s="108" t="inlineStr">
        <is>
          <t>hangzhou-fuyang</t>
        </is>
      </c>
      <c r="AD163" s="118" t="n"/>
      <c r="AE163" s="119" t="n"/>
      <c r="AF163" s="119" t="n"/>
      <c r="AG163" s="119" t="n"/>
      <c r="AH163" s="119" t="n"/>
      <c r="AI163" s="120" t="n">
        <v>-2.27</v>
      </c>
      <c r="AJ163" s="121" t="n">
        <v>3.98</v>
      </c>
      <c r="AK163" s="121" t="n">
        <v>0.62</v>
      </c>
      <c r="AL163" s="121" t="n">
        <v>0</v>
      </c>
      <c r="AM163" s="121" t="n">
        <v>3.98</v>
      </c>
      <c r="AN163" s="122" t="n"/>
      <c r="AO163" s="112" t="n">
        <v>12.5</v>
      </c>
      <c r="AP163" s="121" t="n">
        <v>-5.11</v>
      </c>
      <c r="AQ163" s="121" t="n">
        <v>-6.25</v>
      </c>
      <c r="AR163" s="121" t="n">
        <v>45.68</v>
      </c>
      <c r="AS163" s="121" t="n">
        <v>-8.74</v>
      </c>
      <c r="AT163" s="121" t="n">
        <v>-9.84</v>
      </c>
      <c r="AU163" s="121" t="n">
        <v>40.1</v>
      </c>
      <c r="AV163" s="121" t="n">
        <v>-13.42</v>
      </c>
      <c r="AW163" s="121" t="n">
        <v>-18.92</v>
      </c>
      <c r="AX163" s="121" t="n">
        <v>45.3</v>
      </c>
      <c r="AY163" s="121" t="n">
        <v>-21.81</v>
      </c>
      <c r="AZ163" s="121" t="n">
        <v>12.67</v>
      </c>
      <c r="BA163" s="121" t="n">
        <v>11.97</v>
      </c>
      <c r="BB163" s="108" t="inlineStr">
        <is>
          <t>China Biotech ETF (HS biotech proxy)</t>
        </is>
      </c>
      <c r="BC163" s="121" t="n">
        <v>-57.16</v>
      </c>
      <c r="BD163" s="109" t="n">
        <v>46297</v>
      </c>
      <c r="BE163" s="110" t="n">
        <v>908.4</v>
      </c>
      <c r="BF163" s="113" t="n">
        <v>-10.3</v>
      </c>
      <c r="BG163" s="108" t="inlineStr">
        <is>
          <t>N</t>
        </is>
      </c>
      <c r="BH163" s="108" t="inlineStr">
        <is>
          <t>n/m</t>
        </is>
      </c>
      <c r="BI163" s="122" t="n"/>
      <c r="BJ163" s="123" t="n">
        <v>9.699999999999999</v>
      </c>
      <c r="BK163" s="123" t="n">
        <v>8</v>
      </c>
      <c r="BL163" s="124">
        <f>IF('BBG Verify'!S163="","not filed; run on terminal",'BBG Verify'!S163)</f>
        <v/>
      </c>
      <c r="BM163" s="125" t="inlineStr">
        <is>
          <t>N</t>
        </is>
      </c>
      <c r="BN163" s="126">
        <f>IF('BBG Verify'!K163="","not filed; run on terminal",'BBG Verify'!K163)</f>
        <v/>
      </c>
      <c r="BO163" s="108" t="inlineStr">
        <is>
          <t>N/A</t>
        </is>
      </c>
      <c r="BP163" s="108" t="inlineStr">
        <is>
          <t>N/A</t>
        </is>
      </c>
      <c r="BQ163" s="108" t="inlineStr">
        <is>
          <t>N/A</t>
        </is>
      </c>
      <c r="BR163" s="108" t="inlineStr">
        <is>
          <t>N/A</t>
        </is>
      </c>
      <c r="BS163" s="108" t="inlineStr">
        <is>
          <t>N/A</t>
        </is>
      </c>
      <c r="BT163" s="108" t="inlineStr">
        <is>
          <t>N/A</t>
        </is>
      </c>
      <c r="BU163" s="125" t="inlineStr">
        <is>
          <t>China International Capital Corporation Hong Kong Securities Limited; CCB International Capital Limited</t>
        </is>
      </c>
      <c r="BV163" s="108" t="inlineStr">
        <is>
          <t>CCB International Capital Limited; China International Capital Corporation (HK) Ltd</t>
        </is>
      </c>
      <c r="BW163" s="108" t="inlineStr">
        <is>
          <t>China International Capital Corporation Hong Kong Securities Limited; CCB International Capital Limited; BNP Paribas Securities (Asia) Limited; CLSA Limited; China Merchants Securities (HK) Co., Limited; ZMF Asset Management Limited; Futu Securities International (Hong Kong) Limited</t>
        </is>
      </c>
      <c r="BX163" s="108" t="inlineStr">
        <is>
          <t>BNP Paribas Securities (Asia) Limited; CCB International Capital Limited; China International Capital Corporation Hong Kong Securities Limited; CLSA Limited; China Merchants Securities (HK) Company Limited; Futu Securities International (Hong Kong) Limited; Yue Xiu Securities Company Limited; ZMF Asset Management Limited</t>
        </is>
      </c>
      <c r="BY163" s="127">
        <f>HYPERLINK("https://www1.hkexnews.hk/listedco/listconews/sehk/2022/1213/2022121300009.pdf","prospectus")</f>
        <v/>
      </c>
      <c r="BZ163" s="127">
        <f>HYPERLINK("https://www1.hkexnews.hk/listedco/listconews/sehk/2022/1222/2022122200034.htm","allotment")</f>
        <v/>
      </c>
      <c r="CA163" s="119" t="n"/>
      <c r="CB163" s="128" t="n"/>
      <c r="CC163" s="108" t="inlineStr">
        <is>
          <t>P/E: loss-making at IPO, use P/S; greenshoe: no over-allotment option; range low: maximum offer price only, no floor published; greenshoe size: no over-allotment option; stabilising manager: no over-allotment option, so none appointed; allocation: allocation table not in this notice's format (older prose announcement); day-1 tape: volume on file; the retail multiple needs the final public split, which this notice does not state</t>
        </is>
      </c>
    </row>
    <row r="164" ht="22" customHeight="1">
      <c r="A164" s="107" t="inlineStr">
        <is>
          <t>2427</t>
        </is>
      </c>
      <c r="B164" s="108" t="inlineStr">
        <is>
          <t>GUANZE MEDICAL</t>
        </is>
      </c>
      <c r="C164" s="108" t="inlineStr">
        <is>
          <t>GUANZE MEDICAL</t>
        </is>
      </c>
      <c r="D164" s="108" t="inlineStr">
        <is>
          <t>Healthcare</t>
        </is>
      </c>
      <c r="E164" s="108" t="inlineStr">
        <is>
          <t>Medical devices</t>
        </is>
      </c>
      <c r="F164" s="108" t="inlineStr">
        <is>
          <t>Health Care Services</t>
        </is>
      </c>
      <c r="G164" s="108" t="inlineStr">
        <is>
          <t>Standard</t>
        </is>
      </c>
      <c r="H164" s="109" t="n">
        <v>44924</v>
      </c>
      <c r="I164" s="110" t="n">
        <v>102.2</v>
      </c>
      <c r="J164" s="108" t="inlineStr">
        <is>
          <t>gross (price x shares)</t>
        </is>
      </c>
      <c r="K164" s="111" t="n">
        <v>0.53</v>
      </c>
      <c r="L164" s="111" t="n">
        <v>0.63</v>
      </c>
      <c r="M164" s="111" t="n">
        <v>0.53</v>
      </c>
      <c r="N164" s="108" t="inlineStr">
        <is>
          <t>N</t>
        </is>
      </c>
      <c r="O164" s="112" t="n">
        <v>84.09999999999999</v>
      </c>
      <c r="P164" s="112" t="n">
        <v>0</v>
      </c>
      <c r="Q164" s="113" t="n">
        <v>551</v>
      </c>
      <c r="R164" s="108" t="inlineStr">
        <is>
          <t>aastocks:上市市值 at the struck price</t>
        </is>
      </c>
      <c r="S164" s="114" t="n">
        <v>14.23</v>
      </c>
      <c r="T164" s="115" t="n">
        <v>1.2</v>
      </c>
      <c r="U164" s="116" t="n">
        <v>24</v>
      </c>
      <c r="V164" s="117" t="n">
        <v>147</v>
      </c>
      <c r="W164" s="118" t="n"/>
      <c r="X164" s="119" t="n"/>
      <c r="Y164" s="113" t="n">
        <v>77.67</v>
      </c>
      <c r="Z164" s="113" t="n">
        <v>146566000</v>
      </c>
      <c r="AA164" s="112" t="n">
        <v>14.1</v>
      </c>
      <c r="AB164" s="108" t="inlineStr">
        <is>
          <t>Carsonlin Investment Ltd; Mu Min; Yang Xinyun</t>
        </is>
      </c>
      <c r="AC164" s="108" t="inlineStr">
        <is>
          <t>carsonlin;mu;yang-xinyun</t>
        </is>
      </c>
      <c r="AD164" s="112" t="n">
        <v>10</v>
      </c>
      <c r="AE164" s="108" t="inlineStr">
        <is>
          <t>lapsed (no over-allocation)</t>
        </is>
      </c>
      <c r="AF164" s="119" t="n"/>
      <c r="AG164" s="119" t="n"/>
      <c r="AH164" s="119" t="n"/>
      <c r="AI164" s="120" t="n">
        <v>160.38</v>
      </c>
      <c r="AJ164" s="121" t="n">
        <v>230.19</v>
      </c>
      <c r="AK164" s="121" t="n">
        <v>2.92</v>
      </c>
      <c r="AL164" s="121" t="n">
        <v>126.42</v>
      </c>
      <c r="AM164" s="121" t="n">
        <v>45.83</v>
      </c>
      <c r="AN164" s="122" t="n"/>
      <c r="AO164" s="112" t="n">
        <v>62.5</v>
      </c>
      <c r="AP164" s="121" t="n">
        <v>281.13</v>
      </c>
      <c r="AQ164" s="121" t="n">
        <v>196.23</v>
      </c>
      <c r="AR164" s="121" t="n">
        <v>696.23</v>
      </c>
      <c r="AS164" s="121" t="n">
        <v>15.43</v>
      </c>
      <c r="AT164" s="121" t="n">
        <v>-10.28</v>
      </c>
      <c r="AU164" s="121" t="n">
        <v>141.14</v>
      </c>
      <c r="AV164" s="121" t="n">
        <v>273.69</v>
      </c>
      <c r="AW164" s="121" t="n">
        <v>182.72</v>
      </c>
      <c r="AX164" s="121" t="n">
        <v>699.04</v>
      </c>
      <c r="AY164" s="121" t="n">
        <v>-20.57</v>
      </c>
      <c r="AZ164" s="121" t="n">
        <v>13.51</v>
      </c>
      <c r="BA164" s="121" t="n">
        <v>10.29</v>
      </c>
      <c r="BB164" s="108" t="inlineStr">
        <is>
          <t>China Biotech ETF (HS biotech proxy)</t>
        </is>
      </c>
      <c r="BC164" s="121" t="n">
        <v>431.13</v>
      </c>
      <c r="BD164" s="109" t="n">
        <v>46297</v>
      </c>
      <c r="BE164" s="110" t="n">
        <v>232.1</v>
      </c>
      <c r="BF164" s="113" t="n">
        <v>25.4</v>
      </c>
      <c r="BG164" s="108" t="inlineStr">
        <is>
          <t>Y</t>
        </is>
      </c>
      <c r="BH164" s="123" t="n">
        <v>21.7</v>
      </c>
      <c r="BI164" s="122" t="n"/>
      <c r="BJ164" s="122" t="n"/>
      <c r="BK164" s="123" t="n">
        <v>2.4</v>
      </c>
      <c r="BL164" s="124">
        <f>IF('BBG Verify'!S164="","not filed; run on terminal",'BBG Verify'!S164)</f>
        <v/>
      </c>
      <c r="BM164" s="125" t="inlineStr">
        <is>
          <t>N</t>
        </is>
      </c>
      <c r="BN164" s="126">
        <f>IF('BBG Verify'!K164="","not filed; run on terminal",'BBG Verify'!K164)</f>
        <v/>
      </c>
      <c r="BO164" s="108" t="inlineStr">
        <is>
          <t>N/A</t>
        </is>
      </c>
      <c r="BP164" s="108" t="inlineStr">
        <is>
          <t>N/A</t>
        </is>
      </c>
      <c r="BQ164" s="108" t="inlineStr">
        <is>
          <t>N/A</t>
        </is>
      </c>
      <c r="BR164" s="108" t="inlineStr">
        <is>
          <t>N/A</t>
        </is>
      </c>
      <c r="BS164" s="108" t="inlineStr">
        <is>
          <t>N/A</t>
        </is>
      </c>
      <c r="BT164" s="108" t="inlineStr">
        <is>
          <t>N/A</t>
        </is>
      </c>
      <c r="BU164" s="125" t="inlineStr">
        <is>
          <t>Southwest Securities (HK) Capital Limited</t>
        </is>
      </c>
      <c r="BV164" s="108" t="inlineStr">
        <is>
          <t>Southwest Securities (HK) Capital Limited</t>
        </is>
      </c>
      <c r="BW164" s="108" t="inlineStr">
        <is>
          <t>Southwest Securities (HK) Brokerage Limited; Goldlink Securities Limited; Lead Securities (HK) Limited; BOCOM International S ecurities Limited; Shenwan Hongyuan Securi ties (H.K.) Limited; SPDB International Capital Limited; Zhongtai International Securities Limited; Alpha Financial Group Limited; Elstone Securities Limited</t>
        </is>
      </c>
      <c r="BX164" s="108" t="inlineStr">
        <is>
          <t>Alpha Financial Group Limited; Beta International Securities Limited; Elstone Securities Limited; Goldlink Securities Limited; ICBC International Securities Limited; I Win Securities Limited; Lead Securities (HK) Limited; Shenwan Hongyuan Securities (H.K.) Limited; SPDB International Capital Limited; Southwest Securities (HK) Brokerage Limited; Zhongtai International Securities Limited</t>
        </is>
      </c>
      <c r="BY164" s="127">
        <f>HYPERLINK("https://www1.hkexnews.hk/listedco/listconews/sehk/2022/1215/2022121500017.pdf","prospectus")</f>
        <v/>
      </c>
      <c r="BZ164" s="127">
        <f>HYPERLINK("https://www1.hkexnews.hk/listedco/listconews/sehk/2022/1228/2022122800004.htm","allotment")</f>
        <v/>
      </c>
      <c r="CA164" s="127">
        <f>HYPERLINK("https://www1.hkexnews.hk/listedco/listconews/sehk/2023/0119/2023011900669.pdf","stabilisation")</f>
        <v/>
      </c>
      <c r="CB164" s="128" t="n"/>
      <c r="CC164" s="108" t="inlineStr">
        <is>
          <t>greenshoe: outcome published; expiry date not in the notice; market cap: published listing cap used; the estimate from deal size / offer % of enlarged capital disagreed; stabilising manager: not named in the allotment notice or prospectus glossary; allocation: allocation table not in this notice's format (older prose announcement); day-1 tape: volume on file; the retail multiple needs the final public split, which this notice does not state</t>
        </is>
      </c>
    </row>
    <row r="165" ht="22" customHeight="1">
      <c r="A165" s="107" t="inlineStr">
        <is>
          <t>6698</t>
        </is>
      </c>
      <c r="B165" s="108" t="inlineStr">
        <is>
          <t>STAR CM</t>
        </is>
      </c>
      <c r="C165" s="108" t="inlineStr">
        <is>
          <t>星空華文</t>
        </is>
      </c>
      <c r="D165" s="108" t="inlineStr">
        <is>
          <t>TMT-other</t>
        </is>
      </c>
      <c r="E165" s="108" t="inlineStr">
        <is>
          <t>Media / advertising</t>
        </is>
      </c>
      <c r="F165" s="108" t="inlineStr">
        <is>
          <t>Movies &amp; Entertainment</t>
        </is>
      </c>
      <c r="G165" s="108" t="inlineStr">
        <is>
          <t>Standard</t>
        </is>
      </c>
      <c r="H165" s="109" t="n">
        <v>44924</v>
      </c>
      <c r="I165" s="110" t="n">
        <v>390.4</v>
      </c>
      <c r="J165" s="108" t="inlineStr">
        <is>
          <t>gross (price x shares)</t>
        </is>
      </c>
      <c r="K165" s="111" t="n">
        <v>25.5</v>
      </c>
      <c r="L165" s="111" t="n">
        <v>32.5</v>
      </c>
      <c r="M165" s="111" t="n">
        <v>26.5</v>
      </c>
      <c r="N165" s="108" t="inlineStr">
        <is>
          <t>N</t>
        </is>
      </c>
      <c r="O165" s="112" t="n">
        <v>81.5</v>
      </c>
      <c r="P165" s="112" t="n">
        <v>14.3</v>
      </c>
      <c r="Q165" s="113" t="n">
        <v>10551.4</v>
      </c>
      <c r="R165" s="108" t="inlineStr">
        <is>
          <t>derived:deal size / offer % of enlarged capital</t>
        </is>
      </c>
      <c r="S165" s="114" t="n">
        <v>5.12</v>
      </c>
      <c r="T165" s="115" t="n">
        <v>1.47</v>
      </c>
      <c r="U165" s="116" t="n">
        <v>10</v>
      </c>
      <c r="V165" s="117" t="n">
        <v>122</v>
      </c>
      <c r="W165" s="118" t="n"/>
      <c r="X165" s="119" t="n"/>
      <c r="Y165" s="113" t="n">
        <v>351.36</v>
      </c>
      <c r="Z165" s="113" t="n">
        <v>13258440</v>
      </c>
      <c r="AA165" s="112" t="n">
        <v>3.33</v>
      </c>
      <c r="AB165" s="108" t="inlineStr">
        <is>
          <t>TradArt Investment SP</t>
        </is>
      </c>
      <c r="AC165" s="108" t="inlineStr">
        <is>
          <t>tradart</t>
        </is>
      </c>
      <c r="AD165" s="112" t="n">
        <v>15</v>
      </c>
      <c r="AE165" s="108" t="inlineStr">
        <is>
          <t>partial</t>
        </is>
      </c>
      <c r="AF165" s="108" t="inlineStr">
        <is>
          <t>2023-01-19</t>
        </is>
      </c>
      <c r="AG165" s="108" t="inlineStr">
        <is>
          <t>China Securities</t>
        </is>
      </c>
      <c r="AH165" s="108" t="inlineStr">
        <is>
          <t>China Securities</t>
        </is>
      </c>
      <c r="AI165" s="120" t="n">
        <v>37.36</v>
      </c>
      <c r="AJ165" s="121" t="n">
        <v>70.56999999999999</v>
      </c>
      <c r="AK165" s="121" t="n">
        <v>-0.79</v>
      </c>
      <c r="AL165" s="121" t="n">
        <v>22.83</v>
      </c>
      <c r="AM165" s="121" t="n">
        <v>38.87</v>
      </c>
      <c r="AN165" s="122" t="n"/>
      <c r="AO165" s="112" t="n">
        <v>52.07</v>
      </c>
      <c r="AP165" s="121" t="n">
        <v>76.59999999999999</v>
      </c>
      <c r="AQ165" s="121" t="n">
        <v>198.3</v>
      </c>
      <c r="AR165" s="121" t="n">
        <v>277.36</v>
      </c>
      <c r="AS165" s="121" t="n">
        <v>3.54</v>
      </c>
      <c r="AT165" s="121" t="n">
        <v>74.88</v>
      </c>
      <c r="AU165" s="121" t="n">
        <v>121.23</v>
      </c>
      <c r="AV165" s="121" t="n">
        <v>71.11</v>
      </c>
      <c r="AW165" s="121" t="n">
        <v>187.95</v>
      </c>
      <c r="AX165" s="121" t="n">
        <v>274.8</v>
      </c>
      <c r="AY165" s="121" t="n">
        <v>63.65</v>
      </c>
      <c r="AZ165" s="121" t="n">
        <v>10.35</v>
      </c>
      <c r="BA165" s="121" t="n">
        <v>11.23</v>
      </c>
      <c r="BB165" s="108" t="inlineStr">
        <is>
          <t>Hang Seng Index</t>
        </is>
      </c>
      <c r="BC165" s="121" t="n">
        <v>-96.77</v>
      </c>
      <c r="BD165" s="109" t="n">
        <v>46297</v>
      </c>
      <c r="BE165" s="110" t="n">
        <v>960.8</v>
      </c>
      <c r="BF165" s="113" t="n">
        <v>95.59999999999999</v>
      </c>
      <c r="BG165" s="108" t="inlineStr">
        <is>
          <t>Y</t>
        </is>
      </c>
      <c r="BH165" s="123" t="n">
        <v>110.4</v>
      </c>
      <c r="BI165" s="122" t="n"/>
      <c r="BJ165" s="122" t="n"/>
      <c r="BK165" s="123" t="n">
        <v>11</v>
      </c>
      <c r="BL165" s="124">
        <f>IF('BBG Verify'!S165="","not filed; run on terminal",'BBG Verify'!S165)</f>
        <v/>
      </c>
      <c r="BM165" s="125" t="inlineStr">
        <is>
          <t>N</t>
        </is>
      </c>
      <c r="BN165" s="126">
        <f>IF('BBG Verify'!K165="","not filed; run on terminal",'BBG Verify'!K165)</f>
        <v/>
      </c>
      <c r="BO165" s="108" t="inlineStr">
        <is>
          <t>N/A</t>
        </is>
      </c>
      <c r="BP165" s="108" t="inlineStr">
        <is>
          <t>N/A</t>
        </is>
      </c>
      <c r="BQ165" s="108" t="inlineStr">
        <is>
          <t>N/A</t>
        </is>
      </c>
      <c r="BR165" s="108" t="inlineStr">
        <is>
          <t>N/A</t>
        </is>
      </c>
      <c r="BS165" s="108" t="inlineStr">
        <is>
          <t>N/A</t>
        </is>
      </c>
      <c r="BT165" s="108" t="inlineStr">
        <is>
          <t>N/A</t>
        </is>
      </c>
      <c r="BU165" s="125" t="inlineStr">
        <is>
          <t>China International Capital Corporation Hong Kong Securities Limited; China Securities (International) Corporate Finance Company Limited</t>
        </is>
      </c>
      <c r="BV165" s="108" t="inlineStr">
        <is>
          <t>China International Capital Corporation Hong Kong Securities Limited; China Securities (International) Corporate Finance Company Limited</t>
        </is>
      </c>
      <c r="BW165" s="108" t="inlineStr">
        <is>
          <t>China International Capital Corporation Hong Kong Securities Limited; China Securities (International) Corporate Finance Company Limited; Guotai Junan Securities (Hong Kong) Limited; Huatai Financial Holdings (Hong Kong) Limited; ABCI Capital Limited; Huarong International Securities Limited; Zheshang International Financial Holdings Co., Limited; China Everbright Securities (HK) Limited; Valuable Capital Limited; Livermore Holdings Limited; Tiger Brokers (HK) Global Limited</t>
        </is>
      </c>
      <c r="BX165" s="108" t="inlineStr">
        <is>
          <t>ABCI Securities Company Limited; China Everbright Securities (HK) Limited; China International Capital Corporation Hong Kong Securities Limited; China Securities (International) Corporate Finance Company Limited; Differ Financial and Securities Limited; Guotai Junan Securities (Hong Kong) Limited; Huatai Financial Holdings (Hong Kong) Limited; Huarong International Securities Limited; Livermore Holdings Limited; Tiger Brokers (HK) Global Limited; Valuable Capital Limited; WE Securities Limited</t>
        </is>
      </c>
      <c r="BY165" s="127">
        <f>HYPERLINK("https://www1.hkexnews.hk/listedco/listconews/sehk/2022/1215/2022121500027.pdf","prospectus")</f>
        <v/>
      </c>
      <c r="BZ165" s="127">
        <f>HYPERLINK("https://www1.hkexnews.hk/listedco/listconews/sehk/2022/1228/2022122800022.htm","allotment")</f>
        <v/>
      </c>
      <c r="CA165" s="127">
        <f>HYPERLINK("https://www1.hkexnews.hk/listedco/listconews/sehk/2023/0119/2023011901155.pdf","stabilisation")</f>
        <v/>
      </c>
      <c r="CB165" s="128" t="n"/>
      <c r="CC165" s="108" t="inlineStr">
        <is>
          <t>cornerstone: table parse 97% rejected (institutional total implies 10%); the filed aggregate-amount sentence used; allocation: allocation table not in this notice's format (older prose announcement); day-1 tape: volume on file; the retail multiple needs the final public split, which this notice does not state</t>
        </is>
      </c>
    </row>
    <row r="166" ht="22" customHeight="1">
      <c r="A166" s="107" t="inlineStr">
        <is>
          <t>2425</t>
        </is>
      </c>
      <c r="B166" s="108" t="inlineStr">
        <is>
          <t>AUSTASIA GROUP</t>
        </is>
      </c>
      <c r="C166" s="108" t="inlineStr">
        <is>
          <t>澳亞集團</t>
        </is>
      </c>
      <c r="D166" s="108" t="inlineStr">
        <is>
          <t>Consumer</t>
        </is>
      </c>
      <c r="E166" s="108" t="inlineStr">
        <is>
          <t>Beverages / packaged food</t>
        </is>
      </c>
      <c r="F166" s="108" t="inlineStr">
        <is>
          <t>Dairy Products</t>
        </is>
      </c>
      <c r="G166" s="108" t="inlineStr">
        <is>
          <t>Standard</t>
        </is>
      </c>
      <c r="H166" s="109" t="n">
        <v>44925</v>
      </c>
      <c r="I166" s="110" t="n">
        <v>196.1</v>
      </c>
      <c r="J166" s="108" t="inlineStr">
        <is>
          <t>gross (price x shares)</t>
        </is>
      </c>
      <c r="K166" s="129" t="n"/>
      <c r="L166" s="111" t="n">
        <v>7</v>
      </c>
      <c r="M166" s="111" t="n">
        <v>6.4</v>
      </c>
      <c r="N166" s="108" t="inlineStr">
        <is>
          <t>N</t>
        </is>
      </c>
      <c r="O166" s="112" t="n">
        <v>91.40000000000001</v>
      </c>
      <c r="P166" s="118" t="n"/>
      <c r="Q166" s="113" t="n">
        <v>4830.6</v>
      </c>
      <c r="R166" s="108" t="inlineStr">
        <is>
          <t>aastocks:上市市值 at the struck price</t>
        </is>
      </c>
      <c r="S166" s="114" t="n">
        <v>2.08</v>
      </c>
      <c r="T166" s="115" t="n">
        <v>1.16</v>
      </c>
      <c r="U166" s="116" t="n">
        <v>44.1</v>
      </c>
      <c r="V166" s="117" t="n">
        <v>107</v>
      </c>
      <c r="W166" s="118" t="n"/>
      <c r="X166" s="119" t="n"/>
      <c r="Y166" s="113" t="n">
        <v>109.62</v>
      </c>
      <c r="Z166" s="113" t="n">
        <v>17127760</v>
      </c>
      <c r="AA166" s="112" t="n">
        <v>2.27</v>
      </c>
      <c r="AB166" s="108" t="inlineStr">
        <is>
          <t>Proterra Asia Food Fund 3 VCC; Well Alliance Investment Holdings Limited</t>
        </is>
      </c>
      <c r="AC166" s="108" t="inlineStr">
        <is>
          <t>proterra;well</t>
        </is>
      </c>
      <c r="AD166" s="112" t="n">
        <v>15</v>
      </c>
      <c r="AE166" s="108" t="inlineStr">
        <is>
          <t>partial</t>
        </is>
      </c>
      <c r="AF166" s="108" t="inlineStr">
        <is>
          <t>2023-01-20</t>
        </is>
      </c>
      <c r="AG166" s="108" t="inlineStr">
        <is>
          <t>China International Capital Corporation Hong Kong Securities Limited</t>
        </is>
      </c>
      <c r="AH166" s="108" t="inlineStr">
        <is>
          <t>China International</t>
        </is>
      </c>
      <c r="AI166" s="120" t="n">
        <v>-0.9399999999999999</v>
      </c>
      <c r="AJ166" s="121" t="n">
        <v>-0.47</v>
      </c>
      <c r="AK166" s="121" t="n">
        <v>-0.33</v>
      </c>
      <c r="AL166" s="121" t="n">
        <v>-4.69</v>
      </c>
      <c r="AM166" s="121" t="n">
        <v>4.43</v>
      </c>
      <c r="AN166" s="122" t="n"/>
      <c r="AO166" s="112" t="n">
        <v>15.74</v>
      </c>
      <c r="AP166" s="121" t="n">
        <v>-5.78</v>
      </c>
      <c r="AQ166" s="121" t="n">
        <v>-22.97</v>
      </c>
      <c r="AR166" s="121" t="n">
        <v>-47.81</v>
      </c>
      <c r="AS166" s="121" t="n">
        <v>-5.34</v>
      </c>
      <c r="AT166" s="121" t="n">
        <v>-22.61</v>
      </c>
      <c r="AU166" s="121" t="n">
        <v>-47.56</v>
      </c>
      <c r="AV166" s="121" t="n">
        <v>-15.78</v>
      </c>
      <c r="AW166" s="121" t="n">
        <v>-35.62</v>
      </c>
      <c r="AX166" s="121" t="n">
        <v>-51.22</v>
      </c>
      <c r="AY166" s="121" t="n">
        <v>-35.63</v>
      </c>
      <c r="AZ166" s="121" t="n">
        <v>12.65</v>
      </c>
      <c r="BA166" s="121" t="n">
        <v>13.02</v>
      </c>
      <c r="BB166" s="108" t="inlineStr">
        <is>
          <t>Hang Seng Commerce &amp; Industry sub-index</t>
        </is>
      </c>
      <c r="BC166" s="121" t="n">
        <v>-72.66</v>
      </c>
      <c r="BD166" s="109" t="n">
        <v>46297</v>
      </c>
      <c r="BE166" s="110" t="n">
        <v>4183.2</v>
      </c>
      <c r="BF166" s="113" t="n">
        <v>173.9</v>
      </c>
      <c r="BG166" s="108" t="inlineStr">
        <is>
          <t>Y</t>
        </is>
      </c>
      <c r="BH166" s="123" t="n">
        <v>27.8</v>
      </c>
      <c r="BI166" s="123" t="n">
        <v>5</v>
      </c>
      <c r="BJ166" s="122" t="n"/>
      <c r="BK166" s="123" t="n">
        <v>1.2</v>
      </c>
      <c r="BL166" s="124">
        <f>IF('BBG Verify'!S166="","not filed; run on terminal",'BBG Verify'!S166)</f>
        <v/>
      </c>
      <c r="BM166" s="125" t="inlineStr">
        <is>
          <t>N</t>
        </is>
      </c>
      <c r="BN166" s="126">
        <f>IF('BBG Verify'!K166="","not filed; run on terminal",'BBG Verify'!K166)</f>
        <v/>
      </c>
      <c r="BO166" s="108" t="inlineStr">
        <is>
          <t>N/A</t>
        </is>
      </c>
      <c r="BP166" s="108" t="inlineStr">
        <is>
          <t>N/A</t>
        </is>
      </c>
      <c r="BQ166" s="108" t="inlineStr">
        <is>
          <t>N/A</t>
        </is>
      </c>
      <c r="BR166" s="108" t="inlineStr">
        <is>
          <t>N/A</t>
        </is>
      </c>
      <c r="BS166" s="108" t="inlineStr">
        <is>
          <t>N/A</t>
        </is>
      </c>
      <c r="BT166" s="108" t="inlineStr">
        <is>
          <t>N/A</t>
        </is>
      </c>
      <c r="BU166" s="125" t="inlineStr">
        <is>
          <t>China International Capital Corporation Hong Kong Securities Limited; DBS Asia Capital Limited</t>
        </is>
      </c>
      <c r="BV166" s="108" t="inlineStr">
        <is>
          <t>China International Capital Corporation Hong Kong Securities Limited; DBS Asia Capital Limited</t>
        </is>
      </c>
      <c r="BW166" s="108" t="inlineStr">
        <is>
          <t>China International Capital Corporation Hong Kong Securities Limited; DBS Asia Capital Limited; Daiwa Capital Markets Hong Kong Limited; ABCI Capital Limited; BOCOM International Securities Limited; Futu Securities International (Hong Kong) Limited</t>
        </is>
      </c>
      <c r="BX166" s="108" t="inlineStr">
        <is>
          <t>ABCI Securities Company Limited; Beta International Securities Limited; China International Capital Corporation Hong Kong Securities Limited; DBS Asia Capital Limited; Daiwa Capital Markets Hong Kong Limited; Futu Securities International (Hong Kong) Limited; Silverbricks Securities Company Limited</t>
        </is>
      </c>
      <c r="BY166" s="127">
        <f>HYPERLINK("https://www1.hkexnews.hk/listedco/listconews/sehk/2022/1216/2022121600017.pdf","prospectus")</f>
        <v/>
      </c>
      <c r="BZ166" s="127">
        <f>HYPERLINK("https://www1.hkexnews.hk/listedco/listconews/sehk/2022/1229/2022122900092.htm","allotment")</f>
        <v/>
      </c>
      <c r="CA166" s="127">
        <f>HYPERLINK("https://www1.hkexnews.hk/listedco/listconews/sehk/2023/0120/2023012001115.pdf","stabilisation")</f>
        <v/>
      </c>
      <c r="CB166" s="128" t="n"/>
      <c r="CC166" s="108" t="inlineStr">
        <is>
          <t>range low: maximum offer price only, no floor published; market cap: prospectus 'market capitalisation' line is the listing-rule threshold, not the issuer's figure; rejected; cornerstone: % from the prospectus; AAStocks table includes non-cornerstone orders; allocation: allocation table not in this notice's format (older prose announcement); day-1 tape: volume on file; the retail multiple needs the final public split, which this notice does not state</t>
        </is>
      </c>
    </row>
    <row r="167" ht="22" customHeight="1">
      <c r="A167" s="107" t="inlineStr">
        <is>
          <t>6922</t>
        </is>
      </c>
      <c r="B167" s="108" t="inlineStr">
        <is>
          <t>CRYOFOCUS-B</t>
        </is>
      </c>
      <c r="C167" s="108" t="inlineStr">
        <is>
          <t>康灃生物－Ｂ</t>
        </is>
      </c>
      <c r="D167" s="108" t="inlineStr">
        <is>
          <t>Healthcare</t>
        </is>
      </c>
      <c r="E167" s="108" t="inlineStr">
        <is>
          <t>Medical devices</t>
        </is>
      </c>
      <c r="F167" s="108" t="inlineStr">
        <is>
          <t>Biotechnology - Medical Devices</t>
        </is>
      </c>
      <c r="G167" s="108" t="inlineStr">
        <is>
          <t>18A</t>
        </is>
      </c>
      <c r="H167" s="109" t="n">
        <v>44925</v>
      </c>
      <c r="I167" s="110" t="n">
        <v>210</v>
      </c>
      <c r="J167" s="108" t="inlineStr">
        <is>
          <t>gross (price x shares)</t>
        </is>
      </c>
      <c r="K167" s="129" t="n"/>
      <c r="L167" s="111" t="n">
        <v>18.9</v>
      </c>
      <c r="M167" s="111" t="n">
        <v>18.9</v>
      </c>
      <c r="N167" s="108" t="inlineStr">
        <is>
          <t>Y</t>
        </is>
      </c>
      <c r="O167" s="112" t="n">
        <v>100</v>
      </c>
      <c r="P167" s="118" t="n"/>
      <c r="Q167" s="113" t="n">
        <v>4516.1</v>
      </c>
      <c r="R167" s="108" t="inlineStr">
        <is>
          <t>derived:deal size / offer % of enlarged capital</t>
        </is>
      </c>
      <c r="S167" s="114" t="n">
        <v>1.95</v>
      </c>
      <c r="T167" s="115" t="n">
        <v>1.28</v>
      </c>
      <c r="U167" s="116" t="n">
        <v>0</v>
      </c>
      <c r="V167" s="117" t="n">
        <v>31</v>
      </c>
      <c r="W167" s="118" t="n"/>
      <c r="X167" s="119" t="n"/>
      <c r="Y167" s="113" t="n">
        <v>210</v>
      </c>
      <c r="Z167" s="113" t="n">
        <v>11110000</v>
      </c>
      <c r="AA167" s="112" t="n">
        <v>4.65</v>
      </c>
      <c r="AB167" s="108" t="inlineStr">
        <is>
          <t>none — no cornerstone tranche</t>
        </is>
      </c>
      <c r="AC167" s="108" t="inlineStr">
        <is>
          <t>none</t>
        </is>
      </c>
      <c r="AD167" s="118" t="n"/>
      <c r="AE167" s="119" t="n"/>
      <c r="AF167" s="119" t="n"/>
      <c r="AG167" s="119" t="n"/>
      <c r="AH167" s="119" t="n"/>
      <c r="AI167" s="120" t="n">
        <v>-4.55</v>
      </c>
      <c r="AJ167" s="121" t="n">
        <v>-6.56</v>
      </c>
      <c r="AK167" s="121" t="n">
        <v>-0.48</v>
      </c>
      <c r="AL167" s="121" t="n">
        <v>-2.12</v>
      </c>
      <c r="AM167" s="121" t="n">
        <v>-4.54</v>
      </c>
      <c r="AN167" s="122" t="n"/>
      <c r="AO167" s="112" t="n">
        <v>10.27</v>
      </c>
      <c r="AP167" s="121" t="n">
        <v>-9.84</v>
      </c>
      <c r="AQ167" s="121" t="n">
        <v>-19.05</v>
      </c>
      <c r="AR167" s="121" t="n">
        <v>-12.7</v>
      </c>
      <c r="AS167" s="121" t="n">
        <v>-3.51</v>
      </c>
      <c r="AT167" s="121" t="n">
        <v>-13.37</v>
      </c>
      <c r="AU167" s="121" t="n">
        <v>-6.57</v>
      </c>
      <c r="AV167" s="121" t="n">
        <v>-15.15</v>
      </c>
      <c r="AW167" s="121" t="n">
        <v>-28.32</v>
      </c>
      <c r="AX167" s="121" t="n">
        <v>-7.74</v>
      </c>
      <c r="AY167" s="121" t="n">
        <v>-23.17</v>
      </c>
      <c r="AZ167" s="121" t="n">
        <v>9.27</v>
      </c>
      <c r="BA167" s="121" t="n">
        <v>9.800000000000001</v>
      </c>
      <c r="BB167" s="108" t="inlineStr">
        <is>
          <t>China Biotech ETF (HS biotech proxy)</t>
        </is>
      </c>
      <c r="BC167" s="121" t="n">
        <v>-83.97</v>
      </c>
      <c r="BD167" s="109" t="n">
        <v>46297</v>
      </c>
      <c r="BE167" s="110" t="n">
        <v>13.3</v>
      </c>
      <c r="BF167" s="113" t="n">
        <v>-101.7</v>
      </c>
      <c r="BG167" s="108" t="inlineStr">
        <is>
          <t>N</t>
        </is>
      </c>
      <c r="BH167" s="108" t="inlineStr">
        <is>
          <t>n/m</t>
        </is>
      </c>
      <c r="BI167" s="122" t="n"/>
      <c r="BJ167" s="122" t="n"/>
      <c r="BK167" s="123" t="n">
        <v>339.6</v>
      </c>
      <c r="BL167" s="124">
        <f>IF('BBG Verify'!S167="","not filed; run on terminal",'BBG Verify'!S167)</f>
        <v/>
      </c>
      <c r="BM167" s="125" t="inlineStr">
        <is>
          <t>N</t>
        </is>
      </c>
      <c r="BN167" s="126">
        <f>IF('BBG Verify'!K167="","not filed; run on terminal",'BBG Verify'!K167)</f>
        <v/>
      </c>
      <c r="BO167" s="108" t="inlineStr">
        <is>
          <t>N/A</t>
        </is>
      </c>
      <c r="BP167" s="108" t="inlineStr">
        <is>
          <t>N/A</t>
        </is>
      </c>
      <c r="BQ167" s="108" t="inlineStr">
        <is>
          <t>N/A</t>
        </is>
      </c>
      <c r="BR167" s="108" t="inlineStr">
        <is>
          <t>N/A</t>
        </is>
      </c>
      <c r="BS167" s="108" t="inlineStr">
        <is>
          <t>N/A</t>
        </is>
      </c>
      <c r="BT167" s="108" t="inlineStr">
        <is>
          <t>N/A</t>
        </is>
      </c>
      <c r="BU167" s="125" t="inlineStr">
        <is>
          <t>Citigroup Global Markets Asia Limited; Huatai Financial Holdings (Hong Kong) Limited</t>
        </is>
      </c>
      <c r="BV167" s="108" t="inlineStr">
        <is>
          <t>Huatai Financial Holdings (Hong Kong) Limited; Citigroup Global Markets Asia Limited</t>
        </is>
      </c>
      <c r="BW167" s="108" t="inlineStr">
        <is>
          <t>Citigroup Global Markets Asia Limited; Huatai Financial Holdings (Hong Kong) Limited; CMB International Capital Limited; ABCI Capital Limited; Citigroup Global Markets Limited; BOCOM International Securities Limited; Futu Securities International (Hong Kong) Limited; Tiger Brokers (HK) Global Limited</t>
        </is>
      </c>
      <c r="BX167" s="108" t="inlineStr">
        <is>
          <t>ABCI Securities Company Limited; Beta International Securities Limited; Citigroup Global Markets Asia Limited; CMB International Capital Corporation Limited; Futu Securities International (Hong Kong) Limited; Huatai Financial Holdings (Hong Kong) Limited; Silverbricks Securities Company Limited; Tiger Brokers (HK) Global Limited</t>
        </is>
      </c>
      <c r="BY167" s="127">
        <f>HYPERLINK("https://www1.hkexnews.hk/listedco/listconews/sehk/2022/1216/2022121600015.pdf","prospectus")</f>
        <v/>
      </c>
      <c r="BZ167" s="127">
        <f>HYPERLINK("https://www1.hkexnews.hk/listedco/listconews/sehk/2022/1229/2022122900114.htm","allotment")</f>
        <v/>
      </c>
      <c r="CA167" s="119" t="n"/>
      <c r="CB167" s="128" t="n"/>
      <c r="CC167" s="108" t="inlineStr">
        <is>
          <t>P/E: loss-making at IPO, use P/S; greenshoe: no over-allotment option; range low: maximum offer price only, no floor published; cornerstone list: no cornerstone tranche; greenshoe size: no over-allotment option; P/S: 340x on HK$13.3m revenue, effectively pre-revenue; not comparable; stabilising manager: filing states none appointed (allotment announcement: 'no stabilizing manager will be appointed' stated in the filing); allocation: allocation table not in this notice's format (older prose announcement); day-1 tape: volume on file; the retail multiple needs the final public split, which this notice does not state</t>
        </is>
      </c>
    </row>
    <row r="168" ht="22" customHeight="1">
      <c r="A168" s="107" t="inlineStr">
        <is>
          <t>6955</t>
        </is>
      </c>
      <c r="B168" s="108" t="inlineStr">
        <is>
          <t>BOAN BIOTECH-B</t>
        </is>
      </c>
      <c r="C168" s="108" t="inlineStr">
        <is>
          <t>博安生物</t>
        </is>
      </c>
      <c r="D168" s="108" t="inlineStr">
        <is>
          <t>Healthcare</t>
        </is>
      </c>
      <c r="E168" s="108" t="inlineStr">
        <is>
          <t>Biotech pre-revenue (18A)</t>
        </is>
      </c>
      <c r="F168" s="108" t="inlineStr">
        <is>
          <t>Biotechnology - Pharmaceuticals</t>
        </is>
      </c>
      <c r="G168" s="108" t="inlineStr">
        <is>
          <t>18A</t>
        </is>
      </c>
      <c r="H168" s="109" t="n">
        <v>44925</v>
      </c>
      <c r="I168" s="110" t="n">
        <v>211.8</v>
      </c>
      <c r="J168" s="108" t="inlineStr">
        <is>
          <t>gross (price x shares)</t>
        </is>
      </c>
      <c r="K168" s="129" t="n"/>
      <c r="L168" s="111" t="n">
        <v>19.8</v>
      </c>
      <c r="M168" s="111" t="n">
        <v>19.8</v>
      </c>
      <c r="N168" s="108" t="inlineStr">
        <is>
          <t>Y</t>
        </is>
      </c>
      <c r="O168" s="112" t="n">
        <v>100</v>
      </c>
      <c r="P168" s="118" t="n"/>
      <c r="Q168" s="113" t="n">
        <v>8825</v>
      </c>
      <c r="R168" s="108" t="inlineStr">
        <is>
          <t>derived:deal size / offer % of enlarged capital</t>
        </is>
      </c>
      <c r="S168" s="114" t="n">
        <v>2.12</v>
      </c>
      <c r="T168" s="115" t="n">
        <v>1.52</v>
      </c>
      <c r="U168" s="116" t="n">
        <v>71.01000000000001</v>
      </c>
      <c r="V168" s="117" t="n">
        <v>220</v>
      </c>
      <c r="W168" s="118" t="n"/>
      <c r="X168" s="119" t="n"/>
      <c r="Y168" s="113" t="n">
        <v>61.4</v>
      </c>
      <c r="Z168" s="113" t="n">
        <v>3100423</v>
      </c>
      <c r="AA168" s="112" t="n">
        <v>0.7</v>
      </c>
      <c r="AB168" s="108" t="inlineStr">
        <is>
          <t>Fu Heliang; Harvest Great Bay Investment SP; Sino Biopharmaceutical Limited</t>
        </is>
      </c>
      <c r="AC168" s="108" t="inlineStr">
        <is>
          <t>fu;harvest;sino-biopharmaceutical</t>
        </is>
      </c>
      <c r="AD168" s="112" t="n">
        <v>18.14</v>
      </c>
      <c r="AE168" s="108" t="inlineStr">
        <is>
          <t>lapsed</t>
        </is>
      </c>
      <c r="AF168" s="108" t="inlineStr">
        <is>
          <t>2023-01-21</t>
        </is>
      </c>
      <c r="AG168" s="108" t="inlineStr">
        <is>
          <t>UBS AG Hong Kong Branch</t>
        </is>
      </c>
      <c r="AH168" s="108" t="inlineStr">
        <is>
          <t>UBS</t>
        </is>
      </c>
      <c r="AI168" s="120" t="n">
        <v>-1.52</v>
      </c>
      <c r="AJ168" s="121" t="n">
        <v>0</v>
      </c>
      <c r="AK168" s="121" t="n">
        <v>-0.48</v>
      </c>
      <c r="AL168" s="121" t="n">
        <v>0.51</v>
      </c>
      <c r="AM168" s="121" t="n">
        <v>-0.51</v>
      </c>
      <c r="AN168" s="122" t="n"/>
      <c r="AO168" s="112" t="n">
        <v>7.84</v>
      </c>
      <c r="AP168" s="121" t="n">
        <v>-17.17</v>
      </c>
      <c r="AQ168" s="121" t="n">
        <v>-22.02</v>
      </c>
      <c r="AR168" s="121" t="n">
        <v>-2.32</v>
      </c>
      <c r="AS168" s="121" t="n">
        <v>-17.17</v>
      </c>
      <c r="AT168" s="121" t="n">
        <v>-22.02</v>
      </c>
      <c r="AU168" s="121" t="n">
        <v>-2.32</v>
      </c>
      <c r="AV168" s="121" t="n">
        <v>-22.48</v>
      </c>
      <c r="AW168" s="121" t="n">
        <v>-31.29</v>
      </c>
      <c r="AX168" s="121" t="n">
        <v>2.64</v>
      </c>
      <c r="AY168" s="121" t="n">
        <v>-31.82</v>
      </c>
      <c r="AZ168" s="121" t="n">
        <v>9.27</v>
      </c>
      <c r="BA168" s="121" t="n">
        <v>9.800000000000001</v>
      </c>
      <c r="BB168" s="108" t="inlineStr">
        <is>
          <t>China Biotech ETF (HS biotech proxy)</t>
        </is>
      </c>
      <c r="BC168" s="121" t="n">
        <v>-84.7</v>
      </c>
      <c r="BD168" s="109" t="n">
        <v>46297</v>
      </c>
      <c r="BE168" s="110" t="n">
        <v>242.8</v>
      </c>
      <c r="BF168" s="113" t="n">
        <v>-364.9</v>
      </c>
      <c r="BG168" s="108" t="inlineStr">
        <is>
          <t>N</t>
        </is>
      </c>
      <c r="BH168" s="108" t="inlineStr">
        <is>
          <t>n/m</t>
        </is>
      </c>
      <c r="BI168" s="122" t="n"/>
      <c r="BJ168" s="123" t="n">
        <v>196.1</v>
      </c>
      <c r="BK168" s="123" t="n">
        <v>36.3</v>
      </c>
      <c r="BL168" s="124">
        <f>IF('BBG Verify'!S168="","not filed; run on terminal",'BBG Verify'!S168)</f>
        <v/>
      </c>
      <c r="BM168" s="125" t="inlineStr">
        <is>
          <t>N</t>
        </is>
      </c>
      <c r="BN168" s="126">
        <f>IF('BBG Verify'!K168="","not filed; run on terminal",'BBG Verify'!K168)</f>
        <v/>
      </c>
      <c r="BO168" s="108" t="inlineStr">
        <is>
          <t>N/A</t>
        </is>
      </c>
      <c r="BP168" s="108" t="inlineStr">
        <is>
          <t>N/A</t>
        </is>
      </c>
      <c r="BQ168" s="108" t="inlineStr">
        <is>
          <t>N/A</t>
        </is>
      </c>
      <c r="BR168" s="108" t="inlineStr">
        <is>
          <t>N/A</t>
        </is>
      </c>
      <c r="BS168" s="108" t="inlineStr">
        <is>
          <t>N/A</t>
        </is>
      </c>
      <c r="BT168" s="108" t="inlineStr">
        <is>
          <t>N/A</t>
        </is>
      </c>
      <c r="BU168" s="125" t="inlineStr">
        <is>
          <t>UBS Securities Hong Kong Limited; Essence Corporate Finance (Hong Kong) Limited</t>
        </is>
      </c>
      <c r="BV168" s="108" t="inlineStr">
        <is>
          <t>UBS Securities Hong Kong Limited; Essence Corporate Finance (Hong Kong) Limited</t>
        </is>
      </c>
      <c r="BW168" s="108" t="inlineStr">
        <is>
          <t>UBS AG Hong Kong Branch; Essence International Securities (Hong Kong) Limited</t>
        </is>
      </c>
      <c r="BX168" s="108" t="inlineStr">
        <is>
          <t>Essence International Securities (Hong Kong) Limited; Futu Securities International (Hong Kong) Limited; Livermore Holdings Limited; Silverbricks Securities Company Limited; UBS AG Hong Kong Branch</t>
        </is>
      </c>
      <c r="BY168" s="127">
        <f>HYPERLINK("https://www1.hkexnews.hk/listedco/listconews/sehk/2022/1219/2022121900009.pdf","prospectus")</f>
        <v/>
      </c>
      <c r="BZ168" s="127">
        <f>HYPERLINK("https://www1.hkexnews.hk/listedco/listconews/sehk/2022/1229/2022122900320.htm","allotment")</f>
        <v/>
      </c>
      <c r="CA168" s="127">
        <f>HYPERLINK("https://www1.hkexnews.hk/listedco/listconews/sehk/2023/0125/2023012500003.pdf","stabilisation")</f>
        <v/>
      </c>
      <c r="CB168" s="128" t="n"/>
      <c r="CC168" s="108" t="inlineStr">
        <is>
          <t>P/E: loss-making at IPO, use P/S; range low: maximum offer price only, no floor published; allocation: allocation table not in this notice's format (older prose announcement); day-1 tape: volume on file; the retail multiple needs the final public split, which this notice does not state</t>
        </is>
      </c>
    </row>
    <row r="169" ht="22" customHeight="1">
      <c r="A169" s="107" t="inlineStr">
        <is>
          <t>2469</t>
        </is>
      </c>
      <c r="B169" s="108" t="inlineStr">
        <is>
          <t>FENBI</t>
        </is>
      </c>
      <c r="C169" s="108" t="inlineStr">
        <is>
          <t>粉筆</t>
        </is>
      </c>
      <c r="D169" s="108" t="inlineStr">
        <is>
          <t>Consumer</t>
        </is>
      </c>
      <c r="E169" s="108" t="inlineStr">
        <is>
          <t>Consumer services / education</t>
        </is>
      </c>
      <c r="F169" s="108" t="inlineStr">
        <is>
          <t>Education Services</t>
        </is>
      </c>
      <c r="G169" s="108" t="inlineStr">
        <is>
          <t>Standard</t>
        </is>
      </c>
      <c r="H169" s="109" t="n">
        <v>44935</v>
      </c>
      <c r="I169" s="110" t="n">
        <v>198</v>
      </c>
      <c r="J169" s="108" t="inlineStr">
        <is>
          <t>gross (price x shares)</t>
        </is>
      </c>
      <c r="K169" s="111" t="n">
        <v>9.5</v>
      </c>
      <c r="L169" s="111" t="n">
        <v>9.9</v>
      </c>
      <c r="M169" s="111" t="n">
        <v>9.9</v>
      </c>
      <c r="N169" s="108" t="inlineStr">
        <is>
          <t>Y</t>
        </is>
      </c>
      <c r="O169" s="112" t="n">
        <v>100</v>
      </c>
      <c r="P169" s="112" t="n">
        <v>100</v>
      </c>
      <c r="Q169" s="113" t="n">
        <v>20763.3</v>
      </c>
      <c r="R169" s="108" t="inlineStr">
        <is>
          <t>aastocks:上市市值 at the struck price</t>
        </is>
      </c>
      <c r="S169" s="114" t="n">
        <v>33.8</v>
      </c>
      <c r="T169" s="115" t="n">
        <v>2.32</v>
      </c>
      <c r="U169" s="116" t="n">
        <v>0</v>
      </c>
      <c r="V169" s="117" t="n">
        <v>204</v>
      </c>
      <c r="W169" s="112" t="n">
        <v>30</v>
      </c>
      <c r="X169" s="108" t="inlineStr">
        <is>
          <t>YES</t>
        </is>
      </c>
      <c r="Y169" s="113" t="n">
        <v>198</v>
      </c>
      <c r="Z169" s="113" t="n">
        <v>20000000</v>
      </c>
      <c r="AA169" s="112" t="n">
        <v>0.95</v>
      </c>
      <c r="AB169" s="108" t="inlineStr">
        <is>
          <t>none — no cornerstone tranche</t>
        </is>
      </c>
      <c r="AC169" s="108" t="inlineStr">
        <is>
          <t>none</t>
        </is>
      </c>
      <c r="AD169" s="112" t="n">
        <v>10.42</v>
      </c>
      <c r="AE169" s="108" t="inlineStr">
        <is>
          <t>lapsed</t>
        </is>
      </c>
      <c r="AF169" s="108" t="inlineStr">
        <is>
          <t>2023-01-29</t>
        </is>
      </c>
      <c r="AG169" s="108" t="inlineStr">
        <is>
          <t>China International Capital Corporation Hong Kong Securities Limited</t>
        </is>
      </c>
      <c r="AH169" s="108" t="inlineStr">
        <is>
          <t>China International</t>
        </is>
      </c>
      <c r="AI169" s="120" t="n">
        <v>5.05</v>
      </c>
      <c r="AJ169" s="121" t="n">
        <v>12.12</v>
      </c>
      <c r="AK169" s="121" t="n">
        <v>2.71</v>
      </c>
      <c r="AL169" s="121" t="n">
        <v>6.06</v>
      </c>
      <c r="AM169" s="121" t="n">
        <v>5.71</v>
      </c>
      <c r="AN169" s="123" t="n">
        <v>1.97</v>
      </c>
      <c r="AO169" s="112" t="n">
        <v>17.52</v>
      </c>
      <c r="AP169" s="121" t="n">
        <v>5.05</v>
      </c>
      <c r="AQ169" s="121" t="n">
        <v>24.65</v>
      </c>
      <c r="AR169" s="121" t="n">
        <v>22.83</v>
      </c>
      <c r="AS169" s="121" t="n">
        <v>-6.31</v>
      </c>
      <c r="AT169" s="121" t="n">
        <v>11.18</v>
      </c>
      <c r="AU169" s="121" t="n">
        <v>9.550000000000001</v>
      </c>
      <c r="AV169" s="121" t="n">
        <v>0.8</v>
      </c>
      <c r="AW169" s="121" t="n">
        <v>23.48</v>
      </c>
      <c r="AX169" s="121" t="n">
        <v>26.53</v>
      </c>
      <c r="AY169" s="121" t="n">
        <v>12.69</v>
      </c>
      <c r="AZ169" s="121" t="n">
        <v>1.17</v>
      </c>
      <c r="BA169" s="121" t="n">
        <v>-1.51</v>
      </c>
      <c r="BB169" s="108" t="inlineStr">
        <is>
          <t>Hang Seng Commerce &amp; Industry sub-index</t>
        </is>
      </c>
      <c r="BC169" s="121" t="n">
        <v>-96.72</v>
      </c>
      <c r="BD169" s="109" t="n">
        <v>46297</v>
      </c>
      <c r="BE169" s="110" t="n">
        <v>3771.4</v>
      </c>
      <c r="BF169" s="113" t="n">
        <v>-2263.7</v>
      </c>
      <c r="BG169" s="108" t="inlineStr">
        <is>
          <t>N</t>
        </is>
      </c>
      <c r="BH169" s="108" t="inlineStr">
        <is>
          <t>n/m</t>
        </is>
      </c>
      <c r="BI169" s="122" t="n"/>
      <c r="BJ169" s="123" t="n">
        <v>3.2</v>
      </c>
      <c r="BK169" s="123" t="n">
        <v>5.5</v>
      </c>
      <c r="BL169" s="124">
        <f>IF('BBG Verify'!S169="","not filed; run on terminal",'BBG Verify'!S169)</f>
        <v/>
      </c>
      <c r="BM169" s="125" t="inlineStr">
        <is>
          <t>N</t>
        </is>
      </c>
      <c r="BN169" s="126">
        <f>IF('BBG Verify'!K169="","not filed; run on terminal",'BBG Verify'!K169)</f>
        <v/>
      </c>
      <c r="BO169" s="108" t="inlineStr">
        <is>
          <t>N/A</t>
        </is>
      </c>
      <c r="BP169" s="108" t="inlineStr">
        <is>
          <t>N/A</t>
        </is>
      </c>
      <c r="BQ169" s="108" t="inlineStr">
        <is>
          <t>N/A</t>
        </is>
      </c>
      <c r="BR169" s="108" t="inlineStr">
        <is>
          <t>N/A</t>
        </is>
      </c>
      <c r="BS169" s="108" t="inlineStr">
        <is>
          <t>N/A</t>
        </is>
      </c>
      <c r="BT169" s="108" t="inlineStr">
        <is>
          <t>N/A</t>
        </is>
      </c>
      <c r="BU169" s="125" t="inlineStr">
        <is>
          <t>China International Capital Corporation Hong Kong Securities Limited; Merrill Lynch (Asia Pacific) Limited; Citigroup Global Markets Asia Limited</t>
        </is>
      </c>
      <c r="BV169" s="108" t="inlineStr">
        <is>
          <t>China International Capital Corporation Hong Kong Securities Limited; Merrill Lynch (Asia Pacific) Limited; Citigroup Global Markets Asia Limited</t>
        </is>
      </c>
      <c r="BW169" s="108" t="inlineStr">
        <is>
          <t>(in no particular order) Citigroup Global Markets Asia Limited; China International Capital Corporation Hong Kong Securities Limited; Merrill Lynch (Asia Pacific) Limited; Haitong International Securities Company Limited; ICBC International Securities Limited</t>
        </is>
      </c>
      <c r="BX169" s="108" t="inlineStr">
        <is>
          <t>Beta International Securities Limited; Citigroup Global Markets Asia Limited; China International Capital Corporation Hong Kong Securities Limited; CMB International Capital Limited; China Merchants Securities (HK) Company Limited; CRIC Securities Company Limited; CSFG International Securities Limited; Futu Securities International (Hong Kong) Limited; Haitong International Securities Company Limited; ICBC International Securities Limited; Macquarie Capital Limited; Maxa Capital Limited</t>
        </is>
      </c>
      <c r="BY169" s="127">
        <f>HYPERLINK("https://www1.hkexnews.hk/listedco/listconews/sehk/2022/1223/2022122300005.pdf","prospectus")</f>
        <v/>
      </c>
      <c r="BZ169" s="127">
        <f>HYPERLINK("https://www1.hkexnews.hk/listedco/listconews/sehk/2023/0106/2023010600010.htm","allotment")</f>
        <v/>
      </c>
      <c r="CA169" s="127">
        <f>HYPERLINK("https://www1.hkexnews.hk/listedco/listconews/sehk/2023/0129/2023012900007.pdf","stabilisation")</f>
        <v/>
      </c>
      <c r="CB169" s="128" t="n"/>
      <c r="CC169" s="108" t="inlineStr">
        <is>
          <t>P/E: loss-making at IPO, use P/S; sponsor: English name not in the filing; AAStocks 保薦人 shown; cornerstone list: no cornerstone tranche</t>
        </is>
      </c>
    </row>
    <row r="170" ht="22" customHeight="1">
      <c r="A170" s="107" t="inlineStr">
        <is>
          <t>2402</t>
        </is>
      </c>
      <c r="B170" s="108" t="inlineStr">
        <is>
          <t>SINOHYTEC</t>
        </is>
      </c>
      <c r="C170" s="108" t="inlineStr">
        <is>
          <t>億華通</t>
        </is>
      </c>
      <c r="D170" s="108" t="inlineStr">
        <is>
          <t>Industrials</t>
        </is>
      </c>
      <c r="E170" s="108" t="inlineStr">
        <is>
          <t>Batteries / energy storage</t>
        </is>
      </c>
      <c r="F170" s="108" t="inlineStr">
        <is>
          <t>Battery Products</t>
        </is>
      </c>
      <c r="G170" s="108" t="inlineStr">
        <is>
          <t>Standard</t>
        </is>
      </c>
      <c r="H170" s="109" t="n">
        <v>44938</v>
      </c>
      <c r="I170" s="110" t="n">
        <v>1057.7</v>
      </c>
      <c r="J170" s="108" t="inlineStr">
        <is>
          <t>gross (price x shares)</t>
        </is>
      </c>
      <c r="K170" s="111" t="n">
        <v>60</v>
      </c>
      <c r="L170" s="111" t="n">
        <v>76</v>
      </c>
      <c r="M170" s="111" t="n">
        <v>60</v>
      </c>
      <c r="N170" s="108" t="inlineStr">
        <is>
          <t>N</t>
        </is>
      </c>
      <c r="O170" s="112" t="n">
        <v>78.90000000000001</v>
      </c>
      <c r="P170" s="112" t="n">
        <v>0</v>
      </c>
      <c r="Q170" s="113" t="n">
        <v>7051.3</v>
      </c>
      <c r="R170" s="108" t="inlineStr">
        <is>
          <t>derived:deal size / offer % of enlarged capital</t>
        </is>
      </c>
      <c r="S170" s="114" t="n">
        <v>0.29</v>
      </c>
      <c r="T170" s="115" t="n">
        <v>1.84</v>
      </c>
      <c r="U170" s="116" t="n">
        <v>36.6</v>
      </c>
      <c r="V170" s="117" t="n">
        <v>80</v>
      </c>
      <c r="W170" s="112" t="n">
        <v>2.88</v>
      </c>
      <c r="X170" s="108" t="inlineStr">
        <is>
          <t>NO</t>
        </is>
      </c>
      <c r="Y170" s="113" t="n">
        <v>670.58</v>
      </c>
      <c r="Z170" s="113" t="n">
        <v>11176152</v>
      </c>
      <c r="AA170" s="112" t="n">
        <v>9.51</v>
      </c>
      <c r="AB170" s="108" t="inlineStr">
        <is>
          <t>Astonish Investment Pte. Ltd; Harvest International Premium Value (Secondary Market) Fund SPC</t>
        </is>
      </c>
      <c r="AC170" s="108" t="inlineStr">
        <is>
          <t>astonish;harvest</t>
        </is>
      </c>
      <c r="AD170" s="112" t="n">
        <v>15.8</v>
      </c>
      <c r="AE170" s="108" t="inlineStr">
        <is>
          <t>partial</t>
        </is>
      </c>
      <c r="AF170" s="108" t="inlineStr">
        <is>
          <t>2023-02-04</t>
        </is>
      </c>
      <c r="AG170" s="108" t="inlineStr">
        <is>
          <t>Guotai Juna n Securities</t>
        </is>
      </c>
      <c r="AH170" s="108" t="inlineStr">
        <is>
          <t>Guotai Juna</t>
        </is>
      </c>
      <c r="AI170" s="120" t="n">
        <v>0.08</v>
      </c>
      <c r="AJ170" s="121" t="n">
        <v>0</v>
      </c>
      <c r="AK170" s="121" t="n">
        <v>-0.3</v>
      </c>
      <c r="AL170" s="121" t="n">
        <v>0</v>
      </c>
      <c r="AM170" s="121" t="n">
        <v>0</v>
      </c>
      <c r="AN170" s="123" t="n">
        <v>3.58</v>
      </c>
      <c r="AO170" s="112" t="n">
        <v>3.42</v>
      </c>
      <c r="AP170" s="121" t="n">
        <v>0</v>
      </c>
      <c r="AQ170" s="121" t="n">
        <v>8.25</v>
      </c>
      <c r="AR170" s="121" t="n">
        <v>-0.5</v>
      </c>
      <c r="AS170" s="121" t="n">
        <v>0</v>
      </c>
      <c r="AT170" s="121" t="n">
        <v>8.25</v>
      </c>
      <c r="AU170" s="121" t="n">
        <v>-0.5</v>
      </c>
      <c r="AV170" s="121" t="n">
        <v>-0.09</v>
      </c>
      <c r="AW170" s="121" t="n">
        <v>12.29</v>
      </c>
      <c r="AX170" s="121" t="n">
        <v>7.22</v>
      </c>
      <c r="AY170" s="121" t="n">
        <v>12</v>
      </c>
      <c r="AZ170" s="121" t="n">
        <v>-4.04</v>
      </c>
      <c r="BA170" s="121" t="n">
        <v>-3.75</v>
      </c>
      <c r="BB170" s="108" t="inlineStr">
        <is>
          <t>Hang Seng Commerce &amp; Industry sub-index</t>
        </is>
      </c>
      <c r="BC170" s="121" t="n">
        <v>-67.34999999999999</v>
      </c>
      <c r="BD170" s="109" t="n">
        <v>46297</v>
      </c>
      <c r="BE170" s="110" t="n">
        <v>692.3</v>
      </c>
      <c r="BF170" s="113" t="n">
        <v>-203.9</v>
      </c>
      <c r="BG170" s="108" t="inlineStr">
        <is>
          <t>N</t>
        </is>
      </c>
      <c r="BH170" s="108" t="inlineStr">
        <is>
          <t>n/m</t>
        </is>
      </c>
      <c r="BI170" s="122" t="n"/>
      <c r="BJ170" s="122" t="n"/>
      <c r="BK170" s="123" t="n">
        <v>10.2</v>
      </c>
      <c r="BL170" s="124">
        <f>IF('BBG Verify'!S170="","not filed; run on terminal",'BBG Verify'!S170)</f>
        <v/>
      </c>
      <c r="BM170" s="125" t="inlineStr">
        <is>
          <t>Y</t>
        </is>
      </c>
      <c r="BN170" s="108" t="inlineStr">
        <is>
          <t>688339.SS</t>
        </is>
      </c>
      <c r="BO170" s="121" t="n">
        <v>54.15</v>
      </c>
      <c r="BP170" s="111" t="n">
        <v>92.48820000000001</v>
      </c>
      <c r="BQ170" s="135" t="n">
        <v>1.3906</v>
      </c>
      <c r="BR170" s="113" t="n">
        <v>5748.1</v>
      </c>
      <c r="BS170" s="124">
        <f>IF('BBG Verify'!Q170="","run on terminal",'BBG Verify'!Q170)</f>
        <v/>
      </c>
      <c r="BT170" s="124">
        <f>IF('BBG Verify'!R170="","run on terminal",'BBG Verify'!R170)</f>
        <v/>
      </c>
      <c r="BU170" s="125" t="inlineStr">
        <is>
          <t>Guotai Junan Capital Limited; Giraffe Capital Limited</t>
        </is>
      </c>
      <c r="BV170" s="108" t="inlineStr">
        <is>
          <t>Guotai Junan Capital Limited; Giraffe Capital Limited</t>
        </is>
      </c>
      <c r="BW170" s="108" t="inlineStr">
        <is>
          <t>Guotai Junan Securities (Hong Kong) Limited; CLSA Limited; Essence International Securities (Hong Kong) Limited; Zhongtai International Securities Limited; China Everbright Securities (HK) Limited; ICBC International Capital Limited; Futu Securities International (Hong Kong) Limited; Valuable Capital Limited</t>
        </is>
      </c>
      <c r="BX170" s="108" t="inlineStr">
        <is>
          <t>China Everbright Securities (HK) Limited; CLSA Limited; Essence International Securities (Hong Kong) Limited; Futu Securities International (Hong Kong) Limited; Guotai Junan Securities (Hong Kong) Limited; ICBC International Securities Limited; Merdeka Securities Limited; SPDB International Capital Limited; Valuable Capital Limited; Zhongtai International Securities Limited</t>
        </is>
      </c>
      <c r="BY170" s="127">
        <f>HYPERLINK("https://www1.hkexnews.hk/listedco/listconews/sehk/2022/1229/2022122900013.pdf","prospectus")</f>
        <v/>
      </c>
      <c r="BZ170" s="127">
        <f>HYPERLINK("https://www1.hkexnews.hk/listedco/listconews/sehk/2023/0111/2023011100006.htm","allotment")</f>
        <v/>
      </c>
      <c r="CA170" s="127">
        <f>HYPERLINK("https://www1.hkexnews.hk/listedco/listconews/sehk/2023/0206/2023020600005.pdf","stabilisation")</f>
        <v/>
      </c>
      <c r="CB170" s="128" t="n"/>
      <c r="CC170" s="108" t="inlineStr">
        <is>
          <t>P/E: loss-making at IPO, use P/S; A/H: H listed Jan 2023 (hydrogen fuel cells); A+H on STAR; cornerstone %: upper bound: AAStocks institutional total / deal size</t>
        </is>
      </c>
    </row>
    <row r="171" ht="22" customHeight="1">
      <c r="A171" s="107" t="inlineStr">
        <is>
          <t>2147</t>
        </is>
      </c>
      <c r="B171" s="108" t="inlineStr">
        <is>
          <t>ZHENGWEI GROUP</t>
        </is>
      </c>
      <c r="C171" s="108" t="inlineStr">
        <is>
          <t>正味集團</t>
        </is>
      </c>
      <c r="D171" s="108" t="inlineStr">
        <is>
          <t>Consumer</t>
        </is>
      </c>
      <c r="E171" s="108" t="inlineStr">
        <is>
          <t>Beverages / packaged food</t>
        </is>
      </c>
      <c r="F171" s="108" t="inlineStr">
        <is>
          <t>Packaged Foods</t>
        </is>
      </c>
      <c r="G171" s="108" t="inlineStr">
        <is>
          <t>Standard</t>
        </is>
      </c>
      <c r="H171" s="109" t="n">
        <v>44939</v>
      </c>
      <c r="I171" s="110" t="n">
        <v>97.3</v>
      </c>
      <c r="J171" s="108" t="inlineStr">
        <is>
          <t>net proceeds</t>
        </is>
      </c>
      <c r="K171" s="129" t="n"/>
      <c r="L171" s="111" t="n">
        <v>0.68</v>
      </c>
      <c r="M171" s="111" t="n">
        <v>0.68</v>
      </c>
      <c r="N171" s="108" t="inlineStr">
        <is>
          <t>Y</t>
        </is>
      </c>
      <c r="O171" s="112" t="n">
        <v>100</v>
      </c>
      <c r="P171" s="118" t="n"/>
      <c r="Q171" s="113" t="n">
        <v>600</v>
      </c>
      <c r="R171" s="108" t="inlineStr">
        <is>
          <t>aastocks:上市市值 at the struck price</t>
        </is>
      </c>
      <c r="S171" s="114" t="n">
        <v>18.28</v>
      </c>
      <c r="T171" s="115" t="n">
        <v>1.33</v>
      </c>
      <c r="U171" s="116" t="n">
        <v>0</v>
      </c>
      <c r="V171" s="117" t="n">
        <v>184</v>
      </c>
      <c r="W171" s="112" t="n">
        <v>30</v>
      </c>
      <c r="X171" s="108" t="inlineStr">
        <is>
          <t>YES</t>
        </is>
      </c>
      <c r="Y171" s="113" t="n">
        <v>97.3</v>
      </c>
      <c r="Z171" s="131" t="n"/>
      <c r="AA171" s="112" t="n">
        <v>16.22</v>
      </c>
      <c r="AB171" s="108" t="inlineStr">
        <is>
          <t>none — no cornerstone tranche</t>
        </is>
      </c>
      <c r="AC171" s="108" t="inlineStr">
        <is>
          <t>none</t>
        </is>
      </c>
      <c r="AD171" s="112" t="n">
        <v>15</v>
      </c>
      <c r="AE171" s="108" t="inlineStr">
        <is>
          <t>lapsed (no over-allocation)</t>
        </is>
      </c>
      <c r="AF171" s="119" t="n"/>
      <c r="AG171" s="108" t="inlineStr">
        <is>
          <t>Grand Moore Capital</t>
        </is>
      </c>
      <c r="AH171" s="108" t="inlineStr">
        <is>
          <t>Grand Moore</t>
        </is>
      </c>
      <c r="AI171" s="120" t="n">
        <v>2.94</v>
      </c>
      <c r="AJ171" s="121" t="n">
        <v>-17.65</v>
      </c>
      <c r="AK171" s="121" t="n">
        <v>1.24</v>
      </c>
      <c r="AL171" s="121" t="n">
        <v>8.82</v>
      </c>
      <c r="AM171" s="121" t="n">
        <v>-24.32</v>
      </c>
      <c r="AN171" s="123" t="n">
        <v>3.27</v>
      </c>
      <c r="AO171" s="112" t="n">
        <v>28.38</v>
      </c>
      <c r="AP171" s="121" t="n">
        <v>-29.41</v>
      </c>
      <c r="AQ171" s="121" t="n">
        <v>-30.88</v>
      </c>
      <c r="AR171" s="121" t="n">
        <v>-1.47</v>
      </c>
      <c r="AS171" s="121" t="n">
        <v>-14.28</v>
      </c>
      <c r="AT171" s="121" t="n">
        <v>-16.07</v>
      </c>
      <c r="AU171" s="121" t="n">
        <v>19.65</v>
      </c>
      <c r="AV171" s="121" t="n">
        <v>-32.28</v>
      </c>
      <c r="AW171" s="121" t="n">
        <v>-28.04</v>
      </c>
      <c r="AX171" s="121" t="n">
        <v>5.72</v>
      </c>
      <c r="AY171" s="121" t="n">
        <v>-12.04</v>
      </c>
      <c r="AZ171" s="121" t="n">
        <v>-2.84</v>
      </c>
      <c r="BA171" s="121" t="n">
        <v>-4.03</v>
      </c>
      <c r="BB171" s="108" t="inlineStr">
        <is>
          <t>Hang Seng Commerce &amp; Industry sub-index</t>
        </is>
      </c>
      <c r="BC171" s="121" t="n">
        <v>-95.37</v>
      </c>
      <c r="BD171" s="109" t="n">
        <v>46297</v>
      </c>
      <c r="BE171" s="110" t="n">
        <v>376.2</v>
      </c>
      <c r="BF171" s="113" t="n">
        <v>53.1</v>
      </c>
      <c r="BG171" s="108" t="inlineStr">
        <is>
          <t>Y</t>
        </is>
      </c>
      <c r="BH171" s="123" t="n">
        <v>11.3</v>
      </c>
      <c r="BI171" s="123" t="n">
        <v>6</v>
      </c>
      <c r="BJ171" s="122" t="n"/>
      <c r="BK171" s="123" t="n">
        <v>1.6</v>
      </c>
      <c r="BL171" s="124">
        <f>IF('BBG Verify'!S171="","not filed; run on terminal",'BBG Verify'!S171)</f>
        <v/>
      </c>
      <c r="BM171" s="125" t="inlineStr">
        <is>
          <t>N</t>
        </is>
      </c>
      <c r="BN171" s="126">
        <f>IF('BBG Verify'!K171="","not filed; run on terminal",'BBG Verify'!K171)</f>
        <v/>
      </c>
      <c r="BO171" s="108" t="inlineStr">
        <is>
          <t>N/A</t>
        </is>
      </c>
      <c r="BP171" s="108" t="inlineStr">
        <is>
          <t>N/A</t>
        </is>
      </c>
      <c r="BQ171" s="108" t="inlineStr">
        <is>
          <t>N/A</t>
        </is>
      </c>
      <c r="BR171" s="108" t="inlineStr">
        <is>
          <t>N/A</t>
        </is>
      </c>
      <c r="BS171" s="108" t="inlineStr">
        <is>
          <t>N/A</t>
        </is>
      </c>
      <c r="BT171" s="108" t="inlineStr">
        <is>
          <t>N/A</t>
        </is>
      </c>
      <c r="BU171" s="125" t="inlineStr">
        <is>
          <t>Grand Moore Capital Limited</t>
        </is>
      </c>
      <c r="BV171" s="108" t="inlineStr">
        <is>
          <t>Grand Moore Capital Limited</t>
        </is>
      </c>
      <c r="BW171" s="108" t="inlineStr">
        <is>
          <t>Grand Moore Capital Limited; Valuable Capital Limited; China PA Securities (Hong Kong) Company Limited; Cinda International Capital Limited; Fortune (HK) Securities Limited; Guotai Junan Securities (Hong Kong) Limited; Zhong Y ang Securities Limited</t>
        </is>
      </c>
      <c r="BX171" s="108" t="inlineStr">
        <is>
          <t>Cinda International Capital Limited; China PA Securities (Hong Kong) Company Limited; Fortune (HK) Securities Limited; Guotai Junan Securities (Hong Kong) Limited; Grand Moore Capital Limited; Valuable Capital Limited; Zhong Yang Securities Limited</t>
        </is>
      </c>
      <c r="BY171" s="127">
        <f>HYPERLINK("https://www1.hkexnews.hk/listedco/listconews/sehk/2022/1230/2022123000080.htm","prospectus")</f>
        <v/>
      </c>
      <c r="BZ171" s="127">
        <f>HYPERLINK("https://www1.hkexnews.hk/listedco/listconews/sehk/2023/0112/2023011200014.htm","allotment")</f>
        <v/>
      </c>
      <c r="CA171" s="127">
        <f>HYPERLINK("https://www1.hkexnews.hk/listedco/listconews/sehk/2023/0210/2023021001132.pdf","stabilisation")</f>
        <v/>
      </c>
      <c r="CB171" s="128" t="n"/>
      <c r="CC171" s="108" t="inlineStr">
        <is>
          <t>greenshoe: outcome published; expiry date not in the notice; price range: fixed-price offering (no indicative range); range low: maximum offer price only, no floor published; market cap: published listing cap used; the estimate from deal size / offer % of enlarged capital disagreed; cornerstone list: no cornerstone tranche; eff float shares: share count unavailable; the HK$m figure is exact</t>
        </is>
      </c>
    </row>
    <row r="172" ht="22" customHeight="1">
      <c r="A172" s="107" t="inlineStr">
        <is>
          <t>2411</t>
        </is>
      </c>
      <c r="B172" s="108" t="inlineStr">
        <is>
          <t>PAGODA GP</t>
        </is>
      </c>
      <c r="C172" s="108" t="inlineStr">
        <is>
          <t>百果園集團</t>
        </is>
      </c>
      <c r="D172" s="108" t="inlineStr">
        <is>
          <t>Consumer</t>
        </is>
      </c>
      <c r="E172" s="108" t="inlineStr">
        <is>
          <t>Retail / distribution</t>
        </is>
      </c>
      <c r="F172" s="108" t="inlineStr">
        <is>
          <t>Agricultural Products</t>
        </is>
      </c>
      <c r="G172" s="108" t="inlineStr">
        <is>
          <t>Standard</t>
        </is>
      </c>
      <c r="H172" s="109" t="n">
        <v>44942</v>
      </c>
      <c r="I172" s="110" t="n">
        <v>442.1</v>
      </c>
      <c r="J172" s="108" t="inlineStr">
        <is>
          <t>gross (price x shares)</t>
        </is>
      </c>
      <c r="K172" s="129" t="n"/>
      <c r="L172" s="111" t="n">
        <v>5.6</v>
      </c>
      <c r="M172" s="111" t="n">
        <v>5.6</v>
      </c>
      <c r="N172" s="108" t="inlineStr">
        <is>
          <t>Y</t>
        </is>
      </c>
      <c r="O172" s="112" t="n">
        <v>100</v>
      </c>
      <c r="P172" s="118" t="n"/>
      <c r="Q172" s="113" t="n">
        <v>8895.9</v>
      </c>
      <c r="R172" s="108" t="inlineStr">
        <is>
          <t>aastocks:上市市值 at the struck price</t>
        </is>
      </c>
      <c r="S172" s="114" t="n">
        <v>12.2</v>
      </c>
      <c r="T172" s="115" t="n">
        <v>2.8</v>
      </c>
      <c r="U172" s="116" t="n">
        <v>5.32</v>
      </c>
      <c r="V172" s="117" t="n">
        <v>174</v>
      </c>
      <c r="W172" s="118" t="n"/>
      <c r="X172" s="119" t="n"/>
      <c r="Y172" s="113" t="n">
        <v>418.58</v>
      </c>
      <c r="Z172" s="113" t="n">
        <v>74747493</v>
      </c>
      <c r="AA172" s="112" t="n">
        <v>4.71</v>
      </c>
      <c r="AB172" s="108" t="inlineStr">
        <is>
          <t>HONG KONG BAIJIADA NEW MATERIAL LIMITED; Nantong Douson Drilling and Production Equipment Co., Ltd; Yip Wing Kui</t>
        </is>
      </c>
      <c r="AC172" s="108" t="inlineStr">
        <is>
          <t>baijiada;nantong;yip</t>
        </is>
      </c>
      <c r="AD172" s="112" t="n">
        <v>15</v>
      </c>
      <c r="AE172" s="108" t="inlineStr">
        <is>
          <t>partial</t>
        </is>
      </c>
      <c r="AF172" s="108" t="inlineStr">
        <is>
          <t>2023-02-08</t>
        </is>
      </c>
      <c r="AG172" s="108" t="inlineStr">
        <is>
          <t>Morgan Stanley Asia Limited</t>
        </is>
      </c>
      <c r="AH172" s="108" t="inlineStr">
        <is>
          <t>Morgan Stanley</t>
        </is>
      </c>
      <c r="AI172" s="120" t="n">
        <v>16.43</v>
      </c>
      <c r="AJ172" s="121" t="n">
        <v>7.14</v>
      </c>
      <c r="AK172" s="121" t="n">
        <v>-0.25</v>
      </c>
      <c r="AL172" s="121" t="n">
        <v>16.43</v>
      </c>
      <c r="AM172" s="121" t="n">
        <v>-7.98</v>
      </c>
      <c r="AN172" s="122" t="n"/>
      <c r="AO172" s="112" t="n">
        <v>17.18</v>
      </c>
      <c r="AP172" s="121" t="n">
        <v>1.07</v>
      </c>
      <c r="AQ172" s="121" t="n">
        <v>0.71</v>
      </c>
      <c r="AR172" s="121" t="n">
        <v>5.54</v>
      </c>
      <c r="AS172" s="121" t="n">
        <v>-5.67</v>
      </c>
      <c r="AT172" s="121" t="n">
        <v>-6</v>
      </c>
      <c r="AU172" s="121" t="n">
        <v>-1.49</v>
      </c>
      <c r="AV172" s="121" t="n">
        <v>-3.18</v>
      </c>
      <c r="AW172" s="121" t="n">
        <v>6.37</v>
      </c>
      <c r="AX172" s="121" t="n">
        <v>15.72</v>
      </c>
      <c r="AY172" s="121" t="n">
        <v>-0.58</v>
      </c>
      <c r="AZ172" s="121" t="n">
        <v>-5.66</v>
      </c>
      <c r="BA172" s="121" t="n">
        <v>-5.42</v>
      </c>
      <c r="BB172" s="108" t="inlineStr">
        <is>
          <t>Hang Seng Commerce &amp; Industry sub-index</t>
        </is>
      </c>
      <c r="BC172" s="121" t="n">
        <v>-72.5</v>
      </c>
      <c r="BD172" s="109" t="n">
        <v>46297</v>
      </c>
      <c r="BE172" s="110" t="n">
        <v>11318.3</v>
      </c>
      <c r="BF172" s="113" t="n">
        <v>243.5</v>
      </c>
      <c r="BG172" s="108" t="inlineStr">
        <is>
          <t>Y</t>
        </is>
      </c>
      <c r="BH172" s="123" t="n">
        <v>36.5</v>
      </c>
      <c r="BI172" s="122" t="n"/>
      <c r="BJ172" s="122" t="n"/>
      <c r="BK172" s="123" t="n">
        <v>0.8</v>
      </c>
      <c r="BL172" s="124">
        <f>IF('BBG Verify'!S172="","not filed; run on terminal",'BBG Verify'!S172)</f>
        <v/>
      </c>
      <c r="BM172" s="125" t="inlineStr">
        <is>
          <t>N</t>
        </is>
      </c>
      <c r="BN172" s="126">
        <f>IF('BBG Verify'!K172="","not filed; run on terminal",'BBG Verify'!K172)</f>
        <v/>
      </c>
      <c r="BO172" s="108" t="inlineStr">
        <is>
          <t>N/A</t>
        </is>
      </c>
      <c r="BP172" s="108" t="inlineStr">
        <is>
          <t>N/A</t>
        </is>
      </c>
      <c r="BQ172" s="108" t="inlineStr">
        <is>
          <t>N/A</t>
        </is>
      </c>
      <c r="BR172" s="108" t="inlineStr">
        <is>
          <t>N/A</t>
        </is>
      </c>
      <c r="BS172" s="108" t="inlineStr">
        <is>
          <t>N/A</t>
        </is>
      </c>
      <c r="BT172" s="108" t="inlineStr">
        <is>
          <t>N/A</t>
        </is>
      </c>
      <c r="BU172" s="125" t="inlineStr">
        <is>
          <t>Morgan Stanley Asia Limited</t>
        </is>
      </c>
      <c r="BV172" s="108" t="inlineStr">
        <is>
          <t>Morgan Stanley Asia Limited</t>
        </is>
      </c>
      <c r="BW172" s="108" t="inlineStr">
        <is>
          <t>Morgan Stanley Asia Limited; CMB International Capital Limited</t>
        </is>
      </c>
      <c r="BX172" s="108" t="inlineStr">
        <is>
          <t>CMB International Capital Limited; First Shanghai Securities Limited; Fosun Hani Securities Limited; Futu Securities International (Hong Kong) Limited; Morgan Stanley Asia Limited; Tiger Brokers (HK) Global Limited</t>
        </is>
      </c>
      <c r="BY172" s="127">
        <f>HYPERLINK("https://www1.hkexnews.hk/listedco/listconews/sehk/2022/1229/2022122900158.htm","prospectus")</f>
        <v/>
      </c>
      <c r="BZ172" s="127">
        <f>HYPERLINK("https://www1.hkexnews.hk/listedco/listconews/sehk/2023/0113/2023011300018.htm","allotment")</f>
        <v/>
      </c>
      <c r="CA172" s="127">
        <f>HYPERLINK("https://www1.hkexnews.hk/listedco/listconews/sehk/2023/0208/2023020800810.pdf","stabilisation")</f>
        <v/>
      </c>
      <c r="CB172" s="128" t="n"/>
      <c r="CC172" s="108" t="inlineStr">
        <is>
          <t>price range: fixed-price offering (no indicative range); range low: maximum offer price only, no floor published; cornerstone: % from the prospectus; AAStocks table includes non-cornerstone orders; allocation: allocation table not in this notice's format (older prose announcement); day-1 tape: volume on file; the retail multiple needs the final public split, which this notice does not state</t>
        </is>
      </c>
    </row>
    <row r="173" ht="22" customHeight="1">
      <c r="A173" s="107" t="inlineStr">
        <is>
          <t>2373</t>
        </is>
      </c>
      <c r="B173" s="108" t="inlineStr">
        <is>
          <t>BEAUTYFARM MED</t>
        </is>
      </c>
      <c r="C173" s="108" t="inlineStr">
        <is>
          <t>美麗田園醫療健康</t>
        </is>
      </c>
      <c r="D173" s="108" t="inlineStr">
        <is>
          <t>Consumer</t>
        </is>
      </c>
      <c r="E173" s="108" t="inlineStr">
        <is>
          <t>Beauty / personal care</t>
        </is>
      </c>
      <c r="F173" s="108" t="inlineStr">
        <is>
          <t>Health Care Services</t>
        </is>
      </c>
      <c r="G173" s="108" t="inlineStr">
        <is>
          <t>Standard</t>
        </is>
      </c>
      <c r="H173" s="109" t="n">
        <v>44942</v>
      </c>
      <c r="I173" s="110" t="n">
        <v>783.2</v>
      </c>
      <c r="J173" s="108" t="inlineStr">
        <is>
          <t>gross (price x shares)</t>
        </is>
      </c>
      <c r="K173" s="129" t="n"/>
      <c r="L173" s="111" t="n">
        <v>19.32</v>
      </c>
      <c r="M173" s="111" t="n">
        <v>19.32</v>
      </c>
      <c r="N173" s="108" t="inlineStr">
        <is>
          <t>Y</t>
        </is>
      </c>
      <c r="O173" s="112" t="n">
        <v>100</v>
      </c>
      <c r="P173" s="118" t="n"/>
      <c r="Q173" s="113" t="n">
        <v>4454.8</v>
      </c>
      <c r="R173" s="108" t="inlineStr">
        <is>
          <t>prospectus:stated market capitalisation</t>
        </is>
      </c>
      <c r="S173" s="114" t="n">
        <v>22.12</v>
      </c>
      <c r="T173" s="115" t="n">
        <v>4.7</v>
      </c>
      <c r="U173" s="116" t="n">
        <v>28.4</v>
      </c>
      <c r="V173" s="117" t="n">
        <v>47</v>
      </c>
      <c r="W173" s="118" t="n"/>
      <c r="X173" s="119" t="n"/>
      <c r="Y173" s="113" t="n">
        <v>560.77</v>
      </c>
      <c r="Z173" s="113" t="n">
        <v>29024134</v>
      </c>
      <c r="AA173" s="112" t="n">
        <v>12.59</v>
      </c>
      <c r="AB173" s="108" t="inlineStr">
        <is>
          <t>Harvest International Premium Value (Secondary Market) Fund SPC; Juzi Holding Co., Ltd; Kunming Botanee Bio-technology Sales Co., Ltd; TruMed Healthcare Master Fund and TruMed Health Innovation Fund LP</t>
        </is>
      </c>
      <c r="AC173" s="108" t="inlineStr">
        <is>
          <t>harvest;juzi;kunming;trumed</t>
        </is>
      </c>
      <c r="AD173" s="112" t="n">
        <v>7</v>
      </c>
      <c r="AE173" s="108" t="inlineStr">
        <is>
          <t>full</t>
        </is>
      </c>
      <c r="AF173" s="108" t="inlineStr">
        <is>
          <t>2023-02-05</t>
        </is>
      </c>
      <c r="AG173" s="108" t="inlineStr">
        <is>
          <t>Morgan Stanley Asia Limited</t>
        </is>
      </c>
      <c r="AH173" s="108" t="inlineStr">
        <is>
          <t>Morgan Stanley</t>
        </is>
      </c>
      <c r="AI173" s="120" t="n">
        <v>48.29</v>
      </c>
      <c r="AJ173" s="121" t="n">
        <v>53.47</v>
      </c>
      <c r="AK173" s="121" t="n">
        <v>-0.25</v>
      </c>
      <c r="AL173" s="121" t="n">
        <v>57.87</v>
      </c>
      <c r="AM173" s="121" t="n">
        <v>-2.79</v>
      </c>
      <c r="AN173" s="122" t="n"/>
      <c r="AO173" s="112" t="n">
        <v>15.9</v>
      </c>
      <c r="AP173" s="121" t="n">
        <v>56.31</v>
      </c>
      <c r="AQ173" s="121" t="n">
        <v>45.96</v>
      </c>
      <c r="AR173" s="121" t="n">
        <v>58.64</v>
      </c>
      <c r="AS173" s="121" t="n">
        <v>1.85</v>
      </c>
      <c r="AT173" s="121" t="n">
        <v>-4.89</v>
      </c>
      <c r="AU173" s="121" t="n">
        <v>3.37</v>
      </c>
      <c r="AV173" s="121" t="n">
        <v>52.06</v>
      </c>
      <c r="AW173" s="121" t="n">
        <v>51.62</v>
      </c>
      <c r="AX173" s="121" t="n">
        <v>68.81999999999999</v>
      </c>
      <c r="AY173" s="121" t="n">
        <v>0.53</v>
      </c>
      <c r="AZ173" s="121" t="n">
        <v>-5.66</v>
      </c>
      <c r="BA173" s="121" t="n">
        <v>-5.42</v>
      </c>
      <c r="BB173" s="108" t="inlineStr">
        <is>
          <t>Hang Seng Commerce &amp; Industry sub-index</t>
        </is>
      </c>
      <c r="BC173" s="121" t="n">
        <v>0.41</v>
      </c>
      <c r="BD173" s="109" t="n">
        <v>46297</v>
      </c>
      <c r="BE173" s="110" t="n">
        <v>1958.8</v>
      </c>
      <c r="BF173" s="113" t="n">
        <v>229.2</v>
      </c>
      <c r="BG173" s="108" t="inlineStr">
        <is>
          <t>Y</t>
        </is>
      </c>
      <c r="BH173" s="123" t="n">
        <v>19.4</v>
      </c>
      <c r="BI173" s="122" t="n"/>
      <c r="BJ173" s="123" t="n">
        <v>11.9</v>
      </c>
      <c r="BK173" s="123" t="n">
        <v>2.3</v>
      </c>
      <c r="BL173" s="124">
        <f>IF('BBG Verify'!S173="","not filed; run on terminal",'BBG Verify'!S173)</f>
        <v/>
      </c>
      <c r="BM173" s="125" t="inlineStr">
        <is>
          <t>N</t>
        </is>
      </c>
      <c r="BN173" s="126">
        <f>IF('BBG Verify'!K173="","not filed; run on terminal",'BBG Verify'!K173)</f>
        <v/>
      </c>
      <c r="BO173" s="108" t="inlineStr">
        <is>
          <t>N/A</t>
        </is>
      </c>
      <c r="BP173" s="108" t="inlineStr">
        <is>
          <t>N/A</t>
        </is>
      </c>
      <c r="BQ173" s="108" t="inlineStr">
        <is>
          <t>N/A</t>
        </is>
      </c>
      <c r="BR173" s="108" t="inlineStr">
        <is>
          <t>N/A</t>
        </is>
      </c>
      <c r="BS173" s="108" t="inlineStr">
        <is>
          <t>N/A</t>
        </is>
      </c>
      <c r="BT173" s="108" t="inlineStr">
        <is>
          <t>N/A</t>
        </is>
      </c>
      <c r="BU173" s="125" t="inlineStr">
        <is>
          <t>Morgan Stanley Asia Limited; Haitong International Capital Limited; Huatai Financial Holdings (Hong Kong) Limited</t>
        </is>
      </c>
      <c r="BV173" s="108" t="inlineStr">
        <is>
          <t>Morgan Stanley Asia Limited; Haitong International Capital Limited; Huatai Financial Holdings (Hong Kong) Limited</t>
        </is>
      </c>
      <c r="BW173" s="108" t="inlineStr">
        <is>
          <t>Morgan Stanley Asia Limited; Haitong International Securities Company Limited; Huatai Financial Holdings (Hong Kong) Limited; CLSA Limited; ICBC International Capital Limited</t>
        </is>
      </c>
      <c r="BX173" s="108" t="inlineStr">
        <is>
          <t>CLSA Limited; Futu Securities International (Hong Kong) Limited; Huatai Financial Holdings (Hong Kong) Limited; Haitong International Securities Company Limited; ICBC International Securities Limited; Morgan Stanley Asia Limited; Tiger Brokers (HK) Global Limited; Valuable Capital Limited</t>
        </is>
      </c>
      <c r="BY173" s="127">
        <f>HYPERLINK("https://www1.hkexnews.hk/listedco/listconews/sehk/2022/1230/2022123000067.pdf","prospectus")</f>
        <v/>
      </c>
      <c r="BZ173" s="127">
        <f>HYPERLINK("https://www1.hkexnews.hk/listedco/listconews/sehk/2023/0113/2023011300032.htm","allotment")</f>
        <v/>
      </c>
      <c r="CA173" s="127">
        <f>HYPERLINK("https://www1.hkexnews.hk/listedco/listconews/sehk/2023/0205/2023020500007.pdf","stabilisation")</f>
        <v/>
      </c>
      <c r="CB173" s="128" t="n"/>
      <c r="CC173" s="108" t="inlineStr">
        <is>
          <t>range low: maximum offer price only, no floor published; cornerstone: % from the prospectus; AAStocks table includes non-cornerstone orders; allocation: allocation table not in this notice's format (older prose announcement); day-1 tape: volume on file; the retail multiple needs the final public split, which this notice does not state</t>
        </is>
      </c>
    </row>
    <row r="174" ht="22" customHeight="1">
      <c r="A174" s="107" t="inlineStr">
        <is>
          <t>2458</t>
        </is>
      </c>
      <c r="B174" s="108" t="inlineStr">
        <is>
          <t>GALA TECH HOLD</t>
        </is>
      </c>
      <c r="C174" s="108" t="inlineStr">
        <is>
          <t>望塵科技控股</t>
        </is>
      </c>
      <c r="D174" s="108" t="inlineStr">
        <is>
          <t>Tech/AI</t>
        </is>
      </c>
      <c r="E174" s="108" t="inlineStr">
        <is>
          <t>Fintech platform</t>
        </is>
      </c>
      <c r="F174" s="108" t="inlineStr">
        <is>
          <t>Gaming Software</t>
        </is>
      </c>
      <c r="G174" s="108" t="inlineStr">
        <is>
          <t>Standard</t>
        </is>
      </c>
      <c r="H174" s="109" t="n">
        <v>44942</v>
      </c>
      <c r="I174" s="110" t="n">
        <v>11</v>
      </c>
      <c r="J174" s="108" t="inlineStr">
        <is>
          <t>net proceeds</t>
        </is>
      </c>
      <c r="K174" s="111" t="n">
        <v>5.7</v>
      </c>
      <c r="L174" s="111" t="n">
        <v>7.16</v>
      </c>
      <c r="M174" s="111" t="n">
        <v>6.5</v>
      </c>
      <c r="N174" s="108" t="inlineStr">
        <is>
          <t>N</t>
        </is>
      </c>
      <c r="O174" s="112" t="n">
        <v>90.8</v>
      </c>
      <c r="P174" s="112" t="n">
        <v>54.8</v>
      </c>
      <c r="Q174" s="113" t="n">
        <v>969.5</v>
      </c>
      <c r="R174" s="108" t="inlineStr">
        <is>
          <t>aastocks:上市市值 at the struck price</t>
        </is>
      </c>
      <c r="S174" s="114" t="n">
        <v>3.4</v>
      </c>
      <c r="T174" s="115" t="n">
        <v>1.7</v>
      </c>
      <c r="U174" s="116" t="n">
        <v>0</v>
      </c>
      <c r="V174" s="117" t="n">
        <v>132</v>
      </c>
      <c r="W174" s="118" t="n"/>
      <c r="X174" s="119" t="n"/>
      <c r="Y174" s="113" t="n">
        <v>11</v>
      </c>
      <c r="Z174" s="131" t="n"/>
      <c r="AA174" s="112" t="n">
        <v>1.13</v>
      </c>
      <c r="AB174" s="108" t="inlineStr">
        <is>
          <t>none — no cornerstone tranche</t>
        </is>
      </c>
      <c r="AC174" s="108" t="inlineStr">
        <is>
          <t>none</t>
        </is>
      </c>
      <c r="AD174" s="118" t="n"/>
      <c r="AE174" s="119" t="n"/>
      <c r="AF174" s="119" t="n"/>
      <c r="AG174" s="119" t="n"/>
      <c r="AH174" s="119" t="n"/>
      <c r="AI174" s="120" t="n">
        <v>-13.69</v>
      </c>
      <c r="AJ174" s="121" t="n">
        <v>-11.54</v>
      </c>
      <c r="AK174" s="121" t="n">
        <v>-1.29</v>
      </c>
      <c r="AL174" s="121" t="n">
        <v>-23.08</v>
      </c>
      <c r="AM174" s="121" t="n">
        <v>15</v>
      </c>
      <c r="AN174" s="122" t="n"/>
      <c r="AO174" s="112" t="n">
        <v>23</v>
      </c>
      <c r="AP174" s="121" t="n">
        <v>-20.92</v>
      </c>
      <c r="AQ174" s="121" t="n">
        <v>4.46</v>
      </c>
      <c r="AR174" s="121" t="n">
        <v>-20.31</v>
      </c>
      <c r="AS174" s="121" t="n">
        <v>-10.6</v>
      </c>
      <c r="AT174" s="121" t="n">
        <v>18.09</v>
      </c>
      <c r="AU174" s="121" t="n">
        <v>-9.91</v>
      </c>
      <c r="AV174" s="121" t="n">
        <v>-25.11</v>
      </c>
      <c r="AW174" s="121" t="n">
        <v>10.92</v>
      </c>
      <c r="AX174" s="121" t="n">
        <v>-7.35</v>
      </c>
      <c r="AY174" s="121" t="n">
        <v>23.32</v>
      </c>
      <c r="AZ174" s="121" t="n">
        <v>-6.46</v>
      </c>
      <c r="BA174" s="121" t="n">
        <v>-5.23</v>
      </c>
      <c r="BB174" s="108" t="inlineStr">
        <is>
          <t>HSTECH (Hang Seng TECH ETF)</t>
        </is>
      </c>
      <c r="BC174" s="121" t="n">
        <v>0</v>
      </c>
      <c r="BD174" s="109" t="n">
        <v>46297</v>
      </c>
      <c r="BE174" s="110" t="n">
        <v>505.8</v>
      </c>
      <c r="BF174" s="113" t="n">
        <v>-1</v>
      </c>
      <c r="BG174" s="108" t="inlineStr">
        <is>
          <t>N</t>
        </is>
      </c>
      <c r="BH174" s="108" t="inlineStr">
        <is>
          <t>n/m</t>
        </is>
      </c>
      <c r="BI174" s="122" t="n"/>
      <c r="BJ174" s="123" t="n">
        <v>7.8</v>
      </c>
      <c r="BK174" s="123" t="n">
        <v>1.9</v>
      </c>
      <c r="BL174" s="124">
        <f>IF('BBG Verify'!S174="","not filed; run on terminal",'BBG Verify'!S174)</f>
        <v/>
      </c>
      <c r="BM174" s="125" t="inlineStr">
        <is>
          <t>N</t>
        </is>
      </c>
      <c r="BN174" s="126">
        <f>IF('BBG Verify'!K174="","not filed; run on terminal",'BBG Verify'!K174)</f>
        <v/>
      </c>
      <c r="BO174" s="108" t="inlineStr">
        <is>
          <t>N/A</t>
        </is>
      </c>
      <c r="BP174" s="108" t="inlineStr">
        <is>
          <t>N/A</t>
        </is>
      </c>
      <c r="BQ174" s="108" t="inlineStr">
        <is>
          <t>N/A</t>
        </is>
      </c>
      <c r="BR174" s="108" t="inlineStr">
        <is>
          <t>N/A</t>
        </is>
      </c>
      <c r="BS174" s="108" t="inlineStr">
        <is>
          <t>N/A</t>
        </is>
      </c>
      <c r="BT174" s="108" t="inlineStr">
        <is>
          <t>N/A</t>
        </is>
      </c>
      <c r="BU174" s="125" t="inlineStr">
        <is>
          <t>UOB Kay Hian (Hong Kong) Limited</t>
        </is>
      </c>
      <c r="BV174" s="108" t="inlineStr">
        <is>
          <t>UOB Kay Hian (Hong Kong) Limited</t>
        </is>
      </c>
      <c r="BW174" s="108" t="inlineStr">
        <is>
          <t>UOB Kay Hian (Hong Kong) Limited</t>
        </is>
      </c>
      <c r="BX174" s="108" t="inlineStr">
        <is>
          <t>Futu Securities International (Hong Kong) Limited; Haitong International Securities Company Limited; Maxa Capital Limited; Tiger Brokers (HK) Global Limited; UOB Kay Hian (Hong Kong) Limited</t>
        </is>
      </c>
      <c r="BY174" s="127">
        <f>HYPERLINK("https://www1.hkexnews.hk/listedco/listconews/sehk/2022/1230/2022123000207.pdf","prospectus")</f>
        <v/>
      </c>
      <c r="BZ174" s="127">
        <f>HYPERLINK("https://www1.hkexnews.hk/listedco/listconews/sehk/2023/0113/2023011300078.htm","allotment")</f>
        <v/>
      </c>
      <c r="CA174" s="119" t="n"/>
      <c r="CB174" s="128" t="n"/>
      <c r="CC174" s="108" t="inlineStr">
        <is>
          <t>P/E: loss-making at IPO, use P/S; greenshoe: no over-allotment option; market cap: published listing cap used; the estimate from deal size / offer % of enlarged capital disagreed; cornerstone list: no cornerstone tranche; greenshoe size: no over-allotment option; stabilising manager: no over-allotment option, so none appointed; eff float shares: share count unavailable; the HK$m figure is exact; allocation: allocation table not in this notice's format (older prose announcement); day-1 tape: volume on file; the retail multiple needs the final public split, which this notice does not state</t>
        </is>
      </c>
    </row>
    <row r="175" ht="22" customHeight="1">
      <c r="A175" s="107" t="inlineStr">
        <is>
          <t>2459</t>
        </is>
      </c>
      <c r="B175" s="108" t="inlineStr">
        <is>
          <t>SANERGY GROUP</t>
        </is>
      </c>
      <c r="C175" s="108" t="inlineStr">
        <is>
          <t>昇能集團</t>
        </is>
      </c>
      <c r="D175" s="108" t="inlineStr">
        <is>
          <t>Materials/Energy</t>
        </is>
      </c>
      <c r="E175" s="108" t="inlineStr">
        <is>
          <t>Chemicals</t>
        </is>
      </c>
      <c r="F175" s="108" t="inlineStr">
        <is>
          <t>Electrical Components &amp; Equipment</t>
        </is>
      </c>
      <c r="G175" s="108" t="inlineStr">
        <is>
          <t>Standard</t>
        </is>
      </c>
      <c r="H175" s="109" t="n">
        <v>44943</v>
      </c>
      <c r="I175" s="110" t="n">
        <v>275.8</v>
      </c>
      <c r="J175" s="108" t="inlineStr">
        <is>
          <t>gross (price x shares)</t>
        </is>
      </c>
      <c r="K175" s="129" t="n"/>
      <c r="L175" s="111" t="n">
        <v>2.2</v>
      </c>
      <c r="M175" s="111" t="n">
        <v>1.6</v>
      </c>
      <c r="N175" s="108" t="inlineStr">
        <is>
          <t>N</t>
        </is>
      </c>
      <c r="O175" s="112" t="n">
        <v>72.7</v>
      </c>
      <c r="P175" s="118" t="n"/>
      <c r="Q175" s="113" t="n">
        <v>1779.4</v>
      </c>
      <c r="R175" s="108" t="inlineStr">
        <is>
          <t>derived:deal size / offer % of enlarged capital</t>
        </is>
      </c>
      <c r="S175" s="114" t="n">
        <v>9.880000000000001</v>
      </c>
      <c r="T175" s="115" t="n">
        <v>1.2</v>
      </c>
      <c r="U175" s="116" t="n">
        <v>0</v>
      </c>
      <c r="V175" s="117" t="n">
        <v>122</v>
      </c>
      <c r="W175" s="118" t="n"/>
      <c r="X175" s="119" t="n"/>
      <c r="Y175" s="113" t="n">
        <v>275.8</v>
      </c>
      <c r="Z175" s="113" t="n">
        <v>172400000</v>
      </c>
      <c r="AA175" s="112" t="n">
        <v>15.5</v>
      </c>
      <c r="AB175" s="108" t="inlineStr">
        <is>
          <t>none — no cornerstone tranche</t>
        </is>
      </c>
      <c r="AC175" s="108" t="inlineStr">
        <is>
          <t>none</t>
        </is>
      </c>
      <c r="AD175" s="112" t="n">
        <v>15</v>
      </c>
      <c r="AE175" s="108" t="inlineStr">
        <is>
          <t>lapsed (no over-allocation)</t>
        </is>
      </c>
      <c r="AF175" s="119" t="n"/>
      <c r="AG175" s="108" t="inlineStr">
        <is>
          <t>Yue Xiu Securities Company Limited</t>
        </is>
      </c>
      <c r="AH175" s="108" t="inlineStr">
        <is>
          <t>Yue Xiu</t>
        </is>
      </c>
      <c r="AI175" s="120" t="n">
        <v>3.12</v>
      </c>
      <c r="AJ175" s="121" t="n">
        <v>11.25</v>
      </c>
      <c r="AK175" s="121" t="n">
        <v>-0.6</v>
      </c>
      <c r="AL175" s="121" t="n">
        <v>5</v>
      </c>
      <c r="AM175" s="121" t="n">
        <v>5.95</v>
      </c>
      <c r="AN175" s="122" t="n"/>
      <c r="AO175" s="112" t="n">
        <v>17.26</v>
      </c>
      <c r="AP175" s="121" t="n">
        <v>3.12</v>
      </c>
      <c r="AQ175" s="121" t="n">
        <v>51.25</v>
      </c>
      <c r="AR175" s="121" t="n">
        <v>10</v>
      </c>
      <c r="AS175" s="121" t="n">
        <v>-7.31</v>
      </c>
      <c r="AT175" s="121" t="n">
        <v>35.96</v>
      </c>
      <c r="AU175" s="121" t="n">
        <v>-1.12</v>
      </c>
      <c r="AV175" s="121" t="n">
        <v>-2.34</v>
      </c>
      <c r="AW175" s="121" t="n">
        <v>55.97</v>
      </c>
      <c r="AX175" s="121" t="n">
        <v>20.52</v>
      </c>
      <c r="AY175" s="121" t="n">
        <v>40.1</v>
      </c>
      <c r="AZ175" s="121" t="n">
        <v>-4.72</v>
      </c>
      <c r="BA175" s="121" t="n">
        <v>-4.14</v>
      </c>
      <c r="BB175" s="108" t="inlineStr">
        <is>
          <t>Hang Seng Commerce &amp; Industry sub-index</t>
        </is>
      </c>
      <c r="BC175" s="121" t="n">
        <v>-96.25</v>
      </c>
      <c r="BD175" s="109" t="n">
        <v>46297</v>
      </c>
      <c r="BE175" s="110" t="n">
        <v>846.6</v>
      </c>
      <c r="BF175" s="113" t="n">
        <v>32.7</v>
      </c>
      <c r="BG175" s="108" t="inlineStr">
        <is>
          <t>Y</t>
        </is>
      </c>
      <c r="BH175" s="123" t="n">
        <v>54.4</v>
      </c>
      <c r="BI175" s="122" t="n"/>
      <c r="BJ175" s="122" t="n"/>
      <c r="BK175" s="123" t="n">
        <v>2.1</v>
      </c>
      <c r="BL175" s="124">
        <f>IF('BBG Verify'!S175="","not filed; run on terminal",'BBG Verify'!S175)</f>
        <v/>
      </c>
      <c r="BM175" s="125" t="inlineStr">
        <is>
          <t>N</t>
        </is>
      </c>
      <c r="BN175" s="126">
        <f>IF('BBG Verify'!K175="","not filed; run on terminal",'BBG Verify'!K175)</f>
        <v/>
      </c>
      <c r="BO175" s="108" t="inlineStr">
        <is>
          <t>N/A</t>
        </is>
      </c>
      <c r="BP175" s="108" t="inlineStr">
        <is>
          <t>N/A</t>
        </is>
      </c>
      <c r="BQ175" s="108" t="inlineStr">
        <is>
          <t>N/A</t>
        </is>
      </c>
      <c r="BR175" s="108" t="inlineStr">
        <is>
          <t>N/A</t>
        </is>
      </c>
      <c r="BS175" s="108" t="inlineStr">
        <is>
          <t>N/A</t>
        </is>
      </c>
      <c r="BT175" s="108" t="inlineStr">
        <is>
          <t>N/A</t>
        </is>
      </c>
      <c r="BU175" s="125" t="inlineStr">
        <is>
          <t>Southwest Securities (HK) Capital Limited</t>
        </is>
      </c>
      <c r="BV175" s="108" t="inlineStr">
        <is>
          <t>Southwest Securities (HK) Capital Limited</t>
        </is>
      </c>
      <c r="BW175" s="108" t="inlineStr">
        <is>
          <t>Southwest Securities (HK) Brokerage Limited; Yue Xiu Securities Company Limited; First Capital Securities Limited; Sheng Yuan Securities Limited; BOCI Asia Limited; ABCI Capital Limited; JMC Capital International Limited; Valuable Capital Limited</t>
        </is>
      </c>
      <c r="BX175" s="108" t="inlineStr">
        <is>
          <t>ABCI Securities Company Limited; BOCI Asia Limited; China Everbright Securities (HK) Limited; Eddid Securities and Futures Limited; First Capital Securities Limited; JMC Capital International Limited; Southwest Securities (HK) Brokerage Limited; Sheng Yuan Securities Limited; Tiger Brokers (HK) Global Limited; Valuable Capital Limited; Vision Capital International Holdings Limited; Venture Smart Asia Limited</t>
        </is>
      </c>
      <c r="BY175" s="127">
        <f>HYPERLINK("https://www1.hkexnews.hk/listedco/listconews/sehk/2022/1230/2022123000059.pdf","prospectus")</f>
        <v/>
      </c>
      <c r="BZ175" s="127">
        <f>HYPERLINK("https://www1.hkexnews.hk/listedco/listconews/sehk/2023/0116/2023011600008.htm","allotment")</f>
        <v/>
      </c>
      <c r="CA175" s="127">
        <f>HYPERLINK("https://www1.hkexnews.hk/listedco/listconews/sehk/2023/0209/2023020900283.pdf","stabilisation")</f>
        <v/>
      </c>
      <c r="CB175" s="128" t="n"/>
      <c r="CC175" s="108" t="inlineStr">
        <is>
          <t>greenshoe: outcome published; expiry date not in the notice; range low: maximum offer price only, no floor published; returns: returns exclude the entitlement value of 2025-07-16 rights 1-for-2 @ HK$0.08 (pre-consolidation); Bloomberg back-adjusts by x1.195; cornerstone list: no cornerstone tranche; allocation: allocation table not in this notice's format (older prose announcement); day-1 tape: volume on file; the retail multiple needs the final public split, which this notice does not state</t>
        </is>
      </c>
    </row>
    <row r="176" ht="22" customHeight="1">
      <c r="A176" s="107" t="inlineStr">
        <is>
          <t>2455</t>
        </is>
      </c>
      <c r="B176" s="108" t="inlineStr">
        <is>
          <t>RUNHUA SERVICE</t>
        </is>
      </c>
      <c r="C176" s="108" t="inlineStr">
        <is>
          <t>潤華服務</t>
        </is>
      </c>
      <c r="D176" s="108" t="inlineStr">
        <is>
          <t>Real Estate</t>
        </is>
      </c>
      <c r="E176" s="108" t="inlineStr">
        <is>
          <t>Property management</t>
        </is>
      </c>
      <c r="F176" s="108" t="inlineStr">
        <is>
          <t>Property Service and Management</t>
        </is>
      </c>
      <c r="G176" s="108" t="inlineStr">
        <is>
          <t>Standard</t>
        </is>
      </c>
      <c r="H176" s="109" t="n">
        <v>44943</v>
      </c>
      <c r="I176" s="110" t="n">
        <v>127.5</v>
      </c>
      <c r="J176" s="108" t="inlineStr">
        <is>
          <t>gross (price x shares)</t>
        </is>
      </c>
      <c r="K176" s="111" t="n">
        <v>1.7</v>
      </c>
      <c r="L176" s="111" t="n">
        <v>2</v>
      </c>
      <c r="M176" s="111" t="n">
        <v>1.7</v>
      </c>
      <c r="N176" s="108" t="inlineStr">
        <is>
          <t>N</t>
        </is>
      </c>
      <c r="O176" s="112" t="n">
        <v>85</v>
      </c>
      <c r="P176" s="112" t="n">
        <v>0</v>
      </c>
      <c r="Q176" s="113" t="n">
        <v>510</v>
      </c>
      <c r="R176" s="108" t="inlineStr">
        <is>
          <t>derived:deal size / offer % of enlarged capital</t>
        </is>
      </c>
      <c r="S176" s="114" t="n">
        <v>8.74</v>
      </c>
      <c r="T176" s="115" t="n">
        <v>1.29</v>
      </c>
      <c r="U176" s="116" t="n">
        <v>34.9</v>
      </c>
      <c r="V176" s="117" t="n">
        <v>144</v>
      </c>
      <c r="W176" s="118" t="n"/>
      <c r="X176" s="119" t="n"/>
      <c r="Y176" s="113" t="n">
        <v>83</v>
      </c>
      <c r="Z176" s="113" t="n">
        <v>48825000</v>
      </c>
      <c r="AA176" s="112" t="n">
        <v>16.27</v>
      </c>
      <c r="AB176" s="108" t="inlineStr">
        <is>
          <t>Jinan Huaiyin Urban Construction Investment Group Co., Ltd</t>
        </is>
      </c>
      <c r="AC176" s="108" t="inlineStr">
        <is>
          <t>jinan</t>
        </is>
      </c>
      <c r="AD176" s="112" t="n">
        <v>8.699999999999999</v>
      </c>
      <c r="AE176" s="108" t="inlineStr">
        <is>
          <t>lapsed (no over-allocation)</t>
        </is>
      </c>
      <c r="AF176" s="119" t="n"/>
      <c r="AG176" s="108" t="inlineStr">
        <is>
          <t>Zhongtai International Securities Limited</t>
        </is>
      </c>
      <c r="AH176" s="108" t="inlineStr">
        <is>
          <t>Zhongtai</t>
        </is>
      </c>
      <c r="AI176" s="120" t="n">
        <v>-23.53</v>
      </c>
      <c r="AJ176" s="121" t="n">
        <v>-25.88</v>
      </c>
      <c r="AK176" s="121" t="n">
        <v>-0.3</v>
      </c>
      <c r="AL176" s="121" t="n">
        <v>-18.82</v>
      </c>
      <c r="AM176" s="121" t="n">
        <v>-8.699999999999999</v>
      </c>
      <c r="AN176" s="122" t="n"/>
      <c r="AO176" s="112" t="n">
        <v>10.14</v>
      </c>
      <c r="AP176" s="121" t="n">
        <v>-23.53</v>
      </c>
      <c r="AQ176" s="121" t="n">
        <v>-25.88</v>
      </c>
      <c r="AR176" s="121" t="n">
        <v>-20</v>
      </c>
      <c r="AS176" s="121" t="n">
        <v>3.17</v>
      </c>
      <c r="AT176" s="121" t="n">
        <v>0</v>
      </c>
      <c r="AU176" s="121" t="n">
        <v>7.93</v>
      </c>
      <c r="AV176" s="121" t="n">
        <v>-28.37</v>
      </c>
      <c r="AW176" s="121" t="n">
        <v>-21.46</v>
      </c>
      <c r="AX176" s="121" t="n">
        <v>-10.74</v>
      </c>
      <c r="AY176" s="121" t="n">
        <v>4.12</v>
      </c>
      <c r="AZ176" s="121" t="n">
        <v>-4.42</v>
      </c>
      <c r="BA176" s="121" t="n">
        <v>-4.12</v>
      </c>
      <c r="BB176" s="108" t="inlineStr">
        <is>
          <t>Hang Seng Properties sub-index</t>
        </is>
      </c>
      <c r="BC176" s="121" t="n">
        <v>-54.71</v>
      </c>
      <c r="BD176" s="109" t="n">
        <v>46297</v>
      </c>
      <c r="BE176" s="110" t="n">
        <v>661.4</v>
      </c>
      <c r="BF176" s="113" t="n">
        <v>44.2</v>
      </c>
      <c r="BG176" s="108" t="inlineStr">
        <is>
          <t>Y</t>
        </is>
      </c>
      <c r="BH176" s="123" t="n">
        <v>11.5</v>
      </c>
      <c r="BI176" s="122" t="n"/>
      <c r="BJ176" s="123" t="n">
        <v>3.8</v>
      </c>
      <c r="BK176" s="123" t="n">
        <v>0.8</v>
      </c>
      <c r="BL176" s="124">
        <f>IF('BBG Verify'!S176="","not filed; run on terminal",'BBG Verify'!S176)</f>
        <v/>
      </c>
      <c r="BM176" s="125" t="inlineStr">
        <is>
          <t>N</t>
        </is>
      </c>
      <c r="BN176" s="126">
        <f>IF('BBG Verify'!K176="","not filed; run on terminal",'BBG Verify'!K176)</f>
        <v/>
      </c>
      <c r="BO176" s="108" t="inlineStr">
        <is>
          <t>N/A</t>
        </is>
      </c>
      <c r="BP176" s="108" t="inlineStr">
        <is>
          <t>N/A</t>
        </is>
      </c>
      <c r="BQ176" s="108" t="inlineStr">
        <is>
          <t>N/A</t>
        </is>
      </c>
      <c r="BR176" s="108" t="inlineStr">
        <is>
          <t>N/A</t>
        </is>
      </c>
      <c r="BS176" s="108" t="inlineStr">
        <is>
          <t>N/A</t>
        </is>
      </c>
      <c r="BT176" s="108" t="inlineStr">
        <is>
          <t>N/A</t>
        </is>
      </c>
      <c r="BU176" s="125" t="inlineStr">
        <is>
          <t>Zhongtai International Capital Limited; OC Zhongtai International Securities Limited</t>
        </is>
      </c>
      <c r="BV176" s="108" t="inlineStr">
        <is>
          <t>Zhongtai International Capital Limited</t>
        </is>
      </c>
      <c r="BW176" s="108" t="inlineStr">
        <is>
          <t>Zhongtai International Securities Limited; ICBC International Capital Limited; BOCOM International Securities Limited; SPDB International Capital Limited; CCB International Capital Limited; China Everbright Securities (HK) Limited; Guotai Junan Securities (Hong Kong) Limited; Fosun Hani Securities Limited; China Tonghai Securities Limited; ZMF Asset Management Limited</t>
        </is>
      </c>
      <c r="BX176" s="108" t="inlineStr">
        <is>
          <t>Beta International Securities Limited; CCB International Capital Limited; China Everbright Securities (HK) Limited; China Tonghai Securities Limited; Fosun Hani Securities Limited; GF Securities (Hong Kong) Brokerage Limited; Guotai Junan Securities (Hong Kong) Limited; ICBC International Securities Limited; Livermore Holdings Limited; SPDB International Capital Limited</t>
        </is>
      </c>
      <c r="BY176" s="127">
        <f>HYPERLINK("https://www1.hkexnews.hk/listedco/listconews/sehk/2022/1230/2022123000035.pdf","prospectus")</f>
        <v/>
      </c>
      <c r="BZ176" s="127">
        <f>HYPERLINK("https://www1.hkexnews.hk/listedco/listconews/sehk/2023/0116/2023011600024.htm","allotment")</f>
        <v/>
      </c>
      <c r="CA176" s="127">
        <f>HYPERLINK("https://www1.hkexnews.hk/listedco/listconews/sehk/2023/0208/2023020800031.pdf","stabilisation")</f>
        <v/>
      </c>
      <c r="CB176" s="128" t="n"/>
      <c r="CC176" s="108" t="inlineStr">
        <is>
          <t>greenshoe: outcome published; expiry date not in the notice; allocation: allocation table not in this notice's format (older prose announcement); day-1 tape: volume on file; the retail multiple needs the final public split, which this notice does not state</t>
        </is>
      </c>
    </row>
    <row r="177" ht="22" customHeight="1">
      <c r="A177" s="107" t="inlineStr">
        <is>
          <t>2306</t>
        </is>
      </c>
      <c r="B177" s="108" t="inlineStr">
        <is>
          <t>YH ENT</t>
        </is>
      </c>
      <c r="C177" s="108" t="inlineStr">
        <is>
          <t>樂華娛樂</t>
        </is>
      </c>
      <c r="D177" s="108" t="inlineStr">
        <is>
          <t>TMT-other</t>
        </is>
      </c>
      <c r="E177" s="108" t="inlineStr">
        <is>
          <t>Media / advertising</t>
        </is>
      </c>
      <c r="F177" s="108" t="inlineStr">
        <is>
          <t>Movies &amp; Entertainment</t>
        </is>
      </c>
      <c r="G177" s="108" t="inlineStr">
        <is>
          <t>Standard</t>
        </is>
      </c>
      <c r="H177" s="109" t="n">
        <v>44945</v>
      </c>
      <c r="I177" s="110" t="n">
        <v>489.8</v>
      </c>
      <c r="J177" s="108" t="inlineStr">
        <is>
          <t>gross (price x shares)</t>
        </is>
      </c>
      <c r="K177" s="111" t="n">
        <v>3.91</v>
      </c>
      <c r="L177" s="111" t="n">
        <v>5.06</v>
      </c>
      <c r="M177" s="111" t="n">
        <v>4.08</v>
      </c>
      <c r="N177" s="108" t="inlineStr">
        <is>
          <t>N</t>
        </is>
      </c>
      <c r="O177" s="112" t="n">
        <v>80.59999999999999</v>
      </c>
      <c r="P177" s="112" t="n">
        <v>14.8</v>
      </c>
      <c r="Q177" s="113" t="n">
        <v>4217.5</v>
      </c>
      <c r="R177" s="108" t="inlineStr">
        <is>
          <t>aastocks:上市市值 at the struck price</t>
        </is>
      </c>
      <c r="S177" s="114" t="n">
        <v>28.68</v>
      </c>
      <c r="T177" s="115" t="n">
        <v>1.29</v>
      </c>
      <c r="U177" s="116" t="n">
        <v>17.9</v>
      </c>
      <c r="V177" s="117" t="n">
        <v>112</v>
      </c>
      <c r="W177" s="112" t="n">
        <v>30</v>
      </c>
      <c r="X177" s="108" t="inlineStr">
        <is>
          <t>YES</t>
        </is>
      </c>
      <c r="Y177" s="113" t="n">
        <v>402.13</v>
      </c>
      <c r="Z177" s="113" t="n">
        <v>98569260</v>
      </c>
      <c r="AA177" s="112" t="n">
        <v>9.529999999999999</v>
      </c>
      <c r="AB177" s="108" t="inlineStr">
        <is>
          <t>Ding Shijia; Maoyan Entertainment (HK) Limited; Sun Mass Energy Development Limited; TradArt Asset Management Co., Limited</t>
        </is>
      </c>
      <c r="AC177" s="108" t="inlineStr">
        <is>
          <t>ding-shijia;maoyan;sun-mass;tradart</t>
        </is>
      </c>
      <c r="AD177" s="112" t="n">
        <v>12.28</v>
      </c>
      <c r="AE177" s="108" t="inlineStr">
        <is>
          <t>partial</t>
        </is>
      </c>
      <c r="AF177" s="119" t="n"/>
      <c r="AG177" s="108" t="inlineStr">
        <is>
          <t>China Securities</t>
        </is>
      </c>
      <c r="AH177" s="108" t="inlineStr">
        <is>
          <t>China Securities</t>
        </is>
      </c>
      <c r="AI177" s="120" t="n">
        <v>42.65</v>
      </c>
      <c r="AJ177" s="121" t="n">
        <v>47.79</v>
      </c>
      <c r="AK177" s="121" t="n">
        <v>-0.12</v>
      </c>
      <c r="AL177" s="121" t="n">
        <v>37.25</v>
      </c>
      <c r="AM177" s="121" t="n">
        <v>7.68</v>
      </c>
      <c r="AN177" s="123" t="n">
        <v>1.46</v>
      </c>
      <c r="AO177" s="112" t="n">
        <v>21.07</v>
      </c>
      <c r="AP177" s="121" t="n">
        <v>17.16</v>
      </c>
      <c r="AQ177" s="121" t="n">
        <v>6.86</v>
      </c>
      <c r="AR177" s="121" t="n">
        <v>-1.23</v>
      </c>
      <c r="AS177" s="121" t="n">
        <v>-20.73</v>
      </c>
      <c r="AT177" s="121" t="n">
        <v>-27.69</v>
      </c>
      <c r="AU177" s="121" t="n">
        <v>-33.17</v>
      </c>
      <c r="AV177" s="121" t="n">
        <v>16.4</v>
      </c>
      <c r="AW177" s="121" t="n">
        <v>12.65</v>
      </c>
      <c r="AX177" s="121" t="n">
        <v>7.63</v>
      </c>
      <c r="AY177" s="121" t="n">
        <v>-22.02</v>
      </c>
      <c r="AZ177" s="121" t="n">
        <v>-5.79</v>
      </c>
      <c r="BA177" s="121" t="n">
        <v>-5.67</v>
      </c>
      <c r="BB177" s="108" t="inlineStr">
        <is>
          <t>Hang Seng Index</t>
        </is>
      </c>
      <c r="BC177" s="121" t="n">
        <v>-53.92</v>
      </c>
      <c r="BD177" s="109" t="n">
        <v>46297</v>
      </c>
      <c r="BE177" s="110" t="n">
        <v>1419.5</v>
      </c>
      <c r="BF177" s="113" t="n">
        <v>368.9</v>
      </c>
      <c r="BG177" s="108" t="inlineStr">
        <is>
          <t>Y</t>
        </is>
      </c>
      <c r="BH177" s="123" t="n">
        <v>11.4</v>
      </c>
      <c r="BI177" s="122" t="n"/>
      <c r="BJ177" s="123" t="n">
        <v>22.1</v>
      </c>
      <c r="BK177" s="123" t="n">
        <v>3</v>
      </c>
      <c r="BL177" s="124">
        <f>IF('BBG Verify'!S177="","not filed; run on terminal",'BBG Verify'!S177)</f>
        <v/>
      </c>
      <c r="BM177" s="125" t="inlineStr">
        <is>
          <t>N</t>
        </is>
      </c>
      <c r="BN177" s="126">
        <f>IF('BBG Verify'!K177="","not filed; run on terminal",'BBG Verify'!K177)</f>
        <v/>
      </c>
      <c r="BO177" s="108" t="inlineStr">
        <is>
          <t>N/A</t>
        </is>
      </c>
      <c r="BP177" s="108" t="inlineStr">
        <is>
          <t>N/A</t>
        </is>
      </c>
      <c r="BQ177" s="108" t="inlineStr">
        <is>
          <t>N/A</t>
        </is>
      </c>
      <c r="BR177" s="108" t="inlineStr">
        <is>
          <t>N/A</t>
        </is>
      </c>
      <c r="BS177" s="108" t="inlineStr">
        <is>
          <t>N/A</t>
        </is>
      </c>
      <c r="BT177" s="108" t="inlineStr">
        <is>
          <t>N/A</t>
        </is>
      </c>
      <c r="BU177" s="125" t="inlineStr">
        <is>
          <t>China Merchants Securities (HK) Co., Limited</t>
        </is>
      </c>
      <c r="BV177" s="108" t="inlineStr">
        <is>
          <t>China Securities (International) Corporate Finance Company Limited; China Merchants Securities (HK) Company Limited</t>
        </is>
      </c>
      <c r="BW177" s="108" t="inlineStr">
        <is>
          <t>Valuable Capital Limited; China Everbright Securities (HK) Limited; CSFG International Securities Limited; Guosen Securities (HK) Capital Company Limited; uSmart Securities Limited; Tiger Brokers (HK) Global Limited; Futu Securities International (Hong Kong) Limited; Guotai Junan Securities (Hong Kong) Limited; Livermore Holdings Limited</t>
        </is>
      </c>
      <c r="BX177" s="108" t="inlineStr">
        <is>
          <t>China Everbright Securities (HK) Limited; China Merchants Securities (HK) Company Limited; China Securities (International) Corporate Finance Company Limited; Easy Securities Limited; Futu Securities International (Hong Kong) Limited; Guotai Junan Securities (Hong Kong) Limited; Guosen Securities (HK) Capital Company Limited; Livermore Holdings Limited; SDHG International Securities Limited; Tiger Brokers (HK) Global Limited</t>
        </is>
      </c>
      <c r="BY177" s="127">
        <f>HYPERLINK("https://www1.hkexnews.hk/listedco/listconews/sehk/2022/1230/2022123000047.pdf","prospectus")</f>
        <v/>
      </c>
      <c r="BZ177" s="127">
        <f>HYPERLINK("https://www1.hkexnews.hk/listedco/listconews/sehk/2023/0118/2023011800042.htm","allotment")</f>
        <v/>
      </c>
      <c r="CA177" s="127">
        <f>HYPERLINK("https://www1.hkexnews.hk/listedco/listconews/sehk/2023/0212/2023021200017.pdf","stabilisation")</f>
        <v/>
      </c>
      <c r="CB177" s="128" t="n"/>
      <c r="CC177" s="108" t="inlineStr">
        <is>
          <t>greenshoe: outcome published; expiry date not in the notice</t>
        </is>
      </c>
    </row>
    <row r="178" ht="22" customHeight="1">
      <c r="A178" s="107" t="inlineStr">
        <is>
          <t>2450</t>
        </is>
      </c>
      <c r="B178" s="108" t="inlineStr">
        <is>
          <t>HUAIBEI GD CO</t>
        </is>
      </c>
      <c r="C178" s="108" t="inlineStr">
        <is>
          <t>淮北綠金股份</t>
        </is>
      </c>
      <c r="D178" s="108" t="inlineStr">
        <is>
          <t>Materials/Energy</t>
        </is>
      </c>
      <c r="E178" s="108" t="inlineStr">
        <is>
          <t>Chemicals</t>
        </is>
      </c>
      <c r="F178" s="108" t="inlineStr">
        <is>
          <t>Construction Materials</t>
        </is>
      </c>
      <c r="G178" s="108" t="inlineStr">
        <is>
          <t>Standard</t>
        </is>
      </c>
      <c r="H178" s="109" t="n">
        <v>44946</v>
      </c>
      <c r="I178" s="110" t="n">
        <v>126.1</v>
      </c>
      <c r="J178" s="108" t="inlineStr">
        <is>
          <t>gross (price x shares)</t>
        </is>
      </c>
      <c r="K178" s="111" t="n">
        <v>1.91</v>
      </c>
      <c r="L178" s="111" t="n">
        <v>2.31</v>
      </c>
      <c r="M178" s="111" t="n">
        <v>1.91</v>
      </c>
      <c r="N178" s="108" t="inlineStr">
        <is>
          <t>N</t>
        </is>
      </c>
      <c r="O178" s="112" t="n">
        <v>82.7</v>
      </c>
      <c r="P178" s="112" t="n">
        <v>0</v>
      </c>
      <c r="Q178" s="113" t="n">
        <v>504.3</v>
      </c>
      <c r="R178" s="108" t="inlineStr">
        <is>
          <t>prospectus:stated market capitalisation</t>
        </is>
      </c>
      <c r="S178" s="114" t="n">
        <v>12.26</v>
      </c>
      <c r="T178" s="115" t="n">
        <v>0.95</v>
      </c>
      <c r="U178" s="116" t="n">
        <v>0</v>
      </c>
      <c r="V178" s="117" t="n">
        <v>137</v>
      </c>
      <c r="W178" s="112" t="n">
        <v>20</v>
      </c>
      <c r="X178" s="119" t="n"/>
      <c r="Y178" s="113" t="n">
        <v>126.1</v>
      </c>
      <c r="Z178" s="113" t="n">
        <v>66000000</v>
      </c>
      <c r="AA178" s="112" t="n">
        <v>25</v>
      </c>
      <c r="AB178" s="108" t="inlineStr">
        <is>
          <t>none — no cornerstone tranche</t>
        </is>
      </c>
      <c r="AC178" s="108" t="inlineStr">
        <is>
          <t>none</t>
        </is>
      </c>
      <c r="AD178" s="112" t="n">
        <v>20</v>
      </c>
      <c r="AE178" s="108" t="inlineStr">
        <is>
          <t>lapsed (no over-allocation)</t>
        </is>
      </c>
      <c r="AF178" s="108" t="inlineStr">
        <is>
          <t>2023-02-12</t>
        </is>
      </c>
      <c r="AG178" s="108" t="inlineStr">
        <is>
          <t>China Everbright Securities</t>
        </is>
      </c>
      <c r="AH178" s="108" t="inlineStr">
        <is>
          <t>China Everbright</t>
        </is>
      </c>
      <c r="AI178" s="120" t="n">
        <v>-38.74</v>
      </c>
      <c r="AJ178" s="121" t="n">
        <v>-44.5</v>
      </c>
      <c r="AK178" s="121" t="n">
        <v>2.47</v>
      </c>
      <c r="AL178" s="121" t="n">
        <v>-36.65</v>
      </c>
      <c r="AM178" s="121" t="n">
        <v>-12.39</v>
      </c>
      <c r="AN178" s="123" t="n">
        <v>3.56</v>
      </c>
      <c r="AO178" s="112" t="n">
        <v>17.36</v>
      </c>
      <c r="AP178" s="121" t="n">
        <v>-47.64</v>
      </c>
      <c r="AQ178" s="121" t="n">
        <v>-57.59</v>
      </c>
      <c r="AR178" s="121" t="n">
        <v>-63.87</v>
      </c>
      <c r="AS178" s="121" t="n">
        <v>-5.66</v>
      </c>
      <c r="AT178" s="121" t="n">
        <v>-23.59</v>
      </c>
      <c r="AU178" s="121" t="n">
        <v>-34.9</v>
      </c>
      <c r="AV178" s="121" t="n">
        <v>-50.94</v>
      </c>
      <c r="AW178" s="121" t="n">
        <v>-49.69</v>
      </c>
      <c r="AX178" s="121" t="n">
        <v>-52.12</v>
      </c>
      <c r="AY178" s="121" t="n">
        <v>-13.47</v>
      </c>
      <c r="AZ178" s="121" t="n">
        <v>-7.9</v>
      </c>
      <c r="BA178" s="121" t="n">
        <v>-10.12</v>
      </c>
      <c r="BB178" s="108" t="inlineStr">
        <is>
          <t>Hang Seng Commerce &amp; Industry sub-index</t>
        </is>
      </c>
      <c r="BC178" s="121" t="n">
        <v>525.65</v>
      </c>
      <c r="BD178" s="109" t="n">
        <v>46297</v>
      </c>
      <c r="BE178" s="110" t="n">
        <v>407.4</v>
      </c>
      <c r="BF178" s="113" t="n">
        <v>108.8</v>
      </c>
      <c r="BG178" s="108" t="inlineStr">
        <is>
          <t>Y</t>
        </is>
      </c>
      <c r="BH178" s="123" t="n">
        <v>4.6</v>
      </c>
      <c r="BI178" s="122" t="n"/>
      <c r="BJ178" s="122" t="n"/>
      <c r="BK178" s="123" t="n">
        <v>1.2</v>
      </c>
      <c r="BL178" s="124">
        <f>IF('BBG Verify'!S178="","not filed; run on terminal",'BBG Verify'!S178)</f>
        <v/>
      </c>
      <c r="BM178" s="125" t="inlineStr">
        <is>
          <t>N</t>
        </is>
      </c>
      <c r="BN178" s="126">
        <f>IF('BBG Verify'!K178="","not filed; run on terminal",'BBG Verify'!K178)</f>
        <v/>
      </c>
      <c r="BO178" s="108" t="inlineStr">
        <is>
          <t>N/A</t>
        </is>
      </c>
      <c r="BP178" s="108" t="inlineStr">
        <is>
          <t>N/A</t>
        </is>
      </c>
      <c r="BQ178" s="108" t="inlineStr">
        <is>
          <t>N/A</t>
        </is>
      </c>
      <c r="BR178" s="108" t="inlineStr">
        <is>
          <t>N/A</t>
        </is>
      </c>
      <c r="BS178" s="108" t="inlineStr">
        <is>
          <t>N/A</t>
        </is>
      </c>
      <c r="BT178" s="108" t="inlineStr">
        <is>
          <t>N/A</t>
        </is>
      </c>
      <c r="BU178" s="125" t="inlineStr">
        <is>
          <t>China Everbright Capital Limited</t>
        </is>
      </c>
      <c r="BV178" s="108" t="inlineStr">
        <is>
          <t>China Everbright Capital Limited</t>
        </is>
      </c>
      <c r="BW178" s="108" t="inlineStr">
        <is>
          <t>China Everbright Securities (HK) Limited; ABCI Capital Limited; BOCI Asia Limited; BOCOM International Securities Limited; China PA Securities (Hong Kong) Company Limited; Citrus Securities Limited; CMBC Securities Company Limited; Huaan Securities (Hong Kong) Brokerage Limited; ICBC International Securities Limited; SPDB International Capital Limited; Zhongtai International Securities Limited</t>
        </is>
      </c>
      <c r="BX178" s="108" t="inlineStr">
        <is>
          <t>ABCI Securities Company Limited; Beta International Securities Limited; BOCI Asia Limited; China Everbright Securities (HK) Limited; China Industrial Securities International Capital Limited; Citrus Securities Limited; CMBC Securities Company Limited; China PA Securities (Hong Kong) Company Limited; Huaan Securities (Hong Kong) Brokerage Limited; ICBC International Securities Limited; Livermore Holdings Limited; Maxa Capital Limited</t>
        </is>
      </c>
      <c r="BY178" s="127">
        <f>HYPERLINK("https://www1.hkexnews.hk/listedco/listconews/sehk/2022/1230/2022123000043.pdf","prospectus")</f>
        <v/>
      </c>
      <c r="BZ178" s="127">
        <f>HYPERLINK("https://www1.hkexnews.hk/listedco/listconews/sehk/2023/0119/2023011900018.htm","allotment")</f>
        <v/>
      </c>
      <c r="CA178" s="127">
        <f>HYPERLINK("https://www1.hkexnews.hk/listedco/listconews/sehk/2023/0212/2023021200031.pdf","stabilisation")</f>
        <v/>
      </c>
      <c r="CB178" s="128" t="n"/>
      <c r="CC178" s="108" t="inlineStr">
        <is>
          <t>cornerstone list: no cornerstone tranche; allocation: clawback line not in this notice; a 12-28% split is consistent with either a tier-1 clawback or a placing shortfall</t>
        </is>
      </c>
    </row>
    <row r="179" ht="22" customHeight="1">
      <c r="A179" s="107" t="inlineStr">
        <is>
          <t>2482</t>
        </is>
      </c>
      <c r="B179" s="108" t="inlineStr">
        <is>
          <t>LOGORY</t>
        </is>
      </c>
      <c r="C179" s="108" t="inlineStr">
        <is>
          <t>維天運通</t>
        </is>
      </c>
      <c r="D179" s="108" t="inlineStr">
        <is>
          <t>Industrials</t>
        </is>
      </c>
      <c r="E179" s="108" t="inlineStr">
        <is>
          <t>Logistics</t>
        </is>
      </c>
      <c r="F179" s="108" t="inlineStr">
        <is>
          <t>Air Freight &amp; Logistics</t>
        </is>
      </c>
      <c r="G179" s="108" t="inlineStr">
        <is>
          <t>Standard</t>
        </is>
      </c>
      <c r="H179" s="109" t="n">
        <v>44994</v>
      </c>
      <c r="I179" s="110" t="n">
        <v>125.3</v>
      </c>
      <c r="J179" s="108" t="inlineStr">
        <is>
          <t>gross (price x shares)</t>
        </is>
      </c>
      <c r="K179" s="111" t="n">
        <v>2.9</v>
      </c>
      <c r="L179" s="111" t="n">
        <v>3.5</v>
      </c>
      <c r="M179" s="111" t="n">
        <v>2.9</v>
      </c>
      <c r="N179" s="108" t="inlineStr">
        <is>
          <t>N</t>
        </is>
      </c>
      <c r="O179" s="112" t="n">
        <v>82.90000000000001</v>
      </c>
      <c r="P179" s="112" t="n">
        <v>0</v>
      </c>
      <c r="Q179" s="113" t="n">
        <v>4735.2</v>
      </c>
      <c r="R179" s="108" t="inlineStr">
        <is>
          <t>aastocks:上市市值 at the struck price</t>
        </is>
      </c>
      <c r="S179" s="114" t="n">
        <v>23.09</v>
      </c>
      <c r="T179" s="115" t="n">
        <v>1.43</v>
      </c>
      <c r="U179" s="116" t="n">
        <v>65.2</v>
      </c>
      <c r="V179" s="117" t="n">
        <v>100</v>
      </c>
      <c r="W179" s="118" t="n"/>
      <c r="X179" s="119" t="n"/>
      <c r="Y179" s="113" t="n">
        <v>43.6</v>
      </c>
      <c r="Z179" s="113" t="n">
        <v>15037428</v>
      </c>
      <c r="AA179" s="112" t="n">
        <v>0.92</v>
      </c>
      <c r="AB179" s="108" t="inlineStr">
        <is>
          <t>Hefei Gaoxin Development &amp; Investment Group Co., Ltd; XINGTAI HOLDING COMPANY (HONG KONG) LIMITED</t>
        </is>
      </c>
      <c r="AC179" s="108" t="inlineStr">
        <is>
          <t>hefei;xingtai</t>
        </is>
      </c>
      <c r="AD179" s="112" t="n">
        <v>19.62</v>
      </c>
      <c r="AE179" s="108" t="inlineStr">
        <is>
          <t>lapsed (no over-allocation)</t>
        </is>
      </c>
      <c r="AF179" s="119" t="n"/>
      <c r="AG179" s="108" t="inlineStr">
        <is>
          <t>Haitong International Securities Company Limited</t>
        </is>
      </c>
      <c r="AH179" s="108" t="inlineStr">
        <is>
          <t>Haitong</t>
        </is>
      </c>
      <c r="AI179" s="120" t="n">
        <v>0.34</v>
      </c>
      <c r="AJ179" s="121" t="n">
        <v>-2.07</v>
      </c>
      <c r="AK179" s="121" t="n">
        <v>-0.85</v>
      </c>
      <c r="AL179" s="121" t="n">
        <v>-3.1</v>
      </c>
      <c r="AM179" s="121" t="n">
        <v>1.06</v>
      </c>
      <c r="AN179" s="122" t="n"/>
      <c r="AO179" s="112" t="n">
        <v>7.12</v>
      </c>
      <c r="AP179" s="121" t="n">
        <v>-1.38</v>
      </c>
      <c r="AQ179" s="121" t="n">
        <v>-4.48</v>
      </c>
      <c r="AR179" s="121" t="n">
        <v>-6.9</v>
      </c>
      <c r="AS179" s="121" t="n">
        <v>0.7</v>
      </c>
      <c r="AT179" s="121" t="n">
        <v>-2.46</v>
      </c>
      <c r="AU179" s="121" t="n">
        <v>-4.93</v>
      </c>
      <c r="AV179" s="121" t="n">
        <v>2.92</v>
      </c>
      <c r="AW179" s="121" t="n">
        <v>-6.85</v>
      </c>
      <c r="AX179" s="121" t="n">
        <v>-3.69</v>
      </c>
      <c r="AY179" s="121" t="n">
        <v>-5.71</v>
      </c>
      <c r="AZ179" s="121" t="n">
        <v>2.37</v>
      </c>
      <c r="BA179" s="121" t="n">
        <v>3.25</v>
      </c>
      <c r="BB179" s="108" t="inlineStr">
        <is>
          <t>Hang Seng Commerce &amp; Industry sub-index</t>
        </is>
      </c>
      <c r="BC179" s="121" t="n">
        <v>-90.69</v>
      </c>
      <c r="BD179" s="109" t="n">
        <v>46297</v>
      </c>
      <c r="BE179" s="110" t="n">
        <v>6927</v>
      </c>
      <c r="BF179" s="131" t="n"/>
      <c r="BG179" s="108" t="inlineStr">
        <is>
          <t>Y</t>
        </is>
      </c>
      <c r="BH179" s="124">
        <f>IF('BBG Verify'!O179="","not filed; run on terminal",'BBG Verify'!O179)</f>
        <v/>
      </c>
      <c r="BI179" s="122" t="n"/>
      <c r="BJ179" s="123" t="n">
        <v>8.4</v>
      </c>
      <c r="BK179" s="123" t="n">
        <v>0.7</v>
      </c>
      <c r="BL179" s="124">
        <f>IF('BBG Verify'!S179="","not filed; run on terminal",'BBG Verify'!S179)</f>
        <v/>
      </c>
      <c r="BM179" s="125" t="inlineStr">
        <is>
          <t>N</t>
        </is>
      </c>
      <c r="BN179" s="126">
        <f>IF('BBG Verify'!K179="","not filed; run on terminal",'BBG Verify'!K179)</f>
        <v/>
      </c>
      <c r="BO179" s="108" t="inlineStr">
        <is>
          <t>N/A</t>
        </is>
      </c>
      <c r="BP179" s="108" t="inlineStr">
        <is>
          <t>N/A</t>
        </is>
      </c>
      <c r="BQ179" s="108" t="inlineStr">
        <is>
          <t>N/A</t>
        </is>
      </c>
      <c r="BR179" s="108" t="inlineStr">
        <is>
          <t>N/A</t>
        </is>
      </c>
      <c r="BS179" s="108" t="inlineStr">
        <is>
          <t>N/A</t>
        </is>
      </c>
      <c r="BT179" s="108" t="inlineStr">
        <is>
          <t>N/A</t>
        </is>
      </c>
      <c r="BU179" s="125" t="inlineStr">
        <is>
          <t>Haitong International Capital Limited; Haitong International Securities Company Limited</t>
        </is>
      </c>
      <c r="BV179" s="108" t="inlineStr">
        <is>
          <t>Haitong International Capital Limited</t>
        </is>
      </c>
      <c r="BW179" s="108" t="inlineStr">
        <is>
          <t>Haitong International Securities Company Limited; CLSA Limited</t>
        </is>
      </c>
      <c r="BX179" s="108" t="inlineStr">
        <is>
          <t>CLSA Limited; Haitong International Securities Company Limited; SDHG International Securities Limited; Sinomax Securities Limited; Valuable Capital Limited</t>
        </is>
      </c>
      <c r="BY179" s="127">
        <f>HYPERLINK("https://www1.hkexnews.hk/listedco/listconews/sehk/2023/0227/2023022700005.pdf","prospectus")</f>
        <v/>
      </c>
      <c r="BZ179" s="127">
        <f>HYPERLINK("https://www1.hkexnews.hk/listedco/listconews/sehk/2023/0308/2023030800008.htm","allotment")</f>
        <v/>
      </c>
      <c r="CA179" s="127">
        <f>HYPERLINK("https://www1.hkexnews.hk/listedco/listconews/sehk/2023/0403/2023040300095.pdf","stabilisation")</f>
        <v/>
      </c>
      <c r="CB179" s="128" t="n"/>
      <c r="CC179" s="108" t="inlineStr">
        <is>
          <t>P/E: withheld: 3,157x fails the 300x plausibility cap; extracted net income HK$1.5m suspect; greenshoe: outcome published; expiry date not in the notice; market cap: published listing cap used; the estimate from deal size / offer % of enlarged capital disagreed; financials: not extractable; pre-IPO year outside the AAStocks window; allocation: allocation table not in this notice's format (older prose announcement); day-1 tape: volume on file; the retail multiple needs the final public split, which this notice does not state</t>
        </is>
      </c>
    </row>
    <row r="180" ht="22" customHeight="1">
      <c r="A180" s="107" t="inlineStr">
        <is>
          <t>9636</t>
        </is>
      </c>
      <c r="B180" s="108" t="inlineStr">
        <is>
          <t>JF WEALTH</t>
        </is>
      </c>
      <c r="C180" s="108" t="inlineStr">
        <is>
          <t>九方智投控股</t>
        </is>
      </c>
      <c r="D180" s="108" t="inlineStr">
        <is>
          <t>Financials</t>
        </is>
      </c>
      <c r="E180" s="108" t="inlineStr">
        <is>
          <t>Brokers / asset management</t>
        </is>
      </c>
      <c r="F180" s="108" t="inlineStr">
        <is>
          <t>Education Services</t>
        </is>
      </c>
      <c r="G180" s="108" t="inlineStr">
        <is>
          <t>Standard</t>
        </is>
      </c>
      <c r="H180" s="109" t="n">
        <v>44995</v>
      </c>
      <c r="I180" s="110" t="n">
        <v>1013.5</v>
      </c>
      <c r="J180" s="108" t="inlineStr">
        <is>
          <t>gross (price x shares)</t>
        </is>
      </c>
      <c r="K180" s="111" t="n">
        <v>16.98</v>
      </c>
      <c r="L180" s="111" t="n">
        <v>18.78</v>
      </c>
      <c r="M180" s="111" t="n">
        <v>17</v>
      </c>
      <c r="N180" s="108" t="inlineStr">
        <is>
          <t>N</t>
        </is>
      </c>
      <c r="O180" s="112" t="n">
        <v>90.5</v>
      </c>
      <c r="P180" s="112" t="n">
        <v>1.1</v>
      </c>
      <c r="Q180" s="113" t="n">
        <v>7908.8</v>
      </c>
      <c r="R180" s="108" t="inlineStr">
        <is>
          <t>prospectus:stated market capitalisation</t>
        </is>
      </c>
      <c r="S180" s="114" t="n">
        <v>2.59</v>
      </c>
      <c r="T180" s="115" t="n">
        <v>1.85</v>
      </c>
      <c r="U180" s="116" t="n">
        <v>7.75</v>
      </c>
      <c r="V180" s="117" t="n">
        <v>160</v>
      </c>
      <c r="W180" s="118" t="n"/>
      <c r="X180" s="119" t="n"/>
      <c r="Y180" s="113" t="n">
        <v>934.95</v>
      </c>
      <c r="Z180" s="113" t="n">
        <v>54998066</v>
      </c>
      <c r="AA180" s="112" t="n">
        <v>11.82</v>
      </c>
      <c r="AB180" s="108" t="inlineStr">
        <is>
          <t>Duke King Holdings Limited; Garland Glory Holdings Limited; New China Asset Management (Hong Kong) Limited; Orchid Asia V Co-Investment, Limited; Sichuan Hebang Investment Group Co., Ltd</t>
        </is>
      </c>
      <c r="AC180" s="108" t="inlineStr">
        <is>
          <t>duke;garland;new;orchid;sichuan</t>
        </is>
      </c>
      <c r="AD180" s="112" t="n">
        <v>10</v>
      </c>
      <c r="AE180" s="108" t="inlineStr">
        <is>
          <t>partial</t>
        </is>
      </c>
      <c r="AF180" s="108" t="inlineStr">
        <is>
          <t>2023-04-02</t>
        </is>
      </c>
      <c r="AG180" s="108" t="inlineStr">
        <is>
          <t>China International Capital Corporation Hong Kong Securities Limited</t>
        </is>
      </c>
      <c r="AH180" s="108" t="inlineStr">
        <is>
          <t>China International</t>
        </is>
      </c>
      <c r="AI180" s="120" t="n">
        <v>4.12</v>
      </c>
      <c r="AJ180" s="121" t="n">
        <v>0.82</v>
      </c>
      <c r="AK180" s="121" t="n">
        <v>-2.82</v>
      </c>
      <c r="AL180" s="121" t="n">
        <v>0.12</v>
      </c>
      <c r="AM180" s="121" t="n">
        <v>0.7</v>
      </c>
      <c r="AN180" s="122" t="n"/>
      <c r="AO180" s="112" t="n">
        <v>3.41</v>
      </c>
      <c r="AP180" s="121" t="n">
        <v>-0.82</v>
      </c>
      <c r="AQ180" s="121" t="n">
        <v>-7.65</v>
      </c>
      <c r="AR180" s="121" t="n">
        <v>-4.82</v>
      </c>
      <c r="AS180" s="121" t="n">
        <v>-1.63</v>
      </c>
      <c r="AT180" s="121" t="n">
        <v>-8.4</v>
      </c>
      <c r="AU180" s="121" t="n">
        <v>-5.59</v>
      </c>
      <c r="AV180" s="121" t="n">
        <v>2.29</v>
      </c>
      <c r="AW180" s="121" t="n">
        <v>-7.31</v>
      </c>
      <c r="AX180" s="121" t="n">
        <v>-3.67</v>
      </c>
      <c r="AY180" s="121" t="n">
        <v>-10.95</v>
      </c>
      <c r="AZ180" s="121" t="n">
        <v>-0.34</v>
      </c>
      <c r="BA180" s="121" t="n">
        <v>2.55</v>
      </c>
      <c r="BB180" s="108" t="inlineStr">
        <is>
          <t>Hang Seng Finance sub-index</t>
        </is>
      </c>
      <c r="BC180" s="121" t="n">
        <v>64.70999999999999</v>
      </c>
      <c r="BD180" s="109" t="n">
        <v>46297</v>
      </c>
      <c r="BE180" s="110" t="n">
        <v>1597.1</v>
      </c>
      <c r="BF180" s="113" t="n">
        <v>255.6</v>
      </c>
      <c r="BG180" s="108" t="inlineStr">
        <is>
          <t>Y</t>
        </is>
      </c>
      <c r="BH180" s="123" t="n">
        <v>30.9</v>
      </c>
      <c r="BI180" s="123" t="n">
        <v>12.4</v>
      </c>
      <c r="BJ180" s="123" t="n">
        <v>11.4</v>
      </c>
      <c r="BK180" s="123" t="n">
        <v>5</v>
      </c>
      <c r="BL180" s="124">
        <f>IF('BBG Verify'!S180="","not filed; run on terminal",'BBG Verify'!S180)</f>
        <v/>
      </c>
      <c r="BM180" s="125" t="inlineStr">
        <is>
          <t>N</t>
        </is>
      </c>
      <c r="BN180" s="126">
        <f>IF('BBG Verify'!K180="","not filed; run on terminal",'BBG Verify'!K180)</f>
        <v/>
      </c>
      <c r="BO180" s="108" t="inlineStr">
        <is>
          <t>N/A</t>
        </is>
      </c>
      <c r="BP180" s="108" t="inlineStr">
        <is>
          <t>N/A</t>
        </is>
      </c>
      <c r="BQ180" s="108" t="inlineStr">
        <is>
          <t>N/A</t>
        </is>
      </c>
      <c r="BR180" s="108" t="inlineStr">
        <is>
          <t>N/A</t>
        </is>
      </c>
      <c r="BS180" s="108" t="inlineStr">
        <is>
          <t>N/A</t>
        </is>
      </c>
      <c r="BT180" s="108" t="inlineStr">
        <is>
          <t>N/A</t>
        </is>
      </c>
      <c r="BU180" s="125" t="inlineStr">
        <is>
          <t>China International Capital Corporation Hong Kong Securities Limited</t>
        </is>
      </c>
      <c r="BV180" s="108" t="inlineStr">
        <is>
          <t>China International Capital Corporation Hong Kong Securities Limited</t>
        </is>
      </c>
      <c r="BW180" s="108" t="inlineStr">
        <is>
          <t>China International Capital Corporation Hong Kong Securities Limited; BNP Paribas Securities (Asia) Limited; SPDB International Capital Limited; Huatai Financial Holdings (Hong Kong) Limited; Forthright Securities Company Limited; CCB International Capital Limited</t>
        </is>
      </c>
      <c r="BX180" s="108" t="inlineStr">
        <is>
          <t>BNP Paribas Securities (Asia) Limited; CCB International Capital Limited; China International Capital Corporation Hong Kong Securities Limited; Forthright Securities Company Limited; Futu Securities International (Hong Kong) Limited; Huatai Financial Holdings (Hong Kong) Limited; ICBC International Securities Limited; SPDB International Capital Limited; Tiger Brokers (HK) Global Limited; Valuable Capital Limited; Zhongtai International Securities Limited</t>
        </is>
      </c>
      <c r="BY180" s="127">
        <f>HYPERLINK("https://www1.hkexnews.hk/listedco/listconews/sehk/2023/0228/2023022800011.pdf","prospectus")</f>
        <v/>
      </c>
      <c r="BZ180" s="127">
        <f>HYPERLINK("https://www1.hkexnews.hk/listedco/listconews/sehk/2023/0309/2023030900008.htm","allotment")</f>
        <v/>
      </c>
      <c r="CA180" s="127">
        <f>HYPERLINK("https://www1.hkexnews.hk/listedco/listconews/sehk/2023/0402/2023040200127.pdf","stabilisation")</f>
        <v/>
      </c>
      <c r="CB180" s="128" t="n"/>
      <c r="CC180" s="108" t="inlineStr">
        <is>
          <t>sponsor: English name not in the filing; AAStocks 保薦人 shown; cornerstone: % from the prospectus; AAStocks table includes non-cornerstone orders; allocation: allocation table not in this notice's format (older prose announcement); day-1 tape: volume on file; the retail multiple needs the final public split, which this notice does not state</t>
        </is>
      </c>
    </row>
    <row r="181" ht="22" customHeight="1">
      <c r="A181" s="107" t="inlineStr">
        <is>
          <t>1405</t>
        </is>
      </c>
      <c r="B181" s="108" t="inlineStr">
        <is>
          <t>DPC DASH</t>
        </is>
      </c>
      <c r="C181" s="108" t="inlineStr">
        <is>
          <t>達勢股份</t>
        </is>
      </c>
      <c r="D181" s="108" t="inlineStr">
        <is>
          <t>Consumer</t>
        </is>
      </c>
      <c r="E181" s="108" t="inlineStr">
        <is>
          <t>F&amp;B chains / restaurants</t>
        </is>
      </c>
      <c r="F181" s="108" t="inlineStr">
        <is>
          <t>Restaurants</t>
        </is>
      </c>
      <c r="G181" s="108" t="inlineStr">
        <is>
          <t>Standard</t>
        </is>
      </c>
      <c r="H181" s="109" t="n">
        <v>45013</v>
      </c>
      <c r="I181" s="110" t="n">
        <v>588.8</v>
      </c>
      <c r="J181" s="108" t="inlineStr">
        <is>
          <t>gross (price x shares)</t>
        </is>
      </c>
      <c r="K181" s="129" t="n"/>
      <c r="L181" s="111" t="n">
        <v>46</v>
      </c>
      <c r="M181" s="111" t="n">
        <v>46</v>
      </c>
      <c r="N181" s="108" t="inlineStr">
        <is>
          <t>Y</t>
        </is>
      </c>
      <c r="O181" s="112" t="n">
        <v>100</v>
      </c>
      <c r="P181" s="118" t="n"/>
      <c r="Q181" s="113" t="n">
        <v>6539.9</v>
      </c>
      <c r="R181" s="108" t="inlineStr">
        <is>
          <t>aastocks:上市市值 at the struck price</t>
        </is>
      </c>
      <c r="S181" s="114" t="n">
        <v>0.45</v>
      </c>
      <c r="T181" s="115" t="n">
        <v>1.9</v>
      </c>
      <c r="U181" s="116" t="n">
        <v>0</v>
      </c>
      <c r="V181" s="117" t="n">
        <v>111</v>
      </c>
      <c r="W181" s="118" t="n"/>
      <c r="X181" s="119" t="n"/>
      <c r="Y181" s="113" t="n">
        <v>588.8</v>
      </c>
      <c r="Z181" s="113" t="n">
        <v>12799000</v>
      </c>
      <c r="AA181" s="112" t="n">
        <v>9</v>
      </c>
      <c r="AB181" s="108" t="inlineStr">
        <is>
          <t>none — no cornerstone tranche</t>
        </is>
      </c>
      <c r="AC181" s="108" t="inlineStr">
        <is>
          <t>none</t>
        </is>
      </c>
      <c r="AD181" s="112" t="n">
        <v>9.949999999999999</v>
      </c>
      <c r="AE181" s="108" t="inlineStr">
        <is>
          <t>partial</t>
        </is>
      </c>
      <c r="AF181" s="108" t="inlineStr">
        <is>
          <t>2023-04-20</t>
        </is>
      </c>
      <c r="AG181" s="108" t="inlineStr">
        <is>
          <t>Merrill Lynch</t>
        </is>
      </c>
      <c r="AH181" s="108" t="inlineStr">
        <is>
          <t>Merrill Lynch</t>
        </is>
      </c>
      <c r="AI181" s="120" t="n">
        <v>-1.41</v>
      </c>
      <c r="AJ181" s="121" t="n">
        <v>-0.11</v>
      </c>
      <c r="AK181" s="121" t="n">
        <v>1</v>
      </c>
      <c r="AL181" s="121" t="n">
        <v>0</v>
      </c>
      <c r="AM181" s="121" t="n">
        <v>-0.11</v>
      </c>
      <c r="AN181" s="122" t="n"/>
      <c r="AO181" s="112" t="n">
        <v>1.41</v>
      </c>
      <c r="AP181" s="121" t="n">
        <v>22.83</v>
      </c>
      <c r="AQ181" s="121" t="n">
        <v>17.72</v>
      </c>
      <c r="AR181" s="121" t="n">
        <v>13.8</v>
      </c>
      <c r="AS181" s="121" t="n">
        <v>22.97</v>
      </c>
      <c r="AT181" s="121" t="n">
        <v>17.85</v>
      </c>
      <c r="AU181" s="121" t="n">
        <v>13.93</v>
      </c>
      <c r="AV181" s="121" t="n">
        <v>18.4</v>
      </c>
      <c r="AW181" s="121" t="n">
        <v>18.4</v>
      </c>
      <c r="AX181" s="121" t="n">
        <v>17.59</v>
      </c>
      <c r="AY181" s="121" t="n">
        <v>19.52</v>
      </c>
      <c r="AZ181" s="121" t="n">
        <v>-0.68</v>
      </c>
      <c r="BA181" s="121" t="n">
        <v>-1.67</v>
      </c>
      <c r="BB181" s="108" t="inlineStr">
        <is>
          <t>Hang Seng Commerce &amp; Industry sub-index</t>
        </is>
      </c>
      <c r="BC181" s="121" t="n">
        <v>-38.78</v>
      </c>
      <c r="BD181" s="109" t="n">
        <v>46297</v>
      </c>
      <c r="BE181" s="110" t="n">
        <v>2222.9</v>
      </c>
      <c r="BF181" s="113" t="n">
        <v>-244.9</v>
      </c>
      <c r="BG181" s="108" t="inlineStr">
        <is>
          <t>N</t>
        </is>
      </c>
      <c r="BH181" s="108" t="inlineStr">
        <is>
          <t>n/m</t>
        </is>
      </c>
      <c r="BI181" s="122" t="n"/>
      <c r="BJ181" s="123" t="n">
        <v>30.1</v>
      </c>
      <c r="BK181" s="123" t="n">
        <v>2.9</v>
      </c>
      <c r="BL181" s="124">
        <f>IF('BBG Verify'!S181="","not filed; run on terminal",'BBG Verify'!S181)</f>
        <v/>
      </c>
      <c r="BM181" s="125" t="inlineStr">
        <is>
          <t>N</t>
        </is>
      </c>
      <c r="BN181" s="126">
        <f>IF('BBG Verify'!K181="","not filed; run on terminal",'BBG Verify'!K181)</f>
        <v/>
      </c>
      <c r="BO181" s="108" t="inlineStr">
        <is>
          <t>N/A</t>
        </is>
      </c>
      <c r="BP181" s="108" t="inlineStr">
        <is>
          <t>N/A</t>
        </is>
      </c>
      <c r="BQ181" s="108" t="inlineStr">
        <is>
          <t>N/A</t>
        </is>
      </c>
      <c r="BR181" s="108" t="inlineStr">
        <is>
          <t>N/A</t>
        </is>
      </c>
      <c r="BS181" s="108" t="inlineStr">
        <is>
          <t>N/A</t>
        </is>
      </c>
      <c r="BT181" s="108" t="inlineStr">
        <is>
          <t>N/A</t>
        </is>
      </c>
      <c r="BU181" s="125" t="inlineStr">
        <is>
          <t>Merrill Lynch (Asia Pacific) Limited; Ampere Partners Limited</t>
        </is>
      </c>
      <c r="BV181" s="108" t="inlineStr">
        <is>
          <t>Merrill Lynch (Asia Pacific) Limited</t>
        </is>
      </c>
      <c r="BW181" s="108" t="inlineStr">
        <is>
          <t>Merrill Lynch (Asia Pacific) Limited</t>
        </is>
      </c>
      <c r="BX181" s="108" t="inlineStr">
        <is>
          <t>DBS Asia Capital Limited; Merrill Lynch (Asia Pacific) Limited</t>
        </is>
      </c>
      <c r="BY181" s="127">
        <f>HYPERLINK("https://www1.hkexnews.hk/listedco/listconews/sehk/2023/0316/2023031600034.htm","prospectus")</f>
        <v/>
      </c>
      <c r="BZ181" s="127">
        <f>HYPERLINK("https://www1.hkexnews.hk/listedco/listconews/sehk/2023/0327/2023032700030.htm","allotment")</f>
        <v/>
      </c>
      <c r="CA181" s="127">
        <f>HYPERLINK("https://www1.hkexnews.hk/listedco/listconews/sehk/2023/0420/2023042000559.pdf","stabilisation")</f>
        <v/>
      </c>
      <c r="CB181" s="128" t="n"/>
      <c r="CC181" s="108" t="inlineStr">
        <is>
          <t>P/E: loss-making at IPO, use P/S; price range: fixed-price offering (no indicative range); range low: maximum offer price only, no floor published; market cap: published listing cap used; the estimate from stated market capitalisation, rescaled to the offer price disagreed; cornerstone list: no cornerstone tranche; allocation: allocation table not in this notice's format (older prose announcement); day-1 tape: volume on file; the retail multiple needs the final public split, which this notice does not state</t>
        </is>
      </c>
    </row>
    <row r="182" ht="22" customHeight="1">
      <c r="A182" s="107" t="inlineStr">
        <is>
          <t>2409</t>
        </is>
      </c>
      <c r="B182" s="108" t="inlineStr">
        <is>
          <t>SEACON</t>
        </is>
      </c>
      <c r="C182" s="108" t="inlineStr">
        <is>
          <t>洲際船務</t>
        </is>
      </c>
      <c r="D182" s="108" t="inlineStr">
        <is>
          <t>Industrials</t>
        </is>
      </c>
      <c r="E182" s="108" t="inlineStr">
        <is>
          <t>Logistics</t>
        </is>
      </c>
      <c r="F182" s="108" t="inlineStr">
        <is>
          <t>Marine Ports &amp; Services</t>
        </is>
      </c>
      <c r="G182" s="108" t="inlineStr">
        <is>
          <t>Standard</t>
        </is>
      </c>
      <c r="H182" s="109" t="n">
        <v>45014</v>
      </c>
      <c r="I182" s="110" t="n">
        <v>408.8</v>
      </c>
      <c r="J182" s="108" t="inlineStr">
        <is>
          <t>gross (price x shares)</t>
        </is>
      </c>
      <c r="K182" s="111" t="n">
        <v>3.27</v>
      </c>
      <c r="L182" s="111" t="n">
        <v>3.91</v>
      </c>
      <c r="M182" s="111" t="n">
        <v>3.27</v>
      </c>
      <c r="N182" s="108" t="inlineStr">
        <is>
          <t>N</t>
        </is>
      </c>
      <c r="O182" s="112" t="n">
        <v>83.59999999999999</v>
      </c>
      <c r="P182" s="112" t="n">
        <v>0</v>
      </c>
      <c r="Q182" s="113" t="n">
        <v>1635.2</v>
      </c>
      <c r="R182" s="108" t="inlineStr">
        <is>
          <t>derived:deal size / offer % of enlarged capital</t>
        </is>
      </c>
      <c r="S182" s="114" t="n">
        <v>1.14</v>
      </c>
      <c r="T182" s="115" t="n">
        <v>1.09</v>
      </c>
      <c r="U182" s="116" t="n">
        <v>19.96</v>
      </c>
      <c r="V182" s="117" t="n">
        <v>127</v>
      </c>
      <c r="W182" s="118" t="n"/>
      <c r="X182" s="119" t="n"/>
      <c r="Y182" s="113" t="n">
        <v>327.2</v>
      </c>
      <c r="Z182" s="113" t="n">
        <v>100050000</v>
      </c>
      <c r="AA182" s="112" t="n">
        <v>20.01</v>
      </c>
      <c r="AB182" s="108" t="inlineStr">
        <is>
          <t>Danube Bridge Shipping Limited; Guodian Shipping (Hong Kong) Company Limited; Huzhou Wuxing Tourism Development Co., Ltd</t>
        </is>
      </c>
      <c r="AC182" s="108" t="inlineStr">
        <is>
          <t>danube;guodian;huzhou</t>
        </is>
      </c>
      <c r="AD182" s="112" t="n">
        <v>15</v>
      </c>
      <c r="AE182" s="108" t="inlineStr">
        <is>
          <t>lapsed</t>
        </is>
      </c>
      <c r="AF182" s="108" t="inlineStr">
        <is>
          <t>2023-04-16</t>
        </is>
      </c>
      <c r="AG182" s="108" t="inlineStr">
        <is>
          <t>Zhongtai International Securities Limited</t>
        </is>
      </c>
      <c r="AH182" s="108" t="inlineStr">
        <is>
          <t>Zhongtai</t>
        </is>
      </c>
      <c r="AI182" s="120" t="n">
        <v>0.31</v>
      </c>
      <c r="AJ182" s="121" t="n">
        <v>-21.1</v>
      </c>
      <c r="AK182" s="121" t="n">
        <v>2.86</v>
      </c>
      <c r="AL182" s="121" t="n">
        <v>0.31</v>
      </c>
      <c r="AM182" s="121" t="n">
        <v>-21.34</v>
      </c>
      <c r="AN182" s="122" t="n"/>
      <c r="AO182" s="112" t="n">
        <v>22.26</v>
      </c>
      <c r="AP182" s="121" t="n">
        <v>-7.65</v>
      </c>
      <c r="AQ182" s="121" t="n">
        <v>-13.76</v>
      </c>
      <c r="AR182" s="121" t="n">
        <v>-5.81</v>
      </c>
      <c r="AS182" s="121" t="n">
        <v>17.05</v>
      </c>
      <c r="AT182" s="121" t="n">
        <v>9.300000000000001</v>
      </c>
      <c r="AU182" s="121" t="n">
        <v>19.38</v>
      </c>
      <c r="AV182" s="121" t="n">
        <v>-11.46</v>
      </c>
      <c r="AW182" s="121" t="n">
        <v>-10.65</v>
      </c>
      <c r="AX182" s="121" t="n">
        <v>-1.93</v>
      </c>
      <c r="AY182" s="121" t="n">
        <v>15.11</v>
      </c>
      <c r="AZ182" s="121" t="n">
        <v>-3.11</v>
      </c>
      <c r="BA182" s="121" t="n">
        <v>-5.81</v>
      </c>
      <c r="BB182" s="108" t="inlineStr">
        <is>
          <t>Hang Seng Commerce &amp; Industry sub-index</t>
        </is>
      </c>
      <c r="BC182" s="121" t="n">
        <v>56.57</v>
      </c>
      <c r="BD182" s="109" t="n">
        <v>46297</v>
      </c>
      <c r="BE182" s="110" t="n">
        <v>2907.4</v>
      </c>
      <c r="BF182" s="113" t="n">
        <v>312</v>
      </c>
      <c r="BG182" s="108" t="inlineStr">
        <is>
          <t>Y</t>
        </is>
      </c>
      <c r="BH182" s="123" t="n">
        <v>5.2</v>
      </c>
      <c r="BI182" s="123" t="n">
        <v>2.2</v>
      </c>
      <c r="BJ182" s="123" t="n">
        <v>7.5</v>
      </c>
      <c r="BK182" s="123" t="n">
        <v>0.6</v>
      </c>
      <c r="BL182" s="124">
        <f>IF('BBG Verify'!S182="","not filed; run on terminal",'BBG Verify'!S182)</f>
        <v/>
      </c>
      <c r="BM182" s="125" t="inlineStr">
        <is>
          <t>N</t>
        </is>
      </c>
      <c r="BN182" s="126">
        <f>IF('BBG Verify'!K182="","not filed; run on terminal",'BBG Verify'!K182)</f>
        <v/>
      </c>
      <c r="BO182" s="108" t="inlineStr">
        <is>
          <t>N/A</t>
        </is>
      </c>
      <c r="BP182" s="108" t="inlineStr">
        <is>
          <t>N/A</t>
        </is>
      </c>
      <c r="BQ182" s="108" t="inlineStr">
        <is>
          <t>N/A</t>
        </is>
      </c>
      <c r="BR182" s="108" t="inlineStr">
        <is>
          <t>N/A</t>
        </is>
      </c>
      <c r="BS182" s="108" t="inlineStr">
        <is>
          <t>N/A</t>
        </is>
      </c>
      <c r="BT182" s="108" t="inlineStr">
        <is>
          <t>N/A</t>
        </is>
      </c>
      <c r="BU182" s="125" t="inlineStr">
        <is>
          <t>Zhongtai International Capital Limited</t>
        </is>
      </c>
      <c r="BV182" s="108" t="inlineStr">
        <is>
          <t>Zhongtai International Capital Limited</t>
        </is>
      </c>
      <c r="BW182" s="108" t="inlineStr">
        <is>
          <t>Zhongtai International Securities Limited; Shenwan Hongyuan Securities (H.K.) Limited; Citrus Securities Limited; BOCOM International Securities Limited</t>
        </is>
      </c>
      <c r="BX182" s="108" t="inlineStr">
        <is>
          <t>Beta International Securities Limited; Citrus Securities Limited; CMBC Securities Company Limited; Futu Securities International (Hong Kong) Limited; Shenwan Hongyuan Capital (H.K.) Limited; Valuable Capital Limited; Zhongtai International Securities Limited</t>
        </is>
      </c>
      <c r="BY182" s="127">
        <f>HYPERLINK("https://www1.hkexnews.hk/listedco/listconews/sehk/2023/0314/2023031400009.pdf","prospectus")</f>
        <v/>
      </c>
      <c r="BZ182" s="127">
        <f>HYPERLINK("https://www1.hkexnews.hk/listedco/listconews/sehk/2023/0328/2023032800038.htm","allotment")</f>
        <v/>
      </c>
      <c r="CA182" s="127">
        <f>HYPERLINK("https://www1.hkexnews.hk/listedco/listconews/sehk/2023/0416/2023041600007.pdf","stabilisation")</f>
        <v/>
      </c>
      <c r="CB182" s="128" t="n"/>
      <c r="CC182" s="108" t="inlineStr">
        <is>
          <t>allocation: allocation table not in this notice's format (older prose announcement); day-1 tape: volume on file; the retail multiple needs the final public split, which this notice does not state</t>
        </is>
      </c>
    </row>
    <row r="183" ht="22" customHeight="1">
      <c r="A183" s="107" t="inlineStr">
        <is>
          <t>2433</t>
        </is>
      </c>
      <c r="B183" s="108" t="inlineStr">
        <is>
          <t>ZT HN GROUP</t>
        </is>
      </c>
      <c r="C183" s="108" t="inlineStr">
        <is>
          <t>中天湖南集團</t>
        </is>
      </c>
      <c r="D183" s="108" t="inlineStr">
        <is>
          <t>Industrials</t>
        </is>
      </c>
      <c r="E183" s="108" t="inlineStr">
        <is>
          <t>Construction / engineering</t>
        </is>
      </c>
      <c r="F183" s="108" t="inlineStr">
        <is>
          <t>Building Construction</t>
        </is>
      </c>
      <c r="G183" s="108" t="inlineStr">
        <is>
          <t>Standard</t>
        </is>
      </c>
      <c r="H183" s="109" t="n">
        <v>45015</v>
      </c>
      <c r="I183" s="110" t="n">
        <v>141.6</v>
      </c>
      <c r="J183" s="108" t="inlineStr">
        <is>
          <t>gross (price x shares)</t>
        </is>
      </c>
      <c r="K183" s="129" t="n"/>
      <c r="L183" s="111" t="n">
        <v>1.18</v>
      </c>
      <c r="M183" s="111" t="n">
        <v>1.18</v>
      </c>
      <c r="N183" s="108" t="inlineStr">
        <is>
          <t>Y</t>
        </is>
      </c>
      <c r="O183" s="112" t="n">
        <v>100</v>
      </c>
      <c r="P183" s="118" t="n"/>
      <c r="Q183" s="113" t="n">
        <v>566.4</v>
      </c>
      <c r="R183" s="108" t="inlineStr">
        <is>
          <t>aastocks:上市市值 at the struck price</t>
        </is>
      </c>
      <c r="S183" s="114" t="n">
        <v>10.62</v>
      </c>
      <c r="T183" s="115" t="n">
        <v>1.01</v>
      </c>
      <c r="U183" s="116" t="n">
        <v>0</v>
      </c>
      <c r="V183" s="117" t="n">
        <v>145</v>
      </c>
      <c r="W183" s="118" t="n"/>
      <c r="X183" s="119" t="n"/>
      <c r="Y183" s="113" t="n">
        <v>141.6</v>
      </c>
      <c r="Z183" s="113" t="n">
        <v>120000000</v>
      </c>
      <c r="AA183" s="112" t="n">
        <v>25</v>
      </c>
      <c r="AB183" s="108" t="inlineStr">
        <is>
          <t>none — no cornerstone tranche</t>
        </is>
      </c>
      <c r="AC183" s="108" t="inlineStr">
        <is>
          <t>none</t>
        </is>
      </c>
      <c r="AD183" s="118" t="n"/>
      <c r="AE183" s="108" t="inlineStr">
        <is>
          <t>lapsed (no over-allocation)</t>
        </is>
      </c>
      <c r="AF183" s="119" t="n"/>
      <c r="AG183" s="108" t="inlineStr">
        <is>
          <t>CMBC Securities</t>
        </is>
      </c>
      <c r="AH183" s="108" t="inlineStr">
        <is>
          <t>CMBC</t>
        </is>
      </c>
      <c r="AI183" s="120" t="n">
        <v>127.97</v>
      </c>
      <c r="AJ183" s="121" t="n">
        <v>126.27</v>
      </c>
      <c r="AK183" s="121" t="n">
        <v>0.9399999999999999</v>
      </c>
      <c r="AL183" s="121" t="n">
        <v>147.46</v>
      </c>
      <c r="AM183" s="121" t="n">
        <v>-8.56</v>
      </c>
      <c r="AN183" s="122" t="n"/>
      <c r="AO183" s="112" t="n">
        <v>23.63</v>
      </c>
      <c r="AP183" s="121" t="n">
        <v>77.12</v>
      </c>
      <c r="AQ183" s="121" t="n">
        <v>22.03</v>
      </c>
      <c r="AR183" s="121" t="n">
        <v>-62.29</v>
      </c>
      <c r="AS183" s="121" t="n">
        <v>-21.72</v>
      </c>
      <c r="AT183" s="121" t="n">
        <v>-46.07</v>
      </c>
      <c r="AU183" s="121" t="n">
        <v>-83.33</v>
      </c>
      <c r="AV183" s="121" t="n">
        <v>75.79000000000001</v>
      </c>
      <c r="AW183" s="121" t="n">
        <v>27.11</v>
      </c>
      <c r="AX183" s="121" t="n">
        <v>-54.32</v>
      </c>
      <c r="AY183" s="121" t="n">
        <v>-40.11</v>
      </c>
      <c r="AZ183" s="121" t="n">
        <v>-5.08</v>
      </c>
      <c r="BA183" s="121" t="n">
        <v>-5.96</v>
      </c>
      <c r="BB183" s="108" t="inlineStr">
        <is>
          <t>Hang Seng Commerce &amp; Industry sub-index</t>
        </is>
      </c>
      <c r="BC183" s="121" t="n">
        <v>-94.31999999999999</v>
      </c>
      <c r="BD183" s="109" t="n">
        <v>46297</v>
      </c>
      <c r="BE183" s="132" t="n"/>
      <c r="BF183" s="131" t="n"/>
      <c r="BG183" s="108" t="inlineStr">
        <is>
          <t>Y</t>
        </is>
      </c>
      <c r="BH183" s="124">
        <f>IF('BBG Verify'!O183="","not filed; run on terminal",'BBG Verify'!O183)</f>
        <v/>
      </c>
      <c r="BI183" s="122" t="n"/>
      <c r="BJ183" s="122" t="n"/>
      <c r="BK183" s="122" t="n"/>
      <c r="BL183" s="124">
        <f>IF('BBG Verify'!S183="","not filed; run on terminal",'BBG Verify'!S183)</f>
        <v/>
      </c>
      <c r="BM183" s="125" t="inlineStr">
        <is>
          <t>N</t>
        </is>
      </c>
      <c r="BN183" s="126">
        <f>IF('BBG Verify'!K183="","not filed; run on terminal",'BBG Verify'!K183)</f>
        <v/>
      </c>
      <c r="BO183" s="108" t="inlineStr">
        <is>
          <t>N/A</t>
        </is>
      </c>
      <c r="BP183" s="108" t="inlineStr">
        <is>
          <t>N/A</t>
        </is>
      </c>
      <c r="BQ183" s="108" t="inlineStr">
        <is>
          <t>N/A</t>
        </is>
      </c>
      <c r="BR183" s="108" t="inlineStr">
        <is>
          <t>N/A</t>
        </is>
      </c>
      <c r="BS183" s="108" t="inlineStr">
        <is>
          <t>N/A</t>
        </is>
      </c>
      <c r="BT183" s="108" t="inlineStr">
        <is>
          <t>N/A</t>
        </is>
      </c>
      <c r="BU183" s="125" t="inlineStr">
        <is>
          <t>Grande Capital Limited</t>
        </is>
      </c>
      <c r="BV183" s="108" t="inlineStr">
        <is>
          <t>Grande Capital Limited</t>
        </is>
      </c>
      <c r="BW183" s="108" t="inlineStr">
        <is>
          <t>CMBC Securities Company Limited; Grande Capital Limited; SPDB International Capital Limited; BOCOM International Securities Limited; I Win Securities Limited; China Everbright Securities (HK) Limited; Soochow Securities International Brokerage Limited; Alliance Capital Partners Limited</t>
        </is>
      </c>
      <c r="BX183" s="108" t="inlineStr">
        <is>
          <t>Alliance Capital Partners Limited; Beta International Securities Limited; China Everbright Securities (HK) Limited; ChaoShang Securities Limited; CMBC Securities Company Limited; Eddid Securities and Futures Limited; Grande Capital Limited; I Win Securities Limited; Leeds Securities Investment Limited; Maxa Capital Limited; SPDB International Capital Limited; Soochow Securities International Brokerage Limited</t>
        </is>
      </c>
      <c r="BY183" s="127">
        <f>HYPERLINK("https://www1.hkexnews.hk/listedco/listconews/sehk/2023/0320/2023032000008.htm","prospectus")</f>
        <v/>
      </c>
      <c r="BZ183" s="127">
        <f>HYPERLINK("https://www1.hkexnews.hk/listedco/listconews/sehk/2023/0329/2023032900042.htm","allotment")</f>
        <v/>
      </c>
      <c r="CA183" s="127">
        <f>HYPERLINK("https://www1.hkexnews.hk/listedco/listconews/sehk/2023/0424/2023042400020.pdf","stabilisation")</f>
        <v/>
      </c>
      <c r="CB183" s="128" t="n"/>
      <c r="CC183" s="108" t="inlineStr">
        <is>
          <t>P/E: net income not extractable; greenshoe: outcome published; expiry date not in the notice; price range: fixed-price offering (no indicative range); range low: maximum offer price only, no floor published; cornerstone list: no cornerstone tranche; greenshoe size: no over-allotment option; P/S: revenue not extractable; financials rejected: net income HK$2,223.1m exceeds revenue HK$2,005.7m; both withheld with their multiples; allocation: allocation table not in this notice's format (older prose announcement); day-1 tape: volume on file; the retail multiple needs the final public split, which this notice does not state</t>
        </is>
      </c>
    </row>
    <row r="184" ht="22" customHeight="1">
      <c r="A184" s="107" t="inlineStr">
        <is>
          <t>2405</t>
        </is>
      </c>
      <c r="B184" s="108" t="inlineStr">
        <is>
          <t>POWERWIN TECH</t>
        </is>
      </c>
      <c r="C184" s="108" t="inlineStr">
        <is>
          <t>力盟科技</t>
        </is>
      </c>
      <c r="D184" s="108" t="inlineStr">
        <is>
          <t>TMT-other</t>
        </is>
      </c>
      <c r="E184" s="108" t="inlineStr">
        <is>
          <t>Media / advertising</t>
        </is>
      </c>
      <c r="F184" s="108" t="inlineStr">
        <is>
          <t>Advertising</t>
        </is>
      </c>
      <c r="G184" s="108" t="inlineStr">
        <is>
          <t>Standard</t>
        </is>
      </c>
      <c r="H184" s="109" t="n">
        <v>45016</v>
      </c>
      <c r="I184" s="110" t="n">
        <v>140</v>
      </c>
      <c r="J184" s="108" t="inlineStr">
        <is>
          <t>gross (price x shares)</t>
        </is>
      </c>
      <c r="K184" s="129" t="n"/>
      <c r="L184" s="111" t="n">
        <v>0.75</v>
      </c>
      <c r="M184" s="111" t="n">
        <v>0.7</v>
      </c>
      <c r="N184" s="108" t="inlineStr">
        <is>
          <t>N</t>
        </is>
      </c>
      <c r="O184" s="112" t="n">
        <v>93.3</v>
      </c>
      <c r="P184" s="118" t="n"/>
      <c r="Q184" s="113" t="n">
        <v>520</v>
      </c>
      <c r="R184" s="108" t="inlineStr">
        <is>
          <t>prospectus:stated market capitalisation</t>
        </is>
      </c>
      <c r="S184" s="114" t="n">
        <v>13.47</v>
      </c>
      <c r="T184" s="115" t="n">
        <v>1.45</v>
      </c>
      <c r="U184" s="116" t="n">
        <v>0</v>
      </c>
      <c r="V184" s="117" t="n">
        <v>82</v>
      </c>
      <c r="W184" s="118" t="n"/>
      <c r="X184" s="119" t="n"/>
      <c r="Y184" s="113" t="n">
        <v>140</v>
      </c>
      <c r="Z184" s="113" t="n">
        <v>200000000</v>
      </c>
      <c r="AA184" s="112" t="n">
        <v>26.92</v>
      </c>
      <c r="AB184" s="108" t="inlineStr">
        <is>
          <t>none — no cornerstone tranche</t>
        </is>
      </c>
      <c r="AC184" s="108" t="inlineStr">
        <is>
          <t>none</t>
        </is>
      </c>
      <c r="AD184" s="112" t="n">
        <v>20</v>
      </c>
      <c r="AE184" s="108" t="inlineStr">
        <is>
          <t>lapsed (no over-allocation)</t>
        </is>
      </c>
      <c r="AF184" s="108" t="inlineStr">
        <is>
          <t>2023-04-23</t>
        </is>
      </c>
      <c r="AG184" s="108" t="inlineStr">
        <is>
          <t>GF Securities</t>
        </is>
      </c>
      <c r="AH184" s="108" t="inlineStr">
        <is>
          <t>GF</t>
        </is>
      </c>
      <c r="AI184" s="120" t="n">
        <v>15.71</v>
      </c>
      <c r="AJ184" s="121" t="n">
        <v>20</v>
      </c>
      <c r="AK184" s="121" t="n">
        <v>0.45</v>
      </c>
      <c r="AL184" s="121" t="n">
        <v>8.57</v>
      </c>
      <c r="AM184" s="121" t="n">
        <v>10.53</v>
      </c>
      <c r="AN184" s="122" t="n"/>
      <c r="AO184" s="112" t="n">
        <v>35.53</v>
      </c>
      <c r="AP184" s="121" t="n">
        <v>50</v>
      </c>
      <c r="AQ184" s="121" t="n">
        <v>128.57</v>
      </c>
      <c r="AR184" s="121" t="n">
        <v>385.71</v>
      </c>
      <c r="AS184" s="121" t="n">
        <v>25</v>
      </c>
      <c r="AT184" s="121" t="n">
        <v>90.47</v>
      </c>
      <c r="AU184" s="121" t="n">
        <v>304.76</v>
      </c>
      <c r="AV184" s="121" t="n">
        <v>50</v>
      </c>
      <c r="AW184" s="121" t="n">
        <v>129.85</v>
      </c>
      <c r="AX184" s="121" t="n">
        <v>394.46</v>
      </c>
      <c r="AY184" s="121" t="n">
        <v>92.19</v>
      </c>
      <c r="AZ184" s="121" t="n">
        <v>-1.28</v>
      </c>
      <c r="BA184" s="121" t="n">
        <v>-1.72</v>
      </c>
      <c r="BB184" s="108" t="inlineStr">
        <is>
          <t>Hang Seng Index</t>
        </is>
      </c>
      <c r="BC184" s="121" t="n">
        <v>-53.57</v>
      </c>
      <c r="BD184" s="109" t="n">
        <v>46297</v>
      </c>
      <c r="BE184" s="110" t="n">
        <v>111.9</v>
      </c>
      <c r="BF184" s="113" t="n">
        <v>45</v>
      </c>
      <c r="BG184" s="108" t="inlineStr">
        <is>
          <t>Y</t>
        </is>
      </c>
      <c r="BH184" s="123" t="n">
        <v>11.6</v>
      </c>
      <c r="BI184" s="122" t="n"/>
      <c r="BJ184" s="122" t="n"/>
      <c r="BK184" s="123" t="n">
        <v>4.6</v>
      </c>
      <c r="BL184" s="124">
        <f>IF('BBG Verify'!S184="","not filed; run on terminal",'BBG Verify'!S184)</f>
        <v/>
      </c>
      <c r="BM184" s="125" t="inlineStr">
        <is>
          <t>N</t>
        </is>
      </c>
      <c r="BN184" s="126">
        <f>IF('BBG Verify'!K184="","not filed; run on terminal",'BBG Verify'!K184)</f>
        <v/>
      </c>
      <c r="BO184" s="108" t="inlineStr">
        <is>
          <t>N/A</t>
        </is>
      </c>
      <c r="BP184" s="108" t="inlineStr">
        <is>
          <t>N/A</t>
        </is>
      </c>
      <c r="BQ184" s="108" t="inlineStr">
        <is>
          <t>N/A</t>
        </is>
      </c>
      <c r="BR184" s="108" t="inlineStr">
        <is>
          <t>N/A</t>
        </is>
      </c>
      <c r="BS184" s="108" t="inlineStr">
        <is>
          <t>N/A</t>
        </is>
      </c>
      <c r="BT184" s="108" t="inlineStr">
        <is>
          <t>N/A</t>
        </is>
      </c>
      <c r="BU184" s="125" t="inlineStr">
        <is>
          <t>GF Capital (Hong Kong) Limited</t>
        </is>
      </c>
      <c r="BV184" s="108" t="inlineStr">
        <is>
          <t>GF Capital (Hong Kong) Limited</t>
        </is>
      </c>
      <c r="BW184" s="108" t="inlineStr">
        <is>
          <t>GF Securities (Hong Kong) Brokerage Limited; First Capital Securities Limited; Maxa Capital Limited; China Everbright Securities (HK) Limited</t>
        </is>
      </c>
      <c r="BX184" s="108" t="inlineStr">
        <is>
          <t>China Everbright Securities (HK) Limited; First Capital Securities Limited; GF Securities (Hong Kong) Brokerage Limited; Maxa Capital Limited</t>
        </is>
      </c>
      <c r="BY184" s="127">
        <f>HYPERLINK("https://www1.hkexnews.hk/listedco/listconews/sehk/2023/0321/2023032100009.pdf","prospectus")</f>
        <v/>
      </c>
      <c r="BZ184" s="127">
        <f>HYPERLINK("https://www1.hkexnews.hk/listedco/listconews/sehk/2023/0330/2023033000098.htm","allotment")</f>
        <v/>
      </c>
      <c r="CA184" s="127">
        <f>HYPERLINK("https://www1.hkexnews.hk/listedco/listconews/sehk/2023/0423/2023042300029.pdf","stabilisation")</f>
        <v/>
      </c>
      <c r="CB184" s="128" t="n"/>
      <c r="CC184" s="108" t="inlineStr">
        <is>
          <t>range low: maximum offer price only, no floor published; cornerstone list: no cornerstone tranche; allocation: allocation table not in this notice's format (older prose announcement); day-1 tape: volume on file; the retail multiple needs the final public split, which this notice does not state</t>
        </is>
      </c>
    </row>
    <row r="185" ht="22" customHeight="1">
      <c r="A185" s="107" t="inlineStr">
        <is>
          <t>2439</t>
        </is>
      </c>
      <c r="B185" s="108" t="inlineStr">
        <is>
          <t>CH TREASURES NM</t>
        </is>
      </c>
      <c r="C185" s="108" t="inlineStr">
        <is>
          <t>中寶新材</t>
        </is>
      </c>
      <c r="D185" s="108" t="inlineStr">
        <is>
          <t>Materials/Energy</t>
        </is>
      </c>
      <c r="E185" s="108" t="inlineStr">
        <is>
          <t>Chemicals</t>
        </is>
      </c>
      <c r="F185" s="108" t="inlineStr">
        <is>
          <t>Environmental Goods</t>
        </is>
      </c>
      <c r="G185" s="108" t="inlineStr">
        <is>
          <t>Standard</t>
        </is>
      </c>
      <c r="H185" s="109" t="n">
        <v>45016</v>
      </c>
      <c r="I185" s="110" t="n">
        <v>262.5</v>
      </c>
      <c r="J185" s="108" t="inlineStr">
        <is>
          <t>gross (price x shares)</t>
        </is>
      </c>
      <c r="K185" s="129" t="n"/>
      <c r="L185" s="111" t="n">
        <v>1.05</v>
      </c>
      <c r="M185" s="111" t="n">
        <v>1.05</v>
      </c>
      <c r="N185" s="108" t="inlineStr">
        <is>
          <t>Y</t>
        </is>
      </c>
      <c r="O185" s="112" t="n">
        <v>100</v>
      </c>
      <c r="P185" s="118" t="n"/>
      <c r="Q185" s="113" t="n">
        <v>1200</v>
      </c>
      <c r="R185" s="108" t="inlineStr">
        <is>
          <t>aastocks:上市市值 at the struck price</t>
        </is>
      </c>
      <c r="S185" s="114" t="n">
        <v>6.33</v>
      </c>
      <c r="T185" s="115" t="n">
        <v>6.33</v>
      </c>
      <c r="U185" s="116" t="n">
        <v>48.7</v>
      </c>
      <c r="V185" s="117" t="n">
        <v>158</v>
      </c>
      <c r="W185" s="112" t="n">
        <v>20</v>
      </c>
      <c r="X185" s="119" t="n"/>
      <c r="Y185" s="113" t="n">
        <v>134.66</v>
      </c>
      <c r="Z185" s="113" t="n">
        <v>128250000</v>
      </c>
      <c r="AA185" s="112" t="n">
        <v>11.22</v>
      </c>
      <c r="AB185" s="108" t="inlineStr">
        <is>
          <t>ZhongBaoNew materials. Ltd</t>
        </is>
      </c>
      <c r="AC185" s="108" t="inlineStr">
        <is>
          <t>zhongbaonew</t>
        </is>
      </c>
      <c r="AD185" s="112" t="n">
        <v>7.8097</v>
      </c>
      <c r="AE185" s="108" t="inlineStr">
        <is>
          <t>lapsed (no over-allocation)</t>
        </is>
      </c>
      <c r="AF185" s="119" t="n"/>
      <c r="AG185" s="108" t="inlineStr">
        <is>
          <t>Wealth Link Securities Limited</t>
        </is>
      </c>
      <c r="AH185" s="108" t="inlineStr">
        <is>
          <t>Wealth Link</t>
        </is>
      </c>
      <c r="AI185" s="120" t="n">
        <v>-40.95</v>
      </c>
      <c r="AJ185" s="121" t="n">
        <v>-35.24</v>
      </c>
      <c r="AK185" s="121" t="n">
        <v>1.05</v>
      </c>
      <c r="AL185" s="121" t="n">
        <v>-38.1</v>
      </c>
      <c r="AM185" s="121" t="n">
        <v>4.62</v>
      </c>
      <c r="AN185" s="123" t="n">
        <v>2.23</v>
      </c>
      <c r="AO185" s="112" t="n">
        <v>20</v>
      </c>
      <c r="AP185" s="121" t="n">
        <v>-36.19</v>
      </c>
      <c r="AQ185" s="121" t="n">
        <v>-39.05</v>
      </c>
      <c r="AR185" s="121" t="n">
        <v>-50.48</v>
      </c>
      <c r="AS185" s="121" t="n">
        <v>-1.47</v>
      </c>
      <c r="AT185" s="121" t="n">
        <v>-5.88</v>
      </c>
      <c r="AU185" s="121" t="n">
        <v>-23.53</v>
      </c>
      <c r="AV185" s="121" t="n">
        <v>-34.63</v>
      </c>
      <c r="AW185" s="121" t="n">
        <v>-33.87</v>
      </c>
      <c r="AX185" s="121" t="n">
        <v>-39.78</v>
      </c>
      <c r="AY185" s="121" t="n">
        <v>0.28</v>
      </c>
      <c r="AZ185" s="121" t="n">
        <v>-5.18</v>
      </c>
      <c r="BA185" s="121" t="n">
        <v>-6.16</v>
      </c>
      <c r="BB185" s="108" t="inlineStr">
        <is>
          <t>Hang Seng Commerce &amp; Industry sub-index</t>
        </is>
      </c>
      <c r="BC185" s="121" t="n">
        <v>-79.43000000000001</v>
      </c>
      <c r="BD185" s="109" t="n">
        <v>46297</v>
      </c>
      <c r="BE185" s="110" t="n">
        <v>282.4</v>
      </c>
      <c r="BF185" s="131" t="n"/>
      <c r="BG185" s="119" t="n"/>
      <c r="BH185" s="124">
        <f>IF('BBG Verify'!O185="","not filed; run on terminal",'BBG Verify'!O185)</f>
        <v/>
      </c>
      <c r="BI185" s="122" t="n"/>
      <c r="BJ185" s="123" t="n">
        <v>8</v>
      </c>
      <c r="BK185" s="123" t="n">
        <v>4.2</v>
      </c>
      <c r="BL185" s="124">
        <f>IF('BBG Verify'!S185="","not filed; run on terminal",'BBG Verify'!S185)</f>
        <v/>
      </c>
      <c r="BM185" s="125" t="inlineStr">
        <is>
          <t>N</t>
        </is>
      </c>
      <c r="BN185" s="126">
        <f>IF('BBG Verify'!K185="","not filed; run on terminal",'BBG Verify'!K185)</f>
        <v/>
      </c>
      <c r="BO185" s="108" t="inlineStr">
        <is>
          <t>N/A</t>
        </is>
      </c>
      <c r="BP185" s="108" t="inlineStr">
        <is>
          <t>N/A</t>
        </is>
      </c>
      <c r="BQ185" s="108" t="inlineStr">
        <is>
          <t>N/A</t>
        </is>
      </c>
      <c r="BR185" s="108" t="inlineStr">
        <is>
          <t>N/A</t>
        </is>
      </c>
      <c r="BS185" s="108" t="inlineStr">
        <is>
          <t>N/A</t>
        </is>
      </c>
      <c r="BT185" s="108" t="inlineStr">
        <is>
          <t>N/A</t>
        </is>
      </c>
      <c r="BU185" s="125" t="inlineStr">
        <is>
          <t>Soochow Securities International Capital Limited</t>
        </is>
      </c>
      <c r="BV185" s="108" t="inlineStr">
        <is>
          <t>Soochow Securities International Capital Limited</t>
        </is>
      </c>
      <c r="BW185" s="108" t="inlineStr">
        <is>
          <t>Soochow Securities International Brokerage Limited; Fosun International Securities Limited; VBG Capital Limited; Wealth Link Securities Limited; China Galaxy International Securities (Hong Kong) Co., Limited; Zhongtai International Securities Limited</t>
        </is>
      </c>
      <c r="BX185" s="108" t="inlineStr">
        <is>
          <t>China Galaxy International Securities (Hong Kong) Company Limited; Elstone Securities Limited; Eddid Securities and Futures Limited; Fosun International Securities Limited; First Shanghai Securities Limited; Futu Securities International (Hong Kong) Limited; Grand China Securities Limited; Plutus Securities Limited; Sunhigh Financial Holdings Limited; Sinomax Securities Limited; Soochow Securities International Brokerage Limited; Tiger Brokers (HK) Global Limited</t>
        </is>
      </c>
      <c r="BY185" s="127">
        <f>HYPERLINK("https://www1.hkexnews.hk/listedco/listconews/sehk/2023/0321/2023032100050.htm","prospectus")</f>
        <v/>
      </c>
      <c r="BZ185" s="127">
        <f>HYPERLINK("https://www1.hkexnews.hk/listedco/listconews/sehk/2023/0330/2023033000220.htm","allotment")</f>
        <v/>
      </c>
      <c r="CA185" s="127">
        <f>HYPERLINK("https://www1.hkexnews.hk/listedco/listconews/sehk/2023/0424/2023042400062.pdf","stabilisation")</f>
        <v/>
      </c>
      <c r="CB185" s="128" t="n"/>
      <c r="CC185" s="108" t="inlineStr">
        <is>
          <t>P/E: net income not extractable; greenshoe: outcome published; expiry date not in the notice; price range: fixed-price offering (no indicative range); range low: maximum offer price only, no floor published; financials: not extractable; pre-IPO year outside the AAStocks window; allocation: clawback line not in this notice; a 12-28% split is consistent with either a tier-1 clawback or a placing shortfall</t>
        </is>
      </c>
    </row>
    <row r="186" ht="22" customHeight="1">
      <c r="A186" s="107" t="inlineStr">
        <is>
          <t>9669</t>
        </is>
      </c>
      <c r="B186" s="108" t="inlineStr">
        <is>
          <t>BEISEN HOLDING</t>
        </is>
      </c>
      <c r="C186" s="108" t="inlineStr">
        <is>
          <t>北森控股</t>
        </is>
      </c>
      <c r="D186" s="108" t="inlineStr">
        <is>
          <t>Tech/AI</t>
        </is>
      </c>
      <c r="E186" s="108" t="inlineStr">
        <is>
          <t>SaaS / enterprise software</t>
        </is>
      </c>
      <c r="F186" s="108" t="inlineStr">
        <is>
          <t>Commercial &amp; Professional Services</t>
        </is>
      </c>
      <c r="G186" s="108" t="inlineStr">
        <is>
          <t>Standard</t>
        </is>
      </c>
      <c r="H186" s="109" t="n">
        <v>45029</v>
      </c>
      <c r="I186" s="110" t="n">
        <v>238.9</v>
      </c>
      <c r="J186" s="108" t="inlineStr">
        <is>
          <t>gross (price x shares)</t>
        </is>
      </c>
      <c r="K186" s="129" t="n"/>
      <c r="L186" s="111" t="n">
        <v>29.7</v>
      </c>
      <c r="M186" s="111" t="n">
        <v>29.7</v>
      </c>
      <c r="N186" s="108" t="inlineStr">
        <is>
          <t>Y</t>
        </is>
      </c>
      <c r="O186" s="112" t="n">
        <v>100</v>
      </c>
      <c r="P186" s="118" t="n"/>
      <c r="Q186" s="113" t="n">
        <v>21718.2</v>
      </c>
      <c r="R186" s="108" t="inlineStr">
        <is>
          <t>derived:deal size / offer % of enlarged capital</t>
        </is>
      </c>
      <c r="S186" s="114" t="n">
        <v>16.57</v>
      </c>
      <c r="T186" s="115" t="n">
        <v>1.51</v>
      </c>
      <c r="U186" s="116" t="n">
        <v>0</v>
      </c>
      <c r="V186" s="117" t="n">
        <v>108</v>
      </c>
      <c r="W186" s="112" t="n">
        <v>30</v>
      </c>
      <c r="X186" s="108" t="inlineStr">
        <is>
          <t>YES</t>
        </is>
      </c>
      <c r="Y186" s="113" t="n">
        <v>238.9</v>
      </c>
      <c r="Z186" s="113" t="n">
        <v>8044000</v>
      </c>
      <c r="AA186" s="112" t="n">
        <v>1.1</v>
      </c>
      <c r="AB186" s="108" t="inlineStr">
        <is>
          <t>none — no cornerstone tranche</t>
        </is>
      </c>
      <c r="AC186" s="108" t="inlineStr">
        <is>
          <t>none</t>
        </is>
      </c>
      <c r="AD186" s="118" t="n"/>
      <c r="AE186" s="108" t="inlineStr">
        <is>
          <t>lapsed</t>
        </is>
      </c>
      <c r="AF186" s="108" t="inlineStr">
        <is>
          <t>2023-05-04</t>
        </is>
      </c>
      <c r="AG186" s="108" t="inlineStr">
        <is>
          <t>Morgan Stanley Asia Limited</t>
        </is>
      </c>
      <c r="AH186" s="108" t="inlineStr">
        <is>
          <t>Morgan Stanley</t>
        </is>
      </c>
      <c r="AI186" s="120" t="n">
        <v>0.17</v>
      </c>
      <c r="AJ186" s="121" t="n">
        <v>-12.12</v>
      </c>
      <c r="AK186" s="121" t="n">
        <v>-0.05</v>
      </c>
      <c r="AL186" s="121" t="n">
        <v>-0.34</v>
      </c>
      <c r="AM186" s="121" t="n">
        <v>-11.82</v>
      </c>
      <c r="AN186" s="123" t="n">
        <v>3.01</v>
      </c>
      <c r="AO186" s="112" t="n">
        <v>36.42</v>
      </c>
      <c r="AP186" s="121" t="n">
        <v>-52.53</v>
      </c>
      <c r="AQ186" s="121" t="n">
        <v>-69.19</v>
      </c>
      <c r="AR186" s="121" t="n">
        <v>-71.08</v>
      </c>
      <c r="AS186" s="121" t="n">
        <v>-45.98</v>
      </c>
      <c r="AT186" s="121" t="n">
        <v>-64.94</v>
      </c>
      <c r="AU186" s="121" t="n">
        <v>-67.09</v>
      </c>
      <c r="AV186" s="121" t="n">
        <v>-50.87</v>
      </c>
      <c r="AW186" s="121" t="n">
        <v>-63.52</v>
      </c>
      <c r="AX186" s="121" t="n">
        <v>-72.45</v>
      </c>
      <c r="AY186" s="121" t="n">
        <v>-59.32</v>
      </c>
      <c r="AZ186" s="121" t="n">
        <v>-5.67</v>
      </c>
      <c r="BA186" s="121" t="n">
        <v>-5.62</v>
      </c>
      <c r="BB186" s="108" t="inlineStr">
        <is>
          <t>HSTECH (Hang Seng TECH ETF)</t>
        </is>
      </c>
      <c r="BC186" s="121" t="n">
        <v>-89.29000000000001</v>
      </c>
      <c r="BD186" s="109" t="n">
        <v>46297</v>
      </c>
      <c r="BE186" s="110" t="n">
        <v>612</v>
      </c>
      <c r="BF186" s="113" t="n">
        <v>-1034.2</v>
      </c>
      <c r="BG186" s="108" t="inlineStr">
        <is>
          <t>N</t>
        </is>
      </c>
      <c r="BH186" s="108" t="inlineStr">
        <is>
          <t>n/m</t>
        </is>
      </c>
      <c r="BI186" s="122" t="n"/>
      <c r="BJ186" s="122" t="n"/>
      <c r="BK186" s="123" t="n">
        <v>35.5</v>
      </c>
      <c r="BL186" s="124">
        <f>IF('BBG Verify'!S186="","not filed; run on terminal",'BBG Verify'!S186)</f>
        <v/>
      </c>
      <c r="BM186" s="125" t="inlineStr">
        <is>
          <t>N</t>
        </is>
      </c>
      <c r="BN186" s="126">
        <f>IF('BBG Verify'!K186="","not filed; run on terminal",'BBG Verify'!K186)</f>
        <v/>
      </c>
      <c r="BO186" s="108" t="inlineStr">
        <is>
          <t>N/A</t>
        </is>
      </c>
      <c r="BP186" s="108" t="inlineStr">
        <is>
          <t>N/A</t>
        </is>
      </c>
      <c r="BQ186" s="108" t="inlineStr">
        <is>
          <t>N/A</t>
        </is>
      </c>
      <c r="BR186" s="108" t="inlineStr">
        <is>
          <t>N/A</t>
        </is>
      </c>
      <c r="BS186" s="108" t="inlineStr">
        <is>
          <t>N/A</t>
        </is>
      </c>
      <c r="BT186" s="108" t="inlineStr">
        <is>
          <t>N/A</t>
        </is>
      </c>
      <c r="BU186" s="125" t="inlineStr">
        <is>
          <t>Morgan Stanley Asia Limited; China International Capital Corporation Hong Kong Securities Limited</t>
        </is>
      </c>
      <c r="BV186" s="108" t="inlineStr">
        <is>
          <t>China International Capital Corporation Hong Kong Securities Limited; Morgan Stanley Asia Limited</t>
        </is>
      </c>
      <c r="BW186" s="108" t="inlineStr">
        <is>
          <t>Morgan Stanley Asia Limited; China International Capital Corporation Hong Kong Securities Limited; Futu Securities International (Hong Kong) Limited; Tiger Brokers (HK) Global Limited; Co-manager Silverbricks Securities Company Limited; Silverbricks Securities Company Limited</t>
        </is>
      </c>
      <c r="BX186" s="108" t="inlineStr">
        <is>
          <t>China International Capital Corporation Hong Kong Securities Limited; Futu Securities International (Hong Kong) Limited; Morgan Stanley Asia Limited; Silverbricks Securities Company Limited; Tiger Brokers (HK) Global Limited</t>
        </is>
      </c>
      <c r="BY186" s="127">
        <f>HYPERLINK("https://www1.hkexnews.hk/listedco/listconews/sehk/2023/0330/2023033000324.htm","prospectus")</f>
        <v/>
      </c>
      <c r="BZ186" s="127">
        <f>HYPERLINK("https://www1.hkexnews.hk/listedco/listconews/sehk/2023/0412/2023041200010.htm","allotment")</f>
        <v/>
      </c>
      <c r="CA186" s="127">
        <f>HYPERLINK("https://www1.hkexnews.hk/listedco/listconews/sehk/2023/0504/2023050401929.pdf","stabilisation")</f>
        <v/>
      </c>
      <c r="CB186" s="128" t="n"/>
      <c r="CC186" s="108" t="inlineStr">
        <is>
          <t>P/E: loss-making at IPO, use P/S; range low: maximum offer price only, no floor published; cornerstone list: no cornerstone tranche; greenshoe size: no over-allotment option</t>
        </is>
      </c>
    </row>
    <row r="187" ht="22" customHeight="1">
      <c r="A187" s="107" t="inlineStr">
        <is>
          <t>6979</t>
        </is>
      </c>
      <c r="B187" s="108" t="inlineStr">
        <is>
          <t>ZJLD</t>
        </is>
      </c>
      <c r="C187" s="108" t="inlineStr">
        <is>
          <t>珍酒李渡</t>
        </is>
      </c>
      <c r="D187" s="108" t="inlineStr">
        <is>
          <t>Consumer</t>
        </is>
      </c>
      <c r="E187" s="108" t="inlineStr">
        <is>
          <t>Beverages / packaged food</t>
        </is>
      </c>
      <c r="F187" s="108" t="inlineStr">
        <is>
          <t>Beverages (Alcoholic)</t>
        </is>
      </c>
      <c r="G187" s="108" t="inlineStr">
        <is>
          <t>Standard</t>
        </is>
      </c>
      <c r="H187" s="109" t="n">
        <v>45043</v>
      </c>
      <c r="I187" s="110" t="n">
        <v>5309.4</v>
      </c>
      <c r="J187" s="108" t="inlineStr">
        <is>
          <t>gross (price x shares)</t>
        </is>
      </c>
      <c r="K187" s="129" t="n"/>
      <c r="L187" s="111" t="n">
        <v>10.82</v>
      </c>
      <c r="M187" s="111" t="n">
        <v>10.82</v>
      </c>
      <c r="N187" s="108" t="inlineStr">
        <is>
          <t>Y</t>
        </is>
      </c>
      <c r="O187" s="112" t="n">
        <v>100</v>
      </c>
      <c r="P187" s="118" t="n"/>
      <c r="Q187" s="113" t="n">
        <v>38863.4</v>
      </c>
      <c r="R187" s="108" t="inlineStr">
        <is>
          <t>aastocks:上市市值 at the struck price</t>
        </is>
      </c>
      <c r="S187" s="114" t="n">
        <v>1.94</v>
      </c>
      <c r="T187" s="115" t="n">
        <v>3.9</v>
      </c>
      <c r="U187" s="116" t="n">
        <v>0</v>
      </c>
      <c r="V187" s="117" t="n">
        <v>109</v>
      </c>
      <c r="W187" s="118" t="n"/>
      <c r="X187" s="119" t="n"/>
      <c r="Y187" s="113" t="n">
        <v>5309.4</v>
      </c>
      <c r="Z187" s="113" t="n">
        <v>490699800</v>
      </c>
      <c r="AA187" s="112" t="n">
        <v>13.66</v>
      </c>
      <c r="AB187" s="108" t="inlineStr">
        <is>
          <t>none — no cornerstone tranche</t>
        </is>
      </c>
      <c r="AC187" s="108" t="inlineStr">
        <is>
          <t>none</t>
        </is>
      </c>
      <c r="AD187" s="112" t="n">
        <v>5.3</v>
      </c>
      <c r="AE187" s="108" t="inlineStr">
        <is>
          <t>lapsed</t>
        </is>
      </c>
      <c r="AF187" s="108" t="inlineStr">
        <is>
          <t>2023-05-20</t>
        </is>
      </c>
      <c r="AG187" s="108" t="inlineStr">
        <is>
          <t>Goldman Sachs</t>
        </is>
      </c>
      <c r="AH187" s="108" t="inlineStr">
        <is>
          <t>Goldman Sachs</t>
        </is>
      </c>
      <c r="AI187" s="120" t="n">
        <v>-4.99</v>
      </c>
      <c r="AJ187" s="121" t="n">
        <v>-17.93</v>
      </c>
      <c r="AK187" s="121" t="n">
        <v>-0.28</v>
      </c>
      <c r="AL187" s="121" t="n">
        <v>-16.82</v>
      </c>
      <c r="AM187" s="121" t="n">
        <v>-1.33</v>
      </c>
      <c r="AN187" s="122" t="n"/>
      <c r="AO187" s="112" t="n">
        <v>12.78</v>
      </c>
      <c r="AP187" s="121" t="n">
        <v>-15.9</v>
      </c>
      <c r="AQ187" s="121" t="n">
        <v>-34.1</v>
      </c>
      <c r="AR187" s="121" t="n">
        <v>-12.38</v>
      </c>
      <c r="AS187" s="121" t="n">
        <v>2.47</v>
      </c>
      <c r="AT187" s="121" t="n">
        <v>-19.7</v>
      </c>
      <c r="AU187" s="121" t="n">
        <v>6.76</v>
      </c>
      <c r="AV187" s="121" t="n">
        <v>-16.15</v>
      </c>
      <c r="AW187" s="121" t="n">
        <v>-26.77</v>
      </c>
      <c r="AX187" s="121" t="n">
        <v>-16.74</v>
      </c>
      <c r="AY187" s="121" t="n">
        <v>-12.64</v>
      </c>
      <c r="AZ187" s="121" t="n">
        <v>-7.33</v>
      </c>
      <c r="BA187" s="121" t="n">
        <v>-7.06</v>
      </c>
      <c r="BB187" s="108" t="inlineStr">
        <is>
          <t>Hang Seng Commerce &amp; Industry sub-index</t>
        </is>
      </c>
      <c r="BC187" s="121" t="n">
        <v>-28.1</v>
      </c>
      <c r="BD187" s="109" t="n">
        <v>46297</v>
      </c>
      <c r="BE187" s="110" t="n">
        <v>6441.5</v>
      </c>
      <c r="BF187" s="131" t="n"/>
      <c r="BG187" s="119" t="n"/>
      <c r="BH187" s="123" t="n">
        <v>17.5</v>
      </c>
      <c r="BI187" s="123" t="n">
        <v>17.5</v>
      </c>
      <c r="BJ187" s="123" t="n">
        <v>42.9</v>
      </c>
      <c r="BK187" s="123" t="n">
        <v>6</v>
      </c>
      <c r="BL187" s="124">
        <f>IF('BBG Verify'!S187="","not filed; run on terminal",'BBG Verify'!S187)</f>
        <v/>
      </c>
      <c r="BM187" s="125" t="inlineStr">
        <is>
          <t>N</t>
        </is>
      </c>
      <c r="BN187" s="126">
        <f>IF('BBG Verify'!K187="","not filed; run on terminal",'BBG Verify'!K187)</f>
        <v/>
      </c>
      <c r="BO187" s="108" t="inlineStr">
        <is>
          <t>N/A</t>
        </is>
      </c>
      <c r="BP187" s="108" t="inlineStr">
        <is>
          <t>N/A</t>
        </is>
      </c>
      <c r="BQ187" s="108" t="inlineStr">
        <is>
          <t>N/A</t>
        </is>
      </c>
      <c r="BR187" s="108" t="inlineStr">
        <is>
          <t>N/A</t>
        </is>
      </c>
      <c r="BS187" s="108" t="inlineStr">
        <is>
          <t>N/A</t>
        </is>
      </c>
      <c r="BT187" s="108" t="inlineStr">
        <is>
          <t>N/A</t>
        </is>
      </c>
      <c r="BU187" s="125" t="inlineStr">
        <is>
          <t>Goldman Sachs (Asia) L.L.C; China Securities (International) Corporate Finance Company Limited</t>
        </is>
      </c>
      <c r="BV187" s="108" t="inlineStr">
        <is>
          <t>Goldman Sachs (Asia) L.L.C.; China Securities (International) Corporate Finance Company Limited</t>
        </is>
      </c>
      <c r="BW187" s="108" t="inlineStr">
        <is>
          <t>Goldman Sachs (Asia) L.L.C; China Securities (International) Corporate Finance Company Limited; China International Capital Corporation Hong Kong Securities Limited; KKR Capital Markets Asia Limited</t>
        </is>
      </c>
      <c r="BX187" s="108" t="inlineStr">
        <is>
          <t>China International Capital Corporation Hong Kong Securities Limited; China Securities (International) Corporate Finance Company Limited; Goldman Sachs (Asia) L.L.C.</t>
        </is>
      </c>
      <c r="BY187" s="127">
        <f>HYPERLINK("https://www1.hkexnews.hk/listedco/listconews/sehk/2023/0417/2023041700044.htm","prospectus")</f>
        <v/>
      </c>
      <c r="BZ187" s="127">
        <f>HYPERLINK("https://www1.hkexnews.hk/listedco/listconews/sehk/2023/0426/2023042600060.htm","allotment")</f>
        <v/>
      </c>
      <c r="CA187" s="127">
        <f>HYPERLINK("https://www1.hkexnews.hk/listedco/listconews/sehk/2023/0525/2023052500386.pdf","stabilisation")</f>
        <v/>
      </c>
      <c r="CB187" s="128" t="n"/>
      <c r="CC187" s="108" t="inlineStr">
        <is>
          <t>P/E: Bloomberg trailing-12m basis (prospectus-year multiple not derivable); price range: fixed-price offering (no indicative range); range low: maximum offer price only, no floor published; cornerstone list: no cornerstone tranche; financials: not extractable; pre-IPO year outside the AAStocks window; deal size: stated gross HK$795.0m rejected, below the net proceeds of HK$4,990.0m; allocation: allocation table not in this notice's format (older prose announcement); day-1 tape: volume on file; the retail multiple needs the final public split, which this notice does not state</t>
        </is>
      </c>
    </row>
    <row r="188" ht="22" customHeight="1">
      <c r="A188" s="107" t="inlineStr">
        <is>
          <t>2415</t>
        </is>
      </c>
      <c r="B188" s="108" t="inlineStr">
        <is>
          <t>MEDSCI</t>
        </is>
      </c>
      <c r="C188" s="108" t="inlineStr">
        <is>
          <t>梅斯健康</t>
        </is>
      </c>
      <c r="D188" s="108" t="inlineStr">
        <is>
          <t>Healthcare</t>
        </is>
      </c>
      <c r="E188" s="108" t="inlineStr">
        <is>
          <t>CXO / pharma services</t>
        </is>
      </c>
      <c r="F188" s="108" t="inlineStr">
        <is>
          <t>Health Care Services</t>
        </is>
      </c>
      <c r="G188" s="108" t="inlineStr">
        <is>
          <t>Standard</t>
        </is>
      </c>
      <c r="H188" s="109" t="n">
        <v>45043</v>
      </c>
      <c r="I188" s="110" t="n">
        <v>607.8</v>
      </c>
      <c r="J188" s="108" t="inlineStr">
        <is>
          <t>gross (price x shares)</t>
        </is>
      </c>
      <c r="K188" s="111" t="n">
        <v>9.1</v>
      </c>
      <c r="L188" s="111" t="n">
        <v>10.16</v>
      </c>
      <c r="M188" s="111" t="n">
        <v>9.1</v>
      </c>
      <c r="N188" s="108" t="inlineStr">
        <is>
          <t>N</t>
        </is>
      </c>
      <c r="O188" s="112" t="n">
        <v>89.59999999999999</v>
      </c>
      <c r="P188" s="112" t="n">
        <v>0</v>
      </c>
      <c r="Q188" s="113" t="n">
        <v>6101.8</v>
      </c>
      <c r="R188" s="108" t="inlineStr">
        <is>
          <t>aastocks:上市市值 at the struck price</t>
        </is>
      </c>
      <c r="S188" s="114" t="n">
        <v>9.85</v>
      </c>
      <c r="T188" s="115" t="n">
        <v>1.47</v>
      </c>
      <c r="U188" s="116" t="n">
        <v>20.1</v>
      </c>
      <c r="V188" s="117" t="n">
        <v>116</v>
      </c>
      <c r="W188" s="118" t="n"/>
      <c r="X188" s="119" t="n"/>
      <c r="Y188" s="113" t="n">
        <v>485.63</v>
      </c>
      <c r="Z188" s="113" t="n">
        <v>53364411</v>
      </c>
      <c r="AA188" s="112" t="n">
        <v>7.96</v>
      </c>
      <c r="AB188" s="108" t="inlineStr">
        <is>
          <t>Anji Guorong Construction Co., Ltd; Anji Guorong Venture Capital Co., Ltd; Anji Jiaotou Industrial Development Co., Ltd; Anji Qicai Lingfeng Rural Tourism Investment Co., Ltd; GF Global Capital Limited; Harvest International Premium Value (Secondary Market) Fund SPC</t>
        </is>
      </c>
      <c r="AC188" s="108" t="inlineStr">
        <is>
          <t>anji;gf;harvest</t>
        </is>
      </c>
      <c r="AD188" s="112" t="n">
        <v>10.82</v>
      </c>
      <c r="AE188" s="119" t="n"/>
      <c r="AF188" s="108" t="inlineStr">
        <is>
          <t>2023-05-20</t>
        </is>
      </c>
      <c r="AG188" s="108" t="inlineStr">
        <is>
          <t>Chin a International Capital Corporation Hong Kong Securities Limited</t>
        </is>
      </c>
      <c r="AH188" s="108" t="inlineStr">
        <is>
          <t>Chin a</t>
        </is>
      </c>
      <c r="AI188" s="120" t="n">
        <v>-2.75</v>
      </c>
      <c r="AJ188" s="121" t="n">
        <v>1.1</v>
      </c>
      <c r="AK188" s="121" t="n">
        <v>0.8100000000000001</v>
      </c>
      <c r="AL188" s="121" t="n">
        <v>-2.75</v>
      </c>
      <c r="AM188" s="121" t="n">
        <v>3.96</v>
      </c>
      <c r="AN188" s="122" t="n"/>
      <c r="AO188" s="112" t="n">
        <v>9.83</v>
      </c>
      <c r="AP188" s="121" t="n">
        <v>-5.49</v>
      </c>
      <c r="AQ188" s="121" t="n">
        <v>2.64</v>
      </c>
      <c r="AR188" s="121" t="n">
        <v>-15.16</v>
      </c>
      <c r="AS188" s="121" t="n">
        <v>-6.52</v>
      </c>
      <c r="AT188" s="121" t="n">
        <v>1.52</v>
      </c>
      <c r="AU188" s="121" t="n">
        <v>-16.08</v>
      </c>
      <c r="AV188" s="121" t="n">
        <v>-5.78</v>
      </c>
      <c r="AW188" s="121" t="n">
        <v>8.73</v>
      </c>
      <c r="AX188" s="121" t="n">
        <v>-8.449999999999999</v>
      </c>
      <c r="AY188" s="121" t="n">
        <v>8.359999999999999</v>
      </c>
      <c r="AZ188" s="121" t="n">
        <v>-6.09</v>
      </c>
      <c r="BA188" s="121" t="n">
        <v>-6.84</v>
      </c>
      <c r="BB188" s="108" t="inlineStr">
        <is>
          <t>China Biotech ETF (HS biotech proxy)</t>
        </is>
      </c>
      <c r="BC188" s="121" t="n">
        <v>-90.66</v>
      </c>
      <c r="BD188" s="109" t="n">
        <v>46297</v>
      </c>
      <c r="BE188" s="110" t="n">
        <v>383.8</v>
      </c>
      <c r="BF188" s="113" t="n">
        <v>-109.9</v>
      </c>
      <c r="BG188" s="108" t="inlineStr">
        <is>
          <t>N</t>
        </is>
      </c>
      <c r="BH188" s="108" t="inlineStr">
        <is>
          <t>n/m</t>
        </is>
      </c>
      <c r="BI188" s="122" t="n"/>
      <c r="BJ188" s="123" t="n">
        <v>19.5</v>
      </c>
      <c r="BK188" s="123" t="n">
        <v>15.9</v>
      </c>
      <c r="BL188" s="124">
        <f>IF('BBG Verify'!S188="","not filed; run on terminal",'BBG Verify'!S188)</f>
        <v/>
      </c>
      <c r="BM188" s="125" t="inlineStr">
        <is>
          <t>N</t>
        </is>
      </c>
      <c r="BN188" s="126">
        <f>IF('BBG Verify'!K188="","not filed; run on terminal",'BBG Verify'!K188)</f>
        <v/>
      </c>
      <c r="BO188" s="108" t="inlineStr">
        <is>
          <t>N/A</t>
        </is>
      </c>
      <c r="BP188" s="108" t="inlineStr">
        <is>
          <t>N/A</t>
        </is>
      </c>
      <c r="BQ188" s="108" t="inlineStr">
        <is>
          <t>N/A</t>
        </is>
      </c>
      <c r="BR188" s="108" t="inlineStr">
        <is>
          <t>N/A</t>
        </is>
      </c>
      <c r="BS188" s="108" t="inlineStr">
        <is>
          <t>N/A</t>
        </is>
      </c>
      <c r="BT188" s="108" t="inlineStr">
        <is>
          <t>N/A</t>
        </is>
      </c>
      <c r="BU188" s="125" t="inlineStr">
        <is>
          <t>China International Capital Corporation Hong Kong Securities Limited; Macquarie Capital Limited</t>
        </is>
      </c>
      <c r="BV188" s="108" t="inlineStr">
        <is>
          <t>China International Capital Corporation Hong Kong Securities Limited; Macquarie Capital Limited</t>
        </is>
      </c>
      <c r="BW188" s="108" t="inlineStr">
        <is>
          <t>China International Capital Corporation Hong Kong Securities Limited; Macquarie Capital Limited; CCB International Capital Limited; Essence International Securities (Hong Kong) Limited; Dragonstone Capital Management Limited; China Everbright Securities (HK) Limited; First Shanghai Securities Limited; First Capital Securities Limited; Zhongtai International Securities Limited; Futu Securities International (Hong Kong) Limited</t>
        </is>
      </c>
      <c r="BX188" s="108" t="inlineStr">
        <is>
          <t>CCB International Capital Limited; China Everbright Securities (HK) Limited; China International Capital Corporation Hong Kong Securities Limited; Dragonstone Capital Management Limited; Essence International Securities (Hong Kong) Limited; First Capital Securities Limited; First Shanghai Securities Limited; Futu Securities International (Hong Kong) Limited; Haitong International Securities Company Limited; Livermore Holdings Limited; Macquarie Capital Limited; Silverbricks Securities Company Limited</t>
        </is>
      </c>
      <c r="BY188" s="127">
        <f>HYPERLINK("https://www1.hkexnews.hk/listedco/listconews/sehk/2023/0417/2023041700009.pdf","prospectus")</f>
        <v/>
      </c>
      <c r="BZ188" s="127">
        <f>HYPERLINK("https://www1.hkexnews.hk/listedco/listconews/sehk/2023/0426/2023042600046.htm","allotment")</f>
        <v/>
      </c>
      <c r="CA188" s="119" t="n"/>
      <c r="CB188" s="128" t="n"/>
      <c r="CC188" s="108" t="inlineStr">
        <is>
          <t>P/E: loss-making at IPO, use P/S; greenshoe: end-of-stabilisation notice not found; cornerstone: % from the prospectus; AAStocks table includes non-cornerstone orders; deal size: stated gross HK$18.2m rejected, below the net proceeds of HK$538.2m; allocation: allocation table not in this notice's format (older prose announcement); day-1 tape: volume on file; the retail multiple needs the final public split, which this notice does not state</t>
        </is>
      </c>
    </row>
    <row r="189" ht="22" customHeight="1">
      <c r="A189" s="107" t="inlineStr">
        <is>
          <t>2480</t>
        </is>
      </c>
      <c r="B189" s="108" t="inlineStr">
        <is>
          <t>LUZHU BIOTECH-B</t>
        </is>
      </c>
      <c r="C189" s="108" t="inlineStr">
        <is>
          <t>綠竹生物－Ｂ</t>
        </is>
      </c>
      <c r="D189" s="108" t="inlineStr">
        <is>
          <t>Healthcare</t>
        </is>
      </c>
      <c r="E189" s="108" t="inlineStr">
        <is>
          <t>Biotech pre-revenue (18A)</t>
        </is>
      </c>
      <c r="F189" s="108" t="inlineStr">
        <is>
          <t>Biotechnology - Pharmaceuticals</t>
        </is>
      </c>
      <c r="G189" s="108" t="inlineStr">
        <is>
          <t>18A</t>
        </is>
      </c>
      <c r="H189" s="109" t="n">
        <v>45054</v>
      </c>
      <c r="I189" s="110" t="n">
        <v>340.7</v>
      </c>
      <c r="J189" s="108" t="inlineStr">
        <is>
          <t>gross (price x shares)</t>
        </is>
      </c>
      <c r="K189" s="111" t="n">
        <v>32.8</v>
      </c>
      <c r="L189" s="111" t="n">
        <v>41.65</v>
      </c>
      <c r="M189" s="111" t="n">
        <v>32.8</v>
      </c>
      <c r="N189" s="108" t="inlineStr">
        <is>
          <t>N</t>
        </is>
      </c>
      <c r="O189" s="112" t="n">
        <v>78.8</v>
      </c>
      <c r="P189" s="112" t="n">
        <v>0</v>
      </c>
      <c r="Q189" s="113" t="n">
        <v>8051.3</v>
      </c>
      <c r="R189" s="108" t="inlineStr">
        <is>
          <t>aastocks:上市市值 at the struck price</t>
        </is>
      </c>
      <c r="S189" s="114" t="n">
        <v>3.25</v>
      </c>
      <c r="T189" s="115" t="n">
        <v>1.33</v>
      </c>
      <c r="U189" s="116" t="n">
        <v>46.1</v>
      </c>
      <c r="V189" s="117" t="n">
        <v>168</v>
      </c>
      <c r="W189" s="118" t="n"/>
      <c r="X189" s="119" t="n"/>
      <c r="Y189" s="113" t="n">
        <v>183.64</v>
      </c>
      <c r="Z189" s="113" t="n">
        <v>5598054</v>
      </c>
      <c r="AA189" s="112" t="n">
        <v>2.28</v>
      </c>
      <c r="AB189" s="108" t="inlineStr">
        <is>
          <t>Harvest International Premium Value (Secondary Market) Fund SPC</t>
        </is>
      </c>
      <c r="AC189" s="108" t="inlineStr">
        <is>
          <t>harvest</t>
        </is>
      </c>
      <c r="AD189" s="112" t="n">
        <v>11.2</v>
      </c>
      <c r="AE189" s="108" t="inlineStr">
        <is>
          <t>lapsed</t>
        </is>
      </c>
      <c r="AF189" s="108" t="inlineStr">
        <is>
          <t>2023-05-28</t>
        </is>
      </c>
      <c r="AG189" s="108" t="inlineStr">
        <is>
          <t>China International Capital Corporation Hong Kong Securities Limited</t>
        </is>
      </c>
      <c r="AH189" s="108" t="inlineStr">
        <is>
          <t>China International</t>
        </is>
      </c>
      <c r="AI189" s="120" t="n">
        <v>-4.12</v>
      </c>
      <c r="AJ189" s="121" t="n">
        <v>-32.93</v>
      </c>
      <c r="AK189" s="121" t="n">
        <v>-0.32</v>
      </c>
      <c r="AL189" s="121" t="n">
        <v>-3.96</v>
      </c>
      <c r="AM189" s="121" t="n">
        <v>-30.16</v>
      </c>
      <c r="AN189" s="122" t="n"/>
      <c r="AO189" s="112" t="n">
        <v>30.48</v>
      </c>
      <c r="AP189" s="121" t="n">
        <v>-30.95</v>
      </c>
      <c r="AQ189" s="121" t="n">
        <v>1.98</v>
      </c>
      <c r="AR189" s="121" t="n">
        <v>-3.51</v>
      </c>
      <c r="AS189" s="121" t="n">
        <v>2.95</v>
      </c>
      <c r="AT189" s="121" t="n">
        <v>52.05</v>
      </c>
      <c r="AU189" s="121" t="n">
        <v>43.86</v>
      </c>
      <c r="AV189" s="121" t="n">
        <v>-29.01</v>
      </c>
      <c r="AW189" s="121" t="n">
        <v>10.5</v>
      </c>
      <c r="AX189" s="121" t="n">
        <v>9.609999999999999</v>
      </c>
      <c r="AY189" s="121" t="n">
        <v>60.27</v>
      </c>
      <c r="AZ189" s="121" t="n">
        <v>-8.52</v>
      </c>
      <c r="BA189" s="121" t="n">
        <v>-8.220000000000001</v>
      </c>
      <c r="BB189" s="108" t="inlineStr">
        <is>
          <t>China Biotech ETF (HS biotech proxy)</t>
        </is>
      </c>
      <c r="BC189" s="121" t="n">
        <v>-59.15</v>
      </c>
      <c r="BD189" s="109" t="n">
        <v>46297</v>
      </c>
      <c r="BE189" s="110" t="n">
        <v>0</v>
      </c>
      <c r="BF189" s="113" t="n">
        <v>-797.7</v>
      </c>
      <c r="BG189" s="108" t="inlineStr">
        <is>
          <t>N</t>
        </is>
      </c>
      <c r="BH189" s="108" t="inlineStr">
        <is>
          <t>n/m</t>
        </is>
      </c>
      <c r="BI189" s="122" t="n"/>
      <c r="BJ189" s="122" t="n"/>
      <c r="BK189" s="108" t="inlineStr">
        <is>
          <t>pre-rev</t>
        </is>
      </c>
      <c r="BL189" s="124">
        <f>IF('BBG Verify'!S189="","not filed; run on terminal",'BBG Verify'!S189)</f>
        <v/>
      </c>
      <c r="BM189" s="125" t="inlineStr">
        <is>
          <t>N</t>
        </is>
      </c>
      <c r="BN189" s="126">
        <f>IF('BBG Verify'!K189="","not filed; run on terminal",'BBG Verify'!K189)</f>
        <v/>
      </c>
      <c r="BO189" s="108" t="inlineStr">
        <is>
          <t>N/A</t>
        </is>
      </c>
      <c r="BP189" s="108" t="inlineStr">
        <is>
          <t>N/A</t>
        </is>
      </c>
      <c r="BQ189" s="108" t="inlineStr">
        <is>
          <t>N/A</t>
        </is>
      </c>
      <c r="BR189" s="108" t="inlineStr">
        <is>
          <t>N/A</t>
        </is>
      </c>
      <c r="BS189" s="108" t="inlineStr">
        <is>
          <t>N/A</t>
        </is>
      </c>
      <c r="BT189" s="108" t="inlineStr">
        <is>
          <t>N/A</t>
        </is>
      </c>
      <c r="BU189" s="125" t="inlineStr">
        <is>
          <t>China International Capital Corporation Hong Kong Securities Limited</t>
        </is>
      </c>
      <c r="BV189" s="108" t="inlineStr">
        <is>
          <t>China International Capital Corporation Hong Kong Securities Limited</t>
        </is>
      </c>
      <c r="BW189" s="108" t="inlineStr">
        <is>
          <t>Guotai Junan Securities (Hong Kong) Limited; CCB International Capital Limited; Guosen Securities (HK) Capital Company Limited; Fosun International Securities Limited; Patrons Securities Limited; Eddid Securities and Futures Limited; ABCI Capital Limited; Valuable Capital Limited; Futu Securities International (Hong Kong) Limited; CNCB (Hong Kong) Capital Limited; Central China International Capital Limited</t>
        </is>
      </c>
      <c r="BX189" s="108" t="inlineStr">
        <is>
          <t>ABCI Securities Company Limited; BOCI Asia Limited; CCB International Capital Limited; CEB International Capital Corporation Limited; Central China International Capital Limited; China International Capital Corporation Hong Kong Securities Limited; CNCB (Hong Kong) Capital Limited; Dragonstone Capital Management Limited; Eddid Securities and Futures Limited; Fosun International Securities Limited; Futu Securities International (Hong Kong) Limited; GF Securities (Hong Kong) Brokerage Limited</t>
        </is>
      </c>
      <c r="BY189" s="127">
        <f>HYPERLINK("https://www1.hkexnews.hk/listedco/listconews/sehk/2023/0425/2023042500039.pdf","prospectus")</f>
        <v/>
      </c>
      <c r="BZ189" s="127">
        <f>HYPERLINK("https://www1.hkexnews.hk/listedco/listconews/sehk/2023/0505/2023050500008.htm","allotment")</f>
        <v/>
      </c>
      <c r="CA189" s="127">
        <f>HYPERLINK("https://www1.hkexnews.hk/listedco/listconews/sehk/2023/0528/2023052800097.pdf","stabilisation")</f>
        <v/>
      </c>
      <c r="CB189" s="128" t="n"/>
      <c r="CC189" s="108" t="inlineStr">
        <is>
          <t>P/E: loss-making at IPO, use P/S; market cap: published listing cap used; the estimate from deal size / offer % of enlarged capital disagreed; P/S: pre-revenue issuer, no sales multiple; deal size: stated gross HK$35.0m rejected; 10,386,000 offer shares at HK$32.80 = HK$340.7m; allocation: allocation table not in this notice's format (older prose announcement); day-1 tape: volume on file; the retail multiple needs the final public split, which this notice does not state</t>
        </is>
      </c>
    </row>
    <row r="190" ht="22" customHeight="1">
      <c r="A190" s="107" t="inlineStr">
        <is>
          <t>2442</t>
        </is>
      </c>
      <c r="B190" s="108" t="inlineStr">
        <is>
          <t>EASY SMART GP</t>
        </is>
      </c>
      <c r="C190" s="108" t="inlineStr">
        <is>
          <t>怡俊集團控股</t>
        </is>
      </c>
      <c r="D190" s="108" t="inlineStr">
        <is>
          <t>Industrials</t>
        </is>
      </c>
      <c r="E190" s="108" t="inlineStr">
        <is>
          <t>Construction / engineering</t>
        </is>
      </c>
      <c r="F190" s="108" t="inlineStr">
        <is>
          <t>Security &amp; Alarm Services</t>
        </is>
      </c>
      <c r="G190" s="108" t="inlineStr">
        <is>
          <t>Standard</t>
        </is>
      </c>
      <c r="H190" s="109" t="n">
        <v>45055</v>
      </c>
      <c r="I190" s="110" t="n">
        <v>130.6</v>
      </c>
      <c r="J190" s="108" t="inlineStr">
        <is>
          <t>gross (price x shares)</t>
        </is>
      </c>
      <c r="K190" s="111" t="n">
        <v>1.28</v>
      </c>
      <c r="L190" s="111" t="n">
        <v>1.38</v>
      </c>
      <c r="M190" s="111" t="n">
        <v>1.28</v>
      </c>
      <c r="N190" s="108" t="inlineStr">
        <is>
          <t>N</t>
        </is>
      </c>
      <c r="O190" s="112" t="n">
        <v>92.8</v>
      </c>
      <c r="P190" s="112" t="n">
        <v>0</v>
      </c>
      <c r="Q190" s="113" t="n">
        <v>560</v>
      </c>
      <c r="R190" s="108" t="inlineStr">
        <is>
          <t>aastocks:上市市值 at the struck price</t>
        </is>
      </c>
      <c r="S190" s="114" t="n">
        <v>17.27</v>
      </c>
      <c r="T190" s="115" t="n">
        <v>1.05</v>
      </c>
      <c r="U190" s="116" t="n">
        <v>0</v>
      </c>
      <c r="V190" s="117" t="n">
        <v>142</v>
      </c>
      <c r="W190" s="112" t="n">
        <v>30</v>
      </c>
      <c r="X190" s="108" t="inlineStr">
        <is>
          <t>YES</t>
        </is>
      </c>
      <c r="Y190" s="113" t="n">
        <v>130.6</v>
      </c>
      <c r="Z190" s="113" t="n">
        <v>102000000</v>
      </c>
      <c r="AA190" s="112" t="n">
        <v>23.32</v>
      </c>
      <c r="AB190" s="108" t="inlineStr">
        <is>
          <t>none — no cornerstone tranche</t>
        </is>
      </c>
      <c r="AC190" s="108" t="inlineStr">
        <is>
          <t>none</t>
        </is>
      </c>
      <c r="AD190" s="112" t="n">
        <v>15</v>
      </c>
      <c r="AE190" s="108" t="inlineStr">
        <is>
          <t>lapsed (no over-allocation)</t>
        </is>
      </c>
      <c r="AF190" s="119" t="n"/>
      <c r="AG190" s="108" t="inlineStr">
        <is>
          <t>Head &amp; Shoulders Securities Limited</t>
        </is>
      </c>
      <c r="AH190" s="108" t="inlineStr">
        <is>
          <t>Head &amp;</t>
        </is>
      </c>
      <c r="AI190" s="120" t="n">
        <v>-29.69</v>
      </c>
      <c r="AJ190" s="121" t="n">
        <v>-23.44</v>
      </c>
      <c r="AK190" s="121" t="n">
        <v>-2.64</v>
      </c>
      <c r="AL190" s="121" t="n">
        <v>-32.03</v>
      </c>
      <c r="AM190" s="121" t="n">
        <v>12.64</v>
      </c>
      <c r="AN190" s="123" t="n">
        <v>1.57</v>
      </c>
      <c r="AO190" s="112" t="n">
        <v>25.29</v>
      </c>
      <c r="AP190" s="121" t="n">
        <v>20.31</v>
      </c>
      <c r="AQ190" s="121" t="n">
        <v>26.56</v>
      </c>
      <c r="AR190" s="121" t="n">
        <v>-21.09</v>
      </c>
      <c r="AS190" s="121" t="n">
        <v>57.14</v>
      </c>
      <c r="AT190" s="121" t="n">
        <v>65.31</v>
      </c>
      <c r="AU190" s="121" t="n">
        <v>3.07</v>
      </c>
      <c r="AV190" s="121" t="n">
        <v>20.66</v>
      </c>
      <c r="AW190" s="121" t="n">
        <v>30.9</v>
      </c>
      <c r="AX190" s="121" t="n">
        <v>-21.01</v>
      </c>
      <c r="AY190" s="121" t="n">
        <v>67.05</v>
      </c>
      <c r="AZ190" s="121" t="n">
        <v>-4.34</v>
      </c>
      <c r="BA190" s="121" t="n">
        <v>-1.74</v>
      </c>
      <c r="BB190" s="108" t="inlineStr">
        <is>
          <t>Hang Seng Commerce &amp; Industry sub-index</t>
        </is>
      </c>
      <c r="BC190" s="121" t="n">
        <v>4118.75</v>
      </c>
      <c r="BD190" s="109" t="n">
        <v>46297</v>
      </c>
      <c r="BE190" s="110" t="n">
        <v>240.5</v>
      </c>
      <c r="BF190" s="113" t="n">
        <v>28.8</v>
      </c>
      <c r="BG190" s="108" t="inlineStr">
        <is>
          <t>Y</t>
        </is>
      </c>
      <c r="BH190" s="123" t="n">
        <v>19.4</v>
      </c>
      <c r="BI190" s="122" t="n"/>
      <c r="BJ190" s="122" t="n"/>
      <c r="BK190" s="123" t="n">
        <v>2.3</v>
      </c>
      <c r="BL190" s="124">
        <f>IF('BBG Verify'!S190="","not filed; run on terminal",'BBG Verify'!S190)</f>
        <v/>
      </c>
      <c r="BM190" s="125" t="inlineStr">
        <is>
          <t>N</t>
        </is>
      </c>
      <c r="BN190" s="126">
        <f>IF('BBG Verify'!K190="","not filed; run on terminal",'BBG Verify'!K190)</f>
        <v/>
      </c>
      <c r="BO190" s="108" t="inlineStr">
        <is>
          <t>N/A</t>
        </is>
      </c>
      <c r="BP190" s="108" t="inlineStr">
        <is>
          <t>N/A</t>
        </is>
      </c>
      <c r="BQ190" s="108" t="inlineStr">
        <is>
          <t>N/A</t>
        </is>
      </c>
      <c r="BR190" s="108" t="inlineStr">
        <is>
          <t>N/A</t>
        </is>
      </c>
      <c r="BS190" s="108" t="inlineStr">
        <is>
          <t>N/A</t>
        </is>
      </c>
      <c r="BT190" s="108" t="inlineStr">
        <is>
          <t>N/A</t>
        </is>
      </c>
      <c r="BU190" s="125" t="inlineStr">
        <is>
          <t>Grande Capital Limited</t>
        </is>
      </c>
      <c r="BV190" s="108" t="inlineStr">
        <is>
          <t>Grande Capital Limited</t>
        </is>
      </c>
      <c r="BW190" s="108" t="inlineStr">
        <is>
          <t>Grande Capital Limited; Head &amp; Shoulders Securities Limited</t>
        </is>
      </c>
      <c r="BX190" s="108" t="inlineStr">
        <is>
          <t>Astrum Capital Management Limited; Beta International Securities Limited; CMBC Securities Company Limited; Eddid Securities and Futures Limited; Grande Capital Limited; Head &amp; Shoulders Securities Limited; Maxa Capital Limited</t>
        </is>
      </c>
      <c r="BY190" s="127">
        <f>HYPERLINK("https://www1.hkexnews.hk/listedco/listconews/sehk/2023/0425/2023042500029.pdf","prospectus")</f>
        <v/>
      </c>
      <c r="BZ190" s="127">
        <f>HYPERLINK("https://www1.hkexnews.hk/listedco/listconews/sehk/2023/0508/2023050800004.htm","allotment")</f>
        <v/>
      </c>
      <c r="CA190" s="127">
        <f>HYPERLINK("https://www1.hkexnews.hk/listedco/listconews/sehk/2023/0529/2023052900093.pdf","stabilisation")</f>
        <v/>
      </c>
      <c r="CB190" s="128" t="n"/>
      <c r="CC190" s="108" t="inlineStr">
        <is>
          <t>greenshoe: outcome published; expiry date not in the notice; sponsor: English name not in the filing; AAStocks 保薦人 shown; market cap: published listing cap used; the estimate from deal size / offer % of enlarged capital disagreed; cornerstone list: no cornerstone tranche</t>
        </is>
      </c>
    </row>
    <row r="191" ht="22" customHeight="1">
      <c r="A191" s="107" t="inlineStr">
        <is>
          <t>2486</t>
        </is>
      </c>
      <c r="B191" s="108" t="inlineStr">
        <is>
          <t>PLUS GP HOLDING</t>
        </is>
      </c>
      <c r="C191" s="108" t="inlineStr">
        <is>
          <t>普樂師集團控股</t>
        </is>
      </c>
      <c r="D191" s="108" t="inlineStr">
        <is>
          <t>TMT-other</t>
        </is>
      </c>
      <c r="E191" s="108" t="inlineStr">
        <is>
          <t>Media / advertising</t>
        </is>
      </c>
      <c r="F191" s="108" t="inlineStr">
        <is>
          <t>Advertising</t>
        </is>
      </c>
      <c r="G191" s="108" t="inlineStr">
        <is>
          <t>Standard</t>
        </is>
      </c>
      <c r="H191" s="109" t="n">
        <v>45057</v>
      </c>
      <c r="I191" s="110" t="n">
        <v>265</v>
      </c>
      <c r="J191" s="108" t="inlineStr">
        <is>
          <t>gross (price x shares)</t>
        </is>
      </c>
      <c r="K191" s="111" t="n">
        <v>10.6</v>
      </c>
      <c r="L191" s="111" t="n">
        <v>11.8</v>
      </c>
      <c r="M191" s="111" t="n">
        <v>10.6</v>
      </c>
      <c r="N191" s="108" t="inlineStr">
        <is>
          <t>N</t>
        </is>
      </c>
      <c r="O191" s="112" t="n">
        <v>89.8</v>
      </c>
      <c r="P191" s="112" t="n">
        <v>0</v>
      </c>
      <c r="Q191" s="113" t="n">
        <v>1192.1</v>
      </c>
      <c r="R191" s="108" t="inlineStr">
        <is>
          <t>prospectus:stated market capitalisation, rescaled to the offer price</t>
        </is>
      </c>
      <c r="S191" s="114" t="n">
        <v>2.2</v>
      </c>
      <c r="T191" s="115" t="n">
        <v>1.2</v>
      </c>
      <c r="U191" s="116" t="n">
        <v>0</v>
      </c>
      <c r="V191" s="117" t="n">
        <v>112</v>
      </c>
      <c r="W191" s="118" t="n"/>
      <c r="X191" s="119" t="n"/>
      <c r="Y191" s="113" t="n">
        <v>265</v>
      </c>
      <c r="Z191" s="113" t="n">
        <v>25000000</v>
      </c>
      <c r="AA191" s="112" t="n">
        <v>22.23</v>
      </c>
      <c r="AB191" s="108" t="inlineStr">
        <is>
          <t>none — no cornerstone tranche</t>
        </is>
      </c>
      <c r="AC191" s="108" t="inlineStr">
        <is>
          <t>none</t>
        </is>
      </c>
      <c r="AD191" s="112" t="n">
        <v>11.98</v>
      </c>
      <c r="AE191" s="108" t="inlineStr">
        <is>
          <t>lapsed</t>
        </is>
      </c>
      <c r="AF191" s="108" t="inlineStr">
        <is>
          <t>2023-06-03</t>
        </is>
      </c>
      <c r="AG191" s="108" t="inlineStr">
        <is>
          <t>Jefferies Hong Kong Limited</t>
        </is>
      </c>
      <c r="AH191" s="108" t="inlineStr">
        <is>
          <t>Jefferies</t>
        </is>
      </c>
      <c r="AI191" s="120" t="n">
        <v>-3.77</v>
      </c>
      <c r="AJ191" s="121" t="n">
        <v>-24.62</v>
      </c>
      <c r="AK191" s="121" t="n">
        <v>-0.09</v>
      </c>
      <c r="AL191" s="121" t="n">
        <v>-1.89</v>
      </c>
      <c r="AM191" s="121" t="n">
        <v>-23.17</v>
      </c>
      <c r="AN191" s="122" t="n"/>
      <c r="AO191" s="112" t="n">
        <v>34.62</v>
      </c>
      <c r="AP191" s="121" t="n">
        <v>-29.25</v>
      </c>
      <c r="AQ191" s="121" t="n">
        <v>-43.68</v>
      </c>
      <c r="AR191" s="121" t="n">
        <v>-50</v>
      </c>
      <c r="AS191" s="121" t="n">
        <v>-6.14</v>
      </c>
      <c r="AT191" s="121" t="n">
        <v>-25.29</v>
      </c>
      <c r="AU191" s="121" t="n">
        <v>-33.67</v>
      </c>
      <c r="AV191" s="121" t="n">
        <v>-29.07</v>
      </c>
      <c r="AW191" s="121" t="n">
        <v>-41.87</v>
      </c>
      <c r="AX191" s="121" t="n">
        <v>-46.52</v>
      </c>
      <c r="AY191" s="121" t="n">
        <v>-23.57</v>
      </c>
      <c r="AZ191" s="121" t="n">
        <v>-1.81</v>
      </c>
      <c r="BA191" s="121" t="n">
        <v>-1.72</v>
      </c>
      <c r="BB191" s="108" t="inlineStr">
        <is>
          <t>Hang Seng Index</t>
        </is>
      </c>
      <c r="BC191" s="121" t="n">
        <v>-63.68</v>
      </c>
      <c r="BD191" s="109" t="n">
        <v>46297</v>
      </c>
      <c r="BE191" s="110" t="n">
        <v>679.9</v>
      </c>
      <c r="BF191" s="113" t="n">
        <v>58</v>
      </c>
      <c r="BG191" s="108" t="inlineStr">
        <is>
          <t>Y</t>
        </is>
      </c>
      <c r="BH191" s="123" t="n">
        <v>20.6</v>
      </c>
      <c r="BI191" s="122" t="n"/>
      <c r="BJ191" s="123" t="n">
        <v>19.6</v>
      </c>
      <c r="BK191" s="123" t="n">
        <v>1.8</v>
      </c>
      <c r="BL191" s="124">
        <f>IF('BBG Verify'!S191="","not filed; run on terminal",'BBG Verify'!S191)</f>
        <v/>
      </c>
      <c r="BM191" s="125" t="inlineStr">
        <is>
          <t>N</t>
        </is>
      </c>
      <c r="BN191" s="126">
        <f>IF('BBG Verify'!K191="","not filed; run on terminal",'BBG Verify'!K191)</f>
        <v/>
      </c>
      <c r="BO191" s="108" t="inlineStr">
        <is>
          <t>N/A</t>
        </is>
      </c>
      <c r="BP191" s="108" t="inlineStr">
        <is>
          <t>N/A</t>
        </is>
      </c>
      <c r="BQ191" s="108" t="inlineStr">
        <is>
          <t>N/A</t>
        </is>
      </c>
      <c r="BR191" s="108" t="inlineStr">
        <is>
          <t>N/A</t>
        </is>
      </c>
      <c r="BS191" s="108" t="inlineStr">
        <is>
          <t>N/A</t>
        </is>
      </c>
      <c r="BT191" s="108" t="inlineStr">
        <is>
          <t>N/A</t>
        </is>
      </c>
      <c r="BU191" s="125" t="inlineStr">
        <is>
          <t>Jefferies Hong Kong Limited; Guotai Junan Capital Limited</t>
        </is>
      </c>
      <c r="BV191" s="108" t="inlineStr">
        <is>
          <t>Jefferies Hong Kong Limited; Guotai Junan Capital Limited</t>
        </is>
      </c>
      <c r="BW191" s="108" t="inlineStr">
        <is>
          <t>Jefferies Hong Kong Limited; Guotai Junan Securities (Hong Kong) Limited; CCB International Capital Limited; CMB Int ernational Capital Limited; ABCI Capital Limited; SPDB International Capital Limited</t>
        </is>
      </c>
      <c r="BX191" s="108" t="inlineStr">
        <is>
          <t>ABCI Securities Company Limited; CCB International Capital Limited; Conrad Investment Services Limited; CMB International Capital Corporation Limited; Guotai Junan Securities (Hong Kong) Limited; Jefferies Hong Kong Limited; Livermore Holdings Limited; SBI China Capital Financial Services Limited; SPDB International Capital Limited</t>
        </is>
      </c>
      <c r="BY191" s="127">
        <f>HYPERLINK("https://www1.hkexnews.hk/listedco/listconews/sehk/2023/0428/2023042800147.pdf","prospectus")</f>
        <v/>
      </c>
      <c r="BZ191" s="127">
        <f>HYPERLINK("https://www1.hkexnews.hk/listedco/listconews/sehk/2023/0510/2023051000024.htm","allotment")</f>
        <v/>
      </c>
      <c r="CA191" s="127">
        <f>HYPERLINK("https://www1.hkexnews.hk/listedco/listconews/sehk/2023/0604/2023060400005.pdf","stabilisation")</f>
        <v/>
      </c>
      <c r="CB191" s="128" t="n"/>
      <c r="CC191" s="108" t="inlineStr">
        <is>
          <t>market cap: prospectus cap HK$1,327m at HK$11.80, rescaled to HK$10.60; cornerstone list: no cornerstone tranche; allocation: allocation table not in this notice's format (older prose announcement); day-1 tape: volume on file; the retail multiple needs the final public split, which this notice does not state</t>
        </is>
      </c>
    </row>
    <row r="192" ht="22" customHeight="1">
      <c r="A192" s="107" t="inlineStr">
        <is>
          <t>9930</t>
        </is>
      </c>
      <c r="B192" s="108" t="inlineStr">
        <is>
          <t>HORIZON CD</t>
        </is>
      </c>
      <c r="C192" s="108" t="inlineStr">
        <is>
          <t>宏信建發</t>
        </is>
      </c>
      <c r="D192" s="108" t="inlineStr">
        <is>
          <t>Industrials</t>
        </is>
      </c>
      <c r="E192" s="108" t="inlineStr">
        <is>
          <t>Capital goods / machinery</t>
        </is>
      </c>
      <c r="F192" s="108" t="inlineStr">
        <is>
          <t>Construction &amp; Farm Machinery &amp; Heavy Trucks</t>
        </is>
      </c>
      <c r="G192" s="108" t="inlineStr">
        <is>
          <t>Standard</t>
        </is>
      </c>
      <c r="H192" s="109" t="n">
        <v>45071</v>
      </c>
      <c r="I192" s="110" t="n">
        <v>1648.4</v>
      </c>
      <c r="J192" s="108" t="inlineStr">
        <is>
          <t>gross (price x shares)</t>
        </is>
      </c>
      <c r="K192" s="111" t="n">
        <v>4.52</v>
      </c>
      <c r="L192" s="111" t="n">
        <v>4.8</v>
      </c>
      <c r="M192" s="111" t="n">
        <v>4.52</v>
      </c>
      <c r="N192" s="108" t="inlineStr">
        <is>
          <t>N</t>
        </is>
      </c>
      <c r="O192" s="112" t="n">
        <v>94.2</v>
      </c>
      <c r="P192" s="112" t="n">
        <v>0</v>
      </c>
      <c r="Q192" s="113" t="n">
        <v>12778.3</v>
      </c>
      <c r="R192" s="108" t="inlineStr">
        <is>
          <t>derived:deal size / offer % of enlarged capital</t>
        </is>
      </c>
      <c r="S192" s="114" t="n">
        <v>0.12</v>
      </c>
      <c r="T192" s="115" t="n">
        <v>1.47</v>
      </c>
      <c r="U192" s="116" t="n">
        <v>23.7</v>
      </c>
      <c r="V192" s="117" t="n">
        <v>122</v>
      </c>
      <c r="W192" s="112" t="n">
        <v>1.23</v>
      </c>
      <c r="X192" s="108" t="inlineStr">
        <is>
          <t>NO</t>
        </is>
      </c>
      <c r="Y192" s="113" t="n">
        <v>1257.73</v>
      </c>
      <c r="Z192" s="113" t="n">
        <v>278261522</v>
      </c>
      <c r="AA192" s="112" t="n">
        <v>9.84</v>
      </c>
      <c r="AB192" s="108" t="inlineStr">
        <is>
          <t>HK Dongbin Joint Victory Development Co. Limited; LGMG International Limited; Shanghai Gold Ring Enterprise Group Co., Ltd; Shanghai Putuo Science and Technology Investment Co., Ltd; Xinheng Holding Limited; Zhejiang Dingli Machinery Co., Ltd; Zoomlion International Trading (H.K.) Co., Limited</t>
        </is>
      </c>
      <c r="AC192" s="108" t="inlineStr">
        <is>
          <t>dongbin;lgmg;shanghai-gold;shanghai-putuo;xinheng;zhejiang;zoomlion</t>
        </is>
      </c>
      <c r="AD192" s="112" t="n">
        <v>5.52</v>
      </c>
      <c r="AE192" s="108" t="inlineStr">
        <is>
          <t>lapsed (no over-allocation)</t>
        </is>
      </c>
      <c r="AF192" s="119" t="n"/>
      <c r="AG192" s="108" t="inlineStr">
        <is>
          <t>Huatai Financial Holdings</t>
        </is>
      </c>
      <c r="AH192" s="108" t="inlineStr">
        <is>
          <t>Huatai</t>
        </is>
      </c>
      <c r="AI192" s="120" t="n">
        <v>-20.35</v>
      </c>
      <c r="AJ192" s="121" t="n">
        <v>-28.98</v>
      </c>
      <c r="AK192" s="121" t="n">
        <v>-2.33</v>
      </c>
      <c r="AL192" s="121" t="n">
        <v>-27.88</v>
      </c>
      <c r="AM192" s="121" t="n">
        <v>-1.53</v>
      </c>
      <c r="AN192" s="123" t="n">
        <v>0.79</v>
      </c>
      <c r="AO192" s="112" t="n">
        <v>18.71</v>
      </c>
      <c r="AP192" s="121" t="n">
        <v>-41.37</v>
      </c>
      <c r="AQ192" s="121" t="n">
        <v>-44.69</v>
      </c>
      <c r="AR192" s="121" t="n">
        <v>-36.95</v>
      </c>
      <c r="AS192" s="121" t="n">
        <v>-17.45</v>
      </c>
      <c r="AT192" s="121" t="n">
        <v>-22.12</v>
      </c>
      <c r="AU192" s="121" t="n">
        <v>-11.22</v>
      </c>
      <c r="AV192" s="121" t="n">
        <v>-40.72</v>
      </c>
      <c r="AW192" s="121" t="n">
        <v>-45.27</v>
      </c>
      <c r="AX192" s="121" t="n">
        <v>-35.49</v>
      </c>
      <c r="AY192" s="121" t="n">
        <v>-25.1</v>
      </c>
      <c r="AZ192" s="121" t="n">
        <v>0.58</v>
      </c>
      <c r="BA192" s="121" t="n">
        <v>2.98</v>
      </c>
      <c r="BB192" s="108" t="inlineStr">
        <is>
          <t>Hang Seng Commerce &amp; Industry sub-index</t>
        </is>
      </c>
      <c r="BC192" s="121" t="n">
        <v>-85.29000000000001</v>
      </c>
      <c r="BD192" s="109" t="n">
        <v>46297</v>
      </c>
      <c r="BE192" s="110" t="n">
        <v>8665.4</v>
      </c>
      <c r="BF192" s="113" t="n">
        <v>733.2</v>
      </c>
      <c r="BG192" s="108" t="inlineStr">
        <is>
          <t>Y</t>
        </is>
      </c>
      <c r="BH192" s="123" t="n">
        <v>17.4</v>
      </c>
      <c r="BI192" s="123" t="n">
        <v>12.4</v>
      </c>
      <c r="BJ192" s="123" t="n">
        <v>14.7</v>
      </c>
      <c r="BK192" s="123" t="n">
        <v>1.5</v>
      </c>
      <c r="BL192" s="124">
        <f>IF('BBG Verify'!S192="","not filed; run on terminal",'BBG Verify'!S192)</f>
        <v/>
      </c>
      <c r="BM192" s="125" t="inlineStr">
        <is>
          <t>N</t>
        </is>
      </c>
      <c r="BN192" s="126">
        <f>IF('BBG Verify'!K192="","not filed; run on terminal",'BBG Verify'!K192)</f>
        <v/>
      </c>
      <c r="BO192" s="108" t="inlineStr">
        <is>
          <t>N/A</t>
        </is>
      </c>
      <c r="BP192" s="108" t="inlineStr">
        <is>
          <t>N/A</t>
        </is>
      </c>
      <c r="BQ192" s="108" t="inlineStr">
        <is>
          <t>N/A</t>
        </is>
      </c>
      <c r="BR192" s="108" t="inlineStr">
        <is>
          <t>N/A</t>
        </is>
      </c>
      <c r="BS192" s="108" t="inlineStr">
        <is>
          <t>N/A</t>
        </is>
      </c>
      <c r="BT192" s="108" t="inlineStr">
        <is>
          <t>N/A</t>
        </is>
      </c>
      <c r="BU192" s="125" t="inlineStr">
        <is>
          <t>Huatai Financial Holdings (Hong Kong) Limited; Citigroup Global Markets Asia Limited; CMB International Capital Limited; DBS Asia Capital Limited</t>
        </is>
      </c>
      <c r="BV192" s="108" t="inlineStr">
        <is>
          <t>Huatai Financial Holdings (Hong Kong) Limited; CMB International Capital Limited; Citigroup Global Markets Asia Limited; DBS Asia Capital Limited</t>
        </is>
      </c>
      <c r="BW192" s="108" t="inlineStr">
        <is>
          <t>Huatai Financial Holdings (Hong Kong) Limited; Citigroup Global Markets Asia Limited; CMB International Capital Limited; DBS Asia Capital Limited; 102 – CMB International Capital Limited; BOCI Asia Limited; Shenwan Hongyuan Securities (H.K.) Limited; Guotai Junan Securities (Hong Kong) Limited; BOCOM International Securities Limited; CCB International Capital Limited; ABCI Capital Limited; Zhongtai International Securities Limited</t>
        </is>
      </c>
      <c r="BX192" s="108" t="inlineStr">
        <is>
          <t>ABCI Securities Company Limited; Beta International Securities Limited; BOCI Asia Limited; CCB International Capital Limited; Citigroup Global Markets Asia Limited; CMB International Capital Limited; DBS Asia Capital Limited; Futu Securities International (Hong Kong) Limited; Guotai Junan Securities (Hong Kong) Limited; Huatai Financial Holdings (Hong Kong) Limited; Shenwan Hongyuan Securities (H.K.) Limited; Tiger Brokers (HK) Global Limited</t>
        </is>
      </c>
      <c r="BY192" s="127">
        <f>HYPERLINK("https://www1.hkexnews.hk/listedco/listconews/sehk/2023/0512/2023051200007.pdf","prospectus")</f>
        <v/>
      </c>
      <c r="BZ192" s="127">
        <f>HYPERLINK("https://www1.hkexnews.hk/listedco/listconews/sehk/2023/0524/2023052400046.htm","allotment")</f>
        <v/>
      </c>
      <c r="CA192" s="127">
        <f>HYPERLINK("https://www1.hkexnews.hk/listedco/listconews/sehk/2023/0619/2023061900189.pdf","stabilisation")</f>
        <v/>
      </c>
      <c r="CB192" s="128" t="n"/>
      <c r="CC192" s="108" t="inlineStr">
        <is>
          <t>greenshoe: outcome published; expiry date not in the notice; cornerstone: % from the prospectus; AAStocks table includes non-cornerstone orders</t>
        </is>
      </c>
    </row>
    <row r="193" ht="22" customHeight="1">
      <c r="A193" s="107" t="inlineStr">
        <is>
          <t>2416</t>
        </is>
      </c>
      <c r="B193" s="108" t="inlineStr">
        <is>
          <t>EDIANYUN</t>
        </is>
      </c>
      <c r="C193" s="108" t="inlineStr">
        <is>
          <t>易點雲</t>
        </is>
      </c>
      <c r="D193" s="108" t="inlineStr">
        <is>
          <t>Tech/AI</t>
        </is>
      </c>
      <c r="E193" s="108" t="inlineStr">
        <is>
          <t>SaaS / enterprise software</t>
        </is>
      </c>
      <c r="F193" s="108" t="inlineStr">
        <is>
          <t>IT Consulting &amp; Other Services</t>
        </is>
      </c>
      <c r="G193" s="108" t="inlineStr">
        <is>
          <t>Standard</t>
        </is>
      </c>
      <c r="H193" s="109" t="n">
        <v>45071</v>
      </c>
      <c r="I193" s="110" t="n">
        <v>596.9</v>
      </c>
      <c r="J193" s="108" t="inlineStr">
        <is>
          <t>gross (price x shares)</t>
        </is>
      </c>
      <c r="K193" s="111" t="n">
        <v>10</v>
      </c>
      <c r="L193" s="111" t="n">
        <v>12</v>
      </c>
      <c r="M193" s="111" t="n">
        <v>10.19</v>
      </c>
      <c r="N193" s="108" t="inlineStr">
        <is>
          <t>N</t>
        </is>
      </c>
      <c r="O193" s="112" t="n">
        <v>84.90000000000001</v>
      </c>
      <c r="P193" s="112" t="n">
        <v>9.5</v>
      </c>
      <c r="Q193" s="113" t="n">
        <v>6717.9</v>
      </c>
      <c r="R193" s="108" t="inlineStr">
        <is>
          <t>aastocks:上市市值 at the struck price</t>
        </is>
      </c>
      <c r="S193" s="114" t="n">
        <v>0.35</v>
      </c>
      <c r="T193" s="115" t="n">
        <v>1.2</v>
      </c>
      <c r="U193" s="116" t="n">
        <v>26.76</v>
      </c>
      <c r="V193" s="117" t="n">
        <v>102</v>
      </c>
      <c r="W193" s="118" t="n"/>
      <c r="X193" s="119" t="n"/>
      <c r="Y193" s="113" t="n">
        <v>437.17</v>
      </c>
      <c r="Z193" s="113" t="n">
        <v>42900330</v>
      </c>
      <c r="AA193" s="112" t="n">
        <v>6.51</v>
      </c>
      <c r="AB193" s="108" t="inlineStr">
        <is>
          <t>Chengdu High-tech Orinno Youchan Equity Investment Fund Partnership (LP)</t>
        </is>
      </c>
      <c r="AC193" s="108" t="inlineStr">
        <is>
          <t>chengdu</t>
        </is>
      </c>
      <c r="AD193" s="112" t="n">
        <v>5.34</v>
      </c>
      <c r="AE193" s="108" t="inlineStr">
        <is>
          <t>lapsed (no over-allocation)</t>
        </is>
      </c>
      <c r="AF193" s="108" t="inlineStr">
        <is>
          <t>2023-06-17</t>
        </is>
      </c>
      <c r="AG193" s="108" t="inlineStr">
        <is>
          <t>China International Capital Corporation Hong Kong Securities Limited</t>
        </is>
      </c>
      <c r="AH193" s="108" t="inlineStr">
        <is>
          <t>China International</t>
        </is>
      </c>
      <c r="AI193" s="120" t="n">
        <v>-4.02</v>
      </c>
      <c r="AJ193" s="121" t="n">
        <v>-3.04</v>
      </c>
      <c r="AK193" s="121" t="n">
        <v>-1.78</v>
      </c>
      <c r="AL193" s="121" t="n">
        <v>-7.16</v>
      </c>
      <c r="AM193" s="121" t="n">
        <v>4.44</v>
      </c>
      <c r="AN193" s="122" t="n"/>
      <c r="AO193" s="112" t="n">
        <v>8.67</v>
      </c>
      <c r="AP193" s="121" t="n">
        <v>7.95</v>
      </c>
      <c r="AQ193" s="121" t="n">
        <v>2.65</v>
      </c>
      <c r="AR193" s="121" t="n">
        <v>-36.11</v>
      </c>
      <c r="AS193" s="121" t="n">
        <v>11.33</v>
      </c>
      <c r="AT193" s="121" t="n">
        <v>5.87</v>
      </c>
      <c r="AU193" s="121" t="n">
        <v>-34.11</v>
      </c>
      <c r="AV193" s="121" t="n">
        <v>6.38</v>
      </c>
      <c r="AW193" s="121" t="n">
        <v>-2.7</v>
      </c>
      <c r="AX193" s="121" t="n">
        <v>-44.05</v>
      </c>
      <c r="AY193" s="121" t="n">
        <v>-1.39</v>
      </c>
      <c r="AZ193" s="121" t="n">
        <v>5.35</v>
      </c>
      <c r="BA193" s="121" t="n">
        <v>7.26</v>
      </c>
      <c r="BB193" s="108" t="inlineStr">
        <is>
          <t>HSTECH (Hang Seng TECH ETF)</t>
        </is>
      </c>
      <c r="BC193" s="121" t="n">
        <v>-71.84</v>
      </c>
      <c r="BD193" s="109" t="n">
        <v>46297</v>
      </c>
      <c r="BE193" s="110" t="n">
        <v>1509.1</v>
      </c>
      <c r="BF193" s="113" t="n">
        <v>-672.8</v>
      </c>
      <c r="BG193" s="108" t="inlineStr">
        <is>
          <t>N</t>
        </is>
      </c>
      <c r="BH193" s="108" t="inlineStr">
        <is>
          <t>n/m</t>
        </is>
      </c>
      <c r="BI193" s="122" t="n"/>
      <c r="BJ193" s="123" t="n">
        <v>12.7</v>
      </c>
      <c r="BK193" s="123" t="n">
        <v>4.5</v>
      </c>
      <c r="BL193" s="124">
        <f>IF('BBG Verify'!S193="","not filed; run on terminal",'BBG Verify'!S193)</f>
        <v/>
      </c>
      <c r="BM193" s="125" t="inlineStr">
        <is>
          <t>N</t>
        </is>
      </c>
      <c r="BN193" s="126">
        <f>IF('BBG Verify'!K193="","not filed; run on terminal",'BBG Verify'!K193)</f>
        <v/>
      </c>
      <c r="BO193" s="108" t="inlineStr">
        <is>
          <t>N/A</t>
        </is>
      </c>
      <c r="BP193" s="108" t="inlineStr">
        <is>
          <t>N/A</t>
        </is>
      </c>
      <c r="BQ193" s="108" t="inlineStr">
        <is>
          <t>N/A</t>
        </is>
      </c>
      <c r="BR193" s="108" t="inlineStr">
        <is>
          <t>N/A</t>
        </is>
      </c>
      <c r="BS193" s="108" t="inlineStr">
        <is>
          <t>N/A</t>
        </is>
      </c>
      <c r="BT193" s="108" t="inlineStr">
        <is>
          <t>N/A</t>
        </is>
      </c>
      <c r="BU193" s="125" t="inlineStr">
        <is>
          <t>China International Capital Corporation Hong Kong Securities Limited</t>
        </is>
      </c>
      <c r="BV193" s="108" t="inlineStr">
        <is>
          <t>China International Capital Corporation Hong Kong Securities Limited</t>
        </is>
      </c>
      <c r="BW193" s="108" t="inlineStr">
        <is>
          <t>China International Capital Corporation Hong Kong Securities Limited; Credit Suisse (Hong Kong) Limited; CLSA Limited</t>
        </is>
      </c>
      <c r="BX193" s="108" t="inlineStr">
        <is>
          <t>China International Capital Corporation Hong Kong Securities Limited; CLSA Limited; Credit Suisse (Hong Kong) Limited; Dongxing Securities (Hong Kong) Company Limited; Futu Securities International (Hong Kong) Limited; Tiger Brokers (HK) Global Limited; Valuable Capital Limited</t>
        </is>
      </c>
      <c r="BY193" s="127">
        <f>HYPERLINK("https://www1.hkexnews.hk/listedco/listconews/sehk/2023/0515/2023051500005.pdf","prospectus")</f>
        <v/>
      </c>
      <c r="BZ193" s="127">
        <f>HYPERLINK("https://www1.hkexnews.hk/listedco/listconews/sehk/2023/0524/2023052400060.htm","allotment")</f>
        <v/>
      </c>
      <c r="CA193" s="127">
        <f>HYPERLINK("https://www1.hkexnews.hk/listedco/listconews/sehk/2023/0618/2023061800019.pdf","stabilisation")</f>
        <v/>
      </c>
      <c r="CB193" s="128" t="n"/>
      <c r="CC193" s="108" t="inlineStr">
        <is>
          <t>P/E: loss-making at IPO, use P/S; sponsor: English name not in the filing; AAStocks 保薦人 shown; market cap: published listing cap used; the estimate from stated market capitalisation, rescaled to the offer price disagreed; allocation: allocation table not in this notice's format (older prose announcement); day-1 tape: volume on file; the retail multiple needs the final public split, which this notice does not state</t>
        </is>
      </c>
    </row>
    <row r="194" ht="22" customHeight="1">
      <c r="A194" s="107" t="inlineStr">
        <is>
          <t>2487</t>
        </is>
      </c>
      <c r="B194" s="108" t="inlineStr">
        <is>
          <t>CUTIA-B</t>
        </is>
      </c>
      <c r="C194" s="108" t="inlineStr">
        <is>
          <t>科笛－Ｂ</t>
        </is>
      </c>
      <c r="D194" s="108" t="inlineStr">
        <is>
          <t>Healthcare</t>
        </is>
      </c>
      <c r="E194" s="108" t="inlineStr">
        <is>
          <t>Biotech pre-revenue (18A)</t>
        </is>
      </c>
      <c r="F194" s="108" t="inlineStr">
        <is>
          <t>Biotechnology - Pharmaceuticals</t>
        </is>
      </c>
      <c r="G194" s="108" t="inlineStr">
        <is>
          <t>18A</t>
        </is>
      </c>
      <c r="H194" s="109" t="n">
        <v>45089</v>
      </c>
      <c r="I194" s="110" t="n">
        <v>465</v>
      </c>
      <c r="J194" s="108" t="inlineStr">
        <is>
          <t>gross (price x shares)</t>
        </is>
      </c>
      <c r="K194" s="129" t="n"/>
      <c r="L194" s="111" t="n">
        <v>21.85</v>
      </c>
      <c r="M194" s="111" t="n">
        <v>21.85</v>
      </c>
      <c r="N194" s="108" t="inlineStr">
        <is>
          <t>Y</t>
        </is>
      </c>
      <c r="O194" s="112" t="n">
        <v>100</v>
      </c>
      <c r="P194" s="118" t="n"/>
      <c r="Q194" s="113" t="n">
        <v>6278</v>
      </c>
      <c r="R194" s="108" t="inlineStr">
        <is>
          <t>prospectus:stated market capitalisation</t>
        </is>
      </c>
      <c r="S194" s="114" t="n">
        <v>1.41</v>
      </c>
      <c r="T194" s="115" t="n">
        <v>1.07</v>
      </c>
      <c r="U194" s="116" t="n">
        <v>38.9</v>
      </c>
      <c r="V194" s="117" t="n">
        <v>112</v>
      </c>
      <c r="W194" s="118" t="n"/>
      <c r="X194" s="119" t="n"/>
      <c r="Y194" s="113" t="n">
        <v>284.12</v>
      </c>
      <c r="Z194" s="113" t="n">
        <v>13003180</v>
      </c>
      <c r="AA194" s="112" t="n">
        <v>4.53</v>
      </c>
      <c r="AB194" s="108" t="inlineStr">
        <is>
          <t>Harvest Great Bay Investment SP; So-Young Hong Kong Limited; Wuxi Xinhongdi Venture Capital Partnership (Limited Partnership)</t>
        </is>
      </c>
      <c r="AC194" s="108" t="inlineStr">
        <is>
          <t>harvest;so;wuxi</t>
        </is>
      </c>
      <c r="AD194" s="112" t="n">
        <v>18.67</v>
      </c>
      <c r="AE194" s="108" t="inlineStr">
        <is>
          <t>lapsed</t>
        </is>
      </c>
      <c r="AF194" s="108" t="inlineStr">
        <is>
          <t>2023-07-05</t>
        </is>
      </c>
      <c r="AG194" s="108" t="inlineStr">
        <is>
          <t>China International Capital Corporation Hong Kong Securities Limited</t>
        </is>
      </c>
      <c r="AH194" s="108" t="inlineStr">
        <is>
          <t>China International</t>
        </is>
      </c>
      <c r="AI194" s="120" t="n">
        <v>-1.6</v>
      </c>
      <c r="AJ194" s="121" t="n">
        <v>0.46</v>
      </c>
      <c r="AK194" s="121" t="n">
        <v>-1.06</v>
      </c>
      <c r="AL194" s="121" t="n">
        <v>-0.23</v>
      </c>
      <c r="AM194" s="121" t="n">
        <v>0.6899999999999999</v>
      </c>
      <c r="AN194" s="122" t="n"/>
      <c r="AO194" s="112" t="n">
        <v>13.99</v>
      </c>
      <c r="AP194" s="121" t="n">
        <v>38.67</v>
      </c>
      <c r="AQ194" s="121" t="n">
        <v>-1.6</v>
      </c>
      <c r="AR194" s="121" t="n">
        <v>1.37</v>
      </c>
      <c r="AS194" s="121" t="n">
        <v>38.04</v>
      </c>
      <c r="AT194" s="121" t="n">
        <v>-2.05</v>
      </c>
      <c r="AU194" s="121" t="n">
        <v>0.91</v>
      </c>
      <c r="AV194" s="121" t="n">
        <v>36.95</v>
      </c>
      <c r="AW194" s="121" t="n">
        <v>2.24</v>
      </c>
      <c r="AX194" s="121" t="n">
        <v>7.31</v>
      </c>
      <c r="AY194" s="121" t="n">
        <v>0.76</v>
      </c>
      <c r="AZ194" s="121" t="n">
        <v>-3.84</v>
      </c>
      <c r="BA194" s="121" t="n">
        <v>-2.81</v>
      </c>
      <c r="BB194" s="108" t="inlineStr">
        <is>
          <t>China Biotech ETF (HS biotech proxy)</t>
        </is>
      </c>
      <c r="BC194" s="121" t="n">
        <v>-95.29000000000001</v>
      </c>
      <c r="BD194" s="109" t="n">
        <v>46297</v>
      </c>
      <c r="BE194" s="110" t="n">
        <v>12.5</v>
      </c>
      <c r="BF194" s="113" t="n">
        <v>-611.4</v>
      </c>
      <c r="BG194" s="108" t="inlineStr">
        <is>
          <t>N</t>
        </is>
      </c>
      <c r="BH194" s="108" t="inlineStr">
        <is>
          <t>n/m</t>
        </is>
      </c>
      <c r="BI194" s="122" t="n"/>
      <c r="BJ194" s="122" t="n"/>
      <c r="BK194" s="123" t="n">
        <v>502.2</v>
      </c>
      <c r="BL194" s="124">
        <f>IF('BBG Verify'!S194="","not filed; run on terminal",'BBG Verify'!S194)</f>
        <v/>
      </c>
      <c r="BM194" s="125" t="inlineStr">
        <is>
          <t>N</t>
        </is>
      </c>
      <c r="BN194" s="126">
        <f>IF('BBG Verify'!K194="","not filed; run on terminal",'BBG Verify'!K194)</f>
        <v/>
      </c>
      <c r="BO194" s="108" t="inlineStr">
        <is>
          <t>N/A</t>
        </is>
      </c>
      <c r="BP194" s="108" t="inlineStr">
        <is>
          <t>N/A</t>
        </is>
      </c>
      <c r="BQ194" s="108" t="inlineStr">
        <is>
          <t>N/A</t>
        </is>
      </c>
      <c r="BR194" s="108" t="inlineStr">
        <is>
          <t>N/A</t>
        </is>
      </c>
      <c r="BS194" s="108" t="inlineStr">
        <is>
          <t>N/A</t>
        </is>
      </c>
      <c r="BT194" s="108" t="inlineStr">
        <is>
          <t>N/A</t>
        </is>
      </c>
      <c r="BU194" s="125" t="inlineStr">
        <is>
          <t>China International Capital Corporation Hong Kong Securities Limited</t>
        </is>
      </c>
      <c r="BV194" s="108" t="inlineStr">
        <is>
          <t>China International Capital Corporation Hong Kong Securities Limited</t>
        </is>
      </c>
      <c r="BW194" s="108" t="inlineStr">
        <is>
          <t>China International Capital Corporation Hong Kong Securities Limited; UOB Kay Hian (Hong Kong) Limited; Futu Securities International (Hong Kong) Limited; Valuable Capital Limited</t>
        </is>
      </c>
      <c r="BX194" s="108" t="inlineStr">
        <is>
          <t>BOCI Asia Limited; China International Capital Corporation Hong Kong Securities Limited; CLSA Limited; CMB International Capital Limited; Deutsche Bank AG, Hong Kong Branch; Futu Securities International (Hong Kong) Limited; Huatai Financial Holdings (Hong Kong) Limited; Silverbricks Securities Company Limited; Tiger Brokers (HK) Global Limited; UOB Kay Hian (Hong Kong) Limited; Valuable Capital Limited</t>
        </is>
      </c>
      <c r="BY194" s="127">
        <f>HYPERLINK("https://www1.hkexnews.hk/listedco/listconews/sehk/2023/0531/2023053100174.htm","prospectus")</f>
        <v/>
      </c>
      <c r="BZ194" s="127">
        <f>HYPERLINK("https://www1.hkexnews.hk/listedco/listconews/sehk/2023/0609/2023060900016.htm","allotment")</f>
        <v/>
      </c>
      <c r="CA194" s="127">
        <f>HYPERLINK("https://www1.hkexnews.hk/listedco/listconews/sehk/2023/0705/2023070500577.pdf","stabilisation")</f>
        <v/>
      </c>
      <c r="CB194" s="128" t="n"/>
      <c r="CC194" s="108" t="inlineStr">
        <is>
          <t>P/E: loss-making at IPO, use P/S; price range: fixed-price offering (no indicative range); range low: maximum offer price only, no floor published; cornerstone %: upper bound: AAStocks institutional total / deal size; P/S: 502x on HK$12.5m revenue, effectively pre-revenue; not comparable; deal size: stated gross HK$23.9m rejected, below the net proceeds of HK$392.7m; allocation: allocation table not in this notice's format (older prose announcement); day-1 tape: volume on file; the retail multiple needs the final public split, which this notice does not state</t>
        </is>
      </c>
    </row>
    <row r="195" ht="22" customHeight="1">
      <c r="A195" s="107" t="inlineStr">
        <is>
          <t>9885</t>
        </is>
      </c>
      <c r="B195" s="108" t="inlineStr">
        <is>
          <t>YSB</t>
        </is>
      </c>
      <c r="C195" s="108" t="inlineStr">
        <is>
          <t>藥師幫</t>
        </is>
      </c>
      <c r="D195" s="108" t="inlineStr">
        <is>
          <t>Healthcare</t>
        </is>
      </c>
      <c r="E195" s="108" t="inlineStr">
        <is>
          <t>Digital health</t>
        </is>
      </c>
      <c r="F195" s="108" t="inlineStr">
        <is>
          <t>Pharmaceuticals</t>
        </is>
      </c>
      <c r="G195" s="108" t="inlineStr">
        <is>
          <t>Standard</t>
        </is>
      </c>
      <c r="H195" s="109" t="n">
        <v>45105</v>
      </c>
      <c r="I195" s="110" t="n">
        <v>316.2</v>
      </c>
      <c r="J195" s="108" t="inlineStr">
        <is>
          <t>gross (price x shares)</t>
        </is>
      </c>
      <c r="K195" s="129" t="n"/>
      <c r="L195" s="111" t="n">
        <v>20</v>
      </c>
      <c r="M195" s="111" t="n">
        <v>20</v>
      </c>
      <c r="N195" s="108" t="inlineStr">
        <is>
          <t>Y</t>
        </is>
      </c>
      <c r="O195" s="112" t="n">
        <v>100</v>
      </c>
      <c r="P195" s="118" t="n"/>
      <c r="Q195" s="113" t="n">
        <v>13309.3</v>
      </c>
      <c r="R195" s="108" t="inlineStr">
        <is>
          <t>aastocks:上市市值 at the struck price</t>
        </is>
      </c>
      <c r="S195" s="114" t="n">
        <v>5.6</v>
      </c>
      <c r="T195" s="115" t="n">
        <v>2.08</v>
      </c>
      <c r="U195" s="116" t="n">
        <v>42.4</v>
      </c>
      <c r="V195" s="117" t="n">
        <v>126</v>
      </c>
      <c r="W195" s="118" t="n"/>
      <c r="X195" s="119" t="n"/>
      <c r="Y195" s="113" t="n">
        <v>182.13</v>
      </c>
      <c r="Z195" s="113" t="n">
        <v>9105869</v>
      </c>
      <c r="AA195" s="112" t="n">
        <v>1.37</v>
      </c>
      <c r="AB195" s="108" t="inlineStr">
        <is>
          <t>ZGC International Limited</t>
        </is>
      </c>
      <c r="AC195" s="108" t="inlineStr">
        <is>
          <t>zgc</t>
        </is>
      </c>
      <c r="AD195" s="118" t="n"/>
      <c r="AE195" s="108" t="inlineStr">
        <is>
          <t>partial</t>
        </is>
      </c>
      <c r="AF195" s="108" t="inlineStr">
        <is>
          <t>2023-07-20</t>
        </is>
      </c>
      <c r="AG195" s="108" t="inlineStr">
        <is>
          <t>China International Capital Corporation Hong Kong Securities Limited</t>
        </is>
      </c>
      <c r="AH195" s="108" t="inlineStr">
        <is>
          <t>China International</t>
        </is>
      </c>
      <c r="AI195" s="120" t="n">
        <v>30</v>
      </c>
      <c r="AJ195" s="121" t="n">
        <v>5.5</v>
      </c>
      <c r="AK195" s="121" t="n">
        <v>-0.62</v>
      </c>
      <c r="AL195" s="121" t="n">
        <v>15.25</v>
      </c>
      <c r="AM195" s="121" t="n">
        <v>-8.460000000000001</v>
      </c>
      <c r="AN195" s="122" t="n"/>
      <c r="AO195" s="112" t="n">
        <v>11.93</v>
      </c>
      <c r="AP195" s="121" t="n">
        <v>22.5</v>
      </c>
      <c r="AQ195" s="121" t="n">
        <v>147.5</v>
      </c>
      <c r="AR195" s="121" t="n">
        <v>154.5</v>
      </c>
      <c r="AS195" s="121" t="n">
        <v>16.11</v>
      </c>
      <c r="AT195" s="121" t="n">
        <v>134.6</v>
      </c>
      <c r="AU195" s="121" t="n">
        <v>141.23</v>
      </c>
      <c r="AV195" s="121" t="n">
        <v>19.59</v>
      </c>
      <c r="AW195" s="121" t="n">
        <v>140.71</v>
      </c>
      <c r="AX195" s="121" t="n">
        <v>151.87</v>
      </c>
      <c r="AY195" s="121" t="n">
        <v>127.15</v>
      </c>
      <c r="AZ195" s="121" t="n">
        <v>6.79</v>
      </c>
      <c r="BA195" s="121" t="n">
        <v>7.45</v>
      </c>
      <c r="BB195" s="108" t="inlineStr">
        <is>
          <t>China Biotech ETF (HS biotech proxy)</t>
        </is>
      </c>
      <c r="BC195" s="121" t="n">
        <v>-82.67</v>
      </c>
      <c r="BD195" s="109" t="n">
        <v>46297</v>
      </c>
      <c r="BE195" s="110" t="n">
        <v>15702.3</v>
      </c>
      <c r="BF195" s="113" t="n">
        <v>-1650</v>
      </c>
      <c r="BG195" s="108" t="inlineStr">
        <is>
          <t>N</t>
        </is>
      </c>
      <c r="BH195" s="108" t="inlineStr">
        <is>
          <t>n/m</t>
        </is>
      </c>
      <c r="BI195" s="122" t="n"/>
      <c r="BJ195" s="123" t="n">
        <v>13.5</v>
      </c>
      <c r="BK195" s="123" t="n">
        <v>0.8</v>
      </c>
      <c r="BL195" s="124">
        <f>IF('BBG Verify'!S195="","not filed; run on terminal",'BBG Verify'!S195)</f>
        <v/>
      </c>
      <c r="BM195" s="125" t="inlineStr">
        <is>
          <t>N</t>
        </is>
      </c>
      <c r="BN195" s="126">
        <f>IF('BBG Verify'!K195="","not filed; run on terminal",'BBG Verify'!K195)</f>
        <v/>
      </c>
      <c r="BO195" s="108" t="inlineStr">
        <is>
          <t>N/A</t>
        </is>
      </c>
      <c r="BP195" s="108" t="inlineStr">
        <is>
          <t>N/A</t>
        </is>
      </c>
      <c r="BQ195" s="108" t="inlineStr">
        <is>
          <t>N/A</t>
        </is>
      </c>
      <c r="BR195" s="108" t="inlineStr">
        <is>
          <t>N/A</t>
        </is>
      </c>
      <c r="BS195" s="108" t="inlineStr">
        <is>
          <t>N/A</t>
        </is>
      </c>
      <c r="BT195" s="108" t="inlineStr">
        <is>
          <t>N/A</t>
        </is>
      </c>
      <c r="BU195" s="125" t="inlineStr">
        <is>
          <t>China International Capital Corporation Hong Kong Securities Limited</t>
        </is>
      </c>
      <c r="BV195" s="108" t="inlineStr">
        <is>
          <t>China International Capital Corporation Hong Kong Securities Limited</t>
        </is>
      </c>
      <c r="BW195" s="108" t="inlineStr">
        <is>
          <t>China International Capital Corporation Hong Kong Securities Limited; CMB International Capital Limited; ICBC International Securities Limited; ABCI Capital Limited; Fosun International Securities Limited</t>
        </is>
      </c>
      <c r="BX195" s="108" t="inlineStr">
        <is>
          <t>ABCI Securities Company Limited; China International Capital Corporation Hong Kong Securities Limited; CMB International Capital Limited; Fosun International Securities Limited; Futu Securities International (Hong Kong) Limited; ICBC International Securities Limited; Patrons Securities Limited; Tiger Brokers (HK) Global Limited; Valuable Capital Limited</t>
        </is>
      </c>
      <c r="BY195" s="127">
        <f>HYPERLINK("https://www1.hkexnews.hk/listedco/listconews/sehk/2023/0615/2023061500046.htm","prospectus")</f>
        <v/>
      </c>
      <c r="BZ195" s="127">
        <f>HYPERLINK("https://www1.hkexnews.hk/listedco/listconews/sehk/2023/0627/2023062700054.htm","allotment")</f>
        <v/>
      </c>
      <c r="CA195" s="127">
        <f>HYPERLINK("https://www1.hkexnews.hk/listedco/listconews/sehk/2023/0720/2023072001211.pdf","stabilisation")</f>
        <v/>
      </c>
      <c r="CB195" s="128" t="n"/>
      <c r="CC195" s="108" t="inlineStr">
        <is>
          <t>P/E: loss-making at IPO, use P/S; price range: fixed-price offering (no indicative range); range low: maximum offer price only, no floor published; sponsor: English name not in the filing; AAStocks 保薦人 shown; market cap: prospectus 'market capitalisation' line is the listing-rule threshold, not the issuer's figure; rejected; greenshoe size: no over-allotment option; allocation: allocation table not in this notice's format (older prose announcement); day-1 tape: volume on file; the retail multiple needs the final public split, which this notice does not state</t>
        </is>
      </c>
    </row>
    <row r="196" ht="22" customHeight="1">
      <c r="A196" s="107" t="inlineStr">
        <is>
          <t>2105</t>
        </is>
      </c>
      <c r="B196" s="108" t="inlineStr">
        <is>
          <t>LAEKNA-B</t>
        </is>
      </c>
      <c r="C196" s="108" t="inlineStr">
        <is>
          <t>來凱醫藥－Ｂ</t>
        </is>
      </c>
      <c r="D196" s="108" t="inlineStr">
        <is>
          <t>Healthcare</t>
        </is>
      </c>
      <c r="E196" s="108" t="inlineStr">
        <is>
          <t>Biotech pre-revenue (18A)</t>
        </is>
      </c>
      <c r="F196" s="108" t="inlineStr">
        <is>
          <t>Health Care Services</t>
        </is>
      </c>
      <c r="G196" s="108" t="inlineStr">
        <is>
          <t>18A</t>
        </is>
      </c>
      <c r="H196" s="109" t="n">
        <v>45106</v>
      </c>
      <c r="I196" s="110" t="n">
        <v>790.9</v>
      </c>
      <c r="J196" s="108" t="inlineStr">
        <is>
          <t>gross (price x shares)</t>
        </is>
      </c>
      <c r="K196" s="129" t="n"/>
      <c r="L196" s="111" t="n">
        <v>12.41</v>
      </c>
      <c r="M196" s="111" t="n">
        <v>12.41</v>
      </c>
      <c r="N196" s="108" t="inlineStr">
        <is>
          <t>Y</t>
        </is>
      </c>
      <c r="O196" s="112" t="n">
        <v>100</v>
      </c>
      <c r="P196" s="118" t="n"/>
      <c r="Q196" s="113" t="n">
        <v>4841.1</v>
      </c>
      <c r="R196" s="108" t="inlineStr">
        <is>
          <t>prospectus:stated market capitalisation</t>
        </is>
      </c>
      <c r="S196" s="114" t="n">
        <v>5.81</v>
      </c>
      <c r="T196" s="115" t="n">
        <v>1.09</v>
      </c>
      <c r="U196" s="116" t="n">
        <v>86</v>
      </c>
      <c r="V196" s="117" t="n">
        <v>117</v>
      </c>
      <c r="W196" s="118" t="n"/>
      <c r="X196" s="119" t="n"/>
      <c r="Y196" s="113" t="n">
        <v>110.73</v>
      </c>
      <c r="Z196" s="113" t="n">
        <v>8921920</v>
      </c>
      <c r="AA196" s="112" t="n">
        <v>2.29</v>
      </c>
      <c r="AB196" s="108" t="inlineStr">
        <is>
          <t>Future Industry Investment Fund II; Ningbo Yaoshang Yanchuang Chenkai Venture Capital Partnership; OrbiMed Asia Partners III, L.P; Yuyao Yangming Equity Investment Fund Co., Ltd</t>
        </is>
      </c>
      <c r="AC196" s="108" t="inlineStr">
        <is>
          <t>future;ningbo;orbimed;yuyao</t>
        </is>
      </c>
      <c r="AD196" s="118" t="n"/>
      <c r="AE196" s="119" t="n"/>
      <c r="AF196" s="119" t="n"/>
      <c r="AG196" s="119" t="n"/>
      <c r="AH196" s="119" t="n"/>
      <c r="AI196" s="120" t="n">
        <v>5.88</v>
      </c>
      <c r="AJ196" s="121" t="n">
        <v>20.87</v>
      </c>
      <c r="AK196" s="121" t="n">
        <v>-0.39</v>
      </c>
      <c r="AL196" s="121" t="n">
        <v>0.24</v>
      </c>
      <c r="AM196" s="121" t="n">
        <v>20.58</v>
      </c>
      <c r="AN196" s="122" t="n"/>
      <c r="AO196" s="112" t="n">
        <v>23.95</v>
      </c>
      <c r="AP196" s="121" t="n">
        <v>22.32</v>
      </c>
      <c r="AQ196" s="121" t="n">
        <v>16.52</v>
      </c>
      <c r="AR196" s="121" t="n">
        <v>10.39</v>
      </c>
      <c r="AS196" s="121" t="n">
        <v>1.2</v>
      </c>
      <c r="AT196" s="121" t="n">
        <v>-3.6</v>
      </c>
      <c r="AU196" s="121" t="n">
        <v>-8.67</v>
      </c>
      <c r="AV196" s="121" t="n">
        <v>20.87</v>
      </c>
      <c r="AW196" s="121" t="n">
        <v>11.37</v>
      </c>
      <c r="AX196" s="121" t="n">
        <v>7.29</v>
      </c>
      <c r="AY196" s="121" t="n">
        <v>-9.16</v>
      </c>
      <c r="AZ196" s="121" t="n">
        <v>5.15</v>
      </c>
      <c r="BA196" s="121" t="n">
        <v>5.56</v>
      </c>
      <c r="BB196" s="108" t="inlineStr">
        <is>
          <t>China Biotech ETF (HS biotech proxy)</t>
        </is>
      </c>
      <c r="BC196" s="121" t="n">
        <v>-29.49</v>
      </c>
      <c r="BD196" s="109" t="n">
        <v>46297</v>
      </c>
      <c r="BE196" s="110" t="n">
        <v>0</v>
      </c>
      <c r="BF196" s="113" t="n">
        <v>-859.8</v>
      </c>
      <c r="BG196" s="108" t="inlineStr">
        <is>
          <t>N</t>
        </is>
      </c>
      <c r="BH196" s="108" t="inlineStr">
        <is>
          <t>n/m</t>
        </is>
      </c>
      <c r="BI196" s="122" t="n"/>
      <c r="BJ196" s="122" t="n"/>
      <c r="BK196" s="108" t="inlineStr">
        <is>
          <t>pre-rev</t>
        </is>
      </c>
      <c r="BL196" s="124">
        <f>IF('BBG Verify'!S196="","not filed; run on terminal",'BBG Verify'!S196)</f>
        <v/>
      </c>
      <c r="BM196" s="125" t="inlineStr">
        <is>
          <t>N</t>
        </is>
      </c>
      <c r="BN196" s="126">
        <f>IF('BBG Verify'!K196="","not filed; run on terminal",'BBG Verify'!K196)</f>
        <v/>
      </c>
      <c r="BO196" s="108" t="inlineStr">
        <is>
          <t>N/A</t>
        </is>
      </c>
      <c r="BP196" s="108" t="inlineStr">
        <is>
          <t>N/A</t>
        </is>
      </c>
      <c r="BQ196" s="108" t="inlineStr">
        <is>
          <t>N/A</t>
        </is>
      </c>
      <c r="BR196" s="108" t="inlineStr">
        <is>
          <t>N/A</t>
        </is>
      </c>
      <c r="BS196" s="108" t="inlineStr">
        <is>
          <t>N/A</t>
        </is>
      </c>
      <c r="BT196" s="108" t="inlineStr">
        <is>
          <t>N/A</t>
        </is>
      </c>
      <c r="BU196" s="125" t="inlineStr">
        <is>
          <t>China International Capital Corporation Hong Kong Securities Limited</t>
        </is>
      </c>
      <c r="BV196" s="108" t="inlineStr">
        <is>
          <t>China International Capital Corporation Hong Kong Securities Limited</t>
        </is>
      </c>
      <c r="BW196" s="108" t="inlineStr">
        <is>
          <t>China International Capital Corporation Hong Kong Securities Limited; Haitong International Securities Company Limited; ICBC International Securities Limited; ABCI Capital Limited</t>
        </is>
      </c>
      <c r="BX196" s="108" t="inlineStr">
        <is>
          <t>ABCI Securities Company Limited; China International Capital Corporation Hong Kong Securities Limited; Futu Securities International (Hong Kong) Limited; Guotai Junan Securities (Hong Kong) Limited; Haitong International Securities Company Limited; ICBC International Securities Limited; Valuable Capital Limited</t>
        </is>
      </c>
      <c r="BY196" s="127">
        <f>HYPERLINK("https://www1.hkexnews.hk/listedco/listconews/sehk/2023/0616/2023061600013.pdf","prospectus")</f>
        <v/>
      </c>
      <c r="BZ196" s="127">
        <f>HYPERLINK("https://www1.hkexnews.hk/listedco/listconews/sehk/2023/0628/2023062800052.htm","allotment")</f>
        <v/>
      </c>
      <c r="CA196" s="119" t="n"/>
      <c r="CB196" s="128" t="n"/>
      <c r="CC196" s="108" t="inlineStr">
        <is>
          <t>P/E: loss-making at IPO, use P/S; greenshoe: no over-allotment option; range low: maximum offer price only, no floor published; greenshoe size: no over-allotment option; P/S: pre-revenue issuer, no sales multiple; stabilising manager: filing states none appointed (allotment announcement: 'no stabilizing manager will be appointed' stated in the filing); allocation: allocation table not in this notice's format (older prose announcement); day-1 tape: volume on file; the retail multiple needs the final public split, which this notice does not state</t>
        </is>
      </c>
    </row>
    <row r="197" ht="22" customHeight="1">
      <c r="A197" s="107" t="inlineStr">
        <is>
          <t>9860</t>
        </is>
      </c>
      <c r="B197" s="108" t="inlineStr">
        <is>
          <t>ADICON HOLDINGS</t>
        </is>
      </c>
      <c r="C197" s="108" t="inlineStr">
        <is>
          <t>艾迪康控股</t>
        </is>
      </c>
      <c r="D197" s="108" t="inlineStr">
        <is>
          <t>Healthcare</t>
        </is>
      </c>
      <c r="E197" s="108" t="inlineStr">
        <is>
          <t>CXO / pharma services</t>
        </is>
      </c>
      <c r="F197" s="108" t="inlineStr">
        <is>
          <t>Health Care Services</t>
        </is>
      </c>
      <c r="G197" s="108" t="inlineStr">
        <is>
          <t>Standard</t>
        </is>
      </c>
      <c r="H197" s="109" t="n">
        <v>45107</v>
      </c>
      <c r="I197" s="110" t="n">
        <v>83.90000000000001</v>
      </c>
      <c r="J197" s="108" t="inlineStr">
        <is>
          <t>net proceeds</t>
        </is>
      </c>
      <c r="K197" s="129" t="n"/>
      <c r="L197" s="111" t="n">
        <v>12.32</v>
      </c>
      <c r="M197" s="111" t="n">
        <v>12.32</v>
      </c>
      <c r="N197" s="108" t="inlineStr">
        <is>
          <t>Y</t>
        </is>
      </c>
      <c r="O197" s="112" t="n">
        <v>100</v>
      </c>
      <c r="P197" s="118" t="n"/>
      <c r="Q197" s="113" t="n">
        <v>8913</v>
      </c>
      <c r="R197" s="108" t="inlineStr">
        <is>
          <t>press:sohu/stockstar: 总市值89.13亿 at HK$12.32</t>
        </is>
      </c>
      <c r="S197" s="114" t="n">
        <v>1.06</v>
      </c>
      <c r="T197" s="115" t="n">
        <v>1.8</v>
      </c>
      <c r="U197" s="116" t="n">
        <v>31.9</v>
      </c>
      <c r="V197" s="117" t="n">
        <v>108</v>
      </c>
      <c r="W197" s="118" t="n"/>
      <c r="X197" s="119" t="n"/>
      <c r="Y197" s="113" t="n">
        <v>57.14</v>
      </c>
      <c r="Z197" s="131" t="n"/>
      <c r="AA197" s="112" t="n">
        <v>0.64</v>
      </c>
      <c r="AB197" s="108" t="inlineStr">
        <is>
          <t>Corelink Group Limited; Fosun Diagnostics (Shanghai) Co., Ltd; MR Global (HK) Limited; Snibe Diagnostic (Hong Kong) Company Limited; Timestar Elite Limited</t>
        </is>
      </c>
      <c r="AC197" s="108" t="inlineStr">
        <is>
          <t>corelink;fosun;mr;snibe;timestar</t>
        </is>
      </c>
      <c r="AD197" s="112" t="n">
        <v>12.45</v>
      </c>
      <c r="AE197" s="108" t="inlineStr">
        <is>
          <t>partial</t>
        </is>
      </c>
      <c r="AF197" s="108" t="inlineStr">
        <is>
          <t>2023-07-23</t>
        </is>
      </c>
      <c r="AG197" s="108" t="inlineStr">
        <is>
          <t>Morgan Stanley Asia Limited</t>
        </is>
      </c>
      <c r="AH197" s="108" t="inlineStr">
        <is>
          <t>Morgan Stanley</t>
        </is>
      </c>
      <c r="AI197" s="120" t="n">
        <v>1.14</v>
      </c>
      <c r="AJ197" s="121" t="n">
        <v>12.01</v>
      </c>
      <c r="AK197" s="121" t="n">
        <v>1.68</v>
      </c>
      <c r="AL197" s="121" t="n">
        <v>0</v>
      </c>
      <c r="AM197" s="121" t="n">
        <v>12.01</v>
      </c>
      <c r="AN197" s="122" t="n"/>
      <c r="AO197" s="112" t="n">
        <v>14.45</v>
      </c>
      <c r="AP197" s="121" t="n">
        <v>1.62</v>
      </c>
      <c r="AQ197" s="121" t="n">
        <v>0.65</v>
      </c>
      <c r="AR197" s="121" t="n">
        <v>19.97</v>
      </c>
      <c r="AS197" s="121" t="n">
        <v>-9.279999999999999</v>
      </c>
      <c r="AT197" s="121" t="n">
        <v>-10.14</v>
      </c>
      <c r="AU197" s="121" t="n">
        <v>7.11</v>
      </c>
      <c r="AV197" s="121" t="n">
        <v>0.34</v>
      </c>
      <c r="AW197" s="121" t="n">
        <v>-5.38</v>
      </c>
      <c r="AX197" s="121" t="n">
        <v>17.55</v>
      </c>
      <c r="AY197" s="121" t="n">
        <v>-14.42</v>
      </c>
      <c r="AZ197" s="121" t="n">
        <v>6.03</v>
      </c>
      <c r="BA197" s="121" t="n">
        <v>4.28</v>
      </c>
      <c r="BB197" s="108" t="inlineStr">
        <is>
          <t>China Biotech ETF (HS biotech proxy)</t>
        </is>
      </c>
      <c r="BC197" s="121" t="n">
        <v>-61.04</v>
      </c>
      <c r="BD197" s="109" t="n">
        <v>46297</v>
      </c>
      <c r="BE197" s="110" t="n">
        <v>5346.7</v>
      </c>
      <c r="BF197" s="113" t="n">
        <v>753.4</v>
      </c>
      <c r="BG197" s="108" t="inlineStr">
        <is>
          <t>Y</t>
        </is>
      </c>
      <c r="BH197" s="123" t="n">
        <v>11.8</v>
      </c>
      <c r="BI197" s="122" t="n"/>
      <c r="BJ197" s="123" t="n">
        <v>108.8</v>
      </c>
      <c r="BK197" s="123" t="n">
        <v>1.7</v>
      </c>
      <c r="BL197" s="124">
        <f>IF('BBG Verify'!S197="","not filed; run on terminal",'BBG Verify'!S197)</f>
        <v/>
      </c>
      <c r="BM197" s="125" t="inlineStr">
        <is>
          <t>N</t>
        </is>
      </c>
      <c r="BN197" s="126">
        <f>IF('BBG Verify'!K197="","not filed; run on terminal",'BBG Verify'!K197)</f>
        <v/>
      </c>
      <c r="BO197" s="108" t="inlineStr">
        <is>
          <t>N/A</t>
        </is>
      </c>
      <c r="BP197" s="108" t="inlineStr">
        <is>
          <t>N/A</t>
        </is>
      </c>
      <c r="BQ197" s="108" t="inlineStr">
        <is>
          <t>N/A</t>
        </is>
      </c>
      <c r="BR197" s="108" t="inlineStr">
        <is>
          <t>N/A</t>
        </is>
      </c>
      <c r="BS197" s="108" t="inlineStr">
        <is>
          <t>N/A</t>
        </is>
      </c>
      <c r="BT197" s="108" t="inlineStr">
        <is>
          <t>N/A</t>
        </is>
      </c>
      <c r="BU197" s="125" t="inlineStr">
        <is>
          <t>Morgan Stanley Asia Limited; Jefferies Hong Kong Limited</t>
        </is>
      </c>
      <c r="BV197" s="108" t="inlineStr">
        <is>
          <t>Jefferies Hong Kong Limited; Morgan Stanley Asia Limited</t>
        </is>
      </c>
      <c r="BW197" s="108" t="inlineStr">
        <is>
          <t>Morgan Stanley Asia Limited; Jefferies Hong Kong Limited; CLSA Limited; Deutsche Bank AG, Hong Kong Branch; Haitong International Securities Company Limited; The Hongkong and Shanghai Banking Corporation Limited; CCB International Capital Limited; Futu Securities International (Hong Kong) Limited; ICBC International Securities Limited; Tiger Brokers (HK) Global Limited; Valuable Capital Limited</t>
        </is>
      </c>
      <c r="BX197" s="108" t="inlineStr">
        <is>
          <t>CCB International Capital Limited; CLSA Limited; Deutsche Bank AG, Hong Kong Branch; Futu Securities International (Hong Kong) Limited; Huatai Financial Holdings (Hong Kong) Limited; Haitong International Securities Company Limited; The Hongkong and Shanghai Banking Corporation Limited; ICBC International Securities Limited; Jefferies Hong Kong Limited; Morgan Stanley Asia Limited; Tiger Brokers (HK) Global Limited; Valuable Capital Limited</t>
        </is>
      </c>
      <c r="BY197" s="127">
        <f>HYPERLINK("https://www1.hkexnews.hk/listedco/listconews/sehk/2023/0619/2023061900005.pdf","prospectus")</f>
        <v/>
      </c>
      <c r="BZ197" s="127">
        <f>HYPERLINK("https://www1.hkexnews.hk/listedco/listconews/sehk/2023/0629/2023062900124.htm","allotment")</f>
        <v/>
      </c>
      <c r="CA197" s="127">
        <f>HYPERLINK("https://www1.hkexnews.hk/listedco/listconews/sehk/2023/0723/2023072300027.pdf","stabilisation")</f>
        <v/>
      </c>
      <c r="CB197" s="128" t="n"/>
      <c r="CC197" s="108" t="inlineStr">
        <is>
          <t>range low: maximum offer price only, no floor published; cornerstone: % from the prospectus; AAStocks table includes non-cornerstone orders; eff float shares: share count unavailable; the HK$m figure is exact; allocation: allocation table not in this notice's format (older prose announcement); day-1 tape: volume on file; the retail multiple needs the final public split, which this notice does not state</t>
        </is>
      </c>
    </row>
    <row r="198" ht="22" customHeight="1">
      <c r="A198" s="107" t="inlineStr">
        <is>
          <t>2481</t>
        </is>
      </c>
      <c r="B198" s="108" t="inlineStr">
        <is>
          <t>WISE LIVING TEC</t>
        </is>
      </c>
      <c r="C198" s="108" t="inlineStr">
        <is>
          <t>雙良睿能</t>
        </is>
      </c>
      <c r="D198" s="108" t="inlineStr">
        <is>
          <t>Materials/Energy</t>
        </is>
      </c>
      <c r="E198" s="108" t="inlineStr">
        <is>
          <t>Oil &amp; gas / utilities</t>
        </is>
      </c>
      <c r="F198" s="108" t="inlineStr">
        <is>
          <t>Environmental Utilities</t>
        </is>
      </c>
      <c r="G198" s="108" t="inlineStr">
        <is>
          <t>Standard</t>
        </is>
      </c>
      <c r="H198" s="109" t="n">
        <v>45117</v>
      </c>
      <c r="I198" s="110" t="n">
        <v>272.2</v>
      </c>
      <c r="J198" s="108" t="inlineStr">
        <is>
          <t>gross (price x shares)</t>
        </is>
      </c>
      <c r="K198" s="111" t="n">
        <v>3</v>
      </c>
      <c r="L198" s="111" t="n">
        <v>4.2</v>
      </c>
      <c r="M198" s="111" t="n">
        <v>3.6</v>
      </c>
      <c r="N198" s="108" t="inlineStr">
        <is>
          <t>N</t>
        </is>
      </c>
      <c r="O198" s="112" t="n">
        <v>85.7</v>
      </c>
      <c r="P198" s="112" t="n">
        <v>50</v>
      </c>
      <c r="Q198" s="113" t="n">
        <v>979.1</v>
      </c>
      <c r="R198" s="108" t="inlineStr">
        <is>
          <t>derived:deal size / offer % of enlarged capital</t>
        </is>
      </c>
      <c r="S198" s="114" t="n">
        <v>1.54</v>
      </c>
      <c r="T198" s="115" t="n">
        <v>1.35</v>
      </c>
      <c r="U198" s="116" t="n">
        <v>20.2</v>
      </c>
      <c r="V198" s="117" t="n">
        <v>153</v>
      </c>
      <c r="W198" s="118" t="n"/>
      <c r="X198" s="119" t="n"/>
      <c r="Y198" s="113" t="n">
        <v>217.22</v>
      </c>
      <c r="Z198" s="113" t="n">
        <v>60328800</v>
      </c>
      <c r="AA198" s="112" t="n">
        <v>22.19</v>
      </c>
      <c r="AB198" s="108" t="inlineStr">
        <is>
          <t>Jiang Gang International Investment Company Limited</t>
        </is>
      </c>
      <c r="AC198" s="108" t="inlineStr">
        <is>
          <t>jiang-gang</t>
        </is>
      </c>
      <c r="AD198" s="112" t="n">
        <v>15</v>
      </c>
      <c r="AE198" s="108" t="inlineStr">
        <is>
          <t>lapsed (no over-allocation)</t>
        </is>
      </c>
      <c r="AF198" s="119" t="n"/>
      <c r="AG198" s="108" t="inlineStr">
        <is>
          <t>Guotai Junan Securities</t>
        </is>
      </c>
      <c r="AH198" s="108" t="inlineStr">
        <is>
          <t>Guotai Junan</t>
        </is>
      </c>
      <c r="AI198" s="120" t="n">
        <v>-3.06</v>
      </c>
      <c r="AJ198" s="121" t="n">
        <v>0</v>
      </c>
      <c r="AK198" s="121" t="n">
        <v>1.03</v>
      </c>
      <c r="AL198" s="121" t="n">
        <v>0</v>
      </c>
      <c r="AM198" s="121" t="n">
        <v>0</v>
      </c>
      <c r="AN198" s="122" t="n"/>
      <c r="AO198" s="112" t="n">
        <v>8.33</v>
      </c>
      <c r="AP198" s="121" t="n">
        <v>-19.72</v>
      </c>
      <c r="AQ198" s="121" t="n">
        <v>-22.22</v>
      </c>
      <c r="AR198" s="121" t="n">
        <v>-26.94</v>
      </c>
      <c r="AS198" s="121" t="n">
        <v>-19.72</v>
      </c>
      <c r="AT198" s="121" t="n">
        <v>-22.22</v>
      </c>
      <c r="AU198" s="121" t="n">
        <v>-26.94</v>
      </c>
      <c r="AV198" s="121" t="n">
        <v>-24.4</v>
      </c>
      <c r="AW198" s="121" t="n">
        <v>-29.55</v>
      </c>
      <c r="AX198" s="121" t="n">
        <v>-25.35</v>
      </c>
      <c r="AY198" s="121" t="n">
        <v>-28.45</v>
      </c>
      <c r="AZ198" s="121" t="n">
        <v>7.33</v>
      </c>
      <c r="BA198" s="121" t="n">
        <v>6.23</v>
      </c>
      <c r="BB198" s="108" t="inlineStr">
        <is>
          <t>Hang Seng Commerce &amp; Industry sub-index</t>
        </is>
      </c>
      <c r="BC198" s="121" t="n">
        <v>-30</v>
      </c>
      <c r="BD198" s="109" t="n">
        <v>46297</v>
      </c>
      <c r="BE198" s="110" t="n">
        <v>1588.1</v>
      </c>
      <c r="BF198" s="113" t="n">
        <v>154.4</v>
      </c>
      <c r="BG198" s="108" t="inlineStr">
        <is>
          <t>Y</t>
        </is>
      </c>
      <c r="BH198" s="123" t="n">
        <v>6.3</v>
      </c>
      <c r="BI198" s="122" t="n"/>
      <c r="BJ198" s="123" t="n">
        <v>4</v>
      </c>
      <c r="BK198" s="123" t="n">
        <v>0.6</v>
      </c>
      <c r="BL198" s="124">
        <f>IF('BBG Verify'!S198="","not filed; run on terminal",'BBG Verify'!S198)</f>
        <v/>
      </c>
      <c r="BM198" s="125" t="inlineStr">
        <is>
          <t>N</t>
        </is>
      </c>
      <c r="BN198" s="126">
        <f>IF('BBG Verify'!K198="","not filed; run on terminal",'BBG Verify'!K198)</f>
        <v/>
      </c>
      <c r="BO198" s="108" t="inlineStr">
        <is>
          <t>N/A</t>
        </is>
      </c>
      <c r="BP198" s="108" t="inlineStr">
        <is>
          <t>N/A</t>
        </is>
      </c>
      <c r="BQ198" s="108" t="inlineStr">
        <is>
          <t>N/A</t>
        </is>
      </c>
      <c r="BR198" s="108" t="inlineStr">
        <is>
          <t>N/A</t>
        </is>
      </c>
      <c r="BS198" s="108" t="inlineStr">
        <is>
          <t>N/A</t>
        </is>
      </c>
      <c r="BT198" s="108" t="inlineStr">
        <is>
          <t>N/A</t>
        </is>
      </c>
      <c r="BU198" s="125" t="inlineStr">
        <is>
          <t>Guotai Junan Capital Limited</t>
        </is>
      </c>
      <c r="BV198" s="108" t="inlineStr">
        <is>
          <t>Guotai Junan Capital Limited</t>
        </is>
      </c>
      <c r="BW198" s="108" t="inlineStr">
        <is>
          <t>Guotai Junan Securities (Hong Kong) Limited; Orient Securities (Hong Kong) Limited; ABCI Capital Limited; China Galaxy International Securities (Hong Kong) Co., Limited</t>
        </is>
      </c>
      <c r="BX198" s="108" t="inlineStr">
        <is>
          <t>ABCI Securities Company Limited; CEB International Capital Corporation Limited; China Galaxy International Securities (Hong Kong) Company Limited; Fortune (HK) Securities Limited; Guotai Junan Securities (Hong Kong) Limited; Kingsway Financial Services Group Limited; Livermore Holdings Limited; Orient Securities (Hong Kong) Limited; Selina &amp; Co. Limited</t>
        </is>
      </c>
      <c r="BY198" s="127">
        <f>HYPERLINK("https://www1.hkexnews.hk/listedco/listconews/sehk/2023/0628/2023062800029.pdf","prospectus")</f>
        <v/>
      </c>
      <c r="BZ198" s="127">
        <f>HYPERLINK("https://www1.hkexnews.hk/listedco/listconews/sehk/2023/0707/2023070700062.htm","allotment")</f>
        <v/>
      </c>
      <c r="CA198" s="127">
        <f>HYPERLINK("https://www1.hkexnews.hk/listedco/listconews/sehk/2023/0802/2023080201548.pdf","stabilisation")</f>
        <v/>
      </c>
      <c r="CB198" s="128" t="n"/>
      <c r="CC198" s="108" t="inlineStr">
        <is>
          <t>greenshoe: outcome published; expiry date not in the notice; cornerstone: table parse 51% rejected (institutional total implies 20%); the AAStocks institutional total used; allocation: allocation table not in this notice's format (older prose announcement); day-1 tape: volume on file; the retail multiple needs the final public split, which this notice does not state</t>
        </is>
      </c>
    </row>
    <row r="199" ht="22" customHeight="1">
      <c r="A199" s="107" t="inlineStr">
        <is>
          <t>6990</t>
        </is>
      </c>
      <c r="B199" s="108" t="inlineStr">
        <is>
          <t>SKB BIO-B</t>
        </is>
      </c>
      <c r="C199" s="108" t="inlineStr">
        <is>
          <t>科倫博泰生物</t>
        </is>
      </c>
      <c r="D199" s="108" t="inlineStr">
        <is>
          <t>Healthcare</t>
        </is>
      </c>
      <c r="E199" s="108" t="inlineStr">
        <is>
          <t>Biotech pre-revenue (18A)</t>
        </is>
      </c>
      <c r="F199" s="108" t="inlineStr">
        <is>
          <t>Biotechnology - Pharmaceuticals</t>
        </is>
      </c>
      <c r="G199" s="108" t="inlineStr">
        <is>
          <t>18A</t>
        </is>
      </c>
      <c r="H199" s="109" t="n">
        <v>45118</v>
      </c>
      <c r="I199" s="110" t="n">
        <v>1360.2</v>
      </c>
      <c r="J199" s="108" t="inlineStr">
        <is>
          <t>gross (price x shares)</t>
        </is>
      </c>
      <c r="K199" s="111" t="n">
        <v>60.6</v>
      </c>
      <c r="L199" s="111" t="n">
        <v>72.8</v>
      </c>
      <c r="M199" s="111" t="n">
        <v>60.6</v>
      </c>
      <c r="N199" s="108" t="inlineStr">
        <is>
          <t>N</t>
        </is>
      </c>
      <c r="O199" s="112" t="n">
        <v>83.2</v>
      </c>
      <c r="P199" s="112" t="n">
        <v>0</v>
      </c>
      <c r="Q199" s="113" t="n">
        <v>13080</v>
      </c>
      <c r="R199" s="108" t="inlineStr">
        <is>
          <t>prospectus:stated market capitalisation</t>
        </is>
      </c>
      <c r="S199" s="114" t="n">
        <v>1.27</v>
      </c>
      <c r="T199" s="115" t="n">
        <v>3.4</v>
      </c>
      <c r="U199" s="116" t="n">
        <v>16.9</v>
      </c>
      <c r="V199" s="117" t="n">
        <v>126</v>
      </c>
      <c r="W199" s="118" t="n"/>
      <c r="X199" s="119" t="n"/>
      <c r="Y199" s="113" t="n">
        <v>1130.33</v>
      </c>
      <c r="Z199" s="113" t="n">
        <v>18652709</v>
      </c>
      <c r="AA199" s="112" t="n">
        <v>8.640000000000001</v>
      </c>
      <c r="AB199" s="108" t="inlineStr">
        <is>
          <t>China Universal Asset Management Co., Ltd; Kelun International Development Co., Limited; Laurion Capital Master Fund Ltd; RTW Master Fund, Ltd; TruMed Healthcare Master Fund and TruMed Health Innovation Fund LP</t>
        </is>
      </c>
      <c r="AC199" s="108" t="inlineStr">
        <is>
          <t>universal;kelun;laurion;rtw;trumed</t>
        </is>
      </c>
      <c r="AD199" s="112" t="n">
        <v>8.9</v>
      </c>
      <c r="AE199" s="108" t="inlineStr">
        <is>
          <t>full</t>
        </is>
      </c>
      <c r="AF199" s="108" t="inlineStr">
        <is>
          <t>2023-08-03</t>
        </is>
      </c>
      <c r="AG199" s="108" t="inlineStr">
        <is>
          <t>Goldman Sachs</t>
        </is>
      </c>
      <c r="AH199" s="108" t="inlineStr">
        <is>
          <t>Goldman Sachs</t>
        </is>
      </c>
      <c r="AI199" s="120" t="n">
        <v>0</v>
      </c>
      <c r="AJ199" s="121" t="n">
        <v>3.14</v>
      </c>
      <c r="AK199" s="121" t="n">
        <v>0.8100000000000001</v>
      </c>
      <c r="AL199" s="121" t="n">
        <v>0</v>
      </c>
      <c r="AM199" s="121" t="n">
        <v>3.14</v>
      </c>
      <c r="AN199" s="122" t="n"/>
      <c r="AO199" s="112" t="n">
        <v>6.44</v>
      </c>
      <c r="AP199" s="121" t="n">
        <v>8.91</v>
      </c>
      <c r="AQ199" s="121" t="n">
        <v>19.64</v>
      </c>
      <c r="AR199" s="121" t="n">
        <v>33.66</v>
      </c>
      <c r="AS199" s="121" t="n">
        <v>5.59</v>
      </c>
      <c r="AT199" s="121" t="n">
        <v>16</v>
      </c>
      <c r="AU199" s="121" t="n">
        <v>29.59</v>
      </c>
      <c r="AV199" s="121" t="n">
        <v>8.56</v>
      </c>
      <c r="AW199" s="121" t="n">
        <v>19.74</v>
      </c>
      <c r="AX199" s="121" t="n">
        <v>27.77</v>
      </c>
      <c r="AY199" s="121" t="n">
        <v>16.9</v>
      </c>
      <c r="AZ199" s="121" t="n">
        <v>-0.1</v>
      </c>
      <c r="BA199" s="121" t="n">
        <v>-0.9</v>
      </c>
      <c r="BB199" s="108" t="inlineStr">
        <is>
          <t>China Biotech ETF (HS biotech proxy)</t>
        </is>
      </c>
      <c r="BC199" s="121" t="n">
        <v>679.21</v>
      </c>
      <c r="BD199" s="109" t="n">
        <v>46297</v>
      </c>
      <c r="BE199" s="110" t="n">
        <v>884.3</v>
      </c>
      <c r="BF199" s="113" t="n">
        <v>-677.7</v>
      </c>
      <c r="BG199" s="108" t="inlineStr">
        <is>
          <t>N</t>
        </is>
      </c>
      <c r="BH199" s="108" t="inlineStr">
        <is>
          <t>n/m</t>
        </is>
      </c>
      <c r="BI199" s="122" t="n"/>
      <c r="BJ199" s="123" t="n">
        <v>692.3</v>
      </c>
      <c r="BK199" s="123" t="n">
        <v>14.8</v>
      </c>
      <c r="BL199" s="124">
        <f>IF('BBG Verify'!S199="","not filed; run on terminal",'BBG Verify'!S199)</f>
        <v/>
      </c>
      <c r="BM199" s="125" t="inlineStr">
        <is>
          <t>N</t>
        </is>
      </c>
      <c r="BN199" s="126">
        <f>IF('BBG Verify'!K199="","not filed; run on terminal",'BBG Verify'!K199)</f>
        <v/>
      </c>
      <c r="BO199" s="108" t="inlineStr">
        <is>
          <t>N/A</t>
        </is>
      </c>
      <c r="BP199" s="108" t="inlineStr">
        <is>
          <t>N/A</t>
        </is>
      </c>
      <c r="BQ199" s="108" t="inlineStr">
        <is>
          <t>N/A</t>
        </is>
      </c>
      <c r="BR199" s="108" t="inlineStr">
        <is>
          <t>N/A</t>
        </is>
      </c>
      <c r="BS199" s="108" t="inlineStr">
        <is>
          <t>N/A</t>
        </is>
      </c>
      <c r="BT199" s="108" t="inlineStr">
        <is>
          <t>N/A</t>
        </is>
      </c>
      <c r="BU199" s="125" t="inlineStr">
        <is>
          <t>Goldman Sachs (Asia) L.L.C; CITIC Securities (Hong Kong) Limited</t>
        </is>
      </c>
      <c r="BV199" s="108" t="inlineStr">
        <is>
          <t>Goldman Sachs (Asia) L.L.C.; CITIC Securities (Hong Kong) Limited</t>
        </is>
      </c>
      <c r="BW199" s="108" t="inlineStr">
        <is>
          <t>Goldman Sachs (Asia) L.L.C; CLSA Limited; Citigroup Global Markets Asia Limited; Citigroup Global Markets Limited; 144 – ICBC International Securities Limited; BOCOM International Securities Limited</t>
        </is>
      </c>
      <c r="BX199" s="108" t="inlineStr">
        <is>
          <t>Beta International Securities Limited; Citigroup Global Markets Asia Limited; CLSA Limited; Goldman Sachs (Asia) L.L.C.; ICBC International Securities Limited</t>
        </is>
      </c>
      <c r="BY199" s="127">
        <f>HYPERLINK("https://www1.hkexnews.hk/listedco/listconews/sehk/2023/0629/2023062900043.pdf","prospectus")</f>
        <v/>
      </c>
      <c r="BZ199" s="127">
        <f>HYPERLINK("https://www1.hkexnews.hk/listedco/listconews/sehk/2023/0710/2023071000008.htm","allotment")</f>
        <v/>
      </c>
      <c r="CA199" s="127">
        <f>HYPERLINK("https://www1.hkexnews.hk/listedco/listconews/sehk/2023/0803/2023080302096.pdf","stabilisation")</f>
        <v/>
      </c>
      <c r="CB199" s="128" t="n"/>
      <c r="CC199" s="108" t="inlineStr">
        <is>
          <t>P/E: loss-making at IPO, use P/S; cornerstone: % from the prospectus; AAStocks table includes non-cornerstone orders; deal size: stated gross HK$54.5m rejected, below the net proceeds of HK$1,258.9m; allocation: allocation table not in this notice's format (older prose announcement); day-1 tape: volume on file; the retail multiple needs the final public split, which this notice does not state</t>
        </is>
      </c>
    </row>
    <row r="200" ht="22" customHeight="1">
      <c r="A200" s="107" t="inlineStr">
        <is>
          <t>3650</t>
        </is>
      </c>
      <c r="B200" s="108" t="inlineStr">
        <is>
          <t>KEEP</t>
        </is>
      </c>
      <c r="C200" s="108" t="inlineStr">
        <is>
          <t>KEEP</t>
        </is>
      </c>
      <c r="D200" s="108" t="inlineStr">
        <is>
          <t>Tech/AI</t>
        </is>
      </c>
      <c r="E200" s="108" t="inlineStr">
        <is>
          <t>Internet platform / e-commerce</t>
        </is>
      </c>
      <c r="F200" s="108" t="inlineStr">
        <is>
          <t>Leisure Products</t>
        </is>
      </c>
      <c r="G200" s="108" t="inlineStr">
        <is>
          <t>Standard</t>
        </is>
      </c>
      <c r="H200" s="109" t="n">
        <v>45119</v>
      </c>
      <c r="I200" s="110" t="n">
        <v>313.5</v>
      </c>
      <c r="J200" s="108" t="inlineStr">
        <is>
          <t>gross (price x shares)</t>
        </is>
      </c>
      <c r="K200" s="129" t="n"/>
      <c r="L200" s="111" t="n">
        <v>28.92</v>
      </c>
      <c r="M200" s="111" t="n">
        <v>28.92</v>
      </c>
      <c r="N200" s="108" t="inlineStr">
        <is>
          <t>Y</t>
        </is>
      </c>
      <c r="O200" s="112" t="n">
        <v>100</v>
      </c>
      <c r="P200" s="118" t="n"/>
      <c r="Q200" s="113" t="n">
        <v>23755.1</v>
      </c>
      <c r="R200" s="108" t="inlineStr">
        <is>
          <t>aastocks:上市市值 at the struck price</t>
        </is>
      </c>
      <c r="S200" s="114" t="n">
        <v>3.08</v>
      </c>
      <c r="T200" s="115" t="n">
        <v>1.37</v>
      </c>
      <c r="U200" s="116" t="n">
        <v>13.8</v>
      </c>
      <c r="V200" s="117" t="n">
        <v>111</v>
      </c>
      <c r="W200" s="118" t="n"/>
      <c r="X200" s="119" t="n"/>
      <c r="Y200" s="113" t="n">
        <v>270.24</v>
      </c>
      <c r="Z200" s="113" t="n">
        <v>9342873</v>
      </c>
      <c r="AA200" s="112" t="n">
        <v>1.14</v>
      </c>
      <c r="AB200" s="108" t="inlineStr">
        <is>
          <t>Fuqing Shengde Calorie Investment Co., Ltd; Shenzhen Fenda Technology Co., Ltd; Xiamen Evere Sports Goods Co., Ltd</t>
        </is>
      </c>
      <c r="AC200" s="108" t="inlineStr">
        <is>
          <t>fuqing;shenzhen-fenda;xiamen</t>
        </is>
      </c>
      <c r="AD200" s="118" t="n"/>
      <c r="AE200" s="108" t="inlineStr">
        <is>
          <t>lapsed</t>
        </is>
      </c>
      <c r="AF200" s="108" t="inlineStr">
        <is>
          <t>2023-08-04</t>
        </is>
      </c>
      <c r="AG200" s="108" t="inlineStr">
        <is>
          <t>China International Capital Corporation Hong Kong Securities Limited</t>
        </is>
      </c>
      <c r="AH200" s="108" t="inlineStr">
        <is>
          <t>China International</t>
        </is>
      </c>
      <c r="AI200" s="120" t="n">
        <v>2.01</v>
      </c>
      <c r="AJ200" s="121" t="n">
        <v>0.28</v>
      </c>
      <c r="AK200" s="121" t="n">
        <v>2.04</v>
      </c>
      <c r="AL200" s="121" t="n">
        <v>4.77</v>
      </c>
      <c r="AM200" s="121" t="n">
        <v>-4.29</v>
      </c>
      <c r="AN200" s="122" t="n"/>
      <c r="AO200" s="112" t="n">
        <v>11.39</v>
      </c>
      <c r="AP200" s="121" t="n">
        <v>-0.24</v>
      </c>
      <c r="AQ200" s="121" t="n">
        <v>9.27</v>
      </c>
      <c r="AR200" s="121" t="n">
        <v>0.62</v>
      </c>
      <c r="AS200" s="121" t="n">
        <v>-0.52</v>
      </c>
      <c r="AT200" s="121" t="n">
        <v>8.960000000000001</v>
      </c>
      <c r="AU200" s="121" t="n">
        <v>0.34</v>
      </c>
      <c r="AV200" s="121" t="n">
        <v>-1.92</v>
      </c>
      <c r="AW200" s="121" t="n">
        <v>2.04</v>
      </c>
      <c r="AX200" s="121" t="n">
        <v>3.63</v>
      </c>
      <c r="AY200" s="121" t="n">
        <v>3.87</v>
      </c>
      <c r="AZ200" s="121" t="n">
        <v>7.23</v>
      </c>
      <c r="BA200" s="121" t="n">
        <v>5.09</v>
      </c>
      <c r="BB200" s="108" t="inlineStr">
        <is>
          <t>HSTECH (Hang Seng TECH ETF)</t>
        </is>
      </c>
      <c r="BC200" s="121" t="n">
        <v>-95.14</v>
      </c>
      <c r="BD200" s="109" t="n">
        <v>46297</v>
      </c>
      <c r="BE200" s="110" t="n">
        <v>959.7</v>
      </c>
      <c r="BF200" s="113" t="n">
        <v>-115</v>
      </c>
      <c r="BG200" s="108" t="inlineStr">
        <is>
          <t>N</t>
        </is>
      </c>
      <c r="BH200" s="108" t="inlineStr">
        <is>
          <t>n/m</t>
        </is>
      </c>
      <c r="BI200" s="122" t="n"/>
      <c r="BJ200" s="122" t="n"/>
      <c r="BK200" s="123" t="n">
        <v>24.8</v>
      </c>
      <c r="BL200" s="124">
        <f>IF('BBG Verify'!S200="","not filed; run on terminal",'BBG Verify'!S200)</f>
        <v/>
      </c>
      <c r="BM200" s="125" t="inlineStr">
        <is>
          <t>N</t>
        </is>
      </c>
      <c r="BN200" s="126">
        <f>IF('BBG Verify'!K200="","not filed; run on terminal",'BBG Verify'!K200)</f>
        <v/>
      </c>
      <c r="BO200" s="108" t="inlineStr">
        <is>
          <t>N/A</t>
        </is>
      </c>
      <c r="BP200" s="108" t="inlineStr">
        <is>
          <t>N/A</t>
        </is>
      </c>
      <c r="BQ200" s="108" t="inlineStr">
        <is>
          <t>N/A</t>
        </is>
      </c>
      <c r="BR200" s="108" t="inlineStr">
        <is>
          <t>N/A</t>
        </is>
      </c>
      <c r="BS200" s="108" t="inlineStr">
        <is>
          <t>N/A</t>
        </is>
      </c>
      <c r="BT200" s="108" t="inlineStr">
        <is>
          <t>N/A</t>
        </is>
      </c>
      <c r="BU200" s="125" t="inlineStr">
        <is>
          <t>China International Capital Corporation Hong Kong Securities Limited</t>
        </is>
      </c>
      <c r="BV200" s="108" t="inlineStr">
        <is>
          <t>China International Capital Corporation Hong Kong Securities Limited</t>
        </is>
      </c>
      <c r="BW200" s="108" t="inlineStr">
        <is>
          <t>China International Capital Corporation Hong Kong Securities Limited; GF Securities (Hong Kong) Brokerage Limited; CCB International Capital Limited; CMB International Capital Limited; Futu Securities International (Hong Kong) Limited; Tiger Brokers (HK) Global Limited</t>
        </is>
      </c>
      <c r="BX200" s="108"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Y200" s="127">
        <f>HYPERLINK("https://www1.hkexnews.hk/listedco/listconews/sehk/2023/0630/2023063000230.htm","prospectus")</f>
        <v/>
      </c>
      <c r="BZ200" s="127">
        <f>HYPERLINK("https://www1.hkexnews.hk/listedco/listconews/sehk/2023/0711/2023071100048.htm","allotment")</f>
        <v/>
      </c>
      <c r="CA200" s="127">
        <f>HYPERLINK("https://www1.hkexnews.hk/listedco/listconews/sehk/2023/0804/2023080401672.pdf","stabilisation")</f>
        <v/>
      </c>
      <c r="CB200" s="128" t="n"/>
      <c r="CC200" s="108" t="inlineStr">
        <is>
          <t>P/E: loss-making at IPO, use P/S; price range: fixed-price offering (no indicative range); range low: maximum offer price only, no floor published; sponsor: English name not in the filing; AAStocks 保薦人 shown; market cap: prospectus 'market capitalisation' line is the listing-rule threshold, not the issuer's figure; rejected; greenshoe size: no over-allotment option; allocation: allocation table not in this notice's format (older prose announcement); day-1 tape: volume on file; the retail multiple needs the final public split, which this notice does not state</t>
        </is>
      </c>
    </row>
    <row r="201" ht="22" customHeight="1">
      <c r="A201" s="107" t="inlineStr">
        <is>
          <t>6683</t>
        </is>
      </c>
      <c r="B201" s="108" t="inlineStr">
        <is>
          <t>STARPLUS LEGEND</t>
        </is>
      </c>
      <c r="C201" s="108" t="inlineStr">
        <is>
          <t>巨星傳奇</t>
        </is>
      </c>
      <c r="D201" s="108" t="inlineStr">
        <is>
          <t>TMT-other</t>
        </is>
      </c>
      <c r="E201" s="108" t="inlineStr">
        <is>
          <t>Media / advertising</t>
        </is>
      </c>
      <c r="F201" s="108" t="inlineStr">
        <is>
          <t>Beverages (Non-alcoholic)</t>
        </is>
      </c>
      <c r="G201" s="108" t="inlineStr">
        <is>
          <t>Standard</t>
        </is>
      </c>
      <c r="H201" s="109" t="n">
        <v>45120</v>
      </c>
      <c r="I201" s="110" t="n">
        <v>245.2</v>
      </c>
      <c r="J201" s="108" t="inlineStr">
        <is>
          <t>net proceeds</t>
        </is>
      </c>
      <c r="K201" s="129" t="n"/>
      <c r="L201" s="111" t="n">
        <v>4.25</v>
      </c>
      <c r="M201" s="111" t="n">
        <v>4.25</v>
      </c>
      <c r="N201" s="108" t="inlineStr">
        <is>
          <t>Y</t>
        </is>
      </c>
      <c r="O201" s="112" t="n">
        <v>100</v>
      </c>
      <c r="P201" s="118" t="n"/>
      <c r="Q201" s="113" t="n">
        <v>10660.9</v>
      </c>
      <c r="R201" s="108" t="inlineStr">
        <is>
          <t>derived:deal size / offer % of enlarged capital</t>
        </is>
      </c>
      <c r="S201" s="114" t="n">
        <v>12.99</v>
      </c>
      <c r="T201" s="115" t="n">
        <v>1.15</v>
      </c>
      <c r="U201" s="116" t="n">
        <v>3.3</v>
      </c>
      <c r="V201" s="117" t="n">
        <v>147</v>
      </c>
      <c r="W201" s="118" t="n"/>
      <c r="X201" s="119" t="n"/>
      <c r="Y201" s="113" t="n">
        <v>237.11</v>
      </c>
      <c r="Z201" s="131" t="n"/>
      <c r="AA201" s="112" t="n">
        <v>2.22</v>
      </c>
      <c r="AB201" s="108" t="inlineStr">
        <is>
          <t>Blink Field Limited; NETDRAGON WEBSOFT INC</t>
        </is>
      </c>
      <c r="AC201" s="108" t="inlineStr">
        <is>
          <t>blink;netdragon</t>
        </is>
      </c>
      <c r="AD201" s="112" t="n">
        <v>17.9</v>
      </c>
      <c r="AE201" s="108" t="inlineStr">
        <is>
          <t>partial</t>
        </is>
      </c>
      <c r="AF201" s="108" t="inlineStr">
        <is>
          <t>2023-08-04</t>
        </is>
      </c>
      <c r="AG201" s="108" t="inlineStr">
        <is>
          <t>Bradbury Securities Limited</t>
        </is>
      </c>
      <c r="AH201" s="108" t="inlineStr">
        <is>
          <t>Bradbury</t>
        </is>
      </c>
      <c r="AI201" s="120" t="n">
        <v>33.41</v>
      </c>
      <c r="AJ201" s="121" t="n">
        <v>23.76</v>
      </c>
      <c r="AK201" s="121" t="n">
        <v>2.6</v>
      </c>
      <c r="AL201" s="121" t="n">
        <v>35.29</v>
      </c>
      <c r="AM201" s="121" t="n">
        <v>-8.52</v>
      </c>
      <c r="AN201" s="122" t="n"/>
      <c r="AO201" s="112" t="n">
        <v>19.13</v>
      </c>
      <c r="AP201" s="121" t="n">
        <v>67.06</v>
      </c>
      <c r="AQ201" s="121" t="n">
        <v>34.35</v>
      </c>
      <c r="AR201" s="121" t="n">
        <v>102.35</v>
      </c>
      <c r="AS201" s="121" t="n">
        <v>34.99</v>
      </c>
      <c r="AT201" s="121" t="n">
        <v>8.56</v>
      </c>
      <c r="AU201" s="121" t="n">
        <v>63.5</v>
      </c>
      <c r="AV201" s="121" t="n">
        <v>65.92</v>
      </c>
      <c r="AW201" s="121" t="n">
        <v>34.81</v>
      </c>
      <c r="AX201" s="121" t="n">
        <v>108.82</v>
      </c>
      <c r="AY201" s="121" t="n">
        <v>11.54</v>
      </c>
      <c r="AZ201" s="121" t="n">
        <v>-0.46</v>
      </c>
      <c r="BA201" s="121" t="n">
        <v>-2.98</v>
      </c>
      <c r="BB201" s="108" t="inlineStr">
        <is>
          <t>Hang Seng Index</t>
        </is>
      </c>
      <c r="BC201" s="121" t="n">
        <v>-12.12</v>
      </c>
      <c r="BD201" s="109" t="n">
        <v>46297</v>
      </c>
      <c r="BE201" s="110" t="n">
        <v>401.9</v>
      </c>
      <c r="BF201" s="113" t="n">
        <v>47.2</v>
      </c>
      <c r="BG201" s="108" t="inlineStr">
        <is>
          <t>Y</t>
        </is>
      </c>
      <c r="BH201" s="123" t="n">
        <v>225.9</v>
      </c>
      <c r="BI201" s="122" t="n"/>
      <c r="BJ201" s="122" t="n"/>
      <c r="BK201" s="123" t="n">
        <v>26.5</v>
      </c>
      <c r="BL201" s="124">
        <f>IF('BBG Verify'!S201="","not filed; run on terminal",'BBG Verify'!S201)</f>
        <v/>
      </c>
      <c r="BM201" s="125" t="inlineStr">
        <is>
          <t>N</t>
        </is>
      </c>
      <c r="BN201" s="126">
        <f>IF('BBG Verify'!K201="","not filed; run on terminal",'BBG Verify'!K201)</f>
        <v/>
      </c>
      <c r="BO201" s="108" t="inlineStr">
        <is>
          <t>N/A</t>
        </is>
      </c>
      <c r="BP201" s="108" t="inlineStr">
        <is>
          <t>N/A</t>
        </is>
      </c>
      <c r="BQ201" s="108" t="inlineStr">
        <is>
          <t>N/A</t>
        </is>
      </c>
      <c r="BR201" s="108" t="inlineStr">
        <is>
          <t>N/A</t>
        </is>
      </c>
      <c r="BS201" s="108" t="inlineStr">
        <is>
          <t>N/A</t>
        </is>
      </c>
      <c r="BT201" s="108" t="inlineStr">
        <is>
          <t>N/A</t>
        </is>
      </c>
      <c r="BU201" s="125" t="inlineStr">
        <is>
          <t>CMBC International Capital Limited</t>
        </is>
      </c>
      <c r="BV201" s="108" t="inlineStr">
        <is>
          <t>CMBC International Capital Limited</t>
        </is>
      </c>
      <c r="BW201" s="108" t="inlineStr">
        <is>
          <t>ABCI Capital Limited</t>
        </is>
      </c>
      <c r="BX201" s="108" t="inlineStr">
        <is>
          <t>ABCI Securities Company Limited; Bradbury Securities Limited; Beta International Securities Limited; CCB International Capital Limited; China Demeter Securities Limited; China Everbright Securities (HK) Limited; China Industrial Securities International Capital Limited; CMBC Securities Company Limited; Essence International Securities (Hong Kong) Limited; Eddid Securities and Futures Limited; First Shanghai Securities Limited; Futu Securities International (Hong Kong) Limited</t>
        </is>
      </c>
      <c r="BY201" s="127">
        <f>HYPERLINK("https://www1.hkexnews.hk/listedco/listconews/sehk/2023/0630/2023063000037.pdf","prospectus")</f>
        <v/>
      </c>
      <c r="BZ201" s="127">
        <f>HYPERLINK("https://www1.hkexnews.hk/listedco/listconews/sehk/2023/0712/2023071200010.htm","allotment")</f>
        <v/>
      </c>
      <c r="CA201" s="127">
        <f>HYPERLINK("https://www1.hkexnews.hk/listedco/listconews/sehk/2023/0804/2023080401278.pdf","stabilisation")</f>
        <v/>
      </c>
      <c r="CB201" s="128" t="n"/>
      <c r="CC201" s="108" t="inlineStr">
        <is>
          <t>range low: maximum offer price only, no floor published; cornerstone: % from the prospectus; AAStocks table includes non-cornerstone orders; eff float shares: share count unavailable; the HK$m figure is exact; allocation: allocation table not in this notice's format (older prose announcement); day-1 tape: volume on file; the retail multiple needs the final public split, which this notice does not state</t>
        </is>
      </c>
    </row>
    <row r="202" ht="22" customHeight="1">
      <c r="A202" s="107" t="inlineStr">
        <is>
          <t>1284</t>
        </is>
      </c>
      <c r="B202" s="108" t="inlineStr">
        <is>
          <t>NEW MEDIA LAB</t>
        </is>
      </c>
      <c r="C202" s="108" t="inlineStr">
        <is>
          <t>新傳企劃</t>
        </is>
      </c>
      <c r="D202" s="108" t="inlineStr">
        <is>
          <t>TMT-other</t>
        </is>
      </c>
      <c r="E202" s="108" t="inlineStr">
        <is>
          <t>Media / advertising</t>
        </is>
      </c>
      <c r="F202" s="108" t="inlineStr">
        <is>
          <t>Advertising</t>
        </is>
      </c>
      <c r="G202" s="108" t="inlineStr">
        <is>
          <t>Standard</t>
        </is>
      </c>
      <c r="H202" s="109" t="n">
        <v>45125</v>
      </c>
      <c r="I202" s="110" t="n">
        <v>138</v>
      </c>
      <c r="J202" s="108" t="inlineStr">
        <is>
          <t>gross (price x shares)</t>
        </is>
      </c>
      <c r="K202" s="111" t="n">
        <v>0.84</v>
      </c>
      <c r="L202" s="111" t="n">
        <v>0.92</v>
      </c>
      <c r="M202" s="111" t="n">
        <v>0.92</v>
      </c>
      <c r="N202" s="108" t="inlineStr">
        <is>
          <t>Y</t>
        </is>
      </c>
      <c r="O202" s="112" t="n">
        <v>100</v>
      </c>
      <c r="P202" s="112" t="n">
        <v>100</v>
      </c>
      <c r="Q202" s="113" t="n">
        <v>552</v>
      </c>
      <c r="R202" s="108" t="inlineStr">
        <is>
          <t>derived:deal size / offer % of enlarged capital</t>
        </is>
      </c>
      <c r="S202" s="114" t="n">
        <v>1.5</v>
      </c>
      <c r="T202" s="115" t="n">
        <v>1.5</v>
      </c>
      <c r="U202" s="116" t="n">
        <v>0</v>
      </c>
      <c r="V202" s="117" t="n">
        <v>177</v>
      </c>
      <c r="W202" s="118" t="n"/>
      <c r="X202" s="119" t="n"/>
      <c r="Y202" s="113" t="n">
        <v>138</v>
      </c>
      <c r="Z202" s="113" t="n">
        <v>150000000</v>
      </c>
      <c r="AA202" s="112" t="n">
        <v>25</v>
      </c>
      <c r="AB202" s="108" t="inlineStr">
        <is>
          <t>none — no cornerstone tranche</t>
        </is>
      </c>
      <c r="AC202" s="108" t="inlineStr">
        <is>
          <t>none</t>
        </is>
      </c>
      <c r="AD202" s="118" t="n"/>
      <c r="AE202" s="119" t="n"/>
      <c r="AF202" s="119" t="n"/>
      <c r="AG202" s="119" t="n"/>
      <c r="AH202" s="119" t="n"/>
      <c r="AI202" s="120" t="n">
        <v>2.17</v>
      </c>
      <c r="AJ202" s="121" t="n">
        <v>1.09</v>
      </c>
      <c r="AK202" s="121" t="n">
        <v>-2.05</v>
      </c>
      <c r="AL202" s="121" t="n">
        <v>-4.35</v>
      </c>
      <c r="AM202" s="121" t="n">
        <v>5.69</v>
      </c>
      <c r="AN202" s="122" t="n"/>
      <c r="AO202" s="112" t="n">
        <v>10.23</v>
      </c>
      <c r="AP202" s="121" t="n">
        <v>1.09</v>
      </c>
      <c r="AQ202" s="121" t="n">
        <v>-38.04</v>
      </c>
      <c r="AR202" s="121" t="n">
        <v>-53.26</v>
      </c>
      <c r="AS202" s="121" t="n">
        <v>0</v>
      </c>
      <c r="AT202" s="121" t="n">
        <v>-38.71</v>
      </c>
      <c r="AU202" s="121" t="n">
        <v>-53.76</v>
      </c>
      <c r="AV202" s="121" t="n">
        <v>0.98</v>
      </c>
      <c r="AW202" s="121" t="n">
        <v>-32.45</v>
      </c>
      <c r="AX202" s="121" t="n">
        <v>-44.6</v>
      </c>
      <c r="AY202" s="121" t="n">
        <v>-35.1</v>
      </c>
      <c r="AZ202" s="121" t="n">
        <v>-5.59</v>
      </c>
      <c r="BA202" s="121" t="n">
        <v>-3.61</v>
      </c>
      <c r="BB202" s="108" t="inlineStr">
        <is>
          <t>Hang Seng Index</t>
        </is>
      </c>
      <c r="BC202" s="121" t="n">
        <v>-34.78</v>
      </c>
      <c r="BD202" s="109" t="n">
        <v>46297</v>
      </c>
      <c r="BE202" s="110" t="n">
        <v>240.7</v>
      </c>
      <c r="BF202" s="113" t="n">
        <v>39.4</v>
      </c>
      <c r="BG202" s="108" t="inlineStr">
        <is>
          <t>Y</t>
        </is>
      </c>
      <c r="BH202" s="123" t="n">
        <v>14</v>
      </c>
      <c r="BI202" s="122" t="n"/>
      <c r="BJ202" s="123" t="n">
        <v>22.9</v>
      </c>
      <c r="BK202" s="123" t="n">
        <v>2.3</v>
      </c>
      <c r="BL202" s="124">
        <f>IF('BBG Verify'!S202="","not filed; run on terminal",'BBG Verify'!S202)</f>
        <v/>
      </c>
      <c r="BM202" s="125" t="inlineStr">
        <is>
          <t>N</t>
        </is>
      </c>
      <c r="BN202" s="126">
        <f>IF('BBG Verify'!K202="","not filed; run on terminal",'BBG Verify'!K202)</f>
        <v/>
      </c>
      <c r="BO202" s="108" t="inlineStr">
        <is>
          <t>N/A</t>
        </is>
      </c>
      <c r="BP202" s="108" t="inlineStr">
        <is>
          <t>N/A</t>
        </is>
      </c>
      <c r="BQ202" s="108" t="inlineStr">
        <is>
          <t>N/A</t>
        </is>
      </c>
      <c r="BR202" s="108" t="inlineStr">
        <is>
          <t>N/A</t>
        </is>
      </c>
      <c r="BS202" s="108" t="inlineStr">
        <is>
          <t>N/A</t>
        </is>
      </c>
      <c r="BT202" s="108" t="inlineStr">
        <is>
          <t>N/A</t>
        </is>
      </c>
      <c r="BU202" s="125" t="inlineStr">
        <is>
          <t>Emperor Corporate Finance Limited; Lego Corporate Finance Limited</t>
        </is>
      </c>
      <c r="BV202" s="108" t="inlineStr">
        <is>
          <t>Emperor Corporate Finance Limited; Lego Corporate Finance Limited</t>
        </is>
      </c>
      <c r="BW202" s="108" t="inlineStr">
        <is>
          <t>Emperor Corporate Finance Limited; Lego Securities Limited; Emperor Securities Limited; China Galaxy International Securities (Hong Kong) Co., Limited</t>
        </is>
      </c>
      <c r="BX202" s="108" t="inlineStr">
        <is>
          <t>China Galaxy International Securities (Hong Kong) Company Limited; Emperor Securities Limited; Guotai Junan Securities (Hong Kong) Limited; Lego Securities Limited</t>
        </is>
      </c>
      <c r="BY202" s="127">
        <f>HYPERLINK("https://www1.hkexnews.hk/listedco/listconews/sehk/2023/0630/2023063000045.pdf","prospectus")</f>
        <v/>
      </c>
      <c r="BZ202" s="127">
        <f>HYPERLINK("https://www1.hkexnews.hk/listedco/listconews/sehk/2023/0714/2023071400016.htm","allotment")</f>
        <v/>
      </c>
      <c r="CA202" s="119" t="n"/>
      <c r="CB202" s="128" t="n"/>
      <c r="CC202" s="108" t="inlineStr">
        <is>
          <t>greenshoe: no over-allotment option; cornerstone list: no cornerstone tranche; greenshoe size: no over-allotment option; stabilising manager: no over-allotment option, so none appointed; listing date: scheduled 2023-07-17, exchange closed that day; first dealings 2023-07-18; allocation: allocation table not in this notice's format (older prose announcement); day-1 tape: volume on file; the retail multiple needs the final public split, which this notice does not state</t>
        </is>
      </c>
    </row>
    <row r="203" ht="22" customHeight="1">
      <c r="A203" s="107" t="inlineStr">
        <is>
          <t>2271</t>
        </is>
      </c>
      <c r="B203" s="108" t="inlineStr">
        <is>
          <t>ZHONGAN SERVICE</t>
        </is>
      </c>
      <c r="C203" s="108" t="inlineStr">
        <is>
          <t>眾安智慧生活</t>
        </is>
      </c>
      <c r="D203" s="108" t="inlineStr">
        <is>
          <t>Real Estate</t>
        </is>
      </c>
      <c r="E203" s="108" t="inlineStr">
        <is>
          <t>Property management</t>
        </is>
      </c>
      <c r="F203" s="108" t="inlineStr">
        <is>
          <t>Property Service and Management</t>
        </is>
      </c>
      <c r="G203" s="108" t="inlineStr">
        <is>
          <t>Standard</t>
        </is>
      </c>
      <c r="H203" s="109" t="n">
        <v>45125</v>
      </c>
      <c r="I203" s="110" t="n">
        <v>149.5</v>
      </c>
      <c r="J203" s="108" t="inlineStr">
        <is>
          <t>gross (price x shares)</t>
        </is>
      </c>
      <c r="K203" s="111" t="n">
        <v>1.18</v>
      </c>
      <c r="L203" s="111" t="n">
        <v>1.48</v>
      </c>
      <c r="M203" s="111" t="n">
        <v>1.18</v>
      </c>
      <c r="N203" s="108" t="inlineStr">
        <is>
          <t>N</t>
        </is>
      </c>
      <c r="O203" s="112" t="n">
        <v>79.7</v>
      </c>
      <c r="P203" s="112" t="n">
        <v>0</v>
      </c>
      <c r="Q203" s="113" t="n">
        <v>598</v>
      </c>
      <c r="R203" s="108" t="inlineStr">
        <is>
          <t>derived:deal size / offer % of enlarged capital</t>
        </is>
      </c>
      <c r="S203" s="114" t="n">
        <v>1.84</v>
      </c>
      <c r="T203" s="115" t="n">
        <v>1.63</v>
      </c>
      <c r="U203" s="116" t="n">
        <v>13.8</v>
      </c>
      <c r="V203" s="117" t="n">
        <v>130</v>
      </c>
      <c r="W203" s="118" t="n"/>
      <c r="X203" s="119" t="n"/>
      <c r="Y203" s="113" t="n">
        <v>128.87</v>
      </c>
      <c r="Z203" s="113" t="n">
        <v>109187816</v>
      </c>
      <c r="AA203" s="112" t="n">
        <v>21.55</v>
      </c>
      <c r="AB203" s="108" t="inlineStr">
        <is>
          <t>Heyuan Trading (Hong Kong) Limited; Wu Mingwu</t>
        </is>
      </c>
      <c r="AC203" s="108" t="inlineStr">
        <is>
          <t>heyuan;wu-mingwu</t>
        </is>
      </c>
      <c r="AD203" s="112" t="n">
        <v>10</v>
      </c>
      <c r="AE203" s="108" t="inlineStr">
        <is>
          <t>partial</t>
        </is>
      </c>
      <c r="AF203" s="108" t="inlineStr">
        <is>
          <t>2023-08-10</t>
        </is>
      </c>
      <c r="AG203" s="108" t="inlineStr">
        <is>
          <t>Huatai Financial Holdings</t>
        </is>
      </c>
      <c r="AH203" s="108" t="inlineStr">
        <is>
          <t>Huatai</t>
        </is>
      </c>
      <c r="AI203" s="130" t="n"/>
      <c r="AJ203" s="121" t="n">
        <v>2.54</v>
      </c>
      <c r="AK203" s="121" t="n">
        <v>-2.47</v>
      </c>
      <c r="AL203" s="121" t="n">
        <v>3.39</v>
      </c>
      <c r="AM203" s="121" t="n">
        <v>-0.82</v>
      </c>
      <c r="AN203" s="122" t="n"/>
      <c r="AO203" s="112" t="n">
        <v>8.199999999999999</v>
      </c>
      <c r="AP203" s="121" t="n">
        <v>-10.17</v>
      </c>
      <c r="AQ203" s="121" t="n">
        <v>-27.12</v>
      </c>
      <c r="AR203" s="121" t="n">
        <v>-43.22</v>
      </c>
      <c r="AS203" s="121" t="n">
        <v>-12.4</v>
      </c>
      <c r="AT203" s="121" t="n">
        <v>-28.93</v>
      </c>
      <c r="AU203" s="121" t="n">
        <v>-44.63</v>
      </c>
      <c r="AV203" s="121" t="n">
        <v>-11.75</v>
      </c>
      <c r="AW203" s="121" t="n">
        <v>-19.42</v>
      </c>
      <c r="AX203" s="121" t="n">
        <v>-27.99</v>
      </c>
      <c r="AY203" s="121" t="n">
        <v>-23.57</v>
      </c>
      <c r="AZ203" s="121" t="n">
        <v>-7.7</v>
      </c>
      <c r="BA203" s="121" t="n">
        <v>-5.36</v>
      </c>
      <c r="BB203" s="108" t="inlineStr">
        <is>
          <t>Hang Seng Properties sub-index</t>
        </is>
      </c>
      <c r="BC203" s="121" t="n">
        <v>211.86</v>
      </c>
      <c r="BD203" s="109" t="n">
        <v>46297</v>
      </c>
      <c r="BE203" s="110" t="n">
        <v>351.7</v>
      </c>
      <c r="BF203" s="113" t="n">
        <v>56</v>
      </c>
      <c r="BG203" s="108" t="inlineStr">
        <is>
          <t>Y</t>
        </is>
      </c>
      <c r="BH203" s="123" t="n">
        <v>10.7</v>
      </c>
      <c r="BI203" s="122" t="n"/>
      <c r="BJ203" s="123" t="n">
        <v>42</v>
      </c>
      <c r="BK203" s="123" t="n">
        <v>1.7</v>
      </c>
      <c r="BL203" s="124">
        <f>IF('BBG Verify'!S203="","not filed; run on terminal",'BBG Verify'!S203)</f>
        <v/>
      </c>
      <c r="BM203" s="125" t="inlineStr">
        <is>
          <t>N</t>
        </is>
      </c>
      <c r="BN203" s="126">
        <f>IF('BBG Verify'!K203="","not filed; run on terminal",'BBG Verify'!K203)</f>
        <v/>
      </c>
      <c r="BO203" s="108" t="inlineStr">
        <is>
          <t>N/A</t>
        </is>
      </c>
      <c r="BP203" s="108" t="inlineStr">
        <is>
          <t>N/A</t>
        </is>
      </c>
      <c r="BQ203" s="108" t="inlineStr">
        <is>
          <t>N/A</t>
        </is>
      </c>
      <c r="BR203" s="108" t="inlineStr">
        <is>
          <t>N/A</t>
        </is>
      </c>
      <c r="BS203" s="108" t="inlineStr">
        <is>
          <t>N/A</t>
        </is>
      </c>
      <c r="BT203" s="108" t="inlineStr">
        <is>
          <t>N/A</t>
        </is>
      </c>
      <c r="BU203" s="125" t="inlineStr">
        <is>
          <t>China Merchants Securities (HK) Co., Limited; Huatai Financial Holdings (Hong Kong) Limited</t>
        </is>
      </c>
      <c r="BV203" s="108" t="inlineStr">
        <is>
          <t>Huatai Financial Holdings (Hong Kong) Limited; China Merchants Securities (HK) Company Limited</t>
        </is>
      </c>
      <c r="BW203" s="108" t="inlineStr">
        <is>
          <t>Guotai Junan Securities (Hong Kong) Limited; CCB International Capital Limited; Victory Securities Company Limited</t>
        </is>
      </c>
      <c r="BX203" s="108" t="inlineStr">
        <is>
          <t>CCB International Capital Limited; China Merchants Securities (HK) Company Limited; Guotai Junan Securities (Hong Kong) Limited; Huatai Financial Holdings (Hong Kong) Limited; Victory Securities Company Limited</t>
        </is>
      </c>
      <c r="BY203" s="127">
        <f>HYPERLINK("https://www1.hkexnews.hk/listedco/listconews/sehk/2023/0630/2023063000209.pdf","prospectus")</f>
        <v/>
      </c>
      <c r="BZ203" s="127">
        <f>HYPERLINK("https://www1.hkexnews.hk/listedco/listconews/sehk/2023/0717/2023071700006.htm","allotment")</f>
        <v/>
      </c>
      <c r="CA203" s="127">
        <f>HYPERLINK("https://www1.hkexnews.hk/listedco/listconews/sehk/2023/0810/2023081001406.pdf","stabilisation")</f>
        <v/>
      </c>
      <c r="CB203" s="128" t="n"/>
      <c r="CC203" s="108" t="inlineStr">
        <is>
          <t>grey market: close not verified in the captured sources; historical press archives may hold one; allocation: allocation table not in this notice's format (older prose announcement); day-1 tape: volume on file; the retail multiple needs the final public split, which this notice does not state</t>
        </is>
      </c>
    </row>
    <row r="204" ht="22" customHeight="1">
      <c r="A204" s="107" t="inlineStr">
        <is>
          <t>1541</t>
        </is>
      </c>
      <c r="B204" s="108" t="inlineStr">
        <is>
          <t>IMMUNEONCO-B</t>
        </is>
      </c>
      <c r="C204" s="108" t="inlineStr">
        <is>
          <t>宜明昂科－Ｂ</t>
        </is>
      </c>
      <c r="D204" s="108" t="inlineStr">
        <is>
          <t>Healthcare</t>
        </is>
      </c>
      <c r="E204" s="108" t="inlineStr">
        <is>
          <t>Biotech pre-revenue (18A)</t>
        </is>
      </c>
      <c r="F204" s="108" t="inlineStr">
        <is>
          <t>Biotechnology - Pharmaceuticals</t>
        </is>
      </c>
      <c r="G204" s="108" t="inlineStr">
        <is>
          <t>18A</t>
        </is>
      </c>
      <c r="H204" s="109" t="n">
        <v>45174</v>
      </c>
      <c r="I204" s="110" t="n">
        <v>318.9</v>
      </c>
      <c r="J204" s="108" t="inlineStr">
        <is>
          <t>gross (price x shares)</t>
        </is>
      </c>
      <c r="K204" s="129" t="n"/>
      <c r="L204" s="111" t="n">
        <v>18.6</v>
      </c>
      <c r="M204" s="111" t="n">
        <v>18.6</v>
      </c>
      <c r="N204" s="108" t="inlineStr">
        <is>
          <t>Y</t>
        </is>
      </c>
      <c r="O204" s="112" t="n">
        <v>100</v>
      </c>
      <c r="P204" s="118" t="n"/>
      <c r="Q204" s="113" t="n">
        <v>6132.7</v>
      </c>
      <c r="R204" s="108" t="inlineStr">
        <is>
          <t>derived:deal size / offer % of enlarged capital</t>
        </is>
      </c>
      <c r="S204" s="114" t="n">
        <v>9.98</v>
      </c>
      <c r="T204" s="115" t="n">
        <v>1.06</v>
      </c>
      <c r="U204" s="116" t="n">
        <v>72.81</v>
      </c>
      <c r="V204" s="117" t="n">
        <v>161</v>
      </c>
      <c r="W204" s="118" t="n"/>
      <c r="X204" s="119" t="n"/>
      <c r="Y204" s="113" t="n">
        <v>86.70999999999999</v>
      </c>
      <c r="Z204" s="113" t="n">
        <v>4662324</v>
      </c>
      <c r="AA204" s="112" t="n">
        <v>1.41</v>
      </c>
      <c r="AB204" s="108" t="inlineStr">
        <is>
          <t>ClinChoice Medical Development Limited; Harvest International Premium Value (Secondary Market) Fund SPC; RemeGen Hong Kong Limited; WuXi Biologics HealthCare Venture</t>
        </is>
      </c>
      <c r="AC204" s="108" t="inlineStr">
        <is>
          <t>clinchoice;harvest;remegen;wuxi</t>
        </is>
      </c>
      <c r="AD204" s="112" t="n">
        <v>5.2</v>
      </c>
      <c r="AE204" s="108" t="inlineStr">
        <is>
          <t>partial</t>
        </is>
      </c>
      <c r="AF204" s="108" t="inlineStr">
        <is>
          <t>2023-09-28</t>
        </is>
      </c>
      <c r="AG204" s="108" t="inlineStr">
        <is>
          <t>Morgan Stanley Asia Limited</t>
        </is>
      </c>
      <c r="AH204" s="108" t="inlineStr">
        <is>
          <t>Morgan Stanley</t>
        </is>
      </c>
      <c r="AI204" s="120" t="n">
        <v>12.9</v>
      </c>
      <c r="AJ204" s="121" t="n">
        <v>4.95</v>
      </c>
      <c r="AK204" s="121" t="n">
        <v>-0.19</v>
      </c>
      <c r="AL204" s="121" t="n">
        <v>13.98</v>
      </c>
      <c r="AM204" s="121" t="n">
        <v>-7.92</v>
      </c>
      <c r="AN204" s="122" t="n"/>
      <c r="AO204" s="112" t="n">
        <v>12.74</v>
      </c>
      <c r="AP204" s="121" t="n">
        <v>34.41</v>
      </c>
      <c r="AQ204" s="121" t="n">
        <v>38.17</v>
      </c>
      <c r="AR204" s="121" t="n">
        <v>52.96</v>
      </c>
      <c r="AS204" s="121" t="n">
        <v>28.07</v>
      </c>
      <c r="AT204" s="121" t="n">
        <v>31.65</v>
      </c>
      <c r="AU204" s="121" t="n">
        <v>45.75</v>
      </c>
      <c r="AV204" s="121" t="n">
        <v>35.61</v>
      </c>
      <c r="AW204" s="121" t="n">
        <v>35.54</v>
      </c>
      <c r="AX204" s="121" t="n">
        <v>47.82</v>
      </c>
      <c r="AY204" s="121" t="n">
        <v>28.82</v>
      </c>
      <c r="AZ204" s="121" t="n">
        <v>2.63</v>
      </c>
      <c r="BA204" s="121" t="n">
        <v>2.83</v>
      </c>
      <c r="BB204" s="108" t="inlineStr">
        <is>
          <t>China Biotech ETF (HS biotech proxy)</t>
        </is>
      </c>
      <c r="BC204" s="121" t="n">
        <v>-81.83</v>
      </c>
      <c r="BD204" s="109" t="n">
        <v>46297</v>
      </c>
      <c r="BE204" s="110" t="n">
        <v>0.3</v>
      </c>
      <c r="BF204" s="113" t="n">
        <v>-164</v>
      </c>
      <c r="BG204" s="108" t="inlineStr">
        <is>
          <t>N</t>
        </is>
      </c>
      <c r="BH204" s="108" t="inlineStr">
        <is>
          <t>n/m</t>
        </is>
      </c>
      <c r="BI204" s="122" t="n"/>
      <c r="BJ204" s="122" t="n"/>
      <c r="BK204" s="123" t="n">
        <v>20442.3</v>
      </c>
      <c r="BL204" s="124">
        <f>IF('BBG Verify'!S204="","not filed; run on terminal",'BBG Verify'!S204)</f>
        <v/>
      </c>
      <c r="BM204" s="125" t="inlineStr">
        <is>
          <t>N</t>
        </is>
      </c>
      <c r="BN204" s="126">
        <f>IF('BBG Verify'!K204="","not filed; run on terminal",'BBG Verify'!K204)</f>
        <v/>
      </c>
      <c r="BO204" s="108" t="inlineStr">
        <is>
          <t>N/A</t>
        </is>
      </c>
      <c r="BP204" s="108" t="inlineStr">
        <is>
          <t>N/A</t>
        </is>
      </c>
      <c r="BQ204" s="108" t="inlineStr">
        <is>
          <t>N/A</t>
        </is>
      </c>
      <c r="BR204" s="108" t="inlineStr">
        <is>
          <t>N/A</t>
        </is>
      </c>
      <c r="BS204" s="108" t="inlineStr">
        <is>
          <t>N/A</t>
        </is>
      </c>
      <c r="BT204" s="108" t="inlineStr">
        <is>
          <t>N/A</t>
        </is>
      </c>
      <c r="BU204" s="125" t="inlineStr">
        <is>
          <t>Morgan Stanley Asia Limited; China International Capital Corporation Hong Kong Securities Limited</t>
        </is>
      </c>
      <c r="BV204" s="108" t="inlineStr">
        <is>
          <t>China International Capital Corporation Hong Kong Securities Limited; Morgan Stanley Asia Limited</t>
        </is>
      </c>
      <c r="BW204" s="108" t="inlineStr">
        <is>
          <t>Morgan Stanley Asia Limited; China International Capital Corporation Hong Kong Securities Limited; Fosun International Securities Limited; CMB International Capital Limited; BOCI Asia Limited; ICBC International Securities Limited; Soochow Securities International Brokerage Limited; Futu Securities International (Hong Kong) Limited</t>
        </is>
      </c>
      <c r="BX204" s="108" t="inlineStr">
        <is>
          <t>BOCI Asia Limited; China International Capital Corporation Hong Kong Securities Limited; CMB International Capital Corporation Limited; Fosun International Securities Limited; Futu Securities International (Hong Kong) Limited; ICBC International Securities Limited; Morgan Stanley Asia Limited; Soochow Securities International Brokerage Limited</t>
        </is>
      </c>
      <c r="BY204" s="127">
        <f>HYPERLINK("https://www1.hkexnews.hk/listedco/listconews/sehk/2023/0824/2023082400037.pdf","prospectus")</f>
        <v/>
      </c>
      <c r="BZ204" s="127">
        <f>HYPERLINK("https://www1.hkexnews.hk/listedco/listconews/sehk/2023/0904/2023090400006.htm","allotment")</f>
        <v/>
      </c>
      <c r="CA204" s="127">
        <f>HYPERLINK("https://www1.hkexnews.hk/listedco/listconews/sehk/2023/0928/2023092802361.pdf","stabilisation")</f>
        <v/>
      </c>
      <c r="CB204" s="128" t="n"/>
      <c r="CC204" s="108" t="inlineStr">
        <is>
          <t>P/E: loss-making at IPO, use P/S; range low: maximum offer price only, no floor published; P/S: 20,442x on HK$0.3m revenue, effectively pre-revenue; not comparable; allocation: allocation table not in this notice's format (older prose announcement); day-1 tape: volume on file; the retail multiple needs the final public split, which this notice does not state</t>
        </is>
      </c>
    </row>
    <row r="205" ht="22" customHeight="1">
      <c r="A205" s="107" t="inlineStr">
        <is>
          <t>2496</t>
        </is>
      </c>
      <c r="B205" s="108" t="inlineStr">
        <is>
          <t>YZYBIO-B</t>
        </is>
      </c>
      <c r="C205" s="108" t="inlineStr">
        <is>
          <t>友芝友生物－Ｂ</t>
        </is>
      </c>
      <c r="D205" s="108" t="inlineStr">
        <is>
          <t>Healthcare</t>
        </is>
      </c>
      <c r="E205" s="108" t="inlineStr">
        <is>
          <t>Biotech pre-revenue (18A)</t>
        </is>
      </c>
      <c r="F205" s="108" t="inlineStr">
        <is>
          <t>Biotechnology - Pharmaceuticals</t>
        </is>
      </c>
      <c r="G205" s="108" t="inlineStr">
        <is>
          <t>18A</t>
        </is>
      </c>
      <c r="H205" s="109" t="n">
        <v>45194</v>
      </c>
      <c r="I205" s="110" t="n">
        <v>176</v>
      </c>
      <c r="J205" s="108" t="inlineStr">
        <is>
          <t>gross (price x shares)</t>
        </is>
      </c>
      <c r="K205" s="111" t="n">
        <v>16</v>
      </c>
      <c r="L205" s="111" t="n">
        <v>20</v>
      </c>
      <c r="M205" s="111" t="n">
        <v>16</v>
      </c>
      <c r="N205" s="108" t="inlineStr">
        <is>
          <t>N</t>
        </is>
      </c>
      <c r="O205" s="112" t="n">
        <v>80</v>
      </c>
      <c r="P205" s="112" t="n">
        <v>0</v>
      </c>
      <c r="Q205" s="113" t="n">
        <v>3087.7</v>
      </c>
      <c r="R205" s="108" t="inlineStr">
        <is>
          <t>derived:deal size / offer % of enlarged capital</t>
        </is>
      </c>
      <c r="S205" s="114" t="n">
        <v>13.81</v>
      </c>
      <c r="T205" s="115" t="n">
        <v>1.57</v>
      </c>
      <c r="U205" s="116" t="n">
        <v>37.3</v>
      </c>
      <c r="V205" s="117" t="n">
        <v>118</v>
      </c>
      <c r="W205" s="118" t="n"/>
      <c r="X205" s="119" t="n"/>
      <c r="Y205" s="113" t="n">
        <v>110.35</v>
      </c>
      <c r="Z205" s="113" t="n">
        <v>6897752</v>
      </c>
      <c r="AA205" s="112" t="n">
        <v>3.57</v>
      </c>
      <c r="AB205" s="108" t="inlineStr">
        <is>
          <t>Chengdu Puhua Kaizhi Biotechnology Co., Ltd; Wuhan Chuxing Yourui General Health Industry Investment Fund Partnership (Limite; Wuhan Optics Valley Health Industry Investment Ltd</t>
        </is>
      </c>
      <c r="AC205" s="108" t="inlineStr">
        <is>
          <t>chengdu;wuhan</t>
        </is>
      </c>
      <c r="AD205" s="112" t="n">
        <v>6.5</v>
      </c>
      <c r="AE205" s="108" t="inlineStr">
        <is>
          <t>partial</t>
        </is>
      </c>
      <c r="AF205" s="108" t="inlineStr">
        <is>
          <t>2023-10-18</t>
        </is>
      </c>
      <c r="AG205" s="108" t="inlineStr">
        <is>
          <t>China Securities</t>
        </is>
      </c>
      <c r="AH205" s="108" t="inlineStr">
        <is>
          <t>China Securities</t>
        </is>
      </c>
      <c r="AI205" s="120" t="n">
        <v>3.75</v>
      </c>
      <c r="AJ205" s="121" t="n">
        <v>0</v>
      </c>
      <c r="AK205" s="121" t="n">
        <v>1.49</v>
      </c>
      <c r="AL205" s="121" t="n">
        <v>2.5</v>
      </c>
      <c r="AM205" s="121" t="n">
        <v>-2.44</v>
      </c>
      <c r="AN205" s="122" t="n"/>
      <c r="AO205" s="112" t="n">
        <v>4.88</v>
      </c>
      <c r="AP205" s="121" t="n">
        <v>-6.25</v>
      </c>
      <c r="AQ205" s="121" t="n">
        <v>-40.38</v>
      </c>
      <c r="AR205" s="121" t="n">
        <v>-45.19</v>
      </c>
      <c r="AS205" s="121" t="n">
        <v>-6.25</v>
      </c>
      <c r="AT205" s="121" t="n">
        <v>-40.38</v>
      </c>
      <c r="AU205" s="121" t="n">
        <v>-45.19</v>
      </c>
      <c r="AV205" s="121" t="n">
        <v>-7.54</v>
      </c>
      <c r="AW205" s="121" t="n">
        <v>-40.73</v>
      </c>
      <c r="AX205" s="121" t="n">
        <v>-43.44</v>
      </c>
      <c r="AY205" s="121" t="n">
        <v>-39.26</v>
      </c>
      <c r="AZ205" s="121" t="n">
        <v>0.35</v>
      </c>
      <c r="BA205" s="121" t="n">
        <v>-1.12</v>
      </c>
      <c r="BB205" s="108" t="inlineStr">
        <is>
          <t>China Biotech ETF (HS biotech proxy)</t>
        </is>
      </c>
      <c r="BC205" s="121" t="n">
        <v>-80.06</v>
      </c>
      <c r="BD205" s="109" t="n">
        <v>46297</v>
      </c>
      <c r="BE205" s="110" t="n">
        <v>2.2</v>
      </c>
      <c r="BF205" s="113" t="n">
        <v>-207.8</v>
      </c>
      <c r="BG205" s="108" t="inlineStr">
        <is>
          <t>N</t>
        </is>
      </c>
      <c r="BH205" s="108" t="inlineStr">
        <is>
          <t>n/m</t>
        </is>
      </c>
      <c r="BI205" s="122" t="n"/>
      <c r="BJ205" s="122" t="n"/>
      <c r="BK205" s="123" t="n">
        <v>1403.5</v>
      </c>
      <c r="BL205" s="124">
        <f>IF('BBG Verify'!S205="","not filed; run on terminal",'BBG Verify'!S205)</f>
        <v/>
      </c>
      <c r="BM205" s="125" t="inlineStr">
        <is>
          <t>N</t>
        </is>
      </c>
      <c r="BN205" s="126">
        <f>IF('BBG Verify'!K205="","not filed; run on terminal",'BBG Verify'!K205)</f>
        <v/>
      </c>
      <c r="BO205" s="108" t="inlineStr">
        <is>
          <t>N/A</t>
        </is>
      </c>
      <c r="BP205" s="108" t="inlineStr">
        <is>
          <t>N/A</t>
        </is>
      </c>
      <c r="BQ205" s="108" t="inlineStr">
        <is>
          <t>N/A</t>
        </is>
      </c>
      <c r="BR205" s="108" t="inlineStr">
        <is>
          <t>N/A</t>
        </is>
      </c>
      <c r="BS205" s="108" t="inlineStr">
        <is>
          <t>N/A</t>
        </is>
      </c>
      <c r="BT205" s="108" t="inlineStr">
        <is>
          <t>N/A</t>
        </is>
      </c>
      <c r="BU205" s="125" t="inlineStr">
        <is>
          <t>China Securities (International) Corporate Finance Company Limited</t>
        </is>
      </c>
      <c r="BV205" s="108" t="inlineStr">
        <is>
          <t>China Securities (International) Corporate Finance Company Limited</t>
        </is>
      </c>
      <c r="BW205" s="108" t="inlineStr">
        <is>
          <t>China Securities (International) Corporate Finance Company Limited; Guotai Junan Securities (Hong Kong) Limited; CCB International Capital Limited; BOCI Asia Limited; TFI Securities and Futures Limited; China Galaxy International Securities (Hong Kong) Co., Limited</t>
        </is>
      </c>
      <c r="BX205" s="108" t="inlineStr">
        <is>
          <t>BOCI Asia Limited; CCB International Capital Limited; China Galaxy International Securities (Hong Kong) Company Limited; China Securities (International) Corporate Finance Company Limited; Futu Securities International (Hong Kong) Limited; Guotai Junan Securities (Hong Kong) Limited; Livermore Holdings Limited; TFI Securities and Futures Limited</t>
        </is>
      </c>
      <c r="BY205" s="127">
        <f>HYPERLINK("https://www1.hkexnews.hk/listedco/listconews/sehk/2023/0913/2023091300013.pdf","prospectus")</f>
        <v/>
      </c>
      <c r="BZ205" s="127">
        <f>HYPERLINK("https://www1.hkexnews.hk/listedco/listconews/sehk/2023/0922/2023092200024.htm","allotment")</f>
        <v/>
      </c>
      <c r="CA205" s="127">
        <f>HYPERLINK("https://www1.hkexnews.hk/listedco/listconews/sehk/2023/1019/2023101900003.pdf","stabilisation")</f>
        <v/>
      </c>
      <c r="CB205" s="128" t="n"/>
      <c r="CC205" s="108" t="inlineStr">
        <is>
          <t>P/E: loss-making at IPO, use P/S; sponsor: English name not in the filing; AAStocks 保薦人 shown; cornerstone: % from the prospectus; AAStocks table includes non-cornerstone orders; P/S: 1,404x on HK$2.2m revenue, effectively pre-revenue; not comparable; allocation: allocation table not in this notice's format (older prose announcement); day-1 tape: volume on file; the retail multiple needs the final public split, which this notice does not state</t>
        </is>
      </c>
    </row>
    <row r="206" ht="22" customHeight="1">
      <c r="A206" s="107" t="inlineStr">
        <is>
          <t>2490</t>
        </is>
      </c>
      <c r="B206" s="108" t="inlineStr">
        <is>
          <t>LC LOGISTICS</t>
        </is>
      </c>
      <c r="C206" s="108" t="inlineStr">
        <is>
          <t>樂艙控股</t>
        </is>
      </c>
      <c r="D206" s="108" t="inlineStr">
        <is>
          <t>Industrials</t>
        </is>
      </c>
      <c r="E206" s="108" t="inlineStr">
        <is>
          <t>Logistics</t>
        </is>
      </c>
      <c r="F206" s="108" t="inlineStr">
        <is>
          <t>Marine Ports &amp; Services</t>
        </is>
      </c>
      <c r="G206" s="108" t="inlineStr">
        <is>
          <t>Standard</t>
        </is>
      </c>
      <c r="H206" s="109" t="n">
        <v>45194</v>
      </c>
      <c r="I206" s="110" t="n">
        <v>145.6</v>
      </c>
      <c r="J206" s="108" t="inlineStr">
        <is>
          <t>gross (price x shares)</t>
        </is>
      </c>
      <c r="K206" s="111" t="n">
        <v>4.45</v>
      </c>
      <c r="L206" s="111" t="n">
        <v>5.55</v>
      </c>
      <c r="M206" s="111" t="n">
        <v>5.13</v>
      </c>
      <c r="N206" s="108" t="inlineStr">
        <is>
          <t>N</t>
        </is>
      </c>
      <c r="O206" s="112" t="n">
        <v>92.40000000000001</v>
      </c>
      <c r="P206" s="112" t="n">
        <v>61.8</v>
      </c>
      <c r="Q206" s="113" t="n">
        <v>1565</v>
      </c>
      <c r="R206" s="108" t="inlineStr">
        <is>
          <t>aastocks:上市市值 at the struck price</t>
        </is>
      </c>
      <c r="S206" s="114" t="n">
        <v>4.77</v>
      </c>
      <c r="T206" s="115" t="n">
        <v>1.53</v>
      </c>
      <c r="U206" s="116" t="n">
        <v>0</v>
      </c>
      <c r="V206" s="117" t="n">
        <v>114</v>
      </c>
      <c r="W206" s="118" t="n"/>
      <c r="X206" s="119" t="n"/>
      <c r="Y206" s="113" t="n">
        <v>145.6</v>
      </c>
      <c r="Z206" s="113" t="n">
        <v>28390000</v>
      </c>
      <c r="AA206" s="112" t="n">
        <v>9.300000000000001</v>
      </c>
      <c r="AB206" s="108" t="inlineStr">
        <is>
          <t>none — no cornerstone tranche</t>
        </is>
      </c>
      <c r="AC206" s="108" t="inlineStr">
        <is>
          <t>none</t>
        </is>
      </c>
      <c r="AD206" s="112" t="n">
        <v>10.66</v>
      </c>
      <c r="AE206" s="108" t="inlineStr">
        <is>
          <t>partial</t>
        </is>
      </c>
      <c r="AF206" s="108" t="inlineStr">
        <is>
          <t>2023-10-18</t>
        </is>
      </c>
      <c r="AG206" s="119" t="n"/>
      <c r="AH206" s="119" t="n"/>
      <c r="AI206" s="120" t="n">
        <v>-1.17</v>
      </c>
      <c r="AJ206" s="121" t="n">
        <v>-0.58</v>
      </c>
      <c r="AK206" s="121" t="n">
        <v>-2.04</v>
      </c>
      <c r="AL206" s="121" t="n">
        <v>0</v>
      </c>
      <c r="AM206" s="121" t="n">
        <v>-0.58</v>
      </c>
      <c r="AN206" s="122" t="n"/>
      <c r="AO206" s="112" t="n">
        <v>4.87</v>
      </c>
      <c r="AP206" s="121" t="n">
        <v>3.7</v>
      </c>
      <c r="AQ206" s="121" t="n">
        <v>-7.8</v>
      </c>
      <c r="AR206" s="121" t="n">
        <v>-0.19</v>
      </c>
      <c r="AS206" s="121" t="n">
        <v>4.3</v>
      </c>
      <c r="AT206" s="121" t="n">
        <v>-7.26</v>
      </c>
      <c r="AU206" s="121" t="n">
        <v>0.39</v>
      </c>
      <c r="AV206" s="121" t="n">
        <v>8.210000000000001</v>
      </c>
      <c r="AW206" s="121" t="n">
        <v>-1.18</v>
      </c>
      <c r="AX206" s="121" t="n">
        <v>10.99</v>
      </c>
      <c r="AY206" s="121" t="n">
        <v>-2.58</v>
      </c>
      <c r="AZ206" s="121" t="n">
        <v>-6.62</v>
      </c>
      <c r="BA206" s="121" t="n">
        <v>-4.68</v>
      </c>
      <c r="BB206" s="108" t="inlineStr">
        <is>
          <t>Hang Seng Commerce &amp; Industry sub-index</t>
        </is>
      </c>
      <c r="BC206" s="121" t="n">
        <v>65.89</v>
      </c>
      <c r="BD206" s="109" t="n">
        <v>46297</v>
      </c>
      <c r="BE206" s="110" t="n">
        <v>5068.7</v>
      </c>
      <c r="BF206" s="113" t="n">
        <v>424.9</v>
      </c>
      <c r="BG206" s="108" t="inlineStr">
        <is>
          <t>Y</t>
        </is>
      </c>
      <c r="BH206" s="123" t="n">
        <v>3.7</v>
      </c>
      <c r="BI206" s="122" t="n"/>
      <c r="BJ206" s="123" t="n">
        <v>18</v>
      </c>
      <c r="BK206" s="123" t="n">
        <v>0.3</v>
      </c>
      <c r="BL206" s="124">
        <f>IF('BBG Verify'!S206="","not filed; run on terminal",'BBG Verify'!S206)</f>
        <v/>
      </c>
      <c r="BM206" s="125" t="inlineStr">
        <is>
          <t>N</t>
        </is>
      </c>
      <c r="BN206" s="126">
        <f>IF('BBG Verify'!K206="","not filed; run on terminal",'BBG Verify'!K206)</f>
        <v/>
      </c>
      <c r="BO206" s="108" t="inlineStr">
        <is>
          <t>N/A</t>
        </is>
      </c>
      <c r="BP206" s="108" t="inlineStr">
        <is>
          <t>N/A</t>
        </is>
      </c>
      <c r="BQ206" s="108" t="inlineStr">
        <is>
          <t>N/A</t>
        </is>
      </c>
      <c r="BR206" s="108" t="inlineStr">
        <is>
          <t>N/A</t>
        </is>
      </c>
      <c r="BS206" s="108" t="inlineStr">
        <is>
          <t>N/A</t>
        </is>
      </c>
      <c r="BT206" s="108" t="inlineStr">
        <is>
          <t>N/A</t>
        </is>
      </c>
      <c r="BU206" s="125" t="inlineStr">
        <is>
          <t>CITIC Securities (Hong Kong) Limited; ABCI Capital Limited</t>
        </is>
      </c>
      <c r="BV206" s="108" t="inlineStr">
        <is>
          <t>CITIC Securities (Hong Kong) Limited; ABCI Capital Limited</t>
        </is>
      </c>
      <c r="BW206" s="108" t="inlineStr">
        <is>
          <t>CLSA Limited; ABCI Capital Limited; Shenwan Hongyuan Securities (H.K.) Limited; CMB International Capital Limited; Guotai Junan Securities (Hong Kong) Limited; BOCOM International Securities Limited; CMBC Securities Company Limited; Livermore Holdings Limited; Valuable Capital Limited</t>
        </is>
      </c>
      <c r="BX206" s="108" t="inlineStr">
        <is>
          <t>ABCI Securities Company Limited; Beta International Securities Limited; CLSA Limited; CMBC Securities Company Limited; CMB International Capital Limited; Guotai Junan Securities (Hong Kong) Limited; Livermore Holdings Limited; Shenwan Hongyuan Securities (H.K.) Limited; SPDB International Capital Limited; Valuable Capital Limited</t>
        </is>
      </c>
      <c r="BY206" s="127">
        <f>HYPERLINK("https://www1.hkexnews.hk/listedco/listconews/sehk/2023/0913/2023091300017.pdf","prospectus")</f>
        <v/>
      </c>
      <c r="BZ206" s="127">
        <f>HYPERLINK("https://www1.hkexnews.hk/listedco/listconews/sehk/2023/0922/2023092200056.htm","allotment")</f>
        <v/>
      </c>
      <c r="CA206" s="127">
        <f>HYPERLINK("https://www1.hkexnews.hk/listedco/listconews/sehk/2023/1018/2023101800796.pdf","stabilisation")</f>
        <v/>
      </c>
      <c r="CB206" s="128" t="n"/>
      <c r="CC206" s="108" t="inlineStr">
        <is>
          <t>market cap: published listing cap used; the estimate from deal size / offer % of enlarged capital disagreed; cornerstone list: no cornerstone tranche; stabilising manager: not named in the allotment notice or prospectus glossary; deal size: stated gross HK$5.9m rejected, below the net proceeds of HK$83.5m; allocation: allocation table not in this notice's format (older prose announcement); day-1 tape: volume on file; the retail multiple needs the final public split, which this notice does not state</t>
        </is>
      </c>
    </row>
    <row r="207" ht="22" customHeight="1">
      <c r="A207" s="107" t="inlineStr">
        <is>
          <t>9690</t>
        </is>
      </c>
      <c r="B207" s="108" t="inlineStr">
        <is>
          <t>TUHU-W</t>
        </is>
      </c>
      <c r="C207" s="108" t="inlineStr">
        <is>
          <t>途虎－Ｗ</t>
        </is>
      </c>
      <c r="D207" s="108" t="inlineStr">
        <is>
          <t>Tech/AI</t>
        </is>
      </c>
      <c r="E207" s="108" t="inlineStr">
        <is>
          <t>Internet platform / e-commerce</t>
        </is>
      </c>
      <c r="F207" s="108" t="inlineStr">
        <is>
          <t>Automotive Retail</t>
        </is>
      </c>
      <c r="G207" s="108" t="inlineStr">
        <is>
          <t>WVR</t>
        </is>
      </c>
      <c r="H207" s="109" t="n">
        <v>45195</v>
      </c>
      <c r="I207" s="110" t="n">
        <v>1188.5</v>
      </c>
      <c r="J207" s="108" t="inlineStr">
        <is>
          <t>gross (price x shares)</t>
        </is>
      </c>
      <c r="K207" s="129" t="n"/>
      <c r="L207" s="111" t="n">
        <v>28</v>
      </c>
      <c r="M207" s="111" t="n">
        <v>28</v>
      </c>
      <c r="N207" s="108" t="inlineStr">
        <is>
          <t>Y</t>
        </is>
      </c>
      <c r="O207" s="112" t="n">
        <v>100</v>
      </c>
      <c r="P207" s="118" t="n"/>
      <c r="Q207" s="113" t="n">
        <v>24157.3</v>
      </c>
      <c r="R207" s="108" t="inlineStr">
        <is>
          <t>aastocks:上市市值 at the struck price</t>
        </is>
      </c>
      <c r="S207" s="114" t="n">
        <v>2.67</v>
      </c>
      <c r="T207" s="115" t="n">
        <v>2.3</v>
      </c>
      <c r="U207" s="116" t="n">
        <v>62.3</v>
      </c>
      <c r="V207" s="117" t="n">
        <v>140</v>
      </c>
      <c r="W207" s="118" t="n"/>
      <c r="X207" s="119" t="n"/>
      <c r="Y207" s="113" t="n">
        <v>448.06</v>
      </c>
      <c r="Z207" s="113" t="n">
        <v>16001690</v>
      </c>
      <c r="AA207" s="112" t="n">
        <v>1.85</v>
      </c>
      <c r="AB207" s="108" t="inlineStr">
        <is>
          <t>Castrol Holdings International Limited; Image Frame Investment (HK) Limited; Shanghai Zizhu High-tech Zone (Group) Co., Ltd; Zhejiang Leapmotor Technology Co., Ltd</t>
        </is>
      </c>
      <c r="AC207" s="108" t="inlineStr">
        <is>
          <t>castrol;image;shanghai-zizhu;zhejiang</t>
        </is>
      </c>
      <c r="AD207" s="112" t="n">
        <v>5.7</v>
      </c>
      <c r="AE207" s="108" t="inlineStr">
        <is>
          <t>partial</t>
        </is>
      </c>
      <c r="AF207" s="108" t="inlineStr">
        <is>
          <t>2023-10-19</t>
        </is>
      </c>
      <c r="AG207" s="108" t="inlineStr">
        <is>
          <t>Goldman Sachs</t>
        </is>
      </c>
      <c r="AH207" s="108" t="inlineStr">
        <is>
          <t>Goldman Sachs</t>
        </is>
      </c>
      <c r="AI207" s="120" t="n">
        <v>-3.57</v>
      </c>
      <c r="AJ207" s="121" t="n">
        <v>5.36</v>
      </c>
      <c r="AK207" s="121" t="n">
        <v>-1.78</v>
      </c>
      <c r="AL207" s="121" t="n">
        <v>0</v>
      </c>
      <c r="AM207" s="121" t="n">
        <v>5.36</v>
      </c>
      <c r="AN207" s="122" t="n"/>
      <c r="AO207" s="112" t="n">
        <v>6.43</v>
      </c>
      <c r="AP207" s="121" t="n">
        <v>2.5</v>
      </c>
      <c r="AQ207" s="121" t="n">
        <v>25.71</v>
      </c>
      <c r="AR207" s="121" t="n">
        <v>6.96</v>
      </c>
      <c r="AS207" s="121" t="n">
        <v>-2.71</v>
      </c>
      <c r="AT207" s="121" t="n">
        <v>19.31</v>
      </c>
      <c r="AU207" s="121" t="n">
        <v>1.52</v>
      </c>
      <c r="AV207" s="121" t="n">
        <v>6.06</v>
      </c>
      <c r="AW207" s="121" t="n">
        <v>27.86</v>
      </c>
      <c r="AX207" s="121" t="n">
        <v>10.31</v>
      </c>
      <c r="AY207" s="121" t="n">
        <v>19.68</v>
      </c>
      <c r="AZ207" s="121" t="n">
        <v>-2.15</v>
      </c>
      <c r="BA207" s="121" t="n">
        <v>-0.37</v>
      </c>
      <c r="BB207" s="108" t="inlineStr">
        <is>
          <t>HSTECH (Hang Seng TECH ETF)</t>
        </is>
      </c>
      <c r="BC207" s="121" t="n">
        <v>-58.5</v>
      </c>
      <c r="BD207" s="109" t="n">
        <v>46297</v>
      </c>
      <c r="BE207" s="110" t="n">
        <v>12896.7</v>
      </c>
      <c r="BF207" s="113" t="n">
        <v>-6429.3</v>
      </c>
      <c r="BG207" s="108" t="inlineStr">
        <is>
          <t>N</t>
        </is>
      </c>
      <c r="BH207" s="108" t="inlineStr">
        <is>
          <t>n/m</t>
        </is>
      </c>
      <c r="BI207" s="122" t="n"/>
      <c r="BJ207" s="123" t="n">
        <v>18.7</v>
      </c>
      <c r="BK207" s="123" t="n">
        <v>1.9</v>
      </c>
      <c r="BL207" s="124">
        <f>IF('BBG Verify'!S207="","not filed; run on terminal",'BBG Verify'!S207)</f>
        <v/>
      </c>
      <c r="BM207" s="125" t="inlineStr">
        <is>
          <t>N</t>
        </is>
      </c>
      <c r="BN207" s="126">
        <f>IF('BBG Verify'!K207="","not filed; run on terminal",'BBG Verify'!K207)</f>
        <v/>
      </c>
      <c r="BO207" s="108" t="inlineStr">
        <is>
          <t>N/A</t>
        </is>
      </c>
      <c r="BP207" s="108" t="inlineStr">
        <is>
          <t>N/A</t>
        </is>
      </c>
      <c r="BQ207" s="108" t="inlineStr">
        <is>
          <t>N/A</t>
        </is>
      </c>
      <c r="BR207" s="108" t="inlineStr">
        <is>
          <t>N/A</t>
        </is>
      </c>
      <c r="BS207" s="108" t="inlineStr">
        <is>
          <t>N/A</t>
        </is>
      </c>
      <c r="BT207" s="108" t="inlineStr">
        <is>
          <t>N/A</t>
        </is>
      </c>
      <c r="BU207" s="125" t="inlineStr">
        <is>
          <t>Goldman Sachs (Asia) L.L.C; China International Capital Corporation Hong Kong Securities Limited; Merrill Lynch (Asia Pacific) Limited; UBS AG Hong Kong Branch</t>
        </is>
      </c>
      <c r="BV207" s="108" t="inlineStr">
        <is>
          <t>China International Capital Corporation Hong Kong Securities Limited; UBS Securities Hong Kong Limited; Merrill Lynch (Asia Pacific) Limited; Goldman Sachs (Asia) L.L.C.</t>
        </is>
      </c>
      <c r="BW207" s="108" t="inlineStr">
        <is>
          <t>Goldman Sachs (Asia) L.L.C; China International Capital Corporation Hong Kong Securities Limited; UBS AG Hong Kong Branch; Merrill Lynch (Asia Pacific) Limited; CMB International Capital Limited; BOCOM International Securities Limited; ICBC International Securities Limited; ABCI Capital Limited; Futu Securities International (Hong Kong) Limited</t>
        </is>
      </c>
      <c r="BX207" s="108" t="inlineStr">
        <is>
          <t>ABCI Securities Company Limited; Beta International Securities Limited; China International Capital Corporation Hong Kong Securities Limited; CMB International Capital Limited; Futu Securities International (Hong Kong) Limited; Goldman Sachs (Asia) L.L.C.; ICBC International Securities Limited; Merrill Lynch (Asia Pacific) Limited; UBS AG Hong Kong Branch</t>
        </is>
      </c>
      <c r="BY207" s="127">
        <f>HYPERLINK("https://www1.hkexnews.hk/listedco/listconews/sehk/2023/0914/2023091400024.htm","prospectus")</f>
        <v/>
      </c>
      <c r="BZ207" s="127">
        <f>HYPERLINK("https://www1.hkexnews.hk/listedco/listconews/sehk/2023/0925/2023092500012.htm","allotment")</f>
        <v/>
      </c>
      <c r="CA207" s="127">
        <f>HYPERLINK("https://www1.hkexnews.hk/listedco/listconews/sehk/2023/1019/2023101901082.pdf","stabilisation")</f>
        <v/>
      </c>
      <c r="CB207" s="128" t="n"/>
      <c r="CC207" s="108" t="inlineStr">
        <is>
          <t>P/E: loss-making at IPO, use P/S; price range: fixed-price offering (no indicative range); range low: maximum offer price only, no floor published; market cap: prospectus 'market capitalisation' line is the listing-rule threshold, not the issuer's figure; rejected; cornerstone: table parse 90% rejected (institutional total implies 62%); the AAStocks institutional total used; allocation: allocation table not in this notice's format (older prose announcement); day-1 tape: volume on file; the retail multiple needs the final public split, which this notice does not state</t>
        </is>
      </c>
    </row>
    <row r="208" ht="22" customHeight="1">
      <c r="A208" s="107" t="inlineStr">
        <is>
          <t>9686</t>
        </is>
      </c>
      <c r="B208" s="108" t="inlineStr">
        <is>
          <t>NEUSOFT XIKANG</t>
        </is>
      </c>
      <c r="C208" s="108" t="inlineStr">
        <is>
          <t>熙康雲醫院</t>
        </is>
      </c>
      <c r="D208" s="108" t="inlineStr">
        <is>
          <t>Healthcare</t>
        </is>
      </c>
      <c r="E208" s="108" t="inlineStr">
        <is>
          <t>Digital health</t>
        </is>
      </c>
      <c r="F208" s="108" t="inlineStr">
        <is>
          <t>Health Care Services</t>
        </is>
      </c>
      <c r="G208" s="108" t="inlineStr">
        <is>
          <t>Standard</t>
        </is>
      </c>
      <c r="H208" s="109" t="n">
        <v>45197</v>
      </c>
      <c r="I208" s="110" t="n">
        <v>636.9</v>
      </c>
      <c r="J208" s="108" t="inlineStr">
        <is>
          <t>gross (price x shares)</t>
        </is>
      </c>
      <c r="K208" s="111" t="n">
        <v>4.76</v>
      </c>
      <c r="L208" s="111" t="n">
        <v>5.91</v>
      </c>
      <c r="M208" s="111" t="n">
        <v>4.76</v>
      </c>
      <c r="N208" s="108" t="inlineStr">
        <is>
          <t>N</t>
        </is>
      </c>
      <c r="O208" s="112" t="n">
        <v>80.5</v>
      </c>
      <c r="P208" s="112" t="n">
        <v>0</v>
      </c>
      <c r="Q208" s="113" t="n">
        <v>4787.1</v>
      </c>
      <c r="R208" s="108" t="inlineStr">
        <is>
          <t>aastocks:上市市值 at the struck price</t>
        </is>
      </c>
      <c r="S208" s="114" t="n">
        <v>0.9</v>
      </c>
      <c r="T208" s="115" t="n">
        <v>1.15</v>
      </c>
      <c r="U208" s="116" t="n">
        <v>34.82</v>
      </c>
      <c r="V208" s="117" t="n">
        <v>106</v>
      </c>
      <c r="W208" s="112" t="n">
        <v>8.960000000000001</v>
      </c>
      <c r="X208" s="108" t="inlineStr">
        <is>
          <t>NO</t>
        </is>
      </c>
      <c r="Y208" s="113" t="n">
        <v>415.13</v>
      </c>
      <c r="Z208" s="113" t="n">
        <v>87214425</v>
      </c>
      <c r="AA208" s="112" t="n">
        <v>8.67</v>
      </c>
      <c r="AB208" s="108" t="inlineStr">
        <is>
          <t>INFO EXPERT SERVICES LIMITED; Ningbo Haishu Industrial Investment Co., Ltd; Ningbo Industrial Development Fund Co., Ltd</t>
        </is>
      </c>
      <c r="AC208" s="108" t="inlineStr">
        <is>
          <t>info;ningbo</t>
        </is>
      </c>
      <c r="AD208" s="112" t="n">
        <v>17.85</v>
      </c>
      <c r="AE208" s="119" t="n"/>
      <c r="AF208" s="119" t="n"/>
      <c r="AG208" s="119" t="n"/>
      <c r="AH208" s="119" t="n"/>
      <c r="AI208" s="120" t="n">
        <v>-24.16</v>
      </c>
      <c r="AJ208" s="121" t="n">
        <v>-42.86</v>
      </c>
      <c r="AK208" s="121" t="n">
        <v>-1.23</v>
      </c>
      <c r="AL208" s="121" t="n">
        <v>-22.48</v>
      </c>
      <c r="AM208" s="121" t="n">
        <v>-26.29</v>
      </c>
      <c r="AN208" s="123" t="n">
        <v>0.53</v>
      </c>
      <c r="AO208" s="112" t="n">
        <v>26.56</v>
      </c>
      <c r="AP208" s="121" t="n">
        <v>-51.26</v>
      </c>
      <c r="AQ208" s="121" t="n">
        <v>-66.39</v>
      </c>
      <c r="AR208" s="121" t="n">
        <v>-70.17</v>
      </c>
      <c r="AS208" s="121" t="n">
        <v>-14.7</v>
      </c>
      <c r="AT208" s="121" t="n">
        <v>-41.18</v>
      </c>
      <c r="AU208" s="121" t="n">
        <v>-47.79</v>
      </c>
      <c r="AV208" s="121" t="n">
        <v>-49.28</v>
      </c>
      <c r="AW208" s="121" t="n">
        <v>-71.06</v>
      </c>
      <c r="AX208" s="121" t="n">
        <v>-65.91</v>
      </c>
      <c r="AY208" s="121" t="n">
        <v>-47.15</v>
      </c>
      <c r="AZ208" s="121" t="n">
        <v>4.67</v>
      </c>
      <c r="BA208" s="121" t="n">
        <v>5.97</v>
      </c>
      <c r="BB208" s="108" t="inlineStr">
        <is>
          <t>China Biotech ETF (HS biotech proxy)</t>
        </is>
      </c>
      <c r="BC208" s="121" t="n">
        <v>-79.2</v>
      </c>
      <c r="BD208" s="109" t="n">
        <v>46297</v>
      </c>
      <c r="BE208" s="110" t="n">
        <v>756.2</v>
      </c>
      <c r="BF208" s="113" t="n">
        <v>-267.6</v>
      </c>
      <c r="BG208" s="108" t="inlineStr">
        <is>
          <t>N</t>
        </is>
      </c>
      <c r="BH208" s="108" t="inlineStr">
        <is>
          <t>n/m</t>
        </is>
      </c>
      <c r="BI208" s="122" t="n"/>
      <c r="BJ208" s="122" t="n"/>
      <c r="BK208" s="123" t="n">
        <v>6.3</v>
      </c>
      <c r="BL208" s="124">
        <f>IF('BBG Verify'!S208="","not filed; run on terminal",'BBG Verify'!S208)</f>
        <v/>
      </c>
      <c r="BM208" s="125" t="inlineStr">
        <is>
          <t>N</t>
        </is>
      </c>
      <c r="BN208" s="126">
        <f>IF('BBG Verify'!K208="","not filed; run on terminal",'BBG Verify'!K208)</f>
        <v/>
      </c>
      <c r="BO208" s="108" t="inlineStr">
        <is>
          <t>N/A</t>
        </is>
      </c>
      <c r="BP208" s="108" t="inlineStr">
        <is>
          <t>N/A</t>
        </is>
      </c>
      <c r="BQ208" s="108" t="inlineStr">
        <is>
          <t>N/A</t>
        </is>
      </c>
      <c r="BR208" s="108" t="inlineStr">
        <is>
          <t>N/A</t>
        </is>
      </c>
      <c r="BS208" s="108" t="inlineStr">
        <is>
          <t>N/A</t>
        </is>
      </c>
      <c r="BT208" s="108" t="inlineStr">
        <is>
          <t>N/A</t>
        </is>
      </c>
      <c r="BU208" s="125" t="inlineStr">
        <is>
          <t>China International Capital Corporation Hong Kong Securities Limited</t>
        </is>
      </c>
      <c r="BV208" s="108" t="inlineStr">
        <is>
          <t>China International Capital Corporation Hong Kong Securities Limited</t>
        </is>
      </c>
      <c r="BW208" s="108" t="inlineStr">
        <is>
          <t>China International Capital Corporation Hong Kong Securities Limited; Daiwa Capital Markets Hong Kong Limited; BOCI Asia Limited; Futu Securities International (Hong Kong) Limited; China Galaxy International Securities (Hong Kong) Co., Limited; GF Securities (Hong Kong) Brokerage Limited</t>
        </is>
      </c>
      <c r="BX208" s="108" t="inlineStr">
        <is>
          <t>BOCI Asia Limited; China Galaxy International Securities (Hong Kong) Company Limited; China International Capital Corporation Hong Kong Securities Limited; Daiwa Capital Markets Hong Kong Limited; Futu Securities International (Hong Kong) Limited; GF Securities (Hong Kong) Brokerage Limited; Valuable Capital Limited</t>
        </is>
      </c>
      <c r="BY208" s="127">
        <f>HYPERLINK("https://www1.hkexnews.hk/listedco/listconews/sehk/2023/0918/2023091800017.pdf","prospectus")</f>
        <v/>
      </c>
      <c r="BZ208" s="127">
        <f>HYPERLINK("https://www1.hkexnews.hk/listedco/listconews/sehk/2023/0927/2023092700030.htm","allotment")</f>
        <v/>
      </c>
      <c r="CA208" s="119" t="n"/>
      <c r="CB208" s="128" t="n"/>
      <c r="CC208" s="108" t="inlineStr">
        <is>
          <t>P/E: loss-making at IPO, use P/S; greenshoe: end-of-stabilisation notice not found; sponsor: English name not in the filing; AAStocks 保薦人 shown; market cap: published listing cap used; the estimate from deal size / offer % of enlarged capital disagreed; stabilising manager: not named in the allotment notice or prospectus glossary; deal size: stated gross HK$21.6m rejected, below the net proceeds of HK$554.5m</t>
        </is>
      </c>
    </row>
    <row r="209" ht="22" customHeight="1">
      <c r="A209" s="107" t="inlineStr">
        <is>
          <t>9890</t>
        </is>
      </c>
      <c r="B209" s="108" t="inlineStr">
        <is>
          <t>ZX INC</t>
        </is>
      </c>
      <c r="C209" s="108" t="inlineStr">
        <is>
          <t>貪玩</t>
        </is>
      </c>
      <c r="D209" s="108" t="inlineStr">
        <is>
          <t>TMT-other</t>
        </is>
      </c>
      <c r="E209" s="108" t="inlineStr">
        <is>
          <t>Media / advertising</t>
        </is>
      </c>
      <c r="F209" s="108" t="inlineStr">
        <is>
          <t>Gaming Software</t>
        </is>
      </c>
      <c r="G209" s="108" t="inlineStr">
        <is>
          <t>Standard</t>
        </is>
      </c>
      <c r="H209" s="109" t="n">
        <v>45197</v>
      </c>
      <c r="I209" s="110" t="n">
        <v>265.7</v>
      </c>
      <c r="J209" s="108" t="inlineStr">
        <is>
          <t>gross (price x shares)</t>
        </is>
      </c>
      <c r="K209" s="111" t="n">
        <v>11</v>
      </c>
      <c r="L209" s="111" t="n">
        <v>14</v>
      </c>
      <c r="M209" s="111" t="n">
        <v>14</v>
      </c>
      <c r="N209" s="108" t="inlineStr">
        <is>
          <t>Y</t>
        </is>
      </c>
      <c r="O209" s="112" t="n">
        <v>100</v>
      </c>
      <c r="P209" s="112" t="n">
        <v>100</v>
      </c>
      <c r="Q209" s="113" t="n">
        <v>7482.2</v>
      </c>
      <c r="R209" s="108" t="inlineStr">
        <is>
          <t>aastocks:上市市值 at the struck price</t>
        </is>
      </c>
      <c r="S209" s="114" t="n">
        <v>104</v>
      </c>
      <c r="T209" s="115" t="n">
        <v>1.67</v>
      </c>
      <c r="U209" s="116" t="n">
        <v>24.1</v>
      </c>
      <c r="V209" s="117" t="n">
        <v>138</v>
      </c>
      <c r="W209" s="118" t="n"/>
      <c r="X209" s="119" t="n"/>
      <c r="Y209" s="113" t="n">
        <v>201.67</v>
      </c>
      <c r="Z209" s="113" t="n">
        <v>14402784</v>
      </c>
      <c r="AA209" s="112" t="n">
        <v>2.7</v>
      </c>
      <c r="AB209" s="108" t="inlineStr">
        <is>
          <t>4399 Net Limited; Aofei Data International Company Limited; Hong Kong Longsin Co., Limited; Shangrao High-speed Industrial Investment</t>
        </is>
      </c>
      <c r="AC209" s="108" t="inlineStr">
        <is>
          <t>4399;aofei;longsin;shangrao</t>
        </is>
      </c>
      <c r="AD209" s="112" t="n">
        <v>20</v>
      </c>
      <c r="AE209" s="108" t="inlineStr">
        <is>
          <t>lapsed</t>
        </is>
      </c>
      <c r="AF209" s="108" t="inlineStr">
        <is>
          <t>2023-10-21</t>
        </is>
      </c>
      <c r="AG209" s="108" t="inlineStr">
        <is>
          <t>China International Capital Corporation Hong Kong Securities Limited</t>
        </is>
      </c>
      <c r="AH209" s="108" t="inlineStr">
        <is>
          <t>China International</t>
        </is>
      </c>
      <c r="AI209" s="120" t="n">
        <v>-0.71</v>
      </c>
      <c r="AJ209" s="121" t="n">
        <v>0</v>
      </c>
      <c r="AK209" s="121" t="n">
        <v>-1.36</v>
      </c>
      <c r="AL209" s="121" t="n">
        <v>-1.57</v>
      </c>
      <c r="AM209" s="121" t="n">
        <v>1.6</v>
      </c>
      <c r="AN209" s="122" t="n"/>
      <c r="AO209" s="112" t="n">
        <v>7.4</v>
      </c>
      <c r="AP209" s="121" t="n">
        <v>-3.86</v>
      </c>
      <c r="AQ209" s="121" t="n">
        <v>-14.29</v>
      </c>
      <c r="AR209" s="121" t="n">
        <v>240.36</v>
      </c>
      <c r="AS209" s="121" t="n">
        <v>-3.86</v>
      </c>
      <c r="AT209" s="121" t="n">
        <v>-14.29</v>
      </c>
      <c r="AU209" s="121" t="n">
        <v>240.36</v>
      </c>
      <c r="AV209" s="121" t="n">
        <v>-3.15</v>
      </c>
      <c r="AW209" s="121" t="n">
        <v>-11.45</v>
      </c>
      <c r="AX209" s="121" t="n">
        <v>245.03</v>
      </c>
      <c r="AY209" s="121" t="n">
        <v>-12.79</v>
      </c>
      <c r="AZ209" s="121" t="n">
        <v>-2.84</v>
      </c>
      <c r="BA209" s="121" t="n">
        <v>-1.5</v>
      </c>
      <c r="BB209" s="108" t="inlineStr">
        <is>
          <t>Hang Seng Index</t>
        </is>
      </c>
      <c r="BC209" s="121" t="n">
        <v>-30.18</v>
      </c>
      <c r="BD209" s="109" t="n">
        <v>46297</v>
      </c>
      <c r="BE209" s="110" t="n">
        <v>9698.9</v>
      </c>
      <c r="BF209" s="113" t="n">
        <v>661.7</v>
      </c>
      <c r="BG209" s="108" t="inlineStr">
        <is>
          <t>Y</t>
        </is>
      </c>
      <c r="BH209" s="123" t="n">
        <v>11.3</v>
      </c>
      <c r="BI209" s="122" t="n"/>
      <c r="BJ209" s="123" t="n">
        <v>3</v>
      </c>
      <c r="BK209" s="123" t="n">
        <v>0.8</v>
      </c>
      <c r="BL209" s="124">
        <f>IF('BBG Verify'!S209="","not filed; run on terminal",'BBG Verify'!S209)</f>
        <v/>
      </c>
      <c r="BM209" s="125" t="inlineStr">
        <is>
          <t>N</t>
        </is>
      </c>
      <c r="BN209" s="126">
        <f>IF('BBG Verify'!K209="","not filed; run on terminal",'BBG Verify'!K209)</f>
        <v/>
      </c>
      <c r="BO209" s="108" t="inlineStr">
        <is>
          <t>N/A</t>
        </is>
      </c>
      <c r="BP209" s="108" t="inlineStr">
        <is>
          <t>N/A</t>
        </is>
      </c>
      <c r="BQ209" s="108" t="inlineStr">
        <is>
          <t>N/A</t>
        </is>
      </c>
      <c r="BR209" s="108" t="inlineStr">
        <is>
          <t>N/A</t>
        </is>
      </c>
      <c r="BS209" s="108" t="inlineStr">
        <is>
          <t>N/A</t>
        </is>
      </c>
      <c r="BT209" s="108" t="inlineStr">
        <is>
          <t>N/A</t>
        </is>
      </c>
      <c r="BU209" s="125" t="inlineStr">
        <is>
          <t>China International Capital Corporation Hong Kong Securities Limited; China Securities (International) Corporate Finance Company Limited</t>
        </is>
      </c>
      <c r="BV209" s="108" t="inlineStr">
        <is>
          <t>China International Capital Corporation Hong Kong Securities Limited; China Securities (International) Corporate Finance Company Limited</t>
        </is>
      </c>
      <c r="BW209" s="108" t="inlineStr">
        <is>
          <t>China International Capital Corporation Hong Kong Securities Limited; China Securities (International) Corporate Finance Company Limited; China Merchants Securities (HK) Co., Limited; CLSA Limited; CMB International Capital Limited; ICBC International Securities Limited</t>
        </is>
      </c>
      <c r="BX209" s="108" t="inlineStr">
        <is>
          <t>China International Capital Corporation Hong Kong Securities Limited; CLSA Limited; CMB International Capital Limited; China Merchants Securities (HK) Company Limited; China Securities (International) Corporate Finance Company Limited; Futu Securities International (Hong Kong) Limited; ICBC International Securities Limited; Tiger Brokers (HK) Global Limited</t>
        </is>
      </c>
      <c r="BY209" s="127">
        <f>HYPERLINK("https://www1.hkexnews.hk/listedco/listconews/sehk/2023/0918/2023091800015.pdf","prospectus")</f>
        <v/>
      </c>
      <c r="BZ209" s="127">
        <f>HYPERLINK("https://www1.hkexnews.hk/listedco/listconews/sehk/2023/0927/2023092700046.htm","allotment")</f>
        <v/>
      </c>
      <c r="CA209" s="127">
        <f>HYPERLINK("https://www1.hkexnews.hk/listedco/listconews/sehk/2023/1023/2023102300009.pdf","stabilisation")</f>
        <v/>
      </c>
      <c r="CB209" s="128" t="n"/>
      <c r="CC209" s="108" t="inlineStr">
        <is>
          <t>sponsor: English name not in the filing; AAStocks 保薦人 shown; deal size: stated gross HK$29.5m rejected, below the net proceeds of HK$138.1m; allocation: allocation table not in this notice's format (older prose announcement); day-1 tape: volume on file; the retail multiple needs the final public split, which this notice does not state</t>
        </is>
      </c>
    </row>
    <row r="210" ht="22" customHeight="1">
      <c r="A210" s="107" t="inlineStr">
        <is>
          <t>6682</t>
        </is>
      </c>
      <c r="B210" s="108" t="inlineStr">
        <is>
          <t>FOURTH PARADIGM</t>
        </is>
      </c>
      <c r="C210" s="108" t="inlineStr">
        <is>
          <t>範式智能</t>
        </is>
      </c>
      <c r="D210" s="108" t="inlineStr">
        <is>
          <t>Tech/AI</t>
        </is>
      </c>
      <c r="E210" s="108" t="inlineStr">
        <is>
          <t>AI application / agent software</t>
        </is>
      </c>
      <c r="F210" s="108" t="inlineStr">
        <is>
          <t>Application Software</t>
        </is>
      </c>
      <c r="G210" s="108" t="inlineStr">
        <is>
          <t>Standard</t>
        </is>
      </c>
      <c r="H210" s="109" t="n">
        <v>45197</v>
      </c>
      <c r="I210" s="110" t="n">
        <v>1022.8</v>
      </c>
      <c r="J210" s="108" t="inlineStr">
        <is>
          <t>gross (price x shares)</t>
        </is>
      </c>
      <c r="K210" s="111" t="n">
        <v>55.6</v>
      </c>
      <c r="L210" s="111" t="n">
        <v>61.16</v>
      </c>
      <c r="M210" s="111" t="n">
        <v>55.6</v>
      </c>
      <c r="N210" s="108" t="inlineStr">
        <is>
          <t>N</t>
        </is>
      </c>
      <c r="O210" s="112" t="n">
        <v>90.90000000000001</v>
      </c>
      <c r="P210" s="112" t="n">
        <v>0</v>
      </c>
      <c r="Q210" s="113" t="n">
        <v>22578.4</v>
      </c>
      <c r="R210" s="108" t="inlineStr">
        <is>
          <t>derived:deal size / offer % of enlarged capital</t>
        </is>
      </c>
      <c r="S210" s="114" t="n">
        <v>11.4</v>
      </c>
      <c r="T210" s="115" t="n">
        <v>1.57</v>
      </c>
      <c r="U210" s="116" t="n">
        <v>39.6</v>
      </c>
      <c r="V210" s="117" t="n">
        <v>154</v>
      </c>
      <c r="W210" s="118" t="n"/>
      <c r="X210" s="119" t="n"/>
      <c r="Y210" s="113" t="n">
        <v>617.77</v>
      </c>
      <c r="Z210" s="113" t="n">
        <v>11111184</v>
      </c>
      <c r="AA210" s="112" t="n">
        <v>2.74</v>
      </c>
      <c r="AB210" s="108" t="inlineStr">
        <is>
          <t>Beijing Zhongguancun Science City Science and Technology Growth Investment Partn; Montage Technology Holdings Company Limited; New China Capital Management Limited</t>
        </is>
      </c>
      <c r="AC210" s="108" t="inlineStr">
        <is>
          <t>beijing-zhongguancun;montage;new</t>
        </is>
      </c>
      <c r="AD210" s="112" t="n">
        <v>17.6</v>
      </c>
      <c r="AE210" s="108" t="inlineStr">
        <is>
          <t>partial</t>
        </is>
      </c>
      <c r="AF210" s="119" t="n"/>
      <c r="AG210" s="108" t="inlineStr">
        <is>
          <t>China International Capital Corporation Hong Kong Securities Limited</t>
        </is>
      </c>
      <c r="AH210" s="108" t="inlineStr">
        <is>
          <t>China International</t>
        </is>
      </c>
      <c r="AI210" s="120" t="n">
        <v>9.710000000000001</v>
      </c>
      <c r="AJ210" s="121" t="n">
        <v>5.22</v>
      </c>
      <c r="AK210" s="121" t="n">
        <v>-1.38</v>
      </c>
      <c r="AL210" s="121" t="n">
        <v>13.49</v>
      </c>
      <c r="AM210" s="121" t="n">
        <v>-7.29</v>
      </c>
      <c r="AN210" s="122" t="n"/>
      <c r="AO210" s="112" t="n">
        <v>13.55</v>
      </c>
      <c r="AP210" s="121" t="n">
        <v>-2.88</v>
      </c>
      <c r="AQ210" s="121" t="n">
        <v>-6.47</v>
      </c>
      <c r="AR210" s="121" t="n">
        <v>-10.79</v>
      </c>
      <c r="AS210" s="121" t="n">
        <v>-7.7</v>
      </c>
      <c r="AT210" s="121" t="n">
        <v>-11.11</v>
      </c>
      <c r="AU210" s="121" t="n">
        <v>-15.22</v>
      </c>
      <c r="AV210" s="121" t="n">
        <v>-2.51</v>
      </c>
      <c r="AW210" s="121" t="n">
        <v>-4.66</v>
      </c>
      <c r="AX210" s="121" t="n">
        <v>-7.97</v>
      </c>
      <c r="AY210" s="121" t="n">
        <v>-10.68</v>
      </c>
      <c r="AZ210" s="121" t="n">
        <v>-1.81</v>
      </c>
      <c r="BA210" s="121" t="n">
        <v>-0.43</v>
      </c>
      <c r="BB210" s="108" t="inlineStr">
        <is>
          <t>HSTECH (Hang Seng TECH ETF)</t>
        </is>
      </c>
      <c r="BC210" s="121" t="n">
        <v>-53.38</v>
      </c>
      <c r="BD210" s="109" t="n">
        <v>46297</v>
      </c>
      <c r="BE210" s="110" t="n">
        <v>3391.3</v>
      </c>
      <c r="BF210" s="113" t="n">
        <v>-1818.3</v>
      </c>
      <c r="BG210" s="108" t="inlineStr">
        <is>
          <t>N</t>
        </is>
      </c>
      <c r="BH210" s="108" t="inlineStr">
        <is>
          <t>n/m</t>
        </is>
      </c>
      <c r="BI210" s="122" t="n"/>
      <c r="BJ210" s="122" t="n"/>
      <c r="BK210" s="123" t="n">
        <v>6.7</v>
      </c>
      <c r="BL210" s="124">
        <f>IF('BBG Verify'!S210="","not filed; run on terminal",'BBG Verify'!S210)</f>
        <v/>
      </c>
      <c r="BM210" s="125" t="inlineStr">
        <is>
          <t>N</t>
        </is>
      </c>
      <c r="BN210" s="126">
        <f>IF('BBG Verify'!K210="","not filed; run on terminal",'BBG Verify'!K210)</f>
        <v/>
      </c>
      <c r="BO210" s="108" t="inlineStr">
        <is>
          <t>N/A</t>
        </is>
      </c>
      <c r="BP210" s="108" t="inlineStr">
        <is>
          <t>N/A</t>
        </is>
      </c>
      <c r="BQ210" s="108" t="inlineStr">
        <is>
          <t>N/A</t>
        </is>
      </c>
      <c r="BR210" s="108" t="inlineStr">
        <is>
          <t>N/A</t>
        </is>
      </c>
      <c r="BS210" s="108" t="inlineStr">
        <is>
          <t>N/A</t>
        </is>
      </c>
      <c r="BT210" s="108" t="inlineStr">
        <is>
          <t>N/A</t>
        </is>
      </c>
      <c r="BU210" s="125" t="inlineStr">
        <is>
          <t>China International Capital Corporation Hong Kong Securities Limited</t>
        </is>
      </c>
      <c r="BV210" s="108" t="inlineStr">
        <is>
          <t>China International Capital Corporation Hong Kong Securities Limited</t>
        </is>
      </c>
      <c r="BW210" s="108" t="inlineStr">
        <is>
          <t>Huatai Financial Holdings (Hong Kong) Limited; ICBC International Securities Limited; BOCI Asia Limited; BOCOM International Securities Limited; CEB International Capital Corporation Limited; China Everbright Securities (HK) Limited; Central China International Capital Limited; North Beta International Securities Limited; China Sunrise Securities (International) Limited; Futu Securities International (Hong Kong) Limited; CNCB (Hong Kong) Capital Limited</t>
        </is>
      </c>
      <c r="BX210" s="108" t="inlineStr">
        <is>
          <t>ABCI Securities Company Limited; Beta International Securities Limited; BOCI Asia Limited; CCB International Capital Limited; CEB International Capital Corporation Limited; Central China International Capital Limited; China Everbright Securities (HK) Limited; China International Capital Corporation Hong Kong Securities Limited; CMB International Capital Limited; China Merchants Securities (HK) Company Limited; CNCB (Hong Kong) Capital Limited; China Sunrise Securities (International) Limited</t>
        </is>
      </c>
      <c r="BY210" s="127">
        <f>HYPERLINK("https://www1.hkexnews.hk/listedco/listconews/sehk/2023/0918/2023091800009.pdf","prospectus")</f>
        <v/>
      </c>
      <c r="BZ210" s="127">
        <f>HYPERLINK("https://www1.hkexnews.hk/listedco/listconews/sehk/2023/0927/2023092700070.htm","allotment")</f>
        <v/>
      </c>
      <c r="CA210" s="127">
        <f>HYPERLINK("https://www1.hkexnews.hk/listedco/listconews/sehk/2023/1023/2023102300123.pdf","stabilisation")</f>
        <v/>
      </c>
      <c r="CB210" s="128" t="n"/>
      <c r="CC210" s="108" t="inlineStr">
        <is>
          <t>P/E: loss-making at IPO, use P/S; greenshoe: outcome published; expiry date not in the notice; A/H: no A-share listing; nearest A proxy Yonyou Network (600588.SS); cornerstone: % from the prospectus; AAStocks table includes non-cornerstone orders; allocation: allocation table not in this notice's format (older prose announcement); day-1 tape: volume on file; the retail multiple needs the final public split, which this notice does not state</t>
        </is>
      </c>
    </row>
    <row r="211" ht="22" customHeight="1">
      <c r="A211" s="107" t="inlineStr">
        <is>
          <t>1973</t>
        </is>
      </c>
      <c r="B211" s="108" t="inlineStr">
        <is>
          <t>TIAN TU CAPITAL</t>
        </is>
      </c>
      <c r="C211" s="108" t="inlineStr">
        <is>
          <t>天圖投資</t>
        </is>
      </c>
      <c r="D211" s="108" t="inlineStr">
        <is>
          <t>Financials</t>
        </is>
      </c>
      <c r="E211" s="108" t="inlineStr">
        <is>
          <t>Brokers / asset management</t>
        </is>
      </c>
      <c r="F211" s="108" t="inlineStr">
        <is>
          <t>Investment Holdings &amp; Assets Management</t>
        </is>
      </c>
      <c r="G211" s="108" t="inlineStr">
        <is>
          <t>Standard</t>
        </is>
      </c>
      <c r="H211" s="109" t="n">
        <v>45205</v>
      </c>
      <c r="I211" s="110" t="n">
        <v>1126.2</v>
      </c>
      <c r="J211" s="108" t="inlineStr">
        <is>
          <t>gross (price x shares)</t>
        </is>
      </c>
      <c r="K211" s="111" t="n">
        <v>5.8</v>
      </c>
      <c r="L211" s="111" t="n">
        <v>11.4</v>
      </c>
      <c r="M211" s="111" t="n">
        <v>6.5</v>
      </c>
      <c r="N211" s="108" t="inlineStr">
        <is>
          <t>N</t>
        </is>
      </c>
      <c r="O211" s="112" t="n">
        <v>57</v>
      </c>
      <c r="P211" s="112" t="n">
        <v>12.5</v>
      </c>
      <c r="Q211" s="113" t="n">
        <v>6232.5</v>
      </c>
      <c r="R211" s="108" t="inlineStr">
        <is>
          <t>aastocks:上市市值 at the struck price</t>
        </is>
      </c>
      <c r="S211" s="114" t="n">
        <v>0.26</v>
      </c>
      <c r="T211" s="115" t="n">
        <v>1.28</v>
      </c>
      <c r="U211" s="116" t="n">
        <v>44.2</v>
      </c>
      <c r="V211" s="117" t="n">
        <v>180</v>
      </c>
      <c r="W211" s="112" t="n">
        <v>2.63</v>
      </c>
      <c r="X211" s="108" t="inlineStr">
        <is>
          <t>NO</t>
        </is>
      </c>
      <c r="Y211" s="113" t="n">
        <v>628.42</v>
      </c>
      <c r="Z211" s="113" t="n">
        <v>96677964</v>
      </c>
      <c r="AA211" s="112" t="n">
        <v>10.08</v>
      </c>
      <c r="AB211" s="108" t="inlineStr">
        <is>
          <t>Qingdao Haiming, Qingdao Hainuo and Qingdao Financial; Shenzhen Futian Guiding Fund Investment Co., Ltd</t>
        </is>
      </c>
      <c r="AC211" s="108" t="inlineStr">
        <is>
          <t>qingdao;shenzhen-futian</t>
        </is>
      </c>
      <c r="AD211" s="112" t="n">
        <v>15.21</v>
      </c>
      <c r="AE211" s="108" t="inlineStr">
        <is>
          <t>lapsed (no over-allocation)</t>
        </is>
      </c>
      <c r="AF211" s="108" t="inlineStr">
        <is>
          <t>2023-10-28</t>
        </is>
      </c>
      <c r="AG211" s="108" t="inlineStr">
        <is>
          <t>Huatai Financial Holdings</t>
        </is>
      </c>
      <c r="AH211" s="108" t="inlineStr">
        <is>
          <t>Huatai</t>
        </is>
      </c>
      <c r="AI211" s="120" t="n">
        <v>-17.08</v>
      </c>
      <c r="AJ211" s="121" t="n">
        <v>-24.92</v>
      </c>
      <c r="AK211" s="121" t="n">
        <v>1.9</v>
      </c>
      <c r="AL211" s="121" t="n">
        <v>-17.08</v>
      </c>
      <c r="AM211" s="121" t="n">
        <v>-9.449999999999999</v>
      </c>
      <c r="AN211" s="123" t="n">
        <v>0.45</v>
      </c>
      <c r="AO211" s="112" t="n">
        <v>19.11</v>
      </c>
      <c r="AP211" s="121" t="n">
        <v>-38.46</v>
      </c>
      <c r="AQ211" s="121" t="n">
        <v>-13.85</v>
      </c>
      <c r="AR211" s="121" t="n">
        <v>-20.15</v>
      </c>
      <c r="AS211" s="121" t="n">
        <v>-18.03</v>
      </c>
      <c r="AT211" s="121" t="n">
        <v>14.74</v>
      </c>
      <c r="AU211" s="121" t="n">
        <v>6.35</v>
      </c>
      <c r="AV211" s="121" t="n">
        <v>-42.8</v>
      </c>
      <c r="AW211" s="121" t="n">
        <v>-15.01</v>
      </c>
      <c r="AX211" s="121" t="n">
        <v>-17.37</v>
      </c>
      <c r="AY211" s="121" t="n">
        <v>15.46</v>
      </c>
      <c r="AZ211" s="121" t="n">
        <v>1.16</v>
      </c>
      <c r="BA211" s="121" t="n">
        <v>-0.72</v>
      </c>
      <c r="BB211" s="108" t="inlineStr">
        <is>
          <t>Hang Seng Finance sub-index</t>
        </is>
      </c>
      <c r="BC211" s="121" t="n">
        <v>-55.38</v>
      </c>
      <c r="BD211" s="109" t="n">
        <v>46297</v>
      </c>
      <c r="BE211" s="110" t="n">
        <v>465.5</v>
      </c>
      <c r="BF211" s="113" t="n">
        <v>823.9</v>
      </c>
      <c r="BG211" s="108" t="inlineStr">
        <is>
          <t>Y</t>
        </is>
      </c>
      <c r="BH211" s="123" t="n">
        <v>7.6</v>
      </c>
      <c r="BI211" s="122" t="n"/>
      <c r="BJ211" s="123" t="n">
        <v>6</v>
      </c>
      <c r="BK211" s="123" t="n">
        <v>13.4</v>
      </c>
      <c r="BL211" s="124">
        <f>IF('BBG Verify'!S211="","not filed; run on terminal",'BBG Verify'!S211)</f>
        <v/>
      </c>
      <c r="BM211" s="125" t="inlineStr">
        <is>
          <t>N</t>
        </is>
      </c>
      <c r="BN211" s="126">
        <f>IF('BBG Verify'!K211="","not filed; run on terminal",'BBG Verify'!K211)</f>
        <v/>
      </c>
      <c r="BO211" s="108" t="inlineStr">
        <is>
          <t>N/A</t>
        </is>
      </c>
      <c r="BP211" s="108" t="inlineStr">
        <is>
          <t>N/A</t>
        </is>
      </c>
      <c r="BQ211" s="108" t="inlineStr">
        <is>
          <t>N/A</t>
        </is>
      </c>
      <c r="BR211" s="108" t="inlineStr">
        <is>
          <t>N/A</t>
        </is>
      </c>
      <c r="BS211" s="108" t="inlineStr">
        <is>
          <t>N/A</t>
        </is>
      </c>
      <c r="BT211" s="108" t="inlineStr">
        <is>
          <t>N/A</t>
        </is>
      </c>
      <c r="BU211" s="125" t="inlineStr">
        <is>
          <t>Huatai Financial Holdings (Hong Kong) Limited; BOCI Asia Limited</t>
        </is>
      </c>
      <c r="BV211" s="108" t="inlineStr">
        <is>
          <t>Huatai Financial Holdings (Hong Kong) Limited; BOCI Asia Limited</t>
        </is>
      </c>
      <c r="BW211" s="108" t="inlineStr">
        <is>
          <t>Huatai Financial Holdings (Hong Kong) Limited; BOCI Asia Limited; Zhongtai International Securities Limited; China Galaxy International Securities (Hong Kong) Co., Limited; CMB International Capital Limited; China Industrial Securities International Capital Limited; Essence International Securities (Hong Kong) Limited; CCB International Capital Limited; BOCOM International Securities Limited; ABCI Capital Limited; Guodu Securities (Hong Kong) Limited; Tiger Brokers (HK) Global Limited</t>
        </is>
      </c>
      <c r="BX211" s="108" t="inlineStr">
        <is>
          <t>ABCI Securities Company Limited; Beta International Securities Limited; BOCI Asia Limited; CCB International Capital Limited; China Galaxy International Securities (Hong Kong) Company Limited; China Industrial Securities International Capital Limited; CMB International Capital Limited; Essence International Securities (Hong Kong) Limited; Futu Securities International (Hong Kong) Limited; Guodu Securities (Hong Kong) Limited; Huatai Financial Holdings (Hong Kong) Limited; ICBC International Securities Limited</t>
        </is>
      </c>
      <c r="BY211" s="127">
        <f>HYPERLINK("https://www1.hkexnews.hk/listedco/listconews/sehk/2023/0925/2023092500007.pdf","prospectus")</f>
        <v/>
      </c>
      <c r="BZ211" s="127">
        <f>HYPERLINK("https://www1.hkexnews.hk/listedco/listconews/sehk/2023/1005/2023100500006.htm","allotment")</f>
        <v/>
      </c>
      <c r="CA211" s="127">
        <f>HYPERLINK("https://www1.hkexnews.hk/listedco/listconews/sehk/2023/1101/2023110102578.pdf","stabilisation")</f>
        <v/>
      </c>
      <c r="CB211" s="128" t="n"/>
      <c r="CC211" s="108" t="inlineStr">
        <is>
          <t>market cap: published listing cap used; the estimate from stated market capitalisation disagreed; financials rejected: net income above total income (equity-method gains, investment firm); both as filed</t>
        </is>
      </c>
    </row>
    <row r="212" ht="22" customHeight="1">
      <c r="A212" s="107" t="inlineStr">
        <is>
          <t>2501</t>
        </is>
      </c>
      <c r="B212" s="108" t="inlineStr">
        <is>
          <t>MAIYUE TECH</t>
        </is>
      </c>
      <c r="C212" s="108" t="inlineStr">
        <is>
          <t>邁越科技</t>
        </is>
      </c>
      <c r="D212" s="108" t="inlineStr">
        <is>
          <t>Tech/AI</t>
        </is>
      </c>
      <c r="E212" s="108" t="inlineStr">
        <is>
          <t>AI application / agent software</t>
        </is>
      </c>
      <c r="F212" s="108" t="inlineStr">
        <is>
          <t>IT Consulting &amp; Other Services</t>
        </is>
      </c>
      <c r="G212" s="108" t="inlineStr">
        <is>
          <t>Standard</t>
        </is>
      </c>
      <c r="H212" s="109" t="n">
        <v>45210</v>
      </c>
      <c r="I212" s="110" t="n">
        <v>147.5</v>
      </c>
      <c r="J212" s="108" t="inlineStr">
        <is>
          <t>gross (price x shares)</t>
        </is>
      </c>
      <c r="K212" s="129" t="n"/>
      <c r="L212" s="111" t="n">
        <v>1.18</v>
      </c>
      <c r="M212" s="111" t="n">
        <v>1.18</v>
      </c>
      <c r="N212" s="108" t="inlineStr">
        <is>
          <t>Y</t>
        </is>
      </c>
      <c r="O212" s="112" t="n">
        <v>100</v>
      </c>
      <c r="P212" s="118" t="n"/>
      <c r="Q212" s="113" t="n">
        <v>612.5</v>
      </c>
      <c r="R212" s="108" t="inlineStr">
        <is>
          <t>aastocks:上市市值 at the struck price</t>
        </is>
      </c>
      <c r="S212" s="114" t="n">
        <v>2.46</v>
      </c>
      <c r="T212" s="115" t="n">
        <v>1.16</v>
      </c>
      <c r="U212" s="116" t="n">
        <v>0</v>
      </c>
      <c r="V212" s="117" t="n">
        <v>102</v>
      </c>
      <c r="W212" s="118" t="n"/>
      <c r="X212" s="119" t="n"/>
      <c r="Y212" s="113" t="n">
        <v>147.5</v>
      </c>
      <c r="Z212" s="113" t="n">
        <v>125000000</v>
      </c>
      <c r="AA212" s="112" t="n">
        <v>24.08</v>
      </c>
      <c r="AB212" s="108" t="inlineStr">
        <is>
          <t>none — no cornerstone tranche</t>
        </is>
      </c>
      <c r="AC212" s="108" t="inlineStr">
        <is>
          <t>none</t>
        </is>
      </c>
      <c r="AD212" s="118" t="n"/>
      <c r="AE212" s="119" t="n"/>
      <c r="AF212" s="119" t="n"/>
      <c r="AG212" s="108" t="inlineStr">
        <is>
          <t>Quam Securities Limited</t>
        </is>
      </c>
      <c r="AH212" s="108" t="inlineStr">
        <is>
          <t>Quam</t>
        </is>
      </c>
      <c r="AI212" s="120" t="n">
        <v>20.34</v>
      </c>
      <c r="AJ212" s="121" t="n">
        <v>38.14</v>
      </c>
      <c r="AK212" s="121" t="n">
        <v>2.1</v>
      </c>
      <c r="AL212" s="121" t="n">
        <v>4.24</v>
      </c>
      <c r="AM212" s="121" t="n">
        <v>32.52</v>
      </c>
      <c r="AN212" s="122" t="n"/>
      <c r="AO212" s="112" t="n">
        <v>48.78</v>
      </c>
      <c r="AP212" s="121" t="n">
        <v>14.41</v>
      </c>
      <c r="AQ212" s="121" t="n">
        <v>11.86</v>
      </c>
      <c r="AR212" s="121" t="n">
        <v>-2.54</v>
      </c>
      <c r="AS212" s="121" t="n">
        <v>-17.18</v>
      </c>
      <c r="AT212" s="121" t="n">
        <v>-19.02</v>
      </c>
      <c r="AU212" s="121" t="n">
        <v>-29.45</v>
      </c>
      <c r="AV212" s="121" t="n">
        <v>16.88</v>
      </c>
      <c r="AW212" s="121" t="n">
        <v>11.6</v>
      </c>
      <c r="AX212" s="121" t="n">
        <v>8.029999999999999</v>
      </c>
      <c r="AY212" s="121" t="n">
        <v>-17.22</v>
      </c>
      <c r="AZ212" s="121" t="n">
        <v>0.26</v>
      </c>
      <c r="BA212" s="121" t="n">
        <v>-1.8</v>
      </c>
      <c r="BB212" s="108" t="inlineStr">
        <is>
          <t>HSTECH (Hang Seng TECH ETF)</t>
        </is>
      </c>
      <c r="BC212" s="121" t="n">
        <v>50</v>
      </c>
      <c r="BD212" s="109" t="n">
        <v>46297</v>
      </c>
      <c r="BE212" s="110" t="n">
        <v>267.6</v>
      </c>
      <c r="BF212" s="113" t="n">
        <v>54</v>
      </c>
      <c r="BG212" s="108" t="inlineStr">
        <is>
          <t>Y</t>
        </is>
      </c>
      <c r="BH212" s="123" t="n">
        <v>11.3</v>
      </c>
      <c r="BI212" s="122" t="n"/>
      <c r="BJ212" s="123" t="n">
        <v>100.2</v>
      </c>
      <c r="BK212" s="123" t="n">
        <v>2.3</v>
      </c>
      <c r="BL212" s="124">
        <f>IF('BBG Verify'!S212="","not filed; run on terminal",'BBG Verify'!S212)</f>
        <v/>
      </c>
      <c r="BM212" s="125" t="inlineStr">
        <is>
          <t>N</t>
        </is>
      </c>
      <c r="BN212" s="126">
        <f>IF('BBG Verify'!K212="","not filed; run on terminal",'BBG Verify'!K212)</f>
        <v/>
      </c>
      <c r="BO212" s="108" t="inlineStr">
        <is>
          <t>N/A</t>
        </is>
      </c>
      <c r="BP212" s="108" t="inlineStr">
        <is>
          <t>N/A</t>
        </is>
      </c>
      <c r="BQ212" s="108" t="inlineStr">
        <is>
          <t>N/A</t>
        </is>
      </c>
      <c r="BR212" s="108" t="inlineStr">
        <is>
          <t>N/A</t>
        </is>
      </c>
      <c r="BS212" s="108" t="inlineStr">
        <is>
          <t>N/A</t>
        </is>
      </c>
      <c r="BT212" s="108" t="inlineStr">
        <is>
          <t>N/A</t>
        </is>
      </c>
      <c r="BU212" s="125" t="inlineStr">
        <is>
          <t>Quam Capital Limited</t>
        </is>
      </c>
      <c r="BV212" s="108" t="inlineStr">
        <is>
          <t>Quam Capital Limited</t>
        </is>
      </c>
      <c r="BW212" s="108" t="inlineStr">
        <is>
          <t>Quam Securities Limited; ABCI Capital Limited; BOCOM International Securities Limited; China Galaxy International Securities (Hong Kong) Co., Limited; CMB International Capital Limited; Guotai Junan Securities (Hong Kong) Limited; Zhongtai International Securities Limited; CMBC Securities Company Limited; Eddid Securities and Futures Limited; Innovax Securities Limited; Valuable Capital Limited; Yue Xiu Securities Company Limited</t>
        </is>
      </c>
      <c r="BX212" s="108" t="inlineStr">
        <is>
          <t>ABCI Securities Company Limited; Beta International Securities Limited; China Galaxy International Securities (Hong Kong) Company Limited; CMBC Securities Company Limited; CMB International Capital Limited; Eddid Securities and Futures Limited; Guotai Junan Securities (Hong Kong) Limited; Innovax Securities Limited; Quam Securities Limited; Valuable Capital Limited; Yue Xiu Securities Company Limited; Zhongtai International Securities Limited</t>
        </is>
      </c>
      <c r="BY212" s="127">
        <f>HYPERLINK("https://www1.hkexnews.hk/listedco/listconews/sehk/2023/0928/2023092800100.htm","prospectus")</f>
        <v/>
      </c>
      <c r="BZ212" s="127">
        <f>HYPERLINK("https://www1.hkexnews.hk/listedco/listconews/sehk/2023/1010/2023101000016.htm","allotment")</f>
        <v/>
      </c>
      <c r="CA212" s="119" t="n"/>
      <c r="CB212" s="128" t="n"/>
      <c r="CC212" s="108" t="inlineStr">
        <is>
          <t>greenshoe: no over-allotment option; price range: fixed-price offering (no indicative range); range low: maximum offer price only, no floor published; cornerstone list: no cornerstone tranche; greenshoe size: no over-allotment option; allocation: allocation table not in this notice's format (older prose announcement); day-1 tape: volume on file; the retail multiple needs the final public split, which this notice does not state</t>
        </is>
      </c>
    </row>
    <row r="213" ht="22" customHeight="1">
      <c r="A213" s="107" t="inlineStr">
        <is>
          <t>9676</t>
        </is>
      </c>
      <c r="B213" s="108" t="inlineStr">
        <is>
          <t>SHIYUE DAOTIAN</t>
        </is>
      </c>
      <c r="C213" s="108" t="inlineStr">
        <is>
          <t>十月稻田</t>
        </is>
      </c>
      <c r="D213" s="108" t="inlineStr">
        <is>
          <t>Consumer</t>
        </is>
      </c>
      <c r="E213" s="108" t="inlineStr">
        <is>
          <t>Beverages / packaged food</t>
        </is>
      </c>
      <c r="F213" s="108" t="inlineStr">
        <is>
          <t>Packaged Foods</t>
        </is>
      </c>
      <c r="G213" s="108" t="inlineStr">
        <is>
          <t>Standard</t>
        </is>
      </c>
      <c r="H213" s="109" t="n">
        <v>45211</v>
      </c>
      <c r="I213" s="110" t="n">
        <v>820.3</v>
      </c>
      <c r="J213" s="108" t="inlineStr">
        <is>
          <t>gross (price x shares)</t>
        </is>
      </c>
      <c r="K213" s="111" t="n">
        <v>13</v>
      </c>
      <c r="L213" s="111" t="n">
        <v>15.8</v>
      </c>
      <c r="M213" s="111" t="n">
        <v>15.36</v>
      </c>
      <c r="N213" s="108" t="inlineStr">
        <is>
          <t>N</t>
        </is>
      </c>
      <c r="O213" s="112" t="n">
        <v>97.2</v>
      </c>
      <c r="P213" s="112" t="n">
        <v>84.3</v>
      </c>
      <c r="Q213" s="113" t="n">
        <v>16406</v>
      </c>
      <c r="R213" s="108" t="inlineStr">
        <is>
          <t>derived:deal size / offer % of enlarged capital</t>
        </is>
      </c>
      <c r="S213" s="114" t="n">
        <v>1.31</v>
      </c>
      <c r="T213" s="115" t="n">
        <v>1.26</v>
      </c>
      <c r="U213" s="116" t="n">
        <v>25.4</v>
      </c>
      <c r="V213" s="117" t="n">
        <v>102</v>
      </c>
      <c r="W213" s="118" t="n"/>
      <c r="X213" s="119" t="n"/>
      <c r="Y213" s="113" t="n">
        <v>611.9400000000001</v>
      </c>
      <c r="Z213" s="113" t="n">
        <v>39841995</v>
      </c>
      <c r="AA213" s="112" t="n">
        <v>3.73</v>
      </c>
      <c r="AB213" s="108" t="inlineStr">
        <is>
          <t>Xinmin Tianshi Agricultural Industry Development Company Limited</t>
        </is>
      </c>
      <c r="AC213" s="108" t="inlineStr">
        <is>
          <t>xinmin</t>
        </is>
      </c>
      <c r="AD213" s="118" t="n"/>
      <c r="AE213" s="119" t="n"/>
      <c r="AF213" s="119" t="n"/>
      <c r="AG213" s="119" t="n"/>
      <c r="AH213" s="119" t="n"/>
      <c r="AI213" s="120" t="n">
        <v>6.51</v>
      </c>
      <c r="AJ213" s="121" t="n">
        <v>22.66</v>
      </c>
      <c r="AK213" s="121" t="n">
        <v>1.72</v>
      </c>
      <c r="AL213" s="121" t="n">
        <v>8.07</v>
      </c>
      <c r="AM213" s="121" t="n">
        <v>13.5</v>
      </c>
      <c r="AN213" s="122" t="n"/>
      <c r="AO213" s="112" t="n">
        <v>20.12</v>
      </c>
      <c r="AP213" s="121" t="n">
        <v>60.81</v>
      </c>
      <c r="AQ213" s="121" t="n">
        <v>61.46</v>
      </c>
      <c r="AR213" s="121" t="n">
        <v>68.29000000000001</v>
      </c>
      <c r="AS213" s="121" t="n">
        <v>31.1</v>
      </c>
      <c r="AT213" s="121" t="n">
        <v>31.63</v>
      </c>
      <c r="AU213" s="121" t="n">
        <v>37.2</v>
      </c>
      <c r="AV213" s="121" t="n">
        <v>64.68000000000001</v>
      </c>
      <c r="AW213" s="121" t="n">
        <v>63.15</v>
      </c>
      <c r="AX213" s="121" t="n">
        <v>80.25</v>
      </c>
      <c r="AY213" s="121" t="n">
        <v>34.98</v>
      </c>
      <c r="AZ213" s="121" t="n">
        <v>-1.69</v>
      </c>
      <c r="BA213" s="121" t="n">
        <v>-3.35</v>
      </c>
      <c r="BB213" s="108" t="inlineStr">
        <is>
          <t>Hang Seng Commerce &amp; Industry sub-index</t>
        </is>
      </c>
      <c r="BC213" s="121" t="n">
        <v>-72.69</v>
      </c>
      <c r="BD213" s="109" t="n">
        <v>46297</v>
      </c>
      <c r="BE213" s="110" t="n">
        <v>4986.2</v>
      </c>
      <c r="BF213" s="113" t="n">
        <v>-413.4</v>
      </c>
      <c r="BG213" s="108" t="inlineStr">
        <is>
          <t>N</t>
        </is>
      </c>
      <c r="BH213" s="108" t="inlineStr">
        <is>
          <t>n/m</t>
        </is>
      </c>
      <c r="BI213" s="122" t="n"/>
      <c r="BJ213" s="123" t="n">
        <v>9.199999999999999</v>
      </c>
      <c r="BK213" s="123" t="n">
        <v>3.3</v>
      </c>
      <c r="BL213" s="124">
        <f>IF('BBG Verify'!S213="","not filed; run on terminal",'BBG Verify'!S213)</f>
        <v/>
      </c>
      <c r="BM213" s="125" t="inlineStr">
        <is>
          <t>N</t>
        </is>
      </c>
      <c r="BN213" s="126">
        <f>IF('BBG Verify'!K213="","not filed; run on terminal",'BBG Verify'!K213)</f>
        <v/>
      </c>
      <c r="BO213" s="108" t="inlineStr">
        <is>
          <t>N/A</t>
        </is>
      </c>
      <c r="BP213" s="108" t="inlineStr">
        <is>
          <t>N/A</t>
        </is>
      </c>
      <c r="BQ213" s="108" t="inlineStr">
        <is>
          <t>N/A</t>
        </is>
      </c>
      <c r="BR213" s="108" t="inlineStr">
        <is>
          <t>N/A</t>
        </is>
      </c>
      <c r="BS213" s="108" t="inlineStr">
        <is>
          <t>N/A</t>
        </is>
      </c>
      <c r="BT213" s="108" t="inlineStr">
        <is>
          <t>N/A</t>
        </is>
      </c>
      <c r="BU213" s="125" t="inlineStr">
        <is>
          <t>China International Capital Corporation Hong Kong Securities Limited; Morgan Stanley Asia Limited; China Securities (International) Corporate Finance Company Limited</t>
        </is>
      </c>
      <c r="BV213" s="108" t="inlineStr">
        <is>
          <t>China International Capital Corporation Hong Kong Securities Limited; Morgan Stanley Asia Limited; China Securities (International) Corporate Finance Company Limited</t>
        </is>
      </c>
      <c r="BW213" s="108" t="inlineStr">
        <is>
          <t>Morgan Stanley Asia Limited; China International Capital Corporation Hong Kong Securities Limited; China Securities (International) Corporate Finance Company Limited</t>
        </is>
      </c>
      <c r="BX213" s="108" t="inlineStr">
        <is>
          <t>China International Capital Corporation Hong Kong Securities Limited; China Securities (International) Corporate Finance Company Limited; Morgan Stanley Asia Limited; Tiger Brokers (HK) Global Limited</t>
        </is>
      </c>
      <c r="BY213" s="127">
        <f>HYPERLINK("https://www1.hkexnews.hk/listedco/listconews/sehk/2023/0928/2023092800446.pdf","prospectus")</f>
        <v/>
      </c>
      <c r="BZ213" s="127">
        <f>HYPERLINK("https://www1.hkexnews.hk/listedco/listconews/sehk/2023/1011/2023101100010.htm","allotment")</f>
        <v/>
      </c>
      <c r="CA213" s="119" t="n"/>
      <c r="CB213" s="128" t="n"/>
      <c r="CC213" s="108" t="inlineStr">
        <is>
          <t>P/E: loss-making at IPO, use P/S; greenshoe: no over-allotment option; sponsor: English name not in the filing; AAStocks 保薦人 shown; greenshoe size: no over-allotment option; stabilising manager: filing states none appointed (allotment announcement: 'no stabilizing manager will be appointed' stated in the filing); allocation: allocation table not in this notice's format (older prose announcement); day-1 tape: volume on file; the retail multiple needs the final public split, which this notice does not state</t>
        </is>
      </c>
    </row>
    <row r="214" ht="22" customHeight="1">
      <c r="A214" s="107" t="inlineStr">
        <is>
          <t>2451</t>
        </is>
      </c>
      <c r="B214" s="108" t="inlineStr">
        <is>
          <t>LUYUAN GP HLDG</t>
        </is>
      </c>
      <c r="C214" s="108" t="inlineStr">
        <is>
          <t>綠源集團控股</t>
        </is>
      </c>
      <c r="D214" s="108" t="inlineStr">
        <is>
          <t>Consumer</t>
        </is>
      </c>
      <c r="E214" s="108" t="inlineStr">
        <is>
          <t>Autos (NEV OEM)</t>
        </is>
      </c>
      <c r="F214" s="108" t="inlineStr">
        <is>
          <t>Automobile Manufacturers</t>
        </is>
      </c>
      <c r="G214" s="108" t="inlineStr">
        <is>
          <t>Standard</t>
        </is>
      </c>
      <c r="H214" s="109" t="n">
        <v>45211</v>
      </c>
      <c r="I214" s="110" t="n">
        <v>786.1</v>
      </c>
      <c r="J214" s="108" t="inlineStr">
        <is>
          <t>gross (price x shares)</t>
        </is>
      </c>
      <c r="K214" s="111" t="n">
        <v>6</v>
      </c>
      <c r="L214" s="111" t="n">
        <v>8</v>
      </c>
      <c r="M214" s="111" t="n">
        <v>7.37</v>
      </c>
      <c r="N214" s="108" t="inlineStr">
        <is>
          <t>N</t>
        </is>
      </c>
      <c r="O214" s="112" t="n">
        <v>92.09999999999999</v>
      </c>
      <c r="P214" s="112" t="n">
        <v>68.5</v>
      </c>
      <c r="Q214" s="113" t="n">
        <v>3346.1</v>
      </c>
      <c r="R214" s="108" t="inlineStr">
        <is>
          <t>aastocks:上市市值 at the struck price</t>
        </is>
      </c>
      <c r="S214" s="114" t="n">
        <v>15</v>
      </c>
      <c r="T214" s="115" t="n">
        <v>1.13</v>
      </c>
      <c r="U214" s="116" t="n">
        <v>31.1</v>
      </c>
      <c r="V214" s="117" t="n">
        <v>134</v>
      </c>
      <c r="W214" s="118" t="n"/>
      <c r="X214" s="119" t="n"/>
      <c r="Y214" s="113" t="n">
        <v>541.62</v>
      </c>
      <c r="Z214" s="113" t="n">
        <v>73493563</v>
      </c>
      <c r="AA214" s="112" t="n">
        <v>16.19</v>
      </c>
      <c r="AB214" s="108" t="inlineStr">
        <is>
          <t>Chongqing Dazuhuaiyuan Construction Investment Co., L; Hainan Dongfang Runze Private Equity Fund Management Co., Ltd; Jinhua Industrial Fund Co., Ltd; Jinhua Jinkai State Owned Capital Investments Co., Ltd; Phylion Battery Co., Ltd</t>
        </is>
      </c>
      <c r="AC214" s="108" t="inlineStr">
        <is>
          <t>chongqing;hainan;jinhua;phylion</t>
        </is>
      </c>
      <c r="AD214" s="118" t="n"/>
      <c r="AE214" s="119" t="n"/>
      <c r="AF214" s="119" t="n"/>
      <c r="AG214" s="119" t="n"/>
      <c r="AH214" s="119" t="n"/>
      <c r="AI214" s="120" t="n">
        <v>2.85</v>
      </c>
      <c r="AJ214" s="121" t="n">
        <v>0.95</v>
      </c>
      <c r="AK214" s="121" t="n">
        <v>1.72</v>
      </c>
      <c r="AL214" s="121" t="n">
        <v>-0.41</v>
      </c>
      <c r="AM214" s="121" t="n">
        <v>1.37</v>
      </c>
      <c r="AN214" s="122" t="n"/>
      <c r="AO214" s="112" t="n">
        <v>11.44</v>
      </c>
      <c r="AP214" s="121" t="n">
        <v>-1.63</v>
      </c>
      <c r="AQ214" s="121" t="n">
        <v>0.54</v>
      </c>
      <c r="AR214" s="121" t="n">
        <v>-1.36</v>
      </c>
      <c r="AS214" s="121" t="n">
        <v>-2.56</v>
      </c>
      <c r="AT214" s="121" t="n">
        <v>-0.41</v>
      </c>
      <c r="AU214" s="121" t="n">
        <v>-2.29</v>
      </c>
      <c r="AV214" s="121" t="n">
        <v>2.24</v>
      </c>
      <c r="AW214" s="121" t="n">
        <v>2.23</v>
      </c>
      <c r="AX214" s="121" t="n">
        <v>10.6</v>
      </c>
      <c r="AY214" s="121" t="n">
        <v>2.94</v>
      </c>
      <c r="AZ214" s="121" t="n">
        <v>-1.69</v>
      </c>
      <c r="BA214" s="121" t="n">
        <v>-3.35</v>
      </c>
      <c r="BB214" s="108" t="inlineStr">
        <is>
          <t>Hang Seng Commerce &amp; Industry sub-index</t>
        </is>
      </c>
      <c r="BC214" s="121" t="n">
        <v>93.48999999999999</v>
      </c>
      <c r="BD214" s="109" t="n">
        <v>46297</v>
      </c>
      <c r="BE214" s="110" t="n">
        <v>5261.3</v>
      </c>
      <c r="BF214" s="113" t="n">
        <v>129.8</v>
      </c>
      <c r="BG214" s="108" t="inlineStr">
        <is>
          <t>Y</t>
        </is>
      </c>
      <c r="BH214" s="123" t="n">
        <v>25.8</v>
      </c>
      <c r="BI214" s="122" t="n"/>
      <c r="BJ214" s="123" t="n">
        <v>24.3</v>
      </c>
      <c r="BK214" s="123" t="n">
        <v>0.6</v>
      </c>
      <c r="BL214" s="124">
        <f>IF('BBG Verify'!S214="","not filed; run on terminal",'BBG Verify'!S214)</f>
        <v/>
      </c>
      <c r="BM214" s="125" t="inlineStr">
        <is>
          <t>N</t>
        </is>
      </c>
      <c r="BN214" s="126">
        <f>IF('BBG Verify'!K214="","not filed; run on terminal",'BBG Verify'!K214)</f>
        <v/>
      </c>
      <c r="BO214" s="108" t="inlineStr">
        <is>
          <t>N/A</t>
        </is>
      </c>
      <c r="BP214" s="108" t="inlineStr">
        <is>
          <t>N/A</t>
        </is>
      </c>
      <c r="BQ214" s="108" t="inlineStr">
        <is>
          <t>N/A</t>
        </is>
      </c>
      <c r="BR214" s="108" t="inlineStr">
        <is>
          <t>N/A</t>
        </is>
      </c>
      <c r="BS214" s="108" t="inlineStr">
        <is>
          <t>N/A</t>
        </is>
      </c>
      <c r="BT214" s="108" t="inlineStr">
        <is>
          <t>N/A</t>
        </is>
      </c>
      <c r="BU214" s="125" t="inlineStr">
        <is>
          <t>China Securities (International) Corporate Finance Company Limited</t>
        </is>
      </c>
      <c r="BV214" s="108" t="inlineStr">
        <is>
          <t>China Securities (International) Corporate Finance Company Limited</t>
        </is>
      </c>
      <c r="BW214" s="108" t="inlineStr">
        <is>
          <t>China Securities (International) Corporate Finance Company Limited; TFI Securities and Futures Limited; ABCI Capital Limited; Guotai Junan Securities (Hong Kong) Limited; CMB International Capital Limited; ICBC International Securities Limited; Daiwa Capital Markets Hong Kong Limited; Valuable Capital Limited; Livermore Holdings Limited; Futu Securities International (Hong Kong) Limited; SBI China Capital Financial Services Limited; China Galaxy International Securities (Hong Kong) Co., Limited</t>
        </is>
      </c>
      <c r="BX214" s="108" t="inlineStr">
        <is>
          <t>ABCI Securities Company Limited; China Galaxy International Securities (Hong Kong) Company Limited; CMB International Capital Limited; China Securities (International) Corporate Finance Company Limited; Daiwa Capital Markets Hong Kong Limited; Futu Securities International (Hong Kong) Limited; Guotai Junan Securities (Hong Kong) Limited; ICBC International Securities Limited; Livermore Holdings Limited; SBI China Capital Financial Services Limited; SPDB International Capital Limited; TFI Securities and Futures Limited</t>
        </is>
      </c>
      <c r="BY214" s="127">
        <f>HYPERLINK("https://www1.hkexnews.hk/listedco/listconews/sehk/2023/0928/2023092800027.pdf","prospectus")</f>
        <v/>
      </c>
      <c r="BZ214" s="127">
        <f>HYPERLINK("https://www1.hkexnews.hk/listedco/listconews/sehk/2023/1011/2023101100034.htm","allotment")</f>
        <v/>
      </c>
      <c r="CA214" s="119" t="n"/>
      <c r="CB214" s="128" t="n"/>
      <c r="CC214" s="108" t="inlineStr">
        <is>
          <t>greenshoe: no over-allotment option; sponsor: English name not in the filing; AAStocks 保薦人 shown; market cap: published listing cap used; the estimate from stated market capitalisation, rescaled to the offer price disagreed; cornerstone: % from the prospectus; AAStocks table includes non-cornerstone orders; greenshoe size: no over-allotment option; stabilising manager: filing states none appointed (allotment announcement: 'no stabilizing manager will be appointed' stated in the filing); deal size: stated gross HK$31.5m rejected, below the net proceeds of HK$706.4m; allocation: allocation table not in this notice's format (older prose announcement); day-1 tape: volume on file; the retail multiple needs the final public split, which this notice does not state</t>
        </is>
      </c>
    </row>
    <row r="215" ht="22" customHeight="1">
      <c r="A215" s="107" t="inlineStr">
        <is>
          <t>1519</t>
        </is>
      </c>
      <c r="B215" s="108" t="inlineStr">
        <is>
          <t>J&amp;T EXPRESS-W</t>
        </is>
      </c>
      <c r="C215" s="108" t="inlineStr">
        <is>
          <t>極兔速遞－Ｗ</t>
        </is>
      </c>
      <c r="D215" s="108" t="inlineStr">
        <is>
          <t>Industrials</t>
        </is>
      </c>
      <c r="E215" s="108" t="inlineStr">
        <is>
          <t>Logistics</t>
        </is>
      </c>
      <c r="F215" s="108" t="inlineStr">
        <is>
          <t>Air Freight &amp; Logistics</t>
        </is>
      </c>
      <c r="G215" s="108" t="inlineStr">
        <is>
          <t>WVR</t>
        </is>
      </c>
      <c r="H215" s="109" t="n">
        <v>45226</v>
      </c>
      <c r="I215" s="110" t="n">
        <v>3918.6</v>
      </c>
      <c r="J215" s="108" t="inlineStr">
        <is>
          <t>gross (price x shares)</t>
        </is>
      </c>
      <c r="K215" s="129" t="n"/>
      <c r="L215" s="111" t="n">
        <v>12</v>
      </c>
      <c r="M215" s="111" t="n">
        <v>12</v>
      </c>
      <c r="N215" s="108" t="inlineStr">
        <is>
          <t>Y</t>
        </is>
      </c>
      <c r="O215" s="112" t="n">
        <v>100</v>
      </c>
      <c r="P215" s="118" t="n"/>
      <c r="Q215" s="113" t="n">
        <v>105750</v>
      </c>
      <c r="R215" s="108" t="inlineStr">
        <is>
          <t>prospectus:stated market capitalisation</t>
        </is>
      </c>
      <c r="S215" s="114" t="n">
        <v>1.36</v>
      </c>
      <c r="T215" s="115" t="n">
        <v>1.91</v>
      </c>
      <c r="U215" s="116" t="n">
        <v>39.88</v>
      </c>
      <c r="V215" s="117" t="n">
        <v>114</v>
      </c>
      <c r="W215" s="118" t="n"/>
      <c r="X215" s="119" t="n"/>
      <c r="Y215" s="113" t="n">
        <v>2355.86</v>
      </c>
      <c r="Z215" s="113" t="n">
        <v>196322100</v>
      </c>
      <c r="AA215" s="112" t="n">
        <v>2.23</v>
      </c>
      <c r="AB215" s="108" t="inlineStr">
        <is>
          <t>Aspex Master Fund; CELESTIAL OCEAN INVESTMENTS LIMITED; D1 SPV Jupiter (Hong Kong) Limited; D1 SPV Master Holdco I (Hong Kong) Limited; Dahlia Investments Pte. Ltd; Eternal Earn Holding Limited; Hidden Hill SPV VIII; Huang River Investment Limited; Jallion Global Limited; JNRY III HOLDINGS LIMITED; Joyous Tempinis Limited; Parallel Cluster Investment Limited; SC GGF III Holdco, Ltd</t>
        </is>
      </c>
      <c r="AC215" s="108" t="inlineStr">
        <is>
          <t>aspex;celestial;d1;dahlia;eternal;hidden;huang-river;jallion;jnry;joyous;parallel;sc</t>
        </is>
      </c>
      <c r="AD215" s="112" t="n">
        <v>16.4</v>
      </c>
      <c r="AE215" s="108" t="inlineStr">
        <is>
          <t>lapsed</t>
        </is>
      </c>
      <c r="AF215" s="108" t="inlineStr">
        <is>
          <t>2023-11-18</t>
        </is>
      </c>
      <c r="AG215" s="108" t="inlineStr">
        <is>
          <t>Morgan Stanley Asia Limited</t>
        </is>
      </c>
      <c r="AH215" s="108" t="inlineStr">
        <is>
          <t>Morgan Stanley</t>
        </is>
      </c>
      <c r="AI215" s="120" t="n">
        <v>-1.17</v>
      </c>
      <c r="AJ215" s="121" t="n">
        <v>0</v>
      </c>
      <c r="AK215" s="121" t="n">
        <v>2.48</v>
      </c>
      <c r="AL215" s="121" t="n">
        <v>0</v>
      </c>
      <c r="AM215" s="121" t="n">
        <v>0</v>
      </c>
      <c r="AN215" s="122" t="n"/>
      <c r="AO215" s="112" t="n">
        <v>3.33</v>
      </c>
      <c r="AP215" s="121" t="n">
        <v>3.33</v>
      </c>
      <c r="AQ215" s="121" t="n">
        <v>-1.17</v>
      </c>
      <c r="AR215" s="121" t="n">
        <v>34</v>
      </c>
      <c r="AS215" s="121" t="n">
        <v>3.33</v>
      </c>
      <c r="AT215" s="121" t="n">
        <v>-1.17</v>
      </c>
      <c r="AU215" s="121" t="n">
        <v>34</v>
      </c>
      <c r="AV215" s="121" t="n">
        <v>-0.78</v>
      </c>
      <c r="AW215" s="121" t="n">
        <v>-4.04</v>
      </c>
      <c r="AX215" s="121" t="n">
        <v>43.21</v>
      </c>
      <c r="AY215" s="121" t="n">
        <v>-1.55</v>
      </c>
      <c r="AZ215" s="121" t="n">
        <v>2.87</v>
      </c>
      <c r="BA215" s="121" t="n">
        <v>0.38</v>
      </c>
      <c r="BB215" s="108" t="inlineStr">
        <is>
          <t>Hang Seng Commerce &amp; Industry sub-index</t>
        </is>
      </c>
      <c r="BC215" s="121" t="n">
        <v>-29.5</v>
      </c>
      <c r="BD215" s="109" t="n">
        <v>46297</v>
      </c>
      <c r="BE215" s="110" t="n">
        <v>56685.9</v>
      </c>
      <c r="BF215" s="113" t="n">
        <v>12918.1</v>
      </c>
      <c r="BG215" s="108" t="inlineStr">
        <is>
          <t>Y</t>
        </is>
      </c>
      <c r="BH215" s="123" t="n">
        <v>8.199999999999999</v>
      </c>
      <c r="BI215" s="122" t="n"/>
      <c r="BJ215" s="123" t="n">
        <v>54.9</v>
      </c>
      <c r="BK215" s="123" t="n">
        <v>1.9</v>
      </c>
      <c r="BL215" s="124">
        <f>IF('BBG Verify'!S215="","not filed; run on terminal",'BBG Verify'!S215)</f>
        <v/>
      </c>
      <c r="BM215" s="125" t="inlineStr">
        <is>
          <t>N</t>
        </is>
      </c>
      <c r="BN215" s="126">
        <f>IF('BBG Verify'!K215="","not filed; run on terminal",'BBG Verify'!K215)</f>
        <v/>
      </c>
      <c r="BO215" s="108" t="inlineStr">
        <is>
          <t>N/A</t>
        </is>
      </c>
      <c r="BP215" s="108" t="inlineStr">
        <is>
          <t>N/A</t>
        </is>
      </c>
      <c r="BQ215" s="108" t="inlineStr">
        <is>
          <t>N/A</t>
        </is>
      </c>
      <c r="BR215" s="108" t="inlineStr">
        <is>
          <t>N/A</t>
        </is>
      </c>
      <c r="BS215" s="108" t="inlineStr">
        <is>
          <t>N/A</t>
        </is>
      </c>
      <c r="BT215" s="108" t="inlineStr">
        <is>
          <t>N/A</t>
        </is>
      </c>
      <c r="BU215" s="125" t="inlineStr">
        <is>
          <t>Morgan Stanley Asia Limited; Merrill Lynch (Asia Pacific) Limited; China International Capital Corporation Hong Kong Securities Limited</t>
        </is>
      </c>
      <c r="BV215" s="108" t="inlineStr">
        <is>
          <t>China International Capital Corporation Hong Kong Securities Limited; Morgan Stanley Asia Limited; Merrill Lynch (Asia Pacific) Limited</t>
        </is>
      </c>
      <c r="BW215" s="108" t="inlineStr">
        <is>
          <t>Morgan Stanley Asia Limited; Merrill Lynch (Asia Pacific) Limited; China International Capital Corporation Hong Kong Securities Limited; UBS AG Hong Kong Branch; CCB International Capital Limited; CMB International Capital Limited; Huatai Financial Holdings (Hong Kong) Limited; BOCI Asia Limited; ABCI Capital Limited; ABCI Securities Company Limited</t>
        </is>
      </c>
      <c r="BX215" s="108" t="inlineStr">
        <is>
          <t>ABCI Securities Company Limited; Beta International Securities Limited; BOCI Asia Limited; CCB International Capital Limited; China Galaxy International Securities (Hong Kong) Company Limited; China International Capital Corporation Hong Kong Securities Limited; CMB International Capital Limited; Deutsche Bank AG, Hong Kong Branch; DBS Asia Capital Limited; Daiwa Capital Markets Hong Kong Limited; Fosun International Securities Limited; Futu Securities International (Hong Kong) Limited</t>
        </is>
      </c>
      <c r="BY215" s="127">
        <f>HYPERLINK("https://www1.hkexnews.hk/listedco/listconews/sehk/2023/1016/2023101600009.pdf","prospectus")</f>
        <v/>
      </c>
      <c r="BZ215" s="127">
        <f>HYPERLINK("https://www1.hkexnews.hk/listedco/listconews/sehk/2023/1026/2023102600028.htm","allotment")</f>
        <v/>
      </c>
      <c r="CA215" s="127">
        <f>HYPERLINK("https://www1.hkexnews.hk/listedco/listconews/sehk/2023/1119/2023111900085.pdf","stabilisation")</f>
        <v/>
      </c>
      <c r="CB215" s="128" t="n"/>
      <c r="CC215" s="108" t="inlineStr">
        <is>
          <t>range low: maximum offer price only, no floor published; allocation: allocation table not in this notice's format (older prose announcement); day-1 tape: volume on file; the retail multiple needs the final public split, which this notice does not state</t>
        </is>
      </c>
    </row>
    <row r="216" ht="22" customHeight="1">
      <c r="A216" s="107" t="inlineStr">
        <is>
          <t>2517</t>
        </is>
      </c>
      <c r="B216" s="108" t="inlineStr">
        <is>
          <t>GUOQUAN</t>
        </is>
      </c>
      <c r="C216" s="108" t="inlineStr">
        <is>
          <t>鍋圈</t>
        </is>
      </c>
      <c r="D216" s="108" t="inlineStr">
        <is>
          <t>Consumer</t>
        </is>
      </c>
      <c r="E216" s="108" t="inlineStr">
        <is>
          <t>Retail / distribution</t>
        </is>
      </c>
      <c r="F216" s="108" t="inlineStr">
        <is>
          <t>Packaged Foods</t>
        </is>
      </c>
      <c r="G216" s="108" t="inlineStr">
        <is>
          <t>Standard</t>
        </is>
      </c>
      <c r="H216" s="109" t="n">
        <v>45232</v>
      </c>
      <c r="I216" s="110" t="n">
        <v>411.4</v>
      </c>
      <c r="J216" s="108" t="inlineStr">
        <is>
          <t>gross (price x shares)</t>
        </is>
      </c>
      <c r="K216" s="129" t="n"/>
      <c r="L216" s="111" t="n">
        <v>5.98</v>
      </c>
      <c r="M216" s="111" t="n">
        <v>5.98</v>
      </c>
      <c r="N216" s="108" t="inlineStr">
        <is>
          <t>Y</t>
        </is>
      </c>
      <c r="O216" s="112" t="n">
        <v>100</v>
      </c>
      <c r="P216" s="118" t="n"/>
      <c r="Q216" s="113" t="n">
        <v>14186.2</v>
      </c>
      <c r="R216" s="108" t="inlineStr">
        <is>
          <t>derived:deal size / offer % of enlarged capital</t>
        </is>
      </c>
      <c r="S216" s="114" t="n">
        <v>4.34</v>
      </c>
      <c r="T216" s="115" t="n">
        <v>1.33</v>
      </c>
      <c r="U216" s="116" t="n">
        <v>53.6</v>
      </c>
      <c r="V216" s="117" t="n">
        <v>119</v>
      </c>
      <c r="W216" s="118" t="n"/>
      <c r="X216" s="119" t="n"/>
      <c r="Y216" s="113" t="n">
        <v>190.89</v>
      </c>
      <c r="Z216" s="113" t="n">
        <v>31924499</v>
      </c>
      <c r="AA216" s="112" t="n">
        <v>1.35</v>
      </c>
      <c r="AB216" s="108" t="inlineStr">
        <is>
          <t>COFCO Capital Special Opportunity Fund 2 SP; Jiangsu Hengshun Vinegar Industry Co., Ltd; Jinding Capital Management (Shenzhen) Co., Ltd; Profit Joy (Hong Kong) Limited</t>
        </is>
      </c>
      <c r="AC216" s="108" t="inlineStr">
        <is>
          <t>cofco;jiangsu;jinding;profit</t>
        </is>
      </c>
      <c r="AD216" s="112" t="n">
        <v>15</v>
      </c>
      <c r="AE216" s="108" t="inlineStr">
        <is>
          <t>partial</t>
        </is>
      </c>
      <c r="AF216" s="108" t="inlineStr">
        <is>
          <t>2023-11-25</t>
        </is>
      </c>
      <c r="AG216" s="108" t="inlineStr">
        <is>
          <t>China International Capital Corporation Hong Kong Securities Limited DEFINITIONS –3 1</t>
        </is>
      </c>
      <c r="AH216" s="108" t="inlineStr">
        <is>
          <t>China International</t>
        </is>
      </c>
      <c r="AI216" s="120" t="n">
        <v>-0.17</v>
      </c>
      <c r="AJ216" s="121" t="n">
        <v>0</v>
      </c>
      <c r="AK216" s="121" t="n">
        <v>0.66</v>
      </c>
      <c r="AL216" s="121" t="n">
        <v>0</v>
      </c>
      <c r="AM216" s="121" t="n">
        <v>0</v>
      </c>
      <c r="AN216" s="122" t="n"/>
      <c r="AO216" s="112" t="n">
        <v>4.01</v>
      </c>
      <c r="AP216" s="121" t="n">
        <v>6.52</v>
      </c>
      <c r="AQ216" s="121" t="n">
        <v>22.91</v>
      </c>
      <c r="AR216" s="121" t="n">
        <v>42.14</v>
      </c>
      <c r="AS216" s="121" t="n">
        <v>6.52</v>
      </c>
      <c r="AT216" s="121" t="n">
        <v>22.91</v>
      </c>
      <c r="AU216" s="121" t="n">
        <v>42.14</v>
      </c>
      <c r="AV216" s="121" t="n">
        <v>3.04</v>
      </c>
      <c r="AW216" s="121" t="n">
        <v>25.35</v>
      </c>
      <c r="AX216" s="121" t="n">
        <v>55.18</v>
      </c>
      <c r="AY216" s="121" t="n">
        <v>25.99</v>
      </c>
      <c r="AZ216" s="121" t="n">
        <v>-2.44</v>
      </c>
      <c r="BA216" s="121" t="n">
        <v>-3.08</v>
      </c>
      <c r="BB216" s="108" t="inlineStr">
        <is>
          <t>Hang Seng Commerce &amp; Industry sub-index</t>
        </is>
      </c>
      <c r="BC216" s="121" t="n">
        <v>-76.92</v>
      </c>
      <c r="BD216" s="109" t="n">
        <v>46297</v>
      </c>
      <c r="BE216" s="110" t="n">
        <v>7890.8</v>
      </c>
      <c r="BF216" s="113" t="n">
        <v>365.2</v>
      </c>
      <c r="BG216" s="108" t="inlineStr">
        <is>
          <t>Y</t>
        </is>
      </c>
      <c r="BH216" s="123" t="n">
        <v>38.8</v>
      </c>
      <c r="BI216" s="122" t="n"/>
      <c r="BJ216" s="123" t="n">
        <v>9.6</v>
      </c>
      <c r="BK216" s="123" t="n">
        <v>1.8</v>
      </c>
      <c r="BL216" s="124">
        <f>IF('BBG Verify'!S216="","not filed; run on terminal",'BBG Verify'!S216)</f>
        <v/>
      </c>
      <c r="BM216" s="125" t="inlineStr">
        <is>
          <t>N</t>
        </is>
      </c>
      <c r="BN216" s="126">
        <f>IF('BBG Verify'!K216="","not filed; run on terminal",'BBG Verify'!K216)</f>
        <v/>
      </c>
      <c r="BO216" s="108" t="inlineStr">
        <is>
          <t>N/A</t>
        </is>
      </c>
      <c r="BP216" s="108" t="inlineStr">
        <is>
          <t>N/A</t>
        </is>
      </c>
      <c r="BQ216" s="108" t="inlineStr">
        <is>
          <t>N/A</t>
        </is>
      </c>
      <c r="BR216" s="108" t="inlineStr">
        <is>
          <t>N/A</t>
        </is>
      </c>
      <c r="BS216" s="108" t="inlineStr">
        <is>
          <t>N/A</t>
        </is>
      </c>
      <c r="BT216" s="108" t="inlineStr">
        <is>
          <t>N/A</t>
        </is>
      </c>
      <c r="BU216" s="125" t="inlineStr">
        <is>
          <t>Huatai Financial Holdings (Hong Kong) Limited; China International Capital Corporation Hong Kong Securities Limited</t>
        </is>
      </c>
      <c r="BV216" s="108" t="inlineStr">
        <is>
          <t>China International Capital Corporation Hong Kong Securities Limited; Huatai Financial Holdings (Hong Kong) Limited</t>
        </is>
      </c>
      <c r="BW216" s="108" t="inlineStr">
        <is>
          <t>Huatai Financial Holdings (Hong Kong) Limited; China International Capital Corporation Hong Kong Securities Limited; CMB International Capital Limited; Central China International Capital Limited</t>
        </is>
      </c>
      <c r="BX216" s="108" t="inlineStr">
        <is>
          <t>Central China International Capital Limited; China International Capital Corporation Hong Kong Securities Limited; CMB International Capital Limited; Futu Securities International (Hong Kong) Limited; GF Securities (Hong Kong) Brokerage Limited; Huatai Financial Holdings (Hong Kong) Limited; Lighthouse Capital (HK) Financial Limited; Livermore Holdings Limited; Silverbricks Securities Company Limited; Tiger Brokers (HK) Global Limited; Victory Securities Company Limited</t>
        </is>
      </c>
      <c r="BY216" s="127">
        <f>HYPERLINK("https://www1.hkexnews.hk/listedco/listconews/sehk/2023/1020/2023102000007.pdf","prospectus")</f>
        <v/>
      </c>
      <c r="BZ216" s="127">
        <f>HYPERLINK("https://www1.hkexnews.hk/listedco/listconews/sehk/2023/1101/2023110100018.htm","allotment")</f>
        <v/>
      </c>
      <c r="CA216" s="127">
        <f>HYPERLINK("https://www1.hkexnews.hk/listedco/listconews/sehk/2023/1127/2023112700202.pdf","stabilisation")</f>
        <v/>
      </c>
      <c r="CB216" s="128" t="n"/>
      <c r="CC216" s="108" t="inlineStr">
        <is>
          <t>range low: maximum offer price only, no floor published; cornerstone: table parse 99% rejected (institutional total implies 54%); the AAStocks institutional total used; deal size: stated gross HK$16.5m rejected, below the net proceeds of HK$356.5m; allocation: allocation table not in this notice's format (older prose announcement); day-1 tape: volume on file; the retail multiple needs the final public split, which this notice does not state</t>
        </is>
      </c>
    </row>
    <row r="217" ht="22" customHeight="1">
      <c r="A217" s="107" t="inlineStr">
        <is>
          <t>2429</t>
        </is>
      </c>
      <c r="B217" s="108" t="inlineStr">
        <is>
          <t>UBOX ONLINE</t>
        </is>
      </c>
      <c r="C217" s="108" t="inlineStr">
        <is>
          <t>友寶在線</t>
        </is>
      </c>
      <c r="D217" s="108" t="inlineStr">
        <is>
          <t>Consumer</t>
        </is>
      </c>
      <c r="E217" s="108" t="inlineStr">
        <is>
          <t>Retail / distribution</t>
        </is>
      </c>
      <c r="F217" s="108" t="inlineStr">
        <is>
          <t>Hypermarkets, Supermarkets &amp; Convenience Stores</t>
        </is>
      </c>
      <c r="G217" s="108" t="inlineStr">
        <is>
          <t>Standard</t>
        </is>
      </c>
      <c r="H217" s="109" t="n">
        <v>45233</v>
      </c>
      <c r="I217" s="110" t="n">
        <v>233.7</v>
      </c>
      <c r="J217" s="108" t="inlineStr">
        <is>
          <t>gross (price x shares)</t>
        </is>
      </c>
      <c r="K217" s="111" t="n">
        <v>9.4</v>
      </c>
      <c r="L217" s="111" t="n">
        <v>11.4</v>
      </c>
      <c r="M217" s="111" t="n">
        <v>10.35</v>
      </c>
      <c r="N217" s="108" t="inlineStr">
        <is>
          <t>N</t>
        </is>
      </c>
      <c r="O217" s="112" t="n">
        <v>90.8</v>
      </c>
      <c r="P217" s="112" t="n">
        <v>47.5</v>
      </c>
      <c r="Q217" s="113" t="n">
        <v>6655.3</v>
      </c>
      <c r="R217" s="108" t="inlineStr">
        <is>
          <t>prospectus:stated market capitalisation, rescaled to the offer price</t>
        </is>
      </c>
      <c r="S217" s="114" t="n">
        <v>11.29</v>
      </c>
      <c r="T217" s="115" t="n">
        <v>1.41</v>
      </c>
      <c r="U217" s="116" t="n">
        <v>29.4</v>
      </c>
      <c r="V217" s="117" t="n">
        <v>143</v>
      </c>
      <c r="W217" s="118" t="n"/>
      <c r="X217" s="119" t="n"/>
      <c r="Y217" s="113" t="n">
        <v>164.99</v>
      </c>
      <c r="Z217" s="113" t="n">
        <v>15939009</v>
      </c>
      <c r="AA217" s="112" t="n">
        <v>2.48</v>
      </c>
      <c r="AB217" s="108" t="inlineStr">
        <is>
          <t>Nayuki Holdings Limited; SensePower Management Limited; Shenzhen Maliujia Network Technology Co., Ltd; Wei Jinbing</t>
        </is>
      </c>
      <c r="AC217" s="108" t="inlineStr">
        <is>
          <t>nayuki;sensepower;shenzhen-maliujia;wei-jinbing</t>
        </is>
      </c>
      <c r="AD217" s="118" t="n"/>
      <c r="AE217" s="119" t="n"/>
      <c r="AF217" s="119" t="n"/>
      <c r="AG217" s="119" t="n"/>
      <c r="AH217" s="119" t="n"/>
      <c r="AI217" s="120" t="n">
        <v>20.77</v>
      </c>
      <c r="AJ217" s="121" t="n">
        <v>40.87</v>
      </c>
      <c r="AK217" s="121" t="n">
        <v>2.72</v>
      </c>
      <c r="AL217" s="121" t="n">
        <v>20.77</v>
      </c>
      <c r="AM217" s="121" t="n">
        <v>16.64</v>
      </c>
      <c r="AN217" s="122" t="n"/>
      <c r="AO217" s="112" t="n">
        <v>21.28</v>
      </c>
      <c r="AP217" s="121" t="n">
        <v>20.77</v>
      </c>
      <c r="AQ217" s="121" t="n">
        <v>55.94</v>
      </c>
      <c r="AR217" s="121" t="n">
        <v>79.13</v>
      </c>
      <c r="AS217" s="121" t="n">
        <v>-14.27</v>
      </c>
      <c r="AT217" s="121" t="n">
        <v>10.7</v>
      </c>
      <c r="AU217" s="121" t="n">
        <v>27.16</v>
      </c>
      <c r="AV217" s="121" t="n">
        <v>20.21</v>
      </c>
      <c r="AW217" s="121" t="n">
        <v>60.49</v>
      </c>
      <c r="AX217" s="121" t="n">
        <v>92.8</v>
      </c>
      <c r="AY217" s="121" t="n">
        <v>17.78</v>
      </c>
      <c r="AZ217" s="121" t="n">
        <v>-4.55</v>
      </c>
      <c r="BA217" s="121" t="n">
        <v>-7.08</v>
      </c>
      <c r="BB217" s="108" t="inlineStr">
        <is>
          <t>Hang Seng Commerce &amp; Industry sub-index</t>
        </is>
      </c>
      <c r="BC217" s="121" t="n">
        <v>-83.14</v>
      </c>
      <c r="BD217" s="109" t="n">
        <v>46297</v>
      </c>
      <c r="BE217" s="110" t="n">
        <v>2943.9</v>
      </c>
      <c r="BF217" s="113" t="n">
        <v>-203.1</v>
      </c>
      <c r="BG217" s="108" t="inlineStr">
        <is>
          <t>N</t>
        </is>
      </c>
      <c r="BH217" s="108" t="inlineStr">
        <is>
          <t>n/m</t>
        </is>
      </c>
      <c r="BI217" s="122" t="n"/>
      <c r="BJ217" s="122" t="n"/>
      <c r="BK217" s="123" t="n">
        <v>2.3</v>
      </c>
      <c r="BL217" s="124">
        <f>IF('BBG Verify'!S217="","not filed; run on terminal",'BBG Verify'!S217)</f>
        <v/>
      </c>
      <c r="BM217" s="125" t="inlineStr">
        <is>
          <t>N</t>
        </is>
      </c>
      <c r="BN217" s="126">
        <f>IF('BBG Verify'!K217="","not filed; run on terminal",'BBG Verify'!K217)</f>
        <v/>
      </c>
      <c r="BO217" s="108" t="inlineStr">
        <is>
          <t>N/A</t>
        </is>
      </c>
      <c r="BP217" s="108" t="inlineStr">
        <is>
          <t>N/A</t>
        </is>
      </c>
      <c r="BQ217" s="108" t="inlineStr">
        <is>
          <t>N/A</t>
        </is>
      </c>
      <c r="BR217" s="108" t="inlineStr">
        <is>
          <t>N/A</t>
        </is>
      </c>
      <c r="BS217" s="108" t="inlineStr">
        <is>
          <t>N/A</t>
        </is>
      </c>
      <c r="BT217" s="108" t="inlineStr">
        <is>
          <t>N/A</t>
        </is>
      </c>
      <c r="BU217" s="125" t="inlineStr">
        <is>
          <t>China Securities (International) Corporate Finance Company Limited; Huatai Financial Holdings (Hong Kong) Limited</t>
        </is>
      </c>
      <c r="BV217" s="108" t="inlineStr">
        <is>
          <t>Huatai Financial Holdings (Hong Kong) Limited; China Securities (International) Corporate Finance Company Limited</t>
        </is>
      </c>
      <c r="BW217" s="108" t="inlineStr">
        <is>
          <t>Huatai Financial Holdings (Hong Kong) Limited; China Securities (International) Corporate Finance Company Limited</t>
        </is>
      </c>
      <c r="BX217" s="108" t="inlineStr">
        <is>
          <t>ABCI Securities Company Limited; CCB International Capital Limited; China Galaxy International Securities (Hong Kong) Company Limited; CMB International Capital Limited; China Securities (International) Corporate Finance Company Limited; Huatai Financial Holdings (Hong Kong) Limited; ICBC International Securities Limited; Livermore Holdings Limited; Valuable Capital Limited</t>
        </is>
      </c>
      <c r="BY217" s="127">
        <f>HYPERLINK("https://www1.hkexnews.hk/listedco/listconews/sehk/2023/1024/2023102400007.pdf","prospectus")</f>
        <v/>
      </c>
      <c r="BZ217" s="127">
        <f>HYPERLINK("https://www1.hkexnews.hk/listedco/listconews/sehk/2023/1102/2023110200032.htm","allotment")</f>
        <v/>
      </c>
      <c r="CA217" s="119" t="n"/>
      <c r="CB217" s="128" t="n"/>
      <c r="CC217" s="108" t="inlineStr">
        <is>
          <t>P/E: loss-making at IPO, use P/S; greenshoe: no over-allotment option; market cap: prospectus cap HK$7,330m at HK$11.40, rescaled to HK$10.35; cornerstone: % from the prospectus; AAStocks table includes non-cornerstone orders; greenshoe size: no over-allotment option; stabilising manager: filing states none appointed (allotment announcement: 'no stabilizing manager will be appointed' stated in the filing); allocation: allocation table not in this notice's format (older prose announcement); day-1 tape: volume on file; the retail multiple needs the final public split, which this notice does not state</t>
        </is>
      </c>
    </row>
    <row r="218" ht="22" customHeight="1">
      <c r="A218" s="107" t="inlineStr">
        <is>
          <t>2473</t>
        </is>
      </c>
      <c r="B218" s="108" t="inlineStr">
        <is>
          <t>XXF</t>
        </is>
      </c>
      <c r="C218" s="108" t="inlineStr">
        <is>
          <t>喜相逢集團</t>
        </is>
      </c>
      <c r="D218" s="108" t="inlineStr">
        <is>
          <t>Consumer</t>
        </is>
      </c>
      <c r="E218" s="108" t="inlineStr">
        <is>
          <t>Retail / distribution</t>
        </is>
      </c>
      <c r="F218" s="108" t="inlineStr">
        <is>
          <t>Automotive Retail</t>
        </is>
      </c>
      <c r="G218" s="108" t="inlineStr">
        <is>
          <t>Standard</t>
        </is>
      </c>
      <c r="H218" s="109" t="n">
        <v>45239</v>
      </c>
      <c r="I218" s="110" t="n">
        <v>28.8</v>
      </c>
      <c r="J218" s="108" t="inlineStr">
        <is>
          <t>net proceeds</t>
        </is>
      </c>
      <c r="K218" s="111" t="n">
        <v>1.05</v>
      </c>
      <c r="L218" s="111" t="n">
        <v>1.36</v>
      </c>
      <c r="M218" s="111" t="n">
        <v>1.1</v>
      </c>
      <c r="N218" s="108" t="inlineStr">
        <is>
          <t>N</t>
        </is>
      </c>
      <c r="O218" s="112" t="n">
        <v>80.90000000000001</v>
      </c>
      <c r="P218" s="112" t="n">
        <v>16.1</v>
      </c>
      <c r="Q218" s="113" t="n">
        <v>670.7</v>
      </c>
      <c r="R218" s="108" t="inlineStr">
        <is>
          <t>aastocks:上市市值 at the struck price</t>
        </is>
      </c>
      <c r="S218" s="114" t="n">
        <v>14.71</v>
      </c>
      <c r="T218" s="115" t="n">
        <v>1.01</v>
      </c>
      <c r="U218" s="116" t="n">
        <v>0</v>
      </c>
      <c r="V218" s="117" t="n">
        <v>110</v>
      </c>
      <c r="W218" s="118" t="n"/>
      <c r="X218" s="119" t="n"/>
      <c r="Y218" s="113" t="n">
        <v>28.8</v>
      </c>
      <c r="Z218" s="131" t="n"/>
      <c r="AA218" s="112" t="n">
        <v>4.29</v>
      </c>
      <c r="AB218" s="108" t="inlineStr">
        <is>
          <t>none — no cornerstone tranche</t>
        </is>
      </c>
      <c r="AC218" s="108" t="inlineStr">
        <is>
          <t>none</t>
        </is>
      </c>
      <c r="AD218" s="112" t="n">
        <v>10</v>
      </c>
      <c r="AE218" s="119" t="n"/>
      <c r="AF218" s="119" t="n"/>
      <c r="AG218" s="119" t="n"/>
      <c r="AH218" s="119" t="n"/>
      <c r="AI218" s="120" t="n">
        <v>92.73</v>
      </c>
      <c r="AJ218" s="121" t="n">
        <v>49.09</v>
      </c>
      <c r="AK218" s="121" t="n">
        <v>-0.31</v>
      </c>
      <c r="AL218" s="121" t="n">
        <v>98.18000000000001</v>
      </c>
      <c r="AM218" s="121" t="n">
        <v>-24.77</v>
      </c>
      <c r="AN218" s="122" t="n"/>
      <c r="AO218" s="112" t="n">
        <v>116.51</v>
      </c>
      <c r="AP218" s="121" t="n">
        <v>46.36</v>
      </c>
      <c r="AQ218" s="121" t="n">
        <v>121.82</v>
      </c>
      <c r="AR218" s="121" t="n">
        <v>166.36</v>
      </c>
      <c r="AS218" s="121" t="n">
        <v>-1.83</v>
      </c>
      <c r="AT218" s="121" t="n">
        <v>48.78</v>
      </c>
      <c r="AU218" s="121" t="n">
        <v>78.66</v>
      </c>
      <c r="AV218" s="121" t="n">
        <v>45.68</v>
      </c>
      <c r="AW218" s="121" t="n">
        <v>131.01</v>
      </c>
      <c r="AX218" s="121" t="n">
        <v>181.38</v>
      </c>
      <c r="AY218" s="121" t="n">
        <v>57.68</v>
      </c>
      <c r="AZ218" s="121" t="n">
        <v>-9.19</v>
      </c>
      <c r="BA218" s="121" t="n">
        <v>-8.9</v>
      </c>
      <c r="BB218" s="108" t="inlineStr">
        <is>
          <t>Hang Seng Commerce &amp; Industry sub-index</t>
        </is>
      </c>
      <c r="BC218" s="121" t="n">
        <v>3.64</v>
      </c>
      <c r="BD218" s="109" t="n">
        <v>46297</v>
      </c>
      <c r="BE218" s="110" t="n">
        <v>1255.7</v>
      </c>
      <c r="BF218" s="113" t="n">
        <v>84.8</v>
      </c>
      <c r="BG218" s="108" t="inlineStr">
        <is>
          <t>Y</t>
        </is>
      </c>
      <c r="BH218" s="123" t="n">
        <v>7.9</v>
      </c>
      <c r="BI218" s="123" t="n">
        <v>5.1</v>
      </c>
      <c r="BJ218" s="123" t="n">
        <v>13.6</v>
      </c>
      <c r="BK218" s="123" t="n">
        <v>0.5</v>
      </c>
      <c r="BL218" s="124">
        <f>IF('BBG Verify'!S218="","not filed; run on terminal",'BBG Verify'!S218)</f>
        <v/>
      </c>
      <c r="BM218" s="125" t="inlineStr">
        <is>
          <t>N</t>
        </is>
      </c>
      <c r="BN218" s="126">
        <f>IF('BBG Verify'!K218="","not filed; run on terminal",'BBG Verify'!K218)</f>
        <v/>
      </c>
      <c r="BO218" s="108" t="inlineStr">
        <is>
          <t>N/A</t>
        </is>
      </c>
      <c r="BP218" s="108" t="inlineStr">
        <is>
          <t>N/A</t>
        </is>
      </c>
      <c r="BQ218" s="108" t="inlineStr">
        <is>
          <t>N/A</t>
        </is>
      </c>
      <c r="BR218" s="108" t="inlineStr">
        <is>
          <t>N/A</t>
        </is>
      </c>
      <c r="BS218" s="108" t="inlineStr">
        <is>
          <t>N/A</t>
        </is>
      </c>
      <c r="BT218" s="108" t="inlineStr">
        <is>
          <t>N/A</t>
        </is>
      </c>
      <c r="BU218" s="125" t="inlineStr">
        <is>
          <t>Quam Capital Limited</t>
        </is>
      </c>
      <c r="BV218" s="108" t="inlineStr">
        <is>
          <t>Quam Capital Limited</t>
        </is>
      </c>
      <c r="BW218" s="108" t="inlineStr">
        <is>
          <t>Quam Securities Limited; CCB International Capital Limited; China Galaxy International Securities (Hong Kong) Co., Limited; CMB International Capital Limited; Eddid Securities and Futures Limited; Innovax Securities Limited; Livermore Holdings Limited; Shenwan Hongyuan Securities (H.K.) Limited; SPDB International Capital Limited; ZMF Asset Management Limited</t>
        </is>
      </c>
      <c r="BX218" s="108" t="inlineStr">
        <is>
          <t>CCB International Capital Limited; China Galaxy International Securities (Hong Kong) Company Limited; CMB International Capital Limited; Eddid Securities and Futures Limited; Fortune (HK) Securities Limited; Innovax Securities Limited; Luk Fook Securities (HK) Limited; Livermore Holdings Limited; Quam Securities Limited; Shenwan Hongyuan Securities (H.K.) Limited; SPDB International Capital Limited; ZMF Asset Management Limited</t>
        </is>
      </c>
      <c r="BY218" s="127">
        <f>HYPERLINK("https://www1.hkexnews.hk/listedco/listconews/sehk/2023/1030/2023103000013.pdf","prospectus")</f>
        <v/>
      </c>
      <c r="BZ218" s="127">
        <f>HYPERLINK("https://www1.hkexnews.hk/listedco/listconews/sehk/2023/1108/2023110800016.htm","allotment")</f>
        <v/>
      </c>
      <c r="CA218" s="119" t="n"/>
      <c r="CB218" s="128" t="n"/>
      <c r="CC218" s="108" t="inlineStr">
        <is>
          <t>greenshoe: end-of-stabilisation notice not found; market cap: published listing cap used; the estimate from deal size / offer % of enlarged capital disagreed; cornerstone list: no cornerstone tranche; stabilising manager: not named in the allotment notice or prospectus glossary; eff float shares: share count unavailable; the HK$m figure is exact; allocation: allocation table not in this notice's format (older prose announcement); day-1 tape: volume on file; the retail multiple needs the final public split, which this notice does not state</t>
        </is>
      </c>
    </row>
    <row r="219" ht="22" customHeight="1">
      <c r="A219" s="107" t="inlineStr">
        <is>
          <t>1111</t>
        </is>
      </c>
      <c r="B219" s="108" t="inlineStr">
        <is>
          <t>HUASHI GROUP</t>
        </is>
      </c>
      <c r="C219" s="108" t="inlineStr">
        <is>
          <t>華視集團控股</t>
        </is>
      </c>
      <c r="D219" s="108" t="inlineStr">
        <is>
          <t>Industrials</t>
        </is>
      </c>
      <c r="E219" s="108" t="inlineStr">
        <is>
          <t>Construction / engineering</t>
        </is>
      </c>
      <c r="F219" s="108" t="inlineStr">
        <is>
          <t>Advertising</t>
        </is>
      </c>
      <c r="G219" s="108" t="inlineStr">
        <is>
          <t>Standard</t>
        </is>
      </c>
      <c r="H219" s="109" t="n">
        <v>45240</v>
      </c>
      <c r="I219" s="110" t="n">
        <v>130</v>
      </c>
      <c r="J219" s="108" t="inlineStr">
        <is>
          <t>gross (price x shares)</t>
        </is>
      </c>
      <c r="K219" s="111" t="n">
        <v>0.88</v>
      </c>
      <c r="L219" s="111" t="n">
        <v>1.04</v>
      </c>
      <c r="M219" s="111" t="n">
        <v>1.04</v>
      </c>
      <c r="N219" s="108" t="inlineStr">
        <is>
          <t>Y</t>
        </is>
      </c>
      <c r="O219" s="112" t="n">
        <v>100</v>
      </c>
      <c r="P219" s="112" t="n">
        <v>100</v>
      </c>
      <c r="Q219" s="113" t="n">
        <v>801.5</v>
      </c>
      <c r="R219" s="108" t="inlineStr">
        <is>
          <t>aastocks:上市市值 at the struck price</t>
        </is>
      </c>
      <c r="S219" s="114" t="n">
        <v>12.62</v>
      </c>
      <c r="T219" s="115" t="n">
        <v>1.09</v>
      </c>
      <c r="U219" s="116" t="n">
        <v>0</v>
      </c>
      <c r="V219" s="117" t="n">
        <v>155</v>
      </c>
      <c r="W219" s="118" t="n"/>
      <c r="X219" s="119" t="n"/>
      <c r="Y219" s="113" t="n">
        <v>130</v>
      </c>
      <c r="Z219" s="113" t="n">
        <v>125000000</v>
      </c>
      <c r="AA219" s="112" t="n">
        <v>16.22</v>
      </c>
      <c r="AB219" s="108" t="inlineStr">
        <is>
          <t>none — no cornerstone tranche</t>
        </is>
      </c>
      <c r="AC219" s="108" t="inlineStr">
        <is>
          <t>none</t>
        </is>
      </c>
      <c r="AD219" s="118" t="n"/>
      <c r="AE219" s="119" t="n"/>
      <c r="AF219" s="119" t="n"/>
      <c r="AG219" s="119" t="n"/>
      <c r="AH219" s="119" t="n"/>
      <c r="AI219" s="120" t="n">
        <v>54.81</v>
      </c>
      <c r="AJ219" s="121" t="n">
        <v>55.77</v>
      </c>
      <c r="AK219" s="121" t="n">
        <v>-2.18</v>
      </c>
      <c r="AL219" s="121" t="n">
        <v>58.65</v>
      </c>
      <c r="AM219" s="121" t="n">
        <v>-1.82</v>
      </c>
      <c r="AN219" s="122" t="n"/>
      <c r="AO219" s="112" t="n">
        <v>23.64</v>
      </c>
      <c r="AP219" s="121" t="n">
        <v>84.62</v>
      </c>
      <c r="AQ219" s="121" t="n">
        <v>100</v>
      </c>
      <c r="AR219" s="121" t="n">
        <v>-60.1</v>
      </c>
      <c r="AS219" s="121" t="n">
        <v>18.52</v>
      </c>
      <c r="AT219" s="121" t="n">
        <v>28.39</v>
      </c>
      <c r="AU219" s="121" t="n">
        <v>-74.39</v>
      </c>
      <c r="AV219" s="121" t="n">
        <v>86.56</v>
      </c>
      <c r="AW219" s="121" t="n">
        <v>110.02</v>
      </c>
      <c r="AX219" s="121" t="n">
        <v>-46.49</v>
      </c>
      <c r="AY219" s="121" t="n">
        <v>36.4</v>
      </c>
      <c r="AZ219" s="121" t="n">
        <v>-10.02</v>
      </c>
      <c r="BA219" s="121" t="n">
        <v>-8.01</v>
      </c>
      <c r="BB219" s="108" t="inlineStr">
        <is>
          <t>Hang Seng Commerce &amp; Industry sub-index</t>
        </is>
      </c>
      <c r="BC219" s="121" t="n">
        <v>-75.95999999999999</v>
      </c>
      <c r="BD219" s="109" t="n">
        <v>46297</v>
      </c>
      <c r="BE219" s="110" t="n">
        <v>227.9</v>
      </c>
      <c r="BF219" s="113" t="n">
        <v>50.2</v>
      </c>
      <c r="BG219" s="108" t="inlineStr">
        <is>
          <t>Y</t>
        </is>
      </c>
      <c r="BH219" s="123" t="n">
        <v>16</v>
      </c>
      <c r="BI219" s="122" t="n"/>
      <c r="BJ219" s="123" t="n">
        <v>2.3</v>
      </c>
      <c r="BK219" s="123" t="n">
        <v>3.5</v>
      </c>
      <c r="BL219" s="124">
        <f>IF('BBG Verify'!S219="","not filed; run on terminal",'BBG Verify'!S219)</f>
        <v/>
      </c>
      <c r="BM219" s="125" t="inlineStr">
        <is>
          <t>N</t>
        </is>
      </c>
      <c r="BN219" s="126">
        <f>IF('BBG Verify'!K219="","not filed; run on terminal",'BBG Verify'!K219)</f>
        <v/>
      </c>
      <c r="BO219" s="108" t="inlineStr">
        <is>
          <t>N/A</t>
        </is>
      </c>
      <c r="BP219" s="108" t="inlineStr">
        <is>
          <t>N/A</t>
        </is>
      </c>
      <c r="BQ219" s="108" t="inlineStr">
        <is>
          <t>N/A</t>
        </is>
      </c>
      <c r="BR219" s="108" t="inlineStr">
        <is>
          <t>N/A</t>
        </is>
      </c>
      <c r="BS219" s="108" t="inlineStr">
        <is>
          <t>N/A</t>
        </is>
      </c>
      <c r="BT219" s="108" t="inlineStr">
        <is>
          <t>N/A</t>
        </is>
      </c>
      <c r="BU219" s="125" t="inlineStr">
        <is>
          <t>Rainbow Capital (HK) Limited</t>
        </is>
      </c>
      <c r="BV219" s="108" t="inlineStr">
        <is>
          <t>Rainbow Capital (HK) Limited</t>
        </is>
      </c>
      <c r="BW219" s="108" t="inlineStr">
        <is>
          <t>Rainbow Capital (HK) Limited; CCB International Capital Limited; ABCI Capital Limited; Cinda International Capital Limited; Zhong Jia Securities Limited; CMB International Capital Limited; SPDB International Capital Limited; Livermore Holdings Limited; Fosun International Securities Limited; Valuable Capital Limited; CEB International Capital Corporation Limited; Goldlink Securities Limited; Soochow Securities International Brokerage Limited; Silverbricks Securities Company Limited</t>
        </is>
      </c>
      <c r="BX219" s="108" t="inlineStr">
        <is>
          <t>ABCI Capital Limited; ABCI Securities Company Limited; CCB International Capital Limited; CEB International Capital Corporation Limited; Cinda International Capital Limited; CMB International Capital Limited; Fosun International Securities Limited; Goldlink Securities Limited; Livermore Holdings Limited; Rainbow Capital (HK) Limited; Silverbricks Securities Company Limited; Shenwan Hongyuan Securities (H.K.) Limited</t>
        </is>
      </c>
      <c r="BY219" s="127">
        <f>HYPERLINK("https://www1.hkexnews.hk/listedco/listconews/sehk/2023/1031/2023103100019.pdf","prospectus")</f>
        <v/>
      </c>
      <c r="BZ219" s="127">
        <f>HYPERLINK("https://www1.hkexnews.hk/listedco/listconews/sehk/2023/1109/2023110900026.htm","allotment")</f>
        <v/>
      </c>
      <c r="CA219" s="119" t="n"/>
      <c r="CB219" s="128" t="n"/>
      <c r="CC219" s="108" t="inlineStr">
        <is>
          <t>greenshoe: no over-allotment option; cornerstone list: no cornerstone tranche; greenshoe size: no over-allotment option; stabilising manager: filing states none appointed (allotment announcement: 'no stabilizing manager will be appointed' stated in the filing); deal size: stated gross HK$7.8m rejected, below the net proceeds of HK$72.1m; allocation: allocation table not in this notice's format (older prose announcement); day-1 tape: volume on file; the retail multiple needs the final public split, which this notice does not state</t>
        </is>
      </c>
    </row>
    <row r="220" ht="22" customHeight="1">
      <c r="A220" s="107" t="inlineStr">
        <is>
          <t>2499</t>
        </is>
      </c>
      <c r="B220" s="108" t="inlineStr">
        <is>
          <t>FOLANGSI</t>
        </is>
      </c>
      <c r="C220" s="108" t="inlineStr">
        <is>
          <t>佛朗斯股份</t>
        </is>
      </c>
      <c r="D220" s="108" t="inlineStr">
        <is>
          <t>Industrials</t>
        </is>
      </c>
      <c r="E220" s="108" t="inlineStr">
        <is>
          <t>Capital goods / machinery</t>
        </is>
      </c>
      <c r="F220" s="108" t="inlineStr">
        <is>
          <t>Electrical Components &amp; Equipment</t>
        </is>
      </c>
      <c r="G220" s="108" t="inlineStr">
        <is>
          <t>Standard</t>
        </is>
      </c>
      <c r="H220" s="109" t="n">
        <v>45240</v>
      </c>
      <c r="I220" s="110" t="n">
        <v>173.3</v>
      </c>
      <c r="J220" s="108" t="inlineStr">
        <is>
          <t>gross (price x shares)</t>
        </is>
      </c>
      <c r="K220" s="111" t="n">
        <v>14.18</v>
      </c>
      <c r="L220" s="111" t="n">
        <v>16.18</v>
      </c>
      <c r="M220" s="111" t="n">
        <v>14.28</v>
      </c>
      <c r="N220" s="108" t="inlineStr">
        <is>
          <t>N</t>
        </is>
      </c>
      <c r="O220" s="112" t="n">
        <v>88.3</v>
      </c>
      <c r="P220" s="112" t="n">
        <v>5</v>
      </c>
      <c r="Q220" s="113" t="n">
        <v>4935</v>
      </c>
      <c r="R220" s="108" t="inlineStr">
        <is>
          <t>prospectus:stated market capitalisation</t>
        </is>
      </c>
      <c r="S220" s="114" t="n">
        <v>7.8</v>
      </c>
      <c r="T220" s="115" t="n">
        <v>1.37</v>
      </c>
      <c r="U220" s="116" t="n">
        <v>0.1</v>
      </c>
      <c r="V220" s="117" t="n">
        <v>116</v>
      </c>
      <c r="W220" s="118" t="n"/>
      <c r="X220" s="119" t="n"/>
      <c r="Y220" s="113" t="n">
        <v>173.13</v>
      </c>
      <c r="Z220" s="113" t="n">
        <v>12123864</v>
      </c>
      <c r="AA220" s="112" t="n">
        <v>3.51</v>
      </c>
      <c r="AB220" s="108" t="inlineStr">
        <is>
          <t>Liugong Machinery Hongkong Co., Limited</t>
        </is>
      </c>
      <c r="AC220" s="108" t="inlineStr">
        <is>
          <t>liugong</t>
        </is>
      </c>
      <c r="AD220" s="112" t="n">
        <v>15</v>
      </c>
      <c r="AE220" s="108" t="inlineStr">
        <is>
          <t>lapsed (no over-allocation)</t>
        </is>
      </c>
      <c r="AF220" s="119" t="n"/>
      <c r="AG220" s="108" t="inlineStr">
        <is>
          <t>Haitong International Securities Company Limited</t>
        </is>
      </c>
      <c r="AH220" s="108" t="inlineStr">
        <is>
          <t>Haitong</t>
        </is>
      </c>
      <c r="AI220" s="120" t="n">
        <v>8.539999999999999</v>
      </c>
      <c r="AJ220" s="121" t="n">
        <v>3.36</v>
      </c>
      <c r="AK220" s="121" t="n">
        <v>-2.18</v>
      </c>
      <c r="AL220" s="121" t="n">
        <v>8.4</v>
      </c>
      <c r="AM220" s="121" t="n">
        <v>-4.65</v>
      </c>
      <c r="AN220" s="122" t="n"/>
      <c r="AO220" s="112" t="n">
        <v>7.62</v>
      </c>
      <c r="AP220" s="121" t="n">
        <v>3.78</v>
      </c>
      <c r="AQ220" s="121" t="n">
        <v>2.66</v>
      </c>
      <c r="AR220" s="121" t="n">
        <v>0.14</v>
      </c>
      <c r="AS220" s="121" t="n">
        <v>0.41</v>
      </c>
      <c r="AT220" s="121" t="n">
        <v>-0.68</v>
      </c>
      <c r="AU220" s="121" t="n">
        <v>-3.12</v>
      </c>
      <c r="AV220" s="121" t="n">
        <v>5.72</v>
      </c>
      <c r="AW220" s="121" t="n">
        <v>12.68</v>
      </c>
      <c r="AX220" s="121" t="n">
        <v>13.75</v>
      </c>
      <c r="AY220" s="121" t="n">
        <v>7.33</v>
      </c>
      <c r="AZ220" s="121" t="n">
        <v>-10.02</v>
      </c>
      <c r="BA220" s="121" t="n">
        <v>-8.01</v>
      </c>
      <c r="BB220" s="108" t="inlineStr">
        <is>
          <t>Hang Seng Commerce &amp; Industry sub-index</t>
        </is>
      </c>
      <c r="BC220" s="121" t="n">
        <v>-61.06</v>
      </c>
      <c r="BD220" s="109" t="n">
        <v>46297</v>
      </c>
      <c r="BE220" s="110" t="n">
        <v>1313.6</v>
      </c>
      <c r="BF220" s="113" t="n">
        <v>39</v>
      </c>
      <c r="BG220" s="108" t="inlineStr">
        <is>
          <t>Y</t>
        </is>
      </c>
      <c r="BH220" s="123" t="n">
        <v>126.5</v>
      </c>
      <c r="BI220" s="122" t="n"/>
      <c r="BJ220" s="123" t="n">
        <v>21.8</v>
      </c>
      <c r="BK220" s="123" t="n">
        <v>3.8</v>
      </c>
      <c r="BL220" s="124">
        <f>IF('BBG Verify'!S220="","not filed; run on terminal",'BBG Verify'!S220)</f>
        <v/>
      </c>
      <c r="BM220" s="125" t="inlineStr">
        <is>
          <t>N</t>
        </is>
      </c>
      <c r="BN220" s="126">
        <f>IF('BBG Verify'!K220="","not filed; run on terminal",'BBG Verify'!K220)</f>
        <v/>
      </c>
      <c r="BO220" s="108" t="inlineStr">
        <is>
          <t>N/A</t>
        </is>
      </c>
      <c r="BP220" s="108" t="inlineStr">
        <is>
          <t>N/A</t>
        </is>
      </c>
      <c r="BQ220" s="108" t="inlineStr">
        <is>
          <t>N/A</t>
        </is>
      </c>
      <c r="BR220" s="108" t="inlineStr">
        <is>
          <t>N/A</t>
        </is>
      </c>
      <c r="BS220" s="108" t="inlineStr">
        <is>
          <t>N/A</t>
        </is>
      </c>
      <c r="BT220" s="108" t="inlineStr">
        <is>
          <t>N/A</t>
        </is>
      </c>
      <c r="BU220" s="125" t="inlineStr">
        <is>
          <t>Haitong International Capital Limited; Haitong International Securities Company Limited</t>
        </is>
      </c>
      <c r="BV220" s="108" t="inlineStr">
        <is>
          <t>Haitong International Capital Limited</t>
        </is>
      </c>
      <c r="BW220" s="108" t="inlineStr">
        <is>
          <t>Haitong International Securities Company Limited; GF Securities (Hong Kong) Brokerage Limited; Huatai Financial Holdings (Hong Kong) Limited</t>
        </is>
      </c>
      <c r="BX220" s="108" t="inlineStr">
        <is>
          <t>GF Securities (Hong Kong) Brokerage Limited; Huatai Financial Holdings (Hong Kong) Limited; Haitong International Securities Company Limited</t>
        </is>
      </c>
      <c r="BY220" s="127">
        <f>HYPERLINK("https://www1.hkexnews.hk/listedco/listconews/sehk/2023/1031/2023103100017.pdf","prospectus")</f>
        <v/>
      </c>
      <c r="BZ220" s="127">
        <f>HYPERLINK("https://www1.hkexnews.hk/listedco/listconews/sehk/2023/1109/2023110900052.htm","allotment")</f>
        <v/>
      </c>
      <c r="CA220" s="127">
        <f>HYPERLINK("https://www1.hkexnews.hk/listedco/listconews/sehk/2023/1204/2023120400033.pdf","stabilisation")</f>
        <v/>
      </c>
      <c r="CB220" s="128" t="n"/>
      <c r="CC220" s="108" t="inlineStr">
        <is>
          <t>greenshoe: outcome published; expiry date not in the notice; cornerstone: table parse 70% rejected (institutional total implies 0%); the AAStocks institutional total used; allocation: allocation table not in this notice's format (older prose announcement); day-1 tape: volume on file; the retail multiple needs the final public split, which this notice does not state</t>
        </is>
      </c>
    </row>
    <row r="221" ht="22" customHeight="1">
      <c r="A221" s="107" t="inlineStr">
        <is>
          <t>2268</t>
        </is>
      </c>
      <c r="B221" s="108" t="inlineStr">
        <is>
          <t>WUXI XDC</t>
        </is>
      </c>
      <c r="C221" s="108" t="inlineStr">
        <is>
          <t>藥明合聯</t>
        </is>
      </c>
      <c r="D221" s="108" t="inlineStr">
        <is>
          <t>Healthcare</t>
        </is>
      </c>
      <c r="E221" s="108" t="inlineStr">
        <is>
          <t>CXO / pharma services</t>
        </is>
      </c>
      <c r="F221" s="108" t="inlineStr">
        <is>
          <t>Biotechnology - Pharmaceuticals</t>
        </is>
      </c>
      <c r="G221" s="108" t="inlineStr">
        <is>
          <t>Standard</t>
        </is>
      </c>
      <c r="H221" s="109" t="n">
        <v>45247</v>
      </c>
      <c r="I221" s="110" t="n">
        <v>3676</v>
      </c>
      <c r="J221" s="108" t="inlineStr">
        <is>
          <t>gross (price x shares)</t>
        </is>
      </c>
      <c r="K221" s="111" t="n">
        <v>19.9</v>
      </c>
      <c r="L221" s="111" t="n">
        <v>20.6</v>
      </c>
      <c r="M221" s="111" t="n">
        <v>20.6</v>
      </c>
      <c r="N221" s="108" t="inlineStr">
        <is>
          <t>Y</t>
        </is>
      </c>
      <c r="O221" s="112" t="n">
        <v>100</v>
      </c>
      <c r="P221" s="112" t="n">
        <v>100</v>
      </c>
      <c r="Q221" s="113" t="n">
        <v>24670.7</v>
      </c>
      <c r="R221" s="108" t="inlineStr">
        <is>
          <t>aastocks:上市市值 at the struck price</t>
        </is>
      </c>
      <c r="S221" s="114" t="n">
        <v>49.96</v>
      </c>
      <c r="T221" s="115" t="n">
        <v>19.6</v>
      </c>
      <c r="U221" s="116" t="n">
        <v>0.014</v>
      </c>
      <c r="V221" s="117" t="n">
        <v>170</v>
      </c>
      <c r="W221" s="112" t="n">
        <v>30</v>
      </c>
      <c r="X221" s="108" t="inlineStr">
        <is>
          <t>YES</t>
        </is>
      </c>
      <c r="Y221" s="113" t="n">
        <v>3675.49</v>
      </c>
      <c r="Z221" s="113" t="n">
        <v>178421018</v>
      </c>
      <c r="AA221" s="112" t="n">
        <v>14.9</v>
      </c>
      <c r="AB221" s="108" t="inlineStr">
        <is>
          <t>Al-Rayyan Holding LLC; General Atlantic Singapore SPV 64 Pte. Ltd; HSG Growth VII Holdco, Ltd; Invesco Advisers, Inc; Lake Bleu Prime Healthcare Master Fund Limited; Novo Holdings A / S; UBS Asset Management (Singapore) Ltd</t>
        </is>
      </c>
      <c r="AC221" s="108" t="inlineStr">
        <is>
          <t>al;general;hsg;invesco;lake;novo;ubs</t>
        </is>
      </c>
      <c r="AD221" s="112" t="n">
        <v>9.949999999999999</v>
      </c>
      <c r="AE221" s="108" t="inlineStr">
        <is>
          <t>full</t>
        </is>
      </c>
      <c r="AF221" s="108" t="inlineStr">
        <is>
          <t>2023-12-10</t>
        </is>
      </c>
      <c r="AG221" s="108" t="inlineStr">
        <is>
          <t>Morgan Stanley Asia Limited</t>
        </is>
      </c>
      <c r="AH221" s="108" t="inlineStr">
        <is>
          <t>Morgan Stanley</t>
        </is>
      </c>
      <c r="AI221" s="120" t="n">
        <v>22.09</v>
      </c>
      <c r="AJ221" s="121" t="n">
        <v>35.92</v>
      </c>
      <c r="AK221" s="121" t="n">
        <v>0.76</v>
      </c>
      <c r="AL221" s="121" t="n">
        <v>30.83</v>
      </c>
      <c r="AM221" s="121" t="n">
        <v>3.89</v>
      </c>
      <c r="AN221" s="123" t="n">
        <v>1.19</v>
      </c>
      <c r="AO221" s="112" t="n">
        <v>9.09</v>
      </c>
      <c r="AP221" s="121" t="n">
        <v>40.78</v>
      </c>
      <c r="AQ221" s="121" t="n">
        <v>51.21</v>
      </c>
      <c r="AR221" s="121" t="n">
        <v>-10</v>
      </c>
      <c r="AS221" s="121" t="n">
        <v>3.58</v>
      </c>
      <c r="AT221" s="121" t="n">
        <v>11.25</v>
      </c>
      <c r="AU221" s="121" t="n">
        <v>-33.78</v>
      </c>
      <c r="AV221" s="121" t="n">
        <v>40.26</v>
      </c>
      <c r="AW221" s="121" t="n">
        <v>58.49</v>
      </c>
      <c r="AX221" s="121" t="n">
        <v>11.86</v>
      </c>
      <c r="AY221" s="121" t="n">
        <v>19.23</v>
      </c>
      <c r="AZ221" s="121" t="n">
        <v>-7.28</v>
      </c>
      <c r="BA221" s="121" t="n">
        <v>-7.98</v>
      </c>
      <c r="BB221" s="108" t="inlineStr">
        <is>
          <t>China Biotech ETF (HS biotech proxy)</t>
        </is>
      </c>
      <c r="BC221" s="121" t="n">
        <v>291.26</v>
      </c>
      <c r="BD221" s="109" t="n">
        <v>46297</v>
      </c>
      <c r="BE221" s="110" t="n">
        <v>1089.5</v>
      </c>
      <c r="BF221" s="113" t="n">
        <v>171.3</v>
      </c>
      <c r="BG221" s="108" t="inlineStr">
        <is>
          <t>Y</t>
        </is>
      </c>
      <c r="BH221" s="123" t="n">
        <v>144</v>
      </c>
      <c r="BI221" s="122" t="n"/>
      <c r="BJ221" s="123" t="n">
        <v>45.8</v>
      </c>
      <c r="BK221" s="123" t="n">
        <v>22.6</v>
      </c>
      <c r="BL221" s="124">
        <f>IF('BBG Verify'!S221="","not filed; run on terminal",'BBG Verify'!S221)</f>
        <v/>
      </c>
      <c r="BM221" s="125" t="inlineStr">
        <is>
          <t>N</t>
        </is>
      </c>
      <c r="BN221" s="126">
        <f>IF('BBG Verify'!K221="","not filed; run on terminal",'BBG Verify'!K221)</f>
        <v/>
      </c>
      <c r="BO221" s="108" t="inlineStr">
        <is>
          <t>N/A</t>
        </is>
      </c>
      <c r="BP221" s="108" t="inlineStr">
        <is>
          <t>N/A</t>
        </is>
      </c>
      <c r="BQ221" s="108" t="inlineStr">
        <is>
          <t>N/A</t>
        </is>
      </c>
      <c r="BR221" s="108" t="inlineStr">
        <is>
          <t>N/A</t>
        </is>
      </c>
      <c r="BS221" s="108" t="inlineStr">
        <is>
          <t>N/A</t>
        </is>
      </c>
      <c r="BT221" s="108" t="inlineStr">
        <is>
          <t>N/A</t>
        </is>
      </c>
      <c r="BU221" s="125" t="inlineStr">
        <is>
          <t>Morgan Stanley Asia Limited; Goldman Sachs (Asia) L.L.C; J.P. Morgan Securities (Far East) Limited</t>
        </is>
      </c>
      <c r="BV221" s="108" t="inlineStr">
        <is>
          <t>Morgan Stanley Asia Limited; J.P. Morgan Securities (Far East) Limited; Goldman Sachs (Asia) L.L.C.</t>
        </is>
      </c>
      <c r="BW221" s="108" t="inlineStr">
        <is>
          <t>Morgan Stanley Asia Limited; Goldman Sachs (Asia) L.L.C; J.P. Morgan Securities (Asia Pacific) Limited; Citigroup Global Markets Asia Limited; Huatai Financial Holdings (Hong Kong) Limited; J.P. Morgan Securities plc; China International Capital Corporation Hong Kong Securities Limited; Citigroup Global Markets Limited; Canary Wharf London E14 5LB United Kingdom Huatai Financial Holdings (Hong Kong) Limited</t>
        </is>
      </c>
      <c r="BX221" s="108" t="inlineStr">
        <is>
          <t>Citigroup Global Markets Asia Limited; China International Capital Corporation Hong Kong Securities Limited; Goldman Sachs (Asia) L.L.C.; Huatai Financial Holdings (Hong Kong) Limited; J.P. Morgan Securities (Asia Pacific) Limited; Morgan Stanley Asia Limited</t>
        </is>
      </c>
      <c r="BY221" s="127">
        <f>HYPERLINK("https://www1.hkexnews.hk/listedco/listconews/sehk/2023/1107/2023110700021.pdf","prospectus")</f>
        <v/>
      </c>
      <c r="BZ221" s="127">
        <f>HYPERLINK("https://www1.hkexnews.hk/listedco/listconews/sehk/2023/1116/2023111600008.htm","allotment")</f>
        <v/>
      </c>
      <c r="CA221" s="127">
        <f>HYPERLINK("https://www1.hkexnews.hk/listedco/listconews/sehk/2023/1210/2023121000009.pdf","stabilisation")</f>
        <v/>
      </c>
      <c r="CB221" s="128" t="n"/>
      <c r="CC221" s="108" t="inlineStr">
        <is>
          <t>market cap: published listing cap used; the estimate from deal size / offer % of enlarged capital disagreed; cornerstone: % from the prospectus; AAStocks table includes non-cornerstone orders</t>
        </is>
      </c>
    </row>
    <row r="222" ht="22" customHeight="1">
      <c r="A222" s="107" t="inlineStr">
        <is>
          <t>2520</t>
        </is>
      </c>
      <c r="B222" s="108" t="inlineStr">
        <is>
          <t>SHANXI INSTALL</t>
        </is>
      </c>
      <c r="C222" s="108" t="inlineStr">
        <is>
          <t>山西安裝</t>
        </is>
      </c>
      <c r="D222" s="108" t="inlineStr">
        <is>
          <t>Industrials</t>
        </is>
      </c>
      <c r="E222" s="108" t="inlineStr">
        <is>
          <t>Construction / engineering</t>
        </is>
      </c>
      <c r="F222" s="108" t="inlineStr">
        <is>
          <t>Construction &amp; Engineering</t>
        </is>
      </c>
      <c r="G222" s="108" t="inlineStr">
        <is>
          <t>Standard</t>
        </is>
      </c>
      <c r="H222" s="109" t="n">
        <v>45252</v>
      </c>
      <c r="I222" s="110" t="n">
        <v>726.7</v>
      </c>
      <c r="J222" s="108" t="inlineStr">
        <is>
          <t>gross (price x shares)</t>
        </is>
      </c>
      <c r="K222" s="111" t="n">
        <v>2.1</v>
      </c>
      <c r="L222" s="111" t="n">
        <v>2.36</v>
      </c>
      <c r="M222" s="111" t="n">
        <v>2.18</v>
      </c>
      <c r="N222" s="108" t="inlineStr">
        <is>
          <t>N</t>
        </is>
      </c>
      <c r="O222" s="112" t="n">
        <v>92.40000000000001</v>
      </c>
      <c r="P222" s="112" t="n">
        <v>30.8</v>
      </c>
      <c r="Q222" s="113" t="n">
        <v>3214.2</v>
      </c>
      <c r="R222" s="108" t="inlineStr">
        <is>
          <t>aastocks:上市市值 at the struck price</t>
        </is>
      </c>
      <c r="S222" s="114" t="n">
        <v>0.6</v>
      </c>
      <c r="T222" s="115" t="n">
        <v>1.33</v>
      </c>
      <c r="U222" s="116" t="n">
        <v>23</v>
      </c>
      <c r="V222" s="117" t="n">
        <v>114</v>
      </c>
      <c r="W222" s="112" t="n">
        <v>6.01</v>
      </c>
      <c r="X222" s="108" t="inlineStr">
        <is>
          <t>NO</t>
        </is>
      </c>
      <c r="Y222" s="113" t="n">
        <v>559.5599999999999</v>
      </c>
      <c r="Z222" s="113" t="n">
        <v>256667180</v>
      </c>
      <c r="AA222" s="112" t="n">
        <v>17.41</v>
      </c>
      <c r="AB222" s="108" t="inlineStr">
        <is>
          <t>Mingyang Smart Energy Group Co., Ltd</t>
        </is>
      </c>
      <c r="AC222" s="108" t="inlineStr">
        <is>
          <t>mingyang</t>
        </is>
      </c>
      <c r="AD222" s="112" t="n">
        <v>19.5</v>
      </c>
      <c r="AE222" s="108" t="inlineStr">
        <is>
          <t>partial</t>
        </is>
      </c>
      <c r="AF222" s="108" t="inlineStr">
        <is>
          <t>2023-12-15</t>
        </is>
      </c>
      <c r="AG222" s="108" t="inlineStr">
        <is>
          <t>Shanxi Securities International Limited</t>
        </is>
      </c>
      <c r="AH222" s="108" t="inlineStr">
        <is>
          <t>Shanxi</t>
        </is>
      </c>
      <c r="AI222" s="120" t="n">
        <v>-1.83</v>
      </c>
      <c r="AJ222" s="121" t="n">
        <v>0</v>
      </c>
      <c r="AK222" s="121" t="n">
        <v>-0.1</v>
      </c>
      <c r="AL222" s="121" t="n">
        <v>0</v>
      </c>
      <c r="AM222" s="121" t="n">
        <v>0</v>
      </c>
      <c r="AN222" s="123" t="n">
        <v>0.63</v>
      </c>
      <c r="AO222" s="112" t="n">
        <v>3.21</v>
      </c>
      <c r="AP222" s="121" t="n">
        <v>-5.5</v>
      </c>
      <c r="AQ222" s="121" t="n">
        <v>-17.43</v>
      </c>
      <c r="AR222" s="121" t="n">
        <v>-11.47</v>
      </c>
      <c r="AS222" s="121" t="n">
        <v>-5.5</v>
      </c>
      <c r="AT222" s="121" t="n">
        <v>-17.43</v>
      </c>
      <c r="AU222" s="121" t="n">
        <v>-11.47</v>
      </c>
      <c r="AV222" s="121" t="n">
        <v>-0.71</v>
      </c>
      <c r="AW222" s="121" t="n">
        <v>-9.460000000000001</v>
      </c>
      <c r="AX222" s="121" t="n">
        <v>-2.85</v>
      </c>
      <c r="AY222" s="121" t="n">
        <v>-9.56</v>
      </c>
      <c r="AZ222" s="121" t="n">
        <v>-7.97</v>
      </c>
      <c r="BA222" s="121" t="n">
        <v>-7.87</v>
      </c>
      <c r="BB222" s="108" t="inlineStr">
        <is>
          <t>Hang Seng Commerce &amp; Industry sub-index</t>
        </is>
      </c>
      <c r="BC222" s="121" t="n">
        <v>10.55</v>
      </c>
      <c r="BD222" s="109" t="n">
        <v>46297</v>
      </c>
      <c r="BE222" s="110" t="n">
        <v>14129.3</v>
      </c>
      <c r="BF222" s="113" t="n">
        <v>220.5</v>
      </c>
      <c r="BG222" s="108" t="inlineStr">
        <is>
          <t>Y</t>
        </is>
      </c>
      <c r="BH222" s="123" t="n">
        <v>14.6</v>
      </c>
      <c r="BI222" s="122" t="n"/>
      <c r="BJ222" s="123" t="n">
        <v>19</v>
      </c>
      <c r="BK222" s="123" t="n">
        <v>0.2</v>
      </c>
      <c r="BL222" s="124">
        <f>IF('BBG Verify'!S222="","not filed; run on terminal",'BBG Verify'!S222)</f>
        <v/>
      </c>
      <c r="BM222" s="125" t="inlineStr">
        <is>
          <t>N</t>
        </is>
      </c>
      <c r="BN222" s="126">
        <f>IF('BBG Verify'!K222="","not filed; run on terminal",'BBG Verify'!K222)</f>
        <v/>
      </c>
      <c r="BO222" s="108" t="inlineStr">
        <is>
          <t>N/A</t>
        </is>
      </c>
      <c r="BP222" s="108" t="inlineStr">
        <is>
          <t>N/A</t>
        </is>
      </c>
      <c r="BQ222" s="108" t="inlineStr">
        <is>
          <t>N/A</t>
        </is>
      </c>
      <c r="BR222" s="108" t="inlineStr">
        <is>
          <t>N/A</t>
        </is>
      </c>
      <c r="BS222" s="108" t="inlineStr">
        <is>
          <t>N/A</t>
        </is>
      </c>
      <c r="BT222" s="108" t="inlineStr">
        <is>
          <t>N/A</t>
        </is>
      </c>
      <c r="BU222" s="125" t="inlineStr">
        <is>
          <t>Huatai Financial Holdings (Hong Kong) Limited; Shanxi Securities International Capital Limited</t>
        </is>
      </c>
      <c r="BV222" s="108" t="inlineStr">
        <is>
          <t>Huatai Financial Holdings (Hong Kong) Limited; Shanxi Securities International Capital Limited</t>
        </is>
      </c>
      <c r="BW222" s="108" t="inlineStr">
        <is>
          <t>BOCOM International Securities Limited; China Everbright Securities (HK) Limited; CMB International Capital Limited; ICBC International Capital Limited; Zhongtai International Securities Limited</t>
        </is>
      </c>
      <c r="BX222" s="108" t="inlineStr">
        <is>
          <t>Beta International Securities Limited; China Everbright Securities (HK) Limited; CMB International Capital Limited; Eddid Securities and Futures Limited; Futu Securities International (Hong Kong) Limited; Huatai Financial Holdings (Hong Kong) Limited; ICBC International Capital Limited; Patrons Securities Limited; Shanxi Securities International Limited; Victory Securities Company Limited; Zhongtai International Securities Limited; ZMF Asset Management Limited</t>
        </is>
      </c>
      <c r="BY222" s="127">
        <f>HYPERLINK("https://www1.hkexnews.hk/listedco/listconews/sehk/2023/1110/2023111000017.pdf","prospectus")</f>
        <v/>
      </c>
      <c r="BZ222" s="127">
        <f>HYPERLINK("https://www1.hkexnews.hk/listedco/listconews/sehk/2023/1121/2023112100014.htm","allotment")</f>
        <v/>
      </c>
      <c r="CA222" s="127">
        <f>HYPERLINK("https://www1.hkexnews.hk/listedco/listconews/sehk/2023/1215/2023121501152.pdf","stabilisation")</f>
        <v/>
      </c>
      <c r="CB222" s="128" t="n"/>
      <c r="CC222" s="108" t="inlineStr">
        <is>
          <t>market cap: published listing cap used; the estimate from stated market capitalisation, rescaled to the offer price disagreed</t>
        </is>
      </c>
    </row>
    <row r="223" ht="22" customHeight="1">
      <c r="A223" s="107" t="inlineStr">
        <is>
          <t>2521</t>
        </is>
      </c>
      <c r="B223" s="108" t="inlineStr">
        <is>
          <t>SHENGHUI CLEAN</t>
        </is>
      </c>
      <c r="C223" s="108" t="inlineStr">
        <is>
          <t>升輝清潔</t>
        </is>
      </c>
      <c r="D223" s="108" t="inlineStr">
        <is>
          <t>Real Estate</t>
        </is>
      </c>
      <c r="E223" s="108" t="inlineStr">
        <is>
          <t>Property management</t>
        </is>
      </c>
      <c r="F223" s="108" t="inlineStr">
        <is>
          <t>Environmental &amp; Facilities Services</t>
        </is>
      </c>
      <c r="G223" s="108" t="inlineStr">
        <is>
          <t>Standard</t>
        </is>
      </c>
      <c r="H223" s="109" t="n">
        <v>45265</v>
      </c>
      <c r="I223" s="110" t="n">
        <v>119.6</v>
      </c>
      <c r="J223" s="108" t="inlineStr">
        <is>
          <t>gross (stated)</t>
        </is>
      </c>
      <c r="K223" s="111" t="n">
        <v>0.32</v>
      </c>
      <c r="L223" s="111" t="n">
        <v>0.4</v>
      </c>
      <c r="M223" s="111" t="n">
        <v>0.32</v>
      </c>
      <c r="N223" s="108" t="inlineStr">
        <is>
          <t>N</t>
        </is>
      </c>
      <c r="O223" s="112" t="n">
        <v>80</v>
      </c>
      <c r="P223" s="112" t="n">
        <v>0</v>
      </c>
      <c r="Q223" s="113" t="n">
        <v>520</v>
      </c>
      <c r="R223" s="108" t="inlineStr">
        <is>
          <t>derived:price x shares upon listing</t>
        </is>
      </c>
      <c r="S223" s="114" t="n">
        <v>33.35</v>
      </c>
      <c r="T223" s="115" t="n">
        <v>1.33</v>
      </c>
      <c r="U223" s="116" t="n">
        <v>0</v>
      </c>
      <c r="V223" s="117" t="n">
        <v>152</v>
      </c>
      <c r="W223" s="112" t="n">
        <v>30</v>
      </c>
      <c r="X223" s="108" t="inlineStr">
        <is>
          <t>YES</t>
        </is>
      </c>
      <c r="Y223" s="113" t="n">
        <v>119.6</v>
      </c>
      <c r="Z223" s="113" t="n">
        <v>414375000</v>
      </c>
      <c r="AA223" s="112" t="n">
        <v>23</v>
      </c>
      <c r="AB223" s="108" t="inlineStr">
        <is>
          <t>none — no cornerstone tranche</t>
        </is>
      </c>
      <c r="AC223" s="108" t="inlineStr">
        <is>
          <t>none</t>
        </is>
      </c>
      <c r="AD223" s="118" t="n"/>
      <c r="AE223" s="119" t="n"/>
      <c r="AF223" s="119" t="n"/>
      <c r="AG223" s="119" t="n"/>
      <c r="AH223" s="119" t="n"/>
      <c r="AI223" s="120" t="n">
        <v>-4.69</v>
      </c>
      <c r="AJ223" s="121" t="n">
        <v>3.12</v>
      </c>
      <c r="AK223" s="121" t="n">
        <v>-1.93</v>
      </c>
      <c r="AL223" s="121" t="n">
        <v>-6.25</v>
      </c>
      <c r="AM223" s="121" t="n">
        <v>9.99</v>
      </c>
      <c r="AN223" s="123" t="n">
        <v>1.6</v>
      </c>
      <c r="AO223" s="112" t="n">
        <v>25</v>
      </c>
      <c r="AP223" s="121" t="n">
        <v>15.63</v>
      </c>
      <c r="AQ223" s="121" t="n">
        <v>10.94</v>
      </c>
      <c r="AR223" s="121" t="n">
        <v>-18.75</v>
      </c>
      <c r="AS223" s="121" t="n">
        <v>12.13</v>
      </c>
      <c r="AT223" s="121" t="n">
        <v>7.58</v>
      </c>
      <c r="AU223" s="121" t="n">
        <v>-21.21</v>
      </c>
      <c r="AV223" s="121" t="n">
        <v>16.31</v>
      </c>
      <c r="AW223" s="121" t="n">
        <v>11.51</v>
      </c>
      <c r="AX223" s="121" t="n">
        <v>-9.6</v>
      </c>
      <c r="AY223" s="121" t="n">
        <v>6.19</v>
      </c>
      <c r="AZ223" s="121" t="n">
        <v>-0.57</v>
      </c>
      <c r="BA223" s="121" t="n">
        <v>1.39</v>
      </c>
      <c r="BB223" s="108" t="inlineStr">
        <is>
          <t>Hang Seng Properties sub-index</t>
        </is>
      </c>
      <c r="BC223" s="121" t="n">
        <v>156.25</v>
      </c>
      <c r="BD223" s="109" t="n">
        <v>46297</v>
      </c>
      <c r="BE223" s="110" t="n">
        <v>653.6</v>
      </c>
      <c r="BF223" s="113" t="n">
        <v>37.8</v>
      </c>
      <c r="BG223" s="108" t="inlineStr">
        <is>
          <t>Y</t>
        </is>
      </c>
      <c r="BH223" s="123" t="n">
        <v>13.8</v>
      </c>
      <c r="BI223" s="122" t="n"/>
      <c r="BJ223" s="123" t="n">
        <v>61.3</v>
      </c>
      <c r="BK223" s="123" t="n">
        <v>0.8</v>
      </c>
      <c r="BL223" s="124">
        <f>IF('BBG Verify'!S223="","not filed; run on terminal",'BBG Verify'!S223)</f>
        <v/>
      </c>
      <c r="BM223" s="125" t="inlineStr">
        <is>
          <t>N</t>
        </is>
      </c>
      <c r="BN223" s="126">
        <f>IF('BBG Verify'!K223="","not filed; run on terminal",'BBG Verify'!K223)</f>
        <v/>
      </c>
      <c r="BO223" s="108" t="inlineStr">
        <is>
          <t>N/A</t>
        </is>
      </c>
      <c r="BP223" s="108" t="inlineStr">
        <is>
          <t>N/A</t>
        </is>
      </c>
      <c r="BQ223" s="108" t="inlineStr">
        <is>
          <t>N/A</t>
        </is>
      </c>
      <c r="BR223" s="108" t="inlineStr">
        <is>
          <t>N/A</t>
        </is>
      </c>
      <c r="BS223" s="108" t="inlineStr">
        <is>
          <t>N/A</t>
        </is>
      </c>
      <c r="BT223" s="108" t="inlineStr">
        <is>
          <t>N/A</t>
        </is>
      </c>
      <c r="BU223" s="125" t="inlineStr">
        <is>
          <t>Cinda International Capital Limited</t>
        </is>
      </c>
      <c r="BV223" s="108" t="inlineStr">
        <is>
          <t>Cinda International Capital Limited</t>
        </is>
      </c>
      <c r="BW223" s="108" t="inlineStr">
        <is>
          <t>Cinda International Capital Limited; ICBC International Securities Limited; CCB International Capital Limited; Yuen Meta (International) Securities Limited</t>
        </is>
      </c>
      <c r="BX223" s="108" t="inlineStr">
        <is>
          <t>ABCI Securities Company Limited; CCB International Capital Limited; CEB International Capital Corporation Limited; China Everbright Securities (HK) Limited; Cinda International Capital Limited; China Industrial Securities International Capital Limited; CMBC Securities Company Limited; CMB International Capital Limited; China Sunrise Securities (International) Limited; Eddid Securities and Futures Limited; Grand Moore Capital Limited; Gear Securities Investment Limited</t>
        </is>
      </c>
      <c r="BY223" s="127">
        <f>HYPERLINK("https://www1.hkexnews.hk/listedco/listconews/sehk/2023/1127/2023112700086.pdf","prospectus")</f>
        <v/>
      </c>
      <c r="BZ223" s="127">
        <f>HYPERLINK("https://www1.hkexnews.hk/listedco/listconews/sehk/2023/1204/2023120402525.pdf","allotment")</f>
        <v/>
      </c>
      <c r="CA223" s="119" t="n"/>
      <c r="CB223" s="128" t="n"/>
      <c r="CC223" s="108" t="inlineStr">
        <is>
          <t>greenshoe: no over-allotment option; sponsor: English name not in the filing; AAStocks 保薦人 shown; cornerstone list: no cornerstone tranche; greenshoe size: no over-allotment option; stabilising manager: no over-allotment option, so none appointed</t>
        </is>
      </c>
    </row>
    <row r="224" ht="22" customHeight="1">
      <c r="A224" s="107" t="inlineStr">
        <is>
          <t>9663</t>
        </is>
      </c>
      <c r="B224" s="108" t="inlineStr">
        <is>
          <t>SINOSYNERGY</t>
        </is>
      </c>
      <c r="C224" s="108" t="inlineStr">
        <is>
          <t>國鴻氫能</t>
        </is>
      </c>
      <c r="D224" s="108" t="inlineStr">
        <is>
          <t>Industrials</t>
        </is>
      </c>
      <c r="E224" s="108" t="inlineStr">
        <is>
          <t>Batteries / energy storage</t>
        </is>
      </c>
      <c r="F224" s="108" t="inlineStr">
        <is>
          <t>Battery Products</t>
        </is>
      </c>
      <c r="G224" s="108" t="inlineStr">
        <is>
          <t>Standard</t>
        </is>
      </c>
      <c r="H224" s="109" t="n">
        <v>45265</v>
      </c>
      <c r="I224" s="110" t="n">
        <v>1563.4</v>
      </c>
      <c r="J224" s="108" t="inlineStr">
        <is>
          <t>gross (price x shares)</t>
        </is>
      </c>
      <c r="K224" s="111" t="n">
        <v>19.35</v>
      </c>
      <c r="L224" s="111" t="n">
        <v>21.35</v>
      </c>
      <c r="M224" s="111" t="n">
        <v>19.66</v>
      </c>
      <c r="N224" s="108" t="inlineStr">
        <is>
          <t>N</t>
        </is>
      </c>
      <c r="O224" s="112" t="n">
        <v>92.09999999999999</v>
      </c>
      <c r="P224" s="112" t="n">
        <v>15.5</v>
      </c>
      <c r="Q224" s="113" t="n">
        <v>10184.7</v>
      </c>
      <c r="R224" s="108" t="inlineStr">
        <is>
          <t>derived:price x shares upon listing</t>
        </is>
      </c>
      <c r="S224" s="114" t="n">
        <v>1.18</v>
      </c>
      <c r="T224" s="115" t="n">
        <v>1.13</v>
      </c>
      <c r="U224" s="116" t="n">
        <v>0</v>
      </c>
      <c r="V224" s="117" t="n">
        <v>112</v>
      </c>
      <c r="W224" s="112" t="n">
        <v>10</v>
      </c>
      <c r="X224" s="108" t="inlineStr">
        <is>
          <t>NO</t>
        </is>
      </c>
      <c r="Y224" s="113" t="n">
        <v>1563.4</v>
      </c>
      <c r="Z224" s="113" t="n">
        <v>79520000</v>
      </c>
      <c r="AA224" s="112" t="n">
        <v>15.35</v>
      </c>
      <c r="AB224" s="108" t="inlineStr">
        <is>
          <t>none — no cornerstone tranche</t>
        </is>
      </c>
      <c r="AC224" s="108" t="inlineStr">
        <is>
          <t>none</t>
        </is>
      </c>
      <c r="AD224" s="118" t="n"/>
      <c r="AE224" s="119" t="n"/>
      <c r="AF224" s="119" t="n"/>
      <c r="AG224" s="119" t="n"/>
      <c r="AH224" s="119" t="n"/>
      <c r="AI224" s="120" t="n">
        <v>-3.36</v>
      </c>
      <c r="AJ224" s="121" t="n">
        <v>0.71</v>
      </c>
      <c r="AK224" s="121" t="n">
        <v>-1.78</v>
      </c>
      <c r="AL224" s="121" t="n">
        <v>-16.07</v>
      </c>
      <c r="AM224" s="121" t="n">
        <v>19.99</v>
      </c>
      <c r="AN224" s="123" t="n">
        <v>3.55</v>
      </c>
      <c r="AO224" s="112" t="n">
        <v>33.21</v>
      </c>
      <c r="AP224" s="121" t="n">
        <v>-22.38</v>
      </c>
      <c r="AQ224" s="121" t="n">
        <v>-19.13</v>
      </c>
      <c r="AR224" s="121" t="n">
        <v>-5.9</v>
      </c>
      <c r="AS224" s="121" t="n">
        <v>-22.93</v>
      </c>
      <c r="AT224" s="121" t="n">
        <v>-19.7</v>
      </c>
      <c r="AU224" s="121" t="n">
        <v>-6.56</v>
      </c>
      <c r="AV224" s="121" t="n">
        <v>-20.46</v>
      </c>
      <c r="AW224" s="121" t="n">
        <v>-14.97</v>
      </c>
      <c r="AX224" s="121" t="n">
        <v>-3.11</v>
      </c>
      <c r="AY224" s="121" t="n">
        <v>-17.27</v>
      </c>
      <c r="AZ224" s="121" t="n">
        <v>-4.16</v>
      </c>
      <c r="BA224" s="121" t="n">
        <v>-2.43</v>
      </c>
      <c r="BB224" s="108" t="inlineStr">
        <is>
          <t>Hang Seng Commerce &amp; Industry sub-index</t>
        </is>
      </c>
      <c r="BC224" s="121" t="n">
        <v>-88.17</v>
      </c>
      <c r="BD224" s="109" t="n">
        <v>46297</v>
      </c>
      <c r="BE224" s="110" t="n">
        <v>823.3</v>
      </c>
      <c r="BF224" s="113" t="n">
        <v>-308.2</v>
      </c>
      <c r="BG224" s="108" t="inlineStr">
        <is>
          <t>N</t>
        </is>
      </c>
      <c r="BH224" s="108" t="inlineStr">
        <is>
          <t>n/m</t>
        </is>
      </c>
      <c r="BI224" s="122" t="n"/>
      <c r="BJ224" s="122" t="n"/>
      <c r="BK224" s="123" t="n">
        <v>12.4</v>
      </c>
      <c r="BL224" s="124">
        <f>IF('BBG Verify'!S224="","not filed; run on terminal",'BBG Verify'!S224)</f>
        <v/>
      </c>
      <c r="BM224" s="125" t="inlineStr">
        <is>
          <t>N</t>
        </is>
      </c>
      <c r="BN224" s="126">
        <f>IF('BBG Verify'!K224="","not filed; run on terminal",'BBG Verify'!K224)</f>
        <v/>
      </c>
      <c r="BO224" s="108" t="inlineStr">
        <is>
          <t>N/A</t>
        </is>
      </c>
      <c r="BP224" s="108" t="inlineStr">
        <is>
          <t>N/A</t>
        </is>
      </c>
      <c r="BQ224" s="108" t="inlineStr">
        <is>
          <t>N/A</t>
        </is>
      </c>
      <c r="BR224" s="108" t="inlineStr">
        <is>
          <t>N/A</t>
        </is>
      </c>
      <c r="BS224" s="108" t="inlineStr">
        <is>
          <t>N/A</t>
        </is>
      </c>
      <c r="BT224" s="108" t="inlineStr">
        <is>
          <t>N/A</t>
        </is>
      </c>
      <c r="BU224" s="125" t="inlineStr">
        <is>
          <t>Huatai Financial Holdings (Hong Kong) Limited</t>
        </is>
      </c>
      <c r="BV224" s="108" t="inlineStr">
        <is>
          <t>Huatai Financial Holdings (Hong Kong) Limited</t>
        </is>
      </c>
      <c r="BW224" s="108" t="inlineStr">
        <is>
          <t>Huatai Financial Holdings (Hong Kong) Limited; CMB International Capital Limited; GF Securities (Hong Kong) Brokerage Limited; Haitong International Securities Company Limited; Livermore Holdings Limited</t>
        </is>
      </c>
      <c r="BX224" s="108" t="inlineStr">
        <is>
          <t>CMB International Capital Limited; GF Securities (Hong Kong) Brokerage Limited; Huatai Financial Holdings (Hong Kong) Limited; Haitong International Securities Company Limited; Livermore Holdings Limited</t>
        </is>
      </c>
      <c r="BY224" s="127">
        <f>HYPERLINK("https://www1.hkexnews.hk/listedco/listconews/sehk/2023/1127/2023112700007.pdf","prospectus")</f>
        <v/>
      </c>
      <c r="BZ224" s="127">
        <f>HYPERLINK("https://www1.hkexnews.hk/listedco/listconews/sehk/2023/1204/2023120402568.htm","allotment")</f>
        <v/>
      </c>
      <c r="CA224" s="119" t="n"/>
      <c r="CB224" s="128" t="n"/>
      <c r="CC224" s="108" t="inlineStr">
        <is>
          <t>P/E: loss-making at IPO, use P/S; greenshoe: no over-allotment option; cornerstone list: no cornerstone tranche; greenshoe size: no over-allotment option; stabilising manager: filing states none appointed (allotment announcement: 'no stabilizing manager will be appointed' stated in the filing)</t>
        </is>
      </c>
    </row>
    <row r="225" ht="22" customHeight="1">
      <c r="A225" s="107" t="inlineStr">
        <is>
          <t>2483</t>
        </is>
      </c>
      <c r="B225" s="108" t="inlineStr">
        <is>
          <t>K CASH</t>
        </is>
      </c>
      <c r="C225" s="108" t="inlineStr">
        <is>
          <t>Ｋ ＣＡＳＨ集團</t>
        </is>
      </c>
      <c r="D225" s="108" t="inlineStr">
        <is>
          <t>Tech/AI</t>
        </is>
      </c>
      <c r="E225" s="108" t="inlineStr">
        <is>
          <t>Fintech platform</t>
        </is>
      </c>
      <c r="F225" s="108" t="inlineStr">
        <is>
          <t>Consumer Finance &amp; Money Lending</t>
        </is>
      </c>
      <c r="G225" s="108" t="inlineStr">
        <is>
          <t>Standard</t>
        </is>
      </c>
      <c r="H225" s="109" t="n">
        <v>45265</v>
      </c>
      <c r="I225" s="110" t="n">
        <v>225</v>
      </c>
      <c r="J225" s="108" t="inlineStr">
        <is>
          <t>gross (price x shares)</t>
        </is>
      </c>
      <c r="K225" s="111" t="n">
        <v>1.64</v>
      </c>
      <c r="L225" s="111" t="n">
        <v>1.96</v>
      </c>
      <c r="M225" s="111" t="n">
        <v>1.8</v>
      </c>
      <c r="N225" s="108" t="inlineStr">
        <is>
          <t>N</t>
        </is>
      </c>
      <c r="O225" s="112" t="n">
        <v>91.8</v>
      </c>
      <c r="P225" s="112" t="n">
        <v>50</v>
      </c>
      <c r="Q225" s="113" t="n">
        <v>900</v>
      </c>
      <c r="R225" s="108" t="inlineStr">
        <is>
          <t>derived:price x shares upon listing</t>
        </is>
      </c>
      <c r="S225" s="114" t="n">
        <v>18.93</v>
      </c>
      <c r="T225" s="115" t="n">
        <v>1.24</v>
      </c>
      <c r="U225" s="116" t="n">
        <v>0</v>
      </c>
      <c r="V225" s="117" t="n">
        <v>139</v>
      </c>
      <c r="W225" s="112" t="n">
        <v>30</v>
      </c>
      <c r="X225" s="108" t="inlineStr">
        <is>
          <t>YES</t>
        </is>
      </c>
      <c r="Y225" s="113" t="n">
        <v>225</v>
      </c>
      <c r="Z225" s="113" t="n">
        <v>125000000</v>
      </c>
      <c r="AA225" s="112" t="n">
        <v>25</v>
      </c>
      <c r="AB225" s="108" t="inlineStr">
        <is>
          <t>none — no cornerstone tranche</t>
        </is>
      </c>
      <c r="AC225" s="108" t="inlineStr">
        <is>
          <t>none</t>
        </is>
      </c>
      <c r="AD225" s="112" t="n">
        <v>5</v>
      </c>
      <c r="AE225" s="108" t="inlineStr">
        <is>
          <t>lapsed</t>
        </is>
      </c>
      <c r="AF225" s="108" t="inlineStr">
        <is>
          <t>2023-12-30</t>
        </is>
      </c>
      <c r="AG225" s="108" t="inlineStr">
        <is>
          <t>China PA Securities</t>
        </is>
      </c>
      <c r="AH225" s="108" t="inlineStr">
        <is>
          <t>China PA</t>
        </is>
      </c>
      <c r="AI225" s="120" t="n">
        <v>-6.11</v>
      </c>
      <c r="AJ225" s="121" t="n">
        <v>-0.5600000000000001</v>
      </c>
      <c r="AK225" s="121" t="n">
        <v>-2.33</v>
      </c>
      <c r="AL225" s="121" t="n">
        <v>-10.56</v>
      </c>
      <c r="AM225" s="121" t="n">
        <v>11.18</v>
      </c>
      <c r="AN225" s="123" t="n">
        <v>0.95</v>
      </c>
      <c r="AO225" s="112" t="n">
        <v>11.8</v>
      </c>
      <c r="AP225" s="121" t="n">
        <v>-5</v>
      </c>
      <c r="AQ225" s="121" t="n">
        <v>-5</v>
      </c>
      <c r="AR225" s="121" t="n">
        <v>-5</v>
      </c>
      <c r="AS225" s="121" t="n">
        <v>-4.47</v>
      </c>
      <c r="AT225" s="121" t="n">
        <v>-4.47</v>
      </c>
      <c r="AU225" s="121" t="n">
        <v>-4.47</v>
      </c>
      <c r="AV225" s="121" t="n">
        <v>-3.97</v>
      </c>
      <c r="AW225" s="121" t="n">
        <v>2.68</v>
      </c>
      <c r="AX225" s="121" t="n">
        <v>5.44</v>
      </c>
      <c r="AY225" s="121" t="n">
        <v>1.01</v>
      </c>
      <c r="AZ225" s="121" t="n">
        <v>-7.68</v>
      </c>
      <c r="BA225" s="121" t="n">
        <v>-5.48</v>
      </c>
      <c r="BB225" s="108" t="inlineStr">
        <is>
          <t>HSTECH (Hang Seng TECH ETF)</t>
        </is>
      </c>
      <c r="BC225" s="121" t="n">
        <v>0</v>
      </c>
      <c r="BD225" s="109" t="n">
        <v>46297</v>
      </c>
      <c r="BE225" s="110" t="n">
        <v>2022</v>
      </c>
      <c r="BF225" s="113" t="n">
        <v>67.90000000000001</v>
      </c>
      <c r="BG225" s="108" t="inlineStr">
        <is>
          <t>Y</t>
        </is>
      </c>
      <c r="BH225" s="123" t="n">
        <v>13.3</v>
      </c>
      <c r="BI225" s="122" t="n"/>
      <c r="BJ225" s="123" t="n">
        <v>9.699999999999999</v>
      </c>
      <c r="BK225" s="123" t="n">
        <v>0.4</v>
      </c>
      <c r="BL225" s="124">
        <f>IF('BBG Verify'!S225="","not filed; run on terminal",'BBG Verify'!S225)</f>
        <v/>
      </c>
      <c r="BM225" s="125" t="inlineStr">
        <is>
          <t>N</t>
        </is>
      </c>
      <c r="BN225" s="126">
        <f>IF('BBG Verify'!K225="","not filed; run on terminal",'BBG Verify'!K225)</f>
        <v/>
      </c>
      <c r="BO225" s="108" t="inlineStr">
        <is>
          <t>N/A</t>
        </is>
      </c>
      <c r="BP225" s="108" t="inlineStr">
        <is>
          <t>N/A</t>
        </is>
      </c>
      <c r="BQ225" s="108" t="inlineStr">
        <is>
          <t>N/A</t>
        </is>
      </c>
      <c r="BR225" s="108" t="inlineStr">
        <is>
          <t>N/A</t>
        </is>
      </c>
      <c r="BS225" s="108" t="inlineStr">
        <is>
          <t>N/A</t>
        </is>
      </c>
      <c r="BT225" s="108" t="inlineStr">
        <is>
          <t>N/A</t>
        </is>
      </c>
      <c r="BU225" s="125" t="inlineStr">
        <is>
          <t>DBS Asia Capital Limited; Ping An of China Capital (Hong Kong) Company Limited</t>
        </is>
      </c>
      <c r="BV225" s="108" t="inlineStr">
        <is>
          <t>Ping An of China Capital (Hong Kong) Company Limited; DBS Asia Capital Limited</t>
        </is>
      </c>
      <c r="BW225" s="108" t="inlineStr">
        <is>
          <t>and CMIs CCB International Capital Limited; Elstone Securities Limited; Valuable Capital Limited</t>
        </is>
      </c>
      <c r="BX225" s="108" t="inlineStr">
        <is>
          <t>CCB International Capital Limited; China PA Securities (Hong Kong) Company Limited; DBS Asia Capital Limited; Elstone Securities Limited; Eddid Securities and Futures Limited; Innovax Securities Limited; Valuable Capital Limited; Zhongtai International Securities Limited</t>
        </is>
      </c>
      <c r="BY225" s="127">
        <f>HYPERLINK("https://www1.hkexnews.hk/listedco/listconews/sehk/2023/1127/2023112700082.pdf","prospectus")</f>
        <v/>
      </c>
      <c r="BZ225" s="127">
        <f>HYPERLINK("https://www1.hkexnews.hk/listedco/listconews/sehk/2023/1204/2023120402869.pdf","allotment")</f>
        <v/>
      </c>
      <c r="CA225" s="127">
        <f>HYPERLINK("https://www1.hkexnews.hk/listedco/listconews/sehk/2024/0102/2024010200039.pdf","stabilisation")</f>
        <v/>
      </c>
      <c r="CB225" s="128" t="n"/>
      <c r="CC225" s="108" t="inlineStr">
        <is>
          <t>cornerstone list: no cornerstone tranche</t>
        </is>
      </c>
    </row>
    <row r="226" ht="22" customHeight="1">
      <c r="A226" s="107" t="inlineStr">
        <is>
          <t>2419</t>
        </is>
      </c>
      <c r="B226" s="108" t="inlineStr">
        <is>
          <t>DEKON AGR</t>
        </is>
      </c>
      <c r="C226" s="108" t="inlineStr">
        <is>
          <t>德康農牧</t>
        </is>
      </c>
      <c r="D226" s="108" t="inlineStr">
        <is>
          <t>Consumer</t>
        </is>
      </c>
      <c r="E226" s="108" t="inlineStr">
        <is>
          <t>Beverages / packaged food</t>
        </is>
      </c>
      <c r="F226" s="108" t="inlineStr">
        <is>
          <t>Poultry, Meat and Seafood</t>
        </is>
      </c>
      <c r="G226" s="108" t="inlineStr">
        <is>
          <t>Standard</t>
        </is>
      </c>
      <c r="H226" s="109" t="n">
        <v>45266</v>
      </c>
      <c r="I226" s="110" t="n">
        <v>994.4</v>
      </c>
      <c r="J226" s="108" t="inlineStr">
        <is>
          <t>gross (price x shares)</t>
        </is>
      </c>
      <c r="K226" s="111" t="n">
        <v>30.35</v>
      </c>
      <c r="L226" s="111" t="n">
        <v>36.95</v>
      </c>
      <c r="M226" s="111" t="n">
        <v>36.95</v>
      </c>
      <c r="N226" s="108" t="inlineStr">
        <is>
          <t>Y</t>
        </is>
      </c>
      <c r="O226" s="112" t="n">
        <v>100</v>
      </c>
      <c r="P226" s="112" t="n">
        <v>100</v>
      </c>
      <c r="Q226" s="113" t="n">
        <v>14369</v>
      </c>
      <c r="R226" s="108" t="inlineStr">
        <is>
          <t>derived:price x shares upon listing</t>
        </is>
      </c>
      <c r="S226" s="114" t="n">
        <v>1.88</v>
      </c>
      <c r="T226" s="115" t="n">
        <v>1.13</v>
      </c>
      <c r="U226" s="116" t="n">
        <v>39.22</v>
      </c>
      <c r="V226" s="117" t="n">
        <v>124</v>
      </c>
      <c r="W226" s="112" t="n">
        <v>10</v>
      </c>
      <c r="X226" s="108" t="inlineStr">
        <is>
          <t>NO</t>
        </is>
      </c>
      <c r="Y226" s="113" t="n">
        <v>604.4</v>
      </c>
      <c r="Z226" s="113" t="n">
        <v>16357114</v>
      </c>
      <c r="AA226" s="112" t="n">
        <v>4.21</v>
      </c>
      <c r="AB226" s="108" t="inlineStr">
        <is>
          <t>Xiushan County Xinzhiyuan Market Management Co., Ltd; Guiyang Agricultural Investment Development Co., Ltd; Quxian Huixing Industrial Investment Co., Ltd</t>
        </is>
      </c>
      <c r="AC226" s="108" t="inlineStr">
        <is>
          <t>xiushan;guiyang;quxian</t>
        </is>
      </c>
      <c r="AD226" s="118" t="n"/>
      <c r="AE226" s="119" t="n"/>
      <c r="AF226" s="119" t="n"/>
      <c r="AG226" s="119" t="n"/>
      <c r="AH226" s="119" t="n"/>
      <c r="AI226" s="120" t="n">
        <v>0.41</v>
      </c>
      <c r="AJ226" s="121" t="n">
        <v>1.49</v>
      </c>
      <c r="AK226" s="121" t="n">
        <v>1.01</v>
      </c>
      <c r="AL226" s="121" t="n">
        <v>0</v>
      </c>
      <c r="AM226" s="121" t="n">
        <v>1.49</v>
      </c>
      <c r="AN226" s="123" t="n">
        <v>0.38</v>
      </c>
      <c r="AO226" s="112" t="n">
        <v>2.84</v>
      </c>
      <c r="AP226" s="121" t="n">
        <v>2.17</v>
      </c>
      <c r="AQ226" s="121" t="n">
        <v>59.68</v>
      </c>
      <c r="AR226" s="121" t="n">
        <v>18.94</v>
      </c>
      <c r="AS226" s="121" t="n">
        <v>0.67</v>
      </c>
      <c r="AT226" s="121" t="n">
        <v>57.34</v>
      </c>
      <c r="AU226" s="121" t="n">
        <v>17.19</v>
      </c>
      <c r="AV226" s="121" t="n">
        <v>3.43</v>
      </c>
      <c r="AW226" s="121" t="n">
        <v>62.72</v>
      </c>
      <c r="AX226" s="121" t="n">
        <v>17.97</v>
      </c>
      <c r="AY226" s="121" t="n">
        <v>61.34</v>
      </c>
      <c r="AZ226" s="121" t="n">
        <v>-3.04</v>
      </c>
      <c r="BA226" s="121" t="n">
        <v>-4</v>
      </c>
      <c r="BB226" s="108" t="inlineStr">
        <is>
          <t>Hang Seng Commerce &amp; Industry sub-index</t>
        </is>
      </c>
      <c r="BC226" s="121" t="n">
        <v>52.23</v>
      </c>
      <c r="BD226" s="109" t="n">
        <v>46297</v>
      </c>
      <c r="BE226" s="110" t="n">
        <v>16540.7</v>
      </c>
      <c r="BF226" s="113" t="n">
        <v>1092.2</v>
      </c>
      <c r="BG226" s="108" t="inlineStr">
        <is>
          <t>Y</t>
        </is>
      </c>
      <c r="BH226" s="123" t="n">
        <v>13.2</v>
      </c>
      <c r="BI226" s="122" t="n"/>
      <c r="BJ226" s="123" t="n">
        <v>11.9</v>
      </c>
      <c r="BK226" s="123" t="n">
        <v>0.9</v>
      </c>
      <c r="BL226" s="124">
        <f>IF('BBG Verify'!S226="","not filed; run on terminal",'BBG Verify'!S226)</f>
        <v/>
      </c>
      <c r="BM226" s="125" t="inlineStr">
        <is>
          <t>N</t>
        </is>
      </c>
      <c r="BN226" s="126">
        <f>IF('BBG Verify'!K226="","not filed; run on terminal",'BBG Verify'!K226)</f>
        <v/>
      </c>
      <c r="BO226" s="108" t="inlineStr">
        <is>
          <t>N/A</t>
        </is>
      </c>
      <c r="BP226" s="108" t="inlineStr">
        <is>
          <t>N/A</t>
        </is>
      </c>
      <c r="BQ226" s="108" t="inlineStr">
        <is>
          <t>N/A</t>
        </is>
      </c>
      <c r="BR226" s="108" t="inlineStr">
        <is>
          <t>N/A</t>
        </is>
      </c>
      <c r="BS226" s="108" t="inlineStr">
        <is>
          <t>N/A</t>
        </is>
      </c>
      <c r="BT226" s="108" t="inlineStr">
        <is>
          <t>N/A</t>
        </is>
      </c>
      <c r="BU226" s="125" t="inlineStr">
        <is>
          <t>China International Capital Corporation Hong Kong Securities Limited; Citigroup Global Markets Asia Limited</t>
        </is>
      </c>
      <c r="BV226" s="108" t="inlineStr">
        <is>
          <t>China International Capital Corporation Hong Kong Securities Limited; Citigroup Global Markets Asia Limited</t>
        </is>
      </c>
      <c r="BW226" s="108" t="inlineStr">
        <is>
          <t>China International Capital Corporation Hong Kong Securities Limited; Citigroup Global Markets Asia Limited; Central Hong Kong Citigroup Global Markets Limited; Canary Wharf London E14 5LB United Kingdom China Everbright Securities (HK) Limited; BOCI Asia Limited; ABCI Capital Limited; China Galaxy International Securities (Hong Kong) Co., Limited; ICBC International Securities Limited; CMB International Capital Limited; Citrus Securities Limited; Valuable Capital Limited</t>
        </is>
      </c>
      <c r="BX226" s="108" t="inlineStr">
        <is>
          <t>ABCI Securities Company Limited; BOCI Asia Limited; China Everbright Securities (HK) Limited; China Galaxy International Securities (Hong Kong) Company Limited; Citigroup Global Markets Asia Limited; China International Capital Corporation Hong Kong Securities Limited; Citrus Securities Limited; CMBC Securities Company Limited; CMB International Capital Limited; ICBC International Securities Limited; Silverbricks Securities Company Limited; Valuable Capital Limited</t>
        </is>
      </c>
      <c r="BY226" s="127">
        <f>HYPERLINK("https://www1.hkexnews.hk/listedco/listconews/sehk/2023/1127/2023112700009.pdf","prospectus")</f>
        <v/>
      </c>
      <c r="BZ226" s="127">
        <f>HYPERLINK("https://www1.hkexnews.hk/listedco/listconews/sehk/2023/1205/2023120502409.pdf","allotment")</f>
        <v/>
      </c>
      <c r="CA226" s="119" t="n"/>
      <c r="CB226" s="128" t="n"/>
      <c r="CC226" s="108" t="inlineStr">
        <is>
          <t>greenshoe: no over-allotment option; greenshoe size: no over-allotment option; stabilising manager: no over-allotment option, so none appointed</t>
        </is>
      </c>
    </row>
    <row r="227" ht="22" customHeight="1">
      <c r="A227" s="107" t="inlineStr">
        <is>
          <t>1497</t>
        </is>
      </c>
      <c r="B227" s="108" t="inlineStr">
        <is>
          <t>YAN PALACE</t>
        </is>
      </c>
      <c r="C227" s="108" t="inlineStr">
        <is>
          <t>燕之屋</t>
        </is>
      </c>
      <c r="D227" s="108" t="inlineStr">
        <is>
          <t>Consumer</t>
        </is>
      </c>
      <c r="E227" s="108" t="inlineStr">
        <is>
          <t>Beverages / packaged food</t>
        </is>
      </c>
      <c r="F227" s="108" t="inlineStr">
        <is>
          <t>Packaged Foods</t>
        </is>
      </c>
      <c r="G227" s="108" t="inlineStr">
        <is>
          <t>Standard</t>
        </is>
      </c>
      <c r="H227" s="109" t="n">
        <v>45272</v>
      </c>
      <c r="I227" s="110" t="n">
        <v>310.4</v>
      </c>
      <c r="J227" s="108" t="inlineStr">
        <is>
          <t>gross (price x shares)</t>
        </is>
      </c>
      <c r="K227" s="111" t="n">
        <v>8.800000000000001</v>
      </c>
      <c r="L227" s="111" t="n">
        <v>11</v>
      </c>
      <c r="M227" s="111" t="n">
        <v>9.699999999999999</v>
      </c>
      <c r="N227" s="108" t="inlineStr">
        <is>
          <t>N</t>
        </is>
      </c>
      <c r="O227" s="112" t="n">
        <v>88.2</v>
      </c>
      <c r="P227" s="112" t="n">
        <v>40.9</v>
      </c>
      <c r="Q227" s="113" t="n">
        <v>4515.4</v>
      </c>
      <c r="R227" s="108" t="inlineStr">
        <is>
          <t>derived:price x shares upon listing</t>
        </is>
      </c>
      <c r="S227" s="114" t="n">
        <v>83.63</v>
      </c>
      <c r="T227" s="115" t="n">
        <v>1.27</v>
      </c>
      <c r="U227" s="116" t="n">
        <v>40.16</v>
      </c>
      <c r="V227" s="117" t="n">
        <v>158</v>
      </c>
      <c r="W227" s="112" t="n">
        <v>40</v>
      </c>
      <c r="X227" s="108" t="inlineStr">
        <is>
          <t>YES</t>
        </is>
      </c>
      <c r="Y227" s="113" t="n">
        <v>185.74</v>
      </c>
      <c r="Z227" s="113" t="n">
        <v>19148800</v>
      </c>
      <c r="AA227" s="112" t="n">
        <v>4.11</v>
      </c>
      <c r="AB227" s="108" t="inlineStr">
        <is>
          <t>PT. Anugerah Citra Walet Indonesia; PT Esta Indonesia; PT Niaga Cakrawala Sukses; WU Chen; Value Partners Hong Kong Limited; WONG Sing Kwong Cyrus</t>
        </is>
      </c>
      <c r="AC227" s="108" t="inlineStr">
        <is>
          <t>pt;wu-chen;value;wong</t>
        </is>
      </c>
      <c r="AD227" s="112" t="n">
        <v>15</v>
      </c>
      <c r="AE227" s="108" t="inlineStr">
        <is>
          <t>lapsed</t>
        </is>
      </c>
      <c r="AF227" s="108" t="inlineStr">
        <is>
          <t>2024-01-06</t>
        </is>
      </c>
      <c r="AG227" s="108" t="inlineStr">
        <is>
          <t>GF Securities</t>
        </is>
      </c>
      <c r="AH227" s="108" t="inlineStr">
        <is>
          <t>GF</t>
        </is>
      </c>
      <c r="AI227" s="120" t="n">
        <v>9.279999999999999</v>
      </c>
      <c r="AJ227" s="121" t="n">
        <v>0</v>
      </c>
      <c r="AK227" s="121" t="n">
        <v>1.2</v>
      </c>
      <c r="AL227" s="121" t="n">
        <v>8.25</v>
      </c>
      <c r="AM227" s="121" t="n">
        <v>-7.62</v>
      </c>
      <c r="AN227" s="123" t="n">
        <v>0.89</v>
      </c>
      <c r="AO227" s="112" t="n">
        <v>10.29</v>
      </c>
      <c r="AP227" s="121" t="n">
        <v>-5.15</v>
      </c>
      <c r="AQ227" s="121" t="n">
        <v>1.03</v>
      </c>
      <c r="AR227" s="121" t="n">
        <v>3.09</v>
      </c>
      <c r="AS227" s="121" t="n">
        <v>-5.15</v>
      </c>
      <c r="AT227" s="121" t="n">
        <v>1.03</v>
      </c>
      <c r="AU227" s="121" t="n">
        <v>3.09</v>
      </c>
      <c r="AV227" s="121" t="n">
        <v>-6.71</v>
      </c>
      <c r="AW227" s="121" t="n">
        <v>2.22</v>
      </c>
      <c r="AX227" s="121" t="n">
        <v>-0.7</v>
      </c>
      <c r="AY227" s="121" t="n">
        <v>3.39</v>
      </c>
      <c r="AZ227" s="121" t="n">
        <v>-1.19</v>
      </c>
      <c r="BA227" s="121" t="n">
        <v>-2.36</v>
      </c>
      <c r="BB227" s="108" t="inlineStr">
        <is>
          <t>Hang Seng Commerce &amp; Industry sub-index</t>
        </is>
      </c>
      <c r="BC227" s="121" t="n">
        <v>-34.54</v>
      </c>
      <c r="BD227" s="109" t="n">
        <v>46297</v>
      </c>
      <c r="BE227" s="110" t="n">
        <v>1902.9</v>
      </c>
      <c r="BF227" s="113" t="n">
        <v>226.5</v>
      </c>
      <c r="BG227" s="108" t="inlineStr">
        <is>
          <t>Y</t>
        </is>
      </c>
      <c r="BH227" s="123" t="n">
        <v>19.9</v>
      </c>
      <c r="BI227" s="122" t="n"/>
      <c r="BJ227" s="123" t="n">
        <v>9.300000000000001</v>
      </c>
      <c r="BK227" s="123" t="n">
        <v>2.4</v>
      </c>
      <c r="BL227" s="124">
        <f>IF('BBG Verify'!S227="","not filed; run on terminal",'BBG Verify'!S227)</f>
        <v/>
      </c>
      <c r="BM227" s="125" t="inlineStr">
        <is>
          <t>N</t>
        </is>
      </c>
      <c r="BN227" s="126">
        <f>IF('BBG Verify'!K227="","not filed; run on terminal",'BBG Verify'!K227)</f>
        <v/>
      </c>
      <c r="BO227" s="108" t="inlineStr">
        <is>
          <t>N/A</t>
        </is>
      </c>
      <c r="BP227" s="108" t="inlineStr">
        <is>
          <t>N/A</t>
        </is>
      </c>
      <c r="BQ227" s="108" t="inlineStr">
        <is>
          <t>N/A</t>
        </is>
      </c>
      <c r="BR227" s="108" t="inlineStr">
        <is>
          <t>N/A</t>
        </is>
      </c>
      <c r="BS227" s="108" t="inlineStr">
        <is>
          <t>N/A</t>
        </is>
      </c>
      <c r="BT227" s="108" t="inlineStr">
        <is>
          <t>N/A</t>
        </is>
      </c>
      <c r="BU227" s="125" t="inlineStr">
        <is>
          <t>China International Capital Corporation Hong Kong Securities Limited; GF Capital (Hong Kong) Limited</t>
        </is>
      </c>
      <c r="BV227" s="108" t="inlineStr">
        <is>
          <t>China International Capital Corporation Hong Kong Securities Limited; GF Capital (Hong Kong) Limited</t>
        </is>
      </c>
      <c r="BW227" s="108" t="inlineStr">
        <is>
          <t>China International Capital Corporation Hong Kong Securities Limited; GF Securities (Hong Kong) Brokerage Limited; Citigroup Global Markets Asia Limited; Citigroup Global Markets Limited; London E14 5LB United Kingdom Valuable Capital Limited</t>
        </is>
      </c>
      <c r="BX227" s="108" t="inlineStr">
        <is>
          <t>Citigroup Global Markets Asia Limited; China International Capital Corporation Hong Kong Securities Limited; Futu Securities International (Hong Kong) Limited; GF Securities (Hong Kong) Brokerage Limited; Tiger Brokers (HK) Global Limited; Valuable Capital Limited</t>
        </is>
      </c>
      <c r="BY227" s="127">
        <f>HYPERLINK("https://www1.hkexnews.hk/listedco/listconews/sehk/2023/1130/2023113000061.pdf","prospectus")</f>
        <v/>
      </c>
      <c r="BZ227" s="127">
        <f>HYPERLINK("https://www1.hkexnews.hk/listedco/listconews/sehk/2023/1211/2023121101204.pdf","allotment")</f>
        <v/>
      </c>
      <c r="CA227" s="127">
        <f>HYPERLINK("https://www1.hkexnews.hk/listedco/listconews/sehk/2024/0108/2024010800315.pdf","stabilisation")</f>
        <v/>
      </c>
      <c r="CB227" s="128" t="n"/>
      <c r="CC227" s="108" t="inlineStr"/>
    </row>
    <row r="228" ht="22" customHeight="1">
      <c r="A228" s="107" t="inlineStr">
        <is>
          <t>0666</t>
        </is>
      </c>
      <c r="B228" s="108" t="inlineStr">
        <is>
          <t>REPT BATTERO</t>
        </is>
      </c>
      <c r="C228" s="108" t="inlineStr">
        <is>
          <t>瑞浦蘭鈞</t>
        </is>
      </c>
      <c r="D228" s="108" t="inlineStr">
        <is>
          <t>Industrials</t>
        </is>
      </c>
      <c r="E228" s="108" t="inlineStr">
        <is>
          <t>Batteries / energy storage</t>
        </is>
      </c>
      <c r="F228" s="108" t="inlineStr">
        <is>
          <t>Battery Products</t>
        </is>
      </c>
      <c r="G228" s="108" t="inlineStr">
        <is>
          <t>Standard</t>
        </is>
      </c>
      <c r="H228" s="109" t="n">
        <v>45278</v>
      </c>
      <c r="I228" s="110" t="n">
        <v>2124.1</v>
      </c>
      <c r="J228" s="108" t="inlineStr">
        <is>
          <t>gross (price x shares)</t>
        </is>
      </c>
      <c r="K228" s="111" t="n">
        <v>18.2</v>
      </c>
      <c r="L228" s="111" t="n">
        <v>20.6</v>
      </c>
      <c r="M228" s="111" t="n">
        <v>18.3</v>
      </c>
      <c r="N228" s="108" t="inlineStr">
        <is>
          <t>N</t>
        </is>
      </c>
      <c r="O228" s="112" t="n">
        <v>88.8</v>
      </c>
      <c r="P228" s="112" t="n">
        <v>4.2</v>
      </c>
      <c r="Q228" s="113" t="n">
        <v>41666.8</v>
      </c>
      <c r="R228" s="108" t="inlineStr">
        <is>
          <t>derived:price x shares upon listing</t>
        </is>
      </c>
      <c r="S228" s="114" t="n">
        <v>1.27</v>
      </c>
      <c r="T228" s="115" t="n">
        <v>1.21</v>
      </c>
      <c r="U228" s="116" t="n">
        <v>0</v>
      </c>
      <c r="V228" s="117" t="n">
        <v>123</v>
      </c>
      <c r="W228" s="112" t="n">
        <v>10</v>
      </c>
      <c r="X228" s="108" t="inlineStr">
        <is>
          <t>NO</t>
        </is>
      </c>
      <c r="Y228" s="113" t="n">
        <v>2124.1</v>
      </c>
      <c r="Z228" s="113" t="n">
        <v>116070200</v>
      </c>
      <c r="AA228" s="112" t="n">
        <v>5.1</v>
      </c>
      <c r="AB228" s="108" t="inlineStr">
        <is>
          <t>none — no cornerstone tranche</t>
        </is>
      </c>
      <c r="AC228" s="108" t="inlineStr">
        <is>
          <t>none</t>
        </is>
      </c>
      <c r="AD228" s="118" t="n"/>
      <c r="AE228" s="119" t="n"/>
      <c r="AF228" s="119" t="n"/>
      <c r="AG228" s="119" t="n"/>
      <c r="AH228" s="119" t="n"/>
      <c r="AI228" s="120" t="n">
        <v>0.66</v>
      </c>
      <c r="AJ228" s="121" t="n">
        <v>2.62</v>
      </c>
      <c r="AK228" s="121" t="n">
        <v>-0.85</v>
      </c>
      <c r="AL228" s="121" t="n">
        <v>1.64</v>
      </c>
      <c r="AM228" s="121" t="n">
        <v>0.96</v>
      </c>
      <c r="AN228" s="123" t="n">
        <v>0.14</v>
      </c>
      <c r="AO228" s="112" t="n">
        <v>5.91</v>
      </c>
      <c r="AP228" s="121" t="n">
        <v>0.77</v>
      </c>
      <c r="AQ228" s="121" t="n">
        <v>3.39</v>
      </c>
      <c r="AR228" s="121" t="n">
        <v>-21.09</v>
      </c>
      <c r="AS228" s="121" t="n">
        <v>-1.8</v>
      </c>
      <c r="AT228" s="121" t="n">
        <v>0.75</v>
      </c>
      <c r="AU228" s="121" t="n">
        <v>-23.1</v>
      </c>
      <c r="AV228" s="121" t="n">
        <v>2.48</v>
      </c>
      <c r="AW228" s="121" t="n">
        <v>13.42</v>
      </c>
      <c r="AX228" s="121" t="n">
        <v>-23.07</v>
      </c>
      <c r="AY228" s="121" t="n">
        <v>10.01</v>
      </c>
      <c r="AZ228" s="121" t="n">
        <v>-10.03</v>
      </c>
      <c r="BA228" s="121" t="n">
        <v>-9.26</v>
      </c>
      <c r="BB228" s="108" t="inlineStr">
        <is>
          <t>Hang Seng Commerce &amp; Industry sub-index</t>
        </is>
      </c>
      <c r="BC228" s="121" t="n">
        <v>-54.64</v>
      </c>
      <c r="BD228" s="109" t="n">
        <v>46297</v>
      </c>
      <c r="BE228" s="110" t="n">
        <v>16112.6</v>
      </c>
      <c r="BF228" s="113" t="n">
        <v>-495.9</v>
      </c>
      <c r="BG228" s="108" t="inlineStr">
        <is>
          <t>N</t>
        </is>
      </c>
      <c r="BH228" s="108" t="inlineStr">
        <is>
          <t>n/m</t>
        </is>
      </c>
      <c r="BI228" s="122" t="n"/>
      <c r="BJ228" s="122" t="n"/>
      <c r="BK228" s="123" t="n">
        <v>2.6</v>
      </c>
      <c r="BL228" s="124">
        <f>IF('BBG Verify'!S228="","not filed; run on terminal",'BBG Verify'!S228)</f>
        <v/>
      </c>
      <c r="BM228" s="125" t="inlineStr">
        <is>
          <t>N</t>
        </is>
      </c>
      <c r="BN228" s="126">
        <f>IF('BBG Verify'!K228="","not filed; run on terminal",'BBG Verify'!K228)</f>
        <v/>
      </c>
      <c r="BO228" s="108" t="inlineStr">
        <is>
          <t>N/A</t>
        </is>
      </c>
      <c r="BP228" s="108" t="inlineStr">
        <is>
          <t>N/A</t>
        </is>
      </c>
      <c r="BQ228" s="108" t="inlineStr">
        <is>
          <t>N/A</t>
        </is>
      </c>
      <c r="BR228" s="108" t="inlineStr">
        <is>
          <t>N/A</t>
        </is>
      </c>
      <c r="BS228" s="108" t="inlineStr">
        <is>
          <t>N/A</t>
        </is>
      </c>
      <c r="BT228" s="108" t="inlineStr">
        <is>
          <t>N/A</t>
        </is>
      </c>
      <c r="BU228" s="125" t="inlineStr">
        <is>
          <t>Morgan Stanley Asia Limited; CITIC Securities (Hong Kong) Limited</t>
        </is>
      </c>
      <c r="BV228" s="108" t="inlineStr">
        <is>
          <t>Morgan Stanley Asia Limited; CITIC Securities (Hong Kong) Limited</t>
        </is>
      </c>
      <c r="BW228" s="108" t="inlineStr">
        <is>
          <t>Morgan Stanley Asia Limited; CLSA Limited; The Hongkong and Shanghai Banking Corporation Limited; China Galaxy International Securities (Hong Kong) Co., Limited; China International Capital Corporation Hong Kong Securities Limited; Guotai Junan Securities (Hong Kong) Limited; CMB International Capital Limited; BOCI Asia Limited; ABCI Capital Limited</t>
        </is>
      </c>
      <c r="BX228" s="108" t="inlineStr">
        <is>
          <t>ABCI Securities Company Limited; BOCI Asia Limited; China Galaxy International Securities (Hong Kong) Company Limited; China International Capital Corporation Hong Kong Securities Limited; CLSA Limited; CMB International Capital Limited; DBS Asia Capital Limited; Futu Securities International (Hong Kong) Limited; Guotai Junan Securities (Hong Kong) Limited; The Hongkong and Shanghai Banking Corporation Limited; Morgan Stanley Asia Limited; Tiger Brokers (HK) Global Limited</t>
        </is>
      </c>
      <c r="BY228" s="127">
        <f>HYPERLINK("https://www1.hkexnews.hk/listedco/listconews/sehk/2023/1208/2023120800019.pdf","prospectus")</f>
        <v/>
      </c>
      <c r="BZ228" s="127">
        <f>HYPERLINK("https://www1.hkexnews.hk/listedco/listconews/sehk/2023/1215/2023121501598.pdf","allotment")</f>
        <v/>
      </c>
      <c r="CA228" s="119" t="n"/>
      <c r="CB228" s="128" t="n"/>
      <c r="CC228" s="108" t="inlineStr">
        <is>
          <t>P/E: loss-making at IPO, use P/S; greenshoe: no over-allotment option; cornerstone list: no cornerstone tranche; greenshoe size: no over-allotment option; stabilising manager: filing states none appointed (allotment announcement: 'no stabilizing manager will be appointed' stated in the filing)</t>
        </is>
      </c>
    </row>
    <row r="229" ht="22" customHeight="1">
      <c r="A229" s="107" t="inlineStr">
        <is>
          <t>2502</t>
        </is>
      </c>
      <c r="B229" s="108" t="inlineStr">
        <is>
          <t>JINYUAN HCHEM</t>
        </is>
      </c>
      <c r="C229" s="108" t="inlineStr">
        <is>
          <t>金源氫化</t>
        </is>
      </c>
      <c r="D229" s="108" t="inlineStr">
        <is>
          <t>Materials/Energy</t>
        </is>
      </c>
      <c r="E229" s="108" t="inlineStr">
        <is>
          <t>Chemicals</t>
        </is>
      </c>
      <c r="F229" s="108" t="inlineStr">
        <is>
          <t>Diversified Chemicals</t>
        </is>
      </c>
      <c r="G229" s="108" t="inlineStr">
        <is>
          <t>Standard</t>
        </is>
      </c>
      <c r="H229" s="109" t="n">
        <v>45280</v>
      </c>
      <c r="I229" s="110" t="n">
        <v>286.69</v>
      </c>
      <c r="J229" s="108" t="inlineStr">
        <is>
          <t>gross (stated)</t>
        </is>
      </c>
      <c r="K229" s="111" t="n">
        <v>1.1</v>
      </c>
      <c r="L229" s="111" t="n">
        <v>1.5</v>
      </c>
      <c r="M229" s="111" t="n">
        <v>1.2</v>
      </c>
      <c r="N229" s="108" t="inlineStr">
        <is>
          <t>N</t>
        </is>
      </c>
      <c r="O229" s="112" t="n">
        <v>80</v>
      </c>
      <c r="P229" s="112" t="n">
        <v>25</v>
      </c>
      <c r="Q229" s="113" t="n">
        <v>1146.8</v>
      </c>
      <c r="R229" s="108" t="inlineStr">
        <is>
          <t>derived:price x shares upon listing</t>
        </is>
      </c>
      <c r="S229" s="114" t="n">
        <v>42.82</v>
      </c>
      <c r="T229" s="115" t="n">
        <v>1.07</v>
      </c>
      <c r="U229" s="116" t="n">
        <v>50.95</v>
      </c>
      <c r="V229" s="117" t="n">
        <v>117</v>
      </c>
      <c r="W229" s="112" t="n">
        <v>30</v>
      </c>
      <c r="X229" s="108" t="inlineStr">
        <is>
          <t>YES</t>
        </is>
      </c>
      <c r="Y229" s="113" t="n">
        <v>140.62</v>
      </c>
      <c r="Z229" s="113" t="n">
        <v>117185355</v>
      </c>
      <c r="AA229" s="112" t="n">
        <v>12.26</v>
      </c>
      <c r="AB229" s="108" t="inlineStr">
        <is>
          <t>Zhongsheng Holdings Company Limited; Genesis M Co., Limited; Prosperity Steel United Singapore Pte. Ltd; Max Success Group Holdings Limited</t>
        </is>
      </c>
      <c r="AC229" s="108" t="inlineStr">
        <is>
          <t>zhongsheng;genesis;prosperity;max</t>
        </is>
      </c>
      <c r="AD229" s="112" t="n">
        <v>5</v>
      </c>
      <c r="AE229" s="108" t="inlineStr">
        <is>
          <t>lapsed</t>
        </is>
      </c>
      <c r="AF229" s="108" t="inlineStr">
        <is>
          <t>2024-01-14</t>
        </is>
      </c>
      <c r="AG229" s="108" t="inlineStr">
        <is>
          <t>Haitong International Securities Company Limited</t>
        </is>
      </c>
      <c r="AH229" s="108" t="inlineStr">
        <is>
          <t>Haitong</t>
        </is>
      </c>
      <c r="AI229" s="120" t="n">
        <v>-8.33</v>
      </c>
      <c r="AJ229" s="121" t="n">
        <v>-27.5</v>
      </c>
      <c r="AK229" s="121" t="n">
        <v>0.7</v>
      </c>
      <c r="AL229" s="121" t="n">
        <v>-11.67</v>
      </c>
      <c r="AM229" s="121" t="n">
        <v>-17.92</v>
      </c>
      <c r="AN229" s="123" t="n">
        <v>0.64</v>
      </c>
      <c r="AO229" s="112" t="n">
        <v>20.75</v>
      </c>
      <c r="AP229" s="121" t="n">
        <v>-20.83</v>
      </c>
      <c r="AQ229" s="121" t="n">
        <v>-28.33</v>
      </c>
      <c r="AR229" s="121" t="n">
        <v>-37.5</v>
      </c>
      <c r="AS229" s="121" t="n">
        <v>9.199999999999999</v>
      </c>
      <c r="AT229" s="121" t="n">
        <v>-1.14</v>
      </c>
      <c r="AU229" s="121" t="n">
        <v>-13.79</v>
      </c>
      <c r="AV229" s="121" t="n">
        <v>-23.55</v>
      </c>
      <c r="AW229" s="121" t="n">
        <v>-19.91</v>
      </c>
      <c r="AX229" s="121" t="n">
        <v>-38.8</v>
      </c>
      <c r="AY229" s="121" t="n">
        <v>7.92</v>
      </c>
      <c r="AZ229" s="121" t="n">
        <v>-8.42</v>
      </c>
      <c r="BA229" s="121" t="n">
        <v>-9.06</v>
      </c>
      <c r="BB229" s="108" t="inlineStr">
        <is>
          <t>Hang Seng Commerce &amp; Industry sub-index</t>
        </is>
      </c>
      <c r="BC229" s="121" t="n">
        <v>-50</v>
      </c>
      <c r="BD229" s="109" t="n">
        <v>46297</v>
      </c>
      <c r="BE229" s="110" t="n">
        <v>2480</v>
      </c>
      <c r="BF229" s="113" t="n">
        <v>213.5</v>
      </c>
      <c r="BG229" s="108" t="inlineStr">
        <is>
          <t>Y</t>
        </is>
      </c>
      <c r="BH229" s="123" t="n">
        <v>5.4</v>
      </c>
      <c r="BI229" s="122" t="n"/>
      <c r="BJ229" s="122" t="n"/>
      <c r="BK229" s="123" t="n">
        <v>0.5</v>
      </c>
      <c r="BL229" s="124">
        <f>IF('BBG Verify'!S229="","not filed; run on terminal",'BBG Verify'!S229)</f>
        <v/>
      </c>
      <c r="BM229" s="125" t="inlineStr">
        <is>
          <t>N</t>
        </is>
      </c>
      <c r="BN229" s="126">
        <f>IF('BBG Verify'!K229="","not filed; run on terminal",'BBG Verify'!K229)</f>
        <v/>
      </c>
      <c r="BO229" s="108" t="inlineStr">
        <is>
          <t>N/A</t>
        </is>
      </c>
      <c r="BP229" s="108" t="inlineStr">
        <is>
          <t>N/A</t>
        </is>
      </c>
      <c r="BQ229" s="108" t="inlineStr">
        <is>
          <t>N/A</t>
        </is>
      </c>
      <c r="BR229" s="108" t="inlineStr">
        <is>
          <t>N/A</t>
        </is>
      </c>
      <c r="BS229" s="108" t="inlineStr">
        <is>
          <t>N/A</t>
        </is>
      </c>
      <c r="BT229" s="108" t="inlineStr">
        <is>
          <t>N/A</t>
        </is>
      </c>
      <c r="BU229" s="125" t="inlineStr">
        <is>
          <t>Haitong International Capital Limited</t>
        </is>
      </c>
      <c r="BV229" s="108" t="inlineStr">
        <is>
          <t>Haitong International Capital Limited</t>
        </is>
      </c>
      <c r="BW229" s="108" t="inlineStr">
        <is>
          <t>ABCI Capital Limited; ABCI Securities Company Limited</t>
        </is>
      </c>
      <c r="BX229" s="108" t="inlineStr">
        <is>
          <t>ABCI Securities Company Limited; CCB International Capital Limited; Central China International Capital Limited; China Everbright Securities (HK) Limited; China Galaxy International Securities (Hong Kong) Company Limited; CMB International Capital Limited; Haitong International Securities Company Limited; Huaan Securities (Hong Kong) Brokerage Limited; ICBC International Securities Limited; Livermore Holdings Limited; Maxa Capital Limited; Shenwan Hongyuan Securities (H.K.) Limited</t>
        </is>
      </c>
      <c r="BY229" s="127">
        <f>HYPERLINK("https://www1.hkexnews.hk/listedco/listconews/sehk/2023/1212/2023121200021.pdf","prospectus")</f>
        <v/>
      </c>
      <c r="BZ229" s="127">
        <f>HYPERLINK("https://www1.hkexnews.hk/listedco/listconews/sehk/2023/1219/2023121901110.pdf","allotment")</f>
        <v/>
      </c>
      <c r="CA229" s="127">
        <f>HYPERLINK("https://www1.hkexnews.hk/listedco/listconews/sehk/2024/0115/2024011500035.pdf","stabilisation")</f>
        <v/>
      </c>
      <c r="CB229" s="128" t="n"/>
      <c r="CC229" s="108" t="inlineStr"/>
    </row>
    <row r="230" ht="22" customHeight="1">
      <c r="A230" s="107" t="inlineStr">
        <is>
          <t>1274</t>
        </is>
      </c>
      <c r="B230" s="108" t="inlineStr">
        <is>
          <t>IMOTIONAUTOTECH</t>
        </is>
      </c>
      <c r="C230" s="108" t="inlineStr">
        <is>
          <t>知行科技</t>
        </is>
      </c>
      <c r="D230" s="108" t="inlineStr">
        <is>
          <t>Tech/AI</t>
        </is>
      </c>
      <c r="E230" s="108" t="inlineStr">
        <is>
          <t>Robotics &amp; autonomous driving</t>
        </is>
      </c>
      <c r="F230" s="108" t="inlineStr">
        <is>
          <t>Auto Parts &amp; Equipment</t>
        </is>
      </c>
      <c r="G230" s="108" t="inlineStr">
        <is>
          <t>Standard</t>
        </is>
      </c>
      <c r="H230" s="109" t="n">
        <v>45280</v>
      </c>
      <c r="I230" s="110" t="n">
        <v>655.7</v>
      </c>
      <c r="J230" s="108" t="inlineStr">
        <is>
          <t>gross (price x shares)</t>
        </is>
      </c>
      <c r="K230" s="129" t="n"/>
      <c r="L230" s="111" t="n">
        <v>29.65</v>
      </c>
      <c r="M230" s="111" t="n">
        <v>29.65</v>
      </c>
      <c r="N230" s="108" t="inlineStr">
        <is>
          <t>Y</t>
        </is>
      </c>
      <c r="O230" s="112" t="n">
        <v>100</v>
      </c>
      <c r="P230" s="118" t="n"/>
      <c r="Q230" s="113" t="n">
        <v>6710.7</v>
      </c>
      <c r="R230" s="108" t="inlineStr">
        <is>
          <t>derived:price x shares upon listing</t>
        </is>
      </c>
      <c r="S230" s="114" t="n">
        <v>6.46</v>
      </c>
      <c r="T230" s="115" t="n">
        <v>1.07</v>
      </c>
      <c r="U230" s="116" t="n">
        <v>79.17</v>
      </c>
      <c r="V230" s="117" t="n">
        <v>120</v>
      </c>
      <c r="W230" s="112" t="n">
        <v>10</v>
      </c>
      <c r="X230" s="108" t="inlineStr">
        <is>
          <t>NO</t>
        </is>
      </c>
      <c r="Y230" s="113" t="n">
        <v>136.58</v>
      </c>
      <c r="Z230" s="113" t="n">
        <v>4606763</v>
      </c>
      <c r="AA230" s="112" t="n">
        <v>2.04</v>
      </c>
      <c r="AB230" s="108" t="inlineStr">
        <is>
          <t>Zhejiang Qixin Zhixing Information Technology Co., Ltd</t>
        </is>
      </c>
      <c r="AC230" s="108" t="inlineStr">
        <is>
          <t>zhejiang</t>
        </is>
      </c>
      <c r="AD230" s="118" t="n"/>
      <c r="AE230" s="119" t="n"/>
      <c r="AF230" s="119" t="n"/>
      <c r="AG230" s="119" t="n"/>
      <c r="AH230" s="119" t="n"/>
      <c r="AI230" s="120" t="n">
        <v>1.35</v>
      </c>
      <c r="AJ230" s="121" t="n">
        <v>-12.82</v>
      </c>
      <c r="AK230" s="121" t="n">
        <v>0.38</v>
      </c>
      <c r="AL230" s="121" t="n">
        <v>-0.34</v>
      </c>
      <c r="AM230" s="121" t="n">
        <v>-12.52</v>
      </c>
      <c r="AN230" s="123" t="n">
        <v>0.79</v>
      </c>
      <c r="AO230" s="112" t="n">
        <v>16.07</v>
      </c>
      <c r="AP230" s="121" t="n">
        <v>13.66</v>
      </c>
      <c r="AQ230" s="121" t="n">
        <v>59.36</v>
      </c>
      <c r="AR230" s="121" t="n">
        <v>171.5</v>
      </c>
      <c r="AS230" s="121" t="n">
        <v>30.37</v>
      </c>
      <c r="AT230" s="121" t="n">
        <v>82.79000000000001</v>
      </c>
      <c r="AU230" s="121" t="n">
        <v>211.42</v>
      </c>
      <c r="AV230" s="121" t="n">
        <v>12.12</v>
      </c>
      <c r="AW230" s="121" t="n">
        <v>74.64</v>
      </c>
      <c r="AX230" s="121" t="n">
        <v>178.92</v>
      </c>
      <c r="AY230" s="121" t="n">
        <v>98.40000000000001</v>
      </c>
      <c r="AZ230" s="121" t="n">
        <v>-15.28</v>
      </c>
      <c r="BA230" s="121" t="n">
        <v>-15.61</v>
      </c>
      <c r="BB230" s="108" t="inlineStr">
        <is>
          <t>HSTECH (Hang Seng TECH ETF)</t>
        </is>
      </c>
      <c r="BC230" s="121" t="n">
        <v>-93.68000000000001</v>
      </c>
      <c r="BD230" s="109" t="n">
        <v>46297</v>
      </c>
      <c r="BE230" s="110" t="n">
        <v>1458.5</v>
      </c>
      <c r="BF230" s="113" t="n">
        <v>-376.6</v>
      </c>
      <c r="BG230" s="108" t="inlineStr">
        <is>
          <t>N</t>
        </is>
      </c>
      <c r="BH230" s="108" t="inlineStr">
        <is>
          <t>n/m</t>
        </is>
      </c>
      <c r="BI230" s="122" t="n"/>
      <c r="BJ230" s="122" t="n"/>
      <c r="BK230" s="123" t="n">
        <v>4.6</v>
      </c>
      <c r="BL230" s="124">
        <f>IF('BBG Verify'!S230="","not filed; run on terminal",'BBG Verify'!S230)</f>
        <v/>
      </c>
      <c r="BM230" s="125" t="inlineStr">
        <is>
          <t>N</t>
        </is>
      </c>
      <c r="BN230" s="126">
        <f>IF('BBG Verify'!K230="","not filed; run on terminal",'BBG Verify'!K230)</f>
        <v/>
      </c>
      <c r="BO230" s="108" t="inlineStr">
        <is>
          <t>N/A</t>
        </is>
      </c>
      <c r="BP230" s="108" t="inlineStr">
        <is>
          <t>N/A</t>
        </is>
      </c>
      <c r="BQ230" s="108" t="inlineStr">
        <is>
          <t>N/A</t>
        </is>
      </c>
      <c r="BR230" s="108" t="inlineStr">
        <is>
          <t>N/A</t>
        </is>
      </c>
      <c r="BS230" s="108" t="inlineStr">
        <is>
          <t>N/A</t>
        </is>
      </c>
      <c r="BT230" s="108" t="inlineStr">
        <is>
          <t>N/A</t>
        </is>
      </c>
      <c r="BU230" s="125" t="inlineStr">
        <is>
          <t>Citigroup Global Markets Asia Limited; Huatai Financial Holdings (Hong Kong) Limited; CCB International Capital Limited</t>
        </is>
      </c>
      <c r="BV230" s="108" t="inlineStr">
        <is>
          <t>CCB International Capital Limited; Huatai Financial Holdings (Hong Kong) Limited; Citigroup Global Markets Asia Limited</t>
        </is>
      </c>
      <c r="BW230" s="108" t="inlineStr">
        <is>
          <t>Citigroup Global Markets Asia Limited; Huatai Financial Holdings (Hong Kong) Limited; CCB International Capital Limited; DBS Asia Capital Limited; Citigroup Global Markets Limited; London E14 5LB United Kingdom Huatai Financial Holdings (Hong Kong) Limited; CMB International Capital Limited; Goldlink Securities Limited; Soochow Securities International Brokerage Limited; Mouette Securities Company Limited</t>
        </is>
      </c>
      <c r="BX230" s="108" t="inlineStr">
        <is>
          <t>CCB International Capital Limited; Citigroup Global Markets Asia Limited; CMB International Capital Limited; DBS Asia Capital Limited; Goldlink Securities Limited; Huatai Financial Holdings (Hong Kong) Limited; Livermore Holdings Limited; Mouette Securities Company Limited; Soochow Securities International Brokerage Limited</t>
        </is>
      </c>
      <c r="BY230" s="127">
        <f>HYPERLINK("https://www1.hkexnews.hk/listedco/listconews/sehk/2023/1212/2023121200019.pdf","prospectus")</f>
        <v/>
      </c>
      <c r="BZ230" s="127">
        <f>HYPERLINK("https://www1.hkexnews.hk/listedco/listconews/sehk/2023/1219/2023121901176.pdf","allotment")</f>
        <v/>
      </c>
      <c r="CA230" s="119" t="n"/>
      <c r="CB230" s="128" t="n"/>
      <c r="CC230" s="108" t="inlineStr">
        <is>
          <t>P/E: loss-making at IPO, use P/S; greenshoe: no over-allotment option; range low: maximum offer price only, no floor published; greenshoe size: no over-allotment option; stabilising manager: filing states none appointed (allotment announcement: 'no stabilizing manager will be appointed' stated in the filing)</t>
        </is>
      </c>
    </row>
    <row r="231" ht="22" customHeight="1">
      <c r="A231" s="107" t="inlineStr">
        <is>
          <t>2516</t>
        </is>
      </c>
      <c r="B231" s="108" t="inlineStr">
        <is>
          <t>FAR INTL</t>
        </is>
      </c>
      <c r="C231" s="108" t="inlineStr">
        <is>
          <t>泛遠國際</t>
        </is>
      </c>
      <c r="D231" s="108" t="inlineStr">
        <is>
          <t>Industrials</t>
        </is>
      </c>
      <c r="E231" s="108" t="inlineStr">
        <is>
          <t>Logistics</t>
        </is>
      </c>
      <c r="F231" s="108" t="inlineStr">
        <is>
          <t>Air Freight &amp; Logistics</t>
        </is>
      </c>
      <c r="G231" s="108" t="inlineStr">
        <is>
          <t>Standard</t>
        </is>
      </c>
      <c r="H231" s="109" t="n">
        <v>45282</v>
      </c>
      <c r="I231" s="110" t="n">
        <v>126</v>
      </c>
      <c r="J231" s="108" t="inlineStr">
        <is>
          <t>gross (price x shares)</t>
        </is>
      </c>
      <c r="K231" s="129" t="n"/>
      <c r="L231" s="111" t="n">
        <v>0.9</v>
      </c>
      <c r="M231" s="111" t="n">
        <v>0.9</v>
      </c>
      <c r="N231" s="108" t="inlineStr">
        <is>
          <t>Y</t>
        </is>
      </c>
      <c r="O231" s="112" t="n">
        <v>100</v>
      </c>
      <c r="P231" s="118" t="n"/>
      <c r="Q231" s="113" t="n">
        <v>702</v>
      </c>
      <c r="R231" s="108" t="inlineStr">
        <is>
          <t>derived:price x shares upon listing</t>
        </is>
      </c>
      <c r="S231" s="114" t="n">
        <v>14.49</v>
      </c>
      <c r="T231" s="115" t="n">
        <v>1.04</v>
      </c>
      <c r="U231" s="116" t="n">
        <v>39.68</v>
      </c>
      <c r="V231" s="117" t="n">
        <v>130</v>
      </c>
      <c r="W231" s="112" t="n">
        <v>10</v>
      </c>
      <c r="X231" s="108" t="inlineStr">
        <is>
          <t>NO</t>
        </is>
      </c>
      <c r="Y231" s="113" t="n">
        <v>76</v>
      </c>
      <c r="Z231" s="113" t="n">
        <v>84448000</v>
      </c>
      <c r="AA231" s="112" t="n">
        <v>10.83</v>
      </c>
      <c r="AB231" s="108" t="inlineStr">
        <is>
          <t>Liu Liyun; Guo Shaojun; Yang Yingwu</t>
        </is>
      </c>
      <c r="AC231" s="108" t="inlineStr">
        <is>
          <t>liu-liyun;guo-shaojun;yang-yingwu</t>
        </is>
      </c>
      <c r="AD231" s="118" t="n"/>
      <c r="AE231" s="108" t="inlineStr">
        <is>
          <t>lapsed (no over-allocation)</t>
        </is>
      </c>
      <c r="AF231" s="119" t="n"/>
      <c r="AG231" s="108" t="inlineStr">
        <is>
          <t>Grand Moore Capital Limited</t>
        </is>
      </c>
      <c r="AH231" s="108" t="inlineStr">
        <is>
          <t>Grand Moore</t>
        </is>
      </c>
      <c r="AI231" s="120" t="n">
        <v>28.89</v>
      </c>
      <c r="AJ231" s="121" t="n">
        <v>11.11</v>
      </c>
      <c r="AK231" s="121" t="n">
        <v>-3</v>
      </c>
      <c r="AL231" s="121" t="n">
        <v>44.44</v>
      </c>
      <c r="AM231" s="121" t="n">
        <v>-23.08</v>
      </c>
      <c r="AN231" s="123" t="n">
        <v>2.65</v>
      </c>
      <c r="AO231" s="112" t="n">
        <v>31.54</v>
      </c>
      <c r="AP231" s="121" t="n">
        <v>6.67</v>
      </c>
      <c r="AQ231" s="121" t="n">
        <v>-7.78</v>
      </c>
      <c r="AR231" s="121" t="n">
        <v>-36.67</v>
      </c>
      <c r="AS231" s="121" t="n">
        <v>-4</v>
      </c>
      <c r="AT231" s="121" t="n">
        <v>-17</v>
      </c>
      <c r="AU231" s="121" t="n">
        <v>-43</v>
      </c>
      <c r="AV231" s="121" t="n">
        <v>6.82</v>
      </c>
      <c r="AW231" s="121" t="n">
        <v>-4.31</v>
      </c>
      <c r="AX231" s="121" t="n">
        <v>-37.02</v>
      </c>
      <c r="AY231" s="121" t="n">
        <v>-16.51</v>
      </c>
      <c r="AZ231" s="121" t="n">
        <v>-3.47</v>
      </c>
      <c r="BA231" s="121" t="n">
        <v>-0.49</v>
      </c>
      <c r="BB231" s="108" t="inlineStr">
        <is>
          <t>Hang Seng Commerce &amp; Industry sub-index</t>
        </is>
      </c>
      <c r="BC231" s="121" t="n">
        <v>-26.67</v>
      </c>
      <c r="BD231" s="109" t="n">
        <v>46297</v>
      </c>
      <c r="BE231" s="110" t="n">
        <v>1377.2</v>
      </c>
      <c r="BF231" s="113" t="n">
        <v>28.4</v>
      </c>
      <c r="BG231" s="108" t="inlineStr">
        <is>
          <t>Y</t>
        </is>
      </c>
      <c r="BH231" s="123" t="n">
        <v>24.7</v>
      </c>
      <c r="BI231" s="122" t="n"/>
      <c r="BJ231" s="123" t="n">
        <v>115.1</v>
      </c>
      <c r="BK231" s="123" t="n">
        <v>0.5</v>
      </c>
      <c r="BL231" s="124">
        <f>IF('BBG Verify'!S231="","not filed; run on terminal",'BBG Verify'!S231)</f>
        <v/>
      </c>
      <c r="BM231" s="125" t="inlineStr">
        <is>
          <t>N</t>
        </is>
      </c>
      <c r="BN231" s="126">
        <f>IF('BBG Verify'!K231="","not filed; run on terminal",'BBG Verify'!K231)</f>
        <v/>
      </c>
      <c r="BO231" s="108" t="inlineStr">
        <is>
          <t>N/A</t>
        </is>
      </c>
      <c r="BP231" s="108" t="inlineStr">
        <is>
          <t>N/A</t>
        </is>
      </c>
      <c r="BQ231" s="108" t="inlineStr">
        <is>
          <t>N/A</t>
        </is>
      </c>
      <c r="BR231" s="108" t="inlineStr">
        <is>
          <t>N/A</t>
        </is>
      </c>
      <c r="BS231" s="108" t="inlineStr">
        <is>
          <t>N/A</t>
        </is>
      </c>
      <c r="BT231" s="108" t="inlineStr">
        <is>
          <t>N/A</t>
        </is>
      </c>
      <c r="BU231" s="125" t="inlineStr">
        <is>
          <t>Grand Moore Capital Limited</t>
        </is>
      </c>
      <c r="BV231" s="108" t="inlineStr">
        <is>
          <t>Grand Moore Capital Limited</t>
        </is>
      </c>
      <c r="BW231" s="108" t="inlineStr">
        <is>
          <t>Grand Moore Capital Limited; Valuable Capital Limited</t>
        </is>
      </c>
      <c r="BX231" s="108" t="inlineStr">
        <is>
          <t>CMBC Securities Company Limited; China PA Securities (Hong Kong) Company Limited; Grand Moore Capital Limited; ICBC International Securities Limited; Shenwan Hongyuan Securities (H.K.) Limited; Valuable Capital Limited</t>
        </is>
      </c>
      <c r="BY231" s="127">
        <f>HYPERLINK("https://www1.hkexnews.hk/listedco/listconews/sehk/2023/1212/2023121200092.htm","prospectus")</f>
        <v/>
      </c>
      <c r="BZ231" s="127">
        <f>HYPERLINK("https://www1.hkexnews.hk/listedco/listconews/sehk/2023/1221/2023122101228.pdf","allotment")</f>
        <v/>
      </c>
      <c r="CA231" s="127">
        <f>HYPERLINK("https://www1.hkexnews.hk/listedco/listconews/sehk/2024/0118/2024011800257.pdf","stabilisation")</f>
        <v/>
      </c>
      <c r="CB231" s="128" t="n"/>
      <c r="CC231" s="108" t="inlineStr">
        <is>
          <t>greenshoe: outcome published; expiry date not in the notice; price range: fixed-price offering (no indicative range); range low: maximum offer price only, no floor published; greenshoe size: no over-allotment option</t>
        </is>
      </c>
    </row>
    <row r="232" ht="22" customHeight="1">
      <c r="A232" s="107" t="inlineStr">
        <is>
          <t>2489</t>
        </is>
      </c>
      <c r="B232" s="108" t="inlineStr">
        <is>
          <t>PERSISTENCE RES</t>
        </is>
      </c>
      <c r="C232" s="108" t="inlineStr">
        <is>
          <t>集海黃金</t>
        </is>
      </c>
      <c r="D232" s="108" t="inlineStr">
        <is>
          <t>Materials/Energy</t>
        </is>
      </c>
      <c r="E232" s="108" t="inlineStr">
        <is>
          <t>Mining / metals</t>
        </is>
      </c>
      <c r="F232" s="108" t="inlineStr">
        <is>
          <t>Gold &amp; Precious Metals</t>
        </is>
      </c>
      <c r="G232" s="108" t="inlineStr">
        <is>
          <t>Standard</t>
        </is>
      </c>
      <c r="H232" s="109" t="n">
        <v>45282</v>
      </c>
      <c r="I232" s="110" t="n">
        <v>275</v>
      </c>
      <c r="J232" s="108" t="inlineStr">
        <is>
          <t>gross (price x shares)</t>
        </is>
      </c>
      <c r="K232" s="129" t="n"/>
      <c r="L232" s="111" t="n">
        <v>0.75</v>
      </c>
      <c r="M232" s="111" t="n">
        <v>0.55</v>
      </c>
      <c r="N232" s="108" t="inlineStr">
        <is>
          <t>N</t>
        </is>
      </c>
      <c r="O232" s="112" t="n">
        <v>73.3</v>
      </c>
      <c r="P232" s="118" t="n"/>
      <c r="Q232" s="113" t="n">
        <v>1100</v>
      </c>
      <c r="R232" s="108" t="inlineStr">
        <is>
          <t>derived:price x shares upon listing</t>
        </is>
      </c>
      <c r="S232" s="114" t="n">
        <v>8.76</v>
      </c>
      <c r="T232" s="115" t="n">
        <v>1.03</v>
      </c>
      <c r="U232" s="116" t="n">
        <v>39.6</v>
      </c>
      <c r="V232" s="117" t="n">
        <v>145</v>
      </c>
      <c r="W232" s="112" t="n">
        <v>10</v>
      </c>
      <c r="X232" s="108" t="inlineStr">
        <is>
          <t>NO</t>
        </is>
      </c>
      <c r="Y232" s="113" t="n">
        <v>166.1</v>
      </c>
      <c r="Z232" s="113" t="n">
        <v>302000000</v>
      </c>
      <c r="AA232" s="112" t="n">
        <v>15.1</v>
      </c>
      <c r="AB232" s="108" t="inlineStr">
        <is>
          <t>Dongfang Gold Industry (Hong Kong) Limited</t>
        </is>
      </c>
      <c r="AC232" s="108" t="inlineStr">
        <is>
          <t>dongfang</t>
        </is>
      </c>
      <c r="AD232" s="118" t="n"/>
      <c r="AE232" s="108" t="inlineStr">
        <is>
          <t>lapsed</t>
        </is>
      </c>
      <c r="AF232" s="119" t="n"/>
      <c r="AG232" s="119" t="n"/>
      <c r="AH232" s="119" t="n"/>
      <c r="AI232" s="130" t="n"/>
      <c r="AJ232" s="121" t="n">
        <v>1.82</v>
      </c>
      <c r="AK232" s="121" t="n">
        <v>-3</v>
      </c>
      <c r="AL232" s="121" t="n">
        <v>-7.27</v>
      </c>
      <c r="AM232" s="121" t="n">
        <v>9.800000000000001</v>
      </c>
      <c r="AN232" s="123" t="n">
        <v>2.23</v>
      </c>
      <c r="AO232" s="112" t="n">
        <v>13.73</v>
      </c>
      <c r="AP232" s="121" t="n">
        <v>0</v>
      </c>
      <c r="AQ232" s="121" t="n">
        <v>1.82</v>
      </c>
      <c r="AR232" s="121" t="n">
        <v>12.73</v>
      </c>
      <c r="AS232" s="121" t="n">
        <v>-1.79</v>
      </c>
      <c r="AT232" s="121" t="n">
        <v>0</v>
      </c>
      <c r="AU232" s="121" t="n">
        <v>10.71</v>
      </c>
      <c r="AV232" s="121" t="n">
        <v>0.15</v>
      </c>
      <c r="AW232" s="121" t="n">
        <v>5.29</v>
      </c>
      <c r="AX232" s="121" t="n">
        <v>12.38</v>
      </c>
      <c r="AY232" s="121" t="n">
        <v>0.49</v>
      </c>
      <c r="AZ232" s="121" t="n">
        <v>-3.47</v>
      </c>
      <c r="BA232" s="121" t="n">
        <v>-0.49</v>
      </c>
      <c r="BB232" s="108" t="inlineStr">
        <is>
          <t>Hang Seng Commerce &amp; Industry sub-index</t>
        </is>
      </c>
      <c r="BC232" s="121" t="n">
        <v>47.27</v>
      </c>
      <c r="BD232" s="109" t="n">
        <v>46297</v>
      </c>
      <c r="BE232" s="110" t="n">
        <v>460.3</v>
      </c>
      <c r="BF232" s="113" t="n">
        <v>133.1</v>
      </c>
      <c r="BG232" s="108" t="inlineStr">
        <is>
          <t>Y</t>
        </is>
      </c>
      <c r="BH232" s="123" t="n">
        <v>8.300000000000001</v>
      </c>
      <c r="BI232" s="122" t="n"/>
      <c r="BJ232" s="123" t="n">
        <v>14</v>
      </c>
      <c r="BK232" s="123" t="n">
        <v>2.4</v>
      </c>
      <c r="BL232" s="124">
        <f>IF('BBG Verify'!S232="","not filed; run on terminal",'BBG Verify'!S232)</f>
        <v/>
      </c>
      <c r="BM232" s="125" t="inlineStr">
        <is>
          <t>N</t>
        </is>
      </c>
      <c r="BN232" s="126">
        <f>IF('BBG Verify'!K232="","not filed; run on terminal",'BBG Verify'!K232)</f>
        <v/>
      </c>
      <c r="BO232" s="108" t="inlineStr">
        <is>
          <t>N/A</t>
        </is>
      </c>
      <c r="BP232" s="108" t="inlineStr">
        <is>
          <t>N/A</t>
        </is>
      </c>
      <c r="BQ232" s="108" t="inlineStr">
        <is>
          <t>N/A</t>
        </is>
      </c>
      <c r="BR232" s="108" t="inlineStr">
        <is>
          <t>N/A</t>
        </is>
      </c>
      <c r="BS232" s="108" t="inlineStr">
        <is>
          <t>N/A</t>
        </is>
      </c>
      <c r="BT232" s="108" t="inlineStr">
        <is>
          <t>N/A</t>
        </is>
      </c>
      <c r="BU232" s="125" t="inlineStr">
        <is>
          <t>Innovax Capital Limited</t>
        </is>
      </c>
      <c r="BV232" s="108" t="inlineStr">
        <is>
          <t>Innovax Capital Limited</t>
        </is>
      </c>
      <c r="BW232" s="108" t="inlineStr">
        <is>
          <t>Innovax Securities Limited; and CMIs Innovax Securities Limited; CCB International Capital Limited; BOCOM International Securities Limited; SPDB International Capital Limited; Citrus Securities Limited; Quam Securities Limited; Valuable Capital Limited; CMBC Securities Company Limited; First Shanghai Securities Limited; and CMI ABCI Capital Limited</t>
        </is>
      </c>
      <c r="BX232" s="108" t="inlineStr">
        <is>
          <t>ABCI Securities Company Limited; Astrum Capital Management Limited; Beta International Securities Limited; CCB International Capital Limited; Citrus Securities Limited; CMBC Securities Company Limited; China Sunrise Securities (International) Limited; Elstone Securities Limited; Eddid Securities and Futures Limited; First Shanghai Securities Limited; Futu Securities International (Hong Kong) Limited; Innovax Securities Limited</t>
        </is>
      </c>
      <c r="BY232" s="127">
        <f>HYPERLINK("https://www1.hkexnews.hk/listedco/listconews/sehk/2023/1214/2023121400088.htm","prospectus")</f>
        <v/>
      </c>
      <c r="BZ232" s="127">
        <f>HYPERLINK("https://www1.hkexnews.hk/listedco/listconews/sehk/2023/1221/2023122101236.pdf","allotment")</f>
        <v/>
      </c>
      <c r="CA232" s="127">
        <f>HYPERLINK("https://www1.hkexnews.hk/listedco/listconews/sehk/2024/0119/2024011900977.pdf","stabilisation")</f>
        <v/>
      </c>
      <c r="CB232" s="128" t="n"/>
      <c r="CC232" s="108" t="inlineStr">
        <is>
          <t>greenshoe: outcome published; expiry date not in the notice; range low: maximum offer price only, no floor published; greenshoe size: no over-allotment option; stabilising manager: not named in the allotment notice or prospectus glossary; grey market: close not verified in the captured sources; historical press archives may hold one</t>
        </is>
      </c>
    </row>
    <row r="233" ht="22" customHeight="1">
      <c r="A233" s="107" t="inlineStr">
        <is>
          <t>2511</t>
        </is>
      </c>
      <c r="B233" s="108" t="inlineStr">
        <is>
          <t>HIGHTIDE-B</t>
        </is>
      </c>
      <c r="C233" s="108" t="inlineStr">
        <is>
          <t>君聖泰醫藥－Ｂ</t>
        </is>
      </c>
      <c r="D233" s="108" t="inlineStr">
        <is>
          <t>Healthcare</t>
        </is>
      </c>
      <c r="E233" s="108" t="inlineStr">
        <is>
          <t>Biotech pre-revenue (18A)</t>
        </is>
      </c>
      <c r="F233" s="108" t="inlineStr">
        <is>
          <t>Biotechnology - Pharmaceuticals</t>
        </is>
      </c>
      <c r="G233" s="108" t="inlineStr">
        <is>
          <t>18A</t>
        </is>
      </c>
      <c r="H233" s="109" t="n">
        <v>45282</v>
      </c>
      <c r="I233" s="110" t="n">
        <v>278.2</v>
      </c>
      <c r="J233" s="108" t="inlineStr">
        <is>
          <t>gross (price x shares)</t>
        </is>
      </c>
      <c r="K233" s="129" t="n"/>
      <c r="L233" s="111" t="n">
        <v>11.5</v>
      </c>
      <c r="M233" s="111" t="n">
        <v>11.5</v>
      </c>
      <c r="N233" s="108" t="inlineStr">
        <is>
          <t>Y</t>
        </is>
      </c>
      <c r="O233" s="112" t="n">
        <v>100</v>
      </c>
      <c r="P233" s="118" t="n"/>
      <c r="Q233" s="113" t="n">
        <v>5919.9</v>
      </c>
      <c r="R233" s="108" t="inlineStr">
        <is>
          <t>derived:price x shares upon listing</t>
        </is>
      </c>
      <c r="S233" s="114" t="n">
        <v>32.22</v>
      </c>
      <c r="T233" s="115" t="n">
        <v>1.25</v>
      </c>
      <c r="U233" s="116" t="n">
        <v>39.21</v>
      </c>
      <c r="V233" s="117" t="n">
        <v>116</v>
      </c>
      <c r="W233" s="112" t="n">
        <v>30</v>
      </c>
      <c r="X233" s="108" t="inlineStr">
        <is>
          <t>YES</t>
        </is>
      </c>
      <c r="Y233" s="113" t="n">
        <v>169.12</v>
      </c>
      <c r="Z233" s="113" t="n">
        <v>14707533</v>
      </c>
      <c r="AA233" s="112" t="n">
        <v>2.86</v>
      </c>
      <c r="AB233" s="108" t="inlineStr">
        <is>
          <t>Cangzhou Chuangrong Equity Investment Fund Co., Ltd</t>
        </is>
      </c>
      <c r="AC233" s="108" t="inlineStr">
        <is>
          <t>cangzhou</t>
        </is>
      </c>
      <c r="AD233" s="118" t="n"/>
      <c r="AE233" s="119" t="n"/>
      <c r="AF233" s="119" t="n"/>
      <c r="AG233" s="119" t="n"/>
      <c r="AH233" s="119" t="n"/>
      <c r="AI233" s="120" t="n">
        <v>3.48</v>
      </c>
      <c r="AJ233" s="121" t="n">
        <v>7.65</v>
      </c>
      <c r="AK233" s="121" t="n">
        <v>-1.33</v>
      </c>
      <c r="AL233" s="121" t="n">
        <v>3.65</v>
      </c>
      <c r="AM233" s="121" t="n">
        <v>3.86</v>
      </c>
      <c r="AN233" s="123" t="n">
        <v>0.7</v>
      </c>
      <c r="AO233" s="112" t="n">
        <v>6.38</v>
      </c>
      <c r="AP233" s="121" t="n">
        <v>1.91</v>
      </c>
      <c r="AQ233" s="121" t="n">
        <v>5.22</v>
      </c>
      <c r="AR233" s="121" t="n">
        <v>-50.61</v>
      </c>
      <c r="AS233" s="121" t="n">
        <v>-5.33</v>
      </c>
      <c r="AT233" s="121" t="n">
        <v>-2.26</v>
      </c>
      <c r="AU233" s="121" t="n">
        <v>-54.12</v>
      </c>
      <c r="AV233" s="121" t="n">
        <v>0.98</v>
      </c>
      <c r="AW233" s="121" t="n">
        <v>13.58</v>
      </c>
      <c r="AX233" s="121" t="n">
        <v>-35.04</v>
      </c>
      <c r="AY233" s="121" t="n">
        <v>4.87</v>
      </c>
      <c r="AZ233" s="121" t="n">
        <v>-8.359999999999999</v>
      </c>
      <c r="BA233" s="121" t="n">
        <v>-7.13</v>
      </c>
      <c r="BB233" s="108" t="inlineStr">
        <is>
          <t>China Biotech ETF (HS biotech proxy)</t>
        </is>
      </c>
      <c r="BC233" s="121" t="n">
        <v>-69.56999999999999</v>
      </c>
      <c r="BD233" s="109" t="n">
        <v>46297</v>
      </c>
      <c r="BE233" s="110" t="n">
        <v>0</v>
      </c>
      <c r="BF233" s="113" t="n">
        <v>-209.2</v>
      </c>
      <c r="BG233" s="108" t="inlineStr">
        <is>
          <t>N</t>
        </is>
      </c>
      <c r="BH233" s="108" t="inlineStr">
        <is>
          <t>n/m</t>
        </is>
      </c>
      <c r="BI233" s="122" t="n"/>
      <c r="BJ233" s="122" t="n"/>
      <c r="BK233" s="108" t="inlineStr">
        <is>
          <t>pre-rev</t>
        </is>
      </c>
      <c r="BL233" s="124">
        <f>IF('BBG Verify'!S233="","not filed; run on terminal",'BBG Verify'!S233)</f>
        <v/>
      </c>
      <c r="BM233" s="125" t="inlineStr">
        <is>
          <t>N</t>
        </is>
      </c>
      <c r="BN233" s="126">
        <f>IF('BBG Verify'!K233="","not filed; run on terminal",'BBG Verify'!K233)</f>
        <v/>
      </c>
      <c r="BO233" s="108" t="inlineStr">
        <is>
          <t>N/A</t>
        </is>
      </c>
      <c r="BP233" s="108" t="inlineStr">
        <is>
          <t>N/A</t>
        </is>
      </c>
      <c r="BQ233" s="108" t="inlineStr">
        <is>
          <t>N/A</t>
        </is>
      </c>
      <c r="BR233" s="108" t="inlineStr">
        <is>
          <t>N/A</t>
        </is>
      </c>
      <c r="BS233" s="108" t="inlineStr">
        <is>
          <t>N/A</t>
        </is>
      </c>
      <c r="BT233" s="108" t="inlineStr">
        <is>
          <t>N/A</t>
        </is>
      </c>
      <c r="BU233" s="125" t="inlineStr">
        <is>
          <t>UBS Securities Hong Kong Limited; Huatai Financial Holdings (Hong Kong) Limited</t>
        </is>
      </c>
      <c r="BV233" s="108" t="inlineStr">
        <is>
          <t>UBS Securities Hong Kong Limited; Huatai Financial Holdings (Hong Kong) Limited</t>
        </is>
      </c>
      <c r="BW233" s="108" t="inlineStr">
        <is>
          <t>sa nd Joint Lead Managers UBS AG Hon g Kong Branch; CapitalM arket Interme diarie s UBS AG Hon g Kong Branch</t>
        </is>
      </c>
      <c r="BX233" s="108" t="inlineStr">
        <is>
          <t>Beta International Securities Limited; CCB International Capital Limited; CLSA Limited; CMB International Capital Limited; Fosun International Securities Limited; Goldlink Securities Limited; Huatai Financial Holdings (Hong Kong) Limited; I Win Securities Limited; Shenwan Hongyuan Securities (H.K.) Limited; UBS AG Hong Kong Branch</t>
        </is>
      </c>
      <c r="BY233" s="127">
        <f>HYPERLINK("https://www1.hkexnews.hk/listedco/listconews/sehk/2023/1214/2023121400045.pdf","prospectus")</f>
        <v/>
      </c>
      <c r="BZ233" s="127">
        <f>HYPERLINK("https://www1.hkexnews.hk/listedco/listconews/sehk/2023/1221/2023122101298.pdf","allotment")</f>
        <v/>
      </c>
      <c r="CA233" s="119" t="n"/>
      <c r="CB233" s="128" t="n"/>
      <c r="CC233" s="108" t="inlineStr">
        <is>
          <t>P/E: loss-making at IPO, use P/S; greenshoe: no over-allotment option; range low: maximum offer price only, no floor published; sponsor: English name not in the filing; AAStocks 保薦人 shown; market cap: prospectus 'market capitalisation' line is the listing-rule threshold, not the issuer's figure; rejected; greenshoe size: no over-allotment option; P/S: pre-revenue issuer, no sales multiple; stabilising manager: no over-allotment option, so none appointed</t>
        </is>
      </c>
    </row>
    <row r="234" ht="22" customHeight="1">
      <c r="A234" s="107" t="inlineStr">
        <is>
          <t>6911</t>
        </is>
      </c>
      <c r="B234" s="108" t="inlineStr">
        <is>
          <t>LANCANG TEA</t>
        </is>
      </c>
      <c r="C234" s="108" t="inlineStr">
        <is>
          <t>瀾滄古茶</t>
        </is>
      </c>
      <c r="D234" s="108" t="inlineStr">
        <is>
          <t>Consumer</t>
        </is>
      </c>
      <c r="E234" s="108" t="inlineStr">
        <is>
          <t>Beverages / packaged food</t>
        </is>
      </c>
      <c r="F234" s="108" t="inlineStr">
        <is>
          <t>Beverages (Non-alcoholic)</t>
        </is>
      </c>
      <c r="G234" s="108" t="inlineStr">
        <is>
          <t>Standard</t>
        </is>
      </c>
      <c r="H234" s="109" t="n">
        <v>45282</v>
      </c>
      <c r="I234" s="110" t="n">
        <v>224.7</v>
      </c>
      <c r="J234" s="108" t="inlineStr">
        <is>
          <t>gross (price x shares)</t>
        </is>
      </c>
      <c r="K234" s="111" t="n">
        <v>10.4</v>
      </c>
      <c r="L234" s="111" t="n">
        <v>14.16</v>
      </c>
      <c r="M234" s="111" t="n">
        <v>10.7</v>
      </c>
      <c r="N234" s="108" t="inlineStr">
        <is>
          <t>N</t>
        </is>
      </c>
      <c r="O234" s="112" t="n">
        <v>75.59999999999999</v>
      </c>
      <c r="P234" s="112" t="n">
        <v>8</v>
      </c>
      <c r="Q234" s="113" t="n">
        <v>898.8</v>
      </c>
      <c r="R234" s="108" t="inlineStr">
        <is>
          <t>derived:price x shares upon listing</t>
        </is>
      </c>
      <c r="S234" s="114" t="n">
        <v>13.23</v>
      </c>
      <c r="T234" s="115" t="n">
        <v>1.32</v>
      </c>
      <c r="U234" s="116" t="n">
        <v>50.31</v>
      </c>
      <c r="V234" s="117" t="n">
        <v>142</v>
      </c>
      <c r="W234" s="112" t="n">
        <v>10</v>
      </c>
      <c r="X234" s="108" t="inlineStr">
        <is>
          <t>NO</t>
        </is>
      </c>
      <c r="Y234" s="113" t="n">
        <v>111.65</v>
      </c>
      <c r="Z234" s="113" t="n">
        <v>10434900</v>
      </c>
      <c r="AA234" s="112" t="n">
        <v>12.42</v>
      </c>
      <c r="AB234" s="108" t="inlineStr">
        <is>
          <t>Harvest; ROSY DAY INVESTMENTS LIMITED; Wang Chunyu; Lancang Green Resource Investment Co., Ltd; China Ocean View Group Limited</t>
        </is>
      </c>
      <c r="AC234" s="108" t="inlineStr">
        <is>
          <t>harvest;rosy;wang-chunyu;lancang;ocean</t>
        </is>
      </c>
      <c r="AD234" s="112" t="n">
        <v>2.6</v>
      </c>
      <c r="AE234" s="108" t="inlineStr">
        <is>
          <t>lapsed</t>
        </is>
      </c>
      <c r="AF234" s="119" t="n"/>
      <c r="AG234" s="119" t="n"/>
      <c r="AH234" s="119" t="n"/>
      <c r="AI234" s="130" t="n"/>
      <c r="AJ234" s="121" t="n">
        <v>-18.69</v>
      </c>
      <c r="AK234" s="121" t="n">
        <v>-3</v>
      </c>
      <c r="AL234" s="121" t="n">
        <v>0</v>
      </c>
      <c r="AM234" s="121" t="n">
        <v>-18.69</v>
      </c>
      <c r="AN234" s="123" t="n">
        <v>0.99</v>
      </c>
      <c r="AO234" s="112" t="n">
        <v>30.28</v>
      </c>
      <c r="AP234" s="121" t="n">
        <v>0</v>
      </c>
      <c r="AQ234" s="121" t="n">
        <v>-14.77</v>
      </c>
      <c r="AR234" s="121" t="n">
        <v>2.8</v>
      </c>
      <c r="AS234" s="121" t="n">
        <v>22.99</v>
      </c>
      <c r="AT234" s="121" t="n">
        <v>4.82</v>
      </c>
      <c r="AU234" s="121" t="n">
        <v>26.43</v>
      </c>
      <c r="AV234" s="121" t="n">
        <v>0.15</v>
      </c>
      <c r="AW234" s="121" t="n">
        <v>-11.3</v>
      </c>
      <c r="AX234" s="121" t="n">
        <v>2.45</v>
      </c>
      <c r="AY234" s="121" t="n">
        <v>5.31</v>
      </c>
      <c r="AZ234" s="121" t="n">
        <v>-3.47</v>
      </c>
      <c r="BA234" s="121" t="n">
        <v>-0.49</v>
      </c>
      <c r="BB234" s="108" t="inlineStr">
        <is>
          <t>Hang Seng Commerce &amp; Industry sub-index</t>
        </is>
      </c>
      <c r="BC234" s="121" t="n">
        <v>-67.76000000000001</v>
      </c>
      <c r="BD234" s="109" t="n">
        <v>46297</v>
      </c>
      <c r="BE234" s="110" t="n">
        <v>509.2</v>
      </c>
      <c r="BF234" s="113" t="n">
        <v>77.5</v>
      </c>
      <c r="BG234" s="108" t="inlineStr">
        <is>
          <t>Y</t>
        </is>
      </c>
      <c r="BH234" s="123" t="n">
        <v>11.6</v>
      </c>
      <c r="BI234" s="122" t="n"/>
      <c r="BJ234" s="122" t="n"/>
      <c r="BK234" s="123" t="n">
        <v>1.8</v>
      </c>
      <c r="BL234" s="124">
        <f>IF('BBG Verify'!S234="","not filed; run on terminal",'BBG Verify'!S234)</f>
        <v/>
      </c>
      <c r="BM234" s="125" t="inlineStr">
        <is>
          <t>N</t>
        </is>
      </c>
      <c r="BN234" s="126">
        <f>IF('BBG Verify'!K234="","not filed; run on terminal",'BBG Verify'!K234)</f>
        <v/>
      </c>
      <c r="BO234" s="108" t="inlineStr">
        <is>
          <t>N/A</t>
        </is>
      </c>
      <c r="BP234" s="108" t="inlineStr">
        <is>
          <t>N/A</t>
        </is>
      </c>
      <c r="BQ234" s="108" t="inlineStr">
        <is>
          <t>N/A</t>
        </is>
      </c>
      <c r="BR234" s="108" t="inlineStr">
        <is>
          <t>N/A</t>
        </is>
      </c>
      <c r="BS234" s="108" t="inlineStr">
        <is>
          <t>N/A</t>
        </is>
      </c>
      <c r="BT234" s="108" t="inlineStr">
        <is>
          <t>N/A</t>
        </is>
      </c>
      <c r="BU234" s="125" t="inlineStr">
        <is>
          <t>China Securities (International) Corporate Finance Company Limited; China Merchants Securities (HK) Co., Limited</t>
        </is>
      </c>
      <c r="BV234" s="108" t="inlineStr">
        <is>
          <t>China Securities (International) Corporate Finance Company Limited; China Merchants Securities (HK) Company Limited</t>
        </is>
      </c>
      <c r="BW234" s="108" t="inlineStr">
        <is>
          <t>China Securities (International) Corporate Finance Company Limited; China Merchants Securities (HK) Co., Limited; ABCI Capital Limited; CMB International Capital Limited; Haitong International Securities Company Limited; Zhongtai International Securities Limited; Eddid Securities and Futures Limited; ICBC International Securities Limited; Valuable Capital Limited; Futu Securities International (Hong Kong) Limited; Shenwan Hongyuan Securities (H.K.) Limited</t>
        </is>
      </c>
      <c r="BX234" s="108" t="inlineStr">
        <is>
          <t>ABCI Securities Company Limited; CMB International Capital Limited; China Merchants Securities (HK) Company Limited; China Securities (International) Corporate Finance Company Limited; Eddid Securities and Futures Limited; Futu Securities International (Hong Kong) Limited; Haitong International Securities Company Limited; ICBC International Securities Limited; Livermore Holdings Limited; Shenwan Hongyuan Securities (H.K.) Limited; Valuable Capital Limited; Zhongtai International Securities Limited</t>
        </is>
      </c>
      <c r="BY234" s="127">
        <f>HYPERLINK("https://www1.hkexnews.hk/listedco/listconews/sehk/2023/1214/2023121400011.pdf","prospectus")</f>
        <v/>
      </c>
      <c r="BZ234" s="127">
        <f>HYPERLINK("https://www1.hkexnews.hk/listedco/listconews/sehk/2023/1221/2023122101314.pdf","allotment")</f>
        <v/>
      </c>
      <c r="CA234" s="127">
        <f>HYPERLINK("https://www1.hkexnews.hk/listedco/listconews/sehk/2024/0118/2024011800501.pdf","stabilisation")</f>
        <v/>
      </c>
      <c r="CB234" s="128" t="n"/>
      <c r="CC234" s="108" t="inlineStr">
        <is>
          <t>greenshoe: outcome published; expiry date not in the notice; stabilising manager: not named in the allotment notice or prospectus glossary; grey market: close not verified in the captured sources; historical press archives may hold one</t>
        </is>
      </c>
    </row>
    <row r="235" ht="22" customHeight="1">
      <c r="A235" s="107" t="inlineStr">
        <is>
          <t>2149</t>
        </is>
      </c>
      <c r="B235" s="108" t="inlineStr">
        <is>
          <t>BATELAB</t>
        </is>
      </c>
      <c r="C235" s="108" t="inlineStr">
        <is>
          <t>貝克微</t>
        </is>
      </c>
      <c r="D235" s="108" t="inlineStr">
        <is>
          <t>Tech/AI</t>
        </is>
      </c>
      <c r="E235" s="108" t="inlineStr">
        <is>
          <t>Analog / power semiconductors</t>
        </is>
      </c>
      <c r="F235" s="108" t="inlineStr">
        <is>
          <t>Semiconductors &amp; Semiconductor Equipment</t>
        </is>
      </c>
      <c r="G235" s="108" t="inlineStr">
        <is>
          <t>Standard</t>
        </is>
      </c>
      <c r="H235" s="109" t="n">
        <v>45288</v>
      </c>
      <c r="I235" s="110" t="n">
        <v>412.1</v>
      </c>
      <c r="J235" s="108" t="inlineStr">
        <is>
          <t>gross (price x shares)</t>
        </is>
      </c>
      <c r="K235" s="111" t="n">
        <v>27.47</v>
      </c>
      <c r="L235" s="111" t="n">
        <v>38.45</v>
      </c>
      <c r="M235" s="111" t="n">
        <v>27.47</v>
      </c>
      <c r="N235" s="108" t="inlineStr">
        <is>
          <t>N</t>
        </is>
      </c>
      <c r="O235" s="112" t="n">
        <v>71.40000000000001</v>
      </c>
      <c r="P235" s="112" t="n">
        <v>0</v>
      </c>
      <c r="Q235" s="113" t="n">
        <v>1648.2</v>
      </c>
      <c r="R235" s="108" t="inlineStr">
        <is>
          <t>derived:price x shares upon listing</t>
        </is>
      </c>
      <c r="S235" s="114" t="n">
        <v>1.34</v>
      </c>
      <c r="T235" s="115" t="n">
        <v>1.36</v>
      </c>
      <c r="U235" s="116" t="n">
        <v>0</v>
      </c>
      <c r="V235" s="117" t="n">
        <v>110</v>
      </c>
      <c r="W235" s="112" t="n">
        <v>10</v>
      </c>
      <c r="X235" s="108" t="inlineStr">
        <is>
          <t>NO</t>
        </is>
      </c>
      <c r="Y235" s="113" t="n">
        <v>412.1</v>
      </c>
      <c r="Z235" s="113" t="n">
        <v>15000000</v>
      </c>
      <c r="AA235" s="112" t="n">
        <v>25</v>
      </c>
      <c r="AB235" s="108" t="inlineStr">
        <is>
          <t>none — no cornerstone tranche</t>
        </is>
      </c>
      <c r="AC235" s="108" t="inlineStr">
        <is>
          <t>none</t>
        </is>
      </c>
      <c r="AD235" s="112" t="n">
        <v>13.2</v>
      </c>
      <c r="AE235" s="108" t="inlineStr">
        <is>
          <t>lapsed (no over-allocation)</t>
        </is>
      </c>
      <c r="AF235" s="108" t="inlineStr">
        <is>
          <t>2024-01-20</t>
        </is>
      </c>
      <c r="AG235" s="108" t="inlineStr">
        <is>
          <t>China International Capital Corporation Hong Kong Securities Limited</t>
        </is>
      </c>
      <c r="AH235" s="108" t="inlineStr">
        <is>
          <t>China International</t>
        </is>
      </c>
      <c r="AI235" s="120" t="n">
        <v>-4.08</v>
      </c>
      <c r="AJ235" s="121" t="n">
        <v>-17.36</v>
      </c>
      <c r="AK235" s="121" t="n">
        <v>3.25</v>
      </c>
      <c r="AL235" s="121" t="n">
        <v>-8.81</v>
      </c>
      <c r="AM235" s="121" t="n">
        <v>-9.380000000000001</v>
      </c>
      <c r="AN235" s="123" t="n">
        <v>1.16</v>
      </c>
      <c r="AO235" s="112" t="n">
        <v>21.36</v>
      </c>
      <c r="AP235" s="121" t="n">
        <v>-8.630000000000001</v>
      </c>
      <c r="AQ235" s="121" t="n">
        <v>-25.74</v>
      </c>
      <c r="AR235" s="121" t="n">
        <v>-13.36</v>
      </c>
      <c r="AS235" s="121" t="n">
        <v>10.56</v>
      </c>
      <c r="AT235" s="121" t="n">
        <v>-10.14</v>
      </c>
      <c r="AU235" s="121" t="n">
        <v>4.84</v>
      </c>
      <c r="AV235" s="121" t="n">
        <v>-7.51</v>
      </c>
      <c r="AW235" s="121" t="n">
        <v>-13.87</v>
      </c>
      <c r="AX235" s="121" t="n">
        <v>-10.39</v>
      </c>
      <c r="AY235" s="121" t="n">
        <v>4.5</v>
      </c>
      <c r="AZ235" s="121" t="n">
        <v>-11.87</v>
      </c>
      <c r="BA235" s="121" t="n">
        <v>-14.64</v>
      </c>
      <c r="BB235" s="108" t="inlineStr">
        <is>
          <t>HSTECH (Hang Seng TECH ETF)</t>
        </is>
      </c>
      <c r="BC235" s="121" t="n">
        <v>23.41</v>
      </c>
      <c r="BD235" s="109" t="n">
        <v>46297</v>
      </c>
      <c r="BE235" s="110" t="n">
        <v>387.8</v>
      </c>
      <c r="BF235" s="113" t="n">
        <v>104.8</v>
      </c>
      <c r="BG235" s="108" t="inlineStr">
        <is>
          <t>Y</t>
        </is>
      </c>
      <c r="BH235" s="123" t="n">
        <v>15.7</v>
      </c>
      <c r="BI235" s="122" t="n"/>
      <c r="BJ235" s="123" t="n">
        <v>13.4</v>
      </c>
      <c r="BK235" s="123" t="n">
        <v>4.3</v>
      </c>
      <c r="BL235" s="124">
        <f>IF('BBG Verify'!S235="","not filed; run on terminal",'BBG Verify'!S235)</f>
        <v/>
      </c>
      <c r="BM235" s="125" t="inlineStr">
        <is>
          <t>N</t>
        </is>
      </c>
      <c r="BN235" s="126">
        <f>IF('BBG Verify'!K235="","not filed; run on terminal",'BBG Verify'!K235)</f>
        <v/>
      </c>
      <c r="BO235" s="108" t="inlineStr">
        <is>
          <t>N/A</t>
        </is>
      </c>
      <c r="BP235" s="108" t="inlineStr">
        <is>
          <t>N/A</t>
        </is>
      </c>
      <c r="BQ235" s="108" t="inlineStr">
        <is>
          <t>N/A</t>
        </is>
      </c>
      <c r="BR235" s="108" t="inlineStr">
        <is>
          <t>N/A</t>
        </is>
      </c>
      <c r="BS235" s="108" t="inlineStr">
        <is>
          <t>N/A</t>
        </is>
      </c>
      <c r="BT235" s="108" t="inlineStr">
        <is>
          <t>N/A</t>
        </is>
      </c>
      <c r="BU235" s="125" t="inlineStr">
        <is>
          <t>China International Capital Corporation Hong Kong Securities Limited</t>
        </is>
      </c>
      <c r="BV235" s="108" t="inlineStr">
        <is>
          <t>China International Capital Corporation Hong Kong Securities Limited</t>
        </is>
      </c>
      <c r="BW235" s="108" t="inlineStr">
        <is>
          <t>China International Capital Corporation Hong Kong Securities Limited; China Galaxy International Securities (Hong Kong) Co., Limited; CMB International Capital Limited; GF Securities (Hong Kong) Brokerage Limited; Guotai Junan Securities (Hong Kong) Limited; (Hong Kong) Co., Limited; ABCI Capital Limited; ICBC International Securities Limited; Soochow Securities International Brokerage Limited</t>
        </is>
      </c>
      <c r="BX235" s="108" t="inlineStr">
        <is>
          <t>ABCI Securities Company Limited; China Galaxy International Securities (Hong Kong) Company Limited; China International Capital Corporation Hong Kong Securities Limited; CMB International Capital Limited; Futu Securities International (Hong Kong) Limited; GF Securities (Hong Kong) Brokerage Limited; Guotai Junan Securities (Hong Kong) Limited; ICBC International Securities Limited; Livermore Holdings Limited; Silverbricks Securities Company Limited; Soochow Securities International Brokerage Limited; Tiger Brokers (HK) Global Limited</t>
        </is>
      </c>
      <c r="BY235" s="127">
        <f>HYPERLINK("https://www1.hkexnews.hk/listedco/listconews/sehk/2023/1218/2023121800007.pdf","prospectus")</f>
        <v/>
      </c>
      <c r="BZ235" s="127">
        <f>HYPERLINK("https://www1.hkexnews.hk/listedco/listconews/sehk/2023/1227/2023122701489.pdf","allotment")</f>
        <v/>
      </c>
      <c r="CA235" s="127">
        <f>HYPERLINK("https://www1.hkexnews.hk/listedco/listconews/sehk/2024/0122/2024012200299.pdf","stabilisation")</f>
        <v/>
      </c>
      <c r="CB235" s="128" t="n"/>
      <c r="CC235" s="108" t="inlineStr">
        <is>
          <t>sponsor: English name not in the filing; AAStocks 保薦人 shown; cornerstone list: no cornerstone tranche</t>
        </is>
      </c>
    </row>
    <row r="236" ht="22" customHeight="1">
      <c r="A236" s="107" t="inlineStr">
        <is>
          <t>9880</t>
        </is>
      </c>
      <c r="B236" s="108" t="inlineStr">
        <is>
          <t>UBTECH ROBOTICS</t>
        </is>
      </c>
      <c r="C236" s="108" t="inlineStr">
        <is>
          <t>優必選</t>
        </is>
      </c>
      <c r="D236" s="108" t="inlineStr">
        <is>
          <t>Tech/AI</t>
        </is>
      </c>
      <c r="E236" s="108" t="inlineStr">
        <is>
          <t>Robotics &amp; autonomous driving</t>
        </is>
      </c>
      <c r="F236" s="108" t="inlineStr">
        <is>
          <t>Application Software</t>
        </is>
      </c>
      <c r="G236" s="108" t="inlineStr">
        <is>
          <t>Standard</t>
        </is>
      </c>
      <c r="H236" s="109" t="n">
        <v>45289</v>
      </c>
      <c r="I236" s="110" t="n">
        <v>1015.38</v>
      </c>
      <c r="J236" s="108" t="inlineStr">
        <is>
          <t>gross (stated)</t>
        </is>
      </c>
      <c r="K236" s="111" t="n">
        <v>86</v>
      </c>
      <c r="L236" s="111" t="n">
        <v>116</v>
      </c>
      <c r="M236" s="111" t="n">
        <v>90</v>
      </c>
      <c r="N236" s="108" t="inlineStr">
        <is>
          <t>N</t>
        </is>
      </c>
      <c r="O236" s="112" t="n">
        <v>77.59999999999999</v>
      </c>
      <c r="P236" s="112" t="n">
        <v>13.3</v>
      </c>
      <c r="Q236" s="113" t="n">
        <v>37606.6</v>
      </c>
      <c r="R236" s="108" t="inlineStr">
        <is>
          <t>derived:price x shares upon listing</t>
        </is>
      </c>
      <c r="S236" s="114" t="n">
        <v>5.16</v>
      </c>
      <c r="T236" s="115" t="n">
        <v>2.16</v>
      </c>
      <c r="U236" s="116" t="n">
        <v>53.41</v>
      </c>
      <c r="V236" s="117" t="n">
        <v>118</v>
      </c>
      <c r="W236" s="112" t="n">
        <v>10</v>
      </c>
      <c r="X236" s="108" t="inlineStr">
        <is>
          <t>NO</t>
        </is>
      </c>
      <c r="Y236" s="113" t="n">
        <v>473.07</v>
      </c>
      <c r="Z236" s="113" t="n">
        <v>5256284</v>
      </c>
      <c r="AA236" s="112" t="n">
        <v>1.26</v>
      </c>
      <c r="AB236" s="108" t="inlineStr">
        <is>
          <t>E-Town International Holding (Hong Kong) Co., Limited</t>
        </is>
      </c>
      <c r="AC236" s="108" t="inlineStr">
        <is>
          <t>town</t>
        </is>
      </c>
      <c r="AD236" s="112" t="n">
        <v>15</v>
      </c>
      <c r="AE236" s="108" t="inlineStr">
        <is>
          <t>partial</t>
        </is>
      </c>
      <c r="AF236" s="108" t="inlineStr">
        <is>
          <t>2024-01-21</t>
        </is>
      </c>
      <c r="AG236" s="108" t="inlineStr">
        <is>
          <t>Guotai Junan Securities</t>
        </is>
      </c>
      <c r="AH236" s="108" t="inlineStr">
        <is>
          <t>Guotai Junan</t>
        </is>
      </c>
      <c r="AI236" s="120" t="n">
        <v>-0.06</v>
      </c>
      <c r="AJ236" s="121" t="n">
        <v>0.9399999999999999</v>
      </c>
      <c r="AK236" s="121" t="n">
        <v>0.16</v>
      </c>
      <c r="AL236" s="121" t="n">
        <v>-0.11</v>
      </c>
      <c r="AM236" s="121" t="n">
        <v>1.05</v>
      </c>
      <c r="AN236" s="123" t="n">
        <v>1.47</v>
      </c>
      <c r="AO236" s="112" t="n">
        <v>5.78</v>
      </c>
      <c r="AP236" s="121" t="n">
        <v>-2.22</v>
      </c>
      <c r="AQ236" s="121" t="n">
        <v>0</v>
      </c>
      <c r="AR236" s="121" t="n">
        <v>143.78</v>
      </c>
      <c r="AS236" s="121" t="n">
        <v>-3.13</v>
      </c>
      <c r="AT236" s="121" t="n">
        <v>-0.93</v>
      </c>
      <c r="AU236" s="121" t="n">
        <v>141.51</v>
      </c>
      <c r="AV236" s="121" t="n">
        <v>5.21</v>
      </c>
      <c r="AW236" s="121" t="n">
        <v>17.95</v>
      </c>
      <c r="AX236" s="121" t="n">
        <v>151.59</v>
      </c>
      <c r="AY236" s="121" t="n">
        <v>17.15</v>
      </c>
      <c r="AZ236" s="121" t="n">
        <v>-17.95</v>
      </c>
      <c r="BA236" s="121" t="n">
        <v>-18.08</v>
      </c>
      <c r="BB236" s="108" t="inlineStr">
        <is>
          <t>HSTECH (Hang Seng TECH ETF)</t>
        </is>
      </c>
      <c r="BC236" s="121" t="n">
        <v>-18.33</v>
      </c>
      <c r="BD236" s="109" t="n">
        <v>46297</v>
      </c>
      <c r="BE236" s="110" t="n">
        <v>1109.1</v>
      </c>
      <c r="BF236" s="113" t="n">
        <v>-1086.1</v>
      </c>
      <c r="BG236" s="108" t="inlineStr">
        <is>
          <t>N</t>
        </is>
      </c>
      <c r="BH236" s="108" t="inlineStr">
        <is>
          <t>n/m</t>
        </is>
      </c>
      <c r="BI236" s="122" t="n"/>
      <c r="BJ236" s="122" t="n"/>
      <c r="BK236" s="123" t="n">
        <v>33.9</v>
      </c>
      <c r="BL236" s="124">
        <f>IF('BBG Verify'!S236="","not filed; run on terminal",'BBG Verify'!S236)</f>
        <v/>
      </c>
      <c r="BM236" s="125" t="inlineStr">
        <is>
          <t>N</t>
        </is>
      </c>
      <c r="BN236" s="126">
        <f>IF('BBG Verify'!K236="","not filed; run on terminal",'BBG Verify'!K236)</f>
        <v/>
      </c>
      <c r="BO236" s="108" t="inlineStr">
        <is>
          <t>N/A</t>
        </is>
      </c>
      <c r="BP236" s="108" t="inlineStr">
        <is>
          <t>N/A</t>
        </is>
      </c>
      <c r="BQ236" s="108" t="inlineStr">
        <is>
          <t>N/A</t>
        </is>
      </c>
      <c r="BR236" s="108" t="inlineStr">
        <is>
          <t>N/A</t>
        </is>
      </c>
      <c r="BS236" s="108" t="inlineStr">
        <is>
          <t>N/A</t>
        </is>
      </c>
      <c r="BT236" s="108" t="inlineStr">
        <is>
          <t>N/A</t>
        </is>
      </c>
      <c r="BU236" s="125" t="inlineStr">
        <is>
          <t>Guotai Junan Capital Limited</t>
        </is>
      </c>
      <c r="BV236" s="108" t="inlineStr">
        <is>
          <t>Guotai Junan Capital Limited</t>
        </is>
      </c>
      <c r="BW236" s="108" t="inlineStr">
        <is>
          <t>ABCI Securities Company Limited</t>
        </is>
      </c>
      <c r="BX236" s="108" t="inlineStr">
        <is>
          <t>ABCI Securities Company Limited; BNP Paribas Securities (Asia) Limited; BOCI Asia Limited; CCB International Capital Limited; CLSA Limited; CMBC Securities Company Limited; CMB International Capital Limited; China Securities (International) Corporate Finance Company Limited; Futu Securities International (Hong Kong) Limited; GF Securities (Hong Kong) Brokerage Limited; Guotai Junan Securities (Hong Kong) Limited; Guosen Securities (HK) Capital Company Limited</t>
        </is>
      </c>
      <c r="BY236" s="127">
        <f>HYPERLINK("https://www1.hkexnews.hk/listedco/listconews/sehk/2023/1219/2023121900021.pdf","prospectus")</f>
        <v/>
      </c>
      <c r="BZ236" s="127">
        <f>HYPERLINK("https://www1.hkexnews.hk/listedco/listconews/sehk/2023/1228/2023122801642.pdf","allotment")</f>
        <v/>
      </c>
      <c r="CA236" s="127">
        <f>HYPERLINK("https://www1.hkexnews.hk/listedco/listconews/sehk/2024/0122/2024012200015.pdf","stabilisation")</f>
        <v/>
      </c>
      <c r="CB236" s="128" t="n"/>
      <c r="CC236" s="108" t="inlineStr">
        <is>
          <t>P/E: loss-making at IPO, use P/S</t>
        </is>
      </c>
    </row>
    <row r="237" ht="22" customHeight="1">
      <c r="A237" s="107" t="inlineStr">
        <is>
          <t>2498</t>
        </is>
      </c>
      <c r="B237" s="108" t="inlineStr">
        <is>
          <t>ROBOSENSE</t>
        </is>
      </c>
      <c r="C237" s="108" t="inlineStr">
        <is>
          <t>速騰聚創</t>
        </is>
      </c>
      <c r="D237" s="108" t="inlineStr">
        <is>
          <t>Tech/AI</t>
        </is>
      </c>
      <c r="E237" s="108" t="inlineStr">
        <is>
          <t>Robotics &amp; autonomous driving</t>
        </is>
      </c>
      <c r="F237" s="108" t="inlineStr">
        <is>
          <t>IT Products Distributors</t>
        </is>
      </c>
      <c r="G237" s="108" t="inlineStr">
        <is>
          <t>Standard</t>
        </is>
      </c>
      <c r="H237" s="109" t="n">
        <v>45296</v>
      </c>
      <c r="I237" s="110" t="n">
        <v>985.1</v>
      </c>
      <c r="J237" s="108" t="inlineStr">
        <is>
          <t>gross (price x shares)</t>
        </is>
      </c>
      <c r="K237" s="129" t="n"/>
      <c r="L237" s="111" t="n">
        <v>43</v>
      </c>
      <c r="M237" s="111" t="n">
        <v>43</v>
      </c>
      <c r="N237" s="108" t="inlineStr">
        <is>
          <t>Y</t>
        </is>
      </c>
      <c r="O237" s="112" t="n">
        <v>100</v>
      </c>
      <c r="P237" s="118" t="n"/>
      <c r="Q237" s="113" t="n">
        <v>19300</v>
      </c>
      <c r="R237" s="108" t="inlineStr">
        <is>
          <t>press:qq/STCN 2024-01-05: IPO市值超193亿</t>
        </is>
      </c>
      <c r="S237" s="114" t="n">
        <v>0.58</v>
      </c>
      <c r="T237" s="115" t="n">
        <v>1.28</v>
      </c>
      <c r="U237" s="116" t="n">
        <v>79.29000000000001</v>
      </c>
      <c r="V237" s="117" t="n">
        <v>121</v>
      </c>
      <c r="W237" s="112" t="n">
        <v>5.84</v>
      </c>
      <c r="X237" s="108" t="inlineStr">
        <is>
          <t>NO</t>
        </is>
      </c>
      <c r="Y237" s="113" t="n">
        <v>204.01</v>
      </c>
      <c r="Z237" s="113" t="n">
        <v>4744620</v>
      </c>
      <c r="AA237" s="112" t="n">
        <v>1.06</v>
      </c>
      <c r="AB237" s="108" t="inlineStr">
        <is>
          <t>Shenzhen Nanshan Strategic Emerging Industries Investment Co., Ltd</t>
        </is>
      </c>
      <c r="AC237" s="108" t="inlineStr">
        <is>
          <t>shenzhen-nanshan</t>
        </is>
      </c>
      <c r="AD237" s="112" t="n">
        <v>12.5</v>
      </c>
      <c r="AE237" s="108" t="inlineStr">
        <is>
          <t>partial</t>
        </is>
      </c>
      <c r="AF237" s="108" t="inlineStr">
        <is>
          <t>2024-02-01</t>
        </is>
      </c>
      <c r="AG237" s="108" t="inlineStr">
        <is>
          <t>J.P. Morgan Securities</t>
        </is>
      </c>
      <c r="AH237" s="108" t="inlineStr">
        <is>
          <t>JP Morgan</t>
        </is>
      </c>
      <c r="AI237" s="120" t="n">
        <v>-2.33</v>
      </c>
      <c r="AJ237" s="121" t="n">
        <v>0</v>
      </c>
      <c r="AK237" s="121" t="n">
        <v>-1.45</v>
      </c>
      <c r="AL237" s="121" t="n">
        <v>0</v>
      </c>
      <c r="AM237" s="121" t="n">
        <v>0</v>
      </c>
      <c r="AN237" s="123" t="n">
        <v>0.71</v>
      </c>
      <c r="AO237" s="112" t="n">
        <v>3.72</v>
      </c>
      <c r="AP237" s="121" t="n">
        <v>0</v>
      </c>
      <c r="AQ237" s="121" t="n">
        <v>-9.300000000000001</v>
      </c>
      <c r="AR237" s="121" t="n">
        <v>-1.16</v>
      </c>
      <c r="AS237" s="121" t="n">
        <v>0</v>
      </c>
      <c r="AT237" s="121" t="n">
        <v>-9.300000000000001</v>
      </c>
      <c r="AU237" s="121" t="n">
        <v>-1.16</v>
      </c>
      <c r="AV237" s="121" t="n">
        <v>5.08</v>
      </c>
      <c r="AW237" s="121" t="n">
        <v>7.66</v>
      </c>
      <c r="AX237" s="121" t="n">
        <v>1.52</v>
      </c>
      <c r="AY237" s="121" t="n">
        <v>6.44</v>
      </c>
      <c r="AZ237" s="121" t="n">
        <v>-16.96</v>
      </c>
      <c r="BA237" s="121" t="n">
        <v>-15.74</v>
      </c>
      <c r="BB237" s="108" t="inlineStr">
        <is>
          <t>HSTECH (Hang Seng TECH ETF)</t>
        </is>
      </c>
      <c r="BC237" s="121" t="n">
        <v>-62.58</v>
      </c>
      <c r="BD237" s="109" t="n">
        <v>46297</v>
      </c>
      <c r="BE237" s="110" t="n">
        <v>583.4</v>
      </c>
      <c r="BF237" s="113" t="n">
        <v>-2294.7</v>
      </c>
      <c r="BG237" s="108" t="inlineStr">
        <is>
          <t>N</t>
        </is>
      </c>
      <c r="BH237" s="108" t="inlineStr">
        <is>
          <t>n/m</t>
        </is>
      </c>
      <c r="BI237" s="122" t="n"/>
      <c r="BJ237" s="122" t="n"/>
      <c r="BK237" s="123" t="n">
        <v>33.1</v>
      </c>
      <c r="BL237" s="124">
        <f>IF('BBG Verify'!S237="","not filed; run on terminal",'BBG Verify'!S237)</f>
        <v/>
      </c>
      <c r="BM237" s="125" t="inlineStr">
        <is>
          <t>N</t>
        </is>
      </c>
      <c r="BN237" s="126">
        <f>IF('BBG Verify'!K237="","not filed; run on terminal",'BBG Verify'!K237)</f>
        <v/>
      </c>
      <c r="BO237" s="108" t="inlineStr">
        <is>
          <t>N/A</t>
        </is>
      </c>
      <c r="BP237" s="108" t="inlineStr">
        <is>
          <t>N/A</t>
        </is>
      </c>
      <c r="BQ237" s="108" t="inlineStr">
        <is>
          <t>N/A</t>
        </is>
      </c>
      <c r="BR237" s="108" t="inlineStr">
        <is>
          <t>N/A</t>
        </is>
      </c>
      <c r="BS237" s="108" t="inlineStr">
        <is>
          <t>N/A</t>
        </is>
      </c>
      <c r="BT237" s="108" t="inlineStr">
        <is>
          <t>N/A</t>
        </is>
      </c>
      <c r="BU237" s="125" t="inlineStr">
        <is>
          <t>J.P. Morgan Securities (Far East) Limited; China Renaissance Securities (Hong Kong) Limited</t>
        </is>
      </c>
      <c r="BV237" s="108" t="inlineStr">
        <is>
          <t>J.P. Morgan Securities (Far East) Limited; China Renaissance Securities (Hong Kong) Limited</t>
        </is>
      </c>
      <c r="BW237" s="108" t="inlineStr">
        <is>
          <t>J.P. Morgan Securities (Asia Pacific) Limited; J.P. Morgan Securities plc; China International Capital Corporation Hong Kong Securities Limited; CCB International Capital Limited; Essence International Securities (Hong Kong) Limited; Fosun International Securities Limited; CMB International Capital Limited; ABCI Capital Limited</t>
        </is>
      </c>
      <c r="BX237" s="108" t="inlineStr">
        <is>
          <t>ABCI Securities Company Limited; CCB International Capital Limited; China International Capital Corporation Hong Kong Securities Limited; CMB International Capital Limited; China Renaissance Securities (Hong Kong) Limited; Essence International Securities (Hong Kong) Limited; Fosun International Securities Limited; J.P. Morgan Securities (Asia Pacific) Limited; Livermore Holdings Limited</t>
        </is>
      </c>
      <c r="BY237" s="127">
        <f>HYPERLINK("https://www1.hkexnews.hk/listedco/listconews/sehk/2023/1227/2023122700027.pdf","prospectus")</f>
        <v/>
      </c>
      <c r="BZ237" s="127">
        <f>HYPERLINK("https://www1.hkexnews.hk/listedco/listconews/sehk/2024/0104/2024010401780.pdf","allotment")</f>
        <v/>
      </c>
      <c r="CA237" s="127">
        <f>HYPERLINK("https://www1.hkexnews.hk/listedco/listconews/sehk/2024/0201/2024020103564.pdf","stabilisation")</f>
        <v/>
      </c>
      <c r="CB237" s="128" t="n"/>
      <c r="CC237" s="108" t="inlineStr">
        <is>
          <t>P/E: loss-making at IPO, use P/S; range low: maximum offer price only, no floor published</t>
        </is>
      </c>
    </row>
    <row r="238" ht="22" customHeight="1">
      <c r="A238" s="107" t="inlineStr">
        <is>
          <t>2453</t>
        </is>
      </c>
      <c r="B238" s="108" t="inlineStr">
        <is>
          <t>CONCORD HC GP</t>
        </is>
      </c>
      <c r="C238" s="108" t="inlineStr">
        <is>
          <t>美中嘉和</t>
        </is>
      </c>
      <c r="D238" s="108" t="inlineStr">
        <is>
          <t>Healthcare</t>
        </is>
      </c>
      <c r="E238" s="108" t="inlineStr">
        <is>
          <t>Hospitals / clinics</t>
        </is>
      </c>
      <c r="F238" s="108" t="inlineStr">
        <is>
          <t>Health Care Services</t>
        </is>
      </c>
      <c r="G238" s="108" t="inlineStr">
        <is>
          <t>Standard</t>
        </is>
      </c>
      <c r="H238" s="109" t="n">
        <v>45300</v>
      </c>
      <c r="I238" s="110" t="n">
        <v>562.9</v>
      </c>
      <c r="J238" s="108" t="inlineStr">
        <is>
          <t>gross (price x shares)</t>
        </is>
      </c>
      <c r="K238" s="111" t="n">
        <v>14.1</v>
      </c>
      <c r="L238" s="111" t="n">
        <v>16.4</v>
      </c>
      <c r="M238" s="111" t="n">
        <v>14.28</v>
      </c>
      <c r="N238" s="108" t="inlineStr">
        <is>
          <t>N</t>
        </is>
      </c>
      <c r="O238" s="112" t="n">
        <v>87.09999999999999</v>
      </c>
      <c r="P238" s="112" t="n">
        <v>7.8</v>
      </c>
      <c r="Q238" s="113" t="n">
        <v>10229.3</v>
      </c>
      <c r="R238" s="108" t="inlineStr">
        <is>
          <t>derived:price x shares upon listing</t>
        </is>
      </c>
      <c r="S238" s="114" t="n">
        <v>1.99</v>
      </c>
      <c r="T238" s="115" t="n">
        <v>1.02</v>
      </c>
      <c r="U238" s="116" t="n">
        <v>0</v>
      </c>
      <c r="V238" s="117" t="n">
        <v>113</v>
      </c>
      <c r="W238" s="112" t="n">
        <v>10</v>
      </c>
      <c r="X238" s="108" t="inlineStr">
        <is>
          <t>NO</t>
        </is>
      </c>
      <c r="Y238" s="113" t="n">
        <v>562.9</v>
      </c>
      <c r="Z238" s="113" t="n">
        <v>39420200</v>
      </c>
      <c r="AA238" s="112" t="n">
        <v>5.5</v>
      </c>
      <c r="AB238" s="108" t="inlineStr">
        <is>
          <t>none — no cornerstone tranche</t>
        </is>
      </c>
      <c r="AC238" s="108" t="inlineStr">
        <is>
          <t>none</t>
        </is>
      </c>
      <c r="AD238" s="118" t="n"/>
      <c r="AE238" s="119" t="n"/>
      <c r="AF238" s="119" t="n"/>
      <c r="AG238" s="119" t="n"/>
      <c r="AH238" s="119" t="n"/>
      <c r="AI238" s="120" t="n">
        <v>-22.83</v>
      </c>
      <c r="AJ238" s="121" t="n">
        <v>-22.41</v>
      </c>
      <c r="AK238" s="121" t="n">
        <v>0.84</v>
      </c>
      <c r="AL238" s="121" t="n">
        <v>-31.37</v>
      </c>
      <c r="AM238" s="121" t="n">
        <v>13.06</v>
      </c>
      <c r="AN238" s="123" t="n">
        <v>0.96</v>
      </c>
      <c r="AO238" s="112" t="n">
        <v>23.67</v>
      </c>
      <c r="AP238" s="121" t="n">
        <v>-2.24</v>
      </c>
      <c r="AQ238" s="121" t="n">
        <v>-9.1</v>
      </c>
      <c r="AR238" s="121" t="n">
        <v>61.06</v>
      </c>
      <c r="AS238" s="121" t="n">
        <v>26</v>
      </c>
      <c r="AT238" s="121" t="n">
        <v>17.15</v>
      </c>
      <c r="AU238" s="121" t="n">
        <v>107.58</v>
      </c>
      <c r="AV238" s="121" t="n">
        <v>-3.22</v>
      </c>
      <c r="AW238" s="121" t="n">
        <v>1.68</v>
      </c>
      <c r="AX238" s="121" t="n">
        <v>74.7</v>
      </c>
      <c r="AY238" s="121" t="n">
        <v>28.68</v>
      </c>
      <c r="AZ238" s="121" t="n">
        <v>-10.78</v>
      </c>
      <c r="BA238" s="121" t="n">
        <v>-11.53</v>
      </c>
      <c r="BB238" s="108" t="inlineStr">
        <is>
          <t>China Biotech ETF (HS biotech proxy)</t>
        </is>
      </c>
      <c r="BC238" s="121" t="n">
        <v>-95.09999999999999</v>
      </c>
      <c r="BD238" s="109" t="n">
        <v>46297</v>
      </c>
      <c r="BE238" s="110" t="n">
        <v>519.4</v>
      </c>
      <c r="BF238" s="113" t="n">
        <v>-700.9</v>
      </c>
      <c r="BG238" s="108" t="inlineStr">
        <is>
          <t>N</t>
        </is>
      </c>
      <c r="BH238" s="108" t="inlineStr">
        <is>
          <t>n/m</t>
        </is>
      </c>
      <c r="BI238" s="122" t="n"/>
      <c r="BJ238" s="122" t="n"/>
      <c r="BK238" s="123" t="n">
        <v>19.7</v>
      </c>
      <c r="BL238" s="124">
        <f>IF('BBG Verify'!S238="","not filed; run on terminal",'BBG Verify'!S238)</f>
        <v/>
      </c>
      <c r="BM238" s="125" t="inlineStr">
        <is>
          <t>N</t>
        </is>
      </c>
      <c r="BN238" s="126">
        <f>IF('BBG Verify'!K238="","not filed; run on terminal",'BBG Verify'!K238)</f>
        <v/>
      </c>
      <c r="BO238" s="108" t="inlineStr">
        <is>
          <t>N/A</t>
        </is>
      </c>
      <c r="BP238" s="108" t="inlineStr">
        <is>
          <t>N/A</t>
        </is>
      </c>
      <c r="BQ238" s="108" t="inlineStr">
        <is>
          <t>N/A</t>
        </is>
      </c>
      <c r="BR238" s="108" t="inlineStr">
        <is>
          <t>N/A</t>
        </is>
      </c>
      <c r="BS238" s="108" t="inlineStr">
        <is>
          <t>N/A</t>
        </is>
      </c>
      <c r="BT238" s="108" t="inlineStr">
        <is>
          <t>N/A</t>
        </is>
      </c>
      <c r="BU238" s="125" t="inlineStr">
        <is>
          <t>China International Capital Corporation Hong Kong Securities Limited; Haitong International Capital Limited</t>
        </is>
      </c>
      <c r="BV238" s="108" t="inlineStr">
        <is>
          <t>Haitong International Capital Limited; China International Capital Corporation (HK) Ltd</t>
        </is>
      </c>
      <c r="BW238" s="108" t="inlineStr">
        <is>
          <t>China International Capital Corporation Hong Kong Securities Limited; Haitong International Securities Company Limited; CCB International Capital Limited; China Everbright Securities (HK) Limited; CMB International Capital Limited; Fosun International Securities Limited; Futu Securities International (Hong Kong) Limited; Livermore Holdings Limited; Mouette Securities Company Limited; Tiger Brokers (HK) Global Limited</t>
        </is>
      </c>
      <c r="BX238" s="108" t="inlineStr">
        <is>
          <t>ABCI Securities Company Limited; CCB International Capital Limited; China Everbright Securities (HK) Limited; China International Capital Corporation Hong Kong Securities Limited; CLSA Limited; CMB International Capital Limited; Fosun International Securities Limited; Futu Securities International (Hong Kong) Limited; Haitong International Securities Company Limited; Livermore Holdings Limited; Mouette Securities Company Limited; SPDB International Capital Limited</t>
        </is>
      </c>
      <c r="BY238" s="127">
        <f>HYPERLINK("https://www1.hkexnews.hk/listedco/listconews/sehk/2023/1229/2023122900023.pdf","prospectus")</f>
        <v/>
      </c>
      <c r="BZ238" s="127">
        <f>HYPERLINK("https://www1.hkexnews.hk/listedco/listconews/sehk/2024/0108/2024010801006.pdf","allotment")</f>
        <v/>
      </c>
      <c r="CA238" s="119" t="n"/>
      <c r="CB238" s="128" t="n"/>
      <c r="CC238" s="108" t="inlineStr">
        <is>
          <t>P/E: loss-making at IPO, use P/S; greenshoe: no over-allotment option; cornerstone list: no cornerstone tranche; greenshoe size: no over-allotment option; stabilising manager: filing states none appointed (allotment announcement: 'no stabilizing manager will be appointed' stated in the filing)</t>
        </is>
      </c>
    </row>
    <row r="239" ht="22" customHeight="1">
      <c r="A239" s="107" t="inlineStr">
        <is>
          <t>2503</t>
        </is>
      </c>
      <c r="B239" s="108" t="inlineStr">
        <is>
          <t>ZHONGSHENJIANYE</t>
        </is>
      </c>
      <c r="C239" s="108" t="inlineStr">
        <is>
          <t>中深建業</t>
        </is>
      </c>
      <c r="D239" s="108" t="inlineStr">
        <is>
          <t>Industrials</t>
        </is>
      </c>
      <c r="E239" s="108" t="inlineStr">
        <is>
          <t>Construction / engineering</t>
        </is>
      </c>
      <c r="F239" s="108" t="inlineStr">
        <is>
          <t>Building Construction</t>
        </is>
      </c>
      <c r="G239" s="108" t="inlineStr">
        <is>
          <t>Standard</t>
        </is>
      </c>
      <c r="H239" s="109" t="n">
        <v>45300</v>
      </c>
      <c r="I239" s="110" t="n">
        <v>128.7</v>
      </c>
      <c r="J239" s="108" t="inlineStr">
        <is>
          <t>gross (stated)</t>
        </is>
      </c>
      <c r="K239" s="129" t="n"/>
      <c r="L239" s="111" t="n">
        <v>1</v>
      </c>
      <c r="M239" s="111" t="n">
        <v>1</v>
      </c>
      <c r="N239" s="108" t="inlineStr">
        <is>
          <t>Y</t>
        </is>
      </c>
      <c r="O239" s="112" t="n">
        <v>100</v>
      </c>
      <c r="P239" s="118" t="n"/>
      <c r="Q239" s="113" t="n">
        <v>514.8</v>
      </c>
      <c r="R239" s="108" t="inlineStr">
        <is>
          <t>derived:price x shares upon listing</t>
        </is>
      </c>
      <c r="S239" s="114" t="n">
        <v>58.44</v>
      </c>
      <c r="T239" s="115" t="n">
        <v>1.09</v>
      </c>
      <c r="U239" s="116" t="n">
        <v>0</v>
      </c>
      <c r="V239" s="117" t="n">
        <v>137</v>
      </c>
      <c r="W239" s="112" t="n">
        <v>40</v>
      </c>
      <c r="X239" s="108" t="inlineStr">
        <is>
          <t>YES</t>
        </is>
      </c>
      <c r="Y239" s="113" t="n">
        <v>128.7</v>
      </c>
      <c r="Z239" s="113" t="n">
        <v>128700000</v>
      </c>
      <c r="AA239" s="112" t="n">
        <v>25</v>
      </c>
      <c r="AB239" s="108" t="inlineStr">
        <is>
          <t>none — no cornerstone tranche</t>
        </is>
      </c>
      <c r="AC239" s="108" t="inlineStr">
        <is>
          <t>none</t>
        </is>
      </c>
      <c r="AD239" s="118" t="n"/>
      <c r="AE239" s="119" t="n"/>
      <c r="AF239" s="119" t="n"/>
      <c r="AG239" s="119" t="n"/>
      <c r="AH239" s="119" t="n"/>
      <c r="AI239" s="120" t="n">
        <v>-12</v>
      </c>
      <c r="AJ239" s="121" t="n">
        <v>-28</v>
      </c>
      <c r="AK239" s="121" t="n">
        <v>-0.63</v>
      </c>
      <c r="AL239" s="121" t="n">
        <v>-19</v>
      </c>
      <c r="AM239" s="121" t="n">
        <v>-11.11</v>
      </c>
      <c r="AN239" s="123" t="n">
        <v>0.63</v>
      </c>
      <c r="AO239" s="112" t="n">
        <v>17.28</v>
      </c>
      <c r="AP239" s="121" t="n">
        <v>5</v>
      </c>
      <c r="AQ239" s="121" t="n">
        <v>16</v>
      </c>
      <c r="AR239" s="121" t="n">
        <v>-24</v>
      </c>
      <c r="AS239" s="121" t="n">
        <v>45.83</v>
      </c>
      <c r="AT239" s="121" t="n">
        <v>61.11</v>
      </c>
      <c r="AU239" s="121" t="n">
        <v>5.56</v>
      </c>
      <c r="AV239" s="121" t="n">
        <v>6.97</v>
      </c>
      <c r="AW239" s="121" t="n">
        <v>17.75</v>
      </c>
      <c r="AX239" s="121" t="n">
        <v>-31.44</v>
      </c>
      <c r="AY239" s="121" t="n">
        <v>62.24</v>
      </c>
      <c r="AZ239" s="121" t="n">
        <v>-1.75</v>
      </c>
      <c r="BA239" s="121" t="n">
        <v>-1.13</v>
      </c>
      <c r="BB239" s="108" t="inlineStr">
        <is>
          <t>Hang Seng Commerce &amp; Industry sub-index</t>
        </is>
      </c>
      <c r="BC239" s="121" t="n">
        <v>-73.5</v>
      </c>
      <c r="BD239" s="109" t="n">
        <v>46297</v>
      </c>
      <c r="BE239" s="110" t="n">
        <v>1515.9</v>
      </c>
      <c r="BF239" s="113" t="n">
        <v>42.1</v>
      </c>
      <c r="BG239" s="108" t="inlineStr">
        <is>
          <t>Y</t>
        </is>
      </c>
      <c r="BH239" s="123" t="n">
        <v>12.2</v>
      </c>
      <c r="BI239" s="122" t="n"/>
      <c r="BJ239" s="122" t="n"/>
      <c r="BK239" s="123" t="n">
        <v>0.3</v>
      </c>
      <c r="BL239" s="124">
        <f>IF('BBG Verify'!S239="","not filed; run on terminal",'BBG Verify'!S239)</f>
        <v/>
      </c>
      <c r="BM239" s="125" t="inlineStr">
        <is>
          <t>N</t>
        </is>
      </c>
      <c r="BN239" s="126">
        <f>IF('BBG Verify'!K239="","not filed; run on terminal",'BBG Verify'!K239)</f>
        <v/>
      </c>
      <c r="BO239" s="108" t="inlineStr">
        <is>
          <t>N/A</t>
        </is>
      </c>
      <c r="BP239" s="108" t="inlineStr">
        <is>
          <t>N/A</t>
        </is>
      </c>
      <c r="BQ239" s="108" t="inlineStr">
        <is>
          <t>N/A</t>
        </is>
      </c>
      <c r="BR239" s="108" t="inlineStr">
        <is>
          <t>N/A</t>
        </is>
      </c>
      <c r="BS239" s="108" t="inlineStr">
        <is>
          <t>N/A</t>
        </is>
      </c>
      <c r="BT239" s="108" t="inlineStr">
        <is>
          <t>N/A</t>
        </is>
      </c>
      <c r="BU239" s="125" t="inlineStr">
        <is>
          <t>Kingsway Capital Limited</t>
        </is>
      </c>
      <c r="BV239" s="108" t="inlineStr">
        <is>
          <t>Kingsway Capital Limited</t>
        </is>
      </c>
      <c r="BW239" s="108" t="inlineStr">
        <is>
          <t>Kingsway Financial Services Group Limited; Beta International Securities Limited; Valuable Capital Limited</t>
        </is>
      </c>
      <c r="BX239" s="108" t="inlineStr">
        <is>
          <t>Beta International Securities Limited; Valuable Capital Limited</t>
        </is>
      </c>
      <c r="BY239" s="127">
        <f>HYPERLINK("https://www1.hkexnews.hk/listedco/listconews/sehk/2023/1228/2023122800045.pdf","prospectus")</f>
        <v/>
      </c>
      <c r="BZ239" s="127">
        <f>HYPERLINK("https://www1.hkexnews.hk/listedco/listconews/sehk/2024/0108/2024010801008.pdf","allotment")</f>
        <v/>
      </c>
      <c r="CA239" s="119" t="n"/>
      <c r="CB239" s="128" t="n"/>
      <c r="CC239" s="108" t="inlineStr">
        <is>
          <t>greenshoe: no over-allotment option; range low: maximum offer price only, no floor published; cornerstone list: no cornerstone tranche; greenshoe size: no over-allotment option; stabilising manager: no over-allotment option, so none appointed</t>
        </is>
      </c>
    </row>
    <row r="240" ht="22" customHeight="1">
      <c r="A240" s="107" t="inlineStr">
        <is>
          <t>6959</t>
        </is>
      </c>
      <c r="B240" s="108" t="inlineStr">
        <is>
          <t>CHANGJIU HLDGS</t>
        </is>
      </c>
      <c r="C240" s="108" t="inlineStr">
        <is>
          <t>長久股份</t>
        </is>
      </c>
      <c r="D240" s="108" t="inlineStr">
        <is>
          <t>Tech/AI</t>
        </is>
      </c>
      <c r="E240" s="108" t="inlineStr">
        <is>
          <t>SaaS / enterprise software</t>
        </is>
      </c>
      <c r="F240" s="108" t="inlineStr">
        <is>
          <t>Commercial &amp; Professional Services</t>
        </is>
      </c>
      <c r="G240" s="108" t="inlineStr">
        <is>
          <t>Standard</t>
        </is>
      </c>
      <c r="H240" s="109" t="n">
        <v>45300</v>
      </c>
      <c r="I240" s="110" t="n">
        <v>300.71</v>
      </c>
      <c r="J240" s="108" t="inlineStr">
        <is>
          <t>gross (stated)</t>
        </is>
      </c>
      <c r="K240" s="111" t="n">
        <v>5.95</v>
      </c>
      <c r="L240" s="111" t="n">
        <v>7.9</v>
      </c>
      <c r="M240" s="111" t="n">
        <v>5.95</v>
      </c>
      <c r="N240" s="108" t="inlineStr">
        <is>
          <t>N</t>
        </is>
      </c>
      <c r="O240" s="112" t="n">
        <v>75.3</v>
      </c>
      <c r="P240" s="112" t="n">
        <v>0</v>
      </c>
      <c r="Q240" s="113" t="n">
        <v>1202.9</v>
      </c>
      <c r="R240" s="108" t="inlineStr">
        <is>
          <t>derived:price x shares upon listing</t>
        </is>
      </c>
      <c r="S240" s="114" t="n">
        <v>11.67</v>
      </c>
      <c r="T240" s="115" t="n">
        <v>1.07</v>
      </c>
      <c r="U240" s="116" t="n">
        <v>0</v>
      </c>
      <c r="V240" s="117" t="n">
        <v>107</v>
      </c>
      <c r="W240" s="112" t="n">
        <v>10</v>
      </c>
      <c r="X240" s="108" t="inlineStr">
        <is>
          <t>NO</t>
        </is>
      </c>
      <c r="Y240" s="113" t="n">
        <v>300.71</v>
      </c>
      <c r="Z240" s="113" t="n">
        <v>50540000</v>
      </c>
      <c r="AA240" s="112" t="n">
        <v>25</v>
      </c>
      <c r="AB240" s="108" t="inlineStr">
        <is>
          <t>none — no cornerstone tranche</t>
        </is>
      </c>
      <c r="AC240" s="108" t="inlineStr">
        <is>
          <t>none</t>
        </is>
      </c>
      <c r="AD240" s="118" t="n"/>
      <c r="AE240" s="119" t="n"/>
      <c r="AF240" s="119" t="n"/>
      <c r="AG240" s="119" t="n"/>
      <c r="AH240" s="119" t="n"/>
      <c r="AI240" s="120" t="n">
        <v>2.18</v>
      </c>
      <c r="AJ240" s="121" t="n">
        <v>16.13</v>
      </c>
      <c r="AK240" s="121" t="n">
        <v>-0.64</v>
      </c>
      <c r="AL240" s="121" t="n">
        <v>2.52</v>
      </c>
      <c r="AM240" s="121" t="n">
        <v>13.28</v>
      </c>
      <c r="AN240" s="123" t="n">
        <v>0.85</v>
      </c>
      <c r="AO240" s="112" t="n">
        <v>19.02</v>
      </c>
      <c r="AP240" s="121" t="n">
        <v>24.71</v>
      </c>
      <c r="AQ240" s="121" t="n">
        <v>28.4</v>
      </c>
      <c r="AR240" s="121" t="n">
        <v>562.1799999999999</v>
      </c>
      <c r="AS240" s="121" t="n">
        <v>7.39</v>
      </c>
      <c r="AT240" s="121" t="n">
        <v>10.57</v>
      </c>
      <c r="AU240" s="121" t="n">
        <v>470.21</v>
      </c>
      <c r="AV240" s="121" t="n">
        <v>29.28</v>
      </c>
      <c r="AW240" s="121" t="n">
        <v>36.95</v>
      </c>
      <c r="AX240" s="121" t="n">
        <v>562.12</v>
      </c>
      <c r="AY240" s="121" t="n">
        <v>18.53</v>
      </c>
      <c r="AZ240" s="121" t="n">
        <v>-8.550000000000001</v>
      </c>
      <c r="BA240" s="121" t="n">
        <v>-7.96</v>
      </c>
      <c r="BB240" s="108" t="inlineStr">
        <is>
          <t>HSTECH (Hang Seng TECH ETF)</t>
        </is>
      </c>
      <c r="BC240" s="121" t="n">
        <v>-52.1</v>
      </c>
      <c r="BD240" s="109" t="n">
        <v>46297</v>
      </c>
      <c r="BE240" s="110" t="n">
        <v>602.7</v>
      </c>
      <c r="BF240" s="113" t="n">
        <v>105.5</v>
      </c>
      <c r="BG240" s="108" t="inlineStr">
        <is>
          <t>Y</t>
        </is>
      </c>
      <c r="BH240" s="123" t="n">
        <v>11.4</v>
      </c>
      <c r="BI240" s="122" t="n"/>
      <c r="BJ240" s="123" t="n">
        <v>4.3</v>
      </c>
      <c r="BK240" s="123" t="n">
        <v>2</v>
      </c>
      <c r="BL240" s="124">
        <f>IF('BBG Verify'!S240="","not filed; run on terminal",'BBG Verify'!S240)</f>
        <v/>
      </c>
      <c r="BM240" s="125" t="inlineStr">
        <is>
          <t>N</t>
        </is>
      </c>
      <c r="BN240" s="126">
        <f>IF('BBG Verify'!K240="","not filed; run on terminal",'BBG Verify'!K240)</f>
        <v/>
      </c>
      <c r="BO240" s="108" t="inlineStr">
        <is>
          <t>N/A</t>
        </is>
      </c>
      <c r="BP240" s="108" t="inlineStr">
        <is>
          <t>N/A</t>
        </is>
      </c>
      <c r="BQ240" s="108" t="inlineStr">
        <is>
          <t>N/A</t>
        </is>
      </c>
      <c r="BR240" s="108" t="inlineStr">
        <is>
          <t>N/A</t>
        </is>
      </c>
      <c r="BS240" s="108" t="inlineStr">
        <is>
          <t>N/A</t>
        </is>
      </c>
      <c r="BT240" s="108" t="inlineStr">
        <is>
          <t>N/A</t>
        </is>
      </c>
      <c r="BU240" s="125" t="inlineStr">
        <is>
          <t>CITIC Securities (Hong Kong) Limited; ICBC International Capital Limited</t>
        </is>
      </c>
      <c r="BV240" s="108" t="inlineStr">
        <is>
          <t>CITIC Securities (Hong Kong) Limited; ICBC International Capital Limited</t>
        </is>
      </c>
      <c r="BW240" s="108" t="inlineStr">
        <is>
          <t>CLSA Limited; ICBC International Securities Limited</t>
        </is>
      </c>
      <c r="BX240" s="108" t="inlineStr">
        <is>
          <t>BOCOM International Securities Limited; CEB International Capital Corporation Limited; CLSA Limited; CMB International Capital Limited; ICBC International Securities Limited; Livermore Holdings Limited; Patrons Securities Limited; SPDB International Capital Limited; Tiger Brokers (HK) Global Limited; UOB Kay Hian (Hong Kong) Limited; Valuable Capital Limited; Zhongtai International Securities Limited</t>
        </is>
      </c>
      <c r="BY240" s="127">
        <f>HYPERLINK("https://www1.hkexnews.hk/listedco/listconews/sehk/2023/1229/2023122900027.pdf","prospectus")</f>
        <v/>
      </c>
      <c r="BZ240" s="127">
        <f>HYPERLINK("https://www1.hkexnews.hk/listedco/listconews/sehk/2024/0108/2024010801108.pdf","allotment")</f>
        <v/>
      </c>
      <c r="CA240" s="119" t="n"/>
      <c r="CB240" s="128" t="n"/>
      <c r="CC240" s="108" t="inlineStr">
        <is>
          <t>greenshoe: no over-allotment option; cornerstone list: no cornerstone tranche; greenshoe size: no over-allotment option; stabilising manager: no over-allotment option, so none appointed</t>
        </is>
      </c>
    </row>
    <row r="241" ht="22" customHeight="1">
      <c r="A241" s="107" t="inlineStr">
        <is>
          <t>2477</t>
        </is>
      </c>
      <c r="B241" s="108" t="inlineStr">
        <is>
          <t>WELLCELL HOLD</t>
        </is>
      </c>
      <c r="C241" s="108" t="inlineStr">
        <is>
          <t>經緯天地</t>
        </is>
      </c>
      <c r="D241" s="108" t="inlineStr">
        <is>
          <t>Healthcare</t>
        </is>
      </c>
      <c r="E241" s="108" t="inlineStr">
        <is>
          <t>Biopharma commercial</t>
        </is>
      </c>
      <c r="F241" s="108" t="inlineStr">
        <is>
          <t>Telecommunication Services</t>
        </is>
      </c>
      <c r="G241" s="108" t="inlineStr">
        <is>
          <t>Standard</t>
        </is>
      </c>
      <c r="H241" s="109" t="n">
        <v>45303</v>
      </c>
      <c r="I241" s="110" t="n">
        <v>125</v>
      </c>
      <c r="J241" s="108" t="inlineStr">
        <is>
          <t>gross (price x shares)</t>
        </is>
      </c>
      <c r="K241" s="111" t="n">
        <v>1</v>
      </c>
      <c r="L241" s="111" t="n">
        <v>1.3</v>
      </c>
      <c r="M241" s="111" t="n">
        <v>1</v>
      </c>
      <c r="N241" s="108" t="inlineStr">
        <is>
          <t>N</t>
        </is>
      </c>
      <c r="O241" s="112" t="n">
        <v>76.90000000000001</v>
      </c>
      <c r="P241" s="112" t="n">
        <v>0</v>
      </c>
      <c r="Q241" s="113" t="n">
        <v>500</v>
      </c>
      <c r="R241" s="108" t="inlineStr">
        <is>
          <t>derived:price x shares upon listing</t>
        </is>
      </c>
      <c r="S241" s="114" t="n">
        <v>28.64</v>
      </c>
      <c r="T241" s="115" t="n">
        <v>0.97</v>
      </c>
      <c r="U241" s="116" t="n">
        <v>0</v>
      </c>
      <c r="V241" s="117" t="n">
        <v>176</v>
      </c>
      <c r="W241" s="118" t="n"/>
      <c r="X241" s="108" t="inlineStr">
        <is>
          <t>NO</t>
        </is>
      </c>
      <c r="Y241" s="113" t="n">
        <v>125</v>
      </c>
      <c r="Z241" s="113" t="n">
        <v>125000000</v>
      </c>
      <c r="AA241" s="112" t="n">
        <v>25</v>
      </c>
      <c r="AB241" s="108" t="inlineStr">
        <is>
          <t>none — no cornerstone tranche</t>
        </is>
      </c>
      <c r="AC241" s="108" t="inlineStr">
        <is>
          <t>none</t>
        </is>
      </c>
      <c r="AD241" s="112" t="n">
        <v>20</v>
      </c>
      <c r="AE241" s="108" t="inlineStr">
        <is>
          <t>lapsed (no over-allocation)</t>
        </is>
      </c>
      <c r="AF241" s="119" t="n"/>
      <c r="AG241" s="108" t="inlineStr">
        <is>
          <t>Eddid Secu rities and Futures Limited</t>
        </is>
      </c>
      <c r="AH241" s="108" t="inlineStr">
        <is>
          <t>Eddid Secu</t>
        </is>
      </c>
      <c r="AI241" s="120" t="n">
        <v>64.5</v>
      </c>
      <c r="AJ241" s="121" t="n">
        <v>164</v>
      </c>
      <c r="AK241" s="121" t="n">
        <v>-1.41</v>
      </c>
      <c r="AL241" s="121" t="n">
        <v>77</v>
      </c>
      <c r="AM241" s="121" t="n">
        <v>49.15</v>
      </c>
      <c r="AN241" s="123" t="n">
        <v>1.12</v>
      </c>
      <c r="AO241" s="112" t="n">
        <v>55.93</v>
      </c>
      <c r="AP241" s="121" t="n">
        <v>250</v>
      </c>
      <c r="AQ241" s="121" t="n">
        <v>230</v>
      </c>
      <c r="AR241" s="121" t="n">
        <v>232</v>
      </c>
      <c r="AS241" s="121" t="n">
        <v>32.58</v>
      </c>
      <c r="AT241" s="121" t="n">
        <v>25</v>
      </c>
      <c r="AU241" s="121" t="n">
        <v>25.76</v>
      </c>
      <c r="AV241" s="121" t="n">
        <v>256.27</v>
      </c>
      <c r="AW241" s="121" t="n">
        <v>244.15</v>
      </c>
      <c r="AX241" s="121" t="n">
        <v>249.56</v>
      </c>
      <c r="AY241" s="121" t="n">
        <v>37.93</v>
      </c>
      <c r="AZ241" s="121" t="n">
        <v>-14.15</v>
      </c>
      <c r="BA241" s="121" t="n">
        <v>-12.93</v>
      </c>
      <c r="BB241" s="108" t="inlineStr">
        <is>
          <t>China Biotech ETF (HS biotech proxy)</t>
        </is>
      </c>
      <c r="BC241" s="121" t="n">
        <v>60</v>
      </c>
      <c r="BD241" s="109" t="n">
        <v>46297</v>
      </c>
      <c r="BE241" s="110" t="n">
        <v>249.2</v>
      </c>
      <c r="BF241" s="113" t="n">
        <v>26.7</v>
      </c>
      <c r="BG241" s="108" t="inlineStr">
        <is>
          <t>Y</t>
        </is>
      </c>
      <c r="BH241" s="123" t="n">
        <v>18.7</v>
      </c>
      <c r="BI241" s="122" t="n"/>
      <c r="BJ241" s="123" t="n">
        <v>64</v>
      </c>
      <c r="BK241" s="123" t="n">
        <v>2</v>
      </c>
      <c r="BL241" s="124">
        <f>IF('BBG Verify'!S241="","not filed; run on terminal",'BBG Verify'!S241)</f>
        <v/>
      </c>
      <c r="BM241" s="125" t="inlineStr">
        <is>
          <t>N</t>
        </is>
      </c>
      <c r="BN241" s="126">
        <f>IF('BBG Verify'!K241="","not filed; run on terminal",'BBG Verify'!K241)</f>
        <v/>
      </c>
      <c r="BO241" s="108" t="inlineStr">
        <is>
          <t>N/A</t>
        </is>
      </c>
      <c r="BP241" s="108" t="inlineStr">
        <is>
          <t>N/A</t>
        </is>
      </c>
      <c r="BQ241" s="108" t="inlineStr">
        <is>
          <t>N/A</t>
        </is>
      </c>
      <c r="BR241" s="108" t="inlineStr">
        <is>
          <t>N/A</t>
        </is>
      </c>
      <c r="BS241" s="108" t="inlineStr">
        <is>
          <t>N/A</t>
        </is>
      </c>
      <c r="BT241" s="108" t="inlineStr">
        <is>
          <t>N/A</t>
        </is>
      </c>
      <c r="BU241" s="125" t="inlineStr">
        <is>
          <t>Halcyon Capital Limited; Eddid Capital Limited</t>
        </is>
      </c>
      <c r="BV241" s="108" t="inlineStr">
        <is>
          <t>Halcyon Capital Limited; Eddid Capital Limited</t>
        </is>
      </c>
      <c r="BW241" s="108" t="inlineStr">
        <is>
          <t>Eddid Securities and Futures Limited; Halcyon Securities Limited; Beta International S ecurities Limited; CMBC Securities Company Limited; China PA Securities (Hong Kong) Company Limited; Quam Securities Limited; China Everbright Securities (HK) Limited</t>
        </is>
      </c>
      <c r="BX241" s="108" t="inlineStr">
        <is>
          <t>Beta International Securities Limited; China Everbright Securities (HK) Limited; Cinda International Capital Limited; CMBC Securities Company Limited; China PA Securities (Hong Kong) Company Limited; Eddid Securities and Futures Limited; Goldlink Securities Limited; Halcyon Securities Limited; Innovax Securities Limited; Maxa Capital Limited; Patrons Securities Limited; Quam Securities Limited</t>
        </is>
      </c>
      <c r="BY241" s="127">
        <f>HYPERLINK("https://www1.hkexnews.hk/listedco/listconews/sehk/2023/1228/2023122800033.pdf","prospectus")</f>
        <v/>
      </c>
      <c r="BZ241" s="127">
        <f>HYPERLINK("https://www1.hkexnews.hk/listedco/listconews/sehk/2024/0111/2024011101058.pdf","allotment")</f>
        <v/>
      </c>
      <c r="CA241" s="127">
        <f>HYPERLINK("https://www1.hkexnews.hk/listedco/listconews/sehk/2024/0208/2024020800426.pdf","stabilisation")</f>
        <v/>
      </c>
      <c r="CB241" s="128" t="n"/>
      <c r="CC241" s="108" t="inlineStr">
        <is>
          <t>greenshoe: outcome published; expiry date not in the notice; cornerstone list: no cornerstone tranche; allocation: allocation table not in this notice's format (older prose announcement)</t>
        </is>
      </c>
    </row>
    <row r="242" ht="22" customHeight="1">
      <c r="A242" s="107" t="inlineStr">
        <is>
          <t>2535</t>
        </is>
      </c>
      <c r="B242" s="108" t="inlineStr">
        <is>
          <t>WK GROUP</t>
        </is>
      </c>
      <c r="C242" s="108" t="inlineStr">
        <is>
          <t>泓基集團</t>
        </is>
      </c>
      <c r="D242" s="108" t="inlineStr">
        <is>
          <t>Industrials</t>
        </is>
      </c>
      <c r="E242" s="108" t="inlineStr">
        <is>
          <t>Construction / engineering</t>
        </is>
      </c>
      <c r="F242" s="108" t="inlineStr">
        <is>
          <t>Building Construction</t>
        </is>
      </c>
      <c r="G242" s="108" t="inlineStr">
        <is>
          <t>Standard</t>
        </is>
      </c>
      <c r="H242" s="109" t="n">
        <v>45359</v>
      </c>
      <c r="I242" s="110" t="n">
        <v>125</v>
      </c>
      <c r="J242" s="108" t="inlineStr">
        <is>
          <t>gross (stated)</t>
        </is>
      </c>
      <c r="K242" s="129" t="n"/>
      <c r="L242" s="111" t="n">
        <v>0.27</v>
      </c>
      <c r="M242" s="111" t="n">
        <v>0.25</v>
      </c>
      <c r="N242" s="108" t="inlineStr">
        <is>
          <t>N</t>
        </is>
      </c>
      <c r="O242" s="112" t="n">
        <v>92.59999999999999</v>
      </c>
      <c r="P242" s="118" t="n"/>
      <c r="Q242" s="113" t="n">
        <v>500</v>
      </c>
      <c r="R242" s="108" t="inlineStr">
        <is>
          <t>derived:price x shares upon listing</t>
        </is>
      </c>
      <c r="S242" s="114" t="n">
        <v>70.48</v>
      </c>
      <c r="T242" s="115" t="n">
        <v>0.98</v>
      </c>
      <c r="U242" s="116" t="n">
        <v>0</v>
      </c>
      <c r="V242" s="117" t="n">
        <v>147</v>
      </c>
      <c r="W242" s="112" t="n">
        <v>20</v>
      </c>
      <c r="X242" s="108" t="inlineStr">
        <is>
          <t>NO</t>
        </is>
      </c>
      <c r="Y242" s="113" t="n">
        <v>125</v>
      </c>
      <c r="Z242" s="113" t="n">
        <v>500000000</v>
      </c>
      <c r="AA242" s="112" t="n">
        <v>25</v>
      </c>
      <c r="AB242" s="108" t="inlineStr">
        <is>
          <t>none — no cornerstone tranche</t>
        </is>
      </c>
      <c r="AC242" s="108" t="inlineStr">
        <is>
          <t>none</t>
        </is>
      </c>
      <c r="AD242" s="118" t="n"/>
      <c r="AE242" s="108" t="inlineStr">
        <is>
          <t>lapsed</t>
        </is>
      </c>
      <c r="AF242" s="119" t="n"/>
      <c r="AG242" s="108" t="inlineStr">
        <is>
          <t>Yuen Meta</t>
        </is>
      </c>
      <c r="AH242" s="108" t="inlineStr">
        <is>
          <t>Yuen Meta</t>
        </is>
      </c>
      <c r="AI242" s="120" t="n">
        <v>164</v>
      </c>
      <c r="AJ242" s="121" t="n">
        <v>136</v>
      </c>
      <c r="AK242" s="121" t="n">
        <v>0.65</v>
      </c>
      <c r="AL242" s="121" t="n">
        <v>160</v>
      </c>
      <c r="AM242" s="121" t="n">
        <v>-9.23</v>
      </c>
      <c r="AN242" s="123" t="n">
        <v>0.97</v>
      </c>
      <c r="AO242" s="112" t="n">
        <v>38.46</v>
      </c>
      <c r="AP242" s="121" t="n">
        <v>156</v>
      </c>
      <c r="AQ242" s="121" t="n">
        <v>156</v>
      </c>
      <c r="AR242" s="121" t="n">
        <v>132</v>
      </c>
      <c r="AS242" s="121" t="n">
        <v>8.470000000000001</v>
      </c>
      <c r="AT242" s="121" t="n">
        <v>8.470000000000001</v>
      </c>
      <c r="AU242" s="121" t="n">
        <v>-1.69</v>
      </c>
      <c r="AV242" s="121" t="n">
        <v>151.85</v>
      </c>
      <c r="AW242" s="121" t="n">
        <v>147.36</v>
      </c>
      <c r="AX242" s="121" t="n">
        <v>117.92</v>
      </c>
      <c r="AY242" s="121" t="n">
        <v>0.53</v>
      </c>
      <c r="AZ242" s="121" t="n">
        <v>8.640000000000001</v>
      </c>
      <c r="BA242" s="121" t="n">
        <v>7.94</v>
      </c>
      <c r="BB242" s="108" t="inlineStr">
        <is>
          <t>Hang Seng Commerce &amp; Industry sub-index</t>
        </is>
      </c>
      <c r="BC242" s="121" t="n">
        <v>130</v>
      </c>
      <c r="BD242" s="109" t="n">
        <v>46297</v>
      </c>
      <c r="BE242" s="110" t="n">
        <v>336.4</v>
      </c>
      <c r="BF242" s="113" t="n">
        <v>39.3</v>
      </c>
      <c r="BG242" s="108" t="inlineStr">
        <is>
          <t>Y</t>
        </is>
      </c>
      <c r="BH242" s="123" t="n">
        <v>12.7</v>
      </c>
      <c r="BI242" s="122" t="n"/>
      <c r="BJ242" s="123" t="n">
        <v>72.09999999999999</v>
      </c>
      <c r="BK242" s="123" t="n">
        <v>1.5</v>
      </c>
      <c r="BL242" s="124">
        <f>IF('BBG Verify'!S242="","not filed; run on terminal",'BBG Verify'!S242)</f>
        <v/>
      </c>
      <c r="BM242" s="125" t="inlineStr">
        <is>
          <t>N</t>
        </is>
      </c>
      <c r="BN242" s="126">
        <f>IF('BBG Verify'!K242="","not filed; run on terminal",'BBG Verify'!K242)</f>
        <v/>
      </c>
      <c r="BO242" s="108" t="inlineStr">
        <is>
          <t>N/A</t>
        </is>
      </c>
      <c r="BP242" s="108" t="inlineStr">
        <is>
          <t>N/A</t>
        </is>
      </c>
      <c r="BQ242" s="108" t="inlineStr">
        <is>
          <t>N/A</t>
        </is>
      </c>
      <c r="BR242" s="108" t="inlineStr">
        <is>
          <t>N/A</t>
        </is>
      </c>
      <c r="BS242" s="108" t="inlineStr">
        <is>
          <t>N/A</t>
        </is>
      </c>
      <c r="BT242" s="108" t="inlineStr">
        <is>
          <t>N/A</t>
        </is>
      </c>
      <c r="BU242" s="125" t="inlineStr">
        <is>
          <t>Grande Capital Limited</t>
        </is>
      </c>
      <c r="BV242" s="108" t="inlineStr">
        <is>
          <t>Grande Capital Limited</t>
        </is>
      </c>
      <c r="BW242" s="108" t="inlineStr">
        <is>
          <t>Grande Capital Limited; Quam Securities Limited; Yuen Meta (International) Securities Limited</t>
        </is>
      </c>
      <c r="BX242" s="108" t="inlineStr">
        <is>
          <t>Eddid Securities and Futures Limited; Fortune Origin Securities Limited; Grand China Securities Limited; Grande Capital Limited; Lee Go Securities Limited; Livermore Holdings Limited; Quam Securities Limited; SBI China Capital Financial Services Limited; Victory Securities Company Limited; Yuen Meta (International) Securities Limited</t>
        </is>
      </c>
      <c r="BY242" s="127">
        <f>HYPERLINK("https://www1.hkexnews.hk/listedco/listconews/sehk/2024/0229/2024022900018.htm","prospectus")</f>
        <v/>
      </c>
      <c r="BZ242" s="127">
        <f>HYPERLINK("https://www1.hkexnews.hk/listedco/listconews/sehk/2024/0307/2024030700933.pdf","allotment")</f>
        <v/>
      </c>
      <c r="CA242" s="127">
        <f>HYPERLINK("https://www1.hkexnews.hk/listedco/listconews/sehk/2024/0405/2024040501467.pdf","stabilisation")</f>
        <v/>
      </c>
      <c r="CB242" s="128" t="n"/>
      <c r="CC242" s="108" t="inlineStr">
        <is>
          <t>greenshoe: outcome published; expiry date not in the notice; range low: maximum offer price only, no floor published; sponsor: English name not in the filing; AAStocks 保薦人 shown; cornerstone list: no cornerstone tranche; greenshoe size: no over-allotment option</t>
        </is>
      </c>
    </row>
    <row r="243" ht="22" customHeight="1">
      <c r="A243" s="107" t="inlineStr">
        <is>
          <t>2540</t>
        </is>
      </c>
      <c r="B243" s="108" t="inlineStr">
        <is>
          <t>LESI GROUP</t>
        </is>
      </c>
      <c r="C243" s="108" t="inlineStr">
        <is>
          <t>樂思集團</t>
        </is>
      </c>
      <c r="D243" s="108" t="inlineStr">
        <is>
          <t>TMT-other</t>
        </is>
      </c>
      <c r="E243" s="108" t="inlineStr">
        <is>
          <t>Media / advertising</t>
        </is>
      </c>
      <c r="F243" s="108" t="inlineStr">
        <is>
          <t>Advertising</t>
        </is>
      </c>
      <c r="G243" s="108" t="inlineStr">
        <is>
          <t>Standard</t>
        </is>
      </c>
      <c r="H243" s="109" t="n">
        <v>45359</v>
      </c>
      <c r="I243" s="110" t="n">
        <v>137.5</v>
      </c>
      <c r="J243" s="108" t="inlineStr">
        <is>
          <t>gross (price x shares)</t>
        </is>
      </c>
      <c r="K243" s="111" t="n">
        <v>1.1</v>
      </c>
      <c r="L243" s="111" t="n">
        <v>1.5</v>
      </c>
      <c r="M243" s="111" t="n">
        <v>1.1</v>
      </c>
      <c r="N243" s="108" t="inlineStr">
        <is>
          <t>N</t>
        </is>
      </c>
      <c r="O243" s="112" t="n">
        <v>73.3</v>
      </c>
      <c r="P243" s="112" t="n">
        <v>0</v>
      </c>
      <c r="Q243" s="113" t="n">
        <v>550</v>
      </c>
      <c r="R243" s="108" t="inlineStr">
        <is>
          <t>derived:price x shares upon listing</t>
        </is>
      </c>
      <c r="S243" s="114" t="n">
        <v>22.35</v>
      </c>
      <c r="T243" s="115" t="n">
        <v>1.46</v>
      </c>
      <c r="U243" s="116" t="n">
        <v>0</v>
      </c>
      <c r="V243" s="117" t="n">
        <v>242</v>
      </c>
      <c r="W243" s="112" t="n">
        <v>30</v>
      </c>
      <c r="X243" s="108" t="inlineStr">
        <is>
          <t>YES</t>
        </is>
      </c>
      <c r="Y243" s="113" t="n">
        <v>137.5</v>
      </c>
      <c r="Z243" s="113" t="n">
        <v>125000000</v>
      </c>
      <c r="AA243" s="112" t="n">
        <v>25</v>
      </c>
      <c r="AB243" s="108" t="inlineStr">
        <is>
          <t>none — no cornerstone tranche</t>
        </is>
      </c>
      <c r="AC243" s="108" t="inlineStr">
        <is>
          <t>none</t>
        </is>
      </c>
      <c r="AD243" s="112" t="n">
        <v>20</v>
      </c>
      <c r="AE243" s="108" t="inlineStr">
        <is>
          <t>lapsed (no over-allocation)</t>
        </is>
      </c>
      <c r="AF243" s="119" t="n"/>
      <c r="AG243" s="119" t="n"/>
      <c r="AH243" s="119" t="n"/>
      <c r="AI243" s="120" t="n">
        <v>-16.36</v>
      </c>
      <c r="AJ243" s="121" t="n">
        <v>36.36</v>
      </c>
      <c r="AK243" s="121" t="n">
        <v>0.76</v>
      </c>
      <c r="AL243" s="121" t="n">
        <v>-18.18</v>
      </c>
      <c r="AM243" s="121" t="n">
        <v>66.66</v>
      </c>
      <c r="AN243" s="123" t="n">
        <v>1.75</v>
      </c>
      <c r="AO243" s="112" t="n">
        <v>77.78</v>
      </c>
      <c r="AP243" s="121" t="n">
        <v>166.36</v>
      </c>
      <c r="AQ243" s="121" t="n">
        <v>219.09</v>
      </c>
      <c r="AR243" s="121" t="n">
        <v>90.91</v>
      </c>
      <c r="AS243" s="121" t="n">
        <v>95.34</v>
      </c>
      <c r="AT243" s="121" t="n">
        <v>134.01</v>
      </c>
      <c r="AU243" s="121" t="n">
        <v>40</v>
      </c>
      <c r="AV243" s="121" t="n">
        <v>163.33</v>
      </c>
      <c r="AW243" s="121" t="n">
        <v>213.76</v>
      </c>
      <c r="AX243" s="121" t="n">
        <v>79.31</v>
      </c>
      <c r="AY243" s="121" t="n">
        <v>129.47</v>
      </c>
      <c r="AZ243" s="121" t="n">
        <v>5.33</v>
      </c>
      <c r="BA243" s="121" t="n">
        <v>4.54</v>
      </c>
      <c r="BB243" s="108" t="inlineStr">
        <is>
          <t>Hang Seng Index</t>
        </is>
      </c>
      <c r="BC243" s="121" t="n">
        <v>-26.82</v>
      </c>
      <c r="BD243" s="109" t="n">
        <v>46297</v>
      </c>
      <c r="BE243" s="110" t="n">
        <v>541.8</v>
      </c>
      <c r="BF243" s="113" t="n">
        <v>75.09999999999999</v>
      </c>
      <c r="BG243" s="108" t="inlineStr">
        <is>
          <t>Y</t>
        </is>
      </c>
      <c r="BH243" s="123" t="n">
        <v>7.3</v>
      </c>
      <c r="BI243" s="122" t="n"/>
      <c r="BJ243" s="123" t="n">
        <v>8.300000000000001</v>
      </c>
      <c r="BK243" s="123" t="n">
        <v>1</v>
      </c>
      <c r="BL243" s="124">
        <f>IF('BBG Verify'!S243="","not filed; run on terminal",'BBG Verify'!S243)</f>
        <v/>
      </c>
      <c r="BM243" s="125" t="inlineStr">
        <is>
          <t>N</t>
        </is>
      </c>
      <c r="BN243" s="126">
        <f>IF('BBG Verify'!K243="","not filed; run on terminal",'BBG Verify'!K243)</f>
        <v/>
      </c>
      <c r="BO243" s="108" t="inlineStr">
        <is>
          <t>N/A</t>
        </is>
      </c>
      <c r="BP243" s="108" t="inlineStr">
        <is>
          <t>N/A</t>
        </is>
      </c>
      <c r="BQ243" s="108" t="inlineStr">
        <is>
          <t>N/A</t>
        </is>
      </c>
      <c r="BR243" s="108" t="inlineStr">
        <is>
          <t>N/A</t>
        </is>
      </c>
      <c r="BS243" s="108" t="inlineStr">
        <is>
          <t>N/A</t>
        </is>
      </c>
      <c r="BT243" s="108" t="inlineStr">
        <is>
          <t>N/A</t>
        </is>
      </c>
      <c r="BU243" s="125" t="inlineStr">
        <is>
          <t>China Sunrise Capital Limited</t>
        </is>
      </c>
      <c r="BV243" s="108" t="inlineStr">
        <is>
          <t>China Sunrise Capital Limited</t>
        </is>
      </c>
      <c r="BW243" s="108" t="inlineStr">
        <is>
          <t>China Sunrise Securities (International) Limited; ABCI Capital Limited; BOCI Asia Limited; BOCOM International S ecurities Limited; CEB International Capital Corporation Limited</t>
        </is>
      </c>
      <c r="BX243" s="108" t="inlineStr">
        <is>
          <t>ABCI Securities Company Limited; BOCI Asia Limited; BOCOM International Securities Limited; CEB International Capital Corporation Limited; China Galaxy International Securities (Hong Kong) Company Limited; China Sunrise Securities (International) Limited; Long Bridge HK Limited; Orient Securities (Hong Kong) Limited; Soochow Securities International Brokerage Limited; Valuable Capital Limited</t>
        </is>
      </c>
      <c r="BY243" s="127">
        <f>HYPERLINK("https://www1.hkexnews.hk/listedco/listconews/sehk/2024/0229/2024022900168.pdf","prospectus")</f>
        <v/>
      </c>
      <c r="BZ243" s="127">
        <f>HYPERLINK("https://www1.hkexnews.hk/listedco/listconews/sehk/2024/0307/2024030700935.pdf","allotment")</f>
        <v/>
      </c>
      <c r="CA243" s="127">
        <f>HYPERLINK("https://www1.hkexnews.hk/listedco/listconews/sehk/2024/0405/2024040500023.pdf","stabilisation")</f>
        <v/>
      </c>
      <c r="CB243" s="128" t="n"/>
      <c r="CC243" s="108" t="inlineStr">
        <is>
          <t>greenshoe: outcome published; expiry date not in the notice; cornerstone list: no cornerstone tranche; stabilising manager: not named in the allotment notice or prospectus glossary</t>
        </is>
      </c>
    </row>
    <row r="244" ht="22" customHeight="1">
      <c r="A244" s="107" t="inlineStr">
        <is>
          <t>2509</t>
        </is>
      </c>
      <c r="B244" s="108" t="inlineStr">
        <is>
          <t>QYUNS-B</t>
        </is>
      </c>
      <c r="C244" s="108" t="inlineStr">
        <is>
          <t>荃信生物－Ｂ</t>
        </is>
      </c>
      <c r="D244" s="108" t="inlineStr">
        <is>
          <t>Healthcare</t>
        </is>
      </c>
      <c r="E244" s="108" t="inlineStr">
        <is>
          <t>Biotech pre-revenue (18A)</t>
        </is>
      </c>
      <c r="F244" s="108" t="inlineStr">
        <is>
          <t>Biotechnology - Pharmaceuticals</t>
        </is>
      </c>
      <c r="G244" s="108" t="inlineStr">
        <is>
          <t>18A</t>
        </is>
      </c>
      <c r="H244" s="109" t="n">
        <v>45371</v>
      </c>
      <c r="I244" s="110" t="n">
        <v>238.5</v>
      </c>
      <c r="J244" s="108" t="inlineStr">
        <is>
          <t>gross (price x shares)</t>
        </is>
      </c>
      <c r="K244" s="111" t="n">
        <v>19.8</v>
      </c>
      <c r="L244" s="111" t="n">
        <v>20.2</v>
      </c>
      <c r="M244" s="111" t="n">
        <v>19.8</v>
      </c>
      <c r="N244" s="108" t="inlineStr">
        <is>
          <t>N</t>
        </is>
      </c>
      <c r="O244" s="112" t="n">
        <v>98</v>
      </c>
      <c r="P244" s="112" t="n">
        <v>0</v>
      </c>
      <c r="Q244" s="113" t="n">
        <v>4397</v>
      </c>
      <c r="R244" s="108" t="inlineStr">
        <is>
          <t>derived:price x shares upon listing</t>
        </is>
      </c>
      <c r="S244" s="114" t="n">
        <v>163.15</v>
      </c>
      <c r="T244" s="115" t="n">
        <v>1</v>
      </c>
      <c r="U244" s="116" t="n">
        <v>82.05</v>
      </c>
      <c r="V244" s="117" t="n">
        <v>109</v>
      </c>
      <c r="W244" s="112" t="n">
        <v>17.77</v>
      </c>
      <c r="X244" s="119" t="n"/>
      <c r="Y244" s="113" t="n">
        <v>42.81</v>
      </c>
      <c r="Z244" s="113" t="n">
        <v>2162329</v>
      </c>
      <c r="AA244" s="112" t="n">
        <v>0.97</v>
      </c>
      <c r="AB244" s="108" t="inlineStr">
        <is>
          <t>Huadong Medicine Investment Holding (Hong Kong) Limited; Beevest Capital Limited; JianXin Medical Technology Limited</t>
        </is>
      </c>
      <c r="AC244" s="108" t="inlineStr">
        <is>
          <t>huadong;beevest;jianxin</t>
        </is>
      </c>
      <c r="AD244" s="118" t="n"/>
      <c r="AE244" s="119" t="n"/>
      <c r="AF244" s="119" t="n"/>
      <c r="AG244" s="119" t="n"/>
      <c r="AH244" s="119" t="n"/>
      <c r="AI244" s="120" t="n">
        <v>38.13</v>
      </c>
      <c r="AJ244" s="121" t="n">
        <v>23.74</v>
      </c>
      <c r="AK244" s="121" t="n">
        <v>0.16</v>
      </c>
      <c r="AL244" s="121" t="n">
        <v>38.38</v>
      </c>
      <c r="AM244" s="121" t="n">
        <v>-10.58</v>
      </c>
      <c r="AN244" s="123" t="n">
        <v>1.08</v>
      </c>
      <c r="AO244" s="112" t="n">
        <v>13.5</v>
      </c>
      <c r="AP244" s="121" t="n">
        <v>20.96</v>
      </c>
      <c r="AQ244" s="121" t="n">
        <v>20.71</v>
      </c>
      <c r="AR244" s="121" t="n">
        <v>39.65</v>
      </c>
      <c r="AS244" s="121" t="n">
        <v>-2.25</v>
      </c>
      <c r="AT244" s="121" t="n">
        <v>-2.45</v>
      </c>
      <c r="AU244" s="121" t="n">
        <v>12.86</v>
      </c>
      <c r="AV244" s="121" t="n">
        <v>24.95</v>
      </c>
      <c r="AW244" s="121" t="n">
        <v>27.75</v>
      </c>
      <c r="AX244" s="121" t="n">
        <v>50.34</v>
      </c>
      <c r="AY244" s="121" t="n">
        <v>4.74</v>
      </c>
      <c r="AZ244" s="121" t="n">
        <v>-7.04</v>
      </c>
      <c r="BA244" s="121" t="n">
        <v>-7.19</v>
      </c>
      <c r="BB244" s="108" t="inlineStr">
        <is>
          <t>China Biotech ETF (HS biotech proxy)</t>
        </is>
      </c>
      <c r="BC244" s="121" t="n">
        <v>-14.14</v>
      </c>
      <c r="BD244" s="109" t="n">
        <v>46297</v>
      </c>
      <c r="BE244" s="110" t="n">
        <v>81.2</v>
      </c>
      <c r="BF244" s="113" t="n">
        <v>-226.5</v>
      </c>
      <c r="BG244" s="108" t="inlineStr">
        <is>
          <t>N</t>
        </is>
      </c>
      <c r="BH244" s="108" t="inlineStr">
        <is>
          <t>n/m</t>
        </is>
      </c>
      <c r="BI244" s="122" t="n"/>
      <c r="BJ244" s="123" t="n">
        <v>11.1</v>
      </c>
      <c r="BK244" s="123" t="n">
        <v>54.2</v>
      </c>
      <c r="BL244" s="124">
        <f>IF('BBG Verify'!S244="","not filed; run on terminal",'BBG Verify'!S244)</f>
        <v/>
      </c>
      <c r="BM244" s="125" t="inlineStr">
        <is>
          <t>N</t>
        </is>
      </c>
      <c r="BN244" s="126">
        <f>IF('BBG Verify'!K244="","not filed; run on terminal",'BBG Verify'!K244)</f>
        <v/>
      </c>
      <c r="BO244" s="108" t="inlineStr">
        <is>
          <t>N/A</t>
        </is>
      </c>
      <c r="BP244" s="108" t="inlineStr">
        <is>
          <t>N/A</t>
        </is>
      </c>
      <c r="BQ244" s="108" t="inlineStr">
        <is>
          <t>N/A</t>
        </is>
      </c>
      <c r="BR244" s="108" t="inlineStr">
        <is>
          <t>N/A</t>
        </is>
      </c>
      <c r="BS244" s="108" t="inlineStr">
        <is>
          <t>N/A</t>
        </is>
      </c>
      <c r="BT244" s="108" t="inlineStr">
        <is>
          <t>N/A</t>
        </is>
      </c>
      <c r="BU244" s="125" t="inlineStr">
        <is>
          <t>China International Capital Corporation Hong Kong Securities Limited</t>
        </is>
      </c>
      <c r="BV244" s="108" t="inlineStr">
        <is>
          <t>China International Capital Corporation Hong Kong Securities Limited</t>
        </is>
      </c>
      <c r="BW244" s="108" t="inlineStr">
        <is>
          <t>China International Capital Corporation Hong Kong Securities Limited; Essence International Securities (Hong Kong) Limited; Guotai Junan Securities (Hong Kong) Limited; Huatai Financial Holdings (Hong Kong) Limited; China Industrial Securities International Capital Limited; Livermore Holdings Limited; Tiger Brokers (HK) Global Limited</t>
        </is>
      </c>
      <c r="BX244" s="108" t="inlineStr">
        <is>
          <t>China Galaxy International Securities (Hong Kong) Company Limited; China International Capital Corporation Hong Kong Securities Limited; China Industrial Securities International Capital Limited; Citrus Securities Limited; Essence International Securities (Hong Kong) Limited; Fosun International Securities Limited; Guotai Junan Securities (Hong Kong) Limited; Huatai Financial Holdings (Hong Kong) Limited; Hong Tai Securities Limited; Livermore Holdings Limited; SPDB International Capital Limited; Tiger Brokers (HK) Global Limited</t>
        </is>
      </c>
      <c r="BY244" s="127">
        <f>HYPERLINK("https://www1.hkexnews.hk/listedco/listconews/sehk/2024/0312/2024031200007.pdf","prospectus")</f>
        <v/>
      </c>
      <c r="BZ244" s="127">
        <f>HYPERLINK("https://www1.hkexnews.hk/listedco/listconews/sehk/2024/0319/2024031901351.pdf","allotment")</f>
        <v/>
      </c>
      <c r="CA244" s="119" t="n"/>
      <c r="CB244" s="128" t="n"/>
      <c r="CC244" s="108" t="inlineStr">
        <is>
          <t>P/E: loss-making at IPO, use P/S; greenshoe: no over-allotment option; sponsor: English name not in the filing; AAStocks 保薦人 shown; greenshoe size: no over-allotment option; stabilising manager: no over-allotment option, so none appointed; allocation: clawback line not in this notice; a 12-28% split is consistent with either a tier-1 clawback or a placing shortfall</t>
        </is>
      </c>
    </row>
    <row r="245" ht="22" customHeight="1">
      <c r="A245" s="107" t="inlineStr">
        <is>
          <t>9879</t>
        </is>
      </c>
      <c r="B245" s="108" t="inlineStr">
        <is>
          <t>MIGAO GROUP</t>
        </is>
      </c>
      <c r="C245" s="108" t="inlineStr">
        <is>
          <t>米高集團</t>
        </is>
      </c>
      <c r="D245" s="108" t="inlineStr">
        <is>
          <t>Materials/Energy</t>
        </is>
      </c>
      <c r="E245" s="108" t="inlineStr">
        <is>
          <t>Chemicals</t>
        </is>
      </c>
      <c r="F245" s="108" t="inlineStr">
        <is>
          <t>Fertilizers &amp; Agricultural Chemicals</t>
        </is>
      </c>
      <c r="G245" s="108" t="inlineStr">
        <is>
          <t>Standard</t>
        </is>
      </c>
      <c r="H245" s="109" t="n">
        <v>45372</v>
      </c>
      <c r="I245" s="110" t="n">
        <v>918</v>
      </c>
      <c r="J245" s="108" t="inlineStr">
        <is>
          <t>gross (price x shares)</t>
        </is>
      </c>
      <c r="K245" s="111" t="n">
        <v>3.3</v>
      </c>
      <c r="L245" s="111" t="n">
        <v>4.3</v>
      </c>
      <c r="M245" s="111" t="n">
        <v>4.08</v>
      </c>
      <c r="N245" s="108" t="inlineStr">
        <is>
          <t>N</t>
        </is>
      </c>
      <c r="O245" s="112" t="n">
        <v>94.90000000000001</v>
      </c>
      <c r="P245" s="112" t="n">
        <v>78</v>
      </c>
      <c r="Q245" s="113" t="n">
        <v>3672</v>
      </c>
      <c r="R245" s="108" t="inlineStr">
        <is>
          <t>derived:price x shares upon listing</t>
        </is>
      </c>
      <c r="S245" s="114" t="n">
        <v>9.789999999999999</v>
      </c>
      <c r="T245" s="115" t="n">
        <v>1.28</v>
      </c>
      <c r="U245" s="116" t="n">
        <v>45.58</v>
      </c>
      <c r="V245" s="117" t="n">
        <v>119</v>
      </c>
      <c r="W245" s="112" t="n">
        <v>10</v>
      </c>
      <c r="X245" s="108" t="inlineStr">
        <is>
          <t>NO</t>
        </is>
      </c>
      <c r="Y245" s="113" t="n">
        <v>499.58</v>
      </c>
      <c r="Z245" s="113" t="n">
        <v>122445000</v>
      </c>
      <c r="AA245" s="112" t="n">
        <v>13.61</v>
      </c>
      <c r="AB245" s="108" t="inlineStr">
        <is>
          <t>MEGA DYNAMIC GROUP LIMITED; Harvest Global Capital Investments Limited; Changsheng Fund Management Co., Ltd. - CHINA GF BANK- CHANGSHENG FUND -QDII1</t>
        </is>
      </c>
      <c r="AC245" s="108" t="inlineStr">
        <is>
          <t>mega;harvest;changsheng</t>
        </is>
      </c>
      <c r="AD245" s="112" t="n">
        <v>10</v>
      </c>
      <c r="AE245" s="108" t="inlineStr">
        <is>
          <t>partial</t>
        </is>
      </c>
      <c r="AF245" s="119" t="n"/>
      <c r="AG245" s="119" t="n"/>
      <c r="AH245" s="119" t="n"/>
      <c r="AI245" s="120" t="n">
        <v>16.18</v>
      </c>
      <c r="AJ245" s="121" t="n">
        <v>0.25</v>
      </c>
      <c r="AK245" s="121" t="n">
        <v>1.73</v>
      </c>
      <c r="AL245" s="121" t="n">
        <v>7.35</v>
      </c>
      <c r="AM245" s="121" t="n">
        <v>-6.61</v>
      </c>
      <c r="AN245" s="123" t="n">
        <v>1.53</v>
      </c>
      <c r="AO245" s="112" t="n">
        <v>11.42</v>
      </c>
      <c r="AP245" s="121" t="n">
        <v>-0</v>
      </c>
      <c r="AQ245" s="121" t="n">
        <v>31.13</v>
      </c>
      <c r="AR245" s="121" t="n">
        <v>98.53</v>
      </c>
      <c r="AS245" s="121" t="n">
        <v>-0.25</v>
      </c>
      <c r="AT245" s="121" t="n">
        <v>30.8</v>
      </c>
      <c r="AU245" s="121" t="n">
        <v>98.03</v>
      </c>
      <c r="AV245" s="121" t="n">
        <v>-0.77</v>
      </c>
      <c r="AW245" s="121" t="n">
        <v>25.83</v>
      </c>
      <c r="AX245" s="121" t="n">
        <v>89.27</v>
      </c>
      <c r="AY245" s="121" t="n">
        <v>27.29</v>
      </c>
      <c r="AZ245" s="121" t="n">
        <v>5.3</v>
      </c>
      <c r="BA245" s="121" t="n">
        <v>3.51</v>
      </c>
      <c r="BB245" s="108" t="inlineStr">
        <is>
          <t>Hang Seng Commerce &amp; Industry sub-index</t>
        </is>
      </c>
      <c r="BC245" s="121" t="n">
        <v>121.32</v>
      </c>
      <c r="BD245" s="109" t="n">
        <v>46297</v>
      </c>
      <c r="BE245" s="110" t="n">
        <v>5195</v>
      </c>
      <c r="BF245" s="113" t="n">
        <v>436.2</v>
      </c>
      <c r="BG245" s="108" t="inlineStr">
        <is>
          <t>Y</t>
        </is>
      </c>
      <c r="BH245" s="123" t="n">
        <v>8.4</v>
      </c>
      <c r="BI245" s="122" t="n"/>
      <c r="BJ245" s="123" t="n">
        <v>19.8</v>
      </c>
      <c r="BK245" s="123" t="n">
        <v>0.7</v>
      </c>
      <c r="BL245" s="124">
        <f>IF('BBG Verify'!S245="","not filed; run on terminal",'BBG Verify'!S245)</f>
        <v/>
      </c>
      <c r="BM245" s="125" t="inlineStr">
        <is>
          <t>N</t>
        </is>
      </c>
      <c r="BN245" s="126">
        <f>IF('BBG Verify'!K245="","not filed; run on terminal",'BBG Verify'!K245)</f>
        <v/>
      </c>
      <c r="BO245" s="108" t="inlineStr">
        <is>
          <t>N/A</t>
        </is>
      </c>
      <c r="BP245" s="108" t="inlineStr">
        <is>
          <t>N/A</t>
        </is>
      </c>
      <c r="BQ245" s="108" t="inlineStr">
        <is>
          <t>N/A</t>
        </is>
      </c>
      <c r="BR245" s="108" t="inlineStr">
        <is>
          <t>N/A</t>
        </is>
      </c>
      <c r="BS245" s="108" t="inlineStr">
        <is>
          <t>N/A</t>
        </is>
      </c>
      <c r="BT245" s="108" t="inlineStr">
        <is>
          <t>N/A</t>
        </is>
      </c>
      <c r="BU245" s="125" t="inlineStr">
        <is>
          <t>GF Capital (Hong Kong) Limited</t>
        </is>
      </c>
      <c r="BV245" s="108" t="inlineStr">
        <is>
          <t>GF Capital (Hong Kong) Limited</t>
        </is>
      </c>
      <c r="BW245" s="108" t="inlineStr">
        <is>
          <t>GF Securities (Hong Kong) Brokerage Limited; CMB International Capital Limited; Essence International Securities (Hong Kong) Limited; China Merchants Securities (HK) Co., Limited; ABCI Capital Limited; China Everbright Securities (HK) Limited; Shenwan Hongyuan Securities (H.K.) Limited; Orient Securities (Hong Kong) Limited; Livermore Holdings Limited</t>
        </is>
      </c>
      <c r="BX245" s="108" t="inlineStr">
        <is>
          <t>ABCI Securities Company Limited; China Everbright Securities (HK) Limited; CMB International Capital Limited; China Merchants Securities (HK) Company Limited; Essence International Securities (Hong Kong) Limited; GF Securities (Hong Kong) Brokerage Limited; Livermore Holdings Limited; Orient Securities (Hong Kong) Limited; Shenwan Hongyuan Securities (H.K.) Limited; Soochow Securities International Brokerage Limited</t>
        </is>
      </c>
      <c r="BY245" s="127">
        <f>HYPERLINK("https://www1.hkexnews.hk/listedco/listconews/sehk/2024/0313/2024031300019.pdf","prospectus")</f>
        <v/>
      </c>
      <c r="BZ245" s="127">
        <f>HYPERLINK("https://www1.hkexnews.hk/listedco/listconews/sehk/2024/0320/2024032001597.pdf","allotment")</f>
        <v/>
      </c>
      <c r="CA245" s="127">
        <f>HYPERLINK("https://www1.hkexnews.hk/listedco/listconews/sehk/2024/0417/2024041701556.pdf","stabilisation")</f>
        <v/>
      </c>
      <c r="CB245" s="128" t="n"/>
      <c r="CC245" s="108" t="inlineStr">
        <is>
          <t>greenshoe: outcome published; expiry date not in the notice; stabilising manager: not named in the allotment notice or prospectus glossary</t>
        </is>
      </c>
    </row>
    <row r="246" ht="22" customHeight="1">
      <c r="A246" s="107" t="inlineStr">
        <is>
          <t>2536</t>
        </is>
      </c>
      <c r="B246" s="108" t="inlineStr">
        <is>
          <t>PALASINO</t>
        </is>
      </c>
      <c r="C246" s="108" t="inlineStr">
        <is>
          <t>百樂皇宮</t>
        </is>
      </c>
      <c r="D246" s="108" t="inlineStr">
        <is>
          <t>Consumer</t>
        </is>
      </c>
      <c r="E246" s="108" t="inlineStr">
        <is>
          <t>Consumer services / education</t>
        </is>
      </c>
      <c r="F246" s="108" t="inlineStr">
        <is>
          <t>Casinos &amp; Gaming</t>
        </is>
      </c>
      <c r="G246" s="108" t="inlineStr">
        <is>
          <t>Standard</t>
        </is>
      </c>
      <c r="H246" s="109" t="n">
        <v>45377</v>
      </c>
      <c r="I246" s="132" t="n"/>
      <c r="J246" s="119" t="n"/>
      <c r="K246" s="129" t="n"/>
      <c r="L246" s="111" t="n">
        <v>2.6</v>
      </c>
      <c r="M246" s="111" t="n">
        <v>2.6</v>
      </c>
      <c r="N246" s="108" t="inlineStr">
        <is>
          <t>Y</t>
        </is>
      </c>
      <c r="O246" s="112" t="n">
        <v>100</v>
      </c>
      <c r="P246" s="118" t="n"/>
      <c r="Q246" s="113" t="n">
        <v>2080</v>
      </c>
      <c r="R246" s="108" t="inlineStr">
        <is>
          <t>prospectus:stated market capitalisation</t>
        </is>
      </c>
      <c r="S246" s="114" t="n">
        <v>0.23</v>
      </c>
      <c r="T246" s="115" t="n">
        <v>1.29</v>
      </c>
      <c r="U246" s="116" t="n">
        <v>18.8</v>
      </c>
      <c r="V246" s="117" t="n">
        <v>219</v>
      </c>
      <c r="W246" s="112" t="n">
        <v>30</v>
      </c>
      <c r="X246" s="108" t="inlineStr">
        <is>
          <t>YES</t>
        </is>
      </c>
      <c r="Y246" s="131" t="n"/>
      <c r="Z246" s="131" t="n"/>
      <c r="AA246" s="118" t="n"/>
      <c r="AB246" s="108" t="inlineStr">
        <is>
          <t>XIANG SHANG GAMES CO., LTD</t>
        </is>
      </c>
      <c r="AC246" s="108" t="inlineStr">
        <is>
          <t>xiang</t>
        </is>
      </c>
      <c r="AD246" s="112" t="n">
        <v>8.93</v>
      </c>
      <c r="AE246" s="108" t="inlineStr">
        <is>
          <t>partial</t>
        </is>
      </c>
      <c r="AF246" s="119" t="n"/>
      <c r="AG246" s="108" t="inlineStr">
        <is>
          <t>Guotai Junan Securities</t>
        </is>
      </c>
      <c r="AH246" s="108" t="inlineStr">
        <is>
          <t>Guotai Junan</t>
        </is>
      </c>
      <c r="AI246" s="120" t="n">
        <v>11.54</v>
      </c>
      <c r="AJ246" s="121" t="n">
        <v>15.38</v>
      </c>
      <c r="AK246" s="121" t="n">
        <v>1.07</v>
      </c>
      <c r="AL246" s="121" t="n">
        <v>5.77</v>
      </c>
      <c r="AM246" s="121" t="n">
        <v>9.09</v>
      </c>
      <c r="AN246" s="123" t="n">
        <v>1.18</v>
      </c>
      <c r="AO246" s="112" t="n">
        <v>21.45</v>
      </c>
      <c r="AP246" s="121" t="n">
        <v>111.54</v>
      </c>
      <c r="AQ246" s="121" t="n">
        <v>111.92</v>
      </c>
      <c r="AR246" s="121" t="n">
        <v>129.62</v>
      </c>
      <c r="AS246" s="121" t="n">
        <v>83.34</v>
      </c>
      <c r="AT246" s="121" t="n">
        <v>83.67</v>
      </c>
      <c r="AU246" s="121" t="n">
        <v>99.01000000000001</v>
      </c>
      <c r="AV246" s="121" t="n">
        <v>109.11</v>
      </c>
      <c r="AW246" s="121" t="n">
        <v>103.81</v>
      </c>
      <c r="AX246" s="121" t="n">
        <v>122.55</v>
      </c>
      <c r="AY246" s="121" t="n">
        <v>76.7</v>
      </c>
      <c r="AZ246" s="121" t="n">
        <v>8.109999999999999</v>
      </c>
      <c r="BA246" s="121" t="n">
        <v>6.97</v>
      </c>
      <c r="BB246" s="108" t="inlineStr">
        <is>
          <t>Hang Seng Commerce &amp; Industry sub-index</t>
        </is>
      </c>
      <c r="BC246" s="121" t="n">
        <v>-75.38</v>
      </c>
      <c r="BD246" s="109" t="n">
        <v>46297</v>
      </c>
      <c r="BE246" s="110" t="n">
        <v>529</v>
      </c>
      <c r="BF246" s="113" t="n">
        <v>44.2</v>
      </c>
      <c r="BG246" s="108" t="inlineStr">
        <is>
          <t>Y</t>
        </is>
      </c>
      <c r="BH246" s="123" t="n">
        <v>47.1</v>
      </c>
      <c r="BI246" s="122" t="n"/>
      <c r="BJ246" s="123" t="n">
        <v>49</v>
      </c>
      <c r="BK246" s="123" t="n">
        <v>3.9</v>
      </c>
      <c r="BL246" s="124">
        <f>IF('BBG Verify'!S246="","not filed; run on terminal",'BBG Verify'!S246)</f>
        <v/>
      </c>
      <c r="BM246" s="125" t="inlineStr">
        <is>
          <t>N</t>
        </is>
      </c>
      <c r="BN246" s="126">
        <f>IF('BBG Verify'!K246="","not filed; run on terminal",'BBG Verify'!K246)</f>
        <v/>
      </c>
      <c r="BO246" s="108" t="inlineStr">
        <is>
          <t>N/A</t>
        </is>
      </c>
      <c r="BP246" s="108" t="inlineStr">
        <is>
          <t>N/A</t>
        </is>
      </c>
      <c r="BQ246" s="108" t="inlineStr">
        <is>
          <t>N/A</t>
        </is>
      </c>
      <c r="BR246" s="108" t="inlineStr">
        <is>
          <t>N/A</t>
        </is>
      </c>
      <c r="BS246" s="108" t="inlineStr">
        <is>
          <t>N/A</t>
        </is>
      </c>
      <c r="BT246" s="108" t="inlineStr">
        <is>
          <t>N/A</t>
        </is>
      </c>
      <c r="BU246" s="125" t="inlineStr">
        <is>
          <t>Guotai Junan Capital Limited</t>
        </is>
      </c>
      <c r="BV246" s="108" t="inlineStr">
        <is>
          <t>Guotai Junan Capital Limited</t>
        </is>
      </c>
      <c r="BW246" s="108" t="inlineStr">
        <is>
          <t>Guotai Junan Securities (Hong Kong) Limited; CMB International Capital Limited; Zhongtai International Securities Limited; UOB Kay Hian (Hong Kong) Limited; CCB International Capital Limited; Livermore Holdings Limited; Guosen Securities (HK) Capital Company Limited; Long Bridge HK Limited</t>
        </is>
      </c>
      <c r="BX246" s="108" t="inlineStr">
        <is>
          <t>CCB International Capital Limited; CMB International Capital Limited; Guotai Junan Securities (Hong Kong) Limited; Guosen Securities (HK) Capital Company Limited; Long Bridge HK Limited; Livermore Holdings Limited; UOB Kay Hian (Hong Kong) Limited; Zhongtai International Securities Limited</t>
        </is>
      </c>
      <c r="BY246" s="127">
        <f>HYPERLINK("https://www1.hkexnews.hk/listedco/listconews/sehk/2024/0318/2024031800024.pdf","prospectus")</f>
        <v/>
      </c>
      <c r="BZ246" s="127">
        <f>HYPERLINK("https://www1.hkexnews.hk/listedco/listconews/sehk/2024/0325/2024032501621.pdf","allotment")</f>
        <v/>
      </c>
      <c r="CA246" s="127">
        <f>HYPERLINK("https://www1.hkexnews.hk/listedco/listconews/sehk/2024/0422/2024042200005.pdf","stabilisation")</f>
        <v/>
      </c>
      <c r="CB246" s="128" t="n"/>
      <c r="CC246" s="108" t="inlineStr">
        <is>
          <t>greenshoe: outcome published; expiry date not in the notice; range low: maximum offer price only, no floor published; deal size: no proceeds figure in any filing; eff free float: % of cap not computable: deal size not available; eff float shares: share count unavailable; the HK$m figure is exact; size basis: no size on file</t>
        </is>
      </c>
    </row>
    <row r="247" ht="22" customHeight="1">
      <c r="A247" s="107" t="inlineStr">
        <is>
          <t>2497</t>
        </is>
      </c>
      <c r="B247" s="108" t="inlineStr">
        <is>
          <t>FUJING HOLDINGS</t>
        </is>
      </c>
      <c r="C247" s="108" t="inlineStr">
        <is>
          <t>富景中國控股</t>
        </is>
      </c>
      <c r="D247" s="108" t="inlineStr">
        <is>
          <t>Consumer</t>
        </is>
      </c>
      <c r="E247" s="108" t="inlineStr">
        <is>
          <t>Beverages / packaged food</t>
        </is>
      </c>
      <c r="F247" s="108" t="inlineStr">
        <is>
          <t>Agricultural Products</t>
        </is>
      </c>
      <c r="G247" s="108" t="inlineStr">
        <is>
          <t>Standard</t>
        </is>
      </c>
      <c r="H247" s="109" t="n">
        <v>45379</v>
      </c>
      <c r="I247" s="110" t="n">
        <v>108</v>
      </c>
      <c r="J247" s="108" t="inlineStr">
        <is>
          <t>gross (price x shares)</t>
        </is>
      </c>
      <c r="K247" s="111" t="n">
        <v>1.08</v>
      </c>
      <c r="L247" s="111" t="n">
        <v>1.28</v>
      </c>
      <c r="M247" s="111" t="n">
        <v>1.08</v>
      </c>
      <c r="N247" s="108" t="inlineStr">
        <is>
          <t>N</t>
        </is>
      </c>
      <c r="O247" s="112" t="n">
        <v>84.40000000000001</v>
      </c>
      <c r="P247" s="112" t="n">
        <v>0</v>
      </c>
      <c r="Q247" s="113" t="n">
        <v>540</v>
      </c>
      <c r="R247" s="108" t="inlineStr">
        <is>
          <t>derived:price x shares upon listing</t>
        </is>
      </c>
      <c r="S247" s="114" t="n">
        <v>294.13</v>
      </c>
      <c r="T247" s="115" t="n">
        <v>0.96</v>
      </c>
      <c r="U247" s="116" t="n">
        <v>0</v>
      </c>
      <c r="V247" s="117" t="n">
        <v>143</v>
      </c>
      <c r="W247" s="112" t="n">
        <v>14.62</v>
      </c>
      <c r="X247" s="119" t="n"/>
      <c r="Y247" s="113" t="n">
        <v>108</v>
      </c>
      <c r="Z247" s="113" t="n">
        <v>100000000</v>
      </c>
      <c r="AA247" s="112" t="n">
        <v>20</v>
      </c>
      <c r="AB247" s="108" t="inlineStr">
        <is>
          <t>none — no cornerstone tranche</t>
        </is>
      </c>
      <c r="AC247" s="108" t="inlineStr">
        <is>
          <t>none</t>
        </is>
      </c>
      <c r="AD247" s="112" t="n">
        <v>15</v>
      </c>
      <c r="AE247" s="108" t="inlineStr">
        <is>
          <t>lapsed (no over-allocation)</t>
        </is>
      </c>
      <c r="AF247" s="119" t="n"/>
      <c r="AG247" s="119" t="n"/>
      <c r="AH247" s="119" t="n"/>
      <c r="AI247" s="120" t="n">
        <v>103.7</v>
      </c>
      <c r="AJ247" s="121" t="n">
        <v>37.04</v>
      </c>
      <c r="AK247" s="121" t="n">
        <v>1.69</v>
      </c>
      <c r="AL247" s="121" t="n">
        <v>97.22</v>
      </c>
      <c r="AM247" s="121" t="n">
        <v>-30.51</v>
      </c>
      <c r="AN247" s="123" t="n">
        <v>2.58</v>
      </c>
      <c r="AO247" s="112" t="n">
        <v>46.48</v>
      </c>
      <c r="AP247" s="121" t="n">
        <v>14.81</v>
      </c>
      <c r="AQ247" s="121" t="n">
        <v>-3.7</v>
      </c>
      <c r="AR247" s="121" t="n">
        <v>-4.63</v>
      </c>
      <c r="AS247" s="121" t="n">
        <v>-16.22</v>
      </c>
      <c r="AT247" s="121" t="n">
        <v>-29.73</v>
      </c>
      <c r="AU247" s="121" t="n">
        <v>-30.41</v>
      </c>
      <c r="AV247" s="121" t="n">
        <v>11.5</v>
      </c>
      <c r="AW247" s="121" t="n">
        <v>-15.03</v>
      </c>
      <c r="AX247" s="121" t="n">
        <v>-14.97</v>
      </c>
      <c r="AY247" s="121" t="n">
        <v>-39.21</v>
      </c>
      <c r="AZ247" s="121" t="n">
        <v>11.33</v>
      </c>
      <c r="BA247" s="121" t="n">
        <v>9.48</v>
      </c>
      <c r="BB247" s="108" t="inlineStr">
        <is>
          <t>Hang Seng Commerce &amp; Industry sub-index</t>
        </is>
      </c>
      <c r="BC247" s="121" t="n">
        <v>-51.39</v>
      </c>
      <c r="BD247" s="109" t="n">
        <v>46297</v>
      </c>
      <c r="BE247" s="110" t="n">
        <v>139.4</v>
      </c>
      <c r="BF247" s="113" t="n">
        <v>35</v>
      </c>
      <c r="BG247" s="108" t="inlineStr">
        <is>
          <t>Y</t>
        </is>
      </c>
      <c r="BH247" s="123" t="n">
        <v>15.4</v>
      </c>
      <c r="BI247" s="122" t="n"/>
      <c r="BJ247" s="123" t="n">
        <v>4.2</v>
      </c>
      <c r="BK247" s="123" t="n">
        <v>3.9</v>
      </c>
      <c r="BL247" s="124">
        <f>IF('BBG Verify'!S247="","not filed; run on terminal",'BBG Verify'!S247)</f>
        <v/>
      </c>
      <c r="BM247" s="125" t="inlineStr">
        <is>
          <t>N</t>
        </is>
      </c>
      <c r="BN247" s="126">
        <f>IF('BBG Verify'!K247="","not filed; run on terminal",'BBG Verify'!K247)</f>
        <v/>
      </c>
      <c r="BO247" s="108" t="inlineStr">
        <is>
          <t>N/A</t>
        </is>
      </c>
      <c r="BP247" s="108" t="inlineStr">
        <is>
          <t>N/A</t>
        </is>
      </c>
      <c r="BQ247" s="108" t="inlineStr">
        <is>
          <t>N/A</t>
        </is>
      </c>
      <c r="BR247" s="108" t="inlineStr">
        <is>
          <t>N/A</t>
        </is>
      </c>
      <c r="BS247" s="108" t="inlineStr">
        <is>
          <t>N/A</t>
        </is>
      </c>
      <c r="BT247" s="108" t="inlineStr">
        <is>
          <t>N/A</t>
        </is>
      </c>
      <c r="BU247" s="125" t="inlineStr">
        <is>
          <t>Grande Capital Limited</t>
        </is>
      </c>
      <c r="BV247" s="108" t="inlineStr">
        <is>
          <t>Grande Capital Limited</t>
        </is>
      </c>
      <c r="BW247" s="108" t="inlineStr">
        <is>
          <t>CMBC Securities Company Limited; Grande Capital Limited; Cinda International Capital Limited; CCB International Capital Limited; ICBC International Securities Limited; Haitong International Securities Company Limited; China Galaxy International Securities (Hong Kong) Co., Limited; Eddid Securities and Futures Limited; Alliance Capital Partners Limited; Caitong International Securities Company Limited; Ruibang Securities Limited</t>
        </is>
      </c>
      <c r="BX247" s="108" t="inlineStr">
        <is>
          <t>ABCI Securities Company Limited; Alliance Capital Partners Limited; BOCOM International Securities Limited; Caitong International Securities Company Limited; CCB International Capital Limited; China Galaxy International Securities (Hong Kong) Company Limited; Cinda International Capital Limited; CMBC Securities Company Limited; Eddid Securities and Futures Limited; Fosun International Securities Limited; Grande Capital Limited; Haitong International Securities Company Limited</t>
        </is>
      </c>
      <c r="BY247" s="127">
        <f>HYPERLINK("https://www1.hkexnews.hk/listedco/listconews/sehk/2024/0320/2024032000093.pdf","prospectus")</f>
        <v/>
      </c>
      <c r="BZ247" s="127">
        <f>HYPERLINK("https://www1.hkexnews.hk/listedco/listconews/sehk/2024/0327/2024032702279.pdf","allotment")</f>
        <v/>
      </c>
      <c r="CA247" s="127">
        <f>HYPERLINK("https://www1.hkexnews.hk/listedco/listconews/sehk/2024/0424/2024042400463.pdf","stabilisation")</f>
        <v/>
      </c>
      <c r="CB247" s="128" t="n"/>
      <c r="CC247" s="108" t="inlineStr">
        <is>
          <t>greenshoe: outcome published; expiry date not in the notice; cornerstone list: no cornerstone tranche; stabilising manager: not named in the allotment notice or prospectus glossary; allocation: clawback line not in this notice; a 12-28% split is consistent with either a tier-1 clawback or a placing shortfall</t>
        </is>
      </c>
    </row>
    <row r="248" ht="22" customHeight="1">
      <c r="A248" s="107" t="inlineStr">
        <is>
          <t>2598</t>
        </is>
      </c>
      <c r="B248" s="108" t="inlineStr">
        <is>
          <t>LIANLIAN</t>
        </is>
      </c>
      <c r="C248" s="108" t="inlineStr">
        <is>
          <t>連連數字</t>
        </is>
      </c>
      <c r="D248" s="108" t="inlineStr">
        <is>
          <t>Tech/AI</t>
        </is>
      </c>
      <c r="E248" s="108" t="inlineStr">
        <is>
          <t>Fintech platform</t>
        </is>
      </c>
      <c r="F248" s="108" t="inlineStr">
        <is>
          <t>e-Commerce &amp; Internet Services</t>
        </is>
      </c>
      <c r="G248" s="108" t="inlineStr">
        <is>
          <t>Standard</t>
        </is>
      </c>
      <c r="H248" s="109" t="n">
        <v>45379</v>
      </c>
      <c r="I248" s="110" t="n">
        <v>657.1</v>
      </c>
      <c r="J248" s="108" t="inlineStr">
        <is>
          <t>gross (price x shares)</t>
        </is>
      </c>
      <c r="K248" s="111" t="n">
        <v>10.21</v>
      </c>
      <c r="L248" s="111" t="n">
        <v>10.95</v>
      </c>
      <c r="M248" s="111" t="n">
        <v>10.22</v>
      </c>
      <c r="N248" s="108" t="inlineStr">
        <is>
          <t>N</t>
        </is>
      </c>
      <c r="O248" s="112" t="n">
        <v>93.3</v>
      </c>
      <c r="P248" s="112" t="n">
        <v>1.4</v>
      </c>
      <c r="Q248" s="113" t="n">
        <v>11028</v>
      </c>
      <c r="R248" s="108" t="inlineStr">
        <is>
          <t>derived:price x shares upon listing</t>
        </is>
      </c>
      <c r="S248" s="114" t="n">
        <v>16.94</v>
      </c>
      <c r="T248" s="115" t="n">
        <v>1.89</v>
      </c>
      <c r="U248" s="116" t="n">
        <v>55.52</v>
      </c>
      <c r="V248" s="117" t="n">
        <v>122</v>
      </c>
      <c r="W248" s="112" t="n">
        <v>30</v>
      </c>
      <c r="X248" s="108" t="inlineStr">
        <is>
          <t>YES</t>
        </is>
      </c>
      <c r="Y248" s="113" t="n">
        <v>292.28</v>
      </c>
      <c r="Z248" s="113" t="n">
        <v>28600640</v>
      </c>
      <c r="AA248" s="112" t="n">
        <v>2.65</v>
      </c>
      <c r="AB248" s="108" t="inlineStr">
        <is>
          <t>Hangzhou Urban Investment Industrial Development Investment Partnership (LP)</t>
        </is>
      </c>
      <c r="AC248" s="108" t="inlineStr">
        <is>
          <t>hangzhou-urban</t>
        </is>
      </c>
      <c r="AD248" s="112" t="n">
        <v>15</v>
      </c>
      <c r="AE248" s="108" t="inlineStr">
        <is>
          <t>lapsed</t>
        </is>
      </c>
      <c r="AF248" s="108" t="inlineStr">
        <is>
          <t>2024-04-24</t>
        </is>
      </c>
      <c r="AG248" s="108" t="inlineStr">
        <is>
          <t>China International Capital Corporation Hong Kong Securities Limited</t>
        </is>
      </c>
      <c r="AH248" s="108" t="inlineStr">
        <is>
          <t>China International</t>
        </is>
      </c>
      <c r="AI248" s="120" t="n">
        <v>-3.33</v>
      </c>
      <c r="AJ248" s="121" t="n">
        <v>-7.63</v>
      </c>
      <c r="AK248" s="121" t="n">
        <v>2.22</v>
      </c>
      <c r="AL248" s="121" t="n">
        <v>-4.11</v>
      </c>
      <c r="AM248" s="121" t="n">
        <v>-3.67</v>
      </c>
      <c r="AN248" s="123" t="n">
        <v>0.8</v>
      </c>
      <c r="AO248" s="112" t="n">
        <v>6.43</v>
      </c>
      <c r="AP248" s="121" t="n">
        <v>-4.79</v>
      </c>
      <c r="AQ248" s="121" t="n">
        <v>-5.48</v>
      </c>
      <c r="AR248" s="121" t="n">
        <v>-7.05</v>
      </c>
      <c r="AS248" s="121" t="n">
        <v>3.07</v>
      </c>
      <c r="AT248" s="121" t="n">
        <v>2.33</v>
      </c>
      <c r="AU248" s="121" t="n">
        <v>0.63</v>
      </c>
      <c r="AV248" s="121" t="n">
        <v>-7.49</v>
      </c>
      <c r="AW248" s="121" t="n">
        <v>-19.48</v>
      </c>
      <c r="AX248" s="121" t="n">
        <v>-14.86</v>
      </c>
      <c r="AY248" s="121" t="n">
        <v>-9.19</v>
      </c>
      <c r="AZ248" s="121" t="n">
        <v>14</v>
      </c>
      <c r="BA248" s="121" t="n">
        <v>11.52</v>
      </c>
      <c r="BB248" s="108" t="inlineStr">
        <is>
          <t>HSTECH (Hang Seng TECH ETF)</t>
        </is>
      </c>
      <c r="BC248" s="121" t="n">
        <v>-67.37</v>
      </c>
      <c r="BD248" s="109" t="n">
        <v>46297</v>
      </c>
      <c r="BE248" s="110" t="n">
        <v>817</v>
      </c>
      <c r="BF248" s="113" t="n">
        <v>-1008.6</v>
      </c>
      <c r="BG248" s="108" t="inlineStr">
        <is>
          <t>N</t>
        </is>
      </c>
      <c r="BH248" s="108" t="inlineStr">
        <is>
          <t>n/m</t>
        </is>
      </c>
      <c r="BI248" s="122" t="n"/>
      <c r="BJ248" s="123" t="n">
        <v>2.2</v>
      </c>
      <c r="BK248" s="123" t="n">
        <v>13.5</v>
      </c>
      <c r="BL248" s="124">
        <f>IF('BBG Verify'!S248="","not filed; run on terminal",'BBG Verify'!S248)</f>
        <v/>
      </c>
      <c r="BM248" s="125" t="inlineStr">
        <is>
          <t>N</t>
        </is>
      </c>
      <c r="BN248" s="126">
        <f>IF('BBG Verify'!K248="","not filed; run on terminal",'BBG Verify'!K248)</f>
        <v/>
      </c>
      <c r="BO248" s="108" t="inlineStr">
        <is>
          <t>N/A</t>
        </is>
      </c>
      <c r="BP248" s="108" t="inlineStr">
        <is>
          <t>N/A</t>
        </is>
      </c>
      <c r="BQ248" s="108" t="inlineStr">
        <is>
          <t>N/A</t>
        </is>
      </c>
      <c r="BR248" s="108" t="inlineStr">
        <is>
          <t>N/A</t>
        </is>
      </c>
      <c r="BS248" s="108" t="inlineStr">
        <is>
          <t>N/A</t>
        </is>
      </c>
      <c r="BT248" s="108" t="inlineStr">
        <is>
          <t>N/A</t>
        </is>
      </c>
      <c r="BU248" s="125" t="inlineStr">
        <is>
          <t>China International Capital Corporation Hong Kong Securities Limited; J.P. Morgan Securities (Far East) Limited</t>
        </is>
      </c>
      <c r="BV248" s="108" t="inlineStr">
        <is>
          <t>China International Capital Corporation Hong Kong Securities Limited; J.P. Morgan Securities (Far East) Limited</t>
        </is>
      </c>
      <c r="BW248" s="108" t="inlineStr">
        <is>
          <t>China International Capital Corporation Hong Kong Securities Limited; J.P. Morgan Securities (Asia Pacific) Limited; BNP Paribas Securities (Asia) Limited; Deutsche Bank AG, Hong Kong Branch; ABCI Capital Limited; Caitong International Securities Company Limited; China Galaxy International Securities (Hong Kong) Co., Limited; Futu Securities International (Hong Kong) Limited; Guotai Junan Securities (Hong Kong) Limited; ICBC International Securities Limited; Tiger Brokers (HK) Global Limited; Zhongtai International Securities Limited</t>
        </is>
      </c>
      <c r="BX248" s="108" t="inlineStr">
        <is>
          <t>ABCI Securities Company Limited; BNP Paribas Securities (Asia) Limited; Caitong International Securities Company Limited; China Galaxy International Securities (Hong Kong) Company Limited; China International Capital Corporation Hong Kong Securities Limited; Deutsche Bank AG, Hong Kong Branch; Futu Securities International (Hong Kong) Limited; GF Securities (Hong Kong) Brokerage Limited; Guotai Junan Securities (Hong Kong) Limited; ICBC International Securities Limited; J.P. Morgan Securities (Asia Pacific) Limited; Tiger Brokers (HK) Global Limited</t>
        </is>
      </c>
      <c r="BY248" s="127">
        <f>HYPERLINK("https://www1.hkexnews.hk/listedco/listconews/sehk/2024/0320/2024032000031.pdf","prospectus")</f>
        <v/>
      </c>
      <c r="BZ248" s="127">
        <f>HYPERLINK("https://www1.hkexnews.hk/listedco/listconews/sehk/2024/0327/2024032703063.pdf","allotment")</f>
        <v/>
      </c>
      <c r="CA248" s="127">
        <f>HYPERLINK("https://www1.hkexnews.hk/listedco/listconews/sehk/2024/0424/2024042402304.pdf","stabilisation")</f>
        <v/>
      </c>
      <c r="CB248" s="128" t="n"/>
      <c r="CC248" s="108" t="inlineStr">
        <is>
          <t>P/E: loss-making at IPO, use P/S</t>
        </is>
      </c>
    </row>
    <row r="249" ht="22" customHeight="1">
      <c r="A249" s="107" t="inlineStr">
        <is>
          <t>2515</t>
        </is>
      </c>
      <c r="B249" s="108" t="inlineStr">
        <is>
          <t>TJCD</t>
        </is>
      </c>
      <c r="C249" s="108" t="inlineStr">
        <is>
          <t>天津建發</t>
        </is>
      </c>
      <c r="D249" s="108" t="inlineStr">
        <is>
          <t>Industrials</t>
        </is>
      </c>
      <c r="E249" s="108" t="inlineStr">
        <is>
          <t>Construction / engineering</t>
        </is>
      </c>
      <c r="F249" s="108" t="inlineStr">
        <is>
          <t>Construction &amp; Engineering</t>
        </is>
      </c>
      <c r="G249" s="108" t="inlineStr">
        <is>
          <t>Standard</t>
        </is>
      </c>
      <c r="H249" s="109" t="n">
        <v>45405</v>
      </c>
      <c r="I249" s="110" t="n">
        <v>134.88</v>
      </c>
      <c r="J249" s="108" t="inlineStr">
        <is>
          <t>gross (stated)</t>
        </is>
      </c>
      <c r="K249" s="111" t="n">
        <v>2.5</v>
      </c>
      <c r="L249" s="111" t="n">
        <v>2.9</v>
      </c>
      <c r="M249" s="111" t="n">
        <v>2.5</v>
      </c>
      <c r="N249" s="108" t="inlineStr">
        <is>
          <t>N</t>
        </is>
      </c>
      <c r="O249" s="112" t="n">
        <v>86.2</v>
      </c>
      <c r="P249" s="112" t="n">
        <v>0</v>
      </c>
      <c r="Q249" s="113" t="n">
        <v>539.5</v>
      </c>
      <c r="R249" s="108" t="inlineStr">
        <is>
          <t>derived:price x shares upon listing</t>
        </is>
      </c>
      <c r="S249" s="114" t="n">
        <v>433.06</v>
      </c>
      <c r="T249" s="115" t="n">
        <v>1.02</v>
      </c>
      <c r="U249" s="116" t="n">
        <v>0</v>
      </c>
      <c r="V249" s="117" t="n">
        <v>215</v>
      </c>
      <c r="W249" s="112" t="n">
        <v>50</v>
      </c>
      <c r="X249" s="108" t="inlineStr">
        <is>
          <t>YES</t>
        </is>
      </c>
      <c r="Y249" s="113" t="n">
        <v>134.88</v>
      </c>
      <c r="Z249" s="113" t="n">
        <v>53950000</v>
      </c>
      <c r="AA249" s="112" t="n">
        <v>25</v>
      </c>
      <c r="AB249" s="108" t="inlineStr">
        <is>
          <t>none — no cornerstone tranche</t>
        </is>
      </c>
      <c r="AC249" s="108" t="inlineStr">
        <is>
          <t>none</t>
        </is>
      </c>
      <c r="AD249" s="112" t="n">
        <v>20</v>
      </c>
      <c r="AE249" s="108" t="inlineStr">
        <is>
          <t>lapsed (no over-allocation)</t>
        </is>
      </c>
      <c r="AF249" s="119" t="n"/>
      <c r="AG249" s="119" t="n"/>
      <c r="AH249" s="119" t="n"/>
      <c r="AI249" s="120" t="n">
        <v>-25.6</v>
      </c>
      <c r="AJ249" s="121" t="n">
        <v>-39.2</v>
      </c>
      <c r="AK249" s="121" t="n">
        <v>2.28</v>
      </c>
      <c r="AL249" s="121" t="n">
        <v>-24.8</v>
      </c>
      <c r="AM249" s="121" t="n">
        <v>-19.15</v>
      </c>
      <c r="AN249" s="123" t="n">
        <v>2.1</v>
      </c>
      <c r="AO249" s="112" t="n">
        <v>35.11</v>
      </c>
      <c r="AP249" s="121" t="n">
        <v>-39.2</v>
      </c>
      <c r="AQ249" s="121" t="n">
        <v>-50</v>
      </c>
      <c r="AR249" s="121" t="n">
        <v>-52.4</v>
      </c>
      <c r="AS249" s="121" t="n">
        <v>0</v>
      </c>
      <c r="AT249" s="121" t="n">
        <v>-17.76</v>
      </c>
      <c r="AU249" s="121" t="n">
        <v>-21.71</v>
      </c>
      <c r="AV249" s="121" t="n">
        <v>-46.29</v>
      </c>
      <c r="AW249" s="121" t="n">
        <v>-60.33</v>
      </c>
      <c r="AX249" s="121" t="n">
        <v>-54.33</v>
      </c>
      <c r="AY249" s="121" t="n">
        <v>-25.63</v>
      </c>
      <c r="AZ249" s="121" t="n">
        <v>10.33</v>
      </c>
      <c r="BA249" s="121" t="n">
        <v>7.87</v>
      </c>
      <c r="BB249" s="108" t="inlineStr">
        <is>
          <t>Hang Seng Commerce &amp; Industry sub-index</t>
        </is>
      </c>
      <c r="BC249" s="121" t="n">
        <v>80</v>
      </c>
      <c r="BD249" s="109" t="n">
        <v>46297</v>
      </c>
      <c r="BE249" s="110" t="n">
        <v>351.4</v>
      </c>
      <c r="BF249" s="113" t="n">
        <v>45.6</v>
      </c>
      <c r="BG249" s="108" t="inlineStr">
        <is>
          <t>Y</t>
        </is>
      </c>
      <c r="BH249" s="123" t="n">
        <v>11.8</v>
      </c>
      <c r="BI249" s="122" t="n"/>
      <c r="BJ249" s="122" t="n"/>
      <c r="BK249" s="123" t="n">
        <v>1.5</v>
      </c>
      <c r="BL249" s="124">
        <f>IF('BBG Verify'!S249="","not filed; run on terminal",'BBG Verify'!S249)</f>
        <v/>
      </c>
      <c r="BM249" s="125" t="inlineStr">
        <is>
          <t>N</t>
        </is>
      </c>
      <c r="BN249" s="126">
        <f>IF('BBG Verify'!K249="","not filed; run on terminal",'BBG Verify'!K249)</f>
        <v/>
      </c>
      <c r="BO249" s="108" t="inlineStr">
        <is>
          <t>N/A</t>
        </is>
      </c>
      <c r="BP249" s="108" t="inlineStr">
        <is>
          <t>N/A</t>
        </is>
      </c>
      <c r="BQ249" s="108" t="inlineStr">
        <is>
          <t>N/A</t>
        </is>
      </c>
      <c r="BR249" s="108" t="inlineStr">
        <is>
          <t>N/A</t>
        </is>
      </c>
      <c r="BS249" s="108" t="inlineStr">
        <is>
          <t>N/A</t>
        </is>
      </c>
      <c r="BT249" s="108" t="inlineStr">
        <is>
          <t>N/A</t>
        </is>
      </c>
      <c r="BU249" s="125" t="inlineStr">
        <is>
          <t>China Everbright Capital Limited</t>
        </is>
      </c>
      <c r="BV249" s="108" t="inlineStr">
        <is>
          <t>China Everbright Capital Limited</t>
        </is>
      </c>
      <c r="BW249" s="108" t="inlineStr">
        <is>
          <t>China Everbright Securities (HK) Limited; ABCI Capital Limited; Beta International Securities Limited; BOCOM International Securities Limited; CEB International Capital Corporation Limited; Citrus Securities Limited; CMBC Securities Company Limited; Fortune Origin Securities Limited; Grand China Securities Limited; Livermore Holdings Limited; Realord Asia Pacific Securities Limited; SPDB International Capital Limited</t>
        </is>
      </c>
      <c r="BX249" s="108" t="inlineStr">
        <is>
          <t>ABCI Securities Company Limited; Beta International Securities Limited; BOCOM International Securities Limited; CCB International Capital Limited; CEB International Capital Corporation Limited; China Everbright Securities (HK) Limited; Citrus Securities Limited; CMBC Securities Company Limited; Fortune Origin Securities Limited; Grand China Securities Limited; Long Bridge HK Limited; Livermore Holdings Limited</t>
        </is>
      </c>
      <c r="BY249" s="127">
        <f>HYPERLINK("https://www1.hkexnews.hk/listedco/listconews/sehk/2024/0415/2024041500009.pdf","prospectus")</f>
        <v/>
      </c>
      <c r="BZ249" s="127">
        <f>HYPERLINK("https://www1.hkexnews.hk/listedco/listconews/sehk/2024/0422/2024042201767.pdf","allotment")</f>
        <v/>
      </c>
      <c r="CA249" s="127">
        <f>HYPERLINK("https://www1.hkexnews.hk/listedco/listconews/sehk/2024/0520/2024052000007.pdf","stabilisation")</f>
        <v/>
      </c>
      <c r="CB249" s="128" t="n"/>
      <c r="CC249" s="108" t="inlineStr">
        <is>
          <t>greenshoe: outcome published; expiry date not in the notice; cornerstone list: no cornerstone tranche; stabilising manager: not named in the allotment notice or prospectus glossary</t>
        </is>
      </c>
    </row>
    <row r="250" ht="22" customHeight="1">
      <c r="A250" s="107" t="inlineStr">
        <is>
          <t>2555</t>
        </is>
      </c>
      <c r="B250" s="108" t="inlineStr">
        <is>
          <t>CHABAIDAO</t>
        </is>
      </c>
      <c r="C250" s="108" t="inlineStr">
        <is>
          <t>茶百道</t>
        </is>
      </c>
      <c r="D250" s="108" t="inlineStr">
        <is>
          <t>Consumer</t>
        </is>
      </c>
      <c r="E250" s="108" t="inlineStr">
        <is>
          <t>F&amp;B chains / restaurants</t>
        </is>
      </c>
      <c r="F250" s="108" t="inlineStr">
        <is>
          <t>Beverages (Non-alcoholic)</t>
        </is>
      </c>
      <c r="G250" s="108" t="inlineStr">
        <is>
          <t>Standard</t>
        </is>
      </c>
      <c r="H250" s="109" t="n">
        <v>45405</v>
      </c>
      <c r="I250" s="110" t="n">
        <v>2585.86</v>
      </c>
      <c r="J250" s="108" t="inlineStr">
        <is>
          <t>gross (stated)</t>
        </is>
      </c>
      <c r="K250" s="129" t="n"/>
      <c r="L250" s="111" t="n">
        <v>17.5</v>
      </c>
      <c r="M250" s="111" t="n">
        <v>17.5</v>
      </c>
      <c r="N250" s="108" t="inlineStr">
        <is>
          <t>Y</t>
        </is>
      </c>
      <c r="O250" s="112" t="n">
        <v>100</v>
      </c>
      <c r="P250" s="118" t="n"/>
      <c r="Q250" s="113" t="n">
        <v>25860</v>
      </c>
      <c r="R250" s="108" t="inlineStr">
        <is>
          <t>prospectus:stated market capitalisation</t>
        </is>
      </c>
      <c r="S250" s="114" t="n">
        <v>0.5</v>
      </c>
      <c r="T250" s="115" t="n">
        <v>1.11</v>
      </c>
      <c r="U250" s="116" t="n">
        <v>0</v>
      </c>
      <c r="V250" s="117" t="n">
        <v>122</v>
      </c>
      <c r="W250" s="112" t="n">
        <v>4.96</v>
      </c>
      <c r="X250" s="108" t="inlineStr">
        <is>
          <t>NO</t>
        </is>
      </c>
      <c r="Y250" s="113" t="n">
        <v>2585.86</v>
      </c>
      <c r="Z250" s="113" t="n">
        <v>147763400</v>
      </c>
      <c r="AA250" s="112" t="n">
        <v>10</v>
      </c>
      <c r="AB250" s="108" t="inlineStr">
        <is>
          <t>none — no cornerstone tranche</t>
        </is>
      </c>
      <c r="AC250" s="108" t="inlineStr">
        <is>
          <t>none</t>
        </is>
      </c>
      <c r="AD250" s="112" t="n">
        <v>2.1</v>
      </c>
      <c r="AE250" s="108" t="inlineStr">
        <is>
          <t>lapsed</t>
        </is>
      </c>
      <c r="AF250" s="108" t="inlineStr">
        <is>
          <t>2024-05-18</t>
        </is>
      </c>
      <c r="AG250" s="108" t="inlineStr">
        <is>
          <t>China International Capital Corporation Hong Kong Securities Limited</t>
        </is>
      </c>
      <c r="AH250" s="108" t="inlineStr">
        <is>
          <t>China International</t>
        </is>
      </c>
      <c r="AI250" s="120" t="n">
        <v>-12.8</v>
      </c>
      <c r="AJ250" s="121" t="n">
        <v>-26.86</v>
      </c>
      <c r="AK250" s="121" t="n">
        <v>2.28</v>
      </c>
      <c r="AL250" s="121" t="n">
        <v>-10.06</v>
      </c>
      <c r="AM250" s="121" t="n">
        <v>-18.68</v>
      </c>
      <c r="AN250" s="123" t="n">
        <v>2.23</v>
      </c>
      <c r="AO250" s="112" t="n">
        <v>31.39</v>
      </c>
      <c r="AP250" s="121" t="n">
        <v>-34.63</v>
      </c>
      <c r="AQ250" s="121" t="n">
        <v>-37.83</v>
      </c>
      <c r="AR250" s="121" t="n">
        <v>-48.06</v>
      </c>
      <c r="AS250" s="121" t="n">
        <v>-10.62</v>
      </c>
      <c r="AT250" s="121" t="n">
        <v>-15</v>
      </c>
      <c r="AU250" s="121" t="n">
        <v>-28.99</v>
      </c>
      <c r="AV250" s="121" t="n">
        <v>-41.72</v>
      </c>
      <c r="AW250" s="121" t="n">
        <v>-48.16</v>
      </c>
      <c r="AX250" s="121" t="n">
        <v>-49.99</v>
      </c>
      <c r="AY250" s="121" t="n">
        <v>-22.87</v>
      </c>
      <c r="AZ250" s="121" t="n">
        <v>10.33</v>
      </c>
      <c r="BA250" s="121" t="n">
        <v>7.87</v>
      </c>
      <c r="BB250" s="108" t="inlineStr">
        <is>
          <t>Hang Seng Commerce &amp; Industry sub-index</t>
        </is>
      </c>
      <c r="BC250" s="121" t="n">
        <v>-76.56999999999999</v>
      </c>
      <c r="BD250" s="109" t="n">
        <v>46297</v>
      </c>
      <c r="BE250" s="110" t="n">
        <v>6274.7</v>
      </c>
      <c r="BF250" s="113" t="n">
        <v>1265.9</v>
      </c>
      <c r="BG250" s="108" t="inlineStr">
        <is>
          <t>Y</t>
        </is>
      </c>
      <c r="BH250" s="123" t="n">
        <v>20.4</v>
      </c>
      <c r="BI250" s="122" t="n"/>
      <c r="BJ250" s="123" t="n">
        <v>7.5</v>
      </c>
      <c r="BK250" s="123" t="n">
        <v>4.1</v>
      </c>
      <c r="BL250" s="124">
        <f>IF('BBG Verify'!S250="","not filed; run on terminal",'BBG Verify'!S250)</f>
        <v/>
      </c>
      <c r="BM250" s="125" t="inlineStr">
        <is>
          <t>N</t>
        </is>
      </c>
      <c r="BN250" s="126">
        <f>IF('BBG Verify'!K250="","not filed; run on terminal",'BBG Verify'!K250)</f>
        <v/>
      </c>
      <c r="BO250" s="108" t="inlineStr">
        <is>
          <t>N/A</t>
        </is>
      </c>
      <c r="BP250" s="108" t="inlineStr">
        <is>
          <t>N/A</t>
        </is>
      </c>
      <c r="BQ250" s="108" t="inlineStr">
        <is>
          <t>N/A</t>
        </is>
      </c>
      <c r="BR250" s="108" t="inlineStr">
        <is>
          <t>N/A</t>
        </is>
      </c>
      <c r="BS250" s="108" t="inlineStr">
        <is>
          <t>N/A</t>
        </is>
      </c>
      <c r="BT250" s="108" t="inlineStr">
        <is>
          <t>N/A</t>
        </is>
      </c>
      <c r="BU250" s="125" t="inlineStr">
        <is>
          <t>China International Capital Corporation Hong Kong Securities Limited</t>
        </is>
      </c>
      <c r="BV250" s="108" t="inlineStr">
        <is>
          <t>China International Capital Corporation Hong Kong Securities Limited</t>
        </is>
      </c>
      <c r="BW250" s="108" t="inlineStr">
        <is>
          <t>China International Capital Corporation Hong Kong Securities Limited; Citigroup Global Markets Asia Limited; Citigroup Global Markets Limited; 9 2– CMB International Capital Limited; CCB International Capital Limited; Shenwan Hongyuan Securities (H.K.) Limited; China Merchants Securities (HK) Co., Limited; Futu Securities International (Hong Kong) Limited; Tiger Brokers (HK) Global Limited</t>
        </is>
      </c>
      <c r="BX250" s="108" t="inlineStr">
        <is>
          <t>CCB International Capital Limited; Citigroup Global Markets Asia Limited; China International Capital Corporation Hong Kong Securities Limited; CMB International Capital Limited; China Merchants Securities (HK) Company Limited; Fosun International Securities Limited; Futu Securities International (Hong Kong) Limited; Maxa Capital Limited; Shenwan Hongyuan Securities (H.K.) Limited; Space Securities Limited; Tiger Brokers (HK) Global Limited</t>
        </is>
      </c>
      <c r="BY250" s="127">
        <f>HYPERLINK("https://www1.hkexnews.hk/listedco/listconews/sehk/2024/0415/2024041500022.pdf","prospectus")</f>
        <v/>
      </c>
      <c r="BZ250" s="127">
        <f>HYPERLINK("https://www1.hkexnews.hk/listedco/listconews/sehk/2024/0422/2024042202135.pdf","allotment")</f>
        <v/>
      </c>
      <c r="CA250" s="127">
        <f>HYPERLINK("https://www1.hkexnews.hk/listedco/listconews/sehk/2024/0520/2024052000035.pdf","stabilisation")</f>
        <v/>
      </c>
      <c r="CB250" s="128" t="n"/>
      <c r="CC250" s="108" t="inlineStr">
        <is>
          <t>range low: maximum offer price only, no floor published; sponsor: English name not in the filing; AAStocks 保薦人 shown; cornerstone list: no cornerstone tranche</t>
        </is>
      </c>
    </row>
    <row r="251" ht="22" customHeight="1">
      <c r="A251" s="107" t="inlineStr">
        <is>
          <t>2438</t>
        </is>
      </c>
      <c r="B251" s="108" t="inlineStr">
        <is>
          <t>MOBVOI</t>
        </is>
      </c>
      <c r="C251" s="108" t="inlineStr">
        <is>
          <t>出門問問</t>
        </is>
      </c>
      <c r="D251" s="108" t="inlineStr">
        <is>
          <t>Tech/AI</t>
        </is>
      </c>
      <c r="E251" s="108" t="inlineStr">
        <is>
          <t>AI application / agent software</t>
        </is>
      </c>
      <c r="F251" s="108" t="inlineStr">
        <is>
          <t>Application Software</t>
        </is>
      </c>
      <c r="G251" s="108" t="inlineStr">
        <is>
          <t>Standard</t>
        </is>
      </c>
      <c r="H251" s="109" t="n">
        <v>45406</v>
      </c>
      <c r="I251" s="110" t="n">
        <v>321.4</v>
      </c>
      <c r="J251" s="108" t="inlineStr">
        <is>
          <t>gross (price x shares)</t>
        </is>
      </c>
      <c r="K251" s="111" t="n">
        <v>3.7</v>
      </c>
      <c r="L251" s="111" t="n">
        <v>4.1</v>
      </c>
      <c r="M251" s="111" t="n">
        <v>3.8</v>
      </c>
      <c r="N251" s="108" t="inlineStr">
        <is>
          <t>N</t>
        </is>
      </c>
      <c r="O251" s="112" t="n">
        <v>92.7</v>
      </c>
      <c r="P251" s="112" t="n">
        <v>25</v>
      </c>
      <c r="Q251" s="113" t="n">
        <v>6113.9</v>
      </c>
      <c r="R251" s="108" t="inlineStr">
        <is>
          <t>aastocks:上市市值 at the struck price</t>
        </is>
      </c>
      <c r="S251" s="114" t="n">
        <v>117.39</v>
      </c>
      <c r="T251" s="115" t="n">
        <v>1.58</v>
      </c>
      <c r="U251" s="116" t="n">
        <v>29.47</v>
      </c>
      <c r="V251" s="117" t="n">
        <v>163</v>
      </c>
      <c r="W251" s="112" t="n">
        <v>50</v>
      </c>
      <c r="X251" s="108" t="inlineStr">
        <is>
          <t>YES</t>
        </is>
      </c>
      <c r="Y251" s="113" t="n">
        <v>226.68</v>
      </c>
      <c r="Z251" s="113" t="n">
        <v>59645810</v>
      </c>
      <c r="AA251" s="112" t="n">
        <v>3.71</v>
      </c>
      <c r="AB251" s="108" t="inlineStr">
        <is>
          <t>NANJING JINGKAI JUZHI INVESTMENT L.P; ZGC International Limited</t>
        </is>
      </c>
      <c r="AC251" s="108" t="inlineStr">
        <is>
          <t>nanjing;zgc</t>
        </is>
      </c>
      <c r="AD251" s="112" t="n">
        <v>15</v>
      </c>
      <c r="AE251" s="108" t="inlineStr">
        <is>
          <t>partial</t>
        </is>
      </c>
      <c r="AF251" s="108" t="inlineStr">
        <is>
          <t>2024-05-19</t>
        </is>
      </c>
      <c r="AG251" s="108" t="inlineStr">
        <is>
          <t>China International Capital Corporation Hong Kong Securities Limited</t>
        </is>
      </c>
      <c r="AH251" s="108" t="inlineStr">
        <is>
          <t>China International</t>
        </is>
      </c>
      <c r="AI251" s="120" t="n">
        <v>-18.16</v>
      </c>
      <c r="AJ251" s="121" t="n">
        <v>-3.16</v>
      </c>
      <c r="AK251" s="121" t="n">
        <v>3.61</v>
      </c>
      <c r="AL251" s="121" t="n">
        <v>-21.58</v>
      </c>
      <c r="AM251" s="121" t="n">
        <v>23.49</v>
      </c>
      <c r="AN251" s="123" t="n">
        <v>1.46</v>
      </c>
      <c r="AO251" s="112" t="n">
        <v>26.17</v>
      </c>
      <c r="AP251" s="121" t="n">
        <v>1.32</v>
      </c>
      <c r="AQ251" s="121" t="n">
        <v>-5.26</v>
      </c>
      <c r="AR251" s="121" t="n">
        <v>-69.73999999999999</v>
      </c>
      <c r="AS251" s="121" t="n">
        <v>4.63</v>
      </c>
      <c r="AT251" s="121" t="n">
        <v>-2.17</v>
      </c>
      <c r="AU251" s="121" t="n">
        <v>-68.75</v>
      </c>
      <c r="AV251" s="121" t="n">
        <v>-10.99</v>
      </c>
      <c r="AW251" s="121" t="n">
        <v>-17.57</v>
      </c>
      <c r="AX251" s="121" t="n">
        <v>-69.92</v>
      </c>
      <c r="AY251" s="121" t="n">
        <v>-10.57</v>
      </c>
      <c r="AZ251" s="121" t="n">
        <v>12.31</v>
      </c>
      <c r="BA251" s="121" t="n">
        <v>8.4</v>
      </c>
      <c r="BB251" s="108" t="inlineStr">
        <is>
          <t>HSTECH (Hang Seng TECH ETF)</t>
        </is>
      </c>
      <c r="BC251" s="121" t="n">
        <v>-92.23999999999999</v>
      </c>
      <c r="BD251" s="109" t="n">
        <v>46297</v>
      </c>
      <c r="BE251" s="110" t="n">
        <v>557.8</v>
      </c>
      <c r="BF251" s="113" t="n">
        <v>-882.9</v>
      </c>
      <c r="BG251" s="108" t="inlineStr">
        <is>
          <t>N</t>
        </is>
      </c>
      <c r="BH251" s="108" t="inlineStr">
        <is>
          <t>n/m</t>
        </is>
      </c>
      <c r="BI251" s="122" t="n"/>
      <c r="BJ251" s="122" t="n"/>
      <c r="BK251" s="123" t="n">
        <v>11</v>
      </c>
      <c r="BL251" s="124">
        <f>IF('BBG Verify'!S251="","not filed; run on terminal",'BBG Verify'!S251)</f>
        <v/>
      </c>
      <c r="BM251" s="125" t="inlineStr">
        <is>
          <t>N</t>
        </is>
      </c>
      <c r="BN251" s="126">
        <f>IF('BBG Verify'!K251="","not filed; run on terminal",'BBG Verify'!K251)</f>
        <v/>
      </c>
      <c r="BO251" s="108" t="inlineStr">
        <is>
          <t>N/A</t>
        </is>
      </c>
      <c r="BP251" s="108" t="inlineStr">
        <is>
          <t>N/A</t>
        </is>
      </c>
      <c r="BQ251" s="108" t="inlineStr">
        <is>
          <t>N/A</t>
        </is>
      </c>
      <c r="BR251" s="108" t="inlineStr">
        <is>
          <t>N/A</t>
        </is>
      </c>
      <c r="BS251" s="108" t="inlineStr">
        <is>
          <t>N/A</t>
        </is>
      </c>
      <c r="BT251" s="108" t="inlineStr">
        <is>
          <t>N/A</t>
        </is>
      </c>
      <c r="BU251" s="125" t="inlineStr">
        <is>
          <t>CMB International Capital Limited</t>
        </is>
      </c>
      <c r="BV251" s="108" t="inlineStr">
        <is>
          <t>China International Capital Corporation Hong Kong Securities Limited; CMB International Capital Limited</t>
        </is>
      </c>
      <c r="BW251" s="108" t="inlineStr">
        <is>
          <t>China International Capital Corporation Hong Kong Securities Limited; CMB International Capital Limited; Haitong International Securities Company Limited; Zhongtai International Securities Limited; ICBC International Securities Limited; China Galaxy International Securities (Hong Kong) Co., Limited; CMBC Securities Company Limited; SPDB International Capital Limited; BOCOM International Securities Limited; Tiger Brokers (HK) Global Limited; Livermore Holdings Limited</t>
        </is>
      </c>
      <c r="BX251" s="108" t="inlineStr">
        <is>
          <t>BOCOM International Securities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Shenwan Hongyuan Securities (H.K.) Limited; SPDB International Capital Limited; Tiger Brokers (HK) Global Limited</t>
        </is>
      </c>
      <c r="BY251" s="127">
        <f>HYPERLINK("https://www1.hkexnews.hk/listedco/listconews/sehk/2024/0416/2024041600025.pdf","prospectus")</f>
        <v/>
      </c>
      <c r="BZ251" s="127">
        <f>HYPERLINK("https://www1.hkexnews.hk/listedco/listconews/sehk/2024/0423/2024042301690.pdf","allotment")</f>
        <v/>
      </c>
      <c r="CA251" s="127">
        <f>HYPERLINK("https://www1.hkexnews.hk/listedco/listconews/sehk/2024/0519/2024051900005.pdf","stabilisation")</f>
        <v/>
      </c>
      <c r="CB251" s="128" t="n"/>
      <c r="CC251" s="108" t="inlineStr">
        <is>
          <t>P/E: loss-making at IPO, use P/S; market cap: published listing cap used; the estimate from deal size / offer % of enlarged capital disagreed</t>
        </is>
      </c>
    </row>
    <row r="252" ht="22" customHeight="1">
      <c r="A252" s="107" t="inlineStr">
        <is>
          <t>2556</t>
        </is>
      </c>
      <c r="B252" s="108" t="inlineStr">
        <is>
          <t>MARKETINGFORCE</t>
        </is>
      </c>
      <c r="C252" s="108" t="inlineStr">
        <is>
          <t>邁富時</t>
        </is>
      </c>
      <c r="D252" s="108" t="inlineStr">
        <is>
          <t>Tech/AI</t>
        </is>
      </c>
      <c r="E252" s="108" t="inlineStr">
        <is>
          <t>SaaS / enterprise software</t>
        </is>
      </c>
      <c r="F252" s="108" t="inlineStr">
        <is>
          <t>Application Software</t>
        </is>
      </c>
      <c r="G252" s="108" t="inlineStr">
        <is>
          <t>Standard</t>
        </is>
      </c>
      <c r="H252" s="109" t="n">
        <v>45428</v>
      </c>
      <c r="I252" s="110" t="n">
        <v>259.4</v>
      </c>
      <c r="J252" s="108" t="inlineStr">
        <is>
          <t>gross (price x shares)</t>
        </is>
      </c>
      <c r="K252" s="111" t="n">
        <v>42</v>
      </c>
      <c r="L252" s="111" t="n">
        <v>45</v>
      </c>
      <c r="M252" s="111" t="n">
        <v>43.6</v>
      </c>
      <c r="N252" s="108" t="inlineStr">
        <is>
          <t>N</t>
        </is>
      </c>
      <c r="O252" s="112" t="n">
        <v>96.90000000000001</v>
      </c>
      <c r="P252" s="112" t="n">
        <v>53.3</v>
      </c>
      <c r="Q252" s="113" t="n">
        <v>10253.2</v>
      </c>
      <c r="R252" s="108" t="inlineStr">
        <is>
          <t>derived:price x shares upon listing</t>
        </is>
      </c>
      <c r="S252" s="114" t="n">
        <v>5.95</v>
      </c>
      <c r="T252" s="115" t="n">
        <v>1.03</v>
      </c>
      <c r="U252" s="116" t="n">
        <v>15.2</v>
      </c>
      <c r="V252" s="117" t="n">
        <v>125</v>
      </c>
      <c r="W252" s="112" t="n">
        <v>10</v>
      </c>
      <c r="X252" s="108" t="inlineStr">
        <is>
          <t>NO</t>
        </is>
      </c>
      <c r="Y252" s="113" t="n">
        <v>219.97</v>
      </c>
      <c r="Z252" s="113" t="n">
        <v>5045346</v>
      </c>
      <c r="AA252" s="112" t="n">
        <v>2.15</v>
      </c>
      <c r="AB252" s="108" t="inlineStr">
        <is>
          <t>VH Nanchang Donghu Asset; Capital LPF</t>
        </is>
      </c>
      <c r="AC252" s="108" t="inlineStr">
        <is>
          <t>vh;lpf</t>
        </is>
      </c>
      <c r="AD252" s="118" t="n"/>
      <c r="AE252" s="119" t="n"/>
      <c r="AF252" s="119" t="n"/>
      <c r="AG252" s="119" t="n"/>
      <c r="AH252" s="119" t="n"/>
      <c r="AI252" s="120" t="n">
        <v>5.5</v>
      </c>
      <c r="AJ252" s="121" t="n">
        <v>18.46</v>
      </c>
      <c r="AK252" s="121" t="n">
        <v>0.76</v>
      </c>
      <c r="AL252" s="121" t="n">
        <v>3.21</v>
      </c>
      <c r="AM252" s="121" t="n">
        <v>14.78</v>
      </c>
      <c r="AN252" s="123" t="n">
        <v>1.34</v>
      </c>
      <c r="AO252" s="112" t="n">
        <v>24.44</v>
      </c>
      <c r="AP252" s="121" t="n">
        <v>40.02</v>
      </c>
      <c r="AQ252" s="121" t="n">
        <v>90.25</v>
      </c>
      <c r="AR252" s="121" t="n">
        <v>125.34</v>
      </c>
      <c r="AS252" s="121" t="n">
        <v>18.2</v>
      </c>
      <c r="AT252" s="121" t="n">
        <v>60.6</v>
      </c>
      <c r="AU252" s="121" t="n">
        <v>90.22</v>
      </c>
      <c r="AV252" s="121" t="n">
        <v>43.51</v>
      </c>
      <c r="AW252" s="121" t="n">
        <v>98.18000000000001</v>
      </c>
      <c r="AX252" s="121" t="n">
        <v>141.06</v>
      </c>
      <c r="AY252" s="121" t="n">
        <v>69.23</v>
      </c>
      <c r="AZ252" s="121" t="n">
        <v>-7.93</v>
      </c>
      <c r="BA252" s="121" t="n">
        <v>-8.630000000000001</v>
      </c>
      <c r="BB252" s="108" t="inlineStr">
        <is>
          <t>HSTECH (Hang Seng TECH ETF)</t>
        </is>
      </c>
      <c r="BC252" s="121" t="n">
        <v>18.46</v>
      </c>
      <c r="BD252" s="109" t="n">
        <v>46297</v>
      </c>
      <c r="BE252" s="110" t="n">
        <v>1355.3</v>
      </c>
      <c r="BF252" s="113" t="n">
        <v>-186.4</v>
      </c>
      <c r="BG252" s="108" t="inlineStr">
        <is>
          <t>N</t>
        </is>
      </c>
      <c r="BH252" s="108" t="inlineStr">
        <is>
          <t>n/m</t>
        </is>
      </c>
      <c r="BI252" s="122" t="n"/>
      <c r="BJ252" s="123" t="n">
        <v>48.1</v>
      </c>
      <c r="BK252" s="123" t="n">
        <v>7.6</v>
      </c>
      <c r="BL252" s="124">
        <f>IF('BBG Verify'!S252="","not filed; run on terminal",'BBG Verify'!S252)</f>
        <v/>
      </c>
      <c r="BM252" s="125" t="inlineStr">
        <is>
          <t>N</t>
        </is>
      </c>
      <c r="BN252" s="126">
        <f>IF('BBG Verify'!K252="","not filed; run on terminal",'BBG Verify'!K252)</f>
        <v/>
      </c>
      <c r="BO252" s="108" t="inlineStr">
        <is>
          <t>N/A</t>
        </is>
      </c>
      <c r="BP252" s="108" t="inlineStr">
        <is>
          <t>N/A</t>
        </is>
      </c>
      <c r="BQ252" s="108" t="inlineStr">
        <is>
          <t>N/A</t>
        </is>
      </c>
      <c r="BR252" s="108" t="inlineStr">
        <is>
          <t>N/A</t>
        </is>
      </c>
      <c r="BS252" s="108" t="inlineStr">
        <is>
          <t>N/A</t>
        </is>
      </c>
      <c r="BT252" s="108" t="inlineStr">
        <is>
          <t>N/A</t>
        </is>
      </c>
      <c r="BU252" s="125" t="inlineStr">
        <is>
          <t>CCB International Capital Limited</t>
        </is>
      </c>
      <c r="BV252" s="108" t="inlineStr">
        <is>
          <t>CCB International Capital Limited; China International Capital Corporation (HK) Ltd</t>
        </is>
      </c>
      <c r="BW252" s="108" t="inlineStr">
        <is>
          <t>Beta International Securities Limited; CCB International Capital Limited; CEB International Capital Corporation Limited; China International Capital Corporation Hong Kong Securities Limited; Citrus Securities Limited; CMBC Securities Company Limited; CMB International Capital Limited; China Sunrise Securities (International) Limited; Futu Securities International (Hong Kong) Limited; Haitong International Securities Company Limited; ICBC International Securities Limited; Livermore Holdings Limited</t>
        </is>
      </c>
      <c r="BX252" s="108" t="inlineStr">
        <is>
          <t>Beta International Securities Limited; CCB International Capital Limited; CEB International Capital Corporation Limited; China International Capital Corporation Hong Kong Securities Limited; Citrus Securities Limited; CMBC Securities Company Limited; CMB International Capital Limited; China Sunrise Securities (International) Limited; Futu Securities International (Hong Kong) Limited; Haitong International Securities Company Limited; ICBC International Securities Limited; Livermore Holdings Limited</t>
        </is>
      </c>
      <c r="BY252" s="127">
        <f>HYPERLINK("https://www1.hkexnews.hk/listedco/listconews/sehk/2024/0507/2024050700011.pdf","prospectus")</f>
        <v/>
      </c>
      <c r="BZ252" s="127">
        <f>HYPERLINK("https://www1.hkexnews.hk/listedco/listconews/sehk/2024/0514/2024051401235.pdf","allotment")</f>
        <v/>
      </c>
      <c r="CA252" s="119" t="n"/>
      <c r="CB252" s="128" t="n"/>
      <c r="CC252" s="108" t="inlineStr">
        <is>
          <t>P/E: loss-making at IPO, use P/S; greenshoe: no over-allotment option; greenshoe size: no over-allotment option; stabilising manager: filing states none appointed (allotment announcement: 'no stabilizing manager will be appointed' stated in the filing)</t>
        </is>
      </c>
    </row>
    <row r="253" ht="22" customHeight="1">
      <c r="A253" s="107" t="inlineStr">
        <is>
          <t>2529</t>
        </is>
      </c>
      <c r="B253" s="108" t="inlineStr">
        <is>
          <t>HOLLWIN URBAN</t>
        </is>
      </c>
      <c r="C253" s="108" t="inlineStr">
        <is>
          <t>泓盈城市服務</t>
        </is>
      </c>
      <c r="D253" s="108" t="inlineStr">
        <is>
          <t>Real Estate</t>
        </is>
      </c>
      <c r="E253" s="108" t="inlineStr">
        <is>
          <t>Property management</t>
        </is>
      </c>
      <c r="F253" s="108" t="inlineStr">
        <is>
          <t>Property Service and Management</t>
        </is>
      </c>
      <c r="G253" s="108" t="inlineStr">
        <is>
          <t>Standard</t>
        </is>
      </c>
      <c r="H253" s="109" t="n">
        <v>45429</v>
      </c>
      <c r="I253" s="110" t="n">
        <v>128</v>
      </c>
      <c r="J253" s="108" t="inlineStr">
        <is>
          <t>gross (price x shares)</t>
        </is>
      </c>
      <c r="K253" s="111" t="n">
        <v>3.2</v>
      </c>
      <c r="L253" s="111" t="n">
        <v>3.6</v>
      </c>
      <c r="M253" s="111" t="n">
        <v>3.2</v>
      </c>
      <c r="N253" s="108" t="inlineStr">
        <is>
          <t>N</t>
        </is>
      </c>
      <c r="O253" s="112" t="n">
        <v>88.90000000000001</v>
      </c>
      <c r="P253" s="112" t="n">
        <v>0</v>
      </c>
      <c r="Q253" s="113" t="n">
        <v>512</v>
      </c>
      <c r="R253" s="108" t="inlineStr">
        <is>
          <t>derived:price x shares upon listing</t>
        </is>
      </c>
      <c r="S253" s="114" t="n">
        <v>47.59</v>
      </c>
      <c r="T253" s="115" t="n">
        <v>1.2</v>
      </c>
      <c r="U253" s="116" t="n">
        <v>52.34</v>
      </c>
      <c r="V253" s="117" t="n">
        <v>135</v>
      </c>
      <c r="W253" s="112" t="n">
        <v>30</v>
      </c>
      <c r="X253" s="108" t="inlineStr">
        <is>
          <t>YES</t>
        </is>
      </c>
      <c r="Y253" s="113" t="n">
        <v>61</v>
      </c>
      <c r="Z253" s="113" t="n">
        <v>19064000</v>
      </c>
      <c r="AA253" s="112" t="n">
        <v>11.91</v>
      </c>
      <c r="AB253" s="108" t="inlineStr">
        <is>
          <t>Lens Technology (HK) Co., Limited; CO., LIMITED LEYARD (HONGKONG) CO., LIMITED; SANAN INTERNATION AL HOLDING CO., LIMITED; HONGKONG JIAGANG TRADING LIMITED; XIANGZHENG CAPITAL LIMITED</t>
        </is>
      </c>
      <c r="AC253" s="108" t="inlineStr">
        <is>
          <t>lens;leyard;sanan;hongkong;xiangzheng</t>
        </is>
      </c>
      <c r="AD253" s="118" t="n"/>
      <c r="AE253" s="119" t="n"/>
      <c r="AF253" s="119" t="n"/>
      <c r="AG253" s="119" t="n"/>
      <c r="AH253" s="119" t="n"/>
      <c r="AI253" s="120" t="n">
        <v>11.56</v>
      </c>
      <c r="AJ253" s="121" t="n">
        <v>0.31</v>
      </c>
      <c r="AK253" s="121" t="n">
        <v>2.52</v>
      </c>
      <c r="AL253" s="121" t="n">
        <v>8.119999999999999</v>
      </c>
      <c r="AM253" s="121" t="n">
        <v>-7.22</v>
      </c>
      <c r="AN253" s="123" t="n">
        <v>0.96</v>
      </c>
      <c r="AO253" s="112" t="n">
        <v>15.9</v>
      </c>
      <c r="AP253" s="121" t="n">
        <v>-19.38</v>
      </c>
      <c r="AQ253" s="121" t="n">
        <v>-7.81</v>
      </c>
      <c r="AR253" s="121" t="n">
        <v>-12.5</v>
      </c>
      <c r="AS253" s="121" t="n">
        <v>-19.63</v>
      </c>
      <c r="AT253" s="121" t="n">
        <v>-8.09</v>
      </c>
      <c r="AU253" s="121" t="n">
        <v>-12.77</v>
      </c>
      <c r="AV253" s="121" t="n">
        <v>-15.31</v>
      </c>
      <c r="AW253" s="121" t="n">
        <v>6.84</v>
      </c>
      <c r="AX253" s="121" t="n">
        <v>5.33</v>
      </c>
      <c r="AY253" s="121" t="n">
        <v>8.66</v>
      </c>
      <c r="AZ253" s="121" t="n">
        <v>-14.65</v>
      </c>
      <c r="BA253" s="121" t="n">
        <v>-16.75</v>
      </c>
      <c r="BB253" s="108" t="inlineStr">
        <is>
          <t>Hang Seng Properties sub-index</t>
        </is>
      </c>
      <c r="BC253" s="121" t="n">
        <v>-20.31</v>
      </c>
      <c r="BD253" s="109" t="n">
        <v>46297</v>
      </c>
      <c r="BE253" s="110" t="n">
        <v>717.1</v>
      </c>
      <c r="BF253" s="113" t="n">
        <v>77.2</v>
      </c>
      <c r="BG253" s="108" t="inlineStr">
        <is>
          <t>Y</t>
        </is>
      </c>
      <c r="BH253" s="123" t="n">
        <v>6.6</v>
      </c>
      <c r="BI253" s="122" t="n"/>
      <c r="BJ253" s="123" t="n">
        <v>5.2</v>
      </c>
      <c r="BK253" s="123" t="n">
        <v>0.7</v>
      </c>
      <c r="BL253" s="124">
        <f>IF('BBG Verify'!S253="","not filed; run on terminal",'BBG Verify'!S253)</f>
        <v/>
      </c>
      <c r="BM253" s="125" t="inlineStr">
        <is>
          <t>N</t>
        </is>
      </c>
      <c r="BN253" s="126">
        <f>IF('BBG Verify'!K253="","not filed; run on terminal",'BBG Verify'!K253)</f>
        <v/>
      </c>
      <c r="BO253" s="108" t="inlineStr">
        <is>
          <t>N/A</t>
        </is>
      </c>
      <c r="BP253" s="108" t="inlineStr">
        <is>
          <t>N/A</t>
        </is>
      </c>
      <c r="BQ253" s="108" t="inlineStr">
        <is>
          <t>N/A</t>
        </is>
      </c>
      <c r="BR253" s="108" t="inlineStr">
        <is>
          <t>N/A</t>
        </is>
      </c>
      <c r="BS253" s="108" t="inlineStr">
        <is>
          <t>N/A</t>
        </is>
      </c>
      <c r="BT253" s="108" t="inlineStr">
        <is>
          <t>N/A</t>
        </is>
      </c>
      <c r="BU253" s="125" t="inlineStr">
        <is>
          <t>China International Capital Corporation Hong Kong Securities Limited</t>
        </is>
      </c>
      <c r="BV253" s="108" t="inlineStr">
        <is>
          <t>China International Capital Corporation Hong Kong Securities Limited</t>
        </is>
      </c>
      <c r="BW253" s="108" t="inlineStr">
        <is>
          <t>China International Capital Corporation Hong Kong Securities Limited; ABCI Capital Limited; CEB International Capital Corporation Limited; China Sunrise Securities (International) Limited; CMBC Securities Company Limited; CMB International Capital Limited; ICBC International Securities Limited; Livermore Holdings Limited; UOB Kay Hian (Hong Kong) Limited; Zhongtai International Securities Limited</t>
        </is>
      </c>
      <c r="BX253" s="108" t="inlineStr">
        <is>
          <t>ABCI Securities Company Limited; CEB International Capital Corporation Limited; China International Capital Corporation Hong Kong Securities Limited; Cinda International Capital Limited; CMBC Securities Company Limited; CMB International Capital Limited; China Sunrise Securities (International) Limited; ICBC International Securities Limited; Livermore Holdings Limited; UOB Kay Hian (Hong Kong) Limited; Zhongtai International Securities Limited</t>
        </is>
      </c>
      <c r="BY253" s="127">
        <f>HYPERLINK("https://www1.hkexnews.hk/listedco/listconews/sehk/2024/0508/2024050800029.pdf","prospectus")</f>
        <v/>
      </c>
      <c r="BZ253" s="127">
        <f>HYPERLINK("https://www1.hkexnews.hk/listedco/listconews/sehk/2024/0516/2024051601339.pdf","allotment")</f>
        <v/>
      </c>
      <c r="CA253" s="119" t="n"/>
      <c r="CB253" s="128" t="n"/>
      <c r="CC253" s="108" t="inlineStr">
        <is>
          <t>greenshoe: no over-allotment option; sponsor: English name not in the filing; AAStocks 保薦人 shown; greenshoe size: no over-allotment option; stabilising manager: no over-allotment option, so none appointed</t>
        </is>
      </c>
    </row>
    <row r="254" ht="22" customHeight="1">
      <c r="A254" s="107" t="inlineStr">
        <is>
          <t>2898</t>
        </is>
      </c>
      <c r="B254" s="108" t="inlineStr">
        <is>
          <t>SUNHO BIO-B</t>
        </is>
      </c>
      <c r="C254" s="108" t="inlineStr">
        <is>
          <t>盛禾生物－Ｂ</t>
        </is>
      </c>
      <c r="D254" s="108" t="inlineStr">
        <is>
          <t>Healthcare</t>
        </is>
      </c>
      <c r="E254" s="108" t="inlineStr">
        <is>
          <t>Biotech pre-revenue (18A)</t>
        </is>
      </c>
      <c r="F254" s="108" t="inlineStr">
        <is>
          <t>Biotechnology - Pharmaceuticals</t>
        </is>
      </c>
      <c r="G254" s="108" t="inlineStr">
        <is>
          <t>18A</t>
        </is>
      </c>
      <c r="H254" s="109" t="n">
        <v>45436</v>
      </c>
      <c r="I254" s="110" t="n">
        <v>461</v>
      </c>
      <c r="J254" s="108" t="inlineStr">
        <is>
          <t>gross (price x shares)</t>
        </is>
      </c>
      <c r="K254" s="129" t="n"/>
      <c r="L254" s="111" t="n">
        <v>13.5</v>
      </c>
      <c r="M254" s="111" t="n">
        <v>13.5</v>
      </c>
      <c r="N254" s="108" t="inlineStr">
        <is>
          <t>Y</t>
        </is>
      </c>
      <c r="O254" s="112" t="n">
        <v>100</v>
      </c>
      <c r="P254" s="118" t="n"/>
      <c r="Q254" s="113" t="n">
        <v>2115</v>
      </c>
      <c r="R254" s="108" t="inlineStr">
        <is>
          <t>derived:price x shares upon listing</t>
        </is>
      </c>
      <c r="S254" s="114" t="n">
        <v>10.08</v>
      </c>
      <c r="T254" s="115" t="n">
        <v>1.27</v>
      </c>
      <c r="U254" s="116" t="n">
        <v>9.07</v>
      </c>
      <c r="V254" s="117" t="n">
        <v>110</v>
      </c>
      <c r="W254" s="112" t="n">
        <v>10</v>
      </c>
      <c r="X254" s="108" t="inlineStr">
        <is>
          <t>NO</t>
        </is>
      </c>
      <c r="Y254" s="113" t="n">
        <v>419.19</v>
      </c>
      <c r="Z254" s="113" t="n">
        <v>31054232</v>
      </c>
      <c r="AA254" s="112" t="n">
        <v>19.82</v>
      </c>
      <c r="AB254" s="108" t="inlineStr">
        <is>
          <t>Nanjing Jingkai Weilai Technology Industrial Investment Partnership (Limited Partnership)</t>
        </is>
      </c>
      <c r="AC254" s="108" t="inlineStr">
        <is>
          <t>nanjing</t>
        </is>
      </c>
      <c r="AD254" s="118" t="n"/>
      <c r="AE254" s="119" t="n"/>
      <c r="AF254" s="119" t="n"/>
      <c r="AG254" s="119" t="n"/>
      <c r="AH254" s="119" t="n"/>
      <c r="AI254" s="120" t="n">
        <v>8.890000000000001</v>
      </c>
      <c r="AJ254" s="121" t="n">
        <v>7.56</v>
      </c>
      <c r="AK254" s="121" t="n">
        <v>-2.63</v>
      </c>
      <c r="AL254" s="121" t="n">
        <v>7.11</v>
      </c>
      <c r="AM254" s="121" t="n">
        <v>0.42</v>
      </c>
      <c r="AN254" s="123" t="n">
        <v>0.8100000000000001</v>
      </c>
      <c r="AO254" s="112" t="n">
        <v>9.130000000000001</v>
      </c>
      <c r="AP254" s="121" t="n">
        <v>-47.41</v>
      </c>
      <c r="AQ254" s="121" t="n">
        <v>-60</v>
      </c>
      <c r="AR254" s="121" t="n">
        <v>-49.63</v>
      </c>
      <c r="AS254" s="121" t="n">
        <v>-51.11</v>
      </c>
      <c r="AT254" s="121" t="n">
        <v>-62.81</v>
      </c>
      <c r="AU254" s="121" t="n">
        <v>-53.17</v>
      </c>
      <c r="AV254" s="121" t="n">
        <v>-44.39</v>
      </c>
      <c r="AW254" s="121" t="n">
        <v>-53.58</v>
      </c>
      <c r="AX254" s="121" t="n">
        <v>-40.04</v>
      </c>
      <c r="AY254" s="121" t="n">
        <v>-58.92</v>
      </c>
      <c r="AZ254" s="121" t="n">
        <v>-6.42</v>
      </c>
      <c r="BA254" s="121" t="n">
        <v>-3.89</v>
      </c>
      <c r="BB254" s="108" t="inlineStr">
        <is>
          <t>China Biotech ETF (HS biotech proxy)</t>
        </is>
      </c>
      <c r="BC254" s="121" t="n">
        <v>-52.67</v>
      </c>
      <c r="BD254" s="109" t="n">
        <v>46112</v>
      </c>
      <c r="BE254" s="110" t="n">
        <v>0.5</v>
      </c>
      <c r="BF254" s="113" t="n">
        <v>0</v>
      </c>
      <c r="BG254" s="108" t="inlineStr">
        <is>
          <t>N</t>
        </is>
      </c>
      <c r="BH254" s="108" t="inlineStr">
        <is>
          <t>n/m</t>
        </is>
      </c>
      <c r="BI254" s="122" t="n"/>
      <c r="BJ254" s="122" t="n"/>
      <c r="BK254" s="123" t="n">
        <v>4230</v>
      </c>
      <c r="BL254" s="124">
        <f>IF('BBG Verify'!S254="","not filed; run on terminal",'BBG Verify'!S254)</f>
        <v/>
      </c>
      <c r="BM254" s="125" t="inlineStr">
        <is>
          <t>N</t>
        </is>
      </c>
      <c r="BN254" s="126">
        <f>IF('BBG Verify'!K254="","not filed; run on terminal",'BBG Verify'!K254)</f>
        <v/>
      </c>
      <c r="BO254" s="108" t="inlineStr">
        <is>
          <t>N/A</t>
        </is>
      </c>
      <c r="BP254" s="108" t="inlineStr">
        <is>
          <t>N/A</t>
        </is>
      </c>
      <c r="BQ254" s="108" t="inlineStr">
        <is>
          <t>N/A</t>
        </is>
      </c>
      <c r="BR254" s="108" t="inlineStr">
        <is>
          <t>N/A</t>
        </is>
      </c>
      <c r="BS254" s="108" t="inlineStr">
        <is>
          <t>N/A</t>
        </is>
      </c>
      <c r="BT254" s="108" t="inlineStr">
        <is>
          <t>N/A</t>
        </is>
      </c>
      <c r="BU254" s="125" t="inlineStr">
        <is>
          <t>China International Capital Corporation Hong Kong Securities Limited</t>
        </is>
      </c>
      <c r="BV254" s="108" t="inlineStr">
        <is>
          <t>China International Capital Corporation Hong Kong Securities Limited</t>
        </is>
      </c>
      <c r="BW254" s="108" t="inlineStr">
        <is>
          <t>China International Capital Corporation Hong Kong Securities Limited; China Galaxy International Securities (Hong Kong) Co., Limited; CMB International Capital Limited; Zhongtai International Securities Limited</t>
        </is>
      </c>
      <c r="BX254" s="108"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 Grand China Securities Limited; ICBC International Securities Limited; Tiger Brokers (HK) Global Limited; Victory Securities Company Limited; Zhongtai International Securities Limited</t>
        </is>
      </c>
      <c r="BY254" s="127">
        <f>HYPERLINK("https://www1.hkexnews.hk/listedco/listconews/sehk/2024/0516/2024051600013.pdf","prospectus")</f>
        <v/>
      </c>
      <c r="BZ254" s="127">
        <f>HYPERLINK("https://www1.hkexnews.hk/listedco/listconews/sehk/2024/0523/2024052301621.pdf","allotment")</f>
        <v/>
      </c>
      <c r="CA254" s="119" t="n"/>
      <c r="CB254" s="128" t="n"/>
      <c r="CC254" s="108" t="inlineStr">
        <is>
          <t>P/E: loss-making at IPO, use P/S; greenshoe: no over-allotment option; range low: maximum offer price only, no floor published; sponsor: English name not in the filing; AAStocks 保薦人 shown; greenshoe size: no over-allotment option; P/S: 4,230x on HK$0.5m revenue, effectively pre-revenue; not comparable; stabilising manager: filing states none appointed (prospectus: 'no stabilizing manager will be appointed' stated in the filing); price series: last available quoted close 2026-03-31; may be suspended, delisted or a source gap; price and benchmark end on that date</t>
        </is>
      </c>
    </row>
    <row r="255" ht="22" customHeight="1">
      <c r="A255" s="107" t="inlineStr">
        <is>
          <t>0917</t>
        </is>
      </c>
      <c r="B255" s="108" t="inlineStr">
        <is>
          <t>QUNABOX GROUP</t>
        </is>
      </c>
      <c r="C255" s="108" t="inlineStr">
        <is>
          <t>趣致集團</t>
        </is>
      </c>
      <c r="D255" s="108" t="inlineStr">
        <is>
          <t>TMT-other</t>
        </is>
      </c>
      <c r="E255" s="108" t="inlineStr">
        <is>
          <t>Media / advertising</t>
        </is>
      </c>
      <c r="F255" s="108" t="inlineStr">
        <is>
          <t>Advertising</t>
        </is>
      </c>
      <c r="G255" s="108" t="inlineStr">
        <is>
          <t>Standard</t>
        </is>
      </c>
      <c r="H255" s="109" t="n">
        <v>45439</v>
      </c>
      <c r="I255" s="110" t="n">
        <v>492.6</v>
      </c>
      <c r="J255" s="108" t="inlineStr">
        <is>
          <t>gross (stated)</t>
        </is>
      </c>
      <c r="K255" s="111" t="n">
        <v>25</v>
      </c>
      <c r="L255" s="111" t="n">
        <v>29.7</v>
      </c>
      <c r="M255" s="111" t="n">
        <v>25</v>
      </c>
      <c r="N255" s="108" t="inlineStr">
        <is>
          <t>N</t>
        </is>
      </c>
      <c r="O255" s="112" t="n">
        <v>84.2</v>
      </c>
      <c r="P255" s="112" t="n">
        <v>0</v>
      </c>
      <c r="Q255" s="113" t="n">
        <v>6567.6</v>
      </c>
      <c r="R255" s="108" t="inlineStr">
        <is>
          <t>derived:price x shares upon listing</t>
        </is>
      </c>
      <c r="S255" s="114" t="n">
        <v>12.05</v>
      </c>
      <c r="T255" s="115" t="n">
        <v>1.11</v>
      </c>
      <c r="U255" s="116" t="n">
        <v>15.87</v>
      </c>
      <c r="V255" s="117" t="n">
        <v>243</v>
      </c>
      <c r="W255" s="112" t="n">
        <v>10</v>
      </c>
      <c r="X255" s="108" t="inlineStr">
        <is>
          <t>NO</t>
        </is>
      </c>
      <c r="Y255" s="113" t="n">
        <v>414.42</v>
      </c>
      <c r="Z255" s="113" t="n">
        <v>16576975</v>
      </c>
      <c r="AA255" s="112" t="n">
        <v>6.31</v>
      </c>
      <c r="AB255" s="108" t="inlineStr">
        <is>
          <t>Golden Future LPF</t>
        </is>
      </c>
      <c r="AC255" s="108" t="inlineStr">
        <is>
          <t>golden-future</t>
        </is>
      </c>
      <c r="AD255" s="118" t="n"/>
      <c r="AE255" s="119" t="n"/>
      <c r="AF255" s="119" t="n"/>
      <c r="AG255" s="119" t="n"/>
      <c r="AH255" s="119" t="n"/>
      <c r="AI255" s="120" t="n">
        <v>32</v>
      </c>
      <c r="AJ255" s="121" t="n">
        <v>40</v>
      </c>
      <c r="AK255" s="121" t="n">
        <v>1.17</v>
      </c>
      <c r="AL255" s="121" t="n">
        <v>32</v>
      </c>
      <c r="AM255" s="121" t="n">
        <v>6.06</v>
      </c>
      <c r="AN255" s="123" t="n">
        <v>1.28</v>
      </c>
      <c r="AO255" s="112" t="n">
        <v>24.24</v>
      </c>
      <c r="AP255" s="121" t="n">
        <v>58.8</v>
      </c>
      <c r="AQ255" s="121" t="n">
        <v>110.6</v>
      </c>
      <c r="AR255" s="121" t="n">
        <v>105.8</v>
      </c>
      <c r="AS255" s="121" t="n">
        <v>13.43</v>
      </c>
      <c r="AT255" s="121" t="n">
        <v>50.43</v>
      </c>
      <c r="AU255" s="121" t="n">
        <v>47</v>
      </c>
      <c r="AV255" s="121" t="n">
        <v>59.91</v>
      </c>
      <c r="AW255" s="121" t="n">
        <v>113.39</v>
      </c>
      <c r="AX255" s="121" t="n">
        <v>110.15</v>
      </c>
      <c r="AY255" s="121" t="n">
        <v>54.35</v>
      </c>
      <c r="AZ255" s="121" t="n">
        <v>-2.79</v>
      </c>
      <c r="BA255" s="121" t="n">
        <v>-3.92</v>
      </c>
      <c r="BB255" s="108" t="inlineStr">
        <is>
          <t>Hang Seng Index</t>
        </is>
      </c>
      <c r="BC255" s="121" t="n">
        <v>-71.04000000000001</v>
      </c>
      <c r="BD255" s="109" t="n">
        <v>46297</v>
      </c>
      <c r="BE255" s="110" t="n">
        <v>1107.4</v>
      </c>
      <c r="BF255" s="113" t="n">
        <v>150.4</v>
      </c>
      <c r="BG255" s="108" t="inlineStr">
        <is>
          <t>Y</t>
        </is>
      </c>
      <c r="BH255" s="123" t="n">
        <v>43.7</v>
      </c>
      <c r="BI255" s="122" t="n"/>
      <c r="BJ255" s="122" t="n"/>
      <c r="BK255" s="123" t="n">
        <v>5.9</v>
      </c>
      <c r="BL255" s="124">
        <f>IF('BBG Verify'!S255="","not filed; run on terminal",'BBG Verify'!S255)</f>
        <v/>
      </c>
      <c r="BM255" s="125" t="inlineStr">
        <is>
          <t>N</t>
        </is>
      </c>
      <c r="BN255" s="126">
        <f>IF('BBG Verify'!K255="","not filed; run on terminal",'BBG Verify'!K255)</f>
        <v/>
      </c>
      <c r="BO255" s="108" t="inlineStr">
        <is>
          <t>N/A</t>
        </is>
      </c>
      <c r="BP255" s="108" t="inlineStr">
        <is>
          <t>N/A</t>
        </is>
      </c>
      <c r="BQ255" s="108" t="inlineStr">
        <is>
          <t>N/A</t>
        </is>
      </c>
      <c r="BR255" s="108" t="inlineStr">
        <is>
          <t>N/A</t>
        </is>
      </c>
      <c r="BS255" s="108" t="inlineStr">
        <is>
          <t>N/A</t>
        </is>
      </c>
      <c r="BT255" s="108" t="inlineStr">
        <is>
          <t>N/A</t>
        </is>
      </c>
      <c r="BU255" s="125" t="inlineStr">
        <is>
          <t>Haitong International Capital Limited</t>
        </is>
      </c>
      <c r="BV255" s="108" t="inlineStr">
        <is>
          <t>Haitong International Capital Limited</t>
        </is>
      </c>
      <c r="BW255" s="108" t="inlineStr">
        <is>
          <t>Haitong International Securities Company Limited; Zhongtai International Securities Limited; CCB International Capital Limited; ABCI Capital Limited; SPDB International Capital Limited; BOCOM International Securities Limited; Quam Securities Limited</t>
        </is>
      </c>
      <c r="BX255" s="108" t="inlineStr">
        <is>
          <t>ABCI Securities Company Limited; BOCOM International Securities Limited; CCB International Capital Limited; Fosun International Securities Limited; Futu Securities International (Hong Kong) Limited; Haitong International Securities Company Limited; Livermore Holdings Limited; Quam Securities Limited; SPDB International Capital Limited; Zhongtai International Securities Limited</t>
        </is>
      </c>
      <c r="BY255" s="127">
        <f>HYPERLINK("https://www1.hkexnews.hk/listedco/listconews/sehk/2024/0517/2024051700009.pdf","prospectus")</f>
        <v/>
      </c>
      <c r="BZ255" s="127">
        <f>HYPERLINK("https://www1.hkexnews.hk/listedco/listconews/sehk/2024/0524/2024052401848.pdf","allotment")</f>
        <v/>
      </c>
      <c r="CA255" s="119" t="n"/>
      <c r="CB255" s="128" t="n"/>
      <c r="CC255" s="108" t="inlineStr">
        <is>
          <t>greenshoe: no over-allotment option; greenshoe size: no over-allotment option; stabilising manager: filing states none appointed (allotment announcement: 'no stabilizing manager will be appointed' stated in the filing)</t>
        </is>
      </c>
    </row>
    <row r="256" ht="22" customHeight="1">
      <c r="A256" s="107" t="inlineStr">
        <is>
          <t>2505</t>
        </is>
      </c>
      <c r="B256" s="108" t="inlineStr">
        <is>
          <t>EDA GROUP HLDGS</t>
        </is>
      </c>
      <c r="C256" s="108" t="inlineStr">
        <is>
          <t>ＥＤＡ集團控股</t>
        </is>
      </c>
      <c r="D256" s="108" t="inlineStr">
        <is>
          <t>Industrials</t>
        </is>
      </c>
      <c r="E256" s="108" t="inlineStr">
        <is>
          <t>Logistics</t>
        </is>
      </c>
      <c r="F256" s="108" t="inlineStr">
        <is>
          <t>Air Freight &amp; Logistics</t>
        </is>
      </c>
      <c r="G256" s="108" t="inlineStr">
        <is>
          <t>Standard</t>
        </is>
      </c>
      <c r="H256" s="109" t="n">
        <v>45440</v>
      </c>
      <c r="I256" s="132" t="n"/>
      <c r="J256" s="119" t="n"/>
      <c r="K256" s="129" t="n"/>
      <c r="L256" s="111" t="n">
        <v>2.28</v>
      </c>
      <c r="M256" s="111" t="n">
        <v>2.28</v>
      </c>
      <c r="N256" s="108" t="inlineStr">
        <is>
          <t>Y</t>
        </is>
      </c>
      <c r="O256" s="112" t="n">
        <v>100</v>
      </c>
      <c r="P256" s="118" t="n"/>
      <c r="Q256" s="113" t="n">
        <v>1174.7</v>
      </c>
      <c r="R256" s="108" t="inlineStr">
        <is>
          <t>aastocks:上市市值 at the struck price</t>
        </is>
      </c>
      <c r="S256" s="114" t="n">
        <v>103.44</v>
      </c>
      <c r="T256" s="115" t="n">
        <v>0.98</v>
      </c>
      <c r="U256" s="116" t="n">
        <v>22.7</v>
      </c>
      <c r="V256" s="117" t="n">
        <v>136</v>
      </c>
      <c r="W256" s="112" t="n">
        <v>15.2</v>
      </c>
      <c r="X256" s="119" t="n"/>
      <c r="Y256" s="131" t="n"/>
      <c r="Z256" s="131" t="n"/>
      <c r="AA256" s="118" t="n"/>
      <c r="AB256" s="108" t="inlineStr">
        <is>
          <t>CPIC Investment Management (H.K.) Company Limited; The Reynold Lemkins Group (Asia) Limited</t>
        </is>
      </c>
      <c r="AC256" s="108" t="inlineStr">
        <is>
          <t>cpic;reynold</t>
        </is>
      </c>
      <c r="AD256" s="118" t="n"/>
      <c r="AE256" s="108" t="inlineStr">
        <is>
          <t>lapsed (no over-allocation)</t>
        </is>
      </c>
      <c r="AF256" s="108" t="inlineStr">
        <is>
          <t>2024-06-22</t>
        </is>
      </c>
      <c r="AG256" s="108" t="inlineStr">
        <is>
          <t>CMB International Capital Limited</t>
        </is>
      </c>
      <c r="AH256" s="108" t="inlineStr">
        <is>
          <t>CMB</t>
        </is>
      </c>
      <c r="AI256" s="120" t="n">
        <v>40.79</v>
      </c>
      <c r="AJ256" s="121" t="n">
        <v>84.20999999999999</v>
      </c>
      <c r="AK256" s="121" t="n">
        <v>0.13</v>
      </c>
      <c r="AL256" s="121" t="n">
        <v>35.53</v>
      </c>
      <c r="AM256" s="121" t="n">
        <v>35.92</v>
      </c>
      <c r="AN256" s="123" t="n">
        <v>2.27</v>
      </c>
      <c r="AO256" s="112" t="n">
        <v>51.13</v>
      </c>
      <c r="AP256" s="121" t="n">
        <v>35.09</v>
      </c>
      <c r="AQ256" s="121" t="n">
        <v>84.20999999999999</v>
      </c>
      <c r="AR256" s="121" t="n">
        <v>49.12</v>
      </c>
      <c r="AS256" s="121" t="n">
        <v>-26.67</v>
      </c>
      <c r="AT256" s="121" t="n">
        <v>0</v>
      </c>
      <c r="AU256" s="121" t="n">
        <v>-19.05</v>
      </c>
      <c r="AV256" s="121" t="n">
        <v>36.4</v>
      </c>
      <c r="AW256" s="121" t="n">
        <v>89.48999999999999</v>
      </c>
      <c r="AX256" s="121" t="n">
        <v>53.89</v>
      </c>
      <c r="AY256" s="121" t="n">
        <v>5.4</v>
      </c>
      <c r="AZ256" s="121" t="n">
        <v>-5.28</v>
      </c>
      <c r="BA256" s="121" t="n">
        <v>-5.4</v>
      </c>
      <c r="BB256" s="108" t="inlineStr">
        <is>
          <t>Hang Seng Commerce &amp; Industry sub-index</t>
        </is>
      </c>
      <c r="BC256" s="121" t="n">
        <v>-71.05</v>
      </c>
      <c r="BD256" s="109" t="n">
        <v>46297</v>
      </c>
      <c r="BE256" s="110" t="n">
        <v>1330.2</v>
      </c>
      <c r="BF256" s="113" t="n">
        <v>76.3</v>
      </c>
      <c r="BG256" s="108" t="inlineStr">
        <is>
          <t>Y</t>
        </is>
      </c>
      <c r="BH256" s="123" t="n">
        <v>15.4</v>
      </c>
      <c r="BI256" s="122" t="n"/>
      <c r="BJ256" s="122" t="n"/>
      <c r="BK256" s="123" t="n">
        <v>0.9</v>
      </c>
      <c r="BL256" s="124">
        <f>IF('BBG Verify'!S256="","not filed; run on terminal",'BBG Verify'!S256)</f>
        <v/>
      </c>
      <c r="BM256" s="125" t="inlineStr">
        <is>
          <t>N</t>
        </is>
      </c>
      <c r="BN256" s="126">
        <f>IF('BBG Verify'!K256="","not filed; run on terminal",'BBG Verify'!K256)</f>
        <v/>
      </c>
      <c r="BO256" s="108" t="inlineStr">
        <is>
          <t>N/A</t>
        </is>
      </c>
      <c r="BP256" s="108" t="inlineStr">
        <is>
          <t>N/A</t>
        </is>
      </c>
      <c r="BQ256" s="108" t="inlineStr">
        <is>
          <t>N/A</t>
        </is>
      </c>
      <c r="BR256" s="108" t="inlineStr">
        <is>
          <t>N/A</t>
        </is>
      </c>
      <c r="BS256" s="108" t="inlineStr">
        <is>
          <t>N/A</t>
        </is>
      </c>
      <c r="BT256" s="108" t="inlineStr">
        <is>
          <t>N/A</t>
        </is>
      </c>
      <c r="BU256" s="125" t="inlineStr">
        <is>
          <t>CMB International Capital Limited</t>
        </is>
      </c>
      <c r="BV256" s="108" t="inlineStr">
        <is>
          <t>CMB International Capital Corporation Limited</t>
        </is>
      </c>
      <c r="BW256" s="108" t="inlineStr">
        <is>
          <t>CMB International Capital Limited; ABCI Capital Limited; ABCI Securities Company Limited</t>
        </is>
      </c>
      <c r="BX256" s="108" t="inlineStr">
        <is>
          <t>ABCI Securities Company Limited; BOCI Asia Limited; CEB International Capital Corporation Limited; China Galaxy International Securities (Hong Kong) Company Limited; CMB International Capital Limited; Eddid Securities and Futures Limited; Futu Securities International (Hong Kong) Limited; Patrons Securities Limited; Quam Securities Company Limited; Ruibang Securities Limited; Tiger Brokers (HK) Global Limited</t>
        </is>
      </c>
      <c r="BY256" s="127">
        <f>HYPERLINK("https://www1.hkexnews.hk/listedco/listconews/sehk/2024/0519/2024051900044.htm","prospectus")</f>
        <v/>
      </c>
      <c r="BZ256" s="127">
        <f>HYPERLINK("https://www1.hkexnews.hk/listedco/listconews/sehk/2024/0527/2024052701491.pdf","allotment")</f>
        <v/>
      </c>
      <c r="CA256" s="127">
        <f>HYPERLINK("https://www1.hkexnews.hk/listedco/listconews/sehk/2024/0624/2024062401055.pdf","stabilisation")</f>
        <v/>
      </c>
      <c r="CB256" s="128" t="n"/>
      <c r="CC256" s="108" t="inlineStr">
        <is>
          <t>price range: fixed-price offering (no indicative range); range low: maximum offer price only, no floor published; greenshoe size: no over-allotment option; deal size: no proceeds figure in any filing; eff free float: % of cap not computable: deal size not available; eff float shares: share count unavailable; the HK$m figure is exact; size basis: no size on file; allocation: clawback line not in this notice; a 12-28% split is consistent with either a tier-1 clawback or a placing shortfall</t>
        </is>
      </c>
    </row>
    <row r="257" ht="22" customHeight="1">
      <c r="A257" s="107" t="inlineStr">
        <is>
          <t>2443</t>
        </is>
      </c>
      <c r="B257" s="108" t="inlineStr">
        <is>
          <t>AUTOSTREETS</t>
        </is>
      </c>
      <c r="C257" s="108" t="inlineStr">
        <is>
          <t>汽車街</t>
        </is>
      </c>
      <c r="D257" s="108" t="inlineStr">
        <is>
          <t>Consumer</t>
        </is>
      </c>
      <c r="E257" s="108" t="inlineStr">
        <is>
          <t>Retail / distribution</t>
        </is>
      </c>
      <c r="F257" s="108" t="inlineStr">
        <is>
          <t>Automotive Retail</t>
        </is>
      </c>
      <c r="G257" s="108" t="inlineStr">
        <is>
          <t>Standard</t>
        </is>
      </c>
      <c r="H257" s="109" t="n">
        <v>45443</v>
      </c>
      <c r="I257" s="110" t="n">
        <v>153</v>
      </c>
      <c r="J257" s="108" t="inlineStr">
        <is>
          <t>gross (stated)</t>
        </is>
      </c>
      <c r="K257" s="129" t="n"/>
      <c r="L257" s="111" t="n">
        <v>10.2</v>
      </c>
      <c r="M257" s="111" t="n">
        <v>10.2</v>
      </c>
      <c r="N257" s="108" t="inlineStr">
        <is>
          <t>Y</t>
        </is>
      </c>
      <c r="O257" s="112" t="n">
        <v>100</v>
      </c>
      <c r="P257" s="118" t="n"/>
      <c r="Q257" s="113" t="n">
        <v>7734.9</v>
      </c>
      <c r="R257" s="108" t="inlineStr">
        <is>
          <t>prospectus:stated market capitalisation, rescaled to the offer price</t>
        </is>
      </c>
      <c r="S257" s="114" t="n">
        <v>433.34</v>
      </c>
      <c r="T257" s="115" t="n">
        <v>0.98</v>
      </c>
      <c r="U257" s="116" t="n">
        <v>0</v>
      </c>
      <c r="V257" s="117" t="n">
        <v>148</v>
      </c>
      <c r="W257" s="112" t="n">
        <v>20</v>
      </c>
      <c r="X257" s="119" t="n"/>
      <c r="Y257" s="113" t="n">
        <v>153</v>
      </c>
      <c r="Z257" s="113" t="n">
        <v>15000000</v>
      </c>
      <c r="AA257" s="112" t="n">
        <v>1.98</v>
      </c>
      <c r="AB257" s="108" t="inlineStr">
        <is>
          <t>none — no cornerstone tranche</t>
        </is>
      </c>
      <c r="AC257" s="108" t="inlineStr">
        <is>
          <t>none</t>
        </is>
      </c>
      <c r="AD257" s="118" t="n"/>
      <c r="AE257" s="119" t="n"/>
      <c r="AF257" s="119" t="n"/>
      <c r="AG257" s="119" t="n"/>
      <c r="AH257" s="119" t="n"/>
      <c r="AI257" s="120" t="n">
        <v>44.31</v>
      </c>
      <c r="AJ257" s="121" t="n">
        <v>26.86</v>
      </c>
      <c r="AK257" s="121" t="n">
        <v>-1.11</v>
      </c>
      <c r="AL257" s="121" t="n">
        <v>42.16</v>
      </c>
      <c r="AM257" s="121" t="n">
        <v>-10.76</v>
      </c>
      <c r="AN257" s="123" t="n">
        <v>2.57</v>
      </c>
      <c r="AO257" s="112" t="n">
        <v>29.79</v>
      </c>
      <c r="AP257" s="121" t="n">
        <v>12.55</v>
      </c>
      <c r="AQ257" s="121" t="n">
        <v>-20.59</v>
      </c>
      <c r="AR257" s="121" t="n">
        <v>-48.92</v>
      </c>
      <c r="AS257" s="121" t="n">
        <v>-11.28</v>
      </c>
      <c r="AT257" s="121" t="n">
        <v>-37.4</v>
      </c>
      <c r="AU257" s="121" t="n">
        <v>-59.74</v>
      </c>
      <c r="AV257" s="121" t="n">
        <v>11.17</v>
      </c>
      <c r="AW257" s="121" t="n">
        <v>-20.17</v>
      </c>
      <c r="AX257" s="121" t="n">
        <v>-48.88</v>
      </c>
      <c r="AY257" s="121" t="n">
        <v>-38.1</v>
      </c>
      <c r="AZ257" s="121" t="n">
        <v>-0.42</v>
      </c>
      <c r="BA257" s="121" t="n">
        <v>0.7</v>
      </c>
      <c r="BB257" s="108" t="inlineStr">
        <is>
          <t>Hang Seng Commerce &amp; Industry sub-index</t>
        </is>
      </c>
      <c r="BC257" s="121" t="n">
        <v>-90.25</v>
      </c>
      <c r="BD257" s="109" t="n">
        <v>46297</v>
      </c>
      <c r="BE257" s="110" t="n">
        <v>541.2</v>
      </c>
      <c r="BF257" s="131" t="n"/>
      <c r="BG257" s="108" t="inlineStr">
        <is>
          <t>Y</t>
        </is>
      </c>
      <c r="BH257" s="124">
        <f>IF('BBG Verify'!O257="","not filed; run on terminal",'BBG Verify'!O257)</f>
        <v/>
      </c>
      <c r="BI257" s="122" t="n"/>
      <c r="BJ257" s="123" t="n">
        <v>95.8</v>
      </c>
      <c r="BK257" s="123" t="n">
        <v>14.3</v>
      </c>
      <c r="BL257" s="124">
        <f>IF('BBG Verify'!S257="","not filed; run on terminal",'BBG Verify'!S257)</f>
        <v/>
      </c>
      <c r="BM257" s="125" t="inlineStr">
        <is>
          <t>N</t>
        </is>
      </c>
      <c r="BN257" s="126">
        <f>IF('BBG Verify'!K257="","not filed; run on terminal",'BBG Verify'!K257)</f>
        <v/>
      </c>
      <c r="BO257" s="108" t="inlineStr">
        <is>
          <t>N/A</t>
        </is>
      </c>
      <c r="BP257" s="108" t="inlineStr">
        <is>
          <t>N/A</t>
        </is>
      </c>
      <c r="BQ257" s="108" t="inlineStr">
        <is>
          <t>N/A</t>
        </is>
      </c>
      <c r="BR257" s="108" t="inlineStr">
        <is>
          <t>N/A</t>
        </is>
      </c>
      <c r="BS257" s="108" t="inlineStr">
        <is>
          <t>N/A</t>
        </is>
      </c>
      <c r="BT257" s="108" t="inlineStr">
        <is>
          <t>N/A</t>
        </is>
      </c>
      <c r="BU257" s="125" t="inlineStr">
        <is>
          <t>CITIC Securities (Hong Kong) Limited; Haitong International Capital Limited</t>
        </is>
      </c>
      <c r="BV257" s="108" t="inlineStr">
        <is>
          <t>Haitong International Capital Limited; CITIC Securities (Hong Kong) Limited</t>
        </is>
      </c>
      <c r="BW257" s="108" t="inlineStr">
        <is>
          <t>CLSA Limited; Haitong International S ecurities Company Limited; Fosun International Securities Limited; Central Hong Kong China Galaxy International Securities (Hong Kong) Co., Limited; Central Hong Kong CMB International Capital Limited; ABCI Securities Company Limited; BOCI Asia Limited; Futu Securities Internat ional (Hong Kong) Limited; Livermore Holdings Limited; Patrons Securities Limited; Ruibang Securities Limited; Central Hong Kong SPDB International Capital Limited; ABCI Capital Limited</t>
        </is>
      </c>
      <c r="BX257" s="108" t="inlineStr">
        <is>
          <t>ABCI Securities Company Limited; BOCI Asia Limited; China Galaxy International Securities (Hong Kong) Company Limited; CLSA Limited; CMB International Capital Limited; Fosun International Securities Limited; Futu Securities International (Hong Kong) Limited; Haitong International Securities Company Limited; Livermore Holdings Limited; Patrons Securities Limited; Ruibang Securities Limited; SPDB International Capital Limited</t>
        </is>
      </c>
      <c r="BY257" s="127">
        <f>HYPERLINK("https://www1.hkexnews.hk/listedco/listconews/sehk/2024/0523/2024052300042.htm","prospectus")</f>
        <v/>
      </c>
      <c r="BZ257" s="127">
        <f>HYPERLINK("https://www1.hkexnews.hk/listedco/listconews/sehk/2024/0530/2024053001320.pdf","allotment")</f>
        <v/>
      </c>
      <c r="CA257" s="119" t="n"/>
      <c r="CB257" s="128" t="n"/>
      <c r="CC257" s="108" t="inlineStr">
        <is>
          <t>P/E: withheld: 758x fails the 300x plausibility cap; extracted net income HK$10.2m suspect; greenshoe: no over-allotment option; price range: fixed-price offering (no indicative range); range low: maximum offer price only, no floor published; market cap: prospectus cap HK$8,493m at HK$11.20, rescaled to HK$10.20; cornerstone list: no cornerstone tranche; greenshoe size: no over-allotment option; stabilising manager: filing states none appointed (allotment announcement: 'no stabilizing manager will be appointed' stated in the filing); financials: not extractable; pre-IPO year outside the AAStocks window; allocation: clawback line not in this notice; a 12-28% split is consistent with either a tier-1 clawback or a placing shortfall</t>
        </is>
      </c>
    </row>
    <row r="258" ht="22" customHeight="1">
      <c r="A258" s="107" t="inlineStr">
        <is>
          <t>2522</t>
        </is>
      </c>
      <c r="B258" s="108" t="inlineStr">
        <is>
          <t>RIMAG GROUP</t>
        </is>
      </c>
      <c r="C258" s="108" t="inlineStr">
        <is>
          <t>一脈陽光</t>
        </is>
      </c>
      <c r="D258" s="108" t="inlineStr">
        <is>
          <t>Healthcare</t>
        </is>
      </c>
      <c r="E258" s="108" t="inlineStr">
        <is>
          <t>Hospitals / clinics</t>
        </is>
      </c>
      <c r="F258" s="108" t="inlineStr">
        <is>
          <t>Health Care Services</t>
        </is>
      </c>
      <c r="G258" s="108" t="inlineStr">
        <is>
          <t>Standard</t>
        </is>
      </c>
      <c r="H258" s="109" t="n">
        <v>45450</v>
      </c>
      <c r="I258" s="110" t="n">
        <v>266.9</v>
      </c>
      <c r="J258" s="108" t="inlineStr">
        <is>
          <t>gross (price x shares)</t>
        </is>
      </c>
      <c r="K258" s="111" t="n">
        <v>14.6</v>
      </c>
      <c r="L258" s="111" t="n">
        <v>16.8</v>
      </c>
      <c r="M258" s="111" t="n">
        <v>14.98</v>
      </c>
      <c r="N258" s="108" t="inlineStr">
        <is>
          <t>N</t>
        </is>
      </c>
      <c r="O258" s="112" t="n">
        <v>89.2</v>
      </c>
      <c r="P258" s="112" t="n">
        <v>17.3</v>
      </c>
      <c r="Q258" s="113" t="n">
        <v>5337.6</v>
      </c>
      <c r="R258" s="108" t="inlineStr">
        <is>
          <t>derived:price x shares upon listing</t>
        </is>
      </c>
      <c r="S258" s="114" t="n">
        <v>336.33</v>
      </c>
      <c r="T258" s="115" t="n">
        <v>1.24</v>
      </c>
      <c r="U258" s="116" t="n">
        <v>44.97</v>
      </c>
      <c r="V258" s="117" t="n">
        <v>111</v>
      </c>
      <c r="W258" s="112" t="n">
        <v>50</v>
      </c>
      <c r="X258" s="108" t="inlineStr">
        <is>
          <t>YES</t>
        </is>
      </c>
      <c r="Y258" s="113" t="n">
        <v>146.88</v>
      </c>
      <c r="Z258" s="113" t="n">
        <v>9804145</v>
      </c>
      <c r="AA258" s="112" t="n">
        <v>2.75</v>
      </c>
      <c r="AB258" s="108" t="inlineStr">
        <is>
          <t>Excellent Investment Enterprise Management (Hong Kong) Co., Limited; China New Rich Medicine Holding Co. Limited; United Imaging Healthcare Hong Kong Limited</t>
        </is>
      </c>
      <c r="AC258" s="108" t="inlineStr">
        <is>
          <t>excellent;new-rich;united</t>
        </is>
      </c>
      <c r="AD258" s="118" t="n"/>
      <c r="AE258" s="119" t="n"/>
      <c r="AF258" s="119" t="n"/>
      <c r="AG258" s="119" t="n"/>
      <c r="AH258" s="119" t="n"/>
      <c r="AI258" s="120" t="n">
        <v>1.6</v>
      </c>
      <c r="AJ258" s="121" t="n">
        <v>0.13</v>
      </c>
      <c r="AK258" s="121" t="n">
        <v>-0.58</v>
      </c>
      <c r="AL258" s="121" t="n">
        <v>0.13</v>
      </c>
      <c r="AM258" s="121" t="n">
        <v>0</v>
      </c>
      <c r="AN258" s="123" t="n">
        <v>1.38</v>
      </c>
      <c r="AO258" s="112" t="n">
        <v>19.2</v>
      </c>
      <c r="AP258" s="121" t="n">
        <v>28.3</v>
      </c>
      <c r="AQ258" s="121" t="n">
        <v>15.09</v>
      </c>
      <c r="AR258" s="121" t="n">
        <v>34.18</v>
      </c>
      <c r="AS258" s="121" t="n">
        <v>28.13</v>
      </c>
      <c r="AT258" s="121" t="n">
        <v>14.94</v>
      </c>
      <c r="AU258" s="121" t="n">
        <v>34.01</v>
      </c>
      <c r="AV258" s="121" t="n">
        <v>28.22</v>
      </c>
      <c r="AW258" s="121" t="n">
        <v>23.08</v>
      </c>
      <c r="AX258" s="121" t="n">
        <v>41.82</v>
      </c>
      <c r="AY258" s="121" t="n">
        <v>22.39</v>
      </c>
      <c r="AZ258" s="121" t="n">
        <v>-7.99</v>
      </c>
      <c r="BA258" s="121" t="n">
        <v>-7.45</v>
      </c>
      <c r="BB258" s="108" t="inlineStr">
        <is>
          <t>China Biotech ETF (HS biotech proxy)</t>
        </is>
      </c>
      <c r="BC258" s="121" t="n">
        <v>-65.92</v>
      </c>
      <c r="BD258" s="109" t="n">
        <v>46297</v>
      </c>
      <c r="BE258" s="110" t="n">
        <v>1021.8</v>
      </c>
      <c r="BF258" s="113" t="n">
        <v>40.2</v>
      </c>
      <c r="BG258" s="108" t="inlineStr">
        <is>
          <t>Y</t>
        </is>
      </c>
      <c r="BH258" s="123" t="n">
        <v>132.8</v>
      </c>
      <c r="BI258" s="122" t="n"/>
      <c r="BJ258" s="123" t="n">
        <v>305.6</v>
      </c>
      <c r="BK258" s="123" t="n">
        <v>5.2</v>
      </c>
      <c r="BL258" s="124">
        <f>IF('BBG Verify'!S258="","not filed; run on terminal",'BBG Verify'!S258)</f>
        <v/>
      </c>
      <c r="BM258" s="125" t="inlineStr">
        <is>
          <t>N</t>
        </is>
      </c>
      <c r="BN258" s="126">
        <f>IF('BBG Verify'!K258="","not filed; run on terminal",'BBG Verify'!K258)</f>
        <v/>
      </c>
      <c r="BO258" s="108" t="inlineStr">
        <is>
          <t>N/A</t>
        </is>
      </c>
      <c r="BP258" s="108" t="inlineStr">
        <is>
          <t>N/A</t>
        </is>
      </c>
      <c r="BQ258" s="108" t="inlineStr">
        <is>
          <t>N/A</t>
        </is>
      </c>
      <c r="BR258" s="108" t="inlineStr">
        <is>
          <t>N/A</t>
        </is>
      </c>
      <c r="BS258" s="108" t="inlineStr">
        <is>
          <t>N/A</t>
        </is>
      </c>
      <c r="BT258" s="108" t="inlineStr">
        <is>
          <t>N/A</t>
        </is>
      </c>
      <c r="BU258" s="125" t="inlineStr">
        <is>
          <t>CITIC Securities (Hong Kong) Limited; CLSA Limited</t>
        </is>
      </c>
      <c r="BV258" s="108" t="inlineStr">
        <is>
          <t>CITIC Securities (Hong Kong) Limited</t>
        </is>
      </c>
      <c r="BW258" s="108" t="inlineStr">
        <is>
          <t>CLSA Limited; CMB International Capital Limited; Huatai Financial Holdings (Hong Kong) Limited; Fosun International Securities Limited; ABCI Capital Limited; China Galaxy International Securities (Hong Kong) Co., Limited; Futu Securities International (Hong Kong) Limited; ICBC International Securities Limited; Patrons Securities Limited; Quam Securities Limited; TradeGo Markets Limited</t>
        </is>
      </c>
      <c r="BX258" s="108" t="inlineStr">
        <is>
          <t>ABCI Securities Company Limited; China Galaxy International Securities (Hong Kong) Company Limited; CLSA Limited; CMB International Capital Limited; Fosun International Securities Limited; Futu Securities International (Hong Kong) Limited; Huatai Financial Holdings (Hong Kong) Limited; ICBC International Securities Limited; Patrons Securities Limited; Quam Securities Limited; SPDB International Capital Limited; TradeGo Markets Limited</t>
        </is>
      </c>
      <c r="BY258" s="127">
        <f>HYPERLINK("https://www1.hkexnews.hk/listedco/listconews/sehk/2024/0530/2024053000044.pdf","prospectus")</f>
        <v/>
      </c>
      <c r="BZ258" s="127">
        <f>HYPERLINK("https://www1.hkexnews.hk/listedco/listconews/sehk/2024/0606/2024060602117.pdf","allotment")</f>
        <v/>
      </c>
      <c r="CA258" s="119" t="n"/>
      <c r="CB258" s="128" t="n"/>
      <c r="CC258" s="108" t="inlineStr">
        <is>
          <t>greenshoe: no over-allotment option; market cap: prospectus 'market capitalisation' line is the listing-rule threshold, not the issuer's figure; rejected; greenshoe size: no over-allotment option; stabilising manager: no over-allotment option, so none appointed</t>
        </is>
      </c>
    </row>
    <row r="259" ht="22" customHeight="1">
      <c r="A259" s="107" t="inlineStr">
        <is>
          <t>2550</t>
        </is>
      </c>
      <c r="B259" s="108" t="inlineStr">
        <is>
          <t>EASOU TECH</t>
        </is>
      </c>
      <c r="C259" s="108" t="inlineStr">
        <is>
          <t>宜搜科技</t>
        </is>
      </c>
      <c r="D259" s="108" t="inlineStr">
        <is>
          <t>Tech/AI</t>
        </is>
      </c>
      <c r="E259" s="108" t="inlineStr">
        <is>
          <t>Internet platform / e-commerce</t>
        </is>
      </c>
      <c r="F259" s="108" t="inlineStr">
        <is>
          <t>Advertising</t>
        </is>
      </c>
      <c r="G259" s="108" t="inlineStr">
        <is>
          <t>Standard</t>
        </is>
      </c>
      <c r="H259" s="109" t="n">
        <v>45450</v>
      </c>
      <c r="I259" s="110" t="n">
        <v>85.90000000000001</v>
      </c>
      <c r="J259" s="108" t="inlineStr">
        <is>
          <t>gross (price x shares)</t>
        </is>
      </c>
      <c r="K259" s="111" t="n">
        <v>5.8</v>
      </c>
      <c r="L259" s="111" t="n">
        <v>8</v>
      </c>
      <c r="M259" s="111" t="n">
        <v>5.8</v>
      </c>
      <c r="N259" s="108" t="inlineStr">
        <is>
          <t>N</t>
        </is>
      </c>
      <c r="O259" s="112" t="n">
        <v>72.5</v>
      </c>
      <c r="P259" s="112" t="n">
        <v>0</v>
      </c>
      <c r="Q259" s="113" t="n">
        <v>1907.8</v>
      </c>
      <c r="R259" s="108" t="inlineStr">
        <is>
          <t>derived:price x shares upon listing</t>
        </is>
      </c>
      <c r="S259" s="114" t="n">
        <v>114.59</v>
      </c>
      <c r="T259" s="115" t="n">
        <v>0.98</v>
      </c>
      <c r="U259" s="116" t="n">
        <v>0</v>
      </c>
      <c r="V259" s="117" t="n">
        <v>127</v>
      </c>
      <c r="W259" s="112" t="n">
        <v>13.17</v>
      </c>
      <c r="X259" s="119" t="n"/>
      <c r="Y259" s="113" t="n">
        <v>85.90000000000001</v>
      </c>
      <c r="Z259" s="113" t="n">
        <v>14802500</v>
      </c>
      <c r="AA259" s="112" t="n">
        <v>4.5</v>
      </c>
      <c r="AB259" s="108" t="inlineStr">
        <is>
          <t>none — no cornerstone tranche</t>
        </is>
      </c>
      <c r="AC259" s="108" t="inlineStr">
        <is>
          <t>none</t>
        </is>
      </c>
      <c r="AD259" s="112" t="n">
        <v>15</v>
      </c>
      <c r="AE259" s="119" t="n"/>
      <c r="AF259" s="119" t="n"/>
      <c r="AG259" s="108" t="inlineStr">
        <is>
          <t>BOCI Asia Limited</t>
        </is>
      </c>
      <c r="AH259" s="108" t="inlineStr">
        <is>
          <t>BOCI</t>
        </is>
      </c>
      <c r="AI259" s="120" t="n">
        <v>43.97</v>
      </c>
      <c r="AJ259" s="121" t="n">
        <v>91.72</v>
      </c>
      <c r="AK259" s="121" t="n">
        <v>-1.65</v>
      </c>
      <c r="AL259" s="121" t="n">
        <v>46.55</v>
      </c>
      <c r="AM259" s="121" t="n">
        <v>30.82</v>
      </c>
      <c r="AN259" s="123" t="n">
        <v>2.85</v>
      </c>
      <c r="AO259" s="112" t="n">
        <v>36.47</v>
      </c>
      <c r="AP259" s="121" t="n">
        <v>191.03</v>
      </c>
      <c r="AQ259" s="121" t="n">
        <v>200</v>
      </c>
      <c r="AR259" s="121" t="n">
        <v>223.79</v>
      </c>
      <c r="AS259" s="121" t="n">
        <v>51.8</v>
      </c>
      <c r="AT259" s="121" t="n">
        <v>56.48</v>
      </c>
      <c r="AU259" s="121" t="n">
        <v>68.89</v>
      </c>
      <c r="AV259" s="121" t="n">
        <v>194.22</v>
      </c>
      <c r="AW259" s="121" t="n">
        <v>206.06</v>
      </c>
      <c r="AX259" s="121" t="n">
        <v>233.99</v>
      </c>
      <c r="AY259" s="121" t="n">
        <v>60.96</v>
      </c>
      <c r="AZ259" s="121" t="n">
        <v>-6.06</v>
      </c>
      <c r="BA259" s="121" t="n">
        <v>-4.48</v>
      </c>
      <c r="BB259" s="108" t="inlineStr">
        <is>
          <t>HSTECH (Hang Seng TECH ETF)</t>
        </is>
      </c>
      <c r="BC259" s="121" t="n">
        <v>-63.79</v>
      </c>
      <c r="BD259" s="109" t="n">
        <v>46297</v>
      </c>
      <c r="BE259" s="110" t="n">
        <v>614.9</v>
      </c>
      <c r="BF259" s="113" t="n">
        <v>27.5</v>
      </c>
      <c r="BG259" s="108" t="inlineStr">
        <is>
          <t>Y</t>
        </is>
      </c>
      <c r="BH259" s="123" t="n">
        <v>69.40000000000001</v>
      </c>
      <c r="BI259" s="122" t="n"/>
      <c r="BJ259" s="123" t="n">
        <v>20.5</v>
      </c>
      <c r="BK259" s="123" t="n">
        <v>3.1</v>
      </c>
      <c r="BL259" s="124">
        <f>IF('BBG Verify'!S259="","not filed; run on terminal",'BBG Verify'!S259)</f>
        <v/>
      </c>
      <c r="BM259" s="125" t="inlineStr">
        <is>
          <t>N</t>
        </is>
      </c>
      <c r="BN259" s="126">
        <f>IF('BBG Verify'!K259="","not filed; run on terminal",'BBG Verify'!K259)</f>
        <v/>
      </c>
      <c r="BO259" s="108" t="inlineStr">
        <is>
          <t>N/A</t>
        </is>
      </c>
      <c r="BP259" s="108" t="inlineStr">
        <is>
          <t>N/A</t>
        </is>
      </c>
      <c r="BQ259" s="108" t="inlineStr">
        <is>
          <t>N/A</t>
        </is>
      </c>
      <c r="BR259" s="108" t="inlineStr">
        <is>
          <t>N/A</t>
        </is>
      </c>
      <c r="BS259" s="108" t="inlineStr">
        <is>
          <t>N/A</t>
        </is>
      </c>
      <c r="BT259" s="108" t="inlineStr">
        <is>
          <t>N/A</t>
        </is>
      </c>
      <c r="BU259" s="125" t="inlineStr">
        <is>
          <t>BOCI Asia Limited</t>
        </is>
      </c>
      <c r="BV259" s="108" t="inlineStr">
        <is>
          <t>BOCI Asia Limited</t>
        </is>
      </c>
      <c r="BW259" s="108" t="inlineStr">
        <is>
          <t>BOCI Asia Limited; Guotai Junan Securities (Hong Kong) Limited; BOCOM International Securities Limited; Citrus Securities Limited; Guosen Securities (HK) Capital Company Limited; ICBC International Securities Limited; Livermore Holdings Limited; Shenwan Hongyuan Securities (H.K.) Limited; SPDB International Capital Limited; Tiger Brokers (HK) Global Limited; Zhongtai International Securities Limited</t>
        </is>
      </c>
      <c r="BX259" s="108" t="inlineStr">
        <is>
          <t>BOCI Asia Limited; BOCOM International Securities Limited; China Everbright Securities (HK) Limited; Citrus Securities Limited; Guotai Junan Securities (Hong Kong) Limited; Guosen Securities (HK) Capital Company Limited; ICBC International Securities Limited; Livermore Holdings Limited; Shenwan Hongyuan Securities (H.K.) Limited; SPDB International Capital Limited; Tiger Brokers (HK) Global Limited; Yue Xiu Securities Company Limited</t>
        </is>
      </c>
      <c r="BY259" s="127">
        <f>HYPERLINK("https://www1.hkexnews.hk/listedco/listconews/sehk/2024/0530/2024053000009.pdf","prospectus")</f>
        <v/>
      </c>
      <c r="BZ259" s="127">
        <f>HYPERLINK("https://www1.hkexnews.hk/listedco/listconews/sehk/2024/0606/2024060602135.pdf","allotment")</f>
        <v/>
      </c>
      <c r="CA259" s="119" t="n"/>
      <c r="CB259" s="128" t="n"/>
      <c r="CC259" s="108" t="inlineStr">
        <is>
          <t>greenshoe: end-of-stabilisation notice not found; sponsor: English name not in the filing; AAStocks 保薦人 shown; cornerstone list: no cornerstone tranche; allocation: clawback line not in this notice; a 12-28% split is consistent with either a tier-1 clawback or a placing shortfall</t>
        </is>
      </c>
    </row>
    <row r="260" ht="22" customHeight="1">
      <c r="A260" s="107" t="inlineStr">
        <is>
          <t>2228</t>
        </is>
      </c>
      <c r="B260" s="108" t="inlineStr">
        <is>
          <t>QUANTUMPH-P</t>
        </is>
      </c>
      <c r="C260" s="108" t="inlineStr">
        <is>
          <t>晶泰控股</t>
        </is>
      </c>
      <c r="D260" s="108" t="inlineStr">
        <is>
          <t>Tech/AI</t>
        </is>
      </c>
      <c r="E260" s="108" t="inlineStr">
        <is>
          <t>AI application / agent software</t>
        </is>
      </c>
      <c r="F260" s="108" t="inlineStr">
        <is>
          <t>Next-generation information technology</t>
        </is>
      </c>
      <c r="G260" s="108" t="inlineStr">
        <is>
          <t>18C</t>
        </is>
      </c>
      <c r="H260" s="109" t="n">
        <v>45456</v>
      </c>
      <c r="I260" s="110" t="n">
        <v>989.3</v>
      </c>
      <c r="J260" s="108" t="inlineStr">
        <is>
          <t>gross (price x shares)</t>
        </is>
      </c>
      <c r="K260" s="111" t="n">
        <v>5.03</v>
      </c>
      <c r="L260" s="111" t="n">
        <v>6.03</v>
      </c>
      <c r="M260" s="111" t="n">
        <v>5.28</v>
      </c>
      <c r="N260" s="108" t="inlineStr">
        <is>
          <t>N</t>
        </is>
      </c>
      <c r="O260" s="112" t="n">
        <v>87.59999999999999</v>
      </c>
      <c r="P260" s="112" t="n">
        <v>25</v>
      </c>
      <c r="Q260" s="113" t="n">
        <v>19601.7</v>
      </c>
      <c r="R260" s="108" t="inlineStr">
        <is>
          <t>prospectus:stated market capitalisation</t>
        </is>
      </c>
      <c r="S260" s="114" t="n">
        <v>103.35</v>
      </c>
      <c r="T260" s="115" t="n">
        <v>2.13</v>
      </c>
      <c r="U260" s="116" t="n">
        <v>34.12</v>
      </c>
      <c r="V260" s="117" t="n">
        <v>154</v>
      </c>
      <c r="W260" s="112" t="n">
        <v>20</v>
      </c>
      <c r="X260" s="108" t="inlineStr">
        <is>
          <t>YES</t>
        </is>
      </c>
      <c r="Y260" s="113" t="n">
        <v>651.75</v>
      </c>
      <c r="Z260" s="113" t="n">
        <v>123441332</v>
      </c>
      <c r="AA260" s="112" t="n">
        <v>3.32</v>
      </c>
      <c r="AB260" s="108" t="inlineStr">
        <is>
          <t>Successful Lotus Limited; IntelliMed One Investment Limited; Mammoth Medical Solutions; Begonia No. 1 LPF; Prof. Bradley Lether Pentelute; Ginkgo Capital Global Fund SPC— Ginkgo Capital Global Fund I SP; Biocytogen Pharmaceuticals (Beijing) Co., Ltd. 醫藥科技股份有 限公司; FaaS Capital Longevity Limited</t>
        </is>
      </c>
      <c r="AC260" s="108" t="inlineStr">
        <is>
          <t>successful;intellimed;mammoth;begonia;prof;ginkgo;biocytogen;faas</t>
        </is>
      </c>
      <c r="AD260" s="112" t="n">
        <v>15</v>
      </c>
      <c r="AE260" s="108" t="inlineStr">
        <is>
          <t>partial</t>
        </is>
      </c>
      <c r="AF260" s="108" t="inlineStr">
        <is>
          <t>2024-07-07</t>
        </is>
      </c>
      <c r="AG260" s="108" t="inlineStr">
        <is>
          <t>CLSA Limited</t>
        </is>
      </c>
      <c r="AH260" s="108" t="inlineStr">
        <is>
          <t>CLSA</t>
        </is>
      </c>
      <c r="AI260" s="120" t="n">
        <v>2.08</v>
      </c>
      <c r="AJ260" s="121" t="n">
        <v>9.85</v>
      </c>
      <c r="AK260" s="121" t="n">
        <v>0.82</v>
      </c>
      <c r="AL260" s="121" t="n">
        <v>2.08</v>
      </c>
      <c r="AM260" s="121" t="n">
        <v>7.61</v>
      </c>
      <c r="AN260" s="123" t="n">
        <v>2.28</v>
      </c>
      <c r="AO260" s="112" t="n">
        <v>23.56</v>
      </c>
      <c r="AP260" s="121" t="n">
        <v>0.38</v>
      </c>
      <c r="AQ260" s="121" t="n">
        <v>9.85</v>
      </c>
      <c r="AR260" s="121" t="n">
        <v>165.91</v>
      </c>
      <c r="AS260" s="121" t="n">
        <v>-8.619999999999999</v>
      </c>
      <c r="AT260" s="121" t="n">
        <v>0</v>
      </c>
      <c r="AU260" s="121" t="n">
        <v>142.07</v>
      </c>
      <c r="AV260" s="121" t="n">
        <v>-1.16</v>
      </c>
      <c r="AW260" s="121" t="n">
        <v>10.62</v>
      </c>
      <c r="AX260" s="121" t="n">
        <v>172.06</v>
      </c>
      <c r="AY260" s="121" t="n">
        <v>1.58</v>
      </c>
      <c r="AZ260" s="121" t="n">
        <v>-0.77</v>
      </c>
      <c r="BA260" s="121" t="n">
        <v>-1.58</v>
      </c>
      <c r="BB260" s="108" t="inlineStr">
        <is>
          <t>HSTECH (Hang Seng TECH ETF)</t>
        </is>
      </c>
      <c r="BC260" s="121" t="n">
        <v>50.47</v>
      </c>
      <c r="BD260" s="109" t="n">
        <v>46297</v>
      </c>
      <c r="BE260" s="110" t="n">
        <v>191.9</v>
      </c>
      <c r="BF260" s="113" t="n">
        <v>-1582.5</v>
      </c>
      <c r="BG260" s="108" t="inlineStr">
        <is>
          <t>N</t>
        </is>
      </c>
      <c r="BH260" s="108" t="inlineStr">
        <is>
          <t>n/m</t>
        </is>
      </c>
      <c r="BI260" s="122" t="n"/>
      <c r="BJ260" s="123" t="n">
        <v>204.3</v>
      </c>
      <c r="BK260" s="123" t="n">
        <v>102.1</v>
      </c>
      <c r="BL260" s="124">
        <f>IF('BBG Verify'!S260="","not filed; run on terminal",'BBG Verify'!S260)</f>
        <v/>
      </c>
      <c r="BM260" s="125" t="inlineStr">
        <is>
          <t>N</t>
        </is>
      </c>
      <c r="BN260" s="126">
        <f>IF('BBG Verify'!K260="","not filed; run on terminal",'BBG Verify'!K260)</f>
        <v/>
      </c>
      <c r="BO260" s="108" t="inlineStr">
        <is>
          <t>N/A</t>
        </is>
      </c>
      <c r="BP260" s="108" t="inlineStr">
        <is>
          <t>N/A</t>
        </is>
      </c>
      <c r="BQ260" s="108" t="inlineStr">
        <is>
          <t>N/A</t>
        </is>
      </c>
      <c r="BR260" s="108" t="inlineStr">
        <is>
          <t>N/A</t>
        </is>
      </c>
      <c r="BS260" s="108" t="inlineStr">
        <is>
          <t>N/A</t>
        </is>
      </c>
      <c r="BT260" s="108" t="inlineStr">
        <is>
          <t>N/A</t>
        </is>
      </c>
      <c r="BU260" s="125" t="inlineStr">
        <is>
          <t>CITIC Securities (Hong Kong) Limited</t>
        </is>
      </c>
      <c r="BV260" s="108" t="inlineStr">
        <is>
          <t>CITIC Securities (Hong Kong) Limited</t>
        </is>
      </c>
      <c r="BW260" s="108" t="inlineStr">
        <is>
          <t>CLSA Limited; CMB International Capital Limited; Jefferies Hong Kong Limited; Deutsche Bank AG, Hong Kong Branch; China International Capital Corporation Hong Kong Securities Limited; SPDB International Capital Limited; Guosen Securities (HK) Capital Company Limited; Fosun International Securities Limited; ABCI Capital Limited; BOCI Asia Limited; CCB International Capital Limited; ICBC International Securities Limited</t>
        </is>
      </c>
      <c r="BX260" s="108" t="inlineStr">
        <is>
          <t>ABCI Securities Company Limited; BOCI Asia Limited; CCB International Capital Limited; China International Capital Corporation Hong Kong Securities Limited; CLSA Limited; CMB International Capital Limited; Deutsche Bank AG, Hong Kong Branch; Fosun International Securities Limited; Futu Securities International (Hong Kong) Limited; Guosen Securities (HK) Capital Company Limited; ICBC International Securities Limited; Jefferies Hong Kong Limited</t>
        </is>
      </c>
      <c r="BY260" s="127">
        <f>HYPERLINK("https://www1.hkexnews.hk/listedco/listconews/sehk/2024/0604/2024060400065.pdf","prospectus")</f>
        <v/>
      </c>
      <c r="BZ260" s="127">
        <f>HYPERLINK("https://www1.hkexnews.hk/listedco/listconews/sehk/2024/0612/2024061201745.pdf","allotment")</f>
        <v/>
      </c>
      <c r="CA260" s="127">
        <f>HYPERLINK("https://www1.hkexnews.hk/listedco/listconews/sehk/2024/0707/2024070700029.pdf","stabilisation")</f>
        <v/>
      </c>
      <c r="CB260" s="128" t="n"/>
      <c r="CC260" s="108" t="inlineStr">
        <is>
          <t>P/E: loss-making at IPO, use P/S</t>
        </is>
      </c>
    </row>
    <row r="261" ht="22" customHeight="1">
      <c r="A261" s="107" t="inlineStr">
        <is>
          <t>2512</t>
        </is>
      </c>
      <c r="B261" s="108" t="inlineStr">
        <is>
          <t>CLOUD FACTORY</t>
        </is>
      </c>
      <c r="C261" s="108" t="inlineStr">
        <is>
          <t>雲工場</t>
        </is>
      </c>
      <c r="D261" s="108" t="inlineStr">
        <is>
          <t>Tech/AI</t>
        </is>
      </c>
      <c r="E261" s="108" t="inlineStr">
        <is>
          <t>Data center / cloud infra</t>
        </is>
      </c>
      <c r="F261" s="108" t="inlineStr">
        <is>
          <t>Telecommunication Services</t>
        </is>
      </c>
      <c r="G261" s="108" t="inlineStr">
        <is>
          <t>Standard</t>
        </is>
      </c>
      <c r="H261" s="109" t="n">
        <v>45457</v>
      </c>
      <c r="I261" s="110" t="n">
        <v>133.9</v>
      </c>
      <c r="J261" s="108" t="inlineStr">
        <is>
          <t>net proceeds</t>
        </is>
      </c>
      <c r="K261" s="129" t="n"/>
      <c r="L261" s="111" t="n">
        <v>4.6</v>
      </c>
      <c r="M261" s="111" t="n">
        <v>4.6</v>
      </c>
      <c r="N261" s="108" t="inlineStr">
        <is>
          <t>Y</t>
        </is>
      </c>
      <c r="O261" s="112" t="n">
        <v>100</v>
      </c>
      <c r="P261" s="118" t="n"/>
      <c r="Q261" s="113" t="n">
        <v>2116</v>
      </c>
      <c r="R261" s="108" t="inlineStr">
        <is>
          <t>derived:price x shares upon listing</t>
        </is>
      </c>
      <c r="S261" s="114" t="n">
        <v>25.79</v>
      </c>
      <c r="T261" s="115" t="n">
        <v>1.09</v>
      </c>
      <c r="U261" s="116" t="n">
        <v>0</v>
      </c>
      <c r="V261" s="117" t="n">
        <v>137</v>
      </c>
      <c r="W261" s="112" t="n">
        <v>30</v>
      </c>
      <c r="X261" s="108" t="inlineStr">
        <is>
          <t>YES</t>
        </is>
      </c>
      <c r="Y261" s="113" t="n">
        <v>133.9</v>
      </c>
      <c r="Z261" s="131" t="n"/>
      <c r="AA261" s="112" t="n">
        <v>6.33</v>
      </c>
      <c r="AB261" s="108" t="inlineStr">
        <is>
          <t>none — no cornerstone tranche</t>
        </is>
      </c>
      <c r="AC261" s="108" t="inlineStr">
        <is>
          <t>none</t>
        </is>
      </c>
      <c r="AD261" s="112" t="n">
        <v>15</v>
      </c>
      <c r="AE261" s="108" t="inlineStr">
        <is>
          <t>lapsed</t>
        </is>
      </c>
      <c r="AF261" s="119" t="n"/>
      <c r="AG261" s="119" t="n"/>
      <c r="AH261" s="119" t="n"/>
      <c r="AI261" s="120" t="n">
        <v>0</v>
      </c>
      <c r="AJ261" s="121" t="n">
        <v>-17.39</v>
      </c>
      <c r="AK261" s="121" t="n">
        <v>-0.54</v>
      </c>
      <c r="AL261" s="121" t="n">
        <v>-5</v>
      </c>
      <c r="AM261" s="121" t="n">
        <v>-13.04</v>
      </c>
      <c r="AN261" s="123" t="n">
        <v>0.85</v>
      </c>
      <c r="AO261" s="112" t="n">
        <v>22.65</v>
      </c>
      <c r="AP261" s="121" t="n">
        <v>-17.39</v>
      </c>
      <c r="AQ261" s="121" t="n">
        <v>-17.39</v>
      </c>
      <c r="AR261" s="121" t="n">
        <v>-21.96</v>
      </c>
      <c r="AS261" s="121" t="n">
        <v>0</v>
      </c>
      <c r="AT261" s="121" t="n">
        <v>0</v>
      </c>
      <c r="AU261" s="121" t="n">
        <v>-5.53</v>
      </c>
      <c r="AV261" s="121" t="n">
        <v>-16.52</v>
      </c>
      <c r="AW261" s="121" t="n">
        <v>-14.45</v>
      </c>
      <c r="AX261" s="121" t="n">
        <v>-14.98</v>
      </c>
      <c r="AY261" s="121" t="n">
        <v>2.41</v>
      </c>
      <c r="AZ261" s="121" t="n">
        <v>-2.94</v>
      </c>
      <c r="BA261" s="121" t="n">
        <v>-2.41</v>
      </c>
      <c r="BB261" s="108" t="inlineStr">
        <is>
          <t>HSTECH (Hang Seng TECH ETF)</t>
        </is>
      </c>
      <c r="BC261" s="121" t="n">
        <v>-41.41</v>
      </c>
      <c r="BD261" s="109" t="n">
        <v>46297</v>
      </c>
      <c r="BE261" s="110" t="n">
        <v>765.5</v>
      </c>
      <c r="BF261" s="113" t="n">
        <v>15.6</v>
      </c>
      <c r="BG261" s="108" t="inlineStr">
        <is>
          <t>Y</t>
        </is>
      </c>
      <c r="BH261" s="123" t="n">
        <v>135.6</v>
      </c>
      <c r="BI261" s="122" t="n"/>
      <c r="BJ261" s="123" t="n">
        <v>103.6</v>
      </c>
      <c r="BK261" s="123" t="n">
        <v>2.8</v>
      </c>
      <c r="BL261" s="124">
        <f>IF('BBG Verify'!S261="","not filed; run on terminal",'BBG Verify'!S261)</f>
        <v/>
      </c>
      <c r="BM261" s="125" t="inlineStr">
        <is>
          <t>N</t>
        </is>
      </c>
      <c r="BN261" s="126">
        <f>IF('BBG Verify'!K261="","not filed; run on terminal",'BBG Verify'!K261)</f>
        <v/>
      </c>
      <c r="BO261" s="108" t="inlineStr">
        <is>
          <t>N/A</t>
        </is>
      </c>
      <c r="BP261" s="108" t="inlineStr">
        <is>
          <t>N/A</t>
        </is>
      </c>
      <c r="BQ261" s="108" t="inlineStr">
        <is>
          <t>N/A</t>
        </is>
      </c>
      <c r="BR261" s="108" t="inlineStr">
        <is>
          <t>N/A</t>
        </is>
      </c>
      <c r="BS261" s="108" t="inlineStr">
        <is>
          <t>N/A</t>
        </is>
      </c>
      <c r="BT261" s="108" t="inlineStr">
        <is>
          <t>N/A</t>
        </is>
      </c>
      <c r="BU261" s="125" t="inlineStr">
        <is>
          <t>SPDB International Capital Limited</t>
        </is>
      </c>
      <c r="BV261" s="108" t="inlineStr">
        <is>
          <t>SPDB International Capital Limited</t>
        </is>
      </c>
      <c r="BW261" s="108" t="inlineStr">
        <is>
          <t>and CMIs SPDB International Capital Limited; CMB International Capital Limited; and CMIs CLSA Limited; and CMIs CEB International Capital Corporation Limited; Livermore Holdings Limited; Essence International Secu rities (Hong Kong) Limited; First Shanghai Securities Limited; CMBC Securities Company Limited; CCB International Capital Limited; Fosun International Securities Limited; Futu Securities International (Hong Kong) Limited</t>
        </is>
      </c>
      <c r="BX261" s="108" t="inlineStr">
        <is>
          <t>CCB International Capital Limited; CEB International Capital Corporation Limited; CLSA Limited; CMBC Securities Company Limited; CMB International Capital Limited; Essence International Securities (Hong Kong) Limited; Fosun International Securities Limited; First Shanghai Securities Limited; Futu Securities International (Hong Kong) Limited; Livermore Holdings Limited; SPDB International Capital Limited</t>
        </is>
      </c>
      <c r="BY261" s="127">
        <f>HYPERLINK("https://www1.hkexnews.hk/listedco/listconews/sehk/2024/0605/2024060500041.pdf","prospectus")</f>
        <v/>
      </c>
      <c r="BZ261" s="127">
        <f>HYPERLINK("https://www1.hkexnews.hk/listedco/listconews/sehk/2024/0613/2024061301165.pdf","allotment")</f>
        <v/>
      </c>
      <c r="CA261" s="127">
        <f>HYPERLINK("https://www1.hkexnews.hk/listedco/listconews/sehk/2024/0711/2024071100781.pdf","stabilisation")</f>
        <v/>
      </c>
      <c r="CB261" s="128" t="n"/>
      <c r="CC261" s="108" t="inlineStr">
        <is>
          <t>greenshoe: outcome published; expiry date not in the notice; range low: maximum offer price only, no floor published; sponsor: English name not in the filing; AAStocks 保薦人 shown; cornerstone list: no cornerstone tranche; stabilising manager: not named in the allotment notice or prospectus glossary; eff float shares: share count unavailable; the HK$m figure is exact</t>
        </is>
      </c>
    </row>
    <row r="262" ht="22" customHeight="1">
      <c r="A262" s="107" t="inlineStr">
        <is>
          <t>2881</t>
        </is>
      </c>
      <c r="B262" s="108" t="inlineStr">
        <is>
          <t>WUHAN YOUJI</t>
        </is>
      </c>
      <c r="C262" s="108" t="inlineStr">
        <is>
          <t>武漢有機</t>
        </is>
      </c>
      <c r="D262" s="108" t="inlineStr">
        <is>
          <t>Materials/Energy</t>
        </is>
      </c>
      <c r="E262" s="108" t="inlineStr">
        <is>
          <t>Chemicals</t>
        </is>
      </c>
      <c r="F262" s="108" t="inlineStr">
        <is>
          <t>Diversified Chemicals</t>
        </is>
      </c>
      <c r="G262" s="108" t="inlineStr">
        <is>
          <t>Standard</t>
        </is>
      </c>
      <c r="H262" s="109" t="n">
        <v>45461</v>
      </c>
      <c r="I262" s="110" t="n">
        <v>100.7</v>
      </c>
      <c r="J262" s="108" t="inlineStr">
        <is>
          <t>gross (price x shares)</t>
        </is>
      </c>
      <c r="K262" s="111" t="n">
        <v>5.5</v>
      </c>
      <c r="L262" s="111" t="n">
        <v>8.5</v>
      </c>
      <c r="M262" s="111" t="n">
        <v>5.5</v>
      </c>
      <c r="N262" s="108" t="inlineStr">
        <is>
          <t>N</t>
        </is>
      </c>
      <c r="O262" s="112" t="n">
        <v>64.7</v>
      </c>
      <c r="P262" s="112" t="n">
        <v>0</v>
      </c>
      <c r="Q262" s="113" t="n">
        <v>513.1</v>
      </c>
      <c r="R262" s="108" t="inlineStr">
        <is>
          <t>derived:price x shares upon listing</t>
        </is>
      </c>
      <c r="S262" s="114" t="n">
        <v>337.57</v>
      </c>
      <c r="T262" s="115" t="n">
        <v>0.92</v>
      </c>
      <c r="U262" s="116" t="n">
        <v>0</v>
      </c>
      <c r="V262" s="117" t="n">
        <v>120</v>
      </c>
      <c r="W262" s="112" t="n">
        <v>17.78</v>
      </c>
      <c r="X262" s="119" t="n"/>
      <c r="Y262" s="113" t="n">
        <v>100.7</v>
      </c>
      <c r="Z262" s="113" t="n">
        <v>18300000</v>
      </c>
      <c r="AA262" s="112" t="n">
        <v>19.63</v>
      </c>
      <c r="AB262" s="108" t="inlineStr">
        <is>
          <t>none — no cornerstone tranche</t>
        </is>
      </c>
      <c r="AC262" s="108" t="inlineStr">
        <is>
          <t>none</t>
        </is>
      </c>
      <c r="AD262" s="112" t="n">
        <v>17.7</v>
      </c>
      <c r="AE262" s="108" t="inlineStr">
        <is>
          <t>lapsed (no over-allocation)</t>
        </is>
      </c>
      <c r="AF262" s="119" t="n"/>
      <c r="AG262" s="108" t="inlineStr">
        <is>
          <t>BOCOM International Securities Limited DEFINITIONS –2 9</t>
        </is>
      </c>
      <c r="AH262" s="108" t="inlineStr">
        <is>
          <t>BOCOM</t>
        </is>
      </c>
      <c r="AI262" s="120" t="n">
        <v>71.64</v>
      </c>
      <c r="AJ262" s="121" t="n">
        <v>27.64</v>
      </c>
      <c r="AK262" s="121" t="n">
        <v>-0.35</v>
      </c>
      <c r="AL262" s="121" t="n">
        <v>79.64</v>
      </c>
      <c r="AM262" s="121" t="n">
        <v>-28.95</v>
      </c>
      <c r="AN262" s="123" t="n">
        <v>2.92</v>
      </c>
      <c r="AO262" s="112" t="n">
        <v>35.43</v>
      </c>
      <c r="AP262" s="121" t="n">
        <v>12.73</v>
      </c>
      <c r="AQ262" s="121" t="n">
        <v>-13.64</v>
      </c>
      <c r="AR262" s="121" t="n">
        <v>-23.64</v>
      </c>
      <c r="AS262" s="121" t="n">
        <v>-11.68</v>
      </c>
      <c r="AT262" s="121" t="n">
        <v>-32.34</v>
      </c>
      <c r="AU262" s="121" t="n">
        <v>-40.18</v>
      </c>
      <c r="AV262" s="121" t="n">
        <v>12.27</v>
      </c>
      <c r="AW262" s="121" t="n">
        <v>-13.09</v>
      </c>
      <c r="AX262" s="121" t="n">
        <v>-22.15</v>
      </c>
      <c r="AY262" s="121" t="n">
        <v>-32.14</v>
      </c>
      <c r="AZ262" s="121" t="n">
        <v>-0.55</v>
      </c>
      <c r="BA262" s="121" t="n">
        <v>-0.2</v>
      </c>
      <c r="BB262" s="108" t="inlineStr">
        <is>
          <t>Hang Seng Commerce &amp; Industry sub-index</t>
        </is>
      </c>
      <c r="BC262" s="121" t="n">
        <v>70.91</v>
      </c>
      <c r="BD262" s="109" t="n">
        <v>46297</v>
      </c>
      <c r="BE262" s="110" t="n">
        <v>2944.8</v>
      </c>
      <c r="BF262" s="113" t="n">
        <v>80.2</v>
      </c>
      <c r="BG262" s="108" t="inlineStr">
        <is>
          <t>Y</t>
        </is>
      </c>
      <c r="BH262" s="123" t="n">
        <v>6.4</v>
      </c>
      <c r="BI262" s="122" t="n"/>
      <c r="BJ262" s="123" t="n">
        <v>12.8</v>
      </c>
      <c r="BK262" s="123" t="n">
        <v>0.2</v>
      </c>
      <c r="BL262" s="124">
        <f>IF('BBG Verify'!S262="","not filed; run on terminal",'BBG Verify'!S262)</f>
        <v/>
      </c>
      <c r="BM262" s="125" t="inlineStr">
        <is>
          <t>N</t>
        </is>
      </c>
      <c r="BN262" s="126">
        <f>IF('BBG Verify'!K262="","not filed; run on terminal",'BBG Verify'!K262)</f>
        <v/>
      </c>
      <c r="BO262" s="108" t="inlineStr">
        <is>
          <t>N/A</t>
        </is>
      </c>
      <c r="BP262" s="108" t="inlineStr">
        <is>
          <t>N/A</t>
        </is>
      </c>
      <c r="BQ262" s="108" t="inlineStr">
        <is>
          <t>N/A</t>
        </is>
      </c>
      <c r="BR262" s="108" t="inlineStr">
        <is>
          <t>N/A</t>
        </is>
      </c>
      <c r="BS262" s="108" t="inlineStr">
        <is>
          <t>N/A</t>
        </is>
      </c>
      <c r="BT262" s="108" t="inlineStr">
        <is>
          <t>N/A</t>
        </is>
      </c>
      <c r="BU262" s="125" t="inlineStr">
        <is>
          <t>BOCOM International (Asia) Limited</t>
        </is>
      </c>
      <c r="BV262" s="108" t="inlineStr">
        <is>
          <t>BOCOM International (Asia) Limited</t>
        </is>
      </c>
      <c r="BW262" s="108" t="inlineStr">
        <is>
          <t>BOCOM International Securities Limited; ABCI Capital Limited; CCB International Capital Limited; CEB International Capital Corporation Limited; China Industrial Securities International Capital Limited; CMBC Securities Company Limited; Essence International Securities (Hong Kong) Limited; Fortune Origin Securities Limited; Futu Securities International (Hong Kong) Limited; ICBC International Securities Limited; Phillip Securities (Hong Kong) Limited; Quam Securities Limited</t>
        </is>
      </c>
      <c r="BX262" s="108" t="inlineStr">
        <is>
          <t>ABCI Securities Company Limited; BOCOM International Securities Limited; CCB International Capital Limited; CEB International Capital Corporation Limited; China Everbright Securities (HK) Limited; China Industrial Securities International Capital Limited; CMBC Securities Company Limited; CNI Securities Group Limited; China Sunrise Securities (International) Limited; Essence International Securities (Hong Kong) Limited; Fortune Origin Securities Limited; Futu Securities International (Hong Kong) Limited</t>
        </is>
      </c>
      <c r="BY262" s="127">
        <f>HYPERLINK("https://www1.hkexnews.hk/listedco/listconews/sehk/2024/0607/2024060700013.pdf","prospectus")</f>
        <v/>
      </c>
      <c r="BZ262" s="127">
        <f>HYPERLINK("https://www1.hkexnews.hk/listedco/listconews/sehk/2024/0617/2024061701156.pdf","allotment")</f>
        <v/>
      </c>
      <c r="CA262" s="127">
        <f>HYPERLINK("https://www1.hkexnews.hk/listedco/listconews/sehk/2024/0715/2024071500250.pdf","stabilisation")</f>
        <v/>
      </c>
      <c r="CB262" s="128" t="n"/>
      <c r="CC262" s="108" t="inlineStr">
        <is>
          <t>greenshoe: outcome published; expiry date not in the notice; market cap: AAStocks lists HK$694m at listing vs HK$513m from price x filed share count; the filed count kept; cornerstone list: no cornerstone tranche; allocation: clawback line not in this notice; a 12-28% split is consistent with either a tier-1 clawback or a placing shortfall</t>
        </is>
      </c>
    </row>
    <row r="263" ht="22" customHeight="1">
      <c r="A263" s="107" t="inlineStr">
        <is>
          <t>2559</t>
        </is>
      </c>
      <c r="B263" s="108" t="inlineStr">
        <is>
          <t>DIDA INC</t>
        </is>
      </c>
      <c r="C263" s="108" t="inlineStr">
        <is>
          <t>嘀嗒出行－ＰＦ</t>
        </is>
      </c>
      <c r="D263" s="108" t="inlineStr">
        <is>
          <t>Tech/AI</t>
        </is>
      </c>
      <c r="E263" s="108" t="inlineStr">
        <is>
          <t>Internet platform / e-commerce</t>
        </is>
      </c>
      <c r="F263" s="108" t="inlineStr">
        <is>
          <t>Trucking</t>
        </is>
      </c>
      <c r="G263" s="108" t="inlineStr">
        <is>
          <t>Standard</t>
        </is>
      </c>
      <c r="H263" s="109" t="n">
        <v>45471</v>
      </c>
      <c r="I263" s="110" t="n">
        <v>234.5</v>
      </c>
      <c r="J263" s="108" t="inlineStr">
        <is>
          <t>gross (price x shares)</t>
        </is>
      </c>
      <c r="K263" s="129" t="n"/>
      <c r="L263" s="111" t="n">
        <v>7</v>
      </c>
      <c r="M263" s="111" t="n">
        <v>6</v>
      </c>
      <c r="N263" s="108" t="inlineStr">
        <is>
          <t>N</t>
        </is>
      </c>
      <c r="O263" s="112" t="n">
        <v>85.7</v>
      </c>
      <c r="P263" s="118" t="n"/>
      <c r="Q263" s="113" t="n">
        <v>5963.9</v>
      </c>
      <c r="R263" s="108" t="inlineStr">
        <is>
          <t>derived:price x shares upon listing</t>
        </is>
      </c>
      <c r="S263" s="114" t="n">
        <v>112.9</v>
      </c>
      <c r="T263" s="115" t="n">
        <v>1.28</v>
      </c>
      <c r="U263" s="116" t="n">
        <v>0</v>
      </c>
      <c r="V263" s="117" t="n">
        <v>143</v>
      </c>
      <c r="W263" s="112" t="n">
        <v>50</v>
      </c>
      <c r="X263" s="108" t="inlineStr">
        <is>
          <t>YES</t>
        </is>
      </c>
      <c r="Y263" s="113" t="n">
        <v>234.5</v>
      </c>
      <c r="Z263" s="113" t="n">
        <v>39091000</v>
      </c>
      <c r="AA263" s="112" t="n">
        <v>3.93</v>
      </c>
      <c r="AB263" s="108" t="inlineStr">
        <is>
          <t>none — no cornerstone tranche</t>
        </is>
      </c>
      <c r="AC263" s="108" t="inlineStr">
        <is>
          <t>none</t>
        </is>
      </c>
      <c r="AD263" s="112" t="n">
        <v>15</v>
      </c>
      <c r="AE263" s="108" t="inlineStr">
        <is>
          <t>lapsed</t>
        </is>
      </c>
      <c r="AF263" s="108" t="inlineStr">
        <is>
          <t>2024-07-25</t>
        </is>
      </c>
      <c r="AG263" s="108" t="inlineStr">
        <is>
          <t>China International Capital Corporation Hong Kong Securities Limited</t>
        </is>
      </c>
      <c r="AH263" s="108" t="inlineStr">
        <is>
          <t>China International</t>
        </is>
      </c>
      <c r="AI263" s="120" t="n">
        <v>-7</v>
      </c>
      <c r="AJ263" s="121" t="n">
        <v>-22.5</v>
      </c>
      <c r="AK263" s="121" t="n">
        <v>-0.85</v>
      </c>
      <c r="AL263" s="121" t="n">
        <v>-12.83</v>
      </c>
      <c r="AM263" s="121" t="n">
        <v>-11.09</v>
      </c>
      <c r="AN263" s="123" t="n">
        <v>1.34</v>
      </c>
      <c r="AO263" s="112" t="n">
        <v>23.9</v>
      </c>
      <c r="AP263" s="121" t="n">
        <v>-51.33</v>
      </c>
      <c r="AQ263" s="121" t="n">
        <v>-51.17</v>
      </c>
      <c r="AR263" s="121" t="n">
        <v>-54</v>
      </c>
      <c r="AS263" s="121" t="n">
        <v>-37.2</v>
      </c>
      <c r="AT263" s="121" t="n">
        <v>-36.99</v>
      </c>
      <c r="AU263" s="121" t="n">
        <v>-40.65</v>
      </c>
      <c r="AV263" s="121" t="n">
        <v>-50.65</v>
      </c>
      <c r="AW263" s="121" t="n">
        <v>-46.58</v>
      </c>
      <c r="AX263" s="121" t="n">
        <v>-86.77</v>
      </c>
      <c r="AY263" s="121" t="n">
        <v>-33.22</v>
      </c>
      <c r="AZ263" s="121" t="n">
        <v>-4.59</v>
      </c>
      <c r="BA263" s="121" t="n">
        <v>-3.77</v>
      </c>
      <c r="BB263" s="108" t="inlineStr">
        <is>
          <t>HSTECH (Hang Seng TECH ETF)</t>
        </is>
      </c>
      <c r="BC263" s="121" t="n">
        <v>-80.67</v>
      </c>
      <c r="BD263" s="109" t="n">
        <v>46297</v>
      </c>
      <c r="BE263" s="110" t="n">
        <v>896.6</v>
      </c>
      <c r="BF263" s="113" t="n">
        <v>330.4</v>
      </c>
      <c r="BG263" s="108" t="inlineStr">
        <is>
          <t>Y</t>
        </is>
      </c>
      <c r="BH263" s="123" t="n">
        <v>18.1</v>
      </c>
      <c r="BI263" s="122" t="n"/>
      <c r="BJ263" s="123" t="n">
        <v>8.800000000000001</v>
      </c>
      <c r="BK263" s="123" t="n">
        <v>6.7</v>
      </c>
      <c r="BL263" s="124">
        <f>IF('BBG Verify'!S263="","not filed; run on terminal",'BBG Verify'!S263)</f>
        <v/>
      </c>
      <c r="BM263" s="125" t="inlineStr">
        <is>
          <t>N</t>
        </is>
      </c>
      <c r="BN263" s="126">
        <f>IF('BBG Verify'!K263="","not filed; run on terminal",'BBG Verify'!K263)</f>
        <v/>
      </c>
      <c r="BO263" s="108" t="inlineStr">
        <is>
          <t>N/A</t>
        </is>
      </c>
      <c r="BP263" s="108" t="inlineStr">
        <is>
          <t>N/A</t>
        </is>
      </c>
      <c r="BQ263" s="108" t="inlineStr">
        <is>
          <t>N/A</t>
        </is>
      </c>
      <c r="BR263" s="108" t="inlineStr">
        <is>
          <t>N/A</t>
        </is>
      </c>
      <c r="BS263" s="108" t="inlineStr">
        <is>
          <t>N/A</t>
        </is>
      </c>
      <c r="BT263" s="108" t="inlineStr">
        <is>
          <t>N/A</t>
        </is>
      </c>
      <c r="BU263" s="125" t="inlineStr">
        <is>
          <t>China International Capital Corporation Hong Kong Securities Limited; Haitong International Capital Limited; Nomura International (Hong Kong) Limited</t>
        </is>
      </c>
      <c r="BV263" s="108" t="inlineStr">
        <is>
          <t>China International Capital Corporation Hong Kong Securities Limited; Haitong International Capital Limited; Nomura International (Hong Kong) Limited</t>
        </is>
      </c>
      <c r="BW263" s="108" t="inlineStr">
        <is>
          <t>China International Capital Corporation Hong Kong Securities Limited; Haitong International Securities Company Limited; Nomura International (Hong Kong) Limited; CMBC Securities Company Limited; ABCI Capital Limited; BOCI Asia Limited; CCB International Capital Limited; China Galaxy International Securities (Hong Kong) Co., Limited; CMB International Capital Limited; ICBC International Securities Limited; Tiger Brokers (HK) Global Limited; Livermore Holdings Limited</t>
        </is>
      </c>
      <c r="BX263" s="108" t="inlineStr">
        <is>
          <t>ABCI Securities Company Limited; BOCI Asia Limited; CCB International Capital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Nomura International (Hong Kong) Limited</t>
        </is>
      </c>
      <c r="BY263" s="127">
        <f>HYPERLINK("https://www1.hkexnews.hk/listedco/listconews/sehk/2024/0620/2024062000015.pdf","prospectus")</f>
        <v/>
      </c>
      <c r="BZ263" s="127">
        <f>HYPERLINK("https://www1.hkexnews.hk/listedco/listconews/sehk/2024/0627/2024062701882.pdf","allotment")</f>
        <v/>
      </c>
      <c r="CA263" s="127">
        <f>HYPERLINK("https://www1.hkexnews.hk/listedco/listconews/sehk/2024/0725/2024072501042.pdf","stabilisation")</f>
        <v/>
      </c>
      <c r="CB263" s="128" t="n"/>
      <c r="CC263" s="108" t="inlineStr">
        <is>
          <t>range low: maximum offer price only, no floor published; cornerstone list: no cornerstone tranche</t>
        </is>
      </c>
    </row>
    <row r="264" ht="22" customHeight="1">
      <c r="A264" s="107" t="inlineStr">
        <is>
          <t>2479</t>
        </is>
      </c>
      <c r="B264" s="108" t="inlineStr">
        <is>
          <t>TIANJUDIHE</t>
        </is>
      </c>
      <c r="C264" s="108" t="inlineStr">
        <is>
          <t>天聚地合</t>
        </is>
      </c>
      <c r="D264" s="108" t="inlineStr">
        <is>
          <t>Tech/AI</t>
        </is>
      </c>
      <c r="E264" s="108" t="inlineStr">
        <is>
          <t>SaaS / enterprise software</t>
        </is>
      </c>
      <c r="F264" s="108" t="inlineStr">
        <is>
          <t>Systems Software</t>
        </is>
      </c>
      <c r="G264" s="108" t="inlineStr">
        <is>
          <t>Standard</t>
        </is>
      </c>
      <c r="H264" s="109" t="n">
        <v>45471</v>
      </c>
      <c r="I264" s="110" t="n">
        <v>401.5</v>
      </c>
      <c r="J264" s="108" t="inlineStr">
        <is>
          <t>gross (price x shares)</t>
        </is>
      </c>
      <c r="K264" s="129" t="n"/>
      <c r="L264" s="111" t="n">
        <v>83.33</v>
      </c>
      <c r="M264" s="111" t="n">
        <v>83.33</v>
      </c>
      <c r="N264" s="108" t="inlineStr">
        <is>
          <t>Y</t>
        </is>
      </c>
      <c r="O264" s="112" t="n">
        <v>100</v>
      </c>
      <c r="P264" s="118" t="n"/>
      <c r="Q264" s="113" t="n">
        <v>4176.3</v>
      </c>
      <c r="R264" s="108" t="inlineStr">
        <is>
          <t>derived:price x shares upon listing</t>
        </is>
      </c>
      <c r="S264" s="114" t="n">
        <v>602.87</v>
      </c>
      <c r="T264" s="133">
        <f>IF('BBG Verify'!E264="","not filed; run on terminal",'BBG Verify'!E264)</f>
        <v/>
      </c>
      <c r="U264" s="116" t="n">
        <v>79.62</v>
      </c>
      <c r="V264" s="117" t="n">
        <v>107</v>
      </c>
      <c r="W264" s="112" t="n">
        <v>18.41</v>
      </c>
      <c r="X264" s="108" t="inlineStr">
        <is>
          <t>YES</t>
        </is>
      </c>
      <c r="Y264" s="113" t="n">
        <v>81.83</v>
      </c>
      <c r="Z264" s="113" t="n">
        <v>981949</v>
      </c>
      <c r="AA264" s="112" t="n">
        <v>1.96</v>
      </c>
      <c r="AB264" s="108" t="inlineStr">
        <is>
          <t>Suzhou Harvest International Co., Limited; Gold Wings Holdings Limited; Xuzhou Economic and Technology Development Zone (HK) Investment Co., Limited; The Reynold Lemkins Group (Asia) Limited</t>
        </is>
      </c>
      <c r="AC264" s="108" t="inlineStr">
        <is>
          <t>suzhou;gold;xuzhou;reynold</t>
        </is>
      </c>
      <c r="AD264" s="118" t="n"/>
      <c r="AE264" s="119" t="n"/>
      <c r="AF264" s="119" t="n"/>
      <c r="AG264" s="119" t="n"/>
      <c r="AH264" s="119" t="n"/>
      <c r="AI264" s="120" t="n">
        <v>32.61</v>
      </c>
      <c r="AJ264" s="121" t="n">
        <v>-27.82</v>
      </c>
      <c r="AK264" s="121" t="n">
        <v>-0.85</v>
      </c>
      <c r="AL264" s="121" t="n">
        <v>35.61</v>
      </c>
      <c r="AM264" s="121" t="n">
        <v>-46.77</v>
      </c>
      <c r="AN264" s="123" t="n">
        <v>1.83</v>
      </c>
      <c r="AO264" s="112" t="n">
        <v>50.53</v>
      </c>
      <c r="AP264" s="121" t="n">
        <v>-22</v>
      </c>
      <c r="AQ264" s="121" t="n">
        <v>-12.4</v>
      </c>
      <c r="AR264" s="121" t="n">
        <v>-23.14</v>
      </c>
      <c r="AS264" s="121" t="n">
        <v>8.06</v>
      </c>
      <c r="AT264" s="121" t="n">
        <v>21.36</v>
      </c>
      <c r="AU264" s="121" t="n">
        <v>6.48</v>
      </c>
      <c r="AV264" s="121" t="n">
        <v>-21.32</v>
      </c>
      <c r="AW264" s="121" t="n">
        <v>-7.81</v>
      </c>
      <c r="AX264" s="121" t="n">
        <v>-55.91</v>
      </c>
      <c r="AY264" s="121" t="n">
        <v>25.13</v>
      </c>
      <c r="AZ264" s="121" t="n">
        <v>-4.59</v>
      </c>
      <c r="BA264" s="121" t="n">
        <v>-3.77</v>
      </c>
      <c r="BB264" s="108" t="inlineStr">
        <is>
          <t>HSTECH (Hang Seng TECH ETF)</t>
        </is>
      </c>
      <c r="BC264" s="121" t="n">
        <v>-22</v>
      </c>
      <c r="BD264" s="109" t="n">
        <v>45747</v>
      </c>
      <c r="BE264" s="110" t="n">
        <v>485.2</v>
      </c>
      <c r="BF264" s="113" t="n">
        <v>38.6</v>
      </c>
      <c r="BG264" s="108" t="inlineStr">
        <is>
          <t>Y</t>
        </is>
      </c>
      <c r="BH264" s="123" t="n">
        <v>108.2</v>
      </c>
      <c r="BI264" s="123" t="n">
        <v>72.7</v>
      </c>
      <c r="BJ264" s="123" t="n">
        <v>72.5</v>
      </c>
      <c r="BK264" s="123" t="n">
        <v>8.6</v>
      </c>
      <c r="BL264" s="124">
        <f>IF('BBG Verify'!S264="","not filed; run on terminal",'BBG Verify'!S264)</f>
        <v/>
      </c>
      <c r="BM264" s="125" t="inlineStr">
        <is>
          <t>N</t>
        </is>
      </c>
      <c r="BN264" s="126">
        <f>IF('BBG Verify'!K264="","not filed; run on terminal",'BBG Verify'!K264)</f>
        <v/>
      </c>
      <c r="BO264" s="108" t="inlineStr">
        <is>
          <t>N/A</t>
        </is>
      </c>
      <c r="BP264" s="108" t="inlineStr">
        <is>
          <t>N/A</t>
        </is>
      </c>
      <c r="BQ264" s="108" t="inlineStr">
        <is>
          <t>N/A</t>
        </is>
      </c>
      <c r="BR264" s="108" t="inlineStr">
        <is>
          <t>N/A</t>
        </is>
      </c>
      <c r="BS264" s="108" t="inlineStr">
        <is>
          <t>N/A</t>
        </is>
      </c>
      <c r="BT264" s="108" t="inlineStr">
        <is>
          <t>N/A</t>
        </is>
      </c>
      <c r="BU264" s="125" t="inlineStr">
        <is>
          <t>CITIC Securities (Hong Kong) Limited</t>
        </is>
      </c>
      <c r="BV264" s="108" t="inlineStr">
        <is>
          <t>CITIC Securities (Hong Kong) Limited</t>
        </is>
      </c>
      <c r="BW264" s="108" t="inlineStr">
        <is>
          <t>CLSA Limited; CMB International Capital Limited; ABCI Capital Limited; Soochow Securities International Brokerage Limited; CCB International Capital Limited; SPDB International Capital Limited; Livermore Holdings Limited; Futu Securities International (Hong Kong) Limited; Tiger Brokers (HK) Global Limited</t>
        </is>
      </c>
      <c r="BX264" s="108" t="inlineStr">
        <is>
          <t>ABCI Securities Company Limited; CCB International Capital Limited; CLSA Limited; CMB International Capital Limited; Futu Securities International (Hong Kong) Limited; ICBC International Securities Limited; Livermore Holdings Limited; SPDB International Capital Limited; Soochow Securities International Brokerage Limited; Tiger Brokers (HK) Global Limited</t>
        </is>
      </c>
      <c r="BY264" s="127">
        <f>HYPERLINK("https://www1.hkexnews.hk/listedco/listconews/sehk/2024/0620/2024062000191.pdf","prospectus")</f>
        <v/>
      </c>
      <c r="BZ264" s="127">
        <f>HYPERLINK("https://www1.hkexnews.hk/listedco/listconews/sehk/2024/0627/2024062702312.pdf","allotment")</f>
        <v/>
      </c>
      <c r="CA264" s="119" t="n"/>
      <c r="CB264" s="128" t="n"/>
      <c r="CC264" s="108" t="inlineStr">
        <is>
          <t>intl sub: parsed 0.99x rejected (implausible against a 603x public book); BBG Verify CP037 fills it; greenshoe: no over-allotment option; range low: maximum offer price only, no floor published; greenshoe size: no over-allotment option; stabilising manager: filing states none appointed (allotment announcement: 'no stabilizing manager will be appointed' stated in the filing); price series: last available quoted close 2025-03-31; may be suspended, delisted or a source gap; price and benchmark end on that date</t>
        </is>
      </c>
    </row>
    <row r="265" ht="22" customHeight="1">
      <c r="A265" s="107" t="inlineStr">
        <is>
          <t>6181</t>
        </is>
      </c>
      <c r="B265" s="108" t="inlineStr">
        <is>
          <t>LAOPU GOLD</t>
        </is>
      </c>
      <c r="C265" s="108" t="inlineStr">
        <is>
          <t>老鋪黃金</t>
        </is>
      </c>
      <c r="D265" s="108" t="inlineStr">
        <is>
          <t>Consumer</t>
        </is>
      </c>
      <c r="E265" s="108" t="inlineStr">
        <is>
          <t>Apparel / luxury</t>
        </is>
      </c>
      <c r="F265" s="108" t="inlineStr">
        <is>
          <t>Watch &amp; Jewellery</t>
        </is>
      </c>
      <c r="G265" s="108" t="inlineStr">
        <is>
          <t>Standard</t>
        </is>
      </c>
      <c r="H265" s="109" t="n">
        <v>45471</v>
      </c>
      <c r="I265" s="110" t="n">
        <v>905.9</v>
      </c>
      <c r="J265" s="108" t="inlineStr">
        <is>
          <t>gross (price x shares)</t>
        </is>
      </c>
      <c r="K265" s="129" t="n"/>
      <c r="L265" s="111" t="n">
        <v>40.5</v>
      </c>
      <c r="M265" s="111" t="n">
        <v>40.5</v>
      </c>
      <c r="N265" s="108" t="inlineStr">
        <is>
          <t>Y</t>
        </is>
      </c>
      <c r="O265" s="112" t="n">
        <v>100</v>
      </c>
      <c r="P265" s="118" t="n"/>
      <c r="Q265" s="113" t="n">
        <v>6683</v>
      </c>
      <c r="R265" s="108" t="inlineStr">
        <is>
          <t>derived:price x shares upon listing</t>
        </is>
      </c>
      <c r="S265" s="114" t="n">
        <v>582.15</v>
      </c>
      <c r="T265" s="115" t="n">
        <v>11.9</v>
      </c>
      <c r="U265" s="116" t="n">
        <v>48.29</v>
      </c>
      <c r="V265" s="117" t="n">
        <v>108</v>
      </c>
      <c r="W265" s="112" t="n">
        <v>50</v>
      </c>
      <c r="X265" s="108" t="inlineStr">
        <is>
          <t>YES</t>
        </is>
      </c>
      <c r="Y265" s="113" t="n">
        <v>468.44</v>
      </c>
      <c r="Z265" s="113" t="n">
        <v>11566958</v>
      </c>
      <c r="AA265" s="112" t="n">
        <v>7.01</v>
      </c>
      <c r="AB265" s="108" t="inlineStr">
        <is>
          <t>Huang River Investment Limited; China; Southern Asset Management Co., Ltd. CPE Greater China Enterprises Growth Fund</t>
        </is>
      </c>
      <c r="AC265" s="108" t="inlineStr">
        <is>
          <t>huang-river;china;southern-cpe</t>
        </is>
      </c>
      <c r="AD265" s="112" t="n">
        <v>15</v>
      </c>
      <c r="AE265" s="108" t="inlineStr">
        <is>
          <t>full</t>
        </is>
      </c>
      <c r="AF265" s="108" t="inlineStr">
        <is>
          <t>2024-07-25</t>
        </is>
      </c>
      <c r="AG265" s="108" t="inlineStr">
        <is>
          <t>China Securities</t>
        </is>
      </c>
      <c r="AH265" s="108" t="inlineStr">
        <is>
          <t>China Securities</t>
        </is>
      </c>
      <c r="AI265" s="120" t="n">
        <v>51.36</v>
      </c>
      <c r="AJ265" s="121" t="n">
        <v>72.84</v>
      </c>
      <c r="AK265" s="121" t="n">
        <v>-0.17</v>
      </c>
      <c r="AL265" s="121" t="n">
        <v>59.26</v>
      </c>
      <c r="AM265" s="121" t="n">
        <v>8.529999999999999</v>
      </c>
      <c r="AN265" s="123" t="n">
        <v>1.6</v>
      </c>
      <c r="AO265" s="112" t="n">
        <v>22.71</v>
      </c>
      <c r="AP265" s="121" t="n">
        <v>110.37</v>
      </c>
      <c r="AQ265" s="121" t="n">
        <v>104.94</v>
      </c>
      <c r="AR265" s="121" t="n">
        <v>262.96</v>
      </c>
      <c r="AS265" s="121" t="n">
        <v>21.71</v>
      </c>
      <c r="AT265" s="121" t="n">
        <v>18.57</v>
      </c>
      <c r="AU265" s="121" t="n">
        <v>110</v>
      </c>
      <c r="AV265" s="121" t="n">
        <v>109.67</v>
      </c>
      <c r="AW265" s="121" t="n">
        <v>109.15</v>
      </c>
      <c r="AX265" s="121" t="n">
        <v>239.17</v>
      </c>
      <c r="AY265" s="121" t="n">
        <v>22.62</v>
      </c>
      <c r="AZ265" s="121" t="n">
        <v>-4.21</v>
      </c>
      <c r="BA265" s="121" t="n">
        <v>-4.05</v>
      </c>
      <c r="BB265" s="108" t="inlineStr">
        <is>
          <t>Hang Seng Commerce &amp; Industry sub-index</t>
        </is>
      </c>
      <c r="BC265" s="121" t="n">
        <v>707.9</v>
      </c>
      <c r="BD265" s="109" t="n">
        <v>46297</v>
      </c>
      <c r="BE265" s="110" t="n">
        <v>3497.5</v>
      </c>
      <c r="BF265" s="113" t="n">
        <v>125.3</v>
      </c>
      <c r="BG265" s="108" t="inlineStr">
        <is>
          <t>Y</t>
        </is>
      </c>
      <c r="BH265" s="123" t="n">
        <v>53.3</v>
      </c>
      <c r="BI265" s="122" t="n"/>
      <c r="BJ265" s="123" t="n">
        <v>10.6</v>
      </c>
      <c r="BK265" s="123" t="n">
        <v>1.9</v>
      </c>
      <c r="BL265" s="124">
        <f>IF('BBG Verify'!S265="","not filed; run on terminal",'BBG Verify'!S265)</f>
        <v/>
      </c>
      <c r="BM265" s="125" t="inlineStr">
        <is>
          <t>N</t>
        </is>
      </c>
      <c r="BN265" s="126">
        <f>IF('BBG Verify'!K265="","not filed; run on terminal",'BBG Verify'!K265)</f>
        <v/>
      </c>
      <c r="BO265" s="108" t="inlineStr">
        <is>
          <t>N/A</t>
        </is>
      </c>
      <c r="BP265" s="108" t="inlineStr">
        <is>
          <t>N/A</t>
        </is>
      </c>
      <c r="BQ265" s="108" t="inlineStr">
        <is>
          <t>N/A</t>
        </is>
      </c>
      <c r="BR265" s="108" t="inlineStr">
        <is>
          <t>N/A</t>
        </is>
      </c>
      <c r="BS265" s="108" t="inlineStr">
        <is>
          <t>N/A</t>
        </is>
      </c>
      <c r="BT265" s="108" t="inlineStr">
        <is>
          <t>N/A</t>
        </is>
      </c>
      <c r="BU265" s="125" t="inlineStr">
        <is>
          <t>China Securities (International) Corporate Finance Company Limited</t>
        </is>
      </c>
      <c r="BV265" s="108" t="inlineStr">
        <is>
          <t>China Securities (International) Corporate Finance Company Limited</t>
        </is>
      </c>
      <c r="BW265" s="108" t="inlineStr">
        <is>
          <t>China Securities (International) Corporate Finance Company Limited; CCB International Capital Limited; BOCOM International Securities Limited</t>
        </is>
      </c>
      <c r="BX265" s="108" t="inlineStr">
        <is>
          <t>BOCOM International Securities Limited; CCB International Capital Limited; China Securities (International) Corporate Finance Company Limited; Tiger Brokers (HK) Global Limited</t>
        </is>
      </c>
      <c r="BY265" s="127">
        <f>HYPERLINK("https://www1.hkexnews.hk/listedco/listconews/sehk/2024/0620/2024062000017.pdf","prospectus")</f>
        <v/>
      </c>
      <c r="BZ265" s="127">
        <f>HYPERLINK("https://www1.hkexnews.hk/listedco/listconews/sehk/2024/0627/2024062702334.pdf","allotment")</f>
        <v/>
      </c>
      <c r="CA265" s="127">
        <f>HYPERLINK("https://www1.hkexnews.hk/listedco/listconews/sehk/2024/0725/2024072501435.pdf","stabilisation")</f>
        <v/>
      </c>
      <c r="CB265" s="128" t="n"/>
      <c r="CC265" s="108" t="inlineStr">
        <is>
          <t>range low: maximum offer price only, no floor published; A/H: no A-share listing; nearest A proxy Chow Hong Ji (CHJ Jewellery) (002345.SZ)</t>
        </is>
      </c>
    </row>
    <row r="266" ht="22" customHeight="1">
      <c r="A266" s="107" t="inlineStr">
        <is>
          <t>2545</t>
        </is>
      </c>
      <c r="B266" s="108" t="inlineStr">
        <is>
          <t>ZHONGGAN COMM</t>
        </is>
      </c>
      <c r="C266" s="108" t="inlineStr">
        <is>
          <t>中贛通信</t>
        </is>
      </c>
      <c r="D266" s="108" t="inlineStr">
        <is>
          <t>TMT-other</t>
        </is>
      </c>
      <c r="E266" s="108" t="inlineStr">
        <is>
          <t>Telecom</t>
        </is>
      </c>
      <c r="F266" s="108" t="inlineStr">
        <is>
          <t>Telecommunications &amp; Networking Equipment</t>
        </is>
      </c>
      <c r="G266" s="108" t="inlineStr">
        <is>
          <t>Standard</t>
        </is>
      </c>
      <c r="H266" s="109" t="n">
        <v>45476</v>
      </c>
      <c r="I266" s="110" t="n">
        <v>200</v>
      </c>
      <c r="J266" s="108" t="inlineStr">
        <is>
          <t>gross (price x shares)</t>
        </is>
      </c>
      <c r="K266" s="111" t="n">
        <v>1.13</v>
      </c>
      <c r="L266" s="111" t="n">
        <v>1.25</v>
      </c>
      <c r="M266" s="111" t="n">
        <v>1.25</v>
      </c>
      <c r="N266" s="108" t="inlineStr">
        <is>
          <t>Y</t>
        </is>
      </c>
      <c r="O266" s="112" t="n">
        <v>100</v>
      </c>
      <c r="P266" s="112" t="n">
        <v>100</v>
      </c>
      <c r="Q266" s="113" t="n">
        <v>800</v>
      </c>
      <c r="R266" s="108" t="inlineStr">
        <is>
          <t>derived:price x shares upon listing</t>
        </is>
      </c>
      <c r="S266" s="114" t="n">
        <v>195.99</v>
      </c>
      <c r="T266" s="115" t="n">
        <v>1.5</v>
      </c>
      <c r="U266" s="116" t="n">
        <v>0</v>
      </c>
      <c r="V266" s="117" t="n">
        <v>133</v>
      </c>
      <c r="W266" s="112" t="n">
        <v>50</v>
      </c>
      <c r="X266" s="108" t="inlineStr">
        <is>
          <t>YES</t>
        </is>
      </c>
      <c r="Y266" s="113" t="n">
        <v>200</v>
      </c>
      <c r="Z266" s="113" t="n">
        <v>160000000</v>
      </c>
      <c r="AA266" s="112" t="n">
        <v>25</v>
      </c>
      <c r="AB266" s="108" t="inlineStr">
        <is>
          <t>none — no cornerstone tranche</t>
        </is>
      </c>
      <c r="AC266" s="108" t="inlineStr">
        <is>
          <t>none</t>
        </is>
      </c>
      <c r="AD266" s="112" t="n">
        <v>15</v>
      </c>
      <c r="AE266" s="108" t="inlineStr">
        <is>
          <t>lapsed (no over-allocation)</t>
        </is>
      </c>
      <c r="AF266" s="108" t="inlineStr">
        <is>
          <t>2024-07-27</t>
        </is>
      </c>
      <c r="AG266" s="108" t="inlineStr">
        <is>
          <t>Zhongtai Internati onal Securities Limited</t>
        </is>
      </c>
      <c r="AH266" s="108" t="inlineStr">
        <is>
          <t>Zhongtai Internati</t>
        </is>
      </c>
      <c r="AI266" s="120" t="n">
        <v>-38.4</v>
      </c>
      <c r="AJ266" s="121" t="n">
        <v>-46.4</v>
      </c>
      <c r="AK266" s="121" t="n">
        <v>1.18</v>
      </c>
      <c r="AL266" s="121" t="n">
        <v>-39.2</v>
      </c>
      <c r="AM266" s="121" t="n">
        <v>-11.84</v>
      </c>
      <c r="AN266" s="123" t="n">
        <v>1.64</v>
      </c>
      <c r="AO266" s="112" t="n">
        <v>23.68</v>
      </c>
      <c r="AP266" s="121" t="n">
        <v>-63.6</v>
      </c>
      <c r="AQ266" s="121" t="n">
        <v>-65.59999999999999</v>
      </c>
      <c r="AR266" s="121" t="n">
        <v>-68.40000000000001</v>
      </c>
      <c r="AS266" s="121" t="n">
        <v>-32.09</v>
      </c>
      <c r="AT266" s="121" t="n">
        <v>-35.82</v>
      </c>
      <c r="AU266" s="121" t="n">
        <v>-41.04</v>
      </c>
      <c r="AV266" s="121" t="n">
        <v>-61.93</v>
      </c>
      <c r="AW266" s="121" t="n">
        <v>-62.99</v>
      </c>
      <c r="AX266" s="121" t="n">
        <v>-92.84999999999999</v>
      </c>
      <c r="AY266" s="121" t="n">
        <v>-32.07</v>
      </c>
      <c r="AZ266" s="121" t="n">
        <v>-2.61</v>
      </c>
      <c r="BA266" s="121" t="n">
        <v>-3.75</v>
      </c>
      <c r="BB266" s="108" t="inlineStr">
        <is>
          <t>Hang Seng Index</t>
        </is>
      </c>
      <c r="BC266" s="121" t="n">
        <v>-63.2</v>
      </c>
      <c r="BD266" s="109" t="n">
        <v>46297</v>
      </c>
      <c r="BE266" s="110" t="n">
        <v>454.4</v>
      </c>
      <c r="BF266" s="113" t="n">
        <v>75.5</v>
      </c>
      <c r="BG266" s="108" t="inlineStr">
        <is>
          <t>Y</t>
        </is>
      </c>
      <c r="BH266" s="123" t="n">
        <v>10.6</v>
      </c>
      <c r="BI266" s="122" t="n"/>
      <c r="BJ266" s="123" t="n">
        <v>23.7</v>
      </c>
      <c r="BK266" s="123" t="n">
        <v>1.8</v>
      </c>
      <c r="BL266" s="124">
        <f>IF('BBG Verify'!S266="","not filed; run on terminal",'BBG Verify'!S266)</f>
        <v/>
      </c>
      <c r="BM266" s="125" t="inlineStr">
        <is>
          <t>N</t>
        </is>
      </c>
      <c r="BN266" s="126">
        <f>IF('BBG Verify'!K266="","not filed; run on terminal",'BBG Verify'!K266)</f>
        <v/>
      </c>
      <c r="BO266" s="108" t="inlineStr">
        <is>
          <t>N/A</t>
        </is>
      </c>
      <c r="BP266" s="108" t="inlineStr">
        <is>
          <t>N/A</t>
        </is>
      </c>
      <c r="BQ266" s="108" t="inlineStr">
        <is>
          <t>N/A</t>
        </is>
      </c>
      <c r="BR266" s="108" t="inlineStr">
        <is>
          <t>N/A</t>
        </is>
      </c>
      <c r="BS266" s="108" t="inlineStr">
        <is>
          <t>N/A</t>
        </is>
      </c>
      <c r="BT266" s="108" t="inlineStr">
        <is>
          <t>N/A</t>
        </is>
      </c>
      <c r="BU266" s="125" t="inlineStr">
        <is>
          <t>Zhongtai International Capital Limited</t>
        </is>
      </c>
      <c r="BV266" s="108" t="inlineStr">
        <is>
          <t>Zhongtai International Capital Limited</t>
        </is>
      </c>
      <c r="BW266" s="108" t="inlineStr">
        <is>
          <t>Zhongtai International Securities Limited; CCB International Capital Limited; CMB International Capital Limited; ABCI Capital Limited; ICBC International Securities Limited; CMBC Securities Company Limited; China Sunrise Securities (International) Limited</t>
        </is>
      </c>
      <c r="BX266" s="108" t="inlineStr">
        <is>
          <t>ABCI Securities Company Limited; BOCOM International Securities Limited; CCB International Capital Limited; CMBC Securities Company Limited; CMB International Capital Limited; China Sunrise Securities (International) Limited; First Shanghai Securities Limited; Futu Securities International (Hong Kong) Limited; ICBC International Securities Limited; Livermore Holdings Limited; Patrons Securities Limited; Tiger Brokers (HK) Global Limited</t>
        </is>
      </c>
      <c r="BY266" s="127">
        <f>HYPERLINK("https://www1.hkexnews.hk/listedco/listconews/sehk/2024/0621/2024062100099.pdf","prospectus")</f>
        <v/>
      </c>
      <c r="BZ266" s="127">
        <f>HYPERLINK("https://www1.hkexnews.hk/listedco/listconews/sehk/2024/0702/2024070203581.pdf","allotment")</f>
        <v/>
      </c>
      <c r="CA266" s="127">
        <f>HYPERLINK("https://www1.hkexnews.hk/listedco/listconews/sehk/2024/0729/2024072900518.pdf","stabilisation")</f>
        <v/>
      </c>
      <c r="CB266" s="128" t="n"/>
      <c r="CC266" s="108" t="inlineStr">
        <is>
          <t>cornerstone list: no cornerstone tranche</t>
        </is>
      </c>
    </row>
    <row r="267" ht="22" customHeight="1">
      <c r="A267" s="107" t="inlineStr">
        <is>
          <t>1354</t>
        </is>
      </c>
      <c r="B267" s="108" t="inlineStr">
        <is>
          <t>KINGFARPROPERTY</t>
        </is>
      </c>
      <c r="C267" s="108" t="inlineStr">
        <is>
          <t>經發物業</t>
        </is>
      </c>
      <c r="D267" s="108" t="inlineStr">
        <is>
          <t>Real Estate</t>
        </is>
      </c>
      <c r="E267" s="108" t="inlineStr">
        <is>
          <t>Property management</t>
        </is>
      </c>
      <c r="F267" s="108" t="inlineStr">
        <is>
          <t>Property Service and Management</t>
        </is>
      </c>
      <c r="G267" s="108" t="inlineStr">
        <is>
          <t>Standard</t>
        </is>
      </c>
      <c r="H267" s="109" t="n">
        <v>45476</v>
      </c>
      <c r="I267" s="110" t="n">
        <v>125</v>
      </c>
      <c r="J267" s="108" t="inlineStr">
        <is>
          <t>gross (price x shares)</t>
        </is>
      </c>
      <c r="K267" s="111" t="n">
        <v>7.5</v>
      </c>
      <c r="L267" s="111" t="n">
        <v>9.300000000000001</v>
      </c>
      <c r="M267" s="111" t="n">
        <v>7.5</v>
      </c>
      <c r="N267" s="108" t="inlineStr">
        <is>
          <t>N</t>
        </is>
      </c>
      <c r="O267" s="112" t="n">
        <v>80.59999999999999</v>
      </c>
      <c r="P267" s="112" t="n">
        <v>0</v>
      </c>
      <c r="Q267" s="113" t="n">
        <v>500</v>
      </c>
      <c r="R267" s="108" t="inlineStr">
        <is>
          <t>derived:price x shares upon listing</t>
        </is>
      </c>
      <c r="S267" s="114" t="n">
        <v>118.87</v>
      </c>
      <c r="T267" s="115" t="n">
        <v>0.98</v>
      </c>
      <c r="U267" s="116" t="n">
        <v>43.05</v>
      </c>
      <c r="V267" s="117" t="n">
        <v>122</v>
      </c>
      <c r="W267" s="112" t="n">
        <v>18.01</v>
      </c>
      <c r="X267" s="108" t="inlineStr">
        <is>
          <t>NO</t>
        </is>
      </c>
      <c r="Y267" s="113" t="n">
        <v>71.19</v>
      </c>
      <c r="Z267" s="113" t="n">
        <v>9491743</v>
      </c>
      <c r="AA267" s="112" t="n">
        <v>14.24</v>
      </c>
      <c r="AB267" s="108" t="inlineStr">
        <is>
          <t>The Reynold Lemkins Group (Asia) Limited; Xian Dingzhun Education and Technology Co., Ltd; Xian Tianbo Diagnostics Co., Ltd</t>
        </is>
      </c>
      <c r="AC267" s="108" t="inlineStr">
        <is>
          <t>reynold;xian</t>
        </is>
      </c>
      <c r="AD267" s="112" t="n">
        <v>10.8</v>
      </c>
      <c r="AE267" s="108" t="inlineStr">
        <is>
          <t>lapsed (no over-allocation)</t>
        </is>
      </c>
      <c r="AF267" s="119" t="n"/>
      <c r="AG267" s="108" t="inlineStr">
        <is>
          <t>CEB International Capital Corporation Limited</t>
        </is>
      </c>
      <c r="AH267" s="108" t="inlineStr">
        <is>
          <t>CEB</t>
        </is>
      </c>
      <c r="AI267" s="120" t="n">
        <v>0.27</v>
      </c>
      <c r="AJ267" s="121" t="n">
        <v>-11.47</v>
      </c>
      <c r="AK267" s="121" t="n">
        <v>1.97</v>
      </c>
      <c r="AL267" s="121" t="n">
        <v>2</v>
      </c>
      <c r="AM267" s="121" t="n">
        <v>-13.21</v>
      </c>
      <c r="AN267" s="123" t="n">
        <v>1.11</v>
      </c>
      <c r="AO267" s="112" t="n">
        <v>20.26</v>
      </c>
      <c r="AP267" s="121" t="n">
        <v>-24</v>
      </c>
      <c r="AQ267" s="121" t="n">
        <v>26.13</v>
      </c>
      <c r="AR267" s="121" t="n">
        <v>168</v>
      </c>
      <c r="AS267" s="121" t="n">
        <v>-14.15</v>
      </c>
      <c r="AT267" s="121" t="n">
        <v>42.47</v>
      </c>
      <c r="AU267" s="121" t="n">
        <v>202.72</v>
      </c>
      <c r="AV267" s="121" t="n">
        <v>-21.92</v>
      </c>
      <c r="AW267" s="121" t="n">
        <v>28.97</v>
      </c>
      <c r="AX267" s="121" t="n">
        <v>140.96</v>
      </c>
      <c r="AY267" s="121" t="n">
        <v>47.19</v>
      </c>
      <c r="AZ267" s="121" t="n">
        <v>-2.84</v>
      </c>
      <c r="BA267" s="121" t="n">
        <v>-4.72</v>
      </c>
      <c r="BB267" s="108" t="inlineStr">
        <is>
          <t>Hang Seng Properties sub-index</t>
        </is>
      </c>
      <c r="BC267" s="121" t="n">
        <v>-64.27</v>
      </c>
      <c r="BD267" s="109" t="n">
        <v>46297</v>
      </c>
      <c r="BE267" s="110" t="n">
        <v>948.5</v>
      </c>
      <c r="BF267" s="113" t="n">
        <v>56.1</v>
      </c>
      <c r="BG267" s="108" t="inlineStr">
        <is>
          <t>Y</t>
        </is>
      </c>
      <c r="BH267" s="123" t="n">
        <v>8.9</v>
      </c>
      <c r="BI267" s="122" t="n"/>
      <c r="BJ267" s="123" t="n">
        <v>1.8</v>
      </c>
      <c r="BK267" s="123" t="n">
        <v>0.5</v>
      </c>
      <c r="BL267" s="124">
        <f>IF('BBG Verify'!S267="","not filed; run on terminal",'BBG Verify'!S267)</f>
        <v/>
      </c>
      <c r="BM267" s="125" t="inlineStr">
        <is>
          <t>N</t>
        </is>
      </c>
      <c r="BN267" s="126">
        <f>IF('BBG Verify'!K267="","not filed; run on terminal",'BBG Verify'!K267)</f>
        <v/>
      </c>
      <c r="BO267" s="108" t="inlineStr">
        <is>
          <t>N/A</t>
        </is>
      </c>
      <c r="BP267" s="108" t="inlineStr">
        <is>
          <t>N/A</t>
        </is>
      </c>
      <c r="BQ267" s="108" t="inlineStr">
        <is>
          <t>N/A</t>
        </is>
      </c>
      <c r="BR267" s="108" t="inlineStr">
        <is>
          <t>N/A</t>
        </is>
      </c>
      <c r="BS267" s="108" t="inlineStr">
        <is>
          <t>N/A</t>
        </is>
      </c>
      <c r="BT267" s="108" t="inlineStr">
        <is>
          <t>N/A</t>
        </is>
      </c>
      <c r="BU267" s="125" t="inlineStr">
        <is>
          <t>CEB International Capital Corporation Limited</t>
        </is>
      </c>
      <c r="BV267" s="108" t="inlineStr">
        <is>
          <t>CEB International Capital Corporation Limited</t>
        </is>
      </c>
      <c r="BW267" s="108" t="inlineStr">
        <is>
          <t>CEB International Capital Corporation Limited; CMB International Capital Limited; CCB International Capital Limited; ABCI Capital Limited; ICBC International Securities Limited; CMBC Securities Company Limited; China Everbright Securities (HK) Limited; Zhongtai International Securities Limited; China Galaxy International Securities (Hong Kong) Co., Limited; Cinda International Capital Limited; Tiger Brokers (HK) Global Limited; Futu Securities International (Hong Kong) Limited</t>
        </is>
      </c>
      <c r="BX267" s="108" t="inlineStr">
        <is>
          <t>ABCI Securities Company Limited; Aristo Securities Limited; CCB International Capital Limited; CEB International Capital Corporation Limited; China Everbright Securities (HK) Limited; China Galaxy International Securities (Hong Kong) Company Limited; Cinda International Capital Limited; CMBC Securities Company Limited; CMB International Capital Limited; Futu Securities International (Hong Kong) Limited; ICBC International Securities Limited; Livermore Holdings Limited</t>
        </is>
      </c>
      <c r="BY267" s="127">
        <f>HYPERLINK("https://www1.hkexnews.hk/listedco/listconews/sehk/2024/0624/2024062400007.pdf","prospectus")</f>
        <v/>
      </c>
      <c r="BZ267" s="127">
        <f>HYPERLINK("https://www1.hkexnews.hk/listedco/listconews/sehk/2024/0702/2024070203671.pdf","allotment")</f>
        <v/>
      </c>
      <c r="CA267" s="127">
        <f>HYPERLINK("https://www1.hkexnews.hk/listedco/listconews/sehk/2024/0729/2024072900434.pdf","stabilisation")</f>
        <v/>
      </c>
      <c r="CB267" s="128" t="n"/>
      <c r="CC267" s="108" t="inlineStr">
        <is>
          <t>greenshoe: outcome published; expiry date not in the notice</t>
        </is>
      </c>
    </row>
    <row r="268" ht="22" customHeight="1">
      <c r="A268" s="107" t="inlineStr">
        <is>
          <t>6657</t>
        </is>
      </c>
      <c r="B268" s="108" t="inlineStr">
        <is>
          <t>BAIWANG CO</t>
        </is>
      </c>
      <c r="C268" s="108" t="inlineStr">
        <is>
          <t>百望股份</t>
        </is>
      </c>
      <c r="D268" s="108" t="inlineStr">
        <is>
          <t>Tech/AI</t>
        </is>
      </c>
      <c r="E268" s="108" t="inlineStr">
        <is>
          <t>SaaS / enterprise software</t>
        </is>
      </c>
      <c r="F268" s="108" t="inlineStr">
        <is>
          <t>Systems Software</t>
        </is>
      </c>
      <c r="G268" s="108" t="inlineStr">
        <is>
          <t>Standard</t>
        </is>
      </c>
      <c r="H268" s="109" t="n">
        <v>45482</v>
      </c>
      <c r="I268" s="110" t="n">
        <v>333.4</v>
      </c>
      <c r="J268" s="108" t="inlineStr">
        <is>
          <t>gross (price x shares)</t>
        </is>
      </c>
      <c r="K268" s="111" t="n">
        <v>36</v>
      </c>
      <c r="L268" s="111" t="n">
        <v>40</v>
      </c>
      <c r="M268" s="111" t="n">
        <v>36</v>
      </c>
      <c r="N268" s="108" t="inlineStr">
        <is>
          <t>N</t>
        </is>
      </c>
      <c r="O268" s="112" t="n">
        <v>90</v>
      </c>
      <c r="P268" s="112" t="n">
        <v>0</v>
      </c>
      <c r="Q268" s="113" t="n">
        <v>8132.6</v>
      </c>
      <c r="R268" s="108" t="inlineStr">
        <is>
          <t>derived:price x shares upon listing</t>
        </is>
      </c>
      <c r="S268" s="114" t="n">
        <v>6.58</v>
      </c>
      <c r="T268" s="115" t="n">
        <v>1.04</v>
      </c>
      <c r="U268" s="116" t="n">
        <v>77.98</v>
      </c>
      <c r="V268" s="117" t="n">
        <v>132</v>
      </c>
      <c r="W268" s="112" t="n">
        <v>10</v>
      </c>
      <c r="X268" s="108" t="inlineStr">
        <is>
          <t>NO</t>
        </is>
      </c>
      <c r="Y268" s="113" t="n">
        <v>73.41</v>
      </c>
      <c r="Z268" s="113" t="n">
        <v>2039492</v>
      </c>
      <c r="AA268" s="112" t="n">
        <v>0.9</v>
      </c>
      <c r="AB268" s="108" t="inlineStr">
        <is>
          <t>Jiangsu Yuanli Industrial Investment Co., Ltd</t>
        </is>
      </c>
      <c r="AC268" s="108" t="inlineStr">
        <is>
          <t>jiangsu</t>
        </is>
      </c>
      <c r="AD268" s="112" t="n">
        <v>6.61</v>
      </c>
      <c r="AE268" s="108" t="inlineStr">
        <is>
          <t>lapsed</t>
        </is>
      </c>
      <c r="AF268" s="119" t="n"/>
      <c r="AG268" s="108" t="inlineStr">
        <is>
          <t>Haitong International Securities Company Limited DEFINITIONS –3 4</t>
        </is>
      </c>
      <c r="AH268" s="108" t="inlineStr">
        <is>
          <t>Haitong</t>
        </is>
      </c>
      <c r="AI268" s="120" t="n">
        <v>-3.75</v>
      </c>
      <c r="AJ268" s="121" t="n">
        <v>8.06</v>
      </c>
      <c r="AK268" s="121" t="n">
        <v>0.74</v>
      </c>
      <c r="AL268" s="121" t="n">
        <v>-11.11</v>
      </c>
      <c r="AM268" s="121" t="n">
        <v>21.57</v>
      </c>
      <c r="AN268" s="123" t="n">
        <v>1.12</v>
      </c>
      <c r="AO268" s="112" t="n">
        <v>36.56</v>
      </c>
      <c r="AP268" s="121" t="n">
        <v>-4.86</v>
      </c>
      <c r="AQ268" s="121" t="n">
        <v>-5.56</v>
      </c>
      <c r="AR268" s="121" t="n">
        <v>-1.94</v>
      </c>
      <c r="AS268" s="121" t="n">
        <v>-11.96</v>
      </c>
      <c r="AT268" s="121" t="n">
        <v>-12.6</v>
      </c>
      <c r="AU268" s="121" t="n">
        <v>-9.25</v>
      </c>
      <c r="AV268" s="121" t="n">
        <v>-6.52</v>
      </c>
      <c r="AW268" s="121" t="n">
        <v>-0.42</v>
      </c>
      <c r="AX268" s="121" t="n">
        <v>-31.51</v>
      </c>
      <c r="AY268" s="121" t="n">
        <v>-6.76</v>
      </c>
      <c r="AZ268" s="121" t="n">
        <v>-5.14</v>
      </c>
      <c r="BA268" s="121" t="n">
        <v>-5.84</v>
      </c>
      <c r="BB268" s="108" t="inlineStr">
        <is>
          <t>HSTECH (Hang Seng TECH ETF)</t>
        </is>
      </c>
      <c r="BC268" s="121" t="n">
        <v>-59.11</v>
      </c>
      <c r="BD268" s="109" t="n">
        <v>46297</v>
      </c>
      <c r="BE268" s="110" t="n">
        <v>784.3</v>
      </c>
      <c r="BF268" s="113" t="n">
        <v>-395.2</v>
      </c>
      <c r="BG268" s="108" t="inlineStr">
        <is>
          <t>N</t>
        </is>
      </c>
      <c r="BH268" s="108" t="inlineStr">
        <is>
          <t>n/m</t>
        </is>
      </c>
      <c r="BI268" s="122" t="n"/>
      <c r="BJ268" s="122" t="n"/>
      <c r="BK268" s="123" t="n">
        <v>10.4</v>
      </c>
      <c r="BL268" s="124">
        <f>IF('BBG Verify'!S268="","not filed; run on terminal",'BBG Verify'!S268)</f>
        <v/>
      </c>
      <c r="BM268" s="125" t="inlineStr">
        <is>
          <t>N</t>
        </is>
      </c>
      <c r="BN268" s="126">
        <f>IF('BBG Verify'!K268="","not filed; run on terminal",'BBG Verify'!K268)</f>
        <v/>
      </c>
      <c r="BO268" s="108" t="inlineStr">
        <is>
          <t>N/A</t>
        </is>
      </c>
      <c r="BP268" s="108" t="inlineStr">
        <is>
          <t>N/A</t>
        </is>
      </c>
      <c r="BQ268" s="108" t="inlineStr">
        <is>
          <t>N/A</t>
        </is>
      </c>
      <c r="BR268" s="108" t="inlineStr">
        <is>
          <t>N/A</t>
        </is>
      </c>
      <c r="BS268" s="108" t="inlineStr">
        <is>
          <t>N/A</t>
        </is>
      </c>
      <c r="BT268" s="108" t="inlineStr">
        <is>
          <t>N/A</t>
        </is>
      </c>
      <c r="BU268" s="125" t="inlineStr">
        <is>
          <t>Haitong International Capital Limited; Haitong International Securities Company Limited</t>
        </is>
      </c>
      <c r="BV268" s="108" t="inlineStr">
        <is>
          <t>Haitong International Capital Limited</t>
        </is>
      </c>
      <c r="BW268" s="108" t="inlineStr">
        <is>
          <t>Huatai Financial Holdings (Hong Kong) Limited; BOCI Asia Limited; Shenwan Hongyuan Securities (H.K.) Limited</t>
        </is>
      </c>
      <c r="BX268" s="108" t="inlineStr">
        <is>
          <t>BOCI Asia Limited; CMB International Capital Limited; Fosun International Securities Limited; Futu Securities International (Hong Kong) Limited; Huatai Financial Holdings (Hong Kong) Limited; Haitong International Securities Company Limited; Livermore Holdings Limited; Shenwan Hongyuan Securities (H.K.) Limited</t>
        </is>
      </c>
      <c r="BY268" s="127">
        <f>HYPERLINK("https://www1.hkexnews.hk/listedco/listconews/sehk/2024/0628/2024062800069.pdf","prospectus")</f>
        <v/>
      </c>
      <c r="BZ268" s="127">
        <f>HYPERLINK("https://www1.hkexnews.hk/listedco/listconews/sehk/2024/0708/2024070801055.pdf","allotment")</f>
        <v/>
      </c>
      <c r="CA268" s="127">
        <f>HYPERLINK("https://www1.hkexnews.hk/listedco/listconews/sehk/2024/0804/2024080400007.pdf","stabilisation")</f>
        <v/>
      </c>
      <c r="CB268" s="128" t="n"/>
      <c r="CC268" s="108" t="inlineStr">
        <is>
          <t>P/E: loss-making at IPO, use P/S; greenshoe: outcome published; expiry date not in the notice</t>
        </is>
      </c>
    </row>
    <row r="269" ht="22" customHeight="1">
      <c r="A269" s="107" t="inlineStr">
        <is>
          <t>6086</t>
        </is>
      </c>
      <c r="B269" s="108" t="inlineStr">
        <is>
          <t>FANGZHOU JIANKE</t>
        </is>
      </c>
      <c r="C269" s="108" t="inlineStr">
        <is>
          <t>方舟健客</t>
        </is>
      </c>
      <c r="D269" s="108" t="inlineStr">
        <is>
          <t>Healthcare</t>
        </is>
      </c>
      <c r="E269" s="108" t="inlineStr">
        <is>
          <t>Digital health</t>
        </is>
      </c>
      <c r="F269" s="108" t="inlineStr">
        <is>
          <t>Health Care Services</t>
        </is>
      </c>
      <c r="G269" s="108" t="inlineStr">
        <is>
          <t>Standard</t>
        </is>
      </c>
      <c r="H269" s="109" t="n">
        <v>45482</v>
      </c>
      <c r="I269" s="110" t="n">
        <v>194.68</v>
      </c>
      <c r="J269" s="108" t="inlineStr">
        <is>
          <t>gross (stated)</t>
        </is>
      </c>
      <c r="K269" s="111" t="n">
        <v>7.6</v>
      </c>
      <c r="L269" s="111" t="n">
        <v>8.359999999999999</v>
      </c>
      <c r="M269" s="111" t="n">
        <v>8.18</v>
      </c>
      <c r="N269" s="108" t="inlineStr">
        <is>
          <t>N</t>
        </is>
      </c>
      <c r="O269" s="112" t="n">
        <v>97.8</v>
      </c>
      <c r="P269" s="112" t="n">
        <v>76.3</v>
      </c>
      <c r="Q269" s="113" t="n">
        <v>10963.4</v>
      </c>
      <c r="R269" s="108" t="inlineStr">
        <is>
          <t>derived:price x shares upon listing</t>
        </is>
      </c>
      <c r="S269" s="114" t="n">
        <v>16.63</v>
      </c>
      <c r="T269" s="115" t="n">
        <v>1.66</v>
      </c>
      <c r="U269" s="116" t="n">
        <v>0</v>
      </c>
      <c r="V269" s="117" t="n">
        <v>145</v>
      </c>
      <c r="W269" s="112" t="n">
        <v>30</v>
      </c>
      <c r="X269" s="108" t="inlineStr">
        <is>
          <t>YES</t>
        </is>
      </c>
      <c r="Y269" s="113" t="n">
        <v>194.68</v>
      </c>
      <c r="Z269" s="131" t="n"/>
      <c r="AA269" s="112" t="n">
        <v>1.78</v>
      </c>
      <c r="AB269" s="108" t="inlineStr">
        <is>
          <t>none — no cornerstone tranche</t>
        </is>
      </c>
      <c r="AC269" s="108" t="inlineStr">
        <is>
          <t>none</t>
        </is>
      </c>
      <c r="AD269" s="112" t="n">
        <v>8.720000000000001</v>
      </c>
      <c r="AE269" s="108" t="inlineStr">
        <is>
          <t>lapsed</t>
        </is>
      </c>
      <c r="AF269" s="108" t="inlineStr">
        <is>
          <t>2024-08-03</t>
        </is>
      </c>
      <c r="AG269" s="108" t="inlineStr">
        <is>
          <t>Citigroup Global Markets Asia Limited</t>
        </is>
      </c>
      <c r="AH269" s="108" t="inlineStr">
        <is>
          <t>Citigroup</t>
        </is>
      </c>
      <c r="AI269" s="120" t="n">
        <v>-38.51</v>
      </c>
      <c r="AJ269" s="121" t="n">
        <v>-44.62</v>
      </c>
      <c r="AK269" s="121" t="n">
        <v>0.16</v>
      </c>
      <c r="AL269" s="121" t="n">
        <v>-42.79</v>
      </c>
      <c r="AM269" s="121" t="n">
        <v>-3.2</v>
      </c>
      <c r="AN269" s="123" t="n">
        <v>1.39</v>
      </c>
      <c r="AO269" s="112" t="n">
        <v>13.89</v>
      </c>
      <c r="AP269" s="121" t="n">
        <v>-43.77</v>
      </c>
      <c r="AQ269" s="121" t="n">
        <v>-47.8</v>
      </c>
      <c r="AR269" s="121" t="n">
        <v>-15.53</v>
      </c>
      <c r="AS269" s="121" t="n">
        <v>1.53</v>
      </c>
      <c r="AT269" s="121" t="n">
        <v>-5.74</v>
      </c>
      <c r="AU269" s="121" t="n">
        <v>52.53</v>
      </c>
      <c r="AV269" s="121" t="n">
        <v>-47.83</v>
      </c>
      <c r="AW269" s="121" t="n">
        <v>-52.4</v>
      </c>
      <c r="AX269" s="121" t="n">
        <v>-40.95</v>
      </c>
      <c r="AY269" s="121" t="n">
        <v>-10.17</v>
      </c>
      <c r="AZ269" s="121" t="n">
        <v>4.6</v>
      </c>
      <c r="BA269" s="121" t="n">
        <v>4.43</v>
      </c>
      <c r="BB269" s="108" t="inlineStr">
        <is>
          <t>China Biotech ETF (HS biotech proxy)</t>
        </is>
      </c>
      <c r="BC269" s="121" t="n">
        <v>-89.48999999999999</v>
      </c>
      <c r="BD269" s="109" t="n">
        <v>46297</v>
      </c>
      <c r="BE269" s="110" t="n">
        <v>2677.7</v>
      </c>
      <c r="BF269" s="113" t="n">
        <v>-216.5</v>
      </c>
      <c r="BG269" s="108" t="inlineStr">
        <is>
          <t>N</t>
        </is>
      </c>
      <c r="BH269" s="108" t="inlineStr">
        <is>
          <t>n/m</t>
        </is>
      </c>
      <c r="BI269" s="122" t="n"/>
      <c r="BJ269" s="123" t="n">
        <v>61.9</v>
      </c>
      <c r="BK269" s="123" t="n">
        <v>4.1</v>
      </c>
      <c r="BL269" s="124">
        <f>IF('BBG Verify'!S269="","not filed; run on terminal",'BBG Verify'!S269)</f>
        <v/>
      </c>
      <c r="BM269" s="125" t="inlineStr">
        <is>
          <t>N</t>
        </is>
      </c>
      <c r="BN269" s="126">
        <f>IF('BBG Verify'!K269="","not filed; run on terminal",'BBG Verify'!K269)</f>
        <v/>
      </c>
      <c r="BO269" s="108" t="inlineStr">
        <is>
          <t>N/A</t>
        </is>
      </c>
      <c r="BP269" s="108" t="inlineStr">
        <is>
          <t>N/A</t>
        </is>
      </c>
      <c r="BQ269" s="108" t="inlineStr">
        <is>
          <t>N/A</t>
        </is>
      </c>
      <c r="BR269" s="108" t="inlineStr">
        <is>
          <t>N/A</t>
        </is>
      </c>
      <c r="BS269" s="108" t="inlineStr">
        <is>
          <t>N/A</t>
        </is>
      </c>
      <c r="BT269" s="108" t="inlineStr">
        <is>
          <t>N/A</t>
        </is>
      </c>
      <c r="BU269" s="125" t="inlineStr">
        <is>
          <t>Citigroup Global Markets Asia Limited; ABCI Capital Limited</t>
        </is>
      </c>
      <c r="BV269" s="108" t="inlineStr">
        <is>
          <t>Citigroup Global Markets Asia Limited; ABCI Capital Limited</t>
        </is>
      </c>
      <c r="BW269" s="108" t="inlineStr">
        <is>
          <t>Citigroup Global Markets Asia Limited; ABCI Capital Limited; Essence International Securities (Hong Kong) Limited; ICBC International Securities Limited; China Galaxy International Securities (Hong Kong) Co., Limited; Citigroup Global Markets Limited; 122 – ABCI Capital Limited; China Everbright Securities (HK) Limited; China Merchants Securities (HK) Co., Limited; Citrus Securities Limited; Fosun International Securities Limited; Futu Securities International (Hong Kong) Limited</t>
        </is>
      </c>
      <c r="BX269" s="108" t="inlineStr">
        <is>
          <t>ABCI Securities Company Limited; China Everbright Securities (HK) Limited; China Galaxy International Securities (Hong Kong) Company Limited; Citigroup Global Markets Asia Limited; Citrus Securities Limited; CMB International Capital Limited; China Merchants Securities (HK) Company Limited; Essence International Securities (Hong Kong) Limited; Fosun International Securities Limited; Futu Securities International (Hong Kong) Limited; GF Securities (Hong Kong) Brokerage Limited; Huatai Financial Holdings (Hong Kong) Limited</t>
        </is>
      </c>
      <c r="BY269" s="127">
        <f>HYPERLINK("https://www1.hkexnews.hk/listedco/listconews/sehk/2024/0628/2024062800041.pdf","prospectus")</f>
        <v/>
      </c>
      <c r="BZ269" s="127">
        <f>HYPERLINK("https://www1.hkexnews.hk/listedco/listconews/sehk/2024/0708/2024070801101.pdf","allotment")</f>
        <v/>
      </c>
      <c r="CA269" s="127">
        <f>HYPERLINK("https://www1.hkexnews.hk/listedco/listconews/sehk/2024/0805/2024080500039.pdf","stabilisation")</f>
        <v/>
      </c>
      <c r="CB269" s="128" t="n"/>
      <c r="CC269" s="108" t="inlineStr">
        <is>
          <t>P/E: loss-making at IPO, use P/S; cornerstone list: no cornerstone tranche; eff float shares: share count unavailable; the HK$m figure is exact</t>
        </is>
      </c>
    </row>
    <row r="270" ht="22" customHeight="1">
      <c r="A270" s="107" t="inlineStr">
        <is>
          <t>1334</t>
        </is>
      </c>
      <c r="B270" s="108" t="inlineStr">
        <is>
          <t>RUICHANG INTL</t>
        </is>
      </c>
      <c r="C270" s="108" t="inlineStr">
        <is>
          <t>瑞昌國際控股</t>
        </is>
      </c>
      <c r="D270" s="108" t="inlineStr">
        <is>
          <t>Consumer</t>
        </is>
      </c>
      <c r="E270" s="108" t="inlineStr">
        <is>
          <t>Auto parts / supply chain</t>
        </is>
      </c>
      <c r="F270" s="108" t="inlineStr">
        <is>
          <t>Oil &amp; Gas Refining and Marketing</t>
        </is>
      </c>
      <c r="G270" s="108" t="inlineStr">
        <is>
          <t>Standard</t>
        </is>
      </c>
      <c r="H270" s="109" t="n">
        <v>45483</v>
      </c>
      <c r="I270" s="110" t="n">
        <v>131.3</v>
      </c>
      <c r="J270" s="108" t="inlineStr">
        <is>
          <t>gross (stated)</t>
        </is>
      </c>
      <c r="K270" s="111" t="n">
        <v>1.05</v>
      </c>
      <c r="L270" s="111" t="n">
        <v>1.39</v>
      </c>
      <c r="M270" s="111" t="n">
        <v>1.05</v>
      </c>
      <c r="N270" s="108" t="inlineStr">
        <is>
          <t>N</t>
        </is>
      </c>
      <c r="O270" s="112" t="n">
        <v>75.5</v>
      </c>
      <c r="P270" s="112" t="n">
        <v>0</v>
      </c>
      <c r="Q270" s="113" t="n">
        <v>653.4</v>
      </c>
      <c r="R270" s="108" t="inlineStr">
        <is>
          <t>aastocks:上市市值 at the struck price</t>
        </is>
      </c>
      <c r="S270" s="114" t="n">
        <v>19.24</v>
      </c>
      <c r="T270" s="115" t="n">
        <v>0.97</v>
      </c>
      <c r="U270" s="116" t="n">
        <v>44.04</v>
      </c>
      <c r="V270" s="117" t="n">
        <v>142</v>
      </c>
      <c r="W270" s="112" t="n">
        <v>12.54</v>
      </c>
      <c r="X270" s="119" t="n"/>
      <c r="Y270" s="113" t="n">
        <v>73.48</v>
      </c>
      <c r="Z270" s="113" t="n">
        <v>69950000</v>
      </c>
      <c r="AA270" s="112" t="n">
        <v>11.25</v>
      </c>
      <c r="AB270" s="108" t="inlineStr">
        <is>
          <t>Huangshan City Investment Private Equity Fund Management Co., Ltd; Huangshan Chenghe Xinye Equity Investment Partnership (Limited Partnership); Emsdom Limited</t>
        </is>
      </c>
      <c r="AC270" s="108" t="inlineStr">
        <is>
          <t>huangshan;emsdom</t>
        </is>
      </c>
      <c r="AD270" s="112" t="n">
        <v>11</v>
      </c>
      <c r="AE270" s="108" t="inlineStr">
        <is>
          <t>lapsed (no over-allocation)</t>
        </is>
      </c>
      <c r="AF270" s="119" t="n"/>
      <c r="AG270" s="119" t="n"/>
      <c r="AH270" s="119" t="n"/>
      <c r="AI270" s="120" t="n">
        <v>13.33</v>
      </c>
      <c r="AJ270" s="121" t="n">
        <v>14.29</v>
      </c>
      <c r="AK270" s="121" t="n">
        <v>-0.67</v>
      </c>
      <c r="AL270" s="121" t="n">
        <v>23.81</v>
      </c>
      <c r="AM270" s="121" t="n">
        <v>-7.69</v>
      </c>
      <c r="AN270" s="123" t="n">
        <v>2.55</v>
      </c>
      <c r="AO270" s="112" t="n">
        <v>30</v>
      </c>
      <c r="AP270" s="121" t="n">
        <v>9.52</v>
      </c>
      <c r="AQ270" s="121" t="n">
        <v>-19.05</v>
      </c>
      <c r="AR270" s="121" t="n">
        <v>-15.24</v>
      </c>
      <c r="AS270" s="121" t="n">
        <v>-4.17</v>
      </c>
      <c r="AT270" s="121" t="n">
        <v>-29.17</v>
      </c>
      <c r="AU270" s="121" t="n">
        <v>-25.84</v>
      </c>
      <c r="AV270" s="121" t="n">
        <v>8.960000000000001</v>
      </c>
      <c r="AW270" s="121" t="n">
        <v>-13.89</v>
      </c>
      <c r="AX270" s="121" t="n">
        <v>-39.95</v>
      </c>
      <c r="AY270" s="121" t="n">
        <v>-24.65</v>
      </c>
      <c r="AZ270" s="121" t="n">
        <v>-5.16</v>
      </c>
      <c r="BA270" s="121" t="n">
        <v>-4.52</v>
      </c>
      <c r="BB270" s="108" t="inlineStr">
        <is>
          <t>Hang Seng Commerce &amp; Industry sub-index</t>
        </is>
      </c>
      <c r="BC270" s="121" t="n">
        <v>-12.86</v>
      </c>
      <c r="BD270" s="109" t="n">
        <v>46297</v>
      </c>
      <c r="BE270" s="110" t="n">
        <v>598.5</v>
      </c>
      <c r="BF270" s="113" t="n">
        <v>60.7</v>
      </c>
      <c r="BG270" s="108" t="inlineStr">
        <is>
          <t>Y</t>
        </is>
      </c>
      <c r="BH270" s="123" t="n">
        <v>10.8</v>
      </c>
      <c r="BI270" s="122" t="n"/>
      <c r="BJ270" s="123" t="n">
        <v>99.3</v>
      </c>
      <c r="BK270" s="123" t="n">
        <v>1.1</v>
      </c>
      <c r="BL270" s="124">
        <f>IF('BBG Verify'!S270="","not filed; run on terminal",'BBG Verify'!S270)</f>
        <v/>
      </c>
      <c r="BM270" s="125" t="inlineStr">
        <is>
          <t>N</t>
        </is>
      </c>
      <c r="BN270" s="126">
        <f>IF('BBG Verify'!K270="","not filed; run on terminal",'BBG Verify'!K270)</f>
        <v/>
      </c>
      <c r="BO270" s="108" t="inlineStr">
        <is>
          <t>N/A</t>
        </is>
      </c>
      <c r="BP270" s="108" t="inlineStr">
        <is>
          <t>N/A</t>
        </is>
      </c>
      <c r="BQ270" s="108" t="inlineStr">
        <is>
          <t>N/A</t>
        </is>
      </c>
      <c r="BR270" s="108" t="inlineStr">
        <is>
          <t>N/A</t>
        </is>
      </c>
      <c r="BS270" s="108" t="inlineStr">
        <is>
          <t>N/A</t>
        </is>
      </c>
      <c r="BT270" s="108" t="inlineStr">
        <is>
          <t>N/A</t>
        </is>
      </c>
      <c r="BU270" s="125" t="inlineStr">
        <is>
          <t>First Shanghai Capital Limited</t>
        </is>
      </c>
      <c r="BV270" s="108" t="inlineStr">
        <is>
          <t>First Shanghai Capital Limited</t>
        </is>
      </c>
      <c r="BW270" s="108" t="inlineStr">
        <is>
          <t>First Shanghai Securities Limited; Victory Securities Company Limited; CLSA Limited; Central China International Capital Limited; China Merchants Securities (HK) Co., Limited; China Everbright Securities (HK) Limited; Shanxi Securities International Limited; Essence International Securities (Hong Kong) Limited; Livermore Holdings Limited; Tiger Brokers (HK) Global Limited; Fortune (HK) Securities Limited</t>
        </is>
      </c>
      <c r="BX270" s="108" t="inlineStr">
        <is>
          <t>CCB International Capital Limited; Central China International Capital Limited; China Everbright Securities (HK) Limited; CLSA Limited; CMBC Securities Company Limited; China Merchants Securities (HK) Company Limited; Essence International Securities (Hong Kong) Limited; Fortune (HK) Securities Limited; Fosun International Securities Limited; First Shanghai Securities Limited; Futu Securities International (Hong Kong) Limited; Goldlink Securities Limited</t>
        </is>
      </c>
      <c r="BY270" s="127">
        <f>HYPERLINK("https://www1.hkexnews.hk/listedco/listconews/sehk/2024/0628/2024062800081.pdf","prospectus")</f>
        <v/>
      </c>
      <c r="BZ270" s="127">
        <f>HYPERLINK("https://www1.hkexnews.hk/listedco/listconews/sehk/2024/0709/2024070901007.pdf","allotment")</f>
        <v/>
      </c>
      <c r="CA270" s="127">
        <f>HYPERLINK("https://www1.hkexnews.hk/listedco/listconews/sehk/2024/0805/2024080500823.pdf","stabilisation")</f>
        <v/>
      </c>
      <c r="CB270" s="128" t="n"/>
      <c r="CC270" s="108" t="inlineStr">
        <is>
          <t>greenshoe: outcome published; expiry date not in the notice; market cap: published listing cap used; the estimate from deal size / offer % of enlarged capital disagreed; stabilising manager: not named in the allotment notice or prospectus glossary; allocation: clawback line not in this notice; a 12-28% split is consistent with either a tier-1 clawback or a placing shortfall</t>
        </is>
      </c>
    </row>
    <row r="271" ht="22" customHeight="1">
      <c r="A271" s="107" t="inlineStr">
        <is>
          <t>2495</t>
        </is>
      </c>
      <c r="B271" s="108" t="inlineStr">
        <is>
          <t>VOICECOMM</t>
        </is>
      </c>
      <c r="C271" s="108" t="inlineStr">
        <is>
          <t>聲通科技</t>
        </is>
      </c>
      <c r="D271" s="108" t="inlineStr">
        <is>
          <t>TMT-other</t>
        </is>
      </c>
      <c r="E271" s="108" t="inlineStr">
        <is>
          <t>Telecom</t>
        </is>
      </c>
      <c r="F271" s="108" t="inlineStr">
        <is>
          <t>IT Consulting &amp; Other Services</t>
        </is>
      </c>
      <c r="G271" s="108" t="inlineStr">
        <is>
          <t>Standard</t>
        </is>
      </c>
      <c r="H271" s="109" t="n">
        <v>45483</v>
      </c>
      <c r="I271" s="110" t="n">
        <v>664.02</v>
      </c>
      <c r="J271" s="108" t="inlineStr">
        <is>
          <t>gross (stated)</t>
        </is>
      </c>
      <c r="K271" s="129" t="n"/>
      <c r="L271" s="111" t="n">
        <v>152.1</v>
      </c>
      <c r="M271" s="111" t="n">
        <v>152.1</v>
      </c>
      <c r="N271" s="108" t="inlineStr">
        <is>
          <t>Y</t>
        </is>
      </c>
      <c r="O271" s="112" t="n">
        <v>100</v>
      </c>
      <c r="P271" s="118" t="n"/>
      <c r="Q271" s="113" t="n">
        <v>4777.1</v>
      </c>
      <c r="R271" s="108" t="inlineStr">
        <is>
          <t>derived:deal size / offer % of enlarged capital</t>
        </is>
      </c>
      <c r="S271" s="114" t="n">
        <v>3.51</v>
      </c>
      <c r="T271" s="115" t="n">
        <v>1.24</v>
      </c>
      <c r="U271" s="116" t="n">
        <v>40.2</v>
      </c>
      <c r="V271" s="117" t="n">
        <v>135</v>
      </c>
      <c r="W271" s="112" t="n">
        <v>10</v>
      </c>
      <c r="X271" s="108" t="inlineStr">
        <is>
          <t>NO</t>
        </is>
      </c>
      <c r="Y271" s="113" t="n">
        <v>397.08</v>
      </c>
      <c r="Z271" s="113" t="n">
        <v>2610665</v>
      </c>
      <c r="AA271" s="112" t="n">
        <v>8.31</v>
      </c>
      <c r="AB271" s="108" t="inlineStr">
        <is>
          <t>Jiangsu Jiangkong Investment Co., Ltd; Wuhan Guangtong Gongying Enterprise Management Partnership (Limited Partnership)</t>
        </is>
      </c>
      <c r="AC271" s="108" t="inlineStr">
        <is>
          <t>jiangsu;wuhan</t>
        </is>
      </c>
      <c r="AD271" s="112" t="n">
        <v>4.4</v>
      </c>
      <c r="AE271" s="108" t="inlineStr">
        <is>
          <t>partial</t>
        </is>
      </c>
      <c r="AF271" s="119" t="n"/>
      <c r="AG271" s="108" t="inlineStr">
        <is>
          <t>China International Capital Corporation Hong Kong Securities Limited</t>
        </is>
      </c>
      <c r="AH271" s="108" t="inlineStr">
        <is>
          <t>China International</t>
        </is>
      </c>
      <c r="AI271" s="120" t="n">
        <v>-17.82</v>
      </c>
      <c r="AJ271" s="121" t="n">
        <v>-11.24</v>
      </c>
      <c r="AK271" s="121" t="n">
        <v>-0.29</v>
      </c>
      <c r="AL271" s="121" t="n">
        <v>-11.24</v>
      </c>
      <c r="AM271" s="121" t="n">
        <v>0</v>
      </c>
      <c r="AN271" s="123" t="n">
        <v>0.54</v>
      </c>
      <c r="AO271" s="112" t="n">
        <v>14</v>
      </c>
      <c r="AP271" s="121" t="n">
        <v>-6.71</v>
      </c>
      <c r="AQ271" s="121" t="n">
        <v>19</v>
      </c>
      <c r="AR271" s="121" t="n">
        <v>22.35</v>
      </c>
      <c r="AS271" s="121" t="n">
        <v>5.1</v>
      </c>
      <c r="AT271" s="121" t="n">
        <v>34.07</v>
      </c>
      <c r="AU271" s="121" t="n">
        <v>37.84</v>
      </c>
      <c r="AV271" s="121" t="n">
        <v>-7.94</v>
      </c>
      <c r="AW271" s="121" t="n">
        <v>22.6</v>
      </c>
      <c r="AX271" s="121" t="n">
        <v>1.07</v>
      </c>
      <c r="AY271" s="121" t="n">
        <v>37.39</v>
      </c>
      <c r="AZ271" s="121" t="n">
        <v>-3.6</v>
      </c>
      <c r="BA271" s="121" t="n">
        <v>-3.32</v>
      </c>
      <c r="BB271" s="108" t="inlineStr">
        <is>
          <t>Hang Seng Index</t>
        </is>
      </c>
      <c r="BC271" s="121" t="n">
        <v>-82.63</v>
      </c>
      <c r="BD271" s="109" t="n">
        <v>46297</v>
      </c>
      <c r="BE271" s="110" t="n">
        <v>566.5</v>
      </c>
      <c r="BF271" s="113" t="n">
        <v>-31.6</v>
      </c>
      <c r="BG271" s="108" t="inlineStr">
        <is>
          <t>N</t>
        </is>
      </c>
      <c r="BH271" s="108" t="inlineStr">
        <is>
          <t>n/m</t>
        </is>
      </c>
      <c r="BI271" s="122" t="n"/>
      <c r="BJ271" s="123" t="n">
        <v>7.6</v>
      </c>
      <c r="BK271" s="123" t="n">
        <v>8.4</v>
      </c>
      <c r="BL271" s="124">
        <f>IF('BBG Verify'!S271="","not filed; run on terminal",'BBG Verify'!S271)</f>
        <v/>
      </c>
      <c r="BM271" s="125" t="inlineStr">
        <is>
          <t>N</t>
        </is>
      </c>
      <c r="BN271" s="126">
        <f>IF('BBG Verify'!K271="","not filed; run on terminal",'BBG Verify'!K271)</f>
        <v/>
      </c>
      <c r="BO271" s="108" t="inlineStr">
        <is>
          <t>N/A</t>
        </is>
      </c>
      <c r="BP271" s="108" t="inlineStr">
        <is>
          <t>N/A</t>
        </is>
      </c>
      <c r="BQ271" s="108" t="inlineStr">
        <is>
          <t>N/A</t>
        </is>
      </c>
      <c r="BR271" s="108" t="inlineStr">
        <is>
          <t>N/A</t>
        </is>
      </c>
      <c r="BS271" s="108" t="inlineStr">
        <is>
          <t>N/A</t>
        </is>
      </c>
      <c r="BT271" s="108" t="inlineStr">
        <is>
          <t>N/A</t>
        </is>
      </c>
      <c r="BU271" s="125" t="inlineStr">
        <is>
          <t>China International Capital Corporation Hong Kong Securities Limited</t>
        </is>
      </c>
      <c r="BV271" s="108" t="inlineStr">
        <is>
          <t>China International Capital Corporation Hong Kong Securities Limited</t>
        </is>
      </c>
      <c r="BW271" s="108" t="inlineStr">
        <is>
          <t>China International Capital Corporation Hong Kong Securities Limited; China Securities (International) Brokerage Company Limited; CMBC Securities Company Limited; Orient Securities (Hong Kong) Limited; ABCI Capital Limited; China Everbright Securities (HK) Limited; China Galaxy International Securities (Hong Kong) Co., Limited; China Merchants Securities (HK) Co., Limited; CMB International Capital Limited; DBS Asia Capital Limited; ICBC International Securities Limited; Shenwan Hongyuan Securities (H.K.) Limited</t>
        </is>
      </c>
      <c r="BX271" s="108" t="inlineStr">
        <is>
          <t>ABCI Securities Company Limited; China Securities (International) Brokerage Company Limited; CCB International Capital Limited; China Everbright Securities (HK) Limited; China Galaxy International Securities (Hong Kong) Company Limited; China International Capital Corporation Hong Kong Securities Limited; CMBC Securities Company Limited; CMB International Capital Limited; China Merchants Securities (HK) Company Limited; DBS Asia Capital Limited; Fosun International Securities Limited; Futu Securities International (Hong Kong) Limited</t>
        </is>
      </c>
      <c r="BY271" s="127">
        <f>HYPERLINK("https://www1.hkexnews.hk/listedco/listconews/sehk/2024/0628/2024062800079.pdf","prospectus")</f>
        <v/>
      </c>
      <c r="BZ271" s="127">
        <f>HYPERLINK("https://www1.hkexnews.hk/listedco/listconews/sehk/2024/0709/2024070901049.pdf","allotment")</f>
        <v/>
      </c>
      <c r="CA271" s="127">
        <f>HYPERLINK("https://www1.hkexnews.hk/listedco/listconews/sehk/2024/0804/2024080400003.pdf","stabilisation")</f>
        <v/>
      </c>
      <c r="CB271" s="128" t="n"/>
      <c r="CC271" s="108" t="inlineStr">
        <is>
          <t>P/E: loss-making at IPO, use P/S; greenshoe: outcome published; expiry date not in the notice; range low: maximum offer price only, no floor published</t>
        </is>
      </c>
    </row>
    <row r="272" ht="22" customHeight="1">
      <c r="A272" s="107" t="inlineStr">
        <is>
          <t>9680</t>
        </is>
      </c>
      <c r="B272" s="108" t="inlineStr">
        <is>
          <t>CHENQI TECH</t>
        </is>
      </c>
      <c r="C272" s="108" t="inlineStr">
        <is>
          <t>如祺出行</t>
        </is>
      </c>
      <c r="D272" s="108" t="inlineStr">
        <is>
          <t>Tech/AI</t>
        </is>
      </c>
      <c r="E272" s="108" t="inlineStr">
        <is>
          <t>Internet platform / e-commerce</t>
        </is>
      </c>
      <c r="F272" s="108" t="inlineStr">
        <is>
          <t>Trucking</t>
        </is>
      </c>
      <c r="G272" s="108" t="inlineStr">
        <is>
          <t>Standard</t>
        </is>
      </c>
      <c r="H272" s="109" t="n">
        <v>45483</v>
      </c>
      <c r="I272" s="110" t="n">
        <v>1050.2</v>
      </c>
      <c r="J272" s="108" t="inlineStr">
        <is>
          <t>gross (price x shares)</t>
        </is>
      </c>
      <c r="K272" s="111" t="n">
        <v>34</v>
      </c>
      <c r="L272" s="111" t="n">
        <v>45.4</v>
      </c>
      <c r="M272" s="111" t="n">
        <v>35</v>
      </c>
      <c r="N272" s="108" t="inlineStr">
        <is>
          <t>N</t>
        </is>
      </c>
      <c r="O272" s="112" t="n">
        <v>77.09999999999999</v>
      </c>
      <c r="P272" s="112" t="n">
        <v>8.800000000000001</v>
      </c>
      <c r="Q272" s="113" t="n">
        <v>7144</v>
      </c>
      <c r="R272" s="108" t="inlineStr">
        <is>
          <t>derived:price x shares upon listing</t>
        </is>
      </c>
      <c r="S272" s="114" t="n">
        <v>0.6</v>
      </c>
      <c r="T272" s="115" t="n">
        <v>1.18</v>
      </c>
      <c r="U272" s="116" t="n">
        <v>77.06</v>
      </c>
      <c r="V272" s="117" t="n">
        <v>106</v>
      </c>
      <c r="W272" s="112" t="n">
        <v>6.01</v>
      </c>
      <c r="X272" s="108" t="inlineStr">
        <is>
          <t>NO</t>
        </is>
      </c>
      <c r="Y272" s="113" t="n">
        <v>240.92</v>
      </c>
      <c r="Z272" s="113" t="n">
        <v>6883101</v>
      </c>
      <c r="AA272" s="112" t="n">
        <v>3.37</v>
      </c>
      <c r="AB272" s="108" t="inlineStr">
        <is>
          <t>GAIG; An existing Shareholder Hongkong Pony AI Limited; An existing Shareholder Voyager Global Inc; Close associate of an existing Shareholder WeRide Inc</t>
        </is>
      </c>
      <c r="AC272" s="108" t="inlineStr">
        <is>
          <t>gaig;an;close</t>
        </is>
      </c>
      <c r="AD272" s="118" t="n"/>
      <c r="AE272" s="119" t="n"/>
      <c r="AF272" s="119" t="n"/>
      <c r="AG272" s="119" t="n"/>
      <c r="AH272" s="119" t="n"/>
      <c r="AI272" s="120" t="n">
        <v>0.29</v>
      </c>
      <c r="AJ272" s="121" t="n">
        <v>-3.14</v>
      </c>
      <c r="AK272" s="121" t="n">
        <v>0.17</v>
      </c>
      <c r="AL272" s="121" t="n">
        <v>-14.29</v>
      </c>
      <c r="AM272" s="121" t="n">
        <v>13.01</v>
      </c>
      <c r="AN272" s="123" t="n">
        <v>1.32</v>
      </c>
      <c r="AO272" s="112" t="n">
        <v>17.33</v>
      </c>
      <c r="AP272" s="121" t="n">
        <v>-20.57</v>
      </c>
      <c r="AQ272" s="121" t="n">
        <v>-16.57</v>
      </c>
      <c r="AR272" s="121" t="n">
        <v>-34.57</v>
      </c>
      <c r="AS272" s="121" t="n">
        <v>-18</v>
      </c>
      <c r="AT272" s="121" t="n">
        <v>-13.87</v>
      </c>
      <c r="AU272" s="121" t="n">
        <v>-32.45</v>
      </c>
      <c r="AV272" s="121" t="n">
        <v>-22.1</v>
      </c>
      <c r="AW272" s="121" t="n">
        <v>-10.28</v>
      </c>
      <c r="AX272" s="121" t="n">
        <v>-66.58</v>
      </c>
      <c r="AY272" s="121" t="n">
        <v>-7.42</v>
      </c>
      <c r="AZ272" s="121" t="n">
        <v>-6.29</v>
      </c>
      <c r="BA272" s="121" t="n">
        <v>-6.45</v>
      </c>
      <c r="BB272" s="108" t="inlineStr">
        <is>
          <t>HSTECH (Hang Seng TECH ETF)</t>
        </is>
      </c>
      <c r="BC272" s="121" t="n">
        <v>-78.01000000000001</v>
      </c>
      <c r="BD272" s="109" t="n">
        <v>46297</v>
      </c>
      <c r="BE272" s="110" t="n">
        <v>2377.2</v>
      </c>
      <c r="BF272" s="113" t="n">
        <v>-762.1</v>
      </c>
      <c r="BG272" s="108" t="inlineStr">
        <is>
          <t>N</t>
        </is>
      </c>
      <c r="BH272" s="108" t="inlineStr">
        <is>
          <t>n/m</t>
        </is>
      </c>
      <c r="BI272" s="122" t="n"/>
      <c r="BJ272" s="122" t="n"/>
      <c r="BK272" s="123" t="n">
        <v>3</v>
      </c>
      <c r="BL272" s="124">
        <f>IF('BBG Verify'!S272="","not filed; run on terminal",'BBG Verify'!S272)</f>
        <v/>
      </c>
      <c r="BM272" s="125" t="inlineStr">
        <is>
          <t>N</t>
        </is>
      </c>
      <c r="BN272" s="126">
        <f>IF('BBG Verify'!K272="","not filed; run on terminal",'BBG Verify'!K272)</f>
        <v/>
      </c>
      <c r="BO272" s="108" t="inlineStr">
        <is>
          <t>N/A</t>
        </is>
      </c>
      <c r="BP272" s="108" t="inlineStr">
        <is>
          <t>N/A</t>
        </is>
      </c>
      <c r="BQ272" s="108" t="inlineStr">
        <is>
          <t>N/A</t>
        </is>
      </c>
      <c r="BR272" s="108" t="inlineStr">
        <is>
          <t>N/A</t>
        </is>
      </c>
      <c r="BS272" s="108" t="inlineStr">
        <is>
          <t>N/A</t>
        </is>
      </c>
      <c r="BT272" s="108" t="inlineStr">
        <is>
          <t>N/A</t>
        </is>
      </c>
      <c r="BU272" s="125" t="inlineStr">
        <is>
          <t>China International Capital Corporation Hong Kong Securities Limited; Huatai Financial Holdings (Hong Kong) Limited; ABCI Capital Limited</t>
        </is>
      </c>
      <c r="BV272" s="108" t="inlineStr">
        <is>
          <t>China International Capital Corporation Hong Kong Securities Limited; Huatai Financial Holdings (Hong Kong) Limited; ABCI Capital Limited</t>
        </is>
      </c>
      <c r="BW272" s="108" t="inlineStr">
        <is>
          <t>Huatai Financial Holdings (Hong Kong) Limited; ABCI Capital Limited; TradeGo Markets Limited; Livermore Holdings Limited</t>
        </is>
      </c>
      <c r="BX272" s="108" t="inlineStr">
        <is>
          <t>ABCI Securities Company Limited; China International Capital Corporation Hong Kong Securities Limited; Huatai Financial Holdings (Hong Kong) Limited; Livermore Holdings Limited; TradeGo Markets Limited</t>
        </is>
      </c>
      <c r="BY272" s="127">
        <f>HYPERLINK("https://www1.hkexnews.hk/listedco/listconews/sehk/2024/0628/2024062800065.pdf","prospectus")</f>
        <v/>
      </c>
      <c r="BZ272" s="127">
        <f>HYPERLINK("https://www1.hkexnews.hk/listedco/listconews/sehk/2024/0709/2024070901101.pdf","allotment")</f>
        <v/>
      </c>
      <c r="CA272" s="119" t="n"/>
      <c r="CB272" s="128" t="n"/>
      <c r="CC272" s="108" t="inlineStr">
        <is>
          <t>P/E: loss-making at IPO, use P/S; greenshoe: no over-allotment option; sponsor: English name not in the filing; AAStocks 保薦人 shown; greenshoe size: no over-allotment option; stabilising manager: filing states none appointed (allotment announcement: 'no stabilizing manager will be appointed' stated in the filing)</t>
        </is>
      </c>
    </row>
    <row r="273" ht="22" customHeight="1">
      <c r="A273" s="107" t="inlineStr">
        <is>
          <t>2507</t>
        </is>
      </c>
      <c r="B273" s="108" t="inlineStr">
        <is>
          <t>CIRRUS</t>
        </is>
      </c>
      <c r="C273" s="108" t="inlineStr">
        <is>
          <t>西銳</t>
        </is>
      </c>
      <c r="D273" s="108" t="inlineStr">
        <is>
          <t>Industrials</t>
        </is>
      </c>
      <c r="E273" s="108" t="inlineStr">
        <is>
          <t>Capital goods / machinery</t>
        </is>
      </c>
      <c r="F273" s="108" t="inlineStr">
        <is>
          <t>Heavy Electrical Equipment</t>
        </is>
      </c>
      <c r="G273" s="108" t="inlineStr">
        <is>
          <t>Standard</t>
        </is>
      </c>
      <c r="H273" s="109" t="n">
        <v>45485</v>
      </c>
      <c r="I273" s="110" t="n">
        <v>1509.1</v>
      </c>
      <c r="J273" s="108" t="inlineStr">
        <is>
          <t>gross (price x shares)</t>
        </is>
      </c>
      <c r="K273" s="129" t="n"/>
      <c r="L273" s="111" t="n">
        <v>27.5</v>
      </c>
      <c r="M273" s="111" t="n">
        <v>27.5</v>
      </c>
      <c r="N273" s="108" t="inlineStr">
        <is>
          <t>Y</t>
        </is>
      </c>
      <c r="O273" s="112" t="n">
        <v>100</v>
      </c>
      <c r="P273" s="118" t="n"/>
      <c r="Q273" s="113" t="n">
        <v>10060.6</v>
      </c>
      <c r="R273" s="108" t="inlineStr">
        <is>
          <t>derived:price x shares upon listing</t>
        </is>
      </c>
      <c r="S273" s="114" t="n">
        <v>1.56</v>
      </c>
      <c r="T273" s="115" t="n">
        <v>1.57</v>
      </c>
      <c r="U273" s="116" t="n">
        <v>56.4</v>
      </c>
      <c r="V273" s="117" t="n">
        <v>112</v>
      </c>
      <c r="W273" s="112" t="n">
        <v>10</v>
      </c>
      <c r="X273" s="108" t="inlineStr">
        <is>
          <t>NO</t>
        </is>
      </c>
      <c r="Y273" s="113" t="n">
        <v>657.97</v>
      </c>
      <c r="Z273" s="113" t="n">
        <v>23925892</v>
      </c>
      <c r="AA273" s="112" t="n">
        <v>6.54</v>
      </c>
      <c r="AB273" s="108" t="inlineStr">
        <is>
          <t>Changshu Southeast Industrial Investment Co., Ltd.*; Taicang High Tech Science and Innovation Development Co., Ltd.*; Wuxi Jianfa Xintou Aerospace Investment Partnership Enterprise (Limited Partnership)*; China Structural Reform Fund II Corporation Limited*; Wuxi Jintou Lianying Industrial Investment Partnership (Limited Partnership)*</t>
        </is>
      </c>
      <c r="AC273" s="108" t="inlineStr">
        <is>
          <t>changshu;taicang;wuxi;structural</t>
        </is>
      </c>
      <c r="AD273" s="112" t="n">
        <v>10</v>
      </c>
      <c r="AE273" s="108" t="inlineStr">
        <is>
          <t>partial</t>
        </is>
      </c>
      <c r="AF273" s="108" t="inlineStr">
        <is>
          <t>2024-08-08</t>
        </is>
      </c>
      <c r="AG273" s="108" t="inlineStr">
        <is>
          <t>China International Capital Corporation Hong Kong Securities Limited</t>
        </is>
      </c>
      <c r="AH273" s="108" t="inlineStr">
        <is>
          <t>China International</t>
        </is>
      </c>
      <c r="AI273" s="120" t="n">
        <v>-5.09</v>
      </c>
      <c r="AJ273" s="121" t="n">
        <v>0</v>
      </c>
      <c r="AK273" s="121" t="n">
        <v>2.61</v>
      </c>
      <c r="AL273" s="121" t="n">
        <v>0</v>
      </c>
      <c r="AM273" s="121" t="n">
        <v>0</v>
      </c>
      <c r="AN273" s="123" t="n">
        <v>1.16</v>
      </c>
      <c r="AO273" s="112" t="n">
        <v>5.27</v>
      </c>
      <c r="AP273" s="121" t="n">
        <v>-10.36</v>
      </c>
      <c r="AQ273" s="121" t="n">
        <v>-9.640000000000001</v>
      </c>
      <c r="AR273" s="121" t="n">
        <v>-30.18</v>
      </c>
      <c r="AS273" s="121" t="n">
        <v>-10.36</v>
      </c>
      <c r="AT273" s="121" t="n">
        <v>-9.640000000000001</v>
      </c>
      <c r="AU273" s="121" t="n">
        <v>-30.18</v>
      </c>
      <c r="AV273" s="121" t="n">
        <v>-7.5</v>
      </c>
      <c r="AW273" s="121" t="n">
        <v>-4.28</v>
      </c>
      <c r="AX273" s="121" t="n">
        <v>-46.03</v>
      </c>
      <c r="AY273" s="121" t="n">
        <v>-1.88</v>
      </c>
      <c r="AZ273" s="121" t="n">
        <v>-5.36</v>
      </c>
      <c r="BA273" s="121" t="n">
        <v>-7.76</v>
      </c>
      <c r="BB273" s="108" t="inlineStr">
        <is>
          <t>Hang Seng Commerce &amp; Industry sub-index</t>
        </is>
      </c>
      <c r="BC273" s="121" t="n">
        <v>51.13</v>
      </c>
      <c r="BD273" s="109" t="n">
        <v>46297</v>
      </c>
      <c r="BE273" s="132" t="n"/>
      <c r="BF273" s="113" t="n">
        <v>710.9</v>
      </c>
      <c r="BG273" s="108" t="inlineStr">
        <is>
          <t>Y</t>
        </is>
      </c>
      <c r="BH273" s="123" t="n">
        <v>14.2</v>
      </c>
      <c r="BI273" s="122" t="n"/>
      <c r="BJ273" s="123" t="n">
        <v>15.9</v>
      </c>
      <c r="BK273" s="122" t="n"/>
      <c r="BL273" s="124">
        <f>IF('BBG Verify'!S273="","not filed; run on terminal",'BBG Verify'!S273)</f>
        <v/>
      </c>
      <c r="BM273" s="125" t="inlineStr">
        <is>
          <t>N</t>
        </is>
      </c>
      <c r="BN273" s="126">
        <f>IF('BBG Verify'!K273="","not filed; run on terminal",'BBG Verify'!K273)</f>
        <v/>
      </c>
      <c r="BO273" s="108" t="inlineStr">
        <is>
          <t>N/A</t>
        </is>
      </c>
      <c r="BP273" s="108" t="inlineStr">
        <is>
          <t>N/A</t>
        </is>
      </c>
      <c r="BQ273" s="108" t="inlineStr">
        <is>
          <t>N/A</t>
        </is>
      </c>
      <c r="BR273" s="108" t="inlineStr">
        <is>
          <t>N/A</t>
        </is>
      </c>
      <c r="BS273" s="108" t="inlineStr">
        <is>
          <t>N/A</t>
        </is>
      </c>
      <c r="BT273" s="108" t="inlineStr">
        <is>
          <t>N/A</t>
        </is>
      </c>
      <c r="BU273" s="125" t="inlineStr">
        <is>
          <t>China International Capital Corporation Hong Kong Securities Limited</t>
        </is>
      </c>
      <c r="BV273" s="108" t="inlineStr">
        <is>
          <t>China International Capital Corporation Hong Kong Securities Limited</t>
        </is>
      </c>
      <c r="BW273" s="108" t="inlineStr">
        <is>
          <t>China International Capital Corporation Hong Kong Securities Limited; ABCI Capital Limited; BOCI Asia Limited; China Galaxy International Securities (Hong Kong) Co., Limited; China Merchants Securities (HK) Co., Limited; CMB International Capital Limited; Futu Securities International (Hong Kong) Limited; Huatai Financial Holdings (Hong Kong) Limited; ICBC International Securities Limited; Tiger Brokers (HK) Global Limited</t>
        </is>
      </c>
      <c r="BX273" s="108" t="inlineStr">
        <is>
          <t>ABCI Securities Company Limited; AVICT Global Asset Management Limited; BOCI Asia Limited; China Galaxy International Securities (Hong Kong) Company Limited; China International Capital Corporation Hong Kong Securities Limited; CMB International Capital Limited; China Merchants Securities (HK) Company Limited; Futu Securities International (Hong Kong) Limited; Guosen Securities (HK) Capital Company Limited; Huatai Financial Holdings (Hong Kong) Limited; ICBC International Securities Limited; Tiger Brokers (HK) Global Limited</t>
        </is>
      </c>
      <c r="BY273" s="127">
        <f>HYPERLINK("https://www1.hkexnews.hk/listedco/listconews/sehk/2024/0628/2024062800343.htm","prospectus")</f>
        <v/>
      </c>
      <c r="BZ273" s="127">
        <f>HYPERLINK("https://www1.hkexnews.hk/listedco/listconews/sehk/2024/0711/2024071101139.pdf","allotment")</f>
        <v/>
      </c>
      <c r="CA273" s="127">
        <f>HYPERLINK("https://www1.hkexnews.hk/listedco/listconews/sehk/2024/0808/2024080801148.pdf","stabilisation")</f>
        <v/>
      </c>
      <c r="CB273" s="128" t="n"/>
      <c r="CC273" s="108" t="inlineStr">
        <is>
          <t>price range: fixed-price offering (no indicative range); range low: maximum offer price only, no floor published; sponsor: English name not in the filing; AAStocks 保薦人 shown; P/S: revenue not extractable; financials: not extractable; pre-IPO year outside the AAStocks window</t>
        </is>
      </c>
    </row>
    <row r="274" ht="22" customHeight="1">
      <c r="A274" s="107" t="inlineStr">
        <is>
          <t>2531</t>
        </is>
      </c>
      <c r="B274" s="108" t="inlineStr">
        <is>
          <t>CARLINK TECH</t>
        </is>
      </c>
      <c r="C274" s="108" t="inlineStr">
        <is>
          <t>廣聯科技控股</t>
        </is>
      </c>
      <c r="D274" s="108" t="inlineStr">
        <is>
          <t>Consumer</t>
        </is>
      </c>
      <c r="E274" s="108" t="inlineStr">
        <is>
          <t>Auto parts / supply chain</t>
        </is>
      </c>
      <c r="F274" s="108" t="inlineStr">
        <is>
          <t>Systems Software</t>
        </is>
      </c>
      <c r="G274" s="108" t="inlineStr">
        <is>
          <t>Standard</t>
        </is>
      </c>
      <c r="H274" s="109" t="n">
        <v>45488</v>
      </c>
      <c r="I274" s="110" t="n">
        <v>298.9</v>
      </c>
      <c r="J274" s="108" t="inlineStr">
        <is>
          <t>gross (price x shares)</t>
        </is>
      </c>
      <c r="K274" s="111" t="n">
        <v>4.7</v>
      </c>
      <c r="L274" s="111" t="n">
        <v>5.3</v>
      </c>
      <c r="M274" s="111" t="n">
        <v>4.7</v>
      </c>
      <c r="N274" s="108" t="inlineStr">
        <is>
          <t>N</t>
        </is>
      </c>
      <c r="O274" s="112" t="n">
        <v>88.7</v>
      </c>
      <c r="P274" s="112" t="n">
        <v>0</v>
      </c>
      <c r="Q274" s="113" t="n">
        <v>1723</v>
      </c>
      <c r="R274" s="108" t="inlineStr">
        <is>
          <t>derived:price x shares upon listing</t>
        </is>
      </c>
      <c r="S274" s="114" t="n">
        <v>2.49</v>
      </c>
      <c r="T274" s="115" t="n">
        <v>1.06</v>
      </c>
      <c r="U274" s="116" t="n">
        <v>29.44</v>
      </c>
      <c r="V274" s="117" t="n">
        <v>112</v>
      </c>
      <c r="W274" s="112" t="n">
        <v>10</v>
      </c>
      <c r="X274" s="108" t="inlineStr">
        <is>
          <t>NO</t>
        </is>
      </c>
      <c r="Y274" s="113" t="n">
        <v>210.9</v>
      </c>
      <c r="Z274" s="113" t="n">
        <v>44876160</v>
      </c>
      <c r="AA274" s="112" t="n">
        <v>12.24</v>
      </c>
      <c r="AB274" s="108" t="inlineStr">
        <is>
          <t>Huizhou Guohuilian Equity Investment Fund Partnership Enterprise (Limited Partnership)</t>
        </is>
      </c>
      <c r="AC274" s="108" t="inlineStr">
        <is>
          <t>huizhou</t>
        </is>
      </c>
      <c r="AD274" s="118" t="n"/>
      <c r="AE274" s="119" t="n"/>
      <c r="AF274" s="119" t="n"/>
      <c r="AG274" s="119" t="n"/>
      <c r="AH274" s="119" t="n"/>
      <c r="AI274" s="120" t="n">
        <v>17.02</v>
      </c>
      <c r="AJ274" s="121" t="n">
        <v>2.13</v>
      </c>
      <c r="AK274" s="121" t="n">
        <v>-1.78</v>
      </c>
      <c r="AL274" s="121" t="n">
        <v>16.6</v>
      </c>
      <c r="AM274" s="121" t="n">
        <v>-12.41</v>
      </c>
      <c r="AN274" s="123" t="n">
        <v>0.77</v>
      </c>
      <c r="AO274" s="112" t="n">
        <v>16.06</v>
      </c>
      <c r="AP274" s="121" t="n">
        <v>55.96</v>
      </c>
      <c r="AQ274" s="121" t="n">
        <v>48.94</v>
      </c>
      <c r="AR274" s="121" t="n">
        <v>228.51</v>
      </c>
      <c r="AS274" s="121" t="n">
        <v>52.71</v>
      </c>
      <c r="AT274" s="121" t="n">
        <v>45.83</v>
      </c>
      <c r="AU274" s="121" t="n">
        <v>221.66</v>
      </c>
      <c r="AV274" s="121" t="n">
        <v>59.73</v>
      </c>
      <c r="AW274" s="121" t="n">
        <v>56.32</v>
      </c>
      <c r="AX274" s="121" t="n">
        <v>216.28</v>
      </c>
      <c r="AY274" s="121" t="n">
        <v>51.52</v>
      </c>
      <c r="AZ274" s="121" t="n">
        <v>-7.38</v>
      </c>
      <c r="BA274" s="121" t="n">
        <v>-5.69</v>
      </c>
      <c r="BB274" s="108" t="inlineStr">
        <is>
          <t>Hang Seng Commerce &amp; Industry sub-index</t>
        </is>
      </c>
      <c r="BC274" s="121" t="n">
        <v>-35.11</v>
      </c>
      <c r="BD274" s="109" t="n">
        <v>46297</v>
      </c>
      <c r="BE274" s="110" t="n">
        <v>616.6</v>
      </c>
      <c r="BF274" s="113" t="n">
        <v>56.7</v>
      </c>
      <c r="BG274" s="108" t="inlineStr">
        <is>
          <t>Y</t>
        </is>
      </c>
      <c r="BH274" s="123" t="n">
        <v>30.4</v>
      </c>
      <c r="BI274" s="122" t="n"/>
      <c r="BJ274" s="123" t="n">
        <v>73.90000000000001</v>
      </c>
      <c r="BK274" s="123" t="n">
        <v>2.8</v>
      </c>
      <c r="BL274" s="124">
        <f>IF('BBG Verify'!S274="","not filed; run on terminal",'BBG Verify'!S274)</f>
        <v/>
      </c>
      <c r="BM274" s="125" t="inlineStr">
        <is>
          <t>N</t>
        </is>
      </c>
      <c r="BN274" s="126">
        <f>IF('BBG Verify'!K274="","not filed; run on terminal",'BBG Verify'!K274)</f>
        <v/>
      </c>
      <c r="BO274" s="108" t="inlineStr">
        <is>
          <t>N/A</t>
        </is>
      </c>
      <c r="BP274" s="108" t="inlineStr">
        <is>
          <t>N/A</t>
        </is>
      </c>
      <c r="BQ274" s="108" t="inlineStr">
        <is>
          <t>N/A</t>
        </is>
      </c>
      <c r="BR274" s="108" t="inlineStr">
        <is>
          <t>N/A</t>
        </is>
      </c>
      <c r="BS274" s="108" t="inlineStr">
        <is>
          <t>N/A</t>
        </is>
      </c>
      <c r="BT274" s="108" t="inlineStr">
        <is>
          <t>N/A</t>
        </is>
      </c>
      <c r="BU274" s="125" t="inlineStr">
        <is>
          <t>CCB International Capital Limited</t>
        </is>
      </c>
      <c r="BV274" s="108" t="inlineStr">
        <is>
          <t>CCB International Capital Limited</t>
        </is>
      </c>
      <c r="BW274" s="108" t="inlineStr">
        <is>
          <t>CCB International Capital Limited; China Galaxy International Securities (Hong Kong) Co. Limited; Cinda International Capital Limited; CMBC Securities Company Limited; Donghai International Securities (Hong Kong) Limited; Livermore Holdings Limited; Quam Securities Limited; SPDB International Capital Limited; Victory Securities Company Limited; Yue Xiu Securities Company Limited; Zhongtai International Securities Limited; ZMF Asset Management Limited</t>
        </is>
      </c>
      <c r="BX274" s="108" t="inlineStr">
        <is>
          <t>CCB International Capital Limited; China Galaxy International Securities (Hong Kong) Company Limited; Cinda International Capital Limited; CMBC Securities Company Limited; Donghai International Securities (Hong Kong) Limited; Fosun International Securities Limited; Gaoyu Securities Limited; Livermore Holdings Limited; Quam Securities Limited; Ruibang Securities Limited; SPDB International Capital Limited; Victory Securities Company Limited</t>
        </is>
      </c>
      <c r="BY274" s="127">
        <f>HYPERLINK("https://www1.hkexnews.hk/listedco/listconews/sehk/2024/0628/2024062800067.pdf","prospectus")</f>
        <v/>
      </c>
      <c r="BZ274" s="127">
        <f>HYPERLINK("https://www1.hkexnews.hk/listedco/listconews/sehk/2024/0712/2024071201219.pdf","allotment")</f>
        <v/>
      </c>
      <c r="CA274" s="119" t="n"/>
      <c r="CB274" s="128" t="n"/>
      <c r="CC274" s="108" t="inlineStr">
        <is>
          <t>greenshoe: no over-allotment option; greenshoe size: no over-allotment option; stabilising manager: filing states none appointed (allotment announcement: 'no stabilizing manager will be appointed' stated in the filing)</t>
        </is>
      </c>
    </row>
    <row r="275" ht="22" customHeight="1">
      <c r="A275" s="107" t="inlineStr">
        <is>
          <t>1471</t>
        </is>
      </c>
      <c r="B275" s="108" t="inlineStr">
        <is>
          <t>ZHONGMIAO</t>
        </is>
      </c>
      <c r="C275" s="108" t="inlineStr">
        <is>
          <t>眾淼控股</t>
        </is>
      </c>
      <c r="D275" s="108" t="inlineStr">
        <is>
          <t>Financials</t>
        </is>
      </c>
      <c r="E275" s="108" t="inlineStr">
        <is>
          <t>Insurance</t>
        </is>
      </c>
      <c r="F275" s="108" t="inlineStr">
        <is>
          <t>Other Diversified Financial Services</t>
        </is>
      </c>
      <c r="G275" s="108" t="inlineStr">
        <is>
          <t>Standard</t>
        </is>
      </c>
      <c r="H275" s="109" t="n">
        <v>45510</v>
      </c>
      <c r="I275" s="110" t="n">
        <v>247.1</v>
      </c>
      <c r="J275" s="108" t="inlineStr">
        <is>
          <t>gross (price x shares)</t>
        </is>
      </c>
      <c r="K275" s="111" t="n">
        <v>7</v>
      </c>
      <c r="L275" s="111" t="n">
        <v>10.2</v>
      </c>
      <c r="M275" s="111" t="n">
        <v>7</v>
      </c>
      <c r="N275" s="108" t="inlineStr">
        <is>
          <t>N</t>
        </is>
      </c>
      <c r="O275" s="112" t="n">
        <v>68.59999999999999</v>
      </c>
      <c r="P275" s="112" t="n">
        <v>0</v>
      </c>
      <c r="Q275" s="113" t="n">
        <v>988.4</v>
      </c>
      <c r="R275" s="108" t="inlineStr">
        <is>
          <t>derived:price x shares upon listing</t>
        </is>
      </c>
      <c r="S275" s="114" t="n">
        <v>16.07</v>
      </c>
      <c r="T275" s="115" t="n">
        <v>0.98</v>
      </c>
      <c r="U275" s="116" t="n">
        <v>18.71</v>
      </c>
      <c r="V275" s="117" t="n">
        <v>112</v>
      </c>
      <c r="W275" s="112" t="n">
        <v>12.34</v>
      </c>
      <c r="X275" s="108" t="inlineStr">
        <is>
          <t>NO</t>
        </is>
      </c>
      <c r="Y275" s="113" t="n">
        <v>200.87</v>
      </c>
      <c r="Z275" s="113" t="n">
        <v>28695370</v>
      </c>
      <c r="AA275" s="112" t="n">
        <v>20.32</v>
      </c>
      <c r="AB275" s="108" t="inlineStr">
        <is>
          <t>The Reynold Lemkins Group (Asia) Limited; Hong Tai International III LPF</t>
        </is>
      </c>
      <c r="AC275" s="108" t="inlineStr">
        <is>
          <t>reynold;tai</t>
        </is>
      </c>
      <c r="AD275" s="112" t="n">
        <v>17</v>
      </c>
      <c r="AE275" s="119" t="n"/>
      <c r="AF275" s="108" t="inlineStr">
        <is>
          <t>2024-08-31</t>
        </is>
      </c>
      <c r="AG275" s="119" t="n"/>
      <c r="AH275" s="119" t="n"/>
      <c r="AI275" s="120" t="n">
        <v>3.14</v>
      </c>
      <c r="AJ275" s="121" t="n">
        <v>5</v>
      </c>
      <c r="AK275" s="121" t="n">
        <v>-0.27</v>
      </c>
      <c r="AL275" s="121" t="n">
        <v>-1.71</v>
      </c>
      <c r="AM275" s="121" t="n">
        <v>6.83</v>
      </c>
      <c r="AN275" s="123" t="n">
        <v>0.74</v>
      </c>
      <c r="AO275" s="112" t="n">
        <v>22.67</v>
      </c>
      <c r="AP275" s="121" t="n">
        <v>-19.43</v>
      </c>
      <c r="AQ275" s="121" t="n">
        <v>-17.14</v>
      </c>
      <c r="AR275" s="121" t="n">
        <v>-2.71</v>
      </c>
      <c r="AS275" s="121" t="n">
        <v>-23.27</v>
      </c>
      <c r="AT275" s="121" t="n">
        <v>-21.09</v>
      </c>
      <c r="AU275" s="121" t="n">
        <v>-7.34</v>
      </c>
      <c r="AV275" s="121" t="n">
        <v>-22.39</v>
      </c>
      <c r="AW275" s="121" t="n">
        <v>-21.31</v>
      </c>
      <c r="AX275" s="121" t="n">
        <v>-25.98</v>
      </c>
      <c r="AY275" s="121" t="n">
        <v>-25.54</v>
      </c>
      <c r="AZ275" s="121" t="n">
        <v>4.17</v>
      </c>
      <c r="BA275" s="121" t="n">
        <v>4.45</v>
      </c>
      <c r="BB275" s="108" t="inlineStr">
        <is>
          <t>Hang Seng Finance sub-index</t>
        </is>
      </c>
      <c r="BC275" s="121" t="n">
        <v>41.43</v>
      </c>
      <c r="BD275" s="109" t="n">
        <v>46297</v>
      </c>
      <c r="BE275" s="110" t="n">
        <v>191.4</v>
      </c>
      <c r="BF275" s="113" t="n">
        <v>42.9</v>
      </c>
      <c r="BG275" s="108" t="inlineStr">
        <is>
          <t>Y</t>
        </is>
      </c>
      <c r="BH275" s="123" t="n">
        <v>23</v>
      </c>
      <c r="BI275" s="122" t="n"/>
      <c r="BJ275" s="123" t="n">
        <v>17</v>
      </c>
      <c r="BK275" s="123" t="n">
        <v>5.2</v>
      </c>
      <c r="BL275" s="124">
        <f>IF('BBG Verify'!S275="","not filed; run on terminal",'BBG Verify'!S275)</f>
        <v/>
      </c>
      <c r="BM275" s="125" t="inlineStr">
        <is>
          <t>N</t>
        </is>
      </c>
      <c r="BN275" s="126">
        <f>IF('BBG Verify'!K275="","not filed; run on terminal",'BBG Verify'!K275)</f>
        <v/>
      </c>
      <c r="BO275" s="108" t="inlineStr">
        <is>
          <t>N/A</t>
        </is>
      </c>
      <c r="BP275" s="108" t="inlineStr">
        <is>
          <t>N/A</t>
        </is>
      </c>
      <c r="BQ275" s="108" t="inlineStr">
        <is>
          <t>N/A</t>
        </is>
      </c>
      <c r="BR275" s="108" t="inlineStr">
        <is>
          <t>N/A</t>
        </is>
      </c>
      <c r="BS275" s="108" t="inlineStr">
        <is>
          <t>N/A</t>
        </is>
      </c>
      <c r="BT275" s="108" t="inlineStr">
        <is>
          <t>N/A</t>
        </is>
      </c>
      <c r="BU275" s="125" t="inlineStr">
        <is>
          <t>CITIC Securities (Hong Kong) Limited; Ping An of China Capital (Hong Kong) Company Limited</t>
        </is>
      </c>
      <c r="BV275" s="108" t="inlineStr">
        <is>
          <t>CITIC Securities (Hong Kong) Limited; Ping An of China Capital (Hong Kong) Company Limited</t>
        </is>
      </c>
      <c r="BW275" s="108" t="inlineStr">
        <is>
          <t>China PA Securities (Hong Kong) Company Limited; CLSA Limited; CMB International Capital Limited; Fosun International Securities Limited; Hong Tai Securities Limited</t>
        </is>
      </c>
      <c r="BX275" s="108" t="inlineStr">
        <is>
          <t>China Industrial Securities International Capital Limited; CLSA Limited; CMB International Capital Limited; China PA Securities (Hong Kong) Company Limited; Eddid Securities and Futures Limited; Fortune (HK) Securities Limited; Fosun International Securities Limited; Hong Tai Securities Limited; ICBC International Securities Limited; Patrons Securities Limited; Tiger Brokers (HK) Global Limited</t>
        </is>
      </c>
      <c r="BY275" s="127">
        <f>HYPERLINK("https://www1.hkexnews.hk/listedco/listconews/sehk/2024/0729/2024072900013.pdf","prospectus")</f>
        <v/>
      </c>
      <c r="BZ275" s="127">
        <f>HYPERLINK("https://www1.hkexnews.hk/listedco/listconews/sehk/2024/0805/2024080502241.pdf","allotment")</f>
        <v/>
      </c>
      <c r="CA275" s="127">
        <f>HYPERLINK("https://www1.hkexnews.hk/listedco/listconews/sehk/2024/0905/2024090501834.pdf","stabilisation")</f>
        <v/>
      </c>
      <c r="CB275" s="128" t="n"/>
      <c r="CC275" s="108" t="inlineStr">
        <is>
          <t>greenshoe: end-of-stabilisation notice not found; stabilising manager: not named in the allotment notice or prospectus glossary; stabilisation notice: notice linked; outcome wording not recognised, result left blank</t>
        </is>
      </c>
    </row>
    <row r="276" ht="22" customHeight="1">
      <c r="A276" s="107" t="inlineStr">
        <is>
          <t>2533</t>
        </is>
      </c>
      <c r="B276" s="108" t="inlineStr">
        <is>
          <t>BLACK SESAME</t>
        </is>
      </c>
      <c r="C276" s="108" t="inlineStr">
        <is>
          <t>黑芝麻智能</t>
        </is>
      </c>
      <c r="D276" s="108" t="inlineStr">
        <is>
          <t>Tech/AI</t>
        </is>
      </c>
      <c r="E276" s="108" t="inlineStr">
        <is>
          <t>Compute / AI semiconductors</t>
        </is>
      </c>
      <c r="F276" s="108" t="inlineStr">
        <is>
          <t>Application Software</t>
        </is>
      </c>
      <c r="G276" s="108" t="inlineStr">
        <is>
          <t>Standard</t>
        </is>
      </c>
      <c r="H276" s="109" t="n">
        <v>45512</v>
      </c>
      <c r="I276" s="110" t="n">
        <v>1036</v>
      </c>
      <c r="J276" s="108" t="inlineStr">
        <is>
          <t>gross (price x shares)</t>
        </is>
      </c>
      <c r="K276" s="111" t="n">
        <v>28</v>
      </c>
      <c r="L276" s="111" t="n">
        <v>30.3</v>
      </c>
      <c r="M276" s="111" t="n">
        <v>28</v>
      </c>
      <c r="N276" s="108" t="inlineStr">
        <is>
          <t>N</t>
        </is>
      </c>
      <c r="O276" s="112" t="n">
        <v>92.40000000000001</v>
      </c>
      <c r="P276" s="112" t="n">
        <v>0</v>
      </c>
      <c r="Q276" s="113" t="n">
        <v>15936.7</v>
      </c>
      <c r="R276" s="108" t="inlineStr">
        <is>
          <t>derived:price x shares upon listing</t>
        </is>
      </c>
      <c r="S276" s="114" t="n">
        <v>2.52</v>
      </c>
      <c r="T276" s="115" t="n">
        <v>1.05</v>
      </c>
      <c r="U276" s="116" t="n">
        <v>7.38</v>
      </c>
      <c r="V276" s="117" t="n">
        <v>112</v>
      </c>
      <c r="W276" s="112" t="n">
        <v>5</v>
      </c>
      <c r="X276" s="108" t="inlineStr">
        <is>
          <t>NO</t>
        </is>
      </c>
      <c r="Y276" s="113" t="n">
        <v>959.54</v>
      </c>
      <c r="Z276" s="113" t="n">
        <v>34269400</v>
      </c>
      <c r="AA276" s="112" t="n">
        <v>6.02</v>
      </c>
      <c r="AB276" s="108" t="inlineStr">
        <is>
          <t>Gardex Development Limited; Joyson Electronic USA LLC</t>
        </is>
      </c>
      <c r="AC276" s="108" t="inlineStr">
        <is>
          <t>gardex;joyson</t>
        </is>
      </c>
      <c r="AD276" s="112" t="n">
        <v>7.39</v>
      </c>
      <c r="AE276" s="108" t="inlineStr">
        <is>
          <t>lapsed (no over-allocation)</t>
        </is>
      </c>
      <c r="AF276" s="108" t="inlineStr">
        <is>
          <t>2024-09-04</t>
        </is>
      </c>
      <c r="AG276" s="108" t="inlineStr">
        <is>
          <t>China International Capital Corporation Hong Kong Securities Limited</t>
        </is>
      </c>
      <c r="AH276" s="108" t="inlineStr">
        <is>
          <t>China International</t>
        </is>
      </c>
      <c r="AI276" s="120" t="n">
        <v>-19.11</v>
      </c>
      <c r="AJ276" s="121" t="n">
        <v>-26.96</v>
      </c>
      <c r="AK276" s="121" t="n">
        <v>-0.48</v>
      </c>
      <c r="AL276" s="121" t="n">
        <v>-32.86</v>
      </c>
      <c r="AM276" s="121" t="n">
        <v>8.789999999999999</v>
      </c>
      <c r="AN276" s="123" t="n">
        <v>1.8</v>
      </c>
      <c r="AO276" s="112" t="n">
        <v>24.04</v>
      </c>
      <c r="AP276" s="121" t="n">
        <v>-28.04</v>
      </c>
      <c r="AQ276" s="121" t="n">
        <v>-23.57</v>
      </c>
      <c r="AR276" s="121" t="n">
        <v>-7.68</v>
      </c>
      <c r="AS276" s="121" t="n">
        <v>-1.48</v>
      </c>
      <c r="AT276" s="121" t="n">
        <v>4.64</v>
      </c>
      <c r="AU276" s="121" t="n">
        <v>26.4</v>
      </c>
      <c r="AV276" s="121" t="n">
        <v>-28.4</v>
      </c>
      <c r="AW276" s="121" t="n">
        <v>-25.25</v>
      </c>
      <c r="AX276" s="121" t="n">
        <v>-44.98</v>
      </c>
      <c r="AY276" s="121" t="n">
        <v>2.46</v>
      </c>
      <c r="AZ276" s="121" t="n">
        <v>1.68</v>
      </c>
      <c r="BA276" s="121" t="n">
        <v>2.18</v>
      </c>
      <c r="BB276" s="108" t="inlineStr">
        <is>
          <t>HSTECH (Hang Seng TECH ETF)</t>
        </is>
      </c>
      <c r="BC276" s="121" t="n">
        <v>-65.86</v>
      </c>
      <c r="BD276" s="109" t="n">
        <v>46297</v>
      </c>
      <c r="BE276" s="110" t="n">
        <v>343.6</v>
      </c>
      <c r="BF276" s="113" t="n">
        <v>-5340.6</v>
      </c>
      <c r="BG276" s="108" t="inlineStr">
        <is>
          <t>N</t>
        </is>
      </c>
      <c r="BH276" s="108" t="inlineStr">
        <is>
          <t>n/m</t>
        </is>
      </c>
      <c r="BI276" s="122" t="n"/>
      <c r="BJ276" s="122" t="n"/>
      <c r="BK276" s="123" t="n">
        <v>46.4</v>
      </c>
      <c r="BL276" s="124">
        <f>IF('BBG Verify'!S276="","not filed; run on terminal",'BBG Verify'!S276)</f>
        <v/>
      </c>
      <c r="BM276" s="125" t="inlineStr">
        <is>
          <t>N</t>
        </is>
      </c>
      <c r="BN276" s="126">
        <f>IF('BBG Verify'!K276="","not filed; run on terminal",'BBG Verify'!K276)</f>
        <v/>
      </c>
      <c r="BO276" s="108" t="inlineStr">
        <is>
          <t>N/A</t>
        </is>
      </c>
      <c r="BP276" s="108" t="inlineStr">
        <is>
          <t>N/A</t>
        </is>
      </c>
      <c r="BQ276" s="108" t="inlineStr">
        <is>
          <t>N/A</t>
        </is>
      </c>
      <c r="BR276" s="108" t="inlineStr">
        <is>
          <t>N/A</t>
        </is>
      </c>
      <c r="BS276" s="108" t="inlineStr">
        <is>
          <t>N/A</t>
        </is>
      </c>
      <c r="BT276" s="108" t="inlineStr">
        <is>
          <t>N/A</t>
        </is>
      </c>
      <c r="BU276" s="125" t="inlineStr">
        <is>
          <t>China International Capital Corporation Hong Kong Securities Limited; Huatai Financial Holdings (Hong Kong) Limited</t>
        </is>
      </c>
      <c r="BV276" s="108" t="inlineStr">
        <is>
          <t>China International Capital Corporation Hong Kong Securities Limited; Huatai Financial Holdings (Hong Kong) Limited</t>
        </is>
      </c>
      <c r="BW276" s="108" t="inlineStr">
        <is>
          <t>CCB International Capital Limited; GF Securities (Hong Kong) Brokerage Limited; Futu Securities International (Hong Kong) Limited</t>
        </is>
      </c>
      <c r="BX276" s="108" t="inlineStr">
        <is>
          <t>BOCI Asia Limited; CCB International Capital Limited; China International Capital Corporation Hong Kong Securities Limited; CLSA Limited; Futu Securities International (Hong Kong) Limited; GF Securities (Hong Kong) Brokerage Limited; Huatai Financial Holdings (Hong Kong) Limited; Tiger Brokers (HK) Global Limited</t>
        </is>
      </c>
      <c r="BY276" s="127">
        <f>HYPERLINK("https://www1.hkexnews.hk/listedco/listconews/sehk/2024/0731/2024073100015.pdf","prospectus")</f>
        <v/>
      </c>
      <c r="BZ276" s="127">
        <f>HYPERLINK("https://www1.hkexnews.hk/listedco/listconews/sehk/2024/0807/2024080700994.pdf","allotment")</f>
        <v/>
      </c>
      <c r="CA276" s="127">
        <f>HYPERLINK("https://www1.hkexnews.hk/listedco/listconews/sehk/2024/0904/2024090402176.pdf","stabilisation")</f>
        <v/>
      </c>
      <c r="CB276" s="128" t="n"/>
      <c r="CC276" s="108" t="inlineStr">
        <is>
          <t>P/E: loss-making at IPO, use P/S; sponsor: English name not in the filing; AAStocks 保薦人 shown</t>
        </is>
      </c>
    </row>
    <row r="277" ht="22" customHeight="1">
      <c r="A277" s="107" t="inlineStr">
        <is>
          <t>2410</t>
        </is>
      </c>
      <c r="B277" s="108" t="inlineStr">
        <is>
          <t>TYK MEDICINES-B</t>
        </is>
      </c>
      <c r="C277" s="108" t="inlineStr">
        <is>
          <t>同源康醫藥－Ｂ</t>
        </is>
      </c>
      <c r="D277" s="108" t="inlineStr">
        <is>
          <t>Healthcare</t>
        </is>
      </c>
      <c r="E277" s="108" t="inlineStr">
        <is>
          <t>Biotech pre-revenue (18A)</t>
        </is>
      </c>
      <c r="F277" s="108" t="inlineStr">
        <is>
          <t>Biotechnology - Pharmaceuticals</t>
        </is>
      </c>
      <c r="G277" s="108" t="inlineStr">
        <is>
          <t>18A</t>
        </is>
      </c>
      <c r="H277" s="109" t="n">
        <v>45524</v>
      </c>
      <c r="I277" s="110" t="n">
        <v>579.3</v>
      </c>
      <c r="J277" s="108" t="inlineStr">
        <is>
          <t>gross (price x shares)</t>
        </is>
      </c>
      <c r="K277" s="129" t="n"/>
      <c r="L277" s="111" t="n">
        <v>12.1</v>
      </c>
      <c r="M277" s="111" t="n">
        <v>12.1</v>
      </c>
      <c r="N277" s="108" t="inlineStr">
        <is>
          <t>Y</t>
        </is>
      </c>
      <c r="O277" s="112" t="n">
        <v>100</v>
      </c>
      <c r="P277" s="118" t="n"/>
      <c r="Q277" s="113" t="n">
        <v>4487.1</v>
      </c>
      <c r="R277" s="108" t="inlineStr">
        <is>
          <t>derived:price x shares upon listing</t>
        </is>
      </c>
      <c r="S277" s="114" t="n">
        <v>2.29</v>
      </c>
      <c r="T277" s="115" t="n">
        <v>1.01</v>
      </c>
      <c r="U277" s="116" t="n">
        <v>35.51</v>
      </c>
      <c r="V277" s="117" t="n">
        <v>116</v>
      </c>
      <c r="W277" s="112" t="n">
        <v>10</v>
      </c>
      <c r="X277" s="108" t="inlineStr">
        <is>
          <t>NO</t>
        </is>
      </c>
      <c r="Y277" s="113" t="n">
        <v>373.59</v>
      </c>
      <c r="Z277" s="113" t="n">
        <v>30877812</v>
      </c>
      <c r="AA277" s="112" t="n">
        <v>8.33</v>
      </c>
      <c r="AB277" s="108" t="inlineStr">
        <is>
          <t>Changxing Xingchang Industrial Investment Partnership (Limited Partnership)</t>
        </is>
      </c>
      <c r="AC277" s="108" t="inlineStr">
        <is>
          <t>changxing</t>
        </is>
      </c>
      <c r="AD277" s="118" t="n"/>
      <c r="AE277" s="119" t="n"/>
      <c r="AF277" s="119" t="n"/>
      <c r="AG277" s="119" t="n"/>
      <c r="AH277" s="119" t="n"/>
      <c r="AI277" s="120" t="n">
        <v>9.09</v>
      </c>
      <c r="AJ277" s="121" t="n">
        <v>13.22</v>
      </c>
      <c r="AK277" s="121" t="n">
        <v>-0.8</v>
      </c>
      <c r="AL277" s="121" t="n">
        <v>19.67</v>
      </c>
      <c r="AM277" s="121" t="n">
        <v>-5.39</v>
      </c>
      <c r="AN277" s="123" t="n">
        <v>0.67</v>
      </c>
      <c r="AO277" s="112" t="n">
        <v>21.41</v>
      </c>
      <c r="AP277" s="121" t="n">
        <v>90.08</v>
      </c>
      <c r="AQ277" s="121" t="n">
        <v>135.95</v>
      </c>
      <c r="AR277" s="121" t="n">
        <v>129.75</v>
      </c>
      <c r="AS277" s="121" t="n">
        <v>67.89</v>
      </c>
      <c r="AT277" s="121" t="n">
        <v>108.4</v>
      </c>
      <c r="AU277" s="121" t="n">
        <v>102.92</v>
      </c>
      <c r="AV277" s="121" t="n">
        <v>92.59</v>
      </c>
      <c r="AW277" s="121" t="n">
        <v>137.89</v>
      </c>
      <c r="AX277" s="121" t="n">
        <v>117.04</v>
      </c>
      <c r="AY277" s="121" t="n">
        <v>109.55</v>
      </c>
      <c r="AZ277" s="121" t="n">
        <v>-1.94</v>
      </c>
      <c r="BA277" s="121" t="n">
        <v>-1.15</v>
      </c>
      <c r="BB277" s="108" t="inlineStr">
        <is>
          <t>China Biotech ETF (HS biotech proxy)</t>
        </is>
      </c>
      <c r="BC277" s="121" t="n">
        <v>-64.45999999999999</v>
      </c>
      <c r="BD277" s="109" t="n">
        <v>46297</v>
      </c>
      <c r="BE277" s="110" t="n">
        <v>48.7</v>
      </c>
      <c r="BF277" s="113" t="n">
        <v>-91.5</v>
      </c>
      <c r="BG277" s="108" t="inlineStr">
        <is>
          <t>N</t>
        </is>
      </c>
      <c r="BH277" s="108" t="inlineStr">
        <is>
          <t>n/m</t>
        </is>
      </c>
      <c r="BI277" s="122" t="n"/>
      <c r="BJ277" s="122" t="n"/>
      <c r="BK277" s="123" t="n">
        <v>92.09999999999999</v>
      </c>
      <c r="BL277" s="124">
        <f>IF('BBG Verify'!S277="","not filed; run on terminal",'BBG Verify'!S277)</f>
        <v/>
      </c>
      <c r="BM277" s="125" t="inlineStr">
        <is>
          <t>N</t>
        </is>
      </c>
      <c r="BN277" s="126">
        <f>IF('BBG Verify'!K277="","not filed; run on terminal",'BBG Verify'!K277)</f>
        <v/>
      </c>
      <c r="BO277" s="108" t="inlineStr">
        <is>
          <t>N/A</t>
        </is>
      </c>
      <c r="BP277" s="108" t="inlineStr">
        <is>
          <t>N/A</t>
        </is>
      </c>
      <c r="BQ277" s="108" t="inlineStr">
        <is>
          <t>N/A</t>
        </is>
      </c>
      <c r="BR277" s="108" t="inlineStr">
        <is>
          <t>N/A</t>
        </is>
      </c>
      <c r="BS277" s="108" t="inlineStr">
        <is>
          <t>N/A</t>
        </is>
      </c>
      <c r="BT277" s="108" t="inlineStr">
        <is>
          <t>N/A</t>
        </is>
      </c>
      <c r="BU277" s="125" t="inlineStr">
        <is>
          <t>CITIC Securities (Hong Kong) Limited</t>
        </is>
      </c>
      <c r="BV277" s="108" t="inlineStr">
        <is>
          <t>CITIC Securities (Hong Kong) Limited</t>
        </is>
      </c>
      <c r="BW277" s="108" t="inlineStr">
        <is>
          <t>CLSA Limited; CMB International Capital Limited; Haitong International Securities Company Limited; Deutsche Bank AG, Hong Kong Branch; Livermore Holdings Limited; BOCI Asia Limited</t>
        </is>
      </c>
      <c r="BX277" s="108" t="inlineStr">
        <is>
          <t>BOCI Asia Limited; CLSA Limited; CMB International Capital Limited; Deutsche Bank AG, Hong Kong Branch; Haitong International Securities Company Limited; Livermore Holdings Limited</t>
        </is>
      </c>
      <c r="BY277" s="127">
        <f>HYPERLINK("https://www1.hkexnews.hk/listedco/listconews/sehk/2024/0812/2024081200005.pdf","prospectus")</f>
        <v/>
      </c>
      <c r="BZ277" s="127">
        <f>HYPERLINK("https://www1.hkexnews.hk/listedco/listconews/sehk/2024/0819/2024081901642.pdf","allotment")</f>
        <v/>
      </c>
      <c r="CA277" s="119" t="n"/>
      <c r="CB277" s="128" t="n"/>
      <c r="CC277" s="108" t="inlineStr">
        <is>
          <t>P/E: loss-making at IPO, use P/S; greenshoe: no over-allotment option; range low: maximum offer price only, no floor published; greenshoe size: no over-allotment option; stabilising manager: filing states none appointed (prospectus: 'no stabilizing manager will be appointed' stated in the filing)</t>
        </is>
      </c>
    </row>
    <row r="278" ht="22" customHeight="1">
      <c r="A278" s="107" t="inlineStr">
        <is>
          <t>0300</t>
        </is>
      </c>
      <c r="B278" s="108" t="inlineStr">
        <is>
          <t>MIDEA GROUP</t>
        </is>
      </c>
      <c r="C278" s="108" t="inlineStr">
        <is>
          <t>美的集團</t>
        </is>
      </c>
      <c r="D278" s="108" t="inlineStr">
        <is>
          <t>Tech/AI</t>
        </is>
      </c>
      <c r="E278" s="108" t="inlineStr">
        <is>
          <t>Smart hardware / consumer electronics</t>
        </is>
      </c>
      <c r="F278" s="108" t="inlineStr">
        <is>
          <t>Household Appliances</t>
        </is>
      </c>
      <c r="G278" s="108" t="inlineStr">
        <is>
          <t>Standard</t>
        </is>
      </c>
      <c r="H278" s="109" t="n">
        <v>45552</v>
      </c>
      <c r="I278" s="110" t="n">
        <v>31014</v>
      </c>
      <c r="J278" s="108" t="inlineStr">
        <is>
          <t>gross (stated)</t>
        </is>
      </c>
      <c r="K278" s="129" t="n"/>
      <c r="L278" s="111" t="n">
        <v>54.8</v>
      </c>
      <c r="M278" s="111" t="n">
        <v>54.8</v>
      </c>
      <c r="N278" s="108" t="inlineStr">
        <is>
          <t>Y</t>
        </is>
      </c>
      <c r="O278" s="112" t="n">
        <v>100</v>
      </c>
      <c r="P278" s="118" t="n"/>
      <c r="Q278" s="113" t="n">
        <v>389233.8</v>
      </c>
      <c r="R278" s="108" t="inlineStr">
        <is>
          <t>prospectus:stated market capitalisation</t>
        </is>
      </c>
      <c r="S278" s="114" t="n">
        <v>9</v>
      </c>
      <c r="T278" s="138" t="n">
        <v>8.06</v>
      </c>
      <c r="U278" s="116" t="n">
        <v>31.63</v>
      </c>
      <c r="V278" s="117" t="n">
        <v>236</v>
      </c>
      <c r="W278" s="112" t="n">
        <v>5</v>
      </c>
      <c r="X278" s="108" t="inlineStr">
        <is>
          <t>NO</t>
        </is>
      </c>
      <c r="Y278" s="113" t="n">
        <v>21204.27</v>
      </c>
      <c r="Z278" s="113" t="n">
        <v>386943639</v>
      </c>
      <c r="AA278" s="112" t="n">
        <v>5.45</v>
      </c>
      <c r="AB278" s="108" t="inlineStr">
        <is>
          <t>COSCO SHIPPING Holdings (Hong Kong) Limited; UBS Asset Management (Singapore) Ltd; China Structural Reform Fund II Corporation Limited*; Golden Link Worldwide Limited; Splendor Achieve Limited; Supercluster Universe Limited; HCEP Master Fund; Foresight Global Superior Choice SPC — Global Superior Choice Series Fund 1 SP and Foresight Global Superior Choice SPC — Vision Fund 1 SP; CPE Investment XVI Limited; Dajia Life Insurance Co., Ltd; Metazone Link (HK) Limited; Enreal Asset Management Limited; Vanguard Focus Limited; PSBC Wealth Management Co., Ltd; Jump Trading Pacific Pte. Ltd; MY Asian Opportunities Master Fund, L.P; Athos Capital Limited; Pamalican Fund Ltd</t>
        </is>
      </c>
      <c r="AC278" s="108" t="inlineStr">
        <is>
          <t>cosco;ubs;structural;golden-link;splendor;supercluster;hcep;foresight;cpe;dajia;metazone;enreal;vanguard;psbc;jump;my;athos;pamalican</t>
        </is>
      </c>
      <c r="AD278" s="112" t="n">
        <v>15</v>
      </c>
      <c r="AE278" s="108" t="inlineStr">
        <is>
          <t>full</t>
        </is>
      </c>
      <c r="AF278" s="108" t="inlineStr">
        <is>
          <t>2024-10-12</t>
        </is>
      </c>
      <c r="AG278" s="108" t="inlineStr">
        <is>
          <t>China International Capital Corporation Hong Kong Securities Limited</t>
        </is>
      </c>
      <c r="AH278" s="108" t="inlineStr">
        <is>
          <t>China International</t>
        </is>
      </c>
      <c r="AI278" s="120" t="n">
        <v>5.84</v>
      </c>
      <c r="AJ278" s="121" t="n">
        <v>7.85</v>
      </c>
      <c r="AK278" s="121" t="n">
        <v>1.34</v>
      </c>
      <c r="AL278" s="121" t="n">
        <v>8.029999999999999</v>
      </c>
      <c r="AM278" s="121" t="n">
        <v>-0.17</v>
      </c>
      <c r="AN278" s="123" t="n">
        <v>2.3</v>
      </c>
      <c r="AO278" s="112" t="n">
        <v>3.38</v>
      </c>
      <c r="AP278" s="121" t="n">
        <v>29.01</v>
      </c>
      <c r="AQ278" s="121" t="n">
        <v>36.68</v>
      </c>
      <c r="AR278" s="121" t="n">
        <v>38.96</v>
      </c>
      <c r="AS278" s="121" t="n">
        <v>19.62</v>
      </c>
      <c r="AT278" s="121" t="n">
        <v>26.73</v>
      </c>
      <c r="AU278" s="121" t="n">
        <v>28.85</v>
      </c>
      <c r="AV278" s="121" t="n">
        <v>16.42</v>
      </c>
      <c r="AW278" s="121" t="n">
        <v>7.95</v>
      </c>
      <c r="AX278" s="121" t="n">
        <v>11.57</v>
      </c>
      <c r="AY278" s="121" t="n">
        <v>-0.3</v>
      </c>
      <c r="AZ278" s="121" t="n">
        <v>28.73</v>
      </c>
      <c r="BA278" s="121" t="n">
        <v>27.03</v>
      </c>
      <c r="BB278" s="108" t="inlineStr">
        <is>
          <t>HSTECH (Hang Seng TECH ETF)</t>
        </is>
      </c>
      <c r="BC278" s="121" t="n">
        <v>66.33</v>
      </c>
      <c r="BD278" s="109" t="n">
        <v>46297</v>
      </c>
      <c r="BE278" s="110" t="n">
        <v>411080.8</v>
      </c>
      <c r="BF278" s="113" t="n">
        <v>37121.6</v>
      </c>
      <c r="BG278" s="108" t="inlineStr">
        <is>
          <t>Y</t>
        </is>
      </c>
      <c r="BH278" s="123" t="n">
        <v>10.5</v>
      </c>
      <c r="BI278" s="122" t="n"/>
      <c r="BJ278" s="122" t="n"/>
      <c r="BK278" s="123" t="n">
        <v>0.9</v>
      </c>
      <c r="BL278" s="124">
        <f>IF('BBG Verify'!S278="","not filed; run on terminal",'BBG Verify'!S278)</f>
        <v/>
      </c>
      <c r="BM278" s="125" t="inlineStr">
        <is>
          <t>Y</t>
        </is>
      </c>
      <c r="BN278" s="108" t="inlineStr">
        <is>
          <t>000333.SZ</t>
        </is>
      </c>
      <c r="BO278" s="121" t="n">
        <v>27.39</v>
      </c>
      <c r="BP278" s="111" t="n">
        <v>69.807</v>
      </c>
      <c r="BQ278" s="135" t="n">
        <v>0.0284</v>
      </c>
      <c r="BR278" s="113" t="n">
        <v>715485</v>
      </c>
      <c r="BS278" s="124">
        <f>IF('BBG Verify'!Q278="","run on terminal",'BBG Verify'!Q278)</f>
        <v/>
      </c>
      <c r="BT278" s="124">
        <f>IF('BBG Verify'!R278="","run on terminal",'BBG Verify'!R278)</f>
        <v/>
      </c>
      <c r="BU278" s="125" t="inlineStr">
        <is>
          <t>CICC; BofA Securities</t>
        </is>
      </c>
      <c r="BV278" s="108" t="inlineStr">
        <is>
          <t>China International Capital Corporation Hong Kong Securities Limited; Merrill Lynch (Asia Pacific) Limited</t>
        </is>
      </c>
      <c r="BW278" s="108" t="inlineStr">
        <is>
          <t>BNP Paribas Securities (Asia) Limited; China International Capital Corporation Hong Kong Securities Limited; CLSA Limited; CMB International Capital Limited; Futu Securities International (Hong Kong) Limited; GF Securities (Hong Kong) Brokerage Limited; Goldman Sachs (Asia) L.L.C.; Huatai Financial Holdings (Hong Kong) Limited; Merrill Lynch (Asia Pacific) Limited; UBS AG Hong Kong Branch</t>
        </is>
      </c>
      <c r="BX278" s="108" t="inlineStr">
        <is>
          <t>BNP Paribas Securities (Asia) Limited; China International Capital Corporation Hong Kong Securities Limited; CLSA Limited; CMB International Capital Limited; Futu Securities International (Hong Kong) Limited; GF Securities (Hong Kong) Brokerage Limited; Goldman Sachs (Asia) L.L.C.; Huatai Financial Holdings (Hong Kong) Limited; Merrill Lynch (Asia Pacific) Limited; UBS AG Hong Kong Branch</t>
        </is>
      </c>
      <c r="BY278" s="127">
        <f>HYPERLINK("https://www1.hkexnews.hk/listedco/listconews/sehk/2024/0909/2024090900012.htm","prospectus")</f>
        <v/>
      </c>
      <c r="BZ278" s="127">
        <f>HYPERLINK("https://www1.hkexnews.hk/listedco/listconews/sehk/2024/0916/2024091600951.pdf","allotment")</f>
        <v/>
      </c>
      <c r="CA278" s="127">
        <f>HYPERLINK("https://www1.hkexnews.hk/listedco/listconews/sehk/2024/1014/2024101400682.pdf","stabilisation")</f>
        <v/>
      </c>
      <c r="CB278" s="128" t="n"/>
      <c r="CC278" s="108" t="inlineStr">
        <is>
          <t>price range: fixed-price offering (no indicative range); range low: maximum offer price only, no floor published; A/H: Sep 2024, ~US$4.0bn+greenshoe; the deal that opened the A-to-H wave; H priced at a double-digit discount to A; public sub: HKEX table 9x kept; AAStocks 超額倍數 5.3x on its own basis</t>
        </is>
      </c>
    </row>
    <row r="279" ht="22" customHeight="1">
      <c r="A279" s="107" t="inlineStr">
        <is>
          <t>2549</t>
        </is>
      </c>
      <c r="B279" s="108" t="inlineStr">
        <is>
          <t>CAROTE LTD</t>
        </is>
      </c>
      <c r="C279" s="108" t="inlineStr">
        <is>
          <t>卡羅特</t>
        </is>
      </c>
      <c r="D279" s="108" t="inlineStr">
        <is>
          <t>Consumer</t>
        </is>
      </c>
      <c r="E279" s="108" t="inlineStr">
        <is>
          <t>Retail / distribution</t>
        </is>
      </c>
      <c r="F279" s="108" t="inlineStr">
        <is>
          <t>Housewares &amp; Specialties</t>
        </is>
      </c>
      <c r="G279" s="108" t="inlineStr">
        <is>
          <t>Standard</t>
        </is>
      </c>
      <c r="H279" s="109" t="n">
        <v>45567</v>
      </c>
      <c r="I279" s="110" t="n">
        <v>750.6</v>
      </c>
      <c r="J279" s="108" t="inlineStr">
        <is>
          <t>gross (price x shares)</t>
        </is>
      </c>
      <c r="K279" s="129" t="n"/>
      <c r="L279" s="111" t="n">
        <v>5.78</v>
      </c>
      <c r="M279" s="111" t="n">
        <v>5.78</v>
      </c>
      <c r="N279" s="108" t="inlineStr">
        <is>
          <t>Y</t>
        </is>
      </c>
      <c r="O279" s="112" t="n">
        <v>100</v>
      </c>
      <c r="P279" s="118" t="n"/>
      <c r="Q279" s="113" t="n">
        <v>2789.3</v>
      </c>
      <c r="R279" s="108" t="inlineStr">
        <is>
          <t>derived:deal size / offer % of enlarged capital</t>
        </is>
      </c>
      <c r="S279" s="114" t="n">
        <v>1347.27</v>
      </c>
      <c r="T279" s="115" t="n">
        <v>7.91</v>
      </c>
      <c r="U279" s="116" t="n">
        <v>41.72</v>
      </c>
      <c r="V279" s="117" t="n">
        <v>162</v>
      </c>
      <c r="W279" s="112" t="n">
        <v>50</v>
      </c>
      <c r="X279" s="108" t="inlineStr">
        <is>
          <t>YES</t>
        </is>
      </c>
      <c r="Y279" s="113" t="n">
        <v>437.45</v>
      </c>
      <c r="Z279" s="113" t="n">
        <v>75685031</v>
      </c>
      <c r="AA279" s="112" t="n">
        <v>15.68</v>
      </c>
      <c r="AB279" s="108" t="inlineStr">
        <is>
          <t>MPC VII Pte. Ltd; YSC Go (BVI) Limited</t>
        </is>
      </c>
      <c r="AC279" s="108" t="inlineStr">
        <is>
          <t>mpc;ysc</t>
        </is>
      </c>
      <c r="AD279" s="112" t="n">
        <v>15</v>
      </c>
      <c r="AE279" s="108" t="inlineStr">
        <is>
          <t>full</t>
        </is>
      </c>
      <c r="AF279" s="108" t="inlineStr">
        <is>
          <t>2024-10-26</t>
        </is>
      </c>
      <c r="AG279" s="108" t="inlineStr">
        <is>
          <t>CMB International Global Markets Limited</t>
        </is>
      </c>
      <c r="AH279" s="108" t="inlineStr">
        <is>
          <t>CMB</t>
        </is>
      </c>
      <c r="AI279" s="120" t="n">
        <v>77.51000000000001</v>
      </c>
      <c r="AJ279" s="121" t="n">
        <v>58.3</v>
      </c>
      <c r="AK279" s="121" t="n">
        <v>6.85</v>
      </c>
      <c r="AL279" s="121" t="n">
        <v>64.36</v>
      </c>
      <c r="AM279" s="121" t="n">
        <v>-3.69</v>
      </c>
      <c r="AN279" s="123" t="n">
        <v>1.72</v>
      </c>
      <c r="AO279" s="112" t="n">
        <v>44.21</v>
      </c>
      <c r="AP279" s="121" t="n">
        <v>17.65</v>
      </c>
      <c r="AQ279" s="121" t="n">
        <v>-11.07</v>
      </c>
      <c r="AR279" s="121" t="n">
        <v>-14.01</v>
      </c>
      <c r="AS279" s="121" t="n">
        <v>-25.68</v>
      </c>
      <c r="AT279" s="121" t="n">
        <v>-43.82</v>
      </c>
      <c r="AU279" s="121" t="n">
        <v>-45.68</v>
      </c>
      <c r="AV279" s="121" t="n">
        <v>19.24</v>
      </c>
      <c r="AW279" s="121" t="n">
        <v>-7.4</v>
      </c>
      <c r="AX279" s="121" t="n">
        <v>-6.67</v>
      </c>
      <c r="AY279" s="121" t="n">
        <v>-33.98</v>
      </c>
      <c r="AZ279" s="121" t="n">
        <v>-3.67</v>
      </c>
      <c r="BA279" s="121" t="n">
        <v>-9.84</v>
      </c>
      <c r="BB279" s="108" t="inlineStr">
        <is>
          <t>Hang Seng Commerce &amp; Industry sub-index</t>
        </is>
      </c>
      <c r="BC279" s="121" t="n">
        <v>-34.43</v>
      </c>
      <c r="BD279" s="109" t="n">
        <v>46297</v>
      </c>
      <c r="BE279" s="110" t="n">
        <v>1741.4</v>
      </c>
      <c r="BF279" s="131" t="n"/>
      <c r="BG279" s="108" t="inlineStr">
        <is>
          <t>Y</t>
        </is>
      </c>
      <c r="BH279" s="124">
        <f>IF('BBG Verify'!O279="","not filed; run on terminal",'BBG Verify'!O279)</f>
        <v/>
      </c>
      <c r="BI279" s="122" t="n"/>
      <c r="BJ279" s="123" t="n">
        <v>6.8</v>
      </c>
      <c r="BK279" s="123" t="n">
        <v>1.6</v>
      </c>
      <c r="BL279" s="124">
        <f>IF('BBG Verify'!S279="","not filed; run on terminal",'BBG Verify'!S279)</f>
        <v/>
      </c>
      <c r="BM279" s="125" t="inlineStr">
        <is>
          <t>N</t>
        </is>
      </c>
      <c r="BN279" s="126">
        <f>IF('BBG Verify'!K279="","not filed; run on terminal",'BBG Verify'!K279)</f>
        <v/>
      </c>
      <c r="BO279" s="108" t="inlineStr">
        <is>
          <t>N/A</t>
        </is>
      </c>
      <c r="BP279" s="108" t="inlineStr">
        <is>
          <t>N/A</t>
        </is>
      </c>
      <c r="BQ279" s="108" t="inlineStr">
        <is>
          <t>N/A</t>
        </is>
      </c>
      <c r="BR279" s="108" t="inlineStr">
        <is>
          <t>N/A</t>
        </is>
      </c>
      <c r="BS279" s="108" t="inlineStr">
        <is>
          <t>N/A</t>
        </is>
      </c>
      <c r="BT279" s="108" t="inlineStr">
        <is>
          <t>N/A</t>
        </is>
      </c>
      <c r="BU279" s="125" t="inlineStr">
        <is>
          <t>BNP Paribas Securities (Asia) Limited; CMB International Capital Limited</t>
        </is>
      </c>
      <c r="BV279" s="108" t="inlineStr">
        <is>
          <t>CMB International Capital Limited; BNP Paribas Securities (Asia) Limited</t>
        </is>
      </c>
      <c r="BW279" s="108" t="inlineStr">
        <is>
          <t>CMB International Capital Limited; BNP Paribas Securities (Asia) Limited</t>
        </is>
      </c>
      <c r="BX279" s="108" t="inlineStr">
        <is>
          <t>BNP Paribas Securities (Asia) Limited; CMB International Capital Limited; Futu Securities International (Hong Kong) Limited; Livermore Holdings Limited; Tiger Brokers (HK) Global Limited; TradeGo Markets Limited</t>
        </is>
      </c>
      <c r="BY279" s="127">
        <f>HYPERLINK("https://www1.hkexnews.hk/listedco/listconews/sehk/2024/0923/2024092300003.pdf","prospectus")</f>
        <v/>
      </c>
      <c r="BZ279" s="127">
        <f>HYPERLINK("https://www1.hkexnews.hk/listedco/listconews/sehk/2024/0930/2024093002464.pdf","allotment")</f>
        <v/>
      </c>
      <c r="CA279" s="127">
        <f>HYPERLINK("https://www1.hkexnews.hk/listedco/listconews/sehk/2024/1028/2024102801048.pdf","stabilisation")</f>
        <v/>
      </c>
      <c r="CB279" s="128" t="n"/>
      <c r="CC279" s="108" t="inlineStr">
        <is>
          <t>P/E: withheld: 9,298x fails the 300x plausibility cap; extracted net income HK$0.3m suspect; range low: maximum offer price only, no floor published; financials: not extractable; pre-IPO year outside the AAStocks window</t>
        </is>
      </c>
    </row>
    <row r="280" ht="22" customHeight="1">
      <c r="A280" s="107" t="inlineStr">
        <is>
          <t>2576</t>
        </is>
      </c>
      <c r="B280" s="108" t="inlineStr">
        <is>
          <t>TAIMEI TECH</t>
        </is>
      </c>
      <c r="C280" s="108" t="inlineStr">
        <is>
          <t>太美醫療科技</t>
        </is>
      </c>
      <c r="D280" s="108" t="inlineStr">
        <is>
          <t>Tech/AI</t>
        </is>
      </c>
      <c r="E280" s="108" t="inlineStr">
        <is>
          <t>SaaS / enterprise software</t>
        </is>
      </c>
      <c r="F280" s="108" t="inlineStr">
        <is>
          <t>Systems Software</t>
        </is>
      </c>
      <c r="G280" s="108" t="inlineStr">
        <is>
          <t>Standard</t>
        </is>
      </c>
      <c r="H280" s="109" t="n">
        <v>45573</v>
      </c>
      <c r="I280" s="110" t="n">
        <v>335.1</v>
      </c>
      <c r="J280" s="108" t="inlineStr">
        <is>
          <t>gross (stated)</t>
        </is>
      </c>
      <c r="K280" s="129" t="n"/>
      <c r="L280" s="111" t="n">
        <v>13</v>
      </c>
      <c r="M280" s="111" t="n">
        <v>13</v>
      </c>
      <c r="N280" s="108" t="inlineStr">
        <is>
          <t>Y</t>
        </is>
      </c>
      <c r="O280" s="112" t="n">
        <v>100</v>
      </c>
      <c r="P280" s="118" t="n"/>
      <c r="Q280" s="113" t="n">
        <v>6419.5</v>
      </c>
      <c r="R280" s="108" t="inlineStr">
        <is>
          <t>derived:deal size / offer % of enlarged capital</t>
        </is>
      </c>
      <c r="S280" s="114" t="n">
        <v>156.33</v>
      </c>
      <c r="T280" s="115" t="n">
        <v>2.58</v>
      </c>
      <c r="U280" s="116" t="n">
        <v>0</v>
      </c>
      <c r="V280" s="117" t="n">
        <v>150</v>
      </c>
      <c r="W280" s="112" t="n">
        <v>50</v>
      </c>
      <c r="X280" s="108" t="inlineStr">
        <is>
          <t>YES</t>
        </is>
      </c>
      <c r="Y280" s="113" t="n">
        <v>335.1</v>
      </c>
      <c r="Z280" s="113" t="n">
        <v>25779000</v>
      </c>
      <c r="AA280" s="112" t="n">
        <v>5.22</v>
      </c>
      <c r="AB280" s="108" t="inlineStr">
        <is>
          <t>none — no cornerstone tranche</t>
        </is>
      </c>
      <c r="AC280" s="108" t="inlineStr">
        <is>
          <t>none</t>
        </is>
      </c>
      <c r="AD280" s="112" t="n">
        <v>5.22</v>
      </c>
      <c r="AE280" s="108" t="inlineStr">
        <is>
          <t>lapsed</t>
        </is>
      </c>
      <c r="AF280" s="108" t="inlineStr">
        <is>
          <t>2024-11-02</t>
        </is>
      </c>
      <c r="AG280" s="108" t="inlineStr">
        <is>
          <t>Morgan Stanley Asia Limited</t>
        </is>
      </c>
      <c r="AH280" s="108" t="inlineStr">
        <is>
          <t>Morgan Stanley</t>
        </is>
      </c>
      <c r="AI280" s="120" t="n">
        <v>-10.62</v>
      </c>
      <c r="AJ280" s="121" t="n">
        <v>-29.23</v>
      </c>
      <c r="AK280" s="121" t="n">
        <v>-13.11</v>
      </c>
      <c r="AL280" s="121" t="n">
        <v>-13.54</v>
      </c>
      <c r="AM280" s="121" t="n">
        <v>-18.15</v>
      </c>
      <c r="AN280" s="123" t="n">
        <v>1.27</v>
      </c>
      <c r="AO280" s="112" t="n">
        <v>22.06</v>
      </c>
      <c r="AP280" s="121" t="n">
        <v>-54.85</v>
      </c>
      <c r="AQ280" s="121" t="n">
        <v>-54.62</v>
      </c>
      <c r="AR280" s="121" t="n">
        <v>-70.23</v>
      </c>
      <c r="AS280" s="121" t="n">
        <v>-36.2</v>
      </c>
      <c r="AT280" s="121" t="n">
        <v>-35.88</v>
      </c>
      <c r="AU280" s="121" t="n">
        <v>-57.93</v>
      </c>
      <c r="AV280" s="121" t="n">
        <v>-36.24</v>
      </c>
      <c r="AW280" s="121" t="n">
        <v>-41.17</v>
      </c>
      <c r="AX280" s="121" t="n">
        <v>-49.7</v>
      </c>
      <c r="AY280" s="121" t="n">
        <v>-35.49</v>
      </c>
      <c r="AZ280" s="121" t="n">
        <v>-13.45</v>
      </c>
      <c r="BA280" s="121" t="n">
        <v>-0.39</v>
      </c>
      <c r="BB280" s="108" t="inlineStr">
        <is>
          <t>HSTECH (Hang Seng TECH ETF)</t>
        </is>
      </c>
      <c r="BC280" s="121" t="n">
        <v>-63.46</v>
      </c>
      <c r="BD280" s="109" t="n">
        <v>46297</v>
      </c>
      <c r="BE280" s="110" t="n">
        <v>630.5</v>
      </c>
      <c r="BF280" s="113" t="n">
        <v>-464.8</v>
      </c>
      <c r="BG280" s="108" t="inlineStr">
        <is>
          <t>N</t>
        </is>
      </c>
      <c r="BH280" s="108" t="inlineStr">
        <is>
          <t>n/m</t>
        </is>
      </c>
      <c r="BI280" s="122" t="n"/>
      <c r="BJ280" s="122" t="n"/>
      <c r="BK280" s="123" t="n">
        <v>10.2</v>
      </c>
      <c r="BL280" s="124">
        <f>IF('BBG Verify'!S280="","not filed; run on terminal",'BBG Verify'!S280)</f>
        <v/>
      </c>
      <c r="BM280" s="125" t="inlineStr">
        <is>
          <t>N</t>
        </is>
      </c>
      <c r="BN280" s="126">
        <f>IF('BBG Verify'!K280="","not filed; run on terminal",'BBG Verify'!K280)</f>
        <v/>
      </c>
      <c r="BO280" s="108" t="inlineStr">
        <is>
          <t>N/A</t>
        </is>
      </c>
      <c r="BP280" s="108" t="inlineStr">
        <is>
          <t>N/A</t>
        </is>
      </c>
      <c r="BQ280" s="108" t="inlineStr">
        <is>
          <t>N/A</t>
        </is>
      </c>
      <c r="BR280" s="108" t="inlineStr">
        <is>
          <t>N/A</t>
        </is>
      </c>
      <c r="BS280" s="108" t="inlineStr">
        <is>
          <t>N/A</t>
        </is>
      </c>
      <c r="BT280" s="108" t="inlineStr">
        <is>
          <t>N/A</t>
        </is>
      </c>
      <c r="BU280" s="125" t="inlineStr">
        <is>
          <t>China International Capital Corporation Hong Kong Securities Limited; Morgan Stanley Asia Limited</t>
        </is>
      </c>
      <c r="BV280" s="108" t="inlineStr">
        <is>
          <t>China International Capital Corporation Hong Kong Securities Limited; Morgan Stanley Asia Limited</t>
        </is>
      </c>
      <c r="BW280" s="108" t="inlineStr">
        <is>
          <t>Morgan Stanley Asia Limited; China International Capital Corporation Hong Kong Securities Limited; Huatai Financial Holdings (Hong Kong) Limited; CMB International Capital Limited; Futu Securities International (Hong Kong) Limited; Tiger Brokers (HK) Global Limited; Valuable Capital Limited</t>
        </is>
      </c>
      <c r="BX280" s="108" t="inlineStr">
        <is>
          <t>CCB International Capital Limited; China International Capital Corporation Hong Kong Securities Limited; CMB International Capital Limited; Futu Securities International (Hong Kong) Limited; Huatai Financial Holdings (Hong Kong) Limited; Morgan Stanley Asia Limited; Tiger Brokers (HK) Global Limited; Valuable Capital Limited</t>
        </is>
      </c>
      <c r="BY280" s="127">
        <f>HYPERLINK("https://www1.hkexnews.hk/listedco/listconews/sehk/2024/0927/2024092700025.pdf","prospectus")</f>
        <v/>
      </c>
      <c r="BZ280" s="127">
        <f>HYPERLINK("https://www1.hkexnews.hk/listedco/listconews/sehk/2024/1007/2024100701772.pdf","allotment")</f>
        <v/>
      </c>
      <c r="CA280" s="127">
        <f>HYPERLINK("https://www1.hkexnews.hk/listedco/listconews/sehk/2024/1103/2024110300003.pdf","stabilisation")</f>
        <v/>
      </c>
      <c r="CB280" s="128" t="n"/>
      <c r="CC280" s="108" t="inlineStr">
        <is>
          <t>P/E: loss-making at IPO, use P/S; range low: maximum offer price only, no floor published; sponsor: English name not in the filing; AAStocks 保薦人 shown; cornerstone list: no cornerstone tranche</t>
        </is>
      </c>
    </row>
    <row r="281" ht="22" customHeight="1">
      <c r="A281" s="107" t="inlineStr">
        <is>
          <t>9639</t>
        </is>
      </c>
      <c r="B281" s="108" t="inlineStr">
        <is>
          <t>WING LEE DEV</t>
        </is>
      </c>
      <c r="C281" s="108" t="inlineStr">
        <is>
          <t>榮利營造</t>
        </is>
      </c>
      <c r="D281" s="108" t="inlineStr">
        <is>
          <t>Industrials</t>
        </is>
      </c>
      <c r="E281" s="108" t="inlineStr">
        <is>
          <t>Construction / engineering</t>
        </is>
      </c>
      <c r="F281" s="108" t="inlineStr">
        <is>
          <t>Construction &amp; Engineering</t>
        </is>
      </c>
      <c r="G281" s="108" t="inlineStr">
        <is>
          <t>Standard</t>
        </is>
      </c>
      <c r="H281" s="109" t="n">
        <v>45574</v>
      </c>
      <c r="I281" s="110" t="n">
        <v>182.5</v>
      </c>
      <c r="J281" s="108" t="inlineStr">
        <is>
          <t>gross (stated)</t>
        </is>
      </c>
      <c r="K281" s="111" t="n">
        <v>0.57</v>
      </c>
      <c r="L281" s="111" t="n">
        <v>0.73</v>
      </c>
      <c r="M281" s="111" t="n">
        <v>0.73</v>
      </c>
      <c r="N281" s="108" t="inlineStr">
        <is>
          <t>Y</t>
        </is>
      </c>
      <c r="O281" s="112" t="n">
        <v>100</v>
      </c>
      <c r="P281" s="112" t="n">
        <v>100</v>
      </c>
      <c r="Q281" s="113" t="n">
        <v>730</v>
      </c>
      <c r="R281" s="108" t="inlineStr">
        <is>
          <t>derived:deal size / offer % of enlarged capital</t>
        </is>
      </c>
      <c r="S281" s="114" t="n">
        <v>120.6</v>
      </c>
      <c r="T281" s="115" t="n">
        <v>1.14</v>
      </c>
      <c r="U281" s="116" t="n">
        <v>19.18</v>
      </c>
      <c r="V281" s="117" t="n">
        <v>102</v>
      </c>
      <c r="W281" s="112" t="n">
        <v>50</v>
      </c>
      <c r="X281" s="108" t="inlineStr">
        <is>
          <t>YES</t>
        </is>
      </c>
      <c r="Y281" s="113" t="n">
        <v>147.5</v>
      </c>
      <c r="Z281" s="131" t="n"/>
      <c r="AA281" s="112" t="n">
        <v>20.2</v>
      </c>
      <c r="AB281" s="108" t="inlineStr">
        <is>
          <t>Sany Hongkong Group Limited 三一 香港集團有限公司; Accel Group Holdings Limited 高 陞集團控股有限公司; The Triplex Holdings Limited 三鋒控股管 理有限公司</t>
        </is>
      </c>
      <c r="AC281" s="108" t="inlineStr">
        <is>
          <t>sany;accel;triplex</t>
        </is>
      </c>
      <c r="AD281" s="112" t="n">
        <v>15</v>
      </c>
      <c r="AE281" s="119" t="n"/>
      <c r="AF281" s="119" t="n"/>
      <c r="AG281" s="119" t="n"/>
      <c r="AH281" s="119" t="n"/>
      <c r="AI281" s="120" t="n">
        <v>-21.92</v>
      </c>
      <c r="AJ281" s="121" t="n">
        <v>-15.07</v>
      </c>
      <c r="AK281" s="121" t="n">
        <v>-1.22</v>
      </c>
      <c r="AL281" s="121" t="n">
        <v>-31.51</v>
      </c>
      <c r="AM281" s="121" t="n">
        <v>24</v>
      </c>
      <c r="AN281" s="123" t="n">
        <v>1.44</v>
      </c>
      <c r="AO281" s="112" t="n">
        <v>36</v>
      </c>
      <c r="AP281" s="121" t="n">
        <v>-39.73</v>
      </c>
      <c r="AQ281" s="121" t="n">
        <v>-36.99</v>
      </c>
      <c r="AR281" s="121" t="n">
        <v>-44.52</v>
      </c>
      <c r="AS281" s="121" t="n">
        <v>-29.04</v>
      </c>
      <c r="AT281" s="121" t="n">
        <v>-25.81</v>
      </c>
      <c r="AU281" s="121" t="n">
        <v>-34.68</v>
      </c>
      <c r="AV281" s="121" t="n">
        <v>-34.14</v>
      </c>
      <c r="AW281" s="121" t="n">
        <v>-34.57</v>
      </c>
      <c r="AX281" s="121" t="n">
        <v>-33.26</v>
      </c>
      <c r="AY281" s="121" t="n">
        <v>-24.6</v>
      </c>
      <c r="AZ281" s="121" t="n">
        <v>-2.42</v>
      </c>
      <c r="BA281" s="121" t="n">
        <v>-1.21</v>
      </c>
      <c r="BB281" s="108" t="inlineStr">
        <is>
          <t>Hang Seng Commerce &amp; Industry sub-index</t>
        </is>
      </c>
      <c r="BC281" s="121" t="n">
        <v>23.97</v>
      </c>
      <c r="BD281" s="109" t="n">
        <v>46297</v>
      </c>
      <c r="BE281" s="110" t="n">
        <v>526.1</v>
      </c>
      <c r="BF281" s="113" t="n">
        <v>76.90000000000001</v>
      </c>
      <c r="BG281" s="108" t="inlineStr">
        <is>
          <t>Y</t>
        </is>
      </c>
      <c r="BH281" s="123" t="n">
        <v>9.5</v>
      </c>
      <c r="BI281" s="122" t="n"/>
      <c r="BJ281" s="123" t="n">
        <v>57.2</v>
      </c>
      <c r="BK281" s="123" t="n">
        <v>1.4</v>
      </c>
      <c r="BL281" s="124">
        <f>IF('BBG Verify'!S281="","not filed; run on terminal",'BBG Verify'!S281)</f>
        <v/>
      </c>
      <c r="BM281" s="125" t="inlineStr">
        <is>
          <t>N</t>
        </is>
      </c>
      <c r="BN281" s="126">
        <f>IF('BBG Verify'!K281="","not filed; run on terminal",'BBG Verify'!K281)</f>
        <v/>
      </c>
      <c r="BO281" s="108" t="inlineStr">
        <is>
          <t>N/A</t>
        </is>
      </c>
      <c r="BP281" s="108" t="inlineStr">
        <is>
          <t>N/A</t>
        </is>
      </c>
      <c r="BQ281" s="108" t="inlineStr">
        <is>
          <t>N/A</t>
        </is>
      </c>
      <c r="BR281" s="108" t="inlineStr">
        <is>
          <t>N/A</t>
        </is>
      </c>
      <c r="BS281" s="108" t="inlineStr">
        <is>
          <t>N/A</t>
        </is>
      </c>
      <c r="BT281" s="108" t="inlineStr">
        <is>
          <t>N/A</t>
        </is>
      </c>
      <c r="BU281" s="125" t="inlineStr">
        <is>
          <t>Alliance Capital Partners Limited</t>
        </is>
      </c>
      <c r="BV281" s="108" t="inlineStr">
        <is>
          <t>Alliance Capital Partners Limited</t>
        </is>
      </c>
      <c r="BW281" s="108" t="inlineStr">
        <is>
          <t>Alliance Capital Partners Limited; China Galaxy International Securities (Hong Kong) Co., Limited; CMBC Securities Company Limited; ABCI Capital Limited; China Industrial Securities International Capital Limited</t>
        </is>
      </c>
      <c r="BX281" s="108" t="inlineStr">
        <is>
          <t>ABCI Securities Company Limited; Alliance Capital Partners Limited; China Galaxy International Securities (Hong Kong) Company Limited; Cinda International Capital Limited; China Industrial Securities International Capital Limited; CMBC Securities Company Limited; Futu Securities International (Hong Kong) Limited; Gaoyu Securities Limited; Haitong International Securities Company Limited; Livermore Holdings Limited; Phillip Securities (Hong Kong) Limited; ZMF Asset Management Limited</t>
        </is>
      </c>
      <c r="BY281" s="127">
        <f>HYPERLINK("https://www1.hkexnews.hk/listedco/listconews/sehk/2024/0927/2024092700039.pdf","prospectus")</f>
        <v/>
      </c>
      <c r="BZ281" s="127">
        <f>HYPERLINK("https://www1.hkexnews.hk/listedco/listconews/sehk/2024/1008/2024100801016.pdf","allotment")</f>
        <v/>
      </c>
      <c r="CA281" s="119" t="n"/>
      <c r="CB281" s="128" t="n"/>
      <c r="CC281" s="108" t="inlineStr">
        <is>
          <t>greenshoe: end-of-stabilisation notice not found; market cap: prospectus 'market capitalisation' line is the listing-rule threshold, not the issuer's figure; rejected; stabilising manager: not named in the allotment notice or prospectus glossary; eff float shares: share count unavailable; the HK$m figure is exact</t>
        </is>
      </c>
    </row>
    <row r="282" ht="22" customHeight="1">
      <c r="A282" s="107" t="inlineStr">
        <is>
          <t>2567</t>
        </is>
      </c>
      <c r="B282" s="108" t="inlineStr">
        <is>
          <t>QINIU</t>
        </is>
      </c>
      <c r="C282" s="108" t="inlineStr">
        <is>
          <t>七牛智能</t>
        </is>
      </c>
      <c r="D282" s="108" t="inlineStr">
        <is>
          <t>Tech/AI</t>
        </is>
      </c>
      <c r="E282" s="108" t="inlineStr">
        <is>
          <t>Data center / cloud infra</t>
        </is>
      </c>
      <c r="F282" s="108" t="inlineStr">
        <is>
          <t>Systems Software</t>
        </is>
      </c>
      <c r="G282" s="108" t="inlineStr">
        <is>
          <t>Standard</t>
        </is>
      </c>
      <c r="H282" s="109" t="n">
        <v>45581</v>
      </c>
      <c r="I282" s="110" t="n">
        <v>439.3</v>
      </c>
      <c r="J282" s="108" t="inlineStr">
        <is>
          <t>gross (stated)</t>
        </is>
      </c>
      <c r="K282" s="111" t="n">
        <v>2.74</v>
      </c>
      <c r="L282" s="111" t="n">
        <v>2.86</v>
      </c>
      <c r="M282" s="111" t="n">
        <v>2.75</v>
      </c>
      <c r="N282" s="108" t="inlineStr">
        <is>
          <t>N</t>
        </is>
      </c>
      <c r="O282" s="112" t="n">
        <v>96.2</v>
      </c>
      <c r="P282" s="112" t="n">
        <v>8.300000000000001</v>
      </c>
      <c r="Q282" s="113" t="n">
        <v>5490.8</v>
      </c>
      <c r="R282" s="108" t="inlineStr">
        <is>
          <t>derived:price x shares upon listing</t>
        </is>
      </c>
      <c r="S282" s="114" t="n">
        <v>19.87</v>
      </c>
      <c r="T282" s="115" t="n">
        <v>1.02</v>
      </c>
      <c r="U282" s="116" t="n">
        <v>40</v>
      </c>
      <c r="V282" s="117" t="n">
        <v>108</v>
      </c>
      <c r="W282" s="112" t="n">
        <v>30</v>
      </c>
      <c r="X282" s="108" t="inlineStr">
        <is>
          <t>YES</t>
        </is>
      </c>
      <c r="Y282" s="113" t="n">
        <v>263.58</v>
      </c>
      <c r="Z282" s="113" t="n">
        <v>95850000</v>
      </c>
      <c r="AA282" s="112" t="n">
        <v>4.8</v>
      </c>
      <c r="AB282" s="108" t="inlineStr">
        <is>
          <t>Woseon Limited Partnership</t>
        </is>
      </c>
      <c r="AC282" s="108" t="inlineStr">
        <is>
          <t>woseon</t>
        </is>
      </c>
      <c r="AD282" s="112" t="n">
        <v>9.1</v>
      </c>
      <c r="AE282" s="108" t="inlineStr">
        <is>
          <t>lapsed (no over-allocation)</t>
        </is>
      </c>
      <c r="AF282" s="119" t="n"/>
      <c r="AG282" s="108" t="inlineStr">
        <is>
          <t>Shenwan Hongyuan Securities</t>
        </is>
      </c>
      <c r="AH282" s="108" t="inlineStr">
        <is>
          <t>Shenwan Hongyuan</t>
        </is>
      </c>
      <c r="AI282" s="120" t="n">
        <v>-33.09</v>
      </c>
      <c r="AJ282" s="121" t="n">
        <v>-56.73</v>
      </c>
      <c r="AK282" s="121" t="n">
        <v>-1.1</v>
      </c>
      <c r="AL282" s="121" t="n">
        <v>-41.82</v>
      </c>
      <c r="AM282" s="121" t="n">
        <v>-25.63</v>
      </c>
      <c r="AN282" s="123" t="n">
        <v>2.53</v>
      </c>
      <c r="AO282" s="112" t="n">
        <v>33.75</v>
      </c>
      <c r="AP282" s="121" t="n">
        <v>-56.73</v>
      </c>
      <c r="AQ282" s="121" t="n">
        <v>-62.55</v>
      </c>
      <c r="AR282" s="121" t="n">
        <v>-75.27</v>
      </c>
      <c r="AS282" s="121" t="n">
        <v>0</v>
      </c>
      <c r="AT282" s="121" t="n">
        <v>-13.45</v>
      </c>
      <c r="AU282" s="121" t="n">
        <v>-42.85</v>
      </c>
      <c r="AV282" s="121" t="n">
        <v>-60.39</v>
      </c>
      <c r="AW282" s="121" t="n">
        <v>-59.44</v>
      </c>
      <c r="AX282" s="121" t="n">
        <v>-74.34999999999999</v>
      </c>
      <c r="AY282" s="121" t="n">
        <v>-11.41</v>
      </c>
      <c r="AZ282" s="121" t="n">
        <v>-3.11</v>
      </c>
      <c r="BA282" s="121" t="n">
        <v>-2.04</v>
      </c>
      <c r="BB282" s="108" t="inlineStr">
        <is>
          <t>HSTECH (Hang Seng TECH ETF)</t>
        </is>
      </c>
      <c r="BC282" s="121" t="n">
        <v>-86.91</v>
      </c>
      <c r="BD282" s="109" t="n">
        <v>46297</v>
      </c>
      <c r="BE282" s="110" t="n">
        <v>1467.4</v>
      </c>
      <c r="BF282" s="113" t="n">
        <v>-356.5</v>
      </c>
      <c r="BG282" s="108" t="inlineStr">
        <is>
          <t>N</t>
        </is>
      </c>
      <c r="BH282" s="108" t="inlineStr">
        <is>
          <t>n/m</t>
        </is>
      </c>
      <c r="BI282" s="122" t="n"/>
      <c r="BJ282" s="122" t="n"/>
      <c r="BK282" s="123" t="n">
        <v>3.7</v>
      </c>
      <c r="BL282" s="124">
        <f>IF('BBG Verify'!S282="","not filed; run on terminal",'BBG Verify'!S282)</f>
        <v/>
      </c>
      <c r="BM282" s="125" t="inlineStr">
        <is>
          <t>N</t>
        </is>
      </c>
      <c r="BN282" s="126">
        <f>IF('BBG Verify'!K282="","not filed; run on terminal",'BBG Verify'!K282)</f>
        <v/>
      </c>
      <c r="BO282" s="108" t="inlineStr">
        <is>
          <t>N/A</t>
        </is>
      </c>
      <c r="BP282" s="108" t="inlineStr">
        <is>
          <t>N/A</t>
        </is>
      </c>
      <c r="BQ282" s="108" t="inlineStr">
        <is>
          <t>N/A</t>
        </is>
      </c>
      <c r="BR282" s="108" t="inlineStr">
        <is>
          <t>N/A</t>
        </is>
      </c>
      <c r="BS282" s="108" t="inlineStr">
        <is>
          <t>N/A</t>
        </is>
      </c>
      <c r="BT282" s="108" t="inlineStr">
        <is>
          <t>N/A</t>
        </is>
      </c>
      <c r="BU282" s="125" t="inlineStr">
        <is>
          <t>Shenwan Hongyuan Capital (H.K.) Limited; BOCOM International (Asia) Limited</t>
        </is>
      </c>
      <c r="BV282" s="108" t="inlineStr">
        <is>
          <t>Shenwan Hongyuan Capital (H.K.) Limited</t>
        </is>
      </c>
      <c r="BW282" s="108" t="inlineStr">
        <is>
          <t>Shenwan Hongyuan Securities (H.K.) Limited; BOCOM International Securities Limited; Huatai Financial Holdings (Hong Kong) Limited; GF Securities (Hong Kong) Brokerage Limited; CMB International Capital Limited; ABCI Capital Limited; Zheshang International Financial Holdings Co., Limited; China Merchants Securities (HK) Co., Limited; CMBC Securities Company Limited</t>
        </is>
      </c>
      <c r="BX282" s="108" t="inlineStr">
        <is>
          <t>ABCI Securities Company Limited; BOCOM International Securities Limited; CMBC Securities Company Limited; CMB International Capital Limited; China Merchants Securities (HK) Company Limited; Futu Securities International (Hong Kong) Limited; GF Securities (Hong Kong) Brokerage Limited; Huatai Financial Holdings (Hong Kong) Limited; Livermore Holdings Limited; SDICS International Securities (Hong Kong) Limited; Shenwan Hongyuan Securities (H.K.) Limited; Tiger Brokers (HK) Global Limited</t>
        </is>
      </c>
      <c r="BY282" s="127">
        <f>HYPERLINK("https://www1.hkexnews.hk/listedco/listconews/sehk/2024/0930/2024093000011.pdf","prospectus")</f>
        <v/>
      </c>
      <c r="BZ282" s="127">
        <f>HYPERLINK("https://www1.hkexnews.hk/listedco/listconews/sehk/2024/1015/2024101500998.pdf","allotment")</f>
        <v/>
      </c>
      <c r="CA282" s="127">
        <f>HYPERLINK("https://www1.hkexnews.hk/listedco/listconews/sehk/2024/1111/2024111100811.pdf","stabilisation")</f>
        <v/>
      </c>
      <c r="CB282" s="128" t="n"/>
      <c r="CC282" s="108" t="inlineStr">
        <is>
          <t>P/E: loss-making at IPO, use P/S; greenshoe: outcome published; expiry date not in the notice</t>
        </is>
      </c>
    </row>
    <row r="283" ht="22" customHeight="1">
      <c r="A283" s="107" t="inlineStr">
        <is>
          <t>2460</t>
        </is>
      </c>
      <c r="B283" s="108" t="inlineStr">
        <is>
          <t>CR BEVERAGE</t>
        </is>
      </c>
      <c r="C283" s="108" t="inlineStr">
        <is>
          <t>華潤飲料</t>
        </is>
      </c>
      <c r="D283" s="108" t="inlineStr">
        <is>
          <t>Consumer</t>
        </is>
      </c>
      <c r="E283" s="108" t="inlineStr">
        <is>
          <t>Beverages / packaged food</t>
        </is>
      </c>
      <c r="F283" s="108" t="inlineStr">
        <is>
          <t>Beverages (Non-alcoholic)</t>
        </is>
      </c>
      <c r="G283" s="108" t="inlineStr">
        <is>
          <t>Standard</t>
        </is>
      </c>
      <c r="H283" s="109" t="n">
        <v>45588</v>
      </c>
      <c r="I283" s="110" t="n">
        <v>5043.5</v>
      </c>
      <c r="J283" s="108" t="inlineStr">
        <is>
          <t>gross (price x shares)</t>
        </is>
      </c>
      <c r="K283" s="111" t="n">
        <v>13.5</v>
      </c>
      <c r="L283" s="111" t="n">
        <v>14.5</v>
      </c>
      <c r="M283" s="111" t="n">
        <v>14.5</v>
      </c>
      <c r="N283" s="108" t="inlineStr">
        <is>
          <t>Y</t>
        </is>
      </c>
      <c r="O283" s="112" t="n">
        <v>100</v>
      </c>
      <c r="P283" s="112" t="n">
        <v>100</v>
      </c>
      <c r="Q283" s="113" t="n">
        <v>34077.7</v>
      </c>
      <c r="R283" s="108" t="inlineStr">
        <is>
          <t>derived:deal size / offer % of enlarged capital</t>
        </is>
      </c>
      <c r="S283" s="114" t="n">
        <v>234.49</v>
      </c>
      <c r="T283" s="115" t="n">
        <v>24.47</v>
      </c>
      <c r="U283" s="116" t="n">
        <v>47.72</v>
      </c>
      <c r="V283" s="117" t="n">
        <v>129</v>
      </c>
      <c r="W283" s="112" t="n">
        <v>40</v>
      </c>
      <c r="X283" s="108" t="inlineStr">
        <is>
          <t>YES</t>
        </is>
      </c>
      <c r="Y283" s="113" t="n">
        <v>2636.74</v>
      </c>
      <c r="Z283" s="113" t="n">
        <v>181843537</v>
      </c>
      <c r="AA283" s="112" t="n">
        <v>7.74</v>
      </c>
      <c r="AB283" s="108" t="inlineStr">
        <is>
          <t>UBS Asset Management (Singapore) Ltd; China Travel Service (Holdings) Hong Kong Limited; Wildlife Willow Limited; China Post Life Insurance Company Limited; Athos Capital Limited; Ghisallo Master Fund LP; Pamalican Fund Ltd</t>
        </is>
      </c>
      <c r="AC283" s="108" t="inlineStr">
        <is>
          <t>ubs;travel;wildlife;post;athos;ghisallo;pamalican</t>
        </is>
      </c>
      <c r="AD283" s="112" t="n">
        <v>15</v>
      </c>
      <c r="AE283" s="108" t="inlineStr">
        <is>
          <t>partial</t>
        </is>
      </c>
      <c r="AF283" s="108" t="inlineStr">
        <is>
          <t>2024-11-17</t>
        </is>
      </c>
      <c r="AG283" s="108" t="inlineStr">
        <is>
          <t>UBS AG Hong Kong Branch</t>
        </is>
      </c>
      <c r="AH283" s="108" t="inlineStr">
        <is>
          <t>UBS</t>
        </is>
      </c>
      <c r="AI283" s="120" t="n">
        <v>10.34</v>
      </c>
      <c r="AJ283" s="121" t="n">
        <v>15.03</v>
      </c>
      <c r="AK283" s="121" t="n">
        <v>1.7</v>
      </c>
      <c r="AL283" s="121" t="n">
        <v>13.52</v>
      </c>
      <c r="AM283" s="121" t="n">
        <v>1.33</v>
      </c>
      <c r="AN283" s="123" t="n">
        <v>1.15</v>
      </c>
      <c r="AO283" s="112" t="n">
        <v>6.44</v>
      </c>
      <c r="AP283" s="121" t="n">
        <v>6.62</v>
      </c>
      <c r="AQ283" s="121" t="n">
        <v>-15.03</v>
      </c>
      <c r="AR283" s="121" t="n">
        <v>-18.07</v>
      </c>
      <c r="AS283" s="121" t="n">
        <v>-7.31</v>
      </c>
      <c r="AT283" s="121" t="n">
        <v>-26.13</v>
      </c>
      <c r="AU283" s="121" t="n">
        <v>-28.78</v>
      </c>
      <c r="AV283" s="121" t="n">
        <v>7.43</v>
      </c>
      <c r="AW283" s="121" t="n">
        <v>-9.75</v>
      </c>
      <c r="AX283" s="121" t="n">
        <v>-12.42</v>
      </c>
      <c r="AY283" s="121" t="n">
        <v>-19.27</v>
      </c>
      <c r="AZ283" s="121" t="n">
        <v>-5.28</v>
      </c>
      <c r="BA283" s="121" t="n">
        <v>-6.86</v>
      </c>
      <c r="BB283" s="108" t="inlineStr">
        <is>
          <t>Hang Seng Commerce &amp; Industry sub-index</t>
        </is>
      </c>
      <c r="BC283" s="121" t="n">
        <v>-49.45</v>
      </c>
      <c r="BD283" s="109" t="n">
        <v>46297</v>
      </c>
      <c r="BE283" s="110" t="n">
        <v>14866.2</v>
      </c>
      <c r="BF283" s="113" t="n">
        <v>1464.5</v>
      </c>
      <c r="BG283" s="108" t="inlineStr">
        <is>
          <t>Y</t>
        </is>
      </c>
      <c r="BH283" s="123" t="n">
        <v>23.3</v>
      </c>
      <c r="BI283" s="123" t="n">
        <v>23.2</v>
      </c>
      <c r="BJ283" s="123" t="n">
        <v>16</v>
      </c>
      <c r="BK283" s="123" t="n">
        <v>2.3</v>
      </c>
      <c r="BL283" s="124">
        <f>IF('BBG Verify'!S283="","not filed; run on terminal",'BBG Verify'!S283)</f>
        <v/>
      </c>
      <c r="BM283" s="125" t="inlineStr">
        <is>
          <t>N</t>
        </is>
      </c>
      <c r="BN283" s="126">
        <f>IF('BBG Verify'!K283="","not filed; run on terminal",'BBG Verify'!K283)</f>
        <v/>
      </c>
      <c r="BO283" s="108" t="inlineStr">
        <is>
          <t>N/A</t>
        </is>
      </c>
      <c r="BP283" s="108" t="inlineStr">
        <is>
          <t>N/A</t>
        </is>
      </c>
      <c r="BQ283" s="108" t="inlineStr">
        <is>
          <t>N/A</t>
        </is>
      </c>
      <c r="BR283" s="108" t="inlineStr">
        <is>
          <t>N/A</t>
        </is>
      </c>
      <c r="BS283" s="108" t="inlineStr">
        <is>
          <t>N/A</t>
        </is>
      </c>
      <c r="BT283" s="108" t="inlineStr">
        <is>
          <t>N/A</t>
        </is>
      </c>
      <c r="BU283" s="125" t="inlineStr">
        <is>
          <t>UBS Securities Hong Kong Limited; BOCI Asia Limited; CITIC Securities (Hong Kong) Limited; Merrill Lynch (Asia Pacific) Limited</t>
        </is>
      </c>
      <c r="BV283" s="108" t="inlineStr">
        <is>
          <t>UBS Securities Hong Kong Limited; Merrill Lynch (Asia Pacific) Limited; CITIC Securities (Hong Kong) Limited; BOCI Asia Limited</t>
        </is>
      </c>
      <c r="BW283" s="108" t="inlineStr">
        <is>
          <t>UBS AG Hong Kong Branch; BOCI Asia Limited; CLSA Limited; Merrill Lynch (Asia Pacific) Limited; China International Capital Corporation Hong Kong Securities Limited; CMB International Capital Limited; The Hongkong and Shanghai Banking Corporation Limited; ABCI Capital Limited; CCB International Capital Limited</t>
        </is>
      </c>
      <c r="BX283" s="108" t="inlineStr">
        <is>
          <t>ABCI Securities Company Limited; BOCI Asia Limited; CCB International Capital Limited; China International Capital Corporation Hong Kong Securities Limited; CLSA Limited; CMB International Capital Limited; Huatai Financial Holdings (Hong Kong) Limited; The Hongkong and Shanghai Banking Corporation Limited; Merrill Lynch (Asia Pacific) Limited; UBS AG Hong Kong Branch</t>
        </is>
      </c>
      <c r="BY283" s="127">
        <f>HYPERLINK("https://www1.hkexnews.hk/listedco/listconews/sehk/2024/1015/2024101500009.pdf","prospectus")</f>
        <v/>
      </c>
      <c r="BZ283" s="127">
        <f>HYPERLINK("https://www1.hkexnews.hk/listedco/listconews/sehk/2024/1022/2024102201053.pdf","allotment")</f>
        <v/>
      </c>
      <c r="CA283" s="127">
        <f>HYPERLINK("https://www1.hkexnews.hk/listedco/listconews/sehk/2024/1118/2024111801006.pdf","stabilisation")</f>
        <v/>
      </c>
      <c r="CB283" s="128" t="n"/>
      <c r="CC283" s="108" t="inlineStr"/>
    </row>
    <row r="284" ht="22" customHeight="1">
      <c r="A284" s="107" t="inlineStr">
        <is>
          <t>9660</t>
        </is>
      </c>
      <c r="B284" s="108" t="inlineStr">
        <is>
          <t>HORIZONROBOT-W</t>
        </is>
      </c>
      <c r="C284" s="108" t="inlineStr">
        <is>
          <t>地平線機器人－Ｗ</t>
        </is>
      </c>
      <c r="D284" s="108" t="inlineStr">
        <is>
          <t>Tech/AI</t>
        </is>
      </c>
      <c r="E284" s="108" t="inlineStr">
        <is>
          <t>Compute / AI semiconductors</t>
        </is>
      </c>
      <c r="F284" s="108" t="inlineStr">
        <is>
          <t>Application Software</t>
        </is>
      </c>
      <c r="G284" s="108" t="inlineStr">
        <is>
          <t>WVR</t>
        </is>
      </c>
      <c r="H284" s="109" t="n">
        <v>45589</v>
      </c>
      <c r="I284" s="110" t="n">
        <v>5407</v>
      </c>
      <c r="J284" s="108" t="inlineStr">
        <is>
          <t>gross (stated)</t>
        </is>
      </c>
      <c r="K284" s="129" t="n"/>
      <c r="L284" s="111" t="n">
        <v>3.99</v>
      </c>
      <c r="M284" s="111" t="n">
        <v>3.99</v>
      </c>
      <c r="N284" s="108" t="inlineStr">
        <is>
          <t>Y</t>
        </is>
      </c>
      <c r="O284" s="112" t="n">
        <v>100</v>
      </c>
      <c r="P284" s="118" t="n"/>
      <c r="Q284" s="113" t="n">
        <v>51989.2</v>
      </c>
      <c r="R284" s="108" t="inlineStr">
        <is>
          <t>derived:price x shares upon listing</t>
        </is>
      </c>
      <c r="S284" s="114" t="n">
        <v>33.83</v>
      </c>
      <c r="T284" s="115" t="n">
        <v>13.81</v>
      </c>
      <c r="U284" s="116" t="n">
        <v>31.56</v>
      </c>
      <c r="V284" s="117" t="n">
        <v>163</v>
      </c>
      <c r="W284" s="112" t="n">
        <v>15</v>
      </c>
      <c r="X284" s="108" t="inlineStr">
        <is>
          <t>YES</t>
        </is>
      </c>
      <c r="Y284" s="113" t="n">
        <v>3700.55</v>
      </c>
      <c r="Z284" s="113" t="n">
        <v>927434957</v>
      </c>
      <c r="AA284" s="112" t="n">
        <v>7.12</v>
      </c>
      <c r="AB284" s="108" t="inlineStr">
        <is>
          <t>Alisoft China Holding Limited; Baidu (Hong Kong) Limited; PARTICIPATIONS 1; JSC International Investment Fund SPC (acting for and on behalf of Ning Bo Yong Ning Gao Xin SP)</t>
        </is>
      </c>
      <c r="AC284" s="108" t="inlineStr">
        <is>
          <t>alisoft;baidu;participations;jsc</t>
        </is>
      </c>
      <c r="AD284" s="112" t="n">
        <v>15</v>
      </c>
      <c r="AE284" s="108" t="inlineStr">
        <is>
          <t>partial</t>
        </is>
      </c>
      <c r="AF284" s="119" t="n"/>
      <c r="AG284" s="108" t="inlineStr">
        <is>
          <t>Goldman Sachs</t>
        </is>
      </c>
      <c r="AH284" s="108" t="inlineStr">
        <is>
          <t>Goldman Sachs</t>
        </is>
      </c>
      <c r="AI284" s="120" t="n">
        <v>25.81</v>
      </c>
      <c r="AJ284" s="121" t="n">
        <v>2.76</v>
      </c>
      <c r="AK284" s="121" t="n">
        <v>-2.74</v>
      </c>
      <c r="AL284" s="121" t="n">
        <v>28.32</v>
      </c>
      <c r="AM284" s="121" t="n">
        <v>-19.92</v>
      </c>
      <c r="AN284" s="123" t="n">
        <v>2.43</v>
      </c>
      <c r="AO284" s="112" t="n">
        <v>27.34</v>
      </c>
      <c r="AP284" s="121" t="n">
        <v>19.55</v>
      </c>
      <c r="AQ284" s="121" t="n">
        <v>-4.76</v>
      </c>
      <c r="AR284" s="121" t="n">
        <v>10.03</v>
      </c>
      <c r="AS284" s="121" t="n">
        <v>16.34</v>
      </c>
      <c r="AT284" s="121" t="n">
        <v>-7.32</v>
      </c>
      <c r="AU284" s="121" t="n">
        <v>7.07</v>
      </c>
      <c r="AV284" s="121" t="n">
        <v>22.2</v>
      </c>
      <c r="AW284" s="121" t="n">
        <v>3.41</v>
      </c>
      <c r="AX284" s="121" t="n">
        <v>9.32</v>
      </c>
      <c r="AY284" s="121" t="n">
        <v>-1.74</v>
      </c>
      <c r="AZ284" s="121" t="n">
        <v>-8.17</v>
      </c>
      <c r="BA284" s="121" t="n">
        <v>-5.58</v>
      </c>
      <c r="BB284" s="108" t="inlineStr">
        <is>
          <t>HSTECH (Hang Seng TECH ETF)</t>
        </is>
      </c>
      <c r="BC284" s="121" t="n">
        <v>1.5</v>
      </c>
      <c r="BD284" s="109" t="n">
        <v>46297</v>
      </c>
      <c r="BE284" s="110" t="n">
        <v>1706.8</v>
      </c>
      <c r="BF284" s="113" t="n">
        <v>-7413</v>
      </c>
      <c r="BG284" s="108" t="inlineStr">
        <is>
          <t>N</t>
        </is>
      </c>
      <c r="BH284" s="108" t="inlineStr">
        <is>
          <t>n/m</t>
        </is>
      </c>
      <c r="BI284" s="122" t="n"/>
      <c r="BJ284" s="122" t="n"/>
      <c r="BK284" s="123" t="n">
        <v>30.5</v>
      </c>
      <c r="BL284" s="124">
        <f>IF('BBG Verify'!S284="","not filed; run on terminal",'BBG Verify'!S284)</f>
        <v/>
      </c>
      <c r="BM284" s="125" t="inlineStr">
        <is>
          <t>N</t>
        </is>
      </c>
      <c r="BN284" s="126">
        <f>IF('BBG Verify'!K284="","not filed; run on terminal",'BBG Verify'!K284)</f>
        <v/>
      </c>
      <c r="BO284" s="108" t="inlineStr">
        <is>
          <t>N/A</t>
        </is>
      </c>
      <c r="BP284" s="108" t="inlineStr">
        <is>
          <t>N/A</t>
        </is>
      </c>
      <c r="BQ284" s="108" t="inlineStr">
        <is>
          <t>N/A</t>
        </is>
      </c>
      <c r="BR284" s="108" t="inlineStr">
        <is>
          <t>N/A</t>
        </is>
      </c>
      <c r="BS284" s="108" t="inlineStr">
        <is>
          <t>N/A</t>
        </is>
      </c>
      <c r="BT284" s="108" t="inlineStr">
        <is>
          <t>N/A</t>
        </is>
      </c>
      <c r="BU284" s="125" t="inlineStr">
        <is>
          <t>Goldman Sachs (Asia) L.L.C; Morgan Stanley Asia Limited; China Securities (International) Corporate Finance Company Limited</t>
        </is>
      </c>
      <c r="BV284" s="108" t="inlineStr">
        <is>
          <t>Morgan Stanley Asia Limited; Goldman Sachs (Asia) L.L.C.; China Securities (International) Corporate Finance Company Limited</t>
        </is>
      </c>
      <c r="BW284" s="108" t="inlineStr">
        <is>
          <t>Goldman Sachs (Asia) L.L.C; Morgan Stanley Asia Limited; China Securities (International) Corporate Finance Company Limited; CLSA Limited; Deutsche Bank AG, Hong Kong Branch; The Hongkong and Shanghai Banking Corporation Limited; CMB International Capital Limited; China Galaxy International Securities (Hong Kong) Co., Limited; BOCOM International Securities Limited</t>
        </is>
      </c>
      <c r="BX284" s="108" t="inlineStr">
        <is>
          <t>ABCI Securities Company Limited; BOCI Asia Limited; BOCOM International Securities Limited; CCB International Capital Limited; CEB International Capital Corporation Limited; China Galaxy International Securities (Hong Kong) Company Limited; CLSA Limited; CMB International Capital Limited; China Securities (International) Corporate Finance Company Limited; Celestial Securities Limited; Deutsche Bank AG, Hong Kong Branch; DBS Asia Capital Limited</t>
        </is>
      </c>
      <c r="BY284" s="127">
        <f>HYPERLINK("https://www1.hkexnews.hk/listedco/listconews/sehk/2024/1016/2024101600024.htm","prospectus")</f>
        <v/>
      </c>
      <c r="BZ284" s="127">
        <f>HYPERLINK("https://www1.hkexnews.hk/listedco/listconews/sehk/2024/1023/2024102300943.pdf","allotment")</f>
        <v/>
      </c>
      <c r="CA284" s="127">
        <f>HYPERLINK("https://www1.hkexnews.hk/listedco/listconews/sehk/2024/1120/2024112001092.pdf","stabilisation")</f>
        <v/>
      </c>
      <c r="CB284" s="128" t="n"/>
      <c r="CC284" s="108" t="inlineStr">
        <is>
          <t>P/E: loss-making at IPO, use P/S; greenshoe: outcome published; expiry date not in the notice; price range: fixed-price offering (no indicative range); range low: maximum offer price only, no floor published; A/H: no A-share listing; nearest A proxy Desay SV Automotive (002920.SZ)</t>
        </is>
      </c>
    </row>
    <row r="285" ht="22" customHeight="1">
      <c r="A285" s="107" t="inlineStr">
        <is>
          <t>2465</t>
        </is>
      </c>
      <c r="B285" s="108" t="inlineStr">
        <is>
          <t>LOPAL TECH</t>
        </is>
      </c>
      <c r="C285" s="108" t="inlineStr">
        <is>
          <t>龍蟠科技</t>
        </is>
      </c>
      <c r="D285" s="108" t="inlineStr">
        <is>
          <t>Industrials</t>
        </is>
      </c>
      <c r="E285" s="108" t="inlineStr">
        <is>
          <t>Batteries / energy storage</t>
        </is>
      </c>
      <c r="F285" s="108" t="inlineStr">
        <is>
          <t>Diversified Chemicals</t>
        </is>
      </c>
      <c r="G285" s="108" t="inlineStr">
        <is>
          <t>Standard</t>
        </is>
      </c>
      <c r="H285" s="109" t="n">
        <v>45595</v>
      </c>
      <c r="I285" s="110" t="n">
        <v>550</v>
      </c>
      <c r="J285" s="108" t="inlineStr">
        <is>
          <t>gross (price x shares)</t>
        </is>
      </c>
      <c r="K285" s="111" t="n">
        <v>4.5</v>
      </c>
      <c r="L285" s="111" t="n">
        <v>7</v>
      </c>
      <c r="M285" s="111" t="n">
        <v>5.5</v>
      </c>
      <c r="N285" s="108" t="inlineStr">
        <is>
          <t>N</t>
        </is>
      </c>
      <c r="O285" s="112" t="n">
        <v>78.59999999999999</v>
      </c>
      <c r="P285" s="112" t="n">
        <v>40</v>
      </c>
      <c r="Q285" s="113" t="n">
        <v>3666.7</v>
      </c>
      <c r="R285" s="108" t="inlineStr">
        <is>
          <t>derived:deal size / offer % of enlarged capital</t>
        </is>
      </c>
      <c r="S285" s="114" t="n">
        <v>3.99</v>
      </c>
      <c r="T285" s="115" t="n">
        <v>3.23</v>
      </c>
      <c r="U285" s="116" t="n">
        <v>20</v>
      </c>
      <c r="V285" s="117" t="n">
        <v>128</v>
      </c>
      <c r="W285" s="112" t="n">
        <v>10</v>
      </c>
      <c r="X285" s="108" t="inlineStr">
        <is>
          <t>NO</t>
        </is>
      </c>
      <c r="Y285" s="113" t="n">
        <v>440</v>
      </c>
      <c r="Z285" s="113" t="n">
        <v>80000000</v>
      </c>
      <c r="AA285" s="112" t="n">
        <v>12</v>
      </c>
      <c r="AB285" s="108" t="inlineStr">
        <is>
          <t>Harvest Oriental SP</t>
        </is>
      </c>
      <c r="AC285" s="108" t="inlineStr">
        <is>
          <t>harvest</t>
        </is>
      </c>
      <c r="AD285" s="112" t="n">
        <v>15</v>
      </c>
      <c r="AE285" s="108" t="inlineStr">
        <is>
          <t>lapsed</t>
        </is>
      </c>
      <c r="AF285" s="119" t="n"/>
      <c r="AG285" s="108" t="inlineStr">
        <is>
          <t>Guotai Junan Securities</t>
        </is>
      </c>
      <c r="AH285" s="108" t="inlineStr">
        <is>
          <t>Guotai Junan</t>
        </is>
      </c>
      <c r="AI285" s="120" t="n">
        <v>-0.91</v>
      </c>
      <c r="AJ285" s="121" t="n">
        <v>-13.64</v>
      </c>
      <c r="AK285" s="121" t="n">
        <v>-1.78</v>
      </c>
      <c r="AL285" s="121" t="n">
        <v>-7.64</v>
      </c>
      <c r="AM285" s="121" t="n">
        <v>-6.5</v>
      </c>
      <c r="AN285" s="123" t="n">
        <v>4.25</v>
      </c>
      <c r="AO285" s="112" t="n">
        <v>24.8</v>
      </c>
      <c r="AP285" s="121" t="n">
        <v>-17.45</v>
      </c>
      <c r="AQ285" s="121" t="n">
        <v>8.18</v>
      </c>
      <c r="AR285" s="121" t="n">
        <v>-17.45</v>
      </c>
      <c r="AS285" s="121" t="n">
        <v>-4.41</v>
      </c>
      <c r="AT285" s="121" t="n">
        <v>25.27</v>
      </c>
      <c r="AU285" s="121" t="n">
        <v>-4.41</v>
      </c>
      <c r="AV285" s="121" t="n">
        <v>-16.12</v>
      </c>
      <c r="AW285" s="121" t="n">
        <v>15.56</v>
      </c>
      <c r="AX285" s="121" t="n">
        <v>-17.9</v>
      </c>
      <c r="AY285" s="121" t="n">
        <v>30.96</v>
      </c>
      <c r="AZ285" s="121" t="n">
        <v>-7.38</v>
      </c>
      <c r="BA285" s="121" t="n">
        <v>-5.69</v>
      </c>
      <c r="BB285" s="108" t="inlineStr">
        <is>
          <t>Hang Seng Commerce &amp; Industry sub-index</t>
        </is>
      </c>
      <c r="BC285" s="121" t="n">
        <v>64.18000000000001</v>
      </c>
      <c r="BD285" s="109" t="n">
        <v>46297</v>
      </c>
      <c r="BE285" s="110" t="n">
        <v>13466.1</v>
      </c>
      <c r="BF285" s="113" t="n">
        <v>-2013.6</v>
      </c>
      <c r="BG285" s="108" t="inlineStr">
        <is>
          <t>N</t>
        </is>
      </c>
      <c r="BH285" s="108" t="inlineStr">
        <is>
          <t>n/m</t>
        </is>
      </c>
      <c r="BI285" s="122" t="n"/>
      <c r="BJ285" s="123" t="n">
        <v>94.3</v>
      </c>
      <c r="BK285" s="123" t="n">
        <v>0.3</v>
      </c>
      <c r="BL285" s="124">
        <f>IF('BBG Verify'!S285="","not filed; run on terminal",'BBG Verify'!S285)</f>
        <v/>
      </c>
      <c r="BM285" s="125" t="inlineStr">
        <is>
          <t>Y</t>
        </is>
      </c>
      <c r="BN285" s="108" t="inlineStr">
        <is>
          <t>603906.SS</t>
        </is>
      </c>
      <c r="BO285" s="121" t="n">
        <v>103.17</v>
      </c>
      <c r="BP285" s="111" t="n">
        <v>11.1743</v>
      </c>
      <c r="BQ285" s="135" t="n">
        <v>1.4673</v>
      </c>
      <c r="BR285" s="113" t="n">
        <v>17630.7</v>
      </c>
      <c r="BS285" s="124">
        <f>IF('BBG Verify'!Q285="","run on terminal",'BBG Verify'!Q285)</f>
        <v/>
      </c>
      <c r="BT285" s="124">
        <f>IF('BBG Verify'!R285="","run on terminal",'BBG Verify'!R285)</f>
        <v/>
      </c>
      <c r="BU285" s="125" t="inlineStr">
        <is>
          <t>Guotai Junan Capital Limited; Halcyon Capital Limited</t>
        </is>
      </c>
      <c r="BV285" s="108" t="inlineStr">
        <is>
          <t>Guotai Junan Capital Limited; Halcyon Capital Limited</t>
        </is>
      </c>
      <c r="BW285" s="108" t="inlineStr">
        <is>
          <t>ABCI Securities Company Limited</t>
        </is>
      </c>
      <c r="BX285" s="108" t="inlineStr">
        <is>
          <t>ABCI Securities Company Limited; BOCI Asia Limited; CCB International Capital Limited; CMB International Capital Limited; Guotai Junan Securities (Hong Kong) Limited; Halcyon Securities Limited; ICBC International Securities Limited; Livermore Holdings Limited; TradeGo Markets Limited</t>
        </is>
      </c>
      <c r="BY285" s="127">
        <f>HYPERLINK("https://www1.hkexnews.hk/listedco/listconews/sehk/2024/1022/2024102200007.pdf","prospectus")</f>
        <v/>
      </c>
      <c r="BZ285" s="127">
        <f>HYPERLINK("https://www1.hkexnews.hk/listedco/listconews/sehk/2024/1029/2024102901308.pdf","allotment")</f>
        <v/>
      </c>
      <c r="CA285" s="127">
        <f>HYPERLINK("https://www1.hkexnews.hk/listedco/listconews/sehk/2024/1125/2024112500279.pdf","stabilisation")</f>
        <v/>
      </c>
      <c r="CB285" s="128" t="n"/>
      <c r="CC285" s="108" t="inlineStr">
        <is>
          <t>P/E: loss-making at IPO, use P/S; greenshoe: outcome published; expiry date not in the notice; A/H: Oct 2024 H listing (LFP cathode/adblue)</t>
        </is>
      </c>
    </row>
    <row r="286" ht="22" customHeight="1">
      <c r="A286" s="107" t="inlineStr">
        <is>
          <t>2563</t>
        </is>
      </c>
      <c r="B286" s="108" t="inlineStr">
        <is>
          <t>BIOSTAR PHARM-B</t>
        </is>
      </c>
      <c r="C286" s="108" t="inlineStr">
        <is>
          <t>華昊中天醫藥－Ｂ</t>
        </is>
      </c>
      <c r="D286" s="108" t="inlineStr">
        <is>
          <t>Healthcare</t>
        </is>
      </c>
      <c r="E286" s="108" t="inlineStr">
        <is>
          <t>Biotech pre-revenue (18A)</t>
        </is>
      </c>
      <c r="F286" s="108" t="inlineStr">
        <is>
          <t>Biotechnology - Pharmaceuticals</t>
        </is>
      </c>
      <c r="G286" s="108" t="inlineStr">
        <is>
          <t>18A</t>
        </is>
      </c>
      <c r="H286" s="109" t="n">
        <v>45596</v>
      </c>
      <c r="I286" s="110" t="n">
        <v>233.4</v>
      </c>
      <c r="J286" s="108" t="inlineStr">
        <is>
          <t>gross (price x shares)</t>
        </is>
      </c>
      <c r="K286" s="111" t="n">
        <v>16</v>
      </c>
      <c r="L286" s="111" t="n">
        <v>22</v>
      </c>
      <c r="M286" s="111" t="n">
        <v>16</v>
      </c>
      <c r="N286" s="108" t="inlineStr">
        <is>
          <t>N</t>
        </is>
      </c>
      <c r="O286" s="112" t="n">
        <v>72.7</v>
      </c>
      <c r="P286" s="112" t="n">
        <v>0</v>
      </c>
      <c r="Q286" s="113" t="n">
        <v>5833.4</v>
      </c>
      <c r="R286" s="108" t="inlineStr">
        <is>
          <t>derived:price x shares upon listing</t>
        </is>
      </c>
      <c r="S286" s="114" t="n">
        <v>21.45</v>
      </c>
      <c r="T286" s="115" t="n">
        <v>0.994</v>
      </c>
      <c r="U286" s="116" t="n">
        <v>76.15000000000001</v>
      </c>
      <c r="V286" s="117" t="n">
        <v>109</v>
      </c>
      <c r="W286" s="112" t="n">
        <v>12</v>
      </c>
      <c r="X286" s="108" t="inlineStr">
        <is>
          <t>NO</t>
        </is>
      </c>
      <c r="Y286" s="113" t="n">
        <v>55.67</v>
      </c>
      <c r="Z286" s="113" t="n">
        <v>3479238</v>
      </c>
      <c r="AA286" s="112" t="n">
        <v>0.95</v>
      </c>
      <c r="AB286" s="108" t="inlineStr">
        <is>
          <t>Wealth Strategy Holding Limited; NOVOTECH SG HOLDINGS PTE. LTD; Baheal Wellness Industry International Trading Limited; Silkywater Absolute Return LPF</t>
        </is>
      </c>
      <c r="AC286" s="108" t="inlineStr">
        <is>
          <t>wealth;novotech;baheal;silkywater</t>
        </is>
      </c>
      <c r="AD286" s="118" t="n"/>
      <c r="AE286" s="119" t="n"/>
      <c r="AF286" s="119" t="n"/>
      <c r="AG286" s="119" t="n"/>
      <c r="AH286" s="119" t="n"/>
      <c r="AI286" s="120" t="n">
        <v>25</v>
      </c>
      <c r="AJ286" s="121" t="n">
        <v>30</v>
      </c>
      <c r="AK286" s="121" t="n">
        <v>-1.18</v>
      </c>
      <c r="AL286" s="121" t="n">
        <v>34.38</v>
      </c>
      <c r="AM286" s="121" t="n">
        <v>-3.26</v>
      </c>
      <c r="AN286" s="123" t="n">
        <v>1.82</v>
      </c>
      <c r="AO286" s="112" t="n">
        <v>30.09</v>
      </c>
      <c r="AP286" s="121" t="n">
        <v>75</v>
      </c>
      <c r="AQ286" s="121" t="n">
        <v>74.69</v>
      </c>
      <c r="AR286" s="121" t="n">
        <v>-2.88</v>
      </c>
      <c r="AS286" s="121" t="n">
        <v>34.62</v>
      </c>
      <c r="AT286" s="121" t="n">
        <v>34.38</v>
      </c>
      <c r="AU286" s="121" t="n">
        <v>-25.29</v>
      </c>
      <c r="AV286" s="121" t="n">
        <v>70.58</v>
      </c>
      <c r="AW286" s="121" t="n">
        <v>73.83</v>
      </c>
      <c r="AX286" s="121" t="n">
        <v>0.74</v>
      </c>
      <c r="AY286" s="121" t="n">
        <v>32.32</v>
      </c>
      <c r="AZ286" s="121" t="n">
        <v>0.86</v>
      </c>
      <c r="BA286" s="121" t="n">
        <v>2.06</v>
      </c>
      <c r="BB286" s="108" t="inlineStr">
        <is>
          <t>China Biotech ETF (HS biotech proxy)</t>
        </is>
      </c>
      <c r="BC286" s="121" t="n">
        <v>-69.81</v>
      </c>
      <c r="BD286" s="109" t="n">
        <v>46297</v>
      </c>
      <c r="BE286" s="110" t="n">
        <v>73.3</v>
      </c>
      <c r="BF286" s="113" t="n">
        <v>-91.8</v>
      </c>
      <c r="BG286" s="108" t="inlineStr">
        <is>
          <t>N</t>
        </is>
      </c>
      <c r="BH286" s="108" t="inlineStr">
        <is>
          <t>n/m</t>
        </is>
      </c>
      <c r="BI286" s="122" t="n"/>
      <c r="BJ286" s="122" t="n"/>
      <c r="BK286" s="123" t="n">
        <v>79.59999999999999</v>
      </c>
      <c r="BL286" s="124">
        <f>IF('BBG Verify'!S286="","not filed; run on terminal",'BBG Verify'!S286)</f>
        <v/>
      </c>
      <c r="BM286" s="125" t="inlineStr">
        <is>
          <t>N</t>
        </is>
      </c>
      <c r="BN286" s="126">
        <f>IF('BBG Verify'!K286="","not filed; run on terminal",'BBG Verify'!K286)</f>
        <v/>
      </c>
      <c r="BO286" s="108" t="inlineStr">
        <is>
          <t>N/A</t>
        </is>
      </c>
      <c r="BP286" s="108" t="inlineStr">
        <is>
          <t>N/A</t>
        </is>
      </c>
      <c r="BQ286" s="108" t="inlineStr">
        <is>
          <t>N/A</t>
        </is>
      </c>
      <c r="BR286" s="108" t="inlineStr">
        <is>
          <t>N/A</t>
        </is>
      </c>
      <c r="BS286" s="108" t="inlineStr">
        <is>
          <t>N/A</t>
        </is>
      </c>
      <c r="BT286" s="108" t="inlineStr">
        <is>
          <t>N/A</t>
        </is>
      </c>
      <c r="BU286" s="125" t="inlineStr">
        <is>
          <t>CCB International Capital Limited; China Securities (International) Corporate Finance Company Limited</t>
        </is>
      </c>
      <c r="BV286" s="108" t="inlineStr">
        <is>
          <t>CCB International Capital Limited; China Securities (International) Corporate Finance Company Limited</t>
        </is>
      </c>
      <c r="BW286" s="108" t="inlineStr">
        <is>
          <t>CCB International Capital Limited; CGS International Securities Hong Kong Limited; Citrus Securities Limited; CMBC Securities Company Limited; China Securities (International) Corporate Finance Company Limited; Fosun International Securities Limited; First Shanghai Securities Limited; Futu Securities International (Hong Kong) Limited; Guoyuan Securities Brokerage (Hong Kong) Limited; ICBC International Securities Limited; Mouette Securities Company Limited; Orient Securities (Hong Kong) Limited</t>
        </is>
      </c>
      <c r="BX286" s="108" t="inlineStr">
        <is>
          <t>CCB International Capital Limited; CGS International Securities Hong Kong Limited; Citrus Securities Limited; CMBC Securities Company Limited; China Securities (International) Corporate Finance Company Limited; Fosun International Securities Limited; First Shanghai Securities Limited; Futu Securities International (Hong Kong) Limited; Guoyuan Securities Brokerage (Hong Kong) Limited; ICBC International Securities Limited; Mouette Securities Company Limited; Orient Securities (Hong Kong) Limited</t>
        </is>
      </c>
      <c r="BY286" s="127">
        <f>HYPERLINK("https://www1.hkexnews.hk/listedco/listconews/sehk/2024/1023/2024102300015.pdf","prospectus")</f>
        <v/>
      </c>
      <c r="BZ286" s="127">
        <f>HYPERLINK("https://www1.hkexnews.hk/listedco/listconews/sehk/2024/1030/2024103002007.pdf","allotment")</f>
        <v/>
      </c>
      <c r="CA286" s="119" t="n"/>
      <c r="CB286" s="128" t="n"/>
      <c r="CC286" s="108" t="inlineStr">
        <is>
          <t>P/E: loss-making at IPO, use P/S; greenshoe: no over-allotment option; sponsor: English name not in the filing; AAStocks 保薦人 shown; market cap: prospectus 'market capitalisation' line is the listing-rule threshold, not the issuer's figure; rejected; greenshoe size: no over-allotment option; stabilising manager: no over-allotment option, so none appointed</t>
        </is>
      </c>
    </row>
    <row r="287" ht="22" customHeight="1">
      <c r="A287" s="107" t="inlineStr">
        <is>
          <t>2510</t>
        </is>
      </c>
      <c r="B287" s="108" t="inlineStr">
        <is>
          <t>TS LINES</t>
        </is>
      </c>
      <c r="C287" s="108" t="inlineStr">
        <is>
          <t>德翔海運</t>
        </is>
      </c>
      <c r="D287" s="108" t="inlineStr">
        <is>
          <t>Industrials</t>
        </is>
      </c>
      <c r="E287" s="108" t="inlineStr">
        <is>
          <t>Logistics</t>
        </is>
      </c>
      <c r="F287" s="108" t="inlineStr">
        <is>
          <t>Marine</t>
        </is>
      </c>
      <c r="G287" s="108" t="inlineStr">
        <is>
          <t>Standard</t>
        </is>
      </c>
      <c r="H287" s="109" t="n">
        <v>45597</v>
      </c>
      <c r="I287" s="110" t="n">
        <v>1048.9</v>
      </c>
      <c r="J287" s="108" t="inlineStr">
        <is>
          <t>gross (price x shares)</t>
        </is>
      </c>
      <c r="K287" s="111" t="n">
        <v>3.5</v>
      </c>
      <c r="L287" s="111" t="n">
        <v>4.5</v>
      </c>
      <c r="M287" s="111" t="n">
        <v>4.18</v>
      </c>
      <c r="N287" s="108" t="inlineStr">
        <is>
          <t>N</t>
        </is>
      </c>
      <c r="O287" s="112" t="n">
        <v>92.90000000000001</v>
      </c>
      <c r="P287" s="112" t="n">
        <v>68</v>
      </c>
      <c r="Q287" s="113" t="n">
        <v>6900.9</v>
      </c>
      <c r="R287" s="108" t="inlineStr">
        <is>
          <t>derived:price x shares upon listing</t>
        </is>
      </c>
      <c r="S287" s="114" t="n">
        <v>12.09</v>
      </c>
      <c r="T287" s="115" t="n">
        <v>2.22</v>
      </c>
      <c r="U287" s="116" t="n">
        <v>47.32</v>
      </c>
      <c r="V287" s="117" t="n">
        <v>120</v>
      </c>
      <c r="W287" s="112" t="n">
        <v>10</v>
      </c>
      <c r="X287" s="108" t="inlineStr">
        <is>
          <t>NO</t>
        </is>
      </c>
      <c r="Y287" s="113" t="n">
        <v>552.5599999999999</v>
      </c>
      <c r="Z287" s="113" t="n">
        <v>132195192</v>
      </c>
      <c r="AA287" s="112" t="n">
        <v>8.01</v>
      </c>
      <c r="AB287" s="108" t="inlineStr">
        <is>
          <t>Indigo Rainbow Limited; Hung Chi-Li; Worldwide Logistics Holding HK Limited; Metro Shine Group Limited; Wang Yi-Fen; Crane Movement Investment Limited</t>
        </is>
      </c>
      <c r="AC287" s="108" t="inlineStr">
        <is>
          <t>indigo;hung;logistics;metro;wang-yi;crane</t>
        </is>
      </c>
      <c r="AD287" s="112" t="n">
        <v>15</v>
      </c>
      <c r="AE287" s="108" t="inlineStr">
        <is>
          <t>partial</t>
        </is>
      </c>
      <c r="AF287" s="108" t="inlineStr">
        <is>
          <t>2024-11-28</t>
        </is>
      </c>
      <c r="AG287" s="108" t="inlineStr">
        <is>
          <t>J.P. Morgan Securities</t>
        </is>
      </c>
      <c r="AH287" s="108" t="inlineStr">
        <is>
          <t>JP Morgan</t>
        </is>
      </c>
      <c r="AI287" s="120" t="n">
        <v>0.24</v>
      </c>
      <c r="AJ287" s="121" t="n">
        <v>-1.91</v>
      </c>
      <c r="AK287" s="121" t="n">
        <v>1.01</v>
      </c>
      <c r="AL287" s="121" t="n">
        <v>0</v>
      </c>
      <c r="AM287" s="121" t="n">
        <v>-1.91</v>
      </c>
      <c r="AN287" s="123" t="n">
        <v>1.78</v>
      </c>
      <c r="AO287" s="112" t="n">
        <v>8.130000000000001</v>
      </c>
      <c r="AP287" s="121" t="n">
        <v>-0</v>
      </c>
      <c r="AQ287" s="121" t="n">
        <v>7.66</v>
      </c>
      <c r="AR287" s="121" t="n">
        <v>3.35</v>
      </c>
      <c r="AS287" s="121" t="n">
        <v>1.95</v>
      </c>
      <c r="AT287" s="121" t="n">
        <v>9.76</v>
      </c>
      <c r="AU287" s="121" t="n">
        <v>5.36</v>
      </c>
      <c r="AV287" s="121" t="n">
        <v>-1.93</v>
      </c>
      <c r="AW287" s="121" t="n">
        <v>11.61</v>
      </c>
      <c r="AX287" s="121" t="n">
        <v>-0.68</v>
      </c>
      <c r="AY287" s="121" t="n">
        <v>14.67</v>
      </c>
      <c r="AZ287" s="121" t="n">
        <v>-3.95</v>
      </c>
      <c r="BA287" s="121" t="n">
        <v>-4.91</v>
      </c>
      <c r="BB287" s="108" t="inlineStr">
        <is>
          <t>Hang Seng Commerce &amp; Industry sub-index</t>
        </is>
      </c>
      <c r="BC287" s="121" t="n">
        <v>211.24</v>
      </c>
      <c r="BD287" s="109" t="n">
        <v>46297</v>
      </c>
      <c r="BE287" s="110" t="n">
        <v>6821.9</v>
      </c>
      <c r="BF287" s="113" t="n">
        <v>-245.9</v>
      </c>
      <c r="BG287" s="108" t="inlineStr">
        <is>
          <t>N</t>
        </is>
      </c>
      <c r="BH287" s="108" t="inlineStr">
        <is>
          <t>n/m</t>
        </is>
      </c>
      <c r="BI287" s="122" t="n"/>
      <c r="BJ287" s="123" t="n">
        <v>6.7</v>
      </c>
      <c r="BK287" s="123" t="n">
        <v>1</v>
      </c>
      <c r="BL287" s="124">
        <f>IF('BBG Verify'!S287="","not filed; run on terminal",'BBG Verify'!S287)</f>
        <v/>
      </c>
      <c r="BM287" s="125" t="inlineStr">
        <is>
          <t>N</t>
        </is>
      </c>
      <c r="BN287" s="126">
        <f>IF('BBG Verify'!K287="","not filed; run on terminal",'BBG Verify'!K287)</f>
        <v/>
      </c>
      <c r="BO287" s="108" t="inlineStr">
        <is>
          <t>N/A</t>
        </is>
      </c>
      <c r="BP287" s="108" t="inlineStr">
        <is>
          <t>N/A</t>
        </is>
      </c>
      <c r="BQ287" s="108" t="inlineStr">
        <is>
          <t>N/A</t>
        </is>
      </c>
      <c r="BR287" s="108" t="inlineStr">
        <is>
          <t>N/A</t>
        </is>
      </c>
      <c r="BS287" s="108" t="inlineStr">
        <is>
          <t>N/A</t>
        </is>
      </c>
      <c r="BT287" s="108" t="inlineStr">
        <is>
          <t>N/A</t>
        </is>
      </c>
      <c r="BU287" s="125" t="inlineStr">
        <is>
          <t>J.P. Morgan Securities (Far East) Limited; China Merchants Securities (HK) Co., Limited</t>
        </is>
      </c>
      <c r="BV287" s="108" t="inlineStr">
        <is>
          <t>J.P. Morgan Securities (Far East) Limited; China Merchants Securities (HK) Company Limited</t>
        </is>
      </c>
      <c r="BW287" s="108" t="inlineStr">
        <is>
          <t>J.P. Morgan Securities (Asia Pacific) Limited; China Merchants Securities (HK) Co., Limited; Futu Securities International (Hong Kong) Limited; Yuanta Securities (Hong Kong) Company Limited; Livermore Holdings Limited</t>
        </is>
      </c>
      <c r="BX287" s="108" t="inlineStr">
        <is>
          <t>China Merchants Securities (HK) Company Limited; Futu Securities International (Hong Kong) Limited; J.P. Morgan Securities (Asia Pacific) Limited; Livermore Holdings Limited; Yuanta Securities (Hong Kong) Company Limited</t>
        </is>
      </c>
      <c r="BY287" s="127">
        <f>HYPERLINK("https://www1.hkexnews.hk/listedco/listconews/sehk/2024/1024/2024102400036.pdf","prospectus")</f>
        <v/>
      </c>
      <c r="BZ287" s="127">
        <f>HYPERLINK("https://www1.hkexnews.hk/listedco/listconews/sehk/2024/1031/2024103101844.pdf","allotment")</f>
        <v/>
      </c>
      <c r="CA287" s="127">
        <f>HYPERLINK("https://www1.hkexnews.hk/listedco/listconews/sehk/2024/1128/2024112802025.pdf","stabilisation")</f>
        <v/>
      </c>
      <c r="CB287" s="128" t="n"/>
      <c r="CC287" s="108" t="inlineStr">
        <is>
          <t>P/E: loss-making at IPO, use P/S</t>
        </is>
      </c>
    </row>
    <row r="288" ht="22" customHeight="1">
      <c r="A288" s="107" t="inlineStr">
        <is>
          <t>2519</t>
        </is>
      </c>
      <c r="B288" s="108" t="inlineStr">
        <is>
          <t>AUGROUP</t>
        </is>
      </c>
      <c r="C288" s="108" t="inlineStr">
        <is>
          <t>傲基股份</t>
        </is>
      </c>
      <c r="D288" s="108" t="inlineStr">
        <is>
          <t>Consumer</t>
        </is>
      </c>
      <c r="E288" s="108" t="inlineStr">
        <is>
          <t>Retail / distribution</t>
        </is>
      </c>
      <c r="F288" s="108" t="inlineStr">
        <is>
          <t>Home Furnishings</t>
        </is>
      </c>
      <c r="G288" s="108" t="inlineStr">
        <is>
          <t>Standard</t>
        </is>
      </c>
      <c r="H288" s="109" t="n">
        <v>45604</v>
      </c>
      <c r="I288" s="110" t="n">
        <v>466.4</v>
      </c>
      <c r="J288" s="108" t="inlineStr">
        <is>
          <t>gross (price x shares)</t>
        </is>
      </c>
      <c r="K288" s="111" t="n">
        <v>14.56</v>
      </c>
      <c r="L288" s="111" t="n">
        <v>15.6</v>
      </c>
      <c r="M288" s="111" t="n">
        <v>15.6</v>
      </c>
      <c r="N288" s="108" t="inlineStr">
        <is>
          <t>Y</t>
        </is>
      </c>
      <c r="O288" s="112" t="n">
        <v>100</v>
      </c>
      <c r="P288" s="112" t="n">
        <v>100</v>
      </c>
      <c r="Q288" s="113" t="n">
        <v>6477.2</v>
      </c>
      <c r="R288" s="108" t="inlineStr">
        <is>
          <t>aastocks:上市市值 at the struck price</t>
        </is>
      </c>
      <c r="S288" s="114" t="n">
        <v>17.74</v>
      </c>
      <c r="T288" s="115" t="n">
        <v>2.45</v>
      </c>
      <c r="U288" s="116" t="n">
        <v>23.46</v>
      </c>
      <c r="V288" s="117" t="n">
        <v>120</v>
      </c>
      <c r="W288" s="112" t="n">
        <v>30</v>
      </c>
      <c r="X288" s="108" t="inlineStr">
        <is>
          <t>YES</t>
        </is>
      </c>
      <c r="Y288" s="113" t="n">
        <v>356.98</v>
      </c>
      <c r="Z288" s="113" t="n">
        <v>22881403</v>
      </c>
      <c r="AA288" s="112" t="n">
        <v>5.51</v>
      </c>
      <c r="AB288" s="108" t="inlineStr">
        <is>
          <t>Hongkong Valsun Technology Limited; LC Logistics, Inc; Ms. Wong, Ka Wai Vivian</t>
        </is>
      </c>
      <c r="AC288" s="108" t="inlineStr">
        <is>
          <t>hongkong;lc;ms-wong</t>
        </is>
      </c>
      <c r="AD288" s="112" t="n">
        <v>15</v>
      </c>
      <c r="AE288" s="108" t="inlineStr">
        <is>
          <t>lapsed</t>
        </is>
      </c>
      <c r="AF288" s="108" t="inlineStr">
        <is>
          <t>2024-12-05</t>
        </is>
      </c>
      <c r="AG288" s="108" t="inlineStr">
        <is>
          <t>Huatai Financial Holdings</t>
        </is>
      </c>
      <c r="AH288" s="108" t="inlineStr">
        <is>
          <t>Huatai</t>
        </is>
      </c>
      <c r="AI288" s="120" t="n">
        <v>-11.41</v>
      </c>
      <c r="AJ288" s="121" t="n">
        <v>-11.41</v>
      </c>
      <c r="AK288" s="121" t="n">
        <v>-1.31</v>
      </c>
      <c r="AL288" s="121" t="n">
        <v>-11.03</v>
      </c>
      <c r="AM288" s="121" t="n">
        <v>-0.43</v>
      </c>
      <c r="AN288" s="123" t="n">
        <v>1.41</v>
      </c>
      <c r="AO288" s="112" t="n">
        <v>17.72</v>
      </c>
      <c r="AP288" s="121" t="n">
        <v>-22.82</v>
      </c>
      <c r="AQ288" s="121" t="n">
        <v>-19.23</v>
      </c>
      <c r="AR288" s="121" t="n">
        <v>-23.97</v>
      </c>
      <c r="AS288" s="121" t="n">
        <v>-12.88</v>
      </c>
      <c r="AT288" s="121" t="n">
        <v>-8.83</v>
      </c>
      <c r="AU288" s="121" t="n">
        <v>-14.18</v>
      </c>
      <c r="AV288" s="121" t="n">
        <v>-15.16</v>
      </c>
      <c r="AW288" s="121" t="n">
        <v>-16.55</v>
      </c>
      <c r="AX288" s="121" t="n">
        <v>-29.84</v>
      </c>
      <c r="AY288" s="121" t="n">
        <v>-7.44</v>
      </c>
      <c r="AZ288" s="121" t="n">
        <v>-2.68</v>
      </c>
      <c r="BA288" s="121" t="n">
        <v>-1.39</v>
      </c>
      <c r="BB288" s="108" t="inlineStr">
        <is>
          <t>Hang Seng Commerce &amp; Industry sub-index</t>
        </is>
      </c>
      <c r="BC288" s="121" t="n">
        <v>-74.73999999999999</v>
      </c>
      <c r="BD288" s="109" t="n">
        <v>46297</v>
      </c>
      <c r="BE288" s="110" t="n">
        <v>9551.299999999999</v>
      </c>
      <c r="BF288" s="113" t="n">
        <v>572.1</v>
      </c>
      <c r="BG288" s="108" t="inlineStr">
        <is>
          <t>Y</t>
        </is>
      </c>
      <c r="BH288" s="123" t="n">
        <v>11.3</v>
      </c>
      <c r="BI288" s="123" t="n">
        <v>9.300000000000001</v>
      </c>
      <c r="BJ288" s="123" t="n">
        <v>8.300000000000001</v>
      </c>
      <c r="BK288" s="123" t="n">
        <v>0.7</v>
      </c>
      <c r="BL288" s="124">
        <f>IF('BBG Verify'!S288="","not filed; run on terminal",'BBG Verify'!S288)</f>
        <v/>
      </c>
      <c r="BM288" s="125" t="inlineStr">
        <is>
          <t>N</t>
        </is>
      </c>
      <c r="BN288" s="126">
        <f>IF('BBG Verify'!K288="","not filed; run on terminal",'BBG Verify'!K288)</f>
        <v/>
      </c>
      <c r="BO288" s="108" t="inlineStr">
        <is>
          <t>N/A</t>
        </is>
      </c>
      <c r="BP288" s="108" t="inlineStr">
        <is>
          <t>N/A</t>
        </is>
      </c>
      <c r="BQ288" s="108" t="inlineStr">
        <is>
          <t>N/A</t>
        </is>
      </c>
      <c r="BR288" s="108" t="inlineStr">
        <is>
          <t>N/A</t>
        </is>
      </c>
      <c r="BS288" s="108" t="inlineStr">
        <is>
          <t>N/A</t>
        </is>
      </c>
      <c r="BT288" s="108" t="inlineStr">
        <is>
          <t>N/A</t>
        </is>
      </c>
      <c r="BU288" s="125" t="inlineStr">
        <is>
          <t>Huatai Financial Holdings (Hong Kong) Limited</t>
        </is>
      </c>
      <c r="BV288" s="108" t="inlineStr">
        <is>
          <t>Huatai Financial Holdings (Hong Kong) Limited</t>
        </is>
      </c>
      <c r="BW288" s="108" t="inlineStr">
        <is>
          <t>Huatai Financial Holdings (Hong Kong) Limited; CLSA Limited; DBS Asia Capital Limited; Livermore Holdings Limited</t>
        </is>
      </c>
      <c r="BX288" s="108" t="inlineStr">
        <is>
          <t>CLSA Limited; DBS Asia Capital Limited; Huatai Financial Holdings (Hong Kong) Limited; Livermore Holdings Limited</t>
        </is>
      </c>
      <c r="BY288" s="127">
        <f>HYPERLINK("https://www1.hkexnews.hk/listedco/listconews/sehk/2024/1031/2024103100187.pdf","prospectus")</f>
        <v/>
      </c>
      <c r="BZ288" s="127">
        <f>HYPERLINK("https://www1.hkexnews.hk/listedco/listconews/sehk/2024/1107/2024110701104.pdf","allotment")</f>
        <v/>
      </c>
      <c r="CA288" s="127">
        <f>HYPERLINK("https://www1.hkexnews.hk/listedco/listconews/sehk/2024/1205/2024120500586.pdf","stabilisation")</f>
        <v/>
      </c>
      <c r="CB288" s="128" t="n"/>
      <c r="CC288" s="108" t="inlineStr"/>
    </row>
    <row r="289" ht="22" customHeight="1">
      <c r="A289" s="107" t="inlineStr">
        <is>
          <t>2551</t>
        </is>
      </c>
      <c r="B289" s="108" t="inlineStr">
        <is>
          <t>APT ELECTRONICS</t>
        </is>
      </c>
      <c r="C289" s="108" t="inlineStr">
        <is>
          <t>晶科電子股份</t>
        </is>
      </c>
      <c r="D289" s="108" t="inlineStr">
        <is>
          <t>Tech/AI</t>
        </is>
      </c>
      <c r="E289" s="108" t="inlineStr">
        <is>
          <t>Image / display semiconductors</t>
        </is>
      </c>
      <c r="F289" s="108" t="inlineStr">
        <is>
          <t>Liquid Crystal Displays</t>
        </is>
      </c>
      <c r="G289" s="108" t="inlineStr">
        <is>
          <t>Standard</t>
        </is>
      </c>
      <c r="H289" s="109" t="n">
        <v>45604</v>
      </c>
      <c r="I289" s="110" t="n">
        <v>139.5</v>
      </c>
      <c r="J289" s="108" t="inlineStr">
        <is>
          <t>gross (price x shares)</t>
        </is>
      </c>
      <c r="K289" s="129" t="n"/>
      <c r="L289" s="111" t="n">
        <v>3.61</v>
      </c>
      <c r="M289" s="111" t="n">
        <v>3.61</v>
      </c>
      <c r="N289" s="108" t="inlineStr">
        <is>
          <t>Y</t>
        </is>
      </c>
      <c r="O289" s="112" t="n">
        <v>100</v>
      </c>
      <c r="P289" s="118" t="n"/>
      <c r="Q289" s="113" t="n">
        <v>1939.1</v>
      </c>
      <c r="R289" s="108" t="inlineStr">
        <is>
          <t>derived:price x shares upon listing</t>
        </is>
      </c>
      <c r="S289" s="114" t="n">
        <v>5677.83</v>
      </c>
      <c r="T289" s="115" t="n">
        <v>6.95</v>
      </c>
      <c r="U289" s="116" t="n">
        <v>0</v>
      </c>
      <c r="V289" s="117" t="n">
        <v>133</v>
      </c>
      <c r="W289" s="112" t="n">
        <v>50</v>
      </c>
      <c r="X289" s="108" t="inlineStr">
        <is>
          <t>YES</t>
        </is>
      </c>
      <c r="Y289" s="113" t="n">
        <v>139.5</v>
      </c>
      <c r="Z289" s="113" t="n">
        <v>38640000</v>
      </c>
      <c r="AA289" s="112" t="n">
        <v>7.19</v>
      </c>
      <c r="AB289" s="108" t="inlineStr">
        <is>
          <t>none — no cornerstone tranche</t>
        </is>
      </c>
      <c r="AC289" s="108" t="inlineStr">
        <is>
          <t>none</t>
        </is>
      </c>
      <c r="AD289" s="118" t="n"/>
      <c r="AE289" s="119" t="n"/>
      <c r="AF289" s="119" t="n"/>
      <c r="AG289" s="119" t="n"/>
      <c r="AH289" s="119" t="n"/>
      <c r="AI289" s="120" t="n">
        <v>13.02</v>
      </c>
      <c r="AJ289" s="121" t="n">
        <v>47.65</v>
      </c>
      <c r="AK289" s="121" t="n">
        <v>-0.22</v>
      </c>
      <c r="AL289" s="121" t="n">
        <v>16.34</v>
      </c>
      <c r="AM289" s="121" t="n">
        <v>26.91</v>
      </c>
      <c r="AN289" s="123" t="n">
        <v>3.91</v>
      </c>
      <c r="AO289" s="112" t="n">
        <v>32.38</v>
      </c>
      <c r="AP289" s="121" t="n">
        <v>25.21</v>
      </c>
      <c r="AQ289" s="121" t="n">
        <v>-1.94</v>
      </c>
      <c r="AR289" s="121" t="n">
        <v>16.9</v>
      </c>
      <c r="AS289" s="121" t="n">
        <v>-15.2</v>
      </c>
      <c r="AT289" s="121" t="n">
        <v>-33.59</v>
      </c>
      <c r="AU289" s="121" t="n">
        <v>-20.83</v>
      </c>
      <c r="AV289" s="121" t="n">
        <v>32.91</v>
      </c>
      <c r="AW289" s="121" t="n">
        <v>-1.5</v>
      </c>
      <c r="AX289" s="121" t="n">
        <v>5.72</v>
      </c>
      <c r="AY289" s="121" t="n">
        <v>-33.37</v>
      </c>
      <c r="AZ289" s="121" t="n">
        <v>-0.44</v>
      </c>
      <c r="BA289" s="121" t="n">
        <v>-0.22</v>
      </c>
      <c r="BB289" s="108" t="inlineStr">
        <is>
          <t>HSTECH (Hang Seng TECH ETF)</t>
        </is>
      </c>
      <c r="BC289" s="121" t="n">
        <v>-57.62</v>
      </c>
      <c r="BD289" s="109" t="n">
        <v>46297</v>
      </c>
      <c r="BE289" s="110" t="n">
        <v>2043.8</v>
      </c>
      <c r="BF289" s="113" t="n">
        <v>79.2</v>
      </c>
      <c r="BG289" s="108" t="inlineStr">
        <is>
          <t>Y</t>
        </is>
      </c>
      <c r="BH289" s="123" t="n">
        <v>24.5</v>
      </c>
      <c r="BI289" s="123" t="n">
        <v>30.8</v>
      </c>
      <c r="BJ289" s="123" t="n">
        <v>11.1</v>
      </c>
      <c r="BK289" s="123" t="n">
        <v>0.9</v>
      </c>
      <c r="BL289" s="124">
        <f>IF('BBG Verify'!S289="","not filed; run on terminal",'BBG Verify'!S289)</f>
        <v/>
      </c>
      <c r="BM289" s="125" t="inlineStr">
        <is>
          <t>N</t>
        </is>
      </c>
      <c r="BN289" s="126">
        <f>IF('BBG Verify'!K289="","not filed; run on terminal",'BBG Verify'!K289)</f>
        <v/>
      </c>
      <c r="BO289" s="108" t="inlineStr">
        <is>
          <t>N/A</t>
        </is>
      </c>
      <c r="BP289" s="108" t="inlineStr">
        <is>
          <t>N/A</t>
        </is>
      </c>
      <c r="BQ289" s="108" t="inlineStr">
        <is>
          <t>N/A</t>
        </is>
      </c>
      <c r="BR289" s="108" t="inlineStr">
        <is>
          <t>N/A</t>
        </is>
      </c>
      <c r="BS289" s="108" t="inlineStr">
        <is>
          <t>N/A</t>
        </is>
      </c>
      <c r="BT289" s="108" t="inlineStr">
        <is>
          <t>N/A</t>
        </is>
      </c>
      <c r="BU289" s="125" t="inlineStr">
        <is>
          <t>CITIC Securities (Hong Kong) Limited</t>
        </is>
      </c>
      <c r="BV289" s="108" t="inlineStr">
        <is>
          <t>CITIC Securities (Hong Kong) Limited</t>
        </is>
      </c>
      <c r="BW289" s="108" t="inlineStr">
        <is>
          <t>CLSA Limited; GF Securities (Hong Kong) Brokerage Limited; Sinolink Securities (Hong Kong) Company Limited; BOCI Asia Limited; ABCI Capital Limited; ICBC International Securities Limited; China Galaxy International Securities (Hong Kong) Co., Limited; China Sunrise Securities (International) Limited; Patrons Securities Limited; Tiger Brokers (HK) Global Limited</t>
        </is>
      </c>
      <c r="BX289" s="108" t="inlineStr">
        <is>
          <t>ABCI Securities Company Limited; BOCI Asia Limited; China Galaxy International Securities (Hong Kong) Company Limited; CLSA Limited; China Sunrise Securities (International) Limited; Futu Securities International (Hong Kong) Limited; GF Securities (Hong Kong) Brokerage Limited; ICBC International Securities Limited; Patrons Securities Limited; Sinolink Securities (Hong Kong) Company Limited; Tiger Brokers (HK) Global Limited</t>
        </is>
      </c>
      <c r="BY289" s="127">
        <f>HYPERLINK("https://www1.hkexnews.hk/listedco/listconews/sehk/2024/1031/2024103100078.htm","prospectus")</f>
        <v/>
      </c>
      <c r="BZ289" s="127">
        <f>HYPERLINK("https://www1.hkexnews.hk/listedco/listconews/sehk/2024/1107/2024110701242.pdf","allotment")</f>
        <v/>
      </c>
      <c r="CA289" s="119" t="n"/>
      <c r="CB289" s="128" t="n"/>
      <c r="CC289" s="108" t="inlineStr">
        <is>
          <t>greenshoe: no over-allotment option; price range: fixed-price offering (no indicative range); range low: maximum offer price only, no floor published; cornerstone list: no cornerstone tranche; greenshoe size: no over-allotment option; stabilising manager: filing states none appointed (allotment announcement: 'no stabilizing manager will be appointed' stated in the filing)</t>
        </is>
      </c>
    </row>
    <row r="290" ht="22" customHeight="1">
      <c r="A290" s="107" t="inlineStr">
        <is>
          <t>2582</t>
        </is>
      </c>
      <c r="B290" s="108" t="inlineStr">
        <is>
          <t>GUOFUHEE</t>
        </is>
      </c>
      <c r="C290" s="108" t="inlineStr">
        <is>
          <t>國富氫能</t>
        </is>
      </c>
      <c r="D290" s="108" t="inlineStr">
        <is>
          <t>Industrials</t>
        </is>
      </c>
      <c r="E290" s="108" t="inlineStr">
        <is>
          <t>Batteries / energy storage</t>
        </is>
      </c>
      <c r="F290" s="108" t="inlineStr">
        <is>
          <t>Electrical Components &amp; Equipment</t>
        </is>
      </c>
      <c r="G290" s="108" t="inlineStr">
        <is>
          <t>Standard</t>
        </is>
      </c>
      <c r="H290" s="109" t="n">
        <v>45611</v>
      </c>
      <c r="I290" s="110" t="n">
        <v>390</v>
      </c>
      <c r="J290" s="108" t="inlineStr">
        <is>
          <t>gross (price x shares)</t>
        </is>
      </c>
      <c r="K290" s="111" t="n">
        <v>65</v>
      </c>
      <c r="L290" s="111" t="n">
        <v>73</v>
      </c>
      <c r="M290" s="111" t="n">
        <v>65</v>
      </c>
      <c r="N290" s="108" t="inlineStr">
        <is>
          <t>N</t>
        </is>
      </c>
      <c r="O290" s="112" t="n">
        <v>89</v>
      </c>
      <c r="P290" s="112" t="n">
        <v>0</v>
      </c>
      <c r="Q290" s="113" t="n">
        <v>6806.2</v>
      </c>
      <c r="R290" s="108" t="inlineStr">
        <is>
          <t>derived:price x shares upon listing</t>
        </is>
      </c>
      <c r="S290" s="114" t="n">
        <v>21.07</v>
      </c>
      <c r="T290" s="115" t="n">
        <v>0.99</v>
      </c>
      <c r="U290" s="116" t="n">
        <v>80.72</v>
      </c>
      <c r="V290" s="117" t="n">
        <v>164</v>
      </c>
      <c r="W290" s="112" t="n">
        <v>12.09</v>
      </c>
      <c r="X290" s="108" t="inlineStr">
        <is>
          <t>NO</t>
        </is>
      </c>
      <c r="Y290" s="113" t="n">
        <v>75.19</v>
      </c>
      <c r="Z290" s="113" t="n">
        <v>1156800</v>
      </c>
      <c r="AA290" s="112" t="n">
        <v>1.1</v>
      </c>
      <c r="AB290" s="108" t="inlineStr">
        <is>
          <t>Hongkong Frontier Tanzhonghe; Zhixin Qingzhuang</t>
        </is>
      </c>
      <c r="AC290" s="108" t="inlineStr">
        <is>
          <t>hongkong;zhixin</t>
        </is>
      </c>
      <c r="AD290" s="118" t="n"/>
      <c r="AE290" s="119" t="n"/>
      <c r="AF290" s="119" t="n"/>
      <c r="AG290" s="119" t="n"/>
      <c r="AH290" s="119" t="n"/>
      <c r="AI290" s="120" t="n">
        <v>24.15</v>
      </c>
      <c r="AJ290" s="121" t="n">
        <v>20</v>
      </c>
      <c r="AK290" s="121" t="n">
        <v>0.12</v>
      </c>
      <c r="AL290" s="121" t="n">
        <v>26.62</v>
      </c>
      <c r="AM290" s="121" t="n">
        <v>-5.23</v>
      </c>
      <c r="AN290" s="123" t="n">
        <v>1.05</v>
      </c>
      <c r="AO290" s="112" t="n">
        <v>5.95</v>
      </c>
      <c r="AP290" s="121" t="n">
        <v>48.54</v>
      </c>
      <c r="AQ290" s="121" t="n">
        <v>69.84999999999999</v>
      </c>
      <c r="AR290" s="121" t="n">
        <v>132.15</v>
      </c>
      <c r="AS290" s="121" t="n">
        <v>23.78</v>
      </c>
      <c r="AT290" s="121" t="n">
        <v>41.54</v>
      </c>
      <c r="AU290" s="121" t="n">
        <v>93.45999999999999</v>
      </c>
      <c r="AV290" s="121" t="n">
        <v>49.64</v>
      </c>
      <c r="AW290" s="121" t="n">
        <v>68.18000000000001</v>
      </c>
      <c r="AX290" s="121" t="n">
        <v>111.97</v>
      </c>
      <c r="AY290" s="121" t="n">
        <v>39.99</v>
      </c>
      <c r="AZ290" s="121" t="n">
        <v>1.67</v>
      </c>
      <c r="BA290" s="121" t="n">
        <v>1.55</v>
      </c>
      <c r="BB290" s="108" t="inlineStr">
        <is>
          <t>Hang Seng Commerce &amp; Industry sub-index</t>
        </is>
      </c>
      <c r="BC290" s="121" t="n">
        <v>-93.8</v>
      </c>
      <c r="BD290" s="109" t="n">
        <v>46297</v>
      </c>
      <c r="BE290" s="110" t="n">
        <v>574.7</v>
      </c>
      <c r="BF290" s="113" t="n">
        <v>-82.5</v>
      </c>
      <c r="BG290" s="108" t="inlineStr">
        <is>
          <t>N</t>
        </is>
      </c>
      <c r="BH290" s="108" t="inlineStr">
        <is>
          <t>n/m</t>
        </is>
      </c>
      <c r="BI290" s="122" t="n"/>
      <c r="BJ290" s="122" t="n"/>
      <c r="BK290" s="123" t="n">
        <v>11.8</v>
      </c>
      <c r="BL290" s="124">
        <f>IF('BBG Verify'!S290="","not filed; run on terminal",'BBG Verify'!S290)</f>
        <v/>
      </c>
      <c r="BM290" s="125" t="inlineStr">
        <is>
          <t>N</t>
        </is>
      </c>
      <c r="BN290" s="126">
        <f>IF('BBG Verify'!K290="","not filed; run on terminal",'BBG Verify'!K290)</f>
        <v/>
      </c>
      <c r="BO290" s="108" t="inlineStr">
        <is>
          <t>N/A</t>
        </is>
      </c>
      <c r="BP290" s="108" t="inlineStr">
        <is>
          <t>N/A</t>
        </is>
      </c>
      <c r="BQ290" s="108" t="inlineStr">
        <is>
          <t>N/A</t>
        </is>
      </c>
      <c r="BR290" s="108" t="inlineStr">
        <is>
          <t>N/A</t>
        </is>
      </c>
      <c r="BS290" s="108" t="inlineStr">
        <is>
          <t>N/A</t>
        </is>
      </c>
      <c r="BT290" s="108" t="inlineStr">
        <is>
          <t>N/A</t>
        </is>
      </c>
      <c r="BU290" s="125" t="inlineStr">
        <is>
          <t>Haitong International Capital Limited; CITIC Securities (Hong Kong) Limited</t>
        </is>
      </c>
      <c r="BV290" s="108" t="inlineStr">
        <is>
          <t>Haitong International Capital Limited; CITIC Securities (Hong Kong) Limited</t>
        </is>
      </c>
      <c r="BW290" s="108" t="inlineStr">
        <is>
          <t>and CMIs CCB International Capital Limited; China Securities (International) Corporate Finance Company Limited; and CMIs Livermore Holdings Limited; Zhongtai International Securities Limited; Fortune Origin Securities Limited; ICBC International Securities Limited; Quam Securities Limited; Soochow Securities International Brokerage Limited</t>
        </is>
      </c>
      <c r="BX290" s="108" t="inlineStr">
        <is>
          <t>CCB International Capital Limited; CLSA Limited; China Securities (International) Corporate Finance Company Limited; Fortune Origin Securities Limited; Haitong International Securities Company Limited; ICBC International Securities Limited; Livermore Holdings Limited; Quam Securities Limited; Soochow Securities International Brokerage Limited; Zhongtai International Securities Limited</t>
        </is>
      </c>
      <c r="BY290" s="127">
        <f>HYPERLINK("https://www1.hkexnews.hk/listedco/listconews/sehk/2024/1107/2024110700009.pdf","prospectus")</f>
        <v/>
      </c>
      <c r="BZ290" s="127">
        <f>HYPERLINK("https://www1.hkexnews.hk/listedco/listconews/sehk/2024/1114/2024111400951.pdf","allotment")</f>
        <v/>
      </c>
      <c r="CA290" s="119" t="n"/>
      <c r="CB290" s="128" t="n"/>
      <c r="CC290" s="108" t="inlineStr">
        <is>
          <t>P/E: loss-making at IPO, use P/S; greenshoe: no over-allotment option; greenshoe size: no over-allotment option; stabilising manager: filing states none appointed (allotment announcement: 'no stabilizing manager will be appointed' stated in the filing)</t>
        </is>
      </c>
    </row>
    <row r="291" ht="22" customHeight="1">
      <c r="A291" s="107" t="inlineStr">
        <is>
          <t>6936</t>
        </is>
      </c>
      <c r="B291" s="108" t="inlineStr">
        <is>
          <t>SF HOLDING</t>
        </is>
      </c>
      <c r="C291" s="108" t="inlineStr">
        <is>
          <t>順豐控股</t>
        </is>
      </c>
      <c r="D291" s="108" t="inlineStr">
        <is>
          <t>Industrials</t>
        </is>
      </c>
      <c r="E291" s="108" t="inlineStr">
        <is>
          <t>Logistics</t>
        </is>
      </c>
      <c r="F291" s="108" t="inlineStr">
        <is>
          <t>Air Freight &amp; Logistics</t>
        </is>
      </c>
      <c r="G291" s="108" t="inlineStr">
        <is>
          <t>Standard</t>
        </is>
      </c>
      <c r="H291" s="109" t="n">
        <v>45623</v>
      </c>
      <c r="I291" s="110" t="n">
        <v>5831</v>
      </c>
      <c r="J291" s="108" t="inlineStr">
        <is>
          <t>gross (stated)</t>
        </is>
      </c>
      <c r="K291" s="129" t="n"/>
      <c r="L291" s="111" t="n">
        <v>36.3</v>
      </c>
      <c r="M291" s="111" t="n">
        <v>34.3</v>
      </c>
      <c r="N291" s="108" t="inlineStr">
        <is>
          <t>N</t>
        </is>
      </c>
      <c r="O291" s="112" t="n">
        <v>94.5</v>
      </c>
      <c r="P291" s="118" t="n"/>
      <c r="Q291" s="113" t="n">
        <v>149512.8</v>
      </c>
      <c r="R291" s="108" t="inlineStr">
        <is>
          <t>derived:deal size / offer % of enlarged capital</t>
        </is>
      </c>
      <c r="S291" s="114" t="n">
        <v>79.06999999999999</v>
      </c>
      <c r="T291" s="115" t="n">
        <v>10.1</v>
      </c>
      <c r="U291" s="116" t="n">
        <v>27.3</v>
      </c>
      <c r="V291" s="117" t="n">
        <v>153</v>
      </c>
      <c r="W291" s="112" t="n">
        <v>18.5</v>
      </c>
      <c r="X291" s="108" t="inlineStr">
        <is>
          <t>YES</t>
        </is>
      </c>
      <c r="Y291" s="113" t="n">
        <v>4239.14</v>
      </c>
      <c r="Z291" s="113" t="n">
        <v>123590000</v>
      </c>
      <c r="AA291" s="112" t="n">
        <v>2.84</v>
      </c>
      <c r="AB291" s="108" t="inlineStr">
        <is>
          <t>Oaktree Capital Management, L.P; Wise Honest Limited; WT Asset Management Limited; China Pacific Insurance (Group) Co., Ltd; Green Better Limited; Infini Global Master Fund; Wind Sabre Fund SPC on behalf of Wind Sabre Opportunities Fund SP; Morgan Stanley &amp; Co. International plc; Ghisallo Fund Master Ltd; Wisdomshire Asset Management Co., Ltd</t>
        </is>
      </c>
      <c r="AC291" s="108" t="inlineStr">
        <is>
          <t>oaktree;wise;wt;insurance;green;infini;wind;morgan;ghisallo;wisdomshire</t>
        </is>
      </c>
      <c r="AD291" s="112" t="n">
        <v>15</v>
      </c>
      <c r="AE291" s="108" t="inlineStr">
        <is>
          <t>lapsed</t>
        </is>
      </c>
      <c r="AF291" s="108" t="inlineStr">
        <is>
          <t>2024-12-22</t>
        </is>
      </c>
      <c r="AG291" s="108" t="inlineStr">
        <is>
          <t>J.P. Morgan Securities</t>
        </is>
      </c>
      <c r="AH291" s="108" t="inlineStr">
        <is>
          <t>JP Morgan</t>
        </is>
      </c>
      <c r="AI291" s="120" t="n">
        <v>-0.87</v>
      </c>
      <c r="AJ291" s="121" t="n">
        <v>0</v>
      </c>
      <c r="AK291" s="121" t="n">
        <v>2.94</v>
      </c>
      <c r="AL291" s="121" t="n">
        <v>0</v>
      </c>
      <c r="AM291" s="121" t="n">
        <v>0</v>
      </c>
      <c r="AN291" s="123" t="n">
        <v>1.64</v>
      </c>
      <c r="AO291" s="112" t="n">
        <v>3.5</v>
      </c>
      <c r="AP291" s="121" t="n">
        <v>-4.96</v>
      </c>
      <c r="AQ291" s="121" t="n">
        <v>-1.31</v>
      </c>
      <c r="AR291" s="121" t="n">
        <v>10.93</v>
      </c>
      <c r="AS291" s="121" t="n">
        <v>-4.96</v>
      </c>
      <c r="AT291" s="121" t="n">
        <v>-1.31</v>
      </c>
      <c r="AU291" s="121" t="n">
        <v>10.93</v>
      </c>
      <c r="AV291" s="121" t="n">
        <v>-8.140000000000001</v>
      </c>
      <c r="AW291" s="121" t="n">
        <v>-5.57</v>
      </c>
      <c r="AX291" s="121" t="n">
        <v>-12.2</v>
      </c>
      <c r="AY291" s="121" t="n">
        <v>-2.59</v>
      </c>
      <c r="AZ291" s="121" t="n">
        <v>4.26</v>
      </c>
      <c r="BA291" s="121" t="n">
        <v>1.28</v>
      </c>
      <c r="BB291" s="108" t="inlineStr">
        <is>
          <t>Hang Seng Commerce &amp; Industry sub-index</t>
        </is>
      </c>
      <c r="BC291" s="121" t="n">
        <v>-16.73</v>
      </c>
      <c r="BD291" s="109" t="n">
        <v>46297</v>
      </c>
      <c r="BE291" s="110" t="n">
        <v>284250.3</v>
      </c>
      <c r="BF291" s="113" t="n">
        <v>8702.799999999999</v>
      </c>
      <c r="BG291" s="108" t="inlineStr">
        <is>
          <t>Y</t>
        </is>
      </c>
      <c r="BH291" s="123" t="n">
        <v>17.2</v>
      </c>
      <c r="BI291" s="123" t="n">
        <v>16.1</v>
      </c>
      <c r="BJ291" s="123" t="n">
        <v>12.1</v>
      </c>
      <c r="BK291" s="123" t="n">
        <v>0.5</v>
      </c>
      <c r="BL291" s="124">
        <f>IF('BBG Verify'!S291="","not filed; run on terminal",'BBG Verify'!S291)</f>
        <v/>
      </c>
      <c r="BM291" s="125" t="inlineStr">
        <is>
          <t>Y</t>
        </is>
      </c>
      <c r="BN291" s="108" t="inlineStr">
        <is>
          <t>002352.SZ</t>
        </is>
      </c>
      <c r="BO291" s="121" t="n">
        <v>31.72</v>
      </c>
      <c r="BP291" s="111" t="n">
        <v>45.1814</v>
      </c>
      <c r="BQ291" s="135" t="n">
        <v>0.2568</v>
      </c>
      <c r="BR291" s="113" t="n">
        <v>183296.5</v>
      </c>
      <c r="BS291" s="124">
        <f>IF('BBG Verify'!Q291="","run on terminal",'BBG Verify'!Q291)</f>
        <v/>
      </c>
      <c r="BT291" s="124">
        <f>IF('BBG Verify'!R291="","run on terminal",'BBG Verify'!R291)</f>
        <v/>
      </c>
      <c r="BU291" s="125" t="inlineStr">
        <is>
          <t>Goldman Sachs (Asia) L.L.C; Huatai Financial Holdings (Hong Kong) Limited; J.P. Morgan Securities (Far East) Limited</t>
        </is>
      </c>
      <c r="BV291" s="108" t="inlineStr">
        <is>
          <t>J.P. Morgan Securities (Far East) Limited; Goldman Sachs (Asia) L.L.C.; Huatai Financial Holdings (Hong Kong) Limited</t>
        </is>
      </c>
      <c r="BW291" s="108" t="inlineStr">
        <is>
          <t>Goldman Sachs (Asia) L.L.C; Huatai Financial Holdings (Hong Kong) Limited; J.P. Morgan Securities (Asia Pacific) Limited; China International Capital Corporation Hong Kong Securities Limited; UBS AG Hong Kong Branch; ABCI Capital Limited; BOCI Asia Limited; DBS Asia Capital Limited; GF Securities (Hong Kong) Brokerage Limited; ICBC International Securities Limited</t>
        </is>
      </c>
      <c r="BX291" s="108" t="inlineStr">
        <is>
          <t>ABCI Securities Company Limited; BOCI Asia Limited; China International Capital Corporation Hong Kong Securities Limited; CMB International Capital Limited; DBS Asia Capital Limited; GF Securities (Hong Kong) Brokerage Limited; Goldman Sachs (Asia) L.L.C.; Huatai Financial Holdings (Hong Kong) Limited; ICBC International Securities Limited; J.P. Morgan Securities (Asia Pacific) Limited; UBS AG Hong Kong Branch</t>
        </is>
      </c>
      <c r="BY291" s="127">
        <f>HYPERLINK("https://www1.hkexnews.hk/listedco/listconews/sehk/2024/1119/2024111900011.pdf","prospectus")</f>
        <v/>
      </c>
      <c r="BZ291" s="127">
        <f>HYPERLINK("https://www1.hkexnews.hk/listedco/listconews/sehk/2024/1126/2024112601132.pdf","allotment")</f>
        <v/>
      </c>
      <c r="CA291" s="127">
        <f>HYPERLINK("https://www1.hkexnews.hk/listedco/listconews/sehk/2024/1223/2024122300065.pdf","stabilisation")</f>
        <v/>
      </c>
      <c r="CB291" s="128" t="n"/>
      <c r="CC291" s="108" t="inlineStr">
        <is>
          <t>range low: maximum offer price only, no floor published; A/H: Nov 2024, ~US$750m; first A+H express logistics name</t>
        </is>
      </c>
    </row>
    <row r="292" ht="22" customHeight="1">
      <c r="A292" s="107" t="inlineStr">
        <is>
          <t>2566</t>
        </is>
      </c>
      <c r="B292" s="108" t="inlineStr">
        <is>
          <t>JIUYUAN GENE</t>
        </is>
      </c>
      <c r="C292" s="108" t="inlineStr">
        <is>
          <t>九源基因</t>
        </is>
      </c>
      <c r="D292" s="108" t="inlineStr">
        <is>
          <t>Healthcare</t>
        </is>
      </c>
      <c r="E292" s="108" t="inlineStr">
        <is>
          <t>Biopharma commercial</t>
        </is>
      </c>
      <c r="F292" s="108" t="inlineStr">
        <is>
          <t>Pharmaceuticals</t>
        </is>
      </c>
      <c r="G292" s="108" t="inlineStr">
        <is>
          <t>Standard</t>
        </is>
      </c>
      <c r="H292" s="109" t="n">
        <v>45624</v>
      </c>
      <c r="I292" s="110" t="n">
        <v>563.9</v>
      </c>
      <c r="J292" s="108" t="inlineStr">
        <is>
          <t>gross (price x shares)</t>
        </is>
      </c>
      <c r="K292" s="111" t="n">
        <v>11.48</v>
      </c>
      <c r="L292" s="111" t="n">
        <v>12.56</v>
      </c>
      <c r="M292" s="111" t="n">
        <v>12.42</v>
      </c>
      <c r="N292" s="108" t="inlineStr">
        <is>
          <t>N</t>
        </is>
      </c>
      <c r="O292" s="112" t="n">
        <v>98.90000000000001</v>
      </c>
      <c r="P292" s="112" t="n">
        <v>87</v>
      </c>
      <c r="Q292" s="113" t="n">
        <v>3047.9</v>
      </c>
      <c r="R292" s="108" t="inlineStr">
        <is>
          <t>derived:price x shares upon listing</t>
        </is>
      </c>
      <c r="S292" s="114" t="n">
        <v>675.83</v>
      </c>
      <c r="T292" s="115" t="n">
        <v>1.18</v>
      </c>
      <c r="U292" s="116" t="n">
        <v>49.66</v>
      </c>
      <c r="V292" s="117" t="n">
        <v>108</v>
      </c>
      <c r="W292" s="112" t="n">
        <v>50</v>
      </c>
      <c r="X292" s="108" t="inlineStr">
        <is>
          <t>YES</t>
        </is>
      </c>
      <c r="Y292" s="113" t="n">
        <v>283.87</v>
      </c>
      <c r="Z292" s="113" t="n">
        <v>22853756</v>
      </c>
      <c r="AA292" s="112" t="n">
        <v>9.31</v>
      </c>
      <c r="AB292" s="108" t="inlineStr">
        <is>
          <t>Alibaba Health (Hong Kong) Technology Company Limited; Fosun Industrial Co., Limited; Jointown International Group Company Limited; Heda HK; Mr. Wu; Delta Capital Hong Kong Limited; Hong Kong King-Friend Industrial Company Limited</t>
        </is>
      </c>
      <c r="AC292" s="108" t="inlineStr">
        <is>
          <t>alibaba;fosun;jointown;heda;mr-wu;delta;king</t>
        </is>
      </c>
      <c r="AD292" s="112" t="n">
        <v>17.16</v>
      </c>
      <c r="AE292" s="119" t="n"/>
      <c r="AF292" s="119" t="n"/>
      <c r="AG292" s="108" t="inlineStr">
        <is>
          <t>Huatai Financial Holdings</t>
        </is>
      </c>
      <c r="AH292" s="108" t="inlineStr">
        <is>
          <t>Huatai</t>
        </is>
      </c>
      <c r="AI292" s="120" t="n">
        <v>-28.5</v>
      </c>
      <c r="AJ292" s="121" t="n">
        <v>-38.41</v>
      </c>
      <c r="AK292" s="121" t="n">
        <v>-1.09</v>
      </c>
      <c r="AL292" s="121" t="n">
        <v>-39.61</v>
      </c>
      <c r="AM292" s="121" t="n">
        <v>1.99</v>
      </c>
      <c r="AN292" s="123" t="n">
        <v>1.28</v>
      </c>
      <c r="AO292" s="112" t="n">
        <v>21.33</v>
      </c>
      <c r="AP292" s="121" t="n">
        <v>-35.35</v>
      </c>
      <c r="AQ292" s="121" t="n">
        <v>-46.86</v>
      </c>
      <c r="AR292" s="121" t="n">
        <v>-47.42</v>
      </c>
      <c r="AS292" s="121" t="n">
        <v>4.97</v>
      </c>
      <c r="AT292" s="121" t="n">
        <v>-13.72</v>
      </c>
      <c r="AU292" s="121" t="n">
        <v>-14.63</v>
      </c>
      <c r="AV292" s="121" t="n">
        <v>-34.84</v>
      </c>
      <c r="AW292" s="121" t="n">
        <v>-43.8</v>
      </c>
      <c r="AX292" s="121" t="n">
        <v>-54.93</v>
      </c>
      <c r="AY292" s="121" t="n">
        <v>-11.73</v>
      </c>
      <c r="AZ292" s="121" t="n">
        <v>-3.06</v>
      </c>
      <c r="BA292" s="121" t="n">
        <v>-1.99</v>
      </c>
      <c r="BB292" s="108" t="inlineStr">
        <is>
          <t>China Biotech ETF (HS biotech proxy)</t>
        </is>
      </c>
      <c r="BC292" s="121" t="n">
        <v>-53.46</v>
      </c>
      <c r="BD292" s="109" t="n">
        <v>46297</v>
      </c>
      <c r="BE292" s="110" t="n">
        <v>1416.1</v>
      </c>
      <c r="BF292" s="113" t="n">
        <v>131.8</v>
      </c>
      <c r="BG292" s="108" t="inlineStr">
        <is>
          <t>Y</t>
        </is>
      </c>
      <c r="BH292" s="123" t="n">
        <v>23.1</v>
      </c>
      <c r="BI292" s="122" t="n"/>
      <c r="BJ292" s="123" t="n">
        <v>8.1</v>
      </c>
      <c r="BK292" s="123" t="n">
        <v>2.2</v>
      </c>
      <c r="BL292" s="124">
        <f>IF('BBG Verify'!S292="","not filed; run on terminal",'BBG Verify'!S292)</f>
        <v/>
      </c>
      <c r="BM292" s="125" t="inlineStr">
        <is>
          <t>N</t>
        </is>
      </c>
      <c r="BN292" s="126">
        <f>IF('BBG Verify'!K292="","not filed; run on terminal",'BBG Verify'!K292)</f>
        <v/>
      </c>
      <c r="BO292" s="108" t="inlineStr">
        <is>
          <t>N/A</t>
        </is>
      </c>
      <c r="BP292" s="108" t="inlineStr">
        <is>
          <t>N/A</t>
        </is>
      </c>
      <c r="BQ292" s="108" t="inlineStr">
        <is>
          <t>N/A</t>
        </is>
      </c>
      <c r="BR292" s="108" t="inlineStr">
        <is>
          <t>N/A</t>
        </is>
      </c>
      <c r="BS292" s="108" t="inlineStr">
        <is>
          <t>N/A</t>
        </is>
      </c>
      <c r="BT292" s="108" t="inlineStr">
        <is>
          <t>N/A</t>
        </is>
      </c>
      <c r="BU292" s="125" t="inlineStr">
        <is>
          <t>Huatai Financial Holdings (Hong Kong) Limited</t>
        </is>
      </c>
      <c r="BV292" s="108" t="inlineStr">
        <is>
          <t>Huatai Financial Holdings (Hong Kong) Limited</t>
        </is>
      </c>
      <c r="BW292" s="108" t="inlineStr">
        <is>
          <t>Huatai Financial Holdings (Hong Kong) Limited; CLSA Limited</t>
        </is>
      </c>
      <c r="BX292" s="108" t="inlineStr">
        <is>
          <t>CLSA Limited; CMB International Capital Limited; Huatai Financial Holdings (Hong Kong) Limited; Patrons Securities Limited; Ruibang Securities Limited</t>
        </is>
      </c>
      <c r="BY292" s="127">
        <f>HYPERLINK("https://www1.hkexnews.hk/listedco/listconews/sehk/2024/1120/2024112000019.pdf","prospectus")</f>
        <v/>
      </c>
      <c r="BZ292" s="127">
        <f>HYPERLINK("https://www1.hkexnews.hk/listedco/listconews/sehk/2024/1127/2024112701177.pdf","allotment")</f>
        <v/>
      </c>
      <c r="CA292" s="119" t="n"/>
      <c r="CB292" s="128" t="n"/>
      <c r="CC292" s="108" t="inlineStr">
        <is>
          <t>greenshoe: end-of-stabilisation notice not found</t>
        </is>
      </c>
    </row>
    <row r="293" ht="22" customHeight="1">
      <c r="A293" s="107" t="inlineStr">
        <is>
          <t>2585</t>
        </is>
      </c>
      <c r="B293" s="108" t="inlineStr">
        <is>
          <t>MOKINGRAN</t>
        </is>
      </c>
      <c r="C293" s="108" t="inlineStr">
        <is>
          <t>夢金園</t>
        </is>
      </c>
      <c r="D293" s="108" t="inlineStr">
        <is>
          <t>Consumer</t>
        </is>
      </c>
      <c r="E293" s="108" t="inlineStr">
        <is>
          <t>Apparel / luxury</t>
        </is>
      </c>
      <c r="F293" s="108" t="inlineStr">
        <is>
          <t>Watch &amp; Jewellery</t>
        </is>
      </c>
      <c r="G293" s="108" t="inlineStr">
        <is>
          <t>Standard</t>
        </is>
      </c>
      <c r="H293" s="109" t="n">
        <v>45625</v>
      </c>
      <c r="I293" s="110" t="n">
        <v>527.48</v>
      </c>
      <c r="J293" s="108" t="inlineStr">
        <is>
          <t>gross (stated)</t>
        </is>
      </c>
      <c r="K293" s="111" t="n">
        <v>12</v>
      </c>
      <c r="L293" s="111" t="n">
        <v>14.4</v>
      </c>
      <c r="M293" s="111" t="n">
        <v>12</v>
      </c>
      <c r="N293" s="108" t="inlineStr">
        <is>
          <t>N</t>
        </is>
      </c>
      <c r="O293" s="112" t="n">
        <v>83.3</v>
      </c>
      <c r="P293" s="112" t="n">
        <v>0</v>
      </c>
      <c r="Q293" s="113" t="n">
        <v>3276.3</v>
      </c>
      <c r="R293" s="108" t="inlineStr">
        <is>
          <t>derived:price x shares upon listing</t>
        </is>
      </c>
      <c r="S293" s="114" t="n">
        <v>20.58</v>
      </c>
      <c r="T293" s="115" t="n">
        <v>0.98</v>
      </c>
      <c r="U293" s="116" t="n">
        <v>39.77</v>
      </c>
      <c r="V293" s="117" t="n">
        <v>112</v>
      </c>
      <c r="W293" s="112" t="n">
        <v>20</v>
      </c>
      <c r="X293" s="119" t="n"/>
      <c r="Y293" s="113" t="n">
        <v>317.7</v>
      </c>
      <c r="Z293" s="113" t="n">
        <v>26475181</v>
      </c>
      <c r="AA293" s="112" t="n">
        <v>9.699999999999999</v>
      </c>
      <c r="AB293" s="108" t="inlineStr">
        <is>
          <t>Tianjin Haitai Capital; Matrix Capital (on behalf of Matrix Income SP); Solid Elegance; Bright Ambition; Swift Grace</t>
        </is>
      </c>
      <c r="AC293" s="108" t="inlineStr">
        <is>
          <t>tianjin;matrix;solid;bright;swift</t>
        </is>
      </c>
      <c r="AD293" s="112" t="n">
        <v>5.64</v>
      </c>
      <c r="AE293" s="119" t="n"/>
      <c r="AF293" s="119" t="n"/>
      <c r="AG293" s="119" t="n"/>
      <c r="AH293" s="119" t="n"/>
      <c r="AI293" s="120" t="n">
        <v>4.5</v>
      </c>
      <c r="AJ293" s="121" t="n">
        <v>7.5</v>
      </c>
      <c r="AK293" s="121" t="n">
        <v>0.3</v>
      </c>
      <c r="AL293" s="121" t="n">
        <v>4.17</v>
      </c>
      <c r="AM293" s="121" t="n">
        <v>3.2</v>
      </c>
      <c r="AN293" s="123" t="n">
        <v>1.42</v>
      </c>
      <c r="AO293" s="112" t="n">
        <v>16</v>
      </c>
      <c r="AP293" s="121" t="n">
        <v>-3.33</v>
      </c>
      <c r="AQ293" s="121" t="n">
        <v>13.5</v>
      </c>
      <c r="AR293" s="121" t="n">
        <v>48.67</v>
      </c>
      <c r="AS293" s="121" t="n">
        <v>-10.07</v>
      </c>
      <c r="AT293" s="121" t="n">
        <v>5.58</v>
      </c>
      <c r="AU293" s="121" t="n">
        <v>38.3</v>
      </c>
      <c r="AV293" s="121" t="n">
        <v>-5.69</v>
      </c>
      <c r="AW293" s="121" t="n">
        <v>12.42</v>
      </c>
      <c r="AX293" s="121" t="n">
        <v>17.28</v>
      </c>
      <c r="AY293" s="121" t="n">
        <v>4.8</v>
      </c>
      <c r="AZ293" s="121" t="n">
        <v>1.08</v>
      </c>
      <c r="BA293" s="121" t="n">
        <v>0.78</v>
      </c>
      <c r="BB293" s="108" t="inlineStr">
        <is>
          <t>Hang Seng Commerce &amp; Industry sub-index</t>
        </is>
      </c>
      <c r="BC293" s="121" t="n">
        <v>130.67</v>
      </c>
      <c r="BD293" s="109" t="n">
        <v>46297</v>
      </c>
      <c r="BE293" s="110" t="n">
        <v>22229.5</v>
      </c>
      <c r="BF293" s="113" t="n">
        <v>256.8</v>
      </c>
      <c r="BG293" s="108" t="inlineStr">
        <is>
          <t>Y</t>
        </is>
      </c>
      <c r="BH293" s="123" t="n">
        <v>12.8</v>
      </c>
      <c r="BI293" s="123" t="n">
        <v>15.8</v>
      </c>
      <c r="BJ293" s="123" t="n">
        <v>65.7</v>
      </c>
      <c r="BK293" s="123" t="n">
        <v>0.1</v>
      </c>
      <c r="BL293" s="124">
        <f>IF('BBG Verify'!S293="","not filed; run on terminal",'BBG Verify'!S293)</f>
        <v/>
      </c>
      <c r="BM293" s="125" t="inlineStr">
        <is>
          <t>N</t>
        </is>
      </c>
      <c r="BN293" s="126">
        <f>IF('BBG Verify'!K293="","not filed; run on terminal",'BBG Verify'!K293)</f>
        <v/>
      </c>
      <c r="BO293" s="108" t="inlineStr">
        <is>
          <t>N/A</t>
        </is>
      </c>
      <c r="BP293" s="108" t="inlineStr">
        <is>
          <t>N/A</t>
        </is>
      </c>
      <c r="BQ293" s="108" t="inlineStr">
        <is>
          <t>N/A</t>
        </is>
      </c>
      <c r="BR293" s="108" t="inlineStr">
        <is>
          <t>N/A</t>
        </is>
      </c>
      <c r="BS293" s="108" t="inlineStr">
        <is>
          <t>N/A</t>
        </is>
      </c>
      <c r="BT293" s="108" t="inlineStr">
        <is>
          <t>N/A</t>
        </is>
      </c>
      <c r="BU293" s="125" t="inlineStr">
        <is>
          <t>CITIC Securities (Hong Kong) Limited</t>
        </is>
      </c>
      <c r="BV293" s="108" t="inlineStr">
        <is>
          <t>CITIC Securities (Hong Kong) Limited</t>
        </is>
      </c>
      <c r="BW293" s="108" t="inlineStr">
        <is>
          <t>CLSA Limited; ABCI Capital Limited; China Everbright Securities (HK) Limited; Futu Securities International (Hong Kong) Limited; ICBC International Securities Limited; TradeGo Markets Limited</t>
        </is>
      </c>
      <c r="BX293" s="108" t="inlineStr">
        <is>
          <t>ABCI Securities Company Limited; China Everbright Securities (HK) Limited; CLSA Limited; Futu Securities International (Hong Kong) Limited; ICBC International Securities Limited; TradeGo Markets Limited</t>
        </is>
      </c>
      <c r="BY293" s="127">
        <f>HYPERLINK("https://www1.hkexnews.hk/listedco/listconews/sehk/2024/1121/2024112100017.pdf","prospectus")</f>
        <v/>
      </c>
      <c r="BZ293" s="127">
        <f>HYPERLINK("https://www1.hkexnews.hk/listedco/listconews/sehk/2024/1128/2024112801779.pdf","allotment")</f>
        <v/>
      </c>
      <c r="CA293" s="127">
        <f>HYPERLINK("https://www1.hkexnews.hk/listedco/listconews/sehk/2024/1227/2024122700111.pdf","stabilisation")</f>
        <v/>
      </c>
      <c r="CB293" s="128" t="n"/>
      <c r="CC293" s="108" t="inlineStr">
        <is>
          <t>greenshoe: end-of-stabilisation notice not found; stabilising manager: not named in the allotment notice or prospectus glossary; stabilisation notice: notice linked; outcome wording not recognised, result left blank; allocation: clawback line not in this notice; a 12-28% split is consistent with either a tier-1 clawback or a placing shortfall</t>
        </is>
      </c>
    </row>
    <row r="294" ht="22" customHeight="1">
      <c r="A294" s="107" t="inlineStr">
        <is>
          <t>2586</t>
        </is>
      </c>
      <c r="B294" s="108" t="inlineStr">
        <is>
          <t>DMALL</t>
        </is>
      </c>
      <c r="C294" s="108" t="inlineStr">
        <is>
          <t>多點數智</t>
        </is>
      </c>
      <c r="D294" s="108" t="inlineStr">
        <is>
          <t>Tech/AI</t>
        </is>
      </c>
      <c r="E294" s="108" t="inlineStr">
        <is>
          <t>SaaS / enterprise software</t>
        </is>
      </c>
      <c r="F294" s="108" t="inlineStr">
        <is>
          <t>Application Software</t>
        </is>
      </c>
      <c r="G294" s="108" t="inlineStr">
        <is>
          <t>Standard</t>
        </is>
      </c>
      <c r="H294" s="109" t="n">
        <v>45632</v>
      </c>
      <c r="I294" s="110" t="n">
        <v>778.6</v>
      </c>
      <c r="J294" s="108" t="inlineStr">
        <is>
          <t>gross (price x shares)</t>
        </is>
      </c>
      <c r="K294" s="129" t="n"/>
      <c r="L294" s="111" t="n">
        <v>30.21</v>
      </c>
      <c r="M294" s="111" t="n">
        <v>30.21</v>
      </c>
      <c r="N294" s="108" t="inlineStr">
        <is>
          <t>Y</t>
        </is>
      </c>
      <c r="O294" s="112" t="n">
        <v>100</v>
      </c>
      <c r="P294" s="118" t="n"/>
      <c r="Q294" s="113" t="n">
        <v>26786.9</v>
      </c>
      <c r="R294" s="108" t="inlineStr">
        <is>
          <t>derived:price x shares upon listing</t>
        </is>
      </c>
      <c r="S294" s="114" t="n">
        <v>1.94</v>
      </c>
      <c r="T294" s="115" t="n">
        <v>1.36</v>
      </c>
      <c r="U294" s="116" t="n">
        <v>39.05</v>
      </c>
      <c r="V294" s="117" t="n">
        <v>119</v>
      </c>
      <c r="W294" s="112" t="n">
        <v>10</v>
      </c>
      <c r="X294" s="108" t="inlineStr">
        <is>
          <t>NO</t>
        </is>
      </c>
      <c r="Y294" s="113" t="n">
        <v>474.56</v>
      </c>
      <c r="Z294" s="113" t="n">
        <v>15709253</v>
      </c>
      <c r="AA294" s="112" t="n">
        <v>1.77</v>
      </c>
      <c r="AB294" s="108" t="inlineStr">
        <is>
          <t>DFI Development Holdings Limited</t>
        </is>
      </c>
      <c r="AC294" s="108" t="inlineStr">
        <is>
          <t>dfi</t>
        </is>
      </c>
      <c r="AD294" s="118" t="n"/>
      <c r="AE294" s="108" t="inlineStr">
        <is>
          <t>lapsed (no over-allocation)</t>
        </is>
      </c>
      <c r="AF294" s="108" t="inlineStr">
        <is>
          <t>2025-01-02</t>
        </is>
      </c>
      <c r="AG294" s="108" t="inlineStr">
        <is>
          <t>UBS AG Hong Kong Branch</t>
        </is>
      </c>
      <c r="AH294" s="108" t="inlineStr">
        <is>
          <t>UBS</t>
        </is>
      </c>
      <c r="AI294" s="120" t="n">
        <v>-27.34</v>
      </c>
      <c r="AJ294" s="121" t="n">
        <v>-54.32</v>
      </c>
      <c r="AK294" s="121" t="n">
        <v>2.19</v>
      </c>
      <c r="AL294" s="121" t="n">
        <v>-28.17</v>
      </c>
      <c r="AM294" s="121" t="n">
        <v>-36.41</v>
      </c>
      <c r="AN294" s="123" t="n">
        <v>1.42</v>
      </c>
      <c r="AO294" s="112" t="n">
        <v>36.64</v>
      </c>
      <c r="AP294" s="121" t="n">
        <v>-79.18000000000001</v>
      </c>
      <c r="AQ294" s="121" t="n">
        <v>-80.17</v>
      </c>
      <c r="AR294" s="121" t="n">
        <v>-56.97</v>
      </c>
      <c r="AS294" s="121" t="n">
        <v>-54.42</v>
      </c>
      <c r="AT294" s="121" t="n">
        <v>-56.59</v>
      </c>
      <c r="AU294" s="121" t="n">
        <v>-5.8</v>
      </c>
      <c r="AV294" s="121" t="n">
        <v>-81.37</v>
      </c>
      <c r="AW294" s="121" t="n">
        <v>-78.68000000000001</v>
      </c>
      <c r="AX294" s="121" t="n">
        <v>-88.04000000000001</v>
      </c>
      <c r="AY294" s="121" t="n">
        <v>-52.98</v>
      </c>
      <c r="AZ294" s="121" t="n">
        <v>-1.49</v>
      </c>
      <c r="BA294" s="121" t="n">
        <v>-3.61</v>
      </c>
      <c r="BB294" s="108" t="inlineStr">
        <is>
          <t>HSTECH (Hang Seng TECH ETF)</t>
        </is>
      </c>
      <c r="BC294" s="121" t="n">
        <v>-70.14</v>
      </c>
      <c r="BD294" s="109" t="n">
        <v>46297</v>
      </c>
      <c r="BE294" s="110" t="n">
        <v>1743.9</v>
      </c>
      <c r="BF294" s="113" t="n">
        <v>-924.6</v>
      </c>
      <c r="BG294" s="108" t="inlineStr">
        <is>
          <t>N</t>
        </is>
      </c>
      <c r="BH294" s="108" t="inlineStr">
        <is>
          <t>n/m</t>
        </is>
      </c>
      <c r="BI294" s="122" t="n"/>
      <c r="BJ294" s="123" t="n">
        <v>24.2</v>
      </c>
      <c r="BK294" s="123" t="n">
        <v>15.4</v>
      </c>
      <c r="BL294" s="124">
        <f>IF('BBG Verify'!S294="","not filed; run on terminal",'BBG Verify'!S294)</f>
        <v/>
      </c>
      <c r="BM294" s="125" t="inlineStr">
        <is>
          <t>N</t>
        </is>
      </c>
      <c r="BN294" s="126">
        <f>IF('BBG Verify'!K294="","not filed; run on terminal",'BBG Verify'!K294)</f>
        <v/>
      </c>
      <c r="BO294" s="108" t="inlineStr">
        <is>
          <t>N/A</t>
        </is>
      </c>
      <c r="BP294" s="108" t="inlineStr">
        <is>
          <t>N/A</t>
        </is>
      </c>
      <c r="BQ294" s="108" t="inlineStr">
        <is>
          <t>N/A</t>
        </is>
      </c>
      <c r="BR294" s="108" t="inlineStr">
        <is>
          <t>N/A</t>
        </is>
      </c>
      <c r="BS294" s="108" t="inlineStr">
        <is>
          <t>N/A</t>
        </is>
      </c>
      <c r="BT294" s="108" t="inlineStr">
        <is>
          <t>N/A</t>
        </is>
      </c>
      <c r="BU294" s="125" t="inlineStr">
        <is>
          <t>UBS Securities Hong Kong Limited; CMB International Capital Limited; China Merchants Securities (HK) Co., Limited</t>
        </is>
      </c>
      <c r="BV294" s="108" t="inlineStr">
        <is>
          <t>UBS Securities Hong Kong Limited; CMB International Capital Limited; China Merchants Securities (HK) Company Limited</t>
        </is>
      </c>
      <c r="BW294" s="108" t="inlineStr">
        <is>
          <t>UBS AG Hong Kong Branch; CMB International Capital Limited; China Merchants Securities (HK) Co., Limited; CLSA Limited; China International Capital Corporation Hong Kong Securities Limited; CCB International Capital Limited; CMBC Securities Company Limited; Haitong International Securities Company Limited; ABCI Capital Limited; ABCI Securities Company Limited</t>
        </is>
      </c>
      <c r="BX294" s="108" t="inlineStr">
        <is>
          <t>ABCI Securities Company Limited; BOCI Asia Limited; BOCOM International Securities Limited; CCB International Capital Limited; Central China International Securities Co., Limited; China Galaxy International Securities (Hong Kong) Company Limited; China International Capital Corporation Hong Kong Securities Limited; CLSA Limited; CMBC Securities Company Limited; CMB International Capital Limited; China Merchants Securities (HK) Company Limited; Futu Securities International (Hong Kong) Limited</t>
        </is>
      </c>
      <c r="BY294" s="127">
        <f>HYPERLINK("https://www1.hkexnews.hk/listedco/listconews/sehk/2024/1128/2024112800056.htm","prospectus")</f>
        <v/>
      </c>
      <c r="BZ294" s="127">
        <f>HYPERLINK("https://www1.hkexnews.hk/listedco/listconews/sehk/2024/1205/2024120501922.pdf","allotment")</f>
        <v/>
      </c>
      <c r="CA294" s="127">
        <f>HYPERLINK("https://www1.hkexnews.hk/listedco/listconews/sehk/2025/0102/2025010202824.pdf","stabilisation")</f>
        <v/>
      </c>
      <c r="CB294" s="128" t="n"/>
      <c r="CC294" s="108" t="inlineStr">
        <is>
          <t>P/E: loss-making at IPO, use P/S; price range: fixed-price offering (no indicative range); range low: maximum offer price only, no floor published; greenshoe size: no over-allotment option</t>
        </is>
      </c>
    </row>
    <row r="295" ht="22" customHeight="1">
      <c r="A295" s="107" t="inlineStr">
        <is>
          <t>2570</t>
        </is>
      </c>
      <c r="B295" s="108" t="inlineStr">
        <is>
          <t>REFIRE</t>
        </is>
      </c>
      <c r="C295" s="108" t="inlineStr">
        <is>
          <t>重塑能源</t>
        </is>
      </c>
      <c r="D295" s="108" t="inlineStr">
        <is>
          <t>Industrials</t>
        </is>
      </c>
      <c r="E295" s="108" t="inlineStr">
        <is>
          <t>Batteries / energy storage</t>
        </is>
      </c>
      <c r="F295" s="108" t="inlineStr">
        <is>
          <t>Electrical Components &amp; Equipment</t>
        </is>
      </c>
      <c r="G295" s="108" t="inlineStr">
        <is>
          <t>Standard</t>
        </is>
      </c>
      <c r="H295" s="109" t="n">
        <v>45632</v>
      </c>
      <c r="I295" s="110" t="n">
        <v>709.7</v>
      </c>
      <c r="J295" s="108" t="inlineStr">
        <is>
          <t>gross (stated)</t>
        </is>
      </c>
      <c r="K295" s="111" t="n">
        <v>145</v>
      </c>
      <c r="L295" s="111" t="n">
        <v>165</v>
      </c>
      <c r="M295" s="111" t="n">
        <v>147</v>
      </c>
      <c r="N295" s="108" t="inlineStr">
        <is>
          <t>N</t>
        </is>
      </c>
      <c r="O295" s="112" t="n">
        <v>89.09999999999999</v>
      </c>
      <c r="P295" s="112" t="n">
        <v>10</v>
      </c>
      <c r="Q295" s="113" t="n">
        <v>11106.4</v>
      </c>
      <c r="R295" s="108" t="inlineStr">
        <is>
          <t>derived:deal size / offer % of enlarged capital</t>
        </is>
      </c>
      <c r="S295" s="114" t="n">
        <v>1.55</v>
      </c>
      <c r="T295" s="115" t="n">
        <v>1.33</v>
      </c>
      <c r="U295" s="116" t="n">
        <v>45.18</v>
      </c>
      <c r="V295" s="117" t="n">
        <v>175</v>
      </c>
      <c r="W295" s="112" t="n">
        <v>10</v>
      </c>
      <c r="X295" s="108" t="inlineStr">
        <is>
          <t>NO</t>
        </is>
      </c>
      <c r="Y295" s="113" t="n">
        <v>389.06</v>
      </c>
      <c r="Z295" s="113" t="n">
        <v>2646666</v>
      </c>
      <c r="AA295" s="112" t="n">
        <v>3.5</v>
      </c>
      <c r="AB295" s="108" t="inlineStr">
        <is>
          <t>DINGCHUANG HONGKONG INVESTMENT LIMITED</t>
        </is>
      </c>
      <c r="AC295" s="108" t="inlineStr">
        <is>
          <t>dingchuang</t>
        </is>
      </c>
      <c r="AD295" s="112" t="n">
        <v>10</v>
      </c>
      <c r="AE295" s="108" t="inlineStr">
        <is>
          <t>partial</t>
        </is>
      </c>
      <c r="AF295" s="108" t="inlineStr">
        <is>
          <t>2025-01-02</t>
        </is>
      </c>
      <c r="AG295" s="108" t="inlineStr">
        <is>
          <t>China International Capital Corporation Hong Kong Securities Limited</t>
        </is>
      </c>
      <c r="AH295" s="108" t="inlineStr">
        <is>
          <t>China International</t>
        </is>
      </c>
      <c r="AI295" s="120" t="n">
        <v>-7.76</v>
      </c>
      <c r="AJ295" s="121" t="n">
        <v>0.07000000000000001</v>
      </c>
      <c r="AK295" s="121" t="n">
        <v>1.7</v>
      </c>
      <c r="AL295" s="121" t="n">
        <v>1.29</v>
      </c>
      <c r="AM295" s="121" t="n">
        <v>-1.2</v>
      </c>
      <c r="AN295" s="123" t="n">
        <v>0.97</v>
      </c>
      <c r="AO295" s="112" t="n">
        <v>3.22</v>
      </c>
      <c r="AP295" s="121" t="n">
        <v>11.02</v>
      </c>
      <c r="AQ295" s="121" t="n">
        <v>30.82</v>
      </c>
      <c r="AR295" s="121" t="n">
        <v>68.98</v>
      </c>
      <c r="AS295" s="121" t="n">
        <v>10.94</v>
      </c>
      <c r="AT295" s="121" t="n">
        <v>30.73</v>
      </c>
      <c r="AU295" s="121" t="n">
        <v>68.86</v>
      </c>
      <c r="AV295" s="121" t="n">
        <v>8.470000000000001</v>
      </c>
      <c r="AW295" s="121" t="n">
        <v>32.7</v>
      </c>
      <c r="AX295" s="121" t="n">
        <v>44.13</v>
      </c>
      <c r="AY295" s="121" t="n">
        <v>34.25</v>
      </c>
      <c r="AZ295" s="121" t="n">
        <v>-1.88</v>
      </c>
      <c r="BA295" s="121" t="n">
        <v>-3.52</v>
      </c>
      <c r="BB295" s="108" t="inlineStr">
        <is>
          <t>Hang Seng Commerce &amp; Industry sub-index</t>
        </is>
      </c>
      <c r="BC295" s="121" t="n">
        <v>-96.12</v>
      </c>
      <c r="BD295" s="109" t="n">
        <v>46297</v>
      </c>
      <c r="BE295" s="110" t="n">
        <v>984.8</v>
      </c>
      <c r="BF295" s="113" t="n">
        <v>-582.4</v>
      </c>
      <c r="BG295" s="108" t="inlineStr">
        <is>
          <t>N</t>
        </is>
      </c>
      <c r="BH295" s="108" t="inlineStr">
        <is>
          <t>n/m</t>
        </is>
      </c>
      <c r="BI295" s="122" t="n"/>
      <c r="BJ295" s="122" t="n"/>
      <c r="BK295" s="123" t="n">
        <v>11.3</v>
      </c>
      <c r="BL295" s="124">
        <f>IF('BBG Verify'!S295="","not filed; run on terminal",'BBG Verify'!S295)</f>
        <v/>
      </c>
      <c r="BM295" s="125" t="inlineStr">
        <is>
          <t>N</t>
        </is>
      </c>
      <c r="BN295" s="126">
        <f>IF('BBG Verify'!K295="","not filed; run on terminal",'BBG Verify'!K295)</f>
        <v/>
      </c>
      <c r="BO295" s="108" t="inlineStr">
        <is>
          <t>N/A</t>
        </is>
      </c>
      <c r="BP295" s="108" t="inlineStr">
        <is>
          <t>N/A</t>
        </is>
      </c>
      <c r="BQ295" s="108" t="inlineStr">
        <is>
          <t>N/A</t>
        </is>
      </c>
      <c r="BR295" s="108" t="inlineStr">
        <is>
          <t>N/A</t>
        </is>
      </c>
      <c r="BS295" s="108" t="inlineStr">
        <is>
          <t>N/A</t>
        </is>
      </c>
      <c r="BT295" s="108" t="inlineStr">
        <is>
          <t>N/A</t>
        </is>
      </c>
      <c r="BU295" s="125" t="inlineStr">
        <is>
          <t>China International Capital Corporation Hong Kong Securities Limited</t>
        </is>
      </c>
      <c r="BV295" s="108" t="inlineStr">
        <is>
          <t>China International Capital Corporation Hong Kong Securities Limited</t>
        </is>
      </c>
      <c r="BW295" s="108" t="inlineStr">
        <is>
          <t>China International Capital Corporation Hong Kong Securities Limited; CMB International Capital Limited; BOCI Asia Limited; China Galaxy International Securities (Hong Kong) Co., Limited; ABCI Capital Limited; China Merchants Securities (HK) Co., Limited; Livermore Holdings Limited; Tiger Brokers (HK) Global Limited</t>
        </is>
      </c>
      <c r="BX295" s="108" t="inlineStr">
        <is>
          <t>ABCI Securities Company Limited; BNP Paribas Securities (Asia) Limited; BOCI Asia Limited; China Galaxy International Securities (Hong Kong) Company Limited; China International Capital Corporation Hong Kong Securities Limited; CMB International Capital Limited; China Merchants Securities (HK) Company Limited; Livermore Holdings Limited; Soochow Securities International Brokerage Limited; Tiger Brokers (HK) Global Limited</t>
        </is>
      </c>
      <c r="BY295" s="127">
        <f>HYPERLINK("https://www1.hkexnews.hk/listedco/listconews/sehk/2024/1128/2024112800011.pdf","prospectus")</f>
        <v/>
      </c>
      <c r="BZ295" s="127">
        <f>HYPERLINK("https://www1.hkexnews.hk/listedco/listconews/sehk/2024/1205/2024120501926.pdf","allotment")</f>
        <v/>
      </c>
      <c r="CA295" s="127">
        <f>HYPERLINK("https://www1.hkexnews.hk/listedco/listconews/sehk/2025/0102/2025010203561.pdf","stabilisation")</f>
        <v/>
      </c>
      <c r="CB295" s="128" t="n"/>
      <c r="CC295" s="108" t="inlineStr">
        <is>
          <t>P/E: loss-making at IPO, use P/S; sponsor: English name not in the filing; AAStocks 保薦人 shown</t>
        </is>
      </c>
    </row>
    <row r="296" ht="22" customHeight="1">
      <c r="A296" s="107" t="inlineStr">
        <is>
          <t>1318</t>
        </is>
      </c>
      <c r="B296" s="108" t="inlineStr">
        <is>
          <t>MAO GEPING</t>
        </is>
      </c>
      <c r="C296" s="108" t="inlineStr">
        <is>
          <t>毛戈平</t>
        </is>
      </c>
      <c r="D296" s="108" t="inlineStr">
        <is>
          <t>Consumer</t>
        </is>
      </c>
      <c r="E296" s="108" t="inlineStr">
        <is>
          <t>Beauty / personal care</t>
        </is>
      </c>
      <c r="F296" s="108" t="inlineStr">
        <is>
          <t>Beauty &amp; Toiletries Products and Services</t>
        </is>
      </c>
      <c r="G296" s="108" t="inlineStr">
        <is>
          <t>Standard</t>
        </is>
      </c>
      <c r="H296" s="109" t="n">
        <v>45636</v>
      </c>
      <c r="I296" s="110" t="n">
        <v>2337.02</v>
      </c>
      <c r="J296" s="108" t="inlineStr">
        <is>
          <t>gross (stated)</t>
        </is>
      </c>
      <c r="K296" s="111" t="n">
        <v>26.3</v>
      </c>
      <c r="L296" s="111" t="n">
        <v>29.8</v>
      </c>
      <c r="M296" s="111" t="n">
        <v>29.8</v>
      </c>
      <c r="N296" s="108" t="inlineStr">
        <is>
          <t>Y</t>
        </is>
      </c>
      <c r="O296" s="112" t="n">
        <v>100</v>
      </c>
      <c r="P296" s="112" t="n">
        <v>100</v>
      </c>
      <c r="Q296" s="113" t="n">
        <v>13853.1</v>
      </c>
      <c r="R296" s="108" t="inlineStr">
        <is>
          <t>derived:deal size / offer % of enlarged capital</t>
        </is>
      </c>
      <c r="S296" s="114" t="n">
        <v>919.1799999999999</v>
      </c>
      <c r="T296" s="115" t="n">
        <v>30.34</v>
      </c>
      <c r="U296" s="116" t="n">
        <v>33.3</v>
      </c>
      <c r="V296" s="117" t="n">
        <v>167</v>
      </c>
      <c r="W296" s="112" t="n">
        <v>50</v>
      </c>
      <c r="X296" s="108" t="inlineStr">
        <is>
          <t>YES</t>
        </is>
      </c>
      <c r="Y296" s="113" t="n">
        <v>1558.79</v>
      </c>
      <c r="Z296" s="113" t="n">
        <v>52308408</v>
      </c>
      <c r="AA296" s="112" t="n">
        <v>11.25</v>
      </c>
      <c r="AB296" s="108" t="inlineStr">
        <is>
          <t>CPE Investment XVI Limited; Loyal Valley Capital; Seraphim Advantage Inc; IvyRock Asset Management (HK) Limited; Brilliant Partners Fund LP and China Core Fund; 4 Mega Prime Development Limited</t>
        </is>
      </c>
      <c r="AC296" s="108" t="inlineStr">
        <is>
          <t>cpe;loyal;seraphim;ivyrock;brilliant;mega</t>
        </is>
      </c>
      <c r="AD296" s="112" t="n">
        <v>15</v>
      </c>
      <c r="AE296" s="108" t="inlineStr">
        <is>
          <t>full</t>
        </is>
      </c>
      <c r="AF296" s="108" t="inlineStr">
        <is>
          <t>2025-01-04</t>
        </is>
      </c>
      <c r="AG296" s="108" t="inlineStr">
        <is>
          <t>China International Capital Corporation Hong Kong Securities Limited</t>
        </is>
      </c>
      <c r="AH296" s="108" t="inlineStr">
        <is>
          <t>China International</t>
        </is>
      </c>
      <c r="AI296" s="120" t="n">
        <v>50.67</v>
      </c>
      <c r="AJ296" s="121" t="n">
        <v>76.51000000000001</v>
      </c>
      <c r="AK296" s="121" t="n">
        <v>-0.78</v>
      </c>
      <c r="AL296" s="121" t="n">
        <v>59.9</v>
      </c>
      <c r="AM296" s="121" t="n">
        <v>10.39</v>
      </c>
      <c r="AN296" s="123" t="n">
        <v>2.13</v>
      </c>
      <c r="AO296" s="112" t="n">
        <v>20.04</v>
      </c>
      <c r="AP296" s="121" t="n">
        <v>96.31</v>
      </c>
      <c r="AQ296" s="121" t="n">
        <v>97.98999999999999</v>
      </c>
      <c r="AR296" s="121" t="n">
        <v>270.47</v>
      </c>
      <c r="AS296" s="121" t="n">
        <v>11.22</v>
      </c>
      <c r="AT296" s="121" t="n">
        <v>12.17</v>
      </c>
      <c r="AU296" s="121" t="n">
        <v>109.89</v>
      </c>
      <c r="AV296" s="121" t="n">
        <v>100.54</v>
      </c>
      <c r="AW296" s="121" t="n">
        <v>106.68</v>
      </c>
      <c r="AX296" s="121" t="n">
        <v>247.76</v>
      </c>
      <c r="AY296" s="121" t="n">
        <v>20.14</v>
      </c>
      <c r="AZ296" s="121" t="n">
        <v>-8.69</v>
      </c>
      <c r="BA296" s="121" t="n">
        <v>-7.97</v>
      </c>
      <c r="BB296" s="108" t="inlineStr">
        <is>
          <t>Hang Seng Commerce &amp; Industry sub-index</t>
        </is>
      </c>
      <c r="BC296" s="121" t="n">
        <v>46.71</v>
      </c>
      <c r="BD296" s="109" t="n">
        <v>46297</v>
      </c>
      <c r="BE296" s="110" t="n">
        <v>3174.6</v>
      </c>
      <c r="BF296" s="113" t="n">
        <v>729.8</v>
      </c>
      <c r="BG296" s="108" t="inlineStr">
        <is>
          <t>Y</t>
        </is>
      </c>
      <c r="BH296" s="123" t="n">
        <v>19</v>
      </c>
      <c r="BI296" s="123" t="n">
        <v>12.2</v>
      </c>
      <c r="BJ296" s="123" t="n">
        <v>17.7</v>
      </c>
      <c r="BK296" s="123" t="n">
        <v>4.4</v>
      </c>
      <c r="BL296" s="124">
        <f>IF('BBG Verify'!S296="","not filed; run on terminal",'BBG Verify'!S296)</f>
        <v/>
      </c>
      <c r="BM296" s="125" t="inlineStr">
        <is>
          <t>N</t>
        </is>
      </c>
      <c r="BN296" s="126">
        <f>IF('BBG Verify'!K296="","not filed; run on terminal",'BBG Verify'!K296)</f>
        <v/>
      </c>
      <c r="BO296" s="108" t="inlineStr">
        <is>
          <t>N/A</t>
        </is>
      </c>
      <c r="BP296" s="108" t="inlineStr">
        <is>
          <t>N/A</t>
        </is>
      </c>
      <c r="BQ296" s="108" t="inlineStr">
        <is>
          <t>N/A</t>
        </is>
      </c>
      <c r="BR296" s="108" t="inlineStr">
        <is>
          <t>N/A</t>
        </is>
      </c>
      <c r="BS296" s="108" t="inlineStr">
        <is>
          <t>N/A</t>
        </is>
      </c>
      <c r="BT296" s="108" t="inlineStr">
        <is>
          <t>N/A</t>
        </is>
      </c>
      <c r="BU296" s="125" t="inlineStr">
        <is>
          <t>China International Capital Corporation Hong Kong Securities Limited</t>
        </is>
      </c>
      <c r="BV296" s="108" t="inlineStr">
        <is>
          <t>China International Capital Corporation Hong Kong Securities Limited</t>
        </is>
      </c>
      <c r="BW296" s="108" t="inlineStr">
        <is>
          <t>China International Capital Corporation Hong Kong Securities Limited; China Galaxy International Securities (Hong Kong) Co., Limited; Huatai Financial Holdings (Hong Kong) Limited; Guotai Junan Securities (Hong Kong) Limited; CCB International Capital Limited; ABCI Capital Limited; CMBC Securities Company Limited</t>
        </is>
      </c>
      <c r="BX296" s="108"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 Guotai Junan Securities (Hong Kong) Limited; Huatai Financial Holdings (Hong Kong) Limited; Livermore Holdings Limited; Tiger Brokers (HK) Global Limited</t>
        </is>
      </c>
      <c r="BY296" s="127">
        <f>HYPERLINK("https://www1.hkexnews.hk/listedco/listconews/sehk/2024/1202/2024120200011.pdf","prospectus")</f>
        <v/>
      </c>
      <c r="BZ296" s="127">
        <f>HYPERLINK("https://www1.hkexnews.hk/listedco/listconews/sehk/2024/1209/2024120901607.pdf","allotment")</f>
        <v/>
      </c>
      <c r="CA296" s="127">
        <f>HYPERLINK("https://www1.hkexnews.hk/listedco/listconews/sehk/2025/0106/2025010602006.pdf","stabilisation")</f>
        <v/>
      </c>
      <c r="CB296" s="128" t="n"/>
      <c r="CC296" s="108" t="inlineStr"/>
    </row>
    <row r="297" ht="22" customHeight="1">
      <c r="A297" s="107" t="inlineStr">
        <is>
          <t>2593</t>
        </is>
      </c>
      <c r="B297" s="108" t="inlineStr">
        <is>
          <t>HERBS GROUP</t>
        </is>
      </c>
      <c r="C297" s="108" t="inlineStr">
        <is>
          <t>草姬集團</t>
        </is>
      </c>
      <c r="D297" s="108" t="inlineStr">
        <is>
          <t>Healthcare</t>
        </is>
      </c>
      <c r="E297" s="108" t="inlineStr">
        <is>
          <t>TCM</t>
        </is>
      </c>
      <c r="F297" s="108" t="inlineStr">
        <is>
          <t>Health Care Supplies</t>
        </is>
      </c>
      <c r="G297" s="108" t="inlineStr">
        <is>
          <t>Standard</t>
        </is>
      </c>
      <c r="H297" s="109" t="n">
        <v>45645</v>
      </c>
      <c r="I297" s="110" t="n">
        <v>125</v>
      </c>
      <c r="J297" s="108" t="inlineStr">
        <is>
          <t>gross (stated)</t>
        </is>
      </c>
      <c r="K297" s="111" t="n">
        <v>3.75</v>
      </c>
      <c r="L297" s="111" t="n">
        <v>4.15</v>
      </c>
      <c r="M297" s="111" t="n">
        <v>3.75</v>
      </c>
      <c r="N297" s="108" t="inlineStr">
        <is>
          <t>N</t>
        </is>
      </c>
      <c r="O297" s="112" t="n">
        <v>90.40000000000001</v>
      </c>
      <c r="P297" s="112" t="n">
        <v>0</v>
      </c>
      <c r="Q297" s="113" t="n">
        <v>500</v>
      </c>
      <c r="R297" s="108" t="inlineStr">
        <is>
          <t>derived:price x shares upon listing</t>
        </is>
      </c>
      <c r="S297" s="114" t="n">
        <v>6083.63</v>
      </c>
      <c r="T297" s="115" t="n">
        <v>1.79</v>
      </c>
      <c r="U297" s="116" t="n">
        <v>22.4</v>
      </c>
      <c r="V297" s="117" t="n">
        <v>206</v>
      </c>
      <c r="W297" s="112" t="n">
        <v>50</v>
      </c>
      <c r="X297" s="108" t="inlineStr">
        <is>
          <t>YES</t>
        </is>
      </c>
      <c r="Y297" s="113" t="n">
        <v>97</v>
      </c>
      <c r="Z297" s="113" t="n">
        <v>25866874</v>
      </c>
      <c r="AA297" s="112" t="n">
        <v>19.4</v>
      </c>
      <c r="AB297" s="108" t="inlineStr">
        <is>
          <t>Water Live Wealth Limited; Vital Message Medical Health Care Centre Limited; Mr. Yuen Tsz Ho Ronald</t>
        </is>
      </c>
      <c r="AC297" s="108" t="inlineStr">
        <is>
          <t>water;vital;mr-yuen</t>
        </is>
      </c>
      <c r="AD297" s="118" t="n"/>
      <c r="AE297" s="119" t="n"/>
      <c r="AF297" s="119" t="n"/>
      <c r="AG297" s="119" t="n"/>
      <c r="AH297" s="119" t="n"/>
      <c r="AI297" s="120" t="n">
        <v>27.73</v>
      </c>
      <c r="AJ297" s="121" t="n">
        <v>10.4</v>
      </c>
      <c r="AK297" s="121" t="n">
        <v>-0.51</v>
      </c>
      <c r="AL297" s="121" t="n">
        <v>25.07</v>
      </c>
      <c r="AM297" s="121" t="n">
        <v>-11.73</v>
      </c>
      <c r="AN297" s="123" t="n">
        <v>3.48</v>
      </c>
      <c r="AO297" s="112" t="n">
        <v>24.95</v>
      </c>
      <c r="AP297" s="121" t="n">
        <v>-24.27</v>
      </c>
      <c r="AQ297" s="121" t="n">
        <v>-45.07</v>
      </c>
      <c r="AR297" s="121" t="n">
        <v>-54.93</v>
      </c>
      <c r="AS297" s="121" t="n">
        <v>-31.4</v>
      </c>
      <c r="AT297" s="121" t="n">
        <v>-50.24</v>
      </c>
      <c r="AU297" s="121" t="n">
        <v>-59.18</v>
      </c>
      <c r="AV297" s="121" t="n">
        <v>-22.77</v>
      </c>
      <c r="AW297" s="121" t="n">
        <v>-39.32</v>
      </c>
      <c r="AX297" s="121" t="n">
        <v>-63.87</v>
      </c>
      <c r="AY297" s="121" t="n">
        <v>-44.98</v>
      </c>
      <c r="AZ297" s="121" t="n">
        <v>-5.75</v>
      </c>
      <c r="BA297" s="121" t="n">
        <v>-5.26</v>
      </c>
      <c r="BB297" s="108" t="inlineStr">
        <is>
          <t>China Biotech ETF (HS biotech proxy)</t>
        </is>
      </c>
      <c r="BC297" s="121" t="n">
        <v>-70.93000000000001</v>
      </c>
      <c r="BD297" s="109" t="n">
        <v>46297</v>
      </c>
      <c r="BE297" s="110" t="n">
        <v>251.2</v>
      </c>
      <c r="BF297" s="113" t="n">
        <v>39.5</v>
      </c>
      <c r="BG297" s="108" t="inlineStr">
        <is>
          <t>Y</t>
        </is>
      </c>
      <c r="BH297" s="123" t="n">
        <v>12.7</v>
      </c>
      <c r="BI297" s="122" t="n"/>
      <c r="BJ297" s="122" t="n"/>
      <c r="BK297" s="123" t="n">
        <v>2</v>
      </c>
      <c r="BL297" s="124">
        <f>IF('BBG Verify'!S297="","not filed; run on terminal",'BBG Verify'!S297)</f>
        <v/>
      </c>
      <c r="BM297" s="125" t="inlineStr">
        <is>
          <t>N</t>
        </is>
      </c>
      <c r="BN297" s="126">
        <f>IF('BBG Verify'!K297="","not filed; run on terminal",'BBG Verify'!K297)</f>
        <v/>
      </c>
      <c r="BO297" s="108" t="inlineStr">
        <is>
          <t>N/A</t>
        </is>
      </c>
      <c r="BP297" s="108" t="inlineStr">
        <is>
          <t>N/A</t>
        </is>
      </c>
      <c r="BQ297" s="108" t="inlineStr">
        <is>
          <t>N/A</t>
        </is>
      </c>
      <c r="BR297" s="108" t="inlineStr">
        <is>
          <t>N/A</t>
        </is>
      </c>
      <c r="BS297" s="108" t="inlineStr">
        <is>
          <t>N/A</t>
        </is>
      </c>
      <c r="BT297" s="108" t="inlineStr">
        <is>
          <t>N/A</t>
        </is>
      </c>
      <c r="BU297" s="125" t="inlineStr">
        <is>
          <t>ABCI Capital Limited</t>
        </is>
      </c>
      <c r="BV297" s="108" t="inlineStr">
        <is>
          <t>ABCI Capital Limited</t>
        </is>
      </c>
      <c r="BW297" s="108" t="inlineStr">
        <is>
          <t>ABCI Capital Limited</t>
        </is>
      </c>
      <c r="BX297" s="108" t="inlineStr">
        <is>
          <t>ABCI Securities Company Limited; BOCOM International Securities Limited; Chiyu International Capital Limited; CMBC Securities Company Limited; China Sunrise Securities (International) Limited; Futu Securities International (Hong Kong) Limited; Get Nice Securities Limited; Livermore Holdings Limited; Phillip Securities (Hong Kong) Limited; Ruibang Securities Limited; Solomon JFZ (Asia) Holdings Limited; South China Securities Company Limited</t>
        </is>
      </c>
      <c r="BY297" s="127">
        <f>HYPERLINK("https://www1.hkexnews.hk/listedco/listconews/sehk/2024/1211/2024121100009.pdf","prospectus")</f>
        <v/>
      </c>
      <c r="BZ297" s="127">
        <f>HYPERLINK("https://www1.hkexnews.hk/listedco/listconews/sehk/2024/1218/2024121801165.pdf","allotment")</f>
        <v/>
      </c>
      <c r="CA297" s="119" t="n"/>
      <c r="CB297" s="128" t="n"/>
      <c r="CC297" s="108" t="inlineStr">
        <is>
          <t>greenshoe: no over-allotment option; sponsor: English name not in the filing; AAStocks 保薦人 shown; greenshoe size: no over-allotment option; stabilising manager: filing states none appointed (allotment announcement: 'no stabilizing manager will be appointed' stated in the filing)</t>
        </is>
      </c>
    </row>
    <row r="298" ht="22" customHeight="1">
      <c r="A298" s="107" t="inlineStr">
        <is>
          <t>0999</t>
        </is>
      </c>
      <c r="B298" s="108" t="inlineStr">
        <is>
          <t>XIAOCAIYUAN</t>
        </is>
      </c>
      <c r="C298" s="108" t="inlineStr">
        <is>
          <t>小菜園</t>
        </is>
      </c>
      <c r="D298" s="108" t="inlineStr">
        <is>
          <t>Consumer</t>
        </is>
      </c>
      <c r="E298" s="108" t="inlineStr">
        <is>
          <t>F&amp;B chains / restaurants</t>
        </is>
      </c>
      <c r="F298" s="108" t="inlineStr">
        <is>
          <t>Restaurants</t>
        </is>
      </c>
      <c r="G298" s="108" t="inlineStr">
        <is>
          <t>Standard</t>
        </is>
      </c>
      <c r="H298" s="109" t="n">
        <v>45646</v>
      </c>
      <c r="I298" s="110" t="n">
        <v>794.8</v>
      </c>
      <c r="J298" s="108" t="inlineStr">
        <is>
          <t>gross (stated)</t>
        </is>
      </c>
      <c r="K298" s="129" t="n"/>
      <c r="L298" s="111" t="n">
        <v>8.5</v>
      </c>
      <c r="M298" s="111" t="n">
        <v>8.5</v>
      </c>
      <c r="N298" s="108" t="inlineStr">
        <is>
          <t>Y</t>
        </is>
      </c>
      <c r="O298" s="112" t="n">
        <v>100</v>
      </c>
      <c r="P298" s="118" t="n"/>
      <c r="Q298" s="113" t="n">
        <v>10000.4</v>
      </c>
      <c r="R298" s="108" t="inlineStr">
        <is>
          <t>derived:price x shares upon listing</t>
        </is>
      </c>
      <c r="S298" s="114" t="n">
        <v>1.44</v>
      </c>
      <c r="T298" s="115" t="n">
        <v>1.29</v>
      </c>
      <c r="U298" s="116" t="n">
        <v>0</v>
      </c>
      <c r="V298" s="117" t="n">
        <v>131</v>
      </c>
      <c r="W298" s="112" t="n">
        <v>10</v>
      </c>
      <c r="X298" s="108" t="inlineStr">
        <is>
          <t>NO</t>
        </is>
      </c>
      <c r="Y298" s="113" t="n">
        <v>794.8</v>
      </c>
      <c r="Z298" s="113" t="n">
        <v>101180800</v>
      </c>
      <c r="AA298" s="112" t="n">
        <v>7.95</v>
      </c>
      <c r="AB298" s="108" t="inlineStr">
        <is>
          <t>none — no cornerstone tranche</t>
        </is>
      </c>
      <c r="AC298" s="108" t="inlineStr">
        <is>
          <t>none</t>
        </is>
      </c>
      <c r="AD298" s="112" t="n">
        <v>6.4</v>
      </c>
      <c r="AE298" s="108" t="inlineStr">
        <is>
          <t>lapsed (no over-allocation)</t>
        </is>
      </c>
      <c r="AF298" s="108" t="inlineStr">
        <is>
          <t>2025-01-16</t>
        </is>
      </c>
      <c r="AG298" s="108" t="inlineStr">
        <is>
          <t>UBS AG Hong Kong Branch</t>
        </is>
      </c>
      <c r="AH298" s="108" t="inlineStr">
        <is>
          <t>UBS</t>
        </is>
      </c>
      <c r="AI298" s="120" t="n">
        <v>-0.82</v>
      </c>
      <c r="AJ298" s="121" t="n">
        <v>13.65</v>
      </c>
      <c r="AK298" s="121" t="n">
        <v>-0.11</v>
      </c>
      <c r="AL298" s="121" t="n">
        <v>5.88</v>
      </c>
      <c r="AM298" s="121" t="n">
        <v>7.34</v>
      </c>
      <c r="AN298" s="123" t="n">
        <v>0.77</v>
      </c>
      <c r="AO298" s="112" t="n">
        <v>13.33</v>
      </c>
      <c r="AP298" s="121" t="n">
        <v>7.41</v>
      </c>
      <c r="AQ298" s="121" t="n">
        <v>5.18</v>
      </c>
      <c r="AR298" s="121" t="n">
        <v>25.18</v>
      </c>
      <c r="AS298" s="121" t="n">
        <v>-5.49</v>
      </c>
      <c r="AT298" s="121" t="n">
        <v>-7.45</v>
      </c>
      <c r="AU298" s="121" t="n">
        <v>10.15</v>
      </c>
      <c r="AV298" s="121" t="n">
        <v>6.62</v>
      </c>
      <c r="AW298" s="121" t="n">
        <v>6.36</v>
      </c>
      <c r="AX298" s="121" t="n">
        <v>1.54</v>
      </c>
      <c r="AY298" s="121" t="n">
        <v>-6.38</v>
      </c>
      <c r="AZ298" s="121" t="n">
        <v>-1.18</v>
      </c>
      <c r="BA298" s="121" t="n">
        <v>-1.07</v>
      </c>
      <c r="BB298" s="108" t="inlineStr">
        <is>
          <t>Hang Seng Commerce &amp; Industry sub-index</t>
        </is>
      </c>
      <c r="BC298" s="121" t="n">
        <v>5.41</v>
      </c>
      <c r="BD298" s="109" t="n">
        <v>46297</v>
      </c>
      <c r="BE298" s="110" t="n">
        <v>5004.4</v>
      </c>
      <c r="BF298" s="113" t="n">
        <v>585.3</v>
      </c>
      <c r="BG298" s="108" t="inlineStr">
        <is>
          <t>Y</t>
        </is>
      </c>
      <c r="BH298" s="123" t="n">
        <v>17.1</v>
      </c>
      <c r="BI298" s="122" t="n"/>
      <c r="BJ298" s="122" t="n"/>
      <c r="BK298" s="123" t="n">
        <v>2</v>
      </c>
      <c r="BL298" s="124">
        <f>IF('BBG Verify'!S298="","not filed; run on terminal",'BBG Verify'!S298)</f>
        <v/>
      </c>
      <c r="BM298" s="125" t="inlineStr">
        <is>
          <t>N</t>
        </is>
      </c>
      <c r="BN298" s="126">
        <f>IF('BBG Verify'!K298="","not filed; run on terminal",'BBG Verify'!K298)</f>
        <v/>
      </c>
      <c r="BO298" s="108" t="inlineStr">
        <is>
          <t>N/A</t>
        </is>
      </c>
      <c r="BP298" s="108" t="inlineStr">
        <is>
          <t>N/A</t>
        </is>
      </c>
      <c r="BQ298" s="108" t="inlineStr">
        <is>
          <t>N/A</t>
        </is>
      </c>
      <c r="BR298" s="108" t="inlineStr">
        <is>
          <t>N/A</t>
        </is>
      </c>
      <c r="BS298" s="108" t="inlineStr">
        <is>
          <t>N/A</t>
        </is>
      </c>
      <c r="BT298" s="108" t="inlineStr">
        <is>
          <t>N/A</t>
        </is>
      </c>
      <c r="BU298" s="125" t="inlineStr">
        <is>
          <t>Huatai Financial Holdings (Hong Kong) Limited; UBS Securities Hong Kong Limited</t>
        </is>
      </c>
      <c r="BV298" s="108" t="inlineStr">
        <is>
          <t>UBS Securities Hong Kong Limited; Huatai Financial Holdings (Hong Kong) Limited</t>
        </is>
      </c>
      <c r="BW298" s="108" t="inlineStr">
        <is>
          <t>Huatai Financial Holdings (Hong Kong) Limited; UBS AG Hong Kong Branch; Guoyuan Securities Brokerage (Hong Kong) Limited; CMB International Capital Limited; ABCI Capital Limited; ICBC International Securities Limited</t>
        </is>
      </c>
      <c r="BX298" s="108" t="inlineStr">
        <is>
          <t>ABCI Securities Company Limited; CMB International Capital Corporation Limited; Futu Securities International (Hong Kong) Limited; Guoyuan Securities Brokerage (Hong Kong) Limited; Huatai Financial Holdings (Hong Kong) Limited; ICBC International Securities Limited; TradeGo Markets Limited; UBS AG Hong Kong Branch</t>
        </is>
      </c>
      <c r="BY298" s="127">
        <f>HYPERLINK("https://www1.hkexnews.hk/listedco/listconews/sehk/2024/1212/2024121200007.pdf","prospectus")</f>
        <v/>
      </c>
      <c r="BZ298" s="127">
        <f>HYPERLINK("https://www1.hkexnews.hk/listedco/listconews/sehk/2024/1219/2024121901317.pdf","allotment")</f>
        <v/>
      </c>
      <c r="CA298" s="127">
        <f>HYPERLINK("https://www1.hkexnews.hk/listedco/listconews/sehk/2025/0116/2025011600598.pdf","stabilisation")</f>
        <v/>
      </c>
      <c r="CB298" s="128" t="n"/>
      <c r="CC298" s="108" t="inlineStr">
        <is>
          <t>range low: maximum offer price only, no floor published; cornerstone list: no cornerstone tranche; public sub: AAStocks rounds the same figure; HKEX table kept</t>
        </is>
      </c>
    </row>
    <row r="299" ht="22" customHeight="1">
      <c r="A299" s="107" t="inlineStr">
        <is>
          <t>2432</t>
        </is>
      </c>
      <c r="B299" s="108" t="inlineStr">
        <is>
          <t>DOBOT</t>
        </is>
      </c>
      <c r="C299" s="108" t="inlineStr">
        <is>
          <t>越疆</t>
        </is>
      </c>
      <c r="D299" s="108" t="inlineStr">
        <is>
          <t>Tech/AI</t>
        </is>
      </c>
      <c r="E299" s="108" t="inlineStr">
        <is>
          <t>Robotics &amp; autonomous driving</t>
        </is>
      </c>
      <c r="F299" s="108" t="inlineStr">
        <is>
          <t>Application Software</t>
        </is>
      </c>
      <c r="G299" s="108" t="inlineStr">
        <is>
          <t>Standard</t>
        </is>
      </c>
      <c r="H299" s="109" t="n">
        <v>45649</v>
      </c>
      <c r="I299" s="110" t="n">
        <v>752</v>
      </c>
      <c r="J299" s="108" t="inlineStr">
        <is>
          <t>gross (stated)</t>
        </is>
      </c>
      <c r="K299" s="129" t="n"/>
      <c r="L299" s="111" t="n">
        <v>20.8</v>
      </c>
      <c r="M299" s="111" t="n">
        <v>18.8</v>
      </c>
      <c r="N299" s="108" t="inlineStr">
        <is>
          <t>N</t>
        </is>
      </c>
      <c r="O299" s="112" t="n">
        <v>90.40000000000001</v>
      </c>
      <c r="P299" s="118" t="n"/>
      <c r="Q299" s="113" t="n">
        <v>6654.9</v>
      </c>
      <c r="R299" s="108" t="inlineStr">
        <is>
          <t>derived:deal size / offer % of enlarged capital</t>
        </is>
      </c>
      <c r="S299" s="114" t="n">
        <v>9.25</v>
      </c>
      <c r="T299" s="115" t="n">
        <v>2.64</v>
      </c>
      <c r="U299" s="116" t="n">
        <v>0</v>
      </c>
      <c r="V299" s="117" t="n">
        <v>124</v>
      </c>
      <c r="W299" s="112" t="n">
        <v>5</v>
      </c>
      <c r="X299" s="108" t="inlineStr">
        <is>
          <t>NO</t>
        </is>
      </c>
      <c r="Y299" s="113" t="n">
        <v>752</v>
      </c>
      <c r="Z299" s="113" t="n">
        <v>40000000</v>
      </c>
      <c r="AA299" s="112" t="n">
        <v>11.3</v>
      </c>
      <c r="AB299" s="108" t="inlineStr">
        <is>
          <t>none — no cornerstone tranche</t>
        </is>
      </c>
      <c r="AC299" s="108" t="inlineStr">
        <is>
          <t>none</t>
        </is>
      </c>
      <c r="AD299" s="112" t="n">
        <v>15</v>
      </c>
      <c r="AE299" s="108" t="inlineStr">
        <is>
          <t>partial</t>
        </is>
      </c>
      <c r="AF299" s="108" t="inlineStr">
        <is>
          <t>2025-01-17</t>
        </is>
      </c>
      <c r="AG299" s="108" t="inlineStr">
        <is>
          <t>Guotai Junan Securities</t>
        </is>
      </c>
      <c r="AH299" s="108" t="inlineStr">
        <is>
          <t>Guotai Junan</t>
        </is>
      </c>
      <c r="AI299" s="120" t="n">
        <v>8.779999999999999</v>
      </c>
      <c r="AJ299" s="121" t="n">
        <v>0.74</v>
      </c>
      <c r="AK299" s="121" t="n">
        <v>0.37</v>
      </c>
      <c r="AL299" s="121" t="n">
        <v>4.79</v>
      </c>
      <c r="AM299" s="121" t="n">
        <v>-3.86</v>
      </c>
      <c r="AN299" s="123" t="n">
        <v>1.55</v>
      </c>
      <c r="AO299" s="112" t="n">
        <v>13.3</v>
      </c>
      <c r="AP299" s="121" t="n">
        <v>1.6</v>
      </c>
      <c r="AQ299" s="121" t="n">
        <v>22.87</v>
      </c>
      <c r="AR299" s="121" t="n">
        <v>217.82</v>
      </c>
      <c r="AS299" s="121" t="n">
        <v>0.85</v>
      </c>
      <c r="AT299" s="121" t="n">
        <v>21.97</v>
      </c>
      <c r="AU299" s="121" t="n">
        <v>215.49</v>
      </c>
      <c r="AV299" s="121" t="n">
        <v>3.67</v>
      </c>
      <c r="AW299" s="121" t="n">
        <v>18.14</v>
      </c>
      <c r="AX299" s="121" t="n">
        <v>193.85</v>
      </c>
      <c r="AY299" s="121" t="n">
        <v>17.62</v>
      </c>
      <c r="AZ299" s="121" t="n">
        <v>4.73</v>
      </c>
      <c r="BA299" s="121" t="n">
        <v>4.35</v>
      </c>
      <c r="BB299" s="108" t="inlineStr">
        <is>
          <t>HSTECH (Hang Seng TECH ETF)</t>
        </is>
      </c>
      <c r="BC299" s="121" t="n">
        <v>10.96</v>
      </c>
      <c r="BD299" s="109" t="n">
        <v>46297</v>
      </c>
      <c r="BE299" s="110" t="n">
        <v>315.4</v>
      </c>
      <c r="BF299" s="113" t="n">
        <v>-113.6</v>
      </c>
      <c r="BG299" s="108" t="inlineStr">
        <is>
          <t>N</t>
        </is>
      </c>
      <c r="BH299" s="108" t="inlineStr">
        <is>
          <t>n/m</t>
        </is>
      </c>
      <c r="BI299" s="122" t="n"/>
      <c r="BJ299" s="122" t="n"/>
      <c r="BK299" s="123" t="n">
        <v>21.1</v>
      </c>
      <c r="BL299" s="124">
        <f>IF('BBG Verify'!S299="","not filed; run on terminal",'BBG Verify'!S299)</f>
        <v/>
      </c>
      <c r="BM299" s="125" t="inlineStr">
        <is>
          <t>N</t>
        </is>
      </c>
      <c r="BN299" s="126">
        <f>IF('BBG Verify'!K299="","not filed; run on terminal",'BBG Verify'!K299)</f>
        <v/>
      </c>
      <c r="BO299" s="108" t="inlineStr">
        <is>
          <t>N/A</t>
        </is>
      </c>
      <c r="BP299" s="108" t="inlineStr">
        <is>
          <t>N/A</t>
        </is>
      </c>
      <c r="BQ299" s="108" t="inlineStr">
        <is>
          <t>N/A</t>
        </is>
      </c>
      <c r="BR299" s="108" t="inlineStr">
        <is>
          <t>N/A</t>
        </is>
      </c>
      <c r="BS299" s="108" t="inlineStr">
        <is>
          <t>N/A</t>
        </is>
      </c>
      <c r="BT299" s="108" t="inlineStr">
        <is>
          <t>N/A</t>
        </is>
      </c>
      <c r="BU299" s="125" t="inlineStr">
        <is>
          <t>Guotai Junan Capital Limited; ABCI Capital Limited; OCs Guotai Junan Securities (Hong Kong) Limited</t>
        </is>
      </c>
      <c r="BV299" s="108" t="inlineStr">
        <is>
          <t>Guotai Junan Capital Limited; ABCI Capital Limited</t>
        </is>
      </c>
      <c r="BW299" s="108" t="inlineStr">
        <is>
          <t>Guotai Junan Securities (Hong Kong) Limited; ABCI Capital Limited; Shenwan Hongyuan Securities (H.K.) Limited; TradeGo Markets Limited</t>
        </is>
      </c>
      <c r="BX299" s="108" t="inlineStr">
        <is>
          <t>ABCI Securities Company Limited; China PA Securities (Hong Kong) Company Limited; Guotai Junan Securities (Hong Kong) Limited; Shenwan Hongyuan Securities (H.K.) Limited; TradeGo Markets Limited</t>
        </is>
      </c>
      <c r="BY299" s="127">
        <f>HYPERLINK("https://www1.hkexnews.hk/listedco/listconews/sehk/2024/1213/2024121300029.pdf","prospectus")</f>
        <v/>
      </c>
      <c r="BZ299" s="127">
        <f>HYPERLINK("https://www1.hkexnews.hk/listedco/listconews/sehk/2024/1220/2024122001962.pdf","allotment")</f>
        <v/>
      </c>
      <c r="CA299" s="127">
        <f>HYPERLINK("https://www1.hkexnews.hk/listedco/listconews/sehk/2025/0117/2025011701078.pdf","stabilisation")</f>
        <v/>
      </c>
      <c r="CB299" s="128" t="n"/>
      <c r="CC299" s="108" t="inlineStr">
        <is>
          <t>P/E: loss-making at IPO, use P/S; range low: maximum offer price only, no floor published; market cap: prospectus 'market capitalisation' line is the listing-rule threshold, not the issuer's figure; rejected; cornerstone list: no cornerstone tranche</t>
        </is>
      </c>
    </row>
    <row r="300" ht="22" customHeight="1">
      <c r="A300" s="107" t="inlineStr">
        <is>
          <t>2431</t>
        </is>
      </c>
      <c r="B300" s="108" t="inlineStr">
        <is>
          <t>MINIEYE</t>
        </is>
      </c>
      <c r="C300" s="108" t="inlineStr">
        <is>
          <t>佑駕創新</t>
        </is>
      </c>
      <c r="D300" s="108" t="inlineStr">
        <is>
          <t>Tech/AI</t>
        </is>
      </c>
      <c r="E300" s="108" t="inlineStr">
        <is>
          <t>Robotics &amp; autonomous driving</t>
        </is>
      </c>
      <c r="F300" s="108" t="inlineStr">
        <is>
          <t>Application Software</t>
        </is>
      </c>
      <c r="G300" s="108" t="inlineStr">
        <is>
          <t>Standard</t>
        </is>
      </c>
      <c r="H300" s="109" t="n">
        <v>45653</v>
      </c>
      <c r="I300" s="110" t="n">
        <v>666.23</v>
      </c>
      <c r="J300" s="108" t="inlineStr">
        <is>
          <t>gross (stated)</t>
        </is>
      </c>
      <c r="K300" s="111" t="n">
        <v>17</v>
      </c>
      <c r="L300" s="111" t="n">
        <v>20.2</v>
      </c>
      <c r="M300" s="111" t="n">
        <v>17</v>
      </c>
      <c r="N300" s="108" t="inlineStr">
        <is>
          <t>N</t>
        </is>
      </c>
      <c r="O300" s="112" t="n">
        <v>84.2</v>
      </c>
      <c r="P300" s="112" t="n">
        <v>0</v>
      </c>
      <c r="Q300" s="113" t="n">
        <v>6002.1</v>
      </c>
      <c r="R300" s="108" t="inlineStr">
        <is>
          <t>derived:deal size / offer % of enlarged capital</t>
        </is>
      </c>
      <c r="S300" s="114" t="n">
        <v>14.04</v>
      </c>
      <c r="T300" s="115" t="n">
        <v>1.09</v>
      </c>
      <c r="U300" s="116" t="n">
        <v>81.09</v>
      </c>
      <c r="V300" s="117" t="n">
        <v>115</v>
      </c>
      <c r="W300" s="112" t="n">
        <v>10</v>
      </c>
      <c r="X300" s="108" t="inlineStr">
        <is>
          <t>NO</t>
        </is>
      </c>
      <c r="Y300" s="113" t="n">
        <v>125.98</v>
      </c>
      <c r="Z300" s="113" t="n">
        <v>7410829</v>
      </c>
      <c r="AA300" s="112" t="n">
        <v>2.1</v>
      </c>
      <c r="AB300" s="108" t="inlineStr">
        <is>
          <t>KCH International Investment Limited; Horizon Together Holding Ltd</t>
        </is>
      </c>
      <c r="AC300" s="108" t="inlineStr">
        <is>
          <t>kch;horizon</t>
        </is>
      </c>
      <c r="AD300" s="112" t="n">
        <v>2</v>
      </c>
      <c r="AE300" s="108" t="inlineStr">
        <is>
          <t>partial</t>
        </is>
      </c>
      <c r="AF300" s="108" t="inlineStr">
        <is>
          <t>2025-01-19</t>
        </is>
      </c>
      <c r="AG300" s="108" t="inlineStr">
        <is>
          <t>CLSA Limited</t>
        </is>
      </c>
      <c r="AH300" s="108" t="inlineStr">
        <is>
          <t>CLSA</t>
        </is>
      </c>
      <c r="AI300" s="120" t="n">
        <v>7.65</v>
      </c>
      <c r="AJ300" s="121" t="n">
        <v>14.12</v>
      </c>
      <c r="AK300" s="121" t="n">
        <v>0.68</v>
      </c>
      <c r="AL300" s="121" t="n">
        <v>9.41</v>
      </c>
      <c r="AM300" s="121" t="n">
        <v>4.3</v>
      </c>
      <c r="AN300" s="123" t="n">
        <v>1.53</v>
      </c>
      <c r="AO300" s="112" t="n">
        <v>9.460000000000001</v>
      </c>
      <c r="AP300" s="121" t="n">
        <v>2.94</v>
      </c>
      <c r="AQ300" s="121" t="n">
        <v>22.94</v>
      </c>
      <c r="AR300" s="121" t="n">
        <v>88.53</v>
      </c>
      <c r="AS300" s="121" t="n">
        <v>-9.800000000000001</v>
      </c>
      <c r="AT300" s="121" t="n">
        <v>7.73</v>
      </c>
      <c r="AU300" s="121" t="n">
        <v>65.2</v>
      </c>
      <c r="AV300" s="121" t="n">
        <v>5.52</v>
      </c>
      <c r="AW300" s="121" t="n">
        <v>18.33</v>
      </c>
      <c r="AX300" s="121" t="n">
        <v>69.06999999999999</v>
      </c>
      <c r="AY300" s="121" t="n">
        <v>3.82</v>
      </c>
      <c r="AZ300" s="121" t="n">
        <v>4.61</v>
      </c>
      <c r="BA300" s="121" t="n">
        <v>3.91</v>
      </c>
      <c r="BB300" s="108" t="inlineStr">
        <is>
          <t>HSTECH (Hang Seng TECH ETF)</t>
        </is>
      </c>
      <c r="BC300" s="121" t="n">
        <v>-88.88</v>
      </c>
      <c r="BD300" s="109" t="n">
        <v>46297</v>
      </c>
      <c r="BE300" s="110" t="n">
        <v>523.8</v>
      </c>
      <c r="BF300" s="113" t="n">
        <v>-227.9</v>
      </c>
      <c r="BG300" s="108" t="inlineStr">
        <is>
          <t>N</t>
        </is>
      </c>
      <c r="BH300" s="108" t="inlineStr">
        <is>
          <t>n/m</t>
        </is>
      </c>
      <c r="BI300" s="122" t="n"/>
      <c r="BJ300" s="122" t="n"/>
      <c r="BK300" s="123" t="n">
        <v>11.5</v>
      </c>
      <c r="BL300" s="124">
        <f>IF('BBG Verify'!S300="","not filed; run on terminal",'BBG Verify'!S300)</f>
        <v/>
      </c>
      <c r="BM300" s="125" t="inlineStr">
        <is>
          <t>N</t>
        </is>
      </c>
      <c r="BN300" s="126">
        <f>IF('BBG Verify'!K300="","not filed; run on terminal",'BBG Verify'!K300)</f>
        <v/>
      </c>
      <c r="BO300" s="108" t="inlineStr">
        <is>
          <t>N/A</t>
        </is>
      </c>
      <c r="BP300" s="108" t="inlineStr">
        <is>
          <t>N/A</t>
        </is>
      </c>
      <c r="BQ300" s="108" t="inlineStr">
        <is>
          <t>N/A</t>
        </is>
      </c>
      <c r="BR300" s="108" t="inlineStr">
        <is>
          <t>N/A</t>
        </is>
      </c>
      <c r="BS300" s="108" t="inlineStr">
        <is>
          <t>N/A</t>
        </is>
      </c>
      <c r="BT300" s="108" t="inlineStr">
        <is>
          <t>N/A</t>
        </is>
      </c>
      <c r="BU300" s="125" t="inlineStr">
        <is>
          <t>CITIC Securities (Hong Kong) Limited; China International Capital Corporation Hong Kong Securities Limited</t>
        </is>
      </c>
      <c r="BV300" s="108" t="inlineStr">
        <is>
          <t>China International Capital Corporation Hong Kong Securities Limited; CITIC Securities (Hong Kong) Limited</t>
        </is>
      </c>
      <c r="BW300" s="108" t="inlineStr">
        <is>
          <t>BOCI Asia Limited; CMBC Securities Company Limited; Futu Securities International (Hong Kong) Limited; Phillip Securities (Hong Kong) Limited; Shenwan Hongyuan Securities (H.K.) Limited; SPDB International Capital Limited; Tiger Brokers (HK) Global Limited</t>
        </is>
      </c>
      <c r="BX300" s="108" t="inlineStr">
        <is>
          <t>ABCI Securities Company Limited; BOCI Asia Limited; China International Capital Corporation Hong Kong Securities Limited; CLSA Limited; CMBC Securities Company Limited; Fosun International Securities Limited; Futu Securities International (Hong Kong) Limited; Long Bridge HK Limited; Patrons Securities Limited; Phillip Securities (Hong Kong) Limited; SBI China Capital Financial Services Limited; SDICS International Securities (Hong Kong) Limited</t>
        </is>
      </c>
      <c r="BY300" s="127">
        <f>HYPERLINK("https://www1.hkexnews.hk/listedco/listconews/sehk/2024/1217/2024121700015.pdf","prospectus")</f>
        <v/>
      </c>
      <c r="BZ300" s="127">
        <f>HYPERLINK("https://www1.hkexnews.hk/listedco/listconews/sehk/2024/1224/2024122401190.pdf","allotment")</f>
        <v/>
      </c>
      <c r="CA300" s="127">
        <f>HYPERLINK("https://www1.hkexnews.hk/listedco/listconews/sehk/2025/0120/2025012000812.pdf","stabilisation")</f>
        <v/>
      </c>
      <c r="CB300" s="128" t="n"/>
      <c r="CC300" s="108" t="inlineStr">
        <is>
          <t>P/E: loss-making at IPO, use P/S</t>
        </is>
      </c>
    </row>
    <row r="301" ht="22" customHeight="1">
      <c r="A301" s="107" t="inlineStr">
        <is>
          <t>2587</t>
        </is>
      </c>
      <c r="B301" s="108" t="inlineStr">
        <is>
          <t>HEALTHYWAY INC</t>
        </is>
      </c>
      <c r="C301" s="108" t="inlineStr">
        <is>
          <t>健康之路</t>
        </is>
      </c>
      <c r="D301" s="108" t="inlineStr">
        <is>
          <t>Healthcare</t>
        </is>
      </c>
      <c r="E301" s="108" t="inlineStr">
        <is>
          <t>Digital health</t>
        </is>
      </c>
      <c r="F301" s="108" t="inlineStr">
        <is>
          <t>Health Care Services</t>
        </is>
      </c>
      <c r="G301" s="108" t="inlineStr">
        <is>
          <t>Standard</t>
        </is>
      </c>
      <c r="H301" s="109" t="n">
        <v>45656</v>
      </c>
      <c r="I301" s="110" t="n">
        <v>195</v>
      </c>
      <c r="J301" s="108" t="inlineStr">
        <is>
          <t>gross (stated)</t>
        </is>
      </c>
      <c r="K301" s="111" t="n">
        <v>7.8</v>
      </c>
      <c r="L301" s="111" t="n">
        <v>8.800000000000001</v>
      </c>
      <c r="M301" s="111" t="n">
        <v>7.8</v>
      </c>
      <c r="N301" s="108" t="inlineStr">
        <is>
          <t>N</t>
        </is>
      </c>
      <c r="O301" s="112" t="n">
        <v>88.59999999999999</v>
      </c>
      <c r="P301" s="112" t="n">
        <v>0</v>
      </c>
      <c r="Q301" s="113" t="n">
        <v>6846.1</v>
      </c>
      <c r="R301" s="108" t="inlineStr">
        <is>
          <t>derived:price x shares upon listing</t>
        </is>
      </c>
      <c r="S301" s="114" t="n">
        <v>34.42</v>
      </c>
      <c r="T301" s="115" t="n">
        <v>0.98</v>
      </c>
      <c r="U301" s="116" t="n">
        <v>51.23</v>
      </c>
      <c r="V301" s="117" t="n">
        <v>108</v>
      </c>
      <c r="W301" s="112" t="n">
        <v>13.2</v>
      </c>
      <c r="X301" s="108" t="inlineStr">
        <is>
          <t>NO</t>
        </is>
      </c>
      <c r="Y301" s="113" t="n">
        <v>95.09999999999999</v>
      </c>
      <c r="Z301" s="113" t="n">
        <v>12192500</v>
      </c>
      <c r="AA301" s="112" t="n">
        <v>1.39</v>
      </c>
      <c r="AB301" s="108" t="inlineStr">
        <is>
          <t>Hengqin Guangdong Macao Deep Cooperation Zone Industrial Investment Fund (Limited Partnership)</t>
        </is>
      </c>
      <c r="AC301" s="108" t="inlineStr">
        <is>
          <t>hengqin</t>
        </is>
      </c>
      <c r="AD301" s="118" t="n"/>
      <c r="AE301" s="119" t="n"/>
      <c r="AF301" s="119" t="n"/>
      <c r="AG301" s="119" t="n"/>
      <c r="AH301" s="119" t="n"/>
      <c r="AI301" s="120" t="n">
        <v>23.33</v>
      </c>
      <c r="AJ301" s="121" t="n">
        <v>36.67</v>
      </c>
      <c r="AK301" s="121" t="n">
        <v>0.67</v>
      </c>
      <c r="AL301" s="121" t="n">
        <v>27.56</v>
      </c>
      <c r="AM301" s="121" t="n">
        <v>7.14</v>
      </c>
      <c r="AN301" s="123" t="n">
        <v>0.99</v>
      </c>
      <c r="AO301" s="112" t="n">
        <v>13.07</v>
      </c>
      <c r="AP301" s="121" t="n">
        <v>97.95</v>
      </c>
      <c r="AQ301" s="121" t="n">
        <v>71.79000000000001</v>
      </c>
      <c r="AR301" s="121" t="n">
        <v>303.21</v>
      </c>
      <c r="AS301" s="121" t="n">
        <v>44.84</v>
      </c>
      <c r="AT301" s="121" t="n">
        <v>25.7</v>
      </c>
      <c r="AU301" s="121" t="n">
        <v>195.02</v>
      </c>
      <c r="AV301" s="121" t="n">
        <v>102.77</v>
      </c>
      <c r="AW301" s="121" t="n">
        <v>74.68000000000001</v>
      </c>
      <c r="AX301" s="121" t="n">
        <v>282.84</v>
      </c>
      <c r="AY301" s="121" t="n">
        <v>29.24</v>
      </c>
      <c r="AZ301" s="121" t="n">
        <v>-2.89</v>
      </c>
      <c r="BA301" s="121" t="n">
        <v>-3.54</v>
      </c>
      <c r="BB301" s="108" t="inlineStr">
        <is>
          <t>China Biotech ETF (HS biotech proxy)</t>
        </is>
      </c>
      <c r="BC301" s="121" t="n">
        <v>-91.54000000000001</v>
      </c>
      <c r="BD301" s="109" t="n">
        <v>46297</v>
      </c>
      <c r="BE301" s="110" t="n">
        <v>1320.9</v>
      </c>
      <c r="BF301" s="113" t="n">
        <v>-345.3</v>
      </c>
      <c r="BG301" s="108" t="inlineStr">
        <is>
          <t>N</t>
        </is>
      </c>
      <c r="BH301" s="108" t="inlineStr">
        <is>
          <t>n/m</t>
        </is>
      </c>
      <c r="BI301" s="122" t="n"/>
      <c r="BJ301" s="123" t="n">
        <v>26.7</v>
      </c>
      <c r="BK301" s="123" t="n">
        <v>5.2</v>
      </c>
      <c r="BL301" s="124">
        <f>IF('BBG Verify'!S301="","not filed; run on terminal",'BBG Verify'!S301)</f>
        <v/>
      </c>
      <c r="BM301" s="125" t="inlineStr">
        <is>
          <t>N</t>
        </is>
      </c>
      <c r="BN301" s="126">
        <f>IF('BBG Verify'!K301="","not filed; run on terminal",'BBG Verify'!K301)</f>
        <v/>
      </c>
      <c r="BO301" s="108" t="inlineStr">
        <is>
          <t>N/A</t>
        </is>
      </c>
      <c r="BP301" s="108" t="inlineStr">
        <is>
          <t>N/A</t>
        </is>
      </c>
      <c r="BQ301" s="108" t="inlineStr">
        <is>
          <t>N/A</t>
        </is>
      </c>
      <c r="BR301" s="108" t="inlineStr">
        <is>
          <t>N/A</t>
        </is>
      </c>
      <c r="BS301" s="108" t="inlineStr">
        <is>
          <t>N/A</t>
        </is>
      </c>
      <c r="BT301" s="108" t="inlineStr">
        <is>
          <t>N/A</t>
        </is>
      </c>
      <c r="BU301" s="125" t="inlineStr">
        <is>
          <t>CCB Intern ational Capital Limited; (Note) Bristol Capital Limited</t>
        </is>
      </c>
      <c r="BV301" s="108" t="inlineStr">
        <is>
          <t>CCB International Capital Limited</t>
        </is>
      </c>
      <c r="BW301" s="108" t="inlineStr">
        <is>
          <t>BOCI Asia Limited; Livermore Holdings Limited; Fosun International Securities Limited; Zhongtai International Securities Limited; China Everbright Securities (HK) Limited; Ruibang Securities Limited; Sinolink Securities (Hong Kong) Company Limited; Victory Securities Company Limited; Futu Securities International (Hong Kong) Limited</t>
        </is>
      </c>
      <c r="BX301" s="108" t="inlineStr">
        <is>
          <t>BOCI Asia Limited; CCB International Capital Limited; China Everbright Securities (HK) Limited; Fosun International Securities Limited; Futu Securities International (Hong Kong) Limited; Livermore Holdings Limited; Patrons Securities Limited; Ruibang Securities Limited; Shenwan Hongyuan Securities (H.K.) Limited; Sinolink Securities (Hong Kong) Company Limited; Victory Securities Company Limited; Zhongtai International Securities Limited</t>
        </is>
      </c>
      <c r="BY301" s="127">
        <f>HYPERLINK("https://www1.hkexnews.hk/listedco/listconews/sehk/2024/1218/2024121800023.pdf","prospectus")</f>
        <v/>
      </c>
      <c r="BZ301" s="127">
        <f>HYPERLINK("https://www1.hkexnews.hk/listedco/listconews/sehk/2024/1227/2024122701758.pdf","allotment")</f>
        <v/>
      </c>
      <c r="CA301" s="119" t="n"/>
      <c r="CB301" s="128" t="n"/>
      <c r="CC301" s="108" t="inlineStr">
        <is>
          <t>P/E: loss-making at IPO, use P/S; greenshoe: no over-allotment option; greenshoe size: no over-allotment option; stabilising manager: no over-allotment option, so none appointed</t>
        </is>
      </c>
    </row>
    <row r="302" ht="22" customHeight="1">
      <c r="A302" s="107" t="inlineStr">
        <is>
          <t>2577</t>
        </is>
      </c>
      <c r="B302" s="108" t="inlineStr">
        <is>
          <t>INNOSCIENCE</t>
        </is>
      </c>
      <c r="C302" s="108" t="inlineStr">
        <is>
          <t>英諾賽科</t>
        </is>
      </c>
      <c r="D302" s="108" t="inlineStr">
        <is>
          <t>Tech/AI</t>
        </is>
      </c>
      <c r="E302" s="108" t="inlineStr">
        <is>
          <t>Analog / power semiconductors</t>
        </is>
      </c>
      <c r="F302" s="108" t="inlineStr">
        <is>
          <t>Semiconductors &amp; Semiconductor Equipment</t>
        </is>
      </c>
      <c r="G302" s="108" t="inlineStr">
        <is>
          <t>Standard</t>
        </is>
      </c>
      <c r="H302" s="109" t="n">
        <v>45656</v>
      </c>
      <c r="I302" s="110" t="n">
        <v>1399.9</v>
      </c>
      <c r="J302" s="108" t="inlineStr">
        <is>
          <t>gross (price x shares)</t>
        </is>
      </c>
      <c r="K302" s="111" t="n">
        <v>30.86</v>
      </c>
      <c r="L302" s="111" t="n">
        <v>33.66</v>
      </c>
      <c r="M302" s="111" t="n">
        <v>30.86</v>
      </c>
      <c r="N302" s="108" t="inlineStr">
        <is>
          <t>N</t>
        </is>
      </c>
      <c r="O302" s="112" t="n">
        <v>91.7</v>
      </c>
      <c r="P302" s="112" t="n">
        <v>0</v>
      </c>
      <c r="Q302" s="113" t="n">
        <v>24873.7</v>
      </c>
      <c r="R302" s="108" t="inlineStr">
        <is>
          <t>prospectus:stated market capitalisation, rescaled to the offer price</t>
        </is>
      </c>
      <c r="S302" s="114" t="n">
        <v>2.87</v>
      </c>
      <c r="T302" s="115" t="n">
        <v>1.41</v>
      </c>
      <c r="U302" s="116" t="n">
        <v>55.38</v>
      </c>
      <c r="V302" s="117" t="n">
        <v>133</v>
      </c>
      <c r="W302" s="112" t="n">
        <v>10</v>
      </c>
      <c r="X302" s="108" t="inlineStr">
        <is>
          <t>NO</t>
        </is>
      </c>
      <c r="Y302" s="113" t="n">
        <v>624.64</v>
      </c>
      <c r="Z302" s="113" t="n">
        <v>20241417</v>
      </c>
      <c r="AA302" s="112" t="n">
        <v>2.51</v>
      </c>
      <c r="AB302" s="108" t="inlineStr">
        <is>
          <t>STMicroelectro nics Limited; Jiangsu Govtor Inno Technology Innovation Limited Notes 2 and 4; HK InnoSC Limited Notes 2 and 4; Inno CL. Limited Notes 3 and 4</t>
        </is>
      </c>
      <c r="AC302" s="108" t="inlineStr">
        <is>
          <t>stmicroelectro;jiangsu;innosc;inno</t>
        </is>
      </c>
      <c r="AD302" s="112" t="n">
        <v>5.3</v>
      </c>
      <c r="AE302" s="108" t="inlineStr">
        <is>
          <t>partial</t>
        </is>
      </c>
      <c r="AF302" s="119" t="n"/>
      <c r="AG302" s="108" t="inlineStr">
        <is>
          <t>China International Capital Corporation Hong Kong Securities Limited</t>
        </is>
      </c>
      <c r="AH302" s="108" t="inlineStr">
        <is>
          <t>China International</t>
        </is>
      </c>
      <c r="AI302" s="120" t="n">
        <v>0.9399999999999999</v>
      </c>
      <c r="AJ302" s="121" t="n">
        <v>0.45</v>
      </c>
      <c r="AK302" s="121" t="n">
        <v>-0.85</v>
      </c>
      <c r="AL302" s="121" t="n">
        <v>0.45</v>
      </c>
      <c r="AM302" s="121" t="n">
        <v>0</v>
      </c>
      <c r="AN302" s="123" t="n">
        <v>0.65</v>
      </c>
      <c r="AO302" s="112" t="n">
        <v>11.13</v>
      </c>
      <c r="AP302" s="121" t="n">
        <v>-0.03</v>
      </c>
      <c r="AQ302" s="121" t="n">
        <v>32.7</v>
      </c>
      <c r="AR302" s="121" t="n">
        <v>44.2</v>
      </c>
      <c r="AS302" s="121" t="n">
        <v>-0.48</v>
      </c>
      <c r="AT302" s="121" t="n">
        <v>32.11</v>
      </c>
      <c r="AU302" s="121" t="n">
        <v>43.55</v>
      </c>
      <c r="AV302" s="121" t="n">
        <v>4.01</v>
      </c>
      <c r="AW302" s="121" t="n">
        <v>28.3</v>
      </c>
      <c r="AX302" s="121" t="n">
        <v>24.98</v>
      </c>
      <c r="AY302" s="121" t="n">
        <v>26.81</v>
      </c>
      <c r="AZ302" s="121" t="n">
        <v>4.4</v>
      </c>
      <c r="BA302" s="121" t="n">
        <v>5.3</v>
      </c>
      <c r="BB302" s="108" t="inlineStr">
        <is>
          <t>HSTECH (Hang Seng TECH ETF)</t>
        </is>
      </c>
      <c r="BC302" s="121" t="n">
        <v>25.47</v>
      </c>
      <c r="BD302" s="109" t="n">
        <v>46297</v>
      </c>
      <c r="BE302" s="110" t="n">
        <v>652</v>
      </c>
      <c r="BF302" s="113" t="n">
        <v>-1212.1</v>
      </c>
      <c r="BG302" s="108" t="inlineStr">
        <is>
          <t>N</t>
        </is>
      </c>
      <c r="BH302" s="108" t="inlineStr">
        <is>
          <t>n/m</t>
        </is>
      </c>
      <c r="BI302" s="122" t="n"/>
      <c r="BJ302" s="122" t="n"/>
      <c r="BK302" s="123" t="n">
        <v>38.1</v>
      </c>
      <c r="BL302" s="124">
        <f>IF('BBG Verify'!S302="","not filed; run on terminal",'BBG Verify'!S302)</f>
        <v/>
      </c>
      <c r="BM302" s="125" t="inlineStr">
        <is>
          <t>N</t>
        </is>
      </c>
      <c r="BN302" s="126">
        <f>IF('BBG Verify'!K302="","not filed; run on terminal",'BBG Verify'!K302)</f>
        <v/>
      </c>
      <c r="BO302" s="108" t="inlineStr">
        <is>
          <t>N/A</t>
        </is>
      </c>
      <c r="BP302" s="108" t="inlineStr">
        <is>
          <t>N/A</t>
        </is>
      </c>
      <c r="BQ302" s="108" t="inlineStr">
        <is>
          <t>N/A</t>
        </is>
      </c>
      <c r="BR302" s="108" t="inlineStr">
        <is>
          <t>N/A</t>
        </is>
      </c>
      <c r="BS302" s="108" t="inlineStr">
        <is>
          <t>N/A</t>
        </is>
      </c>
      <c r="BT302" s="108" t="inlineStr">
        <is>
          <t>N/A</t>
        </is>
      </c>
      <c r="BU302" s="125" t="inlineStr">
        <is>
          <t>CMB International Capital Limited</t>
        </is>
      </c>
      <c r="BV302" s="108" t="inlineStr">
        <is>
          <t>China International Capital Corporation Hong Kong Securities Limited; CMB International Capital Corporation Limited</t>
        </is>
      </c>
      <c r="BW302" s="108" t="inlineStr">
        <is>
          <t>CMB International Capital Limited; CLSA Limited; Huatai Financial Holdings (Hong Kong) Limited; Jefferies Hong Kong Limited; Hong Tai Securities Limited; ABCI Capital Limited; Patrons Securities Limited; Long Bridge HK Limited; Futu Securities International (Hong Kong) Limited; Tiger Brokers (HK) Global Limited; TradeGo Markets Limited</t>
        </is>
      </c>
      <c r="BX302" s="108" t="inlineStr">
        <is>
          <t>ABCI Securities Company Limited; BOCI Asia Limited; China International Capital Corporation Hong Kong Securities Limited; CLSA Limited; CMB International Capital Limited; Futu Securities International (Hong Kong) Limited; Huatai Financial Holdings (Hong Kong) Limited; Hong Tai Securities Limited; Jefferies Hong Kong Limited; Long Bridge HK Limited; Patrons Securities Limited; Tiger Brokers (HK) Global Limited</t>
        </is>
      </c>
      <c r="BY302" s="127">
        <f>HYPERLINK("https://www1.hkexnews.hk/listedco/listconews/sehk/2024/1218/2024121800031.pdf","prospectus")</f>
        <v/>
      </c>
      <c r="BZ302" s="127">
        <f>HYPERLINK("https://www1.hkexnews.hk/listedco/listconews/sehk/2024/1227/2024122701822.pdf","allotment")</f>
        <v/>
      </c>
      <c r="CA302" s="127">
        <f>HYPERLINK("https://www1.hkexnews.hk/listedco/listconews/sehk/2025/0122/2025012200846.pdf","stabilisation")</f>
        <v/>
      </c>
      <c r="CB302" s="128" t="n"/>
      <c r="CC302" s="108" t="inlineStr">
        <is>
          <t>P/E: loss-making at IPO, use P/S; greenshoe: outcome published; expiry date not in the notice; market cap: prospectus cap HK$27,131m at HK$33.66, rescaled to HK$30.86</t>
        </is>
      </c>
    </row>
    <row r="303" ht="22" customHeight="1">
      <c r="A303" s="107" t="inlineStr">
        <is>
          <t>2506</t>
        </is>
      </c>
      <c r="B303" s="108" t="inlineStr">
        <is>
          <t>XUNFEIHEALTH</t>
        </is>
      </c>
      <c r="C303" s="108" t="inlineStr">
        <is>
          <t>訊飛醫療科技</t>
        </is>
      </c>
      <c r="D303" s="108" t="inlineStr">
        <is>
          <t>Healthcare</t>
        </is>
      </c>
      <c r="E303" s="108" t="inlineStr">
        <is>
          <t>Digital health</t>
        </is>
      </c>
      <c r="F303" s="108" t="inlineStr">
        <is>
          <t>Health Care Services</t>
        </is>
      </c>
      <c r="G303" s="108" t="inlineStr">
        <is>
          <t>Standard</t>
        </is>
      </c>
      <c r="H303" s="109" t="n">
        <v>45656</v>
      </c>
      <c r="I303" s="110" t="n">
        <v>582.5</v>
      </c>
      <c r="J303" s="108" t="inlineStr">
        <is>
          <t>gross (price x shares)</t>
        </is>
      </c>
      <c r="K303" s="129" t="n"/>
      <c r="L303" s="111" t="n">
        <v>82.8</v>
      </c>
      <c r="M303" s="111" t="n">
        <v>82.8</v>
      </c>
      <c r="N303" s="108" t="inlineStr">
        <is>
          <t>Y</t>
        </is>
      </c>
      <c r="O303" s="112" t="n">
        <v>100</v>
      </c>
      <c r="P303" s="118" t="n"/>
      <c r="Q303" s="113" t="n">
        <v>10008.7</v>
      </c>
      <c r="R303" s="108" t="inlineStr">
        <is>
          <t>derived:price x shares upon listing</t>
        </is>
      </c>
      <c r="S303" s="114" t="n">
        <v>3.66</v>
      </c>
      <c r="T303" s="115" t="n">
        <v>1.1</v>
      </c>
      <c r="U303" s="116" t="n">
        <v>47.5</v>
      </c>
      <c r="V303" s="117" t="n">
        <v>116</v>
      </c>
      <c r="W303" s="112" t="n">
        <v>10</v>
      </c>
      <c r="X303" s="108" t="inlineStr">
        <is>
          <t>NO</t>
        </is>
      </c>
      <c r="Y303" s="113" t="n">
        <v>305.81</v>
      </c>
      <c r="Z303" s="113" t="n">
        <v>3693664</v>
      </c>
      <c r="AA303" s="112" t="n">
        <v>3.06</v>
      </c>
      <c r="AB303" s="108" t="inlineStr">
        <is>
          <t>Guangdong- Macao In-Depth Cooperation Zone in Hengqin; Industrial Investment Fund (Limited Partnership) Star Group Limited; Costone China Growth Capital I L.P; Xunyi Limited; Honour Goal Investments Limited</t>
        </is>
      </c>
      <c r="AC303" s="108" t="inlineStr">
        <is>
          <t>guangdong;industrial;costone;xunyi;honour</t>
        </is>
      </c>
      <c r="AD303" s="112" t="n">
        <v>10.51</v>
      </c>
      <c r="AE303" s="108" t="inlineStr">
        <is>
          <t>lapsed (no over-allocation)</t>
        </is>
      </c>
      <c r="AF303" s="119" t="n"/>
      <c r="AG303" s="108" t="inlineStr">
        <is>
          <t>Huatai Financial Holdings</t>
        </is>
      </c>
      <c r="AH303" s="108" t="inlineStr">
        <is>
          <t>Huatai</t>
        </is>
      </c>
      <c r="AI303" s="120" t="n">
        <v>4.59</v>
      </c>
      <c r="AJ303" s="121" t="n">
        <v>5.07</v>
      </c>
      <c r="AK303" s="121" t="n">
        <v>0.67</v>
      </c>
      <c r="AL303" s="121" t="n">
        <v>8.390000000000001</v>
      </c>
      <c r="AM303" s="121" t="n">
        <v>-3.06</v>
      </c>
      <c r="AN303" s="123" t="n">
        <v>0.74</v>
      </c>
      <c r="AO303" s="112" t="n">
        <v>10.19</v>
      </c>
      <c r="AP303" s="121" t="n">
        <v>2.17</v>
      </c>
      <c r="AQ303" s="121" t="n">
        <v>5.43</v>
      </c>
      <c r="AR303" s="121" t="n">
        <v>60.75</v>
      </c>
      <c r="AS303" s="121" t="n">
        <v>-2.76</v>
      </c>
      <c r="AT303" s="121" t="n">
        <v>0.34</v>
      </c>
      <c r="AU303" s="121" t="n">
        <v>52.99</v>
      </c>
      <c r="AV303" s="121" t="n">
        <v>6.99</v>
      </c>
      <c r="AW303" s="121" t="n">
        <v>8.32</v>
      </c>
      <c r="AX303" s="121" t="n">
        <v>40.38</v>
      </c>
      <c r="AY303" s="121" t="n">
        <v>3.88</v>
      </c>
      <c r="AZ303" s="121" t="n">
        <v>-2.89</v>
      </c>
      <c r="BA303" s="121" t="n">
        <v>-3.54</v>
      </c>
      <c r="BB303" s="108" t="inlineStr">
        <is>
          <t>China Biotech ETF (HS biotech proxy)</t>
        </is>
      </c>
      <c r="BC303" s="121" t="n">
        <v>-23.13</v>
      </c>
      <c r="BD303" s="109" t="n">
        <v>46297</v>
      </c>
      <c r="BE303" s="110" t="n">
        <v>611.6</v>
      </c>
      <c r="BF303" s="113" t="n">
        <v>-169.4</v>
      </c>
      <c r="BG303" s="108" t="inlineStr">
        <is>
          <t>N</t>
        </is>
      </c>
      <c r="BH303" s="108" t="inlineStr">
        <is>
          <t>n/m</t>
        </is>
      </c>
      <c r="BI303" s="122" t="n"/>
      <c r="BJ303" s="122" t="n"/>
      <c r="BK303" s="123" t="n">
        <v>16.4</v>
      </c>
      <c r="BL303" s="124">
        <f>IF('BBG Verify'!S303="","not filed; run on terminal",'BBG Verify'!S303)</f>
        <v/>
      </c>
      <c r="BM303" s="125" t="inlineStr">
        <is>
          <t>N</t>
        </is>
      </c>
      <c r="BN303" s="126">
        <f>IF('BBG Verify'!K303="","not filed; run on terminal",'BBG Verify'!K303)</f>
        <v/>
      </c>
      <c r="BO303" s="108" t="inlineStr">
        <is>
          <t>N/A</t>
        </is>
      </c>
      <c r="BP303" s="108" t="inlineStr">
        <is>
          <t>N/A</t>
        </is>
      </c>
      <c r="BQ303" s="108" t="inlineStr">
        <is>
          <t>N/A</t>
        </is>
      </c>
      <c r="BR303" s="108" t="inlineStr">
        <is>
          <t>N/A</t>
        </is>
      </c>
      <c r="BS303" s="108" t="inlineStr">
        <is>
          <t>N/A</t>
        </is>
      </c>
      <c r="BT303" s="108" t="inlineStr">
        <is>
          <t>N/A</t>
        </is>
      </c>
      <c r="BU303" s="125" t="inlineStr">
        <is>
          <t>Huatai Financial Holdings (Hong Kong) Limited; GF Capital (Hong Kong) Limited; CCB International Capital Limited</t>
        </is>
      </c>
      <c r="BV303" s="108" t="inlineStr">
        <is>
          <t>CCB International Capital Limited; Huatai Financial Holdings (Hong Kong) Limited; GF Capital (Hong Kong) Limited</t>
        </is>
      </c>
      <c r="BW303" s="108" t="inlineStr">
        <is>
          <t>Huatai Financial Holdings (Hong Kong) Limited; CCB International Capital Limited; GF Securities (Hong Kong) Brokerage Limited; ICBC International Securities Limited; SPDB International Capital Limited; ABCI Capital Limited; China Galaxy International Securities (Hong Kong) Co., Limited; TradeGo Markets Limited</t>
        </is>
      </c>
      <c r="BX303" s="108" t="inlineStr">
        <is>
          <t>ABCI Securities Company Limited; Advent Securities (Hong Kong) Limited; CCB International Capital Limited; China Galaxy International Securities (Hong Kong) Company Limited; CMBC Securities Company Limited; GF Securities (Hong Kong) Brokerage Limited; Huatai Financial Holdings (Hong Kong) Limited; ICBC International Securities Limited; SPDB International Capital Limited; TradeGo Markets Limited</t>
        </is>
      </c>
      <c r="BY303" s="127">
        <f>HYPERLINK("https://www1.hkexnews.hk/listedco/listconews/sehk/2024/1218/2024121800019.pdf","prospectus")</f>
        <v/>
      </c>
      <c r="BZ303" s="127">
        <f>HYPERLINK("https://www1.hkexnews.hk/listedco/listconews/sehk/2024/1227/2024122701834.pdf","allotment")</f>
        <v/>
      </c>
      <c r="CA303" s="127">
        <f>HYPERLINK("https://www1.hkexnews.hk/listedco/listconews/sehk/2025/0122/2025012200840.pdf","stabilisation")</f>
        <v/>
      </c>
      <c r="CB303" s="128" t="n"/>
      <c r="CC303" s="108" t="inlineStr">
        <is>
          <t>P/E: loss-making at IPO, use P/S; greenshoe: outcome published; expiry date not in the notice; range low: maximum offer price only, no floor published</t>
        </is>
      </c>
    </row>
    <row r="304" ht="22" customHeight="1">
      <c r="A304" s="107" t="inlineStr">
        <is>
          <t>6681</t>
        </is>
      </c>
      <c r="B304" s="108" t="inlineStr">
        <is>
          <t>BRAINAURORA-B</t>
        </is>
      </c>
      <c r="C304" s="108" t="inlineStr">
        <is>
          <t>腦動極光－Ｂ</t>
        </is>
      </c>
      <c r="D304" s="108" t="inlineStr">
        <is>
          <t>Healthcare</t>
        </is>
      </c>
      <c r="E304" s="108" t="inlineStr">
        <is>
          <t>Medical devices</t>
        </is>
      </c>
      <c r="F304" s="108" t="inlineStr">
        <is>
          <t>Biotechnology - Supplies &amp; Services</t>
        </is>
      </c>
      <c r="G304" s="108" t="inlineStr">
        <is>
          <t>18A</t>
        </is>
      </c>
      <c r="H304" s="109" t="n">
        <v>45665</v>
      </c>
      <c r="I304" s="110" t="n">
        <v>583.1799999999999</v>
      </c>
      <c r="J304" s="108" t="inlineStr">
        <is>
          <t>gross (stated)</t>
        </is>
      </c>
      <c r="K304" s="129" t="n"/>
      <c r="L304" s="111" t="n">
        <v>3.22</v>
      </c>
      <c r="M304" s="111" t="n">
        <v>3.22</v>
      </c>
      <c r="N304" s="108" t="inlineStr">
        <is>
          <t>Y</t>
        </is>
      </c>
      <c r="O304" s="112" t="n">
        <v>100</v>
      </c>
      <c r="P304" s="118" t="n"/>
      <c r="Q304" s="113" t="n">
        <v>4077.4</v>
      </c>
      <c r="R304" s="108" t="inlineStr">
        <is>
          <t>derived:price x shares upon listing</t>
        </is>
      </c>
      <c r="S304" s="114" t="n">
        <v>11.39</v>
      </c>
      <c r="T304" s="115" t="n">
        <v>1.01</v>
      </c>
      <c r="U304" s="116" t="n">
        <v>64.27</v>
      </c>
      <c r="V304" s="117" t="n">
        <v>114</v>
      </c>
      <c r="W304" s="112" t="n">
        <v>10</v>
      </c>
      <c r="X304" s="108" t="inlineStr">
        <is>
          <t>NO</t>
        </is>
      </c>
      <c r="Y304" s="113" t="n">
        <v>208.37</v>
      </c>
      <c r="Z304" s="113" t="n">
        <v>64711318</v>
      </c>
      <c r="AA304" s="112" t="n">
        <v>5.11</v>
      </c>
      <c r="AB304" s="108" t="inlineStr">
        <is>
          <t>Tasly (Hong Kong) Pharmaceutical Investment Limited; Tasly (International) Healthcare Investment &amp; Development Company Limited 醫 療健康投資發展有限公 司; Suzhou Ceyuan Fuhai Enterprise Management Partnership (Limited Partnership); Huang Guangwei</t>
        </is>
      </c>
      <c r="AC304" s="108" t="inlineStr">
        <is>
          <t>tasly;suzhou;huang-guangwei</t>
        </is>
      </c>
      <c r="AD304" s="112" t="n">
        <v>14</v>
      </c>
      <c r="AE304" s="108" t="inlineStr">
        <is>
          <t>lapsed (no over-allocation)</t>
        </is>
      </c>
      <c r="AF304" s="119" t="n"/>
      <c r="AG304" s="108" t="inlineStr">
        <is>
          <t>China International Capital Corporation Hong Kong Securities Limited</t>
        </is>
      </c>
      <c r="AH304" s="108" t="inlineStr">
        <is>
          <t>China International</t>
        </is>
      </c>
      <c r="AI304" s="120" t="n">
        <v>-0.31</v>
      </c>
      <c r="AJ304" s="121" t="n">
        <v>3.42</v>
      </c>
      <c r="AK304" s="121" t="n">
        <v>-0.91</v>
      </c>
      <c r="AL304" s="121" t="n">
        <v>0</v>
      </c>
      <c r="AM304" s="121" t="n">
        <v>3.42</v>
      </c>
      <c r="AN304" s="123" t="n">
        <v>1.04</v>
      </c>
      <c r="AO304" s="112" t="n">
        <v>11.18</v>
      </c>
      <c r="AP304" s="121" t="n">
        <v>14.91</v>
      </c>
      <c r="AQ304" s="121" t="n">
        <v>73.91</v>
      </c>
      <c r="AR304" s="121" t="n">
        <v>89.75</v>
      </c>
      <c r="AS304" s="121" t="n">
        <v>11.11</v>
      </c>
      <c r="AT304" s="121" t="n">
        <v>68.16</v>
      </c>
      <c r="AU304" s="121" t="n">
        <v>83.48</v>
      </c>
      <c r="AV304" s="121" t="n">
        <v>15.58</v>
      </c>
      <c r="AW304" s="121" t="n">
        <v>66.81999999999999</v>
      </c>
      <c r="AX304" s="121" t="n">
        <v>74.26000000000001</v>
      </c>
      <c r="AY304" s="121" t="n">
        <v>60.09</v>
      </c>
      <c r="AZ304" s="121" t="n">
        <v>7.09</v>
      </c>
      <c r="BA304" s="121" t="n">
        <v>8.07</v>
      </c>
      <c r="BB304" s="108" t="inlineStr">
        <is>
          <t>China Biotech ETF (HS biotech proxy)</t>
        </is>
      </c>
      <c r="BC304" s="121" t="n">
        <v>-66.3</v>
      </c>
      <c r="BD304" s="109" t="n">
        <v>46297</v>
      </c>
      <c r="BE304" s="110" t="n">
        <v>73.90000000000001</v>
      </c>
      <c r="BF304" s="113" t="n">
        <v>-395</v>
      </c>
      <c r="BG304" s="108" t="inlineStr">
        <is>
          <t>N</t>
        </is>
      </c>
      <c r="BH304" s="108" t="inlineStr">
        <is>
          <t>n/m</t>
        </is>
      </c>
      <c r="BI304" s="122" t="n"/>
      <c r="BJ304" s="122" t="n"/>
      <c r="BK304" s="123" t="n">
        <v>55.2</v>
      </c>
      <c r="BL304" s="124">
        <f>IF('BBG Verify'!S304="","not filed; run on terminal",'BBG Verify'!S304)</f>
        <v/>
      </c>
      <c r="BM304" s="125" t="inlineStr">
        <is>
          <t>N</t>
        </is>
      </c>
      <c r="BN304" s="126">
        <f>IF('BBG Verify'!K304="","not filed; run on terminal",'BBG Verify'!K304)</f>
        <v/>
      </c>
      <c r="BO304" s="108" t="inlineStr">
        <is>
          <t>N/A</t>
        </is>
      </c>
      <c r="BP304" s="108" t="inlineStr">
        <is>
          <t>N/A</t>
        </is>
      </c>
      <c r="BQ304" s="108" t="inlineStr">
        <is>
          <t>N/A</t>
        </is>
      </c>
      <c r="BR304" s="108" t="inlineStr">
        <is>
          <t>N/A</t>
        </is>
      </c>
      <c r="BS304" s="108" t="inlineStr">
        <is>
          <t>N/A</t>
        </is>
      </c>
      <c r="BT304" s="108" t="inlineStr">
        <is>
          <t>N/A</t>
        </is>
      </c>
      <c r="BU304" s="125" t="inlineStr">
        <is>
          <t>China International Capital Corporation Hong Kong Securities Limited; SPDB International Capital Limited</t>
        </is>
      </c>
      <c r="BV304" s="108" t="inlineStr">
        <is>
          <t>China International Capital Corporation Hong Kong Securities Limited; SPDB International Capital Limited</t>
        </is>
      </c>
      <c r="BW304" s="108" t="inlineStr">
        <is>
          <t>China International Capital Corporation Hong Kong Securities Limited; SPDB International Capital Limited; CMB International Capital Limited; Tiger Brokers (HK) Global Limited; GF Securities (Hong Kong) Brokerage Limited; CCB International Capital Limited; BOCI Asia Limited; China Everbright Securities (HK) Limited; ABCI Capital Limited; China Industrial Securities International Capital Limited; Haitong International Securities Company Limited</t>
        </is>
      </c>
      <c r="BX304" s="108" t="inlineStr">
        <is>
          <t>ABCI Securities Company Limited; BOCI Asia Limited; CCB International Capital Limited; China Everbright Securities (HK) Limited; China International Capital Corporation Hong Kong Securities Limited; China Industrial Securities International Capital Limited; CMBC Securities Company Limited; CMB International Capital Corporation Limited; Fosun International Securities Limited; GF Securities (Hong Kong) Brokerage Limited; Haitong International Securities Company Limited; SPDB International Capital Limited</t>
        </is>
      </c>
      <c r="BY304" s="127">
        <f>HYPERLINK("https://www1.hkexnews.hk/listedco/listconews/sehk/2024/1230/2024123000045.pdf","prospectus")</f>
        <v/>
      </c>
      <c r="BZ304" s="127">
        <f>HYPERLINK("https://www1.hkexnews.hk/listedco/listconews/sehk/2025/0107/2025010701660.pdf","allotment")</f>
        <v/>
      </c>
      <c r="CA304" s="127">
        <f>HYPERLINK("https://www1.hkexnews.hk/listedco/listconews/sehk/2025/0202/2025020200065.pdf","stabilisation")</f>
        <v/>
      </c>
      <c r="CB304" s="128" t="n"/>
      <c r="CC304" s="108" t="inlineStr">
        <is>
          <t>P/E: loss-making at IPO, use P/S; greenshoe: outcome published; expiry date not in the notice; range low: maximum offer price only, no floor published</t>
        </is>
      </c>
    </row>
    <row r="305" ht="22" customHeight="1">
      <c r="A305" s="107" t="inlineStr">
        <is>
          <t>2560</t>
        </is>
      </c>
      <c r="B305" s="108" t="inlineStr">
        <is>
          <t>CONCH MAT TECH</t>
        </is>
      </c>
      <c r="C305" s="108" t="inlineStr">
        <is>
          <t>海螺材料科技</t>
        </is>
      </c>
      <c r="D305" s="108" t="inlineStr">
        <is>
          <t>Materials/Energy</t>
        </is>
      </c>
      <c r="E305" s="108" t="inlineStr">
        <is>
          <t>Chemicals</t>
        </is>
      </c>
      <c r="F305" s="108" t="inlineStr">
        <is>
          <t>Construction Materials</t>
        </is>
      </c>
      <c r="G305" s="108" t="inlineStr">
        <is>
          <t>Standard</t>
        </is>
      </c>
      <c r="H305" s="109" t="n">
        <v>45666</v>
      </c>
      <c r="I305" s="110" t="n">
        <v>434.9</v>
      </c>
      <c r="J305" s="108" t="inlineStr">
        <is>
          <t>gross (stated)</t>
        </is>
      </c>
      <c r="K305" s="111" t="n">
        <v>3</v>
      </c>
      <c r="L305" s="111" t="n">
        <v>3.3</v>
      </c>
      <c r="M305" s="111" t="n">
        <v>3</v>
      </c>
      <c r="N305" s="108" t="inlineStr">
        <is>
          <t>N</t>
        </is>
      </c>
      <c r="O305" s="112" t="n">
        <v>90.90000000000001</v>
      </c>
      <c r="P305" s="112" t="n">
        <v>0</v>
      </c>
      <c r="Q305" s="113" t="n">
        <v>1897.9</v>
      </c>
      <c r="R305" s="108" t="inlineStr">
        <is>
          <t>aastocks:上市市值 at the struck price</t>
        </is>
      </c>
      <c r="S305" s="114" t="n">
        <v>25.83</v>
      </c>
      <c r="T305" s="115" t="n">
        <v>1.04</v>
      </c>
      <c r="U305" s="116" t="n">
        <v>69.92</v>
      </c>
      <c r="V305" s="117" t="n">
        <v>116</v>
      </c>
      <c r="W305" s="112" t="n">
        <v>30</v>
      </c>
      <c r="X305" s="108" t="inlineStr">
        <is>
          <t>YES</t>
        </is>
      </c>
      <c r="Y305" s="113" t="n">
        <v>130.82</v>
      </c>
      <c r="Z305" s="113" t="n">
        <v>43608179</v>
      </c>
      <c r="AA305" s="112" t="n">
        <v>6.89</v>
      </c>
      <c r="AB305" s="108" t="inlineStr">
        <is>
          <t>GOTION HIGH-TECH (HK) LIMITED; Anhui Shengchang Chemical Co., Ltd.*; Wuhu Artec Biotechnology Co., Ltd.*; SCGC Capital Holding Company Limited; Guangdong Zongxing Technology Co., Ltd*; Shenzhen Gaodeng Computer Technology Co., Ltd.*</t>
        </is>
      </c>
      <c r="AC305" s="108" t="inlineStr">
        <is>
          <t>gotion;anhui;wuhu;scgc;guangdong;shenzhen-gaodeng</t>
        </is>
      </c>
      <c r="AD305" s="112" t="n">
        <v>8.5</v>
      </c>
      <c r="AE305" s="119" t="n"/>
      <c r="AF305" s="119" t="n"/>
      <c r="AG305" s="108" t="inlineStr">
        <is>
          <t>China Securities</t>
        </is>
      </c>
      <c r="AH305" s="108" t="inlineStr">
        <is>
          <t>China Securities</t>
        </is>
      </c>
      <c r="AI305" s="120" t="n">
        <v>-31.33</v>
      </c>
      <c r="AJ305" s="121" t="n">
        <v>-47.67</v>
      </c>
      <c r="AK305" s="121" t="n">
        <v>0.2</v>
      </c>
      <c r="AL305" s="121" t="n">
        <v>-40</v>
      </c>
      <c r="AM305" s="121" t="n">
        <v>-12.78</v>
      </c>
      <c r="AN305" s="123" t="n">
        <v>1.13</v>
      </c>
      <c r="AO305" s="112" t="n">
        <v>20</v>
      </c>
      <c r="AP305" s="121" t="n">
        <v>-51.67</v>
      </c>
      <c r="AQ305" s="121" t="n">
        <v>-54.67</v>
      </c>
      <c r="AR305" s="121" t="n">
        <v>-41.33</v>
      </c>
      <c r="AS305" s="121" t="n">
        <v>-7.64</v>
      </c>
      <c r="AT305" s="121" t="n">
        <v>-13.38</v>
      </c>
      <c r="AU305" s="121" t="n">
        <v>12.12</v>
      </c>
      <c r="AV305" s="121" t="n">
        <v>-53.25</v>
      </c>
      <c r="AW305" s="121" t="n">
        <v>-71.84</v>
      </c>
      <c r="AX305" s="121" t="n">
        <v>-55.83</v>
      </c>
      <c r="AY305" s="121" t="n">
        <v>-30.32</v>
      </c>
      <c r="AZ305" s="121" t="n">
        <v>17.17</v>
      </c>
      <c r="BA305" s="121" t="n">
        <v>16.94</v>
      </c>
      <c r="BB305" s="108" t="inlineStr">
        <is>
          <t>Hang Seng Commerce &amp; Industry sub-index</t>
        </is>
      </c>
      <c r="BC305" s="121" t="n">
        <v>-54.5</v>
      </c>
      <c r="BD305" s="109" t="n">
        <v>46297</v>
      </c>
      <c r="BE305" s="110" t="n">
        <v>2635.1</v>
      </c>
      <c r="BF305" s="131" t="n"/>
      <c r="BG305" s="108" t="inlineStr">
        <is>
          <t>Y</t>
        </is>
      </c>
      <c r="BH305" s="123" t="n">
        <v>5.1</v>
      </c>
      <c r="BI305" s="123" t="n">
        <v>5.1</v>
      </c>
      <c r="BJ305" s="123" t="n">
        <v>6.5</v>
      </c>
      <c r="BK305" s="123" t="n">
        <v>0.7</v>
      </c>
      <c r="BL305" s="124">
        <f>IF('BBG Verify'!S305="","not filed; run on terminal",'BBG Verify'!S305)</f>
        <v/>
      </c>
      <c r="BM305" s="125" t="inlineStr">
        <is>
          <t>N</t>
        </is>
      </c>
      <c r="BN305" s="126">
        <f>IF('BBG Verify'!K305="","not filed; run on terminal",'BBG Verify'!K305)</f>
        <v/>
      </c>
      <c r="BO305" s="108" t="inlineStr">
        <is>
          <t>N/A</t>
        </is>
      </c>
      <c r="BP305" s="108" t="inlineStr">
        <is>
          <t>N/A</t>
        </is>
      </c>
      <c r="BQ305" s="108" t="inlineStr">
        <is>
          <t>N/A</t>
        </is>
      </c>
      <c r="BR305" s="108" t="inlineStr">
        <is>
          <t>N/A</t>
        </is>
      </c>
      <c r="BS305" s="108" t="inlineStr">
        <is>
          <t>N/A</t>
        </is>
      </c>
      <c r="BT305" s="108" t="inlineStr">
        <is>
          <t>N/A</t>
        </is>
      </c>
      <c r="BU305" s="125" t="inlineStr">
        <is>
          <t>China Securities (International) Corporate Finance Company Limited</t>
        </is>
      </c>
      <c r="BV305" s="108" t="inlineStr">
        <is>
          <t>China Securities (International) Corporate Finance Company Limited</t>
        </is>
      </c>
      <c r="BW305" s="108" t="inlineStr">
        <is>
          <t>China Securities (International) Corporate Finance Company Limited; 9 5– China Galaxy International Securities (Hong Kong) Co., Limited; BOCI Asia Limited; ABCI Capital Limited; ICBC International Securities Limited; Victory Securities Company Limited; China Galaxy International Securities (Hong Kong) Co., Limited; Shenwan Hongyuan Securities (H.K.) Limited; CCB International Capital Limited; Haitong International Securities Company Limited; Guoyuan Securities Brokerage (Hong Kong) Limited; Orient Securities (Hong Kong) Limited</t>
        </is>
      </c>
      <c r="BX305" s="108" t="inlineStr">
        <is>
          <t>ABCI Securities Company Limited; BOCI Asia Limited; BOCOM International Securities Limited; CCB International Capital Limited; China Galaxy International Securities (Hong Kong) Company Limited; China Industrial Securities International Capital Limited; China Securities (International) Corporate Finance Company Limited; China Sunrise Securities (International) Limited; Fosun International Securities Limited; Guoyuan Securities Brokerage (Hong Kong) Limited; Haitong International Securities Company Limited; Hong Tai Securities Limited</t>
        </is>
      </c>
      <c r="BY305" s="127">
        <f>HYPERLINK("https://www1.hkexnews.hk/listedco/listconews/sehk/2024/1231/2024123100162.pdf","prospectus")</f>
        <v/>
      </c>
      <c r="BZ305" s="127">
        <f>HYPERLINK("https://www1.hkexnews.hk/listedco/listconews/sehk/2025/0108/2025010801080.pdf","allotment")</f>
        <v/>
      </c>
      <c r="CA305" s="119" t="n"/>
      <c r="CB305" s="128" t="n"/>
      <c r="CC305" s="108" t="inlineStr">
        <is>
          <t>P/E: Bloomberg trailing-12m basis (prospectus-year multiple not derivable); greenshoe: end-of-stabilisation notice not found; financials: not extractable; pre-IPO year outside the AAStocks window</t>
        </is>
      </c>
    </row>
    <row r="306" ht="22" customHeight="1">
      <c r="A306" s="107" t="inlineStr">
        <is>
          <t>2613</t>
        </is>
      </c>
      <c r="B306" s="108" t="inlineStr">
        <is>
          <t>CONTIOCEAN</t>
        </is>
      </c>
      <c r="C306" s="108" t="inlineStr">
        <is>
          <t>匯舸環保</t>
        </is>
      </c>
      <c r="D306" s="108" t="inlineStr">
        <is>
          <t>Industrials</t>
        </is>
      </c>
      <c r="E306" s="108" t="inlineStr">
        <is>
          <t>Capital goods / machinery</t>
        </is>
      </c>
      <c r="F306" s="108" t="inlineStr">
        <is>
          <t>Marine Ports &amp; Services</t>
        </is>
      </c>
      <c r="G306" s="108" t="inlineStr">
        <is>
          <t>Standard</t>
        </is>
      </c>
      <c r="H306" s="109" t="n">
        <v>45666</v>
      </c>
      <c r="I306" s="110" t="n">
        <v>318</v>
      </c>
      <c r="J306" s="108" t="inlineStr">
        <is>
          <t>gross (stated)</t>
        </is>
      </c>
      <c r="K306" s="111" t="n">
        <v>31.8</v>
      </c>
      <c r="L306" s="111" t="n">
        <v>39.8</v>
      </c>
      <c r="M306" s="111" t="n">
        <v>31.8</v>
      </c>
      <c r="N306" s="108" t="inlineStr">
        <is>
          <t>N</t>
        </is>
      </c>
      <c r="O306" s="112" t="n">
        <v>79.90000000000001</v>
      </c>
      <c r="P306" s="112" t="n">
        <v>0</v>
      </c>
      <c r="Q306" s="113" t="n">
        <v>1272</v>
      </c>
      <c r="R306" s="108" t="inlineStr">
        <is>
          <t>derived:price x shares upon listing</t>
        </is>
      </c>
      <c r="S306" s="114" t="n">
        <v>55.33</v>
      </c>
      <c r="T306" s="115" t="n">
        <v>0.95</v>
      </c>
      <c r="U306" s="116" t="n">
        <v>24.43</v>
      </c>
      <c r="V306" s="117" t="n">
        <v>118</v>
      </c>
      <c r="W306" s="112" t="n">
        <v>18.94</v>
      </c>
      <c r="X306" s="119" t="n"/>
      <c r="Y306" s="113" t="n">
        <v>240.31</v>
      </c>
      <c r="Z306" s="113" t="n">
        <v>7557000</v>
      </c>
      <c r="AA306" s="112" t="n">
        <v>18.89</v>
      </c>
      <c r="AB306" s="108" t="inlineStr">
        <is>
          <t>Harvest International Premium Value (Secondary Market) Fund SPC on behalf of Harvest Oriental SP</t>
        </is>
      </c>
      <c r="AC306" s="108" t="inlineStr">
        <is>
          <t>harvest</t>
        </is>
      </c>
      <c r="AD306" s="118" t="n"/>
      <c r="AE306" s="119" t="n"/>
      <c r="AF306" s="119" t="n"/>
      <c r="AG306" s="119" t="n"/>
      <c r="AH306" s="119" t="n"/>
      <c r="AI306" s="120" t="n">
        <v>6.45</v>
      </c>
      <c r="AJ306" s="121" t="n">
        <v>6.29</v>
      </c>
      <c r="AK306" s="121" t="n">
        <v>0.2</v>
      </c>
      <c r="AL306" s="121" t="n">
        <v>6.76</v>
      </c>
      <c r="AM306" s="121" t="n">
        <v>-0.44</v>
      </c>
      <c r="AN306" s="123" t="n">
        <v>1.08</v>
      </c>
      <c r="AO306" s="112" t="n">
        <v>5.3</v>
      </c>
      <c r="AP306" s="121" t="n">
        <v>-5.66</v>
      </c>
      <c r="AQ306" s="121" t="n">
        <v>-4.09</v>
      </c>
      <c r="AR306" s="121" t="n">
        <v>-8.65</v>
      </c>
      <c r="AS306" s="121" t="n">
        <v>-11.24</v>
      </c>
      <c r="AT306" s="121" t="n">
        <v>-9.77</v>
      </c>
      <c r="AU306" s="121" t="n">
        <v>-14.06</v>
      </c>
      <c r="AV306" s="121" t="n">
        <v>-7.24</v>
      </c>
      <c r="AW306" s="121" t="n">
        <v>-21.26</v>
      </c>
      <c r="AX306" s="121" t="n">
        <v>-23.15</v>
      </c>
      <c r="AY306" s="121" t="n">
        <v>-26.71</v>
      </c>
      <c r="AZ306" s="121" t="n">
        <v>17.17</v>
      </c>
      <c r="BA306" s="121" t="n">
        <v>16.94</v>
      </c>
      <c r="BB306" s="108" t="inlineStr">
        <is>
          <t>Hang Seng Commerce &amp; Industry sub-index</t>
        </is>
      </c>
      <c r="BC306" s="121" t="n">
        <v>-2.45</v>
      </c>
      <c r="BD306" s="109" t="n">
        <v>46297</v>
      </c>
      <c r="BE306" s="110" t="n">
        <v>561.3</v>
      </c>
      <c r="BF306" s="113" t="n">
        <v>132.6</v>
      </c>
      <c r="BG306" s="108" t="inlineStr">
        <is>
          <t>Y</t>
        </is>
      </c>
      <c r="BH306" s="123" t="n">
        <v>9.6</v>
      </c>
      <c r="BI306" s="122" t="n"/>
      <c r="BJ306" s="123" t="n">
        <v>186.7</v>
      </c>
      <c r="BK306" s="123" t="n">
        <v>2.3</v>
      </c>
      <c r="BL306" s="124">
        <f>IF('BBG Verify'!S306="","not filed; run on terminal",'BBG Verify'!S306)</f>
        <v/>
      </c>
      <c r="BM306" s="125" t="inlineStr">
        <is>
          <t>N</t>
        </is>
      </c>
      <c r="BN306" s="126">
        <f>IF('BBG Verify'!K306="","not filed; run on terminal",'BBG Verify'!K306)</f>
        <v/>
      </c>
      <c r="BO306" s="108" t="inlineStr">
        <is>
          <t>N/A</t>
        </is>
      </c>
      <c r="BP306" s="108" t="inlineStr">
        <is>
          <t>N/A</t>
        </is>
      </c>
      <c r="BQ306" s="108" t="inlineStr">
        <is>
          <t>N/A</t>
        </is>
      </c>
      <c r="BR306" s="108" t="inlineStr">
        <is>
          <t>N/A</t>
        </is>
      </c>
      <c r="BS306" s="108" t="inlineStr">
        <is>
          <t>N/A</t>
        </is>
      </c>
      <c r="BT306" s="108" t="inlineStr">
        <is>
          <t>N/A</t>
        </is>
      </c>
      <c r="BU306" s="125" t="inlineStr">
        <is>
          <t>CITIC Securities (Hong Kong) Limited; China Galaxy International Securities (Hong Kong) Co., Limited</t>
        </is>
      </c>
      <c r="BV306" s="108" t="inlineStr">
        <is>
          <t>CITIC Securities (Hong Kong) Limited; China Galaxy International Securities (Hong Kong) Company Limited</t>
        </is>
      </c>
      <c r="BW306" s="108" t="inlineStr">
        <is>
          <t>CLSA Limited; China Galaxy International Securities (Hong Kong) Co., Limited; BNP Paribas Securities (Asia) Limited; CCB International Capital Limited; CEB International Capit al Corporation Limited; China Everbright Securities (HK) Limited; China Sunrise Securities (International) Limited; Fortune Origin Securities Limited; ICBC International Securities Limited; Quam Securities Limited; SPDB International Capital Limited</t>
        </is>
      </c>
      <c r="BX306" s="108" t="inlineStr">
        <is>
          <t>BNP Paribas Securities (Asia) Limited; BOCI Asia Limited; CCB International Capital Limited; CEB International Capital Corporation Limited; China Everbright Securities (HK) Limited; China Galaxy International Securities (Hong Kong) Company Limited; CLSA Limited; China Sunrise Securities (International) Limited; Fortune Origin Securities Limited; Futu Securities International (Hong Kong) Limited; ICBC International Securities Limited; Lego Securities Limited</t>
        </is>
      </c>
      <c r="BY306" s="127">
        <f>HYPERLINK("https://www1.hkexnews.hk/listedco/listconews/sehk/2024/1231/2024123100011.pdf","prospectus")</f>
        <v/>
      </c>
      <c r="BZ306" s="127">
        <f>HYPERLINK("https://www1.hkexnews.hk/listedco/listconews/sehk/2025/0108/2025010801098.pdf","allotment")</f>
        <v/>
      </c>
      <c r="CA306" s="119" t="n"/>
      <c r="CB306" s="128" t="n"/>
      <c r="CC306" s="108" t="inlineStr">
        <is>
          <t>greenshoe: no over-allotment option; greenshoe size: no over-allotment option; stabilising manager: filing states none appointed (allotment announcement: 'no stabilizing manager will be appointed' stated in the filing); allocation: clawback line not in this notice; a 12-28% split is consistent with either a tier-1 clawback or a placing shortfall</t>
        </is>
      </c>
    </row>
    <row r="307" ht="22" customHeight="1">
      <c r="A307" s="107" t="inlineStr">
        <is>
          <t>0325</t>
        </is>
      </c>
      <c r="B307" s="108" t="inlineStr">
        <is>
          <t>BLOKS</t>
        </is>
      </c>
      <c r="C307" s="108" t="inlineStr">
        <is>
          <t>布魯可</t>
        </is>
      </c>
      <c r="D307" s="108" t="inlineStr">
        <is>
          <t>Consumer</t>
        </is>
      </c>
      <c r="E307" s="108" t="inlineStr">
        <is>
          <t>Retail / distribution</t>
        </is>
      </c>
      <c r="F307" s="108" t="inlineStr">
        <is>
          <t>Toys</t>
        </is>
      </c>
      <c r="G307" s="108" t="inlineStr">
        <is>
          <t>Standard</t>
        </is>
      </c>
      <c r="H307" s="109" t="n">
        <v>45667</v>
      </c>
      <c r="I307" s="110" t="n">
        <v>1674</v>
      </c>
      <c r="J307" s="108" t="inlineStr">
        <is>
          <t>gross (stated)</t>
        </is>
      </c>
      <c r="K307" s="111" t="n">
        <v>55.65</v>
      </c>
      <c r="L307" s="111" t="n">
        <v>60.35</v>
      </c>
      <c r="M307" s="111" t="n">
        <v>60.35</v>
      </c>
      <c r="N307" s="108" t="inlineStr">
        <is>
          <t>Y</t>
        </is>
      </c>
      <c r="O307" s="112" t="n">
        <v>100</v>
      </c>
      <c r="P307" s="112" t="n">
        <v>100</v>
      </c>
      <c r="Q307" s="113" t="n">
        <v>13437.9</v>
      </c>
      <c r="R307" s="108" t="inlineStr">
        <is>
          <t>prospectus:stated market capitalisation</t>
        </is>
      </c>
      <c r="S307" s="114" t="n">
        <v>5999.96</v>
      </c>
      <c r="T307" s="115" t="n">
        <v>38.6</v>
      </c>
      <c r="U307" s="116" t="n">
        <v>23.2</v>
      </c>
      <c r="V307" s="117" t="n">
        <v>198</v>
      </c>
      <c r="W307" s="112" t="n">
        <v>43.48</v>
      </c>
      <c r="X307" s="108" t="inlineStr">
        <is>
          <t>YES</t>
        </is>
      </c>
      <c r="Y307" s="113" t="n">
        <v>1285.63</v>
      </c>
      <c r="Z307" s="113" t="n">
        <v>21303014</v>
      </c>
      <c r="AA307" s="112" t="n">
        <v>9.57</v>
      </c>
      <c r="AB307" s="108" t="inlineStr">
        <is>
          <t>Greenwoods Asset Management Hong Kong Limited; UBS Asset Management (Singapore) Ltd; Fullgoal Fund Management Co., Ltd; Fullgoal Asset Management (HK) Limited</t>
        </is>
      </c>
      <c r="AC307" s="108" t="inlineStr">
        <is>
          <t>greenwoods;ubs;fullgoal</t>
        </is>
      </c>
      <c r="AD307" s="112" t="n">
        <v>15</v>
      </c>
      <c r="AE307" s="108" t="inlineStr">
        <is>
          <t>full</t>
        </is>
      </c>
      <c r="AF307" s="108" t="inlineStr">
        <is>
          <t>2025-02-06</t>
        </is>
      </c>
      <c r="AG307" s="108" t="inlineStr">
        <is>
          <t>Goldman Sachs</t>
        </is>
      </c>
      <c r="AH307" s="108" t="inlineStr">
        <is>
          <t>Goldman Sachs</t>
        </is>
      </c>
      <c r="AI307" s="120" t="n">
        <v>73.48999999999999</v>
      </c>
      <c r="AJ307" s="121" t="n">
        <v>40.85</v>
      </c>
      <c r="AK307" s="121" t="n">
        <v>-1.2</v>
      </c>
      <c r="AL307" s="121" t="n">
        <v>81.61</v>
      </c>
      <c r="AM307" s="121" t="n">
        <v>-22.44</v>
      </c>
      <c r="AN307" s="123" t="n">
        <v>2.22</v>
      </c>
      <c r="AO307" s="112" t="n">
        <v>22.81</v>
      </c>
      <c r="AP307" s="121" t="n">
        <v>49.63</v>
      </c>
      <c r="AQ307" s="121" t="n">
        <v>40.18</v>
      </c>
      <c r="AR307" s="121" t="n">
        <v>101.66</v>
      </c>
      <c r="AS307" s="121" t="n">
        <v>6.23</v>
      </c>
      <c r="AT307" s="121" t="n">
        <v>-0.48</v>
      </c>
      <c r="AU307" s="121" t="n">
        <v>43.17</v>
      </c>
      <c r="AV307" s="121" t="n">
        <v>47.69</v>
      </c>
      <c r="AW307" s="121" t="n">
        <v>23.64</v>
      </c>
      <c r="AX307" s="121" t="n">
        <v>87.13</v>
      </c>
      <c r="AY307" s="121" t="n">
        <v>-18.44</v>
      </c>
      <c r="AZ307" s="121" t="n">
        <v>16.54</v>
      </c>
      <c r="BA307" s="121" t="n">
        <v>17.96</v>
      </c>
      <c r="BB307" s="108" t="inlineStr">
        <is>
          <t>Hang Seng Commerce &amp; Industry sub-index</t>
        </is>
      </c>
      <c r="BC307" s="121" t="n">
        <v>5.55</v>
      </c>
      <c r="BD307" s="109" t="n">
        <v>46297</v>
      </c>
      <c r="BE307" s="110" t="n">
        <v>964.4</v>
      </c>
      <c r="BF307" s="113" t="n">
        <v>-441.2</v>
      </c>
      <c r="BG307" s="108" t="inlineStr">
        <is>
          <t>N</t>
        </is>
      </c>
      <c r="BH307" s="108" t="inlineStr">
        <is>
          <t>n/m</t>
        </is>
      </c>
      <c r="BI307" s="122" t="n"/>
      <c r="BJ307" s="122" t="n"/>
      <c r="BK307" s="123" t="n">
        <v>13.9</v>
      </c>
      <c r="BL307" s="124">
        <f>IF('BBG Verify'!S307="","not filed; run on terminal",'BBG Verify'!S307)</f>
        <v/>
      </c>
      <c r="BM307" s="125" t="inlineStr">
        <is>
          <t>N</t>
        </is>
      </c>
      <c r="BN307" s="126">
        <f>IF('BBG Verify'!K307="","not filed; run on terminal",'BBG Verify'!K307)</f>
        <v/>
      </c>
      <c r="BO307" s="108" t="inlineStr">
        <is>
          <t>N/A</t>
        </is>
      </c>
      <c r="BP307" s="108" t="inlineStr">
        <is>
          <t>N/A</t>
        </is>
      </c>
      <c r="BQ307" s="108" t="inlineStr">
        <is>
          <t>N/A</t>
        </is>
      </c>
      <c r="BR307" s="108" t="inlineStr">
        <is>
          <t>N/A</t>
        </is>
      </c>
      <c r="BS307" s="108" t="inlineStr">
        <is>
          <t>N/A</t>
        </is>
      </c>
      <c r="BT307" s="108" t="inlineStr">
        <is>
          <t>N/A</t>
        </is>
      </c>
      <c r="BU307" s="125" t="inlineStr">
        <is>
          <t>Goldman Sachs (Asia) L.L.C; Huatai Financial Holdings (Hong Kong) Limited</t>
        </is>
      </c>
      <c r="BV307" s="108" t="inlineStr">
        <is>
          <t>Goldman Sachs (Asia) L.L.C.; Huatai Financial Holdings (Hong Kong) Limited</t>
        </is>
      </c>
      <c r="BW307" s="108" t="inlineStr">
        <is>
          <t>Goldman Sachs (Asia) L.L.C; Huatai Financial Holdings (Hong Kong) Limited</t>
        </is>
      </c>
      <c r="BX307" s="108" t="inlineStr">
        <is>
          <t>Futu Securities International (Hong Kong) Limited; Goldman Sachs (Asia) L.L.C.; Huatai Financial Holdings (Hong Kong) Limited</t>
        </is>
      </c>
      <c r="BY307" s="127">
        <f>HYPERLINK("https://www1.hkexnews.hk/listedco/listconews/sehk/2024/1231/2024123100152.pdf","prospectus")</f>
        <v/>
      </c>
      <c r="BZ307" s="127">
        <f>HYPERLINK("https://www1.hkexnews.hk/listedco/listconews/sehk/2025/0109/2025010900829.pdf","allotment")</f>
        <v/>
      </c>
      <c r="CA307" s="127">
        <f>HYPERLINK("https://www1.hkexnews.hk/listedco/listconews/sehk/2025/0206/2025020601827.pdf","stabilisation")</f>
        <v/>
      </c>
      <c r="CB307" s="128" t="n"/>
      <c r="CC307" s="108" t="inlineStr">
        <is>
          <t>P/E: loss-making at IPO, use P/S; A/H: no A-share listing; nearest A proxy Alpha Group (002292.SZ)</t>
        </is>
      </c>
    </row>
    <row r="308" ht="22" customHeight="1">
      <c r="A308" s="107" t="inlineStr">
        <is>
          <t>2530</t>
        </is>
      </c>
      <c r="B308" s="108" t="inlineStr">
        <is>
          <t>NUMANS</t>
        </is>
      </c>
      <c r="C308" s="108" t="inlineStr">
        <is>
          <t>紐曼思</t>
        </is>
      </c>
      <c r="D308" s="108" t="inlineStr">
        <is>
          <t>Consumer</t>
        </is>
      </c>
      <c r="E308" s="108" t="inlineStr">
        <is>
          <t>Beverages / packaged food</t>
        </is>
      </c>
      <c r="F308" s="108" t="inlineStr">
        <is>
          <t>Health Care Supplies</t>
        </is>
      </c>
      <c r="G308" s="108" t="inlineStr">
        <is>
          <t>Standard</t>
        </is>
      </c>
      <c r="H308" s="109" t="n">
        <v>45667</v>
      </c>
      <c r="I308" s="110" t="n">
        <v>200</v>
      </c>
      <c r="J308" s="108" t="inlineStr">
        <is>
          <t>gross (stated)</t>
        </is>
      </c>
      <c r="K308" s="111" t="n">
        <v>0.8</v>
      </c>
      <c r="L308" s="111" t="n">
        <v>1.09</v>
      </c>
      <c r="M308" s="111" t="n">
        <v>0.8</v>
      </c>
      <c r="N308" s="108" t="inlineStr">
        <is>
          <t>N</t>
        </is>
      </c>
      <c r="O308" s="112" t="n">
        <v>73.40000000000001</v>
      </c>
      <c r="P308" s="112" t="n">
        <v>0</v>
      </c>
      <c r="Q308" s="113" t="n">
        <v>800</v>
      </c>
      <c r="R308" s="108" t="inlineStr">
        <is>
          <t>derived:price x shares upon listing</t>
        </is>
      </c>
      <c r="S308" s="114" t="n">
        <v>65.17</v>
      </c>
      <c r="T308" s="115" t="n">
        <v>1.03</v>
      </c>
      <c r="U308" s="116" t="n">
        <v>0</v>
      </c>
      <c r="V308" s="117" t="n">
        <v>115</v>
      </c>
      <c r="W308" s="112" t="n">
        <v>40</v>
      </c>
      <c r="X308" s="108" t="inlineStr">
        <is>
          <t>YES</t>
        </is>
      </c>
      <c r="Y308" s="113" t="n">
        <v>200</v>
      </c>
      <c r="Z308" s="113" t="n">
        <v>250000000</v>
      </c>
      <c r="AA308" s="112" t="n">
        <v>25</v>
      </c>
      <c r="AB308" s="108" t="inlineStr">
        <is>
          <t>none — no cornerstone tranche</t>
        </is>
      </c>
      <c r="AC308" s="108" t="inlineStr">
        <is>
          <t>none</t>
        </is>
      </c>
      <c r="AD308" s="112" t="n">
        <v>20</v>
      </c>
      <c r="AE308" s="119" t="n"/>
      <c r="AF308" s="119" t="n"/>
      <c r="AG308" s="119" t="n"/>
      <c r="AH308" s="119" t="n"/>
      <c r="AI308" s="120" t="n">
        <v>0</v>
      </c>
      <c r="AJ308" s="121" t="n">
        <v>-13.75</v>
      </c>
      <c r="AK308" s="121" t="n">
        <v>-1.2</v>
      </c>
      <c r="AL308" s="121" t="n">
        <v>-1.25</v>
      </c>
      <c r="AM308" s="121" t="n">
        <v>-12.66</v>
      </c>
      <c r="AN308" s="123" t="n">
        <v>1.23</v>
      </c>
      <c r="AO308" s="112" t="n">
        <v>26.58</v>
      </c>
      <c r="AP308" s="121" t="n">
        <v>-15</v>
      </c>
      <c r="AQ308" s="121" t="n">
        <v>-13.75</v>
      </c>
      <c r="AR308" s="121" t="n">
        <v>-16.25</v>
      </c>
      <c r="AS308" s="121" t="n">
        <v>-1.45</v>
      </c>
      <c r="AT308" s="121" t="n">
        <v>0</v>
      </c>
      <c r="AU308" s="121" t="n">
        <v>-2.9</v>
      </c>
      <c r="AV308" s="121" t="n">
        <v>-16.94</v>
      </c>
      <c r="AW308" s="121" t="n">
        <v>-30.29</v>
      </c>
      <c r="AX308" s="121" t="n">
        <v>-30.78</v>
      </c>
      <c r="AY308" s="121" t="n">
        <v>-17.96</v>
      </c>
      <c r="AZ308" s="121" t="n">
        <v>16.54</v>
      </c>
      <c r="BA308" s="121" t="n">
        <v>17.96</v>
      </c>
      <c r="BB308" s="108" t="inlineStr">
        <is>
          <t>Hang Seng Commerce &amp; Industry sub-index</t>
        </is>
      </c>
      <c r="BC308" s="121" t="n">
        <v>-8.75</v>
      </c>
      <c r="BD308" s="109" t="n">
        <v>46297</v>
      </c>
      <c r="BE308" s="110" t="n">
        <v>469.2</v>
      </c>
      <c r="BF308" s="113" t="n">
        <v>175.3</v>
      </c>
      <c r="BG308" s="108" t="inlineStr">
        <is>
          <t>Y</t>
        </is>
      </c>
      <c r="BH308" s="123" t="n">
        <v>4.6</v>
      </c>
      <c r="BI308" s="122" t="n"/>
      <c r="BJ308" s="123" t="n">
        <v>115.6</v>
      </c>
      <c r="BK308" s="123" t="n">
        <v>1.7</v>
      </c>
      <c r="BL308" s="124">
        <f>IF('BBG Verify'!S308="","not filed; run on terminal",'BBG Verify'!S308)</f>
        <v/>
      </c>
      <c r="BM308" s="125" t="inlineStr">
        <is>
          <t>N</t>
        </is>
      </c>
      <c r="BN308" s="126">
        <f>IF('BBG Verify'!K308="","not filed; run on terminal",'BBG Verify'!K308)</f>
        <v/>
      </c>
      <c r="BO308" s="108" t="inlineStr">
        <is>
          <t>N/A</t>
        </is>
      </c>
      <c r="BP308" s="108" t="inlineStr">
        <is>
          <t>N/A</t>
        </is>
      </c>
      <c r="BQ308" s="108" t="inlineStr">
        <is>
          <t>N/A</t>
        </is>
      </c>
      <c r="BR308" s="108" t="inlineStr">
        <is>
          <t>N/A</t>
        </is>
      </c>
      <c r="BS308" s="108" t="inlineStr">
        <is>
          <t>N/A</t>
        </is>
      </c>
      <c r="BT308" s="108" t="inlineStr">
        <is>
          <t>N/A</t>
        </is>
      </c>
      <c r="BU308" s="125" t="inlineStr">
        <is>
          <t>Caitong International Capital Co., Limited</t>
        </is>
      </c>
      <c r="BV308" s="108" t="inlineStr">
        <is>
          <t>Caitong International Capital Co.</t>
        </is>
      </c>
      <c r="BW308" s="108" t="inlineStr">
        <is>
          <t>Caitong International Securities Co., Limited; Quam Securities Limited; China Everbright Securities (HK) Limited; First Fidelity Capital (International) Limited; Phillip Securities (Hong Kong) Limited; Soochow Securities International Brokerage Limited; UZen Securities Limited</t>
        </is>
      </c>
      <c r="BX308" s="108" t="inlineStr">
        <is>
          <t>Caitong International Securities Company Limited; China Everbright Securities (HK) Limited; First Fidelity Capital (International) Limited; Futu Securities International (Hong Kong) Limited; Phillip Securities (Hong Kong) Limited; Quam Securities Company Limited; Soochow Securities International Brokerage Limited; UZen Securities Limited</t>
        </is>
      </c>
      <c r="BY308" s="127">
        <f>HYPERLINK("https://www1.hkexnews.hk/listedco/listconews/sehk/2024/1230/2024123000005.pdf","prospectus")</f>
        <v/>
      </c>
      <c r="BZ308" s="127">
        <f>HYPERLINK("https://www1.hkexnews.hk/listedco/listconews/sehk/2025/0109/2025010901059.pdf","allotment")</f>
        <v/>
      </c>
      <c r="CA308" s="119" t="n"/>
      <c r="CB308" s="128" t="n"/>
      <c r="CC308" s="108" t="inlineStr">
        <is>
          <t>greenshoe: end-of-stabilisation notice not found; cornerstone list: no cornerstone tranche; stabilising manager: not named in the allotment notice or prospectus glossary</t>
        </is>
      </c>
    </row>
    <row r="309" ht="22" customHeight="1">
      <c r="A309" s="107" t="inlineStr">
        <is>
          <t>2596</t>
        </is>
      </c>
      <c r="B309" s="108" t="inlineStr">
        <is>
          <t>YIBIN BANK</t>
        </is>
      </c>
      <c r="C309" s="108" t="inlineStr">
        <is>
          <t>宜賓銀行</t>
        </is>
      </c>
      <c r="D309" s="108" t="inlineStr">
        <is>
          <t>Financials</t>
        </is>
      </c>
      <c r="E309" s="108" t="inlineStr">
        <is>
          <t>Banks</t>
        </is>
      </c>
      <c r="F309" s="108" t="inlineStr">
        <is>
          <t>Diversified Banks</t>
        </is>
      </c>
      <c r="G309" s="108" t="inlineStr">
        <is>
          <t>Standard</t>
        </is>
      </c>
      <c r="H309" s="109" t="n">
        <v>45670</v>
      </c>
      <c r="I309" s="110" t="n">
        <v>1782.96</v>
      </c>
      <c r="J309" s="108" t="inlineStr">
        <is>
          <t>gross (stated)</t>
        </is>
      </c>
      <c r="K309" s="111" t="n">
        <v>2.59</v>
      </c>
      <c r="L309" s="111" t="n">
        <v>2.72</v>
      </c>
      <c r="M309" s="111" t="n">
        <v>2.59</v>
      </c>
      <c r="N309" s="108" t="inlineStr">
        <is>
          <t>N</t>
        </is>
      </c>
      <c r="O309" s="112" t="n">
        <v>95.2</v>
      </c>
      <c r="P309" s="112" t="n">
        <v>0</v>
      </c>
      <c r="Q309" s="113" t="n">
        <v>10568.8</v>
      </c>
      <c r="R309" s="108" t="inlineStr">
        <is>
          <t>derived:deal size / offer % of enlarged capital</t>
        </is>
      </c>
      <c r="S309" s="114" t="n">
        <v>0.21</v>
      </c>
      <c r="T309" s="115" t="n">
        <v>1.14</v>
      </c>
      <c r="U309" s="116" t="n">
        <v>0</v>
      </c>
      <c r="V309" s="117" t="n">
        <v>113</v>
      </c>
      <c r="W309" s="112" t="n">
        <v>2.11</v>
      </c>
      <c r="X309" s="108" t="inlineStr">
        <is>
          <t>NO</t>
        </is>
      </c>
      <c r="Y309" s="113" t="n">
        <v>1782.96</v>
      </c>
      <c r="Z309" s="113" t="n">
        <v>688400000</v>
      </c>
      <c r="AA309" s="112" t="n">
        <v>16.87</v>
      </c>
      <c r="AB309" s="108" t="inlineStr">
        <is>
          <t>none — no cornerstone tranche</t>
        </is>
      </c>
      <c r="AC309" s="108" t="inlineStr">
        <is>
          <t>none</t>
        </is>
      </c>
      <c r="AD309" s="112" t="n">
        <v>3.2</v>
      </c>
      <c r="AE309" s="108" t="inlineStr">
        <is>
          <t>lapsed</t>
        </is>
      </c>
      <c r="AF309" s="119" t="n"/>
      <c r="AG309" s="108" t="inlineStr">
        <is>
          <t>CCB International Capital Limited</t>
        </is>
      </c>
      <c r="AH309" s="108" t="inlineStr">
        <is>
          <t>CCB</t>
        </is>
      </c>
      <c r="AI309" s="139" t="n">
        <v>-1.54</v>
      </c>
      <c r="AJ309" s="121" t="n">
        <v>0.77</v>
      </c>
      <c r="AK309" s="121" t="n">
        <v>-1.05</v>
      </c>
      <c r="AL309" s="121" t="n">
        <v>0</v>
      </c>
      <c r="AM309" s="121" t="n">
        <v>0.77</v>
      </c>
      <c r="AN309" s="123" t="n">
        <v>1.77</v>
      </c>
      <c r="AO309" s="112" t="n">
        <v>3.86</v>
      </c>
      <c r="AP309" s="121" t="n">
        <v>0.39</v>
      </c>
      <c r="AQ309" s="121" t="n">
        <v>0.39</v>
      </c>
      <c r="AR309" s="121" t="n">
        <v>1.16</v>
      </c>
      <c r="AS309" s="121" t="n">
        <v>-0.38</v>
      </c>
      <c r="AT309" s="121" t="n">
        <v>-0.38</v>
      </c>
      <c r="AU309" s="121" t="n">
        <v>0.39</v>
      </c>
      <c r="AV309" s="121" t="n">
        <v>-2.89</v>
      </c>
      <c r="AW309" s="121" t="n">
        <v>-12.01</v>
      </c>
      <c r="AX309" s="121" t="n">
        <v>-6.6</v>
      </c>
      <c r="AY309" s="121" t="n">
        <v>-13.98</v>
      </c>
      <c r="AZ309" s="121" t="n">
        <v>12.4</v>
      </c>
      <c r="BA309" s="121" t="n">
        <v>13.6</v>
      </c>
      <c r="BB309" s="108" t="inlineStr">
        <is>
          <t>Hang Seng Finance sub-index</t>
        </is>
      </c>
      <c r="BC309" s="121" t="n">
        <v>2.32</v>
      </c>
      <c r="BD309" s="109" t="n">
        <v>46297</v>
      </c>
      <c r="BE309" s="110" t="n">
        <v>2387</v>
      </c>
      <c r="BF309" s="113" t="n">
        <v>524.7</v>
      </c>
      <c r="BG309" s="108" t="inlineStr">
        <is>
          <t>Y</t>
        </is>
      </c>
      <c r="BH309" s="123" t="n">
        <v>20.1</v>
      </c>
      <c r="BI309" s="122" t="n"/>
      <c r="BJ309" s="122" t="n"/>
      <c r="BK309" s="123" t="n">
        <v>4.4</v>
      </c>
      <c r="BL309" s="124">
        <f>IF('BBG Verify'!S309="","not filed; run on terminal",'BBG Verify'!S309)</f>
        <v/>
      </c>
      <c r="BM309" s="125" t="inlineStr">
        <is>
          <t>N</t>
        </is>
      </c>
      <c r="BN309" s="126">
        <f>IF('BBG Verify'!K309="","not filed; run on terminal",'BBG Verify'!K309)</f>
        <v/>
      </c>
      <c r="BO309" s="108" t="inlineStr">
        <is>
          <t>N/A</t>
        </is>
      </c>
      <c r="BP309" s="108" t="inlineStr">
        <is>
          <t>N/A</t>
        </is>
      </c>
      <c r="BQ309" s="108" t="inlineStr">
        <is>
          <t>N/A</t>
        </is>
      </c>
      <c r="BR309" s="108" t="inlineStr">
        <is>
          <t>N/A</t>
        </is>
      </c>
      <c r="BS309" s="108" t="inlineStr">
        <is>
          <t>N/A</t>
        </is>
      </c>
      <c r="BT309" s="108" t="inlineStr">
        <is>
          <t>N/A</t>
        </is>
      </c>
      <c r="BU309" s="125" t="inlineStr">
        <is>
          <t>CCB International Capital Limited; ICBC International Capital Limited</t>
        </is>
      </c>
      <c r="BV309" s="108" t="inlineStr">
        <is>
          <t>CCB International Capital Limited; ICBC International Capital Limited</t>
        </is>
      </c>
      <c r="BW309" s="108" t="inlineStr">
        <is>
          <t>BOCI Asia Limited; CLSA Limited; Zhongtai International Securities Limited</t>
        </is>
      </c>
      <c r="BX309" s="108" t="inlineStr">
        <is>
          <t>BOCI Asia Limited; CCB International Capital Limited; CLSA Limited; CMBC Securities Company Limited; CNI Securities Group Limited; Futu Securities International (Hong Kong) Limited; ICBC International Securities Limited; Maxa Capital Limited; Shenwan Hongyuan Securities (H.K.) Limited; Zhongtai International Securities Limited</t>
        </is>
      </c>
      <c r="BY309" s="127">
        <f>HYPERLINK("https://www1.hkexnews.hk/listedco/listconews/sehk/2024/1230/2024123000047.pdf","prospectus")</f>
        <v/>
      </c>
      <c r="BZ309" s="127">
        <f>HYPERLINK("https://www1.hkexnews.hk/listedco/listconews/sehk/2025/0110/2025011001363.pdf","allotment")</f>
        <v/>
      </c>
      <c r="CA309" s="127">
        <f>HYPERLINK("https://www1.hkexnews.hk/listedco/listconews/sehk/2025/0207/2025020700893.pdf","stabilisation")</f>
        <v/>
      </c>
      <c r="CB309" s="128" t="n"/>
      <c r="CC309" s="108" t="inlineStr">
        <is>
          <t>greenshoe: outcome published; expiry date not in the notice; cornerstone list: no cornerstone tranche</t>
        </is>
      </c>
    </row>
    <row r="310" ht="22" customHeight="1">
      <c r="A310" s="107" t="inlineStr">
        <is>
          <t>2571</t>
        </is>
      </c>
      <c r="B310" s="108" t="inlineStr">
        <is>
          <t>SAIMO</t>
        </is>
      </c>
      <c r="C310" s="108" t="inlineStr">
        <is>
          <t>賽目科技</t>
        </is>
      </c>
      <c r="D310" s="108" t="inlineStr">
        <is>
          <t>Industrials</t>
        </is>
      </c>
      <c r="E310" s="108" t="inlineStr">
        <is>
          <t>Capital goods / machinery</t>
        </is>
      </c>
      <c r="F310" s="108" t="inlineStr">
        <is>
          <t>Application Software</t>
        </is>
      </c>
      <c r="G310" s="108" t="inlineStr">
        <is>
          <t>Standard</t>
        </is>
      </c>
      <c r="H310" s="109" t="n">
        <v>45672</v>
      </c>
      <c r="I310" s="110" t="n">
        <v>433</v>
      </c>
      <c r="J310" s="108" t="inlineStr">
        <is>
          <t>gross (stated)</t>
        </is>
      </c>
      <c r="K310" s="111" t="n">
        <v>12</v>
      </c>
      <c r="L310" s="111" t="n">
        <v>12.99</v>
      </c>
      <c r="M310" s="111" t="n">
        <v>12.99</v>
      </c>
      <c r="N310" s="108" t="inlineStr">
        <is>
          <t>Y</t>
        </is>
      </c>
      <c r="O310" s="112" t="n">
        <v>100</v>
      </c>
      <c r="P310" s="112" t="n">
        <v>100</v>
      </c>
      <c r="Q310" s="113" t="n">
        <v>1732</v>
      </c>
      <c r="R310" s="108" t="inlineStr">
        <is>
          <t>derived:price x shares upon listing</t>
        </is>
      </c>
      <c r="S310" s="114" t="n">
        <v>2.66</v>
      </c>
      <c r="T310" s="115" t="n">
        <v>1.06</v>
      </c>
      <c r="U310" s="116" t="n">
        <v>34.3</v>
      </c>
      <c r="V310" s="117" t="n">
        <v>120</v>
      </c>
      <c r="W310" s="112" t="n">
        <v>10</v>
      </c>
      <c r="X310" s="108" t="inlineStr">
        <is>
          <t>NO</t>
        </is>
      </c>
      <c r="Y310" s="113" t="n">
        <v>284.48</v>
      </c>
      <c r="Z310" s="113" t="n">
        <v>21900044</v>
      </c>
      <c r="AA310" s="112" t="n">
        <v>16.43</v>
      </c>
      <c r="AB310" s="108" t="inlineStr">
        <is>
          <t>China Mobile International Holdings Limited</t>
        </is>
      </c>
      <c r="AC310" s="108" t="inlineStr">
        <is>
          <t>mobile</t>
        </is>
      </c>
      <c r="AD310" s="112" t="n">
        <v>9.300000000000001</v>
      </c>
      <c r="AE310" s="108" t="inlineStr">
        <is>
          <t>lapsed (no over-allocation)</t>
        </is>
      </c>
      <c r="AF310" s="108" t="inlineStr">
        <is>
          <t>2025-02-09</t>
        </is>
      </c>
      <c r="AG310" s="108" t="inlineStr">
        <is>
          <t>CEB International Capital Corporation Limited</t>
        </is>
      </c>
      <c r="AH310" s="108" t="inlineStr">
        <is>
          <t>CEB</t>
        </is>
      </c>
      <c r="AI310" s="120" t="n">
        <v>0.08</v>
      </c>
      <c r="AJ310" s="121" t="n">
        <v>1.46</v>
      </c>
      <c r="AK310" s="121" t="n">
        <v>0.18</v>
      </c>
      <c r="AL310" s="121" t="n">
        <v>2.39</v>
      </c>
      <c r="AM310" s="121" t="n">
        <v>-0.91</v>
      </c>
      <c r="AN310" s="123" t="n">
        <v>2.32</v>
      </c>
      <c r="AO310" s="112" t="n">
        <v>12.33</v>
      </c>
      <c r="AP310" s="121" t="n">
        <v>0.38</v>
      </c>
      <c r="AQ310" s="121" t="n">
        <v>17.17</v>
      </c>
      <c r="AR310" s="121" t="n">
        <v>-4.54</v>
      </c>
      <c r="AS310" s="121" t="n">
        <v>-1.06</v>
      </c>
      <c r="AT310" s="121" t="n">
        <v>15.48</v>
      </c>
      <c r="AU310" s="121" t="n">
        <v>-5.91</v>
      </c>
      <c r="AV310" s="121" t="n">
        <v>-2.59</v>
      </c>
      <c r="AW310" s="121" t="n">
        <v>-7.53</v>
      </c>
      <c r="AX310" s="121" t="n">
        <v>-18.23</v>
      </c>
      <c r="AY310" s="121" t="n">
        <v>-8.99</v>
      </c>
      <c r="AZ310" s="121" t="n">
        <v>24.7</v>
      </c>
      <c r="BA310" s="121" t="n">
        <v>24.47</v>
      </c>
      <c r="BB310" s="108" t="inlineStr">
        <is>
          <t>Hang Seng Commerce &amp; Industry sub-index</t>
        </is>
      </c>
      <c r="BC310" s="121" t="n">
        <v>25.48</v>
      </c>
      <c r="BD310" s="109" t="n">
        <v>46297</v>
      </c>
      <c r="BE310" s="110" t="n">
        <v>193.3</v>
      </c>
      <c r="BF310" s="113" t="n">
        <v>55.8</v>
      </c>
      <c r="BG310" s="108" t="inlineStr">
        <is>
          <t>Y</t>
        </is>
      </c>
      <c r="BH310" s="123" t="n">
        <v>31</v>
      </c>
      <c r="BI310" s="122" t="n"/>
      <c r="BJ310" s="123" t="n">
        <v>33.9</v>
      </c>
      <c r="BK310" s="123" t="n">
        <v>9</v>
      </c>
      <c r="BL310" s="124">
        <f>IF('BBG Verify'!S310="","not filed; run on terminal",'BBG Verify'!S310)</f>
        <v/>
      </c>
      <c r="BM310" s="125" t="inlineStr">
        <is>
          <t>N</t>
        </is>
      </c>
      <c r="BN310" s="126">
        <f>IF('BBG Verify'!K310="","not filed; run on terminal",'BBG Verify'!K310)</f>
        <v/>
      </c>
      <c r="BO310" s="108" t="inlineStr">
        <is>
          <t>N/A</t>
        </is>
      </c>
      <c r="BP310" s="108" t="inlineStr">
        <is>
          <t>N/A</t>
        </is>
      </c>
      <c r="BQ310" s="108" t="inlineStr">
        <is>
          <t>N/A</t>
        </is>
      </c>
      <c r="BR310" s="108" t="inlineStr">
        <is>
          <t>N/A</t>
        </is>
      </c>
      <c r="BS310" s="108" t="inlineStr">
        <is>
          <t>N/A</t>
        </is>
      </c>
      <c r="BT310" s="108" t="inlineStr">
        <is>
          <t>N/A</t>
        </is>
      </c>
      <c r="BU310" s="125" t="inlineStr">
        <is>
          <t>CEB International Capital Corporation Limited</t>
        </is>
      </c>
      <c r="BV310" s="108" t="inlineStr">
        <is>
          <t>CEB International Capital Corporation Limited</t>
        </is>
      </c>
      <c r="BW310" s="108" t="inlineStr">
        <is>
          <t>CEB International Capital Corporation Limited; CLSA Limited; (Hong Kong) Co., Limited; CMB International Capital Limited; CCB International Capital Limited; BOCOM International Securities Limited; SPDB International Capital Limited; Livermore Holdings Limited; China Sunrise Securities (International) Limited; Citrus Securities Limited</t>
        </is>
      </c>
      <c r="BX310" s="108" t="inlineStr">
        <is>
          <t>Aristo Securities Limited; BOCOM International Securities Limited; CCB International Capital Limited; CEB International Capital Corporation Limited; China Galaxy International Securities (Hong Kong) Company Limited; Citrus Securities Limited; CLSA Limited; CMB International Capital Corporation Limited; China Sunrise Securities (International) Limited; ICBC International Securities Limited; Livermore Holdings Limited; SBI China Capital Financial Services Limited</t>
        </is>
      </c>
      <c r="BY310" s="127">
        <f>HYPERLINK("https://www1.hkexnews.hk/listedco/listconews/sehk/2024/1231/2024123100154.pdf","prospectus")</f>
        <v/>
      </c>
      <c r="BZ310" s="127">
        <f>HYPERLINK("https://www1.hkexnews.hk/listedco/listconews/sehk/2025/0114/2025011400898.pdf","allotment")</f>
        <v/>
      </c>
      <c r="CA310" s="127">
        <f>HYPERLINK("https://www1.hkexnews.hk/listedco/listconews/sehk/2025/0210/2025021000368.pdf","stabilisation")</f>
        <v/>
      </c>
      <c r="CB310" s="128" t="n"/>
      <c r="CC310" s="108" t="inlineStr">
        <is>
          <t>price range: fixed-price offering (no indicative range); sponsor: English name not in the filing; AAStocks 保薦人 shown; market cap: AAStocks lists HK$2,400m at listing vs HK$1,732m from price x filed share count; the filed count kept</t>
        </is>
      </c>
    </row>
    <row r="311" ht="22" customHeight="1">
      <c r="A311" s="107" t="inlineStr">
        <is>
          <t>1364</t>
        </is>
      </c>
      <c r="B311" s="108" t="inlineStr">
        <is>
          <t>GUMING</t>
        </is>
      </c>
      <c r="C311" s="108" t="inlineStr">
        <is>
          <t>古茗</t>
        </is>
      </c>
      <c r="D311" s="108" t="inlineStr">
        <is>
          <t>Consumer</t>
        </is>
      </c>
      <c r="E311" s="108" t="inlineStr">
        <is>
          <t>F&amp;B chains / restaurants</t>
        </is>
      </c>
      <c r="F311" s="108" t="inlineStr">
        <is>
          <t>Beverages (Non-alcoholic)</t>
        </is>
      </c>
      <c r="G311" s="108" t="inlineStr">
        <is>
          <t>Standard</t>
        </is>
      </c>
      <c r="H311" s="109" t="n">
        <v>45700</v>
      </c>
      <c r="I311" s="110" t="n">
        <v>1813</v>
      </c>
      <c r="J311" s="108" t="inlineStr">
        <is>
          <t>gross (stated)</t>
        </is>
      </c>
      <c r="K311" s="129" t="n"/>
      <c r="L311" s="111" t="n">
        <v>9.94</v>
      </c>
      <c r="M311" s="111" t="n">
        <v>9.94</v>
      </c>
      <c r="N311" s="108" t="inlineStr">
        <is>
          <t>Y</t>
        </is>
      </c>
      <c r="O311" s="112" t="n">
        <v>100</v>
      </c>
      <c r="P311" s="118" t="n"/>
      <c r="Q311" s="113" t="n">
        <v>23421.8</v>
      </c>
      <c r="R311" s="108" t="inlineStr">
        <is>
          <t>derived:price x shares upon listing</t>
        </is>
      </c>
      <c r="S311" s="114" t="n">
        <v>194.87</v>
      </c>
      <c r="T311" s="115" t="n">
        <v>15.03</v>
      </c>
      <c r="U311" s="116" t="n">
        <v>30.51</v>
      </c>
      <c r="V311" s="117" t="n">
        <v>108</v>
      </c>
      <c r="W311" s="112" t="n">
        <v>43.48</v>
      </c>
      <c r="X311" s="108" t="inlineStr">
        <is>
          <t>YES</t>
        </is>
      </c>
      <c r="Y311" s="113" t="n">
        <v>1259.85</v>
      </c>
      <c r="Z311" s="113" t="n">
        <v>126752262</v>
      </c>
      <c r="AA311" s="112" t="n">
        <v>5.38</v>
      </c>
      <c r="AB311" s="108" t="inlineStr">
        <is>
          <t>Huang River Investment Limited; GM Charm Yield (BVI) Limited; Golden Valley Global Limited; Golden Valley Value Select Master Fund; Long-Z Fund I, LP; Duckling Fund, L.P</t>
        </is>
      </c>
      <c r="AC311" s="108" t="inlineStr">
        <is>
          <t>huang-river;gm;golden-valley;long;duckling</t>
        </is>
      </c>
      <c r="AD311" s="112" t="n">
        <v>15</v>
      </c>
      <c r="AE311" s="108" t="inlineStr">
        <is>
          <t>partial</t>
        </is>
      </c>
      <c r="AF311" s="119" t="n"/>
      <c r="AG311" s="108" t="inlineStr">
        <is>
          <t>Goldman Sachs</t>
        </is>
      </c>
      <c r="AH311" s="108" t="inlineStr">
        <is>
          <t>Goldman Sachs</t>
        </is>
      </c>
      <c r="AI311" s="120" t="n">
        <v>10.87</v>
      </c>
      <c r="AJ311" s="121" t="n">
        <v>-6.44</v>
      </c>
      <c r="AK311" s="121" t="n">
        <v>2.81</v>
      </c>
      <c r="AL311" s="121" t="n">
        <v>0.6</v>
      </c>
      <c r="AM311" s="121" t="n">
        <v>-7</v>
      </c>
      <c r="AN311" s="123" t="n">
        <v>1.69</v>
      </c>
      <c r="AO311" s="112" t="n">
        <v>14.7</v>
      </c>
      <c r="AP311" s="121" t="n">
        <v>-2.11</v>
      </c>
      <c r="AQ311" s="121" t="n">
        <v>45.07</v>
      </c>
      <c r="AR311" s="121" t="n">
        <v>157.04</v>
      </c>
      <c r="AS311" s="121" t="n">
        <v>4.63</v>
      </c>
      <c r="AT311" s="121" t="n">
        <v>55.06</v>
      </c>
      <c r="AU311" s="121" t="n">
        <v>174.73</v>
      </c>
      <c r="AV311" s="121" t="n">
        <v>-11.51</v>
      </c>
      <c r="AW311" s="121" t="n">
        <v>33.21</v>
      </c>
      <c r="AX311" s="121" t="n">
        <v>148.82</v>
      </c>
      <c r="AY311" s="121" t="n">
        <v>46.25</v>
      </c>
      <c r="AZ311" s="121" t="n">
        <v>11.86</v>
      </c>
      <c r="BA311" s="121" t="n">
        <v>8.81</v>
      </c>
      <c r="BB311" s="108" t="inlineStr">
        <is>
          <t>Hang Seng Commerce &amp; Industry sub-index</t>
        </is>
      </c>
      <c r="BC311" s="121" t="n">
        <v>124.55</v>
      </c>
      <c r="BD311" s="109" t="n">
        <v>46297</v>
      </c>
      <c r="BE311" s="110" t="n">
        <v>8443.200000000001</v>
      </c>
      <c r="BF311" s="113" t="n">
        <v>1206</v>
      </c>
      <c r="BG311" s="108" t="inlineStr">
        <is>
          <t>Y</t>
        </is>
      </c>
      <c r="BH311" s="123" t="n">
        <v>19.4</v>
      </c>
      <c r="BI311" s="123" t="n">
        <v>12.3</v>
      </c>
      <c r="BJ311" s="123" t="n">
        <v>15.4</v>
      </c>
      <c r="BK311" s="123" t="n">
        <v>2.8</v>
      </c>
      <c r="BL311" s="124">
        <f>IF('BBG Verify'!S311="","not filed; run on terminal",'BBG Verify'!S311)</f>
        <v/>
      </c>
      <c r="BM311" s="125" t="inlineStr">
        <is>
          <t>N</t>
        </is>
      </c>
      <c r="BN311" s="126">
        <f>IF('BBG Verify'!K311="","not filed; run on terminal",'BBG Verify'!K311)</f>
        <v/>
      </c>
      <c r="BO311" s="108" t="inlineStr">
        <is>
          <t>N/A</t>
        </is>
      </c>
      <c r="BP311" s="108" t="inlineStr">
        <is>
          <t>N/A</t>
        </is>
      </c>
      <c r="BQ311" s="108" t="inlineStr">
        <is>
          <t>N/A</t>
        </is>
      </c>
      <c r="BR311" s="108" t="inlineStr">
        <is>
          <t>N/A</t>
        </is>
      </c>
      <c r="BS311" s="108" t="inlineStr">
        <is>
          <t>N/A</t>
        </is>
      </c>
      <c r="BT311" s="108" t="inlineStr">
        <is>
          <t>N/A</t>
        </is>
      </c>
      <c r="BU311" s="125" t="inlineStr">
        <is>
          <t>Goldman Sachs (Asia) L.L.C; UBS Securities Hong Kong Limited; UBS AG Hong Kong Branch</t>
        </is>
      </c>
      <c r="BV311" s="108" t="inlineStr">
        <is>
          <t>UBS Securities Hong Kong Limited; Goldman Sachs (Asia) L.L.C.</t>
        </is>
      </c>
      <c r="BW311" s="108" t="inlineStr">
        <is>
          <t>Goldman Sachs (Asia) L.L.C; UBS AG Hong Kong Branch; China International Capital Corporation Hong Kong Securities Limited; The Hongkong and Shanghai Banking Corporation Limited; ABCI Capital Limited; BOCI Asia Limited; CMB International Capital Limited</t>
        </is>
      </c>
      <c r="BX311" s="108" t="inlineStr">
        <is>
          <t>ABCI Securities Company Limited; BOCI Asia Limited; China International Capital Corporation Hong Kong Securities Limited; CMB International Capital Limited; Futu Securities International (Hong Kong) Limited; Goldman Sachs (Asia) L.L.C.; The Hongkong and Shanghai Banking Corporation Limited; UBS AG Hong Kong Branch</t>
        </is>
      </c>
      <c r="BY311" s="127">
        <f>HYPERLINK("https://www1.hkexnews.hk/listedco/listconews/sehk/2025/0204/2025020400011.pdf","prospectus")</f>
        <v/>
      </c>
      <c r="BZ311" s="127">
        <f>HYPERLINK("https://www1.hkexnews.hk/listedco/listconews/sehk/2025/0211/2025021100944.pdf","allotment")</f>
        <v/>
      </c>
      <c r="CA311" s="127">
        <f>HYPERLINK("https://www1.hkexnews.hk/listedco/listconews/sehk/2025/0309/2025030900015.pdf","stabilisation")</f>
        <v/>
      </c>
      <c r="CB311" s="128" t="n"/>
      <c r="CC311" s="108" t="inlineStr">
        <is>
          <t>greenshoe: outcome published; expiry date not in the notice; range low: maximum offer price only, no floor published</t>
        </is>
      </c>
    </row>
    <row r="312" ht="22" customHeight="1">
      <c r="A312" s="107" t="inlineStr">
        <is>
          <t>2097</t>
        </is>
      </c>
      <c r="B312" s="108" t="inlineStr">
        <is>
          <t>MIXUE GROUP</t>
        </is>
      </c>
      <c r="C312" s="108" t="inlineStr">
        <is>
          <t>蜜雪集團</t>
        </is>
      </c>
      <c r="D312" s="108" t="inlineStr">
        <is>
          <t>Consumer</t>
        </is>
      </c>
      <c r="E312" s="108" t="inlineStr">
        <is>
          <t>F&amp;B chains / restaurants</t>
        </is>
      </c>
      <c r="F312" s="108" t="inlineStr">
        <is>
          <t>Beverages (Non-alcoholic)</t>
        </is>
      </c>
      <c r="G312" s="108" t="inlineStr">
        <is>
          <t>Standard</t>
        </is>
      </c>
      <c r="H312" s="109" t="n">
        <v>45719</v>
      </c>
      <c r="I312" s="110" t="n">
        <v>3455</v>
      </c>
      <c r="J312" s="108" t="inlineStr">
        <is>
          <t>gross (stated)</t>
        </is>
      </c>
      <c r="K312" s="129" t="n"/>
      <c r="L312" s="111" t="n">
        <v>202.5</v>
      </c>
      <c r="M312" s="111" t="n">
        <v>202.5</v>
      </c>
      <c r="N312" s="108" t="inlineStr">
        <is>
          <t>Y</t>
        </is>
      </c>
      <c r="O312" s="112" t="n">
        <v>100</v>
      </c>
      <c r="P312" s="118" t="n"/>
      <c r="Q312" s="113" t="n">
        <v>76355</v>
      </c>
      <c r="R312" s="108" t="inlineStr">
        <is>
          <t>prospectus:stated market capitalisation</t>
        </is>
      </c>
      <c r="S312" s="114" t="n">
        <v>5258.21</v>
      </c>
      <c r="T312" s="115" t="n">
        <v>35.23</v>
      </c>
      <c r="U312" s="116" t="n">
        <v>45.09</v>
      </c>
      <c r="V312" s="117" t="n">
        <v>222</v>
      </c>
      <c r="W312" s="112" t="n">
        <v>50</v>
      </c>
      <c r="X312" s="108" t="inlineStr">
        <is>
          <t>YES</t>
        </is>
      </c>
      <c r="Y312" s="113" t="n">
        <v>1897.14</v>
      </c>
      <c r="Z312" s="113" t="n">
        <v>9367591</v>
      </c>
      <c r="AA312" s="112" t="n">
        <v>2.48</v>
      </c>
      <c r="AB312" s="108" t="inlineStr">
        <is>
          <t>M&amp;G Investments; HSG Growth VI Holdco F, Ltd; Persistence Growth Limited; HHLR Fund, L.P.; Long-Z Fund I, LP</t>
        </is>
      </c>
      <c r="AC312" s="108" t="inlineStr">
        <is>
          <t>investments;hsg;persistence;hhlr;long</t>
        </is>
      </c>
      <c r="AD312" s="112" t="n">
        <v>15</v>
      </c>
      <c r="AE312" s="108" t="inlineStr">
        <is>
          <t>full</t>
        </is>
      </c>
      <c r="AF312" s="108" t="inlineStr">
        <is>
          <t>2025-03-28</t>
        </is>
      </c>
      <c r="AG312" s="108" t="inlineStr">
        <is>
          <t>Merrill Lynch</t>
        </is>
      </c>
      <c r="AH312" s="108" t="inlineStr">
        <is>
          <t>Merrill Lynch</t>
        </is>
      </c>
      <c r="AI312" s="120" t="n">
        <v>23.46</v>
      </c>
      <c r="AJ312" s="121" t="n">
        <v>43.21</v>
      </c>
      <c r="AK312" s="121" t="n">
        <v>0.26</v>
      </c>
      <c r="AL312" s="121" t="n">
        <v>29.38</v>
      </c>
      <c r="AM312" s="121" t="n">
        <v>10.69</v>
      </c>
      <c r="AN312" s="123" t="n">
        <v>1.88</v>
      </c>
      <c r="AO312" s="112" t="n">
        <v>16.03</v>
      </c>
      <c r="AP312" s="121" t="n">
        <v>94.27</v>
      </c>
      <c r="AQ312" s="121" t="n">
        <v>107.41</v>
      </c>
      <c r="AR312" s="121" t="n">
        <v>180.49</v>
      </c>
      <c r="AS312" s="121" t="n">
        <v>35.65</v>
      </c>
      <c r="AT312" s="121" t="n">
        <v>44.83</v>
      </c>
      <c r="AU312" s="121" t="n">
        <v>95.86</v>
      </c>
      <c r="AV312" s="121" t="n">
        <v>89.55</v>
      </c>
      <c r="AW312" s="121" t="n">
        <v>106.47</v>
      </c>
      <c r="AX312" s="121" t="n">
        <v>178.85</v>
      </c>
      <c r="AY312" s="121" t="n">
        <v>44.15</v>
      </c>
      <c r="AZ312" s="121" t="n">
        <v>0.9399999999999999</v>
      </c>
      <c r="BA312" s="121" t="n">
        <v>0.68</v>
      </c>
      <c r="BB312" s="108" t="inlineStr">
        <is>
          <t>Hang Seng Commerce &amp; Industry sub-index</t>
        </is>
      </c>
      <c r="BC312" s="121" t="n">
        <v>-11.85</v>
      </c>
      <c r="BD312" s="109" t="n">
        <v>46297</v>
      </c>
      <c r="BE312" s="110" t="n">
        <v>22332.7</v>
      </c>
      <c r="BF312" s="113" t="n">
        <v>3505.3</v>
      </c>
      <c r="BG312" s="108" t="inlineStr">
        <is>
          <t>Y</t>
        </is>
      </c>
      <c r="BH312" s="123" t="n">
        <v>21.8</v>
      </c>
      <c r="BI312" s="122" t="n"/>
      <c r="BJ312" s="123" t="n">
        <v>12.5</v>
      </c>
      <c r="BK312" s="123" t="n">
        <v>3.4</v>
      </c>
      <c r="BL312" s="124">
        <f>IF('BBG Verify'!S312="","not filed; run on terminal",'BBG Verify'!S312)</f>
        <v/>
      </c>
      <c r="BM312" s="125" t="inlineStr">
        <is>
          <t>N</t>
        </is>
      </c>
      <c r="BN312" s="126">
        <f>IF('BBG Verify'!K312="","not filed; run on terminal",'BBG Verify'!K312)</f>
        <v/>
      </c>
      <c r="BO312" s="108" t="inlineStr">
        <is>
          <t>N/A</t>
        </is>
      </c>
      <c r="BP312" s="108" t="inlineStr">
        <is>
          <t>N/A</t>
        </is>
      </c>
      <c r="BQ312" s="108" t="inlineStr">
        <is>
          <t>N/A</t>
        </is>
      </c>
      <c r="BR312" s="108" t="inlineStr">
        <is>
          <t>N/A</t>
        </is>
      </c>
      <c r="BS312" s="108" t="inlineStr">
        <is>
          <t>N/A</t>
        </is>
      </c>
      <c r="BT312" s="108" t="inlineStr">
        <is>
          <t>N/A</t>
        </is>
      </c>
      <c r="BU312" s="125" t="inlineStr">
        <is>
          <t>Merrill Lynch (Asia Pacific) Limited; Goldman Sachs (Asia) L.L.C; UBS Securities Hong Kong Limited</t>
        </is>
      </c>
      <c r="BV312" s="108" t="inlineStr">
        <is>
          <t>UBS Securities Hong Kong Limited; Merrill Lynch (Asia Pacific) Limited; Goldman Sachs (Asia) L.L.C.</t>
        </is>
      </c>
      <c r="BW312" s="108" t="inlineStr">
        <is>
          <t>Merrill Lynch (Asia Pacific) Limited; Goldman Sachs (Asia) L.L.C; UBS AG Hong Kong Branch; Huatai Financial Holdings (Hong Kong) Limited; ICBC International Securities Limited; GF Securities (Hong Kong) Brokerage Limited; CMB International Capital Limited</t>
        </is>
      </c>
      <c r="BX312" s="108" t="inlineStr">
        <is>
          <t>China International Capital Corporation Hong Kong Securities Limited; CMB International Capital Corporation Limited; GF Securities (Hong Kong) Brokerage Limited; Goldman Sachs (Asia) L.L.C.; Huatai Financial Holdings (Hong Kong) Limited; ICBC International Securities Limited; Merrill Lynch (Asia Pacific) Limited; UBS AG Hong Kong Branch</t>
        </is>
      </c>
      <c r="BY312" s="127">
        <f>HYPERLINK("https://www1.hkexnews.hk/listedco/listconews/sehk/2025/0221/2025022100016.htm","prospectus")</f>
        <v/>
      </c>
      <c r="BZ312" s="127">
        <f>HYPERLINK("https://www1.hkexnews.hk/listedco/listconews/sehk/2025/0228/2025022801727.pdf","allotment")</f>
        <v/>
      </c>
      <c r="CA312" s="127">
        <f>HYPERLINK("https://www1.hkexnews.hk/listedco/listconews/sehk/2025/0328/2025032802276.pdf","stabilisation")</f>
        <v/>
      </c>
      <c r="CB312" s="128" t="n"/>
      <c r="CC312" s="108" t="inlineStr">
        <is>
          <t>price range: fixed-price offering (no indicative range); range low: maximum offer price only, no floor published; A/H: no A-share listing; nearest A proxy Xiangpiaopiao Food (603711.SS)</t>
        </is>
      </c>
    </row>
    <row r="313" ht="22" customHeight="1">
      <c r="A313" s="107" t="inlineStr">
        <is>
          <t>6693</t>
        </is>
      </c>
      <c r="B313" s="108" t="inlineStr">
        <is>
          <t>CHIFENG GOLD</t>
        </is>
      </c>
      <c r="C313" s="108" t="inlineStr">
        <is>
          <t>赤峰黃金</t>
        </is>
      </c>
      <c r="D313" s="108" t="inlineStr">
        <is>
          <t>Materials/Energy</t>
        </is>
      </c>
      <c r="E313" s="108" t="inlineStr">
        <is>
          <t>Mining / metals</t>
        </is>
      </c>
      <c r="F313" s="108" t="inlineStr">
        <is>
          <t>Gold &amp; Precious Metals</t>
        </is>
      </c>
      <c r="G313" s="108" t="inlineStr">
        <is>
          <t>Standard</t>
        </is>
      </c>
      <c r="H313" s="109" t="n">
        <v>45726</v>
      </c>
      <c r="I313" s="110" t="n">
        <v>2821.5</v>
      </c>
      <c r="J313" s="108" t="inlineStr">
        <is>
          <t>gross (price x shares)</t>
        </is>
      </c>
      <c r="K313" s="129" t="n"/>
      <c r="L313" s="111" t="n">
        <v>15.83</v>
      </c>
      <c r="M313" s="111" t="n">
        <v>13.72</v>
      </c>
      <c r="N313" s="108" t="inlineStr">
        <is>
          <t>N</t>
        </is>
      </c>
      <c r="O313" s="112" t="n">
        <v>86.7</v>
      </c>
      <c r="P313" s="118" t="n"/>
      <c r="Q313" s="113" t="n">
        <v>25650.4</v>
      </c>
      <c r="R313" s="108" t="inlineStr">
        <is>
          <t>derived:price x shares upon listing</t>
        </is>
      </c>
      <c r="S313" s="114" t="n">
        <v>9.529999999999999</v>
      </c>
      <c r="T313" s="115" t="n">
        <v>3.67</v>
      </c>
      <c r="U313" s="116" t="n">
        <v>26.4</v>
      </c>
      <c r="V313" s="117" t="n">
        <v>152</v>
      </c>
      <c r="W313" s="112" t="n">
        <v>10</v>
      </c>
      <c r="X313" s="108" t="inlineStr">
        <is>
          <t>NO</t>
        </is>
      </c>
      <c r="Y313" s="113" t="n">
        <v>2076.62</v>
      </c>
      <c r="Z313" s="113" t="n">
        <v>151359872</v>
      </c>
      <c r="AA313" s="112" t="n">
        <v>8.1</v>
      </c>
      <c r="AB313" s="108" t="inlineStr">
        <is>
          <t>Gold Mountains (H.K.) International Mining Company Limited; Sparky International Company Limited</t>
        </is>
      </c>
      <c r="AC313" s="108" t="inlineStr">
        <is>
          <t>gold;sparky</t>
        </is>
      </c>
      <c r="AD313" s="112" t="n">
        <v>15</v>
      </c>
      <c r="AE313" s="108" t="inlineStr">
        <is>
          <t>full</t>
        </is>
      </c>
      <c r="AF313" s="108" t="inlineStr">
        <is>
          <t>2025-04-04</t>
        </is>
      </c>
      <c r="AG313" s="108" t="inlineStr">
        <is>
          <t>CLSA Limited</t>
        </is>
      </c>
      <c r="AH313" s="108" t="inlineStr">
        <is>
          <t>CLSA</t>
        </is>
      </c>
      <c r="AI313" s="120" t="n">
        <v>-0.29</v>
      </c>
      <c r="AJ313" s="121" t="n">
        <v>0</v>
      </c>
      <c r="AK313" s="121" t="n">
        <v>-2.5</v>
      </c>
      <c r="AL313" s="121" t="n">
        <v>0</v>
      </c>
      <c r="AM313" s="121" t="n">
        <v>0</v>
      </c>
      <c r="AN313" s="123" t="n">
        <v>2.44</v>
      </c>
      <c r="AO313" s="112" t="n">
        <v>2.77</v>
      </c>
      <c r="AP313" s="121" t="n">
        <v>2.04</v>
      </c>
      <c r="AQ313" s="121" t="n">
        <v>25.51</v>
      </c>
      <c r="AR313" s="121" t="n">
        <v>110.64</v>
      </c>
      <c r="AS313" s="121" t="n">
        <v>2.04</v>
      </c>
      <c r="AT313" s="121" t="n">
        <v>25.51</v>
      </c>
      <c r="AU313" s="121" t="n">
        <v>110.64</v>
      </c>
      <c r="AV313" s="121" t="n">
        <v>2.89</v>
      </c>
      <c r="AW313" s="121" t="n">
        <v>43.51</v>
      </c>
      <c r="AX313" s="121" t="n">
        <v>116.43</v>
      </c>
      <c r="AY313" s="121" t="n">
        <v>41.41</v>
      </c>
      <c r="AZ313" s="121" t="n">
        <v>-18</v>
      </c>
      <c r="BA313" s="121" t="n">
        <v>-15.9</v>
      </c>
      <c r="BB313" s="108" t="inlineStr">
        <is>
          <t>Hang Seng Commerce &amp; Industry sub-index</t>
        </is>
      </c>
      <c r="BC313" s="121" t="n">
        <v>157.87</v>
      </c>
      <c r="BD313" s="109" t="n">
        <v>46297</v>
      </c>
      <c r="BE313" s="110" t="n">
        <v>7943</v>
      </c>
      <c r="BF313" s="113" t="n">
        <v>958.7</v>
      </c>
      <c r="BG313" s="108" t="inlineStr">
        <is>
          <t>Y</t>
        </is>
      </c>
      <c r="BH313" s="123" t="n">
        <v>26.8</v>
      </c>
      <c r="BI313" s="123" t="n">
        <v>12</v>
      </c>
      <c r="BJ313" s="123" t="n">
        <v>17.2</v>
      </c>
      <c r="BK313" s="123" t="n">
        <v>3.2</v>
      </c>
      <c r="BL313" s="124">
        <f>IF('BBG Verify'!S313="","not filed; run on terminal",'BBG Verify'!S313)</f>
        <v/>
      </c>
      <c r="BM313" s="125" t="inlineStr">
        <is>
          <t>Y</t>
        </is>
      </c>
      <c r="BN313" s="108" t="inlineStr">
        <is>
          <t>600988.SS</t>
        </is>
      </c>
      <c r="BO313" s="121" t="n">
        <v>50.61</v>
      </c>
      <c r="BP313" s="111" t="n">
        <v>20.6635</v>
      </c>
      <c r="BQ313" s="135" t="n">
        <v>0.3086</v>
      </c>
      <c r="BR313" s="113" t="n">
        <v>88013.2</v>
      </c>
      <c r="BS313" s="124">
        <f>IF('BBG Verify'!Q313="","run on terminal",'BBG Verify'!Q313)</f>
        <v/>
      </c>
      <c r="BT313" s="124">
        <f>IF('BBG Verify'!R313="","run on terminal",'BBG Verify'!R313)</f>
        <v/>
      </c>
      <c r="BU313" s="125" t="inlineStr">
        <is>
          <t>CITIC Securities (Hong Kong) Limited</t>
        </is>
      </c>
      <c r="BV313" s="108" t="inlineStr">
        <is>
          <t>CITIC Securities (Hong Kong) Limited</t>
        </is>
      </c>
      <c r="BW313" s="108" t="inlineStr">
        <is>
          <t>Kong Securities Limited; ABCI Capital Limited; ABCI Securities Company Limited</t>
        </is>
      </c>
      <c r="BX313" s="108" t="inlineStr">
        <is>
          <t>ABCI Securities Company Limited; BOCI Asia Limited; CCB International Capital Limited; China International Capital Corporation Hong Kong Securities Limited; CLSA Limited; First Shanghai Securities Limited; Futu Securities International (Hong Kong) Limited; Huatai Financial Holdings (Hong Kong) Limited; ICBC International Securities Limited; Livermore Holdings Limited; Macquarie Capital Limited; Shenwan Hongyuan Securities (H.K.) Limited</t>
        </is>
      </c>
      <c r="BY313" s="127">
        <f>HYPERLINK("https://www1.hkexnews.hk/listedco/listconews/sehk/2025/0228/2025022800056.pdf","prospectus")</f>
        <v/>
      </c>
      <c r="BZ313" s="127">
        <f>HYPERLINK("https://www1.hkexnews.hk/listedco/listconews/sehk/2025/0307/2025030701501.pdf","allotment")</f>
        <v/>
      </c>
      <c r="CA313" s="127">
        <f>HYPERLINK("https://www1.hkexnews.hk/listedco/listconews/sehk/2025/0406/2025040600051.pdf","stabilisation")</f>
        <v/>
      </c>
      <c r="CB313" s="128" t="n"/>
      <c r="CC313" s="108" t="inlineStr">
        <is>
          <t>range low: maximum offer price only, no floor published; A/H: Mar 2025 H listing (gold miner)</t>
        </is>
      </c>
    </row>
    <row r="314" ht="22" customHeight="1">
      <c r="A314" s="107" t="inlineStr">
        <is>
          <t>2561</t>
        </is>
      </c>
      <c r="B314" s="108" t="inlineStr">
        <is>
          <t>VISEN PHARMA-B</t>
        </is>
      </c>
      <c r="C314" s="108" t="inlineStr">
        <is>
          <t>維昇藥業－Ｂ</t>
        </is>
      </c>
      <c r="D314" s="108" t="inlineStr">
        <is>
          <t>Healthcare</t>
        </is>
      </c>
      <c r="E314" s="108" t="inlineStr">
        <is>
          <t>Biotech pre-revenue (18A)</t>
        </is>
      </c>
      <c r="F314" s="108" t="inlineStr">
        <is>
          <t>Biotechnology - Pharmaceuticals</t>
        </is>
      </c>
      <c r="G314" s="108" t="inlineStr">
        <is>
          <t>18A</t>
        </is>
      </c>
      <c r="H314" s="109" t="n">
        <v>45737</v>
      </c>
      <c r="I314" s="110" t="n">
        <v>783.3</v>
      </c>
      <c r="J314" s="108" t="inlineStr">
        <is>
          <t>gross (stated)</t>
        </is>
      </c>
      <c r="K314" s="111" t="n">
        <v>68.44</v>
      </c>
      <c r="L314" s="111" t="n">
        <v>75.28</v>
      </c>
      <c r="M314" s="111" t="n">
        <v>68.8</v>
      </c>
      <c r="N314" s="108" t="inlineStr">
        <is>
          <t>N</t>
        </is>
      </c>
      <c r="O314" s="112" t="n">
        <v>91.40000000000001</v>
      </c>
      <c r="P314" s="112" t="n">
        <v>5.3</v>
      </c>
      <c r="Q314" s="113" t="n">
        <v>8509.299999999999</v>
      </c>
      <c r="R314" s="108" t="inlineStr">
        <is>
          <t>aastocks:上市市值 at the struck price</t>
        </is>
      </c>
      <c r="S314" s="114" t="n">
        <v>72.64</v>
      </c>
      <c r="T314" s="115" t="n">
        <v>1.65</v>
      </c>
      <c r="U314" s="116" t="n">
        <v>65</v>
      </c>
      <c r="V314" s="117" t="n">
        <v>178</v>
      </c>
      <c r="W314" s="112" t="n">
        <v>40</v>
      </c>
      <c r="X314" s="108" t="inlineStr">
        <is>
          <t>YES</t>
        </is>
      </c>
      <c r="Y314" s="113" t="n">
        <v>274.15</v>
      </c>
      <c r="Z314" s="113" t="n">
        <v>3984750</v>
      </c>
      <c r="AA314" s="112" t="n">
        <v>3.22</v>
      </c>
      <c r="AB314" s="108" t="inlineStr">
        <is>
          <t>AnkeBio (Hong Kong) Co., Limited; Suzhou Harvest International Co., Limited; Vivo Plenilune IX Limited; WuXi Biologics HealthCare Venture; Reynold Lemkins Group (Asia) Limited</t>
        </is>
      </c>
      <c r="AC314" s="108" t="inlineStr">
        <is>
          <t>ankebio;suzhou;vivo;wuxi;reynold</t>
        </is>
      </c>
      <c r="AD314" s="112" t="n">
        <v>15</v>
      </c>
      <c r="AE314" s="108" t="inlineStr">
        <is>
          <t>lapsed</t>
        </is>
      </c>
      <c r="AF314" s="119" t="n"/>
      <c r="AG314" s="108" t="inlineStr">
        <is>
          <t>Morgan Stanley Asia Limited</t>
        </is>
      </c>
      <c r="AH314" s="108" t="inlineStr">
        <is>
          <t>Morgan Stanley</t>
        </is>
      </c>
      <c r="AI314" s="120" t="n">
        <v>-7.19</v>
      </c>
      <c r="AJ314" s="121" t="n">
        <v>0</v>
      </c>
      <c r="AK314" s="121" t="n">
        <v>-3.62</v>
      </c>
      <c r="AL314" s="121" t="n">
        <v>0</v>
      </c>
      <c r="AM314" s="121" t="n">
        <v>0</v>
      </c>
      <c r="AN314" s="123" t="n">
        <v>0.75</v>
      </c>
      <c r="AO314" s="112" t="n">
        <v>6.32</v>
      </c>
      <c r="AP314" s="121" t="n">
        <v>-16.79</v>
      </c>
      <c r="AQ314" s="121" t="n">
        <v>-30.81</v>
      </c>
      <c r="AR314" s="121" t="n">
        <v>-30.96</v>
      </c>
      <c r="AS314" s="121" t="n">
        <v>-16.79</v>
      </c>
      <c r="AT314" s="121" t="n">
        <v>-30.81</v>
      </c>
      <c r="AU314" s="121" t="n">
        <v>-30.96</v>
      </c>
      <c r="AV314" s="121" t="n">
        <v>-17.6</v>
      </c>
      <c r="AW314" s="121" t="n">
        <v>-31.78</v>
      </c>
      <c r="AX314" s="121" t="n">
        <v>-44.95</v>
      </c>
      <c r="AY314" s="121" t="n">
        <v>-35.58</v>
      </c>
      <c r="AZ314" s="121" t="n">
        <v>0.97</v>
      </c>
      <c r="BA314" s="121" t="n">
        <v>4.77</v>
      </c>
      <c r="BB314" s="108" t="inlineStr">
        <is>
          <t>China Biotech ETF (HS biotech proxy)</t>
        </is>
      </c>
      <c r="BC314" s="121" t="n">
        <v>-73.11</v>
      </c>
      <c r="BD314" s="109" t="n">
        <v>46297</v>
      </c>
      <c r="BE314" s="110" t="n">
        <v>2.2</v>
      </c>
      <c r="BF314" s="113" t="n">
        <v>-229.2</v>
      </c>
      <c r="BG314" s="108" t="inlineStr">
        <is>
          <t>N</t>
        </is>
      </c>
      <c r="BH314" s="108" t="inlineStr">
        <is>
          <t>n/m</t>
        </is>
      </c>
      <c r="BI314" s="122" t="n"/>
      <c r="BJ314" s="122" t="n"/>
      <c r="BK314" s="123" t="n">
        <v>3867.9</v>
      </c>
      <c r="BL314" s="124">
        <f>IF('BBG Verify'!S314="","not filed; run on terminal",'BBG Verify'!S314)</f>
        <v/>
      </c>
      <c r="BM314" s="125" t="inlineStr">
        <is>
          <t>N</t>
        </is>
      </c>
      <c r="BN314" s="126">
        <f>IF('BBG Verify'!K314="","not filed; run on terminal",'BBG Verify'!K314)</f>
        <v/>
      </c>
      <c r="BO314" s="108" t="inlineStr">
        <is>
          <t>N/A</t>
        </is>
      </c>
      <c r="BP314" s="108" t="inlineStr">
        <is>
          <t>N/A</t>
        </is>
      </c>
      <c r="BQ314" s="108" t="inlineStr">
        <is>
          <t>N/A</t>
        </is>
      </c>
      <c r="BR314" s="108" t="inlineStr">
        <is>
          <t>N/A</t>
        </is>
      </c>
      <c r="BS314" s="108" t="inlineStr">
        <is>
          <t>N/A</t>
        </is>
      </c>
      <c r="BT314" s="108" t="inlineStr">
        <is>
          <t>N/A</t>
        </is>
      </c>
      <c r="BU314" s="125" t="inlineStr">
        <is>
          <t>Morgan Stanley Asia Limited; Jefferies Hong Kong Limited</t>
        </is>
      </c>
      <c r="BV314" s="108" t="inlineStr">
        <is>
          <t>Jefferies Hong Kong Limited; Morgan Stanley Asia Limited</t>
        </is>
      </c>
      <c r="BW314" s="108" t="inlineStr">
        <is>
          <t>Morgan Stanley Asia Limited; Jefferies Hong Kong Limited</t>
        </is>
      </c>
      <c r="BX314" s="108" t="inlineStr">
        <is>
          <t>CLSA Limited; Futu Securities International (Hong Kong) Limited; Guoyuan Securities Brokerage (Hong Kong) Limited; Jefferies Hong Kong Limited; Morgan Stanley Asia Limited; Patrons Securities Limited; Ruibang Securities Limited; Soochow Securities International Brokerage Limited</t>
        </is>
      </c>
      <c r="BY314" s="127">
        <f>HYPERLINK("https://www1.hkexnews.hk/listedco/listconews/sehk/2025/0313/2025031300017.pdf","prospectus")</f>
        <v/>
      </c>
      <c r="BZ314" s="127">
        <f>HYPERLINK("https://www1.hkexnews.hk/listedco/listconews/sehk/2025/0320/2025032001490.pdf","allotment")</f>
        <v/>
      </c>
      <c r="CA314" s="127">
        <f>HYPERLINK("https://www1.hkexnews.hk/listedco/listconews/sehk/2025/0417/2025041701661.pdf","stabilisation")</f>
        <v/>
      </c>
      <c r="CB314" s="128" t="n"/>
      <c r="CC314" s="108" t="inlineStr">
        <is>
          <t>P/E: loss-making at IPO, use P/S; greenshoe: outcome published; expiry date not in the notice; market cap: published listing cap used; the estimate from deal size / offer % of enlarged capital disagreed; P/S: 3,868x on HK$2.2m revenue, effectively pre-revenue; not comparable</t>
        </is>
      </c>
    </row>
    <row r="315" ht="22" customHeight="1">
      <c r="A315" s="107" t="inlineStr">
        <is>
          <t>2610</t>
        </is>
      </c>
      <c r="B315" s="108" t="inlineStr">
        <is>
          <t>NANSHAN AL INTL</t>
        </is>
      </c>
      <c r="C315" s="108" t="inlineStr">
        <is>
          <t>南山鋁業國際</t>
        </is>
      </c>
      <c r="D315" s="108" t="inlineStr">
        <is>
          <t>Materials/Energy</t>
        </is>
      </c>
      <c r="E315" s="108" t="inlineStr">
        <is>
          <t>Mining / metals</t>
        </is>
      </c>
      <c r="F315" s="108" t="inlineStr">
        <is>
          <t>Aluminum</t>
        </is>
      </c>
      <c r="G315" s="108" t="inlineStr">
        <is>
          <t>Standard</t>
        </is>
      </c>
      <c r="H315" s="109" t="n">
        <v>45741</v>
      </c>
      <c r="I315" s="110" t="n">
        <v>2347.1</v>
      </c>
      <c r="J315" s="108" t="inlineStr">
        <is>
          <t>gross (stated)</t>
        </is>
      </c>
      <c r="K315" s="129" t="n"/>
      <c r="L315" s="111" t="n">
        <v>26.6</v>
      </c>
      <c r="M315" s="111" t="n">
        <v>26.6</v>
      </c>
      <c r="N315" s="108" t="inlineStr">
        <is>
          <t>Y</t>
        </is>
      </c>
      <c r="O315" s="112" t="n">
        <v>100</v>
      </c>
      <c r="P315" s="118" t="n"/>
      <c r="Q315" s="113" t="n">
        <v>15647.1</v>
      </c>
      <c r="R315" s="108" t="inlineStr">
        <is>
          <t>derived:price x shares upon listing</t>
        </is>
      </c>
      <c r="S315" s="114" t="n">
        <v>3.89</v>
      </c>
      <c r="T315" s="115" t="n">
        <v>1.67</v>
      </c>
      <c r="U315" s="116" t="n">
        <v>39.82</v>
      </c>
      <c r="V315" s="117" t="n">
        <v>169</v>
      </c>
      <c r="W315" s="112" t="n">
        <v>10</v>
      </c>
      <c r="X315" s="108" t="inlineStr">
        <is>
          <t>NO</t>
        </is>
      </c>
      <c r="Y315" s="113" t="n">
        <v>1412.48</v>
      </c>
      <c r="Z315" s="113" t="n">
        <v>53100004</v>
      </c>
      <c r="AA315" s="112" t="n">
        <v>9.029999999999999</v>
      </c>
      <c r="AB315" s="108" t="inlineStr">
        <is>
          <t>Glencore International AG; Hongkong Topway Trading Co., Limited; Reijong International Industrial Equipment (HK) Limited; PT Indika Energy Tbk</t>
        </is>
      </c>
      <c r="AC315" s="108" t="inlineStr">
        <is>
          <t>glencore;hongkong;reijong;pt</t>
        </is>
      </c>
      <c r="AD315" s="112" t="n">
        <v>15</v>
      </c>
      <c r="AE315" s="108" t="inlineStr">
        <is>
          <t>partial</t>
        </is>
      </c>
      <c r="AF315" s="119" t="n"/>
      <c r="AG315" s="108" t="inlineStr">
        <is>
          <t>Huatai Financial Holdings</t>
        </is>
      </c>
      <c r="AH315" s="108" t="inlineStr">
        <is>
          <t>Huatai</t>
        </is>
      </c>
      <c r="AI315" s="120" t="n">
        <v>-0.75</v>
      </c>
      <c r="AJ315" s="121" t="n">
        <v>-5.08</v>
      </c>
      <c r="AK315" s="121" t="n">
        <v>-2.89</v>
      </c>
      <c r="AL315" s="121" t="n">
        <v>0</v>
      </c>
      <c r="AM315" s="121" t="n">
        <v>-5.08</v>
      </c>
      <c r="AN315" s="123" t="n">
        <v>1.46</v>
      </c>
      <c r="AO315" s="112" t="n">
        <v>6.2</v>
      </c>
      <c r="AP315" s="121" t="n">
        <v>-8.83</v>
      </c>
      <c r="AQ315" s="121" t="n">
        <v>-8.65</v>
      </c>
      <c r="AR315" s="121" t="n">
        <v>16.54</v>
      </c>
      <c r="AS315" s="121" t="n">
        <v>-3.95</v>
      </c>
      <c r="AT315" s="121" t="n">
        <v>-3.76</v>
      </c>
      <c r="AU315" s="121" t="n">
        <v>22.78</v>
      </c>
      <c r="AV315" s="121" t="n">
        <v>-4.83</v>
      </c>
      <c r="AW315" s="121" t="n">
        <v>2.12</v>
      </c>
      <c r="AX315" s="121" t="n">
        <v>20.59</v>
      </c>
      <c r="AY315" s="121" t="n">
        <v>4.35</v>
      </c>
      <c r="AZ315" s="121" t="n">
        <v>-10.77</v>
      </c>
      <c r="BA315" s="121" t="n">
        <v>-8.109999999999999</v>
      </c>
      <c r="BB315" s="108" t="inlineStr">
        <is>
          <t>Hang Seng Commerce &amp; Industry sub-index</t>
        </is>
      </c>
      <c r="BC315" s="121" t="n">
        <v>-11.13</v>
      </c>
      <c r="BD315" s="109" t="n">
        <v>46297</v>
      </c>
      <c r="BE315" s="110" t="n">
        <v>5286.7</v>
      </c>
      <c r="BF315" s="113" t="n">
        <v>956.8</v>
      </c>
      <c r="BG315" s="108" t="inlineStr">
        <is>
          <t>Y</t>
        </is>
      </c>
      <c r="BH315" s="123" t="n">
        <v>16.4</v>
      </c>
      <c r="BI315" s="123" t="n">
        <v>3.5</v>
      </c>
      <c r="BJ315" s="123" t="n">
        <v>4.7</v>
      </c>
      <c r="BK315" s="123" t="n">
        <v>3</v>
      </c>
      <c r="BL315" s="124">
        <f>IF('BBG Verify'!S315="","not filed; run on terminal",'BBG Verify'!S315)</f>
        <v/>
      </c>
      <c r="BM315" s="125" t="inlineStr">
        <is>
          <t>N</t>
        </is>
      </c>
      <c r="BN315" s="126">
        <f>IF('BBG Verify'!K315="","not filed; run on terminal",'BBG Verify'!K315)</f>
        <v/>
      </c>
      <c r="BO315" s="108" t="inlineStr">
        <is>
          <t>N/A</t>
        </is>
      </c>
      <c r="BP315" s="108" t="inlineStr">
        <is>
          <t>N/A</t>
        </is>
      </c>
      <c r="BQ315" s="108" t="inlineStr">
        <is>
          <t>N/A</t>
        </is>
      </c>
      <c r="BR315" s="108" t="inlineStr">
        <is>
          <t>N/A</t>
        </is>
      </c>
      <c r="BS315" s="108" t="inlineStr">
        <is>
          <t>N/A</t>
        </is>
      </c>
      <c r="BT315" s="108" t="inlineStr">
        <is>
          <t>N/A</t>
        </is>
      </c>
      <c r="BU315" s="125" t="inlineStr">
        <is>
          <t>Huatai Financial Holdings (Hong Kong) Limited</t>
        </is>
      </c>
      <c r="BV315" s="108" t="inlineStr">
        <is>
          <t>Huatai Financial Holdings (Hong Kong) Limited</t>
        </is>
      </c>
      <c r="BW315" s="108" t="inlineStr">
        <is>
          <t>Huatai Financial Holdings (Hong Kong) Limited; CMB International Capital Limited; China International Capital Corporation Hong Kong Securities Limited; CLSA Limited; Daiwa Capital Markets Hong Kong Limited; DBS Asia Capital Limited; ICBC International Securities Limited; UOB Kay Hian (Hong Kong) Limited; China Galaxy International Securities (Hong Kong) Co., Limited; A VICT Global Asset Management Limited; BOCI Asia Limited; Futu Securities International (Hong Kong) Limited</t>
        </is>
      </c>
      <c r="BX315" s="108" t="inlineStr">
        <is>
          <t>AVICT Global Asset Management Limited; BOCI Asia Limited; China Galaxy International Securities (Hong Kong) Company Limited; China International Capital Corporation Hong Kong Securities Limited; CLSA Limited; CMB International Capital Limited; DBS Asia Capital Limited; Daiwa Capital Markets Hong Kong Limited; Futu Securities International (Hong Kong) Limited; Huatai Financial Holdings (Hong Kong) Limited; ICBC International Securities Limited; Phillip Securities (Hong Kong) Limited</t>
        </is>
      </c>
      <c r="BY315" s="127">
        <f>HYPERLINK("https://www1.hkexnews.hk/listedco/listconews/sehk/2025/0317/2025031700019.pdf","prospectus")</f>
        <v/>
      </c>
      <c r="BZ315" s="127">
        <f>HYPERLINK("https://www1.hkexnews.hk/listedco/listconews/sehk/2025/0324/2025032401216.pdf","allotment")</f>
        <v/>
      </c>
      <c r="CA315" s="127">
        <f>HYPERLINK("https://www1.hkexnews.hk/listedco/listconews/sehk/2025/0422/2025042201921.pdf","stabilisation")</f>
        <v/>
      </c>
      <c r="CB315" s="128" t="n"/>
      <c r="CC315" s="108" t="inlineStr">
        <is>
          <t>greenshoe: outcome published; expiry date not in the notice; range low: maximum offer price only, no floor published; sponsor: English name not in the filing; AAStocks 保薦人 shown</t>
        </is>
      </c>
    </row>
    <row r="316" ht="22" customHeight="1">
      <c r="A316" s="107" t="inlineStr">
        <is>
          <t>2569</t>
        </is>
      </c>
      <c r="B316" s="108" t="inlineStr">
        <is>
          <t>SOFT INTL</t>
        </is>
      </c>
      <c r="C316" s="108" t="inlineStr">
        <is>
          <t>舒寶國際</t>
        </is>
      </c>
      <c r="D316" s="108" t="inlineStr">
        <is>
          <t>Materials/Energy</t>
        </is>
      </c>
      <c r="E316" s="108" t="inlineStr">
        <is>
          <t>Chemicals</t>
        </is>
      </c>
      <c r="F316" s="108" t="inlineStr">
        <is>
          <t>Personal Products</t>
        </is>
      </c>
      <c r="G316" s="108" t="inlineStr">
        <is>
          <t>Standard</t>
        </is>
      </c>
      <c r="H316" s="109" t="n">
        <v>45743</v>
      </c>
      <c r="I316" s="110" t="n">
        <v>127.5</v>
      </c>
      <c r="J316" s="108" t="inlineStr">
        <is>
          <t>gross (stated)</t>
        </is>
      </c>
      <c r="K316" s="111" t="n">
        <v>0.5</v>
      </c>
      <c r="L316" s="111" t="n">
        <v>0.6</v>
      </c>
      <c r="M316" s="111" t="n">
        <v>0.51</v>
      </c>
      <c r="N316" s="108" t="inlineStr">
        <is>
          <t>N</t>
        </is>
      </c>
      <c r="O316" s="112" t="n">
        <v>85</v>
      </c>
      <c r="P316" s="112" t="n">
        <v>10</v>
      </c>
      <c r="Q316" s="113" t="n">
        <v>510</v>
      </c>
      <c r="R316" s="108" t="inlineStr">
        <is>
          <t>derived:price x shares upon listing</t>
        </is>
      </c>
      <c r="S316" s="114" t="n">
        <v>167.09</v>
      </c>
      <c r="T316" s="115" t="n">
        <v>1.02</v>
      </c>
      <c r="U316" s="116" t="n">
        <v>0</v>
      </c>
      <c r="V316" s="117" t="n">
        <v>111</v>
      </c>
      <c r="W316" s="112" t="n">
        <v>50</v>
      </c>
      <c r="X316" s="108" t="inlineStr">
        <is>
          <t>YES</t>
        </is>
      </c>
      <c r="Y316" s="113" t="n">
        <v>127.5</v>
      </c>
      <c r="Z316" s="113" t="n">
        <v>250000000</v>
      </c>
      <c r="AA316" s="112" t="n">
        <v>25</v>
      </c>
      <c r="AB316" s="108" t="inlineStr">
        <is>
          <t>none — no cornerstone tranche</t>
        </is>
      </c>
      <c r="AC316" s="108" t="inlineStr">
        <is>
          <t>none</t>
        </is>
      </c>
      <c r="AD316" s="112" t="n">
        <v>7.5</v>
      </c>
      <c r="AE316" s="119" t="n"/>
      <c r="AF316" s="108" t="inlineStr">
        <is>
          <t>2025-04-23</t>
        </is>
      </c>
      <c r="AG316" s="108" t="inlineStr">
        <is>
          <t>Yue Xiu Securities Company Limited</t>
        </is>
      </c>
      <c r="AH316" s="108" t="inlineStr">
        <is>
          <t>Yue Xiu</t>
        </is>
      </c>
      <c r="AI316" s="120" t="n">
        <v>-1.96</v>
      </c>
      <c r="AJ316" s="121" t="n">
        <v>31.37</v>
      </c>
      <c r="AK316" s="121" t="n">
        <v>0.51</v>
      </c>
      <c r="AL316" s="121" t="n">
        <v>-3.92</v>
      </c>
      <c r="AM316" s="121" t="n">
        <v>36.73</v>
      </c>
      <c r="AN316" s="123" t="n">
        <v>2.18</v>
      </c>
      <c r="AO316" s="112" t="n">
        <v>68.37</v>
      </c>
      <c r="AP316" s="121" t="n">
        <v>-1.96</v>
      </c>
      <c r="AQ316" s="121" t="n">
        <v>23.53</v>
      </c>
      <c r="AR316" s="121" t="n">
        <v>162.75</v>
      </c>
      <c r="AS316" s="121" t="n">
        <v>-25.37</v>
      </c>
      <c r="AT316" s="121" t="n">
        <v>-5.97</v>
      </c>
      <c r="AU316" s="121" t="n">
        <v>100.01</v>
      </c>
      <c r="AV316" s="121" t="n">
        <v>1.99</v>
      </c>
      <c r="AW316" s="121" t="n">
        <v>31.31</v>
      </c>
      <c r="AX316" s="121" t="n">
        <v>165.32</v>
      </c>
      <c r="AY316" s="121" t="n">
        <v>2.28</v>
      </c>
      <c r="AZ316" s="121" t="n">
        <v>-7.78</v>
      </c>
      <c r="BA316" s="121" t="n">
        <v>-8.25</v>
      </c>
      <c r="BB316" s="108" t="inlineStr">
        <is>
          <t>Hang Seng Commerce &amp; Industry sub-index</t>
        </is>
      </c>
      <c r="BC316" s="121" t="n">
        <v>186.27</v>
      </c>
      <c r="BD316" s="109" t="n">
        <v>46297</v>
      </c>
      <c r="BE316" s="110" t="n">
        <v>720</v>
      </c>
      <c r="BF316" s="113" t="n">
        <v>64.8</v>
      </c>
      <c r="BG316" s="108" t="inlineStr">
        <is>
          <t>Y</t>
        </is>
      </c>
      <c r="BH316" s="123" t="n">
        <v>7.9</v>
      </c>
      <c r="BI316" s="122" t="n"/>
      <c r="BJ316" s="123" t="n">
        <v>17.6</v>
      </c>
      <c r="BK316" s="123" t="n">
        <v>0.7</v>
      </c>
      <c r="BL316" s="124">
        <f>IF('BBG Verify'!S316="","not filed; run on terminal",'BBG Verify'!S316)</f>
        <v/>
      </c>
      <c r="BM316" s="125" t="inlineStr">
        <is>
          <t>N</t>
        </is>
      </c>
      <c r="BN316" s="126">
        <f>IF('BBG Verify'!K316="","not filed; run on terminal",'BBG Verify'!K316)</f>
        <v/>
      </c>
      <c r="BO316" s="108" t="inlineStr">
        <is>
          <t>N/A</t>
        </is>
      </c>
      <c r="BP316" s="108" t="inlineStr">
        <is>
          <t>N/A</t>
        </is>
      </c>
      <c r="BQ316" s="108" t="inlineStr">
        <is>
          <t>N/A</t>
        </is>
      </c>
      <c r="BR316" s="108" t="inlineStr">
        <is>
          <t>N/A</t>
        </is>
      </c>
      <c r="BS316" s="108" t="inlineStr">
        <is>
          <t>N/A</t>
        </is>
      </c>
      <c r="BT316" s="108" t="inlineStr">
        <is>
          <t>N/A</t>
        </is>
      </c>
      <c r="BU316" s="125" t="inlineStr">
        <is>
          <t>Sunny Fortune Capital Limited</t>
        </is>
      </c>
      <c r="BV316" s="108" t="inlineStr">
        <is>
          <t>Sunny Fortune Capital Limited</t>
        </is>
      </c>
      <c r="BW316" s="108" t="inlineStr">
        <is>
          <t>CMBC Securities Company Limited; Hung Sing Securities Limited; Yuet Sheung International Securities Limited; Zhongtai International Securities Limited; ZMF Asset Management Limited</t>
        </is>
      </c>
      <c r="BX316" s="108" t="inlineStr">
        <is>
          <t>CMBC Securities Company Limited; China Sunrise Securities (International) Limited; Hung Sing Securities Limited; Sunny Fortune Capital Limited; Yuet Sheung International Securities Limited; Yue Xiu Securities Company Limited; Zhongtai International Securities Limited; ZMF Asset Management Limited</t>
        </is>
      </c>
      <c r="BY316" s="127">
        <f>HYPERLINK("https://www1.hkexnews.hk/listedco/listconews/sehk/2025/0319/2025031900013.pdf","prospectus")</f>
        <v/>
      </c>
      <c r="BZ316" s="127">
        <f>HYPERLINK("https://www1.hkexnews.hk/listedco/listconews/sehk/2025/0326/2025032601370.pdf","allotment")</f>
        <v/>
      </c>
      <c r="CA316" s="119" t="n"/>
      <c r="CB316" s="128" t="n"/>
      <c r="CC316" s="108" t="inlineStr">
        <is>
          <t>greenshoe: end-of-stabilisation notice not found; sponsor: English name not in the filing; AAStocks 保薦人 shown; cornerstone list: no cornerstone tranche</t>
        </is>
      </c>
    </row>
    <row r="317" ht="22" customHeight="1">
      <c r="A317" s="107" t="inlineStr">
        <is>
          <t>2625</t>
        </is>
      </c>
      <c r="B317" s="108" t="inlineStr">
        <is>
          <t>JIANGSU HORIZON</t>
        </is>
      </c>
      <c r="C317" s="108" t="inlineStr">
        <is>
          <t>江蘇宏信</t>
        </is>
      </c>
      <c r="D317" s="108" t="inlineStr">
        <is>
          <t>Consumer</t>
        </is>
      </c>
      <c r="E317" s="108" t="inlineStr">
        <is>
          <t>Retail / distribution</t>
        </is>
      </c>
      <c r="F317" s="108" t="inlineStr">
        <is>
          <t>Hypermarkets, Supermarkets &amp; Convenience Stores</t>
        </is>
      </c>
      <c r="G317" s="108" t="inlineStr">
        <is>
          <t>Standard</t>
        </is>
      </c>
      <c r="H317" s="109" t="n">
        <v>45747</v>
      </c>
      <c r="I317" s="110" t="n">
        <v>133.91</v>
      </c>
      <c r="J317" s="108" t="inlineStr">
        <is>
          <t>gross (stated)</t>
        </is>
      </c>
      <c r="K317" s="111" t="n">
        <v>2.5</v>
      </c>
      <c r="L317" s="111" t="n">
        <v>3</v>
      </c>
      <c r="M317" s="111" t="n">
        <v>2.5</v>
      </c>
      <c r="N317" s="108" t="inlineStr">
        <is>
          <t>N</t>
        </is>
      </c>
      <c r="O317" s="112" t="n">
        <v>83.3</v>
      </c>
      <c r="P317" s="112" t="n">
        <v>0</v>
      </c>
      <c r="Q317" s="113" t="n">
        <v>535.6</v>
      </c>
      <c r="R317" s="108" t="inlineStr">
        <is>
          <t>derived:price x shares upon listing</t>
        </is>
      </c>
      <c r="S317" s="114" t="n">
        <v>46.96</v>
      </c>
      <c r="T317" s="115" t="n">
        <v>0.93</v>
      </c>
      <c r="U317" s="116" t="n">
        <v>28.83</v>
      </c>
      <c r="V317" s="117" t="n">
        <v>130</v>
      </c>
      <c r="W317" s="112" t="n">
        <v>16.6</v>
      </c>
      <c r="X317" s="108" t="inlineStr">
        <is>
          <t>NO</t>
        </is>
      </c>
      <c r="Y317" s="113" t="n">
        <v>95.3</v>
      </c>
      <c r="Z317" s="113" t="n">
        <v>38120075</v>
      </c>
      <c r="AA317" s="112" t="n">
        <v>17.79</v>
      </c>
      <c r="AB317" s="108" t="inlineStr">
        <is>
          <t>Xu Shihe (許世和); Yin Qin (印勤); Hu Qinghua (胡慶華); Zhu Zheng (朱政); Zhan Mingyu (詹明玉); Jiang Xianyue (江顯月); Yao Xinhua (姚新華); Guo Xia (郭霞); Lu Shouping (陸壽萍); Kan Chuanling (闞傳玲); Huang Haiyan (黃海燕); Zhen Yizuo (殷義左); Shen Zhigen (沈志艮); Xia Zhonglin (夏忠林)</t>
        </is>
      </c>
      <c r="AC317" s="108" t="inlineStr">
        <is>
          <t>xu-shihe;yin;hu-qinghua;zhu-zheng;zhan;jiang-xianyue;yao-xinhua;guo-xia;lu-shouping;kan;huang-haiyan;zhen;shen-zhigen;xia-zhonglin</t>
        </is>
      </c>
      <c r="AD317" s="112" t="n">
        <v>7.65</v>
      </c>
      <c r="AE317" s="119" t="n"/>
      <c r="AF317" s="119" t="n"/>
      <c r="AG317" s="108" t="inlineStr">
        <is>
          <t>Red Solar Capital Limited</t>
        </is>
      </c>
      <c r="AH317" s="108" t="inlineStr">
        <is>
          <t>Red Solar</t>
        </is>
      </c>
      <c r="AI317" s="139" t="n">
        <v>28</v>
      </c>
      <c r="AJ317" s="121" t="n">
        <v>0</v>
      </c>
      <c r="AK317" s="121" t="n">
        <v>-1.98</v>
      </c>
      <c r="AL317" s="121" t="n">
        <v>37.6</v>
      </c>
      <c r="AM317" s="121" t="n">
        <v>-27.33</v>
      </c>
      <c r="AN317" s="123" t="n">
        <v>3.13</v>
      </c>
      <c r="AO317" s="112" t="n">
        <v>36.63</v>
      </c>
      <c r="AP317" s="121" t="n">
        <v>-14.4</v>
      </c>
      <c r="AQ317" s="121" t="n">
        <v>33.6</v>
      </c>
      <c r="AR317" s="121" t="n">
        <v>11.2</v>
      </c>
      <c r="AS317" s="121" t="n">
        <v>-14.4</v>
      </c>
      <c r="AT317" s="121" t="n">
        <v>33.6</v>
      </c>
      <c r="AU317" s="121" t="n">
        <v>11.2</v>
      </c>
      <c r="AV317" s="121" t="n">
        <v>1.44</v>
      </c>
      <c r="AW317" s="121" t="n">
        <v>38.29</v>
      </c>
      <c r="AX317" s="121" t="n">
        <v>14.93</v>
      </c>
      <c r="AY317" s="121" t="n">
        <v>36.37</v>
      </c>
      <c r="AZ317" s="121" t="n">
        <v>-4.69</v>
      </c>
      <c r="BA317" s="121" t="n">
        <v>-2.77</v>
      </c>
      <c r="BB317" s="108" t="inlineStr">
        <is>
          <t>Hang Seng Commerce &amp; Industry sub-index</t>
        </is>
      </c>
      <c r="BC317" s="121" t="n">
        <v>-67.2</v>
      </c>
      <c r="BD317" s="109" t="n">
        <v>46297</v>
      </c>
      <c r="BE317" s="110" t="n">
        <v>1542.2</v>
      </c>
      <c r="BF317" s="113" t="n">
        <v>56.8</v>
      </c>
      <c r="BG317" s="108" t="inlineStr">
        <is>
          <t>Y</t>
        </is>
      </c>
      <c r="BH317" s="123" t="n">
        <v>9.4</v>
      </c>
      <c r="BI317" s="123" t="n">
        <v>8.6</v>
      </c>
      <c r="BJ317" s="123" t="n">
        <v>9.9</v>
      </c>
      <c r="BK317" s="123" t="n">
        <v>0.3</v>
      </c>
      <c r="BL317" s="124">
        <f>IF('BBG Verify'!S317="","not filed; run on terminal",'BBG Verify'!S317)</f>
        <v/>
      </c>
      <c r="BM317" s="125" t="inlineStr">
        <is>
          <t>N</t>
        </is>
      </c>
      <c r="BN317" s="126">
        <f>IF('BBG Verify'!K317="","not filed; run on terminal",'BBG Verify'!K317)</f>
        <v/>
      </c>
      <c r="BO317" s="108" t="inlineStr">
        <is>
          <t>N/A</t>
        </is>
      </c>
      <c r="BP317" s="108" t="inlineStr">
        <is>
          <t>N/A</t>
        </is>
      </c>
      <c r="BQ317" s="108" t="inlineStr">
        <is>
          <t>N/A</t>
        </is>
      </c>
      <c r="BR317" s="108" t="inlineStr">
        <is>
          <t>N/A</t>
        </is>
      </c>
      <c r="BS317" s="108" t="inlineStr">
        <is>
          <t>N/A</t>
        </is>
      </c>
      <c r="BT317" s="108" t="inlineStr">
        <is>
          <t>N/A</t>
        </is>
      </c>
      <c r="BU317" s="125" t="inlineStr">
        <is>
          <t>Red Solar Capital Limited</t>
        </is>
      </c>
      <c r="BV317" s="108" t="inlineStr">
        <is>
          <t>Red Solar Capital Limited</t>
        </is>
      </c>
      <c r="BW317" s="108" t="inlineStr">
        <is>
          <t>Red Solar Capital Limited; CCB International Capital Limited</t>
        </is>
      </c>
      <c r="BX317" s="108" t="inlineStr">
        <is>
          <t>CCB International Capital Limited; CMBC Securities Company Limited; CMB International Capital Limited; Eddid Securities and Futures Limited; Innovax Securities Limited; Long Bridge HK Limited; Red Solar Capital Limited; Star River Securities Limited</t>
        </is>
      </c>
      <c r="BY317" s="127">
        <f>HYPERLINK("https://www1.hkexnews.hk/listedco/listconews/sehk/2025/0321/2025032100009.pdf","prospectus")</f>
        <v/>
      </c>
      <c r="BZ317" s="127">
        <f>HYPERLINK("https://www1.hkexnews.hk/listedco/listconews/sehk/2025/0328/2025032802386.pdf","allotment")</f>
        <v/>
      </c>
      <c r="CA317" s="119" t="n"/>
      <c r="CB317" s="128" t="n"/>
      <c r="CC317" s="108" t="inlineStr">
        <is>
          <t>greenshoe: end-of-stabilisation notice not found</t>
        </is>
      </c>
    </row>
    <row r="318" ht="22" customHeight="1">
      <c r="A318" s="107" t="inlineStr">
        <is>
          <t>3677</t>
        </is>
      </c>
      <c r="B318" s="108" t="inlineStr">
        <is>
          <t>ZENERGY</t>
        </is>
      </c>
      <c r="C318" s="108" t="inlineStr">
        <is>
          <t>正力新能</t>
        </is>
      </c>
      <c r="D318" s="108" t="inlineStr">
        <is>
          <t>Industrials</t>
        </is>
      </c>
      <c r="E318" s="108" t="inlineStr">
        <is>
          <t>Batteries / energy storage</t>
        </is>
      </c>
      <c r="F318" s="108" t="inlineStr">
        <is>
          <t>Battery Products</t>
        </is>
      </c>
      <c r="G318" s="108" t="inlineStr">
        <is>
          <t>Standard</t>
        </is>
      </c>
      <c r="H318" s="109" t="n">
        <v>45761</v>
      </c>
      <c r="I318" s="110" t="n">
        <v>1005.1</v>
      </c>
      <c r="J318" s="108" t="inlineStr">
        <is>
          <t>gross (stated)</t>
        </is>
      </c>
      <c r="K318" s="129" t="n"/>
      <c r="L318" s="111" t="n">
        <v>8.27</v>
      </c>
      <c r="M318" s="111" t="n">
        <v>8.27</v>
      </c>
      <c r="N318" s="108" t="inlineStr">
        <is>
          <t>Y</t>
        </is>
      </c>
      <c r="O318" s="112" t="n">
        <v>100</v>
      </c>
      <c r="P318" s="118" t="n"/>
      <c r="Q318" s="113" t="n">
        <v>20745.3</v>
      </c>
      <c r="R318" s="108" t="inlineStr">
        <is>
          <t>derived:price x shares upon listing</t>
        </is>
      </c>
      <c r="S318" s="114" t="n">
        <v>3.51</v>
      </c>
      <c r="T318" s="115" t="n">
        <v>1.13</v>
      </c>
      <c r="U318" s="116" t="n">
        <v>61.79</v>
      </c>
      <c r="V318" s="117" t="n">
        <v>115</v>
      </c>
      <c r="W318" s="118" t="n"/>
      <c r="X318" s="108" t="inlineStr">
        <is>
          <t>NO</t>
        </is>
      </c>
      <c r="Y318" s="113" t="n">
        <v>384.05</v>
      </c>
      <c r="Z318" s="113" t="n">
        <v>46434206</v>
      </c>
      <c r="AA318" s="112" t="n">
        <v>1.85</v>
      </c>
      <c r="AB318" s="108" t="inlineStr">
        <is>
          <t>Jiangsu Mixed Ownership Reform Fund; Suzhou High-end Equipment Fund; Southeast Investment Holding</t>
        </is>
      </c>
      <c r="AC318" s="108" t="inlineStr">
        <is>
          <t>jiangsu;suzhou;southeast</t>
        </is>
      </c>
      <c r="AD318" s="112" t="n">
        <v>15</v>
      </c>
      <c r="AE318" s="108" t="inlineStr">
        <is>
          <t>lapsed (no over-allocation)</t>
        </is>
      </c>
      <c r="AF318" s="119" t="n"/>
      <c r="AG318" s="108" t="inlineStr">
        <is>
          <t>China International Capital Corporation Hong Kong Securities Limited</t>
        </is>
      </c>
      <c r="AH318" s="108" t="inlineStr">
        <is>
          <t>China International</t>
        </is>
      </c>
      <c r="AI318" s="120" t="n">
        <v>0.12</v>
      </c>
      <c r="AJ318" s="121" t="n">
        <v>1.45</v>
      </c>
      <c r="AK318" s="121" t="n">
        <v>2.1</v>
      </c>
      <c r="AL318" s="121" t="n">
        <v>2.3</v>
      </c>
      <c r="AM318" s="121" t="n">
        <v>-0.83</v>
      </c>
      <c r="AN318" s="122" t="n"/>
      <c r="AO318" s="112" t="n">
        <v>1.54</v>
      </c>
      <c r="AP318" s="121" t="n">
        <v>0.73</v>
      </c>
      <c r="AQ318" s="121" t="n">
        <v>13.78</v>
      </c>
      <c r="AR318" s="121" t="n">
        <v>26.72</v>
      </c>
      <c r="AS318" s="121" t="n">
        <v>-0.71</v>
      </c>
      <c r="AT318" s="121" t="n">
        <v>12.15</v>
      </c>
      <c r="AU318" s="121" t="n">
        <v>24.91</v>
      </c>
      <c r="AV318" s="121" t="n">
        <v>-3.66</v>
      </c>
      <c r="AW318" s="121" t="n">
        <v>3.8</v>
      </c>
      <c r="AX318" s="121" t="n">
        <v>13.94</v>
      </c>
      <c r="AY318" s="121" t="n">
        <v>4.43</v>
      </c>
      <c r="AZ318" s="121" t="n">
        <v>9.98</v>
      </c>
      <c r="BA318" s="121" t="n">
        <v>7.72</v>
      </c>
      <c r="BB318" s="108" t="inlineStr">
        <is>
          <t>Hang Seng Commerce &amp; Industry sub-index</t>
        </is>
      </c>
      <c r="BC318" s="121" t="n">
        <v>-48.67</v>
      </c>
      <c r="BD318" s="109" t="n">
        <v>46297</v>
      </c>
      <c r="BE318" s="110" t="n">
        <v>4577.8</v>
      </c>
      <c r="BF318" s="113" t="n">
        <v>-648.9</v>
      </c>
      <c r="BG318" s="108" t="inlineStr">
        <is>
          <t>N</t>
        </is>
      </c>
      <c r="BH318" s="108" t="inlineStr">
        <is>
          <t>n/m</t>
        </is>
      </c>
      <c r="BI318" s="123" t="n">
        <v>197.7</v>
      </c>
      <c r="BJ318" s="123" t="n">
        <v>14.3</v>
      </c>
      <c r="BK318" s="123" t="n">
        <v>4.5</v>
      </c>
      <c r="BL318" s="124">
        <f>IF('BBG Verify'!S318="","not filed; run on terminal",'BBG Verify'!S318)</f>
        <v/>
      </c>
      <c r="BM318" s="125" t="inlineStr">
        <is>
          <t>N</t>
        </is>
      </c>
      <c r="BN318" s="126">
        <f>IF('BBG Verify'!K318="","not filed; run on terminal",'BBG Verify'!K318)</f>
        <v/>
      </c>
      <c r="BO318" s="108" t="inlineStr">
        <is>
          <t>N/A</t>
        </is>
      </c>
      <c r="BP318" s="108" t="inlineStr">
        <is>
          <t>N/A</t>
        </is>
      </c>
      <c r="BQ318" s="108" t="inlineStr">
        <is>
          <t>N/A</t>
        </is>
      </c>
      <c r="BR318" s="108" t="inlineStr">
        <is>
          <t>N/A</t>
        </is>
      </c>
      <c r="BS318" s="108" t="inlineStr">
        <is>
          <t>N/A</t>
        </is>
      </c>
      <c r="BT318" s="108" t="inlineStr">
        <is>
          <t>N/A</t>
        </is>
      </c>
      <c r="BU318" s="125" t="inlineStr">
        <is>
          <t>China International Capital Corporation Hong Kong Securities Limited; CMB International Capital Limited</t>
        </is>
      </c>
      <c r="BV318" s="108" t="inlineStr">
        <is>
          <t>China International Capital Corporation Hong Kong Securities Limited; CMB International Capital Limited</t>
        </is>
      </c>
      <c r="BW318" s="108" t="inlineStr">
        <is>
          <t>China International Capital Corporation Hong Kong Securities Limited; CMB International Capital Limited; CCB International Capital Limited; China Industrial Securities International Capital Limited; Huafu International Securities Limited; ICBC International Securities Limited; CEB International Capital Corporation Limited; ABCI Capital Limited; Patrons Securities Limited</t>
        </is>
      </c>
      <c r="BX318" s="108" t="inlineStr">
        <is>
          <t>ABCI Securities Company Limited; BOCI Asia Limited; CCB International Capital Limited; CEB International Capital Corporation Limited; China International Capital Corporation Hong Kong Securities Limited; China Industrial Securities International Capital Limited; CMB International Capital Limited; Futu Securities International (Hong Kong) Limited; Huafu International Securities Limited; ICBC International Securities Limited; Livermore Holdings Limited; Patrons Securities Limited</t>
        </is>
      </c>
      <c r="BY318" s="127">
        <f>HYPERLINK("https://www1.hkexnews.hk/listedco/listconews/sehk/2025/0403/2025040300013.pdf","prospectus")</f>
        <v/>
      </c>
      <c r="BZ318" s="127">
        <f>HYPERLINK("https://www1.hkexnews.hk/listedco/listconews/sehk/2025/0411/2025041101645.pdf","allotment")</f>
        <v/>
      </c>
      <c r="CA318" s="127">
        <f>HYPERLINK("https://www1.hkexnews.hk/listedco/listconews/sehk/2025/0509/2025050900261.pdf","stabilisation")</f>
        <v/>
      </c>
      <c r="CB318" s="128" t="n"/>
      <c r="CC318" s="108" t="inlineStr">
        <is>
          <t>P/E: loss-making at IPO, use P/S; greenshoe: outcome published; expiry date not in the notice; range low: maximum offer price only, no floor published; sponsor: English name not in the filing; AAStocks 保薦人 shown; allocation: allocation table not in this notice's format (older prose announcement); day-1 tape: volume on file; the retail multiple needs the final public split, which this notice does not state</t>
        </is>
      </c>
    </row>
    <row r="319" ht="22" customHeight="1">
      <c r="A319" s="107" t="inlineStr">
        <is>
          <t>9606</t>
        </is>
      </c>
      <c r="B319" s="108" t="inlineStr">
        <is>
          <t>DUALITYBIO-B</t>
        </is>
      </c>
      <c r="C319" s="108" t="inlineStr">
        <is>
          <t>映恩生物－Ｂ</t>
        </is>
      </c>
      <c r="D319" s="108" t="inlineStr">
        <is>
          <t>Healthcare</t>
        </is>
      </c>
      <c r="E319" s="108" t="inlineStr">
        <is>
          <t>Biotech pre-revenue (18A)</t>
        </is>
      </c>
      <c r="F319" s="108" t="inlineStr">
        <is>
          <t>Biotechnology - Pharmaceuticals</t>
        </is>
      </c>
      <c r="G319" s="108" t="inlineStr">
        <is>
          <t>18A</t>
        </is>
      </c>
      <c r="H319" s="109" t="n">
        <v>45762</v>
      </c>
      <c r="I319" s="110" t="n">
        <v>1639.64</v>
      </c>
      <c r="J319" s="108" t="inlineStr">
        <is>
          <t>gross (stated)</t>
        </is>
      </c>
      <c r="K319" s="111" t="n">
        <v>94.59999999999999</v>
      </c>
      <c r="L319" s="111" t="n">
        <v>103.2</v>
      </c>
      <c r="M319" s="111" t="n">
        <v>94.59999999999999</v>
      </c>
      <c r="N319" s="108" t="inlineStr">
        <is>
          <t>N</t>
        </is>
      </c>
      <c r="O319" s="112" t="n">
        <v>91.7</v>
      </c>
      <c r="P319" s="112" t="n">
        <v>0</v>
      </c>
      <c r="Q319" s="113" t="n">
        <v>7212.7</v>
      </c>
      <c r="R319" s="108" t="inlineStr">
        <is>
          <t>prospectus:stated market capitalisation, rescaled to the offer price</t>
        </is>
      </c>
      <c r="S319" s="114" t="n">
        <v>115.14</v>
      </c>
      <c r="T319" s="115" t="n">
        <v>13.52</v>
      </c>
      <c r="U319" s="116" t="n">
        <v>30.82</v>
      </c>
      <c r="V319" s="117" t="n">
        <v>125</v>
      </c>
      <c r="W319" s="112" t="n">
        <v>43.48</v>
      </c>
      <c r="X319" s="108" t="inlineStr">
        <is>
          <t>YES</t>
        </is>
      </c>
      <c r="Y319" s="113" t="n">
        <v>1134.3</v>
      </c>
      <c r="Z319" s="113" t="n">
        <v>11990485</v>
      </c>
      <c r="AA319" s="112" t="n">
        <v>15.73</v>
      </c>
      <c r="AB319" s="108" t="inlineStr">
        <is>
          <t>BioNTech SE; LAV Star Opportunities Limited; Lake Bleu Prime Healthcare Master Fund Limited; Lake Bleu Innovation Healthcare Master Fund Limited; TruMed Healthcare Master Fund, ABS Direct Equity Fund LLC Asia Series 11 and TruMed Health Innovation Fund LP (together TruMed); Fullgoal Fund Management Co., Ltd; Fullgoal Asset Management (HK) Limited; E Fund Management (Hong Kong) Co., Ltd; China Universal Asset Management Co., Ltd; Panjing Harbourview Investment Fund; MY Asian Opportunities Master Fund, L.P; Emerging Markets Healthcare Partners LLC; Worldwide Healthcare Partners LLC; Suzhou Suchuang Biomedical Health Venture Capital Fund Partnership (Limited Partnership)</t>
        </is>
      </c>
      <c r="AC319" s="108" t="inlineStr">
        <is>
          <t>biontech;lav;lake;trumed;fullgoal;fund-management;universal;panjing;my;emerging;healthcare;suzhou</t>
        </is>
      </c>
      <c r="AD319" s="112" t="n">
        <v>15</v>
      </c>
      <c r="AE319" s="108" t="inlineStr">
        <is>
          <t>full</t>
        </is>
      </c>
      <c r="AF319" s="108" t="inlineStr">
        <is>
          <t>2025-05-10</t>
        </is>
      </c>
      <c r="AG319" s="108" t="inlineStr">
        <is>
          <t>Morgan Stanley Asia Limited</t>
        </is>
      </c>
      <c r="AH319" s="108" t="inlineStr">
        <is>
          <t>Morgan Stanley</t>
        </is>
      </c>
      <c r="AI319" s="120" t="n">
        <v>82.88</v>
      </c>
      <c r="AJ319" s="121" t="n">
        <v>116.7</v>
      </c>
      <c r="AK319" s="121" t="n">
        <v>-0.61</v>
      </c>
      <c r="AL319" s="121" t="n">
        <v>91.33</v>
      </c>
      <c r="AM319" s="121" t="n">
        <v>13.26</v>
      </c>
      <c r="AN319" s="123" t="n">
        <v>1.44</v>
      </c>
      <c r="AO319" s="112" t="n">
        <v>22.65</v>
      </c>
      <c r="AP319" s="121" t="n">
        <v>137.84</v>
      </c>
      <c r="AQ319" s="121" t="n">
        <v>111.42</v>
      </c>
      <c r="AR319" s="121" t="n">
        <v>255.18</v>
      </c>
      <c r="AS319" s="121" t="n">
        <v>9.76</v>
      </c>
      <c r="AT319" s="121" t="n">
        <v>-2.44</v>
      </c>
      <c r="AU319" s="121" t="n">
        <v>63.9</v>
      </c>
      <c r="AV319" s="121" t="n">
        <v>133.61</v>
      </c>
      <c r="AW319" s="121" t="n">
        <v>107.06</v>
      </c>
      <c r="AX319" s="121" t="n">
        <v>221.6</v>
      </c>
      <c r="AY319" s="121" t="n">
        <v>-7.44</v>
      </c>
      <c r="AZ319" s="121" t="n">
        <v>4.36</v>
      </c>
      <c r="BA319" s="121" t="n">
        <v>5</v>
      </c>
      <c r="BB319" s="108" t="inlineStr">
        <is>
          <t>China Biotech ETF (HS biotech proxy)</t>
        </is>
      </c>
      <c r="BC319" s="121" t="n">
        <v>106.87</v>
      </c>
      <c r="BD319" s="109" t="n">
        <v>46297</v>
      </c>
      <c r="BE319" s="110" t="n">
        <v>2135.4</v>
      </c>
      <c r="BF319" s="113" t="n">
        <v>-1155.5</v>
      </c>
      <c r="BG319" s="108" t="inlineStr">
        <is>
          <t>N</t>
        </is>
      </c>
      <c r="BH319" s="108" t="inlineStr">
        <is>
          <t>n/m</t>
        </is>
      </c>
      <c r="BI319" s="122" t="n"/>
      <c r="BJ319" s="122" t="n"/>
      <c r="BK319" s="123" t="n">
        <v>3.4</v>
      </c>
      <c r="BL319" s="124">
        <f>IF('BBG Verify'!S319="","not filed; run on terminal",'BBG Verify'!S319)</f>
        <v/>
      </c>
      <c r="BM319" s="125" t="inlineStr">
        <is>
          <t>N</t>
        </is>
      </c>
      <c r="BN319" s="126">
        <f>IF('BBG Verify'!K319="","not filed; run on terminal",'BBG Verify'!K319)</f>
        <v/>
      </c>
      <c r="BO319" s="108" t="inlineStr">
        <is>
          <t>N/A</t>
        </is>
      </c>
      <c r="BP319" s="108" t="inlineStr">
        <is>
          <t>N/A</t>
        </is>
      </c>
      <c r="BQ319" s="108" t="inlineStr">
        <is>
          <t>N/A</t>
        </is>
      </c>
      <c r="BR319" s="108" t="inlineStr">
        <is>
          <t>N/A</t>
        </is>
      </c>
      <c r="BS319" s="108" t="inlineStr">
        <is>
          <t>N/A</t>
        </is>
      </c>
      <c r="BT319" s="108" t="inlineStr">
        <is>
          <t>N/A</t>
        </is>
      </c>
      <c r="BU319" s="125" t="inlineStr">
        <is>
          <t>Morgan Stanley Asia Limited</t>
        </is>
      </c>
      <c r="BV319" s="108" t="inlineStr">
        <is>
          <t>Jefferies Hong Kong Limited; Morgan Stanley Asia Limited; CITIC Securities (Hong Kong) Limited</t>
        </is>
      </c>
      <c r="BW319" s="108" t="inlineStr">
        <is>
          <t>Morgan Stanley Asia Limited; China International Capital Corporation Hong Kong Securities Limited; CMB International Capital Limited; ICBC International Securities Limited; BOCI Asia Limited; GF Securities (Hong Kong) Brokerage Limited; ABCI Capital Limited</t>
        </is>
      </c>
      <c r="BX319" s="108" t="inlineStr">
        <is>
          <t>ABCI Securities Company Limited; BOCI Asia Limited; China International Capital Corporation Hong Kong Securities Limited; CLSA Limited; CMB International Capital Corporation Limited; GF Securities (Hong Kong) Brokerage Limited; ICBC International Securities Limited; Jefferies Hong Kong Limited; Morgan Stanley Asia Limited</t>
        </is>
      </c>
      <c r="BY319" s="127">
        <f>HYPERLINK("https://www1.hkexnews.hk/listedco/listconews/sehk/2025/0407/2025040700009.pdf","prospectus")</f>
        <v/>
      </c>
      <c r="BZ319" s="127">
        <f>HYPERLINK("https://www1.hkexnews.hk/listedco/listconews/sehk/2025/0414/2025041401384.pdf","allotment")</f>
        <v/>
      </c>
      <c r="CA319" s="127">
        <f>HYPERLINK("https://www1.hkexnews.hk/listedco/listconews/sehk/2025/0512/2025051200137.pdf","stabilisation")</f>
        <v/>
      </c>
      <c r="CB319" s="128" t="n"/>
      <c r="CC319" s="108" t="inlineStr">
        <is>
          <t>P/E: loss-making at IPO, use P/S; market cap: prospectus cap HK$7,868m at HK$103.20, rescaled to HK$94.60</t>
        </is>
      </c>
    </row>
    <row r="320" ht="22" customHeight="1">
      <c r="A320" s="107" t="inlineStr">
        <is>
          <t>1333</t>
        </is>
      </c>
      <c r="B320" s="108" t="inlineStr">
        <is>
          <t>BRETON</t>
        </is>
      </c>
      <c r="C320" s="108" t="inlineStr">
        <is>
          <t>博雷頓</t>
        </is>
      </c>
      <c r="D320" s="108" t="inlineStr">
        <is>
          <t>Industrials</t>
        </is>
      </c>
      <c r="E320" s="108" t="inlineStr">
        <is>
          <t>Capital goods / machinery</t>
        </is>
      </c>
      <c r="F320" s="108" t="inlineStr">
        <is>
          <t>Industrial Machinery</t>
        </is>
      </c>
      <c r="G320" s="108" t="inlineStr">
        <is>
          <t>Standard</t>
        </is>
      </c>
      <c r="H320" s="109" t="n">
        <v>45784</v>
      </c>
      <c r="I320" s="110" t="n">
        <v>234</v>
      </c>
      <c r="J320" s="108" t="inlineStr">
        <is>
          <t>gross (stated)</t>
        </is>
      </c>
      <c r="K320" s="129" t="n"/>
      <c r="L320" s="111" t="n">
        <v>18</v>
      </c>
      <c r="M320" s="111" t="n">
        <v>18</v>
      </c>
      <c r="N320" s="108" t="inlineStr">
        <is>
          <t>Y</t>
        </is>
      </c>
      <c r="O320" s="112" t="n">
        <v>100</v>
      </c>
      <c r="P320" s="118" t="n"/>
      <c r="Q320" s="113" t="n">
        <v>6833.7</v>
      </c>
      <c r="R320" s="108" t="inlineStr">
        <is>
          <t>derived:price x shares upon listing</t>
        </is>
      </c>
      <c r="S320" s="114" t="n">
        <v>198.72</v>
      </c>
      <c r="T320" s="133">
        <f>IF('BBG Verify'!E320="","not filed; run on terminal",'BBG Verify'!E320)</f>
        <v/>
      </c>
      <c r="U320" s="116" t="n">
        <v>26.97</v>
      </c>
      <c r="V320" s="117" t="n">
        <v>108</v>
      </c>
      <c r="W320" s="112" t="n">
        <v>20</v>
      </c>
      <c r="X320" s="108" t="inlineStr">
        <is>
          <t>NO</t>
        </is>
      </c>
      <c r="Y320" s="113" t="n">
        <v>170.89</v>
      </c>
      <c r="Z320" s="113" t="n">
        <v>9493900</v>
      </c>
      <c r="AA320" s="112" t="n">
        <v>2.5</v>
      </c>
      <c r="AB320" s="108" t="inlineStr">
        <is>
          <t>Hong Kong Xinwei Electronic Co., Limited; Changfeng Growth Equity Fund OFC</t>
        </is>
      </c>
      <c r="AC320" s="108" t="inlineStr">
        <is>
          <t>xinwei;changfeng</t>
        </is>
      </c>
      <c r="AD320" s="112" t="n">
        <v>14.23</v>
      </c>
      <c r="AE320" s="119" t="n"/>
      <c r="AF320" s="119" t="n"/>
      <c r="AG320" s="108" t="inlineStr">
        <is>
          <t>China International Capital Corporation Hong Kong Securities Limited</t>
        </is>
      </c>
      <c r="AH320" s="108" t="inlineStr">
        <is>
          <t>China International</t>
        </is>
      </c>
      <c r="AI320" s="120" t="n">
        <v>43.33</v>
      </c>
      <c r="AJ320" s="121" t="n">
        <v>38.33</v>
      </c>
      <c r="AK320" s="121" t="n">
        <v>-0.67</v>
      </c>
      <c r="AL320" s="121" t="n">
        <v>61.11</v>
      </c>
      <c r="AM320" s="121" t="n">
        <v>-14.14</v>
      </c>
      <c r="AN320" s="123" t="n">
        <v>3.2</v>
      </c>
      <c r="AO320" s="112" t="n">
        <v>31.03</v>
      </c>
      <c r="AP320" s="121" t="n">
        <v>31.11</v>
      </c>
      <c r="AQ320" s="121" t="n">
        <v>79.44</v>
      </c>
      <c r="AR320" s="121" t="n">
        <v>53.33</v>
      </c>
      <c r="AS320" s="121" t="n">
        <v>-5.22</v>
      </c>
      <c r="AT320" s="121" t="n">
        <v>29.72</v>
      </c>
      <c r="AU320" s="121" t="n">
        <v>10.84</v>
      </c>
      <c r="AV320" s="121" t="n">
        <v>27.73</v>
      </c>
      <c r="AW320" s="121" t="n">
        <v>75.65000000000001</v>
      </c>
      <c r="AX320" s="121" t="n">
        <v>46.9</v>
      </c>
      <c r="AY320" s="121" t="n">
        <v>25.23</v>
      </c>
      <c r="AZ320" s="121" t="n">
        <v>3.79</v>
      </c>
      <c r="BA320" s="121" t="n">
        <v>4.49</v>
      </c>
      <c r="BB320" s="108" t="inlineStr">
        <is>
          <t>Hang Seng Commerce &amp; Industry sub-index</t>
        </is>
      </c>
      <c r="BC320" s="121" t="n">
        <v>11.11</v>
      </c>
      <c r="BD320" s="109" t="n">
        <v>46297</v>
      </c>
      <c r="BE320" s="110" t="n">
        <v>401</v>
      </c>
      <c r="BF320" s="113" t="n">
        <v>-302</v>
      </c>
      <c r="BG320" s="108" t="inlineStr">
        <is>
          <t>N</t>
        </is>
      </c>
      <c r="BH320" s="108" t="inlineStr">
        <is>
          <t>n/m</t>
        </is>
      </c>
      <c r="BI320" s="122" t="n"/>
      <c r="BJ320" s="122" t="n"/>
      <c r="BK320" s="123" t="n">
        <v>17</v>
      </c>
      <c r="BL320" s="124">
        <f>IF('BBG Verify'!S320="","not filed; run on terminal",'BBG Verify'!S320)</f>
        <v/>
      </c>
      <c r="BM320" s="125" t="inlineStr">
        <is>
          <t>N</t>
        </is>
      </c>
      <c r="BN320" s="126">
        <f>IF('BBG Verify'!K320="","not filed; run on terminal",'BBG Verify'!K320)</f>
        <v/>
      </c>
      <c r="BO320" s="108" t="inlineStr">
        <is>
          <t>N/A</t>
        </is>
      </c>
      <c r="BP320" s="108" t="inlineStr">
        <is>
          <t>N/A</t>
        </is>
      </c>
      <c r="BQ320" s="108" t="inlineStr">
        <is>
          <t>N/A</t>
        </is>
      </c>
      <c r="BR320" s="108" t="inlineStr">
        <is>
          <t>N/A</t>
        </is>
      </c>
      <c r="BS320" s="108" t="inlineStr">
        <is>
          <t>N/A</t>
        </is>
      </c>
      <c r="BT320" s="108" t="inlineStr">
        <is>
          <t>N/A</t>
        </is>
      </c>
      <c r="BU320" s="125" t="inlineStr">
        <is>
          <t>CMB International Capital Limited</t>
        </is>
      </c>
      <c r="BV320" s="108" t="inlineStr">
        <is>
          <t>China International Capital Corporation Hong Kong Securities Limited; CMB International Capital Corporation Limited</t>
        </is>
      </c>
      <c r="BW320" s="108"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 TradeGo Markets Limited</t>
        </is>
      </c>
      <c r="BX320" s="108"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 TradeGo Markets Limited</t>
        </is>
      </c>
      <c r="BY320" s="127">
        <f>HYPERLINK("https://www1.hkexnews.hk/listedco/listconews/sehk/2025/0425/2025042500055.pdf","prospectus")</f>
        <v/>
      </c>
      <c r="BZ320" s="127">
        <f>HYPERLINK("https://www1.hkexnews.hk/listedco/listconews/sehk/2025/0506/2025050602875.pdf","allotment")</f>
        <v/>
      </c>
      <c r="CA320" s="119" t="n"/>
      <c r="CB320" s="128" t="n"/>
      <c r="CC320" s="108" t="inlineStr">
        <is>
          <t>intl sub: parsed 0.92x rejected (implausible against a 199x public book); BBG Verify CP037 fills it; P/E: loss-making at IPO, use P/S; greenshoe: end-of-stabilisation notice not found; range low: maximum offer price only, no floor published</t>
        </is>
      </c>
    </row>
    <row r="321" ht="22" customHeight="1">
      <c r="A321" s="107" t="inlineStr">
        <is>
          <t>2865</t>
        </is>
      </c>
      <c r="B321" s="108" t="inlineStr">
        <is>
          <t>DRINDA</t>
        </is>
      </c>
      <c r="C321" s="108" t="inlineStr">
        <is>
          <t>鈞達股份</t>
        </is>
      </c>
      <c r="D321" s="108" t="inlineStr">
        <is>
          <t>Industrials</t>
        </is>
      </c>
      <c r="E321" s="108" t="inlineStr">
        <is>
          <t>Solar / wind supply chain</t>
        </is>
      </c>
      <c r="F321" s="108" t="inlineStr">
        <is>
          <t>Battery Products</t>
        </is>
      </c>
      <c r="G321" s="108" t="inlineStr">
        <is>
          <t>Standard</t>
        </is>
      </c>
      <c r="H321" s="109" t="n">
        <v>45785</v>
      </c>
      <c r="I321" s="110" t="n">
        <v>1405</v>
      </c>
      <c r="J321" s="108" t="inlineStr">
        <is>
          <t>gross (price x shares)</t>
        </is>
      </c>
      <c r="K321" s="111" t="n">
        <v>20.4</v>
      </c>
      <c r="L321" s="111" t="n">
        <v>28.6</v>
      </c>
      <c r="M321" s="111" t="n">
        <v>22.15</v>
      </c>
      <c r="N321" s="108" t="inlineStr">
        <is>
          <t>N</t>
        </is>
      </c>
      <c r="O321" s="112" t="n">
        <v>77.40000000000001</v>
      </c>
      <c r="P321" s="112" t="n">
        <v>21.3</v>
      </c>
      <c r="Q321" s="113" t="n">
        <v>6480.7</v>
      </c>
      <c r="R321" s="108" t="inlineStr">
        <is>
          <t>derived:price x shares upon listing</t>
        </is>
      </c>
      <c r="S321" s="114" t="n">
        <v>3.5</v>
      </c>
      <c r="T321" s="115" t="n">
        <v>1.08</v>
      </c>
      <c r="U321" s="116" t="n">
        <v>34.82</v>
      </c>
      <c r="V321" s="117" t="n">
        <v>138</v>
      </c>
      <c r="W321" s="112" t="n">
        <v>10</v>
      </c>
      <c r="X321" s="108" t="inlineStr">
        <is>
          <t>NO</t>
        </is>
      </c>
      <c r="Y321" s="113" t="n">
        <v>915.78</v>
      </c>
      <c r="Z321" s="113" t="n">
        <v>41345173</v>
      </c>
      <c r="AA321" s="112" t="n">
        <v>14.13</v>
      </c>
      <c r="AB321" s="108" t="inlineStr">
        <is>
          <t>Modern Direct Investment New Energy Technology Co., Limited; Zhuhai Gokin New Energy Investment Co., Ltd</t>
        </is>
      </c>
      <c r="AC321" s="108" t="inlineStr">
        <is>
          <t>modern;zhuhai</t>
        </is>
      </c>
      <c r="AD321" s="112" t="n">
        <v>7.6</v>
      </c>
      <c r="AE321" s="108" t="inlineStr">
        <is>
          <t>lapsed (no over-allocation)</t>
        </is>
      </c>
      <c r="AF321" s="119" t="n"/>
      <c r="AG321" s="108" t="inlineStr">
        <is>
          <t>Huatai Financial Holdings</t>
        </is>
      </c>
      <c r="AH321" s="108" t="inlineStr">
        <is>
          <t>Huatai</t>
        </is>
      </c>
      <c r="AI321" s="120" t="n">
        <v>0</v>
      </c>
      <c r="AJ321" s="121" t="n">
        <v>20.09</v>
      </c>
      <c r="AK321" s="121" t="n">
        <v>0.71</v>
      </c>
      <c r="AL321" s="121" t="n">
        <v>0.23</v>
      </c>
      <c r="AM321" s="121" t="n">
        <v>19.81</v>
      </c>
      <c r="AN321" s="123" t="n">
        <v>1.05</v>
      </c>
      <c r="AO321" s="112" t="n">
        <v>24.32</v>
      </c>
      <c r="AP321" s="121" t="n">
        <v>3.61</v>
      </c>
      <c r="AQ321" s="121" t="n">
        <v>8.130000000000001</v>
      </c>
      <c r="AR321" s="121" t="n">
        <v>-2.48</v>
      </c>
      <c r="AS321" s="121" t="n">
        <v>-13.72</v>
      </c>
      <c r="AT321" s="121" t="n">
        <v>-9.960000000000001</v>
      </c>
      <c r="AU321" s="121" t="n">
        <v>-18.79</v>
      </c>
      <c r="AV321" s="121" t="n">
        <v>0.51</v>
      </c>
      <c r="AW321" s="121" t="n">
        <v>4.34</v>
      </c>
      <c r="AX321" s="121" t="n">
        <v>-9.83</v>
      </c>
      <c r="AY321" s="121" t="n">
        <v>-13.02</v>
      </c>
      <c r="AZ321" s="121" t="n">
        <v>3.79</v>
      </c>
      <c r="BA321" s="121" t="n">
        <v>3.06</v>
      </c>
      <c r="BB321" s="108" t="inlineStr">
        <is>
          <t>Hang Seng Commerce &amp; Industry sub-index</t>
        </is>
      </c>
      <c r="BC321" s="121" t="n">
        <v>-48.58</v>
      </c>
      <c r="BD321" s="109" t="n">
        <v>46297</v>
      </c>
      <c r="BE321" s="110" t="n">
        <v>2006.3</v>
      </c>
      <c r="BF321" s="113" t="n">
        <v>-275.6</v>
      </c>
      <c r="BG321" s="108" t="inlineStr">
        <is>
          <t>N</t>
        </is>
      </c>
      <c r="BH321" s="108" t="inlineStr">
        <is>
          <t>n/m</t>
        </is>
      </c>
      <c r="BI321" s="122" t="n"/>
      <c r="BJ321" s="122" t="n"/>
      <c r="BK321" s="123" t="n">
        <v>3.2</v>
      </c>
      <c r="BL321" s="124">
        <f>IF('BBG Verify'!S321="","not filed; run on terminal",'BBG Verify'!S321)</f>
        <v/>
      </c>
      <c r="BM321" s="125" t="inlineStr">
        <is>
          <t>Y</t>
        </is>
      </c>
      <c r="BN321" s="108" t="inlineStr">
        <is>
          <t>002865.SZ</t>
        </is>
      </c>
      <c r="BO321" s="121" t="n">
        <v>99.26000000000001</v>
      </c>
      <c r="BP321" s="111" t="n">
        <v>44.1352</v>
      </c>
      <c r="BQ321" s="135" t="n">
        <v>2.7439</v>
      </c>
      <c r="BR321" s="113" t="n">
        <v>13275.7</v>
      </c>
      <c r="BS321" s="124">
        <f>IF('BBG Verify'!Q321="","run on terminal",'BBG Verify'!Q321)</f>
        <v/>
      </c>
      <c r="BT321" s="124">
        <f>IF('BBG Verify'!R321="","run on terminal",'BBG Verify'!R321)</f>
        <v/>
      </c>
      <c r="BU321" s="125" t="inlineStr">
        <is>
          <t>Huatai Financial Holdings (Hong Kong) Limited; CMB International Capital Limited; Deutsche Securities Asia Limited</t>
        </is>
      </c>
      <c r="BV321" s="108" t="inlineStr">
        <is>
          <t>Huatai Financial Holdings (Hong Kong) Limited; Deutsche Securities Asia Limited; CMB International Capital Corporation Limited</t>
        </is>
      </c>
      <c r="BW321" s="108" t="inlineStr">
        <is>
          <t>Huatai Financial Holdings (Hong Kong) Limited; CMB International Capital Limited; Deutsche Bank AG, Hong Kong Branch; CLSA Limited; China International Capital Corporation Hong Kong Securities Limited; SDICS International Securities (Hong Kong) Limited; Patrons Securities Limited; Futu Securities International (Hong Kong) Limited; Fosun International Securities Limited; BOCI Asia Limited; CCB International Capital Limited; ICBC International Securities Limited</t>
        </is>
      </c>
      <c r="BX321" s="108" t="inlineStr">
        <is>
          <t>BOCI Asia Limited; CCB International Capital Limited; China International Capital Corporation Hong Kong Securities Limited; CLSA Limited; CMB International Capital Corporation Limited; Deutsche Bank AG, Hong Kong Branch; Fortune (HK) Securities Limited; Fosun International Securities Limited; GF Securities (Hong Kong) Brokerage Limited; Huatai Financial Holdings (Hong Kong) Limited; ICBC International Securities Limited; Patrons Securities Limited</t>
        </is>
      </c>
      <c r="BY321" s="127">
        <f>HYPERLINK("https://www1.hkexnews.hk/listedco/listconews/sehk/2025/0428/2025042800051.pdf","prospectus")</f>
        <v/>
      </c>
      <c r="BZ321" s="127">
        <f>HYPERLINK("https://www1.hkexnews.hk/listedco/listconews/sehk/2025/0507/2025050702202.pdf","allotment")</f>
        <v/>
      </c>
      <c r="CA321" s="127">
        <f>HYPERLINK("https://www1.hkexnews.hk/listedco/listconews/sehk/2025/0602/2025060200082.pdf","stabilisation")</f>
        <v/>
      </c>
      <c r="CB321" s="128" t="n"/>
      <c r="CC321" s="108" t="inlineStr">
        <is>
          <t>P/E: loss-making at IPO, use P/S; greenshoe: outcome published; expiry date not in the notice; A/H: May 2025 H listing (TOPCon solar cells)</t>
        </is>
      </c>
    </row>
    <row r="322" ht="22" customHeight="1">
      <c r="A322" s="107" t="inlineStr">
        <is>
          <t>2589</t>
        </is>
      </c>
      <c r="B322" s="108" t="inlineStr">
        <is>
          <t>AUNTEA JENNY</t>
        </is>
      </c>
      <c r="C322" s="108" t="inlineStr">
        <is>
          <t>滬上阿姨</t>
        </is>
      </c>
      <c r="D322" s="108" t="inlineStr">
        <is>
          <t>Consumer</t>
        </is>
      </c>
      <c r="E322" s="108" t="inlineStr">
        <is>
          <t>F&amp;B chains / restaurants</t>
        </is>
      </c>
      <c r="F322" s="108" t="inlineStr">
        <is>
          <t>Beverages (Non-alcoholic)</t>
        </is>
      </c>
      <c r="G322" s="108" t="inlineStr">
        <is>
          <t>Standard</t>
        </is>
      </c>
      <c r="H322" s="109" t="n">
        <v>45785</v>
      </c>
      <c r="I322" s="110" t="n">
        <v>272.8</v>
      </c>
      <c r="J322" s="108" t="inlineStr">
        <is>
          <t>gross (price x shares)</t>
        </is>
      </c>
      <c r="K322" s="129" t="n"/>
      <c r="L322" s="111" t="n">
        <v>113.12</v>
      </c>
      <c r="M322" s="111" t="n">
        <v>113.12</v>
      </c>
      <c r="N322" s="108" t="inlineStr">
        <is>
          <t>Y</t>
        </is>
      </c>
      <c r="O322" s="112" t="n">
        <v>100</v>
      </c>
      <c r="P322" s="118" t="n"/>
      <c r="Q322" s="113" t="n">
        <v>10492.3</v>
      </c>
      <c r="R322" s="108" t="inlineStr">
        <is>
          <t>derived:deal size / offer % of enlarged capital</t>
        </is>
      </c>
      <c r="S322" s="114" t="n">
        <v>3616.83</v>
      </c>
      <c r="T322" s="115" t="n">
        <v>2.57</v>
      </c>
      <c r="U322" s="116" t="n">
        <v>30.73</v>
      </c>
      <c r="V322" s="117" t="n">
        <v>12</v>
      </c>
      <c r="W322" s="112" t="n">
        <v>50</v>
      </c>
      <c r="X322" s="108" t="inlineStr">
        <is>
          <t>YES</t>
        </is>
      </c>
      <c r="Y322" s="113" t="n">
        <v>188.97</v>
      </c>
      <c r="Z322" s="113" t="n">
        <v>1670335</v>
      </c>
      <c r="AA322" s="112" t="n">
        <v>1.8</v>
      </c>
      <c r="AB322" s="108" t="inlineStr">
        <is>
          <t>Infore Holding</t>
        </is>
      </c>
      <c r="AC322" s="108" t="inlineStr">
        <is>
          <t>infore</t>
        </is>
      </c>
      <c r="AD322" s="112" t="n">
        <v>15</v>
      </c>
      <c r="AE322" s="108" t="inlineStr">
        <is>
          <t>full</t>
        </is>
      </c>
      <c r="AF322" s="108" t="inlineStr">
        <is>
          <t>2025-06-01</t>
        </is>
      </c>
      <c r="AG322" s="108" t="inlineStr">
        <is>
          <t>CLSA Limited</t>
        </is>
      </c>
      <c r="AH322" s="108" t="inlineStr">
        <is>
          <t>CLSA</t>
        </is>
      </c>
      <c r="AI322" s="120" t="n">
        <v>62.48</v>
      </c>
      <c r="AJ322" s="121" t="n">
        <v>40.03</v>
      </c>
      <c r="AK322" s="121" t="n">
        <v>0.71</v>
      </c>
      <c r="AL322" s="121" t="n">
        <v>68.48999999999999</v>
      </c>
      <c r="AM322" s="121" t="n">
        <v>-16.89</v>
      </c>
      <c r="AN322" s="123" t="n">
        <v>2.71</v>
      </c>
      <c r="AO322" s="112" t="n">
        <v>23.92</v>
      </c>
      <c r="AP322" s="121" t="n">
        <v>12.89</v>
      </c>
      <c r="AQ322" s="121" t="n">
        <v>9.619999999999999</v>
      </c>
      <c r="AR322" s="121" t="n">
        <v>21.38</v>
      </c>
      <c r="AS322" s="121" t="n">
        <v>-19.38</v>
      </c>
      <c r="AT322" s="121" t="n">
        <v>-21.72</v>
      </c>
      <c r="AU322" s="121" t="n">
        <v>-13.32</v>
      </c>
      <c r="AV322" s="121" t="n">
        <v>9.789999999999999</v>
      </c>
      <c r="AW322" s="121" t="n">
        <v>5.83</v>
      </c>
      <c r="AX322" s="121" t="n">
        <v>14.03</v>
      </c>
      <c r="AY322" s="121" t="n">
        <v>-24.78</v>
      </c>
      <c r="AZ322" s="121" t="n">
        <v>3.79</v>
      </c>
      <c r="BA322" s="121" t="n">
        <v>3.06</v>
      </c>
      <c r="BB322" s="108" t="inlineStr">
        <is>
          <t>Hang Seng Commerce &amp; Industry sub-index</t>
        </is>
      </c>
      <c r="BC322" s="121" t="n">
        <v>-40.28</v>
      </c>
      <c r="BD322" s="109" t="n">
        <v>46297</v>
      </c>
      <c r="BE322" s="110" t="n">
        <v>3613</v>
      </c>
      <c r="BF322" s="113" t="n">
        <v>361.8</v>
      </c>
      <c r="BG322" s="108" t="inlineStr">
        <is>
          <t>Y</t>
        </is>
      </c>
      <c r="BH322" s="123" t="n">
        <v>29</v>
      </c>
      <c r="BI322" s="123" t="n">
        <v>45.8</v>
      </c>
      <c r="BJ322" s="123" t="n">
        <v>15.2</v>
      </c>
      <c r="BK322" s="123" t="n">
        <v>2.9</v>
      </c>
      <c r="BL322" s="124">
        <f>IF('BBG Verify'!S322="","not filed; run on terminal",'BBG Verify'!S322)</f>
        <v/>
      </c>
      <c r="BM322" s="125" t="inlineStr">
        <is>
          <t>N</t>
        </is>
      </c>
      <c r="BN322" s="126">
        <f>IF('BBG Verify'!K322="","not filed; run on terminal",'BBG Verify'!K322)</f>
        <v/>
      </c>
      <c r="BO322" s="108" t="inlineStr">
        <is>
          <t>N/A</t>
        </is>
      </c>
      <c r="BP322" s="108" t="inlineStr">
        <is>
          <t>N/A</t>
        </is>
      </c>
      <c r="BQ322" s="108" t="inlineStr">
        <is>
          <t>N/A</t>
        </is>
      </c>
      <c r="BR322" s="108" t="inlineStr">
        <is>
          <t>N/A</t>
        </is>
      </c>
      <c r="BS322" s="108" t="inlineStr">
        <is>
          <t>N/A</t>
        </is>
      </c>
      <c r="BT322" s="108" t="inlineStr">
        <is>
          <t>N/A</t>
        </is>
      </c>
      <c r="BU322" s="125" t="inlineStr">
        <is>
          <t>CITIC Securities (Hong Kong) Limited; Haitong International Capital Limited; Orient Capital (Hong Kong) Limited</t>
        </is>
      </c>
      <c r="BV322" s="108" t="inlineStr">
        <is>
          <t>Haitong International Capital Limited; CITIC Securities (Hong Kong) Limited; Orient Capital (Hong Kong) Limited</t>
        </is>
      </c>
      <c r="BW322" s="108" t="inlineStr">
        <is>
          <t>CLSA Limited; Orient Securities (Hong Kong) Limited; ICBC International Securities Limited; China Merchants Securities (HK) Co., Limited; CMBC Securities Company Limited; Morton Securities Limited; Soochow Securities International Brokerage Limited; Tiger Brokers (HK) Global Limited</t>
        </is>
      </c>
      <c r="BX322" s="108" t="inlineStr">
        <is>
          <t>CLSA Limited; CMBC Securities Company Limited; China Merchants Securities (HK) Company Limited; Haitong International Securities Company Limited; ICBC International Securities Limited; Morton Securities Limited; Orient Securities (Hong Kong) Limited; Soochow Securities International Brokerage Limited; Tiger Brokers (HK) Global Limited</t>
        </is>
      </c>
      <c r="BY322" s="127">
        <f>HYPERLINK("https://www1.hkexnews.hk/listedco/listconews/sehk/2025/0428/2025042800055.pdf","prospectus")</f>
        <v/>
      </c>
      <c r="BZ322" s="127">
        <f>HYPERLINK("https://www1.hkexnews.hk/listedco/listconews/sehk/2025/0507/2025050702204.pdf","allotment")</f>
        <v/>
      </c>
      <c r="CA322" s="127">
        <f>HYPERLINK("https://www1.hkexnews.hk/listedco/listconews/sehk/2025/0601/2025060100017.pdf","stabilisation")</f>
        <v/>
      </c>
      <c r="CB322" s="128" t="n"/>
      <c r="CC322" s="108" t="inlineStr">
        <is>
          <t>range low: maximum offer price only, no floor published</t>
        </is>
      </c>
    </row>
    <row r="323" ht="22" customHeight="1">
      <c r="A323" s="107" t="inlineStr">
        <is>
          <t>6831</t>
        </is>
      </c>
      <c r="B323" s="108" t="inlineStr">
        <is>
          <t>GREEN TEA GROUP</t>
        </is>
      </c>
      <c r="C323" s="108" t="inlineStr">
        <is>
          <t>綠茶集團</t>
        </is>
      </c>
      <c r="D323" s="108" t="inlineStr">
        <is>
          <t>Consumer</t>
        </is>
      </c>
      <c r="E323" s="108" t="inlineStr">
        <is>
          <t>F&amp;B chains / restaurants</t>
        </is>
      </c>
      <c r="F323" s="108" t="inlineStr">
        <is>
          <t>Restaurants</t>
        </is>
      </c>
      <c r="G323" s="108" t="inlineStr">
        <is>
          <t>Standard</t>
        </is>
      </c>
      <c r="H323" s="109" t="n">
        <v>45793</v>
      </c>
      <c r="I323" s="110" t="n">
        <v>847.38</v>
      </c>
      <c r="J323" s="108" t="inlineStr">
        <is>
          <t>gross (stated)</t>
        </is>
      </c>
      <c r="K323" s="129" t="n"/>
      <c r="L323" s="111" t="n">
        <v>7.19</v>
      </c>
      <c r="M323" s="111" t="n">
        <v>7.19</v>
      </c>
      <c r="N323" s="108" t="inlineStr">
        <is>
          <t>Y</t>
        </is>
      </c>
      <c r="O323" s="112" t="n">
        <v>100</v>
      </c>
      <c r="P323" s="118" t="n"/>
      <c r="Q323" s="113" t="n">
        <v>3013.4</v>
      </c>
      <c r="R323" s="108" t="inlineStr">
        <is>
          <t>derived:deal size / offer % of enlarged capital</t>
        </is>
      </c>
      <c r="S323" s="114" t="n">
        <v>317.54</v>
      </c>
      <c r="T323" s="115" t="n">
        <v>7.2</v>
      </c>
      <c r="U323" s="116" t="n">
        <v>50</v>
      </c>
      <c r="V323" s="117" t="n">
        <v>134</v>
      </c>
      <c r="W323" s="112" t="n">
        <v>50</v>
      </c>
      <c r="X323" s="108" t="inlineStr">
        <is>
          <t>YES</t>
        </is>
      </c>
      <c r="Y323" s="113" t="n">
        <v>423.69</v>
      </c>
      <c r="Z323" s="131" t="n"/>
      <c r="AA323" s="112" t="n">
        <v>14.06</v>
      </c>
      <c r="AB323" s="108" t="inlineStr">
        <is>
          <t>Wuxi Zixian Food Co., Ltd; Anji Liangshan Rural Revitalization Equity Investment Partnership (Limited Partnership); Action Chain International Limited; Chia Tai Food Investment Company Limited; Wuxi Hexiang Food Co., Ltd; Wuxi Lvlian Food Co., Ltd; Wuxi Qinyu Food Co., Ltd</t>
        </is>
      </c>
      <c r="AC323" s="108" t="inlineStr">
        <is>
          <t>wuxi;anji;action;chia</t>
        </is>
      </c>
      <c r="AD323" s="112" t="n">
        <v>15.76</v>
      </c>
      <c r="AE323" s="108" t="inlineStr">
        <is>
          <t>lapsed</t>
        </is>
      </c>
      <c r="AF323" s="108" t="inlineStr">
        <is>
          <t>2025-06-12</t>
        </is>
      </c>
      <c r="AG323" s="108" t="inlineStr">
        <is>
          <t>CMB International Global Markets Limited</t>
        </is>
      </c>
      <c r="AH323" s="108" t="inlineStr">
        <is>
          <t>CMB</t>
        </is>
      </c>
      <c r="AI323" s="120" t="n">
        <v>-7.65</v>
      </c>
      <c r="AJ323" s="121" t="n">
        <v>-12.52</v>
      </c>
      <c r="AK323" s="121" t="n">
        <v>-0.68</v>
      </c>
      <c r="AL323" s="121" t="n">
        <v>0</v>
      </c>
      <c r="AM323" s="121" t="n">
        <v>-12.52</v>
      </c>
      <c r="AN323" s="123" t="n">
        <v>1.05</v>
      </c>
      <c r="AO323" s="112" t="n">
        <v>12.66</v>
      </c>
      <c r="AP323" s="121" t="n">
        <v>-19.61</v>
      </c>
      <c r="AQ323" s="121" t="n">
        <v>-11.27</v>
      </c>
      <c r="AR323" s="121" t="n">
        <v>3.2</v>
      </c>
      <c r="AS323" s="121" t="n">
        <v>-8.1</v>
      </c>
      <c r="AT323" s="121" t="n">
        <v>1.43</v>
      </c>
      <c r="AU323" s="121" t="n">
        <v>17.97</v>
      </c>
      <c r="AV323" s="121" t="n">
        <v>-20.16</v>
      </c>
      <c r="AW323" s="121" t="n">
        <v>-11.85</v>
      </c>
      <c r="AX323" s="121" t="n">
        <v>-3.31</v>
      </c>
      <c r="AY323" s="121" t="n">
        <v>0.16</v>
      </c>
      <c r="AZ323" s="121" t="n">
        <v>0.58</v>
      </c>
      <c r="BA323" s="121" t="n">
        <v>1.27</v>
      </c>
      <c r="BB323" s="108" t="inlineStr">
        <is>
          <t>Hang Seng Commerce &amp; Industry sub-index</t>
        </is>
      </c>
      <c r="BC323" s="121" t="n">
        <v>-32.41</v>
      </c>
      <c r="BD323" s="109" t="n">
        <v>46297</v>
      </c>
      <c r="BE323" s="110" t="n">
        <v>4222</v>
      </c>
      <c r="BF323" s="113" t="n">
        <v>385.2</v>
      </c>
      <c r="BG323" s="108" t="inlineStr">
        <is>
          <t>Y</t>
        </is>
      </c>
      <c r="BH323" s="123" t="n">
        <v>7.8</v>
      </c>
      <c r="BI323" s="122" t="n"/>
      <c r="BJ323" s="123" t="n">
        <v>7.4</v>
      </c>
      <c r="BK323" s="123" t="n">
        <v>0.7</v>
      </c>
      <c r="BL323" s="124">
        <f>IF('BBG Verify'!S323="","not filed; run on terminal",'BBG Verify'!S323)</f>
        <v/>
      </c>
      <c r="BM323" s="125" t="inlineStr">
        <is>
          <t>N</t>
        </is>
      </c>
      <c r="BN323" s="126">
        <f>IF('BBG Verify'!K323="","not filed; run on terminal",'BBG Verify'!K323)</f>
        <v/>
      </c>
      <c r="BO323" s="108" t="inlineStr">
        <is>
          <t>N/A</t>
        </is>
      </c>
      <c r="BP323" s="108" t="inlineStr">
        <is>
          <t>N/A</t>
        </is>
      </c>
      <c r="BQ323" s="108" t="inlineStr">
        <is>
          <t>N/A</t>
        </is>
      </c>
      <c r="BR323" s="108" t="inlineStr">
        <is>
          <t>N/A</t>
        </is>
      </c>
      <c r="BS323" s="108" t="inlineStr">
        <is>
          <t>N/A</t>
        </is>
      </c>
      <c r="BT323" s="108" t="inlineStr">
        <is>
          <t>N/A</t>
        </is>
      </c>
      <c r="BU323" s="125" t="inlineStr">
        <is>
          <t>Citigroup Global Markets Asia Limited; Hong Kong SAR CMB International Capital Limited</t>
        </is>
      </c>
      <c r="BV323" s="108" t="inlineStr">
        <is>
          <t>Citigroup Global Markets Asia Limited; CMB International Capital Corporation Limited</t>
        </is>
      </c>
      <c r="BW323" s="108" t="inlineStr">
        <is>
          <t>Citigroup Global Markets Asia Limited; Hong Kong SAR Citigroup Global Markets Limited; 8 7– CMB International Capital Limited; GF Securities (Hong Kong) Brokerage Limited; Wan Chai Hong Kong SAR Guoyuan Securities Brokerage (Hong Kong) Limited; ABCI CAPITAL LIMITED; Hong Kong SAR ABCI SECURITIES COMPANY LIMITED; Hong Kong SAR Celestial Securities Limited; (Hong Kong) Co., Ltd; Hong Kong SAR CMBC Securities Company Limited; Hong Kong SAR First Shanghai Securities Limited; Hong Kong SAR Futu Securities International (Hong Kong) Limited</t>
        </is>
      </c>
      <c r="BX323" s="108" t="inlineStr">
        <is>
          <t>ABCI Securities Company Limited; China Galaxy International Securities (Hong Kong) Company Limited; Citigroup Global Markets Asia Limited; CMBC Securities Company Limited; CMB International Capital Corporation Limited; Celestial Securities Limited; First Shanghai Securities Limited; Futu Securities International (Hong Kong) Limited; GF Securities (Hong Kong) Brokerage Limited; Guoyuan Securities Brokerage (Hong Kong) Limited; Long Bridge HK Limited; Morton Securities Limited</t>
        </is>
      </c>
      <c r="BY323" s="127">
        <f>HYPERLINK("https://www1.hkexnews.hk/listedco/listconews/sehk/2025/0508/2025050800013.pdf","prospectus")</f>
        <v/>
      </c>
      <c r="BZ323" s="127">
        <f>HYPERLINK("https://www1.hkexnews.hk/listedco/listconews/sehk/2025/0515/2025051501489.pdf","allotment")</f>
        <v/>
      </c>
      <c r="CA323" s="127">
        <f>HYPERLINK("https://www1.hkexnews.hk/listedco/listconews/sehk/2025/0612/2025061201064.pdf","stabilisation")</f>
        <v/>
      </c>
      <c r="CB323" s="128" t="n"/>
      <c r="CC323" s="108" t="inlineStr">
        <is>
          <t>range low: maximum offer price only, no floor published; eff float shares: share count unavailable; the HK$m figure is exact</t>
        </is>
      </c>
    </row>
    <row r="324" ht="22" customHeight="1">
      <c r="A324" s="107" t="inlineStr">
        <is>
          <t>3750</t>
        </is>
      </c>
      <c r="B324" s="108" t="inlineStr">
        <is>
          <t>CATL</t>
        </is>
      </c>
      <c r="C324" s="108" t="inlineStr">
        <is>
          <t>寧德時代</t>
        </is>
      </c>
      <c r="D324" s="108" t="inlineStr">
        <is>
          <t>Industrials</t>
        </is>
      </c>
      <c r="E324" s="108" t="inlineStr">
        <is>
          <t>Batteries / energy storage</t>
        </is>
      </c>
      <c r="F324" s="108" t="inlineStr">
        <is>
          <t>Battery Products</t>
        </is>
      </c>
      <c r="G324" s="108" t="inlineStr">
        <is>
          <t>Standard</t>
        </is>
      </c>
      <c r="H324" s="109" t="n">
        <v>45797</v>
      </c>
      <c r="I324" s="110" t="n">
        <v>35657.2</v>
      </c>
      <c r="J324" s="108" t="inlineStr">
        <is>
          <t>gross (stated)</t>
        </is>
      </c>
      <c r="K324" s="129" t="n"/>
      <c r="L324" s="111" t="n">
        <v>263</v>
      </c>
      <c r="M324" s="111" t="n">
        <v>263</v>
      </c>
      <c r="N324" s="108" t="inlineStr">
        <is>
          <t>Y</t>
        </is>
      </c>
      <c r="O324" s="112" t="n">
        <v>100</v>
      </c>
      <c r="P324" s="118" t="n"/>
      <c r="Q324" s="113" t="n">
        <v>1192548.5</v>
      </c>
      <c r="R324" s="108" t="inlineStr">
        <is>
          <t>derived:deal size / offer % of enlarged capital</t>
        </is>
      </c>
      <c r="S324" s="114" t="n">
        <v>151.15</v>
      </c>
      <c r="T324" s="115" t="n">
        <v>15.17</v>
      </c>
      <c r="U324" s="116" t="n">
        <v>52.78</v>
      </c>
      <c r="V324" s="117" t="n">
        <v>428</v>
      </c>
      <c r="W324" s="112" t="n">
        <v>7.5</v>
      </c>
      <c r="X324" s="108" t="inlineStr">
        <is>
          <t>NA</t>
        </is>
      </c>
      <c r="Y324" s="113" t="n">
        <v>16837.33</v>
      </c>
      <c r="Z324" s="113" t="n">
        <v>64020215</v>
      </c>
      <c r="AA324" s="112" t="n">
        <v>1.41</v>
      </c>
      <c r="AB324" s="108" t="inlineStr">
        <is>
          <t>Sinopec HK; 16 2025 KIA; November 19, 2025 HHLR CF, L.P; November 19, 2025 Shanghai Gaoyi and CICC FT (in connection with Gaoyi OTC Swaps); November 19, 2025 Perseverance Asset Management; November 19, 2025 Zenith Hop; November 19, 2025 Abstract Enigma Limited; November 19, 2025 Shanghai Greenwoods and CICC FT (in connection with Greenwoods OTC Swaps); November 19, 2025 HK Greenwoods; November 19, 2025 Pinpoint; November 19, 2025 UBS AM Singapore; November 19, 2025 WT; November 19, 2025 CPE Investment; November 19, 2025 Oaktree; November 19, 2025 MX Bright; November 19, 2025 Mirae Investors; November 19, 2025 RBC Global; 17 Asset Management (Asia) Limited 2025 CPIC Investors</t>
        </is>
      </c>
      <c r="AC324" s="108" t="inlineStr">
        <is>
          <t>sinopec;16;november;17</t>
        </is>
      </c>
      <c r="AD324" s="112" t="n">
        <v>15</v>
      </c>
      <c r="AE324" s="108" t="inlineStr">
        <is>
          <t>full</t>
        </is>
      </c>
      <c r="AF324" s="119" t="n"/>
      <c r="AG324" s="119" t="n"/>
      <c r="AH324" s="119" t="n"/>
      <c r="AI324" s="120" t="n">
        <v>8.289999999999999</v>
      </c>
      <c r="AJ324" s="121" t="n">
        <v>16.43</v>
      </c>
      <c r="AK324" s="121" t="n">
        <v>1.73</v>
      </c>
      <c r="AL324" s="121" t="n">
        <v>12.55</v>
      </c>
      <c r="AM324" s="121" t="n">
        <v>3.45</v>
      </c>
      <c r="AN324" s="123" t="n">
        <v>2.72</v>
      </c>
      <c r="AO324" s="112" t="n">
        <v>6.89</v>
      </c>
      <c r="AP324" s="121" t="n">
        <v>17.49</v>
      </c>
      <c r="AQ324" s="121" t="n">
        <v>16.5</v>
      </c>
      <c r="AR324" s="121" t="n">
        <v>57.41</v>
      </c>
      <c r="AS324" s="121" t="n">
        <v>0.91</v>
      </c>
      <c r="AT324" s="121" t="n">
        <v>0.06</v>
      </c>
      <c r="AU324" s="121" t="n">
        <v>35.2</v>
      </c>
      <c r="AV324" s="121" t="n">
        <v>17.98</v>
      </c>
      <c r="AW324" s="121" t="n">
        <v>16.86</v>
      </c>
      <c r="AX324" s="121" t="n">
        <v>51.09</v>
      </c>
      <c r="AY324" s="121" t="n">
        <v>2.11</v>
      </c>
      <c r="AZ324" s="121" t="n">
        <v>-0.36</v>
      </c>
      <c r="BA324" s="121" t="n">
        <v>-2.05</v>
      </c>
      <c r="BB324" s="108" t="inlineStr">
        <is>
          <t>Hang Seng Commerce &amp; Industry sub-index</t>
        </is>
      </c>
      <c r="BC324" s="121" t="n">
        <v>81.29000000000001</v>
      </c>
      <c r="BD324" s="109" t="n">
        <v>46297</v>
      </c>
      <c r="BE324" s="110" t="n">
        <v>398213.8</v>
      </c>
      <c r="BF324" s="113" t="n">
        <v>60824.5</v>
      </c>
      <c r="BG324" s="108" t="inlineStr">
        <is>
          <t>Y</t>
        </is>
      </c>
      <c r="BH324" s="123" t="n">
        <v>19.6</v>
      </c>
      <c r="BI324" s="123" t="n">
        <v>22.9</v>
      </c>
      <c r="BJ324" s="123" t="n">
        <v>30.1</v>
      </c>
      <c r="BK324" s="123" t="n">
        <v>3</v>
      </c>
      <c r="BL324" s="124">
        <f>IF('BBG Verify'!S324="","not filed; run on terminal",'BBG Verify'!S324)</f>
        <v/>
      </c>
      <c r="BM324" s="125" t="inlineStr">
        <is>
          <t>Y</t>
        </is>
      </c>
      <c r="BN324" s="108" t="inlineStr">
        <is>
          <t>300750.SZ</t>
        </is>
      </c>
      <c r="BO324" s="121" t="n">
        <v>7.15</v>
      </c>
      <c r="BP324" s="111" t="n">
        <v>281.7992</v>
      </c>
      <c r="BQ324" s="135" t="n">
        <v>-0.2855</v>
      </c>
      <c r="BR324" s="113" t="n">
        <v>1576979.7</v>
      </c>
      <c r="BS324" s="124">
        <f>IF('BBG Verify'!Q324="","run on terminal",'BBG Verify'!Q324)</f>
        <v/>
      </c>
      <c r="BT324" s="124">
        <f>IF('BBG Verify'!R324="","run on terminal",'BBG Verify'!R324)</f>
        <v/>
      </c>
      <c r="BU324" s="125" t="inlineStr">
        <is>
          <t>China International Capital Corporation Hong Kong Securities Limited; China Securities (International) Corporate Finance Company Limited; J.P. Morgan Securities (Far East) Limited; Merrill Lynch (Asia Pacific) Limited</t>
        </is>
      </c>
      <c r="BV324" s="108" t="inlineStr">
        <is>
          <t>China International Capital Corporation Hong Kong Securities Limited; J.P. Morgan Securities (Far East) Limited; Merrill Lynch (Asia Pacific) Limited; China Securities (International) Corporate Finance Company Limited</t>
        </is>
      </c>
      <c r="BW324" s="108"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 Merrill Lynch (Asia Pacific) Limited; Morgan Stanley Asia Limited; UBS AG Hong Kong Branch</t>
        </is>
      </c>
      <c r="BX324" s="108"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 Merrill Lynch (Asia Pacific) Limited; Morgan Stanley Asia Limited; UBS AG Hong Kong Branch</t>
        </is>
      </c>
      <c r="BY324" s="127">
        <f>HYPERLINK("https://www1.hkexnews.hk/listedco/listconews/sehk/2025/0512/2025051200005.pdf","prospectus")</f>
        <v/>
      </c>
      <c r="BZ324" s="127">
        <f>HYPERLINK("https://www1.hkexnews.hk/listedco/listconews/sehk/2025/0519/2025051901257.pdf","allotment")</f>
        <v/>
      </c>
      <c r="CA324" s="127">
        <f>HYPERLINK("https://www1.hkexnews.hk/listedco/listconews/sehk/2025/0616/2025061600487.pdf","stabilisation")</f>
        <v/>
      </c>
      <c r="CB324" s="128" t="n"/>
      <c r="CC324" s="108" t="inlineStr">
        <is>
          <t>greenshoe: outcome published; expiry date not in the notice; range low: maximum offer price only, no floor published; A/H: May 2025, ~US$4.6bn (US$5.3bn w/ shoe); world's largest listing of 2025; H priced at a slim discount to A and surged on debut; stabilising manager: not named in the allotment notice or prospectus glossary</t>
        </is>
      </c>
    </row>
    <row r="325" ht="22" customHeight="1">
      <c r="A325" s="107" t="inlineStr">
        <is>
          <t>2629</t>
        </is>
      </c>
      <c r="B325" s="108" t="inlineStr">
        <is>
          <t>MIRXES-B</t>
        </is>
      </c>
      <c r="C325" s="108" t="inlineStr">
        <is>
          <t>MIRXES-B</t>
        </is>
      </c>
      <c r="D325" s="108" t="inlineStr">
        <is>
          <t>Healthcare</t>
        </is>
      </c>
      <c r="E325" s="108" t="inlineStr">
        <is>
          <t>Biotech pre-revenue (18A)</t>
        </is>
      </c>
      <c r="F325" s="108" t="inlineStr">
        <is>
          <t>Biotechnology - Pharmaceuticals</t>
        </is>
      </c>
      <c r="G325" s="108" t="inlineStr">
        <is>
          <t>18A</t>
        </is>
      </c>
      <c r="H325" s="109" t="n">
        <v>45800</v>
      </c>
      <c r="I325" s="110" t="n">
        <v>1086.2</v>
      </c>
      <c r="J325" s="108" t="inlineStr">
        <is>
          <t>gross (stated)</t>
        </is>
      </c>
      <c r="K325" s="129" t="n"/>
      <c r="L325" s="111" t="n">
        <v>23.3</v>
      </c>
      <c r="M325" s="111" t="n">
        <v>23.3</v>
      </c>
      <c r="N325" s="108" t="inlineStr">
        <is>
          <t>Y</t>
        </is>
      </c>
      <c r="O325" s="112" t="n">
        <v>100</v>
      </c>
      <c r="P325" s="118" t="n"/>
      <c r="Q325" s="113" t="n">
        <v>6438.8</v>
      </c>
      <c r="R325" s="108" t="inlineStr">
        <is>
          <t>derived:price x shares upon listing</t>
        </is>
      </c>
      <c r="S325" s="114" t="n">
        <v>25.51</v>
      </c>
      <c r="T325" s="133">
        <f>IF('BBG Verify'!E325="","not filed; run on terminal",'BBG Verify'!E325)</f>
        <v/>
      </c>
      <c r="U325" s="116" t="n">
        <v>41.37</v>
      </c>
      <c r="V325" s="117" t="n">
        <v>116</v>
      </c>
      <c r="W325" s="112" t="n">
        <v>12.6</v>
      </c>
      <c r="X325" s="108" t="inlineStr">
        <is>
          <t>NO</t>
        </is>
      </c>
      <c r="Y325" s="113" t="n">
        <v>636.84</v>
      </c>
      <c r="Z325" s="113" t="n">
        <v>27333306</v>
      </c>
      <c r="AA325" s="112" t="n">
        <v>9.890000000000001</v>
      </c>
      <c r="AB325" s="108" t="inlineStr">
        <is>
          <t>Beijing Xunrui Enterprise Management Partnership (Limited Partnership); Evergreen Gate Limited</t>
        </is>
      </c>
      <c r="AC325" s="108" t="inlineStr">
        <is>
          <t>beijing-xunrui;evergreen</t>
        </is>
      </c>
      <c r="AD325" s="118" t="n"/>
      <c r="AE325" s="119" t="n"/>
      <c r="AF325" s="119" t="n"/>
      <c r="AG325" s="119" t="n"/>
      <c r="AH325" s="119" t="n"/>
      <c r="AI325" s="120" t="n">
        <v>33.91</v>
      </c>
      <c r="AJ325" s="121" t="n">
        <v>28.76</v>
      </c>
      <c r="AK325" s="121" t="n">
        <v>-0.14</v>
      </c>
      <c r="AL325" s="121" t="n">
        <v>28.33</v>
      </c>
      <c r="AM325" s="121" t="n">
        <v>0.34</v>
      </c>
      <c r="AN325" s="123" t="n">
        <v>1.56</v>
      </c>
      <c r="AO325" s="112" t="n">
        <v>10.17</v>
      </c>
      <c r="AP325" s="121" t="n">
        <v>25.32</v>
      </c>
      <c r="AQ325" s="121" t="n">
        <v>44.42</v>
      </c>
      <c r="AR325" s="121" t="n">
        <v>87.55</v>
      </c>
      <c r="AS325" s="121" t="n">
        <v>-2.67</v>
      </c>
      <c r="AT325" s="121" t="n">
        <v>12.16</v>
      </c>
      <c r="AU325" s="121" t="n">
        <v>45.66</v>
      </c>
      <c r="AV325" s="121" t="n">
        <v>22.29</v>
      </c>
      <c r="AW325" s="121" t="n">
        <v>35.69</v>
      </c>
      <c r="AX325" s="121" t="n">
        <v>50.43</v>
      </c>
      <c r="AY325" s="121" t="n">
        <v>3.28</v>
      </c>
      <c r="AZ325" s="121" t="n">
        <v>8.73</v>
      </c>
      <c r="BA325" s="121" t="n">
        <v>8.880000000000001</v>
      </c>
      <c r="BB325" s="108" t="inlineStr">
        <is>
          <t>China Biotech ETF (HS biotech proxy)</t>
        </is>
      </c>
      <c r="BC325" s="121" t="n">
        <v>-46.74</v>
      </c>
      <c r="BD325" s="109" t="n">
        <v>46112</v>
      </c>
      <c r="BE325" s="110" t="n">
        <v>158.2</v>
      </c>
      <c r="BF325" s="113" t="n">
        <v>-720.2</v>
      </c>
      <c r="BG325" s="108" t="inlineStr">
        <is>
          <t>N</t>
        </is>
      </c>
      <c r="BH325" s="108" t="inlineStr">
        <is>
          <t>n/m</t>
        </is>
      </c>
      <c r="BI325" s="122" t="n"/>
      <c r="BJ325" s="122" t="n"/>
      <c r="BK325" s="123" t="n">
        <v>40.7</v>
      </c>
      <c r="BL325" s="124">
        <f>IF('BBG Verify'!S325="","not filed; run on terminal",'BBG Verify'!S325)</f>
        <v/>
      </c>
      <c r="BM325" s="125" t="inlineStr">
        <is>
          <t>N</t>
        </is>
      </c>
      <c r="BN325" s="126">
        <f>IF('BBG Verify'!K325="","not filed; run on terminal",'BBG Verify'!K325)</f>
        <v/>
      </c>
      <c r="BO325" s="108" t="inlineStr">
        <is>
          <t>N/A</t>
        </is>
      </c>
      <c r="BP325" s="108" t="inlineStr">
        <is>
          <t>N/A</t>
        </is>
      </c>
      <c r="BQ325" s="108" t="inlineStr">
        <is>
          <t>N/A</t>
        </is>
      </c>
      <c r="BR325" s="108" t="inlineStr">
        <is>
          <t>N/A</t>
        </is>
      </c>
      <c r="BS325" s="108" t="inlineStr">
        <is>
          <t>N/A</t>
        </is>
      </c>
      <c r="BT325" s="108" t="inlineStr">
        <is>
          <t>N/A</t>
        </is>
      </c>
      <c r="BU325" s="125" t="inlineStr">
        <is>
          <t>China International Capital Corporation Hong Kong Securities Limited; CCB International Capital Limited</t>
        </is>
      </c>
      <c r="BV325" s="108" t="inlineStr">
        <is>
          <t>China International Capital Corporation Hong Kong Securities Limited; CCB International Capital Limited</t>
        </is>
      </c>
      <c r="BW325" s="108" t="inlineStr">
        <is>
          <t>CMB International Capital Limited; Livermore Holdings Limited; BOCOM International Securities Limited; Platinum Broking Company Limited</t>
        </is>
      </c>
      <c r="BX325" s="108" t="inlineStr">
        <is>
          <t>Alpha Win Capital Limited; BOCOM International Securities Limited; CCB International Capital Limited; China International Capital Corporation Hong Kong Securities Limited; CMBC Securities Company Limited; CMB International Capital Corporation Limited; Imperium International Securities Limited; Kingkey Securities Group Limited; Livermore Holdings Limited; Platinum Broking Company Limited; Soochow Securities International Brokerage Limited; Waton Securities International Limited</t>
        </is>
      </c>
      <c r="BY325" s="127">
        <f>HYPERLINK("https://www1.hkexnews.hk/listedco/listconews/sehk/2025/0515/2025051500021.pdf","prospectus")</f>
        <v/>
      </c>
      <c r="BZ325" s="127">
        <f>HYPERLINK("https://www1.hkexnews.hk/listedco/listconews/sehk/2025/0522/2025052201535.pdf","allotment")</f>
        <v/>
      </c>
      <c r="CA325" s="119" t="n"/>
      <c r="CB325" s="128" t="n"/>
      <c r="CC325" s="108" t="inlineStr">
        <is>
          <t>intl sub: parsed 0.98x rejected (implausible against a 26x public book); BBG Verify CP037 fills it; P/E: loss-making at IPO, use P/S; greenshoe: no over-allotment option; range low: maximum offer price only, no floor published; greenshoe size: no over-allotment option; stabilising manager: no over-allotment option, so none appointed; day-1 open: sources disagree on the day-1 open by &gt;2% (auction vs first trade); closes agree; price series: Confirmed suspension; last traded close 2026-03-31; price and benchmark returns both end on that date.; Day-1 open source variance: retained previously validated open HK$29.9; fresh Tencent raw history reports HK$29. Closing-price horizon returns agree; open-based metrics require separate adjudication.</t>
        </is>
      </c>
    </row>
    <row r="326" ht="22" customHeight="1">
      <c r="A326" s="107" t="inlineStr">
        <is>
          <t>1276</t>
        </is>
      </c>
      <c r="B326" s="108" t="inlineStr">
        <is>
          <t>HENGRUI PHARMA</t>
        </is>
      </c>
      <c r="C326" s="108" t="inlineStr">
        <is>
          <t>恒瑞醫藥</t>
        </is>
      </c>
      <c r="D326" s="108" t="inlineStr">
        <is>
          <t>Healthcare</t>
        </is>
      </c>
      <c r="E326" s="108" t="inlineStr">
        <is>
          <t>Biopharma commercial</t>
        </is>
      </c>
      <c r="F326" s="108" t="inlineStr">
        <is>
          <t>Pharmaceuticals</t>
        </is>
      </c>
      <c r="G326" s="108" t="inlineStr">
        <is>
          <t>Standard</t>
        </is>
      </c>
      <c r="H326" s="109" t="n">
        <v>45800</v>
      </c>
      <c r="I326" s="110" t="n">
        <v>9890.1</v>
      </c>
      <c r="J326" s="108" t="inlineStr">
        <is>
          <t>gross (stated)</t>
        </is>
      </c>
      <c r="K326" s="111" t="n">
        <v>41.45</v>
      </c>
      <c r="L326" s="111" t="n">
        <v>44.05</v>
      </c>
      <c r="M326" s="111" t="n">
        <v>44.05</v>
      </c>
      <c r="N326" s="108" t="inlineStr">
        <is>
          <t>Y</t>
        </is>
      </c>
      <c r="O326" s="112" t="n">
        <v>100</v>
      </c>
      <c r="P326" s="112" t="n">
        <v>100</v>
      </c>
      <c r="Q326" s="113" t="n">
        <v>351900</v>
      </c>
      <c r="R326" s="108" t="inlineStr">
        <is>
          <t>prospectus:stated market capitalisation</t>
        </is>
      </c>
      <c r="S326" s="114" t="n">
        <v>454.85</v>
      </c>
      <c r="T326" s="115" t="n">
        <v>17.09</v>
      </c>
      <c r="U326" s="116" t="n">
        <v>41.77</v>
      </c>
      <c r="V326" s="117" t="n">
        <v>204</v>
      </c>
      <c r="W326" s="112" t="n">
        <v>21.5</v>
      </c>
      <c r="X326" s="108" t="inlineStr">
        <is>
          <t>YES</t>
        </is>
      </c>
      <c r="Y326" s="113" t="n">
        <v>5759.01</v>
      </c>
      <c r="Z326" s="113" t="n">
        <v>130737880</v>
      </c>
      <c r="AA326" s="112" t="n">
        <v>1.64</v>
      </c>
      <c r="AB326" s="108" t="inlineStr">
        <is>
          <t>GIC Private Limited; Invesco Advisers, Inc; UBS Asset Management (Singapore) Ltd; Cordial Solar Limited; HHLR CF, L.P; Integrated Core Strategies (Asia) Pte. Ltd; Oaktree Capital Management, L.P</t>
        </is>
      </c>
      <c r="AC326" s="108" t="inlineStr">
        <is>
          <t>gic;invesco;ubs;cordial;hhlr;integrated;oaktree</t>
        </is>
      </c>
      <c r="AD326" s="112" t="n">
        <v>15</v>
      </c>
      <c r="AE326" s="108" t="inlineStr">
        <is>
          <t>full</t>
        </is>
      </c>
      <c r="AF326" s="108" t="inlineStr">
        <is>
          <t>2025-06-19</t>
        </is>
      </c>
      <c r="AG326" s="108" t="inlineStr">
        <is>
          <t>Morgan Stanley Asia Limited</t>
        </is>
      </c>
      <c r="AH326" s="108" t="inlineStr">
        <is>
          <t>Morgan Stanley</t>
        </is>
      </c>
      <c r="AI326" s="120" t="n">
        <v>32.24</v>
      </c>
      <c r="AJ326" s="121" t="n">
        <v>25.2</v>
      </c>
      <c r="AK326" s="121" t="n">
        <v>-0.14</v>
      </c>
      <c r="AL326" s="121" t="n">
        <v>30.76</v>
      </c>
      <c r="AM326" s="121" t="n">
        <v>-4.25</v>
      </c>
      <c r="AN326" s="123" t="n">
        <v>1.71</v>
      </c>
      <c r="AO326" s="112" t="n">
        <v>9.390000000000001</v>
      </c>
      <c r="AP326" s="121" t="n">
        <v>31.67</v>
      </c>
      <c r="AQ326" s="121" t="n">
        <v>26.79</v>
      </c>
      <c r="AR326" s="121" t="n">
        <v>76.5</v>
      </c>
      <c r="AS326" s="121" t="n">
        <v>5.17</v>
      </c>
      <c r="AT326" s="121" t="n">
        <v>1.27</v>
      </c>
      <c r="AU326" s="121" t="n">
        <v>40.97</v>
      </c>
      <c r="AV326" s="121" t="n">
        <v>28.64</v>
      </c>
      <c r="AW326" s="121" t="n">
        <v>18.06</v>
      </c>
      <c r="AX326" s="121" t="n">
        <v>39.38</v>
      </c>
      <c r="AY326" s="121" t="n">
        <v>-7.61</v>
      </c>
      <c r="AZ326" s="121" t="n">
        <v>8.73</v>
      </c>
      <c r="BA326" s="121" t="n">
        <v>8.880000000000001</v>
      </c>
      <c r="BB326" s="108" t="inlineStr">
        <is>
          <t>China Biotech ETF (HS biotech proxy)</t>
        </is>
      </c>
      <c r="BC326" s="121" t="n">
        <v>12.74</v>
      </c>
      <c r="BD326" s="109" t="n">
        <v>46297</v>
      </c>
      <c r="BE326" s="110" t="n">
        <v>30783.1</v>
      </c>
      <c r="BF326" s="113" t="n">
        <v>6970.7</v>
      </c>
      <c r="BG326" s="108" t="inlineStr">
        <is>
          <t>Y</t>
        </is>
      </c>
      <c r="BH326" s="123" t="n">
        <v>50.5</v>
      </c>
      <c r="BI326" s="123" t="n">
        <v>46.8</v>
      </c>
      <c r="BJ326" s="123" t="n">
        <v>37.5</v>
      </c>
      <c r="BK326" s="123" t="n">
        <v>11.4</v>
      </c>
      <c r="BL326" s="124">
        <f>IF('BBG Verify'!S326="","not filed; run on terminal",'BBG Verify'!S326)</f>
        <v/>
      </c>
      <c r="BM326" s="125" t="inlineStr">
        <is>
          <t>Y</t>
        </is>
      </c>
      <c r="BN326" s="108" t="inlineStr">
        <is>
          <t>600276.SS</t>
        </is>
      </c>
      <c r="BO326" s="121" t="n">
        <v>37.18</v>
      </c>
      <c r="BP326" s="111" t="n">
        <v>60.4275</v>
      </c>
      <c r="BQ326" s="135" t="n">
        <v>0.1122</v>
      </c>
      <c r="BR326" s="113" t="n">
        <v>366756.9</v>
      </c>
      <c r="BS326" s="124">
        <f>IF('BBG Verify'!Q326="","run on terminal",'BBG Verify'!Q326)</f>
        <v/>
      </c>
      <c r="BT326" s="124">
        <f>IF('BBG Verify'!R326="","run on terminal",'BBG Verify'!R326)</f>
        <v/>
      </c>
      <c r="BU326" s="125" t="inlineStr">
        <is>
          <t>Morgan Stanley Asia Limited; Citigroup Global Markets Asia Limited; Huatai Financial Holdings (Hong Kong) Limited</t>
        </is>
      </c>
      <c r="BV326" s="108" t="inlineStr">
        <is>
          <t>Morgan Stanley Asia Limited; Huatai Financial Holdings (Hong Kong) Limited; Citigroup Global Markets Asia Limited</t>
        </is>
      </c>
      <c r="BW326" s="108" t="inlineStr">
        <is>
          <t>Morgan Stanley Asia Limited; Citigroup Global Markets Asia Limited; Huatai Financial Holdings (Hong Kong) Limited; UBS AG Hong Kong Branch; Citigroup Global Markets Limited; 132 – Huatai Financial Holdings (Hong Kong) Limited; (Below in alphabetical order) BOCI Asia Limited; CLSA Limited; GF Securities (Hong Kong) Brokerage Limited</t>
        </is>
      </c>
      <c r="BX326" s="108" t="inlineStr">
        <is>
          <t>BOCI Asia Limited; Citigroup Global Markets Asia Limited; CLSA Limited; GF Securities (Hong Kong) Brokerage Limited; Huatai Financial Holdings (Hong Kong) Limited; Morgan Stanley Asia Limited; UBS AG Hong Kong Branch</t>
        </is>
      </c>
      <c r="BY326" s="127">
        <f>HYPERLINK("https://www1.hkexnews.hk/listedco/listconews/sehk/2025/0515/2025051500019.pdf","prospectus")</f>
        <v/>
      </c>
      <c r="BZ326" s="127">
        <f>HYPERLINK("https://www1.hkexnews.hk/listedco/listconews/sehk/2025/0522/2025052201651.pdf","allotment")</f>
        <v/>
      </c>
      <c r="CA326" s="127">
        <f>HYPERLINK("https://www1.hkexnews.hk/listedco/listconews/sehk/2025/0619/2025061900409.pdf","stabilisation")</f>
        <v/>
      </c>
      <c r="CB326" s="128" t="n"/>
      <c r="CC326" s="108" t="inlineStr">
        <is>
          <t>A/H: May 2025, raised ~HK$9.9bn (~US$1.3bn)</t>
        </is>
      </c>
    </row>
    <row r="327" ht="22" customHeight="1">
      <c r="A327" s="107" t="inlineStr">
        <is>
          <t>2565</t>
        </is>
      </c>
      <c r="B327" s="108" t="inlineStr">
        <is>
          <t>PEGBIO CO-B</t>
        </is>
      </c>
      <c r="C327" s="108" t="inlineStr">
        <is>
          <t>派格生物醫藥－Ｂ</t>
        </is>
      </c>
      <c r="D327" s="108" t="inlineStr">
        <is>
          <t>Healthcare</t>
        </is>
      </c>
      <c r="E327" s="108" t="inlineStr">
        <is>
          <t>Biotech pre-revenue (18A)</t>
        </is>
      </c>
      <c r="F327" s="108" t="inlineStr">
        <is>
          <t>Biotechnology - Pharmaceuticals</t>
        </is>
      </c>
      <c r="G327" s="108" t="inlineStr">
        <is>
          <t>18A</t>
        </is>
      </c>
      <c r="H327" s="109" t="n">
        <v>45804</v>
      </c>
      <c r="I327" s="110" t="n">
        <v>300.8</v>
      </c>
      <c r="J327" s="108" t="inlineStr">
        <is>
          <t>gross (stated)</t>
        </is>
      </c>
      <c r="K327" s="129" t="n"/>
      <c r="L327" s="111" t="n">
        <v>15.6</v>
      </c>
      <c r="M327" s="111" t="n">
        <v>15.6</v>
      </c>
      <c r="N327" s="108" t="inlineStr">
        <is>
          <t>Y</t>
        </is>
      </c>
      <c r="O327" s="112" t="n">
        <v>100</v>
      </c>
      <c r="P327" s="118" t="n"/>
      <c r="Q327" s="113" t="n">
        <v>6020.9</v>
      </c>
      <c r="R327" s="108" t="inlineStr">
        <is>
          <t>derived:price x shares upon listing</t>
        </is>
      </c>
      <c r="S327" s="114" t="n">
        <v>743.78</v>
      </c>
      <c r="T327" s="115" t="n">
        <v>1.13</v>
      </c>
      <c r="U327" s="116" t="n">
        <v>49.7</v>
      </c>
      <c r="V327" s="117" t="n">
        <v>115</v>
      </c>
      <c r="W327" s="112" t="n">
        <v>50</v>
      </c>
      <c r="X327" s="108" t="inlineStr">
        <is>
          <t>YES</t>
        </is>
      </c>
      <c r="Y327" s="113" t="n">
        <v>151.3</v>
      </c>
      <c r="Z327" s="113" t="n">
        <v>9699600</v>
      </c>
      <c r="AA327" s="112" t="n">
        <v>2.51</v>
      </c>
      <c r="AB327" s="108" t="inlineStr">
        <is>
          <t>Yizekangrui Medical (HK) Limited ʮ̡</t>
        </is>
      </c>
      <c r="AC327" s="108" t="inlineStr">
        <is>
          <t>yizekangrui</t>
        </is>
      </c>
      <c r="AD327" s="118" t="n"/>
      <c r="AE327" s="119" t="n"/>
      <c r="AF327" s="119" t="n"/>
      <c r="AG327" s="119" t="n"/>
      <c r="AH327" s="119" t="n"/>
      <c r="AI327" s="120" t="n">
        <v>-4.87</v>
      </c>
      <c r="AJ327" s="121" t="n">
        <v>-25.9</v>
      </c>
      <c r="AK327" s="121" t="n">
        <v>2.26</v>
      </c>
      <c r="AL327" s="121" t="n">
        <v>-16.67</v>
      </c>
      <c r="AM327" s="121" t="n">
        <v>-11.08</v>
      </c>
      <c r="AN327" s="123" t="n">
        <v>1.17</v>
      </c>
      <c r="AO327" s="112" t="n">
        <v>17.54</v>
      </c>
      <c r="AP327" s="121" t="n">
        <v>-37.82</v>
      </c>
      <c r="AQ327" s="121" t="n">
        <v>-42.31</v>
      </c>
      <c r="AR327" s="121" t="n">
        <v>117.95</v>
      </c>
      <c r="AS327" s="121" t="n">
        <v>-16.09</v>
      </c>
      <c r="AT327" s="121" t="n">
        <v>-22.15</v>
      </c>
      <c r="AU327" s="121" t="n">
        <v>194.13</v>
      </c>
      <c r="AV327" s="121" t="n">
        <v>-43.89</v>
      </c>
      <c r="AW327" s="121" t="n">
        <v>-55.86</v>
      </c>
      <c r="AX327" s="121" t="n">
        <v>74.34</v>
      </c>
      <c r="AY327" s="121" t="n">
        <v>-33.2</v>
      </c>
      <c r="AZ327" s="121" t="n">
        <v>13.55</v>
      </c>
      <c r="BA327" s="121" t="n">
        <v>11.05</v>
      </c>
      <c r="BB327" s="108" t="inlineStr">
        <is>
          <t>China Biotech ETF (HS biotech proxy)</t>
        </is>
      </c>
      <c r="BC327" s="121" t="n">
        <v>-68.97</v>
      </c>
      <c r="BD327" s="109" t="n">
        <v>46297</v>
      </c>
      <c r="BE327" s="110" t="n">
        <v>0</v>
      </c>
      <c r="BF327" s="113" t="n">
        <v>-311.7</v>
      </c>
      <c r="BG327" s="108" t="inlineStr">
        <is>
          <t>N</t>
        </is>
      </c>
      <c r="BH327" s="108" t="inlineStr">
        <is>
          <t>n/m</t>
        </is>
      </c>
      <c r="BI327" s="122" t="n"/>
      <c r="BJ327" s="122" t="n"/>
      <c r="BK327" s="108" t="inlineStr">
        <is>
          <t>pre-rev</t>
        </is>
      </c>
      <c r="BL327" s="124">
        <f>IF('BBG Verify'!S327="","not filed; run on terminal",'BBG Verify'!S327)</f>
        <v/>
      </c>
      <c r="BM327" s="125" t="inlineStr">
        <is>
          <t>N</t>
        </is>
      </c>
      <c r="BN327" s="126">
        <f>IF('BBG Verify'!K327="","not filed; run on terminal",'BBG Verify'!K327)</f>
        <v/>
      </c>
      <c r="BO327" s="108" t="inlineStr">
        <is>
          <t>N/A</t>
        </is>
      </c>
      <c r="BP327" s="108" t="inlineStr">
        <is>
          <t>N/A</t>
        </is>
      </c>
      <c r="BQ327" s="108" t="inlineStr">
        <is>
          <t>N/A</t>
        </is>
      </c>
      <c r="BR327" s="108" t="inlineStr">
        <is>
          <t>N/A</t>
        </is>
      </c>
      <c r="BS327" s="108" t="inlineStr">
        <is>
          <t>N/A</t>
        </is>
      </c>
      <c r="BT327" s="108" t="inlineStr">
        <is>
          <t>N/A</t>
        </is>
      </c>
      <c r="BU327" s="125" t="inlineStr">
        <is>
          <t>China International Capital Corporation Hong Kong Securities Limited</t>
        </is>
      </c>
      <c r="BV327" s="108" t="inlineStr">
        <is>
          <t>China International Capital Corporation Hong Kong Securities Limited</t>
        </is>
      </c>
      <c r="BW327" s="108" t="inlineStr">
        <is>
          <t>China International Capital Corporation Hong Kong Securities Limited; CMBC Securities Company Limited; ABCI Capital Limited; CCB International Capital Limited; BOCI Asia Limited; Zhongtai International Securities Limited; SPDB International Capital Limited; Eddid Securities and Futures Limited; Sinolink Securities (Hong Kong) Company Limited; China Everbright Securities (HK) Limited; GF Securities (Hong Kong) Brokerage Limited; CEB International Capital Corporation Limited</t>
        </is>
      </c>
      <c r="BX327" s="108" t="inlineStr">
        <is>
          <t>ABCI Securities Company Limited; BOCI Asia Limited; CCB International Capital Limited; CEB International Capital Corporation Limited; China Everbright Securities (HK) Limited; China Galaxy International Securities (Hong Kong) Company Limited; China International Capital Corporation Hong Kong Securities Limited; CMBC Securities Company Limited; Eddid Securities and Futures Limited; GF Securities (Hong Kong) Brokerage Limited; Livermore Holdings Limited; Sinolink Securities (Hong Kong) Company Limited</t>
        </is>
      </c>
      <c r="BY327" s="127">
        <f>HYPERLINK("https://www1.hkexnews.hk/listedco/listconews/sehk/2025/0519/2025051900013.pdf","prospectus")</f>
        <v/>
      </c>
      <c r="BZ327" s="127">
        <f>HYPERLINK("https://www1.hkexnews.hk/listedco/listconews/sehk/2025/0526/2025052601319.pdf","allotment")</f>
        <v/>
      </c>
      <c r="CA327" s="119" t="n"/>
      <c r="CB327" s="128" t="n"/>
      <c r="CC327" s="108" t="inlineStr">
        <is>
          <t>P/E: loss-making at IPO, use P/S; greenshoe: no over-allotment option; range low: maximum offer price only, no floor published; greenshoe size: no over-allotment option; P/S: pre-revenue issuer, no sales multiple; stabilising manager: no over-allotment option, so none appointed</t>
        </is>
      </c>
    </row>
    <row r="328" ht="22" customHeight="1">
      <c r="A328" s="107" t="inlineStr">
        <is>
          <t>2603</t>
        </is>
      </c>
      <c r="B328" s="108" t="inlineStr">
        <is>
          <t>JIHONG CO</t>
        </is>
      </c>
      <c r="C328" s="108" t="inlineStr">
        <is>
          <t>吉宏股份</t>
        </is>
      </c>
      <c r="D328" s="108" t="inlineStr">
        <is>
          <t>Tech/AI</t>
        </is>
      </c>
      <c r="E328" s="108" t="inlineStr">
        <is>
          <t>Internet platform / e-commerce</t>
        </is>
      </c>
      <c r="F328" s="108" t="inlineStr">
        <is>
          <t>Paper Packaging</t>
        </is>
      </c>
      <c r="G328" s="108" t="inlineStr">
        <is>
          <t>Standard</t>
        </is>
      </c>
      <c r="H328" s="109" t="n">
        <v>45804</v>
      </c>
      <c r="I328" s="110" t="n">
        <v>521.5</v>
      </c>
      <c r="J328" s="108" t="inlineStr">
        <is>
          <t>gross (stated)</t>
        </is>
      </c>
      <c r="K328" s="111" t="n">
        <v>7.48</v>
      </c>
      <c r="L328" s="111" t="n">
        <v>10.68</v>
      </c>
      <c r="M328" s="111" t="n">
        <v>7.68</v>
      </c>
      <c r="N328" s="108" t="inlineStr">
        <is>
          <t>N</t>
        </is>
      </c>
      <c r="O328" s="112" t="n">
        <v>71.90000000000001</v>
      </c>
      <c r="P328" s="112" t="n">
        <v>6.2</v>
      </c>
      <c r="Q328" s="113" t="n">
        <v>3476.6</v>
      </c>
      <c r="R328" s="108" t="inlineStr">
        <is>
          <t>derived:price x shares upon listing</t>
        </is>
      </c>
      <c r="S328" s="114" t="n">
        <v>49.39</v>
      </c>
      <c r="T328" s="115" t="n">
        <v>1.62</v>
      </c>
      <c r="U328" s="116" t="n">
        <v>29.8</v>
      </c>
      <c r="V328" s="117" t="n">
        <v>132</v>
      </c>
      <c r="W328" s="112" t="n">
        <v>30</v>
      </c>
      <c r="X328" s="108" t="inlineStr">
        <is>
          <t>YES</t>
        </is>
      </c>
      <c r="Y328" s="113" t="n">
        <v>366.09</v>
      </c>
      <c r="Z328" s="113" t="n">
        <v>47672820</v>
      </c>
      <c r="AA328" s="112" t="n">
        <v>10.53</v>
      </c>
      <c r="AB328" s="108" t="inlineStr">
        <is>
          <t>Timber Kangaroo Capital Limited; Yulong International Capital Limited; Ms. Shen Zhenyu</t>
        </is>
      </c>
      <c r="AC328" s="108" t="inlineStr">
        <is>
          <t>timber;yulong;ms-shen</t>
        </is>
      </c>
      <c r="AD328" s="118" t="n"/>
      <c r="AE328" s="119" t="n"/>
      <c r="AF328" s="119" t="n"/>
      <c r="AG328" s="119" t="n"/>
      <c r="AH328" s="119" t="n"/>
      <c r="AI328" s="120" t="n">
        <v>23.83</v>
      </c>
      <c r="AJ328" s="121" t="n">
        <v>39.06</v>
      </c>
      <c r="AK328" s="121" t="n">
        <v>0.89</v>
      </c>
      <c r="AL328" s="121" t="n">
        <v>43.23</v>
      </c>
      <c r="AM328" s="121" t="n">
        <v>-2.91</v>
      </c>
      <c r="AN328" s="123" t="n">
        <v>2.78</v>
      </c>
      <c r="AO328" s="112" t="n">
        <v>20.55</v>
      </c>
      <c r="AP328" s="121" t="n">
        <v>30.21</v>
      </c>
      <c r="AQ328" s="121" t="n">
        <v>45.31</v>
      </c>
      <c r="AR328" s="121" t="n">
        <v>138.67</v>
      </c>
      <c r="AS328" s="121" t="n">
        <v>-6.36</v>
      </c>
      <c r="AT328" s="121" t="n">
        <v>4.49</v>
      </c>
      <c r="AU328" s="121" t="n">
        <v>71.63</v>
      </c>
      <c r="AV328" s="121" t="n">
        <v>29.32</v>
      </c>
      <c r="AW328" s="121" t="n">
        <v>41.25</v>
      </c>
      <c r="AX328" s="121" t="n">
        <v>125.6</v>
      </c>
      <c r="AY328" s="121" t="n">
        <v>1.35</v>
      </c>
      <c r="AZ328" s="121" t="n">
        <v>4.06</v>
      </c>
      <c r="BA328" s="121" t="n">
        <v>3.14</v>
      </c>
      <c r="BB328" s="108" t="inlineStr">
        <is>
          <t>HSTECH (Hang Seng TECH ETF)</t>
        </is>
      </c>
      <c r="BC328" s="121" t="n">
        <v>55.34</v>
      </c>
      <c r="BD328" s="109" t="n">
        <v>46297</v>
      </c>
      <c r="BE328" s="110" t="n">
        <v>5913.5</v>
      </c>
      <c r="BF328" s="113" t="n">
        <v>202.9</v>
      </c>
      <c r="BG328" s="108" t="inlineStr">
        <is>
          <t>Y</t>
        </is>
      </c>
      <c r="BH328" s="123" t="n">
        <v>17.1</v>
      </c>
      <c r="BI328" s="123" t="n">
        <v>18.6</v>
      </c>
      <c r="BJ328" s="123" t="n">
        <v>15.1</v>
      </c>
      <c r="BK328" s="123" t="n">
        <v>0.6</v>
      </c>
      <c r="BL328" s="124">
        <f>IF('BBG Verify'!S328="","not filed; run on terminal",'BBG Verify'!S328)</f>
        <v/>
      </c>
      <c r="BM328" s="125" t="inlineStr">
        <is>
          <t>Y</t>
        </is>
      </c>
      <c r="BN328" s="108" t="inlineStr">
        <is>
          <t>002803.SZ</t>
        </is>
      </c>
      <c r="BO328" s="121" t="n">
        <v>105.18</v>
      </c>
      <c r="BP328" s="111" t="n">
        <v>15.7576</v>
      </c>
      <c r="BQ328" s="135" t="n">
        <v>0.9853</v>
      </c>
      <c r="BR328" s="113" t="n">
        <v>10852.4</v>
      </c>
      <c r="BS328" s="124">
        <f>IF('BBG Verify'!Q328="","run on terminal",'BBG Verify'!Q328)</f>
        <v/>
      </c>
      <c r="BT328" s="124">
        <f>IF('BBG Verify'!R328="","run on terminal",'BBG Verify'!R328)</f>
        <v/>
      </c>
      <c r="BU328" s="125" t="inlineStr">
        <is>
          <t>Hong Kong SAR CMB International Capital Limited</t>
        </is>
      </c>
      <c r="BV328" s="108" t="inlineStr">
        <is>
          <t>China International Capital Corporation Hong Kong Securities Limited; CMB International Capital Limited</t>
        </is>
      </c>
      <c r="BW328" s="108" t="inlineStr">
        <is>
          <t>China International Capital Corporation Hong Kong Securities Limited; Hong Kong SAR CMB International Capital Limited; BOCI Asia Limited; Hong Kong SAR China Galaxy International Securities (Hong Kong) Co., Limited; Hong Kong SAR ICBC International Securities Limited; Hong Kong SAR CCB International Capital Limited; Hong Kong SAR Quam Securities Limited; Hong Kong SAR SDHG International Securities Limited; Hong Kong SAR Fosun International Securities Limited; Hong Kong SAR Long Bridge HK Limited; Hong Kong SAR Sinolink Securities (Hong Kong) Company Limited; Sheung Wan Hong Kong SAR Huafu International Securities Limited</t>
        </is>
      </c>
      <c r="BX328" s="108" t="inlineStr">
        <is>
          <t>BOCI Asia Limited; CCB International Capital Limited; China Galaxy International Securities (Hong Kong) Company Limited; Fosun International Securities Limited; Huafu International Securities Limited; ICBC International Securities Limited; Long Bridge HK Limited; Livermore Holdings Limited; Quam Securities Company Limited; SDHG International Securities Limited; Sinolink Securities (Hong Kong) Company Limited</t>
        </is>
      </c>
      <c r="BY328" s="127">
        <f>HYPERLINK("https://www1.hkexnews.hk/listedco/listconews/sehk/2025/0519/2025051900011.pdf","prospectus")</f>
        <v/>
      </c>
      <c r="BZ328" s="127">
        <f>HYPERLINK("https://www1.hkexnews.hk/listedco/listconews/sehk/2025/0526/2025052601653.pdf","allotment")</f>
        <v/>
      </c>
      <c r="CA328" s="119" t="n"/>
      <c r="CB328" s="128" t="n"/>
      <c r="CC328" s="108" t="inlineStr">
        <is>
          <t>greenshoe: no over-allotment option; A/H: May 2025 H listing (packaging + cross-border e-commerce); greenshoe size: no over-allotment option; stabilising manager: no over-allotment option, so none appointed</t>
        </is>
      </c>
    </row>
    <row r="329" ht="22" customHeight="1">
      <c r="A329" s="107" t="inlineStr">
        <is>
          <t>2621</t>
        </is>
      </c>
      <c r="B329" s="108" t="inlineStr">
        <is>
          <t>SHOUHUI GROUP</t>
        </is>
      </c>
      <c r="C329" s="108" t="inlineStr">
        <is>
          <t>手回集團</t>
        </is>
      </c>
      <c r="D329" s="108" t="inlineStr">
        <is>
          <t>Financials</t>
        </is>
      </c>
      <c r="E329" s="108" t="inlineStr">
        <is>
          <t>Insurance</t>
        </is>
      </c>
      <c r="F329" s="108" t="inlineStr">
        <is>
          <t>Multi-line Insurance</t>
        </is>
      </c>
      <c r="G329" s="108" t="inlineStr">
        <is>
          <t>Standard</t>
        </is>
      </c>
      <c r="H329" s="109" t="n">
        <v>45807</v>
      </c>
      <c r="I329" s="110" t="n">
        <v>196.82</v>
      </c>
      <c r="J329" s="108" t="inlineStr">
        <is>
          <t>gross (stated)</t>
        </is>
      </c>
      <c r="K329" s="111" t="n">
        <v>6.48</v>
      </c>
      <c r="L329" s="111" t="n">
        <v>8.08</v>
      </c>
      <c r="M329" s="111" t="n">
        <v>8.08</v>
      </c>
      <c r="N329" s="108" t="inlineStr">
        <is>
          <t>Y</t>
        </is>
      </c>
      <c r="O329" s="112" t="n">
        <v>100</v>
      </c>
      <c r="P329" s="112" t="n">
        <v>100</v>
      </c>
      <c r="Q329" s="113" t="n">
        <v>1615.9</v>
      </c>
      <c r="R329" s="108" t="inlineStr">
        <is>
          <t>derived:deal size / offer % of enlarged capital</t>
        </is>
      </c>
      <c r="S329" s="114" t="n">
        <v>990</v>
      </c>
      <c r="T329" s="115" t="n">
        <v>1.13</v>
      </c>
      <c r="U329" s="116" t="n">
        <v>24.92</v>
      </c>
      <c r="V329" s="134" t="n"/>
      <c r="W329" s="112" t="n">
        <v>50</v>
      </c>
      <c r="X329" s="108" t="inlineStr">
        <is>
          <t>YES</t>
        </is>
      </c>
      <c r="Y329" s="113" t="n">
        <v>147.77</v>
      </c>
      <c r="Z329" s="113" t="n">
        <v>18288287</v>
      </c>
      <c r="AA329" s="112" t="n">
        <v>9.140000000000001</v>
      </c>
      <c r="AB329" s="108" t="inlineStr">
        <is>
          <t>HiTai (Hong Kong) Limited ʮ̡; Taller industrial Co., Limited</t>
        </is>
      </c>
      <c r="AC329" s="108" t="inlineStr">
        <is>
          <t>hitai;taller</t>
        </is>
      </c>
      <c r="AD329" s="112" t="n">
        <v>10</v>
      </c>
      <c r="AE329" s="108" t="inlineStr">
        <is>
          <t>lapsed</t>
        </is>
      </c>
      <c r="AF329" s="119" t="n"/>
      <c r="AG329" s="108" t="inlineStr">
        <is>
          <t>China International Capital Corporation Hong Kong Securities Limited</t>
        </is>
      </c>
      <c r="AH329" s="108" t="inlineStr">
        <is>
          <t>China International</t>
        </is>
      </c>
      <c r="AI329" s="120" t="n">
        <v>-1.61</v>
      </c>
      <c r="AJ329" s="121" t="n">
        <v>-18.19</v>
      </c>
      <c r="AK329" s="121" t="n">
        <v>-0.13</v>
      </c>
      <c r="AL329" s="121" t="n">
        <v>-7.18</v>
      </c>
      <c r="AM329" s="121" t="n">
        <v>-11.86</v>
      </c>
      <c r="AN329" s="123" t="n">
        <v>1.75</v>
      </c>
      <c r="AO329" s="112" t="n">
        <v>11.87</v>
      </c>
      <c r="AP329" s="121" t="n">
        <v>-33.04</v>
      </c>
      <c r="AQ329" s="121" t="n">
        <v>-39.48</v>
      </c>
      <c r="AR329" s="121" t="n">
        <v>-41.83</v>
      </c>
      <c r="AS329" s="121" t="n">
        <v>-18.15</v>
      </c>
      <c r="AT329" s="121" t="n">
        <v>-26.02</v>
      </c>
      <c r="AU329" s="121" t="n">
        <v>-28.9</v>
      </c>
      <c r="AV329" s="121" t="n">
        <v>-34.76</v>
      </c>
      <c r="AW329" s="121" t="n">
        <v>-46.16</v>
      </c>
      <c r="AX329" s="121" t="n">
        <v>-50.43</v>
      </c>
      <c r="AY329" s="121" t="n">
        <v>-32.83</v>
      </c>
      <c r="AZ329" s="121" t="n">
        <v>6.68</v>
      </c>
      <c r="BA329" s="121" t="n">
        <v>6.81</v>
      </c>
      <c r="BB329" s="108" t="inlineStr">
        <is>
          <t>Hang Seng Finance sub-index</t>
        </is>
      </c>
      <c r="BC329" s="121" t="n">
        <v>-65.97</v>
      </c>
      <c r="BD329" s="109" t="n">
        <v>46297</v>
      </c>
      <c r="BE329" s="110" t="n">
        <v>1525.8</v>
      </c>
      <c r="BF329" s="113" t="n">
        <v>-99.2</v>
      </c>
      <c r="BG329" s="108" t="inlineStr">
        <is>
          <t>N</t>
        </is>
      </c>
      <c r="BH329" s="108" t="inlineStr">
        <is>
          <t>n/m</t>
        </is>
      </c>
      <c r="BI329" s="122" t="n"/>
      <c r="BJ329" s="123" t="n">
        <v>0.5</v>
      </c>
      <c r="BK329" s="123" t="n">
        <v>1.1</v>
      </c>
      <c r="BL329" s="124">
        <f>IF('BBG Verify'!S329="","not filed; run on terminal",'BBG Verify'!S329)</f>
        <v/>
      </c>
      <c r="BM329" s="125" t="inlineStr">
        <is>
          <t>N</t>
        </is>
      </c>
      <c r="BN329" s="126">
        <f>IF('BBG Verify'!K329="","not filed; run on terminal",'BBG Verify'!K329)</f>
        <v/>
      </c>
      <c r="BO329" s="108" t="inlineStr">
        <is>
          <t>N/A</t>
        </is>
      </c>
      <c r="BP329" s="108" t="inlineStr">
        <is>
          <t>N/A</t>
        </is>
      </c>
      <c r="BQ329" s="108" t="inlineStr">
        <is>
          <t>N/A</t>
        </is>
      </c>
      <c r="BR329" s="108" t="inlineStr">
        <is>
          <t>N/A</t>
        </is>
      </c>
      <c r="BS329" s="108" t="inlineStr">
        <is>
          <t>N/A</t>
        </is>
      </c>
      <c r="BT329" s="108" t="inlineStr">
        <is>
          <t>N/A</t>
        </is>
      </c>
      <c r="BU329" s="125" t="inlineStr">
        <is>
          <t>Huatai Financial Holdings (Hong Kong) Limited</t>
        </is>
      </c>
      <c r="BV329" s="108" t="inlineStr">
        <is>
          <t>China International Capital Corporation Hong Kong Securities Limited; Huatai Financial Holdings (Hong Kong) Limited</t>
        </is>
      </c>
      <c r="BW329" s="108" t="inlineStr">
        <is>
          <t>China International Capital Corporation Hong Kong Securities Limited; Huatai Financial Holdings (Hong Kong) Limited; CCB International Capital Limited; CLSA Limited; CMB International Capital Limited; Futu Securities International (Hong Kong) Limited; Patrons Securities Limited; TradeGo Markets Limited; Tiger Brokers (HK) Global Limited; Maxa Capital Limited</t>
        </is>
      </c>
      <c r="BX329" s="108" t="inlineStr">
        <is>
          <t>CCB International Capital Limited; China International Capital Corporation Hong Kong Securities Limited; CLSA Limited; CMB International Capital Corporation Limited; Futu Securities International (Hong Kong) Limited; Huatai Financial Holdings (Hong Kong) Limited; Maxa Capital Limited; Patrons Securities Limited; Tiger Brokers (HK) Global Limited; TradeGo Markets Limited</t>
        </is>
      </c>
      <c r="BY329" s="127">
        <f>HYPERLINK("https://www1.hkexnews.hk/listedco/listconews/sehk/2025/0522/2025052200031.pdf","prospectus")</f>
        <v/>
      </c>
      <c r="BZ329" s="127">
        <f>HYPERLINK("https://www1.hkexnews.hk/listedco/listconews/sehk/2025/0529/2025052902298.pdf","allotment")</f>
        <v/>
      </c>
      <c r="CA329" s="127">
        <f>HYPERLINK("https://www1.hkexnews.hk/listedco/listconews/sehk/2025/0626/2025062601818.pdf","stabilisation")</f>
        <v/>
      </c>
      <c r="CB329" s="128" t="n"/>
      <c r="CC329" s="108" t="inlineStr">
        <is>
          <t>P/E: loss-making at IPO, use P/S; greenshoe: outcome published; expiry date not in the notice; allocation: allocation table not in this notice's format (older prose announcement)</t>
        </is>
      </c>
    </row>
    <row r="330" ht="22" customHeight="1">
      <c r="A330" s="107" t="inlineStr">
        <is>
          <t>9881</t>
        </is>
      </c>
      <c r="B330" s="108" t="inlineStr">
        <is>
          <t>RONGTA TECH</t>
        </is>
      </c>
      <c r="C330" s="108" t="inlineStr">
        <is>
          <t>容大科技</t>
        </is>
      </c>
      <c r="D330" s="108" t="inlineStr">
        <is>
          <t>Tech/AI</t>
        </is>
      </c>
      <c r="E330" s="108" t="inlineStr">
        <is>
          <t>Smart hardware / consumer electronics</t>
        </is>
      </c>
      <c r="F330" s="108" t="inlineStr">
        <is>
          <t>Computer Storage &amp; Peripherals</t>
        </is>
      </c>
      <c r="G330" s="108" t="inlineStr">
        <is>
          <t>Standard</t>
        </is>
      </c>
      <c r="H330" s="109" t="n">
        <v>45818</v>
      </c>
      <c r="I330" s="110" t="n">
        <v>184</v>
      </c>
      <c r="J330" s="108" t="inlineStr">
        <is>
          <t>gross (stated)</t>
        </is>
      </c>
      <c r="K330" s="111" t="n">
        <v>10</v>
      </c>
      <c r="L330" s="111" t="n">
        <v>12</v>
      </c>
      <c r="M330" s="111" t="n">
        <v>10</v>
      </c>
      <c r="N330" s="108" t="inlineStr">
        <is>
          <t>N</t>
        </is>
      </c>
      <c r="O330" s="112" t="n">
        <v>83.3</v>
      </c>
      <c r="P330" s="112" t="n">
        <v>0</v>
      </c>
      <c r="Q330" s="113" t="n">
        <v>947.3</v>
      </c>
      <c r="R330" s="108" t="inlineStr">
        <is>
          <t>derived:price x shares upon listing</t>
        </is>
      </c>
      <c r="S330" s="114" t="n">
        <v>275.96</v>
      </c>
      <c r="T330" s="115" t="n">
        <v>0.96</v>
      </c>
      <c r="U330" s="116" t="n">
        <v>43.64</v>
      </c>
      <c r="V330" s="117" t="n">
        <v>118</v>
      </c>
      <c r="W330" s="112" t="n">
        <v>13.2</v>
      </c>
      <c r="X330" s="108" t="inlineStr">
        <is>
          <t>NO</t>
        </is>
      </c>
      <c r="Y330" s="113" t="n">
        <v>103.7</v>
      </c>
      <c r="Z330" s="113" t="n">
        <v>10370240</v>
      </c>
      <c r="AA330" s="112" t="n">
        <v>10.95</v>
      </c>
      <c r="AB330" s="108" t="inlineStr">
        <is>
          <t>Hongkong Linktech Technology Co., Limited; Cao Ke; Lin Xiaojian; Sinos Group Limited; Li Shuhan; Main Achieve Holdings Limited; Ng Chi Fat</t>
        </is>
      </c>
      <c r="AC330" s="108" t="inlineStr">
        <is>
          <t>hongkong;cao-ke;lin-xiaojian;sinos;li-shuhan;main;ng</t>
        </is>
      </c>
      <c r="AD330" s="112" t="n">
        <v>7.06</v>
      </c>
      <c r="AE330" s="108" t="inlineStr">
        <is>
          <t>lapsed</t>
        </is>
      </c>
      <c r="AF330" s="108" t="inlineStr">
        <is>
          <t>2025-07-05</t>
        </is>
      </c>
      <c r="AG330" s="108" t="inlineStr">
        <is>
          <t>Yue Xiu Securities Company Limited</t>
        </is>
      </c>
      <c r="AH330" s="108" t="inlineStr">
        <is>
          <t>Yue Xiu</t>
        </is>
      </c>
      <c r="AI330" s="120" t="n">
        <v>76</v>
      </c>
      <c r="AJ330" s="121" t="n">
        <v>42</v>
      </c>
      <c r="AK330" s="121" t="n">
        <v>-0.75</v>
      </c>
      <c r="AL330" s="121" t="n">
        <v>66</v>
      </c>
      <c r="AM330" s="121" t="n">
        <v>-14.46</v>
      </c>
      <c r="AN330" s="123" t="n">
        <v>3.5</v>
      </c>
      <c r="AO330" s="112" t="n">
        <v>26.75</v>
      </c>
      <c r="AP330" s="121" t="n">
        <v>30</v>
      </c>
      <c r="AQ330" s="121" t="n">
        <v>3</v>
      </c>
      <c r="AR330" s="121" t="n">
        <v>9.5</v>
      </c>
      <c r="AS330" s="121" t="n">
        <v>-8.449999999999999</v>
      </c>
      <c r="AT330" s="121" t="n">
        <v>-27.46</v>
      </c>
      <c r="AU330" s="121" t="n">
        <v>-22.89</v>
      </c>
      <c r="AV330" s="121" t="n">
        <v>32.53</v>
      </c>
      <c r="AW330" s="121" t="n">
        <v>6.85</v>
      </c>
      <c r="AX330" s="121" t="n">
        <v>3.68</v>
      </c>
      <c r="AY330" s="121" t="n">
        <v>-24.34</v>
      </c>
      <c r="AZ330" s="121" t="n">
        <v>-3.85</v>
      </c>
      <c r="BA330" s="121" t="n">
        <v>-3.12</v>
      </c>
      <c r="BB330" s="108" t="inlineStr">
        <is>
          <t>HSTECH (Hang Seng TECH ETF)</t>
        </is>
      </c>
      <c r="BC330" s="121" t="n">
        <v>77</v>
      </c>
      <c r="BD330" s="109" t="n">
        <v>46112</v>
      </c>
      <c r="BE330" s="110" t="n">
        <v>385.1</v>
      </c>
      <c r="BF330" s="113" t="n">
        <v>45.5</v>
      </c>
      <c r="BG330" s="108" t="inlineStr">
        <is>
          <t>Y</t>
        </is>
      </c>
      <c r="BH330" s="123" t="n">
        <v>20.8</v>
      </c>
      <c r="BI330" s="123" t="n">
        <v>24.1</v>
      </c>
      <c r="BJ330" s="123" t="n">
        <v>28.2</v>
      </c>
      <c r="BK330" s="123" t="n">
        <v>2.5</v>
      </c>
      <c r="BL330" s="124">
        <f>IF('BBG Verify'!S330="","not filed; run on terminal",'BBG Verify'!S330)</f>
        <v/>
      </c>
      <c r="BM330" s="125" t="inlineStr">
        <is>
          <t>N</t>
        </is>
      </c>
      <c r="BN330" s="126">
        <f>IF('BBG Verify'!K330="","not filed; run on terminal",'BBG Verify'!K330)</f>
        <v/>
      </c>
      <c r="BO330" s="108" t="inlineStr">
        <is>
          <t>N/A</t>
        </is>
      </c>
      <c r="BP330" s="108" t="inlineStr">
        <is>
          <t>N/A</t>
        </is>
      </c>
      <c r="BQ330" s="108" t="inlineStr">
        <is>
          <t>N/A</t>
        </is>
      </c>
      <c r="BR330" s="108" t="inlineStr">
        <is>
          <t>N/A</t>
        </is>
      </c>
      <c r="BS330" s="108" t="inlineStr">
        <is>
          <t>N/A</t>
        </is>
      </c>
      <c r="BT330" s="108" t="inlineStr">
        <is>
          <t>N/A</t>
        </is>
      </c>
      <c r="BU330" s="125" t="inlineStr">
        <is>
          <t>Yue Xiu Capital Limited</t>
        </is>
      </c>
      <c r="BV330" s="108" t="inlineStr">
        <is>
          <t>Yue Xiu Capital Limited</t>
        </is>
      </c>
      <c r="BW330" s="108" t="inlineStr">
        <is>
          <t>Yue Xiu Securities Company Limited; ABCI CAPITAL LIMITED; ABCI SECURITIES COMPANY LIMITED</t>
        </is>
      </c>
      <c r="BX330" s="108" t="inlineStr">
        <is>
          <t>ABCI Securities Company Limited; BOCI Asia Limited; CCB International Capital Limited; CMBC Securities Company Limited; CMB International Capital Corporation Limited; Huafu International Securities Limited; Livermore Holdings Limited; Patrons Securities Limited; Yue Xiu Securities Company Limited; Zhongtai International Securities Limited</t>
        </is>
      </c>
      <c r="BY330" s="127">
        <f>HYPERLINK("https://www1.hkexnews.hk/listedco/listconews/sehk/2025/0530/2025053000009.pdf","prospectus")</f>
        <v/>
      </c>
      <c r="BZ330" s="127">
        <f>HYPERLINK("https://www1.hkexnews.hk/listedco/listconews/sehk/2025/0609/2025060900996.pdf","allotment")</f>
        <v/>
      </c>
      <c r="CA330" s="127">
        <f>HYPERLINK("https://www1.hkexnews.hk/listedco/listconews/sehk/2025/0707/2025070700712.pdf","stabilisation")</f>
        <v/>
      </c>
      <c r="CB330" s="128" t="n"/>
      <c r="CC330" s="108" t="inlineStr">
        <is>
          <t>price series: last available quoted close 2026-03-31; may be suspended, delisted or a source gap; price and benchmark end on that date</t>
        </is>
      </c>
    </row>
    <row r="331" ht="22" customHeight="1">
      <c r="A331" s="107" t="inlineStr">
        <is>
          <t>2573</t>
        </is>
      </c>
      <c r="B331" s="108" t="inlineStr">
        <is>
          <t>NEWTREND GROUP</t>
        </is>
      </c>
      <c r="C331" s="108" t="inlineStr">
        <is>
          <t>新琪安</t>
        </is>
      </c>
      <c r="D331" s="108" t="inlineStr">
        <is>
          <t>Consumer</t>
        </is>
      </c>
      <c r="E331" s="108" t="inlineStr">
        <is>
          <t>Beverages / packaged food</t>
        </is>
      </c>
      <c r="F331" s="108" t="inlineStr">
        <is>
          <t>Food Additives</t>
        </is>
      </c>
      <c r="G331" s="108" t="inlineStr">
        <is>
          <t>Standard</t>
        </is>
      </c>
      <c r="H331" s="109" t="n">
        <v>45818</v>
      </c>
      <c r="I331" s="110" t="n">
        <v>200.1</v>
      </c>
      <c r="J331" s="108" t="inlineStr">
        <is>
          <t>gross (price x shares)</t>
        </is>
      </c>
      <c r="K331" s="111" t="n">
        <v>18.9</v>
      </c>
      <c r="L331" s="111" t="n">
        <v>20.9</v>
      </c>
      <c r="M331" s="111" t="n">
        <v>18.9</v>
      </c>
      <c r="N331" s="108" t="inlineStr">
        <is>
          <t>N</t>
        </is>
      </c>
      <c r="O331" s="112" t="n">
        <v>90.40000000000001</v>
      </c>
      <c r="P331" s="112" t="n">
        <v>0</v>
      </c>
      <c r="Q331" s="113" t="n">
        <v>1818.8</v>
      </c>
      <c r="R331" s="108" t="inlineStr">
        <is>
          <t>derived:price x shares upon listing</t>
        </is>
      </c>
      <c r="S331" s="114" t="n">
        <v>149.37</v>
      </c>
      <c r="T331" s="115" t="n">
        <v>0.93</v>
      </c>
      <c r="U331" s="116" t="n">
        <v>29.69</v>
      </c>
      <c r="V331" s="117" t="n">
        <v>118</v>
      </c>
      <c r="W331" s="112" t="n">
        <v>15.7</v>
      </c>
      <c r="X331" s="108" t="inlineStr">
        <is>
          <t>NO</t>
        </is>
      </c>
      <c r="Y331" s="113" t="n">
        <v>140.69</v>
      </c>
      <c r="Z331" s="113" t="n">
        <v>7442595</v>
      </c>
      <c r="AA331" s="112" t="n">
        <v>7.74</v>
      </c>
      <c r="AB331" s="108" t="inlineStr">
        <is>
          <t>He Win Hong Kong Holdings Co., Limited; The Reynold Lemkins Group (Asia) Limited</t>
        </is>
      </c>
      <c r="AC331" s="108" t="inlineStr">
        <is>
          <t>he-win;reynold</t>
        </is>
      </c>
      <c r="AD331" s="112" t="n">
        <v>10.2</v>
      </c>
      <c r="AE331" s="119" t="n"/>
      <c r="AF331" s="119" t="n"/>
      <c r="AG331" s="108" t="inlineStr">
        <is>
          <t>CMBC Securities Company Limited</t>
        </is>
      </c>
      <c r="AH331" s="108" t="inlineStr">
        <is>
          <t>CMBC</t>
        </is>
      </c>
      <c r="AI331" s="120" t="n">
        <v>72.48999999999999</v>
      </c>
      <c r="AJ331" s="121" t="n">
        <v>21.43</v>
      </c>
      <c r="AK331" s="121" t="n">
        <v>-0.41</v>
      </c>
      <c r="AL331" s="121" t="n">
        <v>60.05</v>
      </c>
      <c r="AM331" s="121" t="n">
        <v>-24.13</v>
      </c>
      <c r="AN331" s="123" t="n">
        <v>3.14</v>
      </c>
      <c r="AO331" s="112" t="n">
        <v>26.94</v>
      </c>
      <c r="AP331" s="121" t="n">
        <v>-16.83</v>
      </c>
      <c r="AQ331" s="121" t="n">
        <v>-34.6</v>
      </c>
      <c r="AR331" s="121" t="n">
        <v>-34.92</v>
      </c>
      <c r="AS331" s="121" t="n">
        <v>-31.51</v>
      </c>
      <c r="AT331" s="121" t="n">
        <v>-46.14</v>
      </c>
      <c r="AU331" s="121" t="n">
        <v>-46.41</v>
      </c>
      <c r="AV331" s="121" t="n">
        <v>-14.92</v>
      </c>
      <c r="AW331" s="121" t="n">
        <v>-30.78</v>
      </c>
      <c r="AX331" s="121" t="n">
        <v>-41.55</v>
      </c>
      <c r="AY331" s="121" t="n">
        <v>-42.71</v>
      </c>
      <c r="AZ331" s="121" t="n">
        <v>-3.82</v>
      </c>
      <c r="BA331" s="121" t="n">
        <v>-3.43</v>
      </c>
      <c r="BB331" s="108" t="inlineStr">
        <is>
          <t>Hang Seng Commerce &amp; Industry sub-index</t>
        </is>
      </c>
      <c r="BC331" s="121" t="n">
        <v>-73.47</v>
      </c>
      <c r="BD331" s="109" t="n">
        <v>46297</v>
      </c>
      <c r="BE331" s="110" t="n">
        <v>625.8</v>
      </c>
      <c r="BF331" s="113" t="n">
        <v>47.7</v>
      </c>
      <c r="BG331" s="108" t="inlineStr">
        <is>
          <t>Y</t>
        </is>
      </c>
      <c r="BH331" s="123" t="n">
        <v>38.1</v>
      </c>
      <c r="BI331" s="123" t="n">
        <v>41.2</v>
      </c>
      <c r="BJ331" s="123" t="n">
        <v>35</v>
      </c>
      <c r="BK331" s="123" t="n">
        <v>2.9</v>
      </c>
      <c r="BL331" s="124">
        <f>IF('BBG Verify'!S331="","not filed; run on terminal",'BBG Verify'!S331)</f>
        <v/>
      </c>
      <c r="BM331" s="125" t="inlineStr">
        <is>
          <t>N</t>
        </is>
      </c>
      <c r="BN331" s="126">
        <f>IF('BBG Verify'!K331="","not filed; run on terminal",'BBG Verify'!K331)</f>
        <v/>
      </c>
      <c r="BO331" s="108" t="inlineStr">
        <is>
          <t>N/A</t>
        </is>
      </c>
      <c r="BP331" s="108" t="inlineStr">
        <is>
          <t>N/A</t>
        </is>
      </c>
      <c r="BQ331" s="108" t="inlineStr">
        <is>
          <t>N/A</t>
        </is>
      </c>
      <c r="BR331" s="108" t="inlineStr">
        <is>
          <t>N/A</t>
        </is>
      </c>
      <c r="BS331" s="108" t="inlineStr">
        <is>
          <t>N/A</t>
        </is>
      </c>
      <c r="BT331" s="108" t="inlineStr">
        <is>
          <t>N/A</t>
        </is>
      </c>
      <c r="BU331" s="125" t="inlineStr">
        <is>
          <t>CMBC International Capital Limited</t>
        </is>
      </c>
      <c r="BV331" s="108" t="inlineStr">
        <is>
          <t>CMBC International Capital Limited</t>
        </is>
      </c>
      <c r="BW331" s="108" t="inlineStr">
        <is>
          <t>China Industrial Securities International Capital Limited; Guosen Securities (HK) Capital Company Limited; ABCI Capital Limited</t>
        </is>
      </c>
      <c r="BX331" s="108" t="inlineStr">
        <is>
          <t>ABCI Securities Company Limited; CCB International Capital Limited; China Industrial Securities International Capital Limited; CMBC Securities Company Limited; CMB International Capital Corporation Limited; Dragon Legend Capital Limited; Guosen Securities (HK) Capital Company Limited; Huafu International Securities Limited; ICBC International Securities Limited; Patrons Securities Limited; Ruibang Securities Limited; SPDB International Capital Limited</t>
        </is>
      </c>
      <c r="BY331" s="127">
        <f>HYPERLINK("https://www1.hkexnews.hk/listedco/listconews/sehk/2025/0530/2025053000073.pdf","prospectus")</f>
        <v/>
      </c>
      <c r="BZ331" s="127">
        <f>HYPERLINK("https://www1.hkexnews.hk/listedco/listconews/sehk/2025/0609/2025060901156.pdf","allotment")</f>
        <v/>
      </c>
      <c r="CA331" s="119" t="n"/>
      <c r="CB331" s="128" t="n"/>
      <c r="CC331" s="108" t="inlineStr">
        <is>
          <t>greenshoe: end-of-stabilisation notice not found</t>
        </is>
      </c>
    </row>
    <row r="332" ht="22" customHeight="1">
      <c r="A332" s="107" t="inlineStr">
        <is>
          <t>2605</t>
        </is>
      </c>
      <c r="B332" s="108" t="inlineStr">
        <is>
          <t>METALIGHT</t>
        </is>
      </c>
      <c r="C332" s="108" t="inlineStr">
        <is>
          <t>METALIGHT</t>
        </is>
      </c>
      <c r="D332" s="108" t="inlineStr">
        <is>
          <t>Tech/AI</t>
        </is>
      </c>
      <c r="E332" s="108" t="inlineStr">
        <is>
          <t>Internet platform / e-commerce</t>
        </is>
      </c>
      <c r="F332" s="108" t="inlineStr">
        <is>
          <t>Advertising</t>
        </is>
      </c>
      <c r="G332" s="108" t="inlineStr">
        <is>
          <t>Standard</t>
        </is>
      </c>
      <c r="H332" s="109" t="n">
        <v>45818</v>
      </c>
      <c r="I332" s="110" t="n">
        <v>242.35</v>
      </c>
      <c r="J332" s="108" t="inlineStr">
        <is>
          <t>gross (stated)</t>
        </is>
      </c>
      <c r="K332" s="129" t="n"/>
      <c r="L332" s="111" t="n">
        <v>9.75</v>
      </c>
      <c r="M332" s="111" t="n">
        <v>9.75</v>
      </c>
      <c r="N332" s="108" t="inlineStr">
        <is>
          <t>Y</t>
        </is>
      </c>
      <c r="O332" s="112" t="n">
        <v>100</v>
      </c>
      <c r="P332" s="118" t="n"/>
      <c r="Q332" s="113" t="n">
        <v>1504.2</v>
      </c>
      <c r="R332" s="108" t="inlineStr">
        <is>
          <t>derived:price x shares upon listing</t>
        </is>
      </c>
      <c r="S332" s="114" t="n">
        <v>274.44</v>
      </c>
      <c r="T332" s="115" t="n">
        <v>2.49</v>
      </c>
      <c r="U332" s="116" t="n">
        <v>0</v>
      </c>
      <c r="V332" s="117" t="n">
        <v>127</v>
      </c>
      <c r="W332" s="112" t="n">
        <v>50</v>
      </c>
      <c r="X332" s="108" t="inlineStr">
        <is>
          <t>YES</t>
        </is>
      </c>
      <c r="Y332" s="113" t="n">
        <v>242.35</v>
      </c>
      <c r="Z332" s="113" t="n">
        <v>24856000</v>
      </c>
      <c r="AA332" s="112" t="n">
        <v>16.11</v>
      </c>
      <c r="AB332" s="108" t="inlineStr">
        <is>
          <t>none — no cornerstone tranche</t>
        </is>
      </c>
      <c r="AC332" s="108" t="inlineStr">
        <is>
          <t>none</t>
        </is>
      </c>
      <c r="AD332" s="118" t="n"/>
      <c r="AE332" s="119" t="n"/>
      <c r="AF332" s="119" t="n"/>
      <c r="AG332" s="119" t="n"/>
      <c r="AH332" s="119" t="n"/>
      <c r="AI332" s="120" t="n">
        <v>-14.77</v>
      </c>
      <c r="AJ332" s="121" t="n">
        <v>-30.26</v>
      </c>
      <c r="AK332" s="121" t="n">
        <v>-0.75</v>
      </c>
      <c r="AL332" s="121" t="n">
        <v>-22.05</v>
      </c>
      <c r="AM332" s="121" t="n">
        <v>-10.53</v>
      </c>
      <c r="AN332" s="123" t="n">
        <v>1.93</v>
      </c>
      <c r="AO332" s="112" t="n">
        <v>19.87</v>
      </c>
      <c r="AP332" s="121" t="n">
        <v>-29.95</v>
      </c>
      <c r="AQ332" s="121" t="n">
        <v>-37.85</v>
      </c>
      <c r="AR332" s="121" t="n">
        <v>-49.64</v>
      </c>
      <c r="AS332" s="121" t="n">
        <v>0.44</v>
      </c>
      <c r="AT332" s="121" t="n">
        <v>-10.88</v>
      </c>
      <c r="AU332" s="121" t="n">
        <v>-27.79</v>
      </c>
      <c r="AV332" s="121" t="n">
        <v>-27.42</v>
      </c>
      <c r="AW332" s="121" t="n">
        <v>-34</v>
      </c>
      <c r="AX332" s="121" t="n">
        <v>-55.46</v>
      </c>
      <c r="AY332" s="121" t="n">
        <v>-7.76</v>
      </c>
      <c r="AZ332" s="121" t="n">
        <v>-3.85</v>
      </c>
      <c r="BA332" s="121" t="n">
        <v>-3.12</v>
      </c>
      <c r="BB332" s="108" t="inlineStr">
        <is>
          <t>HSTECH (Hang Seng TECH ETF)</t>
        </is>
      </c>
      <c r="BC332" s="121" t="n">
        <v>-88.20999999999999</v>
      </c>
      <c r="BD332" s="109" t="n">
        <v>46297</v>
      </c>
      <c r="BE332" s="110" t="n">
        <v>226.8</v>
      </c>
      <c r="BF332" s="113" t="n">
        <v>-28.8</v>
      </c>
      <c r="BG332" s="108" t="inlineStr">
        <is>
          <t>N</t>
        </is>
      </c>
      <c r="BH332" s="108" t="inlineStr">
        <is>
          <t>n/m</t>
        </is>
      </c>
      <c r="BI332" s="122" t="n"/>
      <c r="BJ332" s="122" t="n"/>
      <c r="BK332" s="123" t="n">
        <v>6.6</v>
      </c>
      <c r="BL332" s="124">
        <f>IF('BBG Verify'!S332="","not filed; run on terminal",'BBG Verify'!S332)</f>
        <v/>
      </c>
      <c r="BM332" s="125" t="inlineStr">
        <is>
          <t>N</t>
        </is>
      </c>
      <c r="BN332" s="126">
        <f>IF('BBG Verify'!K332="","not filed; run on terminal",'BBG Verify'!K332)</f>
        <v/>
      </c>
      <c r="BO332" s="108" t="inlineStr">
        <is>
          <t>N/A</t>
        </is>
      </c>
      <c r="BP332" s="108" t="inlineStr">
        <is>
          <t>N/A</t>
        </is>
      </c>
      <c r="BQ332" s="108" t="inlineStr">
        <is>
          <t>N/A</t>
        </is>
      </c>
      <c r="BR332" s="108" t="inlineStr">
        <is>
          <t>N/A</t>
        </is>
      </c>
      <c r="BS332" s="108" t="inlineStr">
        <is>
          <t>N/A</t>
        </is>
      </c>
      <c r="BT332" s="108" t="inlineStr">
        <is>
          <t>N/A</t>
        </is>
      </c>
      <c r="BU332" s="125" t="inlineStr">
        <is>
          <t>China International Capital Corporation Hong Kong Securities Limited</t>
        </is>
      </c>
      <c r="BV332" s="108" t="inlineStr">
        <is>
          <t>China International Capital Corporation Hong Kong Securities Limited</t>
        </is>
      </c>
      <c r="BW332" s="108" t="inlineStr">
        <is>
          <t>China International Capital Corporation Hong Kong Securities Limited; CMBC Securities Company Limited; ABCI Capital Limited; CCB International Capital Limited; Patrons Securities Limited; SBI China Capital Financial Services Limited; Fosun International Securities Limited; BOCI Asia Limited; Futu Securities International (Hong Kong) Limited; Tiger Brokers (HK) Global Limited; Long Bridge HK Limited</t>
        </is>
      </c>
      <c r="BX332" s="108" t="inlineStr">
        <is>
          <t>ABCI Securities Company Limited; BOCI Asia Limited; CCB International Capital Limited; China International Capital Corporation Hong Kong Securities Limited; CMBC Securities Company Limited; Fosun International Securities Limited; Futu Securities International (Hong Kong) Limited; Long Bridge HK Limited; Patrons Securities Limited; SBI China Capital Financial Services Limited; Tiger Brokers (HK) Global Limited; Tiger Faith Securities Limited</t>
        </is>
      </c>
      <c r="BY332" s="127">
        <f>HYPERLINK("https://www1.hkexnews.hk/listedco/listconews/sehk/2025/0602/2025060200008.pdf","prospectus")</f>
        <v/>
      </c>
      <c r="BZ332" s="127">
        <f>HYPERLINK("https://www1.hkexnews.hk/listedco/listconews/sehk/2025/0609/2025060901376.pdf","allotment")</f>
        <v/>
      </c>
      <c r="CA332" s="119" t="n"/>
      <c r="CB332" s="128" t="n"/>
      <c r="CC332" s="108" t="inlineStr">
        <is>
          <t>P/E: loss-making at IPO, use P/S; greenshoe: no over-allotment option; range low: maximum offer price only, no floor published; cornerstone list: no cornerstone tranche; greenshoe size: no over-allotment option; stabilising manager: filing states none appointed (prospectus: 'no stabilizing manager will be appointed' stated in the filing)</t>
        </is>
      </c>
    </row>
    <row r="333" ht="22" customHeight="1">
      <c r="A333" s="107" t="inlineStr">
        <is>
          <t>3288</t>
        </is>
      </c>
      <c r="B333" s="108" t="inlineStr">
        <is>
          <t>HAITIAN FLAV</t>
        </is>
      </c>
      <c r="C333" s="108" t="inlineStr">
        <is>
          <t>海天味業</t>
        </is>
      </c>
      <c r="D333" s="108" t="inlineStr">
        <is>
          <t>Consumer</t>
        </is>
      </c>
      <c r="E333" s="108" t="inlineStr">
        <is>
          <t>Beverages / packaged food</t>
        </is>
      </c>
      <c r="F333" s="108" t="inlineStr">
        <is>
          <t>Food Additives</t>
        </is>
      </c>
      <c r="G333" s="108" t="inlineStr">
        <is>
          <t>Standard</t>
        </is>
      </c>
      <c r="H333" s="109" t="n">
        <v>45827</v>
      </c>
      <c r="I333" s="110" t="n">
        <v>10128.9</v>
      </c>
      <c r="J333" s="108" t="inlineStr">
        <is>
          <t>gross (stated)</t>
        </is>
      </c>
      <c r="K333" s="111" t="n">
        <v>35</v>
      </c>
      <c r="L333" s="111" t="n">
        <v>36.3</v>
      </c>
      <c r="M333" s="111" t="n">
        <v>36.3</v>
      </c>
      <c r="N333" s="108" t="inlineStr">
        <is>
          <t>Y</t>
        </is>
      </c>
      <c r="O333" s="112" t="n">
        <v>100</v>
      </c>
      <c r="P333" s="112" t="n">
        <v>100</v>
      </c>
      <c r="Q333" s="113" t="n">
        <v>185511</v>
      </c>
      <c r="R333" s="108" t="inlineStr">
        <is>
          <t>derived:deal size / offer % of enlarged capital</t>
        </is>
      </c>
      <c r="S333" s="114" t="n">
        <v>918.15</v>
      </c>
      <c r="T333" s="115" t="n">
        <v>22.93</v>
      </c>
      <c r="U333" s="116" t="n">
        <v>46.08</v>
      </c>
      <c r="V333" s="117" t="n">
        <v>25</v>
      </c>
      <c r="W333" s="112" t="n">
        <v>19.81</v>
      </c>
      <c r="X333" s="108" t="inlineStr">
        <is>
          <t>YES</t>
        </is>
      </c>
      <c r="Y333" s="113" t="n">
        <v>5461.5</v>
      </c>
      <c r="Z333" s="113" t="n">
        <v>150453893</v>
      </c>
      <c r="AA333" s="112" t="n">
        <v>2.94</v>
      </c>
      <c r="AB333" s="108" t="inlineStr">
        <is>
          <t>HHLR Advisors, Ltd; GIC Private Limited; 4 RBC Global Asset Management (Asia) Limited; China Pinnacle Equity Management Limited; UBS Asset Management (Singapore) Ltd; Supercluster Universe Limited; HSG Growth VII Holdco, Ltd; Foshan Development Co., Ltd</t>
        </is>
      </c>
      <c r="AC333" s="108" t="inlineStr">
        <is>
          <t>hhlr;gic;rbc;pinnacle;ubs;supercluster;hsg;foshan</t>
        </is>
      </c>
      <c r="AD333" s="112" t="n">
        <v>15</v>
      </c>
      <c r="AE333" s="108" t="inlineStr">
        <is>
          <t>partial</t>
        </is>
      </c>
      <c r="AF333" s="108" t="inlineStr">
        <is>
          <t>2025-07-16</t>
        </is>
      </c>
      <c r="AG333" s="108" t="inlineStr">
        <is>
          <t>China International Capital Corporation Hong Kong Securities Limited</t>
        </is>
      </c>
      <c r="AH333" s="108" t="inlineStr">
        <is>
          <t>China International</t>
        </is>
      </c>
      <c r="AI333" s="120" t="n">
        <v>5.23</v>
      </c>
      <c r="AJ333" s="121" t="n">
        <v>0.55</v>
      </c>
      <c r="AK333" s="121" t="n">
        <v>-2.2</v>
      </c>
      <c r="AL333" s="121" t="n">
        <v>3.31</v>
      </c>
      <c r="AM333" s="121" t="n">
        <v>-2.67</v>
      </c>
      <c r="AN333" s="123" t="n">
        <v>1.4</v>
      </c>
      <c r="AO333" s="112" t="n">
        <v>5.2</v>
      </c>
      <c r="AP333" s="121" t="n">
        <v>-3.44</v>
      </c>
      <c r="AQ333" s="121" t="n">
        <v>-1.65</v>
      </c>
      <c r="AR333" s="121" t="n">
        <v>-6.5</v>
      </c>
      <c r="AS333" s="121" t="n">
        <v>-3.97</v>
      </c>
      <c r="AT333" s="121" t="n">
        <v>-2.19</v>
      </c>
      <c r="AU333" s="121" t="n">
        <v>-7.01</v>
      </c>
      <c r="AV333" s="121" t="n">
        <v>-4.73</v>
      </c>
      <c r="AW333" s="121" t="n">
        <v>-7.14</v>
      </c>
      <c r="AX333" s="121" t="n">
        <v>-23.57</v>
      </c>
      <c r="AY333" s="121" t="n">
        <v>-10.05</v>
      </c>
      <c r="AZ333" s="121" t="n">
        <v>5.49</v>
      </c>
      <c r="BA333" s="121" t="n">
        <v>7.86</v>
      </c>
      <c r="BB333" s="108" t="inlineStr">
        <is>
          <t>Hang Seng Commerce &amp; Industry sub-index</t>
        </is>
      </c>
      <c r="BC333" s="121" t="n">
        <v>-30.36</v>
      </c>
      <c r="BD333" s="109" t="n">
        <v>46297</v>
      </c>
      <c r="BE333" s="110" t="n">
        <v>29591.1</v>
      </c>
      <c r="BF333" s="113" t="n">
        <v>6991.4</v>
      </c>
      <c r="BG333" s="108" t="inlineStr">
        <is>
          <t>Y</t>
        </is>
      </c>
      <c r="BH333" s="123" t="n">
        <v>26.5</v>
      </c>
      <c r="BI333" s="123" t="n">
        <v>29.3</v>
      </c>
      <c r="BJ333" s="123" t="n">
        <v>22.3</v>
      </c>
      <c r="BK333" s="123" t="n">
        <v>6.3</v>
      </c>
      <c r="BL333" s="124">
        <f>IF('BBG Verify'!S333="","not filed; run on terminal",'BBG Verify'!S333)</f>
        <v/>
      </c>
      <c r="BM333" s="125" t="inlineStr">
        <is>
          <t>Y</t>
        </is>
      </c>
      <c r="BN333" s="108" t="inlineStr">
        <is>
          <t>603288.SS</t>
        </is>
      </c>
      <c r="BO333" s="121" t="n">
        <v>21.07</v>
      </c>
      <c r="BP333" s="111" t="n">
        <v>43.9481</v>
      </c>
      <c r="BQ333" s="135" t="n">
        <v>0.5354</v>
      </c>
      <c r="BR333" s="113" t="n">
        <v>226928.5</v>
      </c>
      <c r="BS333" s="124">
        <f>IF('BBG Verify'!Q333="","run on terminal",'BBG Verify'!Q333)</f>
        <v/>
      </c>
      <c r="BT333" s="124">
        <f>IF('BBG Verify'!R333="","run on terminal",'BBG Verify'!R333)</f>
        <v/>
      </c>
      <c r="BU333" s="125" t="inlineStr">
        <is>
          <t>China International Capital Corporation Hong Kong Securities Limited; Goldman Sachs (Asia) L.L.C; Morgan Stanley Asia Limited</t>
        </is>
      </c>
      <c r="BV333" s="108" t="inlineStr">
        <is>
          <t>China International Capital Corporation Hong Kong Securities Limited; Morgan Stanley Asia Limited; Goldman Sachs (Asia) L.L.C.</t>
        </is>
      </c>
      <c r="BW333" s="108" t="inlineStr">
        <is>
          <t>ABCI Securities Company Limited</t>
        </is>
      </c>
      <c r="BX333" s="108" t="inlineStr">
        <is>
          <t>ABCI Securities Company Limited; BOCI Asia Limited; BOCOM International Securities Limited; CCB International Capital Limited; China Galaxy International Securities (Hong Kong) Company Limited; China International Capital Corporation Hong Kong Securities Limited; CLSA Limited; CMB International Capital Corporation Limited; Futu Securities International (Hong Kong) Limited; GF Securities (Hong Kong) Brokerage Limited; Goldman Sachs (Asia) L.L.C.; Huatai Financial Holdings (Hong Kong) Limited</t>
        </is>
      </c>
      <c r="BY333" s="127">
        <f>HYPERLINK("https://www1.hkexnews.hk/listedco/listconews/sehk/2025/0611/2025061100017.pdf","prospectus")</f>
        <v/>
      </c>
      <c r="BZ333" s="127">
        <f>HYPERLINK("https://www1.hkexnews.hk/listedco/listconews/sehk/2025/0618/2025061801931.pdf","allotment")</f>
        <v/>
      </c>
      <c r="CA333" s="127">
        <f>HYPERLINK("https://www1.hkexnews.hk/listedco/listconews/sehk/2025/0717/2025071700201.pdf","stabilisation")</f>
        <v/>
      </c>
      <c r="CB333" s="128" t="n"/>
      <c r="CC333" s="108" t="inlineStr">
        <is>
          <t>A/H: Jun 2025, ~US$1.3bn; condiments leader</t>
        </is>
      </c>
    </row>
    <row r="334" ht="22" customHeight="1">
      <c r="A334" s="107" t="inlineStr">
        <is>
          <t>2609</t>
        </is>
      </c>
      <c r="B334" s="108" t="inlineStr">
        <is>
          <t>BAYZED HEALTH</t>
        </is>
      </c>
      <c r="C334" s="108" t="inlineStr">
        <is>
          <t>佰澤醫療</t>
        </is>
      </c>
      <c r="D334" s="108" t="inlineStr">
        <is>
          <t>Healthcare</t>
        </is>
      </c>
      <c r="E334" s="108" t="inlineStr">
        <is>
          <t>Digital health</t>
        </is>
      </c>
      <c r="F334" s="108" t="inlineStr">
        <is>
          <t>Health Care Services</t>
        </is>
      </c>
      <c r="G334" s="108" t="inlineStr">
        <is>
          <t>Standard</t>
        </is>
      </c>
      <c r="H334" s="109" t="n">
        <v>45831</v>
      </c>
      <c r="I334" s="110" t="n">
        <v>561.7</v>
      </c>
      <c r="J334" s="108" t="inlineStr">
        <is>
          <t>gross (stated)</t>
        </is>
      </c>
      <c r="K334" s="111" t="n">
        <v>4.22</v>
      </c>
      <c r="L334" s="111" t="n">
        <v>6.75</v>
      </c>
      <c r="M334" s="111" t="n">
        <v>4.22</v>
      </c>
      <c r="N334" s="108" t="inlineStr">
        <is>
          <t>N</t>
        </is>
      </c>
      <c r="O334" s="112" t="n">
        <v>62.5</v>
      </c>
      <c r="P334" s="112" t="n">
        <v>0</v>
      </c>
      <c r="Q334" s="113" t="n">
        <v>5563.9</v>
      </c>
      <c r="R334" s="108" t="inlineStr">
        <is>
          <t>derived:price x shares upon listing</t>
        </is>
      </c>
      <c r="S334" s="114" t="n">
        <v>25.92</v>
      </c>
      <c r="T334" s="115" t="n">
        <v>0.98</v>
      </c>
      <c r="U334" s="116" t="n">
        <v>26.5</v>
      </c>
      <c r="V334" s="117" t="n">
        <v>113</v>
      </c>
      <c r="W334" s="112" t="n">
        <v>12.2</v>
      </c>
      <c r="X334" s="108" t="inlineStr">
        <is>
          <t>NO</t>
        </is>
      </c>
      <c r="Y334" s="113" t="n">
        <v>412.85</v>
      </c>
      <c r="Z334" s="113" t="n">
        <v>97832763</v>
      </c>
      <c r="AA334" s="112" t="n">
        <v>7.42</v>
      </c>
      <c r="AB334" s="108" t="inlineStr">
        <is>
          <t>Harvest Oriental SP</t>
        </is>
      </c>
      <c r="AC334" s="108" t="inlineStr">
        <is>
          <t>harvest</t>
        </is>
      </c>
      <c r="AD334" s="118" t="n"/>
      <c r="AE334" s="119" t="n"/>
      <c r="AF334" s="119" t="n"/>
      <c r="AG334" s="119" t="n"/>
      <c r="AH334" s="119" t="n"/>
      <c r="AI334" s="120" t="n">
        <v>25.83</v>
      </c>
      <c r="AJ334" s="121" t="n">
        <v>42.18</v>
      </c>
      <c r="AK334" s="121" t="n">
        <v>1.53</v>
      </c>
      <c r="AL334" s="121" t="n">
        <v>24.41</v>
      </c>
      <c r="AM334" s="121" t="n">
        <v>14.28</v>
      </c>
      <c r="AN334" s="123" t="n">
        <v>1.34</v>
      </c>
      <c r="AO334" s="112" t="n">
        <v>19.24</v>
      </c>
      <c r="AP334" s="121" t="n">
        <v>46.21</v>
      </c>
      <c r="AQ334" s="121" t="n">
        <v>57.11</v>
      </c>
      <c r="AR334" s="121" t="n">
        <v>91.94</v>
      </c>
      <c r="AS334" s="121" t="n">
        <v>2.83</v>
      </c>
      <c r="AT334" s="121" t="n">
        <v>10.5</v>
      </c>
      <c r="AU334" s="121" t="n">
        <v>35</v>
      </c>
      <c r="AV334" s="121" t="n">
        <v>43.69</v>
      </c>
      <c r="AW334" s="121" t="n">
        <v>39.85</v>
      </c>
      <c r="AX334" s="121" t="n">
        <v>59.77</v>
      </c>
      <c r="AY334" s="121" t="n">
        <v>-5</v>
      </c>
      <c r="AZ334" s="121" t="n">
        <v>17.26</v>
      </c>
      <c r="BA334" s="121" t="n">
        <v>15.5</v>
      </c>
      <c r="BB334" s="108" t="inlineStr">
        <is>
          <t>China Biotech ETF (HS biotech proxy)</t>
        </is>
      </c>
      <c r="BC334" s="121" t="n">
        <v>-27.96</v>
      </c>
      <c r="BD334" s="109" t="n">
        <v>46297</v>
      </c>
      <c r="BE334" s="110" t="n">
        <v>1307.7</v>
      </c>
      <c r="BF334" s="113" t="n">
        <v>-3.9</v>
      </c>
      <c r="BG334" s="108" t="inlineStr">
        <is>
          <t>N</t>
        </is>
      </c>
      <c r="BH334" s="108" t="inlineStr">
        <is>
          <t>n/m</t>
        </is>
      </c>
      <c r="BI334" s="122" t="n"/>
      <c r="BJ334" s="122" t="n"/>
      <c r="BK334" s="123" t="n">
        <v>4.3</v>
      </c>
      <c r="BL334" s="124">
        <f>IF('BBG Verify'!S334="","not filed; run on terminal",'BBG Verify'!S334)</f>
        <v/>
      </c>
      <c r="BM334" s="125" t="inlineStr">
        <is>
          <t>N</t>
        </is>
      </c>
      <c r="BN334" s="126">
        <f>IF('BBG Verify'!K334="","not filed; run on terminal",'BBG Verify'!K334)</f>
        <v/>
      </c>
      <c r="BO334" s="108" t="inlineStr">
        <is>
          <t>N/A</t>
        </is>
      </c>
      <c r="BP334" s="108" t="inlineStr">
        <is>
          <t>N/A</t>
        </is>
      </c>
      <c r="BQ334" s="108" t="inlineStr">
        <is>
          <t>N/A</t>
        </is>
      </c>
      <c r="BR334" s="108" t="inlineStr">
        <is>
          <t>N/A</t>
        </is>
      </c>
      <c r="BS334" s="108" t="inlineStr">
        <is>
          <t>N/A</t>
        </is>
      </c>
      <c r="BT334" s="108" t="inlineStr">
        <is>
          <t>N/A</t>
        </is>
      </c>
      <c r="BU334" s="125" t="inlineStr">
        <is>
          <t>CMB Wing Lung Bank Limited; CMB Wing Lung (Nominees) Limited; Principal Share Registrar and Transfer Office Maples Fund Services (Cayman) Limited; Cayman Islands Hong Kong Share Registrar Tricor Investor Services Limited; Caitong International Capital Co., Limited; CORPORATE INFORMATION Principal Banks Bank of China Tianjin Dagang Branch</t>
        </is>
      </c>
      <c r="BV334" s="108" t="inlineStr">
        <is>
          <t>CMB International Capital Limited</t>
        </is>
      </c>
      <c r="BW334" s="108" t="inlineStr">
        <is>
          <t>CMB International Capital Limited; Futu Securities International (Hong Kong) Limited</t>
        </is>
      </c>
      <c r="BX334" s="108" t="inlineStr">
        <is>
          <t>CMB International Capital Limited; Futu Securities International (Hong Kong) Limited</t>
        </is>
      </c>
      <c r="BY334" s="127">
        <f>HYPERLINK("https://www1.hkexnews.hk/listedco/listconews/sehk/2025/0613/2025061300019.pdf","prospectus")</f>
        <v/>
      </c>
      <c r="BZ334" s="127">
        <f>HYPERLINK("https://www1.hkexnews.hk/listedco/listconews/sehk/2025/0620/2025062001890.pdf","allotment")</f>
        <v/>
      </c>
      <c r="CA334" s="119" t="n"/>
      <c r="CB334" s="128" t="n"/>
      <c r="CC334" s="108" t="inlineStr">
        <is>
          <t>P/E: loss-making at IPO, use P/S; greenshoe: no over-allotment option; market cap: AAStocks lists HK$7,649m at listing vs HK$5,564m from price x filed share count; the filed count kept; greenshoe size: no over-allotment option; stabilising manager: no over-allotment option, so none appointed</t>
        </is>
      </c>
    </row>
    <row r="335" ht="22" customHeight="1">
      <c r="A335" s="107" t="inlineStr">
        <is>
          <t>2050</t>
        </is>
      </c>
      <c r="B335" s="108" t="inlineStr">
        <is>
          <t>SANHUA</t>
        </is>
      </c>
      <c r="C335" s="108" t="inlineStr">
        <is>
          <t>三花智控</t>
        </is>
      </c>
      <c r="D335" s="108" t="inlineStr">
        <is>
          <t>Consumer</t>
        </is>
      </c>
      <c r="E335" s="108" t="inlineStr">
        <is>
          <t>Auto parts / supply chain</t>
        </is>
      </c>
      <c r="F335" s="108" t="inlineStr">
        <is>
          <t>Electrical Components &amp; Equipment</t>
        </is>
      </c>
      <c r="G335" s="108" t="inlineStr">
        <is>
          <t>Standard</t>
        </is>
      </c>
      <c r="H335" s="109" t="n">
        <v>45831</v>
      </c>
      <c r="I335" s="110" t="n">
        <v>9336</v>
      </c>
      <c r="J335" s="108" t="inlineStr">
        <is>
          <t>gross (stated)</t>
        </is>
      </c>
      <c r="K335" s="129" t="n"/>
      <c r="L335" s="111" t="n">
        <v>22.53</v>
      </c>
      <c r="M335" s="111" t="n">
        <v>22.53</v>
      </c>
      <c r="N335" s="108" t="inlineStr">
        <is>
          <t>Y</t>
        </is>
      </c>
      <c r="O335" s="112" t="n">
        <v>100</v>
      </c>
      <c r="P335" s="118" t="n"/>
      <c r="Q335" s="113" t="n">
        <v>93360</v>
      </c>
      <c r="R335" s="108" t="inlineStr">
        <is>
          <t>derived:deal size / offer % of enlarged capital</t>
        </is>
      </c>
      <c r="S335" s="114" t="n">
        <v>747.92</v>
      </c>
      <c r="T335" s="115" t="n">
        <v>23.57</v>
      </c>
      <c r="U335" s="116" t="n">
        <v>47.22</v>
      </c>
      <c r="V335" s="117" t="n">
        <v>256</v>
      </c>
      <c r="W335" s="112" t="n">
        <v>26.5</v>
      </c>
      <c r="X335" s="108" t="inlineStr">
        <is>
          <t>YES</t>
        </is>
      </c>
      <c r="Y335" s="113" t="n">
        <v>4927.54</v>
      </c>
      <c r="Z335" s="113" t="n">
        <v>218709500</v>
      </c>
      <c r="AA335" s="112" t="n">
        <v>5.28</v>
      </c>
      <c r="AB335" s="108" t="inlineStr">
        <is>
          <t>Schroder Investment Management Limited, Schroder Investment Management (Singapore) Ltd; Schroder Investment Management (Hong Kong) Limited; GIC Private Limited; Greenwoods Asset Management Hong Kong Limited; Shanghai Greenwoods Asset Management Co., Ltd (上海 景林資產管理; Verition Multi- Strategy Master Fund Ltd; Eastern Bell Capital VIII Investment Limited; Mirae Asset Securities Co., Ltd; ICBC Wealth Management Co., Ltd; PSBC Wealth Management Co., Ltd; 6 (through GF SecuritiesA sset Manageme nt (Guangdong) Co., Ltd as the qualified domestic institutional investor) Taikang Life Insurance Co., Ltd; Mega Prime Development Limited; Wind Sabre Fund SPC on behalf of Wind Sabre Opportunities Fund SP; Martis Fund, L.P; Morgan Stanley &amp; Co. International plc; Jane Street Asia Trading Limited; 3W Fund Management Limited</t>
        </is>
      </c>
      <c r="AC335" s="108" t="inlineStr">
        <is>
          <t>schroder;gic;greenwoods;shanghai-greenwoods;verition;eastern-bell;mirae;icbc;psbc;as;mega;wind;martis;morgan;jane;3w</t>
        </is>
      </c>
      <c r="AD335" s="112" t="n">
        <v>15</v>
      </c>
      <c r="AE335" s="108" t="inlineStr">
        <is>
          <t>full</t>
        </is>
      </c>
      <c r="AF335" s="108" t="inlineStr">
        <is>
          <t>2025-07-18</t>
        </is>
      </c>
      <c r="AG335" s="108" t="inlineStr">
        <is>
          <t>China International Capital Corporation Hong Kong Securities Limited</t>
        </is>
      </c>
      <c r="AH335" s="108" t="inlineStr">
        <is>
          <t>China International</t>
        </is>
      </c>
      <c r="AI335" s="120" t="n">
        <v>-3.02</v>
      </c>
      <c r="AJ335" s="121" t="n">
        <v>-0.13</v>
      </c>
      <c r="AK335" s="121" t="n">
        <v>0.59</v>
      </c>
      <c r="AL335" s="121" t="n">
        <v>-7.01</v>
      </c>
      <c r="AM335" s="121" t="n">
        <v>7.4</v>
      </c>
      <c r="AN335" s="123" t="n">
        <v>1.14</v>
      </c>
      <c r="AO335" s="112" t="n">
        <v>8.83</v>
      </c>
      <c r="AP335" s="121" t="n">
        <v>11.63</v>
      </c>
      <c r="AQ335" s="121" t="n">
        <v>26.5</v>
      </c>
      <c r="AR335" s="121" t="n">
        <v>70.34999999999999</v>
      </c>
      <c r="AS335" s="121" t="n">
        <v>11.78</v>
      </c>
      <c r="AT335" s="121" t="n">
        <v>26.66</v>
      </c>
      <c r="AU335" s="121" t="n">
        <v>70.56999999999999</v>
      </c>
      <c r="AV335" s="121" t="n">
        <v>9.550000000000001</v>
      </c>
      <c r="AW335" s="121" t="n">
        <v>16.87</v>
      </c>
      <c r="AX335" s="121" t="n">
        <v>52.99</v>
      </c>
      <c r="AY335" s="121" t="n">
        <v>17.67</v>
      </c>
      <c r="AZ335" s="121" t="n">
        <v>9.630000000000001</v>
      </c>
      <c r="BA335" s="121" t="n">
        <v>8.99</v>
      </c>
      <c r="BB335" s="108" t="inlineStr">
        <is>
          <t>Hang Seng Commerce &amp; Industry sub-index</t>
        </is>
      </c>
      <c r="BC335" s="121" t="n">
        <v>7.23</v>
      </c>
      <c r="BD335" s="109" t="n">
        <v>46297</v>
      </c>
      <c r="BE335" s="110" t="n">
        <v>30741.9</v>
      </c>
      <c r="BF335" s="113" t="n">
        <v>3422.9</v>
      </c>
      <c r="BG335" s="108" t="inlineStr">
        <is>
          <t>Y</t>
        </is>
      </c>
      <c r="BH335" s="123" t="n">
        <v>27.3</v>
      </c>
      <c r="BI335" s="123" t="n">
        <v>24.5</v>
      </c>
      <c r="BJ335" s="123" t="n">
        <v>22.5</v>
      </c>
      <c r="BK335" s="123" t="n">
        <v>3</v>
      </c>
      <c r="BL335" s="124">
        <f>IF('BBG Verify'!S335="","not filed; run on terminal",'BBG Verify'!S335)</f>
        <v/>
      </c>
      <c r="BM335" s="125" t="inlineStr">
        <is>
          <t>Y</t>
        </is>
      </c>
      <c r="BN335" s="108" t="inlineStr">
        <is>
          <t>002050.SZ</t>
        </is>
      </c>
      <c r="BO335" s="121" t="n">
        <v>20.9</v>
      </c>
      <c r="BP335" s="111" t="n">
        <v>27.2396</v>
      </c>
      <c r="BQ335" s="135" t="n">
        <v>0.7298</v>
      </c>
      <c r="BR335" s="113" t="n">
        <v>175921.1</v>
      </c>
      <c r="BS335" s="124">
        <f>IF('BBG Verify'!Q335="","run on terminal",'BBG Verify'!Q335)</f>
        <v/>
      </c>
      <c r="BT335" s="124">
        <f>IF('BBG Verify'!R335="","run on terminal",'BBG Verify'!R335)</f>
        <v/>
      </c>
      <c r="BU335" s="125" t="inlineStr">
        <is>
          <t>China International Capital Corporation Hong Kong Securities Limited; Huatai Financial Holdings (Hong Kong) Limited</t>
        </is>
      </c>
      <c r="BV335" s="108" t="inlineStr">
        <is>
          <t>China International Capital Corporation Hong Kong Securities Limited; Huatai Financial Holdings (Hong Kong) Limited</t>
        </is>
      </c>
      <c r="BW335" s="108" t="inlineStr">
        <is>
          <t>China International Capital Corporation Hong Kong Securities Limited; Huatai Financial Holdings (Hong Kong) Limited; ABCI Capital Limited; Caitong International Securities Co., Limited; GF Securities (Hong Kong) Brokerage Limited; Zheshang International Financial Holdings Co., Limited</t>
        </is>
      </c>
      <c r="BX335" s="108" t="inlineStr">
        <is>
          <t>ABCI Securities Company Limited; BOCI Asia Limited; Caitong International Securities Company Limited; China International Capital Corporation Hong Kong Securities Limited; GF Securities (Hong Kong) Brokerage Limited; Huatai Financial Holdings (Hong Kong) Limited; Zheshang International Financial Holdings Co., Limited</t>
        </is>
      </c>
      <c r="BY335" s="127">
        <f>HYPERLINK("https://www1.hkexnews.hk/listedco/listconews/sehk/2025/0613/2025061300017.pdf","prospectus")</f>
        <v/>
      </c>
      <c r="BZ335" s="127">
        <f>HYPERLINK("https://www1.hkexnews.hk/listedco/listconews/sehk/2025/0620/2025062002236.pdf","allotment")</f>
        <v/>
      </c>
      <c r="CA335" s="127">
        <f>HYPERLINK("https://www1.hkexnews.hk/listedco/listconews/sehk/2025/0718/2025071801258.pdf","stabilisation")</f>
        <v/>
      </c>
      <c r="CB335" s="128" t="n"/>
      <c r="CC335" s="108" t="inlineStr">
        <is>
          <t>range low: maximum offer price only, no floor published; A/H: Jun 2025 H listing (thermal management/humanoid actuators)</t>
        </is>
      </c>
    </row>
    <row r="336" ht="22" customHeight="1">
      <c r="A336" s="107" t="inlineStr">
        <is>
          <t>2617</t>
        </is>
      </c>
      <c r="B336" s="108" t="inlineStr">
        <is>
          <t>TRANSTHERA-B</t>
        </is>
      </c>
      <c r="C336" s="108" t="inlineStr">
        <is>
          <t>藥捷安康－Ｂ</t>
        </is>
      </c>
      <c r="D336" s="108" t="inlineStr">
        <is>
          <t>Healthcare</t>
        </is>
      </c>
      <c r="E336" s="108" t="inlineStr">
        <is>
          <t>Biotech pre-revenue (18A)</t>
        </is>
      </c>
      <c r="F336" s="108" t="inlineStr">
        <is>
          <t>Pharmaceuticals</t>
        </is>
      </c>
      <c r="G336" s="108" t="inlineStr">
        <is>
          <t>18A</t>
        </is>
      </c>
      <c r="H336" s="109" t="n">
        <v>45831</v>
      </c>
      <c r="I336" s="110" t="n">
        <v>200.9</v>
      </c>
      <c r="J336" s="108" t="inlineStr">
        <is>
          <t>gross (price x shares)</t>
        </is>
      </c>
      <c r="K336" s="129" t="n"/>
      <c r="L336" s="111" t="n">
        <v>13.15</v>
      </c>
      <c r="M336" s="111" t="n">
        <v>13.15</v>
      </c>
      <c r="N336" s="108" t="inlineStr">
        <is>
          <t>Y</t>
        </is>
      </c>
      <c r="O336" s="112" t="n">
        <v>100</v>
      </c>
      <c r="P336" s="118" t="n"/>
      <c r="Q336" s="113" t="n">
        <v>5219.2</v>
      </c>
      <c r="R336" s="108" t="inlineStr">
        <is>
          <t>derived:price x shares upon listing</t>
        </is>
      </c>
      <c r="S336" s="114" t="n">
        <v>3419.87</v>
      </c>
      <c r="T336" s="133">
        <f>IF('BBG Verify'!E336="","not filed; run on terminal",'BBG Verify'!E336)</f>
        <v/>
      </c>
      <c r="U336" s="116" t="n">
        <v>63.96</v>
      </c>
      <c r="V336" s="117" t="n">
        <v>123</v>
      </c>
      <c r="W336" s="112" t="n">
        <v>20.01</v>
      </c>
      <c r="X336" s="108" t="inlineStr">
        <is>
          <t>NO</t>
        </is>
      </c>
      <c r="Y336" s="113" t="n">
        <v>72.40000000000001</v>
      </c>
      <c r="Z336" s="113" t="n">
        <v>5507272</v>
      </c>
      <c r="AA336" s="112" t="n">
        <v>1.39</v>
      </c>
      <c r="AB336" s="108" t="inlineStr">
        <is>
          <t>Jiangbei Pharmaceutical Technology (Hong Kong) Limited; Sinohsc Honest Limited; Pharmablock Horizon Capital Limited; Kelingan (Hong Kong) Technology Co., Limited; AKESO,INC</t>
        </is>
      </c>
      <c r="AC336" s="108" t="inlineStr">
        <is>
          <t>jiangbei;sinohsc;pharmablock;kelingan;akeso</t>
        </is>
      </c>
      <c r="AD336" s="112" t="n">
        <v>8.390000000000001</v>
      </c>
      <c r="AE336" s="119" t="n"/>
      <c r="AF336" s="108" t="inlineStr">
        <is>
          <t>2025-07-18</t>
        </is>
      </c>
      <c r="AG336" s="108" t="inlineStr">
        <is>
          <t>CLSA Limited</t>
        </is>
      </c>
      <c r="AH336" s="108" t="inlineStr">
        <is>
          <t>CLSA</t>
        </is>
      </c>
      <c r="AI336" s="120" t="n">
        <v>69.2</v>
      </c>
      <c r="AJ336" s="121" t="n">
        <v>78.70999999999999</v>
      </c>
      <c r="AK336" s="121" t="n">
        <v>1.53</v>
      </c>
      <c r="AL336" s="121" t="n">
        <v>64.64</v>
      </c>
      <c r="AM336" s="121" t="n">
        <v>8.550000000000001</v>
      </c>
      <c r="AN336" s="123" t="n">
        <v>2.79</v>
      </c>
      <c r="AO336" s="112" t="n">
        <v>17.55</v>
      </c>
      <c r="AP336" s="121" t="n">
        <v>129.28</v>
      </c>
      <c r="AQ336" s="121" t="n">
        <v>138.78</v>
      </c>
      <c r="AR336" s="121" t="n">
        <v>1039.92</v>
      </c>
      <c r="AS336" s="121" t="n">
        <v>28.3</v>
      </c>
      <c r="AT336" s="121" t="n">
        <v>33.61</v>
      </c>
      <c r="AU336" s="121" t="n">
        <v>537.86</v>
      </c>
      <c r="AV336" s="121" t="n">
        <v>126.76</v>
      </c>
      <c r="AW336" s="121" t="n">
        <v>121.52</v>
      </c>
      <c r="AX336" s="121" t="n">
        <v>1007.75</v>
      </c>
      <c r="AY336" s="121" t="n">
        <v>18.11</v>
      </c>
      <c r="AZ336" s="121" t="n">
        <v>17.26</v>
      </c>
      <c r="BA336" s="121" t="n">
        <v>15.5</v>
      </c>
      <c r="BB336" s="108" t="inlineStr">
        <is>
          <t>China Biotech ETF (HS biotech proxy)</t>
        </is>
      </c>
      <c r="BC336" s="121" t="n">
        <v>-18.48</v>
      </c>
      <c r="BD336" s="109" t="n">
        <v>46297</v>
      </c>
      <c r="BE336" s="110" t="n">
        <v>1.3</v>
      </c>
      <c r="BF336" s="113" t="n">
        <v>-377.7</v>
      </c>
      <c r="BG336" s="108" t="inlineStr">
        <is>
          <t>N</t>
        </is>
      </c>
      <c r="BH336" s="108" t="inlineStr">
        <is>
          <t>n/m</t>
        </is>
      </c>
      <c r="BI336" s="122" t="n"/>
      <c r="BJ336" s="122" t="n"/>
      <c r="BK336" s="123" t="n">
        <v>4014.8</v>
      </c>
      <c r="BL336" s="124">
        <f>IF('BBG Verify'!S336="","not filed; run on terminal",'BBG Verify'!S336)</f>
        <v/>
      </c>
      <c r="BM336" s="125" t="inlineStr">
        <is>
          <t>N</t>
        </is>
      </c>
      <c r="BN336" s="126">
        <f>IF('BBG Verify'!K336="","not filed; run on terminal",'BBG Verify'!K336)</f>
        <v/>
      </c>
      <c r="BO336" s="108" t="inlineStr">
        <is>
          <t>N/A</t>
        </is>
      </c>
      <c r="BP336" s="108" t="inlineStr">
        <is>
          <t>N/A</t>
        </is>
      </c>
      <c r="BQ336" s="108" t="inlineStr">
        <is>
          <t>N/A</t>
        </is>
      </c>
      <c r="BR336" s="108" t="inlineStr">
        <is>
          <t>N/A</t>
        </is>
      </c>
      <c r="BS336" s="108" t="inlineStr">
        <is>
          <t>N/A</t>
        </is>
      </c>
      <c r="BT336" s="108" t="inlineStr">
        <is>
          <t>N/A</t>
        </is>
      </c>
      <c r="BU336" s="125" t="inlineStr">
        <is>
          <t>(In no particular order) CITIC Securities (Hong Kong) Limited; Huatai Financial Holdings (Hong Kong) Limited</t>
        </is>
      </c>
      <c r="BV336" s="108" t="inlineStr">
        <is>
          <t>Huatai Financial Holdings (Hong Kong) Limited; CITIC Securities (Hong Kong) Limited</t>
        </is>
      </c>
      <c r="BW336" s="108" t="inlineStr">
        <is>
          <t>CLSA Limited; Huatai Financial Holdings (Hong Kong) Limited; BOCI Asia Limited; CMB International Capital Limited; SPDB International Capital Limited; TradeGo Markets Limited</t>
        </is>
      </c>
      <c r="BX336" s="108" t="inlineStr">
        <is>
          <t>BOCI Asia Limited; BOCOM International Securities Limited; CLSA Limited; CMB International Capital Limited; Huatai Financial Holdings (Hong Kong) Limited; SPDB International Capital Limited; TradeGo Markets Limited</t>
        </is>
      </c>
      <c r="BY336" s="127">
        <f>HYPERLINK("https://www1.hkexnews.hk/listedco/listconews/sehk/2025/0613/2025061300035.pdf","prospectus")</f>
        <v/>
      </c>
      <c r="BZ336" s="127">
        <f>HYPERLINK("https://www1.hkexnews.hk/listedco/listconews/sehk/2025/0620/2025062002274.pdf","allotment")</f>
        <v/>
      </c>
      <c r="CA336" s="119" t="n"/>
      <c r="CB336" s="128" t="n"/>
      <c r="CC336" s="108" t="inlineStr">
        <is>
          <t>intl sub: parsed 0.97x rejected (implausible against a 3,420x public book); BBG Verify CP037 fills it; P/E: loss-making at IPO, use P/S; greenshoe: end-of-stabilisation notice not found; range low: maximum offer price only, no floor published; P/S: 4,015x on HK$1.3m revenue, effectively pre-revenue; not comparable</t>
        </is>
      </c>
    </row>
    <row r="337" ht="22" customHeight="1">
      <c r="A337" s="107" t="inlineStr">
        <is>
          <t>2619</t>
        </is>
      </c>
      <c r="B337" s="108" t="inlineStr">
        <is>
          <t>XJ ELECTRICS</t>
        </is>
      </c>
      <c r="C337" s="108" t="inlineStr">
        <is>
          <t>香江電器</t>
        </is>
      </c>
      <c r="D337" s="108" t="inlineStr">
        <is>
          <t>Tech/AI</t>
        </is>
      </c>
      <c r="E337" s="108" t="inlineStr">
        <is>
          <t>Smart hardware / consumer electronics</t>
        </is>
      </c>
      <c r="F337" s="108" t="inlineStr">
        <is>
          <t>Household Appliances</t>
        </is>
      </c>
      <c r="G337" s="108" t="inlineStr">
        <is>
          <t>Standard</t>
        </is>
      </c>
      <c r="H337" s="109" t="n">
        <v>45833</v>
      </c>
      <c r="I337" s="110" t="n">
        <v>195.11</v>
      </c>
      <c r="J337" s="108" t="inlineStr">
        <is>
          <t>gross (stated)</t>
        </is>
      </c>
      <c r="K337" s="129" t="n"/>
      <c r="L337" s="111" t="n">
        <v>3.35</v>
      </c>
      <c r="M337" s="111" t="n">
        <v>2.86</v>
      </c>
      <c r="N337" s="108" t="inlineStr">
        <is>
          <t>N</t>
        </is>
      </c>
      <c r="O337" s="112" t="n">
        <v>85.40000000000001</v>
      </c>
      <c r="P337" s="118" t="n"/>
      <c r="Q337" s="113" t="n">
        <v>780.4</v>
      </c>
      <c r="R337" s="108" t="inlineStr">
        <is>
          <t>derived:price x shares upon listing</t>
        </is>
      </c>
      <c r="S337" s="114" t="n">
        <v>852.38</v>
      </c>
      <c r="T337" s="115" t="n">
        <v>1.08</v>
      </c>
      <c r="U337" s="116" t="n">
        <v>44</v>
      </c>
      <c r="V337" s="117" t="n">
        <v>292</v>
      </c>
      <c r="W337" s="112" t="n">
        <v>50</v>
      </c>
      <c r="X337" s="108" t="inlineStr">
        <is>
          <t>YES</t>
        </is>
      </c>
      <c r="Y337" s="113" t="n">
        <v>109.26</v>
      </c>
      <c r="Z337" s="113" t="n">
        <v>38203200</v>
      </c>
      <c r="AA337" s="112" t="n">
        <v>14</v>
      </c>
      <c r="AB337" s="108" t="inlineStr">
        <is>
          <t>Hubei Shunjie Investment (Hong Kong) Co., Limited; Hong Kong Xinghuang Holdings Limited; Hong Kong Yunxing Technology Trade Management Co., Limited</t>
        </is>
      </c>
      <c r="AC337" s="108" t="inlineStr">
        <is>
          <t>hubei;xinghuang;yunxing</t>
        </is>
      </c>
      <c r="AD337" s="112" t="n">
        <v>19</v>
      </c>
      <c r="AE337" s="119" t="n"/>
      <c r="AF337" s="119" t="n"/>
      <c r="AG337" s="108" t="inlineStr">
        <is>
          <t>Sinolink Securities</t>
        </is>
      </c>
      <c r="AH337" s="108" t="inlineStr">
        <is>
          <t>Sinolink</t>
        </is>
      </c>
      <c r="AI337" s="120" t="n">
        <v>-4.9</v>
      </c>
      <c r="AJ337" s="121" t="n">
        <v>-11.89</v>
      </c>
      <c r="AK337" s="121" t="n">
        <v>1.06</v>
      </c>
      <c r="AL337" s="121" t="n">
        <v>-7.34</v>
      </c>
      <c r="AM337" s="121" t="n">
        <v>-4.91</v>
      </c>
      <c r="AN337" s="123" t="n">
        <v>0.88</v>
      </c>
      <c r="AO337" s="112" t="n">
        <v>8.68</v>
      </c>
      <c r="AP337" s="121" t="n">
        <v>-18.53</v>
      </c>
      <c r="AQ337" s="121" t="n">
        <v>-16.08</v>
      </c>
      <c r="AR337" s="121" t="n">
        <v>-31.82</v>
      </c>
      <c r="AS337" s="121" t="n">
        <v>-7.54</v>
      </c>
      <c r="AT337" s="121" t="n">
        <v>-4.76</v>
      </c>
      <c r="AU337" s="121" t="n">
        <v>-22.62</v>
      </c>
      <c r="AV337" s="121" t="n">
        <v>-17.47</v>
      </c>
      <c r="AW337" s="121" t="n">
        <v>-23.2</v>
      </c>
      <c r="AX337" s="121" t="n">
        <v>-48.07</v>
      </c>
      <c r="AY337" s="121" t="n">
        <v>-10.75</v>
      </c>
      <c r="AZ337" s="121" t="n">
        <v>7.12</v>
      </c>
      <c r="BA337" s="121" t="n">
        <v>5.99</v>
      </c>
      <c r="BB337" s="108" t="inlineStr">
        <is>
          <t>HSTECH (Hang Seng TECH ETF)</t>
        </is>
      </c>
      <c r="BC337" s="121" t="n">
        <v>-59.97</v>
      </c>
      <c r="BD337" s="109" t="n">
        <v>46297</v>
      </c>
      <c r="BE337" s="110" t="n">
        <v>1651.7</v>
      </c>
      <c r="BF337" s="113" t="n">
        <v>154.5</v>
      </c>
      <c r="BG337" s="108" t="inlineStr">
        <is>
          <t>Y</t>
        </is>
      </c>
      <c r="BH337" s="123" t="n">
        <v>5.1</v>
      </c>
      <c r="BI337" s="123" t="n">
        <v>3.3</v>
      </c>
      <c r="BJ337" s="123" t="n">
        <v>5.3</v>
      </c>
      <c r="BK337" s="123" t="n">
        <v>0.5</v>
      </c>
      <c r="BL337" s="124">
        <f>IF('BBG Verify'!S337="","not filed; run on terminal",'BBG Verify'!S337)</f>
        <v/>
      </c>
      <c r="BM337" s="125" t="inlineStr">
        <is>
          <t>N</t>
        </is>
      </c>
      <c r="BN337" s="126">
        <f>IF('BBG Verify'!K337="","not filed; run on terminal",'BBG Verify'!K337)</f>
        <v/>
      </c>
      <c r="BO337" s="108" t="inlineStr">
        <is>
          <t>N/A</t>
        </is>
      </c>
      <c r="BP337" s="108" t="inlineStr">
        <is>
          <t>N/A</t>
        </is>
      </c>
      <c r="BQ337" s="108" t="inlineStr">
        <is>
          <t>N/A</t>
        </is>
      </c>
      <c r="BR337" s="108" t="inlineStr">
        <is>
          <t>N/A</t>
        </is>
      </c>
      <c r="BS337" s="108" t="inlineStr">
        <is>
          <t>N/A</t>
        </is>
      </c>
      <c r="BT337" s="108" t="inlineStr">
        <is>
          <t>N/A</t>
        </is>
      </c>
      <c r="BU337" s="125" t="inlineStr">
        <is>
          <t>Sinolink Securities (Hong Kong) Company Limited</t>
        </is>
      </c>
      <c r="BV337" s="108" t="inlineStr">
        <is>
          <t>Sinolink Securities (Hong Kong) Company Limited</t>
        </is>
      </c>
      <c r="BW337" s="108" t="inlineStr">
        <is>
          <t>Sinolink Securities (Hong Kong) Company Limited</t>
        </is>
      </c>
      <c r="BX337" s="108" t="inlineStr">
        <is>
          <t>ABCI Securities Company Limited; CCB International Capital Limited; CMBC Securities Company Limited; CMB International Capital Limited; First Fidelity Capital (International) Limited; Sinolink Securities (Hong Kong) Company Limited; UZen Securities Limited; Valuable Capital Limited</t>
        </is>
      </c>
      <c r="BY337" s="127">
        <f>HYPERLINK("https://www1.hkexnews.hk/listedco/listconews/sehk/2025/0617/2025061700043.pdf","prospectus")</f>
        <v/>
      </c>
      <c r="BZ337" s="127">
        <f>HYPERLINK("https://www1.hkexnews.hk/listedco/listconews/sehk/2025/0624/2025062401168.pdf","allotment")</f>
        <v/>
      </c>
      <c r="CA337" s="119" t="n"/>
      <c r="CB337" s="128" t="n"/>
      <c r="CC337" s="108" t="inlineStr">
        <is>
          <t>greenshoe: end-of-stabilisation notice not found; range low: maximum offer price only, no floor published; sponsor: English name not in the filing; AAStocks 保薦人 shown</t>
        </is>
      </c>
    </row>
    <row r="338" ht="22" customHeight="1">
      <c r="A338" s="107" t="inlineStr">
        <is>
          <t>2643</t>
        </is>
      </c>
      <c r="B338" s="108" t="inlineStr">
        <is>
          <t>CAOCAO INC</t>
        </is>
      </c>
      <c r="C338" s="108" t="inlineStr">
        <is>
          <t>曹操出行</t>
        </is>
      </c>
      <c r="D338" s="108" t="inlineStr">
        <is>
          <t>Tech/AI</t>
        </is>
      </c>
      <c r="E338" s="108" t="inlineStr">
        <is>
          <t>Internet platform / e-commerce</t>
        </is>
      </c>
      <c r="F338" s="108" t="inlineStr">
        <is>
          <t>Trucking</t>
        </is>
      </c>
      <c r="G338" s="108" t="inlineStr">
        <is>
          <t>Standard</t>
        </is>
      </c>
      <c r="H338" s="109" t="n">
        <v>45833</v>
      </c>
      <c r="I338" s="110" t="n">
        <v>1852.85</v>
      </c>
      <c r="J338" s="108" t="inlineStr">
        <is>
          <t>gross (stated)</t>
        </is>
      </c>
      <c r="K338" s="129" t="n"/>
      <c r="L338" s="111" t="n">
        <v>41.94</v>
      </c>
      <c r="M338" s="111" t="n">
        <v>41.94</v>
      </c>
      <c r="N338" s="108" t="inlineStr">
        <is>
          <t>Y</t>
        </is>
      </c>
      <c r="O338" s="112" t="n">
        <v>100</v>
      </c>
      <c r="P338" s="118" t="n"/>
      <c r="Q338" s="113" t="n">
        <v>22822.9</v>
      </c>
      <c r="R338" s="108" t="inlineStr">
        <is>
          <t>derived:price x shares upon listing</t>
        </is>
      </c>
      <c r="S338" s="114" t="n">
        <v>21.14</v>
      </c>
      <c r="T338" s="115" t="n">
        <v>2.78</v>
      </c>
      <c r="U338" s="116" t="n">
        <v>51.3</v>
      </c>
      <c r="V338" s="117" t="n">
        <v>120</v>
      </c>
      <c r="W338" s="112" t="n">
        <v>30</v>
      </c>
      <c r="X338" s="108" t="inlineStr">
        <is>
          <t>YES</t>
        </is>
      </c>
      <c r="Y338" s="113" t="n">
        <v>902.34</v>
      </c>
      <c r="Z338" s="113" t="n">
        <v>21514978</v>
      </c>
      <c r="AA338" s="112" t="n">
        <v>3.95</v>
      </c>
      <c r="AB338" s="108" t="inlineStr">
        <is>
          <t>Mercedes-Benz Mobility Services; Mirae Asset Securities Co., Ltd; Infini Global Master Fund; GOTION HIGH-TECH (HK) LIMITED; EVE Asia; RoboSense Hong Kong</t>
        </is>
      </c>
      <c r="AC338" s="108" t="inlineStr">
        <is>
          <t>mercedes;mirae;infini;gotion;eve;robosense</t>
        </is>
      </c>
      <c r="AD338" s="112" t="n">
        <v>15</v>
      </c>
      <c r="AE338" s="108" t="inlineStr">
        <is>
          <t>partial</t>
        </is>
      </c>
      <c r="AF338" s="119" t="n"/>
      <c r="AG338" s="108" t="inlineStr">
        <is>
          <t>GF Securities</t>
        </is>
      </c>
      <c r="AH338" s="108" t="inlineStr">
        <is>
          <t>GF</t>
        </is>
      </c>
      <c r="AI338" s="120" t="n">
        <v>-14.16</v>
      </c>
      <c r="AJ338" s="121" t="n">
        <v>-14.16</v>
      </c>
      <c r="AK338" s="121" t="n">
        <v>1.06</v>
      </c>
      <c r="AL338" s="121" t="n">
        <v>-19.41</v>
      </c>
      <c r="AM338" s="121" t="n">
        <v>6.51</v>
      </c>
      <c r="AN338" s="123" t="n">
        <v>1.02</v>
      </c>
      <c r="AO338" s="112" t="n">
        <v>11.69</v>
      </c>
      <c r="AP338" s="121" t="n">
        <v>-16.19</v>
      </c>
      <c r="AQ338" s="121" t="n">
        <v>-3.55</v>
      </c>
      <c r="AR338" s="121" t="n">
        <v>25.18</v>
      </c>
      <c r="AS338" s="121" t="n">
        <v>-2.36</v>
      </c>
      <c r="AT338" s="121" t="n">
        <v>12.36</v>
      </c>
      <c r="AU338" s="121" t="n">
        <v>45.83</v>
      </c>
      <c r="AV338" s="121" t="n">
        <v>-15.13</v>
      </c>
      <c r="AW338" s="121" t="n">
        <v>-10.67</v>
      </c>
      <c r="AX338" s="121" t="n">
        <v>8.93</v>
      </c>
      <c r="AY338" s="121" t="n">
        <v>6.37</v>
      </c>
      <c r="AZ338" s="121" t="n">
        <v>7.12</v>
      </c>
      <c r="BA338" s="121" t="n">
        <v>5.99</v>
      </c>
      <c r="BB338" s="108" t="inlineStr">
        <is>
          <t>HSTECH (Hang Seng TECH ETF)</t>
        </is>
      </c>
      <c r="BC338" s="121" t="n">
        <v>-72.01000000000001</v>
      </c>
      <c r="BD338" s="109" t="n">
        <v>46297</v>
      </c>
      <c r="BE338" s="110" t="n">
        <v>16123.2</v>
      </c>
      <c r="BF338" s="113" t="n">
        <v>-1371</v>
      </c>
      <c r="BG338" s="108" t="inlineStr">
        <is>
          <t>N</t>
        </is>
      </c>
      <c r="BH338" s="108" t="inlineStr">
        <is>
          <t>n/m</t>
        </is>
      </c>
      <c r="BI338" s="122" t="n"/>
      <c r="BJ338" s="122" t="n"/>
      <c r="BK338" s="123" t="n">
        <v>1.4</v>
      </c>
      <c r="BL338" s="124">
        <f>IF('BBG Verify'!S338="","not filed; run on terminal",'BBG Verify'!S338)</f>
        <v/>
      </c>
      <c r="BM338" s="125" t="inlineStr">
        <is>
          <t>N</t>
        </is>
      </c>
      <c r="BN338" s="126">
        <f>IF('BBG Verify'!K338="","not filed; run on terminal",'BBG Verify'!K338)</f>
        <v/>
      </c>
      <c r="BO338" s="108" t="inlineStr">
        <is>
          <t>N/A</t>
        </is>
      </c>
      <c r="BP338" s="108" t="inlineStr">
        <is>
          <t>N/A</t>
        </is>
      </c>
      <c r="BQ338" s="108" t="inlineStr">
        <is>
          <t>N/A</t>
        </is>
      </c>
      <c r="BR338" s="108" t="inlineStr">
        <is>
          <t>N/A</t>
        </is>
      </c>
      <c r="BS338" s="108" t="inlineStr">
        <is>
          <t>N/A</t>
        </is>
      </c>
      <c r="BT338" s="108" t="inlineStr">
        <is>
          <t>N/A</t>
        </is>
      </c>
      <c r="BU338" s="125" t="inlineStr">
        <is>
          <t>Huatai Financial Holdings (Hong Kong) Limited; ABCI Capital Limited; GF Capital (Hong Kong) Limited</t>
        </is>
      </c>
      <c r="BV338" s="108" t="inlineStr">
        <is>
          <t>Huatai Financial Holdings (Hong Kong) Limited; GF Capital (Hong Kong) Limited; ABCI Capital Limited</t>
        </is>
      </c>
      <c r="BW338" s="108" t="inlineStr">
        <is>
          <t>Huatai Financial Holdings (Hong Kong) Limited; ABCI Capital Limited; GF Securities (Hong Kong) Brokerage Limited; China International Capital Corporation Hong Kong Securities Limited; China Galaxy International Securities (Hong Kong) Co., Limited; CEB International Capital Corporation Limited; BOCI Asia Limited; Soochow Securities International Brokerage Limited</t>
        </is>
      </c>
      <c r="BX338" s="108" t="inlineStr">
        <is>
          <t>ABCI Securities Company Limited; BOCI Asia Limited; CEB International Capital Corporation Limited; China Galaxy International Securities (Hong Kong) Company Limited; China International Capital Corporation Hong Kong Securities Limited; Futu Securities International (Hong Kong) Limited; GF Securities (Hong Kong) Brokerage Limited; Huatai Financial Holdings (Hong Kong) Limited; ICBC International Securities Limited; Neutral Financial Holding Company Limited; Soochow Securities International Brokerage Limited; Star River Securities Limited</t>
        </is>
      </c>
      <c r="BY338" s="127">
        <f>HYPERLINK("https://www1.hkexnews.hk/listedco/listconews/sehk/2025/0617/2025061700008.pdf","prospectus")</f>
        <v/>
      </c>
      <c r="BZ338" s="127">
        <f>HYPERLINK("https://www1.hkexnews.hk/listedco/listconews/sehk/2025/0624/2025062401322.pdf","allotment")</f>
        <v/>
      </c>
      <c r="CA338" s="127">
        <f>HYPERLINK("https://www1.hkexnews.hk/listedco/listconews/sehk/2025/0721/2025072100017.pdf","stabilisation")</f>
        <v/>
      </c>
      <c r="CB338" s="128" t="n"/>
      <c r="CC338" s="108" t="inlineStr">
        <is>
          <t>P/E: loss-making at IPO, use P/S; greenshoe: outcome published; expiry date not in the notice; range low: maximum offer price only, no floor published</t>
        </is>
      </c>
    </row>
    <row r="339" ht="22" customHeight="1">
      <c r="A339" s="107" t="inlineStr">
        <is>
          <t>6168</t>
        </is>
      </c>
      <c r="B339" s="108" t="inlineStr">
        <is>
          <t>ZHOU LIU FU</t>
        </is>
      </c>
      <c r="C339" s="108" t="inlineStr">
        <is>
          <t>周六福</t>
        </is>
      </c>
      <c r="D339" s="108" t="inlineStr">
        <is>
          <t>Consumer</t>
        </is>
      </c>
      <c r="E339" s="108" t="inlineStr">
        <is>
          <t>Apparel / luxury</t>
        </is>
      </c>
      <c r="F339" s="108" t="inlineStr">
        <is>
          <t>Watch &amp; Jewellery</t>
        </is>
      </c>
      <c r="G339" s="108" t="inlineStr">
        <is>
          <t>Standard</t>
        </is>
      </c>
      <c r="H339" s="109" t="n">
        <v>45834</v>
      </c>
      <c r="I339" s="110" t="n">
        <v>1291.9</v>
      </c>
      <c r="J339" s="108" t="inlineStr">
        <is>
          <t>gross (stated)</t>
        </is>
      </c>
      <c r="K339" s="129" t="n"/>
      <c r="L339" s="111" t="n">
        <v>24</v>
      </c>
      <c r="M339" s="111" t="n">
        <v>24</v>
      </c>
      <c r="N339" s="108" t="inlineStr">
        <is>
          <t>Y</t>
        </is>
      </c>
      <c r="O339" s="112" t="n">
        <v>100</v>
      </c>
      <c r="P339" s="118" t="n"/>
      <c r="Q339" s="113" t="n">
        <v>10381</v>
      </c>
      <c r="R339" s="108" t="inlineStr">
        <is>
          <t>derived:price x shares upon listing</t>
        </is>
      </c>
      <c r="S339" s="114" t="n">
        <v>711.11</v>
      </c>
      <c r="T339" s="115" t="n">
        <v>13.55</v>
      </c>
      <c r="U339" s="116" t="n">
        <v>44.38</v>
      </c>
      <c r="V339" s="117" t="n">
        <v>129</v>
      </c>
      <c r="W339" s="112" t="n">
        <v>43.48</v>
      </c>
      <c r="X339" s="108" t="inlineStr">
        <is>
          <t>YES</t>
        </is>
      </c>
      <c r="Y339" s="113" t="n">
        <v>718.55</v>
      </c>
      <c r="Z339" s="113" t="n">
        <v>29939801</v>
      </c>
      <c r="AA339" s="112" t="n">
        <v>6.92</v>
      </c>
      <c r="AB339" s="108" t="inlineStr">
        <is>
          <t>Yongcheng No. 2 Hong Kong Limited; Jump Trading Pacific Pte. Ltd; Shenzhen Luohu Investment Holding Co., Ltd; Pimlico Family Office Limited; Seraphim Advantage Inc; CICC Financial Trading Limited (in connection with Dreamee Yongxin OTC Swaps); Lingbao Gold International Company Limited; GF Fund Management Co., Ltd</t>
        </is>
      </c>
      <c r="AC339" s="108" t="inlineStr">
        <is>
          <t>yongcheng;jump;shenzhen-luohu;pimlico;seraphim;china-international;lingbao;gf</t>
        </is>
      </c>
      <c r="AD339" s="112" t="n">
        <v>15</v>
      </c>
      <c r="AE339" s="108" t="inlineStr">
        <is>
          <t>full</t>
        </is>
      </c>
      <c r="AF339" s="119" t="n"/>
      <c r="AG339" s="119" t="n"/>
      <c r="AH339" s="119" t="n"/>
      <c r="AI339" s="120" t="n">
        <v>12.92</v>
      </c>
      <c r="AJ339" s="121" t="n">
        <v>25</v>
      </c>
      <c r="AK339" s="121" t="n">
        <v>-0.72</v>
      </c>
      <c r="AL339" s="121" t="n">
        <v>11.25</v>
      </c>
      <c r="AM339" s="121" t="n">
        <v>12.36</v>
      </c>
      <c r="AN339" s="123" t="n">
        <v>1.5</v>
      </c>
      <c r="AO339" s="112" t="n">
        <v>12.36</v>
      </c>
      <c r="AP339" s="121" t="n">
        <v>55.42</v>
      </c>
      <c r="AQ339" s="121" t="n">
        <v>61.46</v>
      </c>
      <c r="AR339" s="121" t="n">
        <v>81.25</v>
      </c>
      <c r="AS339" s="121" t="n">
        <v>24.34</v>
      </c>
      <c r="AT339" s="121" t="n">
        <v>29.17</v>
      </c>
      <c r="AU339" s="121" t="n">
        <v>45</v>
      </c>
      <c r="AV339" s="121" t="n">
        <v>57.84</v>
      </c>
      <c r="AW339" s="121" t="n">
        <v>56.14</v>
      </c>
      <c r="AX339" s="121" t="n">
        <v>67.05</v>
      </c>
      <c r="AY339" s="121" t="n">
        <v>23.08</v>
      </c>
      <c r="AZ339" s="121" t="n">
        <v>5.32</v>
      </c>
      <c r="BA339" s="121" t="n">
        <v>6.09</v>
      </c>
      <c r="BB339" s="108" t="inlineStr">
        <is>
          <t>Hang Seng Commerce &amp; Industry sub-index</t>
        </is>
      </c>
      <c r="BC339" s="121" t="n">
        <v>-49.04</v>
      </c>
      <c r="BD339" s="109" t="n">
        <v>46297</v>
      </c>
      <c r="BE339" s="132" t="n"/>
      <c r="BF339" s="131" t="n"/>
      <c r="BG339" s="108" t="inlineStr">
        <is>
          <t>Y</t>
        </is>
      </c>
      <c r="BH339" s="123" t="n">
        <v>14.5</v>
      </c>
      <c r="BI339" s="123" t="n">
        <v>14.5</v>
      </c>
      <c r="BJ339" s="123" t="n">
        <v>6.3</v>
      </c>
      <c r="BK339" s="122" t="n"/>
      <c r="BL339" s="124">
        <f>IF('BBG Verify'!S339="","not filed; run on terminal",'BBG Verify'!S339)</f>
        <v/>
      </c>
      <c r="BM339" s="125" t="inlineStr">
        <is>
          <t>N</t>
        </is>
      </c>
      <c r="BN339" s="126">
        <f>IF('BBG Verify'!K339="","not filed; run on terminal",'BBG Verify'!K339)</f>
        <v/>
      </c>
      <c r="BO339" s="108" t="inlineStr">
        <is>
          <t>N/A</t>
        </is>
      </c>
      <c r="BP339" s="108" t="inlineStr">
        <is>
          <t>N/A</t>
        </is>
      </c>
      <c r="BQ339" s="108" t="inlineStr">
        <is>
          <t>N/A</t>
        </is>
      </c>
      <c r="BR339" s="108" t="inlineStr">
        <is>
          <t>N/A</t>
        </is>
      </c>
      <c r="BS339" s="108" t="inlineStr">
        <is>
          <t>N/A</t>
        </is>
      </c>
      <c r="BT339" s="108" t="inlineStr">
        <is>
          <t>N/A</t>
        </is>
      </c>
      <c r="BU339" s="125" t="inlineStr">
        <is>
          <t>China International Capital Corporation Hong Kong Securities Limited; China Securities (International) Corporate Finance Company Limited</t>
        </is>
      </c>
      <c r="BV339" s="108" t="inlineStr">
        <is>
          <t>China International Capital Corporation Hong Kong Securities Limited; China Securities (International) Corporate Finance Company Limited</t>
        </is>
      </c>
      <c r="BW339" s="108" t="inlineStr">
        <is>
          <t>China International Capital Corporation Hong Kong Securities Limited; China Securities (International) Corporate Finance Company Limited; CMB International Capital Limited; ABCI Capital Limited; BOCOM International Securities Limited; China Galaxy International Securities (Hong Kong) Co., Limited; China Industrial Securities International Capital Limited; Futu Securities International (Hong Kong) Limited; Tiger Brokers (HK) Global Limited</t>
        </is>
      </c>
      <c r="BX339" s="108"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Fosun International Securities Limited; Futu Securities International (Hong Kong) Limited; Tiger Brokers (HK) Global Limited</t>
        </is>
      </c>
      <c r="BY339" s="127">
        <f>HYPERLINK("https://www1.hkexnews.hk/listedco/listconews/sehk/2025/0618/2025061800023.pdf","prospectus")</f>
        <v/>
      </c>
      <c r="BZ339" s="127">
        <f>HYPERLINK("https://www1.hkexnews.hk/listedco/listconews/sehk/2025/0625/2025062502268.pdf","allotment")</f>
        <v/>
      </c>
      <c r="CA339" s="127">
        <f>HYPERLINK("https://www1.hkexnews.hk/listedco/listconews/sehk/2025/0723/2025072301100.pdf","stabilisation")</f>
        <v/>
      </c>
      <c r="CB339" s="128" t="n"/>
      <c r="CC339" s="108" t="inlineStr">
        <is>
          <t>P/E: Bloomberg trailing-12m basis (prospectus-year multiple not derivable); greenshoe: outcome published; expiry date not in the notice; range low: maximum offer price only, no floor published; P/S: revenue not extractable; stabilising manager: not named in the allotment notice or prospectus glossary; financials rejected: net income HK$632.8m exceeds revenue HK$535.7m; both withheld with their multiples</t>
        </is>
      </c>
    </row>
    <row r="340" ht="22" customHeight="1">
      <c r="A340" s="107" t="inlineStr">
        <is>
          <t>2508</t>
        </is>
      </c>
      <c r="B340" s="108" t="inlineStr">
        <is>
          <t>SAINT BELLA</t>
        </is>
      </c>
      <c r="C340" s="108" t="inlineStr">
        <is>
          <t>聖貝拉集團</t>
        </is>
      </c>
      <c r="D340" s="108" t="inlineStr">
        <is>
          <t>Healthcare</t>
        </is>
      </c>
      <c r="E340" s="108" t="inlineStr">
        <is>
          <t>Hospitals / clinics</t>
        </is>
      </c>
      <c r="F340" s="108" t="inlineStr">
        <is>
          <t>Health Care Services</t>
        </is>
      </c>
      <c r="G340" s="108" t="inlineStr">
        <is>
          <t>Standard</t>
        </is>
      </c>
      <c r="H340" s="109" t="n">
        <v>45834</v>
      </c>
      <c r="I340" s="110" t="n">
        <v>722</v>
      </c>
      <c r="J340" s="108" t="inlineStr">
        <is>
          <t>gross (price x shares)</t>
        </is>
      </c>
      <c r="K340" s="129" t="n"/>
      <c r="L340" s="111" t="n">
        <v>6.58</v>
      </c>
      <c r="M340" s="111" t="n">
        <v>6.58</v>
      </c>
      <c r="N340" s="108" t="inlineStr">
        <is>
          <t>Y</t>
        </is>
      </c>
      <c r="O340" s="112" t="n">
        <v>100</v>
      </c>
      <c r="P340" s="118" t="n"/>
      <c r="Q340" s="113" t="n">
        <v>4012</v>
      </c>
      <c r="R340" s="108" t="inlineStr">
        <is>
          <t>derived:price x shares upon listing</t>
        </is>
      </c>
      <c r="S340" s="114" t="n">
        <v>193</v>
      </c>
      <c r="T340" s="115" t="n">
        <v>15.59</v>
      </c>
      <c r="U340" s="116" t="n">
        <v>44.96</v>
      </c>
      <c r="V340" s="117" t="n">
        <v>100</v>
      </c>
      <c r="W340" s="112" t="n">
        <v>43.48</v>
      </c>
      <c r="X340" s="108" t="inlineStr">
        <is>
          <t>YES</t>
        </is>
      </c>
      <c r="Y340" s="113" t="n">
        <v>397.39</v>
      </c>
      <c r="Z340" s="113" t="n">
        <v>60397043</v>
      </c>
      <c r="AA340" s="112" t="n">
        <v>9.91</v>
      </c>
      <c r="AB340" s="108" t="inlineStr">
        <is>
          <t>GIMM Holding Limited; China Asset Management (Hong Kong) Limited; JKKB Limited; Carl Wu; SS Morgan Capital Limited; Minwise Business Consulting Limited; Wang Qianqing</t>
        </is>
      </c>
      <c r="AC340" s="108" t="inlineStr">
        <is>
          <t>gimm;china-asset;jkkb;carl;ss;minwise;wang-qianqing</t>
        </is>
      </c>
      <c r="AD340" s="112" t="n">
        <v>15</v>
      </c>
      <c r="AE340" s="108" t="inlineStr">
        <is>
          <t>partial</t>
        </is>
      </c>
      <c r="AF340" s="108" t="inlineStr">
        <is>
          <t>2025-07-23</t>
        </is>
      </c>
      <c r="AG340" s="108" t="inlineStr">
        <is>
          <t>UBS AG Hong Kong Branch</t>
        </is>
      </c>
      <c r="AH340" s="108" t="inlineStr">
        <is>
          <t>UBS</t>
        </is>
      </c>
      <c r="AI340" s="120" t="n">
        <v>21.88</v>
      </c>
      <c r="AJ340" s="121" t="n">
        <v>33.74</v>
      </c>
      <c r="AK340" s="121" t="n">
        <v>-2.25</v>
      </c>
      <c r="AL340" s="121" t="n">
        <v>28.42</v>
      </c>
      <c r="AM340" s="121" t="n">
        <v>4.14</v>
      </c>
      <c r="AN340" s="123" t="n">
        <v>1.98</v>
      </c>
      <c r="AO340" s="112" t="n">
        <v>30.18</v>
      </c>
      <c r="AP340" s="121" t="n">
        <v>0.46</v>
      </c>
      <c r="AQ340" s="121" t="n">
        <v>16.41</v>
      </c>
      <c r="AR340" s="121" t="n">
        <v>-6.53</v>
      </c>
      <c r="AS340" s="121" t="n">
        <v>-24.88</v>
      </c>
      <c r="AT340" s="121" t="n">
        <v>-12.96</v>
      </c>
      <c r="AU340" s="121" t="n">
        <v>-30.11</v>
      </c>
      <c r="AV340" s="121" t="n">
        <v>-3.25</v>
      </c>
      <c r="AW340" s="121" t="n">
        <v>-2.52</v>
      </c>
      <c r="AX340" s="121" t="n">
        <v>-34</v>
      </c>
      <c r="AY340" s="121" t="n">
        <v>-34.63</v>
      </c>
      <c r="AZ340" s="121" t="n">
        <v>18.93</v>
      </c>
      <c r="BA340" s="121" t="n">
        <v>21.67</v>
      </c>
      <c r="BB340" s="108" t="inlineStr">
        <is>
          <t>China Biotech ETF (HS biotech proxy)</t>
        </is>
      </c>
      <c r="BC340" s="121" t="n">
        <v>-59.88</v>
      </c>
      <c r="BD340" s="109" t="n">
        <v>46297</v>
      </c>
      <c r="BE340" s="110" t="n">
        <v>878.5</v>
      </c>
      <c r="BF340" s="113" t="n">
        <v>-597.6</v>
      </c>
      <c r="BG340" s="108" t="inlineStr">
        <is>
          <t>N</t>
        </is>
      </c>
      <c r="BH340" s="108" t="inlineStr">
        <is>
          <t>n/m</t>
        </is>
      </c>
      <c r="BI340" s="122" t="n"/>
      <c r="BJ340" s="123" t="n">
        <v>2.2</v>
      </c>
      <c r="BK340" s="123" t="n">
        <v>4.6</v>
      </c>
      <c r="BL340" s="124">
        <f>IF('BBG Verify'!S340="","not filed; run on terminal",'BBG Verify'!S340)</f>
        <v/>
      </c>
      <c r="BM340" s="125" t="inlineStr">
        <is>
          <t>N</t>
        </is>
      </c>
      <c r="BN340" s="126">
        <f>IF('BBG Verify'!K340="","not filed; run on terminal",'BBG Verify'!K340)</f>
        <v/>
      </c>
      <c r="BO340" s="108" t="inlineStr">
        <is>
          <t>N/A</t>
        </is>
      </c>
      <c r="BP340" s="108" t="inlineStr">
        <is>
          <t>N/A</t>
        </is>
      </c>
      <c r="BQ340" s="108" t="inlineStr">
        <is>
          <t>N/A</t>
        </is>
      </c>
      <c r="BR340" s="108" t="inlineStr">
        <is>
          <t>N/A</t>
        </is>
      </c>
      <c r="BS340" s="108" t="inlineStr">
        <is>
          <t>N/A</t>
        </is>
      </c>
      <c r="BT340" s="108" t="inlineStr">
        <is>
          <t>N/A</t>
        </is>
      </c>
      <c r="BU340" s="125" t="inlineStr">
        <is>
          <t>UBS Securities Hong Kong Limited; CITIC Securities (Hong Kong) Limited</t>
        </is>
      </c>
      <c r="BV340" s="108" t="inlineStr">
        <is>
          <t>UBS Securities Hong Kong Limited; CITIC Securities (Hong Kong) Limited</t>
        </is>
      </c>
      <c r="BW340" s="108" t="inlineStr">
        <is>
          <t>UBS AG Hong Kong Branch; CLSA Limited; Huatai Financial Holdings (Hong Kong) Limited; GF Securities (Hong Kong) Brokerage Limited; CMB International Capital Limited; CCB International Capital Limited; Caitong International Securities Co., Limited; Futu Securities International (Hong Kong) Limited</t>
        </is>
      </c>
      <c r="BX340" s="108" t="inlineStr">
        <is>
          <t>Caitong International Securities Company Limited; CCB International Capital Limited; CLSA Limited; CMB International Capital Limited; Futu Securities International (Hong Kong) Limited; GF Securities (Hong Kong) Brokerage Limited; Huatai Financial Holdings (Hong Kong) Limited; Mirae Asset Securities (HK) Limited; UBS AG Hong Kong Branch</t>
        </is>
      </c>
      <c r="BY340" s="127">
        <f>HYPERLINK("https://www1.hkexnews.hk/listedco/listconews/sehk/2025/0618/2025061800127.pdf","prospectus")</f>
        <v/>
      </c>
      <c r="BZ340" s="127">
        <f>HYPERLINK("https://www1.hkexnews.hk/listedco/listconews/sehk/2025/0625/2025062502266.pdf","allotment")</f>
        <v/>
      </c>
      <c r="CA340" s="127">
        <f>HYPERLINK("https://www1.hkexnews.hk/listedco/listconews/sehk/2025/0723/2025072301180.pdf","stabilisation")</f>
        <v/>
      </c>
      <c r="CB340" s="128" t="n"/>
      <c r="CC340" s="108" t="inlineStr">
        <is>
          <t>P/E: loss-making at IPO, use P/S; range low: maximum offer price only, no floor published</t>
        </is>
      </c>
    </row>
    <row r="341" ht="22" customHeight="1">
      <c r="A341" s="107" t="inlineStr">
        <is>
          <t>6883</t>
        </is>
      </c>
      <c r="B341" s="108" t="inlineStr">
        <is>
          <t>ETERNAL BEAUTY</t>
        </is>
      </c>
      <c r="C341" s="108" t="inlineStr">
        <is>
          <t>穎通控股</t>
        </is>
      </c>
      <c r="D341" s="108" t="inlineStr">
        <is>
          <t>Consumer</t>
        </is>
      </c>
      <c r="E341" s="108" t="inlineStr">
        <is>
          <t>Beauty / personal care</t>
        </is>
      </c>
      <c r="F341" s="108" t="inlineStr">
        <is>
          <t>Beauty &amp; Toiletries Products and Services</t>
        </is>
      </c>
      <c r="G341" s="108" t="inlineStr">
        <is>
          <t>Standard</t>
        </is>
      </c>
      <c r="H341" s="109" t="n">
        <v>45834</v>
      </c>
      <c r="I341" s="110" t="n">
        <v>960.1900000000001</v>
      </c>
      <c r="J341" s="108" t="inlineStr">
        <is>
          <t>gross (stated)</t>
        </is>
      </c>
      <c r="K341" s="111" t="n">
        <v>2.8</v>
      </c>
      <c r="L341" s="111" t="n">
        <v>3.38</v>
      </c>
      <c r="M341" s="111" t="n">
        <v>2.88</v>
      </c>
      <c r="N341" s="108" t="inlineStr">
        <is>
          <t>N</t>
        </is>
      </c>
      <c r="O341" s="112" t="n">
        <v>85.2</v>
      </c>
      <c r="P341" s="112" t="n">
        <v>13.8</v>
      </c>
      <c r="Q341" s="113" t="n">
        <v>3840.2</v>
      </c>
      <c r="R341" s="108" t="inlineStr">
        <is>
          <t>derived:price x shares upon listing</t>
        </is>
      </c>
      <c r="S341" s="114" t="n">
        <v>35.84</v>
      </c>
      <c r="T341" s="115" t="n">
        <v>3.5</v>
      </c>
      <c r="U341" s="116" t="n">
        <v>0</v>
      </c>
      <c r="V341" s="117" t="n">
        <v>210</v>
      </c>
      <c r="W341" s="112" t="n">
        <v>30</v>
      </c>
      <c r="X341" s="108" t="inlineStr">
        <is>
          <t>YES</t>
        </is>
      </c>
      <c r="Y341" s="113" t="n">
        <v>960.1900000000001</v>
      </c>
      <c r="Z341" s="113" t="n">
        <v>333400000</v>
      </c>
      <c r="AA341" s="112" t="n">
        <v>25</v>
      </c>
      <c r="AB341" s="108" t="inlineStr">
        <is>
          <t>none — no cornerstone tranche</t>
        </is>
      </c>
      <c r="AC341" s="108" t="inlineStr">
        <is>
          <t>none</t>
        </is>
      </c>
      <c r="AD341" s="112" t="n">
        <v>15</v>
      </c>
      <c r="AE341" s="108" t="inlineStr">
        <is>
          <t>lapsed</t>
        </is>
      </c>
      <c r="AF341" s="108" t="inlineStr">
        <is>
          <t>2025-07-23</t>
        </is>
      </c>
      <c r="AG341" s="119" t="n"/>
      <c r="AH341" s="119" t="n"/>
      <c r="AI341" s="120" t="n">
        <v>-2.43</v>
      </c>
      <c r="AJ341" s="121" t="n">
        <v>-16.67</v>
      </c>
      <c r="AK341" s="121" t="n">
        <v>-0.72</v>
      </c>
      <c r="AL341" s="121" t="n">
        <v>-10.42</v>
      </c>
      <c r="AM341" s="121" t="n">
        <v>-6.98</v>
      </c>
      <c r="AN341" s="123" t="n">
        <v>1.74</v>
      </c>
      <c r="AO341" s="112" t="n">
        <v>20.93</v>
      </c>
      <c r="AP341" s="121" t="n">
        <v>-23.61</v>
      </c>
      <c r="AQ341" s="121" t="n">
        <v>-28.47</v>
      </c>
      <c r="AR341" s="121" t="n">
        <v>-27.08</v>
      </c>
      <c r="AS341" s="121" t="n">
        <v>-8.33</v>
      </c>
      <c r="AT341" s="121" t="n">
        <v>-14.16</v>
      </c>
      <c r="AU341" s="121" t="n">
        <v>-12.49</v>
      </c>
      <c r="AV341" s="121" t="n">
        <v>-21.19</v>
      </c>
      <c r="AW341" s="121" t="n">
        <v>-33.79</v>
      </c>
      <c r="AX341" s="121" t="n">
        <v>-41.28</v>
      </c>
      <c r="AY341" s="121" t="n">
        <v>-20.25</v>
      </c>
      <c r="AZ341" s="121" t="n">
        <v>5.32</v>
      </c>
      <c r="BA341" s="121" t="n">
        <v>6.09</v>
      </c>
      <c r="BB341" s="108" t="inlineStr">
        <is>
          <t>Hang Seng Commerce &amp; Industry sub-index</t>
        </is>
      </c>
      <c r="BC341" s="121" t="n">
        <v>-29.51</v>
      </c>
      <c r="BD341" s="109" t="n">
        <v>46097</v>
      </c>
      <c r="BE341" s="110" t="n">
        <v>2291.7</v>
      </c>
      <c r="BF341" s="113" t="n">
        <v>249.7</v>
      </c>
      <c r="BG341" s="108" t="inlineStr">
        <is>
          <t>Y</t>
        </is>
      </c>
      <c r="BH341" s="123" t="n">
        <v>15.4</v>
      </c>
      <c r="BI341" s="122" t="n"/>
      <c r="BJ341" s="123" t="n">
        <v>9.1</v>
      </c>
      <c r="BK341" s="123" t="n">
        <v>1.7</v>
      </c>
      <c r="BL341" s="124">
        <f>IF('BBG Verify'!S341="","not filed; run on terminal",'BBG Verify'!S341)</f>
        <v/>
      </c>
      <c r="BM341" s="125" t="inlineStr">
        <is>
          <t>N</t>
        </is>
      </c>
      <c r="BN341" s="126">
        <f>IF('BBG Verify'!K341="","not filed; run on terminal",'BBG Verify'!K341)</f>
        <v/>
      </c>
      <c r="BO341" s="108" t="inlineStr">
        <is>
          <t>N/A</t>
        </is>
      </c>
      <c r="BP341" s="108" t="inlineStr">
        <is>
          <t>N/A</t>
        </is>
      </c>
      <c r="BQ341" s="108" t="inlineStr">
        <is>
          <t>N/A</t>
        </is>
      </c>
      <c r="BR341" s="108" t="inlineStr">
        <is>
          <t>N/A</t>
        </is>
      </c>
      <c r="BS341" s="108" t="inlineStr">
        <is>
          <t>N/A</t>
        </is>
      </c>
      <c r="BT341" s="108" t="inlineStr">
        <is>
          <t>N/A</t>
        </is>
      </c>
      <c r="BU341" s="125" t="inlineStr">
        <is>
          <t>BNP Paribas Securities (Asia) Limited; CITIC Securities (Hong Kong) Limited</t>
        </is>
      </c>
      <c r="BV341" s="108" t="inlineStr">
        <is>
          <t>CITIC Securities (Hong Kong) Limited; BNP Paribas Securities (Asia) Limited</t>
        </is>
      </c>
      <c r="BW341" s="108" t="inlineStr">
        <is>
          <t>First Shanghai Securities Limited; Futu Securities International (Hong Kong) Limited; SBI China Capital Financial Services Ltd</t>
        </is>
      </c>
      <c r="BX341" s="108" t="inlineStr">
        <is>
          <t>BNP Paribas Securities (Asia) Limited; China Harbour International Securities Limited; CLSA Limited; CMB International Capital Corporation Limited; DBS Asia Capital Limited; First Shanghai Securities Limited; Futu Securities International (Hong Kong) Limited; SBI China Capital Financial Services Limited</t>
        </is>
      </c>
      <c r="BY341" s="127">
        <f>HYPERLINK("https://www1.hkexnews.hk/listedco/listconews/sehk/2025/0618/2025061800005.pdf","prospectus")</f>
        <v/>
      </c>
      <c r="BZ341" s="127">
        <f>HYPERLINK("https://www1.hkexnews.hk/listedco/listconews/sehk/2025/0626/2025062600005.pdf","allotment")</f>
        <v/>
      </c>
      <c r="CA341" s="127">
        <f>HYPERLINK("https://www1.hkexnews.hk/listedco/listconews/sehk/2025/0723/2025072300810.pdf","stabilisation")</f>
        <v/>
      </c>
      <c r="CB341" s="128" t="n"/>
      <c r="CC341" s="108" t="inlineStr">
        <is>
          <t>cornerstone list: no cornerstone tranche; stabilising manager: not named in the allotment notice or prospectus glossary; price series: last available quoted close 2026-03-16; may be suspended, delisted or a source gap; price and benchmark end on that date</t>
        </is>
      </c>
    </row>
    <row r="342" ht="22" customHeight="1">
      <c r="A342" s="107" t="inlineStr">
        <is>
          <t>9678</t>
        </is>
      </c>
      <c r="B342" s="108" t="inlineStr">
        <is>
          <t>UNISOUND</t>
        </is>
      </c>
      <c r="C342" s="108" t="inlineStr">
        <is>
          <t>雲知聲</t>
        </is>
      </c>
      <c r="D342" s="108" t="inlineStr">
        <is>
          <t>Tech/AI</t>
        </is>
      </c>
      <c r="E342" s="108" t="inlineStr">
        <is>
          <t>AI application / agent software</t>
        </is>
      </c>
      <c r="F342" s="108" t="inlineStr">
        <is>
          <t>Advanced hardware and software</t>
        </is>
      </c>
      <c r="G342" s="108" t="inlineStr">
        <is>
          <t>Standard</t>
        </is>
      </c>
      <c r="H342" s="109" t="n">
        <v>45838</v>
      </c>
      <c r="I342" s="110" t="n">
        <v>320</v>
      </c>
      <c r="J342" s="108" t="inlineStr">
        <is>
          <t>gross (stated)</t>
        </is>
      </c>
      <c r="K342" s="111" t="n">
        <v>165</v>
      </c>
      <c r="L342" s="111" t="n">
        <v>205</v>
      </c>
      <c r="M342" s="111" t="n">
        <v>205</v>
      </c>
      <c r="N342" s="108" t="inlineStr">
        <is>
          <t>Y</t>
        </is>
      </c>
      <c r="O342" s="112" t="n">
        <v>100</v>
      </c>
      <c r="P342" s="112" t="n">
        <v>100</v>
      </c>
      <c r="Q342" s="113" t="n">
        <v>14545.5</v>
      </c>
      <c r="R342" s="108" t="inlineStr">
        <is>
          <t>derived:price x shares upon listing</t>
        </is>
      </c>
      <c r="S342" s="114" t="n">
        <v>91.66</v>
      </c>
      <c r="T342" s="115" t="n">
        <v>1.7</v>
      </c>
      <c r="U342" s="116" t="n">
        <v>29.65</v>
      </c>
      <c r="V342" s="117" t="n">
        <v>119</v>
      </c>
      <c r="W342" s="112" t="n">
        <v>40</v>
      </c>
      <c r="X342" s="108" t="inlineStr">
        <is>
          <t>YES</t>
        </is>
      </c>
      <c r="Y342" s="113" t="n">
        <v>225.12</v>
      </c>
      <c r="Z342" s="113" t="n">
        <v>1098149</v>
      </c>
      <c r="AA342" s="112" t="n">
        <v>1.55</v>
      </c>
      <c r="AB342" s="108" t="inlineStr">
        <is>
          <t>SensePower; Nebula; Runjian International</t>
        </is>
      </c>
      <c r="AC342" s="108" t="inlineStr">
        <is>
          <t>sensepower;nebula;runjian</t>
        </is>
      </c>
      <c r="AD342" s="112" t="n">
        <v>10.17</v>
      </c>
      <c r="AE342" s="108" t="inlineStr">
        <is>
          <t>full</t>
        </is>
      </c>
      <c r="AF342" s="108" t="inlineStr">
        <is>
          <t>2025-07-25</t>
        </is>
      </c>
      <c r="AG342" s="108" t="inlineStr">
        <is>
          <t>China International Capital Corporation Hong Kong Securities Limited</t>
        </is>
      </c>
      <c r="AH342" s="108" t="inlineStr">
        <is>
          <t>China International</t>
        </is>
      </c>
      <c r="AI342" s="120" t="n">
        <v>-2.88</v>
      </c>
      <c r="AJ342" s="121" t="n">
        <v>44.59</v>
      </c>
      <c r="AK342" s="121" t="n">
        <v>-0.67</v>
      </c>
      <c r="AL342" s="121" t="n">
        <v>0</v>
      </c>
      <c r="AM342" s="121" t="n">
        <v>44.59</v>
      </c>
      <c r="AN342" s="123" t="n">
        <v>1.29</v>
      </c>
      <c r="AO342" s="112" t="n">
        <v>59.41</v>
      </c>
      <c r="AP342" s="121" t="n">
        <v>105.37</v>
      </c>
      <c r="AQ342" s="121" t="n">
        <v>184.88</v>
      </c>
      <c r="AR342" s="121" t="n">
        <v>137.17</v>
      </c>
      <c r="AS342" s="121" t="n">
        <v>42.04</v>
      </c>
      <c r="AT342" s="121" t="n">
        <v>97.03</v>
      </c>
      <c r="AU342" s="121" t="n">
        <v>64.03</v>
      </c>
      <c r="AV342" s="121" t="n">
        <v>105.56</v>
      </c>
      <c r="AW342" s="121" t="n">
        <v>182.02</v>
      </c>
      <c r="AX342" s="121" t="n">
        <v>121.63</v>
      </c>
      <c r="AY342" s="121" t="n">
        <v>93.48</v>
      </c>
      <c r="AZ342" s="121" t="n">
        <v>2.86</v>
      </c>
      <c r="BA342" s="121" t="n">
        <v>3.55</v>
      </c>
      <c r="BB342" s="108" t="inlineStr">
        <is>
          <t>HSTECH (Hang Seng TECH ETF)</t>
        </is>
      </c>
      <c r="BC342" s="121" t="n">
        <v>-67.37</v>
      </c>
      <c r="BD342" s="109" t="n">
        <v>46297</v>
      </c>
      <c r="BE342" s="110" t="n">
        <v>1032.9</v>
      </c>
      <c r="BF342" s="113" t="n">
        <v>-499.6</v>
      </c>
      <c r="BG342" s="108" t="inlineStr">
        <is>
          <t>N</t>
        </is>
      </c>
      <c r="BH342" s="108" t="inlineStr">
        <is>
          <t>n/m</t>
        </is>
      </c>
      <c r="BI342" s="122" t="n"/>
      <c r="BJ342" s="122" t="n"/>
      <c r="BK342" s="123" t="n">
        <v>14.1</v>
      </c>
      <c r="BL342" s="124">
        <f>IF('BBG Verify'!S342="","not filed; run on terminal",'BBG Verify'!S342)</f>
        <v/>
      </c>
      <c r="BM342" s="125" t="inlineStr">
        <is>
          <t>N</t>
        </is>
      </c>
      <c r="BN342" s="126">
        <f>IF('BBG Verify'!K342="","not filed; run on terminal",'BBG Verify'!K342)</f>
        <v/>
      </c>
      <c r="BO342" s="108" t="inlineStr">
        <is>
          <t>N/A</t>
        </is>
      </c>
      <c r="BP342" s="108" t="inlineStr">
        <is>
          <t>N/A</t>
        </is>
      </c>
      <c r="BQ342" s="108" t="inlineStr">
        <is>
          <t>N/A</t>
        </is>
      </c>
      <c r="BR342" s="108" t="inlineStr">
        <is>
          <t>N/A</t>
        </is>
      </c>
      <c r="BS342" s="108" t="inlineStr">
        <is>
          <t>N/A</t>
        </is>
      </c>
      <c r="BT342" s="108" t="inlineStr">
        <is>
          <t>N/A</t>
        </is>
      </c>
      <c r="BU342" s="125" t="inlineStr">
        <is>
          <t>China International Capital Corporation Hong Kong Securities Limited; Haitong International Capital Limited</t>
        </is>
      </c>
      <c r="BV342" s="108" t="inlineStr">
        <is>
          <t>China International Capital Corporation Hong Kong Securities Limited; Haitong International Capital Limited</t>
        </is>
      </c>
      <c r="BW342" s="108" t="inlineStr">
        <is>
          <t>China International Capital Corporation Hong Kong Securities Limited; Haitong International Securities Company Limited; ABCI Capital Limited; Orient Securities (Hong Kong) Limited; CMBC Securities Company Limited; Tiger Brokers (HK) Global Limited</t>
        </is>
      </c>
      <c r="BX342" s="108" t="inlineStr">
        <is>
          <t>ABCI Securities Company Limited; China International Capital Corporation Hong Kong Securities Limited; CMBC Securities Company Limited; Haitong International Securities Company Limited; Orient Securities (Hong Kong) Limited; Tiger Brokers (HK) Global Limited</t>
        </is>
      </c>
      <c r="BY342" s="127">
        <f>HYPERLINK("https://www1.hkexnews.hk/listedco/listconews/sehk/2025/0620/2025062000023.pdf","prospectus")</f>
        <v/>
      </c>
      <c r="BZ342" s="127">
        <f>HYPERLINK("https://www1.hkexnews.hk/listedco/listconews/sehk/2025/0627/2025062702974.pdf","allotment")</f>
        <v/>
      </c>
      <c r="CA342" s="127">
        <f>HYPERLINK("https://www1.hkexnews.hk/listedco/listconews/sehk/2025/0725/2025072501515.pdf","stabilisation")</f>
        <v/>
      </c>
      <c r="CB342" s="128" t="n"/>
      <c r="CC342" s="108" t="inlineStr">
        <is>
          <t>P/E: loss-making at IPO, use P/S; A/H: no A-share listing; nearest A proxy iFlytek (002230.SZ)</t>
        </is>
      </c>
    </row>
    <row r="343" ht="22" customHeight="1">
      <c r="A343" s="107" t="inlineStr">
        <is>
          <t>3880</t>
        </is>
      </c>
      <c r="B343" s="108" t="inlineStr">
        <is>
          <t>MEDTIDE</t>
        </is>
      </c>
      <c r="C343" s="108" t="inlineStr">
        <is>
          <t>泰德醫藥</t>
        </is>
      </c>
      <c r="D343" s="108" t="inlineStr">
        <is>
          <t>Healthcare</t>
        </is>
      </c>
      <c r="E343" s="108" t="inlineStr">
        <is>
          <t>CXO / pharma services</t>
        </is>
      </c>
      <c r="F343" s="108" t="inlineStr">
        <is>
          <t>Biotechnology - Pharmaceuticals</t>
        </is>
      </c>
      <c r="G343" s="108" t="inlineStr">
        <is>
          <t>Standard</t>
        </is>
      </c>
      <c r="H343" s="109" t="n">
        <v>45838</v>
      </c>
      <c r="I343" s="110" t="n">
        <v>514.08</v>
      </c>
      <c r="J343" s="108" t="inlineStr">
        <is>
          <t>gross (stated)</t>
        </is>
      </c>
      <c r="K343" s="111" t="n">
        <v>28.4</v>
      </c>
      <c r="L343" s="111" t="n">
        <v>30.6</v>
      </c>
      <c r="M343" s="111" t="n">
        <v>30.6</v>
      </c>
      <c r="N343" s="108" t="inlineStr">
        <is>
          <t>Y</t>
        </is>
      </c>
      <c r="O343" s="112" t="n">
        <v>100</v>
      </c>
      <c r="P343" s="112" t="n">
        <v>100</v>
      </c>
      <c r="Q343" s="113" t="n">
        <v>4339.1</v>
      </c>
      <c r="R343" s="108" t="inlineStr">
        <is>
          <t>derived:price x shares upon listing</t>
        </is>
      </c>
      <c r="S343" s="114" t="n">
        <v>301.15</v>
      </c>
      <c r="T343" s="115" t="n">
        <v>2.43</v>
      </c>
      <c r="U343" s="116" t="n">
        <v>15.27</v>
      </c>
      <c r="V343" s="117" t="n">
        <v>115</v>
      </c>
      <c r="W343" s="112" t="n">
        <v>50</v>
      </c>
      <c r="X343" s="108" t="inlineStr">
        <is>
          <t>YES</t>
        </is>
      </c>
      <c r="Y343" s="113" t="n">
        <v>435.58</v>
      </c>
      <c r="Z343" s="113" t="n">
        <v>14234640</v>
      </c>
      <c r="AA343" s="112" t="n">
        <v>10.04</v>
      </c>
      <c r="AB343" s="108" t="inlineStr">
        <is>
          <t>Dragon Merit Holdings Limited; Welight Capital L.P</t>
        </is>
      </c>
      <c r="AC343" s="108" t="inlineStr">
        <is>
          <t>dragon;welight</t>
        </is>
      </c>
      <c r="AD343" s="118" t="n"/>
      <c r="AE343" s="119" t="n"/>
      <c r="AF343" s="119" t="n"/>
      <c r="AG343" s="119" t="n"/>
      <c r="AH343" s="119" t="n"/>
      <c r="AI343" s="120" t="n">
        <v>1.8</v>
      </c>
      <c r="AJ343" s="121" t="n">
        <v>0.65</v>
      </c>
      <c r="AK343" s="121" t="n">
        <v>0.83</v>
      </c>
      <c r="AL343" s="121" t="n">
        <v>-0.98</v>
      </c>
      <c r="AM343" s="121" t="n">
        <v>1.65</v>
      </c>
      <c r="AN343" s="123" t="n">
        <v>1.02</v>
      </c>
      <c r="AO343" s="112" t="n">
        <v>15.68</v>
      </c>
      <c r="AP343" s="121" t="n">
        <v>1.63</v>
      </c>
      <c r="AQ343" s="121" t="n">
        <v>15.52</v>
      </c>
      <c r="AR343" s="121" t="n">
        <v>0</v>
      </c>
      <c r="AS343" s="121" t="n">
        <v>0.97</v>
      </c>
      <c r="AT343" s="121" t="n">
        <v>14.77</v>
      </c>
      <c r="AU343" s="121" t="n">
        <v>-0.65</v>
      </c>
      <c r="AV343" s="121" t="n">
        <v>-2.27</v>
      </c>
      <c r="AW343" s="121" t="n">
        <v>-9.640000000000001</v>
      </c>
      <c r="AX343" s="121" t="n">
        <v>-28.79</v>
      </c>
      <c r="AY343" s="121" t="n">
        <v>-9.359999999999999</v>
      </c>
      <c r="AZ343" s="121" t="n">
        <v>25.16</v>
      </c>
      <c r="BA343" s="121" t="n">
        <v>24.13</v>
      </c>
      <c r="BB343" s="108" t="inlineStr">
        <is>
          <t>China Biotech ETF (HS biotech proxy)</t>
        </is>
      </c>
      <c r="BC343" s="121" t="n">
        <v>-30.78</v>
      </c>
      <c r="BD343" s="109" t="n">
        <v>46297</v>
      </c>
      <c r="BE343" s="110" t="n">
        <v>486.4</v>
      </c>
      <c r="BF343" s="113" t="n">
        <v>65.09999999999999</v>
      </c>
      <c r="BG343" s="108" t="inlineStr">
        <is>
          <t>Y</t>
        </is>
      </c>
      <c r="BH343" s="123" t="n">
        <v>66.7</v>
      </c>
      <c r="BI343" s="123" t="n">
        <v>59.8</v>
      </c>
      <c r="BJ343" s="123" t="n">
        <v>11.6</v>
      </c>
      <c r="BK343" s="123" t="n">
        <v>8.9</v>
      </c>
      <c r="BL343" s="124">
        <f>IF('BBG Verify'!S343="","not filed; run on terminal",'BBG Verify'!S343)</f>
        <v/>
      </c>
      <c r="BM343" s="125" t="inlineStr">
        <is>
          <t>N</t>
        </is>
      </c>
      <c r="BN343" s="126">
        <f>IF('BBG Verify'!K343="","not filed; run on terminal",'BBG Verify'!K343)</f>
        <v/>
      </c>
      <c r="BO343" s="108" t="inlineStr">
        <is>
          <t>N/A</t>
        </is>
      </c>
      <c r="BP343" s="108" t="inlineStr">
        <is>
          <t>N/A</t>
        </is>
      </c>
      <c r="BQ343" s="108" t="inlineStr">
        <is>
          <t>N/A</t>
        </is>
      </c>
      <c r="BR343" s="108" t="inlineStr">
        <is>
          <t>N/A</t>
        </is>
      </c>
      <c r="BS343" s="108" t="inlineStr">
        <is>
          <t>N/A</t>
        </is>
      </c>
      <c r="BT343" s="108" t="inlineStr">
        <is>
          <t>N/A</t>
        </is>
      </c>
      <c r="BU343" s="125" t="inlineStr">
        <is>
          <t>Morgan Stanley Asia Limited; CITIC Securities (Hong Kong) Limited</t>
        </is>
      </c>
      <c r="BV343" s="108" t="inlineStr">
        <is>
          <t>Morgan Stanley Asia Limited; CITIC Securities (Hong Kong) Limited</t>
        </is>
      </c>
      <c r="BW343" s="108" t="inlineStr">
        <is>
          <t>Morgan Stanley Asia Limited; CLSA Limited</t>
        </is>
      </c>
      <c r="BX343" s="108" t="inlineStr">
        <is>
          <t>Aristo Securities Limited; China Everbright Securities (HK) Limited; CLSA Limited; Morgan Stanley Asia Limited; Prime Securities Limited; Soochow Securities International Brokerage Limited</t>
        </is>
      </c>
      <c r="BY343" s="127">
        <f>HYPERLINK("https://www1.hkexnews.hk/listedco/listconews/sehk/2025/0620/2025062000021.pdf","prospectus")</f>
        <v/>
      </c>
      <c r="BZ343" s="127">
        <f>HYPERLINK("https://www1.hkexnews.hk/listedco/listconews/sehk/2025/0627/2025062703092.pdf","allotment")</f>
        <v/>
      </c>
      <c r="CA343" s="119" t="n"/>
      <c r="CB343" s="128" t="n"/>
      <c r="CC343" s="108" t="inlineStr">
        <is>
          <t>greenshoe: no over-allotment option; greenshoe size: no over-allotment option; stabilising manager: no over-allotment option, so none appointed</t>
        </is>
      </c>
    </row>
    <row r="344" ht="22" customHeight="1">
      <c r="A344" s="107" t="inlineStr">
        <is>
          <t>6603</t>
        </is>
      </c>
      <c r="B344" s="108" t="inlineStr">
        <is>
          <t>IFBH</t>
        </is>
      </c>
      <c r="C344" s="108" t="inlineStr">
        <is>
          <t>IFBH</t>
        </is>
      </c>
      <c r="D344" s="108" t="inlineStr">
        <is>
          <t>Consumer</t>
        </is>
      </c>
      <c r="E344" s="108" t="inlineStr">
        <is>
          <t>Beverages / packaged food</t>
        </is>
      </c>
      <c r="F344" s="108" t="inlineStr">
        <is>
          <t>Beverages (Non-alcoholic)</t>
        </is>
      </c>
      <c r="G344" s="108" t="inlineStr">
        <is>
          <t>Standard</t>
        </is>
      </c>
      <c r="H344" s="109" t="n">
        <v>45838</v>
      </c>
      <c r="I344" s="110" t="n">
        <v>1158.3</v>
      </c>
      <c r="J344" s="108" t="inlineStr">
        <is>
          <t>gross (price x shares)</t>
        </is>
      </c>
      <c r="K344" s="111" t="n">
        <v>25.3</v>
      </c>
      <c r="L344" s="111" t="n">
        <v>27.8</v>
      </c>
      <c r="M344" s="111" t="n">
        <v>27.8</v>
      </c>
      <c r="N344" s="108" t="inlineStr">
        <is>
          <t>Y</t>
        </is>
      </c>
      <c r="O344" s="112" t="n">
        <v>100</v>
      </c>
      <c r="P344" s="112" t="n">
        <v>100</v>
      </c>
      <c r="Q344" s="113" t="n">
        <v>7410.7</v>
      </c>
      <c r="R344" s="108" t="inlineStr">
        <is>
          <t>derived:deal size / offer % of enlarged capital</t>
        </is>
      </c>
      <c r="S344" s="114" t="n">
        <v>2682.35</v>
      </c>
      <c r="T344" s="115" t="n">
        <v>22.93</v>
      </c>
      <c r="U344" s="116" t="n">
        <v>26.76</v>
      </c>
      <c r="V344" s="117" t="n">
        <v>102</v>
      </c>
      <c r="W344" s="112" t="n">
        <v>50</v>
      </c>
      <c r="X344" s="108" t="inlineStr">
        <is>
          <t>YES</t>
        </is>
      </c>
      <c r="Y344" s="113" t="n">
        <v>848.34</v>
      </c>
      <c r="Z344" s="113" t="n">
        <v>30516764</v>
      </c>
      <c r="AA344" s="112" t="n">
        <v>11.45</v>
      </c>
      <c r="AB344" s="108" t="inlineStr">
        <is>
          <t>UBS Asset Management (Singapore) Ltd; Black Dragon AP SPV1; Enreal China Master Fund and Forreal China Value Fund; HCEP Master Fund and HCEP Long Only Master Fund; China Southern Asset Management Co., Ltd; GF International Investment Management Limited; Harvest Oriental SP; ICBC Wealth Management Co., Ltd; Jain Global Master Fund Ltd; Jane Street Asia Trading Limited; Mega Prime Development Limited</t>
        </is>
      </c>
      <c r="AC344" s="108" t="inlineStr">
        <is>
          <t>ubs;black;enreal;hcep;southern;gf;harvest;icbc;jain;jane;mega</t>
        </is>
      </c>
      <c r="AD344" s="112" t="n">
        <v>15</v>
      </c>
      <c r="AE344" s="108" t="inlineStr">
        <is>
          <t>full</t>
        </is>
      </c>
      <c r="AF344" s="108" t="inlineStr">
        <is>
          <t>2025-07-25</t>
        </is>
      </c>
      <c r="AG344" s="108" t="inlineStr">
        <is>
          <t>CLSA Limited</t>
        </is>
      </c>
      <c r="AH344" s="108" t="inlineStr">
        <is>
          <t>CLSA</t>
        </is>
      </c>
      <c r="AI344" s="120" t="n">
        <v>60.97</v>
      </c>
      <c r="AJ344" s="121" t="n">
        <v>42.09</v>
      </c>
      <c r="AK344" s="121" t="n">
        <v>-0.74</v>
      </c>
      <c r="AL344" s="121" t="n">
        <v>57.91</v>
      </c>
      <c r="AM344" s="121" t="n">
        <v>-10.02</v>
      </c>
      <c r="AN344" s="123" t="n">
        <v>1.87</v>
      </c>
      <c r="AO344" s="112" t="n">
        <v>19.36</v>
      </c>
      <c r="AP344" s="121" t="n">
        <v>45.68</v>
      </c>
      <c r="AQ344" s="121" t="n">
        <v>33.63</v>
      </c>
      <c r="AR344" s="121" t="n">
        <v>9.5</v>
      </c>
      <c r="AS344" s="121" t="n">
        <v>2.53</v>
      </c>
      <c r="AT344" s="121" t="n">
        <v>-5.95</v>
      </c>
      <c r="AU344" s="121" t="n">
        <v>-22.94</v>
      </c>
      <c r="AV344" s="121" t="n">
        <v>46.45</v>
      </c>
      <c r="AW344" s="121" t="n">
        <v>29.27</v>
      </c>
      <c r="AX344" s="121" t="n">
        <v>-3.08</v>
      </c>
      <c r="AY344" s="121" t="n">
        <v>-11.09</v>
      </c>
      <c r="AZ344" s="121" t="n">
        <v>4.36</v>
      </c>
      <c r="BA344" s="121" t="n">
        <v>5.14</v>
      </c>
      <c r="BB344" s="108" t="inlineStr">
        <is>
          <t>Hang Seng Commerce &amp; Industry sub-index</t>
        </is>
      </c>
      <c r="BC344" s="121" t="n">
        <v>-85.18000000000001</v>
      </c>
      <c r="BD344" s="109" t="n">
        <v>46297</v>
      </c>
      <c r="BE344" s="110" t="n">
        <v>1229.7</v>
      </c>
      <c r="BF344" s="113" t="n">
        <v>259.9</v>
      </c>
      <c r="BG344" s="108" t="inlineStr">
        <is>
          <t>Y</t>
        </is>
      </c>
      <c r="BH344" s="123" t="n">
        <v>28.5</v>
      </c>
      <c r="BI344" s="123" t="n">
        <v>33</v>
      </c>
      <c r="BJ344" s="123" t="n">
        <v>7.2</v>
      </c>
      <c r="BK344" s="123" t="n">
        <v>6</v>
      </c>
      <c r="BL344" s="124">
        <f>IF('BBG Verify'!S344="","not filed; run on terminal",'BBG Verify'!S344)</f>
        <v/>
      </c>
      <c r="BM344" s="125" t="inlineStr">
        <is>
          <t>N</t>
        </is>
      </c>
      <c r="BN344" s="126">
        <f>IF('BBG Verify'!K344="","not filed; run on terminal",'BBG Verify'!K344)</f>
        <v/>
      </c>
      <c r="BO344" s="108" t="inlineStr">
        <is>
          <t>N/A</t>
        </is>
      </c>
      <c r="BP344" s="108" t="inlineStr">
        <is>
          <t>N/A</t>
        </is>
      </c>
      <c r="BQ344" s="108" t="inlineStr">
        <is>
          <t>N/A</t>
        </is>
      </c>
      <c r="BR344" s="108" t="inlineStr">
        <is>
          <t>N/A</t>
        </is>
      </c>
      <c r="BS344" s="108" t="inlineStr">
        <is>
          <t>N/A</t>
        </is>
      </c>
      <c r="BT344" s="108" t="inlineStr">
        <is>
          <t>N/A</t>
        </is>
      </c>
      <c r="BU344" s="125" t="inlineStr">
        <is>
          <t>CITIC Securities (Hong Kong) Limited; CLSA Limited</t>
        </is>
      </c>
      <c r="BV344" s="108" t="inlineStr">
        <is>
          <t>CITIC Securities (Hong Kong) Limited</t>
        </is>
      </c>
      <c r="BW344" s="108" t="inlineStr">
        <is>
          <t>CLSA Limited</t>
        </is>
      </c>
      <c r="BX344" s="108" t="inlineStr">
        <is>
          <t>BOCI Asia Limited; CLSA Limited</t>
        </is>
      </c>
      <c r="BY344" s="127">
        <f>HYPERLINK("https://www1.hkexnews.hk/listedco/listconews/sehk/2025/0620/2025062000033.pdf","prospectus")</f>
        <v/>
      </c>
      <c r="BZ344" s="127">
        <f>HYPERLINK("https://www1.hkexnews.hk/listedco/listconews/sehk/2025/0627/2025062703890.pdf","allotment")</f>
        <v/>
      </c>
      <c r="CA344" s="127">
        <f>HYPERLINK("https://www1.hkexnews.hk/listedco/listconews/sehk/2025/0725/2025072501707.pdf","stabilisation")</f>
        <v/>
      </c>
      <c r="CB344" s="128" t="n"/>
      <c r="CC344" s="108" t="inlineStr"/>
    </row>
    <row r="345" ht="22" customHeight="1">
      <c r="A345" s="107" t="inlineStr">
        <is>
          <t>2592</t>
        </is>
      </c>
      <c r="B345" s="108" t="inlineStr">
        <is>
          <t>CLOUDBREAK-B</t>
        </is>
      </c>
      <c r="C345" s="108" t="inlineStr">
        <is>
          <t>撥康視雲－Ｂ</t>
        </is>
      </c>
      <c r="D345" s="108" t="inlineStr">
        <is>
          <t>Healthcare</t>
        </is>
      </c>
      <c r="E345" s="108" t="inlineStr">
        <is>
          <t>Biotech pre-revenue (18A)</t>
        </is>
      </c>
      <c r="F345" s="108" t="inlineStr">
        <is>
          <t>Biotechnology - Pharmaceuticals</t>
        </is>
      </c>
      <c r="G345" s="108" t="inlineStr">
        <is>
          <t>18A</t>
        </is>
      </c>
      <c r="H345" s="109" t="n">
        <v>45841</v>
      </c>
      <c r="I345" s="110" t="n">
        <v>611.88</v>
      </c>
      <c r="J345" s="108" t="inlineStr">
        <is>
          <t>gross (stated)</t>
        </is>
      </c>
      <c r="K345" s="129" t="n"/>
      <c r="L345" s="111" t="n">
        <v>10.1</v>
      </c>
      <c r="M345" s="111" t="n">
        <v>10.1</v>
      </c>
      <c r="N345" s="108" t="inlineStr">
        <is>
          <t>Y</t>
        </is>
      </c>
      <c r="O345" s="112" t="n">
        <v>100</v>
      </c>
      <c r="P345" s="118" t="n"/>
      <c r="Q345" s="113" t="n">
        <v>8472.799999999999</v>
      </c>
      <c r="R345" s="108" t="inlineStr">
        <is>
          <t>derived:price x shares upon listing</t>
        </is>
      </c>
      <c r="S345" s="114" t="n">
        <v>78.78</v>
      </c>
      <c r="T345" s="133">
        <f>IF('BBG Verify'!E345="","not filed; run on terminal",'BBG Verify'!E345)</f>
        <v/>
      </c>
      <c r="U345" s="116" t="n">
        <v>29.25</v>
      </c>
      <c r="V345" s="117" t="n">
        <v>168</v>
      </c>
      <c r="W345" s="112" t="n">
        <v>20</v>
      </c>
      <c r="X345" s="108" t="inlineStr">
        <is>
          <t>NO</t>
        </is>
      </c>
      <c r="Y345" s="113" t="n">
        <v>432.91</v>
      </c>
      <c r="Z345" s="113" t="n">
        <v>42861765</v>
      </c>
      <c r="AA345" s="112" t="n">
        <v>5.11</v>
      </c>
      <c r="AB345" s="108" t="inlineStr">
        <is>
          <t>Wealth Strategy Holding Limited; The Reynold Lemkins Group (Asia) Limited</t>
        </is>
      </c>
      <c r="AC345" s="108" t="inlineStr">
        <is>
          <t>wealth;reynold</t>
        </is>
      </c>
      <c r="AD345" s="118" t="n"/>
      <c r="AE345" s="119" t="n"/>
      <c r="AF345" s="119" t="n"/>
      <c r="AG345" s="119" t="n"/>
      <c r="AH345" s="119" t="n"/>
      <c r="AI345" s="120" t="n">
        <v>3.56</v>
      </c>
      <c r="AJ345" s="121" t="n">
        <v>-38.61</v>
      </c>
      <c r="AK345" s="121" t="n">
        <v>2.86</v>
      </c>
      <c r="AL345" s="121" t="n">
        <v>-5.94</v>
      </c>
      <c r="AM345" s="121" t="n">
        <v>-34.73</v>
      </c>
      <c r="AN345" s="123" t="n">
        <v>3.63</v>
      </c>
      <c r="AO345" s="112" t="n">
        <v>43.58</v>
      </c>
      <c r="AP345" s="121" t="n">
        <v>-42.57</v>
      </c>
      <c r="AQ345" s="121" t="n">
        <v>-49.5</v>
      </c>
      <c r="AR345" s="121" t="n">
        <v>-55.35</v>
      </c>
      <c r="AS345" s="121" t="n">
        <v>-6.45</v>
      </c>
      <c r="AT345" s="121" t="n">
        <v>-17.74</v>
      </c>
      <c r="AU345" s="121" t="n">
        <v>-27.27</v>
      </c>
      <c r="AV345" s="121" t="n">
        <v>-45.93</v>
      </c>
      <c r="AW345" s="121" t="n">
        <v>-68.91</v>
      </c>
      <c r="AX345" s="121" t="n">
        <v>-86.84999999999999</v>
      </c>
      <c r="AY345" s="121" t="n">
        <v>-33.83</v>
      </c>
      <c r="AZ345" s="121" t="n">
        <v>19.41</v>
      </c>
      <c r="BA345" s="121" t="n">
        <v>16.09</v>
      </c>
      <c r="BB345" s="108" t="inlineStr">
        <is>
          <t>China Biotech ETF (HS biotech proxy)</t>
        </is>
      </c>
      <c r="BC345" s="121" t="n">
        <v>-88.22</v>
      </c>
      <c r="BD345" s="109" t="n">
        <v>46274</v>
      </c>
      <c r="BE345" s="110" t="n">
        <v>78</v>
      </c>
      <c r="BF345" s="113" t="n">
        <v>-773.2</v>
      </c>
      <c r="BG345" s="108" t="inlineStr">
        <is>
          <t>N</t>
        </is>
      </c>
      <c r="BH345" s="108" t="inlineStr">
        <is>
          <t>n/m</t>
        </is>
      </c>
      <c r="BI345" s="122" t="n"/>
      <c r="BJ345" s="122" t="n"/>
      <c r="BK345" s="123" t="n">
        <v>108.6</v>
      </c>
      <c r="BL345" s="124">
        <f>IF('BBG Verify'!S345="","not filed; run on terminal",'BBG Verify'!S345)</f>
        <v/>
      </c>
      <c r="BM345" s="125" t="inlineStr">
        <is>
          <t>N</t>
        </is>
      </c>
      <c r="BN345" s="126">
        <f>IF('BBG Verify'!K345="","not filed; run on terminal",'BBG Verify'!K345)</f>
        <v/>
      </c>
      <c r="BO345" s="108" t="inlineStr">
        <is>
          <t>N/A</t>
        </is>
      </c>
      <c r="BP345" s="108" t="inlineStr">
        <is>
          <t>N/A</t>
        </is>
      </c>
      <c r="BQ345" s="108" t="inlineStr">
        <is>
          <t>N/A</t>
        </is>
      </c>
      <c r="BR345" s="108" t="inlineStr">
        <is>
          <t>N/A</t>
        </is>
      </c>
      <c r="BS345" s="108" t="inlineStr">
        <is>
          <t>N/A</t>
        </is>
      </c>
      <c r="BT345" s="108" t="inlineStr">
        <is>
          <t>N/A</t>
        </is>
      </c>
      <c r="BU345" s="125" t="inlineStr">
        <is>
          <t>CCB International Capital Limited; Huatai Financial Holdings (Hong Kong) Limited</t>
        </is>
      </c>
      <c r="BV345" s="108" t="inlineStr">
        <is>
          <t>CCB International Capital Limited; Huatai Financial Holdings (Hong Kong) Limited</t>
        </is>
      </c>
      <c r="BW345" s="108" t="inlineStr">
        <is>
          <t>respectively) CCB International Capital Limited; Huatai Financial Holdings (Hong Kong) Limited; CMB International Capital Limited; Quam Securities Limited; BOCI Asia Limited; BOCOM International Securities Limited; China Galaxy International Securities (Hong Kong) Co., Limited; CMBC Securities Company Limited; First Shanghai Securities Limited; Fosun International Securities Limited; Huafu International Securities Limited</t>
        </is>
      </c>
      <c r="BX345" s="108" t="inlineStr">
        <is>
          <t>BOCI Asia Limited; BOCOM International Securities Limited; CCB International Capital Limited; China Galaxy International Securities (Hong Kong) Company Limited; China Industrial Securities International Capital Limited; CMBC Securities Company Limited; CMB International Capital Limited; Fosun International Securities Limited; First Shanghai Securities Limited; Huatai Financial Holdings (Hong Kong) Limited; Huafu International Securities Limited; ICBC International Securities Limited</t>
        </is>
      </c>
      <c r="BY345" s="127">
        <f>HYPERLINK("https://www1.hkexnews.hk/listedco/listconews/sehk/2025/0624/2025062400005.pdf","prospectus")</f>
        <v/>
      </c>
      <c r="BZ345" s="127">
        <f>HYPERLINK("https://www1.hkexnews.hk/listedco/listconews/sehk/2025/0702/2025070203783.pdf","allotment")</f>
        <v/>
      </c>
      <c r="CA345" s="119" t="n"/>
      <c r="CB345" s="128" t="n"/>
      <c r="CC345" s="108" t="inlineStr">
        <is>
          <t>intl sub: parsed 0.89x rejected (implausible against a 79x public book); BBG Verify CP037 fills it; P/E: loss-making at IPO, use P/S; greenshoe: no over-allotment option; range low: maximum offer price only, no floor published; greenshoe size: no over-allotment option; stabilising manager: filing states none appointed (allotment announcement: 'no stabilizing manager will be appointed' stated in the filing)</t>
        </is>
      </c>
    </row>
    <row r="346" ht="22" customHeight="1">
      <c r="A346" s="107" t="inlineStr">
        <is>
          <t>2648</t>
        </is>
      </c>
      <c r="B346" s="108" t="inlineStr">
        <is>
          <t>ANJOY FOOD</t>
        </is>
      </c>
      <c r="C346" s="108" t="inlineStr">
        <is>
          <t>安井食品</t>
        </is>
      </c>
      <c r="D346" s="108" t="inlineStr">
        <is>
          <t>Consumer</t>
        </is>
      </c>
      <c r="E346" s="108" t="inlineStr">
        <is>
          <t>Beverages / packaged food</t>
        </is>
      </c>
      <c r="F346" s="108" t="inlineStr">
        <is>
          <t>Packaged Foods</t>
        </is>
      </c>
      <c r="G346" s="108" t="inlineStr">
        <is>
          <t>Standard</t>
        </is>
      </c>
      <c r="H346" s="109" t="n">
        <v>45842</v>
      </c>
      <c r="I346" s="110" t="n">
        <v>2400</v>
      </c>
      <c r="J346" s="108" t="inlineStr">
        <is>
          <t>gross (stated)</t>
        </is>
      </c>
      <c r="K346" s="129" t="n"/>
      <c r="L346" s="111" t="n">
        <v>66</v>
      </c>
      <c r="M346" s="111" t="n">
        <v>60</v>
      </c>
      <c r="N346" s="108" t="inlineStr">
        <is>
          <t>N</t>
        </is>
      </c>
      <c r="O346" s="112" t="n">
        <v>90.90000000000001</v>
      </c>
      <c r="P346" s="118" t="n"/>
      <c r="Q346" s="113" t="n">
        <v>25404.9</v>
      </c>
      <c r="R346" s="108" t="inlineStr">
        <is>
          <t>prospectus:stated market capitalisation, rescaled to the offer price</t>
        </is>
      </c>
      <c r="S346" s="114" t="n">
        <v>44.2</v>
      </c>
      <c r="T346" s="115" t="n">
        <v>5.85</v>
      </c>
      <c r="U346" s="116" t="n">
        <v>29.44</v>
      </c>
      <c r="V346" s="117" t="n">
        <v>131</v>
      </c>
      <c r="W346" s="112" t="n">
        <v>30</v>
      </c>
      <c r="X346" s="108" t="inlineStr">
        <is>
          <t>YES</t>
        </is>
      </c>
      <c r="Y346" s="113" t="n">
        <v>1693.44</v>
      </c>
      <c r="Z346" s="113" t="n">
        <v>28220260</v>
      </c>
      <c r="AA346" s="112" t="n">
        <v>6.67</v>
      </c>
      <c r="AB346" s="108" t="inlineStr">
        <is>
          <t>Shanghai Greenwoods Asset Management Co., Ltd. and Huatai Capital Investment Limited (in connection with the Greenwoods OTC Swaps (as defined in the Prospectus)); Greenwoods Asset Management Hong Kong Limited; HT Investment Limited; 4 FCP Domains Co., Ltd; NonaVerse (Hong Kong) Limited</t>
        </is>
      </c>
      <c r="AC346" s="108" t="inlineStr">
        <is>
          <t>shanghai-greenwoods;greenwoods;ht;fcp;nonaverse</t>
        </is>
      </c>
      <c r="AD346" s="112" t="n">
        <v>15</v>
      </c>
      <c r="AE346" s="108" t="inlineStr">
        <is>
          <t>lapsed</t>
        </is>
      </c>
      <c r="AF346" s="108" t="inlineStr">
        <is>
          <t>2025-07-30</t>
        </is>
      </c>
      <c r="AG346" s="108" t="inlineStr">
        <is>
          <t>Goldman Sachs</t>
        </is>
      </c>
      <c r="AH346" s="108" t="inlineStr">
        <is>
          <t>Goldman Sachs</t>
        </is>
      </c>
      <c r="AI346" s="120" t="n">
        <v>-0.67</v>
      </c>
      <c r="AJ346" s="121" t="n">
        <v>-5</v>
      </c>
      <c r="AK346" s="121" t="n">
        <v>-0.66</v>
      </c>
      <c r="AL346" s="121" t="n">
        <v>0</v>
      </c>
      <c r="AM346" s="121" t="n">
        <v>-5</v>
      </c>
      <c r="AN346" s="123" t="n">
        <v>1.03</v>
      </c>
      <c r="AO346" s="112" t="n">
        <v>5.17</v>
      </c>
      <c r="AP346" s="121" t="n">
        <v>0.08</v>
      </c>
      <c r="AQ346" s="121" t="n">
        <v>0</v>
      </c>
      <c r="AR346" s="121" t="n">
        <v>-2.58</v>
      </c>
      <c r="AS346" s="121" t="n">
        <v>5.35</v>
      </c>
      <c r="AT346" s="121" t="n">
        <v>5.26</v>
      </c>
      <c r="AU346" s="121" t="n">
        <v>2.55</v>
      </c>
      <c r="AV346" s="121" t="n">
        <v>0.3</v>
      </c>
      <c r="AW346" s="121" t="n">
        <v>-4.12</v>
      </c>
      <c r="AX346" s="121" t="n">
        <v>-23.07</v>
      </c>
      <c r="AY346" s="121" t="n">
        <v>0.45</v>
      </c>
      <c r="AZ346" s="121" t="n">
        <v>4.12</v>
      </c>
      <c r="BA346" s="121" t="n">
        <v>4.81</v>
      </c>
      <c r="BB346" s="108" t="inlineStr">
        <is>
          <t>Hang Seng Commerce &amp; Industry sub-index</t>
        </is>
      </c>
      <c r="BC346" s="121" t="n">
        <v>1.08</v>
      </c>
      <c r="BD346" s="109" t="n">
        <v>46297</v>
      </c>
      <c r="BE346" s="110" t="n">
        <v>16532.5</v>
      </c>
      <c r="BF346" s="113" t="n">
        <v>1665</v>
      </c>
      <c r="BG346" s="108" t="inlineStr">
        <is>
          <t>Y</t>
        </is>
      </c>
      <c r="BH346" s="123" t="n">
        <v>15.3</v>
      </c>
      <c r="BI346" s="123" t="n">
        <v>10.2</v>
      </c>
      <c r="BJ346" s="123" t="n">
        <v>11.9</v>
      </c>
      <c r="BK346" s="123" t="n">
        <v>1.5</v>
      </c>
      <c r="BL346" s="124">
        <f>IF('BBG Verify'!S346="","not filed; run on terminal",'BBG Verify'!S346)</f>
        <v/>
      </c>
      <c r="BM346" s="125" t="inlineStr">
        <is>
          <t>Y</t>
        </is>
      </c>
      <c r="BN346" s="108" t="inlineStr">
        <is>
          <t>603345.SS</t>
        </is>
      </c>
      <c r="BO346" s="121" t="n">
        <v>41.8</v>
      </c>
      <c r="BP346" s="111" t="n">
        <v>85.0814</v>
      </c>
      <c r="BQ346" s="135" t="n">
        <v>0.5321</v>
      </c>
      <c r="BR346" s="113" t="n">
        <v>30976.7</v>
      </c>
      <c r="BS346" s="124">
        <f>IF('BBG Verify'!Q346="","run on terminal",'BBG Verify'!Q346)</f>
        <v/>
      </c>
      <c r="BT346" s="124">
        <f>IF('BBG Verify'!R346="","run on terminal",'BBG Verify'!R346)</f>
        <v/>
      </c>
      <c r="BU346" s="125" t="inlineStr">
        <is>
          <t>Goldman Sachs (Asia) L.L.C; China International Capital Corporation Hong Kong Securities Limited</t>
        </is>
      </c>
      <c r="BV346" s="108" t="inlineStr">
        <is>
          <t>China International Capital Corporation Hong Kong Securities Limited; Goldman Sachs (Asia) L.L.C.</t>
        </is>
      </c>
      <c r="BW346" s="108" t="inlineStr">
        <is>
          <t>China Galaxy International Securities (Hong Kong) Co., Limited; UOB Kay Hian (Hong Kong) Limited; GF Securities (Hong Kong) Brokerage Limited; CCB International Capital Limited; China Industrial Securities International Capital Limited; Goldman Sachs (Asia) L.L.C; Ping An Securities (Hong Kong) Company Limited; CMB International Capital Limited; China Securities (International) Corporate Finance Company Limited; Huatai Financial Holdings (Hong Kong) Limited</t>
        </is>
      </c>
      <c r="BX346" s="108" t="inlineStr">
        <is>
          <t>CCB International Capital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GF Securities (Hong Kong) Brokerage Limited; Goldman Sachs (Asia) L.L.C.; Huatai Financial Holdings (Hong Kong) Limited; Ping An Securities (Hong Kong) Company Limited; UOB Kay Hian (Hong Kong) Limited</t>
        </is>
      </c>
      <c r="BY346" s="127">
        <f>HYPERLINK("https://www1.hkexnews.hk/listedco/listconews/sehk/2025/0625/2025062500043.pdf","prospectus")</f>
        <v/>
      </c>
      <c r="BZ346" s="127">
        <f>HYPERLINK("https://www1.hkexnews.hk/listedco/listconews/sehk/2025/0703/2025070302241.pdf","allotment")</f>
        <v/>
      </c>
      <c r="CA346" s="127">
        <f>HYPERLINK("https://www1.hkexnews.hk/listedco/listconews/sehk/2025/0730/2025073001416.pdf","stabilisation")</f>
        <v/>
      </c>
      <c r="CB346" s="128" t="n"/>
      <c r="CC346" s="108" t="inlineStr">
        <is>
          <t>range low: maximum offer price only, no floor published; A/H: Jul 2025 H listing (frozen foods); market cap: prospectus cap HK$27,945m at HK$66.00, rescaled to HK$60.00</t>
        </is>
      </c>
    </row>
    <row r="347" ht="22" customHeight="1">
      <c r="A347" s="107" t="inlineStr">
        <is>
          <t>2076</t>
        </is>
      </c>
      <c r="B347" s="108" t="inlineStr">
        <is>
          <t>BOSS ZHIPIN-W</t>
        </is>
      </c>
      <c r="C347" s="108" t="inlineStr">
        <is>
          <t>ＢＯＳＳ直聘－Ｗ</t>
        </is>
      </c>
      <c r="D347" s="108" t="inlineStr">
        <is>
          <t>Tech/AI</t>
        </is>
      </c>
      <c r="E347" s="108" t="inlineStr">
        <is>
          <t>Internet platform / e-commerce</t>
        </is>
      </c>
      <c r="F347" s="108" t="inlineStr">
        <is>
          <t>Commercial &amp; Professional Services</t>
        </is>
      </c>
      <c r="G347" s="108" t="inlineStr">
        <is>
          <t>WVR</t>
        </is>
      </c>
      <c r="H347" s="109" t="n">
        <v>45842</v>
      </c>
      <c r="I347" s="110" t="n">
        <v>2277</v>
      </c>
      <c r="J347" s="108" t="inlineStr">
        <is>
          <t>gross (stated)</t>
        </is>
      </c>
      <c r="K347" s="129" t="n"/>
      <c r="L347" s="111" t="n">
        <v>78</v>
      </c>
      <c r="M347" s="111" t="n">
        <v>66</v>
      </c>
      <c r="N347" s="108" t="inlineStr">
        <is>
          <t>N</t>
        </is>
      </c>
      <c r="O347" s="112" t="n">
        <v>84.59999999999999</v>
      </c>
      <c r="P347" s="118" t="n"/>
      <c r="Q347" s="113" t="n">
        <v>65000</v>
      </c>
      <c r="R347" s="108" t="inlineStr">
        <is>
          <t>press:sina 2025-09: 截至2025-06-30总市值近650亿</t>
        </is>
      </c>
      <c r="S347" s="114" t="n">
        <v>12.04</v>
      </c>
      <c r="T347" s="115" t="n">
        <v>12.46</v>
      </c>
      <c r="U347" s="116" t="n">
        <v>0</v>
      </c>
      <c r="V347" s="117" t="n">
        <v>94</v>
      </c>
      <c r="W347" s="112" t="n">
        <v>30</v>
      </c>
      <c r="X347" s="108" t="inlineStr">
        <is>
          <t>YES</t>
        </is>
      </c>
      <c r="Y347" s="113" t="n">
        <v>2277</v>
      </c>
      <c r="Z347" s="113" t="n">
        <v>34500000</v>
      </c>
      <c r="AA347" s="112" t="n">
        <v>3.5</v>
      </c>
      <c r="AB347" s="108" t="inlineStr">
        <is>
          <t>none — no cornerstone tranche</t>
        </is>
      </c>
      <c r="AC347" s="108" t="inlineStr">
        <is>
          <t>none</t>
        </is>
      </c>
      <c r="AD347" s="118" t="n"/>
      <c r="AE347" s="119" t="n"/>
      <c r="AF347" s="119" t="n"/>
      <c r="AG347" s="119" t="n"/>
      <c r="AH347" s="119" t="n"/>
      <c r="AI347" s="130" t="n"/>
      <c r="AJ347" s="121" t="n">
        <v>0.76</v>
      </c>
      <c r="AK347" s="121" t="n">
        <v>-0.29</v>
      </c>
      <c r="AL347" s="121" t="n">
        <v>0</v>
      </c>
      <c r="AM347" s="121" t="n">
        <v>0.76</v>
      </c>
      <c r="AN347" s="123" t="n">
        <v>0.36</v>
      </c>
      <c r="AO347" s="112" t="n">
        <v>2.35</v>
      </c>
      <c r="AP347" s="121" t="n">
        <v>11.44</v>
      </c>
      <c r="AQ347" s="121" t="n">
        <v>13.03</v>
      </c>
      <c r="AR347" s="121" t="n">
        <v>35.83</v>
      </c>
      <c r="AS347" s="121" t="n">
        <v>10.6</v>
      </c>
      <c r="AT347" s="121" t="n">
        <v>12.18</v>
      </c>
      <c r="AU347" s="121" t="n">
        <v>34.81</v>
      </c>
      <c r="AV347" s="121" t="n">
        <v>11.34</v>
      </c>
      <c r="AW347" s="121" t="n">
        <v>8.66</v>
      </c>
      <c r="AX347" s="121" t="n">
        <v>8.33</v>
      </c>
      <c r="AY347" s="121" t="n">
        <v>7.5</v>
      </c>
      <c r="AZ347" s="121" t="n">
        <v>4.37</v>
      </c>
      <c r="BA347" s="121" t="n">
        <v>4.68</v>
      </c>
      <c r="BB347" s="108" t="inlineStr">
        <is>
          <t>HSTECH (Hang Seng TECH ETF)</t>
        </is>
      </c>
      <c r="BC347" s="121" t="n">
        <v>-12.88</v>
      </c>
      <c r="BD347" s="109" t="n">
        <v>46297</v>
      </c>
      <c r="BE347" s="110" t="n">
        <v>8091.2</v>
      </c>
      <c r="BF347" s="113" t="n">
        <v>1743.1</v>
      </c>
      <c r="BG347" s="108" t="inlineStr">
        <is>
          <t>Y</t>
        </is>
      </c>
      <c r="BH347" s="123" t="n">
        <v>37.3</v>
      </c>
      <c r="BI347" s="122" t="n"/>
      <c r="BJ347" s="122" t="n"/>
      <c r="BK347" s="123" t="n">
        <v>8</v>
      </c>
      <c r="BL347" s="124">
        <f>IF('BBG Verify'!S347="","not filed; run on terminal",'BBG Verify'!S347)</f>
        <v/>
      </c>
      <c r="BM347" s="125" t="inlineStr">
        <is>
          <t>N</t>
        </is>
      </c>
      <c r="BN347" s="126">
        <f>IF('BBG Verify'!K347="","not filed; run on terminal",'BBG Verify'!K347)</f>
        <v/>
      </c>
      <c r="BO347" s="108" t="inlineStr">
        <is>
          <t>N/A</t>
        </is>
      </c>
      <c r="BP347" s="108" t="inlineStr">
        <is>
          <t>N/A</t>
        </is>
      </c>
      <c r="BQ347" s="108" t="inlineStr">
        <is>
          <t>N/A</t>
        </is>
      </c>
      <c r="BR347" s="108" t="inlineStr">
        <is>
          <t>N/A</t>
        </is>
      </c>
      <c r="BS347" s="108" t="inlineStr">
        <is>
          <t>N/A</t>
        </is>
      </c>
      <c r="BT347" s="108" t="inlineStr">
        <is>
          <t>N/A</t>
        </is>
      </c>
      <c r="BU347" s="125" t="inlineStr">
        <is>
          <t>Morgan Stanley; Goldman Sachs</t>
        </is>
      </c>
      <c r="BV347" s="108" t="inlineStr">
        <is>
          <t>Goldman Sachs (Asia) L.L.C.; Huatai Financial Holdings (Hong Kong) Limited; Morgan Stanley Asia Limited</t>
        </is>
      </c>
      <c r="BW347" s="108" t="inlineStr">
        <is>
          <t>Futu Securities International (Hong Kong) Limited; Goldman Sachs (Asia) L.L.C.; Huatai Financial Holdings (Hong Kong) Limited; Morgan Stanley Asia Limited; Tiger Brokers (HK) Global Limited</t>
        </is>
      </c>
      <c r="BX347" s="108" t="inlineStr">
        <is>
          <t>Futu Securities International (Hong Kong) Limited; Goldman Sachs (Asia) L.L.C.; Huatai Financial Holdings (Hong Kong) Limited; Morgan Stanley Asia Limited; Tiger Brokers (HK) Global Limited</t>
        </is>
      </c>
      <c r="BY347" s="127">
        <f>HYPERLINK("https://www1.hkexnews.hk/listedco/listconews/sehk/2025/0625/2025062500135.pdf","prospectus")</f>
        <v/>
      </c>
      <c r="BZ347" s="127">
        <f>HYPERLINK("https://www1.hkexnews.hk/listedco/listconews/sehk/2025/0703/2025070302291.pdf","allotment")</f>
        <v/>
      </c>
      <c r="CA347" s="119" t="n"/>
      <c r="CB347" s="128" t="n"/>
      <c r="CC347" s="108" t="inlineStr">
        <is>
          <t>greenshoe: no over-allotment option; range low: maximum offer price only, no floor published; cornerstone list: no cornerstone tranche; greenshoe size: no over-allotment option; stabilising manager: no over-allotment option, so none appointed; grey market: follow-on public offering by an already-listed stock (dual-primary listed Dec 2022); no grey session</t>
        </is>
      </c>
    </row>
    <row r="348" ht="22" customHeight="1">
      <c r="A348" s="107" t="inlineStr">
        <is>
          <t>1828</t>
        </is>
      </c>
      <c r="B348" s="108" t="inlineStr">
        <is>
          <t>FWD</t>
        </is>
      </c>
      <c r="C348" s="108" t="inlineStr">
        <is>
          <t>富衛集團</t>
        </is>
      </c>
      <c r="D348" s="108" t="inlineStr">
        <is>
          <t>Financials</t>
        </is>
      </c>
      <c r="E348" s="108" t="inlineStr">
        <is>
          <t>Insurance</t>
        </is>
      </c>
      <c r="F348" s="108" t="inlineStr">
        <is>
          <t>Life &amp; Health Insurance</t>
        </is>
      </c>
      <c r="G348" s="108" t="inlineStr">
        <is>
          <t>Standard</t>
        </is>
      </c>
      <c r="H348" s="109" t="n">
        <v>45845</v>
      </c>
      <c r="I348" s="110" t="n">
        <v>3471</v>
      </c>
      <c r="J348" s="108" t="inlineStr">
        <is>
          <t>gross (price x shares)</t>
        </is>
      </c>
      <c r="K348" s="129" t="n"/>
      <c r="L348" s="111" t="n">
        <v>38</v>
      </c>
      <c r="M348" s="111" t="n">
        <v>38</v>
      </c>
      <c r="N348" s="108" t="inlineStr">
        <is>
          <t>Y</t>
        </is>
      </c>
      <c r="O348" s="112" t="n">
        <v>100</v>
      </c>
      <c r="P348" s="118" t="n"/>
      <c r="Q348" s="113" t="n">
        <v>48208.3</v>
      </c>
      <c r="R348" s="108" t="inlineStr">
        <is>
          <t>derived:deal size / offer % of enlarged capital</t>
        </is>
      </c>
      <c r="S348" s="114" t="n">
        <v>37.13</v>
      </c>
      <c r="T348" s="115" t="n">
        <v>2.32</v>
      </c>
      <c r="U348" s="116" t="n">
        <v>56.2</v>
      </c>
      <c r="V348" s="117" t="n">
        <v>129</v>
      </c>
      <c r="W348" s="112" t="n">
        <v>30</v>
      </c>
      <c r="X348" s="108" t="inlineStr">
        <is>
          <t>YES</t>
        </is>
      </c>
      <c r="Y348" s="113" t="n">
        <v>1520.3</v>
      </c>
      <c r="Z348" s="113" t="n">
        <v>40007840</v>
      </c>
      <c r="AA348" s="112" t="n">
        <v>3.15</v>
      </c>
      <c r="AB348" s="108" t="inlineStr">
        <is>
          <t>MC Management 10 RSC Ltd; T&amp;D United Capital Co., Ltd</t>
        </is>
      </c>
      <c r="AC348" s="108" t="inlineStr">
        <is>
          <t>mc;united</t>
        </is>
      </c>
      <c r="AD348" s="112" t="n">
        <v>15</v>
      </c>
      <c r="AE348" s="108" t="inlineStr">
        <is>
          <t>partial</t>
        </is>
      </c>
      <c r="AF348" s="108" t="inlineStr">
        <is>
          <t>2025-08-01</t>
        </is>
      </c>
      <c r="AG348" s="108" t="inlineStr">
        <is>
          <t>Morgan Stanley Asia Limited</t>
        </is>
      </c>
      <c r="AH348" s="108" t="inlineStr">
        <is>
          <t>Morgan Stanley</t>
        </is>
      </c>
      <c r="AI348" s="120" t="n">
        <v>-3.29</v>
      </c>
      <c r="AJ348" s="121" t="n">
        <v>1.05</v>
      </c>
      <c r="AK348" s="121" t="n">
        <v>-0.15</v>
      </c>
      <c r="AL348" s="121" t="n">
        <v>0</v>
      </c>
      <c r="AM348" s="121" t="n">
        <v>1.05</v>
      </c>
      <c r="AN348" s="123" t="n">
        <v>0.76</v>
      </c>
      <c r="AO348" s="112" t="n">
        <v>4.61</v>
      </c>
      <c r="AP348" s="121" t="n">
        <v>0.66</v>
      </c>
      <c r="AQ348" s="121" t="n">
        <v>0.26</v>
      </c>
      <c r="AR348" s="121" t="n">
        <v>21.05</v>
      </c>
      <c r="AS348" s="121" t="n">
        <v>-0.39</v>
      </c>
      <c r="AT348" s="121" t="n">
        <v>-0.78</v>
      </c>
      <c r="AU348" s="121" t="n">
        <v>19.79</v>
      </c>
      <c r="AV348" s="121" t="n">
        <v>-1.24</v>
      </c>
      <c r="AW348" s="121" t="n">
        <v>-2.16</v>
      </c>
      <c r="AX348" s="121" t="n">
        <v>17.63</v>
      </c>
      <c r="AY348" s="121" t="n">
        <v>-3.35</v>
      </c>
      <c r="AZ348" s="121" t="n">
        <v>2.42</v>
      </c>
      <c r="BA348" s="121" t="n">
        <v>2.57</v>
      </c>
      <c r="BB348" s="108" t="inlineStr">
        <is>
          <t>Hang Seng Finance sub-index</t>
        </is>
      </c>
      <c r="BC348" s="121" t="n">
        <v>-10.21</v>
      </c>
      <c r="BD348" s="109" t="n">
        <v>46297</v>
      </c>
      <c r="BE348" s="110" t="n">
        <v>21247.2</v>
      </c>
      <c r="BF348" s="113" t="n">
        <v>187.2</v>
      </c>
      <c r="BG348" s="108" t="inlineStr">
        <is>
          <t>Y</t>
        </is>
      </c>
      <c r="BH348" s="123" t="n">
        <v>257.5</v>
      </c>
      <c r="BI348" s="122" t="n"/>
      <c r="BJ348" s="123" t="n">
        <v>38.4</v>
      </c>
      <c r="BK348" s="123" t="n">
        <v>2.3</v>
      </c>
      <c r="BL348" s="124">
        <f>IF('BBG Verify'!S348="","not filed; run on terminal",'BBG Verify'!S348)</f>
        <v/>
      </c>
      <c r="BM348" s="125" t="inlineStr">
        <is>
          <t>N</t>
        </is>
      </c>
      <c r="BN348" s="126">
        <f>IF('BBG Verify'!K348="","not filed; run on terminal",'BBG Verify'!K348)</f>
        <v/>
      </c>
      <c r="BO348" s="108" t="inlineStr">
        <is>
          <t>N/A</t>
        </is>
      </c>
      <c r="BP348" s="108" t="inlineStr">
        <is>
          <t>N/A</t>
        </is>
      </c>
      <c r="BQ348" s="108" t="inlineStr">
        <is>
          <t>N/A</t>
        </is>
      </c>
      <c r="BR348" s="108" t="inlineStr">
        <is>
          <t>N/A</t>
        </is>
      </c>
      <c r="BS348" s="108" t="inlineStr">
        <is>
          <t>N/A</t>
        </is>
      </c>
      <c r="BT348" s="108" t="inlineStr">
        <is>
          <t>N/A</t>
        </is>
      </c>
      <c r="BU348" s="125" t="inlineStr">
        <is>
          <t>Morgan Stanley Asia Limited; Goldman Sachs (Asia) L.L.C</t>
        </is>
      </c>
      <c r="BV348" s="108" t="inlineStr">
        <is>
          <t>Morgan Stanley Asia Limited; Goldman Sachs (Asia) L.L.C.</t>
        </is>
      </c>
      <c r="BW348" s="108" t="inlineStr">
        <is>
          <t>Morgan Stanley Asia Limited; Goldman Sachs (Asia) L.L.C; CMB International Capital Limited; The Hongkong and Shanghai Banking Corporation Limited; and Syndicate Capital Market Intermediaries Morgan Stanley Asia Limited</t>
        </is>
      </c>
      <c r="BX348" s="108" t="inlineStr">
        <is>
          <t>BOCOM International Securities Limited; CCB International Capital Limited; CMB International Capital Limited; DBS Asia Capital Limited; Goldman Sachs (Asia) L.L.C.; Huatai Financial Holdings (Hong Kong) Limited; The Hongkong and Shanghai Banking Corporation Limited; ICBC International Securities Limited; Morgan Stanley Asia Limited; Mizuho Securities Asia Limited; Oversea-Chinese Banking Corporation Limited; SMBC Nikko Securities (Hong Kong) Limited</t>
        </is>
      </c>
      <c r="BY348" s="127">
        <f>HYPERLINK("https://www1.hkexnews.hk/listedco/listconews/sehk/2025/0626/2025062600017.pdf","prospectus")</f>
        <v/>
      </c>
      <c r="BZ348" s="127">
        <f>HYPERLINK("https://www1.hkexnews.hk/listedco/listconews/sehk/2025/0704/2025070402160.pdf","allotment")</f>
        <v/>
      </c>
      <c r="CA348" s="127">
        <f>HYPERLINK("https://www1.hkexnews.hk/listedco/listconews/sehk/2025/0801/2025080103557.pdf","stabilisation")</f>
        <v/>
      </c>
      <c r="CB348" s="128" t="n"/>
      <c r="CC348" s="108" t="inlineStr">
        <is>
          <t>range low: maximum offer price only, no floor published</t>
        </is>
      </c>
    </row>
    <row r="349" ht="22" customHeight="1">
      <c r="A349" s="107" t="inlineStr">
        <is>
          <t>2651</t>
        </is>
      </c>
      <c r="B349" s="108" t="inlineStr">
        <is>
          <t>DAZHONG DENTAL</t>
        </is>
      </c>
      <c r="C349" s="108" t="inlineStr">
        <is>
          <t>大眾口腔</t>
        </is>
      </c>
      <c r="D349" s="108" t="inlineStr">
        <is>
          <t>Healthcare</t>
        </is>
      </c>
      <c r="E349" s="108" t="inlineStr">
        <is>
          <t>Hospitals / clinics</t>
        </is>
      </c>
      <c r="F349" s="108" t="inlineStr">
        <is>
          <t>Health Care Services</t>
        </is>
      </c>
      <c r="G349" s="108" t="inlineStr">
        <is>
          <t>Standard</t>
        </is>
      </c>
      <c r="H349" s="109" t="n">
        <v>45847</v>
      </c>
      <c r="I349" s="110" t="n">
        <v>217.24</v>
      </c>
      <c r="J349" s="108" t="inlineStr">
        <is>
          <t>gross (stated)</t>
        </is>
      </c>
      <c r="K349" s="129" t="n"/>
      <c r="L349" s="111" t="n">
        <v>21.4</v>
      </c>
      <c r="M349" s="111" t="n">
        <v>20</v>
      </c>
      <c r="N349" s="108" t="inlineStr">
        <is>
          <t>N</t>
        </is>
      </c>
      <c r="O349" s="112" t="n">
        <v>93.5</v>
      </c>
      <c r="P349" s="118" t="n"/>
      <c r="Q349" s="113" t="n">
        <v>987.6</v>
      </c>
      <c r="R349" s="108" t="inlineStr">
        <is>
          <t>derived:price x shares upon listing</t>
        </is>
      </c>
      <c r="S349" s="114" t="n">
        <v>108.25</v>
      </c>
      <c r="T349" s="115" t="n">
        <v>0.96</v>
      </c>
      <c r="U349" s="116" t="n">
        <v>0</v>
      </c>
      <c r="V349" s="117" t="n">
        <v>112</v>
      </c>
      <c r="W349" s="112" t="n">
        <v>17.95</v>
      </c>
      <c r="X349" s="119" t="n"/>
      <c r="Y349" s="113" t="n">
        <v>217.24</v>
      </c>
      <c r="Z349" s="113" t="n">
        <v>10861800</v>
      </c>
      <c r="AA349" s="112" t="n">
        <v>22</v>
      </c>
      <c r="AB349" s="108" t="inlineStr">
        <is>
          <t>none — no cornerstone tranche</t>
        </is>
      </c>
      <c r="AC349" s="108" t="inlineStr">
        <is>
          <t>none</t>
        </is>
      </c>
      <c r="AD349" s="112" t="n">
        <v>11.65</v>
      </c>
      <c r="AE349" s="108" t="inlineStr">
        <is>
          <t>lapsed (no over-allocation)</t>
        </is>
      </c>
      <c r="AF349" s="108" t="inlineStr">
        <is>
          <t>2025-08-03</t>
        </is>
      </c>
      <c r="AG349" s="108" t="inlineStr">
        <is>
          <t>Haitong International Securities Company Limited</t>
        </is>
      </c>
      <c r="AH349" s="108" t="inlineStr">
        <is>
          <t>Haitong</t>
        </is>
      </c>
      <c r="AI349" s="139" t="n">
        <v>18.25</v>
      </c>
      <c r="AJ349" s="121" t="n">
        <v>3.5</v>
      </c>
      <c r="AK349" s="121" t="n">
        <v>1.75</v>
      </c>
      <c r="AL349" s="121" t="n">
        <v>20</v>
      </c>
      <c r="AM349" s="121" t="n">
        <v>-13.75</v>
      </c>
      <c r="AN349" s="123" t="n">
        <v>2.03</v>
      </c>
      <c r="AO349" s="112" t="n">
        <v>28.54</v>
      </c>
      <c r="AP349" s="121" t="n">
        <v>-10.5</v>
      </c>
      <c r="AQ349" s="121" t="n">
        <v>-28.5</v>
      </c>
      <c r="AR349" s="121" t="n">
        <v>-35.95</v>
      </c>
      <c r="AS349" s="121" t="n">
        <v>-13.53</v>
      </c>
      <c r="AT349" s="121" t="n">
        <v>-30.92</v>
      </c>
      <c r="AU349" s="121" t="n">
        <v>-38.12</v>
      </c>
      <c r="AV349" s="121" t="n">
        <v>-17.67</v>
      </c>
      <c r="AW349" s="121" t="n">
        <v>-43.78</v>
      </c>
      <c r="AX349" s="121" t="n">
        <v>-67.8</v>
      </c>
      <c r="AY349" s="121" t="n">
        <v>-44.22</v>
      </c>
      <c r="AZ349" s="121" t="n">
        <v>15.28</v>
      </c>
      <c r="BA349" s="121" t="n">
        <v>13.3</v>
      </c>
      <c r="BB349" s="108" t="inlineStr">
        <is>
          <t>China Biotech ETF (HS biotech proxy)</t>
        </is>
      </c>
      <c r="BC349" s="121" t="n">
        <v>74</v>
      </c>
      <c r="BD349" s="109" t="n">
        <v>46297</v>
      </c>
      <c r="BE349" s="110" t="n">
        <v>447.8</v>
      </c>
      <c r="BF349" s="113" t="n">
        <v>68.8</v>
      </c>
      <c r="BG349" s="108" t="inlineStr">
        <is>
          <t>Y</t>
        </is>
      </c>
      <c r="BH349" s="123" t="n">
        <v>14.4</v>
      </c>
      <c r="BI349" s="123" t="n">
        <v>20.1</v>
      </c>
      <c r="BJ349" s="123" t="n">
        <v>26.1</v>
      </c>
      <c r="BK349" s="123" t="n">
        <v>2.2</v>
      </c>
      <c r="BL349" s="124">
        <f>IF('BBG Verify'!S349="","not filed; run on terminal",'BBG Verify'!S349)</f>
        <v/>
      </c>
      <c r="BM349" s="125" t="inlineStr">
        <is>
          <t>N</t>
        </is>
      </c>
      <c r="BN349" s="126">
        <f>IF('BBG Verify'!K349="","not filed; run on terminal",'BBG Verify'!K349)</f>
        <v/>
      </c>
      <c r="BO349" s="108" t="inlineStr">
        <is>
          <t>N/A</t>
        </is>
      </c>
      <c r="BP349" s="108" t="inlineStr">
        <is>
          <t>N/A</t>
        </is>
      </c>
      <c r="BQ349" s="108" t="inlineStr">
        <is>
          <t>N/A</t>
        </is>
      </c>
      <c r="BR349" s="108" t="inlineStr">
        <is>
          <t>N/A</t>
        </is>
      </c>
      <c r="BS349" s="108" t="inlineStr">
        <is>
          <t>N/A</t>
        </is>
      </c>
      <c r="BT349" s="108" t="inlineStr">
        <is>
          <t>N/A</t>
        </is>
      </c>
      <c r="BU349" s="125" t="inlineStr">
        <is>
          <t>Haitong International Capital Limited</t>
        </is>
      </c>
      <c r="BV349" s="108" t="inlineStr">
        <is>
          <t>Haitong International Holdings Limited</t>
        </is>
      </c>
      <c r="BW349" s="108" t="inlineStr">
        <is>
          <t>Haitong International Securities Company Limited</t>
        </is>
      </c>
      <c r="BX349" s="108" t="inlineStr">
        <is>
          <t>Haitong International Securities Company Limited; Livermore Holdings Limited</t>
        </is>
      </c>
      <c r="BY349" s="127">
        <f>HYPERLINK("https://www1.hkexnews.hk/listedco/listconews/sehk/2025/0630/2025063000019.pdf","prospectus")</f>
        <v/>
      </c>
      <c r="BZ349" s="127">
        <f>HYPERLINK("https://www1.hkexnews.hk/listedco/listconews/sehk/2025/0708/2025070801104.pdf","allotment")</f>
        <v/>
      </c>
      <c r="CA349" s="127">
        <f>HYPERLINK("https://www1.hkexnews.hk/listedco/listconews/sehk/2025/0804/2025080401259.pdf","stabilisation")</f>
        <v/>
      </c>
      <c r="CB349" s="128" t="n"/>
      <c r="CC349" s="108" t="inlineStr">
        <is>
          <t>range low: maximum offer price only, no floor published; cornerstone list: no cornerstone tranche; allocation: clawback line not in this notice; a 12-28% split is consistent with either a tier-1 clawback or a placing shortfall</t>
        </is>
      </c>
    </row>
    <row r="350" ht="22" customHeight="1">
      <c r="A350" s="107" t="inlineStr">
        <is>
          <t>2590</t>
        </is>
      </c>
      <c r="B350" s="108" t="inlineStr">
        <is>
          <t>GEEKPLUS-W</t>
        </is>
      </c>
      <c r="C350" s="108" t="inlineStr">
        <is>
          <t>極智嘉－Ｗ</t>
        </is>
      </c>
      <c r="D350" s="108" t="inlineStr">
        <is>
          <t>Tech/AI</t>
        </is>
      </c>
      <c r="E350" s="108" t="inlineStr">
        <is>
          <t>Robotics &amp; autonomous driving</t>
        </is>
      </c>
      <c r="F350" s="108" t="inlineStr">
        <is>
          <t>Advanced hardware and software</t>
        </is>
      </c>
      <c r="G350" s="108" t="inlineStr">
        <is>
          <t>WVR</t>
        </is>
      </c>
      <c r="H350" s="109" t="n">
        <v>45847</v>
      </c>
      <c r="I350" s="110" t="n">
        <v>2711.62</v>
      </c>
      <c r="J350" s="108" t="inlineStr">
        <is>
          <t>gross (stated)</t>
        </is>
      </c>
      <c r="K350" s="129" t="n"/>
      <c r="L350" s="111" t="n">
        <v>16.8</v>
      </c>
      <c r="M350" s="111" t="n">
        <v>16.8</v>
      </c>
      <c r="N350" s="108" t="inlineStr">
        <is>
          <t>Y</t>
        </is>
      </c>
      <c r="O350" s="112" t="n">
        <v>100</v>
      </c>
      <c r="P350" s="118" t="n"/>
      <c r="Q350" s="113" t="n">
        <v>21832.7</v>
      </c>
      <c r="R350" s="108" t="inlineStr">
        <is>
          <t>prospectus:stated market capitalisation</t>
        </is>
      </c>
      <c r="S350" s="114" t="n">
        <v>133.62</v>
      </c>
      <c r="T350" s="115" t="n">
        <v>30.17</v>
      </c>
      <c r="U350" s="116" t="n">
        <v>26.43</v>
      </c>
      <c r="V350" s="117" t="n">
        <v>132</v>
      </c>
      <c r="W350" s="112" t="n">
        <v>43.48</v>
      </c>
      <c r="X350" s="108" t="inlineStr">
        <is>
          <t>YES</t>
        </is>
      </c>
      <c r="Y350" s="113" t="n">
        <v>1994.94</v>
      </c>
      <c r="Z350" s="113" t="n">
        <v>118746247</v>
      </c>
      <c r="AA350" s="112" t="n">
        <v>9.140000000000001</v>
      </c>
      <c r="AB350" s="108" t="inlineStr">
        <is>
          <t>Xiongan Intelligent Robot Limited; Arc Avenue Asset Management Pte. Ltd; Eastspring Investments (Singapore) Limited; Etarget Limited</t>
        </is>
      </c>
      <c r="AC350" s="108" t="inlineStr">
        <is>
          <t>xiongan;arc;eastspring;etarget</t>
        </is>
      </c>
      <c r="AD350" s="112" t="n">
        <v>15</v>
      </c>
      <c r="AE350" s="108" t="inlineStr">
        <is>
          <t>partial</t>
        </is>
      </c>
      <c r="AF350" s="119" t="n"/>
      <c r="AG350" s="108" t="inlineStr">
        <is>
          <t>Morgan Stanley Asia Limited</t>
        </is>
      </c>
      <c r="AH350" s="108" t="inlineStr">
        <is>
          <t>Morgan Stanley</t>
        </is>
      </c>
      <c r="AI350" s="120" t="n">
        <v>-1.31</v>
      </c>
      <c r="AJ350" s="121" t="n">
        <v>5.36</v>
      </c>
      <c r="AK350" s="121" t="n">
        <v>-1.62</v>
      </c>
      <c r="AL350" s="121" t="n">
        <v>0.6</v>
      </c>
      <c r="AM350" s="121" t="n">
        <v>4.73</v>
      </c>
      <c r="AN350" s="123" t="n">
        <v>1.12</v>
      </c>
      <c r="AO350" s="112" t="n">
        <v>10.3</v>
      </c>
      <c r="AP350" s="121" t="n">
        <v>12.62</v>
      </c>
      <c r="AQ350" s="121" t="n">
        <v>9.880000000000001</v>
      </c>
      <c r="AR350" s="121" t="n">
        <v>92.5</v>
      </c>
      <c r="AS350" s="121" t="n">
        <v>6.89</v>
      </c>
      <c r="AT350" s="121" t="n">
        <v>4.29</v>
      </c>
      <c r="AU350" s="121" t="n">
        <v>82.70999999999999</v>
      </c>
      <c r="AV350" s="121" t="n">
        <v>10.81</v>
      </c>
      <c r="AW350" s="121" t="n">
        <v>5.87</v>
      </c>
      <c r="AX350" s="121" t="n">
        <v>70.44</v>
      </c>
      <c r="AY350" s="121" t="n">
        <v>-1.44</v>
      </c>
      <c r="AZ350" s="121" t="n">
        <v>4.01</v>
      </c>
      <c r="BA350" s="121" t="n">
        <v>5.73</v>
      </c>
      <c r="BB350" s="108" t="inlineStr">
        <is>
          <t>HSTECH (Hang Seng TECH ETF)</t>
        </is>
      </c>
      <c r="BC350" s="121" t="n">
        <v>-56.37</v>
      </c>
      <c r="BD350" s="109" t="n">
        <v>46297</v>
      </c>
      <c r="BE350" s="110" t="n">
        <v>2649.9</v>
      </c>
      <c r="BF350" s="113" t="n">
        <v>-1239.4</v>
      </c>
      <c r="BG350" s="108" t="inlineStr">
        <is>
          <t>N</t>
        </is>
      </c>
      <c r="BH350" s="108" t="inlineStr">
        <is>
          <t>n/m</t>
        </is>
      </c>
      <c r="BI350" s="122" t="n"/>
      <c r="BJ350" s="122" t="n"/>
      <c r="BK350" s="123" t="n">
        <v>8.199999999999999</v>
      </c>
      <c r="BL350" s="124">
        <f>IF('BBG Verify'!S350="","not filed; run on terminal",'BBG Verify'!S350)</f>
        <v/>
      </c>
      <c r="BM350" s="125" t="inlineStr">
        <is>
          <t>N</t>
        </is>
      </c>
      <c r="BN350" s="126">
        <f>IF('BBG Verify'!K350="","not filed; run on terminal",'BBG Verify'!K350)</f>
        <v/>
      </c>
      <c r="BO350" s="108" t="inlineStr">
        <is>
          <t>N/A</t>
        </is>
      </c>
      <c r="BP350" s="108" t="inlineStr">
        <is>
          <t>N/A</t>
        </is>
      </c>
      <c r="BQ350" s="108" t="inlineStr">
        <is>
          <t>N/A</t>
        </is>
      </c>
      <c r="BR350" s="108" t="inlineStr">
        <is>
          <t>N/A</t>
        </is>
      </c>
      <c r="BS350" s="108" t="inlineStr">
        <is>
          <t>N/A</t>
        </is>
      </c>
      <c r="BT350" s="108" t="inlineStr">
        <is>
          <t>N/A</t>
        </is>
      </c>
      <c r="BU350" s="125" t="inlineStr">
        <is>
          <t>Morgan Stanley Asia Limited; China International Capital Corporation Hong Kong Securities Limited</t>
        </is>
      </c>
      <c r="BV350" s="108" t="inlineStr">
        <is>
          <t>China International Capital Corporation Hong Kong Securities Limited; Morgan Stanley Asia Limited</t>
        </is>
      </c>
      <c r="BW350" s="108" t="inlineStr">
        <is>
          <t>China International Capital Corporation Hong Kong Securities Limited; CMB International Capital Limited; Deutsche Bank AG, Hong Kong Branch; DBS Asia Capital Limited; Daiwa Capital Markets Hong Kong Limited; GF Securities (Hong Kong) Brokerage Limited; ICBC International Securities Limited; Morgan Stanley Asia Limited; South China Securities Limited; Shenwan Hongyuan Securities (H.K.) Limited; Tiger Brokers (HK) Global Limited</t>
        </is>
      </c>
      <c r="BX350" s="108" t="inlineStr">
        <is>
          <t>China International Capital Corporation Hong Kong Securities Limited; CMB International Capital Limited; Deutsche Bank AG, Hong Kong Branch; DBS Asia Capital Limited; Daiwa Capital Markets Hong Kong Limited; GF Securities (Hong Kong) Brokerage Limited; ICBC International Securities Limited; Morgan Stanley Asia Limited; South China Securities Limited; Shenwan Hongyuan Securities (H.K.) Limited; Tiger Brokers (HK) Global Limited</t>
        </is>
      </c>
      <c r="BY350" s="127">
        <f>HYPERLINK("https://www1.hkexnews.hk/listedco/listconews/sehk/2025/0630/2025063000025.pdf","prospectus")</f>
        <v/>
      </c>
      <c r="BZ350" s="127">
        <f>HYPERLINK("https://www1.hkexnews.hk/listedco/listconews/sehk/2025/0708/2025070801126.pdf","allotment")</f>
        <v/>
      </c>
      <c r="CA350" s="127">
        <f>HYPERLINK("https://www1.hkexnews.hk/listedco/listconews/sehk/2025/0804/2025080400319.pdf","stabilisation")</f>
        <v/>
      </c>
      <c r="CB350" s="128" t="n"/>
      <c r="CC350" s="108" t="inlineStr">
        <is>
          <t>P/E: loss-making at IPO, use P/S; greenshoe: outcome published; expiry date not in the notice; range low: maximum offer price only, no floor published</t>
        </is>
      </c>
    </row>
    <row r="351" ht="22" customHeight="1">
      <c r="A351" s="107" t="inlineStr">
        <is>
          <t>2597</t>
        </is>
      </c>
      <c r="B351" s="108" t="inlineStr">
        <is>
          <t>XUNZHONG</t>
        </is>
      </c>
      <c r="C351" s="108" t="inlineStr">
        <is>
          <t>訊眾通信</t>
        </is>
      </c>
      <c r="D351" s="108" t="inlineStr">
        <is>
          <t>Tech/AI</t>
        </is>
      </c>
      <c r="E351" s="108" t="inlineStr">
        <is>
          <t>SaaS / enterprise software</t>
        </is>
      </c>
      <c r="F351" s="108" t="inlineStr">
        <is>
          <t>Telecommunication Services</t>
        </is>
      </c>
      <c r="G351" s="108" t="inlineStr">
        <is>
          <t>Standard</t>
        </is>
      </c>
      <c r="H351" s="109" t="n">
        <v>45847</v>
      </c>
      <c r="I351" s="110" t="n">
        <v>412.5</v>
      </c>
      <c r="J351" s="108" t="inlineStr">
        <is>
          <t>gross (stated)</t>
        </is>
      </c>
      <c r="K351" s="111" t="n">
        <v>13.55</v>
      </c>
      <c r="L351" s="111" t="n">
        <v>15.15</v>
      </c>
      <c r="M351" s="111" t="n">
        <v>13.55</v>
      </c>
      <c r="N351" s="108" t="inlineStr">
        <is>
          <t>N</t>
        </is>
      </c>
      <c r="O351" s="112" t="n">
        <v>89.40000000000001</v>
      </c>
      <c r="P351" s="112" t="n">
        <v>0</v>
      </c>
      <c r="Q351" s="113" t="n">
        <v>1649.8</v>
      </c>
      <c r="R351" s="108" t="inlineStr">
        <is>
          <t>derived:price x shares upon listing</t>
        </is>
      </c>
      <c r="S351" s="114" t="n">
        <v>12.79</v>
      </c>
      <c r="T351" s="115" t="n">
        <v>1.01</v>
      </c>
      <c r="U351" s="116" t="n">
        <v>31.39</v>
      </c>
      <c r="V351" s="117" t="n">
        <v>110</v>
      </c>
      <c r="W351" s="112" t="n">
        <v>10</v>
      </c>
      <c r="X351" s="108" t="inlineStr">
        <is>
          <t>NO</t>
        </is>
      </c>
      <c r="Y351" s="113" t="n">
        <v>283.02</v>
      </c>
      <c r="Z351" s="113" t="n">
        <v>20884884</v>
      </c>
      <c r="AA351" s="112" t="n">
        <v>17.15</v>
      </c>
      <c r="AB351" s="108" t="inlineStr">
        <is>
          <t>Tongzhou International Development Limited</t>
        </is>
      </c>
      <c r="AC351" s="108" t="inlineStr">
        <is>
          <t>tongzhou</t>
        </is>
      </c>
      <c r="AD351" s="112" t="n">
        <v>7.88</v>
      </c>
      <c r="AE351" s="108" t="inlineStr">
        <is>
          <t>lapsed (no over-allocation)</t>
        </is>
      </c>
      <c r="AF351" s="108" t="inlineStr">
        <is>
          <t>2025-08-03</t>
        </is>
      </c>
      <c r="AG351" s="108" t="inlineStr">
        <is>
          <t>DBS Asia Capital Limited</t>
        </is>
      </c>
      <c r="AH351" s="108" t="inlineStr">
        <is>
          <t>DBS</t>
        </is>
      </c>
      <c r="AI351" s="139" t="n">
        <v>1.7</v>
      </c>
      <c r="AJ351" s="121" t="n">
        <v>0.22</v>
      </c>
      <c r="AK351" s="121" t="n">
        <v>-1.62</v>
      </c>
      <c r="AL351" s="121" t="n">
        <v>7.16</v>
      </c>
      <c r="AM351" s="121" t="n">
        <v>-6.48</v>
      </c>
      <c r="AN351" s="123" t="n">
        <v>0.73</v>
      </c>
      <c r="AO351" s="112" t="n">
        <v>15.98</v>
      </c>
      <c r="AP351" s="121" t="n">
        <v>-0.37</v>
      </c>
      <c r="AQ351" s="121" t="n">
        <v>-0.37</v>
      </c>
      <c r="AR351" s="121" t="n">
        <v>47.6</v>
      </c>
      <c r="AS351" s="121" t="n">
        <v>-0.59</v>
      </c>
      <c r="AT351" s="121" t="n">
        <v>-0.59</v>
      </c>
      <c r="AU351" s="121" t="n">
        <v>47.28</v>
      </c>
      <c r="AV351" s="121" t="n">
        <v>-2.18</v>
      </c>
      <c r="AW351" s="121" t="n">
        <v>-4.38</v>
      </c>
      <c r="AX351" s="121" t="n">
        <v>25.54</v>
      </c>
      <c r="AY351" s="121" t="n">
        <v>-6.32</v>
      </c>
      <c r="AZ351" s="121" t="n">
        <v>4.01</v>
      </c>
      <c r="BA351" s="121" t="n">
        <v>5.73</v>
      </c>
      <c r="BB351" s="108" t="inlineStr">
        <is>
          <t>HSTECH (Hang Seng TECH ETF)</t>
        </is>
      </c>
      <c r="BC351" s="121" t="n">
        <v>159.04</v>
      </c>
      <c r="BD351" s="109" t="n">
        <v>46297</v>
      </c>
      <c r="BE351" s="110" t="n">
        <v>1009.4</v>
      </c>
      <c r="BF351" s="113" t="n">
        <v>55.7</v>
      </c>
      <c r="BG351" s="108" t="inlineStr">
        <is>
          <t>Y</t>
        </is>
      </c>
      <c r="BH351" s="123" t="n">
        <v>29.6</v>
      </c>
      <c r="BI351" s="123" t="n">
        <v>21.1</v>
      </c>
      <c r="BJ351" s="123" t="n">
        <v>50.8</v>
      </c>
      <c r="BK351" s="123" t="n">
        <v>1.6</v>
      </c>
      <c r="BL351" s="124">
        <f>IF('BBG Verify'!S351="","not filed; run on terminal",'BBG Verify'!S351)</f>
        <v/>
      </c>
      <c r="BM351" s="125" t="inlineStr">
        <is>
          <t>N</t>
        </is>
      </c>
      <c r="BN351" s="126">
        <f>IF('BBG Verify'!K351="","not filed; run on terminal",'BBG Verify'!K351)</f>
        <v/>
      </c>
      <c r="BO351" s="108" t="inlineStr">
        <is>
          <t>N/A</t>
        </is>
      </c>
      <c r="BP351" s="108" t="inlineStr">
        <is>
          <t>N/A</t>
        </is>
      </c>
      <c r="BQ351" s="108" t="inlineStr">
        <is>
          <t>N/A</t>
        </is>
      </c>
      <c r="BR351" s="108" t="inlineStr">
        <is>
          <t>N/A</t>
        </is>
      </c>
      <c r="BS351" s="108" t="inlineStr">
        <is>
          <t>N/A</t>
        </is>
      </c>
      <c r="BT351" s="108" t="inlineStr">
        <is>
          <t>N/A</t>
        </is>
      </c>
      <c r="BU351" s="125" t="inlineStr">
        <is>
          <t>DBS Asia Capital Limited</t>
        </is>
      </c>
      <c r="BV351" s="108" t="inlineStr">
        <is>
          <t>DBS Asia Capital Limited</t>
        </is>
      </c>
      <c r="BW351" s="108" t="inlineStr">
        <is>
          <t>DBS Asia Capital Limited; Fosun International Securities Limited; ICBC International Securities Limited; Zinvest Global Limited; Huafu International Securities Limited; Winbull Securities International (Hong Kong) Limited; Long Bridge HK Limited; ZH Securities Limited</t>
        </is>
      </c>
      <c r="BX351" s="108" t="inlineStr">
        <is>
          <t>BOCI Asia Limited; Central China International Securities Co., Limited; China Industrial Securities International Capital Limited; CMBC Securities Company Limited; China Securities (International) Corporate Finance Company Limited; DBS Asia Capital Limited; Fosun International Securities Limited; Guoyuan Securities Brokerage (Hong Kong) Limited; Huafu International Securities Limited; ICBC International Securities Limited; Long Bridge HK Limited; Winbull Securities International (HK) Limited</t>
        </is>
      </c>
      <c r="BY351" s="127">
        <f>HYPERLINK("https://www1.hkexnews.hk/listedco/listconews/sehk/2025/0630/2025063000023.pdf","prospectus")</f>
        <v/>
      </c>
      <c r="BZ351" s="127">
        <f>HYPERLINK("https://www1.hkexnews.hk/listedco/listconews/sehk/2025/0708/2025070801152.pdf","allotment")</f>
        <v/>
      </c>
      <c r="CA351" s="127">
        <f>HYPERLINK("https://www1.hkexnews.hk/listedco/listconews/sehk/2025/0804/2025080400029.pdf","stabilisation")</f>
        <v/>
      </c>
      <c r="CB351" s="128" t="n"/>
      <c r="CC351" s="108" t="inlineStr">
        <is>
          <t>sponsor: English name not in the filing; AAStocks 保薦人 shown</t>
        </is>
      </c>
    </row>
    <row r="352" ht="22" customHeight="1">
      <c r="A352" s="107" t="inlineStr">
        <is>
          <t>1304</t>
        </is>
      </c>
      <c r="B352" s="108" t="inlineStr">
        <is>
          <t>FORTIOR</t>
        </is>
      </c>
      <c r="C352" s="108" t="inlineStr">
        <is>
          <t>FORTIOR</t>
        </is>
      </c>
      <c r="D352" s="108" t="inlineStr">
        <is>
          <t>Tech/AI</t>
        </is>
      </c>
      <c r="E352" s="108" t="inlineStr">
        <is>
          <t>Analog / power semiconductors</t>
        </is>
      </c>
      <c r="F352" s="108" t="inlineStr">
        <is>
          <t>Semiconductors &amp; Semiconductor Equipment</t>
        </is>
      </c>
      <c r="G352" s="108" t="inlineStr">
        <is>
          <t>Standard</t>
        </is>
      </c>
      <c r="H352" s="109" t="n">
        <v>45847</v>
      </c>
      <c r="I352" s="110" t="n">
        <v>2258.7</v>
      </c>
      <c r="J352" s="108" t="inlineStr">
        <is>
          <t>gross (stated)</t>
        </is>
      </c>
      <c r="K352" s="129" t="n"/>
      <c r="L352" s="111" t="n">
        <v>120.5</v>
      </c>
      <c r="M352" s="111" t="n">
        <v>120.5</v>
      </c>
      <c r="N352" s="108" t="inlineStr">
        <is>
          <t>Y</t>
        </is>
      </c>
      <c r="O352" s="112" t="n">
        <v>100</v>
      </c>
      <c r="P352" s="118" t="n"/>
      <c r="Q352" s="113" t="n">
        <v>13070.6</v>
      </c>
      <c r="R352" s="108" t="inlineStr">
        <is>
          <t>prospectus:stated market capitalisation</t>
        </is>
      </c>
      <c r="S352" s="114" t="n">
        <v>138.26</v>
      </c>
      <c r="T352" s="115" t="n">
        <v>8.609999999999999</v>
      </c>
      <c r="U352" s="116" t="n">
        <v>38.92</v>
      </c>
      <c r="V352" s="117" t="n">
        <v>103</v>
      </c>
      <c r="W352" s="112" t="n">
        <v>43.48</v>
      </c>
      <c r="X352" s="108" t="inlineStr">
        <is>
          <t>YES</t>
        </is>
      </c>
      <c r="Y352" s="113" t="n">
        <v>1379.61</v>
      </c>
      <c r="Z352" s="113" t="n">
        <v>11449080</v>
      </c>
      <c r="AA352" s="112" t="n">
        <v>10.56</v>
      </c>
      <c r="AB352" s="108" t="inlineStr">
        <is>
          <t>Taikang Life; Pinpoint; 3W Fund; Wind Sabre; ChinaAMC (HK); Mega Prime; Sanhua International Singapore; Fourier Capital; Torus; Intac</t>
        </is>
      </c>
      <c r="AC352" s="108" t="inlineStr">
        <is>
          <t>taikang;pinpoint;3w;wind;chinaamc;mega;sanhua;fourier;torus;intac</t>
        </is>
      </c>
      <c r="AD352" s="112" t="n">
        <v>15</v>
      </c>
      <c r="AE352" s="108" t="inlineStr">
        <is>
          <t>full</t>
        </is>
      </c>
      <c r="AF352" s="119" t="n"/>
      <c r="AG352" s="119" t="n"/>
      <c r="AH352" s="119" t="n"/>
      <c r="AI352" s="120" t="n">
        <v>6.97</v>
      </c>
      <c r="AJ352" s="121" t="n">
        <v>16.02</v>
      </c>
      <c r="AK352" s="121" t="n">
        <v>-1.62</v>
      </c>
      <c r="AL352" s="121" t="n">
        <v>8.550000000000001</v>
      </c>
      <c r="AM352" s="121" t="n">
        <v>6.88</v>
      </c>
      <c r="AN352" s="123" t="n">
        <v>1.11</v>
      </c>
      <c r="AO352" s="112" t="n">
        <v>12.08</v>
      </c>
      <c r="AP352" s="121" t="n">
        <v>25.81</v>
      </c>
      <c r="AQ352" s="121" t="n">
        <v>30.87</v>
      </c>
      <c r="AR352" s="121" t="n">
        <v>65.06</v>
      </c>
      <c r="AS352" s="121" t="n">
        <v>8.44</v>
      </c>
      <c r="AT352" s="121" t="n">
        <v>12.8</v>
      </c>
      <c r="AU352" s="121" t="n">
        <v>42.27</v>
      </c>
      <c r="AV352" s="121" t="n">
        <v>24</v>
      </c>
      <c r="AW352" s="121" t="n">
        <v>26.86</v>
      </c>
      <c r="AX352" s="121" t="n">
        <v>43</v>
      </c>
      <c r="AY352" s="121" t="n">
        <v>7.07</v>
      </c>
      <c r="AZ352" s="121" t="n">
        <v>4.01</v>
      </c>
      <c r="BA352" s="121" t="n">
        <v>5.73</v>
      </c>
      <c r="BB352" s="108" t="inlineStr">
        <is>
          <t>HSTECH (Hang Seng TECH ETF)</t>
        </is>
      </c>
      <c r="BC352" s="121" t="n">
        <v>-1.33</v>
      </c>
      <c r="BD352" s="109" t="n">
        <v>46297</v>
      </c>
      <c r="BE352" s="110" t="n">
        <v>660.4</v>
      </c>
      <c r="BF352" s="113" t="n">
        <v>156.2</v>
      </c>
      <c r="BG352" s="108" t="inlineStr">
        <is>
          <t>Y</t>
        </is>
      </c>
      <c r="BH352" s="123" t="n">
        <v>83.7</v>
      </c>
      <c r="BI352" s="123" t="n">
        <v>53.1</v>
      </c>
      <c r="BJ352" s="123" t="n">
        <v>48.1</v>
      </c>
      <c r="BK352" s="123" t="n">
        <v>19.8</v>
      </c>
      <c r="BL352" s="124">
        <f>IF('BBG Verify'!S352="","not filed; run on terminal",'BBG Verify'!S352)</f>
        <v/>
      </c>
      <c r="BM352" s="125" t="inlineStr">
        <is>
          <t>Y</t>
        </is>
      </c>
      <c r="BN352" s="108" t="inlineStr">
        <is>
          <t>688279.SS</t>
        </is>
      </c>
      <c r="BO352" s="121" t="n">
        <v>66.31999999999999</v>
      </c>
      <c r="BP352" s="111" t="n">
        <v>200.418</v>
      </c>
      <c r="BQ352" s="135" t="n">
        <v>0.9616</v>
      </c>
      <c r="BR352" s="113" t="n">
        <v>26855.9</v>
      </c>
      <c r="BS352" s="124">
        <f>IF('BBG Verify'!Q352="","run on terminal",'BBG Verify'!Q352)</f>
        <v/>
      </c>
      <c r="BT352" s="124">
        <f>IF('BBG Verify'!R352="","run on terminal",'BBG Verify'!R352)</f>
        <v/>
      </c>
      <c r="BU352" s="125" t="inlineStr">
        <is>
          <t>China International Capital Corporation Hong Kong Securities Limited</t>
        </is>
      </c>
      <c r="BV352" s="108" t="inlineStr">
        <is>
          <t>China International Capital Corporation Hong Kong Securities Limited</t>
        </is>
      </c>
      <c r="BW352" s="108" t="inlineStr">
        <is>
          <t>China International Capital Corporation Hong Kong Securities Limited; BOCI Asia Limited; GF Securities (Hong Kong) Brokerage Limited</t>
        </is>
      </c>
      <c r="BX352" s="108" t="inlineStr">
        <is>
          <t>BOCI Asia Limited; China International Capital Corporation Hong Kong Securities Limited; GF Securities (Hong Kong) Brokerage Limited</t>
        </is>
      </c>
      <c r="BY352" s="127">
        <f>HYPERLINK("https://www1.hkexnews.hk/listedco/listconews/sehk/2025/0630/2025063000015.pdf","prospectus")</f>
        <v/>
      </c>
      <c r="BZ352" s="127">
        <f>HYPERLINK("https://www1.hkexnews.hk/listedco/listconews/sehk/2025/0708/2025070801154.pdf","allotment")</f>
        <v/>
      </c>
      <c r="CA352" s="127">
        <f>HYPERLINK("https://www1.hkexnews.hk/listedco/listconews/sehk/2025/0803/2025080300007.pdf","stabilisation")</f>
        <v/>
      </c>
      <c r="CB352" s="128" t="n"/>
      <c r="CC352" s="108" t="inlineStr">
        <is>
          <t>greenshoe: outcome published; expiry date not in the notice; range low: maximum offer price only, no floor published; A/H: Jul 2025 H listing (BLDC motor-driver chips); stabilising manager: not named in the allotment notice or prospectus glossary</t>
        </is>
      </c>
    </row>
    <row r="353" ht="22" customHeight="1">
      <c r="A353" s="107" t="inlineStr">
        <is>
          <t>6613</t>
        </is>
      </c>
      <c r="B353" s="108" t="inlineStr">
        <is>
          <t>LENS</t>
        </is>
      </c>
      <c r="C353" s="108" t="inlineStr">
        <is>
          <t>藍思科技</t>
        </is>
      </c>
      <c r="D353" s="108" t="inlineStr">
        <is>
          <t>Tech/AI</t>
        </is>
      </c>
      <c r="E353" s="108" t="inlineStr">
        <is>
          <t>Smart hardware / consumer electronics</t>
        </is>
      </c>
      <c r="F353" s="108" t="inlineStr">
        <is>
          <t>Next-generation information technology</t>
        </is>
      </c>
      <c r="G353" s="108" t="inlineStr">
        <is>
          <t>Standard</t>
        </is>
      </c>
      <c r="H353" s="109" t="n">
        <v>45847</v>
      </c>
      <c r="I353" s="110" t="n">
        <v>4767.83</v>
      </c>
      <c r="J353" s="108" t="inlineStr">
        <is>
          <t>gross (stated)</t>
        </is>
      </c>
      <c r="K353" s="129" t="n"/>
      <c r="L353" s="111" t="n">
        <v>18.18</v>
      </c>
      <c r="M353" s="111" t="n">
        <v>18.18</v>
      </c>
      <c r="N353" s="108" t="inlineStr">
        <is>
          <t>Y</t>
        </is>
      </c>
      <c r="O353" s="112" t="n">
        <v>100</v>
      </c>
      <c r="P353" s="118" t="n"/>
      <c r="Q353" s="113" t="n">
        <v>96069.8</v>
      </c>
      <c r="R353" s="108" t="inlineStr">
        <is>
          <t>aastocks:上市市值 at the struck price</t>
        </is>
      </c>
      <c r="S353" s="114" t="n">
        <v>462.76</v>
      </c>
      <c r="T353" s="115" t="n">
        <v>16.68</v>
      </c>
      <c r="U353" s="116" t="n">
        <v>31.45</v>
      </c>
      <c r="V353" s="117" t="n">
        <v>165</v>
      </c>
      <c r="W353" s="112" t="n">
        <v>45</v>
      </c>
      <c r="X353" s="108" t="inlineStr">
        <is>
          <t>YES</t>
        </is>
      </c>
      <c r="Y353" s="113" t="n">
        <v>3268.35</v>
      </c>
      <c r="Z353" s="113" t="n">
        <v>179777036</v>
      </c>
      <c r="AA353" s="112" t="n">
        <v>3.4</v>
      </c>
      <c r="AB353" s="108" t="inlineStr">
        <is>
          <t>Green Better Limited; Olympic Country Company Limited; UBS Asset Management (Singapore) Ltd; Oaktree Capital Management, L.P; LMR Multi-Strategy Master Fund Limited; Redwood Elite Limited; QRT Master Fund SPC; Poly Platinum Enterprises Limited; Infini Global Master Fund; Verition Multi- Strategy Master Fund Ltd</t>
        </is>
      </c>
      <c r="AC353" s="108" t="inlineStr">
        <is>
          <t>green;olympic;ubs;oaktree;lmr;redwood;qrt;poly;infini;verition</t>
        </is>
      </c>
      <c r="AD353" s="112" t="n">
        <v>15</v>
      </c>
      <c r="AE353" s="108" t="inlineStr">
        <is>
          <t>full</t>
        </is>
      </c>
      <c r="AF353" s="108" t="inlineStr">
        <is>
          <t>2025-08-03</t>
        </is>
      </c>
      <c r="AG353" s="108" t="inlineStr">
        <is>
          <t>C LSA Limited</t>
        </is>
      </c>
      <c r="AH353" s="108" t="inlineStr">
        <is>
          <t>C LSA</t>
        </is>
      </c>
      <c r="AI353" s="120" t="n">
        <v>3.52</v>
      </c>
      <c r="AJ353" s="121" t="n">
        <v>9.130000000000001</v>
      </c>
      <c r="AK353" s="121" t="n">
        <v>-1.62</v>
      </c>
      <c r="AL353" s="121" t="n">
        <v>3.85</v>
      </c>
      <c r="AM353" s="121" t="n">
        <v>5.08</v>
      </c>
      <c r="AN353" s="123" t="n">
        <v>1.19</v>
      </c>
      <c r="AO353" s="112" t="n">
        <v>7.63</v>
      </c>
      <c r="AP353" s="121" t="n">
        <v>6.38</v>
      </c>
      <c r="AQ353" s="121" t="n">
        <v>16.06</v>
      </c>
      <c r="AR353" s="121" t="n">
        <v>76.79000000000001</v>
      </c>
      <c r="AS353" s="121" t="n">
        <v>-2.52</v>
      </c>
      <c r="AT353" s="121" t="n">
        <v>6.35</v>
      </c>
      <c r="AU353" s="121" t="n">
        <v>62</v>
      </c>
      <c r="AV353" s="121" t="n">
        <v>4.57</v>
      </c>
      <c r="AW353" s="121" t="n">
        <v>12.05</v>
      </c>
      <c r="AX353" s="121" t="n">
        <v>54.73</v>
      </c>
      <c r="AY353" s="121" t="n">
        <v>0.62</v>
      </c>
      <c r="AZ353" s="121" t="n">
        <v>4.01</v>
      </c>
      <c r="BA353" s="121" t="n">
        <v>5.73</v>
      </c>
      <c r="BB353" s="108" t="inlineStr">
        <is>
          <t>HSTECH (Hang Seng TECH ETF)</t>
        </is>
      </c>
      <c r="BC353" s="121" t="n">
        <v>17.49</v>
      </c>
      <c r="BD353" s="109" t="n">
        <v>46297</v>
      </c>
      <c r="BE353" s="132" t="n"/>
      <c r="BF353" s="113" t="n">
        <v>4044.5</v>
      </c>
      <c r="BG353" s="108" t="inlineStr">
        <is>
          <t>Y</t>
        </is>
      </c>
      <c r="BH353" s="123" t="n">
        <v>23.8</v>
      </c>
      <c r="BI353" s="123" t="n">
        <v>22.9</v>
      </c>
      <c r="BJ353" s="123" t="n">
        <v>30.1</v>
      </c>
      <c r="BK353" s="122" t="n"/>
      <c r="BL353" s="124">
        <f>IF('BBG Verify'!S353="","not filed; run on terminal",'BBG Verify'!S353)</f>
        <v/>
      </c>
      <c r="BM353" s="125" t="inlineStr">
        <is>
          <t>Y</t>
        </is>
      </c>
      <c r="BN353" s="108" t="inlineStr">
        <is>
          <t>300433.SZ</t>
        </is>
      </c>
      <c r="BO353" s="121" t="n">
        <v>40.38</v>
      </c>
      <c r="BP353" s="111" t="n">
        <v>25.5213</v>
      </c>
      <c r="BQ353" s="135" t="n">
        <v>0.7702</v>
      </c>
      <c r="BR353" s="113" t="n">
        <v>199674.6</v>
      </c>
      <c r="BS353" s="124">
        <f>IF('BBG Verify'!Q353="","run on terminal",'BBG Verify'!Q353)</f>
        <v/>
      </c>
      <c r="BT353" s="124">
        <f>IF('BBG Verify'!R353="","run on terminal",'BBG Verify'!R353)</f>
        <v/>
      </c>
      <c r="BU353" s="125" t="inlineStr">
        <is>
          <t>CITIC Securities (Hong Kong) Limited</t>
        </is>
      </c>
      <c r="BV353" s="108" t="inlineStr">
        <is>
          <t>CITIC Securities (Hong Kong) Limited</t>
        </is>
      </c>
      <c r="BW353" s="108" t="inlineStr">
        <is>
          <t>CLSA Limited; Merrill Lynch (Asia Pacific) Limited; ABCI Capital Limited; BOCI Asia Limited; Futu Securities International (Hong Kong) Limited; AVICT Global Asset Management Limited</t>
        </is>
      </c>
      <c r="BX353" s="108" t="inlineStr">
        <is>
          <t>ABCI Securities Company Limited; AVICT Global Asset Management Limited; BOCI Asia Limited; CLSA Limited; Futu Securities International (Hong Kong) Limited; Merrill Lynch (Asia Pacific) Limited</t>
        </is>
      </c>
      <c r="BY353" s="127">
        <f>HYPERLINK("https://www1.hkexnews.hk/listedco/listconews/sehk/2025/0630/2025063000031.pdf","prospectus")</f>
        <v/>
      </c>
      <c r="BZ353" s="127">
        <f>HYPERLINK("https://www1.hkexnews.hk/listedco/listconews/sehk/2025/0708/2025070801180.pdf","allotment")</f>
        <v/>
      </c>
      <c r="CA353" s="127">
        <f>HYPERLINK("https://www1.hkexnews.hk/listedco/listconews/sehk/2025/0803/2025080300029.pdf","stabilisation")</f>
        <v/>
      </c>
      <c r="CB353" s="128" t="n"/>
      <c r="CC353" s="108" t="inlineStr">
        <is>
          <t>range low: maximum offer price only, no floor published; A/H: Jul 2025 H listing (cover glass, Apple chain); P/S: revenue not extractable; financials: not extractable; pre-IPO year outside the AAStocks window</t>
        </is>
      </c>
    </row>
    <row r="354" ht="22" customHeight="1">
      <c r="A354" s="107" t="inlineStr">
        <is>
          <t>9887</t>
        </is>
      </c>
      <c r="B354" s="108" t="inlineStr">
        <is>
          <t>LEADS BIOLABS-B</t>
        </is>
      </c>
      <c r="C354" s="108" t="inlineStr">
        <is>
          <t>維立志博－Ｂ</t>
        </is>
      </c>
      <c r="D354" s="108" t="inlineStr">
        <is>
          <t>Healthcare</t>
        </is>
      </c>
      <c r="E354" s="108" t="inlineStr">
        <is>
          <t>Biotech pre-revenue (18A)</t>
        </is>
      </c>
      <c r="F354" s="108" t="inlineStr">
        <is>
          <t>Biotechnology - Pharmaceuticals</t>
        </is>
      </c>
      <c r="G354" s="108" t="inlineStr">
        <is>
          <t>18A</t>
        </is>
      </c>
      <c r="H354" s="109" t="n">
        <v>45863</v>
      </c>
      <c r="I354" s="110" t="n">
        <v>1290.2</v>
      </c>
      <c r="J354" s="108" t="inlineStr">
        <is>
          <t>gross (stated)</t>
        </is>
      </c>
      <c r="K354" s="111" t="n">
        <v>31.6</v>
      </c>
      <c r="L354" s="111" t="n">
        <v>35</v>
      </c>
      <c r="M354" s="111" t="n">
        <v>35</v>
      </c>
      <c r="N354" s="108" t="inlineStr">
        <is>
          <t>Y</t>
        </is>
      </c>
      <c r="O354" s="112" t="n">
        <v>100</v>
      </c>
      <c r="P354" s="112" t="n">
        <v>100</v>
      </c>
      <c r="Q354" s="113" t="n">
        <v>5958.3</v>
      </c>
      <c r="R354" s="108" t="inlineStr">
        <is>
          <t>prospectus:stated market capitalisation</t>
        </is>
      </c>
      <c r="S354" s="114" t="n">
        <v>3494.78</v>
      </c>
      <c r="T354" s="115" t="n">
        <v>40.78</v>
      </c>
      <c r="U354" s="116" t="n">
        <v>41.98</v>
      </c>
      <c r="V354" s="117" t="n">
        <v>141</v>
      </c>
      <c r="W354" s="112" t="n">
        <v>43.48</v>
      </c>
      <c r="X354" s="108" t="inlineStr">
        <is>
          <t>YES</t>
        </is>
      </c>
      <c r="Y354" s="113" t="n">
        <v>748.5700000000001</v>
      </c>
      <c r="Z354" s="113" t="n">
        <v>21387622</v>
      </c>
      <c r="AA354" s="112" t="n">
        <v>12.56</v>
      </c>
      <c r="AB354" s="108" t="inlineStr">
        <is>
          <t>Loyal Valley Capital Advantage Fund III LP; Golden Valley Global Limited; Golden Valley Value Select Master Fund (together with Loyal Valley Fund III and Golden Valley Global Limited, the LVC Entities ); Shanghai Gaoyi Asset Management Partnership (Limited Partnership) and Huatai Capital Investment Limited (in connection with Huatai Back-to-back TRS and Huatai Client TRS); Perseverance Asset Management International (Singapore) Pte. Ltd; TruMed Healthcare Master Fund; TruMed Health Innovation Fund LP; OrbiMed Genesis Master Fund, L.P; The Biotech Growth Trust PLC; Huang River Investment Limited; E Fund Management (Hong Kong) Co., Ltd; FORESIGHT GLOBAL SUPERIOR CHOICE SPC – GLOBAL SUPERIOR CHOICE FUND 1 SP and Foresight Global Superior Choice SPC – Vision Fund 1 SP; Sage Partners Master Fund; Hankang Biotech Fund III, L.P; Splendid Biotech Fund L.P</t>
        </is>
      </c>
      <c r="AC354" s="108" t="inlineStr">
        <is>
          <t>loyal;golden-valley;shanghai-gaoyi;perseverance;trumed;orbimed;biotech;huang-river;fund-management;foresight;sage;hankang;splendid</t>
        </is>
      </c>
      <c r="AD354" s="112" t="n">
        <v>15</v>
      </c>
      <c r="AE354" s="108" t="inlineStr">
        <is>
          <t>full</t>
        </is>
      </c>
      <c r="AF354" s="119" t="n"/>
      <c r="AG354" s="108" t="inlineStr">
        <is>
          <t>Morgan Stanley Asia Limited</t>
        </is>
      </c>
      <c r="AH354" s="108" t="inlineStr">
        <is>
          <t>Morgan Stanley</t>
        </is>
      </c>
      <c r="AI354" s="120" t="n">
        <v>99.29000000000001</v>
      </c>
      <c r="AJ354" s="121" t="n">
        <v>91.70999999999999</v>
      </c>
      <c r="AK354" s="121" t="n">
        <v>-0.07000000000000001</v>
      </c>
      <c r="AL354" s="121" t="n">
        <v>106.86</v>
      </c>
      <c r="AM354" s="121" t="n">
        <v>-7.32</v>
      </c>
      <c r="AN354" s="123" t="n">
        <v>2.07</v>
      </c>
      <c r="AO354" s="112" t="n">
        <v>17.27</v>
      </c>
      <c r="AP354" s="121" t="n">
        <v>100</v>
      </c>
      <c r="AQ354" s="121" t="n">
        <v>94.29000000000001</v>
      </c>
      <c r="AR354" s="121" t="n">
        <v>69.14</v>
      </c>
      <c r="AS354" s="121" t="n">
        <v>4.32</v>
      </c>
      <c r="AT354" s="121" t="n">
        <v>1.35</v>
      </c>
      <c r="AU354" s="121" t="n">
        <v>-11.77</v>
      </c>
      <c r="AV354" s="121" t="n">
        <v>96.86</v>
      </c>
      <c r="AW354" s="121" t="n">
        <v>84.23999999999999</v>
      </c>
      <c r="AX354" s="121" t="n">
        <v>66.01000000000001</v>
      </c>
      <c r="AY354" s="121" t="n">
        <v>-8.779999999999999</v>
      </c>
      <c r="AZ354" s="121" t="n">
        <v>10.05</v>
      </c>
      <c r="BA354" s="121" t="n">
        <v>10.13</v>
      </c>
      <c r="BB354" s="108" t="inlineStr">
        <is>
          <t>China Biotech ETF (HS biotech proxy)</t>
        </is>
      </c>
      <c r="BC354" s="121" t="n">
        <v>44.14</v>
      </c>
      <c r="BD354" s="109" t="n">
        <v>46297</v>
      </c>
      <c r="BE354" s="110" t="n">
        <v>9.800000000000001</v>
      </c>
      <c r="BF354" s="113" t="n">
        <v>-95.2</v>
      </c>
      <c r="BG354" s="108" t="inlineStr">
        <is>
          <t>N</t>
        </is>
      </c>
      <c r="BH354" s="108" t="inlineStr">
        <is>
          <t>n/m</t>
        </is>
      </c>
      <c r="BI354" s="122" t="n"/>
      <c r="BJ354" s="122" t="n"/>
      <c r="BK354" s="123" t="n">
        <v>608</v>
      </c>
      <c r="BL354" s="124">
        <f>IF('BBG Verify'!S354="","not filed; run on terminal",'BBG Verify'!S354)</f>
        <v/>
      </c>
      <c r="BM354" s="125" t="inlineStr">
        <is>
          <t>N</t>
        </is>
      </c>
      <c r="BN354" s="126">
        <f>IF('BBG Verify'!K354="","not filed; run on terminal",'BBG Verify'!K354)</f>
        <v/>
      </c>
      <c r="BO354" s="108" t="inlineStr">
        <is>
          <t>N/A</t>
        </is>
      </c>
      <c r="BP354" s="108" t="inlineStr">
        <is>
          <t>N/A</t>
        </is>
      </c>
      <c r="BQ354" s="108" t="inlineStr">
        <is>
          <t>N/A</t>
        </is>
      </c>
      <c r="BR354" s="108" t="inlineStr">
        <is>
          <t>N/A</t>
        </is>
      </c>
      <c r="BS354" s="108" t="inlineStr">
        <is>
          <t>N/A</t>
        </is>
      </c>
      <c r="BT354" s="108" t="inlineStr">
        <is>
          <t>N/A</t>
        </is>
      </c>
      <c r="BU354" s="125" t="inlineStr">
        <is>
          <t>Morgan StanleyAsia Limited; CITIC Securities (Hong Kong) Limited; CLSA Limited</t>
        </is>
      </c>
      <c r="BV354" s="108" t="inlineStr">
        <is>
          <t>Morgan Stanley Asia Limited; CITIC Securities (Hong Kong) Limited</t>
        </is>
      </c>
      <c r="BW354" s="108" t="inlineStr">
        <is>
          <t>Morgan StanleyAsia Limited; CLSA Limited; CMB International Capital Limited</t>
        </is>
      </c>
      <c r="BX354" s="108" t="inlineStr">
        <is>
          <t>CCB International Capital Limited; CLSA Limited; CMB International Capital Limited; Futu Securities International (Hong Kong) Limited; Morgan Stanley Asia Limited</t>
        </is>
      </c>
      <c r="BY354" s="127">
        <f>HYPERLINK("https://www1.hkexnews.hk/listedco/listconews/sehk/2025/0717/2025071700005.pdf","prospectus")</f>
        <v/>
      </c>
      <c r="BZ354" s="127">
        <f>HYPERLINK("https://www1.hkexnews.hk/listedco/listconews/sehk/2025/0724/2025072401812.pdf","allotment")</f>
        <v/>
      </c>
      <c r="CA354" s="127">
        <f>HYPERLINK("https://www1.hkexnews.hk/listedco/listconews/sehk/2025/0821/2025082100862.pdf","stabilisation")</f>
        <v/>
      </c>
      <c r="CB354" s="128" t="n"/>
      <c r="CC354" s="108" t="inlineStr">
        <is>
          <t>P/E: loss-making at IPO, use P/S; greenshoe: outcome published; expiry date not in the notice; P/S: 608x on HK$9.8m revenue, effectively pre-revenue; not comparable</t>
        </is>
      </c>
    </row>
    <row r="355" ht="22" customHeight="1">
      <c r="A355" s="107" t="inlineStr">
        <is>
          <t>2627</t>
        </is>
      </c>
      <c r="B355" s="108" t="inlineStr">
        <is>
          <t>AB&amp;B BIO-TECH-B</t>
        </is>
      </c>
      <c r="C355" s="108" t="inlineStr">
        <is>
          <t>中慧生物－Ｂ</t>
        </is>
      </c>
      <c r="D355" s="108" t="inlineStr">
        <is>
          <t>Healthcare</t>
        </is>
      </c>
      <c r="E355" s="108" t="inlineStr">
        <is>
          <t>Biotech pre-revenue (18A)</t>
        </is>
      </c>
      <c r="F355" s="108" t="inlineStr">
        <is>
          <t>Biotechnology - Pharmaceuticals</t>
        </is>
      </c>
      <c r="G355" s="108" t="inlineStr">
        <is>
          <t>18A</t>
        </is>
      </c>
      <c r="H355" s="109" t="n">
        <v>45880</v>
      </c>
      <c r="I355" s="110" t="n">
        <v>431.4</v>
      </c>
      <c r="J355" s="108" t="inlineStr">
        <is>
          <t>gross (stated)</t>
        </is>
      </c>
      <c r="K355" s="111" t="n">
        <v>12.9</v>
      </c>
      <c r="L355" s="111" t="n">
        <v>15.5</v>
      </c>
      <c r="M355" s="111" t="n">
        <v>12.9</v>
      </c>
      <c r="N355" s="108" t="inlineStr">
        <is>
          <t>N</t>
        </is>
      </c>
      <c r="O355" s="112" t="n">
        <v>83.2</v>
      </c>
      <c r="P355" s="112" t="n">
        <v>0</v>
      </c>
      <c r="Q355" s="113" t="n">
        <v>5075.4</v>
      </c>
      <c r="R355" s="108" t="inlineStr">
        <is>
          <t>derived:price x shares upon listing</t>
        </is>
      </c>
      <c r="S355" s="114" t="n">
        <v>4007.64</v>
      </c>
      <c r="T355" s="115" t="n">
        <v>0.99</v>
      </c>
      <c r="U355" s="116" t="n">
        <v>23.42</v>
      </c>
      <c r="V355" s="117" t="n">
        <v>152</v>
      </c>
      <c r="W355" s="112" t="n">
        <v>11.95</v>
      </c>
      <c r="X355" s="108" t="inlineStr">
        <is>
          <t>NO</t>
        </is>
      </c>
      <c r="Y355" s="113" t="n">
        <v>330.37</v>
      </c>
      <c r="Z355" s="113" t="n">
        <v>25610343</v>
      </c>
      <c r="AA355" s="112" t="n">
        <v>6.51</v>
      </c>
      <c r="AB355" s="108" t="inlineStr">
        <is>
          <t>Jiaxing Xinyang Private Equity Asset Management Co., Ltd. and Huatai Capital Investment Limited (in connection with Huatai Back-to-back TRS and Huatai Client TRS)</t>
        </is>
      </c>
      <c r="AC355" s="108" t="inlineStr">
        <is>
          <t>jiaxing</t>
        </is>
      </c>
      <c r="AD355" s="118" t="n"/>
      <c r="AE355" s="119" t="n"/>
      <c r="AF355" s="119" t="n"/>
      <c r="AG355" s="119" t="n"/>
      <c r="AH355" s="119" t="n"/>
      <c r="AI355" s="120" t="n">
        <v>162.64</v>
      </c>
      <c r="AJ355" s="121" t="n">
        <v>157.98</v>
      </c>
      <c r="AK355" s="121" t="n">
        <v>0.77</v>
      </c>
      <c r="AL355" s="121" t="n">
        <v>155.81</v>
      </c>
      <c r="AM355" s="121" t="n">
        <v>0.85</v>
      </c>
      <c r="AN355" s="123" t="n">
        <v>2.25</v>
      </c>
      <c r="AO355" s="112" t="n">
        <v>5.45</v>
      </c>
      <c r="AP355" s="121" t="n">
        <v>314.73</v>
      </c>
      <c r="AQ355" s="121" t="n">
        <v>261.09</v>
      </c>
      <c r="AR355" s="121" t="n">
        <v>212.71</v>
      </c>
      <c r="AS355" s="121" t="n">
        <v>60.76</v>
      </c>
      <c r="AT355" s="121" t="n">
        <v>39.97</v>
      </c>
      <c r="AU355" s="121" t="n">
        <v>21.21</v>
      </c>
      <c r="AV355" s="121" t="n">
        <v>307.69</v>
      </c>
      <c r="AW355" s="121" t="n">
        <v>248.23</v>
      </c>
      <c r="AX355" s="121" t="n">
        <v>212.81</v>
      </c>
      <c r="AY355" s="121" t="n">
        <v>27.97</v>
      </c>
      <c r="AZ355" s="121" t="n">
        <v>12.86</v>
      </c>
      <c r="BA355" s="121" t="n">
        <v>12</v>
      </c>
      <c r="BB355" s="108" t="inlineStr">
        <is>
          <t>China Biotech ETF (HS biotech proxy)</t>
        </is>
      </c>
      <c r="BC355" s="121" t="n">
        <v>127.29</v>
      </c>
      <c r="BD355" s="109" t="n">
        <v>46112</v>
      </c>
      <c r="BE355" s="110" t="n">
        <v>0.3</v>
      </c>
      <c r="BF355" s="113" t="n">
        <v>0</v>
      </c>
      <c r="BG355" s="108" t="inlineStr">
        <is>
          <t>N</t>
        </is>
      </c>
      <c r="BH355" s="108" t="inlineStr">
        <is>
          <t>n/m</t>
        </is>
      </c>
      <c r="BI355" s="122" t="n"/>
      <c r="BJ355" s="122" t="n"/>
      <c r="BK355" s="123" t="n">
        <v>16918</v>
      </c>
      <c r="BL355" s="124">
        <f>IF('BBG Verify'!S355="","not filed; run on terminal",'BBG Verify'!S355)</f>
        <v/>
      </c>
      <c r="BM355" s="125" t="inlineStr">
        <is>
          <t>N</t>
        </is>
      </c>
      <c r="BN355" s="126">
        <f>IF('BBG Verify'!K355="","not filed; run on terminal",'BBG Verify'!K355)</f>
        <v/>
      </c>
      <c r="BO355" s="108" t="inlineStr">
        <is>
          <t>N/A</t>
        </is>
      </c>
      <c r="BP355" s="108" t="inlineStr">
        <is>
          <t>N/A</t>
        </is>
      </c>
      <c r="BQ355" s="108" t="inlineStr">
        <is>
          <t>N/A</t>
        </is>
      </c>
      <c r="BR355" s="108" t="inlineStr">
        <is>
          <t>N/A</t>
        </is>
      </c>
      <c r="BS355" s="108" t="inlineStr">
        <is>
          <t>N/A</t>
        </is>
      </c>
      <c r="BT355" s="108" t="inlineStr">
        <is>
          <t>N/A</t>
        </is>
      </c>
      <c r="BU355" s="125" t="inlineStr">
        <is>
          <t>CITIC Securities (Hong Kong) Limited; CMB International Capital Limited</t>
        </is>
      </c>
      <c r="BV355" s="108" t="inlineStr">
        <is>
          <t>CITIC Securities (Hong Kong) Limited; CMB International Capital Limited</t>
        </is>
      </c>
      <c r="BW355" s="108" t="inlineStr">
        <is>
          <t>CLSA Limited; CMB International Capital Limited; Livermore Holdings Limited; Funde Securities Limited; Aristo Securities Limited; BOCI Asia Limited; ICBC International Securities Limited</t>
        </is>
      </c>
      <c r="BX355" s="108" t="inlineStr">
        <is>
          <t>Aristo Securities Limited; BOCI Asia Limited; CLSA Limited; CMB International Capital Limited; Funde Securities Limited; ICBC International Securities Limited; Livermore Holdings Limited</t>
        </is>
      </c>
      <c r="BY355" s="127">
        <f>HYPERLINK("https://www1.hkexnews.hk/listedco/listconews/sehk/2025/0731/2025073100087.pdf","prospectus")</f>
        <v/>
      </c>
      <c r="BZ355" s="127">
        <f>HYPERLINK("https://www1.hkexnews.hk/listedco/listconews/sehk/2025/0808/2025080801368.pdf","allotment")</f>
        <v/>
      </c>
      <c r="CA355" s="119" t="n"/>
      <c r="CB355" s="128" t="n"/>
      <c r="CC355" s="108" t="inlineStr">
        <is>
          <t>P/E: loss-making at IPO, use P/S; greenshoe: no over-allotment option; greenshoe size: no over-allotment option; P/S: 16,918x on HK$0.3m revenue, effectively pre-revenue; not comparable; stabilising manager: filing states none appointed (allotment announcement: 'no stabilizing manager will be appointed' stated in the filing); price series: last available quoted close 2026-03-31; may be suspended, delisted or a source gap; price and benchmark end on that date</t>
        </is>
      </c>
    </row>
    <row r="356" ht="22" customHeight="1">
      <c r="A356" s="107" t="inlineStr">
        <is>
          <t>2591</t>
        </is>
      </c>
      <c r="B356" s="108" t="inlineStr">
        <is>
          <t>INNOGEN-B</t>
        </is>
      </c>
      <c r="C356" s="108" t="inlineStr">
        <is>
          <t>銀諾醫藥－Ｂ</t>
        </is>
      </c>
      <c r="D356" s="108" t="inlineStr">
        <is>
          <t>Healthcare</t>
        </is>
      </c>
      <c r="E356" s="108" t="inlineStr">
        <is>
          <t>Biotech pre-revenue (18A)</t>
        </is>
      </c>
      <c r="F356" s="108" t="inlineStr">
        <is>
          <t>Pharmaceuticals</t>
        </is>
      </c>
      <c r="G356" s="108" t="inlineStr">
        <is>
          <t>18A</t>
        </is>
      </c>
      <c r="H356" s="109" t="n">
        <v>45884</v>
      </c>
      <c r="I356" s="110" t="n">
        <v>682.9</v>
      </c>
      <c r="J356" s="108" t="inlineStr">
        <is>
          <t>gross (stated)</t>
        </is>
      </c>
      <c r="K356" s="129" t="n"/>
      <c r="L356" s="111" t="n">
        <v>18.68</v>
      </c>
      <c r="M356" s="111" t="n">
        <v>18.68</v>
      </c>
      <c r="N356" s="108" t="inlineStr">
        <is>
          <t>Y</t>
        </is>
      </c>
      <c r="O356" s="112" t="n">
        <v>100</v>
      </c>
      <c r="P356" s="118" t="n"/>
      <c r="Q356" s="113" t="n">
        <v>8533.4</v>
      </c>
      <c r="R356" s="108" t="inlineStr">
        <is>
          <t>derived:price x shares upon listing</t>
        </is>
      </c>
      <c r="S356" s="114" t="n">
        <v>5341.66</v>
      </c>
      <c r="T356" s="115" t="n">
        <v>10.67</v>
      </c>
      <c r="U356" s="116" t="n">
        <v>11.49</v>
      </c>
      <c r="V356" s="117" t="n">
        <v>143</v>
      </c>
      <c r="W356" s="112" t="n">
        <v>10</v>
      </c>
      <c r="X356" s="108" t="inlineStr">
        <is>
          <t>NA</t>
        </is>
      </c>
      <c r="Y356" s="113" t="n">
        <v>604.4299999999999</v>
      </c>
      <c r="Z356" s="113" t="n">
        <v>32356070</v>
      </c>
      <c r="AA356" s="112" t="n">
        <v>7.08</v>
      </c>
      <c r="AB356" s="108" t="inlineStr">
        <is>
          <t>June Star Global Limited; Ginkgo Capital Global Fund SPC-XtalPi AI Fund SP; Marketingforce Management Ltd; DENG Haifeng (ࢤ; LI Huifeng</t>
        </is>
      </c>
      <c r="AC356" s="108" t="inlineStr">
        <is>
          <t>june;ginkgo;marketingforce;deng-haifeng;li-huifeng</t>
        </is>
      </c>
      <c r="AD356" s="112" t="n">
        <v>11.19</v>
      </c>
      <c r="AE356" s="119" t="n"/>
      <c r="AF356" s="119" t="n"/>
      <c r="AG356" s="108" t="inlineStr">
        <is>
          <t>CLSA Limited</t>
        </is>
      </c>
      <c r="AH356" s="108" t="inlineStr">
        <is>
          <t>CLSA</t>
        </is>
      </c>
      <c r="AI356" s="120" t="n">
        <v>274.73</v>
      </c>
      <c r="AJ356" s="121" t="n">
        <v>206.48</v>
      </c>
      <c r="AK356" s="121" t="n">
        <v>1.42</v>
      </c>
      <c r="AL356" s="121" t="n">
        <v>285.44</v>
      </c>
      <c r="AM356" s="121" t="n">
        <v>-20.49</v>
      </c>
      <c r="AN356" s="123" t="n">
        <v>4.44</v>
      </c>
      <c r="AO356" s="112" t="n">
        <v>34.03</v>
      </c>
      <c r="AP356" s="121" t="n">
        <v>183.73</v>
      </c>
      <c r="AQ356" s="121" t="n">
        <v>137.37</v>
      </c>
      <c r="AR356" s="121" t="n">
        <v>84.58</v>
      </c>
      <c r="AS356" s="121" t="n">
        <v>-7.42</v>
      </c>
      <c r="AT356" s="121" t="n">
        <v>-22.55</v>
      </c>
      <c r="AU356" s="121" t="n">
        <v>-39.77</v>
      </c>
      <c r="AV356" s="121" t="n">
        <v>180.94</v>
      </c>
      <c r="AW356" s="121" t="n">
        <v>131.52</v>
      </c>
      <c r="AX356" s="121" t="n">
        <v>86.28</v>
      </c>
      <c r="AY356" s="121" t="n">
        <v>-26.92</v>
      </c>
      <c r="AZ356" s="121" t="n">
        <v>5.85</v>
      </c>
      <c r="BA356" s="121" t="n">
        <v>4.37</v>
      </c>
      <c r="BB356" s="108" t="inlineStr">
        <is>
          <t>China Biotech ETF (HS biotech proxy)</t>
        </is>
      </c>
      <c r="BC356" s="121" t="n">
        <v>-80.03</v>
      </c>
      <c r="BD356" s="109" t="n">
        <v>46297</v>
      </c>
      <c r="BE356" s="110" t="n">
        <v>42</v>
      </c>
      <c r="BF356" s="113" t="n">
        <v>-68.09999999999999</v>
      </c>
      <c r="BG356" s="108" t="inlineStr">
        <is>
          <t>N</t>
        </is>
      </c>
      <c r="BH356" s="108" t="inlineStr">
        <is>
          <t>n/m</t>
        </is>
      </c>
      <c r="BI356" s="122" t="n"/>
      <c r="BJ356" s="122" t="n"/>
      <c r="BK356" s="123" t="n">
        <v>203.2</v>
      </c>
      <c r="BL356" s="124">
        <f>IF('BBG Verify'!S356="","not filed; run on terminal",'BBG Verify'!S356)</f>
        <v/>
      </c>
      <c r="BM356" s="125" t="inlineStr">
        <is>
          <t>N</t>
        </is>
      </c>
      <c r="BN356" s="126">
        <f>IF('BBG Verify'!K356="","not filed; run on terminal",'BBG Verify'!K356)</f>
        <v/>
      </c>
      <c r="BO356" s="108" t="inlineStr">
        <is>
          <t>N/A</t>
        </is>
      </c>
      <c r="BP356" s="108" t="inlineStr">
        <is>
          <t>N/A</t>
        </is>
      </c>
      <c r="BQ356" s="108" t="inlineStr">
        <is>
          <t>N/A</t>
        </is>
      </c>
      <c r="BR356" s="108" t="inlineStr">
        <is>
          <t>N/A</t>
        </is>
      </c>
      <c r="BS356" s="108" t="inlineStr">
        <is>
          <t>N/A</t>
        </is>
      </c>
      <c r="BT356" s="108" t="inlineStr">
        <is>
          <t>N/A</t>
        </is>
      </c>
      <c r="BU356" s="125" t="inlineStr">
        <is>
          <t>CITIC Securities (Hong Kong) Limited; China International Capital Corporation Hong Kong Securities Limited</t>
        </is>
      </c>
      <c r="BV356" s="108" t="inlineStr">
        <is>
          <t>China International Capital Corporation Hong Kong Securities Limited; CITIC Securities (Hong Kong) Limited</t>
        </is>
      </c>
      <c r="BW356" s="108" t="inlineStr">
        <is>
          <t>CLSA Limited; China International Capital Corporation Hong Kong Securities Limited; (in no particular order ) Deutsche Bank AG, Hong Kong Branch; Macquarie Capital Limited; China Galaxy International Securities (Hong Kong) Co., Limited; ABCI Capital Limited; BOCOM International Securities Limited; CMB International Capital Limited; Futu Securities International (Hong Kong) Limited; FUZE SECURITIES (INTERNATIONAL) LIMITED; Hafoo Securities Limited; Tiger Brokers (HK) Global Limited</t>
        </is>
      </c>
      <c r="BX356" s="108" t="inlineStr">
        <is>
          <t>ABCI Securities Company Limited; BOCOM International Securities Limited; China Galaxy International Securities (Hong Kong) Company Limited; China International Capital Corporation Hong Kong Securities Limited; CLSA Limited; CMB International Capital Limited; Deutsche Bank AG; Fosun International Securities Limited; Futu Securities International (Hong Kong) Limited; FUZE SECURITIES (INTERNATIONAL) LIMITED; Hafoo Securities Limited; Macquarie Capital Limited</t>
        </is>
      </c>
      <c r="BY356" s="127">
        <f>HYPERLINK("https://www1.hkexnews.hk/listedco/listconews/sehk/2025/0807/2025080700013.pdf","prospectus")</f>
        <v/>
      </c>
      <c r="BZ356" s="127">
        <f>HYPERLINK("https://www1.hkexnews.hk/listedco/listconews/sehk/2025/0814/2025081401622.pdf","allotment")</f>
        <v/>
      </c>
      <c r="CA356" s="119" t="n"/>
      <c r="CB356" s="128" t="n"/>
      <c r="CC356" s="108" t="inlineStr">
        <is>
          <t>P/E: loss-making at IPO, use P/S; greenshoe: end-of-stabilisation notice not found; range low: maximum offer price only, no floor published</t>
        </is>
      </c>
    </row>
    <row r="357" ht="22" customHeight="1">
      <c r="A357" s="107" t="inlineStr">
        <is>
          <t>2631</t>
        </is>
      </c>
      <c r="B357" s="108" t="inlineStr">
        <is>
          <t>SICC</t>
        </is>
      </c>
      <c r="C357" s="108" t="inlineStr">
        <is>
          <t>天岳先進</t>
        </is>
      </c>
      <c r="D357" s="108" t="inlineStr">
        <is>
          <t>Tech/AI</t>
        </is>
      </c>
      <c r="E357" s="108" t="inlineStr">
        <is>
          <t>Semiconductor equipment / materials</t>
        </is>
      </c>
      <c r="F357" s="108" t="inlineStr">
        <is>
          <t>Semiconductors &amp; Semiconductor Equipment</t>
        </is>
      </c>
      <c r="G357" s="108" t="inlineStr">
        <is>
          <t>Standard</t>
        </is>
      </c>
      <c r="H357" s="109" t="n">
        <v>45889</v>
      </c>
      <c r="I357" s="110" t="n">
        <v>2043.5</v>
      </c>
      <c r="J357" s="108" t="inlineStr">
        <is>
          <t>gross (stated)</t>
        </is>
      </c>
      <c r="K357" s="129" t="n"/>
      <c r="L357" s="111" t="n">
        <v>42.8</v>
      </c>
      <c r="M357" s="111" t="n">
        <v>42.8</v>
      </c>
      <c r="N357" s="108" t="inlineStr">
        <is>
          <t>Y</t>
        </is>
      </c>
      <c r="O357" s="112" t="n">
        <v>100</v>
      </c>
      <c r="P357" s="118" t="n"/>
      <c r="Q357" s="113" t="n">
        <v>18084.1</v>
      </c>
      <c r="R357" s="108" t="inlineStr">
        <is>
          <t>derived:deal size / offer % of enlarged capital</t>
        </is>
      </c>
      <c r="S357" s="114" t="n">
        <v>2809.19</v>
      </c>
      <c r="T357" s="115" t="n">
        <v>9.039999999999999</v>
      </c>
      <c r="U357" s="116" t="n">
        <v>36.2</v>
      </c>
      <c r="V357" s="117" t="n">
        <v>146</v>
      </c>
      <c r="W357" s="112" t="n">
        <v>35</v>
      </c>
      <c r="X357" s="108" t="inlineStr">
        <is>
          <t>YES</t>
        </is>
      </c>
      <c r="Y357" s="113" t="n">
        <v>1303.75</v>
      </c>
      <c r="Z357" s="113" t="n">
        <v>30461757</v>
      </c>
      <c r="AA357" s="112" t="n">
        <v>7.21</v>
      </c>
      <c r="AB357" s="108" t="inlineStr">
        <is>
          <t>H&amp;T Intelligent Control International Co., Limited; Mr. Lan Kun ( ᚆտ)</t>
        </is>
      </c>
      <c r="AC357" s="108" t="inlineStr">
        <is>
          <t>intelligent;mr-lan</t>
        </is>
      </c>
      <c r="AD357" s="112" t="n">
        <v>15</v>
      </c>
      <c r="AE357" s="108" t="inlineStr">
        <is>
          <t>full</t>
        </is>
      </c>
      <c r="AF357" s="108" t="inlineStr">
        <is>
          <t>2025-09-14</t>
        </is>
      </c>
      <c r="AG357" s="108" t="inlineStr">
        <is>
          <t>China International Capital Corporation Hong Kong Securities Limited</t>
        </is>
      </c>
      <c r="AH357" s="108" t="inlineStr">
        <is>
          <t>China International</t>
        </is>
      </c>
      <c r="AI357" s="120" t="n">
        <v>12.06</v>
      </c>
      <c r="AJ357" s="121" t="n">
        <v>6.4</v>
      </c>
      <c r="AK357" s="121" t="n">
        <v>-0.09</v>
      </c>
      <c r="AL357" s="121" t="n">
        <v>6.54</v>
      </c>
      <c r="AM357" s="121" t="n">
        <v>-0.13</v>
      </c>
      <c r="AN357" s="123" t="n">
        <v>1.55</v>
      </c>
      <c r="AO357" s="112" t="n">
        <v>7.02</v>
      </c>
      <c r="AP357" s="121" t="n">
        <v>2.34</v>
      </c>
      <c r="AQ357" s="121" t="n">
        <v>42.29</v>
      </c>
      <c r="AR357" s="121" t="n">
        <v>23.25</v>
      </c>
      <c r="AS357" s="121" t="n">
        <v>-3.82</v>
      </c>
      <c r="AT357" s="121" t="n">
        <v>33.73</v>
      </c>
      <c r="AU357" s="121" t="n">
        <v>15.84</v>
      </c>
      <c r="AV357" s="121" t="n">
        <v>-0.41</v>
      </c>
      <c r="AW357" s="121" t="n">
        <v>29.25</v>
      </c>
      <c r="AX357" s="121" t="n">
        <v>22.79</v>
      </c>
      <c r="AY357" s="121" t="n">
        <v>20.59</v>
      </c>
      <c r="AZ357" s="121" t="n">
        <v>13.04</v>
      </c>
      <c r="BA357" s="121" t="n">
        <v>13.14</v>
      </c>
      <c r="BB357" s="108" t="inlineStr">
        <is>
          <t>HSTECH (Hang Seng TECH ETF)</t>
        </is>
      </c>
      <c r="BC357" s="121" t="n">
        <v>60.28</v>
      </c>
      <c r="BD357" s="109" t="n">
        <v>46297</v>
      </c>
      <c r="BE357" s="110" t="n">
        <v>1945</v>
      </c>
      <c r="BF357" s="113" t="n">
        <v>196.9</v>
      </c>
      <c r="BG357" s="108" t="inlineStr">
        <is>
          <t>Y</t>
        </is>
      </c>
      <c r="BH357" s="123" t="n">
        <v>91.8</v>
      </c>
      <c r="BI357" s="123" t="n">
        <v>203.2</v>
      </c>
      <c r="BJ357" s="122" t="n"/>
      <c r="BK357" s="123" t="n">
        <v>9.300000000000001</v>
      </c>
      <c r="BL357" s="124">
        <f>IF('BBG Verify'!S357="","not filed; run on terminal",'BBG Verify'!S357)</f>
        <v/>
      </c>
      <c r="BM357" s="125" t="inlineStr">
        <is>
          <t>Y</t>
        </is>
      </c>
      <c r="BN357" s="108" t="inlineStr">
        <is>
          <t>688234.SS</t>
        </is>
      </c>
      <c r="BO357" s="121" t="n">
        <v>70.04000000000001</v>
      </c>
      <c r="BP357" s="111" t="n">
        <v>72.779</v>
      </c>
      <c r="BQ357" s="135" t="n">
        <v>0.7806</v>
      </c>
      <c r="BR357" s="113" t="n">
        <v>59225.7</v>
      </c>
      <c r="BS357" s="124">
        <f>IF('BBG Verify'!Q357="","run on terminal",'BBG Verify'!Q357)</f>
        <v/>
      </c>
      <c r="BT357" s="124">
        <f>IF('BBG Verify'!R357="","run on terminal",'BBG Verify'!R357)</f>
        <v/>
      </c>
      <c r="BU357" s="125" t="inlineStr">
        <is>
          <t>China International Capital Corporation Hong Kong Securities Limited; CITIC Securities (Hong Kong) Limited; CLSA Limited</t>
        </is>
      </c>
      <c r="BV357" s="108" t="inlineStr">
        <is>
          <t>China International Capital Corporation Hong Kong Securities Limited; CITIC Securities (Hong Kong) Limited</t>
        </is>
      </c>
      <c r="BW357" s="108" t="inlineStr">
        <is>
          <t>China International Capital Corporation Hong Kong Securities Limited; CLSA Limited; Haitong International Securities Company Limited; BOCI Asia Limited; The Hongkong and Shanghai Banking Corporation Limited; Zhongtai International Securities Limited; ICBC International Securities Limited; CMB International Capital Limited; CCB International Capital Limited; ABCI Capital Limited; China Galaxy International Securities (Hong Kong) Co., Limited; Shenwan Hongyuan Securities (H.K.) Limited</t>
        </is>
      </c>
      <c r="BX357" s="108" t="inlineStr">
        <is>
          <t>ABCI Securities Company Limited; BOCI Asia Limited; CCB International Capital Limited; China Galaxy International Securities (Hong Kong) Company Limited; China International Capital Corporation Hong Kong Securities Limited; CLSA Limited; CMB International Capital Limited; Fosun International Securities Limited; Futu Securities International (Hong Kong) Limited; GF Securities (Hong Kong) Brokerage Limited; Huafu International Securities Limited; Haitong International Securities Company Limited</t>
        </is>
      </c>
      <c r="BY357" s="127">
        <f>HYPERLINK("https://www1.hkexnews.hk/listedco/listconews/sehk/2025/0811/2025081100005.pdf","prospectus")</f>
        <v/>
      </c>
      <c r="BZ357" s="127">
        <f>HYPERLINK("https://www1.hkexnews.hk/listedco/listconews/sehk/2025/0819/2025081901728.pdf","allotment")</f>
        <v/>
      </c>
      <c r="CA357" s="127">
        <f>HYPERLINK("https://www1.hkexnews.hk/listedco/listconews/sehk/2025/0914/2025091400109.pdf","stabilisation")</f>
        <v/>
      </c>
      <c r="CB357" s="128" t="n"/>
      <c r="CC357" s="108" t="inlineStr">
        <is>
          <t>range low: maximum offer price only, no floor published; A/H: Aug 2025 H listing (SiC substrates)</t>
        </is>
      </c>
    </row>
    <row r="358" ht="22" customHeight="1">
      <c r="A358" s="107" t="inlineStr">
        <is>
          <t>6960</t>
        </is>
      </c>
      <c r="B358" s="108" t="inlineStr">
        <is>
          <t>SHUANGDENG</t>
        </is>
      </c>
      <c r="C358" s="108" t="inlineStr">
        <is>
          <t>雙登股份</t>
        </is>
      </c>
      <c r="D358" s="108" t="inlineStr">
        <is>
          <t>Industrials</t>
        </is>
      </c>
      <c r="E358" s="108" t="inlineStr">
        <is>
          <t>Batteries / energy storage</t>
        </is>
      </c>
      <c r="F358" s="108" t="inlineStr">
        <is>
          <t>Battery Products</t>
        </is>
      </c>
      <c r="G358" s="108" t="inlineStr">
        <is>
          <t>Standard</t>
        </is>
      </c>
      <c r="H358" s="109" t="n">
        <v>45895</v>
      </c>
      <c r="I358" s="110" t="n">
        <v>849.66</v>
      </c>
      <c r="J358" s="108" t="inlineStr">
        <is>
          <t>gross (stated)</t>
        </is>
      </c>
      <c r="K358" s="129" t="n"/>
      <c r="L358" s="111" t="n">
        <v>14.51</v>
      </c>
      <c r="M358" s="111" t="n">
        <v>14.51</v>
      </c>
      <c r="N358" s="108" t="inlineStr">
        <is>
          <t>Y</t>
        </is>
      </c>
      <c r="O358" s="112" t="n">
        <v>100</v>
      </c>
      <c r="P358" s="118" t="n"/>
      <c r="Q358" s="113" t="n">
        <v>6048.1</v>
      </c>
      <c r="R358" s="108" t="inlineStr">
        <is>
          <t>prospectus:stated market capitalisation</t>
        </is>
      </c>
      <c r="S358" s="114" t="n">
        <v>3876.25</v>
      </c>
      <c r="T358" s="115" t="n">
        <v>18.75</v>
      </c>
      <c r="U358" s="116" t="n">
        <v>28.1</v>
      </c>
      <c r="V358" s="117" t="n">
        <v>137</v>
      </c>
      <c r="W358" s="112" t="n">
        <v>10</v>
      </c>
      <c r="X358" s="108" t="inlineStr">
        <is>
          <t>NO</t>
        </is>
      </c>
      <c r="Y358" s="113" t="n">
        <v>610.91</v>
      </c>
      <c r="Z358" s="113" t="n">
        <v>42102483</v>
      </c>
      <c r="AA358" s="112" t="n">
        <v>10.1</v>
      </c>
      <c r="AB358" s="108" t="inlineStr">
        <is>
          <t>Sanshui Venture Capital Co., Limited</t>
        </is>
      </c>
      <c r="AC358" s="108" t="inlineStr">
        <is>
          <t>sanshui</t>
        </is>
      </c>
      <c r="AD358" s="112" t="n">
        <v>15</v>
      </c>
      <c r="AE358" s="108" t="inlineStr">
        <is>
          <t>full</t>
        </is>
      </c>
      <c r="AF358" s="119" t="n"/>
      <c r="AG358" s="119" t="n"/>
      <c r="AH358" s="119" t="n"/>
      <c r="AI358" s="120" t="n">
        <v>72.98</v>
      </c>
      <c r="AJ358" s="121" t="n">
        <v>31.29</v>
      </c>
      <c r="AK358" s="121" t="n">
        <v>-0.9</v>
      </c>
      <c r="AL358" s="121" t="n">
        <v>55.07</v>
      </c>
      <c r="AM358" s="121" t="n">
        <v>-15.34</v>
      </c>
      <c r="AN358" s="123" t="n">
        <v>7.41</v>
      </c>
      <c r="AO358" s="112" t="n">
        <v>19.2</v>
      </c>
      <c r="AP358" s="121" t="n">
        <v>20.06</v>
      </c>
      <c r="AQ358" s="121" t="n">
        <v>24.4</v>
      </c>
      <c r="AR358" s="121" t="n">
        <v>20.06</v>
      </c>
      <c r="AS358" s="121" t="n">
        <v>-8.550000000000001</v>
      </c>
      <c r="AT358" s="121" t="n">
        <v>-5.25</v>
      </c>
      <c r="AU358" s="121" t="n">
        <v>-8.550000000000001</v>
      </c>
      <c r="AV358" s="121" t="n">
        <v>20.83</v>
      </c>
      <c r="AW358" s="121" t="n">
        <v>18.63</v>
      </c>
      <c r="AX358" s="121" t="n">
        <v>22.09</v>
      </c>
      <c r="AY358" s="121" t="n">
        <v>-11.99</v>
      </c>
      <c r="AZ358" s="121" t="n">
        <v>5.77</v>
      </c>
      <c r="BA358" s="121" t="n">
        <v>6.74</v>
      </c>
      <c r="BB358" s="108" t="inlineStr">
        <is>
          <t>Hang Seng Commerce &amp; Industry sub-index</t>
        </is>
      </c>
      <c r="BC358" s="121" t="n">
        <v>-59.51</v>
      </c>
      <c r="BD358" s="109" t="n">
        <v>46297</v>
      </c>
      <c r="BE358" s="110" t="n">
        <v>4948.4</v>
      </c>
      <c r="BF358" s="113" t="n">
        <v>388.7</v>
      </c>
      <c r="BG358" s="108" t="inlineStr">
        <is>
          <t>Y</t>
        </is>
      </c>
      <c r="BH358" s="123" t="n">
        <v>15.6</v>
      </c>
      <c r="BI358" s="122" t="n"/>
      <c r="BJ358" s="123" t="n">
        <v>10.2</v>
      </c>
      <c r="BK358" s="123" t="n">
        <v>1.2</v>
      </c>
      <c r="BL358" s="124">
        <f>IF('BBG Verify'!S358="","not filed; run on terminal",'BBG Verify'!S358)</f>
        <v/>
      </c>
      <c r="BM358" s="125" t="inlineStr">
        <is>
          <t>N</t>
        </is>
      </c>
      <c r="BN358" s="126">
        <f>IF('BBG Verify'!K358="","not filed; run on terminal",'BBG Verify'!K358)</f>
        <v/>
      </c>
      <c r="BO358" s="108" t="inlineStr">
        <is>
          <t>N/A</t>
        </is>
      </c>
      <c r="BP358" s="108" t="inlineStr">
        <is>
          <t>N/A</t>
        </is>
      </c>
      <c r="BQ358" s="108" t="inlineStr">
        <is>
          <t>N/A</t>
        </is>
      </c>
      <c r="BR358" s="108" t="inlineStr">
        <is>
          <t>N/A</t>
        </is>
      </c>
      <c r="BS358" s="108" t="inlineStr">
        <is>
          <t>N/A</t>
        </is>
      </c>
      <c r="BT358" s="108" t="inlineStr">
        <is>
          <t>N/A</t>
        </is>
      </c>
      <c r="BU358" s="125" t="inlineStr">
        <is>
          <t>China International Capital Corporation Hong Kong Securities Limited; Huatai Financial Holdings (Hong Kong) Limited; CCB International Capital Limited</t>
        </is>
      </c>
      <c r="BV358" s="108" t="inlineStr">
        <is>
          <t>China International Capital Corporation Hong Kong Securities Limited; CCB International Capital Limited; Huatai Financial Holdings (Hong Kong) Limited</t>
        </is>
      </c>
      <c r="BW358" s="108" t="inlineStr">
        <is>
          <t>China International Capital Corporation Hong Kong Securities Limited; Huatai Financial Holdings (Hong Kong) Limited; CCB International Capital Limited; ICBC International Securities Limited; ABCI Capital Limited; Livermore Holdings Limited; C h i n aG a l a x yI n t e r n a t i o n a lSecurities (Hong Kong) Co., Limited; ABCI Securities Company Limited</t>
        </is>
      </c>
      <c r="BX358" s="108" t="inlineStr">
        <is>
          <t>ABCI Securities Company Limited; CCB International Capital Limited; China Galaxy International Securities (Hong Kong) Company Limited; China International Capital Corporation Hong Kong Securities Limited; Huatai Financial Holdings (Hong Kong) Limited; ICBC International Securities Limited; Livermore Holdings Limited</t>
        </is>
      </c>
      <c r="BY358" s="127">
        <f>HYPERLINK("https://www1.hkexnews.hk/listedco/listconews/sehk/2025/0818/2025081800011.pdf","prospectus")</f>
        <v/>
      </c>
      <c r="BZ358" s="127">
        <f>HYPERLINK("https://www1.hkexnews.hk/listedco/listconews/sehk/2025/0825/2025082502151.pdf","allotment")</f>
        <v/>
      </c>
      <c r="CA358" s="127">
        <f>HYPERLINK("https://www1.hkexnews.hk/listedco/listconews/sehk/2025/0921/2025092100013.pdf","stabilisation")</f>
        <v/>
      </c>
      <c r="CB358" s="128" t="n"/>
      <c r="CC358" s="108" t="inlineStr">
        <is>
          <t>greenshoe: outcome published; expiry date not in the notice; range low: maximum offer price only, no floor published; stabilising manager: not named in the allotment notice or prospectus glossary</t>
        </is>
      </c>
    </row>
    <row r="359" ht="22" customHeight="1">
      <c r="A359" s="107" t="inlineStr">
        <is>
          <t>3858</t>
        </is>
      </c>
      <c r="B359" s="108" t="inlineStr">
        <is>
          <t>JIAXIN INTL RES</t>
        </is>
      </c>
      <c r="C359" s="108" t="inlineStr">
        <is>
          <t>佳鑫國際資源</t>
        </is>
      </c>
      <c r="D359" s="108" t="inlineStr">
        <is>
          <t>Materials/Energy</t>
        </is>
      </c>
      <c r="E359" s="108" t="inlineStr">
        <is>
          <t>Mining / metals</t>
        </is>
      </c>
      <c r="F359" s="108" t="inlineStr">
        <is>
          <t>Diversified Metals &amp; Minerals</t>
        </is>
      </c>
      <c r="G359" s="108" t="inlineStr">
        <is>
          <t>Standard</t>
        </is>
      </c>
      <c r="H359" s="109" t="n">
        <v>45897</v>
      </c>
      <c r="I359" s="110" t="n">
        <v>1199.1</v>
      </c>
      <c r="J359" s="108" t="inlineStr">
        <is>
          <t>gross (stated)</t>
        </is>
      </c>
      <c r="K359" s="129" t="n"/>
      <c r="L359" s="111" t="n">
        <v>10.92</v>
      </c>
      <c r="M359" s="111" t="n">
        <v>10.92</v>
      </c>
      <c r="N359" s="108" t="inlineStr">
        <is>
          <t>Y</t>
        </is>
      </c>
      <c r="O359" s="112" t="n">
        <v>100</v>
      </c>
      <c r="P359" s="118" t="n"/>
      <c r="Q359" s="113" t="n">
        <v>4796.4</v>
      </c>
      <c r="R359" s="108" t="inlineStr">
        <is>
          <t>prospectus:stated market capitalisation</t>
        </is>
      </c>
      <c r="S359" s="114" t="n">
        <v>2041.62</v>
      </c>
      <c r="T359" s="115" t="n">
        <v>21.11</v>
      </c>
      <c r="U359" s="116" t="n">
        <v>50</v>
      </c>
      <c r="V359" s="117" t="n">
        <v>6</v>
      </c>
      <c r="W359" s="112" t="n">
        <v>10</v>
      </c>
      <c r="X359" s="108" t="inlineStr">
        <is>
          <t>NO</t>
        </is>
      </c>
      <c r="Y359" s="113" t="n">
        <v>599.55</v>
      </c>
      <c r="Z359" s="113" t="n">
        <v>54904400</v>
      </c>
      <c r="AA359" s="112" t="n">
        <v>12.5</v>
      </c>
      <c r="AB359" s="108" t="inlineStr">
        <is>
          <t>CHINA CINDA (HK) ASSET MANAGEMENT CO., LIMITED ʮ̡; LUYIN TRADING PTE. LTD; GF Fund Management Co., Ltd; GF International Investment Management Limited; Fullgoal Asset Management (HK) Limited; Fullgoal Fund Management Co., Ltd; Zhengxin Group Investment Limited</t>
        </is>
      </c>
      <c r="AC359" s="108" t="inlineStr">
        <is>
          <t>cinda;luyin;gf;fullgoal;zhengxin</t>
        </is>
      </c>
      <c r="AD359" s="112" t="n">
        <v>15</v>
      </c>
      <c r="AE359" s="108" t="inlineStr">
        <is>
          <t>full</t>
        </is>
      </c>
      <c r="AF359" s="119" t="n"/>
      <c r="AG359" s="108" t="inlineStr">
        <is>
          <t>China International Capital Corporation Hong Kong Securities Limited</t>
        </is>
      </c>
      <c r="AH359" s="108" t="inlineStr">
        <is>
          <t>China International</t>
        </is>
      </c>
      <c r="AI359" s="120" t="n">
        <v>102.93</v>
      </c>
      <c r="AJ359" s="121" t="n">
        <v>177.84</v>
      </c>
      <c r="AK359" s="121" t="n">
        <v>-1.54</v>
      </c>
      <c r="AL359" s="121" t="n">
        <v>108.79</v>
      </c>
      <c r="AM359" s="121" t="n">
        <v>33.07</v>
      </c>
      <c r="AN359" s="123" t="n">
        <v>4.93</v>
      </c>
      <c r="AO359" s="112" t="n">
        <v>39.91</v>
      </c>
      <c r="AP359" s="121" t="n">
        <v>193.59</v>
      </c>
      <c r="AQ359" s="121" t="n">
        <v>146.34</v>
      </c>
      <c r="AR359" s="121" t="n">
        <v>225.09</v>
      </c>
      <c r="AS359" s="121" t="n">
        <v>5.67</v>
      </c>
      <c r="AT359" s="121" t="n">
        <v>-11.34</v>
      </c>
      <c r="AU359" s="121" t="n">
        <v>17.01</v>
      </c>
      <c r="AV359" s="121" t="n">
        <v>194.12</v>
      </c>
      <c r="AW359" s="121" t="n">
        <v>140.11</v>
      </c>
      <c r="AX359" s="121" t="n">
        <v>225.18</v>
      </c>
      <c r="AY359" s="121" t="n">
        <v>-19.24</v>
      </c>
      <c r="AZ359" s="121" t="n">
        <v>6.23</v>
      </c>
      <c r="BA359" s="121" t="n">
        <v>7.9</v>
      </c>
      <c r="BB359" s="108" t="inlineStr">
        <is>
          <t>Hang Seng Commerce &amp; Industry sub-index</t>
        </is>
      </c>
      <c r="BC359" s="121" t="n">
        <v>320.7</v>
      </c>
      <c r="BD359" s="109" t="n">
        <v>46297</v>
      </c>
      <c r="BE359" s="110" t="n">
        <v>126.3</v>
      </c>
      <c r="BF359" s="113" t="n">
        <v>-176.5</v>
      </c>
      <c r="BG359" s="108" t="inlineStr">
        <is>
          <t>N</t>
        </is>
      </c>
      <c r="BH359" s="108" t="inlineStr">
        <is>
          <t>n/m</t>
        </is>
      </c>
      <c r="BI359" s="122" t="n"/>
      <c r="BJ359" s="123" t="n">
        <v>76.59999999999999</v>
      </c>
      <c r="BK359" s="123" t="n">
        <v>38</v>
      </c>
      <c r="BL359" s="124">
        <f>IF('BBG Verify'!S359="","not filed; run on terminal",'BBG Verify'!S359)</f>
        <v/>
      </c>
      <c r="BM359" s="125" t="inlineStr">
        <is>
          <t>N</t>
        </is>
      </c>
      <c r="BN359" s="126">
        <f>IF('BBG Verify'!K359="","not filed; run on terminal",'BBG Verify'!K359)</f>
        <v/>
      </c>
      <c r="BO359" s="108" t="inlineStr">
        <is>
          <t>N/A</t>
        </is>
      </c>
      <c r="BP359" s="108" t="inlineStr">
        <is>
          <t>N/A</t>
        </is>
      </c>
      <c r="BQ359" s="108" t="inlineStr">
        <is>
          <t>N/A</t>
        </is>
      </c>
      <c r="BR359" s="108" t="inlineStr">
        <is>
          <t>N/A</t>
        </is>
      </c>
      <c r="BS359" s="108" t="inlineStr">
        <is>
          <t>N/A</t>
        </is>
      </c>
      <c r="BT359" s="108" t="inlineStr">
        <is>
          <t>N/A</t>
        </is>
      </c>
      <c r="BU359" s="125" t="inlineStr">
        <is>
          <t>China International Capital Corporation Hong Kong Securities Limited</t>
        </is>
      </c>
      <c r="BV359" s="108" t="inlineStr">
        <is>
          <t>China International Capital Corporation Hong Kong Securities Limited</t>
        </is>
      </c>
      <c r="BW359" s="108" t="inlineStr">
        <is>
          <t>China International Capital Corporation Hong Kong Securities Limited; China Galaxy International Securities (Hong Kong) Co., Limited; CMB International Capital Limited; Celestial Securities Limited; ABCI Capital Limited; Tiger Brokers (HK) Global Limited</t>
        </is>
      </c>
      <c r="BX359" s="108" t="inlineStr">
        <is>
          <t>ABCI Securities Company Limited; AVICT Global Asset Management Limited; China Galaxy International Securities (Hong Kong) Company Limited; China International Capital Corporation Hong Kong Securities Limited; CMB International Capital Limited; Celestial Securities Limited; Lighthouse Capital (HK) Financial Limited; Tiger Brokers (HK) Global Limited</t>
        </is>
      </c>
      <c r="BY359" s="127">
        <f>HYPERLINK("https://www1.hkexnews.hk/listedco/listconews/sehk/2025/0820/2025082000021.pdf","prospectus")</f>
        <v/>
      </c>
      <c r="BZ359" s="127">
        <f>HYPERLINK("https://www1.hkexnews.hk/listedco/listconews/sehk/2025/0827/2025082702293.pdf","allotment")</f>
        <v/>
      </c>
      <c r="CA359" s="127">
        <f>HYPERLINK("https://www1.hkexnews.hk/listedco/listconews/sehk/2025/0924/2025092401050.pdf","stabilisation")</f>
        <v/>
      </c>
      <c r="CB359" s="128" t="n"/>
      <c r="CC359" s="108" t="inlineStr">
        <is>
          <t>P/E: loss-making at IPO, use P/S; greenshoe: outcome published; expiry date not in the notice; range low: maximum offer price only, no floor published</t>
        </is>
      </c>
    </row>
    <row r="360" ht="22" customHeight="1">
      <c r="A360" s="107" t="inlineStr">
        <is>
          <t>2580</t>
        </is>
      </c>
      <c r="B360" s="108" t="inlineStr">
        <is>
          <t>AUX ELECTRIC</t>
        </is>
      </c>
      <c r="C360" s="108" t="inlineStr">
        <is>
          <t>奧克斯電氣</t>
        </is>
      </c>
      <c r="D360" s="108" t="inlineStr">
        <is>
          <t>Tech/AI</t>
        </is>
      </c>
      <c r="E360" s="108" t="inlineStr">
        <is>
          <t>Smart hardware / consumer electronics</t>
        </is>
      </c>
      <c r="F360" s="108" t="inlineStr">
        <is>
          <t>Household Appliances</t>
        </is>
      </c>
      <c r="G360" s="108" t="inlineStr">
        <is>
          <t>Standard</t>
        </is>
      </c>
      <c r="H360" s="109" t="n">
        <v>45902</v>
      </c>
      <c r="I360" s="110" t="n">
        <v>4150.1</v>
      </c>
      <c r="J360" s="108" t="inlineStr">
        <is>
          <t>gross (stated)</t>
        </is>
      </c>
      <c r="K360" s="129" t="n"/>
      <c r="L360" s="111" t="n">
        <v>17.42</v>
      </c>
      <c r="M360" s="111" t="n">
        <v>17.42</v>
      </c>
      <c r="N360" s="108" t="inlineStr">
        <is>
          <t>Y</t>
        </is>
      </c>
      <c r="O360" s="112" t="n">
        <v>100</v>
      </c>
      <c r="P360" s="118" t="n"/>
      <c r="Q360" s="113" t="n">
        <v>24914.6</v>
      </c>
      <c r="R360" s="108" t="inlineStr">
        <is>
          <t>prospectus:stated market capitalisation</t>
        </is>
      </c>
      <c r="S360" s="114" t="n">
        <v>557.2</v>
      </c>
      <c r="T360" s="115" t="n">
        <v>8.300000000000001</v>
      </c>
      <c r="U360" s="116" t="n">
        <v>23.47</v>
      </c>
      <c r="V360" s="117" t="n">
        <v>135</v>
      </c>
      <c r="W360" s="112" t="n">
        <v>35</v>
      </c>
      <c r="X360" s="108" t="inlineStr">
        <is>
          <t>YES</t>
        </is>
      </c>
      <c r="Y360" s="113" t="n">
        <v>3176.07</v>
      </c>
      <c r="Z360" s="113" t="n">
        <v>182321399</v>
      </c>
      <c r="AA360" s="112" t="n">
        <v>12.75</v>
      </c>
      <c r="AB360" s="108" t="inlineStr">
        <is>
          <t>China Post Life Insurance Company Limited; PSBC Wealth Management Co., Ltd; China Post Insurance and PBOC WM; Valin Group Hongkong International Trade Co., Limited; Tibet Longrising Asset Management Co., Ltd. and CICC Financial Trading Limited (in connection with Tibet Longrising OTC Swaps); Shenzhen Yongxin Industrial Investment Partnership Enterprise (Limited Partnership) and Guotai Junan Investments (Hong Kong) Limited (in</t>
        </is>
      </c>
      <c r="AC360" s="108" t="inlineStr">
        <is>
          <t>post;psbc;valin;tibet;shenzhen-yongxin</t>
        </is>
      </c>
      <c r="AD360" s="112" t="n">
        <v>15</v>
      </c>
      <c r="AE360" s="108" t="inlineStr">
        <is>
          <t>lapsed</t>
        </is>
      </c>
      <c r="AF360" s="108" t="inlineStr">
        <is>
          <t>2025-09-27</t>
        </is>
      </c>
      <c r="AG360" s="108" t="inlineStr">
        <is>
          <t>China International Capital Corporation Hong Kong Securities Limited</t>
        </is>
      </c>
      <c r="AH360" s="108" t="inlineStr">
        <is>
          <t>China International</t>
        </is>
      </c>
      <c r="AI360" s="120" t="n">
        <v>-4.13</v>
      </c>
      <c r="AJ360" s="121" t="n">
        <v>-5.4</v>
      </c>
      <c r="AK360" s="121" t="n">
        <v>-0.97</v>
      </c>
      <c r="AL360" s="121" t="n">
        <v>-7.58</v>
      </c>
      <c r="AM360" s="121" t="n">
        <v>2.36</v>
      </c>
      <c r="AN360" s="123" t="n">
        <v>0.63</v>
      </c>
      <c r="AO360" s="112" t="n">
        <v>6.89</v>
      </c>
      <c r="AP360" s="121" t="n">
        <v>-7.58</v>
      </c>
      <c r="AQ360" s="121" t="n">
        <v>-20.49</v>
      </c>
      <c r="AR360" s="121" t="n">
        <v>-9.300000000000001</v>
      </c>
      <c r="AS360" s="121" t="n">
        <v>-2.3</v>
      </c>
      <c r="AT360" s="121" t="n">
        <v>-15.95</v>
      </c>
      <c r="AU360" s="121" t="n">
        <v>-4.12</v>
      </c>
      <c r="AV360" s="121" t="n">
        <v>-8.109999999999999</v>
      </c>
      <c r="AW360" s="121" t="n">
        <v>-35.88</v>
      </c>
      <c r="AX360" s="121" t="n">
        <v>-4.64</v>
      </c>
      <c r="AY360" s="121" t="n">
        <v>-32.47</v>
      </c>
      <c r="AZ360" s="121" t="n">
        <v>15.39</v>
      </c>
      <c r="BA360" s="121" t="n">
        <v>16.52</v>
      </c>
      <c r="BB360" s="108" t="inlineStr">
        <is>
          <t>HSTECH (Hang Seng TECH ETF)</t>
        </is>
      </c>
      <c r="BC360" s="121" t="n">
        <v>-51.64</v>
      </c>
      <c r="BD360" s="109" t="n">
        <v>46297</v>
      </c>
      <c r="BE360" s="110" t="n">
        <v>32735.3</v>
      </c>
      <c r="BF360" s="113" t="n">
        <v>3201.2</v>
      </c>
      <c r="BG360" s="108" t="inlineStr">
        <is>
          <t>Y</t>
        </is>
      </c>
      <c r="BH360" s="123" t="n">
        <v>7.8</v>
      </c>
      <c r="BI360" s="123" t="n">
        <v>6.8</v>
      </c>
      <c r="BJ360" s="123" t="n">
        <v>5.6</v>
      </c>
      <c r="BK360" s="123" t="n">
        <v>0.8</v>
      </c>
      <c r="BL360" s="124">
        <f>IF('BBG Verify'!S360="","not filed; run on terminal",'BBG Verify'!S360)</f>
        <v/>
      </c>
      <c r="BM360" s="125" t="inlineStr">
        <is>
          <t>N</t>
        </is>
      </c>
      <c r="BN360" s="126">
        <f>IF('BBG Verify'!K360="","not filed; run on terminal",'BBG Verify'!K360)</f>
        <v/>
      </c>
      <c r="BO360" s="108" t="inlineStr">
        <is>
          <t>N/A</t>
        </is>
      </c>
      <c r="BP360" s="108" t="inlineStr">
        <is>
          <t>N/A</t>
        </is>
      </c>
      <c r="BQ360" s="108" t="inlineStr">
        <is>
          <t>N/A</t>
        </is>
      </c>
      <c r="BR360" s="108" t="inlineStr">
        <is>
          <t>N/A</t>
        </is>
      </c>
      <c r="BS360" s="108" t="inlineStr">
        <is>
          <t>N/A</t>
        </is>
      </c>
      <c r="BT360" s="108" t="inlineStr">
        <is>
          <t>N/A</t>
        </is>
      </c>
      <c r="BU360" s="125" t="inlineStr">
        <is>
          <t>CICC</t>
        </is>
      </c>
      <c r="BV360" s="108" t="inlineStr">
        <is>
          <t>China International Capital Corporation Hong Kong Securities Limited</t>
        </is>
      </c>
      <c r="BW360" s="108" t="inlineStr">
        <is>
          <t>China International Capital Corporation Hong Kong Securities Limited; Orient Securities (Hong Kong) Limited; ABCI Capital Limited; ICBC International Securities Limited; Futu Securities International (Hong Kong) Limited</t>
        </is>
      </c>
      <c r="BX360" s="108" t="inlineStr">
        <is>
          <t>ABCI Securities Company Limited; China International Capital Corporation Hong Kong Securities Limited; Futu Securities International (Hong Kong) Limited; ICBC International Securities Limited; Orient Securities (Hong Kong) Limited</t>
        </is>
      </c>
      <c r="BY360" s="127">
        <f>HYPERLINK("https://www1.hkexnews.hk/listedco/listconews/sehk/2025/0825/2025082500020.htm","prospectus")</f>
        <v/>
      </c>
      <c r="BZ360" s="127">
        <f>HYPERLINK("https://www1.hkexnews.hk/listedco/listconews/sehk/2025/0901/2025090103683.pdf","allotment")</f>
        <v/>
      </c>
      <c r="CA360" s="127">
        <f>HYPERLINK("https://www1.hkexnews.hk/listedco/listconews/sehk/2025/0928/2025092800005.pdf","stabilisation")</f>
        <v/>
      </c>
      <c r="CB360" s="128" t="n"/>
      <c r="CC360" s="108" t="inlineStr">
        <is>
          <t>range low: maximum offer price only, no floor published</t>
        </is>
      </c>
    </row>
    <row r="361" ht="22" customHeight="1">
      <c r="A361" s="107" t="inlineStr">
        <is>
          <t>2543</t>
        </is>
      </c>
      <c r="B361" s="108" t="inlineStr">
        <is>
          <t>DAHON TECH</t>
        </is>
      </c>
      <c r="C361" s="108" t="inlineStr">
        <is>
          <t>大行科工</t>
        </is>
      </c>
      <c r="D361" s="108" t="inlineStr">
        <is>
          <t>Tech/AI</t>
        </is>
      </c>
      <c r="E361" s="108" t="inlineStr">
        <is>
          <t>Smart hardware / consumer electronics</t>
        </is>
      </c>
      <c r="F361" s="108" t="inlineStr">
        <is>
          <t>Leisure Products</t>
        </is>
      </c>
      <c r="G361" s="108" t="inlineStr">
        <is>
          <t>Standard</t>
        </is>
      </c>
      <c r="H361" s="109" t="n">
        <v>45909</v>
      </c>
      <c r="I361" s="110" t="n">
        <v>392.04</v>
      </c>
      <c r="J361" s="108" t="inlineStr">
        <is>
          <t>gross (stated)</t>
        </is>
      </c>
      <c r="K361" s="129" t="n"/>
      <c r="L361" s="111" t="n">
        <v>49.5</v>
      </c>
      <c r="M361" s="111" t="n">
        <v>49.5</v>
      </c>
      <c r="N361" s="108" t="inlineStr">
        <is>
          <t>Y</t>
        </is>
      </c>
      <c r="O361" s="112" t="n">
        <v>100</v>
      </c>
      <c r="P361" s="118" t="n"/>
      <c r="Q361" s="113" t="n">
        <v>1567.6</v>
      </c>
      <c r="R361" s="108" t="inlineStr">
        <is>
          <t>prospectus:stated market capitalisation</t>
        </is>
      </c>
      <c r="S361" s="114" t="n">
        <v>7558.4</v>
      </c>
      <c r="T361" s="115" t="n">
        <v>21.65</v>
      </c>
      <c r="U361" s="116" t="n">
        <v>25.43</v>
      </c>
      <c r="V361" s="117" t="n">
        <v>442</v>
      </c>
      <c r="W361" s="112" t="n">
        <v>10</v>
      </c>
      <c r="X361" s="108" t="inlineStr">
        <is>
          <t>NO</t>
        </is>
      </c>
      <c r="Y361" s="113" t="n">
        <v>292.34</v>
      </c>
      <c r="Z361" s="113" t="n">
        <v>5905944</v>
      </c>
      <c r="AA361" s="112" t="n">
        <v>18.65</v>
      </c>
      <c r="AB361" s="108" t="inlineStr">
        <is>
          <t>Allianz Global Investors Asia Pacific Limited; Greater Bay Area Development Fund Management Limited for and on behalf of the M a n a g e dA c c o u n to fM e g a Prime Development Limited; Harvest International Premium Value (Secondary Market) Fund SPC acting on behalf of and for the account of Harvest Oriental SP; VEKEN (HONGKONG) ECONOMIC AND TRADE CO., LIMITED</t>
        </is>
      </c>
      <c r="AC361" s="108" t="inlineStr">
        <is>
          <t>allianz;greater;harvest;veken</t>
        </is>
      </c>
      <c r="AD361" s="112" t="n">
        <v>14.9</v>
      </c>
      <c r="AE361" s="108" t="inlineStr">
        <is>
          <t>partial</t>
        </is>
      </c>
      <c r="AF361" s="108" t="inlineStr">
        <is>
          <t>2025-10-04</t>
        </is>
      </c>
      <c r="AG361" s="108" t="inlineStr">
        <is>
          <t>China Securities</t>
        </is>
      </c>
      <c r="AH361" s="108" t="inlineStr">
        <is>
          <t>China Securities</t>
        </is>
      </c>
      <c r="AI361" s="120" t="n">
        <v>37.58</v>
      </c>
      <c r="AJ361" s="121" t="n">
        <v>14.95</v>
      </c>
      <c r="AK361" s="121" t="n">
        <v>1.33</v>
      </c>
      <c r="AL361" s="121" t="n">
        <v>36.36</v>
      </c>
      <c r="AM361" s="121" t="n">
        <v>-15.7</v>
      </c>
      <c r="AN361" s="123" t="n">
        <v>10.4</v>
      </c>
      <c r="AO361" s="112" t="n">
        <v>18.67</v>
      </c>
      <c r="AP361" s="121" t="n">
        <v>30</v>
      </c>
      <c r="AQ361" s="121" t="n">
        <v>0.89</v>
      </c>
      <c r="AR361" s="121" t="n">
        <v>-17.45</v>
      </c>
      <c r="AS361" s="121" t="n">
        <v>13.09</v>
      </c>
      <c r="AT361" s="121" t="n">
        <v>-12.23</v>
      </c>
      <c r="AU361" s="121" t="n">
        <v>-28.19</v>
      </c>
      <c r="AV361" s="121" t="n">
        <v>24.33</v>
      </c>
      <c r="AW361" s="121" t="n">
        <v>-8.15</v>
      </c>
      <c r="AX361" s="121" t="n">
        <v>-14.17</v>
      </c>
      <c r="AY361" s="121" t="n">
        <v>-19.84</v>
      </c>
      <c r="AZ361" s="121" t="n">
        <v>9.039999999999999</v>
      </c>
      <c r="BA361" s="121" t="n">
        <v>7.61</v>
      </c>
      <c r="BB361" s="108" t="inlineStr">
        <is>
          <t>HSTECH (Hang Seng TECH ETF)</t>
        </is>
      </c>
      <c r="BC361" s="121" t="n">
        <v>-31.31</v>
      </c>
      <c r="BD361" s="109" t="n">
        <v>46297</v>
      </c>
      <c r="BE361" s="110" t="n">
        <v>495.8</v>
      </c>
      <c r="BF361" s="113" t="n">
        <v>57.5</v>
      </c>
      <c r="BG361" s="108" t="inlineStr">
        <is>
          <t>Y</t>
        </is>
      </c>
      <c r="BH361" s="123" t="n">
        <v>27.3</v>
      </c>
      <c r="BI361" s="122" t="n"/>
      <c r="BJ361" s="122" t="n"/>
      <c r="BK361" s="123" t="n">
        <v>3.2</v>
      </c>
      <c r="BL361" s="124">
        <f>IF('BBG Verify'!S361="","not filed; run on terminal",'BBG Verify'!S361)</f>
        <v/>
      </c>
      <c r="BM361" s="125" t="inlineStr">
        <is>
          <t>N</t>
        </is>
      </c>
      <c r="BN361" s="126">
        <f>IF('BBG Verify'!K361="","not filed; run on terminal",'BBG Verify'!K361)</f>
        <v/>
      </c>
      <c r="BO361" s="108" t="inlineStr">
        <is>
          <t>N/A</t>
        </is>
      </c>
      <c r="BP361" s="108" t="inlineStr">
        <is>
          <t>N/A</t>
        </is>
      </c>
      <c r="BQ361" s="108" t="inlineStr">
        <is>
          <t>N/A</t>
        </is>
      </c>
      <c r="BR361" s="108" t="inlineStr">
        <is>
          <t>N/A</t>
        </is>
      </c>
      <c r="BS361" s="108" t="inlineStr">
        <is>
          <t>N/A</t>
        </is>
      </c>
      <c r="BT361" s="108" t="inlineStr">
        <is>
          <t>N/A</t>
        </is>
      </c>
      <c r="BU361" s="125" t="inlineStr">
        <is>
          <t>China Securities (International) Corporate Finance Company Limited</t>
        </is>
      </c>
      <c r="BV361" s="108" t="inlineStr">
        <is>
          <t>China Securities (International) Corporate Finance Company Limited</t>
        </is>
      </c>
      <c r="BW361" s="108" t="inlineStr">
        <is>
          <t>China Securities (International) Corporate Finance Company Limited; ABCI Capital Limited; BOCI Asia Limited; CCB International Capital Limited; CMB International Capital Limited; Futu Securities International (Hong Kong) Limited</t>
        </is>
      </c>
      <c r="BX361" s="108" t="inlineStr">
        <is>
          <t>ABCI Securities Company Limited; BOCI Asia Limited; CCB International Capital Limited; CMB International Capital Corporation Limited; China Securities (International) Corporate Finance Company Limited; Futu Securities International (Hong Kong) Limited</t>
        </is>
      </c>
      <c r="BY361" s="127">
        <f>HYPERLINK("https://www1.hkexnews.hk/listedco/listconews/sehk/2025/0901/2025090100007.pdf","prospectus")</f>
        <v/>
      </c>
      <c r="BZ361" s="127">
        <f>HYPERLINK("https://www1.hkexnews.hk/listedco/listconews/sehk/2025/0908/2025090801334.pdf","allotment")</f>
        <v/>
      </c>
      <c r="CA361" s="127">
        <f>HYPERLINK("https://www1.hkexnews.hk/listedco/listconews/sehk/2025/1005/2025100500245.pdf","stabilisation")</f>
        <v/>
      </c>
      <c r="CB361" s="128" t="n"/>
      <c r="CC361" s="108" t="inlineStr">
        <is>
          <t>range low: maximum offer price only, no floor published</t>
        </is>
      </c>
    </row>
    <row r="362" ht="22" customHeight="1">
      <c r="A362" s="107" t="inlineStr">
        <is>
          <t>2525</t>
        </is>
      </c>
      <c r="B362" s="108" t="inlineStr">
        <is>
          <t>HESAI-W</t>
        </is>
      </c>
      <c r="C362" s="108" t="inlineStr">
        <is>
          <t>禾賽科技</t>
        </is>
      </c>
      <c r="D362" s="108" t="inlineStr">
        <is>
          <t>Tech/AI</t>
        </is>
      </c>
      <c r="E362" s="108" t="inlineStr">
        <is>
          <t>Robotics &amp; autonomous driving</t>
        </is>
      </c>
      <c r="F362" s="108" t="inlineStr">
        <is>
          <t>Systems Software</t>
        </is>
      </c>
      <c r="G362" s="108" t="inlineStr">
        <is>
          <t>WVR</t>
        </is>
      </c>
      <c r="H362" s="109" t="n">
        <v>45916</v>
      </c>
      <c r="I362" s="110" t="n">
        <v>4160.24</v>
      </c>
      <c r="J362" s="108" t="inlineStr">
        <is>
          <t>gross (stated)</t>
        </is>
      </c>
      <c r="K362" s="129" t="n"/>
      <c r="L362" s="111" t="n">
        <v>228</v>
      </c>
      <c r="M362" s="111" t="n">
        <v>212.8</v>
      </c>
      <c r="N362" s="108" t="inlineStr">
        <is>
          <t>N</t>
        </is>
      </c>
      <c r="O362" s="112" t="n">
        <v>93.3</v>
      </c>
      <c r="P362" s="118" t="n"/>
      <c r="Q362" s="113" t="n">
        <v>244720</v>
      </c>
      <c r="R362" s="108" t="inlineStr">
        <is>
          <t>derived:deal size / offer % of enlarged capital</t>
        </is>
      </c>
      <c r="S362" s="114" t="n">
        <v>168.65</v>
      </c>
      <c r="T362" s="115" t="n">
        <v>14.09</v>
      </c>
      <c r="U362" s="116" t="n">
        <v>27.73</v>
      </c>
      <c r="V362" s="117" t="n">
        <v>237</v>
      </c>
      <c r="W362" s="112" t="n">
        <v>10</v>
      </c>
      <c r="X362" s="108" t="inlineStr">
        <is>
          <t>NA</t>
        </is>
      </c>
      <c r="Y362" s="113" t="n">
        <v>3006.61</v>
      </c>
      <c r="Z362" s="113" t="n">
        <v>14128785</v>
      </c>
      <c r="AA362" s="112" t="n">
        <v>1.23</v>
      </c>
      <c r="AB362" s="108" t="inlineStr">
        <is>
          <t>HHLR Advisors, Ltd; Taikang Life Insurance Co., Ltd; WT Asset Management Limited; Grab Inc; Hongda Group (Hong Kong) Co., Limited; Commando Global Fund</t>
        </is>
      </c>
      <c r="AC362" s="108" t="inlineStr">
        <is>
          <t>hhlr;taikang;wt;grab;hongda;commando</t>
        </is>
      </c>
      <c r="AD362" s="112" t="n">
        <v>15</v>
      </c>
      <c r="AE362" s="108" t="inlineStr">
        <is>
          <t>full</t>
        </is>
      </c>
      <c r="AF362" s="108" t="inlineStr">
        <is>
          <t>2025-10-11</t>
        </is>
      </c>
      <c r="AG362" s="108" t="inlineStr">
        <is>
          <t>China International Capital Corporation Hong Kong Securities Limited</t>
        </is>
      </c>
      <c r="AH362" s="108" t="inlineStr">
        <is>
          <t>China International</t>
        </is>
      </c>
      <c r="AI362" s="120" t="n">
        <v>7.24</v>
      </c>
      <c r="AJ362" s="121" t="n">
        <v>9.960000000000001</v>
      </c>
      <c r="AK362" s="121" t="n">
        <v>0.51</v>
      </c>
      <c r="AL362" s="121" t="n">
        <v>7.71</v>
      </c>
      <c r="AM362" s="121" t="n">
        <v>2.09</v>
      </c>
      <c r="AN362" s="123" t="n">
        <v>2.89</v>
      </c>
      <c r="AO362" s="112" t="n">
        <v>6.46</v>
      </c>
      <c r="AP362" s="121" t="n">
        <v>8.08</v>
      </c>
      <c r="AQ362" s="121" t="n">
        <v>-20.49</v>
      </c>
      <c r="AR362" s="121" t="n">
        <v>-20.39</v>
      </c>
      <c r="AS362" s="121" t="n">
        <v>-1.71</v>
      </c>
      <c r="AT362" s="121" t="n">
        <v>-27.69</v>
      </c>
      <c r="AU362" s="121" t="n">
        <v>-27.6</v>
      </c>
      <c r="AV362" s="121" t="n">
        <v>6.14</v>
      </c>
      <c r="AW362" s="121" t="n">
        <v>-15.52</v>
      </c>
      <c r="AX362" s="121" t="n">
        <v>-10.61</v>
      </c>
      <c r="AY362" s="121" t="n">
        <v>-22.24</v>
      </c>
      <c r="AZ362" s="121" t="n">
        <v>-4.97</v>
      </c>
      <c r="BA362" s="121" t="n">
        <v>-5.45</v>
      </c>
      <c r="BB362" s="108" t="inlineStr">
        <is>
          <t>HSTECH (Hang Seng TECH ETF)</t>
        </is>
      </c>
      <c r="BC362" s="121" t="n">
        <v>-42.33</v>
      </c>
      <c r="BD362" s="109" t="n">
        <v>46297</v>
      </c>
      <c r="BE362" s="110" t="n">
        <v>2284.9</v>
      </c>
      <c r="BF362" s="113" t="n">
        <v>-112.6</v>
      </c>
      <c r="BG362" s="108" t="inlineStr">
        <is>
          <t>N</t>
        </is>
      </c>
      <c r="BH362" s="108" t="inlineStr">
        <is>
          <t>n/m</t>
        </is>
      </c>
      <c r="BI362" s="123" t="n">
        <v>293.1</v>
      </c>
      <c r="BJ362" s="123" t="n">
        <v>39.2</v>
      </c>
      <c r="BK362" s="123" t="n">
        <v>107.1</v>
      </c>
      <c r="BL362" s="124">
        <f>IF('BBG Verify'!S362="","not filed; run on terminal",'BBG Verify'!S362)</f>
        <v/>
      </c>
      <c r="BM362" s="125" t="inlineStr">
        <is>
          <t>N</t>
        </is>
      </c>
      <c r="BN362" s="126">
        <f>IF('BBG Verify'!K362="","not filed; run on terminal",'BBG Verify'!K362)</f>
        <v/>
      </c>
      <c r="BO362" s="108" t="inlineStr">
        <is>
          <t>N/A</t>
        </is>
      </c>
      <c r="BP362" s="108" t="inlineStr">
        <is>
          <t>N/A</t>
        </is>
      </c>
      <c r="BQ362" s="108" t="inlineStr">
        <is>
          <t>N/A</t>
        </is>
      </c>
      <c r="BR362" s="108" t="inlineStr">
        <is>
          <t>N/A</t>
        </is>
      </c>
      <c r="BS362" s="108" t="inlineStr">
        <is>
          <t>N/A</t>
        </is>
      </c>
      <c r="BT362" s="108" t="inlineStr">
        <is>
          <t>N/A</t>
        </is>
      </c>
      <c r="BU362" s="125" t="inlineStr">
        <is>
          <t>China International Capital Corporation Hong Kong Securities Limited; Guotai Junan Capital Limited; CMB International Capital Limited; Guotai Junan Securities (Hong Kong) Limited</t>
        </is>
      </c>
      <c r="BV362" s="108" t="inlineStr">
        <is>
          <t>China International Capital Corporation Hong Kong Securities Limited; Guotai Junan Capital Limited; CMB International Capital Limited</t>
        </is>
      </c>
      <c r="BW362" s="108" t="inlineStr">
        <is>
          <t>China International Capital Corporation Hong Kong Securities Limited; Guotai Junan Securities (Hong Kong) Limited; CMB International Capital Limited; Haitong International Securities Company Limited; BOCI Asia Limited; Futu Securities International (Hong Kong) Limited; DBS Asia Capital Limited; ICBC International Securities Limited; ABCI Capital Limited; CCB International Capital Limited</t>
        </is>
      </c>
      <c r="BX362" s="108" t="inlineStr">
        <is>
          <t>ABCI Securities Company Limited; BOCI Asia Limited; CCB International Capital Limited; China International Capital Corporation Hong Kong Securities Limited; CMB International Capital Limited; DBS Asia Capital Limited; Futu Securities International (Hong Kong) Limited; Guotai Junan Securities (Hong Kong) Limited; Haitong International Securities Company Limited; ICBC International Securities Limited</t>
        </is>
      </c>
      <c r="BY362" s="127">
        <f>HYPERLINK("https://www1.hkexnews.hk/listedco/listconews/sehk/2025/0908/2025090800017.pdf","prospectus")</f>
        <v/>
      </c>
      <c r="BZ362" s="127">
        <f>HYPERLINK("https://www1.hkexnews.hk/listedco/listconews/sehk/2025/0915/2025091501458.pdf","allotment")</f>
        <v/>
      </c>
      <c r="CA362" s="127">
        <f>HYPERLINK("https://www1.hkexnews.hk/listedco/listconews/sehk/2025/1012/2025101200001.pdf","stabilisation")</f>
        <v/>
      </c>
      <c r="CB362" s="128" t="n"/>
      <c r="CC362" s="108" t="inlineStr">
        <is>
          <t>P/E: loss-making at IPO, use P/S; range low: maximum offer price only, no floor published</t>
        </is>
      </c>
    </row>
    <row r="363" ht="22" customHeight="1">
      <c r="A363" s="107" t="inlineStr">
        <is>
          <t>2656</t>
        </is>
      </c>
      <c r="B363" s="108" t="inlineStr">
        <is>
          <t>160 HEALTH</t>
        </is>
      </c>
      <c r="C363" s="108" t="inlineStr">
        <is>
          <t>健康１６０</t>
        </is>
      </c>
      <c r="D363" s="108" t="inlineStr">
        <is>
          <t>Healthcare</t>
        </is>
      </c>
      <c r="E363" s="108" t="inlineStr">
        <is>
          <t>Digital health</t>
        </is>
      </c>
      <c r="F363" s="108" t="inlineStr">
        <is>
          <t>Health Care Supplies</t>
        </is>
      </c>
      <c r="G363" s="108" t="inlineStr">
        <is>
          <t>Standard</t>
        </is>
      </c>
      <c r="H363" s="109" t="n">
        <v>45917</v>
      </c>
      <c r="I363" s="110" t="n">
        <v>400</v>
      </c>
      <c r="J363" s="108" t="inlineStr">
        <is>
          <t>gross (stated)</t>
        </is>
      </c>
      <c r="K363" s="129" t="n"/>
      <c r="L363" s="111" t="n">
        <v>14.86</v>
      </c>
      <c r="M363" s="111" t="n">
        <v>11.89</v>
      </c>
      <c r="N363" s="108" t="inlineStr">
        <is>
          <t>N</t>
        </is>
      </c>
      <c r="O363" s="112" t="n">
        <v>80</v>
      </c>
      <c r="P363" s="118" t="n"/>
      <c r="Q363" s="113" t="n">
        <v>4000.4</v>
      </c>
      <c r="R363" s="108" t="inlineStr">
        <is>
          <t>derived:price x shares upon listing</t>
        </is>
      </c>
      <c r="S363" s="114" t="n">
        <v>751.77</v>
      </c>
      <c r="T363" s="115" t="n">
        <v>1.92</v>
      </c>
      <c r="U363" s="116" t="n">
        <v>0</v>
      </c>
      <c r="V363" s="117" t="n">
        <v>128</v>
      </c>
      <c r="W363" s="112" t="n">
        <v>10</v>
      </c>
      <c r="X363" s="108" t="inlineStr">
        <is>
          <t>NA</t>
        </is>
      </c>
      <c r="Y363" s="113" t="n">
        <v>400</v>
      </c>
      <c r="Z363" s="113" t="n">
        <v>33645500</v>
      </c>
      <c r="AA363" s="112" t="n">
        <v>10</v>
      </c>
      <c r="AB363" s="108" t="inlineStr">
        <is>
          <t>none — no cornerstone tranche</t>
        </is>
      </c>
      <c r="AC363" s="108" t="inlineStr">
        <is>
          <t>none</t>
        </is>
      </c>
      <c r="AD363" s="112" t="n">
        <v>11.33</v>
      </c>
      <c r="AE363" s="119" t="n"/>
      <c r="AF363" s="108" t="inlineStr">
        <is>
          <t>2025-10-12</t>
        </is>
      </c>
      <c r="AG363" s="108" t="inlineStr">
        <is>
          <t>Shenwan Hongyuan Securities</t>
        </is>
      </c>
      <c r="AH363" s="108" t="inlineStr">
        <is>
          <t>Shenwan Hongyuan</t>
        </is>
      </c>
      <c r="AI363" s="120" t="n">
        <v>143.9</v>
      </c>
      <c r="AJ363" s="121" t="n">
        <v>137.34</v>
      </c>
      <c r="AK363" s="121" t="n">
        <v>0.15</v>
      </c>
      <c r="AL363" s="121" t="n">
        <v>152.14</v>
      </c>
      <c r="AM363" s="121" t="n">
        <v>-5.87</v>
      </c>
      <c r="AN363" s="123" t="n">
        <v>2.1</v>
      </c>
      <c r="AO363" s="112" t="n">
        <v>21.95</v>
      </c>
      <c r="AP363" s="121" t="n">
        <v>139.7</v>
      </c>
      <c r="AQ363" s="121" t="n">
        <v>236.92</v>
      </c>
      <c r="AR363" s="121" t="n">
        <v>337.76</v>
      </c>
      <c r="AS363" s="121" t="n">
        <v>0.99</v>
      </c>
      <c r="AT363" s="121" t="n">
        <v>41.96</v>
      </c>
      <c r="AU363" s="121" t="n">
        <v>84.44</v>
      </c>
      <c r="AV363" s="121" t="n">
        <v>140.29</v>
      </c>
      <c r="AW363" s="121" t="n">
        <v>243.75</v>
      </c>
      <c r="AX363" s="121" t="n">
        <v>351.57</v>
      </c>
      <c r="AY363" s="121" t="n">
        <v>48.94</v>
      </c>
      <c r="AZ363" s="121" t="n">
        <v>-6.83</v>
      </c>
      <c r="BA363" s="121" t="n">
        <v>-6.98</v>
      </c>
      <c r="BB363" s="108" t="inlineStr">
        <is>
          <t>China Biotech ETF (HS biotech proxy)</t>
        </is>
      </c>
      <c r="BC363" s="121" t="n">
        <v>-68.55</v>
      </c>
      <c r="BD363" s="109" t="n">
        <v>46297</v>
      </c>
      <c r="BE363" s="110" t="n">
        <v>682.8</v>
      </c>
      <c r="BF363" s="113" t="n">
        <v>-119.1</v>
      </c>
      <c r="BG363" s="108" t="inlineStr">
        <is>
          <t>N</t>
        </is>
      </c>
      <c r="BH363" s="108" t="inlineStr">
        <is>
          <t>n/m</t>
        </is>
      </c>
      <c r="BI363" s="122" t="n"/>
      <c r="BJ363" s="122" t="n"/>
      <c r="BK363" s="123" t="n">
        <v>5.9</v>
      </c>
      <c r="BL363" s="124">
        <f>IF('BBG Verify'!S363="","not filed; run on terminal",'BBG Verify'!S363)</f>
        <v/>
      </c>
      <c r="BM363" s="125" t="inlineStr">
        <is>
          <t>N</t>
        </is>
      </c>
      <c r="BN363" s="126">
        <f>IF('BBG Verify'!K363="","not filed; run on terminal",'BBG Verify'!K363)</f>
        <v/>
      </c>
      <c r="BO363" s="108" t="inlineStr">
        <is>
          <t>N/A</t>
        </is>
      </c>
      <c r="BP363" s="108" t="inlineStr">
        <is>
          <t>N/A</t>
        </is>
      </c>
      <c r="BQ363" s="108" t="inlineStr">
        <is>
          <t>N/A</t>
        </is>
      </c>
      <c r="BR363" s="108" t="inlineStr">
        <is>
          <t>N/A</t>
        </is>
      </c>
      <c r="BS363" s="108" t="inlineStr">
        <is>
          <t>N/A</t>
        </is>
      </c>
      <c r="BT363" s="108" t="inlineStr">
        <is>
          <t>N/A</t>
        </is>
      </c>
      <c r="BU363" s="125" t="inlineStr">
        <is>
          <t>Shenwan Hongyuan Capital (H.K.) Limited; Zero2IPO Capital Limited</t>
        </is>
      </c>
      <c r="BV363" s="108" t="inlineStr">
        <is>
          <t>Zero2IPO Capital Limited; Shenwan Hongyuan Capital (H.K.) Limited</t>
        </is>
      </c>
      <c r="BW363" s="108" t="inlineStr">
        <is>
          <t>Shenwan Hongyuan Securities (H.K.) Limited; Zero2IPO Securities Limited; ABCI Capital Limited; BOCI Asia Limited; Eddid Securities and Futures Limited; Innovation Securities Co., Limited; Sun Securities Limited; South China Securities Limited; Livermore Holdings Limited; uSMART Securities Limited; Valuable Capital Limited; ABCI Securities Company Limited</t>
        </is>
      </c>
      <c r="BX363" s="108" t="inlineStr">
        <is>
          <t>ABCI Securities Company Limited; BOCI Asia Limited; Eddid Securities and Futures Limited; Innovation Securities Co., Limited; Livermore Holdings Limited; South China Securities Limited; Shenwan Hongyuan Securities (H.K.) Limited; Sun Securities Limited</t>
        </is>
      </c>
      <c r="BY363" s="127">
        <f>HYPERLINK("https://www1.hkexnews.hk/listedco/listconews/sehk/2025/0909/2025090900019.pdf","prospectus")</f>
        <v/>
      </c>
      <c r="BZ363" s="127">
        <f>HYPERLINK("https://www1.hkexnews.hk/listedco/listconews/sehk/2025/0916/2025091601472.pdf","allotment")</f>
        <v/>
      </c>
      <c r="CA363" s="119" t="n"/>
      <c r="CB363" s="128" t="n"/>
      <c r="CC363" s="108" t="inlineStr">
        <is>
          <t>P/E: loss-making at IPO, use P/S; greenshoe: end-of-stabilisation notice not found; range low: maximum offer price only, no floor published; market cap: prospectus 'market capitalisation' line is the listing-rule threshold, not the issuer's figure; rejected; cornerstone list: no cornerstone tranche</t>
        </is>
      </c>
    </row>
    <row r="364" ht="22" customHeight="1">
      <c r="A364" s="107" t="inlineStr">
        <is>
          <t>2595</t>
        </is>
      </c>
      <c r="B364" s="108" t="inlineStr">
        <is>
          <t>GENFLEET-B</t>
        </is>
      </c>
      <c r="C364" s="108" t="inlineStr">
        <is>
          <t>勁方醫藥－Ｂ</t>
        </is>
      </c>
      <c r="D364" s="108" t="inlineStr">
        <is>
          <t>Healthcare</t>
        </is>
      </c>
      <c r="E364" s="108" t="inlineStr">
        <is>
          <t>Biotech pre-revenue (18A)</t>
        </is>
      </c>
      <c r="F364" s="108" t="inlineStr">
        <is>
          <t>Biotechnology - Pharmaceuticals</t>
        </is>
      </c>
      <c r="G364" s="108" t="inlineStr">
        <is>
          <t>18A</t>
        </is>
      </c>
      <c r="H364" s="109" t="n">
        <v>45919</v>
      </c>
      <c r="I364" s="110" t="n">
        <v>1819.6</v>
      </c>
      <c r="J364" s="108" t="inlineStr">
        <is>
          <t>gross (stated)</t>
        </is>
      </c>
      <c r="K364" s="129" t="n"/>
      <c r="L364" s="111" t="n">
        <v>20.39</v>
      </c>
      <c r="M364" s="111" t="n">
        <v>20.39</v>
      </c>
      <c r="N364" s="108" t="inlineStr">
        <is>
          <t>Y</t>
        </is>
      </c>
      <c r="O364" s="112" t="n">
        <v>100</v>
      </c>
      <c r="P364" s="118" t="n"/>
      <c r="Q364" s="113" t="n">
        <v>7041.5</v>
      </c>
      <c r="R364" s="108" t="inlineStr">
        <is>
          <t>prospectus:stated market capitalisation</t>
        </is>
      </c>
      <c r="S364" s="114" t="n">
        <v>2662.79</v>
      </c>
      <c r="T364" s="115" t="n">
        <v>39.05</v>
      </c>
      <c r="U364" s="116" t="n">
        <v>42.84</v>
      </c>
      <c r="V364" s="117" t="n">
        <v>162</v>
      </c>
      <c r="W364" s="112" t="n">
        <v>8.699999999999999</v>
      </c>
      <c r="X364" s="108" t="inlineStr">
        <is>
          <t>NA</t>
        </is>
      </c>
      <c r="Y364" s="113" t="n">
        <v>1040.08</v>
      </c>
      <c r="Z364" s="113" t="n">
        <v>51009584</v>
      </c>
      <c r="AA364" s="112" t="n">
        <v>14.77</v>
      </c>
      <c r="AB364" s="108" t="inlineStr">
        <is>
          <t>RTW Master Fund, Ltd; RTW Innovation Master Fund, Ltd; RTW Biotech Opportunities Operating Ltd; TruMed Health Innovation Fund LP; TruMed Healthcare Master Fund; OrbiMed Genesis Master Fund, L.P; OrbiMed Partners Master Fund Limited; The Biotech Growth Trust PLC; UBS Asset Management (Singapore) Ltd; Vivo Opportunity Fund Holdings, L.P; Vivo Opportunity Caymen Fund, L.P; China Universal Asset Management (Hong Kong) Company Limited; Fullgoal Fund Management Co., Ltd; Fullgoal Asset Management (HK) Limited; CITIC Securities International Capital Management Limited (in connection with Tibet Longrising OTC Swaps); LBC HK Opportunity Fund Limited; Lake Bleu Prime Healthcare Fund; Lake Bleu Innovation Fund</t>
        </is>
      </c>
      <c r="AC364" s="108" t="inlineStr">
        <is>
          <t>rtw;trumed;orbimed;biotech;ubs;vivo;universal;fullgoal;citic;lbc;lake</t>
        </is>
      </c>
      <c r="AD364" s="112" t="n">
        <v>15</v>
      </c>
      <c r="AE364" s="108" t="inlineStr">
        <is>
          <t>full</t>
        </is>
      </c>
      <c r="AF364" s="108" t="inlineStr">
        <is>
          <t>2025-10-16</t>
        </is>
      </c>
      <c r="AG364" s="108" t="inlineStr">
        <is>
          <t>CLSA Limited</t>
        </is>
      </c>
      <c r="AH364" s="108" t="inlineStr">
        <is>
          <t>CLSA</t>
        </is>
      </c>
      <c r="AI364" s="120" t="n">
        <v>102.16</v>
      </c>
      <c r="AJ364" s="121" t="n">
        <v>106.47</v>
      </c>
      <c r="AK364" s="121" t="n">
        <v>-1.69</v>
      </c>
      <c r="AL364" s="121" t="n">
        <v>115.79</v>
      </c>
      <c r="AM364" s="121" t="n">
        <v>-4.32</v>
      </c>
      <c r="AN364" s="123" t="n">
        <v>4.5</v>
      </c>
      <c r="AO364" s="112" t="n">
        <v>18.64</v>
      </c>
      <c r="AP364" s="121" t="n">
        <v>87.34999999999999</v>
      </c>
      <c r="AQ364" s="121" t="n">
        <v>30.06</v>
      </c>
      <c r="AR364" s="121" t="n">
        <v>25.75</v>
      </c>
      <c r="AS364" s="121" t="n">
        <v>-9.26</v>
      </c>
      <c r="AT364" s="121" t="n">
        <v>-37.01</v>
      </c>
      <c r="AU364" s="121" t="n">
        <v>-39.1</v>
      </c>
      <c r="AV364" s="121" t="n">
        <v>89.94</v>
      </c>
      <c r="AW364" s="121" t="n">
        <v>37.77</v>
      </c>
      <c r="AX364" s="121" t="n">
        <v>39.29</v>
      </c>
      <c r="AY364" s="121" t="n">
        <v>-30.89</v>
      </c>
      <c r="AZ364" s="121" t="n">
        <v>-7.71</v>
      </c>
      <c r="BA364" s="121" t="n">
        <v>-6.12</v>
      </c>
      <c r="BB364" s="108" t="inlineStr">
        <is>
          <t>China Biotech ETF (HS biotech proxy)</t>
        </is>
      </c>
      <c r="BC364" s="121" t="n">
        <v>56.65</v>
      </c>
      <c r="BD364" s="109" t="n">
        <v>46297</v>
      </c>
      <c r="BE364" s="110" t="n">
        <v>115.2</v>
      </c>
      <c r="BF364" s="113" t="n">
        <v>-745.4</v>
      </c>
      <c r="BG364" s="108" t="inlineStr">
        <is>
          <t>N</t>
        </is>
      </c>
      <c r="BH364" s="108" t="inlineStr">
        <is>
          <t>n/m</t>
        </is>
      </c>
      <c r="BI364" s="122" t="n"/>
      <c r="BJ364" s="122" t="n"/>
      <c r="BK364" s="123" t="n">
        <v>61.1</v>
      </c>
      <c r="BL364" s="124">
        <f>IF('BBG Verify'!S364="","not filed; run on terminal",'BBG Verify'!S364)</f>
        <v/>
      </c>
      <c r="BM364" s="125" t="inlineStr">
        <is>
          <t>N</t>
        </is>
      </c>
      <c r="BN364" s="126">
        <f>IF('BBG Verify'!K364="","not filed; run on terminal",'BBG Verify'!K364)</f>
        <v/>
      </c>
      <c r="BO364" s="108" t="inlineStr">
        <is>
          <t>N/A</t>
        </is>
      </c>
      <c r="BP364" s="108" t="inlineStr">
        <is>
          <t>N/A</t>
        </is>
      </c>
      <c r="BQ364" s="108" t="inlineStr">
        <is>
          <t>N/A</t>
        </is>
      </c>
      <c r="BR364" s="108" t="inlineStr">
        <is>
          <t>N/A</t>
        </is>
      </c>
      <c r="BS364" s="108" t="inlineStr">
        <is>
          <t>N/A</t>
        </is>
      </c>
      <c r="BT364" s="108" t="inlineStr">
        <is>
          <t>N/A</t>
        </is>
      </c>
      <c r="BU364" s="125" t="inlineStr">
        <is>
          <t>CITIC Securities (Hong Kong) Limited; CLSA Limited</t>
        </is>
      </c>
      <c r="BV364" s="108" t="inlineStr">
        <is>
          <t>CITIC Securities (Hong Kong) Limited</t>
        </is>
      </c>
      <c r="BW364" s="108" t="inlineStr">
        <is>
          <t>CLSA Limited; Fosun International Securities Limited; ABCI Capital Limited; CCB International Capital Limited; BOCOM International Securities Limited; China Renaissance Securities (Hong Kong) Limited; GF Securities (Hong Kong) Brokerage Limited</t>
        </is>
      </c>
      <c r="BX364" s="108" t="inlineStr">
        <is>
          <t>ABCI Securities Company Limited; BOCOM International Securities Limited; CCB International Capital Limited; CLSA Limited; China Renaissance Securities (Hong Kong) Limited; Fosun International Securities Limited; GF Securities (Hong Kong) Brokerage Limited</t>
        </is>
      </c>
      <c r="BY364" s="127">
        <f>HYPERLINK("https://www1.hkexnews.hk/listedco/listconews/sehk/2025/0911/2025091100031.pdf","prospectus")</f>
        <v/>
      </c>
      <c r="BZ364" s="127">
        <f>HYPERLINK("https://www1.hkexnews.hk/listedco/listconews/sehk/2025/0918/2025091801757.pdf","allotment")</f>
        <v/>
      </c>
      <c r="CA364" s="127">
        <f>HYPERLINK("https://www1.hkexnews.hk/listedco/listconews/sehk/2025/1016/2025101601000.pdf","stabilisation")</f>
        <v/>
      </c>
      <c r="CB364" s="128" t="n"/>
      <c r="CC364" s="108" t="inlineStr">
        <is>
          <t>P/E: loss-making at IPO, use P/S; range low: maximum offer price only, no floor published</t>
        </is>
      </c>
    </row>
    <row r="365" ht="22" customHeight="1">
      <c r="A365" s="107" t="inlineStr">
        <is>
          <t>6090</t>
        </is>
      </c>
      <c r="B365" s="108" t="inlineStr">
        <is>
          <t>BUTONG GROUP</t>
        </is>
      </c>
      <c r="C365" s="108" t="inlineStr">
        <is>
          <t>不同集團</t>
        </is>
      </c>
      <c r="D365" s="108" t="inlineStr">
        <is>
          <t>Consumer</t>
        </is>
      </c>
      <c r="E365" s="108" t="inlineStr">
        <is>
          <t>Retail / distribution</t>
        </is>
      </c>
      <c r="F365" s="108" t="inlineStr">
        <is>
          <t>Children's and Infant Products</t>
        </is>
      </c>
      <c r="G365" s="108" t="inlineStr">
        <is>
          <t>Standard</t>
        </is>
      </c>
      <c r="H365" s="109" t="n">
        <v>45923</v>
      </c>
      <c r="I365" s="110" t="n">
        <v>781.84</v>
      </c>
      <c r="J365" s="108" t="inlineStr">
        <is>
          <t>gross (stated)</t>
        </is>
      </c>
      <c r="K365" s="111" t="n">
        <v>62.01</v>
      </c>
      <c r="L365" s="111" t="n">
        <v>71.2</v>
      </c>
      <c r="M365" s="111" t="n">
        <v>71.2</v>
      </c>
      <c r="N365" s="108" t="inlineStr">
        <is>
          <t>Y</t>
        </is>
      </c>
      <c r="O365" s="112" t="n">
        <v>100</v>
      </c>
      <c r="P365" s="112" t="n">
        <v>100</v>
      </c>
      <c r="Q365" s="113" t="n">
        <v>6461.5</v>
      </c>
      <c r="R365" s="108" t="inlineStr">
        <is>
          <t>derived:price x shares upon listing</t>
        </is>
      </c>
      <c r="S365" s="114" t="n">
        <v>3317.47</v>
      </c>
      <c r="T365" s="115" t="n">
        <v>7.37</v>
      </c>
      <c r="U365" s="116" t="n">
        <v>14.96</v>
      </c>
      <c r="V365" s="117" t="n">
        <v>333</v>
      </c>
      <c r="W365" s="112" t="n">
        <v>10</v>
      </c>
      <c r="X365" s="108" t="inlineStr">
        <is>
          <t>NA</t>
        </is>
      </c>
      <c r="Y365" s="113" t="n">
        <v>664.88</v>
      </c>
      <c r="Z365" s="113" t="n">
        <v>9338157</v>
      </c>
      <c r="AA365" s="112" t="n">
        <v>10.29</v>
      </c>
      <c r="AB365" s="108" t="inlineStr">
        <is>
          <t>Multi-Strategy SPC - Bosideng Industry Investment Fund SP; Shanghai Tongyi Investment Management Co., Ltd. and Huatai Capital Investment Limited (in connection with a back-to-back total return swap); Great Praise Investment SPC - Selected AI Fund SP</t>
        </is>
      </c>
      <c r="AC365" s="108" t="inlineStr">
        <is>
          <t>multi;shanghai-tongyi;great-praise</t>
        </is>
      </c>
      <c r="AD365" s="112" t="n">
        <v>5.95</v>
      </c>
      <c r="AE365" s="119" t="n"/>
      <c r="AF365" s="108" t="inlineStr">
        <is>
          <t>2025-10-17</t>
        </is>
      </c>
      <c r="AG365" s="108" t="inlineStr">
        <is>
          <t>CLSA Limited</t>
        </is>
      </c>
      <c r="AH365" s="108" t="inlineStr">
        <is>
          <t>CLSA</t>
        </is>
      </c>
      <c r="AI365" s="120" t="n">
        <v>54.21</v>
      </c>
      <c r="AJ365" s="121" t="n">
        <v>43.96</v>
      </c>
      <c r="AK365" s="121" t="n">
        <v>-1.12</v>
      </c>
      <c r="AL365" s="121" t="n">
        <v>41.01</v>
      </c>
      <c r="AM365" s="121" t="n">
        <v>2.09</v>
      </c>
      <c r="AN365" s="123" t="n">
        <v>3.42</v>
      </c>
      <c r="AO365" s="112" t="n">
        <v>17.63</v>
      </c>
      <c r="AP365" s="121" t="n">
        <v>46.07</v>
      </c>
      <c r="AQ365" s="121" t="n">
        <v>36.31</v>
      </c>
      <c r="AR365" s="121" t="n">
        <v>44.66</v>
      </c>
      <c r="AS365" s="121" t="n">
        <v>1.47</v>
      </c>
      <c r="AT365" s="121" t="n">
        <v>-5.31</v>
      </c>
      <c r="AU365" s="121" t="n">
        <v>0.49</v>
      </c>
      <c r="AV365" s="121" t="n">
        <v>43.57</v>
      </c>
      <c r="AW365" s="121" t="n">
        <v>38.3</v>
      </c>
      <c r="AX365" s="121" t="n">
        <v>53.02</v>
      </c>
      <c r="AY365" s="121" t="n">
        <v>-4.43</v>
      </c>
      <c r="AZ365" s="121" t="n">
        <v>-1.99</v>
      </c>
      <c r="BA365" s="121" t="n">
        <v>-0.88</v>
      </c>
      <c r="BB365" s="108" t="inlineStr">
        <is>
          <t>Hang Seng Commerce &amp; Industry sub-index</t>
        </is>
      </c>
      <c r="BC365" s="121" t="n">
        <v>-42.53</v>
      </c>
      <c r="BD365" s="109" t="n">
        <v>46297</v>
      </c>
      <c r="BE365" s="110" t="n">
        <v>1373.8</v>
      </c>
      <c r="BF365" s="113" t="n">
        <v>64.40000000000001</v>
      </c>
      <c r="BG365" s="108" t="inlineStr">
        <is>
          <t>Y</t>
        </is>
      </c>
      <c r="BH365" s="123" t="n">
        <v>100.3</v>
      </c>
      <c r="BI365" s="122" t="n"/>
      <c r="BJ365" s="122" t="n"/>
      <c r="BK365" s="123" t="n">
        <v>4.7</v>
      </c>
      <c r="BL365" s="124">
        <f>IF('BBG Verify'!S365="","not filed; run on terminal",'BBG Verify'!S365)</f>
        <v/>
      </c>
      <c r="BM365" s="125" t="inlineStr">
        <is>
          <t>N</t>
        </is>
      </c>
      <c r="BN365" s="126">
        <f>IF('BBG Verify'!K365="","not filed; run on terminal",'BBG Verify'!K365)</f>
        <v/>
      </c>
      <c r="BO365" s="108" t="inlineStr">
        <is>
          <t>N/A</t>
        </is>
      </c>
      <c r="BP365" s="108" t="inlineStr">
        <is>
          <t>N/A</t>
        </is>
      </c>
      <c r="BQ365" s="108" t="inlineStr">
        <is>
          <t>N/A</t>
        </is>
      </c>
      <c r="BR365" s="108" t="inlineStr">
        <is>
          <t>N/A</t>
        </is>
      </c>
      <c r="BS365" s="108" t="inlineStr">
        <is>
          <t>N/A</t>
        </is>
      </c>
      <c r="BT365" s="108" t="inlineStr">
        <is>
          <t>N/A</t>
        </is>
      </c>
      <c r="BU365" s="125" t="inlineStr">
        <is>
          <t>CITIC Securities (Hong Kong) Limited; Haitong International Capital Limited</t>
        </is>
      </c>
      <c r="BV365" s="108" t="inlineStr">
        <is>
          <t>Haitong International Capital Limited; CITIC Securities (Hong Kong) Limited</t>
        </is>
      </c>
      <c r="BW365" s="108" t="inlineStr">
        <is>
          <t>CLSA Limited; Haitong International Securities Company Limited; Futu Securities International (Hong Kong) Limited; SPDB International Capital Limited; Livermore Holdings Limited; Patrons Securities Limited</t>
        </is>
      </c>
      <c r="BX365" s="108" t="inlineStr">
        <is>
          <t>CLSA Limited; Futu Securities International (Hong Kong) Limited; Huatai Financial Holdings (Hong Kong) Limited; Haitong International Securities Company Limited; Livermore Holdings Limited; Patrons Securities Limited; SPDB International Capital Limited</t>
        </is>
      </c>
      <c r="BY365" s="127">
        <f>HYPERLINK("https://www1.hkexnews.hk/listedco/listconews/sehk/2025/0915/2025091500009.pdf","prospectus")</f>
        <v/>
      </c>
      <c r="BZ365" s="127">
        <f>HYPERLINK("https://www1.hkexnews.hk/listedco/listconews/sehk/2025/0922/2025092201984.pdf","allotment")</f>
        <v/>
      </c>
      <c r="CA365" s="119" t="n"/>
      <c r="CB365" s="128" t="n"/>
      <c r="CC365" s="108" t="inlineStr">
        <is>
          <t>greenshoe: end-of-stabilisation notice not found</t>
        </is>
      </c>
    </row>
    <row r="366" ht="22" customHeight="1">
      <c r="A366" s="107" t="inlineStr">
        <is>
          <t>9973</t>
        </is>
      </c>
      <c r="B366" s="108" t="inlineStr">
        <is>
          <t>CHERY AUTO</t>
        </is>
      </c>
      <c r="C366" s="108" t="inlineStr">
        <is>
          <t>奇瑞汽車</t>
        </is>
      </c>
      <c r="D366" s="108" t="inlineStr">
        <is>
          <t>Consumer</t>
        </is>
      </c>
      <c r="E366" s="108" t="inlineStr">
        <is>
          <t>Autos (NEV OEM)</t>
        </is>
      </c>
      <c r="F366" s="108" t="inlineStr">
        <is>
          <t>Automobile Manufacturers</t>
        </is>
      </c>
      <c r="G366" s="108" t="inlineStr">
        <is>
          <t>Standard</t>
        </is>
      </c>
      <c r="H366" s="109" t="n">
        <v>45925</v>
      </c>
      <c r="I366" s="110" t="n">
        <v>9145</v>
      </c>
      <c r="J366" s="108" t="inlineStr">
        <is>
          <t>gross (stated)</t>
        </is>
      </c>
      <c r="K366" s="129" t="n"/>
      <c r="L366" s="111" t="n">
        <v>30.75</v>
      </c>
      <c r="M366" s="111" t="n">
        <v>30.75</v>
      </c>
      <c r="N366" s="108" t="inlineStr">
        <is>
          <t>Y</t>
        </is>
      </c>
      <c r="O366" s="112" t="n">
        <v>100</v>
      </c>
      <c r="P366" s="118" t="n"/>
      <c r="Q366" s="113" t="n">
        <v>160041</v>
      </c>
      <c r="R366" s="108" t="inlineStr">
        <is>
          <t>prospectus:stated market capitalisation</t>
        </is>
      </c>
      <c r="S366" s="114" t="n">
        <v>308.18</v>
      </c>
      <c r="T366" s="115" t="n">
        <v>11.61</v>
      </c>
      <c r="U366" s="116" t="n">
        <v>50</v>
      </c>
      <c r="V366" s="117" t="n">
        <v>251</v>
      </c>
      <c r="W366" s="112" t="n">
        <v>10</v>
      </c>
      <c r="X366" s="108" t="inlineStr">
        <is>
          <t>NA</t>
        </is>
      </c>
      <c r="Y366" s="113" t="n">
        <v>4572.5</v>
      </c>
      <c r="Z366" s="113" t="n">
        <v>148698500</v>
      </c>
      <c r="AA366" s="112" t="n">
        <v>2.86</v>
      </c>
      <c r="AB366" s="108" t="inlineStr">
        <is>
          <t>JSC International Investment Fund SPC (acting for and on behalf of ShanRui SP); HHLR Advisors, Ltd; Shanghai Greenwoods Asset Management Co., Ltd and CICC Financial Trading Limited (in connection with Greenwoods OTC Swaps); Greenwoods Asset Management Hong Kong Limited; Huangshan Construction Investment (Hong Kong) International Limited; Jinghui Ruiying (Hong Kong) Limited; Horizon Together Holding Ltd; Dajia Life Insurance Co., Ltd; Martis Fund, L.P; GOTION HIGH-TECH (HK) LIMITED; Hefei Jianhui Zhanxin Cornerstone Investment Company Limited; PSBC Wealth Management Co., Ltd. (through GF Securities Asset Management (Guangdong) Co., Ltd as the qualified domestic institutional investor); Xingyu Automotive Lighting (Hong Kong) Company Limited</t>
        </is>
      </c>
      <c r="AC366" s="108" t="inlineStr">
        <is>
          <t>jsc;hhlr;shanghai-greenwoods;greenwoods;huangshan;jinghui;horizon;dajia;martis;gotion;hefei;psbc;xingyu</t>
        </is>
      </c>
      <c r="AD366" s="112" t="n">
        <v>15</v>
      </c>
      <c r="AE366" s="108" t="inlineStr">
        <is>
          <t>partial</t>
        </is>
      </c>
      <c r="AF366" s="119" t="n"/>
      <c r="AG366" s="108" t="inlineStr">
        <is>
          <t>China International Capital Corporation Hong Kong Securities Limited</t>
        </is>
      </c>
      <c r="AH366" s="108" t="inlineStr">
        <is>
          <t>China International</t>
        </is>
      </c>
      <c r="AI366" s="120" t="n">
        <v>9.529999999999999</v>
      </c>
      <c r="AJ366" s="121" t="n">
        <v>3.8</v>
      </c>
      <c r="AK366" s="121" t="n">
        <v>0.36</v>
      </c>
      <c r="AL366" s="121" t="n">
        <v>11.22</v>
      </c>
      <c r="AM366" s="121" t="n">
        <v>-6.67</v>
      </c>
      <c r="AN366" s="123" t="n">
        <v>2.63</v>
      </c>
      <c r="AO366" s="112" t="n">
        <v>9.529999999999999</v>
      </c>
      <c r="AP366" s="121" t="n">
        <v>3.67</v>
      </c>
      <c r="AQ366" s="121" t="n">
        <v>6.41</v>
      </c>
      <c r="AR366" s="121" t="n">
        <v>-0.16</v>
      </c>
      <c r="AS366" s="121" t="n">
        <v>-0.13</v>
      </c>
      <c r="AT366" s="121" t="n">
        <v>2.51</v>
      </c>
      <c r="AU366" s="121" t="n">
        <v>-3.82</v>
      </c>
      <c r="AV366" s="121" t="n">
        <v>0.61</v>
      </c>
      <c r="AW366" s="121" t="n">
        <v>9.49</v>
      </c>
      <c r="AX366" s="121" t="n">
        <v>9.07</v>
      </c>
      <c r="AY366" s="121" t="n">
        <v>5.94</v>
      </c>
      <c r="AZ366" s="121" t="n">
        <v>-3.08</v>
      </c>
      <c r="BA366" s="121" t="n">
        <v>-3.43</v>
      </c>
      <c r="BB366" s="108" t="inlineStr">
        <is>
          <t>Hang Seng Commerce &amp; Industry sub-index</t>
        </is>
      </c>
      <c r="BC366" s="121" t="n">
        <v>-20.98</v>
      </c>
      <c r="BD366" s="109" t="n">
        <v>46297</v>
      </c>
      <c r="BE366" s="110" t="n">
        <v>296886.7</v>
      </c>
      <c r="BF366" s="113" t="n">
        <v>15548.5</v>
      </c>
      <c r="BG366" s="108" t="inlineStr">
        <is>
          <t>Y</t>
        </is>
      </c>
      <c r="BH366" s="123" t="n">
        <v>10.3</v>
      </c>
      <c r="BI366" s="123" t="n">
        <v>10</v>
      </c>
      <c r="BJ366" s="123" t="n">
        <v>6.5</v>
      </c>
      <c r="BK366" s="123" t="n">
        <v>0.5</v>
      </c>
      <c r="BL366" s="124">
        <f>IF('BBG Verify'!S366="","not filed; run on terminal",'BBG Verify'!S366)</f>
        <v/>
      </c>
      <c r="BM366" s="125" t="inlineStr">
        <is>
          <t>N</t>
        </is>
      </c>
      <c r="BN366" s="126">
        <f>IF('BBG Verify'!K366="","not filed; run on terminal",'BBG Verify'!K366)</f>
        <v/>
      </c>
      <c r="BO366" s="108" t="inlineStr">
        <is>
          <t>N/A</t>
        </is>
      </c>
      <c r="BP366" s="108" t="inlineStr">
        <is>
          <t>N/A</t>
        </is>
      </c>
      <c r="BQ366" s="108" t="inlineStr">
        <is>
          <t>N/A</t>
        </is>
      </c>
      <c r="BR366" s="108" t="inlineStr">
        <is>
          <t>N/A</t>
        </is>
      </c>
      <c r="BS366" s="108" t="inlineStr">
        <is>
          <t>N/A</t>
        </is>
      </c>
      <c r="BT366" s="108" t="inlineStr">
        <is>
          <t>N/A</t>
        </is>
      </c>
      <c r="BU366" s="125" t="inlineStr">
        <is>
          <t>China International Capital Corporation Hong Kong Securities Limited; Huatai Financial Holdings (Hong Kong) Limited; GF Capital (Hong Kong) Limited</t>
        </is>
      </c>
      <c r="BV366" s="108" t="inlineStr">
        <is>
          <t>China International Capital Corporation Hong Kong Securities Limited; Huatai Financial Holdings (Hong Kong) Limited; GF Capital (Hong Kong) Limited</t>
        </is>
      </c>
      <c r="BW366" s="108" t="inlineStr">
        <is>
          <t>China International Capital Corporation Hong Kong Securities Limited; Huatai Financial Holdings (Hong Kong) Limited; GF Securities (Hong Kong) Brokerage Limited; DIRECTORS, SUPERVISORS AND PARTIES INVOLVED IN THE GLOBAL OFFERING CLSA Limited; CLSA Limited; BOCI Asia Limited; CMB International Capital Limited; Futu Securities International (Hong Kong) Limited</t>
        </is>
      </c>
      <c r="BX366" s="108" t="inlineStr">
        <is>
          <t>ABCI Securities Company Limited; BOCI Asia Limited; China International Capital Corporation Hong Kong Securities Limited; CLSA Limited; CMB International Capital Limited; Futu Securities International (Hong Kong) Limited; GF Securities (Hong Kong) Brokerage Limited; Huatai Financial Holdings (Hong Kong) Limited</t>
        </is>
      </c>
      <c r="BY366" s="127">
        <f>HYPERLINK("https://www1.hkexnews.hk/listedco/listconews/sehk/2025/0917/2025091700013.pdf","prospectus")</f>
        <v/>
      </c>
      <c r="BZ366" s="127">
        <f>HYPERLINK("https://www1.hkexnews.hk/listedco/listconews/sehk/2025/0924/2025092401262.pdf","allotment")</f>
        <v/>
      </c>
      <c r="CA366" s="127">
        <f>HYPERLINK("https://www1.hkexnews.hk/listedco/listconews/sehk/2025/1022/2025102201148.pdf","stabilisation")</f>
        <v/>
      </c>
      <c r="CB366" s="128" t="n"/>
      <c r="CC366" s="108" t="inlineStr">
        <is>
          <t>greenshoe: outcome published; expiry date not in the notice; range low: maximum offer price only, no floor published</t>
        </is>
      </c>
    </row>
    <row r="367" ht="22" customHeight="1">
      <c r="A367" s="107" t="inlineStr">
        <is>
          <t>2583</t>
        </is>
      </c>
      <c r="B367" s="108" t="inlineStr">
        <is>
          <t>HIPINE</t>
        </is>
      </c>
      <c r="C367" s="108" t="inlineStr">
        <is>
          <t>西普尼</t>
        </is>
      </c>
      <c r="D367" s="108" t="inlineStr">
        <is>
          <t>Consumer</t>
        </is>
      </c>
      <c r="E367" s="108" t="inlineStr">
        <is>
          <t>Apparel / luxury</t>
        </is>
      </c>
      <c r="F367" s="108" t="inlineStr">
        <is>
          <t>Watch &amp; Jewellery</t>
        </is>
      </c>
      <c r="G367" s="108" t="inlineStr">
        <is>
          <t>Standard</t>
        </is>
      </c>
      <c r="H367" s="109" t="n">
        <v>45930</v>
      </c>
      <c r="I367" s="110" t="n">
        <v>313.76</v>
      </c>
      <c r="J367" s="108" t="inlineStr">
        <is>
          <t>gross (stated)</t>
        </is>
      </c>
      <c r="K367" s="111" t="n">
        <v>27</v>
      </c>
      <c r="L367" s="111" t="n">
        <v>29.6</v>
      </c>
      <c r="M367" s="111" t="n">
        <v>29.6</v>
      </c>
      <c r="N367" s="108" t="inlineStr">
        <is>
          <t>Y</t>
        </is>
      </c>
      <c r="O367" s="112" t="n">
        <v>100</v>
      </c>
      <c r="P367" s="112" t="n">
        <v>100</v>
      </c>
      <c r="Q367" s="113" t="n">
        <v>1741.2</v>
      </c>
      <c r="R367" s="108" t="inlineStr">
        <is>
          <t>derived:price x shares upon listing</t>
        </is>
      </c>
      <c r="S367" s="114" t="n">
        <v>2505.9</v>
      </c>
      <c r="T367" s="115" t="n">
        <v>3.9</v>
      </c>
      <c r="U367" s="116" t="n">
        <v>0</v>
      </c>
      <c r="V367" s="117" t="n">
        <v>136</v>
      </c>
      <c r="W367" s="112" t="n">
        <v>10</v>
      </c>
      <c r="X367" s="108" t="inlineStr">
        <is>
          <t>NO</t>
        </is>
      </c>
      <c r="Y367" s="113" t="n">
        <v>313.76</v>
      </c>
      <c r="Z367" s="113" t="n">
        <v>10600000</v>
      </c>
      <c r="AA367" s="112" t="n">
        <v>18.02</v>
      </c>
      <c r="AB367" s="108" t="inlineStr">
        <is>
          <t>none — no cornerstone tranche</t>
        </is>
      </c>
      <c r="AC367" s="108" t="inlineStr">
        <is>
          <t>none</t>
        </is>
      </c>
      <c r="AD367" s="118" t="n"/>
      <c r="AE367" s="119" t="n"/>
      <c r="AF367" s="119" t="n"/>
      <c r="AG367" s="119" t="n"/>
      <c r="AH367" s="119" t="n"/>
      <c r="AI367" s="120" t="n">
        <v>189.36</v>
      </c>
      <c r="AJ367" s="121" t="n">
        <v>258.11</v>
      </c>
      <c r="AK367" s="121" t="n">
        <v>1.25</v>
      </c>
      <c r="AL367" s="121" t="n">
        <v>183.78</v>
      </c>
      <c r="AM367" s="121" t="n">
        <v>26.19</v>
      </c>
      <c r="AN367" s="123" t="n">
        <v>2.66</v>
      </c>
      <c r="AO367" s="112" t="n">
        <v>59.52</v>
      </c>
      <c r="AP367" s="121" t="n">
        <v>457.43</v>
      </c>
      <c r="AQ367" s="121" t="n">
        <v>456.42</v>
      </c>
      <c r="AR367" s="121" t="n">
        <v>467.23</v>
      </c>
      <c r="AS367" s="121" t="n">
        <v>55.66</v>
      </c>
      <c r="AT367" s="121" t="n">
        <v>55.38</v>
      </c>
      <c r="AU367" s="121" t="n">
        <v>58.4</v>
      </c>
      <c r="AV367" s="121" t="n">
        <v>456.21</v>
      </c>
      <c r="AW367" s="121" t="n">
        <v>461.42</v>
      </c>
      <c r="AX367" s="121" t="n">
        <v>474.36</v>
      </c>
      <c r="AY367" s="121" t="n">
        <v>61.55</v>
      </c>
      <c r="AZ367" s="121" t="n">
        <v>-5</v>
      </c>
      <c r="BA367" s="121" t="n">
        <v>-6.17</v>
      </c>
      <c r="BB367" s="108" t="inlineStr">
        <is>
          <t>Hang Seng Commerce &amp; Industry sub-index</t>
        </is>
      </c>
      <c r="BC367" s="121" t="n">
        <v>51.96</v>
      </c>
      <c r="BD367" s="109" t="n">
        <v>46297</v>
      </c>
      <c r="BE367" s="110" t="n">
        <v>502.2</v>
      </c>
      <c r="BF367" s="113" t="n">
        <v>54.3</v>
      </c>
      <c r="BG367" s="108" t="inlineStr">
        <is>
          <t>Y</t>
        </is>
      </c>
      <c r="BH367" s="123" t="n">
        <v>32.1</v>
      </c>
      <c r="BI367" s="122" t="n"/>
      <c r="BJ367" s="123" t="n">
        <v>25</v>
      </c>
      <c r="BK367" s="123" t="n">
        <v>3.5</v>
      </c>
      <c r="BL367" s="124">
        <f>IF('BBG Verify'!S367="","not filed; run on terminal",'BBG Verify'!S367)</f>
        <v/>
      </c>
      <c r="BM367" s="125" t="inlineStr">
        <is>
          <t>N</t>
        </is>
      </c>
      <c r="BN367" s="126">
        <f>IF('BBG Verify'!K367="","not filed; run on terminal",'BBG Verify'!K367)</f>
        <v/>
      </c>
      <c r="BO367" s="108" t="inlineStr">
        <is>
          <t>N/A</t>
        </is>
      </c>
      <c r="BP367" s="108" t="inlineStr">
        <is>
          <t>N/A</t>
        </is>
      </c>
      <c r="BQ367" s="108" t="inlineStr">
        <is>
          <t>N/A</t>
        </is>
      </c>
      <c r="BR367" s="108" t="inlineStr">
        <is>
          <t>N/A</t>
        </is>
      </c>
      <c r="BS367" s="108" t="inlineStr">
        <is>
          <t>N/A</t>
        </is>
      </c>
      <c r="BT367" s="108" t="inlineStr">
        <is>
          <t>N/A</t>
        </is>
      </c>
      <c r="BU367" s="125" t="inlineStr">
        <is>
          <t>Ping An of China Capital (Hong Kong) Company Limited</t>
        </is>
      </c>
      <c r="BV367" s="108" t="inlineStr">
        <is>
          <t>Ping An of China Capital (Hong Kong) Company Limited</t>
        </is>
      </c>
      <c r="BW367" s="108" t="inlineStr">
        <is>
          <t>Ping An Securities (Hong Kong) Company Limited; A VICT Global Asset Management Limited; uSMART Securities Limited; ABCI Capital Limited</t>
        </is>
      </c>
      <c r="BX367" s="108" t="inlineStr">
        <is>
          <t>ABCI Securities Company Limited; AVICT Global Asset Management Limited; Ping An Securities (Hong Kong) Company Limited; Patrons Securities Limited; Ruibang Securities Limited</t>
        </is>
      </c>
      <c r="BY367" s="127">
        <f>HYPERLINK("https://www1.hkexnews.hk/listedco/listconews/sehk/2025/0919/2025091900019.pdf","prospectus")</f>
        <v/>
      </c>
      <c r="BZ367" s="127">
        <f>HYPERLINK("https://www1.hkexnews.hk/listedco/listconews/sehk/2025/0929/2025092902274.pdf","allotment")</f>
        <v/>
      </c>
      <c r="CA367" s="119" t="n"/>
      <c r="CB367" s="128" t="n"/>
      <c r="CC367" s="108" t="inlineStr">
        <is>
          <t>greenshoe: no over-allotment option; market cap: prospectus 'market capitalisation' line is the listing-rule threshold, not the issuer's figure; rejected; cornerstone list: no cornerstone tranche; greenshoe size: no over-allotment option; stabilising manager: no over-allotment option, so none appointed</t>
        </is>
      </c>
    </row>
    <row r="368" ht="22" customHeight="1">
      <c r="A368" s="107" t="inlineStr">
        <is>
          <t>2889</t>
        </is>
      </c>
      <c r="B368" s="108" t="inlineStr">
        <is>
          <t>PATEO</t>
        </is>
      </c>
      <c r="C368" s="108" t="inlineStr">
        <is>
          <t>博泰車聯</t>
        </is>
      </c>
      <c r="D368" s="108" t="inlineStr">
        <is>
          <t>Consumer</t>
        </is>
      </c>
      <c r="E368" s="108" t="inlineStr">
        <is>
          <t>Auto parts / supply chain</t>
        </is>
      </c>
      <c r="F368" s="108" t="inlineStr">
        <is>
          <t>Auto Parts &amp; Equipment</t>
        </is>
      </c>
      <c r="G368" s="108" t="inlineStr">
        <is>
          <t>Standard</t>
        </is>
      </c>
      <c r="H368" s="109" t="n">
        <v>45930</v>
      </c>
      <c r="I368" s="110" t="n">
        <v>1066.96</v>
      </c>
      <c r="J368" s="108" t="inlineStr">
        <is>
          <t>gross (stated)</t>
        </is>
      </c>
      <c r="K368" s="129" t="n"/>
      <c r="L368" s="111" t="n">
        <v>102.23</v>
      </c>
      <c r="M368" s="111" t="n">
        <v>102.23</v>
      </c>
      <c r="N368" s="108" t="inlineStr">
        <is>
          <t>Y</t>
        </is>
      </c>
      <c r="O368" s="112" t="n">
        <v>100</v>
      </c>
      <c r="P368" s="118" t="n"/>
      <c r="Q368" s="113" t="n">
        <v>15334</v>
      </c>
      <c r="R368" s="108" t="inlineStr">
        <is>
          <t>press:sina: 按102.23港元发行价计总市值153.34亿</t>
        </is>
      </c>
      <c r="S368" s="114" t="n">
        <v>529.79</v>
      </c>
      <c r="T368" s="115" t="n">
        <v>3.72</v>
      </c>
      <c r="U368" s="116" t="n">
        <v>43.56</v>
      </c>
      <c r="V368" s="117" t="n">
        <v>50</v>
      </c>
      <c r="W368" s="112" t="n">
        <v>10</v>
      </c>
      <c r="X368" s="108" t="inlineStr">
        <is>
          <t>NO</t>
        </is>
      </c>
      <c r="Y368" s="113" t="n">
        <v>602.1900000000001</v>
      </c>
      <c r="Z368" s="113" t="n">
        <v>5890586</v>
      </c>
      <c r="AA368" s="112" t="n">
        <v>3.93</v>
      </c>
      <c r="AB368" s="108" t="inlineStr">
        <is>
          <t>Horizon Together Holding Ltd; JSC International Investment Fund SPC (acting for and on behalf of Huangshan SP); Smart Ventures Limited</t>
        </is>
      </c>
      <c r="AC368" s="108" t="inlineStr">
        <is>
          <t>horizon;jsc;smart</t>
        </is>
      </c>
      <c r="AD368" s="112" t="n">
        <v>7</v>
      </c>
      <c r="AE368" s="108" t="inlineStr">
        <is>
          <t>lapsed (no over-allocation)</t>
        </is>
      </c>
      <c r="AF368" s="119" t="n"/>
      <c r="AG368" s="108" t="inlineStr">
        <is>
          <t>China International Capital Corporation Hong Kong Securities Limited</t>
        </is>
      </c>
      <c r="AH368" s="108" t="inlineStr">
        <is>
          <t>China International</t>
        </is>
      </c>
      <c r="AI368" s="120" t="n">
        <v>29.71</v>
      </c>
      <c r="AJ368" s="121" t="n">
        <v>53.58</v>
      </c>
      <c r="AK368" s="121" t="n">
        <v>1.25</v>
      </c>
      <c r="AL368" s="121" t="n">
        <v>32.06</v>
      </c>
      <c r="AM368" s="121" t="n">
        <v>16.3</v>
      </c>
      <c r="AN368" s="123" t="n">
        <v>1.57</v>
      </c>
      <c r="AO368" s="112" t="n">
        <v>19.93</v>
      </c>
      <c r="AP368" s="121" t="n">
        <v>98.95999999999999</v>
      </c>
      <c r="AQ368" s="121" t="n">
        <v>68.05</v>
      </c>
      <c r="AR368" s="121" t="n">
        <v>110.51</v>
      </c>
      <c r="AS368" s="121" t="n">
        <v>29.55</v>
      </c>
      <c r="AT368" s="121" t="n">
        <v>9.42</v>
      </c>
      <c r="AU368" s="121" t="n">
        <v>37.07</v>
      </c>
      <c r="AV368" s="121" t="n">
        <v>97.73999999999999</v>
      </c>
      <c r="AW368" s="121" t="n">
        <v>73.05</v>
      </c>
      <c r="AX368" s="121" t="n">
        <v>117.64</v>
      </c>
      <c r="AY368" s="121" t="n">
        <v>15.59</v>
      </c>
      <c r="AZ368" s="121" t="n">
        <v>-5</v>
      </c>
      <c r="BA368" s="121" t="n">
        <v>-6.17</v>
      </c>
      <c r="BB368" s="108" t="inlineStr">
        <is>
          <t>Hang Seng Commerce &amp; Industry sub-index</t>
        </is>
      </c>
      <c r="BC368" s="121" t="n">
        <v>-49.04</v>
      </c>
      <c r="BD368" s="109" t="n">
        <v>46297</v>
      </c>
      <c r="BE368" s="110" t="n">
        <v>2154.9</v>
      </c>
      <c r="BF368" s="113" t="n">
        <v>-594.9</v>
      </c>
      <c r="BG368" s="108" t="inlineStr">
        <is>
          <t>N</t>
        </is>
      </c>
      <c r="BH368" s="108" t="inlineStr">
        <is>
          <t>n/m</t>
        </is>
      </c>
      <c r="BI368" s="122" t="n"/>
      <c r="BJ368" s="122" t="n"/>
      <c r="BK368" s="123" t="n">
        <v>7.1</v>
      </c>
      <c r="BL368" s="124">
        <f>IF('BBG Verify'!S368="","not filed; run on terminal",'BBG Verify'!S368)</f>
        <v/>
      </c>
      <c r="BM368" s="125" t="inlineStr">
        <is>
          <t>N</t>
        </is>
      </c>
      <c r="BN368" s="126">
        <f>IF('BBG Verify'!K368="","not filed; run on terminal",'BBG Verify'!K368)</f>
        <v/>
      </c>
      <c r="BO368" s="108" t="inlineStr">
        <is>
          <t>N/A</t>
        </is>
      </c>
      <c r="BP368" s="108" t="inlineStr">
        <is>
          <t>N/A</t>
        </is>
      </c>
      <c r="BQ368" s="108" t="inlineStr">
        <is>
          <t>N/A</t>
        </is>
      </c>
      <c r="BR368" s="108" t="inlineStr">
        <is>
          <t>N/A</t>
        </is>
      </c>
      <c r="BS368" s="108" t="inlineStr">
        <is>
          <t>N/A</t>
        </is>
      </c>
      <c r="BT368" s="108" t="inlineStr">
        <is>
          <t>N/A</t>
        </is>
      </c>
      <c r="BU368" s="125" t="inlineStr">
        <is>
          <t>China International Capital Corporation Hong Kong Securities Limited; Guotai Junan Capital Limited; CMB International Capital Limited; Huatai Financial Holdings (Hong Kong) Limited; CITIC Securities (Hong Kong) Limited</t>
        </is>
      </c>
      <c r="BV368" s="108" t="inlineStr">
        <is>
          <t>China International Capital Corporation Hong Kong Securities Limited; Huatai Financial Holdings (Hong Kong) Limited; CITIC Securities (Hong Kong) Limited; Guotai Junan Capital Limited; CMB International Capital Limited</t>
        </is>
      </c>
      <c r="BW368" s="108" t="inlineStr">
        <is>
          <t>China International Capital Corporation Hong Kong Securities Limited; Guotai Junan Securities (Hong Kong) Limited; CMB International Capital Limited; Huatai Financial Holdings (Hong Kong) Limited; CLSA Limited; BOCI Asia Limited; ABCI Capital Limited; Tiger Brokers (HK) Global Limited</t>
        </is>
      </c>
      <c r="BX368" s="108" t="inlineStr">
        <is>
          <t>ABCI Securities Company Limited; BOCI Asia Limited; China International Capital Corporation Hong Kong Securities Limited; CLSA Limited; CMB International Capital Limited; Guotai Junan Securities (Hong Kong) Limited; Huatai Financial Holdings (Hong Kong) Limited; Livermore Holdings Limited; Tiger Brokers (HK) Global Limited</t>
        </is>
      </c>
      <c r="BY368" s="127">
        <f>HYPERLINK("https://www1.hkexnews.hk/listedco/listconews/sehk/2025/0922/2025092200011.pdf","prospectus")</f>
        <v/>
      </c>
      <c r="BZ368" s="127">
        <f>HYPERLINK("https://www1.hkexnews.hk/listedco/listconews/sehk/2025/0929/2025092903622.pdf","allotment")</f>
        <v/>
      </c>
      <c r="CA368" s="127">
        <f>HYPERLINK("https://www1.hkexnews.hk/listedco/listconews/sehk/2025/1031/2025103102634.pdf","stabilisation")</f>
        <v/>
      </c>
      <c r="CB368" s="128" t="n"/>
      <c r="CC368" s="108" t="inlineStr">
        <is>
          <t>P/E: loss-making at IPO, use P/S; greenshoe: outcome published; expiry date not in the notice; range low: maximum offer price only, no floor published; market cap: prospectus 'market capitalisation' line is the listing-rule threshold, not the issuer's figure; rejected</t>
        </is>
      </c>
    </row>
    <row r="369" ht="22" customHeight="1">
      <c r="A369" s="107" t="inlineStr">
        <is>
          <t>2259</t>
        </is>
      </c>
      <c r="B369" s="108" t="inlineStr">
        <is>
          <t>ZIJIN GOLD INTL</t>
        </is>
      </c>
      <c r="C369" s="108" t="inlineStr">
        <is>
          <t>紫金黃金國際</t>
        </is>
      </c>
      <c r="D369" s="108" t="inlineStr">
        <is>
          <t>Materials/Energy</t>
        </is>
      </c>
      <c r="E369" s="108" t="inlineStr">
        <is>
          <t>Mining / metals</t>
        </is>
      </c>
      <c r="F369" s="108" t="inlineStr">
        <is>
          <t>Gold &amp; Precious Metals</t>
        </is>
      </c>
      <c r="G369" s="108" t="inlineStr">
        <is>
          <t>Standard</t>
        </is>
      </c>
      <c r="H369" s="109" t="n">
        <v>45930</v>
      </c>
      <c r="I369" s="110" t="n">
        <v>24984.2</v>
      </c>
      <c r="J369" s="108" t="inlineStr">
        <is>
          <t>gross (stated)</t>
        </is>
      </c>
      <c r="K369" s="129" t="n"/>
      <c r="L369" s="111" t="n">
        <v>71.59</v>
      </c>
      <c r="M369" s="111" t="n">
        <v>71.59</v>
      </c>
      <c r="N369" s="108" t="inlineStr">
        <is>
          <t>Y</t>
        </is>
      </c>
      <c r="O369" s="112" t="n">
        <v>100</v>
      </c>
      <c r="P369" s="118" t="n"/>
      <c r="Q369" s="113" t="n">
        <v>187900</v>
      </c>
      <c r="R369" s="108" t="inlineStr">
        <is>
          <t>prospectus:stated market capitalisation</t>
        </is>
      </c>
      <c r="S369" s="114" t="n">
        <v>240.74</v>
      </c>
      <c r="T369" s="115" t="n">
        <v>20.38</v>
      </c>
      <c r="U369" s="116" t="n">
        <v>49.9</v>
      </c>
      <c r="V369" s="117" t="n">
        <v>438</v>
      </c>
      <c r="W369" s="112" t="n">
        <v>10</v>
      </c>
      <c r="X369" s="108" t="inlineStr">
        <is>
          <t>NO</t>
        </is>
      </c>
      <c r="Y369" s="113" t="n">
        <v>12517.08</v>
      </c>
      <c r="Z369" s="113" t="n">
        <v>174844341</v>
      </c>
      <c r="AA369" s="112" t="n">
        <v>6.66</v>
      </c>
      <c r="AB369" s="108" t="inlineStr">
        <is>
          <t>GIC Private Limited; HHLR Advisors, Ltd; BlackRock Funds; Schroder Investment Management Limited, Schroder Investment Management (Singapore) Ltd; Schroder Investment Management (Hong Kong) Limited; Perseverance Asset Management International (Singapore) Pte. Ltd; Shanghai Gaoyi Asset Management Partnership (Limited Partnership) and CITIC Securities International; Capital Management Limited (in connection with CITICS Back-to- back TRS and CITICS Client TRS) FIL Investment Management (Hong Kong) Limited; Shanghai Greenwoods Asset Management Co., Ltd and CSICM (in connection with CITICS Back-to- back TRS and CITICS Client TRS); Greenwoods Asset Management Hong Kong Limited; Baillie Gifford Overseas Limited and Baillie Gifford &amp; Co (together Baillie Gifford); Pacific Asset Management Co., Limited and CPIC Investment Management (H.K.); Taikang Life Insurance Co., Ltd; China Universal Asset Management Company Limited and China Universal Asset Management (Hong Kong) Company Limited , together with CUAM, China Universal Investors; UBS Asset Management (Singapore) Ltd; GF International Investment Management Limited; Dao Yi Capital Limited; New Golden Future Limited; RBC Global Asset Management (Asia) Limited; Invesco Hong Kong Limited; CPE River Investment Limited; Oaktree Capital Management, L.P; Mirae Asset Securities Co., Ltd. , Mirae Asset Global Investments Co., Ltd. , and Mirae Asset Securities (HK) Ltd. (together, the Mirae Asset Financial Group); Fullgoal Asset Management (HK) Limited; Fullgoal Fund Management Co., Ltd; IDG Breyer Capital Fund L.P; Arc Avenue Asset Management Pte. Ltd; Greater Bay Area Homeland Investments Limited; Millennium Capital Management (Singapore) Pte. Ltd., and its affiliated entities; Globe Asia Investments Limited; Sparky International Company Limited</t>
        </is>
      </c>
      <c r="AC369" s="108" t="inlineStr">
        <is>
          <t>gic;hhlr;blackrock;schroder;perseverance;shanghai-gaoyi;fil;shanghai-greenwoods;greenwoods;baillie;cpic;taikang;universal;ubs;gf;dao;new-golden;rbc;invesco;cpe;oaktree;mirae;fullgoal;idg;arc;greater;millennium;globe;sparky</t>
        </is>
      </c>
      <c r="AD369" s="112" t="n">
        <v>5</v>
      </c>
      <c r="AE369" s="119" t="n"/>
      <c r="AF369" s="119" t="n"/>
      <c r="AG369" s="108" t="inlineStr">
        <is>
          <t>Morgan Stanley Asia Limited</t>
        </is>
      </c>
      <c r="AH369" s="108" t="inlineStr">
        <is>
          <t>Morgan Stanley</t>
        </is>
      </c>
      <c r="AI369" s="120" t="n">
        <v>51.42</v>
      </c>
      <c r="AJ369" s="121" t="n">
        <v>68.45999999999999</v>
      </c>
      <c r="AK369" s="121" t="n">
        <v>1.25</v>
      </c>
      <c r="AL369" s="121" t="n">
        <v>55.75</v>
      </c>
      <c r="AM369" s="121" t="n">
        <v>8.16</v>
      </c>
      <c r="AN369" s="123" t="n">
        <v>2.8</v>
      </c>
      <c r="AO369" s="112" t="n">
        <v>10.76</v>
      </c>
      <c r="AP369" s="121" t="n">
        <v>97.37</v>
      </c>
      <c r="AQ369" s="121" t="n">
        <v>81.45</v>
      </c>
      <c r="AR369" s="121" t="n">
        <v>100.73</v>
      </c>
      <c r="AS369" s="121" t="n">
        <v>17.16</v>
      </c>
      <c r="AT369" s="121" t="n">
        <v>7.71</v>
      </c>
      <c r="AU369" s="121" t="n">
        <v>19.16</v>
      </c>
      <c r="AV369" s="121" t="n">
        <v>96.15000000000001</v>
      </c>
      <c r="AW369" s="121" t="n">
        <v>86.45</v>
      </c>
      <c r="AX369" s="121" t="n">
        <v>107.86</v>
      </c>
      <c r="AY369" s="121" t="n">
        <v>13.88</v>
      </c>
      <c r="AZ369" s="121" t="n">
        <v>-5</v>
      </c>
      <c r="BA369" s="121" t="n">
        <v>-6.17</v>
      </c>
      <c r="BB369" s="108" t="inlineStr">
        <is>
          <t>Hang Seng Commerce &amp; Industry sub-index</t>
        </is>
      </c>
      <c r="BC369" s="121" t="n">
        <v>99.47</v>
      </c>
      <c r="BD369" s="109" t="n">
        <v>46297</v>
      </c>
      <c r="BE369" s="110" t="n">
        <v>23293</v>
      </c>
      <c r="BF369" s="113" t="n">
        <v>4840.7</v>
      </c>
      <c r="BG369" s="108" t="inlineStr">
        <is>
          <t>Y</t>
        </is>
      </c>
      <c r="BH369" s="123" t="n">
        <v>38.8</v>
      </c>
      <c r="BI369" s="123" t="n">
        <v>21.6</v>
      </c>
      <c r="BJ369" s="123" t="n">
        <v>14.3</v>
      </c>
      <c r="BK369" s="123" t="n">
        <v>8.1</v>
      </c>
      <c r="BL369" s="124">
        <f>IF('BBG Verify'!S369="","not filed; run on terminal",'BBG Verify'!S369)</f>
        <v/>
      </c>
      <c r="BM369" s="125" t="inlineStr">
        <is>
          <t>N</t>
        </is>
      </c>
      <c r="BN369" s="126">
        <f>IF('BBG Verify'!K369="","not filed; run on terminal",'BBG Verify'!K369)</f>
        <v/>
      </c>
      <c r="BO369" s="108" t="inlineStr">
        <is>
          <t>N/A</t>
        </is>
      </c>
      <c r="BP369" s="108" t="inlineStr">
        <is>
          <t>N/A</t>
        </is>
      </c>
      <c r="BQ369" s="108" t="inlineStr">
        <is>
          <t>N/A</t>
        </is>
      </c>
      <c r="BR369" s="108" t="inlineStr">
        <is>
          <t>N/A</t>
        </is>
      </c>
      <c r="BS369" s="108" t="inlineStr">
        <is>
          <t>N/A</t>
        </is>
      </c>
      <c r="BT369" s="108" t="inlineStr">
        <is>
          <t>N/A</t>
        </is>
      </c>
      <c r="BU369" s="125" t="inlineStr">
        <is>
          <t>Morgan Stanley Asia Limited; CITIC Securities (Hong Kong) Limited</t>
        </is>
      </c>
      <c r="BV369" s="108" t="inlineStr">
        <is>
          <t>Morgan Stanley Asia Limited; CITIC Securities (Hong Kong) Limited</t>
        </is>
      </c>
      <c r="BW369" s="108" t="inlineStr">
        <is>
          <t>Morgan Stanley &amp; Co. International plc; Canary Wharf London E14 4QA United Kingdom CLSA Limited; GF Securities (Hong Kong) Brokerage Limited; Huatai Financial Holdings (Hong Kong) Limited</t>
        </is>
      </c>
      <c r="BX369" s="108" t="inlineStr">
        <is>
          <t>China Industrial Securities International Capital Limited; CLSA Limited; GF Securities (Hong Kong) Brokerage Limited; Huatai Financial Holdings (Hong Kong) Limited; Macquarie Capital Limited; Morgan Stanley Asia Limited</t>
        </is>
      </c>
      <c r="BY369" s="127">
        <f>HYPERLINK("https://www1.hkexnews.hk/listedco/listconews/sehk/2025/0919/2025091900073.pdf","prospectus")</f>
        <v/>
      </c>
      <c r="BZ369" s="127">
        <f>HYPERLINK("https://www1.hkexnews.hk/listedco/listconews/sehk/2025/0929/2025092903788.pdf","allotment")</f>
        <v/>
      </c>
      <c r="CA369" s="127">
        <f>HYPERLINK("https://www1.hkexnews.hk/listedco/listconews/sehk/2025/1026/2025102600001.pdf","stabilisation")</f>
        <v/>
      </c>
      <c r="CB369" s="128" t="n"/>
      <c r="CC369" s="108" t="inlineStr">
        <is>
          <t>greenshoe: end-of-stabilisation notice not found; range low: maximum offer price only, no floor published; stabilisation notice: notice linked; outcome wording not recognised, result left blank</t>
        </is>
      </c>
    </row>
    <row r="370" ht="22" customHeight="1">
      <c r="A370" s="107" t="inlineStr">
        <is>
          <t>2652</t>
        </is>
      </c>
      <c r="B370" s="108" t="inlineStr">
        <is>
          <t>CF PHARMTECH</t>
        </is>
      </c>
      <c r="C370" s="108" t="inlineStr">
        <is>
          <t>長風藥業</t>
        </is>
      </c>
      <c r="D370" s="108" t="inlineStr">
        <is>
          <t>Healthcare</t>
        </is>
      </c>
      <c r="E370" s="108" t="inlineStr">
        <is>
          <t>Biopharma commercial</t>
        </is>
      </c>
      <c r="F370" s="108" t="inlineStr">
        <is>
          <t>Pharmaceuticals</t>
        </is>
      </c>
      <c r="G370" s="108" t="inlineStr">
        <is>
          <t>Standard</t>
        </is>
      </c>
      <c r="H370" s="109" t="n">
        <v>45938</v>
      </c>
      <c r="I370" s="110" t="n">
        <v>607.7</v>
      </c>
      <c r="J370" s="108" t="inlineStr">
        <is>
          <t>gross (price x shares)</t>
        </is>
      </c>
      <c r="K370" s="129" t="n"/>
      <c r="L370" s="111" t="n">
        <v>14.75</v>
      </c>
      <c r="M370" s="111" t="n">
        <v>14.75</v>
      </c>
      <c r="N370" s="108" t="inlineStr">
        <is>
          <t>Y</t>
        </is>
      </c>
      <c r="O370" s="112" t="n">
        <v>100</v>
      </c>
      <c r="P370" s="118" t="n"/>
      <c r="Q370" s="113" t="n">
        <v>6076.7</v>
      </c>
      <c r="R370" s="108" t="inlineStr">
        <is>
          <t>derived:price x shares upon listing</t>
        </is>
      </c>
      <c r="S370" s="114" t="n">
        <v>6697.8</v>
      </c>
      <c r="T370" s="115" t="n">
        <v>12.74</v>
      </c>
      <c r="U370" s="116" t="n">
        <v>0</v>
      </c>
      <c r="V370" s="117" t="n">
        <v>70</v>
      </c>
      <c r="W370" s="112" t="n">
        <v>10</v>
      </c>
      <c r="X370" s="108" t="inlineStr">
        <is>
          <t>NA</t>
        </is>
      </c>
      <c r="Y370" s="113" t="n">
        <v>607.7</v>
      </c>
      <c r="Z370" s="113" t="n">
        <v>41198000</v>
      </c>
      <c r="AA370" s="112" t="n">
        <v>10</v>
      </c>
      <c r="AB370" s="108" t="inlineStr">
        <is>
          <t>none — no cornerstone tranche</t>
        </is>
      </c>
      <c r="AC370" s="108" t="inlineStr">
        <is>
          <t>none</t>
        </is>
      </c>
      <c r="AD370" s="118" t="n"/>
      <c r="AE370" s="119" t="n"/>
      <c r="AF370" s="119" t="n"/>
      <c r="AG370" s="119" t="n"/>
      <c r="AH370" s="119" t="n"/>
      <c r="AI370" s="120" t="n">
        <v>227.46</v>
      </c>
      <c r="AJ370" s="121" t="n">
        <v>161.02</v>
      </c>
      <c r="AK370" s="121" t="n">
        <v>1.1</v>
      </c>
      <c r="AL370" s="121" t="n">
        <v>218.64</v>
      </c>
      <c r="AM370" s="121" t="n">
        <v>-18.08</v>
      </c>
      <c r="AN370" s="123" t="n">
        <v>3.29</v>
      </c>
      <c r="AO370" s="112" t="n">
        <v>24.13</v>
      </c>
      <c r="AP370" s="121" t="n">
        <v>94.58</v>
      </c>
      <c r="AQ370" s="121" t="n">
        <v>89.83</v>
      </c>
      <c r="AR370" s="121" t="n">
        <v>112.88</v>
      </c>
      <c r="AS370" s="121" t="n">
        <v>-25.45</v>
      </c>
      <c r="AT370" s="121" t="n">
        <v>-27.27</v>
      </c>
      <c r="AU370" s="121" t="n">
        <v>-18.44</v>
      </c>
      <c r="AV370" s="121" t="n">
        <v>103.84</v>
      </c>
      <c r="AW370" s="121" t="n">
        <v>102.26</v>
      </c>
      <c r="AX370" s="121" t="n">
        <v>122.87</v>
      </c>
      <c r="AY370" s="121" t="n">
        <v>-13.89</v>
      </c>
      <c r="AZ370" s="121" t="n">
        <v>-12.43</v>
      </c>
      <c r="BA370" s="121" t="n">
        <v>-13.38</v>
      </c>
      <c r="BB370" s="108" t="inlineStr">
        <is>
          <t>China Biotech ETF (HS biotech proxy)</t>
        </is>
      </c>
      <c r="BC370" s="121" t="n">
        <v>-53.56</v>
      </c>
      <c r="BD370" s="109" t="n">
        <v>46297</v>
      </c>
      <c r="BE370" s="110" t="n">
        <v>668.5</v>
      </c>
      <c r="BF370" s="131" t="n"/>
      <c r="BG370" s="108" t="inlineStr">
        <is>
          <t>Y</t>
        </is>
      </c>
      <c r="BH370" s="124">
        <f>IF('BBG Verify'!O370="","not filed; run on terminal",'BBG Verify'!O370)</f>
        <v/>
      </c>
      <c r="BI370" s="122" t="n"/>
      <c r="BJ370" s="122" t="n"/>
      <c r="BK370" s="123" t="n">
        <v>9.1</v>
      </c>
      <c r="BL370" s="124">
        <f>IF('BBG Verify'!S370="","not filed; run on terminal",'BBG Verify'!S370)</f>
        <v/>
      </c>
      <c r="BM370" s="125" t="inlineStr">
        <is>
          <t>N</t>
        </is>
      </c>
      <c r="BN370" s="126">
        <f>IF('BBG Verify'!K370="","not filed; run on terminal",'BBG Verify'!K370)</f>
        <v/>
      </c>
      <c r="BO370" s="108" t="inlineStr">
        <is>
          <t>N/A</t>
        </is>
      </c>
      <c r="BP370" s="108" t="inlineStr">
        <is>
          <t>N/A</t>
        </is>
      </c>
      <c r="BQ370" s="108" t="inlineStr">
        <is>
          <t>N/A</t>
        </is>
      </c>
      <c r="BR370" s="108" t="inlineStr">
        <is>
          <t>N/A</t>
        </is>
      </c>
      <c r="BS370" s="108" t="inlineStr">
        <is>
          <t>N/A</t>
        </is>
      </c>
      <c r="BT370" s="108" t="inlineStr">
        <is>
          <t>N/A</t>
        </is>
      </c>
      <c r="BU370" s="125" t="inlineStr">
        <is>
          <t>CITIC Securities (Hong Kong) Limited; CMB International Capital Limited</t>
        </is>
      </c>
      <c r="BV370" s="108" t="inlineStr">
        <is>
          <t>CITIC Securities (Hong Kong) Limited</t>
        </is>
      </c>
      <c r="BW370" s="108" t="inlineStr">
        <is>
          <t>CLSA Limited; CMB International Capital Limited; CCB International Capital Limited; Shenwan Hongyuan Securities (H.K.) Limited; SPDB International Capital Limited; SDICS International Securities (Hong Kong) Limited; ICBC International Securities Limited; Central China International Securities Co., Limited; BOCOM International Securities Limited; Guosen Securities (HK) Brokerage Company, Limited</t>
        </is>
      </c>
      <c r="BX370" s="108" t="inlineStr">
        <is>
          <t>ABCI Securities Company Limited; BOCOM International Securities Limited; CCB International Capital Limited; Central China International Securities Co., Limited; CLSA Limited; CMB International Capital Limited; Guosen Securities (HK) Brokerage Company, Limited; ICBC International Securities Limited; SDICS International Securities (Hong Kong) Limited; Shenwan Hongyuan Securities (H.K.) Limited; SPDB International Capital Limited; Soochow Securities International Brokerage Limited</t>
        </is>
      </c>
      <c r="BY370" s="127">
        <f>HYPERLINK("https://www1.hkexnews.hk/listedco/listconews/sehk/2025/0926/2025092600041.pdf","prospectus")</f>
        <v/>
      </c>
      <c r="BZ370" s="127">
        <f>HYPERLINK("https://www1.hkexnews.hk/listedco/listconews/sehk/2025/1006/2025100601430.pdf","allotment")</f>
        <v/>
      </c>
      <c r="CA370" s="119" t="n"/>
      <c r="CB370" s="128" t="n"/>
      <c r="CC370" s="108" t="inlineStr">
        <is>
          <t>P/E: withheld: 1,558x fails the 300x plausibility cap; extracted net income HK$3.9m suspect; greenshoe: no over-allotment option; range low: maximum offer price only, no floor published; cornerstone list: no cornerstone tranche; greenshoe size: no over-allotment option; stabilising manager: no over-allotment option, so none appointed; financials: not extractable; pre-IPO year outside the AAStocks window</t>
        </is>
      </c>
    </row>
    <row r="371" ht="22" customHeight="1">
      <c r="A371" s="107" t="inlineStr">
        <is>
          <t>2650</t>
        </is>
      </c>
      <c r="B371" s="108" t="inlineStr">
        <is>
          <t>ZHIDA TECH</t>
        </is>
      </c>
      <c r="C371" s="108" t="inlineStr">
        <is>
          <t>摯達科技</t>
        </is>
      </c>
      <c r="D371" s="108" t="inlineStr">
        <is>
          <t>Consumer</t>
        </is>
      </c>
      <c r="E371" s="108" t="inlineStr">
        <is>
          <t>Auto parts / supply chain</t>
        </is>
      </c>
      <c r="F371" s="108" t="inlineStr">
        <is>
          <t>Auto Parts &amp; Equipment</t>
        </is>
      </c>
      <c r="G371" s="108" t="inlineStr">
        <is>
          <t>Standard</t>
        </is>
      </c>
      <c r="H371" s="109" t="n">
        <v>45940</v>
      </c>
      <c r="I371" s="110" t="n">
        <v>400.12</v>
      </c>
      <c r="J371" s="108" t="inlineStr">
        <is>
          <t>gross (stated)</t>
        </is>
      </c>
      <c r="K371" s="111" t="n">
        <v>66.92</v>
      </c>
      <c r="L371" s="111" t="n">
        <v>83.63</v>
      </c>
      <c r="M371" s="111" t="n">
        <v>66.92</v>
      </c>
      <c r="N371" s="108" t="inlineStr">
        <is>
          <t>N</t>
        </is>
      </c>
      <c r="O371" s="112" t="n">
        <v>80</v>
      </c>
      <c r="P371" s="112" t="n">
        <v>0</v>
      </c>
      <c r="Q371" s="113" t="n">
        <v>4001.1</v>
      </c>
      <c r="R371" s="108" t="inlineStr">
        <is>
          <t>derived:price x shares upon listing</t>
        </is>
      </c>
      <c r="S371" s="114" t="n">
        <v>5440.8</v>
      </c>
      <c r="T371" s="115" t="n">
        <v>2.37</v>
      </c>
      <c r="U371" s="116" t="n">
        <v>0</v>
      </c>
      <c r="V371" s="117" t="n">
        <v>129</v>
      </c>
      <c r="W371" s="112" t="n">
        <v>10</v>
      </c>
      <c r="X371" s="108" t="inlineStr">
        <is>
          <t>NA</t>
        </is>
      </c>
      <c r="Y371" s="113" t="n">
        <v>400.12</v>
      </c>
      <c r="Z371" s="113" t="n">
        <v>5978900</v>
      </c>
      <c r="AA371" s="112" t="n">
        <v>10</v>
      </c>
      <c r="AB371" s="108" t="inlineStr">
        <is>
          <t>none — no cornerstone tranche</t>
        </is>
      </c>
      <c r="AC371" s="108" t="inlineStr">
        <is>
          <t>none</t>
        </is>
      </c>
      <c r="AD371" s="112" t="n">
        <v>11.33</v>
      </c>
      <c r="AE371" s="108" t="inlineStr">
        <is>
          <t>lapsed</t>
        </is>
      </c>
      <c r="AF371" s="108" t="inlineStr">
        <is>
          <t>2025-11-05</t>
        </is>
      </c>
      <c r="AG371" s="108" t="inlineStr">
        <is>
          <t>Shenwan Hongyuan Securities</t>
        </is>
      </c>
      <c r="AH371" s="108" t="inlineStr">
        <is>
          <t>Shenwan Hongyuan</t>
        </is>
      </c>
      <c r="AI371" s="120" t="n">
        <v>181.38</v>
      </c>
      <c r="AJ371" s="121" t="n">
        <v>192.14</v>
      </c>
      <c r="AK371" s="121" t="n">
        <v>-2.65</v>
      </c>
      <c r="AL371" s="121" t="n">
        <v>183.92</v>
      </c>
      <c r="AM371" s="121" t="n">
        <v>2.9</v>
      </c>
      <c r="AN371" s="123" t="n">
        <v>2.61</v>
      </c>
      <c r="AO371" s="112" t="n">
        <v>13.58</v>
      </c>
      <c r="AP371" s="121" t="n">
        <v>171.22</v>
      </c>
      <c r="AQ371" s="121" t="n">
        <v>167.04</v>
      </c>
      <c r="AR371" s="121" t="n">
        <v>258.64</v>
      </c>
      <c r="AS371" s="121" t="n">
        <v>-7.16</v>
      </c>
      <c r="AT371" s="121" t="n">
        <v>-8.59</v>
      </c>
      <c r="AU371" s="121" t="n">
        <v>22.76</v>
      </c>
      <c r="AV371" s="121" t="n">
        <v>179.37</v>
      </c>
      <c r="AW371" s="121" t="n">
        <v>172.3</v>
      </c>
      <c r="AX371" s="121" t="n">
        <v>265.13</v>
      </c>
      <c r="AY371" s="121" t="n">
        <v>-5.91</v>
      </c>
      <c r="AZ371" s="121" t="n">
        <v>-5.26</v>
      </c>
      <c r="BA371" s="121" t="n">
        <v>-2.68</v>
      </c>
      <c r="BB371" s="108" t="inlineStr">
        <is>
          <t>Hang Seng Commerce &amp; Industry sub-index</t>
        </is>
      </c>
      <c r="BC371" s="121" t="n">
        <v>-51.36</v>
      </c>
      <c r="BD371" s="109" t="n">
        <v>46297</v>
      </c>
      <c r="BE371" s="110" t="n">
        <v>652.7</v>
      </c>
      <c r="BF371" s="113" t="n">
        <v>-259.5</v>
      </c>
      <c r="BG371" s="108" t="inlineStr">
        <is>
          <t>N</t>
        </is>
      </c>
      <c r="BH371" s="108" t="inlineStr">
        <is>
          <t>n/m</t>
        </is>
      </c>
      <c r="BI371" s="122" t="n"/>
      <c r="BJ371" s="122" t="n"/>
      <c r="BK371" s="123" t="n">
        <v>6.1</v>
      </c>
      <c r="BL371" s="124">
        <f>IF('BBG Verify'!S371="","not filed; run on terminal",'BBG Verify'!S371)</f>
        <v/>
      </c>
      <c r="BM371" s="125" t="inlineStr">
        <is>
          <t>N</t>
        </is>
      </c>
      <c r="BN371" s="126">
        <f>IF('BBG Verify'!K371="","not filed; run on terminal",'BBG Verify'!K371)</f>
        <v/>
      </c>
      <c r="BO371" s="108" t="inlineStr">
        <is>
          <t>N/A</t>
        </is>
      </c>
      <c r="BP371" s="108" t="inlineStr">
        <is>
          <t>N/A</t>
        </is>
      </c>
      <c r="BQ371" s="108" t="inlineStr">
        <is>
          <t>N/A</t>
        </is>
      </c>
      <c r="BR371" s="108" t="inlineStr">
        <is>
          <t>N/A</t>
        </is>
      </c>
      <c r="BS371" s="108" t="inlineStr">
        <is>
          <t>N/A</t>
        </is>
      </c>
      <c r="BT371" s="108" t="inlineStr">
        <is>
          <t>N/A</t>
        </is>
      </c>
      <c r="BU371" s="125" t="inlineStr">
        <is>
          <t>Shenwan Hongyuan Capital (H.K.) Limited</t>
        </is>
      </c>
      <c r="BV371" s="108" t="inlineStr">
        <is>
          <t>Shenwan Hongyuan Capital (H.K.) Limited</t>
        </is>
      </c>
      <c r="BW371" s="108" t="inlineStr">
        <is>
          <t>Shenwan Hongyuan Securities (H.K.) Limited; BOCOM International Securities Limited; First Shanghai Securities Limited; China Industrial Securities International Capital Limited; Livermore Holdings Limited; SPDB International Capital Limited</t>
        </is>
      </c>
      <c r="BX371" s="108" t="inlineStr">
        <is>
          <t>BOCOM International Securities Limited; China Industrial Securities International Capital Limited; First Shanghai Securities Limited; Livermore Holdings Limited; Shenwan Hongyuan Securities (H.K.) Limited; SPDB International Capital Limited; West Bull Securities Limited; Yuen Meta (International) Securities Limited; Yellow River Securities Limited</t>
        </is>
      </c>
      <c r="BY371" s="127">
        <f>HYPERLINK("https://www1.hkexnews.hk/listedco/listconews/sehk/2025/0930/2025093000033.pdf","prospectus")</f>
        <v/>
      </c>
      <c r="BZ371" s="127">
        <f>HYPERLINK("https://www1.hkexnews.hk/listedco/listconews/sehk/2025/1009/2025100901252.pdf","allotment")</f>
        <v/>
      </c>
      <c r="CA371" s="127">
        <f>HYPERLINK("https://www1.hkexnews.hk/listedco/listconews/sehk/2025/1105/2025110500584.pdf","stabilisation")</f>
        <v/>
      </c>
      <c r="CB371" s="128" t="n"/>
      <c r="CC371" s="108" t="inlineStr">
        <is>
          <t>P/E: loss-making at IPO, use P/S; market cap: prospectus 'market capitalisation' line is the listing-rule threshold, not the issuer's figure; rejected; cornerstone list: no cornerstone tranche</t>
        </is>
      </c>
    </row>
    <row r="372" ht="22" customHeight="1">
      <c r="A372" s="107" t="inlineStr">
        <is>
          <t>2575</t>
        </is>
      </c>
      <c r="B372" s="108" t="inlineStr">
        <is>
          <t>XUANZHUBIO-B</t>
        </is>
      </c>
      <c r="C372" s="108" t="inlineStr">
        <is>
          <t>軒竹生物－Ｂ</t>
        </is>
      </c>
      <c r="D372" s="108" t="inlineStr">
        <is>
          <t>Healthcare</t>
        </is>
      </c>
      <c r="E372" s="108" t="inlineStr">
        <is>
          <t>Biotech pre-revenue (18A)</t>
        </is>
      </c>
      <c r="F372" s="108" t="inlineStr">
        <is>
          <t>Biotechnology - Pharmaceuticals</t>
        </is>
      </c>
      <c r="G372" s="108" t="inlineStr">
        <is>
          <t>18A</t>
        </is>
      </c>
      <c r="H372" s="109" t="n">
        <v>45945</v>
      </c>
      <c r="I372" s="110" t="n">
        <v>781.1</v>
      </c>
      <c r="J372" s="108" t="inlineStr">
        <is>
          <t>gross (stated)</t>
        </is>
      </c>
      <c r="K372" s="129" t="n"/>
      <c r="L372" s="111" t="n">
        <v>11.6</v>
      </c>
      <c r="M372" s="111" t="n">
        <v>11.6</v>
      </c>
      <c r="N372" s="108" t="inlineStr">
        <is>
          <t>Y</t>
        </is>
      </c>
      <c r="O372" s="112" t="n">
        <v>100</v>
      </c>
      <c r="P372" s="118" t="n"/>
      <c r="Q372" s="113" t="n">
        <v>6008.2</v>
      </c>
      <c r="R372" s="108" t="inlineStr">
        <is>
          <t>derived:price x shares upon listing</t>
        </is>
      </c>
      <c r="S372" s="114" t="n">
        <v>4908.33</v>
      </c>
      <c r="T372" s="115" t="n">
        <v>10.15</v>
      </c>
      <c r="U372" s="116" t="n">
        <v>9.81</v>
      </c>
      <c r="V372" s="117" t="n">
        <v>105</v>
      </c>
      <c r="W372" s="118" t="n"/>
      <c r="X372" s="108" t="inlineStr">
        <is>
          <t>NA</t>
        </is>
      </c>
      <c r="Y372" s="113" t="n">
        <v>704.47</v>
      </c>
      <c r="Z372" s="113" t="n">
        <v>60728084</v>
      </c>
      <c r="AA372" s="112" t="n">
        <v>11.73</v>
      </c>
      <c r="AB372" s="108" t="inlineStr">
        <is>
          <t>Beijing Denov Ruilang Phase XV Equity Investment Fund Center (Limited Partnership)</t>
        </is>
      </c>
      <c r="AC372" s="108" t="inlineStr">
        <is>
          <t>beijing-denov</t>
        </is>
      </c>
      <c r="AD372" s="112" t="n">
        <v>15</v>
      </c>
      <c r="AE372" s="119" t="n"/>
      <c r="AF372" s="119" t="n"/>
      <c r="AG372" s="119" t="n"/>
      <c r="AH372" s="119" t="n"/>
      <c r="AI372" s="120" t="n">
        <v>172.41</v>
      </c>
      <c r="AJ372" s="121" t="n">
        <v>126.72</v>
      </c>
      <c r="AK372" s="121" t="n">
        <v>1.96</v>
      </c>
      <c r="AL372" s="121" t="n">
        <v>153.97</v>
      </c>
      <c r="AM372" s="121" t="n">
        <v>-10.73</v>
      </c>
      <c r="AN372" s="122" t="n"/>
      <c r="AO372" s="112" t="n">
        <v>15.95</v>
      </c>
      <c r="AP372" s="121" t="n">
        <v>417.24</v>
      </c>
      <c r="AQ372" s="121" t="n">
        <v>451.29</v>
      </c>
      <c r="AR372" s="121" t="n">
        <v>509.05</v>
      </c>
      <c r="AS372" s="121" t="n">
        <v>128.14</v>
      </c>
      <c r="AT372" s="121" t="n">
        <v>143.16</v>
      </c>
      <c r="AU372" s="121" t="n">
        <v>168.64</v>
      </c>
      <c r="AV372" s="121" t="n">
        <v>416.05</v>
      </c>
      <c r="AW372" s="121" t="n">
        <v>448.13</v>
      </c>
      <c r="AX372" s="121" t="n">
        <v>508.14</v>
      </c>
      <c r="AY372" s="121" t="n">
        <v>141.98</v>
      </c>
      <c r="AZ372" s="121" t="n">
        <v>3.16</v>
      </c>
      <c r="BA372" s="121" t="n">
        <v>1.18</v>
      </c>
      <c r="BB372" s="108" t="inlineStr">
        <is>
          <t>China Biotech ETF (HS biotech proxy)</t>
        </is>
      </c>
      <c r="BC372" s="121" t="n">
        <v>-24.35</v>
      </c>
      <c r="BD372" s="109" t="n">
        <v>46297</v>
      </c>
      <c r="BE372" s="110" t="n">
        <v>17.6</v>
      </c>
      <c r="BF372" s="113" t="n">
        <v>-612.1</v>
      </c>
      <c r="BG372" s="108" t="inlineStr">
        <is>
          <t>N</t>
        </is>
      </c>
      <c r="BH372" s="108" t="inlineStr">
        <is>
          <t>n/m</t>
        </is>
      </c>
      <c r="BI372" s="122" t="n"/>
      <c r="BJ372" s="122" t="n"/>
      <c r="BK372" s="123" t="n">
        <v>341.4</v>
      </c>
      <c r="BL372" s="124">
        <f>IF('BBG Verify'!S372="","not filed; run on terminal",'BBG Verify'!S372)</f>
        <v/>
      </c>
      <c r="BM372" s="125" t="inlineStr">
        <is>
          <t>N</t>
        </is>
      </c>
      <c r="BN372" s="126">
        <f>IF('BBG Verify'!K372="","not filed; run on terminal",'BBG Verify'!K372)</f>
        <v/>
      </c>
      <c r="BO372" s="108" t="inlineStr">
        <is>
          <t>N/A</t>
        </is>
      </c>
      <c r="BP372" s="108" t="inlineStr">
        <is>
          <t>N/A</t>
        </is>
      </c>
      <c r="BQ372" s="108" t="inlineStr">
        <is>
          <t>N/A</t>
        </is>
      </c>
      <c r="BR372" s="108" t="inlineStr">
        <is>
          <t>N/A</t>
        </is>
      </c>
      <c r="BS372" s="108" t="inlineStr">
        <is>
          <t>N/A</t>
        </is>
      </c>
      <c r="BT372" s="108" t="inlineStr">
        <is>
          <t>N/A</t>
        </is>
      </c>
      <c r="BU372" s="125" t="inlineStr">
        <is>
          <t>First Shanghai Capital Limited; CMB Wing Lung Bank Limited; China CITIC Bank International Limited; Ms. Wang Y u ( ˮρ) H Share Registrar Computershare Hong Kong Investor Services Limited</t>
        </is>
      </c>
      <c r="BV372" s="108" t="inlineStr">
        <is>
          <t>China International Capital Corporation Hong Kong Securities Limited</t>
        </is>
      </c>
      <c r="BW372" s="108" t="inlineStr">
        <is>
          <t>China International Capital Corporation Hong Kong Securities Limited; CMB International Capital Limited</t>
        </is>
      </c>
      <c r="BX372" s="108" t="inlineStr">
        <is>
          <t>China International Capital Corporation Hong Kong Securities Limited; CMB International Capital Limited</t>
        </is>
      </c>
      <c r="BY372" s="127">
        <f>HYPERLINK("https://www1.hkexnews.hk/listedco/listconews/sehk/2025/1006/2025100600007.pdf","prospectus")</f>
        <v/>
      </c>
      <c r="BZ372" s="127">
        <f>HYPERLINK("https://www1.hkexnews.hk/listedco/listconews/sehk/2025/1014/2025101401222.pdf","allotment")</f>
        <v/>
      </c>
      <c r="CA372" s="119" t="n"/>
      <c r="CB372" s="128" t="n"/>
      <c r="CC372" s="108" t="inlineStr">
        <is>
          <t>P/E: loss-making at IPO, use P/S; greenshoe: end-of-stabilisation notice not found; range low: maximum offer price only, no floor published; P/S: 341x on HK$17.6m revenue, effectively pre-revenue; not comparable; stabilising manager: not named in the allotment notice or prospectus glossary; allocation: allocation table not in this notice's format (older prose announcement); day-1 tape: volume on file; the retail multiple needs the final public split, which this notice does not state</t>
        </is>
      </c>
    </row>
    <row r="373" ht="22" customHeight="1">
      <c r="A373" s="107" t="inlineStr">
        <is>
          <t>2670</t>
        </is>
      </c>
      <c r="B373" s="108" t="inlineStr">
        <is>
          <t>YUNJI</t>
        </is>
      </c>
      <c r="C373" s="108" t="inlineStr">
        <is>
          <t>雲迹</t>
        </is>
      </c>
      <c r="D373" s="108" t="inlineStr">
        <is>
          <t>Tech/AI</t>
        </is>
      </c>
      <c r="E373" s="108" t="inlineStr">
        <is>
          <t>Robotics &amp; autonomous driving</t>
        </is>
      </c>
      <c r="F373" s="108" t="inlineStr">
        <is>
          <t>Advanced hardware and software</t>
        </is>
      </c>
      <c r="G373" s="108" t="inlineStr">
        <is>
          <t>18C</t>
        </is>
      </c>
      <c r="H373" s="109" t="n">
        <v>45946</v>
      </c>
      <c r="I373" s="110" t="n">
        <v>659.6</v>
      </c>
      <c r="J373" s="108" t="inlineStr">
        <is>
          <t>gross (stated)</t>
        </is>
      </c>
      <c r="K373" s="129" t="n"/>
      <c r="L373" s="111" t="n">
        <v>95.59999999999999</v>
      </c>
      <c r="M373" s="111" t="n">
        <v>95.59999999999999</v>
      </c>
      <c r="N373" s="108" t="inlineStr">
        <is>
          <t>Y</t>
        </is>
      </c>
      <c r="O373" s="112" t="n">
        <v>100</v>
      </c>
      <c r="P373" s="118" t="n"/>
      <c r="Q373" s="113" t="n">
        <v>5886</v>
      </c>
      <c r="R373" s="108" t="inlineStr">
        <is>
          <t>prospectus:stated market capitalisation</t>
        </is>
      </c>
      <c r="S373" s="114" t="n">
        <v>5657.2</v>
      </c>
      <c r="T373" s="115" t="n">
        <v>18.62</v>
      </c>
      <c r="U373" s="116" t="n">
        <v>0</v>
      </c>
      <c r="V373" s="117" t="n">
        <v>83</v>
      </c>
      <c r="W373" s="112" t="n">
        <v>20</v>
      </c>
      <c r="X373" s="108" t="inlineStr">
        <is>
          <t>YES</t>
        </is>
      </c>
      <c r="Y373" s="113" t="n">
        <v>659.6</v>
      </c>
      <c r="Z373" s="113" t="n">
        <v>6900000</v>
      </c>
      <c r="AA373" s="112" t="n">
        <v>11.21</v>
      </c>
      <c r="AB373" s="108" t="inlineStr">
        <is>
          <t>none — no cornerstone tranche</t>
        </is>
      </c>
      <c r="AC373" s="108" t="inlineStr">
        <is>
          <t>none</t>
        </is>
      </c>
      <c r="AD373" s="112" t="n">
        <v>15</v>
      </c>
      <c r="AE373" s="108" t="inlineStr">
        <is>
          <t>full</t>
        </is>
      </c>
      <c r="AF373" s="108" t="inlineStr">
        <is>
          <t>2025-11-12</t>
        </is>
      </c>
      <c r="AG373" s="108" t="inlineStr">
        <is>
          <t>CLSA Limited</t>
        </is>
      </c>
      <c r="AH373" s="108" t="inlineStr">
        <is>
          <t>CLSA</t>
        </is>
      </c>
      <c r="AI373" s="120" t="n">
        <v>53.77</v>
      </c>
      <c r="AJ373" s="121" t="n">
        <v>26.05</v>
      </c>
      <c r="AK373" s="121" t="n">
        <v>-1.17</v>
      </c>
      <c r="AL373" s="121" t="n">
        <v>49.37</v>
      </c>
      <c r="AM373" s="121" t="n">
        <v>-15.61</v>
      </c>
      <c r="AN373" s="123" t="n">
        <v>2.34</v>
      </c>
      <c r="AO373" s="112" t="n">
        <v>15.9</v>
      </c>
      <c r="AP373" s="121" t="n">
        <v>29.18</v>
      </c>
      <c r="AQ373" s="121" t="n">
        <v>18.2</v>
      </c>
      <c r="AR373" s="121" t="n">
        <v>23.74</v>
      </c>
      <c r="AS373" s="121" t="n">
        <v>2.48</v>
      </c>
      <c r="AT373" s="121" t="n">
        <v>-6.23</v>
      </c>
      <c r="AU373" s="121" t="n">
        <v>-1.83</v>
      </c>
      <c r="AV373" s="121" t="n">
        <v>31.36</v>
      </c>
      <c r="AW373" s="121" t="n">
        <v>23.4</v>
      </c>
      <c r="AX373" s="121" t="n">
        <v>29.28</v>
      </c>
      <c r="AY373" s="121" t="n">
        <v>-2.16</v>
      </c>
      <c r="AZ373" s="121" t="n">
        <v>-5.2</v>
      </c>
      <c r="BA373" s="121" t="n">
        <v>-4.07</v>
      </c>
      <c r="BB373" s="108" t="inlineStr">
        <is>
          <t>HSTECH (Hang Seng TECH ETF)</t>
        </is>
      </c>
      <c r="BC373" s="121" t="n">
        <v>-37.81</v>
      </c>
      <c r="BD373" s="109" t="n">
        <v>46297</v>
      </c>
      <c r="BE373" s="110" t="n">
        <v>269.3</v>
      </c>
      <c r="BF373" s="113" t="n">
        <v>-64</v>
      </c>
      <c r="BG373" s="108" t="inlineStr">
        <is>
          <t>N</t>
        </is>
      </c>
      <c r="BH373" s="108" t="inlineStr">
        <is>
          <t>n/m</t>
        </is>
      </c>
      <c r="BI373" s="122" t="n"/>
      <c r="BJ373" s="122" t="n"/>
      <c r="BK373" s="123" t="n">
        <v>21.9</v>
      </c>
      <c r="BL373" s="124">
        <f>IF('BBG Verify'!S373="","not filed; run on terminal",'BBG Verify'!S373)</f>
        <v/>
      </c>
      <c r="BM373" s="125" t="inlineStr">
        <is>
          <t>N</t>
        </is>
      </c>
      <c r="BN373" s="126">
        <f>IF('BBG Verify'!K373="","not filed; run on terminal",'BBG Verify'!K373)</f>
        <v/>
      </c>
      <c r="BO373" s="108" t="inlineStr">
        <is>
          <t>N/A</t>
        </is>
      </c>
      <c r="BP373" s="108" t="inlineStr">
        <is>
          <t>N/A</t>
        </is>
      </c>
      <c r="BQ373" s="108" t="inlineStr">
        <is>
          <t>N/A</t>
        </is>
      </c>
      <c r="BR373" s="108" t="inlineStr">
        <is>
          <t>N/A</t>
        </is>
      </c>
      <c r="BS373" s="108" t="inlineStr">
        <is>
          <t>N/A</t>
        </is>
      </c>
      <c r="BT373" s="108" t="inlineStr">
        <is>
          <t>N/A</t>
        </is>
      </c>
      <c r="BU373" s="125" t="inlineStr">
        <is>
          <t>CITIC Securities (Hong Kong) Limited; CCB International Capital Limited</t>
        </is>
      </c>
      <c r="BV373" s="108" t="inlineStr">
        <is>
          <t>CCB International Capital Limited; CITIC Securities (Hong Kong) Limited</t>
        </is>
      </c>
      <c r="BW373" s="108" t="inlineStr">
        <is>
          <t>CLSA Limited; CCB International Capital Limited; SDICS International Securities (Hong Kong) Limited; Futu Securities International (Hong Kong) Limited; Fuze Securities (International) Limited; SPDB International Capital Limited; Tiger Brokers (HK) Global Limited</t>
        </is>
      </c>
      <c r="BX373" s="108" t="inlineStr">
        <is>
          <t>CCB International Capital Limited; China Harbour International Securities Limited; CLSA Limited; Futu Securities International (Hong Kong) Limited; FUZE SECURITIES (INTERNATIONAL) LIMITED; SDICS International Securities (Hong Kong) Limited; SPDB International Capital Limited; Tiger Brokers (HK) Global Limited</t>
        </is>
      </c>
      <c r="BY373" s="127">
        <f>HYPERLINK("https://www1.hkexnews.hk/listedco/listconews/sehk/2025/1008/2025100800003.pdf","prospectus")</f>
        <v/>
      </c>
      <c r="BZ373" s="127">
        <f>HYPERLINK("https://www1.hkexnews.hk/listedco/listconews/sehk/2025/1015/2025101501398.pdf","allotment")</f>
        <v/>
      </c>
      <c r="CA373" s="127">
        <f>HYPERLINK("https://www1.hkexnews.hk/listedco/listconews/sehk/2025/1112/2025111201502.pdf","stabilisation")</f>
        <v/>
      </c>
      <c r="CB373" s="128" t="n"/>
      <c r="CC373" s="108" t="inlineStr">
        <is>
          <t>P/E: loss-making at IPO, use P/S; range low: maximum offer price only, no floor published; cornerstone list: no cornerstone tranche</t>
        </is>
      </c>
    </row>
    <row r="374" ht="22" customHeight="1">
      <c r="A374" s="107" t="inlineStr">
        <is>
          <t>2637</t>
        </is>
      </c>
      <c r="B374" s="108" t="inlineStr">
        <is>
          <t>HAIXI PHARMA</t>
        </is>
      </c>
      <c r="C374" s="108" t="inlineStr">
        <is>
          <t>海西新藥</t>
        </is>
      </c>
      <c r="D374" s="108" t="inlineStr">
        <is>
          <t>Healthcare</t>
        </is>
      </c>
      <c r="E374" s="108" t="inlineStr">
        <is>
          <t>Biopharma commercial</t>
        </is>
      </c>
      <c r="F374" s="108" t="inlineStr">
        <is>
          <t>Pharmaceuticals</t>
        </is>
      </c>
      <c r="G374" s="108" t="inlineStr">
        <is>
          <t>Standard</t>
        </is>
      </c>
      <c r="H374" s="109" t="n">
        <v>45950</v>
      </c>
      <c r="I374" s="110" t="n">
        <v>993.6</v>
      </c>
      <c r="J374" s="108" t="inlineStr">
        <is>
          <t>gross (stated)</t>
        </is>
      </c>
      <c r="K374" s="111" t="n">
        <v>69.88</v>
      </c>
      <c r="L374" s="111" t="n">
        <v>86.40000000000001</v>
      </c>
      <c r="M374" s="111" t="n">
        <v>86.40000000000001</v>
      </c>
      <c r="N374" s="108" t="inlineStr">
        <is>
          <t>Y</t>
        </is>
      </c>
      <c r="O374" s="112" t="n">
        <v>100</v>
      </c>
      <c r="P374" s="112" t="n">
        <v>100</v>
      </c>
      <c r="Q374" s="113" t="n">
        <v>6800.3</v>
      </c>
      <c r="R374" s="108" t="inlineStr">
        <is>
          <t>derived:price x shares upon listing</t>
        </is>
      </c>
      <c r="S374" s="114" t="n">
        <v>3165.1</v>
      </c>
      <c r="T374" s="115" t="n">
        <v>6.3</v>
      </c>
      <c r="U374" s="116" t="n">
        <v>17.23</v>
      </c>
      <c r="V374" s="117" t="n">
        <v>46</v>
      </c>
      <c r="W374" s="112" t="n">
        <v>10</v>
      </c>
      <c r="X374" s="108" t="inlineStr">
        <is>
          <t>NO</t>
        </is>
      </c>
      <c r="Y374" s="113" t="n">
        <v>822.4</v>
      </c>
      <c r="Z374" s="113" t="n">
        <v>9518550</v>
      </c>
      <c r="AA374" s="112" t="n">
        <v>12.09</v>
      </c>
      <c r="AB374" s="108" t="inlineStr">
        <is>
          <t>Harvest International Premium Value (Secondary Market) Fund SPC acting on behalf of and for the account of Harvest Oriental SP</t>
        </is>
      </c>
      <c r="AC374" s="108" t="inlineStr">
        <is>
          <t>harvest</t>
        </is>
      </c>
      <c r="AD374" s="118" t="n"/>
      <c r="AE374" s="119" t="n"/>
      <c r="AF374" s="119" t="n"/>
      <c r="AG374" s="119" t="n"/>
      <c r="AH374" s="119" t="n"/>
      <c r="AI374" s="120" t="n">
        <v>24.54</v>
      </c>
      <c r="AJ374" s="121" t="n">
        <v>20.6</v>
      </c>
      <c r="AK374" s="121" t="n">
        <v>0.59</v>
      </c>
      <c r="AL374" s="121" t="n">
        <v>18.06</v>
      </c>
      <c r="AM374" s="121" t="n">
        <v>2.15</v>
      </c>
      <c r="AN374" s="123" t="n">
        <v>2.09</v>
      </c>
      <c r="AO374" s="112" t="n">
        <v>17.45</v>
      </c>
      <c r="AP374" s="121" t="n">
        <v>30.67</v>
      </c>
      <c r="AQ374" s="121" t="n">
        <v>47.57</v>
      </c>
      <c r="AR374" s="121" t="n">
        <v>62.85</v>
      </c>
      <c r="AS374" s="121" t="n">
        <v>8.35</v>
      </c>
      <c r="AT374" s="121" t="n">
        <v>22.36</v>
      </c>
      <c r="AU374" s="121" t="n">
        <v>35.03</v>
      </c>
      <c r="AV374" s="121" t="n">
        <v>29.21</v>
      </c>
      <c r="AW374" s="121" t="n">
        <v>49.17</v>
      </c>
      <c r="AX374" s="121" t="n">
        <v>66.48</v>
      </c>
      <c r="AY374" s="121" t="n">
        <v>24.53</v>
      </c>
      <c r="AZ374" s="121" t="n">
        <v>-1.6</v>
      </c>
      <c r="BA374" s="121" t="n">
        <v>-2.17</v>
      </c>
      <c r="BB374" s="108" t="inlineStr">
        <is>
          <t>China Biotech ETF (HS biotech proxy)</t>
        </is>
      </c>
      <c r="BC374" s="121" t="n">
        <v>88.66</v>
      </c>
      <c r="BD374" s="109" t="n">
        <v>46297</v>
      </c>
      <c r="BE374" s="110" t="n">
        <v>513.4</v>
      </c>
      <c r="BF374" s="113" t="n">
        <v>149.7</v>
      </c>
      <c r="BG374" s="108" t="inlineStr">
        <is>
          <t>Y</t>
        </is>
      </c>
      <c r="BH374" s="123" t="n">
        <v>45.4</v>
      </c>
      <c r="BI374" s="122" t="n"/>
      <c r="BJ374" s="122" t="n"/>
      <c r="BK374" s="123" t="n">
        <v>13.2</v>
      </c>
      <c r="BL374" s="124">
        <f>IF('BBG Verify'!S374="","not filed; run on terminal",'BBG Verify'!S374)</f>
        <v/>
      </c>
      <c r="BM374" s="125" t="inlineStr">
        <is>
          <t>N</t>
        </is>
      </c>
      <c r="BN374" s="126">
        <f>IF('BBG Verify'!K374="","not filed; run on terminal",'BBG Verify'!K374)</f>
        <v/>
      </c>
      <c r="BO374" s="108" t="inlineStr">
        <is>
          <t>N/A</t>
        </is>
      </c>
      <c r="BP374" s="108" t="inlineStr">
        <is>
          <t>N/A</t>
        </is>
      </c>
      <c r="BQ374" s="108" t="inlineStr">
        <is>
          <t>N/A</t>
        </is>
      </c>
      <c r="BR374" s="108" t="inlineStr">
        <is>
          <t>N/A</t>
        </is>
      </c>
      <c r="BS374" s="108" t="inlineStr">
        <is>
          <t>N/A</t>
        </is>
      </c>
      <c r="BT374" s="108" t="inlineStr">
        <is>
          <t>N/A</t>
        </is>
      </c>
      <c r="BU374" s="125" t="inlineStr">
        <is>
          <t>Huatai Financial Holdings (Hong Kong) Limited; CMB International Capital Limited</t>
        </is>
      </c>
      <c r="BV374" s="108" t="inlineStr">
        <is>
          <t>Huatai Financial Holdings (Hong Kong) Limited; CMB International Capital Limited</t>
        </is>
      </c>
      <c r="BW374" s="108" t="inlineStr">
        <is>
          <t>Huatai Financial Holdings (Hong Kong) Limited; SDICS International Securities (Hong Kong) Limited; CMB International Capital Limited; Guosen Securities (HK) Brokerage Company, Limited; Futu Securities International (Hong Kong) Limited; China Industrial Securities International Capital Limited; Zhongtai International Securities Limited</t>
        </is>
      </c>
      <c r="BX374" s="108" t="inlineStr">
        <is>
          <t>China Industrial Securities International Capital Limited; CMBC Securities Company Limited; CMB International Capital Corporation Limited; Futu Securities International (Hong Kong) Limited; Guosen Securities (HK) Brokerage Company, Limited; Huatai Financial Holdings (Hong Kong) Limited; SDICS International Securities (Hong Kong) Limited; Zhongtai International Securities Limited</t>
        </is>
      </c>
      <c r="BY374" s="127">
        <f>HYPERLINK("https://www1.hkexnews.hk/listedco/listconews/sehk/2025/1009/2025100900041.pdf","prospectus")</f>
        <v/>
      </c>
      <c r="BZ374" s="127">
        <f>HYPERLINK("https://www1.hkexnews.hk/listedco/listconews/sehk/2025/1017/2025101701654.pdf","allotment")</f>
        <v/>
      </c>
      <c r="CA374" s="119" t="n"/>
      <c r="CB374" s="128" t="n"/>
      <c r="CC374" s="108" t="inlineStr">
        <is>
          <t>greenshoe: no over-allotment option; greenshoe size: no over-allotment option; stabilising manager: no over-allotment option, so none appointed</t>
        </is>
      </c>
    </row>
    <row r="375" ht="22" customHeight="1">
      <c r="A375" s="107" t="inlineStr">
        <is>
          <t>6687</t>
        </is>
      </c>
      <c r="B375" s="108" t="inlineStr">
        <is>
          <t>JST GROUP</t>
        </is>
      </c>
      <c r="C375" s="108" t="inlineStr">
        <is>
          <t>聚水潭</t>
        </is>
      </c>
      <c r="D375" s="108" t="inlineStr">
        <is>
          <t>Tech/AI</t>
        </is>
      </c>
      <c r="E375" s="108" t="inlineStr">
        <is>
          <t>SaaS / enterprise software</t>
        </is>
      </c>
      <c r="F375" s="108" t="inlineStr">
        <is>
          <t>Application Software</t>
        </is>
      </c>
      <c r="G375" s="108" t="inlineStr">
        <is>
          <t>Standard</t>
        </is>
      </c>
      <c r="H375" s="109" t="n">
        <v>45951</v>
      </c>
      <c r="I375" s="110" t="n">
        <v>2085.89</v>
      </c>
      <c r="J375" s="108" t="inlineStr">
        <is>
          <t>gross (stated)</t>
        </is>
      </c>
      <c r="K375" s="129" t="n"/>
      <c r="L375" s="111" t="n">
        <v>30.6</v>
      </c>
      <c r="M375" s="111" t="n">
        <v>30.6</v>
      </c>
      <c r="N375" s="108" t="inlineStr">
        <is>
          <t>Y</t>
        </is>
      </c>
      <c r="O375" s="112" t="n">
        <v>100</v>
      </c>
      <c r="P375" s="118" t="n"/>
      <c r="Q375" s="113" t="n">
        <v>13000</v>
      </c>
      <c r="R375" s="108" t="inlineStr">
        <is>
          <t>prospectus:stated market capitalisation</t>
        </is>
      </c>
      <c r="S375" s="114" t="n">
        <v>1952.95</v>
      </c>
      <c r="T375" s="115" t="n">
        <v>22.89</v>
      </c>
      <c r="U375" s="116" t="n">
        <v>48.5</v>
      </c>
      <c r="V375" s="117" t="n">
        <v>632</v>
      </c>
      <c r="W375" s="112" t="n">
        <v>10</v>
      </c>
      <c r="X375" s="108" t="inlineStr">
        <is>
          <t>NA</t>
        </is>
      </c>
      <c r="Y375" s="113" t="n">
        <v>1074.23</v>
      </c>
      <c r="Z375" s="113" t="n">
        <v>35105593</v>
      </c>
      <c r="AA375" s="112" t="n">
        <v>8.26</v>
      </c>
      <c r="AB375" s="108" t="inlineStr">
        <is>
          <t>Blue Lake Capital Opportunity Fund I, L.P; China Universal Asset Management Co., Ltd and China Universal Asset Management (Hong Kong) Company Limited , together with CUAM, each a Cornerstone Investor and collectively the CUAM Entities; Dymon Asia Multi-Strategy Investment Master Fund; Fourier Capital Management Limited; GRANITE ASIA VIII INVESTMENTS PTE. LTD; Greenwoods Asset Management Hong Kong Limited; GTCS Holdings Limited; HSG Growth VI Holdco F, Ltd; Jain Global Master Fund Ltd; Perseverance Asset Management International (Singapore) Pte. Ltd; Stoneylake Global Alpha Fund; WT Asset Management Limited; 3W Fund Management Limited</t>
        </is>
      </c>
      <c r="AC375" s="108" t="inlineStr">
        <is>
          <t>blue;universal;dymon;fourier;granite;greenwoods;gtcs;hsg;jain;perseverance;stoneylake;wt;3w</t>
        </is>
      </c>
      <c r="AD375" s="112" t="n">
        <v>15</v>
      </c>
      <c r="AE375" s="108" t="inlineStr">
        <is>
          <t>full</t>
        </is>
      </c>
      <c r="AF375" s="119" t="n"/>
      <c r="AG375" s="108" t="inlineStr">
        <is>
          <t>China International Capital Corporation Hong Kong Securities Limited</t>
        </is>
      </c>
      <c r="AH375" s="108" t="inlineStr">
        <is>
          <t>China International</t>
        </is>
      </c>
      <c r="AI375" s="120" t="n">
        <v>37.25</v>
      </c>
      <c r="AJ375" s="121" t="n">
        <v>23.86</v>
      </c>
      <c r="AK375" s="121" t="n">
        <v>1.29</v>
      </c>
      <c r="AL375" s="121" t="n">
        <v>24.18</v>
      </c>
      <c r="AM375" s="121" t="n">
        <v>-0.26</v>
      </c>
      <c r="AN375" s="123" t="n">
        <v>5.5</v>
      </c>
      <c r="AO375" s="112" t="n">
        <v>14.42</v>
      </c>
      <c r="AP375" s="121" t="n">
        <v>8.5</v>
      </c>
      <c r="AQ375" s="121" t="n">
        <v>-15.1</v>
      </c>
      <c r="AR375" s="121" t="n">
        <v>-6.27</v>
      </c>
      <c r="AS375" s="121" t="n">
        <v>-12.4</v>
      </c>
      <c r="AT375" s="121" t="n">
        <v>-31.45</v>
      </c>
      <c r="AU375" s="121" t="n">
        <v>-24.33</v>
      </c>
      <c r="AV375" s="121" t="n">
        <v>6.01</v>
      </c>
      <c r="AW375" s="121" t="n">
        <v>-9.17</v>
      </c>
      <c r="AX375" s="121" t="n">
        <v>-3.26</v>
      </c>
      <c r="AY375" s="121" t="n">
        <v>-24.32</v>
      </c>
      <c r="AZ375" s="121" t="n">
        <v>-5.93</v>
      </c>
      <c r="BA375" s="121" t="n">
        <v>-7.13</v>
      </c>
      <c r="BB375" s="108" t="inlineStr">
        <is>
          <t>HSTECH (Hang Seng TECH ETF)</t>
        </is>
      </c>
      <c r="BC375" s="121" t="n">
        <v>-58.79</v>
      </c>
      <c r="BD375" s="109" t="n">
        <v>46297</v>
      </c>
      <c r="BE375" s="110" t="n">
        <v>1000.7</v>
      </c>
      <c r="BF375" s="131" t="n"/>
      <c r="BG375" s="108" t="inlineStr">
        <is>
          <t>Y</t>
        </is>
      </c>
      <c r="BH375" s="124">
        <f>IF('BBG Verify'!O375="","not filed; run on terminal",'BBG Verify'!O375)</f>
        <v/>
      </c>
      <c r="BI375" s="122" t="n"/>
      <c r="BJ375" s="122" t="n"/>
      <c r="BK375" s="123" t="n">
        <v>13</v>
      </c>
      <c r="BL375" s="124">
        <f>IF('BBG Verify'!S375="","not filed; run on terminal",'BBG Verify'!S375)</f>
        <v/>
      </c>
      <c r="BM375" s="125" t="inlineStr">
        <is>
          <t>N</t>
        </is>
      </c>
      <c r="BN375" s="126">
        <f>IF('BBG Verify'!K375="","not filed; run on terminal",'BBG Verify'!K375)</f>
        <v/>
      </c>
      <c r="BO375" s="108" t="inlineStr">
        <is>
          <t>N/A</t>
        </is>
      </c>
      <c r="BP375" s="108" t="inlineStr">
        <is>
          <t>N/A</t>
        </is>
      </c>
      <c r="BQ375" s="108" t="inlineStr">
        <is>
          <t>N/A</t>
        </is>
      </c>
      <c r="BR375" s="108" t="inlineStr">
        <is>
          <t>N/A</t>
        </is>
      </c>
      <c r="BS375" s="108" t="inlineStr">
        <is>
          <t>N/A</t>
        </is>
      </c>
      <c r="BT375" s="108" t="inlineStr">
        <is>
          <t>N/A</t>
        </is>
      </c>
      <c r="BU375" s="125" t="inlineStr">
        <is>
          <t>China International Capital Corporation Hong Kong Securities Limited; J.P. Morgan Securities (Far East) Limited</t>
        </is>
      </c>
      <c r="BV375" s="108" t="inlineStr">
        <is>
          <t>China International Capital Corporation Hong Kong Securities Limited; J.P. Morgan Securities (Far East) Limited</t>
        </is>
      </c>
      <c r="BW375" s="108" t="inlineStr">
        <is>
          <t>China International Capital Corporation Hong Kong Securities Limited; J.P. Morgan Securities (Asia Pacific) Limited</t>
        </is>
      </c>
      <c r="BX375" s="108" t="inlineStr">
        <is>
          <t>China International Capital Corporation Hong Kong Securities Limited; Futu Securities International (Hong Kong) Limited; J.P. Morgan Securities (Asia Pacific) Limited</t>
        </is>
      </c>
      <c r="BY375" s="127">
        <f>HYPERLINK("https://www1.hkexnews.hk/listedco/listconews/sehk/2025/1013/2025101300005.pdf","prospectus")</f>
        <v/>
      </c>
      <c r="BZ375" s="127">
        <f>HYPERLINK("https://www1.hkexnews.hk/listedco/listconews/sehk/2025/1020/2025102001624.pdf","allotment")</f>
        <v/>
      </c>
      <c r="CA375" s="127">
        <f>HYPERLINK("https://www1.hkexnews.hk/listedco/listconews/sehk/2025/1116/2025111600017.pdf","stabilisation")</f>
        <v/>
      </c>
      <c r="CB375" s="128" t="n"/>
      <c r="CC375" s="108" t="inlineStr">
        <is>
          <t>P/E: withheld: 1,121x fails the 300x plausibility cap; extracted net income HK$11.6m suspect; greenshoe: outcome published; expiry date not in the notice; range low: maximum offer price only, no floor published; financials: not extractable; pre-IPO year outside the AAStocks window</t>
        </is>
      </c>
    </row>
    <row r="376" ht="22" customHeight="1">
      <c r="A376" s="107" t="inlineStr">
        <is>
          <t>0638</t>
        </is>
      </c>
      <c r="B376" s="108" t="inlineStr">
        <is>
          <t>FIBOCOM</t>
        </is>
      </c>
      <c r="C376" s="108" t="inlineStr">
        <is>
          <t>廣和通</t>
        </is>
      </c>
      <c r="D376" s="108" t="inlineStr">
        <is>
          <t>Tech/AI</t>
        </is>
      </c>
      <c r="E376" s="108" t="inlineStr">
        <is>
          <t>Smart hardware / consumer electronics</t>
        </is>
      </c>
      <c r="F376" s="108" t="inlineStr">
        <is>
          <t>Telecommunication Services</t>
        </is>
      </c>
      <c r="G376" s="108" t="inlineStr">
        <is>
          <t>Standard</t>
        </is>
      </c>
      <c r="H376" s="109" t="n">
        <v>45952</v>
      </c>
      <c r="I376" s="110" t="n">
        <v>2904.2</v>
      </c>
      <c r="J376" s="108" t="inlineStr">
        <is>
          <t>gross (stated)</t>
        </is>
      </c>
      <c r="K376" s="111" t="n">
        <v>19.88</v>
      </c>
      <c r="L376" s="111" t="n">
        <v>21.5</v>
      </c>
      <c r="M376" s="111" t="n">
        <v>21.5</v>
      </c>
      <c r="N376" s="108" t="inlineStr">
        <is>
          <t>Y</t>
        </is>
      </c>
      <c r="O376" s="112" t="n">
        <v>100</v>
      </c>
      <c r="P376" s="112" t="n">
        <v>100</v>
      </c>
      <c r="Q376" s="113" t="n">
        <v>19361.5</v>
      </c>
      <c r="R376" s="108" t="inlineStr">
        <is>
          <t>aastocks:上市市值 at the struck price</t>
        </is>
      </c>
      <c r="S376" s="114" t="n">
        <v>550.99</v>
      </c>
      <c r="T376" s="115" t="n">
        <v>9.16</v>
      </c>
      <c r="U376" s="116" t="n">
        <v>32.72</v>
      </c>
      <c r="V376" s="117" t="n">
        <v>118</v>
      </c>
      <c r="W376" s="112" t="n">
        <v>10</v>
      </c>
      <c r="X376" s="108" t="inlineStr">
        <is>
          <t>NA</t>
        </is>
      </c>
      <c r="Y376" s="113" t="n">
        <v>1953.95</v>
      </c>
      <c r="Z376" s="113" t="n">
        <v>90881959</v>
      </c>
      <c r="AA376" s="112" t="n">
        <v>10.09</v>
      </c>
      <c r="AB376" s="108" t="inlineStr">
        <is>
          <t>Pacific Asset Management Co., Limited; CPIC (HK); GF Fund Management Co., Ltd; GF International; Ruihua Investment</t>
        </is>
      </c>
      <c r="AC376" s="108" t="inlineStr">
        <is>
          <t>pacific-asset;cpic;gf;ruihua</t>
        </is>
      </c>
      <c r="AD376" s="112" t="n">
        <v>15</v>
      </c>
      <c r="AE376" s="108" t="inlineStr">
        <is>
          <t>lapsed</t>
        </is>
      </c>
      <c r="AF376" s="108" t="inlineStr">
        <is>
          <t>2025-11-16</t>
        </is>
      </c>
      <c r="AG376" s="119" t="n"/>
      <c r="AH376" s="119" t="n"/>
      <c r="AI376" s="120" t="n">
        <v>0</v>
      </c>
      <c r="AJ376" s="121" t="n">
        <v>-11.72</v>
      </c>
      <c r="AK376" s="121" t="n">
        <v>-1.36</v>
      </c>
      <c r="AL376" s="121" t="n">
        <v>0</v>
      </c>
      <c r="AM376" s="121" t="n">
        <v>-11.72</v>
      </c>
      <c r="AN376" s="123" t="n">
        <v>2.35</v>
      </c>
      <c r="AO376" s="112" t="n">
        <v>12.6</v>
      </c>
      <c r="AP376" s="121" t="n">
        <v>-10.23</v>
      </c>
      <c r="AQ376" s="121" t="n">
        <v>-27.91</v>
      </c>
      <c r="AR376" s="121" t="n">
        <v>-24.88</v>
      </c>
      <c r="AS376" s="121" t="n">
        <v>1.69</v>
      </c>
      <c r="AT376" s="121" t="n">
        <v>-18.34</v>
      </c>
      <c r="AU376" s="121" t="n">
        <v>-14.91</v>
      </c>
      <c r="AV376" s="121" t="n">
        <v>-10.99</v>
      </c>
      <c r="AW376" s="121" t="n">
        <v>-17.38</v>
      </c>
      <c r="AX376" s="121" t="n">
        <v>-21.14</v>
      </c>
      <c r="AY376" s="121" t="n">
        <v>-9.050000000000001</v>
      </c>
      <c r="AZ376" s="121" t="n">
        <v>-10.53</v>
      </c>
      <c r="BA376" s="121" t="n">
        <v>-9.289999999999999</v>
      </c>
      <c r="BB376" s="108" t="inlineStr">
        <is>
          <t>HSTECH (Hang Seng TECH ETF)</t>
        </is>
      </c>
      <c r="BC376" s="121" t="n">
        <v>-68.33</v>
      </c>
      <c r="BD376" s="109" t="n">
        <v>46297</v>
      </c>
      <c r="BE376" s="110" t="n">
        <v>7668.3</v>
      </c>
      <c r="BF376" s="113" t="n">
        <v>744.5</v>
      </c>
      <c r="BG376" s="108" t="inlineStr">
        <is>
          <t>Y</t>
        </is>
      </c>
      <c r="BH376" s="123" t="n">
        <v>26</v>
      </c>
      <c r="BI376" s="122" t="n"/>
      <c r="BJ376" s="122" t="n"/>
      <c r="BK376" s="123" t="n">
        <v>2.5</v>
      </c>
      <c r="BL376" s="124">
        <f>IF('BBG Verify'!S376="","not filed; run on terminal",'BBG Verify'!S376)</f>
        <v/>
      </c>
      <c r="BM376" s="125" t="inlineStr">
        <is>
          <t>Y</t>
        </is>
      </c>
      <c r="BN376" s="108" t="inlineStr">
        <is>
          <t>300638.SZ</t>
        </is>
      </c>
      <c r="BO376" s="121" t="n">
        <v>51.88</v>
      </c>
      <c r="BP376" s="111" t="n">
        <v>32.6548</v>
      </c>
      <c r="BQ376" s="135" t="n">
        <v>2.3887</v>
      </c>
      <c r="BR376" s="113" t="n">
        <v>20744.8</v>
      </c>
      <c r="BS376" s="124">
        <f>IF('BBG Verify'!Q376="","run on terminal",'BBG Verify'!Q376)</f>
        <v/>
      </c>
      <c r="BT376" s="124">
        <f>IF('BBG Verify'!R376="","run on terminal",'BBG Verify'!R376)</f>
        <v/>
      </c>
      <c r="BU376" s="125" t="inlineStr">
        <is>
          <t>CITIC Securities (Hong Kong) Limited</t>
        </is>
      </c>
      <c r="BV376" s="108" t="inlineStr">
        <is>
          <t>CITIC Securities (Hong Kong) Limited</t>
        </is>
      </c>
      <c r="BW376" s="108" t="inlineStr">
        <is>
          <t>CLSA Limited; SDICS International Securities (Hong Kong) Limited; CMB International Capital Limited; (Below in alphabetical order) ABCI Capital Limited; China Sunrise Securities (International) Limited</t>
        </is>
      </c>
      <c r="BX376" s="108" t="inlineStr">
        <is>
          <t>ABCI Securities Company Limited; CLSA Limited; CMB International Capital Limited; China Sunrise Securities (International) Limited; Futu Securities International (Hong Kong) Limited; SDICS International Securities (Hong Kong) Limited</t>
        </is>
      </c>
      <c r="BY376" s="127">
        <f>HYPERLINK("https://www1.hkexnews.hk/listedco/listconews/sehk/2025/1014/2025101400007.pdf","prospectus")</f>
        <v/>
      </c>
      <c r="BZ376" s="127">
        <f>HYPERLINK("https://www1.hkexnews.hk/listedco/listconews/sehk/2025/1021/2025102101036.pdf","allotment")</f>
        <v/>
      </c>
      <c r="CA376" s="127">
        <f>HYPERLINK("https://www1.hkexnews.hk/listedco/listconews/sehk/2025/1116/2025111600077.pdf","stabilisation")</f>
        <v/>
      </c>
      <c r="CB376" s="128" t="n"/>
      <c r="CC376" s="108" t="inlineStr">
        <is>
          <t>A/H: Oct 2025 H listing (IoT wireless modules); market cap: published listing cap used; the estimate from stated market capitalisation disagreed; stabilising manager: not named in the allotment notice or prospectus glossary</t>
        </is>
      </c>
    </row>
    <row r="377" ht="22" customHeight="1">
      <c r="A377" s="107" t="inlineStr">
        <is>
          <t>1384</t>
        </is>
      </c>
      <c r="B377" s="108" t="inlineStr">
        <is>
          <t>DEEPEXI TECH</t>
        </is>
      </c>
      <c r="C377" s="108" t="inlineStr">
        <is>
          <t>滴普科技</t>
        </is>
      </c>
      <c r="D377" s="108" t="inlineStr">
        <is>
          <t>Tech/AI</t>
        </is>
      </c>
      <c r="E377" s="108" t="inlineStr">
        <is>
          <t>AI application / agent software</t>
        </is>
      </c>
      <c r="F377" s="108" t="inlineStr">
        <is>
          <t>Advanced hardware and software</t>
        </is>
      </c>
      <c r="G377" s="108" t="inlineStr">
        <is>
          <t>18C</t>
        </is>
      </c>
      <c r="H377" s="109" t="n">
        <v>45958</v>
      </c>
      <c r="I377" s="110" t="n">
        <v>710.01</v>
      </c>
      <c r="J377" s="108" t="inlineStr">
        <is>
          <t>gross (stated)</t>
        </is>
      </c>
      <c r="K377" s="129" t="n"/>
      <c r="L377" s="111" t="n">
        <v>26.66</v>
      </c>
      <c r="M377" s="111" t="n">
        <v>26.66</v>
      </c>
      <c r="N377" s="108" t="inlineStr">
        <is>
          <t>Y</t>
        </is>
      </c>
      <c r="O377" s="112" t="n">
        <v>100</v>
      </c>
      <c r="P377" s="118" t="n"/>
      <c r="Q377" s="113" t="n">
        <v>8708</v>
      </c>
      <c r="R377" s="108" t="inlineStr">
        <is>
          <t>derived:price x shares upon listing</t>
        </is>
      </c>
      <c r="S377" s="114" t="n">
        <v>7569.83</v>
      </c>
      <c r="T377" s="115" t="n">
        <v>16.61</v>
      </c>
      <c r="U377" s="116" t="n">
        <v>0</v>
      </c>
      <c r="V377" s="117" t="n">
        <v>159</v>
      </c>
      <c r="W377" s="112" t="n">
        <v>20</v>
      </c>
      <c r="X377" s="108" t="inlineStr">
        <is>
          <t>YES</t>
        </is>
      </c>
      <c r="Y377" s="113" t="n">
        <v>710.01</v>
      </c>
      <c r="Z377" s="113" t="n">
        <v>26632000</v>
      </c>
      <c r="AA377" s="112" t="n">
        <v>8.15</v>
      </c>
      <c r="AB377" s="108" t="inlineStr">
        <is>
          <t>none — no cornerstone tranche</t>
        </is>
      </c>
      <c r="AC377" s="108" t="inlineStr">
        <is>
          <t>none</t>
        </is>
      </c>
      <c r="AD377" s="118" t="n"/>
      <c r="AE377" s="119" t="n"/>
      <c r="AF377" s="119" t="n"/>
      <c r="AG377" s="119" t="n"/>
      <c r="AH377" s="119" t="n"/>
      <c r="AI377" s="120" t="n">
        <v>94.67</v>
      </c>
      <c r="AJ377" s="121" t="n">
        <v>150.56</v>
      </c>
      <c r="AK377" s="121" t="n">
        <v>-1.49</v>
      </c>
      <c r="AL377" s="121" t="n">
        <v>111.93</v>
      </c>
      <c r="AM377" s="121" t="n">
        <v>18.23</v>
      </c>
      <c r="AN377" s="123" t="n">
        <v>2.2</v>
      </c>
      <c r="AO377" s="112" t="n">
        <v>28.85</v>
      </c>
      <c r="AP377" s="121" t="n">
        <v>278.84</v>
      </c>
      <c r="AQ377" s="121" t="n">
        <v>169.5</v>
      </c>
      <c r="AR377" s="121" t="n">
        <v>205.51</v>
      </c>
      <c r="AS377" s="121" t="n">
        <v>51.2</v>
      </c>
      <c r="AT377" s="121" t="n">
        <v>7.56</v>
      </c>
      <c r="AU377" s="121" t="n">
        <v>21.93</v>
      </c>
      <c r="AV377" s="121" t="n">
        <v>285.12</v>
      </c>
      <c r="AW377" s="121" t="n">
        <v>178.84</v>
      </c>
      <c r="AX377" s="121" t="n">
        <v>211.13</v>
      </c>
      <c r="AY377" s="121" t="n">
        <v>15.53</v>
      </c>
      <c r="AZ377" s="121" t="n">
        <v>-9.34</v>
      </c>
      <c r="BA377" s="121" t="n">
        <v>-7.97</v>
      </c>
      <c r="BB377" s="108" t="inlineStr">
        <is>
          <t>HSTECH (Hang Seng TECH ETF)</t>
        </is>
      </c>
      <c r="BC377" s="121" t="n">
        <v>-16.28</v>
      </c>
      <c r="BD377" s="109" t="n">
        <v>46297</v>
      </c>
      <c r="BE377" s="110" t="n">
        <v>267.2</v>
      </c>
      <c r="BF377" s="113" t="n">
        <v>-1380.5</v>
      </c>
      <c r="BG377" s="108" t="inlineStr">
        <is>
          <t>N</t>
        </is>
      </c>
      <c r="BH377" s="108" t="inlineStr">
        <is>
          <t>n/m</t>
        </is>
      </c>
      <c r="BI377" s="122" t="n"/>
      <c r="BJ377" s="122" t="n"/>
      <c r="BK377" s="123" t="n">
        <v>32.6</v>
      </c>
      <c r="BL377" s="124">
        <f>IF('BBG Verify'!S377="","not filed; run on terminal",'BBG Verify'!S377)</f>
        <v/>
      </c>
      <c r="BM377" s="125" t="inlineStr">
        <is>
          <t>N</t>
        </is>
      </c>
      <c r="BN377" s="126">
        <f>IF('BBG Verify'!K377="","not filed; run on terminal",'BBG Verify'!K377)</f>
        <v/>
      </c>
      <c r="BO377" s="108" t="inlineStr">
        <is>
          <t>N/A</t>
        </is>
      </c>
      <c r="BP377" s="108" t="inlineStr">
        <is>
          <t>N/A</t>
        </is>
      </c>
      <c r="BQ377" s="108" t="inlineStr">
        <is>
          <t>N/A</t>
        </is>
      </c>
      <c r="BR377" s="108" t="inlineStr">
        <is>
          <t>N/A</t>
        </is>
      </c>
      <c r="BS377" s="108" t="inlineStr">
        <is>
          <t>N/A</t>
        </is>
      </c>
      <c r="BT377" s="108" t="inlineStr">
        <is>
          <t>N/A</t>
        </is>
      </c>
      <c r="BU377" s="125" t="inlineStr">
        <is>
          <t>CITIC Securities (Hong Kong) Limited; CMBC International Capital Limited; Guotai Junan Capital Limited; SPDB International Capital Limited; BOCOM International (Asia) Limited</t>
        </is>
      </c>
      <c r="BV377" s="108" t="inlineStr">
        <is>
          <t>CITIC Securities (Hong Kong) Limited; BOCOM International (Asia) Limited; Guotai Junan Capital Limited; CMBC International Capital Limited; SPDB International Capital Limited</t>
        </is>
      </c>
      <c r="BW377" s="108" t="inlineStr">
        <is>
          <t>CLSA Limited; CMBC Securities Company Limited; SPDB International Capital Limited; BOCOM International Securities Limited</t>
        </is>
      </c>
      <c r="BX377" s="108" t="inlineStr">
        <is>
          <t>BOCOM International Securities Limited; CLSA Limited; CMBC Securities Company Limited; Guotai Junan Securities (Hong Kong) Limited; Livermore Holdings Limited; SPDB International Capital Limited; Yellow River Securities Limited</t>
        </is>
      </c>
      <c r="BY377" s="127">
        <f>HYPERLINK("https://www1.hkexnews.hk/listedco/listconews/sehk/2025/1020/2025102000015.pdf","prospectus")</f>
        <v/>
      </c>
      <c r="BZ377" s="127">
        <f>HYPERLINK("https://www1.hkexnews.hk/listedco/listconews/sehk/2025/1027/2025102701434.pdf","allotment")</f>
        <v/>
      </c>
      <c r="CA377" s="119" t="n"/>
      <c r="CB377" s="128" t="n"/>
      <c r="CC377" s="108" t="inlineStr">
        <is>
          <t>P/E: loss-making at IPO, use P/S; greenshoe: no over-allotment option; range low: maximum offer price only, no floor published; cornerstone list: no cornerstone tranche; greenshoe size: no over-allotment option; stabilising manager: no over-allotment option, so none appointed</t>
        </is>
      </c>
    </row>
    <row r="378" ht="22" customHeight="1">
      <c r="A378" s="107" t="inlineStr">
        <is>
          <t>6031</t>
        </is>
      </c>
      <c r="B378" s="108" t="inlineStr">
        <is>
          <t>SANY HEAVY IND</t>
        </is>
      </c>
      <c r="C378" s="108" t="inlineStr">
        <is>
          <t>三一重工</t>
        </is>
      </c>
      <c r="D378" s="108" t="inlineStr">
        <is>
          <t>Industrials</t>
        </is>
      </c>
      <c r="E378" s="108" t="inlineStr">
        <is>
          <t>Capital goods / machinery</t>
        </is>
      </c>
      <c r="F378" s="108" t="inlineStr">
        <is>
          <t>Heavy Electrical Equipment</t>
        </is>
      </c>
      <c r="G378" s="108" t="inlineStr">
        <is>
          <t>Standard</t>
        </is>
      </c>
      <c r="H378" s="109" t="n">
        <v>45958</v>
      </c>
      <c r="I378" s="110" t="n">
        <v>13453.1</v>
      </c>
      <c r="J378" s="108" t="inlineStr">
        <is>
          <t>gross (stated)</t>
        </is>
      </c>
      <c r="K378" s="129" t="n"/>
      <c r="L378" s="111" t="n">
        <v>21.3</v>
      </c>
      <c r="M378" s="111" t="n">
        <v>21.3</v>
      </c>
      <c r="N378" s="108" t="inlineStr">
        <is>
          <t>Y</t>
        </is>
      </c>
      <c r="O378" s="112" t="n">
        <v>100</v>
      </c>
      <c r="P378" s="118" t="n"/>
      <c r="Q378" s="113" t="n">
        <v>184289</v>
      </c>
      <c r="R378" s="108" t="inlineStr">
        <is>
          <t>derived:deal size / offer % of enlarged capital</t>
        </is>
      </c>
      <c r="S378" s="114" t="n">
        <v>52.93</v>
      </c>
      <c r="T378" s="115" t="n">
        <v>13.96</v>
      </c>
      <c r="U378" s="116" t="n">
        <v>34.94</v>
      </c>
      <c r="V378" s="117" t="n">
        <v>270</v>
      </c>
      <c r="W378" s="112" t="n">
        <v>9.19</v>
      </c>
      <c r="X378" s="108" t="inlineStr">
        <is>
          <t>NA</t>
        </is>
      </c>
      <c r="Y378" s="113" t="n">
        <v>8752.59</v>
      </c>
      <c r="Z378" s="113" t="n">
        <v>410918179</v>
      </c>
      <c r="AA378" s="112" t="n">
        <v>4.75</v>
      </c>
      <c r="AB378" s="108" t="inlineStr">
        <is>
          <t>Infore Funds Series 2 Open-ended Fund Company – Infore Technology Fund 2; UBS Asset Management (Singapore) Ltd; LMR Multi-Strategy Master Fund Limited; BlackRock Funds; RBC Global Asset Management (Asia) Limited; WT Asset Management Limited; Oaktree Capital Management, L.P; Foresight Global Superior Choice SPC — Global Superior Choice Series Fund 1 SP and Foresight Global Superior Choice SPC — Vision Fund 1 SP; Shanghai Gaoyi and CITIC Securities International Capital Management Limited (in connection with CITICS Back-to-back TRS and CITICS Client TRS); Perseverance Asset Management International (Singapore) Pte. Ltd; Greenwoods Asset Management Hong Kong Limited; Pinpoint Asset Management Limited; Shanghai Pinpoint and CICC Financial Trading Limited (in connection with Pinpoint OTC Swaps); Jane Street Asia Trading Limited; FengHe Asia Fund Ltd; Qube Master Fund Ltd; Weichai Power Hong Kong International Development Co., Ltd; Dajia Life Insurance Co., Ltd; Shaanxi Fast Auto Drive Group Co., Ltd; Value Partners Hong Kong Limited</t>
        </is>
      </c>
      <c r="AC378" s="108" t="inlineStr">
        <is>
          <t>infore;ubs;lmr;blackrock;rbc;wt;oaktree;foresight;shanghai-gaoyi;perseverance;greenwoods;pinpoint;shanghai-pinpoint;jane;fenghe;qube;weichai;dajia;shaanxi;value</t>
        </is>
      </c>
      <c r="AD378" s="112" t="n">
        <v>15</v>
      </c>
      <c r="AE378" s="108" t="inlineStr">
        <is>
          <t>partial</t>
        </is>
      </c>
      <c r="AF378" s="108" t="inlineStr">
        <is>
          <t>2025-11-22</t>
        </is>
      </c>
      <c r="AG378" s="108" t="inlineStr">
        <is>
          <t>CLSA Limited</t>
        </is>
      </c>
      <c r="AH378" s="108" t="inlineStr">
        <is>
          <t>CLSA</t>
        </is>
      </c>
      <c r="AI378" s="120" t="n">
        <v>-2.54</v>
      </c>
      <c r="AJ378" s="121" t="n">
        <v>2.82</v>
      </c>
      <c r="AK378" s="121" t="n">
        <v>-1.39</v>
      </c>
      <c r="AL378" s="121" t="n">
        <v>0</v>
      </c>
      <c r="AM378" s="121" t="n">
        <v>2.82</v>
      </c>
      <c r="AN378" s="123" t="n">
        <v>2.38</v>
      </c>
      <c r="AO378" s="112" t="n">
        <v>4.69</v>
      </c>
      <c r="AP378" s="121" t="n">
        <v>6.67</v>
      </c>
      <c r="AQ378" s="121" t="n">
        <v>0.19</v>
      </c>
      <c r="AR378" s="121" t="n">
        <v>18.78</v>
      </c>
      <c r="AS378" s="121" t="n">
        <v>3.74</v>
      </c>
      <c r="AT378" s="121" t="n">
        <v>-2.56</v>
      </c>
      <c r="AU378" s="121" t="n">
        <v>15.52</v>
      </c>
      <c r="AV378" s="121" t="n">
        <v>11.46</v>
      </c>
      <c r="AW378" s="121" t="n">
        <v>6.17</v>
      </c>
      <c r="AX378" s="121" t="n">
        <v>19.75</v>
      </c>
      <c r="AY378" s="121" t="n">
        <v>2.09</v>
      </c>
      <c r="AZ378" s="121" t="n">
        <v>-5.98</v>
      </c>
      <c r="BA378" s="121" t="n">
        <v>-4.65</v>
      </c>
      <c r="BB378" s="108" t="inlineStr">
        <is>
          <t>Hang Seng Commerce &amp; Industry sub-index</t>
        </is>
      </c>
      <c r="BC378" s="121" t="n">
        <v>-20.28</v>
      </c>
      <c r="BD378" s="109" t="n">
        <v>46297</v>
      </c>
      <c r="BE378" s="110" t="n">
        <v>86221.7</v>
      </c>
      <c r="BF378" s="113" t="n">
        <v>6701.8</v>
      </c>
      <c r="BG378" s="108" t="inlineStr">
        <is>
          <t>Y</t>
        </is>
      </c>
      <c r="BH378" s="123" t="n">
        <v>27.5</v>
      </c>
      <c r="BI378" s="123" t="n">
        <v>22.3</v>
      </c>
      <c r="BJ378" s="123" t="n">
        <v>16.3</v>
      </c>
      <c r="BK378" s="123" t="n">
        <v>2.1</v>
      </c>
      <c r="BL378" s="124">
        <f>IF('BBG Verify'!S378="","not filed; run on terminal",'BBG Verify'!S378)</f>
        <v/>
      </c>
      <c r="BM378" s="125" t="inlineStr">
        <is>
          <t>Y</t>
        </is>
      </c>
      <c r="BN378" s="108" t="inlineStr">
        <is>
          <t>600031.SS</t>
        </is>
      </c>
      <c r="BO378" s="121" t="n">
        <v>15.4</v>
      </c>
      <c r="BP378" s="111" t="n">
        <v>24.5793</v>
      </c>
      <c r="BQ378" s="135" t="n">
        <v>0.2054</v>
      </c>
      <c r="BR378" s="113" t="n">
        <v>188272</v>
      </c>
      <c r="BS378" s="124">
        <f>IF('BBG Verify'!Q378="","run on terminal",'BBG Verify'!Q378)</f>
        <v/>
      </c>
      <c r="BT378" s="124">
        <f>IF('BBG Verify'!R378="","run on terminal",'BBG Verify'!R378)</f>
        <v/>
      </c>
      <c r="BU378" s="125" t="inlineStr">
        <is>
          <t>CITIC Securities (Hong Kong) Limited</t>
        </is>
      </c>
      <c r="BV378" s="108" t="inlineStr">
        <is>
          <t>CITIC Securities (Hong Kong) Limited</t>
        </is>
      </c>
      <c r="BW378" s="108" t="inlineStr">
        <is>
          <t>CLSA Limited; China International Capital Corporation Hong Kong Securities Limited; BOCI Asia Limited; ABCI Capital Limited; ICBC International Securities Limited; China Merchants Securities (HK) Co., Limited</t>
        </is>
      </c>
      <c r="BX378" s="108" t="inlineStr">
        <is>
          <t>ABCI Securities Company Limited; BOCI Asia Limited; China International Capital Corporation Hong Kong Securities Limited; CLSA Limited; China Merchants Securities (HK) Company Limited; ICBC International Securities Limited</t>
        </is>
      </c>
      <c r="BY378" s="127">
        <f>HYPERLINK("https://www1.hkexnews.hk/listedco/listconews/sehk/2025/1020/2025102000017.pdf","prospectus")</f>
        <v/>
      </c>
      <c r="BZ378" s="127">
        <f>HYPERLINK("https://www1.hkexnews.hk/listedco/listconews/sehk/2025/1027/2025102701586.pdf","allotment")</f>
        <v/>
      </c>
      <c r="CA378" s="127">
        <f>HYPERLINK("https://www1.hkexnews.hk/listedco/listconews/sehk/2025/1123/2025112300093.pdf","stabilisation")</f>
        <v/>
      </c>
      <c r="CB378" s="128" t="n"/>
      <c r="CC378" s="108" t="inlineStr">
        <is>
          <t>range low: maximum offer price only, no floor published; A/H: Oct 2025, ~US$1.72bn</t>
        </is>
      </c>
    </row>
    <row r="379" ht="22" customHeight="1">
      <c r="A379" s="107" t="inlineStr">
        <is>
          <t>6166</t>
        </is>
      </c>
      <c r="B379" s="108" t="inlineStr">
        <is>
          <t>CIG</t>
        </is>
      </c>
      <c r="C379" s="108" t="inlineStr">
        <is>
          <t>劍橋科技</t>
        </is>
      </c>
      <c r="D379" s="108" t="inlineStr">
        <is>
          <t>Tech/AI</t>
        </is>
      </c>
      <c r="E379" s="108" t="inlineStr">
        <is>
          <t>Smart hardware / consumer electronics</t>
        </is>
      </c>
      <c r="F379" s="108" t="inlineStr">
        <is>
          <t>Telecommunications &amp; Networking Equipment</t>
        </is>
      </c>
      <c r="G379" s="108" t="inlineStr">
        <is>
          <t>Standard</t>
        </is>
      </c>
      <c r="H379" s="109" t="n">
        <v>45958</v>
      </c>
      <c r="I379" s="110" t="n">
        <v>4615.7</v>
      </c>
      <c r="J379" s="108" t="inlineStr">
        <is>
          <t>gross (stated)</t>
        </is>
      </c>
      <c r="K379" s="129" t="n"/>
      <c r="L379" s="111" t="n">
        <v>68.88</v>
      </c>
      <c r="M379" s="111" t="n">
        <v>68.88</v>
      </c>
      <c r="N379" s="108" t="inlineStr">
        <is>
          <t>Y</t>
        </is>
      </c>
      <c r="O379" s="112" t="n">
        <v>100</v>
      </c>
      <c r="P379" s="118" t="n"/>
      <c r="Q379" s="113" t="n">
        <v>20698.2</v>
      </c>
      <c r="R379" s="108" t="inlineStr">
        <is>
          <t>derived:deal size / offer % of enlarged capital</t>
        </is>
      </c>
      <c r="S379" s="114" t="n">
        <v>338.7</v>
      </c>
      <c r="T379" s="115" t="n">
        <v>16.5</v>
      </c>
      <c r="U379" s="116" t="n">
        <v>48.89</v>
      </c>
      <c r="V379" s="117" t="n">
        <v>119</v>
      </c>
      <c r="W379" s="112" t="n">
        <v>10</v>
      </c>
      <c r="X379" s="108" t="inlineStr">
        <is>
          <t>NO</t>
        </is>
      </c>
      <c r="Y379" s="113" t="n">
        <v>2359.08</v>
      </c>
      <c r="Z379" s="113" t="n">
        <v>34249067</v>
      </c>
      <c r="AA379" s="112" t="n">
        <v>11.4</v>
      </c>
      <c r="AB379" s="108" t="inlineStr">
        <is>
          <t>Baring Asset Management (Asia) Limited; Morgan Stanley &amp; Co. International plc; HCEP Management Limited; Arc Avenue Asset Management Pte. Ltd; CloudAlpha Capital Management Limited; Turing International Limited; Cithara Global Multi-Strategy SPC — Bosideng Industry Investment Fund SP; 3W Fund Management Limited; Schonfeld Strategic Advisors (Hong Kong) Limited; Infini Global Master Fund; Alpine Investment Management Limited; Dymon Asia Multi-Strategy Investment Master Fund; Aqua Ocean Limited; Martis Fund, L.P; Taikang Life Insurance Co., Ltd; ICBC Wealth Management Co., Ltd</t>
        </is>
      </c>
      <c r="AC379" s="108" t="inlineStr">
        <is>
          <t>baring;morgan;hcep;arc;cloudalpha;turing;cithara;3w;schonfeld;infini;alpine;dymon;aqua;martis;taikang;icbc</t>
        </is>
      </c>
      <c r="AD379" s="112" t="n">
        <v>15</v>
      </c>
      <c r="AE379" s="108" t="inlineStr">
        <is>
          <t>full</t>
        </is>
      </c>
      <c r="AF379" s="108" t="inlineStr">
        <is>
          <t>2025-11-22</t>
        </is>
      </c>
      <c r="AG379" s="108" t="inlineStr">
        <is>
          <t>Guotai Junan Securities</t>
        </is>
      </c>
      <c r="AH379" s="108" t="inlineStr">
        <is>
          <t>Guotai Junan</t>
        </is>
      </c>
      <c r="AI379" s="120" t="n">
        <v>44.16</v>
      </c>
      <c r="AJ379" s="121" t="n">
        <v>33.86</v>
      </c>
      <c r="AK379" s="121" t="n">
        <v>-1.49</v>
      </c>
      <c r="AL379" s="121" t="n">
        <v>36.47</v>
      </c>
      <c r="AM379" s="121" t="n">
        <v>-1.91</v>
      </c>
      <c r="AN379" s="123" t="n">
        <v>4.31</v>
      </c>
      <c r="AO379" s="112" t="n">
        <v>20</v>
      </c>
      <c r="AP379" s="121" t="n">
        <v>13.53</v>
      </c>
      <c r="AQ379" s="121" t="n">
        <v>14.76</v>
      </c>
      <c r="AR379" s="121" t="n">
        <v>19.05</v>
      </c>
      <c r="AS379" s="121" t="n">
        <v>-15.19</v>
      </c>
      <c r="AT379" s="121" t="n">
        <v>-14.27</v>
      </c>
      <c r="AU379" s="121" t="n">
        <v>-11.06</v>
      </c>
      <c r="AV379" s="121" t="n">
        <v>19.81</v>
      </c>
      <c r="AW379" s="121" t="n">
        <v>24.1</v>
      </c>
      <c r="AX379" s="121" t="n">
        <v>24.67</v>
      </c>
      <c r="AY379" s="121" t="n">
        <v>-6.3</v>
      </c>
      <c r="AZ379" s="121" t="n">
        <v>-9.34</v>
      </c>
      <c r="BA379" s="121" t="n">
        <v>-7.97</v>
      </c>
      <c r="BB379" s="108" t="inlineStr">
        <is>
          <t>HSTECH (Hang Seng TECH ETF)</t>
        </is>
      </c>
      <c r="BC379" s="121" t="n">
        <v>63.76</v>
      </c>
      <c r="BD379" s="109" t="n">
        <v>46297</v>
      </c>
      <c r="BE379" s="110" t="n">
        <v>4014.9</v>
      </c>
      <c r="BF379" s="113" t="n">
        <v>183.7</v>
      </c>
      <c r="BG379" s="108" t="inlineStr">
        <is>
          <t>Y</t>
        </is>
      </c>
      <c r="BH379" s="123" t="n">
        <v>112.7</v>
      </c>
      <c r="BI379" s="123" t="n">
        <v>107.9</v>
      </c>
      <c r="BJ379" s="123" t="n">
        <v>93.7</v>
      </c>
      <c r="BK379" s="123" t="n">
        <v>5.2</v>
      </c>
      <c r="BL379" s="124">
        <f>IF('BBG Verify'!S379="","not filed; run on terminal",'BBG Verify'!S379)</f>
        <v/>
      </c>
      <c r="BM379" s="125" t="inlineStr">
        <is>
          <t>Y</t>
        </is>
      </c>
      <c r="BN379" s="108" t="inlineStr">
        <is>
          <t>603083.SS</t>
        </is>
      </c>
      <c r="BO379" s="121" t="n">
        <v>88.48</v>
      </c>
      <c r="BP379" s="111" t="n">
        <v>129.8239</v>
      </c>
      <c r="BQ379" s="135" t="n">
        <v>1.1313</v>
      </c>
      <c r="BR379" s="113" t="n">
        <v>88575.2</v>
      </c>
      <c r="BS379" s="124">
        <f>IF('BBG Verify'!Q379="","run on terminal",'BBG Verify'!Q379)</f>
        <v/>
      </c>
      <c r="BT379" s="124">
        <f>IF('BBG Verify'!R379="","run on terminal",'BBG Verify'!R379)</f>
        <v/>
      </c>
      <c r="BU379" s="125" t="inlineStr">
        <is>
          <t>Guotai Junan Capital Limited; Guotai Junan Securities (Hong Kong) Limited</t>
        </is>
      </c>
      <c r="BV379" s="108" t="inlineStr">
        <is>
          <t>Guotai Junan Capital Limited</t>
        </is>
      </c>
      <c r="BW379" s="108" t="inlineStr">
        <is>
          <t>Guotai Junan Securities (Hong Kong) Limited; CLSA Limited; DBS Asia Capital Limited; Star River Securities Limited</t>
        </is>
      </c>
      <c r="BX379" s="108" t="inlineStr">
        <is>
          <t>CLSA Limited; DBS Asia Capital Limited; Guotai Junan Securities (Hong Kong) Limited; Star River Securities Limited</t>
        </is>
      </c>
      <c r="BY379" s="127">
        <f>HYPERLINK("https://www1.hkexnews.hk/listedco/listconews/sehk/2025/1020/2025102000019.pdf","prospectus")</f>
        <v/>
      </c>
      <c r="BZ379" s="127">
        <f>HYPERLINK("https://www1.hkexnews.hk/listedco/listconews/sehk/2025/1027/2025102701698.pdf","allotment")</f>
        <v/>
      </c>
      <c r="CA379" s="127">
        <f>HYPERLINK("https://www1.hkexnews.hk/listedco/listconews/sehk/2025/1124/2025112401113.pdf","stabilisation")</f>
        <v/>
      </c>
      <c r="CB379" s="128" t="n"/>
      <c r="CC379" s="108" t="inlineStr">
        <is>
          <t>range low: maximum offer price only, no floor published; A/H: Oct 2025 H listing (telecom/AI networking hardware)</t>
        </is>
      </c>
    </row>
    <row r="380" ht="22" customHeight="1">
      <c r="A380" s="107" t="inlineStr">
        <is>
          <t>6980</t>
        </is>
      </c>
      <c r="B380" s="108" t="inlineStr">
        <is>
          <t>BAMA TEA</t>
        </is>
      </c>
      <c r="C380" s="108" t="inlineStr">
        <is>
          <t>八馬茶業</t>
        </is>
      </c>
      <c r="D380" s="108" t="inlineStr">
        <is>
          <t>Consumer</t>
        </is>
      </c>
      <c r="E380" s="108" t="inlineStr">
        <is>
          <t>Beverages / packaged food</t>
        </is>
      </c>
      <c r="F380" s="108" t="inlineStr">
        <is>
          <t>Beverages (Non-alcoholic)</t>
        </is>
      </c>
      <c r="G380" s="108" t="inlineStr">
        <is>
          <t>Standard</t>
        </is>
      </c>
      <c r="H380" s="109" t="n">
        <v>45958</v>
      </c>
      <c r="I380" s="110" t="n">
        <v>450</v>
      </c>
      <c r="J380" s="108" t="inlineStr">
        <is>
          <t>gross (stated)</t>
        </is>
      </c>
      <c r="K380" s="129" t="n"/>
      <c r="L380" s="111" t="n">
        <v>50</v>
      </c>
      <c r="M380" s="111" t="n">
        <v>50</v>
      </c>
      <c r="N380" s="108" t="inlineStr">
        <is>
          <t>Y</t>
        </is>
      </c>
      <c r="O380" s="112" t="n">
        <v>100</v>
      </c>
      <c r="P380" s="118" t="n"/>
      <c r="Q380" s="113" t="n">
        <v>4250</v>
      </c>
      <c r="R380" s="108" t="inlineStr">
        <is>
          <t>derived:price x shares upon listing</t>
        </is>
      </c>
      <c r="S380" s="114" t="n">
        <v>2680.04</v>
      </c>
      <c r="T380" s="115" t="n">
        <v>13.58</v>
      </c>
      <c r="U380" s="116" t="n">
        <v>0</v>
      </c>
      <c r="V380" s="117" t="n">
        <v>113</v>
      </c>
      <c r="W380" s="112" t="n">
        <v>10</v>
      </c>
      <c r="X380" s="108" t="inlineStr">
        <is>
          <t>NO</t>
        </is>
      </c>
      <c r="Y380" s="113" t="n">
        <v>450</v>
      </c>
      <c r="Z380" s="113" t="n">
        <v>9000000</v>
      </c>
      <c r="AA380" s="112" t="n">
        <v>10.59</v>
      </c>
      <c r="AB380" s="108" t="inlineStr">
        <is>
          <t>none — no cornerstone tranche</t>
        </is>
      </c>
      <c r="AC380" s="108" t="inlineStr">
        <is>
          <t>none</t>
        </is>
      </c>
      <c r="AD380" s="112" t="n">
        <v>15</v>
      </c>
      <c r="AE380" s="119" t="n"/>
      <c r="AF380" s="119" t="n"/>
      <c r="AG380" s="119" t="n"/>
      <c r="AH380" s="119" t="n"/>
      <c r="AI380" s="120" t="n">
        <v>60.2</v>
      </c>
      <c r="AJ380" s="121" t="n">
        <v>86.7</v>
      </c>
      <c r="AK380" s="121" t="n">
        <v>-1.39</v>
      </c>
      <c r="AL380" s="121" t="n">
        <v>60.2</v>
      </c>
      <c r="AM380" s="121" t="n">
        <v>16.54</v>
      </c>
      <c r="AN380" s="123" t="n">
        <v>4.68</v>
      </c>
      <c r="AO380" s="112" t="n">
        <v>22.35</v>
      </c>
      <c r="AP380" s="121" t="n">
        <v>46</v>
      </c>
      <c r="AQ380" s="121" t="n">
        <v>5</v>
      </c>
      <c r="AR380" s="121" t="n">
        <v>-40.04</v>
      </c>
      <c r="AS380" s="121" t="n">
        <v>-21.8</v>
      </c>
      <c r="AT380" s="121" t="n">
        <v>-43.76</v>
      </c>
      <c r="AU380" s="121" t="n">
        <v>-67.88</v>
      </c>
      <c r="AV380" s="121" t="n">
        <v>50.79</v>
      </c>
      <c r="AW380" s="121" t="n">
        <v>10.98</v>
      </c>
      <c r="AX380" s="121" t="n">
        <v>-39.07</v>
      </c>
      <c r="AY380" s="121" t="n">
        <v>-39.11</v>
      </c>
      <c r="AZ380" s="121" t="n">
        <v>-5.98</v>
      </c>
      <c r="BA380" s="121" t="n">
        <v>-4.65</v>
      </c>
      <c r="BB380" s="108" t="inlineStr">
        <is>
          <t>Hang Seng Commerce &amp; Industry sub-index</t>
        </is>
      </c>
      <c r="BC380" s="121" t="n">
        <v>-45.96</v>
      </c>
      <c r="BD380" s="109" t="n">
        <v>46297</v>
      </c>
      <c r="BE380" s="110" t="n">
        <v>2357.6</v>
      </c>
      <c r="BF380" s="113" t="n">
        <v>246.6</v>
      </c>
      <c r="BG380" s="108" t="inlineStr">
        <is>
          <t>Y</t>
        </is>
      </c>
      <c r="BH380" s="123" t="n">
        <v>17.2</v>
      </c>
      <c r="BI380" s="123" t="n">
        <v>32.7</v>
      </c>
      <c r="BJ380" s="123" t="n">
        <v>7.7</v>
      </c>
      <c r="BK380" s="123" t="n">
        <v>1.8</v>
      </c>
      <c r="BL380" s="124">
        <f>IF('BBG Verify'!S380="","not filed; run on terminal",'BBG Verify'!S380)</f>
        <v/>
      </c>
      <c r="BM380" s="125" t="inlineStr">
        <is>
          <t>N</t>
        </is>
      </c>
      <c r="BN380" s="126">
        <f>IF('BBG Verify'!K380="","not filed; run on terminal",'BBG Verify'!K380)</f>
        <v/>
      </c>
      <c r="BO380" s="108" t="inlineStr">
        <is>
          <t>N/A</t>
        </is>
      </c>
      <c r="BP380" s="108" t="inlineStr">
        <is>
          <t>N/A</t>
        </is>
      </c>
      <c r="BQ380" s="108" t="inlineStr">
        <is>
          <t>N/A</t>
        </is>
      </c>
      <c r="BR380" s="108" t="inlineStr">
        <is>
          <t>N/A</t>
        </is>
      </c>
      <c r="BS380" s="108" t="inlineStr">
        <is>
          <t>N/A</t>
        </is>
      </c>
      <c r="BT380" s="108" t="inlineStr">
        <is>
          <t>N/A</t>
        </is>
      </c>
      <c r="BU380" s="125" t="inlineStr">
        <is>
          <t>Huatai Financial Holdings (Hong Kong) Limited; ABCI Capital Limited; TFI Capital Limited</t>
        </is>
      </c>
      <c r="BV380" s="108" t="inlineStr">
        <is>
          <t>Huatai Financial Holdings (Hong Kong) Limited; TFI Capital Limited; ABCI Capital Limited</t>
        </is>
      </c>
      <c r="BW380" s="108" t="inlineStr">
        <is>
          <t>Huatai Financial Holdings (Hong Kong) Limited; ABCI Capital Limited; TFI Securities and Futures Limited; CLSA Limited; Shenwan Hongyuan Securities (H.K.) Limited; China Galaxy International Securities (Hong Kong) Co., Limited; UOB Kay Hian (Hong Kong) Limited; SPDB International Capital Limited; CMBC Securities Company Limited; Funde Securities Limited</t>
        </is>
      </c>
      <c r="BX380" s="108" t="inlineStr">
        <is>
          <t>ABCI Securities Company Limited; AVICT Global Asset Management Limited; China Galaxy International Securities (Hong Kong) Company Limited; CLSA Limited; CMBC Securities Company Limited; Funde Securities Limited; First Shanghai Securities Limited; Futu Securities International (Hong Kong) Limited; Huatai Financial Holdings (Hong Kong) Limited; Maxa Capital Limited; Shenwan Hongyuan Securities (H.K.) Limited; SPDB International Capital Limited</t>
        </is>
      </c>
      <c r="BY380" s="127">
        <f>HYPERLINK("https://www1.hkexnews.hk/listedco/listconews/sehk/2025/1020/2025102000021.pdf","prospectus")</f>
        <v/>
      </c>
      <c r="BZ380" s="127">
        <f>HYPERLINK("https://www1.hkexnews.hk/listedco/listconews/sehk/2025/1027/2025102701732.pdf","allotment")</f>
        <v/>
      </c>
      <c r="CA380" s="119" t="n"/>
      <c r="CB380" s="128" t="n"/>
      <c r="CC380" s="108" t="inlineStr">
        <is>
          <t>greenshoe: end-of-stabilisation notice not found; range low: maximum offer price only, no floor published; cornerstone list: no cornerstone tranche; stabilising manager: filing states none appointed (prospectus: 'no stabilizing manager will be appointed' stated in the filing)</t>
        </is>
      </c>
    </row>
    <row r="381" ht="22" customHeight="1">
      <c r="A381" s="107" t="inlineStr">
        <is>
          <t>2718</t>
        </is>
      </c>
      <c r="B381" s="108" t="inlineStr">
        <is>
          <t>MININGLAMP-W</t>
        </is>
      </c>
      <c r="C381" s="108" t="inlineStr">
        <is>
          <t>明略科技－Ｗ</t>
        </is>
      </c>
      <c r="D381" s="108" t="inlineStr">
        <is>
          <t>Tech/AI</t>
        </is>
      </c>
      <c r="E381" s="108" t="inlineStr">
        <is>
          <t>AI application / agent software</t>
        </is>
      </c>
      <c r="F381" s="108" t="inlineStr">
        <is>
          <t>Advanced hardware and software</t>
        </is>
      </c>
      <c r="G381" s="108" t="inlineStr">
        <is>
          <t>WVR</t>
        </is>
      </c>
      <c r="H381" s="109" t="n">
        <v>45964</v>
      </c>
      <c r="I381" s="110" t="n">
        <v>1017.9</v>
      </c>
      <c r="J381" s="108" t="inlineStr">
        <is>
          <t>gross (stated)</t>
        </is>
      </c>
      <c r="K381" s="129" t="n"/>
      <c r="L381" s="111" t="n">
        <v>141</v>
      </c>
      <c r="M381" s="111" t="n">
        <v>141</v>
      </c>
      <c r="N381" s="108" t="inlineStr">
        <is>
          <t>Y</t>
        </is>
      </c>
      <c r="O381" s="112" t="n">
        <v>100</v>
      </c>
      <c r="P381" s="118" t="n"/>
      <c r="Q381" s="113" t="n">
        <v>20357.3</v>
      </c>
      <c r="R381" s="108" t="inlineStr">
        <is>
          <t>prospectus:stated market capitalisation</t>
        </is>
      </c>
      <c r="S381" s="114" t="n">
        <v>4452.86</v>
      </c>
      <c r="T381" s="115" t="n">
        <v>13.93</v>
      </c>
      <c r="U381" s="116" t="n">
        <v>45.1</v>
      </c>
      <c r="V381" s="117" t="n">
        <v>117</v>
      </c>
      <c r="W381" s="112" t="n">
        <v>10</v>
      </c>
      <c r="X381" s="108" t="inlineStr">
        <is>
          <t>NA</t>
        </is>
      </c>
      <c r="Y381" s="113" t="n">
        <v>558.83</v>
      </c>
      <c r="Z381" s="113" t="n">
        <v>3963231</v>
      </c>
      <c r="AA381" s="112" t="n">
        <v>2.75</v>
      </c>
      <c r="AB381" s="108" t="inlineStr">
        <is>
          <t>Huang River Investment Limited; Ms. Minfang Guo (ٹ; Treasure-stone Investment Group Limited; Ms. Lina Bao (ࢆ; Hundreds Capital; GFH Financial Group B.S.C; QuantumPharm Limited</t>
        </is>
      </c>
      <c r="AC381" s="108" t="inlineStr">
        <is>
          <t>huang-river;ms-minfang;treasure;ms-lina;hundreds;gfh;quantumpharm</t>
        </is>
      </c>
      <c r="AD381" s="112" t="n">
        <v>15</v>
      </c>
      <c r="AE381" s="108" t="inlineStr">
        <is>
          <t>full</t>
        </is>
      </c>
      <c r="AF381" s="108" t="inlineStr">
        <is>
          <t>2025-11-27</t>
        </is>
      </c>
      <c r="AG381" s="108" t="inlineStr">
        <is>
          <t>China International Capital Corporation Hong Kong Securities Limited</t>
        </is>
      </c>
      <c r="AH381" s="108" t="inlineStr">
        <is>
          <t>China International</t>
        </is>
      </c>
      <c r="AI381" s="120" t="n">
        <v>110.64</v>
      </c>
      <c r="AJ381" s="121" t="n">
        <v>106.1</v>
      </c>
      <c r="AK381" s="121" t="n">
        <v>0.09</v>
      </c>
      <c r="AL381" s="121" t="n">
        <v>98.58</v>
      </c>
      <c r="AM381" s="121" t="n">
        <v>3.79</v>
      </c>
      <c r="AN381" s="123" t="n">
        <v>2.99</v>
      </c>
      <c r="AO381" s="112" t="n">
        <v>13.5</v>
      </c>
      <c r="AP381" s="121" t="n">
        <v>57.16</v>
      </c>
      <c r="AQ381" s="121" t="n">
        <v>45.25</v>
      </c>
      <c r="AR381" s="121" t="n">
        <v>77.87</v>
      </c>
      <c r="AS381" s="121" t="n">
        <v>-23.75</v>
      </c>
      <c r="AT381" s="121" t="n">
        <v>-29.52</v>
      </c>
      <c r="AU381" s="121" t="n">
        <v>-13.7</v>
      </c>
      <c r="AV381" s="121" t="n">
        <v>57.42</v>
      </c>
      <c r="AW381" s="121" t="n">
        <v>50.16</v>
      </c>
      <c r="AX381" s="121" t="n">
        <v>85.79000000000001</v>
      </c>
      <c r="AY381" s="121" t="n">
        <v>-24.53</v>
      </c>
      <c r="AZ381" s="121" t="n">
        <v>-4.91</v>
      </c>
      <c r="BA381" s="121" t="n">
        <v>-4.99</v>
      </c>
      <c r="BB381" s="108" t="inlineStr">
        <is>
          <t>HSTECH (Hang Seng TECH ETF)</t>
        </is>
      </c>
      <c r="BC381" s="121" t="n">
        <v>-75.18000000000001</v>
      </c>
      <c r="BD381" s="109" t="n">
        <v>46297</v>
      </c>
      <c r="BE381" s="110" t="n">
        <v>1519.5</v>
      </c>
      <c r="BF381" s="113" t="n">
        <v>352.4</v>
      </c>
      <c r="BG381" s="108" t="inlineStr">
        <is>
          <t>Y</t>
        </is>
      </c>
      <c r="BH381" s="123" t="n">
        <v>57.8</v>
      </c>
      <c r="BI381" s="122" t="n"/>
      <c r="BJ381" s="122" t="n"/>
      <c r="BK381" s="123" t="n">
        <v>13.4</v>
      </c>
      <c r="BL381" s="124">
        <f>IF('BBG Verify'!S381="","not filed; run on terminal",'BBG Verify'!S381)</f>
        <v/>
      </c>
      <c r="BM381" s="125" t="inlineStr">
        <is>
          <t>N</t>
        </is>
      </c>
      <c r="BN381" s="126">
        <f>IF('BBG Verify'!K381="","not filed; run on terminal",'BBG Verify'!K381)</f>
        <v/>
      </c>
      <c r="BO381" s="108" t="inlineStr">
        <is>
          <t>N/A</t>
        </is>
      </c>
      <c r="BP381" s="108" t="inlineStr">
        <is>
          <t>N/A</t>
        </is>
      </c>
      <c r="BQ381" s="108" t="inlineStr">
        <is>
          <t>N/A</t>
        </is>
      </c>
      <c r="BR381" s="108" t="inlineStr">
        <is>
          <t>N/A</t>
        </is>
      </c>
      <c r="BS381" s="108" t="inlineStr">
        <is>
          <t>N/A</t>
        </is>
      </c>
      <c r="BT381" s="108" t="inlineStr">
        <is>
          <t>N/A</t>
        </is>
      </c>
      <c r="BU381" s="125" t="inlineStr">
        <is>
          <t>China International Capital Corporation Hong Kong Securities Limited</t>
        </is>
      </c>
      <c r="BV381" s="108" t="inlineStr">
        <is>
          <t>China International Capital Corporation Hong Kong Securities Limited</t>
        </is>
      </c>
      <c r="BW381" s="108" t="inlineStr">
        <is>
          <t>China International Capital Corporation Hong Kong Securities Limited; CLSA Limited; Futu Securities International (Hong Kong) Limited; Tiger Brokers (HK) Global Limited; Fuze Securities (International) Limited; Livermore Holdings Limited; Mulana Investment Management Limited; Citrus Securities Limited</t>
        </is>
      </c>
      <c r="BX381" s="108" t="inlineStr">
        <is>
          <t>China International Capital Corporation Hong Kong Securities Limited; Citrus Securities Limited; CLSA Limited; China Renaissance Securities (Hong Kong) Limited; Futu Securities International (Hong Kong) Limited; FUZE SECURITIES (INTERNATIONAL) LIMITED; Livermore Holdings Limited; Mulana Investment Management Limited; Tiger Brokers (HK) Global Limited</t>
        </is>
      </c>
      <c r="BY381" s="127">
        <f>HYPERLINK("https://www1.hkexnews.hk/listedco/listconews/sehk/2025/1023/2025102300005.pdf","prospectus")</f>
        <v/>
      </c>
      <c r="BZ381" s="127">
        <f>HYPERLINK("https://www1.hkexnews.hk/listedco/listconews/sehk/2025/1031/2025103103042.pdf","allotment")</f>
        <v/>
      </c>
      <c r="CA381" s="127">
        <f>HYPERLINK("https://www1.hkexnews.hk/listedco/listconews/sehk/2025/1127/2025112701372.pdf","stabilisation")</f>
        <v/>
      </c>
      <c r="CB381" s="128" t="n"/>
      <c r="CC381" s="108" t="inlineStr">
        <is>
          <t>range low: maximum offer price only, no floor published</t>
        </is>
      </c>
    </row>
    <row r="382" ht="22" customHeight="1">
      <c r="A382" s="107" t="inlineStr">
        <is>
          <t>9927</t>
        </is>
      </c>
      <c r="B382" s="108" t="inlineStr">
        <is>
          <t>SERES</t>
        </is>
      </c>
      <c r="C382" s="108" t="inlineStr">
        <is>
          <t>賽力斯</t>
        </is>
      </c>
      <c r="D382" s="108" t="inlineStr">
        <is>
          <t>Consumer</t>
        </is>
      </c>
      <c r="E382" s="108" t="inlineStr">
        <is>
          <t>Autos (NEV OEM)</t>
        </is>
      </c>
      <c r="F382" s="108" t="inlineStr">
        <is>
          <t>Automobile Manufacturers</t>
        </is>
      </c>
      <c r="G382" s="108" t="inlineStr">
        <is>
          <t>Standard</t>
        </is>
      </c>
      <c r="H382" s="109" t="n">
        <v>45966</v>
      </c>
      <c r="I382" s="110" t="n">
        <v>14283.4</v>
      </c>
      <c r="J382" s="108" t="inlineStr">
        <is>
          <t>gross (stated)</t>
        </is>
      </c>
      <c r="K382" s="129" t="n"/>
      <c r="L382" s="111" t="n">
        <v>131.5</v>
      </c>
      <c r="M382" s="111" t="n">
        <v>131.5</v>
      </c>
      <c r="N382" s="108" t="inlineStr">
        <is>
          <t>Y</t>
        </is>
      </c>
      <c r="O382" s="112" t="n">
        <v>100</v>
      </c>
      <c r="P382" s="118" t="n"/>
      <c r="Q382" s="113" t="n">
        <v>216743.6</v>
      </c>
      <c r="R382" s="108" t="inlineStr">
        <is>
          <t>derived:deal size / offer % of enlarged capital</t>
        </is>
      </c>
      <c r="S382" s="114" t="n">
        <v>132.68</v>
      </c>
      <c r="T382" s="115" t="n">
        <v>8.609999999999999</v>
      </c>
      <c r="U382" s="116" t="n">
        <v>44.95</v>
      </c>
      <c r="V382" s="117" t="n">
        <v>234</v>
      </c>
      <c r="W382" s="112" t="n">
        <v>10</v>
      </c>
      <c r="X382" s="108" t="inlineStr">
        <is>
          <t>NA</t>
        </is>
      </c>
      <c r="Y382" s="113" t="n">
        <v>7863.01</v>
      </c>
      <c r="Z382" s="113" t="n">
        <v>59794760</v>
      </c>
      <c r="AA382" s="112" t="n">
        <v>3.63</v>
      </c>
      <c r="AB382" s="108" t="inlineStr">
        <is>
          <t>Chongqing Industrial Investment Parent Fund Enterprise Partnership (L.P.); Shenzhen Lin Yuan Investment Management Co., Ltd. and Huatai Capital Investment Limited (in connection with Huatai Back-to-back TRS and Linyuan TRS); GF Fund Management Co., Ltd; GF International Investment Management Limited; New China Asset Management (Hong Kong) Limited; BESS Broadway Limited; Sanhua (Hong Kong) Co Limited; Zhongsheng Holdings Company Limited; Zhink International Pte. Ltd; Gold Wings Holdings Limited; Honour Goal Investments Limited; Hichain Logistics (Hong Kong) Limited; Schroder Investment Management (Singapore) Ltd and Schroder Investment Management (Hong Kong) Limited (collectively, Schroder ); Mirae Asset Securities Co., Ltd; New Alternative Limited; PSBC Wealth Management Co., Ltd; Skyler International Co., Ltd; Xingyu Automotive Lighting (Hong Kong) Company Limited; China MeiDong Auto Holdings Limited; Ghisallo Fund Master Ltd; Jump Trading Pacific Pte. Ltd; Jain Global Master Fund Ltd; China Alpha Fund Management (HK) Limited</t>
        </is>
      </c>
      <c r="AC382" s="108" t="inlineStr">
        <is>
          <t>chongqing;shenzhen-lin;gf;new;bess;sanhua;zhongsheng;zhink;gold;honour;hichain;schroder;mirae;new-alternative;psbc;skyler;xingyu;meidong;ghisallo;jump;jain;alpha</t>
        </is>
      </c>
      <c r="AD382" s="112" t="n">
        <v>5.78</v>
      </c>
      <c r="AE382" s="108" t="inlineStr">
        <is>
          <t>partial</t>
        </is>
      </c>
      <c r="AF382" s="108" t="inlineStr">
        <is>
          <t>2025-11-30</t>
        </is>
      </c>
      <c r="AG382" s="108" t="inlineStr">
        <is>
          <t>China International Capital Corporation Hong Kong Securities Limited</t>
        </is>
      </c>
      <c r="AH382" s="108" t="inlineStr">
        <is>
          <t>China International</t>
        </is>
      </c>
      <c r="AI382" s="120" t="n">
        <v>0.68</v>
      </c>
      <c r="AJ382" s="121" t="n">
        <v>0</v>
      </c>
      <c r="AK382" s="121" t="n">
        <v>-0.05</v>
      </c>
      <c r="AL382" s="121" t="n">
        <v>-1.98</v>
      </c>
      <c r="AM382" s="121" t="n">
        <v>2.02</v>
      </c>
      <c r="AN382" s="123" t="n">
        <v>1.71</v>
      </c>
      <c r="AO382" s="112" t="n">
        <v>10.47</v>
      </c>
      <c r="AP382" s="121" t="n">
        <v>-12.17</v>
      </c>
      <c r="AQ382" s="121" t="n">
        <v>-11.94</v>
      </c>
      <c r="AR382" s="121" t="n">
        <v>-26.2</v>
      </c>
      <c r="AS382" s="121" t="n">
        <v>-12.17</v>
      </c>
      <c r="AT382" s="121" t="n">
        <v>-11.94</v>
      </c>
      <c r="AU382" s="121" t="n">
        <v>-26.2</v>
      </c>
      <c r="AV382" s="121" t="n">
        <v>-15.09</v>
      </c>
      <c r="AW382" s="121" t="n">
        <v>-11.49</v>
      </c>
      <c r="AX382" s="121" t="n">
        <v>-24.44</v>
      </c>
      <c r="AY382" s="121" t="n">
        <v>-11.54</v>
      </c>
      <c r="AZ382" s="121" t="n">
        <v>-0.45</v>
      </c>
      <c r="BA382" s="121" t="n">
        <v>-0.4</v>
      </c>
      <c r="BB382" s="108" t="inlineStr">
        <is>
          <t>Hang Seng Commerce &amp; Industry sub-index</t>
        </is>
      </c>
      <c r="BC382" s="121" t="n">
        <v>-71.59999999999999</v>
      </c>
      <c r="BD382" s="109" t="n">
        <v>46297</v>
      </c>
      <c r="BE382" s="110" t="n">
        <v>159625</v>
      </c>
      <c r="BF382" s="113" t="n">
        <v>-1527.6</v>
      </c>
      <c r="BG382" s="108" t="inlineStr">
        <is>
          <t>N</t>
        </is>
      </c>
      <c r="BH382" s="108" t="inlineStr">
        <is>
          <t>n/m</t>
        </is>
      </c>
      <c r="BI382" s="123" t="n">
        <v>25.5</v>
      </c>
      <c r="BJ382" s="123" t="n">
        <v>9.699999999999999</v>
      </c>
      <c r="BK382" s="123" t="n">
        <v>1.4</v>
      </c>
      <c r="BL382" s="124">
        <f>IF('BBG Verify'!S382="","not filed; run on terminal",'BBG Verify'!S382)</f>
        <v/>
      </c>
      <c r="BM382" s="125" t="inlineStr">
        <is>
          <t>Y</t>
        </is>
      </c>
      <c r="BN382" s="108" t="inlineStr">
        <is>
          <t>601127.SS</t>
        </is>
      </c>
      <c r="BO382" s="121" t="n">
        <v>27.41</v>
      </c>
      <c r="BP382" s="111" t="n">
        <v>167.5467</v>
      </c>
      <c r="BQ382" s="135" t="n">
        <v>0.471</v>
      </c>
      <c r="BR382" s="113" t="n">
        <v>95728.10000000001</v>
      </c>
      <c r="BS382" s="124">
        <f>IF('BBG Verify'!Q382="","run on terminal",'BBG Verify'!Q382)</f>
        <v/>
      </c>
      <c r="BT382" s="124">
        <f>IF('BBG Verify'!R382="","run on terminal",'BBG Verify'!R382)</f>
        <v/>
      </c>
      <c r="BU382" s="125" t="inlineStr">
        <is>
          <t>CICC; China Galaxy International</t>
        </is>
      </c>
      <c r="BV382" s="108" t="inlineStr">
        <is>
          <t>China International Capital Corporation Hong Kong Securities Limited; China Galaxy International Securities (Hong Kong) Company Limited</t>
        </is>
      </c>
      <c r="BW382" s="108" t="inlineStr">
        <is>
          <t>China International Capital Corporation Hong Kong Securities Limited; China Galaxy International Securities (Hong Kong) Co., Limited; Huatai Financial Holdings (Hong Kong) Limited</t>
        </is>
      </c>
      <c r="BX382" s="108" t="inlineStr">
        <is>
          <t>China Galaxy International Securities (Hong Kong) Company Limited; China International Capital Corporation Hong Kong Securities Limited; Huatai Financial Holdings (Hong Kong) Limited</t>
        </is>
      </c>
      <c r="BY382" s="127">
        <f>HYPERLINK("https://www1.hkexnews.hk/listedco/listconews/sehk/2025/1027/2025102700059.pdf","prospectus")</f>
        <v/>
      </c>
      <c r="BZ382" s="127">
        <f>HYPERLINK("https://www1.hkexnews.hk/listedco/listconews/sehk/2025/1104/2025110402282.pdf","allotment")</f>
        <v/>
      </c>
      <c r="CA382" s="127">
        <f>HYPERLINK("https://www1.hkexnews.hk/listedco/listconews/sehk/2025/1130/2025113000281.pdf","stabilisation")</f>
        <v/>
      </c>
      <c r="CB382" s="128" t="n"/>
      <c r="CC382" s="108" t="inlineStr">
        <is>
          <t>P/E: loss-making at IPO, use P/S; range low: maximum offer price only, no floor published; A/H: Nov 2025, HK$14.28bn (~US$1.8bn); 3rd-largest HK IPO of 2025; flat debut</t>
        </is>
      </c>
    </row>
    <row r="383" ht="22" customHeight="1">
      <c r="A383" s="107" t="inlineStr">
        <is>
          <t>2630</t>
        </is>
      </c>
      <c r="B383" s="108" t="inlineStr">
        <is>
          <t>VIGONVITA-B</t>
        </is>
      </c>
      <c r="C383" s="108" t="inlineStr">
        <is>
          <t>旺山旺水－Ｂ</t>
        </is>
      </c>
      <c r="D383" s="108" t="inlineStr">
        <is>
          <t>Healthcare</t>
        </is>
      </c>
      <c r="E383" s="108" t="inlineStr">
        <is>
          <t>Biotech pre-revenue (18A)</t>
        </is>
      </c>
      <c r="F383" s="108" t="inlineStr">
        <is>
          <t>Biotechnology - Pharmaceuticals</t>
        </is>
      </c>
      <c r="G383" s="108" t="inlineStr">
        <is>
          <t>18A</t>
        </is>
      </c>
      <c r="H383" s="109" t="n">
        <v>45967</v>
      </c>
      <c r="I383" s="110" t="n">
        <v>587.24</v>
      </c>
      <c r="J383" s="108" t="inlineStr">
        <is>
          <t>gross (stated)</t>
        </is>
      </c>
      <c r="K383" s="129" t="n"/>
      <c r="L383" s="111" t="n">
        <v>34</v>
      </c>
      <c r="M383" s="111" t="n">
        <v>33.37</v>
      </c>
      <c r="N383" s="108" t="inlineStr">
        <is>
          <t>N</t>
        </is>
      </c>
      <c r="O383" s="112" t="n">
        <v>98.09999999999999</v>
      </c>
      <c r="P383" s="118" t="n"/>
      <c r="Q383" s="113" t="n">
        <v>5592.7</v>
      </c>
      <c r="R383" s="108" t="inlineStr">
        <is>
          <t>derived:price x shares upon listing</t>
        </is>
      </c>
      <c r="S383" s="114" t="n">
        <v>6238.42</v>
      </c>
      <c r="T383" s="115" t="n">
        <v>16.87</v>
      </c>
      <c r="U383" s="116" t="n">
        <v>0</v>
      </c>
      <c r="V383" s="117" t="n">
        <v>70</v>
      </c>
      <c r="W383" s="112" t="n">
        <v>10</v>
      </c>
      <c r="X383" s="108" t="inlineStr">
        <is>
          <t>NO</t>
        </is>
      </c>
      <c r="Y383" s="113" t="n">
        <v>587.24</v>
      </c>
      <c r="Z383" s="113" t="n">
        <v>17597800</v>
      </c>
      <c r="AA383" s="112" t="n">
        <v>10.5</v>
      </c>
      <c r="AB383" s="108" t="inlineStr">
        <is>
          <t>none — no cornerstone tranche</t>
        </is>
      </c>
      <c r="AC383" s="108" t="inlineStr">
        <is>
          <t>none</t>
        </is>
      </c>
      <c r="AD383" s="112" t="n">
        <v>6.24</v>
      </c>
      <c r="AE383" s="108" t="inlineStr">
        <is>
          <t>lapsed (no over-allocation)</t>
        </is>
      </c>
      <c r="AF383" s="108" t="inlineStr">
        <is>
          <t>2025-12-03</t>
        </is>
      </c>
      <c r="AG383" s="108" t="inlineStr">
        <is>
          <t>CLSA Limited</t>
        </is>
      </c>
      <c r="AH383" s="108" t="inlineStr">
        <is>
          <t>CLSA</t>
        </is>
      </c>
      <c r="AI383" s="120" t="n">
        <v>154.72</v>
      </c>
      <c r="AJ383" s="121" t="n">
        <v>145.73</v>
      </c>
      <c r="AK383" s="121" t="n">
        <v>0.4</v>
      </c>
      <c r="AL383" s="121" t="n">
        <v>184.69</v>
      </c>
      <c r="AM383" s="121" t="n">
        <v>-13.69</v>
      </c>
      <c r="AN383" s="123" t="n">
        <v>3.14</v>
      </c>
      <c r="AO383" s="112" t="n">
        <v>16.05</v>
      </c>
      <c r="AP383" s="121" t="n">
        <v>64.97</v>
      </c>
      <c r="AQ383" s="121" t="n">
        <v>131.05</v>
      </c>
      <c r="AR383" s="121" t="n">
        <v>216.15</v>
      </c>
      <c r="AS383" s="121" t="n">
        <v>-32.87</v>
      </c>
      <c r="AT383" s="121" t="n">
        <v>-5.97</v>
      </c>
      <c r="AU383" s="121" t="n">
        <v>28.66</v>
      </c>
      <c r="AV383" s="121" t="n">
        <v>61.71</v>
      </c>
      <c r="AW383" s="121" t="n">
        <v>132.59</v>
      </c>
      <c r="AX383" s="121" t="n">
        <v>223.02</v>
      </c>
      <c r="AY383" s="121" t="n">
        <v>-4.04</v>
      </c>
      <c r="AZ383" s="121" t="n">
        <v>-1.54</v>
      </c>
      <c r="BA383" s="121" t="n">
        <v>-1.93</v>
      </c>
      <c r="BB383" s="108" t="inlineStr">
        <is>
          <t>China Biotech ETF (HS biotech proxy)</t>
        </is>
      </c>
      <c r="BC383" s="121" t="n">
        <v>143.33</v>
      </c>
      <c r="BD383" s="109" t="n">
        <v>46297</v>
      </c>
      <c r="BE383" s="110" t="n">
        <v>3.5</v>
      </c>
      <c r="BF383" s="113" t="n">
        <v>-81.2</v>
      </c>
      <c r="BG383" s="108" t="inlineStr">
        <is>
          <t>N</t>
        </is>
      </c>
      <c r="BH383" s="108" t="inlineStr">
        <is>
          <t>n/m</t>
        </is>
      </c>
      <c r="BI383" s="122" t="n"/>
      <c r="BJ383" s="122" t="n"/>
      <c r="BK383" s="123" t="n">
        <v>1597.9</v>
      </c>
      <c r="BL383" s="124">
        <f>IF('BBG Verify'!S383="","not filed; run on terminal",'BBG Verify'!S383)</f>
        <v/>
      </c>
      <c r="BM383" s="125" t="inlineStr">
        <is>
          <t>N</t>
        </is>
      </c>
      <c r="BN383" s="126">
        <f>IF('BBG Verify'!K383="","not filed; run on terminal",'BBG Verify'!K383)</f>
        <v/>
      </c>
      <c r="BO383" s="108" t="inlineStr">
        <is>
          <t>N/A</t>
        </is>
      </c>
      <c r="BP383" s="108" t="inlineStr">
        <is>
          <t>N/A</t>
        </is>
      </c>
      <c r="BQ383" s="108" t="inlineStr">
        <is>
          <t>N/A</t>
        </is>
      </c>
      <c r="BR383" s="108" t="inlineStr">
        <is>
          <t>N/A</t>
        </is>
      </c>
      <c r="BS383" s="108" t="inlineStr">
        <is>
          <t>N/A</t>
        </is>
      </c>
      <c r="BT383" s="108" t="inlineStr">
        <is>
          <t>N/A</t>
        </is>
      </c>
      <c r="BU383" s="125" t="inlineStr">
        <is>
          <t>CITIC Securities (Hong Kong) Limited</t>
        </is>
      </c>
      <c r="BV383" s="108" t="inlineStr">
        <is>
          <t>CITIC Securities (Hong Kong) Limited</t>
        </is>
      </c>
      <c r="BW383" s="108" t="inlineStr">
        <is>
          <t>CLSA Limited; China International Capital Corporation Hong Kong Securities Limited; ABCI Capital Limited; China Galaxy International Securities (Hong Kong) Co., Limited; CCB International Capital Limited; China Everbright Securities (HK) Limited; Futu Securities International (Hong Kong) Limited; Tiger Brokers (HK) Global Limited; Zhongtai International Securities Limited</t>
        </is>
      </c>
      <c r="BX383" s="108" t="inlineStr">
        <is>
          <t>ABCI Securities Company Limited; CCB International Capital Limited; China Everbright Securities (HK) Limited; China Galaxy International Securities (Hong Kong) Company Limited; China International Capital Corporation Hong Kong Securities Limited; CLSA Limited; Futu Securities International (Hong Kong) Limited; Tiger Brokers (HK) Global Limited; Zhongtai International Securities Limited</t>
        </is>
      </c>
      <c r="BY383" s="127">
        <f>HYPERLINK("https://www1.hkexnews.hk/listedco/listconews/sehk/2025/1028/2025102800017.pdf","prospectus")</f>
        <v/>
      </c>
      <c r="BZ383" s="127">
        <f>HYPERLINK("https://www1.hkexnews.hk/listedco/listconews/sehk/2025/1105/2025110502006.pdf","allotment")</f>
        <v/>
      </c>
      <c r="CA383" s="127">
        <f>HYPERLINK("https://www1.hkexnews.hk/listedco/listconews/sehk/2025/1203/2025120300845.pdf","stabilisation")</f>
        <v/>
      </c>
      <c r="CB383" s="128" t="n"/>
      <c r="CC383" s="108" t="inlineStr">
        <is>
          <t>P/E: loss-making at IPO, use P/S; range low: maximum offer price only, no floor published; market cap: prospectus 'market capitalisation' line is the listing-rule threshold, not the issuer's figure; rejected; cornerstone list: no cornerstone tranche; P/S: 1,598x on HK$3.5m revenue, effectively pre-revenue; not comparable</t>
        </is>
      </c>
    </row>
    <row r="384" ht="22" customHeight="1">
      <c r="A384" s="107" t="inlineStr">
        <is>
          <t>2026</t>
        </is>
      </c>
      <c r="B384" s="108" t="inlineStr">
        <is>
          <t>PONY-W</t>
        </is>
      </c>
      <c r="C384" s="108" t="inlineStr">
        <is>
          <t>小馬智行</t>
        </is>
      </c>
      <c r="D384" s="108" t="inlineStr">
        <is>
          <t>Tech/AI</t>
        </is>
      </c>
      <c r="E384" s="108" t="inlineStr">
        <is>
          <t>Robotics &amp; autonomous driving</t>
        </is>
      </c>
      <c r="F384" s="108" t="inlineStr">
        <is>
          <t>Trucking</t>
        </is>
      </c>
      <c r="G384" s="108" t="inlineStr">
        <is>
          <t>WVR</t>
        </is>
      </c>
      <c r="H384" s="109" t="n">
        <v>45967</v>
      </c>
      <c r="I384" s="110" t="n">
        <v>6706.61</v>
      </c>
      <c r="J384" s="108" t="inlineStr">
        <is>
          <t>gross (stated)</t>
        </is>
      </c>
      <c r="K384" s="129" t="n"/>
      <c r="L384" s="111" t="n">
        <v>180</v>
      </c>
      <c r="M384" s="111" t="n">
        <v>139</v>
      </c>
      <c r="N384" s="108" t="inlineStr">
        <is>
          <t>N</t>
        </is>
      </c>
      <c r="O384" s="112" t="n">
        <v>77.2</v>
      </c>
      <c r="P384" s="118" t="n"/>
      <c r="Q384" s="113" t="n">
        <v>60419.9</v>
      </c>
      <c r="R384" s="108" t="inlineStr">
        <is>
          <t>derived:deal size / offer % of enlarged capital</t>
        </is>
      </c>
      <c r="S384" s="114" t="n">
        <v>15.88</v>
      </c>
      <c r="T384" s="115" t="n">
        <v>7.72</v>
      </c>
      <c r="U384" s="116" t="n">
        <v>13.91</v>
      </c>
      <c r="V384" s="117" t="n">
        <v>122</v>
      </c>
      <c r="W384" s="112" t="n">
        <v>8.699999999999999</v>
      </c>
      <c r="X384" s="108" t="inlineStr">
        <is>
          <t>NA</t>
        </is>
      </c>
      <c r="Y384" s="113" t="n">
        <v>5773.72</v>
      </c>
      <c r="Z384" s="113" t="n">
        <v>41537564</v>
      </c>
      <c r="AA384" s="112" t="n">
        <v>9.56</v>
      </c>
      <c r="AB384" s="108" t="inlineStr">
        <is>
          <t>Eastspring Investments (Singapore) Limited; Ghisallo Fund Master Ltd; Athos Capital Limited; Hel Ved Master Fund; Ocean Arete Limited</t>
        </is>
      </c>
      <c r="AC384" s="108" t="inlineStr">
        <is>
          <t>eastspring;ghisallo;athos;hel;ocean</t>
        </is>
      </c>
      <c r="AD384" s="112" t="n">
        <v>15</v>
      </c>
      <c r="AE384" s="108" t="inlineStr">
        <is>
          <t>lapsed</t>
        </is>
      </c>
      <c r="AF384" s="108" t="inlineStr">
        <is>
          <t>2025-12-03</t>
        </is>
      </c>
      <c r="AG384" s="108" t="inlineStr">
        <is>
          <t>Goldman Sachs</t>
        </is>
      </c>
      <c r="AH384" s="108" t="inlineStr">
        <is>
          <t>Goldman Sachs</t>
        </is>
      </c>
      <c r="AI384" s="120" t="n">
        <v>-11.37</v>
      </c>
      <c r="AJ384" s="121" t="n">
        <v>-9.279999999999999</v>
      </c>
      <c r="AK384" s="121" t="n">
        <v>2.73</v>
      </c>
      <c r="AL384" s="121" t="n">
        <v>-10.79</v>
      </c>
      <c r="AM384" s="121" t="n">
        <v>1.69</v>
      </c>
      <c r="AN384" s="123" t="n">
        <v>2.07</v>
      </c>
      <c r="AO384" s="112" t="n">
        <v>5.89</v>
      </c>
      <c r="AP384" s="121" t="n">
        <v>-22.3</v>
      </c>
      <c r="AQ384" s="121" t="n">
        <v>-16.47</v>
      </c>
      <c r="AR384" s="121" t="n">
        <v>-25.4</v>
      </c>
      <c r="AS384" s="121" t="n">
        <v>-14.35</v>
      </c>
      <c r="AT384" s="121" t="n">
        <v>-7.93</v>
      </c>
      <c r="AU384" s="121" t="n">
        <v>-17.77</v>
      </c>
      <c r="AV384" s="121" t="n">
        <v>-25.56</v>
      </c>
      <c r="AW384" s="121" t="n">
        <v>-14.18</v>
      </c>
      <c r="AX384" s="121" t="n">
        <v>-17.64</v>
      </c>
      <c r="AY384" s="121" t="n">
        <v>-3.04</v>
      </c>
      <c r="AZ384" s="121" t="n">
        <v>-2.29</v>
      </c>
      <c r="BA384" s="121" t="n">
        <v>-4.89</v>
      </c>
      <c r="BB384" s="108" t="inlineStr">
        <is>
          <t>HSTECH (Hang Seng TECH ETF)</t>
        </is>
      </c>
      <c r="BC384" s="121" t="n">
        <v>-66.23999999999999</v>
      </c>
      <c r="BD384" s="109" t="n">
        <v>46297</v>
      </c>
      <c r="BE384" s="110" t="n">
        <v>585.2</v>
      </c>
      <c r="BF384" s="113" t="n">
        <v>-2138.1</v>
      </c>
      <c r="BG384" s="108" t="inlineStr">
        <is>
          <t>N</t>
        </is>
      </c>
      <c r="BH384" s="108" t="inlineStr">
        <is>
          <t>n/m</t>
        </is>
      </c>
      <c r="BI384" s="122" t="n"/>
      <c r="BJ384" s="122" t="n"/>
      <c r="BK384" s="123" t="n">
        <v>103.2</v>
      </c>
      <c r="BL384" s="124">
        <f>IF('BBG Verify'!S384="","not filed; run on terminal",'BBG Verify'!S384)</f>
        <v/>
      </c>
      <c r="BM384" s="125" t="inlineStr">
        <is>
          <t>N</t>
        </is>
      </c>
      <c r="BN384" s="126">
        <f>IF('BBG Verify'!K384="","not filed; run on terminal",'BBG Verify'!K384)</f>
        <v/>
      </c>
      <c r="BO384" s="108" t="inlineStr">
        <is>
          <t>N/A</t>
        </is>
      </c>
      <c r="BP384" s="108" t="inlineStr">
        <is>
          <t>N/A</t>
        </is>
      </c>
      <c r="BQ384" s="108" t="inlineStr">
        <is>
          <t>N/A</t>
        </is>
      </c>
      <c r="BR384" s="108" t="inlineStr">
        <is>
          <t>N/A</t>
        </is>
      </c>
      <c r="BS384" s="108" t="inlineStr">
        <is>
          <t>N/A</t>
        </is>
      </c>
      <c r="BT384" s="108" t="inlineStr">
        <is>
          <t>N/A</t>
        </is>
      </c>
      <c r="BU384" s="125" t="inlineStr">
        <is>
          <t>Goldman Sachs (Asia) L.L.C; Merrill Lynch (Asia Pacific) Limited; Deutsche Securities Asia Limited; Huatai Financial Holdings (Hong Kong) Limited</t>
        </is>
      </c>
      <c r="BV384" s="108" t="inlineStr">
        <is>
          <t>Merrill Lynch (Asia Pacific) Limited; Goldman Sachs (Asia) L.L.C.; Huatai Financial Holdings (Hong Kong) Limited; Deutsche Securities Asia Limited</t>
        </is>
      </c>
      <c r="BW384" s="108" t="inlineStr">
        <is>
          <t>Goldman Sachs (Asia) L.L.C; Merrill Lynch (Asia Pacific) Limited; Deutsche Bank AG, Hong Kong Branch; Huatai Financial Holdings (Hong Kong) Limited; CLSA Limited; BOCI Asia Limited</t>
        </is>
      </c>
      <c r="BX384" s="108" t="inlineStr">
        <is>
          <t>BOCI Asia Limited; CLSA Limited; Deutsche Bank AG, Hong Kong Branch; Futu Securities International (Hong Kong) Limited; Goldman Sachs (Asia) L.L.C.; Huatai Financial Holdings (Hong Kong) Limited; Macquarie Capital Limited; Merrill Lynch (Asia Pacific) Limited; Tiger Brokers (HK) Global Limited</t>
        </is>
      </c>
      <c r="BY384" s="127">
        <f>HYPERLINK("https://www1.hkexnews.hk/listedco/listconews/sehk/2025/1028/2025102800087.pdf","prospectus")</f>
        <v/>
      </c>
      <c r="BZ384" s="127">
        <f>HYPERLINK("https://www1.hkexnews.hk/listedco/listconews/sehk/2025/1105/2025110502018.pdf","allotment")</f>
        <v/>
      </c>
      <c r="CA384" s="127">
        <f>HYPERLINK("https://www1.hkexnews.hk/listedco/listconews/sehk/2025/1203/2025120302148.pdf","stabilisation")</f>
        <v/>
      </c>
      <c r="CB384" s="128" t="n"/>
      <c r="CC384" s="108" t="inlineStr">
        <is>
          <t>P/E: loss-making at IPO, use P/S; range low: maximum offer price only, no floor published</t>
        </is>
      </c>
    </row>
    <row r="385" ht="22" customHeight="1">
      <c r="A385" s="107" t="inlineStr">
        <is>
          <t>0699</t>
        </is>
      </c>
      <c r="B385" s="108" t="inlineStr">
        <is>
          <t>JOYSON ELEC</t>
        </is>
      </c>
      <c r="C385" s="108" t="inlineStr">
        <is>
          <t>均勝電子</t>
        </is>
      </c>
      <c r="D385" s="108" t="inlineStr">
        <is>
          <t>Consumer</t>
        </is>
      </c>
      <c r="E385" s="108" t="inlineStr">
        <is>
          <t>Auto parts / supply chain</t>
        </is>
      </c>
      <c r="F385" s="108" t="inlineStr">
        <is>
          <t>Auto Parts &amp; Equipment</t>
        </is>
      </c>
      <c r="G385" s="108" t="inlineStr">
        <is>
          <t>Standard</t>
        </is>
      </c>
      <c r="H385" s="109" t="n">
        <v>45967</v>
      </c>
      <c r="I385" s="110" t="n">
        <v>3412.2</v>
      </c>
      <c r="J385" s="108" t="inlineStr">
        <is>
          <t>gross (stated)</t>
        </is>
      </c>
      <c r="K385" s="129" t="n"/>
      <c r="L385" s="111" t="n">
        <v>23.6</v>
      </c>
      <c r="M385" s="111" t="n">
        <v>22</v>
      </c>
      <c r="N385" s="108" t="inlineStr">
        <is>
          <t>N</t>
        </is>
      </c>
      <c r="O385" s="112" t="n">
        <v>93.2</v>
      </c>
      <c r="P385" s="118" t="n"/>
      <c r="Q385" s="113" t="n">
        <v>26637</v>
      </c>
      <c r="R385" s="108" t="inlineStr">
        <is>
          <t>derived:deal size / offer % of enlarged capital</t>
        </is>
      </c>
      <c r="S385" s="114" t="n">
        <v>147.67</v>
      </c>
      <c r="T385" s="115" t="n">
        <v>9.779999999999999</v>
      </c>
      <c r="U385" s="116" t="n">
        <v>24.38</v>
      </c>
      <c r="V385" s="117" t="n">
        <v>129</v>
      </c>
      <c r="W385" s="112" t="n">
        <v>10</v>
      </c>
      <c r="X385" s="108" t="inlineStr">
        <is>
          <t>NA</t>
        </is>
      </c>
      <c r="Y385" s="113" t="n">
        <v>2580.31</v>
      </c>
      <c r="Z385" s="113" t="n">
        <v>117286620</v>
      </c>
      <c r="AA385" s="112" t="n">
        <v>9.69</v>
      </c>
      <c r="AB385" s="108" t="inlineStr">
        <is>
          <t>Jun Sheng SP; Ningbo Xinzhi Industrial Investment Co., Ltd; Jump Trading Pacific Pte. Ltd; Eastern Bell Capital VIII Investment Limited; PSBC Wealth Management Co., Ltd; Vandi Investments Limited; Fidelidade – Companhia de Seguros, S.A</t>
        </is>
      </c>
      <c r="AC385" s="108" t="inlineStr">
        <is>
          <t>jun;ningbo;jump;eastern-bell;psbc;vandi;fidelidade</t>
        </is>
      </c>
      <c r="AD385" s="112" t="n">
        <v>15</v>
      </c>
      <c r="AE385" s="108" t="inlineStr">
        <is>
          <t>lapsed</t>
        </is>
      </c>
      <c r="AF385" s="119" t="n"/>
      <c r="AG385" s="108" t="inlineStr">
        <is>
          <t>China International Capital Corporation Hong Kong Securities Limited</t>
        </is>
      </c>
      <c r="AH385" s="108" t="inlineStr">
        <is>
          <t>China International</t>
        </is>
      </c>
      <c r="AI385" s="120" t="n">
        <v>-2.73</v>
      </c>
      <c r="AJ385" s="121" t="n">
        <v>-8</v>
      </c>
      <c r="AK385" s="121" t="n">
        <v>2.34</v>
      </c>
      <c r="AL385" s="121" t="n">
        <v>-2.27</v>
      </c>
      <c r="AM385" s="121" t="n">
        <v>-5.86</v>
      </c>
      <c r="AN385" s="123" t="n">
        <v>2.24</v>
      </c>
      <c r="AO385" s="112" t="n">
        <v>7.67</v>
      </c>
      <c r="AP385" s="121" t="n">
        <v>-20.45</v>
      </c>
      <c r="AQ385" s="121" t="n">
        <v>-20.82</v>
      </c>
      <c r="AR385" s="121" t="n">
        <v>-22.86</v>
      </c>
      <c r="AS385" s="121" t="n">
        <v>-13.53</v>
      </c>
      <c r="AT385" s="121" t="n">
        <v>-13.93</v>
      </c>
      <c r="AU385" s="121" t="n">
        <v>-16.15</v>
      </c>
      <c r="AV385" s="121" t="n">
        <v>-24.17</v>
      </c>
      <c r="AW385" s="121" t="n">
        <v>-20.92</v>
      </c>
      <c r="AX385" s="121" t="n">
        <v>-20.29</v>
      </c>
      <c r="AY385" s="121" t="n">
        <v>-11.75</v>
      </c>
      <c r="AZ385" s="121" t="n">
        <v>0.1</v>
      </c>
      <c r="BA385" s="121" t="n">
        <v>-2.18</v>
      </c>
      <c r="BB385" s="108" t="inlineStr">
        <is>
          <t>Hang Seng Commerce &amp; Industry sub-index</t>
        </is>
      </c>
      <c r="BC385" s="121" t="n">
        <v>-44.59</v>
      </c>
      <c r="BD385" s="109" t="n">
        <v>46297</v>
      </c>
      <c r="BE385" s="110" t="n">
        <v>61449.9</v>
      </c>
      <c r="BF385" s="113" t="n">
        <v>1458.9</v>
      </c>
      <c r="BG385" s="108" t="inlineStr">
        <is>
          <t>Y</t>
        </is>
      </c>
      <c r="BH385" s="123" t="n">
        <v>18.3</v>
      </c>
      <c r="BI385" s="122" t="n"/>
      <c r="BJ385" s="122" t="n"/>
      <c r="BK385" s="123" t="n">
        <v>0.4</v>
      </c>
      <c r="BL385" s="124">
        <f>IF('BBG Verify'!S385="","not filed; run on terminal",'BBG Verify'!S385)</f>
        <v/>
      </c>
      <c r="BM385" s="125" t="inlineStr">
        <is>
          <t>Y</t>
        </is>
      </c>
      <c r="BN385" s="108" t="inlineStr">
        <is>
          <t>600699.SS</t>
        </is>
      </c>
      <c r="BO385" s="121" t="n">
        <v>48.18</v>
      </c>
      <c r="BP385" s="111" t="n">
        <v>32.5992</v>
      </c>
      <c r="BQ385" s="135" t="n">
        <v>1.2523</v>
      </c>
      <c r="BR385" s="113" t="n">
        <v>42590.1</v>
      </c>
      <c r="BS385" s="124">
        <f>IF('BBG Verify'!Q385="","run on terminal",'BBG Verify'!Q385)</f>
        <v/>
      </c>
      <c r="BT385" s="124">
        <f>IF('BBG Verify'!R385="","run on terminal",'BBG Verify'!R385)</f>
        <v/>
      </c>
      <c r="BU385" s="125" t="inlineStr">
        <is>
          <t>China International Capital Corporation Hong Kong Securities Limited; UBS Securities Hong Kong Limited</t>
        </is>
      </c>
      <c r="BV385" s="108" t="inlineStr">
        <is>
          <t>China International Capital Corporation Hong Kong Securities Limited; UBS Securities Hong Kong Limited</t>
        </is>
      </c>
      <c r="BW385" s="108" t="inlineStr">
        <is>
          <t>China International Capital Corporation Hong Kong Securities Limited; UBS AG Hong Kong Branch; ABCI Capital Limited; China Renaissance Securities (Hong Kong) Limited</t>
        </is>
      </c>
      <c r="BX385" s="108" t="inlineStr">
        <is>
          <t>ABCI Securities Company Limited; China International Capital Corporation Hong Kong Securities Limited; China Renaissance Securities (Hong Kong) Limited; GF Securities (Hong Kong) Brokerage Limited; UBS AG Hong Kong Branch</t>
        </is>
      </c>
      <c r="BY385" s="127">
        <f>HYPERLINK("https://www1.hkexnews.hk/listedco/listconews/sehk/2025/1028/2025102800057.pdf","prospectus")</f>
        <v/>
      </c>
      <c r="BZ385" s="127">
        <f>HYPERLINK("https://www1.hkexnews.hk/listedco/listconews/sehk/2025/1105/2025110502028.pdf","allotment")</f>
        <v/>
      </c>
      <c r="CA385" s="127">
        <f>HYPERLINK("https://www1.hkexnews.hk/listedco/listconews/sehk/2025/1204/2025120402068.pdf","stabilisation")</f>
        <v/>
      </c>
      <c r="CB385" s="128" t="n"/>
      <c r="CC385" s="108" t="inlineStr">
        <is>
          <t>greenshoe: outcome published; expiry date not in the notice; range low: maximum offer price only, no floor published; A/H: Nov 2025 H listing (auto electronics/safety)</t>
        </is>
      </c>
    </row>
    <row r="386" ht="22" customHeight="1">
      <c r="A386" s="107" t="inlineStr">
        <is>
          <t>2698</t>
        </is>
      </c>
      <c r="B386" s="108" t="inlineStr">
        <is>
          <t>SOFTCARE</t>
        </is>
      </c>
      <c r="C386" s="108" t="inlineStr">
        <is>
          <t>樂舒適</t>
        </is>
      </c>
      <c r="D386" s="108" t="inlineStr">
        <is>
          <t>Consumer</t>
        </is>
      </c>
      <c r="E386" s="108" t="inlineStr">
        <is>
          <t>Retail / distribution</t>
        </is>
      </c>
      <c r="F386" s="108" t="inlineStr">
        <is>
          <t>Children's and Infant Products</t>
        </is>
      </c>
      <c r="G386" s="108" t="inlineStr">
        <is>
          <t>Standard</t>
        </is>
      </c>
      <c r="H386" s="109" t="n">
        <v>45971</v>
      </c>
      <c r="I386" s="110" t="n">
        <v>2381.16</v>
      </c>
      <c r="J386" s="108" t="inlineStr">
        <is>
          <t>gross (stated)</t>
        </is>
      </c>
      <c r="K386" s="111" t="n">
        <v>24.2</v>
      </c>
      <c r="L386" s="111" t="n">
        <v>26.2</v>
      </c>
      <c r="M386" s="111" t="n">
        <v>26.2</v>
      </c>
      <c r="N386" s="108" t="inlineStr">
        <is>
          <t>Y</t>
        </is>
      </c>
      <c r="O386" s="112" t="n">
        <v>100</v>
      </c>
      <c r="P386" s="112" t="n">
        <v>100</v>
      </c>
      <c r="Q386" s="113" t="n">
        <v>14662.4</v>
      </c>
      <c r="R386" s="108" t="inlineStr">
        <is>
          <t>prospectus:stated market capitalisation</t>
        </is>
      </c>
      <c r="S386" s="114" t="n">
        <v>1813.77</v>
      </c>
      <c r="T386" s="115" t="n">
        <v>34.33</v>
      </c>
      <c r="U386" s="116" t="n">
        <v>40.45</v>
      </c>
      <c r="V386" s="117" t="n">
        <v>277</v>
      </c>
      <c r="W386" s="112" t="n">
        <v>10</v>
      </c>
      <c r="X386" s="108" t="inlineStr">
        <is>
          <t>NO</t>
        </is>
      </c>
      <c r="Y386" s="113" t="n">
        <v>1417.98</v>
      </c>
      <c r="Z386" s="113" t="n">
        <v>54121422</v>
      </c>
      <c r="AA386" s="112" t="n">
        <v>9.67</v>
      </c>
      <c r="AB386" s="108" t="inlineStr">
        <is>
          <t>Arc Avenue; Beijing Shunao; CDH Emerging Markets; HCEP Funds; NewTrails Capital; NewTrails Forest; China Southern; Fullgoal Fund; E Fund Management Co., Ltd; E Fund HK; Charisma Mega; TruMed Healthcare; TruMed Innovation Fund; Qihui Runjin; ChinaAMC (HK)</t>
        </is>
      </c>
      <c r="AC386" s="108" t="inlineStr">
        <is>
          <t>arc;beijing-shunao;cdh;hcep;newtrails;southern;fullgoal;fund-management;fund-hk;charisma;trumed;qihui;chinaamc</t>
        </is>
      </c>
      <c r="AD386" s="112" t="n">
        <v>15</v>
      </c>
      <c r="AE386" s="108" t="inlineStr">
        <is>
          <t>full</t>
        </is>
      </c>
      <c r="AF386" s="108" t="inlineStr">
        <is>
          <t>2025-12-05</t>
        </is>
      </c>
      <c r="AG386" s="108" t="inlineStr">
        <is>
          <t>China International Capital Corporation Hong Kong Securities Limited</t>
        </is>
      </c>
      <c r="AH386" s="108" t="inlineStr">
        <is>
          <t>China International</t>
        </is>
      </c>
      <c r="AI386" s="120" t="n">
        <v>35.88</v>
      </c>
      <c r="AJ386" s="121" t="n">
        <v>25.95</v>
      </c>
      <c r="AK386" s="121" t="n">
        <v>1.88</v>
      </c>
      <c r="AL386" s="121" t="n">
        <v>33.51</v>
      </c>
      <c r="AM386" s="121" t="n">
        <v>-5.66</v>
      </c>
      <c r="AN386" s="123" t="n">
        <v>4.69</v>
      </c>
      <c r="AO386" s="112" t="n">
        <v>10.86</v>
      </c>
      <c r="AP386" s="121" t="n">
        <v>17.71</v>
      </c>
      <c r="AQ386" s="121" t="n">
        <v>14.5</v>
      </c>
      <c r="AR386" s="121" t="n">
        <v>17.1</v>
      </c>
      <c r="AS386" s="121" t="n">
        <v>-6.54</v>
      </c>
      <c r="AT386" s="121" t="n">
        <v>-9.09</v>
      </c>
      <c r="AU386" s="121" t="n">
        <v>-7.03</v>
      </c>
      <c r="AV386" s="121" t="n">
        <v>17.93</v>
      </c>
      <c r="AW386" s="121" t="n">
        <v>17.89</v>
      </c>
      <c r="AX386" s="121" t="n">
        <v>18.47</v>
      </c>
      <c r="AY386" s="121" t="n">
        <v>-3.92</v>
      </c>
      <c r="AZ386" s="121" t="n">
        <v>-3.39</v>
      </c>
      <c r="BA386" s="121" t="n">
        <v>-5.17</v>
      </c>
      <c r="BB386" s="108" t="inlineStr">
        <is>
          <t>Hang Seng Commerce &amp; Industry sub-index</t>
        </is>
      </c>
      <c r="BC386" s="121" t="n">
        <v>1.15</v>
      </c>
      <c r="BD386" s="109" t="n">
        <v>46297</v>
      </c>
      <c r="BE386" s="110" t="n">
        <v>3544.2</v>
      </c>
      <c r="BF386" s="113" t="n">
        <v>741.9</v>
      </c>
      <c r="BG386" s="108" t="inlineStr">
        <is>
          <t>Y</t>
        </is>
      </c>
      <c r="BH386" s="123" t="n">
        <v>19.8</v>
      </c>
      <c r="BI386" s="123" t="n">
        <v>22.3</v>
      </c>
      <c r="BJ386" s="123" t="n">
        <v>19.1</v>
      </c>
      <c r="BK386" s="123" t="n">
        <v>4.1</v>
      </c>
      <c r="BL386" s="124">
        <f>IF('BBG Verify'!S386="","not filed; run on terminal",'BBG Verify'!S386)</f>
        <v/>
      </c>
      <c r="BM386" s="125" t="inlineStr">
        <is>
          <t>N</t>
        </is>
      </c>
      <c r="BN386" s="126">
        <f>IF('BBG Verify'!K386="","not filed; run on terminal",'BBG Verify'!K386)</f>
        <v/>
      </c>
      <c r="BO386" s="108" t="inlineStr">
        <is>
          <t>N/A</t>
        </is>
      </c>
      <c r="BP386" s="108" t="inlineStr">
        <is>
          <t>N/A</t>
        </is>
      </c>
      <c r="BQ386" s="108" t="inlineStr">
        <is>
          <t>N/A</t>
        </is>
      </c>
      <c r="BR386" s="108" t="inlineStr">
        <is>
          <t>N/A</t>
        </is>
      </c>
      <c r="BS386" s="108" t="inlineStr">
        <is>
          <t>N/A</t>
        </is>
      </c>
      <c r="BT386" s="108" t="inlineStr">
        <is>
          <t>N/A</t>
        </is>
      </c>
      <c r="BU386" s="125" t="inlineStr">
        <is>
          <t>China International Capital Corporation Hong Kong Securities Limited; CITIC Securities (Hong Kong) Limited; GF Capital (Hong Kong) Limited</t>
        </is>
      </c>
      <c r="BV386" s="108" t="inlineStr">
        <is>
          <t>China International Capital Corporation Hong Kong Securities Limited; CITIC Securities (Hong Kong) Limited; GF Capital (Hong Kong) Limited</t>
        </is>
      </c>
      <c r="BW386" s="108" t="inlineStr">
        <is>
          <t>China International Capital Corporation Hong Kong Securities Limited; CLSA Limited; GF Securities (Hong Kong) Brokerage Limited</t>
        </is>
      </c>
      <c r="BX386" s="108" t="inlineStr">
        <is>
          <t>China International Capital Corporation Hong Kong Securities Limited; CLSA Limited; GF Securities (Hong Kong) Brokerage Limited</t>
        </is>
      </c>
      <c r="BY386" s="127">
        <f>HYPERLINK("https://www1.hkexnews.hk/listedco/listconews/sehk/2025/1031/2025103100021.pdf","prospectus")</f>
        <v/>
      </c>
      <c r="BZ386" s="127">
        <f>HYPERLINK("https://www1.hkexnews.hk/listedco/listconews/sehk/2025/1107/2025110701708.pdf","allotment")</f>
        <v/>
      </c>
      <c r="CA386" s="127">
        <f>HYPERLINK("https://www1.hkexnews.hk/listedco/listconews/sehk/2025/1205/2025120501683.pdf","stabilisation")</f>
        <v/>
      </c>
      <c r="CB386" s="128" t="n"/>
      <c r="CC386" s="108" t="inlineStr"/>
    </row>
    <row r="387" ht="22" customHeight="1">
      <c r="A387" s="107" t="inlineStr">
        <is>
          <t>2579</t>
        </is>
      </c>
      <c r="B387" s="108" t="inlineStr">
        <is>
          <t>CNGR</t>
        </is>
      </c>
      <c r="C387" s="108" t="inlineStr">
        <is>
          <t>中偉新材</t>
        </is>
      </c>
      <c r="D387" s="108" t="inlineStr">
        <is>
          <t>Industrials</t>
        </is>
      </c>
      <c r="E387" s="108" t="inlineStr">
        <is>
          <t>Batteries / energy storage</t>
        </is>
      </c>
      <c r="F387" s="108" t="inlineStr">
        <is>
          <t>Diversified Chemicals</t>
        </is>
      </c>
      <c r="G387" s="108" t="inlineStr">
        <is>
          <t>Standard</t>
        </is>
      </c>
      <c r="H387" s="109" t="n">
        <v>45978</v>
      </c>
      <c r="I387" s="110" t="n">
        <v>3543.7</v>
      </c>
      <c r="J387" s="108" t="inlineStr">
        <is>
          <t>gross (price x shares)</t>
        </is>
      </c>
      <c r="K387" s="129" t="n"/>
      <c r="L387" s="111" t="n">
        <v>37.8</v>
      </c>
      <c r="M387" s="111" t="n">
        <v>34</v>
      </c>
      <c r="N387" s="108" t="inlineStr">
        <is>
          <t>N</t>
        </is>
      </c>
      <c r="O387" s="112" t="n">
        <v>89.90000000000001</v>
      </c>
      <c r="P387" s="118" t="n"/>
      <c r="Q387" s="113" t="n">
        <v>38999</v>
      </c>
      <c r="R387" s="108" t="inlineStr">
        <is>
          <t>aastocks:上市市值 at the struck price</t>
        </is>
      </c>
      <c r="S387" s="114" t="n">
        <v>27.9</v>
      </c>
      <c r="T387" s="115" t="n">
        <v>4.08</v>
      </c>
      <c r="U387" s="116" t="n">
        <v>25.36</v>
      </c>
      <c r="V387" s="117" t="n">
        <v>81</v>
      </c>
      <c r="W387" s="112" t="n">
        <v>10</v>
      </c>
      <c r="X387" s="108" t="inlineStr">
        <is>
          <t>NO</t>
        </is>
      </c>
      <c r="Y387" s="113" t="n">
        <v>2645.02</v>
      </c>
      <c r="Z387" s="113" t="n">
        <v>77793839</v>
      </c>
      <c r="AA387" s="112" t="n">
        <v>6.78</v>
      </c>
      <c r="AB387" s="108" t="inlineStr">
        <is>
          <t>Pointer Investment (Hong Kong) Limited; CALB Group Co., Ltd; Dongsheng Pulead Technology and Guotai Junan Investments (Hong Kong) Limited (in connection with Dongsheng Pulead OTC Swaps); Shanghai Gaoyi and Huatai Capital Investment Limited (in connection with Gaoyi OTC Swaps); Hunan Xingxiang Emerging Industry Investment Fund Partnership (Limited Partnership); Lens International (HK) Limited</t>
        </is>
      </c>
      <c r="AC387" s="108" t="inlineStr">
        <is>
          <t>pointer;calb;dongsheng;shanghai-gaoyi;hunan;lens</t>
        </is>
      </c>
      <c r="AD387" s="112" t="n">
        <v>15</v>
      </c>
      <c r="AE387" s="108" t="inlineStr">
        <is>
          <t>lapsed</t>
        </is>
      </c>
      <c r="AF387" s="119" t="n"/>
      <c r="AG387" s="108" t="inlineStr">
        <is>
          <t>Morgan Stanley Asia Limited</t>
        </is>
      </c>
      <c r="AH387" s="108" t="inlineStr">
        <is>
          <t>Morgan Stanley</t>
        </is>
      </c>
      <c r="AI387" s="139" t="n">
        <v>-2.41</v>
      </c>
      <c r="AJ387" s="121" t="n">
        <v>-0.12</v>
      </c>
      <c r="AK387" s="121" t="n">
        <v>-0.65</v>
      </c>
      <c r="AL387" s="121" t="n">
        <v>0</v>
      </c>
      <c r="AM387" s="121" t="n">
        <v>-0.12</v>
      </c>
      <c r="AN387" s="123" t="n">
        <v>1.64</v>
      </c>
      <c r="AO387" s="112" t="n">
        <v>5.88</v>
      </c>
      <c r="AP387" s="121" t="n">
        <v>-10.88</v>
      </c>
      <c r="AQ387" s="121" t="n">
        <v>-22.65</v>
      </c>
      <c r="AR387" s="121" t="n">
        <v>2.53</v>
      </c>
      <c r="AS387" s="121" t="n">
        <v>-10.77</v>
      </c>
      <c r="AT387" s="121" t="n">
        <v>-22.56</v>
      </c>
      <c r="AU387" s="121" t="n">
        <v>2.65</v>
      </c>
      <c r="AV387" s="121" t="n">
        <v>-7.61</v>
      </c>
      <c r="AW387" s="121" t="n">
        <v>-16.86</v>
      </c>
      <c r="AX387" s="121" t="n">
        <v>7.46</v>
      </c>
      <c r="AY387" s="121" t="n">
        <v>-17.38</v>
      </c>
      <c r="AZ387" s="121" t="n">
        <v>-5.79</v>
      </c>
      <c r="BA387" s="121" t="n">
        <v>-5.18</v>
      </c>
      <c r="BB387" s="108" t="inlineStr">
        <is>
          <t>Hang Seng Commerce &amp; Industry sub-index</t>
        </is>
      </c>
      <c r="BC387" s="121" t="n">
        <v>-39.12</v>
      </c>
      <c r="BD387" s="109" t="n">
        <v>46297</v>
      </c>
      <c r="BE387" s="110" t="n">
        <v>44245.2</v>
      </c>
      <c r="BF387" s="113" t="n">
        <v>1966.5</v>
      </c>
      <c r="BG387" s="108" t="inlineStr">
        <is>
          <t>Y</t>
        </is>
      </c>
      <c r="BH387" s="123" t="n">
        <v>19.8</v>
      </c>
      <c r="BI387" s="123" t="n">
        <v>21.5</v>
      </c>
      <c r="BJ387" s="123" t="n">
        <v>13.4</v>
      </c>
      <c r="BK387" s="123" t="n">
        <v>0.9</v>
      </c>
      <c r="BL387" s="124">
        <f>IF('BBG Verify'!S387="","not filed; run on terminal",'BBG Verify'!S387)</f>
        <v/>
      </c>
      <c r="BM387" s="125" t="inlineStr">
        <is>
          <t>Y</t>
        </is>
      </c>
      <c r="BN387" s="108" t="inlineStr">
        <is>
          <t>300919.SZ</t>
        </is>
      </c>
      <c r="BO387" s="121" t="n">
        <v>59.33</v>
      </c>
      <c r="BP387" s="111" t="n">
        <v>54.1727</v>
      </c>
      <c r="BQ387" s="135" t="n">
        <v>1.1053</v>
      </c>
      <c r="BR387" s="113" t="n">
        <v>45540.2</v>
      </c>
      <c r="BS387" s="124">
        <f>IF('BBG Verify'!Q387="","run on terminal",'BBG Verify'!Q387)</f>
        <v/>
      </c>
      <c r="BT387" s="124">
        <f>IF('BBG Verify'!R387="","run on terminal",'BBG Verify'!R387)</f>
        <v/>
      </c>
      <c r="BU387" s="125" t="inlineStr">
        <is>
          <t>Morgan Stanley Asia Limited; Huatai Financial Holdings (Hong Kong) Limited</t>
        </is>
      </c>
      <c r="BV387" s="108" t="inlineStr">
        <is>
          <t>Morgan Stanley Asia Limited; Huatai Financial Holdings (Hong Kong) Limited</t>
        </is>
      </c>
      <c r="BW387" s="108" t="inlineStr">
        <is>
          <t>Morgan Stanley Asia Limited; Huatai Financial Holdings (Hong Kong) Limited; China International Capital Corporation Hong Kong Securities Limited; BNP Paribas Securities (Asia) Limited; ABCI CAPITAL LIMITED; BOCI Asia Limited; ICBC International Securities Limited; CCB International Capital Limited; Mizuho Securities Asia Limited; Tiger Brokers (HK) Global Limited</t>
        </is>
      </c>
      <c r="BX387" s="108" t="inlineStr">
        <is>
          <t>ABCI Capital Limited; BNP Paribas Securities (Asia) Limited; BOCI Asia Limited; CCB International Capital Limited; China International Capital Corporation Hong Kong Securities Limited; First Shanghai Securities Limited; Huatai Financial Holdings (Hong Kong) Limited; ICBC International Securities Limited; Morgan Stanley Asia Limited; Mizuho Securities Asia Limited; Tiger Brokers (HK) Global Limited</t>
        </is>
      </c>
      <c r="BY387" s="127">
        <f>HYPERLINK("https://www1.hkexnews.hk/listedco/listconews/sehk/2025/1107/2025110700058.htm","prospectus")</f>
        <v/>
      </c>
      <c r="BZ387" s="127">
        <f>HYPERLINK("https://www1.hkexnews.hk/listedco/listconews/sehk/2025/1116/2025111600003.pdf","allotment")</f>
        <v/>
      </c>
      <c r="CA387" s="127">
        <f>HYPERLINK("https://www1.hkexnews.hk/listedco/listconews/sehk/2025/1212/2025121200406.pdf","stabilisation")</f>
        <v/>
      </c>
      <c r="CB387" s="128" t="n"/>
      <c r="CC387" s="108" t="inlineStr">
        <is>
          <t>greenshoe: outcome published; expiry date not in the notice; range low: maximum offer price only, no floor published; A/H: Nov 2025 H listing (battery precursor materials)</t>
        </is>
      </c>
    </row>
    <row r="388" ht="22" customHeight="1">
      <c r="A388" s="107" t="inlineStr">
        <is>
          <t>2788</t>
        </is>
      </c>
      <c r="B388" s="108" t="inlineStr">
        <is>
          <t>CHUANGXIN IND</t>
        </is>
      </c>
      <c r="C388" s="108" t="inlineStr">
        <is>
          <t>創新實業</t>
        </is>
      </c>
      <c r="D388" s="108" t="inlineStr">
        <is>
          <t>Materials/Energy</t>
        </is>
      </c>
      <c r="E388" s="108" t="inlineStr">
        <is>
          <t>Mining / metals</t>
        </is>
      </c>
      <c r="F388" s="108" t="inlineStr">
        <is>
          <t>Aluminum</t>
        </is>
      </c>
      <c r="G388" s="108" t="inlineStr">
        <is>
          <t>Standard</t>
        </is>
      </c>
      <c r="H388" s="109" t="n">
        <v>45985</v>
      </c>
      <c r="I388" s="110" t="n">
        <v>5495</v>
      </c>
      <c r="J388" s="108" t="inlineStr">
        <is>
          <t>gross (stated)</t>
        </is>
      </c>
      <c r="K388" s="111" t="n">
        <v>10.18</v>
      </c>
      <c r="L388" s="111" t="n">
        <v>10.99</v>
      </c>
      <c r="M388" s="111" t="n">
        <v>10.99</v>
      </c>
      <c r="N388" s="108" t="inlineStr">
        <is>
          <t>Y</t>
        </is>
      </c>
      <c r="O388" s="112" t="n">
        <v>100</v>
      </c>
      <c r="P388" s="112" t="n">
        <v>100</v>
      </c>
      <c r="Q388" s="113" t="n">
        <v>19837.5</v>
      </c>
      <c r="R388" s="108" t="inlineStr">
        <is>
          <t>derived:deal size / offer % of enlarged capital</t>
        </is>
      </c>
      <c r="S388" s="114" t="n">
        <v>447.2</v>
      </c>
      <c r="T388" s="115" t="n">
        <v>19.85</v>
      </c>
      <c r="U388" s="116" t="n">
        <v>49.66</v>
      </c>
      <c r="V388" s="117" t="n">
        <v>219</v>
      </c>
      <c r="W388" s="112" t="n">
        <v>10</v>
      </c>
      <c r="X388" s="108" t="inlineStr">
        <is>
          <t>NA</t>
        </is>
      </c>
      <c r="Y388" s="113" t="n">
        <v>2766.18</v>
      </c>
      <c r="Z388" s="113" t="n">
        <v>251700000</v>
      </c>
      <c r="AA388" s="112" t="n">
        <v>13.94</v>
      </c>
      <c r="AB388" s="108" t="inlineStr">
        <is>
          <t>China Hongqiao Group Limited; Taikang Life; Glencore AG; Mercuria Holdings (Singapore) Pte. Ltd; HK Greenwoods; Shanghai Greenwoods and CICC FT (in connection with Greenwoods OTC Swaps); Turquoise Hime (ORIX); Investcorp; CPIC IMHK; GF Fund; Fullgoal HK and Fullgoal Fund; Millennium ICSA; Jane Street; Polymer; Pointer Investment; Brilliant Partners Fund LP and China Core Fund; Cephei Capital</t>
        </is>
      </c>
      <c r="AC388" s="108" t="inlineStr">
        <is>
          <t>hongqiao;taikang;glencore;mercuria;greenwoods;shanghai-greenwoods;turquoise;investcorp;cpic;gf;fullgoal;millennium;jane;polymer;pointer;brilliant;cephei</t>
        </is>
      </c>
      <c r="AD388" s="112" t="n">
        <v>15</v>
      </c>
      <c r="AE388" s="108" t="inlineStr">
        <is>
          <t>full</t>
        </is>
      </c>
      <c r="AF388" s="108" t="inlineStr">
        <is>
          <t>2025-12-19</t>
        </is>
      </c>
      <c r="AG388" s="108" t="inlineStr">
        <is>
          <t>China International Capital Corporation Hong Kong Securities Limited</t>
        </is>
      </c>
      <c r="AH388" s="108" t="inlineStr">
        <is>
          <t>China International</t>
        </is>
      </c>
      <c r="AI388" s="120" t="n">
        <v>30.57</v>
      </c>
      <c r="AJ388" s="121" t="n">
        <v>32.76</v>
      </c>
      <c r="AK388" s="121" t="n">
        <v>2.25</v>
      </c>
      <c r="AL388" s="121" t="n">
        <v>38.31</v>
      </c>
      <c r="AM388" s="121" t="n">
        <v>-4.01</v>
      </c>
      <c r="AN388" s="123" t="n">
        <v>3.41</v>
      </c>
      <c r="AO388" s="112" t="n">
        <v>10.66</v>
      </c>
      <c r="AP388" s="121" t="n">
        <v>59.42</v>
      </c>
      <c r="AQ388" s="121" t="n">
        <v>78.34</v>
      </c>
      <c r="AR388" s="121" t="n">
        <v>115.65</v>
      </c>
      <c r="AS388" s="121" t="n">
        <v>20.08</v>
      </c>
      <c r="AT388" s="121" t="n">
        <v>34.33</v>
      </c>
      <c r="AU388" s="121" t="n">
        <v>62.44</v>
      </c>
      <c r="AV388" s="121" t="n">
        <v>55.74</v>
      </c>
      <c r="AW388" s="121" t="n">
        <v>77.44</v>
      </c>
      <c r="AX388" s="121" t="n">
        <v>115.98</v>
      </c>
      <c r="AY388" s="121" t="n">
        <v>35.65</v>
      </c>
      <c r="AZ388" s="121" t="n">
        <v>0.9</v>
      </c>
      <c r="BA388" s="121" t="n">
        <v>-1.32</v>
      </c>
      <c r="BB388" s="108" t="inlineStr">
        <is>
          <t>Hang Seng Commerce &amp; Industry sub-index</t>
        </is>
      </c>
      <c r="BC388" s="121" t="n">
        <v>35.4</v>
      </c>
      <c r="BD388" s="109" t="n">
        <v>46297</v>
      </c>
      <c r="BE388" s="110" t="n">
        <v>16679.5</v>
      </c>
      <c r="BF388" s="113" t="n">
        <v>2261.8</v>
      </c>
      <c r="BG388" s="108" t="inlineStr">
        <is>
          <t>Y</t>
        </is>
      </c>
      <c r="BH388" s="123" t="n">
        <v>8.800000000000001</v>
      </c>
      <c r="BI388" s="122" t="n"/>
      <c r="BJ388" s="122" t="n"/>
      <c r="BK388" s="123" t="n">
        <v>1.2</v>
      </c>
      <c r="BL388" s="124">
        <f>IF('BBG Verify'!S388="","not filed; run on terminal",'BBG Verify'!S388)</f>
        <v/>
      </c>
      <c r="BM388" s="125" t="inlineStr">
        <is>
          <t>N</t>
        </is>
      </c>
      <c r="BN388" s="126">
        <f>IF('BBG Verify'!K388="","not filed; run on terminal",'BBG Verify'!K388)</f>
        <v/>
      </c>
      <c r="BO388" s="108" t="inlineStr">
        <is>
          <t>N/A</t>
        </is>
      </c>
      <c r="BP388" s="108" t="inlineStr">
        <is>
          <t>N/A</t>
        </is>
      </c>
      <c r="BQ388" s="108" t="inlineStr">
        <is>
          <t>N/A</t>
        </is>
      </c>
      <c r="BR388" s="108" t="inlineStr">
        <is>
          <t>N/A</t>
        </is>
      </c>
      <c r="BS388" s="108" t="inlineStr">
        <is>
          <t>N/A</t>
        </is>
      </c>
      <c r="BT388" s="108" t="inlineStr">
        <is>
          <t>N/A</t>
        </is>
      </c>
      <c r="BU388" s="125" t="inlineStr">
        <is>
          <t>China International Capital Corporation Hong Kong Securities Limited; Huatai Financial Holdings (Hong Kong) Limited</t>
        </is>
      </c>
      <c r="BV388" s="108" t="inlineStr">
        <is>
          <t>China International Capital Corporation Hong Kong Securities Limited; Huatai Financial Holdings (Hong Kong) Limited</t>
        </is>
      </c>
      <c r="BW388" s="108" t="inlineStr">
        <is>
          <t>China International Capital Corporation Hong Kong Securities Limited; Huatai Financial Holdings (Hong Kong) Limited; CMB International Capital Limited; UOB Kay Hian (Hong Kong) Limited; BOCI Asia Limited; South China Securities Limited</t>
        </is>
      </c>
      <c r="BX388" s="108" t="inlineStr">
        <is>
          <t>AVICT Global Asset Management Limited; BOCI Asia Limited; China International Capital Corporation Hong Kong Securities Limited; CMB International Capital Limited; Futu Securities International (Hong Kong) Limited; Huatai Financial Holdings (Hong Kong) Limited; Livermore Holdings Limited; South China Securities Limited; Tiger Brokers (HK) Global Limited; UOB Kay Hian (Hong Kong) Limited</t>
        </is>
      </c>
      <c r="BY388" s="127">
        <f>HYPERLINK("https://www1.hkexnews.hk/listedco/listconews/sehk/2025/1114/2025111400009.pdf","prospectus")</f>
        <v/>
      </c>
      <c r="BZ388" s="127">
        <f>HYPERLINK("https://www1.hkexnews.hk/listedco/listconews/sehk/2025/1121/2025112101421.pdf","allotment")</f>
        <v/>
      </c>
      <c r="CA388" s="127">
        <f>HYPERLINK("https://www1.hkexnews.hk/listedco/listconews/sehk/2025/1219/2025121901467.pdf","stabilisation")</f>
        <v/>
      </c>
      <c r="CB388" s="128" t="n"/>
      <c r="CC388" s="108" t="inlineStr"/>
    </row>
    <row r="389" ht="22" customHeight="1">
      <c r="A389" s="107" t="inlineStr">
        <is>
          <t>2685</t>
        </is>
      </c>
      <c r="B389" s="108" t="inlineStr">
        <is>
          <t>QUANTGROUP</t>
        </is>
      </c>
      <c r="C389" s="108" t="inlineStr">
        <is>
          <t>量化派</t>
        </is>
      </c>
      <c r="D389" s="108" t="inlineStr">
        <is>
          <t>Tech/AI</t>
        </is>
      </c>
      <c r="E389" s="108" t="inlineStr">
        <is>
          <t>Internet platform / e-commerce</t>
        </is>
      </c>
      <c r="F389" s="108" t="inlineStr">
        <is>
          <t>e-Commerce &amp; Internet Services</t>
        </is>
      </c>
      <c r="G389" s="108" t="inlineStr">
        <is>
          <t>Standard</t>
        </is>
      </c>
      <c r="H389" s="109" t="n">
        <v>45988</v>
      </c>
      <c r="I389" s="110" t="n">
        <v>130.81</v>
      </c>
      <c r="J389" s="108" t="inlineStr">
        <is>
          <t>gross (stated)</t>
        </is>
      </c>
      <c r="K389" s="111" t="n">
        <v>8.800000000000001</v>
      </c>
      <c r="L389" s="111" t="n">
        <v>9.800000000000001</v>
      </c>
      <c r="M389" s="111" t="n">
        <v>9.800000000000001</v>
      </c>
      <c r="N389" s="108" t="inlineStr">
        <is>
          <t>Y</t>
        </is>
      </c>
      <c r="O389" s="112" t="n">
        <v>100</v>
      </c>
      <c r="P389" s="112" t="n">
        <v>100</v>
      </c>
      <c r="Q389" s="113" t="n">
        <v>5031.2</v>
      </c>
      <c r="R389" s="108" t="inlineStr">
        <is>
          <t>derived:deal size / offer % of enlarged capital</t>
        </is>
      </c>
      <c r="S389" s="114" t="n">
        <v>9366.280000000001</v>
      </c>
      <c r="T389" s="115" t="n">
        <v>15.07</v>
      </c>
      <c r="U389" s="116" t="n">
        <v>0</v>
      </c>
      <c r="V389" s="117" t="n">
        <v>97</v>
      </c>
      <c r="W389" s="112" t="n">
        <v>10</v>
      </c>
      <c r="X389" s="108" t="inlineStr">
        <is>
          <t>NO</t>
        </is>
      </c>
      <c r="Y389" s="113" t="n">
        <v>130.81</v>
      </c>
      <c r="Z389" s="131" t="n"/>
      <c r="AA389" s="112" t="n">
        <v>2.6</v>
      </c>
      <c r="AB389" s="108" t="inlineStr">
        <is>
          <t>none — no cornerstone tranche</t>
        </is>
      </c>
      <c r="AC389" s="108" t="inlineStr">
        <is>
          <t>none</t>
        </is>
      </c>
      <c r="AD389" s="112" t="n">
        <v>15</v>
      </c>
      <c r="AE389" s="108" t="inlineStr">
        <is>
          <t>partial</t>
        </is>
      </c>
      <c r="AF389" s="108" t="inlineStr">
        <is>
          <t>2025-12-24</t>
        </is>
      </c>
      <c r="AG389" s="108" t="inlineStr">
        <is>
          <t>China International Capital Corporation Hong Kong Securities Limited</t>
        </is>
      </c>
      <c r="AH389" s="108" t="inlineStr">
        <is>
          <t>China International</t>
        </is>
      </c>
      <c r="AI389" s="120" t="n">
        <v>185.71</v>
      </c>
      <c r="AJ389" s="121" t="n">
        <v>88.78</v>
      </c>
      <c r="AK389" s="121" t="n">
        <v>-0.36</v>
      </c>
      <c r="AL389" s="121" t="n">
        <v>165.31</v>
      </c>
      <c r="AM389" s="121" t="n">
        <v>-28.85</v>
      </c>
      <c r="AN389" s="123" t="n">
        <v>3.67</v>
      </c>
      <c r="AO389" s="112" t="n">
        <v>36.54</v>
      </c>
      <c r="AP389" s="121" t="n">
        <v>189.8</v>
      </c>
      <c r="AQ389" s="121" t="n">
        <v>177.76</v>
      </c>
      <c r="AR389" s="121" t="n">
        <v>208.98</v>
      </c>
      <c r="AS389" s="121" t="n">
        <v>53.51</v>
      </c>
      <c r="AT389" s="121" t="n">
        <v>47.13</v>
      </c>
      <c r="AU389" s="121" t="n">
        <v>63.67</v>
      </c>
      <c r="AV389" s="121" t="n">
        <v>189.89</v>
      </c>
      <c r="AW389" s="121" t="n">
        <v>178.58</v>
      </c>
      <c r="AX389" s="121" t="n">
        <v>223.24</v>
      </c>
      <c r="AY389" s="121" t="n">
        <v>47.59</v>
      </c>
      <c r="AZ389" s="121" t="n">
        <v>-0.82</v>
      </c>
      <c r="BA389" s="121" t="n">
        <v>-0.46</v>
      </c>
      <c r="BB389" s="108" t="inlineStr">
        <is>
          <t>HSTECH (Hang Seng TECH ETF)</t>
        </is>
      </c>
      <c r="BC389" s="121" t="n">
        <v>-61.22</v>
      </c>
      <c r="BD389" s="109" t="n">
        <v>46297</v>
      </c>
      <c r="BE389" s="110" t="n">
        <v>1092.3</v>
      </c>
      <c r="BF389" s="113" t="n">
        <v>161.8</v>
      </c>
      <c r="BG389" s="108" t="inlineStr">
        <is>
          <t>Y</t>
        </is>
      </c>
      <c r="BH389" s="123" t="n">
        <v>31.1</v>
      </c>
      <c r="BI389" s="122" t="n"/>
      <c r="BJ389" s="122" t="n"/>
      <c r="BK389" s="123" t="n">
        <v>4.6</v>
      </c>
      <c r="BL389" s="124">
        <f>IF('BBG Verify'!S389="","not filed; run on terminal",'BBG Verify'!S389)</f>
        <v/>
      </c>
      <c r="BM389" s="125" t="inlineStr">
        <is>
          <t>N</t>
        </is>
      </c>
      <c r="BN389" s="126">
        <f>IF('BBG Verify'!K389="","not filed; run on terminal",'BBG Verify'!K389)</f>
        <v/>
      </c>
      <c r="BO389" s="108" t="inlineStr">
        <is>
          <t>N/A</t>
        </is>
      </c>
      <c r="BP389" s="108" t="inlineStr">
        <is>
          <t>N/A</t>
        </is>
      </c>
      <c r="BQ389" s="108" t="inlineStr">
        <is>
          <t>N/A</t>
        </is>
      </c>
      <c r="BR389" s="108" t="inlineStr">
        <is>
          <t>N/A</t>
        </is>
      </c>
      <c r="BS389" s="108" t="inlineStr">
        <is>
          <t>N/A</t>
        </is>
      </c>
      <c r="BT389" s="108" t="inlineStr">
        <is>
          <t>N/A</t>
        </is>
      </c>
      <c r="BU389" s="125" t="inlineStr">
        <is>
          <t>China International Capital Corporation Hong Kong Securities Limited; Hong Kong SAR CITIC Securities (Hong Kong) Limited</t>
        </is>
      </c>
      <c r="BV389" s="108" t="inlineStr">
        <is>
          <t>China International Capital Corporation Hong Kong Securities Limited; CITIC Securities (Hong Kong) Limited</t>
        </is>
      </c>
      <c r="BW389" s="108" t="inlineStr">
        <is>
          <t>China International Capital Corporation Hong Kong Securities Limited; CLSA Limited; Hong Kong SAR Fosun International Securities Limited; Hong Kong SAR CLSA Limited; Hong Kong SAR Futu Securities International (Hong Kong) Limited; No.95 Queensway Admiralty Hong Kong SAR Tiger Brokers (HK) Global Limited</t>
        </is>
      </c>
      <c r="BX389" s="108" t="inlineStr">
        <is>
          <t>China International Capital Corporation Hong Kong Securities Limited; CLSA Limited; Fosun International Securities Limited; Futu Securities International (Hong Kong) Limited; Tiger Brokers (HK) Global Limited</t>
        </is>
      </c>
      <c r="BY389" s="127">
        <f>HYPERLINK("https://www1.hkexnews.hk/listedco/listconews/sehk/2025/1119/2025111900009.pdf","prospectus")</f>
        <v/>
      </c>
      <c r="BZ389" s="127">
        <f>HYPERLINK("https://www1.hkexnews.hk/listedco/listconews/sehk/2025/1126/2025112601522.pdf","allotment")</f>
        <v/>
      </c>
      <c r="CA389" s="127">
        <f>HYPERLINK("https://www1.hkexnews.hk/listedco/listconews/sehk/2025/1224/2025122401992.pdf","stabilisation")</f>
        <v/>
      </c>
      <c r="CB389" s="128" t="n"/>
      <c r="CC389" s="108" t="inlineStr">
        <is>
          <t>cornerstone list: no cornerstone tranche; eff float shares: share count unavailable; the HK$m figure is exact</t>
        </is>
      </c>
    </row>
    <row r="390" ht="22" customHeight="1">
      <c r="A390" s="107" t="inlineStr">
        <is>
          <t>9609</t>
        </is>
      </c>
      <c r="B390" s="108" t="inlineStr">
        <is>
          <t>HAIWEI ELEC</t>
        </is>
      </c>
      <c r="C390" s="108" t="inlineStr">
        <is>
          <t>海偉股份</t>
        </is>
      </c>
      <c r="D390" s="108" t="inlineStr">
        <is>
          <t>Materials/Energy</t>
        </is>
      </c>
      <c r="E390" s="108" t="inlineStr">
        <is>
          <t>Chemicals</t>
        </is>
      </c>
      <c r="F390" s="108" t="inlineStr">
        <is>
          <t>Electrical Components &amp; Equipment</t>
        </is>
      </c>
      <c r="G390" s="108" t="inlineStr">
        <is>
          <t>Standard</t>
        </is>
      </c>
      <c r="H390" s="109" t="n">
        <v>45989</v>
      </c>
      <c r="I390" s="110" t="n">
        <v>506.31</v>
      </c>
      <c r="J390" s="108" t="inlineStr">
        <is>
          <t>gross (stated)</t>
        </is>
      </c>
      <c r="K390" s="129" t="n"/>
      <c r="L390" s="111" t="n">
        <v>14.28</v>
      </c>
      <c r="M390" s="111" t="n">
        <v>14.28</v>
      </c>
      <c r="N390" s="108" t="inlineStr">
        <is>
          <t>Y</t>
        </is>
      </c>
      <c r="O390" s="112" t="n">
        <v>100</v>
      </c>
      <c r="P390" s="118" t="n"/>
      <c r="Q390" s="113" t="n">
        <v>17399</v>
      </c>
      <c r="R390" s="108" t="inlineStr">
        <is>
          <t>derived:deal size / offer % of enlarged capital</t>
        </is>
      </c>
      <c r="S390" s="114" t="n">
        <v>5426.27</v>
      </c>
      <c r="T390" s="115" t="n">
        <v>6.11</v>
      </c>
      <c r="U390" s="116" t="n">
        <v>42.67</v>
      </c>
      <c r="V390" s="117" t="n">
        <v>54</v>
      </c>
      <c r="W390" s="112" t="n">
        <v>10</v>
      </c>
      <c r="X390" s="108" t="inlineStr">
        <is>
          <t>NA</t>
        </is>
      </c>
      <c r="Y390" s="113" t="n">
        <v>290.27</v>
      </c>
      <c r="Z390" s="113" t="n">
        <v>20326925</v>
      </c>
      <c r="AA390" s="112" t="n">
        <v>1.67</v>
      </c>
      <c r="AB390" s="108" t="inlineStr">
        <is>
          <t>Horizon Splendor Limited</t>
        </is>
      </c>
      <c r="AC390" s="108" t="inlineStr">
        <is>
          <t>horizon</t>
        </is>
      </c>
      <c r="AD390" s="112" t="n">
        <v>15</v>
      </c>
      <c r="AE390" s="108" t="inlineStr">
        <is>
          <t>partial</t>
        </is>
      </c>
      <c r="AF390" s="108" t="inlineStr">
        <is>
          <t>2025-12-25</t>
        </is>
      </c>
      <c r="AG390" s="108" t="inlineStr">
        <is>
          <t>China International Capital Corporation Hong Kong Securities Limited</t>
        </is>
      </c>
      <c r="AH390" s="108" t="inlineStr">
        <is>
          <t>China International</t>
        </is>
      </c>
      <c r="AI390" s="139" t="n">
        <v>0.49</v>
      </c>
      <c r="AJ390" s="121" t="n">
        <v>-22.97</v>
      </c>
      <c r="AK390" s="121" t="n">
        <v>-0.15</v>
      </c>
      <c r="AL390" s="121" t="n">
        <v>-5.46</v>
      </c>
      <c r="AM390" s="121" t="n">
        <v>-18.52</v>
      </c>
      <c r="AN390" s="123" t="n">
        <v>4.55</v>
      </c>
      <c r="AO390" s="112" t="n">
        <v>18.52</v>
      </c>
      <c r="AP390" s="121" t="n">
        <v>-21.5</v>
      </c>
      <c r="AQ390" s="121" t="n">
        <v>-35.43</v>
      </c>
      <c r="AR390" s="121" t="n">
        <v>-36.2</v>
      </c>
      <c r="AS390" s="121" t="n">
        <v>1.91</v>
      </c>
      <c r="AT390" s="121" t="n">
        <v>-16.18</v>
      </c>
      <c r="AU390" s="121" t="n">
        <v>-17.18</v>
      </c>
      <c r="AV390" s="121" t="n">
        <v>-22.87</v>
      </c>
      <c r="AW390" s="121" t="n">
        <v>-32.73</v>
      </c>
      <c r="AX390" s="121" t="n">
        <v>-27.85</v>
      </c>
      <c r="AY390" s="121" t="n">
        <v>-13.62</v>
      </c>
      <c r="AZ390" s="121" t="n">
        <v>-2.7</v>
      </c>
      <c r="BA390" s="121" t="n">
        <v>-2.56</v>
      </c>
      <c r="BB390" s="108" t="inlineStr">
        <is>
          <t>Hang Seng Commerce &amp; Industry sub-index</t>
        </is>
      </c>
      <c r="BC390" s="121" t="n">
        <v>-51.72</v>
      </c>
      <c r="BD390" s="109" t="n">
        <v>46297</v>
      </c>
      <c r="BE390" s="110" t="n">
        <v>463.9</v>
      </c>
      <c r="BF390" s="113" t="n">
        <v>95.09999999999999</v>
      </c>
      <c r="BG390" s="108" t="inlineStr">
        <is>
          <t>Y</t>
        </is>
      </c>
      <c r="BH390" s="123" t="n">
        <v>183</v>
      </c>
      <c r="BI390" s="122" t="n"/>
      <c r="BJ390" s="122" t="n"/>
      <c r="BK390" s="123" t="n">
        <v>37.5</v>
      </c>
      <c r="BL390" s="124">
        <f>IF('BBG Verify'!S390="","not filed; run on terminal",'BBG Verify'!S390)</f>
        <v/>
      </c>
      <c r="BM390" s="125" t="inlineStr">
        <is>
          <t>N</t>
        </is>
      </c>
      <c r="BN390" s="126">
        <f>IF('BBG Verify'!K390="","not filed; run on terminal",'BBG Verify'!K390)</f>
        <v/>
      </c>
      <c r="BO390" s="108" t="inlineStr">
        <is>
          <t>N/A</t>
        </is>
      </c>
      <c r="BP390" s="108" t="inlineStr">
        <is>
          <t>N/A</t>
        </is>
      </c>
      <c r="BQ390" s="108" t="inlineStr">
        <is>
          <t>N/A</t>
        </is>
      </c>
      <c r="BR390" s="108" t="inlineStr">
        <is>
          <t>N/A</t>
        </is>
      </c>
      <c r="BS390" s="108" t="inlineStr">
        <is>
          <t>N/A</t>
        </is>
      </c>
      <c r="BT390" s="108" t="inlineStr">
        <is>
          <t>N/A</t>
        </is>
      </c>
      <c r="BU390" s="125" t="inlineStr">
        <is>
          <t>China International Capital Corporation Hong Kong Securities Limited</t>
        </is>
      </c>
      <c r="BV390" s="108" t="inlineStr">
        <is>
          <t>China International Capital Corporation Hong Kong Securities Limited</t>
        </is>
      </c>
      <c r="BW390" s="108" t="inlineStr">
        <is>
          <t>China International Capital Corporation Hong Kong Securities Limited; China Securities (International) Corporate Finance Company Limited; CLSA Limited; CCB International Capital Limited; BOCI Asia Limited; Huizhi International Capital Holdings Co., Limited</t>
        </is>
      </c>
      <c r="BX390" s="108" t="inlineStr">
        <is>
          <t>BOCI Asia Limited; CCB International Capital Limited; China International Capital Corporation Hong Kong Securities Limited; CLSA Limited; China Securities (International) Corporate Finance Company Limited; Futu Securities International (Hong Kong) Limited; Huizhi International Capital Holdings Co., Limited; Livermore Holdings Limited</t>
        </is>
      </c>
      <c r="BY390" s="127">
        <f>HYPERLINK("https://www1.hkexnews.hk/listedco/listconews/sehk/2025/1120/2025112000009.pdf","prospectus")</f>
        <v/>
      </c>
      <c r="BZ390" s="127">
        <f>HYPERLINK("https://www1.hkexnews.hk/listedco/listconews/sehk/2025/1127/2025112701630.pdf","allotment")</f>
        <v/>
      </c>
      <c r="CA390" s="127">
        <f>HYPERLINK("https://www1.hkexnews.hk/listedco/listconews/sehk/2025/1228/2025122800169.pdf","stabilisation")</f>
        <v/>
      </c>
      <c r="CB390" s="128" t="n"/>
      <c r="CC390" s="108" t="inlineStr">
        <is>
          <t>range low: maximum offer price only, no floor published</t>
        </is>
      </c>
    </row>
    <row r="391" ht="22" customHeight="1">
      <c r="A391" s="107" t="inlineStr">
        <is>
          <t>2539</t>
        </is>
      </c>
      <c r="B391" s="108" t="inlineStr">
        <is>
          <t>LEMO SERVICES</t>
        </is>
      </c>
      <c r="C391" s="108" t="inlineStr">
        <is>
          <t>樂摩科技</t>
        </is>
      </c>
      <c r="D391" s="108" t="inlineStr">
        <is>
          <t>Real Estate</t>
        </is>
      </c>
      <c r="E391" s="108" t="inlineStr">
        <is>
          <t>Property management</t>
        </is>
      </c>
      <c r="F391" s="108" t="inlineStr">
        <is>
          <t>Leisure Products</t>
        </is>
      </c>
      <c r="G391" s="108" t="inlineStr">
        <is>
          <t>Standard</t>
        </is>
      </c>
      <c r="H391" s="109" t="n">
        <v>45994</v>
      </c>
      <c r="I391" s="110" t="n">
        <v>222.22</v>
      </c>
      <c r="J391" s="108" t="inlineStr">
        <is>
          <t>gross (stated)</t>
        </is>
      </c>
      <c r="K391" s="111" t="n">
        <v>27</v>
      </c>
      <c r="L391" s="111" t="n">
        <v>40</v>
      </c>
      <c r="M391" s="111" t="n">
        <v>40</v>
      </c>
      <c r="N391" s="108" t="inlineStr">
        <is>
          <t>Y</t>
        </is>
      </c>
      <c r="O391" s="112" t="n">
        <v>100</v>
      </c>
      <c r="P391" s="112" t="n">
        <v>100</v>
      </c>
      <c r="Q391" s="113" t="n">
        <v>2222.2</v>
      </c>
      <c r="R391" s="108" t="inlineStr">
        <is>
          <t>derived:price x shares upon listing</t>
        </is>
      </c>
      <c r="S391" s="114" t="n">
        <v>7324.29</v>
      </c>
      <c r="T391" s="115" t="n">
        <v>6.78</v>
      </c>
      <c r="U391" s="116" t="n">
        <v>0</v>
      </c>
      <c r="V391" s="117" t="n">
        <v>131</v>
      </c>
      <c r="W391" s="112" t="n">
        <v>10</v>
      </c>
      <c r="X391" s="108" t="inlineStr">
        <is>
          <t>NA</t>
        </is>
      </c>
      <c r="Y391" s="113" t="n">
        <v>222.22</v>
      </c>
      <c r="Z391" s="113" t="n">
        <v>5555600</v>
      </c>
      <c r="AA391" s="112" t="n">
        <v>10</v>
      </c>
      <c r="AB391" s="108" t="inlineStr">
        <is>
          <t>none — no cornerstone tranche</t>
        </is>
      </c>
      <c r="AC391" s="108" t="inlineStr">
        <is>
          <t>none</t>
        </is>
      </c>
      <c r="AD391" s="118" t="n"/>
      <c r="AE391" s="119" t="n"/>
      <c r="AF391" s="119" t="n"/>
      <c r="AG391" s="119" t="n"/>
      <c r="AH391" s="119" t="n"/>
      <c r="AI391" s="120" t="n">
        <v>62.5</v>
      </c>
      <c r="AJ391" s="121" t="n">
        <v>36.25</v>
      </c>
      <c r="AK391" s="121" t="n">
        <v>-1.61</v>
      </c>
      <c r="AL391" s="121" t="n">
        <v>62</v>
      </c>
      <c r="AM391" s="121" t="n">
        <v>-15.9</v>
      </c>
      <c r="AN391" s="123" t="n">
        <v>4.6</v>
      </c>
      <c r="AO391" s="112" t="n">
        <v>45.29</v>
      </c>
      <c r="AP391" s="121" t="n">
        <v>66.75</v>
      </c>
      <c r="AQ391" s="121" t="n">
        <v>-16.05</v>
      </c>
      <c r="AR391" s="121" t="n">
        <v>-55.7</v>
      </c>
      <c r="AS391" s="121" t="n">
        <v>22.39</v>
      </c>
      <c r="AT391" s="121" t="n">
        <v>-38.39</v>
      </c>
      <c r="AU391" s="121" t="n">
        <v>-67.48999999999999</v>
      </c>
      <c r="AV391" s="121" t="n">
        <v>71.5</v>
      </c>
      <c r="AW391" s="121" t="n">
        <v>-14.01</v>
      </c>
      <c r="AX391" s="121" t="n">
        <v>-68.91</v>
      </c>
      <c r="AY391" s="121" t="n">
        <v>-37.95</v>
      </c>
      <c r="AZ391" s="121" t="n">
        <v>-2.04</v>
      </c>
      <c r="BA391" s="121" t="n">
        <v>-0.44</v>
      </c>
      <c r="BB391" s="108" t="inlineStr">
        <is>
          <t>Hang Seng Properties sub-index</t>
        </is>
      </c>
      <c r="BC391" s="121" t="n">
        <v>-78.5</v>
      </c>
      <c r="BD391" s="109" t="n">
        <v>46297</v>
      </c>
      <c r="BE391" s="110" t="n">
        <v>877.8</v>
      </c>
      <c r="BF391" s="113" t="n">
        <v>94.40000000000001</v>
      </c>
      <c r="BG391" s="108" t="inlineStr">
        <is>
          <t>Y</t>
        </is>
      </c>
      <c r="BH391" s="123" t="n">
        <v>23.5</v>
      </c>
      <c r="BI391" s="122" t="n"/>
      <c r="BJ391" s="122" t="n"/>
      <c r="BK391" s="123" t="n">
        <v>2.5</v>
      </c>
      <c r="BL391" s="124">
        <f>IF('BBG Verify'!S391="","not filed; run on terminal",'BBG Verify'!S391)</f>
        <v/>
      </c>
      <c r="BM391" s="125" t="inlineStr">
        <is>
          <t>N</t>
        </is>
      </c>
      <c r="BN391" s="126">
        <f>IF('BBG Verify'!K391="","not filed; run on terminal",'BBG Verify'!K391)</f>
        <v/>
      </c>
      <c r="BO391" s="108" t="inlineStr">
        <is>
          <t>N/A</t>
        </is>
      </c>
      <c r="BP391" s="108" t="inlineStr">
        <is>
          <t>N/A</t>
        </is>
      </c>
      <c r="BQ391" s="108" t="inlineStr">
        <is>
          <t>N/A</t>
        </is>
      </c>
      <c r="BR391" s="108" t="inlineStr">
        <is>
          <t>N/A</t>
        </is>
      </c>
      <c r="BS391" s="108" t="inlineStr">
        <is>
          <t>N/A</t>
        </is>
      </c>
      <c r="BT391" s="108" t="inlineStr">
        <is>
          <t>N/A</t>
        </is>
      </c>
      <c r="BU391" s="125" t="inlineStr">
        <is>
          <t>China Securities (International) Corporate Finance Company Limited; Shenwan Hongyuan Capital (H.K.) Limited</t>
        </is>
      </c>
      <c r="BV391" s="108" t="inlineStr">
        <is>
          <t>China Securities (International) Corporate Finance Company Limited; Shenwan Hongyuan Capital (H.K.) Limited</t>
        </is>
      </c>
      <c r="BW391" s="108" t="inlineStr">
        <is>
          <t>China Securities (International) Corporate Finance Company Limited; Shenwan Hongyuan Securities (H.K.) Limited; SPDB International Capital Limited; CMB International Capital Limited; BOCI Asia Limited; ICBC International Securities Limited; CCB International Capital Limited; Guoyuan Securities Brokerage (Hong Kong) Limited; ABCI Capital Limited; ABCI Securities Company Limited</t>
        </is>
      </c>
      <c r="BX391" s="108" t="inlineStr">
        <is>
          <t>ABCI Securities Company Limited; Beta International Securities Limited; BOCI Asia Limited; CCB International Capital Limited; CMB International Capital Limited; China Securities (International) Corporate Finance Company Limited; Guoyuan Securities Brokerage (Hong Kong) Limited; ICBC International Securities Limited; Livermore Holdings Limited; Quam Securities Limited; Shenwan Hongyuan Securities (H.K.) Limited; SPDB International Capital Limited</t>
        </is>
      </c>
      <c r="BY391" s="127">
        <f>HYPERLINK("https://www1.hkexnews.hk/listedco/listconews/sehk/2025/1125/2025112500051.pdf","prospectus")</f>
        <v/>
      </c>
      <c r="BZ391" s="127">
        <f>HYPERLINK("https://www1.hkexnews.hk/listedco/listconews/sehk/2025/1202/2025120202454.pdf","allotment")</f>
        <v/>
      </c>
      <c r="CA391" s="119" t="n"/>
      <c r="CB391" s="128" t="n"/>
      <c r="CC391" s="108" t="inlineStr">
        <is>
          <t>greenshoe: no over-allotment option; market cap: prospectus 'market capitalisation' line is the listing-rule threshold, not the issuer's figure; rejected; cornerstone list: no cornerstone tranche; greenshoe size: no over-allotment option; stabilising manager: filing states none appointed (allotment announcement: 'no stabilizing manager will be appointed' stated in the filing)</t>
        </is>
      </c>
    </row>
    <row r="392" ht="22" customHeight="1">
      <c r="A392" s="107" t="inlineStr">
        <is>
          <t>2693</t>
        </is>
      </c>
      <c r="B392" s="108" t="inlineStr">
        <is>
          <t>JINYAN KAOLIN</t>
        </is>
      </c>
      <c r="C392" s="108" t="inlineStr">
        <is>
          <t>金岩高嶺新材</t>
        </is>
      </c>
      <c r="D392" s="108" t="inlineStr">
        <is>
          <t>Materials/Energy</t>
        </is>
      </c>
      <c r="E392" s="108" t="inlineStr">
        <is>
          <t>Mining / metals</t>
        </is>
      </c>
      <c r="F392" s="108" t="inlineStr">
        <is>
          <t>Diversified Metals &amp; Minerals</t>
        </is>
      </c>
      <c r="G392" s="108" t="inlineStr">
        <is>
          <t>Standard</t>
        </is>
      </c>
      <c r="H392" s="109" t="n">
        <v>45994</v>
      </c>
      <c r="I392" s="110" t="n">
        <v>177.4</v>
      </c>
      <c r="J392" s="108" t="inlineStr">
        <is>
          <t>gross (price x shares)</t>
        </is>
      </c>
      <c r="K392" s="129" t="n"/>
      <c r="L392" s="111" t="n">
        <v>7.3</v>
      </c>
      <c r="M392" s="111" t="n">
        <v>7.3</v>
      </c>
      <c r="N392" s="108" t="inlineStr">
        <is>
          <t>Y</t>
        </is>
      </c>
      <c r="O392" s="112" t="n">
        <v>100</v>
      </c>
      <c r="P392" s="118" t="n"/>
      <c r="Q392" s="113" t="n">
        <v>709.5</v>
      </c>
      <c r="R392" s="108" t="inlineStr">
        <is>
          <t>derived:price x shares upon listing</t>
        </is>
      </c>
      <c r="S392" s="114" t="n">
        <v>6876.17</v>
      </c>
      <c r="T392" s="115" t="n">
        <v>2.01</v>
      </c>
      <c r="U392" s="116" t="n">
        <v>42.97</v>
      </c>
      <c r="V392" s="117" t="n">
        <v>94</v>
      </c>
      <c r="W392" s="112" t="n">
        <v>10</v>
      </c>
      <c r="X392" s="108" t="inlineStr">
        <is>
          <t>NO</t>
        </is>
      </c>
      <c r="Y392" s="113" t="n">
        <v>101.17</v>
      </c>
      <c r="Z392" s="113" t="n">
        <v>13858290</v>
      </c>
      <c r="AA392" s="112" t="n">
        <v>14.26</v>
      </c>
      <c r="AB392" s="108" t="inlineStr">
        <is>
          <t>Pingmei Shenma (Hong Kong) International Investment Limited; Hong Kong Chuangli Yingtai Investment Limited; Hong Kong Jinyuan Industry and Trade Limited; Degao Mining Technology Limited</t>
        </is>
      </c>
      <c r="AC392" s="108" t="inlineStr">
        <is>
          <t>pingmei;chuangli;jinyuan;degao</t>
        </is>
      </c>
      <c r="AD392" s="112" t="n">
        <v>6.1</v>
      </c>
      <c r="AE392" s="108" t="inlineStr">
        <is>
          <t>lapsed</t>
        </is>
      </c>
      <c r="AF392" s="119" t="n"/>
      <c r="AG392" s="108" t="inlineStr">
        <is>
          <t>Guoyuan Securities Brokerage</t>
        </is>
      </c>
      <c r="AH392" s="108" t="inlineStr">
        <is>
          <t>Guoyuan</t>
        </is>
      </c>
      <c r="AI392" s="120" t="n">
        <v>35.75</v>
      </c>
      <c r="AJ392" s="121" t="n">
        <v>2.19</v>
      </c>
      <c r="AK392" s="121" t="n">
        <v>-1.16</v>
      </c>
      <c r="AL392" s="121" t="n">
        <v>27.4</v>
      </c>
      <c r="AM392" s="121" t="n">
        <v>-19.79</v>
      </c>
      <c r="AN392" s="123" t="n">
        <v>4.65</v>
      </c>
      <c r="AO392" s="112" t="n">
        <v>27.42</v>
      </c>
      <c r="AP392" s="121" t="n">
        <v>-11.51</v>
      </c>
      <c r="AQ392" s="121" t="n">
        <v>-41.1</v>
      </c>
      <c r="AR392" s="121" t="n">
        <v>-39.04</v>
      </c>
      <c r="AS392" s="121" t="n">
        <v>-13.41</v>
      </c>
      <c r="AT392" s="121" t="n">
        <v>-42.36</v>
      </c>
      <c r="AU392" s="121" t="n">
        <v>-40.35</v>
      </c>
      <c r="AV392" s="121" t="n">
        <v>-9.6</v>
      </c>
      <c r="AW392" s="121" t="n">
        <v>-41.44</v>
      </c>
      <c r="AX392" s="121" t="n">
        <v>-33.29</v>
      </c>
      <c r="AY392" s="121" t="n">
        <v>-43.88</v>
      </c>
      <c r="AZ392" s="121" t="n">
        <v>0.34</v>
      </c>
      <c r="BA392" s="121" t="n">
        <v>1.52</v>
      </c>
      <c r="BB392" s="108" t="inlineStr">
        <is>
          <t>Hang Seng Commerce &amp; Industry sub-index</t>
        </is>
      </c>
      <c r="BC392" s="121" t="n">
        <v>-60.82</v>
      </c>
      <c r="BD392" s="109" t="n">
        <v>46297</v>
      </c>
      <c r="BE392" s="110" t="n">
        <v>293.9</v>
      </c>
      <c r="BF392" s="113" t="n">
        <v>57.9</v>
      </c>
      <c r="BG392" s="108" t="inlineStr">
        <is>
          <t>Y</t>
        </is>
      </c>
      <c r="BH392" s="123" t="n">
        <v>12.3</v>
      </c>
      <c r="BI392" s="122" t="n"/>
      <c r="BJ392" s="122" t="n"/>
      <c r="BK392" s="123" t="n">
        <v>2.4</v>
      </c>
      <c r="BL392" s="124">
        <f>IF('BBG Verify'!S392="","not filed; run on terminal",'BBG Verify'!S392)</f>
        <v/>
      </c>
      <c r="BM392" s="125" t="inlineStr">
        <is>
          <t>N</t>
        </is>
      </c>
      <c r="BN392" s="126">
        <f>IF('BBG Verify'!K392="","not filed; run on terminal",'BBG Verify'!K392)</f>
        <v/>
      </c>
      <c r="BO392" s="108" t="inlineStr">
        <is>
          <t>N/A</t>
        </is>
      </c>
      <c r="BP392" s="108" t="inlineStr">
        <is>
          <t>N/A</t>
        </is>
      </c>
      <c r="BQ392" s="108" t="inlineStr">
        <is>
          <t>N/A</t>
        </is>
      </c>
      <c r="BR392" s="108" t="inlineStr">
        <is>
          <t>N/A</t>
        </is>
      </c>
      <c r="BS392" s="108" t="inlineStr">
        <is>
          <t>N/A</t>
        </is>
      </c>
      <c r="BT392" s="108" t="inlineStr">
        <is>
          <t>N/A</t>
        </is>
      </c>
      <c r="BU392" s="125" t="inlineStr">
        <is>
          <t>Guoyuan Capital (Hong Kong) Limited; CMBC International Capital Limited</t>
        </is>
      </c>
      <c r="BV392" s="108" t="inlineStr">
        <is>
          <t>Guoyuan Capital (Hong Kong) Limited; CMBC International Capital Limited</t>
        </is>
      </c>
      <c r="BW392" s="108" t="inlineStr">
        <is>
          <t>China Sunrise Securities (International) Limited; First Shanghai Securities Limited; Futu Securities International (Hong Kong) Limited; ICBC International Securities Limited; Shenwan Hongyuan Securities (H.K.) Limited; uSmart Securities Limited</t>
        </is>
      </c>
      <c r="BX392" s="108" t="inlineStr">
        <is>
          <t>CCB International Capital Limited; CMBC Securities Company Limited; China Sunrise Securities (International) Limited; DBS Asia Capital Limited; First Shanghai Securities Limited; Futu Securities International (Hong Kong) Limited; Guoyuan Securities Brokerage (Hong Kong) Limited; ICBC International Securities Limited; Shenwan Hongyuan Securities (H.K.) Limited</t>
        </is>
      </c>
      <c r="BY392" s="127">
        <f>HYPERLINK("https://www1.hkexnews.hk/listedco/listconews/sehk/2025/1125/2025112500049.pdf","prospectus")</f>
        <v/>
      </c>
      <c r="BZ392" s="127">
        <f>HYPERLINK("https://www1.hkexnews.hk/listedco/listconews/sehk/2025/1202/2025120202632.pdf","allotment")</f>
        <v/>
      </c>
      <c r="CA392" s="127">
        <f>HYPERLINK("https://www1.hkexnews.hk/listedco/listconews/sehk/2025/1228/2025122800123.pdf","stabilisation")</f>
        <v/>
      </c>
      <c r="CB392" s="128" t="n"/>
      <c r="CC392" s="108" t="inlineStr">
        <is>
          <t>greenshoe: outcome published; expiry date not in the notice; range low: maximum offer price only, no floor published</t>
        </is>
      </c>
    </row>
    <row r="393" ht="22" customHeight="1">
      <c r="A393" s="107" t="inlineStr">
        <is>
          <t>2408</t>
        </is>
      </c>
      <c r="B393" s="108" t="inlineStr">
        <is>
          <t>XIAO NOODLES</t>
        </is>
      </c>
      <c r="C393" s="108" t="inlineStr">
        <is>
          <t>遇見小麵</t>
        </is>
      </c>
      <c r="D393" s="108" t="inlineStr">
        <is>
          <t>Consumer</t>
        </is>
      </c>
      <c r="E393" s="108" t="inlineStr">
        <is>
          <t>F&amp;B chains / restaurants</t>
        </is>
      </c>
      <c r="F393" s="108" t="inlineStr">
        <is>
          <t>Restaurants</t>
        </is>
      </c>
      <c r="G393" s="108" t="inlineStr">
        <is>
          <t>Standard</t>
        </is>
      </c>
      <c r="H393" s="109" t="n">
        <v>45996</v>
      </c>
      <c r="I393" s="110" t="n">
        <v>685.4</v>
      </c>
      <c r="J393" s="108" t="inlineStr">
        <is>
          <t>gross (stated)</t>
        </is>
      </c>
      <c r="K393" s="111" t="n">
        <v>5.64</v>
      </c>
      <c r="L393" s="111" t="n">
        <v>7.04</v>
      </c>
      <c r="M393" s="111" t="n">
        <v>7.04</v>
      </c>
      <c r="N393" s="108" t="inlineStr">
        <is>
          <t>Y</t>
        </is>
      </c>
      <c r="O393" s="112" t="n">
        <v>100</v>
      </c>
      <c r="P393" s="112" t="n">
        <v>100</v>
      </c>
      <c r="Q393" s="113" t="n">
        <v>4796.4</v>
      </c>
      <c r="R393" s="108" t="inlineStr">
        <is>
          <t>derived:deal size / offer % of enlarged capital</t>
        </is>
      </c>
      <c r="S393" s="114" t="n">
        <v>425.97</v>
      </c>
      <c r="T393" s="115" t="n">
        <v>4.99</v>
      </c>
      <c r="U393" s="116" t="n">
        <v>24.95</v>
      </c>
      <c r="V393" s="117" t="n">
        <v>108</v>
      </c>
      <c r="W393" s="112" t="n">
        <v>10</v>
      </c>
      <c r="X393" s="108" t="inlineStr">
        <is>
          <t>NO</t>
        </is>
      </c>
      <c r="Y393" s="113" t="n">
        <v>514.39</v>
      </c>
      <c r="Z393" s="113" t="n">
        <v>73072057</v>
      </c>
      <c r="AA393" s="112" t="n">
        <v>10.72</v>
      </c>
      <c r="AB393" s="108" t="inlineStr">
        <is>
          <t>HHLR Advisors, Ltd; Guotai Junan Investments (Hong Kong) Limited (in connection with the Dream ee OTC Swaps); Dream ee (Hong Kong) Open-ended Fund Company; Hong Kong Shengying Investment Limited; Zeta Wisdom OFC; Hai Di Lao Holdings Pte. Ltd</t>
        </is>
      </c>
      <c r="AC393" s="108" t="inlineStr">
        <is>
          <t>hhlr;guotai;dream;shengying;zeta;hai</t>
        </is>
      </c>
      <c r="AD393" s="112" t="n">
        <v>5</v>
      </c>
      <c r="AE393" s="108" t="inlineStr">
        <is>
          <t>lapsed</t>
        </is>
      </c>
      <c r="AF393" s="108" t="inlineStr">
        <is>
          <t>2026-01-01</t>
        </is>
      </c>
      <c r="AG393" s="108" t="inlineStr">
        <is>
          <t>CMB International Global Markets Limited</t>
        </is>
      </c>
      <c r="AH393" s="108" t="inlineStr">
        <is>
          <t>CMB</t>
        </is>
      </c>
      <c r="AI393" s="120" t="n">
        <v>-14.2</v>
      </c>
      <c r="AJ393" s="121" t="n">
        <v>-27.84</v>
      </c>
      <c r="AK393" s="121" t="n">
        <v>0.51</v>
      </c>
      <c r="AL393" s="121" t="n">
        <v>-28.98</v>
      </c>
      <c r="AM393" s="121" t="n">
        <v>1.61</v>
      </c>
      <c r="AN393" s="123" t="n">
        <v>3.7</v>
      </c>
      <c r="AO393" s="112" t="n">
        <v>10.4</v>
      </c>
      <c r="AP393" s="121" t="n">
        <v>-28.69</v>
      </c>
      <c r="AQ393" s="121" t="n">
        <v>-37.22</v>
      </c>
      <c r="AR393" s="121" t="n">
        <v>-33.66</v>
      </c>
      <c r="AS393" s="121" t="n">
        <v>-1.18</v>
      </c>
      <c r="AT393" s="121" t="n">
        <v>-13</v>
      </c>
      <c r="AU393" s="121" t="n">
        <v>-8.07</v>
      </c>
      <c r="AV393" s="121" t="n">
        <v>-28.28</v>
      </c>
      <c r="AW393" s="121" t="n">
        <v>-35.45</v>
      </c>
      <c r="AX393" s="121" t="n">
        <v>-27.83</v>
      </c>
      <c r="AY393" s="121" t="n">
        <v>-10.74</v>
      </c>
      <c r="AZ393" s="121" t="n">
        <v>-1.77</v>
      </c>
      <c r="BA393" s="121" t="n">
        <v>-2.26</v>
      </c>
      <c r="BB393" s="108" t="inlineStr">
        <is>
          <t>Hang Seng Commerce &amp; Industry sub-index</t>
        </is>
      </c>
      <c r="BC393" s="121" t="n">
        <v>-40.41</v>
      </c>
      <c r="BD393" s="109" t="n">
        <v>46297</v>
      </c>
      <c r="BE393" s="110" t="n">
        <v>1269.9</v>
      </c>
      <c r="BF393" s="113" t="n">
        <v>82.40000000000001</v>
      </c>
      <c r="BG393" s="108" t="inlineStr">
        <is>
          <t>Y</t>
        </is>
      </c>
      <c r="BH393" s="123" t="n">
        <v>58.2</v>
      </c>
      <c r="BI393" s="123" t="n">
        <v>32.8</v>
      </c>
      <c r="BJ393" s="123" t="n">
        <v>14.1</v>
      </c>
      <c r="BK393" s="123" t="n">
        <v>3.8</v>
      </c>
      <c r="BL393" s="124">
        <f>IF('BBG Verify'!S393="","not filed; run on terminal",'BBG Verify'!S393)</f>
        <v/>
      </c>
      <c r="BM393" s="125" t="inlineStr">
        <is>
          <t>N</t>
        </is>
      </c>
      <c r="BN393" s="126">
        <f>IF('BBG Verify'!K393="","not filed; run on terminal",'BBG Verify'!K393)</f>
        <v/>
      </c>
      <c r="BO393" s="108" t="inlineStr">
        <is>
          <t>N/A</t>
        </is>
      </c>
      <c r="BP393" s="108" t="inlineStr">
        <is>
          <t>N/A</t>
        </is>
      </c>
      <c r="BQ393" s="108" t="inlineStr">
        <is>
          <t>N/A</t>
        </is>
      </c>
      <c r="BR393" s="108" t="inlineStr">
        <is>
          <t>N/A</t>
        </is>
      </c>
      <c r="BS393" s="108" t="inlineStr">
        <is>
          <t>N/A</t>
        </is>
      </c>
      <c r="BT393" s="108" t="inlineStr">
        <is>
          <t>N/A</t>
        </is>
      </c>
      <c r="BU393" s="125" t="inlineStr">
        <is>
          <t>CMB International Capital Limited</t>
        </is>
      </c>
      <c r="BV393" s="108" t="inlineStr">
        <is>
          <t>CMB International Capital Limited</t>
        </is>
      </c>
      <c r="BW393" s="108" t="inlineStr">
        <is>
          <t>CMB International Capital Limited; CLSA Limited; SDIC Securities (Hong Kong) Limited; Futu Securities International (Hong Kong) Limited; BOCI Asia Limited; China Galaxy International Securities (Hong Kong) Co., Limited; Zhongtai International Securities Limited; Livermore Holdings Limited; ABCI Capital Limited; Tiger Brokers (HK) Global Limited</t>
        </is>
      </c>
      <c r="BX393" s="108" t="inlineStr">
        <is>
          <t>ABCI Securities Company Limited; BOCI Asia Limited; China Galaxy International Securities (Hong Kong) Company Limited; CLSA Limited; CMB International Capital Limited; Futu Securities International (Hong Kong) Limited; Livermore Holdings Limited; SDIC Securities (Hong Kong) Limited; Shenwan Hongyuan Securities (H.K.) Limited; Tiger Brokers (HK) Global Limited; Zhongtai International Securities Limited</t>
        </is>
      </c>
      <c r="BY393" s="127">
        <f>HYPERLINK("https://www1.hkexnews.hk/listedco/listconews/sehk/2025/1127/2025112700009.pdf","prospectus")</f>
        <v/>
      </c>
      <c r="BZ393" s="127">
        <f>HYPERLINK("https://www1.hkexnews.hk/listedco/listconews/sehk/2025/1204/2025120402156.pdf","allotment")</f>
        <v/>
      </c>
      <c r="CA393" s="127">
        <f>HYPERLINK("https://www1.hkexnews.hk/listedco/listconews/sehk/2026/0101/2026010100007.pdf","stabilisation")</f>
        <v/>
      </c>
      <c r="CB393" s="128" t="n"/>
      <c r="CC393" s="108" t="inlineStr">
        <is>
          <t>market cap: prospectus 'market capitalisation' line is the listing-rule threshold, not the issuer's figure; rejected</t>
        </is>
      </c>
    </row>
    <row r="394" ht="22" customHeight="1">
      <c r="A394" s="107" t="inlineStr">
        <is>
          <t>2658</t>
        </is>
      </c>
      <c r="B394" s="108" t="inlineStr">
        <is>
          <t>TIANYU SEMI</t>
        </is>
      </c>
      <c r="C394" s="108" t="inlineStr">
        <is>
          <t>天域半導體</t>
        </is>
      </c>
      <c r="D394" s="108" t="inlineStr">
        <is>
          <t>Tech/AI</t>
        </is>
      </c>
      <c r="E394" s="108" t="inlineStr">
        <is>
          <t>Semiconductor equipment / materials</t>
        </is>
      </c>
      <c r="F394" s="108" t="inlineStr">
        <is>
          <t>Semiconductors &amp; Semiconductor Equipment</t>
        </is>
      </c>
      <c r="G394" s="108" t="inlineStr">
        <is>
          <t>Standard</t>
        </is>
      </c>
      <c r="H394" s="109" t="n">
        <v>45996</v>
      </c>
      <c r="I394" s="110" t="n">
        <v>1744.1</v>
      </c>
      <c r="J394" s="108" t="inlineStr">
        <is>
          <t>gross (stated)</t>
        </is>
      </c>
      <c r="K394" s="129" t="n"/>
      <c r="L394" s="111" t="n">
        <v>58</v>
      </c>
      <c r="M394" s="111" t="n">
        <v>58</v>
      </c>
      <c r="N394" s="108" t="inlineStr">
        <is>
          <t>Y</t>
        </is>
      </c>
      <c r="O394" s="112" t="n">
        <v>100</v>
      </c>
      <c r="P394" s="118" t="n"/>
      <c r="Q394" s="113" t="n">
        <v>22810</v>
      </c>
      <c r="R394" s="108" t="inlineStr">
        <is>
          <t>prospectus:stated market capitalisation</t>
        </is>
      </c>
      <c r="S394" s="114" t="n">
        <v>60.63</v>
      </c>
      <c r="T394" s="115" t="n">
        <v>2.47</v>
      </c>
      <c r="U394" s="116" t="n">
        <v>9.26</v>
      </c>
      <c r="V394" s="117" t="n">
        <v>57</v>
      </c>
      <c r="W394" s="112" t="n">
        <v>10</v>
      </c>
      <c r="X394" s="108" t="inlineStr">
        <is>
          <t>NO</t>
        </is>
      </c>
      <c r="Y394" s="113" t="n">
        <v>1582.6</v>
      </c>
      <c r="Z394" s="113" t="n">
        <v>27285972</v>
      </c>
      <c r="AA394" s="112" t="n">
        <v>6.94</v>
      </c>
      <c r="AB394" s="108" t="inlineStr">
        <is>
          <t>Guangdong Primitive Forest Fund Management Co., Ltd* and GF Global Capital Limited; Glory Ocean Innovation Limited</t>
        </is>
      </c>
      <c r="AC394" s="108" t="inlineStr">
        <is>
          <t>guangdong;glory</t>
        </is>
      </c>
      <c r="AD394" s="112" t="n">
        <v>7.3537</v>
      </c>
      <c r="AE394" s="108" t="inlineStr">
        <is>
          <t>lapsed (no over-allocation)</t>
        </is>
      </c>
      <c r="AF394" s="119" t="n"/>
      <c r="AG394" s="108" t="inlineStr">
        <is>
          <t>CLSA Limited</t>
        </is>
      </c>
      <c r="AH394" s="108" t="inlineStr">
        <is>
          <t>CLSA</t>
        </is>
      </c>
      <c r="AI394" s="120" t="n">
        <v>-14.59</v>
      </c>
      <c r="AJ394" s="121" t="n">
        <v>-30.17</v>
      </c>
      <c r="AK394" s="121" t="n">
        <v>0.73</v>
      </c>
      <c r="AL394" s="121" t="n">
        <v>-34.48</v>
      </c>
      <c r="AM394" s="121" t="n">
        <v>6.58</v>
      </c>
      <c r="AN394" s="123" t="n">
        <v>1.24</v>
      </c>
      <c r="AO394" s="112" t="n">
        <v>25.89</v>
      </c>
      <c r="AP394" s="121" t="n">
        <v>-21.69</v>
      </c>
      <c r="AQ394" s="121" t="n">
        <v>-17.79</v>
      </c>
      <c r="AR394" s="121" t="n">
        <v>-17.93</v>
      </c>
      <c r="AS394" s="121" t="n">
        <v>12.14</v>
      </c>
      <c r="AT394" s="121" t="n">
        <v>17.73</v>
      </c>
      <c r="AU394" s="121" t="n">
        <v>17.53</v>
      </c>
      <c r="AV394" s="121" t="n">
        <v>-21.96</v>
      </c>
      <c r="AW394" s="121" t="n">
        <v>-18.79</v>
      </c>
      <c r="AX394" s="121" t="n">
        <v>-7.46</v>
      </c>
      <c r="AY394" s="121" t="n">
        <v>17.46</v>
      </c>
      <c r="AZ394" s="121" t="n">
        <v>1</v>
      </c>
      <c r="BA394" s="121" t="n">
        <v>0.27</v>
      </c>
      <c r="BB394" s="108" t="inlineStr">
        <is>
          <t>HSTECH (Hang Seng TECH ETF)</t>
        </is>
      </c>
      <c r="BC394" s="121" t="n">
        <v>-14.66</v>
      </c>
      <c r="BD394" s="109" t="n">
        <v>46297</v>
      </c>
      <c r="BE394" s="110" t="n">
        <v>571.6</v>
      </c>
      <c r="BF394" s="113" t="n">
        <v>-610.1</v>
      </c>
      <c r="BG394" s="108" t="inlineStr">
        <is>
          <t>N</t>
        </is>
      </c>
      <c r="BH394" s="108" t="inlineStr">
        <is>
          <t>n/m</t>
        </is>
      </c>
      <c r="BI394" s="122" t="n"/>
      <c r="BJ394" s="122" t="n"/>
      <c r="BK394" s="123" t="n">
        <v>39.9</v>
      </c>
      <c r="BL394" s="124">
        <f>IF('BBG Verify'!S394="","not filed; run on terminal",'BBG Verify'!S394)</f>
        <v/>
      </c>
      <c r="BM394" s="125" t="inlineStr">
        <is>
          <t>N</t>
        </is>
      </c>
      <c r="BN394" s="126">
        <f>IF('BBG Verify'!K394="","not filed; run on terminal",'BBG Verify'!K394)</f>
        <v/>
      </c>
      <c r="BO394" s="108" t="inlineStr">
        <is>
          <t>N/A</t>
        </is>
      </c>
      <c r="BP394" s="108" t="inlineStr">
        <is>
          <t>N/A</t>
        </is>
      </c>
      <c r="BQ394" s="108" t="inlineStr">
        <is>
          <t>N/A</t>
        </is>
      </c>
      <c r="BR394" s="108" t="inlineStr">
        <is>
          <t>N/A</t>
        </is>
      </c>
      <c r="BS394" s="108" t="inlineStr">
        <is>
          <t>N/A</t>
        </is>
      </c>
      <c r="BT394" s="108" t="inlineStr">
        <is>
          <t>N/A</t>
        </is>
      </c>
      <c r="BU394" s="125" t="inlineStr">
        <is>
          <t>CITIC Securities (Hong Kong) Limited</t>
        </is>
      </c>
      <c r="BV394" s="108" t="inlineStr">
        <is>
          <t>CITIC Securities (Hong Kong) Limited</t>
        </is>
      </c>
      <c r="BW394" s="108" t="inlineStr">
        <is>
          <t>CLSA Limited; China International Capital Corporation Hong Kong Securities Limited; GF Securities (Hong Kong) Brokerage Limited; CMB International Capital Limited; ABCI Capital Limited; Cheer Union Securities Limited; CNI Securities Group Limited; Futu Securities International (Hong Kong) Limited; ICBC International Securities Limited; Livermore Holdings Limited; Shenwan Hongyuan Securities (H.K.) Limited; Sinolink Securities (Hong Kong) Company Limited</t>
        </is>
      </c>
      <c r="BX394" s="108" t="inlineStr">
        <is>
          <t>ABCI Securities Company Limited; Cheer Union Securities Limited; China International Capital Corporation Hong Kong Securities Limited; China Industrial Securities International Capital Limited; CLSA Limited; CMB International Capital Limited; CNI Securities Group Limited; Futu Securities International (Hong Kong) Limited; GF Securities (Hong Kong) Brokerage Limited; ICBC International Securities Limited; Livermore Holdings Limited; Shenwan Hongyuan Securities (H.K.) Limited</t>
        </is>
      </c>
      <c r="BY394" s="127">
        <f>HYPERLINK("https://www1.hkexnews.hk/listedco/listconews/sehk/2025/1127/2025112700013.pdf","prospectus")</f>
        <v/>
      </c>
      <c r="BZ394" s="127">
        <f>HYPERLINK("https://www1.hkexnews.hk/listedco/listconews/sehk/2025/1204/2025120402598.pdf","allotment")</f>
        <v/>
      </c>
      <c r="CA394" s="127">
        <f>HYPERLINK("https://www1.hkexnews.hk/listedco/listconews/sehk/2026/0101/2026010100003.pdf","stabilisation")</f>
        <v/>
      </c>
      <c r="CB394" s="128" t="n"/>
      <c r="CC394" s="108" t="inlineStr">
        <is>
          <t>P/E: loss-making at IPO, use P/S; greenshoe: outcome published; expiry date not in the notice; range low: maximum offer price only, no floor published</t>
        </is>
      </c>
    </row>
    <row r="395" ht="22" customHeight="1">
      <c r="A395" s="107" t="inlineStr">
        <is>
          <t>2676</t>
        </is>
      </c>
      <c r="B395" s="108" t="inlineStr">
        <is>
          <t>NOVOSENSE</t>
        </is>
      </c>
      <c r="C395" s="108" t="inlineStr">
        <is>
          <t>納芯微</t>
        </is>
      </c>
      <c r="D395" s="108" t="inlineStr">
        <is>
          <t>Tech/AI</t>
        </is>
      </c>
      <c r="E395" s="108" t="inlineStr">
        <is>
          <t>Analog / power semiconductors</t>
        </is>
      </c>
      <c r="F395" s="108" t="inlineStr">
        <is>
          <t>Semiconductors &amp; Semiconductor Equipment</t>
        </is>
      </c>
      <c r="G395" s="108" t="inlineStr">
        <is>
          <t>Standard</t>
        </is>
      </c>
      <c r="H395" s="109" t="n">
        <v>45999</v>
      </c>
      <c r="I395" s="110" t="n">
        <v>2211.9</v>
      </c>
      <c r="J395" s="108" t="inlineStr">
        <is>
          <t>gross (stated)</t>
        </is>
      </c>
      <c r="K395" s="129" t="n"/>
      <c r="L395" s="111" t="n">
        <v>116</v>
      </c>
      <c r="M395" s="111" t="n">
        <v>116</v>
      </c>
      <c r="N395" s="108" t="inlineStr">
        <is>
          <t>Y</t>
        </is>
      </c>
      <c r="O395" s="112" t="n">
        <v>100</v>
      </c>
      <c r="P395" s="118" t="n"/>
      <c r="Q395" s="113" t="n">
        <v>18745.2</v>
      </c>
      <c r="R395" s="108" t="inlineStr">
        <is>
          <t>derived:price x shares upon listing</t>
        </is>
      </c>
      <c r="S395" s="114" t="n">
        <v>25.33</v>
      </c>
      <c r="T395" s="115" t="n">
        <v>2.65</v>
      </c>
      <c r="U395" s="116" t="n">
        <v>49.23</v>
      </c>
      <c r="V395" s="117" t="n">
        <v>70</v>
      </c>
      <c r="W395" s="112" t="n">
        <v>10</v>
      </c>
      <c r="X395" s="108" t="inlineStr">
        <is>
          <t>NO</t>
        </is>
      </c>
      <c r="Y395" s="113" t="n">
        <v>1122.98</v>
      </c>
      <c r="Z395" s="113" t="n">
        <v>9681027</v>
      </c>
      <c r="AA395" s="112" t="n">
        <v>5.99</v>
      </c>
      <c r="AB395" s="108" t="inlineStr">
        <is>
          <t>Oriza Naxin; Golden Link; Hield International; Perseverance Asset Management; 3W Fund; Green Better Limited; Dream ee HK Fund</t>
        </is>
      </c>
      <c r="AC395" s="108" t="inlineStr">
        <is>
          <t>oriza;golden-link;hield;perseverance;3w;green;dream</t>
        </is>
      </c>
      <c r="AD395" s="112" t="n">
        <v>15</v>
      </c>
      <c r="AE395" s="108" t="inlineStr">
        <is>
          <t>partial</t>
        </is>
      </c>
      <c r="AF395" s="108" t="inlineStr">
        <is>
          <t>2026-01-02</t>
        </is>
      </c>
      <c r="AG395" s="108" t="inlineStr">
        <is>
          <t>China International Capital Corporation Hong Kong Securities Limited</t>
        </is>
      </c>
      <c r="AH395" s="108" t="inlineStr">
        <is>
          <t>China International</t>
        </is>
      </c>
      <c r="AI395" s="120" t="n">
        <v>-8.880000000000001</v>
      </c>
      <c r="AJ395" s="121" t="n">
        <v>-4.31</v>
      </c>
      <c r="AK395" s="121" t="n">
        <v>0.09</v>
      </c>
      <c r="AL395" s="121" t="n">
        <v>0</v>
      </c>
      <c r="AM395" s="121" t="n">
        <v>-4.31</v>
      </c>
      <c r="AN395" s="123" t="n">
        <v>1.06</v>
      </c>
      <c r="AO395" s="112" t="n">
        <v>9.31</v>
      </c>
      <c r="AP395" s="121" t="n">
        <v>-2.5</v>
      </c>
      <c r="AQ395" s="121" t="n">
        <v>20.78</v>
      </c>
      <c r="AR395" s="121" t="n">
        <v>8.619999999999999</v>
      </c>
      <c r="AS395" s="121" t="n">
        <v>1.89</v>
      </c>
      <c r="AT395" s="121" t="n">
        <v>26.22</v>
      </c>
      <c r="AU395" s="121" t="n">
        <v>13.51</v>
      </c>
      <c r="AV395" s="121" t="n">
        <v>0.3</v>
      </c>
      <c r="AW395" s="121" t="n">
        <v>20.33</v>
      </c>
      <c r="AX395" s="121" t="n">
        <v>20.71</v>
      </c>
      <c r="AY395" s="121" t="n">
        <v>25.86</v>
      </c>
      <c r="AZ395" s="121" t="n">
        <v>0.45</v>
      </c>
      <c r="BA395" s="121" t="n">
        <v>0.36</v>
      </c>
      <c r="BB395" s="108" t="inlineStr">
        <is>
          <t>HSTECH (Hang Seng TECH ETF)</t>
        </is>
      </c>
      <c r="BC395" s="121" t="n">
        <v>46.55</v>
      </c>
      <c r="BD395" s="109" t="n">
        <v>46297</v>
      </c>
      <c r="BE395" s="110" t="n">
        <v>2156.3</v>
      </c>
      <c r="BF395" s="113" t="n">
        <v>-419.5</v>
      </c>
      <c r="BG395" s="108" t="inlineStr">
        <is>
          <t>N</t>
        </is>
      </c>
      <c r="BH395" s="108" t="inlineStr">
        <is>
          <t>n/m</t>
        </is>
      </c>
      <c r="BI395" s="122" t="n"/>
      <c r="BJ395" s="122" t="n"/>
      <c r="BK395" s="123" t="n">
        <v>8.699999999999999</v>
      </c>
      <c r="BL395" s="124">
        <f>IF('BBG Verify'!S395="","not filed; run on terminal",'BBG Verify'!S395)</f>
        <v/>
      </c>
      <c r="BM395" s="125" t="inlineStr">
        <is>
          <t>Y</t>
        </is>
      </c>
      <c r="BN395" s="108" t="inlineStr">
        <is>
          <t>688052.SS</t>
        </is>
      </c>
      <c r="BO395" s="121" t="n">
        <v>50.14</v>
      </c>
      <c r="BP395" s="111" t="n">
        <v>174.1672</v>
      </c>
      <c r="BQ395" s="135" t="n">
        <v>0.6268</v>
      </c>
      <c r="BR395" s="113" t="n">
        <v>45235.8</v>
      </c>
      <c r="BS395" s="124">
        <f>IF('BBG Verify'!Q395="","run on terminal",'BBG Verify'!Q395)</f>
        <v/>
      </c>
      <c r="BT395" s="124">
        <f>IF('BBG Verify'!R395="","run on terminal",'BBG Verify'!R395)</f>
        <v/>
      </c>
      <c r="BU395" s="125" t="inlineStr">
        <is>
          <t>China International Capital Corporation Hong Kong Securities Limited; CITIC Securities (Hong Kong) Limited; CCB International Capital Limited</t>
        </is>
      </c>
      <c r="BV395" s="108" t="inlineStr">
        <is>
          <t>China International Capital Corporation Hong Kong Securities Limited; CCB International Capital Limited; CITIC Securities (Hong Kong) Limited</t>
        </is>
      </c>
      <c r="BW395" s="108" t="inlineStr">
        <is>
          <t>China International Capital Corporation Hong Kong Securities Limited; CLSA Limited; CCB International Capital Limited; ABCI Capital Limited; Soochow Securities International Brokerage Limited; Zheshang International Financial Holdings Co., Limited; Orient Securities (Hong Kong) Limited; Beta International Securities Limited; I Win Securities Limited</t>
        </is>
      </c>
      <c r="BX395" s="108" t="inlineStr">
        <is>
          <t>ABCI Securities Company Limited; Beta International Securities Limited; CCB International Capital Limited; China International Capital Corporation Hong Kong Securities Limited; CLSA Limited; I Win Securities Limited; Orient Securities (Hong Kong) Limited; Soochow Securities International Brokerage Limited; Zheshang International Financial Holdings Co., Limited</t>
        </is>
      </c>
      <c r="BY395" s="127">
        <f>HYPERLINK("https://www1.hkexnews.hk/listedco/listconews/sehk/2025/1128/2025112800015.pdf","prospectus")</f>
        <v/>
      </c>
      <c r="BZ395" s="127">
        <f>HYPERLINK("https://www1.hkexnews.hk/listedco/listconews/sehk/2025/1205/2025120501747.pdf","allotment")</f>
        <v/>
      </c>
      <c r="CA395" s="127">
        <f>HYPERLINK("https://www1.hkexnews.hk/listedco/listconews/sehk/2026/0102/2026010203002.pdf","stabilisation")</f>
        <v/>
      </c>
      <c r="CB395" s="128" t="n"/>
      <c r="CC395" s="108" t="inlineStr">
        <is>
          <t>P/E: loss-making at IPO, use P/S; range low: maximum offer price only, no floor published; A/H: Dec 2025 H listing (analog/mixed-signal chips)</t>
        </is>
      </c>
    </row>
    <row r="396" ht="22" customHeight="1">
      <c r="A396" s="107" t="inlineStr">
        <is>
          <t>2687</t>
        </is>
      </c>
      <c r="B396" s="108" t="inlineStr">
        <is>
          <t>ABLE DIGITAL</t>
        </is>
      </c>
      <c r="C396" s="108" t="inlineStr">
        <is>
          <t>卓越睿新</t>
        </is>
      </c>
      <c r="D396" s="108" t="inlineStr">
        <is>
          <t>Tech/AI</t>
        </is>
      </c>
      <c r="E396" s="108" t="inlineStr">
        <is>
          <t>SaaS / enterprise software</t>
        </is>
      </c>
      <c r="F396" s="108" t="inlineStr">
        <is>
          <t>Education Services</t>
        </is>
      </c>
      <c r="G396" s="108" t="inlineStr">
        <is>
          <t>Standard</t>
        </is>
      </c>
      <c r="H396" s="109" t="n">
        <v>45999</v>
      </c>
      <c r="I396" s="110" t="n">
        <v>450</v>
      </c>
      <c r="J396" s="108" t="inlineStr">
        <is>
          <t>gross (stated)</t>
        </is>
      </c>
      <c r="K396" s="111" t="n">
        <v>62.26</v>
      </c>
      <c r="L396" s="111" t="n">
        <v>76.09999999999999</v>
      </c>
      <c r="M396" s="111" t="n">
        <v>67.5</v>
      </c>
      <c r="N396" s="108" t="inlineStr">
        <is>
          <t>N</t>
        </is>
      </c>
      <c r="O396" s="112" t="n">
        <v>88.7</v>
      </c>
      <c r="P396" s="112" t="n">
        <v>37.9</v>
      </c>
      <c r="Q396" s="113" t="n">
        <v>4500</v>
      </c>
      <c r="R396" s="108" t="inlineStr">
        <is>
          <t>derived:price x shares upon listing</t>
        </is>
      </c>
      <c r="S396" s="114" t="n">
        <v>4813.4</v>
      </c>
      <c r="T396" s="115" t="n">
        <v>2.33</v>
      </c>
      <c r="U396" s="116" t="n">
        <v>0</v>
      </c>
      <c r="V396" s="117" t="n">
        <v>77</v>
      </c>
      <c r="W396" s="112" t="n">
        <v>10</v>
      </c>
      <c r="X396" s="108" t="inlineStr">
        <is>
          <t>NA</t>
        </is>
      </c>
      <c r="Y396" s="113" t="n">
        <v>450</v>
      </c>
      <c r="Z396" s="113" t="n">
        <v>6666700</v>
      </c>
      <c r="AA396" s="112" t="n">
        <v>10</v>
      </c>
      <c r="AB396" s="108" t="inlineStr">
        <is>
          <t>none — no cornerstone tranche</t>
        </is>
      </c>
      <c r="AC396" s="108" t="inlineStr">
        <is>
          <t>none</t>
        </is>
      </c>
      <c r="AD396" s="118" t="n"/>
      <c r="AE396" s="119" t="n"/>
      <c r="AF396" s="119" t="n"/>
      <c r="AG396" s="119" t="n"/>
      <c r="AH396" s="119" t="n"/>
      <c r="AI396" s="120" t="n">
        <v>29.7</v>
      </c>
      <c r="AJ396" s="121" t="n">
        <v>87.26000000000001</v>
      </c>
      <c r="AK396" s="121" t="n">
        <v>0.09</v>
      </c>
      <c r="AL396" s="121" t="n">
        <v>23.85</v>
      </c>
      <c r="AM396" s="121" t="n">
        <v>51.2</v>
      </c>
      <c r="AN396" s="123" t="n">
        <v>2.27</v>
      </c>
      <c r="AO396" s="112" t="n">
        <v>72.37</v>
      </c>
      <c r="AP396" s="121" t="n">
        <v>140</v>
      </c>
      <c r="AQ396" s="121" t="n">
        <v>138.52</v>
      </c>
      <c r="AR396" s="121" t="n">
        <v>107.7</v>
      </c>
      <c r="AS396" s="121" t="n">
        <v>28.16</v>
      </c>
      <c r="AT396" s="121" t="n">
        <v>27.37</v>
      </c>
      <c r="AU396" s="121" t="n">
        <v>10.92</v>
      </c>
      <c r="AV396" s="121" t="n">
        <v>142.8</v>
      </c>
      <c r="AW396" s="121" t="n">
        <v>138.07</v>
      </c>
      <c r="AX396" s="121" t="n">
        <v>119.79</v>
      </c>
      <c r="AY396" s="121" t="n">
        <v>27.01</v>
      </c>
      <c r="AZ396" s="121" t="n">
        <v>0.45</v>
      </c>
      <c r="BA396" s="121" t="n">
        <v>0.36</v>
      </c>
      <c r="BB396" s="108" t="inlineStr">
        <is>
          <t>HSTECH (Hang Seng TECH ETF)</t>
        </is>
      </c>
      <c r="BC396" s="121" t="n">
        <v>289.93</v>
      </c>
      <c r="BD396" s="109" t="n">
        <v>46297</v>
      </c>
      <c r="BE396" s="110" t="n">
        <v>933</v>
      </c>
      <c r="BF396" s="113" t="n">
        <v>117.3</v>
      </c>
      <c r="BG396" s="108" t="inlineStr">
        <is>
          <t>Y</t>
        </is>
      </c>
      <c r="BH396" s="123" t="n">
        <v>38.4</v>
      </c>
      <c r="BI396" s="123" t="n">
        <v>72.59999999999999</v>
      </c>
      <c r="BJ396" s="123" t="n">
        <v>113.4</v>
      </c>
      <c r="BK396" s="123" t="n">
        <v>4.8</v>
      </c>
      <c r="BL396" s="124">
        <f>IF('BBG Verify'!S396="","not filed; run on terminal",'BBG Verify'!S396)</f>
        <v/>
      </c>
      <c r="BM396" s="125" t="inlineStr">
        <is>
          <t>N</t>
        </is>
      </c>
      <c r="BN396" s="126">
        <f>IF('BBG Verify'!K396="","not filed; run on terminal",'BBG Verify'!K396)</f>
        <v/>
      </c>
      <c r="BO396" s="108" t="inlineStr">
        <is>
          <t>N/A</t>
        </is>
      </c>
      <c r="BP396" s="108" t="inlineStr">
        <is>
          <t>N/A</t>
        </is>
      </c>
      <c r="BQ396" s="108" t="inlineStr">
        <is>
          <t>N/A</t>
        </is>
      </c>
      <c r="BR396" s="108" t="inlineStr">
        <is>
          <t>N/A</t>
        </is>
      </c>
      <c r="BS396" s="108" t="inlineStr">
        <is>
          <t>N/A</t>
        </is>
      </c>
      <c r="BT396" s="108" t="inlineStr">
        <is>
          <t>N/A</t>
        </is>
      </c>
      <c r="BU396" s="125" t="inlineStr">
        <is>
          <t>ABCI Capital Limited</t>
        </is>
      </c>
      <c r="BV396" s="108" t="inlineStr">
        <is>
          <t>ABCI Capital Limited</t>
        </is>
      </c>
      <c r="BW396" s="108" t="inlineStr">
        <is>
          <t>ABCI Capital Limited</t>
        </is>
      </c>
      <c r="BX396" s="108" t="inlineStr">
        <is>
          <t>ABCI Securities Company Limited; Livermore Holdings Limited; Tiger Brokers (HK) Global Limited</t>
        </is>
      </c>
      <c r="BY396" s="127">
        <f>HYPERLINK("https://www1.hkexnews.hk/listedco/listconews/sehk/2025/1128/2025112800005.pdf","prospectus")</f>
        <v/>
      </c>
      <c r="BZ396" s="127">
        <f>HYPERLINK("https://www1.hkexnews.hk/listedco/listconews/sehk/2025/1205/2025120501787.pdf","allotment")</f>
        <v/>
      </c>
      <c r="CA396" s="119" t="n"/>
      <c r="CB396" s="128" t="n"/>
      <c r="CC396" s="108" t="inlineStr">
        <is>
          <t>greenshoe: no over-allotment option; market cap: prospectus 'market capitalisation' line is the listing-rule threshold, not the issuer's figure; rejected; cornerstone list: no cornerstone tranche; greenshoe size: no over-allotment option; stabilising manager: filing states none appointed (prospectus: 'no stabilizing manager will be appointed' stated in the filing)</t>
        </is>
      </c>
    </row>
    <row r="397" ht="22" customHeight="1">
      <c r="A397" s="107" t="inlineStr">
        <is>
          <t>2659</t>
        </is>
      </c>
      <c r="B397" s="108" t="inlineStr">
        <is>
          <t>BAO PHARMA-B</t>
        </is>
      </c>
      <c r="C397" s="108" t="inlineStr">
        <is>
          <t>寶濟藥業－Ｂ</t>
        </is>
      </c>
      <c r="D397" s="108" t="inlineStr">
        <is>
          <t>Healthcare</t>
        </is>
      </c>
      <c r="E397" s="108" t="inlineStr">
        <is>
          <t>Biotech pre-revenue (18A)</t>
        </is>
      </c>
      <c r="F397" s="108" t="inlineStr">
        <is>
          <t>Biotechnology - Pharmaceuticals</t>
        </is>
      </c>
      <c r="G397" s="108" t="inlineStr">
        <is>
          <t>18A</t>
        </is>
      </c>
      <c r="H397" s="109" t="n">
        <v>46001</v>
      </c>
      <c r="I397" s="110" t="n">
        <v>1000.1</v>
      </c>
      <c r="J397" s="108" t="inlineStr">
        <is>
          <t>gross (stated)</t>
        </is>
      </c>
      <c r="K397" s="129" t="n"/>
      <c r="L397" s="111" t="n">
        <v>26.38</v>
      </c>
      <c r="M397" s="111" t="n">
        <v>26.38</v>
      </c>
      <c r="N397" s="108" t="inlineStr">
        <is>
          <t>Y</t>
        </is>
      </c>
      <c r="O397" s="112" t="n">
        <v>100</v>
      </c>
      <c r="P397" s="118" t="n"/>
      <c r="Q397" s="113" t="n">
        <v>8599.4</v>
      </c>
      <c r="R397" s="108" t="inlineStr">
        <is>
          <t>derived:price x shares upon listing</t>
        </is>
      </c>
      <c r="S397" s="114" t="n">
        <v>3526.34</v>
      </c>
      <c r="T397" s="115" t="n">
        <v>6.59</v>
      </c>
      <c r="U397" s="116" t="n">
        <v>20.06</v>
      </c>
      <c r="V397" s="117" t="n">
        <v>97</v>
      </c>
      <c r="W397" s="112" t="n">
        <v>10</v>
      </c>
      <c r="X397" s="108" t="inlineStr">
        <is>
          <t>NA</t>
        </is>
      </c>
      <c r="Y397" s="113" t="n">
        <v>799.48</v>
      </c>
      <c r="Z397" s="113" t="n">
        <v>30306613</v>
      </c>
      <c r="AA397" s="112" t="n">
        <v>9.300000000000001</v>
      </c>
      <c r="AB397" s="108" t="inlineStr">
        <is>
          <t>AnkeBio (Hong Kong) Co., Limited; Derivatives China Alpha Fund SPC (acting for and on behalf of Derivatives China Fundamental Fund SP); Guotai Junan Investments (Hong Kong) Limited (in connection with the Zhonghe OTC Swaps)</t>
        </is>
      </c>
      <c r="AC397" s="108" t="inlineStr">
        <is>
          <t>ankebio;derivatives;guotai</t>
        </is>
      </c>
      <c r="AD397" s="112" t="n">
        <v>15</v>
      </c>
      <c r="AE397" s="119" t="n"/>
      <c r="AF397" s="119" t="n"/>
      <c r="AG397" s="119" t="n"/>
      <c r="AH397" s="119" t="n"/>
      <c r="AI397" s="120" t="n">
        <v>112.28</v>
      </c>
      <c r="AJ397" s="121" t="n">
        <v>138.82</v>
      </c>
      <c r="AK397" s="121" t="n">
        <v>0.08</v>
      </c>
      <c r="AL397" s="121" t="n">
        <v>129.34</v>
      </c>
      <c r="AM397" s="121" t="n">
        <v>4.13</v>
      </c>
      <c r="AN397" s="123" t="n">
        <v>2.09</v>
      </c>
      <c r="AO397" s="112" t="n">
        <v>11.82</v>
      </c>
      <c r="AP397" s="121" t="n">
        <v>173.69</v>
      </c>
      <c r="AQ397" s="121" t="n">
        <v>226.76</v>
      </c>
      <c r="AR397" s="121" t="n">
        <v>249.32</v>
      </c>
      <c r="AS397" s="121" t="n">
        <v>14.6</v>
      </c>
      <c r="AT397" s="121" t="n">
        <v>36.82</v>
      </c>
      <c r="AU397" s="121" t="n">
        <v>46.27</v>
      </c>
      <c r="AV397" s="121" t="n">
        <v>177.04</v>
      </c>
      <c r="AW397" s="121" t="n">
        <v>221.06</v>
      </c>
      <c r="AX397" s="121" t="n">
        <v>245.4</v>
      </c>
      <c r="AY397" s="121" t="n">
        <v>31.21</v>
      </c>
      <c r="AZ397" s="121" t="n">
        <v>5.7</v>
      </c>
      <c r="BA397" s="121" t="n">
        <v>5.61</v>
      </c>
      <c r="BB397" s="108" t="inlineStr">
        <is>
          <t>China Biotech ETF (HS biotech proxy)</t>
        </is>
      </c>
      <c r="BC397" s="121" t="n">
        <v>-54.21</v>
      </c>
      <c r="BD397" s="109" t="n">
        <v>46297</v>
      </c>
      <c r="BE397" s="110" t="n">
        <v>1.6</v>
      </c>
      <c r="BF397" s="113" t="n">
        <v>-184</v>
      </c>
      <c r="BG397" s="108" t="inlineStr">
        <is>
          <t>N</t>
        </is>
      </c>
      <c r="BH397" s="108" t="inlineStr">
        <is>
          <t>n/m</t>
        </is>
      </c>
      <c r="BI397" s="122" t="n"/>
      <c r="BJ397" s="122" t="n"/>
      <c r="BK397" s="123" t="n">
        <v>5374.6</v>
      </c>
      <c r="BL397" s="124">
        <f>IF('BBG Verify'!S397="","not filed; run on terminal",'BBG Verify'!S397)</f>
        <v/>
      </c>
      <c r="BM397" s="125" t="inlineStr">
        <is>
          <t>N</t>
        </is>
      </c>
      <c r="BN397" s="126">
        <f>IF('BBG Verify'!K397="","not filed; run on terminal",'BBG Verify'!K397)</f>
        <v/>
      </c>
      <c r="BO397" s="108" t="inlineStr">
        <is>
          <t>N/A</t>
        </is>
      </c>
      <c r="BP397" s="108" t="inlineStr">
        <is>
          <t>N/A</t>
        </is>
      </c>
      <c r="BQ397" s="108" t="inlineStr">
        <is>
          <t>N/A</t>
        </is>
      </c>
      <c r="BR397" s="108" t="inlineStr">
        <is>
          <t>N/A</t>
        </is>
      </c>
      <c r="BS397" s="108" t="inlineStr">
        <is>
          <t>N/A</t>
        </is>
      </c>
      <c r="BT397" s="108" t="inlineStr">
        <is>
          <t>N/A</t>
        </is>
      </c>
      <c r="BU397" s="125" t="inlineStr">
        <is>
          <t>CITIC Securities (Hong Kong) Limited; Haitong International Capital Limited</t>
        </is>
      </c>
      <c r="BV397" s="108" t="inlineStr">
        <is>
          <t>Haitong International Capital Limited; CITIC Securities (Hong Kong) Limited</t>
        </is>
      </c>
      <c r="BW397" s="108" t="inlineStr">
        <is>
          <t>CLSA Limited; Haitong International Securities Company Limited; West Bull Securities Limited; BOCOM International Securities Limited; CCB International Capital Limited; Guoyuan Securities Brokerage (Hong Kong) Limited; Phillip Securities (Hong Kong) Limited; SDIC Securities (Hong Kong) Limited; Shenwan Hongyuan Securities (H.K.) Limited; SPDB International Capital Limited; Valuable Capital Limited</t>
        </is>
      </c>
      <c r="BX397" s="108" t="inlineStr">
        <is>
          <t>BOCOM International Securities Limited; CCB International Capital Limited; CLSA Limited; Futu Securities International (Hong Kong) Limited; Guoyuan Securities Brokerage (Hong Kong) Limited; Haitong International Securities Company Limited; Livermore Holdings Limited; Phillip Securities (Hong Kong) Limited; SDIC Securities (Hong Kong) Limited; Shenwan Hongyuan Securities (H.K.) Limited; SPDB International Capital Limited; Tiger Brokers (HK) Global Limited</t>
        </is>
      </c>
      <c r="BY397" s="127">
        <f>HYPERLINK("https://www1.hkexnews.hk/listedco/listconews/sehk/2025/1202/2025120200034.pdf","prospectus")</f>
        <v/>
      </c>
      <c r="BZ397" s="127">
        <f>HYPERLINK("https://www1.hkexnews.hk/listedco/listconews/sehk/2025/1209/2025120901444.pdf","allotment")</f>
        <v/>
      </c>
      <c r="CA397" s="119" t="n"/>
      <c r="CB397" s="128" t="n"/>
      <c r="CC397" s="108" t="inlineStr">
        <is>
          <t>P/E: loss-making at IPO, use P/S; greenshoe: end-of-stabilisation notice not found; range low: maximum offer price only, no floor published; P/S: 5,375x on HK$1.6m revenue, effectively pre-revenue; not comparable; stabilising manager: not named in the allotment notice or prospectus glossary</t>
        </is>
      </c>
    </row>
    <row r="398" ht="22" customHeight="1">
      <c r="A398" s="107" t="inlineStr">
        <is>
          <t>7618</t>
        </is>
      </c>
      <c r="B398" s="108" t="inlineStr">
        <is>
          <t>JD INDUSTRIALS</t>
        </is>
      </c>
      <c r="C398" s="108" t="inlineStr">
        <is>
          <t>京東工業</t>
        </is>
      </c>
      <c r="D398" s="108" t="inlineStr">
        <is>
          <t>Tech/AI</t>
        </is>
      </c>
      <c r="E398" s="108" t="inlineStr">
        <is>
          <t>Internet platform / e-commerce</t>
        </is>
      </c>
      <c r="F398" s="108" t="inlineStr">
        <is>
          <t>Commercial &amp; Professional Services</t>
        </is>
      </c>
      <c r="G398" s="108" t="inlineStr">
        <is>
          <t>Standard</t>
        </is>
      </c>
      <c r="H398" s="109" t="n">
        <v>46002</v>
      </c>
      <c r="I398" s="110" t="n">
        <v>2978</v>
      </c>
      <c r="J398" s="108" t="inlineStr">
        <is>
          <t>gross (stated)</t>
        </is>
      </c>
      <c r="K398" s="129" t="n"/>
      <c r="L398" s="111" t="n">
        <v>15.5</v>
      </c>
      <c r="M398" s="111" t="n">
        <v>14.1</v>
      </c>
      <c r="N398" s="108" t="inlineStr">
        <is>
          <t>N</t>
        </is>
      </c>
      <c r="O398" s="112" t="n">
        <v>91</v>
      </c>
      <c r="P398" s="118" t="n"/>
      <c r="Q398" s="113" t="n">
        <v>41038</v>
      </c>
      <c r="R398" s="108" t="inlineStr">
        <is>
          <t>aastocks:上市市值 at the struck price</t>
        </is>
      </c>
      <c r="S398" s="114" t="n">
        <v>60.52</v>
      </c>
      <c r="T398" s="115" t="n">
        <v>7.88</v>
      </c>
      <c r="U398" s="116" t="n">
        <v>44.45</v>
      </c>
      <c r="V398" s="117" t="n">
        <v>93</v>
      </c>
      <c r="W398" s="112" t="n">
        <v>10</v>
      </c>
      <c r="X398" s="108" t="inlineStr">
        <is>
          <t>NA</t>
        </is>
      </c>
      <c r="Y398" s="113" t="n">
        <v>1654.28</v>
      </c>
      <c r="Z398" s="113" t="n">
        <v>117326488</v>
      </c>
      <c r="AA398" s="112" t="n">
        <v>4.03</v>
      </c>
      <c r="AB398" s="108" t="inlineStr">
        <is>
          <t>M&amp;G Investors; CPE Investment Wu Limited; IvyRock; CoreView; Schonfeld; Burkehill</t>
        </is>
      </c>
      <c r="AC398" s="108" t="inlineStr">
        <is>
          <t>investors;cpe;ivyrock;coreview;schonfeld;burkehill</t>
        </is>
      </c>
      <c r="AD398" s="112" t="n">
        <v>15</v>
      </c>
      <c r="AE398" s="108" t="inlineStr">
        <is>
          <t>partial</t>
        </is>
      </c>
      <c r="AF398" s="108" t="inlineStr">
        <is>
          <t>2026-01-07</t>
        </is>
      </c>
      <c r="AG398" s="108" t="inlineStr">
        <is>
          <t>Merrill Lynch</t>
        </is>
      </c>
      <c r="AH398" s="108" t="inlineStr">
        <is>
          <t>Merrill Lynch</t>
        </is>
      </c>
      <c r="AI398" s="120" t="n">
        <v>-2.62</v>
      </c>
      <c r="AJ398" s="121" t="n">
        <v>0</v>
      </c>
      <c r="AK398" s="121" t="n">
        <v>-0.55</v>
      </c>
      <c r="AL398" s="121" t="n">
        <v>-7.8</v>
      </c>
      <c r="AM398" s="121" t="n">
        <v>8.460000000000001</v>
      </c>
      <c r="AN398" s="123" t="n">
        <v>1.87</v>
      </c>
      <c r="AO398" s="112" t="n">
        <v>11.46</v>
      </c>
      <c r="AP398" s="121" t="n">
        <v>-1.28</v>
      </c>
      <c r="AQ398" s="121" t="n">
        <v>-3.4</v>
      </c>
      <c r="AR398" s="121" t="n">
        <v>-8.44</v>
      </c>
      <c r="AS398" s="121" t="n">
        <v>-1.28</v>
      </c>
      <c r="AT398" s="121" t="n">
        <v>-3.4</v>
      </c>
      <c r="AU398" s="121" t="n">
        <v>-8.44</v>
      </c>
      <c r="AV398" s="121" t="n">
        <v>1.38</v>
      </c>
      <c r="AW398" s="121" t="n">
        <v>-9.17</v>
      </c>
      <c r="AX398" s="121" t="n">
        <v>-0.1</v>
      </c>
      <c r="AY398" s="121" t="n">
        <v>-9.76</v>
      </c>
      <c r="AZ398" s="121" t="n">
        <v>5.77</v>
      </c>
      <c r="BA398" s="121" t="n">
        <v>6.36</v>
      </c>
      <c r="BB398" s="108" t="inlineStr">
        <is>
          <t>HSTECH (Hang Seng TECH ETF)</t>
        </is>
      </c>
      <c r="BC398" s="121" t="n">
        <v>-10.43</v>
      </c>
      <c r="BD398" s="109" t="n">
        <v>46297</v>
      </c>
      <c r="BE398" s="110" t="n">
        <v>22437.5</v>
      </c>
      <c r="BF398" s="113" t="n">
        <v>837.8</v>
      </c>
      <c r="BG398" s="108" t="inlineStr">
        <is>
          <t>Y</t>
        </is>
      </c>
      <c r="BH398" s="123" t="n">
        <v>49</v>
      </c>
      <c r="BI398" s="123" t="n">
        <v>28.4</v>
      </c>
      <c r="BJ398" s="123" t="n">
        <v>10</v>
      </c>
      <c r="BK398" s="123" t="n">
        <v>1.8</v>
      </c>
      <c r="BL398" s="124">
        <f>IF('BBG Verify'!S398="","not filed; run on terminal",'BBG Verify'!S398)</f>
        <v/>
      </c>
      <c r="BM398" s="125" t="inlineStr">
        <is>
          <t>N</t>
        </is>
      </c>
      <c r="BN398" s="126">
        <f>IF('BBG Verify'!K398="","not filed; run on terminal",'BBG Verify'!K398)</f>
        <v/>
      </c>
      <c r="BO398" s="108" t="inlineStr">
        <is>
          <t>N/A</t>
        </is>
      </c>
      <c r="BP398" s="108" t="inlineStr">
        <is>
          <t>N/A</t>
        </is>
      </c>
      <c r="BQ398" s="108" t="inlineStr">
        <is>
          <t>N/A</t>
        </is>
      </c>
      <c r="BR398" s="108" t="inlineStr">
        <is>
          <t>N/A</t>
        </is>
      </c>
      <c r="BS398" s="108" t="inlineStr">
        <is>
          <t>N/A</t>
        </is>
      </c>
      <c r="BT398" s="108" t="inlineStr">
        <is>
          <t>N/A</t>
        </is>
      </c>
      <c r="BU398" s="125" t="inlineStr">
        <is>
          <t>Merrill Lynch (Asia Pacific) Limited; UBS Securities Hong Kong Limited; Haitong International Capital Limited; Goldman Sachs (Asia) L.L.C; Haitong International Securities Company Limited</t>
        </is>
      </c>
      <c r="BV398" s="108" t="inlineStr">
        <is>
          <t>Haitong International Capital Limited; UBS Securities Hong Kong Limited; Merrill Lynch (Asia Pacific) Limited; Goldman Sachs (Asia) L.L.C.</t>
        </is>
      </c>
      <c r="BW398" s="108" t="inlineStr">
        <is>
          <t>Merrill Lynch (Asia Pacific) Limited; UBS AG Hong Kong Branch; Goldman Sachs (Asia) L.L.C; Huatai Financial Holdings (Hong Kong) Limited; ABCI Capital Limited; BOCI Asia Limited; CLSA Limited; CMBC Securities Company Limited; Futu Securities International (Hong Kong) Limited; Orient Securities (Hong Kong) Limited; Haitong International Securities Company Limited</t>
        </is>
      </c>
      <c r="BX398" s="108" t="inlineStr">
        <is>
          <t>ABCI Securities Company Limited; BOCI Asia Limited; CLSA Limited; CMBC Securities Company Limited; Futu Securities International (Hong Kong) Limited; Goldman Sachs (Asia) L.L.C.; Huatai Financial Holdings (Hong Kong) Limited; Haitong International Securities Company Limited; The Hongkong and Shanghai Banking Corporation Limited; ICBC International Securities Limited; Merrill Lynch (Asia Pacific) Limited; Orient Securities (Hong Kong) Limited</t>
        </is>
      </c>
      <c r="BY398" s="127">
        <f>HYPERLINK("https://www1.hkexnews.hk/listedco/listconews/sehk/2025/1203/2025120300086.pdf","prospectus")</f>
        <v/>
      </c>
      <c r="BZ398" s="127">
        <f>HYPERLINK("https://www1.hkexnews.hk/listedco/listconews/sehk/2025/1210/2025121001474.pdf","allotment")</f>
        <v/>
      </c>
      <c r="CA398" s="127">
        <f>HYPERLINK("https://www1.hkexnews.hk/listedco/listconews/sehk/2026/0107/2026010701764.pdf","stabilisation")</f>
        <v/>
      </c>
      <c r="CB398" s="128" t="n"/>
      <c r="CC398" s="108" t="inlineStr">
        <is>
          <t>range low: maximum offer price only, no floor published; market cap: prospectus 'market capitalisation' line is the listing-rule threshold, not the issuer's figure; rejected</t>
        </is>
      </c>
    </row>
    <row r="399" ht="22" customHeight="1">
      <c r="A399" s="107" t="inlineStr">
        <is>
          <t>2655</t>
        </is>
      </c>
      <c r="B399" s="108" t="inlineStr">
        <is>
          <t>GUOXIA TECH</t>
        </is>
      </c>
      <c r="C399" s="108" t="inlineStr">
        <is>
          <t>果下科技</t>
        </is>
      </c>
      <c r="D399" s="108" t="inlineStr">
        <is>
          <t>Tech/AI</t>
        </is>
      </c>
      <c r="E399" s="108" t="inlineStr">
        <is>
          <t>SaaS / enterprise software</t>
        </is>
      </c>
      <c r="F399" s="108" t="inlineStr">
        <is>
          <t>New energy and environmental protection</t>
        </is>
      </c>
      <c r="G399" s="108" t="inlineStr">
        <is>
          <t>Standard</t>
        </is>
      </c>
      <c r="H399" s="109" t="n">
        <v>46007</v>
      </c>
      <c r="I399" s="110" t="n">
        <v>782.51</v>
      </c>
      <c r="J399" s="108" t="inlineStr">
        <is>
          <t>gross (stated)</t>
        </is>
      </c>
      <c r="K399" s="129" t="n"/>
      <c r="L399" s="111" t="n">
        <v>20.1</v>
      </c>
      <c r="M399" s="111" t="n">
        <v>20.1</v>
      </c>
      <c r="N399" s="108" t="inlineStr">
        <is>
          <t>Y</t>
        </is>
      </c>
      <c r="O399" s="112" t="n">
        <v>100</v>
      </c>
      <c r="P399" s="118" t="n"/>
      <c r="Q399" s="113" t="n">
        <v>9099</v>
      </c>
      <c r="R399" s="108" t="inlineStr">
        <is>
          <t>derived:deal size / offer % of enlarged capital</t>
        </is>
      </c>
      <c r="S399" s="114" t="n">
        <v>1890.73</v>
      </c>
      <c r="T399" s="115" t="n">
        <v>3.63</v>
      </c>
      <c r="U399" s="116" t="n">
        <v>9.49</v>
      </c>
      <c r="V399" s="117" t="n">
        <v>157</v>
      </c>
      <c r="W399" s="112" t="n">
        <v>8.699999999999999</v>
      </c>
      <c r="X399" s="108" t="inlineStr">
        <is>
          <t>NO</t>
        </is>
      </c>
      <c r="Y399" s="113" t="n">
        <v>708.25</v>
      </c>
      <c r="Z399" s="113" t="n">
        <v>35236267</v>
      </c>
      <c r="AA399" s="112" t="n">
        <v>7.78</v>
      </c>
      <c r="AB399" s="108" t="inlineStr">
        <is>
          <t>Huikai Hong Kong Economic Development Co., Ltd; Dream ee (Hong Kong) Open-ended Fund Company; RIME Capital Limited</t>
        </is>
      </c>
      <c r="AC399" s="108" t="inlineStr">
        <is>
          <t>huikai;dream;rime</t>
        </is>
      </c>
      <c r="AD399" s="112" t="n">
        <v>15</v>
      </c>
      <c r="AE399" s="108" t="inlineStr">
        <is>
          <t>full</t>
        </is>
      </c>
      <c r="AF399" s="108" t="inlineStr">
        <is>
          <t>2026-01-10</t>
        </is>
      </c>
      <c r="AG399" s="108" t="inlineStr">
        <is>
          <t>Livermore Holdings Limited</t>
        </is>
      </c>
      <c r="AH399" s="108" t="inlineStr">
        <is>
          <t>Livermore</t>
        </is>
      </c>
      <c r="AI399" s="120" t="n">
        <v>88.06</v>
      </c>
      <c r="AJ399" s="121" t="n">
        <v>117.91</v>
      </c>
      <c r="AK399" s="121" t="n">
        <v>-1.76</v>
      </c>
      <c r="AL399" s="121" t="n">
        <v>89.05</v>
      </c>
      <c r="AM399" s="121" t="n">
        <v>15.27</v>
      </c>
      <c r="AN399" s="123" t="n">
        <v>2.58</v>
      </c>
      <c r="AO399" s="112" t="n">
        <v>30.16</v>
      </c>
      <c r="AP399" s="121" t="n">
        <v>107.76</v>
      </c>
      <c r="AQ399" s="121" t="n">
        <v>222.39</v>
      </c>
      <c r="AR399" s="121" t="n">
        <v>141.79</v>
      </c>
      <c r="AS399" s="121" t="n">
        <v>-4.66</v>
      </c>
      <c r="AT399" s="121" t="n">
        <v>47.95</v>
      </c>
      <c r="AU399" s="121" t="n">
        <v>10.96</v>
      </c>
      <c r="AV399" s="121" t="n">
        <v>108.04</v>
      </c>
      <c r="AW399" s="121" t="n">
        <v>217.84</v>
      </c>
      <c r="AX399" s="121" t="n">
        <v>156.26</v>
      </c>
      <c r="AY399" s="121" t="n">
        <v>41.52</v>
      </c>
      <c r="AZ399" s="121" t="n">
        <v>4.55</v>
      </c>
      <c r="BA399" s="121" t="n">
        <v>6.43</v>
      </c>
      <c r="BB399" s="108" t="inlineStr">
        <is>
          <t>HSTECH (Hang Seng TECH ETF)</t>
        </is>
      </c>
      <c r="BC399" s="121" t="n">
        <v>-28.21</v>
      </c>
      <c r="BD399" s="109" t="n">
        <v>46297</v>
      </c>
      <c r="BE399" s="110" t="n">
        <v>1128.2</v>
      </c>
      <c r="BF399" s="113" t="n">
        <v>35</v>
      </c>
      <c r="BG399" s="108" t="inlineStr">
        <is>
          <t>Y</t>
        </is>
      </c>
      <c r="BH399" s="123" t="n">
        <v>260</v>
      </c>
      <c r="BI399" s="123" t="n">
        <v>32</v>
      </c>
      <c r="BJ399" s="123" t="n">
        <v>86.8</v>
      </c>
      <c r="BK399" s="123" t="n">
        <v>8.1</v>
      </c>
      <c r="BL399" s="124">
        <f>IF('BBG Verify'!S399="","not filed; run on terminal",'BBG Verify'!S399)</f>
        <v/>
      </c>
      <c r="BM399" s="125" t="inlineStr">
        <is>
          <t>N</t>
        </is>
      </c>
      <c r="BN399" s="126">
        <f>IF('BBG Verify'!K399="","not filed; run on terminal",'BBG Verify'!K399)</f>
        <v/>
      </c>
      <c r="BO399" s="108" t="inlineStr">
        <is>
          <t>N/A</t>
        </is>
      </c>
      <c r="BP399" s="108" t="inlineStr">
        <is>
          <t>N/A</t>
        </is>
      </c>
      <c r="BQ399" s="108" t="inlineStr">
        <is>
          <t>N/A</t>
        </is>
      </c>
      <c r="BR399" s="108" t="inlineStr">
        <is>
          <t>N/A</t>
        </is>
      </c>
      <c r="BS399" s="108" t="inlineStr">
        <is>
          <t>N/A</t>
        </is>
      </c>
      <c r="BT399" s="108" t="inlineStr">
        <is>
          <t>N/A</t>
        </is>
      </c>
      <c r="BU399" s="125" t="inlineStr">
        <is>
          <t>China Everbright Capital Limited</t>
        </is>
      </c>
      <c r="BV399" s="108" t="inlineStr">
        <is>
          <t>China Everbright Capital Limited</t>
        </is>
      </c>
      <c r="BW399" s="108" t="inlineStr">
        <is>
          <t>ABCI Capital Limited; Yellow River Securities Limited; West Bull Securities Limited; BOCI Asia Limited; ICBC International Securities Limited; Yue Xiu Securities Company Limited; Shenwan Hongyuan Securities (H.K.) Limited; CMB International Capital Limited; CMBC Securities Company Limited; CCB International Capital Limited; Caitong International Securities Co., Limited; Futu Securities International (Hong Kong) Limited</t>
        </is>
      </c>
      <c r="BX399" s="108" t="inlineStr">
        <is>
          <t>ABCI Securities Company Limited; BOCI Asia Limited; Caitong International Securities Company Limited; CCB International Capital Limited; China Everbright Securities (HK) Limited; CMBC Securities Company Limited; CMB International Capital Limited; Futu Securities International (Hong Kong) Limited; Huafu International Securities Limited; ICBC International Securities Limited; Livermore Holdings Limited; Shenwan Hongyuan Securities (H.K.) Limited</t>
        </is>
      </c>
      <c r="BY399" s="127">
        <f>HYPERLINK("https://www1.hkexnews.hk/listedco/listconews/sehk/2025/1208/2025120800011.pdf","prospectus")</f>
        <v/>
      </c>
      <c r="BZ399" s="127">
        <f>HYPERLINK("https://www1.hkexnews.hk/listedco/listconews/sehk/2025/1215/2025121501608.pdf","allotment")</f>
        <v/>
      </c>
      <c r="CA399" s="127">
        <f>HYPERLINK("https://www1.hkexnews.hk/listedco/listconews/sehk/2026/0109/2026010901587.pdf","stabilisation")</f>
        <v/>
      </c>
      <c r="CB399" s="128" t="n"/>
      <c r="CC399" s="108" t="inlineStr">
        <is>
          <t>range low: maximum offer price only, no floor published</t>
        </is>
      </c>
    </row>
    <row r="400" ht="22" customHeight="1">
      <c r="A400" s="107" t="inlineStr">
        <is>
          <t>3887</t>
        </is>
      </c>
      <c r="B400" s="108" t="inlineStr">
        <is>
          <t>HASHKEY HLDGS</t>
        </is>
      </c>
      <c r="C400" s="108" t="inlineStr">
        <is>
          <t>HASHKEY HLDGS</t>
        </is>
      </c>
      <c r="D400" s="108" t="inlineStr">
        <is>
          <t>Tech/AI</t>
        </is>
      </c>
      <c r="E400" s="108" t="inlineStr">
        <is>
          <t>Fintech platform</t>
        </is>
      </c>
      <c r="F400" s="108" t="inlineStr">
        <is>
          <t>Investment Holdings &amp; Assets Management</t>
        </is>
      </c>
      <c r="G400" s="108" t="inlineStr">
        <is>
          <t>Standard</t>
        </is>
      </c>
      <c r="H400" s="109" t="n">
        <v>46008</v>
      </c>
      <c r="I400" s="110" t="n">
        <v>1607</v>
      </c>
      <c r="J400" s="108" t="inlineStr">
        <is>
          <t>gross (price x shares)</t>
        </is>
      </c>
      <c r="K400" s="129" t="n"/>
      <c r="L400" s="111" t="n">
        <v>6.95</v>
      </c>
      <c r="M400" s="111" t="n">
        <v>6.68</v>
      </c>
      <c r="N400" s="108" t="inlineStr">
        <is>
          <t>N</t>
        </is>
      </c>
      <c r="O400" s="112" t="n">
        <v>96.09999999999999</v>
      </c>
      <c r="P400" s="118" t="n"/>
      <c r="Q400" s="113" t="n">
        <v>19116.7</v>
      </c>
      <c r="R400" s="108" t="inlineStr">
        <is>
          <t>aastocks:上市市值 at the struck price</t>
        </is>
      </c>
      <c r="S400" s="114" t="n">
        <v>393.71</v>
      </c>
      <c r="T400" s="115" t="n">
        <v>5.46</v>
      </c>
      <c r="U400" s="116" t="n">
        <v>36.31</v>
      </c>
      <c r="V400" s="117" t="n">
        <v>86</v>
      </c>
      <c r="W400" s="112" t="n">
        <v>10</v>
      </c>
      <c r="X400" s="108" t="inlineStr">
        <is>
          <t>NO</t>
        </is>
      </c>
      <c r="Y400" s="113" t="n">
        <v>1023.5</v>
      </c>
      <c r="Z400" s="113" t="n">
        <v>153219033</v>
      </c>
      <c r="AA400" s="112" t="n">
        <v>5.35</v>
      </c>
      <c r="AB400" s="108" t="inlineStr">
        <is>
          <t>UBS Asset Management (Singapore) Ltd; FIL Investment Management (Hong Kong) Limited; Infini Global Master Fund; Deep Source Holdings Limited; Profit Channel Development Limited; Shining Light Grace Limited</t>
        </is>
      </c>
      <c r="AC400" s="108" t="inlineStr">
        <is>
          <t>ubs;fil;infini;deep;profit;shining</t>
        </is>
      </c>
      <c r="AD400" s="112" t="n">
        <v>15</v>
      </c>
      <c r="AE400" s="108" t="inlineStr">
        <is>
          <t>partial</t>
        </is>
      </c>
      <c r="AF400" s="108" t="inlineStr">
        <is>
          <t>2026-01-11</t>
        </is>
      </c>
      <c r="AG400" s="108" t="inlineStr">
        <is>
          <t>J.P. Morgan Securities</t>
        </is>
      </c>
      <c r="AH400" s="108" t="inlineStr">
        <is>
          <t>JP Morgan</t>
        </is>
      </c>
      <c r="AI400" s="120" t="n">
        <v>-1.05</v>
      </c>
      <c r="AJ400" s="121" t="n">
        <v>-0.15</v>
      </c>
      <c r="AK400" s="121" t="n">
        <v>1.13</v>
      </c>
      <c r="AL400" s="121" t="n">
        <v>0.3</v>
      </c>
      <c r="AM400" s="121" t="n">
        <v>-0.45</v>
      </c>
      <c r="AN400" s="123" t="n">
        <v>4.11</v>
      </c>
      <c r="AO400" s="112" t="n">
        <v>14.93</v>
      </c>
      <c r="AP400" s="121" t="n">
        <v>-14.22</v>
      </c>
      <c r="AQ400" s="121" t="n">
        <v>7.34</v>
      </c>
      <c r="AR400" s="121" t="n">
        <v>-29.34</v>
      </c>
      <c r="AS400" s="121" t="n">
        <v>-14.09</v>
      </c>
      <c r="AT400" s="121" t="n">
        <v>7.5</v>
      </c>
      <c r="AU400" s="121" t="n">
        <v>-29.23</v>
      </c>
      <c r="AV400" s="121" t="n">
        <v>-15.83</v>
      </c>
      <c r="AW400" s="121" t="n">
        <v>2.14</v>
      </c>
      <c r="AX400" s="121" t="n">
        <v>-18.53</v>
      </c>
      <c r="AY400" s="121" t="n">
        <v>3.48</v>
      </c>
      <c r="AZ400" s="121" t="n">
        <v>5.2</v>
      </c>
      <c r="BA400" s="121" t="n">
        <v>4.02</v>
      </c>
      <c r="BB400" s="108" t="inlineStr">
        <is>
          <t>HSTECH (Hang Seng TECH ETF)</t>
        </is>
      </c>
      <c r="BC400" s="121" t="n">
        <v>-66.69</v>
      </c>
      <c r="BD400" s="109" t="n">
        <v>46297</v>
      </c>
      <c r="BE400" s="110" t="n">
        <v>720.7</v>
      </c>
      <c r="BF400" s="113" t="n">
        <v>-1189.6</v>
      </c>
      <c r="BG400" s="108" t="inlineStr">
        <is>
          <t>N</t>
        </is>
      </c>
      <c r="BH400" s="108" t="inlineStr">
        <is>
          <t>n/m</t>
        </is>
      </c>
      <c r="BI400" s="122" t="n"/>
      <c r="BJ400" s="122" t="n"/>
      <c r="BK400" s="123" t="n">
        <v>26.5</v>
      </c>
      <c r="BL400" s="124">
        <f>IF('BBG Verify'!S400="","not filed; run on terminal",'BBG Verify'!S400)</f>
        <v/>
      </c>
      <c r="BM400" s="125" t="inlineStr">
        <is>
          <t>N</t>
        </is>
      </c>
      <c r="BN400" s="126">
        <f>IF('BBG Verify'!K400="","not filed; run on terminal",'BBG Verify'!K400)</f>
        <v/>
      </c>
      <c r="BO400" s="108" t="inlineStr">
        <is>
          <t>N/A</t>
        </is>
      </c>
      <c r="BP400" s="108" t="inlineStr">
        <is>
          <t>N/A</t>
        </is>
      </c>
      <c r="BQ400" s="108" t="inlineStr">
        <is>
          <t>N/A</t>
        </is>
      </c>
      <c r="BR400" s="108" t="inlineStr">
        <is>
          <t>N/A</t>
        </is>
      </c>
      <c r="BS400" s="108" t="inlineStr">
        <is>
          <t>N/A</t>
        </is>
      </c>
      <c r="BT400" s="108" t="inlineStr">
        <is>
          <t>N/A</t>
        </is>
      </c>
      <c r="BU400" s="125" t="inlineStr">
        <is>
          <t>J.P. Morgan Securities (Far East) Limited; Guotai Junan Capital Limited</t>
        </is>
      </c>
      <c r="BV400" s="108" t="inlineStr">
        <is>
          <t>J.P. Morgan Securities (Far East) Limited; Guotai Junan Capital Limited</t>
        </is>
      </c>
      <c r="BW400" s="108" t="inlineStr">
        <is>
          <t>( in alphabetical order ) CMB International Capital Limited; Tiger Brokers (HK) Global Limited; Victory Securities Company Limited</t>
        </is>
      </c>
      <c r="BX400" s="108" t="inlineStr">
        <is>
          <t>CMB International Capital Limited; Eddid Securities and Futures Limited; First Shanghai Securities Limited; Futu Securities International (Hong Kong) Limited; Guotai Junan Securities (Hong Kong) Limited; Huatai Financial Holdings (Hong Kong) Limited; J.P. Morgan Securities (Asia Pacific) Limited; Tiger Brokers (HK) Global Limited; Victory Securities Company Limited</t>
        </is>
      </c>
      <c r="BY400" s="127">
        <f>HYPERLINK("https://www1.hkexnews.hk/listedco/listconews/sehk/2025/1209/2025120900025.pdf","prospectus")</f>
        <v/>
      </c>
      <c r="BZ400" s="127">
        <f>HYPERLINK("https://www1.hkexnews.hk/listedco/listconews/sehk/2025/1216/2025121601390.pdf","allotment")</f>
        <v/>
      </c>
      <c r="CA400" s="127">
        <f>HYPERLINK("https://www1.hkexnews.hk/listedco/listconews/sehk/2026/0112/2026011200057.pdf","stabilisation")</f>
        <v/>
      </c>
      <c r="CB400" s="128" t="n"/>
      <c r="CC400" s="108" t="inlineStr">
        <is>
          <t>P/E: loss-making at IPO, use P/S; range low: maximum offer price only, no floor published; market cap: published listing cap used; the estimate from deal size / offer % of enlarged capital disagreed</t>
        </is>
      </c>
    </row>
    <row r="401" ht="22" customHeight="1">
      <c r="A401" s="107" t="inlineStr">
        <is>
          <t>2546</t>
        </is>
      </c>
      <c r="B401" s="108" t="inlineStr">
        <is>
          <t>ZHIHUI MINING</t>
        </is>
      </c>
      <c r="C401" s="108" t="inlineStr">
        <is>
          <t>智匯礦業</t>
        </is>
      </c>
      <c r="D401" s="108" t="inlineStr">
        <is>
          <t>Materials/Energy</t>
        </is>
      </c>
      <c r="E401" s="108" t="inlineStr">
        <is>
          <t>Mining / metals</t>
        </is>
      </c>
      <c r="F401" s="108" t="inlineStr">
        <is>
          <t>Diversified Metals &amp; Minerals</t>
        </is>
      </c>
      <c r="G401" s="108" t="inlineStr">
        <is>
          <t>Standard</t>
        </is>
      </c>
      <c r="H401" s="109" t="n">
        <v>46010</v>
      </c>
      <c r="I401" s="110" t="n">
        <v>550</v>
      </c>
      <c r="J401" s="108" t="inlineStr">
        <is>
          <t>gross (stated)</t>
        </is>
      </c>
      <c r="K401" s="129" t="n"/>
      <c r="L401" s="111" t="n">
        <v>4.51</v>
      </c>
      <c r="M401" s="111" t="n">
        <v>4.51</v>
      </c>
      <c r="N401" s="108" t="inlineStr">
        <is>
          <t>Y</t>
        </is>
      </c>
      <c r="O401" s="112" t="n">
        <v>100</v>
      </c>
      <c r="P401" s="118" t="n"/>
      <c r="Q401" s="113" t="n">
        <v>2200</v>
      </c>
      <c r="R401" s="108" t="inlineStr">
        <is>
          <t>derived:price x shares upon listing</t>
        </is>
      </c>
      <c r="S401" s="114" t="n">
        <v>5248.15</v>
      </c>
      <c r="T401" s="115" t="n">
        <v>2.68</v>
      </c>
      <c r="U401" s="116" t="n">
        <v>40.78</v>
      </c>
      <c r="V401" s="117" t="n">
        <v>164</v>
      </c>
      <c r="W401" s="112" t="n">
        <v>10</v>
      </c>
      <c r="X401" s="108" t="inlineStr">
        <is>
          <t>NO</t>
        </is>
      </c>
      <c r="Y401" s="113" t="n">
        <v>325.71</v>
      </c>
      <c r="Z401" s="113" t="n">
        <v>72219974</v>
      </c>
      <c r="AA401" s="112" t="n">
        <v>14.81</v>
      </c>
      <c r="AB401" s="108" t="inlineStr">
        <is>
          <t>Sparky International Company Limited; Greater Bay Area Homeland Investments Limited No - GIGA Industries Limited; Poly Platinum Enterprises Limited</t>
        </is>
      </c>
      <c r="AC401" s="108" t="inlineStr">
        <is>
          <t>sparky;greater;poly</t>
        </is>
      </c>
      <c r="AD401" s="118" t="n"/>
      <c r="AE401" s="119" t="n"/>
      <c r="AF401" s="119" t="n"/>
      <c r="AG401" s="119" t="n"/>
      <c r="AH401" s="119" t="n"/>
      <c r="AI401" s="120" t="n">
        <v>126.61</v>
      </c>
      <c r="AJ401" s="121" t="n">
        <v>90.69</v>
      </c>
      <c r="AK401" s="121" t="n">
        <v>0.83</v>
      </c>
      <c r="AL401" s="121" t="n">
        <v>139.47</v>
      </c>
      <c r="AM401" s="121" t="n">
        <v>-20.37</v>
      </c>
      <c r="AN401" s="123" t="n">
        <v>2.49</v>
      </c>
      <c r="AO401" s="112" t="n">
        <v>27.04</v>
      </c>
      <c r="AP401" s="121" t="n">
        <v>109.31</v>
      </c>
      <c r="AQ401" s="121" t="n">
        <v>186.03</v>
      </c>
      <c r="AR401" s="121" t="n">
        <v>212.64</v>
      </c>
      <c r="AS401" s="121" t="n">
        <v>9.76</v>
      </c>
      <c r="AT401" s="121" t="n">
        <v>50</v>
      </c>
      <c r="AU401" s="121" t="n">
        <v>63.95</v>
      </c>
      <c r="AV401" s="121" t="n">
        <v>108.33</v>
      </c>
      <c r="AW401" s="121" t="n">
        <v>181.75</v>
      </c>
      <c r="AX401" s="121" t="n">
        <v>219.56</v>
      </c>
      <c r="AY401" s="121" t="n">
        <v>46.57</v>
      </c>
      <c r="AZ401" s="121" t="n">
        <v>4.28</v>
      </c>
      <c r="BA401" s="121" t="n">
        <v>3.43</v>
      </c>
      <c r="BB401" s="108" t="inlineStr">
        <is>
          <t>Hang Seng Commerce &amp; Industry sub-index</t>
        </is>
      </c>
      <c r="BC401" s="121" t="n">
        <v>350.55</v>
      </c>
      <c r="BD401" s="109" t="n">
        <v>46297</v>
      </c>
      <c r="BE401" s="110" t="n">
        <v>331.6</v>
      </c>
      <c r="BF401" s="113" t="n">
        <v>69.09999999999999</v>
      </c>
      <c r="BG401" s="108" t="inlineStr">
        <is>
          <t>Y</t>
        </is>
      </c>
      <c r="BH401" s="123" t="n">
        <v>31.8</v>
      </c>
      <c r="BI401" s="122" t="n"/>
      <c r="BJ401" s="122" t="n"/>
      <c r="BK401" s="123" t="n">
        <v>6.6</v>
      </c>
      <c r="BL401" s="124">
        <f>IF('BBG Verify'!S401="","not filed; run on terminal",'BBG Verify'!S401)</f>
        <v/>
      </c>
      <c r="BM401" s="125" t="inlineStr">
        <is>
          <t>N</t>
        </is>
      </c>
      <c r="BN401" s="126">
        <f>IF('BBG Verify'!K401="","not filed; run on terminal",'BBG Verify'!K401)</f>
        <v/>
      </c>
      <c r="BO401" s="108" t="inlineStr">
        <is>
          <t>N/A</t>
        </is>
      </c>
      <c r="BP401" s="108" t="inlineStr">
        <is>
          <t>N/A</t>
        </is>
      </c>
      <c r="BQ401" s="108" t="inlineStr">
        <is>
          <t>N/A</t>
        </is>
      </c>
      <c r="BR401" s="108" t="inlineStr">
        <is>
          <t>N/A</t>
        </is>
      </c>
      <c r="BS401" s="108" t="inlineStr">
        <is>
          <t>N/A</t>
        </is>
      </c>
      <c r="BT401" s="108" t="inlineStr">
        <is>
          <t>N/A</t>
        </is>
      </c>
      <c r="BU401" s="125" t="inlineStr">
        <is>
          <t>Sinolink Securities (Hong Kong) Company Limited; Maxa Capital Limited</t>
        </is>
      </c>
      <c r="BV401" s="108" t="inlineStr">
        <is>
          <t>Maxa Capital Limited; Sinolink Securities (Hong Kong) Company Limited</t>
        </is>
      </c>
      <c r="BW401" s="108" t="inlineStr">
        <is>
          <t>Sinolink Securities (Hong Kong) Company Limited; Maxa Capital Limited; ABCI Capital Limited; ABCI Securities Company Limited</t>
        </is>
      </c>
      <c r="BX401" s="108" t="inlineStr">
        <is>
          <t>ABCI Securities Company Limited; CCB International Capital Limited; CMBC Securities Company Limited; CMB International Capital Limited; Fortune Origin Securities Limited; Get Nice Securities Limited; Grand China Securities Limited; Glory Sun Securities Limited; Huaan Securities (Hong Kong) Brokerage Limited; ICBC International Securities Limited; Lego Securities Limited; Mont Avenir Capital Limited</t>
        </is>
      </c>
      <c r="BY401" s="127">
        <f>HYPERLINK("https://www1.hkexnews.hk/listedco/listconews/sehk/2025/1211/2025121100043.pdf","prospectus")</f>
        <v/>
      </c>
      <c r="BZ401" s="127">
        <f>HYPERLINK("https://www1.hkexnews.hk/listedco/listconews/sehk/2025/1218/2025121801566.pdf","allotment")</f>
        <v/>
      </c>
      <c r="CA401" s="119" t="n"/>
      <c r="CB401" s="128" t="n"/>
      <c r="CC401" s="108" t="inlineStr">
        <is>
          <t>greenshoe: no over-allotment option; range low: maximum offer price only, no floor published; greenshoe size: no over-allotment option; stabilising manager: no over-allotment option, so none appointed</t>
        </is>
      </c>
    </row>
    <row r="402" ht="22" customHeight="1">
      <c r="A402" s="107" t="inlineStr">
        <is>
          <t>3881</t>
        </is>
      </c>
      <c r="B402" s="108" t="inlineStr">
        <is>
          <t>CIDI</t>
        </is>
      </c>
      <c r="C402" s="108" t="inlineStr">
        <is>
          <t>希迪智駕</t>
        </is>
      </c>
      <c r="D402" s="108" t="inlineStr">
        <is>
          <t>Tech/AI</t>
        </is>
      </c>
      <c r="E402" s="108" t="inlineStr">
        <is>
          <t>Robotics &amp; autonomous driving</t>
        </is>
      </c>
      <c r="F402" s="108" t="inlineStr">
        <is>
          <t>Advanced hardware and software</t>
        </is>
      </c>
      <c r="G402" s="108" t="inlineStr">
        <is>
          <t>18C</t>
        </is>
      </c>
      <c r="H402" s="109" t="n">
        <v>46010</v>
      </c>
      <c r="I402" s="110" t="n">
        <v>1422.3</v>
      </c>
      <c r="J402" s="108" t="inlineStr">
        <is>
          <t>gross (stated)</t>
        </is>
      </c>
      <c r="K402" s="129" t="n"/>
      <c r="L402" s="111" t="n">
        <v>263</v>
      </c>
      <c r="M402" s="111" t="n">
        <v>263</v>
      </c>
      <c r="N402" s="108" t="inlineStr">
        <is>
          <t>Y</t>
        </is>
      </c>
      <c r="O402" s="112" t="n">
        <v>100</v>
      </c>
      <c r="P402" s="118" t="n"/>
      <c r="Q402" s="113" t="n">
        <v>11516.6</v>
      </c>
      <c r="R402" s="108" t="inlineStr">
        <is>
          <t>prospectus:stated market capitalisation</t>
        </is>
      </c>
      <c r="S402" s="114" t="n">
        <v>22.55</v>
      </c>
      <c r="T402" s="115" t="n">
        <v>2.1</v>
      </c>
      <c r="U402" s="116" t="n">
        <v>38.39</v>
      </c>
      <c r="V402" s="117" t="n">
        <v>42</v>
      </c>
      <c r="W402" s="112" t="n">
        <v>10</v>
      </c>
      <c r="X402" s="108" t="inlineStr">
        <is>
          <t>YES</t>
        </is>
      </c>
      <c r="Y402" s="113" t="n">
        <v>876.28</v>
      </c>
      <c r="Z402" s="113" t="n">
        <v>3331856</v>
      </c>
      <c r="AA402" s="112" t="n">
        <v>7.61</v>
      </c>
      <c r="AB402" s="108" t="inlineStr">
        <is>
          <t>Hunan Xiangjiang Zhicheng Industrial Investment Fund Partnership (Limited Partnership); Nanning Zhijia No. 1 Ruiyue Equity Investment Partnership (Limited Partnership); ICBC UBS Asset Management (International) Company Limited; Qianhai Kaiyuan Qunwei QDII Single Asset Management Plan</t>
        </is>
      </c>
      <c r="AC402" s="108" t="inlineStr">
        <is>
          <t>hunan;nanning;icbc;qianhai</t>
        </is>
      </c>
      <c r="AD402" s="112" t="n">
        <v>10</v>
      </c>
      <c r="AE402" s="108" t="inlineStr">
        <is>
          <t>lapsed</t>
        </is>
      </c>
      <c r="AF402" s="119" t="n"/>
      <c r="AG402" s="108" t="inlineStr">
        <is>
          <t>China International Capital Corporation Hong Kong Securities Limited</t>
        </is>
      </c>
      <c r="AH402" s="108" t="inlineStr">
        <is>
          <t>China International</t>
        </is>
      </c>
      <c r="AI402" s="120" t="n">
        <v>-6.08</v>
      </c>
      <c r="AJ402" s="121" t="n">
        <v>-13.69</v>
      </c>
      <c r="AK402" s="121" t="n">
        <v>0.9399999999999999</v>
      </c>
      <c r="AL402" s="121" t="n">
        <v>0</v>
      </c>
      <c r="AM402" s="121" t="n">
        <v>-13.69</v>
      </c>
      <c r="AN402" s="123" t="n">
        <v>1.5</v>
      </c>
      <c r="AO402" s="112" t="n">
        <v>17.11</v>
      </c>
      <c r="AP402" s="121" t="n">
        <v>-15.21</v>
      </c>
      <c r="AQ402" s="121" t="n">
        <v>-7.83</v>
      </c>
      <c r="AR402" s="121" t="n">
        <v>-11.79</v>
      </c>
      <c r="AS402" s="121" t="n">
        <v>-1.76</v>
      </c>
      <c r="AT402" s="121" t="n">
        <v>6.79</v>
      </c>
      <c r="AU402" s="121" t="n">
        <v>2.2</v>
      </c>
      <c r="AV402" s="121" t="n">
        <v>-18.03</v>
      </c>
      <c r="AW402" s="121" t="n">
        <v>-14.04</v>
      </c>
      <c r="AX402" s="121" t="n">
        <v>0.53</v>
      </c>
      <c r="AY402" s="121" t="n">
        <v>1.57</v>
      </c>
      <c r="AZ402" s="121" t="n">
        <v>6.21</v>
      </c>
      <c r="BA402" s="121" t="n">
        <v>5.22</v>
      </c>
      <c r="BB402" s="108" t="inlineStr">
        <is>
          <t>HSTECH (Hang Seng TECH ETF)</t>
        </is>
      </c>
      <c r="BC402" s="121" t="n">
        <v>-24.79</v>
      </c>
      <c r="BD402" s="109" t="n">
        <v>46297</v>
      </c>
      <c r="BE402" s="110" t="n">
        <v>451</v>
      </c>
      <c r="BF402" s="113" t="n">
        <v>-638.8</v>
      </c>
      <c r="BG402" s="108" t="inlineStr">
        <is>
          <t>N</t>
        </is>
      </c>
      <c r="BH402" s="108" t="inlineStr">
        <is>
          <t>n/m</t>
        </is>
      </c>
      <c r="BI402" s="122" t="n"/>
      <c r="BJ402" s="122" t="n"/>
      <c r="BK402" s="123" t="n">
        <v>25.5</v>
      </c>
      <c r="BL402" s="124">
        <f>IF('BBG Verify'!S402="","not filed; run on terminal",'BBG Verify'!S402)</f>
        <v/>
      </c>
      <c r="BM402" s="125" t="inlineStr">
        <is>
          <t>N</t>
        </is>
      </c>
      <c r="BN402" s="126">
        <f>IF('BBG Verify'!K402="","not filed; run on terminal",'BBG Verify'!K402)</f>
        <v/>
      </c>
      <c r="BO402" s="108" t="inlineStr">
        <is>
          <t>N/A</t>
        </is>
      </c>
      <c r="BP402" s="108" t="inlineStr">
        <is>
          <t>N/A</t>
        </is>
      </c>
      <c r="BQ402" s="108" t="inlineStr">
        <is>
          <t>N/A</t>
        </is>
      </c>
      <c r="BR402" s="108" t="inlineStr">
        <is>
          <t>N/A</t>
        </is>
      </c>
      <c r="BS402" s="108" t="inlineStr">
        <is>
          <t>N/A</t>
        </is>
      </c>
      <c r="BT402" s="108" t="inlineStr">
        <is>
          <t>N/A</t>
        </is>
      </c>
      <c r="BU402" s="125" t="inlineStr">
        <is>
          <t>China International Capital Corporation Hong Kong Securities Limited; China Securities (International) Corporate Finance Company Limited; Ping An of China Capital (Hong Kong) Company Limited</t>
        </is>
      </c>
      <c r="BV402" s="108" t="inlineStr">
        <is>
          <t>China International Capital Corporation Hong Kong Securities Limited; Ping An of China Capital (Hong Kong) Company Limited; China Securities (International) Corporate Finance Company Limited</t>
        </is>
      </c>
      <c r="BW402" s="108" t="inlineStr">
        <is>
          <t>China International Capital Corporation Hong Kong Securities Limited; China Securities (International) Corporate Finance Company Limited; Ping An Securities (Hong Kong) Company Limited; Finance Company Limited; ABCI Capital Limited; Funde Securities Limited; Guosen Securities (HK) Brokerage Company, Limited; ICBC International Securities Limited; China Everbright Securities (HK) Limited; Livermore Holdings Limited; Shenwan Hongyuan Securities (H.K.) Limited; Tiger Brokers (HK) Global Limited</t>
        </is>
      </c>
      <c r="BX402" s="108" t="inlineStr">
        <is>
          <t>ABCI Securities Company Limited; China Everbright Securities (HK) Limited; China International Capital Corporation Hong Kong Securities Limited; China Securities (International) Corporate Finance Company Limited; Funde Securities Limited; Guosen Securities (HK) Brokerage Company, Limited; ICBC International Securities Limited; Livermore Holdings Limited; Ping An Securities (Hong Kong) Company Limited; Shenwan Hongyuan Securities (H.K.) Limited; Tiger Brokers (HK) Global Limited; Winbull Securities International (HK) Limited</t>
        </is>
      </c>
      <c r="BY402" s="127">
        <f>HYPERLINK("https://www1.hkexnews.hk/listedco/listconews/sehk/2025/1211/2025121100007.pdf","prospectus")</f>
        <v/>
      </c>
      <c r="BZ402" s="127">
        <f>HYPERLINK("https://www1.hkexnews.hk/listedco/listconews/sehk/2025/1218/2025121801904.pdf","allotment")</f>
        <v/>
      </c>
      <c r="CA402" s="127">
        <f>HYPERLINK("https://www1.hkexnews.hk/listedco/listconews/sehk/2026/0116/2026011600161.pdf","stabilisation")</f>
        <v/>
      </c>
      <c r="CB402" s="128" t="n"/>
      <c r="CC402" s="108" t="inlineStr">
        <is>
          <t>P/E: loss-making at IPO, use P/S; greenshoe: conflict: notice read 'lapsed' but Bloomberg records 540,800 shares exercised; check the notice; range low: maximum offer price only, no floor published</t>
        </is>
      </c>
    </row>
    <row r="403" ht="22" customHeight="1">
      <c r="A403" s="107" t="inlineStr">
        <is>
          <t>2695</t>
        </is>
      </c>
      <c r="B403" s="108" t="inlineStr">
        <is>
          <t>IMPRESSION DHP</t>
        </is>
      </c>
      <c r="C403" s="108" t="inlineStr">
        <is>
          <t>印象大紅袍</t>
        </is>
      </c>
      <c r="D403" s="108" t="inlineStr">
        <is>
          <t>TMT-other</t>
        </is>
      </c>
      <c r="E403" s="108" t="inlineStr">
        <is>
          <t>Media / advertising</t>
        </is>
      </c>
      <c r="F403" s="108" t="inlineStr">
        <is>
          <t>Tourism</t>
        </is>
      </c>
      <c r="G403" s="108" t="inlineStr">
        <is>
          <t>Standard</t>
        </is>
      </c>
      <c r="H403" s="109" t="n">
        <v>46013</v>
      </c>
      <c r="I403" s="110" t="n">
        <v>129.96</v>
      </c>
      <c r="J403" s="108" t="inlineStr">
        <is>
          <t>gross (stated)</t>
        </is>
      </c>
      <c r="K403" s="111" t="n">
        <v>3.47</v>
      </c>
      <c r="L403" s="111" t="n">
        <v>4.1</v>
      </c>
      <c r="M403" s="111" t="n">
        <v>3.6</v>
      </c>
      <c r="N403" s="108" t="inlineStr">
        <is>
          <t>N</t>
        </is>
      </c>
      <c r="O403" s="112" t="n">
        <v>87.8</v>
      </c>
      <c r="P403" s="112" t="n">
        <v>20.6</v>
      </c>
      <c r="Q403" s="113" t="n">
        <v>519</v>
      </c>
      <c r="R403" s="108" t="inlineStr">
        <is>
          <t>derived:price x shares upon listing</t>
        </is>
      </c>
      <c r="S403" s="114" t="n">
        <v>3397.48</v>
      </c>
      <c r="T403" s="115" t="n">
        <v>1.91</v>
      </c>
      <c r="U403" s="116" t="n">
        <v>0</v>
      </c>
      <c r="V403" s="117" t="n">
        <v>109</v>
      </c>
      <c r="W403" s="112" t="n">
        <v>10</v>
      </c>
      <c r="X403" s="108" t="inlineStr">
        <is>
          <t>NO</t>
        </is>
      </c>
      <c r="Y403" s="113" t="n">
        <v>129.96</v>
      </c>
      <c r="Z403" s="113" t="n">
        <v>36100000</v>
      </c>
      <c r="AA403" s="112" t="n">
        <v>25.04</v>
      </c>
      <c r="AB403" s="108" t="inlineStr">
        <is>
          <t>none — no cornerstone tranche</t>
        </is>
      </c>
      <c r="AC403" s="108" t="inlineStr">
        <is>
          <t>none</t>
        </is>
      </c>
      <c r="AD403" s="112" t="n">
        <v>11.4</v>
      </c>
      <c r="AE403" s="119" t="n"/>
      <c r="AF403" s="119" t="n"/>
      <c r="AG403" s="108" t="inlineStr">
        <is>
          <t>China Industrial Securities International Capital Limited</t>
        </is>
      </c>
      <c r="AH403" s="108" t="inlineStr">
        <is>
          <t>China Industrial</t>
        </is>
      </c>
      <c r="AI403" s="120" t="n">
        <v>-4.44</v>
      </c>
      <c r="AJ403" s="121" t="n">
        <v>-35.28</v>
      </c>
      <c r="AK403" s="121" t="n">
        <v>0.43</v>
      </c>
      <c r="AL403" s="121" t="n">
        <v>-9.44</v>
      </c>
      <c r="AM403" s="121" t="n">
        <v>-28.53</v>
      </c>
      <c r="AN403" s="123" t="n">
        <v>11.82</v>
      </c>
      <c r="AO403" s="112" t="n">
        <v>32.82</v>
      </c>
      <c r="AP403" s="121" t="n">
        <v>-41.11</v>
      </c>
      <c r="AQ403" s="121" t="n">
        <v>-35.56</v>
      </c>
      <c r="AR403" s="121" t="n">
        <v>-50.28</v>
      </c>
      <c r="AS403" s="121" t="n">
        <v>-9.01</v>
      </c>
      <c r="AT403" s="121" t="n">
        <v>-0.43</v>
      </c>
      <c r="AU403" s="121" t="n">
        <v>-23.18</v>
      </c>
      <c r="AV403" s="121" t="n">
        <v>-40.88</v>
      </c>
      <c r="AW403" s="121" t="n">
        <v>-39.68</v>
      </c>
      <c r="AX403" s="121" t="n">
        <v>-47.4</v>
      </c>
      <c r="AY403" s="121" t="n">
        <v>-4.1</v>
      </c>
      <c r="AZ403" s="121" t="n">
        <v>4.12</v>
      </c>
      <c r="BA403" s="121" t="n">
        <v>3.67</v>
      </c>
      <c r="BB403" s="108" t="inlineStr">
        <is>
          <t>Hang Seng Index</t>
        </is>
      </c>
      <c r="BC403" s="121" t="n">
        <v>-66.81</v>
      </c>
      <c r="BD403" s="109" t="n">
        <v>46297</v>
      </c>
      <c r="BE403" s="110" t="n">
        <v>150.9</v>
      </c>
      <c r="BF403" s="113" t="n">
        <v>-2.9</v>
      </c>
      <c r="BG403" s="108" t="inlineStr">
        <is>
          <t>N</t>
        </is>
      </c>
      <c r="BH403" s="108" t="inlineStr">
        <is>
          <t>n/m</t>
        </is>
      </c>
      <c r="BI403" s="123" t="n">
        <v>5.6</v>
      </c>
      <c r="BJ403" s="123" t="n">
        <v>3.1</v>
      </c>
      <c r="BK403" s="123" t="n">
        <v>3.4</v>
      </c>
      <c r="BL403" s="124">
        <f>IF('BBG Verify'!S403="","not filed; run on terminal",'BBG Verify'!S403)</f>
        <v/>
      </c>
      <c r="BM403" s="125" t="inlineStr">
        <is>
          <t>N</t>
        </is>
      </c>
      <c r="BN403" s="126">
        <f>IF('BBG Verify'!K403="","not filed; run on terminal",'BBG Verify'!K403)</f>
        <v/>
      </c>
      <c r="BO403" s="108" t="inlineStr">
        <is>
          <t>N/A</t>
        </is>
      </c>
      <c r="BP403" s="108" t="inlineStr">
        <is>
          <t>N/A</t>
        </is>
      </c>
      <c r="BQ403" s="108" t="inlineStr">
        <is>
          <t>N/A</t>
        </is>
      </c>
      <c r="BR403" s="108" t="inlineStr">
        <is>
          <t>N/A</t>
        </is>
      </c>
      <c r="BS403" s="108" t="inlineStr">
        <is>
          <t>N/A</t>
        </is>
      </c>
      <c r="BT403" s="108" t="inlineStr">
        <is>
          <t>N/A</t>
        </is>
      </c>
      <c r="BU403" s="125" t="inlineStr">
        <is>
          <t>China Industrial Securities International Capital Limited; Halcyon Capital Limited</t>
        </is>
      </c>
      <c r="BV403" s="108" t="inlineStr">
        <is>
          <t>China Industrial Securities International Capital Limited; Halcyon Capital Limited</t>
        </is>
      </c>
      <c r="BW403" s="108" t="inlineStr">
        <is>
          <t>China Industrial Securities International Capital Limited; Halcyon Securities Limited; ABCI Capital Limited; ABCI Securities Company Limited</t>
        </is>
      </c>
      <c r="BX403" s="108" t="inlineStr">
        <is>
          <t>ABCI Securities Company Limited; BOCI Asia Limited; CCB International Capital Limited; China Industrial Securities International Capital Limited; CMB International Capital Limited; China Sunrise Securities (International) Limited; Futu Securities International (Hong Kong) Limited; GLAM Capital Limited; Halcyon Securities Limited; Huafu International Securities Limited; ICBC International Securities Limited; Patrons Securities Limited</t>
        </is>
      </c>
      <c r="BY403" s="127">
        <f>HYPERLINK("https://www1.hkexnews.hk/listedco/listconews/sehk/2025/1212/2025121200055.pdf","prospectus")</f>
        <v/>
      </c>
      <c r="BZ403" s="127">
        <f>HYPERLINK("https://www1.hkexnews.hk/listedco/listconews/sehk/2025/1219/2025121901141.pdf","allotment")</f>
        <v/>
      </c>
      <c r="CA403" s="119" t="n"/>
      <c r="CB403" s="128" t="n"/>
      <c r="CC403" s="108" t="inlineStr">
        <is>
          <t>P/E: loss-making at IPO, use P/S; greenshoe: end-of-stabilisation notice not found; market cap: prospectus 'market capitalisation' line is the listing-rule threshold, not the issuer's figure; rejected; cornerstone list: no cornerstone tranche</t>
        </is>
      </c>
    </row>
    <row r="404" ht="22" customHeight="1">
      <c r="A404" s="107" t="inlineStr">
        <is>
          <t>2396</t>
        </is>
      </c>
      <c r="B404" s="108" t="inlineStr">
        <is>
          <t>B&amp;K CORP-B</t>
        </is>
      </c>
      <c r="C404" s="108" t="inlineStr">
        <is>
          <t>青城新藥－Ｂ</t>
        </is>
      </c>
      <c r="D404" s="108" t="inlineStr">
        <is>
          <t>Healthcare</t>
        </is>
      </c>
      <c r="E404" s="108" t="inlineStr">
        <is>
          <t>Biotech pre-revenue (18A)</t>
        </is>
      </c>
      <c r="F404" s="108" t="inlineStr">
        <is>
          <t>Biotechnology - Pharmaceuticals</t>
        </is>
      </c>
      <c r="G404" s="108" t="inlineStr">
        <is>
          <t>18A</t>
        </is>
      </c>
      <c r="H404" s="109" t="n">
        <v>46013</v>
      </c>
      <c r="I404" s="110" t="n">
        <v>674.2</v>
      </c>
      <c r="J404" s="108" t="inlineStr">
        <is>
          <t>gross (price x shares)</t>
        </is>
      </c>
      <c r="K404" s="129" t="n"/>
      <c r="L404" s="111" t="n">
        <v>51</v>
      </c>
      <c r="M404" s="111" t="n">
        <v>38.2</v>
      </c>
      <c r="N404" s="108" t="inlineStr">
        <is>
          <t>N</t>
        </is>
      </c>
      <c r="O404" s="112" t="n">
        <v>74.90000000000001</v>
      </c>
      <c r="P404" s="118" t="n"/>
      <c r="Q404" s="113" t="n">
        <v>4494.5</v>
      </c>
      <c r="R404" s="108" t="inlineStr">
        <is>
          <t>derived:price x shares upon listing</t>
        </is>
      </c>
      <c r="S404" s="114" t="n">
        <v>791.95</v>
      </c>
      <c r="T404" s="115" t="n">
        <v>6.05</v>
      </c>
      <c r="U404" s="116" t="n">
        <v>0</v>
      </c>
      <c r="V404" s="117" t="n">
        <v>73</v>
      </c>
      <c r="W404" s="112" t="n">
        <v>10</v>
      </c>
      <c r="X404" s="108" t="inlineStr">
        <is>
          <t>NA</t>
        </is>
      </c>
      <c r="Y404" s="113" t="n">
        <v>674.2</v>
      </c>
      <c r="Z404" s="113" t="n">
        <v>17648800</v>
      </c>
      <c r="AA404" s="112" t="n">
        <v>15</v>
      </c>
      <c r="AB404" s="108" t="inlineStr">
        <is>
          <t>none — no cornerstone tranche</t>
        </is>
      </c>
      <c r="AC404" s="108" t="inlineStr">
        <is>
          <t>none</t>
        </is>
      </c>
      <c r="AD404" s="112" t="n">
        <v>15</v>
      </c>
      <c r="AE404" s="108" t="inlineStr">
        <is>
          <t>lapsed (no over-allocation)</t>
        </is>
      </c>
      <c r="AF404" s="108" t="inlineStr">
        <is>
          <t>2026-01-16</t>
        </is>
      </c>
      <c r="AG404" s="108" t="inlineStr">
        <is>
          <t>CLSA Limited</t>
        </is>
      </c>
      <c r="AH404" s="108" t="inlineStr">
        <is>
          <t>CLSA</t>
        </is>
      </c>
      <c r="AI404" s="139" t="n">
        <v>0.58</v>
      </c>
      <c r="AJ404" s="121" t="n">
        <v>-29.32</v>
      </c>
      <c r="AK404" s="121" t="n">
        <v>-1.04</v>
      </c>
      <c r="AL404" s="121" t="n">
        <v>-11.52</v>
      </c>
      <c r="AM404" s="121" t="n">
        <v>-20.12</v>
      </c>
      <c r="AN404" s="123" t="n">
        <v>2.83</v>
      </c>
      <c r="AO404" s="112" t="n">
        <v>30.18</v>
      </c>
      <c r="AP404" s="121" t="n">
        <v>-57.67</v>
      </c>
      <c r="AQ404" s="121" t="n">
        <v>-71.95999999999999</v>
      </c>
      <c r="AR404" s="121" t="n">
        <v>-81.02</v>
      </c>
      <c r="AS404" s="121" t="n">
        <v>-40.11</v>
      </c>
      <c r="AT404" s="121" t="n">
        <v>-60.33</v>
      </c>
      <c r="AU404" s="121" t="n">
        <v>-73.15000000000001</v>
      </c>
      <c r="AV404" s="121" t="n">
        <v>-53.08</v>
      </c>
      <c r="AW404" s="121" t="n">
        <v>-73.8</v>
      </c>
      <c r="AX404" s="121" t="n">
        <v>-86.11</v>
      </c>
      <c r="AY404" s="121" t="n">
        <v>-63.25</v>
      </c>
      <c r="AZ404" s="121" t="n">
        <v>1.84</v>
      </c>
      <c r="BA404" s="121" t="n">
        <v>2.92</v>
      </c>
      <c r="BB404" s="108" t="inlineStr">
        <is>
          <t>China Biotech ETF (HS biotech proxy)</t>
        </is>
      </c>
      <c r="BC404" s="121" t="n">
        <v>-89.08</v>
      </c>
      <c r="BD404" s="109" t="n">
        <v>46297</v>
      </c>
      <c r="BE404" s="110" t="n">
        <v>0.3</v>
      </c>
      <c r="BF404" s="113" t="n">
        <v>-180.5</v>
      </c>
      <c r="BG404" s="108" t="inlineStr">
        <is>
          <t>N</t>
        </is>
      </c>
      <c r="BH404" s="108" t="inlineStr">
        <is>
          <t>n/m</t>
        </is>
      </c>
      <c r="BI404" s="122" t="n"/>
      <c r="BJ404" s="122" t="n"/>
      <c r="BK404" s="123" t="n">
        <v>14981.7</v>
      </c>
      <c r="BL404" s="124">
        <f>IF('BBG Verify'!S404="","not filed; run on terminal",'BBG Verify'!S404)</f>
        <v/>
      </c>
      <c r="BM404" s="125" t="inlineStr">
        <is>
          <t>N</t>
        </is>
      </c>
      <c r="BN404" s="126">
        <f>IF('BBG Verify'!K404="","not filed; run on terminal",'BBG Verify'!K404)</f>
        <v/>
      </c>
      <c r="BO404" s="108" t="inlineStr">
        <is>
          <t>N/A</t>
        </is>
      </c>
      <c r="BP404" s="108" t="inlineStr">
        <is>
          <t>N/A</t>
        </is>
      </c>
      <c r="BQ404" s="108" t="inlineStr">
        <is>
          <t>N/A</t>
        </is>
      </c>
      <c r="BR404" s="108" t="inlineStr">
        <is>
          <t>N/A</t>
        </is>
      </c>
      <c r="BS404" s="108" t="inlineStr">
        <is>
          <t>N/A</t>
        </is>
      </c>
      <c r="BT404" s="108" t="inlineStr">
        <is>
          <t>N/A</t>
        </is>
      </c>
      <c r="BU404" s="125" t="inlineStr">
        <is>
          <t>Huatai Financial Holdings (Hong Kong) Limited; CITIC Securities (Hong Kong) Limited</t>
        </is>
      </c>
      <c r="BV404" s="108" t="inlineStr">
        <is>
          <t>Huatai Financial Holdings (Hong Kong) Limited; CITIC Securities (Hong Kong) Limited</t>
        </is>
      </c>
      <c r="BW404" s="108" t="inlineStr">
        <is>
          <t>Huatai Financial Holdings (Hong Kong) Limited; CLSA Limited; China Merchants Securities (HK) Co., Limited; China Galaxy International Securities (Hong Kong) Co., Limited; Guolian Securities International Capital Co., Limited; CMB International Capital Limited; CMBC Securities Company Limited; Central China International Securities Co., Limited; Futu Securities International (Hong Kong) Limited; Huafu International Securities Limited; Livermore Holdings Limited</t>
        </is>
      </c>
      <c r="BX404" s="108" t="inlineStr">
        <is>
          <t>Central China International Securities Co.; China Galaxy International Securities (Hong Kong) Company Limited; CLSA Limited; CMBC Securities Company Limited; CMB International Capital Limited; China Merchants Securities (HK) Company Limited; Fortune (HK) Securities Limited; Futu Securities International (Hong Kong) Limited; Guolian Securities International Capital Market Co., Limited; Huatai Financial Holdings (Hong Kong) Limited; Huafu International Securities Limited</t>
        </is>
      </c>
      <c r="BY404" s="127">
        <f>HYPERLINK("https://www1.hkexnews.hk/listedco/listconews/sehk/2025/1212/2025121200081.pdf","prospectus")</f>
        <v/>
      </c>
      <c r="BZ404" s="127">
        <f>HYPERLINK("https://www1.hkexnews.hk/listedco/listconews/sehk/2025/1219/2025121901577.pdf","allotment")</f>
        <v/>
      </c>
      <c r="CA404" s="127">
        <f>HYPERLINK("https://www1.hkexnews.hk/listedco/listconews/sehk/2026/0118/2026011800013.pdf","stabilisation")</f>
        <v/>
      </c>
      <c r="CB404" s="128" t="n"/>
      <c r="CC404" s="108" t="inlineStr">
        <is>
          <t>P/E: loss-making at IPO, use P/S; range low: maximum offer price only, no floor published; market cap: prospectus 'market capitalisation' line is the listing-rule threshold, not the issuer's figure; rejected; cornerstone list: no cornerstone tranche; P/S: 14,982x on HK$0.3m revenue, effectively pre-revenue; not comparable</t>
        </is>
      </c>
    </row>
    <row r="405" ht="22" customHeight="1">
      <c r="A405" s="107" t="inlineStr">
        <is>
          <t>2581</t>
        </is>
      </c>
      <c r="B405" s="108" t="inlineStr">
        <is>
          <t>BENQ HOLDING</t>
        </is>
      </c>
      <c r="C405" s="108" t="inlineStr">
        <is>
          <t>明基醫院</t>
        </is>
      </c>
      <c r="D405" s="108" t="inlineStr">
        <is>
          <t>Tech/AI</t>
        </is>
      </c>
      <c r="E405" s="108" t="inlineStr">
        <is>
          <t>Smart hardware / consumer electronics</t>
        </is>
      </c>
      <c r="F405" s="108" t="inlineStr">
        <is>
          <t>Health Care Services</t>
        </is>
      </c>
      <c r="G405" s="108" t="inlineStr">
        <is>
          <t>Standard</t>
        </is>
      </c>
      <c r="H405" s="109" t="n">
        <v>46013</v>
      </c>
      <c r="I405" s="110" t="n">
        <v>625.8</v>
      </c>
      <c r="J405" s="108" t="inlineStr">
        <is>
          <t>gross (stated)</t>
        </is>
      </c>
      <c r="K405" s="111" t="n">
        <v>9.34</v>
      </c>
      <c r="L405" s="111" t="n">
        <v>11.68</v>
      </c>
      <c r="M405" s="111" t="n">
        <v>9.34</v>
      </c>
      <c r="N405" s="108" t="inlineStr">
        <is>
          <t>N</t>
        </is>
      </c>
      <c r="O405" s="112" t="n">
        <v>80</v>
      </c>
      <c r="P405" s="112" t="n">
        <v>0</v>
      </c>
      <c r="Q405" s="113" t="n">
        <v>2913.6</v>
      </c>
      <c r="R405" s="108" t="inlineStr">
        <is>
          <t>derived:price x shares upon listing</t>
        </is>
      </c>
      <c r="S405" s="114" t="n">
        <v>6.28</v>
      </c>
      <c r="T405" s="115" t="n">
        <v>1.28</v>
      </c>
      <c r="U405" s="116" t="n">
        <v>49.63</v>
      </c>
      <c r="V405" s="117" t="n">
        <v>40</v>
      </c>
      <c r="W405" s="112" t="n">
        <v>10</v>
      </c>
      <c r="X405" s="108" t="inlineStr">
        <is>
          <t>NA</t>
        </is>
      </c>
      <c r="Y405" s="113" t="n">
        <v>315.22</v>
      </c>
      <c r="Z405" s="113" t="n">
        <v>33747900</v>
      </c>
      <c r="AA405" s="112" t="n">
        <v>10.82</v>
      </c>
      <c r="AB405" s="108" t="inlineStr">
        <is>
          <t>Heron Neutron Medical Corp; Suzhou Zhanxingtou Industrial Fund Partnership (Limited Partnership)</t>
        </is>
      </c>
      <c r="AC405" s="108" t="inlineStr">
        <is>
          <t>heron;suzhou</t>
        </is>
      </c>
      <c r="AD405" s="118" t="n"/>
      <c r="AE405" s="119" t="n"/>
      <c r="AF405" s="119" t="n"/>
      <c r="AG405" s="119" t="n"/>
      <c r="AH405" s="119" t="n"/>
      <c r="AI405" s="120" t="n">
        <v>-25.37</v>
      </c>
      <c r="AJ405" s="121" t="n">
        <v>-49.46</v>
      </c>
      <c r="AK405" s="121" t="n">
        <v>1.03</v>
      </c>
      <c r="AL405" s="121" t="n">
        <v>-30.41</v>
      </c>
      <c r="AM405" s="121" t="n">
        <v>-27.37</v>
      </c>
      <c r="AN405" s="123" t="n">
        <v>1.17</v>
      </c>
      <c r="AO405" s="112" t="n">
        <v>27.38</v>
      </c>
      <c r="AP405" s="121" t="n">
        <v>-56</v>
      </c>
      <c r="AQ405" s="121" t="n">
        <v>-56.21</v>
      </c>
      <c r="AR405" s="121" t="n">
        <v>-63.06</v>
      </c>
      <c r="AS405" s="121" t="n">
        <v>-12.94</v>
      </c>
      <c r="AT405" s="121" t="n">
        <v>-13.36</v>
      </c>
      <c r="AU405" s="121" t="n">
        <v>-26.91</v>
      </c>
      <c r="AV405" s="121" t="n">
        <v>-56.56</v>
      </c>
      <c r="AW405" s="121" t="n">
        <v>-61.99</v>
      </c>
      <c r="AX405" s="121" t="n">
        <v>-50.37</v>
      </c>
      <c r="AY405" s="121" t="n">
        <v>-18.07</v>
      </c>
      <c r="AZ405" s="121" t="n">
        <v>5.78</v>
      </c>
      <c r="BA405" s="121" t="n">
        <v>4.71</v>
      </c>
      <c r="BB405" s="108" t="inlineStr">
        <is>
          <t>HSTECH (Hang Seng TECH ETF)</t>
        </is>
      </c>
      <c r="BC405" s="121" t="n">
        <v>-71.09</v>
      </c>
      <c r="BD405" s="109" t="n">
        <v>46297</v>
      </c>
      <c r="BE405" s="110" t="n">
        <v>2924.9</v>
      </c>
      <c r="BF405" s="113" t="n">
        <v>119.8</v>
      </c>
      <c r="BG405" s="108" t="inlineStr">
        <is>
          <t>Y</t>
        </is>
      </c>
      <c r="BH405" s="123" t="n">
        <v>24.3</v>
      </c>
      <c r="BI405" s="123" t="n">
        <v>11.1</v>
      </c>
      <c r="BJ405" s="123" t="n">
        <v>6.2</v>
      </c>
      <c r="BK405" s="123" t="n">
        <v>1</v>
      </c>
      <c r="BL405" s="124">
        <f>IF('BBG Verify'!S405="","not filed; run on terminal",'BBG Verify'!S405)</f>
        <v/>
      </c>
      <c r="BM405" s="125" t="inlineStr">
        <is>
          <t>N</t>
        </is>
      </c>
      <c r="BN405" s="126">
        <f>IF('BBG Verify'!K405="","not filed; run on terminal",'BBG Verify'!K405)</f>
        <v/>
      </c>
      <c r="BO405" s="108" t="inlineStr">
        <is>
          <t>N/A</t>
        </is>
      </c>
      <c r="BP405" s="108" t="inlineStr">
        <is>
          <t>N/A</t>
        </is>
      </c>
      <c r="BQ405" s="108" t="inlineStr">
        <is>
          <t>N/A</t>
        </is>
      </c>
      <c r="BR405" s="108" t="inlineStr">
        <is>
          <t>N/A</t>
        </is>
      </c>
      <c r="BS405" s="108" t="inlineStr">
        <is>
          <t>N/A</t>
        </is>
      </c>
      <c r="BT405" s="108" t="inlineStr">
        <is>
          <t>N/A</t>
        </is>
      </c>
      <c r="BU405" s="125" t="inlineStr">
        <is>
          <t>China International Capital Corporation Hong Kong Securities Limited; Citigroup Global Markets Asia Limited</t>
        </is>
      </c>
      <c r="BV405" s="108" t="inlineStr">
        <is>
          <t>China International Capital Corporation Hong Kong Securities Limited; Citigroup Global Markets Asia Limited</t>
        </is>
      </c>
      <c r="BW405" s="108" t="inlineStr">
        <is>
          <t>China International Capital Corporation Hong Kong Securities Limited; Citigroup Global Markets Asia Limited; CTBC Bank Co., Ltd; Citigroup Global Markets Limited; Canary Wharf London E14 5LB United Kingdom CTBC Bank Co., Ltd; Futu Securities International (Hong Kong) Limited; Livermore Holdings Limited; TradeGo Markets Limited; UOB Kay Hian (Hong Kong) Limited</t>
        </is>
      </c>
      <c r="BX405" s="108" t="inlineStr">
        <is>
          <t>Citigroup Global Markets Asia Limited; China International Capital Corporation Hong Kong Securities Limited; CTBC Bank Co., Ltd.; Futu Securities International (Hong Kong) Limited; Livermore Holdings Limited; TradeGo Markets Limited; UOB Kay Hian (Hong Kong) Limited</t>
        </is>
      </c>
      <c r="BY405" s="127">
        <f>HYPERLINK("https://www1.hkexnews.hk/listedco/listconews/sehk/2025/1212/2025121200057.pdf","prospectus")</f>
        <v/>
      </c>
      <c r="BZ405" s="127">
        <f>HYPERLINK("https://www1.hkexnews.hk/listedco/listconews/sehk/2025/1219/2025121901603.pdf","allotment")</f>
        <v/>
      </c>
      <c r="CA405" s="119" t="n"/>
      <c r="CB405" s="128" t="n"/>
      <c r="CC405" s="108" t="inlineStr">
        <is>
          <t>greenshoe: no over-allotment option; sponsor: English name not in the filing; AAStocks 保薦人 shown; market cap: prospectus 'market capitalisation' line is the listing-rule threshold, not the issuer's figure; rejected; greenshoe size: no over-allotment option; stabilising manager: filing states none appointed (prospectus: 'no stabilizing manager will be appointed' stated in the filing)</t>
        </is>
      </c>
    </row>
    <row r="406" ht="22" customHeight="1">
      <c r="A406" s="107" t="inlineStr">
        <is>
          <t>2691</t>
        </is>
      </c>
      <c r="B406" s="108" t="inlineStr">
        <is>
          <t>NANHUA FUTURES</t>
        </is>
      </c>
      <c r="C406" s="108" t="inlineStr">
        <is>
          <t>南華期貨股份</t>
        </is>
      </c>
      <c r="D406" s="108" t="inlineStr">
        <is>
          <t>Financials</t>
        </is>
      </c>
      <c r="E406" s="108" t="inlineStr">
        <is>
          <t>Brokers / asset management</t>
        </is>
      </c>
      <c r="F406" s="108" t="inlineStr">
        <is>
          <t>Investment Banking &amp; Brokerage</t>
        </is>
      </c>
      <c r="G406" s="108" t="inlineStr">
        <is>
          <t>Standard</t>
        </is>
      </c>
      <c r="H406" s="109" t="n">
        <v>46013</v>
      </c>
      <c r="I406" s="110" t="n">
        <v>1291.91</v>
      </c>
      <c r="J406" s="108" t="inlineStr">
        <is>
          <t>gross (stated)</t>
        </is>
      </c>
      <c r="K406" s="129" t="n"/>
      <c r="L406" s="111" t="n">
        <v>16</v>
      </c>
      <c r="M406" s="111" t="n">
        <v>12</v>
      </c>
      <c r="N406" s="108" t="inlineStr">
        <is>
          <t>N</t>
        </is>
      </c>
      <c r="O406" s="112" t="n">
        <v>75</v>
      </c>
      <c r="P406" s="118" t="n"/>
      <c r="Q406" s="113" t="n">
        <v>10491.8</v>
      </c>
      <c r="R406" s="108" t="inlineStr">
        <is>
          <t>prospectus:stated market capitalisation, rescaled to the offer price</t>
        </is>
      </c>
      <c r="S406" s="114" t="n">
        <v>1.91</v>
      </c>
      <c r="T406" s="115" t="n">
        <v>0.99</v>
      </c>
      <c r="U406" s="116" t="n">
        <v>0</v>
      </c>
      <c r="V406" s="117" t="n">
        <v>32</v>
      </c>
      <c r="W406" s="112" t="n">
        <v>15</v>
      </c>
      <c r="X406" s="119" t="n"/>
      <c r="Y406" s="113" t="n">
        <v>1291.91</v>
      </c>
      <c r="Z406" s="113" t="n">
        <v>107659000</v>
      </c>
      <c r="AA406" s="112" t="n">
        <v>12.31</v>
      </c>
      <c r="AB406" s="108" t="inlineStr">
        <is>
          <t>none — no cornerstone tranche</t>
        </is>
      </c>
      <c r="AC406" s="108" t="inlineStr">
        <is>
          <t>none</t>
        </is>
      </c>
      <c r="AD406" s="112" t="n">
        <v>5</v>
      </c>
      <c r="AE406" s="108" t="inlineStr">
        <is>
          <t>lapsed (no over-allocation)</t>
        </is>
      </c>
      <c r="AF406" s="119" t="n"/>
      <c r="AG406" s="108" t="inlineStr">
        <is>
          <t>CLSA Limited</t>
        </is>
      </c>
      <c r="AH406" s="108" t="inlineStr">
        <is>
          <t>CLSA</t>
        </is>
      </c>
      <c r="AI406" s="120" t="n">
        <v>-7.42</v>
      </c>
      <c r="AJ406" s="121" t="n">
        <v>-24.17</v>
      </c>
      <c r="AK406" s="121" t="n">
        <v>0.52</v>
      </c>
      <c r="AL406" s="121" t="n">
        <v>-23.92</v>
      </c>
      <c r="AM406" s="121" t="n">
        <v>-0.33</v>
      </c>
      <c r="AN406" s="123" t="n">
        <v>0.49</v>
      </c>
      <c r="AO406" s="112" t="n">
        <v>18.62</v>
      </c>
      <c r="AP406" s="121" t="n">
        <v>-17.42</v>
      </c>
      <c r="AQ406" s="121" t="n">
        <v>-12.75</v>
      </c>
      <c r="AR406" s="121" t="n">
        <v>-9.5</v>
      </c>
      <c r="AS406" s="121" t="n">
        <v>8.9</v>
      </c>
      <c r="AT406" s="121" t="n">
        <v>15.06</v>
      </c>
      <c r="AU406" s="121" t="n">
        <v>19.35</v>
      </c>
      <c r="AV406" s="121" t="n">
        <v>-18.24</v>
      </c>
      <c r="AW406" s="121" t="n">
        <v>-16.12</v>
      </c>
      <c r="AX406" s="121" t="n">
        <v>-12.35</v>
      </c>
      <c r="AY406" s="121" t="n">
        <v>12.22</v>
      </c>
      <c r="AZ406" s="121" t="n">
        <v>3.37</v>
      </c>
      <c r="BA406" s="121" t="n">
        <v>2.84</v>
      </c>
      <c r="BB406" s="108" t="inlineStr">
        <is>
          <t>Hang Seng Finance sub-index</t>
        </is>
      </c>
      <c r="BC406" s="121" t="n">
        <v>-28.95</v>
      </c>
      <c r="BD406" s="109" t="n">
        <v>46297</v>
      </c>
      <c r="BE406" s="110" t="n">
        <v>0</v>
      </c>
      <c r="BF406" s="113" t="n">
        <v>503.8</v>
      </c>
      <c r="BG406" s="108" t="inlineStr">
        <is>
          <t>Y</t>
        </is>
      </c>
      <c r="BH406" s="123" t="n">
        <v>20.8</v>
      </c>
      <c r="BI406" s="123" t="n">
        <v>10.9</v>
      </c>
      <c r="BJ406" s="123" t="n">
        <v>5.8</v>
      </c>
      <c r="BK406" s="108" t="inlineStr">
        <is>
          <t>pre-rev</t>
        </is>
      </c>
      <c r="BL406" s="124">
        <f>IF('BBG Verify'!S406="","not filed; run on terminal",'BBG Verify'!S406)</f>
        <v/>
      </c>
      <c r="BM406" s="125" t="inlineStr">
        <is>
          <t>Y</t>
        </is>
      </c>
      <c r="BN406" s="108" t="inlineStr">
        <is>
          <t>603093.SS</t>
        </is>
      </c>
      <c r="BO406" s="121" t="n">
        <v>77.34999999999999</v>
      </c>
      <c r="BP406" s="111" t="n">
        <v>21.2816</v>
      </c>
      <c r="BQ406" s="135" t="n">
        <v>1.6192</v>
      </c>
      <c r="BR406" s="113" t="n">
        <v>15991.8</v>
      </c>
      <c r="BS406" s="124">
        <f>IF('BBG Verify'!Q406="","run on terminal",'BBG Verify'!Q406)</f>
        <v/>
      </c>
      <c r="BT406" s="124">
        <f>IF('BBG Verify'!R406="","run on terminal",'BBG Verify'!R406)</f>
        <v/>
      </c>
      <c r="BU406" s="125" t="inlineStr">
        <is>
          <t>CITIC Securities (Hong Kong) Limited</t>
        </is>
      </c>
      <c r="BV406" s="108" t="inlineStr">
        <is>
          <t>CITIC Securities (Hong Kong) Limited</t>
        </is>
      </c>
      <c r="BW406" s="108" t="inlineStr">
        <is>
          <t>CLSA Limited; HGNH International Securities Co., Limited; BOCI Asia Limited; CMB International Capital Limited; ABCI Capital Limited; Zheshang International Financial Holdings Co., Limited; Caitong International Securities Co., Limited; China Everbright Securities (HK) Limited</t>
        </is>
      </c>
      <c r="BX406" s="108" t="inlineStr">
        <is>
          <t>Arta Asset Management Limited; ABCI Securities Company Limited; AVICT Global Asset Management Limited; BOCI Asia Limited; Caitong International Securities Company Limited; China Everbright Securities (HK) Limited; CLSA Limited; CMB International Capital Limited; Fortune (HK) Securities Limited; HGNH International Securities Co., Limited; Waton Securities International Limited; Yellow River Securities Limited</t>
        </is>
      </c>
      <c r="BY406" s="127">
        <f>HYPERLINK("https://www1.hkexnews.hk/listedco/listconews/sehk/2025/1212/2025121200021.pdf","prospectus")</f>
        <v/>
      </c>
      <c r="BZ406" s="127">
        <f>HYPERLINK("https://www1.hkexnews.hk/listedco/listconews/sehk/2025/1219/2025121902017.pdf","allotment")</f>
        <v/>
      </c>
      <c r="CA406" s="127">
        <f>HYPERLINK("https://www1.hkexnews.hk/listedco/listconews/sehk/2026/0116/2026011600262.pdf","stabilisation")</f>
        <v/>
      </c>
      <c r="CB406" s="128" t="n"/>
      <c r="CC406" s="108" t="inlineStr">
        <is>
          <t>greenshoe: outcome published; expiry date not in the notice; range low: maximum offer price only, no floor published; A/H: Dec 2025 H listing (futures broker); market cap: prospectus cap HK$13,989m at HK$16.00, rescaled to HK$12.00; cornerstone list: no cornerstone tranche; P/S: pre-revenue issuer, no sales multiple; financials rejected: net income above total income (equity-method gains, investment firm); both as filed; allocation: clawback line not in this notice; a 12-28% split is consistent with either a tier-1 clawback or a placing shortfall</t>
        </is>
      </c>
    </row>
    <row r="407" ht="22" customHeight="1">
      <c r="A407" s="107" t="inlineStr">
        <is>
          <t>2635</t>
        </is>
      </c>
      <c r="B407" s="108" t="inlineStr">
        <is>
          <t>NUOBIKAN</t>
        </is>
      </c>
      <c r="C407" s="108" t="inlineStr">
        <is>
          <t>諾比侃</t>
        </is>
      </c>
      <c r="D407" s="108" t="inlineStr">
        <is>
          <t>Tech/AI</t>
        </is>
      </c>
      <c r="E407" s="108" t="inlineStr">
        <is>
          <t>SaaS / enterprise software</t>
        </is>
      </c>
      <c r="F407" s="108" t="inlineStr">
        <is>
          <t>Advanced hardware and software</t>
        </is>
      </c>
      <c r="G407" s="108" t="inlineStr">
        <is>
          <t>Standard</t>
        </is>
      </c>
      <c r="H407" s="109" t="n">
        <v>46014</v>
      </c>
      <c r="I407" s="110" t="n">
        <v>302.93</v>
      </c>
      <c r="J407" s="108" t="inlineStr">
        <is>
          <t>gross (stated)</t>
        </is>
      </c>
      <c r="K407" s="129" t="n"/>
      <c r="L407" s="111" t="n">
        <v>106</v>
      </c>
      <c r="M407" s="111" t="n">
        <v>80</v>
      </c>
      <c r="N407" s="108" t="inlineStr">
        <is>
          <t>N</t>
        </is>
      </c>
      <c r="O407" s="112" t="n">
        <v>75.5</v>
      </c>
      <c r="P407" s="118" t="n"/>
      <c r="Q407" s="113" t="n">
        <v>3029.3</v>
      </c>
      <c r="R407" s="108" t="inlineStr">
        <is>
          <t>derived:price x shares upon listing</t>
        </is>
      </c>
      <c r="S407" s="114" t="n">
        <v>188.74</v>
      </c>
      <c r="T407" s="115" t="n">
        <v>2.08</v>
      </c>
      <c r="U407" s="116" t="n">
        <v>0</v>
      </c>
      <c r="V407" s="117" t="n">
        <v>79</v>
      </c>
      <c r="W407" s="112" t="n">
        <v>10</v>
      </c>
      <c r="X407" s="108" t="inlineStr">
        <is>
          <t>NO</t>
        </is>
      </c>
      <c r="Y407" s="113" t="n">
        <v>302.93</v>
      </c>
      <c r="Z407" s="113" t="n">
        <v>3786600</v>
      </c>
      <c r="AA407" s="112" t="n">
        <v>10</v>
      </c>
      <c r="AB407" s="108" t="inlineStr">
        <is>
          <t>none — no cornerstone tranche</t>
        </is>
      </c>
      <c r="AC407" s="108" t="inlineStr">
        <is>
          <t>none</t>
        </is>
      </c>
      <c r="AD407" s="112" t="n">
        <v>19.6</v>
      </c>
      <c r="AE407" s="108" t="inlineStr">
        <is>
          <t>lapsed (no over-allocation)</t>
        </is>
      </c>
      <c r="AF407" s="119" t="n"/>
      <c r="AG407" s="108" t="inlineStr">
        <is>
          <t>China International Capital Corporation Hong Kong Securities Limited</t>
        </is>
      </c>
      <c r="AH407" s="108" t="inlineStr">
        <is>
          <t>China International</t>
        </is>
      </c>
      <c r="AI407" s="120" t="n">
        <v>275.75</v>
      </c>
      <c r="AJ407" s="121" t="n">
        <v>363.75</v>
      </c>
      <c r="AK407" s="121" t="n">
        <v>-0.83</v>
      </c>
      <c r="AL407" s="121" t="n">
        <v>299.75</v>
      </c>
      <c r="AM407" s="121" t="n">
        <v>16.01</v>
      </c>
      <c r="AN407" s="123" t="n">
        <v>2.29</v>
      </c>
      <c r="AO407" s="112" t="n">
        <v>19.07</v>
      </c>
      <c r="AP407" s="121" t="n">
        <v>331.75</v>
      </c>
      <c r="AQ407" s="121" t="n">
        <v>388.5</v>
      </c>
      <c r="AR407" s="121" t="n">
        <v>505</v>
      </c>
      <c r="AS407" s="121" t="n">
        <v>-6.9</v>
      </c>
      <c r="AT407" s="121" t="n">
        <v>5.34</v>
      </c>
      <c r="AU407" s="121" t="n">
        <v>30.46</v>
      </c>
      <c r="AV407" s="121" t="n">
        <v>328.15</v>
      </c>
      <c r="AW407" s="121" t="n">
        <v>384.99</v>
      </c>
      <c r="AX407" s="121" t="n">
        <v>520.24</v>
      </c>
      <c r="AY407" s="121" t="n">
        <v>0.96</v>
      </c>
      <c r="AZ407" s="121" t="n">
        <v>3.51</v>
      </c>
      <c r="BA407" s="121" t="n">
        <v>4.38</v>
      </c>
      <c r="BB407" s="108" t="inlineStr">
        <is>
          <t>HSTECH (Hang Seng TECH ETF)</t>
        </is>
      </c>
      <c r="BC407" s="121" t="n">
        <v>13.38</v>
      </c>
      <c r="BD407" s="109" t="n">
        <v>46297</v>
      </c>
      <c r="BE407" s="110" t="n">
        <v>442.9</v>
      </c>
      <c r="BF407" s="113" t="n">
        <v>126.9</v>
      </c>
      <c r="BG407" s="108" t="inlineStr">
        <is>
          <t>Y</t>
        </is>
      </c>
      <c r="BH407" s="123" t="n">
        <v>23.9</v>
      </c>
      <c r="BI407" s="122" t="n"/>
      <c r="BJ407" s="122" t="n"/>
      <c r="BK407" s="123" t="n">
        <v>6.8</v>
      </c>
      <c r="BL407" s="124">
        <f>IF('BBG Verify'!S407="","not filed; run on terminal",'BBG Verify'!S407)</f>
        <v/>
      </c>
      <c r="BM407" s="125" t="inlineStr">
        <is>
          <t>N</t>
        </is>
      </c>
      <c r="BN407" s="126">
        <f>IF('BBG Verify'!K407="","not filed; run on terminal",'BBG Verify'!K407)</f>
        <v/>
      </c>
      <c r="BO407" s="108" t="inlineStr">
        <is>
          <t>N/A</t>
        </is>
      </c>
      <c r="BP407" s="108" t="inlineStr">
        <is>
          <t>N/A</t>
        </is>
      </c>
      <c r="BQ407" s="108" t="inlineStr">
        <is>
          <t>N/A</t>
        </is>
      </c>
      <c r="BR407" s="108" t="inlineStr">
        <is>
          <t>N/A</t>
        </is>
      </c>
      <c r="BS407" s="108" t="inlineStr">
        <is>
          <t>N/A</t>
        </is>
      </c>
      <c r="BT407" s="108" t="inlineStr">
        <is>
          <t>N/A</t>
        </is>
      </c>
      <c r="BU407" s="125" t="inlineStr">
        <is>
          <t>China International Capital Corporation Hong Kong Securities Limited</t>
        </is>
      </c>
      <c r="BV407" s="108" t="inlineStr">
        <is>
          <t>China International Capital Corporation Hong Kong Securities Limited</t>
        </is>
      </c>
      <c r="BW407" s="108" t="inlineStr">
        <is>
          <t>China International Capital Corporation Hong Kong Securities Limited; Livermore Holdings Limited; Patrons Securities Limited</t>
        </is>
      </c>
      <c r="BX407" s="108" t="inlineStr">
        <is>
          <t>China International Capital Corporation Hong Kong Securities Limited; Livermore Holdings Limited; Patrons Securities Limited</t>
        </is>
      </c>
      <c r="BY407" s="127">
        <f>HYPERLINK("https://www1.hkexnews.hk/listedco/listconews/sehk/2025/1215/2025121500019.pdf","prospectus")</f>
        <v/>
      </c>
      <c r="BZ407" s="127">
        <f>HYPERLINK("https://www1.hkexnews.hk/listedco/listconews/sehk/2025/1222/2025122201578.pdf","allotment")</f>
        <v/>
      </c>
      <c r="CA407" s="127">
        <f>HYPERLINK("https://www1.hkexnews.hk/listedco/listconews/sehk/2026/0119/2026011900805.pdf","stabilisation")</f>
        <v/>
      </c>
      <c r="CB407" s="128" t="n"/>
      <c r="CC407" s="108" t="inlineStr">
        <is>
          <t>greenshoe: outcome published; expiry date not in the notice; range low: maximum offer price only, no floor published; sponsor: English name not in the filing; AAStocks 保薦人 shown; cornerstone list: no cornerstone tranche</t>
        </is>
      </c>
    </row>
    <row r="408" ht="22" customHeight="1">
      <c r="A408" s="107" t="inlineStr">
        <is>
          <t>2661</t>
        </is>
      </c>
      <c r="B408" s="108" t="inlineStr">
        <is>
          <t>QINGSONG HEALTH</t>
        </is>
      </c>
      <c r="C408" s="108" t="inlineStr">
        <is>
          <t>輕鬆健康</t>
        </is>
      </c>
      <c r="D408" s="108" t="inlineStr">
        <is>
          <t>Financials</t>
        </is>
      </c>
      <c r="E408" s="108" t="inlineStr">
        <is>
          <t>Insurance</t>
        </is>
      </c>
      <c r="F408" s="108" t="inlineStr">
        <is>
          <t>Health Care Services</t>
        </is>
      </c>
      <c r="G408" s="108" t="inlineStr">
        <is>
          <t>Standard</t>
        </is>
      </c>
      <c r="H408" s="109" t="n">
        <v>46014</v>
      </c>
      <c r="I408" s="110" t="n">
        <v>601.9299999999999</v>
      </c>
      <c r="J408" s="108" t="inlineStr">
        <is>
          <t>gross (stated)</t>
        </is>
      </c>
      <c r="K408" s="129" t="n"/>
      <c r="L408" s="111" t="n">
        <v>22.68</v>
      </c>
      <c r="M408" s="111" t="n">
        <v>22.68</v>
      </c>
      <c r="N408" s="108" t="inlineStr">
        <is>
          <t>Y</t>
        </is>
      </c>
      <c r="O408" s="112" t="n">
        <v>100</v>
      </c>
      <c r="P408" s="118" t="n"/>
      <c r="Q408" s="113" t="n">
        <v>4680.6</v>
      </c>
      <c r="R408" s="108" t="inlineStr">
        <is>
          <t>derived:price x shares upon listing</t>
        </is>
      </c>
      <c r="S408" s="114" t="n">
        <v>1421.47</v>
      </c>
      <c r="T408" s="115" t="n">
        <v>2.9</v>
      </c>
      <c r="U408" s="116" t="n">
        <v>18.09</v>
      </c>
      <c r="V408" s="117" t="n">
        <v>113</v>
      </c>
      <c r="W408" s="112" t="n">
        <v>10</v>
      </c>
      <c r="X408" s="108" t="inlineStr">
        <is>
          <t>NO</t>
        </is>
      </c>
      <c r="Y408" s="113" t="n">
        <v>493.04</v>
      </c>
      <c r="Z408" s="113" t="n">
        <v>21738914</v>
      </c>
      <c r="AA408" s="112" t="n">
        <v>10.53</v>
      </c>
      <c r="AB408" s="108" t="inlineStr">
        <is>
          <t>Aoqin Heming</t>
        </is>
      </c>
      <c r="AC408" s="108" t="inlineStr">
        <is>
          <t>aoqin</t>
        </is>
      </c>
      <c r="AD408" s="112" t="n">
        <v>13.61</v>
      </c>
      <c r="AE408" s="108" t="inlineStr">
        <is>
          <t>lapsed (no over-allocation)</t>
        </is>
      </c>
      <c r="AF408" s="108" t="inlineStr">
        <is>
          <t>2026-01-17</t>
        </is>
      </c>
      <c r="AG408" s="108" t="inlineStr">
        <is>
          <t>China International Capital Corporation Hong Kong Securities Limited</t>
        </is>
      </c>
      <c r="AH408" s="108" t="inlineStr">
        <is>
          <t>China International</t>
        </is>
      </c>
      <c r="AI408" s="120" t="n">
        <v>127.95</v>
      </c>
      <c r="AJ408" s="121" t="n">
        <v>158.82</v>
      </c>
      <c r="AK408" s="121" t="n">
        <v>0.58</v>
      </c>
      <c r="AL408" s="121" t="n">
        <v>120.46</v>
      </c>
      <c r="AM408" s="121" t="n">
        <v>17.4</v>
      </c>
      <c r="AN408" s="123" t="n">
        <v>2.35</v>
      </c>
      <c r="AO408" s="112" t="n">
        <v>21.6</v>
      </c>
      <c r="AP408" s="121" t="n">
        <v>229.37</v>
      </c>
      <c r="AQ408" s="121" t="n">
        <v>338.71</v>
      </c>
      <c r="AR408" s="121" t="n">
        <v>592.6799999999999</v>
      </c>
      <c r="AS408" s="121" t="n">
        <v>27.26</v>
      </c>
      <c r="AT408" s="121" t="n">
        <v>69.5</v>
      </c>
      <c r="AU408" s="121" t="n">
        <v>167.63</v>
      </c>
      <c r="AV408" s="121" t="n">
        <v>226.94</v>
      </c>
      <c r="AW408" s="121" t="n">
        <v>335.11</v>
      </c>
      <c r="AX408" s="121" t="n">
        <v>590.54</v>
      </c>
      <c r="AY408" s="121" t="n">
        <v>66.48999999999999</v>
      </c>
      <c r="AZ408" s="121" t="n">
        <v>3.6</v>
      </c>
      <c r="BA408" s="121" t="n">
        <v>3.01</v>
      </c>
      <c r="BB408" s="108" t="inlineStr">
        <is>
          <t>Hang Seng Finance sub-index</t>
        </is>
      </c>
      <c r="BC408" s="121" t="n">
        <v>-83.2</v>
      </c>
      <c r="BD408" s="109" t="n">
        <v>46297</v>
      </c>
      <c r="BE408" s="110" t="n">
        <v>1039.5</v>
      </c>
      <c r="BF408" s="113" t="n">
        <v>-0</v>
      </c>
      <c r="BG408" s="108" t="inlineStr">
        <is>
          <t>N</t>
        </is>
      </c>
      <c r="BH408" s="108" t="inlineStr">
        <is>
          <t>n/m</t>
        </is>
      </c>
      <c r="BI408" s="122" t="n"/>
      <c r="BJ408" s="122" t="n"/>
      <c r="BK408" s="123" t="n">
        <v>4.5</v>
      </c>
      <c r="BL408" s="124">
        <f>IF('BBG Verify'!S408="","not filed; run on terminal",'BBG Verify'!S408)</f>
        <v/>
      </c>
      <c r="BM408" s="125" t="inlineStr">
        <is>
          <t>N</t>
        </is>
      </c>
      <c r="BN408" s="126">
        <f>IF('BBG Verify'!K408="","not filed; run on terminal",'BBG Verify'!K408)</f>
        <v/>
      </c>
      <c r="BO408" s="108" t="inlineStr">
        <is>
          <t>N/A</t>
        </is>
      </c>
      <c r="BP408" s="108" t="inlineStr">
        <is>
          <t>N/A</t>
        </is>
      </c>
      <c r="BQ408" s="108" t="inlineStr">
        <is>
          <t>N/A</t>
        </is>
      </c>
      <c r="BR408" s="108" t="inlineStr">
        <is>
          <t>N/A</t>
        </is>
      </c>
      <c r="BS408" s="108" t="inlineStr">
        <is>
          <t>N/A</t>
        </is>
      </c>
      <c r="BT408" s="108" t="inlineStr">
        <is>
          <t>N/A</t>
        </is>
      </c>
      <c r="BU408" s="125" t="inlineStr">
        <is>
          <t>China International Capital Corporation Hong Kong Securities Limited; China Merchants Securities (HK) Co., Limited</t>
        </is>
      </c>
      <c r="BV408" s="108" t="inlineStr">
        <is>
          <t>China International Capital Corporation Hong Kong Securities Limited; China Merchants Securities (HK) Company Limited</t>
        </is>
      </c>
      <c r="BW408" s="108" t="inlineStr">
        <is>
          <t>China International Capital Corporation Hong Kong Securities Limited; China Merchants Securities (HK) Co., Limited; Futu Securities International (Hong Kong) Limited; SPDB International Capital Limited</t>
        </is>
      </c>
      <c r="BX408" s="108" t="inlineStr">
        <is>
          <t>China International Capital Corporation Hong Kong Securities Limited; China Merchants Securities (HK) Company Limited; Futu Securities International (Hong Kong) Limited; SPDB International Capital Limited</t>
        </is>
      </c>
      <c r="BY408" s="127">
        <f>HYPERLINK("https://www1.hkexnews.hk/listedco/listconews/sehk/2025/1215/2025121500031.pdf","prospectus")</f>
        <v/>
      </c>
      <c r="BZ408" s="127">
        <f>HYPERLINK("https://www1.hkexnews.hk/listedco/listconews/sehk/2025/1222/2025122201716.pdf","allotment")</f>
        <v/>
      </c>
      <c r="CA408" s="127">
        <f>HYPERLINK("https://www1.hkexnews.hk/listedco/listconews/sehk/2026/0118/2026011800009.pdf","stabilisation")</f>
        <v/>
      </c>
      <c r="CB408" s="128" t="n"/>
      <c r="CC408" s="108" t="inlineStr">
        <is>
          <t>P/E: loss-making at IPO, use P/S; range low: maximum offer price only, no floor published</t>
        </is>
      </c>
    </row>
    <row r="409" ht="22" customHeight="1">
      <c r="A409" s="107" t="inlineStr">
        <is>
          <t>3378</t>
        </is>
      </c>
      <c r="B409" s="108" t="inlineStr">
        <is>
          <t>HANXBIO-B</t>
        </is>
      </c>
      <c r="C409" s="108" t="inlineStr">
        <is>
          <t>翰思艾泰－Ｂ</t>
        </is>
      </c>
      <c r="D409" s="108" t="inlineStr">
        <is>
          <t>Healthcare</t>
        </is>
      </c>
      <c r="E409" s="108" t="inlineStr">
        <is>
          <t>Biotech pre-revenue (18A)</t>
        </is>
      </c>
      <c r="F409" s="108" t="inlineStr">
        <is>
          <t>Biotechnology - Pharmaceuticals</t>
        </is>
      </c>
      <c r="G409" s="108" t="inlineStr">
        <is>
          <t>18A</t>
        </is>
      </c>
      <c r="H409" s="109" t="n">
        <v>46014</v>
      </c>
      <c r="I409" s="110" t="n">
        <v>586.3</v>
      </c>
      <c r="J409" s="108" t="inlineStr">
        <is>
          <t>gross (stated)</t>
        </is>
      </c>
      <c r="K409" s="111" t="n">
        <v>28</v>
      </c>
      <c r="L409" s="111" t="n">
        <v>32</v>
      </c>
      <c r="M409" s="111" t="n">
        <v>32</v>
      </c>
      <c r="N409" s="108" t="inlineStr">
        <is>
          <t>Y</t>
        </is>
      </c>
      <c r="O409" s="112" t="n">
        <v>100</v>
      </c>
      <c r="P409" s="112" t="n">
        <v>100</v>
      </c>
      <c r="Q409" s="113" t="n">
        <v>4359</v>
      </c>
      <c r="R409" s="108" t="inlineStr">
        <is>
          <t>derived:price x shares upon listing</t>
        </is>
      </c>
      <c r="S409" s="114" t="n">
        <v>3074.09</v>
      </c>
      <c r="T409" s="115" t="n">
        <v>5.78</v>
      </c>
      <c r="U409" s="116" t="n">
        <v>15.93</v>
      </c>
      <c r="V409" s="117" t="n">
        <v>65</v>
      </c>
      <c r="W409" s="112" t="n">
        <v>10</v>
      </c>
      <c r="X409" s="108" t="inlineStr">
        <is>
          <t>NO</t>
        </is>
      </c>
      <c r="Y409" s="113" t="n">
        <v>492.9</v>
      </c>
      <c r="Z409" s="113" t="n">
        <v>15402465</v>
      </c>
      <c r="AA409" s="112" t="n">
        <v>11.31</v>
      </c>
      <c r="AB409" s="108" t="inlineStr">
        <is>
          <t>Fund Resources Investment Holding Group Company Limited; Sage Partners Master Fund; Guotai Junan Investments (Hong Kong) Limited (in connection with the Kunyang OTC Swaps); TFI Investment Fund SPC (acting for and on behalf of its segregated portfolio, TFI Lakeside SP); Main Source Capital Limited; YStem Holding Limited; Awaken Thunder Capital Limited</t>
        </is>
      </c>
      <c r="AC409" s="108" t="inlineStr">
        <is>
          <t>resources;sage;guotai;tfi;main;ystem;awaken</t>
        </is>
      </c>
      <c r="AD409" s="112" t="n">
        <v>9.699999999999999</v>
      </c>
      <c r="AE409" s="108" t="inlineStr">
        <is>
          <t>lapsed (no over-allocation)</t>
        </is>
      </c>
      <c r="AF409" s="119" t="n"/>
      <c r="AG409" s="119" t="n"/>
      <c r="AH409" s="119" t="n"/>
      <c r="AI409" s="120" t="n">
        <v>2.06</v>
      </c>
      <c r="AJ409" s="121" t="n">
        <v>-46.25</v>
      </c>
      <c r="AK409" s="121" t="n">
        <v>-0.65</v>
      </c>
      <c r="AL409" s="121" t="n">
        <v>-9.69</v>
      </c>
      <c r="AM409" s="121" t="n">
        <v>-40.48</v>
      </c>
      <c r="AN409" s="123" t="n">
        <v>5.41</v>
      </c>
      <c r="AO409" s="112" t="n">
        <v>42.49</v>
      </c>
      <c r="AP409" s="121" t="n">
        <v>-46.69</v>
      </c>
      <c r="AQ409" s="121" t="n">
        <v>-46.97</v>
      </c>
      <c r="AR409" s="121" t="n">
        <v>-3.5</v>
      </c>
      <c r="AS409" s="121" t="n">
        <v>-0.82</v>
      </c>
      <c r="AT409" s="121" t="n">
        <v>-1.34</v>
      </c>
      <c r="AU409" s="121" t="n">
        <v>79.53</v>
      </c>
      <c r="AV409" s="121" t="n">
        <v>-44.11</v>
      </c>
      <c r="AW409" s="121" t="n">
        <v>-48.39</v>
      </c>
      <c r="AX409" s="121" t="n">
        <v>-9.859999999999999</v>
      </c>
      <c r="AY409" s="121" t="n">
        <v>-3.42</v>
      </c>
      <c r="AZ409" s="121" t="n">
        <v>1.42</v>
      </c>
      <c r="BA409" s="121" t="n">
        <v>2.08</v>
      </c>
      <c r="BB409" s="108" t="inlineStr">
        <is>
          <t>China Biotech ETF (HS biotech proxy)</t>
        </is>
      </c>
      <c r="BC409" s="121" t="n">
        <v>-9.75</v>
      </c>
      <c r="BD409" s="109" t="n">
        <v>46297</v>
      </c>
      <c r="BE409" s="110" t="n">
        <v>0</v>
      </c>
      <c r="BF409" s="113" t="n">
        <v>-128.6</v>
      </c>
      <c r="BG409" s="108" t="inlineStr">
        <is>
          <t>N</t>
        </is>
      </c>
      <c r="BH409" s="108" t="inlineStr">
        <is>
          <t>n/m</t>
        </is>
      </c>
      <c r="BI409" s="122" t="n"/>
      <c r="BJ409" s="122" t="n"/>
      <c r="BK409" s="108" t="inlineStr">
        <is>
          <t>pre-rev</t>
        </is>
      </c>
      <c r="BL409" s="124">
        <f>IF('BBG Verify'!S409="","not filed; run on terminal",'BBG Verify'!S409)</f>
        <v/>
      </c>
      <c r="BM409" s="125" t="inlineStr">
        <is>
          <t>N</t>
        </is>
      </c>
      <c r="BN409" s="126">
        <f>IF('BBG Verify'!K409="","not filed; run on terminal",'BBG Verify'!K409)</f>
        <v/>
      </c>
      <c r="BO409" s="108" t="inlineStr">
        <is>
          <t>N/A</t>
        </is>
      </c>
      <c r="BP409" s="108" t="inlineStr">
        <is>
          <t>N/A</t>
        </is>
      </c>
      <c r="BQ409" s="108" t="inlineStr">
        <is>
          <t>N/A</t>
        </is>
      </c>
      <c r="BR409" s="108" t="inlineStr">
        <is>
          <t>N/A</t>
        </is>
      </c>
      <c r="BS409" s="108" t="inlineStr">
        <is>
          <t>N/A</t>
        </is>
      </c>
      <c r="BT409" s="108" t="inlineStr">
        <is>
          <t>N/A</t>
        </is>
      </c>
      <c r="BU409" s="125" t="inlineStr">
        <is>
          <t>ICBC International Capital Limited</t>
        </is>
      </c>
      <c r="BV409" s="108" t="inlineStr">
        <is>
          <t>ICBC International Capital Limited</t>
        </is>
      </c>
      <c r="BW409" s="108" t="inlineStr">
        <is>
          <t>ICBC International Securities Limited; China Securities (International) Corporate Finance Company Limited; China Merchants Securities (HK) Co., Limited; Haitong International Securities Company Limited; CCB International Capital Limited; TFI Securities and Futures Limited; ABCI Capital Limited; SPDB International Capital Limited; Livermore Holdings Limited; Tiger Brokers (HK) Global Limited; Shanxi Securities International Limited; Beta International Securities Limited</t>
        </is>
      </c>
      <c r="BX409" s="108" t="inlineStr">
        <is>
          <t>ABCI Securities Company Limited; Beta International Securities Limited; CCB International Capital Limited; China Merchants Securities (HK) Company Limited; China Securities (International) Corporate Finance Company Limited; Haitong International Securities Company Limited; ICBC International Securities Limited; Livermore Holdings Limited; SPDB International Capital Limited; Shanxi Securities International Limited; Tiger Brokers (HK) Global Limited; TFI Securities and Futures Limited</t>
        </is>
      </c>
      <c r="BY409" s="127">
        <f>HYPERLINK("https://www1.hkexnews.hk/listedco/listconews/sehk/2025/1215/2025121500027.pdf","prospectus")</f>
        <v/>
      </c>
      <c r="BZ409" s="127">
        <f>HYPERLINK("https://www1.hkexnews.hk/listedco/listconews/sehk/2025/1222/2025122201726.pdf","allotment")</f>
        <v/>
      </c>
      <c r="CA409" s="127">
        <f>HYPERLINK("https://www1.hkexnews.hk/listedco/listconews/sehk/2026/0123/2026012301142.pdf","stabilisation")</f>
        <v/>
      </c>
      <c r="CB409" s="128" t="n"/>
      <c r="CC409" s="108" t="inlineStr">
        <is>
          <t>P/E: loss-making at IPO, use P/S; greenshoe: outcome published; expiry date not in the notice; market cap: prospectus 'market capitalisation' line is the listing-rule threshold, not the issuer's figure; rejected; P/S: pre-revenue issuer, no sales multiple; stabilising manager: not named in the allotment notice or prospectus glossary</t>
        </is>
      </c>
    </row>
    <row r="410" ht="22" customHeight="1">
      <c r="A410" s="107" t="inlineStr">
        <is>
          <t>3317</t>
        </is>
      </c>
      <c r="B410" s="108" t="inlineStr">
        <is>
          <t>XUNCE</t>
        </is>
      </c>
      <c r="C410" s="108" t="inlineStr">
        <is>
          <t>迅策</t>
        </is>
      </c>
      <c r="D410" s="108" t="inlineStr">
        <is>
          <t>Tech/AI</t>
        </is>
      </c>
      <c r="E410" s="108" t="inlineStr">
        <is>
          <t>SaaS / enterprise software</t>
        </is>
      </c>
      <c r="F410" s="108" t="inlineStr">
        <is>
          <t>Application Software</t>
        </is>
      </c>
      <c r="G410" s="108" t="inlineStr">
        <is>
          <t>Standard</t>
        </is>
      </c>
      <c r="H410" s="109" t="n">
        <v>46021</v>
      </c>
      <c r="I410" s="110" t="n">
        <v>1080</v>
      </c>
      <c r="J410" s="108" t="inlineStr">
        <is>
          <t>gross (stated)</t>
        </is>
      </c>
      <c r="K410" s="111" t="n">
        <v>48</v>
      </c>
      <c r="L410" s="111" t="n">
        <v>55</v>
      </c>
      <c r="M410" s="111" t="n">
        <v>48</v>
      </c>
      <c r="N410" s="108" t="inlineStr">
        <is>
          <t>N</t>
        </is>
      </c>
      <c r="O410" s="112" t="n">
        <v>87.3</v>
      </c>
      <c r="P410" s="112" t="n">
        <v>0</v>
      </c>
      <c r="Q410" s="113" t="n">
        <v>17460.7</v>
      </c>
      <c r="R410" s="108" t="inlineStr">
        <is>
          <t>aastocks:上市市值 at the struck price</t>
        </is>
      </c>
      <c r="S410" s="114" t="n">
        <v>7.24</v>
      </c>
      <c r="T410" s="115" t="n">
        <v>3.1</v>
      </c>
      <c r="U410" s="116" t="n">
        <v>28.5</v>
      </c>
      <c r="V410" s="117" t="n">
        <v>49</v>
      </c>
      <c r="W410" s="112" t="n">
        <v>10</v>
      </c>
      <c r="X410" s="108" t="inlineStr">
        <is>
          <t>NO</t>
        </is>
      </c>
      <c r="Y410" s="113" t="n">
        <v>772.2</v>
      </c>
      <c r="Z410" s="113" t="n">
        <v>16087500</v>
      </c>
      <c r="AA410" s="112" t="n">
        <v>4.42</v>
      </c>
      <c r="AB410" s="108" t="inlineStr">
        <is>
          <t>SinoMedia Holding Limited; York House Investment Limited (together with Alphahill Future Fund and Manifold Master Fund, Alphahill Funds ); Wealth Strategy Holding Limited; Infini Global Master Fund; Vered Holdings (Hong Kong) Limited ʮ̡; New Golden Future Limited; Cithara Global Multi-Strategy SPC — Bosideng Industry Investment Fund SP; Factorial Master Fund; Joy Mobile Network Pte. Ltd</t>
        </is>
      </c>
      <c r="AC410" s="108" t="inlineStr">
        <is>
          <t>sinomedia;york;wealth;infini;vered;new-golden;cithara;factorial;joy</t>
        </is>
      </c>
      <c r="AD410" s="112" t="n">
        <v>15</v>
      </c>
      <c r="AE410" s="108" t="inlineStr">
        <is>
          <t>partial</t>
        </is>
      </c>
      <c r="AF410" s="108" t="inlineStr">
        <is>
          <t>2026-01-22</t>
        </is>
      </c>
      <c r="AG410" s="108" t="inlineStr">
        <is>
          <t>Guotai Junan Securities</t>
        </is>
      </c>
      <c r="AH410" s="108" t="inlineStr">
        <is>
          <t>Guotai Junan</t>
        </is>
      </c>
      <c r="AI410" s="120" t="n">
        <v>2.04</v>
      </c>
      <c r="AJ410" s="121" t="n">
        <v>1.04</v>
      </c>
      <c r="AK410" s="121" t="n">
        <v>1.68</v>
      </c>
      <c r="AL410" s="121" t="n">
        <v>0.04</v>
      </c>
      <c r="AM410" s="121" t="n">
        <v>1</v>
      </c>
      <c r="AN410" s="123" t="n">
        <v>1.95</v>
      </c>
      <c r="AO410" s="112" t="n">
        <v>22.53</v>
      </c>
      <c r="AP410" s="121" t="n">
        <v>1.54</v>
      </c>
      <c r="AQ410" s="121" t="n">
        <v>23.75</v>
      </c>
      <c r="AR410" s="121" t="n">
        <v>313.54</v>
      </c>
      <c r="AS410" s="121" t="n">
        <v>0.49</v>
      </c>
      <c r="AT410" s="121" t="n">
        <v>22.48</v>
      </c>
      <c r="AU410" s="121" t="n">
        <v>309.28</v>
      </c>
      <c r="AV410" s="121" t="n">
        <v>-3.21</v>
      </c>
      <c r="AW410" s="121" t="n">
        <v>17.42</v>
      </c>
      <c r="AX410" s="121" t="n">
        <v>328.44</v>
      </c>
      <c r="AY410" s="121" t="n">
        <v>17.9</v>
      </c>
      <c r="AZ410" s="121" t="n">
        <v>6.33</v>
      </c>
      <c r="BA410" s="121" t="n">
        <v>4.58</v>
      </c>
      <c r="BB410" s="108" t="inlineStr">
        <is>
          <t>HSTECH (Hang Seng TECH ETF)</t>
        </is>
      </c>
      <c r="BC410" s="121" t="n">
        <v>91.56</v>
      </c>
      <c r="BD410" s="109" t="n">
        <v>46297</v>
      </c>
      <c r="BE410" s="110" t="n">
        <v>695.2</v>
      </c>
      <c r="BF410" s="113" t="n">
        <v>-107.6</v>
      </c>
      <c r="BG410" s="108" t="inlineStr">
        <is>
          <t>N</t>
        </is>
      </c>
      <c r="BH410" s="108" t="inlineStr">
        <is>
          <t>n/m</t>
        </is>
      </c>
      <c r="BI410" s="122" t="n"/>
      <c r="BJ410" s="122" t="n"/>
      <c r="BK410" s="123" t="n">
        <v>25.1</v>
      </c>
      <c r="BL410" s="124">
        <f>IF('BBG Verify'!S410="","not filed; run on terminal",'BBG Verify'!S410)</f>
        <v/>
      </c>
      <c r="BM410" s="125" t="inlineStr">
        <is>
          <t>N</t>
        </is>
      </c>
      <c r="BN410" s="126">
        <f>IF('BBG Verify'!K410="","not filed; run on terminal",'BBG Verify'!K410)</f>
        <v/>
      </c>
      <c r="BO410" s="108" t="inlineStr">
        <is>
          <t>N/A</t>
        </is>
      </c>
      <c r="BP410" s="108" t="inlineStr">
        <is>
          <t>N/A</t>
        </is>
      </c>
      <c r="BQ410" s="108" t="inlineStr">
        <is>
          <t>N/A</t>
        </is>
      </c>
      <c r="BR410" s="108" t="inlineStr">
        <is>
          <t>N/A</t>
        </is>
      </c>
      <c r="BS410" s="108" t="inlineStr">
        <is>
          <t>N/A</t>
        </is>
      </c>
      <c r="BT410" s="108" t="inlineStr">
        <is>
          <t>N/A</t>
        </is>
      </c>
      <c r="BU410" s="125" t="inlineStr">
        <is>
          <t>Guotai Junan Capital Limited</t>
        </is>
      </c>
      <c r="BV410" s="108" t="inlineStr">
        <is>
          <t>Guotai Junan Capital Limited</t>
        </is>
      </c>
      <c r="BW410" s="108" t="inlineStr">
        <is>
          <t>Guotai Junan Securities (Hong Kong) Limited; Deutsche Bank AG, Hong Kong Branch; Futu Securities International (Hong Kong) Limited; Hong Tai Securities Limited; Orient Securities (Hong Kong) Limited; North Beta International Securities Limited; ICBC International Securities Limited; CCB International Capital Limited; China Galaxy International Securities (Hong Kong) Co., Limited; TradeGo Markets Limited; China Merchants Securities (HK) Co., Limited; ABCI Capital Limited</t>
        </is>
      </c>
      <c r="BX410" s="108" t="inlineStr">
        <is>
          <t>ABCI Securities Company Limited; BOCOM International Securities Limited; CCB International Capital Limited; China Galaxy International Securities (Hong Kong) Company Limited; China Merchants Securities (HK) Company Limited; Deutsche Bank AG, Hong Kong Branch; Futu Securities International (Hong Kong) Limited; Guotai Junan Securities (Hong Kong) Limited; Hong Tai Securities Limited; ICBC International Securities Limited; North Beta International Securities Limited; Orient Securities (Hong Kong) Limited</t>
        </is>
      </c>
      <c r="BY410" s="127">
        <f>HYPERLINK("https://www1.hkexnews.hk/listedco/listconews/sehk/2025/1218/2025121800027.pdf","prospectus")</f>
        <v/>
      </c>
      <c r="BZ410" s="127">
        <f>HYPERLINK("https://www1.hkexnews.hk/listedco/listconews/sehk/2025/1229/2025122902057.pdf","allotment")</f>
        <v/>
      </c>
      <c r="CA410" s="127">
        <f>HYPERLINK("https://www1.hkexnews.hk/listedco/listconews/sehk/2026/0123/2026012300001.pdf","stabilisation")</f>
        <v/>
      </c>
      <c r="CB410" s="128" t="n"/>
      <c r="CC410" s="108" t="inlineStr">
        <is>
          <t>P/E: loss-making at IPO, use P/S; market cap: published listing cap used; the estimate from deal size / offer % of enlarged capital disagreed</t>
        </is>
      </c>
    </row>
    <row r="411" ht="22" customHeight="1">
      <c r="A411" s="107" t="inlineStr">
        <is>
          <t>2657</t>
        </is>
      </c>
      <c r="B411" s="108" t="inlineStr">
        <is>
          <t>FOREST CABIN</t>
        </is>
      </c>
      <c r="C411" s="108" t="inlineStr">
        <is>
          <t>林清軒</t>
        </is>
      </c>
      <c r="D411" s="108" t="inlineStr">
        <is>
          <t>Consumer</t>
        </is>
      </c>
      <c r="E411" s="108" t="inlineStr">
        <is>
          <t>Beauty / personal care</t>
        </is>
      </c>
      <c r="F411" s="108" t="inlineStr">
        <is>
          <t>Beauty &amp; Toiletries Products and Services</t>
        </is>
      </c>
      <c r="G411" s="108" t="inlineStr">
        <is>
          <t>Standard</t>
        </is>
      </c>
      <c r="H411" s="109" t="n">
        <v>46021</v>
      </c>
      <c r="I411" s="110" t="n">
        <v>1086.2</v>
      </c>
      <c r="J411" s="108" t="inlineStr">
        <is>
          <t>gross (stated)</t>
        </is>
      </c>
      <c r="K411" s="129" t="n"/>
      <c r="L411" s="111" t="n">
        <v>77.77</v>
      </c>
      <c r="M411" s="111" t="n">
        <v>77.77</v>
      </c>
      <c r="N411" s="108" t="inlineStr">
        <is>
          <t>Y</t>
        </is>
      </c>
      <c r="O411" s="112" t="n">
        <v>100</v>
      </c>
      <c r="P411" s="118" t="n"/>
      <c r="Q411" s="113" t="n">
        <v>10861.7</v>
      </c>
      <c r="R411" s="108" t="inlineStr">
        <is>
          <t>prospectus:stated market capitalisation</t>
        </is>
      </c>
      <c r="S411" s="114" t="n">
        <v>1235.81</v>
      </c>
      <c r="T411" s="115" t="n">
        <v>19.79</v>
      </c>
      <c r="U411" s="116" t="n">
        <v>44.43</v>
      </c>
      <c r="V411" s="117" t="n">
        <v>149</v>
      </c>
      <c r="W411" s="112" t="n">
        <v>10</v>
      </c>
      <c r="X411" s="108" t="inlineStr">
        <is>
          <t>NO</t>
        </is>
      </c>
      <c r="Y411" s="113" t="n">
        <v>603.6</v>
      </c>
      <c r="Z411" s="113" t="n">
        <v>7761156</v>
      </c>
      <c r="AA411" s="112" t="n">
        <v>5.56</v>
      </c>
      <c r="AB411" s="108" t="inlineStr">
        <is>
          <t>FIL Investment Management (Hong Kong) Limited; Mega Prime Development Limited; Loyal Valley Capital; Duckling Fund, L.P; SynerSuccess Capital Ltd; Dajia Life Insurance Co., Ltd; Yield Royal Investment Holding (Singapore) PTE. LTD</t>
        </is>
      </c>
      <c r="AC411" s="108" t="inlineStr">
        <is>
          <t>fil;mega;loyal;duckling;synersuccess;dajia;yield</t>
        </is>
      </c>
      <c r="AD411" s="112" t="n">
        <v>11.33</v>
      </c>
      <c r="AE411" s="119" t="n"/>
      <c r="AF411" s="108" t="inlineStr">
        <is>
          <t>2026-01-22</t>
        </is>
      </c>
      <c r="AG411" s="108" t="inlineStr">
        <is>
          <t>CLSA Limited</t>
        </is>
      </c>
      <c r="AH411" s="108" t="inlineStr">
        <is>
          <t>CLSA</t>
        </is>
      </c>
      <c r="AI411" s="120" t="n">
        <v>17.85</v>
      </c>
      <c r="AJ411" s="121" t="n">
        <v>9.300000000000001</v>
      </c>
      <c r="AK411" s="121" t="n">
        <v>1.15</v>
      </c>
      <c r="AL411" s="121" t="n">
        <v>9.300000000000001</v>
      </c>
      <c r="AM411" s="121" t="n">
        <v>0</v>
      </c>
      <c r="AN411" s="123" t="n">
        <v>3.75</v>
      </c>
      <c r="AO411" s="112" t="n">
        <v>7.82</v>
      </c>
      <c r="AP411" s="121" t="n">
        <v>6.72</v>
      </c>
      <c r="AQ411" s="121" t="n">
        <v>3.64</v>
      </c>
      <c r="AR411" s="121" t="n">
        <v>-18.28</v>
      </c>
      <c r="AS411" s="121" t="n">
        <v>-2.36</v>
      </c>
      <c r="AT411" s="121" t="n">
        <v>-5.18</v>
      </c>
      <c r="AU411" s="121" t="n">
        <v>-25.23</v>
      </c>
      <c r="AV411" s="121" t="n">
        <v>3.48</v>
      </c>
      <c r="AW411" s="121" t="n">
        <v>-4.82</v>
      </c>
      <c r="AX411" s="121" t="n">
        <v>-11.47</v>
      </c>
      <c r="AY411" s="121" t="n">
        <v>-12.4</v>
      </c>
      <c r="AZ411" s="121" t="n">
        <v>8.460000000000001</v>
      </c>
      <c r="BA411" s="121" t="n">
        <v>7.22</v>
      </c>
      <c r="BB411" s="108" t="inlineStr">
        <is>
          <t>Hang Seng Commerce &amp; Industry sub-index</t>
        </is>
      </c>
      <c r="BC411" s="121" t="n">
        <v>-26.45</v>
      </c>
      <c r="BD411" s="109" t="n">
        <v>46297</v>
      </c>
      <c r="BE411" s="110" t="n">
        <v>1330.6</v>
      </c>
      <c r="BF411" s="113" t="n">
        <v>-0.1</v>
      </c>
      <c r="BG411" s="108" t="inlineStr">
        <is>
          <t>N</t>
        </is>
      </c>
      <c r="BH411" s="108" t="inlineStr">
        <is>
          <t>n/m</t>
        </is>
      </c>
      <c r="BI411" s="123" t="n">
        <v>6.8</v>
      </c>
      <c r="BJ411" s="123" t="n">
        <v>5.5</v>
      </c>
      <c r="BK411" s="123" t="n">
        <v>8.199999999999999</v>
      </c>
      <c r="BL411" s="124">
        <f>IF('BBG Verify'!S411="","not filed; run on terminal",'BBG Verify'!S411)</f>
        <v/>
      </c>
      <c r="BM411" s="125" t="inlineStr">
        <is>
          <t>N</t>
        </is>
      </c>
      <c r="BN411" s="126">
        <f>IF('BBG Verify'!K411="","not filed; run on terminal",'BBG Verify'!K411)</f>
        <v/>
      </c>
      <c r="BO411" s="108" t="inlineStr">
        <is>
          <t>N/A</t>
        </is>
      </c>
      <c r="BP411" s="108" t="inlineStr">
        <is>
          <t>N/A</t>
        </is>
      </c>
      <c r="BQ411" s="108" t="inlineStr">
        <is>
          <t>N/A</t>
        </is>
      </c>
      <c r="BR411" s="108" t="inlineStr">
        <is>
          <t>N/A</t>
        </is>
      </c>
      <c r="BS411" s="108" t="inlineStr">
        <is>
          <t>N/A</t>
        </is>
      </c>
      <c r="BT411" s="108" t="inlineStr">
        <is>
          <t>N/A</t>
        </is>
      </c>
      <c r="BU411" s="125" t="inlineStr">
        <is>
          <t>CITIC Securities (Hong Kong) Limited; Huatai Financial Holdings (Hong Kong) Limited</t>
        </is>
      </c>
      <c r="BV411" s="108" t="inlineStr">
        <is>
          <t>Huatai Financial Holdings (Hong Kong) Limited; CITIC Securities (Hong Kong) Limited</t>
        </is>
      </c>
      <c r="BW411" s="108" t="inlineStr">
        <is>
          <t>CLSA Limited; Huatai Financial Holdings (Hong Kong) Limited; Futu Securities International (Hong Kong) Limited; Tiger Brokers (HK) Global Limited</t>
        </is>
      </c>
      <c r="BX411" s="108" t="inlineStr">
        <is>
          <t>CLSA Limited; Futu Securities International (Hong Kong) Limited; Huatai Financial Holdings (Hong Kong) Limited; Tiger Brokers (HK) Global Limited</t>
        </is>
      </c>
      <c r="BY411" s="127">
        <f>HYPERLINK("https://www1.hkexnews.hk/listedco/listconews/sehk/2025/1218/2025121800221.pdf","prospectus")</f>
        <v/>
      </c>
      <c r="BZ411" s="127">
        <f>HYPERLINK("https://www1.hkexnews.hk/listedco/listconews/sehk/2025/1229/2025122902127.pdf","allotment")</f>
        <v/>
      </c>
      <c r="CA411" s="127">
        <f>HYPERLINK("https://www1.hkexnews.hk/listedco/listconews/sehk/2026/0122/2026012201117.pdf","stabilisation")</f>
        <v/>
      </c>
      <c r="CB411" s="128" t="n"/>
      <c r="CC411" s="108" t="inlineStr">
        <is>
          <t>P/E: loss-making at IPO, use P/S; greenshoe: end-of-stabilisation notice not found; range low: maximum offer price only, no floor published; stabilisation notice: notice linked; outcome wording not recognised, result left blank</t>
        </is>
      </c>
    </row>
    <row r="412" ht="22" customHeight="1">
      <c r="A412" s="107" t="inlineStr">
        <is>
          <t>2671</t>
        </is>
      </c>
      <c r="B412" s="108" t="inlineStr">
        <is>
          <t>USAS BUILDING</t>
        </is>
      </c>
      <c r="C412" s="108" t="inlineStr">
        <is>
          <t>美聯股份</t>
        </is>
      </c>
      <c r="D412" s="108" t="inlineStr">
        <is>
          <t>Industrials</t>
        </is>
      </c>
      <c r="E412" s="108" t="inlineStr">
        <is>
          <t>Construction / engineering</t>
        </is>
      </c>
      <c r="F412" s="108" t="inlineStr">
        <is>
          <t>Building Construction</t>
        </is>
      </c>
      <c r="G412" s="108" t="inlineStr">
        <is>
          <t>Standard</t>
        </is>
      </c>
      <c r="H412" s="109" t="n">
        <v>46021</v>
      </c>
      <c r="I412" s="110" t="n">
        <v>174.7</v>
      </c>
      <c r="J412" s="108" t="inlineStr">
        <is>
          <t>gross (price x shares)</t>
        </is>
      </c>
      <c r="K412" s="111" t="n">
        <v>7.1</v>
      </c>
      <c r="L412" s="111" t="n">
        <v>9.16</v>
      </c>
      <c r="M412" s="111" t="n">
        <v>7.1</v>
      </c>
      <c r="N412" s="108" t="inlineStr">
        <is>
          <t>N</t>
        </is>
      </c>
      <c r="O412" s="112" t="n">
        <v>77.5</v>
      </c>
      <c r="P412" s="112" t="n">
        <v>0</v>
      </c>
      <c r="Q412" s="113" t="n">
        <v>855.9</v>
      </c>
      <c r="R412" s="108" t="inlineStr">
        <is>
          <t>derived:price x shares upon listing</t>
        </is>
      </c>
      <c r="S412" s="114" t="n">
        <v>146.25</v>
      </c>
      <c r="T412" s="115" t="n">
        <v>1.48</v>
      </c>
      <c r="U412" s="116" t="n">
        <v>29.48</v>
      </c>
      <c r="V412" s="117" t="n">
        <v>81</v>
      </c>
      <c r="W412" s="112" t="n">
        <v>10</v>
      </c>
      <c r="X412" s="108" t="inlineStr">
        <is>
          <t>NA</t>
        </is>
      </c>
      <c r="Y412" s="113" t="n">
        <v>123.2</v>
      </c>
      <c r="Z412" s="113" t="n">
        <v>17347920</v>
      </c>
      <c r="AA412" s="112" t="n">
        <v>14.39</v>
      </c>
      <c r="AB412" s="108" t="inlineStr">
        <is>
          <t>Colorful Cloud Holdings Limited; Tiny Jade Holdings (HK) Co., Limited; Wu Xinghua; Logic Selective Value Investment Funds SPC</t>
        </is>
      </c>
      <c r="AC412" s="108" t="inlineStr">
        <is>
          <t>colorful;tiny;wu-xinghua;logic</t>
        </is>
      </c>
      <c r="AD412" s="112" t="n">
        <v>14.4</v>
      </c>
      <c r="AE412" s="119" t="n"/>
      <c r="AF412" s="119" t="n"/>
      <c r="AG412" s="119" t="n"/>
      <c r="AH412" s="119" t="n"/>
      <c r="AI412" s="120" t="n">
        <v>13.66</v>
      </c>
      <c r="AJ412" s="121" t="n">
        <v>7.61</v>
      </c>
      <c r="AK412" s="121" t="n">
        <v>1.15</v>
      </c>
      <c r="AL412" s="121" t="n">
        <v>15.63</v>
      </c>
      <c r="AM412" s="121" t="n">
        <v>-6.94</v>
      </c>
      <c r="AN412" s="123" t="n">
        <v>5.63</v>
      </c>
      <c r="AO412" s="112" t="n">
        <v>56.03</v>
      </c>
      <c r="AP412" s="121" t="n">
        <v>4.23</v>
      </c>
      <c r="AQ412" s="121" t="n">
        <v>-29.58</v>
      </c>
      <c r="AR412" s="121" t="n">
        <v>-42.25</v>
      </c>
      <c r="AS412" s="121" t="n">
        <v>-3.14</v>
      </c>
      <c r="AT412" s="121" t="n">
        <v>-34.56</v>
      </c>
      <c r="AU412" s="121" t="n">
        <v>-46.33</v>
      </c>
      <c r="AV412" s="121" t="n">
        <v>0.99</v>
      </c>
      <c r="AW412" s="121" t="n">
        <v>-38.04</v>
      </c>
      <c r="AX412" s="121" t="n">
        <v>-35.44</v>
      </c>
      <c r="AY412" s="121" t="n">
        <v>-41.78</v>
      </c>
      <c r="AZ412" s="121" t="n">
        <v>8.460000000000001</v>
      </c>
      <c r="BA412" s="121" t="n">
        <v>7.22</v>
      </c>
      <c r="BB412" s="108" t="inlineStr">
        <is>
          <t>Hang Seng Commerce &amp; Industry sub-index</t>
        </is>
      </c>
      <c r="BC412" s="121" t="n">
        <v>-0.14</v>
      </c>
      <c r="BD412" s="109" t="n">
        <v>46297</v>
      </c>
      <c r="BE412" s="132" t="n"/>
      <c r="BF412" s="131" t="n"/>
      <c r="BG412" s="108" t="inlineStr">
        <is>
          <t>Y</t>
        </is>
      </c>
      <c r="BH412" s="123" t="n">
        <v>5.4</v>
      </c>
      <c r="BI412" s="123" t="n">
        <v>5.4</v>
      </c>
      <c r="BJ412" s="123" t="n">
        <v>6.3</v>
      </c>
      <c r="BK412" s="122" t="n"/>
      <c r="BL412" s="124">
        <f>IF('BBG Verify'!S412="","not filed; run on terminal",'BBG Verify'!S412)</f>
        <v/>
      </c>
      <c r="BM412" s="125" t="inlineStr">
        <is>
          <t>N</t>
        </is>
      </c>
      <c r="BN412" s="126">
        <f>IF('BBG Verify'!K412="","not filed; run on terminal",'BBG Verify'!K412)</f>
        <v/>
      </c>
      <c r="BO412" s="108" t="inlineStr">
        <is>
          <t>N/A</t>
        </is>
      </c>
      <c r="BP412" s="108" t="inlineStr">
        <is>
          <t>N/A</t>
        </is>
      </c>
      <c r="BQ412" s="108" t="inlineStr">
        <is>
          <t>N/A</t>
        </is>
      </c>
      <c r="BR412" s="108" t="inlineStr">
        <is>
          <t>N/A</t>
        </is>
      </c>
      <c r="BS412" s="108" t="inlineStr">
        <is>
          <t>N/A</t>
        </is>
      </c>
      <c r="BT412" s="108" t="inlineStr">
        <is>
          <t>N/A</t>
        </is>
      </c>
      <c r="BU412" s="125" t="inlineStr">
        <is>
          <t>Shenwan Hongyuan Capital (H.K.) Limited</t>
        </is>
      </c>
      <c r="BV412" s="108" t="inlineStr">
        <is>
          <t>Shenwan Hongyuan Capital (H.K.) Limited</t>
        </is>
      </c>
      <c r="BW412" s="108" t="inlineStr">
        <is>
          <t>Shenwan Hongyuan Securities (H.K.) Limited; ABCI Capital Limited; BOCI Asia Limited; Patrons Securities Limited; SPDB International Capital Limited; TradeGo Markets Limited</t>
        </is>
      </c>
      <c r="BX412" s="108" t="inlineStr">
        <is>
          <t>ABCI Securities Company Limited; BOCI Asia Limited; Patrons Securities Limited; Shenwan Hongyuan Securities (H.K.) Limited; SPDB International Capital Limited; TradeGo Markets Limited</t>
        </is>
      </c>
      <c r="BY412" s="127">
        <f>HYPERLINK("https://www1.hkexnews.hk/listedco/listconews/sehk/2025/1218/2025121800035.pdf","prospectus")</f>
        <v/>
      </c>
      <c r="BZ412" s="127">
        <f>HYPERLINK("https://www1.hkexnews.hk/listedco/listconews/sehk/2025/1229/2025122902215.pdf","allotment")</f>
        <v/>
      </c>
      <c r="CA412" s="119" t="n"/>
      <c r="CB412" s="128" t="n"/>
      <c r="CC412" s="108" t="inlineStr">
        <is>
          <t>P/E: Bloomberg trailing-12m basis (prospectus-year multiple not derivable); greenshoe: end-of-stabilisation notice not found; P/S: revenue not extractable; stabilising manager: filing states none appointed (allotment announcement: 'no stabilizing manager will be appointed' stated in the filing); financials rejected: net income HK$77.9m exceeds revenue HK$1.7m; both withheld with their multiples</t>
        </is>
      </c>
    </row>
    <row r="413" ht="22" customHeight="1">
      <c r="A413" s="107" t="inlineStr">
        <is>
          <t>3696</t>
        </is>
      </c>
      <c r="B413" s="108" t="inlineStr">
        <is>
          <t>INSILICO</t>
        </is>
      </c>
      <c r="C413" s="108" t="inlineStr">
        <is>
          <t>英矽智能</t>
        </is>
      </c>
      <c r="D413" s="108" t="inlineStr">
        <is>
          <t>Tech/AI</t>
        </is>
      </c>
      <c r="E413" s="108" t="inlineStr">
        <is>
          <t>AI application / agent software</t>
        </is>
      </c>
      <c r="F413" s="108" t="inlineStr">
        <is>
          <t>Biotechnology - Pharmaceuticals</t>
        </is>
      </c>
      <c r="G413" s="108" t="inlineStr">
        <is>
          <t>Standard</t>
        </is>
      </c>
      <c r="H413" s="109" t="n">
        <v>46021</v>
      </c>
      <c r="I413" s="110" t="n">
        <v>2277.3</v>
      </c>
      <c r="J413" s="108" t="inlineStr">
        <is>
          <t>gross (stated)</t>
        </is>
      </c>
      <c r="K413" s="129" t="n"/>
      <c r="L413" s="111" t="n">
        <v>24.05</v>
      </c>
      <c r="M413" s="111" t="n">
        <v>24.05</v>
      </c>
      <c r="N413" s="108" t="inlineStr">
        <is>
          <t>Y</t>
        </is>
      </c>
      <c r="O413" s="112" t="n">
        <v>100</v>
      </c>
      <c r="P413" s="118" t="n"/>
      <c r="Q413" s="113" t="n">
        <v>13406</v>
      </c>
      <c r="R413" s="108" t="inlineStr">
        <is>
          <t>prospectus:stated market capitalisation</t>
        </is>
      </c>
      <c r="S413" s="114" t="n">
        <v>1427.37</v>
      </c>
      <c r="T413" s="115" t="n">
        <v>26.27</v>
      </c>
      <c r="U413" s="116" t="n">
        <v>39.29</v>
      </c>
      <c r="V413" s="117" t="n">
        <v>216</v>
      </c>
      <c r="W413" s="112" t="n">
        <v>10</v>
      </c>
      <c r="X413" s="108" t="inlineStr">
        <is>
          <t>NA</t>
        </is>
      </c>
      <c r="Y413" s="113" t="n">
        <v>1382.55</v>
      </c>
      <c r="Z413" s="113" t="n">
        <v>57486603</v>
      </c>
      <c r="AA413" s="112" t="n">
        <v>10.31</v>
      </c>
      <c r="AB413" s="108" t="inlineStr">
        <is>
          <t>Lilly; Tencent; Oaktree; Schroders; Taibai Investments Pte. Ltd; China AMC; Pacific Asset Management Co., Limited; E Fund Management Co., Ltd; Fullgoal HK; Fullgoal Fund; Harvest; Taikang Life; Emerging Markets Healthcare Partners LLC; Infini</t>
        </is>
      </c>
      <c r="AC413" s="108" t="inlineStr">
        <is>
          <t>lilly;tencent;oaktree;schroders;taibai;amc;pacific-asset;fund-management;fullgoal;harvest;taikang;emerging;infini</t>
        </is>
      </c>
      <c r="AD413" s="112" t="n">
        <v>15</v>
      </c>
      <c r="AE413" s="108" t="inlineStr">
        <is>
          <t>full</t>
        </is>
      </c>
      <c r="AF413" s="108" t="inlineStr">
        <is>
          <t>2026-01-22</t>
        </is>
      </c>
      <c r="AG413" s="108" t="inlineStr">
        <is>
          <t>Morgan Stanley Asia Limited</t>
        </is>
      </c>
      <c r="AH413" s="108" t="inlineStr">
        <is>
          <t>Morgan Stanley</t>
        </is>
      </c>
      <c r="AI413" s="120" t="n">
        <v>53.26</v>
      </c>
      <c r="AJ413" s="121" t="n">
        <v>24.66</v>
      </c>
      <c r="AK413" s="121" t="n">
        <v>1.68</v>
      </c>
      <c r="AL413" s="121" t="n">
        <v>45.53</v>
      </c>
      <c r="AM413" s="121" t="n">
        <v>-14.34</v>
      </c>
      <c r="AN413" s="123" t="n">
        <v>3.98</v>
      </c>
      <c r="AO413" s="112" t="n">
        <v>16.34</v>
      </c>
      <c r="AP413" s="121" t="n">
        <v>68.40000000000001</v>
      </c>
      <c r="AQ413" s="121" t="n">
        <v>172.35</v>
      </c>
      <c r="AR413" s="121" t="n">
        <v>138.05</v>
      </c>
      <c r="AS413" s="121" t="n">
        <v>35.09</v>
      </c>
      <c r="AT413" s="121" t="n">
        <v>118.47</v>
      </c>
      <c r="AU413" s="121" t="n">
        <v>90.95999999999999</v>
      </c>
      <c r="AV413" s="121" t="n">
        <v>63.65</v>
      </c>
      <c r="AW413" s="121" t="n">
        <v>166.02</v>
      </c>
      <c r="AX413" s="121" t="n">
        <v>152.95</v>
      </c>
      <c r="AY413" s="121" t="n">
        <v>113.89</v>
      </c>
      <c r="AZ413" s="121" t="n">
        <v>6.33</v>
      </c>
      <c r="BA413" s="121" t="n">
        <v>4.58</v>
      </c>
      <c r="BB413" s="108" t="inlineStr">
        <is>
          <t>HSTECH (Hang Seng TECH ETF)</t>
        </is>
      </c>
      <c r="BC413" s="121" t="n">
        <v>139.5</v>
      </c>
      <c r="BD413" s="109" t="n">
        <v>46297</v>
      </c>
      <c r="BE413" s="110" t="n">
        <v>669.5</v>
      </c>
      <c r="BF413" s="113" t="n">
        <v>-133.3</v>
      </c>
      <c r="BG413" s="108" t="inlineStr">
        <is>
          <t>N</t>
        </is>
      </c>
      <c r="BH413" s="108" t="inlineStr">
        <is>
          <t>n/m</t>
        </is>
      </c>
      <c r="BI413" s="122" t="n"/>
      <c r="BJ413" s="122" t="n"/>
      <c r="BK413" s="123" t="n">
        <v>20</v>
      </c>
      <c r="BL413" s="124">
        <f>IF('BBG Verify'!S413="","not filed; run on terminal",'BBG Verify'!S413)</f>
        <v/>
      </c>
      <c r="BM413" s="125" t="inlineStr">
        <is>
          <t>N</t>
        </is>
      </c>
      <c r="BN413" s="126">
        <f>IF('BBG Verify'!K413="","not filed; run on terminal",'BBG Verify'!K413)</f>
        <v/>
      </c>
      <c r="BO413" s="108" t="inlineStr">
        <is>
          <t>N/A</t>
        </is>
      </c>
      <c r="BP413" s="108" t="inlineStr">
        <is>
          <t>N/A</t>
        </is>
      </c>
      <c r="BQ413" s="108" t="inlineStr">
        <is>
          <t>N/A</t>
        </is>
      </c>
      <c r="BR413" s="108" t="inlineStr">
        <is>
          <t>N/A</t>
        </is>
      </c>
      <c r="BS413" s="108" t="inlineStr">
        <is>
          <t>N/A</t>
        </is>
      </c>
      <c r="BT413" s="108" t="inlineStr">
        <is>
          <t>N/A</t>
        </is>
      </c>
      <c r="BU413" s="125" t="inlineStr">
        <is>
          <t>Morgan Stanley Asia Limited; China International Capital Corporation Hong Kong Securities Limited; GF Capital (Hong Kong) Limited</t>
        </is>
      </c>
      <c r="BV413" s="108" t="inlineStr">
        <is>
          <t>China International Capital Corporation Hong Kong Securities Limited; Morgan Stanley Asia Limited; GF Capital (Hong Kong) Limited</t>
        </is>
      </c>
      <c r="BW413" s="108" t="inlineStr">
        <is>
          <t>Morgan Stanley Asia Limited; GF Securities (Hong Kong) Brokerage Limited; BNP Paribas Securities (Asia) Limited; Sinolink Securities (Hong Kong) Company Limited; BOCI Asia Limited</t>
        </is>
      </c>
      <c r="BX413" s="108" t="inlineStr">
        <is>
          <t>BNP Paribas Securities (Asia) Limited; BOCI Asia Limited; China International Capital Corporation Hong Kong Securities Limited; GF Securities (Hong Kong) Brokerage Limited; Morgan Stanley Asia Limited; Sinolink Securities (Hong Kong) Company Limited</t>
        </is>
      </c>
      <c r="BY413" s="127">
        <f>HYPERLINK("https://www1.hkexnews.hk/listedco/listconews/sehk/2025/1218/2025121800031.pdf","prospectus")</f>
        <v/>
      </c>
      <c r="BZ413" s="127">
        <f>HYPERLINK("https://www1.hkexnews.hk/listedco/listconews/sehk/2025/1229/2025122902395.pdf","allotment")</f>
        <v/>
      </c>
      <c r="CA413" s="127">
        <f>HYPERLINK("https://www1.hkexnews.hk/listedco/listconews/sehk/2026/0122/2026012201223.pdf","stabilisation")</f>
        <v/>
      </c>
      <c r="CB413" s="128" t="n"/>
      <c r="CC413" s="108" t="inlineStr">
        <is>
          <t>P/E: loss-making at IPO, use P/S; range low: maximum offer price only, no floor published</t>
        </is>
      </c>
    </row>
    <row r="414" ht="22" customHeight="1">
      <c r="A414" s="107" t="inlineStr">
        <is>
          <t>6651</t>
        </is>
      </c>
      <c r="B414" s="108" t="inlineStr">
        <is>
          <t>51WORLD</t>
        </is>
      </c>
      <c r="C414" s="108" t="inlineStr">
        <is>
          <t>五一視界</t>
        </is>
      </c>
      <c r="D414" s="108" t="inlineStr">
        <is>
          <t>Tech/AI</t>
        </is>
      </c>
      <c r="E414" s="108" t="inlineStr">
        <is>
          <t>SaaS / enterprise software</t>
        </is>
      </c>
      <c r="F414" s="108" t="inlineStr">
        <is>
          <t>Advanced hardware and software</t>
        </is>
      </c>
      <c r="G414" s="108" t="inlineStr">
        <is>
          <t>18C</t>
        </is>
      </c>
      <c r="H414" s="109" t="n">
        <v>46021</v>
      </c>
      <c r="I414" s="110" t="n">
        <v>731.3</v>
      </c>
      <c r="J414" s="108" t="inlineStr">
        <is>
          <t>gross (stated)</t>
        </is>
      </c>
      <c r="K414" s="129" t="n"/>
      <c r="L414" s="111" t="n">
        <v>30.5</v>
      </c>
      <c r="M414" s="111" t="n">
        <v>30.5</v>
      </c>
      <c r="N414" s="108" t="inlineStr">
        <is>
          <t>Y</t>
        </is>
      </c>
      <c r="O414" s="112" t="n">
        <v>100</v>
      </c>
      <c r="P414" s="118" t="n"/>
      <c r="Q414" s="113" t="n">
        <v>12393.9</v>
      </c>
      <c r="R414" s="108" t="inlineStr">
        <is>
          <t>derived:price x shares upon listing</t>
        </is>
      </c>
      <c r="S414" s="114" t="n">
        <v>256.01</v>
      </c>
      <c r="T414" s="115" t="n">
        <v>2.6</v>
      </c>
      <c r="U414" s="116" t="n">
        <v>0</v>
      </c>
      <c r="V414" s="117" t="n">
        <v>84</v>
      </c>
      <c r="W414" s="112" t="n">
        <v>20</v>
      </c>
      <c r="X414" s="108" t="inlineStr">
        <is>
          <t>YES</t>
        </is>
      </c>
      <c r="Y414" s="113" t="n">
        <v>731.3</v>
      </c>
      <c r="Z414" s="113" t="n">
        <v>23975200</v>
      </c>
      <c r="AA414" s="112" t="n">
        <v>5.9</v>
      </c>
      <c r="AB414" s="108" t="inlineStr">
        <is>
          <t>none — no cornerstone tranche</t>
        </is>
      </c>
      <c r="AC414" s="108" t="inlineStr">
        <is>
          <t>none</t>
        </is>
      </c>
      <c r="AD414" s="112" t="n">
        <v>16.3</v>
      </c>
      <c r="AE414" s="108" t="inlineStr">
        <is>
          <t>lapsed (no over-allocation)</t>
        </is>
      </c>
      <c r="AF414" s="119" t="n"/>
      <c r="AG414" s="108" t="inlineStr">
        <is>
          <t>China International Capital Corporation Hong Kong Securities Limited 19 DEFINITIONS</t>
        </is>
      </c>
      <c r="AH414" s="108" t="inlineStr">
        <is>
          <t>China International</t>
        </is>
      </c>
      <c r="AI414" s="120" t="n">
        <v>23.54</v>
      </c>
      <c r="AJ414" s="121" t="n">
        <v>29.9</v>
      </c>
      <c r="AK414" s="121" t="n">
        <v>1.68</v>
      </c>
      <c r="AL414" s="121" t="n">
        <v>14.75</v>
      </c>
      <c r="AM414" s="121" t="n">
        <v>13.2</v>
      </c>
      <c r="AN414" s="123" t="n">
        <v>1.11</v>
      </c>
      <c r="AO414" s="112" t="n">
        <v>13.71</v>
      </c>
      <c r="AP414" s="121" t="n">
        <v>51.48</v>
      </c>
      <c r="AQ414" s="121" t="n">
        <v>212.46</v>
      </c>
      <c r="AR414" s="121" t="n">
        <v>18.82</v>
      </c>
      <c r="AS414" s="121" t="n">
        <v>16.61</v>
      </c>
      <c r="AT414" s="121" t="n">
        <v>140.54</v>
      </c>
      <c r="AU414" s="121" t="n">
        <v>-8.529999999999999</v>
      </c>
      <c r="AV414" s="121" t="n">
        <v>46.73</v>
      </c>
      <c r="AW414" s="121" t="n">
        <v>206.13</v>
      </c>
      <c r="AX414" s="121" t="n">
        <v>33.72</v>
      </c>
      <c r="AY414" s="121" t="n">
        <v>135.96</v>
      </c>
      <c r="AZ414" s="121" t="n">
        <v>6.33</v>
      </c>
      <c r="BA414" s="121" t="n">
        <v>4.58</v>
      </c>
      <c r="BB414" s="108" t="inlineStr">
        <is>
          <t>HSTECH (Hang Seng TECH ETF)</t>
        </is>
      </c>
      <c r="BC414" s="121" t="n">
        <v>73.61</v>
      </c>
      <c r="BD414" s="109" t="n">
        <v>46297</v>
      </c>
      <c r="BE414" s="110" t="n">
        <v>316.1</v>
      </c>
      <c r="BF414" s="113" t="n">
        <v>-86.90000000000001</v>
      </c>
      <c r="BG414" s="108" t="inlineStr">
        <is>
          <t>N</t>
        </is>
      </c>
      <c r="BH414" s="108" t="inlineStr">
        <is>
          <t>n/m</t>
        </is>
      </c>
      <c r="BI414" s="122" t="n"/>
      <c r="BJ414" s="122" t="n"/>
      <c r="BK414" s="123" t="n">
        <v>39.2</v>
      </c>
      <c r="BL414" s="124">
        <f>IF('BBG Verify'!S414="","not filed; run on terminal",'BBG Verify'!S414)</f>
        <v/>
      </c>
      <c r="BM414" s="125" t="inlineStr">
        <is>
          <t>N</t>
        </is>
      </c>
      <c r="BN414" s="126">
        <f>IF('BBG Verify'!K414="","not filed; run on terminal",'BBG Verify'!K414)</f>
        <v/>
      </c>
      <c r="BO414" s="108" t="inlineStr">
        <is>
          <t>N/A</t>
        </is>
      </c>
      <c r="BP414" s="108" t="inlineStr">
        <is>
          <t>N/A</t>
        </is>
      </c>
      <c r="BQ414" s="108" t="inlineStr">
        <is>
          <t>N/A</t>
        </is>
      </c>
      <c r="BR414" s="108" t="inlineStr">
        <is>
          <t>N/A</t>
        </is>
      </c>
      <c r="BS414" s="108" t="inlineStr">
        <is>
          <t>N/A</t>
        </is>
      </c>
      <c r="BT414" s="108" t="inlineStr">
        <is>
          <t>N/A</t>
        </is>
      </c>
      <c r="BU414" s="125" t="inlineStr">
        <is>
          <t>China International Capital Corporation Hong Kong Securities Limited; Huatai Financial Holdings (Hong Kong) Limited</t>
        </is>
      </c>
      <c r="BV414" s="108" t="inlineStr">
        <is>
          <t>China International Capital Corporation Hong Kong Securities Limited; Huatai Financial Holdings (Hong Kong) Limited</t>
        </is>
      </c>
      <c r="BW414" s="108" t="inlineStr">
        <is>
          <t>China International Capital Corporation Hong Kong Securities Limited; CMB International Capital Limited; China Securities (International) Corporate Finance Company Limited; Futu Securities International (Hong Kong) Limited; Valuable Capital Limited; BOCI Asia Limited; ICBC International Securities Limited; SPDB International Capital Limited; DIRECTORS, SUPERVISORS AND PARTIES INVOLVED IN THE GLOBAL OFFERING ABCI Capital Limited; CMBC Securities Company Limited; CCB International Capital Limited</t>
        </is>
      </c>
      <c r="BX414" s="108" t="inlineStr">
        <is>
          <t>ABCI Securities Company Limited; BOCI Asia Limited; CCB International Capital Limited; China International Capital Corporation Hong Kong Securities Limited; CMBC Securities Company Limited; CMB International Capital Limited; China Securities (International) Corporate Finance Company Limited; Futu Securities International (Hong Kong) Limited; Huatai Financial Holdings (Hong Kong) Limited; ICBC International Securities Limited; SPDB International Capital Limited; Valuable Capital Limited</t>
        </is>
      </c>
      <c r="BY414" s="127">
        <f>HYPERLINK("https://www1.hkexnews.hk/listedco/listconews/sehk/2025/1218/2025121800029.pdf","prospectus")</f>
        <v/>
      </c>
      <c r="BZ414" s="127">
        <f>HYPERLINK("https://www1.hkexnews.hk/listedco/listconews/sehk/2025/1229/2025122902393.pdf","allotment")</f>
        <v/>
      </c>
      <c r="CA414" s="127">
        <f>HYPERLINK("https://www1.hkexnews.hk/listedco/listconews/sehk/2026/0122/2026012200344.pdf","stabilisation")</f>
        <v/>
      </c>
      <c r="CB414" s="128" t="n"/>
      <c r="CC414" s="108" t="inlineStr">
        <is>
          <t>P/E: loss-making at IPO, use P/S; greenshoe: outcome published; expiry date not in the notice; range low: maximum offer price only, no floor published; market cap: prospectus 'market capitalisation' line is the listing-rule threshold, not the issuer's figure; rejected; cornerstone list: no cornerstone tranche</t>
        </is>
      </c>
    </row>
    <row r="415" ht="22" customHeight="1">
      <c r="A415" s="107" t="inlineStr">
        <is>
          <t>6600</t>
        </is>
      </c>
      <c r="B415" s="108" t="inlineStr">
        <is>
          <t>ONEROBOTICS</t>
        </is>
      </c>
      <c r="C415" s="108" t="inlineStr">
        <is>
          <t>臥安機器人</t>
        </is>
      </c>
      <c r="D415" s="108" t="inlineStr">
        <is>
          <t>Tech/AI</t>
        </is>
      </c>
      <c r="E415" s="108" t="inlineStr">
        <is>
          <t>Robotics &amp; autonomous driving</t>
        </is>
      </c>
      <c r="F415" s="108" t="inlineStr">
        <is>
          <t>Consumer Electronics</t>
        </is>
      </c>
      <c r="G415" s="108" t="inlineStr">
        <is>
          <t>Standard</t>
        </is>
      </c>
      <c r="H415" s="109" t="n">
        <v>46021</v>
      </c>
      <c r="I415" s="110" t="n">
        <v>1640.01</v>
      </c>
      <c r="J415" s="108" t="inlineStr">
        <is>
          <t>gross (stated)</t>
        </is>
      </c>
      <c r="K415" s="111" t="n">
        <v>63</v>
      </c>
      <c r="L415" s="111" t="n">
        <v>81</v>
      </c>
      <c r="M415" s="111" t="n">
        <v>73.8</v>
      </c>
      <c r="N415" s="108" t="inlineStr">
        <is>
          <t>N</t>
        </is>
      </c>
      <c r="O415" s="112" t="n">
        <v>91.09999999999999</v>
      </c>
      <c r="P415" s="112" t="n">
        <v>60</v>
      </c>
      <c r="Q415" s="113" t="n">
        <v>16400</v>
      </c>
      <c r="R415" s="108" t="inlineStr">
        <is>
          <t>derived:price x shares upon listing</t>
        </is>
      </c>
      <c r="S415" s="114" t="n">
        <v>254.5</v>
      </c>
      <c r="T415" s="115" t="n">
        <v>8.9</v>
      </c>
      <c r="U415" s="116" t="n">
        <v>42.68</v>
      </c>
      <c r="V415" s="117" t="n">
        <v>80</v>
      </c>
      <c r="W415" s="112" t="n">
        <v>10</v>
      </c>
      <c r="X415" s="108" t="inlineStr">
        <is>
          <t>NA</t>
        </is>
      </c>
      <c r="Y415" s="113" t="n">
        <v>940.05</v>
      </c>
      <c r="Z415" s="113" t="n">
        <v>12737822</v>
      </c>
      <c r="AA415" s="112" t="n">
        <v>5.73</v>
      </c>
      <c r="AB415" s="108" t="inlineStr">
        <is>
          <t>HACF, L.P; Cithara Global Multi-Strategy SPC — Bosideng Industry Investment Fund SP; Infini Global Master Fund; China Orient Enhanced Income Fund; China Orient Multi-Strategy Master Fund; Wind Sabre Fund SPC; Yield Royal Investment Holding (Singapore) PTE. LTD; Sage Partners Master Fund; Sage Sunshine 1 Limited</t>
        </is>
      </c>
      <c r="AC415" s="108" t="inlineStr">
        <is>
          <t>hacf;cithara;infini;orient;wind;yield;sage</t>
        </is>
      </c>
      <c r="AD415" s="112" t="n">
        <v>15</v>
      </c>
      <c r="AE415" s="108" t="inlineStr">
        <is>
          <t>partial</t>
        </is>
      </c>
      <c r="AF415" s="119" t="n"/>
      <c r="AG415" s="119" t="n"/>
      <c r="AH415" s="119" t="n"/>
      <c r="AI415" s="120" t="n">
        <v>-8.67</v>
      </c>
      <c r="AJ415" s="121" t="n">
        <v>0.07000000000000001</v>
      </c>
      <c r="AK415" s="121" t="n">
        <v>1.68</v>
      </c>
      <c r="AL415" s="121" t="n">
        <v>0</v>
      </c>
      <c r="AM415" s="121" t="n">
        <v>0.07000000000000001</v>
      </c>
      <c r="AN415" s="123" t="n">
        <v>2.13</v>
      </c>
      <c r="AO415" s="112" t="n">
        <v>1.63</v>
      </c>
      <c r="AP415" s="121" t="n">
        <v>40.24</v>
      </c>
      <c r="AQ415" s="121" t="n">
        <v>129.27</v>
      </c>
      <c r="AR415" s="121" t="n">
        <v>33.4</v>
      </c>
      <c r="AS415" s="121" t="n">
        <v>40.14</v>
      </c>
      <c r="AT415" s="121" t="n">
        <v>129.11</v>
      </c>
      <c r="AU415" s="121" t="n">
        <v>33.31</v>
      </c>
      <c r="AV415" s="121" t="n">
        <v>35.49</v>
      </c>
      <c r="AW415" s="121" t="n">
        <v>122.94</v>
      </c>
      <c r="AX415" s="121" t="n">
        <v>48.3</v>
      </c>
      <c r="AY415" s="121" t="n">
        <v>124.53</v>
      </c>
      <c r="AZ415" s="121" t="n">
        <v>6.33</v>
      </c>
      <c r="BA415" s="121" t="n">
        <v>4.58</v>
      </c>
      <c r="BB415" s="108" t="inlineStr">
        <is>
          <t>HSTECH (Hang Seng TECH ETF)</t>
        </is>
      </c>
      <c r="BC415" s="121" t="n">
        <v>-39.02</v>
      </c>
      <c r="BD415" s="109" t="n">
        <v>46297</v>
      </c>
      <c r="BE415" s="110" t="n">
        <v>670.9</v>
      </c>
      <c r="BF415" s="113" t="n">
        <v>-3.4</v>
      </c>
      <c r="BG415" s="108" t="inlineStr">
        <is>
          <t>N</t>
        </is>
      </c>
      <c r="BH415" s="108" t="inlineStr">
        <is>
          <t>n/m</t>
        </is>
      </c>
      <c r="BI415" s="122" t="n"/>
      <c r="BJ415" s="122" t="n"/>
      <c r="BK415" s="123" t="n">
        <v>24.4</v>
      </c>
      <c r="BL415" s="124">
        <f>IF('BBG Verify'!S415="","not filed; run on terminal",'BBG Verify'!S415)</f>
        <v/>
      </c>
      <c r="BM415" s="125" t="inlineStr">
        <is>
          <t>N</t>
        </is>
      </c>
      <c r="BN415" s="126">
        <f>IF('BBG Verify'!K415="","not filed; run on terminal",'BBG Verify'!K415)</f>
        <v/>
      </c>
      <c r="BO415" s="108" t="inlineStr">
        <is>
          <t>N/A</t>
        </is>
      </c>
      <c r="BP415" s="108" t="inlineStr">
        <is>
          <t>N/A</t>
        </is>
      </c>
      <c r="BQ415" s="108" t="inlineStr">
        <is>
          <t>N/A</t>
        </is>
      </c>
      <c r="BR415" s="108" t="inlineStr">
        <is>
          <t>N/A</t>
        </is>
      </c>
      <c r="BS415" s="108" t="inlineStr">
        <is>
          <t>N/A</t>
        </is>
      </c>
      <c r="BT415" s="108" t="inlineStr">
        <is>
          <t>N/A</t>
        </is>
      </c>
      <c r="BU415" s="125" t="inlineStr">
        <is>
          <t>Guotai Junan Capital Limited; Huatai Financial Holdings (Hong Kong) Limited; Guotai Junan Securities (Hong Kong) Limited</t>
        </is>
      </c>
      <c r="BV415" s="108" t="inlineStr">
        <is>
          <t>Huatai Financial Holdings (Hong Kong) Limited; Guotai Junan Capital Limited</t>
        </is>
      </c>
      <c r="BW415" s="108" t="inlineStr">
        <is>
          <t>Guotai Junan Securities (Hong Kong) Limited; Huatai Financial Holdings (Hong Kong) Limited; Co., Limited; BOCI Asia Limited; Futu Securities International (Hong Kong) Limited</t>
        </is>
      </c>
      <c r="BX415" s="108" t="inlineStr">
        <is>
          <t>BOCI Asia Limited; China Galaxy International Securities (Hong Kong) Company Limited; Futu Securities International (Hong Kong) Limited; Guotai Junan Securities (Hong Kong) Limited; Huatai Financial Holdings (Hong Kong) Limited</t>
        </is>
      </c>
      <c r="BY415" s="127">
        <f>HYPERLINK("https://www1.hkexnews.hk/listedco/listconews/sehk/2025/1218/2025121800167.pdf","prospectus")</f>
        <v/>
      </c>
      <c r="BZ415" s="127">
        <f>HYPERLINK("https://www1.hkexnews.hk/listedco/listconews/sehk/2025/1229/2025122902399.pdf","allotment")</f>
        <v/>
      </c>
      <c r="CA415" s="127">
        <f>HYPERLINK("https://www1.hkexnews.hk/listedco/listconews/sehk/2026/0122/2026012201287.pdf","stabilisation")</f>
        <v/>
      </c>
      <c r="CB415" s="128" t="n"/>
      <c r="CC415" s="108" t="inlineStr">
        <is>
          <t>P/E: loss-making at IPO, use P/S; greenshoe: outcome published; expiry date not in the notice; market cap: prospectus 'market capitalisation' line is the listing-rule threshold, not the issuer's figure; rejected; stabilising manager: not named in the allotment notice or prospectus glossary</t>
        </is>
      </c>
    </row>
    <row r="416" ht="22" customHeight="1">
      <c r="A416" s="107" t="inlineStr">
        <is>
          <t>6082</t>
        </is>
      </c>
      <c r="B416" s="108" t="inlineStr">
        <is>
          <t>BIREN TECH</t>
        </is>
      </c>
      <c r="C416" s="108" t="inlineStr">
        <is>
          <t>壁仞科技</t>
        </is>
      </c>
      <c r="D416" s="108" t="inlineStr">
        <is>
          <t>Tech/AI</t>
        </is>
      </c>
      <c r="E416" s="108" t="inlineStr">
        <is>
          <t>Compute / AI semiconductors</t>
        </is>
      </c>
      <c r="F416" s="108" t="inlineStr">
        <is>
          <t>Advanced hardware and software</t>
        </is>
      </c>
      <c r="G416" s="108" t="inlineStr">
        <is>
          <t>18C</t>
        </is>
      </c>
      <c r="H416" s="109" t="n">
        <v>46024</v>
      </c>
      <c r="I416" s="110" t="n">
        <v>5583</v>
      </c>
      <c r="J416" s="108" t="inlineStr">
        <is>
          <t>gross (stated)</t>
        </is>
      </c>
      <c r="K416" s="111" t="n">
        <v>17</v>
      </c>
      <c r="L416" s="111" t="n">
        <v>19.6</v>
      </c>
      <c r="M416" s="111" t="n">
        <v>19.6</v>
      </c>
      <c r="N416" s="108" t="inlineStr">
        <is>
          <t>Y</t>
        </is>
      </c>
      <c r="O416" s="112" t="n">
        <v>100</v>
      </c>
      <c r="P416" s="112" t="n">
        <v>100</v>
      </c>
      <c r="Q416" s="113" t="n">
        <v>40103</v>
      </c>
      <c r="R416" s="108" t="inlineStr">
        <is>
          <t>prospectus:stated market capitalisation</t>
        </is>
      </c>
      <c r="S416" s="114" t="n">
        <v>2347.53</v>
      </c>
      <c r="T416" s="115" t="n">
        <v>25.95</v>
      </c>
      <c r="U416" s="116" t="n">
        <v>51.93</v>
      </c>
      <c r="V416" s="117" t="n">
        <v>359</v>
      </c>
      <c r="W416" s="112" t="n">
        <v>17.39</v>
      </c>
      <c r="X416" s="108" t="inlineStr">
        <is>
          <t>YES</t>
        </is>
      </c>
      <c r="Y416" s="113" t="n">
        <v>2683.75</v>
      </c>
      <c r="Z416" s="113" t="n">
        <v>136925761</v>
      </c>
      <c r="AA416" s="112" t="n">
        <v>6.69</v>
      </c>
      <c r="AB416" s="108" t="inlineStr">
        <is>
          <t>3W Fund Management Limited; Qiming Venture Partners; QM125 Limited; QM120 Limited; Aspex Master Fund; WT Asset Management Limited; Hao Great China Focus Fund; Ping An Life Insurance Company of China, Ltd; Huadeng Technology Peak Fortitude Ventures Ltd; Lion Global Investors Limited; Shanghai Greenwoods and CICC Financial Trading Limited (in connection with Greenwoods OTC Swaps); MY Asian Opportunities Master Fund, L.P; Eastspring Investments (Singapore) Limited; UBS Asset Management (Singapore) Ltd; Taikang Life Insurance Co., Ltd; Aspirational China Growth GP Limited; Charoen Pokphand Robot Limited; Digital China (HK) Limited 有限公司; Jinxiu 608 and GTJA HK (in connection with the GTJA Back-to-back TRS and Zhonghe OTC Swaps); China Southern Asset Management Co., Ltd; Fullgoal Fund Management Co., Ltd; Fullgoal Asset Management (HK) Limited; Yeebo Alpha Limited; Enhanced Investment Products Limited; Tessy Holding Limited; New Opportunities SPC</t>
        </is>
      </c>
      <c r="AC416" s="108" t="inlineStr">
        <is>
          <t>3w;qiming;qm125;qm120;aspex;wt;hao;ping;huadeng;lion;shanghai-greenwoods;my;eastspring;ubs;taikang;aspirational;charoen;digital;jinxiu;southern;fullgoal;yeebo;enhanced;tessy;new-opportunities</t>
        </is>
      </c>
      <c r="AD416" s="112" t="n">
        <v>15</v>
      </c>
      <c r="AE416" s="108" t="inlineStr">
        <is>
          <t>full</t>
        </is>
      </c>
      <c r="AF416" s="108" t="inlineStr">
        <is>
          <t>2026-01-28</t>
        </is>
      </c>
      <c r="AG416" s="108" t="inlineStr">
        <is>
          <t>China International Capital Corporation Hong Kong Securities Limited</t>
        </is>
      </c>
      <c r="AH416" s="108" t="inlineStr">
        <is>
          <t>China International</t>
        </is>
      </c>
      <c r="AI416" s="120" t="n">
        <v>78.98</v>
      </c>
      <c r="AJ416" s="121" t="n">
        <v>75.81999999999999</v>
      </c>
      <c r="AK416" s="121" t="n">
        <v>4.08</v>
      </c>
      <c r="AL416" s="121" t="n">
        <v>82.14</v>
      </c>
      <c r="AM416" s="121" t="n">
        <v>-3.47</v>
      </c>
      <c r="AN416" s="123" t="n">
        <v>3.04</v>
      </c>
      <c r="AO416" s="112" t="n">
        <v>26.27</v>
      </c>
      <c r="AP416" s="121" t="n">
        <v>73.78</v>
      </c>
      <c r="AQ416" s="121" t="n">
        <v>67.34999999999999</v>
      </c>
      <c r="AR416" s="121" t="n">
        <v>75.31</v>
      </c>
      <c r="AS416" s="121" t="n">
        <v>-1.16</v>
      </c>
      <c r="AT416" s="121" t="n">
        <v>-4.82</v>
      </c>
      <c r="AU416" s="121" t="n">
        <v>-0.29</v>
      </c>
      <c r="AV416" s="121" t="n">
        <v>70.53</v>
      </c>
      <c r="AW416" s="121" t="n">
        <v>67.16</v>
      </c>
      <c r="AX416" s="121" t="n">
        <v>87.84999999999999</v>
      </c>
      <c r="AY416" s="121" t="n">
        <v>-1.08</v>
      </c>
      <c r="AZ416" s="121" t="n">
        <v>0.19</v>
      </c>
      <c r="BA416" s="121" t="n">
        <v>-3.74</v>
      </c>
      <c r="BB416" s="108" t="inlineStr">
        <is>
          <t>HSTECH (Hang Seng TECH ETF)</t>
        </is>
      </c>
      <c r="BC416" s="121" t="n">
        <v>83.16</v>
      </c>
      <c r="BD416" s="109" t="n">
        <v>46297</v>
      </c>
      <c r="BE416" s="110" t="n">
        <v>370.5</v>
      </c>
      <c r="BF416" s="113" t="n">
        <v>-1691.9</v>
      </c>
      <c r="BG416" s="108" t="inlineStr">
        <is>
          <t>N</t>
        </is>
      </c>
      <c r="BH416" s="108" t="inlineStr">
        <is>
          <t>n/m</t>
        </is>
      </c>
      <c r="BI416" s="122" t="n"/>
      <c r="BJ416" s="122" t="n"/>
      <c r="BK416" s="123" t="n">
        <v>108.2</v>
      </c>
      <c r="BL416" s="124">
        <f>IF('BBG Verify'!S416="","not filed; run on terminal",'BBG Verify'!S416)</f>
        <v/>
      </c>
      <c r="BM416" s="125" t="inlineStr">
        <is>
          <t>N</t>
        </is>
      </c>
      <c r="BN416" s="126">
        <f>IF('BBG Verify'!K416="","not filed; run on terminal",'BBG Verify'!K416)</f>
        <v/>
      </c>
      <c r="BO416" s="108" t="inlineStr">
        <is>
          <t>N/A</t>
        </is>
      </c>
      <c r="BP416" s="108" t="inlineStr">
        <is>
          <t>N/A</t>
        </is>
      </c>
      <c r="BQ416" s="108" t="inlineStr">
        <is>
          <t>N/A</t>
        </is>
      </c>
      <c r="BR416" s="108" t="inlineStr">
        <is>
          <t>N/A</t>
        </is>
      </c>
      <c r="BS416" s="108" t="inlineStr">
        <is>
          <t>N/A</t>
        </is>
      </c>
      <c r="BT416" s="108" t="inlineStr">
        <is>
          <t>N/A</t>
        </is>
      </c>
      <c r="BU416" s="125" t="inlineStr">
        <is>
          <t>China International Capital Corporation Hong Kong Securities Limited; Ping An of China Capital (Hong Kong) Company Limited; BOCI Asia Limited; Ping An Securities (Hong Kong) Company Limited</t>
        </is>
      </c>
      <c r="BV416" s="108" t="inlineStr">
        <is>
          <t>China International Capital Corporation Hong Kong Securities Limited; Ping An of China Capital (Hong Kong) Company Limited; BOCI Asia Limited</t>
        </is>
      </c>
      <c r="BW416" s="108" t="inlineStr">
        <is>
          <t>China International Capital Corporation Hong Kong Securities Limited; Ping An Securities (Hong Kong) Company Limited; BOCI Asia Limited; CLSA Limited; Orient Securities (Hong Kong) Limited; Futu Securities International (Hong Kong) Limited; SPDB International Capital Limited</t>
        </is>
      </c>
      <c r="BX416" s="108" t="inlineStr">
        <is>
          <t>BOCI Asia Limited; China International Capital Corporation Hong Kong Securities Limited; CLSA Limited; Futu Securities International (Hong Kong) Limited; Orient Securities (Hong Kong) Limited; Ping An Securities (Hong Kong) Company Limited; SPDB International Capital Limited</t>
        </is>
      </c>
      <c r="BY416" s="127">
        <f>HYPERLINK("https://www1.hkexnews.hk/listedco/listconews/sehk/2025/1222/2025122200019.pdf","prospectus")</f>
        <v/>
      </c>
      <c r="BZ416" s="127">
        <f>HYPERLINK("https://www1.hkexnews.hk/listedco/listconews/sehk/2025/1231/2025123102783.pdf","allotment")</f>
        <v/>
      </c>
      <c r="CA416" s="127">
        <f>HYPERLINK("https://www1.hkexnews.hk/listedco/listconews/sehk/2026/0128/2026012800772.pdf","stabilisation")</f>
        <v/>
      </c>
      <c r="CB416" s="128" t="n"/>
      <c r="CC416" s="108" t="inlineStr">
        <is>
          <t>P/E: loss-making at IPO, use P/S; A/H: no A-share listing; nearest A proxy Cambricon Technologies (688256.SS)</t>
        </is>
      </c>
    </row>
    <row r="417" ht="22" customHeight="1">
      <c r="A417" s="107" t="inlineStr">
        <is>
          <t>2513</t>
        </is>
      </c>
      <c r="B417" s="108" t="inlineStr">
        <is>
          <t>KNOWLEDGE ATLAS</t>
        </is>
      </c>
      <c r="C417" s="108" t="inlineStr">
        <is>
          <t>智譜</t>
        </is>
      </c>
      <c r="D417" s="108" t="inlineStr">
        <is>
          <t>Tech/AI</t>
        </is>
      </c>
      <c r="E417" s="108" t="inlineStr">
        <is>
          <t>LLM / foundation model</t>
        </is>
      </c>
      <c r="F417" s="108" t="inlineStr">
        <is>
          <t>Next-generation information technology</t>
        </is>
      </c>
      <c r="G417" s="108" t="inlineStr">
        <is>
          <t>18C</t>
        </is>
      </c>
      <c r="H417" s="109" t="n">
        <v>46030</v>
      </c>
      <c r="I417" s="110" t="n">
        <v>4348.1</v>
      </c>
      <c r="J417" s="108" t="inlineStr">
        <is>
          <t>gross (stated)</t>
        </is>
      </c>
      <c r="K417" s="129" t="n"/>
      <c r="L417" s="111" t="n">
        <v>116.2</v>
      </c>
      <c r="M417" s="111" t="n">
        <v>116.2</v>
      </c>
      <c r="N417" s="108" t="inlineStr">
        <is>
          <t>Y</t>
        </is>
      </c>
      <c r="O417" s="112" t="n">
        <v>100</v>
      </c>
      <c r="P417" s="118" t="n"/>
      <c r="Q417" s="113" t="n">
        <v>45058</v>
      </c>
      <c r="R417" s="108" t="inlineStr">
        <is>
          <t>derived:deal size / offer % of enlarged capital</t>
        </is>
      </c>
      <c r="S417" s="114" t="n">
        <v>1159.46</v>
      </c>
      <c r="T417" s="115" t="n">
        <v>15.28</v>
      </c>
      <c r="U417" s="116" t="n">
        <v>68.63</v>
      </c>
      <c r="V417" s="117" t="n">
        <v>221</v>
      </c>
      <c r="W417" s="112" t="n">
        <v>20</v>
      </c>
      <c r="X417" s="108" t="inlineStr">
        <is>
          <t>YES</t>
        </is>
      </c>
      <c r="Y417" s="113" t="n">
        <v>1364</v>
      </c>
      <c r="Z417" s="113" t="n">
        <v>11738497</v>
      </c>
      <c r="AA417" s="112" t="n">
        <v>3.03</v>
      </c>
      <c r="AB417" s="108" t="inlineStr">
        <is>
          <t>JSC International Investment Fund SPC (acting for and on behalf of Qizhi SP); JinYi Capital Multi- Strategy Fund SPC Ltd. (acting for and on behalf of Structured Credit SP Fund); Perseverance Asset Management; Shanghai Gaoyi and CICC Financial Trading Limited (in connection with Gaoyi OTC Swaps); WT Asset Management Limited; Taikang Life; GF Fund; 3W Fund; RIME; Optimas Capital Limited; Luster LightTech International Limited</t>
        </is>
      </c>
      <c r="AC417" s="108" t="inlineStr">
        <is>
          <t>jsc;jinyi;perseverance;shanghai-gaoyi;wt;taikang;gf;3w;rime;optimas;luster</t>
        </is>
      </c>
      <c r="AD417" s="112" t="n">
        <v>15</v>
      </c>
      <c r="AE417" s="108" t="inlineStr">
        <is>
          <t>full</t>
        </is>
      </c>
      <c r="AF417" s="108" t="inlineStr">
        <is>
          <t>2026-02-04</t>
        </is>
      </c>
      <c r="AG417" s="108" t="inlineStr">
        <is>
          <t>China International Capital Corporation Hong Kong Securities Limited</t>
        </is>
      </c>
      <c r="AH417" s="108" t="inlineStr">
        <is>
          <t>China International</t>
        </is>
      </c>
      <c r="AI417" s="120" t="n">
        <v>6.02</v>
      </c>
      <c r="AJ417" s="121" t="n">
        <v>13.17</v>
      </c>
      <c r="AK417" s="121" t="n">
        <v>-1.24</v>
      </c>
      <c r="AL417" s="121" t="n">
        <v>3.27</v>
      </c>
      <c r="AM417" s="121" t="n">
        <v>9.59</v>
      </c>
      <c r="AN417" s="123" t="n">
        <v>2.34</v>
      </c>
      <c r="AO417" s="112" t="n">
        <v>15.75</v>
      </c>
      <c r="AP417" s="121" t="n">
        <v>107.4</v>
      </c>
      <c r="AQ417" s="121" t="n">
        <v>74.87</v>
      </c>
      <c r="AR417" s="121" t="n">
        <v>646.13</v>
      </c>
      <c r="AS417" s="121" t="n">
        <v>83.26000000000001</v>
      </c>
      <c r="AT417" s="121" t="n">
        <v>54.52</v>
      </c>
      <c r="AU417" s="121" t="n">
        <v>559.3</v>
      </c>
      <c r="AV417" s="121" t="n">
        <v>105.98</v>
      </c>
      <c r="AW417" s="121" t="n">
        <v>81.89</v>
      </c>
      <c r="AX417" s="121" t="n">
        <v>660.55</v>
      </c>
      <c r="AY417" s="121" t="n">
        <v>60.37</v>
      </c>
      <c r="AZ417" s="121" t="n">
        <v>-7.02</v>
      </c>
      <c r="BA417" s="121" t="n">
        <v>-5.85</v>
      </c>
      <c r="BB417" s="108" t="inlineStr">
        <is>
          <t>HSTECH (Hang Seng TECH ETF)</t>
        </is>
      </c>
      <c r="BC417" s="121" t="n">
        <v>439.16</v>
      </c>
      <c r="BD417" s="109" t="n">
        <v>46297</v>
      </c>
      <c r="BE417" s="110" t="n">
        <v>343.7</v>
      </c>
      <c r="BF417" s="113" t="n">
        <v>-2110.3</v>
      </c>
      <c r="BG417" s="108" t="inlineStr">
        <is>
          <t>N</t>
        </is>
      </c>
      <c r="BH417" s="108" t="inlineStr">
        <is>
          <t>n/m</t>
        </is>
      </c>
      <c r="BI417" s="122" t="n"/>
      <c r="BJ417" s="122" t="n"/>
      <c r="BK417" s="123" t="n">
        <v>131.1</v>
      </c>
      <c r="BL417" s="124">
        <f>IF('BBG Verify'!S417="","not filed; run on terminal",'BBG Verify'!S417)</f>
        <v/>
      </c>
      <c r="BM417" s="125" t="inlineStr">
        <is>
          <t>N</t>
        </is>
      </c>
      <c r="BN417" s="126">
        <f>IF('BBG Verify'!K417="","not filed; run on terminal",'BBG Verify'!K417)</f>
        <v/>
      </c>
      <c r="BO417" s="108" t="inlineStr">
        <is>
          <t>N/A</t>
        </is>
      </c>
      <c r="BP417" s="108" t="inlineStr">
        <is>
          <t>N/A</t>
        </is>
      </c>
      <c r="BQ417" s="108" t="inlineStr">
        <is>
          <t>N/A</t>
        </is>
      </c>
      <c r="BR417" s="108" t="inlineStr">
        <is>
          <t>N/A</t>
        </is>
      </c>
      <c r="BS417" s="108" t="inlineStr">
        <is>
          <t>N/A</t>
        </is>
      </c>
      <c r="BT417" s="108" t="inlineStr">
        <is>
          <t>N/A</t>
        </is>
      </c>
      <c r="BU417" s="125" t="inlineStr">
        <is>
          <t>CICC</t>
        </is>
      </c>
      <c r="BV417" s="108" t="inlineStr">
        <is>
          <t>China International Capital Corporation Hong Kong Securities Limited</t>
        </is>
      </c>
      <c r="BW417" s="108" t="inlineStr">
        <is>
          <t>Huatai Financial Holdings (Hong Kong) Limited; BOCOM International Securities Limited; Guotai Junan Securities (Hong Kong) Limited; China Merchants Securities (HK) Co., Limited; Futu Securities International (Hong Kong) Limited; Tiger Brokers (HK) Global Limited; SPDB International Capital Limited; Zheshang International Financial Holdings Co., Limited; Riche Bright Securities Limited; UOB Kay Hian (Hong Kong) Limited</t>
        </is>
      </c>
      <c r="BX417" s="108" t="inlineStr">
        <is>
          <t>BOCOM International Securities Limited; China International Capital Corporation Hong Kong Securities Limited; CMB International Capital Limited; China Merchants Securities (HK) Company Limited; Futu Securities International (Hong Kong) Limited; Guotai Junan Securities (Hong Kong) Limited; Huatai Financial Holdings (Hong Kong) Limited; Riche Bright Securities Limited; SPDB International Capital Limited; Tiger Brokers (HK) Global Limited; UOB Kay Hian (Hong Kong) Limited; Zheshang International Financial Holdings Co., Limited</t>
        </is>
      </c>
      <c r="BY417" s="127">
        <f>HYPERLINK("https://www1.hkexnews.hk/listedco/listconews/sehk/2025/1230/2025123000017.pdf","prospectus")</f>
        <v/>
      </c>
      <c r="BZ417" s="127">
        <f>HYPERLINK("https://www1.hkexnews.hk/listedco/listconews/sehk/2026/0107/2026010701798.pdf","allotment")</f>
        <v/>
      </c>
      <c r="CA417" s="127">
        <f>HYPERLINK("https://www1.hkexnews.hk/listedco/listconews/sehk/2026/0204/2026020402110.pdf","stabilisation")</f>
        <v/>
      </c>
      <c r="CB417" s="128" t="n"/>
      <c r="CC417" s="108" t="inlineStr">
        <is>
          <t>P/E: loss-making at IPO, use P/S; range low: maximum offer price only, no floor published</t>
        </is>
      </c>
    </row>
    <row r="418" ht="22" customHeight="1">
      <c r="A418" s="107" t="inlineStr">
        <is>
          <t>9903</t>
        </is>
      </c>
      <c r="B418" s="108" t="inlineStr">
        <is>
          <t>ILUVATAR COREX</t>
        </is>
      </c>
      <c r="C418" s="108" t="inlineStr">
        <is>
          <t>天數智芯</t>
        </is>
      </c>
      <c r="D418" s="108" t="inlineStr">
        <is>
          <t>Tech/AI</t>
        </is>
      </c>
      <c r="E418" s="108" t="inlineStr">
        <is>
          <t>Compute / AI semiconductors</t>
        </is>
      </c>
      <c r="F418" s="108" t="inlineStr">
        <is>
          <t>Semiconductors &amp; Semiconductor Equipment</t>
        </is>
      </c>
      <c r="G418" s="108" t="inlineStr">
        <is>
          <t>Standard</t>
        </is>
      </c>
      <c r="H418" s="109" t="n">
        <v>46030</v>
      </c>
      <c r="I418" s="110" t="n">
        <v>3677.4</v>
      </c>
      <c r="J418" s="108" t="inlineStr">
        <is>
          <t>gross (stated)</t>
        </is>
      </c>
      <c r="K418" s="129" t="n"/>
      <c r="L418" s="111" t="n">
        <v>144.6</v>
      </c>
      <c r="M418" s="111" t="n">
        <v>144.6</v>
      </c>
      <c r="N418" s="108" t="inlineStr">
        <is>
          <t>Y</t>
        </is>
      </c>
      <c r="O418" s="112" t="n">
        <v>100</v>
      </c>
      <c r="P418" s="118" t="n"/>
      <c r="Q418" s="113" t="n">
        <v>36774.3</v>
      </c>
      <c r="R418" s="108" t="inlineStr">
        <is>
          <t>derived:price x shares upon listing</t>
        </is>
      </c>
      <c r="S418" s="114" t="n">
        <v>414.24</v>
      </c>
      <c r="T418" s="115" t="n">
        <v>10.68</v>
      </c>
      <c r="U418" s="116" t="n">
        <v>43.02</v>
      </c>
      <c r="V418" s="117" t="n">
        <v>121</v>
      </c>
      <c r="W418" s="118" t="n"/>
      <c r="X418" s="108" t="inlineStr">
        <is>
          <t>NA</t>
        </is>
      </c>
      <c r="Y418" s="113" t="n">
        <v>2095.38</v>
      </c>
      <c r="Z418" s="113" t="n">
        <v>14491040</v>
      </c>
      <c r="AA418" s="112" t="n">
        <v>5.7</v>
      </c>
      <c r="AB418" s="108" t="inlineStr">
        <is>
          <t>ZTE (H.K.) LIMITED; XN Mountain International Limited; Wind Sabre Fund SPC acting on behalf and for the account of Wind Sabre Opportunities Fund SP; UBS Asset Management (Singapore) Ltd; Teamsun Technology (HK) Limited; Qin Wan Investment Limited; OCM Limited; Ocean Fine Industrial Limited; Huatai Capital Investment Limited (in connection with OTC swaps for Jiujiu Hengxin (Xiamen) Private Fund Management Co., Ltd.); Fourth Paradigm International Limited; Engine International Technology Co., Limited; Duckling Fund, L.P; DeepRoot Alpha Ltd; China Universal Asset Management (Hong Kong) Company Limited; China Orient International Asset Management Limited — China Orient Enhanced Income Fund; China Orient International Asset Management Limited — China Orient Multi-Strategy Master Fund; China Asset Management (Hong Kong) Limited; CFIG Holdings Limited; Alphahill Capital Limited</t>
        </is>
      </c>
      <c r="AC418" s="108" t="inlineStr">
        <is>
          <t>zte;xn;wind;ubs;teamsun;qin-wan;ocm;ocean;huatai;fourth;engine;duckling;deeproot;universal;orient;china-asset;cfig;alphahill</t>
        </is>
      </c>
      <c r="AD418" s="118" t="n"/>
      <c r="AE418" s="119" t="n"/>
      <c r="AF418" s="119" t="n"/>
      <c r="AG418" s="119" t="n"/>
      <c r="AH418" s="119" t="n"/>
      <c r="AI418" s="120" t="n">
        <v>36.93</v>
      </c>
      <c r="AJ418" s="121" t="n">
        <v>8.44</v>
      </c>
      <c r="AK418" s="121" t="n">
        <v>-1.24</v>
      </c>
      <c r="AL418" s="121" t="n">
        <v>31.54</v>
      </c>
      <c r="AM418" s="121" t="n">
        <v>-17.56</v>
      </c>
      <c r="AN418" s="122" t="n"/>
      <c r="AO418" s="112" t="n">
        <v>22.66</v>
      </c>
      <c r="AP418" s="121" t="n">
        <v>21.72</v>
      </c>
      <c r="AQ418" s="121" t="n">
        <v>14.25</v>
      </c>
      <c r="AR418" s="121" t="n">
        <v>156.57</v>
      </c>
      <c r="AS418" s="121" t="n">
        <v>12.25</v>
      </c>
      <c r="AT418" s="121" t="n">
        <v>5.36</v>
      </c>
      <c r="AU418" s="121" t="n">
        <v>136.6</v>
      </c>
      <c r="AV418" s="121" t="n">
        <v>20.3</v>
      </c>
      <c r="AW418" s="121" t="n">
        <v>21.27</v>
      </c>
      <c r="AX418" s="121" t="n">
        <v>170.99</v>
      </c>
      <c r="AY418" s="121" t="n">
        <v>11.21</v>
      </c>
      <c r="AZ418" s="121" t="n">
        <v>-7.02</v>
      </c>
      <c r="BA418" s="121" t="n">
        <v>-5.85</v>
      </c>
      <c r="BB418" s="108" t="inlineStr">
        <is>
          <t>HSTECH (Hang Seng TECH ETF)</t>
        </is>
      </c>
      <c r="BC418" s="121" t="n">
        <v>105.39</v>
      </c>
      <c r="BD418" s="109" t="n">
        <v>46297</v>
      </c>
      <c r="BE418" s="110" t="n">
        <v>593.5</v>
      </c>
      <c r="BF418" s="113" t="n">
        <v>-1104</v>
      </c>
      <c r="BG418" s="108" t="inlineStr">
        <is>
          <t>N</t>
        </is>
      </c>
      <c r="BH418" s="108" t="inlineStr">
        <is>
          <t>n/m</t>
        </is>
      </c>
      <c r="BI418" s="122" t="n"/>
      <c r="BJ418" s="122" t="n"/>
      <c r="BK418" s="123" t="n">
        <v>62</v>
      </c>
      <c r="BL418" s="124">
        <f>IF('BBG Verify'!S418="","not filed; run on terminal",'BBG Verify'!S418)</f>
        <v/>
      </c>
      <c r="BM418" s="125" t="inlineStr">
        <is>
          <t>N</t>
        </is>
      </c>
      <c r="BN418" s="126">
        <f>IF('BBG Verify'!K418="","not filed; run on terminal",'BBG Verify'!K418)</f>
        <v/>
      </c>
      <c r="BO418" s="108" t="inlineStr">
        <is>
          <t>N/A</t>
        </is>
      </c>
      <c r="BP418" s="108" t="inlineStr">
        <is>
          <t>N/A</t>
        </is>
      </c>
      <c r="BQ418" s="108" t="inlineStr">
        <is>
          <t>N/A</t>
        </is>
      </c>
      <c r="BR418" s="108" t="inlineStr">
        <is>
          <t>N/A</t>
        </is>
      </c>
      <c r="BS418" s="108" t="inlineStr">
        <is>
          <t>N/A</t>
        </is>
      </c>
      <c r="BT418" s="108" t="inlineStr">
        <is>
          <t>N/A</t>
        </is>
      </c>
      <c r="BU418" s="125" t="inlineStr">
        <is>
          <t>Huatai Financial Holdings (Hong Kong) Limited</t>
        </is>
      </c>
      <c r="BV418" s="108" t="inlineStr">
        <is>
          <t>Huatai Financial Holdings (Hong Kong) Limited</t>
        </is>
      </c>
      <c r="BW418" s="108" t="inlineStr">
        <is>
          <t>Huatai Financial Holdings (Hong Kong) Limited; CMB International Capital Limited; Zhongtai International Securities Limited; Guosen Securities (HK) Brokerage Company, Limited; Bowlea Securities Limited; Carnegie Hill Capital Partners Limited; Star River Securities Limited</t>
        </is>
      </c>
      <c r="BX418" s="108" t="inlineStr">
        <is>
          <t>Bowlea Securities Limited; Carnegie Hill Capital Partners Limited; CMB International Capital Limited; Guosen Securities (HK) Brokerage Company, Limited; Huatai Financial Holdings (Hong Kong) Limited; Star River Securities Limited; Zhongtai International Securities Limited</t>
        </is>
      </c>
      <c r="BY418" s="127">
        <f>HYPERLINK("https://www1.hkexnews.hk/listedco/listconews/sehk/2025/1230/2025123000019.pdf","prospectus")</f>
        <v/>
      </c>
      <c r="BZ418" s="127">
        <f>HYPERLINK("https://www1.hkexnews.hk/listedco/listconews/sehk/2026/0107/2026010701802.pdf","allotment")</f>
        <v/>
      </c>
      <c r="CA418" s="119" t="n"/>
      <c r="CB418" s="128" t="n"/>
      <c r="CC418" s="108" t="inlineStr">
        <is>
          <t>P/E: loss-making at IPO, use P/S; greenshoe: no over-allotment option; range low: maximum offer price only, no floor published; A/H: no A-share listing; nearest A proxy Cambricon Technologies (688256.SS); greenshoe size: no over-allotment option; stabilising manager: no over-allotment option, so none appointed; allocation: allocation table not in this notice's format (older prose announcement); day-1 tape: volume on file; the retail multiple needs the final public split, which this notice does not state</t>
        </is>
      </c>
    </row>
    <row r="419" ht="22" customHeight="1">
      <c r="A419" s="107" t="inlineStr">
        <is>
          <t>2675</t>
        </is>
      </c>
      <c r="B419" s="108" t="inlineStr">
        <is>
          <t>EDGE MEDICAL-B</t>
        </is>
      </c>
      <c r="C419" s="108" t="inlineStr">
        <is>
          <t>精鋒醫療－Ｂ</t>
        </is>
      </c>
      <c r="D419" s="108" t="inlineStr">
        <is>
          <t>Healthcare</t>
        </is>
      </c>
      <c r="E419" s="108" t="inlineStr">
        <is>
          <t>Medical devices</t>
        </is>
      </c>
      <c r="F419" s="108" t="inlineStr">
        <is>
          <t>Biotechnology - Medical Devices</t>
        </is>
      </c>
      <c r="G419" s="108" t="inlineStr">
        <is>
          <t>18A</t>
        </is>
      </c>
      <c r="H419" s="109" t="n">
        <v>46030</v>
      </c>
      <c r="I419" s="110" t="n">
        <v>1198.7</v>
      </c>
      <c r="J419" s="108" t="inlineStr">
        <is>
          <t>gross (stated)</t>
        </is>
      </c>
      <c r="K419" s="129" t="n"/>
      <c r="L419" s="111" t="n">
        <v>43.24</v>
      </c>
      <c r="M419" s="111" t="n">
        <v>43.24</v>
      </c>
      <c r="N419" s="108" t="inlineStr">
        <is>
          <t>Y</t>
        </is>
      </c>
      <c r="O419" s="112" t="n">
        <v>100</v>
      </c>
      <c r="P419" s="118" t="n"/>
      <c r="Q419" s="113" t="n">
        <v>16765.1</v>
      </c>
      <c r="R419" s="108" t="inlineStr">
        <is>
          <t>derived:price x shares upon listing</t>
        </is>
      </c>
      <c r="S419" s="114" t="n">
        <v>1091.94</v>
      </c>
      <c r="T419" s="115" t="n">
        <v>25.18</v>
      </c>
      <c r="U419" s="116" t="n">
        <v>48.68</v>
      </c>
      <c r="V419" s="117" t="n">
        <v>175</v>
      </c>
      <c r="W419" s="112" t="n">
        <v>10</v>
      </c>
      <c r="X419" s="108" t="inlineStr">
        <is>
          <t>NO</t>
        </is>
      </c>
      <c r="Y419" s="113" t="n">
        <v>615.17</v>
      </c>
      <c r="Z419" s="113" t="n">
        <v>14227033</v>
      </c>
      <c r="AA419" s="112" t="n">
        <v>3.67</v>
      </c>
      <c r="AB419" s="108" t="inlineStr">
        <is>
          <t>Abu Dhabi Investment Authority; UBS Asset Management (Singapore) Ltd; OrbiMed Genesis Master Fund, L.P; Huang River Investment Limited; LYFE Capital Fund IV (Dragon), L.P; Poly Platinum Enterprises Limited; Close associate of an existing shareholder Mega Prime Development Limited; Close associate of an existing shareholder China Asset Management (Hong Kong) Limited; China Alpha Fund Management (HK) Limited; Tekful Limited; Integrated Core Strategies (Asia) Pte. Ltd; Sage Partners Master Fund; Close associate of an existing shareholder Panjing Harbourview Investment Fund; Infini Global Master Fund</t>
        </is>
      </c>
      <c r="AC419" s="108" t="inlineStr">
        <is>
          <t>abu;ubs;orbimed;huang-river;lyfe;poly;close;alpha;tekful;integrated;sage;infini</t>
        </is>
      </c>
      <c r="AD419" s="112" t="n">
        <v>15</v>
      </c>
      <c r="AE419" s="108" t="inlineStr">
        <is>
          <t>full</t>
        </is>
      </c>
      <c r="AF419" s="119" t="n"/>
      <c r="AG419" s="108" t="inlineStr">
        <is>
          <t>Morgan Stanley Asia Limited</t>
        </is>
      </c>
      <c r="AH419" s="108" t="inlineStr">
        <is>
          <t>Morgan Stanley</t>
        </is>
      </c>
      <c r="AI419" s="120" t="n">
        <v>39.11</v>
      </c>
      <c r="AJ419" s="121" t="n">
        <v>30.9</v>
      </c>
      <c r="AK419" s="121" t="n">
        <v>-0.73</v>
      </c>
      <c r="AL419" s="121" t="n">
        <v>36.45</v>
      </c>
      <c r="AM419" s="121" t="n">
        <v>-4.07</v>
      </c>
      <c r="AN419" s="123" t="n">
        <v>4.57</v>
      </c>
      <c r="AO419" s="112" t="n">
        <v>20.34</v>
      </c>
      <c r="AP419" s="121" t="n">
        <v>55.53</v>
      </c>
      <c r="AQ419" s="121" t="n">
        <v>37.72</v>
      </c>
      <c r="AR419" s="121" t="n">
        <v>24.88</v>
      </c>
      <c r="AS419" s="121" t="n">
        <v>18.82</v>
      </c>
      <c r="AT419" s="121" t="n">
        <v>5.21</v>
      </c>
      <c r="AU419" s="121" t="n">
        <v>-4.6</v>
      </c>
      <c r="AV419" s="121" t="n">
        <v>54.65</v>
      </c>
      <c r="AW419" s="121" t="n">
        <v>44.87</v>
      </c>
      <c r="AX419" s="121" t="n">
        <v>14.69</v>
      </c>
      <c r="AY419" s="121" t="n">
        <v>11.68</v>
      </c>
      <c r="AZ419" s="121" t="n">
        <v>-7.15</v>
      </c>
      <c r="BA419" s="121" t="n">
        <v>-6.47</v>
      </c>
      <c r="BB419" s="108" t="inlineStr">
        <is>
          <t>China Biotech ETF (HS biotech proxy)</t>
        </is>
      </c>
      <c r="BC419" s="121" t="n">
        <v>-20.31</v>
      </c>
      <c r="BD419" s="109" t="n">
        <v>46297</v>
      </c>
      <c r="BE419" s="110" t="n">
        <v>33.3</v>
      </c>
      <c r="BF419" s="113" t="n">
        <v>-145.8</v>
      </c>
      <c r="BG419" s="108" t="inlineStr">
        <is>
          <t>N</t>
        </is>
      </c>
      <c r="BH419" s="108" t="inlineStr">
        <is>
          <t>n/m</t>
        </is>
      </c>
      <c r="BI419" s="122" t="n"/>
      <c r="BJ419" s="122" t="n"/>
      <c r="BK419" s="123" t="n">
        <v>503.5</v>
      </c>
      <c r="BL419" s="124">
        <f>IF('BBG Verify'!S419="","not filed; run on terminal",'BBG Verify'!S419)</f>
        <v/>
      </c>
      <c r="BM419" s="125" t="inlineStr">
        <is>
          <t>N</t>
        </is>
      </c>
      <c r="BN419" s="126">
        <f>IF('BBG Verify'!K419="","not filed; run on terminal",'BBG Verify'!K419)</f>
        <v/>
      </c>
      <c r="BO419" s="108" t="inlineStr">
        <is>
          <t>N/A</t>
        </is>
      </c>
      <c r="BP419" s="108" t="inlineStr">
        <is>
          <t>N/A</t>
        </is>
      </c>
      <c r="BQ419" s="108" t="inlineStr">
        <is>
          <t>N/A</t>
        </is>
      </c>
      <c r="BR419" s="108" t="inlineStr">
        <is>
          <t>N/A</t>
        </is>
      </c>
      <c r="BS419" s="108" t="inlineStr">
        <is>
          <t>N/A</t>
        </is>
      </c>
      <c r="BT419" s="108" t="inlineStr">
        <is>
          <t>N/A</t>
        </is>
      </c>
      <c r="BU419" s="125" t="inlineStr">
        <is>
          <t>Morgan Stanley Asia Limited; GF Capital (Hong Kong) Limited</t>
        </is>
      </c>
      <c r="BV419" s="108" t="inlineStr">
        <is>
          <t>Morgan Stanley Asia Limited; GF Capital (Hong Kong) Limited</t>
        </is>
      </c>
      <c r="BW419" s="108" t="inlineStr">
        <is>
          <t>Morgan Stanley Asia Limited; GF Securities (Hong Kong) Brokerage Limited; CLSA Limited</t>
        </is>
      </c>
      <c r="BX419" s="108" t="inlineStr">
        <is>
          <t>China International Capital Corporation Hong Kong Securities Limited; CLSA Limited; CMBC Securities Company Limited; GF Securities (Hong Kong) Brokerage Limited; Morgan Stanley Asia Limited</t>
        </is>
      </c>
      <c r="BY419" s="127">
        <f>HYPERLINK("https://www1.hkexnews.hk/listedco/listconews/sehk/2025/1230/2025123000029.pdf","prospectus")</f>
        <v/>
      </c>
      <c r="BZ419" s="127">
        <f>HYPERLINK("https://www1.hkexnews.hk/listedco/listconews/sehk/2026/0107/2026010701900.pdf","allotment")</f>
        <v/>
      </c>
      <c r="CA419" s="127">
        <f>HYPERLINK("https://www1.hkexnews.hk/listedco/listconews/sehk/2026/0204/2026020402144.pdf","stabilisation")</f>
        <v/>
      </c>
      <c r="CB419" s="128" t="n"/>
      <c r="CC419" s="108" t="inlineStr">
        <is>
          <t>P/E: loss-making at IPO, use P/S; greenshoe: outcome published; expiry date not in the notice; range low: maximum offer price only, no floor published; P/S: 504x on HK$33.3m revenue, effectively pre-revenue; not comparable</t>
        </is>
      </c>
    </row>
    <row r="420" ht="22" customHeight="1">
      <c r="A420" s="107" t="inlineStr">
        <is>
          <t>0100</t>
        </is>
      </c>
      <c r="B420" s="108" t="inlineStr">
        <is>
          <t>MINIMAX-WP</t>
        </is>
      </c>
      <c r="C420" s="108" t="inlineStr">
        <is>
          <t>MINIMAX-W</t>
        </is>
      </c>
      <c r="D420" s="108" t="inlineStr">
        <is>
          <t>Tech/AI</t>
        </is>
      </c>
      <c r="E420" s="108" t="inlineStr">
        <is>
          <t>LLM / foundation model</t>
        </is>
      </c>
      <c r="F420" s="108" t="inlineStr">
        <is>
          <t>Next-generation information technology</t>
        </is>
      </c>
      <c r="G420" s="108" t="inlineStr">
        <is>
          <t>WVR + 18C</t>
        </is>
      </c>
      <c r="H420" s="109" t="n">
        <v>46031</v>
      </c>
      <c r="I420" s="110" t="n">
        <v>4817.6</v>
      </c>
      <c r="J420" s="108" t="inlineStr">
        <is>
          <t>gross (stated)</t>
        </is>
      </c>
      <c r="K420" s="111" t="n">
        <v>151</v>
      </c>
      <c r="L420" s="111" t="n">
        <v>165</v>
      </c>
      <c r="M420" s="111" t="n">
        <v>165</v>
      </c>
      <c r="N420" s="108" t="inlineStr">
        <is>
          <t>Y</t>
        </is>
      </c>
      <c r="O420" s="112" t="n">
        <v>100</v>
      </c>
      <c r="P420" s="112" t="n">
        <v>100</v>
      </c>
      <c r="Q420" s="113" t="n">
        <v>51251.1</v>
      </c>
      <c r="R420" s="108" t="inlineStr">
        <is>
          <t>derived:deal size / offer % of enlarged capital</t>
        </is>
      </c>
      <c r="S420" s="114" t="n">
        <v>1837.17</v>
      </c>
      <c r="T420" s="115" t="n">
        <v>36.76</v>
      </c>
      <c r="U420" s="116" t="n">
        <v>56.53</v>
      </c>
      <c r="V420" s="117" t="n">
        <v>376</v>
      </c>
      <c r="W420" s="112" t="n">
        <v>17.39</v>
      </c>
      <c r="X420" s="108" t="inlineStr">
        <is>
          <t>YES</t>
        </is>
      </c>
      <c r="Y420" s="113" t="n">
        <v>2094.21</v>
      </c>
      <c r="Z420" s="113" t="n">
        <v>12692197</v>
      </c>
      <c r="AA420" s="112" t="n">
        <v>4.09</v>
      </c>
      <c r="AB420" s="108" t="inlineStr">
        <is>
          <t>Abu Dhabi Investment Authority; Alisoft China Holding Limited; Aspex Master Fund; Abstract Enigma Limited; China Universal Asset Management (Hong Kong) Company Limited; Eastspring Investments (Singapore) Limited; E Fund Management Co., Ltd; IDG Breyer Capital Fund L.P; Janchor Partners Pan-Asian Master Fund and Janchor Partners Opportunities Master Fund III; Martis Fund, L.P; Mirae Asset Securities Co., Ltd; MPC VII Pte. Ltd; Perseverance Asset Management International (Singapore) Pte. Ltd. (Perseverance; Taikang Life Insurance Co., Ltd</t>
        </is>
      </c>
      <c r="AC420" s="108" t="inlineStr">
        <is>
          <t>abu;alisoft;aspex;abstract;universal;eastspring;fund-management;idg;janchor;martis;mirae;mpc;perseverance;taikang</t>
        </is>
      </c>
      <c r="AD420" s="112" t="n">
        <v>15</v>
      </c>
      <c r="AE420" s="108" t="inlineStr">
        <is>
          <t>full</t>
        </is>
      </c>
      <c r="AF420" s="108" t="inlineStr">
        <is>
          <t>2026-02-05</t>
        </is>
      </c>
      <c r="AG420" s="108" t="inlineStr">
        <is>
          <t>China International Capital Corporation Hong Kong Securities Limited</t>
        </is>
      </c>
      <c r="AH420" s="108" t="inlineStr">
        <is>
          <t>China International</t>
        </is>
      </c>
      <c r="AI420" s="120" t="n">
        <v>24.61</v>
      </c>
      <c r="AJ420" s="121" t="n">
        <v>109.09</v>
      </c>
      <c r="AK420" s="121" t="n">
        <v>0.18</v>
      </c>
      <c r="AL420" s="121" t="n">
        <v>42.67</v>
      </c>
      <c r="AM420" s="121" t="n">
        <v>46.55</v>
      </c>
      <c r="AN420" s="123" t="n">
        <v>3.14</v>
      </c>
      <c r="AO420" s="112" t="n">
        <v>55.99</v>
      </c>
      <c r="AP420" s="121" t="n">
        <v>165.45</v>
      </c>
      <c r="AQ420" s="121" t="n">
        <v>212.12</v>
      </c>
      <c r="AR420" s="121" t="n">
        <v>445.76</v>
      </c>
      <c r="AS420" s="121" t="n">
        <v>26.95</v>
      </c>
      <c r="AT420" s="121" t="n">
        <v>49.28</v>
      </c>
      <c r="AU420" s="121" t="n">
        <v>161.02</v>
      </c>
      <c r="AV420" s="121" t="n">
        <v>162.84</v>
      </c>
      <c r="AW420" s="121" t="n">
        <v>216.71</v>
      </c>
      <c r="AX420" s="121" t="n">
        <v>455.86</v>
      </c>
      <c r="AY420" s="121" t="n">
        <v>54.04</v>
      </c>
      <c r="AZ420" s="121" t="n">
        <v>-4.59</v>
      </c>
      <c r="BA420" s="121" t="n">
        <v>-4.76</v>
      </c>
      <c r="BB420" s="108" t="inlineStr">
        <is>
          <t>HSTECH (Hang Seng TECH ETF)</t>
        </is>
      </c>
      <c r="BC420" s="121" t="n">
        <v>47.15</v>
      </c>
      <c r="BD420" s="109" t="n">
        <v>46297</v>
      </c>
      <c r="BE420" s="110" t="n">
        <v>616.2</v>
      </c>
      <c r="BF420" s="113" t="n">
        <v>-14598.6</v>
      </c>
      <c r="BG420" s="108" t="inlineStr">
        <is>
          <t>N</t>
        </is>
      </c>
      <c r="BH420" s="108" t="inlineStr">
        <is>
          <t>n/m</t>
        </is>
      </c>
      <c r="BI420" s="122" t="n"/>
      <c r="BJ420" s="122" t="n"/>
      <c r="BK420" s="123" t="n">
        <v>83.2</v>
      </c>
      <c r="BL420" s="124">
        <f>IF('BBG Verify'!S420="","not filed; run on terminal",'BBG Verify'!S420)</f>
        <v/>
      </c>
      <c r="BM420" s="125" t="inlineStr">
        <is>
          <t>N</t>
        </is>
      </c>
      <c r="BN420" s="126">
        <f>IF('BBG Verify'!K420="","not filed; run on terminal",'BBG Verify'!K420)</f>
        <v/>
      </c>
      <c r="BO420" s="108" t="inlineStr">
        <is>
          <t>N/A</t>
        </is>
      </c>
      <c r="BP420" s="108" t="inlineStr">
        <is>
          <t>N/A</t>
        </is>
      </c>
      <c r="BQ420" s="108" t="inlineStr">
        <is>
          <t>N/A</t>
        </is>
      </c>
      <c r="BR420" s="108" t="inlineStr">
        <is>
          <t>N/A</t>
        </is>
      </c>
      <c r="BS420" s="108" t="inlineStr">
        <is>
          <t>N/A</t>
        </is>
      </c>
      <c r="BT420" s="108" t="inlineStr">
        <is>
          <t>N/A</t>
        </is>
      </c>
      <c r="BU420" s="125" t="inlineStr">
        <is>
          <t>China International Capital Corporation Hong Kong Securities Limited; UBS Securities Hong Kong Limited</t>
        </is>
      </c>
      <c r="BV420" s="108" t="inlineStr">
        <is>
          <t>China International Capital Corporation Hong Kong Securities Limited; UBS Securities Hong Kong Limited</t>
        </is>
      </c>
      <c r="BW420" s="108" t="inlineStr">
        <is>
          <t>China International Capital Corporation Hong Kong Securities Limited; UBS AG Hong Kong Branch; Goldman Sachs (Asia) L.L.C; Morgan Stanley Asia Limited; Futu Securities International (Hong Kong) Limited; Tiger Brokers (HK) Global Limited</t>
        </is>
      </c>
      <c r="BX420" s="108" t="inlineStr">
        <is>
          <t>China International Capital Corporation Hong Kong Securities Limited; Futu Securities International (Hong Kong) Limited; Goldman Sachs (Asia) L.L.C.; Morgan Stanley Asia Limited; Tiger Brokers (HK) Global Limited; UBS AG Hong Kong Branch</t>
        </is>
      </c>
      <c r="BY420" s="127">
        <f>HYPERLINK("https://www1.hkexnews.hk/listedco/listconews/sehk/2025/1231/2025123100025.pdf","prospectus")</f>
        <v/>
      </c>
      <c r="BZ420" s="127">
        <f>HYPERLINK("https://www1.hkexnews.hk/listedco/listconews/sehk/2026/0108/2026010801342.pdf","allotment")</f>
        <v/>
      </c>
      <c r="CA420" s="127">
        <f>HYPERLINK("https://www1.hkexnews.hk/listedco/listconews/sehk/2026/0205/2026020502043.pdf","stabilisation")</f>
        <v/>
      </c>
      <c r="CB420" s="128" t="n"/>
      <c r="CC420" s="108" t="inlineStr">
        <is>
          <t>P/E: loss-making at IPO, use P/S; A/H: no A-share listing; nearest A proxy Kunlun Tech (300418.SZ)</t>
        </is>
      </c>
    </row>
    <row r="421" ht="22" customHeight="1">
      <c r="A421" s="107" t="inlineStr">
        <is>
          <t>6938</t>
        </is>
      </c>
      <c r="B421" s="108" t="inlineStr">
        <is>
          <t>RIBOLIFE-B</t>
        </is>
      </c>
      <c r="C421" s="108" t="inlineStr">
        <is>
          <t>瑞博生物－Ｂ</t>
        </is>
      </c>
      <c r="D421" s="108" t="inlineStr">
        <is>
          <t>Healthcare</t>
        </is>
      </c>
      <c r="E421" s="108" t="inlineStr">
        <is>
          <t>Biotech pre-revenue (18A)</t>
        </is>
      </c>
      <c r="F421" s="108" t="inlineStr">
        <is>
          <t>Biotechnology - Pharmaceuticals</t>
        </is>
      </c>
      <c r="G421" s="108" t="inlineStr">
        <is>
          <t>18A</t>
        </is>
      </c>
      <c r="H421" s="109" t="n">
        <v>46031</v>
      </c>
      <c r="I421" s="110" t="n">
        <v>1832.45</v>
      </c>
      <c r="J421" s="108" t="inlineStr">
        <is>
          <t>gross (stated)</t>
        </is>
      </c>
      <c r="K421" s="129" t="n"/>
      <c r="L421" s="111" t="n">
        <v>57.97</v>
      </c>
      <c r="M421" s="111" t="n">
        <v>57.97</v>
      </c>
      <c r="N421" s="108" t="inlineStr">
        <is>
          <t>Y</t>
        </is>
      </c>
      <c r="O421" s="112" t="n">
        <v>100</v>
      </c>
      <c r="P421" s="118" t="n"/>
      <c r="Q421" s="113" t="n">
        <v>9373.200000000001</v>
      </c>
      <c r="R421" s="108" t="inlineStr">
        <is>
          <t>prospectus:stated market capitalisation</t>
        </is>
      </c>
      <c r="S421" s="114" t="n">
        <v>101.06</v>
      </c>
      <c r="T421" s="115" t="n">
        <v>16.7</v>
      </c>
      <c r="U421" s="116" t="n">
        <v>42.5</v>
      </c>
      <c r="V421" s="117" t="n">
        <v>177</v>
      </c>
      <c r="W421" s="112" t="n">
        <v>8.699999999999999</v>
      </c>
      <c r="X421" s="108" t="inlineStr">
        <is>
          <t>NA</t>
        </is>
      </c>
      <c r="Y421" s="113" t="n">
        <v>1053.66</v>
      </c>
      <c r="Z421" s="113" t="n">
        <v>18175980</v>
      </c>
      <c r="AA421" s="112" t="n">
        <v>11.24</v>
      </c>
      <c r="AB421" s="108" t="inlineStr">
        <is>
          <t>Arc Avenue Asset Management Pte. Ltd; Bright Stone Holdings Limited; China Asset Management Co., Ltd; Da Cheng International Asset Management Company Limited; Dacheng Fund Management Company Limited; Erik Selin Fastigheter Aktiebolag; Himension Fund; IvyRock Asset Management (HK) Limited; Mingxin Growth Ventures LS2 Limited; Springs Capital (Hong Kong) Limited; Taikang Life Insurance Co., Ltd; LP. ), Tenbagger Capital (Shanghai, Ziran), LP. ) and Huatai Capital Investment Limited</t>
        </is>
      </c>
      <c r="AC421" s="108" t="inlineStr">
        <is>
          <t>arc;bright;china-asset;da;dacheng;erik;himension;ivyrock;mingxin;springs;taikang;tenbagger</t>
        </is>
      </c>
      <c r="AD421" s="112" t="n">
        <v>15</v>
      </c>
      <c r="AE421" s="108" t="inlineStr">
        <is>
          <t>full</t>
        </is>
      </c>
      <c r="AF421" s="108" t="inlineStr">
        <is>
          <t>2026-02-05</t>
        </is>
      </c>
      <c r="AG421" s="108" t="inlineStr">
        <is>
          <t>China International Capital Corporation Hong Kong Securities Limited</t>
        </is>
      </c>
      <c r="AH421" s="108" t="inlineStr">
        <is>
          <t>China International</t>
        </is>
      </c>
      <c r="AI421" s="120" t="n">
        <v>29.03</v>
      </c>
      <c r="AJ421" s="121" t="n">
        <v>41.62</v>
      </c>
      <c r="AK421" s="121" t="n">
        <v>1.39</v>
      </c>
      <c r="AL421" s="121" t="n">
        <v>29.38</v>
      </c>
      <c r="AM421" s="121" t="n">
        <v>9.460000000000001</v>
      </c>
      <c r="AN421" s="123" t="n">
        <v>5.15</v>
      </c>
      <c r="AO421" s="112" t="n">
        <v>28.13</v>
      </c>
      <c r="AP421" s="121" t="n">
        <v>30.76</v>
      </c>
      <c r="AQ421" s="121" t="n">
        <v>18.25</v>
      </c>
      <c r="AR421" s="121" t="n">
        <v>14.63</v>
      </c>
      <c r="AS421" s="121" t="n">
        <v>-7.67</v>
      </c>
      <c r="AT421" s="121" t="n">
        <v>-16.5</v>
      </c>
      <c r="AU421" s="121" t="n">
        <v>-19.06</v>
      </c>
      <c r="AV421" s="121" t="n">
        <v>29.59</v>
      </c>
      <c r="AW421" s="121" t="n">
        <v>23.78</v>
      </c>
      <c r="AX421" s="121" t="n">
        <v>2.94</v>
      </c>
      <c r="AY421" s="121" t="n">
        <v>-9.68</v>
      </c>
      <c r="AZ421" s="121" t="n">
        <v>-5.53</v>
      </c>
      <c r="BA421" s="121" t="n">
        <v>-6.82</v>
      </c>
      <c r="BB421" s="108" t="inlineStr">
        <is>
          <t>China Biotech ETF (HS biotech proxy)</t>
        </is>
      </c>
      <c r="BC421" s="121" t="n">
        <v>-6.33</v>
      </c>
      <c r="BD421" s="109" t="n">
        <v>46297</v>
      </c>
      <c r="BE421" s="110" t="n">
        <v>72.90000000000001</v>
      </c>
      <c r="BF421" s="113" t="n">
        <v>-155.7</v>
      </c>
      <c r="BG421" s="108" t="inlineStr">
        <is>
          <t>N</t>
        </is>
      </c>
      <c r="BH421" s="108" t="inlineStr">
        <is>
          <t>n/m</t>
        </is>
      </c>
      <c r="BI421" s="122" t="n"/>
      <c r="BJ421" s="122" t="n"/>
      <c r="BK421" s="123" t="n">
        <v>128.6</v>
      </c>
      <c r="BL421" s="124">
        <f>IF('BBG Verify'!S421="","not filed; run on terminal",'BBG Verify'!S421)</f>
        <v/>
      </c>
      <c r="BM421" s="125" t="inlineStr">
        <is>
          <t>N</t>
        </is>
      </c>
      <c r="BN421" s="126">
        <f>IF('BBG Verify'!K421="","not filed; run on terminal",'BBG Verify'!K421)</f>
        <v/>
      </c>
      <c r="BO421" s="108" t="inlineStr">
        <is>
          <t>N/A</t>
        </is>
      </c>
      <c r="BP421" s="108" t="inlineStr">
        <is>
          <t>N/A</t>
        </is>
      </c>
      <c r="BQ421" s="108" t="inlineStr">
        <is>
          <t>N/A</t>
        </is>
      </c>
      <c r="BR421" s="108" t="inlineStr">
        <is>
          <t>N/A</t>
        </is>
      </c>
      <c r="BS421" s="108" t="inlineStr">
        <is>
          <t>N/A</t>
        </is>
      </c>
      <c r="BT421" s="108" t="inlineStr">
        <is>
          <t>N/A</t>
        </is>
      </c>
      <c r="BU421" s="125" t="inlineStr">
        <is>
          <t>Citigroup Global Markets Asia Limited</t>
        </is>
      </c>
      <c r="BV421" s="108" t="inlineStr">
        <is>
          <t>China International Capital Corporation Hong Kong Securities Limited; Citigroup Global Markets Asia Limited</t>
        </is>
      </c>
      <c r="BW421" s="108" t="inlineStr">
        <is>
          <t>China International Capital Corporation Hong Kong Securities Limited; Citigroup Global Markets Asia Limited; ICBC International Securities Limited; BOCI Asia Limited; Macquarie Capital Limited; ABCI Capital Limited; SDIC Securities (Hong Kong) Limited; Citigroup Global Markets Limited; Canary Wharf London E14 5LB United Kingdom ICBC International Securities Limited; Futu Securities International (Hong Kong) Limited</t>
        </is>
      </c>
      <c r="BX421" s="108" t="inlineStr">
        <is>
          <t>ABCI Securities Company Limited; BOCI Asia Limited; Citigroup Global Markets Asia Limited; China International Capital Corporation Hong Kong Securities Limited; Futu Securities International (Hong Kong) Limited; ICBC International Securities Limited; Macquarie Capital Limited; SDIC Securities (Hong Kong) Limited</t>
        </is>
      </c>
      <c r="BY421" s="127">
        <f>HYPERLINK("https://www1.hkexnews.hk/listedco/listconews/sehk/2025/1231/2025123100037.pdf","prospectus")</f>
        <v/>
      </c>
      <c r="BZ421" s="127">
        <f>HYPERLINK("https://www1.hkexnews.hk/listedco/listconews/sehk/2026/0108/2026010801352.pdf","allotment")</f>
        <v/>
      </c>
      <c r="CA421" s="127">
        <f>HYPERLINK("https://www1.hkexnews.hk/listedco/listconews/sehk/2026/0205/2026020502414.pdf","stabilisation")</f>
        <v/>
      </c>
      <c r="CB421" s="128" t="n"/>
      <c r="CC421" s="108" t="inlineStr">
        <is>
          <t>P/E: loss-making at IPO, use P/S; range low: maximum offer price only, no floor published</t>
        </is>
      </c>
    </row>
    <row r="422" ht="22" customHeight="1">
      <c r="A422" s="107" t="inlineStr">
        <is>
          <t>3636</t>
        </is>
      </c>
      <c r="B422" s="108" t="inlineStr">
        <is>
          <t>JINXUN RESOURCE</t>
        </is>
      </c>
      <c r="C422" s="108" t="inlineStr">
        <is>
          <t>金潯資源</t>
        </is>
      </c>
      <c r="D422" s="108" t="inlineStr">
        <is>
          <t>Materials/Energy</t>
        </is>
      </c>
      <c r="E422" s="108" t="inlineStr">
        <is>
          <t>Mining / metals</t>
        </is>
      </c>
      <c r="F422" s="108" t="inlineStr">
        <is>
          <t>Diversified Metals &amp; Minerals</t>
        </is>
      </c>
      <c r="G422" s="108" t="inlineStr">
        <is>
          <t>Standard</t>
        </is>
      </c>
      <c r="H422" s="109" t="n">
        <v>46031</v>
      </c>
      <c r="I422" s="110" t="n">
        <v>1102.97</v>
      </c>
      <c r="J422" s="108" t="inlineStr">
        <is>
          <t>gross (stated)</t>
        </is>
      </c>
      <c r="K422" s="129" t="n"/>
      <c r="L422" s="111" t="n">
        <v>30</v>
      </c>
      <c r="M422" s="111" t="n">
        <v>30</v>
      </c>
      <c r="N422" s="108" t="inlineStr">
        <is>
          <t>Y</t>
        </is>
      </c>
      <c r="O422" s="112" t="n">
        <v>100</v>
      </c>
      <c r="P422" s="118" t="n"/>
      <c r="Q422" s="113" t="n">
        <v>3981.8</v>
      </c>
      <c r="R422" s="108" t="inlineStr">
        <is>
          <t>derived:deal size / offer % of enlarged capital</t>
        </is>
      </c>
      <c r="S422" s="114" t="n">
        <v>143.46</v>
      </c>
      <c r="T422" s="115" t="n">
        <v>12.78</v>
      </c>
      <c r="U422" s="116" t="n">
        <v>42.5</v>
      </c>
      <c r="V422" s="117" t="n">
        <v>96</v>
      </c>
      <c r="W422" s="112" t="n">
        <v>10</v>
      </c>
      <c r="X422" s="108" t="inlineStr">
        <is>
          <t>NO</t>
        </is>
      </c>
      <c r="Y422" s="113" t="n">
        <v>634.21</v>
      </c>
      <c r="Z422" s="113" t="n">
        <v>21140220</v>
      </c>
      <c r="AA422" s="112" t="n">
        <v>15.93</v>
      </c>
      <c r="AB422" s="108" t="inlineStr">
        <is>
          <t>Glencore International AG; Stoneylake Global Alpha Fund; China Asset Management (Hong Kong) Limited; New Asia Ferrell Asset Management Limited; Bridge Zone Group Limited; Zhengxin Group Investment Limited; Sunwoda Treasury (Hong Kong) Limited</t>
        </is>
      </c>
      <c r="AC422" s="108" t="inlineStr">
        <is>
          <t>glencore;stoneylake;china-asset;new-ferrell;bridge;zhengxin;sunwoda</t>
        </is>
      </c>
      <c r="AD422" s="112" t="n">
        <v>15</v>
      </c>
      <c r="AE422" s="108" t="inlineStr">
        <is>
          <t>full</t>
        </is>
      </c>
      <c r="AF422" s="108" t="inlineStr">
        <is>
          <t>2026-02-05</t>
        </is>
      </c>
      <c r="AG422" s="108" t="inlineStr">
        <is>
          <t>Huatai Financial Holdings</t>
        </is>
      </c>
      <c r="AH422" s="108" t="inlineStr">
        <is>
          <t>Huatai</t>
        </is>
      </c>
      <c r="AI422" s="120" t="n">
        <v>29</v>
      </c>
      <c r="AJ422" s="121" t="n">
        <v>26</v>
      </c>
      <c r="AK422" s="121" t="n">
        <v>0.39</v>
      </c>
      <c r="AL422" s="121" t="n">
        <v>26.67</v>
      </c>
      <c r="AM422" s="121" t="n">
        <v>-0.53</v>
      </c>
      <c r="AN422" s="123" t="n">
        <v>3.51</v>
      </c>
      <c r="AO422" s="112" t="n">
        <v>7.95</v>
      </c>
      <c r="AP422" s="121" t="n">
        <v>31.27</v>
      </c>
      <c r="AQ422" s="121" t="n">
        <v>25.53</v>
      </c>
      <c r="AR422" s="121" t="n">
        <v>-12.67</v>
      </c>
      <c r="AS422" s="121" t="n">
        <v>4.18</v>
      </c>
      <c r="AT422" s="121" t="n">
        <v>-0.37</v>
      </c>
      <c r="AU422" s="121" t="n">
        <v>-30.69</v>
      </c>
      <c r="AV422" s="121" t="n">
        <v>28.08</v>
      </c>
      <c r="AW422" s="121" t="n">
        <v>24.65</v>
      </c>
      <c r="AX422" s="121" t="n">
        <v>-9.619999999999999</v>
      </c>
      <c r="AY422" s="121" t="n">
        <v>-0.86</v>
      </c>
      <c r="AZ422" s="121" t="n">
        <v>0.88</v>
      </c>
      <c r="BA422" s="121" t="n">
        <v>0.49</v>
      </c>
      <c r="BB422" s="108" t="inlineStr">
        <is>
          <t>Hang Seng Commerce &amp; Industry sub-index</t>
        </is>
      </c>
      <c r="BC422" s="121" t="n">
        <v>-48.3</v>
      </c>
      <c r="BD422" s="109" t="n">
        <v>46297</v>
      </c>
      <c r="BE422" s="110" t="n">
        <v>1946.8</v>
      </c>
      <c r="BF422" s="113" t="n">
        <v>222.7</v>
      </c>
      <c r="BG422" s="108" t="inlineStr">
        <is>
          <t>Y</t>
        </is>
      </c>
      <c r="BH422" s="123" t="n">
        <v>17.9</v>
      </c>
      <c r="BI422" s="123" t="n">
        <v>11.4</v>
      </c>
      <c r="BJ422" s="123" t="n">
        <v>5</v>
      </c>
      <c r="BK422" s="123" t="n">
        <v>2</v>
      </c>
      <c r="BL422" s="124">
        <f>IF('BBG Verify'!S422="","not filed; run on terminal",'BBG Verify'!S422)</f>
        <v/>
      </c>
      <c r="BM422" s="125" t="inlineStr">
        <is>
          <t>N</t>
        </is>
      </c>
      <c r="BN422" s="126">
        <f>IF('BBG Verify'!K422="","not filed; run on terminal",'BBG Verify'!K422)</f>
        <v/>
      </c>
      <c r="BO422" s="108" t="inlineStr">
        <is>
          <t>N/A</t>
        </is>
      </c>
      <c r="BP422" s="108" t="inlineStr">
        <is>
          <t>N/A</t>
        </is>
      </c>
      <c r="BQ422" s="108" t="inlineStr">
        <is>
          <t>N/A</t>
        </is>
      </c>
      <c r="BR422" s="108" t="inlineStr">
        <is>
          <t>N/A</t>
        </is>
      </c>
      <c r="BS422" s="108" t="inlineStr">
        <is>
          <t>N/A</t>
        </is>
      </c>
      <c r="BT422" s="108" t="inlineStr">
        <is>
          <t>N/A</t>
        </is>
      </c>
      <c r="BU422" s="125" t="inlineStr">
        <is>
          <t>Huatai Financial Holdings (Hong Kong) Limited</t>
        </is>
      </c>
      <c r="BV422" s="108" t="inlineStr">
        <is>
          <t>Huatai Financial Holdings (Hong Kong) Limited</t>
        </is>
      </c>
      <c r="BW422" s="108" t="inlineStr">
        <is>
          <t>ABCI Capital Limited; ABCI Securities Company Limited</t>
        </is>
      </c>
      <c r="BX422" s="108" t="inlineStr">
        <is>
          <t>ABCI Securities Company Limited; BOCI Asia Limited; CLSA Limited; Futu Securities International (Hong Kong) Limited; Huatai Financial Holdings (Hong Kong) Limited; Tiger Brokers (HK) Global Limited; TFI Securities and Futures Limited; UOB Kay Hian (Hong Kong) Limited</t>
        </is>
      </c>
      <c r="BY422" s="127">
        <f>HYPERLINK("https://www1.hkexnews.hk/listedco/listconews/sehk/2025/1231/2025123100041.pdf","prospectus")</f>
        <v/>
      </c>
      <c r="BZ422" s="127">
        <f>HYPERLINK("https://www1.hkexnews.hk/listedco/listconews/sehk/2026/0108/2026010801368.pdf","allotment")</f>
        <v/>
      </c>
      <c r="CA422" s="127">
        <f>HYPERLINK("https://www1.hkexnews.hk/listedco/listconews/sehk/2026/0205/2026020501967.pdf","stabilisation")</f>
        <v/>
      </c>
      <c r="CB422" s="128" t="n"/>
      <c r="CC422" s="108" t="inlineStr">
        <is>
          <t>range low: maximum offer price only, no floor published</t>
        </is>
      </c>
    </row>
    <row r="423" ht="22" customHeight="1">
      <c r="A423" s="107" t="inlineStr">
        <is>
          <t>0501</t>
        </is>
      </c>
      <c r="B423" s="108" t="inlineStr">
        <is>
          <t>OMNIVISION</t>
        </is>
      </c>
      <c r="C423" s="108" t="inlineStr">
        <is>
          <t>豪威集團</t>
        </is>
      </c>
      <c r="D423" s="108" t="inlineStr">
        <is>
          <t>Tech/AI</t>
        </is>
      </c>
      <c r="E423" s="108" t="inlineStr">
        <is>
          <t>Image / display semiconductors</t>
        </is>
      </c>
      <c r="F423" s="108" t="inlineStr">
        <is>
          <t>Semiconductors &amp; Semiconductor Equipment</t>
        </is>
      </c>
      <c r="G423" s="108" t="inlineStr">
        <is>
          <t>Standard</t>
        </is>
      </c>
      <c r="H423" s="109" t="n">
        <v>46034</v>
      </c>
      <c r="I423" s="110" t="n">
        <v>4799.8</v>
      </c>
      <c r="J423" s="108" t="inlineStr">
        <is>
          <t>gross (stated)</t>
        </is>
      </c>
      <c r="K423" s="129" t="n"/>
      <c r="L423" s="111" t="n">
        <v>104.8</v>
      </c>
      <c r="M423" s="111" t="n">
        <v>104.8</v>
      </c>
      <c r="N423" s="108" t="inlineStr">
        <is>
          <t>Y</t>
        </is>
      </c>
      <c r="O423" s="112" t="n">
        <v>100</v>
      </c>
      <c r="P423" s="118" t="n"/>
      <c r="Q423" s="113" t="n">
        <v>115103.1</v>
      </c>
      <c r="R423" s="108" t="inlineStr">
        <is>
          <t>derived:deal size / offer % of enlarged capital</t>
        </is>
      </c>
      <c r="S423" s="114" t="n">
        <v>9.279999999999999</v>
      </c>
      <c r="T423" s="115" t="n">
        <v>9.73</v>
      </c>
      <c r="U423" s="116" t="n">
        <v>45.28</v>
      </c>
      <c r="V423" s="117" t="n">
        <v>127</v>
      </c>
      <c r="W423" s="118" t="n"/>
      <c r="X423" s="108" t="inlineStr">
        <is>
          <t>NA</t>
        </is>
      </c>
      <c r="Y423" s="113" t="n">
        <v>2626.45</v>
      </c>
      <c r="Z423" s="113" t="n">
        <v>25061760</v>
      </c>
      <c r="AA423" s="112" t="n">
        <v>2.28</v>
      </c>
      <c r="AB423" s="108" t="inlineStr">
        <is>
          <t>Wildlife Willow Limited; UBS Asset Management (Singapore) Ltd; Formosa Opportunity Limited; Huaqin Telecom Hong Kong Limited; SKY ROYAL TRADING LIMITED; Pudong Science and Technology (Cayman) Co., Ltd; JSC International Investment Fund SPC (acting for and on behalf of Yongxin I SP); Ghisallo Fund Master Ltd; Dajia Life Insurance Co., Ltd; PSBC Wealth Management Co., Ltd. (through GF Securities Asset Management (Guangdong) Co., Ltd as the qualified domestic institutional investor)</t>
        </is>
      </c>
      <c r="AC423" s="108" t="inlineStr">
        <is>
          <t>wildlife;ubs;formosa;huaqin;sky;pudong;jsc;ghisallo;dajia;psbc</t>
        </is>
      </c>
      <c r="AD423" s="112" t="n">
        <v>5.91</v>
      </c>
      <c r="AE423" s="108" t="inlineStr">
        <is>
          <t>partial</t>
        </is>
      </c>
      <c r="AF423" s="108" t="inlineStr">
        <is>
          <t>2026-02-06</t>
        </is>
      </c>
      <c r="AG423" s="108" t="inlineStr">
        <is>
          <t>China International Capital Corporation Hong Kong Securities Limited</t>
        </is>
      </c>
      <c r="AH423" s="108" t="inlineStr">
        <is>
          <t>China International</t>
        </is>
      </c>
      <c r="AI423" s="120" t="n">
        <v>-0.29</v>
      </c>
      <c r="AJ423" s="121" t="n">
        <v>16.22</v>
      </c>
      <c r="AK423" s="121" t="n">
        <v>3.14</v>
      </c>
      <c r="AL423" s="121" t="n">
        <v>3.05</v>
      </c>
      <c r="AM423" s="121" t="n">
        <v>12.78</v>
      </c>
      <c r="AN423" s="122" t="n"/>
      <c r="AO423" s="112" t="n">
        <v>12.78</v>
      </c>
      <c r="AP423" s="121" t="n">
        <v>11.16</v>
      </c>
      <c r="AQ423" s="121" t="n">
        <v>-0.1</v>
      </c>
      <c r="AR423" s="121" t="n">
        <v>-25.05</v>
      </c>
      <c r="AS423" s="121" t="n">
        <v>-4.35</v>
      </c>
      <c r="AT423" s="121" t="n">
        <v>-14.04</v>
      </c>
      <c r="AU423" s="121" t="n">
        <v>-35.51</v>
      </c>
      <c r="AV423" s="121" t="n">
        <v>9.99</v>
      </c>
      <c r="AW423" s="121" t="n">
        <v>4.21</v>
      </c>
      <c r="AX423" s="121" t="n">
        <v>-13.75</v>
      </c>
      <c r="AY423" s="121" t="n">
        <v>-6.81</v>
      </c>
      <c r="AZ423" s="121" t="n">
        <v>-4.31</v>
      </c>
      <c r="BA423" s="121" t="n">
        <v>-7.23</v>
      </c>
      <c r="BB423" s="108" t="inlineStr">
        <is>
          <t>HSTECH (Hang Seng TECH ETF)</t>
        </is>
      </c>
      <c r="BC423" s="121" t="n">
        <v>-33.06</v>
      </c>
      <c r="BD423" s="109" t="n">
        <v>46297</v>
      </c>
      <c r="BE423" s="110" t="n">
        <v>28277.5</v>
      </c>
      <c r="BF423" s="113" t="n">
        <v>4450</v>
      </c>
      <c r="BG423" s="108" t="inlineStr">
        <is>
          <t>Y</t>
        </is>
      </c>
      <c r="BH423" s="123" t="n">
        <v>25.9</v>
      </c>
      <c r="BI423" s="122" t="n"/>
      <c r="BJ423" s="122" t="n"/>
      <c r="BK423" s="123" t="n">
        <v>4.1</v>
      </c>
      <c r="BL423" s="124">
        <f>IF('BBG Verify'!S423="","not filed; run on terminal",'BBG Verify'!S423)</f>
        <v/>
      </c>
      <c r="BM423" s="125" t="inlineStr">
        <is>
          <t>Y</t>
        </is>
      </c>
      <c r="BN423" s="108" t="inlineStr">
        <is>
          <t>603501.SS</t>
        </is>
      </c>
      <c r="BO423" s="121" t="n">
        <v>40</v>
      </c>
      <c r="BP423" s="111" t="n">
        <v>146.7186</v>
      </c>
      <c r="BQ423" s="135" t="n">
        <v>0.3714</v>
      </c>
      <c r="BR423" s="113" t="n">
        <v>121050.4</v>
      </c>
      <c r="BS423" s="124">
        <f>IF('BBG Verify'!Q423="","run on terminal",'BBG Verify'!Q423)</f>
        <v/>
      </c>
      <c r="BT423" s="124">
        <f>IF('BBG Verify'!R423="","run on terminal",'BBG Verify'!R423)</f>
        <v/>
      </c>
      <c r="BU423" s="125" t="inlineStr">
        <is>
          <t>UBS Securities Hong Kong Limited; China International Capital Corporation Hong Kong Securities Limited; Ping An of China Capital (Hong Kong) Company Limited; GF Capital (Hong Kong) Limited</t>
        </is>
      </c>
      <c r="BV423" s="108" t="inlineStr">
        <is>
          <t>China International Capital Corporation Hong Kong Securities Limited; UBS Securities Hong Kong Limited; GF Capital (Hong Kong) Limited; Ping An of China Capital (Hong Kong) Company Limited</t>
        </is>
      </c>
      <c r="BW423" s="108" t="inlineStr">
        <is>
          <t>UBS AG Hong Kong Branch; China International Capital Corporation Hong Kong Securities Limited; Ping An Securities (Hong Kong) Company Limited; GF Securities (Hong Kong) Brokerage Limited; CLSA Limited; Haitong International Securities Company Limited</t>
        </is>
      </c>
      <c r="BX423" s="108" t="inlineStr">
        <is>
          <t>China International Capital Corporation Hong Kong Securities Limited; CLSA Limited; GF Securities (Hong Kong) Brokerage Limited; Haitong International Securities Company Limited; Ping An Securities (Hong Kong) Company Limited; TradeMaster Securities (Hong Kong) Limited; UBS AG Hong Kong Branch</t>
        </is>
      </c>
      <c r="BY423" s="127">
        <f>HYPERLINK("https://www1.hkexnews.hk/listedco/listconews/sehk/2025/1231/2025123100089.pdf","prospectus")</f>
        <v/>
      </c>
      <c r="BZ423" s="127">
        <f>HYPERLINK("https://www1.hkexnews.hk/listedco/listconews/sehk/2026/0109/2026010901581.pdf","allotment")</f>
        <v/>
      </c>
      <c r="CA423" s="127">
        <f>HYPERLINK("https://www1.hkexnews.hk/listedco/listconews/sehk/2026/0206/2026020601086.pdf","stabilisation")</f>
        <v/>
      </c>
      <c r="CB423" s="128" t="n"/>
      <c r="CC423" s="108" t="inlineStr">
        <is>
          <t>range low: maximum offer price only, no floor published; A/H: Jan 2026, US$616m offering; rose on debut; allocation: allocation table not in this notice's format (older prose announcement); day-1 tape: volume on file; the retail multiple needs the final public split, which this notice does not state</t>
        </is>
      </c>
    </row>
    <row r="424" ht="22" customHeight="1">
      <c r="A424" s="107" t="inlineStr">
        <is>
          <t>1641</t>
        </is>
      </c>
      <c r="B424" s="108" t="inlineStr">
        <is>
          <t>HX COLDCHAIN</t>
        </is>
      </c>
      <c r="C424" s="108" t="inlineStr">
        <is>
          <t>紅星冷鏈</t>
        </is>
      </c>
      <c r="D424" s="108" t="inlineStr">
        <is>
          <t>Industrials</t>
        </is>
      </c>
      <c r="E424" s="108" t="inlineStr">
        <is>
          <t>Logistics</t>
        </is>
      </c>
      <c r="F424" s="108" t="inlineStr">
        <is>
          <t>Packaged Foods</t>
        </is>
      </c>
      <c r="G424" s="108" t="inlineStr">
        <is>
          <t>Standard</t>
        </is>
      </c>
      <c r="H424" s="109" t="n">
        <v>46035</v>
      </c>
      <c r="I424" s="110" t="n">
        <v>285.2</v>
      </c>
      <c r="J424" s="108" t="inlineStr">
        <is>
          <t>gross (stated)</t>
        </is>
      </c>
      <c r="K424" s="129" t="n"/>
      <c r="L424" s="111" t="n">
        <v>12.26</v>
      </c>
      <c r="M424" s="111" t="n">
        <v>12.26</v>
      </c>
      <c r="N424" s="108" t="inlineStr">
        <is>
          <t>Y</t>
        </is>
      </c>
      <c r="O424" s="112" t="n">
        <v>100</v>
      </c>
      <c r="P424" s="118" t="n"/>
      <c r="Q424" s="113" t="n">
        <v>1204.7</v>
      </c>
      <c r="R424" s="108" t="inlineStr">
        <is>
          <t>derived:price x shares upon listing</t>
        </is>
      </c>
      <c r="S424" s="114" t="n">
        <v>2309.25</v>
      </c>
      <c r="T424" s="115" t="n">
        <v>1.65</v>
      </c>
      <c r="U424" s="116" t="n">
        <v>7.66</v>
      </c>
      <c r="V424" s="117" t="n">
        <v>106</v>
      </c>
      <c r="W424" s="112" t="n">
        <v>10</v>
      </c>
      <c r="X424" s="108" t="inlineStr">
        <is>
          <t>NO</t>
        </is>
      </c>
      <c r="Y424" s="113" t="n">
        <v>263.35</v>
      </c>
      <c r="Z424" s="113" t="n">
        <v>21481054</v>
      </c>
      <c r="AA424" s="112" t="n">
        <v>21.86</v>
      </c>
      <c r="AB424" s="108" t="inlineStr">
        <is>
          <t>FUHUIDA (HK) LIMITED</t>
        </is>
      </c>
      <c r="AC424" s="108" t="inlineStr">
        <is>
          <t>fuhuida</t>
        </is>
      </c>
      <c r="AD424" s="112" t="n">
        <v>15</v>
      </c>
      <c r="AE424" s="119" t="n"/>
      <c r="AF424" s="119" t="n"/>
      <c r="AG424" s="119" t="n"/>
      <c r="AH424" s="119" t="n"/>
      <c r="AI424" s="120" t="n">
        <v>47.39</v>
      </c>
      <c r="AJ424" s="121" t="n">
        <v>0.33</v>
      </c>
      <c r="AK424" s="121" t="n">
        <v>0.7</v>
      </c>
      <c r="AL424" s="121" t="n">
        <v>59.71</v>
      </c>
      <c r="AM424" s="121" t="n">
        <v>-37.18</v>
      </c>
      <c r="AN424" s="123" t="n">
        <v>5.96</v>
      </c>
      <c r="AO424" s="112" t="n">
        <v>39.33</v>
      </c>
      <c r="AP424" s="121" t="n">
        <v>-18.76</v>
      </c>
      <c r="AQ424" s="121" t="n">
        <v>-30.51</v>
      </c>
      <c r="AR424" s="121" t="n">
        <v>-42.09</v>
      </c>
      <c r="AS424" s="121" t="n">
        <v>-19.03</v>
      </c>
      <c r="AT424" s="121" t="n">
        <v>-30.74</v>
      </c>
      <c r="AU424" s="121" t="n">
        <v>-42.28</v>
      </c>
      <c r="AV424" s="121" t="n">
        <v>-17.31</v>
      </c>
      <c r="AW424" s="121" t="n">
        <v>-30.22</v>
      </c>
      <c r="AX424" s="121" t="n">
        <v>-36.03</v>
      </c>
      <c r="AY424" s="121" t="n">
        <v>-29.75</v>
      </c>
      <c r="AZ424" s="121" t="n">
        <v>-0.29</v>
      </c>
      <c r="BA424" s="121" t="n">
        <v>-0.99</v>
      </c>
      <c r="BB424" s="108" t="inlineStr">
        <is>
          <t>Hang Seng Commerce &amp; Industry sub-index</t>
        </is>
      </c>
      <c r="BC424" s="121" t="n">
        <v>-72.34999999999999</v>
      </c>
      <c r="BD424" s="109" t="n">
        <v>46297</v>
      </c>
      <c r="BE424" s="110" t="n">
        <v>256.9</v>
      </c>
      <c r="BF424" s="113" t="n">
        <v>91.2</v>
      </c>
      <c r="BG424" s="108" t="inlineStr">
        <is>
          <t>Y</t>
        </is>
      </c>
      <c r="BH424" s="123" t="n">
        <v>13.2</v>
      </c>
      <c r="BI424" s="123" t="n">
        <v>10.8</v>
      </c>
      <c r="BJ424" s="123" t="n">
        <v>3.5</v>
      </c>
      <c r="BK424" s="123" t="n">
        <v>4.7</v>
      </c>
      <c r="BL424" s="124">
        <f>IF('BBG Verify'!S424="","not filed; run on terminal",'BBG Verify'!S424)</f>
        <v/>
      </c>
      <c r="BM424" s="125" t="inlineStr">
        <is>
          <t>N</t>
        </is>
      </c>
      <c r="BN424" s="126">
        <f>IF('BBG Verify'!K424="","not filed; run on terminal",'BBG Verify'!K424)</f>
        <v/>
      </c>
      <c r="BO424" s="108" t="inlineStr">
        <is>
          <t>N/A</t>
        </is>
      </c>
      <c r="BP424" s="108" t="inlineStr">
        <is>
          <t>N/A</t>
        </is>
      </c>
      <c r="BQ424" s="108" t="inlineStr">
        <is>
          <t>N/A</t>
        </is>
      </c>
      <c r="BR424" s="108" t="inlineStr">
        <is>
          <t>N/A</t>
        </is>
      </c>
      <c r="BS424" s="108" t="inlineStr">
        <is>
          <t>N/A</t>
        </is>
      </c>
      <c r="BT424" s="108" t="inlineStr">
        <is>
          <t>N/A</t>
        </is>
      </c>
      <c r="BU424" s="125" t="inlineStr">
        <is>
          <t>CCB International Capital Limited; ABCI Capital Limited</t>
        </is>
      </c>
      <c r="BV424" s="108" t="inlineStr">
        <is>
          <t>CCB International Capital Limited; ABCI Capital Limited</t>
        </is>
      </c>
      <c r="BW424" s="108" t="inlineStr">
        <is>
          <t>CCB International Capital Limited; ABCI Capital Limited; A VICT Global Asset Management Limited; BOCOM International Securities Limited; CEB International Capital Corporation Limited; CMBC Securities Company Limited; Guosen Securities (HK) Brokerage Company, Limited; Huafu International Securities Limited; MoneyMore Securities Limited; Orient Securities (Hong Kong) Limited; Ruibang Securities Limited; Shanxi Securities International Limited</t>
        </is>
      </c>
      <c r="BX424" s="108" t="inlineStr">
        <is>
          <t>ABCI Securities Company Limited; AVICT Global Asset Management Limited; BOCOM International Securities Limited; CCB International Capital Limited; CEB International Capital Corporation Limited; China Industrial Securities International Capital Limited; CMBC Securities Company Limited; Guosen Securities (HK) Brokerage Company, Limited; Huafu International Securities Limited; MoneyMore Securities Limited; Orient Securities (Hong Kong) Limited; Ruibang Securities Limited</t>
        </is>
      </c>
      <c r="BY424" s="127">
        <f>HYPERLINK("https://www1.hkexnews.hk/listedco/listconews/sehk/2025/1231/2025123100085.pdf","prospectus")</f>
        <v/>
      </c>
      <c r="BZ424" s="127">
        <f>HYPERLINK("https://www1.hkexnews.hk/listedco/listconews/sehk/2026/0112/2026011201301.pdf","allotment")</f>
        <v/>
      </c>
      <c r="CA424" s="119" t="n"/>
      <c r="CB424" s="128" t="n"/>
      <c r="CC424" s="108" t="inlineStr">
        <is>
          <t>greenshoe: end-of-stabilisation notice not found; range low: maximum offer price only, no floor published; market cap: prospectus 'market capitalisation' line is the listing-rule threshold, not the issuer's figure; rejected; stabilising manager: not named in the allotment notice or prospectus glossary</t>
        </is>
      </c>
    </row>
    <row r="425" ht="22" customHeight="1">
      <c r="A425" s="107" t="inlineStr">
        <is>
          <t>3986</t>
        </is>
      </c>
      <c r="B425" s="108" t="inlineStr">
        <is>
          <t>GIGADEVICE</t>
        </is>
      </c>
      <c r="C425" s="108" t="inlineStr">
        <is>
          <t>兆易創新</t>
        </is>
      </c>
      <c r="D425" s="108" t="inlineStr">
        <is>
          <t>Tech/AI</t>
        </is>
      </c>
      <c r="E425" s="108" t="inlineStr">
        <is>
          <t>Memory / interface semiconductors</t>
        </is>
      </c>
      <c r="F425" s="108" t="inlineStr">
        <is>
          <t>Semiconductors &amp; Semiconductor Equipment</t>
        </is>
      </c>
      <c r="G425" s="108" t="inlineStr">
        <is>
          <t>Standard</t>
        </is>
      </c>
      <c r="H425" s="109" t="n">
        <v>46035</v>
      </c>
      <c r="I425" s="110" t="n">
        <v>4684.4</v>
      </c>
      <c r="J425" s="108" t="inlineStr">
        <is>
          <t>gross (stated)</t>
        </is>
      </c>
      <c r="K425" s="129" t="n"/>
      <c r="L425" s="111" t="n">
        <v>162</v>
      </c>
      <c r="M425" s="111" t="n">
        <v>162</v>
      </c>
      <c r="N425" s="108" t="inlineStr">
        <is>
          <t>Y</t>
        </is>
      </c>
      <c r="O425" s="112" t="n">
        <v>100</v>
      </c>
      <c r="P425" s="118" t="n"/>
      <c r="Q425" s="113" t="n">
        <v>113578.6</v>
      </c>
      <c r="R425" s="108" t="inlineStr">
        <is>
          <t>aastocks:上市市值 at the struck price</t>
        </is>
      </c>
      <c r="S425" s="114" t="n">
        <v>542.22</v>
      </c>
      <c r="T425" s="115" t="n">
        <v>18.52</v>
      </c>
      <c r="U425" s="116" t="n">
        <v>49.78</v>
      </c>
      <c r="V425" s="117" t="n">
        <v>177</v>
      </c>
      <c r="W425" s="112" t="n">
        <v>10</v>
      </c>
      <c r="X425" s="108" t="inlineStr">
        <is>
          <t>NA</t>
        </is>
      </c>
      <c r="Y425" s="113" t="n">
        <v>2352.51</v>
      </c>
      <c r="Z425" s="113" t="n">
        <v>14521515</v>
      </c>
      <c r="AA425" s="112" t="n">
        <v>2.07</v>
      </c>
      <c r="AB425" s="108" t="inlineStr">
        <is>
          <t>Yunfeng Capital; Xiaomi; TCL Industries; Huaqin Technology; China Pinnacle Equity Management Limited; Greenwoods (Jinglin)</t>
        </is>
      </c>
      <c r="AC425" s="108" t="inlineStr">
        <is>
          <t>yunfeng;xiaomi;tcl;huaqin;pinnacle;greenwoods</t>
        </is>
      </c>
      <c r="AD425" s="112" t="n">
        <v>15</v>
      </c>
      <c r="AE425" s="108" t="inlineStr">
        <is>
          <t>full</t>
        </is>
      </c>
      <c r="AF425" s="108" t="inlineStr">
        <is>
          <t>2026-02-07</t>
        </is>
      </c>
      <c r="AG425" s="108" t="inlineStr">
        <is>
          <t>Huatai Financial Holdings</t>
        </is>
      </c>
      <c r="AH425" s="108" t="inlineStr">
        <is>
          <t>Huatai</t>
        </is>
      </c>
      <c r="AI425" s="120" t="n">
        <v>40</v>
      </c>
      <c r="AJ425" s="121" t="n">
        <v>37.53</v>
      </c>
      <c r="AK425" s="121" t="n">
        <v>0</v>
      </c>
      <c r="AL425" s="121" t="n">
        <v>45.06</v>
      </c>
      <c r="AM425" s="121" t="n">
        <v>-5.19</v>
      </c>
      <c r="AN425" s="123" t="n">
        <v>3.61</v>
      </c>
      <c r="AO425" s="112" t="n">
        <v>12.26</v>
      </c>
      <c r="AP425" s="121" t="n">
        <v>88.89</v>
      </c>
      <c r="AQ425" s="121" t="n">
        <v>82.72</v>
      </c>
      <c r="AR425" s="121" t="n">
        <v>161.11</v>
      </c>
      <c r="AS425" s="121" t="n">
        <v>37.34</v>
      </c>
      <c r="AT425" s="121" t="n">
        <v>32.86</v>
      </c>
      <c r="AU425" s="121" t="n">
        <v>89.86</v>
      </c>
      <c r="AV425" s="121" t="n">
        <v>91.94</v>
      </c>
      <c r="AW425" s="121" t="n">
        <v>88.98999999999999</v>
      </c>
      <c r="AX425" s="121" t="n">
        <v>174.87</v>
      </c>
      <c r="AY425" s="121" t="n">
        <v>39.13</v>
      </c>
      <c r="AZ425" s="121" t="n">
        <v>-6.27</v>
      </c>
      <c r="BA425" s="121" t="n">
        <v>-6.27</v>
      </c>
      <c r="BB425" s="108" t="inlineStr">
        <is>
          <t>HSTECH (Hang Seng TECH ETF)</t>
        </is>
      </c>
      <c r="BC425" s="121" t="n">
        <v>180.74</v>
      </c>
      <c r="BD425" s="109" t="n">
        <v>46297</v>
      </c>
      <c r="BE425" s="110" t="n">
        <v>8091.6</v>
      </c>
      <c r="BF425" s="113" t="n">
        <v>1211</v>
      </c>
      <c r="BG425" s="108" t="inlineStr">
        <is>
          <t>Y</t>
        </is>
      </c>
      <c r="BH425" s="123" t="n">
        <v>93.8</v>
      </c>
      <c r="BI425" s="123" t="n">
        <v>80.3</v>
      </c>
      <c r="BJ425" s="123" t="n">
        <v>191.8</v>
      </c>
      <c r="BK425" s="123" t="n">
        <v>14</v>
      </c>
      <c r="BL425" s="124">
        <f>IF('BBG Verify'!S425="","not filed; run on terminal",'BBG Verify'!S425)</f>
        <v/>
      </c>
      <c r="BM425" s="125" t="inlineStr">
        <is>
          <t>Y</t>
        </is>
      </c>
      <c r="BN425" s="108" t="inlineStr">
        <is>
          <t>603986.SS</t>
        </is>
      </c>
      <c r="BO425" s="121" t="n">
        <v>80.54000000000001</v>
      </c>
      <c r="BP425" s="111" t="n">
        <v>292.4683</v>
      </c>
      <c r="BQ425" s="135" t="n">
        <v>-0.08939999999999999</v>
      </c>
      <c r="BR425" s="113" t="n">
        <v>291656.5</v>
      </c>
      <c r="BS425" s="124">
        <f>IF('BBG Verify'!Q425="","run on terminal",'BBG Verify'!Q425)</f>
        <v/>
      </c>
      <c r="BT425" s="124">
        <f>IF('BBG Verify'!R425="","run on terminal",'BBG Verify'!R425)</f>
        <v/>
      </c>
      <c r="BU425" s="125" t="inlineStr">
        <is>
          <t>China International Capital Corporation Hong Kong Securities Limited; Huatai Financial Holdings (Hong Kong) Limited</t>
        </is>
      </c>
      <c r="BV425" s="108" t="inlineStr">
        <is>
          <t>China International Capital Corporation Hong Kong Securities Limited; Huatai Financial Holdings (Hong Kong) Limited</t>
        </is>
      </c>
      <c r="BW425" s="108" t="inlineStr">
        <is>
          <t>Huatai Financial Holdings (Hong Kong) Limited; China International Capital Corporation Hong Kong Securities Limited</t>
        </is>
      </c>
      <c r="BX425" s="108" t="inlineStr">
        <is>
          <t>China International Capital Corporation Hong Kong Securities Limited; Huatai Financial Holdings (Hong Kong) Limited</t>
        </is>
      </c>
      <c r="BY425" s="127">
        <f>HYPERLINK("https://www1.hkexnews.hk/listedco/listconews/sehk/2025/1231/2025123100035.pdf","prospectus")</f>
        <v/>
      </c>
      <c r="BZ425" s="127">
        <f>HYPERLINK("https://www1.hkexnews.hk/listedco/listconews/sehk/2026/0112/2026011201539.pdf","allotment")</f>
        <v/>
      </c>
      <c r="CA425" s="127">
        <f>HYPERLINK("https://www1.hkexnews.hk/listedco/listconews/sehk/2026/0208/2026020800007.pdf","stabilisation")</f>
        <v/>
      </c>
      <c r="CB425" s="128" t="n"/>
      <c r="CC425" s="108" t="inlineStr">
        <is>
          <t>range low: maximum offer price only, no floor published; A/H: Jan 2026, ~US$600m at top of range; closed +37.5% on debut; market cap: published listing cap used; the estimate from stated market capitalisation disagreed</t>
        </is>
      </c>
    </row>
    <row r="426" ht="22" customHeight="1">
      <c r="A426" s="107" t="inlineStr">
        <is>
          <t>9611</t>
        </is>
      </c>
      <c r="B426" s="108" t="inlineStr">
        <is>
          <t>LONGCHEER</t>
        </is>
      </c>
      <c r="C426" s="108" t="inlineStr">
        <is>
          <t>龍旗科技</t>
        </is>
      </c>
      <c r="D426" s="108" t="inlineStr">
        <is>
          <t>Tech/AI</t>
        </is>
      </c>
      <c r="E426" s="108" t="inlineStr">
        <is>
          <t>Smart hardware / consumer electronics</t>
        </is>
      </c>
      <c r="F426" s="108" t="inlineStr">
        <is>
          <t>Smartphone</t>
        </is>
      </c>
      <c r="G426" s="108" t="inlineStr">
        <is>
          <t>Standard</t>
        </is>
      </c>
      <c r="H426" s="109" t="n">
        <v>46044</v>
      </c>
      <c r="I426" s="110" t="n">
        <v>1620</v>
      </c>
      <c r="J426" s="108" t="inlineStr">
        <is>
          <t>gross (stated)</t>
        </is>
      </c>
      <c r="K426" s="129" t="n"/>
      <c r="L426" s="111" t="n">
        <v>31</v>
      </c>
      <c r="M426" s="111" t="n">
        <v>31</v>
      </c>
      <c r="N426" s="108" t="inlineStr">
        <is>
          <t>Y</t>
        </is>
      </c>
      <c r="O426" s="112" t="n">
        <v>100</v>
      </c>
      <c r="P426" s="118" t="n"/>
      <c r="Q426" s="113" t="n">
        <v>16200.3</v>
      </c>
      <c r="R426" s="108" t="inlineStr">
        <is>
          <t>derived:price x shares upon listing</t>
        </is>
      </c>
      <c r="S426" s="114" t="n">
        <v>1149.76</v>
      </c>
      <c r="T426" s="115" t="n">
        <v>9.02</v>
      </c>
      <c r="U426" s="116" t="n">
        <v>27.17</v>
      </c>
      <c r="V426" s="117" t="n">
        <v>172</v>
      </c>
      <c r="W426" s="112" t="n">
        <v>10</v>
      </c>
      <c r="X426" s="108" t="inlineStr">
        <is>
          <t>NO</t>
        </is>
      </c>
      <c r="Y426" s="113" t="n">
        <v>1179.85</v>
      </c>
      <c r="Z426" s="113" t="n">
        <v>38060303</v>
      </c>
      <c r="AA426" s="112" t="n">
        <v>7.28</v>
      </c>
      <c r="AB426" s="108" t="inlineStr">
        <is>
          <t>Qualcomm Ventures LLC; Jiangxi Guokong Private Equity Fund Management Co., Ltd; Hong Kong Yuto Printing Company Limited; Qingdao Guanlan and Guotai Junan Investments (Hong Kong) Limited (in connection with Guanlan OTC Swaps); Endless Growth NH Limited</t>
        </is>
      </c>
      <c r="AC426" s="108" t="inlineStr">
        <is>
          <t>qualcomm;jiangxi;yuto;qingdao;endless</t>
        </is>
      </c>
      <c r="AD426" s="112" t="n">
        <v>15</v>
      </c>
      <c r="AE426" s="108" t="inlineStr">
        <is>
          <t>lapsed</t>
        </is>
      </c>
      <c r="AF426" s="108" t="inlineStr">
        <is>
          <t>2026-02-18</t>
        </is>
      </c>
      <c r="AG426" s="108" t="inlineStr">
        <is>
          <t>Citigroup Global Markets Asia Limited</t>
        </is>
      </c>
      <c r="AH426" s="108" t="inlineStr">
        <is>
          <t>Citigroup</t>
        </is>
      </c>
      <c r="AI426" s="120" t="n">
        <v>16.84</v>
      </c>
      <c r="AJ426" s="121" t="n">
        <v>3.55</v>
      </c>
      <c r="AK426" s="121" t="n">
        <v>0.36</v>
      </c>
      <c r="AL426" s="121" t="n">
        <v>12.9</v>
      </c>
      <c r="AM426" s="121" t="n">
        <v>-8.279999999999999</v>
      </c>
      <c r="AN426" s="123" t="n">
        <v>4.71</v>
      </c>
      <c r="AO426" s="112" t="n">
        <v>16.11</v>
      </c>
      <c r="AP426" s="121" t="n">
        <v>-1.61</v>
      </c>
      <c r="AQ426" s="121" t="n">
        <v>-3.68</v>
      </c>
      <c r="AR426" s="121" t="n">
        <v>-29.1</v>
      </c>
      <c r="AS426" s="121" t="n">
        <v>-4.98</v>
      </c>
      <c r="AT426" s="121" t="n">
        <v>-6.98</v>
      </c>
      <c r="AU426" s="121" t="n">
        <v>-31.53</v>
      </c>
      <c r="AV426" s="121" t="n">
        <v>-3.21</v>
      </c>
      <c r="AW426" s="121" t="n">
        <v>4.86</v>
      </c>
      <c r="AX426" s="121" t="n">
        <v>-14.69</v>
      </c>
      <c r="AY426" s="121" t="n">
        <v>1.89</v>
      </c>
      <c r="AZ426" s="121" t="n">
        <v>-8.539999999999999</v>
      </c>
      <c r="BA426" s="121" t="n">
        <v>-8.869999999999999</v>
      </c>
      <c r="BB426" s="108" t="inlineStr">
        <is>
          <t>HSTECH (Hang Seng TECH ETF)</t>
        </is>
      </c>
      <c r="BC426" s="121" t="n">
        <v>-34.97</v>
      </c>
      <c r="BD426" s="109" t="n">
        <v>46297</v>
      </c>
      <c r="BE426" s="110" t="n">
        <v>51020.7</v>
      </c>
      <c r="BF426" s="113" t="n">
        <v>542.7</v>
      </c>
      <c r="BG426" s="108" t="inlineStr">
        <is>
          <t>Y</t>
        </is>
      </c>
      <c r="BH426" s="123" t="n">
        <v>29.9</v>
      </c>
      <c r="BI426" s="123" t="n">
        <v>22.6</v>
      </c>
      <c r="BJ426" s="123" t="n">
        <v>16.3</v>
      </c>
      <c r="BK426" s="123" t="n">
        <v>0.3</v>
      </c>
      <c r="BL426" s="124">
        <f>IF('BBG Verify'!S426="","not filed; run on terminal",'BBG Verify'!S426)</f>
        <v/>
      </c>
      <c r="BM426" s="125" t="inlineStr">
        <is>
          <t>Y</t>
        </is>
      </c>
      <c r="BN426" s="108" t="inlineStr">
        <is>
          <t>603341.SS</t>
        </is>
      </c>
      <c r="BO426" s="121" t="n">
        <v>75.63</v>
      </c>
      <c r="BP426" s="111" t="n">
        <v>54.4441</v>
      </c>
      <c r="BQ426" s="135" t="n">
        <v>1.0437</v>
      </c>
      <c r="BR426" s="113" t="n">
        <v>21529.2</v>
      </c>
      <c r="BS426" s="124">
        <f>IF('BBG Verify'!Q426="","run on terminal",'BBG Verify'!Q426)</f>
        <v/>
      </c>
      <c r="BT426" s="124">
        <f>IF('BBG Verify'!R426="","run on terminal",'BBG Verify'!R426)</f>
        <v/>
      </c>
      <c r="BU426" s="125" t="inlineStr">
        <is>
          <t>Citigroup Global Markets Asia Limited; Haitong International Capital Limited; Guotai Junan Capital Limited</t>
        </is>
      </c>
      <c r="BV426" s="108" t="inlineStr">
        <is>
          <t>Haitong International Capital Limited; Guotai Junan Capital Limited; Citigroup Global Markets Asia Limited</t>
        </is>
      </c>
      <c r="BW426" s="108" t="inlineStr">
        <is>
          <t>Citigroup Global Markets Asia Limited; Haitong International Securities Company Limited; Guotai Junan Securities (Hong Kong) Limited; Huatai Financial Holdings (Hong Kong) Limited; ABCI Capital Limited; Citigroup Global Markets Limited; Tiger Brokers (HK) Global Limited</t>
        </is>
      </c>
      <c r="BX426" s="108" t="inlineStr">
        <is>
          <t>ABCI Securities Company Limited; Citigroup Global Markets Asia Limited; Futu Securities International (Hong Kong) Limited; Guotai Junan Securities (Hong Kong) Limited; Huatai Financial Holdings (Hong Kong) Limited; Haitong International Securities Company Limited; Open Securities Limited; Tiger Brokers (HK) Global Limited</t>
        </is>
      </c>
      <c r="BY426" s="127">
        <f>HYPERLINK("https://www1.hkexnews.hk/listedco/listconews/sehk/2026/0114/2026011400011.pdf","prospectus")</f>
        <v/>
      </c>
      <c r="BZ426" s="127">
        <f>HYPERLINK("https://www1.hkexnews.hk/listedco/listconews/sehk/2026/0121/2026012101145.pdf","allotment")</f>
        <v/>
      </c>
      <c r="CA426" s="127">
        <f>HYPERLINK("https://www1.hkexnews.hk/listedco/listconews/sehk/2026/0223/2026022300424.pdf","stabilisation")</f>
        <v/>
      </c>
      <c r="CB426" s="128" t="n"/>
      <c r="CC426" s="108" t="inlineStr">
        <is>
          <t>range low: maximum offer price only, no floor published; A/H: Jan 2026 H listing (smart-device ODM)</t>
        </is>
      </c>
    </row>
    <row r="427" ht="22" customHeight="1">
      <c r="A427" s="107" t="inlineStr">
        <is>
          <t>1768</t>
        </is>
      </c>
      <c r="B427" s="108" t="inlineStr">
        <is>
          <t>BUSYMING</t>
        </is>
      </c>
      <c r="C427" s="108" t="inlineStr">
        <is>
          <t>鳴鳴很忙</t>
        </is>
      </c>
      <c r="D427" s="108" t="inlineStr">
        <is>
          <t>Consumer</t>
        </is>
      </c>
      <c r="E427" s="108" t="inlineStr">
        <is>
          <t>Beverages / packaged food</t>
        </is>
      </c>
      <c r="F427" s="108" t="inlineStr">
        <is>
          <t>Packaged Foods</t>
        </is>
      </c>
      <c r="G427" s="108" t="inlineStr">
        <is>
          <t>Standard</t>
        </is>
      </c>
      <c r="H427" s="109" t="n">
        <v>46050</v>
      </c>
      <c r="I427" s="110" t="n">
        <v>3670</v>
      </c>
      <c r="J427" s="108" t="inlineStr">
        <is>
          <t>gross (stated)</t>
        </is>
      </c>
      <c r="K427" s="129" t="n"/>
      <c r="L427" s="111" t="n">
        <v>236.6</v>
      </c>
      <c r="M427" s="111" t="n">
        <v>236.6</v>
      </c>
      <c r="N427" s="108" t="inlineStr">
        <is>
          <t>Y</t>
        </is>
      </c>
      <c r="O427" s="112" t="n">
        <v>100</v>
      </c>
      <c r="P427" s="118" t="n"/>
      <c r="Q427" s="113" t="n">
        <v>50989.9</v>
      </c>
      <c r="R427" s="108" t="inlineStr">
        <is>
          <t>derived:price x shares upon listing</t>
        </is>
      </c>
      <c r="S427" s="114" t="n">
        <v>1899.49</v>
      </c>
      <c r="T427" s="115" t="n">
        <v>44.44</v>
      </c>
      <c r="U427" s="116" t="n">
        <v>41.41</v>
      </c>
      <c r="V427" s="117" t="n">
        <v>306</v>
      </c>
      <c r="W427" s="112" t="n">
        <v>9.1</v>
      </c>
      <c r="X427" s="108" t="inlineStr">
        <is>
          <t>NO</t>
        </is>
      </c>
      <c r="Y427" s="113" t="n">
        <v>2150.25</v>
      </c>
      <c r="Z427" s="113" t="n">
        <v>9088012</v>
      </c>
      <c r="AA427" s="112" t="n">
        <v>4.22</v>
      </c>
      <c r="AB427" s="108" t="inlineStr">
        <is>
          <t>Tencent; Temasek; BlackRock; FIL Investment; Bosera International; E Fund; Springs Capital (Hong Kong) Limited; Taikang Life</t>
        </is>
      </c>
      <c r="AC427" s="108" t="inlineStr">
        <is>
          <t>tencent;temasek;blackrock;fil;bosera;fund;springs;taikang</t>
        </is>
      </c>
      <c r="AD427" s="112" t="n">
        <v>15</v>
      </c>
      <c r="AE427" s="108" t="inlineStr">
        <is>
          <t>full</t>
        </is>
      </c>
      <c r="AF427" s="119" t="n"/>
      <c r="AG427" s="108" t="inlineStr">
        <is>
          <t>Goldman Sachs</t>
        </is>
      </c>
      <c r="AH427" s="108" t="inlineStr">
        <is>
          <t>Goldman Sachs</t>
        </is>
      </c>
      <c r="AI427" s="120" t="n">
        <v>72.44</v>
      </c>
      <c r="AJ427" s="121" t="n">
        <v>69.06</v>
      </c>
      <c r="AK427" s="121" t="n">
        <v>2.6</v>
      </c>
      <c r="AL427" s="121" t="n">
        <v>88.08</v>
      </c>
      <c r="AM427" s="121" t="n">
        <v>-10.11</v>
      </c>
      <c r="AN427" s="123" t="n">
        <v>5.59</v>
      </c>
      <c r="AO427" s="112" t="n">
        <v>10.29</v>
      </c>
      <c r="AP427" s="121" t="n">
        <v>68.81</v>
      </c>
      <c r="AQ427" s="121" t="n">
        <v>65.17</v>
      </c>
      <c r="AR427" s="121" t="n">
        <v>84.11</v>
      </c>
      <c r="AS427" s="121" t="n">
        <v>-0.15</v>
      </c>
      <c r="AT427" s="121" t="n">
        <v>-2.3</v>
      </c>
      <c r="AU427" s="121" t="n">
        <v>8.9</v>
      </c>
      <c r="AV427" s="121" t="n">
        <v>72.29000000000001</v>
      </c>
      <c r="AW427" s="121" t="n">
        <v>73.93000000000001</v>
      </c>
      <c r="AX427" s="121" t="n">
        <v>92.84999999999999</v>
      </c>
      <c r="AY427" s="121" t="n">
        <v>8.77</v>
      </c>
      <c r="AZ427" s="121" t="n">
        <v>-8.76</v>
      </c>
      <c r="BA427" s="121" t="n">
        <v>-11.07</v>
      </c>
      <c r="BB427" s="108" t="inlineStr">
        <is>
          <t>Hang Seng Commerce &amp; Industry sub-index</t>
        </is>
      </c>
      <c r="BC427" s="121" t="n">
        <v>45.48</v>
      </c>
      <c r="BD427" s="109" t="n">
        <v>46297</v>
      </c>
      <c r="BE427" s="110" t="n">
        <v>43277.9</v>
      </c>
      <c r="BF427" s="113" t="n">
        <v>912.1</v>
      </c>
      <c r="BG427" s="108" t="inlineStr">
        <is>
          <t>Y</t>
        </is>
      </c>
      <c r="BH427" s="123" t="n">
        <v>55.9</v>
      </c>
      <c r="BI427" s="122" t="n"/>
      <c r="BJ427" s="122" t="n"/>
      <c r="BK427" s="123" t="n">
        <v>1.2</v>
      </c>
      <c r="BL427" s="124">
        <f>IF('BBG Verify'!S427="","not filed; run on terminal",'BBG Verify'!S427)</f>
        <v/>
      </c>
      <c r="BM427" s="125" t="inlineStr">
        <is>
          <t>N</t>
        </is>
      </c>
      <c r="BN427" s="126">
        <f>IF('BBG Verify'!K427="","not filed; run on terminal",'BBG Verify'!K427)</f>
        <v/>
      </c>
      <c r="BO427" s="108" t="inlineStr">
        <is>
          <t>N/A</t>
        </is>
      </c>
      <c r="BP427" s="108" t="inlineStr">
        <is>
          <t>N/A</t>
        </is>
      </c>
      <c r="BQ427" s="108" t="inlineStr">
        <is>
          <t>N/A</t>
        </is>
      </c>
      <c r="BR427" s="108" t="inlineStr">
        <is>
          <t>N/A</t>
        </is>
      </c>
      <c r="BS427" s="108" t="inlineStr">
        <is>
          <t>N/A</t>
        </is>
      </c>
      <c r="BT427" s="108" t="inlineStr">
        <is>
          <t>N/A</t>
        </is>
      </c>
      <c r="BU427" s="125" t="inlineStr">
        <is>
          <t>Goldman Sachs (Asia) L.L.C; Huatai Financial Holdings (Hong Kong) Limited</t>
        </is>
      </c>
      <c r="BV427" s="108" t="inlineStr">
        <is>
          <t>Goldman Sachs (Asia) L.L.C.; Huatai Financial Holdings (Hong Kong) Limited</t>
        </is>
      </c>
      <c r="BW427" s="108" t="inlineStr">
        <is>
          <t>Goldman Sachs (Asia) L.L.C; Huatai Financial Holdings (Hong Kong) Limited; Deutsche Bank AG, Hong Kong Branch; Haitong International Securities Company Limited; Futu Securities International (Hong Kong) Limited</t>
        </is>
      </c>
      <c r="BX427" s="108" t="inlineStr">
        <is>
          <t>Deutsche Bank AG; Hong Kong Branch; Futu Securities International (Hong Kong) Limited; Goldman Sachs (Asia) L.L.C.; Huatai Financial Holdings (Hong Kong) Limited; Haitong International Securities Company Limited; SPDB International Capital Limited</t>
        </is>
      </c>
      <c r="BY427" s="127">
        <f>HYPERLINK("https://www1.hkexnews.hk/listedco/listconews/sehk/2026/0120/2026012000025.pdf","prospectus")</f>
        <v/>
      </c>
      <c r="BZ427" s="127">
        <f>HYPERLINK("https://www1.hkexnews.hk/listedco/listconews/sehk/2026/0127/2026012701713.pdf","allotment")</f>
        <v/>
      </c>
      <c r="CA427" s="127">
        <f>HYPERLINK("https://www1.hkexnews.hk/listedco/listconews/sehk/2026/0223/2026022300458.pdf","stabilisation")</f>
        <v/>
      </c>
      <c r="CB427" s="128" t="n"/>
      <c r="CC427" s="108" t="inlineStr">
        <is>
          <t>greenshoe: outcome published; expiry date not in the notice; range low: maximum offer price only, no floor published</t>
        </is>
      </c>
    </row>
    <row r="428" ht="22" customHeight="1">
      <c r="A428" s="107" t="inlineStr">
        <is>
          <t>9980</t>
        </is>
      </c>
      <c r="B428" s="108" t="inlineStr">
        <is>
          <t>EASTROC</t>
        </is>
      </c>
      <c r="C428" s="108" t="inlineStr">
        <is>
          <t>東鵬飲料</t>
        </is>
      </c>
      <c r="D428" s="108" t="inlineStr">
        <is>
          <t>Consumer</t>
        </is>
      </c>
      <c r="E428" s="108" t="inlineStr">
        <is>
          <t>Beverages / packaged food</t>
        </is>
      </c>
      <c r="F428" s="108" t="inlineStr">
        <is>
          <t>Beverages (Non-alcoholic)</t>
        </is>
      </c>
      <c r="G428" s="108" t="inlineStr">
        <is>
          <t>Standard</t>
        </is>
      </c>
      <c r="H428" s="109" t="n">
        <v>46056</v>
      </c>
      <c r="I428" s="110" t="n">
        <v>10140.7</v>
      </c>
      <c r="J428" s="108" t="inlineStr">
        <is>
          <t>gross (stated)</t>
        </is>
      </c>
      <c r="K428" s="129" t="n"/>
      <c r="L428" s="111" t="n">
        <v>248</v>
      </c>
      <c r="M428" s="111" t="n">
        <v>248</v>
      </c>
      <c r="N428" s="108" t="inlineStr">
        <is>
          <t>Y</t>
        </is>
      </c>
      <c r="O428" s="112" t="n">
        <v>100</v>
      </c>
      <c r="P428" s="118" t="n"/>
      <c r="Q428" s="113" t="n">
        <v>139103.9</v>
      </c>
      <c r="R428" s="108" t="inlineStr">
        <is>
          <t>derived:price x shares upon listing</t>
        </is>
      </c>
      <c r="S428" s="114" t="n">
        <v>57.46</v>
      </c>
      <c r="T428" s="115" t="n">
        <v>15.6</v>
      </c>
      <c r="U428" s="116" t="n">
        <v>49.2</v>
      </c>
      <c r="V428" s="117" t="n">
        <v>219</v>
      </c>
      <c r="W428" s="112" t="n">
        <v>10</v>
      </c>
      <c r="X428" s="108" t="inlineStr">
        <is>
          <t>NO</t>
        </is>
      </c>
      <c r="Y428" s="113" t="n">
        <v>5151.48</v>
      </c>
      <c r="Z428" s="131" t="n"/>
      <c r="AA428" s="112" t="n">
        <v>3.7</v>
      </c>
      <c r="AB428" s="108" t="inlineStr">
        <is>
          <t>Al-Rayyan Holding LLC; Taibai Investments Pte. Ltd; True Light Investments H Pte. Ltd; Huang River Investment Limited; HSG Growth VII Holdco, Ltd; Azure Skylines Limited; Taikang Life Insurance Co., Ltd; Investments 1 Limited; Velmar Company Limited; Pinpoint Asset Management Limited; Amazing Mountain Limited; Phase II L.P</t>
        </is>
      </c>
      <c r="AC428" s="108" t="inlineStr">
        <is>
          <t>al;taibai;true;huang-river;hsg;azure;taikang;investments-limited;velmar;pinpoint;amazing;phase</t>
        </is>
      </c>
      <c r="AD428" s="112" t="n">
        <v>7.29</v>
      </c>
      <c r="AE428" s="108" t="inlineStr">
        <is>
          <t>partial</t>
        </is>
      </c>
      <c r="AF428" s="119" t="n"/>
      <c r="AG428" s="108" t="inlineStr">
        <is>
          <t>Morgan Stanley Asia Limited</t>
        </is>
      </c>
      <c r="AH428" s="108" t="inlineStr">
        <is>
          <t>Morgan Stanley</t>
        </is>
      </c>
      <c r="AI428" s="120" t="n">
        <v>0.8100000000000001</v>
      </c>
      <c r="AJ428" s="121" t="n">
        <v>1.53</v>
      </c>
      <c r="AK428" s="121" t="n">
        <v>-0.38</v>
      </c>
      <c r="AL428" s="121" t="n">
        <v>0</v>
      </c>
      <c r="AM428" s="121" t="n">
        <v>1.53</v>
      </c>
      <c r="AN428" s="123" t="n">
        <v>1.35</v>
      </c>
      <c r="AO428" s="112" t="n">
        <v>2.5</v>
      </c>
      <c r="AP428" s="121" t="n">
        <v>0.8100000000000001</v>
      </c>
      <c r="AQ428" s="121" t="n">
        <v>-13.87</v>
      </c>
      <c r="AR428" s="121" t="n">
        <v>-12.46</v>
      </c>
      <c r="AS428" s="121" t="n">
        <v>-0.71</v>
      </c>
      <c r="AT428" s="121" t="n">
        <v>-15.17</v>
      </c>
      <c r="AU428" s="121" t="n">
        <v>-13.78</v>
      </c>
      <c r="AV428" s="121" t="n">
        <v>-0.05</v>
      </c>
      <c r="AW428" s="121" t="n">
        <v>-7.17</v>
      </c>
      <c r="AX428" s="121" t="n">
        <v>-6.91</v>
      </c>
      <c r="AY428" s="121" t="n">
        <v>-8.82</v>
      </c>
      <c r="AZ428" s="121" t="n">
        <v>-6.7</v>
      </c>
      <c r="BA428" s="121" t="n">
        <v>-6.35</v>
      </c>
      <c r="BB428" s="108" t="inlineStr">
        <is>
          <t>Hang Seng Commerce &amp; Industry sub-index</t>
        </is>
      </c>
      <c r="BC428" s="121" t="n">
        <v>-50.73</v>
      </c>
      <c r="BD428" s="109" t="n">
        <v>46297</v>
      </c>
      <c r="BE428" s="110" t="n">
        <v>17413.4</v>
      </c>
      <c r="BF428" s="113" t="n">
        <v>3659.1</v>
      </c>
      <c r="BG428" s="108" t="inlineStr">
        <is>
          <t>Y</t>
        </is>
      </c>
      <c r="BH428" s="123" t="n">
        <v>38</v>
      </c>
      <c r="BI428" s="123" t="n">
        <v>26.3</v>
      </c>
      <c r="BJ428" s="123" t="n">
        <v>14.4</v>
      </c>
      <c r="BK428" s="123" t="n">
        <v>8</v>
      </c>
      <c r="BL428" s="124">
        <f>IF('BBG Verify'!S428="","not filed; run on terminal",'BBG Verify'!S428)</f>
        <v/>
      </c>
      <c r="BM428" s="125" t="inlineStr">
        <is>
          <t>Y</t>
        </is>
      </c>
      <c r="BN428" s="108" t="inlineStr">
        <is>
          <t>605499.SS</t>
        </is>
      </c>
      <c r="BO428" s="121" t="n">
        <v>16.43</v>
      </c>
      <c r="BP428" s="111" t="n">
        <v>288.7582</v>
      </c>
      <c r="BQ428" s="135" t="n">
        <v>0.3974</v>
      </c>
      <c r="BR428" s="113" t="n">
        <v>96477.39999999999</v>
      </c>
      <c r="BS428" s="124">
        <f>IF('BBG Verify'!Q428="","run on terminal",'BBG Verify'!Q428)</f>
        <v/>
      </c>
      <c r="BT428" s="124">
        <f>IF('BBG Verify'!R428="","run on terminal",'BBG Verify'!R428)</f>
        <v/>
      </c>
      <c r="BU428" s="125" t="inlineStr">
        <is>
          <t>Huatai Financial Holdings (Hong Kong) Limited; Morgan Stanley Asia Limited; UBS Securities Hong Kong Limited</t>
        </is>
      </c>
      <c r="BV428" s="108" t="inlineStr">
        <is>
          <t>Morgan Stanley Asia Limited; UBS Securities Hong Kong Limited; Huatai Financial Holdings (Hong Kong) Limited</t>
        </is>
      </c>
      <c r="BW428" s="108" t="inlineStr">
        <is>
          <t>Huatai Financial Holdings (Hong Kong) Limited; Morgan Stanley Asia Limited; UBS AG Hong Kong Branch</t>
        </is>
      </c>
      <c r="BX428" s="108" t="inlineStr">
        <is>
          <t>Huatai Financial Holdings (Hong Kong) Limited; Morgan Stanley Asia Limited; UBS AG Hong Kong Branch</t>
        </is>
      </c>
      <c r="BY428" s="127">
        <f>HYPERLINK("https://www1.hkexnews.hk/listedco/listconews/sehk/2026/0126/2026012600003.pdf","prospectus")</f>
        <v/>
      </c>
      <c r="BZ428" s="127">
        <f>HYPERLINK("https://www1.hkexnews.hk/listedco/listconews/sehk/2026/0202/2026020203212.pdf","allotment")</f>
        <v/>
      </c>
      <c r="CA428" s="127">
        <f>HYPERLINK("https://www1.hkexnews.hk/listedco/listconews/sehk/2026/0301/2026030100013.pdf","stabilisation")</f>
        <v/>
      </c>
      <c r="CB428" s="128" t="n"/>
      <c r="CC428" s="108" t="inlineStr">
        <is>
          <t>greenshoe: outcome published; expiry date not in the notice; range low: maximum offer price only, no floor published; A/H: Feb 2026, ~HK$10.1bn at HK$248/sh; largest HK IPO of early 2026; eff float shares: share count unavailable; the HK$m figure is exact</t>
        </is>
      </c>
    </row>
    <row r="429" ht="22" customHeight="1">
      <c r="A429" s="107" t="inlineStr">
        <is>
          <t>2768</t>
        </is>
      </c>
      <c r="B429" s="108" t="inlineStr">
        <is>
          <t>GON TECHNOLOGY</t>
        </is>
      </c>
      <c r="C429" s="108" t="inlineStr">
        <is>
          <t>國恩科技</t>
        </is>
      </c>
      <c r="D429" s="108" t="inlineStr">
        <is>
          <t>Tech/AI</t>
        </is>
      </c>
      <c r="E429" s="108" t="inlineStr">
        <is>
          <t>Smart hardware / consumer electronics</t>
        </is>
      </c>
      <c r="F429" s="108" t="inlineStr">
        <is>
          <t>Diversified Chemicals</t>
        </is>
      </c>
      <c r="G429" s="108" t="inlineStr">
        <is>
          <t>Standard</t>
        </is>
      </c>
      <c r="H429" s="109" t="n">
        <v>46057</v>
      </c>
      <c r="I429" s="110" t="n">
        <v>1080</v>
      </c>
      <c r="J429" s="108" t="inlineStr">
        <is>
          <t>gross (stated)</t>
        </is>
      </c>
      <c r="K429" s="111" t="n">
        <v>34</v>
      </c>
      <c r="L429" s="111" t="n">
        <v>42</v>
      </c>
      <c r="M429" s="111" t="n">
        <v>36</v>
      </c>
      <c r="N429" s="108" t="inlineStr">
        <is>
          <t>N</t>
        </is>
      </c>
      <c r="O429" s="112" t="n">
        <v>85.7</v>
      </c>
      <c r="P429" s="112" t="n">
        <v>25</v>
      </c>
      <c r="Q429" s="113" t="n">
        <v>10845</v>
      </c>
      <c r="R429" s="108" t="inlineStr">
        <is>
          <t>derived:price x shares upon listing</t>
        </is>
      </c>
      <c r="S429" s="114" t="n">
        <v>2251.85</v>
      </c>
      <c r="T429" s="115" t="n">
        <v>10.03</v>
      </c>
      <c r="U429" s="116" t="n">
        <v>29.56</v>
      </c>
      <c r="V429" s="117" t="n">
        <v>88</v>
      </c>
      <c r="W429" s="112" t="n">
        <v>10</v>
      </c>
      <c r="X429" s="108" t="inlineStr">
        <is>
          <t>NO</t>
        </is>
      </c>
      <c r="Y429" s="113" t="n">
        <v>760.75</v>
      </c>
      <c r="Z429" s="113" t="n">
        <v>21132000</v>
      </c>
      <c r="AA429" s="112" t="n">
        <v>7.01</v>
      </c>
      <c r="AB429" s="108" t="inlineStr">
        <is>
          <t>Nice First Investments Limited; SLD International Enterprises Limited; Cheng A International Co., Limited; Shenwan Hongyuan Securities Co., Ltd; First Seafront Fund Series SPC; New Harvest Wealth Securities Company Limited; Luminous Horizon Limited; Fullgoal Asset Management (HK) Limited</t>
        </is>
      </c>
      <c r="AC429" s="108" t="inlineStr">
        <is>
          <t>nice;sld;cheng;shenwan;first-seafront;new-harvest;luminous;fullgoal</t>
        </is>
      </c>
      <c r="AD429" s="112" t="n">
        <v>15</v>
      </c>
      <c r="AE429" s="119" t="n"/>
      <c r="AF429" s="119" t="n"/>
      <c r="AG429" s="119" t="n"/>
      <c r="AH429" s="119" t="n"/>
      <c r="AI429" s="120" t="n">
        <v>31.11</v>
      </c>
      <c r="AJ429" s="121" t="n">
        <v>11.56</v>
      </c>
      <c r="AK429" s="121" t="n">
        <v>-1.78</v>
      </c>
      <c r="AL429" s="121" t="n">
        <v>25</v>
      </c>
      <c r="AM429" s="121" t="n">
        <v>-10.75</v>
      </c>
      <c r="AN429" s="123" t="n">
        <v>8.470000000000001</v>
      </c>
      <c r="AO429" s="112" t="n">
        <v>24.44</v>
      </c>
      <c r="AP429" s="121" t="n">
        <v>27.22</v>
      </c>
      <c r="AQ429" s="121" t="n">
        <v>33.22</v>
      </c>
      <c r="AR429" s="121" t="n">
        <v>43.75</v>
      </c>
      <c r="AS429" s="121" t="n">
        <v>14.04</v>
      </c>
      <c r="AT429" s="121" t="n">
        <v>19.42</v>
      </c>
      <c r="AU429" s="121" t="n">
        <v>28.85</v>
      </c>
      <c r="AV429" s="121" t="n">
        <v>26.57</v>
      </c>
      <c r="AW429" s="121" t="n">
        <v>40.68</v>
      </c>
      <c r="AX429" s="121" t="n">
        <v>50.43</v>
      </c>
      <c r="AY429" s="121" t="n">
        <v>25.21</v>
      </c>
      <c r="AZ429" s="121" t="n">
        <v>-7.46</v>
      </c>
      <c r="BA429" s="121" t="n">
        <v>-5.79</v>
      </c>
      <c r="BB429" s="108" t="inlineStr">
        <is>
          <t>HSTECH (Hang Seng TECH ETF)</t>
        </is>
      </c>
      <c r="BC429" s="121" t="n">
        <v>54.82</v>
      </c>
      <c r="BD429" s="109" t="n">
        <v>46297</v>
      </c>
      <c r="BE429" s="110" t="n">
        <v>21106.3</v>
      </c>
      <c r="BF429" s="113" t="n">
        <v>792.6</v>
      </c>
      <c r="BG429" s="108" t="inlineStr">
        <is>
          <t>Y</t>
        </is>
      </c>
      <c r="BH429" s="123" t="n">
        <v>13.7</v>
      </c>
      <c r="BI429" s="123" t="n">
        <v>11.2</v>
      </c>
      <c r="BJ429" s="123" t="n">
        <v>16.5</v>
      </c>
      <c r="BK429" s="123" t="n">
        <v>0.5</v>
      </c>
      <c r="BL429" s="124">
        <f>IF('BBG Verify'!S429="","not filed; run on terminal",'BBG Verify'!S429)</f>
        <v/>
      </c>
      <c r="BM429" s="125" t="inlineStr">
        <is>
          <t>Y</t>
        </is>
      </c>
      <c r="BN429" s="108" t="inlineStr">
        <is>
          <t>002768.SZ</t>
        </is>
      </c>
      <c r="BO429" s="121" t="n">
        <v>74.11</v>
      </c>
      <c r="BP429" s="111" t="n">
        <v>62.6783</v>
      </c>
      <c r="BQ429" s="135" t="n">
        <v>1.1692</v>
      </c>
      <c r="BR429" s="113" t="n">
        <v>35682.9</v>
      </c>
      <c r="BS429" s="124">
        <f>IF('BBG Verify'!Q429="","run on terminal",'BBG Verify'!Q429)</f>
        <v/>
      </c>
      <c r="BT429" s="124">
        <f>IF('BBG Verify'!R429="","run on terminal",'BBG Verify'!R429)</f>
        <v/>
      </c>
      <c r="BU429" s="125" t="inlineStr">
        <is>
          <t>China Merchants Securities (HK) Co., Limited</t>
        </is>
      </c>
      <c r="BV429" s="108" t="inlineStr">
        <is>
          <t>China Merchants Securities (HK) Company Limited</t>
        </is>
      </c>
      <c r="BW429" s="108" t="inlineStr">
        <is>
          <t>China Merchants Securities (HK) Co., Limited; CLSA Limited; China International Capital Corporation Hong Kong Securities Limited; Tiger Brokers (HK) Global Limited; Livermore Holdings Limited</t>
        </is>
      </c>
      <c r="BX429" s="108" t="inlineStr">
        <is>
          <t>China International Capital Corporation Hong Kong Securities Limited; CLSA Limited; CMB International Capital Limited; China Merchants Securities (HK) Company Limited; Livermore Holdings Limited; Tiger Brokers (HK) Global Limited</t>
        </is>
      </c>
      <c r="BY429" s="127">
        <f>HYPERLINK("https://www1.hkexnews.hk/listedco/listconews/sehk/2026/0127/2026012700009.pdf","prospectus")</f>
        <v/>
      </c>
      <c r="BZ429" s="127">
        <f>HYPERLINK("https://www1.hkexnews.hk/listedco/listconews/sehk/2026/0203/2026020302602.pdf","allotment")</f>
        <v/>
      </c>
      <c r="CA429" s="119" t="n"/>
      <c r="CB429" s="128" t="n"/>
      <c r="CC429" s="108" t="inlineStr">
        <is>
          <t>greenshoe: end-of-stabilisation notice not found; A/H: Feb 2026 H listing (polymer materials); market cap: today's A-line share count implies HK$15,718m, 31% above the filed count (capitalisation issue since); filed count kept; stabilising manager: not named in the allotment notice or prospectus glossary</t>
        </is>
      </c>
    </row>
    <row r="430" ht="22" customHeight="1">
      <c r="A430" s="107" t="inlineStr">
        <is>
          <t>2677</t>
        </is>
      </c>
      <c r="B430" s="108" t="inlineStr">
        <is>
          <t>DISTINCT HEALTH</t>
        </is>
      </c>
      <c r="C430" s="108" t="inlineStr">
        <is>
          <t>卓正醫療</t>
        </is>
      </c>
      <c r="D430" s="108" t="inlineStr">
        <is>
          <t>Healthcare</t>
        </is>
      </c>
      <c r="E430" s="108" t="inlineStr">
        <is>
          <t>Digital health</t>
        </is>
      </c>
      <c r="F430" s="108" t="inlineStr">
        <is>
          <t>Health Care Services</t>
        </is>
      </c>
      <c r="G430" s="108" t="inlineStr">
        <is>
          <t>Standard</t>
        </is>
      </c>
      <c r="H430" s="109" t="n">
        <v>46059</v>
      </c>
      <c r="I430" s="110" t="n">
        <v>284.53</v>
      </c>
      <c r="J430" s="108" t="inlineStr">
        <is>
          <t>gross (stated)</t>
        </is>
      </c>
      <c r="K430" s="111" t="n">
        <v>57.7</v>
      </c>
      <c r="L430" s="111" t="n">
        <v>66.59999999999999</v>
      </c>
      <c r="M430" s="111" t="n">
        <v>59.9</v>
      </c>
      <c r="N430" s="108" t="inlineStr">
        <is>
          <t>N</t>
        </is>
      </c>
      <c r="O430" s="112" t="n">
        <v>89.90000000000001</v>
      </c>
      <c r="P430" s="112" t="n">
        <v>24.7</v>
      </c>
      <c r="Q430" s="113" t="n">
        <v>3856.6</v>
      </c>
      <c r="R430" s="108" t="inlineStr">
        <is>
          <t>derived:price x shares upon listing</t>
        </is>
      </c>
      <c r="S430" s="114" t="n">
        <v>2730.73</v>
      </c>
      <c r="T430" s="115" t="n">
        <v>5.79</v>
      </c>
      <c r="U430" s="116" t="n">
        <v>31.59</v>
      </c>
      <c r="V430" s="117" t="n">
        <v>211</v>
      </c>
      <c r="W430" s="112" t="n">
        <v>10</v>
      </c>
      <c r="X430" s="108" t="inlineStr">
        <is>
          <t>NO</t>
        </is>
      </c>
      <c r="Y430" s="113" t="n">
        <v>194.65</v>
      </c>
      <c r="Z430" s="113" t="n">
        <v>3249475</v>
      </c>
      <c r="AA430" s="112" t="n">
        <v>5.05</v>
      </c>
      <c r="AB430" s="108" t="inlineStr">
        <is>
          <t>Health Vision Hong Kong Limited; KingMed Diagnostics (Hong Kong) Limited ʮ̡; Mininglamp Technology; Galaxy Dynasty Limited</t>
        </is>
      </c>
      <c r="AC430" s="108" t="inlineStr">
        <is>
          <t>health;kingmed;mininglamp;galaxy</t>
        </is>
      </c>
      <c r="AD430" s="112" t="n">
        <v>15</v>
      </c>
      <c r="AE430" s="108" t="inlineStr">
        <is>
          <t>partial</t>
        </is>
      </c>
      <c r="AF430" s="108" t="inlineStr">
        <is>
          <t>2026-03-05</t>
        </is>
      </c>
      <c r="AG430" s="119" t="n"/>
      <c r="AH430" s="119" t="n"/>
      <c r="AI430" s="120" t="n">
        <v>48.25</v>
      </c>
      <c r="AJ430" s="121" t="n">
        <v>13.36</v>
      </c>
      <c r="AK430" s="121" t="n">
        <v>0.03</v>
      </c>
      <c r="AL430" s="121" t="n">
        <v>35.23</v>
      </c>
      <c r="AM430" s="121" t="n">
        <v>-16.17</v>
      </c>
      <c r="AN430" s="123" t="n">
        <v>5.09</v>
      </c>
      <c r="AO430" s="112" t="n">
        <v>31.73</v>
      </c>
      <c r="AP430" s="121" t="n">
        <v>-3.17</v>
      </c>
      <c r="AQ430" s="121" t="n">
        <v>9.1</v>
      </c>
      <c r="AR430" s="121" t="n">
        <v>-54.49</v>
      </c>
      <c r="AS430" s="121" t="n">
        <v>-14.58</v>
      </c>
      <c r="AT430" s="121" t="n">
        <v>-3.76</v>
      </c>
      <c r="AU430" s="121" t="n">
        <v>-59.85</v>
      </c>
      <c r="AV430" s="121" t="n">
        <v>-4.64</v>
      </c>
      <c r="AW430" s="121" t="n">
        <v>14.97</v>
      </c>
      <c r="AX430" s="121" t="n">
        <v>-61.12</v>
      </c>
      <c r="AY430" s="121" t="n">
        <v>2.14</v>
      </c>
      <c r="AZ430" s="121" t="n">
        <v>-5.87</v>
      </c>
      <c r="BA430" s="121" t="n">
        <v>-5.9</v>
      </c>
      <c r="BB430" s="108" t="inlineStr">
        <is>
          <t>China Biotech ETF (HS biotech proxy)</t>
        </is>
      </c>
      <c r="BC430" s="121" t="n">
        <v>-61.97</v>
      </c>
      <c r="BD430" s="109" t="n">
        <v>46297</v>
      </c>
      <c r="BE430" s="110" t="n">
        <v>1054.4</v>
      </c>
      <c r="BF430" s="113" t="n">
        <v>88.2</v>
      </c>
      <c r="BG430" s="108" t="inlineStr">
        <is>
          <t>Y</t>
        </is>
      </c>
      <c r="BH430" s="123" t="n">
        <v>43.7</v>
      </c>
      <c r="BI430" s="122" t="n"/>
      <c r="BJ430" s="122" t="n"/>
      <c r="BK430" s="123" t="n">
        <v>3.7</v>
      </c>
      <c r="BL430" s="124">
        <f>IF('BBG Verify'!S430="","not filed; run on terminal",'BBG Verify'!S430)</f>
        <v/>
      </c>
      <c r="BM430" s="125" t="inlineStr">
        <is>
          <t>N</t>
        </is>
      </c>
      <c r="BN430" s="126">
        <f>IF('BBG Verify'!K430="","not filed; run on terminal",'BBG Verify'!K430)</f>
        <v/>
      </c>
      <c r="BO430" s="108" t="inlineStr">
        <is>
          <t>N/A</t>
        </is>
      </c>
      <c r="BP430" s="108" t="inlineStr">
        <is>
          <t>N/A</t>
        </is>
      </c>
      <c r="BQ430" s="108" t="inlineStr">
        <is>
          <t>N/A</t>
        </is>
      </c>
      <c r="BR430" s="108" t="inlineStr">
        <is>
          <t>N/A</t>
        </is>
      </c>
      <c r="BS430" s="108" t="inlineStr">
        <is>
          <t>N/A</t>
        </is>
      </c>
      <c r="BT430" s="108" t="inlineStr">
        <is>
          <t>N/A</t>
        </is>
      </c>
      <c r="BU430" s="125" t="inlineStr">
        <is>
          <t>Haitong International Capital Limited; SPDB International Capital Limited; Haitong International Securities Company Limited</t>
        </is>
      </c>
      <c r="BV430" s="108" t="inlineStr">
        <is>
          <t>Haitong International Capital Limited; SPDB International Capital Limited</t>
        </is>
      </c>
      <c r="BW430" s="108" t="inlineStr">
        <is>
          <t>Haitong International Securities Company Limited; SPDB International Capital Limited; CMB International Capital Limited; China Galaxy International Securities (Hong Kong) Co., Limited; CCB International Capital Limited; ICBC International Securities Limited; China Renaissance Securities (Hong Kong) Limited; Futu Securities International (Hong Kong) Limited; Zhongtai International Securities Limited; XCap Partners Limited; Funde Securities Limited; Tiger Brokers (HK) Global Limited</t>
        </is>
      </c>
      <c r="BX430" s="108" t="inlineStr">
        <is>
          <t>CCB International Capital Limited; China Galaxy International Securities (Hong Kong) Company Limited; CMB International Capital Limited; China Renaissance Securities (Hong Kong) Limited; Funde Securities Limited; Futu Securities International (Hong Kong) Limited; Haitong International Securities Company Limited; ICBC International Securities Limited; SPDB International Capital Limited; Tiger Brokers (HK) Global Limited; XCap Partners Limited; Zhongtai International Securities Limited</t>
        </is>
      </c>
      <c r="BY430" s="127">
        <f>HYPERLINK("https://www1.hkexnews.hk/listedco/listconews/sehk/2026/0129/2026012900021.pdf","prospectus")</f>
        <v/>
      </c>
      <c r="BZ430" s="127">
        <f>HYPERLINK("https://www1.hkexnews.hk/listedco/listconews/sehk/2026/0205/2026020501800.pdf","allotment")</f>
        <v/>
      </c>
      <c r="CA430" s="127">
        <f>HYPERLINK("https://www1.hkexnews.hk/listedco/listconews/sehk/2026/0305/2026030502008.pdf","stabilisation")</f>
        <v/>
      </c>
      <c r="CB430" s="128" t="n"/>
      <c r="CC430" s="108" t="inlineStr">
        <is>
          <t>stabilising manager: not named in the allotment notice or prospectus glossary</t>
        </is>
      </c>
    </row>
    <row r="431" ht="22" customHeight="1">
      <c r="A431" s="107" t="inlineStr">
        <is>
          <t>3200</t>
        </is>
      </c>
      <c r="B431" s="108" t="inlineStr">
        <is>
          <t>HANS CNC</t>
        </is>
      </c>
      <c r="C431" s="108" t="inlineStr">
        <is>
          <t>大族數控</t>
        </is>
      </c>
      <c r="D431" s="108" t="inlineStr">
        <is>
          <t>Industrials</t>
        </is>
      </c>
      <c r="E431" s="108" t="inlineStr">
        <is>
          <t>Capital goods / machinery</t>
        </is>
      </c>
      <c r="F431" s="108" t="inlineStr">
        <is>
          <t>Printed Circuit Boards</t>
        </is>
      </c>
      <c r="G431" s="108" t="inlineStr">
        <is>
          <t>Standard</t>
        </is>
      </c>
      <c r="H431" s="109" t="n">
        <v>46059</v>
      </c>
      <c r="I431" s="110" t="n">
        <v>4833.3</v>
      </c>
      <c r="J431" s="108" t="inlineStr">
        <is>
          <t>gross (stated)</t>
        </is>
      </c>
      <c r="K431" s="129" t="n"/>
      <c r="L431" s="111" t="n">
        <v>95.8</v>
      </c>
      <c r="M431" s="111" t="n">
        <v>95.8</v>
      </c>
      <c r="N431" s="108" t="inlineStr">
        <is>
          <t>Y</t>
        </is>
      </c>
      <c r="O431" s="112" t="n">
        <v>100</v>
      </c>
      <c r="P431" s="118" t="n"/>
      <c r="Q431" s="113" t="n">
        <v>40277.5</v>
      </c>
      <c r="R431" s="108" t="inlineStr">
        <is>
          <t>derived:deal size / offer % of enlarged capital</t>
        </is>
      </c>
      <c r="S431" s="114" t="n">
        <v>446.39</v>
      </c>
      <c r="T431" s="115" t="n">
        <v>21.07</v>
      </c>
      <c r="U431" s="116" t="n">
        <v>50</v>
      </c>
      <c r="V431" s="117" t="n">
        <v>218</v>
      </c>
      <c r="W431" s="112" t="n">
        <v>10</v>
      </c>
      <c r="X431" s="108" t="inlineStr">
        <is>
          <t>NA</t>
        </is>
      </c>
      <c r="Y431" s="113" t="n">
        <v>2416.65</v>
      </c>
      <c r="Z431" s="113" t="n">
        <v>25225900</v>
      </c>
      <c r="AA431" s="112" t="n">
        <v>6</v>
      </c>
      <c r="AB431" s="108" t="inlineStr">
        <is>
          <t>Schroders; HHLR Advisors (Hillhouse); Morgan Stanley Asia Limited; Fullgoal Fund; Hongxing International; OmniVision HK; Industrial Bank WM</t>
        </is>
      </c>
      <c r="AC431" s="108" t="inlineStr">
        <is>
          <t>schroders;hhlr;morgan;fullgoal;hongxing;omnivision;industrial</t>
        </is>
      </c>
      <c r="AD431" s="112" t="n">
        <v>15</v>
      </c>
      <c r="AE431" s="108" t="inlineStr">
        <is>
          <t>full</t>
        </is>
      </c>
      <c r="AF431" s="108" t="inlineStr">
        <is>
          <t>2026-03-05</t>
        </is>
      </c>
      <c r="AG431" s="108" t="inlineStr">
        <is>
          <t>China International Capital Corporation Hong Kong Securities Limited</t>
        </is>
      </c>
      <c r="AH431" s="108" t="inlineStr">
        <is>
          <t>China International</t>
        </is>
      </c>
      <c r="AI431" s="120" t="n">
        <v>23.38</v>
      </c>
      <c r="AJ431" s="121" t="n">
        <v>14.82</v>
      </c>
      <c r="AK431" s="121" t="n">
        <v>-0.87</v>
      </c>
      <c r="AL431" s="121" t="n">
        <v>10.65</v>
      </c>
      <c r="AM431" s="121" t="n">
        <v>3.77</v>
      </c>
      <c r="AN431" s="123" t="n">
        <v>2.6</v>
      </c>
      <c r="AO431" s="112" t="n">
        <v>10.28</v>
      </c>
      <c r="AP431" s="121" t="n">
        <v>17.54</v>
      </c>
      <c r="AQ431" s="121" t="n">
        <v>21.92</v>
      </c>
      <c r="AR431" s="121" t="n">
        <v>69.42</v>
      </c>
      <c r="AS431" s="121" t="n">
        <v>2.37</v>
      </c>
      <c r="AT431" s="121" t="n">
        <v>6.18</v>
      </c>
      <c r="AU431" s="121" t="n">
        <v>47.55</v>
      </c>
      <c r="AV431" s="121" t="n">
        <v>18.24</v>
      </c>
      <c r="AW431" s="121" t="n">
        <v>26.5</v>
      </c>
      <c r="AX431" s="121" t="n">
        <v>76.59999999999999</v>
      </c>
      <c r="AY431" s="121" t="n">
        <v>9.92</v>
      </c>
      <c r="AZ431" s="121" t="n">
        <v>-4.58</v>
      </c>
      <c r="BA431" s="121" t="n">
        <v>-3.74</v>
      </c>
      <c r="BB431" s="108" t="inlineStr">
        <is>
          <t>Hang Seng Commerce &amp; Industry sub-index</t>
        </is>
      </c>
      <c r="BC431" s="121" t="n">
        <v>-1.88</v>
      </c>
      <c r="BD431" s="109" t="n">
        <v>46297</v>
      </c>
      <c r="BE431" s="110" t="n">
        <v>3677.4</v>
      </c>
      <c r="BF431" s="113" t="n">
        <v>329.5</v>
      </c>
      <c r="BG431" s="108" t="inlineStr">
        <is>
          <t>Y</t>
        </is>
      </c>
      <c r="BH431" s="123" t="n">
        <v>122.2</v>
      </c>
      <c r="BI431" s="123" t="n">
        <v>50.1</v>
      </c>
      <c r="BJ431" s="123" t="n">
        <v>50.2</v>
      </c>
      <c r="BK431" s="123" t="n">
        <v>11</v>
      </c>
      <c r="BL431" s="124">
        <f>IF('BBG Verify'!S431="","not filed; run on terminal",'BBG Verify'!S431)</f>
        <v/>
      </c>
      <c r="BM431" s="125" t="inlineStr">
        <is>
          <t>Y</t>
        </is>
      </c>
      <c r="BN431" s="108" t="inlineStr">
        <is>
          <t>301200.SZ</t>
        </is>
      </c>
      <c r="BO431" s="121" t="n">
        <v>84.04000000000001</v>
      </c>
      <c r="BP431" s="111" t="n">
        <v>176.3149</v>
      </c>
      <c r="BQ431" s="135" t="n">
        <v>1.7988</v>
      </c>
      <c r="BR431" s="113" t="n">
        <v>128683.3</v>
      </c>
      <c r="BS431" s="124">
        <f>IF('BBG Verify'!Q431="","run on terminal",'BBG Verify'!Q431)</f>
        <v/>
      </c>
      <c r="BT431" s="124">
        <f>IF('BBG Verify'!R431="","run on terminal",'BBG Verify'!R431)</f>
        <v/>
      </c>
      <c r="BU431" s="125" t="inlineStr">
        <is>
          <t>China International Capital Corporation Hong Kong Securities Limited</t>
        </is>
      </c>
      <c r="BV431" s="108" t="inlineStr">
        <is>
          <t>China International Capital Corporation Hong Kong Securities Limited</t>
        </is>
      </c>
      <c r="BW431" s="108" t="inlineStr">
        <is>
          <t>China International Capital Corporation Hong Kong Securities Limited; Deutsche Bank AG, Hong Kong Branch; Sinolink Securities (Hong Kong) Company Limited; SDIC Securities (Hong Kong) Limited; ABCI Capital Limited</t>
        </is>
      </c>
      <c r="BX431" s="108" t="inlineStr">
        <is>
          <t>ABCI Securities Company Limited; China International Capital Corporation Hong Kong Securities Limited; Deutsche Bank AG, Hong Kong Branch; SDIC Securities (Hong Kong) Limited; Sinolink Securities (Hong Kong) Company Limited</t>
        </is>
      </c>
      <c r="BY431" s="127">
        <f>HYPERLINK("https://www1.hkexnews.hk/listedco/listconews/sehk/2026/0129/2026012900019.pdf","prospectus")</f>
        <v/>
      </c>
      <c r="BZ431" s="127">
        <f>HYPERLINK("https://www1.hkexnews.hk/listedco/listconews/sehk/2026/0205/2026020502290.pdf","allotment")</f>
        <v/>
      </c>
      <c r="CA431" s="127">
        <f>HYPERLINK("https://www1.hkexnews.hk/listedco/listconews/sehk/2026/0305/2026030501746.pdf","stabilisation")</f>
        <v/>
      </c>
      <c r="CB431" s="128" t="n"/>
      <c r="CC431" s="108" t="inlineStr">
        <is>
          <t>range low: maximum offer price only, no floor published; A/H: Feb 2026 H listing (PCB drilling equipment)</t>
        </is>
      </c>
    </row>
    <row r="432" ht="22" customHeight="1">
      <c r="A432" s="107" t="inlineStr">
        <is>
          <t>2714</t>
        </is>
      </c>
      <c r="B432" s="108" t="inlineStr">
        <is>
          <t>MUYUAN</t>
        </is>
      </c>
      <c r="C432" s="108" t="inlineStr">
        <is>
          <t>牧原股份</t>
        </is>
      </c>
      <c r="D432" s="108" t="inlineStr">
        <is>
          <t>Consumer</t>
        </is>
      </c>
      <c r="E432" s="108" t="inlineStr">
        <is>
          <t>Beverages / packaged food</t>
        </is>
      </c>
      <c r="F432" s="108" t="inlineStr">
        <is>
          <t>Poultry, Meat and Seafood</t>
        </is>
      </c>
      <c r="G432" s="108" t="inlineStr">
        <is>
          <t>Standard</t>
        </is>
      </c>
      <c r="H432" s="109" t="n">
        <v>46059</v>
      </c>
      <c r="I432" s="110" t="n">
        <v>10684.1</v>
      </c>
      <c r="J432" s="108" t="inlineStr">
        <is>
          <t>gross (stated)</t>
        </is>
      </c>
      <c r="K432" s="129" t="n"/>
      <c r="L432" s="111" t="n">
        <v>39</v>
      </c>
      <c r="M432" s="111" t="n">
        <v>39</v>
      </c>
      <c r="N432" s="108" t="inlineStr">
        <is>
          <t>Y</t>
        </is>
      </c>
      <c r="O432" s="112" t="n">
        <v>100</v>
      </c>
      <c r="P432" s="118" t="n"/>
      <c r="Q432" s="113" t="n">
        <v>286002</v>
      </c>
      <c r="R432" s="108" t="inlineStr">
        <is>
          <t>prospectus:stated market capitalisation</t>
        </is>
      </c>
      <c r="S432" s="114" t="n">
        <v>5.88</v>
      </c>
      <c r="T432" s="115" t="n">
        <v>8.619999999999999</v>
      </c>
      <c r="U432" s="116" t="n">
        <v>50</v>
      </c>
      <c r="V432" s="117" t="n">
        <v>160</v>
      </c>
      <c r="W432" s="118" t="n"/>
      <c r="X432" s="108" t="inlineStr">
        <is>
          <t>NA</t>
        </is>
      </c>
      <c r="Y432" s="113" t="n">
        <v>5342.05</v>
      </c>
      <c r="Z432" s="113" t="n">
        <v>136975700</v>
      </c>
      <c r="AA432" s="112" t="n">
        <v>1.87</v>
      </c>
      <c r="AB432" s="108" t="inlineStr">
        <is>
          <t>Charoen Pokphand Foods (CPF); Wii Pte Ltd (Wilmar); HPRY Holdings (Wilmar); Sinochem Hong Kong (Group); Hong Kong Henan Agri International; FIL Investment Management (Hong Kong) Limited; RBC Global Asset Management (Asia) Limited; Perseverance Asset Management International (Singapore) Pte. Ltd; Shanghai Gaoyi Asset Management (via HTCI swaps); Ping An of China Asset Management (Hong Kong) Company Limited; Dajia Life Insurance Co., Ltd; UBS Asset Management (Singapore) Ltd; Midea Development Holding (BVI); Integrated Core Strategies (Asia) (Millennium); Jane Street Asia Trading Limited</t>
        </is>
      </c>
      <c r="AC432" s="108" t="inlineStr">
        <is>
          <t>charoen;wii;hpry;sinochem;henan;fil;rbc;perseverance;shanghai-gaoyi;ping;dajia;ubs;midea;integrated;jane</t>
        </is>
      </c>
      <c r="AD432" s="112" t="n">
        <v>15</v>
      </c>
      <c r="AE432" s="108" t="inlineStr">
        <is>
          <t>partial</t>
        </is>
      </c>
      <c r="AF432" s="108" t="inlineStr">
        <is>
          <t>2026-03-05</t>
        </is>
      </c>
      <c r="AG432" s="108" t="inlineStr">
        <is>
          <t>Morgan Stanley Asia Limited</t>
        </is>
      </c>
      <c r="AH432" s="108" t="inlineStr">
        <is>
          <t>Morgan Stanley</t>
        </is>
      </c>
      <c r="AI432" s="120" t="n">
        <v>5.13</v>
      </c>
      <c r="AJ432" s="121" t="n">
        <v>3.9</v>
      </c>
      <c r="AK432" s="121" t="n">
        <v>-0.87</v>
      </c>
      <c r="AL432" s="121" t="n">
        <v>0</v>
      </c>
      <c r="AM432" s="121" t="n">
        <v>3.9</v>
      </c>
      <c r="AN432" s="122" t="n"/>
      <c r="AO432" s="112" t="n">
        <v>7.03</v>
      </c>
      <c r="AP432" s="121" t="n">
        <v>0.51</v>
      </c>
      <c r="AQ432" s="121" t="n">
        <v>19.69</v>
      </c>
      <c r="AR432" s="121" t="n">
        <v>0.67</v>
      </c>
      <c r="AS432" s="121" t="n">
        <v>-3.26</v>
      </c>
      <c r="AT432" s="121" t="n">
        <v>15.2</v>
      </c>
      <c r="AU432" s="121" t="n">
        <v>-3.11</v>
      </c>
      <c r="AV432" s="121" t="n">
        <v>1.21</v>
      </c>
      <c r="AW432" s="121" t="n">
        <v>24.27</v>
      </c>
      <c r="AX432" s="121" t="n">
        <v>7.85</v>
      </c>
      <c r="AY432" s="121" t="n">
        <v>18.94</v>
      </c>
      <c r="AZ432" s="121" t="n">
        <v>-4.58</v>
      </c>
      <c r="BA432" s="121" t="n">
        <v>-3.74</v>
      </c>
      <c r="BB432" s="108" t="inlineStr">
        <is>
          <t>Hang Seng Commerce &amp; Industry sub-index</t>
        </is>
      </c>
      <c r="BC432" s="121" t="n">
        <v>-5.69</v>
      </c>
      <c r="BD432" s="109" t="n">
        <v>46297</v>
      </c>
      <c r="BE432" s="110" t="n">
        <v>158559.5</v>
      </c>
      <c r="BF432" s="113" t="n">
        <v>16992.9</v>
      </c>
      <c r="BG432" s="108" t="inlineStr">
        <is>
          <t>Y</t>
        </is>
      </c>
      <c r="BH432" s="123" t="n">
        <v>16.8</v>
      </c>
      <c r="BI432" s="123" t="n">
        <v>12.5</v>
      </c>
      <c r="BJ432" s="123" t="n">
        <v>9.9</v>
      </c>
      <c r="BK432" s="123" t="n">
        <v>1.8</v>
      </c>
      <c r="BL432" s="124">
        <f>IF('BBG Verify'!S432="","not filed; run on terminal",'BBG Verify'!S432)</f>
        <v/>
      </c>
      <c r="BM432" s="125" t="inlineStr">
        <is>
          <t>Y</t>
        </is>
      </c>
      <c r="BN432" s="108" t="inlineStr">
        <is>
          <t>002714.SZ</t>
        </is>
      </c>
      <c r="BO432" s="121" t="n">
        <v>34.91</v>
      </c>
      <c r="BP432" s="111" t="n">
        <v>52.613</v>
      </c>
      <c r="BQ432" s="135" t="n">
        <v>0.3506</v>
      </c>
      <c r="BR432" s="113" t="n">
        <v>286891.7</v>
      </c>
      <c r="BS432" s="124">
        <f>IF('BBG Verify'!Q432="","run on terminal",'BBG Verify'!Q432)</f>
        <v/>
      </c>
      <c r="BT432" s="124">
        <f>IF('BBG Verify'!R432="","run on terminal",'BBG Verify'!R432)</f>
        <v/>
      </c>
      <c r="BU432" s="125" t="inlineStr">
        <is>
          <t>Morgan Stanley Asia Limited; CITIC Securities (Hong Kong) Limited; Goldman Sachs (Asia) L.L.C</t>
        </is>
      </c>
      <c r="BV432" s="108" t="inlineStr">
        <is>
          <t>Morgan Stanley Asia Limited; Goldman Sachs (Asia) L.L.C.; CITIC Securities (Hong Kong) Limited</t>
        </is>
      </c>
      <c r="BW432" s="108" t="inlineStr">
        <is>
          <t>Morgan Stanley Asia Limited; CLSA Limited; Goldman Sachs (Asia) L.L.C; China International Capital Corporation Hong Kong Securities Limited; Merrill Lynch (Asia Pacific) Limited; CMB International Capital Limited; China Merchants Securities (HK) Co., Limited; ABCI Capital Limited; BOCI Asia Limited; CCB International Capital Limited; BOCOM International Securities Limited</t>
        </is>
      </c>
      <c r="BX432" s="108" t="inlineStr">
        <is>
          <t>ABCI Securities Company Limited; BOCI Asia Limited; BOCOM International Securities Limited; CCB International Capital Limited; China Everbright Securities (HK) Limited; China Galaxy International Securities (Hong Kong) Company Limited; Changjiang Securities Brokerage (HK) Limited; China International Capital Corporation Hong Kong Securities Limited; CLSA Limited; CMB International Capital Corporation Limited; China Merchants Securities (HK) Company Limited; Futu Securities International (Hong Kong) Limited</t>
        </is>
      </c>
      <c r="BY432" s="127">
        <f>HYPERLINK("https://www1.hkexnews.hk/listedco/listconews/sehk/2026/0129/2026012900023.pdf","prospectus")</f>
        <v/>
      </c>
      <c r="BZ432" s="127">
        <f>HYPERLINK("https://www1.hkexnews.hk/listedco/listconews/sehk/2026/0205/2026020502402.pdf","allotment")</f>
        <v/>
      </c>
      <c r="CA432" s="127">
        <f>HYPERLINK("https://www1.hkexnews.hk/listedco/listconews/sehk/2026/0305/2026030501974.pdf","stabilisation")</f>
        <v/>
      </c>
      <c r="CB432" s="128" t="n"/>
      <c r="CC432" s="108" t="inlineStr">
        <is>
          <t>range low: maximum offer price only, no floor published; A/H: Feb 2026, net proceeds up to HK$12.0bn w/ greenshoe; subdued debut; allocation: allocation table not in this notice's format (older prose announcement); day-1 tape: volume on file; the retail multiple needs the final public split, which this notice does not state</t>
        </is>
      </c>
    </row>
    <row r="433" ht="22" customHeight="1">
      <c r="A433" s="107" t="inlineStr">
        <is>
          <t>6809</t>
        </is>
      </c>
      <c r="B433" s="108" t="inlineStr">
        <is>
          <t>MONTAGE TECH</t>
        </is>
      </c>
      <c r="C433" s="108" t="inlineStr">
        <is>
          <t>瀾起科技</t>
        </is>
      </c>
      <c r="D433" s="108" t="inlineStr">
        <is>
          <t>Tech/AI</t>
        </is>
      </c>
      <c r="E433" s="108" t="inlineStr">
        <is>
          <t>Memory / interface semiconductors</t>
        </is>
      </c>
      <c r="F433" s="108" t="inlineStr">
        <is>
          <t>Semiconductors &amp; Semiconductor Equipment</t>
        </is>
      </c>
      <c r="G433" s="108" t="inlineStr">
        <is>
          <t>Standard</t>
        </is>
      </c>
      <c r="H433" s="109" t="n">
        <v>46062</v>
      </c>
      <c r="I433" s="110" t="n">
        <v>7043</v>
      </c>
      <c r="J433" s="108" t="inlineStr">
        <is>
          <t>gross (stated)</t>
        </is>
      </c>
      <c r="K433" s="129" t="n"/>
      <c r="L433" s="111" t="n">
        <v>106.89</v>
      </c>
      <c r="M433" s="111" t="n">
        <v>106.89</v>
      </c>
      <c r="N433" s="108" t="inlineStr">
        <is>
          <t>Y</t>
        </is>
      </c>
      <c r="O433" s="112" t="n">
        <v>100</v>
      </c>
      <c r="P433" s="118" t="n"/>
      <c r="Q433" s="113" t="n">
        <v>113600.4</v>
      </c>
      <c r="R433" s="108" t="inlineStr">
        <is>
          <t>derived:deal size / offer % of enlarged capital</t>
        </is>
      </c>
      <c r="S433" s="114" t="n">
        <v>707.3</v>
      </c>
      <c r="T433" s="115" t="n">
        <v>37.67</v>
      </c>
      <c r="U433" s="116" t="n">
        <v>49.82</v>
      </c>
      <c r="V433" s="117" t="n">
        <v>412</v>
      </c>
      <c r="W433" s="112" t="n">
        <v>10</v>
      </c>
      <c r="X433" s="108" t="inlineStr">
        <is>
          <t>NA</t>
        </is>
      </c>
      <c r="Y433" s="113" t="n">
        <v>3534.18</v>
      </c>
      <c r="Z433" s="113" t="n">
        <v>33063602</v>
      </c>
      <c r="AA433" s="112" t="n">
        <v>3.11</v>
      </c>
      <c r="AB433" s="108" t="inlineStr">
        <is>
          <t>J.P. Morgan Investment Management Inc; UBS Asset Management (Singapore) Ltd; Yunfeng Investments Limited New Alternative Limited; New Golden Future Limited; Alisoft China Holding Limited; Aspex Master Fund; Janchor Partners Pan-Asian Master Fund; Baring Asset Management (Asia) Limited; Mirae Asset Securities Co., Ltd; AGIC Partners Holding (Cayman) II Limited; Hel Ved Master Fund; Huaqin Telecom Hong Kong Limited; Huadeng Summit Fortitude Ventures Ltd; PSBC Wealth Management Co., Ltd; Taikang Life Insurance Co., Ltd; MY Asian Opportunities Master Fund, L.P; Qube Master Fund Ltd</t>
        </is>
      </c>
      <c r="AC433" s="108" t="inlineStr">
        <is>
          <t>morgan;ubs;yunfeng;new-golden;alisoft;aspex;janchor;baring;mirae;agic;hel;huaqin;huadeng;psbc;taikang;my;qube</t>
        </is>
      </c>
      <c r="AD433" s="112" t="n">
        <v>15</v>
      </c>
      <c r="AE433" s="108" t="inlineStr">
        <is>
          <t>full</t>
        </is>
      </c>
      <c r="AF433" s="108" t="inlineStr">
        <is>
          <t>2026-03-06</t>
        </is>
      </c>
      <c r="AG433" s="108" t="inlineStr">
        <is>
          <t>Morgan Stanley Asia Limited</t>
        </is>
      </c>
      <c r="AH433" s="108" t="inlineStr">
        <is>
          <t>Morgan Stanley</t>
        </is>
      </c>
      <c r="AI433" s="120" t="n">
        <v>39.77</v>
      </c>
      <c r="AJ433" s="121" t="n">
        <v>63.72</v>
      </c>
      <c r="AK433" s="121" t="n">
        <v>1.34</v>
      </c>
      <c r="AL433" s="121" t="n">
        <v>57.17</v>
      </c>
      <c r="AM433" s="121" t="n">
        <v>4.17</v>
      </c>
      <c r="AN433" s="123" t="n">
        <v>3.21</v>
      </c>
      <c r="AO433" s="112" t="n">
        <v>11.9</v>
      </c>
      <c r="AP433" s="121" t="n">
        <v>97.40000000000001</v>
      </c>
      <c r="AQ433" s="121" t="n">
        <v>64.19</v>
      </c>
      <c r="AR433" s="121" t="n">
        <v>312.39</v>
      </c>
      <c r="AS433" s="121" t="n">
        <v>20.57</v>
      </c>
      <c r="AT433" s="121" t="n">
        <v>0.29</v>
      </c>
      <c r="AU433" s="121" t="n">
        <v>151.89</v>
      </c>
      <c r="AV433" s="121" t="n">
        <v>97.02</v>
      </c>
      <c r="AW433" s="121" t="n">
        <v>71.06999999999999</v>
      </c>
      <c r="AX433" s="121" t="n">
        <v>321.84</v>
      </c>
      <c r="AY433" s="121" t="n">
        <v>8.4</v>
      </c>
      <c r="AZ433" s="121" t="n">
        <v>-6.88</v>
      </c>
      <c r="BA433" s="121" t="n">
        <v>-8.109999999999999</v>
      </c>
      <c r="BB433" s="108" t="inlineStr">
        <is>
          <t>HSTECH (Hang Seng TECH ETF)</t>
        </is>
      </c>
      <c r="BC433" s="121" t="n">
        <v>170.93</v>
      </c>
      <c r="BD433" s="109" t="n">
        <v>46297</v>
      </c>
      <c r="BE433" s="110" t="n">
        <v>4002.8</v>
      </c>
      <c r="BF433" s="113" t="n">
        <v>1474.8</v>
      </c>
      <c r="BG433" s="108" t="inlineStr">
        <is>
          <t>Y</t>
        </is>
      </c>
      <c r="BH433" s="123" t="n">
        <v>77</v>
      </c>
      <c r="BI433" s="123" t="n">
        <v>79.09999999999999</v>
      </c>
      <c r="BJ433" s="123" t="n">
        <v>136.4</v>
      </c>
      <c r="BK433" s="123" t="n">
        <v>28.4</v>
      </c>
      <c r="BL433" s="124">
        <f>IF('BBG Verify'!S433="","not filed; run on terminal",'BBG Verify'!S433)</f>
        <v/>
      </c>
      <c r="BM433" s="125" t="inlineStr">
        <is>
          <t>Y</t>
        </is>
      </c>
      <c r="BN433" s="108" t="inlineStr">
        <is>
          <t>688008.SS</t>
        </is>
      </c>
      <c r="BO433" s="121" t="n">
        <v>72.29000000000001</v>
      </c>
      <c r="BP433" s="111" t="n">
        <v>184.1562</v>
      </c>
      <c r="BQ433" s="135" t="n">
        <v>-0.1825</v>
      </c>
      <c r="BR433" s="113" t="n">
        <v>289081</v>
      </c>
      <c r="BS433" s="124">
        <f>IF('BBG Verify'!Q433="","run on terminal",'BBG Verify'!Q433)</f>
        <v/>
      </c>
      <c r="BT433" s="124">
        <f>IF('BBG Verify'!R433="","run on terminal",'BBG Verify'!R433)</f>
        <v/>
      </c>
      <c r="BU433" s="125" t="inlineStr">
        <is>
          <t>China International Capital Corporation Hong Kong Securities Limited; Morgan Stanley Asia Limited; UBS Securities Hong Kong Limited</t>
        </is>
      </c>
      <c r="BV433" s="108" t="inlineStr">
        <is>
          <t>China International Capital Corporation Hong Kong Securities Limited; Morgan Stanley Asia Limited; UBS Securities Hong Kong Limited</t>
        </is>
      </c>
      <c r="BW433" s="108" t="inlineStr">
        <is>
          <t>China International Capital Corporation Hong Kong Securities Limited; Morgan Stanley Asia Limited; UBS AG Hong Kong Branch</t>
        </is>
      </c>
      <c r="BX433" s="108" t="inlineStr">
        <is>
          <t>China International Capital Corporation Hong Kong Securities Limited; CLSA Limited; Goldman Sachs (Asia) L.L.C.; Morgan Stanley Asia Limited; UBS AG Hong Kong Branch</t>
        </is>
      </c>
      <c r="BY433" s="127">
        <f>HYPERLINK("https://www1.hkexnews.hk/listedco/listconews/sehk/2026/0130/2026013000007.pdf","prospectus")</f>
        <v/>
      </c>
      <c r="BZ433" s="127">
        <f>HYPERLINK("https://www1.hkexnews.hk/listedco/listconews/sehk/2026/0206/2026020601350.pdf","allotment")</f>
        <v/>
      </c>
      <c r="CA433" s="127">
        <f>HYPERLINK("https://www1.hkexnews.hk/listedco/listconews/sehk/2026/0306/2026030600629.pdf","stabilisation")</f>
        <v/>
      </c>
      <c r="CB433" s="128" t="n"/>
      <c r="CC433" s="108" t="inlineStr">
        <is>
          <t>range low: maximum offer price only, no floor published; A/H: Feb 2026 H listing (memory interface chips)</t>
        </is>
      </c>
    </row>
    <row r="434" ht="22" customHeight="1">
      <c r="A434" s="107" t="inlineStr">
        <is>
          <t>2720</t>
        </is>
      </c>
      <c r="B434" s="108" t="inlineStr">
        <is>
          <t>RIDGE OUTDOOR</t>
        </is>
      </c>
      <c r="C434" s="108" t="inlineStr">
        <is>
          <t>樂欣戶外</t>
        </is>
      </c>
      <c r="D434" s="108" t="inlineStr">
        <is>
          <t>Consumer</t>
        </is>
      </c>
      <c r="E434" s="108" t="inlineStr">
        <is>
          <t>Retail / distribution</t>
        </is>
      </c>
      <c r="F434" s="108" t="inlineStr">
        <is>
          <t>Leisure Products</t>
        </is>
      </c>
      <c r="G434" s="108" t="inlineStr">
        <is>
          <t>Standard</t>
        </is>
      </c>
      <c r="H434" s="109" t="n">
        <v>46063</v>
      </c>
      <c r="I434" s="110" t="n">
        <v>345.5</v>
      </c>
      <c r="J434" s="108" t="inlineStr">
        <is>
          <t>gross (stated)</t>
        </is>
      </c>
      <c r="K434" s="111" t="n">
        <v>11.25</v>
      </c>
      <c r="L434" s="111" t="n">
        <v>12.25</v>
      </c>
      <c r="M434" s="111" t="n">
        <v>12.25</v>
      </c>
      <c r="N434" s="108" t="inlineStr">
        <is>
          <t>Y</t>
        </is>
      </c>
      <c r="O434" s="112" t="n">
        <v>100</v>
      </c>
      <c r="P434" s="112" t="n">
        <v>100</v>
      </c>
      <c r="Q434" s="113" t="n">
        <v>1570.5</v>
      </c>
      <c r="R434" s="108" t="inlineStr">
        <is>
          <t>derived:price x shares upon listing</t>
        </is>
      </c>
      <c r="S434" s="114" t="n">
        <v>3654.23</v>
      </c>
      <c r="T434" s="115" t="n">
        <v>2.94</v>
      </c>
      <c r="U434" s="116" t="n">
        <v>37.62</v>
      </c>
      <c r="V434" s="117" t="n">
        <v>74</v>
      </c>
      <c r="W434" s="112" t="n">
        <v>10</v>
      </c>
      <c r="X434" s="108" t="inlineStr">
        <is>
          <t>NO</t>
        </is>
      </c>
      <c r="Y434" s="113" t="n">
        <v>215.52</v>
      </c>
      <c r="Z434" s="113" t="n">
        <v>17594279</v>
      </c>
      <c r="AA434" s="112" t="n">
        <v>13.72</v>
      </c>
      <c r="AB434" s="108" t="inlineStr">
        <is>
          <t>Orbit Venture Capital Management Co., Limited; Huangshan Dejun Enterprise Management Co., Ltd</t>
        </is>
      </c>
      <c r="AC434" s="108" t="inlineStr">
        <is>
          <t>orbit;huangshan</t>
        </is>
      </c>
      <c r="AD434" s="118" t="n"/>
      <c r="AE434" s="119" t="n"/>
      <c r="AF434" s="119" t="n"/>
      <c r="AG434" s="119" t="n"/>
      <c r="AH434" s="119" t="n"/>
      <c r="AI434" s="120" t="n">
        <v>99.84</v>
      </c>
      <c r="AJ434" s="121" t="n">
        <v>102.29</v>
      </c>
      <c r="AK434" s="121" t="n">
        <v>0.82</v>
      </c>
      <c r="AL434" s="121" t="n">
        <v>96.08</v>
      </c>
      <c r="AM434" s="121" t="n">
        <v>3.17</v>
      </c>
      <c r="AN434" s="123" t="n">
        <v>2.21</v>
      </c>
      <c r="AO434" s="112" t="n">
        <v>32.89</v>
      </c>
      <c r="AP434" s="121" t="n">
        <v>124.49</v>
      </c>
      <c r="AQ434" s="121" t="n">
        <v>112.24</v>
      </c>
      <c r="AR434" s="121" t="n">
        <v>100.82</v>
      </c>
      <c r="AS434" s="121" t="n">
        <v>10.97</v>
      </c>
      <c r="AT434" s="121" t="n">
        <v>4.92</v>
      </c>
      <c r="AU434" s="121" t="n">
        <v>-0.73</v>
      </c>
      <c r="AV434" s="121" t="n">
        <v>126.89</v>
      </c>
      <c r="AW434" s="121" t="n">
        <v>116.15</v>
      </c>
      <c r="AX434" s="121" t="n">
        <v>108.97</v>
      </c>
      <c r="AY434" s="121" t="n">
        <v>9.619999999999999</v>
      </c>
      <c r="AZ434" s="121" t="n">
        <v>-3.91</v>
      </c>
      <c r="BA434" s="121" t="n">
        <v>-4.7</v>
      </c>
      <c r="BB434" s="108" t="inlineStr">
        <is>
          <t>Hang Seng Commerce &amp; Industry sub-index</t>
        </is>
      </c>
      <c r="BC434" s="121" t="n">
        <v>94.78</v>
      </c>
      <c r="BD434" s="109" t="n">
        <v>46297</v>
      </c>
      <c r="BE434" s="110" t="n">
        <v>630.8</v>
      </c>
      <c r="BF434" s="113" t="n">
        <v>65.3</v>
      </c>
      <c r="BG434" s="108" t="inlineStr">
        <is>
          <t>Y</t>
        </is>
      </c>
      <c r="BH434" s="123" t="n">
        <v>24.1</v>
      </c>
      <c r="BI434" s="122" t="n"/>
      <c r="BJ434" s="122" t="n"/>
      <c r="BK434" s="123" t="n">
        <v>2.5</v>
      </c>
      <c r="BL434" s="124">
        <f>IF('BBG Verify'!S434="","not filed; run on terminal",'BBG Verify'!S434)</f>
        <v/>
      </c>
      <c r="BM434" s="125" t="inlineStr">
        <is>
          <t>N</t>
        </is>
      </c>
      <c r="BN434" s="126">
        <f>IF('BBG Verify'!K434="","not filed; run on terminal",'BBG Verify'!K434)</f>
        <v/>
      </c>
      <c r="BO434" s="108" t="inlineStr">
        <is>
          <t>N/A</t>
        </is>
      </c>
      <c r="BP434" s="108" t="inlineStr">
        <is>
          <t>N/A</t>
        </is>
      </c>
      <c r="BQ434" s="108" t="inlineStr">
        <is>
          <t>N/A</t>
        </is>
      </c>
      <c r="BR434" s="108" t="inlineStr">
        <is>
          <t>N/A</t>
        </is>
      </c>
      <c r="BS434" s="108" t="inlineStr">
        <is>
          <t>N/A</t>
        </is>
      </c>
      <c r="BT434" s="108" t="inlineStr">
        <is>
          <t>N/A</t>
        </is>
      </c>
      <c r="BU434" s="125" t="inlineStr">
        <is>
          <t>China International Capital Corporation Hong Kong Securities Limited</t>
        </is>
      </c>
      <c r="BV434" s="108" t="inlineStr">
        <is>
          <t>China International Capital Corporation Hong Kong Securities Limited</t>
        </is>
      </c>
      <c r="BW434" s="108" t="inlineStr">
        <is>
          <t>China International Capital Corporation Hong Kong Securities Limited; Futu Securities International (Hong Kong) Limited; Fuze Securities (International) Limited</t>
        </is>
      </c>
      <c r="BX434" s="108" t="inlineStr">
        <is>
          <t>China International Capital Corporation Hong Kong Securities Limited; Futu Securities International (Hong Kong) Limited; FUZE SECURITIES (INTERNATIONAL) LIMITED</t>
        </is>
      </c>
      <c r="BY434" s="127">
        <f>HYPERLINK("https://www1.hkexnews.hk/listedco/listconews/sehk/2026/0130/2026013002014.pdf","prospectus")</f>
        <v/>
      </c>
      <c r="BZ434" s="127">
        <f>HYPERLINK("https://www1.hkexnews.hk/listedco/listconews/sehk/2026/0209/2026020901096.pdf","allotment")</f>
        <v/>
      </c>
      <c r="CA434" s="119" t="n"/>
      <c r="CB434" s="128" t="n"/>
      <c r="CC434" s="108" t="inlineStr">
        <is>
          <t>greenshoe: no over-allotment option; greenshoe size: no over-allotment option; stabilising manager: no over-allotment option, so none appointed</t>
        </is>
      </c>
    </row>
    <row r="435" ht="22" customHeight="1">
      <c r="A435" s="107" t="inlineStr">
        <is>
          <t>0600</t>
        </is>
      </c>
      <c r="B435" s="108" t="inlineStr">
        <is>
          <t>AXERA</t>
        </is>
      </c>
      <c r="C435" s="108" t="inlineStr">
        <is>
          <t>愛芯元智</t>
        </is>
      </c>
      <c r="D435" s="108" t="inlineStr">
        <is>
          <t>Tech/AI</t>
        </is>
      </c>
      <c r="E435" s="108" t="inlineStr">
        <is>
          <t>Compute / AI semiconductors</t>
        </is>
      </c>
      <c r="F435" s="108" t="inlineStr">
        <is>
          <t>Semiconductors &amp; Semiconductor Equipment</t>
        </is>
      </c>
      <c r="G435" s="108" t="inlineStr">
        <is>
          <t>Standard</t>
        </is>
      </c>
      <c r="H435" s="109" t="n">
        <v>46063</v>
      </c>
      <c r="I435" s="110" t="n">
        <v>2958.6</v>
      </c>
      <c r="J435" s="108" t="inlineStr">
        <is>
          <t>gross (stated)</t>
        </is>
      </c>
      <c r="K435" s="129" t="n"/>
      <c r="L435" s="111" t="n">
        <v>28.2</v>
      </c>
      <c r="M435" s="111" t="n">
        <v>28.2</v>
      </c>
      <c r="N435" s="108" t="inlineStr">
        <is>
          <t>Y</t>
        </is>
      </c>
      <c r="O435" s="112" t="n">
        <v>100</v>
      </c>
      <c r="P435" s="118" t="n"/>
      <c r="Q435" s="113" t="n">
        <v>16580</v>
      </c>
      <c r="R435" s="108" t="inlineStr">
        <is>
          <t>press:sina/HKCD 2026-02-10: 发行价28.2 市值165.8亿</t>
        </is>
      </c>
      <c r="S435" s="114" t="n">
        <v>104.82</v>
      </c>
      <c r="T435" s="115" t="n">
        <v>6.8</v>
      </c>
      <c r="U435" s="116" t="n">
        <v>48.76</v>
      </c>
      <c r="V435" s="117" t="n">
        <v>138</v>
      </c>
      <c r="W435" s="112" t="n">
        <v>10</v>
      </c>
      <c r="X435" s="108" t="inlineStr">
        <is>
          <t>NA</t>
        </is>
      </c>
      <c r="Y435" s="113" t="n">
        <v>1515.99</v>
      </c>
      <c r="Z435" s="131" t="n"/>
      <c r="AA435" s="112" t="n">
        <v>9.140000000000001</v>
      </c>
      <c r="AB435" s="108" t="inlineStr">
        <is>
          <t>Xin Ma Apparel International Limited; JSC International Investment Fund SPC; NGS Super Pty Limited; Desay SV Automotive Singapore Pte. Ltd; Factorial Master Fund; Hel Ved Master Fund; Valliance Asset Management Limited; Alphahill Capital Limited; Joyson Electronics Holdings Hong Kong Limited; Jupiter Global Master Fund Ltd; GRANITE ASIA IX VCC (for the account of and on behalf of GX ACCESS); Longhorn Note 2 and CICC Financial Trading Limited (in connection with Longhorn OTC Swaps); NonaVerse (Hong Kong) Limited; Qingdao Guanlan Note 2 and Guotai Junan Investments (Hong Kong) Limited (in connection with Guanlan OTC Swaps); Jinyi Capital Multi-Strategy Fund SPC Ltd</t>
        </is>
      </c>
      <c r="AC435" s="108" t="inlineStr">
        <is>
          <t>xin;jsc;ngs;desay;factorial;hel;valliance;alphahill;joyson;jupiter;granite;longhorn;nonaverse;qingdao;jinyi</t>
        </is>
      </c>
      <c r="AD435" s="112" t="n">
        <v>6</v>
      </c>
      <c r="AE435" s="108" t="inlineStr">
        <is>
          <t>partial</t>
        </is>
      </c>
      <c r="AF435" s="119" t="n"/>
      <c r="AG435" s="108" t="inlineStr">
        <is>
          <t>China International Capital Corporation Hong Kong Securities Limited</t>
        </is>
      </c>
      <c r="AH435" s="108" t="inlineStr">
        <is>
          <t>China International</t>
        </is>
      </c>
      <c r="AI435" s="120" t="n">
        <v>-4.26</v>
      </c>
      <c r="AJ435" s="121" t="n">
        <v>0</v>
      </c>
      <c r="AK435" s="121" t="n">
        <v>0.47</v>
      </c>
      <c r="AL435" s="121" t="n">
        <v>0</v>
      </c>
      <c r="AM435" s="121" t="n">
        <v>0</v>
      </c>
      <c r="AN435" s="123" t="n">
        <v>2.15</v>
      </c>
      <c r="AO435" s="112" t="n">
        <v>3.48</v>
      </c>
      <c r="AP435" s="121" t="n">
        <v>20.21</v>
      </c>
      <c r="AQ435" s="121" t="n">
        <v>-11.21</v>
      </c>
      <c r="AR435" s="121" t="n">
        <v>-28.01</v>
      </c>
      <c r="AS435" s="121" t="n">
        <v>20.21</v>
      </c>
      <c r="AT435" s="121" t="n">
        <v>-11.21</v>
      </c>
      <c r="AU435" s="121" t="n">
        <v>-28.01</v>
      </c>
      <c r="AV435" s="121" t="n">
        <v>23.89</v>
      </c>
      <c r="AW435" s="121" t="n">
        <v>-5.51</v>
      </c>
      <c r="AX435" s="121" t="n">
        <v>-17.82</v>
      </c>
      <c r="AY435" s="121" t="n">
        <v>-5.07</v>
      </c>
      <c r="AZ435" s="121" t="n">
        <v>-5.7</v>
      </c>
      <c r="BA435" s="121" t="n">
        <v>-6.14</v>
      </c>
      <c r="BB435" s="108" t="inlineStr">
        <is>
          <t>HSTECH (Hang Seng TECH ETF)</t>
        </is>
      </c>
      <c r="BC435" s="121" t="n">
        <v>-24.11</v>
      </c>
      <c r="BD435" s="109" t="n">
        <v>46297</v>
      </c>
      <c r="BE435" s="110" t="n">
        <v>520.2</v>
      </c>
      <c r="BF435" s="113" t="n">
        <v>-249.7</v>
      </c>
      <c r="BG435" s="108" t="inlineStr">
        <is>
          <t>N</t>
        </is>
      </c>
      <c r="BH435" s="108" t="inlineStr">
        <is>
          <t>n/m</t>
        </is>
      </c>
      <c r="BI435" s="122" t="n"/>
      <c r="BJ435" s="122" t="n"/>
      <c r="BK435" s="123" t="n">
        <v>31.9</v>
      </c>
      <c r="BL435" s="124">
        <f>IF('BBG Verify'!S435="","not filed; run on terminal",'BBG Verify'!S435)</f>
        <v/>
      </c>
      <c r="BM435" s="125" t="inlineStr">
        <is>
          <t>N</t>
        </is>
      </c>
      <c r="BN435" s="126">
        <f>IF('BBG Verify'!K435="","not filed; run on terminal",'BBG Verify'!K435)</f>
        <v/>
      </c>
      <c r="BO435" s="108" t="inlineStr">
        <is>
          <t>N/A</t>
        </is>
      </c>
      <c r="BP435" s="108" t="inlineStr">
        <is>
          <t>N/A</t>
        </is>
      </c>
      <c r="BQ435" s="108" t="inlineStr">
        <is>
          <t>N/A</t>
        </is>
      </c>
      <c r="BR435" s="108" t="inlineStr">
        <is>
          <t>N/A</t>
        </is>
      </c>
      <c r="BS435" s="108" t="inlineStr">
        <is>
          <t>N/A</t>
        </is>
      </c>
      <c r="BT435" s="108" t="inlineStr">
        <is>
          <t>N/A</t>
        </is>
      </c>
      <c r="BU435" s="125" t="inlineStr">
        <is>
          <t>China International Capital Corporation Hong Kong Securities Limited; Guotai Junan Capital Limited; BOCOM International (Asia) Limited</t>
        </is>
      </c>
      <c r="BV435" s="108" t="inlineStr">
        <is>
          <t>China International Capital Corporation Hong Kong Securities Limited; BOCOM International (Asia) Limited; Guotai Junan Capital Limited</t>
        </is>
      </c>
      <c r="BW435" s="108" t="inlineStr">
        <is>
          <t>China International Capital Corporation Hong Kong Securities Limited; BOCOM International Securities Limited; GF Securities (Hong Kong) Brokerage Limited; Ping An Securities (Hong Kong) Company Limited; Guotai Junan Securities (Hong Kong) Limited; Futu Securities International (Hong Kong) Limited; Livermore Holdings Limited; Golden Continent Securities Co., Limited</t>
        </is>
      </c>
      <c r="BX435" s="108" t="inlineStr">
        <is>
          <t>BOCOM International Securities Limited; China International Capital Corporation Hong Kong Securities Limited; Guotai Junan Securities (Hong Kong) Limited</t>
        </is>
      </c>
      <c r="BY435" s="127">
        <f>HYPERLINK("https://www1.hkexnews.hk/listedco/listconews/sehk/2026/0130/2026013000009.pdf","prospectus")</f>
        <v/>
      </c>
      <c r="BZ435" s="127">
        <f>HYPERLINK("https://www1.hkexnews.hk/listedco/listconews/sehk/2026/0209/2026020901278.pdf","allotment")</f>
        <v/>
      </c>
      <c r="CA435" s="127">
        <f>HYPERLINK("https://www1.hkexnews.hk/listedco/listconews/sehk/2026/0308/2026030800189.pdf","stabilisation")</f>
        <v/>
      </c>
      <c r="CB435" s="128" t="n"/>
      <c r="CC435" s="108" t="inlineStr">
        <is>
          <t>P/E: loss-making at IPO, use P/S; greenshoe: outcome published; expiry date not in the notice; range low: maximum offer price only, no floor published; A/H: no A-share listing; nearest A proxy Rockchip Electronics (603893.SS); eff float shares: share count unavailable; the HK$m figure is exact</t>
        </is>
      </c>
    </row>
    <row r="436" ht="22" customHeight="1">
      <c r="A436" s="107" t="inlineStr">
        <is>
          <t>0470</t>
        </is>
      </c>
      <c r="B436" s="108" t="inlineStr">
        <is>
          <t>WUXI LEAD</t>
        </is>
      </c>
      <c r="C436" s="108" t="inlineStr">
        <is>
          <t>先導智能</t>
        </is>
      </c>
      <c r="D436" s="108" t="inlineStr">
        <is>
          <t>Industrials</t>
        </is>
      </c>
      <c r="E436" s="108" t="inlineStr">
        <is>
          <t>Capital goods / machinery</t>
        </is>
      </c>
      <c r="F436" s="108" t="inlineStr">
        <is>
          <t>Advanced hardware and software</t>
        </is>
      </c>
      <c r="G436" s="108" t="inlineStr">
        <is>
          <t>Standard</t>
        </is>
      </c>
      <c r="H436" s="109" t="n">
        <v>46064</v>
      </c>
      <c r="I436" s="110" t="n">
        <v>4930.8</v>
      </c>
      <c r="J436" s="108" t="inlineStr">
        <is>
          <t>gross (stated)</t>
        </is>
      </c>
      <c r="K436" s="129" t="n"/>
      <c r="L436" s="111" t="n">
        <v>45.8</v>
      </c>
      <c r="M436" s="111" t="n">
        <v>45.8</v>
      </c>
      <c r="N436" s="108" t="inlineStr">
        <is>
          <t>Y</t>
        </is>
      </c>
      <c r="O436" s="112" t="n">
        <v>100</v>
      </c>
      <c r="P436" s="118" t="n"/>
      <c r="Q436" s="113" t="n">
        <v>76661</v>
      </c>
      <c r="R436" s="108" t="inlineStr">
        <is>
          <t>derived:price x shares upon listing</t>
        </is>
      </c>
      <c r="S436" s="114" t="n">
        <v>79.54000000000001</v>
      </c>
      <c r="T436" s="133">
        <f>IF('BBG Verify'!E436="","not filed; run on terminal",'BBG Verify'!E436)</f>
        <v/>
      </c>
      <c r="U436" s="116" t="n">
        <v>43.48</v>
      </c>
      <c r="V436" s="134" t="n"/>
      <c r="W436" s="112" t="n">
        <v>8.699999999999999</v>
      </c>
      <c r="X436" s="108" t="inlineStr">
        <is>
          <t>NA</t>
        </is>
      </c>
      <c r="Y436" s="113" t="n">
        <v>2786.89</v>
      </c>
      <c r="Z436" s="113" t="n">
        <v>60848528</v>
      </c>
      <c r="AA436" s="112" t="n">
        <v>3.64</v>
      </c>
      <c r="AB436" s="108" t="inlineStr">
        <is>
          <t>Oaktree Capital Management, L.P; Pinpoint Asset Management Limited; Aspex Master Fund; MY Asian Opportunities Master Fund, L.P; Morgan Stanley &amp; Co. International plc; Ovata Capital Management Limited; Qube Master Fund Ltd; Wuxi Jinchou and GTHT (in connection with Wuxi; Integrated Core Strategies (Asia) Pte. Ltd; Rome Garden Holding Limited</t>
        </is>
      </c>
      <c r="AC436" s="108" t="inlineStr">
        <is>
          <t>oaktree;pinpoint;aspex;my;morgan;ovata;qube;wuxi;integrated;rome</t>
        </is>
      </c>
      <c r="AD436" s="112" t="n">
        <v>15</v>
      </c>
      <c r="AE436" s="108" t="inlineStr">
        <is>
          <t>partial</t>
        </is>
      </c>
      <c r="AF436" s="119" t="n"/>
      <c r="AG436" s="108" t="inlineStr">
        <is>
          <t>J.P. Morgan Securities</t>
        </is>
      </c>
      <c r="AH436" s="108" t="inlineStr">
        <is>
          <t>JP Morgan</t>
        </is>
      </c>
      <c r="AI436" s="120" t="n">
        <v>1.88</v>
      </c>
      <c r="AJ436" s="121" t="n">
        <v>0</v>
      </c>
      <c r="AK436" s="121" t="n">
        <v>0.64</v>
      </c>
      <c r="AL436" s="121" t="n">
        <v>1</v>
      </c>
      <c r="AM436" s="121" t="n">
        <v>-0.99</v>
      </c>
      <c r="AN436" s="123" t="n">
        <v>2.82</v>
      </c>
      <c r="AO436" s="112" t="n">
        <v>3.24</v>
      </c>
      <c r="AP436" s="121" t="n">
        <v>0.61</v>
      </c>
      <c r="AQ436" s="121" t="n">
        <v>-9.039999999999999</v>
      </c>
      <c r="AR436" s="121" t="n">
        <v>15.5</v>
      </c>
      <c r="AS436" s="121" t="n">
        <v>0.61</v>
      </c>
      <c r="AT436" s="121" t="n">
        <v>-9.039999999999999</v>
      </c>
      <c r="AU436" s="121" t="n">
        <v>15.5</v>
      </c>
      <c r="AV436" s="121" t="n">
        <v>1.12</v>
      </c>
      <c r="AW436" s="121" t="n">
        <v>-4.23</v>
      </c>
      <c r="AX436" s="121" t="n">
        <v>24.71</v>
      </c>
      <c r="AY436" s="121" t="n">
        <v>-3.62</v>
      </c>
      <c r="AZ436" s="121" t="n">
        <v>-4.81</v>
      </c>
      <c r="BA436" s="121" t="n">
        <v>-5.42</v>
      </c>
      <c r="BB436" s="108" t="inlineStr">
        <is>
          <t>Hang Seng Commerce &amp; Industry sub-index</t>
        </is>
      </c>
      <c r="BC436" s="121" t="n">
        <v>-40.17</v>
      </c>
      <c r="BD436" s="109" t="n">
        <v>46297</v>
      </c>
      <c r="BE436" s="110" t="n">
        <v>13040.6</v>
      </c>
      <c r="BF436" s="113" t="n">
        <v>314.7</v>
      </c>
      <c r="BG436" s="108" t="inlineStr">
        <is>
          <t>Y</t>
        </is>
      </c>
      <c r="BH436" s="123" t="n">
        <v>243.6</v>
      </c>
      <c r="BI436" s="122" t="n"/>
      <c r="BJ436" s="122" t="n"/>
      <c r="BK436" s="123" t="n">
        <v>5.9</v>
      </c>
      <c r="BL436" s="124">
        <f>IF('BBG Verify'!S436="","not filed; run on terminal",'BBG Verify'!S436)</f>
        <v/>
      </c>
      <c r="BM436" s="125" t="inlineStr">
        <is>
          <t>Y</t>
        </is>
      </c>
      <c r="BN436" s="108" t="inlineStr">
        <is>
          <t>300450.SZ</t>
        </is>
      </c>
      <c r="BO436" s="121" t="n">
        <v>41.82</v>
      </c>
      <c r="BP436" s="111" t="n">
        <v>64.9515</v>
      </c>
      <c r="BQ436" s="135" t="n">
        <v>0.4923</v>
      </c>
      <c r="BR436" s="113" t="n">
        <v>68485.89999999999</v>
      </c>
      <c r="BS436" s="124">
        <f>IF('BBG Verify'!Q436="","run on terminal",'BBG Verify'!Q436)</f>
        <v/>
      </c>
      <c r="BT436" s="124">
        <f>IF('BBG Verify'!R436="","run on terminal",'BBG Verify'!R436)</f>
        <v/>
      </c>
      <c r="BU436" s="125" t="inlineStr">
        <is>
          <t>CITIC Securities (Hong Kong) Limited; J.P. Morgan Securities (Far East) Limited</t>
        </is>
      </c>
      <c r="BV436" s="108" t="inlineStr">
        <is>
          <t>J.P. Morgan Securities (Far East) Limited; CITIC Securities (Hong Kong) Limited</t>
        </is>
      </c>
      <c r="BW436" s="108" t="inlineStr">
        <is>
          <t>CMB International Capital Limited; ICBC International Securities Limited; SPDB International Capital Limited</t>
        </is>
      </c>
      <c r="BX436" s="108" t="inlineStr">
        <is>
          <t>ABCI Securities Company Limited; BOCI Asia Limited; CLSA Limited; CMB International Capital Limited; Huatai Financial Holdings (Hong Kong) Limited; ICBC International Securities Limited; J.P. Morgan Securities (Asia Pacific) Limited; SPDB International Capital Limited</t>
        </is>
      </c>
      <c r="BY436" s="127">
        <f>HYPERLINK("https://www1.hkexnews.hk/listedco/listconews/sehk/2026/0203/2026020300009.pdf","prospectus")</f>
        <v/>
      </c>
      <c r="BZ436" s="127">
        <f>HYPERLINK("https://www1.hkexnews.hk/listedco/listconews/sehk/2026/0210/2026021001338.pdf","allotment")</f>
        <v/>
      </c>
      <c r="CA436" s="127">
        <f>HYPERLINK("https://www1.hkexnews.hk/listedco/listconews/sehk/2026/0308/2026030800191.pdf","stabilisation")</f>
        <v/>
      </c>
      <c r="CB436" s="128" t="n"/>
      <c r="CC436" s="108" t="inlineStr">
        <is>
          <t>intl sub: not stated in the filing; greenshoe: outcome published; expiry date not in the notice; range low: maximum offer price only, no floor published; A/H: Feb 2026 H listing (battery-making equipment); allocation: allocation table not in this notice's format (older prose announcement)</t>
        </is>
      </c>
    </row>
    <row r="437" ht="22" customHeight="1">
      <c r="A437" s="107" t="inlineStr">
        <is>
          <t>2706</t>
        </is>
      </c>
      <c r="B437" s="108" t="inlineStr">
        <is>
          <t>HAIZHI TECH GP</t>
        </is>
      </c>
      <c r="C437" s="108" t="inlineStr">
        <is>
          <t>海致科技集團</t>
        </is>
      </c>
      <c r="D437" s="108" t="inlineStr">
        <is>
          <t>Tech/AI</t>
        </is>
      </c>
      <c r="E437" s="108" t="inlineStr">
        <is>
          <t>AI application / agent software</t>
        </is>
      </c>
      <c r="F437" s="108" t="inlineStr">
        <is>
          <t>Advanced hardware and software</t>
        </is>
      </c>
      <c r="G437" s="108" t="inlineStr">
        <is>
          <t>Standard</t>
        </is>
      </c>
      <c r="H437" s="109" t="n">
        <v>46066</v>
      </c>
      <c r="I437" s="110" t="n">
        <v>758.5</v>
      </c>
      <c r="J437" s="108" t="inlineStr">
        <is>
          <t>gross (stated)</t>
        </is>
      </c>
      <c r="K437" s="111" t="n">
        <v>25.6</v>
      </c>
      <c r="L437" s="111" t="n">
        <v>28</v>
      </c>
      <c r="M437" s="111" t="n">
        <v>27.06</v>
      </c>
      <c r="N437" s="108" t="inlineStr">
        <is>
          <t>N</t>
        </is>
      </c>
      <c r="O437" s="112" t="n">
        <v>96.59999999999999</v>
      </c>
      <c r="P437" s="112" t="n">
        <v>60.8</v>
      </c>
      <c r="Q437" s="113" t="n">
        <v>10835.7</v>
      </c>
      <c r="R437" s="108" t="inlineStr">
        <is>
          <t>derived:price x shares upon listing</t>
        </is>
      </c>
      <c r="S437" s="114" t="n">
        <v>5065.06</v>
      </c>
      <c r="T437" s="115" t="n">
        <v>8.390000000000001</v>
      </c>
      <c r="U437" s="116" t="n">
        <v>93</v>
      </c>
      <c r="V437" s="117" t="n">
        <v>120</v>
      </c>
      <c r="W437" s="112" t="n">
        <v>10</v>
      </c>
      <c r="X437" s="108" t="inlineStr">
        <is>
          <t>NA</t>
        </is>
      </c>
      <c r="Y437" s="113" t="n">
        <v>53.09</v>
      </c>
      <c r="Z437" s="113" t="n">
        <v>1962114</v>
      </c>
      <c r="AA437" s="112" t="n">
        <v>0.49</v>
      </c>
      <c r="AB437" s="108" t="inlineStr">
        <is>
          <t>Ren Xuyang (任旭陽); Yang Zaifei (楊再飛); LC ELITE LIMITED; BAI GmbH; SKY FINE LIMITED; Yifang Technology Group, Ltd; Shi Youcai (史有才); Yang Juan (楊娟); Wan Pengjiang (萬澎江); I, L.P; Hu Song (胡嵩); TAL China Focus Master Fund; TAL Global Opportunities Master Fund; Alternative Fund, L.P</t>
        </is>
      </c>
      <c r="AC437" s="108" t="inlineStr">
        <is>
          <t>ren-xuyang;yang-zaifei;lc;bai-gmbh;sky;yifang;shi-youcai;yang-juan;wan-pengjiang;hu-song;tal;alternative</t>
        </is>
      </c>
      <c r="AD437" s="118" t="n"/>
      <c r="AE437" s="119" t="n"/>
      <c r="AF437" s="119" t="n"/>
      <c r="AG437" s="119" t="n"/>
      <c r="AH437" s="119" t="n"/>
      <c r="AI437" s="120" t="n">
        <v>210.42</v>
      </c>
      <c r="AJ437" s="121" t="n">
        <v>242.2</v>
      </c>
      <c r="AK437" s="121" t="n">
        <v>-1.04</v>
      </c>
      <c r="AL437" s="121" t="n">
        <v>204.14</v>
      </c>
      <c r="AM437" s="121" t="n">
        <v>12.51</v>
      </c>
      <c r="AN437" s="123" t="n">
        <v>3.5</v>
      </c>
      <c r="AO437" s="112" t="n">
        <v>21.02</v>
      </c>
      <c r="AP437" s="121" t="n">
        <v>298.74</v>
      </c>
      <c r="AQ437" s="121" t="n">
        <v>204.69</v>
      </c>
      <c r="AR437" s="121" t="n">
        <v>132.45</v>
      </c>
      <c r="AS437" s="121" t="n">
        <v>16.52</v>
      </c>
      <c r="AT437" s="121" t="n">
        <v>-10.96</v>
      </c>
      <c r="AU437" s="121" t="n">
        <v>-32.07</v>
      </c>
      <c r="AV437" s="121" t="n">
        <v>301.67</v>
      </c>
      <c r="AW437" s="121" t="n">
        <v>212.53</v>
      </c>
      <c r="AX437" s="121" t="n">
        <v>142.63</v>
      </c>
      <c r="AY437" s="121" t="n">
        <v>-4.09</v>
      </c>
      <c r="AZ437" s="121" t="n">
        <v>-7.84</v>
      </c>
      <c r="BA437" s="121" t="n">
        <v>-6.87</v>
      </c>
      <c r="BB437" s="108" t="inlineStr">
        <is>
          <t>HSTECH (Hang Seng TECH ETF)</t>
        </is>
      </c>
      <c r="BC437" s="121" t="n">
        <v>43.46</v>
      </c>
      <c r="BD437" s="109" t="n">
        <v>46297</v>
      </c>
      <c r="BE437" s="110" t="n">
        <v>553.4</v>
      </c>
      <c r="BF437" s="113" t="n">
        <v>-103.1</v>
      </c>
      <c r="BG437" s="108" t="inlineStr">
        <is>
          <t>N</t>
        </is>
      </c>
      <c r="BH437" s="108" t="inlineStr">
        <is>
          <t>n/m</t>
        </is>
      </c>
      <c r="BI437" s="122" t="n"/>
      <c r="BJ437" s="122" t="n"/>
      <c r="BK437" s="123" t="n">
        <v>19.6</v>
      </c>
      <c r="BL437" s="124">
        <f>IF('BBG Verify'!S437="","not filed; run on terminal",'BBG Verify'!S437)</f>
        <v/>
      </c>
      <c r="BM437" s="125" t="inlineStr">
        <is>
          <t>N</t>
        </is>
      </c>
      <c r="BN437" s="126">
        <f>IF('BBG Verify'!K437="","not filed; run on terminal",'BBG Verify'!K437)</f>
        <v/>
      </c>
      <c r="BO437" s="108" t="inlineStr">
        <is>
          <t>N/A</t>
        </is>
      </c>
      <c r="BP437" s="108" t="inlineStr">
        <is>
          <t>N/A</t>
        </is>
      </c>
      <c r="BQ437" s="108" t="inlineStr">
        <is>
          <t>N/A</t>
        </is>
      </c>
      <c r="BR437" s="108" t="inlineStr">
        <is>
          <t>N/A</t>
        </is>
      </c>
      <c r="BS437" s="108" t="inlineStr">
        <is>
          <t>N/A</t>
        </is>
      </c>
      <c r="BT437" s="108" t="inlineStr">
        <is>
          <t>N/A</t>
        </is>
      </c>
      <c r="BU437" s="125" t="inlineStr">
        <is>
          <t>CMB International Capital Limited; BOCI Asia Limited; Shenwan Hongyuan Capital (H.K.) Limited</t>
        </is>
      </c>
      <c r="BV437" s="108" t="inlineStr">
        <is>
          <t>CMB International Capital Limited; BOCI Asia Limited; Shenwan Hongyuan Capital (H.K.) Limited</t>
        </is>
      </c>
      <c r="BW437" s="108" t="inlineStr">
        <is>
          <t>CMB International Capital Limited; BOCI Asia Limited; Shenwan Hongyuan Securities (H.K.) Limited; Futu Securities International (Hong Kong) Limited; Tiger Brokers (HK) Global Limited; ABCI Capital Limited; Funde Securities Limited; Huafu International Securities Limited; Livermore Holdings Limited; TradeGo Markets Limited; Eddid Securities and Futures Limited</t>
        </is>
      </c>
      <c r="BX437" s="108" t="inlineStr">
        <is>
          <t>ABCI Securities Company Limited; BOCI Asia Limited; CMB International Capital Limited; Eddid Securities and Futures Limited; Funde Securities Limited; Futu Securities International (Hong Kong) Limited; Huafu International Securities Limited; Livermore Holdings Limited; Shenwan Hongyuan Securities (H.K.) Limited; Tiger Brokers (HK) Global Limited; TradeGo Markets Limited</t>
        </is>
      </c>
      <c r="BY437" s="127">
        <f>HYPERLINK("https://www1.hkexnews.hk/listedco/listconews/sehk/2026/0205/2026020500037.pdf","prospectus")</f>
        <v/>
      </c>
      <c r="BZ437" s="127">
        <f>HYPERLINK("https://www1.hkexnews.hk/listedco/listconews/sehk/2026/0212/2026021201324.pdf","allotment")</f>
        <v/>
      </c>
      <c r="CA437" s="119" t="n"/>
      <c r="CB437" s="128" t="n"/>
      <c r="CC437" s="108" t="inlineStr">
        <is>
          <t>P/E: loss-making at IPO, use P/S; greenshoe: no over-allotment option; greenshoe size: no over-allotment option; stabilising manager: filing states none appointed (allotment announcement: 'no stabilizing manager will be appointed' stated in the filing)</t>
        </is>
      </c>
    </row>
    <row r="438" ht="22" customHeight="1">
      <c r="A438" s="107" t="inlineStr">
        <is>
          <t>9981</t>
        </is>
      </c>
      <c r="B438" s="108" t="inlineStr">
        <is>
          <t>WOER</t>
        </is>
      </c>
      <c r="C438" s="108" t="inlineStr">
        <is>
          <t>沃爾核材</t>
        </is>
      </c>
      <c r="D438" s="108" t="inlineStr">
        <is>
          <t>Materials/Energy</t>
        </is>
      </c>
      <c r="E438" s="108" t="inlineStr">
        <is>
          <t>Chemicals</t>
        </is>
      </c>
      <c r="F438" s="108" t="inlineStr">
        <is>
          <t>Electrical Components &amp; Equipment</t>
        </is>
      </c>
      <c r="G438" s="108" t="inlineStr">
        <is>
          <t>Standard</t>
        </is>
      </c>
      <c r="H438" s="109" t="n">
        <v>46066</v>
      </c>
      <c r="I438" s="110" t="n">
        <v>2812.4</v>
      </c>
      <c r="J438" s="108" t="inlineStr">
        <is>
          <t>gross (stated)</t>
        </is>
      </c>
      <c r="K438" s="129" t="n"/>
      <c r="L438" s="111" t="n">
        <v>20.09</v>
      </c>
      <c r="M438" s="111" t="n">
        <v>20.09</v>
      </c>
      <c r="N438" s="108" t="inlineStr">
        <is>
          <t>Y</t>
        </is>
      </c>
      <c r="O438" s="112" t="n">
        <v>100</v>
      </c>
      <c r="P438" s="118" t="n"/>
      <c r="Q438" s="113" t="n">
        <v>28123.7</v>
      </c>
      <c r="R438" s="108" t="inlineStr">
        <is>
          <t>derived:price x shares upon listing</t>
        </is>
      </c>
      <c r="S438" s="114" t="n">
        <v>569.58</v>
      </c>
      <c r="T438" s="115" t="n">
        <v>8.19</v>
      </c>
      <c r="U438" s="116" t="n">
        <v>34.45</v>
      </c>
      <c r="V438" s="117" t="n">
        <v>116</v>
      </c>
      <c r="W438" s="112" t="n">
        <v>10</v>
      </c>
      <c r="X438" s="108" t="inlineStr">
        <is>
          <t>NA</t>
        </is>
      </c>
      <c r="Y438" s="113" t="n">
        <v>1843.53</v>
      </c>
      <c r="Z438" s="113" t="n">
        <v>91762658</v>
      </c>
      <c r="AA438" s="112" t="n">
        <v>6.56</v>
      </c>
      <c r="AB438" s="108" t="inlineStr">
        <is>
          <t>HHLR Advisors, Ltd; Shanghai Greenwoods (via Huatai OTC swaps); Jump Trading Pacific Pte. Ltd; Huizhou Huilian Investment Partnership (LP); Jiangxi Copper (via GTJA OTC swaps); Shen Zhen New World Investment (H.K.); Best Cheer Development; RIME Capital Limited; SCV Alpha LP; Yield Royal Investment Holding (Singapore) PTE. LTD; Guohui (HK) Holdings Co., Limited 控股有限公司; Pu Xin (via GTJA OTC swaps); Capchem (Hongkong); Enhanced Investment Products Limited; Factorial Master Fund; Qianhai Starlight Capital SPC</t>
        </is>
      </c>
      <c r="AC438" s="108" t="inlineStr">
        <is>
          <t>hhlr;shanghai-greenwoods;jump;huizhou;jiangxi;shen-zhen;best;rime;scv;yield;guohui;pu;capchem;enhanced;factorial;qianhai</t>
        </is>
      </c>
      <c r="AD438" s="118" t="n"/>
      <c r="AE438" s="119" t="n"/>
      <c r="AF438" s="119" t="n"/>
      <c r="AG438" s="119" t="n"/>
      <c r="AH438" s="119" t="n"/>
      <c r="AI438" s="120" t="n">
        <v>4.93</v>
      </c>
      <c r="AJ438" s="121" t="n">
        <v>2.94</v>
      </c>
      <c r="AK438" s="121" t="n">
        <v>-1.44</v>
      </c>
      <c r="AL438" s="121" t="n">
        <v>0.05</v>
      </c>
      <c r="AM438" s="121" t="n">
        <v>2.89</v>
      </c>
      <c r="AN438" s="123" t="n">
        <v>2.28</v>
      </c>
      <c r="AO438" s="112" t="n">
        <v>8.460000000000001</v>
      </c>
      <c r="AP438" s="121" t="n">
        <v>3.04</v>
      </c>
      <c r="AQ438" s="121" t="n">
        <v>1.05</v>
      </c>
      <c r="AR438" s="121" t="n">
        <v>-28.07</v>
      </c>
      <c r="AS438" s="121" t="n">
        <v>0.1</v>
      </c>
      <c r="AT438" s="121" t="n">
        <v>-1.84</v>
      </c>
      <c r="AU438" s="121" t="n">
        <v>-30.12</v>
      </c>
      <c r="AV438" s="121" t="n">
        <v>4.99</v>
      </c>
      <c r="AW438" s="121" t="n">
        <v>7.19</v>
      </c>
      <c r="AX438" s="121" t="n">
        <v>-18.36</v>
      </c>
      <c r="AY438" s="121" t="n">
        <v>2.93</v>
      </c>
      <c r="AZ438" s="121" t="n">
        <v>-6.14</v>
      </c>
      <c r="BA438" s="121" t="n">
        <v>-4.77</v>
      </c>
      <c r="BB438" s="108" t="inlineStr">
        <is>
          <t>Hang Seng Commerce &amp; Industry sub-index</t>
        </is>
      </c>
      <c r="BC438" s="121" t="n">
        <v>-59.68</v>
      </c>
      <c r="BD438" s="109" t="n">
        <v>46297</v>
      </c>
      <c r="BE438" s="110" t="n">
        <v>7612.1</v>
      </c>
      <c r="BF438" s="113" t="n">
        <v>1012.6</v>
      </c>
      <c r="BG438" s="108" t="inlineStr">
        <is>
          <t>Y</t>
        </is>
      </c>
      <c r="BH438" s="123" t="n">
        <v>27.8</v>
      </c>
      <c r="BI438" s="123" t="n">
        <v>19.9</v>
      </c>
      <c r="BJ438" s="123" t="n">
        <v>10.1</v>
      </c>
      <c r="BK438" s="123" t="n">
        <v>3.7</v>
      </c>
      <c r="BL438" s="124">
        <f>IF('BBG Verify'!S438="","not filed; run on terminal",'BBG Verify'!S438)</f>
        <v/>
      </c>
      <c r="BM438" s="125" t="inlineStr">
        <is>
          <t>Y</t>
        </is>
      </c>
      <c r="BN438" s="108" t="inlineStr">
        <is>
          <t>002130.SZ</t>
        </is>
      </c>
      <c r="BO438" s="121" t="n">
        <v>58.6</v>
      </c>
      <c r="BP438" s="111" t="n">
        <v>31.8623</v>
      </c>
      <c r="BQ438" s="135" t="n">
        <v>1.2696</v>
      </c>
      <c r="BR438" s="113" t="n">
        <v>25743.7</v>
      </c>
      <c r="BS438" s="124">
        <f>IF('BBG Verify'!Q438="","run on terminal",'BBG Verify'!Q438)</f>
        <v/>
      </c>
      <c r="BT438" s="124">
        <f>IF('BBG Verify'!R438="","run on terminal",'BBG Verify'!R438)</f>
        <v/>
      </c>
      <c r="BU438" s="125" t="inlineStr">
        <is>
          <t>China Merchants Securities (HK) Co., Limited</t>
        </is>
      </c>
      <c r="BV438" s="108" t="inlineStr">
        <is>
          <t>China Securities (International) Corporate Finance Company Limited; China Merchants Securities (HK) Company Limited</t>
        </is>
      </c>
      <c r="BW438" s="108" t="inlineStr">
        <is>
          <t>China Securities (International) Corporate Finance Company Limited; China Merchants Securities (HK) Co., Limited; Shanxi Securities International Limited; DBS Asia Capital Limited; Futu Securities International (Hong Kong) Limited; Tiger Brokers (HK) Global Limited</t>
        </is>
      </c>
      <c r="BX438" s="108"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Y438" s="127">
        <f>HYPERLINK("https://www1.hkexnews.hk/listedco/listconews/sehk/2026/0205/2026020500092.htm","prospectus")</f>
        <v/>
      </c>
      <c r="BZ438" s="127">
        <f>HYPERLINK("https://www1.hkexnews.hk/listedco/listconews/sehk/2026/0212/2026021201492.pdf","allotment")</f>
        <v/>
      </c>
      <c r="CA438" s="119" t="n"/>
      <c r="CB438" s="128" t="n"/>
      <c r="CC438" s="108" t="inlineStr">
        <is>
          <t>greenshoe: no over-allotment option; range low: maximum offer price only, no floor published; A/H: Feb 2026 H listing; greenshoe size: no over-allotment option; stabilising manager: no over-allotment option, so none appointed</t>
        </is>
      </c>
    </row>
    <row r="439" ht="22" customHeight="1">
      <c r="A439" s="107" t="inlineStr">
        <is>
          <t>2715</t>
        </is>
      </c>
      <c r="B439" s="108" t="inlineStr">
        <is>
          <t>ESTUN</t>
        </is>
      </c>
      <c r="C439" s="108" t="inlineStr">
        <is>
          <t>埃斯頓</t>
        </is>
      </c>
      <c r="D439" s="108" t="inlineStr">
        <is>
          <t>Tech/AI</t>
        </is>
      </c>
      <c r="E439" s="108" t="inlineStr">
        <is>
          <t>Robotics &amp; autonomous driving</t>
        </is>
      </c>
      <c r="F439" s="108" t="inlineStr">
        <is>
          <t>Next-generation information technology</t>
        </is>
      </c>
      <c r="G439" s="108" t="inlineStr">
        <is>
          <t>Standard</t>
        </is>
      </c>
      <c r="H439" s="109" t="n">
        <v>46090</v>
      </c>
      <c r="I439" s="110" t="n">
        <v>1486.54</v>
      </c>
      <c r="J439" s="108" t="inlineStr">
        <is>
          <t>gross (stated)</t>
        </is>
      </c>
      <c r="K439" s="111" t="n">
        <v>15.36</v>
      </c>
      <c r="L439" s="111" t="n">
        <v>17</v>
      </c>
      <c r="M439" s="111" t="n">
        <v>15.36</v>
      </c>
      <c r="N439" s="108" t="inlineStr">
        <is>
          <t>N</t>
        </is>
      </c>
      <c r="O439" s="112" t="n">
        <v>90.40000000000001</v>
      </c>
      <c r="P439" s="112" t="n">
        <v>0</v>
      </c>
      <c r="Q439" s="113" t="n">
        <v>16299.5</v>
      </c>
      <c r="R439" s="108" t="inlineStr">
        <is>
          <t>aastocks:上市市值 at the struck price</t>
        </is>
      </c>
      <c r="S439" s="114" t="n">
        <v>19.67</v>
      </c>
      <c r="T439" s="115" t="n">
        <v>3.34</v>
      </c>
      <c r="U439" s="116" t="n">
        <v>35.18</v>
      </c>
      <c r="V439" s="117" t="n">
        <v>87</v>
      </c>
      <c r="W439" s="112" t="n">
        <v>10</v>
      </c>
      <c r="X439" s="108" t="inlineStr">
        <is>
          <t>NA</t>
        </is>
      </c>
      <c r="Y439" s="113" t="n">
        <v>963.58</v>
      </c>
      <c r="Z439" s="113" t="n">
        <v>62732796</v>
      </c>
      <c r="AA439" s="112" t="n">
        <v>5.91</v>
      </c>
      <c r="AB439" s="108" t="inlineStr">
        <is>
          <t>Harvest Oriental SP; Hengtong Optic-electric International; Dream ee HK Fund; Deep Source; Haitian Huayuan; New Fortune; Qianhai Hezhong Investment</t>
        </is>
      </c>
      <c r="AC439" s="108" t="inlineStr">
        <is>
          <t>harvest;hengtong;dream;deep;haitian;new-fortune;qianhai</t>
        </is>
      </c>
      <c r="AD439" s="112" t="n">
        <v>5.1</v>
      </c>
      <c r="AE439" s="108" t="inlineStr">
        <is>
          <t>lapsed</t>
        </is>
      </c>
      <c r="AF439" s="108" t="inlineStr">
        <is>
          <t>2026-04-03</t>
        </is>
      </c>
      <c r="AG439" s="108" t="inlineStr">
        <is>
          <t>Huatai Financial Holdings</t>
        </is>
      </c>
      <c r="AH439" s="108" t="inlineStr">
        <is>
          <t>Huatai</t>
        </is>
      </c>
      <c r="AI439" s="120" t="n">
        <v>-8.199999999999999</v>
      </c>
      <c r="AJ439" s="121" t="n">
        <v>-16.02</v>
      </c>
      <c r="AK439" s="121" t="n">
        <v>-0.29</v>
      </c>
      <c r="AL439" s="121" t="n">
        <v>0</v>
      </c>
      <c r="AM439" s="121" t="n">
        <v>-16.02</v>
      </c>
      <c r="AN439" s="123" t="n">
        <v>2.13</v>
      </c>
      <c r="AO439" s="112" t="n">
        <v>18.62</v>
      </c>
      <c r="AP439" s="121" t="n">
        <v>-16.41</v>
      </c>
      <c r="AQ439" s="121" t="n">
        <v>-16.73</v>
      </c>
      <c r="AR439" s="121" t="n">
        <v>8.27</v>
      </c>
      <c r="AS439" s="121" t="n">
        <v>-0.46</v>
      </c>
      <c r="AT439" s="121" t="n">
        <v>-0.85</v>
      </c>
      <c r="AU439" s="121" t="n">
        <v>28.92</v>
      </c>
      <c r="AV439" s="121" t="n">
        <v>-19.76</v>
      </c>
      <c r="AW439" s="121" t="n">
        <v>-15.12</v>
      </c>
      <c r="AX439" s="121" t="n">
        <v>13.98</v>
      </c>
      <c r="AY439" s="121" t="n">
        <v>0.48</v>
      </c>
      <c r="AZ439" s="121" t="n">
        <v>-1.61</v>
      </c>
      <c r="BA439" s="121" t="n">
        <v>-1.33</v>
      </c>
      <c r="BB439" s="108" t="inlineStr">
        <is>
          <t>HSTECH (Hang Seng TECH ETF)</t>
        </is>
      </c>
      <c r="BC439" s="121" t="n">
        <v>-8.27</v>
      </c>
      <c r="BD439" s="109" t="n">
        <v>46297</v>
      </c>
      <c r="BE439" s="110" t="n">
        <v>4409.6</v>
      </c>
      <c r="BF439" s="113" t="n">
        <v>-664.6</v>
      </c>
      <c r="BG439" s="108" t="inlineStr">
        <is>
          <t>N</t>
        </is>
      </c>
      <c r="BH439" s="108" t="inlineStr">
        <is>
          <t>n/m</t>
        </is>
      </c>
      <c r="BI439" s="123" t="n">
        <v>210.8</v>
      </c>
      <c r="BJ439" s="123" t="n">
        <v>303.5</v>
      </c>
      <c r="BK439" s="123" t="n">
        <v>3.7</v>
      </c>
      <c r="BL439" s="124">
        <f>IF('BBG Verify'!S439="","not filed; run on terminal",'BBG Verify'!S439)</f>
        <v/>
      </c>
      <c r="BM439" s="125" t="inlineStr">
        <is>
          <t>Y</t>
        </is>
      </c>
      <c r="BN439" s="108" t="inlineStr">
        <is>
          <t>002747.SZ</t>
        </is>
      </c>
      <c r="BO439" s="121" t="n">
        <v>64.04000000000001</v>
      </c>
      <c r="BP439" s="111" t="n">
        <v>25.1964</v>
      </c>
      <c r="BQ439" s="135" t="n">
        <v>1.3436</v>
      </c>
      <c r="BR439" s="113" t="n">
        <v>32006.9</v>
      </c>
      <c r="BS439" s="124">
        <f>IF('BBG Verify'!Q439="","run on terminal",'BBG Verify'!Q439)</f>
        <v/>
      </c>
      <c r="BT439" s="124">
        <f>IF('BBG Verify'!R439="","run on terminal",'BBG Verify'!R439)</f>
        <v/>
      </c>
      <c r="BU439" s="125" t="inlineStr">
        <is>
          <t>Huatai Financial Holdings (Hong Kong) Limited</t>
        </is>
      </c>
      <c r="BV439" s="108" t="inlineStr">
        <is>
          <t>Huatai Financial Holdings (Hong Kong) Limited</t>
        </is>
      </c>
      <c r="BW439" s="108" t="inlineStr">
        <is>
          <t>Huatai Financial Holdings (Hong Kong) Limited; GF Securities (Hong Kong) Brokerage Limited; BOCOM International Securities Limited; CMB International Capital Limited; ABCI Capital Limited; BOCI Asia Limited; Futu Securities International (Hong Kong) Limited; Livermore Holdings Limited; TradeGo Markets Limited; Huaan Securities (Hong Kong) Brokerage Limited</t>
        </is>
      </c>
      <c r="BX439" s="108" t="inlineStr">
        <is>
          <t>ABCI Securities Company Limited; BOCI Asia Limited; BOCOM International Securities Limited; CMB International Capital Limited; Futu Securities International (Hong Kong) Limited; GF Securities (Hong Kong) Brokerage Limited; Huatai Financial Holdings (Hong Kong) Limited; Huaan Securities (Hong Kong) Brokerage Limited; ICBC International Securities Limited; Livermore Holdings Limited; TradeGo Markets Limited</t>
        </is>
      </c>
      <c r="BY439" s="127">
        <f>HYPERLINK("https://www1.hkexnews.hk/listedco/listconews/sehk/2026/0227/2026022700017.pdf","prospectus")</f>
        <v/>
      </c>
      <c r="BZ439" s="127">
        <f>HYPERLINK("https://www1.hkexnews.hk/listedco/listconews/sehk/2026/0306/2026030601391.pdf","allotment")</f>
        <v/>
      </c>
      <c r="CA439" s="127">
        <f>HYPERLINK("https://www1.hkexnews.hk/listedco/listconews/sehk/2026/0407/2026040700049.pdf","stabilisation")</f>
        <v/>
      </c>
      <c r="CB439" s="128" t="n"/>
      <c r="CC439" s="108" t="inlineStr">
        <is>
          <t>P/E: loss-making at IPO, use P/S; A/H: Mar 2026 H listing (industrial robots); market cap: published listing cap used; the estimate from deal size / offer % of enlarged capital disagreed</t>
        </is>
      </c>
    </row>
    <row r="440" ht="22" customHeight="1">
      <c r="A440" s="107" t="inlineStr">
        <is>
          <t>2649</t>
        </is>
      </c>
      <c r="B440" s="108" t="inlineStr">
        <is>
          <t>ALSCO POOLING</t>
        </is>
      </c>
      <c r="C440" s="108" t="inlineStr">
        <is>
          <t>優樂賽共享</t>
        </is>
      </c>
      <c r="D440" s="108" t="inlineStr">
        <is>
          <t>Industrials</t>
        </is>
      </c>
      <c r="E440" s="108" t="inlineStr">
        <is>
          <t>Logistics</t>
        </is>
      </c>
      <c r="F440" s="108" t="inlineStr">
        <is>
          <t>Metal &amp; Glass &amp; Plastic Packaging</t>
        </is>
      </c>
      <c r="G440" s="108" t="inlineStr">
        <is>
          <t>Standard</t>
        </is>
      </c>
      <c r="H440" s="109" t="n">
        <v>46090</v>
      </c>
      <c r="I440" s="110" t="n">
        <v>223.7</v>
      </c>
      <c r="J440" s="108" t="inlineStr">
        <is>
          <t>gross (stated)</t>
        </is>
      </c>
      <c r="K440" s="111" t="n">
        <v>11</v>
      </c>
      <c r="L440" s="111" t="n">
        <v>14</v>
      </c>
      <c r="M440" s="111" t="n">
        <v>11</v>
      </c>
      <c r="N440" s="108" t="inlineStr">
        <is>
          <t>N</t>
        </is>
      </c>
      <c r="O440" s="112" t="n">
        <v>78.59999999999999</v>
      </c>
      <c r="P440" s="112" t="n">
        <v>0</v>
      </c>
      <c r="Q440" s="113" t="n">
        <v>993.7</v>
      </c>
      <c r="R440" s="108" t="inlineStr">
        <is>
          <t>derived:price x shares upon listing</t>
        </is>
      </c>
      <c r="S440" s="114" t="n">
        <v>5297.23</v>
      </c>
      <c r="T440" s="115" t="n">
        <v>4.2</v>
      </c>
      <c r="U440" s="116" t="n">
        <v>0</v>
      </c>
      <c r="V440" s="117" t="n">
        <v>162</v>
      </c>
      <c r="W440" s="112" t="n">
        <v>10</v>
      </c>
      <c r="X440" s="108" t="inlineStr">
        <is>
          <t>NO</t>
        </is>
      </c>
      <c r="Y440" s="113" t="n">
        <v>223.7</v>
      </c>
      <c r="Z440" s="113" t="n">
        <v>20336000</v>
      </c>
      <c r="AA440" s="112" t="n">
        <v>22.51</v>
      </c>
      <c r="AB440" s="108" t="inlineStr">
        <is>
          <t>none — no cornerstone tranche</t>
        </is>
      </c>
      <c r="AC440" s="108" t="inlineStr">
        <is>
          <t>none</t>
        </is>
      </c>
      <c r="AD440" s="112" t="n">
        <v>15</v>
      </c>
      <c r="AE440" s="119" t="n"/>
      <c r="AF440" s="119" t="n"/>
      <c r="AG440" s="108" t="inlineStr">
        <is>
          <t>China Securities</t>
        </is>
      </c>
      <c r="AH440" s="108" t="inlineStr">
        <is>
          <t>China Securities</t>
        </is>
      </c>
      <c r="AI440" s="120" t="n">
        <v>-0.91</v>
      </c>
      <c r="AJ440" s="121" t="n">
        <v>-43.64</v>
      </c>
      <c r="AK440" s="121" t="n">
        <v>-0.71</v>
      </c>
      <c r="AL440" s="121" t="n">
        <v>-31.82</v>
      </c>
      <c r="AM440" s="121" t="n">
        <v>-17.34</v>
      </c>
      <c r="AN440" s="123" t="n">
        <v>9.220000000000001</v>
      </c>
      <c r="AO440" s="112" t="n">
        <v>25.33</v>
      </c>
      <c r="AP440" s="121" t="n">
        <v>-53.09</v>
      </c>
      <c r="AQ440" s="137" t="n"/>
      <c r="AR440" s="137" t="n"/>
      <c r="AS440" s="121" t="n">
        <v>-16.77</v>
      </c>
      <c r="AT440" s="137" t="n"/>
      <c r="AU440" s="137" t="n"/>
      <c r="AV440" s="121" t="n">
        <v>-55.39</v>
      </c>
      <c r="AW440" s="137" t="n"/>
      <c r="AX440" s="137" t="n"/>
      <c r="AY440" s="137" t="n"/>
      <c r="AZ440" s="137" t="n"/>
      <c r="BA440" s="137" t="n"/>
      <c r="BB440" s="108" t="inlineStr">
        <is>
          <t>Hang Seng Commerce &amp; Industry sub-index</t>
        </is>
      </c>
      <c r="BC440" s="121" t="n">
        <v>-64.55</v>
      </c>
      <c r="BD440" s="109" t="n">
        <v>46111</v>
      </c>
      <c r="BE440" s="110" t="n">
        <v>921.4</v>
      </c>
      <c r="BF440" s="113" t="n">
        <v>55.8</v>
      </c>
      <c r="BG440" s="108" t="inlineStr">
        <is>
          <t>Y</t>
        </is>
      </c>
      <c r="BH440" s="123" t="n">
        <v>17.8</v>
      </c>
      <c r="BI440" s="122" t="n"/>
      <c r="BJ440" s="122" t="n"/>
      <c r="BK440" s="123" t="n">
        <v>1.1</v>
      </c>
      <c r="BL440" s="124">
        <f>IF('BBG Verify'!S440="","not filed; run on terminal",'BBG Verify'!S440)</f>
        <v/>
      </c>
      <c r="BM440" s="125" t="inlineStr">
        <is>
          <t>N</t>
        </is>
      </c>
      <c r="BN440" s="126">
        <f>IF('BBG Verify'!K440="","not filed; run on terminal",'BBG Verify'!K440)</f>
        <v/>
      </c>
      <c r="BO440" s="108" t="inlineStr">
        <is>
          <t>N/A</t>
        </is>
      </c>
      <c r="BP440" s="108" t="inlineStr">
        <is>
          <t>N/A</t>
        </is>
      </c>
      <c r="BQ440" s="108" t="inlineStr">
        <is>
          <t>N/A</t>
        </is>
      </c>
      <c r="BR440" s="108" t="inlineStr">
        <is>
          <t>N/A</t>
        </is>
      </c>
      <c r="BS440" s="108" t="inlineStr">
        <is>
          <t>N/A</t>
        </is>
      </c>
      <c r="BT440" s="108" t="inlineStr">
        <is>
          <t>N/A</t>
        </is>
      </c>
      <c r="BU440" s="125" t="inlineStr">
        <is>
          <t>China Securities (International) Corporate Finance Company Limited</t>
        </is>
      </c>
      <c r="BV440" s="108" t="inlineStr">
        <is>
          <t>China Securities (International) Corporate Finance Company Limited</t>
        </is>
      </c>
      <c r="BW440" s="108" t="inlineStr">
        <is>
          <t>DBS Asia Capital Limited; to our Company DBS Asia Capital Limited; ABCI Capital Limited; CMB International Capital Limited; Futu Securities International (Hong Kong) Limited; Livermore Holdings Limited; SPDB International Capital Limited; TFI Securities and Futures Limited; TradeGo Markets Limited</t>
        </is>
      </c>
      <c r="BX440" s="108" t="inlineStr">
        <is>
          <t>ABCI Securities Company Limited; CMB International Capital Limited; China Securities (International) Corporate Finance Company Limited; China Sunrise Securities (International) Limited; DBS Asia Capital Limited; Futu Securities International (Hong Kong) Limited; Livermore Holdings Limited; SPDB International Capital Limited; TFI Securities and Futures Limited; TradeGo Markets Limited</t>
        </is>
      </c>
      <c r="BY440" s="127">
        <f>HYPERLINK("https://www1.hkexnews.hk/listedco/listconews/sehk/2026/0227/2026022700013.pdf","prospectus")</f>
        <v/>
      </c>
      <c r="BZ440" s="127">
        <f>HYPERLINK("https://www1.hkexnews.hk/listedco/listconews/sehk/2026/0306/2026030601405.pdf","allotment")</f>
        <v/>
      </c>
      <c r="CA440" s="119" t="n"/>
      <c r="CB440" s="128" t="n"/>
      <c r="CC440" s="108" t="inlineStr">
        <is>
          <t>greenshoe: end-of-stabilisation notice not found; 1m: pending: 15 traded sessions after debut; 21 needed; 3m: pending: 15 traded sessions after debut; 63 needed; cornerstone list: no cornerstone tranche; price series: Suspended from 30 March 2026 at 13:00 HKT (HKEX notice). Only 15 traded sessions after debut: 1m/3m windows incomplete; last available traded close HK$3.90. https://www.hkexnews.hk/listedco/listconews/sehk/2026/0330/2026033000390_c.htm; alpha/index: 1m window not elapsed</t>
        </is>
      </c>
    </row>
    <row r="441" ht="22" customHeight="1">
      <c r="A441" s="107" t="inlineStr">
        <is>
          <t>2692</t>
        </is>
      </c>
      <c r="B441" s="108" t="inlineStr">
        <is>
          <t>ZHAOWEI</t>
        </is>
      </c>
      <c r="C441" s="108" t="inlineStr">
        <is>
          <t>兆威機電</t>
        </is>
      </c>
      <c r="D441" s="108" t="inlineStr">
        <is>
          <t>Industrials</t>
        </is>
      </c>
      <c r="E441" s="108" t="inlineStr">
        <is>
          <t>Capital goods / machinery</t>
        </is>
      </c>
      <c r="F441" s="108" t="inlineStr">
        <is>
          <t>Industrial Machinery</t>
        </is>
      </c>
      <c r="G441" s="108" t="inlineStr">
        <is>
          <t>Standard</t>
        </is>
      </c>
      <c r="H441" s="109" t="n">
        <v>46090</v>
      </c>
      <c r="I441" s="110" t="n">
        <v>1906.62</v>
      </c>
      <c r="J441" s="108" t="inlineStr">
        <is>
          <t>gross (stated)</t>
        </is>
      </c>
      <c r="K441" s="129" t="n"/>
      <c r="L441" s="111" t="n">
        <v>73.68000000000001</v>
      </c>
      <c r="M441" s="111" t="n">
        <v>71.28</v>
      </c>
      <c r="N441" s="108" t="inlineStr">
        <is>
          <t>N</t>
        </is>
      </c>
      <c r="O441" s="112" t="n">
        <v>96.7</v>
      </c>
      <c r="P441" s="118" t="n"/>
      <c r="Q441" s="113" t="n">
        <v>19066.2</v>
      </c>
      <c r="R441" s="108" t="inlineStr">
        <is>
          <t>derived:price x shares upon listing</t>
        </is>
      </c>
      <c r="S441" s="114" t="n">
        <v>1536.76</v>
      </c>
      <c r="T441" s="115" t="n">
        <v>13.4</v>
      </c>
      <c r="U441" s="116" t="n">
        <v>34.17</v>
      </c>
      <c r="V441" s="117" t="n">
        <v>75</v>
      </c>
      <c r="W441" s="112" t="n">
        <v>10</v>
      </c>
      <c r="X441" s="108" t="inlineStr">
        <is>
          <t>NA</t>
        </is>
      </c>
      <c r="Y441" s="113" t="n">
        <v>1255.13</v>
      </c>
      <c r="Z441" s="113" t="n">
        <v>17608406</v>
      </c>
      <c r="AA441" s="112" t="n">
        <v>6.58</v>
      </c>
      <c r="AB441" s="108" t="inlineStr">
        <is>
          <t>HHLRA; Mirae Asset Securities Co., Ltd; Perseverance Asset Management; Da Cheng International; GF Fund HK; Oakwise Growth Fund; Jump Trading; VVC Technology Fund Ltd; Taihu Golden Valley; Topstar Worldwide; Virtues Capital and China Securities (International) Investment Company Limited (in connection with the OTC Swaps); Hengbang and China Galaxy International Investment Company Limited (in connection with the Hengbang OTC Swaps); W Investment; BeingBoom Capital; Mr. He Maoling; Mr. Luo Jie; Bridge Zone Group Limited; CMBC International; RIME; Main Source Capital Limited</t>
        </is>
      </c>
      <c r="AC441" s="108" t="inlineStr">
        <is>
          <t>hhlra;mirae;perseverance;da;gf;oakwise;jump;vvc;taihu;topstar;virtues;hengbang;investment;beingboom;mr-he;mr-luo;bridge;cmbc;rime;main</t>
        </is>
      </c>
      <c r="AD441" s="118" t="n"/>
      <c r="AE441" s="119" t="n"/>
      <c r="AF441" s="119" t="n"/>
      <c r="AG441" s="119" t="n"/>
      <c r="AH441" s="119" t="n"/>
      <c r="AI441" s="120" t="n">
        <v>16.16</v>
      </c>
      <c r="AJ441" s="121" t="n">
        <v>2.41</v>
      </c>
      <c r="AK441" s="121" t="n">
        <v>-0.71</v>
      </c>
      <c r="AL441" s="121" t="n">
        <v>9.43</v>
      </c>
      <c r="AM441" s="121" t="n">
        <v>-6.42</v>
      </c>
      <c r="AN441" s="123" t="n">
        <v>1.91</v>
      </c>
      <c r="AO441" s="112" t="n">
        <v>10.51</v>
      </c>
      <c r="AP441" s="121" t="n">
        <v>11.39</v>
      </c>
      <c r="AQ441" s="121" t="n">
        <v>-7.48</v>
      </c>
      <c r="AR441" s="121" t="n">
        <v>-13.09</v>
      </c>
      <c r="AS441" s="121" t="n">
        <v>8.77</v>
      </c>
      <c r="AT441" s="121" t="n">
        <v>-9.66</v>
      </c>
      <c r="AU441" s="121" t="n">
        <v>-15.14</v>
      </c>
      <c r="AV441" s="121" t="n">
        <v>9.09</v>
      </c>
      <c r="AW441" s="121" t="n">
        <v>-6.7</v>
      </c>
      <c r="AX441" s="121" t="n">
        <v>-4.36</v>
      </c>
      <c r="AY441" s="121" t="n">
        <v>-9.59</v>
      </c>
      <c r="AZ441" s="121" t="n">
        <v>-0.78</v>
      </c>
      <c r="BA441" s="121" t="n">
        <v>-0.07000000000000001</v>
      </c>
      <c r="BB441" s="108" t="inlineStr">
        <is>
          <t>Hang Seng Commerce &amp; Industry sub-index</t>
        </is>
      </c>
      <c r="BC441" s="121" t="n">
        <v>-47.33</v>
      </c>
      <c r="BD441" s="109" t="n">
        <v>46297</v>
      </c>
      <c r="BE441" s="110" t="n">
        <v>1677.1</v>
      </c>
      <c r="BF441" s="113" t="n">
        <v>248</v>
      </c>
      <c r="BG441" s="108" t="inlineStr">
        <is>
          <t>Y</t>
        </is>
      </c>
      <c r="BH441" s="123" t="n">
        <v>76.90000000000001</v>
      </c>
      <c r="BI441" s="123" t="n">
        <v>61</v>
      </c>
      <c r="BJ441" s="123" t="n">
        <v>45</v>
      </c>
      <c r="BK441" s="123" t="n">
        <v>11.4</v>
      </c>
      <c r="BL441" s="124">
        <f>IF('BBG Verify'!S441="","not filed; run on terminal",'BBG Verify'!S441)</f>
        <v/>
      </c>
      <c r="BM441" s="125" t="inlineStr">
        <is>
          <t>Y</t>
        </is>
      </c>
      <c r="BN441" s="108" t="inlineStr">
        <is>
          <t>003021.SZ</t>
        </is>
      </c>
      <c r="BO441" s="121" t="n">
        <v>87.19</v>
      </c>
      <c r="BP441" s="111" t="n">
        <v>133.4288</v>
      </c>
      <c r="BQ441" s="135" t="n">
        <v>1.1901</v>
      </c>
      <c r="BR441" s="113" t="n">
        <v>22032.6</v>
      </c>
      <c r="BS441" s="124">
        <f>IF('BBG Verify'!Q441="","run on terminal",'BBG Verify'!Q441)</f>
        <v/>
      </c>
      <c r="BT441" s="124">
        <f>IF('BBG Verify'!R441="","run on terminal",'BBG Verify'!R441)</f>
        <v/>
      </c>
      <c r="BU441" s="125" t="inlineStr">
        <is>
          <t>China Merchants Securities (HK) Co., Limited; Deutsche Securities Asia Limited</t>
        </is>
      </c>
      <c r="BV441" s="108" t="inlineStr">
        <is>
          <t>Deutsche Securities Asia Limited; China Merchants Securities (HK) Company Limited</t>
        </is>
      </c>
      <c r="BW441" s="108" t="inlineStr">
        <is>
          <t>China Merchants Securities (HK) Co., Limited; Deutsche Bank AG, Hong Kong Branch; CLSA Limited; ABCI Capital Limited; BOCOM International Securities Limited; Futu Securities International (Hong Kong) Limited; Y ellow River Securities Limited</t>
        </is>
      </c>
      <c r="BX441" s="108" t="inlineStr">
        <is>
          <t>ABCI Capital Limited; ABCI Securities Company Limited; BOCOM International Securities Limited; CLSA Limited; China Merchants Securities (HK) Company Limited; Deutsche Bank AG, Hong Kong Branch; Futu Securities International (Hong Kong) Limited; I Win Securities Limited; Open Securities Limited; Yellow River Securities Limited</t>
        </is>
      </c>
      <c r="BY441" s="127">
        <f>HYPERLINK("https://www1.hkexnews.hk/listedco/listconews/sehk/2026/0227/2026022700015.pdf","prospectus")</f>
        <v/>
      </c>
      <c r="BZ441" s="127">
        <f>HYPERLINK("https://www1.hkexnews.hk/listedco/listconews/sehk/2026/0306/2026030601575.pdf","allotment")</f>
        <v/>
      </c>
      <c r="CA441" s="119" t="n"/>
      <c r="CB441" s="128" t="n"/>
      <c r="CC441" s="108" t="inlineStr">
        <is>
          <t>greenshoe: no over-allotment option; range low: maximum offer price only, no floor published; A/H: Mar 2026 H listing (micro drive systems/dexterous hands); greenshoe size: no over-allotment option; stabilising manager: no over-allotment option, so none appointed</t>
        </is>
      </c>
    </row>
    <row r="442" ht="22" customHeight="1">
      <c r="A442" s="107" t="inlineStr">
        <is>
          <t>3268</t>
        </is>
      </c>
      <c r="B442" s="108" t="inlineStr">
        <is>
          <t>MEIG</t>
        </is>
      </c>
      <c r="C442" s="108" t="inlineStr">
        <is>
          <t>美格智能</t>
        </is>
      </c>
      <c r="D442" s="108" t="inlineStr">
        <is>
          <t>Tech/AI</t>
        </is>
      </c>
      <c r="E442" s="108" t="inlineStr">
        <is>
          <t>Smart hardware / consumer electronics</t>
        </is>
      </c>
      <c r="F442" s="108" t="inlineStr">
        <is>
          <t>Telecommunications &amp; Networking Equipment</t>
        </is>
      </c>
      <c r="G442" s="108" t="inlineStr">
        <is>
          <t>Standard</t>
        </is>
      </c>
      <c r="H442" s="109" t="n">
        <v>46091</v>
      </c>
      <c r="I442" s="110" t="n">
        <v>1161.6</v>
      </c>
      <c r="J442" s="108" t="inlineStr">
        <is>
          <t>gross (stated)</t>
        </is>
      </c>
      <c r="K442" s="129" t="n"/>
      <c r="L442" s="111" t="n">
        <v>28.86</v>
      </c>
      <c r="M442" s="111" t="n">
        <v>28.86</v>
      </c>
      <c r="N442" s="108" t="inlineStr">
        <is>
          <t>Y</t>
        </is>
      </c>
      <c r="O442" s="112" t="n">
        <v>100</v>
      </c>
      <c r="P442" s="118" t="n"/>
      <c r="Q442" s="113" t="n">
        <v>8715.9</v>
      </c>
      <c r="R442" s="108" t="inlineStr">
        <is>
          <t>derived:price x shares upon listing</t>
        </is>
      </c>
      <c r="S442" s="114" t="n">
        <v>174.12</v>
      </c>
      <c r="T442" s="115" t="n">
        <v>4.5</v>
      </c>
      <c r="U442" s="116" t="n">
        <v>39.47</v>
      </c>
      <c r="V442" s="117" t="n">
        <v>69</v>
      </c>
      <c r="W442" s="112" t="n">
        <v>8.699999999999999</v>
      </c>
      <c r="X442" s="108" t="inlineStr">
        <is>
          <t>NA</t>
        </is>
      </c>
      <c r="Y442" s="113" t="n">
        <v>703.12</v>
      </c>
      <c r="Z442" s="113" t="n">
        <v>24363325</v>
      </c>
      <c r="AA442" s="112" t="n">
        <v>8.07</v>
      </c>
      <c r="AB442" s="108" t="inlineStr">
        <is>
          <t>Baoyue Lake Shenzhen Industrial Investment Win-Win Enterprise Management Limited; Meiko Elec. Hong Kong Co., Limited; Streamax Electronics Limited; Harvest International Premium Value (Secondary Market) Fund SPC on behalf of Harvest Oriental SP; Jinyi Capital Multi-Strategy Fund SPC Ltd; Open Wealth Management Limited; China Winning Limited; Chau Tsang Cheong (Mr. Chau)</t>
        </is>
      </c>
      <c r="AC442" s="108" t="inlineStr">
        <is>
          <t>baoyue;meiko;streamax;harvest;jinyi;open;winning;chau</t>
        </is>
      </c>
      <c r="AD442" s="118" t="n"/>
      <c r="AE442" s="119" t="n"/>
      <c r="AF442" s="119" t="n"/>
      <c r="AG442" s="119" t="n"/>
      <c r="AH442" s="119" t="n"/>
      <c r="AI442" s="120" t="n">
        <v>1.87</v>
      </c>
      <c r="AJ442" s="121" t="n">
        <v>1.52</v>
      </c>
      <c r="AK442" s="121" t="n">
        <v>2.57</v>
      </c>
      <c r="AL442" s="121" t="n">
        <v>0.62</v>
      </c>
      <c r="AM442" s="121" t="n">
        <v>0.89</v>
      </c>
      <c r="AN442" s="123" t="n">
        <v>2.81</v>
      </c>
      <c r="AO442" s="112" t="n">
        <v>7.71</v>
      </c>
      <c r="AP442" s="121" t="n">
        <v>-10.05</v>
      </c>
      <c r="AQ442" s="121" t="n">
        <v>-20.03</v>
      </c>
      <c r="AR442" s="121" t="n">
        <v>-29.11</v>
      </c>
      <c r="AS442" s="121" t="n">
        <v>-11.4</v>
      </c>
      <c r="AT442" s="121" t="n">
        <v>-21.23</v>
      </c>
      <c r="AU442" s="121" t="n">
        <v>-30.17</v>
      </c>
      <c r="AV442" s="121" t="n">
        <v>-13.7</v>
      </c>
      <c r="AW442" s="121" t="n">
        <v>-18</v>
      </c>
      <c r="AX442" s="121" t="n">
        <v>-24.71</v>
      </c>
      <c r="AY442" s="121" t="n">
        <v>-16.74</v>
      </c>
      <c r="AZ442" s="121" t="n">
        <v>-2.03</v>
      </c>
      <c r="BA442" s="121" t="n">
        <v>-4.49</v>
      </c>
      <c r="BB442" s="108" t="inlineStr">
        <is>
          <t>HSTECH (Hang Seng TECH ETF)</t>
        </is>
      </c>
      <c r="BC442" s="121" t="n">
        <v>-39.36</v>
      </c>
      <c r="BD442" s="109" t="n">
        <v>46297</v>
      </c>
      <c r="BE442" s="110" t="n">
        <v>3235.5</v>
      </c>
      <c r="BF442" s="113" t="n">
        <v>147.8</v>
      </c>
      <c r="BG442" s="108" t="inlineStr">
        <is>
          <t>Y</t>
        </is>
      </c>
      <c r="BH442" s="123" t="n">
        <v>59</v>
      </c>
      <c r="BI442" s="123" t="n">
        <v>47.3</v>
      </c>
      <c r="BJ442" s="123" t="n">
        <v>28.6</v>
      </c>
      <c r="BK442" s="123" t="n">
        <v>2.7</v>
      </c>
      <c r="BL442" s="124">
        <f>IF('BBG Verify'!S442="","not filed; run on terminal",'BBG Verify'!S442)</f>
        <v/>
      </c>
      <c r="BM442" s="125" t="inlineStr">
        <is>
          <t>Y</t>
        </is>
      </c>
      <c r="BN442" s="108" t="inlineStr">
        <is>
          <t>002881.SZ</t>
        </is>
      </c>
      <c r="BO442" s="121" t="n">
        <v>92.41</v>
      </c>
      <c r="BP442" s="111" t="n">
        <v>55.5283</v>
      </c>
      <c r="BQ442" s="135" t="n">
        <v>1.8361</v>
      </c>
      <c r="BR442" s="113" t="n">
        <v>15008.4</v>
      </c>
      <c r="BS442" s="124">
        <f>IF('BBG Verify'!Q442="","run on terminal",'BBG Verify'!Q442)</f>
        <v/>
      </c>
      <c r="BT442" s="124">
        <f>IF('BBG Verify'!R442="","run on terminal",'BBG Verify'!R442)</f>
        <v/>
      </c>
      <c r="BU442" s="125" t="inlineStr">
        <is>
          <t>China International Capital Corporation Hong Kong Securities Limited</t>
        </is>
      </c>
      <c r="BV442" s="108" t="inlineStr">
        <is>
          <t>China International Capital Corporation Hong Kong Securities Limited</t>
        </is>
      </c>
      <c r="BW442" s="108" t="inlineStr">
        <is>
          <t>China International Capital Corporation Hong Kong Securities Limited; BNP Paribas Securities (Asia) Limited; Futu Securities International (Hong Kong) Limited; Tiger Brokers (HK) Global Limited; Open Securities Limited</t>
        </is>
      </c>
      <c r="BX442" s="108" t="inlineStr">
        <is>
          <t>BNP Paribas Securities (Asia) Limited; China International Capital Corporation Hong Kong Securities Limited; China Industrial Securities International Capital Limited; Futu Securities International (Hong Kong) Limited; Open Securities Limited; Tiger Brokers (HK) Global Limited</t>
        </is>
      </c>
      <c r="BY442" s="127">
        <f>HYPERLINK("https://www1.hkexnews.hk/listedco/listconews/sehk/2026/0227/2026022700019.pdf","prospectus")</f>
        <v/>
      </c>
      <c r="BZ442" s="127">
        <f>HYPERLINK("https://www1.hkexnews.hk/listedco/listconews/sehk/2026/0309/2026030901426.pdf","allotment")</f>
        <v/>
      </c>
      <c r="CA442" s="119" t="n"/>
      <c r="CB442" s="128" t="n"/>
      <c r="CC442" s="108" t="inlineStr">
        <is>
          <t>greenshoe: no over-allotment option; range low: maximum offer price only, no floor published; A/H: Mar 2026 H listing (IoT modules); greenshoe size: no over-allotment option; stabilising manager: no over-allotment option, so none appointed</t>
        </is>
      </c>
    </row>
    <row r="443" ht="22" customHeight="1">
      <c r="A443" s="107" t="inlineStr">
        <is>
          <t>1989</t>
        </is>
      </c>
      <c r="B443" s="108" t="inlineStr">
        <is>
          <t>DELTON</t>
        </is>
      </c>
      <c r="C443" s="108" t="inlineStr">
        <is>
          <t>廣合科技</t>
        </is>
      </c>
      <c r="D443" s="108" t="inlineStr">
        <is>
          <t>Tech/AI</t>
        </is>
      </c>
      <c r="E443" s="108" t="inlineStr">
        <is>
          <t>Smart hardware / consumer electronics</t>
        </is>
      </c>
      <c r="F443" s="108" t="inlineStr">
        <is>
          <t>Printed Circuit Boards</t>
        </is>
      </c>
      <c r="G443" s="108" t="inlineStr">
        <is>
          <t>Standard</t>
        </is>
      </c>
      <c r="H443" s="109" t="n">
        <v>46101</v>
      </c>
      <c r="I443" s="110" t="n">
        <v>3306.48</v>
      </c>
      <c r="J443" s="108" t="inlineStr">
        <is>
          <t>gross (stated)</t>
        </is>
      </c>
      <c r="K443" s="129" t="n"/>
      <c r="L443" s="111" t="n">
        <v>71.88</v>
      </c>
      <c r="M443" s="111" t="n">
        <v>71.88</v>
      </c>
      <c r="N443" s="108" t="inlineStr">
        <is>
          <t>Y</t>
        </is>
      </c>
      <c r="O443" s="112" t="n">
        <v>100</v>
      </c>
      <c r="P443" s="118" t="n"/>
      <c r="Q443" s="113" t="n">
        <v>33959.5</v>
      </c>
      <c r="R443" s="108" t="inlineStr">
        <is>
          <t>derived:price x shares upon listing</t>
        </is>
      </c>
      <c r="S443" s="114" t="n">
        <v>1070.72</v>
      </c>
      <c r="T443" s="115" t="n">
        <v>14.64</v>
      </c>
      <c r="U443" s="116" t="n">
        <v>44.94</v>
      </c>
      <c r="V443" s="117" t="n">
        <v>162</v>
      </c>
      <c r="W443" s="112" t="n">
        <v>10</v>
      </c>
      <c r="X443" s="108" t="inlineStr">
        <is>
          <t>NA</t>
        </is>
      </c>
      <c r="Y443" s="113" t="n">
        <v>1820.55</v>
      </c>
      <c r="Z443" s="113" t="n">
        <v>25327600</v>
      </c>
      <c r="AA443" s="112" t="n">
        <v>5.36</v>
      </c>
      <c r="AB443" s="108" t="inlineStr">
        <is>
          <t>Baring Asset Management (Asia) Limited; CPE Greater China Enterprises Growth Fund及CPE Growth Fund; Dajia Life Insurance Co., Ltd; Eastspring Investments (Singapore) Limited; Greater Bay Area Homeland Investments Limited; Greenwoods Asset Management Hong Kong Limited; Guotai Junan Investments (Hong Kong) Limited; Beijing Yuanfeng Asset Management L.L.P; ICBC Wealth Management Co., Ltd; MY Asian Opportunities Master Fund, L.P; Shanghai Greenwoods Asset Management Co., Ltd; CITIC Securities International Capital Management Limited; UBS Asset Management (Singapore) Ltd; Value Partners Hong Kong Limited</t>
        </is>
      </c>
      <c r="AC443" s="108" t="inlineStr">
        <is>
          <t>baring;cpe;dajia;eastspring;greater;greenwoods;guotai;beijing-yuanfeng;icbc;my;shanghai-greenwoods;citic;ubs;value</t>
        </is>
      </c>
      <c r="AD443" s="118" t="n"/>
      <c r="AE443" s="119" t="n"/>
      <c r="AF443" s="119" t="n"/>
      <c r="AG443" s="119" t="n"/>
      <c r="AH443" s="119" t="n"/>
      <c r="AI443" s="120" t="n">
        <v>32.16</v>
      </c>
      <c r="AJ443" s="121" t="n">
        <v>33.56</v>
      </c>
      <c r="AK443" s="121" t="n">
        <v>-2.25</v>
      </c>
      <c r="AL443" s="121" t="n">
        <v>32.23</v>
      </c>
      <c r="AM443" s="121" t="n">
        <v>1.01</v>
      </c>
      <c r="AN443" s="123" t="n">
        <v>5.83</v>
      </c>
      <c r="AO443" s="112" t="n">
        <v>55.65</v>
      </c>
      <c r="AP443" s="121" t="n">
        <v>35.99</v>
      </c>
      <c r="AQ443" s="121" t="n">
        <v>111.32</v>
      </c>
      <c r="AR443" s="121" t="n">
        <v>163.63</v>
      </c>
      <c r="AS443" s="121" t="n">
        <v>1.82</v>
      </c>
      <c r="AT443" s="121" t="n">
        <v>58.22</v>
      </c>
      <c r="AU443" s="121" t="n">
        <v>97.39</v>
      </c>
      <c r="AV443" s="121" t="n">
        <v>40.09</v>
      </c>
      <c r="AW443" s="121" t="n">
        <v>113.82</v>
      </c>
      <c r="AX443" s="121" t="n">
        <v>174.9</v>
      </c>
      <c r="AY443" s="121" t="n">
        <v>58.47</v>
      </c>
      <c r="AZ443" s="121" t="n">
        <v>-2.5</v>
      </c>
      <c r="BA443" s="121" t="n">
        <v>-0.25</v>
      </c>
      <c r="BB443" s="108" t="inlineStr">
        <is>
          <t>HSTECH (Hang Seng TECH ETF)</t>
        </is>
      </c>
      <c r="BC443" s="121" t="n">
        <v>64.3</v>
      </c>
      <c r="BD443" s="109" t="n">
        <v>46297</v>
      </c>
      <c r="BE443" s="110" t="n">
        <v>4107.7</v>
      </c>
      <c r="BF443" s="113" t="n">
        <v>743.7</v>
      </c>
      <c r="BG443" s="108" t="inlineStr">
        <is>
          <t>Y</t>
        </is>
      </c>
      <c r="BH443" s="123" t="n">
        <v>45.7</v>
      </c>
      <c r="BI443" s="123" t="n">
        <v>35.4</v>
      </c>
      <c r="BJ443" s="123" t="n">
        <v>38.1</v>
      </c>
      <c r="BK443" s="123" t="n">
        <v>8.300000000000001</v>
      </c>
      <c r="BL443" s="124">
        <f>IF('BBG Verify'!S443="","not filed; run on terminal",'BBG Verify'!S443)</f>
        <v/>
      </c>
      <c r="BM443" s="125" t="inlineStr">
        <is>
          <t>Y</t>
        </is>
      </c>
      <c r="BN443" s="108" t="inlineStr">
        <is>
          <t>001389.SZ</t>
        </is>
      </c>
      <c r="BO443" s="121" t="n">
        <v>83.56</v>
      </c>
      <c r="BP443" s="111" t="n">
        <v>131.9413</v>
      </c>
      <c r="BQ443" s="135" t="n">
        <v>0.7504</v>
      </c>
      <c r="BR443" s="113" t="n">
        <v>97765.2</v>
      </c>
      <c r="BS443" s="124">
        <f>IF('BBG Verify'!Q443="","run on terminal",'BBG Verify'!Q443)</f>
        <v/>
      </c>
      <c r="BT443" s="124">
        <f>IF('BBG Verify'!R443="","run on terminal",'BBG Verify'!R443)</f>
        <v/>
      </c>
      <c r="BU443" s="125" t="inlineStr">
        <is>
          <t>CITIC Securities (Hong Kong) Limited; HSBC Corporate Finance (Hong Kong) Limited</t>
        </is>
      </c>
      <c r="BV443" s="108" t="inlineStr">
        <is>
          <t>CITIC Securities (Hong Kong) Limited</t>
        </is>
      </c>
      <c r="BW443" s="108" t="inlineStr">
        <is>
          <t>CLSA Limited; GF Securities (Hong Kong) Brokerage Limited; Guolian Securities International Capital Market Co., Limited; Huatai Financial Holdings (Hong Kong) Limited; The Hongkong and Shanghai Banking Corporation Limited</t>
        </is>
      </c>
      <c r="BX443" s="108" t="inlineStr">
        <is>
          <t>CLSA Limited; GF Securities (Hong Kong) Brokerage Limited; Guolian Securities International Capital Market Co., Limited; Huatai Financial Holdings (Hong Kong) Limited; The Hongkong and Shanghai Banking Corporation Limited</t>
        </is>
      </c>
      <c r="BY443" s="127">
        <f>HYPERLINK("https://www1.hkexnews.hk/listedco/listconews/sehk/2026/0312/2026031200003.pdf","prospectus")</f>
        <v/>
      </c>
      <c r="BZ443" s="127">
        <f>HYPERLINK("https://www1.hkexnews.hk/listedco/listconews/sehk/2026/0319/2026031901556.pdf","allotment")</f>
        <v/>
      </c>
      <c r="CA443" s="119" t="n"/>
      <c r="CB443" s="128" t="n"/>
      <c r="CC443" s="108" t="inlineStr">
        <is>
          <t>greenshoe: no over-allotment option; range low: maximum offer price only, no floor published; A/H: Mar 2026 H listing (PCB); greenshoe size: no over-allotment option; stabilising manager: filing states none appointed (prospectus: 'no stabilizing manager will be appointed' stated in the filing)</t>
        </is>
      </c>
    </row>
    <row r="444" ht="22" customHeight="1">
      <c r="A444" s="107" t="inlineStr">
        <is>
          <t>2701</t>
        </is>
      </c>
      <c r="B444" s="108" t="inlineStr">
        <is>
          <t>NSING TECH</t>
        </is>
      </c>
      <c r="C444" s="108" t="inlineStr">
        <is>
          <t>國民技術</t>
        </is>
      </c>
      <c r="D444" s="108" t="inlineStr">
        <is>
          <t>Tech/AI</t>
        </is>
      </c>
      <c r="E444" s="108" t="inlineStr">
        <is>
          <t>Other / diversified semiconductors</t>
        </is>
      </c>
      <c r="F444" s="108" t="inlineStr">
        <is>
          <t>Semiconductors &amp; Semiconductor Equipment</t>
        </is>
      </c>
      <c r="G444" s="108" t="inlineStr">
        <is>
          <t>Standard</t>
        </is>
      </c>
      <c r="H444" s="109" t="n">
        <v>46104</v>
      </c>
      <c r="I444" s="110" t="n">
        <v>1026</v>
      </c>
      <c r="J444" s="108" t="inlineStr">
        <is>
          <t>gross (stated)</t>
        </is>
      </c>
      <c r="K444" s="129" t="n"/>
      <c r="L444" s="111" t="n">
        <v>10.8</v>
      </c>
      <c r="M444" s="111" t="n">
        <v>10.8</v>
      </c>
      <c r="N444" s="108" t="inlineStr">
        <is>
          <t>Y</t>
        </is>
      </c>
      <c r="O444" s="112" t="n">
        <v>100</v>
      </c>
      <c r="P444" s="118" t="n"/>
      <c r="Q444" s="113" t="n">
        <v>7323.8</v>
      </c>
      <c r="R444" s="108" t="inlineStr">
        <is>
          <t>derived:price x shares upon listing</t>
        </is>
      </c>
      <c r="S444" s="114" t="n">
        <v>131.83</v>
      </c>
      <c r="T444" s="115" t="n">
        <v>2.51</v>
      </c>
      <c r="U444" s="116" t="n">
        <v>13.6</v>
      </c>
      <c r="V444" s="117" t="n">
        <v>59</v>
      </c>
      <c r="W444" s="112" t="n">
        <v>10</v>
      </c>
      <c r="X444" s="108" t="inlineStr">
        <is>
          <t>NO</t>
        </is>
      </c>
      <c r="Y444" s="113" t="n">
        <v>886.46</v>
      </c>
      <c r="Z444" s="113" t="n">
        <v>82080000</v>
      </c>
      <c r="AA444" s="112" t="n">
        <v>12.1</v>
      </c>
      <c r="AB444" s="108" t="inlineStr">
        <is>
          <t>Guohua Life Insurance Co., Ltd; Harvest Oriental II SP; Mr. An Jiangbo; Ms. Christine Tai; Sunwoda Treasury (Hong Kong) Limited</t>
        </is>
      </c>
      <c r="AC444" s="108" t="inlineStr">
        <is>
          <t>guohua;harvest;mr-an;ms-christine;sunwoda</t>
        </is>
      </c>
      <c r="AD444" s="118" t="n"/>
      <c r="AE444" s="119" t="n"/>
      <c r="AF444" s="119" t="n"/>
      <c r="AG444" s="119" t="n"/>
      <c r="AH444" s="119" t="n"/>
      <c r="AI444" s="120" t="n">
        <v>8.33</v>
      </c>
      <c r="AJ444" s="121" t="n">
        <v>4.17</v>
      </c>
      <c r="AK444" s="121" t="n">
        <v>-3.44</v>
      </c>
      <c r="AL444" s="121" t="n">
        <v>32.41</v>
      </c>
      <c r="AM444" s="121" t="n">
        <v>-21.33</v>
      </c>
      <c r="AN444" s="123" t="n">
        <v>6.18</v>
      </c>
      <c r="AO444" s="112" t="n">
        <v>39.16</v>
      </c>
      <c r="AP444" s="121" t="n">
        <v>21.11</v>
      </c>
      <c r="AQ444" s="121" t="n">
        <v>14.54</v>
      </c>
      <c r="AR444" s="121" t="n">
        <v>17.78</v>
      </c>
      <c r="AS444" s="121" t="n">
        <v>16.26</v>
      </c>
      <c r="AT444" s="121" t="n">
        <v>9.949999999999999</v>
      </c>
      <c r="AU444" s="121" t="n">
        <v>13.07</v>
      </c>
      <c r="AV444" s="121" t="n">
        <v>24.88</v>
      </c>
      <c r="AW444" s="121" t="n">
        <v>13.91</v>
      </c>
      <c r="AX444" s="121" t="n">
        <v>30.15</v>
      </c>
      <c r="AY444" s="121" t="n">
        <v>5.74</v>
      </c>
      <c r="AZ444" s="121" t="n">
        <v>0.63</v>
      </c>
      <c r="BA444" s="121" t="n">
        <v>4.21</v>
      </c>
      <c r="BB444" s="108" t="inlineStr">
        <is>
          <t>HSTECH (Hang Seng TECH ETF)</t>
        </is>
      </c>
      <c r="BC444" s="121" t="n">
        <v>-28.1</v>
      </c>
      <c r="BD444" s="109" t="n">
        <v>46297</v>
      </c>
      <c r="BE444" s="110" t="n">
        <v>1284.3</v>
      </c>
      <c r="BF444" s="113" t="n">
        <v>-281.3</v>
      </c>
      <c r="BG444" s="108" t="inlineStr">
        <is>
          <t>N</t>
        </is>
      </c>
      <c r="BH444" s="108" t="inlineStr">
        <is>
          <t>n/m</t>
        </is>
      </c>
      <c r="BI444" s="122" t="n"/>
      <c r="BJ444" s="122" t="n"/>
      <c r="BK444" s="123" t="n">
        <v>5.7</v>
      </c>
      <c r="BL444" s="124">
        <f>IF('BBG Verify'!S444="","not filed; run on terminal",'BBG Verify'!S444)</f>
        <v/>
      </c>
      <c r="BM444" s="125" t="inlineStr">
        <is>
          <t>Y</t>
        </is>
      </c>
      <c r="BN444" s="108" t="inlineStr">
        <is>
          <t>300077.SZ</t>
        </is>
      </c>
      <c r="BO444" s="121" t="n">
        <v>128.98</v>
      </c>
      <c r="BP444" s="111" t="n">
        <v>24.7297</v>
      </c>
      <c r="BQ444" s="135" t="n">
        <v>2.1437</v>
      </c>
      <c r="BR444" s="113" t="n">
        <v>16565.4</v>
      </c>
      <c r="BS444" s="124">
        <f>IF('BBG Verify'!Q444="","run on terminal",'BBG Verify'!Q444)</f>
        <v/>
      </c>
      <c r="BT444" s="124">
        <f>IF('BBG Verify'!R444="","run on terminal",'BBG Verify'!R444)</f>
        <v/>
      </c>
      <c r="BU444" s="125" t="inlineStr">
        <is>
          <t>CITIC Securities (Hong Kong) Limited</t>
        </is>
      </c>
      <c r="BV444" s="108" t="inlineStr">
        <is>
          <t>CITIC Securities (Hong Kong) Limited</t>
        </is>
      </c>
      <c r="BW444" s="108" t="inlineStr">
        <is>
          <t>CLSA Limited; BOCOM International Securities Limited; SPDB International Capital Limited; Jinluo Securities Limited</t>
        </is>
      </c>
      <c r="BX444" s="108" t="inlineStr">
        <is>
          <t>BOCOM International Securities Limited; CLSA Limited; Futu Securities International (Hong Kong) Limited; Jinluo Securities Limited; SPDB International Capital Limited</t>
        </is>
      </c>
      <c r="BY444" s="127">
        <f>HYPERLINK("https://www1.hkexnews.hk/listedco/listconews/sehk/2026/0313/2026031300049.pdf","prospectus")</f>
        <v/>
      </c>
      <c r="BZ444" s="127">
        <f>HYPERLINK("https://www1.hkexnews.hk/listedco/listconews/sehk/2026/0320/2026032001594.pdf","allotment")</f>
        <v/>
      </c>
      <c r="CA444" s="119" t="n"/>
      <c r="CB444" s="128" t="n"/>
      <c r="CC444" s="108" t="inlineStr">
        <is>
          <t>P/E: loss-making at IPO, use P/S; greenshoe: no over-allotment option; range low: maximum offer price only, no floor published; A/H: Mar 2026 H listing (security/MCU chips); greenshoe size: no over-allotment option; stabilising manager: no over-allotment option, so none appointed</t>
        </is>
      </c>
    </row>
    <row r="445" ht="22" customHeight="1">
      <c r="A445" s="107" t="inlineStr">
        <is>
          <t>3355</t>
        </is>
      </c>
      <c r="B445" s="108" t="inlineStr">
        <is>
          <t>FS.COM</t>
        </is>
      </c>
      <c r="C445" s="108" t="inlineStr">
        <is>
          <t>飛速創新</t>
        </is>
      </c>
      <c r="D445" s="108" t="inlineStr">
        <is>
          <t>Tech/AI</t>
        </is>
      </c>
      <c r="E445" s="108" t="inlineStr">
        <is>
          <t>Smart hardware / consumer electronics</t>
        </is>
      </c>
      <c r="F445" s="108" t="inlineStr">
        <is>
          <t>IT Consulting &amp; Other Services</t>
        </is>
      </c>
      <c r="G445" s="108" t="inlineStr">
        <is>
          <t>Standard</t>
        </is>
      </c>
      <c r="H445" s="109" t="n">
        <v>46104</v>
      </c>
      <c r="I445" s="110" t="n">
        <v>1664</v>
      </c>
      <c r="J445" s="108" t="inlineStr">
        <is>
          <t>gross (price x shares)</t>
        </is>
      </c>
      <c r="K445" s="129" t="n"/>
      <c r="L445" s="111" t="n">
        <v>41.6</v>
      </c>
      <c r="M445" s="111" t="n">
        <v>41.6</v>
      </c>
      <c r="N445" s="108" t="inlineStr">
        <is>
          <t>Y</t>
        </is>
      </c>
      <c r="O445" s="112" t="n">
        <v>100</v>
      </c>
      <c r="P445" s="118" t="n"/>
      <c r="Q445" s="113" t="n">
        <v>16640</v>
      </c>
      <c r="R445" s="108" t="inlineStr">
        <is>
          <t>derived:price x shares upon listing</t>
        </is>
      </c>
      <c r="S445" s="114" t="n">
        <v>1579.71</v>
      </c>
      <c r="T445" s="115" t="n">
        <v>10.92</v>
      </c>
      <c r="U445" s="116" t="n">
        <v>42.31</v>
      </c>
      <c r="V445" s="117" t="n">
        <v>140</v>
      </c>
      <c r="W445" s="112" t="n">
        <v>10</v>
      </c>
      <c r="X445" s="108" t="inlineStr">
        <is>
          <t>NA</t>
        </is>
      </c>
      <c r="Y445" s="113" t="n">
        <v>959.96</v>
      </c>
      <c r="Z445" s="113" t="n">
        <v>23076000</v>
      </c>
      <c r="AA445" s="112" t="n">
        <v>5.77</v>
      </c>
      <c r="AB445" s="108" t="inlineStr">
        <is>
          <t>Hao Great China Focus Fund; Great Holding Development Limited; WT Asset Management Limited; Caitong Funds SPC — Strategic Equity Fund III SP; Shanghai Intewise Capital Investment Limited ultimate clients and CICC Financial Trading Limited (in connection with Shanghai Intewise OTC Swaps); Foresight Capital Steady Growth LPF; SCGC Capital Holding Company Limited; Aether Wave Fund L.P; GF International Investment Management Limited; Shenzhen Kaifeng Investment Management Co., Ltd. , Changdu Kaifeng Investment; Management Co., Ltd.; CICC FT (in connection with the Kaifeng OTC Swaps (as defined below)) Wider Huge Group Limited</t>
        </is>
      </c>
      <c r="AC445" s="108" t="inlineStr">
        <is>
          <t>hao;great-development;wt;caitong;shanghai-intewise;foresight;scgc;aether;gf;shenzhen-kaifeng;management-co;china-international</t>
        </is>
      </c>
      <c r="AD445" s="112" t="n">
        <v>15</v>
      </c>
      <c r="AE445" s="108" t="inlineStr">
        <is>
          <t>partial</t>
        </is>
      </c>
      <c r="AF445" s="119" t="n"/>
      <c r="AG445" s="108" t="inlineStr">
        <is>
          <t>China International Capital Corporation Hong Kong Securities Limited</t>
        </is>
      </c>
      <c r="AH445" s="108" t="inlineStr">
        <is>
          <t>China International</t>
        </is>
      </c>
      <c r="AI445" s="120" t="n">
        <v>46.39</v>
      </c>
      <c r="AJ445" s="121" t="n">
        <v>13.46</v>
      </c>
      <c r="AK445" s="121" t="n">
        <v>-3.44</v>
      </c>
      <c r="AL445" s="121" t="n">
        <v>34.62</v>
      </c>
      <c r="AM445" s="121" t="n">
        <v>-15.72</v>
      </c>
      <c r="AN445" s="123" t="n">
        <v>3.26</v>
      </c>
      <c r="AO445" s="112" t="n">
        <v>24.46</v>
      </c>
      <c r="AP445" s="121" t="n">
        <v>3.94</v>
      </c>
      <c r="AQ445" s="121" t="n">
        <v>7.5</v>
      </c>
      <c r="AR445" s="121" t="n">
        <v>-13.99</v>
      </c>
      <c r="AS445" s="121" t="n">
        <v>-8.390000000000001</v>
      </c>
      <c r="AT445" s="121" t="n">
        <v>-5.25</v>
      </c>
      <c r="AU445" s="121" t="n">
        <v>-24.19</v>
      </c>
      <c r="AV445" s="121" t="n">
        <v>7.71</v>
      </c>
      <c r="AW445" s="121" t="n">
        <v>6.87</v>
      </c>
      <c r="AX445" s="121" t="n">
        <v>-1.62</v>
      </c>
      <c r="AY445" s="121" t="n">
        <v>-9.460000000000001</v>
      </c>
      <c r="AZ445" s="121" t="n">
        <v>0.63</v>
      </c>
      <c r="BA445" s="121" t="n">
        <v>4.21</v>
      </c>
      <c r="BB445" s="108" t="inlineStr">
        <is>
          <t>HSTECH (Hang Seng TECH ETF)</t>
        </is>
      </c>
      <c r="BC445" s="121" t="n">
        <v>-11.06</v>
      </c>
      <c r="BD445" s="109" t="n">
        <v>46297</v>
      </c>
      <c r="BE445" s="110" t="n">
        <v>2873</v>
      </c>
      <c r="BF445" s="113" t="n">
        <v>437</v>
      </c>
      <c r="BG445" s="108" t="inlineStr">
        <is>
          <t>Y</t>
        </is>
      </c>
      <c r="BH445" s="123" t="n">
        <v>38.1</v>
      </c>
      <c r="BI445" s="122" t="n"/>
      <c r="BJ445" s="122" t="n"/>
      <c r="BK445" s="123" t="n">
        <v>5.8</v>
      </c>
      <c r="BL445" s="124">
        <f>IF('BBG Verify'!S445="","not filed; run on terminal",'BBG Verify'!S445)</f>
        <v/>
      </c>
      <c r="BM445" s="125" t="inlineStr">
        <is>
          <t>N</t>
        </is>
      </c>
      <c r="BN445" s="126">
        <f>IF('BBG Verify'!K445="","not filed; run on terminal",'BBG Verify'!K445)</f>
        <v/>
      </c>
      <c r="BO445" s="108" t="inlineStr">
        <is>
          <t>N/A</t>
        </is>
      </c>
      <c r="BP445" s="108" t="inlineStr">
        <is>
          <t>N/A</t>
        </is>
      </c>
      <c r="BQ445" s="108" t="inlineStr">
        <is>
          <t>N/A</t>
        </is>
      </c>
      <c r="BR445" s="108" t="inlineStr">
        <is>
          <t>N/A</t>
        </is>
      </c>
      <c r="BS445" s="108" t="inlineStr">
        <is>
          <t>N/A</t>
        </is>
      </c>
      <c r="BT445" s="108" t="inlineStr">
        <is>
          <t>N/A</t>
        </is>
      </c>
      <c r="BU445" s="125" t="inlineStr">
        <is>
          <t>China International Capital Corporation Hong Kong Securities Limited; China Securities (International) Corporate Finance Company Limited; China Merchants Securities (HK) Company Limited</t>
        </is>
      </c>
      <c r="BV445" s="108" t="inlineStr">
        <is>
          <t>China International Capital Corporation Hong Kong Securities Limited; China Securities (International) Corporate Finance Company Limited; China Merchants Securities (HK) Company Limited</t>
        </is>
      </c>
      <c r="BW445" s="108" t="inlineStr">
        <is>
          <t>China International Capital Corporation Hong Kong Securities Limited; China Securities (International) Corporate Finance Company Limited; China Merchants Securities (HK) Co., Limited; BOCI Asia Limited; Tiger Brokers (HK) Global Limited</t>
        </is>
      </c>
      <c r="BX445" s="108"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Y445" s="127">
        <f>HYPERLINK("https://www1.hkexnews.hk/listedco/listconews/sehk/2026/0313/2026031300015.pdf","prospectus")</f>
        <v/>
      </c>
      <c r="BZ445" s="127">
        <f>HYPERLINK("https://www1.hkexnews.hk/listedco/listconews/sehk/2026/0320/2026032001750.pdf","allotment")</f>
        <v/>
      </c>
      <c r="CA445" s="127">
        <f>HYPERLINK("https://www1.hkexnews.hk/listedco/listconews/sehk/2026/0417/2026041701549.pdf","stabilisation")</f>
        <v/>
      </c>
      <c r="CB445" s="128" t="n"/>
      <c r="CC445" s="108" t="inlineStr">
        <is>
          <t>greenshoe: outcome published; expiry date not in the notice; range low: maximum offer price only, no floor published; sponsor: English name not in the filing; AAStocks 保薦人 shown</t>
        </is>
      </c>
    </row>
    <row r="446" ht="22" customHeight="1">
      <c r="A446" s="107" t="inlineStr">
        <is>
          <t>2729</t>
        </is>
      </c>
      <c r="B446" s="108" t="inlineStr">
        <is>
          <t>GALAXIS TECH</t>
        </is>
      </c>
      <c r="C446" s="108" t="inlineStr">
        <is>
          <t>凱樂士科技</t>
        </is>
      </c>
      <c r="D446" s="108" t="inlineStr">
        <is>
          <t>Tech/AI</t>
        </is>
      </c>
      <c r="E446" s="108" t="inlineStr">
        <is>
          <t>Robotics &amp; autonomous driving</t>
        </is>
      </c>
      <c r="F446" s="108" t="inlineStr">
        <is>
          <t>Advanced hardware and software</t>
        </is>
      </c>
      <c r="G446" s="108" t="inlineStr">
        <is>
          <t>Standard</t>
        </is>
      </c>
      <c r="H446" s="109" t="n">
        <v>46105</v>
      </c>
      <c r="I446" s="110" t="n">
        <v>613</v>
      </c>
      <c r="J446" s="108" t="inlineStr">
        <is>
          <t>gross (stated)</t>
        </is>
      </c>
      <c r="K446" s="129" t="n"/>
      <c r="L446" s="111" t="n">
        <v>20.4</v>
      </c>
      <c r="M446" s="111" t="n">
        <v>16.66</v>
      </c>
      <c r="N446" s="108" t="inlineStr">
        <is>
          <t>N</t>
        </is>
      </c>
      <c r="O446" s="112" t="n">
        <v>81.7</v>
      </c>
      <c r="P446" s="118" t="n"/>
      <c r="Q446" s="113" t="n">
        <v>7128.5</v>
      </c>
      <c r="R446" s="108" t="inlineStr">
        <is>
          <t>derived:price x shares upon listing</t>
        </is>
      </c>
      <c r="S446" s="114" t="n">
        <v>2153.26</v>
      </c>
      <c r="T446" s="115" t="n">
        <v>3.37</v>
      </c>
      <c r="U446" s="116" t="n">
        <v>0</v>
      </c>
      <c r="V446" s="134" t="n"/>
      <c r="W446" s="112" t="n">
        <v>10</v>
      </c>
      <c r="X446" s="108" t="inlineStr">
        <is>
          <t>NO</t>
        </is>
      </c>
      <c r="Y446" s="113" t="n">
        <v>613</v>
      </c>
      <c r="Z446" s="113" t="n">
        <v>36798000</v>
      </c>
      <c r="AA446" s="112" t="n">
        <v>8.6</v>
      </c>
      <c r="AB446" s="108" t="inlineStr">
        <is>
          <t>none — no cornerstone tranche</t>
        </is>
      </c>
      <c r="AC446" s="108" t="inlineStr">
        <is>
          <t>none</t>
        </is>
      </c>
      <c r="AD446" s="112" t="n">
        <v>8.800000000000001</v>
      </c>
      <c r="AE446" s="108" t="inlineStr">
        <is>
          <t>lapsed (no over-allocation)</t>
        </is>
      </c>
      <c r="AF446" s="119" t="n"/>
      <c r="AG446" s="119" t="n"/>
      <c r="AH446" s="119" t="n"/>
      <c r="AI446" s="120" t="n">
        <v>83.19</v>
      </c>
      <c r="AJ446" s="121" t="n">
        <v>84.27</v>
      </c>
      <c r="AK446" s="121" t="n">
        <v>2.43</v>
      </c>
      <c r="AL446" s="121" t="n">
        <v>92.08</v>
      </c>
      <c r="AM446" s="121" t="n">
        <v>-4.07</v>
      </c>
      <c r="AN446" s="123" t="n">
        <v>3.07</v>
      </c>
      <c r="AO446" s="112" t="n">
        <v>18.69</v>
      </c>
      <c r="AP446" s="121" t="n">
        <v>80.19</v>
      </c>
      <c r="AQ446" s="121" t="n">
        <v>126.29</v>
      </c>
      <c r="AR446" s="121" t="n">
        <v>79.34999999999999</v>
      </c>
      <c r="AS446" s="121" t="n">
        <v>-2.21</v>
      </c>
      <c r="AT446" s="121" t="n">
        <v>22.8</v>
      </c>
      <c r="AU446" s="121" t="n">
        <v>-2.67</v>
      </c>
      <c r="AV446" s="121" t="n">
        <v>81.41</v>
      </c>
      <c r="AW446" s="121" t="n">
        <v>121.43</v>
      </c>
      <c r="AX446" s="121" t="n">
        <v>85.81999999999999</v>
      </c>
      <c r="AY446" s="121" t="n">
        <v>20.43</v>
      </c>
      <c r="AZ446" s="121" t="n">
        <v>4.86</v>
      </c>
      <c r="BA446" s="121" t="n">
        <v>2.37</v>
      </c>
      <c r="BB446" s="108" t="inlineStr">
        <is>
          <t>HSTECH (Hang Seng TECH ETF)</t>
        </is>
      </c>
      <c r="BC446" s="121" t="n">
        <v>22.69</v>
      </c>
      <c r="BD446" s="109" t="n">
        <v>46297</v>
      </c>
      <c r="BE446" s="110" t="n">
        <v>793.6</v>
      </c>
      <c r="BF446" s="113" t="n">
        <v>-195.9</v>
      </c>
      <c r="BG446" s="108" t="inlineStr">
        <is>
          <t>N</t>
        </is>
      </c>
      <c r="BH446" s="108" t="inlineStr">
        <is>
          <t>n/m</t>
        </is>
      </c>
      <c r="BI446" s="122" t="n"/>
      <c r="BJ446" s="122" t="n"/>
      <c r="BK446" s="123" t="n">
        <v>9</v>
      </c>
      <c r="BL446" s="124">
        <f>IF('BBG Verify'!S446="","not filed; run on terminal",'BBG Verify'!S446)</f>
        <v/>
      </c>
      <c r="BM446" s="125" t="inlineStr">
        <is>
          <t>N</t>
        </is>
      </c>
      <c r="BN446" s="126">
        <f>IF('BBG Verify'!K446="","not filed; run on terminal",'BBG Verify'!K446)</f>
        <v/>
      </c>
      <c r="BO446" s="108" t="inlineStr">
        <is>
          <t>N/A</t>
        </is>
      </c>
      <c r="BP446" s="108" t="inlineStr">
        <is>
          <t>N/A</t>
        </is>
      </c>
      <c r="BQ446" s="108" t="inlineStr">
        <is>
          <t>N/A</t>
        </is>
      </c>
      <c r="BR446" s="108" t="inlineStr">
        <is>
          <t>N/A</t>
        </is>
      </c>
      <c r="BS446" s="108" t="inlineStr">
        <is>
          <t>N/A</t>
        </is>
      </c>
      <c r="BT446" s="108" t="inlineStr">
        <is>
          <t>N/A</t>
        </is>
      </c>
      <c r="BU446" s="125" t="inlineStr">
        <is>
          <t>Guotai Junan Capital Limited; CITIC Securities (Hong Kong) Limited</t>
        </is>
      </c>
      <c r="BV446" s="108" t="inlineStr">
        <is>
          <t>CITIC Securities (Hong Kong) Limited; Guotai Junan Capital Limited</t>
        </is>
      </c>
      <c r="BW446" s="108" t="inlineStr">
        <is>
          <t>ICBC International Securities Limited; CCB International Capital Limited; Yunfeng Securities Limited; Livermore Holdings Limited; SPDB International Capital Limited; Shenwan Hongyuan Securities (H.K.) Limited; Yuen Meta (International) Securities Limited; Harmonia Capital Limited</t>
        </is>
      </c>
      <c r="BX446" s="108" t="inlineStr">
        <is>
          <t>ABCI Securities Company Limited; CCB International Capital Limited; CLSA Limited; CMB International Capital Limited; Guotai Junan Securities (Hong Kong) Limited; Harmonia Capital Limited; ICBC International Securities Limited; Livermore Holdings Limited; Shenwan Hongyuan Securities (H.K.) Limited; SPDB International Capital Limited; Yunfeng Securities Limited; Yuen Meta (International) Securities Limited</t>
        </is>
      </c>
      <c r="BY446" s="127">
        <f>HYPERLINK("https://www1.hkexnews.hk/listedco/listconews/sehk/2026/0316/2026031600013.pdf","prospectus")</f>
        <v/>
      </c>
      <c r="BZ446" s="127">
        <f>HYPERLINK("https://www1.hkexnews.hk/listedco/listconews/sehk/2026/0323/2026032301408.pdf","allotment")</f>
        <v/>
      </c>
      <c r="CA446" s="127">
        <f>HYPERLINK("https://www1.hkexnews.hk/listedco/listconews/sehk/2026/0420/2026042000237.pdf","stabilisation")</f>
        <v/>
      </c>
      <c r="CB446" s="128" t="n"/>
      <c r="CC446" s="108" t="inlineStr">
        <is>
          <t>P/E: loss-making at IPO, use P/S; greenshoe: outcome published; expiry date not in the notice; range low: maximum offer price only, no floor published; cornerstone list: no cornerstone tranche; stabilising manager: not named in the allotment notice or prospectus glossary; allocation: allocation table not in this notice's format (older prose announcement)</t>
        </is>
      </c>
    </row>
    <row r="447" ht="22" customHeight="1">
      <c r="A447" s="107" t="inlineStr">
        <is>
          <t>2632</t>
        </is>
      </c>
      <c r="B447" s="108" t="inlineStr">
        <is>
          <t>NEW VISION CO</t>
        </is>
      </c>
      <c r="C447" s="108" t="inlineStr">
        <is>
          <t>澤景股份</t>
        </is>
      </c>
      <c r="D447" s="108" t="inlineStr">
        <is>
          <t>Consumer</t>
        </is>
      </c>
      <c r="E447" s="108" t="inlineStr">
        <is>
          <t>Auto parts / supply chain</t>
        </is>
      </c>
      <c r="F447" s="108" t="inlineStr">
        <is>
          <t>Auto Parts &amp; Equipment</t>
        </is>
      </c>
      <c r="G447" s="108" t="inlineStr">
        <is>
          <t>Standard</t>
        </is>
      </c>
      <c r="H447" s="109" t="n">
        <v>46105</v>
      </c>
      <c r="I447" s="110" t="n">
        <v>717.21</v>
      </c>
      <c r="J447" s="108" t="inlineStr">
        <is>
          <t>gross (stated)</t>
        </is>
      </c>
      <c r="K447" s="129" t="n"/>
      <c r="L447" s="111" t="n">
        <v>48</v>
      </c>
      <c r="M447" s="111" t="n">
        <v>44.2</v>
      </c>
      <c r="N447" s="108" t="inlineStr">
        <is>
          <t>N</t>
        </is>
      </c>
      <c r="O447" s="112" t="n">
        <v>92.09999999999999</v>
      </c>
      <c r="P447" s="118" t="n"/>
      <c r="Q447" s="113" t="n">
        <v>5454.1</v>
      </c>
      <c r="R447" s="108" t="inlineStr">
        <is>
          <t>derived:price x shares upon listing</t>
        </is>
      </c>
      <c r="S447" s="114" t="n">
        <v>68.89</v>
      </c>
      <c r="T447" s="115" t="n">
        <v>1.34</v>
      </c>
      <c r="U447" s="116" t="n">
        <v>15.33</v>
      </c>
      <c r="V447" s="117" t="n">
        <v>71</v>
      </c>
      <c r="W447" s="112" t="n">
        <v>10</v>
      </c>
      <c r="X447" s="108" t="inlineStr">
        <is>
          <t>NO</t>
        </is>
      </c>
      <c r="Y447" s="113" t="n">
        <v>607.26</v>
      </c>
      <c r="Z447" s="113" t="n">
        <v>13738978</v>
      </c>
      <c r="AA447" s="112" t="n">
        <v>11.13</v>
      </c>
      <c r="AB447" s="108" t="inlineStr">
        <is>
          <t>Yingke No. 1 (Hongkong) Limited ʮ̡; Hongkong High Tech Industrial (Beijing) Development Investment Co., Limited ʮ̡</t>
        </is>
      </c>
      <c r="AC447" s="108" t="inlineStr">
        <is>
          <t>yingke;hongkong</t>
        </is>
      </c>
      <c r="AD447" s="118" t="n"/>
      <c r="AE447" s="119" t="n"/>
      <c r="AF447" s="119" t="n"/>
      <c r="AG447" s="119" t="n"/>
      <c r="AH447" s="119" t="n"/>
      <c r="AI447" s="139" t="n">
        <v>1.04</v>
      </c>
      <c r="AJ447" s="121" t="n">
        <v>-36.92</v>
      </c>
      <c r="AK447" s="121" t="n">
        <v>2.45</v>
      </c>
      <c r="AL447" s="121" t="n">
        <v>-0.68</v>
      </c>
      <c r="AM447" s="121" t="n">
        <v>-36.49</v>
      </c>
      <c r="AN447" s="123" t="n">
        <v>3.22</v>
      </c>
      <c r="AO447" s="112" t="n">
        <v>41.23</v>
      </c>
      <c r="AP447" s="121" t="n">
        <v>1.81</v>
      </c>
      <c r="AQ447" s="121" t="n">
        <v>94.12</v>
      </c>
      <c r="AR447" s="121" t="n">
        <v>149.1</v>
      </c>
      <c r="AS447" s="121" t="n">
        <v>61.4</v>
      </c>
      <c r="AT447" s="121" t="n">
        <v>207.74</v>
      </c>
      <c r="AU447" s="121" t="n">
        <v>294.9</v>
      </c>
      <c r="AV447" s="121" t="n">
        <v>2.11</v>
      </c>
      <c r="AW447" s="121" t="n">
        <v>90.3</v>
      </c>
      <c r="AX447" s="121" t="n">
        <v>160.17</v>
      </c>
      <c r="AY447" s="121" t="n">
        <v>206.4</v>
      </c>
      <c r="AZ447" s="121" t="n">
        <v>3.82</v>
      </c>
      <c r="BA447" s="121" t="n">
        <v>1.34</v>
      </c>
      <c r="BB447" s="108" t="inlineStr">
        <is>
          <t>Hang Seng Commerce &amp; Industry sub-index</t>
        </is>
      </c>
      <c r="BC447" s="121" t="n">
        <v>31.11</v>
      </c>
      <c r="BD447" s="109" t="n">
        <v>46297</v>
      </c>
      <c r="BE447" s="110" t="n">
        <v>635.4</v>
      </c>
      <c r="BF447" s="113" t="n">
        <v>-151.6</v>
      </c>
      <c r="BG447" s="108" t="inlineStr">
        <is>
          <t>N</t>
        </is>
      </c>
      <c r="BH447" s="108" t="inlineStr">
        <is>
          <t>n/m</t>
        </is>
      </c>
      <c r="BI447" s="122" t="n"/>
      <c r="BJ447" s="122" t="n"/>
      <c r="BK447" s="123" t="n">
        <v>8.6</v>
      </c>
      <c r="BL447" s="124">
        <f>IF('BBG Verify'!S447="","not filed; run on terminal",'BBG Verify'!S447)</f>
        <v/>
      </c>
      <c r="BM447" s="125" t="inlineStr">
        <is>
          <t>N</t>
        </is>
      </c>
      <c r="BN447" s="126">
        <f>IF('BBG Verify'!K447="","not filed; run on terminal",'BBG Verify'!K447)</f>
        <v/>
      </c>
      <c r="BO447" s="108" t="inlineStr">
        <is>
          <t>N/A</t>
        </is>
      </c>
      <c r="BP447" s="108" t="inlineStr">
        <is>
          <t>N/A</t>
        </is>
      </c>
      <c r="BQ447" s="108" t="inlineStr">
        <is>
          <t>N/A</t>
        </is>
      </c>
      <c r="BR447" s="108" t="inlineStr">
        <is>
          <t>N/A</t>
        </is>
      </c>
      <c r="BS447" s="108" t="inlineStr">
        <is>
          <t>N/A</t>
        </is>
      </c>
      <c r="BT447" s="108" t="inlineStr">
        <is>
          <t>N/A</t>
        </is>
      </c>
      <c r="BU447" s="125" t="inlineStr">
        <is>
          <t>Haitong International Capital Limited; CITIC Securities (Hong Kong) Limited</t>
        </is>
      </c>
      <c r="BV447" s="108" t="inlineStr">
        <is>
          <t>Haitong International Capital Limited; CITIC Securities (Hong Kong) Limited</t>
        </is>
      </c>
      <c r="BW447" s="108" t="inlineStr">
        <is>
          <t>BOCI Asia Limited; Patrons Securities Limited</t>
        </is>
      </c>
      <c r="BX447" s="108" t="inlineStr">
        <is>
          <t>BOCI Asia Limited; CLSA Limited; Futu Securities International (Hong Kong) Limited; Haitong International Securities Company Limited; Patrons Securities Limited</t>
        </is>
      </c>
      <c r="BY447" s="127">
        <f>HYPERLINK("https://www1.hkexnews.hk/listedco/listconews/sehk/2026/0316/2026031600011.pdf","prospectus")</f>
        <v/>
      </c>
      <c r="BZ447" s="127">
        <f>HYPERLINK("https://www1.hkexnews.hk/listedco/listconews/sehk/2026/0323/2026032301630.pdf","allotment")</f>
        <v/>
      </c>
      <c r="CA447" s="119" t="n"/>
      <c r="CB447" s="128" t="n"/>
      <c r="CC447" s="108" t="inlineStr">
        <is>
          <t>P/E: loss-making at IPO, use P/S; greenshoe: no over-allotment option; range low: maximum offer price only, no floor published; market cap: prospectus 'market capitalisation' line is the listing-rule threshold, not the issuer's figure; rejected; greenshoe size: no over-allotment option; stabilising manager: no over-allotment option, so none appointed</t>
        </is>
      </c>
    </row>
    <row r="448" ht="22" customHeight="1">
      <c r="A448" s="107" t="inlineStr">
        <is>
          <t>2726</t>
        </is>
      </c>
      <c r="B448" s="108" t="inlineStr">
        <is>
          <t>EPIWORLD</t>
        </is>
      </c>
      <c r="C448" s="108" t="inlineStr">
        <is>
          <t>瀚天天成</t>
        </is>
      </c>
      <c r="D448" s="108" t="inlineStr">
        <is>
          <t>Tech/AI</t>
        </is>
      </c>
      <c r="E448" s="108" t="inlineStr">
        <is>
          <t>Semiconductor equipment / materials</t>
        </is>
      </c>
      <c r="F448" s="108" t="inlineStr">
        <is>
          <t>Semiconductors &amp; Semiconductor Equipment</t>
        </is>
      </c>
      <c r="G448" s="108" t="inlineStr">
        <is>
          <t>Standard</t>
        </is>
      </c>
      <c r="H448" s="109" t="n">
        <v>46111</v>
      </c>
      <c r="I448" s="110" t="n">
        <v>1640</v>
      </c>
      <c r="J448" s="108" t="inlineStr">
        <is>
          <t>gross (stated)</t>
        </is>
      </c>
      <c r="K448" s="129" t="n"/>
      <c r="L448" s="111" t="n">
        <v>76.26000000000001</v>
      </c>
      <c r="M448" s="111" t="n">
        <v>76.26000000000001</v>
      </c>
      <c r="N448" s="108" t="inlineStr">
        <is>
          <t>Y</t>
        </is>
      </c>
      <c r="O448" s="112" t="n">
        <v>100</v>
      </c>
      <c r="P448" s="118" t="n"/>
      <c r="Q448" s="113" t="n">
        <v>32455.1</v>
      </c>
      <c r="R448" s="108" t="inlineStr">
        <is>
          <t>derived:price x shares upon listing</t>
        </is>
      </c>
      <c r="S448" s="114" t="n">
        <v>50.66</v>
      </c>
      <c r="T448" s="115" t="n">
        <v>1.95</v>
      </c>
      <c r="U448" s="116" t="n">
        <v>46.8</v>
      </c>
      <c r="V448" s="117" t="n">
        <v>120</v>
      </c>
      <c r="W448" s="112" t="n">
        <v>10</v>
      </c>
      <c r="X448" s="108" t="inlineStr">
        <is>
          <t>NA</t>
        </is>
      </c>
      <c r="Y448" s="113" t="n">
        <v>872.48</v>
      </c>
      <c r="Z448" s="113" t="n">
        <v>11433771</v>
      </c>
      <c r="AA448" s="112" t="n">
        <v>2.69</v>
      </c>
      <c r="AB448" s="108" t="inlineStr">
        <is>
          <t>Xiamen Advanced Intelligent Manufacturing Industry Investment Limited</t>
        </is>
      </c>
      <c r="AC448" s="108" t="inlineStr">
        <is>
          <t>xiamen</t>
        </is>
      </c>
      <c r="AD448" s="118" t="n"/>
      <c r="AE448" s="119" t="n"/>
      <c r="AF448" s="119" t="n"/>
      <c r="AG448" s="119" t="n"/>
      <c r="AH448" s="119" t="n"/>
      <c r="AI448" s="120" t="n">
        <v>37.69</v>
      </c>
      <c r="AJ448" s="121" t="n">
        <v>35.06</v>
      </c>
      <c r="AK448" s="121" t="n">
        <v>-1.92</v>
      </c>
      <c r="AL448" s="121" t="n">
        <v>44.24</v>
      </c>
      <c r="AM448" s="121" t="n">
        <v>-6.36</v>
      </c>
      <c r="AN448" s="123" t="n">
        <v>1.15</v>
      </c>
      <c r="AO448" s="112" t="n">
        <v>21.55</v>
      </c>
      <c r="AP448" s="121" t="n">
        <v>51.19</v>
      </c>
      <c r="AQ448" s="121" t="n">
        <v>40.44</v>
      </c>
      <c r="AR448" s="121" t="n">
        <v>31.26</v>
      </c>
      <c r="AS448" s="121" t="n">
        <v>11.94</v>
      </c>
      <c r="AT448" s="121" t="n">
        <v>3.98</v>
      </c>
      <c r="AU448" s="121" t="n">
        <v>-2.81</v>
      </c>
      <c r="AV448" s="121" t="n">
        <v>50.46</v>
      </c>
      <c r="AW448" s="121" t="n">
        <v>36.29</v>
      </c>
      <c r="AX448" s="121" t="n">
        <v>36.05</v>
      </c>
      <c r="AY448" s="121" t="n">
        <v>-2.21</v>
      </c>
      <c r="AZ448" s="121" t="n">
        <v>4.15</v>
      </c>
      <c r="BA448" s="121" t="n">
        <v>6.19</v>
      </c>
      <c r="BB448" s="108" t="inlineStr">
        <is>
          <t>HSTECH (Hang Seng TECH ETF)</t>
        </is>
      </c>
      <c r="BC448" s="121" t="n">
        <v>22.67</v>
      </c>
      <c r="BD448" s="109" t="n">
        <v>46297</v>
      </c>
      <c r="BE448" s="110" t="n">
        <v>1071.7</v>
      </c>
      <c r="BF448" s="113" t="n">
        <v>181.6</v>
      </c>
      <c r="BG448" s="108" t="inlineStr">
        <is>
          <t>Y</t>
        </is>
      </c>
      <c r="BH448" s="123" t="n">
        <v>178.7</v>
      </c>
      <c r="BI448" s="122" t="n"/>
      <c r="BJ448" s="122" t="n"/>
      <c r="BK448" s="123" t="n">
        <v>30.3</v>
      </c>
      <c r="BL448" s="124">
        <f>IF('BBG Verify'!S448="","not filed; run on terminal",'BBG Verify'!S448)</f>
        <v/>
      </c>
      <c r="BM448" s="125" t="inlineStr">
        <is>
          <t>N</t>
        </is>
      </c>
      <c r="BN448" s="126">
        <f>IF('BBG Verify'!K448="","not filed; run on terminal",'BBG Verify'!K448)</f>
        <v/>
      </c>
      <c r="BO448" s="108" t="inlineStr">
        <is>
          <t>N/A</t>
        </is>
      </c>
      <c r="BP448" s="108" t="inlineStr">
        <is>
          <t>N/A</t>
        </is>
      </c>
      <c r="BQ448" s="108" t="inlineStr">
        <is>
          <t>N/A</t>
        </is>
      </c>
      <c r="BR448" s="108" t="inlineStr">
        <is>
          <t>N/A</t>
        </is>
      </c>
      <c r="BS448" s="108" t="inlineStr">
        <is>
          <t>N/A</t>
        </is>
      </c>
      <c r="BT448" s="108" t="inlineStr">
        <is>
          <t>N/A</t>
        </is>
      </c>
      <c r="BU448" s="125" t="inlineStr">
        <is>
          <t>China International Capital Corporation Hong Kong Securities Limited</t>
        </is>
      </c>
      <c r="BV448" s="108" t="inlineStr">
        <is>
          <t>China International Capital Corporation Hong Kong Securities Limited</t>
        </is>
      </c>
      <c r="BW448" s="108" t="inlineStr">
        <is>
          <t>ABCI Capital Limited; Daokou Securities Limited; China Industrial Securities International Capital Limited; Fuze Securities (International) Limited; Kingston Securities Limited; Yuen Meta (International) Securities Limited</t>
        </is>
      </c>
      <c r="BX448" s="108" t="inlineStr">
        <is>
          <t>ABCI Securities Company Limited; CCB International Capital Limited; China International Capital Corporation Hong Kong Securities Limited; China Industrial Securities International Capital Limited; China Sunrise Securities (International) Limited; Daokou Securities Limited; Futu Securities International (Hong Kong) Limited; FUZE SECURITIES (INTERNATIONAL) LIMITED; ICBC International Securities Limited; Kingston Securities Limited; Orient Securities (Hong Kong) Limited; Yuen Meta (International) Securities Limited</t>
        </is>
      </c>
      <c r="BY448" s="127">
        <f>HYPERLINK("https://www1.hkexnews.hk/listedco/listconews/sehk/2026/0320/2026032000029.pdf","prospectus")</f>
        <v/>
      </c>
      <c r="BZ448" s="127">
        <f>HYPERLINK("https://www1.hkexnews.hk/listedco/listconews/sehk/2026/0327/2026032702128.pdf","allotment")</f>
        <v/>
      </c>
      <c r="CA448" s="119" t="n"/>
      <c r="CB448" s="128" t="n"/>
      <c r="CC448" s="108" t="inlineStr">
        <is>
          <t>greenshoe: no over-allotment option; range low: maximum offer price only, no floor published; sponsor: English name not in the filing; AAStocks 保薦人 shown; greenshoe size: no over-allotment option; stabilising manager: filing states none appointed (prospectus: 'no stabilizing manager will be appointed' stated in the filing)</t>
        </is>
      </c>
    </row>
    <row r="449" ht="22" customHeight="1">
      <c r="A449" s="107" t="inlineStr">
        <is>
          <t>2526</t>
        </is>
      </c>
      <c r="B449" s="108" t="inlineStr">
        <is>
          <t>DIAGENS-B</t>
        </is>
      </c>
      <c r="C449" s="108" t="inlineStr">
        <is>
          <t>德適－Ｂ</t>
        </is>
      </c>
      <c r="D449" s="108" t="inlineStr">
        <is>
          <t>Healthcare</t>
        </is>
      </c>
      <c r="E449" s="108" t="inlineStr">
        <is>
          <t>Medical devices</t>
        </is>
      </c>
      <c r="F449" s="108" t="inlineStr">
        <is>
          <t>Biotechnology - Medical Devices</t>
        </is>
      </c>
      <c r="G449" s="108" t="inlineStr">
        <is>
          <t>18A</t>
        </is>
      </c>
      <c r="H449" s="109" t="n">
        <v>46111</v>
      </c>
      <c r="I449" s="110" t="n">
        <v>791.9</v>
      </c>
      <c r="J449" s="108" t="inlineStr">
        <is>
          <t>gross (stated)</t>
        </is>
      </c>
      <c r="K449" s="129" t="n"/>
      <c r="L449" s="111" t="n">
        <v>112.5</v>
      </c>
      <c r="M449" s="111" t="n">
        <v>99</v>
      </c>
      <c r="N449" s="108" t="inlineStr">
        <is>
          <t>N</t>
        </is>
      </c>
      <c r="O449" s="112" t="n">
        <v>88</v>
      </c>
      <c r="P449" s="118" t="n"/>
      <c r="Q449" s="113" t="n">
        <v>8799</v>
      </c>
      <c r="R449" s="108" t="inlineStr">
        <is>
          <t>derived:price x shares upon listing</t>
        </is>
      </c>
      <c r="S449" s="114" t="n">
        <v>1073.37</v>
      </c>
      <c r="T449" s="115" t="n">
        <v>3.45</v>
      </c>
      <c r="U449" s="116" t="n">
        <v>0</v>
      </c>
      <c r="V449" s="117" t="n">
        <v>120</v>
      </c>
      <c r="W449" s="112" t="n">
        <v>10</v>
      </c>
      <c r="X449" s="108" t="inlineStr">
        <is>
          <t>NO</t>
        </is>
      </c>
      <c r="Y449" s="113" t="n">
        <v>791.9</v>
      </c>
      <c r="Z449" s="113" t="n">
        <v>7999200</v>
      </c>
      <c r="AA449" s="112" t="n">
        <v>9</v>
      </c>
      <c r="AB449" s="108" t="inlineStr">
        <is>
          <t>none — no cornerstone tranche</t>
        </is>
      </c>
      <c r="AC449" s="108" t="inlineStr">
        <is>
          <t>none</t>
        </is>
      </c>
      <c r="AD449" s="118" t="n"/>
      <c r="AE449" s="119" t="n"/>
      <c r="AF449" s="119" t="n"/>
      <c r="AG449" s="119" t="n"/>
      <c r="AH449" s="119" t="n"/>
      <c r="AI449" s="120" t="n">
        <v>101.52</v>
      </c>
      <c r="AJ449" s="121" t="n">
        <v>111.72</v>
      </c>
      <c r="AK449" s="121" t="n">
        <v>0.15</v>
      </c>
      <c r="AL449" s="121" t="n">
        <v>121.21</v>
      </c>
      <c r="AM449" s="121" t="n">
        <v>-4.29</v>
      </c>
      <c r="AN449" s="123" t="n">
        <v>2.8</v>
      </c>
      <c r="AO449" s="112" t="n">
        <v>15.98</v>
      </c>
      <c r="AP449" s="121" t="n">
        <v>202.02</v>
      </c>
      <c r="AQ449" s="121" t="n">
        <v>234.34</v>
      </c>
      <c r="AR449" s="121" t="n">
        <v>303.03</v>
      </c>
      <c r="AS449" s="121" t="n">
        <v>42.65</v>
      </c>
      <c r="AT449" s="121" t="n">
        <v>57.92</v>
      </c>
      <c r="AU449" s="121" t="n">
        <v>90.36</v>
      </c>
      <c r="AV449" s="121" t="n">
        <v>196.11</v>
      </c>
      <c r="AW449" s="121" t="n">
        <v>230.63</v>
      </c>
      <c r="AX449" s="121" t="n">
        <v>300.15</v>
      </c>
      <c r="AY449" s="121" t="n">
        <v>54.36</v>
      </c>
      <c r="AZ449" s="121" t="n">
        <v>3.71</v>
      </c>
      <c r="BA449" s="121" t="n">
        <v>3.56</v>
      </c>
      <c r="BB449" s="108" t="inlineStr">
        <is>
          <t>China Biotech ETF (HS biotech proxy)</t>
        </is>
      </c>
      <c r="BC449" s="121" t="n">
        <v>147.47</v>
      </c>
      <c r="BD449" s="109" t="n">
        <v>46297</v>
      </c>
      <c r="BE449" s="110" t="n">
        <v>21.5</v>
      </c>
      <c r="BF449" s="113" t="n">
        <v>-61.7</v>
      </c>
      <c r="BG449" s="108" t="inlineStr">
        <is>
          <t>N</t>
        </is>
      </c>
      <c r="BH449" s="108" t="inlineStr">
        <is>
          <t>n/m</t>
        </is>
      </c>
      <c r="BI449" s="122" t="n"/>
      <c r="BJ449" s="122" t="n"/>
      <c r="BK449" s="123" t="n">
        <v>409.3</v>
      </c>
      <c r="BL449" s="124">
        <f>IF('BBG Verify'!S449="","not filed; run on terminal",'BBG Verify'!S449)</f>
        <v/>
      </c>
      <c r="BM449" s="125" t="inlineStr">
        <is>
          <t>N</t>
        </is>
      </c>
      <c r="BN449" s="126">
        <f>IF('BBG Verify'!K449="","not filed; run on terminal",'BBG Verify'!K449)</f>
        <v/>
      </c>
      <c r="BO449" s="108" t="inlineStr">
        <is>
          <t>N/A</t>
        </is>
      </c>
      <c r="BP449" s="108" t="inlineStr">
        <is>
          <t>N/A</t>
        </is>
      </c>
      <c r="BQ449" s="108" t="inlineStr">
        <is>
          <t>N/A</t>
        </is>
      </c>
      <c r="BR449" s="108" t="inlineStr">
        <is>
          <t>N/A</t>
        </is>
      </c>
      <c r="BS449" s="108" t="inlineStr">
        <is>
          <t>N/A</t>
        </is>
      </c>
      <c r="BT449" s="108" t="inlineStr">
        <is>
          <t>N/A</t>
        </is>
      </c>
      <c r="BU449" s="125" t="inlineStr">
        <is>
          <t>Huatai Financial Holdings (Hong Kong) Limited</t>
        </is>
      </c>
      <c r="BV449" s="108" t="inlineStr">
        <is>
          <t>Huatai Financial Holdings (Hong Kong) Limited</t>
        </is>
      </c>
      <c r="BW449" s="108" t="inlineStr">
        <is>
          <t>Huatai Financial Holdings (Hong Kong) Limited; Futu Securities International (Hong Kong) Limited; ABCI Capital Limited; BOCI Asia Limited; CCB International Capital Limited; China Galaxy International Securities (Hong Kong) Co., Limited; Huafu International Securities Limited; Y ellow River Securities Limited; Yuen Meta (International) Securities Limited; Yunfeng Securities Limited; Zheshang International Financial Holdings Co., Ltd</t>
        </is>
      </c>
      <c r="BX449" s="108" t="inlineStr">
        <is>
          <t>ABCI Securities Company Limited; BOCI Asia Limited; CCB International Capital Limited; China Galaxy International Securities (Hong Kong) Company Limited; Futu Securities International (Hong Kong) Limited; Huatai Financial Holdings (Hong Kong) Limited; Huafu International Securities Limited; Yunfeng Securities Limited; Yuen Meta (International) Securities Limited; Yellow River Securities Limited; Zheshang International Financial Holdings Co., Limited</t>
        </is>
      </c>
      <c r="BY449" s="127">
        <f>HYPERLINK("https://www1.hkexnews.hk/listedco/listconews/sehk/2026/0320/2026032000025.pdf","prospectus")</f>
        <v/>
      </c>
      <c r="BZ449" s="127">
        <f>HYPERLINK("https://www1.hkexnews.hk/listedco/listconews/sehk/2026/0327/2026032702330.pdf","allotment")</f>
        <v/>
      </c>
      <c r="CA449" s="119" t="n"/>
      <c r="CB449" s="128" t="n"/>
      <c r="CC449" s="108" t="inlineStr">
        <is>
          <t>P/E: loss-making at IPO, use P/S; greenshoe: no over-allotment option; range low: maximum offer price only, no floor published; cornerstone list: no cornerstone tranche; greenshoe size: no over-allotment option; P/S: 409x on HK$21.5m revenue, effectively pre-revenue; not comparable; stabilising manager: filing states none appointed (allotment announcement: 'no stabilizing manager will be appointed' stated in the filing)</t>
        </is>
      </c>
    </row>
    <row r="450" ht="22" customHeight="1">
      <c r="A450" s="107" t="inlineStr">
        <is>
          <t>6636</t>
        </is>
      </c>
      <c r="B450" s="108" t="inlineStr">
        <is>
          <t>EXTREME VISION</t>
        </is>
      </c>
      <c r="C450" s="108" t="inlineStr">
        <is>
          <t>極視角</t>
        </is>
      </c>
      <c r="D450" s="108" t="inlineStr">
        <is>
          <t>Tech/AI</t>
        </is>
      </c>
      <c r="E450" s="108" t="inlineStr">
        <is>
          <t>AI application / agent software</t>
        </is>
      </c>
      <c r="F450" s="108" t="inlineStr">
        <is>
          <t>Next-generation information technology</t>
        </is>
      </c>
      <c r="G450" s="108" t="inlineStr">
        <is>
          <t>18C</t>
        </is>
      </c>
      <c r="H450" s="109" t="n">
        <v>46111</v>
      </c>
      <c r="I450" s="110" t="n">
        <v>499.2</v>
      </c>
      <c r="J450" s="108" t="inlineStr">
        <is>
          <t>gross (stated)</t>
        </is>
      </c>
      <c r="K450" s="129" t="n"/>
      <c r="L450" s="111" t="n">
        <v>40</v>
      </c>
      <c r="M450" s="111" t="n">
        <v>40</v>
      </c>
      <c r="N450" s="108" t="inlineStr">
        <is>
          <t>Y</t>
        </is>
      </c>
      <c r="O450" s="112" t="n">
        <v>100</v>
      </c>
      <c r="P450" s="118" t="n"/>
      <c r="Q450" s="113" t="n">
        <v>4516.6</v>
      </c>
      <c r="R450" s="108" t="inlineStr">
        <is>
          <t>derived:price x shares upon listing</t>
        </is>
      </c>
      <c r="S450" s="114" t="n">
        <v>4591.37</v>
      </c>
      <c r="T450" s="115" t="n">
        <v>3.41</v>
      </c>
      <c r="U450" s="116" t="n">
        <v>9.449999999999999</v>
      </c>
      <c r="V450" s="117" t="n">
        <v>128</v>
      </c>
      <c r="W450" s="112" t="n">
        <v>20</v>
      </c>
      <c r="X450" s="108" t="inlineStr">
        <is>
          <t>YES</t>
        </is>
      </c>
      <c r="Y450" s="113" t="n">
        <v>452.03</v>
      </c>
      <c r="Z450" s="113" t="n">
        <v>11300640</v>
      </c>
      <c r="AA450" s="112" t="n">
        <v>10.01</v>
      </c>
      <c r="AB450" s="108" t="inlineStr">
        <is>
          <t>Zhengjin International</t>
        </is>
      </c>
      <c r="AC450" s="108" t="inlineStr">
        <is>
          <t>zhengjin</t>
        </is>
      </c>
      <c r="AD450" s="118" t="n"/>
      <c r="AE450" s="119" t="n"/>
      <c r="AF450" s="119" t="n"/>
      <c r="AG450" s="119" t="n"/>
      <c r="AH450" s="119" t="n"/>
      <c r="AI450" s="120" t="n">
        <v>54.5</v>
      </c>
      <c r="AJ450" s="121" t="n">
        <v>150</v>
      </c>
      <c r="AK450" s="121" t="n">
        <v>-1.92</v>
      </c>
      <c r="AL450" s="121" t="n">
        <v>49.88</v>
      </c>
      <c r="AM450" s="121" t="n">
        <v>66.8</v>
      </c>
      <c r="AN450" s="123" t="n">
        <v>3.22</v>
      </c>
      <c r="AO450" s="112" t="n">
        <v>73.39</v>
      </c>
      <c r="AP450" s="121" t="n">
        <v>164</v>
      </c>
      <c r="AQ450" s="121" t="n">
        <v>151.25</v>
      </c>
      <c r="AR450" s="121" t="n">
        <v>112.5</v>
      </c>
      <c r="AS450" s="121" t="n">
        <v>5.6</v>
      </c>
      <c r="AT450" s="121" t="n">
        <v>0.5</v>
      </c>
      <c r="AU450" s="121" t="n">
        <v>-15</v>
      </c>
      <c r="AV450" s="121" t="n">
        <v>163.27</v>
      </c>
      <c r="AW450" s="121" t="n">
        <v>147.1</v>
      </c>
      <c r="AX450" s="121" t="n">
        <v>117.29</v>
      </c>
      <c r="AY450" s="121" t="n">
        <v>-5.69</v>
      </c>
      <c r="AZ450" s="121" t="n">
        <v>4.15</v>
      </c>
      <c r="BA450" s="121" t="n">
        <v>6.19</v>
      </c>
      <c r="BB450" s="108" t="inlineStr">
        <is>
          <t>HSTECH (Hang Seng TECH ETF)</t>
        </is>
      </c>
      <c r="BC450" s="121" t="n">
        <v>77.5</v>
      </c>
      <c r="BD450" s="109" t="n">
        <v>46297</v>
      </c>
      <c r="BE450" s="110" t="n">
        <v>283</v>
      </c>
      <c r="BF450" s="131" t="n"/>
      <c r="BG450" s="108" t="inlineStr">
        <is>
          <t>Y</t>
        </is>
      </c>
      <c r="BH450" s="124">
        <f>IF('BBG Verify'!O450="","not filed; run on terminal",'BBG Verify'!O450)</f>
        <v/>
      </c>
      <c r="BI450" s="122" t="n"/>
      <c r="BJ450" s="122" t="n"/>
      <c r="BK450" s="123" t="n">
        <v>16</v>
      </c>
      <c r="BL450" s="124">
        <f>IF('BBG Verify'!S450="","not filed; run on terminal",'BBG Verify'!S450)</f>
        <v/>
      </c>
      <c r="BM450" s="125" t="inlineStr">
        <is>
          <t>N</t>
        </is>
      </c>
      <c r="BN450" s="126">
        <f>IF('BBG Verify'!K450="","not filed; run on terminal",'BBG Verify'!K450)</f>
        <v/>
      </c>
      <c r="BO450" s="108" t="inlineStr">
        <is>
          <t>N/A</t>
        </is>
      </c>
      <c r="BP450" s="108" t="inlineStr">
        <is>
          <t>N/A</t>
        </is>
      </c>
      <c r="BQ450" s="108" t="inlineStr">
        <is>
          <t>N/A</t>
        </is>
      </c>
      <c r="BR450" s="108" t="inlineStr">
        <is>
          <t>N/A</t>
        </is>
      </c>
      <c r="BS450" s="108" t="inlineStr">
        <is>
          <t>N/A</t>
        </is>
      </c>
      <c r="BT450" s="108" t="inlineStr">
        <is>
          <t>N/A</t>
        </is>
      </c>
      <c r="BU450" s="125" t="inlineStr">
        <is>
          <t>CITIC Securities (Hong Kong) Limited</t>
        </is>
      </c>
      <c r="BV450" s="108" t="inlineStr">
        <is>
          <t>CITIC Securities (Hong Kong) Limited</t>
        </is>
      </c>
      <c r="BW450" s="108" t="inlineStr">
        <is>
          <t>CLSA Limited; CMB International Capital Limited; ABCI Capital Limited; SDIC Securities (Hong Kong) Limited; Guosen Securities (HK) Brokerage Company, Limited; Livermore Holdings Limited; China Sunrise Securities (International) Limited</t>
        </is>
      </c>
      <c r="BX450" s="108" t="inlineStr">
        <is>
          <t>ABCI Securities Company Limited; CLSA Limited; CMB International Capital Limited; China Sunrise Securities (International) Limited; Guosen Securities (HK) Brokerage Company, Limited; Livermore Holdings Limited; SDIC Securities (Hong Kong) Limited</t>
        </is>
      </c>
      <c r="BY450" s="127">
        <f>HYPERLINK("https://www1.hkexnews.hk/listedco/listconews/sehk/2026/0320/2026032000097.pdf","prospectus")</f>
        <v/>
      </c>
      <c r="BZ450" s="127">
        <f>HYPERLINK("https://www1.hkexnews.hk/listedco/listconews/sehk/2026/0327/2026032703232.pdf","allotment")</f>
        <v/>
      </c>
      <c r="CA450" s="119" t="n"/>
      <c r="CB450" s="128" t="n"/>
      <c r="CC450" s="108" t="inlineStr">
        <is>
          <t>P/E: withheld: 45,166x fails the 300x plausibility cap; extracted net income HK$0.1m suspect; greenshoe: no over-allotment option; range low: maximum offer price only, no floor published; market cap: prospectus 'market capitalisation' line is the listing-rule threshold, not the issuer's figure; rejected; greenshoe size: no over-allotment option; stabilising manager: filing states none appointed (prospectus: 'no stabilizing manager will be appointed' stated in the filing); financials: not extractable; pre-IPO year outside the AAStocks window</t>
        </is>
      </c>
    </row>
    <row r="451" ht="22" customHeight="1">
      <c r="A451" s="107" t="inlineStr">
        <is>
          <t>1021</t>
        </is>
      </c>
      <c r="B451" s="108" t="inlineStr">
        <is>
          <t>HUAYAN ROBOTICS</t>
        </is>
      </c>
      <c r="C451" s="108" t="inlineStr">
        <is>
          <t>華沿機器人</t>
        </is>
      </c>
      <c r="D451" s="108" t="inlineStr">
        <is>
          <t>Tech/AI</t>
        </is>
      </c>
      <c r="E451" s="108" t="inlineStr">
        <is>
          <t>Robotics &amp; autonomous driving</t>
        </is>
      </c>
      <c r="F451" s="108" t="inlineStr">
        <is>
          <t>Advanced hardware and software</t>
        </is>
      </c>
      <c r="G451" s="108" t="inlineStr">
        <is>
          <t>18C</t>
        </is>
      </c>
      <c r="H451" s="109" t="n">
        <v>46111</v>
      </c>
      <c r="I451" s="110" t="n">
        <v>1579.34</v>
      </c>
      <c r="J451" s="108" t="inlineStr">
        <is>
          <t>gross (stated)</t>
        </is>
      </c>
      <c r="K451" s="129" t="n"/>
      <c r="L451" s="111" t="n">
        <v>17</v>
      </c>
      <c r="M451" s="111" t="n">
        <v>17</v>
      </c>
      <c r="N451" s="108" t="inlineStr">
        <is>
          <t>Y</t>
        </is>
      </c>
      <c r="O451" s="112" t="n">
        <v>100</v>
      </c>
      <c r="P451" s="118" t="n"/>
      <c r="Q451" s="113" t="n">
        <v>8242.9</v>
      </c>
      <c r="R451" s="108" t="inlineStr">
        <is>
          <t>derived:deal size / offer % of enlarged capital</t>
        </is>
      </c>
      <c r="S451" s="114" t="n">
        <v>5059.38</v>
      </c>
      <c r="T451" s="115" t="n">
        <v>16.65</v>
      </c>
      <c r="U451" s="116" t="n">
        <v>48.6</v>
      </c>
      <c r="V451" s="117" t="n">
        <v>151</v>
      </c>
      <c r="W451" s="112" t="n">
        <v>17.39</v>
      </c>
      <c r="X451" s="108" t="inlineStr">
        <is>
          <t>YES</t>
        </is>
      </c>
      <c r="Y451" s="113" t="n">
        <v>811.78</v>
      </c>
      <c r="Z451" s="113" t="n">
        <v>47751936</v>
      </c>
      <c r="AA451" s="112" t="n">
        <v>9.85</v>
      </c>
      <c r="AB451" s="108" t="inlineStr">
        <is>
          <t>Eternal Summer Consulting Company Ltd; GF Management Co., Ltd. ʮ̡; GF International Investment Management Limited; HHLR Advisors, Ltd; Huatai Capital Investment Limited; Huatai Securities Co., Ltd; Morgan Stanley &amp; Co. International plc; Richfirm (Hong Kong) Development Limited; Samson Group Limited; Shrewd Pioneer Limited; VVC Technology Fund Ltd</t>
        </is>
      </c>
      <c r="AC451" s="108" t="inlineStr">
        <is>
          <t>eternal;gf;hhlr;huatai;morgan;richfirm;samson;shrewd;vvc</t>
        </is>
      </c>
      <c r="AD451" s="112" t="n">
        <v>15</v>
      </c>
      <c r="AE451" s="108" t="inlineStr">
        <is>
          <t>full</t>
        </is>
      </c>
      <c r="AF451" s="119" t="n"/>
      <c r="AG451" s="108" t="inlineStr">
        <is>
          <t>China International Capital Corporation Hong Kong Securities Limited</t>
        </is>
      </c>
      <c r="AH451" s="108" t="inlineStr">
        <is>
          <t>China International</t>
        </is>
      </c>
      <c r="AI451" s="120" t="n">
        <v>10.41</v>
      </c>
      <c r="AJ451" s="121" t="n">
        <v>8.24</v>
      </c>
      <c r="AK451" s="121" t="n">
        <v>-1.92</v>
      </c>
      <c r="AL451" s="121" t="n">
        <v>-1.18</v>
      </c>
      <c r="AM451" s="121" t="n">
        <v>9.529999999999999</v>
      </c>
      <c r="AN451" s="123" t="n">
        <v>2.77</v>
      </c>
      <c r="AO451" s="112" t="n">
        <v>29.88</v>
      </c>
      <c r="AP451" s="121" t="n">
        <v>5.41</v>
      </c>
      <c r="AQ451" s="121" t="n">
        <v>16.24</v>
      </c>
      <c r="AR451" s="121" t="n">
        <v>-9.119999999999999</v>
      </c>
      <c r="AS451" s="121" t="n">
        <v>-2.61</v>
      </c>
      <c r="AT451" s="121" t="n">
        <v>7.39</v>
      </c>
      <c r="AU451" s="121" t="n">
        <v>-16.04</v>
      </c>
      <c r="AV451" s="121" t="n">
        <v>4.68</v>
      </c>
      <c r="AW451" s="121" t="n">
        <v>12.09</v>
      </c>
      <c r="AX451" s="121" t="n">
        <v>-4.33</v>
      </c>
      <c r="AY451" s="121" t="n">
        <v>1.2</v>
      </c>
      <c r="AZ451" s="121" t="n">
        <v>4.15</v>
      </c>
      <c r="BA451" s="121" t="n">
        <v>6.19</v>
      </c>
      <c r="BB451" s="108" t="inlineStr">
        <is>
          <t>HSTECH (Hang Seng TECH ETF)</t>
        </is>
      </c>
      <c r="BC451" s="121" t="n">
        <v>-53.15</v>
      </c>
      <c r="BD451" s="109" t="n">
        <v>46297</v>
      </c>
      <c r="BE451" s="110" t="n">
        <v>341.5</v>
      </c>
      <c r="BF451" s="131" t="n"/>
      <c r="BG451" s="108" t="inlineStr">
        <is>
          <t>Y</t>
        </is>
      </c>
      <c r="BH451" s="124">
        <f>IF('BBG Verify'!O451="","not filed; run on terminal",'BBG Verify'!O451)</f>
        <v/>
      </c>
      <c r="BI451" s="122" t="n"/>
      <c r="BJ451" s="122" t="n"/>
      <c r="BK451" s="123" t="n">
        <v>24.1</v>
      </c>
      <c r="BL451" s="124">
        <f>IF('BBG Verify'!S451="","not filed; run on terminal",'BBG Verify'!S451)</f>
        <v/>
      </c>
      <c r="BM451" s="125" t="inlineStr">
        <is>
          <t>N</t>
        </is>
      </c>
      <c r="BN451" s="126">
        <f>IF('BBG Verify'!K451="","not filed; run on terminal",'BBG Verify'!K451)</f>
        <v/>
      </c>
      <c r="BO451" s="108" t="inlineStr">
        <is>
          <t>N/A</t>
        </is>
      </c>
      <c r="BP451" s="108" t="inlineStr">
        <is>
          <t>N/A</t>
        </is>
      </c>
      <c r="BQ451" s="108" t="inlineStr">
        <is>
          <t>N/A</t>
        </is>
      </c>
      <c r="BR451" s="108" t="inlineStr">
        <is>
          <t>N/A</t>
        </is>
      </c>
      <c r="BS451" s="108" t="inlineStr">
        <is>
          <t>N/A</t>
        </is>
      </c>
      <c r="BT451" s="108" t="inlineStr">
        <is>
          <t>N/A</t>
        </is>
      </c>
      <c r="BU451" s="125" t="inlineStr">
        <is>
          <t>China International Capital Corporation Hong Kong Securities Limited; Deutsche Securities Asia Limited</t>
        </is>
      </c>
      <c r="BV451" s="108" t="inlineStr">
        <is>
          <t>China International Capital Corporation Hong Kong Securities Limited; Deutsche Securities Asia Limited</t>
        </is>
      </c>
      <c r="BW451" s="108" t="inlineStr">
        <is>
          <t>China International Capital Corporation Hong Kong Securities Limited; Deutsche Bank AG, Hong Kong Branch; Futu Securities International (Hong Kong) Limited; Zheshang International Financial Holdings Co., Limited</t>
        </is>
      </c>
      <c r="BX451" s="108" t="inlineStr">
        <is>
          <t>China International Capital Corporation Hong Kong Securities Limited; Deutsche Bank AG, Hong Kong Branch; Futu Securities International (Hong Kong) Limited; Zheshang International Financial Holdings Co., Limited</t>
        </is>
      </c>
      <c r="BY451" s="127">
        <f>HYPERLINK("https://www1.hkexnews.hk/listedco/listconews/sehk/2026/0320/2026032000035.pdf","prospectus")</f>
        <v/>
      </c>
      <c r="BZ451" s="127">
        <f>HYPERLINK("https://www1.hkexnews.hk/listedco/listconews/sehk/2026/0327/2026032703804.pdf","allotment")</f>
        <v/>
      </c>
      <c r="CA451" s="127">
        <f>HYPERLINK("https://www1.hkexnews.hk/listedco/listconews/sehk/2026/0426/2026042600007.pdf","stabilisation")</f>
        <v/>
      </c>
      <c r="CB451" s="128" t="n"/>
      <c r="CC451" s="108" t="inlineStr">
        <is>
          <t>P/E: withheld: 418x fails the 300x plausibility cap; extracted net income HK$19.7m suspect; greenshoe: outcome published; expiry date not in the notice; range low: maximum offer price only, no floor published; financials: not extractable; pre-IPO year outside the AAStocks window</t>
        </is>
      </c>
    </row>
    <row r="452" ht="22" customHeight="1">
      <c r="A452" s="107" t="inlineStr">
        <is>
          <t>0664</t>
        </is>
      </c>
      <c r="B452" s="108" t="inlineStr">
        <is>
          <t>TONGSHIFU</t>
        </is>
      </c>
      <c r="C452" s="108" t="inlineStr">
        <is>
          <t>銅師傅</t>
        </is>
      </c>
      <c r="D452" s="108" t="inlineStr">
        <is>
          <t>Consumer</t>
        </is>
      </c>
      <c r="E452" s="108" t="inlineStr">
        <is>
          <t>Beverages / packaged food</t>
        </is>
      </c>
      <c r="F452" s="108" t="inlineStr">
        <is>
          <t>Leisure Products</t>
        </is>
      </c>
      <c r="G452" s="108" t="inlineStr">
        <is>
          <t>Standard</t>
        </is>
      </c>
      <c r="H452" s="109" t="n">
        <v>46112</v>
      </c>
      <c r="I452" s="110" t="n">
        <v>444.41</v>
      </c>
      <c r="J452" s="108" t="inlineStr">
        <is>
          <t>gross (stated)</t>
        </is>
      </c>
      <c r="K452" s="129" t="n"/>
      <c r="L452" s="111" t="n">
        <v>68</v>
      </c>
      <c r="M452" s="111" t="n">
        <v>60</v>
      </c>
      <c r="N452" s="108" t="inlineStr">
        <is>
          <t>N</t>
        </is>
      </c>
      <c r="O452" s="112" t="n">
        <v>88.2</v>
      </c>
      <c r="P452" s="118" t="n"/>
      <c r="Q452" s="113" t="n">
        <v>3864.4</v>
      </c>
      <c r="R452" s="108" t="inlineStr">
        <is>
          <t>derived:price x shares upon listing</t>
        </is>
      </c>
      <c r="S452" s="114" t="n">
        <v>59.55</v>
      </c>
      <c r="T452" s="115" t="n">
        <v>1.56</v>
      </c>
      <c r="U452" s="116" t="n">
        <v>28.94</v>
      </c>
      <c r="V452" s="117" t="n">
        <v>43</v>
      </c>
      <c r="W452" s="112" t="n">
        <v>15</v>
      </c>
      <c r="X452" s="119" t="n"/>
      <c r="Y452" s="113" t="n">
        <v>315.8</v>
      </c>
      <c r="Z452" s="113" t="n">
        <v>5263272</v>
      </c>
      <c r="AA452" s="112" t="n">
        <v>8.17</v>
      </c>
      <c r="AB452" s="108" t="inlineStr">
        <is>
          <t>Jiantou International (Hong Kong) Co., Limited</t>
        </is>
      </c>
      <c r="AC452" s="108" t="inlineStr">
        <is>
          <t>jiantou</t>
        </is>
      </c>
      <c r="AD452" s="112" t="n">
        <v>6.75</v>
      </c>
      <c r="AE452" s="108" t="inlineStr">
        <is>
          <t>lapsed</t>
        </is>
      </c>
      <c r="AF452" s="108" t="inlineStr">
        <is>
          <t>2026-04-25</t>
        </is>
      </c>
      <c r="AG452" s="108" t="inlineStr">
        <is>
          <t>CMB International Capital Limited</t>
        </is>
      </c>
      <c r="AH452" s="108" t="inlineStr">
        <is>
          <t>CMB</t>
        </is>
      </c>
      <c r="AI452" s="120" t="n">
        <v>-30.07</v>
      </c>
      <c r="AJ452" s="121" t="n">
        <v>-49.17</v>
      </c>
      <c r="AK452" s="121" t="n">
        <v>-0.5600000000000001</v>
      </c>
      <c r="AL452" s="121" t="n">
        <v>-40.97</v>
      </c>
      <c r="AM452" s="121" t="n">
        <v>-13.89</v>
      </c>
      <c r="AN452" s="123" t="n">
        <v>2.61</v>
      </c>
      <c r="AO452" s="112" t="n">
        <v>33.15</v>
      </c>
      <c r="AP452" s="121" t="n">
        <v>-53.17</v>
      </c>
      <c r="AQ452" s="121" t="n">
        <v>-62.27</v>
      </c>
      <c r="AR452" s="121" t="n">
        <v>-74.81999999999999</v>
      </c>
      <c r="AS452" s="121" t="n">
        <v>-7.87</v>
      </c>
      <c r="AT452" s="121" t="n">
        <v>-25.77</v>
      </c>
      <c r="AU452" s="121" t="n">
        <v>-50.46</v>
      </c>
      <c r="AV452" s="121" t="n">
        <v>-56.61</v>
      </c>
      <c r="AW452" s="121" t="n">
        <v>-65.63</v>
      </c>
      <c r="AX452" s="121" t="n">
        <v>-66.55</v>
      </c>
      <c r="AY452" s="121" t="n">
        <v>-29.71</v>
      </c>
      <c r="AZ452" s="121" t="n">
        <v>3.36</v>
      </c>
      <c r="BA452" s="121" t="n">
        <v>3.94</v>
      </c>
      <c r="BB452" s="108" t="inlineStr">
        <is>
          <t>Hang Seng Commerce &amp; Industry sub-index</t>
        </is>
      </c>
      <c r="BC452" s="121" t="n">
        <v>-80.90000000000001</v>
      </c>
      <c r="BD452" s="109" t="n">
        <v>46297</v>
      </c>
      <c r="BE452" s="110" t="n">
        <v>679.1</v>
      </c>
      <c r="BF452" s="113" t="n">
        <v>86.90000000000001</v>
      </c>
      <c r="BG452" s="108" t="inlineStr">
        <is>
          <t>Y</t>
        </is>
      </c>
      <c r="BH452" s="123" t="n">
        <v>44.5</v>
      </c>
      <c r="BI452" s="122" t="n"/>
      <c r="BJ452" s="122" t="n"/>
      <c r="BK452" s="123" t="n">
        <v>5.7</v>
      </c>
      <c r="BL452" s="124">
        <f>IF('BBG Verify'!S452="","not filed; run on terminal",'BBG Verify'!S452)</f>
        <v/>
      </c>
      <c r="BM452" s="125" t="inlineStr">
        <is>
          <t>N</t>
        </is>
      </c>
      <c r="BN452" s="126">
        <f>IF('BBG Verify'!K452="","not filed; run on terminal",'BBG Verify'!K452)</f>
        <v/>
      </c>
      <c r="BO452" s="108" t="inlineStr">
        <is>
          <t>N/A</t>
        </is>
      </c>
      <c r="BP452" s="108" t="inlineStr">
        <is>
          <t>N/A</t>
        </is>
      </c>
      <c r="BQ452" s="108" t="inlineStr">
        <is>
          <t>N/A</t>
        </is>
      </c>
      <c r="BR452" s="108" t="inlineStr">
        <is>
          <t>N/A</t>
        </is>
      </c>
      <c r="BS452" s="108" t="inlineStr">
        <is>
          <t>N/A</t>
        </is>
      </c>
      <c r="BT452" s="108" t="inlineStr">
        <is>
          <t>N/A</t>
        </is>
      </c>
      <c r="BU452" s="125" t="inlineStr">
        <is>
          <t>CMB International Capital Limited</t>
        </is>
      </c>
      <c r="BV452" s="108" t="inlineStr">
        <is>
          <t>CMB International Capital Limited</t>
        </is>
      </c>
      <c r="BW452" s="108" t="inlineStr">
        <is>
          <t>CMB International Capital Limited; CLSA Limited; ABCI Capital Limited; China Everbright Securities (HK) Limited; Futu Securities International (Hong Kong) Limited; Patrons Securities Limited</t>
        </is>
      </c>
      <c r="BX452" s="108" t="inlineStr">
        <is>
          <t>ABCI Securities Company Limited; China Everbright Securities (HK) Limited; CLSA Limited; CMB International Capital Limited; Futu Securities International (Hong Kong) Limited; Livermore Holdings Limited; Patrons Securities Limited</t>
        </is>
      </c>
      <c r="BY452" s="127">
        <f>HYPERLINK("https://www1.hkexnews.hk/listedco/listconews/sehk/2026/0323/2026032300037.pdf","prospectus")</f>
        <v/>
      </c>
      <c r="BZ452" s="127">
        <f>HYPERLINK("https://www1.hkexnews.hk/listedco/listconews/sehk/2026/0330/2026033003120.pdf","allotment")</f>
        <v/>
      </c>
      <c r="CA452" s="127">
        <f>HYPERLINK("https://www1.hkexnews.hk/listedco/listconews/sehk/2026/0430/2026043004704.pdf","stabilisation")</f>
        <v/>
      </c>
      <c r="CB452" s="128" t="n"/>
      <c r="CC452" s="108" t="inlineStr">
        <is>
          <t>range low: maximum offer price only, no floor published; allocation: clawback line not in this notice; a 12-28% split is consistent with either a tier-1 clawback or a placing shortfall</t>
        </is>
      </c>
    </row>
    <row r="453" ht="22" customHeight="1">
      <c r="A453" s="107" t="inlineStr">
        <is>
          <t>3625</t>
        </is>
      </c>
      <c r="B453" s="108" t="inlineStr">
        <is>
          <t>FOURSEMI</t>
        </is>
      </c>
      <c r="C453" s="108" t="inlineStr">
        <is>
          <t>傅里葉</t>
        </is>
      </c>
      <c r="D453" s="108" t="inlineStr">
        <is>
          <t>Tech/AI</t>
        </is>
      </c>
      <c r="E453" s="108" t="inlineStr">
        <is>
          <t>Other / diversified semiconductors</t>
        </is>
      </c>
      <c r="F453" s="108" t="inlineStr">
        <is>
          <t>Semiconductors &amp; Semiconductor Equipment</t>
        </is>
      </c>
      <c r="G453" s="108" t="inlineStr">
        <is>
          <t>18C</t>
        </is>
      </c>
      <c r="H453" s="109" t="n">
        <v>46112</v>
      </c>
      <c r="I453" s="110" t="n">
        <v>480</v>
      </c>
      <c r="J453" s="108" t="inlineStr">
        <is>
          <t>gross (stated)</t>
        </is>
      </c>
      <c r="K453" s="129" t="n"/>
      <c r="L453" s="111" t="n">
        <v>50</v>
      </c>
      <c r="M453" s="111" t="n">
        <v>40</v>
      </c>
      <c r="N453" s="108" t="inlineStr">
        <is>
          <t>N</t>
        </is>
      </c>
      <c r="O453" s="112" t="n">
        <v>80</v>
      </c>
      <c r="P453" s="118" t="n"/>
      <c r="Q453" s="113" t="n">
        <v>4480</v>
      </c>
      <c r="R453" s="108" t="inlineStr">
        <is>
          <t>derived:price x shares upon listing</t>
        </is>
      </c>
      <c r="S453" s="114" t="n">
        <v>3118.43</v>
      </c>
      <c r="T453" s="115" t="n">
        <v>2.93</v>
      </c>
      <c r="U453" s="116" t="n">
        <v>0</v>
      </c>
      <c r="V453" s="117" t="n">
        <v>100</v>
      </c>
      <c r="W453" s="112" t="n">
        <v>20</v>
      </c>
      <c r="X453" s="108" t="inlineStr">
        <is>
          <t>YES</t>
        </is>
      </c>
      <c r="Y453" s="113" t="n">
        <v>480</v>
      </c>
      <c r="Z453" s="113" t="n">
        <v>12000000</v>
      </c>
      <c r="AA453" s="112" t="n">
        <v>10.71</v>
      </c>
      <c r="AB453" s="108" t="inlineStr">
        <is>
          <t>none — no cornerstone tranche</t>
        </is>
      </c>
      <c r="AC453" s="108" t="inlineStr">
        <is>
          <t>none</t>
        </is>
      </c>
      <c r="AD453" s="112" t="n">
        <v>5.72</v>
      </c>
      <c r="AE453" s="119" t="n"/>
      <c r="AF453" s="119" t="n"/>
      <c r="AG453" s="119" t="n"/>
      <c r="AH453" s="119" t="n"/>
      <c r="AI453" s="120" t="n">
        <v>108.75</v>
      </c>
      <c r="AJ453" s="121" t="n">
        <v>100</v>
      </c>
      <c r="AK453" s="121" t="n">
        <v>-0.87</v>
      </c>
      <c r="AL453" s="121" t="n">
        <v>112.62</v>
      </c>
      <c r="AM453" s="121" t="n">
        <v>-5.94</v>
      </c>
      <c r="AN453" s="123" t="n">
        <v>2.04</v>
      </c>
      <c r="AO453" s="112" t="n">
        <v>10.58</v>
      </c>
      <c r="AP453" s="121" t="n">
        <v>226.25</v>
      </c>
      <c r="AQ453" s="121" t="n">
        <v>244.75</v>
      </c>
      <c r="AR453" s="121" t="n">
        <v>125</v>
      </c>
      <c r="AS453" s="121" t="n">
        <v>63.13</v>
      </c>
      <c r="AT453" s="121" t="n">
        <v>72.37</v>
      </c>
      <c r="AU453" s="121" t="n">
        <v>12.5</v>
      </c>
      <c r="AV453" s="121" t="n">
        <v>222.59</v>
      </c>
      <c r="AW453" s="121" t="n">
        <v>239.78</v>
      </c>
      <c r="AX453" s="121" t="n">
        <v>128.75</v>
      </c>
      <c r="AY453" s="121" t="n">
        <v>66.48</v>
      </c>
      <c r="AZ453" s="121" t="n">
        <v>4.97</v>
      </c>
      <c r="BA453" s="121" t="n">
        <v>5.89</v>
      </c>
      <c r="BB453" s="108" t="inlineStr">
        <is>
          <t>HSTECH (Hang Seng TECH ETF)</t>
        </is>
      </c>
      <c r="BC453" s="121" t="n">
        <v>21.25</v>
      </c>
      <c r="BD453" s="109" t="n">
        <v>46297</v>
      </c>
      <c r="BE453" s="110" t="n">
        <v>390.7</v>
      </c>
      <c r="BF453" s="113" t="n">
        <v>-62.5</v>
      </c>
      <c r="BG453" s="108" t="inlineStr">
        <is>
          <t>N</t>
        </is>
      </c>
      <c r="BH453" s="108" t="inlineStr">
        <is>
          <t>n/m</t>
        </is>
      </c>
      <c r="BI453" s="122" t="n"/>
      <c r="BJ453" s="122" t="n"/>
      <c r="BK453" s="123" t="n">
        <v>11.5</v>
      </c>
      <c r="BL453" s="124">
        <f>IF('BBG Verify'!S453="","not filed; run on terminal",'BBG Verify'!S453)</f>
        <v/>
      </c>
      <c r="BM453" s="125" t="inlineStr">
        <is>
          <t>N</t>
        </is>
      </c>
      <c r="BN453" s="126">
        <f>IF('BBG Verify'!K453="","not filed; run on terminal",'BBG Verify'!K453)</f>
        <v/>
      </c>
      <c r="BO453" s="108" t="inlineStr">
        <is>
          <t>N/A</t>
        </is>
      </c>
      <c r="BP453" s="108" t="inlineStr">
        <is>
          <t>N/A</t>
        </is>
      </c>
      <c r="BQ453" s="108" t="inlineStr">
        <is>
          <t>N/A</t>
        </is>
      </c>
      <c r="BR453" s="108" t="inlineStr">
        <is>
          <t>N/A</t>
        </is>
      </c>
      <c r="BS453" s="108" t="inlineStr">
        <is>
          <t>N/A</t>
        </is>
      </c>
      <c r="BT453" s="108" t="inlineStr">
        <is>
          <t>N/A</t>
        </is>
      </c>
      <c r="BU453" s="125" t="inlineStr">
        <is>
          <t>Guotai Junan Capital Limited; Orient Capital (Hong Kong) Limited</t>
        </is>
      </c>
      <c r="BV453" s="108" t="inlineStr">
        <is>
          <t>Guotai Junan Capital Limited; Orient Capital (Hong Kong) Limited</t>
        </is>
      </c>
      <c r="BW453" s="108" t="inlineStr">
        <is>
          <t>Guotai Junan Securities (Hong Kong) Limited; Orient Securities (Hong Kong) Limited; CCB International Capital Limited; ABCI Capital Limited; Futu Securities International (Hong Kong) Limited; Y ellow River Securities Limited; Shenwan Hongyuan Securities (H.K.) Limited; Livermore Holdings Limited; Huafu International Securities Limited; Zheshang International Financial Holdings Co., Limited</t>
        </is>
      </c>
      <c r="BX453" s="108" t="inlineStr">
        <is>
          <t>ABCI Securities Company Limited; CCB International Capital Limited; Futu Securities International (Hong Kong) Limited; Guotai Junan Securities (Hong Kong) Limited; Huafu International Securities Limited; Livermore Holdings Limited; Orient Securities (Hong Kong) Limited; Shenwan Hongyuan Securities (H.K.) Limited; Yuen Meta (International) Securities Limited; Yellow River Securities Limited; Zheshang International Financial Holdings Co., Limited</t>
        </is>
      </c>
      <c r="BY453" s="127">
        <f>HYPERLINK("https://www1.hkexnews.hk/listedco/listconews/sehk/2026/0323/2026032300023.pdf","prospectus")</f>
        <v/>
      </c>
      <c r="BZ453" s="127">
        <f>HYPERLINK("https://www1.hkexnews.hk/listedco/listconews/sehk/2026/0330/2026033003564.pdf","allotment")</f>
        <v/>
      </c>
      <c r="CA453" s="119" t="n"/>
      <c r="CB453" s="128" t="n"/>
      <c r="CC453" s="108" t="inlineStr">
        <is>
          <t>P/E: loss-making at IPO, use P/S; greenshoe: end-of-stabilisation notice not found; range low: maximum offer price only, no floor published; cornerstone list: no cornerstone tranche; stabilising manager: filing states none appointed (allotment announcement: 'no stabilizing manager will be appointed' stated in the filing)</t>
        </is>
      </c>
    </row>
    <row r="454" ht="22" customHeight="1">
      <c r="A454" s="107" t="inlineStr">
        <is>
          <t>6656</t>
        </is>
      </c>
      <c r="B454" s="108" t="inlineStr">
        <is>
          <t>SIGENERGY</t>
        </is>
      </c>
      <c r="C454" s="108" t="inlineStr">
        <is>
          <t>思格新能源</t>
        </is>
      </c>
      <c r="D454" s="108" t="inlineStr">
        <is>
          <t>Industrials</t>
        </is>
      </c>
      <c r="E454" s="108" t="inlineStr">
        <is>
          <t>Batteries / energy storage</t>
        </is>
      </c>
      <c r="F454" s="108" t="inlineStr">
        <is>
          <t>New energy and environmental protection</t>
        </is>
      </c>
      <c r="G454" s="108" t="inlineStr">
        <is>
          <t>Standard</t>
        </is>
      </c>
      <c r="H454" s="109" t="n">
        <v>46128</v>
      </c>
      <c r="I454" s="110" t="n">
        <v>4400.7</v>
      </c>
      <c r="J454" s="108" t="inlineStr">
        <is>
          <t>gross (stated)</t>
        </is>
      </c>
      <c r="K454" s="129" t="n"/>
      <c r="L454" s="111" t="n">
        <v>324.2</v>
      </c>
      <c r="M454" s="111" t="n">
        <v>324.2</v>
      </c>
      <c r="N454" s="108" t="inlineStr">
        <is>
          <t>Y</t>
        </is>
      </c>
      <c r="O454" s="112" t="n">
        <v>100</v>
      </c>
      <c r="P454" s="118" t="n"/>
      <c r="Q454" s="113" t="n">
        <v>80011.60000000001</v>
      </c>
      <c r="R454" s="108" t="inlineStr">
        <is>
          <t>prospectus:stated market capitalisation</t>
        </is>
      </c>
      <c r="S454" s="114" t="n">
        <v>1102.05</v>
      </c>
      <c r="T454" s="115" t="n">
        <v>31.2</v>
      </c>
      <c r="U454" s="116" t="n">
        <v>49.6</v>
      </c>
      <c r="V454" s="117" t="n">
        <v>428</v>
      </c>
      <c r="W454" s="112" t="n">
        <v>10</v>
      </c>
      <c r="X454" s="108" t="inlineStr">
        <is>
          <t>NA</t>
        </is>
      </c>
      <c r="Y454" s="113" t="n">
        <v>2217.95</v>
      </c>
      <c r="Z454" s="113" t="n">
        <v>6841246</v>
      </c>
      <c r="AA454" s="112" t="n">
        <v>2.77</v>
      </c>
      <c r="AB454" s="108" t="inlineStr">
        <is>
          <t>3W Fund Management Limited; Aranda Investments Pte. Ltd; AXA Investment Managers UK Limited; Baring Asset Management (Asia) Limited; Charoen Pokphand Robot Limited; CPE Energy Investment Limited; CPIC Investment Management (H.K.) Company Limited; Fullgoal Asset Management (HK) Limited; Fullgoal Fund Management Co., Ltd; Goldman Sachs Asset Management (Hong Kong) Limited; Greenwoods Asset Management Hong Kong Limited; HHLR Advisors, Ltd; Hillhouse Investment Management, Ltd; Huadeng Technology Space Ventures Ltd; ICBC Wealth Management Co., Ltd; Lazurite Hime L.P; Perseverance Asset Management International (Singapore) Pte. Ltd; Scene Cloud Global Limited; Shanghai Lujiazui (Group) Co., Ltd; Tropical Terrain Limited; UBS Asset Management (Singapore) Ltd</t>
        </is>
      </c>
      <c r="AC454" s="108" t="inlineStr">
        <is>
          <t>3w;aranda;axa;baring;charoen;cpe;cpic;fullgoal;goldman;greenwoods;hhlr;hillhouse;huadeng;icbc;lazurite;perseverance;scene;shanghai-lujiazui;tropical;ubs</t>
        </is>
      </c>
      <c r="AD454" s="112" t="n">
        <v>15</v>
      </c>
      <c r="AE454" s="108" t="inlineStr">
        <is>
          <t>full</t>
        </is>
      </c>
      <c r="AF454" s="119" t="n"/>
      <c r="AG454" s="108" t="inlineStr">
        <is>
          <t>CLSA Limited</t>
        </is>
      </c>
      <c r="AH454" s="108" t="inlineStr">
        <is>
          <t>CLSA</t>
        </is>
      </c>
      <c r="AI454" s="120" t="n">
        <v>78.29000000000001</v>
      </c>
      <c r="AJ454" s="121" t="n">
        <v>103.42</v>
      </c>
      <c r="AK454" s="121" t="n">
        <v>2.62</v>
      </c>
      <c r="AL454" s="121" t="n">
        <v>79.20999999999999</v>
      </c>
      <c r="AM454" s="121" t="n">
        <v>13.51</v>
      </c>
      <c r="AN454" s="123" t="n">
        <v>5.68</v>
      </c>
      <c r="AO454" s="112" t="n">
        <v>18.67</v>
      </c>
      <c r="AP454" s="121" t="n">
        <v>73.66</v>
      </c>
      <c r="AQ454" s="121" t="n">
        <v>64.40000000000001</v>
      </c>
      <c r="AR454" s="121" t="n">
        <v>-14.68</v>
      </c>
      <c r="AS454" s="121" t="n">
        <v>-14.63</v>
      </c>
      <c r="AT454" s="121" t="n">
        <v>-19.18</v>
      </c>
      <c r="AU454" s="121" t="n">
        <v>-58.06</v>
      </c>
      <c r="AV454" s="121" t="n">
        <v>74.03</v>
      </c>
      <c r="AW454" s="121" t="n">
        <v>66.81</v>
      </c>
      <c r="AX454" s="121" t="n">
        <v>-9.630000000000001</v>
      </c>
      <c r="AY454" s="121" t="n">
        <v>-14.28</v>
      </c>
      <c r="AZ454" s="121" t="n">
        <v>-2.41</v>
      </c>
      <c r="BA454" s="121" t="n">
        <v>-4.9</v>
      </c>
      <c r="BB454" s="108" t="inlineStr">
        <is>
          <t>Hang Seng Commerce &amp; Industry sub-index</t>
        </is>
      </c>
      <c r="BC454" s="121" t="n">
        <v>-14.87</v>
      </c>
      <c r="BD454" s="109" t="n">
        <v>46297</v>
      </c>
      <c r="BE454" s="110" t="n">
        <v>9900.6</v>
      </c>
      <c r="BF454" s="113" t="n">
        <v>3210.7</v>
      </c>
      <c r="BG454" s="108" t="inlineStr">
        <is>
          <t>Y</t>
        </is>
      </c>
      <c r="BH454" s="123" t="n">
        <v>24.9</v>
      </c>
      <c r="BI454" s="122" t="n"/>
      <c r="BJ454" s="122" t="n"/>
      <c r="BK454" s="123" t="n">
        <v>8.1</v>
      </c>
      <c r="BL454" s="124">
        <f>IF('BBG Verify'!S454="","not filed; run on terminal",'BBG Verify'!S454)</f>
        <v/>
      </c>
      <c r="BM454" s="125" t="inlineStr">
        <is>
          <t>N</t>
        </is>
      </c>
      <c r="BN454" s="126">
        <f>IF('BBG Verify'!K454="","not filed; run on terminal",'BBG Verify'!K454)</f>
        <v/>
      </c>
      <c r="BO454" s="108" t="inlineStr">
        <is>
          <t>N/A</t>
        </is>
      </c>
      <c r="BP454" s="108" t="inlineStr">
        <is>
          <t>N/A</t>
        </is>
      </c>
      <c r="BQ454" s="108" t="inlineStr">
        <is>
          <t>N/A</t>
        </is>
      </c>
      <c r="BR454" s="108" t="inlineStr">
        <is>
          <t>N/A</t>
        </is>
      </c>
      <c r="BS454" s="108" t="inlineStr">
        <is>
          <t>N/A</t>
        </is>
      </c>
      <c r="BT454" s="108" t="inlineStr">
        <is>
          <t>N/A</t>
        </is>
      </c>
      <c r="BU454" s="125" t="inlineStr">
        <is>
          <t>CITIC Securities (Hong Kong) Limited; BNP Paribas Securities (Asia) Limited</t>
        </is>
      </c>
      <c r="BV454" s="108" t="inlineStr">
        <is>
          <t>CITIC Securities (Hong Kong) Limited; BNP Paribas Securities (Asia) Limited</t>
        </is>
      </c>
      <c r="BW454" s="108" t="inlineStr">
        <is>
          <t>CLSA Limited; BNP Paribas Securities (Asia) Limited; China International Capital Corporation Hong Kong Securities Limited</t>
        </is>
      </c>
      <c r="BX454" s="108" t="inlineStr">
        <is>
          <t>BNP Paribas Securities (Asia) Limited; China International Capital Corporation Hong Kong Securities Limited; CLSA Limited</t>
        </is>
      </c>
      <c r="BY454" s="127">
        <f>HYPERLINK("https://www1.hkexnews.hk/listedco/listconews/sehk/2026/0408/2026040800017.pdf","prospectus")</f>
        <v/>
      </c>
      <c r="BZ454" s="127">
        <f>HYPERLINK("https://www1.hkexnews.hk/listedco/listconews/sehk/2026/0415/2026041501574.pdf","allotment")</f>
        <v/>
      </c>
      <c r="CA454" s="127">
        <f>HYPERLINK("https://www1.hkexnews.hk/listedco/listconews/sehk/2026/0513/2026051301292.pdf","stabilisation")</f>
        <v/>
      </c>
      <c r="CB454" s="128" t="n"/>
      <c r="CC454" s="108" t="inlineStr">
        <is>
          <t>greenshoe: outcome published; expiry date not in the notice; range low: maximum offer price only, no floor published</t>
        </is>
      </c>
    </row>
    <row r="455" ht="22" customHeight="1">
      <c r="A455" s="107" t="inlineStr">
        <is>
          <t>0068</t>
        </is>
      </c>
      <c r="B455" s="108" t="inlineStr">
        <is>
          <t>MANYCORE TECH</t>
        </is>
      </c>
      <c r="C455" s="108" t="inlineStr">
        <is>
          <t>MANYCORE TECH</t>
        </is>
      </c>
      <c r="D455" s="108" t="inlineStr">
        <is>
          <t>Tech/AI</t>
        </is>
      </c>
      <c r="E455" s="108" t="inlineStr">
        <is>
          <t>SaaS / enterprise software</t>
        </is>
      </c>
      <c r="F455" s="108" t="inlineStr">
        <is>
          <t>Advanced hardware and software</t>
        </is>
      </c>
      <c r="G455" s="108" t="inlineStr">
        <is>
          <t>Standard</t>
        </is>
      </c>
      <c r="H455" s="109" t="n">
        <v>46129</v>
      </c>
      <c r="I455" s="110" t="n">
        <v>1223.9</v>
      </c>
      <c r="J455" s="108" t="inlineStr">
        <is>
          <t>gross (stated)</t>
        </is>
      </c>
      <c r="K455" s="129" t="n"/>
      <c r="L455" s="111" t="n">
        <v>7.62</v>
      </c>
      <c r="M455" s="111" t="n">
        <v>7.62</v>
      </c>
      <c r="N455" s="108" t="inlineStr">
        <is>
          <t>Y</t>
        </is>
      </c>
      <c r="O455" s="112" t="n">
        <v>100</v>
      </c>
      <c r="P455" s="118" t="n"/>
      <c r="Q455" s="113" t="n">
        <v>11400</v>
      </c>
      <c r="R455" s="108" t="inlineStr">
        <is>
          <t>prospectus:stated market capitalisation</t>
        </is>
      </c>
      <c r="S455" s="114" t="n">
        <v>1590.56</v>
      </c>
      <c r="T455" s="115" t="n">
        <v>14.46</v>
      </c>
      <c r="U455" s="116" t="n">
        <v>37.14</v>
      </c>
      <c r="V455" s="117" t="n">
        <v>107</v>
      </c>
      <c r="W455" s="112" t="n">
        <v>10</v>
      </c>
      <c r="X455" s="108" t="inlineStr">
        <is>
          <t>NO</t>
        </is>
      </c>
      <c r="Y455" s="113" t="n">
        <v>769.34</v>
      </c>
      <c r="Z455" s="113" t="n">
        <v>100965103</v>
      </c>
      <c r="AA455" s="112" t="n">
        <v>6.75</v>
      </c>
      <c r="AB455" s="108" t="inlineStr">
        <is>
          <t>Taikang Life Insurance Co., Ltd; Sunshine Life Insurance Corporation Limited; GF Fund Management Co., Ltd. and GF International Investment Management Limited (together, GF Fund); Redwood Elite Limited; Mirae Asset Securities Co., Ltd; RIME Capital Limited; Hesai Hong Kong Limited; Guohui (HK) Holdings Co., Limited 控股有限公司; CR Construction Group Holdings Limited</t>
        </is>
      </c>
      <c r="AC455" s="108" t="inlineStr">
        <is>
          <t>taikang;sunshine;gf;redwood;mirae;rime;hesai;guohui;cr</t>
        </is>
      </c>
      <c r="AD455" s="112" t="n">
        <v>15</v>
      </c>
      <c r="AE455" s="108" t="inlineStr">
        <is>
          <t>full</t>
        </is>
      </c>
      <c r="AF455" s="119" t="n"/>
      <c r="AG455" s="108" t="inlineStr">
        <is>
          <t>J.P. Morgan Securities</t>
        </is>
      </c>
      <c r="AH455" s="108" t="inlineStr">
        <is>
          <t>JP Morgan</t>
        </is>
      </c>
      <c r="AI455" s="120" t="n">
        <v>169.29</v>
      </c>
      <c r="AJ455" s="121" t="n">
        <v>144.09</v>
      </c>
      <c r="AK455" s="121" t="n">
        <v>-1.16</v>
      </c>
      <c r="AL455" s="121" t="n">
        <v>171.65</v>
      </c>
      <c r="AM455" s="121" t="n">
        <v>-10.15</v>
      </c>
      <c r="AN455" s="123" t="n">
        <v>8.369999999999999</v>
      </c>
      <c r="AO455" s="112" t="n">
        <v>25.89</v>
      </c>
      <c r="AP455" s="121" t="n">
        <v>273.75</v>
      </c>
      <c r="AQ455" s="121" t="n">
        <v>142.91</v>
      </c>
      <c r="AR455" s="121" t="n">
        <v>16.54</v>
      </c>
      <c r="AS455" s="121" t="n">
        <v>53.12</v>
      </c>
      <c r="AT455" s="121" t="n">
        <v>-0.48</v>
      </c>
      <c r="AU455" s="121" t="n">
        <v>-52.26</v>
      </c>
      <c r="AV455" s="121" t="n">
        <v>277.63</v>
      </c>
      <c r="AW455" s="121" t="n">
        <v>147.6</v>
      </c>
      <c r="AX455" s="121" t="n">
        <v>21.99</v>
      </c>
      <c r="AY455" s="121" t="n">
        <v>3.09</v>
      </c>
      <c r="AZ455" s="121" t="n">
        <v>-4.69</v>
      </c>
      <c r="BA455" s="121" t="n">
        <v>-3.57</v>
      </c>
      <c r="BB455" s="108" t="inlineStr">
        <is>
          <t>HSTECH (Hang Seng TECH ETF)</t>
        </is>
      </c>
      <c r="BC455" s="121" t="n">
        <v>-6.43</v>
      </c>
      <c r="BD455" s="109" t="n">
        <v>46297</v>
      </c>
      <c r="BE455" s="110" t="n">
        <v>902</v>
      </c>
      <c r="BF455" s="113" t="n">
        <v>-470.7</v>
      </c>
      <c r="BG455" s="108" t="inlineStr">
        <is>
          <t>N</t>
        </is>
      </c>
      <c r="BH455" s="108" t="inlineStr">
        <is>
          <t>n/m</t>
        </is>
      </c>
      <c r="BI455" s="122" t="n"/>
      <c r="BJ455" s="122" t="n"/>
      <c r="BK455" s="123" t="n">
        <v>12.6</v>
      </c>
      <c r="BL455" s="124">
        <f>IF('BBG Verify'!S455="","not filed; run on terminal",'BBG Verify'!S455)</f>
        <v/>
      </c>
      <c r="BM455" s="125" t="inlineStr">
        <is>
          <t>N</t>
        </is>
      </c>
      <c r="BN455" s="126">
        <f>IF('BBG Verify'!K455="","not filed; run on terminal",'BBG Verify'!K455)</f>
        <v/>
      </c>
      <c r="BO455" s="108" t="inlineStr">
        <is>
          <t>N/A</t>
        </is>
      </c>
      <c r="BP455" s="108" t="inlineStr">
        <is>
          <t>N/A</t>
        </is>
      </c>
      <c r="BQ455" s="108" t="inlineStr">
        <is>
          <t>N/A</t>
        </is>
      </c>
      <c r="BR455" s="108" t="inlineStr">
        <is>
          <t>N/A</t>
        </is>
      </c>
      <c r="BS455" s="108" t="inlineStr">
        <is>
          <t>N/A</t>
        </is>
      </c>
      <c r="BT455" s="108" t="inlineStr">
        <is>
          <t>N/A</t>
        </is>
      </c>
      <c r="BU455" s="125" t="inlineStr">
        <is>
          <t>J.P. Morgan Securities (Far East) Limited; CCB International Capital Limited</t>
        </is>
      </c>
      <c r="BV455" s="108" t="inlineStr">
        <is>
          <t>CCB International Capital Limited; J.P. Morgan Securities (Far East) Limited</t>
        </is>
      </c>
      <c r="BW455" s="108" t="inlineStr">
        <is>
          <t>J.P. Morgan Securities (Asia Pacific) Limited; CCB International Capital Limited; Tiger Brokers (HK) Global Limited; ABCI Capital Limited; BOCI Asia Limited</t>
        </is>
      </c>
      <c r="BX455" s="108" t="inlineStr">
        <is>
          <t>ABCI Securities Company Limited; BOCI Asia Limited; CCB International Capital Limited; Futu Securities International (Hong Kong) Limited; J.P. Morgan Securities (Asia Pacific) Limited; Tiger Brokers (HK) Global Limited</t>
        </is>
      </c>
      <c r="BY455" s="127">
        <f>HYPERLINK("https://www1.hkexnews.hk/listedco/listconews/sehk/2026/0409/2026040900025.pdf","prospectus")</f>
        <v/>
      </c>
      <c r="BZ455" s="127">
        <f>HYPERLINK("https://www1.hkexnews.hk/listedco/listconews/sehk/2026/0416/2026041601684.pdf","allotment")</f>
        <v/>
      </c>
      <c r="CA455" s="127">
        <f>HYPERLINK("https://www1.hkexnews.hk/listedco/listconews/sehk/2026/0518/2026051801670.pdf","stabilisation")</f>
        <v/>
      </c>
      <c r="CB455" s="128" t="n"/>
      <c r="CC455" s="108" t="inlineStr">
        <is>
          <t>P/E: loss-making at IPO, use P/S; greenshoe: outcome published; expiry date not in the notice; range low: maximum offer price only, no floor published</t>
        </is>
      </c>
    </row>
    <row r="456" ht="22" customHeight="1">
      <c r="A456" s="107" t="inlineStr">
        <is>
          <t>3277</t>
        </is>
      </c>
      <c r="B456" s="108" t="inlineStr">
        <is>
          <t>GPIXEL</t>
        </is>
      </c>
      <c r="C456" s="108" t="inlineStr">
        <is>
          <t>長光辰芯</t>
        </is>
      </c>
      <c r="D456" s="108" t="inlineStr">
        <is>
          <t>Tech/AI</t>
        </is>
      </c>
      <c r="E456" s="108" t="inlineStr">
        <is>
          <t>Image / display semiconductors</t>
        </is>
      </c>
      <c r="F456" s="108" t="inlineStr">
        <is>
          <t>Electronic Equipment &amp; Instruments</t>
        </is>
      </c>
      <c r="G456" s="108" t="inlineStr">
        <is>
          <t>Standard</t>
        </is>
      </c>
      <c r="H456" s="109" t="n">
        <v>46129</v>
      </c>
      <c r="I456" s="110" t="n">
        <v>2603.9</v>
      </c>
      <c r="J456" s="108" t="inlineStr">
        <is>
          <t>gross (stated)</t>
        </is>
      </c>
      <c r="K456" s="129" t="n"/>
      <c r="L456" s="111" t="n">
        <v>39.88</v>
      </c>
      <c r="M456" s="111" t="n">
        <v>39.88</v>
      </c>
      <c r="N456" s="108" t="inlineStr">
        <is>
          <t>Y</t>
        </is>
      </c>
      <c r="O456" s="112" t="n">
        <v>100</v>
      </c>
      <c r="P456" s="118" t="n"/>
      <c r="Q456" s="113" t="n">
        <v>11600</v>
      </c>
      <c r="R456" s="108" t="inlineStr">
        <is>
          <t>prospectus:stated market capitalisation</t>
        </is>
      </c>
      <c r="S456" s="114" t="n">
        <v>1138.21</v>
      </c>
      <c r="T456" s="115" t="n">
        <v>22.69</v>
      </c>
      <c r="U456" s="116" t="n">
        <v>50</v>
      </c>
      <c r="V456" s="117" t="n">
        <v>172</v>
      </c>
      <c r="W456" s="112" t="n">
        <v>10</v>
      </c>
      <c r="X456" s="108" t="inlineStr">
        <is>
          <t>NO</t>
        </is>
      </c>
      <c r="Y456" s="113" t="n">
        <v>1301.95</v>
      </c>
      <c r="Z456" s="113" t="n">
        <v>32647100</v>
      </c>
      <c r="AA456" s="112" t="n">
        <v>11.22</v>
      </c>
      <c r="AB456" s="108" t="inlineStr">
        <is>
          <t>CPE Peepal Investment Limited; HHLR Advisors, Ltd; UBS Asset Management (Singapore) Ltd; Arc Avenue Asset Management Pte. Ltd; Boyu Capital Management (Singapore) Pte. Ltd. Note 3&amp;4; Fullgoal Asset Management (HK) Limited Notes 3&amp;5; Fullgoal Fund Management Co., Ltd. Notes 3&amp;5; GF International Investment Management Limited; GF Fund Management Co., Ltd; Shanghai Greenwoods Asset Management Co., Ltd. and Huatai Capital Investment Limited (in connection with Greenwoods OTC Swaps) Notes 3&amp;7; Greenwoods Asset Management Hong Kong Limited; Mirae Asset Securities Co., Ltd; Perseverance Asset Management International (Singapore) Pte. Ltd; Yield Royal Investment Holding (Singapore) PTE. LTD; 3W Fund Management Limited; Eastern Bell Capital VIII Investment Limited; ICBC Wealth Management Co., Ltd. Notes 3 &amp; 8; Protium Capital Limited; SCC Foresight Ventures Ltd; Voyage42 Master Fund; WT Asset Management Limited; E Fund Management (Hong Kong) Co., Ltd; China Asset Management Co., Ltd. Notes 3&amp;6; Cithara Global Multi-Strategy SPC — Disruptive Innovation Investment Fund SP; Panjing Harbourview Investment Fund; Value Partners Hong Kong Limited; China Orient International Asset Management Limited — China Orient Multi-Strategy Master Fund; China Merchants Securities Investment Management (Hong Kong) Company Limited</t>
        </is>
      </c>
      <c r="AC456" s="108" t="inlineStr">
        <is>
          <t>cpe;hhlr;ubs;arc;boyu;fullgoal;gf;shanghai-greenwoods;greenwoods;mirae;perseverance;yield;3w;eastern-bell;icbc;protium;scc;voyage42;wt;fund-management;notes;cithara;panjing;value;orient;merchants</t>
        </is>
      </c>
      <c r="AD456" s="112" t="n">
        <v>18.29</v>
      </c>
      <c r="AE456" s="108" t="inlineStr">
        <is>
          <t>full</t>
        </is>
      </c>
      <c r="AF456" s="108" t="inlineStr">
        <is>
          <t>2026-05-14</t>
        </is>
      </c>
      <c r="AG456" s="108" t="inlineStr">
        <is>
          <t>CLSA Limited</t>
        </is>
      </c>
      <c r="AH456" s="108" t="inlineStr">
        <is>
          <t>CLSA</t>
        </is>
      </c>
      <c r="AI456" s="120" t="n">
        <v>71.26000000000001</v>
      </c>
      <c r="AJ456" s="121" t="n">
        <v>75.53</v>
      </c>
      <c r="AK456" s="121" t="n">
        <v>-1.16</v>
      </c>
      <c r="AL456" s="121" t="n">
        <v>80.54000000000001</v>
      </c>
      <c r="AM456" s="121" t="n">
        <v>-2.78</v>
      </c>
      <c r="AN456" s="123" t="n">
        <v>4.29</v>
      </c>
      <c r="AO456" s="112" t="n">
        <v>25.49</v>
      </c>
      <c r="AP456" s="121" t="n">
        <v>112.39</v>
      </c>
      <c r="AQ456" s="121" t="n">
        <v>107.62</v>
      </c>
      <c r="AR456" s="121" t="n">
        <v>81.42</v>
      </c>
      <c r="AS456" s="121" t="n">
        <v>21</v>
      </c>
      <c r="AT456" s="121" t="n">
        <v>18.28</v>
      </c>
      <c r="AU456" s="121" t="n">
        <v>3.36</v>
      </c>
      <c r="AV456" s="121" t="n">
        <v>116.27</v>
      </c>
      <c r="AW456" s="121" t="n">
        <v>112.31</v>
      </c>
      <c r="AX456" s="121" t="n">
        <v>86.87</v>
      </c>
      <c r="AY456" s="121" t="n">
        <v>21.85</v>
      </c>
      <c r="AZ456" s="121" t="n">
        <v>-4.69</v>
      </c>
      <c r="BA456" s="121" t="n">
        <v>-3.57</v>
      </c>
      <c r="BB456" s="108" t="inlineStr">
        <is>
          <t>HSTECH (Hang Seng TECH ETF)</t>
        </is>
      </c>
      <c r="BC456" s="121" t="n">
        <v>78.03</v>
      </c>
      <c r="BD456" s="109" t="n">
        <v>46297</v>
      </c>
      <c r="BE456" s="110" t="n">
        <v>942.2</v>
      </c>
      <c r="BF456" s="113" t="n">
        <v>322.5</v>
      </c>
      <c r="BG456" s="108" t="inlineStr">
        <is>
          <t>Y</t>
        </is>
      </c>
      <c r="BH456" s="123" t="n">
        <v>36</v>
      </c>
      <c r="BI456" s="122" t="n"/>
      <c r="BJ456" s="122" t="n"/>
      <c r="BK456" s="123" t="n">
        <v>12.3</v>
      </c>
      <c r="BL456" s="124">
        <f>IF('BBG Verify'!S456="","not filed; run on terminal",'BBG Verify'!S456)</f>
        <v/>
      </c>
      <c r="BM456" s="125" t="inlineStr">
        <is>
          <t>N</t>
        </is>
      </c>
      <c r="BN456" s="126">
        <f>IF('BBG Verify'!K456="","not filed; run on terminal",'BBG Verify'!K456)</f>
        <v/>
      </c>
      <c r="BO456" s="108" t="inlineStr">
        <is>
          <t>N/A</t>
        </is>
      </c>
      <c r="BP456" s="108" t="inlineStr">
        <is>
          <t>N/A</t>
        </is>
      </c>
      <c r="BQ456" s="108" t="inlineStr">
        <is>
          <t>N/A</t>
        </is>
      </c>
      <c r="BR456" s="108" t="inlineStr">
        <is>
          <t>N/A</t>
        </is>
      </c>
      <c r="BS456" s="108" t="inlineStr">
        <is>
          <t>N/A</t>
        </is>
      </c>
      <c r="BT456" s="108" t="inlineStr">
        <is>
          <t>N/A</t>
        </is>
      </c>
      <c r="BU456" s="125" t="inlineStr">
        <is>
          <t>CITIC Securities (Hong Kong) Limited; Guotai Junan Capital Limited</t>
        </is>
      </c>
      <c r="BV456" s="108" t="inlineStr">
        <is>
          <t>CITIC Securities (Hong Kong) Limited; Guotai Junan Capital Limited</t>
        </is>
      </c>
      <c r="BW456" s="108" t="inlineStr">
        <is>
          <t>CLSA Limited; Guotai Junan Securities (Hong Kong) Limited</t>
        </is>
      </c>
      <c r="BX456" s="108" t="inlineStr">
        <is>
          <t>CLSA Limited; Guotai Junan Securities (Hong Kong) Limited</t>
        </is>
      </c>
      <c r="BY456" s="127">
        <f>HYPERLINK("https://www1.hkexnews.hk/listedco/listconews/sehk/2026/0409/2026040900047.pdf","prospectus")</f>
        <v/>
      </c>
      <c r="BZ456" s="127">
        <f>HYPERLINK("https://www1.hkexnews.hk/listedco/listconews/sehk/2026/0416/2026041602158.pdf","allotment")</f>
        <v/>
      </c>
      <c r="CA456" s="127">
        <f>HYPERLINK("https://www1.hkexnews.hk/listedco/listconews/sehk/2026/0514/2026051400392.pdf","stabilisation")</f>
        <v/>
      </c>
      <c r="CB456" s="128" t="n"/>
      <c r="CC456" s="108" t="inlineStr">
        <is>
          <t>range low: maximum offer price only, no floor published</t>
        </is>
      </c>
    </row>
    <row r="457" ht="22" customHeight="1">
      <c r="A457" s="107" t="inlineStr">
        <is>
          <t>2476</t>
        </is>
      </c>
      <c r="B457" s="108" t="inlineStr">
        <is>
          <t>VGT</t>
        </is>
      </c>
      <c r="C457" s="108" t="inlineStr">
        <is>
          <t>勝宏科技</t>
        </is>
      </c>
      <c r="D457" s="108" t="inlineStr">
        <is>
          <t>Tech/AI</t>
        </is>
      </c>
      <c r="E457" s="108" t="inlineStr">
        <is>
          <t>Smart hardware / consumer electronics</t>
        </is>
      </c>
      <c r="F457" s="108" t="inlineStr">
        <is>
          <t>Printed Circuit Boards</t>
        </is>
      </c>
      <c r="G457" s="108" t="inlineStr">
        <is>
          <t>Standard</t>
        </is>
      </c>
      <c r="H457" s="109" t="n">
        <v>46133</v>
      </c>
      <c r="I457" s="110" t="n">
        <v>20117</v>
      </c>
      <c r="J457" s="108" t="inlineStr">
        <is>
          <t>gross (stated)</t>
        </is>
      </c>
      <c r="K457" s="129" t="n"/>
      <c r="L457" s="111" t="n">
        <v>209.88</v>
      </c>
      <c r="M457" s="111" t="n">
        <v>209.88</v>
      </c>
      <c r="N457" s="108" t="inlineStr">
        <is>
          <t>Y</t>
        </is>
      </c>
      <c r="O457" s="112" t="n">
        <v>100</v>
      </c>
      <c r="P457" s="118" t="n"/>
      <c r="Q457" s="113" t="n">
        <v>203202</v>
      </c>
      <c r="R457" s="108" t="inlineStr">
        <is>
          <t>derived:deal size / offer % of enlarged capital</t>
        </is>
      </c>
      <c r="S457" s="114" t="n">
        <v>431.15</v>
      </c>
      <c r="T457" s="115" t="n">
        <v>18.5</v>
      </c>
      <c r="U457" s="116" t="n">
        <v>33.7</v>
      </c>
      <c r="V457" s="134" t="n"/>
      <c r="W457" s="118" t="n"/>
      <c r="X457" s="108" t="inlineStr">
        <is>
          <t>NA</t>
        </is>
      </c>
      <c r="Y457" s="113" t="n">
        <v>13337.57</v>
      </c>
      <c r="Z457" s="113" t="n">
        <v>63548550</v>
      </c>
      <c r="AA457" s="112" t="n">
        <v>6.56</v>
      </c>
      <c r="AB457" s="108" t="inlineStr">
        <is>
          <t>Black Dragon AP SPV1; Bosera Asset Management (International) Co., Limited; CloudAlpha Capital Management Limited; Cloudview Capital Limited; CNCB (Hong Kong) Investment Limited; CPE Rosewood Investment Limited; Deliante Holdings Co., Ltd; Foresight Global Superior Choice SPC; Golden K2 Falcon Open-ended Fund Company; Greenwoods Asset Management Hong Kong Limited; HHLR Advisors, Ltd; HONG KONG MASON ELECTRONICS CO., LIMITED; HQ TELECOM SINGAPORE PTE. LTD; Huizhou Huilian Investment Partnership (Limited Partnership); Infore Funds Series 1 Open-ended Fund Company – Infore Global Equity Fund; Janchor Partners Pan-Asian Master Fund; Jump Trading Pacific Pte. Ltd; Mega Prime Development Limited; Metazone Link (HK) Limited; Mirae Asset Securities Co., Ltd; Morgan Stanley &amp; Co. International plc; Mr. Ye Guofu; MY Asian Opportunities Master Fund, L.P; New Alternative Limited; New Golden Future Limited; Ovata Capital Management Limited; Panjing Harbourview Investment Fund; Pinpoint Asset Management Limited; Poly Platinum Enterprises Limited; Ruihua (International) Investment Limited; SR Wealth Securities Limited; Sunshine Life Insurance Corporation Limited; Tanwan Inc; Tianhong Asset Management Co., Ltd; Tropical Terrain Limited; Wind Sabre Fund SPC; Yong Rong (HK) Asset Management Limited</t>
        </is>
      </c>
      <c r="AC457" s="108" t="inlineStr">
        <is>
          <t>black;bosera;cloudalpha;cloudview;cncb;cpe;deliante;foresight;golden-k2;greenwoods;hhlr;mason;hq;huizhou;infore;janchor;jump;mega;metazone;mirae;morgan;mr-ye;my;new-alternative;new-golden;ovata;panjing;pinpoint;poly;ruihua;sr;sunshine;tanwan;tianhong;tropical;wind;yong</t>
        </is>
      </c>
      <c r="AD457" s="112" t="n">
        <v>15</v>
      </c>
      <c r="AE457" s="108" t="inlineStr">
        <is>
          <t>full</t>
        </is>
      </c>
      <c r="AF457" s="108" t="inlineStr">
        <is>
          <t>2026-05-16</t>
        </is>
      </c>
      <c r="AG457" s="108" t="inlineStr">
        <is>
          <t>J.P. Morgan Securities</t>
        </is>
      </c>
      <c r="AH457" s="108" t="inlineStr">
        <is>
          <t>JP Morgan</t>
        </is>
      </c>
      <c r="AI457" s="120" t="n">
        <v>58.66</v>
      </c>
      <c r="AJ457" s="121" t="n">
        <v>50.09</v>
      </c>
      <c r="AK457" s="121" t="n">
        <v>0.12</v>
      </c>
      <c r="AL457" s="121" t="n">
        <v>57.23</v>
      </c>
      <c r="AM457" s="121" t="n">
        <v>-4.54</v>
      </c>
      <c r="AN457" s="122" t="n"/>
      <c r="AO457" s="112" t="n">
        <v>10.36</v>
      </c>
      <c r="AP457" s="121" t="n">
        <v>42.94</v>
      </c>
      <c r="AQ457" s="121" t="n">
        <v>64.95</v>
      </c>
      <c r="AR457" s="121" t="n">
        <v>9.59</v>
      </c>
      <c r="AS457" s="121" t="n">
        <v>-4.76</v>
      </c>
      <c r="AT457" s="121" t="n">
        <v>9.9</v>
      </c>
      <c r="AU457" s="121" t="n">
        <v>-26.98</v>
      </c>
      <c r="AV457" s="121" t="n">
        <v>47.47</v>
      </c>
      <c r="AW457" s="121" t="n">
        <v>70.65000000000001</v>
      </c>
      <c r="AX457" s="121" t="n">
        <v>16.46</v>
      </c>
      <c r="AY457" s="121" t="n">
        <v>15.71</v>
      </c>
      <c r="AZ457" s="121" t="n">
        <v>-5.7</v>
      </c>
      <c r="BA457" s="121" t="n">
        <v>-5.81</v>
      </c>
      <c r="BB457" s="108" t="inlineStr">
        <is>
          <t>HSTECH (Hang Seng TECH ETF)</t>
        </is>
      </c>
      <c r="BC457" s="121" t="n">
        <v>-7.04</v>
      </c>
      <c r="BD457" s="109" t="n">
        <v>46297</v>
      </c>
      <c r="BE457" s="110" t="n">
        <v>21221.5</v>
      </c>
      <c r="BF457" s="113" t="n">
        <v>1269.9</v>
      </c>
      <c r="BG457" s="108" t="inlineStr">
        <is>
          <t>Y</t>
        </is>
      </c>
      <c r="BH457" s="123" t="n">
        <v>160</v>
      </c>
      <c r="BI457" s="122" t="n"/>
      <c r="BJ457" s="122" t="n"/>
      <c r="BK457" s="123" t="n">
        <v>9.6</v>
      </c>
      <c r="BL457" s="124">
        <f>IF('BBG Verify'!S457="","not filed; run on terminal",'BBG Verify'!S457)</f>
        <v/>
      </c>
      <c r="BM457" s="125" t="inlineStr">
        <is>
          <t>Y</t>
        </is>
      </c>
      <c r="BN457" s="108" t="inlineStr">
        <is>
          <t>300476.SZ</t>
        </is>
      </c>
      <c r="BO457" s="121" t="n">
        <v>87.67</v>
      </c>
      <c r="BP457" s="111" t="n">
        <v>393.8878</v>
      </c>
      <c r="BQ457" s="135" t="n">
        <v>0.2614</v>
      </c>
      <c r="BR457" s="113" t="n">
        <v>241960.3</v>
      </c>
      <c r="BS457" s="124">
        <f>IF('BBG Verify'!Q457="","run on terminal",'BBG Verify'!Q457)</f>
        <v/>
      </c>
      <c r="BT457" s="124">
        <f>IF('BBG Verify'!R457="","run on terminal",'BBG Verify'!R457)</f>
        <v/>
      </c>
      <c r="BU457" s="125" t="inlineStr">
        <is>
          <t>J.P. Morgan Securities (Far East) Limited; China Securities (International) Corporate Finance Company Limited; GF Capital (Hong Kong) Limited</t>
        </is>
      </c>
      <c r="BV457" s="108" t="inlineStr">
        <is>
          <t>J.P. Morgan Securities (Far East) Limited; GF Capital (Hong Kong) Limited; China Securities (International) Corporate Finance Company Limited</t>
        </is>
      </c>
      <c r="BW457" s="108" t="inlineStr">
        <is>
          <t>J.P. Morgan Securities (Asia Pacific) Limited; China Securities (International) Corporate Finance Company Limited; GF Securities (Hong Kong) Brokerage Limited; China International Capital Corporation Hong Kong Securities Limited</t>
        </is>
      </c>
      <c r="BX457" s="108"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Y457" s="127">
        <f>HYPERLINK("https://www1.hkexnews.hk/listedco/listconews/sehk/2026/0413/2026041300005.pdf","prospectus")</f>
        <v/>
      </c>
      <c r="BZ457" s="127">
        <f>HYPERLINK("https://www1.hkexnews.hk/listedco/listconews/sehk/2026/0420/2026042001650.pdf","allotment")</f>
        <v/>
      </c>
      <c r="CA457" s="127">
        <f>HYPERLINK("https://www1.hkexnews.hk/listedco/listconews/sehk/2026/0518/2026051800452.pdf","stabilisation")</f>
        <v/>
      </c>
      <c r="CB457" s="128" t="n"/>
      <c r="CC457" s="108" t="inlineStr">
        <is>
          <t>range low: maximum offer price only, no floor published; A/H: Apr 2026, HK$20.1bn (~US$2.57bn); +60% debut; Nvidia AI-PCB supplier; allocation: allocation table not in this notice's format (older prose announcement); day-1 tape: volume on file; the retail multiple needs the final public split, which this notice does not state</t>
        </is>
      </c>
    </row>
    <row r="458" ht="22" customHeight="1">
      <c r="A458" s="107" t="inlineStr">
        <is>
          <t>3296</t>
        </is>
      </c>
      <c r="B458" s="108" t="inlineStr">
        <is>
          <t>HUAQIN</t>
        </is>
      </c>
      <c r="C458" s="108" t="inlineStr">
        <is>
          <t>華勤技術</t>
        </is>
      </c>
      <c r="D458" s="108" t="inlineStr">
        <is>
          <t>Tech/AI</t>
        </is>
      </c>
      <c r="E458" s="108" t="inlineStr">
        <is>
          <t>Smart hardware / consumer electronics</t>
        </is>
      </c>
      <c r="F458" s="108" t="inlineStr">
        <is>
          <t>Telecommunications &amp; Networking Equipment</t>
        </is>
      </c>
      <c r="G458" s="108" t="inlineStr">
        <is>
          <t>Standard</t>
        </is>
      </c>
      <c r="H458" s="109" t="n">
        <v>46135</v>
      </c>
      <c r="I458" s="110" t="n">
        <v>4549.2</v>
      </c>
      <c r="J458" s="108" t="inlineStr">
        <is>
          <t>gross (stated)</t>
        </is>
      </c>
      <c r="K458" s="129" t="n"/>
      <c r="L458" s="111" t="n">
        <v>77.7</v>
      </c>
      <c r="M458" s="111" t="n">
        <v>77.7</v>
      </c>
      <c r="N458" s="108" t="inlineStr">
        <is>
          <t>Y</t>
        </is>
      </c>
      <c r="O458" s="112" t="n">
        <v>100</v>
      </c>
      <c r="P458" s="118" t="n"/>
      <c r="Q458" s="113" t="n">
        <v>83471.60000000001</v>
      </c>
      <c r="R458" s="108" t="inlineStr">
        <is>
          <t>derived:price x shares upon listing</t>
        </is>
      </c>
      <c r="S458" s="114" t="n">
        <v>531.33</v>
      </c>
      <c r="T458" s="115" t="n">
        <v>13.34</v>
      </c>
      <c r="U458" s="116" t="n">
        <v>49.96</v>
      </c>
      <c r="V458" s="117" t="n">
        <v>171</v>
      </c>
      <c r="W458" s="112" t="n">
        <v>10</v>
      </c>
      <c r="X458" s="108" t="inlineStr">
        <is>
          <t>NA</t>
        </is>
      </c>
      <c r="Y458" s="113" t="n">
        <v>2276.42</v>
      </c>
      <c r="Z458" s="113" t="n">
        <v>29297519</v>
      </c>
      <c r="AA458" s="112" t="n">
        <v>2.73</v>
      </c>
      <c r="AB458" s="108" t="inlineStr">
        <is>
          <t>JPMAMAPL; UBS AM Singapore; Shanghai Gaoyi and CICC FT (in connection with Gaoyi OTC Swaps); Perseverance Asset Management; Cloud Map; Taikang Life; 3W Fund; New China Asset Management; Everbright Wealth; IvyRock; Aurora SF (in connection with the Arrangement); OmniVision HK; Green Better Limited; Hongxing International; Ingenic Semiconductor HK; Awinic Technology Limited; JinYi Capital (acting for and on behalf of Structured Credit SP Fund)</t>
        </is>
      </c>
      <c r="AC458" s="108" t="inlineStr">
        <is>
          <t>jpmamapl;ubs;shanghai-gaoyi;perseverance;cloud;taikang;3w;new;everbright;ivyrock;aurora;omnivision;green;hongxing;ingenic;awinic;jinyi</t>
        </is>
      </c>
      <c r="AD458" s="112" t="n">
        <v>15</v>
      </c>
      <c r="AE458" s="108" t="inlineStr">
        <is>
          <t>full</t>
        </is>
      </c>
      <c r="AF458" s="108" t="inlineStr">
        <is>
          <t>2026-05-20</t>
        </is>
      </c>
      <c r="AG458" s="108" t="inlineStr">
        <is>
          <t>China International Capital Corporation Hong Kong Securities Limited</t>
        </is>
      </c>
      <c r="AH458" s="108" t="inlineStr">
        <is>
          <t>China International</t>
        </is>
      </c>
      <c r="AI458" s="120" t="n">
        <v>17.31</v>
      </c>
      <c r="AJ458" s="121" t="n">
        <v>13.26</v>
      </c>
      <c r="AK458" s="121" t="n">
        <v>-2.06</v>
      </c>
      <c r="AL458" s="121" t="n">
        <v>12.68</v>
      </c>
      <c r="AM458" s="121" t="n">
        <v>0.51</v>
      </c>
      <c r="AN458" s="123" t="n">
        <v>4.2</v>
      </c>
      <c r="AO458" s="112" t="n">
        <v>6.8</v>
      </c>
      <c r="AP458" s="121" t="n">
        <v>17.12</v>
      </c>
      <c r="AQ458" s="121" t="n">
        <v>52.16</v>
      </c>
      <c r="AR458" s="121" t="n">
        <v>21.17</v>
      </c>
      <c r="AS458" s="121" t="n">
        <v>3.41</v>
      </c>
      <c r="AT458" s="121" t="n">
        <v>34.35</v>
      </c>
      <c r="AU458" s="121" t="n">
        <v>6.98</v>
      </c>
      <c r="AV458" s="121" t="n">
        <v>18.81</v>
      </c>
      <c r="AW458" s="121" t="n">
        <v>52.53</v>
      </c>
      <c r="AX458" s="121" t="n">
        <v>26.15</v>
      </c>
      <c r="AY458" s="121" t="n">
        <v>32.63</v>
      </c>
      <c r="AZ458" s="121" t="n">
        <v>-0.37</v>
      </c>
      <c r="BA458" s="121" t="n">
        <v>1.72</v>
      </c>
      <c r="BB458" s="108" t="inlineStr">
        <is>
          <t>HSTECH (Hang Seng TECH ETF)</t>
        </is>
      </c>
      <c r="BC458" s="121" t="n">
        <v>19.01</v>
      </c>
      <c r="BD458" s="109" t="n">
        <v>46297</v>
      </c>
      <c r="BE458" s="110" t="n">
        <v>188580.6</v>
      </c>
      <c r="BF458" s="113" t="n">
        <v>4544.7</v>
      </c>
      <c r="BG458" s="108" t="inlineStr">
        <is>
          <t>Y</t>
        </is>
      </c>
      <c r="BH458" s="123" t="n">
        <v>18.4</v>
      </c>
      <c r="BI458" s="123" t="n">
        <v>19.2</v>
      </c>
      <c r="BJ458" s="123" t="n">
        <v>23.6</v>
      </c>
      <c r="BK458" s="123" t="n">
        <v>0.4</v>
      </c>
      <c r="BL458" s="124">
        <f>IF('BBG Verify'!S458="","not filed; run on terminal",'BBG Verify'!S458)</f>
        <v/>
      </c>
      <c r="BM458" s="125" t="inlineStr">
        <is>
          <t>Y</t>
        </is>
      </c>
      <c r="BN458" s="108" t="inlineStr">
        <is>
          <t>603296.SS</t>
        </is>
      </c>
      <c r="BO458" s="121" t="n">
        <v>55.23</v>
      </c>
      <c r="BP458" s="111" t="n">
        <v>120.6149</v>
      </c>
      <c r="BQ458" s="135" t="n">
        <v>0.3198</v>
      </c>
      <c r="BR458" s="113" t="n">
        <v>132183.7</v>
      </c>
      <c r="BS458" s="124">
        <f>IF('BBG Verify'!Q458="","run on terminal",'BBG Verify'!Q458)</f>
        <v/>
      </c>
      <c r="BT458" s="124">
        <f>IF('BBG Verify'!R458="","run on terminal",'BBG Verify'!R458)</f>
        <v/>
      </c>
      <c r="BU458" s="125" t="inlineStr">
        <is>
          <t>CICC; BofA Securities</t>
        </is>
      </c>
      <c r="BV458" s="108" t="inlineStr">
        <is>
          <t>China International Capital Corporation Hong Kong Securities Limited; Merrill Lynch (Asia Pacific) Limited</t>
        </is>
      </c>
      <c r="BW458" s="108" t="inlineStr">
        <is>
          <t>ABCI Capital Limited; Tiger Brokers (HK) Global Limited</t>
        </is>
      </c>
      <c r="BX458" s="108" t="inlineStr">
        <is>
          <t>ABCI Securities Company Limited; China International Capital Corporation Hong Kong Securities Limited; CLSA Limited; Futu Securities International (Hong Kong) Limited; Goldman Sachs (Asia) L.L.C.; Merrill Lynch (Asia Pacific) Limited; Tiger Brokers (HK) Global Limited</t>
        </is>
      </c>
      <c r="BY458" s="127">
        <f>HYPERLINK("https://www1.hkexnews.hk/listedco/listconews/sehk/2026/0415/2026041500011.pdf","prospectus")</f>
        <v/>
      </c>
      <c r="BZ458" s="127">
        <f>HYPERLINK("https://www1.hkexnews.hk/listedco/listconews/sehk/2026/0422/2026042202072.pdf","allotment")</f>
        <v/>
      </c>
      <c r="CA458" s="127">
        <f>HYPERLINK("https://www1.hkexnews.hk/listedco/listconews/sehk/2026/0520/2026052001304.pdf","stabilisation")</f>
        <v/>
      </c>
      <c r="CB458" s="128" t="n"/>
      <c r="CC458" s="108" t="inlineStr">
        <is>
          <t>range low: maximum offer price only, no floor published; A/H: Apr 2026 H listing (smart-hardware ODM)</t>
        </is>
      </c>
    </row>
    <row r="459" ht="22" customHeight="1">
      <c r="A459" s="107" t="inlineStr">
        <is>
          <t>2493</t>
        </is>
      </c>
      <c r="B459" s="108" t="inlineStr">
        <is>
          <t>MABWELL-B</t>
        </is>
      </c>
      <c r="C459" s="108" t="inlineStr">
        <is>
          <t>邁威生物－Ｂ</t>
        </is>
      </c>
      <c r="D459" s="108" t="inlineStr">
        <is>
          <t>Healthcare</t>
        </is>
      </c>
      <c r="E459" s="108" t="inlineStr">
        <is>
          <t>Biotech pre-revenue (18A)</t>
        </is>
      </c>
      <c r="F459" s="108" t="inlineStr">
        <is>
          <t>Biotechnology - Pharmaceuticals</t>
        </is>
      </c>
      <c r="G459" s="108" t="inlineStr">
        <is>
          <t>18A</t>
        </is>
      </c>
      <c r="H459" s="109" t="n">
        <v>46140</v>
      </c>
      <c r="I459" s="110" t="n">
        <v>1302.7</v>
      </c>
      <c r="J459" s="108" t="inlineStr">
        <is>
          <t>gross (price x shares)</t>
        </is>
      </c>
      <c r="K459" s="111" t="n">
        <v>27.64</v>
      </c>
      <c r="L459" s="111" t="n">
        <v>30.71</v>
      </c>
      <c r="M459" s="111" t="n">
        <v>27.64</v>
      </c>
      <c r="N459" s="108" t="inlineStr">
        <is>
          <t>N</t>
        </is>
      </c>
      <c r="O459" s="112" t="n">
        <v>90</v>
      </c>
      <c r="P459" s="112" t="n">
        <v>0</v>
      </c>
      <c r="Q459" s="113" t="n">
        <v>12347.6</v>
      </c>
      <c r="R459" s="108" t="inlineStr">
        <is>
          <t>derived:price x shares upon listing</t>
        </is>
      </c>
      <c r="S459" s="114" t="n">
        <v>481.71</v>
      </c>
      <c r="T459" s="115" t="n">
        <v>3.46</v>
      </c>
      <c r="U459" s="116" t="n">
        <v>31.87</v>
      </c>
      <c r="V459" s="117" t="n">
        <v>82</v>
      </c>
      <c r="W459" s="112" t="n">
        <v>10</v>
      </c>
      <c r="X459" s="108" t="inlineStr">
        <is>
          <t>NO</t>
        </is>
      </c>
      <c r="Y459" s="113" t="n">
        <v>887.53</v>
      </c>
      <c r="Z459" s="113" t="n">
        <v>32109805</v>
      </c>
      <c r="AA459" s="112" t="n">
        <v>7.19</v>
      </c>
      <c r="AB459" s="108" t="inlineStr">
        <is>
          <t>Junshi Hong Kong Limited; Sanjin International CO., LTD; Guohui (HK) Holdings Co., Limited 控股有限公司; CHIL; WuXi Biologics HealthCare Venture; Splendid Zhonghe (Tianjin) Investment Management Co., Ltd. 投資管理有限公 司</t>
        </is>
      </c>
      <c r="AC459" s="108" t="inlineStr">
        <is>
          <t>junshi;sanjin;guohui;chil;wuxi;splendid</t>
        </is>
      </c>
      <c r="AD459" s="118" t="n"/>
      <c r="AE459" s="119" t="n"/>
      <c r="AF459" s="119" t="n"/>
      <c r="AG459" s="119" t="n"/>
      <c r="AH459" s="119" t="n"/>
      <c r="AI459" s="120" t="n">
        <v>3.11</v>
      </c>
      <c r="AJ459" s="121" t="n">
        <v>0.58</v>
      </c>
      <c r="AK459" s="121" t="n">
        <v>0.78</v>
      </c>
      <c r="AL459" s="121" t="n">
        <v>2.39</v>
      </c>
      <c r="AM459" s="121" t="n">
        <v>-1.77</v>
      </c>
      <c r="AN459" s="123" t="n">
        <v>3.18</v>
      </c>
      <c r="AO459" s="112" t="n">
        <v>12.23</v>
      </c>
      <c r="AP459" s="121" t="n">
        <v>-2.03</v>
      </c>
      <c r="AQ459" s="121" t="n">
        <v>-17.58</v>
      </c>
      <c r="AR459" s="121" t="n">
        <v>-24.17</v>
      </c>
      <c r="AS459" s="121" t="n">
        <v>-2.59</v>
      </c>
      <c r="AT459" s="121" t="n">
        <v>-18.06</v>
      </c>
      <c r="AU459" s="121" t="n">
        <v>-24.61</v>
      </c>
      <c r="AV459" s="121" t="n">
        <v>-2.78</v>
      </c>
      <c r="AW459" s="121" t="n">
        <v>-11.23</v>
      </c>
      <c r="AX459" s="121" t="n">
        <v>-23.18</v>
      </c>
      <c r="AY459" s="121" t="n">
        <v>-10.98</v>
      </c>
      <c r="AZ459" s="121" t="n">
        <v>-6.35</v>
      </c>
      <c r="BA459" s="121" t="n">
        <v>-7.08</v>
      </c>
      <c r="BB459" s="108" t="inlineStr">
        <is>
          <t>China Biotech ETF (HS biotech proxy)</t>
        </is>
      </c>
      <c r="BC459" s="121" t="n">
        <v>-24.46</v>
      </c>
      <c r="BD459" s="109" t="n">
        <v>46297</v>
      </c>
      <c r="BE459" s="110" t="n">
        <v>724.6</v>
      </c>
      <c r="BF459" s="113" t="n">
        <v>-1069.5</v>
      </c>
      <c r="BG459" s="108" t="inlineStr">
        <is>
          <t>N</t>
        </is>
      </c>
      <c r="BH459" s="108" t="inlineStr">
        <is>
          <t>n/m</t>
        </is>
      </c>
      <c r="BI459" s="122" t="n"/>
      <c r="BJ459" s="122" t="n"/>
      <c r="BK459" s="123" t="n">
        <v>17</v>
      </c>
      <c r="BL459" s="124">
        <f>IF('BBG Verify'!S459="","not filed; run on terminal",'BBG Verify'!S459)</f>
        <v/>
      </c>
      <c r="BM459" s="125" t="inlineStr">
        <is>
          <t>Y</t>
        </is>
      </c>
      <c r="BN459" s="108" t="inlineStr">
        <is>
          <t>688062.SS</t>
        </is>
      </c>
      <c r="BO459" s="121" t="n">
        <v>53.53</v>
      </c>
      <c r="BP459" s="111" t="n">
        <v>42.4365</v>
      </c>
      <c r="BQ459" s="135" t="n">
        <v>0.5154</v>
      </c>
      <c r="BR459" s="113" t="n">
        <v>14142.1</v>
      </c>
      <c r="BS459" s="124">
        <f>IF('BBG Verify'!Q459="","run on terminal",'BBG Verify'!Q459)</f>
        <v/>
      </c>
      <c r="BT459" s="124">
        <f>IF('BBG Verify'!R459="","run on terminal",'BBG Verify'!R459)</f>
        <v/>
      </c>
      <c r="BU459" s="125" t="inlineStr">
        <is>
          <t>CITIC Securities (Hong Kong) Limited; Haitong International Capital Limited</t>
        </is>
      </c>
      <c r="BV459" s="108" t="inlineStr">
        <is>
          <t>Haitong International Capital Limited; CITIC Securities (Hong Kong) Limited</t>
        </is>
      </c>
      <c r="BW459" s="108" t="inlineStr">
        <is>
          <t>CLSA Limited; Haitong International Securities Company Limited; CMB International Capital Limited; ABCI Capital Limited</t>
        </is>
      </c>
      <c r="BX459" s="108" t="inlineStr">
        <is>
          <t>ABCI Securities Company Limited; Bowlea Securities Limited; CCB International Capital Limited; China Industrial Securities International Capital Limited; CLSA Limited; CMB International Capital Limited; Futu Securities International (Hong Kong) Limited; Guosen Securities (HK) Brokerage Company, Limited; Haitong International Securities Company Limited</t>
        </is>
      </c>
      <c r="BY459" s="127">
        <f>HYPERLINK("https://www1.hkexnews.hk/listedco/listconews/sehk/2026/0420/2026042000011.pdf","prospectus")</f>
        <v/>
      </c>
      <c r="BZ459" s="127">
        <f>HYPERLINK("https://www1.hkexnews.hk/listedco/listconews/sehk/2026/0427/2026042703128.pdf","allotment")</f>
        <v/>
      </c>
      <c r="CA459" s="119" t="n"/>
      <c r="CB459" s="128" t="n"/>
      <c r="CC459" s="108" t="inlineStr">
        <is>
          <t>P/E: loss-making at IPO, use P/S; greenshoe: no over-allotment option; A/H: Apr 2026 H listing (ADC biotech); A+H on STAR; greenshoe size: no over-allotment option; stabilising manager: no over-allotment option, so none appointed</t>
        </is>
      </c>
    </row>
    <row r="460" ht="22" customHeight="1">
      <c r="A460" s="107" t="inlineStr">
        <is>
          <t>1879</t>
        </is>
      </c>
      <c r="B460" s="108" t="inlineStr">
        <is>
          <t>XIZHI TECH-P</t>
        </is>
      </c>
      <c r="C460" s="108" t="inlineStr">
        <is>
          <t>曦智科技－Ｐ</t>
        </is>
      </c>
      <c r="D460" s="108" t="inlineStr">
        <is>
          <t>Tech/AI</t>
        </is>
      </c>
      <c r="E460" s="108" t="inlineStr">
        <is>
          <t>AI application / agent software</t>
        </is>
      </c>
      <c r="F460" s="108" t="inlineStr">
        <is>
          <t>Advanced hardware and software</t>
        </is>
      </c>
      <c r="G460" s="108" t="inlineStr">
        <is>
          <t>18C</t>
        </is>
      </c>
      <c r="H460" s="109" t="n">
        <v>46140</v>
      </c>
      <c r="I460" s="110" t="n">
        <v>2527.3</v>
      </c>
      <c r="J460" s="108" t="inlineStr">
        <is>
          <t>gross (stated)</t>
        </is>
      </c>
      <c r="K460" s="111" t="n">
        <v>166.6</v>
      </c>
      <c r="L460" s="111" t="n">
        <v>183.2</v>
      </c>
      <c r="M460" s="111" t="n">
        <v>183.2</v>
      </c>
      <c r="N460" s="108" t="inlineStr">
        <is>
          <t>Y</t>
        </is>
      </c>
      <c r="O460" s="112" t="n">
        <v>100</v>
      </c>
      <c r="P460" s="112" t="n">
        <v>100</v>
      </c>
      <c r="Q460" s="113" t="n">
        <v>14981</v>
      </c>
      <c r="R460" s="108" t="inlineStr">
        <is>
          <t>derived:deal size / offer % of enlarged capital</t>
        </is>
      </c>
      <c r="S460" s="114" t="n">
        <v>5784.7</v>
      </c>
      <c r="T460" s="115" t="n">
        <v>53.83</v>
      </c>
      <c r="U460" s="116" t="n">
        <v>65.06</v>
      </c>
      <c r="V460" s="117" t="n">
        <v>327</v>
      </c>
      <c r="W460" s="112" t="n">
        <v>20</v>
      </c>
      <c r="X460" s="108" t="inlineStr">
        <is>
          <t>YES</t>
        </is>
      </c>
      <c r="Y460" s="113" t="n">
        <v>883.04</v>
      </c>
      <c r="Z460" s="113" t="n">
        <v>4820048</v>
      </c>
      <c r="AA460" s="112" t="n">
        <v>5.89</v>
      </c>
      <c r="AB460" s="108" t="inlineStr">
        <is>
          <t>Alibaba Investment; Baillie Gifford; BlackRock; Fidelity International; Schroders; Temasek; CM Shanghai Fund; HHLRA FUNDS; UBS AM; 3W Fund; Aspex; CPE Fir; Greenwoods Yes — Shanghai Greenwoods and CICC FT (in connection with Greenwoods OTC Swaps) GF Fund; Lenovo; Mirae Asset Securities Co., Ltd; ZTE (H.K.) LIMITED; ICBC Wealth; Ping An AM</t>
        </is>
      </c>
      <c r="AC460" s="108" t="inlineStr">
        <is>
          <t>alibaba;baillie;blackrock;fidelity;schroders;temasek;cm;hhlra;ubs;3w;aspex;cpe;greenwoods;lenovo;mirae;zte;icbc;ping</t>
        </is>
      </c>
      <c r="AD460" s="112" t="n">
        <v>15</v>
      </c>
      <c r="AE460" s="108" t="inlineStr">
        <is>
          <t>full</t>
        </is>
      </c>
      <c r="AF460" s="108" t="inlineStr">
        <is>
          <t>2026-05-23</t>
        </is>
      </c>
      <c r="AG460" s="108" t="inlineStr">
        <is>
          <t>China International Capital Corporation Hong Kong Securities Limited</t>
        </is>
      </c>
      <c r="AH460" s="108" t="inlineStr">
        <is>
          <t>China International</t>
        </is>
      </c>
      <c r="AI460" s="120" t="n">
        <v>350.87</v>
      </c>
      <c r="AJ460" s="121" t="n">
        <v>383.62</v>
      </c>
      <c r="AK460" s="121" t="n">
        <v>-2.15</v>
      </c>
      <c r="AL460" s="121" t="n">
        <v>380.35</v>
      </c>
      <c r="AM460" s="121" t="n">
        <v>0.68</v>
      </c>
      <c r="AN460" s="123" t="n">
        <v>3.36</v>
      </c>
      <c r="AO460" s="112" t="n">
        <v>21.48</v>
      </c>
      <c r="AP460" s="121" t="n">
        <v>384.99</v>
      </c>
      <c r="AQ460" s="121" t="n">
        <v>236.24</v>
      </c>
      <c r="AR460" s="121" t="n">
        <v>27.29</v>
      </c>
      <c r="AS460" s="121" t="n">
        <v>0.28</v>
      </c>
      <c r="AT460" s="121" t="n">
        <v>-30.47</v>
      </c>
      <c r="AU460" s="121" t="n">
        <v>-73.68000000000001</v>
      </c>
      <c r="AV460" s="121" t="n">
        <v>384.16</v>
      </c>
      <c r="AW460" s="121" t="n">
        <v>237.19</v>
      </c>
      <c r="AX460" s="121" t="n">
        <v>29.61</v>
      </c>
      <c r="AY460" s="121" t="n">
        <v>-31.7</v>
      </c>
      <c r="AZ460" s="121" t="n">
        <v>-0.95</v>
      </c>
      <c r="BA460" s="121" t="n">
        <v>1.23</v>
      </c>
      <c r="BB460" s="108" t="inlineStr">
        <is>
          <t>HSTECH (Hang Seng TECH ETF)</t>
        </is>
      </c>
      <c r="BC460" s="121" t="n">
        <v>52.84</v>
      </c>
      <c r="BD460" s="109" t="n">
        <v>46297</v>
      </c>
      <c r="BE460" s="110" t="n">
        <v>117</v>
      </c>
      <c r="BF460" s="113" t="n">
        <v>-808.8</v>
      </c>
      <c r="BG460" s="108" t="inlineStr">
        <is>
          <t>N</t>
        </is>
      </c>
      <c r="BH460" s="108" t="inlineStr">
        <is>
          <t>n/m</t>
        </is>
      </c>
      <c r="BI460" s="122" t="n"/>
      <c r="BJ460" s="122" t="n"/>
      <c r="BK460" s="123" t="n">
        <v>128</v>
      </c>
      <c r="BL460" s="124">
        <f>IF('BBG Verify'!S460="","not filed; run on terminal",'BBG Verify'!S460)</f>
        <v/>
      </c>
      <c r="BM460" s="125" t="inlineStr">
        <is>
          <t>N</t>
        </is>
      </c>
      <c r="BN460" s="126">
        <f>IF('BBG Verify'!K460="","not filed; run on terminal",'BBG Verify'!K460)</f>
        <v/>
      </c>
      <c r="BO460" s="108" t="inlineStr">
        <is>
          <t>N/A</t>
        </is>
      </c>
      <c r="BP460" s="108" t="inlineStr">
        <is>
          <t>N/A</t>
        </is>
      </c>
      <c r="BQ460" s="108" t="inlineStr">
        <is>
          <t>N/A</t>
        </is>
      </c>
      <c r="BR460" s="108" t="inlineStr">
        <is>
          <t>N/A</t>
        </is>
      </c>
      <c r="BS460" s="108" t="inlineStr">
        <is>
          <t>N/A</t>
        </is>
      </c>
      <c r="BT460" s="108" t="inlineStr">
        <is>
          <t>N/A</t>
        </is>
      </c>
      <c r="BU460" s="125" t="inlineStr">
        <is>
          <t>China International Capital Corporation Hong Kong Securities Limited; Haitong International Capital Limited</t>
        </is>
      </c>
      <c r="BV460" s="108" t="inlineStr">
        <is>
          <t>China International Capital Corporation Hong Kong Securities Limited; Haitong International Capital Limited</t>
        </is>
      </c>
      <c r="BW460" s="108" t="inlineStr">
        <is>
          <t>China International Capital Corporation Hong Kong Securities Limited; Haitong International Securities Company Limited; The Hongkong and Shanghai Banking Corporation Limited; Futu Securities International (Hong Kong) Limited; Shenwan Hongyuan Securities (H.K.) Limited</t>
        </is>
      </c>
      <c r="BX460" s="108"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Y460" s="127">
        <f>HYPERLINK("https://www1.hkexnews.hk/listedco/listconews/sehk/2026/0420/2026042000021.pdf","prospectus")</f>
        <v/>
      </c>
      <c r="BZ460" s="127">
        <f>HYPERLINK("https://www1.hkexnews.hk/listedco/listconews/sehk/2026/0427/2026042703526.pdf","allotment")</f>
        <v/>
      </c>
      <c r="CA460" s="127">
        <f>HYPERLINK("https://www1.hkexnews.hk/listedco/listconews/sehk/2026/0525/2026052500077.pdf","stabilisation")</f>
        <v/>
      </c>
      <c r="CB460" s="128" t="n"/>
      <c r="CC460" s="108" t="inlineStr">
        <is>
          <t>P/E: loss-making at IPO, use P/S; market cap: prospectus 'market capitalisation' line is the listing-rule threshold, not the issuer's figure; rejected</t>
        </is>
      </c>
    </row>
    <row r="461" ht="22" customHeight="1">
      <c r="A461" s="107" t="inlineStr">
        <is>
          <t>6810</t>
        </is>
      </c>
      <c r="B461" s="108" t="inlineStr">
        <is>
          <t>SUNMI TECH-W</t>
        </is>
      </c>
      <c r="C461" s="108" t="inlineStr">
        <is>
          <t>商米科技－Ｗ</t>
        </is>
      </c>
      <c r="D461" s="108" t="inlineStr">
        <is>
          <t>Tech/AI</t>
        </is>
      </c>
      <c r="E461" s="108" t="inlineStr">
        <is>
          <t>Smart hardware / consumer electronics</t>
        </is>
      </c>
      <c r="F461" s="108" t="inlineStr">
        <is>
          <t>Computer Storage &amp; Peripherals</t>
        </is>
      </c>
      <c r="G461" s="108" t="inlineStr">
        <is>
          <t>WVR</t>
        </is>
      </c>
      <c r="H461" s="109" t="n">
        <v>46141</v>
      </c>
      <c r="I461" s="110" t="n">
        <v>1059.7</v>
      </c>
      <c r="J461" s="108" t="inlineStr">
        <is>
          <t>gross (stated)</t>
        </is>
      </c>
      <c r="K461" s="129" t="n"/>
      <c r="L461" s="111" t="n">
        <v>24.86</v>
      </c>
      <c r="M461" s="111" t="n">
        <v>24.86</v>
      </c>
      <c r="N461" s="108" t="inlineStr">
        <is>
          <t>Y</t>
        </is>
      </c>
      <c r="O461" s="112" t="n">
        <v>100</v>
      </c>
      <c r="P461" s="118" t="n"/>
      <c r="Q461" s="113" t="n">
        <v>10009.3</v>
      </c>
      <c r="R461" s="108" t="inlineStr">
        <is>
          <t>derived:price x shares upon listing</t>
        </is>
      </c>
      <c r="S461" s="114" t="n">
        <v>2003.16</v>
      </c>
      <c r="T461" s="115" t="n">
        <v>7.91</v>
      </c>
      <c r="U461" s="116" t="n">
        <v>27.03</v>
      </c>
      <c r="V461" s="117" t="n">
        <v>181</v>
      </c>
      <c r="W461" s="112" t="n">
        <v>10</v>
      </c>
      <c r="X461" s="108" t="inlineStr">
        <is>
          <t>NA</t>
        </is>
      </c>
      <c r="Y461" s="113" t="n">
        <v>773.26</v>
      </c>
      <c r="Z461" s="113" t="n">
        <v>31104776</v>
      </c>
      <c r="AA461" s="112" t="n">
        <v>7.73</v>
      </c>
      <c r="AB461" s="108" t="inlineStr">
        <is>
          <t>China Orient Enhanced Income Fund; XINWUTANG CO., LIMITED</t>
        </is>
      </c>
      <c r="AC461" s="108" t="inlineStr">
        <is>
          <t>orient;xinwutang</t>
        </is>
      </c>
      <c r="AD461" s="112" t="n">
        <v>15</v>
      </c>
      <c r="AE461" s="119" t="n"/>
      <c r="AF461" s="119" t="n"/>
      <c r="AG461" s="119" t="n"/>
      <c r="AH461" s="119" t="n"/>
      <c r="AI461" s="120" t="n">
        <v>282.14</v>
      </c>
      <c r="AJ461" s="121" t="n">
        <v>241.11</v>
      </c>
      <c r="AK461" s="121" t="n">
        <v>1.78</v>
      </c>
      <c r="AL461" s="121" t="n">
        <v>292.2</v>
      </c>
      <c r="AM461" s="121" t="n">
        <v>-13.03</v>
      </c>
      <c r="AN461" s="123" t="n">
        <v>2.76</v>
      </c>
      <c r="AO461" s="112" t="n">
        <v>19.64</v>
      </c>
      <c r="AP461" s="121" t="n">
        <v>216.57</v>
      </c>
      <c r="AQ461" s="121" t="n">
        <v>201.49</v>
      </c>
      <c r="AR461" s="121" t="n">
        <v>136.73</v>
      </c>
      <c r="AS461" s="121" t="n">
        <v>-7.19</v>
      </c>
      <c r="AT461" s="121" t="n">
        <v>-11.62</v>
      </c>
      <c r="AU461" s="121" t="n">
        <v>-30.6</v>
      </c>
      <c r="AV461" s="121" t="n">
        <v>210.56</v>
      </c>
      <c r="AW461" s="121" t="n">
        <v>198.53</v>
      </c>
      <c r="AX461" s="121" t="n">
        <v>136.65</v>
      </c>
      <c r="AY461" s="121" t="n">
        <v>-12.78</v>
      </c>
      <c r="AZ461" s="121" t="n">
        <v>2.96</v>
      </c>
      <c r="BA461" s="121" t="n">
        <v>1.16</v>
      </c>
      <c r="BB461" s="108" t="inlineStr">
        <is>
          <t>HSTECH (Hang Seng TECH ETF)</t>
        </is>
      </c>
      <c r="BC461" s="121" t="n">
        <v>93.56</v>
      </c>
      <c r="BD461" s="109" t="n">
        <v>46297</v>
      </c>
      <c r="BE461" s="110" t="n">
        <v>4193</v>
      </c>
      <c r="BF461" s="113" t="n">
        <v>244.9</v>
      </c>
      <c r="BG461" s="108" t="inlineStr">
        <is>
          <t>Y</t>
        </is>
      </c>
      <c r="BH461" s="123" t="n">
        <v>40.9</v>
      </c>
      <c r="BI461" s="122" t="n"/>
      <c r="BJ461" s="122" t="n"/>
      <c r="BK461" s="123" t="n">
        <v>2.4</v>
      </c>
      <c r="BL461" s="124">
        <f>IF('BBG Verify'!S461="","not filed; run on terminal",'BBG Verify'!S461)</f>
        <v/>
      </c>
      <c r="BM461" s="125" t="inlineStr">
        <is>
          <t>N</t>
        </is>
      </c>
      <c r="BN461" s="126">
        <f>IF('BBG Verify'!K461="","not filed; run on terminal",'BBG Verify'!K461)</f>
        <v/>
      </c>
      <c r="BO461" s="108" t="inlineStr">
        <is>
          <t>N/A</t>
        </is>
      </c>
      <c r="BP461" s="108" t="inlineStr">
        <is>
          <t>N/A</t>
        </is>
      </c>
      <c r="BQ461" s="108" t="inlineStr">
        <is>
          <t>N/A</t>
        </is>
      </c>
      <c r="BR461" s="108" t="inlineStr">
        <is>
          <t>N/A</t>
        </is>
      </c>
      <c r="BS461" s="108" t="inlineStr">
        <is>
          <t>N/A</t>
        </is>
      </c>
      <c r="BT461" s="108" t="inlineStr">
        <is>
          <t>N/A</t>
        </is>
      </c>
      <c r="BU461" s="125" t="inlineStr">
        <is>
          <t>Deutsche Securities Asia Limited; CITIC Securities (Hong Kong) Limited; ABCI Capital Limited</t>
        </is>
      </c>
      <c r="BV461" s="108" t="inlineStr">
        <is>
          <t>CITIC Securities (Hong Kong) Limited; Deutsche Securities Asia Limited; ABCI Capital Limited</t>
        </is>
      </c>
      <c r="BW461" s="108" t="inlineStr">
        <is>
          <t>Deutsche Bank AG, Hong Kong Branch; CLSA Limited; ABCI Capital Limited; CMB International Capital Limited; Shenwan Hongyuan Securities (H.K.) Limited; Yue Xiu Securities Company Limited; Tiger Brokers (HK) Global Limited; Futu Securities International (Hong Kong) Limited; Tianda Securities Limited; Webull Securities Limited; Yuen Meta (International) Securities Limited; West Bull Securities Limited</t>
        </is>
      </c>
      <c r="BX461" s="108" t="inlineStr">
        <is>
          <t>ABCI Securities Company Limited; CLSA Limited; CMB International Capital Limited; Deutsche Bank AG, Hong Kong Branch; Futu Securities International (Hong Kong) Limited; Livermore Holdings Limited; Shenwan Hongyuan Securities (H.K.) Limited; Tiger Brokers (HK) Global Limited; Tianda Securities Limited; West Bull Securities Limited; Webull Securities Limited; Yuen Meta (International) Securities Limited</t>
        </is>
      </c>
      <c r="BY461" s="127">
        <f>HYPERLINK("https://www1.hkexnews.hk/listedco/listconews/sehk/2026/0421/2026042100017.pdf","prospectus")</f>
        <v/>
      </c>
      <c r="BZ461" s="127">
        <f>HYPERLINK("https://www1.hkexnews.hk/listedco/listconews/sehk/2026/0428/2026042804737.pdf","allotment")</f>
        <v/>
      </c>
      <c r="CA461" s="119" t="n"/>
      <c r="CB461" s="128" t="n"/>
      <c r="CC461" s="108" t="inlineStr">
        <is>
          <t>greenshoe: end-of-stabilisation notice not found; range low: maximum offer price only, no floor published; stabilising manager: filing states none appointed (allotment announcement: 'no stabilizing manager will be appointed' stated in the filing)</t>
        </is>
      </c>
    </row>
    <row r="462" ht="22" customHeight="1">
      <c r="A462" s="107" t="inlineStr">
        <is>
          <t>1609</t>
        </is>
      </c>
      <c r="B462" s="108" t="inlineStr">
        <is>
          <t>STAR SPORTS MED</t>
        </is>
      </c>
      <c r="C462" s="108" t="inlineStr">
        <is>
          <t>天星醫療</t>
        </is>
      </c>
      <c r="D462" s="108" t="inlineStr">
        <is>
          <t>Healthcare</t>
        </is>
      </c>
      <c r="E462" s="108" t="inlineStr">
        <is>
          <t>Medical devices</t>
        </is>
      </c>
      <c r="F462" s="108" t="inlineStr">
        <is>
          <t>Health Care Equipment</t>
        </is>
      </c>
      <c r="G462" s="108" t="inlineStr">
        <is>
          <t>Standard</t>
        </is>
      </c>
      <c r="H462" s="109" t="n">
        <v>46147</v>
      </c>
      <c r="I462" s="110" t="n">
        <v>829.6</v>
      </c>
      <c r="J462" s="108" t="inlineStr">
        <is>
          <t>gross (stated)</t>
        </is>
      </c>
      <c r="K462" s="129" t="n"/>
      <c r="L462" s="111" t="n">
        <v>98.5</v>
      </c>
      <c r="M462" s="111" t="n">
        <v>98.5</v>
      </c>
      <c r="N462" s="108" t="inlineStr">
        <is>
          <t>Y</t>
        </is>
      </c>
      <c r="O462" s="112" t="n">
        <v>100</v>
      </c>
      <c r="P462" s="118" t="n"/>
      <c r="Q462" s="113" t="n">
        <v>5400.9</v>
      </c>
      <c r="R462" s="108" t="inlineStr">
        <is>
          <t>derived:price x shares upon listing</t>
        </is>
      </c>
      <c r="S462" s="114" t="n">
        <v>7823.13</v>
      </c>
      <c r="T462" s="115" t="n">
        <v>10.41</v>
      </c>
      <c r="U462" s="116" t="n">
        <v>34.7</v>
      </c>
      <c r="V462" s="117" t="n">
        <v>71</v>
      </c>
      <c r="W462" s="112" t="n">
        <v>10</v>
      </c>
      <c r="X462" s="108" t="inlineStr">
        <is>
          <t>NA</t>
        </is>
      </c>
      <c r="Y462" s="113" t="n">
        <v>541.73</v>
      </c>
      <c r="Z462" s="113" t="n">
        <v>5499468</v>
      </c>
      <c r="AA462" s="112" t="n">
        <v>10.03</v>
      </c>
      <c r="AB462" s="108" t="inlineStr">
        <is>
          <t>JSC International Investment Fund SPC for and on behalf of JSC International Investment Fund SPC-Shenghai SP; OAP IV (HK) Limited ʮ̡ ); Greater Bay Area Development Fund Management Limited for and on behalf of the M a n a g e dA c c o u n to fM e g a Prime Development Limited; GBAD Fund Management for and on behalf of the Managed Account of Poly Platinum Enterprises Limited</t>
        </is>
      </c>
      <c r="AC462" s="108" t="inlineStr">
        <is>
          <t>jsc;oap;greater;gbad</t>
        </is>
      </c>
      <c r="AD462" s="118" t="n"/>
      <c r="AE462" s="119" t="n"/>
      <c r="AF462" s="119" t="n"/>
      <c r="AG462" s="119" t="n"/>
      <c r="AH462" s="119" t="n"/>
      <c r="AI462" s="120" t="n">
        <v>213.91</v>
      </c>
      <c r="AJ462" s="121" t="n">
        <v>118.27</v>
      </c>
      <c r="AK462" s="121" t="n">
        <v>-0.52</v>
      </c>
      <c r="AL462" s="121" t="n">
        <v>192.39</v>
      </c>
      <c r="AM462" s="121" t="n">
        <v>-25.35</v>
      </c>
      <c r="AN462" s="123" t="n">
        <v>3.85</v>
      </c>
      <c r="AO462" s="112" t="n">
        <v>33.68</v>
      </c>
      <c r="AP462" s="121" t="n">
        <v>102.44</v>
      </c>
      <c r="AQ462" s="121" t="n">
        <v>94.31</v>
      </c>
      <c r="AR462" s="121" t="n">
        <v>26.4</v>
      </c>
      <c r="AS462" s="121" t="n">
        <v>-7.25</v>
      </c>
      <c r="AT462" s="121" t="n">
        <v>-10.98</v>
      </c>
      <c r="AU462" s="121" t="n">
        <v>-42.09</v>
      </c>
      <c r="AV462" s="121" t="n">
        <v>102.24</v>
      </c>
      <c r="AW462" s="121" t="n">
        <v>108.17</v>
      </c>
      <c r="AX462" s="121" t="n">
        <v>25.77</v>
      </c>
      <c r="AY462" s="121" t="n">
        <v>2.43</v>
      </c>
      <c r="AZ462" s="121" t="n">
        <v>-13.86</v>
      </c>
      <c r="BA462" s="121" t="n">
        <v>-13.41</v>
      </c>
      <c r="BB462" s="108" t="inlineStr">
        <is>
          <t>China Biotech ETF (HS biotech proxy)</t>
        </is>
      </c>
      <c r="BC462" s="121" t="n">
        <v>-18.98</v>
      </c>
      <c r="BD462" s="109" t="n">
        <v>46297</v>
      </c>
      <c r="BE462" s="110" t="n">
        <v>443</v>
      </c>
      <c r="BF462" s="113" t="n">
        <v>150.7</v>
      </c>
      <c r="BG462" s="108" t="inlineStr">
        <is>
          <t>Y</t>
        </is>
      </c>
      <c r="BH462" s="123" t="n">
        <v>35.8</v>
      </c>
      <c r="BI462" s="122" t="n"/>
      <c r="BJ462" s="122" t="n"/>
      <c r="BK462" s="123" t="n">
        <v>12.2</v>
      </c>
      <c r="BL462" s="124">
        <f>IF('BBG Verify'!S462="","not filed; run on terminal",'BBG Verify'!S462)</f>
        <v/>
      </c>
      <c r="BM462" s="125" t="inlineStr">
        <is>
          <t>N</t>
        </is>
      </c>
      <c r="BN462" s="126">
        <f>IF('BBG Verify'!K462="","not filed; run on terminal",'BBG Verify'!K462)</f>
        <v/>
      </c>
      <c r="BO462" s="108" t="inlineStr">
        <is>
          <t>N/A</t>
        </is>
      </c>
      <c r="BP462" s="108" t="inlineStr">
        <is>
          <t>N/A</t>
        </is>
      </c>
      <c r="BQ462" s="108" t="inlineStr">
        <is>
          <t>N/A</t>
        </is>
      </c>
      <c r="BR462" s="108" t="inlineStr">
        <is>
          <t>N/A</t>
        </is>
      </c>
      <c r="BS462" s="108" t="inlineStr">
        <is>
          <t>N/A</t>
        </is>
      </c>
      <c r="BT462" s="108" t="inlineStr">
        <is>
          <t>N/A</t>
        </is>
      </c>
      <c r="BU462" s="125" t="inlineStr">
        <is>
          <t>CITIC Securities (Hong Kong) Limited; CCB International Capital Limited</t>
        </is>
      </c>
      <c r="BV462" s="108" t="inlineStr">
        <is>
          <t>CCB International Capital Limited; CITIC Securities (Hong Kong) Limited</t>
        </is>
      </c>
      <c r="BW462" s="108" t="inlineStr">
        <is>
          <t>CLSA Limited; CCB International Capital Limited; (Hong Kong) Co., Limited; CMBC Securities Company Limited; Open Securities Limited; Zheshang International Financial Holdings Co., Limited</t>
        </is>
      </c>
      <c r="BX462" s="108" t="inlineStr">
        <is>
          <t>CCB International Capital Limited; China Galaxy International Securities (Hong Kong) Company Limited; CLSA Limited; CMBC Securities Company Limited; Futu Securities International (Hong Kong) Limited; Open Securities Limited; Orient Securities (Hong Kong) Limited; Zheshang International Financial Holdings Co., Limited</t>
        </is>
      </c>
      <c r="BY462" s="127">
        <f>HYPERLINK("https://www1.hkexnews.hk/listedco/listconews/sehk/2026/0424/2026042400053.pdf","prospectus")</f>
        <v/>
      </c>
      <c r="BZ462" s="127">
        <f>HYPERLINK("https://www1.hkexnews.hk/listedco/listconews/sehk/2026/0504/2026050403728.pdf","allotment")</f>
        <v/>
      </c>
      <c r="CA462" s="119" t="n"/>
      <c r="CB462" s="128" t="n"/>
      <c r="CC462" s="108" t="inlineStr">
        <is>
          <t>greenshoe: no over-allotment option; range low: maximum offer price only, no floor published; greenshoe size: no over-allotment option; stabilising manager: no over-allotment option, so none appointed</t>
        </is>
      </c>
    </row>
    <row r="463" ht="22" customHeight="1">
      <c r="A463" s="107" t="inlineStr">
        <is>
          <t>1187</t>
        </is>
      </c>
      <c r="B463" s="108" t="inlineStr">
        <is>
          <t>COFOE MEDICAL</t>
        </is>
      </c>
      <c r="C463" s="108" t="inlineStr">
        <is>
          <t>可孚醫療</t>
        </is>
      </c>
      <c r="D463" s="108" t="inlineStr">
        <is>
          <t>Healthcare</t>
        </is>
      </c>
      <c r="E463" s="108" t="inlineStr">
        <is>
          <t>Medical devices</t>
        </is>
      </c>
      <c r="F463" s="108" t="inlineStr">
        <is>
          <t>Health Care Equipment</t>
        </is>
      </c>
      <c r="G463" s="108" t="inlineStr">
        <is>
          <t>Standard</t>
        </is>
      </c>
      <c r="H463" s="109" t="n">
        <v>46148</v>
      </c>
      <c r="I463" s="110" t="n">
        <v>1062</v>
      </c>
      <c r="J463" s="108" t="inlineStr">
        <is>
          <t>gross (stated)</t>
        </is>
      </c>
      <c r="K463" s="129" t="n"/>
      <c r="L463" s="111" t="n">
        <v>39.33</v>
      </c>
      <c r="M463" s="111" t="n">
        <v>39.33</v>
      </c>
      <c r="N463" s="108" t="inlineStr">
        <is>
          <t>Y</t>
        </is>
      </c>
      <c r="O463" s="112" t="n">
        <v>100</v>
      </c>
      <c r="P463" s="118" t="n"/>
      <c r="Q463" s="113" t="n">
        <v>9277.799999999999</v>
      </c>
      <c r="R463" s="108" t="inlineStr">
        <is>
          <t>derived:price x shares upon listing</t>
        </is>
      </c>
      <c r="S463" s="114" t="n">
        <v>399.08</v>
      </c>
      <c r="T463" s="115" t="n">
        <v>3.4</v>
      </c>
      <c r="U463" s="116" t="n">
        <v>35.76</v>
      </c>
      <c r="V463" s="117" t="n">
        <v>129</v>
      </c>
      <c r="W463" s="112" t="n">
        <v>10</v>
      </c>
      <c r="X463" s="108" t="inlineStr">
        <is>
          <t>NA</t>
        </is>
      </c>
      <c r="Y463" s="113" t="n">
        <v>682.23</v>
      </c>
      <c r="Z463" s="113" t="n">
        <v>17344800</v>
      </c>
      <c r="AA463" s="112" t="n">
        <v>7.35</v>
      </c>
      <c r="AB463" s="108" t="inlineStr">
        <is>
          <t>Changsha Yufeng Technology Co., Ltd; Da Cheng International Asset Management Company Limited; FR M CONSULTING CO., LTD; HongKong HQD Industry Limited; Lens Technology (HK) Co., Limited; Mr. Dai Junan; Mr. Huang Xuelin; Ms. Lu Qinchao; ODI TRUST LIMITED; Panjing Harbourview Investment Fund; Sinohealth Technology Holdings Limited; Vision Capital Management Co., Ltd.; China Galaxy International Investment Company Limited</t>
        </is>
      </c>
      <c r="AC463" s="108" t="inlineStr">
        <is>
          <t>changsha;da;fr;hongkong;lens;mr-dai;mr-huang;ms-lu;odi;panjing;sinohealth;vision;galaxy</t>
        </is>
      </c>
      <c r="AD463" s="118" t="n"/>
      <c r="AE463" s="119" t="n"/>
      <c r="AF463" s="119" t="n"/>
      <c r="AG463" s="119" t="n"/>
      <c r="AH463" s="119" t="n"/>
      <c r="AI463" s="120" t="n">
        <v>2.21</v>
      </c>
      <c r="AJ463" s="121" t="n">
        <v>-1.09</v>
      </c>
      <c r="AK463" s="121" t="n">
        <v>-0.06</v>
      </c>
      <c r="AL463" s="121" t="n">
        <v>1.3</v>
      </c>
      <c r="AM463" s="121" t="n">
        <v>-2.36</v>
      </c>
      <c r="AN463" s="123" t="n">
        <v>4.14</v>
      </c>
      <c r="AO463" s="112" t="n">
        <v>13.81</v>
      </c>
      <c r="AP463" s="121" t="n">
        <v>-6.69</v>
      </c>
      <c r="AQ463" s="121" t="n">
        <v>-16.09</v>
      </c>
      <c r="AR463" s="121" t="n">
        <v>-17.72</v>
      </c>
      <c r="AS463" s="121" t="n">
        <v>-5.66</v>
      </c>
      <c r="AT463" s="121" t="n">
        <v>-15.17</v>
      </c>
      <c r="AU463" s="121" t="n">
        <v>-16.81</v>
      </c>
      <c r="AV463" s="121" t="n">
        <v>-6.32</v>
      </c>
      <c r="AW463" s="121" t="n">
        <v>-2.1</v>
      </c>
      <c r="AX463" s="121" t="n">
        <v>-18.53</v>
      </c>
      <c r="AY463" s="121" t="n">
        <v>-1.23</v>
      </c>
      <c r="AZ463" s="121" t="n">
        <v>-13.99</v>
      </c>
      <c r="BA463" s="121" t="n">
        <v>-13.94</v>
      </c>
      <c r="BB463" s="108" t="inlineStr">
        <is>
          <t>China Biotech ETF (HS biotech proxy)</t>
        </is>
      </c>
      <c r="BC463" s="121" t="n">
        <v>-28.5</v>
      </c>
      <c r="BD463" s="109" t="n">
        <v>46297</v>
      </c>
      <c r="BE463" s="110" t="n">
        <v>3726.2</v>
      </c>
      <c r="BF463" s="113" t="n">
        <v>-1.5</v>
      </c>
      <c r="BG463" s="108" t="inlineStr">
        <is>
          <t>N</t>
        </is>
      </c>
      <c r="BH463" s="108" t="inlineStr">
        <is>
          <t>n/m</t>
        </is>
      </c>
      <c r="BI463" s="123" t="n">
        <v>18.8</v>
      </c>
      <c r="BJ463" s="123" t="n">
        <v>15.1</v>
      </c>
      <c r="BK463" s="123" t="n">
        <v>2.5</v>
      </c>
      <c r="BL463" s="124">
        <f>IF('BBG Verify'!S463="","not filed; run on terminal",'BBG Verify'!S463)</f>
        <v/>
      </c>
      <c r="BM463" s="125" t="inlineStr">
        <is>
          <t>Y</t>
        </is>
      </c>
      <c r="BN463" s="108" t="inlineStr">
        <is>
          <t>301087.SZ</t>
        </is>
      </c>
      <c r="BO463" s="121" t="n">
        <v>54.6</v>
      </c>
      <c r="BP463" s="111" t="n">
        <v>60.8041</v>
      </c>
      <c r="BQ463" s="135" t="n">
        <v>1.1683</v>
      </c>
      <c r="BR463" s="113" t="n">
        <v>14387.9</v>
      </c>
      <c r="BS463" s="124">
        <f>IF('BBG Verify'!Q463="","run on terminal",'BBG Verify'!Q463)</f>
        <v/>
      </c>
      <c r="BT463" s="124">
        <f>IF('BBG Verify'!R463="","run on terminal",'BBG Verify'!R463)</f>
        <v/>
      </c>
      <c r="BU463" s="125" t="inlineStr">
        <is>
          <t>Huatai Financial Holdings (Hong Kong) Limited; BNP Paribas Securities (Asia) Limited</t>
        </is>
      </c>
      <c r="BV463" s="108" t="inlineStr">
        <is>
          <t>Huatai Financial Holdings (Hong Kong) Limited; BNP Paribas Securities (Asia) Limited</t>
        </is>
      </c>
      <c r="BW463" s="108" t="inlineStr">
        <is>
          <t>BNP Paribas Securities (Asia) Limited; Futu Securities International (Hong Kong) Limited; Huatai Financial Holdings (Hong Kong) Limited</t>
        </is>
      </c>
      <c r="BX463" s="108" t="inlineStr">
        <is>
          <t>BNP Paribas Securities (Asia) Limited; Futu Securities International (Hong Kong) Limited; Huatai Financial Holdings (Hong Kong) Limited</t>
        </is>
      </c>
      <c r="BY463" s="127">
        <f>HYPERLINK("https://www1.hkexnews.hk/listedco/listconews/sehk/2026/0427/2026042700013.pdf","prospectus")</f>
        <v/>
      </c>
      <c r="BZ463" s="127">
        <f>HYPERLINK("https://www1.hkexnews.hk/listedco/listconews/sehk/2026/0505/2026050501942.pdf","allotment")</f>
        <v/>
      </c>
      <c r="CA463" s="119" t="n"/>
      <c r="CB463" s="128" t="n"/>
      <c r="CC463" s="108" t="inlineStr">
        <is>
          <t>P/E: loss-making at IPO, use P/S; greenshoe: no over-allotment option; range low: maximum offer price only, no floor published; A/H: May 2026 H listing (home medical devices); greenshoe size: no over-allotment option; stabilising manager: filing states none appointed (prospectus: 'no stabilizing manager will be appointed' stated in the filing)</t>
        </is>
      </c>
    </row>
    <row r="464" ht="22" customHeight="1">
      <c r="A464" s="107" t="inlineStr">
        <is>
          <t>1236</t>
        </is>
      </c>
      <c r="B464" s="108" t="inlineStr">
        <is>
          <t>LDROBOT</t>
        </is>
      </c>
      <c r="C464" s="108" t="inlineStr">
        <is>
          <t>樂動機器人</t>
        </is>
      </c>
      <c r="D464" s="108" t="inlineStr">
        <is>
          <t>Tech/AI</t>
        </is>
      </c>
      <c r="E464" s="108" t="inlineStr">
        <is>
          <t>Robotics &amp; autonomous driving</t>
        </is>
      </c>
      <c r="F464" s="108" t="inlineStr">
        <is>
          <t>Advanced hardware and software</t>
        </is>
      </c>
      <c r="G464" s="108" t="inlineStr">
        <is>
          <t>Standard</t>
        </is>
      </c>
      <c r="H464" s="109" t="n">
        <v>46153</v>
      </c>
      <c r="I464" s="110" t="n">
        <v>878.7</v>
      </c>
      <c r="J464" s="108" t="inlineStr">
        <is>
          <t>gross (stated)</t>
        </is>
      </c>
      <c r="K464" s="111" t="n">
        <v>24</v>
      </c>
      <c r="L464" s="111" t="n">
        <v>30</v>
      </c>
      <c r="M464" s="111" t="n">
        <v>26.36</v>
      </c>
      <c r="N464" s="108" t="inlineStr">
        <is>
          <t>N</t>
        </is>
      </c>
      <c r="O464" s="112" t="n">
        <v>87.90000000000001</v>
      </c>
      <c r="P464" s="112" t="n">
        <v>39.3</v>
      </c>
      <c r="Q464" s="113" t="n">
        <v>7776.1</v>
      </c>
      <c r="R464" s="108" t="inlineStr">
        <is>
          <t>derived:deal size / offer % of enlarged capital</t>
        </is>
      </c>
      <c r="S464" s="114" t="n">
        <v>6707.66</v>
      </c>
      <c r="T464" s="115" t="n">
        <v>9.539999999999999</v>
      </c>
      <c r="U464" s="116" t="n">
        <v>31.52</v>
      </c>
      <c r="V464" s="117" t="n">
        <v>111</v>
      </c>
      <c r="W464" s="112" t="n">
        <v>10</v>
      </c>
      <c r="X464" s="108" t="inlineStr">
        <is>
          <t>NO</t>
        </is>
      </c>
      <c r="Y464" s="113" t="n">
        <v>601.73</v>
      </c>
      <c r="Z464" s="113" t="n">
        <v>22826712</v>
      </c>
      <c r="AA464" s="112" t="n">
        <v>7.74</v>
      </c>
      <c r="AB464" s="108" t="inlineStr">
        <is>
          <t>KCH Vision Investment Limited</t>
        </is>
      </c>
      <c r="AC464" s="108" t="inlineStr">
        <is>
          <t>kch</t>
        </is>
      </c>
      <c r="AD464" s="112" t="n">
        <v>13.41</v>
      </c>
      <c r="AE464" s="108" t="inlineStr">
        <is>
          <t>lapsed (no over-allocation)</t>
        </is>
      </c>
      <c r="AF464" s="119" t="n"/>
      <c r="AG464" s="108" t="inlineStr">
        <is>
          <t>Haitong International Securities Company Limited</t>
        </is>
      </c>
      <c r="AH464" s="108" t="inlineStr">
        <is>
          <t>Haitong</t>
        </is>
      </c>
      <c r="AI464" s="120" t="n">
        <v>88.92</v>
      </c>
      <c r="AJ464" s="121" t="n">
        <v>127.62</v>
      </c>
      <c r="AK464" s="121" t="n">
        <v>0</v>
      </c>
      <c r="AL464" s="121" t="n">
        <v>102.96</v>
      </c>
      <c r="AM464" s="121" t="n">
        <v>12.15</v>
      </c>
      <c r="AN464" s="123" t="n">
        <v>4.4</v>
      </c>
      <c r="AO464" s="112" t="n">
        <v>29.35</v>
      </c>
      <c r="AP464" s="121" t="n">
        <v>56.68</v>
      </c>
      <c r="AQ464" s="121" t="n">
        <v>54.86</v>
      </c>
      <c r="AR464" s="121" t="n">
        <v>48.71</v>
      </c>
      <c r="AS464" s="121" t="n">
        <v>-31.17</v>
      </c>
      <c r="AT464" s="121" t="n">
        <v>-31.97</v>
      </c>
      <c r="AU464" s="121" t="n">
        <v>-34.67</v>
      </c>
      <c r="AV464" s="121" t="n">
        <v>61.92</v>
      </c>
      <c r="AW464" s="121" t="n">
        <v>62.14</v>
      </c>
      <c r="AX464" s="121" t="n">
        <v>53.95</v>
      </c>
      <c r="AY464" s="121" t="n">
        <v>-24.69</v>
      </c>
      <c r="AZ464" s="121" t="n">
        <v>-7.28</v>
      </c>
      <c r="BA464" s="121" t="n">
        <v>-7.28</v>
      </c>
      <c r="BB464" s="108" t="inlineStr">
        <is>
          <t>HSTECH (Hang Seng TECH ETF)</t>
        </is>
      </c>
      <c r="BC464" s="121" t="n">
        <v>-9.33</v>
      </c>
      <c r="BD464" s="109" t="n">
        <v>46297</v>
      </c>
      <c r="BE464" s="110" t="n">
        <v>150.6</v>
      </c>
      <c r="BF464" s="113" t="n">
        <v>-68.8</v>
      </c>
      <c r="BG464" s="108" t="inlineStr">
        <is>
          <t>N</t>
        </is>
      </c>
      <c r="BH464" s="108" t="inlineStr">
        <is>
          <t>n/m</t>
        </is>
      </c>
      <c r="BI464" s="122" t="n"/>
      <c r="BJ464" s="122" t="n"/>
      <c r="BK464" s="123" t="n">
        <v>51.6</v>
      </c>
      <c r="BL464" s="124">
        <f>IF('BBG Verify'!S464="","not filed; run on terminal",'BBG Verify'!S464)</f>
        <v/>
      </c>
      <c r="BM464" s="125" t="inlineStr">
        <is>
          <t>N</t>
        </is>
      </c>
      <c r="BN464" s="126">
        <f>IF('BBG Verify'!K464="","not filed; run on terminal",'BBG Verify'!K464)</f>
        <v/>
      </c>
      <c r="BO464" s="108" t="inlineStr">
        <is>
          <t>N/A</t>
        </is>
      </c>
      <c r="BP464" s="108" t="inlineStr">
        <is>
          <t>N/A</t>
        </is>
      </c>
      <c r="BQ464" s="108" t="inlineStr">
        <is>
          <t>N/A</t>
        </is>
      </c>
      <c r="BR464" s="108" t="inlineStr">
        <is>
          <t>N/A</t>
        </is>
      </c>
      <c r="BS464" s="108" t="inlineStr">
        <is>
          <t>N/A</t>
        </is>
      </c>
      <c r="BT464" s="108" t="inlineStr">
        <is>
          <t>N/A</t>
        </is>
      </c>
      <c r="BU464" s="125" t="inlineStr">
        <is>
          <t>Haitong International Capital Limited; Guotai Junan Capital Limited</t>
        </is>
      </c>
      <c r="BV464" s="108" t="inlineStr">
        <is>
          <t>Haitong International Capital Limited; Guotai Junan Capital Limited</t>
        </is>
      </c>
      <c r="BW464" s="108" t="inlineStr">
        <is>
          <t>Orient Securities (Hong Kong) Limited; Yuet Sheung International Securities Limited; Goldbridge Securities Limited</t>
        </is>
      </c>
      <c r="BX464" s="108"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 Orient Securities (Hong Kong) Limited; SDIC Securities (Hong Kong) Limited; Yuet Sheung International Securities Limited</t>
        </is>
      </c>
      <c r="BY464" s="127">
        <f>HYPERLINK("https://www1.hkexnews.hk/listedco/listconews/sehk/2026/0430/2026043000099.pdf","prospectus")</f>
        <v/>
      </c>
      <c r="BZ464" s="127">
        <f>HYPERLINK("https://www1.hkexnews.hk/listedco/listconews/sehk/2026/0508/2026050801854.pdf","allotment")</f>
        <v/>
      </c>
      <c r="CA464" s="127">
        <f>HYPERLINK("https://www1.hkexnews.hk/listedco/listconews/sehk/2026/0609/2026060901520.pdf","stabilisation")</f>
        <v/>
      </c>
      <c r="CB464" s="128" t="n"/>
      <c r="CC464" s="108" t="inlineStr">
        <is>
          <t>P/E: loss-making at IPO, use P/S; greenshoe: outcome published; expiry date not in the notice</t>
        </is>
      </c>
    </row>
    <row r="465" ht="22" customHeight="1">
      <c r="A465" s="107" t="inlineStr">
        <is>
          <t>7630</t>
        </is>
      </c>
      <c r="B465" s="108" t="inlineStr">
        <is>
          <t>IMPACT THERAP-B</t>
        </is>
      </c>
      <c r="C465" s="108" t="inlineStr">
        <is>
          <t>英派藥業－Ｂ</t>
        </is>
      </c>
      <c r="D465" s="108" t="inlineStr">
        <is>
          <t>Healthcare</t>
        </is>
      </c>
      <c r="E465" s="108" t="inlineStr">
        <is>
          <t>Biotech pre-revenue (18A)</t>
        </is>
      </c>
      <c r="F465" s="108" t="inlineStr">
        <is>
          <t>Biotechnology - Pharmaceuticals</t>
        </is>
      </c>
      <c r="G465" s="108" t="inlineStr">
        <is>
          <t>18A</t>
        </is>
      </c>
      <c r="H465" s="109" t="n">
        <v>46155</v>
      </c>
      <c r="I465" s="110" t="n">
        <v>843.7</v>
      </c>
      <c r="J465" s="108" t="inlineStr">
        <is>
          <t>gross (stated)</t>
        </is>
      </c>
      <c r="K465" s="111" t="n">
        <v>19.75</v>
      </c>
      <c r="L465" s="111" t="n">
        <v>21.75</v>
      </c>
      <c r="M465" s="111" t="n">
        <v>20.1</v>
      </c>
      <c r="N465" s="108" t="inlineStr">
        <is>
          <t>N</t>
        </is>
      </c>
      <c r="O465" s="112" t="n">
        <v>92.40000000000001</v>
      </c>
      <c r="P465" s="112" t="n">
        <v>17.5</v>
      </c>
      <c r="Q465" s="113" t="n">
        <v>4933.9</v>
      </c>
      <c r="R465" s="108" t="inlineStr">
        <is>
          <t>derived:deal size / offer % of enlarged capital</t>
        </is>
      </c>
      <c r="S465" s="114" t="n">
        <v>2282.4</v>
      </c>
      <c r="T465" s="115" t="n">
        <v>24.58</v>
      </c>
      <c r="U465" s="116" t="n">
        <v>33.19</v>
      </c>
      <c r="V465" s="117" t="n">
        <v>137</v>
      </c>
      <c r="W465" s="112" t="n">
        <v>10</v>
      </c>
      <c r="X465" s="108" t="inlineStr">
        <is>
          <t>NA</t>
        </is>
      </c>
      <c r="Y465" s="113" t="n">
        <v>563.6799999999999</v>
      </c>
      <c r="Z465" s="113" t="n">
        <v>28044834</v>
      </c>
      <c r="AA465" s="112" t="n">
        <v>11.42</v>
      </c>
      <c r="AB465" s="108" t="inlineStr">
        <is>
          <t>Huang River Investment Limited; Prosper High Holding Limited; LAV Star Opportunities Limited; Global Superior Choice Fund 1 SP; Vision Fund 1 SP; Horizon Next SP; First Quarter Moon OFC – Phecda Fund; Worldwide Healthcare Partners LLC</t>
        </is>
      </c>
      <c r="AC465" s="108" t="inlineStr">
        <is>
          <t>huang-river;prosper;lav;superior;vision;horizon;first-quarter;healthcare</t>
        </is>
      </c>
      <c r="AD465" s="112" t="n">
        <v>8.529999999999999</v>
      </c>
      <c r="AE465" s="108" t="inlineStr">
        <is>
          <t>full</t>
        </is>
      </c>
      <c r="AF465" s="108" t="inlineStr">
        <is>
          <t>2026-06-07</t>
        </is>
      </c>
      <c r="AG465" s="108" t="inlineStr">
        <is>
          <t>Goldman Sachs</t>
        </is>
      </c>
      <c r="AH465" s="108" t="inlineStr">
        <is>
          <t>Goldman Sachs</t>
        </is>
      </c>
      <c r="AI465" s="120" t="n">
        <v>60</v>
      </c>
      <c r="AJ465" s="121" t="n">
        <v>108.26</v>
      </c>
      <c r="AK465" s="121" t="n">
        <v>-1.09</v>
      </c>
      <c r="AL465" s="121" t="n">
        <v>76.62</v>
      </c>
      <c r="AM465" s="121" t="n">
        <v>17.91</v>
      </c>
      <c r="AN465" s="123" t="n">
        <v>3.61</v>
      </c>
      <c r="AO465" s="112" t="n">
        <v>35.77</v>
      </c>
      <c r="AP465" s="121" t="n">
        <v>86.27</v>
      </c>
      <c r="AQ465" s="121" t="n">
        <v>81.09</v>
      </c>
      <c r="AR465" s="121" t="n">
        <v>-39.75</v>
      </c>
      <c r="AS465" s="121" t="n">
        <v>-10.56</v>
      </c>
      <c r="AT465" s="121" t="n">
        <v>-13.05</v>
      </c>
      <c r="AU465" s="121" t="n">
        <v>-71.06999999999999</v>
      </c>
      <c r="AV465" s="121" t="n">
        <v>93.78</v>
      </c>
      <c r="AW465" s="121" t="n">
        <v>95.55</v>
      </c>
      <c r="AX465" s="121" t="n">
        <v>-48.04</v>
      </c>
      <c r="AY465" s="121" t="n">
        <v>0.47</v>
      </c>
      <c r="AZ465" s="121" t="n">
        <v>-14.46</v>
      </c>
      <c r="BA465" s="121" t="n">
        <v>-13.52</v>
      </c>
      <c r="BB465" s="108" t="inlineStr">
        <is>
          <t>China Biotech ETF (HS biotech proxy)</t>
        </is>
      </c>
      <c r="BC465" s="121" t="n">
        <v>-29.3</v>
      </c>
      <c r="BD465" s="109" t="n">
        <v>46297</v>
      </c>
      <c r="BE465" s="110" t="n">
        <v>42.1</v>
      </c>
      <c r="BF465" s="113" t="n">
        <v>-325.5</v>
      </c>
      <c r="BG465" s="108" t="inlineStr">
        <is>
          <t>N</t>
        </is>
      </c>
      <c r="BH465" s="108" t="inlineStr">
        <is>
          <t>n/m</t>
        </is>
      </c>
      <c r="BI465" s="122" t="n"/>
      <c r="BJ465" s="122" t="n"/>
      <c r="BK465" s="123" t="n">
        <v>117.2</v>
      </c>
      <c r="BL465" s="124">
        <f>IF('BBG Verify'!S465="","not filed; run on terminal",'BBG Verify'!S465)</f>
        <v/>
      </c>
      <c r="BM465" s="125" t="inlineStr">
        <is>
          <t>N</t>
        </is>
      </c>
      <c r="BN465" s="126">
        <f>IF('BBG Verify'!K465="","not filed; run on terminal",'BBG Verify'!K465)</f>
        <v/>
      </c>
      <c r="BO465" s="108" t="inlineStr">
        <is>
          <t>N/A</t>
        </is>
      </c>
      <c r="BP465" s="108" t="inlineStr">
        <is>
          <t>N/A</t>
        </is>
      </c>
      <c r="BQ465" s="108" t="inlineStr">
        <is>
          <t>N/A</t>
        </is>
      </c>
      <c r="BR465" s="108" t="inlineStr">
        <is>
          <t>N/A</t>
        </is>
      </c>
      <c r="BS465" s="108" t="inlineStr">
        <is>
          <t>N/A</t>
        </is>
      </c>
      <c r="BT465" s="108" t="inlineStr">
        <is>
          <t>N/A</t>
        </is>
      </c>
      <c r="BU465" s="125" t="inlineStr">
        <is>
          <t>China International Capital Corporation Hong Kong Securities Limited; Goldman Sachs (Asia) L.L.C.</t>
        </is>
      </c>
      <c r="BV465" s="108" t="inlineStr">
        <is>
          <t>China International Capital Corporation Hong Kong Securities Limited; Goldman Sachs (Asia) L.L.C.</t>
        </is>
      </c>
      <c r="BW465" s="108" t="inlineStr">
        <is>
          <t>China International Capital Corporation Hong Kong Securities Limited; CMB International Capital Limited; Goldman Sachs (Asia) L.L.C.; Tiger Brokers (HK) Global Limited</t>
        </is>
      </c>
      <c r="BX465" s="108" t="inlineStr">
        <is>
          <t>China International Capital Corporation Hong Kong Securities Limited; CMB International Capital Limited; Goldman Sachs (Asia) L.L.C.; Tiger Brokers (HK) Global Limited</t>
        </is>
      </c>
      <c r="BY465" s="127">
        <f>HYPERLINK("https://www1.hkexnews.hk/listedco/listconews/sehk/2026/0505/2026050500023.pdf","prospectus")</f>
        <v/>
      </c>
      <c r="BZ465" s="127">
        <f>HYPERLINK("https://www1.hkexnews.hk/listedco/listconews/sehk/2026/0512/2026051201406.pdf","allotment")</f>
        <v/>
      </c>
      <c r="CA465" s="127">
        <f>HYPERLINK("https://www1.hkexnews.hk/listedco/listconews/sehk/2026/0608/2026060800490.pdf","stabilisation")</f>
        <v/>
      </c>
      <c r="CB465" s="128" t="n"/>
      <c r="CC465" s="108" t="inlineStr">
        <is>
          <t>P/E: loss-making at IPO, use P/S; sponsor: English name not in the filing; AAStocks 保薦人 shown</t>
        </is>
      </c>
    </row>
    <row r="466" ht="22" customHeight="1">
      <c r="A466" s="107" t="inlineStr">
        <is>
          <t>7666</t>
        </is>
      </c>
      <c r="B466" s="108" t="inlineStr">
        <is>
          <t>METIS TECHBIO-P</t>
        </is>
      </c>
      <c r="C466" s="108" t="inlineStr">
        <is>
          <t>劑泰科技－Ｐ</t>
        </is>
      </c>
      <c r="D466" s="108" t="inlineStr">
        <is>
          <t>Healthcare</t>
        </is>
      </c>
      <c r="E466" s="108" t="inlineStr">
        <is>
          <t>Biotech pre-revenue (18A)</t>
        </is>
      </c>
      <c r="F466" s="108" t="inlineStr">
        <is>
          <t>Advanced materials</t>
        </is>
      </c>
      <c r="G466" s="108" t="inlineStr">
        <is>
          <t>18C</t>
        </is>
      </c>
      <c r="H466" s="109" t="n">
        <v>46155</v>
      </c>
      <c r="I466" s="110" t="n">
        <v>2112.9</v>
      </c>
      <c r="J466" s="108" t="inlineStr">
        <is>
          <t>gross (stated)</t>
        </is>
      </c>
      <c r="K466" s="129" t="n"/>
      <c r="L466" s="111" t="n">
        <v>10.5</v>
      </c>
      <c r="M466" s="111" t="n">
        <v>10.5</v>
      </c>
      <c r="N466" s="108" t="inlineStr">
        <is>
          <t>Y</t>
        </is>
      </c>
      <c r="O466" s="112" t="n">
        <v>100</v>
      </c>
      <c r="P466" s="118" t="n"/>
      <c r="Q466" s="113" t="n">
        <v>12101.4</v>
      </c>
      <c r="R466" s="108" t="inlineStr">
        <is>
          <t>prospectus:stated market capitalisation</t>
        </is>
      </c>
      <c r="S466" s="114" t="n">
        <v>6910.96</v>
      </c>
      <c r="T466" s="115" t="n">
        <v>33.86</v>
      </c>
      <c r="U466" s="116" t="n">
        <v>54.87</v>
      </c>
      <c r="V466" s="117" t="n">
        <v>208</v>
      </c>
      <c r="W466" s="112" t="n">
        <v>20</v>
      </c>
      <c r="X466" s="108" t="inlineStr">
        <is>
          <t>YES</t>
        </is>
      </c>
      <c r="Y466" s="113" t="n">
        <v>953.55</v>
      </c>
      <c r="Z466" s="113" t="n">
        <v>90814648</v>
      </c>
      <c r="AA466" s="112" t="n">
        <v>7.88</v>
      </c>
      <c r="AB466" s="108" t="inlineStr">
        <is>
          <t>BlackRock; UBS AM Singapore; China Venture Capital Innovation Investment Fund Co., Ltd; Mirae; HHLRA; Deerfield; RTW Funds; Arc Avenue; Huadeng Technology; Isometry Global; GF Fund; ICBCUBS Entities; ChinaAMC (HK); Fullgoal Fund; Lake Bleu; Sage Partners; ICBC Wealth Management Co., Ltd; ORIX Asia AM</t>
        </is>
      </c>
      <c r="AC466" s="108" t="inlineStr">
        <is>
          <t>blackrock;ubs;venture;mirae;hhlra;deerfield;rtw;arc;huadeng;isometry;gf;icbcubs;chinaamc;fullgoal;lake;sage;icbc;orix</t>
        </is>
      </c>
      <c r="AD466" s="112" t="n">
        <v>15</v>
      </c>
      <c r="AE466" s="108" t="inlineStr">
        <is>
          <t>full</t>
        </is>
      </c>
      <c r="AF466" s="108" t="inlineStr">
        <is>
          <t>2026-06-07</t>
        </is>
      </c>
      <c r="AG466" s="108" t="inlineStr">
        <is>
          <t>CLSA Limited</t>
        </is>
      </c>
      <c r="AH466" s="108" t="inlineStr">
        <is>
          <t>CLSA</t>
        </is>
      </c>
      <c r="AI466" s="120" t="n">
        <v>180</v>
      </c>
      <c r="AJ466" s="121" t="n">
        <v>126.67</v>
      </c>
      <c r="AK466" s="121" t="n">
        <v>-1.09</v>
      </c>
      <c r="AL466" s="121" t="n">
        <v>173.14</v>
      </c>
      <c r="AM466" s="121" t="n">
        <v>-17.01</v>
      </c>
      <c r="AN466" s="123" t="n">
        <v>2.1</v>
      </c>
      <c r="AO466" s="112" t="n">
        <v>26.08</v>
      </c>
      <c r="AP466" s="121" t="n">
        <v>71.43000000000001</v>
      </c>
      <c r="AQ466" s="121" t="n">
        <v>25.62</v>
      </c>
      <c r="AR466" s="121" t="n">
        <v>25.62</v>
      </c>
      <c r="AS466" s="121" t="n">
        <v>-24.37</v>
      </c>
      <c r="AT466" s="121" t="n">
        <v>-44.58</v>
      </c>
      <c r="AU466" s="121" t="n">
        <v>-44.58</v>
      </c>
      <c r="AV466" s="121" t="n">
        <v>78.94</v>
      </c>
      <c r="AW466" s="121" t="n">
        <v>40.08</v>
      </c>
      <c r="AX466" s="121" t="n">
        <v>17.33</v>
      </c>
      <c r="AY466" s="121" t="n">
        <v>-31.06</v>
      </c>
      <c r="AZ466" s="121" t="n">
        <v>-14.46</v>
      </c>
      <c r="BA466" s="121" t="n">
        <v>-13.52</v>
      </c>
      <c r="BB466" s="108" t="inlineStr">
        <is>
          <t>China Biotech ETF (HS biotech proxy)</t>
        </is>
      </c>
      <c r="BC466" s="121" t="n">
        <v>76.38</v>
      </c>
      <c r="BD466" s="109" t="n">
        <v>46297</v>
      </c>
      <c r="BE466" s="110" t="n">
        <v>115.5</v>
      </c>
      <c r="BF466" s="113" t="n">
        <v>-431</v>
      </c>
      <c r="BG466" s="108" t="inlineStr">
        <is>
          <t>N</t>
        </is>
      </c>
      <c r="BH466" s="108" t="inlineStr">
        <is>
          <t>n/m</t>
        </is>
      </c>
      <c r="BI466" s="122" t="n"/>
      <c r="BJ466" s="122" t="n"/>
      <c r="BK466" s="123" t="n">
        <v>104.8</v>
      </c>
      <c r="BL466" s="124">
        <f>IF('BBG Verify'!S466="","not filed; run on terminal",'BBG Verify'!S466)</f>
        <v/>
      </c>
      <c r="BM466" s="125" t="inlineStr">
        <is>
          <t>N</t>
        </is>
      </c>
      <c r="BN466" s="126">
        <f>IF('BBG Verify'!K466="","not filed; run on terminal",'BBG Verify'!K466)</f>
        <v/>
      </c>
      <c r="BO466" s="108" t="inlineStr">
        <is>
          <t>N/A</t>
        </is>
      </c>
      <c r="BP466" s="108" t="inlineStr">
        <is>
          <t>N/A</t>
        </is>
      </c>
      <c r="BQ466" s="108" t="inlineStr">
        <is>
          <t>N/A</t>
        </is>
      </c>
      <c r="BR466" s="108" t="inlineStr">
        <is>
          <t>N/A</t>
        </is>
      </c>
      <c r="BS466" s="108" t="inlineStr">
        <is>
          <t>N/A</t>
        </is>
      </c>
      <c r="BT466" s="108" t="inlineStr">
        <is>
          <t>N/A</t>
        </is>
      </c>
      <c r="BU466" s="125" t="inlineStr">
        <is>
          <t>Jefferies Hong Kong Limited; Deutsche Securities Asia Limited; CITIC Securities (Hong Kong) Limited</t>
        </is>
      </c>
      <c r="BV466" s="108" t="inlineStr">
        <is>
          <t>Jefferies Hong Kong Limited; CITIC Securities (Hong Kong) Limited; Deutsche Securities Asia Limited</t>
        </is>
      </c>
      <c r="BW466" s="108" t="inlineStr">
        <is>
          <t>Futu Securities International (Hong Kong) Limited</t>
        </is>
      </c>
      <c r="BX466" s="108" t="inlineStr">
        <is>
          <t>CLSA Limited; CMB International Capital Limited; Deutsche Bank AG, Hong Kong Branch; Futu Securities International (Hong Kong) Limited; Jefferies Hong Kong Limited</t>
        </is>
      </c>
      <c r="BY466" s="127">
        <f>HYPERLINK("https://www1.hkexnews.hk/listedco/listconews/sehk/2026/0505/2026050500019.pdf","prospectus")</f>
        <v/>
      </c>
      <c r="BZ466" s="127">
        <f>HYPERLINK("https://www1.hkexnews.hk/listedco/listconews/sehk/2026/0512/2026051201482.pdf","allotment")</f>
        <v/>
      </c>
      <c r="CA466" s="127">
        <f>HYPERLINK("https://www1.hkexnews.hk/listedco/listconews/sehk/2026/0605/2026060501450.pdf","stabilisation")</f>
        <v/>
      </c>
      <c r="CB466" s="128" t="n"/>
      <c r="CC466" s="108" t="inlineStr">
        <is>
          <t>P/E: loss-making at IPO, use P/S; range low: maximum offer price only, no floor published</t>
        </is>
      </c>
    </row>
    <row r="467" ht="22" customHeight="1">
      <c r="A467" s="107" t="inlineStr">
        <is>
          <t>6871</t>
        </is>
      </c>
      <c r="B467" s="108" t="inlineStr">
        <is>
          <t>ROBOTPHOENIX</t>
        </is>
      </c>
      <c r="C467" s="108" t="inlineStr">
        <is>
          <t>翼菲科技</t>
        </is>
      </c>
      <c r="D467" s="108" t="inlineStr">
        <is>
          <t>Tech/AI</t>
        </is>
      </c>
      <c r="E467" s="108" t="inlineStr">
        <is>
          <t>Robotics &amp; autonomous driving</t>
        </is>
      </c>
      <c r="F467" s="108" t="inlineStr">
        <is>
          <t>Advanced hardware and software</t>
        </is>
      </c>
      <c r="G467" s="108" t="inlineStr">
        <is>
          <t>18C</t>
        </is>
      </c>
      <c r="H467" s="109" t="n">
        <v>46160</v>
      </c>
      <c r="I467" s="110" t="n">
        <v>750.3</v>
      </c>
      <c r="J467" s="108" t="inlineStr">
        <is>
          <t>gross (stated)</t>
        </is>
      </c>
      <c r="K467" s="129" t="n"/>
      <c r="L467" s="111" t="n">
        <v>30.5</v>
      </c>
      <c r="M467" s="111" t="n">
        <v>30.5</v>
      </c>
      <c r="N467" s="108" t="inlineStr">
        <is>
          <t>Y</t>
        </is>
      </c>
      <c r="O467" s="112" t="n">
        <v>100</v>
      </c>
      <c r="P467" s="118" t="n"/>
      <c r="Q467" s="113" t="n">
        <v>7471.1</v>
      </c>
      <c r="R467" s="108" t="inlineStr">
        <is>
          <t>derived:price x shares upon listing</t>
        </is>
      </c>
      <c r="S467" s="114" t="n">
        <v>14855.4</v>
      </c>
      <c r="T467" s="115" t="n">
        <v>9.77</v>
      </c>
      <c r="U467" s="116" t="n">
        <v>0</v>
      </c>
      <c r="V467" s="117" t="n">
        <v>133</v>
      </c>
      <c r="W467" s="112" t="n">
        <v>20</v>
      </c>
      <c r="X467" s="108" t="inlineStr">
        <is>
          <t>YES</t>
        </is>
      </c>
      <c r="Y467" s="113" t="n">
        <v>750.3</v>
      </c>
      <c r="Z467" s="113" t="n">
        <v>24600000</v>
      </c>
      <c r="AA467" s="112" t="n">
        <v>10.04</v>
      </c>
      <c r="AB467" s="108" t="inlineStr">
        <is>
          <t>none — no cornerstone tranche</t>
        </is>
      </c>
      <c r="AC467" s="108" t="inlineStr">
        <is>
          <t>none</t>
        </is>
      </c>
      <c r="AD467" s="118" t="n"/>
      <c r="AE467" s="119" t="n"/>
      <c r="AF467" s="119" t="n"/>
      <c r="AG467" s="119" t="n"/>
      <c r="AH467" s="119" t="n"/>
      <c r="AI467" s="120" t="n">
        <v>79.18000000000001</v>
      </c>
      <c r="AJ467" s="121" t="n">
        <v>76.23</v>
      </c>
      <c r="AK467" s="121" t="n">
        <v>-1.95</v>
      </c>
      <c r="AL467" s="121" t="n">
        <v>79.18000000000001</v>
      </c>
      <c r="AM467" s="121" t="n">
        <v>-1.65</v>
      </c>
      <c r="AN467" s="123" t="n">
        <v>2.58</v>
      </c>
      <c r="AO467" s="112" t="n">
        <v>14</v>
      </c>
      <c r="AP467" s="121" t="n">
        <v>12.72</v>
      </c>
      <c r="AQ467" s="121" t="n">
        <v>23.28</v>
      </c>
      <c r="AR467" s="121" t="n">
        <v>7.54</v>
      </c>
      <c r="AS467" s="121" t="n">
        <v>-36.04</v>
      </c>
      <c r="AT467" s="121" t="n">
        <v>-30.05</v>
      </c>
      <c r="AU467" s="121" t="n">
        <v>-38.98</v>
      </c>
      <c r="AV467" s="121" t="n">
        <v>12.51</v>
      </c>
      <c r="AW467" s="121" t="n">
        <v>28.75</v>
      </c>
      <c r="AX467" s="121" t="n">
        <v>11.23</v>
      </c>
      <c r="AY467" s="121" t="n">
        <v>-26.46</v>
      </c>
      <c r="AZ467" s="121" t="n">
        <v>-5.47</v>
      </c>
      <c r="BA467" s="121" t="n">
        <v>-3.59</v>
      </c>
      <c r="BB467" s="108" t="inlineStr">
        <is>
          <t>HSTECH (Hang Seng TECH ETF)</t>
        </is>
      </c>
      <c r="BC467" s="121" t="n">
        <v>-5.84</v>
      </c>
      <c r="BD467" s="109" t="n">
        <v>46297</v>
      </c>
      <c r="BE467" s="110" t="n">
        <v>426.1</v>
      </c>
      <c r="BF467" s="113" t="n">
        <v>-168.2</v>
      </c>
      <c r="BG467" s="108" t="inlineStr">
        <is>
          <t>N</t>
        </is>
      </c>
      <c r="BH467" s="108" t="inlineStr">
        <is>
          <t>n/m</t>
        </is>
      </c>
      <c r="BI467" s="122" t="n"/>
      <c r="BJ467" s="122" t="n"/>
      <c r="BK467" s="123" t="n">
        <v>17.5</v>
      </c>
      <c r="BL467" s="124">
        <f>IF('BBG Verify'!S467="","not filed; run on terminal",'BBG Verify'!S467)</f>
        <v/>
      </c>
      <c r="BM467" s="125" t="inlineStr">
        <is>
          <t>N</t>
        </is>
      </c>
      <c r="BN467" s="126">
        <f>IF('BBG Verify'!K467="","not filed; run on terminal",'BBG Verify'!K467)</f>
        <v/>
      </c>
      <c r="BO467" s="108" t="inlineStr">
        <is>
          <t>N/A</t>
        </is>
      </c>
      <c r="BP467" s="108" t="inlineStr">
        <is>
          <t>N/A</t>
        </is>
      </c>
      <c r="BQ467" s="108" t="inlineStr">
        <is>
          <t>N/A</t>
        </is>
      </c>
      <c r="BR467" s="108" t="inlineStr">
        <is>
          <t>N/A</t>
        </is>
      </c>
      <c r="BS467" s="108" t="inlineStr">
        <is>
          <t>N/A</t>
        </is>
      </c>
      <c r="BT467" s="108" t="inlineStr">
        <is>
          <t>N/A</t>
        </is>
      </c>
      <c r="BU467" s="125" t="inlineStr">
        <is>
          <t>ABCI Capital Limited</t>
        </is>
      </c>
      <c r="BV467" s="108" t="inlineStr">
        <is>
          <t>ABCI Capital Limited</t>
        </is>
      </c>
      <c r="BW467" s="108" t="inlineStr">
        <is>
          <t>ABCI Capital Limited; CLSA Limited; Ping An Securities (Hong Kong) Company Limited; China Industrial Securities International Capital Limited; CMBC Securities Company Limited; Huafu International Securities Limited; Shenwan Hongyuan Securities (H.K.) Limited; SPDB International Capital Limited</t>
        </is>
      </c>
      <c r="BX467" s="108" t="inlineStr">
        <is>
          <t>ABCI Securities Company Limited; China Industrial Securities International Capital Limited; CLSA Limited; CMBC Securities Company Limited; Emperor Securities Limited; Futu Securities International (Hong Kong) Limited; Huafu International Securities Limited; Livermore Holdings Limited; Ping An Securities (Hong Kong) Company Limited; Shenwan Hongyuan Securities (H.K.) Limited; SPDB International Capital Limited; Tiger Brokers (HK) Global Limited</t>
        </is>
      </c>
      <c r="BY467" s="127">
        <f>HYPERLINK("https://www1.hkexnews.hk/listedco/listconews/sehk/2026/0508/2026050800015.pdf","prospectus")</f>
        <v/>
      </c>
      <c r="BZ467" s="127">
        <f>HYPERLINK("https://www1.hkexnews.hk/listedco/listconews/sehk/2026/0515/2026051502141.pdf","allotment")</f>
        <v/>
      </c>
      <c r="CA467" s="119" t="n"/>
      <c r="CB467" s="128" t="n"/>
      <c r="CC467" s="108" t="inlineStr">
        <is>
          <t>P/E: loss-making at IPO, use P/S; greenshoe: no over-allotment option; range low: maximum offer price only, no floor published; market cap: prospectus 'market capitalisation' line is the listing-rule threshold, not the issuer's figure; rejected; cornerstone list: no cornerstone tranche; greenshoe size: no over-allotment option; stabilising manager: no over-allotment option, so none appointed</t>
        </is>
      </c>
    </row>
    <row r="468" ht="22" customHeight="1">
      <c r="A468" s="107" t="inlineStr">
        <is>
          <t>1511</t>
        </is>
      </c>
      <c r="B468" s="108" t="inlineStr">
        <is>
          <t>UISEE TECH</t>
        </is>
      </c>
      <c r="C468" s="108" t="inlineStr">
        <is>
          <t>馭勢科技</t>
        </is>
      </c>
      <c r="D468" s="108" t="inlineStr">
        <is>
          <t>Tech/AI</t>
        </is>
      </c>
      <c r="E468" s="108" t="inlineStr">
        <is>
          <t>Robotics &amp; autonomous driving</t>
        </is>
      </c>
      <c r="F468" s="108" t="inlineStr">
        <is>
          <t>Advanced hardware and software</t>
        </is>
      </c>
      <c r="G468" s="108" t="inlineStr">
        <is>
          <t>18C</t>
        </is>
      </c>
      <c r="H468" s="109" t="n">
        <v>46162</v>
      </c>
      <c r="I468" s="110" t="n">
        <v>872</v>
      </c>
      <c r="J468" s="108" t="inlineStr">
        <is>
          <t>gross (stated)</t>
        </is>
      </c>
      <c r="K468" s="129" t="n"/>
      <c r="L468" s="111" t="n">
        <v>60.3</v>
      </c>
      <c r="M468" s="111" t="n">
        <v>60.3</v>
      </c>
      <c r="N468" s="108" t="inlineStr">
        <is>
          <t>Y</t>
        </is>
      </c>
      <c r="O468" s="112" t="n">
        <v>100</v>
      </c>
      <c r="P468" s="118" t="n"/>
      <c r="Q468" s="113" t="n">
        <v>9797.799999999999</v>
      </c>
      <c r="R468" s="108" t="inlineStr">
        <is>
          <t>derived:price x shares upon listing</t>
        </is>
      </c>
      <c r="S468" s="114" t="n">
        <v>6777.29</v>
      </c>
      <c r="T468" s="115" t="n">
        <v>5.66</v>
      </c>
      <c r="U468" s="116" t="n">
        <v>29.96</v>
      </c>
      <c r="V468" s="117" t="n">
        <v>87</v>
      </c>
      <c r="W468" s="112" t="n">
        <v>20</v>
      </c>
      <c r="X468" s="108" t="inlineStr">
        <is>
          <t>YES</t>
        </is>
      </c>
      <c r="Y468" s="113" t="n">
        <v>610.75</v>
      </c>
      <c r="Z468" s="113" t="n">
        <v>10128624</v>
      </c>
      <c r="AA468" s="112" t="n">
        <v>6.23</v>
      </c>
      <c r="AB468" s="108" t="inlineStr">
        <is>
          <t>CYGG Holding Limited; Starwin International A LPF; Xiongan Autonomous Driving Limited</t>
        </is>
      </c>
      <c r="AC468" s="108" t="inlineStr">
        <is>
          <t>cygg;starwin;xiongan</t>
        </is>
      </c>
      <c r="AD468" s="118" t="n"/>
      <c r="AE468" s="119" t="n"/>
      <c r="AF468" s="119" t="n"/>
      <c r="AG468" s="119" t="n"/>
      <c r="AH468" s="119" t="n"/>
      <c r="AI468" s="139" t="n">
        <v>-1.24</v>
      </c>
      <c r="AJ468" s="121" t="n">
        <v>-4.64</v>
      </c>
      <c r="AK468" s="121" t="n">
        <v>0.21</v>
      </c>
      <c r="AL468" s="121" t="n">
        <v>-7.13</v>
      </c>
      <c r="AM468" s="121" t="n">
        <v>2.68</v>
      </c>
      <c r="AN468" s="123" t="n">
        <v>2.18</v>
      </c>
      <c r="AO468" s="112" t="n">
        <v>20.54</v>
      </c>
      <c r="AP468" s="121" t="n">
        <v>22.31</v>
      </c>
      <c r="AQ468" s="121" t="n">
        <v>68.66</v>
      </c>
      <c r="AR468" s="121" t="n">
        <v>-0.83</v>
      </c>
      <c r="AS468" s="121" t="n">
        <v>28.26</v>
      </c>
      <c r="AT468" s="121" t="n">
        <v>76.87</v>
      </c>
      <c r="AU468" s="121" t="n">
        <v>4</v>
      </c>
      <c r="AV468" s="121" t="n">
        <v>21.85</v>
      </c>
      <c r="AW468" s="121" t="n">
        <v>74.88</v>
      </c>
      <c r="AX468" s="121" t="n">
        <v>2.41</v>
      </c>
      <c r="AY468" s="121" t="n">
        <v>83.29000000000001</v>
      </c>
      <c r="AZ468" s="121" t="n">
        <v>-6.22</v>
      </c>
      <c r="BA468" s="121" t="n">
        <v>-6.42</v>
      </c>
      <c r="BB468" s="108" t="inlineStr">
        <is>
          <t>HSTECH (Hang Seng TECH ETF)</t>
        </is>
      </c>
      <c r="BC468" s="121" t="n">
        <v>-15.42</v>
      </c>
      <c r="BD468" s="109" t="n">
        <v>46297</v>
      </c>
      <c r="BE468" s="110" t="n">
        <v>161.3</v>
      </c>
      <c r="BF468" s="113" t="n">
        <v>-253.2</v>
      </c>
      <c r="BG468" s="108" t="inlineStr">
        <is>
          <t>N</t>
        </is>
      </c>
      <c r="BH468" s="108" t="inlineStr">
        <is>
          <t>n/m</t>
        </is>
      </c>
      <c r="BI468" s="122" t="n"/>
      <c r="BJ468" s="122" t="n"/>
      <c r="BK468" s="123" t="n">
        <v>60.7</v>
      </c>
      <c r="BL468" s="124">
        <f>IF('BBG Verify'!S468="","not filed; run on terminal",'BBG Verify'!S468)</f>
        <v/>
      </c>
      <c r="BM468" s="125" t="inlineStr">
        <is>
          <t>N</t>
        </is>
      </c>
      <c r="BN468" s="126">
        <f>IF('BBG Verify'!K468="","not filed; run on terminal",'BBG Verify'!K468)</f>
        <v/>
      </c>
      <c r="BO468" s="108" t="inlineStr">
        <is>
          <t>N/A</t>
        </is>
      </c>
      <c r="BP468" s="108" t="inlineStr">
        <is>
          <t>N/A</t>
        </is>
      </c>
      <c r="BQ468" s="108" t="inlineStr">
        <is>
          <t>N/A</t>
        </is>
      </c>
      <c r="BR468" s="108" t="inlineStr">
        <is>
          <t>N/A</t>
        </is>
      </c>
      <c r="BS468" s="108" t="inlineStr">
        <is>
          <t>N/A</t>
        </is>
      </c>
      <c r="BT468" s="108" t="inlineStr">
        <is>
          <t>N/A</t>
        </is>
      </c>
      <c r="BU468" s="125" t="inlineStr">
        <is>
          <t>CITIC Securities (Hong Kong) Limited</t>
        </is>
      </c>
      <c r="BV468" s="108" t="inlineStr">
        <is>
          <t>CITIC Securities (Hong Kong) Limited</t>
        </is>
      </c>
      <c r="BW468" s="108" t="inlineStr">
        <is>
          <t>Hong Tai Securities Limited; Futu Securities International (Hong Kong) Limited; CEB International Capital Corporation Limited; uSmart Securities Limited; Quam Securities Limited; Lego Securities Limited; Patrons Securities Limited; SBI China Capital Financial Services Limited; CLSA Limited; BOCOM International Securities Limited; DBS Asia Capital Limited; China Galaxy International Securities (Hong Kong) Co., Limited</t>
        </is>
      </c>
      <c r="BX468" s="108" t="inlineStr">
        <is>
          <t>BOCOM International Securities Limited; CEB International Capital Corporation Limited; China Galaxy International Securities (Hong Kong) Company Limited; CLSA Limited; CNCB (Hong Kong) Capital Limited; DBS Asia Capital Limited; Futu Securities International (Hong Kong) Limited; Hong Tai Securities Limited; Lego Securities Limited; Patrons Securities Limited; Quam Securities Limited; SBI China Capital Financial Services Limited</t>
        </is>
      </c>
      <c r="BY468" s="127">
        <f>HYPERLINK("https://www1.hkexnews.hk/listedco/listconews/sehk/2026/0512/2026051200147.pdf","prospectus")</f>
        <v/>
      </c>
      <c r="BZ468" s="127">
        <f>HYPERLINK("https://www1.hkexnews.hk/listedco/listconews/sehk/2026/0519/2026051901257.pdf","allotment")</f>
        <v/>
      </c>
      <c r="CA468" s="119" t="n"/>
      <c r="CB468" s="128" t="n"/>
      <c r="CC468" s="108" t="inlineStr">
        <is>
          <t>P/E: loss-making at IPO, use P/S; greenshoe: no over-allotment option; range low: maximum offer price only, no floor published; market cap: prospectus 'market capitalisation' line is the listing-rule threshold, not the issuer's figure; rejected; greenshoe size: no over-allotment option; stabilising manager: no over-allotment option, so none appointed</t>
        </is>
      </c>
    </row>
    <row r="469" ht="22" customHeight="1">
      <c r="A469" s="107" t="inlineStr">
        <is>
          <t>7688</t>
        </is>
      </c>
      <c r="B469" s="108" t="inlineStr">
        <is>
          <t>TOPNC</t>
        </is>
      </c>
      <c r="C469" s="108" t="inlineStr">
        <is>
          <t>拓璞數控</t>
        </is>
      </c>
      <c r="D469" s="108" t="inlineStr">
        <is>
          <t>Industrials</t>
        </is>
      </c>
      <c r="E469" s="108" t="inlineStr">
        <is>
          <t>Capital goods / machinery</t>
        </is>
      </c>
      <c r="F469" s="108" t="inlineStr">
        <is>
          <t>Electrical Components &amp; Equipment</t>
        </is>
      </c>
      <c r="G469" s="108" t="inlineStr">
        <is>
          <t>Standard</t>
        </is>
      </c>
      <c r="H469" s="109" t="n">
        <v>46162</v>
      </c>
      <c r="I469" s="110" t="n">
        <v>1724</v>
      </c>
      <c r="J469" s="108" t="inlineStr">
        <is>
          <t>gross (stated)</t>
        </is>
      </c>
      <c r="K469" s="129" t="n"/>
      <c r="L469" s="111" t="n">
        <v>26.39</v>
      </c>
      <c r="M469" s="111" t="n">
        <v>26.39</v>
      </c>
      <c r="N469" s="108" t="inlineStr">
        <is>
          <t>Y</t>
        </is>
      </c>
      <c r="O469" s="112" t="n">
        <v>100</v>
      </c>
      <c r="P469" s="118" t="n"/>
      <c r="Q469" s="113" t="n">
        <v>9631.299999999999</v>
      </c>
      <c r="R469" s="108" t="inlineStr">
        <is>
          <t>derived:deal size / offer % of enlarged capital</t>
        </is>
      </c>
      <c r="S469" s="114" t="n">
        <v>3764.63</v>
      </c>
      <c r="T469" s="115" t="n">
        <v>30.46</v>
      </c>
      <c r="U469" s="116" t="n">
        <v>50</v>
      </c>
      <c r="V469" s="117" t="n">
        <v>104</v>
      </c>
      <c r="W469" s="112" t="n">
        <v>10</v>
      </c>
      <c r="X469" s="108" t="inlineStr">
        <is>
          <t>NO</t>
        </is>
      </c>
      <c r="Y469" s="113" t="n">
        <v>862</v>
      </c>
      <c r="Z469" s="113" t="n">
        <v>32665000</v>
      </c>
      <c r="AA469" s="112" t="n">
        <v>8.949999999999999</v>
      </c>
      <c r="AB469" s="108" t="inlineStr">
        <is>
          <t>RBC Global Asset Management (Asia) Limited; 3W Fund Management Limited; Boyu Capital Management (Singapore) Pte. Ltd. (Notes 3 and 4); HHLR Advisors, Ltd; UBS Asset Management (Singapore) Ltd; CDH Global Frontier Ventures Limited; Cithara Global Multi-Strategy SPC — Disruptive Innovation Investment Fund SP; Fullgoal Asset Management (HK) Limited; Fullgoal Fund Management Co., Ltd; China Asset Management Co., Ltd; Shanghai Minhang Financial Investment Development Co., Ltd. (Notes 3 and 7); TT International Asset Management Ltd; Mirae Asset Securities Co., Ltd; Goldman Sachs Asset Management (Hong Kong) Limited</t>
        </is>
      </c>
      <c r="AC469" s="108" t="inlineStr">
        <is>
          <t>rbc;3w;boyu;hhlr;ubs;cdh;cithara;fullgoal;china-asset;shanghai-minhang;tt;mirae;goldman</t>
        </is>
      </c>
      <c r="AD469" s="112" t="n">
        <v>15</v>
      </c>
      <c r="AE469" s="108" t="inlineStr">
        <is>
          <t>full</t>
        </is>
      </c>
      <c r="AF469" s="119" t="n"/>
      <c r="AG469" s="108" t="inlineStr">
        <is>
          <t>Guotai Junan Securities</t>
        </is>
      </c>
      <c r="AH469" s="108" t="inlineStr">
        <is>
          <t>Guotai Junan</t>
        </is>
      </c>
      <c r="AI469" s="120" t="n">
        <v>47.78</v>
      </c>
      <c r="AJ469" s="121" t="n">
        <v>79.98999999999999</v>
      </c>
      <c r="AK469" s="121" t="n">
        <v>-0.34</v>
      </c>
      <c r="AL469" s="121" t="n">
        <v>40.2</v>
      </c>
      <c r="AM469" s="121" t="n">
        <v>28.38</v>
      </c>
      <c r="AN469" s="123" t="n">
        <v>6.2</v>
      </c>
      <c r="AO469" s="112" t="n">
        <v>39.46</v>
      </c>
      <c r="AP469" s="121" t="n">
        <v>35.66</v>
      </c>
      <c r="AQ469" s="121" t="n">
        <v>11.25</v>
      </c>
      <c r="AR469" s="121" t="n">
        <v>-38.8</v>
      </c>
      <c r="AS469" s="121" t="n">
        <v>-24.63</v>
      </c>
      <c r="AT469" s="121" t="n">
        <v>-38.19</v>
      </c>
      <c r="AU469" s="121" t="n">
        <v>-66</v>
      </c>
      <c r="AV469" s="121" t="n">
        <v>39.23</v>
      </c>
      <c r="AW469" s="121" t="n">
        <v>21.16</v>
      </c>
      <c r="AX469" s="121" t="n">
        <v>-37.74</v>
      </c>
      <c r="AY469" s="121" t="n">
        <v>-28.58</v>
      </c>
      <c r="AZ469" s="121" t="n">
        <v>-9.91</v>
      </c>
      <c r="BA469" s="121" t="n">
        <v>-9.609999999999999</v>
      </c>
      <c r="BB469" s="108" t="inlineStr">
        <is>
          <t>Hang Seng Commerce &amp; Industry sub-index</t>
        </is>
      </c>
      <c r="BC469" s="121" t="n">
        <v>-30.01</v>
      </c>
      <c r="BD469" s="109" t="n">
        <v>46297</v>
      </c>
      <c r="BE469" s="110" t="n">
        <v>635.8</v>
      </c>
      <c r="BF469" s="131" t="n"/>
      <c r="BG469" s="108" t="inlineStr">
        <is>
          <t>Y</t>
        </is>
      </c>
      <c r="BH469" s="124">
        <f>IF('BBG Verify'!O469="","not filed; run on terminal",'BBG Verify'!O469)</f>
        <v/>
      </c>
      <c r="BI469" s="122" t="n"/>
      <c r="BJ469" s="122" t="n"/>
      <c r="BK469" s="123" t="n">
        <v>15.1</v>
      </c>
      <c r="BL469" s="124">
        <f>IF('BBG Verify'!S469="","not filed; run on terminal",'BBG Verify'!S469)</f>
        <v/>
      </c>
      <c r="BM469" s="125" t="inlineStr">
        <is>
          <t>N</t>
        </is>
      </c>
      <c r="BN469" s="126">
        <f>IF('BBG Verify'!K469="","not filed; run on terminal",'BBG Verify'!K469)</f>
        <v/>
      </c>
      <c r="BO469" s="108" t="inlineStr">
        <is>
          <t>N/A</t>
        </is>
      </c>
      <c r="BP469" s="108" t="inlineStr">
        <is>
          <t>N/A</t>
        </is>
      </c>
      <c r="BQ469" s="108" t="inlineStr">
        <is>
          <t>N/A</t>
        </is>
      </c>
      <c r="BR469" s="108" t="inlineStr">
        <is>
          <t>N/A</t>
        </is>
      </c>
      <c r="BS469" s="108" t="inlineStr">
        <is>
          <t>N/A</t>
        </is>
      </c>
      <c r="BT469" s="108" t="inlineStr">
        <is>
          <t>N/A</t>
        </is>
      </c>
      <c r="BU469" s="125" t="inlineStr">
        <is>
          <t>Guotai Junan Capital Limited; CCB International Capital Limited</t>
        </is>
      </c>
      <c r="BV469" s="108" t="inlineStr">
        <is>
          <t>CCB International Capital Limited; Guotai Junan Capital Limited</t>
        </is>
      </c>
      <c r="BW469" s="108" t="inlineStr">
        <is>
          <t>Guotai Junan Securities (Hong Kong) Limited; CCB International Capital Limited; SBI China Capital Financial Services Limited; BOCI Asia Limited; CMB International Capital Limited</t>
        </is>
      </c>
      <c r="BX469" s="108" t="inlineStr">
        <is>
          <t>BOCI Asia Limited; CCB International Capital Limited; CMB International Capital Limited; Guotai Junan Securities (Hong Kong) Limited; SBI China Capital Financial Services Limited</t>
        </is>
      </c>
      <c r="BY469" s="127">
        <f>HYPERLINK("https://www1.hkexnews.hk/listedco/listconews/sehk/2026/0512/2026051200017.pdf","prospectus")</f>
        <v/>
      </c>
      <c r="BZ469" s="127">
        <f>HYPERLINK("https://www1.hkexnews.hk/listedco/listconews/sehk/2026/0519/2026051901261.pdf","allotment")</f>
        <v/>
      </c>
      <c r="CA469" s="127">
        <f>HYPERLINK("https://www1.hkexnews.hk/listedco/listconews/sehk/2026/0614/2026061400165.pdf","stabilisation")</f>
        <v/>
      </c>
      <c r="CB469" s="128" t="n"/>
      <c r="CC469" s="108" t="inlineStr">
        <is>
          <t>P/E: withheld: 32,104x fails the 300x plausibility cap; extracted net income HK$0.3m suspect; greenshoe: outcome published; expiry date not in the notice; range low: maximum offer price only, no floor published; financials: not extractable; pre-IPO year outside the AAStocks window</t>
        </is>
      </c>
    </row>
    <row r="470" ht="22" customHeight="1">
      <c r="A470" s="107" t="inlineStr">
        <is>
          <t>6872</t>
        </is>
      </c>
      <c r="B470" s="108" t="inlineStr">
        <is>
          <t>TENNOR THERAP-B</t>
        </is>
      </c>
      <c r="C470" s="108" t="inlineStr">
        <is>
          <t>丹諾醫藥－B</t>
        </is>
      </c>
      <c r="D470" s="108" t="inlineStr">
        <is>
          <t>Healthcare</t>
        </is>
      </c>
      <c r="E470" s="108" t="inlineStr">
        <is>
          <t>Biotech pre-revenue (18A)</t>
        </is>
      </c>
      <c r="F470" s="108" t="inlineStr">
        <is>
          <t>Pharmaceuticals</t>
        </is>
      </c>
      <c r="G470" s="108" t="inlineStr">
        <is>
          <t>18A</t>
        </is>
      </c>
      <c r="H470" s="109" t="n">
        <v>46164</v>
      </c>
      <c r="I470" s="110" t="n">
        <v>670.4</v>
      </c>
      <c r="J470" s="108" t="inlineStr">
        <is>
          <t>gross (stated)</t>
        </is>
      </c>
      <c r="K470" s="129" t="n"/>
      <c r="L470" s="111" t="n">
        <v>75.7</v>
      </c>
      <c r="M470" s="111" t="n">
        <v>75.7</v>
      </c>
      <c r="N470" s="108" t="inlineStr">
        <is>
          <t>Y</t>
        </is>
      </c>
      <c r="O470" s="112" t="n">
        <v>100</v>
      </c>
      <c r="P470" s="118" t="n"/>
      <c r="Q470" s="113" t="n">
        <v>3961.3</v>
      </c>
      <c r="R470" s="108" t="inlineStr">
        <is>
          <t>derived:price x shares upon listing</t>
        </is>
      </c>
      <c r="S470" s="114" t="n">
        <v>9015.110000000001</v>
      </c>
      <c r="T470" s="115" t="n">
        <v>9.24</v>
      </c>
      <c r="U470" s="116" t="n">
        <v>34.81</v>
      </c>
      <c r="V470" s="117" t="n">
        <v>81</v>
      </c>
      <c r="W470" s="112" t="n">
        <v>9.35</v>
      </c>
      <c r="X470" s="108" t="inlineStr">
        <is>
          <t>NA</t>
        </is>
      </c>
      <c r="Y470" s="113" t="n">
        <v>437.03</v>
      </c>
      <c r="Z470" s="113" t="n">
        <v>5773226</v>
      </c>
      <c r="AA470" s="112" t="n">
        <v>11.03</v>
      </c>
      <c r="AB470" s="108" t="inlineStr">
        <is>
          <t>AMR Action Fund, L.P; AMR Action Fund, SCSp; Orient Asset Management (Hong Kong) Limited 有限公 司; June Star Global Limited</t>
        </is>
      </c>
      <c r="AC470" s="108" t="inlineStr">
        <is>
          <t>amr;orient;june</t>
        </is>
      </c>
      <c r="AD470" s="112" t="n">
        <v>5.5</v>
      </c>
      <c r="AE470" s="119" t="n"/>
      <c r="AF470" s="119" t="n"/>
      <c r="AG470" s="108" t="inlineStr">
        <is>
          <t>CLSA Limited</t>
        </is>
      </c>
      <c r="AH470" s="108" t="inlineStr">
        <is>
          <t>CLSA</t>
        </is>
      </c>
      <c r="AI470" s="120" t="n">
        <v>94.84999999999999</v>
      </c>
      <c r="AJ470" s="121" t="n">
        <v>178.73</v>
      </c>
      <c r="AK470" s="121" t="n">
        <v>-0.9399999999999999</v>
      </c>
      <c r="AL470" s="121" t="n">
        <v>98.15000000000001</v>
      </c>
      <c r="AM470" s="121" t="n">
        <v>40.67</v>
      </c>
      <c r="AN470" s="123" t="n">
        <v>2.97</v>
      </c>
      <c r="AO470" s="112" t="n">
        <v>51.47</v>
      </c>
      <c r="AP470" s="121" t="n">
        <v>166.84</v>
      </c>
      <c r="AQ470" s="121" t="n">
        <v>248.22</v>
      </c>
      <c r="AR470" s="121" t="n">
        <v>164.99</v>
      </c>
      <c r="AS470" s="121" t="n">
        <v>-4.27</v>
      </c>
      <c r="AT470" s="121" t="n">
        <v>24.93</v>
      </c>
      <c r="AU470" s="121" t="n">
        <v>-4.93</v>
      </c>
      <c r="AV470" s="121" t="n">
        <v>169.52</v>
      </c>
      <c r="AW470" s="121" t="n">
        <v>256.1</v>
      </c>
      <c r="AX470" s="121" t="n">
        <v>153.42</v>
      </c>
      <c r="AY470" s="121" t="n">
        <v>31.94</v>
      </c>
      <c r="AZ470" s="121" t="n">
        <v>-7.88</v>
      </c>
      <c r="BA470" s="121" t="n">
        <v>-7.01</v>
      </c>
      <c r="BB470" s="108" t="inlineStr">
        <is>
          <t>China Biotech ETF (HS biotech proxy)</t>
        </is>
      </c>
      <c r="BC470" s="121" t="n">
        <v>48.08</v>
      </c>
      <c r="BD470" s="109" t="n">
        <v>46297</v>
      </c>
      <c r="BE470" s="110" t="n">
        <v>0</v>
      </c>
      <c r="BF470" s="113" t="n">
        <v>-168.5</v>
      </c>
      <c r="BG470" s="108" t="inlineStr">
        <is>
          <t>N</t>
        </is>
      </c>
      <c r="BH470" s="108" t="inlineStr">
        <is>
          <t>n/m</t>
        </is>
      </c>
      <c r="BI470" s="122" t="n"/>
      <c r="BJ470" s="122" t="n"/>
      <c r="BK470" s="108" t="inlineStr">
        <is>
          <t>pre-rev</t>
        </is>
      </c>
      <c r="BL470" s="124">
        <f>IF('BBG Verify'!S470="","not filed; run on terminal",'BBG Verify'!S470)</f>
        <v/>
      </c>
      <c r="BM470" s="125" t="inlineStr">
        <is>
          <t>N</t>
        </is>
      </c>
      <c r="BN470" s="126">
        <f>IF('BBG Verify'!K470="","not filed; run on terminal",'BBG Verify'!K470)</f>
        <v/>
      </c>
      <c r="BO470" s="108" t="inlineStr">
        <is>
          <t>N/A</t>
        </is>
      </c>
      <c r="BP470" s="108" t="inlineStr">
        <is>
          <t>N/A</t>
        </is>
      </c>
      <c r="BQ470" s="108" t="inlineStr">
        <is>
          <t>N/A</t>
        </is>
      </c>
      <c r="BR470" s="108" t="inlineStr">
        <is>
          <t>N/A</t>
        </is>
      </c>
      <c r="BS470" s="108" t="inlineStr">
        <is>
          <t>N/A</t>
        </is>
      </c>
      <c r="BT470" s="108" t="inlineStr">
        <is>
          <t>N/A</t>
        </is>
      </c>
      <c r="BU470" s="125" t="inlineStr">
        <is>
          <t>CITIC Securities (Hong Kong) Limited; ABCI Capital Limited</t>
        </is>
      </c>
      <c r="BV470" s="108" t="inlineStr">
        <is>
          <t>CITIC Securities (Hong Kong) Limited; ABCI Capital Limited</t>
        </is>
      </c>
      <c r="BW470" s="108" t="inlineStr">
        <is>
          <t>CLSA Limited; ABCI Capital Limited; China Renaissance Securities (Hong Kong) Limited</t>
        </is>
      </c>
      <c r="BX470" s="108" t="inlineStr">
        <is>
          <t>ABCI Securities Company Limited; CLSA Limited; China Renaissance Securities (Hong Kong) Limited; Futu Securities International (Hong Kong) Limited; Tiger Brokers (HK) Global Limited</t>
        </is>
      </c>
      <c r="BY470" s="127">
        <f>HYPERLINK("https://www1.hkexnews.hk/listedco/listconews/sehk/2026/0514/2026051400013.pdf","prospectus")</f>
        <v/>
      </c>
      <c r="BZ470" s="127">
        <f>HYPERLINK("https://www1.hkexnews.hk/listedco/listconews/sehk/2026/0521/2026052101298.pdf","allotment")</f>
        <v/>
      </c>
      <c r="CA470" s="119" t="n"/>
      <c r="CB470" s="128" t="n"/>
      <c r="CC470" s="108" t="inlineStr">
        <is>
          <t>P/E: loss-making at IPO, use P/S; greenshoe: end-of-stabilisation notice not found; range low: maximum offer price only, no floor published; P/S: pre-revenue issuer, no sales multiple</t>
        </is>
      </c>
    </row>
    <row r="471" ht="22" customHeight="1">
      <c r="A471" s="107" t="inlineStr">
        <is>
          <t>3310</t>
        </is>
      </c>
      <c r="B471" s="108" t="inlineStr">
        <is>
          <t>VIEWTRIX TECH</t>
        </is>
      </c>
      <c r="C471" s="108" t="inlineStr">
        <is>
          <t>雲英谷科技</t>
        </is>
      </c>
      <c r="D471" s="108" t="inlineStr">
        <is>
          <t>Tech/AI</t>
        </is>
      </c>
      <c r="E471" s="108" t="inlineStr">
        <is>
          <t>Image / display semiconductors</t>
        </is>
      </c>
      <c r="F471" s="108" t="inlineStr">
        <is>
          <t>Semiconductors &amp; Semiconductor Equipment</t>
        </is>
      </c>
      <c r="G471" s="108" t="inlineStr">
        <is>
          <t>Standard</t>
        </is>
      </c>
      <c r="H471" s="109" t="n">
        <v>46169</v>
      </c>
      <c r="I471" s="110" t="n">
        <v>1100</v>
      </c>
      <c r="J471" s="108" t="inlineStr">
        <is>
          <t>gross (stated)</t>
        </is>
      </c>
      <c r="K471" s="129" t="n"/>
      <c r="L471" s="111" t="n">
        <v>20.81</v>
      </c>
      <c r="M471" s="111" t="n">
        <v>20.81</v>
      </c>
      <c r="N471" s="108" t="inlineStr">
        <is>
          <t>Y</t>
        </is>
      </c>
      <c r="O471" s="112" t="n">
        <v>100</v>
      </c>
      <c r="P471" s="118" t="n"/>
      <c r="Q471" s="113" t="n">
        <v>7857.1</v>
      </c>
      <c r="R471" s="108" t="inlineStr">
        <is>
          <t>derived:deal size / offer % of enlarged capital</t>
        </is>
      </c>
      <c r="S471" s="114" t="n">
        <v>3559.68</v>
      </c>
      <c r="T471" s="115" t="n">
        <v>7.05</v>
      </c>
      <c r="U471" s="116" t="n">
        <v>35.37</v>
      </c>
      <c r="V471" s="117" t="n">
        <v>72</v>
      </c>
      <c r="W471" s="112" t="n">
        <v>10</v>
      </c>
      <c r="X471" s="108" t="inlineStr">
        <is>
          <t>NA</t>
        </is>
      </c>
      <c r="Y471" s="113" t="n">
        <v>710.9299999999999</v>
      </c>
      <c r="Z471" s="113" t="n">
        <v>34162901</v>
      </c>
      <c r="AA471" s="112" t="n">
        <v>9.050000000000001</v>
      </c>
      <c r="AB471" s="108" t="inlineStr">
        <is>
          <t>Digital Vista GD Investment LP; SpreadCom Limited</t>
        </is>
      </c>
      <c r="AC471" s="108" t="inlineStr">
        <is>
          <t>digital;spreadcom</t>
        </is>
      </c>
      <c r="AD471" s="112" t="n">
        <v>15</v>
      </c>
      <c r="AE471" s="108" t="inlineStr">
        <is>
          <t>full</t>
        </is>
      </c>
      <c r="AF471" s="108" t="inlineStr">
        <is>
          <t>2026-06-20</t>
        </is>
      </c>
      <c r="AG471" s="108" t="inlineStr">
        <is>
          <t>China International Capital Corporation Hong Kong Securities Limited</t>
        </is>
      </c>
      <c r="AH471" s="108" t="inlineStr">
        <is>
          <t>China International</t>
        </is>
      </c>
      <c r="AI471" s="120" t="n">
        <v>20.81</v>
      </c>
      <c r="AJ471" s="121" t="n">
        <v>91.73</v>
      </c>
      <c r="AK471" s="121" t="n">
        <v>-0.79</v>
      </c>
      <c r="AL471" s="121" t="n">
        <v>22.44</v>
      </c>
      <c r="AM471" s="121" t="n">
        <v>56.59</v>
      </c>
      <c r="AN471" s="123" t="n">
        <v>3.18</v>
      </c>
      <c r="AO471" s="112" t="n">
        <v>56.91</v>
      </c>
      <c r="AP471" s="121" t="n">
        <v>66.94</v>
      </c>
      <c r="AQ471" s="121" t="n">
        <v>60.98</v>
      </c>
      <c r="AR471" s="121" t="n">
        <v>34.45</v>
      </c>
      <c r="AS471" s="121" t="n">
        <v>-12.93</v>
      </c>
      <c r="AT471" s="121" t="n">
        <v>-16.04</v>
      </c>
      <c r="AU471" s="121" t="n">
        <v>-29.88</v>
      </c>
      <c r="AV471" s="121" t="n">
        <v>64.67</v>
      </c>
      <c r="AW471" s="121" t="n">
        <v>74.62</v>
      </c>
      <c r="AX471" s="121" t="n">
        <v>40.81</v>
      </c>
      <c r="AY471" s="121" t="n">
        <v>-3.09</v>
      </c>
      <c r="AZ471" s="121" t="n">
        <v>-13.64</v>
      </c>
      <c r="BA471" s="121" t="n">
        <v>-12.95</v>
      </c>
      <c r="BB471" s="108" t="inlineStr">
        <is>
          <t>HSTECH (Hang Seng TECH ETF)</t>
        </is>
      </c>
      <c r="BC471" s="121" t="n">
        <v>20.9</v>
      </c>
      <c r="BD471" s="109" t="n">
        <v>46297</v>
      </c>
      <c r="BE471" s="110" t="n">
        <v>980.4</v>
      </c>
      <c r="BF471" s="113" t="n">
        <v>-253.4</v>
      </c>
      <c r="BG471" s="108" t="inlineStr">
        <is>
          <t>N</t>
        </is>
      </c>
      <c r="BH471" s="108" t="inlineStr">
        <is>
          <t>n/m</t>
        </is>
      </c>
      <c r="BI471" s="122" t="n"/>
      <c r="BJ471" s="122" t="n"/>
      <c r="BK471" s="123" t="n">
        <v>8</v>
      </c>
      <c r="BL471" s="124">
        <f>IF('BBG Verify'!S471="","not filed; run on terminal",'BBG Verify'!S471)</f>
        <v/>
      </c>
      <c r="BM471" s="125" t="inlineStr">
        <is>
          <t>N</t>
        </is>
      </c>
      <c r="BN471" s="126">
        <f>IF('BBG Verify'!K471="","not filed; run on terminal",'BBG Verify'!K471)</f>
        <v/>
      </c>
      <c r="BO471" s="108" t="inlineStr">
        <is>
          <t>N/A</t>
        </is>
      </c>
      <c r="BP471" s="108" t="inlineStr">
        <is>
          <t>N/A</t>
        </is>
      </c>
      <c r="BQ471" s="108" t="inlineStr">
        <is>
          <t>N/A</t>
        </is>
      </c>
      <c r="BR471" s="108" t="inlineStr">
        <is>
          <t>N/A</t>
        </is>
      </c>
      <c r="BS471" s="108" t="inlineStr">
        <is>
          <t>N/A</t>
        </is>
      </c>
      <c r="BT471" s="108" t="inlineStr">
        <is>
          <t>N/A</t>
        </is>
      </c>
      <c r="BU471" s="125" t="inlineStr">
        <is>
          <t>China International Capital Corporation Hong Kong Securities Limited; CITIC Securities (Hong Kong) Limited</t>
        </is>
      </c>
      <c r="BV471" s="108" t="inlineStr">
        <is>
          <t>China International Capital Corporation Hong Kong Securities Limited; CITIC Securities (Hong Kong) Limited</t>
        </is>
      </c>
      <c r="BW471" s="108" t="inlineStr">
        <is>
          <t>CLSA Limited; GF Securities (Hong Kong) Brokerage Limited; A VICT Global Asset Management Limited; Webull Securities Limited</t>
        </is>
      </c>
      <c r="BX471" s="108" t="inlineStr">
        <is>
          <t>AVICT Global Asset Management Limited; China International Capital Corporation Hong Kong Securities Limited; CLSA Limited; GF Securities (Hong Kong) Brokerage Limited; Webull Securities Limited</t>
        </is>
      </c>
      <c r="BY471" s="127">
        <f>HYPERLINK("https://www1.hkexnews.hk/listedco/listconews/sehk/2026/0518/2026051800021.pdf","prospectus")</f>
        <v/>
      </c>
      <c r="BZ471" s="127">
        <f>HYPERLINK("https://www1.hkexnews.hk/listedco/listconews/sehk/2026/0526/2026052601908.pdf","allotment")</f>
        <v/>
      </c>
      <c r="CA471" s="127">
        <f>HYPERLINK("https://www1.hkexnews.hk/listedco/listconews/sehk/2026/0621/2026062100023.pdf","stabilisation")</f>
        <v/>
      </c>
      <c r="CB471" s="128" t="n"/>
      <c r="CC471" s="108" t="inlineStr">
        <is>
          <t>P/E: loss-making at IPO, use P/S; range low: maximum offer price only, no floor published</t>
        </is>
      </c>
    </row>
    <row r="472" ht="22" customHeight="1">
      <c r="A472" s="107" t="inlineStr">
        <is>
          <t>2723</t>
        </is>
      </c>
      <c r="B472" s="108" t="inlineStr">
        <is>
          <t>DEEPZERO</t>
        </is>
      </c>
      <c r="C472" s="108" t="inlineStr">
        <is>
          <t>深演智能</t>
        </is>
      </c>
      <c r="D472" s="108" t="inlineStr">
        <is>
          <t>Tech/AI</t>
        </is>
      </c>
      <c r="E472" s="108" t="inlineStr">
        <is>
          <t>AI application / agent software</t>
        </is>
      </c>
      <c r="F472" s="108" t="inlineStr">
        <is>
          <t>Next-generation information technology</t>
        </is>
      </c>
      <c r="G472" s="108" t="inlineStr">
        <is>
          <t>Standard</t>
        </is>
      </c>
      <c r="H472" s="109" t="n">
        <v>46169</v>
      </c>
      <c r="I472" s="110" t="n">
        <v>503.3</v>
      </c>
      <c r="J472" s="108" t="inlineStr">
        <is>
          <t>gross (stated)</t>
        </is>
      </c>
      <c r="K472" s="111" t="n">
        <v>43.5</v>
      </c>
      <c r="L472" s="111" t="n">
        <v>55.5</v>
      </c>
      <c r="M472" s="111" t="n">
        <v>55.5</v>
      </c>
      <c r="N472" s="108" t="inlineStr">
        <is>
          <t>Y</t>
        </is>
      </c>
      <c r="O472" s="112" t="n">
        <v>100</v>
      </c>
      <c r="P472" s="112" t="n">
        <v>100</v>
      </c>
      <c r="Q472" s="113" t="n">
        <v>5032.7</v>
      </c>
      <c r="R472" s="108" t="inlineStr">
        <is>
          <t>derived:price x shares upon listing</t>
        </is>
      </c>
      <c r="S472" s="114" t="n">
        <v>5480.23</v>
      </c>
      <c r="T472" s="115" t="n">
        <v>3.41</v>
      </c>
      <c r="U472" s="116" t="n">
        <v>0</v>
      </c>
      <c r="V472" s="117" t="n">
        <v>78</v>
      </c>
      <c r="W472" s="118" t="n"/>
      <c r="X472" s="119" t="n"/>
      <c r="Y472" s="113" t="n">
        <v>503.3</v>
      </c>
      <c r="Z472" s="113" t="n">
        <v>9068000</v>
      </c>
      <c r="AA472" s="112" t="n">
        <v>10</v>
      </c>
      <c r="AB472" s="108" t="inlineStr">
        <is>
          <t>none — no cornerstone tranche</t>
        </is>
      </c>
      <c r="AC472" s="108" t="inlineStr">
        <is>
          <t>none</t>
        </is>
      </c>
      <c r="AD472" s="118" t="n"/>
      <c r="AE472" s="119" t="n"/>
      <c r="AF472" s="119" t="n"/>
      <c r="AG472" s="119" t="n"/>
      <c r="AH472" s="119" t="n"/>
      <c r="AI472" s="120" t="n">
        <v>168.47</v>
      </c>
      <c r="AJ472" s="121" t="n">
        <v>265.77</v>
      </c>
      <c r="AK472" s="121" t="n">
        <v>-0.79</v>
      </c>
      <c r="AL472" s="121" t="n">
        <v>179.28</v>
      </c>
      <c r="AM472" s="121" t="n">
        <v>30.97</v>
      </c>
      <c r="AN472" s="122" t="n"/>
      <c r="AO472" s="112" t="n">
        <v>48.39</v>
      </c>
      <c r="AP472" s="121" t="n">
        <v>543.24</v>
      </c>
      <c r="AQ472" s="121" t="n">
        <v>484.14</v>
      </c>
      <c r="AR472" s="121" t="n">
        <v>1085.59</v>
      </c>
      <c r="AS472" s="121" t="n">
        <v>75.86</v>
      </c>
      <c r="AT472" s="121" t="n">
        <v>59.7</v>
      </c>
      <c r="AU472" s="121" t="n">
        <v>224.14</v>
      </c>
      <c r="AV472" s="121" t="n">
        <v>540.97</v>
      </c>
      <c r="AW472" s="121" t="n">
        <v>497.78</v>
      </c>
      <c r="AX472" s="121" t="n">
        <v>1091.95</v>
      </c>
      <c r="AY472" s="121" t="n">
        <v>72.65000000000001</v>
      </c>
      <c r="AZ472" s="121" t="n">
        <v>-13.64</v>
      </c>
      <c r="BA472" s="121" t="n">
        <v>-12.95</v>
      </c>
      <c r="BB472" s="108" t="inlineStr">
        <is>
          <t>HSTECH (Hang Seng TECH ETF)</t>
        </is>
      </c>
      <c r="BC472" s="121" t="n">
        <v>1154.95</v>
      </c>
      <c r="BD472" s="109" t="n">
        <v>46297</v>
      </c>
      <c r="BE472" s="110" t="n">
        <v>634.2</v>
      </c>
      <c r="BF472" s="131" t="n"/>
      <c r="BG472" s="108" t="inlineStr">
        <is>
          <t>Y</t>
        </is>
      </c>
      <c r="BH472" s="124">
        <f>IF('BBG Verify'!O472="","not filed; run on terminal",'BBG Verify'!O472)</f>
        <v/>
      </c>
      <c r="BI472" s="122" t="n"/>
      <c r="BJ472" s="123" t="n">
        <v>4730.6</v>
      </c>
      <c r="BK472" s="123" t="n">
        <v>7.9</v>
      </c>
      <c r="BL472" s="124">
        <f>IF('BBG Verify'!S472="","not filed; run on terminal",'BBG Verify'!S472)</f>
        <v/>
      </c>
      <c r="BM472" s="125" t="inlineStr">
        <is>
          <t>N</t>
        </is>
      </c>
      <c r="BN472" s="126">
        <f>IF('BBG Verify'!K472="","not filed; run on terminal",'BBG Verify'!K472)</f>
        <v/>
      </c>
      <c r="BO472" s="108" t="inlineStr">
        <is>
          <t>N/A</t>
        </is>
      </c>
      <c r="BP472" s="108" t="inlineStr">
        <is>
          <t>N/A</t>
        </is>
      </c>
      <c r="BQ472" s="108" t="inlineStr">
        <is>
          <t>N/A</t>
        </is>
      </c>
      <c r="BR472" s="108" t="inlineStr">
        <is>
          <t>N/A</t>
        </is>
      </c>
      <c r="BS472" s="108" t="inlineStr">
        <is>
          <t>N/A</t>
        </is>
      </c>
      <c r="BT472" s="108" t="inlineStr">
        <is>
          <t>N/A</t>
        </is>
      </c>
      <c r="BU472" s="125" t="inlineStr">
        <is>
          <t>ICBC International Capital Limited</t>
        </is>
      </c>
      <c r="BV472" s="108" t="inlineStr">
        <is>
          <t>ICBC International Capital Limited</t>
        </is>
      </c>
      <c r="BW472" s="108" t="inlineStr">
        <is>
          <t>ICBC International Securities Limited; CCB International Capital Limited; BOCOM International Securities Limited; Victory Securities Company Limited; Guolian Securities International Capital Co., Limited; Zhongtai International Securities Limited; Futu Securities International (Hong Kong) Limited; Tiger Brokers (HK) Global Limited; Yuen Meta (International) Securities Limited; South China Securities Limited</t>
        </is>
      </c>
      <c r="BX472" s="108" t="inlineStr">
        <is>
          <t>BOCOM International Securities Limited; CCB International Capital Limited; Futu Securities International (Hong Kong) Limited; Get Nice Securities Limited; Guolian Securities International Capital Market Co., Limited; ICBC International Securities Limited; South China Securities Limited; Tiger Brokers (HK) Global Limited; Victory Securities Company Limited; Yuen Meta (International) Securities Limited; Zhongtai International Securities Limited</t>
        </is>
      </c>
      <c r="BY472" s="127">
        <f>HYPERLINK("https://www1.hkexnews.hk/listedco/listconews/sehk/2026/0518/2026051800023.pdf","prospectus")</f>
        <v/>
      </c>
      <c r="BZ472" s="127">
        <f>HYPERLINK("https://www1.hkexnews.hk/listedco/listconews/sehk/2026/0526/2026052602298.pdf","allotment")</f>
        <v/>
      </c>
      <c r="CA472" s="119" t="n"/>
      <c r="CB472" s="128" t="n"/>
      <c r="CC472" s="108" t="inlineStr">
        <is>
          <t>P/E: withheld: 498x fails the 300x plausibility cap; extracted net income HK$10.1m suspect; greenshoe: no over-allotment option; cornerstone list: no cornerstone tranche; greenshoe size: no over-allotment option; stabilising manager: no over-allotment option, so none appointed; financials: not extractable; pre-IPO year outside the AAStocks window; allocation: allocation table not in this notice's format (older prose announcement); day-1 tape: volume on file; the retail multiple needs the final public split, which this notice does not state</t>
        </is>
      </c>
    </row>
    <row r="473" ht="22" customHeight="1">
      <c r="A473" s="107" t="inlineStr">
        <is>
          <t>0901</t>
        </is>
      </c>
      <c r="B473" s="108" t="inlineStr">
        <is>
          <t>SDMC</t>
        </is>
      </c>
      <c r="C473" s="108" t="inlineStr">
        <is>
          <t>華曦達</t>
        </is>
      </c>
      <c r="D473" s="108" t="inlineStr">
        <is>
          <t>Tech/AI</t>
        </is>
      </c>
      <c r="E473" s="108" t="inlineStr">
        <is>
          <t>Smart hardware / consumer electronics</t>
        </is>
      </c>
      <c r="F473" s="108" t="inlineStr">
        <is>
          <t>Advanced hardware and software</t>
        </is>
      </c>
      <c r="G473" s="108" t="inlineStr">
        <is>
          <t>Standard</t>
        </is>
      </c>
      <c r="H473" s="109" t="n">
        <v>46169</v>
      </c>
      <c r="I473" s="110" t="n">
        <v>630</v>
      </c>
      <c r="J473" s="108" t="inlineStr">
        <is>
          <t>gross (price x shares)</t>
        </is>
      </c>
      <c r="K473" s="129" t="n"/>
      <c r="L473" s="111" t="n">
        <v>32.8</v>
      </c>
      <c r="M473" s="111" t="n">
        <v>32.8</v>
      </c>
      <c r="N473" s="108" t="inlineStr">
        <is>
          <t>Y</t>
        </is>
      </c>
      <c r="O473" s="112" t="n">
        <v>100</v>
      </c>
      <c r="P473" s="118" t="n"/>
      <c r="Q473" s="113" t="n">
        <v>6872.9</v>
      </c>
      <c r="R473" s="108" t="inlineStr">
        <is>
          <t>prospectus:stated market capitalisation</t>
        </is>
      </c>
      <c r="S473" s="114" t="n">
        <v>1972</v>
      </c>
      <c r="T473" s="133">
        <f>IF('BBG Verify'!E473="","not filed; run on terminal",'BBG Verify'!E473)</f>
        <v/>
      </c>
      <c r="U473" s="116" t="n">
        <v>0</v>
      </c>
      <c r="V473" s="134" t="n"/>
      <c r="W473" s="118" t="n"/>
      <c r="X473" s="119" t="n"/>
      <c r="Y473" s="113" t="n">
        <v>630</v>
      </c>
      <c r="Z473" s="113" t="n">
        <v>19207300</v>
      </c>
      <c r="AA473" s="112" t="n">
        <v>9.17</v>
      </c>
      <c r="AB473" s="108" t="inlineStr">
        <is>
          <t>none — no cornerstone tranche</t>
        </is>
      </c>
      <c r="AC473" s="108" t="inlineStr">
        <is>
          <t>none</t>
        </is>
      </c>
      <c r="AD473" s="112" t="n">
        <v>15</v>
      </c>
      <c r="AE473" s="119" t="n"/>
      <c r="AF473" s="119" t="n"/>
      <c r="AG473" s="119" t="n"/>
      <c r="AH473" s="119" t="n"/>
      <c r="AI473" s="120" t="n">
        <v>93.59999999999999</v>
      </c>
      <c r="AJ473" s="121" t="n">
        <v>86.59</v>
      </c>
      <c r="AK473" s="121" t="n">
        <v>-0.79</v>
      </c>
      <c r="AL473" s="121" t="n">
        <v>100.61</v>
      </c>
      <c r="AM473" s="121" t="n">
        <v>-6.99</v>
      </c>
      <c r="AN473" s="122" t="n"/>
      <c r="AO473" s="112" t="n">
        <v>20.9</v>
      </c>
      <c r="AP473" s="121" t="n">
        <v>104.57</v>
      </c>
      <c r="AQ473" s="121" t="n">
        <v>96.19</v>
      </c>
      <c r="AR473" s="121" t="n">
        <v>115.55</v>
      </c>
      <c r="AS473" s="121" t="n">
        <v>9.640000000000001</v>
      </c>
      <c r="AT473" s="121" t="n">
        <v>5.14</v>
      </c>
      <c r="AU473" s="121" t="n">
        <v>15.52</v>
      </c>
      <c r="AV473" s="121" t="n">
        <v>102.3</v>
      </c>
      <c r="AW473" s="121" t="n">
        <v>109.83</v>
      </c>
      <c r="AX473" s="121" t="n">
        <v>121.91</v>
      </c>
      <c r="AY473" s="121" t="n">
        <v>18.09</v>
      </c>
      <c r="AZ473" s="121" t="n">
        <v>-13.64</v>
      </c>
      <c r="BA473" s="121" t="n">
        <v>-12.95</v>
      </c>
      <c r="BB473" s="108" t="inlineStr">
        <is>
          <t>HSTECH (Hang Seng TECH ETF)</t>
        </is>
      </c>
      <c r="BC473" s="121" t="n">
        <v>79.27</v>
      </c>
      <c r="BD473" s="109" t="n">
        <v>46297</v>
      </c>
      <c r="BE473" s="110" t="n">
        <v>3704.4</v>
      </c>
      <c r="BF473" s="113" t="n">
        <v>263.1</v>
      </c>
      <c r="BG473" s="108" t="inlineStr">
        <is>
          <t>Y</t>
        </is>
      </c>
      <c r="BH473" s="123" t="n">
        <v>26.1</v>
      </c>
      <c r="BI473" s="122" t="n"/>
      <c r="BJ473" s="122" t="n"/>
      <c r="BK473" s="123" t="n">
        <v>1.9</v>
      </c>
      <c r="BL473" s="124">
        <f>IF('BBG Verify'!S473="","not filed; run on terminal",'BBG Verify'!S473)</f>
        <v/>
      </c>
      <c r="BM473" s="125" t="inlineStr">
        <is>
          <t>N</t>
        </is>
      </c>
      <c r="BN473" s="126">
        <f>IF('BBG Verify'!K473="","not filed; run on terminal",'BBG Verify'!K473)</f>
        <v/>
      </c>
      <c r="BO473" s="108" t="inlineStr">
        <is>
          <t>N/A</t>
        </is>
      </c>
      <c r="BP473" s="108" t="inlineStr">
        <is>
          <t>N/A</t>
        </is>
      </c>
      <c r="BQ473" s="108" t="inlineStr">
        <is>
          <t>N/A</t>
        </is>
      </c>
      <c r="BR473" s="108" t="inlineStr">
        <is>
          <t>N/A</t>
        </is>
      </c>
      <c r="BS473" s="108" t="inlineStr">
        <is>
          <t>N/A</t>
        </is>
      </c>
      <c r="BT473" s="108" t="inlineStr">
        <is>
          <t>N/A</t>
        </is>
      </c>
      <c r="BU473" s="125" t="inlineStr">
        <is>
          <t>China Securities (International) Corporate Finance Company Limited</t>
        </is>
      </c>
      <c r="BV473" s="108" t="inlineStr">
        <is>
          <t>China Securities (International) Corporate Finance Company Limited</t>
        </is>
      </c>
      <c r="BW473" s="108" t="inlineStr">
        <is>
          <t>China Securities (International) Corporate Finance Company Limited; CMB International Capital Limited; CCB International Capital Limited; ABCI Capital Limited; CNCB (Hong Kong) Capital Limited; Get Nice Securities Limited; Forthright Securities Company Limited; DIRECTORS AND P ARTIES INVOLVED IN THE GLOBAL OFFERING Roofer Securities Limited</t>
        </is>
      </c>
      <c r="BX473" s="108" t="inlineStr">
        <is>
          <t>ABCI Securities Company Limited; CCB International Capital Limited; CMB International Capital Limited; CNCB (Hong Kong) Capital Limited; China Securities (International) Corporate Finance Company Limited; Forthright Securities Company Limited; Get Nice Securities Limited; Roofer Securities Limited</t>
        </is>
      </c>
      <c r="BY473" s="127">
        <f>HYPERLINK("https://www1.hkexnews.hk/listedco/listconews/sehk/2026/0518/2026051800027.pdf","prospectus")</f>
        <v/>
      </c>
      <c r="BZ473" s="127">
        <f>HYPERLINK("https://www1.hkexnews.hk/listedco/listconews/sehk/2026/0526/2026052602392.pdf","allotment")</f>
        <v/>
      </c>
      <c r="CA473" s="119" t="n"/>
      <c r="CB473" s="128" t="n"/>
      <c r="CC473" s="108" t="inlineStr">
        <is>
          <t>intl sub: not stated in the filing; greenshoe: end-of-stabilisation notice not found; range low: maximum offer price only, no floor published; sponsor: English name not in the filing; AAStocks 保薦人 shown; cornerstone list: no cornerstone tranche; stabilising manager: not named in the allotment notice or prospectus glossary; allocation: allocation table not in this notice's format (older prose announcement); day-1 tape: volume on file; the retail multiple needs the final public split, which this notice does not state</t>
        </is>
      </c>
    </row>
    <row r="474" ht="22" customHeight="1">
      <c r="A474" s="107" t="inlineStr">
        <is>
          <t>3388</t>
        </is>
      </c>
      <c r="B474" s="108" t="inlineStr">
        <is>
          <t>CREALITY</t>
        </is>
      </c>
      <c r="C474" s="108" t="inlineStr">
        <is>
          <t>創想三維</t>
        </is>
      </c>
      <c r="D474" s="108" t="inlineStr">
        <is>
          <t>Tech/AI</t>
        </is>
      </c>
      <c r="E474" s="108" t="inlineStr">
        <is>
          <t>Smart hardware / consumer electronics</t>
        </is>
      </c>
      <c r="F474" s="108" t="inlineStr">
        <is>
          <t>Computer Storage &amp; Peripherals</t>
        </is>
      </c>
      <c r="G474" s="108" t="inlineStr">
        <is>
          <t>Standard</t>
        </is>
      </c>
      <c r="H474" s="109" t="n">
        <v>46171</v>
      </c>
      <c r="I474" s="110" t="n">
        <v>1380.44</v>
      </c>
      <c r="J474" s="108" t="inlineStr">
        <is>
          <t>gross (stated)</t>
        </is>
      </c>
      <c r="K474" s="129" t="n"/>
      <c r="L474" s="111" t="n">
        <v>18.8</v>
      </c>
      <c r="M474" s="111" t="n">
        <v>18.8</v>
      </c>
      <c r="N474" s="108" t="inlineStr">
        <is>
          <t>Y</t>
        </is>
      </c>
      <c r="O474" s="112" t="n">
        <v>100</v>
      </c>
      <c r="P474" s="118" t="n"/>
      <c r="Q474" s="113" t="n">
        <v>8776.6</v>
      </c>
      <c r="R474" s="108" t="inlineStr">
        <is>
          <t>prospectus:stated market capitalisation</t>
        </is>
      </c>
      <c r="S474" s="114" t="n">
        <v>3829.42</v>
      </c>
      <c r="T474" s="115" t="n">
        <v>26.8</v>
      </c>
      <c r="U474" s="116" t="n">
        <v>49.9</v>
      </c>
      <c r="V474" s="117" t="n">
        <v>183</v>
      </c>
      <c r="W474" s="112" t="n">
        <v>10</v>
      </c>
      <c r="X474" s="108" t="inlineStr">
        <is>
          <t>NA</t>
        </is>
      </c>
      <c r="Y474" s="113" t="n">
        <v>691.6</v>
      </c>
      <c r="Z474" s="113" t="n">
        <v>36787203</v>
      </c>
      <c r="AA474" s="112" t="n">
        <v>7.88</v>
      </c>
      <c r="AB474" s="108" t="inlineStr">
        <is>
          <t>Taikang Life Insurance Co., Ltd; CITIC Industrial International Investment Limited; CPE Greater China Enterprises Growth Fund; Martis Fund, L.P; Hong Kong BoYue International Investment Fund Co., Limited; Greater Bay Area Homeland Investments Limited; Apex Insight Investment L.P; Oasis Investments II Master Fund Ltd; Jump Trading Pacific Pte. Ltd; Polymer Asia Fund LP; Dingxin (Securities) Limited; Colloway Group Limited; Seven Grand Managers, LLC; Integrated Core Strategies (Asia) Pte. Ltd; Optimas Capital Limited</t>
        </is>
      </c>
      <c r="AC474" s="108" t="inlineStr">
        <is>
          <t>taikang;citic;cpe;martis;boyue;greater;apex;oasis;jump;polymer;dingxin;colloway;seven;integrated;optimas</t>
        </is>
      </c>
      <c r="AD474" s="112" t="n">
        <v>15</v>
      </c>
      <c r="AE474" s="108" t="inlineStr">
        <is>
          <t>full</t>
        </is>
      </c>
      <c r="AF474" s="108" t="inlineStr">
        <is>
          <t>2026-06-25</t>
        </is>
      </c>
      <c r="AG474" s="108" t="inlineStr">
        <is>
          <t>China International Capital Corporation Hong Kong Securities Limited</t>
        </is>
      </c>
      <c r="AH474" s="108" t="inlineStr">
        <is>
          <t>China International</t>
        </is>
      </c>
      <c r="AI474" s="120" t="n">
        <v>70.64</v>
      </c>
      <c r="AJ474" s="121" t="n">
        <v>21.28</v>
      </c>
      <c r="AK474" s="121" t="n">
        <v>0.04</v>
      </c>
      <c r="AL474" s="121" t="n">
        <v>80.20999999999999</v>
      </c>
      <c r="AM474" s="121" t="n">
        <v>-32.7</v>
      </c>
      <c r="AN474" s="123" t="n">
        <v>4.97</v>
      </c>
      <c r="AO474" s="112" t="n">
        <v>38.72</v>
      </c>
      <c r="AP474" s="121" t="n">
        <v>11.17</v>
      </c>
      <c r="AQ474" s="121" t="n">
        <v>38.72</v>
      </c>
      <c r="AR474" s="121" t="n">
        <v>25.43</v>
      </c>
      <c r="AS474" s="121" t="n">
        <v>-8.34</v>
      </c>
      <c r="AT474" s="121" t="n">
        <v>14.38</v>
      </c>
      <c r="AU474" s="121" t="n">
        <v>3.42</v>
      </c>
      <c r="AV474" s="121" t="n">
        <v>11.09</v>
      </c>
      <c r="AW474" s="121" t="n">
        <v>46.92</v>
      </c>
      <c r="AX474" s="121" t="n">
        <v>30.87</v>
      </c>
      <c r="AY474" s="121" t="n">
        <v>22.62</v>
      </c>
      <c r="AZ474" s="121" t="n">
        <v>-8.199999999999999</v>
      </c>
      <c r="BA474" s="121" t="n">
        <v>-8.24</v>
      </c>
      <c r="BB474" s="108" t="inlineStr">
        <is>
          <t>HSTECH (Hang Seng TECH ETF)</t>
        </is>
      </c>
      <c r="BC474" s="121" t="n">
        <v>43.62</v>
      </c>
      <c r="BD474" s="109" t="n">
        <v>46297</v>
      </c>
      <c r="BE474" s="110" t="n">
        <v>3439.7</v>
      </c>
      <c r="BF474" s="113" t="n">
        <v>-226.9</v>
      </c>
      <c r="BG474" s="108" t="inlineStr">
        <is>
          <t>N</t>
        </is>
      </c>
      <c r="BH474" s="108" t="inlineStr">
        <is>
          <t>n/m</t>
        </is>
      </c>
      <c r="BI474" s="122" t="n"/>
      <c r="BJ474" s="122" t="n"/>
      <c r="BK474" s="123" t="n">
        <v>2.6</v>
      </c>
      <c r="BL474" s="124">
        <f>IF('BBG Verify'!S474="","not filed; run on terminal",'BBG Verify'!S474)</f>
        <v/>
      </c>
      <c r="BM474" s="125" t="inlineStr">
        <is>
          <t>N</t>
        </is>
      </c>
      <c r="BN474" s="126">
        <f>IF('BBG Verify'!K474="","not filed; run on terminal",'BBG Verify'!K474)</f>
        <v/>
      </c>
      <c r="BO474" s="108" t="inlineStr">
        <is>
          <t>N/A</t>
        </is>
      </c>
      <c r="BP474" s="108" t="inlineStr">
        <is>
          <t>N/A</t>
        </is>
      </c>
      <c r="BQ474" s="108" t="inlineStr">
        <is>
          <t>N/A</t>
        </is>
      </c>
      <c r="BR474" s="108" t="inlineStr">
        <is>
          <t>N/A</t>
        </is>
      </c>
      <c r="BS474" s="108" t="inlineStr">
        <is>
          <t>N/A</t>
        </is>
      </c>
      <c r="BT474" s="108" t="inlineStr">
        <is>
          <t>N/A</t>
        </is>
      </c>
      <c r="BU474" s="125" t="inlineStr">
        <is>
          <t>China International Capital Corporation Hong Kong Securities Limited</t>
        </is>
      </c>
      <c r="BV474" s="108" t="inlineStr">
        <is>
          <t>China International Capital Corporation Hong Kong Securities Limited</t>
        </is>
      </c>
      <c r="BW474" s="108" t="inlineStr">
        <is>
          <t>China International Capital Corporation Hong Kong Securities Limited; A VICT Global Asset Management Limited; Deutsche Bank AG, Hong Kong Branch; ABCI Capital Limited; BOCI Asia Limited; CCB International Capital Limited; SPDB International Capital Limited; Livermore Holdings Limited; ABCI Securities Company Limited</t>
        </is>
      </c>
      <c r="BX474" s="108" t="inlineStr">
        <is>
          <t>ABCI Securities Company Limited; AVICT Global Asset Management Limited; BOCI Asia Limited; CCB International Capital Limited; China International Capital Corporation Hong Kong Securities Limited; Deutsche Bank AG, Hong Kong Branch; Livermore Holdings Limited; SPDB International Capital Limited</t>
        </is>
      </c>
      <c r="BY474" s="127">
        <f>HYPERLINK("https://www1.hkexnews.hk/listedco/listconews/sehk/2026/0520/2026052000023.pdf","prospectus")</f>
        <v/>
      </c>
      <c r="BZ474" s="127">
        <f>HYPERLINK("https://www1.hkexnews.hk/listedco/listconews/sehk/2026/0528/2026052802543.pdf","allotment")</f>
        <v/>
      </c>
      <c r="CA474" s="127">
        <f>HYPERLINK("https://www1.hkexnews.hk/listedco/listconews/sehk/2026/0625/2026062502150.pdf","stabilisation")</f>
        <v/>
      </c>
      <c r="CB474" s="128" t="n"/>
      <c r="CC474" s="108" t="inlineStr">
        <is>
          <t>P/E: loss-making at IPO, use P/S; range low: maximum offer price only, no floor published; sponsor: English name not in the filing; AAStocks 保薦人 shown</t>
        </is>
      </c>
    </row>
    <row r="475" ht="22" customHeight="1">
      <c r="A475" s="107" t="inlineStr">
        <is>
          <t>2553</t>
        </is>
      </c>
      <c r="B475" s="108" t="inlineStr">
        <is>
          <t>SHOUGANG LANZA</t>
        </is>
      </c>
      <c r="C475" s="108" t="inlineStr">
        <is>
          <t>首鋼朗澤</t>
        </is>
      </c>
      <c r="D475" s="108" t="inlineStr">
        <is>
          <t>Materials/Energy</t>
        </is>
      </c>
      <c r="E475" s="108" t="inlineStr">
        <is>
          <t>Chemicals</t>
        </is>
      </c>
      <c r="F475" s="108" t="inlineStr">
        <is>
          <t>Diversified Chemicals</t>
        </is>
      </c>
      <c r="G475" s="108" t="inlineStr">
        <is>
          <t>Standard</t>
        </is>
      </c>
      <c r="H475" s="109" t="n">
        <v>46176</v>
      </c>
      <c r="I475" s="110" t="n">
        <v>584</v>
      </c>
      <c r="J475" s="108" t="inlineStr">
        <is>
          <t>gross (stated)</t>
        </is>
      </c>
      <c r="K475" s="129" t="n"/>
      <c r="L475" s="111" t="n">
        <v>17.1</v>
      </c>
      <c r="M475" s="111" t="n">
        <v>14.6</v>
      </c>
      <c r="N475" s="108" t="inlineStr">
        <is>
          <t>N</t>
        </is>
      </c>
      <c r="O475" s="112" t="n">
        <v>85.40000000000001</v>
      </c>
      <c r="P475" s="118" t="n"/>
      <c r="Q475" s="113" t="n">
        <v>5840</v>
      </c>
      <c r="R475" s="108" t="inlineStr">
        <is>
          <t>derived:price x shares upon listing</t>
        </is>
      </c>
      <c r="S475" s="114" t="n">
        <v>1421.54</v>
      </c>
      <c r="T475" s="115" t="n">
        <v>0.95</v>
      </c>
      <c r="U475" s="116" t="n">
        <v>0</v>
      </c>
      <c r="V475" s="117" t="n">
        <v>97</v>
      </c>
      <c r="W475" s="112" t="n">
        <v>15</v>
      </c>
      <c r="X475" s="108" t="inlineStr">
        <is>
          <t>NA</t>
        </is>
      </c>
      <c r="Y475" s="113" t="n">
        <v>584</v>
      </c>
      <c r="Z475" s="113" t="n">
        <v>40000000</v>
      </c>
      <c r="AA475" s="112" t="n">
        <v>10</v>
      </c>
      <c r="AB475" s="108" t="inlineStr">
        <is>
          <t>none — no cornerstone tranche</t>
        </is>
      </c>
      <c r="AC475" s="108" t="inlineStr">
        <is>
          <t>none</t>
        </is>
      </c>
      <c r="AD475" s="112" t="n">
        <v>15.9</v>
      </c>
      <c r="AE475" s="108" t="inlineStr">
        <is>
          <t>lapsed (no over-allocation)</t>
        </is>
      </c>
      <c r="AF475" s="108" t="inlineStr">
        <is>
          <t>2026-06-28</t>
        </is>
      </c>
      <c r="AG475" s="108" t="inlineStr">
        <is>
          <t>Yue Xiu Securities Company Limited</t>
        </is>
      </c>
      <c r="AH475" s="108" t="inlineStr">
        <is>
          <t>Yue Xiu</t>
        </is>
      </c>
      <c r="AI475" s="120" t="n">
        <v>146.58</v>
      </c>
      <c r="AJ475" s="121" t="n">
        <v>44.25</v>
      </c>
      <c r="AK475" s="121" t="n">
        <v>-2.09</v>
      </c>
      <c r="AL475" s="121" t="n">
        <v>91.78</v>
      </c>
      <c r="AM475" s="121" t="n">
        <v>-24.78</v>
      </c>
      <c r="AN475" s="123" t="n">
        <v>6.17</v>
      </c>
      <c r="AO475" s="112" t="n">
        <v>42.71</v>
      </c>
      <c r="AP475" s="121" t="n">
        <v>115.75</v>
      </c>
      <c r="AQ475" s="121" t="n">
        <v>193.84</v>
      </c>
      <c r="AR475" s="121" t="n">
        <v>67.81</v>
      </c>
      <c r="AS475" s="121" t="n">
        <v>49.57</v>
      </c>
      <c r="AT475" s="121" t="n">
        <v>103.7</v>
      </c>
      <c r="AU475" s="121" t="n">
        <v>16.33</v>
      </c>
      <c r="AV475" s="121" t="n">
        <v>123.08</v>
      </c>
      <c r="AW475" s="121" t="n">
        <v>205.32</v>
      </c>
      <c r="AX475" s="121" t="n">
        <v>74.8</v>
      </c>
      <c r="AY475" s="121" t="n">
        <v>113.3</v>
      </c>
      <c r="AZ475" s="121" t="n">
        <v>-11.48</v>
      </c>
      <c r="BA475" s="121" t="n">
        <v>-9.6</v>
      </c>
      <c r="BB475" s="108" t="inlineStr">
        <is>
          <t>Hang Seng Commerce &amp; Industry sub-index</t>
        </is>
      </c>
      <c r="BC475" s="121" t="n">
        <v>-19.25</v>
      </c>
      <c r="BD475" s="109" t="n">
        <v>46297</v>
      </c>
      <c r="BE475" s="110" t="n">
        <v>573.9</v>
      </c>
      <c r="BF475" s="113" t="n">
        <v>-357.4</v>
      </c>
      <c r="BG475" s="108" t="inlineStr">
        <is>
          <t>N</t>
        </is>
      </c>
      <c r="BH475" s="108" t="inlineStr">
        <is>
          <t>n/m</t>
        </is>
      </c>
      <c r="BI475" s="122" t="n"/>
      <c r="BJ475" s="122" t="n"/>
      <c r="BK475" s="123" t="n">
        <v>10.2</v>
      </c>
      <c r="BL475" s="124">
        <f>IF('BBG Verify'!S475="","not filed; run on terminal",'BBG Verify'!S475)</f>
        <v/>
      </c>
      <c r="BM475" s="125" t="inlineStr">
        <is>
          <t>N</t>
        </is>
      </c>
      <c r="BN475" s="126">
        <f>IF('BBG Verify'!K475="","not filed; run on terminal",'BBG Verify'!K475)</f>
        <v/>
      </c>
      <c r="BO475" s="108" t="inlineStr">
        <is>
          <t>N/A</t>
        </is>
      </c>
      <c r="BP475" s="108" t="inlineStr">
        <is>
          <t>N/A</t>
        </is>
      </c>
      <c r="BQ475" s="108" t="inlineStr">
        <is>
          <t>N/A</t>
        </is>
      </c>
      <c r="BR475" s="108" t="inlineStr">
        <is>
          <t>N/A</t>
        </is>
      </c>
      <c r="BS475" s="108" t="inlineStr">
        <is>
          <t>N/A</t>
        </is>
      </c>
      <c r="BT475" s="108" t="inlineStr">
        <is>
          <t>N/A</t>
        </is>
      </c>
      <c r="BU475" s="125" t="inlineStr">
        <is>
          <t>Yue Xiu Capital Limited</t>
        </is>
      </c>
      <c r="BV475" s="108" t="inlineStr">
        <is>
          <t>Yue Xiu Capital Limited</t>
        </is>
      </c>
      <c r="BW475" s="108" t="inlineStr">
        <is>
          <t>Yue Xiu Securities Company Limited; Mango Financial Limited; Maxa Asset Management Limited; CCB International Capital Limited; Skyvast Securities Limited; GEO Securities Limited; uSmart Securities Limited; CMBC Securities Company Limited; Futu Securities International (Hong Kong) Limited; Livermore Holdings Limited</t>
        </is>
      </c>
      <c r="BX475" s="108" t="inlineStr">
        <is>
          <t>CCB International Capital Limited; CMBC Securities Company Limited; Futu Securities International (Hong Kong) Limited; GEO Securities Limited; Livermore Holdings Limited; Maxa Asset Management Limited; Mango Financial Limited; Skyvast Securities Limited</t>
        </is>
      </c>
      <c r="BY475" s="127">
        <f>HYPERLINK("https://www1.hkexnews.hk/listedco/listconews/sehk/2026/0526/2026052600047.pdf","prospectus")</f>
        <v/>
      </c>
      <c r="BZ475" s="127">
        <f>HYPERLINK("https://www1.hkexnews.hk/listedco/listconews/sehk/2026/0602/2026060202644.pdf","allotment")</f>
        <v/>
      </c>
      <c r="CA475" s="127">
        <f>HYPERLINK("https://www1.hkexnews.hk/listedco/listconews/sehk/2026/0630/2026063000051.pdf","stabilisation")</f>
        <v/>
      </c>
      <c r="CB475" s="128" t="n"/>
      <c r="CC475" s="108" t="inlineStr">
        <is>
          <t>P/E: loss-making at IPO, use P/S; range low: maximum offer price only, no floor published; cornerstone list: no cornerstone tranche</t>
        </is>
      </c>
    </row>
    <row r="476" ht="22" customHeight="1">
      <c r="A476" s="107" t="inlineStr">
        <is>
          <t>2290</t>
        </is>
      </c>
      <c r="B476" s="108" t="inlineStr">
        <is>
          <t>LUNG FUNG GROUP</t>
        </is>
      </c>
      <c r="C476" s="108" t="inlineStr">
        <is>
          <t>龍豐集團</t>
        </is>
      </c>
      <c r="D476" s="108" t="inlineStr">
        <is>
          <t>Consumer</t>
        </is>
      </c>
      <c r="E476" s="108" t="inlineStr">
        <is>
          <t>Retail / distribution</t>
        </is>
      </c>
      <c r="F476" s="108" t="inlineStr">
        <is>
          <t>Beauty &amp; Toiletries Products Retail</t>
        </is>
      </c>
      <c r="G476" s="108" t="inlineStr">
        <is>
          <t>Standard</t>
        </is>
      </c>
      <c r="H476" s="109" t="n">
        <v>46178</v>
      </c>
      <c r="I476" s="110" t="n">
        <v>647.5</v>
      </c>
      <c r="J476" s="108" t="inlineStr">
        <is>
          <t>gross (stated)</t>
        </is>
      </c>
      <c r="K476" s="111" t="n">
        <v>5.18</v>
      </c>
      <c r="L476" s="111" t="n">
        <v>6.38</v>
      </c>
      <c r="M476" s="111" t="n">
        <v>5.18</v>
      </c>
      <c r="N476" s="108" t="inlineStr">
        <is>
          <t>N</t>
        </is>
      </c>
      <c r="O476" s="112" t="n">
        <v>81.2</v>
      </c>
      <c r="P476" s="112" t="n">
        <v>0</v>
      </c>
      <c r="Q476" s="113" t="n">
        <v>2590</v>
      </c>
      <c r="R476" s="108" t="inlineStr">
        <is>
          <t>derived:price x shares upon listing</t>
        </is>
      </c>
      <c r="S476" s="114" t="n">
        <v>664.92</v>
      </c>
      <c r="T476" s="115" t="n">
        <v>3.18</v>
      </c>
      <c r="U476" s="116" t="n">
        <v>0</v>
      </c>
      <c r="V476" s="117" t="n">
        <v>78</v>
      </c>
      <c r="W476" s="112" t="n">
        <v>10</v>
      </c>
      <c r="X476" s="108" t="inlineStr">
        <is>
          <t>NO</t>
        </is>
      </c>
      <c r="Y476" s="113" t="n">
        <v>647.5</v>
      </c>
      <c r="Z476" s="113" t="n">
        <v>125000000</v>
      </c>
      <c r="AA476" s="112" t="n">
        <v>25</v>
      </c>
      <c r="AB476" s="108" t="inlineStr">
        <is>
          <t>none — no cornerstone tranche</t>
        </is>
      </c>
      <c r="AC476" s="108" t="inlineStr">
        <is>
          <t>none</t>
        </is>
      </c>
      <c r="AD476" s="112" t="n">
        <v>15</v>
      </c>
      <c r="AE476" s="119" t="n"/>
      <c r="AF476" s="119" t="n"/>
      <c r="AG476" s="119" t="n"/>
      <c r="AH476" s="119" t="n"/>
      <c r="AI476" s="139" t="n">
        <v>-1.54</v>
      </c>
      <c r="AJ476" s="121" t="n">
        <v>-45.75</v>
      </c>
      <c r="AK476" s="121" t="n">
        <v>-1.35</v>
      </c>
      <c r="AL476" s="121" t="n">
        <v>-16.6</v>
      </c>
      <c r="AM476" s="121" t="n">
        <v>-34.95</v>
      </c>
      <c r="AN476" s="123" t="n">
        <v>6.84</v>
      </c>
      <c r="AO476" s="112" t="n">
        <v>41.67</v>
      </c>
      <c r="AP476" s="121" t="n">
        <v>-47.49</v>
      </c>
      <c r="AQ476" s="121" t="n">
        <v>-28.57</v>
      </c>
      <c r="AR476" s="121" t="n">
        <v>-22.1</v>
      </c>
      <c r="AS476" s="121" t="n">
        <v>-3.21</v>
      </c>
      <c r="AT476" s="121" t="n">
        <v>31.67</v>
      </c>
      <c r="AU476" s="121" t="n">
        <v>43.59</v>
      </c>
      <c r="AV476" s="121" t="n">
        <v>-43.71</v>
      </c>
      <c r="AW476" s="121" t="n">
        <v>-23.07</v>
      </c>
      <c r="AX476" s="121" t="n">
        <v>-19.59</v>
      </c>
      <c r="AY476" s="121" t="n">
        <v>35.88</v>
      </c>
      <c r="AZ476" s="121" t="n">
        <v>-5.5</v>
      </c>
      <c r="BA476" s="121" t="n">
        <v>-4.21</v>
      </c>
      <c r="BB476" s="108" t="inlineStr">
        <is>
          <t>Hang Seng Commerce &amp; Industry sub-index</t>
        </is>
      </c>
      <c r="BC476" s="121" t="n">
        <v>-16.51</v>
      </c>
      <c r="BD476" s="109" t="n">
        <v>46297</v>
      </c>
      <c r="BE476" s="110" t="n">
        <v>2460.5</v>
      </c>
      <c r="BF476" s="113" t="n">
        <v>-27.1</v>
      </c>
      <c r="BG476" s="108" t="inlineStr">
        <is>
          <t>N</t>
        </is>
      </c>
      <c r="BH476" s="108" t="inlineStr">
        <is>
          <t>n/m</t>
        </is>
      </c>
      <c r="BI476" s="122" t="n"/>
      <c r="BJ476" s="122" t="n"/>
      <c r="BK476" s="123" t="n">
        <v>1.1</v>
      </c>
      <c r="BL476" s="124">
        <f>IF('BBG Verify'!S476="","not filed; run on terminal",'BBG Verify'!S476)</f>
        <v/>
      </c>
      <c r="BM476" s="125" t="inlineStr">
        <is>
          <t>N</t>
        </is>
      </c>
      <c r="BN476" s="126">
        <f>IF('BBG Verify'!K476="","not filed; run on terminal",'BBG Verify'!K476)</f>
        <v/>
      </c>
      <c r="BO476" s="108" t="inlineStr">
        <is>
          <t>N/A</t>
        </is>
      </c>
      <c r="BP476" s="108" t="inlineStr">
        <is>
          <t>N/A</t>
        </is>
      </c>
      <c r="BQ476" s="108" t="inlineStr">
        <is>
          <t>N/A</t>
        </is>
      </c>
      <c r="BR476" s="108" t="inlineStr">
        <is>
          <t>N/A</t>
        </is>
      </c>
      <c r="BS476" s="108" t="inlineStr">
        <is>
          <t>N/A</t>
        </is>
      </c>
      <c r="BT476" s="108" t="inlineStr">
        <is>
          <t>N/A</t>
        </is>
      </c>
      <c r="BU476" s="125" t="inlineStr">
        <is>
          <t>DBS Asia Capital Limited; Industry consultant Frost &amp; Sullivan Limited; AVISTA Valuation Advisory Limited; Receiving bank DBS Bank (Hong Kong) Limited; Bank of China (Hong Kong) Limited; KY1-1111 Cayman Islands Hong Kong Share Registrar Tricor Investor Services Limited; Principal banks DBS Bank (Hong Kong) Limited; Hang Seng Bank, Limited; The Hongkong and Shanghai Banking Corporation Limited; Chong Hing Bank Limited</t>
        </is>
      </c>
      <c r="BV476" s="108" t="inlineStr">
        <is>
          <t>DBS Asia Capital Limited</t>
        </is>
      </c>
      <c r="BW476" s="108" t="inlineStr">
        <is>
          <t>CMB International Capital Limited; DBS Asia Capital Limited; Phillip Securities (Hong Kong) Limited; SPDB International Capital Limited</t>
        </is>
      </c>
      <c r="BX476" s="108" t="inlineStr">
        <is>
          <t>CMB International Capital Limited; DBS Asia Capital Limited; Phillip Securities (Hong Kong) Limited; SPDB International Capital Limited</t>
        </is>
      </c>
      <c r="BY476" s="127">
        <f>HYPERLINK("https://www1.hkexnews.hk/listedco/listconews/sehk/2026/0528/2026052800031.pdf","prospectus")</f>
        <v/>
      </c>
      <c r="BZ476" s="127">
        <f>HYPERLINK("https://www1.hkexnews.hk/listedco/listconews/sehk/2026/0604/2026060402521.pdf","allotment")</f>
        <v/>
      </c>
      <c r="CA476" s="127">
        <f>HYPERLINK("https://www1.hkexnews.hk/listedco/listconews/sehk/2026/0702/2026070203049.pdf","stabilisation")</f>
        <v/>
      </c>
      <c r="CB476" s="128" t="n"/>
      <c r="CC476" s="108" t="inlineStr">
        <is>
          <t>P/E: loss-making at IPO, use P/S; greenshoe: end-of-stabilisation notice not found; cornerstone list: no cornerstone tranche; stabilising manager: not named in the allotment notice or prospectus glossary; stabilisation notice: notice linked; outcome wording not recognised, result left blank</t>
        </is>
      </c>
    </row>
    <row r="477" ht="22" customHeight="1">
      <c r="A477" s="107" t="inlineStr">
        <is>
          <t>1081</t>
        </is>
      </c>
      <c r="B477" s="108" t="inlineStr">
        <is>
          <t>DAJIN</t>
        </is>
      </c>
      <c r="C477" s="108" t="inlineStr">
        <is>
          <t>大金重工</t>
        </is>
      </c>
      <c r="D477" s="108" t="inlineStr">
        <is>
          <t>Industrials</t>
        </is>
      </c>
      <c r="E477" s="108" t="inlineStr">
        <is>
          <t>Solar / wind supply chain</t>
        </is>
      </c>
      <c r="F477" s="108" t="inlineStr">
        <is>
          <t>Environmental Goods</t>
        </is>
      </c>
      <c r="G477" s="108" t="inlineStr">
        <is>
          <t>Standard</t>
        </is>
      </c>
      <c r="H477" s="109" t="n">
        <v>46178</v>
      </c>
      <c r="I477" s="110" t="n">
        <v>6640.7</v>
      </c>
      <c r="J477" s="108" t="inlineStr">
        <is>
          <t>gross (stated)</t>
        </is>
      </c>
      <c r="K477" s="129" t="n"/>
      <c r="L477" s="111" t="n">
        <v>66.40000000000001</v>
      </c>
      <c r="M477" s="111" t="n">
        <v>66.40000000000001</v>
      </c>
      <c r="N477" s="108" t="inlineStr">
        <is>
          <t>Y</t>
        </is>
      </c>
      <c r="O477" s="112" t="n">
        <v>100</v>
      </c>
      <c r="P477" s="118" t="n"/>
      <c r="Q477" s="113" t="n">
        <v>64686.6</v>
      </c>
      <c r="R477" s="108" t="inlineStr">
        <is>
          <t>prospectus:stated market capitalisation</t>
        </is>
      </c>
      <c r="S477" s="114" t="n">
        <v>134.39</v>
      </c>
      <c r="T477" s="115" t="n">
        <v>10.68</v>
      </c>
      <c r="U477" s="116" t="n">
        <v>48.54</v>
      </c>
      <c r="V477" s="117" t="n">
        <v>125</v>
      </c>
      <c r="W477" s="112" t="n">
        <v>8.699999999999999</v>
      </c>
      <c r="X477" s="108" t="inlineStr">
        <is>
          <t>NA</t>
        </is>
      </c>
      <c r="Y477" s="113" t="n">
        <v>3417.3</v>
      </c>
      <c r="Z477" s="131" t="n"/>
      <c r="AA477" s="112" t="n">
        <v>5.28</v>
      </c>
      <c r="AB477" s="108" t="inlineStr">
        <is>
          <t>CPE Juniper Investment Limited; Eastspring Investments (Hong Kong) Limited (瀚 亞投資（香港）; Eastspring Investments (Singapore) Limited; Fullgoal Asset Management (HK) Limited; Fullgoal Fund Management Co., Ltd; GIC Private Limited; HHLR Advisors, Ltd; Hillhouse Investment Management, Ltd; ICBC Wealth Management Co., Ltd; Marshall Wace Asia Limited; Millennium Capital Management (Singapore) Pte. Ltd; Pinpoint Asset Management Limited; PSBC Wealth Management Co., Ltd; Taikang Life Insurance Co., Ltd; UBS Asset Management (Singapore) Ltd</t>
        </is>
      </c>
      <c r="AC477" s="108" t="inlineStr">
        <is>
          <t>cpe;eastspring;fullgoal;gic;hhlr;hillhouse;icbc;marshall;millennium;pinpoint;psbc;taikang;ubs</t>
        </is>
      </c>
      <c r="AD477" s="112" t="n">
        <v>15</v>
      </c>
      <c r="AE477" s="108" t="inlineStr">
        <is>
          <t>partial</t>
        </is>
      </c>
      <c r="AF477" s="108" t="inlineStr">
        <is>
          <t>2026-07-02</t>
        </is>
      </c>
      <c r="AG477" s="108" t="inlineStr">
        <is>
          <t>Huatai Financial Holdings</t>
        </is>
      </c>
      <c r="AH477" s="108" t="inlineStr">
        <is>
          <t>Huatai</t>
        </is>
      </c>
      <c r="AI477" s="120" t="n">
        <v>-4.97</v>
      </c>
      <c r="AJ477" s="121" t="n">
        <v>0</v>
      </c>
      <c r="AK477" s="121" t="n">
        <v>-1.35</v>
      </c>
      <c r="AL477" s="121" t="n">
        <v>0</v>
      </c>
      <c r="AM477" s="121" t="n">
        <v>0</v>
      </c>
      <c r="AN477" s="123" t="n">
        <v>2.06</v>
      </c>
      <c r="AO477" s="112" t="n">
        <v>11.14</v>
      </c>
      <c r="AP477" s="121" t="n">
        <v>-3.69</v>
      </c>
      <c r="AQ477" s="121" t="n">
        <v>-30.72</v>
      </c>
      <c r="AR477" s="121" t="n">
        <v>-57.02</v>
      </c>
      <c r="AS477" s="121" t="n">
        <v>-3.69</v>
      </c>
      <c r="AT477" s="121" t="n">
        <v>-30.72</v>
      </c>
      <c r="AU477" s="121" t="n">
        <v>-57.02</v>
      </c>
      <c r="AV477" s="121" t="n">
        <v>0.09</v>
      </c>
      <c r="AW477" s="121" t="n">
        <v>-25.22</v>
      </c>
      <c r="AX477" s="121" t="n">
        <v>-54.51</v>
      </c>
      <c r="AY477" s="121" t="n">
        <v>-26.51</v>
      </c>
      <c r="AZ477" s="121" t="n">
        <v>-5.5</v>
      </c>
      <c r="BA477" s="121" t="n">
        <v>-4.21</v>
      </c>
      <c r="BB477" s="108" t="inlineStr">
        <is>
          <t>Hang Seng Commerce &amp; Industry sub-index</t>
        </is>
      </c>
      <c r="BC477" s="121" t="n">
        <v>-52.02</v>
      </c>
      <c r="BD477" s="109" t="n">
        <v>46297</v>
      </c>
      <c r="BE477" s="110" t="n">
        <v>6790.9</v>
      </c>
      <c r="BF477" s="113" t="n">
        <v>1213.6</v>
      </c>
      <c r="BG477" s="108" t="inlineStr">
        <is>
          <t>Y</t>
        </is>
      </c>
      <c r="BH477" s="123" t="n">
        <v>53.3</v>
      </c>
      <c r="BI477" s="123" t="n">
        <v>33.2</v>
      </c>
      <c r="BJ477" s="123" t="n">
        <v>17.8</v>
      </c>
      <c r="BK477" s="123" t="n">
        <v>9.5</v>
      </c>
      <c r="BL477" s="124">
        <f>IF('BBG Verify'!S477="","not filed; run on terminal",'BBG Verify'!S477)</f>
        <v/>
      </c>
      <c r="BM477" s="125" t="inlineStr">
        <is>
          <t>Y</t>
        </is>
      </c>
      <c r="BN477" s="108" t="inlineStr">
        <is>
          <t>002487.SZ</t>
        </is>
      </c>
      <c r="BO477" s="121" t="n">
        <v>17.8</v>
      </c>
      <c r="BP477" s="111" t="n">
        <v>78.2184</v>
      </c>
      <c r="BQ477" s="135" t="n">
        <v>0.7004</v>
      </c>
      <c r="BR477" s="113" t="n">
        <v>40108.2</v>
      </c>
      <c r="BS477" s="124">
        <f>IF('BBG Verify'!Q477="","run on terminal",'BBG Verify'!Q477)</f>
        <v/>
      </c>
      <c r="BT477" s="124">
        <f>IF('BBG Verify'!R477="","run on terminal",'BBG Verify'!R477)</f>
        <v/>
      </c>
      <c r="BU477" s="125" t="inlineStr">
        <is>
          <t>Huatai Financial Holdings (Hong Kong) Limited; China Merchants Securities (HK) Co., Limited</t>
        </is>
      </c>
      <c r="BV477" s="108" t="inlineStr">
        <is>
          <t>Huatai Financial Holdings (Hong Kong) Limited; China Merchants Securities (HK) Company Limited</t>
        </is>
      </c>
      <c r="BW477" s="108" t="inlineStr">
        <is>
          <t>Huatai Financial Holdings (Hong Kong) Limited; China Merchants Securities (HK) Co., Limited; China International Capital Corporation Hong Kong Securities Limited; Ping An Securities (Hong Kong) Company Limited</t>
        </is>
      </c>
      <c r="BX477" s="108" t="inlineStr">
        <is>
          <t>CCB International Capital Limited; China International Capital Corporation Hong Kong Securities Limited; China Merchants Securities (HK) Company Limited; Huatai Financial Holdings (Hong Kong) Limited; Ping An Securities (Hong Kong) Company Limited</t>
        </is>
      </c>
      <c r="BY477" s="127">
        <f>HYPERLINK("https://www1.hkexnews.hk/listedco/listconews/sehk/2026/0528/2026052800019.pdf","prospectus")</f>
        <v/>
      </c>
      <c r="BZ477" s="127">
        <f>HYPERLINK("https://www1.hkexnews.hk/listedco/listconews/sehk/2026/0604/2026060402919.pdf","allotment")</f>
        <v/>
      </c>
      <c r="CA477" s="127">
        <f>HYPERLINK("https://www1.hkexnews.hk/listedco/listconews/sehk/2026/0702/2026070203999.pdf","stabilisation")</f>
        <v/>
      </c>
      <c r="CB477" s="128" t="n"/>
      <c r="CC477" s="108" t="inlineStr">
        <is>
          <t>range low: maximum offer price only, no floor published; A/H: Jun 2026 H listing (offshore wind towers/monopiles); eff float shares: share count unavailable; the HK$m figure is exact</t>
        </is>
      </c>
    </row>
    <row r="478" ht="22" customHeight="1">
      <c r="A478" s="107" t="inlineStr">
        <is>
          <t>1779</t>
        </is>
      </c>
      <c r="B478" s="108" t="inlineStr">
        <is>
          <t>LONGBIO-B</t>
        </is>
      </c>
      <c r="C478" s="108" t="inlineStr">
        <is>
          <t>天辰生物－Ｂ</t>
        </is>
      </c>
      <c r="D478" s="108" t="inlineStr">
        <is>
          <t>Healthcare</t>
        </is>
      </c>
      <c r="E478" s="108" t="inlineStr">
        <is>
          <t>Biotech pre-revenue (18A)</t>
        </is>
      </c>
      <c r="F478" s="108" t="inlineStr">
        <is>
          <t>Biotechnology - Pharmaceuticals</t>
        </is>
      </c>
      <c r="G478" s="108" t="inlineStr">
        <is>
          <t>18A</t>
        </is>
      </c>
      <c r="H478" s="109" t="n">
        <v>46178</v>
      </c>
      <c r="I478" s="110" t="n">
        <v>1363.4</v>
      </c>
      <c r="J478" s="108" t="inlineStr">
        <is>
          <t>gross (stated)</t>
        </is>
      </c>
      <c r="K478" s="129" t="n"/>
      <c r="L478" s="111" t="n">
        <v>96.06</v>
      </c>
      <c r="M478" s="111" t="n">
        <v>96.06</v>
      </c>
      <c r="N478" s="108" t="inlineStr">
        <is>
          <t>Y</t>
        </is>
      </c>
      <c r="O478" s="112" t="n">
        <v>100</v>
      </c>
      <c r="P478" s="118" t="n"/>
      <c r="Q478" s="113" t="n">
        <v>7127</v>
      </c>
      <c r="R478" s="108" t="inlineStr">
        <is>
          <t>prospectus:stated market capitalisation</t>
        </is>
      </c>
      <c r="S478" s="114" t="n">
        <v>4762.58</v>
      </c>
      <c r="T478" s="115" t="n">
        <v>10.94</v>
      </c>
      <c r="U478" s="116" t="n">
        <v>49.96</v>
      </c>
      <c r="V478" s="117" t="n">
        <v>80</v>
      </c>
      <c r="W478" s="112" t="n">
        <v>10</v>
      </c>
      <c r="X478" s="108" t="inlineStr">
        <is>
          <t>NO</t>
        </is>
      </c>
      <c r="Y478" s="113" t="n">
        <v>682.25</v>
      </c>
      <c r="Z478" s="113" t="n">
        <v>7102252</v>
      </c>
      <c r="AA478" s="112" t="n">
        <v>9.57</v>
      </c>
      <c r="AB478" s="108" t="inlineStr">
        <is>
          <t>OrbiMed Genesis Master Fund, L.P; The Biotech Growth Trust PLC; TruMed Health Innovation Fund LP; TruMed Healthcare Master Fund; Shanghai Gaoyi Asset Management Partnership (Limited Partnership) ) and Huatai Capital Investment Limited (in connection with Huatai Back-to-back TRS and the Huatai Client TRS; Wisdomshire Asset Management Co., Ltd* and HTCI (in connection with Huatai Back-to-back TRS and the Huatai Client TRS); Foresight Global Superior Choice SPC { Vision Fund 1 SP; Foresight Global Superior Choice SPC { Global Superior Choice Fund 1 SP; Foresight Global Superior Choice SPC { Horizon Fund 1 SP; Foresight Global Superior Choice SPC { Horizon Next Fund SP; Fullgoal Fund Management Co., Ltd; Fullgoal Asset Management (HK) Limited; Value Partners Hong Kong Limited; Greater Bay Area Development Fund Management Limited for and on behalf of the M a n a g e dA c c o u n to fM e g a Prime Development Limited; FR M CONSULTING CO., LTD</t>
        </is>
      </c>
      <c r="AC478" s="108" t="inlineStr">
        <is>
          <t>orbimed;biotech;trumed;shanghai-gaoyi;wisdomshire;foresight;fullgoal;value;greater;fr</t>
        </is>
      </c>
      <c r="AD478" s="112" t="n">
        <v>5.73</v>
      </c>
      <c r="AE478" s="108" t="inlineStr">
        <is>
          <t>full</t>
        </is>
      </c>
      <c r="AF478" s="108" t="inlineStr">
        <is>
          <t>2026-07-02</t>
        </is>
      </c>
      <c r="AG478" s="108" t="inlineStr">
        <is>
          <t>Sinolink Securities</t>
        </is>
      </c>
      <c r="AH478" s="108" t="inlineStr">
        <is>
          <t>Sinolink</t>
        </is>
      </c>
      <c r="AI478" s="120" t="n">
        <v>57.09</v>
      </c>
      <c r="AJ478" s="121" t="n">
        <v>37.21</v>
      </c>
      <c r="AK478" s="121" t="n">
        <v>-0.66</v>
      </c>
      <c r="AL478" s="121" t="n">
        <v>50.22</v>
      </c>
      <c r="AM478" s="121" t="n">
        <v>-8.66</v>
      </c>
      <c r="AN478" s="123" t="n">
        <v>2.83</v>
      </c>
      <c r="AO478" s="112" t="n">
        <v>21.9</v>
      </c>
      <c r="AP478" s="121" t="n">
        <v>49.8</v>
      </c>
      <c r="AQ478" s="121" t="n">
        <v>-1.05</v>
      </c>
      <c r="AR478" s="121" t="n">
        <v>33.25</v>
      </c>
      <c r="AS478" s="121" t="n">
        <v>9.18</v>
      </c>
      <c r="AT478" s="121" t="n">
        <v>-27.88</v>
      </c>
      <c r="AU478" s="121" t="n">
        <v>-2.89</v>
      </c>
      <c r="AV478" s="121" t="n">
        <v>50.3</v>
      </c>
      <c r="AW478" s="121" t="n">
        <v>-9.859999999999999</v>
      </c>
      <c r="AX478" s="121" t="n">
        <v>9.69</v>
      </c>
      <c r="AY478" s="121" t="n">
        <v>-37.41</v>
      </c>
      <c r="AZ478" s="121" t="n">
        <v>8.81</v>
      </c>
      <c r="BA478" s="121" t="n">
        <v>9.529999999999999</v>
      </c>
      <c r="BB478" s="108" t="inlineStr">
        <is>
          <t>China Biotech ETF (HS biotech proxy)</t>
        </is>
      </c>
      <c r="BC478" s="121" t="n">
        <v>5.87</v>
      </c>
      <c r="BD478" s="109" t="n">
        <v>46297</v>
      </c>
      <c r="BE478" s="110" t="n">
        <v>2.2</v>
      </c>
      <c r="BF478" s="113" t="n">
        <v>-151.1</v>
      </c>
      <c r="BG478" s="108" t="inlineStr">
        <is>
          <t>N</t>
        </is>
      </c>
      <c r="BH478" s="108" t="inlineStr">
        <is>
          <t>n/m</t>
        </is>
      </c>
      <c r="BI478" s="122" t="n"/>
      <c r="BJ478" s="122" t="n"/>
      <c r="BK478" s="123" t="n">
        <v>3239.5</v>
      </c>
      <c r="BL478" s="124">
        <f>IF('BBG Verify'!S478="","not filed; run on terminal",'BBG Verify'!S478)</f>
        <v/>
      </c>
      <c r="BM478" s="125" t="inlineStr">
        <is>
          <t>N</t>
        </is>
      </c>
      <c r="BN478" s="126">
        <f>IF('BBG Verify'!K478="","not filed; run on terminal",'BBG Verify'!K478)</f>
        <v/>
      </c>
      <c r="BO478" s="108" t="inlineStr">
        <is>
          <t>N/A</t>
        </is>
      </c>
      <c r="BP478" s="108" t="inlineStr">
        <is>
          <t>N/A</t>
        </is>
      </c>
      <c r="BQ478" s="108" t="inlineStr">
        <is>
          <t>N/A</t>
        </is>
      </c>
      <c r="BR478" s="108" t="inlineStr">
        <is>
          <t>N/A</t>
        </is>
      </c>
      <c r="BS478" s="108" t="inlineStr">
        <is>
          <t>N/A</t>
        </is>
      </c>
      <c r="BT478" s="108" t="inlineStr">
        <is>
          <t>N/A</t>
        </is>
      </c>
      <c r="BU478" s="125" t="inlineStr">
        <is>
          <t>Sinolink Securities (Hong Kong) Company Limited</t>
        </is>
      </c>
      <c r="BV478" s="108" t="inlineStr">
        <is>
          <t>Sinolink Securities (Hong Kong) Company Limited</t>
        </is>
      </c>
      <c r="BW478" s="108" t="inlineStr">
        <is>
          <t>GF Securities (Hong Kong) Brokerage Limited; ABCI Capital Limited; ABCI Securities Company Limited</t>
        </is>
      </c>
      <c r="BX478" s="108" t="inlineStr">
        <is>
          <t>ABCI Securities Company Limited; CCB International Capital Limited; GF Securities (Hong Kong) Brokerage Limited; Sinolink Securities (Hong Kong) Company Limited; Shanxi Securities International Limited; TradeGo Markets Limited</t>
        </is>
      </c>
      <c r="BY478" s="127">
        <f>HYPERLINK("https://www1.hkexnews.hk/listedco/listconews/sehk/2026/0528/2026052800023.pdf","prospectus")</f>
        <v/>
      </c>
      <c r="BZ478" s="127">
        <f>HYPERLINK("https://www1.hkexnews.hk/listedco/listconews/sehk/2026/0604/2026060402923.pdf","allotment")</f>
        <v/>
      </c>
      <c r="CA478" s="127">
        <f>HYPERLINK("https://www1.hkexnews.hk/listedco/listconews/sehk/2026/0702/2026070203309.pdf","stabilisation")</f>
        <v/>
      </c>
      <c r="CB478" s="128" t="n"/>
      <c r="CC478" s="108" t="inlineStr">
        <is>
          <t>P/E: loss-making at IPO, use P/S; range low: maximum offer price only, no floor published; P/S: 3,240x on HK$2.2m revenue, effectively pre-revenue; not comparable</t>
        </is>
      </c>
    </row>
    <row r="479" ht="22" customHeight="1">
      <c r="A479" s="107" t="inlineStr">
        <is>
          <t>6658</t>
        </is>
      </c>
      <c r="B479" s="108" t="inlineStr">
        <is>
          <t>LIULIUMEI</t>
        </is>
      </c>
      <c r="C479" s="108" t="inlineStr">
        <is>
          <t>溜溜梅</t>
        </is>
      </c>
      <c r="D479" s="108" t="inlineStr">
        <is>
          <t>Consumer</t>
        </is>
      </c>
      <c r="E479" s="108" t="inlineStr">
        <is>
          <t>Beverages / packaged food</t>
        </is>
      </c>
      <c r="F479" s="108" t="inlineStr">
        <is>
          <t>Packaged Foods</t>
        </is>
      </c>
      <c r="G479" s="108" t="inlineStr">
        <is>
          <t>Standard</t>
        </is>
      </c>
      <c r="H479" s="109" t="n">
        <v>46188</v>
      </c>
      <c r="I479" s="110" t="n">
        <v>499.6</v>
      </c>
      <c r="J479" s="108" t="inlineStr">
        <is>
          <t>gross (stated)</t>
        </is>
      </c>
      <c r="K479" s="129" t="n"/>
      <c r="L479" s="111" t="n">
        <v>43.58</v>
      </c>
      <c r="M479" s="111" t="n">
        <v>43.58</v>
      </c>
      <c r="N479" s="108" t="inlineStr">
        <is>
          <t>Y</t>
        </is>
      </c>
      <c r="O479" s="112" t="n">
        <v>100</v>
      </c>
      <c r="P479" s="118" t="n"/>
      <c r="Q479" s="113" t="n">
        <v>3434.6</v>
      </c>
      <c r="R479" s="108" t="inlineStr">
        <is>
          <t>derived:price x shares upon listing</t>
        </is>
      </c>
      <c r="S479" s="114" t="n">
        <v>6586.73</v>
      </c>
      <c r="T479" s="115" t="n">
        <v>2.64</v>
      </c>
      <c r="U479" s="116" t="n">
        <v>29.55</v>
      </c>
      <c r="V479" s="117" t="n">
        <v>64</v>
      </c>
      <c r="W479" s="112" t="n">
        <v>10</v>
      </c>
      <c r="X479" s="108" t="inlineStr">
        <is>
          <t>NA</t>
        </is>
      </c>
      <c r="Y479" s="113" t="n">
        <v>351.97</v>
      </c>
      <c r="Z479" s="113" t="n">
        <v>8076458</v>
      </c>
      <c r="AA479" s="112" t="n">
        <v>10.25</v>
      </c>
      <c r="AB479" s="108" t="inlineStr">
        <is>
          <t>Top New Development Limited; Wuhu Fanchang District Rural Revitalization Development Group (Hong Kong) Limited</t>
        </is>
      </c>
      <c r="AC479" s="108" t="inlineStr">
        <is>
          <t>top;wuhu</t>
        </is>
      </c>
      <c r="AD479" s="112" t="n">
        <v>11.9</v>
      </c>
      <c r="AE479" s="119" t="n"/>
      <c r="AF479" s="119" t="n"/>
      <c r="AG479" s="119" t="n"/>
      <c r="AH479" s="119" t="n"/>
      <c r="AI479" s="120" t="n">
        <v>127.74</v>
      </c>
      <c r="AJ479" s="121" t="n">
        <v>193.71</v>
      </c>
      <c r="AK479" s="121" t="n">
        <v>0.28</v>
      </c>
      <c r="AL479" s="121" t="n">
        <v>117.99</v>
      </c>
      <c r="AM479" s="121" t="n">
        <v>34.74</v>
      </c>
      <c r="AN479" s="123" t="n">
        <v>3.75</v>
      </c>
      <c r="AO479" s="112" t="n">
        <v>41.16</v>
      </c>
      <c r="AP479" s="121" t="n">
        <v>225.61</v>
      </c>
      <c r="AQ479" s="121" t="n">
        <v>277.93</v>
      </c>
      <c r="AR479" s="121" t="n">
        <v>307.99</v>
      </c>
      <c r="AS479" s="121" t="n">
        <v>10.86</v>
      </c>
      <c r="AT479" s="121" t="n">
        <v>28.67</v>
      </c>
      <c r="AU479" s="121" t="n">
        <v>38.91</v>
      </c>
      <c r="AV479" s="121" t="n">
        <v>233.32</v>
      </c>
      <c r="AW479" s="121" t="n">
        <v>275.73</v>
      </c>
      <c r="AX479" s="121" t="n">
        <v>310.49</v>
      </c>
      <c r="AY479" s="121" t="n">
        <v>26.76</v>
      </c>
      <c r="AZ479" s="121" t="n">
        <v>2.2</v>
      </c>
      <c r="BA479" s="121" t="n">
        <v>1.91</v>
      </c>
      <c r="BB479" s="108" t="inlineStr">
        <is>
          <t>Hang Seng Commerce &amp; Industry sub-index</t>
        </is>
      </c>
      <c r="BC479" s="121" t="n">
        <v>290.09</v>
      </c>
      <c r="BD479" s="109" t="n">
        <v>46297</v>
      </c>
      <c r="BE479" s="110" t="n">
        <v>1881.8</v>
      </c>
      <c r="BF479" s="113" t="n">
        <v>200.3</v>
      </c>
      <c r="BG479" s="108" t="inlineStr">
        <is>
          <t>Y</t>
        </is>
      </c>
      <c r="BH479" s="123" t="n">
        <v>17.1</v>
      </c>
      <c r="BI479" s="122" t="n"/>
      <c r="BJ479" s="122" t="n"/>
      <c r="BK479" s="123" t="n">
        <v>1.8</v>
      </c>
      <c r="BL479" s="124">
        <f>IF('BBG Verify'!S479="","not filed; run on terminal",'BBG Verify'!S479)</f>
        <v/>
      </c>
      <c r="BM479" s="125" t="inlineStr">
        <is>
          <t>N</t>
        </is>
      </c>
      <c r="BN479" s="126">
        <f>IF('BBG Verify'!K479="","not filed; run on terminal",'BBG Verify'!K479)</f>
        <v/>
      </c>
      <c r="BO479" s="108" t="inlineStr">
        <is>
          <t>N/A</t>
        </is>
      </c>
      <c r="BP479" s="108" t="inlineStr">
        <is>
          <t>N/A</t>
        </is>
      </c>
      <c r="BQ479" s="108" t="inlineStr">
        <is>
          <t>N/A</t>
        </is>
      </c>
      <c r="BR479" s="108" t="inlineStr">
        <is>
          <t>N/A</t>
        </is>
      </c>
      <c r="BS479" s="108" t="inlineStr">
        <is>
          <t>N/A</t>
        </is>
      </c>
      <c r="BT479" s="108" t="inlineStr">
        <is>
          <t>N/A</t>
        </is>
      </c>
      <c r="BU479" s="125" t="inlineStr">
        <is>
          <t>CITIC Securities (Hong Kong) Limited; Guoyuan Capital (Hong Kong) Limited</t>
        </is>
      </c>
      <c r="BV479" s="108" t="inlineStr">
        <is>
          <t>CITIC Securities (Hong Kong) Limited; Guoyuan Capital (Hong Kong) Limited</t>
        </is>
      </c>
      <c r="BW479" s="108" t="inlineStr">
        <is>
          <t>CLSA Limited; Guoyuan Securities Brokerage (Hong Kong) Limited; Zhongtai International Securities Limited; Soochow Securities International Brokerage Limited; CEB International Capital Corporation Limited; Huafu International Securities Limited; Orient Securities (Hong Kong) Limited</t>
        </is>
      </c>
      <c r="BX479" s="108" t="inlineStr">
        <is>
          <t>CEB International Capital Corporation Limited; CLSA Limited; Guoyuan Securities Brokerage (Hong Kong) Limited; Huafu International Securities Limited; Orient Securities (Hong Kong) Limited; Soochow Securities International Brokerage Limited; Zhongtai International Securities Limited</t>
        </is>
      </c>
      <c r="BY479" s="127">
        <f>HYPERLINK("https://www1.hkexnews.hk/listedco/listconews/sehk/2026/0605/2026060500023.pdf","prospectus")</f>
        <v/>
      </c>
      <c r="BZ479" s="127">
        <f>HYPERLINK("https://www1.hkexnews.hk/listedco/listconews/sehk/2026/0612/2026061202100.pdf","allotment")</f>
        <v/>
      </c>
      <c r="CA479" s="119" t="n"/>
      <c r="CB479" s="128" t="n"/>
      <c r="CC479" s="108" t="inlineStr">
        <is>
          <t>greenshoe: end-of-stabilisation notice not found; range low: maximum offer price only, no floor published; stabilising manager: filing states none appointed (allotment announcement: 'no stabilizing manager will be appointed' stated in the filing)</t>
        </is>
      </c>
    </row>
    <row r="480" ht="22" customHeight="1">
      <c r="A480" s="107" t="inlineStr">
        <is>
          <t>6675</t>
        </is>
      </c>
      <c r="B480" s="108" t="inlineStr">
        <is>
          <t>SENASIC</t>
        </is>
      </c>
      <c r="C480" s="108" t="inlineStr">
        <is>
          <t>SENASIC</t>
        </is>
      </c>
      <c r="D480" s="108" t="inlineStr">
        <is>
          <t>Tech/AI</t>
        </is>
      </c>
      <c r="E480" s="108" t="inlineStr">
        <is>
          <t>Other / diversified semiconductors</t>
        </is>
      </c>
      <c r="F480" s="108" t="inlineStr">
        <is>
          <t>Semiconductors &amp; Semiconductor Equipment</t>
        </is>
      </c>
      <c r="G480" s="108" t="inlineStr">
        <is>
          <t>Standard</t>
        </is>
      </c>
      <c r="H480" s="109" t="n">
        <v>46190</v>
      </c>
      <c r="I480" s="110" t="n">
        <v>980.55</v>
      </c>
      <c r="J480" s="108" t="inlineStr">
        <is>
          <t>gross (stated)</t>
        </is>
      </c>
      <c r="K480" s="129" t="n"/>
      <c r="L480" s="111" t="n">
        <v>18.36</v>
      </c>
      <c r="M480" s="111" t="n">
        <v>18.36</v>
      </c>
      <c r="N480" s="108" t="inlineStr">
        <is>
          <t>Y</t>
        </is>
      </c>
      <c r="O480" s="112" t="n">
        <v>100</v>
      </c>
      <c r="P480" s="118" t="n"/>
      <c r="Q480" s="113" t="n">
        <v>6178.6</v>
      </c>
      <c r="R480" s="108" t="inlineStr">
        <is>
          <t>derived:deal size / offer % of enlarged capital</t>
        </is>
      </c>
      <c r="S480" s="114" t="n">
        <v>5144.97</v>
      </c>
      <c r="T480" s="115" t="n">
        <v>4.44</v>
      </c>
      <c r="U480" s="116" t="n">
        <v>28.86</v>
      </c>
      <c r="V480" s="117" t="n">
        <v>105</v>
      </c>
      <c r="W480" s="112" t="n">
        <v>10</v>
      </c>
      <c r="X480" s="108" t="inlineStr">
        <is>
          <t>NA</t>
        </is>
      </c>
      <c r="Y480" s="113" t="n">
        <v>697.5599999999999</v>
      </c>
      <c r="Z480" s="113" t="n">
        <v>37993740</v>
      </c>
      <c r="AA480" s="112" t="n">
        <v>11.29</v>
      </c>
      <c r="AB480" s="108" t="inlineStr">
        <is>
          <t>Sunwoda Treasury (Hong Kong) Limited; Longwei Hong Kong Company Limited; Oakwise Growth Fund SPC { Greater China Fund SP; Tembusu Limited; Andrew Y Yan; RIME Capital Limited; Thalassa Capital Dynamics SPC (acting for and on behalf of Thalassa Horizon SP); Chample International Limited; Libra Stable Value and Fixed Income Segregated Portfolio Company acting for and on behalf of Libra Fixed Income One SP</t>
        </is>
      </c>
      <c r="AC480" s="108" t="inlineStr">
        <is>
          <t>sunwoda;longwei;oakwise;tembusu;andrew;rime;thalassa;chample;libra</t>
        </is>
      </c>
      <c r="AD480" s="112" t="n">
        <v>5.3</v>
      </c>
      <c r="AE480" s="108" t="inlineStr">
        <is>
          <t>partial</t>
        </is>
      </c>
      <c r="AF480" s="119" t="n"/>
      <c r="AG480" s="108" t="inlineStr">
        <is>
          <t>China International Capital Corporation Hong Kong Securities Limited</t>
        </is>
      </c>
      <c r="AH480" s="108" t="inlineStr">
        <is>
          <t>China International</t>
        </is>
      </c>
      <c r="AI480" s="120" t="n">
        <v>71.02</v>
      </c>
      <c r="AJ480" s="121" t="n">
        <v>127.12</v>
      </c>
      <c r="AK480" s="121" t="n">
        <v>0.09</v>
      </c>
      <c r="AL480" s="121" t="n">
        <v>72.11</v>
      </c>
      <c r="AM480" s="121" t="n">
        <v>31.96</v>
      </c>
      <c r="AN480" s="123" t="n">
        <v>3.08</v>
      </c>
      <c r="AO480" s="112" t="n">
        <v>32.66</v>
      </c>
      <c r="AP480" s="121" t="n">
        <v>105.88</v>
      </c>
      <c r="AQ480" s="121" t="n">
        <v>10.02</v>
      </c>
      <c r="AR480" s="121" t="n">
        <v>54.47</v>
      </c>
      <c r="AS480" s="121" t="n">
        <v>-9.35</v>
      </c>
      <c r="AT480" s="121" t="n">
        <v>-51.56</v>
      </c>
      <c r="AU480" s="121" t="n">
        <v>-31.99</v>
      </c>
      <c r="AV480" s="121" t="n">
        <v>110.97</v>
      </c>
      <c r="AW480" s="121" t="n">
        <v>8.09</v>
      </c>
      <c r="AX480" s="121" t="n">
        <v>61.48</v>
      </c>
      <c r="AY480" s="121" t="n">
        <v>-53.4</v>
      </c>
      <c r="AZ480" s="121" t="n">
        <v>1.93</v>
      </c>
      <c r="BA480" s="121" t="n">
        <v>1.84</v>
      </c>
      <c r="BB480" s="108" t="inlineStr">
        <is>
          <t>HSTECH (Hang Seng TECH ETF)</t>
        </is>
      </c>
      <c r="BC480" s="121" t="n">
        <v>30.72</v>
      </c>
      <c r="BD480" s="109" t="n">
        <v>46297</v>
      </c>
      <c r="BE480" s="110" t="n">
        <v>525.6</v>
      </c>
      <c r="BF480" s="113" t="n">
        <v>-386.5</v>
      </c>
      <c r="BG480" s="108" t="inlineStr">
        <is>
          <t>N</t>
        </is>
      </c>
      <c r="BH480" s="108" t="inlineStr">
        <is>
          <t>n/m</t>
        </is>
      </c>
      <c r="BI480" s="122" t="n"/>
      <c r="BJ480" s="122" t="n"/>
      <c r="BK480" s="123" t="n">
        <v>11.8</v>
      </c>
      <c r="BL480" s="124">
        <f>IF('BBG Verify'!S480="","not filed; run on terminal",'BBG Verify'!S480)</f>
        <v/>
      </c>
      <c r="BM480" s="125" t="inlineStr">
        <is>
          <t>N</t>
        </is>
      </c>
      <c r="BN480" s="126">
        <f>IF('BBG Verify'!K480="","not filed; run on terminal",'BBG Verify'!K480)</f>
        <v/>
      </c>
      <c r="BO480" s="108" t="inlineStr">
        <is>
          <t>N/A</t>
        </is>
      </c>
      <c r="BP480" s="108" t="inlineStr">
        <is>
          <t>N/A</t>
        </is>
      </c>
      <c r="BQ480" s="108" t="inlineStr">
        <is>
          <t>N/A</t>
        </is>
      </c>
      <c r="BR480" s="108" t="inlineStr">
        <is>
          <t>N/A</t>
        </is>
      </c>
      <c r="BS480" s="108" t="inlineStr">
        <is>
          <t>N/A</t>
        </is>
      </c>
      <c r="BT480" s="108" t="inlineStr">
        <is>
          <t>N/A</t>
        </is>
      </c>
      <c r="BU480" s="125" t="inlineStr">
        <is>
          <t>China International Capital Corporation Hong Kong Securities Limited; Guotai Junan Capital Limited; OCs China International Capital Corporation Hong Kong Securities Limited; Guotai Junan Securities (Hong Kong) Limited</t>
        </is>
      </c>
      <c r="BV480" s="108" t="inlineStr">
        <is>
          <t>China International Capital Corporation Hong Kong Securities Limited; Guotai Junan Capital Limited</t>
        </is>
      </c>
      <c r="BW480" s="108" t="inlineStr">
        <is>
          <t>China International Capital Corporation Hong Kong Securities Limited; Guotai Junan Securities (Hong Kong) Limited; GF Securities (Hong Kong) Brokerage Limited; Daiwa Capital Markets Hong Kong Limited; ABCI Capital Limited; Futu Securities International (Hong Kong) Limited; Tiger Brokers (HK) Global Limited; SPDB International Capital Limited; CMBC Securities Company Limited; Shanxi Securities International Limited</t>
        </is>
      </c>
      <c r="BX480" s="108" t="inlineStr">
        <is>
          <t>ABCI Securities Company Limited; China International Capital Corporation Hong Kong Securities Limited; CMBC Securities Company Limited; Daiwa Capital Markets Hong Kong Limited; Futu Securities International (Hong Kong) Limited; GF Securities (Hong Kong) Brokerage Limited; Guotai Junan Securities (Hong Kong) Limited; Shanxi Securities International Capital Limited; SPDB International Capital Limited; Tiger Brokers (HK) Global Limited</t>
        </is>
      </c>
      <c r="BY480" s="127">
        <f>HYPERLINK("https://www1.hkexnews.hk/listedco/listconews/sehk/2026/0609/2026060900029.pdf","prospectus")</f>
        <v/>
      </c>
      <c r="BZ480" s="127">
        <f>HYPERLINK("https://www1.hkexnews.hk/listedco/listconews/sehk/2026/0616/2026061601760.pdf","allotment")</f>
        <v/>
      </c>
      <c r="CA480" s="127">
        <f>HYPERLINK("https://www1.hkexnews.hk/listedco/listconews/sehk/2026/0712/2026071200003.pdf","stabilisation")</f>
        <v/>
      </c>
      <c r="CB480" s="128" t="n"/>
      <c r="CC480" s="108" t="inlineStr">
        <is>
          <t>P/E: loss-making at IPO, use P/S; greenshoe: outcome published; expiry date not in the notice; range low: maximum offer price only, no floor published</t>
        </is>
      </c>
    </row>
    <row r="481" ht="22" customHeight="1">
      <c r="A481" s="107" t="inlineStr">
        <is>
          <t>1392</t>
        </is>
      </c>
      <c r="B481" s="108" t="inlineStr">
        <is>
          <t>HQVT</t>
        </is>
      </c>
      <c r="C481" s="108" t="inlineStr">
        <is>
          <t>海清智元</t>
        </is>
      </c>
      <c r="D481" s="108" t="inlineStr">
        <is>
          <t>Tech/AI</t>
        </is>
      </c>
      <c r="E481" s="108" t="inlineStr">
        <is>
          <t>AI application / agent software</t>
        </is>
      </c>
      <c r="F481" s="108" t="inlineStr">
        <is>
          <t>Next-generation information technology</t>
        </is>
      </c>
      <c r="G481" s="108" t="inlineStr">
        <is>
          <t>Standard</t>
        </is>
      </c>
      <c r="H481" s="109" t="n">
        <v>46195</v>
      </c>
      <c r="I481" s="110" t="n">
        <v>613.17</v>
      </c>
      <c r="J481" s="108" t="inlineStr">
        <is>
          <t>gross (stated)</t>
        </is>
      </c>
      <c r="K481" s="129" t="n"/>
      <c r="L481" s="111" t="n">
        <v>7.2</v>
      </c>
      <c r="M481" s="111" t="n">
        <v>7.2</v>
      </c>
      <c r="N481" s="108" t="inlineStr">
        <is>
          <t>Y</t>
        </is>
      </c>
      <c r="O481" s="112" t="n">
        <v>100</v>
      </c>
      <c r="P481" s="118" t="n"/>
      <c r="Q481" s="113" t="n">
        <v>5574.3</v>
      </c>
      <c r="R481" s="108" t="inlineStr">
        <is>
          <t>derived:price x shares upon listing</t>
        </is>
      </c>
      <c r="S481" s="114" t="n">
        <v>7181.21</v>
      </c>
      <c r="T481" s="115" t="n">
        <v>4.81</v>
      </c>
      <c r="U481" s="116" t="n">
        <v>0</v>
      </c>
      <c r="V481" s="117" t="n">
        <v>137</v>
      </c>
      <c r="W481" s="112" t="n">
        <v>10</v>
      </c>
      <c r="X481" s="108" t="inlineStr">
        <is>
          <t>NA</t>
        </is>
      </c>
      <c r="Y481" s="113" t="n">
        <v>613.17</v>
      </c>
      <c r="Z481" s="113" t="n">
        <v>85162500</v>
      </c>
      <c r="AA481" s="112" t="n">
        <v>11</v>
      </c>
      <c r="AB481" s="108" t="inlineStr">
        <is>
          <t>none — no cornerstone tranche</t>
        </is>
      </c>
      <c r="AC481" s="108" t="inlineStr">
        <is>
          <t>none</t>
        </is>
      </c>
      <c r="AD481" s="118" t="n"/>
      <c r="AE481" s="119" t="n"/>
      <c r="AF481" s="119" t="n"/>
      <c r="AG481" s="119" t="n"/>
      <c r="AH481" s="119" t="n"/>
      <c r="AI481" s="120" t="n">
        <v>263.89</v>
      </c>
      <c r="AJ481" s="121" t="n">
        <v>270.83</v>
      </c>
      <c r="AK481" s="121" t="n">
        <v>-1.06</v>
      </c>
      <c r="AL481" s="121" t="n">
        <v>302.78</v>
      </c>
      <c r="AM481" s="121" t="n">
        <v>-7.93</v>
      </c>
      <c r="AN481" s="123" t="n">
        <v>3.24</v>
      </c>
      <c r="AO481" s="112" t="n">
        <v>17.24</v>
      </c>
      <c r="AP481" s="121" t="n">
        <v>143.75</v>
      </c>
      <c r="AQ481" s="121" t="n">
        <v>95.83</v>
      </c>
      <c r="AR481" s="121" t="n">
        <v>416.94</v>
      </c>
      <c r="AS481" s="121" t="n">
        <v>-34.27</v>
      </c>
      <c r="AT481" s="121" t="n">
        <v>-47.19</v>
      </c>
      <c r="AU481" s="121" t="n">
        <v>39.4</v>
      </c>
      <c r="AV481" s="121" t="n">
        <v>148.27</v>
      </c>
      <c r="AW481" s="121" t="n">
        <v>94.31999999999999</v>
      </c>
      <c r="AX481" s="121" t="n">
        <v>421.2</v>
      </c>
      <c r="AY481" s="121" t="n">
        <v>-49.79</v>
      </c>
      <c r="AZ481" s="121" t="n">
        <v>1.51</v>
      </c>
      <c r="BA481" s="121" t="n">
        <v>2.6</v>
      </c>
      <c r="BB481" s="108" t="inlineStr">
        <is>
          <t>HSTECH (Hang Seng TECH ETF)</t>
        </is>
      </c>
      <c r="BC481" s="121" t="n">
        <v>214.17</v>
      </c>
      <c r="BD481" s="109" t="n">
        <v>46297</v>
      </c>
      <c r="BE481" s="110" t="n">
        <v>735.4</v>
      </c>
      <c r="BF481" s="113" t="n">
        <v>32.3</v>
      </c>
      <c r="BG481" s="108" t="inlineStr">
        <is>
          <t>Y</t>
        </is>
      </c>
      <c r="BH481" s="123" t="n">
        <v>172.6</v>
      </c>
      <c r="BI481" s="122" t="n"/>
      <c r="BJ481" s="122" t="n"/>
      <c r="BK481" s="123" t="n">
        <v>7.6</v>
      </c>
      <c r="BL481" s="124">
        <f>IF('BBG Verify'!S481="","not filed; run on terminal",'BBG Verify'!S481)</f>
        <v/>
      </c>
      <c r="BM481" s="125" t="inlineStr">
        <is>
          <t>N</t>
        </is>
      </c>
      <c r="BN481" s="126">
        <f>IF('BBG Verify'!K481="","not filed; run on terminal",'BBG Verify'!K481)</f>
        <v/>
      </c>
      <c r="BO481" s="108" t="inlineStr">
        <is>
          <t>N/A</t>
        </is>
      </c>
      <c r="BP481" s="108" t="inlineStr">
        <is>
          <t>N/A</t>
        </is>
      </c>
      <c r="BQ481" s="108" t="inlineStr">
        <is>
          <t>N/A</t>
        </is>
      </c>
      <c r="BR481" s="108" t="inlineStr">
        <is>
          <t>N/A</t>
        </is>
      </c>
      <c r="BS481" s="108" t="inlineStr">
        <is>
          <t>N/A</t>
        </is>
      </c>
      <c r="BT481" s="108" t="inlineStr">
        <is>
          <t>N/A</t>
        </is>
      </c>
      <c r="BU481" s="125" t="inlineStr">
        <is>
          <t>CMBC International Capital Limited; SPDB International Capital Limited</t>
        </is>
      </c>
      <c r="BV481" s="108" t="inlineStr">
        <is>
          <t>CMBC International Capital Limited; SPDB International Capital Limited</t>
        </is>
      </c>
      <c r="BW481" s="108" t="inlineStr">
        <is>
          <t>Livermore Holdings Limited; CCB International Capital Limited; CMB International Capital Limited; DL Securities (HK) Limited; Huafu International Securities Limited; Skyvast Securities Limited; Somerley Capital Limited; Yuen Meta (International) Securities Limited; Yunfeng Securities Limited; Zheshang International Financial Holdings Co., Limited; Zhongtai International Securities Limited</t>
        </is>
      </c>
      <c r="BX481" s="108" t="inlineStr">
        <is>
          <t>CCB International Capital Limited; CEB International Capital Corporation Limited; China Harbour International Securities Limited; CMBC Securities Company Limited; CMB International Capital Limited; DL Securities (HK) Limited; Huafu International Securities Limited; Livermore Holdings Limited; Somerley Capital Limited; SPDB International Capital Limited; Skyvast Securities Limited; Yunfeng Securities Limited</t>
        </is>
      </c>
      <c r="BY481" s="127">
        <f>HYPERLINK("https://www1.hkexnews.hk/listedco/listconews/sehk/2026/0611/2026061100015.pdf","prospectus")</f>
        <v/>
      </c>
      <c r="BZ481" s="127">
        <f>HYPERLINK("https://www1.hkexnews.hk/listedco/listconews/sehk/2026/0618/2026061802066.pdf","allotment")</f>
        <v/>
      </c>
      <c r="CA481" s="119" t="n"/>
      <c r="CB481" s="128" t="n"/>
      <c r="CC481" s="108" t="inlineStr">
        <is>
          <t>greenshoe: no over-allotment option; range low: maximum offer price only, no floor published; cornerstone list: no cornerstone tranche; greenshoe size: no over-allotment option; stabilising manager: no over-allotment option, so none appointed</t>
        </is>
      </c>
    </row>
    <row r="482" ht="22" customHeight="1">
      <c r="A482" s="107" t="inlineStr">
        <is>
          <t>6132</t>
        </is>
      </c>
      <c r="B482" s="108" t="inlineStr">
        <is>
          <t>HJ SCIENCE-B</t>
        </is>
      </c>
      <c r="C482" s="108" t="inlineStr">
        <is>
          <t>華健未來－Ｂ</t>
        </is>
      </c>
      <c r="D482" s="108" t="inlineStr">
        <is>
          <t>Healthcare</t>
        </is>
      </c>
      <c r="E482" s="108" t="inlineStr">
        <is>
          <t>Biotech pre-revenue (18A)</t>
        </is>
      </c>
      <c r="F482" s="108" t="inlineStr">
        <is>
          <t>Biotechnology - Pharmaceuticals</t>
        </is>
      </c>
      <c r="G482" s="108" t="inlineStr">
        <is>
          <t>18A</t>
        </is>
      </c>
      <c r="H482" s="109" t="n">
        <v>46196</v>
      </c>
      <c r="I482" s="110" t="n">
        <v>1112.5</v>
      </c>
      <c r="J482" s="108" t="inlineStr">
        <is>
          <t>gross (stated)</t>
        </is>
      </c>
      <c r="K482" s="129" t="n"/>
      <c r="L482" s="111" t="n">
        <v>81.8</v>
      </c>
      <c r="M482" s="111" t="n">
        <v>81.8</v>
      </c>
      <c r="N482" s="108" t="inlineStr">
        <is>
          <t>Y</t>
        </is>
      </c>
      <c r="O482" s="112" t="n">
        <v>100</v>
      </c>
      <c r="P482" s="118" t="n"/>
      <c r="Q482" s="113" t="n">
        <v>6020</v>
      </c>
      <c r="R482" s="108" t="inlineStr">
        <is>
          <t>press:eastmoney 2026-06: 总市值60.20亿 at HK$81.80</t>
        </is>
      </c>
      <c r="S482" s="114" t="n">
        <v>2007.6</v>
      </c>
      <c r="T482" s="115" t="n">
        <v>7</v>
      </c>
      <c r="U482" s="116" t="n">
        <v>45.79</v>
      </c>
      <c r="V482" s="117" t="n">
        <v>91</v>
      </c>
      <c r="W482" s="112" t="n">
        <v>10</v>
      </c>
      <c r="X482" s="108" t="inlineStr">
        <is>
          <t>NO</t>
        </is>
      </c>
      <c r="Y482" s="113" t="n">
        <v>603.09</v>
      </c>
      <c r="Z482" s="113" t="n">
        <v>7372560</v>
      </c>
      <c r="AA482" s="112" t="n">
        <v>10.02</v>
      </c>
      <c r="AB482" s="108" t="inlineStr">
        <is>
          <t>Superior Choice SPC — Horizon Next Fund SP and Foresight International Series — Foresight China Equity Fund (collectively, Foresight Funds); Key Broad Future Limited; LBC HK Opportunity Fund Limited; Sage Partners Master Fund; Panjing Harbourview Investment Fund; Taikang Life Insurance Co., Ltd</t>
        </is>
      </c>
      <c r="AC482" s="108" t="inlineStr">
        <is>
          <t>superior;key;lbc;sage;panjing;taikang</t>
        </is>
      </c>
      <c r="AD482" s="112" t="n">
        <v>7.5</v>
      </c>
      <c r="AE482" s="108" t="inlineStr">
        <is>
          <t>lapsed</t>
        </is>
      </c>
      <c r="AF482" s="119" t="n"/>
      <c r="AG482" s="108" t="inlineStr">
        <is>
          <t>CLSA Limited</t>
        </is>
      </c>
      <c r="AH482" s="108" t="inlineStr">
        <is>
          <t>CLSA</t>
        </is>
      </c>
      <c r="AI482" s="120" t="n">
        <v>0</v>
      </c>
      <c r="AJ482" s="121" t="n">
        <v>-56.89</v>
      </c>
      <c r="AK482" s="121" t="n">
        <v>0.1</v>
      </c>
      <c r="AL482" s="121" t="n">
        <v>0</v>
      </c>
      <c r="AM482" s="121" t="n">
        <v>-56.89</v>
      </c>
      <c r="AN482" s="123" t="n">
        <v>6.07</v>
      </c>
      <c r="AO482" s="112" t="n">
        <v>57.14</v>
      </c>
      <c r="AP482" s="121" t="n">
        <v>-56.14</v>
      </c>
      <c r="AQ482" s="121" t="n">
        <v>-42.52</v>
      </c>
      <c r="AR482" s="121" t="n">
        <v>-47.11</v>
      </c>
      <c r="AS482" s="121" t="n">
        <v>1.74</v>
      </c>
      <c r="AT482" s="121" t="n">
        <v>33.33</v>
      </c>
      <c r="AU482" s="121" t="n">
        <v>22.69</v>
      </c>
      <c r="AV482" s="121" t="n">
        <v>-64.12</v>
      </c>
      <c r="AW482" s="121" t="n">
        <v>-61.81</v>
      </c>
      <c r="AX482" s="121" t="n">
        <v>-78.16</v>
      </c>
      <c r="AY482" s="121" t="n">
        <v>14.16</v>
      </c>
      <c r="AZ482" s="121" t="n">
        <v>19.29</v>
      </c>
      <c r="BA482" s="121" t="n">
        <v>19.17</v>
      </c>
      <c r="BB482" s="108" t="inlineStr">
        <is>
          <t>China Biotech ETF (HS biotech proxy)</t>
        </is>
      </c>
      <c r="BC482" s="121" t="n">
        <v>-56.26</v>
      </c>
      <c r="BD482" s="109" t="n">
        <v>46297</v>
      </c>
      <c r="BE482" s="110" t="n">
        <v>14.3</v>
      </c>
      <c r="BF482" s="113" t="n">
        <v>-148.6</v>
      </c>
      <c r="BG482" s="108" t="inlineStr">
        <is>
          <t>N</t>
        </is>
      </c>
      <c r="BH482" s="108" t="inlineStr">
        <is>
          <t>n/m</t>
        </is>
      </c>
      <c r="BI482" s="122" t="n"/>
      <c r="BJ482" s="122" t="n"/>
      <c r="BK482" s="123" t="n">
        <v>421</v>
      </c>
      <c r="BL482" s="124">
        <f>IF('BBG Verify'!S482="","not filed; run on terminal",'BBG Verify'!S482)</f>
        <v/>
      </c>
      <c r="BM482" s="125" t="inlineStr">
        <is>
          <t>N</t>
        </is>
      </c>
      <c r="BN482" s="126">
        <f>IF('BBG Verify'!K482="","not filed; run on terminal",'BBG Verify'!K482)</f>
        <v/>
      </c>
      <c r="BO482" s="108" t="inlineStr">
        <is>
          <t>N/A</t>
        </is>
      </c>
      <c r="BP482" s="108" t="inlineStr">
        <is>
          <t>N/A</t>
        </is>
      </c>
      <c r="BQ482" s="108" t="inlineStr">
        <is>
          <t>N/A</t>
        </is>
      </c>
      <c r="BR482" s="108" t="inlineStr">
        <is>
          <t>N/A</t>
        </is>
      </c>
      <c r="BS482" s="108" t="inlineStr">
        <is>
          <t>N/A</t>
        </is>
      </c>
      <c r="BT482" s="108" t="inlineStr">
        <is>
          <t>N/A</t>
        </is>
      </c>
      <c r="BU482" s="125" t="inlineStr">
        <is>
          <t>CITIC Securities (Hong Kong) Limited</t>
        </is>
      </c>
      <c r="BV482" s="108" t="inlineStr">
        <is>
          <t>CITIC Securities (Hong Kong) Limited</t>
        </is>
      </c>
      <c r="BW482" s="108" t="inlineStr">
        <is>
          <t>CLSA Limited</t>
        </is>
      </c>
      <c r="BX482" s="108" t="inlineStr">
        <is>
          <t>CLSA Limited</t>
        </is>
      </c>
      <c r="BY482" s="127">
        <f>HYPERLINK("https://www1.hkexnews.hk/listedco/listconews/sehk/2026/0612/2026061200083.pdf","prospectus")</f>
        <v/>
      </c>
      <c r="BZ482" s="127">
        <f>HYPERLINK("https://www1.hkexnews.hk/listedco/listconews/sehk/2026/0622/2026062201627.pdf","allotment")</f>
        <v/>
      </c>
      <c r="CA482" s="127">
        <f>HYPERLINK("https://www1.hkexnews.hk/listedco/listconews/sehk/2026/0717/2026071700724.pdf","stabilisation")</f>
        <v/>
      </c>
      <c r="CB482" s="128" t="n"/>
      <c r="CC482" s="108" t="inlineStr">
        <is>
          <t>P/E: loss-making at IPO, use P/S; greenshoe: outcome published; expiry date not in the notice; range low: maximum offer price only, no floor published; P/S: 421x on HK$14.3m revenue, effectively pre-revenue; not comparable</t>
        </is>
      </c>
    </row>
    <row r="483" ht="22" customHeight="1">
      <c r="A483" s="107" t="inlineStr">
        <is>
          <t>6067</t>
        </is>
      </c>
      <c r="B483" s="108" t="inlineStr">
        <is>
          <t>SENIOR MATERIAL</t>
        </is>
      </c>
      <c r="C483" s="108" t="inlineStr">
        <is>
          <t>星源材質</t>
        </is>
      </c>
      <c r="D483" s="108" t="inlineStr">
        <is>
          <t>Industrials</t>
        </is>
      </c>
      <c r="E483" s="108" t="inlineStr">
        <is>
          <t>Batteries / energy storage</t>
        </is>
      </c>
      <c r="F483" s="108" t="inlineStr">
        <is>
          <t>Battery Products</t>
        </is>
      </c>
      <c r="G483" s="108" t="inlineStr">
        <is>
          <t>Standard</t>
        </is>
      </c>
      <c r="H483" s="109" t="n">
        <v>46196</v>
      </c>
      <c r="I483" s="110" t="n">
        <v>1342.7</v>
      </c>
      <c r="J483" s="108" t="inlineStr">
        <is>
          <t>gross (stated)</t>
        </is>
      </c>
      <c r="K483" s="129" t="n"/>
      <c r="L483" s="111" t="n">
        <v>8.98</v>
      </c>
      <c r="M483" s="111" t="n">
        <v>8.98</v>
      </c>
      <c r="N483" s="108" t="inlineStr">
        <is>
          <t>Y</t>
        </is>
      </c>
      <c r="O483" s="112" t="n">
        <v>100</v>
      </c>
      <c r="P483" s="118" t="n"/>
      <c r="Q483" s="113" t="n">
        <v>13427.2</v>
      </c>
      <c r="R483" s="108" t="inlineStr">
        <is>
          <t>derived:price x shares upon listing</t>
        </is>
      </c>
      <c r="S483" s="114" t="n">
        <v>1563.16</v>
      </c>
      <c r="T483" s="115" t="n">
        <v>14.34</v>
      </c>
      <c r="U483" s="116" t="n">
        <v>45.14</v>
      </c>
      <c r="V483" s="117" t="n">
        <v>104</v>
      </c>
      <c r="W483" s="112" t="n">
        <v>10</v>
      </c>
      <c r="X483" s="108" t="inlineStr">
        <is>
          <t>NA</t>
        </is>
      </c>
      <c r="Y483" s="113" t="n">
        <v>736.61</v>
      </c>
      <c r="Z483" s="113" t="n">
        <v>82028592</v>
      </c>
      <c r="AA483" s="112" t="n">
        <v>5.49</v>
      </c>
      <c r="AB483" s="108" t="inlineStr">
        <is>
          <t>Bona Star Consultant Limited; CICC Financial Trading Limited; Fullgoal Fund Management Co., Ltd; GF Fund Management Co., Ltd; Harvest International Premium Value (Secondary Market) Fund SPC; JINKOSOLAR INVESTMENT LIMITED; Mondeomax Limited; Mr. Chen Feng; SHEEN NATION HOLDINGS LIMITED; SINSANWA HOLDINGS (H.K.) CO., LIMITED; Springs Capital (Hong Kong) Limited; Sunwoda Treasury (Hong Kong) Limited; Taikang Life Insurance Co., Ltd</t>
        </is>
      </c>
      <c r="AC483" s="108" t="inlineStr">
        <is>
          <t>bona;china-international;fullgoal;gf;harvest;jinkosolar;mondeomax;mr-chen;sheen;sinsanwa;springs;sunwoda;taikang</t>
        </is>
      </c>
      <c r="AD483" s="118" t="n"/>
      <c r="AE483" s="119" t="n"/>
      <c r="AF483" s="119" t="n"/>
      <c r="AG483" s="119" t="n"/>
      <c r="AH483" s="119" t="n"/>
      <c r="AI483" s="120" t="n">
        <v>40.76</v>
      </c>
      <c r="AJ483" s="121" t="n">
        <v>22.49</v>
      </c>
      <c r="AK483" s="121" t="n">
        <v>-2.82</v>
      </c>
      <c r="AL483" s="121" t="n">
        <v>38.42</v>
      </c>
      <c r="AM483" s="121" t="n">
        <v>-11.51</v>
      </c>
      <c r="AN483" s="123" t="n">
        <v>4.44</v>
      </c>
      <c r="AO483" s="112" t="n">
        <v>19.39</v>
      </c>
      <c r="AP483" s="121" t="n">
        <v>10.24</v>
      </c>
      <c r="AQ483" s="121" t="n">
        <v>-12.25</v>
      </c>
      <c r="AR483" s="121" t="n">
        <v>-12.31</v>
      </c>
      <c r="AS483" s="121" t="n">
        <v>-10</v>
      </c>
      <c r="AT483" s="121" t="n">
        <v>-28.36</v>
      </c>
      <c r="AU483" s="121" t="n">
        <v>-28.41</v>
      </c>
      <c r="AV483" s="121" t="n">
        <v>13.81</v>
      </c>
      <c r="AW483" s="121" t="n">
        <v>-18.87</v>
      </c>
      <c r="AX483" s="121" t="n">
        <v>-16.36</v>
      </c>
      <c r="AY483" s="121" t="n">
        <v>-38.07</v>
      </c>
      <c r="AZ483" s="121" t="n">
        <v>6.62</v>
      </c>
      <c r="BA483" s="121" t="n">
        <v>9.710000000000001</v>
      </c>
      <c r="BB483" s="108" t="inlineStr">
        <is>
          <t>Hang Seng Commerce &amp; Industry sub-index</t>
        </is>
      </c>
      <c r="BC483" s="121" t="n">
        <v>-22.44</v>
      </c>
      <c r="BD483" s="109" t="n">
        <v>46297</v>
      </c>
      <c r="BE483" s="110" t="n">
        <v>4484.5</v>
      </c>
      <c r="BF483" s="113" t="n">
        <v>157.4</v>
      </c>
      <c r="BG483" s="108" t="inlineStr">
        <is>
          <t>Y</t>
        </is>
      </c>
      <c r="BH483" s="123" t="n">
        <v>85.3</v>
      </c>
      <c r="BI483" s="123" t="n">
        <v>297.2</v>
      </c>
      <c r="BJ483" s="123" t="n">
        <v>224.7</v>
      </c>
      <c r="BK483" s="123" t="n">
        <v>3</v>
      </c>
      <c r="BL483" s="124">
        <f>IF('BBG Verify'!S483="","not filed; run on terminal",'BBG Verify'!S483)</f>
        <v/>
      </c>
      <c r="BM483" s="125" t="inlineStr">
        <is>
          <t>Y</t>
        </is>
      </c>
      <c r="BN483" s="108" t="inlineStr">
        <is>
          <t>300568.SZ</t>
        </is>
      </c>
      <c r="BO483" s="121" t="n">
        <v>162.05</v>
      </c>
      <c r="BP483" s="111" t="n">
        <v>23.5319</v>
      </c>
      <c r="BQ483" s="135" t="n">
        <v>1.6448</v>
      </c>
      <c r="BR483" s="113" t="n">
        <v>27558.3</v>
      </c>
      <c r="BS483" s="124">
        <f>IF('BBG Verify'!Q483="","run on terminal",'BBG Verify'!Q483)</f>
        <v/>
      </c>
      <c r="BT483" s="124">
        <f>IF('BBG Verify'!R483="","run on terminal",'BBG Verify'!R483)</f>
        <v/>
      </c>
      <c r="BU483" s="125" t="inlineStr">
        <is>
          <t>China Securities (International) Corporate Finance Company Limited</t>
        </is>
      </c>
      <c r="BV483" s="108" t="inlineStr">
        <is>
          <t>China Securities (International) Corporate Finance Company Limited</t>
        </is>
      </c>
      <c r="BW483" s="108" t="inlineStr">
        <is>
          <t>CMBC Securities Company Limited; Jinluo Securities Limited; New Industrial Financial Holdings Limited; China Industrial Securities International Capital Limited; Futu Securities International (Hong Kong) Limited; Tiger Brokers (HK) Global Limited; China Securities (International) Corporate Finance Company Limited; Huatai Financial Holdings (Hong Kong) Limited; ICBC International Securities Limited</t>
        </is>
      </c>
      <c r="BX483" s="108" t="inlineStr">
        <is>
          <t>China International Capital Corporation Hong Kong Securities Limited; China Industrial Securities International Capital Limited; CMBC Securities Company Limited; China Securities (International) Corporate Finance Company Limited; Futu Securities International (Hong Kong) Limited; Huatai Financial Holdings (Hong Kong) Limited; ICBC International Securities Limited; Jinluo Securities Limited; New Industrial Financial Holdings Limited; Tiger Brokers (HK) Global Limited; Vast Harbour Securities Limited</t>
        </is>
      </c>
      <c r="BY483" s="127">
        <f>HYPERLINK("https://www1.hkexnews.hk/listedco/listconews/sehk/2026/0612/2026061200031.pdf","prospectus")</f>
        <v/>
      </c>
      <c r="BZ483" s="127">
        <f>HYPERLINK("https://www1.hkexnews.hk/listedco/listconews/sehk/2026/0622/2026062202141.pdf","allotment")</f>
        <v/>
      </c>
      <c r="CA483" s="119" t="n"/>
      <c r="CB483" s="128" t="n"/>
      <c r="CC483" s="108" t="inlineStr">
        <is>
          <t>greenshoe: no over-allotment option; range low: maximum offer price only, no floor published; A/H: Jun 2026 H listing (battery separators); greenshoe size: no over-allotment option; stabilising manager: no over-allotment option, so none appointed</t>
        </is>
      </c>
    </row>
    <row r="484" ht="22" customHeight="1">
      <c r="A484" s="107" t="inlineStr">
        <is>
          <t>2335</t>
        </is>
      </c>
      <c r="B484" s="108" t="inlineStr">
        <is>
          <t>MICOT PHARMA-B</t>
        </is>
      </c>
      <c r="C484" s="108" t="inlineStr">
        <is>
          <t>麥科醫藥－Ｂ</t>
        </is>
      </c>
      <c r="D484" s="108" t="inlineStr">
        <is>
          <t>Healthcare</t>
        </is>
      </c>
      <c r="E484" s="108" t="inlineStr">
        <is>
          <t>Biotech pre-revenue (18A)</t>
        </is>
      </c>
      <c r="F484" s="108" t="inlineStr">
        <is>
          <t>Biotechnology - Pharmaceuticals</t>
        </is>
      </c>
      <c r="G484" s="108" t="inlineStr">
        <is>
          <t>18A</t>
        </is>
      </c>
      <c r="H484" s="109" t="n">
        <v>46197</v>
      </c>
      <c r="I484" s="110" t="n">
        <v>1056.6</v>
      </c>
      <c r="J484" s="108" t="inlineStr">
        <is>
          <t>gross (stated)</t>
        </is>
      </c>
      <c r="K484" s="111" t="n">
        <v>18.2</v>
      </c>
      <c r="L484" s="111" t="n">
        <v>21</v>
      </c>
      <c r="M484" s="111" t="n">
        <v>18.2</v>
      </c>
      <c r="N484" s="108" t="inlineStr">
        <is>
          <t>N</t>
        </is>
      </c>
      <c r="O484" s="112" t="n">
        <v>86.7</v>
      </c>
      <c r="P484" s="112" t="n">
        <v>0</v>
      </c>
      <c r="Q484" s="113" t="n">
        <v>6037.7</v>
      </c>
      <c r="R484" s="108" t="inlineStr">
        <is>
          <t>derived:price x shares upon listing</t>
        </is>
      </c>
      <c r="S484" s="114" t="n">
        <v>1181.46</v>
      </c>
      <c r="T484" s="115" t="n">
        <v>2.52</v>
      </c>
      <c r="U484" s="116" t="n">
        <v>42.51</v>
      </c>
      <c r="V484" s="117" t="n">
        <v>73</v>
      </c>
      <c r="W484" s="112" t="n">
        <v>10</v>
      </c>
      <c r="X484" s="108" t="inlineStr">
        <is>
          <t>NA</t>
        </is>
      </c>
      <c r="Y484" s="113" t="n">
        <v>607.4400000000001</v>
      </c>
      <c r="Z484" s="113" t="n">
        <v>33375475</v>
      </c>
      <c r="AA484" s="112" t="n">
        <v>10.06</v>
      </c>
      <c r="AB484" s="108" t="inlineStr">
        <is>
          <t>Qiyuan Hong Kong; Everest Medicine; Summit Capital</t>
        </is>
      </c>
      <c r="AC484" s="108" t="inlineStr">
        <is>
          <t>qiyuan;everest;summit</t>
        </is>
      </c>
      <c r="AD484" s="112" t="n">
        <v>8.24</v>
      </c>
      <c r="AE484" s="119" t="n"/>
      <c r="AF484" s="108" t="inlineStr">
        <is>
          <t>2026-07-18</t>
        </is>
      </c>
      <c r="AG484" s="108" t="inlineStr">
        <is>
          <t>CCB International Capital Limited</t>
        </is>
      </c>
      <c r="AH484" s="108" t="inlineStr">
        <is>
          <t>CCB</t>
        </is>
      </c>
      <c r="AI484" s="120" t="n">
        <v>95.05</v>
      </c>
      <c r="AJ484" s="121" t="n">
        <v>102.75</v>
      </c>
      <c r="AK484" s="121" t="n">
        <v>3.03</v>
      </c>
      <c r="AL484" s="121" t="n">
        <v>86.92</v>
      </c>
      <c r="AM484" s="121" t="n">
        <v>8.470000000000001</v>
      </c>
      <c r="AN484" s="123" t="n">
        <v>1.95</v>
      </c>
      <c r="AO484" s="112" t="n">
        <v>14.4</v>
      </c>
      <c r="AP484" s="121" t="n">
        <v>97.58</v>
      </c>
      <c r="AQ484" s="121" t="n">
        <v>86.81</v>
      </c>
      <c r="AR484" s="121" t="n">
        <v>21.76</v>
      </c>
      <c r="AS484" s="121" t="n">
        <v>-2.55</v>
      </c>
      <c r="AT484" s="121" t="n">
        <v>-7.86</v>
      </c>
      <c r="AU484" s="121" t="n">
        <v>-39.95</v>
      </c>
      <c r="AV484" s="121" t="n">
        <v>86.28</v>
      </c>
      <c r="AW484" s="121" t="n">
        <v>70.06</v>
      </c>
      <c r="AX484" s="121" t="n">
        <v>-9.050000000000001</v>
      </c>
      <c r="AY484" s="121" t="n">
        <v>-21.18</v>
      </c>
      <c r="AZ484" s="121" t="n">
        <v>16.75</v>
      </c>
      <c r="BA484" s="121" t="n">
        <v>13.32</v>
      </c>
      <c r="BB484" s="108" t="inlineStr">
        <is>
          <t>China Biotech ETF (HS biotech proxy)</t>
        </is>
      </c>
      <c r="BC484" s="121" t="n">
        <v>19.67</v>
      </c>
      <c r="BD484" s="109" t="n">
        <v>46297</v>
      </c>
      <c r="BE484" s="110" t="n">
        <v>2.2</v>
      </c>
      <c r="BF484" s="113" t="n">
        <v>-203.4</v>
      </c>
      <c r="BG484" s="108" t="inlineStr">
        <is>
          <t>N</t>
        </is>
      </c>
      <c r="BH484" s="108" t="inlineStr">
        <is>
          <t>n/m</t>
        </is>
      </c>
      <c r="BI484" s="122" t="n"/>
      <c r="BJ484" s="122" t="n"/>
      <c r="BK484" s="123" t="n">
        <v>2744.4</v>
      </c>
      <c r="BL484" s="124">
        <f>IF('BBG Verify'!S484="","not filed; run on terminal",'BBG Verify'!S484)</f>
        <v/>
      </c>
      <c r="BM484" s="125" t="inlineStr">
        <is>
          <t>N</t>
        </is>
      </c>
      <c r="BN484" s="126">
        <f>IF('BBG Verify'!K484="","not filed; run on terminal",'BBG Verify'!K484)</f>
        <v/>
      </c>
      <c r="BO484" s="108" t="inlineStr">
        <is>
          <t>N/A</t>
        </is>
      </c>
      <c r="BP484" s="108" t="inlineStr">
        <is>
          <t>N/A</t>
        </is>
      </c>
      <c r="BQ484" s="108" t="inlineStr">
        <is>
          <t>N/A</t>
        </is>
      </c>
      <c r="BR484" s="108" t="inlineStr">
        <is>
          <t>N/A</t>
        </is>
      </c>
      <c r="BS484" s="108" t="inlineStr">
        <is>
          <t>N/A</t>
        </is>
      </c>
      <c r="BT484" s="108" t="inlineStr">
        <is>
          <t>N/A</t>
        </is>
      </c>
      <c r="BU484" s="125" t="inlineStr">
        <is>
          <t>CCB International Capital Limited; China Merchants Securities (HK) Company Limited</t>
        </is>
      </c>
      <c r="BV484" s="108" t="inlineStr">
        <is>
          <t>CCB International Capital Limited; China Merchants Securities (HK) Company Limited</t>
        </is>
      </c>
      <c r="BW484" s="108" t="inlineStr">
        <is>
          <t>CCB International Capital Limited; China Merchants Securities (HK) Company Limited; Jakota Securities Group Limited; Ruibang Securities Limited; Sinolink Securities (Hong Kong) Company Limited; Somerley Capital Limited; Skyvast Securities Limited; Tiger Brokers (HK) Global Limited</t>
        </is>
      </c>
      <c r="BX484" s="108" t="inlineStr">
        <is>
          <t>CCB International Capital Limited; China Merchants Securities (HK) Company Limited; Jakota Securities Group Limited; Ruibang Securities Limited; Sinolink Securities (Hong Kong) Company Limited; Somerley Capital Limited; Skyvast Securities Limited; Tiger Brokers (HK) Global Limited</t>
        </is>
      </c>
      <c r="BY484" s="127">
        <f>HYPERLINK("https://www1.hkexnews.hk/listedco/listconews/sehk/2026/0615/2026061500009.pdf","prospectus")</f>
        <v/>
      </c>
      <c r="BZ484" s="127">
        <f>HYPERLINK("https://www1.hkexnews.hk/listedco/listconews/sehk/2026/0623/2026062301227.pdf","allotment")</f>
        <v/>
      </c>
      <c r="CA484" s="119" t="n"/>
      <c r="CB484" s="128" t="n"/>
      <c r="CC484" s="108" t="inlineStr">
        <is>
          <t>P/E: loss-making at IPO, use P/S; greenshoe: end-of-stabilisation notice not found; sponsor: English name not in the filing; AAStocks 保薦人 shown; P/S: 2,744x on HK$2.2m revenue, effectively pre-revenue; not comparable</t>
        </is>
      </c>
    </row>
    <row r="485" ht="22" customHeight="1">
      <c r="A485" s="107" t="inlineStr">
        <is>
          <t>6106</t>
        </is>
      </c>
      <c r="B485" s="108" t="inlineStr">
        <is>
          <t>SEER TECH</t>
        </is>
      </c>
      <c r="C485" s="108" t="inlineStr">
        <is>
          <t>仙工智能</t>
        </is>
      </c>
      <c r="D485" s="108" t="inlineStr">
        <is>
          <t>Tech/AI</t>
        </is>
      </c>
      <c r="E485" s="108" t="inlineStr">
        <is>
          <t>Robotics &amp; autonomous driving</t>
        </is>
      </c>
      <c r="F485" s="108" t="inlineStr">
        <is>
          <t>Advanced hardware and software</t>
        </is>
      </c>
      <c r="G485" s="108" t="inlineStr">
        <is>
          <t>18C</t>
        </is>
      </c>
      <c r="H485" s="109" t="n">
        <v>46197</v>
      </c>
      <c r="I485" s="110" t="n">
        <v>1066.5</v>
      </c>
      <c r="J485" s="108" t="inlineStr">
        <is>
          <t>gross (stated)</t>
        </is>
      </c>
      <c r="K485" s="129" t="n"/>
      <c r="L485" s="111" t="n">
        <v>101.6</v>
      </c>
      <c r="M485" s="111" t="n">
        <v>101.6</v>
      </c>
      <c r="N485" s="108" t="inlineStr">
        <is>
          <t>Y</t>
        </is>
      </c>
      <c r="O485" s="112" t="n">
        <v>100</v>
      </c>
      <c r="P485" s="118" t="n"/>
      <c r="Q485" s="113" t="n">
        <v>9902.5</v>
      </c>
      <c r="R485" s="108" t="inlineStr">
        <is>
          <t>derived:deal size / offer % of enlarged capital</t>
        </is>
      </c>
      <c r="S485" s="114" t="n">
        <v>5934.56</v>
      </c>
      <c r="T485" s="115" t="n">
        <v>21.29</v>
      </c>
      <c r="U485" s="116" t="n">
        <v>43.34</v>
      </c>
      <c r="V485" s="117" t="n">
        <v>134</v>
      </c>
      <c r="W485" s="112" t="n">
        <v>20</v>
      </c>
      <c r="X485" s="108" t="inlineStr">
        <is>
          <t>YES</t>
        </is>
      </c>
      <c r="Y485" s="113" t="n">
        <v>604.28</v>
      </c>
      <c r="Z485" s="113" t="n">
        <v>5947770</v>
      </c>
      <c r="AA485" s="112" t="n">
        <v>6.1</v>
      </c>
      <c r="AB485" s="108" t="inlineStr">
        <is>
          <t>HHLRA; Yuanbao Family Office; 3W Fund; GF Fund; Ruihua Investment; Zhonghe Capital (through GF Securities AM as the qualified domestic institutional investor); Yishao Capital; Nova Kerry Inc</t>
        </is>
      </c>
      <c r="AC485" s="108" t="inlineStr">
        <is>
          <t>hhlra;yuanbao;3w;gf;ruihua;zhonghe;yishao;nova</t>
        </is>
      </c>
      <c r="AD485" s="112" t="n">
        <v>15</v>
      </c>
      <c r="AE485" s="108" t="inlineStr">
        <is>
          <t>lapsed</t>
        </is>
      </c>
      <c r="AF485" s="119" t="n"/>
      <c r="AG485" s="108" t="inlineStr">
        <is>
          <t>China International Capital Corporation Hong Kong Securities Limited</t>
        </is>
      </c>
      <c r="AH485" s="108" t="inlineStr">
        <is>
          <t>China International</t>
        </is>
      </c>
      <c r="AI485" s="120" t="n">
        <v>-7.28</v>
      </c>
      <c r="AJ485" s="121" t="n">
        <v>4.33</v>
      </c>
      <c r="AK485" s="121" t="n">
        <v>1.99</v>
      </c>
      <c r="AL485" s="121" t="n">
        <v>0</v>
      </c>
      <c r="AM485" s="121" t="n">
        <v>4.33</v>
      </c>
      <c r="AN485" s="123" t="n">
        <v>3</v>
      </c>
      <c r="AO485" s="112" t="n">
        <v>38.29</v>
      </c>
      <c r="AP485" s="121" t="n">
        <v>-19.54</v>
      </c>
      <c r="AQ485" s="121" t="n">
        <v>-44.69</v>
      </c>
      <c r="AR485" s="121" t="n">
        <v>-31.3</v>
      </c>
      <c r="AS485" s="121" t="n">
        <v>-22.88</v>
      </c>
      <c r="AT485" s="121" t="n">
        <v>-46.99</v>
      </c>
      <c r="AU485" s="121" t="n">
        <v>-34.15</v>
      </c>
      <c r="AV485" s="121" t="n">
        <v>-20.7</v>
      </c>
      <c r="AW485" s="121" t="n">
        <v>-49.98</v>
      </c>
      <c r="AX485" s="121" t="n">
        <v>-32.23</v>
      </c>
      <c r="AY485" s="121" t="n">
        <v>-50.22</v>
      </c>
      <c r="AZ485" s="121" t="n">
        <v>5.29</v>
      </c>
      <c r="BA485" s="121" t="n">
        <v>3.23</v>
      </c>
      <c r="BB485" s="108" t="inlineStr">
        <is>
          <t>HSTECH (Hang Seng TECH ETF)</t>
        </is>
      </c>
      <c r="BC485" s="121" t="n">
        <v>-41.78</v>
      </c>
      <c r="BD485" s="109" t="n">
        <v>46297</v>
      </c>
      <c r="BE485" s="110" t="n">
        <v>486.1</v>
      </c>
      <c r="BF485" s="113" t="n">
        <v>-51.8</v>
      </c>
      <c r="BG485" s="108" t="inlineStr">
        <is>
          <t>N</t>
        </is>
      </c>
      <c r="BH485" s="108" t="inlineStr">
        <is>
          <t>n/m</t>
        </is>
      </c>
      <c r="BI485" s="122" t="n"/>
      <c r="BJ485" s="122" t="n"/>
      <c r="BK485" s="123" t="n">
        <v>20.4</v>
      </c>
      <c r="BL485" s="124">
        <f>IF('BBG Verify'!S485="","not filed; run on terminal",'BBG Verify'!S485)</f>
        <v/>
      </c>
      <c r="BM485" s="125" t="inlineStr">
        <is>
          <t>N</t>
        </is>
      </c>
      <c r="BN485" s="126">
        <f>IF('BBG Verify'!K485="","not filed; run on terminal",'BBG Verify'!K485)</f>
        <v/>
      </c>
      <c r="BO485" s="108" t="inlineStr">
        <is>
          <t>N/A</t>
        </is>
      </c>
      <c r="BP485" s="108" t="inlineStr">
        <is>
          <t>N/A</t>
        </is>
      </c>
      <c r="BQ485" s="108" t="inlineStr">
        <is>
          <t>N/A</t>
        </is>
      </c>
      <c r="BR485" s="108" t="inlineStr">
        <is>
          <t>N/A</t>
        </is>
      </c>
      <c r="BS485" s="108" t="inlineStr">
        <is>
          <t>N/A</t>
        </is>
      </c>
      <c r="BT485" s="108" t="inlineStr">
        <is>
          <t>N/A</t>
        </is>
      </c>
      <c r="BU485" s="125" t="inlineStr">
        <is>
          <t>China International Capital Corporation Hong Kong Securities Limited</t>
        </is>
      </c>
      <c r="BV485" s="108" t="inlineStr">
        <is>
          <t>China International Capital Corporation Hong Kong Securities Limited</t>
        </is>
      </c>
      <c r="BW485" s="108" t="inlineStr">
        <is>
          <t>Kong Securities Limited; CMB International Capital Limited; Soochow Securities International Brokerage Limited; BOCI Asia Limited; Futu Securities International (Hong Kong) Limited; Tiger Brokers (HK) Global Limited; Zheshang International Financial Holdings Co., Limited; ABCI Capital Limited; ABCI Securities Company Limited</t>
        </is>
      </c>
      <c r="BX485" s="108" t="inlineStr">
        <is>
          <t>ABCI Securities Company Limited; BOCI Asia Limited; China International Capital Corporation Hong Kong Securities Limited; CMB International Capital Limited; Futu Securities International (Hong Kong) Limited; Soochow Securities International Brokerage Limited; Tiger Brokers (HK) Global Limited; Zheshang International Financial Holdings Co., Limited</t>
        </is>
      </c>
      <c r="BY485" s="127">
        <f>HYPERLINK("https://www1.hkexnews.hk/listedco/listconews/sehk/2026/0615/2026061500013.pdf","prospectus")</f>
        <v/>
      </c>
      <c r="BZ485" s="127">
        <f>HYPERLINK("https://www1.hkexnews.hk/listedco/listconews/sehk/2026/0623/2026062302143.pdf","allotment")</f>
        <v/>
      </c>
      <c r="CA485" s="127">
        <f>HYPERLINK("https://www1.hkexnews.hk/listedco/listconews/sehk/2026/0719/2026071900001.pdf","stabilisation")</f>
        <v/>
      </c>
      <c r="CB485" s="128" t="n"/>
      <c r="CC485" s="108" t="inlineStr">
        <is>
          <t>P/E: loss-making at IPO, use P/S; greenshoe: outcome published; expiry date not in the notice; range low: maximum offer price only, no floor published; sponsor: English name not in the filing; AAStocks 保薦人 shown</t>
        </is>
      </c>
    </row>
    <row r="486" ht="22" customHeight="1">
      <c r="A486" s="107" t="inlineStr">
        <is>
          <t>2272</t>
        </is>
      </c>
      <c r="B486" s="108" t="inlineStr">
        <is>
          <t>KEYTOP PARKING</t>
        </is>
      </c>
      <c r="C486" s="108" t="inlineStr">
        <is>
          <t>科拓股份</t>
        </is>
      </c>
      <c r="D486" s="108" t="inlineStr">
        <is>
          <t>Tech/AI</t>
        </is>
      </c>
      <c r="E486" s="108" t="inlineStr">
        <is>
          <t>SaaS / enterprise software</t>
        </is>
      </c>
      <c r="F486" s="108" t="inlineStr">
        <is>
          <t>Application Software</t>
        </is>
      </c>
      <c r="G486" s="108" t="inlineStr">
        <is>
          <t>Standard</t>
        </is>
      </c>
      <c r="H486" s="109" t="n">
        <v>46199</v>
      </c>
      <c r="I486" s="110" t="n">
        <v>399.9</v>
      </c>
      <c r="J486" s="108" t="inlineStr">
        <is>
          <t>gross (stated)</t>
        </is>
      </c>
      <c r="K486" s="129" t="n"/>
      <c r="L486" s="111" t="n">
        <v>39.55</v>
      </c>
      <c r="M486" s="111" t="n">
        <v>39.55</v>
      </c>
      <c r="N486" s="108" t="inlineStr">
        <is>
          <t>Y</t>
        </is>
      </c>
      <c r="O486" s="112" t="n">
        <v>100</v>
      </c>
      <c r="P486" s="118" t="n"/>
      <c r="Q486" s="113" t="n">
        <v>3999.4</v>
      </c>
      <c r="R486" s="108" t="inlineStr">
        <is>
          <t>derived:price x shares upon listing</t>
        </is>
      </c>
      <c r="S486" s="114" t="n">
        <v>2115.21</v>
      </c>
      <c r="T486" s="115" t="n">
        <v>5.56</v>
      </c>
      <c r="U486" s="116" t="n">
        <v>0</v>
      </c>
      <c r="V486" s="117" t="n">
        <v>106</v>
      </c>
      <c r="W486" s="112" t="n">
        <v>10</v>
      </c>
      <c r="X486" s="108" t="inlineStr">
        <is>
          <t>NA</t>
        </is>
      </c>
      <c r="Y486" s="113" t="n">
        <v>399.9</v>
      </c>
      <c r="Z486" s="113" t="n">
        <v>10112280</v>
      </c>
      <c r="AA486" s="112" t="n">
        <v>10</v>
      </c>
      <c r="AB486" s="108" t="inlineStr">
        <is>
          <t>none — no cornerstone tranche</t>
        </is>
      </c>
      <c r="AC486" s="108" t="inlineStr">
        <is>
          <t>none</t>
        </is>
      </c>
      <c r="AD486" s="112" t="n">
        <v>10</v>
      </c>
      <c r="AE486" s="119" t="n"/>
      <c r="AF486" s="119" t="n"/>
      <c r="AG486" s="108" t="inlineStr">
        <is>
          <t>China International Capital Corporation Hong Kong Securities Limited</t>
        </is>
      </c>
      <c r="AH486" s="108" t="inlineStr">
        <is>
          <t>China International</t>
        </is>
      </c>
      <c r="AI486" s="120" t="n">
        <v>203.16</v>
      </c>
      <c r="AJ486" s="121" t="n">
        <v>203.92</v>
      </c>
      <c r="AK486" s="121" t="n">
        <v>-3.46</v>
      </c>
      <c r="AL486" s="121" t="n">
        <v>178.38</v>
      </c>
      <c r="AM486" s="121" t="n">
        <v>9.17</v>
      </c>
      <c r="AN486" s="123" t="n">
        <v>2</v>
      </c>
      <c r="AO486" s="112" t="n">
        <v>11.53</v>
      </c>
      <c r="AP486" s="121" t="n">
        <v>199.87</v>
      </c>
      <c r="AQ486" s="121" t="n">
        <v>176.86</v>
      </c>
      <c r="AR486" s="121" t="n">
        <v>88.75</v>
      </c>
      <c r="AS486" s="121" t="n">
        <v>-1.33</v>
      </c>
      <c r="AT486" s="121" t="n">
        <v>-8.9</v>
      </c>
      <c r="AU486" s="121" t="n">
        <v>-37.89</v>
      </c>
      <c r="AV486" s="121" t="n">
        <v>196.96</v>
      </c>
      <c r="AW486" s="121" t="n">
        <v>169.61</v>
      </c>
      <c r="AX486" s="121" t="n">
        <v>90.09</v>
      </c>
      <c r="AY486" s="121" t="n">
        <v>-20</v>
      </c>
      <c r="AZ486" s="121" t="n">
        <v>7.25</v>
      </c>
      <c r="BA486" s="121" t="n">
        <v>11.1</v>
      </c>
      <c r="BB486" s="108" t="inlineStr">
        <is>
          <t>HSTECH (Hang Seng TECH ETF)</t>
        </is>
      </c>
      <c r="BC486" s="121" t="n">
        <v>42.35</v>
      </c>
      <c r="BD486" s="109" t="n">
        <v>46297</v>
      </c>
      <c r="BE486" s="110" t="n">
        <v>913.7</v>
      </c>
      <c r="BF486" s="113" t="n">
        <v>103</v>
      </c>
      <c r="BG486" s="108" t="inlineStr">
        <is>
          <t>Y</t>
        </is>
      </c>
      <c r="BH486" s="123" t="n">
        <v>38.8</v>
      </c>
      <c r="BI486" s="122" t="n"/>
      <c r="BJ486" s="122" t="n"/>
      <c r="BK486" s="123" t="n">
        <v>4.4</v>
      </c>
      <c r="BL486" s="124">
        <f>IF('BBG Verify'!S486="","not filed; run on terminal",'BBG Verify'!S486)</f>
        <v/>
      </c>
      <c r="BM486" s="125" t="inlineStr">
        <is>
          <t>N</t>
        </is>
      </c>
      <c r="BN486" s="126">
        <f>IF('BBG Verify'!K486="","not filed; run on terminal",'BBG Verify'!K486)</f>
        <v/>
      </c>
      <c r="BO486" s="108" t="inlineStr">
        <is>
          <t>N/A</t>
        </is>
      </c>
      <c r="BP486" s="108" t="inlineStr">
        <is>
          <t>N/A</t>
        </is>
      </c>
      <c r="BQ486" s="108" t="inlineStr">
        <is>
          <t>N/A</t>
        </is>
      </c>
      <c r="BR486" s="108" t="inlineStr">
        <is>
          <t>N/A</t>
        </is>
      </c>
      <c r="BS486" s="108" t="inlineStr">
        <is>
          <t>N/A</t>
        </is>
      </c>
      <c r="BT486" s="108" t="inlineStr">
        <is>
          <t>N/A</t>
        </is>
      </c>
      <c r="BU486" s="125" t="inlineStr">
        <is>
          <t>China International Capital Corporation Hong Kong Securities Limited; CMBC Securities Company Limited</t>
        </is>
      </c>
      <c r="BV486" s="108" t="inlineStr">
        <is>
          <t>China International Capital Corporation Hong Kong Securities Limited; CMBC International Capital Limited</t>
        </is>
      </c>
      <c r="BW486" s="108" t="inlineStr">
        <is>
          <t>CMB International Capital Limited; Shenwan Hongyuan Securities (H.K.) Limited; CCB International Capital Limited; Somerley Capital Limited; Huafu International Securities Limited; Yue Xiu Securities Company Limited; Yuen Meta (International) Securities Limited; TFI Securities and Futures Limited</t>
        </is>
      </c>
      <c r="BX486" s="108" t="inlineStr">
        <is>
          <t>CCB International Capital Limited; China International Capital Corporation Hong Kong Securities Limited; CMBC Securities Company Limited; CMB International Capital Limited; Futu Securities International (Hong Kong) Limited; Huafu International Securities Limited; New Industrial Financial Holdings Limited; Patrons Securities Limited; SDIC Securities (Hong Kong) Limited; Shenwan Hongyuan Securities (H.K.) Limited; Somerley Capital Limited; Skyvast Securities Limited</t>
        </is>
      </c>
      <c r="BY486" s="127">
        <f>HYPERLINK("https://www1.hkexnews.hk/listedco/listconews/sehk/2026/0617/2026061700071.pdf","prospectus")</f>
        <v/>
      </c>
      <c r="BZ486" s="127">
        <f>HYPERLINK("https://www1.hkexnews.hk/listedco/listconews/sehk/2026/0625/2026062501916.pdf","allotment")</f>
        <v/>
      </c>
      <c r="CA486" s="119" t="n"/>
      <c r="CB486" s="128" t="n"/>
      <c r="CC486" s="108" t="inlineStr">
        <is>
          <t>greenshoe: end-of-stabilisation notice not found; range low: maximum offer price only, no floor published; cornerstone list: no cornerstone tranche</t>
        </is>
      </c>
    </row>
    <row r="487" ht="22" customHeight="1">
      <c r="A487" s="107" t="inlineStr">
        <is>
          <t>1956</t>
        </is>
      </c>
      <c r="B487" s="108" t="inlineStr">
        <is>
          <t>WENGE AI</t>
        </is>
      </c>
      <c r="C487" s="108" t="inlineStr">
        <is>
          <t>中科聞歌</t>
        </is>
      </c>
      <c r="D487" s="108" t="inlineStr">
        <is>
          <t>Tech/AI</t>
        </is>
      </c>
      <c r="E487" s="108" t="inlineStr">
        <is>
          <t>AI application / agent software</t>
        </is>
      </c>
      <c r="F487" s="108" t="inlineStr">
        <is>
          <t>Advanced hardware and software</t>
        </is>
      </c>
      <c r="G487" s="108" t="inlineStr">
        <is>
          <t>18C</t>
        </is>
      </c>
      <c r="H487" s="109" t="n">
        <v>46199</v>
      </c>
      <c r="I487" s="110" t="n">
        <v>900.5</v>
      </c>
      <c r="J487" s="108" t="inlineStr">
        <is>
          <t>gross (stated)</t>
        </is>
      </c>
      <c r="K487" s="129" t="n"/>
      <c r="L487" s="111" t="n">
        <v>60.7</v>
      </c>
      <c r="M487" s="111" t="n">
        <v>60.7</v>
      </c>
      <c r="N487" s="108" t="inlineStr">
        <is>
          <t>Y</t>
        </is>
      </c>
      <c r="O487" s="112" t="n">
        <v>100</v>
      </c>
      <c r="P487" s="118" t="n"/>
      <c r="Q487" s="113" t="n">
        <v>10507.6</v>
      </c>
      <c r="R487" s="108" t="inlineStr">
        <is>
          <t>derived:deal size / offer % of enlarged capital</t>
        </is>
      </c>
      <c r="S487" s="114" t="n">
        <v>5966.78</v>
      </c>
      <c r="T487" s="115" t="n">
        <v>20.7</v>
      </c>
      <c r="U487" s="116" t="n">
        <v>26.97</v>
      </c>
      <c r="V487" s="117" t="n">
        <v>147</v>
      </c>
      <c r="W487" s="112" t="n">
        <v>20</v>
      </c>
      <c r="X487" s="108" t="inlineStr">
        <is>
          <t>YES</t>
        </is>
      </c>
      <c r="Y487" s="113" t="n">
        <v>657.64</v>
      </c>
      <c r="Z487" s="113" t="n">
        <v>10833708</v>
      </c>
      <c r="AA487" s="112" t="n">
        <v>6.26</v>
      </c>
      <c r="AB487" s="108" t="inlineStr">
        <is>
          <t>China Orient Enhanced Income Fund; Harvest Global Investments Limited; First Seafront Asset Management Limited; Guohui (HK) Holdings Co., Limited 控股有限公司; Huatai Capital Investment Limited; CMBC International Investment (HK) Limited ࠢ ʮ̡</t>
        </is>
      </c>
      <c r="AC487" s="108" t="inlineStr">
        <is>
          <t>orient;harvest;first-seafront;guohui;huatai;cmbc</t>
        </is>
      </c>
      <c r="AD487" s="112" t="n">
        <v>20</v>
      </c>
      <c r="AE487" s="108" t="inlineStr">
        <is>
          <t>partial</t>
        </is>
      </c>
      <c r="AF487" s="108" t="inlineStr">
        <is>
          <t>2026-07-23</t>
        </is>
      </c>
      <c r="AG487" s="108" t="inlineStr">
        <is>
          <t>China International Capital Corporation Hong Kong Securities Limited</t>
        </is>
      </c>
      <c r="AH487" s="108" t="inlineStr">
        <is>
          <t>China International</t>
        </is>
      </c>
      <c r="AI487" s="120" t="n">
        <v>90.12</v>
      </c>
      <c r="AJ487" s="121" t="n">
        <v>84.02</v>
      </c>
      <c r="AK487" s="121" t="n">
        <v>-3.46</v>
      </c>
      <c r="AL487" s="121" t="n">
        <v>81.22</v>
      </c>
      <c r="AM487" s="121" t="n">
        <v>1.55</v>
      </c>
      <c r="AN487" s="123" t="n">
        <v>2.13</v>
      </c>
      <c r="AO487" s="112" t="n">
        <v>18.18</v>
      </c>
      <c r="AP487" s="121" t="n">
        <v>30.07</v>
      </c>
      <c r="AQ487" s="121" t="n">
        <v>0.99</v>
      </c>
      <c r="AR487" s="121" t="n">
        <v>17.05</v>
      </c>
      <c r="AS487" s="121" t="n">
        <v>-29.32</v>
      </c>
      <c r="AT487" s="121" t="n">
        <v>-45.12</v>
      </c>
      <c r="AU487" s="121" t="n">
        <v>-36.39</v>
      </c>
      <c r="AV487" s="121" t="n">
        <v>27.16</v>
      </c>
      <c r="AW487" s="121" t="n">
        <v>-6.26</v>
      </c>
      <c r="AX487" s="121" t="n">
        <v>18.39</v>
      </c>
      <c r="AY487" s="121" t="n">
        <v>-56.22</v>
      </c>
      <c r="AZ487" s="121" t="n">
        <v>7.25</v>
      </c>
      <c r="BA487" s="121" t="n">
        <v>11.1</v>
      </c>
      <c r="BB487" s="108" t="inlineStr">
        <is>
          <t>HSTECH (Hang Seng TECH ETF)</t>
        </is>
      </c>
      <c r="BC487" s="121" t="n">
        <v>12.93</v>
      </c>
      <c r="BD487" s="109" t="n">
        <v>46297</v>
      </c>
      <c r="BE487" s="110" t="n">
        <v>445.8</v>
      </c>
      <c r="BF487" s="113" t="n">
        <v>-172.8</v>
      </c>
      <c r="BG487" s="108" t="inlineStr">
        <is>
          <t>N</t>
        </is>
      </c>
      <c r="BH487" s="108" t="inlineStr">
        <is>
          <t>n/m</t>
        </is>
      </c>
      <c r="BI487" s="122" t="n"/>
      <c r="BJ487" s="122" t="n"/>
      <c r="BK487" s="123" t="n">
        <v>23.6</v>
      </c>
      <c r="BL487" s="124">
        <f>IF('BBG Verify'!S487="","not filed; run on terminal",'BBG Verify'!S487)</f>
        <v/>
      </c>
      <c r="BM487" s="125" t="inlineStr">
        <is>
          <t>N</t>
        </is>
      </c>
      <c r="BN487" s="126">
        <f>IF('BBG Verify'!K487="","not filed; run on terminal",'BBG Verify'!K487)</f>
        <v/>
      </c>
      <c r="BO487" s="108" t="inlineStr">
        <is>
          <t>N/A</t>
        </is>
      </c>
      <c r="BP487" s="108" t="inlineStr">
        <is>
          <t>N/A</t>
        </is>
      </c>
      <c r="BQ487" s="108" t="inlineStr">
        <is>
          <t>N/A</t>
        </is>
      </c>
      <c r="BR487" s="108" t="inlineStr">
        <is>
          <t>N/A</t>
        </is>
      </c>
      <c r="BS487" s="108" t="inlineStr">
        <is>
          <t>N/A</t>
        </is>
      </c>
      <c r="BT487" s="108" t="inlineStr">
        <is>
          <t>N/A</t>
        </is>
      </c>
      <c r="BU487" s="125" t="inlineStr">
        <is>
          <t>China International Capital Corporation Hong Kong Securities Limited</t>
        </is>
      </c>
      <c r="BV487" s="108" t="inlineStr">
        <is>
          <t>China International Capital Corporation Hong Kong Securities Limited</t>
        </is>
      </c>
      <c r="BW487" s="108" t="inlineStr">
        <is>
          <t>China International Capital Corporation Hong Kong Securities Limited; ABCI Capital Limited; China Galaxy International Securities (Hong Kong) Co., Limited; SPDB International Capital Limited; CCB International Capital Limited; Futu Securities International (Hong Kong) Limited; CMB International Capital Limited; Tiger Brokers (HK) Global Limited; Livermore Holdings Limited</t>
        </is>
      </c>
      <c r="BX487" s="108" t="inlineStr">
        <is>
          <t>ABCI Securities Company Limited; CCB International Capital Limited; China Galaxy International Securities (Hong Kong) Company Limited; China International Capital Corporation Hong Kong Securities Limited; CMB International Capital Limited; Futu Securities International (Hong Kong) Limited; Livermore Holdings Limited; SPDB International Capital Limited; Tiger Brokers (HK) Global Limited; TFI Securities and Futures Limited</t>
        </is>
      </c>
      <c r="BY487" s="127">
        <f>HYPERLINK("https://www1.hkexnews.hk/listedco/listconews/sehk/2026/0617/2026061700025.pdf","prospectus")</f>
        <v/>
      </c>
      <c r="BZ487" s="127">
        <f>HYPERLINK("https://www1.hkexnews.hk/listedco/listconews/sehk/2026/0625/2026062501938.pdf","allotment")</f>
        <v/>
      </c>
      <c r="CA487" s="127">
        <f>HYPERLINK("https://www1.hkexnews.hk/listedco/listconews/sehk/2026/0724/2026072401850.pdf","stabilisation")</f>
        <v/>
      </c>
      <c r="CB487" s="128" t="n"/>
      <c r="CC487" s="108" t="inlineStr">
        <is>
          <t>P/E: loss-making at IPO, use P/S; range low: maximum offer price only, no floor published; A/H: no A-share listing; nearest A proxy TRS Information Technology (300229.SZ); sponsor: English name not in the filing; AAStocks 保薦人 shown</t>
        </is>
      </c>
    </row>
    <row r="488" ht="22" customHeight="1">
      <c r="A488" s="107" t="inlineStr">
        <is>
          <t>3661</t>
        </is>
      </c>
      <c r="B488" s="108" t="inlineStr">
        <is>
          <t>SG MICRO</t>
        </is>
      </c>
      <c r="C488" s="108" t="inlineStr">
        <is>
          <t>聖邦股份</t>
        </is>
      </c>
      <c r="D488" s="108" t="inlineStr">
        <is>
          <t>Tech/AI</t>
        </is>
      </c>
      <c r="E488" s="108" t="inlineStr">
        <is>
          <t>Analog / power semiconductors</t>
        </is>
      </c>
      <c r="F488" s="108" t="inlineStr">
        <is>
          <t>Semiconductors &amp; Semiconductor Equipment</t>
        </is>
      </c>
      <c r="G488" s="108" t="inlineStr">
        <is>
          <t>Standard</t>
        </is>
      </c>
      <c r="H488" s="109" t="n">
        <v>46199</v>
      </c>
      <c r="I488" s="110" t="n">
        <v>4600.9</v>
      </c>
      <c r="J488" s="108" t="inlineStr">
        <is>
          <t>gross (stated)</t>
        </is>
      </c>
      <c r="K488" s="129" t="n"/>
      <c r="L488" s="111" t="n">
        <v>85.2</v>
      </c>
      <c r="M488" s="111" t="n">
        <v>85.2</v>
      </c>
      <c r="N488" s="108" t="inlineStr">
        <is>
          <t>Y</t>
        </is>
      </c>
      <c r="O488" s="112" t="n">
        <v>100</v>
      </c>
      <c r="P488" s="118" t="n"/>
      <c r="Q488" s="113" t="n">
        <v>57511.3</v>
      </c>
      <c r="R488" s="108" t="inlineStr">
        <is>
          <t>derived:price x shares upon listing</t>
        </is>
      </c>
      <c r="S488" s="114" t="n">
        <v>251.73</v>
      </c>
      <c r="T488" s="115" t="n">
        <v>23.5</v>
      </c>
      <c r="U488" s="116" t="n">
        <v>49.89</v>
      </c>
      <c r="V488" s="117" t="n">
        <v>233</v>
      </c>
      <c r="W488" s="112" t="n">
        <v>10</v>
      </c>
      <c r="X488" s="108" t="inlineStr">
        <is>
          <t>NA</t>
        </is>
      </c>
      <c r="Y488" s="113" t="n">
        <v>2305.51</v>
      </c>
      <c r="Z488" s="113" t="n">
        <v>27060001</v>
      </c>
      <c r="AA488" s="112" t="n">
        <v>4.01</v>
      </c>
      <c r="AB488" s="108" t="inlineStr">
        <is>
          <t>GIC Private Limited; JPMorgan Asset Management (Asia Pacific) Limited; CPE Ginkgo Investment Limited; Da Cheng International Asset Management Company Limited; Dajia Life Insurance Co., Ltd; Dymon Asia Multi-Strategy Investment Master Fund; First Sentier Investors (Hong Kong) Limited; GF Fund Management Co., Ltd; GF International Investment Management Limited; 4 Golden Continent Global Vision Open- ended Fund Company- Value Opportunity Fund N0.2; Harvest Global Investments Limited; HHLR Advisors, Ltd; HHLRA (as the investment manager of an SMA managed for CPP Investments); Huadeng Tech Ace Investment Ltd; HQ TELECOM SINGAPORE PTE. LTD; Sungrow Power (Hong Kong) Co., Limited; ICBC Wealth Management Co., Ltd; LMR Multi-Strategy Master Fund Limited; Millennium Capital Management (Singapore) Pte. Ltd; Ninety One Asia Pte. Limited; Ocean Fine Industrial Limited; 5 PSBC Wealth Management Co., Ltd; Taikang Life Insurance Co., Ltd; Value Partners Hong Kong Limited</t>
        </is>
      </c>
      <c r="AC488" s="108" t="inlineStr">
        <is>
          <t>gic;jpmorgan;cpe;da;dajia;dymon;first-sentier;gf;golden-continent;harvest;hhlr;hhlra;huadeng;hq;sungrow;icbc;lmr;millennium;ninety;ocean;psbc;taikang;value</t>
        </is>
      </c>
      <c r="AD488" s="112" t="n">
        <v>15</v>
      </c>
      <c r="AE488" s="108" t="inlineStr">
        <is>
          <t>full</t>
        </is>
      </c>
      <c r="AF488" s="108" t="inlineStr">
        <is>
          <t>2026-07-23</t>
        </is>
      </c>
      <c r="AG488" s="108" t="inlineStr">
        <is>
          <t>China International Capital Corporation Hong Kong Securities Limited</t>
        </is>
      </c>
      <c r="AH488" s="108" t="inlineStr">
        <is>
          <t>China International</t>
        </is>
      </c>
      <c r="AI488" s="120" t="n">
        <v>30.28</v>
      </c>
      <c r="AJ488" s="121" t="n">
        <v>47.07</v>
      </c>
      <c r="AK488" s="121" t="n">
        <v>-3.46</v>
      </c>
      <c r="AL488" s="121" t="n">
        <v>23.36</v>
      </c>
      <c r="AM488" s="121" t="n">
        <v>19.22</v>
      </c>
      <c r="AN488" s="123" t="n">
        <v>3.69</v>
      </c>
      <c r="AO488" s="112" t="n">
        <v>28.83</v>
      </c>
      <c r="AP488" s="121" t="n">
        <v>37.91</v>
      </c>
      <c r="AQ488" s="121" t="n">
        <v>4.93</v>
      </c>
      <c r="AR488" s="121" t="n">
        <v>7.81</v>
      </c>
      <c r="AS488" s="121" t="n">
        <v>-6.23</v>
      </c>
      <c r="AT488" s="121" t="n">
        <v>-28.65</v>
      </c>
      <c r="AU488" s="121" t="n">
        <v>-26.69</v>
      </c>
      <c r="AV488" s="121" t="n">
        <v>35</v>
      </c>
      <c r="AW488" s="121" t="n">
        <v>-2.32</v>
      </c>
      <c r="AX488" s="121" t="n">
        <v>9.15</v>
      </c>
      <c r="AY488" s="121" t="n">
        <v>-39.75</v>
      </c>
      <c r="AZ488" s="121" t="n">
        <v>7.25</v>
      </c>
      <c r="BA488" s="121" t="n">
        <v>11.1</v>
      </c>
      <c r="BB488" s="108" t="inlineStr">
        <is>
          <t>HSTECH (Hang Seng TECH ETF)</t>
        </is>
      </c>
      <c r="BC488" s="121" t="n">
        <v>-1.58</v>
      </c>
      <c r="BD488" s="109" t="n">
        <v>46297</v>
      </c>
      <c r="BE488" s="110" t="n">
        <v>4287.9</v>
      </c>
      <c r="BF488" s="113" t="n">
        <v>587.8</v>
      </c>
      <c r="BG488" s="108" t="inlineStr">
        <is>
          <t>Y</t>
        </is>
      </c>
      <c r="BH488" s="123" t="n">
        <v>97.8</v>
      </c>
      <c r="BI488" s="123" t="n">
        <v>122.6</v>
      </c>
      <c r="BJ488" s="123" t="n">
        <v>102.3</v>
      </c>
      <c r="BK488" s="123" t="n">
        <v>13.4</v>
      </c>
      <c r="BL488" s="124">
        <f>IF('BBG Verify'!S488="","not filed; run on terminal",'BBG Verify'!S488)</f>
        <v/>
      </c>
      <c r="BM488" s="125" t="inlineStr">
        <is>
          <t>Y</t>
        </is>
      </c>
      <c r="BN488" s="108" t="inlineStr">
        <is>
          <t>300661.SZ</t>
        </is>
      </c>
      <c r="BO488" s="121" t="n">
        <v>87.31999999999999</v>
      </c>
      <c r="BP488" s="111" t="n">
        <v>159.5961</v>
      </c>
      <c r="BQ488" s="135" t="n">
        <v>0.5382</v>
      </c>
      <c r="BR488" s="113" t="n">
        <v>88516.60000000001</v>
      </c>
      <c r="BS488" s="124">
        <f>IF('BBG Verify'!Q488="","run on terminal",'BBG Verify'!Q488)</f>
        <v/>
      </c>
      <c r="BT488" s="124">
        <f>IF('BBG Verify'!R488="","run on terminal",'BBG Verify'!R488)</f>
        <v/>
      </c>
      <c r="BU488" s="125" t="inlineStr">
        <is>
          <t>Huatai Financial Holdings (Hong Kong) Limited</t>
        </is>
      </c>
      <c r="BV488" s="108" t="inlineStr">
        <is>
          <t>China International Capital Corporation Hong Kong Securities Limited; Huatai Financial Holdings (Hong Kong) Limited</t>
        </is>
      </c>
      <c r="BW488" s="108" t="inlineStr">
        <is>
          <t>China International Capital Corporation Hong Kong Securities Limited; Huatai Financial Holdings (Hong Kong) Limited</t>
        </is>
      </c>
      <c r="BX488" s="108" t="inlineStr">
        <is>
          <t>China International Capital Corporation Hong Kong Securities Limited; Huatai Financial Holdings (Hong Kong) Limited</t>
        </is>
      </c>
      <c r="BY488" s="127">
        <f>HYPERLINK("https://www1.hkexnews.hk/listedco/listconews/sehk/2026/0617/2026061700162.htm","prospectus")</f>
        <v/>
      </c>
      <c r="BZ488" s="127">
        <f>HYPERLINK("https://www1.hkexnews.hk/listedco/listconews/sehk/2026/0625/2026062502076.pdf","allotment")</f>
        <v/>
      </c>
      <c r="CA488" s="127">
        <f>HYPERLINK("https://www1.hkexnews.hk/listedco/listconews/sehk/2026/0723/2026072301288.pdf","stabilisation")</f>
        <v/>
      </c>
      <c r="CB488" s="128" t="n"/>
      <c r="CC488" s="108" t="inlineStr">
        <is>
          <t>price range: fixed-price offering (no indicative range); range low: maximum offer price only, no floor published; A/H: Jun 2026 H listing (analog chips)</t>
        </is>
      </c>
    </row>
    <row r="489" ht="22" customHeight="1">
      <c r="A489" s="107" t="inlineStr">
        <is>
          <t>1688</t>
        </is>
      </c>
      <c r="B489" s="108" t="inlineStr">
        <is>
          <t>LINGYI ITECH</t>
        </is>
      </c>
      <c r="C489" s="108" t="inlineStr">
        <is>
          <t>領益智造</t>
        </is>
      </c>
      <c r="D489" s="108" t="inlineStr">
        <is>
          <t>Tech/AI</t>
        </is>
      </c>
      <c r="E489" s="108" t="inlineStr">
        <is>
          <t>Smart hardware / consumer electronics</t>
        </is>
      </c>
      <c r="F489" s="108" t="inlineStr">
        <is>
          <t>Electrical Components &amp; Equipment</t>
        </is>
      </c>
      <c r="G489" s="108" t="inlineStr">
        <is>
          <t>Standard</t>
        </is>
      </c>
      <c r="H489" s="109" t="n">
        <v>46199</v>
      </c>
      <c r="I489" s="110" t="n">
        <v>8264.200000000001</v>
      </c>
      <c r="J489" s="108" t="inlineStr">
        <is>
          <t>gross (stated)</t>
        </is>
      </c>
      <c r="K489" s="129" t="n"/>
      <c r="L489" s="111" t="n">
        <v>10.18</v>
      </c>
      <c r="M489" s="111" t="n">
        <v>10.18</v>
      </c>
      <c r="N489" s="108" t="inlineStr">
        <is>
          <t>Y</t>
        </is>
      </c>
      <c r="O489" s="112" t="n">
        <v>100</v>
      </c>
      <c r="P489" s="118" t="n"/>
      <c r="Q489" s="113" t="n">
        <v>82661.7</v>
      </c>
      <c r="R489" s="108" t="inlineStr">
        <is>
          <t>derived:price x shares upon listing</t>
        </is>
      </c>
      <c r="S489" s="114" t="n">
        <v>96.16</v>
      </c>
      <c r="T489" s="115" t="n">
        <v>10.27</v>
      </c>
      <c r="U489" s="116" t="n">
        <v>38.59</v>
      </c>
      <c r="V489" s="134" t="n"/>
      <c r="W489" s="112" t="n">
        <v>10</v>
      </c>
      <c r="X489" s="108" t="inlineStr">
        <is>
          <t>NA</t>
        </is>
      </c>
      <c r="Y489" s="113" t="n">
        <v>5075.05</v>
      </c>
      <c r="Z489" s="113" t="n">
        <v>498533676</v>
      </c>
      <c r="AA489" s="112" t="n">
        <v>6.14</v>
      </c>
      <c r="AB489" s="108" t="inlineStr">
        <is>
          <t>GF Fund Management Co., Ltd; GF International Investment Management Limited; Kaide Global Investment Ltd; Qube Master Fund Ltd, acting by its sub-investment manager Qube Research &amp; Technologies Hong Kong Limited; Ti-Capital (HK) Pioneer Fund III and Ti-Capital (HK) Pioneer Fund IV (collectively, Ti-Capital Funds ); Value Partners Hong Kong Limited; Hongxing International Technology Limited ࠢ ʮ̡; Morgan Stanley &amp; Co. International plc; Greenwoods Asset Management Hong Kong Limited, as the investment manager of Golden China Master Fund; 3W Fund Management Limited; Deliante Holdings Co., Ltd; Sunny Optical Capital Limited ʮ̡; Honor Information Technology Co., Limited ࢹڦ ʮ̡; Jain Global Master Fund Ltd, acting through its investment manager Jain Global LLC; Seven Grand Managers, LLC; Taikang Life Insurance Co., Ltd; Da Cheng International Asset Management Company Limited; Everbright Wealth Management Co., Ltd. ࠢ ப΂ʮ̡; GRANITE ASIA IX VCC (for the account of and on behalf of GX ACCESS, GRANITE ASIA ); Verition Multi-Strategy Master Fund Ltd., managed by Verition Fund Management LLC</t>
        </is>
      </c>
      <c r="AC489" s="108" t="inlineStr">
        <is>
          <t>gf;kaide;qube;ti;value;hongxing;morgan;greenwoods;3w;deliante;sunny;honor;jain;seven;taikang;da;everbright;granite;verition</t>
        </is>
      </c>
      <c r="AD489" s="112" t="n">
        <v>15</v>
      </c>
      <c r="AE489" s="119" t="n"/>
      <c r="AF489" s="119" t="n"/>
      <c r="AG489" s="119" t="n"/>
      <c r="AH489" s="119" t="n"/>
      <c r="AI489" s="120" t="n">
        <v>21.32</v>
      </c>
      <c r="AJ489" s="121" t="n">
        <v>-4.62</v>
      </c>
      <c r="AK489" s="121" t="n">
        <v>-3.46</v>
      </c>
      <c r="AL489" s="121" t="n">
        <v>6.09</v>
      </c>
      <c r="AM489" s="121" t="n">
        <v>-10.1</v>
      </c>
      <c r="AN489" s="123" t="n">
        <v>2.37</v>
      </c>
      <c r="AO489" s="112" t="n">
        <v>21.85</v>
      </c>
      <c r="AP489" s="121" t="n">
        <v>-5.11</v>
      </c>
      <c r="AQ489" s="121" t="n">
        <v>-37.23</v>
      </c>
      <c r="AR489" s="121" t="n">
        <v>-42.88</v>
      </c>
      <c r="AS489" s="121" t="n">
        <v>-0.51</v>
      </c>
      <c r="AT489" s="121" t="n">
        <v>-34.19</v>
      </c>
      <c r="AU489" s="121" t="n">
        <v>-40.11</v>
      </c>
      <c r="AV489" s="121" t="n">
        <v>-8.02</v>
      </c>
      <c r="AW489" s="121" t="n">
        <v>-44.48</v>
      </c>
      <c r="AX489" s="121" t="n">
        <v>-41.54</v>
      </c>
      <c r="AY489" s="121" t="n">
        <v>-45.29</v>
      </c>
      <c r="AZ489" s="121" t="n">
        <v>7.25</v>
      </c>
      <c r="BA489" s="121" t="n">
        <v>11.1</v>
      </c>
      <c r="BB489" s="108" t="inlineStr">
        <is>
          <t>HSTECH (Hang Seng TECH ETF)</t>
        </is>
      </c>
      <c r="BC489" s="121" t="n">
        <v>-46.27</v>
      </c>
      <c r="BD489" s="109" t="n">
        <v>46297</v>
      </c>
      <c r="BE489" s="110" t="n">
        <v>56571.8</v>
      </c>
      <c r="BF489" s="113" t="n">
        <v>2559.5</v>
      </c>
      <c r="BG489" s="108" t="inlineStr">
        <is>
          <t>Y</t>
        </is>
      </c>
      <c r="BH489" s="123" t="n">
        <v>32.3</v>
      </c>
      <c r="BI489" s="123" t="n">
        <v>28.8</v>
      </c>
      <c r="BJ489" s="123" t="n">
        <v>19.6</v>
      </c>
      <c r="BK489" s="123" t="n">
        <v>1.5</v>
      </c>
      <c r="BL489" s="124">
        <f>IF('BBG Verify'!S489="","not filed; run on terminal",'BBG Verify'!S489)</f>
        <v/>
      </c>
      <c r="BM489" s="125" t="inlineStr">
        <is>
          <t>Y</t>
        </is>
      </c>
      <c r="BN489" s="108" t="inlineStr">
        <is>
          <t>002600.SZ</t>
        </is>
      </c>
      <c r="BO489" s="121" t="n">
        <v>102.71</v>
      </c>
      <c r="BP489" s="111" t="n">
        <v>20.6362</v>
      </c>
      <c r="BQ489" s="135" t="n">
        <v>1.5413</v>
      </c>
      <c r="BR489" s="113" t="n">
        <v>112937.4</v>
      </c>
      <c r="BS489" s="124">
        <f>IF('BBG Verify'!Q489="","run on terminal",'BBG Verify'!Q489)</f>
        <v/>
      </c>
      <c r="BT489" s="124">
        <f>IF('BBG Verify'!R489="","run on terminal",'BBG Verify'!R489)</f>
        <v/>
      </c>
      <c r="BU489" s="125" t="inlineStr">
        <is>
          <t>Guotai Junan Capital Limited</t>
        </is>
      </c>
      <c r="BV489" s="108" t="inlineStr">
        <is>
          <t>Guotai Junan Capital Limited</t>
        </is>
      </c>
      <c r="BW489" s="108" t="inlineStr">
        <is>
          <t>Guotai Junan Securities (Hong Kong) Limited; CLSA Limited; J.P. Morgan Securities (Asia Pacific) Limited; Citigroup Global Markets Asia Limited; Futu Securities International (Hong Kong) Limited; Tiger Brokers (HK) Global Limited</t>
        </is>
      </c>
      <c r="BX489" s="108" t="inlineStr">
        <is>
          <t>Citigroup Global Markets Asia Limited; CLSA Limited; Futu Securities International (Hong Kong) Limited; Guotai Junan Securities (Hong Kong) Limited; J.P. Morgan Securities (Asia Pacific) Limited; Tiger Brokers (HK) Global Limited</t>
        </is>
      </c>
      <c r="BY489" s="127">
        <f>HYPERLINK("https://www1.hkexnews.hk/listedco/listconews/sehk/2026/0617/2026061700029.pdf","prospectus")</f>
        <v/>
      </c>
      <c r="BZ489" s="127">
        <f>HYPERLINK("https://www1.hkexnews.hk/listedco/listconews/sehk/2026/0625/2026062502292.pdf","allotment")</f>
        <v/>
      </c>
      <c r="CA489" s="119" t="n"/>
      <c r="CB489" s="128" t="n"/>
      <c r="CC489" s="108" t="inlineStr">
        <is>
          <t>greenshoe: end-of-stabilisation notice not found; range low: maximum offer price only, no floor published; A/H: Jun 2026 H listing (consumer-electronics precision parts); stabilising manager: not named in the allotment notice or prospectus glossary; allocation: allocation table not in this notice's format (older prose announcement)</t>
        </is>
      </c>
    </row>
    <row r="490" ht="22" customHeight="1">
      <c r="A490" s="107" t="inlineStr">
        <is>
          <t>9630</t>
        </is>
      </c>
      <c r="B490" s="108" t="inlineStr">
        <is>
          <t>CFMEE</t>
        </is>
      </c>
      <c r="C490" s="108" t="inlineStr">
        <is>
          <t>芯碁微裝</t>
        </is>
      </c>
      <c r="D490" s="108" t="inlineStr">
        <is>
          <t>Tech/AI</t>
        </is>
      </c>
      <c r="E490" s="108" t="inlineStr">
        <is>
          <t>Semiconductor equipment / materials</t>
        </is>
      </c>
      <c r="F490" s="108" t="inlineStr">
        <is>
          <t>Next-generation information technology</t>
        </is>
      </c>
      <c r="G490" s="108" t="inlineStr">
        <is>
          <t>Standard</t>
        </is>
      </c>
      <c r="H490" s="109" t="n">
        <v>46199</v>
      </c>
      <c r="I490" s="110" t="n">
        <v>3244.7</v>
      </c>
      <c r="J490" s="108" t="inlineStr">
        <is>
          <t>gross (stated)</t>
        </is>
      </c>
      <c r="K490" s="129" t="n"/>
      <c r="L490" s="111" t="n">
        <v>252.73</v>
      </c>
      <c r="M490" s="111" t="n">
        <v>252.73</v>
      </c>
      <c r="N490" s="108" t="inlineStr">
        <is>
          <t>Y</t>
        </is>
      </c>
      <c r="O490" s="112" t="n">
        <v>100</v>
      </c>
      <c r="P490" s="118" t="n"/>
      <c r="Q490" s="113" t="n">
        <v>32189.5</v>
      </c>
      <c r="R490" s="108" t="inlineStr">
        <is>
          <t>derived:deal size / offer % of enlarged capital</t>
        </is>
      </c>
      <c r="S490" s="114" t="n">
        <v>1007.22</v>
      </c>
      <c r="T490" s="115" t="n">
        <v>27.22</v>
      </c>
      <c r="U490" s="116" t="n">
        <v>48.5</v>
      </c>
      <c r="V490" s="117" t="n">
        <v>200</v>
      </c>
      <c r="W490" s="112" t="n">
        <v>10</v>
      </c>
      <c r="X490" s="108" t="inlineStr">
        <is>
          <t>NO</t>
        </is>
      </c>
      <c r="Y490" s="113" t="n">
        <v>1671.02</v>
      </c>
      <c r="Z490" s="131" t="n"/>
      <c r="AA490" s="112" t="n">
        <v>5.19</v>
      </c>
      <c r="AB490" s="108" t="inlineStr">
        <is>
          <t>Bosera Asset Management (International) Co., Limited; China Universal Asset Management (Hong Kong) Company Limited; CICC Financial Trading Limited; CPE Chestnut Investment Limited; Fullgoal Asset Management (HK) Limited; Fullgoal Fund Management Co., Ltd; GF Fund Management Co., Ltd; Hefei Jianhui Zhanxin Cornerstone Investment Company Limited; HHLR Advisors, Ltd; HK Yonglian Investment Development Co., Limited; Hong Kong Xinyao Investment Limited; Huadeng Victorious Way Limited; JPMorgan Asset Management (Asia Pacific) Limited; Lion Global Investors Limited; Montage Hong Kong Holdings Company Limited; Monterey Park Finance Limited; Nexchip Semiconductor Hong Kong Corporation Limited; Ocean Fine Industrial Limited; Sungrow Power (Hong Kong) Co., Limited; Victory Giant Technology Holdings (Hong Kong) Limited</t>
        </is>
      </c>
      <c r="AC490" s="108" t="inlineStr">
        <is>
          <t>bosera;universal;china-international;cpe;fullgoal;gf;hefei;hhlr;yonglian;xinyao;huadeng;jpmorgan;lion;montage;monterey;nexchip;ocean;sungrow;victory</t>
        </is>
      </c>
      <c r="AD490" s="112" t="n">
        <v>8.880000000000001</v>
      </c>
      <c r="AE490" s="108" t="inlineStr">
        <is>
          <t>full</t>
        </is>
      </c>
      <c r="AF490" s="119" t="n"/>
      <c r="AG490" s="108" t="inlineStr">
        <is>
          <t>China International Capital Corporation Hong Kong Securities Limited</t>
        </is>
      </c>
      <c r="AH490" s="108" t="inlineStr">
        <is>
          <t>China International</t>
        </is>
      </c>
      <c r="AI490" s="120" t="n">
        <v>76.16</v>
      </c>
      <c r="AJ490" s="121" t="n">
        <v>103.77</v>
      </c>
      <c r="AK490" s="121" t="n">
        <v>-3.46</v>
      </c>
      <c r="AL490" s="121" t="n">
        <v>73.7</v>
      </c>
      <c r="AM490" s="121" t="n">
        <v>17.31</v>
      </c>
      <c r="AN490" s="123" t="n">
        <v>4.56</v>
      </c>
      <c r="AO490" s="112" t="n">
        <v>26.26</v>
      </c>
      <c r="AP490" s="121" t="n">
        <v>55.11</v>
      </c>
      <c r="AQ490" s="121" t="n">
        <v>30.26</v>
      </c>
      <c r="AR490" s="121" t="n">
        <v>38.17</v>
      </c>
      <c r="AS490" s="121" t="n">
        <v>-23.88</v>
      </c>
      <c r="AT490" s="121" t="n">
        <v>-36.07</v>
      </c>
      <c r="AU490" s="121" t="n">
        <v>-32.19</v>
      </c>
      <c r="AV490" s="121" t="n">
        <v>52.2</v>
      </c>
      <c r="AW490" s="121" t="n">
        <v>23.01</v>
      </c>
      <c r="AX490" s="121" t="n">
        <v>39.51</v>
      </c>
      <c r="AY490" s="121" t="n">
        <v>-47.17</v>
      </c>
      <c r="AZ490" s="121" t="n">
        <v>7.25</v>
      </c>
      <c r="BA490" s="121" t="n">
        <v>11.1</v>
      </c>
      <c r="BB490" s="108" t="inlineStr">
        <is>
          <t>HSTECH (Hang Seng TECH ETF)</t>
        </is>
      </c>
      <c r="BC490" s="121" t="n">
        <v>26.62</v>
      </c>
      <c r="BD490" s="109" t="n">
        <v>46297</v>
      </c>
      <c r="BE490" s="110" t="n">
        <v>1548.9</v>
      </c>
      <c r="BF490" s="113" t="n">
        <v>318.9</v>
      </c>
      <c r="BG490" s="108" t="inlineStr">
        <is>
          <t>Y</t>
        </is>
      </c>
      <c r="BH490" s="123" t="n">
        <v>100.9</v>
      </c>
      <c r="BI490" s="123" t="n">
        <v>202.5</v>
      </c>
      <c r="BJ490" s="123" t="n">
        <v>147.3</v>
      </c>
      <c r="BK490" s="123" t="n">
        <v>20.8</v>
      </c>
      <c r="BL490" s="124">
        <f>IF('BBG Verify'!S490="","not filed; run on terminal",'BBG Verify'!S490)</f>
        <v/>
      </c>
      <c r="BM490" s="125" t="inlineStr">
        <is>
          <t>Y</t>
        </is>
      </c>
      <c r="BN490" s="108" t="inlineStr">
        <is>
          <t>688630.SS</t>
        </is>
      </c>
      <c r="BO490" s="121" t="n">
        <v>153.68</v>
      </c>
      <c r="BP490" s="111" t="n">
        <v>641.1315</v>
      </c>
      <c r="BQ490" s="135" t="n">
        <v>0.4215</v>
      </c>
      <c r="BR490" s="113" t="n">
        <v>66659.7</v>
      </c>
      <c r="BS490" s="124">
        <f>IF('BBG Verify'!Q490="","run on terminal",'BBG Verify'!Q490)</f>
        <v/>
      </c>
      <c r="BT490" s="124">
        <f>IF('BBG Verify'!R490="","run on terminal",'BBG Verify'!R490)</f>
        <v/>
      </c>
      <c r="BU490" s="125" t="inlineStr">
        <is>
          <t>China International Capital Corporation Hong Kong Securities Limited</t>
        </is>
      </c>
      <c r="BV490" s="108" t="inlineStr">
        <is>
          <t>China International Capital Corporation Hong Kong Securities Limited</t>
        </is>
      </c>
      <c r="BW490" s="108" t="inlineStr">
        <is>
          <t>BOCI Asia Limited</t>
        </is>
      </c>
      <c r="BX490" s="108" t="inlineStr">
        <is>
          <t>BOCI Asia Limited; China International Capital Corporation Hong Kong Securities Limited; CMB International Capital Limited; Futu Securities International (Hong Kong) Limited; Guoyuan Securities Brokerage (Hong Kong) Limited</t>
        </is>
      </c>
      <c r="BY490" s="127">
        <f>HYPERLINK("https://www1.hkexnews.hk/listedco/listconews/sehk/2026/0617/2026061700039.pdf","prospectus")</f>
        <v/>
      </c>
      <c r="BZ490" s="127">
        <f>HYPERLINK("https://www1.hkexnews.hk/listedco/listconews/sehk/2026/0625/2026062502296.pdf","allotment")</f>
        <v/>
      </c>
      <c r="CA490" s="127">
        <f>HYPERLINK("https://www1.hkexnews.hk/listedco/listconews/sehk/2026/0723/2026072300312.pdf","stabilisation")</f>
        <v/>
      </c>
      <c r="CB490" s="128" t="n"/>
      <c r="CC490" s="108" t="inlineStr">
        <is>
          <t>greenshoe: outcome published; expiry date not in the notice; range low: maximum offer price only, no floor published; A/H: Jun 2026 H listing (direct-write lithography equipment); sponsor: English name not in the filing; AAStocks 保薦人 shown; eff float shares: share count unavailable; the HK$m figure is exact</t>
        </is>
      </c>
    </row>
    <row r="491" ht="22" customHeight="1">
      <c r="A491" s="107" t="inlineStr">
        <is>
          <t>6228</t>
        </is>
      </c>
      <c r="B491" s="108" t="inlineStr">
        <is>
          <t>MERDEKAGOLD-DRS</t>
        </is>
      </c>
      <c r="C491" s="108" t="inlineStr">
        <is>
          <t>自由黃金－ＤＲＳ</t>
        </is>
      </c>
      <c r="D491" s="108" t="inlineStr">
        <is>
          <t>Materials/Energy</t>
        </is>
      </c>
      <c r="E491" s="108" t="inlineStr">
        <is>
          <t>Mining / metals</t>
        </is>
      </c>
      <c r="F491" s="108" t="inlineStr">
        <is>
          <t>Gold &amp; Precious Metals</t>
        </is>
      </c>
      <c r="G491" s="108" t="inlineStr">
        <is>
          <t>Standard</t>
        </is>
      </c>
      <c r="H491" s="109" t="n">
        <v>46199</v>
      </c>
      <c r="I491" s="110" t="n">
        <v>2385.18</v>
      </c>
      <c r="J491" s="108" t="inlineStr">
        <is>
          <t>gross (stated)</t>
        </is>
      </c>
      <c r="K491" s="129" t="n"/>
      <c r="L491" s="111" t="n">
        <v>26.6</v>
      </c>
      <c r="M491" s="111" t="n">
        <v>26.6</v>
      </c>
      <c r="N491" s="108" t="inlineStr">
        <is>
          <t>Y</t>
        </is>
      </c>
      <c r="O491" s="112" t="n">
        <v>100</v>
      </c>
      <c r="P491" s="118" t="n"/>
      <c r="Q491" s="113" t="n">
        <v>34074</v>
      </c>
      <c r="R491" s="108" t="inlineStr">
        <is>
          <t>derived:deal size / offer % of enlarged capital</t>
        </is>
      </c>
      <c r="S491" s="114" t="n">
        <v>4.42</v>
      </c>
      <c r="T491" s="115" t="n">
        <v>7.67</v>
      </c>
      <c r="U491" s="116" t="n">
        <v>49.9</v>
      </c>
      <c r="V491" s="117" t="n">
        <v>98</v>
      </c>
      <c r="W491" s="118" t="n"/>
      <c r="X491" s="108" t="inlineStr">
        <is>
          <t>NA</t>
        </is>
      </c>
      <c r="Y491" s="113" t="n">
        <v>1194.98</v>
      </c>
      <c r="Z491" s="131" t="n"/>
      <c r="AA491" s="112" t="n">
        <v>3.51</v>
      </c>
      <c r="AB491" s="108" t="inlineStr">
        <is>
          <t>CNGR Hong Kong Material Science &amp; Technology Co., Limited; Dymon Asia Multi-Strategy Investment Master Fund; GF Fund Management Co., Ltd; Glencore International AG; Intera Mining Investment Limited; Mercuria Holdings (Singapore) Pte. Ltd; ORIX Asia Asset Management Limited; Ping An of China Asset Management (Hong Kong) Company Limited; Trafigura Group Pte. Ltd; Wanguo Gold Group Limited; Wind Sabre Fund SPC</t>
        </is>
      </c>
      <c r="AC491" s="108" t="inlineStr">
        <is>
          <t>cngr;dymon;gf;glencore;intera;mercuria;orix;ping;trafigura;wanguo;wind</t>
        </is>
      </c>
      <c r="AD491" s="112" t="n">
        <v>15</v>
      </c>
      <c r="AE491" s="108" t="inlineStr">
        <is>
          <t>partial</t>
        </is>
      </c>
      <c r="AF491" s="119" t="n"/>
      <c r="AG491" s="108" t="inlineStr">
        <is>
          <t>CLSA Limited</t>
        </is>
      </c>
      <c r="AH491" s="108" t="inlineStr">
        <is>
          <t>CLSA</t>
        </is>
      </c>
      <c r="AI491" s="120" t="n">
        <v>0</v>
      </c>
      <c r="AJ491" s="121" t="n">
        <v>-6.54</v>
      </c>
      <c r="AK491" s="121" t="n">
        <v>-2.25</v>
      </c>
      <c r="AL491" s="121" t="n">
        <v>0</v>
      </c>
      <c r="AM491" s="121" t="n">
        <v>-6.54</v>
      </c>
      <c r="AN491" s="122" t="n"/>
      <c r="AO491" s="112" t="n">
        <v>10.83</v>
      </c>
      <c r="AP491" s="121" t="n">
        <v>-2.26</v>
      </c>
      <c r="AQ491" s="121" t="n">
        <v>-0.38</v>
      </c>
      <c r="AR491" s="121" t="n">
        <v>28.5</v>
      </c>
      <c r="AS491" s="121" t="n">
        <v>4.58</v>
      </c>
      <c r="AT491" s="121" t="n">
        <v>6.59</v>
      </c>
      <c r="AU491" s="121" t="n">
        <v>37.49</v>
      </c>
      <c r="AV491" s="121" t="n">
        <v>-6.28</v>
      </c>
      <c r="AW491" s="121" t="n">
        <v>-10.75</v>
      </c>
      <c r="AX491" s="121" t="n">
        <v>22.05</v>
      </c>
      <c r="AY491" s="121" t="n">
        <v>-6.32</v>
      </c>
      <c r="AZ491" s="121" t="n">
        <v>10.37</v>
      </c>
      <c r="BA491" s="121" t="n">
        <v>12.91</v>
      </c>
      <c r="BB491" s="108" t="inlineStr">
        <is>
          <t>Hang Seng Commerce &amp; Industry sub-index</t>
        </is>
      </c>
      <c r="BC491" s="121" t="n">
        <v>26.77</v>
      </c>
      <c r="BD491" s="109" t="n">
        <v>46297</v>
      </c>
      <c r="BE491" s="110" t="n">
        <v>1</v>
      </c>
      <c r="BF491" s="113" t="n">
        <v>-214.4</v>
      </c>
      <c r="BG491" s="108" t="inlineStr">
        <is>
          <t>N</t>
        </is>
      </c>
      <c r="BH491" s="108" t="inlineStr">
        <is>
          <t>n/m</t>
        </is>
      </c>
      <c r="BI491" s="122" t="n"/>
      <c r="BJ491" s="122" t="n"/>
      <c r="BK491" s="123" t="n">
        <v>34074</v>
      </c>
      <c r="BL491" s="124">
        <f>IF('BBG Verify'!S491="","not filed; run on terminal",'BBG Verify'!S491)</f>
        <v/>
      </c>
      <c r="BM491" s="125" t="inlineStr">
        <is>
          <t>N</t>
        </is>
      </c>
      <c r="BN491" s="126">
        <f>IF('BBG Verify'!K491="","not filed; run on terminal",'BBG Verify'!K491)</f>
        <v/>
      </c>
      <c r="BO491" s="108" t="inlineStr">
        <is>
          <t>N/A</t>
        </is>
      </c>
      <c r="BP491" s="108" t="inlineStr">
        <is>
          <t>N/A</t>
        </is>
      </c>
      <c r="BQ491" s="108" t="inlineStr">
        <is>
          <t>N/A</t>
        </is>
      </c>
      <c r="BR491" s="108" t="inlineStr">
        <is>
          <t>N/A</t>
        </is>
      </c>
      <c r="BS491" s="108" t="inlineStr">
        <is>
          <t>N/A</t>
        </is>
      </c>
      <c r="BT491" s="108" t="inlineStr">
        <is>
          <t>N/A</t>
        </is>
      </c>
      <c r="BU491" s="125" t="inlineStr">
        <is>
          <t>UBS Securities Hong Kong Limited; CITIC Securities (Hong Kong) Limited</t>
        </is>
      </c>
      <c r="BV491" s="108" t="inlineStr">
        <is>
          <t>UBS Securities Hong Kong Limited; CITIC Securities (Hong Kong) Limited</t>
        </is>
      </c>
      <c r="BW491" s="108" t="inlineStr">
        <is>
          <t>UBS AG Hong Kong Branch; DIRECTORS, COMMISSIONERS AND PARTIES INVOLVED IN THE GLOBAL OFFERING CLSA Limited; Morgan Stanley Asia Limited; The Hongkong and Shanghai Banking Corporation Limited; China International Capital Corporation Hong Kong Securities Limited; Macquarie Capital Limited; CLSA Limited; Morgan Stanley &amp; Co. International plc; DBS Asia Capital Limited; Mizuho Securities Asia Limited; Natixis Hong Kong Branch; Oversea-Chinese Banking Corporation Limited</t>
        </is>
      </c>
      <c r="BX491" s="108" t="inlineStr">
        <is>
          <t>Credit Agricole Corporate and Investment Bank; China International Capital Corporation Hong Kong Securities Limited; CLSA Limited; DBS Asia Capital Limited; The Hongkong and Shanghai Banking Corporation Limited; Macquarie Capital Limited; Morgan Stanley Asia Limited; Mizuho Securities Asia Limited; NATIXIS; Oversea-Chinese Banking Corporation Limited; Societe Generale; UBS AG Hong Kong Branch</t>
        </is>
      </c>
      <c r="BY491" s="127">
        <f>HYPERLINK("https://www1.hkexnews.hk/listedco/listconews/sehk/2026/0617/2026061700075.pdf","prospectus")</f>
        <v/>
      </c>
      <c r="BZ491" s="127">
        <f>HYPERLINK("https://www1.hkexnews.hk/listedco/listconews/sehk/2026/0625/2026062502338.pdf","allotment")</f>
        <v/>
      </c>
      <c r="CA491" s="127">
        <f>HYPERLINK("https://www1.hkexnews.hk/listedco/listconews/sehk/2026/0723/2026072301404.pdf","stabilisation")</f>
        <v/>
      </c>
      <c r="CB491" s="128" t="n"/>
      <c r="CC491" s="108" t="inlineStr">
        <is>
          <t>P/E: loss-making at IPO, use P/S; greenshoe: outcome published; expiry date not in the notice; range low: maximum offer price only, no floor published; P/S: 34,074x on HK$1.0m revenue, effectively pre-revenue; not comparable; eff float shares: share count unavailable; the HK$m figure is exact; allocation: allocation table not in this notice's format (older prose announcement); day-1 tape: volume on file; the retail multiple needs the final public split, which this notice does not state</t>
        </is>
      </c>
    </row>
    <row r="492" ht="22" customHeight="1">
      <c r="A492" s="107" t="inlineStr">
        <is>
          <t>2672</t>
        </is>
      </c>
      <c r="B492" s="108" t="inlineStr">
        <is>
          <t>BAIGE DIGITAL</t>
        </is>
      </c>
      <c r="C492" s="108" t="inlineStr">
        <is>
          <t>白鴿在線（廈門）數字科技</t>
        </is>
      </c>
      <c r="D492" s="108" t="inlineStr">
        <is>
          <t>Financials</t>
        </is>
      </c>
      <c r="E492" s="108" t="inlineStr">
        <is>
          <t>Insurance</t>
        </is>
      </c>
      <c r="F492" s="108" t="inlineStr">
        <is>
          <t>Application Software</t>
        </is>
      </c>
      <c r="G492" s="108" t="inlineStr">
        <is>
          <t>Standard</t>
        </is>
      </c>
      <c r="H492" s="109" t="n">
        <v>46202</v>
      </c>
      <c r="I492" s="110" t="n">
        <v>520.2</v>
      </c>
      <c r="J492" s="108" t="inlineStr">
        <is>
          <t>gross (price x shares)</t>
        </is>
      </c>
      <c r="K492" s="129" t="n"/>
      <c r="L492" s="111" t="n">
        <v>20.28</v>
      </c>
      <c r="M492" s="111" t="n">
        <v>15.6</v>
      </c>
      <c r="N492" s="108" t="inlineStr">
        <is>
          <t>N</t>
        </is>
      </c>
      <c r="O492" s="112" t="n">
        <v>76.90000000000001</v>
      </c>
      <c r="P492" s="118" t="n"/>
      <c r="Q492" s="113" t="n">
        <v>5001.7</v>
      </c>
      <c r="R492" s="108" t="inlineStr">
        <is>
          <t>derived:price x shares upon listing</t>
        </is>
      </c>
      <c r="S492" s="114" t="n">
        <v>242.05</v>
      </c>
      <c r="T492" s="115" t="n">
        <v>2.44</v>
      </c>
      <c r="U492" s="116" t="n">
        <v>3.84</v>
      </c>
      <c r="V492" s="117" t="n">
        <v>95</v>
      </c>
      <c r="W492" s="112" t="n">
        <v>10</v>
      </c>
      <c r="X492" s="108" t="inlineStr">
        <is>
          <t>NA</t>
        </is>
      </c>
      <c r="Y492" s="113" t="n">
        <v>500.22</v>
      </c>
      <c r="Z492" s="113" t="n">
        <v>32063975</v>
      </c>
      <c r="AA492" s="112" t="n">
        <v>10</v>
      </c>
      <c r="AB492" s="108" t="inlineStr">
        <is>
          <t>GLY New Mobility; Mr. Ke</t>
        </is>
      </c>
      <c r="AC492" s="108" t="inlineStr">
        <is>
          <t>gly;mr-ke</t>
        </is>
      </c>
      <c r="AD492" s="112" t="n">
        <v>11.8</v>
      </c>
      <c r="AE492" s="119" t="n"/>
      <c r="AF492" s="108" t="inlineStr">
        <is>
          <t>2026-07-24</t>
        </is>
      </c>
      <c r="AG492" s="108" t="inlineStr">
        <is>
          <t>CMBC Securities Company Limited</t>
        </is>
      </c>
      <c r="AH492" s="108" t="inlineStr">
        <is>
          <t>CMBC</t>
        </is>
      </c>
      <c r="AI492" s="120" t="n">
        <v>272.44</v>
      </c>
      <c r="AJ492" s="121" t="n">
        <v>367.95</v>
      </c>
      <c r="AK492" s="121" t="n">
        <v>0.55</v>
      </c>
      <c r="AL492" s="121" t="n">
        <v>291.67</v>
      </c>
      <c r="AM492" s="121" t="n">
        <v>19.48</v>
      </c>
      <c r="AN492" s="123" t="n">
        <v>1.82</v>
      </c>
      <c r="AO492" s="112" t="n">
        <v>22.09</v>
      </c>
      <c r="AP492" s="121" t="n">
        <v>295.19</v>
      </c>
      <c r="AQ492" s="121" t="n">
        <v>280.77</v>
      </c>
      <c r="AR492" s="121" t="n">
        <v>288.46</v>
      </c>
      <c r="AS492" s="121" t="n">
        <v>-15.55</v>
      </c>
      <c r="AT492" s="121" t="n">
        <v>-18.63</v>
      </c>
      <c r="AU492" s="121" t="n">
        <v>-16.99</v>
      </c>
      <c r="AV492" s="121" t="n">
        <v>294.57</v>
      </c>
      <c r="AW492" s="121" t="n">
        <v>269.3</v>
      </c>
      <c r="AX492" s="121" t="n">
        <v>278.95</v>
      </c>
      <c r="AY492" s="121" t="n">
        <v>-29.5</v>
      </c>
      <c r="AZ492" s="121" t="n">
        <v>11.47</v>
      </c>
      <c r="BA492" s="121" t="n">
        <v>10.87</v>
      </c>
      <c r="BB492" s="108" t="inlineStr">
        <is>
          <t>Hang Seng Finance sub-index</t>
        </is>
      </c>
      <c r="BC492" s="121" t="n">
        <v>273.72</v>
      </c>
      <c r="BD492" s="109" t="n">
        <v>46297</v>
      </c>
      <c r="BE492" s="110" t="n">
        <v>1349.8</v>
      </c>
      <c r="BF492" s="113" t="n">
        <v>-51.3</v>
      </c>
      <c r="BG492" s="108" t="inlineStr">
        <is>
          <t>N</t>
        </is>
      </c>
      <c r="BH492" s="108" t="inlineStr">
        <is>
          <t>n/m</t>
        </is>
      </c>
      <c r="BI492" s="122" t="n"/>
      <c r="BJ492" s="122" t="n"/>
      <c r="BK492" s="123" t="n">
        <v>3.7</v>
      </c>
      <c r="BL492" s="124">
        <f>IF('BBG Verify'!S492="","not filed; run on terminal",'BBG Verify'!S492)</f>
        <v/>
      </c>
      <c r="BM492" s="125" t="inlineStr">
        <is>
          <t>N</t>
        </is>
      </c>
      <c r="BN492" s="126">
        <f>IF('BBG Verify'!K492="","not filed; run on terminal",'BBG Verify'!K492)</f>
        <v/>
      </c>
      <c r="BO492" s="108" t="inlineStr">
        <is>
          <t>N/A</t>
        </is>
      </c>
      <c r="BP492" s="108" t="inlineStr">
        <is>
          <t>N/A</t>
        </is>
      </c>
      <c r="BQ492" s="108" t="inlineStr">
        <is>
          <t>N/A</t>
        </is>
      </c>
      <c r="BR492" s="108" t="inlineStr">
        <is>
          <t>N/A</t>
        </is>
      </c>
      <c r="BS492" s="108" t="inlineStr">
        <is>
          <t>N/A</t>
        </is>
      </c>
      <c r="BT492" s="108" t="inlineStr">
        <is>
          <t>N/A</t>
        </is>
      </c>
      <c r="BU492" s="125" t="inlineStr">
        <is>
          <t>CMBC International Capital Limited; BOCI Asia Limited</t>
        </is>
      </c>
      <c r="BV492" s="108" t="inlineStr">
        <is>
          <t>BOCI Asia Limited; CMBC International Capital Limited</t>
        </is>
      </c>
      <c r="BW492" s="108" t="inlineStr">
        <is>
          <t>ICBC International Securities Limited</t>
        </is>
      </c>
      <c r="BX492" s="108" t="inlineStr">
        <is>
          <t>ABCI Securities Company Limited; BOCI Asia Limited; CMBC Securities Company Limited; CMB International Capital Limited; Fortune (HK) Securities Limited; Futu Securities International (Hong Kong) Limited; Guoyuan Securities Brokerage (Hong Kong) Limited; Harmonia Capital Limited; Huafu International Securities Limited; ICBC International Securities Limited; SPDB International Capital Limited; Tiger Brokers (HK) Global Limited</t>
        </is>
      </c>
      <c r="BY492" s="127">
        <f>HYPERLINK("https://www1.hkexnews.hk/listedco/listconews/sehk/2026/0618/2026061800045.pdf","prospectus")</f>
        <v/>
      </c>
      <c r="BZ492" s="127">
        <f>HYPERLINK("https://www1.hkexnews.hk/listedco/listconews/sehk/2026/0626/2026062602363.pdf","allotment")</f>
        <v/>
      </c>
      <c r="CA492" s="119" t="n"/>
      <c r="CB492" s="128" t="n"/>
      <c r="CC492" s="108" t="inlineStr">
        <is>
          <t>P/E: loss-making at IPO, use P/S; greenshoe: end-of-stabilisation notice not found; range low: maximum offer price only, no floor published</t>
        </is>
      </c>
    </row>
    <row r="493" ht="22" customHeight="1">
      <c r="A493" s="107" t="inlineStr">
        <is>
          <t>1191</t>
        </is>
      </c>
      <c r="B493" s="108" t="inlineStr">
        <is>
          <t>CREALIGHTS</t>
        </is>
      </c>
      <c r="C493" s="108" t="inlineStr">
        <is>
          <t>海光芯正</t>
        </is>
      </c>
      <c r="D493" s="108" t="inlineStr">
        <is>
          <t>Tech/AI</t>
        </is>
      </c>
      <c r="E493" s="108" t="inlineStr">
        <is>
          <t>Smart hardware / consumer electronics</t>
        </is>
      </c>
      <c r="F493" s="108" t="inlineStr">
        <is>
          <t>Telecommunications &amp; Networking Equipment</t>
        </is>
      </c>
      <c r="G493" s="108" t="inlineStr">
        <is>
          <t>Standard</t>
        </is>
      </c>
      <c r="H493" s="109" t="n">
        <v>46202</v>
      </c>
      <c r="I493" s="110" t="n">
        <v>1531.19</v>
      </c>
      <c r="J493" s="108" t="inlineStr">
        <is>
          <t>gross (stated)</t>
        </is>
      </c>
      <c r="K493" s="129" t="n"/>
      <c r="L493" s="111" t="n">
        <v>114</v>
      </c>
      <c r="M493" s="111" t="n">
        <v>114</v>
      </c>
      <c r="N493" s="108" t="inlineStr">
        <is>
          <t>Y</t>
        </is>
      </c>
      <c r="O493" s="112" t="n">
        <v>100</v>
      </c>
      <c r="P493" s="118" t="n"/>
      <c r="Q493" s="113" t="n">
        <v>10208</v>
      </c>
      <c r="R493" s="108" t="inlineStr">
        <is>
          <t>press:sina 2026-06-19: 发行后总市值约102.08亿 at HK$114</t>
        </is>
      </c>
      <c r="S493" s="114" t="n">
        <v>1296.89</v>
      </c>
      <c r="T493" s="115" t="n">
        <v>15.51</v>
      </c>
      <c r="U493" s="116" t="n">
        <v>49.85</v>
      </c>
      <c r="V493" s="117" t="n">
        <v>116</v>
      </c>
      <c r="W493" s="112" t="n">
        <v>10</v>
      </c>
      <c r="X493" s="108" t="inlineStr">
        <is>
          <t>NA</t>
        </is>
      </c>
      <c r="Y493" s="113" t="n">
        <v>767.89</v>
      </c>
      <c r="Z493" s="113" t="n">
        <v>6735897</v>
      </c>
      <c r="AA493" s="112" t="n">
        <v>7.52</v>
      </c>
      <c r="AB493" s="108" t="inlineStr">
        <is>
          <t>E Fund Management Co., Ltd; JSC International Investment Fund SPC; Kingsoft Cloud Network Corporation Limited; Perseverance Asset Management International (Singapore) Pte. Ltd; UBS Asset Management (Singapore) Ltd; Winwin Technology Investment Co., Limited</t>
        </is>
      </c>
      <c r="AC493" s="108" t="inlineStr">
        <is>
          <t>fund-management;jsc;kingsoft;perseverance;ubs;winwin</t>
        </is>
      </c>
      <c r="AD493" s="112" t="n">
        <v>15</v>
      </c>
      <c r="AE493" s="108" t="inlineStr">
        <is>
          <t>full</t>
        </is>
      </c>
      <c r="AF493" s="119" t="n"/>
      <c r="AG493" s="108" t="inlineStr">
        <is>
          <t>Huatai Financial Holdings</t>
        </is>
      </c>
      <c r="AH493" s="108" t="inlineStr">
        <is>
          <t>Huatai</t>
        </is>
      </c>
      <c r="AI493" s="120" t="n">
        <v>86.84</v>
      </c>
      <c r="AJ493" s="121" t="n">
        <v>44.74</v>
      </c>
      <c r="AK493" s="121" t="n">
        <v>3.06</v>
      </c>
      <c r="AL493" s="121" t="n">
        <v>75.34999999999999</v>
      </c>
      <c r="AM493" s="121" t="n">
        <v>-17.46</v>
      </c>
      <c r="AN493" s="123" t="n">
        <v>3.84</v>
      </c>
      <c r="AO493" s="112" t="n">
        <v>31.52</v>
      </c>
      <c r="AP493" s="121" t="n">
        <v>60.53</v>
      </c>
      <c r="AQ493" s="121" t="n">
        <v>-41.67</v>
      </c>
      <c r="AR493" s="121" t="n">
        <v>38.07</v>
      </c>
      <c r="AS493" s="121" t="n">
        <v>10.91</v>
      </c>
      <c r="AT493" s="121" t="n">
        <v>-59.7</v>
      </c>
      <c r="AU493" s="121" t="n">
        <v>-4.61</v>
      </c>
      <c r="AV493" s="121" t="n">
        <v>54.84</v>
      </c>
      <c r="AW493" s="121" t="n">
        <v>-55.74</v>
      </c>
      <c r="AX493" s="121" t="n">
        <v>36.63</v>
      </c>
      <c r="AY493" s="121" t="n">
        <v>-70.38</v>
      </c>
      <c r="AZ493" s="121" t="n">
        <v>14.07</v>
      </c>
      <c r="BA493" s="121" t="n">
        <v>10.68</v>
      </c>
      <c r="BB493" s="108" t="inlineStr">
        <is>
          <t>HSTECH (Hang Seng TECH ETF)</t>
        </is>
      </c>
      <c r="BC493" s="121" t="n">
        <v>12.54</v>
      </c>
      <c r="BD493" s="109" t="n">
        <v>46297</v>
      </c>
      <c r="BE493" s="110" t="n">
        <v>1343.2</v>
      </c>
      <c r="BF493" s="113" t="n">
        <v>-110.2</v>
      </c>
      <c r="BG493" s="108" t="inlineStr">
        <is>
          <t>N</t>
        </is>
      </c>
      <c r="BH493" s="108" t="inlineStr">
        <is>
          <t>n/m</t>
        </is>
      </c>
      <c r="BI493" s="122" t="n"/>
      <c r="BJ493" s="122" t="n"/>
      <c r="BK493" s="123" t="n">
        <v>7.6</v>
      </c>
      <c r="BL493" s="124">
        <f>IF('BBG Verify'!S493="","not filed; run on terminal",'BBG Verify'!S493)</f>
        <v/>
      </c>
      <c r="BM493" s="125" t="inlineStr">
        <is>
          <t>N</t>
        </is>
      </c>
      <c r="BN493" s="126">
        <f>IF('BBG Verify'!K493="","not filed; run on terminal",'BBG Verify'!K493)</f>
        <v/>
      </c>
      <c r="BO493" s="108" t="inlineStr">
        <is>
          <t>N/A</t>
        </is>
      </c>
      <c r="BP493" s="108" t="inlineStr">
        <is>
          <t>N/A</t>
        </is>
      </c>
      <c r="BQ493" s="108" t="inlineStr">
        <is>
          <t>N/A</t>
        </is>
      </c>
      <c r="BR493" s="108" t="inlineStr">
        <is>
          <t>N/A</t>
        </is>
      </c>
      <c r="BS493" s="108" t="inlineStr">
        <is>
          <t>N/A</t>
        </is>
      </c>
      <c r="BT493" s="108" t="inlineStr">
        <is>
          <t>N/A</t>
        </is>
      </c>
      <c r="BU493" s="125" t="inlineStr">
        <is>
          <t>Frost &amp; Sullivan (Beijing) Inc., Shanghai Branch; Transfer Pricing Consultant Grant Thornton Singapore Pte Ltd; Bank of China (Hong Kong) Limited; China CITIC Bank International Limited; Agricultural Bank of China Suzhou Qingjianhu Branch</t>
        </is>
      </c>
      <c r="BV493" s="108" t="inlineStr">
        <is>
          <t>Huatai Financial Holdings (Hong Kong) Limited</t>
        </is>
      </c>
      <c r="BW493" s="108" t="inlineStr">
        <is>
          <t>Huatai Financial Holdings (Hong Kong) Limited</t>
        </is>
      </c>
      <c r="BX493" s="108" t="inlineStr">
        <is>
          <t>Huatai Financial Holdings (Hong Kong) Limited</t>
        </is>
      </c>
      <c r="BY493" s="127">
        <f>HYPERLINK("https://www1.hkexnews.hk/listedco/listconews/sehk/2026/0618/2026061800079.pdf","prospectus")</f>
        <v/>
      </c>
      <c r="BZ493" s="127">
        <f>HYPERLINK("https://www1.hkexnews.hk/listedco/listconews/sehk/2026/0626/2026062602599.pdf","allotment")</f>
        <v/>
      </c>
      <c r="CA493" s="127">
        <f>HYPERLINK("https://www1.hkexnews.hk/listedco/listconews/sehk/2026/0724/2026072400428.pdf","stabilisation")</f>
        <v/>
      </c>
      <c r="CB493" s="128" t="n"/>
      <c r="CC493" s="108" t="inlineStr">
        <is>
          <t>P/E: loss-making at IPO, use P/S; greenshoe: outcome published; expiry date not in the notice; range low: maximum offer price only, no floor published</t>
        </is>
      </c>
    </row>
    <row r="494" ht="22" customHeight="1">
      <c r="A494" s="107" t="inlineStr">
        <is>
          <t>9637</t>
        </is>
      </c>
      <c r="B494" s="108" t="inlineStr">
        <is>
          <t>ALEBUND-B</t>
        </is>
      </c>
      <c r="C494" s="108" t="inlineStr">
        <is>
          <t>禮邦醫藥－Ｂ</t>
        </is>
      </c>
      <c r="D494" s="108" t="inlineStr">
        <is>
          <t>Healthcare</t>
        </is>
      </c>
      <c r="E494" s="108" t="inlineStr">
        <is>
          <t>Biotech pre-revenue (18A)</t>
        </is>
      </c>
      <c r="F494" s="108" t="inlineStr">
        <is>
          <t>Biotechnology - Pharmaceuticals</t>
        </is>
      </c>
      <c r="G494" s="108" t="inlineStr">
        <is>
          <t>18A</t>
        </is>
      </c>
      <c r="H494" s="109" t="n">
        <v>46202</v>
      </c>
      <c r="I494" s="110" t="n">
        <v>1282.7</v>
      </c>
      <c r="J494" s="108" t="inlineStr">
        <is>
          <t>gross (stated)</t>
        </is>
      </c>
      <c r="K494" s="129" t="n"/>
      <c r="L494" s="111" t="n">
        <v>22.6</v>
      </c>
      <c r="M494" s="111" t="n">
        <v>22.6</v>
      </c>
      <c r="N494" s="108" t="inlineStr">
        <is>
          <t>Y</t>
        </is>
      </c>
      <c r="O494" s="112" t="n">
        <v>100</v>
      </c>
      <c r="P494" s="118" t="n"/>
      <c r="Q494" s="113" t="n">
        <v>6859.4</v>
      </c>
      <c r="R494" s="108" t="inlineStr">
        <is>
          <t>derived:deal size / offer % of enlarged capital</t>
        </is>
      </c>
      <c r="S494" s="114" t="n">
        <v>963.5599999999999</v>
      </c>
      <c r="T494" s="115" t="n">
        <v>19.77</v>
      </c>
      <c r="U494" s="116" t="n">
        <v>49.78</v>
      </c>
      <c r="V494" s="117" t="n">
        <v>93</v>
      </c>
      <c r="W494" s="112" t="n">
        <v>10</v>
      </c>
      <c r="X494" s="108" t="inlineStr">
        <is>
          <t>NA</t>
        </is>
      </c>
      <c r="Y494" s="113" t="n">
        <v>644.17</v>
      </c>
      <c r="Z494" s="113" t="n">
        <v>28502562</v>
      </c>
      <c r="AA494" s="112" t="n">
        <v>9.390000000000001</v>
      </c>
      <c r="AB494" s="108" t="inlineStr">
        <is>
          <t>GIC Private Limited; Loomis, Sayles &amp; Company, L.P; Loomis Sayles Trust Company, LLC; RTW Master Fund, Ltd; RTW Innovation Master Fund, Ltd; RTW Biotech Opportunities Ltd; SymBiosis II, LLC; Huang River Investment Limited; Perfect Ten Holding Limited; Cormorant Global Healthcare Master Fund, LP; Dymon Asia Multi-Strategy Investment Master Fund; GF Fund Management Co., Ltd; GF International Investment Management Limited; China Universal Asset Management (Hong Kong) Company Limited; E Fund Management (Hong Kong) Co., Ltd; Golden Valley Value Select Master Fund; Golden Valley Global Limited; Loyal Valley Capital Advantage Fund III LP</t>
        </is>
      </c>
      <c r="AC494" s="108" t="inlineStr">
        <is>
          <t>gic;loomis;rtw;symbiosis;huang-river;perfect;cormorant;dymon;gf;universal;fund-management;golden-valley;loyal</t>
        </is>
      </c>
      <c r="AD494" s="112" t="n">
        <v>7.9</v>
      </c>
      <c r="AE494" s="108" t="inlineStr">
        <is>
          <t>full</t>
        </is>
      </c>
      <c r="AF494" s="119" t="n"/>
      <c r="AG494" s="108" t="inlineStr">
        <is>
          <t>Jefferies Hong Kong Limited</t>
        </is>
      </c>
      <c r="AH494" s="108" t="inlineStr">
        <is>
          <t>Jefferies</t>
        </is>
      </c>
      <c r="AI494" s="120" t="n">
        <v>88.05</v>
      </c>
      <c r="AJ494" s="121" t="n">
        <v>103.54</v>
      </c>
      <c r="AK494" s="121" t="n">
        <v>7.68</v>
      </c>
      <c r="AL494" s="121" t="n">
        <v>85.84</v>
      </c>
      <c r="AM494" s="121" t="n">
        <v>9.52</v>
      </c>
      <c r="AN494" s="123" t="n">
        <v>2.25</v>
      </c>
      <c r="AO494" s="112" t="n">
        <v>13.1</v>
      </c>
      <c r="AP494" s="121" t="n">
        <v>29.12</v>
      </c>
      <c r="AQ494" s="121" t="n">
        <v>19.47</v>
      </c>
      <c r="AR494" s="121" t="n">
        <v>9.65</v>
      </c>
      <c r="AS494" s="121" t="n">
        <v>-36.56</v>
      </c>
      <c r="AT494" s="121" t="n">
        <v>-41.3</v>
      </c>
      <c r="AU494" s="121" t="n">
        <v>-46.13</v>
      </c>
      <c r="AV494" s="121" t="n">
        <v>16.76</v>
      </c>
      <c r="AW494" s="121" t="n">
        <v>2.47</v>
      </c>
      <c r="AX494" s="121" t="n">
        <v>-16.14</v>
      </c>
      <c r="AY494" s="121" t="n">
        <v>-49.96</v>
      </c>
      <c r="AZ494" s="121" t="n">
        <v>17</v>
      </c>
      <c r="BA494" s="121" t="n">
        <v>8.66</v>
      </c>
      <c r="BB494" s="108" t="inlineStr">
        <is>
          <t>China Biotech ETF (HS biotech proxy)</t>
        </is>
      </c>
      <c r="BC494" s="121" t="n">
        <v>12.39</v>
      </c>
      <c r="BD494" s="109" t="n">
        <v>46297</v>
      </c>
      <c r="BE494" s="110" t="n">
        <v>33.6</v>
      </c>
      <c r="BF494" s="113" t="n">
        <v>-827</v>
      </c>
      <c r="BG494" s="108" t="inlineStr">
        <is>
          <t>N</t>
        </is>
      </c>
      <c r="BH494" s="108" t="inlineStr">
        <is>
          <t>n/m</t>
        </is>
      </c>
      <c r="BI494" s="122" t="n"/>
      <c r="BJ494" s="122" t="n"/>
      <c r="BK494" s="123" t="n">
        <v>204.1</v>
      </c>
      <c r="BL494" s="124">
        <f>IF('BBG Verify'!S494="","not filed; run on terminal",'BBG Verify'!S494)</f>
        <v/>
      </c>
      <c r="BM494" s="125" t="inlineStr">
        <is>
          <t>N</t>
        </is>
      </c>
      <c r="BN494" s="126">
        <f>IF('BBG Verify'!K494="","not filed; run on terminal",'BBG Verify'!K494)</f>
        <v/>
      </c>
      <c r="BO494" s="108" t="inlineStr">
        <is>
          <t>N/A</t>
        </is>
      </c>
      <c r="BP494" s="108" t="inlineStr">
        <is>
          <t>N/A</t>
        </is>
      </c>
      <c r="BQ494" s="108" t="inlineStr">
        <is>
          <t>N/A</t>
        </is>
      </c>
      <c r="BR494" s="108" t="inlineStr">
        <is>
          <t>N/A</t>
        </is>
      </c>
      <c r="BS494" s="108" t="inlineStr">
        <is>
          <t>N/A</t>
        </is>
      </c>
      <c r="BT494" s="108" t="inlineStr">
        <is>
          <t>N/A</t>
        </is>
      </c>
      <c r="BU494" s="125" t="inlineStr">
        <is>
          <t>Jefferies Hong Kong Limited; Merrill Lynch (Asia Pacific) Limited; Huatai Financial Holdings (Hong Kong) Limited</t>
        </is>
      </c>
      <c r="BV494" s="108" t="inlineStr">
        <is>
          <t>Jefferies Hong Kong Limited; Merrill Lynch (Asia Pacific) Limited; Huatai Financial Holdings (Hong Kong) Limited</t>
        </is>
      </c>
      <c r="BW494" s="108" t="inlineStr">
        <is>
          <t>BOCI Asia Limited</t>
        </is>
      </c>
      <c r="BX494" s="108" t="inlineStr">
        <is>
          <t>BOCI Asia Limited; CLSA Limited; Huatai Financial Holdings (Hong Kong) Limited; Jefferies Hong Kong Limited; Merrill Lynch (Asia Pacific) Limited</t>
        </is>
      </c>
      <c r="BY494" s="127">
        <f>HYPERLINK("https://www1.hkexnews.hk/listedco/listconews/sehk/2026/0618/2026061800025.pdf","prospectus")</f>
        <v/>
      </c>
      <c r="BZ494" s="127">
        <f>HYPERLINK("https://www1.hkexnews.hk/listedco/listconews/sehk/2026/0626/2026062603033.pdf","allotment")</f>
        <v/>
      </c>
      <c r="CA494" s="127">
        <f>HYPERLINK("https://www1.hkexnews.hk/listedco/listconews/sehk/2026/0724/2026072400262.pdf","stabilisation")</f>
        <v/>
      </c>
      <c r="CB494" s="128" t="n"/>
      <c r="CC494" s="108" t="inlineStr">
        <is>
          <t>P/E: loss-making at IPO, use P/S; greenshoe: outcome published; expiry date not in the notice; range low: maximum offer price only, no floor published; sponsor: English name not in the filing; AAStocks 保薦人 shown</t>
        </is>
      </c>
    </row>
    <row r="495" ht="22" customHeight="1">
      <c r="A495" s="107" t="inlineStr">
        <is>
          <t>2697</t>
        </is>
      </c>
      <c r="B495" s="108" t="inlineStr">
        <is>
          <t>TH MEDICAL-B</t>
        </is>
      </c>
      <c r="C495" s="108" t="inlineStr">
        <is>
          <t>真健康醫療－Ｂ</t>
        </is>
      </c>
      <c r="D495" s="108" t="inlineStr">
        <is>
          <t>Healthcare</t>
        </is>
      </c>
      <c r="E495" s="108" t="inlineStr">
        <is>
          <t>Medical devices</t>
        </is>
      </c>
      <c r="F495" s="108" t="inlineStr">
        <is>
          <t>Biotechnology - Medical Devices</t>
        </is>
      </c>
      <c r="G495" s="108" t="inlineStr">
        <is>
          <t>18A</t>
        </is>
      </c>
      <c r="H495" s="109" t="n">
        <v>46203</v>
      </c>
      <c r="I495" s="110" t="n">
        <v>449.9</v>
      </c>
      <c r="J495" s="108" t="inlineStr">
        <is>
          <t>gross (stated)</t>
        </is>
      </c>
      <c r="K495" s="129" t="n"/>
      <c r="L495" s="111" t="n">
        <v>135.4</v>
      </c>
      <c r="M495" s="111" t="n">
        <v>126.2</v>
      </c>
      <c r="N495" s="108" t="inlineStr">
        <is>
          <t>N</t>
        </is>
      </c>
      <c r="O495" s="112" t="n">
        <v>93.2</v>
      </c>
      <c r="P495" s="118" t="n"/>
      <c r="Q495" s="113" t="n">
        <v>4498.7</v>
      </c>
      <c r="R495" s="108" t="inlineStr">
        <is>
          <t>derived:price x shares upon listing</t>
        </is>
      </c>
      <c r="S495" s="114" t="n">
        <v>1790.4</v>
      </c>
      <c r="T495" s="115" t="n">
        <v>2.2</v>
      </c>
      <c r="U495" s="116" t="n">
        <v>0</v>
      </c>
      <c r="V495" s="117" t="n">
        <v>107</v>
      </c>
      <c r="W495" s="112" t="n">
        <v>10</v>
      </c>
      <c r="X495" s="108" t="inlineStr">
        <is>
          <t>NO</t>
        </is>
      </c>
      <c r="Y495" s="113" t="n">
        <v>449.9</v>
      </c>
      <c r="Z495" s="113" t="n">
        <v>3564700</v>
      </c>
      <c r="AA495" s="112" t="n">
        <v>10</v>
      </c>
      <c r="AB495" s="108" t="inlineStr">
        <is>
          <t>none — no cornerstone tranche</t>
        </is>
      </c>
      <c r="AC495" s="108" t="inlineStr">
        <is>
          <t>none</t>
        </is>
      </c>
      <c r="AD495" s="112" t="n">
        <v>14.5</v>
      </c>
      <c r="AE495" s="119" t="n"/>
      <c r="AF495" s="119" t="n"/>
      <c r="AG495" s="108" t="inlineStr">
        <is>
          <t>China International Capital Corporation Hong Kong Securities Limited</t>
        </is>
      </c>
      <c r="AH495" s="108" t="inlineStr">
        <is>
          <t>China International</t>
        </is>
      </c>
      <c r="AI495" s="120" t="n">
        <v>172.74</v>
      </c>
      <c r="AJ495" s="121" t="n">
        <v>216.96</v>
      </c>
      <c r="AK495" s="121" t="n">
        <v>-0.9399999999999999</v>
      </c>
      <c r="AL495" s="121" t="n">
        <v>159.27</v>
      </c>
      <c r="AM495" s="121" t="n">
        <v>22.25</v>
      </c>
      <c r="AN495" s="123" t="n">
        <v>2.56</v>
      </c>
      <c r="AO495" s="112" t="n">
        <v>30.07</v>
      </c>
      <c r="AP495" s="121" t="n">
        <v>202.22</v>
      </c>
      <c r="AQ495" s="121" t="n">
        <v>325.91</v>
      </c>
      <c r="AR495" s="121" t="n">
        <v>112.2</v>
      </c>
      <c r="AS495" s="121" t="n">
        <v>-4.65</v>
      </c>
      <c r="AT495" s="121" t="n">
        <v>34.37</v>
      </c>
      <c r="AU495" s="121" t="n">
        <v>-33.05</v>
      </c>
      <c r="AV495" s="121" t="n">
        <v>199.84</v>
      </c>
      <c r="AW495" s="121" t="n">
        <v>319.19</v>
      </c>
      <c r="AX495" s="121" t="n">
        <v>96.13</v>
      </c>
      <c r="AY495" s="121" t="n">
        <v>26.64</v>
      </c>
      <c r="AZ495" s="121" t="n">
        <v>6.72</v>
      </c>
      <c r="BA495" s="121" t="n">
        <v>7.73</v>
      </c>
      <c r="BB495" s="108" t="inlineStr">
        <is>
          <t>China Biotech ETF (HS biotech proxy)</t>
        </is>
      </c>
      <c r="BC495" s="121" t="n">
        <v>121.55</v>
      </c>
      <c r="BD495" s="109" t="n">
        <v>46297</v>
      </c>
      <c r="BE495" s="110" t="n">
        <v>13.4</v>
      </c>
      <c r="BF495" s="113" t="n">
        <v>-99.09999999999999</v>
      </c>
      <c r="BG495" s="108" t="inlineStr">
        <is>
          <t>N</t>
        </is>
      </c>
      <c r="BH495" s="108" t="inlineStr">
        <is>
          <t>n/m</t>
        </is>
      </c>
      <c r="BI495" s="122" t="n"/>
      <c r="BJ495" s="122" t="n"/>
      <c r="BK495" s="123" t="n">
        <v>335.7</v>
      </c>
      <c r="BL495" s="124">
        <f>IF('BBG Verify'!S495="","not filed; run on terminal",'BBG Verify'!S495)</f>
        <v/>
      </c>
      <c r="BM495" s="125" t="inlineStr">
        <is>
          <t>N</t>
        </is>
      </c>
      <c r="BN495" s="126">
        <f>IF('BBG Verify'!K495="","not filed; run on terminal",'BBG Verify'!K495)</f>
        <v/>
      </c>
      <c r="BO495" s="108" t="inlineStr">
        <is>
          <t>N/A</t>
        </is>
      </c>
      <c r="BP495" s="108" t="inlineStr">
        <is>
          <t>N/A</t>
        </is>
      </c>
      <c r="BQ495" s="108" t="inlineStr">
        <is>
          <t>N/A</t>
        </is>
      </c>
      <c r="BR495" s="108" t="inlineStr">
        <is>
          <t>N/A</t>
        </is>
      </c>
      <c r="BS495" s="108" t="inlineStr">
        <is>
          <t>N/A</t>
        </is>
      </c>
      <c r="BT495" s="108" t="inlineStr">
        <is>
          <t>N/A</t>
        </is>
      </c>
      <c r="BU495" s="125" t="inlineStr">
        <is>
          <t>China International Capital Corporation Hong Kong Securities Limited; DBS Asia Capital Limited</t>
        </is>
      </c>
      <c r="BV495" s="108" t="inlineStr">
        <is>
          <t>China International Capital Corporation Hong Kong Securities Limited; DBS Asia Capital Limited</t>
        </is>
      </c>
      <c r="BW495" s="108" t="inlineStr">
        <is>
          <t>China International Capital Corporation Hong Kong Securities Limited; DBS Asia Capital Limited; ABCI Capital Limited; Funde Securities Limited; CMBC Securities Company Limited; Livermore Holdings Limited; Open Securities Limited; SPDB International Capital Limited</t>
        </is>
      </c>
      <c r="BX495" s="108" t="inlineStr">
        <is>
          <t>ABCI Securities Company Limited; China International Capital Corporation Hong Kong Securities Limited; CMBC Securities Company Limited; DBS Asia Capital Limited; Funde Securities Limited; Livermore Holdings Limited; Open Securities Limited; South China Securities Limited; SPDB International Capital Limited</t>
        </is>
      </c>
      <c r="BY495" s="127">
        <f>HYPERLINK("https://www1.hkexnews.hk/listedco/listconews/sehk/2026/0622/2026062200041.pdf","prospectus")</f>
        <v/>
      </c>
      <c r="BZ495" s="127">
        <f>HYPERLINK("https://www1.hkexnews.hk/listedco/listconews/sehk/2026/0629/2026062901959.pdf","allotment")</f>
        <v/>
      </c>
      <c r="CA495" s="119" t="n"/>
      <c r="CB495" s="128" t="n"/>
      <c r="CC495" s="108" t="inlineStr">
        <is>
          <t>P/E: loss-making at IPO, use P/S; greenshoe: end-of-stabilisation notice not found; range low: maximum offer price only, no floor published; cornerstone list: no cornerstone tranche; P/S: 336x on HK$13.4m revenue, effectively pre-revenue; not comparable</t>
        </is>
      </c>
    </row>
    <row r="496" ht="22" customHeight="1">
      <c r="A496" s="107" t="inlineStr">
        <is>
          <t>6915</t>
        </is>
      </c>
      <c r="B496" s="108" t="inlineStr">
        <is>
          <t>JIANGXI BIO</t>
        </is>
      </c>
      <c r="C496" s="108" t="inlineStr">
        <is>
          <t>江西生物</t>
        </is>
      </c>
      <c r="D496" s="108" t="inlineStr">
        <is>
          <t>Healthcare</t>
        </is>
      </c>
      <c r="E496" s="108" t="inlineStr">
        <is>
          <t>Biopharma commercial</t>
        </is>
      </c>
      <c r="F496" s="108" t="inlineStr">
        <is>
          <t>Biotechnology - Pharmaceuticals</t>
        </is>
      </c>
      <c r="G496" s="108" t="inlineStr">
        <is>
          <t>Standard</t>
        </is>
      </c>
      <c r="H496" s="109" t="n">
        <v>46203</v>
      </c>
      <c r="I496" s="110" t="n">
        <v>405.83</v>
      </c>
      <c r="J496" s="108" t="inlineStr">
        <is>
          <t>gross (stated)</t>
        </is>
      </c>
      <c r="K496" s="111" t="n">
        <v>9.33</v>
      </c>
      <c r="L496" s="111" t="n">
        <v>13.06</v>
      </c>
      <c r="M496" s="111" t="n">
        <v>11.2</v>
      </c>
      <c r="N496" s="108" t="inlineStr">
        <is>
          <t>N</t>
        </is>
      </c>
      <c r="O496" s="112" t="n">
        <v>85.8</v>
      </c>
      <c r="P496" s="112" t="n">
        <v>50.1</v>
      </c>
      <c r="Q496" s="113" t="n">
        <v>3453.9</v>
      </c>
      <c r="R496" s="108" t="inlineStr">
        <is>
          <t>derived:deal size / offer % of enlarged capital</t>
        </is>
      </c>
      <c r="S496" s="114" t="n">
        <v>476.56</v>
      </c>
      <c r="T496" s="115" t="n">
        <v>4.25</v>
      </c>
      <c r="U496" s="116" t="n">
        <v>12.32</v>
      </c>
      <c r="V496" s="117" t="n">
        <v>63</v>
      </c>
      <c r="W496" s="112" t="n">
        <v>10</v>
      </c>
      <c r="X496" s="108" t="inlineStr">
        <is>
          <t>NA</t>
        </is>
      </c>
      <c r="Y496" s="113" t="n">
        <v>355.83</v>
      </c>
      <c r="Z496" s="113" t="n">
        <v>31770410</v>
      </c>
      <c r="AA496" s="112" t="n">
        <v>10.3</v>
      </c>
      <c r="AB496" s="108" t="inlineStr">
        <is>
          <t>Wealth Strategy Holding Limited</t>
        </is>
      </c>
      <c r="AC496" s="108" t="inlineStr">
        <is>
          <t>wealth</t>
        </is>
      </c>
      <c r="AD496" s="112" t="n">
        <v>15</v>
      </c>
      <c r="AE496" s="108" t="inlineStr">
        <is>
          <t>lapsed</t>
        </is>
      </c>
      <c r="AF496" s="108" t="inlineStr">
        <is>
          <t>2026-07-25</t>
        </is>
      </c>
      <c r="AG496" s="108" t="inlineStr">
        <is>
          <t>Chin a International Capital Corporation Hong Kong Securities Limited</t>
        </is>
      </c>
      <c r="AH496" s="108" t="inlineStr">
        <is>
          <t>Chin a</t>
        </is>
      </c>
      <c r="AI496" s="120" t="n">
        <v>-3.48</v>
      </c>
      <c r="AJ496" s="121" t="n">
        <v>-12.68</v>
      </c>
      <c r="AK496" s="121" t="n">
        <v>-0.9399999999999999</v>
      </c>
      <c r="AL496" s="121" t="n">
        <v>-33.93</v>
      </c>
      <c r="AM496" s="121" t="n">
        <v>32.16</v>
      </c>
      <c r="AN496" s="123" t="n">
        <v>8.27</v>
      </c>
      <c r="AO496" s="112" t="n">
        <v>46.62</v>
      </c>
      <c r="AP496" s="121" t="n">
        <v>-62.41</v>
      </c>
      <c r="AQ496" s="121" t="n">
        <v>24.82</v>
      </c>
      <c r="AR496" s="121" t="n">
        <v>1.87</v>
      </c>
      <c r="AS496" s="121" t="n">
        <v>-56.95</v>
      </c>
      <c r="AT496" s="121" t="n">
        <v>42.95</v>
      </c>
      <c r="AU496" s="121" t="n">
        <v>16.66</v>
      </c>
      <c r="AV496" s="121" t="n">
        <v>-64.79000000000001</v>
      </c>
      <c r="AW496" s="121" t="n">
        <v>18.1</v>
      </c>
      <c r="AX496" s="121" t="n">
        <v>-14.2</v>
      </c>
      <c r="AY496" s="121" t="n">
        <v>35.22</v>
      </c>
      <c r="AZ496" s="121" t="n">
        <v>6.72</v>
      </c>
      <c r="BA496" s="121" t="n">
        <v>7.73</v>
      </c>
      <c r="BB496" s="108" t="inlineStr">
        <is>
          <t>China Biotech ETF (HS biotech proxy)</t>
        </is>
      </c>
      <c r="BC496" s="121" t="n">
        <v>0.89</v>
      </c>
      <c r="BD496" s="109" t="n">
        <v>46297</v>
      </c>
      <c r="BE496" s="110" t="n">
        <v>242.8</v>
      </c>
      <c r="BF496" s="113" t="n">
        <v>104.3</v>
      </c>
      <c r="BG496" s="108" t="inlineStr">
        <is>
          <t>Y</t>
        </is>
      </c>
      <c r="BH496" s="123" t="n">
        <v>33.1</v>
      </c>
      <c r="BI496" s="122" t="n"/>
      <c r="BJ496" s="122" t="n"/>
      <c r="BK496" s="123" t="n">
        <v>14.2</v>
      </c>
      <c r="BL496" s="124">
        <f>IF('BBG Verify'!S496="","not filed; run on terminal",'BBG Verify'!S496)</f>
        <v/>
      </c>
      <c r="BM496" s="125" t="inlineStr">
        <is>
          <t>N</t>
        </is>
      </c>
      <c r="BN496" s="126">
        <f>IF('BBG Verify'!K496="","not filed; run on terminal",'BBG Verify'!K496)</f>
        <v/>
      </c>
      <c r="BO496" s="108" t="inlineStr">
        <is>
          <t>N/A</t>
        </is>
      </c>
      <c r="BP496" s="108" t="inlineStr">
        <is>
          <t>N/A</t>
        </is>
      </c>
      <c r="BQ496" s="108" t="inlineStr">
        <is>
          <t>N/A</t>
        </is>
      </c>
      <c r="BR496" s="108" t="inlineStr">
        <is>
          <t>N/A</t>
        </is>
      </c>
      <c r="BS496" s="108" t="inlineStr">
        <is>
          <t>N/A</t>
        </is>
      </c>
      <c r="BT496" s="108" t="inlineStr">
        <is>
          <t>N/A</t>
        </is>
      </c>
      <c r="BU496" s="125" t="inlineStr">
        <is>
          <t>China Merchants Securities (HK) Co., Limited</t>
        </is>
      </c>
      <c r="BV496" s="108" t="inlineStr">
        <is>
          <t>China International Capital Corporation Hong Kong Securities Limited; China Merchants Securities (HK) Company Limited</t>
        </is>
      </c>
      <c r="BW496" s="108" t="inlineStr">
        <is>
          <t>China Merchants Securities (HK) Co., Limited; Futu Securities International (Hong Kong) Limited; CMBC Securities Company Limited; Arta Asset Management Limited</t>
        </is>
      </c>
      <c r="BX496" s="108" t="inlineStr">
        <is>
          <t>Arta Asset Management Limited; China International Capital Corporation Hong Kong Securities Limited; CMBC Securities Company Limited; China Merchants Securities (HK) Company Limited; Futu Securities International (Hong Kong) Limited; Guosen Securities (HK) Brokerage Company, Limited</t>
        </is>
      </c>
      <c r="BY496" s="127">
        <f>HYPERLINK("https://www1.hkexnews.hk/listedco/listconews/sehk/2026/0622/2026062200065.pdf","prospectus")</f>
        <v/>
      </c>
      <c r="BZ496" s="127">
        <f>HYPERLINK("https://www1.hkexnews.hk/listedco/listconews/sehk/2026/0629/2026062902075.pdf","allotment")</f>
        <v/>
      </c>
      <c r="CA496" s="127">
        <f>HYPERLINK("https://www1.hkexnews.hk/listedco/listconews/sehk/2026/0726/2026072600027.pdf","stabilisation")</f>
        <v/>
      </c>
      <c r="CB496" s="128" t="n"/>
      <c r="CC496" s="108" t="inlineStr"/>
    </row>
    <row r="497" ht="22" customHeight="1">
      <c r="A497" s="107" t="inlineStr">
        <is>
          <t>3952</t>
        </is>
      </c>
      <c r="B497" s="108" t="inlineStr">
        <is>
          <t>LAIFUAL</t>
        </is>
      </c>
      <c r="C497" s="108" t="inlineStr">
        <is>
          <t>來福諧波</t>
        </is>
      </c>
      <c r="D497" s="108" t="inlineStr">
        <is>
          <t>Industrials</t>
        </is>
      </c>
      <c r="E497" s="108" t="inlineStr">
        <is>
          <t>Capital goods / machinery</t>
        </is>
      </c>
      <c r="F497" s="108" t="inlineStr">
        <is>
          <t>Advanced hardware and software</t>
        </is>
      </c>
      <c r="G497" s="108" t="inlineStr">
        <is>
          <t>18C</t>
        </is>
      </c>
      <c r="H497" s="109" t="n">
        <v>46203</v>
      </c>
      <c r="I497" s="110" t="n">
        <v>1149.3</v>
      </c>
      <c r="J497" s="108" t="inlineStr">
        <is>
          <t>gross (stated)</t>
        </is>
      </c>
      <c r="K497" s="129" t="n"/>
      <c r="L497" s="111" t="n">
        <v>85.5</v>
      </c>
      <c r="M497" s="111" t="n">
        <v>85.5</v>
      </c>
      <c r="N497" s="108" t="inlineStr">
        <is>
          <t>Y</t>
        </is>
      </c>
      <c r="O497" s="112" t="n">
        <v>100</v>
      </c>
      <c r="P497" s="118" t="n"/>
      <c r="Q497" s="113" t="n">
        <v>7818.4</v>
      </c>
      <c r="R497" s="108" t="inlineStr">
        <is>
          <t>derived:deal size / offer % of enlarged capital</t>
        </is>
      </c>
      <c r="S497" s="114" t="n">
        <v>4571.99</v>
      </c>
      <c r="T497" s="115" t="n">
        <v>7.89</v>
      </c>
      <c r="U497" s="116" t="n">
        <v>37.52</v>
      </c>
      <c r="V497" s="117" t="n">
        <v>93</v>
      </c>
      <c r="W497" s="112" t="n">
        <v>20</v>
      </c>
      <c r="X497" s="108" t="inlineStr">
        <is>
          <t>YES</t>
        </is>
      </c>
      <c r="Y497" s="113" t="n">
        <v>718.08</v>
      </c>
      <c r="Z497" s="113" t="n">
        <v>8398499</v>
      </c>
      <c r="AA497" s="112" t="n">
        <v>9.18</v>
      </c>
      <c r="AB497" s="108" t="inlineStr">
        <is>
          <t>Oaktree Capital Management, L.P; Alphahill Capital Limited; Harvest Global Investments Limited; CDH Global Frontier Ventures Limited; E Fund Management Co., Ltd; Eurus Holdings SPC acting for and on behalf of OAAM Diversified Opportunities IV S.P; LBC HK Opportunity Fund Limited; Dream ee (Hong Kong) Open-ended Fund Company; Factorial Master Fund; Oasis Investments II Master Fund Ltd</t>
        </is>
      </c>
      <c r="AC497" s="108" t="inlineStr">
        <is>
          <t>oaktree;alphahill;harvest;cdh;fund-management;eurus;lbc;dream;factorial;oasis</t>
        </is>
      </c>
      <c r="AD497" s="112" t="n">
        <v>8.699999999999999</v>
      </c>
      <c r="AE497" s="108" t="inlineStr">
        <is>
          <t>partial</t>
        </is>
      </c>
      <c r="AF497" s="108" t="inlineStr">
        <is>
          <t>2026-07-25</t>
        </is>
      </c>
      <c r="AG497" s="108" t="inlineStr">
        <is>
          <t>CMB International Securities Limited</t>
        </is>
      </c>
      <c r="AH497" s="108" t="inlineStr">
        <is>
          <t>CMB</t>
        </is>
      </c>
      <c r="AI497" s="120" t="n">
        <v>18.13</v>
      </c>
      <c r="AJ497" s="121" t="n">
        <v>-14.62</v>
      </c>
      <c r="AK497" s="121" t="n">
        <v>-0.15</v>
      </c>
      <c r="AL497" s="121" t="n">
        <v>3.16</v>
      </c>
      <c r="AM497" s="121" t="n">
        <v>-17.24</v>
      </c>
      <c r="AN497" s="123" t="n">
        <v>3.87</v>
      </c>
      <c r="AO497" s="112" t="n">
        <v>29.02</v>
      </c>
      <c r="AP497" s="121" t="n">
        <v>21.87</v>
      </c>
      <c r="AQ497" s="121" t="n">
        <v>-42.22</v>
      </c>
      <c r="AR497" s="121" t="n">
        <v>-45.52</v>
      </c>
      <c r="AS497" s="121" t="n">
        <v>42.74</v>
      </c>
      <c r="AT497" s="121" t="n">
        <v>-32.33</v>
      </c>
      <c r="AU497" s="121" t="n">
        <v>-36.19</v>
      </c>
      <c r="AV497" s="121" t="n">
        <v>14.78</v>
      </c>
      <c r="AW497" s="121" t="n">
        <v>-55.12</v>
      </c>
      <c r="AX497" s="121" t="n">
        <v>-51.24</v>
      </c>
      <c r="AY497" s="121" t="n">
        <v>-45.4</v>
      </c>
      <c r="AZ497" s="121" t="n">
        <v>12.9</v>
      </c>
      <c r="BA497" s="121" t="n">
        <v>13.07</v>
      </c>
      <c r="BB497" s="108" t="inlineStr">
        <is>
          <t>Hang Seng Commerce &amp; Industry sub-index</t>
        </is>
      </c>
      <c r="BC497" s="121" t="n">
        <v>-49.12</v>
      </c>
      <c r="BD497" s="109" t="n">
        <v>46297</v>
      </c>
      <c r="BE497" s="110" t="n">
        <v>287</v>
      </c>
      <c r="BF497" s="113" t="n">
        <v>-185.7</v>
      </c>
      <c r="BG497" s="108" t="inlineStr">
        <is>
          <t>N</t>
        </is>
      </c>
      <c r="BH497" s="108" t="inlineStr">
        <is>
          <t>n/m</t>
        </is>
      </c>
      <c r="BI497" s="122" t="n"/>
      <c r="BJ497" s="122" t="n"/>
      <c r="BK497" s="123" t="n">
        <v>27.2</v>
      </c>
      <c r="BL497" s="124">
        <f>IF('BBG Verify'!S497="","not filed; run on terminal",'BBG Verify'!S497)</f>
        <v/>
      </c>
      <c r="BM497" s="125" t="inlineStr">
        <is>
          <t>N</t>
        </is>
      </c>
      <c r="BN497" s="126">
        <f>IF('BBG Verify'!K497="","not filed; run on terminal",'BBG Verify'!K497)</f>
        <v/>
      </c>
      <c r="BO497" s="108" t="inlineStr">
        <is>
          <t>N/A</t>
        </is>
      </c>
      <c r="BP497" s="108" t="inlineStr">
        <is>
          <t>N/A</t>
        </is>
      </c>
      <c r="BQ497" s="108" t="inlineStr">
        <is>
          <t>N/A</t>
        </is>
      </c>
      <c r="BR497" s="108" t="inlineStr">
        <is>
          <t>N/A</t>
        </is>
      </c>
      <c r="BS497" s="108" t="inlineStr">
        <is>
          <t>N/A</t>
        </is>
      </c>
      <c r="BT497" s="108" t="inlineStr">
        <is>
          <t>N/A</t>
        </is>
      </c>
      <c r="BU497" s="125" t="inlineStr">
        <is>
          <t>CMB International Capital Limited</t>
        </is>
      </c>
      <c r="BV497" s="108" t="inlineStr">
        <is>
          <t>CMB International Capital Limited</t>
        </is>
      </c>
      <c r="BW497" s="108" t="inlineStr">
        <is>
          <t>CMB International Capital Limited</t>
        </is>
      </c>
      <c r="BX497" s="108" t="inlineStr">
        <is>
          <t>CMB International Capital Limited</t>
        </is>
      </c>
      <c r="BY497" s="127">
        <f>HYPERLINK("https://www1.hkexnews.hk/listedco/listconews/sehk/2026/0622/2026062200047.pdf","prospectus")</f>
        <v/>
      </c>
      <c r="BZ497" s="127">
        <f>HYPERLINK("https://www1.hkexnews.hk/listedco/listconews/sehk/2026/0629/2026062902089.pdf","allotment")</f>
        <v/>
      </c>
      <c r="CA497" s="127">
        <f>HYPERLINK("https://www1.hkexnews.hk/listedco/listconews/sehk/2026/0726/2026072600013.pdf","stabilisation")</f>
        <v/>
      </c>
      <c r="CB497" s="128" t="n"/>
      <c r="CC497" s="108" t="inlineStr">
        <is>
          <t>P/E: loss-making at IPO, use P/S; range low: maximum offer price only, no floor published</t>
        </is>
      </c>
    </row>
    <row r="498" ht="22" customHeight="1">
      <c r="A498" s="107" t="inlineStr">
        <is>
          <t>6715</t>
        </is>
      </c>
      <c r="B498" s="108" t="inlineStr">
        <is>
          <t>XUNLONG SCITECH</t>
        </is>
      </c>
      <c r="C498" s="108" t="inlineStr">
        <is>
          <t>鱘龍科技</t>
        </is>
      </c>
      <c r="D498" s="108" t="inlineStr">
        <is>
          <t>Consumer</t>
        </is>
      </c>
      <c r="E498" s="108" t="inlineStr">
        <is>
          <t>Beverages / packaged food</t>
        </is>
      </c>
      <c r="F498" s="108" t="inlineStr">
        <is>
          <t>Poultry, Meat and Seafood</t>
        </is>
      </c>
      <c r="G498" s="108" t="inlineStr">
        <is>
          <t>Standard</t>
        </is>
      </c>
      <c r="H498" s="109" t="n">
        <v>46203</v>
      </c>
      <c r="I498" s="110" t="n">
        <v>1233.1</v>
      </c>
      <c r="J498" s="108" t="inlineStr">
        <is>
          <t>gross (stated)</t>
        </is>
      </c>
      <c r="K498" s="129" t="n"/>
      <c r="L498" s="111" t="n">
        <v>75.5</v>
      </c>
      <c r="M498" s="111" t="n">
        <v>75.5</v>
      </c>
      <c r="N498" s="108" t="inlineStr">
        <is>
          <t>Y</t>
        </is>
      </c>
      <c r="O498" s="112" t="n">
        <v>100</v>
      </c>
      <c r="P498" s="118" t="n"/>
      <c r="Q498" s="113" t="n">
        <v>8220</v>
      </c>
      <c r="R498" s="108" t="inlineStr">
        <is>
          <t>press:10jqka 2026-06-30: 开盘涨36.42% 总市值112.15亿</t>
        </is>
      </c>
      <c r="S498" s="114" t="n">
        <v>2134.81</v>
      </c>
      <c r="T498" s="115" t="n">
        <v>19.87</v>
      </c>
      <c r="U498" s="116" t="n">
        <v>49.88</v>
      </c>
      <c r="V498" s="117" t="n">
        <v>145</v>
      </c>
      <c r="W498" s="118" t="n"/>
      <c r="X498" s="108" t="inlineStr">
        <is>
          <t>NO</t>
        </is>
      </c>
      <c r="Y498" s="113" t="n">
        <v>618.03</v>
      </c>
      <c r="Z498" s="113" t="n">
        <v>8186049</v>
      </c>
      <c r="AA498" s="112" t="n">
        <v>7.52</v>
      </c>
      <c r="AB498" s="108" t="inlineStr">
        <is>
          <t>BlackRock Funds; Barings; Taikang Life; Shanghai Greenwoods and GTINV (in connection with Greenwoods OTC Swaps); Dacheng Investors; ICBC Wealth Notes 3 and 5; Nova Kerry Inc; Mirae Asset Securities Co., Ltd</t>
        </is>
      </c>
      <c r="AC498" s="108" t="inlineStr">
        <is>
          <t>blackrock;barings;taikang;shanghai-greenwoods;dacheng;icbc;nova;mirae</t>
        </is>
      </c>
      <c r="AD498" s="112" t="n">
        <v>15</v>
      </c>
      <c r="AE498" s="108" t="inlineStr">
        <is>
          <t>lapsed</t>
        </is>
      </c>
      <c r="AF498" s="108" t="inlineStr">
        <is>
          <t>2026-07-25</t>
        </is>
      </c>
      <c r="AG498" s="108" t="inlineStr">
        <is>
          <t>CL SA Limited</t>
        </is>
      </c>
      <c r="AH498" s="108" t="inlineStr">
        <is>
          <t>CL</t>
        </is>
      </c>
      <c r="AI498" s="120" t="n">
        <v>37.09</v>
      </c>
      <c r="AJ498" s="121" t="n">
        <v>50.99</v>
      </c>
      <c r="AK498" s="121" t="n">
        <v>-0.15</v>
      </c>
      <c r="AL498" s="121" t="n">
        <v>36.42</v>
      </c>
      <c r="AM498" s="121" t="n">
        <v>10.68</v>
      </c>
      <c r="AN498" s="122" t="n"/>
      <c r="AO498" s="112" t="n">
        <v>18.64</v>
      </c>
      <c r="AP498" s="121" t="n">
        <v>3.97</v>
      </c>
      <c r="AQ498" s="121" t="n">
        <v>-22.72</v>
      </c>
      <c r="AR498" s="121" t="n">
        <v>-17.42</v>
      </c>
      <c r="AS498" s="121" t="n">
        <v>-31.14</v>
      </c>
      <c r="AT498" s="121" t="n">
        <v>-48.82</v>
      </c>
      <c r="AU498" s="121" t="n">
        <v>-45.31</v>
      </c>
      <c r="AV498" s="121" t="n">
        <v>-3.12</v>
      </c>
      <c r="AW498" s="121" t="n">
        <v>-35.62</v>
      </c>
      <c r="AX498" s="121" t="n">
        <v>-23.14</v>
      </c>
      <c r="AY498" s="121" t="n">
        <v>-61.89</v>
      </c>
      <c r="AZ498" s="121" t="n">
        <v>12.9</v>
      </c>
      <c r="BA498" s="121" t="n">
        <v>13.07</v>
      </c>
      <c r="BB498" s="108" t="inlineStr">
        <is>
          <t>Hang Seng Commerce &amp; Industry sub-index</t>
        </is>
      </c>
      <c r="BC498" s="121" t="n">
        <v>-18.81</v>
      </c>
      <c r="BD498" s="109" t="n">
        <v>46297</v>
      </c>
      <c r="BE498" s="110" t="n">
        <v>845.9</v>
      </c>
      <c r="BF498" s="113" t="n">
        <v>399.7</v>
      </c>
      <c r="BG498" s="108" t="inlineStr">
        <is>
          <t>Y</t>
        </is>
      </c>
      <c r="BH498" s="123" t="n">
        <v>20.6</v>
      </c>
      <c r="BI498" s="122" t="n"/>
      <c r="BJ498" s="122" t="n"/>
      <c r="BK498" s="123" t="n">
        <v>9.699999999999999</v>
      </c>
      <c r="BL498" s="124">
        <f>IF('BBG Verify'!S498="","not filed; run on terminal",'BBG Verify'!S498)</f>
        <v/>
      </c>
      <c r="BM498" s="125" t="inlineStr">
        <is>
          <t>N</t>
        </is>
      </c>
      <c r="BN498" s="126">
        <f>IF('BBG Verify'!K498="","not filed; run on terminal",'BBG Verify'!K498)</f>
        <v/>
      </c>
      <c r="BO498" s="108" t="inlineStr">
        <is>
          <t>N/A</t>
        </is>
      </c>
      <c r="BP498" s="108" t="inlineStr">
        <is>
          <t>N/A</t>
        </is>
      </c>
      <c r="BQ498" s="108" t="inlineStr">
        <is>
          <t>N/A</t>
        </is>
      </c>
      <c r="BR498" s="108" t="inlineStr">
        <is>
          <t>N/A</t>
        </is>
      </c>
      <c r="BS498" s="108" t="inlineStr">
        <is>
          <t>N/A</t>
        </is>
      </c>
      <c r="BT498" s="108" t="inlineStr">
        <is>
          <t>N/A</t>
        </is>
      </c>
      <c r="BU498" s="125" t="inlineStr">
        <is>
          <t>CITIC Securities (Hong Kong) Limited; China Securities (Internat ional) Corporate Finance Company Limited; CLSA Limited</t>
        </is>
      </c>
      <c r="BV498" s="108" t="inlineStr">
        <is>
          <t>CITIC Securities (Hong Kong) Limited; China Securities (International) Corporate Finance Company Limited</t>
        </is>
      </c>
      <c r="BW498" s="108" t="inlineStr">
        <is>
          <t>China Industrial Securities International Capital Limited; CLSA Limited; China Securities (International) Corporate Finance Company Limited; Huafu International Securities Limited</t>
        </is>
      </c>
      <c r="BX498" s="108" t="inlineStr">
        <is>
          <t>China Industrial Securities International Capital Limited; CLSA Limited; China Securities (International) Corporate Finance Company Limited; Huafu International Securities Limited</t>
        </is>
      </c>
      <c r="BY498" s="127">
        <f>HYPERLINK("https://www1.hkexnews.hk/listedco/listconews/sehk/2026/0622/2026062200025.pdf","prospectus")</f>
        <v/>
      </c>
      <c r="BZ498" s="127">
        <f>HYPERLINK("https://www1.hkexnews.hk/listedco/listconews/sehk/2026/0629/2026062902679.pdf","allotment")</f>
        <v/>
      </c>
      <c r="CA498" s="127">
        <f>HYPERLINK("https://www1.hkexnews.hk/listedco/listconews/sehk/2026/0726/2026072600021.pdf","stabilisation")</f>
        <v/>
      </c>
      <c r="CB498" s="128" t="n"/>
      <c r="CC498" s="108" t="inlineStr">
        <is>
          <t>range low: maximum offer price only, no floor published; allocation: allocation table not in this notice's format (older prose announcement); day-1 tape: volume on file; the retail multiple needs the final public split, which this notice does not state</t>
        </is>
      </c>
    </row>
    <row r="499" ht="22" customHeight="1">
      <c r="A499" s="107" t="inlineStr">
        <is>
          <t>0668</t>
        </is>
      </c>
      <c r="B499" s="108" t="inlineStr">
        <is>
          <t>ANKER</t>
        </is>
      </c>
      <c r="C499" s="108" t="inlineStr">
        <is>
          <t>安克創新</t>
        </is>
      </c>
      <c r="D499" s="108" t="inlineStr">
        <is>
          <t>Tech/AI</t>
        </is>
      </c>
      <c r="E499" s="108" t="inlineStr">
        <is>
          <t>Smart hardware / consumer electronics</t>
        </is>
      </c>
      <c r="F499" s="108" t="inlineStr">
        <is>
          <t>Consumer Electronics</t>
        </is>
      </c>
      <c r="G499" s="108" t="inlineStr">
        <is>
          <t>Standard</t>
        </is>
      </c>
      <c r="H499" s="109" t="n">
        <v>46205</v>
      </c>
      <c r="I499" s="110" t="n">
        <v>4631.6</v>
      </c>
      <c r="J499" s="108" t="inlineStr">
        <is>
          <t>gross (stated)</t>
        </is>
      </c>
      <c r="K499" s="129" t="n"/>
      <c r="L499" s="111" t="n">
        <v>99.31999999999999</v>
      </c>
      <c r="M499" s="111" t="n">
        <v>99.31999999999999</v>
      </c>
      <c r="N499" s="108" t="inlineStr">
        <is>
          <t>Y</t>
        </is>
      </c>
      <c r="O499" s="112" t="n">
        <v>100</v>
      </c>
      <c r="P499" s="118" t="n"/>
      <c r="Q499" s="113" t="n">
        <v>57894.5</v>
      </c>
      <c r="R499" s="108" t="inlineStr">
        <is>
          <t>derived:price x shares upon listing</t>
        </is>
      </c>
      <c r="S499" s="114" t="n">
        <v>27.57</v>
      </c>
      <c r="T499" s="115" t="n">
        <v>10.24</v>
      </c>
      <c r="U499" s="116" t="n">
        <v>49.9</v>
      </c>
      <c r="V499" s="117" t="n">
        <v>137</v>
      </c>
      <c r="W499" s="112" t="n">
        <v>10</v>
      </c>
      <c r="X499" s="108" t="inlineStr">
        <is>
          <t>NA</t>
        </is>
      </c>
      <c r="Y499" s="113" t="n">
        <v>2320.43</v>
      </c>
      <c r="Z499" s="113" t="n">
        <v>23363033</v>
      </c>
      <c r="AA499" s="112" t="n">
        <v>4.01</v>
      </c>
      <c r="AB499" s="108" t="inlineStr">
        <is>
          <t>Schroder Investment Management (Singapore) Ltd; Schroder Investment Management (Hong Kong) Limited; Aspex Master Fund; Principal Asset Management Company (Asia) Limited; Greenwoods Asset Management Hong Kong Limited; Guotai Junan Investments (Hong Kong) Limited and Shanghai Greenwoods Asset Management Co., Ltd. (in connection with the Greenwoods OTC Swaps); HACF, L.P; UBS Asset Management (Singapore) Ltd; Franklin Templeton Sealand Fund Management Co., Ltd; Jane Street Asia Trading Limited; Taikang Life Insurance Co., Ltd; WT Asset Management Limited; Value Partners Hong Kong Limited</t>
        </is>
      </c>
      <c r="AC499" s="108" t="inlineStr">
        <is>
          <t>schroder;aspex;principal;greenwoods;guotai;hacf;ubs;franklin;jane;taikang;wt;value</t>
        </is>
      </c>
      <c r="AD499" s="112" t="n">
        <v>15</v>
      </c>
      <c r="AE499" s="108" t="inlineStr">
        <is>
          <t>partial</t>
        </is>
      </c>
      <c r="AF499" s="119" t="n"/>
      <c r="AG499" s="108" t="inlineStr">
        <is>
          <t>China International Capital Corporation Hong Kong Securities Limited</t>
        </is>
      </c>
      <c r="AH499" s="108" t="inlineStr">
        <is>
          <t>China International</t>
        </is>
      </c>
      <c r="AI499" s="120" t="n">
        <v>-4.8</v>
      </c>
      <c r="AJ499" s="121" t="n">
        <v>15.69</v>
      </c>
      <c r="AK499" s="121" t="n">
        <v>-0.59</v>
      </c>
      <c r="AL499" s="121" t="n">
        <v>-0.02</v>
      </c>
      <c r="AM499" s="121" t="n">
        <v>15.71</v>
      </c>
      <c r="AN499" s="123" t="n">
        <v>2.17</v>
      </c>
      <c r="AO499" s="112" t="n">
        <v>25.08</v>
      </c>
      <c r="AP499" s="121" t="n">
        <v>1.29</v>
      </c>
      <c r="AQ499" s="121" t="n">
        <v>10.55</v>
      </c>
      <c r="AR499" s="121" t="n">
        <v>19.92</v>
      </c>
      <c r="AS499" s="121" t="n">
        <v>-12.45</v>
      </c>
      <c r="AT499" s="121" t="n">
        <v>-4.44</v>
      </c>
      <c r="AU499" s="121" t="n">
        <v>3.66</v>
      </c>
      <c r="AV499" s="121" t="n">
        <v>-4.4</v>
      </c>
      <c r="AW499" s="121" t="n">
        <v>2.81</v>
      </c>
      <c r="AX499" s="121" t="n">
        <v>25.34</v>
      </c>
      <c r="AY499" s="121" t="n">
        <v>-12.83</v>
      </c>
      <c r="AZ499" s="121" t="n">
        <v>7.74</v>
      </c>
      <c r="BA499" s="121" t="n">
        <v>8.390000000000001</v>
      </c>
      <c r="BB499" s="108" t="inlineStr">
        <is>
          <t>HSTECH (Hang Seng TECH ETF)</t>
        </is>
      </c>
      <c r="BC499" s="121" t="n">
        <v>14.78</v>
      </c>
      <c r="BD499" s="109" t="n">
        <v>46297</v>
      </c>
      <c r="BE499" s="110" t="n">
        <v>33565.8</v>
      </c>
      <c r="BF499" s="113" t="n">
        <v>2878.9</v>
      </c>
      <c r="BG499" s="108" t="inlineStr">
        <is>
          <t>Y</t>
        </is>
      </c>
      <c r="BH499" s="123" t="n">
        <v>20.1</v>
      </c>
      <c r="BI499" s="122" t="n"/>
      <c r="BJ499" s="122" t="n"/>
      <c r="BK499" s="123" t="n">
        <v>1.7</v>
      </c>
      <c r="BL499" s="124">
        <f>IF('BBG Verify'!S499="","not filed; run on terminal",'BBG Verify'!S499)</f>
        <v/>
      </c>
      <c r="BM499" s="125" t="inlineStr">
        <is>
          <t>Y</t>
        </is>
      </c>
      <c r="BN499" s="108" t="inlineStr">
        <is>
          <t>300866.SZ</t>
        </is>
      </c>
      <c r="BO499" s="121" t="n">
        <v>25.2</v>
      </c>
      <c r="BP499" s="111" t="n">
        <v>124.3512</v>
      </c>
      <c r="BQ499" s="135" t="n">
        <v>0.2794</v>
      </c>
      <c r="BR499" s="113" t="n">
        <v>85999.60000000001</v>
      </c>
      <c r="BS499" s="124">
        <f>IF('BBG Verify'!Q499="","run on terminal",'BBG Verify'!Q499)</f>
        <v/>
      </c>
      <c r="BT499" s="124">
        <f>IF('BBG Verify'!R499="","run on terminal",'BBG Verify'!R499)</f>
        <v/>
      </c>
      <c r="BU499" s="125" t="inlineStr">
        <is>
          <t>China International Capital Corporation Hong Kong Securities Limited; Goldman Sachs (Asia) L.L.C.; J.P. Morgan Securities (Far East) Limited</t>
        </is>
      </c>
      <c r="BV499" s="108" t="inlineStr">
        <is>
          <t>China International Capital Corporation Hong Kong Securities Limited; J.P. Morgan Securities (Far East) Limited; Goldman Sachs (Asia) L.L.C.</t>
        </is>
      </c>
      <c r="BW499" s="108" t="inlineStr">
        <is>
          <t>China International Capital Corporation Hong Kong Securities Limited; Goldman Sachs (Asia) L.L.C.; J.P. Morgan Securities (Asia Pacific) Limited</t>
        </is>
      </c>
      <c r="BX499" s="108" t="inlineStr">
        <is>
          <t>China International Capital Corporation Hong Kong Securities Limited; Goldman Sachs (Asia) L.L.C.; J.P. Morgan Securities (Asia Pacific) Limited</t>
        </is>
      </c>
      <c r="BY499" s="127">
        <f>HYPERLINK("https://www1.hkexnews.hk/listedco/listconews/sehk/2026/0623/2026062300037.pdf","prospectus")</f>
        <v/>
      </c>
      <c r="BZ499" s="127">
        <f>HYPERLINK("https://www1.hkexnews.hk/listedco/listconews/sehk/2026/0630/2026063003481.pdf","allotment")</f>
        <v/>
      </c>
      <c r="CA499" s="127">
        <f>HYPERLINK("https://www1.hkexnews.hk/listedco/listconews/sehk/2026/0726/2026072600023.pdf","stabilisation")</f>
        <v/>
      </c>
      <c r="CB499" s="128" t="n"/>
      <c r="CC499" s="108" t="inlineStr">
        <is>
          <t>greenshoe: outcome published; expiry date not in the notice; range low: maximum offer price only, no floor published; A/H: Jun 2026 H listing (consumer charging/power brands); alpha/index: sector index has no bar for the 3m window</t>
        </is>
      </c>
    </row>
    <row r="500" ht="22" customHeight="1">
      <c r="A500" s="107" t="inlineStr">
        <is>
          <t>2667</t>
        </is>
      </c>
      <c r="B500" s="108" t="inlineStr">
        <is>
          <t>TONGRENTANGCARE</t>
        </is>
      </c>
      <c r="C500" s="108" t="inlineStr">
        <is>
          <t>同仁堂醫養</t>
        </is>
      </c>
      <c r="D500" s="108" t="inlineStr">
        <is>
          <t>Healthcare</t>
        </is>
      </c>
      <c r="E500" s="108" t="inlineStr">
        <is>
          <t>TCM</t>
        </is>
      </c>
      <c r="F500" s="108" t="inlineStr">
        <is>
          <t>Health Care Services</t>
        </is>
      </c>
      <c r="G500" s="108" t="inlineStr">
        <is>
          <t>Standard</t>
        </is>
      </c>
      <c r="H500" s="109" t="n">
        <v>46210</v>
      </c>
      <c r="I500" s="110" t="n">
        <v>594.8</v>
      </c>
      <c r="J500" s="108" t="inlineStr">
        <is>
          <t>gross (stated)</t>
        </is>
      </c>
      <c r="K500" s="111" t="n">
        <v>5.48</v>
      </c>
      <c r="L500" s="111" t="n">
        <v>6.21</v>
      </c>
      <c r="M500" s="111" t="n">
        <v>5.5</v>
      </c>
      <c r="N500" s="108" t="inlineStr">
        <is>
          <t>N</t>
        </is>
      </c>
      <c r="O500" s="112" t="n">
        <v>88.59999999999999</v>
      </c>
      <c r="P500" s="112" t="n">
        <v>2.7</v>
      </c>
      <c r="Q500" s="113" t="n">
        <v>2258.6</v>
      </c>
      <c r="R500" s="108" t="inlineStr">
        <is>
          <t>prospectus:stated market capitalisation, rescaled to the offer price</t>
        </is>
      </c>
      <c r="S500" s="114" t="n">
        <v>251.74</v>
      </c>
      <c r="T500" s="115" t="n">
        <v>2.84</v>
      </c>
      <c r="U500" s="116" t="n">
        <v>49.77</v>
      </c>
      <c r="V500" s="117" t="n">
        <v>75</v>
      </c>
      <c r="W500" s="112" t="n">
        <v>10</v>
      </c>
      <c r="X500" s="108" t="inlineStr">
        <is>
          <t>NO</t>
        </is>
      </c>
      <c r="Y500" s="113" t="n">
        <v>298.77</v>
      </c>
      <c r="Z500" s="113" t="n">
        <v>54325503</v>
      </c>
      <c r="AA500" s="112" t="n">
        <v>13.23</v>
      </c>
      <c r="AB500" s="108" t="inlineStr">
        <is>
          <t>Airport Technology Capital; Aurora SF; CICCFT (in connection with OTC Swaps)</t>
        </is>
      </c>
      <c r="AC500" s="108" t="inlineStr">
        <is>
          <t>airport;aurora;ciccft</t>
        </is>
      </c>
      <c r="AD500" s="112" t="n">
        <v>15</v>
      </c>
      <c r="AE500" s="108" t="inlineStr">
        <is>
          <t>lapsed</t>
        </is>
      </c>
      <c r="AF500" s="108" t="inlineStr">
        <is>
          <t>2026-08-01</t>
        </is>
      </c>
      <c r="AG500" s="108" t="inlineStr">
        <is>
          <t>China International Capital Corporation Hong Kong Securities Limited</t>
        </is>
      </c>
      <c r="AH500" s="108" t="inlineStr">
        <is>
          <t>China International</t>
        </is>
      </c>
      <c r="AI500" s="120" t="n">
        <v>-15.64</v>
      </c>
      <c r="AJ500" s="121" t="n">
        <v>-39.09</v>
      </c>
      <c r="AK500" s="121" t="n">
        <v>-3.69</v>
      </c>
      <c r="AL500" s="121" t="n">
        <v>-13.45</v>
      </c>
      <c r="AM500" s="121" t="n">
        <v>-29.62</v>
      </c>
      <c r="AN500" s="123" t="n">
        <v>4</v>
      </c>
      <c r="AO500" s="112" t="n">
        <v>37.39</v>
      </c>
      <c r="AP500" s="121" t="n">
        <v>-44.73</v>
      </c>
      <c r="AQ500" s="121" t="n">
        <v>-49.09</v>
      </c>
      <c r="AR500" s="137" t="n"/>
      <c r="AS500" s="121" t="n">
        <v>-9.26</v>
      </c>
      <c r="AT500" s="121" t="n">
        <v>-16.42</v>
      </c>
      <c r="AU500" s="137" t="n"/>
      <c r="AV500" s="121" t="n">
        <v>-43.95</v>
      </c>
      <c r="AW500" s="121" t="n">
        <v>-50.53</v>
      </c>
      <c r="AX500" s="137" t="n"/>
      <c r="AY500" s="121" t="n">
        <v>-21.75</v>
      </c>
      <c r="AZ500" s="121" t="n">
        <v>1.44</v>
      </c>
      <c r="BA500" s="121" t="n">
        <v>5.33</v>
      </c>
      <c r="BB500" s="108" t="inlineStr">
        <is>
          <t>China Biotech ETF (HS biotech proxy)</t>
        </is>
      </c>
      <c r="BC500" s="121" t="n">
        <v>-59.45</v>
      </c>
      <c r="BD500" s="109" t="n">
        <v>46297</v>
      </c>
      <c r="BE500" s="110" t="n">
        <v>1288.4</v>
      </c>
      <c r="BF500" s="113" t="n">
        <v>37.1</v>
      </c>
      <c r="BG500" s="108" t="inlineStr">
        <is>
          <t>Y</t>
        </is>
      </c>
      <c r="BH500" s="123" t="n">
        <v>60.9</v>
      </c>
      <c r="BI500" s="122" t="n"/>
      <c r="BJ500" s="122" t="n"/>
      <c r="BK500" s="123" t="n">
        <v>1.8</v>
      </c>
      <c r="BL500" s="124">
        <f>IF('BBG Verify'!S500="","not filed; run on terminal",'BBG Verify'!S500)</f>
        <v/>
      </c>
      <c r="BM500" s="125" t="inlineStr">
        <is>
          <t>N</t>
        </is>
      </c>
      <c r="BN500" s="126">
        <f>IF('BBG Verify'!K500="","not filed; run on terminal",'BBG Verify'!K500)</f>
        <v/>
      </c>
      <c r="BO500" s="108" t="inlineStr">
        <is>
          <t>N/A</t>
        </is>
      </c>
      <c r="BP500" s="108" t="inlineStr">
        <is>
          <t>N/A</t>
        </is>
      </c>
      <c r="BQ500" s="108" t="inlineStr">
        <is>
          <t>N/A</t>
        </is>
      </c>
      <c r="BR500" s="108" t="inlineStr">
        <is>
          <t>N/A</t>
        </is>
      </c>
      <c r="BS500" s="108" t="inlineStr">
        <is>
          <t>N/A</t>
        </is>
      </c>
      <c r="BT500" s="108" t="inlineStr">
        <is>
          <t>N/A</t>
        </is>
      </c>
      <c r="BU500" s="125" t="inlineStr">
        <is>
          <t>China International Capital Corporation Hong Kong Securities Limited</t>
        </is>
      </c>
      <c r="BV500" s="108" t="inlineStr">
        <is>
          <t>China International Capital Corporation Hong Kong Securities Limited</t>
        </is>
      </c>
      <c r="BW500" s="108" t="inlineStr">
        <is>
          <t>China International Capital Corporation Hong Kong Securities Limited; ICBC International Securities Limited; Kong GF Securities (Hong Kong) Brokerage Limited; Chai, Hong Kong ABCI Capital Limited; West Bull Securities Limited; Patrons Securities Limited</t>
        </is>
      </c>
      <c r="BX500" s="108" t="inlineStr">
        <is>
          <t>ABCI Securities Company Limited; China International Capital Corporation Hong Kong Securities Limited; Futu Securities International (Hong Kong) Limited; GF Securities (Hong Kong) Brokerage Limited; ICBC International Securities Limited; Livermore Holdings Limited; Patrons Securities Limited; Tiger Brokers (HK) Global Limited; West Bull Securities Limited</t>
        </is>
      </c>
      <c r="BY500" s="127">
        <f>HYPERLINK("https://www1.hkexnews.hk/listedco/listconews/sehk/2026/0626/2026062600021.pdf","prospectus")</f>
        <v/>
      </c>
      <c r="BZ500" s="127">
        <f>HYPERLINK("https://www1.hkexnews.hk/listedco/listconews/sehk/2026/0706/2026070602117.pdf","allotment")</f>
        <v/>
      </c>
      <c r="CA500" s="127">
        <f>HYPERLINK("https://www1.hkexnews.hk/listedco/listconews/sehk/2026/0803/2026080301376.pdf","stabilisation")</f>
        <v/>
      </c>
      <c r="CB500" s="128" t="n"/>
      <c r="CC500" s="108" t="inlineStr">
        <is>
          <t>3m: pending: 62 traded sessions after debut; 63 needed; sponsor: English name not in the filing; AAStocks 保薦人 shown; market cap: prospectus cap HK$2,550m at HK$6.21, rescaled to HK$5.50; alpha/index: 3m window not elapsed</t>
        </is>
      </c>
    </row>
    <row r="501" ht="22" customHeight="1">
      <c r="A501" s="107" t="inlineStr">
        <is>
          <t>7656</t>
        </is>
      </c>
      <c r="B501" s="108" t="inlineStr">
        <is>
          <t>RECONOVA</t>
        </is>
      </c>
      <c r="C501" s="108" t="inlineStr">
        <is>
          <t>瑞為技術</t>
        </is>
      </c>
      <c r="D501" s="108" t="inlineStr">
        <is>
          <t>Tech/AI</t>
        </is>
      </c>
      <c r="E501" s="108" t="inlineStr">
        <is>
          <t>AI application / agent software</t>
        </is>
      </c>
      <c r="F501" s="108" t="inlineStr">
        <is>
          <t>Advanced hardware and software</t>
        </is>
      </c>
      <c r="G501" s="108" t="inlineStr">
        <is>
          <t>18C</t>
        </is>
      </c>
      <c r="H501" s="109" t="n">
        <v>46211</v>
      </c>
      <c r="I501" s="110" t="n">
        <v>608.4</v>
      </c>
      <c r="J501" s="108" t="inlineStr">
        <is>
          <t>gross (stated)</t>
        </is>
      </c>
      <c r="K501" s="129" t="n"/>
      <c r="L501" s="111" t="n">
        <v>21.66</v>
      </c>
      <c r="M501" s="111" t="n">
        <v>21.66</v>
      </c>
      <c r="N501" s="108" t="inlineStr">
        <is>
          <t>Y</t>
        </is>
      </c>
      <c r="O501" s="112" t="n">
        <v>100</v>
      </c>
      <c r="P501" s="118" t="n"/>
      <c r="Q501" s="113" t="n">
        <v>6612.6</v>
      </c>
      <c r="R501" s="108" t="inlineStr">
        <is>
          <t>derived:price x shares upon listing</t>
        </is>
      </c>
      <c r="S501" s="114" t="n">
        <v>3646.06</v>
      </c>
      <c r="T501" s="115" t="n">
        <v>3.08</v>
      </c>
      <c r="U501" s="116" t="n">
        <v>0</v>
      </c>
      <c r="V501" s="117" t="n">
        <v>105</v>
      </c>
      <c r="W501" s="112" t="n">
        <v>20</v>
      </c>
      <c r="X501" s="108" t="inlineStr">
        <is>
          <t>YES</t>
        </is>
      </c>
      <c r="Y501" s="113" t="n">
        <v>608.4</v>
      </c>
      <c r="Z501" s="113" t="n">
        <v>28087000</v>
      </c>
      <c r="AA501" s="112" t="n">
        <v>9.199999999999999</v>
      </c>
      <c r="AB501" s="108" t="inlineStr">
        <is>
          <t>none — no cornerstone tranche</t>
        </is>
      </c>
      <c r="AC501" s="108" t="inlineStr">
        <is>
          <t>none</t>
        </is>
      </c>
      <c r="AD501" s="118" t="n"/>
      <c r="AE501" s="119" t="n"/>
      <c r="AF501" s="119" t="n"/>
      <c r="AG501" s="119" t="n"/>
      <c r="AH501" s="119" t="n"/>
      <c r="AI501" s="120" t="n">
        <v>-16.94</v>
      </c>
      <c r="AJ501" s="121" t="n">
        <v>-3.05</v>
      </c>
      <c r="AK501" s="121" t="n">
        <v>5.02</v>
      </c>
      <c r="AL501" s="121" t="n">
        <v>-16.9</v>
      </c>
      <c r="AM501" s="121" t="n">
        <v>16.67</v>
      </c>
      <c r="AN501" s="123" t="n">
        <v>2.15</v>
      </c>
      <c r="AO501" s="112" t="n">
        <v>41</v>
      </c>
      <c r="AP501" s="121" t="n">
        <v>31.12</v>
      </c>
      <c r="AQ501" s="121" t="n">
        <v>53.74</v>
      </c>
      <c r="AR501" s="137" t="n"/>
      <c r="AS501" s="121" t="n">
        <v>35.24</v>
      </c>
      <c r="AT501" s="121" t="n">
        <v>58.58</v>
      </c>
      <c r="AU501" s="137" t="n"/>
      <c r="AV501" s="121" t="n">
        <v>25.91</v>
      </c>
      <c r="AW501" s="121" t="n">
        <v>46.59</v>
      </c>
      <c r="AX501" s="137" t="n"/>
      <c r="AY501" s="121" t="n">
        <v>56.55</v>
      </c>
      <c r="AZ501" s="121" t="n">
        <v>7.15</v>
      </c>
      <c r="BA501" s="121" t="n">
        <v>2.03</v>
      </c>
      <c r="BB501" s="108" t="inlineStr">
        <is>
          <t>HSTECH (Hang Seng TECH ETF)</t>
        </is>
      </c>
      <c r="BC501" s="121" t="n">
        <v>-31.21</v>
      </c>
      <c r="BD501" s="109" t="n">
        <v>46297</v>
      </c>
      <c r="BE501" s="110" t="n">
        <v>487.3</v>
      </c>
      <c r="BF501" s="113" t="n">
        <v>-75</v>
      </c>
      <c r="BG501" s="108" t="inlineStr">
        <is>
          <t>N</t>
        </is>
      </c>
      <c r="BH501" s="108" t="inlineStr">
        <is>
          <t>n/m</t>
        </is>
      </c>
      <c r="BI501" s="122" t="n"/>
      <c r="BJ501" s="122" t="n"/>
      <c r="BK501" s="123" t="n">
        <v>13.6</v>
      </c>
      <c r="BL501" s="124">
        <f>IF('BBG Verify'!S501="","not filed; run on terminal",'BBG Verify'!S501)</f>
        <v/>
      </c>
      <c r="BM501" s="125" t="inlineStr">
        <is>
          <t>N</t>
        </is>
      </c>
      <c r="BN501" s="126">
        <f>IF('BBG Verify'!K501="","not filed; run on terminal",'BBG Verify'!K501)</f>
        <v/>
      </c>
      <c r="BO501" s="108" t="inlineStr">
        <is>
          <t>N/A</t>
        </is>
      </c>
      <c r="BP501" s="108" t="inlineStr">
        <is>
          <t>N/A</t>
        </is>
      </c>
      <c r="BQ501" s="108" t="inlineStr">
        <is>
          <t>N/A</t>
        </is>
      </c>
      <c r="BR501" s="108" t="inlineStr">
        <is>
          <t>N/A</t>
        </is>
      </c>
      <c r="BS501" s="108" t="inlineStr">
        <is>
          <t>N/A</t>
        </is>
      </c>
      <c r="BT501" s="108" t="inlineStr">
        <is>
          <t>N/A</t>
        </is>
      </c>
      <c r="BU501" s="125" t="inlineStr">
        <is>
          <t>Huatai Financial Holdings (Hong Kong) Limited; CCB International Capital Limited; ABCI Capital Limited</t>
        </is>
      </c>
      <c r="BV501" s="108" t="inlineStr">
        <is>
          <t>CCB International Capital Limited; Huatai Financial Holdings (Hong Kong) Limited; ABCI Capital Limited</t>
        </is>
      </c>
      <c r="BW501" s="108" t="inlineStr">
        <is>
          <t>Huatai Financial Holdings (Hong Kong) Limited; CCB International Capital Limited; ABCI Capital Limited; CMBC Securities Company Limited; Huafu International Securities Limited; Shenwan Hongyuan Securities (H.K.) Limited; Sunfund Securities Limited; Futu Securities International (Hong Kong) Limited; Yuet Sheung International Securities Limited</t>
        </is>
      </c>
      <c r="BX501" s="108" t="inlineStr">
        <is>
          <t>ABCI Securities Company Limited; CCB International Capital Limited; CMBC Securities Company Limited; Futu Securities International (Hong Kong) Limited; Huatai Financial Holdings (Hong Kong) Limited; Huafu International Securities Limited; Shenwan Hongyuan Securities (H.K.) Limited; Sunfund Securities Limited; Yuet Sheung International Securities Limited</t>
        </is>
      </c>
      <c r="BY501" s="127">
        <f>HYPERLINK("https://www1.hkexnews.hk/listedco/listconews/sehk/2026/0629/2026062900145.pdf","prospectus")</f>
        <v/>
      </c>
      <c r="BZ501" s="127">
        <f>HYPERLINK("https://www1.hkexnews.hk/listedco/listconews/sehk/2026/0707/2026070701895.pdf","allotment")</f>
        <v/>
      </c>
      <c r="CA501" s="119" t="n"/>
      <c r="CB501" s="128" t="n"/>
      <c r="CC501" s="108" t="inlineStr">
        <is>
          <t>P/E: loss-making at IPO, use P/S; greenshoe: no over-allotment option; range low: maximum offer price only, no floor published; 3m: pending: 61 traded sessions after debut; 63 needed; cornerstone list: no cornerstone tranche; greenshoe size: no over-allotment option; stabilising manager: filing states none appointed (prospectus: 'no stabilizing manager will be appointed' stated in the filing); alpha/index: 3m window not elapsed</t>
        </is>
      </c>
    </row>
    <row r="502" ht="22" customHeight="1">
      <c r="A502" s="107" t="inlineStr">
        <is>
          <t>9971</t>
        </is>
      </c>
      <c r="B502" s="108" t="inlineStr">
        <is>
          <t>BASICSEMI</t>
        </is>
      </c>
      <c r="C502" s="108" t="inlineStr">
        <is>
          <t>基本半導體</t>
        </is>
      </c>
      <c r="D502" s="108" t="inlineStr">
        <is>
          <t>Tech/AI</t>
        </is>
      </c>
      <c r="E502" s="108" t="inlineStr">
        <is>
          <t>Analog / power semiconductors</t>
        </is>
      </c>
      <c r="F502" s="108" t="inlineStr">
        <is>
          <t>Semiconductors &amp; Semiconductor Equipment</t>
        </is>
      </c>
      <c r="G502" s="108" t="inlineStr">
        <is>
          <t>18C</t>
        </is>
      </c>
      <c r="H502" s="109" t="n">
        <v>46211</v>
      </c>
      <c r="I502" s="110" t="n">
        <v>865.95</v>
      </c>
      <c r="J502" s="108" t="inlineStr">
        <is>
          <t>gross (stated)</t>
        </is>
      </c>
      <c r="K502" s="129" t="n"/>
      <c r="L502" s="111" t="n">
        <v>31.62</v>
      </c>
      <c r="M502" s="111" t="n">
        <v>31.62</v>
      </c>
      <c r="N502" s="108" t="inlineStr">
        <is>
          <t>Y</t>
        </is>
      </c>
      <c r="O502" s="112" t="n">
        <v>100</v>
      </c>
      <c r="P502" s="118" t="n"/>
      <c r="Q502" s="113" t="n">
        <v>9621.6</v>
      </c>
      <c r="R502" s="108" t="inlineStr">
        <is>
          <t>derived:price x shares upon listing</t>
        </is>
      </c>
      <c r="S502" s="114" t="n">
        <v>4812.72</v>
      </c>
      <c r="T502" s="115" t="n">
        <v>2.98</v>
      </c>
      <c r="U502" s="116" t="n">
        <v>0</v>
      </c>
      <c r="V502" s="117" t="n">
        <v>96</v>
      </c>
      <c r="W502" s="112" t="n">
        <v>20</v>
      </c>
      <c r="X502" s="108" t="inlineStr">
        <is>
          <t>YES</t>
        </is>
      </c>
      <c r="Y502" s="113" t="n">
        <v>865.95</v>
      </c>
      <c r="Z502" s="113" t="n">
        <v>27386200</v>
      </c>
      <c r="AA502" s="112" t="n">
        <v>9</v>
      </c>
      <c r="AB502" s="108" t="inlineStr">
        <is>
          <t>none — no cornerstone tranche</t>
        </is>
      </c>
      <c r="AC502" s="108" t="inlineStr">
        <is>
          <t>none</t>
        </is>
      </c>
      <c r="AD502" s="112" t="n">
        <v>17.41</v>
      </c>
      <c r="AE502" s="108" t="inlineStr">
        <is>
          <t>lapsed (no over-allocation)</t>
        </is>
      </c>
      <c r="AF502" s="119" t="n"/>
      <c r="AG502" s="108" t="inlineStr">
        <is>
          <t>Sinolink Securities</t>
        </is>
      </c>
      <c r="AH502" s="108" t="inlineStr">
        <is>
          <t>Sinolink</t>
        </is>
      </c>
      <c r="AI502" s="120" t="n">
        <v>9.93</v>
      </c>
      <c r="AJ502" s="121" t="n">
        <v>5.06</v>
      </c>
      <c r="AK502" s="121" t="n">
        <v>5.02</v>
      </c>
      <c r="AL502" s="121" t="n">
        <v>7.91</v>
      </c>
      <c r="AM502" s="121" t="n">
        <v>-2.64</v>
      </c>
      <c r="AN502" s="123" t="n">
        <v>2.06</v>
      </c>
      <c r="AO502" s="112" t="n">
        <v>12.84</v>
      </c>
      <c r="AP502" s="121" t="n">
        <v>33.71</v>
      </c>
      <c r="AQ502" s="121" t="n">
        <v>74.89</v>
      </c>
      <c r="AR502" s="137" t="n"/>
      <c r="AS502" s="121" t="n">
        <v>27.27</v>
      </c>
      <c r="AT502" s="121" t="n">
        <v>66.47</v>
      </c>
      <c r="AU502" s="137" t="n"/>
      <c r="AV502" s="121" t="n">
        <v>28.5</v>
      </c>
      <c r="AW502" s="121" t="n">
        <v>67.73999999999999</v>
      </c>
      <c r="AX502" s="137" t="n"/>
      <c r="AY502" s="121" t="n">
        <v>64.44</v>
      </c>
      <c r="AZ502" s="121" t="n">
        <v>7.15</v>
      </c>
      <c r="BA502" s="121" t="n">
        <v>2.03</v>
      </c>
      <c r="BB502" s="108" t="inlineStr">
        <is>
          <t>HSTECH (Hang Seng TECH ETF)</t>
        </is>
      </c>
      <c r="BC502" s="121" t="n">
        <v>26.5</v>
      </c>
      <c r="BD502" s="109" t="n">
        <v>46297</v>
      </c>
      <c r="BE502" s="110" t="n">
        <v>342.3</v>
      </c>
      <c r="BF502" s="113" t="n">
        <v>-260.8</v>
      </c>
      <c r="BG502" s="108" t="inlineStr">
        <is>
          <t>N</t>
        </is>
      </c>
      <c r="BH502" s="108" t="inlineStr">
        <is>
          <t>n/m</t>
        </is>
      </c>
      <c r="BI502" s="122" t="n"/>
      <c r="BJ502" s="122" t="n"/>
      <c r="BK502" s="123" t="n">
        <v>28.1</v>
      </c>
      <c r="BL502" s="124">
        <f>IF('BBG Verify'!S502="","not filed; run on terminal",'BBG Verify'!S502)</f>
        <v/>
      </c>
      <c r="BM502" s="125" t="inlineStr">
        <is>
          <t>N</t>
        </is>
      </c>
      <c r="BN502" s="126">
        <f>IF('BBG Verify'!K502="","not filed; run on terminal",'BBG Verify'!K502)</f>
        <v/>
      </c>
      <c r="BO502" s="108" t="inlineStr">
        <is>
          <t>N/A</t>
        </is>
      </c>
      <c r="BP502" s="108" t="inlineStr">
        <is>
          <t>N/A</t>
        </is>
      </c>
      <c r="BQ502" s="108" t="inlineStr">
        <is>
          <t>N/A</t>
        </is>
      </c>
      <c r="BR502" s="108" t="inlineStr">
        <is>
          <t>N/A</t>
        </is>
      </c>
      <c r="BS502" s="108" t="inlineStr">
        <is>
          <t>N/A</t>
        </is>
      </c>
      <c r="BT502" s="108" t="inlineStr">
        <is>
          <t>N/A</t>
        </is>
      </c>
      <c r="BU502" s="125" t="inlineStr">
        <is>
          <t>Sinolink Securities (Hong Kong) Company Limited; BOCI Asia Limited</t>
        </is>
      </c>
      <c r="BV502" s="108" t="inlineStr">
        <is>
          <t>BOCI Asia Limited; Sinolink Securities (Hong Kong) Company Limited</t>
        </is>
      </c>
      <c r="BW502" s="108" t="inlineStr">
        <is>
          <t>Fortune (HK) Securities Limited; Futu Securities International (Hong Kong) Limited; Guosen Securities (HK) Capital Company Limited; Patrons Securities Limited; Tiger Brokers (HK) Global Limited; TradeGo Markets Limited; Yue Xiu Securities Company Limited</t>
        </is>
      </c>
      <c r="BX502" s="108" t="inlineStr">
        <is>
          <t>BOCI Asia Limited; Fortune (HK) Securities Limited; Futu Securities International (Hong Kong) Limited; Guosen Securities (HK) Capital Company Limited; Patrons Securities Limited; Sinolink Securities (Hong Kong) Company Limited; Tiger Brokers (HK) Global Limited; TradeGo Markets Limited; Yue Xiu Securities Company Limited</t>
        </is>
      </c>
      <c r="BY502" s="127">
        <f>HYPERLINK("https://www1.hkexnews.hk/listedco/listconews/sehk/2026/0629/2026062900049.pdf","prospectus")</f>
        <v/>
      </c>
      <c r="BZ502" s="127">
        <f>HYPERLINK("https://www1.hkexnews.hk/listedco/listconews/sehk/2026/0707/2026070701913.pdf","allotment")</f>
        <v/>
      </c>
      <c r="CA502" s="127">
        <f>HYPERLINK("https://www1.hkexnews.hk/listedco/listconews/sehk/2026/0803/2026080300057.pdf","stabilisation")</f>
        <v/>
      </c>
      <c r="CB502" s="128" t="n"/>
      <c r="CC502" s="108" t="inlineStr">
        <is>
          <t>P/E: loss-making at IPO, use P/S; greenshoe: outcome published; expiry date not in the notice; range low: maximum offer price only, no floor published; 3m: pending: 61 traded sessions after debut; 63 needed; cornerstone list: no cornerstone tranche; alpha/index: 3m window not elapsed</t>
        </is>
      </c>
    </row>
    <row r="503" ht="22" customHeight="1">
      <c r="A503" s="107" t="inlineStr">
        <is>
          <t>6880</t>
        </is>
      </c>
      <c r="B503" s="108" t="inlineStr">
        <is>
          <t>MOMENTA-W</t>
        </is>
      </c>
      <c r="C503" s="108" t="inlineStr">
        <is>
          <t>MOMENTA-W</t>
        </is>
      </c>
      <c r="D503" s="108" t="inlineStr">
        <is>
          <t>Tech/AI</t>
        </is>
      </c>
      <c r="E503" s="108" t="inlineStr">
        <is>
          <t>Robotics &amp; autonomous driving</t>
        </is>
      </c>
      <c r="F503" s="108" t="inlineStr">
        <is>
          <t>Advanced hardware and software</t>
        </is>
      </c>
      <c r="G503" s="108" t="inlineStr">
        <is>
          <t>WVR</t>
        </is>
      </c>
      <c r="H503" s="109" t="n">
        <v>46211</v>
      </c>
      <c r="I503" s="110" t="n">
        <v>5893.8</v>
      </c>
      <c r="J503" s="108" t="inlineStr">
        <is>
          <t>gross (stated)</t>
        </is>
      </c>
      <c r="K503" s="129" t="n"/>
      <c r="L503" s="111" t="n">
        <v>295.6</v>
      </c>
      <c r="M503" s="111" t="n">
        <v>295.6</v>
      </c>
      <c r="N503" s="108" t="inlineStr">
        <is>
          <t>Y</t>
        </is>
      </c>
      <c r="O503" s="112" t="n">
        <v>100</v>
      </c>
      <c r="P503" s="118" t="n"/>
      <c r="Q503" s="113" t="n">
        <v>69600</v>
      </c>
      <c r="R503" s="108" t="inlineStr">
        <is>
          <t>press:xueqiu/sina 2026-07-08: IPO市值约696亿 ≈ US$9bn</t>
        </is>
      </c>
      <c r="S503" s="114" t="n">
        <v>413.63</v>
      </c>
      <c r="T503" s="115" t="n">
        <v>20.31</v>
      </c>
      <c r="U503" s="116" t="n">
        <v>49.95</v>
      </c>
      <c r="V503" s="117" t="n">
        <v>239</v>
      </c>
      <c r="W503" s="118" t="n"/>
      <c r="X503" s="108" t="inlineStr">
        <is>
          <t>NA</t>
        </is>
      </c>
      <c r="Y503" s="113" t="n">
        <v>2949.85</v>
      </c>
      <c r="Z503" s="113" t="n">
        <v>9979119</v>
      </c>
      <c r="AA503" s="112" t="n">
        <v>4.24</v>
      </c>
      <c r="AB503" s="108" t="inlineStr">
        <is>
          <t>Fidelity International; BlackRock; Mercedes-Benz AG; Oaktree; Golden Link; Franklin Templeton; Boyu; Gaoyi Entities; CPIC; GF Fund; ChinaAMC (HK); Suzhou Mosu; GigaDevice</t>
        </is>
      </c>
      <c r="AC503" s="108" t="inlineStr">
        <is>
          <t>fidelity;blackrock;mercedes;oaktree;golden-link;franklin;boyu;gaoyi;cpic;gf;chinaamc;suzhou;gigadevice</t>
        </is>
      </c>
      <c r="AD503" s="112" t="n">
        <v>15</v>
      </c>
      <c r="AE503" s="108" t="inlineStr">
        <is>
          <t>lapsed</t>
        </is>
      </c>
      <c r="AF503" s="108" t="inlineStr">
        <is>
          <t>2026-08-02</t>
        </is>
      </c>
      <c r="AG503" s="108" t="inlineStr">
        <is>
          <t>China International Capital Corporation Hong Kong Securities Limited</t>
        </is>
      </c>
      <c r="AH503" s="108" t="inlineStr">
        <is>
          <t>China International</t>
        </is>
      </c>
      <c r="AI503" s="139" t="n">
        <v>-0.34</v>
      </c>
      <c r="AJ503" s="121" t="n">
        <v>0</v>
      </c>
      <c r="AK503" s="121" t="n">
        <v>5.02</v>
      </c>
      <c r="AL503" s="121" t="n">
        <v>1.83</v>
      </c>
      <c r="AM503" s="121" t="n">
        <v>-1.8</v>
      </c>
      <c r="AN503" s="122" t="n"/>
      <c r="AO503" s="112" t="n">
        <v>7.11</v>
      </c>
      <c r="AP503" s="121" t="n">
        <v>0.27</v>
      </c>
      <c r="AQ503" s="121" t="n">
        <v>-10.08</v>
      </c>
      <c r="AR503" s="137" t="n"/>
      <c r="AS503" s="121" t="n">
        <v>0.27</v>
      </c>
      <c r="AT503" s="121" t="n">
        <v>-10.08</v>
      </c>
      <c r="AU503" s="137" t="n"/>
      <c r="AV503" s="121" t="n">
        <v>-4.94</v>
      </c>
      <c r="AW503" s="121" t="n">
        <v>-17.23</v>
      </c>
      <c r="AX503" s="137" t="n"/>
      <c r="AY503" s="121" t="n">
        <v>-12.11</v>
      </c>
      <c r="AZ503" s="121" t="n">
        <v>7.15</v>
      </c>
      <c r="BA503" s="121" t="n">
        <v>2.03</v>
      </c>
      <c r="BB503" s="108" t="inlineStr">
        <is>
          <t>HSTECH (Hang Seng TECH ETF)</t>
        </is>
      </c>
      <c r="BC503" s="121" t="n">
        <v>-45.94</v>
      </c>
      <c r="BD503" s="109" t="n">
        <v>46297</v>
      </c>
      <c r="BE503" s="110" t="n">
        <v>2653.8</v>
      </c>
      <c r="BF503" s="113" t="n">
        <v>-3803.7</v>
      </c>
      <c r="BG503" s="108" t="inlineStr">
        <is>
          <t>N</t>
        </is>
      </c>
      <c r="BH503" s="108" t="inlineStr">
        <is>
          <t>n/m</t>
        </is>
      </c>
      <c r="BI503" s="122" t="n"/>
      <c r="BJ503" s="122" t="n"/>
      <c r="BK503" s="123" t="n">
        <v>26.2</v>
      </c>
      <c r="BL503" s="124">
        <f>IF('BBG Verify'!S503="","not filed; run on terminal",'BBG Verify'!S503)</f>
        <v/>
      </c>
      <c r="BM503" s="125" t="inlineStr">
        <is>
          <t>N</t>
        </is>
      </c>
      <c r="BN503" s="126">
        <f>IF('BBG Verify'!K503="","not filed; run on terminal",'BBG Verify'!K503)</f>
        <v/>
      </c>
      <c r="BO503" s="108" t="inlineStr">
        <is>
          <t>N/A</t>
        </is>
      </c>
      <c r="BP503" s="108" t="inlineStr">
        <is>
          <t>N/A</t>
        </is>
      </c>
      <c r="BQ503" s="108" t="inlineStr">
        <is>
          <t>N/A</t>
        </is>
      </c>
      <c r="BR503" s="108" t="inlineStr">
        <is>
          <t>N/A</t>
        </is>
      </c>
      <c r="BS503" s="108" t="inlineStr">
        <is>
          <t>N/A</t>
        </is>
      </c>
      <c r="BT503" s="108" t="inlineStr">
        <is>
          <t>N/A</t>
        </is>
      </c>
      <c r="BU503" s="125" t="inlineStr">
        <is>
          <t>China International Capital Corporation Hong Kong Securities Limited; Deutsche Securities Asia Limited</t>
        </is>
      </c>
      <c r="BV503" s="108" t="inlineStr">
        <is>
          <t>China International Capital Corporation Hong Kong Securities Limited; Deutsche Securities Asia Limited</t>
        </is>
      </c>
      <c r="BW503" s="108" t="inlineStr">
        <is>
          <t>Tiger Brokers (HK) Global Limited</t>
        </is>
      </c>
      <c r="BX503" s="108" t="inlineStr">
        <is>
          <t>China International Capital Corporation Hong Kong Securities Limited; Deutsche Bank AG, Hong Kong Branch; Futu Securities International (Hong Kong) Limited; J.P. Morgan Securities (Asia Pacific) Limited; Tiger Brokers (HK) Global Limited</t>
        </is>
      </c>
      <c r="BY503" s="127">
        <f>HYPERLINK("https://www1.hkexnews.hk/listedco/listconews/sehk/2026/0629/2026062900057.pdf","prospectus")</f>
        <v/>
      </c>
      <c r="BZ503" s="127">
        <f>HYPERLINK("https://www1.hkexnews.hk/listedco/listconews/sehk/2026/0707/2026070701963.pdf","allotment")</f>
        <v/>
      </c>
      <c r="CA503" s="127">
        <f>HYPERLINK("https://www1.hkexnews.hk/listedco/listconews/sehk/2026/0802/2026080200011.pdf","stabilisation")</f>
        <v/>
      </c>
      <c r="CB503" s="128" t="n"/>
      <c r="CC503" s="108" t="inlineStr">
        <is>
          <t>P/E: loss-making at IPO, use P/S; range low: maximum offer price only, no floor published; 3m: pending: 61 traded sessions after debut; 63 needed; alpha/index: 3m window not elapsed; allocation: allocation table not in this notice's format (older prose announcement); day-1 tape: volume on file; the retail multiple needs the final public split, which this notice does not state</t>
        </is>
      </c>
    </row>
    <row r="504" ht="22" customHeight="1">
      <c r="A504" s="107" t="inlineStr">
        <is>
          <t>7687</t>
        </is>
      </c>
      <c r="B504" s="108" t="inlineStr">
        <is>
          <t>EACON</t>
        </is>
      </c>
      <c r="C504" s="108" t="inlineStr">
        <is>
          <t>易控智駕</t>
        </is>
      </c>
      <c r="D504" s="108" t="inlineStr">
        <is>
          <t>Tech/AI</t>
        </is>
      </c>
      <c r="E504" s="108" t="inlineStr">
        <is>
          <t>Robotics &amp; autonomous driving</t>
        </is>
      </c>
      <c r="F504" s="108" t="inlineStr">
        <is>
          <t>Advanced hardware and software</t>
        </is>
      </c>
      <c r="G504" s="108" t="inlineStr">
        <is>
          <t>Standard</t>
        </is>
      </c>
      <c r="H504" s="109" t="n">
        <v>46211</v>
      </c>
      <c r="I504" s="110" t="n">
        <v>2297.53</v>
      </c>
      <c r="J504" s="108" t="inlineStr">
        <is>
          <t>gross (stated)</t>
        </is>
      </c>
      <c r="K504" s="111" t="n">
        <v>81.16</v>
      </c>
      <c r="L504" s="111" t="n">
        <v>87.92</v>
      </c>
      <c r="M504" s="111" t="n">
        <v>87.92</v>
      </c>
      <c r="N504" s="108" t="inlineStr">
        <is>
          <t>Y</t>
        </is>
      </c>
      <c r="O504" s="112" t="n">
        <v>100</v>
      </c>
      <c r="P504" s="112" t="n">
        <v>100</v>
      </c>
      <c r="Q504" s="113" t="n">
        <v>11603.7</v>
      </c>
      <c r="R504" s="108" t="inlineStr">
        <is>
          <t>derived:deal size / offer % of enlarged capital</t>
        </is>
      </c>
      <c r="S504" s="114" t="n">
        <v>157.82</v>
      </c>
      <c r="T504" s="115" t="n">
        <v>10.5</v>
      </c>
      <c r="U504" s="116" t="n">
        <v>49.79</v>
      </c>
      <c r="V504" s="117" t="n">
        <v>74</v>
      </c>
      <c r="W504" s="112" t="n">
        <v>10</v>
      </c>
      <c r="X504" s="108" t="inlineStr">
        <is>
          <t>NA</t>
        </is>
      </c>
      <c r="Y504" s="113" t="n">
        <v>1153.59</v>
      </c>
      <c r="Z504" s="113" t="n">
        <v>13120877</v>
      </c>
      <c r="AA504" s="112" t="n">
        <v>9.94</v>
      </c>
      <c r="AB504" s="108" t="inlineStr">
        <is>
          <t>ZIJINNING; Aurora SF (in connection with the Arrangement); Fidelity International; JPMAMAPL; Barings; Indus Fund; Jain Global Master Fund Ltd; REGAL; GF Fund; Seven Grand</t>
        </is>
      </c>
      <c r="AC504" s="108" t="inlineStr">
        <is>
          <t>zijinning;aurora;fidelity;jpmamapl;barings;indus;jain;regal;gf;seven</t>
        </is>
      </c>
      <c r="AD504" s="112" t="n">
        <v>6.2</v>
      </c>
      <c r="AE504" s="108" t="inlineStr">
        <is>
          <t>partial</t>
        </is>
      </c>
      <c r="AF504" s="108" t="inlineStr">
        <is>
          <t>2026-08-02</t>
        </is>
      </c>
      <c r="AG504" s="108" t="inlineStr">
        <is>
          <t>Haitong International Securities Company Limited</t>
        </is>
      </c>
      <c r="AH504" s="108" t="inlineStr">
        <is>
          <t>Haitong</t>
        </is>
      </c>
      <c r="AI504" s="120" t="n">
        <v>4.07</v>
      </c>
      <c r="AJ504" s="121" t="n">
        <v>9.99</v>
      </c>
      <c r="AK504" s="121" t="n">
        <v>5.02</v>
      </c>
      <c r="AL504" s="121" t="n">
        <v>3.5</v>
      </c>
      <c r="AM504" s="121" t="n">
        <v>6.27</v>
      </c>
      <c r="AN504" s="123" t="n">
        <v>2.81</v>
      </c>
      <c r="AO504" s="112" t="n">
        <v>14.45</v>
      </c>
      <c r="AP504" s="121" t="n">
        <v>2.59</v>
      </c>
      <c r="AQ504" s="121" t="n">
        <v>-5.6</v>
      </c>
      <c r="AR504" s="137" t="n"/>
      <c r="AS504" s="121" t="n">
        <v>-6.73</v>
      </c>
      <c r="AT504" s="121" t="n">
        <v>-14.17</v>
      </c>
      <c r="AU504" s="137" t="n"/>
      <c r="AV504" s="121" t="n">
        <v>-2.62</v>
      </c>
      <c r="AW504" s="121" t="n">
        <v>-12.75</v>
      </c>
      <c r="AX504" s="137" t="n"/>
      <c r="AY504" s="121" t="n">
        <v>-16.2</v>
      </c>
      <c r="AZ504" s="121" t="n">
        <v>7.15</v>
      </c>
      <c r="BA504" s="121" t="n">
        <v>2.03</v>
      </c>
      <c r="BB504" s="108" t="inlineStr">
        <is>
          <t>HSTECH (Hang Seng TECH ETF)</t>
        </is>
      </c>
      <c r="BC504" s="121" t="n">
        <v>-23.79</v>
      </c>
      <c r="BD504" s="109" t="n">
        <v>46297</v>
      </c>
      <c r="BE504" s="110" t="n">
        <v>1578.8</v>
      </c>
      <c r="BF504" s="113" t="n">
        <v>-567.1</v>
      </c>
      <c r="BG504" s="108" t="inlineStr">
        <is>
          <t>N</t>
        </is>
      </c>
      <c r="BH504" s="108" t="inlineStr">
        <is>
          <t>n/m</t>
        </is>
      </c>
      <c r="BI504" s="122" t="n"/>
      <c r="BJ504" s="122" t="n"/>
      <c r="BK504" s="123" t="n">
        <v>7.3</v>
      </c>
      <c r="BL504" s="124">
        <f>IF('BBG Verify'!S504="","not filed; run on terminal",'BBG Verify'!S504)</f>
        <v/>
      </c>
      <c r="BM504" s="125" t="inlineStr">
        <is>
          <t>N</t>
        </is>
      </c>
      <c r="BN504" s="126">
        <f>IF('BBG Verify'!K504="","not filed; run on terminal",'BBG Verify'!K504)</f>
        <v/>
      </c>
      <c r="BO504" s="108" t="inlineStr">
        <is>
          <t>N/A</t>
        </is>
      </c>
      <c r="BP504" s="108" t="inlineStr">
        <is>
          <t>N/A</t>
        </is>
      </c>
      <c r="BQ504" s="108" t="inlineStr">
        <is>
          <t>N/A</t>
        </is>
      </c>
      <c r="BR504" s="108" t="inlineStr">
        <is>
          <t>N/A</t>
        </is>
      </c>
      <c r="BS504" s="108" t="inlineStr">
        <is>
          <t>N/A</t>
        </is>
      </c>
      <c r="BT504" s="108" t="inlineStr">
        <is>
          <t>N/A</t>
        </is>
      </c>
      <c r="BU504" s="125" t="inlineStr">
        <is>
          <t>Haitong International Capital Limited</t>
        </is>
      </c>
      <c r="BV504" s="108" t="inlineStr">
        <is>
          <t>Haitong International Capital Limited</t>
        </is>
      </c>
      <c r="BW504" s="108" t="inlineStr">
        <is>
          <t>Haitong International Securities Company Limited; Macquarie Capital Limited; CLSA Limited; CMB International Capital Limited; China Industrial Securities International Capital Limited; Mizuho Securities Asia Limited; Futu Securities International (Hong Kong) Limited; Tiger Brokers (HK) Global Limited</t>
        </is>
      </c>
      <c r="BX504" s="108" t="inlineStr">
        <is>
          <t>China Industrial Securities International Capital Limited; CLSA Limited; CMB International Capital Limited; Futu Securities International (Hong Kong) Limited; Haitong International Securities Company Limited; Macquarie Capital Limited; Mizuho Securities Asia Limited; Tiger Brokers (HK) Global Limited</t>
        </is>
      </c>
      <c r="BY504" s="127">
        <f>HYPERLINK("https://www1.hkexnews.hk/listedco/listconews/sehk/2026/0629/2026062900135.pdf","prospectus")</f>
        <v/>
      </c>
      <c r="BZ504" s="127">
        <f>HYPERLINK("https://www1.hkexnews.hk/listedco/listconews/sehk/2026/0707/2026070702043.pdf","allotment")</f>
        <v/>
      </c>
      <c r="CA504" s="127">
        <f>HYPERLINK("https://www1.hkexnews.hk/listedco/listconews/sehk/2026/0802/2026080200017.pdf","stabilisation")</f>
        <v/>
      </c>
      <c r="CB504" s="128" t="n"/>
      <c r="CC504" s="108" t="inlineStr">
        <is>
          <t>P/E: loss-making at IPO, use P/S; 3m: pending: 61 traded sessions after debut; 63 needed; alpha/index: 3m window not elapsed</t>
        </is>
      </c>
    </row>
    <row r="505" ht="22" customHeight="1">
      <c r="A505" s="107" t="inlineStr">
        <is>
          <t>2797</t>
        </is>
      </c>
      <c r="B505" s="108" t="inlineStr">
        <is>
          <t>QIYUNSHAN FOOD</t>
        </is>
      </c>
      <c r="C505" s="108" t="inlineStr">
        <is>
          <t>齊雲山食品</t>
        </is>
      </c>
      <c r="D505" s="108" t="inlineStr">
        <is>
          <t>Consumer</t>
        </is>
      </c>
      <c r="E505" s="108" t="inlineStr">
        <is>
          <t>Beverages / packaged food</t>
        </is>
      </c>
      <c r="F505" s="108" t="inlineStr">
        <is>
          <t>Packaged Foods</t>
        </is>
      </c>
      <c r="G505" s="108" t="inlineStr">
        <is>
          <t>Standard</t>
        </is>
      </c>
      <c r="H505" s="109" t="n">
        <v>46212</v>
      </c>
      <c r="I505" s="110" t="n">
        <v>200</v>
      </c>
      <c r="J505" s="108" t="inlineStr">
        <is>
          <t>gross (stated)</t>
        </is>
      </c>
      <c r="K505" s="111" t="n">
        <v>5</v>
      </c>
      <c r="L505" s="111" t="n">
        <v>8</v>
      </c>
      <c r="M505" s="111" t="n">
        <v>8</v>
      </c>
      <c r="N505" s="108" t="inlineStr">
        <is>
          <t>Y</t>
        </is>
      </c>
      <c r="O505" s="112" t="n">
        <v>100</v>
      </c>
      <c r="P505" s="112" t="n">
        <v>100</v>
      </c>
      <c r="Q505" s="113" t="n">
        <v>800</v>
      </c>
      <c r="R505" s="108" t="inlineStr">
        <is>
          <t>derived:price x shares upon listing</t>
        </is>
      </c>
      <c r="S505" s="114" t="n">
        <v>1688.1</v>
      </c>
      <c r="T505" s="115" t="n">
        <v>1.51</v>
      </c>
      <c r="U505" s="116" t="n">
        <v>0</v>
      </c>
      <c r="V505" s="117" t="n">
        <v>85</v>
      </c>
      <c r="W505" s="112" t="n">
        <v>10</v>
      </c>
      <c r="X505" s="108" t="inlineStr">
        <is>
          <t>NO</t>
        </is>
      </c>
      <c r="Y505" s="113" t="n">
        <v>200</v>
      </c>
      <c r="Z505" s="113" t="n">
        <v>25000000</v>
      </c>
      <c r="AA505" s="112" t="n">
        <v>25</v>
      </c>
      <c r="AB505" s="108" t="inlineStr">
        <is>
          <t>none — no cornerstone tranche</t>
        </is>
      </c>
      <c r="AC505" s="108" t="inlineStr">
        <is>
          <t>none</t>
        </is>
      </c>
      <c r="AD505" s="112" t="n">
        <v>15</v>
      </c>
      <c r="AE505" s="108" t="inlineStr">
        <is>
          <t>lapsed (no over-allocation)</t>
        </is>
      </c>
      <c r="AF505" s="119" t="n"/>
      <c r="AG505" s="108" t="inlineStr">
        <is>
          <t>Zhongtai Intern ational Securities Limited</t>
        </is>
      </c>
      <c r="AH505" s="108" t="inlineStr">
        <is>
          <t>Zhongtai Intern</t>
        </is>
      </c>
      <c r="AI505" s="120" t="n">
        <v>93.75</v>
      </c>
      <c r="AJ505" s="121" t="n">
        <v>162.5</v>
      </c>
      <c r="AK505" s="121" t="n">
        <v>-0.5600000000000001</v>
      </c>
      <c r="AL505" s="121" t="n">
        <v>100</v>
      </c>
      <c r="AM505" s="121" t="n">
        <v>31.25</v>
      </c>
      <c r="AN505" s="123" t="n">
        <v>4.03</v>
      </c>
      <c r="AO505" s="112" t="n">
        <v>62.5</v>
      </c>
      <c r="AP505" s="121" t="n">
        <v>267.5</v>
      </c>
      <c r="AQ505" s="121" t="n">
        <v>1146.88</v>
      </c>
      <c r="AR505" s="137" t="n"/>
      <c r="AS505" s="121" t="n">
        <v>40</v>
      </c>
      <c r="AT505" s="121" t="n">
        <v>375</v>
      </c>
      <c r="AU505" s="137" t="n"/>
      <c r="AV505" s="121" t="n">
        <v>263.44</v>
      </c>
      <c r="AW505" s="121" t="n">
        <v>1140.07</v>
      </c>
      <c r="AX505" s="137" t="n"/>
      <c r="AY505" s="121" t="n">
        <v>367.59</v>
      </c>
      <c r="AZ505" s="121" t="n">
        <v>6.81</v>
      </c>
      <c r="BA505" s="121" t="n">
        <v>7.41</v>
      </c>
      <c r="BB505" s="108" t="inlineStr">
        <is>
          <t>Hang Seng Commerce &amp; Industry sub-index</t>
        </is>
      </c>
      <c r="BC505" s="121" t="n">
        <v>1186.25</v>
      </c>
      <c r="BD505" s="109" t="n">
        <v>46297</v>
      </c>
      <c r="BE505" s="110" t="n">
        <v>345.1</v>
      </c>
      <c r="BF505" s="113" t="n">
        <v>53.8</v>
      </c>
      <c r="BG505" s="108" t="inlineStr">
        <is>
          <t>Y</t>
        </is>
      </c>
      <c r="BH505" s="123" t="n">
        <v>14.9</v>
      </c>
      <c r="BI505" s="122" t="n"/>
      <c r="BJ505" s="122" t="n"/>
      <c r="BK505" s="123" t="n">
        <v>2.3</v>
      </c>
      <c r="BL505" s="124">
        <f>IF('BBG Verify'!S505="","not filed; run on terminal",'BBG Verify'!S505)</f>
        <v/>
      </c>
      <c r="BM505" s="125" t="inlineStr">
        <is>
          <t>N</t>
        </is>
      </c>
      <c r="BN505" s="126">
        <f>IF('BBG Verify'!K505="","not filed; run on terminal",'BBG Verify'!K505)</f>
        <v/>
      </c>
      <c r="BO505" s="108" t="inlineStr">
        <is>
          <t>N/A</t>
        </is>
      </c>
      <c r="BP505" s="108" t="inlineStr">
        <is>
          <t>N/A</t>
        </is>
      </c>
      <c r="BQ505" s="108" t="inlineStr">
        <is>
          <t>N/A</t>
        </is>
      </c>
      <c r="BR505" s="108" t="inlineStr">
        <is>
          <t>N/A</t>
        </is>
      </c>
      <c r="BS505" s="108" t="inlineStr">
        <is>
          <t>N/A</t>
        </is>
      </c>
      <c r="BT505" s="108" t="inlineStr">
        <is>
          <t>N/A</t>
        </is>
      </c>
      <c r="BU505" s="125" t="inlineStr">
        <is>
          <t>Zhongtai Inte rnational Capital Limited</t>
        </is>
      </c>
      <c r="BV505" s="108" t="inlineStr">
        <is>
          <t>Zhongtai International Capital Limited</t>
        </is>
      </c>
      <c r="BW505" s="108" t="inlineStr">
        <is>
          <t>CCB International Capital Limited; ABCI Capital Limited</t>
        </is>
      </c>
      <c r="BX505" s="108" t="inlineStr">
        <is>
          <t>ABCI Securities Company Limited; CCB International Capital Limited; CMBC Securities Company Limited; Eddid Securities and Futures Limited; First Shanghai Securities Limited; Futu Securities International (Hong Kong) Limited; Get Nice Securities Limited; Ping An Securities (Hong Kong) Company Limited; South China Securities Limited; Shenwan Hongyuan Securities (H.K.) Limited; SPDB International Capital Limited; Shanxi Securities International Limited</t>
        </is>
      </c>
      <c r="BY505" s="127">
        <f>HYPERLINK("https://www1.hkexnews.hk/listedco/listconews/sehk/2026/0630/2026063000055.pdf","prospectus")</f>
        <v/>
      </c>
      <c r="BZ505" s="127">
        <f>HYPERLINK("https://www1.hkexnews.hk/listedco/listconews/sehk/2026/0708/2026070801132.pdf","allotment")</f>
        <v/>
      </c>
      <c r="CA505" s="127">
        <f>HYPERLINK("https://www1.hkexnews.hk/listedco/listconews/sehk/2026/0805/2026080501400.pdf","stabilisation")</f>
        <v/>
      </c>
      <c r="CB505" s="128" t="n"/>
      <c r="CC505" s="108" t="inlineStr">
        <is>
          <t>greenshoe: outcome published; expiry date not in the notice; 3m: pending: 60 traded sessions after debut; 63 needed; cornerstone list: no cornerstone tranche; alpha/index: 3m window not elapsed</t>
        </is>
      </c>
    </row>
    <row r="506" ht="22" customHeight="1">
      <c r="A506" s="107" t="inlineStr">
        <is>
          <t>1770</t>
        </is>
      </c>
      <c r="B506" s="108" t="inlineStr">
        <is>
          <t>DKE</t>
        </is>
      </c>
      <c r="C506" s="108" t="inlineStr">
        <is>
          <t>東方科脈</t>
        </is>
      </c>
      <c r="D506" s="108" t="inlineStr">
        <is>
          <t>Tech/AI</t>
        </is>
      </c>
      <c r="E506" s="108" t="inlineStr">
        <is>
          <t>Smart hardware / consumer electronics</t>
        </is>
      </c>
      <c r="F506" s="108" t="inlineStr">
        <is>
          <t>Electrical Components &amp; Equipment</t>
        </is>
      </c>
      <c r="G506" s="108" t="inlineStr">
        <is>
          <t>Standard</t>
        </is>
      </c>
      <c r="H506" s="109" t="n">
        <v>46212</v>
      </c>
      <c r="I506" s="110" t="n">
        <v>402.53</v>
      </c>
      <c r="J506" s="108" t="inlineStr">
        <is>
          <t>gross (stated)</t>
        </is>
      </c>
      <c r="K506" s="129" t="n"/>
      <c r="L506" s="111" t="n">
        <v>101.11</v>
      </c>
      <c r="M506" s="111" t="n">
        <v>78.64</v>
      </c>
      <c r="N506" s="108" t="inlineStr">
        <is>
          <t>N</t>
        </is>
      </c>
      <c r="O506" s="112" t="n">
        <v>77.8</v>
      </c>
      <c r="P506" s="118" t="n"/>
      <c r="Q506" s="113" t="n">
        <v>4025.2</v>
      </c>
      <c r="R506" s="108" t="inlineStr">
        <is>
          <t>derived:price x shares upon listing</t>
        </is>
      </c>
      <c r="S506" s="114" t="n">
        <v>1067.54</v>
      </c>
      <c r="T506" s="115" t="n">
        <v>3.69</v>
      </c>
      <c r="U506" s="116" t="n">
        <v>0</v>
      </c>
      <c r="V506" s="117" t="n">
        <v>52</v>
      </c>
      <c r="W506" s="112" t="n">
        <v>10</v>
      </c>
      <c r="X506" s="108" t="inlineStr">
        <is>
          <t>NO</t>
        </is>
      </c>
      <c r="Y506" s="113" t="n">
        <v>402.53</v>
      </c>
      <c r="Z506" s="113" t="n">
        <v>5118600</v>
      </c>
      <c r="AA506" s="112" t="n">
        <v>10</v>
      </c>
      <c r="AB506" s="108" t="inlineStr">
        <is>
          <t>none — no cornerstone tranche</t>
        </is>
      </c>
      <c r="AC506" s="108" t="inlineStr">
        <is>
          <t>none</t>
        </is>
      </c>
      <c r="AD506" s="112" t="n">
        <v>10</v>
      </c>
      <c r="AE506" s="108" t="inlineStr">
        <is>
          <t>lapsed (no over-allocation)</t>
        </is>
      </c>
      <c r="AF506" s="119" t="n"/>
      <c r="AG506" s="108" t="inlineStr">
        <is>
          <t>CLSA Limited</t>
        </is>
      </c>
      <c r="AH506" s="108" t="inlineStr">
        <is>
          <t>CLSA</t>
        </is>
      </c>
      <c r="AI506" s="120" t="n">
        <v>3.38</v>
      </c>
      <c r="AJ506" s="121" t="n">
        <v>1.73</v>
      </c>
      <c r="AK506" s="121" t="n">
        <v>0</v>
      </c>
      <c r="AL506" s="121" t="n">
        <v>-1.89</v>
      </c>
      <c r="AM506" s="121" t="n">
        <v>3.69</v>
      </c>
      <c r="AN506" s="123" t="n">
        <v>1.79</v>
      </c>
      <c r="AO506" s="112" t="n">
        <v>12.7</v>
      </c>
      <c r="AP506" s="121" t="n">
        <v>-1.2</v>
      </c>
      <c r="AQ506" s="121" t="n">
        <v>42.42</v>
      </c>
      <c r="AR506" s="137" t="n"/>
      <c r="AS506" s="121" t="n">
        <v>-2.88</v>
      </c>
      <c r="AT506" s="121" t="n">
        <v>40</v>
      </c>
      <c r="AU506" s="137" t="n"/>
      <c r="AV506" s="121" t="n">
        <v>-3.53</v>
      </c>
      <c r="AW506" s="121" t="n">
        <v>39.7</v>
      </c>
      <c r="AX506" s="137" t="n"/>
      <c r="AY506" s="121" t="n">
        <v>37.28</v>
      </c>
      <c r="AZ506" s="121" t="n">
        <v>2.72</v>
      </c>
      <c r="BA506" s="121" t="n">
        <v>2.72</v>
      </c>
      <c r="BB506" s="108" t="inlineStr">
        <is>
          <t>HSTECH (Hang Seng TECH ETF)</t>
        </is>
      </c>
      <c r="BC506" s="121" t="n">
        <v>-5.9</v>
      </c>
      <c r="BD506" s="109" t="n">
        <v>46297</v>
      </c>
      <c r="BE506" s="110" t="n">
        <v>571.6</v>
      </c>
      <c r="BF506" s="113" t="n">
        <v>88.3</v>
      </c>
      <c r="BG506" s="108" t="inlineStr">
        <is>
          <t>Y</t>
        </is>
      </c>
      <c r="BH506" s="123" t="n">
        <v>45.6</v>
      </c>
      <c r="BI506" s="122" t="n"/>
      <c r="BJ506" s="122" t="n"/>
      <c r="BK506" s="123" t="n">
        <v>7</v>
      </c>
      <c r="BL506" s="124">
        <f>IF('BBG Verify'!S506="","not filed; run on terminal",'BBG Verify'!S506)</f>
        <v/>
      </c>
      <c r="BM506" s="125" t="inlineStr">
        <is>
          <t>N</t>
        </is>
      </c>
      <c r="BN506" s="126">
        <f>IF('BBG Verify'!K506="","not filed; run on terminal",'BBG Verify'!K506)</f>
        <v/>
      </c>
      <c r="BO506" s="108" t="inlineStr">
        <is>
          <t>N/A</t>
        </is>
      </c>
      <c r="BP506" s="108" t="inlineStr">
        <is>
          <t>N/A</t>
        </is>
      </c>
      <c r="BQ506" s="108" t="inlineStr">
        <is>
          <t>N/A</t>
        </is>
      </c>
      <c r="BR506" s="108" t="inlineStr">
        <is>
          <t>N/A</t>
        </is>
      </c>
      <c r="BS506" s="108" t="inlineStr">
        <is>
          <t>N/A</t>
        </is>
      </c>
      <c r="BT506" s="108" t="inlineStr">
        <is>
          <t>N/A</t>
        </is>
      </c>
      <c r="BU506" s="125" t="inlineStr">
        <is>
          <t>CITIC Securities (Hong Kong) Limited</t>
        </is>
      </c>
      <c r="BV506" s="108" t="inlineStr">
        <is>
          <t>CITIC Securities (Hong Kong) Limited</t>
        </is>
      </c>
      <c r="BW506" s="108" t="inlineStr">
        <is>
          <t>CMBC Securities Company Limited; JA Securities Limited</t>
        </is>
      </c>
      <c r="BX506" s="108" t="inlineStr">
        <is>
          <t>China Harbour International Securities Limited; CLSA Limited; CMBC Securities Company Limited; JA Securities Limited; SPDB International Capital Limited</t>
        </is>
      </c>
      <c r="BY506" s="127">
        <f>HYPERLINK("https://www1.hkexnews.hk/listedco/listconews/sehk/2026/0629/2026062900101.pdf","prospectus")</f>
        <v/>
      </c>
      <c r="BZ506" s="127">
        <f>HYPERLINK("https://www1.hkexnews.hk/listedco/listconews/sehk/2026/0708/2026070801214.pdf","allotment")</f>
        <v/>
      </c>
      <c r="CA506" s="127">
        <f>HYPERLINK("https://www1.hkexnews.hk/listedco/listconews/sehk/2026/0803/2026080303735.pdf","stabilisation")</f>
        <v/>
      </c>
      <c r="CB506" s="128" t="n"/>
      <c r="CC506" s="108" t="inlineStr">
        <is>
          <t>greenshoe: outcome published; expiry date not in the notice; range low: maximum offer price only, no floor published; 3m: pending: 60 traded sessions after debut; 63 needed; cornerstone list: no cornerstone tranche; alpha/index: 3m window not elapsed</t>
        </is>
      </c>
    </row>
    <row r="507" ht="22" customHeight="1">
      <c r="A507" s="107" t="inlineStr">
        <is>
          <t>3752</t>
        </is>
      </c>
      <c r="B507" s="108" t="inlineStr">
        <is>
          <t>ROKAE ROBOTICS</t>
        </is>
      </c>
      <c r="C507" s="108" t="inlineStr">
        <is>
          <t>珞石機器人</t>
        </is>
      </c>
      <c r="D507" s="108" t="inlineStr">
        <is>
          <t>Tech/AI</t>
        </is>
      </c>
      <c r="E507" s="108" t="inlineStr">
        <is>
          <t>Robotics &amp; autonomous driving</t>
        </is>
      </c>
      <c r="F507" s="108" t="inlineStr">
        <is>
          <t>Advanced hardware and software</t>
        </is>
      </c>
      <c r="G507" s="108" t="inlineStr">
        <is>
          <t>Standard</t>
        </is>
      </c>
      <c r="H507" s="109" t="n">
        <v>46212</v>
      </c>
      <c r="I507" s="110" t="n">
        <v>875.2</v>
      </c>
      <c r="J507" s="108" t="inlineStr">
        <is>
          <t>gross (stated)</t>
        </is>
      </c>
      <c r="K507" s="129" t="n"/>
      <c r="L507" s="111" t="n">
        <v>38</v>
      </c>
      <c r="M507" s="111" t="n">
        <v>38</v>
      </c>
      <c r="N507" s="108" t="inlineStr">
        <is>
          <t>Y</t>
        </is>
      </c>
      <c r="O507" s="112" t="n">
        <v>100</v>
      </c>
      <c r="P507" s="118" t="n"/>
      <c r="Q507" s="113" t="n">
        <v>9950</v>
      </c>
      <c r="R507" s="108" t="inlineStr">
        <is>
          <t>prospectus:stated market capitalisation</t>
        </is>
      </c>
      <c r="S507" s="114" t="n">
        <v>156.58</v>
      </c>
      <c r="T507" s="115" t="n">
        <v>11.96</v>
      </c>
      <c r="U507" s="116" t="n">
        <v>31.4</v>
      </c>
      <c r="V507" s="117" t="n">
        <v>72</v>
      </c>
      <c r="W507" s="112" t="n">
        <v>10</v>
      </c>
      <c r="X507" s="108" t="inlineStr">
        <is>
          <t>NO</t>
        </is>
      </c>
      <c r="Y507" s="113" t="n">
        <v>600.39</v>
      </c>
      <c r="Z507" s="113" t="n">
        <v>15799883</v>
      </c>
      <c r="AA507" s="112" t="n">
        <v>6.03</v>
      </c>
      <c r="AB507" s="108" t="inlineStr">
        <is>
          <t>GF Management Co., Ltd. ʮ̡; GF International Investment Management Limitedʮ̡ HUATAI CAPITAL INVESTMENT LIMITEDʮ̡; Beijing Financial Street Capital Operation Group Co., Ltd.ፄ൑༟͉༶ᐄ ʮ̡; Yishao Capital Management (HK) Limited; All View Focus Fund LPF</t>
        </is>
      </c>
      <c r="AC507" s="108" t="inlineStr">
        <is>
          <t>gf;beijing-financial;yishao;all</t>
        </is>
      </c>
      <c r="AD507" s="112" t="n">
        <v>15</v>
      </c>
      <c r="AE507" s="108" t="inlineStr">
        <is>
          <t>full</t>
        </is>
      </c>
      <c r="AF507" s="108" t="inlineStr">
        <is>
          <t>2026-08-05</t>
        </is>
      </c>
      <c r="AG507" s="108" t="inlineStr">
        <is>
          <t>China International Capital Corporation Hong Kong Securities Limited</t>
        </is>
      </c>
      <c r="AH507" s="108" t="inlineStr">
        <is>
          <t>China International</t>
        </is>
      </c>
      <c r="AI507" s="139" t="n">
        <v>-1.84</v>
      </c>
      <c r="AJ507" s="121" t="n">
        <v>15.21</v>
      </c>
      <c r="AK507" s="121" t="n">
        <v>0</v>
      </c>
      <c r="AL507" s="121" t="n">
        <v>0.05</v>
      </c>
      <c r="AM507" s="121" t="n">
        <v>15.15</v>
      </c>
      <c r="AN507" s="123" t="n">
        <v>1.77</v>
      </c>
      <c r="AO507" s="112" t="n">
        <v>17.2</v>
      </c>
      <c r="AP507" s="121" t="n">
        <v>28.63</v>
      </c>
      <c r="AQ507" s="121" t="n">
        <v>88.95</v>
      </c>
      <c r="AR507" s="137" t="n"/>
      <c r="AS507" s="121" t="n">
        <v>11.65</v>
      </c>
      <c r="AT507" s="121" t="n">
        <v>64</v>
      </c>
      <c r="AU507" s="137" t="n"/>
      <c r="AV507" s="121" t="n">
        <v>26.3</v>
      </c>
      <c r="AW507" s="121" t="n">
        <v>86.23</v>
      </c>
      <c r="AX507" s="137" t="n"/>
      <c r="AY507" s="121" t="n">
        <v>61.28</v>
      </c>
      <c r="AZ507" s="121" t="n">
        <v>2.72</v>
      </c>
      <c r="BA507" s="121" t="n">
        <v>2.72</v>
      </c>
      <c r="BB507" s="108" t="inlineStr">
        <is>
          <t>HSTECH (Hang Seng TECH ETF)</t>
        </is>
      </c>
      <c r="BC507" s="121" t="n">
        <v>37.76</v>
      </c>
      <c r="BD507" s="109" t="n">
        <v>46297</v>
      </c>
      <c r="BE507" s="110" t="n">
        <v>573.9</v>
      </c>
      <c r="BF507" s="113" t="n">
        <v>-197.2</v>
      </c>
      <c r="BG507" s="108" t="inlineStr">
        <is>
          <t>N</t>
        </is>
      </c>
      <c r="BH507" s="108" t="inlineStr">
        <is>
          <t>n/m</t>
        </is>
      </c>
      <c r="BI507" s="122" t="n"/>
      <c r="BJ507" s="122" t="n"/>
      <c r="BK507" s="123" t="n">
        <v>17.3</v>
      </c>
      <c r="BL507" s="124">
        <f>IF('BBG Verify'!S507="","not filed; run on terminal",'BBG Verify'!S507)</f>
        <v/>
      </c>
      <c r="BM507" s="125" t="inlineStr">
        <is>
          <t>N</t>
        </is>
      </c>
      <c r="BN507" s="126">
        <f>IF('BBG Verify'!K507="","not filed; run on terminal",'BBG Verify'!K507)</f>
        <v/>
      </c>
      <c r="BO507" s="108" t="inlineStr">
        <is>
          <t>N/A</t>
        </is>
      </c>
      <c r="BP507" s="108" t="inlineStr">
        <is>
          <t>N/A</t>
        </is>
      </c>
      <c r="BQ507" s="108" t="inlineStr">
        <is>
          <t>N/A</t>
        </is>
      </c>
      <c r="BR507" s="108" t="inlineStr">
        <is>
          <t>N/A</t>
        </is>
      </c>
      <c r="BS507" s="108" t="inlineStr">
        <is>
          <t>N/A</t>
        </is>
      </c>
      <c r="BT507" s="108" t="inlineStr">
        <is>
          <t>N/A</t>
        </is>
      </c>
      <c r="BU507" s="125" t="inlineStr">
        <is>
          <t>China International Capital Corporation Hong Kong Securities Limited; Guotai Junan Capital Limited</t>
        </is>
      </c>
      <c r="BV507" s="108" t="inlineStr">
        <is>
          <t>China International Capital Corporation Hong Kong Securities Limited; Guotai Junan Capital Limited</t>
        </is>
      </c>
      <c r="BW507" s="108" t="inlineStr">
        <is>
          <t>China International Capital Corporation Hong Kong Securities Limited; Guotai Junan Securities (Hong Kong) Limited; Guosen Securities (HK) Brokerage Company, Limited; Futu Securities International (Hong Kong) Limited; Kingsway Financial Services Group Limited</t>
        </is>
      </c>
      <c r="BX507" s="108" t="inlineStr">
        <is>
          <t>China International Capital Corporation Hong Kong Securities Limited; Futu Securities International (Hong Kong) Limited; Guotai Junan Securities (Hong Kong) Limited; Guosen Securities (HK) Brokerage Company, Limited; Kingsway Financial Services Group Limited</t>
        </is>
      </c>
      <c r="BY507" s="127">
        <f>HYPERLINK("https://www1.hkexnews.hk/listedco/listconews/sehk/2026/0630/2026063000033.pdf","prospectus")</f>
        <v/>
      </c>
      <c r="BZ507" s="127">
        <f>HYPERLINK("https://www1.hkexnews.hk/listedco/listconews/sehk/2026/0708/2026070801234.pdf","allotment")</f>
        <v/>
      </c>
      <c r="CA507" s="127">
        <f>HYPERLINK("https://www1.hkexnews.hk/listedco/listconews/sehk/2026/0805/2026080501829.pdf","stabilisation")</f>
        <v/>
      </c>
      <c r="CB507" s="128" t="n"/>
      <c r="CC507" s="108" t="inlineStr">
        <is>
          <t>P/E: loss-making at IPO, use P/S; range low: maximum offer price only, no floor published; 3m: pending: 60 traded sessions after debut; 63 needed; alpha/index: 3m window not elapsed</t>
        </is>
      </c>
    </row>
    <row r="508" ht="22" customHeight="1">
      <c r="A508" s="107" t="inlineStr">
        <is>
          <t>0537</t>
        </is>
      </c>
      <c r="B508" s="108" t="inlineStr">
        <is>
          <t>RIGOL</t>
        </is>
      </c>
      <c r="C508" s="108" t="inlineStr">
        <is>
          <t>普源精電</t>
        </is>
      </c>
      <c r="D508" s="108" t="inlineStr">
        <is>
          <t>Industrials</t>
        </is>
      </c>
      <c r="E508" s="108" t="inlineStr">
        <is>
          <t>Capital goods / machinery</t>
        </is>
      </c>
      <c r="F508" s="108" t="inlineStr">
        <is>
          <t>Electronic Equipment &amp; Instruments</t>
        </is>
      </c>
      <c r="G508" s="108" t="inlineStr">
        <is>
          <t>Standard</t>
        </is>
      </c>
      <c r="H508" s="109" t="n">
        <v>46212</v>
      </c>
      <c r="I508" s="110" t="n">
        <v>1140.4</v>
      </c>
      <c r="J508" s="108" t="inlineStr">
        <is>
          <t>gross (stated)</t>
        </is>
      </c>
      <c r="K508" s="129" t="n"/>
      <c r="L508" s="111" t="n">
        <v>45.98</v>
      </c>
      <c r="M508" s="111" t="n">
        <v>45.98</v>
      </c>
      <c r="N508" s="108" t="inlineStr">
        <is>
          <t>Y</t>
        </is>
      </c>
      <c r="O508" s="112" t="n">
        <v>100</v>
      </c>
      <c r="P508" s="118" t="n"/>
      <c r="Q508" s="113" t="n">
        <v>10054.8</v>
      </c>
      <c r="R508" s="108" t="inlineStr">
        <is>
          <t>derived:price x shares upon listing</t>
        </is>
      </c>
      <c r="S508" s="114" t="n">
        <v>356.86</v>
      </c>
      <c r="T508" s="115" t="n">
        <v>9.17</v>
      </c>
      <c r="U508" s="116" t="n">
        <v>42.11</v>
      </c>
      <c r="V508" s="117" t="n">
        <v>91</v>
      </c>
      <c r="W508" s="118" t="n"/>
      <c r="X508" s="108" t="inlineStr">
        <is>
          <t>NA</t>
        </is>
      </c>
      <c r="Y508" s="113" t="n">
        <v>660.1799999999999</v>
      </c>
      <c r="Z508" s="113" t="n">
        <v>14357994</v>
      </c>
      <c r="AA508" s="112" t="n">
        <v>6.57</v>
      </c>
      <c r="AB508" s="108" t="inlineStr">
        <is>
          <t>CITIC-Prudential Fund Management Company Ltd; CPE Hemlock Investment Limited; HHLR Advisors, Ltd; Hua Yuan International Limited; Purple Diamond Ltd; Sungrow Power (Hong Kong) Co., Limited; Suzhou Taihu Golden Valley Construction and Development Co., Ltd</t>
        </is>
      </c>
      <c r="AC508" s="108" t="inlineStr">
        <is>
          <t>citic;cpe;hhlr;hua;purple;sungrow;suzhou</t>
        </is>
      </c>
      <c r="AD508" s="118" t="n"/>
      <c r="AE508" s="119" t="n"/>
      <c r="AF508" s="119" t="n"/>
      <c r="AG508" s="119" t="n"/>
      <c r="AH508" s="119" t="n"/>
      <c r="AI508" s="120" t="n">
        <v>-17.36</v>
      </c>
      <c r="AJ508" s="121" t="n">
        <v>-37.36</v>
      </c>
      <c r="AK508" s="121" t="n">
        <v>-0.5600000000000001</v>
      </c>
      <c r="AL508" s="121" t="n">
        <v>-18.75</v>
      </c>
      <c r="AM508" s="121" t="n">
        <v>-22.9</v>
      </c>
      <c r="AN508" s="122" t="n"/>
      <c r="AO508" s="112" t="n">
        <v>24.79</v>
      </c>
      <c r="AP508" s="121" t="n">
        <v>-44.32</v>
      </c>
      <c r="AQ508" s="121" t="n">
        <v>-45.06</v>
      </c>
      <c r="AR508" s="137" t="n"/>
      <c r="AS508" s="121" t="n">
        <v>-11.11</v>
      </c>
      <c r="AT508" s="121" t="n">
        <v>-12.29</v>
      </c>
      <c r="AU508" s="137" t="n"/>
      <c r="AV508" s="121" t="n">
        <v>-48.38</v>
      </c>
      <c r="AW508" s="121" t="n">
        <v>-51.87</v>
      </c>
      <c r="AX508" s="137" t="n"/>
      <c r="AY508" s="121" t="n">
        <v>-19.7</v>
      </c>
      <c r="AZ508" s="121" t="n">
        <v>6.81</v>
      </c>
      <c r="BA508" s="121" t="n">
        <v>7.41</v>
      </c>
      <c r="BB508" s="108" t="inlineStr">
        <is>
          <t>Hang Seng Commerce &amp; Industry sub-index</t>
        </is>
      </c>
      <c r="BC508" s="121" t="n">
        <v>-48.19</v>
      </c>
      <c r="BD508" s="109" t="n">
        <v>46297</v>
      </c>
      <c r="BE508" s="110" t="n">
        <v>853.4</v>
      </c>
      <c r="BF508" s="113" t="n">
        <v>94.7</v>
      </c>
      <c r="BG508" s="108" t="inlineStr">
        <is>
          <t>Y</t>
        </is>
      </c>
      <c r="BH508" s="123" t="n">
        <v>106.2</v>
      </c>
      <c r="BI508" s="122" t="n"/>
      <c r="BJ508" s="122" t="n"/>
      <c r="BK508" s="123" t="n">
        <v>11.8</v>
      </c>
      <c r="BL508" s="124">
        <f>IF('BBG Verify'!S508="","not filed; run on terminal",'BBG Verify'!S508)</f>
        <v/>
      </c>
      <c r="BM508" s="125" t="inlineStr">
        <is>
          <t>Y</t>
        </is>
      </c>
      <c r="BN508" s="108" t="inlineStr">
        <is>
          <t>688337.SS</t>
        </is>
      </c>
      <c r="BO508" s="121" t="n">
        <v>43.58</v>
      </c>
      <c r="BP508" s="111" t="n">
        <v>66.0176</v>
      </c>
      <c r="BQ508" s="135" t="n">
        <v>1.3485</v>
      </c>
      <c r="BR508" s="113" t="n">
        <v>12233.8</v>
      </c>
      <c r="BS508" s="124">
        <f>IF('BBG Verify'!Q508="","run on terminal",'BBG Verify'!Q508)</f>
        <v/>
      </c>
      <c r="BT508" s="124">
        <f>IF('BBG Verify'!R508="","run on terminal",'BBG Verify'!R508)</f>
        <v/>
      </c>
      <c r="BU508" s="125" t="inlineStr">
        <is>
          <t>CITIC Securities (Hong Kong) Limited</t>
        </is>
      </c>
      <c r="BV508" s="108" t="inlineStr">
        <is>
          <t>CITIC Securities (Hong Kong) Limited</t>
        </is>
      </c>
      <c r="BW508" s="108" t="inlineStr">
        <is>
          <t>CLSA Limited</t>
        </is>
      </c>
      <c r="BX508" s="108" t="inlineStr">
        <is>
          <t>CLSA Limited; CMB International Capital Limited; ICBC International Securities Limited</t>
        </is>
      </c>
      <c r="BY508" s="127">
        <f>HYPERLINK("https://www1.hkexnews.hk/listedco/listconews/sehk/2026/0630/2026063000023.pdf","prospectus")</f>
        <v/>
      </c>
      <c r="BZ508" s="127">
        <f>HYPERLINK("https://www1.hkexnews.hk/listedco/listconews/sehk/2026/0708/2026070801336.pdf","allotment")</f>
        <v/>
      </c>
      <c r="CA508" s="119" t="n"/>
      <c r="CB508" s="128" t="n"/>
      <c r="CC508" s="108" t="inlineStr">
        <is>
          <t>greenshoe: no over-allotment option; range low: maximum offer price only, no floor published; A/H: Jul 2026 H listing (electronic test &amp; measurement); 3m: pending: 60 traded sessions after debut; 63 needed; greenshoe size: no over-allotment option; stabilising manager: filing states none appointed (prospectus: 'no stabilizing manager will be appointed' stated in the filing); alpha/index: 3m window not elapsed; allocation: allocation table not in this notice's format (older prose announcement); day-1 tape: volume on file; the retail multiple needs the final public split, which this notice does not state</t>
        </is>
      </c>
    </row>
    <row r="509" ht="22" customHeight="1">
      <c r="A509" s="107" t="inlineStr">
        <is>
          <t>2475</t>
        </is>
      </c>
      <c r="B509" s="108" t="inlineStr">
        <is>
          <t>LUXSHARE ICT</t>
        </is>
      </c>
      <c r="C509" s="108" t="inlineStr">
        <is>
          <t>立訊精密</t>
        </is>
      </c>
      <c r="D509" s="108" t="inlineStr">
        <is>
          <t>Tech/AI</t>
        </is>
      </c>
      <c r="E509" s="108" t="inlineStr">
        <is>
          <t>Smart hardware / consumer electronics</t>
        </is>
      </c>
      <c r="F509" s="108" t="inlineStr">
        <is>
          <t>Telecommunications &amp; Networking Equipment</t>
        </is>
      </c>
      <c r="G509" s="108" t="inlineStr">
        <is>
          <t>Standard</t>
        </is>
      </c>
      <c r="H509" s="109" t="n">
        <v>46212</v>
      </c>
      <c r="I509" s="110" t="n">
        <v>24266.2</v>
      </c>
      <c r="J509" s="108" t="inlineStr">
        <is>
          <t>gross (stated)</t>
        </is>
      </c>
      <c r="K509" s="129" t="n"/>
      <c r="L509" s="111" t="n">
        <v>63.28</v>
      </c>
      <c r="M509" s="111" t="n">
        <v>63.28</v>
      </c>
      <c r="N509" s="108" t="inlineStr">
        <is>
          <t>Y</t>
        </is>
      </c>
      <c r="O509" s="112" t="n">
        <v>100</v>
      </c>
      <c r="P509" s="118" t="n"/>
      <c r="Q509" s="113" t="n">
        <v>487365.5</v>
      </c>
      <c r="R509" s="108" t="inlineStr">
        <is>
          <t>derived:price x shares upon listing</t>
        </is>
      </c>
      <c r="S509" s="114" t="n">
        <v>3.78</v>
      </c>
      <c r="T509" s="115" t="n">
        <v>9.460000000000001</v>
      </c>
      <c r="U509" s="116" t="n">
        <v>48.44</v>
      </c>
      <c r="V509" s="117" t="n">
        <v>294</v>
      </c>
      <c r="W509" s="112" t="n">
        <v>10</v>
      </c>
      <c r="X509" s="108" t="inlineStr">
        <is>
          <t>NA</t>
        </is>
      </c>
      <c r="Y509" s="113" t="n">
        <v>12511.65</v>
      </c>
      <c r="Z509" s="113" t="n">
        <v>197718576</v>
      </c>
      <c r="AA509" s="112" t="n">
        <v>2.57</v>
      </c>
      <c r="AB509" s="108" t="inlineStr">
        <is>
          <t>Taibai Investments Pte. Ltd; True Light Investments H Pte. Ltd; HHLR Advisors, Ltd; HHLRA (as the investment manager of a segregated management account for CPP Investments); GIC Private Limited; CPE Neem Investment Limited; Greenwoods Asset Management Hong Kong Limited; Foresight Global Superior Choice SPC—Global Superior Choice Fund 1 SP , Foresight Global Superior Choice SPC—Vision Fund 1 SP , Foresight Global; SP , Foresight China Equity Fund Abu Dhabi Investment Authority; UBS Asset Management (Singapore) Ltd; Oaktree Capital Management, L.P; Eastspring Investments (Singapore) Limited; Eastspring Investments (Hong Kong) Limited (瀚 亞投資（香港）; First Sentier Investors (Hong Kong) Limited; First Sentier Investors (Singapore); GF Fund Management Co., Ltd; GF International Investment Management Limited; China Universal Asset Management (Hong Kong) Company Limited; Bosera Asset Management (International) Co., Limited; FIL Investment Management (Hong Kong) Limited; Value Partners Hong Kong Limited; Taikang Life Insurance Co., Ltd; Huang River Investment Limited; Prosper High Holding Limited; Mirae Asset Securities Co., Ltd; Mirae Asset Global Investments Co., Ltd; Perseverance Asset Management International (Singapore) Pte. Ltd. (Perseverance; Integrated Core Strategies (Asia) Pte. Ltd; Jane Street Asia Trading Limited; WT Asset Management Limited; MY Asian Opportunities Master Fund, L.P; Polymer Asia Fund LP</t>
        </is>
      </c>
      <c r="AC509" s="108" t="inlineStr">
        <is>
          <t>taibai;true;hhlr;hhlra;gic;cpe;greenwoods;foresight;ubs;oaktree;eastspring;first-sentier;gf;universal;bosera;fil;value;taikang;huang-river;prosper;mirae;perseverance;integrated;jane;wt;my;polymer</t>
        </is>
      </c>
      <c r="AD509" s="112" t="n">
        <v>15</v>
      </c>
      <c r="AE509" s="108" t="inlineStr">
        <is>
          <t>partial</t>
        </is>
      </c>
      <c r="AF509" s="108" t="inlineStr">
        <is>
          <t>2026-08-05</t>
        </is>
      </c>
      <c r="AG509" s="108" t="inlineStr">
        <is>
          <t>Goldman Sachs</t>
        </is>
      </c>
      <c r="AH509" s="108" t="inlineStr">
        <is>
          <t>Goldman Sachs</t>
        </is>
      </c>
      <c r="AI509" s="120" t="n">
        <v>-4.95</v>
      </c>
      <c r="AJ509" s="121" t="n">
        <v>-1.55</v>
      </c>
      <c r="AK509" s="121" t="n">
        <v>0</v>
      </c>
      <c r="AL509" s="121" t="n">
        <v>-0.05</v>
      </c>
      <c r="AM509" s="121" t="n">
        <v>-1.5</v>
      </c>
      <c r="AN509" s="123" t="n">
        <v>1.85</v>
      </c>
      <c r="AO509" s="112" t="n">
        <v>9.57</v>
      </c>
      <c r="AP509" s="121" t="n">
        <v>-5.18</v>
      </c>
      <c r="AQ509" s="121" t="n">
        <v>0.11</v>
      </c>
      <c r="AR509" s="137" t="n"/>
      <c r="AS509" s="121" t="n">
        <v>-3.69</v>
      </c>
      <c r="AT509" s="121" t="n">
        <v>1.69</v>
      </c>
      <c r="AU509" s="137" t="n"/>
      <c r="AV509" s="121" t="n">
        <v>-7.51</v>
      </c>
      <c r="AW509" s="121" t="n">
        <v>-2.61</v>
      </c>
      <c r="AX509" s="137" t="n"/>
      <c r="AY509" s="121" t="n">
        <v>-1.03</v>
      </c>
      <c r="AZ509" s="121" t="n">
        <v>2.72</v>
      </c>
      <c r="BA509" s="121" t="n">
        <v>2.72</v>
      </c>
      <c r="BB509" s="108" t="inlineStr">
        <is>
          <t>HSTECH (Hang Seng TECH ETF)</t>
        </is>
      </c>
      <c r="BC509" s="121" t="n">
        <v>-16.32</v>
      </c>
      <c r="BD509" s="109" t="n">
        <v>46297</v>
      </c>
      <c r="BE509" s="110" t="n">
        <v>365578.9</v>
      </c>
      <c r="BF509" s="113" t="n">
        <v>19987.3</v>
      </c>
      <c r="BG509" s="108" t="inlineStr">
        <is>
          <t>Y</t>
        </is>
      </c>
      <c r="BH509" s="123" t="n">
        <v>24.4</v>
      </c>
      <c r="BI509" s="123" t="n">
        <v>22.8</v>
      </c>
      <c r="BJ509" s="123" t="n">
        <v>23</v>
      </c>
      <c r="BK509" s="123" t="n">
        <v>1.3</v>
      </c>
      <c r="BL509" s="124">
        <f>IF('BBG Verify'!S509="","not filed; run on terminal",'BBG Verify'!S509)</f>
        <v/>
      </c>
      <c r="BM509" s="125" t="inlineStr">
        <is>
          <t>Y</t>
        </is>
      </c>
      <c r="BN509" s="108" t="inlineStr">
        <is>
          <t>002475.SZ</t>
        </is>
      </c>
      <c r="BO509" s="121" t="n">
        <v>13.94</v>
      </c>
      <c r="BP509" s="111" t="n">
        <v>72.09999999999999</v>
      </c>
      <c r="BQ509" s="135" t="n">
        <v>0.0924</v>
      </c>
      <c r="BR509" s="113" t="n">
        <v>447909.8</v>
      </c>
      <c r="BS509" s="124">
        <f>IF('BBG Verify'!Q509="","run on terminal",'BBG Verify'!Q509)</f>
        <v/>
      </c>
      <c r="BT509" s="124">
        <f>IF('BBG Verify'!R509="","run on terminal",'BBG Verify'!R509)</f>
        <v/>
      </c>
      <c r="BU509" s="125" t="inlineStr">
        <is>
          <t>CITIC Securities (Hong Kong) Limited; Goldman Sachs (Asia) L.L.C; China International Capital Corporation Hong Kong Securities Limited</t>
        </is>
      </c>
      <c r="BV509" s="108" t="inlineStr">
        <is>
          <t>China International Capital Corporation Hong Kong Securities Limited; Goldman Sachs (Asia) L.L.C.; CITIC Securities (Hong Kong) Limited</t>
        </is>
      </c>
      <c r="BW509" s="108" t="inlineStr">
        <is>
          <t>CLSA Limited; Goldman Sachs (Asia) L.L.C; China International Capital Corporation Hong Kong Securities Limited</t>
        </is>
      </c>
      <c r="BX509" s="108" t="inlineStr">
        <is>
          <t>China International Capital Corporation Hong Kong Securities Limited; CLSA Limited; GF Securities (Hong Kong) Brokerage Limited; Goldman Sachs (Asia) L.L.C.; Guosen Securities (HK) Capital Company Limited; The Hongkong and Shanghai Banking Corporation Limited</t>
        </is>
      </c>
      <c r="BY509" s="127">
        <f>HYPERLINK("https://www1.hkexnews.hk/listedco/listconews/sehk/2026/0630/2026063000097.pdf","prospectus")</f>
        <v/>
      </c>
      <c r="BZ509" s="127">
        <f>HYPERLINK("https://www1.hkexnews.hk/listedco/listconews/sehk/2026/0708/2026070801342.pdf","allotment")</f>
        <v/>
      </c>
      <c r="CA509" s="127">
        <f>HYPERLINK("https://www1.hkexnews.hk/listedco/listconews/sehk/2026/0805/2026080501907.pdf","stabilisation")</f>
        <v/>
      </c>
      <c r="CB509" s="128" t="n"/>
      <c r="CC509" s="108" t="inlineStr">
        <is>
          <t>range low: maximum offer price only, no floor published; A/H: Jul 2026, ~US$3.1bn; largest HK IPO of 2026 until Innolight; 3m: pending: 60 traded sessions after debut; 63 needed; alpha/index: 3m window not elapsed</t>
        </is>
      </c>
    </row>
    <row r="510" ht="22" customHeight="1">
      <c r="A510" s="107" t="inlineStr">
        <is>
          <t>6951</t>
        </is>
      </c>
      <c r="B510" s="108" t="inlineStr">
        <is>
          <t>CCTC</t>
        </is>
      </c>
      <c r="C510" s="108" t="inlineStr">
        <is>
          <t>三環集團</t>
        </is>
      </c>
      <c r="D510" s="108" t="inlineStr">
        <is>
          <t>Tech/AI</t>
        </is>
      </c>
      <c r="E510" s="108" t="inlineStr">
        <is>
          <t>Smart hardware / consumer electronics</t>
        </is>
      </c>
      <c r="F510" s="108" t="inlineStr">
        <is>
          <t>Electronic Components</t>
        </is>
      </c>
      <c r="G510" s="108" t="inlineStr">
        <is>
          <t>Standard</t>
        </is>
      </c>
      <c r="H510" s="109" t="n">
        <v>46212</v>
      </c>
      <c r="I510" s="110" t="n">
        <v>7157.8</v>
      </c>
      <c r="J510" s="108" t="inlineStr">
        <is>
          <t>gross (stated)</t>
        </is>
      </c>
      <c r="K510" s="129" t="n"/>
      <c r="L510" s="111" t="n">
        <v>100.3</v>
      </c>
      <c r="M510" s="111" t="n">
        <v>100.3</v>
      </c>
      <c r="N510" s="108" t="inlineStr">
        <is>
          <t>Y</t>
        </is>
      </c>
      <c r="O510" s="112" t="n">
        <v>100</v>
      </c>
      <c r="P510" s="118" t="n"/>
      <c r="Q510" s="113" t="n">
        <v>199382.5</v>
      </c>
      <c r="R510" s="108" t="inlineStr">
        <is>
          <t>derived:price x shares upon listing</t>
        </is>
      </c>
      <c r="S510" s="114" t="n">
        <v>327.49</v>
      </c>
      <c r="T510" s="115" t="n">
        <v>16.24</v>
      </c>
      <c r="U510" s="116" t="n">
        <v>49.81</v>
      </c>
      <c r="V510" s="117" t="n">
        <v>151</v>
      </c>
      <c r="W510" s="112" t="n">
        <v>10</v>
      </c>
      <c r="X510" s="108" t="inlineStr">
        <is>
          <t>NA</t>
        </is>
      </c>
      <c r="Y510" s="113" t="n">
        <v>3592.5</v>
      </c>
      <c r="Z510" s="113" t="n">
        <v>35817742</v>
      </c>
      <c r="AA510" s="112" t="n">
        <v>1.8</v>
      </c>
      <c r="AB510" s="108" t="inlineStr">
        <is>
          <t>Temasek; JPMAMAPL; CPE River; Ninety One Asia Pte. Limited; Alibaba Investment; Huang River; GSAM; Manulife-managed Funds; Taikang Life; China Universal Investors; Bosera Internaitonal; ICBC Wealth; IvyRock; GBAHIL; Metazone; Verition Fund; GMF and IRMF</t>
        </is>
      </c>
      <c r="AC510" s="108" t="inlineStr">
        <is>
          <t>temasek;jpmamapl;cpe;ninety;alibaba;huang-river;gsam;manulife;taikang;universal;bosera;icbc;ivyrock;gbahil;metazone;verition;gmf</t>
        </is>
      </c>
      <c r="AD510" s="112" t="n">
        <v>15</v>
      </c>
      <c r="AE510" s="108" t="inlineStr">
        <is>
          <t>partial</t>
        </is>
      </c>
      <c r="AF510" s="119" t="n"/>
      <c r="AG510" s="108" t="inlineStr">
        <is>
          <t>China Galaxy International Securities</t>
        </is>
      </c>
      <c r="AH510" s="108" t="inlineStr">
        <is>
          <t>China Galaxy</t>
        </is>
      </c>
      <c r="AI510" s="120" t="n">
        <v>-4.29</v>
      </c>
      <c r="AJ510" s="121" t="n">
        <v>4.69</v>
      </c>
      <c r="AK510" s="121" t="n">
        <v>0</v>
      </c>
      <c r="AL510" s="121" t="n">
        <v>0</v>
      </c>
      <c r="AM510" s="121" t="n">
        <v>4.69</v>
      </c>
      <c r="AN510" s="123" t="n">
        <v>2.5</v>
      </c>
      <c r="AO510" s="112" t="n">
        <v>8.67</v>
      </c>
      <c r="AP510" s="121" t="n">
        <v>-2.29</v>
      </c>
      <c r="AQ510" s="121" t="n">
        <v>6.68</v>
      </c>
      <c r="AR510" s="137" t="n"/>
      <c r="AS510" s="121" t="n">
        <v>-6.67</v>
      </c>
      <c r="AT510" s="121" t="n">
        <v>1.9</v>
      </c>
      <c r="AU510" s="137" t="n"/>
      <c r="AV510" s="121" t="n">
        <v>-4.62</v>
      </c>
      <c r="AW510" s="121" t="n">
        <v>3.96</v>
      </c>
      <c r="AX510" s="137" t="n"/>
      <c r="AY510" s="121" t="n">
        <v>-0.82</v>
      </c>
      <c r="AZ510" s="121" t="n">
        <v>2.72</v>
      </c>
      <c r="BA510" s="121" t="n">
        <v>2.72</v>
      </c>
      <c r="BB510" s="108" t="inlineStr">
        <is>
          <t>HSTECH (Hang Seng TECH ETF)</t>
        </is>
      </c>
      <c r="BC510" s="121" t="n">
        <v>23.73</v>
      </c>
      <c r="BD510" s="109" t="n">
        <v>46297</v>
      </c>
      <c r="BE510" s="110" t="n">
        <v>9755.4</v>
      </c>
      <c r="BF510" s="113" t="n">
        <v>2878.7</v>
      </c>
      <c r="BG510" s="108" t="inlineStr">
        <is>
          <t>Y</t>
        </is>
      </c>
      <c r="BH510" s="123" t="n">
        <v>69.3</v>
      </c>
      <c r="BI510" s="123" t="n">
        <v>66.3</v>
      </c>
      <c r="BJ510" s="123" t="n">
        <v>79.90000000000001</v>
      </c>
      <c r="BK510" s="123" t="n">
        <v>20.4</v>
      </c>
      <c r="BL510" s="124">
        <f>IF('BBG Verify'!S510="","not filed; run on terminal",'BBG Verify'!S510)</f>
        <v/>
      </c>
      <c r="BM510" s="125" t="inlineStr">
        <is>
          <t>Y</t>
        </is>
      </c>
      <c r="BN510" s="108" t="inlineStr">
        <is>
          <t>300408.SZ</t>
        </is>
      </c>
      <c r="BO510" s="121" t="n">
        <v>50.09</v>
      </c>
      <c r="BP510" s="111" t="n">
        <v>150.5363</v>
      </c>
      <c r="BQ510" s="135" t="n">
        <v>0.1064</v>
      </c>
      <c r="BR510" s="113" t="n">
        <v>274271.6</v>
      </c>
      <c r="BS510" s="124">
        <f>IF('BBG Verify'!Q510="","run on terminal",'BBG Verify'!Q510)</f>
        <v/>
      </c>
      <c r="BT510" s="124">
        <f>IF('BBG Verify'!R510="","run on terminal",'BBG Verify'!R510)</f>
        <v/>
      </c>
      <c r="BU510" s="125" t="inlineStr">
        <is>
          <t>China Galaxy International Securities (Hong Kong) Co., Limited</t>
        </is>
      </c>
      <c r="BV510" s="108" t="inlineStr">
        <is>
          <t>China Galaxy International Securities (Hong Kong) Company Limited</t>
        </is>
      </c>
      <c r="BW510" s="108" t="inlineStr">
        <is>
          <t>CCB International Capital Limited</t>
        </is>
      </c>
      <c r="BX510" s="108" t="inlineStr">
        <is>
          <t>BOCI Asia Limited; CCB International Capital Limited; China Galaxy International Securities (Hong Kong) Company Limited; Huatai Financial Holdings (Hong Kong) Limited; ICBC International Securities Limited</t>
        </is>
      </c>
      <c r="BY510" s="127">
        <f>HYPERLINK("https://www1.hkexnews.hk/listedco/listconews/sehk/2026/0630/2026063000323.pdf","prospectus")</f>
        <v/>
      </c>
      <c r="BZ510" s="127">
        <f>HYPERLINK("https://www1.hkexnews.hk/listedco/listconews/sehk/2026/0708/2026070801348.pdf","allotment")</f>
        <v/>
      </c>
      <c r="CA510" s="127">
        <f>HYPERLINK("https://www1.hkexnews.hk/listedco/listconews/sehk/2026/0805/2026080501999.pdf","stabilisation")</f>
        <v/>
      </c>
      <c r="CB510" s="128" t="n"/>
      <c r="CC510" s="108" t="inlineStr">
        <is>
          <t>greenshoe: outcome published; expiry date not in the notice; range low: maximum offer price only, no floor published; A/H: Jul 2026 H listing (ceramic components; targeted ~US$1bn); 3m: pending: 60 traded sessions after debut; 63 needed; alpha/index: 3m window not elapsed</t>
        </is>
      </c>
    </row>
    <row r="511" ht="22" customHeight="1">
      <c r="A511" s="107" t="inlineStr">
        <is>
          <t>1377</t>
        </is>
      </c>
      <c r="B511" s="108" t="inlineStr">
        <is>
          <t>DTECH</t>
        </is>
      </c>
      <c r="C511" s="108" t="inlineStr">
        <is>
          <t>鼎泰高科</t>
        </is>
      </c>
      <c r="D511" s="108" t="inlineStr">
        <is>
          <t>Tech/AI</t>
        </is>
      </c>
      <c r="E511" s="108" t="inlineStr">
        <is>
          <t>Smart hardware / consumer electronics</t>
        </is>
      </c>
      <c r="F511" s="108" t="inlineStr">
        <is>
          <t>Industrial Machinery</t>
        </is>
      </c>
      <c r="G511" s="108" t="inlineStr">
        <is>
          <t>Standard</t>
        </is>
      </c>
      <c r="H511" s="109" t="n">
        <v>46212</v>
      </c>
      <c r="I511" s="110" t="n">
        <v>4800.2</v>
      </c>
      <c r="J511" s="108" t="inlineStr">
        <is>
          <t>gross (stated)</t>
        </is>
      </c>
      <c r="K511" s="129" t="n"/>
      <c r="L511" s="111" t="n">
        <v>380</v>
      </c>
      <c r="M511" s="111" t="n">
        <v>380</v>
      </c>
      <c r="N511" s="108" t="inlineStr">
        <is>
          <t>Y</t>
        </is>
      </c>
      <c r="O511" s="112" t="n">
        <v>100</v>
      </c>
      <c r="P511" s="118" t="n"/>
      <c r="Q511" s="113" t="n">
        <v>161137.1</v>
      </c>
      <c r="R511" s="108" t="inlineStr">
        <is>
          <t>derived:price x shares upon listing</t>
        </is>
      </c>
      <c r="S511" s="114" t="n">
        <v>354.64</v>
      </c>
      <c r="T511" s="115" t="n">
        <v>24.5</v>
      </c>
      <c r="U511" s="116" t="n">
        <v>41.45</v>
      </c>
      <c r="V511" s="134" t="n"/>
      <c r="W511" s="118" t="n"/>
      <c r="X511" s="108" t="inlineStr">
        <is>
          <t>NA</t>
        </is>
      </c>
      <c r="Y511" s="113" t="n">
        <v>2810.52</v>
      </c>
      <c r="Z511" s="113" t="n">
        <v>7396036</v>
      </c>
      <c r="AA511" s="112" t="n">
        <v>1.74</v>
      </c>
      <c r="AB511" s="108" t="inlineStr">
        <is>
          <t>Victory Giant Technology Holdings (Hong Kong) Limited; HHLR Advisors, Ltd; Aspex Master Fund; KINGBOARD INVESTMENTS LIMITED; CPE Investment XVI Limited; CloudAlpha Capital Management Limited; E FUND E FUND MANAGEMENT CO., LTD; E Fund Management (Hong Kong) Co., Ltd; Verition Multi- Strategy Master Fund Ltd; Taikang Life Insurance Co., Ltd; Athos Capital Limited; Hel Ved Master Fund; Integrated Core Strategies (Asia) Pte. Ltd; IFUND SPC — Vision IX SP; Baring Asset Management (Asia) Limited; Martis Fund, L.P; DYNAMIC HOLDING CO., LTD</t>
        </is>
      </c>
      <c r="AC511" s="108" t="inlineStr">
        <is>
          <t>victory;hhlr;aspex;kingboard;cpe;cloudalpha;fund-fund;fund-management;verition;taikang;athos;hel;integrated;ifund;baring;martis;dynamic</t>
        </is>
      </c>
      <c r="AD511" s="112" t="n">
        <v>15</v>
      </c>
      <c r="AE511" s="119" t="n"/>
      <c r="AF511" s="119" t="n"/>
      <c r="AG511" s="119" t="n"/>
      <c r="AH511" s="119" t="n"/>
      <c r="AI511" s="120" t="n">
        <v>-10.53</v>
      </c>
      <c r="AJ511" s="121" t="n">
        <v>-1.79</v>
      </c>
      <c r="AK511" s="121" t="n">
        <v>0</v>
      </c>
      <c r="AL511" s="121" t="n">
        <v>-13.16</v>
      </c>
      <c r="AM511" s="121" t="n">
        <v>13.09</v>
      </c>
      <c r="AN511" s="122" t="n"/>
      <c r="AO511" s="112" t="n">
        <v>17.58</v>
      </c>
      <c r="AP511" s="121" t="n">
        <v>9.949999999999999</v>
      </c>
      <c r="AQ511" s="121" t="n">
        <v>2.63</v>
      </c>
      <c r="AR511" s="137" t="n"/>
      <c r="AS511" s="121" t="n">
        <v>11.95</v>
      </c>
      <c r="AT511" s="121" t="n">
        <v>4.5</v>
      </c>
      <c r="AU511" s="137" t="n"/>
      <c r="AV511" s="121" t="n">
        <v>7.62</v>
      </c>
      <c r="AW511" s="121" t="n">
        <v>-0.09</v>
      </c>
      <c r="AX511" s="137" t="n"/>
      <c r="AY511" s="121" t="n">
        <v>1.78</v>
      </c>
      <c r="AZ511" s="121" t="n">
        <v>2.72</v>
      </c>
      <c r="BA511" s="121" t="n">
        <v>2.72</v>
      </c>
      <c r="BB511" s="108" t="inlineStr">
        <is>
          <t>HSTECH (Hang Seng TECH ETF)</t>
        </is>
      </c>
      <c r="BC511" s="121" t="n">
        <v>-31.42</v>
      </c>
      <c r="BD511" s="109" t="n">
        <v>46297</v>
      </c>
      <c r="BE511" s="132" t="n"/>
      <c r="BF511" s="113" t="n">
        <v>474.8</v>
      </c>
      <c r="BG511" s="108" t="inlineStr">
        <is>
          <t>Y</t>
        </is>
      </c>
      <c r="BH511" s="123" t="n">
        <v>339.4</v>
      </c>
      <c r="BI511" s="123" t="n">
        <v>305.7</v>
      </c>
      <c r="BJ511" s="123" t="n">
        <v>301.2</v>
      </c>
      <c r="BK511" s="122" t="n"/>
      <c r="BL511" s="124">
        <f>IF('BBG Verify'!S511="","not filed; run on terminal",'BBG Verify'!S511)</f>
        <v/>
      </c>
      <c r="BM511" s="125" t="inlineStr">
        <is>
          <t>Y</t>
        </is>
      </c>
      <c r="BN511" s="108" t="inlineStr">
        <is>
          <t>301377.SZ</t>
        </is>
      </c>
      <c r="BO511" s="121" t="n">
        <v>43.69</v>
      </c>
      <c r="BP511" s="111" t="n">
        <v>546.0071</v>
      </c>
      <c r="BQ511" s="135" t="n">
        <v>0.5312</v>
      </c>
      <c r="BR511" s="113" t="n">
        <v>169283.2</v>
      </c>
      <c r="BS511" s="124">
        <f>IF('BBG Verify'!Q511="","run on terminal",'BBG Verify'!Q511)</f>
        <v/>
      </c>
      <c r="BT511" s="124">
        <f>IF('BBG Verify'!R511="","run on terminal",'BBG Verify'!R511)</f>
        <v/>
      </c>
      <c r="BU511" s="125" t="inlineStr">
        <is>
          <t>CITIC Securities (Hong Kong) Limited; HSBC Corporate Finance (Hong Kong) Limited</t>
        </is>
      </c>
      <c r="BV511" s="108" t="inlineStr">
        <is>
          <t>HSBC Corporate Finance (Hong Kong) Limited; CITIC Securities (Hong Kong) Limited</t>
        </is>
      </c>
      <c r="BW511" s="108" t="inlineStr">
        <is>
          <t>CLSA Limited; The Hongkong and Shanghai Banking Corporation Limited; ABCI Capital Limited; GF Securities (Hong Kong) Brokerage Limited; Huatai Financial Holdings (Hong Kong) Limited</t>
        </is>
      </c>
      <c r="BX511" s="108" t="inlineStr">
        <is>
          <t>ABCI Securities Company Limited; BOCI Asia Limited; China Galaxy International Securities (Hong Kong) Company Limited; CLSA Limited; CMBC Securities Company Limited; CMB International Capital Limited; GF Securities (Hong Kong) Brokerage Limited; Guosen Securities (HK) Brokerage Company, Limited; Huatai Financial Holdings (Hong Kong) Limited; The Hongkong and Shanghai Banking Corporation Limited</t>
        </is>
      </c>
      <c r="BY511" s="127">
        <f>HYPERLINK("https://www1.hkexnews.hk/listedco/listconews/sehk/2026/0630/2026063000041.pdf","prospectus")</f>
        <v/>
      </c>
      <c r="BZ511" s="127">
        <f>HYPERLINK("https://www1.hkexnews.hk/listedco/listconews/sehk/2026/0708/2026070801372.pdf","allotment")</f>
        <v/>
      </c>
      <c r="CA511" s="119" t="n"/>
      <c r="CB511" s="128" t="n"/>
      <c r="CC511" s="108" t="inlineStr">
        <is>
          <t>P/E: extreme but real: trailing multiple at the offer, Bloomberg prints 306x; greenshoe: end-of-stabilisation notice not found; range low: maximum offer price only, no floor published; A/H: Jul 2026 H listing (PCB drilling tools); 3m: pending: 60 traded sessions after debut; 63 needed; P/S: revenue not extractable; stabilising manager: not named in the allotment notice or prospectus glossary; financials: not extractable; pre-IPO year outside the AAStocks window; alpha/index: 3m window not elapsed; allocation: allocation table not in this notice's format (older prose announcement); day-1 tape: volume on file; the retail multiple needs the final public split, which this notice does not state</t>
        </is>
      </c>
    </row>
    <row r="512" ht="22" customHeight="1">
      <c r="A512" s="107" t="inlineStr">
        <is>
          <t>6745</t>
        </is>
      </c>
      <c r="B512" s="108" t="inlineStr">
        <is>
          <t>BEFAR GROUP</t>
        </is>
      </c>
      <c r="C512" s="108" t="inlineStr">
        <is>
          <t>濱化股份</t>
        </is>
      </c>
      <c r="D512" s="108" t="inlineStr">
        <is>
          <t>Materials/Energy</t>
        </is>
      </c>
      <c r="E512" s="108" t="inlineStr">
        <is>
          <t>Chemicals</t>
        </is>
      </c>
      <c r="F512" s="108" t="inlineStr">
        <is>
          <t>Diversified Chemicals</t>
        </is>
      </c>
      <c r="G512" s="108" t="inlineStr">
        <is>
          <t>Standard</t>
        </is>
      </c>
      <c r="H512" s="109" t="n">
        <v>46213</v>
      </c>
      <c r="I512" s="110" t="n">
        <v>1225.4</v>
      </c>
      <c r="J512" s="108" t="inlineStr">
        <is>
          <t>gross (stated)</t>
        </is>
      </c>
      <c r="K512" s="129" t="n"/>
      <c r="L512" s="111" t="n">
        <v>3.59</v>
      </c>
      <c r="M512" s="111" t="n">
        <v>3.48</v>
      </c>
      <c r="N512" s="108" t="inlineStr">
        <is>
          <t>N</t>
        </is>
      </c>
      <c r="O512" s="112" t="n">
        <v>96.90000000000001</v>
      </c>
      <c r="P512" s="118" t="n"/>
      <c r="Q512" s="113" t="n">
        <v>8608.299999999999</v>
      </c>
      <c r="R512" s="108" t="inlineStr">
        <is>
          <t>aastocks:上市市值 at the struck price</t>
        </is>
      </c>
      <c r="S512" s="114" t="n">
        <v>227.58</v>
      </c>
      <c r="T512" s="115" t="n">
        <v>4.26</v>
      </c>
      <c r="U512" s="116" t="n">
        <v>31.88</v>
      </c>
      <c r="V512" s="117" t="n">
        <v>110</v>
      </c>
      <c r="W512" s="112" t="n">
        <v>10</v>
      </c>
      <c r="X512" s="108" t="inlineStr">
        <is>
          <t>NA</t>
        </is>
      </c>
      <c r="Y512" s="113" t="n">
        <v>834.74</v>
      </c>
      <c r="Z512" s="113" t="n">
        <v>239868231</v>
      </c>
      <c r="AA512" s="112" t="n">
        <v>9.699999999999999</v>
      </c>
      <c r="AB512" s="108" t="inlineStr">
        <is>
          <t>Beijing Yian and HTCI (in connection with the Beijing Yian OTC Swaps); Luhua Daosheng and HTCI (in connection with the Luhua Daosheng OTC Swaps); Aurora SF (in connection with Binzhou Guotou Arrangement); China Hongqiao Group Limited; Hyperion Venture; Tianto; Safewell</t>
        </is>
      </c>
      <c r="AC512" s="108" t="inlineStr">
        <is>
          <t>beijing-yian;luhua;aurora;hongqiao;hyperion;tianto;safewell</t>
        </is>
      </c>
      <c r="AD512" s="118" t="n"/>
      <c r="AE512" s="119" t="n"/>
      <c r="AF512" s="119" t="n"/>
      <c r="AG512" s="119" t="n"/>
      <c r="AH512" s="119" t="n"/>
      <c r="AI512" s="120" t="n">
        <v>-21.55</v>
      </c>
      <c r="AJ512" s="121" t="n">
        <v>-18.68</v>
      </c>
      <c r="AK512" s="121" t="n">
        <v>0.55</v>
      </c>
      <c r="AL512" s="121" t="n">
        <v>-21.26</v>
      </c>
      <c r="AM512" s="121" t="n">
        <v>3.28</v>
      </c>
      <c r="AN512" s="123" t="n">
        <v>2.07</v>
      </c>
      <c r="AO512" s="112" t="n">
        <v>18.61</v>
      </c>
      <c r="AP512" s="121" t="n">
        <v>-13.22</v>
      </c>
      <c r="AQ512" s="121" t="n">
        <v>-3.16</v>
      </c>
      <c r="AR512" s="137" t="n"/>
      <c r="AS512" s="121" t="n">
        <v>6.71</v>
      </c>
      <c r="AT512" s="121" t="n">
        <v>19.09</v>
      </c>
      <c r="AU512" s="137" t="n"/>
      <c r="AV512" s="121" t="n">
        <v>-14.88</v>
      </c>
      <c r="AW512" s="121" t="n">
        <v>-11.99</v>
      </c>
      <c r="AX512" s="137" t="n"/>
      <c r="AY512" s="121" t="n">
        <v>10.85</v>
      </c>
      <c r="AZ512" s="121" t="n">
        <v>8.83</v>
      </c>
      <c r="BA512" s="121" t="n">
        <v>8.24</v>
      </c>
      <c r="BB512" s="108" t="inlineStr">
        <is>
          <t>Hang Seng Commerce &amp; Industry sub-index</t>
        </is>
      </c>
      <c r="BC512" s="121" t="n">
        <v>-19.54</v>
      </c>
      <c r="BD512" s="109" t="n">
        <v>46297</v>
      </c>
      <c r="BE512" s="110" t="n">
        <v>16320.1</v>
      </c>
      <c r="BF512" s="113" t="n">
        <v>918.8</v>
      </c>
      <c r="BG512" s="108" t="inlineStr">
        <is>
          <t>Y</t>
        </is>
      </c>
      <c r="BH512" s="123" t="n">
        <v>9.4</v>
      </c>
      <c r="BI512" s="123" t="n">
        <v>16</v>
      </c>
      <c r="BJ512" s="123" t="n">
        <v>17.8</v>
      </c>
      <c r="BK512" s="123" t="n">
        <v>0.5</v>
      </c>
      <c r="BL512" s="124">
        <f>IF('BBG Verify'!S512="","not filed; run on terminal",'BBG Verify'!S512)</f>
        <v/>
      </c>
      <c r="BM512" s="125" t="inlineStr">
        <is>
          <t>Y</t>
        </is>
      </c>
      <c r="BN512" s="108" t="inlineStr">
        <is>
          <t>601678.SS</t>
        </is>
      </c>
      <c r="BO512" s="121" t="n">
        <v>90.03</v>
      </c>
      <c r="BP512" s="111" t="n">
        <v>6.6132</v>
      </c>
      <c r="BQ512" s="135" t="n">
        <v>1.3736</v>
      </c>
      <c r="BR512" s="113" t="n">
        <v>16015.2</v>
      </c>
      <c r="BS512" s="124">
        <f>IF('BBG Verify'!Q512="","run on terminal",'BBG Verify'!Q512)</f>
        <v/>
      </c>
      <c r="BT512" s="124">
        <f>IF('BBG Verify'!R512="","run on terminal",'BBG Verify'!R512)</f>
        <v/>
      </c>
      <c r="BU512" s="125" t="inlineStr">
        <is>
          <t>Huatai Financial Holdings (Hong Kong) Limited; CCB International Capital Limited</t>
        </is>
      </c>
      <c r="BV512" s="108" t="inlineStr">
        <is>
          <t>CCB International Capital Limited; Huatai Financial Holdings (Hong Kong) Limited</t>
        </is>
      </c>
      <c r="BW512" s="108" t="inlineStr">
        <is>
          <t>Huafu International Securities Limited; Central China International Securities Co., Limited; CMB International Capital Limited; Huatai Financial Holdings (Hong Kong) Limited; CCB International Capital Limited; Zhongtai International Securities Limited</t>
        </is>
      </c>
      <c r="BX512" s="108" t="inlineStr">
        <is>
          <t>CCB International Capital Limited; Central China International Securities Co., Limited; CMB International Capital Limited; Huatai Financial Holdings (Hong Kong) Limited; Huafu International Securities Limited; Zhongtai International Securities Limited</t>
        </is>
      </c>
      <c r="BY512" s="127">
        <f>HYPERLINK("https://www1.hkexnews.hk/listedco/listconews/sehk/2026/0630/2026063000101.pdf","prospectus")</f>
        <v/>
      </c>
      <c r="BZ512" s="127">
        <f>HYPERLINK("https://www1.hkexnews.hk/listedco/listconews/sehk/2026/0709/2026070901273.pdf","allotment")</f>
        <v/>
      </c>
      <c r="CA512" s="119" t="n"/>
      <c r="CB512" s="128" t="n"/>
      <c r="CC512" s="108" t="inlineStr">
        <is>
          <t>greenshoe: no over-allotment option; range low: maximum offer price only, no floor published; A/H: Jul 2026 H listing (chlor-alkali/chemicals); 3m: pending: 59 traded sessions after debut; 63 needed; greenshoe size: no over-allotment option; stabilising manager: filing states none appointed (allotment announcement: 'no stabilizing manager will be appointed' stated in the filing); alpha/index: 3m window not elapsed</t>
        </is>
      </c>
    </row>
    <row r="513" ht="22" customHeight="1">
      <c r="A513" s="107" t="inlineStr">
        <is>
          <t>2249</t>
        </is>
      </c>
      <c r="B513" s="108" t="inlineStr">
        <is>
          <t>NEXCHIP</t>
        </is>
      </c>
      <c r="C513" s="108" t="inlineStr">
        <is>
          <t>晶合集成</t>
        </is>
      </c>
      <c r="D513" s="108" t="inlineStr">
        <is>
          <t>Tech/AI</t>
        </is>
      </c>
      <c r="E513" s="108" t="inlineStr">
        <is>
          <t>Semiconductor foundry</t>
        </is>
      </c>
      <c r="F513" s="108" t="inlineStr">
        <is>
          <t>Semiconductors &amp; Semiconductor Equipment</t>
        </is>
      </c>
      <c r="G513" s="108" t="inlineStr">
        <is>
          <t>Standard</t>
        </is>
      </c>
      <c r="H513" s="109" t="n">
        <v>46213</v>
      </c>
      <c r="I513" s="110" t="n">
        <v>6982.19</v>
      </c>
      <c r="J513" s="108" t="inlineStr">
        <is>
          <t>gross (stated)</t>
        </is>
      </c>
      <c r="K513" s="129" t="n"/>
      <c r="L513" s="111" t="n">
        <v>32.3</v>
      </c>
      <c r="M513" s="111" t="n">
        <v>32.3</v>
      </c>
      <c r="N513" s="108" t="inlineStr">
        <is>
          <t>Y</t>
        </is>
      </c>
      <c r="O513" s="112" t="n">
        <v>100</v>
      </c>
      <c r="P513" s="118" t="n"/>
      <c r="Q513" s="113" t="n">
        <v>72179.10000000001</v>
      </c>
      <c r="R513" s="108" t="inlineStr">
        <is>
          <t>aastocks:上市市值 at the struck price</t>
        </is>
      </c>
      <c r="S513" s="114" t="n">
        <v>344.26</v>
      </c>
      <c r="T513" s="115" t="n">
        <v>14.62</v>
      </c>
      <c r="U513" s="116" t="n">
        <v>49.92</v>
      </c>
      <c r="V513" s="117" t="n">
        <v>170</v>
      </c>
      <c r="W513" s="112" t="n">
        <v>10</v>
      </c>
      <c r="X513" s="108" t="inlineStr">
        <is>
          <t>NA</t>
        </is>
      </c>
      <c r="Y513" s="113" t="n">
        <v>3496.68</v>
      </c>
      <c r="Z513" s="113" t="n">
        <v>108256434</v>
      </c>
      <c r="AA513" s="112" t="n">
        <v>4.84</v>
      </c>
      <c r="AB513" s="108" t="inlineStr">
        <is>
          <t>Hefei Chipone (Hong Kong) Co., Limited and Chipone (Hong Kong) Co., Limited (collectively, Chipone ); Puxin Technology Limited; Smartsens Technology (HK) Co., Limited; Chery Automobile HongKong Trade Co., Limited; Goertek (HongKong) Co., Limited; Taikang Life Insurance Co., Ltd; GF Fund Management Co., Ltd; GF International Investment Management Limited; Shanghai Gaoyi Asset Management Partnership (Limited Partnership); Perseverance Asset Management International (Singapore) Pte. Ltd; China Universal Asset Management (Hong Kong) Company Limited; NGS Super Pty Limited , as trustee of NGS Super; HHLR Advisors, Ltd; WT Asset Management Limited; IvyRock Asset Management (HK) Limited; Verition Multi-Strategy Master Fund Ltd., managed by Verition Fund Management LLC; Pinpoint Asset Management Limited; Da Cheng International Asset Management Company Limited; ICBC Wealth Management Co., Ltd; PSBC Wealth Management Co., Ltd; Harvest Global Investments Limited</t>
        </is>
      </c>
      <c r="AC513" s="108" t="inlineStr">
        <is>
          <t>hefei;puxin;smartsens;chery;goertek;taikang;gf;shanghai-gaoyi;perseverance;universal;ngs;hhlr;wt;ivyrock;verition;pinpoint;da;icbc;psbc;harvest</t>
        </is>
      </c>
      <c r="AD513" s="112" t="n">
        <v>15</v>
      </c>
      <c r="AE513" s="108" t="inlineStr">
        <is>
          <t>partial</t>
        </is>
      </c>
      <c r="AF513" s="108" t="inlineStr">
        <is>
          <t>2026-08-06</t>
        </is>
      </c>
      <c r="AG513" s="108" t="inlineStr">
        <is>
          <t>China International Capital Corporation Hong Kong Securities Limited</t>
        </is>
      </c>
      <c r="AH513" s="108" t="inlineStr">
        <is>
          <t>China International</t>
        </is>
      </c>
      <c r="AI513" s="120" t="n">
        <v>11.76</v>
      </c>
      <c r="AJ513" s="121" t="n">
        <v>0</v>
      </c>
      <c r="AK513" s="121" t="n">
        <v>-0.13</v>
      </c>
      <c r="AL513" s="121" t="n">
        <v>11.46</v>
      </c>
      <c r="AM513" s="121" t="n">
        <v>-10.28</v>
      </c>
      <c r="AN513" s="123" t="n">
        <v>2.99</v>
      </c>
      <c r="AO513" s="112" t="n">
        <v>13.89</v>
      </c>
      <c r="AP513" s="121" t="n">
        <v>-9.66</v>
      </c>
      <c r="AQ513" s="121" t="n">
        <v>-0.12</v>
      </c>
      <c r="AR513" s="137" t="n"/>
      <c r="AS513" s="121" t="n">
        <v>-9.66</v>
      </c>
      <c r="AT513" s="121" t="n">
        <v>-0.12</v>
      </c>
      <c r="AU513" s="137" t="n"/>
      <c r="AV513" s="121" t="n">
        <v>-7.38</v>
      </c>
      <c r="AW513" s="121" t="n">
        <v>-4</v>
      </c>
      <c r="AX513" s="137" t="n"/>
      <c r="AY513" s="121" t="n">
        <v>-4.13</v>
      </c>
      <c r="AZ513" s="121" t="n">
        <v>3.88</v>
      </c>
      <c r="BA513" s="121" t="n">
        <v>4.01</v>
      </c>
      <c r="BB513" s="108" t="inlineStr">
        <is>
          <t>HSTECH (Hang Seng TECH ETF)</t>
        </is>
      </c>
      <c r="BC513" s="121" t="n">
        <v>-20.31</v>
      </c>
      <c r="BD513" s="109" t="n">
        <v>46297</v>
      </c>
      <c r="BE513" s="110" t="n">
        <v>11427.1</v>
      </c>
      <c r="BF513" s="113" t="n">
        <v>513.1</v>
      </c>
      <c r="BG513" s="108" t="inlineStr">
        <is>
          <t>Y</t>
        </is>
      </c>
      <c r="BH513" s="123" t="n">
        <v>140.7</v>
      </c>
      <c r="BI513" s="123" t="n">
        <v>77.3</v>
      </c>
      <c r="BJ513" s="123" t="n">
        <v>87.3</v>
      </c>
      <c r="BK513" s="123" t="n">
        <v>6.3</v>
      </c>
      <c r="BL513" s="124">
        <f>IF('BBG Verify'!S513="","not filed; run on terminal",'BBG Verify'!S513)</f>
        <v/>
      </c>
      <c r="BM513" s="125" t="inlineStr">
        <is>
          <t>Y</t>
        </is>
      </c>
      <c r="BN513" s="108" t="inlineStr">
        <is>
          <t>688249.SS</t>
        </is>
      </c>
      <c r="BO513" s="121" t="n">
        <v>132.6</v>
      </c>
      <c r="BP513" s="111" t="n">
        <v>75.1297</v>
      </c>
      <c r="BQ513" s="135" t="n">
        <v>0.4916</v>
      </c>
      <c r="BR513" s="113" t="n">
        <v>85835.7</v>
      </c>
      <c r="BS513" s="124">
        <f>IF('BBG Verify'!Q513="","run on terminal",'BBG Verify'!Q513)</f>
        <v/>
      </c>
      <c r="BT513" s="124">
        <f>IF('BBG Verify'!R513="","run on terminal",'BBG Verify'!R513)</f>
        <v/>
      </c>
      <c r="BU513" s="125" t="inlineStr">
        <is>
          <t>CICC</t>
        </is>
      </c>
      <c r="BV513" s="108" t="inlineStr">
        <is>
          <t>China International Capital Corporation Hong Kong Securities Limited</t>
        </is>
      </c>
      <c r="BW513" s="108" t="inlineStr">
        <is>
          <t>BOCI Asia Limited; ICBC International Securities Limited; Futu Securities International (Hong Kong) Limited</t>
        </is>
      </c>
      <c r="BX513" s="108" t="inlineStr">
        <is>
          <t>BOCI Asia Limited; China International Capital Corporation Hong Kong Securities Limited; CLSA Limited; CMB International Capital Limited; Futu Securities International (Hong Kong) Limited; Huatai Financial Holdings (Hong Kong) Limited; ICBC International Securities Limited</t>
        </is>
      </c>
      <c r="BY513" s="127">
        <f>HYPERLINK("https://www1.hkexnews.hk/listedco/listconews/sehk/2026/0630/2026063000123.pdf","prospectus")</f>
        <v/>
      </c>
      <c r="BZ513" s="127">
        <f>HYPERLINK("https://www1.hkexnews.hk/listedco/listconews/sehk/2026/0709/2026070901289.pdf","allotment")</f>
        <v/>
      </c>
      <c r="CA513" s="127">
        <f>HYPERLINK("https://www1.hkexnews.hk/listedco/listconews/sehk/2026/0806/2026080602039.pdf","stabilisation")</f>
        <v/>
      </c>
      <c r="CB513" s="128" t="n"/>
      <c r="CC513" s="108" t="inlineStr">
        <is>
          <t>range low: maximum offer price only, no floor published; A/H: Jul 2026 H listing (foundry); 3m: pending: 59 traded sessions after debut; 63 needed; market cap: published listing cap used; the estimate from deal size / offer % of enlarged capital disagreed; alpha/index: 3m window not elapsed</t>
        </is>
      </c>
    </row>
    <row r="514" ht="22" customHeight="1">
      <c r="A514" s="107" t="inlineStr">
        <is>
          <t>3308</t>
        </is>
      </c>
      <c r="B514" s="108" t="inlineStr">
        <is>
          <t>ZJ INNOLIGHT</t>
        </is>
      </c>
      <c r="C514" s="108" t="inlineStr">
        <is>
          <t>中際旭創</t>
        </is>
      </c>
      <c r="D514" s="108" t="inlineStr">
        <is>
          <t>Tech/AI</t>
        </is>
      </c>
      <c r="E514" s="108" t="inlineStr">
        <is>
          <t>Smart hardware / consumer electronics</t>
        </is>
      </c>
      <c r="F514" s="108" t="inlineStr">
        <is>
          <t>Telecommunications &amp; Networking Equipment</t>
        </is>
      </c>
      <c r="G514" s="108" t="inlineStr">
        <is>
          <t>Standard</t>
        </is>
      </c>
      <c r="H514" s="109" t="n">
        <v>46233</v>
      </c>
      <c r="I514" s="110" t="n">
        <v>53410</v>
      </c>
      <c r="J514" s="108" t="inlineStr">
        <is>
          <t>gross (stated)</t>
        </is>
      </c>
      <c r="K514" s="129" t="n"/>
      <c r="L514" s="111" t="n">
        <v>1010</v>
      </c>
      <c r="M514" s="111" t="n">
        <v>980</v>
      </c>
      <c r="N514" s="108" t="inlineStr">
        <is>
          <t>N</t>
        </is>
      </c>
      <c r="O514" s="112" t="n">
        <v>97</v>
      </c>
      <c r="P514" s="118" t="n"/>
      <c r="Q514" s="113" t="n">
        <v>1530449.5</v>
      </c>
      <c r="R514" s="108" t="inlineStr">
        <is>
          <t>prospectus:stated market capitalisation, rescaled to the offer price</t>
        </is>
      </c>
      <c r="S514" s="114" t="n">
        <v>16.84</v>
      </c>
      <c r="T514" s="115" t="n">
        <v>9.73</v>
      </c>
      <c r="U514" s="116" t="n">
        <v>50</v>
      </c>
      <c r="V514" s="117" t="n">
        <v>549</v>
      </c>
      <c r="W514" s="112" t="n">
        <v>10</v>
      </c>
      <c r="X514" s="108" t="inlineStr">
        <is>
          <t>NA</t>
        </is>
      </c>
      <c r="Y514" s="113" t="n">
        <v>26705</v>
      </c>
      <c r="Z514" s="113" t="n">
        <v>27250000</v>
      </c>
      <c r="AA514" s="112" t="n">
        <v>1.74</v>
      </c>
      <c r="AB514" s="108" t="inlineStr">
        <is>
          <t>Taibai; True Light; HHLRA; JPMIMI; JPMAMAPL; BlackRock; YF Capital; Aspex; ADIA; Wellington; Perseverance Asset Management; Indus Funds; Mirae Investors; NGS Super Fund; Bain Capital; Boyu Capital; IDG Capital; Ninety One Asia Pte. Limited; WT Asset Management Limited; CloudAlpha Capital; Tairen; Hao Funds; Janchor Funds; Alibaba; Tencent; CPP Investments; Oaktree; CP Black Dragon; CTFE; Athos Capital Limited; TAL Funds; Burkehill; General Atlantic; Huadeng Technology</t>
        </is>
      </c>
      <c r="AC514" s="108" t="inlineStr">
        <is>
          <t>taibai;true;hhlra;jpmimi;jpmamapl;blackrock;yf;aspex;adia;wellington;perseverance;indus;mirae;ngs;bain;boyu;idg;ninety;wt;cloudalpha;tairen;hao;janchor;alibaba;tencent;cpp;oaktree;cp;ctfe;athos;tal;burkehill;general;huadeng</t>
        </is>
      </c>
      <c r="AD514" s="112" t="n">
        <v>15</v>
      </c>
      <c r="AE514" s="108" t="inlineStr">
        <is>
          <t>full</t>
        </is>
      </c>
      <c r="AF514" s="119" t="n"/>
      <c r="AG514" s="108" t="inlineStr">
        <is>
          <t>Goldman Sachs</t>
        </is>
      </c>
      <c r="AH514" s="108" t="inlineStr">
        <is>
          <t>Goldman Sachs</t>
        </is>
      </c>
      <c r="AI514" s="120" t="n">
        <v>-1.07</v>
      </c>
      <c r="AJ514" s="121" t="n">
        <v>-2.04</v>
      </c>
      <c r="AK514" s="121" t="n">
        <v>-1.05</v>
      </c>
      <c r="AL514" s="121" t="n">
        <v>-0.92</v>
      </c>
      <c r="AM514" s="121" t="n">
        <v>-1.13</v>
      </c>
      <c r="AN514" s="123" t="n">
        <v>2.24</v>
      </c>
      <c r="AO514" s="112" t="n">
        <v>9.58</v>
      </c>
      <c r="AP514" s="121" t="n">
        <v>17.45</v>
      </c>
      <c r="AQ514" s="121" t="n">
        <v>6.12</v>
      </c>
      <c r="AR514" s="137" t="n"/>
      <c r="AS514" s="121" t="n">
        <v>19.9</v>
      </c>
      <c r="AT514" s="121" t="n">
        <v>8.33</v>
      </c>
      <c r="AU514" s="137" t="n"/>
      <c r="AV514" s="121" t="n">
        <v>18.16</v>
      </c>
      <c r="AW514" s="121" t="n">
        <v>11.28</v>
      </c>
      <c r="AX514" s="137" t="n"/>
      <c r="AY514" s="121" t="n">
        <v>12.48</v>
      </c>
      <c r="AZ514" s="121" t="n">
        <v>-5.16</v>
      </c>
      <c r="BA514" s="121" t="n">
        <v>-4.15</v>
      </c>
      <c r="BB514" s="108" t="inlineStr">
        <is>
          <t>HSTECH (Hang Seng TECH ETF)</t>
        </is>
      </c>
      <c r="BC514" s="121" t="n">
        <v>9.390000000000001</v>
      </c>
      <c r="BD514" s="109" t="n">
        <v>46297</v>
      </c>
      <c r="BE514" s="110" t="n">
        <v>42063.9</v>
      </c>
      <c r="BF514" s="113" t="n">
        <v>12737.7</v>
      </c>
      <c r="BG514" s="108" t="inlineStr">
        <is>
          <t>Y</t>
        </is>
      </c>
      <c r="BH514" s="123" t="n">
        <v>120.2</v>
      </c>
      <c r="BI514" s="123" t="n">
        <v>85.09999999999999</v>
      </c>
      <c r="BJ514" s="123" t="n">
        <v>112.4</v>
      </c>
      <c r="BK514" s="123" t="n">
        <v>36.4</v>
      </c>
      <c r="BL514" s="124">
        <f>IF('BBG Verify'!S514="","not filed; run on terminal",'BBG Verify'!S514)</f>
        <v/>
      </c>
      <c r="BM514" s="125" t="inlineStr">
        <is>
          <t>Y</t>
        </is>
      </c>
      <c r="BN514" s="108" t="inlineStr">
        <is>
          <t>300308.SZ</t>
        </is>
      </c>
      <c r="BO514" s="121" t="n">
        <v>12.36</v>
      </c>
      <c r="BP514" s="111" t="n">
        <v>1101.1724</v>
      </c>
      <c r="BQ514" s="135" t="n">
        <v>-0.1175</v>
      </c>
      <c r="BR514" s="113" t="n">
        <v>1114822.5</v>
      </c>
      <c r="BS514" s="124">
        <f>IF('BBG Verify'!Q514="","run on terminal",'BBG Verify'!Q514)</f>
        <v/>
      </c>
      <c r="BT514" s="124">
        <f>IF('BBG Verify'!R514="","run on terminal",'BBG Verify'!R514)</f>
        <v/>
      </c>
      <c r="BU514" s="125" t="inlineStr">
        <is>
          <t>Goldman Sachs (Asia) L.L.C; China International Capital Corporation Hong Kong Securities Limited; Morgan Stanley Asia Limited; GF Capital (Hong Kong) Limited</t>
        </is>
      </c>
      <c r="BV514" s="108" t="inlineStr">
        <is>
          <t>China International Capital Corporation Hong Kong Securities Limited; Morgan Stanley Asia Limited; Goldman Sachs (Asia) L.L.C.; GF Capital (Hong Kong) Limited</t>
        </is>
      </c>
      <c r="BW514" s="108" t="inlineStr">
        <is>
          <t>Goldman Sachs (Asia) L.L.C; China International Capital Corporation Hong Kong Securities Limited; Morgan Stanley Asia Limited; GF Securities (Hong Kong) Brokerage Limited; Citigroup Global Markets Asia Limited; Citigroup Global Markets Limited; Corporation Limited; China Galaxy International Securities (Hong Kong) Co., Limited; Zhongtai International Securities Limited; Zero2IPO Securities Limited; DBS Asia Capital Limited; Haitong International Securities Company Limited; The Hongkong and Shanghai Banking Corporation Limited; ABCI Capital Limited</t>
        </is>
      </c>
      <c r="BX514" s="108"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 Haitong International Securities Company Limited; The Hongkong and Shanghai Banking Corporation Limited; Morgan Stanley Asia Limited; Zero2IPO Securities Limited; Zhongtai International Securities Limited</t>
        </is>
      </c>
      <c r="BY514" s="127">
        <f>HYPERLINK("https://www1.hkexnews.hk/listedco/listconews/sehk/2026/0722/2026072200013.pdf","prospectus")</f>
        <v/>
      </c>
      <c r="BZ514" s="127">
        <f>HYPERLINK("https://www1.hkexnews.hk/listedco/listconews/sehk/2026/0729/2026072901629.pdf","allotment")</f>
        <v/>
      </c>
      <c r="CA514" s="127">
        <f>HYPERLINK("https://www1.hkexnews.hk/listedco/listconews/sehk/2026/0827/2026082700007.pdf","stabilisation")</f>
        <v/>
      </c>
      <c r="CB514" s="128" t="n"/>
      <c r="CC514" s="108" t="inlineStr">
        <is>
          <t>greenshoe: outcome published; expiry date not in the notice; range low: maximum offer price only, no floor published; A/H: Jul 2026; Hong Kong's largest IPO in seven years (optical transceivers for AI datacenters); 3m: pending: 45 traded sessions after debut; 63 needed; market cap: prospectus cap HK$1,577,300m at HK$1,010.00, rescaled to HK$980.00; alpha/index: 3m window not elapsed</t>
        </is>
      </c>
    </row>
    <row r="515" ht="22" customHeight="1">
      <c r="A515" s="107" t="inlineStr">
        <is>
          <t>2261</t>
        </is>
      </c>
      <c r="B515" s="108" t="inlineStr">
        <is>
          <t>NASN TECH</t>
        </is>
      </c>
      <c r="C515" s="108" t="inlineStr">
        <is>
          <t>拿森科技</t>
        </is>
      </c>
      <c r="D515" s="108" t="inlineStr">
        <is>
          <t>Consumer</t>
        </is>
      </c>
      <c r="E515" s="108" t="inlineStr">
        <is>
          <t>Auto parts / supply chain</t>
        </is>
      </c>
      <c r="F515" s="108" t="inlineStr">
        <is>
          <t>Auto Parts &amp; Equipment</t>
        </is>
      </c>
      <c r="G515" s="108" t="inlineStr">
        <is>
          <t>Standard</t>
        </is>
      </c>
      <c r="H515" s="109" t="n">
        <v>46241</v>
      </c>
      <c r="I515" s="110" t="n">
        <v>600.1</v>
      </c>
      <c r="J515" s="108" t="inlineStr">
        <is>
          <t>gross (price x shares)</t>
        </is>
      </c>
      <c r="K515" s="129" t="n"/>
      <c r="L515" s="111" t="n">
        <v>11.18</v>
      </c>
      <c r="M515" s="111" t="n">
        <v>10.42</v>
      </c>
      <c r="N515" s="108" t="inlineStr">
        <is>
          <t>N</t>
        </is>
      </c>
      <c r="O515" s="112" t="n">
        <v>93.2</v>
      </c>
      <c r="P515" s="118" t="n"/>
      <c r="Q515" s="113" t="n">
        <v>6199.7</v>
      </c>
      <c r="R515" s="108" t="inlineStr">
        <is>
          <t>derived:price x shares upon listing</t>
        </is>
      </c>
      <c r="S515" s="114" t="n">
        <v>2513.54</v>
      </c>
      <c r="T515" s="115" t="n">
        <v>2.12</v>
      </c>
      <c r="U515" s="116" t="n">
        <v>0</v>
      </c>
      <c r="V515" s="117" t="n">
        <v>133</v>
      </c>
      <c r="W515" s="112" t="n">
        <v>10</v>
      </c>
      <c r="X515" s="108" t="inlineStr">
        <is>
          <t>NO</t>
        </is>
      </c>
      <c r="Y515" s="113" t="n">
        <v>600.1</v>
      </c>
      <c r="Z515" s="113" t="n">
        <v>57594500</v>
      </c>
      <c r="AA515" s="112" t="n">
        <v>9.68</v>
      </c>
      <c r="AB515" s="108" t="inlineStr">
        <is>
          <t>none — no cornerstone tranche</t>
        </is>
      </c>
      <c r="AC515" s="108" t="inlineStr">
        <is>
          <t>none</t>
        </is>
      </c>
      <c r="AD515" s="112" t="n">
        <v>10.12</v>
      </c>
      <c r="AE515" s="108" t="inlineStr">
        <is>
          <t>lapsed (no over-allocation)</t>
        </is>
      </c>
      <c r="AF515" s="119" t="n"/>
      <c r="AG515" s="108" t="inlineStr">
        <is>
          <t>Haitong International Securities Company Limited</t>
        </is>
      </c>
      <c r="AH515" s="108" t="inlineStr">
        <is>
          <t>Haitong</t>
        </is>
      </c>
      <c r="AI515" s="120" t="n">
        <v>60.27</v>
      </c>
      <c r="AJ515" s="121" t="n">
        <v>64.11</v>
      </c>
      <c r="AK515" s="121" t="n">
        <v>0.84</v>
      </c>
      <c r="AL515" s="121" t="n">
        <v>62.19</v>
      </c>
      <c r="AM515" s="121" t="n">
        <v>1.18</v>
      </c>
      <c r="AN515" s="123" t="n">
        <v>2.33</v>
      </c>
      <c r="AO515" s="112" t="n">
        <v>18.93</v>
      </c>
      <c r="AP515" s="121" t="n">
        <v>45.3</v>
      </c>
      <c r="AQ515" s="121" t="n">
        <v>39.92</v>
      </c>
      <c r="AR515" s="137" t="n"/>
      <c r="AS515" s="121" t="n">
        <v>-11.46</v>
      </c>
      <c r="AT515" s="121" t="n">
        <v>-14.74</v>
      </c>
      <c r="AU515" s="137" t="n"/>
      <c r="AV515" s="121" t="n">
        <v>47.27</v>
      </c>
      <c r="AW515" s="121" t="n">
        <v>43.38</v>
      </c>
      <c r="AX515" s="137" t="n"/>
      <c r="AY515" s="121" t="n">
        <v>-10.48</v>
      </c>
      <c r="AZ515" s="121" t="n">
        <v>-3.46</v>
      </c>
      <c r="BA515" s="121" t="n">
        <v>-4.26</v>
      </c>
      <c r="BB515" s="108" t="inlineStr">
        <is>
          <t>Hang Seng Commerce &amp; Industry sub-index</t>
        </is>
      </c>
      <c r="BC515" s="121" t="n">
        <v>54.51</v>
      </c>
      <c r="BD515" s="109" t="n">
        <v>46297</v>
      </c>
      <c r="BE515" s="110" t="n">
        <v>676</v>
      </c>
      <c r="BF515" s="113" t="n">
        <v>-208.5</v>
      </c>
      <c r="BG515" s="108" t="inlineStr">
        <is>
          <t>N</t>
        </is>
      </c>
      <c r="BH515" s="108" t="inlineStr">
        <is>
          <t>n/m</t>
        </is>
      </c>
      <c r="BI515" s="122" t="n"/>
      <c r="BJ515" s="122" t="n"/>
      <c r="BK515" s="123" t="n">
        <v>9.199999999999999</v>
      </c>
      <c r="BL515" s="124">
        <f>IF('BBG Verify'!S515="","not filed; run on terminal",'BBG Verify'!S515)</f>
        <v/>
      </c>
      <c r="BM515" s="125" t="inlineStr">
        <is>
          <t>N</t>
        </is>
      </c>
      <c r="BN515" s="126">
        <f>IF('BBG Verify'!K515="","not filed; run on terminal",'BBG Verify'!K515)</f>
        <v/>
      </c>
      <c r="BO515" s="108" t="inlineStr">
        <is>
          <t>N/A</t>
        </is>
      </c>
      <c r="BP515" s="108" t="inlineStr">
        <is>
          <t>N/A</t>
        </is>
      </c>
      <c r="BQ515" s="108" t="inlineStr">
        <is>
          <t>N/A</t>
        </is>
      </c>
      <c r="BR515" s="108" t="inlineStr">
        <is>
          <t>N/A</t>
        </is>
      </c>
      <c r="BS515" s="108" t="inlineStr">
        <is>
          <t>N/A</t>
        </is>
      </c>
      <c r="BT515" s="108" t="inlineStr">
        <is>
          <t>N/A</t>
        </is>
      </c>
      <c r="BU515" s="125" t="inlineStr">
        <is>
          <t>Haitong International Capital Limited; BOCI Asia Limited</t>
        </is>
      </c>
      <c r="BV515" s="108" t="inlineStr">
        <is>
          <t>Haitong International Capital Limited; BOCI Asia Limited</t>
        </is>
      </c>
      <c r="BW515" s="108" t="inlineStr">
        <is>
          <t>Haitong International Securities Company Limited; BOCI Asia Limited; SDIC Securities (Hong Kong) Limited; Orient Securities (Hong Kong) Limited; TradeMaster Securities (Hong Kong) Limited; SPDB International Capital Limited</t>
        </is>
      </c>
      <c r="BX515" s="108" t="inlineStr">
        <is>
          <t>BOCI Asia Limited; Futu Securities International (Hong Kong) Limited; Haitong International Securities Company Limited; Orient Securities (Hong Kong) Limited; SDIC Securities (Hong Kong) Limited; SPDB International Capital Limited; TradeMaster Securities (Hong Kong) Limited</t>
        </is>
      </c>
      <c r="BY515" s="127">
        <f>HYPERLINK("https://www1.hkexnews.hk/listedco/listconews/sehk/2026/0730/2026073000009.pdf","prospectus")</f>
        <v/>
      </c>
      <c r="BZ515" s="127">
        <f>HYPERLINK("https://www1.hkexnews.hk/listedco/listconews/sehk/2026/0806/2026080602047.pdf","allotment")</f>
        <v/>
      </c>
      <c r="CA515" s="127">
        <f>HYPERLINK("https://www1.hkexnews.hk/listedco/listconews/sehk/2026/0903/2026090301412.pdf","stabilisation")</f>
        <v/>
      </c>
      <c r="CB515" s="128" t="n"/>
      <c r="CC515" s="108" t="inlineStr">
        <is>
          <t>P/E: loss-making at IPO, use P/S; greenshoe: outcome published; expiry date not in the notice; range low: maximum offer price only, no floor published; 3m: pending: 39 traded sessions after debut; 63 needed; cornerstone list: no cornerstone tranche; alpha/index: 3m window not elapsed</t>
        </is>
      </c>
    </row>
    <row r="516" ht="22" customHeight="1">
      <c r="A516" s="107" t="inlineStr">
        <is>
          <t>3223</t>
        </is>
      </c>
      <c r="B516" s="108" t="inlineStr">
        <is>
          <t>INGENIC</t>
        </is>
      </c>
      <c r="C516" s="108" t="inlineStr">
        <is>
          <t>北京君正</t>
        </is>
      </c>
      <c r="D516" s="108" t="inlineStr">
        <is>
          <t>Tech/AI</t>
        </is>
      </c>
      <c r="E516" s="108" t="inlineStr">
        <is>
          <t>Other / diversified semiconductors</t>
        </is>
      </c>
      <c r="F516" s="108" t="inlineStr">
        <is>
          <t>Semiconductors &amp; Semiconductor Equipment</t>
        </is>
      </c>
      <c r="G516" s="108" t="inlineStr">
        <is>
          <t>Standard</t>
        </is>
      </c>
      <c r="H516" s="109" t="n">
        <v>46259</v>
      </c>
      <c r="I516" s="110" t="n">
        <v>3128.7</v>
      </c>
      <c r="J516" s="108" t="inlineStr">
        <is>
          <t>gross (stated)</t>
        </is>
      </c>
      <c r="K516" s="129" t="n"/>
      <c r="L516" s="111" t="n">
        <v>102.8</v>
      </c>
      <c r="M516" s="111" t="n">
        <v>100</v>
      </c>
      <c r="N516" s="108" t="inlineStr">
        <is>
          <t>N</t>
        </is>
      </c>
      <c r="O516" s="112" t="n">
        <v>97.3</v>
      </c>
      <c r="P516" s="118" t="n"/>
      <c r="Q516" s="113" t="n">
        <v>51495.2</v>
      </c>
      <c r="R516" s="108" t="inlineStr">
        <is>
          <t>derived:price x shares upon listing</t>
        </is>
      </c>
      <c r="S516" s="114" t="n">
        <v>927.37</v>
      </c>
      <c r="T516" s="115" t="n">
        <v>8.43</v>
      </c>
      <c r="U516" s="116" t="n">
        <v>48.05</v>
      </c>
      <c r="V516" s="117" t="n">
        <v>101</v>
      </c>
      <c r="W516" s="112" t="n">
        <v>10</v>
      </c>
      <c r="X516" s="108" t="inlineStr">
        <is>
          <t>NA</t>
        </is>
      </c>
      <c r="Y516" s="113" t="n">
        <v>1625.36</v>
      </c>
      <c r="Z516" s="113" t="n">
        <v>16253752</v>
      </c>
      <c r="AA516" s="112" t="n">
        <v>3.16</v>
      </c>
      <c r="AB516" s="108" t="inlineStr">
        <is>
          <t>Arrow Target Investment L.P; China Universal Asset Management (Hong Kong) Company Limited; CloudAlpha Capital Management Limited; Dream ee (Hong Kong) Open-ended Fund Company; Emerald Prime Group Limited; GF Fund Management Co., Ltd; Heading Pioneer 10 Fund LPF; HQ TELECOM SINGAPORE PTE. LTD; Huatai Capital Investment Limited; ICBC Wealth Management Co., Ltd; Perseverance Asset Management International (Singapore) Pte. Ltd</t>
        </is>
      </c>
      <c r="AC516" s="108" t="inlineStr">
        <is>
          <t>arrow;universal;cloudalpha;dream;emerald;gf;heading;hq;huatai;icbc;perseverance</t>
        </is>
      </c>
      <c r="AD516" s="112" t="n">
        <v>15</v>
      </c>
      <c r="AE516" s="108" t="inlineStr">
        <is>
          <t>lapsed</t>
        </is>
      </c>
      <c r="AF516" s="108" t="inlineStr">
        <is>
          <t>2026-09-19</t>
        </is>
      </c>
      <c r="AG516" s="108" t="inlineStr">
        <is>
          <t>Guotai Junan Securities</t>
        </is>
      </c>
      <c r="AH516" s="108" t="inlineStr">
        <is>
          <t>Guotai Junan</t>
        </is>
      </c>
      <c r="AI516" s="139" t="n">
        <v>-0.25</v>
      </c>
      <c r="AJ516" s="121" t="n">
        <v>0</v>
      </c>
      <c r="AK516" s="121" t="n">
        <v>0.04</v>
      </c>
      <c r="AL516" s="121" t="n">
        <v>0</v>
      </c>
      <c r="AM516" s="121" t="n">
        <v>0</v>
      </c>
      <c r="AN516" s="123" t="n">
        <v>1.86</v>
      </c>
      <c r="AO516" s="112" t="n">
        <v>3.3</v>
      </c>
      <c r="AP516" s="121" t="n">
        <v>0</v>
      </c>
      <c r="AQ516" s="121" t="n">
        <v>1.5</v>
      </c>
      <c r="AR516" s="137" t="n"/>
      <c r="AS516" s="121" t="n">
        <v>0</v>
      </c>
      <c r="AT516" s="121" t="n">
        <v>1.5</v>
      </c>
      <c r="AU516" s="137" t="n"/>
      <c r="AV516" s="121" t="n">
        <v>0.62</v>
      </c>
      <c r="AW516" s="121" t="n">
        <v>6.3</v>
      </c>
      <c r="AX516" s="137" t="n"/>
      <c r="AY516" s="121" t="n">
        <v>6.35</v>
      </c>
      <c r="AZ516" s="121" t="n">
        <v>-4.8</v>
      </c>
      <c r="BA516" s="121" t="n">
        <v>-4.85</v>
      </c>
      <c r="BB516" s="108" t="inlineStr">
        <is>
          <t>HSTECH (Hang Seng TECH ETF)</t>
        </is>
      </c>
      <c r="BC516" s="121" t="n">
        <v>-11</v>
      </c>
      <c r="BD516" s="109" t="n">
        <v>46297</v>
      </c>
      <c r="BE516" s="110" t="n">
        <v>5215</v>
      </c>
      <c r="BF516" s="113" t="n">
        <v>414</v>
      </c>
      <c r="BG516" s="108" t="inlineStr">
        <is>
          <t>Y</t>
        </is>
      </c>
      <c r="BH516" s="123" t="n">
        <v>124.4</v>
      </c>
      <c r="BI516" s="122" t="n"/>
      <c r="BJ516" s="122" t="n"/>
      <c r="BK516" s="123" t="n">
        <v>9.9</v>
      </c>
      <c r="BL516" s="124">
        <f>IF('BBG Verify'!S516="","not filed; run on terminal",'BBG Verify'!S516)</f>
        <v/>
      </c>
      <c r="BM516" s="125" t="inlineStr">
        <is>
          <t>Y</t>
        </is>
      </c>
      <c r="BN516" s="108" t="inlineStr">
        <is>
          <t>300223.SZ</t>
        </is>
      </c>
      <c r="BO516" s="121" t="n">
        <v>55.89</v>
      </c>
      <c r="BP516" s="111" t="n">
        <v>155.8899</v>
      </c>
      <c r="BQ516" s="135" t="n">
        <v>0.6981000000000001</v>
      </c>
      <c r="BR516" s="113" t="n">
        <v>77863.3</v>
      </c>
      <c r="BS516" s="124">
        <f>IF('BBG Verify'!Q516="","run on terminal",'BBG Verify'!Q516)</f>
        <v/>
      </c>
      <c r="BT516" s="124">
        <f>IF('BBG Verify'!R516="","run on terminal",'BBG Verify'!R516)</f>
        <v/>
      </c>
      <c r="BU516" s="125" t="inlineStr">
        <is>
          <t>Guotai Junan Capital Limited</t>
        </is>
      </c>
      <c r="BV516" s="108" t="inlineStr">
        <is>
          <t>Guotai Junan Capital Limited</t>
        </is>
      </c>
      <c r="BW516" s="108" t="inlineStr">
        <is>
          <t>Guotai Junan Securities (Hong Kong) Limited; Huatai Financial Holdings (Hong Kong) Limited; Ping An Securities (Hong Kong) Company Limited</t>
        </is>
      </c>
      <c r="BX516" s="108" t="inlineStr">
        <is>
          <t>Futu Securities International (Hong Kong) Limited; Guotai Junan Securities (Hong Kong) Limited; Huatai Financial Holdings (Hong Kong) Limited; Ping An Securities (Hong Kong) Company Limited; Tiger Brokers (HK) Global Limited; Zheshang International Financial Holdings Co., Limited</t>
        </is>
      </c>
      <c r="BY516" s="127">
        <f>HYPERLINK("https://www1.hkexnews.hk/listedco/listconews/sehk/2026/0817/2026081700003.pdf","prospectus")</f>
        <v/>
      </c>
      <c r="BZ516" s="127">
        <f>HYPERLINK("https://www1.hkexnews.hk/listedco/listconews/sehk/2026/0824/2026082401907.pdf","allotment")</f>
        <v/>
      </c>
      <c r="CA516" s="127">
        <f>HYPERLINK("https://www1.hkexnews.hk/listedco/listconews/sehk/2026/0920/2026092000001.pdf","stabilisation")</f>
        <v/>
      </c>
      <c r="CB516" s="128" t="n"/>
      <c r="CC516" s="108" t="inlineStr">
        <is>
          <t>range low: maximum offer price only, no floor published; A/H: H listed 2026-08-25; fabless CPU/analog+memory (auto); 3m: pending: 27 traded sessions after debut; 63 needed; alpha/index: 3m window not elapsed</t>
        </is>
      </c>
    </row>
    <row r="517" ht="22" customHeight="1">
      <c r="A517" s="107" t="inlineStr">
        <is>
          <t>0625</t>
        </is>
      </c>
      <c r="B517" s="108" t="inlineStr">
        <is>
          <t>SHEIN-W</t>
        </is>
      </c>
      <c r="C517" s="108" t="inlineStr">
        <is>
          <t>希音</t>
        </is>
      </c>
      <c r="D517" s="108" t="inlineStr">
        <is>
          <t>Consumer</t>
        </is>
      </c>
      <c r="E517" s="108" t="inlineStr">
        <is>
          <t>Apparel / luxury</t>
        </is>
      </c>
      <c r="F517" s="108" t="inlineStr">
        <is>
          <t>Apparel, Accessories &amp; Luxury Goods Retail</t>
        </is>
      </c>
      <c r="G517" s="108" t="inlineStr">
        <is>
          <t>WVR</t>
        </is>
      </c>
      <c r="H517" s="109" t="n">
        <v>46266</v>
      </c>
      <c r="I517" s="110" t="n">
        <v>13596.4</v>
      </c>
      <c r="J517" s="108" t="inlineStr">
        <is>
          <t>gross (stated)</t>
        </is>
      </c>
      <c r="K517" s="129" t="n"/>
      <c r="L517" s="111" t="n">
        <v>49.5</v>
      </c>
      <c r="M517" s="111" t="n">
        <v>48.56</v>
      </c>
      <c r="N517" s="108" t="inlineStr">
        <is>
          <t>N</t>
        </is>
      </c>
      <c r="O517" s="112" t="n">
        <v>98.09999999999999</v>
      </c>
      <c r="P517" s="118" t="n"/>
      <c r="Q517" s="113" t="n">
        <v>206195.6</v>
      </c>
      <c r="R517" s="108" t="inlineStr">
        <is>
          <t>derived:price x shares upon listing</t>
        </is>
      </c>
      <c r="S517" s="114" t="n">
        <v>5.63</v>
      </c>
      <c r="T517" s="115" t="n">
        <v>2.59</v>
      </c>
      <c r="U517" s="116" t="n">
        <v>22.1</v>
      </c>
      <c r="V517" s="117" t="n">
        <v>106</v>
      </c>
      <c r="W517" s="112" t="n">
        <v>10</v>
      </c>
      <c r="X517" s="108" t="inlineStr">
        <is>
          <t>NA</t>
        </is>
      </c>
      <c r="Y517" s="113" t="n">
        <v>10591.6</v>
      </c>
      <c r="Z517" s="113" t="n">
        <v>218114158</v>
      </c>
      <c r="AA517" s="112" t="n">
        <v>5.14</v>
      </c>
      <c r="AB517" s="108" t="inlineStr">
        <is>
          <t>Exclusive Depot Limited; Internet Fund IIIA Pte. Ltd; General Atlantic Singapore EDL Pte. Ltd; Huang River Investment Limited; Greenwoods Asset Management Hong Kong Limited; Taikang Life Insurance Co., Ltd; UBS Asset Management (Singapore) Ltd</t>
        </is>
      </c>
      <c r="AC517" s="108" t="inlineStr">
        <is>
          <t>exclusive;internet;general;huang-river;greenwoods;taikang;ubs</t>
        </is>
      </c>
      <c r="AD517" s="112" t="n">
        <v>15</v>
      </c>
      <c r="AE517" s="108" t="inlineStr">
        <is>
          <t>lapsed</t>
        </is>
      </c>
      <c r="AF517" s="108" t="inlineStr">
        <is>
          <t>2026-09-26</t>
        </is>
      </c>
      <c r="AG517" s="108" t="inlineStr">
        <is>
          <t>Goldman Sachs</t>
        </is>
      </c>
      <c r="AH517" s="108" t="inlineStr">
        <is>
          <t>Goldman Sachs</t>
        </is>
      </c>
      <c r="AI517" s="120" t="n">
        <v>-13.1</v>
      </c>
      <c r="AJ517" s="121" t="n">
        <v>-0.12</v>
      </c>
      <c r="AK517" s="121" t="n">
        <v>-1.35</v>
      </c>
      <c r="AL517" s="121" t="n">
        <v>0</v>
      </c>
      <c r="AM517" s="121" t="n">
        <v>-0.12</v>
      </c>
      <c r="AN517" s="123" t="n">
        <v>1.71</v>
      </c>
      <c r="AO517" s="112" t="n">
        <v>9.970000000000001</v>
      </c>
      <c r="AP517" s="121" t="n">
        <v>-16.68</v>
      </c>
      <c r="AQ517" s="121" t="n">
        <v>-36.49</v>
      </c>
      <c r="AR517" s="137" t="n"/>
      <c r="AS517" s="121" t="n">
        <v>-16.58</v>
      </c>
      <c r="AT517" s="121" t="n">
        <v>-36.41</v>
      </c>
      <c r="AU517" s="137" t="n"/>
      <c r="AV517" s="121" t="n">
        <v>-14.87</v>
      </c>
      <c r="AW517" s="121" t="n">
        <v>-31.24</v>
      </c>
      <c r="AX517" s="137" t="n"/>
      <c r="AY517" s="121" t="n">
        <v>-32.45</v>
      </c>
      <c r="AZ517" s="121" t="n">
        <v>-5.25</v>
      </c>
      <c r="BA517" s="121" t="n">
        <v>-3.96</v>
      </c>
      <c r="BB517" s="108" t="inlineStr">
        <is>
          <t>Hang Seng Commerce &amp; Industry sub-index</t>
        </is>
      </c>
      <c r="BC517" s="121" t="n">
        <v>-36.12</v>
      </c>
      <c r="BD517" s="109" t="n">
        <v>46297</v>
      </c>
      <c r="BE517" s="110" t="n">
        <v>326406.6</v>
      </c>
      <c r="BF517" s="113" t="n">
        <v>16099.2</v>
      </c>
      <c r="BG517" s="108" t="inlineStr">
        <is>
          <t>Y</t>
        </is>
      </c>
      <c r="BH517" s="123" t="n">
        <v>12.8</v>
      </c>
      <c r="BI517" s="122" t="n"/>
      <c r="BJ517" s="122" t="n"/>
      <c r="BK517" s="123" t="n">
        <v>0.6</v>
      </c>
      <c r="BL517" s="124">
        <f>IF('BBG Verify'!S517="","not filed; run on terminal",'BBG Verify'!S517)</f>
        <v/>
      </c>
      <c r="BM517" s="125" t="inlineStr">
        <is>
          <t>N</t>
        </is>
      </c>
      <c r="BN517" s="126">
        <f>IF('BBG Verify'!K517="","not filed; run on terminal",'BBG Verify'!K517)</f>
        <v/>
      </c>
      <c r="BO517" s="108" t="inlineStr">
        <is>
          <t>N/A</t>
        </is>
      </c>
      <c r="BP517" s="108" t="inlineStr">
        <is>
          <t>N/A</t>
        </is>
      </c>
      <c r="BQ517" s="108" t="inlineStr">
        <is>
          <t>N/A</t>
        </is>
      </c>
      <c r="BR517" s="108" t="inlineStr">
        <is>
          <t>N/A</t>
        </is>
      </c>
      <c r="BS517" s="108" t="inlineStr">
        <is>
          <t>N/A</t>
        </is>
      </c>
      <c r="BT517" s="108" t="inlineStr">
        <is>
          <t>N/A</t>
        </is>
      </c>
      <c r="BU517" s="125" t="inlineStr">
        <is>
          <t>Goldman Sachs (Asia) L.L.C; Morgan Stanley Asia Limited; J.P. Morgan Securities (Far East) Limited</t>
        </is>
      </c>
      <c r="BV517" s="108" t="inlineStr">
        <is>
          <t>Morgan Stanley Asia Limited; J.P. Morgan Securities (Far East) Limited; Goldman Sachs (Asia) L.L.C.</t>
        </is>
      </c>
      <c r="BW517" s="108" t="inlineStr">
        <is>
          <t>UBS AG Hong Kong Branch; Merrill Lynch (Asia Pacific) Limited; Cantabria Spain East West Bank, Hong Kong Branch</t>
        </is>
      </c>
      <c r="BX517" s="108" t="inlineStr">
        <is>
          <t>Banco Santander; S.A.; East West Bank, Hong Kong Branch; Goldman Sachs (Asia) L.L.C.; Haitong International Securities Company Limited; The Hongkong and Shanghai Banking Corporation Limited; J.P. Morgan Securities (Asia Pacific) Limited; Merrill Lynch (Asia Pacific) Limited; Morgan Stanley Asia Limited; UBS AG Hong Kong Branch</t>
        </is>
      </c>
      <c r="BY517" s="127">
        <f>HYPERLINK("https://www1.hkexnews.hk/listedco/listconews/sehk/2026/0824/2026082400019.pdf","prospectus")</f>
        <v/>
      </c>
      <c r="BZ517" s="127">
        <f>HYPERLINK("https://www1.hkexnews.hk/listedco/listconews/sehk/2026/0831/2026083102409.pdf","allotment")</f>
        <v/>
      </c>
      <c r="CA517" s="127">
        <f>HYPERLINK("https://www1.hkexnews.hk/listedco/listconews/sehk/2026/0927/2026092700013.pdf","stabilisation")</f>
        <v/>
      </c>
      <c r="CB517" s="128" t="n"/>
      <c r="CC517" s="108" t="inlineStr">
        <is>
          <t>range low: maximum offer price only, no floor published; 3m: pending: 22 traded sessions after debut; 63 needed; alpha/index: 3m window not elapsed</t>
        </is>
      </c>
    </row>
    <row r="518" ht="22" customHeight="1">
      <c r="A518" s="107" t="inlineStr">
        <is>
          <t>9615</t>
        </is>
      </c>
      <c r="B518" s="108" t="inlineStr">
        <is>
          <t>MECH-MIND ROBOT</t>
        </is>
      </c>
      <c r="C518" s="108" t="inlineStr">
        <is>
          <t>梅卡曼德機器人</t>
        </is>
      </c>
      <c r="D518" s="108" t="inlineStr">
        <is>
          <t>Tech/AI</t>
        </is>
      </c>
      <c r="E518" s="108" t="inlineStr">
        <is>
          <t>Robotics &amp; autonomous driving</t>
        </is>
      </c>
      <c r="F518" s="108" t="inlineStr">
        <is>
          <t>Advanced hardware and software</t>
        </is>
      </c>
      <c r="G518" s="108" t="inlineStr">
        <is>
          <t>18C</t>
        </is>
      </c>
      <c r="H518" s="109" t="n">
        <v>46266</v>
      </c>
      <c r="I518" s="110" t="n">
        <v>2353.4</v>
      </c>
      <c r="J518" s="108" t="inlineStr">
        <is>
          <t>gross (stated)</t>
        </is>
      </c>
      <c r="K518" s="111" t="n">
        <v>95.3</v>
      </c>
      <c r="L518" s="111" t="n">
        <v>101.7</v>
      </c>
      <c r="M518" s="111" t="n">
        <v>101.7</v>
      </c>
      <c r="N518" s="108" t="inlineStr">
        <is>
          <t>Y</t>
        </is>
      </c>
      <c r="O518" s="112" t="n">
        <v>100</v>
      </c>
      <c r="P518" s="112" t="n">
        <v>100</v>
      </c>
      <c r="Q518" s="113" t="n">
        <v>12713.6</v>
      </c>
      <c r="R518" s="108" t="inlineStr">
        <is>
          <t>derived:price x shares upon listing</t>
        </is>
      </c>
      <c r="S518" s="114" t="n">
        <v>3835.36</v>
      </c>
      <c r="T518" s="115" t="n">
        <v>13.39</v>
      </c>
      <c r="U518" s="116" t="n">
        <v>62.02</v>
      </c>
      <c r="V518" s="117" t="n">
        <v>130</v>
      </c>
      <c r="W518" s="112" t="n">
        <v>20</v>
      </c>
      <c r="X518" s="108" t="inlineStr">
        <is>
          <t>YES</t>
        </is>
      </c>
      <c r="Y518" s="113" t="n">
        <v>893.8200000000001</v>
      </c>
      <c r="Z518" s="113" t="n">
        <v>8788796</v>
      </c>
      <c r="AA518" s="112" t="n">
        <v>7.03</v>
      </c>
      <c r="AB518" s="108" t="inlineStr">
        <is>
          <t>Baillie Gifford; Taikang Life; Invus; Jane Street; Ghisallo; Ruihua; NGS Super Fund; E Fund; Golden Link</t>
        </is>
      </c>
      <c r="AC518" s="108" t="inlineStr">
        <is>
          <t>baillie;taikang;invus;jane;ghisallo;ruihua;ngs;fund;golden-link</t>
        </is>
      </c>
      <c r="AD518" s="112" t="n">
        <v>15</v>
      </c>
      <c r="AE518" s="108" t="inlineStr">
        <is>
          <t>lapsed</t>
        </is>
      </c>
      <c r="AF518" s="108" t="inlineStr">
        <is>
          <t>2026-09-26</t>
        </is>
      </c>
      <c r="AG518" s="108" t="inlineStr">
        <is>
          <t>CLSA Limited</t>
        </is>
      </c>
      <c r="AH518" s="108" t="inlineStr">
        <is>
          <t>CLSA</t>
        </is>
      </c>
      <c r="AI518" s="120" t="n">
        <v>-1.08</v>
      </c>
      <c r="AJ518" s="121" t="n">
        <v>-1.87</v>
      </c>
      <c r="AK518" s="121" t="n">
        <v>-1.41</v>
      </c>
      <c r="AL518" s="121" t="n">
        <v>0</v>
      </c>
      <c r="AM518" s="121" t="n">
        <v>-1.87</v>
      </c>
      <c r="AN518" s="123" t="n">
        <v>1.24</v>
      </c>
      <c r="AO518" s="112" t="n">
        <v>4.92</v>
      </c>
      <c r="AP518" s="121" t="n">
        <v>-20.99</v>
      </c>
      <c r="AQ518" s="121" t="n">
        <v>-20.85</v>
      </c>
      <c r="AR518" s="137" t="n"/>
      <c r="AS518" s="121" t="n">
        <v>-19.48</v>
      </c>
      <c r="AT518" s="121" t="n">
        <v>-19.34</v>
      </c>
      <c r="AU518" s="137" t="n"/>
      <c r="AV518" s="121" t="n">
        <v>-17.46</v>
      </c>
      <c r="AW518" s="121" t="n">
        <v>-12.82</v>
      </c>
      <c r="AX518" s="137" t="n"/>
      <c r="AY518" s="121" t="n">
        <v>-12.63</v>
      </c>
      <c r="AZ518" s="121" t="n">
        <v>-8.029999999999999</v>
      </c>
      <c r="BA518" s="121" t="n">
        <v>-6.71</v>
      </c>
      <c r="BB518" s="108" t="inlineStr">
        <is>
          <t>HSTECH (Hang Seng TECH ETF)</t>
        </is>
      </c>
      <c r="BC518" s="121" t="n">
        <v>-22.32</v>
      </c>
      <c r="BD518" s="109" t="n">
        <v>46297</v>
      </c>
      <c r="BE518" s="110" t="n">
        <v>427.6</v>
      </c>
      <c r="BF518" s="113" t="n">
        <v>-396.2</v>
      </c>
      <c r="BG518" s="108" t="inlineStr">
        <is>
          <t>N</t>
        </is>
      </c>
      <c r="BH518" s="108" t="inlineStr">
        <is>
          <t>n/m</t>
        </is>
      </c>
      <c r="BI518" s="122" t="n"/>
      <c r="BJ518" s="122" t="n"/>
      <c r="BK518" s="123" t="n">
        <v>29.7</v>
      </c>
      <c r="BL518" s="124">
        <f>IF('BBG Verify'!S518="","not filed; run on terminal",'BBG Verify'!S518)</f>
        <v/>
      </c>
      <c r="BM518" s="125" t="inlineStr">
        <is>
          <t>N</t>
        </is>
      </c>
      <c r="BN518" s="126">
        <f>IF('BBG Verify'!K518="","not filed; run on terminal",'BBG Verify'!K518)</f>
        <v/>
      </c>
      <c r="BO518" s="108" t="inlineStr">
        <is>
          <t>N/A</t>
        </is>
      </c>
      <c r="BP518" s="108" t="inlineStr">
        <is>
          <t>N/A</t>
        </is>
      </c>
      <c r="BQ518" s="108" t="inlineStr">
        <is>
          <t>N/A</t>
        </is>
      </c>
      <c r="BR518" s="108" t="inlineStr">
        <is>
          <t>N/A</t>
        </is>
      </c>
      <c r="BS518" s="108" t="inlineStr">
        <is>
          <t>N/A</t>
        </is>
      </c>
      <c r="BT518" s="108" t="inlineStr">
        <is>
          <t>N/A</t>
        </is>
      </c>
      <c r="BU518" s="125" t="inlineStr">
        <is>
          <t>China Securities (International) Corporate Finance Company Limited; CITIC Securities (Hong Kong) Limited</t>
        </is>
      </c>
      <c r="BV518" s="108" t="inlineStr">
        <is>
          <t>CITIC Securities (Hong Kong) Limited; China Securities (International) Corporate Finance Company Limited</t>
        </is>
      </c>
      <c r="BW518" s="108" t="inlineStr">
        <is>
          <t>Tiger Brokers (HK) Global Limited</t>
        </is>
      </c>
      <c r="BX518" s="108" t="inlineStr">
        <is>
          <t>CLSA Limited; China Securities (International) Corporate Finance Company Limited; Daiwa Capital Markets Hong Kong Limited; Futu Securities International (Hong Kong) Limited; Macquarie Capital Limited; Tiger Brokers (HK) Global Limited</t>
        </is>
      </c>
      <c r="BY518" s="127">
        <f>HYPERLINK("https://www1.hkexnews.hk/listedco/listconews/sehk/2026/0824/2026082400017.pdf","prospectus")</f>
        <v/>
      </c>
      <c r="BZ518" s="127">
        <f>HYPERLINK("https://www1.hkexnews.hk/listedco/listconews/sehk/2026/0831/2026083102433.pdf","allotment")</f>
        <v/>
      </c>
      <c r="CA518" s="127">
        <f>HYPERLINK("https://www1.hkexnews.hk/listedco/listconews/sehk/2026/0927/2026092700001.pdf","stabilisation")</f>
        <v/>
      </c>
      <c r="CB518" s="128" t="n"/>
      <c r="CC518" s="108" t="inlineStr">
        <is>
          <t>P/E: loss-making at IPO, use P/S; 3m: pending: 22 traded sessions after debut; 63 needed; alpha/index: 3m window not elapsed</t>
        </is>
      </c>
    </row>
    <row r="519" ht="22" customHeight="1">
      <c r="A519" s="107" t="inlineStr">
        <is>
          <t>2041</t>
        </is>
      </c>
      <c r="B519" s="108" t="inlineStr">
        <is>
          <t>MEDCAPTAIN</t>
        </is>
      </c>
      <c r="C519" s="108" t="inlineStr">
        <is>
          <t>麥科田</t>
        </is>
      </c>
      <c r="D519" s="108" t="inlineStr">
        <is>
          <t>Healthcare</t>
        </is>
      </c>
      <c r="E519" s="108" t="inlineStr">
        <is>
          <t>Medical devices</t>
        </is>
      </c>
      <c r="F519" s="108" t="inlineStr">
        <is>
          <t>Health Care Equipment</t>
        </is>
      </c>
      <c r="G519" s="108" t="inlineStr">
        <is>
          <t>Standard</t>
        </is>
      </c>
      <c r="H519" s="109" t="n">
        <v>46272</v>
      </c>
      <c r="I519" s="110" t="n">
        <v>600</v>
      </c>
      <c r="J519" s="108" t="inlineStr">
        <is>
          <t>gross (stated)</t>
        </is>
      </c>
      <c r="K519" s="129" t="n"/>
      <c r="L519" s="111" t="n">
        <v>15.42</v>
      </c>
      <c r="M519" s="111" t="n">
        <v>15.42</v>
      </c>
      <c r="N519" s="108" t="inlineStr">
        <is>
          <t>Y</t>
        </is>
      </c>
      <c r="O519" s="112" t="n">
        <v>100</v>
      </c>
      <c r="P519" s="118" t="n"/>
      <c r="Q519" s="113" t="n">
        <v>8305.6</v>
      </c>
      <c r="R519" s="108" t="inlineStr">
        <is>
          <t>derived:price x shares upon listing</t>
        </is>
      </c>
      <c r="S519" s="114" t="n">
        <v>436.37</v>
      </c>
      <c r="T519" s="115" t="n">
        <v>2.35</v>
      </c>
      <c r="U519" s="116" t="n">
        <v>0</v>
      </c>
      <c r="V519" s="117" t="n">
        <v>95</v>
      </c>
      <c r="W519" s="112" t="n">
        <v>10</v>
      </c>
      <c r="X519" s="108" t="inlineStr">
        <is>
          <t>NA</t>
        </is>
      </c>
      <c r="Y519" s="113" t="n">
        <v>600</v>
      </c>
      <c r="Z519" s="113" t="n">
        <v>38910600</v>
      </c>
      <c r="AA519" s="112" t="n">
        <v>7.22</v>
      </c>
      <c r="AB519" s="108" t="inlineStr">
        <is>
          <t>none — no cornerstone tranche</t>
        </is>
      </c>
      <c r="AC519" s="108" t="inlineStr">
        <is>
          <t>none</t>
        </is>
      </c>
      <c r="AD519" s="118" t="n"/>
      <c r="AE519" s="119" t="n"/>
      <c r="AF519" s="119" t="n"/>
      <c r="AG519" s="119" t="n"/>
      <c r="AH519" s="119" t="n"/>
      <c r="AI519" s="120" t="n">
        <v>-22.83</v>
      </c>
      <c r="AJ519" s="121" t="n">
        <v>-42.93</v>
      </c>
      <c r="AK519" s="121" t="n">
        <v>-1.43</v>
      </c>
      <c r="AL519" s="121" t="n">
        <v>-35.15</v>
      </c>
      <c r="AM519" s="121" t="n">
        <v>-12</v>
      </c>
      <c r="AN519" s="123" t="n">
        <v>3.12</v>
      </c>
      <c r="AO519" s="112" t="n">
        <v>24.9</v>
      </c>
      <c r="AP519" s="121" t="n">
        <v>-46.47</v>
      </c>
      <c r="AQ519" s="137" t="n"/>
      <c r="AR519" s="137" t="n"/>
      <c r="AS519" s="121" t="n">
        <v>-6.2</v>
      </c>
      <c r="AT519" s="137" t="n"/>
      <c r="AU519" s="137" t="n"/>
      <c r="AV519" s="121" t="n">
        <v>-44.51</v>
      </c>
      <c r="AW519" s="137" t="n"/>
      <c r="AX519" s="137" t="n"/>
      <c r="AY519" s="137" t="n"/>
      <c r="AZ519" s="137" t="n"/>
      <c r="BA519" s="137" t="n"/>
      <c r="BB519" s="108" t="inlineStr">
        <is>
          <t>China Biotech ETF (HS biotech proxy)</t>
        </is>
      </c>
      <c r="BC519" s="121" t="n">
        <v>-54.34</v>
      </c>
      <c r="BD519" s="109" t="n">
        <v>46297</v>
      </c>
      <c r="BE519" s="110" t="n">
        <v>1781.1</v>
      </c>
      <c r="BF519" s="113" t="n">
        <v>55.8</v>
      </c>
      <c r="BG519" s="108" t="inlineStr">
        <is>
          <t>Y</t>
        </is>
      </c>
      <c r="BH519" s="123" t="n">
        <v>148.8</v>
      </c>
      <c r="BI519" s="122" t="n"/>
      <c r="BJ519" s="122" t="n"/>
      <c r="BK519" s="123" t="n">
        <v>4.7</v>
      </c>
      <c r="BL519" s="124">
        <f>IF('BBG Verify'!S519="","not filed; run on terminal",'BBG Verify'!S519)</f>
        <v/>
      </c>
      <c r="BM519" s="125" t="inlineStr">
        <is>
          <t>N</t>
        </is>
      </c>
      <c r="BN519" s="126">
        <f>IF('BBG Verify'!K519="","not filed; run on terminal",'BBG Verify'!K519)</f>
        <v/>
      </c>
      <c r="BO519" s="108" t="inlineStr">
        <is>
          <t>N/A</t>
        </is>
      </c>
      <c r="BP519" s="108" t="inlineStr">
        <is>
          <t>N/A</t>
        </is>
      </c>
      <c r="BQ519" s="108" t="inlineStr">
        <is>
          <t>N/A</t>
        </is>
      </c>
      <c r="BR519" s="108" t="inlineStr">
        <is>
          <t>N/A</t>
        </is>
      </c>
      <c r="BS519" s="108" t="inlineStr">
        <is>
          <t>N/A</t>
        </is>
      </c>
      <c r="BT519" s="108" t="inlineStr">
        <is>
          <t>N/A</t>
        </is>
      </c>
      <c r="BU519" s="125" t="inlineStr">
        <is>
          <t>Morgan Stanley Asia Limited; Huatai Financial Holdings (Hong Kong) Limited</t>
        </is>
      </c>
      <c r="BV519" s="108" t="inlineStr">
        <is>
          <t>Morgan Stanley Asia Limited; Huatai Financial Holdings (Hong Kong) Limited</t>
        </is>
      </c>
      <c r="BW519" s="108" t="inlineStr">
        <is>
          <t>Morgan Stanley Asia Limited; Huatai Financial Holdings (Hong Kong) Limited; Celestial Securities Limited; Eddid Securities and Futures Limited; Futu Securities International (Hong Kong) Limited; Huafu International Securities Limited; Jinluo Securities Limited; TradeGo Markets Limited; UOB Kay Hian (Hong Kong) Limited; Yuet Sheung International Securities Limited; BNP Paribas Securities (Asia) Limited</t>
        </is>
      </c>
      <c r="BX519" s="108" t="inlineStr">
        <is>
          <t>BNP Paribas Securities (Asia) Limited; Celestial Securities Limited; Eddid Securities and Futures Limited; Futu Securities International (Hong Kong) Limited; Huatai Financial Holdings (Hong Kong) Limited; Huafu International Securities Limited; Jinluo Securities Limited; Morgan Stanley Asia Limited; SBI China Capital Financial Services Limited; TradeGo Markets Limited; UOB Kay Hian (Hong Kong) Limited; Yuet Sheung International Securities Limited</t>
        </is>
      </c>
      <c r="BY519" s="127">
        <f>HYPERLINK("https://www1.hkexnews.hk/listedco/listconews/sehk/2026/0828/2026082800009.pdf","prospectus")</f>
        <v/>
      </c>
      <c r="BZ519" s="127">
        <f>HYPERLINK("https://www1.hkexnews.hk/listedco/listconews/sehk/2026/0904/2026090401842.pdf","allotment")</f>
        <v/>
      </c>
      <c r="CA519" s="119" t="n"/>
      <c r="CB519" s="128" t="n"/>
      <c r="CC519" s="108" t="inlineStr">
        <is>
          <t>greenshoe: stabilisation window still open; range low: maximum offer price only, no floor published; 1m: pending: 18 traded sessions after debut; 21 needed; 3m: pending: 18 traded sessions after debut; 63 needed; sponsor: English name not in the filing; AAStocks 保薦人 shown; cornerstone list: no cornerstone tranche; greenshoe size: no over-allotment option; stabilising manager: filing states none appointed (prospectus: 'no stabilizing manager will be appointed' stated in the filing); alpha/index: 1m window not elapsed</t>
        </is>
      </c>
    </row>
    <row r="520" ht="22" customHeight="1">
      <c r="A520" s="107" t="inlineStr">
        <is>
          <t>9976</t>
        </is>
      </c>
      <c r="B520" s="108" t="inlineStr">
        <is>
          <t>LONGSYS</t>
        </is>
      </c>
      <c r="C520" s="108" t="inlineStr">
        <is>
          <t>江波龍</t>
        </is>
      </c>
      <c r="D520" s="108" t="inlineStr">
        <is>
          <t>Tech/AI</t>
        </is>
      </c>
      <c r="E520" s="108" t="inlineStr">
        <is>
          <t>Smart hardware / consumer electronics</t>
        </is>
      </c>
      <c r="F520" s="108" t="inlineStr">
        <is>
          <t>Semiconductors &amp; Semiconductor Equipment</t>
        </is>
      </c>
      <c r="G520" s="108" t="inlineStr">
        <is>
          <t>Standard</t>
        </is>
      </c>
      <c r="H520" s="109" t="n">
        <v>46273</v>
      </c>
      <c r="I520" s="110" t="n">
        <v>7077.5</v>
      </c>
      <c r="J520" s="108" t="inlineStr">
        <is>
          <t>gross (stated)</t>
        </is>
      </c>
      <c r="K520" s="129" t="n"/>
      <c r="L520" s="111" t="n">
        <v>240.6</v>
      </c>
      <c r="M520" s="111" t="n">
        <v>236</v>
      </c>
      <c r="N520" s="108" t="inlineStr">
        <is>
          <t>N</t>
        </is>
      </c>
      <c r="O520" s="112" t="n">
        <v>98.09999999999999</v>
      </c>
      <c r="P520" s="118" t="n"/>
      <c r="Q520" s="113" t="n">
        <v>124166.7</v>
      </c>
      <c r="R520" s="108" t="inlineStr">
        <is>
          <t>derived:deal size / offer % of enlarged capital</t>
        </is>
      </c>
      <c r="S520" s="114" t="n">
        <v>40.32</v>
      </c>
      <c r="T520" s="138" t="n">
        <v>3.88</v>
      </c>
      <c r="U520" s="116" t="n">
        <v>16.7</v>
      </c>
      <c r="V520" s="117" t="n">
        <v>227</v>
      </c>
      <c r="W520" s="118" t="n"/>
      <c r="X520" s="108" t="inlineStr">
        <is>
          <t>NA</t>
        </is>
      </c>
      <c r="Y520" s="113" t="n">
        <v>5895.56</v>
      </c>
      <c r="Z520" s="113" t="n">
        <v>24981212</v>
      </c>
      <c r="AA520" s="112" t="n">
        <v>4.75</v>
      </c>
      <c r="AB520" s="108" t="inlineStr">
        <is>
          <t>Admiralty Harbour Growth Opportunities SPC SP1; CITIC Securities Asset Management (HK) Limited; Colorful Technology Company Limited; CQTech Limited; HOSIN Global (HK) Electronics Co., Limited; Huadeng Tech Bright Investment Ltd; Ingenic Semiconductor (HongKong) Group Limited; Ju Yuen (Hong Kong) International Limited; Lenovo Group Limited; Lens Technology (HK) Co., Limited; SDMC Technology (Hong Kong) Limited; Transsion International Limited; Wind Sabre Fund SPC; YuFeng Financial Group Limited; YuFeng Project 1 Limited Partnership Fund</t>
        </is>
      </c>
      <c r="AC520" s="108" t="inlineStr">
        <is>
          <t>admiralty;citic;colorful;cqtech;hosin;huadeng;ingenic;ju;lenovo;lens;sdmc;transsion;wind;yufeng</t>
        </is>
      </c>
      <c r="AD520" s="112" t="n">
        <v>15</v>
      </c>
      <c r="AE520" s="119" t="n"/>
      <c r="AF520" s="108" t="inlineStr">
        <is>
          <t>2026-10-03</t>
        </is>
      </c>
      <c r="AG520" s="108" t="inlineStr">
        <is>
          <t>CLSA Limited</t>
        </is>
      </c>
      <c r="AH520" s="108" t="inlineStr">
        <is>
          <t>CLSA</t>
        </is>
      </c>
      <c r="AI520" s="139" t="n">
        <v>-0.68</v>
      </c>
      <c r="AJ520" s="121" t="n">
        <v>-1.02</v>
      </c>
      <c r="AK520" s="121" t="n">
        <v>-1.49</v>
      </c>
      <c r="AL520" s="121" t="n">
        <v>0</v>
      </c>
      <c r="AM520" s="121" t="n">
        <v>-1.02</v>
      </c>
      <c r="AN520" s="122" t="n"/>
      <c r="AO520" s="112" t="n">
        <v>2.29</v>
      </c>
      <c r="AP520" s="121" t="n">
        <v>-23.94</v>
      </c>
      <c r="AQ520" s="137" t="n"/>
      <c r="AR520" s="137" t="n"/>
      <c r="AS520" s="121" t="n">
        <v>-23.16</v>
      </c>
      <c r="AT520" s="137" t="n"/>
      <c r="AU520" s="137" t="n"/>
      <c r="AV520" s="121" t="n">
        <v>-18.85</v>
      </c>
      <c r="AW520" s="137" t="n"/>
      <c r="AX520" s="137" t="n"/>
      <c r="AY520" s="137" t="n"/>
      <c r="AZ520" s="137" t="n"/>
      <c r="BA520" s="137" t="n"/>
      <c r="BB520" s="108" t="inlineStr">
        <is>
          <t>HSTECH (Hang Seng TECH ETF)</t>
        </is>
      </c>
      <c r="BC520" s="121" t="n">
        <v>-16.69</v>
      </c>
      <c r="BD520" s="109" t="n">
        <v>46297</v>
      </c>
      <c r="BE520" s="110" t="n">
        <v>25042.8</v>
      </c>
      <c r="BF520" s="131" t="n"/>
      <c r="BG520" s="108" t="inlineStr">
        <is>
          <t>Y</t>
        </is>
      </c>
      <c r="BH520" s="124">
        <f>IF('BBG Verify'!O520="","not filed; run on terminal",'BBG Verify'!O520)</f>
        <v/>
      </c>
      <c r="BI520" s="122" t="n"/>
      <c r="BJ520" s="122" t="n"/>
      <c r="BK520" s="123" t="n">
        <v>5</v>
      </c>
      <c r="BL520" s="124">
        <f>IF('BBG Verify'!S520="","not filed; run on terminal",'BBG Verify'!S520)</f>
        <v/>
      </c>
      <c r="BM520" s="125" t="inlineStr">
        <is>
          <t>N</t>
        </is>
      </c>
      <c r="BN520" s="126">
        <f>IF('BBG Verify'!K520="","not filed; run on terminal",'BBG Verify'!K520)</f>
        <v/>
      </c>
      <c r="BO520" s="108" t="inlineStr">
        <is>
          <t>N/A</t>
        </is>
      </c>
      <c r="BP520" s="108" t="inlineStr">
        <is>
          <t>N/A</t>
        </is>
      </c>
      <c r="BQ520" s="135" t="n">
        <v>0.7973</v>
      </c>
      <c r="BR520" s="113" t="n">
        <v>162469.7</v>
      </c>
      <c r="BS520" s="108" t="inlineStr">
        <is>
          <t>N/A</t>
        </is>
      </c>
      <c r="BT520" s="108" t="inlineStr">
        <is>
          <t>N/A</t>
        </is>
      </c>
      <c r="BU520" s="125" t="inlineStr">
        <is>
          <t>CITIC Securities (Hong Kong) Limited; Citigroup Global Markets Asia Limited</t>
        </is>
      </c>
      <c r="BV520" s="108" t="inlineStr">
        <is>
          <t>CITIC Securities (Hong Kong) Limited; Citigroup Global Markets Asia Limited</t>
        </is>
      </c>
      <c r="BW520" s="108" t="inlineStr">
        <is>
          <t>CLSA Limited; Citigroup Global Markets Asia Limited; China Securities (International) Corporate Finance Company Limited; ABCI Capital Limited; Citigroup Global Markets Limited; Finance Company Limited; Futu Securities International (Hong Kong) Limited; Tiger Brokers (HK) Global Limited</t>
        </is>
      </c>
      <c r="BX520" s="108" t="inlineStr">
        <is>
          <t>ABCI Securities Company Limited; Citigroup Global Markets Asia Limited; CLSA Limited; China Securities (International) Corporate Finance Company Limited; Futu Securities International (Hong Kong) Limited; Tiger Brokers (HK) Global Limited</t>
        </is>
      </c>
      <c r="BY520" s="127">
        <f>HYPERLINK("https://www1.hkexnews.hk/listedco/listconews/sehk/2026/0831/2026083100047.pdf","prospectus")</f>
        <v/>
      </c>
      <c r="BZ520" s="127">
        <f>HYPERLINK("https://www1.hkexnews.hk/listedco/listconews/sehk/2026/0907/2026090701319.pdf","allotment")</f>
        <v/>
      </c>
      <c r="CA520" s="119" t="n"/>
      <c r="CB520" s="128" t="n"/>
      <c r="CC520" s="108" t="inlineStr">
        <is>
          <t>P/E: withheld: 2,581x fails the 300x plausibility cap; extracted net income HK$48.1m suspect; greenshoe: stabilisation window still open; range low: maximum offer price only, no floor published; 1m: pending: 17 traded sessions after debut; 21 needed; 3m: pending: 17 traded sessions after debut; 63 needed; financials: not extractable; pre-IPO year outside the AAStocks window; alpha/index: 1m window not elapsed; allocation: allocation table not in this notice's format (older prose announcement); day-1 tape: volume on file; the retail multiple needs the final public split, which this notice does not state</t>
        </is>
      </c>
    </row>
    <row r="521" ht="22" customHeight="1">
      <c r="A521" s="107" t="inlineStr">
        <is>
          <t>3231</t>
        </is>
      </c>
      <c r="B521" s="108" t="inlineStr">
        <is>
          <t>EXCELLAND ROBOT</t>
        </is>
      </c>
      <c r="C521" s="108" t="inlineStr">
        <is>
          <t>優地機器人</t>
        </is>
      </c>
      <c r="D521" s="108" t="inlineStr">
        <is>
          <t>Tech/AI</t>
        </is>
      </c>
      <c r="E521" s="108" t="inlineStr">
        <is>
          <t>Robotics &amp; autonomous driving</t>
        </is>
      </c>
      <c r="F521" s="108" t="inlineStr">
        <is>
          <t>Advanced hardware and software</t>
        </is>
      </c>
      <c r="G521" s="108" t="inlineStr">
        <is>
          <t>18C</t>
        </is>
      </c>
      <c r="H521" s="109" t="n">
        <v>46274</v>
      </c>
      <c r="I521" s="110" t="n">
        <v>650.2</v>
      </c>
      <c r="J521" s="108" t="inlineStr">
        <is>
          <t>gross (stated)</t>
        </is>
      </c>
      <c r="K521" s="111" t="n">
        <v>14.45</v>
      </c>
      <c r="L521" s="111" t="n">
        <v>19.55</v>
      </c>
      <c r="M521" s="111" t="n">
        <v>14.45</v>
      </c>
      <c r="N521" s="108" t="inlineStr">
        <is>
          <t>N</t>
        </is>
      </c>
      <c r="O521" s="112" t="n">
        <v>73.90000000000001</v>
      </c>
      <c r="P521" s="112" t="n">
        <v>0</v>
      </c>
      <c r="Q521" s="113" t="n">
        <v>6016.5</v>
      </c>
      <c r="R521" s="108" t="inlineStr">
        <is>
          <t>derived:price x shares upon listing</t>
        </is>
      </c>
      <c r="S521" s="114" t="n">
        <v>140.02</v>
      </c>
      <c r="T521" s="115" t="n">
        <v>0.99</v>
      </c>
      <c r="U521" s="116" t="n">
        <v>3.63</v>
      </c>
      <c r="V521" s="117" t="n">
        <v>87</v>
      </c>
      <c r="W521" s="112" t="n">
        <v>6.18</v>
      </c>
      <c r="X521" s="108" t="inlineStr">
        <is>
          <t>NO</t>
        </is>
      </c>
      <c r="Y521" s="113" t="n">
        <v>626.6</v>
      </c>
      <c r="Z521" s="113" t="n">
        <v>43366500</v>
      </c>
      <c r="AA521" s="112" t="n">
        <v>10.41</v>
      </c>
      <c r="AB521" s="108" t="inlineStr">
        <is>
          <t>SensePower Management Limited; CYGG Holding Limited</t>
        </is>
      </c>
      <c r="AC521" s="108" t="inlineStr">
        <is>
          <t>sensepower;cygg</t>
        </is>
      </c>
      <c r="AD521" s="118" t="n"/>
      <c r="AE521" s="119" t="n"/>
      <c r="AF521" s="119" t="n"/>
      <c r="AG521" s="119" t="n"/>
      <c r="AH521" s="119" t="n"/>
      <c r="AI521" s="120" t="n">
        <v>105.54</v>
      </c>
      <c r="AJ521" s="121" t="n">
        <v>153.84</v>
      </c>
      <c r="AK521" s="121" t="n">
        <v>-0.91</v>
      </c>
      <c r="AL521" s="121" t="n">
        <v>142.21</v>
      </c>
      <c r="AM521" s="121" t="n">
        <v>4.8</v>
      </c>
      <c r="AN521" s="123" t="n">
        <v>2.58</v>
      </c>
      <c r="AO521" s="112" t="n">
        <v>26.06</v>
      </c>
      <c r="AP521" s="121" t="n">
        <v>156.47</v>
      </c>
      <c r="AQ521" s="137" t="n"/>
      <c r="AR521" s="137" t="n"/>
      <c r="AS521" s="121" t="n">
        <v>1.04</v>
      </c>
      <c r="AT521" s="137" t="n"/>
      <c r="AU521" s="137" t="n"/>
      <c r="AV521" s="121" t="n">
        <v>159.44</v>
      </c>
      <c r="AW521" s="137" t="n"/>
      <c r="AX521" s="137" t="n"/>
      <c r="AY521" s="137" t="n"/>
      <c r="AZ521" s="137" t="n"/>
      <c r="BA521" s="137" t="n"/>
      <c r="BB521" s="108" t="inlineStr">
        <is>
          <t>HSTECH (Hang Seng TECH ETF)</t>
        </is>
      </c>
      <c r="BC521" s="121" t="n">
        <v>151.9</v>
      </c>
      <c r="BD521" s="109" t="n">
        <v>46297</v>
      </c>
      <c r="BE521" s="110" t="n">
        <v>0</v>
      </c>
      <c r="BF521" s="113" t="n">
        <v>-121.9</v>
      </c>
      <c r="BG521" s="108" t="inlineStr">
        <is>
          <t>N</t>
        </is>
      </c>
      <c r="BH521" s="108" t="inlineStr">
        <is>
          <t>n/m</t>
        </is>
      </c>
      <c r="BI521" s="122" t="n"/>
      <c r="BJ521" s="122" t="n"/>
      <c r="BK521" s="108" t="inlineStr">
        <is>
          <t>pre-rev</t>
        </is>
      </c>
      <c r="BL521" s="124">
        <f>IF('BBG Verify'!S521="","not filed; run on terminal",'BBG Verify'!S521)</f>
        <v/>
      </c>
      <c r="BM521" s="125" t="inlineStr">
        <is>
          <t>N</t>
        </is>
      </c>
      <c r="BN521" s="126">
        <f>IF('BBG Verify'!K521="","not filed; run on terminal",'BBG Verify'!K521)</f>
        <v/>
      </c>
      <c r="BO521" s="108" t="inlineStr">
        <is>
          <t>N/A</t>
        </is>
      </c>
      <c r="BP521" s="108" t="inlineStr">
        <is>
          <t>N/A</t>
        </is>
      </c>
      <c r="BQ521" s="108" t="inlineStr">
        <is>
          <t>N/A</t>
        </is>
      </c>
      <c r="BR521" s="108" t="inlineStr">
        <is>
          <t>N/A</t>
        </is>
      </c>
      <c r="BS521" s="108" t="inlineStr">
        <is>
          <t>N/A</t>
        </is>
      </c>
      <c r="BT521" s="108" t="inlineStr">
        <is>
          <t>N/A</t>
        </is>
      </c>
      <c r="BU521" s="125" t="inlineStr">
        <is>
          <t>Silver Nile Global Investments Limited</t>
        </is>
      </c>
      <c r="BV521" s="108" t="inlineStr">
        <is>
          <t>Silver Nile Global Investments Limited</t>
        </is>
      </c>
      <c r="BW521" s="108" t="inlineStr">
        <is>
          <t>Silver Nile Global Investments Limited; CEB International Capital Corporation Limited; CMBC Securities Company Limited; SDIC Securities (Hong Kong) Limited; Harmonia Capital Limited; Guosen Securities (HK) Brokerage Company, Limited; Yuet Sheung International Securities Limited; Neutral Financial Holding Company Limited; Livermore Holdings Limited; uSmart Securities Limited</t>
        </is>
      </c>
      <c r="BX521" s="108" t="inlineStr">
        <is>
          <t>CEB International Capital Corporation Limited; CMBC Securities Company Limited; DL Securities (HK) Limited; Get Nice Securities Limited; Guosen Securities (HK) Brokerage Company, Limited; Harmonia Capital Limited; Jinluo Securities Limited; Livermore Holdings Limited; Neutral Financial Holding Company Limited; SDIC Securities (Hong Kong) Limited; Silver Nile Global Investments Limited</t>
        </is>
      </c>
      <c r="BY521" s="127">
        <f>HYPERLINK("https://www1.hkexnews.hk/listedco/listconews/sehk/2026/0831/2026083100009.pdf","prospectus")</f>
        <v/>
      </c>
      <c r="BZ521" s="127">
        <f>HYPERLINK("https://www1.hkexnews.hk/listedco/listconews/sehk/2026/0908/2026090800985.pdf","allotment")</f>
        <v/>
      </c>
      <c r="CA521" s="119" t="n"/>
      <c r="CB521" s="128" t="n"/>
      <c r="CC521" s="108" t="inlineStr">
        <is>
          <t>P/E: loss-making at IPO, use P/S; greenshoe: stabilisation window still open; 1m: pending: 16 traded sessions after debut; 21 needed; 3m: pending: 16 traded sessions after debut; 63 needed; greenshoe size: no over-allotment option; P/S: pre-revenue issuer, no sales multiple; stabilising manager: no over-allotment option, so none appointed; alpha/index: 1m window not elapsed</t>
        </is>
      </c>
    </row>
    <row r="522" ht="22" customHeight="1">
      <c r="A522" s="107" t="inlineStr">
        <is>
          <t>6727</t>
        </is>
      </c>
      <c r="B522" s="108" t="inlineStr">
        <is>
          <t>TRANSWARP</t>
        </is>
      </c>
      <c r="C522" s="108" t="inlineStr">
        <is>
          <t>星環科技</t>
        </is>
      </c>
      <c r="D522" s="108" t="inlineStr">
        <is>
          <t>Tech/AI</t>
        </is>
      </c>
      <c r="E522" s="108" t="inlineStr">
        <is>
          <t>SaaS / enterprise software</t>
        </is>
      </c>
      <c r="F522" s="108" t="inlineStr">
        <is>
          <t>Advanced hardware and software</t>
        </is>
      </c>
      <c r="G522" s="108" t="inlineStr">
        <is>
          <t>18C</t>
        </is>
      </c>
      <c r="H522" s="109" t="n">
        <v>46286</v>
      </c>
      <c r="I522" s="110" t="n">
        <v>686.53</v>
      </c>
      <c r="J522" s="108" t="inlineStr">
        <is>
          <t>gross (stated)</t>
        </is>
      </c>
      <c r="K522" s="129" t="n"/>
      <c r="L522" s="111" t="n">
        <v>61</v>
      </c>
      <c r="M522" s="111" t="n">
        <v>49</v>
      </c>
      <c r="N522" s="108" t="inlineStr">
        <is>
          <t>N</t>
        </is>
      </c>
      <c r="O522" s="112" t="n">
        <v>80.3</v>
      </c>
      <c r="P522" s="118" t="n"/>
      <c r="Q522" s="113" t="n">
        <v>6622.2</v>
      </c>
      <c r="R522" s="108" t="inlineStr">
        <is>
          <t>derived:price x shares upon listing</t>
        </is>
      </c>
      <c r="S522" s="114" t="n">
        <v>73.86</v>
      </c>
      <c r="T522" s="115" t="n">
        <v>1.42</v>
      </c>
      <c r="U522" s="116" t="n">
        <v>10.75</v>
      </c>
      <c r="V522" s="117" t="n">
        <v>50</v>
      </c>
      <c r="W522" s="112" t="n">
        <v>20</v>
      </c>
      <c r="X522" s="119" t="n"/>
      <c r="Y522" s="113" t="n">
        <v>612.73</v>
      </c>
      <c r="Z522" s="113" t="n">
        <v>12504639</v>
      </c>
      <c r="AA522" s="112" t="n">
        <v>9.25</v>
      </c>
      <c r="AB522" s="108" t="inlineStr">
        <is>
          <t>Electronic Channel Limited; LUOYANG Sci-Tech Inv</t>
        </is>
      </c>
      <c r="AC522" s="108" t="inlineStr">
        <is>
          <t>electronic;luoyang</t>
        </is>
      </c>
      <c r="AD522" s="118" t="n"/>
      <c r="AE522" s="119" t="n"/>
      <c r="AF522" s="119" t="n"/>
      <c r="AG522" s="119" t="n"/>
      <c r="AH522" s="119" t="n"/>
      <c r="AI522" s="139" t="n">
        <v>-1.27</v>
      </c>
      <c r="AJ522" s="121" t="n">
        <v>-9.18</v>
      </c>
      <c r="AK522" s="121" t="n">
        <v>0.42</v>
      </c>
      <c r="AL522" s="121" t="n">
        <v>0</v>
      </c>
      <c r="AM522" s="121" t="n">
        <v>-9.18</v>
      </c>
      <c r="AN522" s="123" t="n">
        <v>1.73</v>
      </c>
      <c r="AO522" s="112" t="n">
        <v>10.2</v>
      </c>
      <c r="AP522" s="121" t="n">
        <v>-31.84</v>
      </c>
      <c r="AQ522" s="137" t="n"/>
      <c r="AR522" s="137" t="n"/>
      <c r="AS522" s="121" t="n">
        <v>-24.95</v>
      </c>
      <c r="AT522" s="137" t="n"/>
      <c r="AU522" s="137" t="n"/>
      <c r="AV522" s="121" t="n">
        <v>-29.15</v>
      </c>
      <c r="AW522" s="137" t="n"/>
      <c r="AX522" s="137" t="n"/>
      <c r="AY522" s="137" t="n"/>
      <c r="AZ522" s="137" t="n"/>
      <c r="BA522" s="137" t="n"/>
      <c r="BB522" s="108" t="inlineStr">
        <is>
          <t>HSTECH (Hang Seng TECH ETF)</t>
        </is>
      </c>
      <c r="BC522" s="121" t="n">
        <v>-35.06</v>
      </c>
      <c r="BD522" s="109" t="n">
        <v>46297</v>
      </c>
      <c r="BE522" s="110" t="n">
        <v>491.8</v>
      </c>
      <c r="BF522" s="113" t="n">
        <v>-269.7</v>
      </c>
      <c r="BG522" s="108" t="inlineStr">
        <is>
          <t>N</t>
        </is>
      </c>
      <c r="BH522" s="108" t="inlineStr">
        <is>
          <t>n/m</t>
        </is>
      </c>
      <c r="BI522" s="122" t="n"/>
      <c r="BJ522" s="122" t="n"/>
      <c r="BK522" s="123" t="n">
        <v>13.5</v>
      </c>
      <c r="BL522" s="124">
        <f>IF('BBG Verify'!S522="","not filed; run on terminal",'BBG Verify'!S522)</f>
        <v/>
      </c>
      <c r="BM522" s="125" t="inlineStr">
        <is>
          <t>N</t>
        </is>
      </c>
      <c r="BN522" s="126">
        <f>IF('BBG Verify'!K522="","not filed; run on terminal",'BBG Verify'!K522)</f>
        <v/>
      </c>
      <c r="BO522" s="108" t="inlineStr">
        <is>
          <t>N/A</t>
        </is>
      </c>
      <c r="BP522" s="108" t="inlineStr">
        <is>
          <t>N/A</t>
        </is>
      </c>
      <c r="BQ522" s="135" t="n">
        <v>2.2362</v>
      </c>
      <c r="BR522" s="113" t="n">
        <v>13919.6</v>
      </c>
      <c r="BS522" s="108" t="inlineStr">
        <is>
          <t>N/A</t>
        </is>
      </c>
      <c r="BT522" s="108" t="inlineStr">
        <is>
          <t>N/A</t>
        </is>
      </c>
      <c r="BU522" s="125" t="inlineStr">
        <is>
          <t>Haitong International Capital Limited; Haitong International Securities Company Limited</t>
        </is>
      </c>
      <c r="BV522" s="108" t="inlineStr">
        <is>
          <t>Haitong International Capital Limited</t>
        </is>
      </c>
      <c r="BW522" s="108" t="inlineStr">
        <is>
          <t>Webull Securities Limited; BOCOM International Securities Limited; Huafu International Securities Limited; CMB International Capital Limited; SPDB International Capital Limited</t>
        </is>
      </c>
      <c r="BX522" s="108" t="inlineStr">
        <is>
          <t>BOCOM International Securities Limited; CMB International Capital Limited; First Securities (HK) Limited; Futu Securities International (Hong Kong) Limited; Huafu International Securities Limited; Haitong International Securities Company Limited; Shenwan Hongyuan Securities (H.K.) Limited; SPDB International Capital Limited; TFI Securities and Futures Limited; Webull Securities Limited</t>
        </is>
      </c>
      <c r="BY522" s="127">
        <f>HYPERLINK("https://www1.hkexnews.hk/listedco/listconews/sehk/2026/0911/2026091100019.pdf","prospectus")</f>
        <v/>
      </c>
      <c r="BZ522" s="127">
        <f>HYPERLINK("https://www1.hkexnews.hk/listedco/listconews/sehk/2026/0918/2026091801414.pdf","allotment")</f>
        <v/>
      </c>
      <c r="CA522" s="119" t="n"/>
      <c r="CB522" s="128" t="n"/>
      <c r="CC522" s="108" t="inlineStr">
        <is>
          <t>P/E: loss-making at IPO, use P/S; greenshoe: stabilisation window still open; range low: maximum offer price only, no floor published; 1m: pending: 8 traded sessions after debut; 21 needed; 3m: pending: 8 traded sessions after debut; 63 needed; greenshoe size: no over-allotment option; stabilising manager: no over-allotment option, so none appointed; alpha/index: 1m window not elapsed; allocation: clawback line not in this notice; a 12-28% split is consistent with either a tier-1 clawback or a placing shortfall</t>
        </is>
      </c>
    </row>
    <row r="523" ht="22" customHeight="1">
      <c r="A523" s="107" t="inlineStr">
        <is>
          <t>9856</t>
        </is>
      </c>
      <c r="B523" s="108" t="inlineStr">
        <is>
          <t>LIGENT</t>
        </is>
      </c>
      <c r="C523" s="108" t="inlineStr">
        <is>
          <t>納真科技</t>
        </is>
      </c>
      <c r="D523" s="108" t="inlineStr">
        <is>
          <t>Tech/AI</t>
        </is>
      </c>
      <c r="E523" s="108" t="inlineStr">
        <is>
          <t>Smart hardware / consumer electronics</t>
        </is>
      </c>
      <c r="F523" s="108" t="inlineStr">
        <is>
          <t>Electrical Components &amp; Equipment</t>
        </is>
      </c>
      <c r="G523" s="108" t="inlineStr">
        <is>
          <t>Standard</t>
        </is>
      </c>
      <c r="H523" s="109" t="n">
        <v>46287</v>
      </c>
      <c r="I523" s="110" t="n">
        <v>5669.6</v>
      </c>
      <c r="J523" s="108" t="inlineStr">
        <is>
          <t>gross (stated)</t>
        </is>
      </c>
      <c r="K523" s="129" t="n"/>
      <c r="L523" s="111" t="n">
        <v>32.96</v>
      </c>
      <c r="M523" s="111" t="n">
        <v>32.96</v>
      </c>
      <c r="N523" s="108" t="inlineStr">
        <is>
          <t>Y</t>
        </is>
      </c>
      <c r="O523" s="112" t="n">
        <v>100</v>
      </c>
      <c r="P523" s="118" t="n"/>
      <c r="Q523" s="113" t="n">
        <v>28911.8</v>
      </c>
      <c r="R523" s="108" t="inlineStr">
        <is>
          <t>derived:deal size / offer % of enlarged capital</t>
        </is>
      </c>
      <c r="S523" s="114" t="n">
        <v>35.16</v>
      </c>
      <c r="T523" s="115" t="n">
        <v>4.67</v>
      </c>
      <c r="U523" s="116" t="n">
        <v>47.02</v>
      </c>
      <c r="V523" s="117" t="n">
        <v>192</v>
      </c>
      <c r="W523" s="112" t="n">
        <v>10</v>
      </c>
      <c r="X523" s="108" t="inlineStr">
        <is>
          <t>NA</t>
        </is>
      </c>
      <c r="Y523" s="113" t="n">
        <v>3003.75</v>
      </c>
      <c r="Z523" s="113" t="n">
        <v>91133388</v>
      </c>
      <c r="AA523" s="112" t="n">
        <v>10.39</v>
      </c>
      <c r="AB523" s="108" t="inlineStr">
        <is>
          <t>Primavera Investment Fund; GBAHIL – Mega Prime; Poly Platinum; HK BVF I LPF; Orient Asset Management; Mount Altai; Peak View Capital; Sinofortune International; Ambre Lau Trade Limited; SCV Delta; Mirae Asset Securities Co., Ltd; PAG Capital Structure Opportunity Fund LP; Turquoise Hime (ORIX); GF Fund (6) – GF Fund Management; GF Fund HK; E Fund Management Co., Ltd; CSC OTC Swap; First Seafront Asset Management Limited; GaoTeng Global Asset Management Limited; GigaDevice; Amlogic Hong Kong; Atlas Venture Limited; Alphahill Capital Limited; ODI TRUST LIMITED; Barings</t>
        </is>
      </c>
      <c r="AC523" s="108" t="inlineStr">
        <is>
          <t>primavera;gbahil;poly;bvf;orient;mount;peak;sinofortune;ambre;scv;mirae;pag;turquoise;gf;fund-management;csc;first-seafront;gaoteng;gigadevice;amlogic;atlas;alphahill;odi;barings</t>
        </is>
      </c>
      <c r="AD523" s="112" t="n">
        <v>15</v>
      </c>
      <c r="AE523" s="119" t="n"/>
      <c r="AF523" s="108" t="inlineStr">
        <is>
          <t>2026-10-17</t>
        </is>
      </c>
      <c r="AG523" s="108" t="inlineStr">
        <is>
          <t>CLSA Limited</t>
        </is>
      </c>
      <c r="AH523" s="108" t="inlineStr">
        <is>
          <t>CLSA</t>
        </is>
      </c>
      <c r="AI523" s="120" t="n">
        <v>8.92</v>
      </c>
      <c r="AJ523" s="121" t="n">
        <v>4.61</v>
      </c>
      <c r="AK523" s="121" t="n">
        <v>0.37</v>
      </c>
      <c r="AL523" s="121" t="n">
        <v>11.04</v>
      </c>
      <c r="AM523" s="121" t="n">
        <v>-5.79</v>
      </c>
      <c r="AN523" s="123" t="n">
        <v>3.97</v>
      </c>
      <c r="AO523" s="112" t="n">
        <v>14.43</v>
      </c>
      <c r="AP523" s="121" t="n">
        <v>-2.67</v>
      </c>
      <c r="AQ523" s="137" t="n"/>
      <c r="AR523" s="137" t="n"/>
      <c r="AS523" s="121" t="n">
        <v>-6.96</v>
      </c>
      <c r="AT523" s="137" t="n"/>
      <c r="AU523" s="137" t="n"/>
      <c r="AV523" s="121" t="n">
        <v>1.62</v>
      </c>
      <c r="AW523" s="137" t="n"/>
      <c r="AX523" s="137" t="n"/>
      <c r="AY523" s="137" t="n"/>
      <c r="AZ523" s="137" t="n"/>
      <c r="BA523" s="137" t="n"/>
      <c r="BB523" s="108" t="inlineStr">
        <is>
          <t>HSTECH (Hang Seng TECH ETF)</t>
        </is>
      </c>
      <c r="BC523" s="121" t="n">
        <v>0.18</v>
      </c>
      <c r="BD523" s="109" t="n">
        <v>46297</v>
      </c>
      <c r="BE523" s="110" t="n">
        <v>9190.1</v>
      </c>
      <c r="BF523" s="113" t="n">
        <v>959.9</v>
      </c>
      <c r="BG523" s="108" t="inlineStr">
        <is>
          <t>Y</t>
        </is>
      </c>
      <c r="BH523" s="123" t="n">
        <v>30.1</v>
      </c>
      <c r="BI523" s="122" t="n"/>
      <c r="BJ523" s="122" t="n"/>
      <c r="BK523" s="123" t="n">
        <v>3.1</v>
      </c>
      <c r="BL523" s="124">
        <f>IF('BBG Verify'!S523="","not filed; run on terminal",'BBG Verify'!S523)</f>
        <v/>
      </c>
      <c r="BM523" s="125" t="inlineStr">
        <is>
          <t>N</t>
        </is>
      </c>
      <c r="BN523" s="126">
        <f>IF('BBG Verify'!K523="","not filed; run on terminal",'BBG Verify'!K523)</f>
        <v/>
      </c>
      <c r="BO523" s="108" t="inlineStr">
        <is>
          <t>N/A</t>
        </is>
      </c>
      <c r="BP523" s="108" t="inlineStr">
        <is>
          <t>N/A</t>
        </is>
      </c>
      <c r="BQ523" s="108" t="inlineStr">
        <is>
          <t>N/A</t>
        </is>
      </c>
      <c r="BR523" s="108" t="inlineStr">
        <is>
          <t>N/A</t>
        </is>
      </c>
      <c r="BS523" s="108" t="inlineStr">
        <is>
          <t>N/A</t>
        </is>
      </c>
      <c r="BT523" s="108" t="inlineStr">
        <is>
          <t>N/A</t>
        </is>
      </c>
      <c r="BU523" s="125" t="inlineStr">
        <is>
          <t>Citigroup Global Markets Asia Limited; CITIC Securities (Hong Kong) Limited</t>
        </is>
      </c>
      <c r="BV523" s="108" t="inlineStr">
        <is>
          <t>CITIC Securities (Hong Kong) Limited; Citigroup Global Markets Asia Limited</t>
        </is>
      </c>
      <c r="BW523" s="108" t="inlineStr">
        <is>
          <t>Citigroup Global Markets Asia Limited; Citigroup Global Markets Limited; Canary Wharf London E14 5LB, United Kingdom CLSA Limited; GF Securities (Hong Kong) Brokerage Limited</t>
        </is>
      </c>
      <c r="BX523" s="108" t="inlineStr">
        <is>
          <t>Citigroup Global Markets Asia Limited; CLSA Limited; Futu Securities International (Hong Kong) Limited; GF Securities (Hong Kong) Brokerage Limited</t>
        </is>
      </c>
      <c r="BY523" s="127">
        <f>HYPERLINK("https://www1.hkexnews.hk/listedco/listconews/sehk/2026/0914/2026091400007.pdf","prospectus")</f>
        <v/>
      </c>
      <c r="BZ523" s="127">
        <f>HYPERLINK("https://www1.hkexnews.hk/listedco/listconews/sehk/2026/0921/2026092101567.pdf","allotment")</f>
        <v/>
      </c>
      <c r="CA523" s="119" t="n"/>
      <c r="CB523" s="128" t="n"/>
      <c r="CC523" s="108" t="inlineStr">
        <is>
          <t>greenshoe: stabilisation window still open; range low: maximum offer price only, no floor published; 1m: pending: 7 traded sessions after debut; 21 needed; 3m: pending: 7 traded sessions after debut; 63 needed; alpha/index: 1m window not elapsed</t>
        </is>
      </c>
    </row>
    <row r="524" ht="22" customHeight="1">
      <c r="A524" s="107" t="inlineStr">
        <is>
          <t>9607</t>
        </is>
      </c>
      <c r="B524" s="108" t="inlineStr">
        <is>
          <t>RA MATERIALS</t>
        </is>
      </c>
      <c r="C524" s="108" t="inlineStr">
        <is>
          <t>彤程新材</t>
        </is>
      </c>
      <c r="D524" s="108" t="inlineStr">
        <is>
          <t>Materials/Energy</t>
        </is>
      </c>
      <c r="E524" s="108" t="inlineStr">
        <is>
          <t>Chemicals</t>
        </is>
      </c>
      <c r="F524" s="108" t="inlineStr">
        <is>
          <t>Diversified Chemicals</t>
        </is>
      </c>
      <c r="G524" s="108" t="inlineStr">
        <is>
          <t>Standard</t>
        </is>
      </c>
      <c r="H524" s="109" t="n">
        <v>46294</v>
      </c>
      <c r="I524" s="110" t="n">
        <v>2997.22</v>
      </c>
      <c r="J524" s="108" t="inlineStr">
        <is>
          <t>gross (stated)</t>
        </is>
      </c>
      <c r="K524" s="111" t="n">
        <v>39</v>
      </c>
      <c r="L524" s="111" t="n">
        <v>44</v>
      </c>
      <c r="M524" s="111" t="n">
        <v>44</v>
      </c>
      <c r="N524" s="108" t="inlineStr">
        <is>
          <t>Y</t>
        </is>
      </c>
      <c r="O524" s="112" t="n">
        <v>100</v>
      </c>
      <c r="P524" s="112" t="n">
        <v>100</v>
      </c>
      <c r="Q524" s="113" t="n">
        <v>30104.3</v>
      </c>
      <c r="R524" s="108" t="inlineStr">
        <is>
          <t>derived:price x shares upon listing</t>
        </is>
      </c>
      <c r="S524" s="114" t="n">
        <v>3.4</v>
      </c>
      <c r="T524" s="115" t="n">
        <v>2.75</v>
      </c>
      <c r="U524" s="116" t="n">
        <v>33.14</v>
      </c>
      <c r="V524" s="117" t="n">
        <v>81</v>
      </c>
      <c r="W524" s="112" t="n">
        <v>10</v>
      </c>
      <c r="X524" s="108" t="inlineStr">
        <is>
          <t>NA</t>
        </is>
      </c>
      <c r="Y524" s="113" t="n">
        <v>2003.94</v>
      </c>
      <c r="Z524" s="113" t="n">
        <v>45544163</v>
      </c>
      <c r="AA524" s="112" t="n">
        <v>6.66</v>
      </c>
      <c r="AB524" s="108" t="inlineStr">
        <is>
          <t>CNCB Investment; Full Truck; Golden Valley Master; Goldshore; Happy Wisdom; Prinx Chengshan HK; Yang Quanhai; Zhou Bo</t>
        </is>
      </c>
      <c r="AC524" s="108" t="inlineStr">
        <is>
          <t>cncb;full;golden-valley;goldshore;happy;prinx;yang-quanhai;zhou-bo</t>
        </is>
      </c>
      <c r="AD524" s="112" t="n">
        <v>10</v>
      </c>
      <c r="AE524" s="119" t="n"/>
      <c r="AF524" s="119" t="n"/>
      <c r="AG524" s="119" t="n"/>
      <c r="AH524" s="119" t="n"/>
      <c r="AI524" s="120" t="n">
        <v>-17.86</v>
      </c>
      <c r="AJ524" s="121" t="n">
        <v>-9.140000000000001</v>
      </c>
      <c r="AK524" s="121" t="n">
        <v>-0.79</v>
      </c>
      <c r="AL524" s="121" t="n">
        <v>-9.09</v>
      </c>
      <c r="AM524" s="121" t="n">
        <v>-0.05</v>
      </c>
      <c r="AN524" s="123" t="n">
        <v>1.58</v>
      </c>
      <c r="AO524" s="112" t="n">
        <v>6.7</v>
      </c>
      <c r="AP524" s="137" t="n"/>
      <c r="AQ524" s="137" t="n"/>
      <c r="AR524" s="137" t="n"/>
      <c r="AS524" s="137" t="n"/>
      <c r="AT524" s="137" t="n"/>
      <c r="AU524" s="137" t="n"/>
      <c r="AV524" s="137" t="n"/>
      <c r="AW524" s="137" t="n"/>
      <c r="AX524" s="137" t="n"/>
      <c r="AY524" s="137" t="n"/>
      <c r="AZ524" s="137" t="n"/>
      <c r="BA524" s="137" t="n"/>
      <c r="BB524" s="108" t="inlineStr">
        <is>
          <t>Hang Seng Commerce &amp; Industry sub-index</t>
        </is>
      </c>
      <c r="BC524" s="121" t="n">
        <v>-8.359999999999999</v>
      </c>
      <c r="BD524" s="109" t="n">
        <v>46297</v>
      </c>
      <c r="BE524" s="110" t="n">
        <v>3762.6</v>
      </c>
      <c r="BF524" s="113" t="n">
        <v>635</v>
      </c>
      <c r="BG524" s="108" t="inlineStr">
        <is>
          <t>Y</t>
        </is>
      </c>
      <c r="BH524" s="123" t="n">
        <v>47.4</v>
      </c>
      <c r="BI524" s="122" t="n"/>
      <c r="BJ524" s="122" t="n"/>
      <c r="BK524" s="123" t="n">
        <v>8</v>
      </c>
      <c r="BL524" s="124">
        <f>IF('BBG Verify'!S524="","not filed; run on terminal",'BBG Verify'!S524)</f>
        <v/>
      </c>
      <c r="BM524" s="125" t="inlineStr">
        <is>
          <t>N</t>
        </is>
      </c>
      <c r="BN524" s="126">
        <f>IF('BBG Verify'!K524="","not filed; run on terminal",'BBG Verify'!K524)</f>
        <v/>
      </c>
      <c r="BO524" s="108" t="inlineStr">
        <is>
          <t>N/A</t>
        </is>
      </c>
      <c r="BP524" s="108" t="inlineStr">
        <is>
          <t>N/A</t>
        </is>
      </c>
      <c r="BQ524" s="135" t="n">
        <v>0.8083</v>
      </c>
      <c r="BR524" s="113" t="n">
        <v>49895.2</v>
      </c>
      <c r="BS524" s="108" t="inlineStr">
        <is>
          <t>N/A</t>
        </is>
      </c>
      <c r="BT524" s="108" t="inlineStr">
        <is>
          <t>N/A</t>
        </is>
      </c>
      <c r="BU524" s="125" t="inlineStr">
        <is>
          <t>Haitong International Capital Limited</t>
        </is>
      </c>
      <c r="BV524" s="108" t="inlineStr">
        <is>
          <t>Haitong International Capital Limited</t>
        </is>
      </c>
      <c r="BW524" s="108" t="inlineStr">
        <is>
          <t>Futu Securities International (Hong Kong) Limited; Harmonia Capital Limited; Huajin Securities (International) Limited; Tiger Brokers (HK) Global Limited; Co-lead Manager uSmart Securities Limited; Haitong International Securities Company Limited; Fortune (HK) Securities Limited; uSmart Securities Limited; Yuan Tong Global Securities Limited</t>
        </is>
      </c>
      <c r="BX524" s="108" t="inlineStr">
        <is>
          <t>Fortune (HK) Securities Limited; Futu Securities International (Hong Kong) Limited; Harmonia Capital Limited; Haitong International Securities Company Limited; Huajin Securities (International) Limited; Tiger Brokers (HK) Global Limited</t>
        </is>
      </c>
      <c r="BY524" s="127">
        <f>HYPERLINK("https://www1.hkexnews.hk/listedco/listconews/sehk/2026/0921/2026092100029.pdf","prospectus")</f>
        <v/>
      </c>
      <c r="BZ524" s="127">
        <f>HYPERLINK("https://www1.hkexnews.hk/listedco/listconews/sehk/2026/0928/2026092801809.pdf","allotment")</f>
        <v/>
      </c>
      <c r="CA524" s="119" t="n"/>
      <c r="CB524" s="128" t="n"/>
      <c r="CC524" s="108" t="inlineStr">
        <is>
          <t>greenshoe: stabilisation window still open; 1w: pending: 2 traded sessions after debut; 5 needed; 1m: pending: 2 traded sessions after debut; 21 needed; 3m: pending: 2 traded sessions after debut; 63 needed; stabilising manager: filing states none appointed (allotment announcement: 'no stabilizing manager will be appointed' stated in the filing); alpha/index: 1w window not elapsed; public sub: HKEX table 3.4x kept; AAStocks 超額倍數 2.75x on its own basis</t>
        </is>
      </c>
    </row>
    <row r="525" ht="22" customHeight="1">
      <c r="A525" s="107" t="inlineStr">
        <is>
          <t>3228</t>
        </is>
      </c>
      <c r="B525" s="108" t="inlineStr">
        <is>
          <t>KINWONG</t>
        </is>
      </c>
      <c r="C525" s="108" t="inlineStr">
        <is>
          <t>景旺電子</t>
        </is>
      </c>
      <c r="D525" s="108" t="inlineStr">
        <is>
          <t>Tech/AI</t>
        </is>
      </c>
      <c r="E525" s="108" t="inlineStr">
        <is>
          <t>Smart hardware / consumer electronics</t>
        </is>
      </c>
      <c r="F525" s="108" t="inlineStr">
        <is>
          <t>Printed Circuit Boards</t>
        </is>
      </c>
      <c r="G525" s="108" t="inlineStr">
        <is>
          <t>Standard</t>
        </is>
      </c>
      <c r="H525" s="109" t="n">
        <v>46294</v>
      </c>
      <c r="I525" s="110" t="n">
        <v>5097.3</v>
      </c>
      <c r="J525" s="108" t="inlineStr">
        <is>
          <t>gross (stated)</t>
        </is>
      </c>
      <c r="K525" s="129" t="n"/>
      <c r="L525" s="111" t="n">
        <v>69.88</v>
      </c>
      <c r="M525" s="111" t="n">
        <v>69.88</v>
      </c>
      <c r="N525" s="108" t="inlineStr">
        <is>
          <t>Y</t>
        </is>
      </c>
      <c r="O525" s="112" t="n">
        <v>100</v>
      </c>
      <c r="P525" s="118" t="n"/>
      <c r="Q525" s="113" t="n">
        <v>75069.89999999999</v>
      </c>
      <c r="R525" s="108" t="inlineStr">
        <is>
          <t>derived:price x shares upon listing</t>
        </is>
      </c>
      <c r="S525" s="114" t="n">
        <v>94.3</v>
      </c>
      <c r="T525" s="115" t="n">
        <v>10.57</v>
      </c>
      <c r="U525" s="116" t="n">
        <v>47.4</v>
      </c>
      <c r="V525" s="117" t="n">
        <v>143</v>
      </c>
      <c r="W525" s="112" t="n">
        <v>10</v>
      </c>
      <c r="X525" s="108" t="inlineStr">
        <is>
          <t>NO</t>
        </is>
      </c>
      <c r="Y525" s="113" t="n">
        <v>2681.18</v>
      </c>
      <c r="Z525" s="113" t="n">
        <v>38368702</v>
      </c>
      <c r="AA525" s="112" t="n">
        <v>3.57</v>
      </c>
      <c r="AB525" s="108" t="inlineStr">
        <is>
          <t>3W Fund Management Limited; Baring Asset Management (Asia) Limited; Bosera Asset Management (International) Co., Limited; Cambridge Industries Group Telecommunication Limited; CloudAlpha Capital Management Limited; CPE Redwood Investment Limited; E Fund Management (Hong Kong) Co., Ltd; HONG KONG MASON ELECTRONICS CO., LIMITED; JPMorgan Asset Management (Asia Pacific) Limited; KINGBOARD INVESTMENTS LIMITED; Ninety One Asia Pte. Limited; Seven Grand Managers, LLC; Tianhong Asset Management Co., Ltd; Zhongji Innolight Co., Ltd</t>
        </is>
      </c>
      <c r="AC525" s="108" t="inlineStr">
        <is>
          <t>3w;baring;bosera;cambridge;cloudalpha;cpe;fund-management;mason;jpmorgan;kingboard;ninety;seven;tianhong;zhongji</t>
        </is>
      </c>
      <c r="AD525" s="118" t="n"/>
      <c r="AE525" s="119" t="n"/>
      <c r="AF525" s="119" t="n"/>
      <c r="AG525" s="119" t="n"/>
      <c r="AH525" s="119" t="n"/>
      <c r="AI525" s="120" t="n">
        <v>-6.34</v>
      </c>
      <c r="AJ525" s="121" t="n">
        <v>10.26</v>
      </c>
      <c r="AK525" s="121" t="n">
        <v>-1.24</v>
      </c>
      <c r="AL525" s="121" t="n">
        <v>-6.98</v>
      </c>
      <c r="AM525" s="121" t="n">
        <v>18.53</v>
      </c>
      <c r="AN525" s="123" t="n">
        <v>3.11</v>
      </c>
      <c r="AO525" s="112" t="n">
        <v>24.31</v>
      </c>
      <c r="AP525" s="137" t="n"/>
      <c r="AQ525" s="137" t="n"/>
      <c r="AR525" s="137" t="n"/>
      <c r="AS525" s="137" t="n"/>
      <c r="AT525" s="137" t="n"/>
      <c r="AU525" s="137" t="n"/>
      <c r="AV525" s="137" t="n"/>
      <c r="AW525" s="137" t="n"/>
      <c r="AX525" s="137" t="n"/>
      <c r="AY525" s="137" t="n"/>
      <c r="AZ525" s="137" t="n"/>
      <c r="BA525" s="137" t="n"/>
      <c r="BB525" s="108" t="inlineStr">
        <is>
          <t>HSTECH (Hang Seng TECH ETF)</t>
        </is>
      </c>
      <c r="BC525" s="121" t="n">
        <v>6.47</v>
      </c>
      <c r="BD525" s="109" t="n">
        <v>46297</v>
      </c>
      <c r="BE525" s="110" t="n">
        <v>16838.9</v>
      </c>
      <c r="BF525" s="113" t="n">
        <v>1368.4</v>
      </c>
      <c r="BG525" s="108" t="inlineStr">
        <is>
          <t>Y</t>
        </is>
      </c>
      <c r="BH525" s="123" t="n">
        <v>54.9</v>
      </c>
      <c r="BI525" s="122" t="n"/>
      <c r="BJ525" s="122" t="n"/>
      <c r="BK525" s="123" t="n">
        <v>4.5</v>
      </c>
      <c r="BL525" s="124">
        <f>IF('BBG Verify'!S525="","not filed; run on terminal",'BBG Verify'!S525)</f>
        <v/>
      </c>
      <c r="BM525" s="125" t="inlineStr">
        <is>
          <t>N</t>
        </is>
      </c>
      <c r="BN525" s="126">
        <f>IF('BBG Verify'!K525="","not filed; run on terminal",'BBG Verify'!K525)</f>
        <v/>
      </c>
      <c r="BO525" s="108" t="inlineStr">
        <is>
          <t>N/A</t>
        </is>
      </c>
      <c r="BP525" s="108" t="inlineStr">
        <is>
          <t>N/A</t>
        </is>
      </c>
      <c r="BQ525" s="135" t="n">
        <v>0.5918</v>
      </c>
      <c r="BR525" s="113" t="n">
        <v>127407.3</v>
      </c>
      <c r="BS525" s="108" t="inlineStr">
        <is>
          <t>N/A</t>
        </is>
      </c>
      <c r="BT525" s="108" t="inlineStr">
        <is>
          <t>N/A</t>
        </is>
      </c>
      <c r="BU525" s="125" t="inlineStr">
        <is>
          <t>CITIC Securities (Hong Kong) Limited; Merrill Lynch (Asia Pacific) Limited; Guolian Securities International Capital Market Co., Limited</t>
        </is>
      </c>
      <c r="BV525" s="108" t="inlineStr">
        <is>
          <t>Merrill Lynch (Asia Pacific) Limited; CITIC Securities (Hong Kong) Limited; Guolian Securities International Capital Market Co.</t>
        </is>
      </c>
      <c r="BW525" s="108" t="inlineStr">
        <is>
          <t>CLSA Limited; Merrill Lynch (Asia Pacific) Limited; Guolian Securities International Capital Co., Limited</t>
        </is>
      </c>
      <c r="BX525" s="108" t="inlineStr">
        <is>
          <t>CLSA Limited; Guolian Securities International Capital Market Co., Limited; Merrill Lynch (Asia Pacific) Limited</t>
        </is>
      </c>
      <c r="BY525" s="127">
        <f>HYPERLINK("https://www1.hkexnews.hk/listedco/listconews/sehk/2026/0921/2026092100035.pdf","prospectus")</f>
        <v/>
      </c>
      <c r="BZ525" s="127">
        <f>HYPERLINK("https://www1.hkexnews.hk/listedco/listconews/sehk/2026/0928/2026092801965.pdf","allotment")</f>
        <v/>
      </c>
      <c r="CA525" s="119" t="n"/>
      <c r="CB525" s="128" t="n"/>
      <c r="CC525" s="108" t="inlineStr">
        <is>
          <t>greenshoe: stabilisation window still open; range low: maximum offer price only, no floor published; 1w: pending: 2 traded sessions after debut; 5 needed; 1m: pending: 2 traded sessions after debut; 21 needed; 3m: pending: 2 traded sessions after debut; 63 needed; greenshoe size: no over-allotment option; stabilising manager: no over-allotment option, so none appointed; alpha/index: 1w window not elapsed; public sub: HKEX table 94.3x kept; AAStocks 超額倍數 10.57x on its own basis</t>
        </is>
      </c>
    </row>
    <row r="526" ht="22" customHeight="1">
      <c r="A526" s="107" t="inlineStr">
        <is>
          <t>3757</t>
        </is>
      </c>
      <c r="B526" s="108" t="inlineStr">
        <is>
          <t>ROBOTECHNIK</t>
        </is>
      </c>
      <c r="C526" s="108" t="inlineStr">
        <is>
          <t>羅博特科</t>
        </is>
      </c>
      <c r="D526" s="108" t="inlineStr">
        <is>
          <t>Tech/AI</t>
        </is>
      </c>
      <c r="E526" s="108" t="inlineStr">
        <is>
          <t>Robotics &amp; autonomous driving</t>
        </is>
      </c>
      <c r="F526" s="108" t="inlineStr">
        <is>
          <t>New energy and environmental protection</t>
        </is>
      </c>
      <c r="G526" s="108" t="inlineStr">
        <is>
          <t>Standard</t>
        </is>
      </c>
      <c r="H526" s="109" t="n">
        <v>46294</v>
      </c>
      <c r="I526" s="110" t="n">
        <v>5177.9</v>
      </c>
      <c r="J526" s="108" t="inlineStr">
        <is>
          <t>gross (stated)</t>
        </is>
      </c>
      <c r="K526" s="129" t="n"/>
      <c r="L526" s="111" t="n">
        <v>436</v>
      </c>
      <c r="M526" s="111" t="n">
        <v>436</v>
      </c>
      <c r="N526" s="108" t="inlineStr">
        <is>
          <t>Y</t>
        </is>
      </c>
      <c r="O526" s="112" t="n">
        <v>100</v>
      </c>
      <c r="P526" s="118" t="n"/>
      <c r="Q526" s="113" t="n">
        <v>69038.7</v>
      </c>
      <c r="R526" s="108" t="inlineStr">
        <is>
          <t>derived:deal size / offer % of enlarged capital</t>
        </is>
      </c>
      <c r="S526" s="114" t="n">
        <v>8.699999999999999</v>
      </c>
      <c r="T526" s="115" t="n">
        <v>5.97</v>
      </c>
      <c r="U526" s="116" t="n">
        <v>35.2</v>
      </c>
      <c r="V526" s="117" t="n">
        <v>120</v>
      </c>
      <c r="W526" s="112" t="n">
        <v>10</v>
      </c>
      <c r="X526" s="108" t="inlineStr">
        <is>
          <t>NA</t>
        </is>
      </c>
      <c r="Y526" s="113" t="n">
        <v>3355.28</v>
      </c>
      <c r="Z526" s="113" t="n">
        <v>7695648</v>
      </c>
      <c r="AA526" s="112" t="n">
        <v>4.86</v>
      </c>
      <c r="AB526" s="108" t="inlineStr">
        <is>
          <t>Temasek; Sunpeak Asset; IvyRock; E Fund Management Co., Ltd; E Fund HK; Winner Global Fund; Wind Sabre; Vestide Lumir; Arrowpoint; Sino Opulence Fund; Roofer Asset Management; Bloom Capital; Mr. Lai Pak Lam; Mr. Xia Shengli; Mr. Zhu Guodong; Mr. Zheng Xiaofeng</t>
        </is>
      </c>
      <c r="AC526" s="108" t="inlineStr">
        <is>
          <t>temasek;sunpeak;ivyrock;fund-management;fund-hk;winner;wind;vestide;arrowpoint;sino-opulence;roofer;bloom;mr-lai;mr-xia;mr-zhu;mr-zheng</t>
        </is>
      </c>
      <c r="AD526" s="112" t="n">
        <v>15</v>
      </c>
      <c r="AE526" s="119" t="n"/>
      <c r="AF526" s="108" t="inlineStr">
        <is>
          <t>2026-10-24</t>
        </is>
      </c>
      <c r="AG526" s="108" t="inlineStr">
        <is>
          <t>Huatai Financial Holdings</t>
        </is>
      </c>
      <c r="AH526" s="108" t="inlineStr">
        <is>
          <t>Huatai</t>
        </is>
      </c>
      <c r="AI526" s="120" t="n">
        <v>-1.83</v>
      </c>
      <c r="AJ526" s="121" t="n">
        <v>-4.95</v>
      </c>
      <c r="AK526" s="121" t="n">
        <v>-1.24</v>
      </c>
      <c r="AL526" s="121" t="n">
        <v>-3.76</v>
      </c>
      <c r="AM526" s="121" t="n">
        <v>-1.24</v>
      </c>
      <c r="AN526" s="123" t="n">
        <v>2.19</v>
      </c>
      <c r="AO526" s="112" t="n">
        <v>7.48</v>
      </c>
      <c r="AP526" s="137" t="n"/>
      <c r="AQ526" s="137" t="n"/>
      <c r="AR526" s="137" t="n"/>
      <c r="AS526" s="137" t="n"/>
      <c r="AT526" s="137" t="n"/>
      <c r="AU526" s="137" t="n"/>
      <c r="AV526" s="137" t="n"/>
      <c r="AW526" s="137" t="n"/>
      <c r="AX526" s="137" t="n"/>
      <c r="AY526" s="137" t="n"/>
      <c r="AZ526" s="137" t="n"/>
      <c r="BA526" s="137" t="n"/>
      <c r="BB526" s="108" t="inlineStr">
        <is>
          <t>HSTECH (Hang Seng TECH ETF)</t>
        </is>
      </c>
      <c r="BC526" s="121" t="n">
        <v>-8.85</v>
      </c>
      <c r="BD526" s="109" t="n">
        <v>46297</v>
      </c>
      <c r="BE526" s="110" t="n">
        <v>1043.7</v>
      </c>
      <c r="BF526" s="113" t="n">
        <v>-49.5</v>
      </c>
      <c r="BG526" s="108" t="inlineStr">
        <is>
          <t>N</t>
        </is>
      </c>
      <c r="BH526" s="108" t="inlineStr">
        <is>
          <t>n/m</t>
        </is>
      </c>
      <c r="BI526" s="122" t="n"/>
      <c r="BJ526" s="122" t="n"/>
      <c r="BK526" s="123" t="n">
        <v>66.09999999999999</v>
      </c>
      <c r="BL526" s="124">
        <f>IF('BBG Verify'!S526="","not filed; run on terminal",'BBG Verify'!S526)</f>
        <v/>
      </c>
      <c r="BM526" s="125" t="inlineStr">
        <is>
          <t>N</t>
        </is>
      </c>
      <c r="BN526" s="126">
        <f>IF('BBG Verify'!K526="","not filed; run on terminal",'BBG Verify'!K526)</f>
        <v/>
      </c>
      <c r="BO526" s="108" t="inlineStr">
        <is>
          <t>N/A</t>
        </is>
      </c>
      <c r="BP526" s="108" t="inlineStr">
        <is>
          <t>N/A</t>
        </is>
      </c>
      <c r="BQ526" s="135" t="n">
        <v>0.5711000000000001</v>
      </c>
      <c r="BR526" s="113" t="n">
        <v>112094.5</v>
      </c>
      <c r="BS526" s="108" t="inlineStr">
        <is>
          <t>N/A</t>
        </is>
      </c>
      <c r="BT526" s="108" t="inlineStr">
        <is>
          <t>N/A</t>
        </is>
      </c>
      <c r="BU526" s="125" t="inlineStr">
        <is>
          <t>Huatai Financial Holdings (Hong Kong) Limited; Citigroup Global Markets Asia Limited; Orient Capital (Hong Kong) Limited</t>
        </is>
      </c>
      <c r="BV526" s="108" t="inlineStr">
        <is>
          <t>Huatai Financial Holdings (Hong Kong) Limited; Orient Capital (Hong Kong) Limited; Citigroup Global Markets Asia Limited</t>
        </is>
      </c>
      <c r="BW526" s="108" t="inlineStr">
        <is>
          <t>Huatai Financial Holdings (Hong Kong) Limited; Citigroup Global Markets Asia Limited; Citigroup Global Markets Limited; Canary Wharf London E14 5LB, United Kingdom Orient Securities (Hong Kong) Limited; Tiger Brokers (HK) Global Limited</t>
        </is>
      </c>
      <c r="BX526" s="108" t="inlineStr">
        <is>
          <t>Citigroup Global Markets Asia Limited; Futu Securities International (Hong Kong) Limited; Huatai Financial Holdings (Hong Kong) Limited; Orient Securities (Hong Kong) Limited; Tiger Brokers (HK) Global Limited</t>
        </is>
      </c>
      <c r="BY526" s="127">
        <f>HYPERLINK("https://www1.hkexnews.hk/listedco/listconews/sehk/2026/0921/2026092100017.pdf","prospectus")</f>
        <v/>
      </c>
      <c r="BZ526" s="127">
        <f>HYPERLINK("https://www1.hkexnews.hk/listedco/listconews/sehk/2026/0928/2026092801977.pdf","allotment")</f>
        <v/>
      </c>
      <c r="CA526" s="119" t="n"/>
      <c r="CB526" s="128" t="n"/>
      <c r="CC526" s="108" t="inlineStr">
        <is>
          <t>P/E: loss-making at IPO, use P/S; greenshoe: stabilisation window still open; range low: maximum offer price only, no floor published; 1w: pending: 2 traded sessions after debut; 5 needed; 1m: pending: 2 traded sessions after debut; 21 needed; 3m: pending: 2 traded sessions after debut; 63 needed; alpha/index: 1w window not elapsed; public sub: HKEX table 8.7x kept; AAStocks 超額倍數 5.97x on its own basis</t>
        </is>
      </c>
    </row>
    <row r="527" ht="22" customHeight="1">
      <c r="A527" s="107" t="inlineStr">
        <is>
          <t>6731</t>
        </is>
      </c>
      <c r="B527" s="108" t="inlineStr">
        <is>
          <t>DIRECT DRIVE</t>
        </is>
      </c>
      <c r="C527" s="108" t="inlineStr">
        <is>
          <t>本末科技</t>
        </is>
      </c>
      <c r="D527" s="108" t="inlineStr">
        <is>
          <t>Tech/AI</t>
        </is>
      </c>
      <c r="E527" s="108" t="inlineStr">
        <is>
          <t>Robotics &amp; autonomous driving</t>
        </is>
      </c>
      <c r="F527" s="108" t="inlineStr">
        <is>
          <t>Advanced hardware and software</t>
        </is>
      </c>
      <c r="G527" s="108" t="inlineStr">
        <is>
          <t>18C</t>
        </is>
      </c>
      <c r="H527" s="109" t="n">
        <v>46294</v>
      </c>
      <c r="I527" s="110" t="n">
        <v>1080</v>
      </c>
      <c r="J527" s="108" t="inlineStr">
        <is>
          <t>gross (stated)</t>
        </is>
      </c>
      <c r="K527" s="129" t="n"/>
      <c r="L527" s="111" t="n">
        <v>21.6</v>
      </c>
      <c r="M527" s="111" t="n">
        <v>21.6</v>
      </c>
      <c r="N527" s="108" t="inlineStr">
        <is>
          <t>Y</t>
        </is>
      </c>
      <c r="O527" s="112" t="n">
        <v>100</v>
      </c>
      <c r="P527" s="118" t="n"/>
      <c r="Q527" s="113" t="n">
        <v>7983.1</v>
      </c>
      <c r="R527" s="108" t="inlineStr">
        <is>
          <t>derived:price x shares upon listing</t>
        </is>
      </c>
      <c r="S527" s="114" t="n">
        <v>208.6</v>
      </c>
      <c r="T527" s="115" t="n">
        <v>208.56</v>
      </c>
      <c r="U527" s="116" t="n">
        <v>43.54</v>
      </c>
      <c r="V527" s="134" t="n"/>
      <c r="W527" s="112" t="n">
        <v>20</v>
      </c>
      <c r="X527" s="108" t="inlineStr">
        <is>
          <t>YES</t>
        </is>
      </c>
      <c r="Y527" s="113" t="n">
        <v>609.77</v>
      </c>
      <c r="Z527" s="113" t="n">
        <v>28230000</v>
      </c>
      <c r="AA527" s="112" t="n">
        <v>7.64</v>
      </c>
      <c r="AB527" s="108" t="inlineStr">
        <is>
          <t>HK Technology Innovation; JSC International (for and on behalf of Shenghai SP)</t>
        </is>
      </c>
      <c r="AC527" s="108" t="inlineStr">
        <is>
          <t>technology;jsc</t>
        </is>
      </c>
      <c r="AD527" s="112" t="n">
        <v>18.99</v>
      </c>
      <c r="AE527" s="119" t="n"/>
      <c r="AF527" s="119" t="n"/>
      <c r="AG527" s="108" t="inlineStr">
        <is>
          <t>CLSA Limited</t>
        </is>
      </c>
      <c r="AH527" s="108" t="inlineStr">
        <is>
          <t>CLSA</t>
        </is>
      </c>
      <c r="AI527" s="120" t="n">
        <v>4.26</v>
      </c>
      <c r="AJ527" s="121" t="n">
        <v>7.41</v>
      </c>
      <c r="AK527" s="121" t="n">
        <v>-1.24</v>
      </c>
      <c r="AL527" s="121" t="n">
        <v>4.07</v>
      </c>
      <c r="AM527" s="121" t="n">
        <v>3.21</v>
      </c>
      <c r="AN527" s="123" t="n">
        <v>1.34</v>
      </c>
      <c r="AO527" s="112" t="n">
        <v>7.38</v>
      </c>
      <c r="AP527" s="137" t="n"/>
      <c r="AQ527" s="137" t="n"/>
      <c r="AR527" s="137" t="n"/>
      <c r="AS527" s="137" t="n"/>
      <c r="AT527" s="137" t="n"/>
      <c r="AU527" s="137" t="n"/>
      <c r="AV527" s="137" t="n"/>
      <c r="AW527" s="137" t="n"/>
      <c r="AX527" s="137" t="n"/>
      <c r="AY527" s="137" t="n"/>
      <c r="AZ527" s="137" t="n"/>
      <c r="BA527" s="137" t="n"/>
      <c r="BB527" s="108" t="inlineStr">
        <is>
          <t>HSTECH (Hang Seng TECH ETF)</t>
        </is>
      </c>
      <c r="BC527" s="121" t="n">
        <v>13.43</v>
      </c>
      <c r="BD527" s="109" t="n">
        <v>46297</v>
      </c>
      <c r="BE527" s="110" t="n">
        <v>309.9</v>
      </c>
      <c r="BF527" s="113" t="n">
        <v>-969.1</v>
      </c>
      <c r="BG527" s="108" t="inlineStr">
        <is>
          <t>N</t>
        </is>
      </c>
      <c r="BH527" s="108" t="inlineStr">
        <is>
          <t>n/m</t>
        </is>
      </c>
      <c r="BI527" s="122" t="n"/>
      <c r="BJ527" s="122" t="n"/>
      <c r="BK527" s="123" t="n">
        <v>25.8</v>
      </c>
      <c r="BL527" s="124">
        <f>IF('BBG Verify'!S527="","not filed; run on terminal",'BBG Verify'!S527)</f>
        <v/>
      </c>
      <c r="BM527" s="125" t="inlineStr">
        <is>
          <t>N</t>
        </is>
      </c>
      <c r="BN527" s="126">
        <f>IF('BBG Verify'!K527="","not filed; run on terminal",'BBG Verify'!K527)</f>
        <v/>
      </c>
      <c r="BO527" s="108" t="inlineStr">
        <is>
          <t>N/A</t>
        </is>
      </c>
      <c r="BP527" s="108" t="inlineStr">
        <is>
          <t>N/A</t>
        </is>
      </c>
      <c r="BQ527" s="108" t="inlineStr">
        <is>
          <t>N/A</t>
        </is>
      </c>
      <c r="BR527" s="108" t="inlineStr">
        <is>
          <t>N/A</t>
        </is>
      </c>
      <c r="BS527" s="108" t="inlineStr">
        <is>
          <t>N/A</t>
        </is>
      </c>
      <c r="BT527" s="108" t="inlineStr">
        <is>
          <t>N/A</t>
        </is>
      </c>
      <c r="BU527" s="125" t="inlineStr">
        <is>
          <t>CITIC Securities (Hong Kong) Limited</t>
        </is>
      </c>
      <c r="BV527" s="108" t="inlineStr">
        <is>
          <t>CITIC Securities (Hong Kong) Limited</t>
        </is>
      </c>
      <c r="BW527" s="108" t="inlineStr">
        <is>
          <t>CLSA Limited; CMB International Capital Limited; Futu Securities International (Hong Kong) Limited; Neutral Financial Holding Company Limited</t>
        </is>
      </c>
      <c r="BX527" s="108" t="inlineStr">
        <is>
          <t>China Harbour International Securities Limited; CLSA Limited; CMB International Capital Limited; Futu Securities International (Hong Kong) Limited; Neutral Financial Holding Company Limited</t>
        </is>
      </c>
      <c r="BY527" s="127">
        <f>HYPERLINK("https://www1.hkexnews.hk/listedco/listconews/sehk/2026/0921/2026092100065.pdf","prospectus")</f>
        <v/>
      </c>
      <c r="BZ527" s="127">
        <f>HYPERLINK("https://www1.hkexnews.hk/listedco/listconews/sehk/2026/0928/2026092802011.pdf","allotment")</f>
        <v/>
      </c>
      <c r="CA527" s="119" t="n"/>
      <c r="CB527" s="128" t="n"/>
      <c r="CC527" s="108" t="inlineStr">
        <is>
          <t>P/E: loss-making at IPO, use P/S; greenshoe: stabilisation window still open; range low: maximum offer price only, no floor published; 1w: pending: 2 traded sessions after debut; 5 needed; 1m: pending: 2 traded sessions after debut; 21 needed; 3m: pending: 2 traded sessions after debut; 63 needed; market cap: prospectus 'market capitalisation' line is the listing-rule threshold, not the issuer's figure; rejected; alpha/index: 1w window not elapsed; allocation: allocation table not in this notice's format (older prose announcement)</t>
        </is>
      </c>
    </row>
    <row r="528" ht="22" customHeight="1">
      <c r="A528" s="107" t="inlineStr">
        <is>
          <t>6802</t>
        </is>
      </c>
      <c r="B528" s="108" t="inlineStr">
        <is>
          <t>CAMSENSE</t>
        </is>
      </c>
      <c r="C528" s="108" t="inlineStr">
        <is>
          <t>歡創科技</t>
        </is>
      </c>
      <c r="D528" s="108" t="inlineStr">
        <is>
          <t>Tech/AI</t>
        </is>
      </c>
      <c r="E528" s="108" t="inlineStr">
        <is>
          <t>Robotics &amp; autonomous driving</t>
        </is>
      </c>
      <c r="F528" s="108" t="inlineStr">
        <is>
          <t>Advanced hardware and software</t>
        </is>
      </c>
      <c r="G528" s="108" t="inlineStr">
        <is>
          <t>Standard</t>
        </is>
      </c>
      <c r="H528" s="109" t="n">
        <v>46295</v>
      </c>
      <c r="I528" s="110" t="n">
        <v>682</v>
      </c>
      <c r="J528" s="108" t="inlineStr">
        <is>
          <t>gross (stated)</t>
        </is>
      </c>
      <c r="K528" s="129" t="n"/>
      <c r="L528" s="111" t="n">
        <v>58.85</v>
      </c>
      <c r="M528" s="111" t="n">
        <v>58.85</v>
      </c>
      <c r="N528" s="108" t="inlineStr">
        <is>
          <t>Y</t>
        </is>
      </c>
      <c r="O528" s="112" t="n">
        <v>100</v>
      </c>
      <c r="P528" s="118" t="n"/>
      <c r="Q528" s="113" t="n">
        <v>5029.5</v>
      </c>
      <c r="R528" s="108" t="inlineStr">
        <is>
          <t>derived:deal size / offer % of enlarged capital</t>
        </is>
      </c>
      <c r="S528" s="114" t="n">
        <v>5.53</v>
      </c>
      <c r="T528" s="115" t="n">
        <v>5.53</v>
      </c>
      <c r="U528" s="116" t="n">
        <v>16.13</v>
      </c>
      <c r="V528" s="117" t="n">
        <v>130</v>
      </c>
      <c r="W528" s="112" t="n">
        <v>10</v>
      </c>
      <c r="X528" s="108" t="inlineStr">
        <is>
          <t>NA</t>
        </is>
      </c>
      <c r="Y528" s="113" t="n">
        <v>571.99</v>
      </c>
      <c r="Z528" s="113" t="n">
        <v>9719527</v>
      </c>
      <c r="AA528" s="112" t="n">
        <v>11.37</v>
      </c>
      <c r="AB528" s="108" t="inlineStr">
        <is>
          <t>Golden Link; Taiwan ZMAX</t>
        </is>
      </c>
      <c r="AC528" s="108" t="inlineStr">
        <is>
          <t>golden-link;taiwan</t>
        </is>
      </c>
      <c r="AD528" s="112" t="n">
        <v>15</v>
      </c>
      <c r="AE528" s="119" t="n"/>
      <c r="AF528" s="119" t="n"/>
      <c r="AG528" s="108" t="inlineStr">
        <is>
          <t>China International Capital Corporation Hong Kong Securities Limited</t>
        </is>
      </c>
      <c r="AH528" s="108" t="inlineStr">
        <is>
          <t>China International</t>
        </is>
      </c>
      <c r="AI528" s="120" t="n">
        <v>190.23</v>
      </c>
      <c r="AJ528" s="121" t="n">
        <v>265.68</v>
      </c>
      <c r="AK528" s="121" t="n">
        <v>0.39</v>
      </c>
      <c r="AL528" s="121" t="n">
        <v>185.47</v>
      </c>
      <c r="AM528" s="121" t="n">
        <v>28.1</v>
      </c>
      <c r="AN528" s="123" t="n">
        <v>3.29</v>
      </c>
      <c r="AO528" s="112" t="n">
        <v>34.05</v>
      </c>
      <c r="AP528" s="137" t="n"/>
      <c r="AQ528" s="137" t="n"/>
      <c r="AR528" s="137" t="n"/>
      <c r="AS528" s="137" t="n"/>
      <c r="AT528" s="137" t="n"/>
      <c r="AU528" s="137" t="n"/>
      <c r="AV528" s="137" t="n"/>
      <c r="AW528" s="137" t="n"/>
      <c r="AX528" s="137" t="n"/>
      <c r="AY528" s="137" t="n"/>
      <c r="AZ528" s="137" t="n"/>
      <c r="BA528" s="137" t="n"/>
      <c r="BB528" s="108" t="inlineStr">
        <is>
          <t>HSTECH (Hang Seng TECH ETF)</t>
        </is>
      </c>
      <c r="BC528" s="121" t="n">
        <v>92.01000000000001</v>
      </c>
      <c r="BD528" s="109" t="n">
        <v>46297</v>
      </c>
      <c r="BE528" s="110" t="n">
        <v>674.9</v>
      </c>
      <c r="BF528" s="113" t="n">
        <v>2.4</v>
      </c>
      <c r="BG528" s="108" t="inlineStr">
        <is>
          <t>Y</t>
        </is>
      </c>
      <c r="BH528" s="123" t="n">
        <v>2095.6</v>
      </c>
      <c r="BI528" s="122" t="n"/>
      <c r="BJ528" s="122" t="n"/>
      <c r="BK528" s="123" t="n">
        <v>7.5</v>
      </c>
      <c r="BL528" s="124">
        <f>IF('BBG Verify'!S528="","not filed; run on terminal",'BBG Verify'!S528)</f>
        <v/>
      </c>
      <c r="BM528" s="125" t="inlineStr">
        <is>
          <t>N</t>
        </is>
      </c>
      <c r="BN528" s="126">
        <f>IF('BBG Verify'!K528="","not filed; run on terminal",'BBG Verify'!K528)</f>
        <v/>
      </c>
      <c r="BO528" s="108" t="inlineStr">
        <is>
          <t>N/A</t>
        </is>
      </c>
      <c r="BP528" s="108" t="inlineStr">
        <is>
          <t>N/A</t>
        </is>
      </c>
      <c r="BQ528" s="108" t="inlineStr">
        <is>
          <t>N/A</t>
        </is>
      </c>
      <c r="BR528" s="108" t="inlineStr">
        <is>
          <t>N/A</t>
        </is>
      </c>
      <c r="BS528" s="108" t="inlineStr">
        <is>
          <t>N/A</t>
        </is>
      </c>
      <c r="BT528" s="108" t="inlineStr">
        <is>
          <t>N/A</t>
        </is>
      </c>
      <c r="BU528" s="125" t="inlineStr">
        <is>
          <t>China International Capital Corporation Hong Kong Securities Limited; Guosen Securities (HK) Capital Company Limited</t>
        </is>
      </c>
      <c r="BV528" s="108" t="inlineStr">
        <is>
          <t>China International Capital Corporation Hong Kong Securities Limited; Guosen Securities (HK) Capital Company Limited</t>
        </is>
      </c>
      <c r="BW528" s="108" t="inlineStr">
        <is>
          <t>China International Capital Corporation Hong Kong Securities Limited; Guosen Securities (HK) Capital Company Limited; GF Securities (Hong Kong) Brokerage Limited; CCB International Capital Limited; First Shanghai Securities Limited; Huafu International Securities Limited; Shenwan Hongyuan Securities (H.K.) Limited; SkyVast Securities Limited; Somerley Capital Limited; Tiger Brokers (HK) Global Limited; Futu Securities International (Hong Kong) Limited</t>
        </is>
      </c>
      <c r="BX528" s="108" t="inlineStr">
        <is>
          <t>CCB International Capital Limited; China International Capital Corporation Hong Kong Securities Limited; First Shanghai Securities Limited; Futu Securities International (Hong Kong) Limited; GF Securities (Hong Kong) Brokerage Limited; Guosen Securities (HK) Capital Company Limited; Huafu International Securities Limited; Shenwan Hongyuan Securities (H.K.) Limited; Somerley Capital Limited; Skyvast Securities Limited; Tiger Brokers (HK) Global Limited</t>
        </is>
      </c>
      <c r="BY528" s="127">
        <f>HYPERLINK("https://www1.hkexnews.hk/listedco/listconews/sehk/2026/0922/2026092200005.pdf","prospectus")</f>
        <v/>
      </c>
      <c r="BZ528" s="127">
        <f>HYPERLINK("https://www1.hkexnews.hk/listedco/listconews/sehk/2026/0929/2026092901927.pdf","allotment")</f>
        <v/>
      </c>
      <c r="CA528" s="119" t="n"/>
      <c r="CB528" s="128" t="n"/>
      <c r="CC528" s="108" t="inlineStr">
        <is>
          <t>P/E: extreme trailing multiple on small positive profit; latest full-year net income checked against the filing; greenshoe: stabilisation window still open; range low: maximum offer price only, no floor published; 1w: pending: 1 traded sessions after debut; 5 needed; 1m: pending: 1 traded sessions after debut; 21 needed; 3m: pending: 1 traded sessions after debut; 63 needed; alpha/index: 1w window not elapsed</t>
        </is>
      </c>
    </row>
  </sheetData>
  <autoFilter ref="A4:CC528"/>
  <mergeCells count="9">
    <mergeCell ref="A2:L2"/>
    <mergeCell ref="A3:H3"/>
    <mergeCell ref="BE3:BL3"/>
    <mergeCell ref="S3:AH3"/>
    <mergeCell ref="I3:R3"/>
    <mergeCell ref="BM3:BT3"/>
    <mergeCell ref="CB3:CC3"/>
    <mergeCell ref="AI3:BD3"/>
    <mergeCell ref="BU3:CA3"/>
  </mergeCells>
  <conditionalFormatting sqref="A5:CC528">
    <cfRule type="expression" priority="20" dxfId="2" stopIfTrue="0">
      <formula>MOD(ROW(),2)=0</formula>
    </cfRule>
  </conditionalFormatting>
  <conditionalFormatting sqref="AJ5:AJ528">
    <cfRule type="colorScale" priority="1">
      <colorScale>
        <cfvo type="num" val="-60"/>
        <cfvo type="num" val="0"/>
        <cfvo type="num" val="60"/>
        <color rgb="00F8696B"/>
        <color rgb="00FFFFFF"/>
        <color rgb="0063BE7B"/>
      </colorScale>
    </cfRule>
  </conditionalFormatting>
  <conditionalFormatting sqref="AL5:AL528">
    <cfRule type="colorScale" priority="2">
      <colorScale>
        <cfvo type="num" val="-60"/>
        <cfvo type="num" val="0"/>
        <cfvo type="num" val="60"/>
        <color rgb="00F8696B"/>
        <color rgb="00FFFFFF"/>
        <color rgb="0063BE7B"/>
      </colorScale>
    </cfRule>
  </conditionalFormatting>
  <conditionalFormatting sqref="AM5:AM528">
    <cfRule type="colorScale" priority="3">
      <colorScale>
        <cfvo type="num" val="-60"/>
        <cfvo type="num" val="0"/>
        <cfvo type="num" val="60"/>
        <color rgb="00F8696B"/>
        <color rgb="00FFFFFF"/>
        <color rgb="0063BE7B"/>
      </colorScale>
    </cfRule>
  </conditionalFormatting>
  <conditionalFormatting sqref="AP5:AP528">
    <cfRule type="colorScale" priority="4">
      <colorScale>
        <cfvo type="num" val="-60"/>
        <cfvo type="num" val="0"/>
        <cfvo type="num" val="60"/>
        <color rgb="00F8696B"/>
        <color rgb="00FFFFFF"/>
        <color rgb="0063BE7B"/>
      </colorScale>
    </cfRule>
  </conditionalFormatting>
  <conditionalFormatting sqref="AQ5:AQ528">
    <cfRule type="colorScale" priority="5">
      <colorScale>
        <cfvo type="num" val="-60"/>
        <cfvo type="num" val="0"/>
        <cfvo type="num" val="60"/>
        <color rgb="00F8696B"/>
        <color rgb="00FFFFFF"/>
        <color rgb="0063BE7B"/>
      </colorScale>
    </cfRule>
  </conditionalFormatting>
  <conditionalFormatting sqref="AR5:AR528">
    <cfRule type="colorScale" priority="6">
      <colorScale>
        <cfvo type="num" val="-60"/>
        <cfvo type="num" val="0"/>
        <cfvo type="num" val="60"/>
        <color rgb="00F8696B"/>
        <color rgb="00FFFFFF"/>
        <color rgb="0063BE7B"/>
      </colorScale>
    </cfRule>
  </conditionalFormatting>
  <conditionalFormatting sqref="AS5:AS528">
    <cfRule type="colorScale" priority="7">
      <colorScale>
        <cfvo type="num" val="-60"/>
        <cfvo type="num" val="0"/>
        <cfvo type="num" val="60"/>
        <color rgb="00F8696B"/>
        <color rgb="00FFFFFF"/>
        <color rgb="0063BE7B"/>
      </colorScale>
    </cfRule>
  </conditionalFormatting>
  <conditionalFormatting sqref="AT5:AT528">
    <cfRule type="colorScale" priority="8">
      <colorScale>
        <cfvo type="num" val="-60"/>
        <cfvo type="num" val="0"/>
        <cfvo type="num" val="60"/>
        <color rgb="00F8696B"/>
        <color rgb="00FFFFFF"/>
        <color rgb="0063BE7B"/>
      </colorScale>
    </cfRule>
  </conditionalFormatting>
  <conditionalFormatting sqref="AU5:AU528">
    <cfRule type="colorScale" priority="9">
      <colorScale>
        <cfvo type="num" val="-60"/>
        <cfvo type="num" val="0"/>
        <cfvo type="num" val="60"/>
        <color rgb="00F8696B"/>
        <color rgb="00FFFFFF"/>
        <color rgb="0063BE7B"/>
      </colorScale>
    </cfRule>
  </conditionalFormatting>
  <conditionalFormatting sqref="AW5:AW528">
    <cfRule type="colorScale" priority="10">
      <colorScale>
        <cfvo type="num" val="-60"/>
        <cfvo type="num" val="0"/>
        <cfvo type="num" val="60"/>
        <color rgb="00F8696B"/>
        <color rgb="00FFFFFF"/>
        <color rgb="0063BE7B"/>
      </colorScale>
    </cfRule>
  </conditionalFormatting>
  <conditionalFormatting sqref="AY5:AY528">
    <cfRule type="colorScale" priority="11">
      <colorScale>
        <cfvo type="num" val="-60"/>
        <cfvo type="num" val="0"/>
        <cfvo type="num" val="60"/>
        <color rgb="00F8696B"/>
        <color rgb="00FFFFFF"/>
        <color rgb="0063BE7B"/>
      </colorScale>
    </cfRule>
  </conditionalFormatting>
  <conditionalFormatting sqref="BC5:BC528">
    <cfRule type="colorScale" priority="12">
      <colorScale>
        <cfvo type="num" val="-60"/>
        <cfvo type="num" val="0"/>
        <cfvo type="num" val="60"/>
        <color rgb="00F8696B"/>
        <color rgb="00FFFFFF"/>
        <color rgb="0063BE7B"/>
      </colorScale>
    </cfRule>
  </conditionalFormatting>
  <conditionalFormatting sqref="BO5:BO528">
    <cfRule type="colorScale" priority="13">
      <colorScale>
        <cfvo type="num" val="-60"/>
        <cfvo type="num" val="0"/>
        <cfvo type="num" val="60"/>
        <color rgb="00F8696B"/>
        <color rgb="00FFFFFF"/>
        <color rgb="0063BE7B"/>
      </colorScale>
    </cfRule>
  </conditionalFormatting>
  <conditionalFormatting sqref="BQ5:BQ528">
    <cfRule type="colorScale" priority="14">
      <colorScale>
        <cfvo type="num" val="-60"/>
        <cfvo type="num" val="0"/>
        <cfvo type="num" val="60"/>
        <color rgb="00F8696B"/>
        <color rgb="00FFFFFF"/>
        <color rgb="0063BE7B"/>
      </colorScale>
    </cfRule>
  </conditionalFormatting>
  <conditionalFormatting sqref="I5:I528">
    <cfRule type="dataBar" priority="15">
      <dataBar showValue="1">
        <cfvo type="min"/>
        <cfvo type="max"/>
        <color rgb="004472C4"/>
      </dataBar>
    </cfRule>
  </conditionalFormatting>
  <conditionalFormatting sqref="Q5:Q528">
    <cfRule type="dataBar" priority="16">
      <dataBar showValue="1">
        <cfvo type="min"/>
        <cfvo type="max"/>
        <color rgb="008FAADC"/>
      </dataBar>
    </cfRule>
  </conditionalFormatting>
  <conditionalFormatting sqref="S5:S528">
    <cfRule type="dataBar" priority="17">
      <dataBar showValue="1">
        <cfvo type="min"/>
        <cfvo type="max"/>
        <color rgb="00ED7D31"/>
      </dataBar>
    </cfRule>
  </conditionalFormatting>
  <conditionalFormatting sqref="T5:T528">
    <cfRule type="dataBar" priority="18">
      <dataBar showValue="1">
        <cfvo type="min"/>
        <cfvo type="max"/>
        <color rgb="00F4B183"/>
      </dataBar>
    </cfRule>
  </conditionalFormatting>
  <conditionalFormatting sqref="U5:U528">
    <cfRule type="dataBar" priority="19">
      <dataBar showValue="1">
        <cfvo type="min"/>
        <cfvo type="max"/>
        <color rgb="00A9D08E"/>
      </dataBar>
    </cfRule>
  </conditionalFormatting>
  <printOptions horizontalCentered="1"/>
  <pageMargins left="0.75" right="0.75" top="1" bottom="1" header="0.5" footer="0.5"/>
  <pageSetup orientation="landscape" paperSize="8" fitToHeight="0" fitToWidth="1"/>
  <ignoredErrors>
    <ignoredError sqref="A5:A600" numberStoredAsText="1"/>
  </ignoredErrors>
  <legacyDrawing xmlns:r="http://schemas.openxmlformats.org/officeDocument/2006/relationships" r:id="anysvml"/>
</worksheet>
</file>

<file path=xl/worksheets/sheet5.xml><?xml version="1.0" encoding="utf-8"?>
<worksheet xmlns="http://schemas.openxmlformats.org/spreadsheetml/2006/main">
  <sheetPr>
    <tabColor rgb="001BAF7A"/>
    <outlinePr summaryBelow="1" summaryRight="1"/>
    <pageSetUpPr fitToPage="1"/>
  </sheetPr>
  <dimension ref="A1:AD66"/>
  <sheetViews>
    <sheetView showGridLines="0" zoomScale="95" workbookViewId="0">
      <pane xSplit="2" ySplit="5" topLeftCell="C6" activePane="bottomRight" state="frozen"/>
      <selection pane="topRight"/>
      <selection pane="bottomLeft"/>
      <selection pane="bottomRight" activeCell="A1" sqref="A1"/>
    </sheetView>
  </sheetViews>
  <sheetFormatPr baseColWidth="8" defaultRowHeight="15"/>
  <cols>
    <col width="7" customWidth="1" min="1" max="1"/>
    <col width="26" customWidth="1" min="2" max="2"/>
    <col width="13" customWidth="1" min="3" max="3"/>
    <col width="13" customWidth="1" min="4" max="4"/>
    <col width="20" customWidth="1" min="5" max="5"/>
    <col width="11" customWidth="1" min="6" max="6"/>
    <col width="24" customWidth="1" min="7" max="7"/>
    <col width="11" customWidth="1" min="8" max="8"/>
    <col width="15" customWidth="1" min="9" max="9"/>
    <col width="11" customWidth="1" min="10" max="10"/>
    <col width="9" customWidth="1" min="11" max="11"/>
    <col width="9" customWidth="1" min="12" max="12"/>
    <col width="9" customWidth="1" min="13" max="13"/>
    <col width="10" customWidth="1" min="14" max="14"/>
    <col width="30" customWidth="1" min="15" max="15"/>
    <col width="9" customWidth="1" min="16" max="16"/>
    <col width="8" customWidth="1" min="17" max="17"/>
    <col width="22" customWidth="1" min="18" max="18"/>
    <col width="8" customWidth="1" min="19" max="19"/>
    <col width="7" customWidth="1" min="20" max="20"/>
    <col width="11" customWidth="1" min="21" max="21"/>
    <col width="9" customWidth="1" min="22" max="22"/>
    <col width="9" customWidth="1" min="23" max="23"/>
    <col width="10" customWidth="1" min="24" max="24"/>
    <col width="11" customWidth="1" min="25" max="25"/>
    <col width="30" customWidth="1" min="26" max="26"/>
    <col width="30" customWidth="1" min="27" max="27"/>
    <col width="10" customWidth="1" min="28" max="28"/>
    <col width="58" customWidth="1" min="29" max="29"/>
    <col width="58" customWidth="1" min="30" max="30"/>
  </cols>
  <sheetData>
    <row r="1" ht="30" customHeight="1">
      <c r="A1" s="35" t="inlineStr">
        <is>
          <t>PIPELINE</t>
        </is>
      </c>
    </row>
    <row r="2" ht="34" customHeight="1">
      <c r="A2" s="36" t="inlineStr">
        <is>
          <t>Rows are grouped by stage: in its offering window, hearing cleared (PHIP), filed or reported, withdrawn. Blue cells are inputs; the Screener reads expected size and subsector live. HK$ size = US$ range midpoint x 7.8 where not reported.</t>
        </is>
      </c>
    </row>
    <row r="3"/>
    <row r="4" ht="30" customHeight="1">
      <c r="A4" s="73" t="inlineStr">
        <is>
          <t>DEAL</t>
        </is>
      </c>
      <c r="B4" s="42" t="n"/>
      <c r="C4" s="42" t="n"/>
      <c r="D4" s="42" t="n"/>
      <c r="E4" s="42" t="n"/>
      <c r="F4" s="42" t="n"/>
      <c r="G4" s="42" t="n"/>
      <c r="H4" s="74" t="inlineStr">
        <is>
          <t>TERMS</t>
        </is>
      </c>
      <c r="I4" s="42" t="n"/>
      <c r="J4" s="42" t="n"/>
      <c r="K4" s="42" t="n"/>
      <c r="L4" s="42" t="n"/>
      <c r="M4" s="42" t="n"/>
      <c r="N4" s="42" t="n"/>
      <c r="O4" s="42" t="n"/>
      <c r="P4" s="42" t="n"/>
      <c r="Q4" s="42" t="n"/>
      <c r="R4" s="42" t="n"/>
      <c r="S4" s="77" t="inlineStr">
        <is>
          <t>PROFILE</t>
        </is>
      </c>
      <c r="T4" s="42" t="n"/>
      <c r="U4" s="42" t="n"/>
      <c r="V4" s="78" t="inlineStr">
        <is>
          <t>A-SHARE (A+H only)</t>
        </is>
      </c>
      <c r="W4" s="42" t="n"/>
      <c r="X4" s="42" t="n"/>
      <c r="Y4" s="42" t="n"/>
      <c r="Z4" s="79" t="inlineStr">
        <is>
          <t>BANKS &amp; DOCS</t>
        </is>
      </c>
      <c r="AA4" s="42" t="n"/>
      <c r="AB4" s="42" t="n"/>
      <c r="AC4" s="77" t="inlineStr">
        <is>
          <t>NOTES</t>
        </is>
      </c>
      <c r="AD4" s="42" t="n"/>
    </row>
    <row r="5" ht="30" customHeight="1">
      <c r="A5" s="45" t="inlineStr">
        <is>
          <t>Code</t>
        </is>
      </c>
      <c r="B5" s="45" t="inlineStr">
        <is>
          <t>Name</t>
        </is>
      </c>
      <c r="C5" s="45" t="inlineStr">
        <is>
          <t>Name (CN)</t>
        </is>
      </c>
      <c r="D5" s="45" t="inlineStr">
        <is>
          <t>Stage</t>
        </is>
      </c>
      <c r="E5" s="45" t="inlineStr">
        <is>
          <t>Listing / timing</t>
        </is>
      </c>
      <c r="F5" s="45" t="inlineStr">
        <is>
          <t>Sector</t>
        </is>
      </c>
      <c r="G5" s="45" t="inlineStr">
        <is>
          <t>Subsector</t>
        </is>
      </c>
      <c r="H5" s="45" t="inlineStr">
        <is>
          <t>Expected size (HK$m)</t>
        </is>
      </c>
      <c r="I5" s="45" t="inlineStr">
        <is>
          <t>Size basis</t>
        </is>
      </c>
      <c r="J5" s="45" t="inlineStr">
        <is>
          <t>Press size (US$m)</t>
        </is>
      </c>
      <c r="K5" s="45" t="inlineStr">
        <is>
          <t>Range lo (HK$)</t>
        </is>
      </c>
      <c r="L5" s="45" t="inlineStr">
        <is>
          <t>Max/cap (HK$)</t>
        </is>
      </c>
      <c r="M5" s="45" t="inlineStr">
        <is>
          <t>Expected P/E</t>
        </is>
      </c>
      <c r="N5" s="45" t="inlineStr">
        <is>
          <t>Cornerstone %</t>
        </is>
      </c>
      <c r="O5" s="45" t="inlineStr">
        <is>
          <t>Cornerstone investors</t>
        </is>
      </c>
      <c r="P5" s="45" t="inlineStr">
        <is>
          <t>Greenshoe %</t>
        </is>
      </c>
      <c r="Q5" s="45" t="inlineStr">
        <is>
          <t>Lot size</t>
        </is>
      </c>
      <c r="R5" s="45" t="inlineStr">
        <is>
          <t>Offer period</t>
        </is>
      </c>
      <c r="S5" s="45" t="inlineStr">
        <is>
          <t>Profitable</t>
        </is>
      </c>
      <c r="T5" s="45" t="inlineStr">
        <is>
          <t>H-share</t>
        </is>
      </c>
      <c r="U5" s="45" t="inlineStr">
        <is>
          <t>A-share code</t>
        </is>
      </c>
      <c r="V5" s="45" t="inlineStr">
        <is>
          <t>A px now</t>
        </is>
      </c>
      <c r="W5" s="45" t="inlineStr">
        <is>
          <t>A P/E (TTM)</t>
        </is>
      </c>
      <c r="X5" s="45" t="inlineStr">
        <is>
          <t>H cap vs A</t>
        </is>
      </c>
      <c r="Y5" s="45" t="inlineStr">
        <is>
          <t>A prem vs H cap</t>
        </is>
      </c>
      <c r="Z5" s="45" t="inlineStr">
        <is>
          <t>Sponsors</t>
        </is>
      </c>
      <c r="AA5" s="45" t="inlineStr">
        <is>
          <t>Bookrunners / OCs</t>
        </is>
      </c>
      <c r="AB5" s="45" t="inlineStr">
        <is>
          <t>Prospectus</t>
        </is>
      </c>
      <c r="AC5" s="45" t="inlineStr">
        <is>
          <t>Business</t>
        </is>
      </c>
      <c r="AD5" s="45" t="inlineStr">
        <is>
          <t>Valuation notes</t>
        </is>
      </c>
    </row>
    <row r="6">
      <c r="A6" s="140" t="inlineStr">
        <is>
          <t>1256</t>
        </is>
      </c>
      <c r="B6" s="140" t="inlineStr">
        <is>
          <t>Beijing ESWIN Computing Technology Co., Ltd.</t>
        </is>
      </c>
      <c r="C6" s="140" t="inlineStr">
        <is>
          <t>奕斯偉計算</t>
        </is>
      </c>
      <c r="D6" s="140" t="inlineStr">
        <is>
          <t>Offering</t>
        </is>
      </c>
      <c r="E6" s="141" t="inlineStr">
        <is>
          <t>2026-10-09</t>
        </is>
      </c>
      <c r="F6" s="140" t="inlineStr">
        <is>
          <t>Tech/AI</t>
        </is>
      </c>
      <c r="G6" s="66" t="inlineStr">
        <is>
          <t>Other / diversified semiconductors</t>
        </is>
      </c>
      <c r="H6" s="142" t="n">
        <v>2496.6</v>
      </c>
      <c r="I6" s="143" t="inlineStr">
        <is>
          <t>offer shares x maximum price</t>
        </is>
      </c>
      <c r="J6" s="144" t="n"/>
      <c r="K6" s="145" t="n">
        <v>1.48</v>
      </c>
      <c r="L6" s="145" t="n">
        <v>1.59</v>
      </c>
      <c r="M6" s="146" t="n"/>
      <c r="N6" s="147" t="n">
        <v>46.5</v>
      </c>
      <c r="O6" s="148" t="inlineStr">
        <is>
          <t>Beijing E-Town Shenghai Equity Investment Fund Partnership (Limited Partnership); Chipmore International Trading Company Limited; CITIC Securities Asset Management (HK) Limited; Direct Link Resources (Hong Kong) Company Limited; Grit No.1 Family OFC-Grit No.1 Equity Fund; Hefei Construction Investment Emerging Industry Equity Investment Fund Partnership Enterprise (L.P.); Mega Prime Development Limited; Ocean Fine Industrial Limited; ORIX Asia Asset Management Limited; Poly Platinum Enterprises Limited</t>
        </is>
      </c>
      <c r="P6" s="147" t="n">
        <v>0</v>
      </c>
      <c r="Q6" s="149" t="n">
        <v>2000</v>
      </c>
      <c r="R6" s="140" t="inlineStr">
        <is>
          <t>2026-09-28 to 2026-10-06</t>
        </is>
      </c>
      <c r="S6" s="150" t="inlineStr">
        <is>
          <t>N</t>
        </is>
      </c>
      <c r="T6" s="144" t="n"/>
      <c r="U6" s="144" t="n"/>
      <c r="V6" s="151" t="n"/>
      <c r="W6" s="146" t="n"/>
      <c r="X6" s="152" t="n"/>
      <c r="Y6" s="152" t="n"/>
      <c r="Z6" s="153" t="inlineStr">
        <is>
          <t>CITIC Securities (Hong Kong) Limited; China Securities (International) Corporate Finance Company Limited</t>
        </is>
      </c>
      <c r="AA6" s="148" t="inlineStr">
        <is>
          <t>CLSA Limited; China Securities (International) Corporate Finance Company Limited; Huatai Financial Holdings (Hong Kong) Limited; GF Securities (Hong Kong) Brokerage Limited; Huajin Securities (International) Limited; CMB International Capital Limited; Lighthouse Capital (HK) Financial Limited</t>
        </is>
      </c>
      <c r="AB6" s="154">
        <f>HYPERLINK("https://www1.hkexnews.hk/listedco/listconews/sehk/2026/0928/2026092800035.pdf","filing")</f>
        <v/>
      </c>
      <c r="AC6" s="155" t="inlineStr">
        <is>
          <t>We design the chip, chipsets and/or circuit board by integrating all necessary IP modules, and deliver the finalized design to manufacturers for production.  Software Building Blocks: including basic software (such as operating systems, drivers and firmware) and ...</t>
        </is>
      </c>
      <c r="AD6" s="156" t="inlineStr">
        <is>
          <t>greenshoe: none; no over-allotment option; an Offer Size Adjustment Option (upsize at pricing) instead; market cap basis: all shares (the filing's whole-company line); cornerstone %: committed amount ÷ offering at the maximum price</t>
        </is>
      </c>
    </row>
    <row r="7">
      <c r="A7" s="157" t="n"/>
      <c r="B7" s="158" t="inlineStr">
        <is>
          <t>Tanboer Group Co., Ltd.</t>
        </is>
      </c>
      <c r="C7" s="157" t="n"/>
      <c r="D7" s="158" t="inlineStr">
        <is>
          <t>PHIP posted</t>
        </is>
      </c>
      <c r="E7" s="159" t="inlineStr">
        <is>
          <t>PHIP 2026-06-21</t>
        </is>
      </c>
      <c r="F7" s="158" t="inlineStr">
        <is>
          <t>Consumer</t>
        </is>
      </c>
      <c r="G7" s="160" t="inlineStr">
        <is>
          <t>Apparel / luxury</t>
        </is>
      </c>
      <c r="H7" s="161" t="n">
        <v>780</v>
      </c>
      <c r="I7" s="162" t="inlineStr">
        <is>
          <t>press estimate</t>
        </is>
      </c>
      <c r="J7" s="157" t="n"/>
      <c r="K7" s="163" t="n"/>
      <c r="L7" s="163" t="n"/>
      <c r="M7" s="164" t="n"/>
      <c r="N7" s="165" t="inlineStr">
        <is>
          <t>at launch</t>
        </is>
      </c>
      <c r="O7" s="166" t="inlineStr">
        <is>
          <t>at launch</t>
        </is>
      </c>
      <c r="P7" s="165" t="inlineStr">
        <is>
          <t>at launch</t>
        </is>
      </c>
      <c r="Q7" s="167" t="inlineStr">
        <is>
          <t>at launch</t>
        </is>
      </c>
      <c r="R7" s="158" t="inlineStr">
        <is>
          <t>at launch</t>
        </is>
      </c>
      <c r="S7" s="168" t="inlineStr">
        <is>
          <t>Y</t>
        </is>
      </c>
      <c r="T7" s="157" t="n"/>
      <c r="U7" s="157" t="n"/>
      <c r="V7" s="169" t="n"/>
      <c r="W7" s="164" t="n"/>
      <c r="X7" s="170" t="n"/>
      <c r="Y7" s="170" t="n"/>
      <c r="Z7" s="171" t="inlineStr">
        <is>
          <t>at launch</t>
        </is>
      </c>
      <c r="AA7" s="166" t="inlineStr">
        <is>
          <t>China International Capital Corporation Hong Kong Securities Limited</t>
        </is>
      </c>
      <c r="AB7" s="172">
        <f>HYPERLINK("https://www1.hkexnews.hk/app/sehk/2026/108483/documents/sehk26062100126.pdf","filing")</f>
        <v/>
      </c>
      <c r="AC7" s="173" t="inlineStr">
        <is>
          <t>We operate our offline stores through two models to maximize market presence and adapt to consumer demands. Our permanent stores provide consistent brand presence in prime retail locations, offering our full product range throughout the year.</t>
        </is>
      </c>
      <c r="AD7" s="174" t="inlineStr">
        <is>
          <t>expected size not yet public</t>
        </is>
      </c>
    </row>
    <row r="8">
      <c r="A8" s="175" t="n"/>
      <c r="B8" s="176" t="inlineStr">
        <is>
          <t>Zhejiang Taotao Vehicles Co., Ltd.</t>
        </is>
      </c>
      <c r="C8" s="175" t="n"/>
      <c r="D8" s="176" t="inlineStr">
        <is>
          <t>PHIP posted</t>
        </is>
      </c>
      <c r="E8" s="141" t="inlineStr">
        <is>
          <t>PHIP 2026-09-07</t>
        </is>
      </c>
      <c r="F8" s="175" t="n"/>
      <c r="G8" s="177" t="n"/>
      <c r="H8" s="178" t="n"/>
      <c r="I8" s="179" t="n"/>
      <c r="J8" s="175" t="n"/>
      <c r="K8" s="180" t="n"/>
      <c r="L8" s="180" t="n"/>
      <c r="M8" s="181" t="n"/>
      <c r="N8" s="182" t="inlineStr">
        <is>
          <t>at launch</t>
        </is>
      </c>
      <c r="O8" s="183" t="inlineStr">
        <is>
          <t>at launch</t>
        </is>
      </c>
      <c r="P8" s="182" t="inlineStr">
        <is>
          <t>at launch</t>
        </is>
      </c>
      <c r="Q8" s="184" t="inlineStr">
        <is>
          <t>at launch</t>
        </is>
      </c>
      <c r="R8" s="176" t="inlineStr">
        <is>
          <t>at launch</t>
        </is>
      </c>
      <c r="S8" s="185" t="inlineStr">
        <is>
          <t>Y</t>
        </is>
      </c>
      <c r="T8" s="176" t="inlineStr">
        <is>
          <t>Y</t>
        </is>
      </c>
      <c r="U8" s="176" t="inlineStr">
        <is>
          <t>301345.SZ</t>
        </is>
      </c>
      <c r="V8" s="186" t="n"/>
      <c r="W8" s="181" t="n"/>
      <c r="X8" s="187" t="n"/>
      <c r="Y8" s="187" t="n"/>
      <c r="Z8" s="188" t="inlineStr">
        <is>
          <t>CLSA Limited</t>
        </is>
      </c>
      <c r="AA8" s="183" t="inlineStr">
        <is>
          <t>Zheshang International Financial Holdings Co., Limited; China Industrial Securities International Capital Limited</t>
        </is>
      </c>
      <c r="AB8" s="189">
        <f>HYPERLINK("https://www1.hkexnews.hk/app/sehk/2026/108575/documents/sehk26090701490.pdf","filing")</f>
        <v/>
      </c>
      <c r="AC8" s="190" t="inlineStr">
        <is>
          <t>We operate a tiered proprietary brand matrix tailored to distinct user segments and channels, comprising DENAGO TM, GOTRAX TM, TEKO TM and TAOMOTOR TM. This matrix enables precise coverage of key consumer cohorts and supports brand synergy through differentiated positioning and ...</t>
        </is>
      </c>
      <c r="AD8" s="191" t="inlineStr">
        <is>
          <t>expected size not yet public; subsector not auto-classified; type one in the blue cell</t>
        </is>
      </c>
    </row>
    <row r="9">
      <c r="A9" s="175" t="n"/>
      <c r="B9" s="176" t="inlineStr">
        <is>
          <t>Hunan Junxin Environmental Protection Co., Ltd.</t>
        </is>
      </c>
      <c r="C9" s="175" t="n"/>
      <c r="D9" s="176" t="inlineStr">
        <is>
          <t>PHIP posted</t>
        </is>
      </c>
      <c r="E9" s="141" t="inlineStr">
        <is>
          <t>PHIP 2026-09-13</t>
        </is>
      </c>
      <c r="F9" s="176" t="inlineStr">
        <is>
          <t>Materials/Energy</t>
        </is>
      </c>
      <c r="G9" s="66" t="inlineStr">
        <is>
          <t>Oil &amp; gas / utilities</t>
        </is>
      </c>
      <c r="H9" s="178" t="n"/>
      <c r="I9" s="179" t="n"/>
      <c r="J9" s="175" t="n"/>
      <c r="K9" s="180" t="n"/>
      <c r="L9" s="180" t="n"/>
      <c r="M9" s="181" t="n"/>
      <c r="N9" s="182" t="inlineStr">
        <is>
          <t>at launch</t>
        </is>
      </c>
      <c r="O9" s="183" t="inlineStr">
        <is>
          <t>at launch</t>
        </is>
      </c>
      <c r="P9" s="182" t="inlineStr">
        <is>
          <t>at launch</t>
        </is>
      </c>
      <c r="Q9" s="184" t="inlineStr">
        <is>
          <t>at launch</t>
        </is>
      </c>
      <c r="R9" s="176" t="inlineStr">
        <is>
          <t>at launch</t>
        </is>
      </c>
      <c r="S9" s="185" t="inlineStr">
        <is>
          <t>Y</t>
        </is>
      </c>
      <c r="T9" s="176" t="inlineStr">
        <is>
          <t>Y</t>
        </is>
      </c>
      <c r="U9" s="175" t="n"/>
      <c r="V9" s="186" t="n"/>
      <c r="W9" s="181" t="n"/>
      <c r="X9" s="187" t="n"/>
      <c r="Y9" s="187" t="n"/>
      <c r="Z9" s="188" t="inlineStr">
        <is>
          <t>at launch</t>
        </is>
      </c>
      <c r="AA9" s="183" t="inlineStr">
        <is>
          <t>China International Capital Corporation Hong Kong Securities Limited; CLSA Limited</t>
        </is>
      </c>
      <c r="AB9" s="189">
        <f>HYPERLINK("https://www1.hkexnews.hk/app/sehk/2026/108794/documents/sehk26091300040.pdf","filing")</f>
        <v/>
      </c>
      <c r="AC9" s="190" t="inlineStr">
        <is>
          <t>We are a company that provides specialized solutions in integrated waste treatment and resource utilization, including the investment, management, and operation of green energy and environmental services projects. Our core business comprises (i) clean waste-to-energy ...</t>
        </is>
      </c>
      <c r="AD9" s="191" t="inlineStr">
        <is>
          <t>A-share listed on the Shenzhen Stock Exchange; the PHIP does not print the code; confirm on the terminal; expected size not yet public</t>
        </is>
      </c>
    </row>
    <row r="10">
      <c r="A10" s="175" t="n"/>
      <c r="B10" s="176" t="inlineStr">
        <is>
          <t>Shenzhen Transsion Holdings Co., Ltd.</t>
        </is>
      </c>
      <c r="C10" s="175" t="n"/>
      <c r="D10" s="176" t="inlineStr">
        <is>
          <t>PHIP posted</t>
        </is>
      </c>
      <c r="E10" s="141" t="inlineStr">
        <is>
          <t>PHIP 2026-09-25</t>
        </is>
      </c>
      <c r="F10" s="176" t="inlineStr">
        <is>
          <t>Tech/AI</t>
        </is>
      </c>
      <c r="G10" s="66" t="inlineStr">
        <is>
          <t>Smart hardware / consumer electronics</t>
        </is>
      </c>
      <c r="H10" s="178" t="n"/>
      <c r="I10" s="179" t="n"/>
      <c r="J10" s="175" t="n"/>
      <c r="K10" s="180" t="n"/>
      <c r="L10" s="180" t="n"/>
      <c r="M10" s="181" t="n"/>
      <c r="N10" s="182" t="inlineStr">
        <is>
          <t>at launch</t>
        </is>
      </c>
      <c r="O10" s="183" t="inlineStr">
        <is>
          <t>at launch</t>
        </is>
      </c>
      <c r="P10" s="182" t="inlineStr">
        <is>
          <t>at launch</t>
        </is>
      </c>
      <c r="Q10" s="184" t="inlineStr">
        <is>
          <t>at launch</t>
        </is>
      </c>
      <c r="R10" s="176" t="inlineStr">
        <is>
          <t>at launch</t>
        </is>
      </c>
      <c r="S10" s="185" t="inlineStr">
        <is>
          <t>Y</t>
        </is>
      </c>
      <c r="T10" s="176" t="inlineStr">
        <is>
          <t>Y</t>
        </is>
      </c>
      <c r="U10" s="176" t="inlineStr">
        <is>
          <t>688036.SS</t>
        </is>
      </c>
      <c r="V10" s="186" t="n"/>
      <c r="W10" s="181" t="n"/>
      <c r="X10" s="187" t="n"/>
      <c r="Y10" s="187" t="n"/>
      <c r="Z10" s="188" t="inlineStr">
        <is>
          <t>at launch</t>
        </is>
      </c>
      <c r="AA10" s="183" t="inlineStr">
        <is>
          <t>CLSA Limited; J.P. Morgan Securities (Asia Pacific) Limited; China International Capital Corporation Hong Kong Securities Limited; Haitong International Securities Company Limited; Deutsche Bank AG, Hong Kong Branch</t>
        </is>
      </c>
      <c r="AB10" s="189">
        <f>HYPERLINK("https://www1.hkexnews.hk/app/sehk/2026/108656/documents/sehk26092501136.pdf","filing")</f>
        <v/>
      </c>
      <c r="AC10" s="190" t="inlineStr">
        <is>
          <t>We manufacture our products through a combination of in-house production and engagement of ODM and OEM providers. During the Track Record Period, our in-house production was primarily focused on smartphones, while our feature phones, IoT products and others, as well as a portion ...</t>
        </is>
      </c>
      <c r="AD10" s="191" t="inlineStr">
        <is>
          <t>expected size not yet public</t>
        </is>
      </c>
    </row>
    <row r="11">
      <c r="A11" s="175" t="n"/>
      <c r="B11" s="176" t="inlineStr">
        <is>
          <t>Anhui Sinomags Technology Co., Ltd</t>
        </is>
      </c>
      <c r="C11" s="175" t="n"/>
      <c r="D11" s="176" t="inlineStr">
        <is>
          <t>PHIP posted</t>
        </is>
      </c>
      <c r="E11" s="141" t="inlineStr">
        <is>
          <t>PHIP 2026-09-28</t>
        </is>
      </c>
      <c r="F11" s="176" t="inlineStr">
        <is>
          <t>Tech/AI</t>
        </is>
      </c>
      <c r="G11" s="66" t="inlineStr">
        <is>
          <t>Analog / power semiconductors</t>
        </is>
      </c>
      <c r="H11" s="178" t="n"/>
      <c r="I11" s="179" t="n"/>
      <c r="J11" s="175" t="n"/>
      <c r="K11" s="180" t="n"/>
      <c r="L11" s="180" t="n"/>
      <c r="M11" s="181" t="n"/>
      <c r="N11" s="182" t="inlineStr">
        <is>
          <t>at launch</t>
        </is>
      </c>
      <c r="O11" s="183" t="inlineStr">
        <is>
          <t>at launch</t>
        </is>
      </c>
      <c r="P11" s="182" t="inlineStr">
        <is>
          <t>at launch</t>
        </is>
      </c>
      <c r="Q11" s="184" t="inlineStr">
        <is>
          <t>at launch</t>
        </is>
      </c>
      <c r="R11" s="176" t="inlineStr">
        <is>
          <t>at launch</t>
        </is>
      </c>
      <c r="S11" s="185" t="inlineStr">
        <is>
          <t>Y</t>
        </is>
      </c>
      <c r="T11" s="175" t="n"/>
      <c r="U11" s="175" t="n"/>
      <c r="V11" s="186" t="n"/>
      <c r="W11" s="181" t="n"/>
      <c r="X11" s="187" t="n"/>
      <c r="Y11" s="187" t="n"/>
      <c r="Z11" s="188" t="inlineStr">
        <is>
          <t>at launch</t>
        </is>
      </c>
      <c r="AA11" s="183" t="inlineStr">
        <is>
          <t>China Securities (International) Corporate Finance Company Limited; GF Securities (Hong Kong) Brokerage Limited; SDICS International Securities (Hong Kong) Limited; BOCI Asia Limited; Guoyuan Securities Brokerage (Hong Kong) Limited; China Merchants Securities (HK) Co., Limited</t>
        </is>
      </c>
      <c r="AB11" s="189">
        <f>HYPERLINK("https://www1.hkexnews.hk/app/sehk/2026/108258/documents/sehk26092802070.pdf","filing")</f>
        <v/>
      </c>
      <c r="AC11" s="190" t="inlineStr">
        <is>
          <t>We are an integrated device manufacturer (“ IDM”) company in the magnetic sensor industry. We maintain a broad magnetic sensing technology portfolio with vertical integration across the industry value chain, from chip design and wafer manufacturing through module design and ...</t>
        </is>
      </c>
      <c r="AD11" s="191" t="inlineStr">
        <is>
          <t>expected size not yet public</t>
        </is>
      </c>
    </row>
    <row r="12">
      <c r="A12" s="175" t="n"/>
      <c r="B12" s="176" t="inlineStr">
        <is>
          <t>Amicro Technology Co., Ltd.</t>
        </is>
      </c>
      <c r="C12" s="175" t="n"/>
      <c r="D12" s="176" t="inlineStr">
        <is>
          <t>PHIP posted</t>
        </is>
      </c>
      <c r="E12" s="141" t="inlineStr">
        <is>
          <t>PHIP 2026-09-30</t>
        </is>
      </c>
      <c r="F12" s="176" t="inlineStr">
        <is>
          <t>Tech/AI</t>
        </is>
      </c>
      <c r="G12" s="66" t="inlineStr">
        <is>
          <t>Robotics &amp; autonomous driving</t>
        </is>
      </c>
      <c r="H12" s="178" t="n"/>
      <c r="I12" s="179" t="n"/>
      <c r="J12" s="175" t="n"/>
      <c r="K12" s="180" t="n"/>
      <c r="L12" s="180" t="n"/>
      <c r="M12" s="181" t="n"/>
      <c r="N12" s="182" t="inlineStr">
        <is>
          <t>at launch</t>
        </is>
      </c>
      <c r="O12" s="183" t="inlineStr">
        <is>
          <t>at launch</t>
        </is>
      </c>
      <c r="P12" s="182" t="inlineStr">
        <is>
          <t>at launch</t>
        </is>
      </c>
      <c r="Q12" s="184" t="inlineStr">
        <is>
          <t>at launch</t>
        </is>
      </c>
      <c r="R12" s="176" t="inlineStr">
        <is>
          <t>at launch</t>
        </is>
      </c>
      <c r="S12" s="185" t="inlineStr">
        <is>
          <t>N</t>
        </is>
      </c>
      <c r="T12" s="175" t="n"/>
      <c r="U12" s="175" t="n"/>
      <c r="V12" s="186" t="n"/>
      <c r="W12" s="181" t="n"/>
      <c r="X12" s="187" t="n"/>
      <c r="Y12" s="187" t="n"/>
      <c r="Z12" s="188" t="inlineStr">
        <is>
          <t>China Securities (International) Corporate Finance Company Limited; Guotai Junan Securities (Hong Kong) Limited</t>
        </is>
      </c>
      <c r="AA12" s="183" t="inlineStr">
        <is>
          <t>China Securities (International) Corporate Finance Company Limited; Guotai Junan Securities (Hong Kong) Limited</t>
        </is>
      </c>
      <c r="AB12" s="189">
        <f>HYPERLINK("https://www1.hkexnews.hk/app/sehk/2026/108911/documents/sehk26093003030.pdf","filing")</f>
        <v/>
      </c>
      <c r="AC12" s="190" t="inlineStr">
        <is>
          <t>We are an established innovator contributing to the advancement and commercialization in the intelligent mobile robotics industry. We ranked third among intelligent mobile robotic solution providers in terms of revenue in 2025, capturing approximately 4.2% market share, and ...</t>
        </is>
      </c>
      <c r="AD12" s="191" t="inlineStr">
        <is>
          <t>expected size not yet public</t>
        </is>
      </c>
    </row>
    <row r="13">
      <c r="A13" s="192" t="n"/>
      <c r="B13" s="193" t="inlineStr">
        <is>
          <t>Sungrow Power Supply</t>
        </is>
      </c>
      <c r="C13" s="193" t="inlineStr">
        <is>
          <t>阳光电源</t>
        </is>
      </c>
      <c r="D13" s="193" t="inlineStr">
        <is>
          <t>A1 filed</t>
        </is>
      </c>
      <c r="E13" s="159" t="inlineStr">
        <is>
          <t>2026 H2 (application refiled Apr 2026, 6-month validity)</t>
        </is>
      </c>
      <c r="F13" s="193" t="inlineStr">
        <is>
          <t>Industrials</t>
        </is>
      </c>
      <c r="G13" s="160" t="inlineStr">
        <is>
          <t>Solar / wind supply chain</t>
        </is>
      </c>
      <c r="H13" s="194" t="n"/>
      <c r="I13" s="195" t="n"/>
      <c r="J13" s="192" t="n"/>
      <c r="K13" s="196" t="n"/>
      <c r="L13" s="196" t="n"/>
      <c r="M13" s="197" t="n"/>
      <c r="N13" s="198" t="inlineStr">
        <is>
          <t>at launch</t>
        </is>
      </c>
      <c r="O13" s="199" t="inlineStr">
        <is>
          <t>at launch</t>
        </is>
      </c>
      <c r="P13" s="198" t="inlineStr">
        <is>
          <t>at launch</t>
        </is>
      </c>
      <c r="Q13" s="200" t="inlineStr">
        <is>
          <t>at launch</t>
        </is>
      </c>
      <c r="R13" s="193" t="inlineStr">
        <is>
          <t>at launch</t>
        </is>
      </c>
      <c r="S13" s="201" t="n"/>
      <c r="T13" s="193" t="inlineStr">
        <is>
          <t>Y</t>
        </is>
      </c>
      <c r="U13" s="193" t="inlineStr">
        <is>
          <t>300274.SZ</t>
        </is>
      </c>
      <c r="V13" s="202" t="n"/>
      <c r="W13" s="197" t="n"/>
      <c r="X13" s="203" t="n"/>
      <c r="Y13" s="203" t="n"/>
      <c r="Z13" s="204" t="inlineStr">
        <is>
          <t>CICC</t>
        </is>
      </c>
      <c r="AA13" s="199" t="inlineStr">
        <is>
          <t>at launch</t>
        </is>
      </c>
      <c r="AB13" s="192" t="n"/>
      <c r="AC13" s="205" t="n"/>
      <c r="AD13" s="206" t="inlineStr">
        <is>
          <t>A-share market cap ~RMB 277-330bn (USD 40-47bn) in Apr 2026. Early reports cited a HK$987m (USD 126.7m) raise target from the Oct-2025 filing; treat with caution, small vs peers' A+H raises; no updated size disclosed on the Apr 2026 refiling.</t>
        </is>
      </c>
    </row>
    <row r="14">
      <c r="A14" s="207" t="n"/>
      <c r="B14" s="51" t="inlineStr">
        <is>
          <t>AgiBot (AgiBot Innovation / Zhiyuan Robotics)</t>
        </is>
      </c>
      <c r="C14" s="51" t="inlineStr">
        <is>
          <t>智元机器人</t>
        </is>
      </c>
      <c r="D14" s="51" t="inlineStr">
        <is>
          <t>A1 filed</t>
        </is>
      </c>
      <c r="E14" s="141" t="inlineStr">
        <is>
          <t>2026 H2 (possibly as early as Aug-Sep 2026)</t>
        </is>
      </c>
      <c r="F14" s="51" t="inlineStr">
        <is>
          <t>Tech/AI</t>
        </is>
      </c>
      <c r="G14" s="66" t="inlineStr">
        <is>
          <t>Robotics &amp; autonomous driving</t>
        </is>
      </c>
      <c r="H14" s="142" t="n">
        <v>7800</v>
      </c>
      <c r="I14" s="208" t="n"/>
      <c r="J14" s="51" t="inlineStr">
        <is>
          <t>1,000</t>
        </is>
      </c>
      <c r="K14" s="209" t="n"/>
      <c r="L14" s="209" t="n"/>
      <c r="M14" s="210" t="n"/>
      <c r="N14" s="211" t="inlineStr">
        <is>
          <t>at launch</t>
        </is>
      </c>
      <c r="O14" s="212" t="inlineStr">
        <is>
          <t>at launch</t>
        </is>
      </c>
      <c r="P14" s="211" t="inlineStr">
        <is>
          <t>at launch</t>
        </is>
      </c>
      <c r="Q14" s="213" t="inlineStr">
        <is>
          <t>at launch</t>
        </is>
      </c>
      <c r="R14" s="51" t="inlineStr">
        <is>
          <t>at launch</t>
        </is>
      </c>
      <c r="S14" s="214" t="n"/>
      <c r="T14" s="51" t="inlineStr">
        <is>
          <t>N</t>
        </is>
      </c>
      <c r="U14" s="207" t="n"/>
      <c r="V14" s="215" t="n"/>
      <c r="W14" s="210" t="n"/>
      <c r="X14" s="216" t="n"/>
      <c r="Y14" s="216" t="n"/>
      <c r="Z14" s="217" t="inlineStr">
        <is>
          <t>CITIC Securities; CICC; Morgan Stanley</t>
        </is>
      </c>
      <c r="AA14" s="212" t="inlineStr">
        <is>
          <t>at launch</t>
        </is>
      </c>
      <c r="AB14" s="207" t="n"/>
      <c r="AC14" s="218" t="n"/>
      <c r="AD14" s="219" t="inlineStr">
        <is>
          <t>Cornerstone/valuation target HK$40-50bn (~USD 5.1-6.4bn); plans to sell 15-25% of shares, potentially raising &gt;USD 1bn. Last private rounds valued it above RMB 20bn (~USD 3bn) per Caixin.</t>
        </is>
      </c>
    </row>
    <row r="15">
      <c r="A15" s="207" t="n"/>
      <c r="B15" s="51" t="inlineStr">
        <is>
          <t>Xiaohongshu (RedNote)</t>
        </is>
      </c>
      <c r="C15" s="51" t="inlineStr">
        <is>
          <t>小红书</t>
        </is>
      </c>
      <c r="D15" s="51" t="inlineStr">
        <is>
          <t>A1 filed</t>
        </is>
      </c>
      <c r="E15" s="141" t="inlineStr">
        <is>
          <t>2026 H2, as early as year-end 2026</t>
        </is>
      </c>
      <c r="F15" s="51" t="inlineStr">
        <is>
          <t>Tech/AI</t>
        </is>
      </c>
      <c r="G15" s="66" t="inlineStr">
        <is>
          <t>Internet platform / e-commerce</t>
        </is>
      </c>
      <c r="H15" s="178" t="n"/>
      <c r="I15" s="208" t="n"/>
      <c r="J15" s="207" t="n"/>
      <c r="K15" s="209" t="n"/>
      <c r="L15" s="209" t="n"/>
      <c r="M15" s="210" t="n"/>
      <c r="N15" s="211" t="inlineStr">
        <is>
          <t>at launch</t>
        </is>
      </c>
      <c r="O15" s="212" t="inlineStr">
        <is>
          <t>at launch</t>
        </is>
      </c>
      <c r="P15" s="211" t="inlineStr">
        <is>
          <t>at launch</t>
        </is>
      </c>
      <c r="Q15" s="213" t="inlineStr">
        <is>
          <t>at launch</t>
        </is>
      </c>
      <c r="R15" s="51" t="inlineStr">
        <is>
          <t>at launch</t>
        </is>
      </c>
      <c r="S15" s="214" t="n"/>
      <c r="T15" s="51" t="inlineStr">
        <is>
          <t>N</t>
        </is>
      </c>
      <c r="U15" s="207" t="n"/>
      <c r="V15" s="215" t="n"/>
      <c r="W15" s="210" t="n"/>
      <c r="X15" s="216" t="n"/>
      <c r="Y15" s="216" t="n"/>
      <c r="Z15" s="217" t="inlineStr">
        <is>
          <t>Goldman Sachs; CICC</t>
        </is>
      </c>
      <c r="AA15" s="212" t="inlineStr">
        <is>
          <t>at launch</t>
        </is>
      </c>
      <c r="AB15" s="207" t="n"/>
      <c r="AC15" s="218" t="n"/>
      <c r="AD15" s="219" t="inlineStr">
        <is>
          <t>Targeting &gt;USD 70bn valuation (WSJ via The Standard, 2026-06); above the ~USD 50bn seen in recent private secondary trades; would be one of HK's largest tech IPOs. Company publicly denied some IPO rumours amid compliance dispute (The Standard, 2026-07).</t>
        </is>
      </c>
    </row>
    <row r="16">
      <c r="A16" s="192" t="n"/>
      <c r="B16" s="193" t="inlineStr">
        <is>
          <t>Moonshot AI</t>
        </is>
      </c>
      <c r="C16" s="193" t="inlineStr">
        <is>
          <t>月之暗面</t>
        </is>
      </c>
      <c r="D16" s="193" t="inlineStr">
        <is>
          <t>Reported</t>
        </is>
      </c>
      <c r="E16" s="159" t="inlineStr">
        <is>
          <t>filing 2026 H2; listing as early as end-2026</t>
        </is>
      </c>
      <c r="F16" s="193" t="inlineStr">
        <is>
          <t>Tech/AI</t>
        </is>
      </c>
      <c r="G16" s="160" t="inlineStr">
        <is>
          <t>LLM / foundation model</t>
        </is>
      </c>
      <c r="H16" s="194" t="n"/>
      <c r="I16" s="195" t="n"/>
      <c r="J16" s="192" t="n"/>
      <c r="K16" s="196" t="n"/>
      <c r="L16" s="196" t="n"/>
      <c r="M16" s="197" t="n"/>
      <c r="N16" s="198" t="inlineStr">
        <is>
          <t>at launch</t>
        </is>
      </c>
      <c r="O16" s="199" t="inlineStr">
        <is>
          <t>at launch</t>
        </is>
      </c>
      <c r="P16" s="198" t="inlineStr">
        <is>
          <t>at launch</t>
        </is>
      </c>
      <c r="Q16" s="200" t="inlineStr">
        <is>
          <t>at launch</t>
        </is>
      </c>
      <c r="R16" s="193" t="inlineStr">
        <is>
          <t>at launch</t>
        </is>
      </c>
      <c r="S16" s="201" t="n"/>
      <c r="T16" s="193" t="inlineStr">
        <is>
          <t>N</t>
        </is>
      </c>
      <c r="U16" s="192" t="n"/>
      <c r="V16" s="202" t="n"/>
      <c r="W16" s="197" t="n"/>
      <c r="X16" s="203" t="n"/>
      <c r="Y16" s="203" t="n"/>
      <c r="Z16" s="204" t="inlineStr">
        <is>
          <t>at launch</t>
        </is>
      </c>
      <c r="AA16" s="199" t="inlineStr">
        <is>
          <t>at launch</t>
        </is>
      </c>
      <c r="AB16" s="192" t="n"/>
      <c r="AC16" s="205" t="n"/>
      <c r="AD16" s="206" t="inlineStr">
        <is>
          <t>Closed USD 3.5bn round at USD 35bn valuation (Bloomberg, 2026-07-29), up from ~USD 4bn end-2025; in talks for a final pre-IPO round at USD 50bn pre-money (Bloomberg, 2026-07-21).</t>
        </is>
      </c>
    </row>
    <row r="17">
      <c r="A17" s="220" t="inlineStr">
        <is>
          <t>6700</t>
        </is>
      </c>
      <c r="B17" s="220" t="inlineStr">
        <is>
          <t>Shenzhen Forms Syntron Information Co., Ltd.</t>
        </is>
      </c>
      <c r="C17" s="220" t="inlineStr">
        <is>
          <t>四方精創</t>
        </is>
      </c>
      <c r="D17" s="220" t="inlineStr">
        <is>
          <t>Postponed</t>
        </is>
      </c>
      <c r="E17" s="159" t="inlineStr">
        <is>
          <t>2026-09-22</t>
        </is>
      </c>
      <c r="F17" s="220" t="inlineStr">
        <is>
          <t>Tech/AI</t>
        </is>
      </c>
      <c r="G17" s="160" t="inlineStr">
        <is>
          <t>Fintech platform</t>
        </is>
      </c>
      <c r="H17" s="161" t="n">
        <v>943.4</v>
      </c>
      <c r="I17" s="221" t="inlineStr">
        <is>
          <t>offer shares x maximum price</t>
        </is>
      </c>
      <c r="J17" s="222" t="n"/>
      <c r="K17" s="223" t="n"/>
      <c r="L17" s="224" t="n">
        <v>16</v>
      </c>
      <c r="M17" s="225" t="n">
        <v>16.6</v>
      </c>
      <c r="N17" s="226" t="n">
        <v>12.61</v>
      </c>
      <c r="O17" s="227" t="inlineStr">
        <is>
          <t>Mr. Cheng Chi Heng; Successful Lotus; Thalassa Capital; Yeebo Alpha</t>
        </is>
      </c>
      <c r="P17" s="226" t="n">
        <v>15</v>
      </c>
      <c r="Q17" s="228" t="n">
        <v>100</v>
      </c>
      <c r="R17" s="220" t="inlineStr">
        <is>
          <t>2026-09-14 to 2026-09-17</t>
        </is>
      </c>
      <c r="S17" s="229" t="inlineStr">
        <is>
          <t>Y</t>
        </is>
      </c>
      <c r="T17" s="220" t="inlineStr">
        <is>
          <t>Y</t>
        </is>
      </c>
      <c r="U17" s="220" t="inlineStr">
        <is>
          <t>300468.SZ</t>
        </is>
      </c>
      <c r="V17" s="230" t="n">
        <v>20.51</v>
      </c>
      <c r="W17" s="225" t="n">
        <v>24.86</v>
      </c>
      <c r="X17" s="231" t="n">
        <v>-33.4</v>
      </c>
      <c r="Y17" s="231" t="n">
        <v>50.15</v>
      </c>
      <c r="Z17" s="232" t="inlineStr">
        <is>
          <t>CMB International Capital Limited; Guosen Securities (HK) Capital Company Limited</t>
        </is>
      </c>
      <c r="AA17" s="227" t="inlineStr">
        <is>
          <t>CMB International Capital Limited; Guosen Securities (HK) Capital Company Limited; Victory Securities Company Limited; Emperio Securities And Assets Management Limited</t>
        </is>
      </c>
      <c r="AB17" s="233">
        <f>HYPERLINK("https://www1.hkexnews.hk/listedco/listconews/sehk/2026/0914/2026091400005.pdf","filing")</f>
        <v/>
      </c>
      <c r="AC17" s="234" t="inlineStr">
        <is>
          <t>We are an established fintech service provider in the banking industry based in the Greater Bay Area, delivering fintech software development services, consulting services, and system integration services to banks, regulatory authorities and other financial institutions across ...</t>
        </is>
      </c>
      <c r="AD17" s="235" t="inlineStr">
        <is>
          <t>stated market cap rejected: HK$824m is below the HK$943m offering itself</t>
        </is>
      </c>
    </row>
    <row r="18">
      <c r="A18" s="220" t="inlineStr">
        <is>
          <t>2523</t>
        </is>
      </c>
      <c r="B18" s="220" t="inlineStr">
        <is>
          <t>EKH LIMITED</t>
        </is>
      </c>
      <c r="C18" s="220" t="inlineStr">
        <is>
          <t>永康控股</t>
        </is>
      </c>
      <c r="D18" s="220" t="inlineStr">
        <is>
          <t>Withdrawn</t>
        </is>
      </c>
      <c r="E18" s="236" t="n"/>
      <c r="F18" s="220" t="inlineStr">
        <is>
          <t>Industrials</t>
        </is>
      </c>
      <c r="G18" s="160" t="inlineStr">
        <is>
          <t>Logistics</t>
        </is>
      </c>
      <c r="H18" s="161" t="n">
        <v>126</v>
      </c>
      <c r="I18" s="221" t="inlineStr">
        <is>
          <t>prospectus, net at max price</t>
        </is>
      </c>
      <c r="J18" s="222" t="n"/>
      <c r="K18" s="224" t="n">
        <v>2.2</v>
      </c>
      <c r="L18" s="224" t="n">
        <v>2.68</v>
      </c>
      <c r="M18" s="225" t="n">
        <v>73.3</v>
      </c>
      <c r="N18" s="226" t="n">
        <v>0</v>
      </c>
      <c r="O18" s="227" t="inlineStr">
        <is>
          <t>withdrawn</t>
        </is>
      </c>
      <c r="P18" s="226" t="inlineStr">
        <is>
          <t>withdrawn</t>
        </is>
      </c>
      <c r="Q18" s="228" t="inlineStr">
        <is>
          <t>withdrawn</t>
        </is>
      </c>
      <c r="R18" s="220" t="inlineStr">
        <is>
          <t>withdrawn</t>
        </is>
      </c>
      <c r="S18" s="229" t="inlineStr">
        <is>
          <t>Y</t>
        </is>
      </c>
      <c r="T18" s="222" t="n"/>
      <c r="U18" s="222" t="n"/>
      <c r="V18" s="237" t="n"/>
      <c r="W18" s="238" t="n"/>
      <c r="X18" s="239" t="n"/>
      <c r="Y18" s="239" t="n"/>
      <c r="Z18" s="232" t="inlineStr">
        <is>
          <t>Quam Capital Limited; Alliance Capital Partners Limited</t>
        </is>
      </c>
      <c r="AA18" s="227" t="inlineStr">
        <is>
          <t>Quam Securities Limited; CEB International Capital Corporation Limited; CMB International Capital Limited; Eddid Securities and Futures Limited; Grand China Securities Limited; Orient Securities (Hong Kong) Limited; SBI E2-Capital Securities Limited; SPDB International Capital Limited; uSmart Securities Limited</t>
        </is>
      </c>
      <c r="AB18" s="222" t="n"/>
      <c r="AC18" s="234" t="inlineStr">
        <is>
          <t>We provide services and products to both ends of the shipping supply chain including container shipping lines and direct customers (as well as those i n the middle such as freight forwarders). As such, we play different roles in the various logistic services we provide resulting ...</t>
        </is>
      </c>
      <c r="AD18" s="240" t="n"/>
    </row>
    <row r="19"/>
    <row r="20"/>
    <row r="21"/>
    <row r="22">
      <c r="A22" s="241" t="inlineStr">
        <is>
          <t>HKEX APPLICATION QUEUE</t>
        </is>
      </c>
    </row>
    <row r="23">
      <c r="A23" s="105" t="inlineStr">
        <is>
          <t>PHIP posted = hearing cleared, usually days to weeks from launch; those rows are also in the table above. Refreshed on every run.</t>
        </is>
      </c>
    </row>
    <row r="24" ht="30" customHeight="1">
      <c r="A24" s="45" t="inlineStr">
        <is>
          <t>Applicant</t>
        </is>
      </c>
      <c r="B24" s="45" t="inlineStr">
        <is>
          <t>Stage</t>
        </is>
      </c>
      <c r="C24" s="45" t="inlineStr">
        <is>
          <t>First filed</t>
        </is>
      </c>
      <c r="D24" s="45" t="inlineStr">
        <is>
          <t>Latest filing</t>
        </is>
      </c>
      <c r="E24" s="45" t="inlineStr">
        <is>
          <t>Days in process</t>
        </is>
      </c>
      <c r="F24" s="45" t="inlineStr">
        <is>
          <t>Document</t>
        </is>
      </c>
    </row>
    <row r="25">
      <c r="A25" s="242" t="inlineStr">
        <is>
          <t>Amicro Technology Co., Ltd.</t>
        </is>
      </c>
      <c r="B25" s="51" t="inlineStr">
        <is>
          <t>PHIP posted (hearing cleared)</t>
        </is>
      </c>
      <c r="C25" s="51" t="inlineStr">
        <is>
          <t>2026-09-30</t>
        </is>
      </c>
      <c r="D25" s="51" t="inlineStr">
        <is>
          <t>2026-09-30</t>
        </is>
      </c>
      <c r="E25" s="243" t="n">
        <v>3</v>
      </c>
      <c r="F25" s="127">
        <f>HYPERLINK("https://www1.hkexnews.hk/app/sehk/2026/108911/documents/sehk26093003030.pdf","open filing")</f>
        <v/>
      </c>
    </row>
    <row r="26">
      <c r="A26" s="242" t="inlineStr">
        <is>
          <t>Anhui Sinomags Technology Co., Ltd</t>
        </is>
      </c>
      <c r="B26" s="51" t="inlineStr">
        <is>
          <t>PHIP posted (hearing cleared)</t>
        </is>
      </c>
      <c r="C26" s="51" t="inlineStr">
        <is>
          <t>2026-09-28</t>
        </is>
      </c>
      <c r="D26" s="51" t="inlineStr">
        <is>
          <t>2026-09-28</t>
        </is>
      </c>
      <c r="E26" s="243" t="n">
        <v>5</v>
      </c>
      <c r="F26" s="127">
        <f>HYPERLINK("https://www1.hkexnews.hk/app/sehk/2026/108258/documents/sehk26092802070.pdf","open filing")</f>
        <v/>
      </c>
    </row>
    <row r="27">
      <c r="A27" s="242" t="inlineStr">
        <is>
          <t>Shenzhen Transsion Holdings Co., Ltd.</t>
        </is>
      </c>
      <c r="B27" s="51" t="inlineStr">
        <is>
          <t>PHIP posted (hearing cleared)</t>
        </is>
      </c>
      <c r="C27" s="51" t="inlineStr">
        <is>
          <t>2026-09-25</t>
        </is>
      </c>
      <c r="D27" s="51" t="inlineStr">
        <is>
          <t>2026-09-25</t>
        </is>
      </c>
      <c r="E27" s="243" t="n">
        <v>8</v>
      </c>
      <c r="F27" s="127">
        <f>HYPERLINK("https://www1.hkexnews.hk/app/sehk/2026/108656/documents/sehk26092501136.pdf","open filing")</f>
        <v/>
      </c>
    </row>
    <row r="28">
      <c r="A28" s="242" t="inlineStr">
        <is>
          <t>Beijing ESWIN Computing Technology Co., Ltd.</t>
        </is>
      </c>
      <c r="B28" s="51" t="inlineStr">
        <is>
          <t>PHIP posted (hearing cleared)</t>
        </is>
      </c>
      <c r="C28" s="51" t="inlineStr">
        <is>
          <t>2026-09-21</t>
        </is>
      </c>
      <c r="D28" s="51" t="inlineStr">
        <is>
          <t>2026-09-21</t>
        </is>
      </c>
      <c r="E28" s="243" t="n">
        <v>12</v>
      </c>
      <c r="F28" s="127">
        <f>HYPERLINK("https://www1.hkexnews.hk/app/sehk/2026/108777/documents/sehk26092101738.pdf","open filing")</f>
        <v/>
      </c>
    </row>
    <row r="29">
      <c r="A29" s="242" t="inlineStr">
        <is>
          <t>Hunan Junxin Environmental Protection Co., Ltd.</t>
        </is>
      </c>
      <c r="B29" s="51" t="inlineStr">
        <is>
          <t>PHIP posted (hearing cleared)</t>
        </is>
      </c>
      <c r="C29" s="51" t="inlineStr">
        <is>
          <t>2026-09-13</t>
        </is>
      </c>
      <c r="D29" s="51" t="inlineStr">
        <is>
          <t>2026-09-13</t>
        </is>
      </c>
      <c r="E29" s="243" t="n">
        <v>20</v>
      </c>
      <c r="F29" s="127">
        <f>HYPERLINK("https://www1.hkexnews.hk/app/sehk/2026/108794/documents/sehk26091300040.pdf","open filing")</f>
        <v/>
      </c>
    </row>
    <row r="30">
      <c r="A30" s="242" t="inlineStr">
        <is>
          <t>Zhejiang Taotao Vehicles Co., Ltd.</t>
        </is>
      </c>
      <c r="B30" s="51" t="inlineStr">
        <is>
          <t>PHIP posted (hearing cleared)</t>
        </is>
      </c>
      <c r="C30" s="51" t="inlineStr">
        <is>
          <t>2026-09-07</t>
        </is>
      </c>
      <c r="D30" s="51" t="inlineStr">
        <is>
          <t>2026-09-07</t>
        </is>
      </c>
      <c r="E30" s="243" t="n">
        <v>26</v>
      </c>
      <c r="F30" s="127">
        <f>HYPERLINK("https://www1.hkexnews.hk/app/sehk/2026/108575/documents/sehk26090701490.pdf","open filing")</f>
        <v/>
      </c>
    </row>
    <row r="31">
      <c r="A31" s="242" t="inlineStr">
        <is>
          <t>Shenzhen Forms Syntron Information Co., Ltd.</t>
        </is>
      </c>
      <c r="B31" s="51" t="inlineStr">
        <is>
          <t>PHIP posted (hearing cleared)</t>
        </is>
      </c>
      <c r="C31" s="51" t="inlineStr">
        <is>
          <t>2026-09-06</t>
        </is>
      </c>
      <c r="D31" s="51" t="inlineStr">
        <is>
          <t>2026-09-06</t>
        </is>
      </c>
      <c r="E31" s="243" t="n">
        <v>27</v>
      </c>
      <c r="F31" s="127">
        <f>HYPERLINK("https://www1.hkexnews.hk/app/sehk/2026/108727/documents/sehk26090600084.pdf","open filing")</f>
        <v/>
      </c>
    </row>
    <row r="32">
      <c r="A32" s="242" t="inlineStr">
        <is>
          <t>Glorysoft (Shanghai) Co., Ltd.</t>
        </is>
      </c>
      <c r="B32" s="244" t="inlineStr">
        <is>
          <t>PHIP posted (hearing cleared)  [sponsor terminated]</t>
        </is>
      </c>
      <c r="C32" s="51" t="inlineStr">
        <is>
          <t>2026-08-07</t>
        </is>
      </c>
      <c r="D32" s="51" t="inlineStr">
        <is>
          <t>2026-08-07</t>
        </is>
      </c>
      <c r="E32" s="243" t="n">
        <v>57</v>
      </c>
      <c r="F32" s="127">
        <f>HYPERLINK("https://www1.hkexnews.hk/app/sehk/2026/108262/documents/sehk26062301714.pdf","open filing")</f>
        <v/>
      </c>
    </row>
    <row r="33">
      <c r="A33" s="242" t="inlineStr">
        <is>
          <t>EKH Limited</t>
        </is>
      </c>
      <c r="B33" s="51" t="inlineStr">
        <is>
          <t>PHIP posted (hearing cleared)</t>
        </is>
      </c>
      <c r="C33" s="51" t="inlineStr">
        <is>
          <t>2026-06-26</t>
        </is>
      </c>
      <c r="D33" s="51" t="inlineStr">
        <is>
          <t>2026-06-26</t>
        </is>
      </c>
      <c r="E33" s="243" t="n">
        <v>99</v>
      </c>
      <c r="F33" s="127">
        <f>HYPERLINK("https://www1.hkexnews.hk/app/sehk/2026/108390/documents/sehk26062603258.pdf","open filing")</f>
        <v/>
      </c>
    </row>
    <row r="34">
      <c r="A34" s="242" t="inlineStr">
        <is>
          <t>Tanboer Group Co., Ltd.</t>
        </is>
      </c>
      <c r="B34" s="51" t="inlineStr">
        <is>
          <t>PHIP posted (hearing cleared)</t>
        </is>
      </c>
      <c r="C34" s="51" t="inlineStr">
        <is>
          <t>2026-06-21</t>
        </is>
      </c>
      <c r="D34" s="51" t="inlineStr">
        <is>
          <t>2026-06-21</t>
        </is>
      </c>
      <c r="E34" s="243" t="n">
        <v>104</v>
      </c>
      <c r="F34" s="127">
        <f>HYPERLINK("https://www1.hkexnews.hk/app/sehk/2026/108483/documents/sehk26062100126.pdf","open filing")</f>
        <v/>
      </c>
    </row>
    <row r="35">
      <c r="A35" s="51" t="inlineStr">
        <is>
          <t>Gaw Capital Real Estate Private Debt OFC</t>
        </is>
      </c>
      <c r="B35" s="51" t="inlineStr">
        <is>
          <t>Application Proof only</t>
        </is>
      </c>
      <c r="C35" s="51" t="inlineStr">
        <is>
          <t>2026-10-02</t>
        </is>
      </c>
      <c r="D35" s="51" t="inlineStr">
        <is>
          <t>2026-10-02</t>
        </is>
      </c>
      <c r="E35" s="243" t="n">
        <v>1</v>
      </c>
      <c r="F35" s="127">
        <f>HYPERLINK("https://www1.hkexnews.hk/app/sehk/2026/108912/documents/sehk26100203578.pdf","open filing")</f>
        <v/>
      </c>
    </row>
    <row r="36">
      <c r="A36" s="51" t="inlineStr">
        <is>
          <t>ACROBIOSYSTEMS CO., LTD</t>
        </is>
      </c>
      <c r="B36" s="51" t="inlineStr">
        <is>
          <t>Application Proof only</t>
        </is>
      </c>
      <c r="C36" s="51" t="inlineStr">
        <is>
          <t>2026-09-30</t>
        </is>
      </c>
      <c r="D36" s="51" t="inlineStr">
        <is>
          <t>2026-09-30</t>
        </is>
      </c>
      <c r="E36" s="243" t="n">
        <v>3</v>
      </c>
      <c r="F36" s="127">
        <f>HYPERLINK("https://www1.hkexnews.hk/app/sehk/2026/108910/documents/sehk26093002652.pdf","open filing")</f>
        <v/>
      </c>
    </row>
    <row r="37">
      <c r="A37" s="51" t="inlineStr">
        <is>
          <t>DataCanvas Co., Ltd.</t>
        </is>
      </c>
      <c r="B37" s="51" t="inlineStr">
        <is>
          <t>Application Proof only</t>
        </is>
      </c>
      <c r="C37" s="51" t="inlineStr">
        <is>
          <t>2026-09-29</t>
        </is>
      </c>
      <c r="D37" s="51" t="inlineStr">
        <is>
          <t>2026-09-29</t>
        </is>
      </c>
      <c r="E37" s="243" t="n">
        <v>4</v>
      </c>
      <c r="F37" s="127">
        <f>HYPERLINK("https://www1.hkexnews.hk/app/sehk/2026/108908/documents/sehk26092900994.pdf","open filing")</f>
        <v/>
      </c>
    </row>
    <row r="38">
      <c r="A38" s="51" t="inlineStr">
        <is>
          <t>YUDO HOLDINGS CO., LIMITED</t>
        </is>
      </c>
      <c r="B38" s="51" t="inlineStr">
        <is>
          <t>Application Proof only</t>
        </is>
      </c>
      <c r="C38" s="51" t="inlineStr">
        <is>
          <t>2026-09-29</t>
        </is>
      </c>
      <c r="D38" s="51" t="inlineStr">
        <is>
          <t>2026-09-29</t>
        </is>
      </c>
      <c r="E38" s="243" t="n">
        <v>4</v>
      </c>
      <c r="F38" s="127">
        <f>HYPERLINK("https://www1.hkexnews.hk/app/sehk/2026/108909/documents/sehk26092902078.pdf","open filing")</f>
        <v/>
      </c>
    </row>
    <row r="39">
      <c r="A39" s="51" t="inlineStr">
        <is>
          <t>Shandong Linuo Pharmaceutical Packaging Co.,Ltd.</t>
        </is>
      </c>
      <c r="B39" s="51" t="inlineStr">
        <is>
          <t>Application Proof only</t>
        </is>
      </c>
      <c r="C39" s="51" t="inlineStr">
        <is>
          <t>2026-09-28</t>
        </is>
      </c>
      <c r="D39" s="51" t="inlineStr">
        <is>
          <t>2026-09-28</t>
        </is>
      </c>
      <c r="E39" s="243" t="n">
        <v>5</v>
      </c>
      <c r="F39" s="127">
        <f>HYPERLINK("https://www1.hkexnews.hk/app/sehk/2026/108907/documents/sehk26092800296.pdf","open filing")</f>
        <v/>
      </c>
    </row>
    <row r="40">
      <c r="A40" s="51" t="inlineStr">
        <is>
          <t>Voyager Intelligent Systems Limited</t>
        </is>
      </c>
      <c r="B40" s="51" t="inlineStr">
        <is>
          <t>Application Proof only</t>
        </is>
      </c>
      <c r="C40" s="51" t="inlineStr">
        <is>
          <t>2026-09-27</t>
        </is>
      </c>
      <c r="D40" s="51" t="inlineStr">
        <is>
          <t>2026-09-27</t>
        </is>
      </c>
      <c r="E40" s="243" t="n">
        <v>6</v>
      </c>
      <c r="F40" s="127">
        <f>HYPERLINK("https://www1.hkexnews.hk/app/sehk/2026/108906/documents/sehk26092700112.pdf","open filing")</f>
        <v/>
      </c>
    </row>
    <row r="41">
      <c r="A41" s="51" t="inlineStr">
        <is>
          <t>Guangdong Mic-Power New Energy Co., Ltd.</t>
        </is>
      </c>
      <c r="B41" s="51" t="inlineStr">
        <is>
          <t>Application Proof only</t>
        </is>
      </c>
      <c r="C41" s="51" t="inlineStr">
        <is>
          <t>2026-09-24</t>
        </is>
      </c>
      <c r="D41" s="51" t="inlineStr">
        <is>
          <t>2026-09-24</t>
        </is>
      </c>
      <c r="E41" s="243" t="n">
        <v>9</v>
      </c>
      <c r="F41" s="127">
        <f>HYPERLINK("https://www1.hkexnews.hk/app/sehk/2026/108867/documents/sehk26091001726.pdf","open filing")</f>
        <v/>
      </c>
    </row>
    <row r="42">
      <c r="A42" s="51" t="inlineStr">
        <is>
          <t>Orbbec Inc. - W</t>
        </is>
      </c>
      <c r="B42" s="51" t="inlineStr">
        <is>
          <t>Application Proof only</t>
        </is>
      </c>
      <c r="C42" s="51" t="inlineStr">
        <is>
          <t>2026-09-24</t>
        </is>
      </c>
      <c r="D42" s="51" t="inlineStr">
        <is>
          <t>2026-09-24</t>
        </is>
      </c>
      <c r="E42" s="243" t="n">
        <v>9</v>
      </c>
      <c r="F42" s="127">
        <f>HYPERLINK("https://www1.hkexnews.hk/app/sehk/2026/108890/documents/sehk26092401221.pdf","open filing")</f>
        <v/>
      </c>
    </row>
    <row r="43">
      <c r="A43" s="51" t="inlineStr">
        <is>
          <t>Onyx International Inc.</t>
        </is>
      </c>
      <c r="B43" s="51" t="inlineStr">
        <is>
          <t>Application Proof only</t>
        </is>
      </c>
      <c r="C43" s="51" t="inlineStr">
        <is>
          <t>2026-09-23</t>
        </is>
      </c>
      <c r="D43" s="51" t="inlineStr">
        <is>
          <t>2026-09-23</t>
        </is>
      </c>
      <c r="E43" s="243" t="n">
        <v>10</v>
      </c>
      <c r="F43" s="127">
        <f>HYPERLINK("https://www1.hkexnews.hk/app/sehk/2026/108889/documents/sehk26092301864.pdf","open filing")</f>
        <v/>
      </c>
    </row>
    <row r="44">
      <c r="A44" s="51" t="inlineStr">
        <is>
          <t>Amlogic (Shanghai) Co.,Ltd.</t>
        </is>
      </c>
      <c r="B44" s="244" t="inlineStr">
        <is>
          <t>Application Proof only  [sponsor terminated]</t>
        </is>
      </c>
      <c r="C44" s="51" t="inlineStr">
        <is>
          <t>2026-09-22</t>
        </is>
      </c>
      <c r="D44" s="51" t="inlineStr">
        <is>
          <t>2026-09-22</t>
        </is>
      </c>
      <c r="E44" s="243" t="n">
        <v>11</v>
      </c>
      <c r="F44" s="127">
        <f>HYPERLINK("https://www1.hkexnews.hk/app/sehk/2026/108440/documents/sehk26041200324.pdf","open filing")</f>
        <v/>
      </c>
    </row>
    <row r="45">
      <c r="A45" s="51" t="inlineStr">
        <is>
          <t>Guangdong Rising Mineral-Rich Mountain Copper Co., Ltd.</t>
        </is>
      </c>
      <c r="B45" s="51" t="inlineStr">
        <is>
          <t>Application Proof only</t>
        </is>
      </c>
      <c r="C45" s="51" t="inlineStr">
        <is>
          <t>2026-09-22</t>
        </is>
      </c>
      <c r="D45" s="51" t="inlineStr">
        <is>
          <t>2026-09-22</t>
        </is>
      </c>
      <c r="E45" s="243" t="n">
        <v>11</v>
      </c>
      <c r="F45" s="127">
        <f>HYPERLINK("https://www1.hkexnews.hk/app/sehk/2026/108888/documents/sehk26092201540.pdf","open filing")</f>
        <v/>
      </c>
    </row>
    <row r="46">
      <c r="A46" s="51" t="inlineStr">
        <is>
          <t>Dynamic Electronics Co., Ltd.</t>
        </is>
      </c>
      <c r="B46" s="51" t="inlineStr">
        <is>
          <t>Application Proof only</t>
        </is>
      </c>
      <c r="C46" s="51" t="inlineStr">
        <is>
          <t>2026-09-21</t>
        </is>
      </c>
      <c r="D46" s="51" t="inlineStr">
        <is>
          <t>2026-09-21</t>
        </is>
      </c>
      <c r="E46" s="243" t="n">
        <v>12</v>
      </c>
      <c r="F46" s="127">
        <f>HYPERLINK("https://www1.hkexnews.hk/app/sehk/2026/108887/documents/sehk26092101146.pdf","open filing")</f>
        <v/>
      </c>
    </row>
    <row r="47">
      <c r="A47" s="51" t="inlineStr">
        <is>
          <t>Hai Robotics Innovation Group Co., Ltd. - W</t>
        </is>
      </c>
      <c r="B47" s="51" t="inlineStr">
        <is>
          <t>Application Proof only</t>
        </is>
      </c>
      <c r="C47" s="51" t="inlineStr">
        <is>
          <t>2026-09-21</t>
        </is>
      </c>
      <c r="D47" s="51" t="inlineStr">
        <is>
          <t>2026-09-21</t>
        </is>
      </c>
      <c r="E47" s="243" t="n">
        <v>12</v>
      </c>
      <c r="F47" s="127">
        <f>HYPERLINK("https://www1.hkexnews.hk/app/sehk/2026/108870/documents/sehk26091300124.pdf","open filing")</f>
        <v/>
      </c>
    </row>
    <row r="48">
      <c r="A48" s="51" t="inlineStr">
        <is>
          <t>Zhejiang Jingxin Pharmaceutical Co., Ltd.</t>
        </is>
      </c>
      <c r="B48" s="51" t="inlineStr">
        <is>
          <t>Application Proof only</t>
        </is>
      </c>
      <c r="C48" s="51" t="inlineStr">
        <is>
          <t>2026-09-18</t>
        </is>
      </c>
      <c r="D48" s="51" t="inlineStr">
        <is>
          <t>2026-09-18</t>
        </is>
      </c>
      <c r="E48" s="243" t="n">
        <v>15</v>
      </c>
      <c r="F48" s="127">
        <f>HYPERLINK("https://www1.hkexnews.hk/app/sehk/2026/108886/documents/sehk26091801843.pdf","open filing")</f>
        <v/>
      </c>
    </row>
    <row r="49">
      <c r="A49" s="51" t="inlineStr">
        <is>
          <t>ZHE JIANG HAI LIANG CO., LTD.</t>
        </is>
      </c>
      <c r="B49" s="51" t="inlineStr">
        <is>
          <t>Application Proof only</t>
        </is>
      </c>
      <c r="C49" s="51" t="inlineStr">
        <is>
          <t>2026-09-11</t>
        </is>
      </c>
      <c r="D49" s="51" t="inlineStr">
        <is>
          <t>2026-09-11</t>
        </is>
      </c>
      <c r="E49" s="243" t="n">
        <v>22</v>
      </c>
      <c r="F49" s="127">
        <f>HYPERLINK("https://www1.hkexnews.hk/app/sehk/2026/108850/documents/sehk26083000490.pdf","open filing")</f>
        <v/>
      </c>
    </row>
    <row r="50">
      <c r="A50" s="51" t="inlineStr">
        <is>
          <t>ASR Microelectronics Co., Ltd.</t>
        </is>
      </c>
      <c r="B50" s="51" t="inlineStr">
        <is>
          <t>Application Proof only</t>
        </is>
      </c>
      <c r="C50" s="51" t="inlineStr">
        <is>
          <t>2026-09-11</t>
        </is>
      </c>
      <c r="D50" s="51" t="inlineStr">
        <is>
          <t>2026-09-11</t>
        </is>
      </c>
      <c r="E50" s="243" t="n">
        <v>22</v>
      </c>
      <c r="F50" s="127">
        <f>HYPERLINK("https://www1.hkexnews.hk/app/sehk/2026/108868/documents/sehk26091101556.pdf","open filing")</f>
        <v/>
      </c>
    </row>
    <row r="51">
      <c r="A51" s="51" t="inlineStr">
        <is>
          <t>Shanghai Vision Star Media Co.,Ltd.</t>
        </is>
      </c>
      <c r="B51" s="51" t="inlineStr">
        <is>
          <t>Application Proof only</t>
        </is>
      </c>
      <c r="C51" s="51" t="inlineStr">
        <is>
          <t>2026-09-10</t>
        </is>
      </c>
      <c r="D51" s="51" t="inlineStr">
        <is>
          <t>2026-09-10</t>
        </is>
      </c>
      <c r="E51" s="243" t="n">
        <v>23</v>
      </c>
      <c r="F51" s="127">
        <f>HYPERLINK("https://www1.hkexnews.hk/app/sehk/2026/108822/documents/sehk26082701844.pdf","open filing")</f>
        <v/>
      </c>
    </row>
    <row r="52">
      <c r="A52" s="51" t="inlineStr">
        <is>
          <t>Hangzhou Tangji Medical Technology Co., Ltd. - B</t>
        </is>
      </c>
      <c r="B52" s="51" t="inlineStr">
        <is>
          <t>Application Proof only</t>
        </is>
      </c>
      <c r="C52" s="51" t="inlineStr">
        <is>
          <t>2026-09-10</t>
        </is>
      </c>
      <c r="D52" s="51" t="inlineStr">
        <is>
          <t>2026-09-10</t>
        </is>
      </c>
      <c r="E52" s="243" t="n">
        <v>23</v>
      </c>
      <c r="F52" s="127">
        <f>HYPERLINK("https://www1.hkexnews.hk/app/sehk/2026/108827/documents/sehk26082803557.pdf","open filing")</f>
        <v/>
      </c>
    </row>
    <row r="53">
      <c r="A53" s="51" t="inlineStr">
        <is>
          <t>Zhuhai Kingsware Artificial Intelligence Co., Ltd.</t>
        </is>
      </c>
      <c r="B53" s="51" t="inlineStr">
        <is>
          <t>Application Proof only</t>
        </is>
      </c>
      <c r="C53" s="51" t="inlineStr">
        <is>
          <t>2026-09-04</t>
        </is>
      </c>
      <c r="D53" s="51" t="inlineStr">
        <is>
          <t>2026-09-04</t>
        </is>
      </c>
      <c r="E53" s="243" t="n">
        <v>29</v>
      </c>
      <c r="F53" s="127">
        <f>HYPERLINK("https://www1.hkexnews.hk/app/sehk/2026/108812/documents/sehk26082102364.pdf","open filing")</f>
        <v/>
      </c>
    </row>
    <row r="54">
      <c r="A54" s="51" t="inlineStr">
        <is>
          <t>VATAI HOLDINGS LIMITED</t>
        </is>
      </c>
      <c r="B54" s="51" t="inlineStr">
        <is>
          <t>Application Proof only</t>
        </is>
      </c>
      <c r="C54" s="51" t="inlineStr">
        <is>
          <t>2026-09-03</t>
        </is>
      </c>
      <c r="D54" s="51" t="inlineStr">
        <is>
          <t>2026-09-03</t>
        </is>
      </c>
      <c r="E54" s="243" t="n">
        <v>30</v>
      </c>
      <c r="F54" s="127">
        <f>HYPERLINK("https://www1.hkexnews.hk/app/sehk/2026/108857/documents/sehk26090300176.pdf","open filing")</f>
        <v/>
      </c>
    </row>
    <row r="55">
      <c r="A55" s="51" t="inlineStr">
        <is>
          <t>Shenzhen Salubris Pharmaceuticals Co., Ltd.</t>
        </is>
      </c>
      <c r="B55" s="51" t="inlineStr">
        <is>
          <t>Application Proof only</t>
        </is>
      </c>
      <c r="C55" s="51" t="inlineStr">
        <is>
          <t>2026-09-03</t>
        </is>
      </c>
      <c r="D55" s="51" t="inlineStr">
        <is>
          <t>2026-09-03</t>
        </is>
      </c>
      <c r="E55" s="243" t="n">
        <v>30</v>
      </c>
      <c r="F55" s="127">
        <f>HYPERLINK("https://www1.hkexnews.hk/app/sehk/2026/108858/documents/sehk26090301640.pdf","open filing")</f>
        <v/>
      </c>
    </row>
    <row r="56">
      <c r="A56" s="51" t="inlineStr">
        <is>
          <t>Hunan Yuneng New Energy Battery Material Co., Ltd.</t>
        </is>
      </c>
      <c r="B56" s="51" t="inlineStr">
        <is>
          <t>Application Proof only</t>
        </is>
      </c>
      <c r="C56" s="51" t="inlineStr">
        <is>
          <t>2026-09-01</t>
        </is>
      </c>
      <c r="D56" s="51" t="inlineStr">
        <is>
          <t>2026-09-01</t>
        </is>
      </c>
      <c r="E56" s="243" t="n">
        <v>32</v>
      </c>
      <c r="F56" s="127">
        <f>HYPERLINK("https://www1.hkexnews.hk/app/sehk/2026/108797/documents/sehk26081700010.pdf","open filing")</f>
        <v/>
      </c>
    </row>
    <row r="57">
      <c r="A57" s="51" t="inlineStr">
        <is>
          <t>Guangxi Yuchai Marine and Genset Power Co., Ltd.</t>
        </is>
      </c>
      <c r="B57" s="51" t="inlineStr">
        <is>
          <t>Application Proof only</t>
        </is>
      </c>
      <c r="C57" s="51" t="inlineStr">
        <is>
          <t>2026-08-31</t>
        </is>
      </c>
      <c r="D57" s="51" t="inlineStr">
        <is>
          <t>2026-08-31</t>
        </is>
      </c>
      <c r="E57" s="243" t="n">
        <v>33</v>
      </c>
      <c r="F57" s="127">
        <f>HYPERLINK("https://www1.hkexnews.hk/app/sehk/2026/108851/documents/sehk26083101780.pdf","open filing")</f>
        <v/>
      </c>
    </row>
    <row r="58">
      <c r="A58" s="51" t="inlineStr">
        <is>
          <t>Zhejiang IPLUSMOBOT Technology Co., Ltd.</t>
        </is>
      </c>
      <c r="B58" s="51" t="inlineStr">
        <is>
          <t>Application Proof only</t>
        </is>
      </c>
      <c r="C58" s="51" t="inlineStr">
        <is>
          <t>2026-08-31</t>
        </is>
      </c>
      <c r="D58" s="51" t="inlineStr">
        <is>
          <t>2026-08-31</t>
        </is>
      </c>
      <c r="E58" s="243" t="n">
        <v>33</v>
      </c>
      <c r="F58" s="127">
        <f>HYPERLINK("https://www1.hkexnews.hk/app/sehk/2026/108853/documents/sehk26083102166.pdf","open filing")</f>
        <v/>
      </c>
    </row>
    <row r="59">
      <c r="A59" s="51" t="inlineStr">
        <is>
          <t>ANEW Health Limited</t>
        </is>
      </c>
      <c r="B59" s="51" t="inlineStr">
        <is>
          <t>Application Proof only</t>
        </is>
      </c>
      <c r="C59" s="51" t="inlineStr">
        <is>
          <t>2026-08-31</t>
        </is>
      </c>
      <c r="D59" s="51" t="inlineStr">
        <is>
          <t>2026-08-31</t>
        </is>
      </c>
      <c r="E59" s="243" t="n">
        <v>33</v>
      </c>
      <c r="F59" s="127">
        <f>HYPERLINK("https://www1.hkexnews.hk/app/sehk/2026/108852/documents/sehk26083102544.pdf","open filing")</f>
        <v/>
      </c>
    </row>
    <row r="60">
      <c r="A60" s="51" t="inlineStr">
        <is>
          <t>Ningbo Sunny Smart Autotech Company Limited</t>
        </is>
      </c>
      <c r="B60" s="51" t="inlineStr">
        <is>
          <t>Application Proof only</t>
        </is>
      </c>
      <c r="C60" s="51" t="inlineStr">
        <is>
          <t>2026-08-31</t>
        </is>
      </c>
      <c r="D60" s="51" t="inlineStr">
        <is>
          <t>2026-08-31</t>
        </is>
      </c>
      <c r="E60" s="243" t="n">
        <v>33</v>
      </c>
      <c r="F60" s="127">
        <f>HYPERLINK("https://www1.hkexnews.hk/app/sehk/2026/108854/documents/sehk26083102636.pdf","open filing")</f>
        <v/>
      </c>
    </row>
    <row r="61">
      <c r="A61" s="51" t="inlineStr">
        <is>
          <t>Jiangxi Tongbo Technology Co., Ltd.</t>
        </is>
      </c>
      <c r="B61" s="51" t="inlineStr">
        <is>
          <t>Application Proof only</t>
        </is>
      </c>
      <c r="C61" s="51" t="inlineStr">
        <is>
          <t>2026-08-31</t>
        </is>
      </c>
      <c r="D61" s="51" t="inlineStr">
        <is>
          <t>2026-08-31</t>
        </is>
      </c>
      <c r="E61" s="243" t="n">
        <v>33</v>
      </c>
      <c r="F61" s="127">
        <f>HYPERLINK("https://www1.hkexnews.hk/app/sehk/2026/108855/documents/sehk26083102794.pdf","open filing")</f>
        <v/>
      </c>
    </row>
    <row r="62">
      <c r="A62" s="51" t="inlineStr">
        <is>
          <t>ProteLight Pharmaceuticals (Jiangsu) Co., Ltd. - B</t>
        </is>
      </c>
      <c r="B62" s="51" t="inlineStr">
        <is>
          <t>Application Proof only</t>
        </is>
      </c>
      <c r="C62" s="51" t="inlineStr">
        <is>
          <t>2026-08-31</t>
        </is>
      </c>
      <c r="D62" s="51" t="inlineStr">
        <is>
          <t>2026-08-31</t>
        </is>
      </c>
      <c r="E62" s="243" t="n">
        <v>33</v>
      </c>
      <c r="F62" s="127">
        <f>HYPERLINK("https://www1.hkexnews.hk/app/sehk/2026/108856/documents/sehk26083102866.pdf","open filing")</f>
        <v/>
      </c>
    </row>
    <row r="63">
      <c r="A63" s="51" t="inlineStr">
        <is>
          <t>Hangzhou Bangshun Pharmaceutical Co., Ltd. - B</t>
        </is>
      </c>
      <c r="B63" s="51" t="inlineStr">
        <is>
          <t>Application Proof only</t>
        </is>
      </c>
      <c r="C63" s="51" t="inlineStr">
        <is>
          <t>2026-08-30</t>
        </is>
      </c>
      <c r="D63" s="51" t="inlineStr">
        <is>
          <t>2026-08-30</t>
        </is>
      </c>
      <c r="E63" s="243" t="n">
        <v>34</v>
      </c>
      <c r="F63" s="127">
        <f>HYPERLINK("https://www1.hkexnews.hk/app/sehk/2026/108847/documents/sehk26083000266.pdf","open filing")</f>
        <v/>
      </c>
    </row>
    <row r="64">
      <c r="A64" s="51" t="inlineStr">
        <is>
          <t>Beijing XSKY Technology Co., Ltd.</t>
        </is>
      </c>
      <c r="B64" s="51" t="inlineStr">
        <is>
          <t>Application Proof only</t>
        </is>
      </c>
      <c r="C64" s="51" t="inlineStr">
        <is>
          <t>2026-08-30</t>
        </is>
      </c>
      <c r="D64" s="51" t="inlineStr">
        <is>
          <t>2026-08-30</t>
        </is>
      </c>
      <c r="E64" s="243" t="n">
        <v>34</v>
      </c>
      <c r="F64" s="127">
        <f>HYPERLINK("https://www1.hkexnews.hk/app/sehk/2026/108849/documents/sehk26083000408.pdf","open filing")</f>
        <v/>
      </c>
    </row>
    <row r="65"/>
    <row r="66">
      <c r="A66" s="105" t="inlineStr">
        <is>
          <t>10 PHIP-stage applications of 366 live; PHIPs plus the 30 most recent application proofs shown.</t>
        </is>
      </c>
    </row>
  </sheetData>
  <mergeCells count="7">
    <mergeCell ref="A2:L2"/>
    <mergeCell ref="V4:Y4"/>
    <mergeCell ref="S4:U4"/>
    <mergeCell ref="A4:G4"/>
    <mergeCell ref="Z4:AB4"/>
    <mergeCell ref="H4:R4"/>
    <mergeCell ref="AC4:AD4"/>
  </mergeCells>
  <dataValidations count="1">
    <dataValidation sqref="G6:G18" showDropDown="0" showInputMessage="0" showErrorMessage="0" allowBlank="1" type="list">
      <formula1>=SubsectorList</formula1>
    </dataValidation>
  </dataValidations>
  <printOptions horizontalCentered="1"/>
  <pageMargins left="0.75" right="0.75" top="1" bottom="1" header="0.5" footer="0.5"/>
  <pageSetup orientation="landscape" paperSize="8" fitToHeight="0" fitToWidth="1"/>
  <ignoredErrors>
    <ignoredError sqref="A6:A40" numberStoredAsText="1"/>
  </ignoredErrors>
  <legacyDrawing xmlns:r="http://schemas.openxmlformats.org/officeDocument/2006/relationships" r:id="anysvml"/>
</worksheet>
</file>

<file path=xl/worksheets/sheet6.xml><?xml version="1.0" encoding="utf-8"?>
<worksheet xmlns="http://schemas.openxmlformats.org/spreadsheetml/2006/main">
  <sheetPr>
    <tabColor rgb="00BFBFBF"/>
    <outlinePr summaryBelow="1" summaryRight="1"/>
    <pageSetUpPr fitToPage="1"/>
  </sheetPr>
  <dimension ref="A1:K1082"/>
  <sheetViews>
    <sheetView showGridLines="0" zoomScale="95"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7" customWidth="1" min="2" max="2"/>
    <col width="9" customWidth="1" min="3" max="3"/>
    <col width="13" customWidth="1" min="4" max="4"/>
    <col width="11" customWidth="1" min="5" max="5"/>
    <col width="11" customWidth="1" min="6" max="6"/>
    <col width="11" customWidth="1" min="7" max="7"/>
    <col width="13" customWidth="1" min="8" max="8"/>
    <col width="13" customWidth="1" min="9" max="9"/>
    <col width="13" customWidth="1" min="10" max="10"/>
    <col width="70" customWidth="1" min="11" max="11"/>
  </cols>
  <sheetData>
    <row r="1" ht="30" customHeight="1">
      <c r="A1" s="35" t="inlineStr">
        <is>
          <t>CORNERSTONE LEAGUE</t>
        </is>
      </c>
    </row>
    <row r="2" ht="34" customHeight="1">
      <c r="A2" s="36" t="inlineStr">
        <is>
          <t>One row per investor; long and short forms of one house count once. Simple averages across their deals. Hit = share closing day 1 above the offer. Ex-pop legs run from the day-1 close.</t>
        </is>
      </c>
    </row>
    <row r="3">
      <c r="D3" s="241" t="inlineStr">
        <is>
          <t>VS OFFER (WITH POP)</t>
        </is>
      </c>
      <c r="H3" s="241" t="inlineStr">
        <is>
          <t>FROM DAY-1 CLOSE (EX-POP)</t>
        </is>
      </c>
    </row>
    <row r="4" ht="30" customHeight="1">
      <c r="A4" s="45" t="inlineStr">
        <is>
          <t>Investor</t>
        </is>
      </c>
      <c r="B4" s="45" t="inlineStr">
        <is>
          <t>Deals</t>
        </is>
      </c>
      <c r="C4" s="45" t="inlineStr">
        <is>
          <t>Day-1 hit</t>
        </is>
      </c>
      <c r="D4" s="45" t="inlineStr">
        <is>
          <t>Avg day-1 pop</t>
        </is>
      </c>
      <c r="E4" s="45" t="inlineStr">
        <is>
          <t>Avg 1w</t>
        </is>
      </c>
      <c r="F4" s="45" t="inlineStr">
        <is>
          <t>Avg 1m</t>
        </is>
      </c>
      <c r="G4" s="45" t="inlineStr">
        <is>
          <t>Avg 3m</t>
        </is>
      </c>
      <c r="H4" s="45" t="inlineStr">
        <is>
          <t>Avg 1w ex-pop</t>
        </is>
      </c>
      <c r="I4" s="45" t="inlineStr">
        <is>
          <t>Avg 1m ex-pop</t>
        </is>
      </c>
      <c r="J4" s="45" t="inlineStr">
        <is>
          <t>Avg 3m ex-pop</t>
        </is>
      </c>
      <c r="K4" s="45" t="inlineStr">
        <is>
          <t>Their deals</t>
        </is>
      </c>
    </row>
    <row r="5">
      <c r="A5" s="51" t="inlineStr">
        <is>
          <t>UBS Asset Management (Singapore) Ltd</t>
        </is>
      </c>
      <c r="B5" s="243" t="n">
        <v>38</v>
      </c>
      <c r="C5" s="245" t="n">
        <v>74</v>
      </c>
      <c r="D5" s="246" t="n">
        <v>37.3</v>
      </c>
      <c r="E5" s="246" t="n">
        <v>35.5</v>
      </c>
      <c r="F5" s="246" t="n">
        <v>27</v>
      </c>
      <c r="G5" s="246" t="n">
        <v>28.3</v>
      </c>
      <c r="H5" s="246" t="n">
        <v>-1.4</v>
      </c>
      <c r="I5" s="246" t="n">
        <v>-4.1</v>
      </c>
      <c r="J5" s="246" t="n">
        <v>-2</v>
      </c>
      <c r="K5" s="247" t="inlineStr">
        <is>
          <t>2150 NAYUKI; 2162 KEYMED BIO-B; 2137 BRII - B; 2216 BRONCUS-B; 2256 ABBISKO-B; 2235 MICROTECH MED-B; 2273 GUSHENGTANG; 2602 ONEWO; 2268 WUXI XDC; 0300 MIDEA GROUP; 2460 CR BEVERAGE; 0325 BLOKS; 1276 HENGRUI PHARMA; 3288 HAITIAN FLAV; 6603 IFBH; 6613 LENS; 2595 GENFLEET-B; 2259 ZIJIN GOLD INTL; 6031 SANY HEAVY IND; 3887 HASHKEY HLDGS; 6082 BIREN TECH; 9903 ILUVATAR COREX; 2675 EDGE MEDICAL-B; 0501 OMNIVISION; 2714 MUYUAN; 6809 MONTAGE TECH; 1989 DELTON; 6656 SIGENERGY; 3277 GPIXEL; 3296 HUAQIN; 1879 XIZHI TECH-P; 7666 METIS TECHBIO-P; 7688 TOPNC; 1081 DAJIN; 1191 CREALIGHTS; 0668 ANKER; 2475 LUXSHARE ICT; 0625 SHEIN-W</t>
        </is>
      </c>
    </row>
    <row r="6">
      <c r="A6" s="51" t="inlineStr">
        <is>
          <t>GF Fund Management Co., Ltd</t>
        </is>
      </c>
      <c r="B6" s="243" t="n">
        <v>36</v>
      </c>
      <c r="C6" s="245" t="n">
        <v>61</v>
      </c>
      <c r="D6" s="246" t="n">
        <v>25.9</v>
      </c>
      <c r="E6" s="246" t="n">
        <v>27.1</v>
      </c>
      <c r="F6" s="246" t="n">
        <v>14.8</v>
      </c>
      <c r="G6" s="246" t="n">
        <v>31.9</v>
      </c>
      <c r="H6" s="246" t="n">
        <v>-0.2</v>
      </c>
      <c r="I6" s="246" t="n">
        <v>-9</v>
      </c>
      <c r="J6" s="246" t="n">
        <v>3.3</v>
      </c>
      <c r="K6" s="247" t="inlineStr">
        <is>
          <t>2171 CARSGEN-B; 2150 NAYUKI; 2251 AIRDOC-B; 6633 QINGCI GAMES; 2246 GOGOX; 9863 LEAPMOTOR; 2420 ZIBUYU; 2415 MEDSCI; 6168 ZHOU LIU FU; 6603 IFBH; 3858 JIAXIN INTL RES; 2259 ZIJIN GOLD INTL; 0638 FIBOCOM; 9927 SERES; 2788 CHUANGXIN IND; 2513 KNOWLEDGE ATLAS; 2692 ZHAOWEI; 3355 FS.COM; 1021 HUAYAN ROBOTICS; 0068 MANYCORE TECH; 3277 GPIXEL; 7666 METIS TECHBIO-P; 6067 SENIOR MATERIAL; 6106 SEER TECH; 3661 SG MICRO; 1688 LINGYI ITECH; 9630 CFMEE; 6228 MERDEKAGOLD-DRS; 9637 ALEBUND-B; 6880 MOMENTA-W; 7687 EACON; 3752 ROKAE ROBOTICS; 2475 LUXSHARE ICT; 2249 NEXCHIP; 3223 INGENIC; 9856 LIGENT</t>
        </is>
      </c>
    </row>
    <row r="7">
      <c r="A7" s="51" t="inlineStr">
        <is>
          <t>Harvest International Premium Value (Secondary Market) Fund SPC</t>
        </is>
      </c>
      <c r="B7" s="243" t="n">
        <v>35</v>
      </c>
      <c r="C7" s="245" t="n">
        <v>54</v>
      </c>
      <c r="D7" s="246" t="n">
        <v>7.9</v>
      </c>
      <c r="E7" s="246" t="n">
        <v>11.9</v>
      </c>
      <c r="F7" s="246" t="n">
        <v>13.2</v>
      </c>
      <c r="G7" s="246" t="n">
        <v>15.4</v>
      </c>
      <c r="H7" s="246" t="n">
        <v>4.4</v>
      </c>
      <c r="I7" s="246" t="n">
        <v>5.4</v>
      </c>
      <c r="J7" s="246" t="n">
        <v>6.9</v>
      </c>
      <c r="K7" s="247" t="inlineStr">
        <is>
          <t>9858 YOURAN DAIRY; 6633 QINGCI GAMES; 6639 ARRAIL GROUP; 2179 RECBIO-B; 2325 YUNKANG GROUP; 9955 CLOUDR; 2172 MICROPORT NEURO; 9857 LINMON MEDIA; 9886 DINGDANG HEALTH; 2291 SCIENTECH; 1244 3D MEDICINES-B; 6955 BOAN BIOTECH-B; 2402 SINOHYTEC; 2373 BEAUTYFARM MED; 2415 MEDSCI; 2480 LUZHU BIOTECH-B; 2487 CUTIA-B; 1541 IMMUNEONCO-B; 6911 LANCANG TEA; 9879 MIGAO GROUP; 2465 LOPAL TECH; 2613 CONTIOCEAN; 2609 BAYZED HEALTH; 6603 IFBH; 2543 DAHON TECH; 2637 HAIXI PHARMA; 3696 INSILICO; 2715 ESTUN; 3268 MEIG; 2701 NSING TECH; 6067 SENIOR MATERIAL; 1956 WENGE AI; 3661 SG MICRO; 3952 LAIFUAL; 2249 NEXCHIP</t>
        </is>
      </c>
    </row>
    <row r="8">
      <c r="A8" s="51" t="inlineStr">
        <is>
          <t>Taikang Life Insurance Co., Ltd</t>
        </is>
      </c>
      <c r="B8" s="243" t="n">
        <v>30</v>
      </c>
      <c r="C8" s="245" t="n">
        <v>73</v>
      </c>
      <c r="D8" s="246" t="n">
        <v>28.9</v>
      </c>
      <c r="E8" s="246" t="n">
        <v>37.4</v>
      </c>
      <c r="F8" s="246" t="n">
        <v>31</v>
      </c>
      <c r="G8" s="246" t="n">
        <v>80.2</v>
      </c>
      <c r="H8" s="246" t="n">
        <v>4.3</v>
      </c>
      <c r="I8" s="246" t="n">
        <v>1.3</v>
      </c>
      <c r="J8" s="246" t="n">
        <v>33.1</v>
      </c>
      <c r="K8" s="247" t="inlineStr">
        <is>
          <t>2160 CARDIOFLOW-B; 1304 FORTIOR; 2525 HESAI-W; 2259 ZIJIN GOLD INTL; 6166 CIG; 2788 CHUANGXIN IND; 3696 INSILICO; 6082 BIREN TECH; 2513 KNOWLEDGE ATLAS; 0100 MINIMAX-WP; 6938 RIBOLIFE-B; 1768 BUSYMING; 9980 EASTROC; 6809 MONTAGE TECH; 0068 MANYCORE TECH; 3296 HUAQIN; 3388 CREALITY; 1081 DAJIN; 6132 HJ SCIENCE-B; 6067 SENIOR MATERIAL; 3661 SG MICRO; 1688 LINGYI ITECH; 6715 XUNLONG SCITECH; 0668 ANKER; 2475 LUXSHARE ICT; 6951 CCTC; 1377 DTECH; 2249 NEXCHIP; 0625 SHEIN-W; 9615 MECH-MIND ROBOT</t>
        </is>
      </c>
    </row>
    <row r="9">
      <c r="A9" s="51" t="inlineStr">
        <is>
          <t>HHLR Advisors, Ltd</t>
        </is>
      </c>
      <c r="B9" s="243" t="n">
        <v>28</v>
      </c>
      <c r="C9" s="245" t="n">
        <v>68</v>
      </c>
      <c r="D9" s="246" t="n">
        <v>38.3</v>
      </c>
      <c r="E9" s="246" t="n">
        <v>34.5</v>
      </c>
      <c r="F9" s="246" t="n">
        <v>20.4</v>
      </c>
      <c r="G9" s="246" t="n">
        <v>15</v>
      </c>
      <c r="H9" s="246" t="n">
        <v>-2.2</v>
      </c>
      <c r="I9" s="246" t="n">
        <v>-10</v>
      </c>
      <c r="J9" s="246" t="n">
        <v>-14.3</v>
      </c>
      <c r="K9" s="247" t="inlineStr">
        <is>
          <t>2197 CLOVER BIO-B; 2602 ONEWO; 2097 MIXUE GROUP; 1276 HENGRUI PHARMA; 3288 HAITIAN FLAV; 2525 HESAI-W; 9973 CHERY AUTO; 2259 ZIJIN GOLD INTL; 2408 XIAO NOODLES; 3200 HANS CNC; 9981 WOER; 2692 ZHAOWEI; 1021 HUAYAN ROBOTICS; 6656 SIGENERGY; 3277 GPIXEL; 2476 VGT; 1879 XIZHI TECH-P; 7666 METIS TECHBIO-P; 7688 TOPNC; 1081 DAJIN; 6106 SEER TECH; 3661 SG MICRO; 9630 CFMEE; 0537 RIGOL; 2475 LUXSHARE ICT; 1377 DTECH; 2249 NEXCHIP; 3308 ZJ INNOLIGHT</t>
        </is>
      </c>
    </row>
    <row r="10">
      <c r="A10" s="51" t="inlineStr">
        <is>
          <t>CPE Greater China Enterprises Growth Fund</t>
        </is>
      </c>
      <c r="B10" s="243" t="n">
        <v>21</v>
      </c>
      <c r="C10" s="245" t="n">
        <v>67</v>
      </c>
      <c r="D10" s="246" t="n">
        <v>46</v>
      </c>
      <c r="E10" s="246" t="n">
        <v>47.5</v>
      </c>
      <c r="F10" s="246" t="n">
        <v>39.4</v>
      </c>
      <c r="G10" s="246" t="n">
        <v>42.1</v>
      </c>
      <c r="H10" s="246" t="n">
        <v>-0.2</v>
      </c>
      <c r="I10" s="246" t="n">
        <v>-1.9</v>
      </c>
      <c r="J10" s="246" t="n">
        <v>-2.8</v>
      </c>
      <c r="K10" s="247" t="inlineStr">
        <is>
          <t>2160 CARDIOFLOW-B; 6127 JOINN; 6669 ACOTEC-B; 0300 MIDEA GROUP; 1318 MAO GEPING; 2259 ZIJIN GOLD INTL; 7618 JD INDUSTRIALS; 1989 DELTON; 6656 SIGENERGY; 3277 GPIXEL; 2476 VGT; 1879 XIZHI TECH-P; 3388 CREALITY; 1081 DAJIN; 3661 SG MICRO; 9630 CFMEE; 0537 RIGOL; 2475 LUXSHARE ICT; 6951 CCTC; 1377 DTECH; 3228 KINWONG</t>
        </is>
      </c>
    </row>
    <row r="11">
      <c r="A11" s="51" t="inlineStr">
        <is>
          <t>Fullgoal Fund Management Co., Ltd</t>
        </is>
      </c>
      <c r="B11" s="243" t="n">
        <v>20</v>
      </c>
      <c r="C11" s="245" t="n">
        <v>95</v>
      </c>
      <c r="D11" s="246" t="n">
        <v>63.9</v>
      </c>
      <c r="E11" s="246" t="n">
        <v>63.9</v>
      </c>
      <c r="F11" s="246" t="n">
        <v>50.9</v>
      </c>
      <c r="G11" s="246" t="n">
        <v>60.6</v>
      </c>
      <c r="H11" s="246" t="n">
        <v>1.5</v>
      </c>
      <c r="I11" s="246" t="n">
        <v>-4.6</v>
      </c>
      <c r="J11" s="246" t="n">
        <v>0.4</v>
      </c>
      <c r="K11" s="247" t="inlineStr">
        <is>
          <t>2219 CHAOJU EYE CARE; 0325 BLOKS; 9606 DUALITYBIO-B; 3858 JIAXIN INTL RES; 2595 GENFLEET-B; 2259 ZIJIN GOLD INTL; 2698 SOFTCARE; 2788 CHUANGXIN IND; 3696 INSILICO; 6082 BIREN TECH; 2768 GON TECHNOLOGY; 3200 HANS CNC; 6656 SIGENERGY; 3277 GPIXEL; 7666 METIS TECHBIO-P; 7688 TOPNC; 1081 DAJIN; 1779 LONGBIO-B; 6067 SENIOR MATERIAL; 9630 CFMEE</t>
        </is>
      </c>
    </row>
    <row r="12">
      <c r="A12" s="51" t="inlineStr">
        <is>
          <t>Greenwoods Asset Management Hong Kong Limited</t>
        </is>
      </c>
      <c r="B12" s="243" t="n">
        <v>20</v>
      </c>
      <c r="C12" s="245" t="n">
        <v>75</v>
      </c>
      <c r="D12" s="246" t="n">
        <v>44.7</v>
      </c>
      <c r="E12" s="246" t="n">
        <v>48.9</v>
      </c>
      <c r="F12" s="246" t="n">
        <v>42.1</v>
      </c>
      <c r="G12" s="246" t="n">
        <v>46.3</v>
      </c>
      <c r="H12" s="246" t="n">
        <v>2.7</v>
      </c>
      <c r="I12" s="246" t="n">
        <v>1.3</v>
      </c>
      <c r="J12" s="246" t="n">
        <v>9.9</v>
      </c>
      <c r="K12" s="247" t="inlineStr">
        <is>
          <t>2285 CHERVON; 9878 HUITONGDA NET; 0325 BLOKS; 2050 SANHUA; 2648 ANJOY FOOD; 9973 CHERY AUTO; 2259 ZIJIN GOLD INTL; 6687 JST GROUP; 6031 SANY HEAVY IND; 2788 CHUANGXIN IND; 3986 GIGADEVICE; 1989 DELTON; 6656 SIGENERGY; 3277 GPIXEL; 2476 VGT; 1879 XIZHI TECH-P; 1688 LINGYI ITECH; 0668 ANKER; 2475 LUXSHARE ICT; 0625 SHEIN-W</t>
        </is>
      </c>
    </row>
    <row r="13">
      <c r="A13" s="51" t="inlineStr">
        <is>
          <t>3W Fund Management Limited</t>
        </is>
      </c>
      <c r="B13" s="243" t="n">
        <v>19</v>
      </c>
      <c r="C13" s="245" t="n">
        <v>79</v>
      </c>
      <c r="D13" s="246" t="n">
        <v>54.2</v>
      </c>
      <c r="E13" s="246" t="n">
        <v>57.4</v>
      </c>
      <c r="F13" s="246" t="n">
        <v>42.3</v>
      </c>
      <c r="G13" s="246" t="n">
        <v>50.9</v>
      </c>
      <c r="H13" s="246" t="n">
        <v>1.8</v>
      </c>
      <c r="I13" s="246" t="n">
        <v>-5</v>
      </c>
      <c r="J13" s="246" t="n">
        <v>15.7</v>
      </c>
      <c r="K13" s="247" t="inlineStr">
        <is>
          <t>2158 YIDU TECH; 2160 CARDIOFLOW-B; 6609 HEARTCARE-B; 2285 CHERVON; 2050 SANHUA; 1304 FORTIOR; 6687 JST GROUP; 6166 CIG; 2676 NOVOSENSE; 6082 BIREN TECH; 2513 KNOWLEDGE ATLAS; 6656 SIGENERGY; 3277 GPIXEL; 3296 HUAQIN; 1879 XIZHI TECH-P; 7688 TOPNC; 6106 SEER TECH; 1688 LINGYI ITECH; 3228 KINWONG</t>
        </is>
      </c>
    </row>
    <row r="14">
      <c r="A14" s="51" t="inlineStr">
        <is>
          <t>Perseverance Asset Management International (Singapore) Pte. Ltd</t>
        </is>
      </c>
      <c r="B14" s="243" t="n">
        <v>18</v>
      </c>
      <c r="C14" s="245" t="n">
        <v>67</v>
      </c>
      <c r="D14" s="246" t="n">
        <v>28.8</v>
      </c>
      <c r="E14" s="246" t="n">
        <v>40.8</v>
      </c>
      <c r="F14" s="246" t="n">
        <v>35.2</v>
      </c>
      <c r="G14" s="246" t="n">
        <v>96.8</v>
      </c>
      <c r="H14" s="246" t="n">
        <v>8.699999999999999</v>
      </c>
      <c r="I14" s="246" t="n">
        <v>4.4</v>
      </c>
      <c r="J14" s="246" t="n">
        <v>45.8</v>
      </c>
      <c r="K14" s="247" t="inlineStr">
        <is>
          <t>6669 ACOTEC-B; 9887 LEADS BIOLABS-B; 2259 ZIJIN GOLD INTL; 6687 JST GROUP; 6031 SANY HEAVY IND; 2676 NOVOSENSE; 2513 KNOWLEDGE ATLAS; 0100 MINIMAX-WP; 2714 MUYUAN; 2692 ZHAOWEI; 6656 SIGENERGY; 3277 GPIXEL; 3296 HUAQIN; 1191 CREALIGHTS; 2475 LUXSHARE ICT; 2249 NEXCHIP; 3308 ZJ INNOLIGHT; 3223 INGENIC</t>
        </is>
      </c>
    </row>
    <row r="15">
      <c r="A15" s="51" t="inlineStr">
        <is>
          <t>Mirae Asset Securities Co., Ltd</t>
        </is>
      </c>
      <c r="B15" s="243" t="n">
        <v>17</v>
      </c>
      <c r="C15" s="245" t="n">
        <v>71</v>
      </c>
      <c r="D15" s="246" t="n">
        <v>67.09999999999999</v>
      </c>
      <c r="E15" s="246" t="n">
        <v>75.90000000000001</v>
      </c>
      <c r="F15" s="246" t="n">
        <v>58.3</v>
      </c>
      <c r="G15" s="246" t="n">
        <v>72.8</v>
      </c>
      <c r="H15" s="246" t="n">
        <v>4.1</v>
      </c>
      <c r="I15" s="246" t="n">
        <v>-3.1</v>
      </c>
      <c r="J15" s="246" t="n">
        <v>7.3</v>
      </c>
      <c r="K15" s="247" t="inlineStr">
        <is>
          <t>2050 SANHUA; 2643 CAOCAO INC; 2259 ZIJIN GOLD INTL; 9927 SERES; 0100 MINIMAX-WP; 6809 MONTAGE TECH; 2692 ZHAOWEI; 0068 MANYCORE TECH; 3277 GPIXEL; 2476 VGT; 1879 XIZHI TECH-P; 7666 METIS TECHBIO-P; 7688 TOPNC; 6715 XUNLONG SCITECH; 2475 LUXSHARE ICT; 3308 ZJ INNOLIGHT; 9856 LIGENT</t>
        </is>
      </c>
    </row>
    <row r="16">
      <c r="A16" s="51" t="inlineStr">
        <is>
          <t>China Universal Asset Management (Hong Kong) Company Limited</t>
        </is>
      </c>
      <c r="B16" s="243" t="n">
        <v>16</v>
      </c>
      <c r="C16" s="245" t="n">
        <v>69</v>
      </c>
      <c r="D16" s="246" t="n">
        <v>54.1</v>
      </c>
      <c r="E16" s="246" t="n">
        <v>63</v>
      </c>
      <c r="F16" s="246" t="n">
        <v>45.9</v>
      </c>
      <c r="G16" s="246" t="n">
        <v>105.8</v>
      </c>
      <c r="H16" s="246" t="n">
        <v>1.1</v>
      </c>
      <c r="I16" s="246" t="n">
        <v>-6.4</v>
      </c>
      <c r="J16" s="246" t="n">
        <v>19</v>
      </c>
      <c r="K16" s="247" t="inlineStr">
        <is>
          <t>2155 MORIMATSU INTL; 2150 NAYUKI; 6669 ACOTEC-B; 6990 SKB BIO-B; 9606 DUALITYBIO-B; 2595 GENFLEET-B; 2259 ZIJIN GOLD INTL; 6687 JST GROUP; 9903 ILUVATAR COREX; 0100 MINIMAX-WP; 9630 CFMEE; 9637 ALEBUND-B; 2475 LUXSHARE ICT; 6951 CCTC; 2249 NEXCHIP; 3223 INGENIC</t>
        </is>
      </c>
    </row>
    <row r="17">
      <c r="A17" s="51" t="inlineStr">
        <is>
          <t>WT Asset Management Limited</t>
        </is>
      </c>
      <c r="B17" s="243" t="n">
        <v>16</v>
      </c>
      <c r="C17" s="245" t="n">
        <v>62</v>
      </c>
      <c r="D17" s="246" t="n">
        <v>16.8</v>
      </c>
      <c r="E17" s="246" t="n">
        <v>22.8</v>
      </c>
      <c r="F17" s="246" t="n">
        <v>13.5</v>
      </c>
      <c r="G17" s="246" t="n">
        <v>59.8</v>
      </c>
      <c r="H17" s="246" t="n">
        <v>4.7</v>
      </c>
      <c r="I17" s="246" t="n">
        <v>-3.1</v>
      </c>
      <c r="J17" s="246" t="n">
        <v>34.7</v>
      </c>
      <c r="K17" s="247" t="inlineStr">
        <is>
          <t>2160 CARDIOFLOW-B; 2171 CARSGEN-B; 2251 AIRDOC-B; 2279 YONGHE MEDICAL; 6936 SF HOLDING; 2525 HESAI-W; 6687 JST GROUP; 6031 SANY HEAVY IND; 6082 BIREN TECH; 2513 KNOWLEDGE ATLAS; 3355 FS.COM; 3277 GPIXEL; 0668 ANKER; 2475 LUXSHARE ICT; 2249 NEXCHIP; 3308 ZJ INNOLIGHT</t>
        </is>
      </c>
    </row>
    <row r="18">
      <c r="A18" s="51" t="inlineStr">
        <is>
          <t>ICBC Wealth Management Co., Ltd</t>
        </is>
      </c>
      <c r="B18" s="243" t="n">
        <v>15</v>
      </c>
      <c r="C18" s="245" t="n">
        <v>67</v>
      </c>
      <c r="D18" s="246" t="n">
        <v>59.2</v>
      </c>
      <c r="E18" s="246" t="n">
        <v>50.7</v>
      </c>
      <c r="F18" s="246" t="n">
        <v>38.1</v>
      </c>
      <c r="G18" s="246" t="n">
        <v>25.3</v>
      </c>
      <c r="H18" s="246" t="n">
        <v>-5.1</v>
      </c>
      <c r="I18" s="246" t="n">
        <v>-7.3</v>
      </c>
      <c r="J18" s="246" t="n">
        <v>-13.8</v>
      </c>
      <c r="K18" s="247" t="inlineStr">
        <is>
          <t>2050 SANHUA; 6603 IFBH; 6166 CIG; 3881 CIDI; 1989 DELTON; 6656 SIGENERGY; 3277 GPIXEL; 1879 XIZHI TECH-P; 7666 METIS TECHBIO-P; 1081 DAJIN; 3661 SG MICRO; 6715 XUNLONG SCITECH; 6951 CCTC; 2249 NEXCHIP; 3223 INGENIC</t>
        </is>
      </c>
    </row>
    <row r="19">
      <c r="A19" s="51" t="inlineStr">
        <is>
          <t>Lake Bleu Prime Healthcare Master Fund Limited</t>
        </is>
      </c>
      <c r="B19" s="243" t="n">
        <v>15</v>
      </c>
      <c r="C19" s="245" t="n">
        <v>60</v>
      </c>
      <c r="D19" s="246" t="n">
        <v>30.1</v>
      </c>
      <c r="E19" s="246" t="n">
        <v>25.6</v>
      </c>
      <c r="F19" s="246" t="n">
        <v>6.8</v>
      </c>
      <c r="G19" s="246" t="n">
        <v>2.9</v>
      </c>
      <c r="H19" s="246" t="n">
        <v>-2.8</v>
      </c>
      <c r="I19" s="246" t="n">
        <v>-16.4</v>
      </c>
      <c r="J19" s="246" t="n">
        <v>-24.3</v>
      </c>
      <c r="K19" s="247" t="inlineStr">
        <is>
          <t>2160 CARDIOFLOW-B; 2170 BASECARE-B; 6127 JOINN; 2190 ZYLOXTB-B; 2162 KEYMED BIO-B; 6609 HEARTCARE-B; 2216 BRONCUS-B; 2256 ABBISKO-B; 2235 MICROTECH MED-B; 2251 AIRDOC-B; 2279 YONGHE MEDICAL; 2268 WUXI XDC; 9606 DUALITYBIO-B; 2595 GENFLEET-B; 7666 METIS TECHBIO-P</t>
        </is>
      </c>
    </row>
    <row r="20">
      <c r="A20" s="51" t="inlineStr">
        <is>
          <t>OrbiMed Genesis Master Fund, L.P</t>
        </is>
      </c>
      <c r="B20" s="243" t="n">
        <v>15</v>
      </c>
      <c r="C20" s="245" t="n">
        <v>53</v>
      </c>
      <c r="D20" s="246" t="n">
        <v>27.2</v>
      </c>
      <c r="E20" s="246" t="n">
        <v>26</v>
      </c>
      <c r="F20" s="246" t="n">
        <v>13.8</v>
      </c>
      <c r="G20" s="246" t="n">
        <v>2.3</v>
      </c>
      <c r="H20" s="246" t="n">
        <v>-1.2</v>
      </c>
      <c r="I20" s="246" t="n">
        <v>-10.2</v>
      </c>
      <c r="J20" s="246" t="n">
        <v>-17.9</v>
      </c>
      <c r="K20" s="247" t="inlineStr">
        <is>
          <t>2158 YIDU TECH; 2170 BASECARE-B; 6127 JOINN; 6622 ZHAOKE OPHTH-B; 2192 MEDLIVE; 2256 ABBISKO-B; 2235 MICROTECH MED-B; 2251 AIRDOC-B; 2197 CLOVER BIO-B; 6639 ARRAIL GROUP; 2105 LAEKNA-B; 9887 LEADS BIOLABS-B; 2595 GENFLEET-B; 2675 EDGE MEDICAL-B; 1779 LONGBIO-B</t>
        </is>
      </c>
    </row>
    <row r="21">
      <c r="A21" s="51" t="inlineStr">
        <is>
          <t>IvyRock Asset Management (HK) Limited</t>
        </is>
      </c>
      <c r="B21" s="243" t="n">
        <v>14</v>
      </c>
      <c r="C21" s="245" t="n">
        <v>57</v>
      </c>
      <c r="D21" s="246" t="n">
        <v>12.9</v>
      </c>
      <c r="E21" s="246" t="n">
        <v>13.3</v>
      </c>
      <c r="F21" s="246" t="n">
        <v>8.699999999999999</v>
      </c>
      <c r="G21" s="246" t="n">
        <v>19.5</v>
      </c>
      <c r="H21" s="246" t="n">
        <v>-1.2</v>
      </c>
      <c r="I21" s="246" t="n">
        <v>-5.6</v>
      </c>
      <c r="J21" s="246" t="n">
        <v>-3</v>
      </c>
      <c r="K21" s="247" t="inlineStr">
        <is>
          <t>2170 BASECARE-B; 2171 CARSGEN-B; 2190 ZYLOXTB-B; 9960 KINDSTAR GLOBAL; 2251 AIRDOC-B; 2279 YONGHE MEDICAL; 2285 CHERVON; 1318 MAO GEPING; 7618 JD INDUSTRIALS; 6938 RIBOLIFE-B; 3296 HUAQIN; 6951 CCTC; 2249 NEXCHIP; 3757 ROBOTECHNIK</t>
        </is>
      </c>
    </row>
    <row r="22">
      <c r="A22" s="51" t="inlineStr">
        <is>
          <t>E Fund Management Co., Ltd</t>
        </is>
      </c>
      <c r="B22" s="243" t="n">
        <v>13</v>
      </c>
      <c r="C22" s="245" t="n">
        <v>77</v>
      </c>
      <c r="D22" s="246" t="n">
        <v>45</v>
      </c>
      <c r="E22" s="246" t="n">
        <v>65.5</v>
      </c>
      <c r="F22" s="246" t="n">
        <v>65.09999999999999</v>
      </c>
      <c r="G22" s="246" t="n">
        <v>112.1</v>
      </c>
      <c r="H22" s="246" t="n">
        <v>10.2</v>
      </c>
      <c r="I22" s="246" t="n">
        <v>4.7</v>
      </c>
      <c r="J22" s="246" t="n">
        <v>23.7</v>
      </c>
      <c r="K22" s="247" t="inlineStr">
        <is>
          <t>9606 DUALITYBIO-B; 9887 LEADS BIOLABS-B; 2698 SOFTCARE; 3696 INSILICO; 0100 MINIMAX-WP; 3277 GPIXEL; 1191 CREALIGHTS; 9637 ALEBUND-B; 3952 LAIFUAL; 1377 DTECH; 9856 LIGENT; 3228 KINWONG; 3757 ROBOTECHNIK</t>
        </is>
      </c>
    </row>
    <row r="23">
      <c r="A23" s="51" t="inlineStr">
        <is>
          <t>Oaktree Capital Management, L.P</t>
        </is>
      </c>
      <c r="B23" s="243" t="n">
        <v>13</v>
      </c>
      <c r="C23" s="245" t="n">
        <v>46</v>
      </c>
      <c r="D23" s="246" t="n">
        <v>8.9</v>
      </c>
      <c r="E23" s="246" t="n">
        <v>20.4</v>
      </c>
      <c r="F23" s="246" t="n">
        <v>20.1</v>
      </c>
      <c r="G23" s="246" t="n">
        <v>37.7</v>
      </c>
      <c r="H23" s="246" t="n">
        <v>10.3</v>
      </c>
      <c r="I23" s="246" t="n">
        <v>8.199999999999999</v>
      </c>
      <c r="J23" s="246" t="n">
        <v>20.2</v>
      </c>
      <c r="K23" s="247" t="inlineStr">
        <is>
          <t>2618 JD LOGISTICS; 1880 CTG DUTY-FREE; 6936 SF HOLDING; 1276 HENGRUI PHARMA; 6613 LENS; 2259 ZIJIN GOLD INTL; 6031 SANY HEAVY IND; 3696 INSILICO; 0470 WUXI LEAD; 3952 LAIFUAL; 6880 MOMENTA-W; 2475 LUXSHARE ICT; 3308 ZJ INNOLIGHT</t>
        </is>
      </c>
    </row>
    <row r="24">
      <c r="A24" s="51" t="inlineStr">
        <is>
          <t>BlackRock</t>
        </is>
      </c>
      <c r="B24" s="243" t="n">
        <v>12</v>
      </c>
      <c r="C24" s="245" t="n">
        <v>67</v>
      </c>
      <c r="D24" s="246" t="n">
        <v>71.90000000000001</v>
      </c>
      <c r="E24" s="246" t="n">
        <v>75.2</v>
      </c>
      <c r="F24" s="246" t="n">
        <v>42.9</v>
      </c>
      <c r="G24" s="246" t="n">
        <v>25</v>
      </c>
      <c r="H24" s="246" t="n">
        <v>1.4</v>
      </c>
      <c r="I24" s="246" t="n">
        <v>-11.9</v>
      </c>
      <c r="J24" s="246" t="n">
        <v>-23.9</v>
      </c>
      <c r="K24" s="247" t="inlineStr">
        <is>
          <t>1024 KUAISHOU-W; 9959 LINKLOGIS–W; 9960 KINDSTAR GLOBAL; 2256 ABBISKO-B; 2259 ZIJIN GOLD INTL; 6031 SANY HEAVY IND; 1768 BUSYMING; 1879 XIZHI TECH-P; 7666 METIS TECHBIO-P; 6715 XUNLONG SCITECH; 6880 MOMENTA-W; 3308 ZJ INNOLIGHT</t>
        </is>
      </c>
    </row>
    <row r="25">
      <c r="A25" s="51" t="inlineStr">
        <is>
          <t>Huang River Investment Limited</t>
        </is>
      </c>
      <c r="B25" s="243" t="n">
        <v>12</v>
      </c>
      <c r="C25" s="245" t="n">
        <v>67</v>
      </c>
      <c r="D25" s="246" t="n">
        <v>42.6</v>
      </c>
      <c r="E25" s="246" t="n">
        <v>34.7</v>
      </c>
      <c r="F25" s="246" t="n">
        <v>31.9</v>
      </c>
      <c r="G25" s="246" t="n">
        <v>64.8</v>
      </c>
      <c r="H25" s="246" t="n">
        <v>-3.8</v>
      </c>
      <c r="I25" s="246" t="n">
        <v>-4.4</v>
      </c>
      <c r="J25" s="246" t="n">
        <v>17.5</v>
      </c>
      <c r="K25" s="247" t="inlineStr">
        <is>
          <t>1519 J&amp;T EXPRESS-W; 6181 LAOPU GOLD; 1364 GUMING; 9887 LEADS BIOLABS-B; 2718 MININGLAMP-W; 2675 EDGE MEDICAL-B; 9980 EASTROC; 7630 IMPACT THERAP-B; 9637 ALEBUND-B; 2475 LUXSHARE ICT; 6951 CCTC; 0625 SHEIN-W</t>
        </is>
      </c>
    </row>
    <row r="26">
      <c r="A26" s="51" t="inlineStr">
        <is>
          <t>GIC Private Limited</t>
        </is>
      </c>
      <c r="B26" s="243" t="n">
        <v>12</v>
      </c>
      <c r="C26" s="245" t="n">
        <v>67</v>
      </c>
      <c r="D26" s="246" t="n">
        <v>38.1</v>
      </c>
      <c r="E26" s="246" t="n">
        <v>40.4</v>
      </c>
      <c r="F26" s="246" t="n">
        <v>25.5</v>
      </c>
      <c r="G26" s="246" t="n">
        <v>29.5</v>
      </c>
      <c r="H26" s="246" t="n">
        <v>-0.4</v>
      </c>
      <c r="I26" s="246" t="n">
        <v>-6.9</v>
      </c>
      <c r="J26" s="246" t="n">
        <v>-5.8</v>
      </c>
      <c r="K26" s="247" t="inlineStr">
        <is>
          <t>2160 CARDIOFLOW-B; 1024 KUAISHOU-W; 6622 ZHAOKE OPHTH-B; 2192 MEDLIVE; 1276 HENGRUI PHARMA; 3288 HAITIAN FLAV; 2050 SANHUA; 2259 ZIJIN GOLD INTL; 1081 DAJIN; 3661 SG MICRO; 9637 ALEBUND-B; 2475 LUXSHARE ICT</t>
        </is>
      </c>
    </row>
    <row r="27">
      <c r="A27" s="51" t="inlineStr">
        <is>
          <t>Boyu Capital Opportunities Master Fund</t>
        </is>
      </c>
      <c r="B27" s="243" t="n">
        <v>12</v>
      </c>
      <c r="C27" s="245" t="n">
        <v>50</v>
      </c>
      <c r="D27" s="246" t="n">
        <v>18.1</v>
      </c>
      <c r="E27" s="246" t="n">
        <v>14.8</v>
      </c>
      <c r="F27" s="246" t="n">
        <v>20</v>
      </c>
      <c r="G27" s="246" t="n">
        <v>-10.1</v>
      </c>
      <c r="H27" s="246" t="n">
        <v>-2.5</v>
      </c>
      <c r="I27" s="246" t="n">
        <v>3.2</v>
      </c>
      <c r="J27" s="246" t="n">
        <v>-26.4</v>
      </c>
      <c r="K27" s="247" t="inlineStr">
        <is>
          <t>2190 ZYLOXTB-B; 2162 KEYMED BIO-B; 2137 BRII - B; 6609 HEARTCARE-B; 2235 MICROTECH MED-B; 2273 GUSHENGTANG; 6633 QINGCI GAMES; 3277 GPIXEL; 7688 TOPNC; 3388 CREALITY; 6880 MOMENTA-W; 3308 ZJ INNOLIGHT</t>
        </is>
      </c>
    </row>
    <row r="28">
      <c r="A28" s="51" t="inlineStr">
        <is>
          <t>Sage Partners Master Fund</t>
        </is>
      </c>
      <c r="B28" s="243" t="n">
        <v>12</v>
      </c>
      <c r="C28" s="245" t="n">
        <v>58</v>
      </c>
      <c r="D28" s="246" t="n">
        <v>16.1</v>
      </c>
      <c r="E28" s="246" t="n">
        <v>14.2</v>
      </c>
      <c r="F28" s="246" t="n">
        <v>25.4</v>
      </c>
      <c r="G28" s="246" t="n">
        <v>-0.4</v>
      </c>
      <c r="H28" s="246" t="n">
        <v>0.1</v>
      </c>
      <c r="I28" s="246" t="n">
        <v>15.5</v>
      </c>
      <c r="J28" s="246" t="n">
        <v>-5.9</v>
      </c>
      <c r="K28" s="247" t="inlineStr">
        <is>
          <t>2190 ZYLOXTB-B; 2162 KEYMED BIO-B; 2137 BRII - B; 6609 HEARTCARE-B; 2235 MICROTECH MED-B; 2273 GUSHENGTANG; 9887 LEADS BIOLABS-B; 3378 HANXBIO-B; 6600 ONEROBOTICS; 2675 EDGE MEDICAL-B; 7666 METIS TECHBIO-P; 6132 HJ SCIENCE-B</t>
        </is>
      </c>
    </row>
    <row r="29">
      <c r="A29" s="51" t="inlineStr">
        <is>
          <t>Athos Capital Limited</t>
        </is>
      </c>
      <c r="B29" s="243" t="n">
        <v>12</v>
      </c>
      <c r="C29" s="245" t="n">
        <v>42</v>
      </c>
      <c r="D29" s="246" t="n">
        <v>1.3</v>
      </c>
      <c r="E29" s="246" t="n">
        <v>-1.2</v>
      </c>
      <c r="F29" s="246" t="n">
        <v>-2.5</v>
      </c>
      <c r="G29" s="246" t="n">
        <v>-12.7</v>
      </c>
      <c r="H29" s="246" t="n">
        <v>-2.4</v>
      </c>
      <c r="I29" s="246" t="n">
        <v>-3.7</v>
      </c>
      <c r="J29" s="246" t="n">
        <v>-14</v>
      </c>
      <c r="K29" s="247" t="inlineStr">
        <is>
          <t>2190 ZYLOXTB-B; 2137 BRII - B; 9960 KINDSTAR GLOBAL; 6669 ACOTEC-B; 2197 CLOVER BIO-B; 2279 YONGHE MEDICAL; 2602 ONEWO; 0300 MIDEA GROUP; 2460 CR BEVERAGE; 2026 PONY-W; 1377 DTECH; 3308 ZJ INNOLIGHT</t>
        </is>
      </c>
    </row>
    <row r="30">
      <c r="A30" s="51" t="inlineStr">
        <is>
          <t>Aspex Master Fund</t>
        </is>
      </c>
      <c r="B30" s="243" t="n">
        <v>11</v>
      </c>
      <c r="C30" s="245" t="n">
        <v>55</v>
      </c>
      <c r="D30" s="246" t="n">
        <v>56.9</v>
      </c>
      <c r="E30" s="246" t="n">
        <v>69.09999999999999</v>
      </c>
      <c r="F30" s="246" t="n">
        <v>51.9</v>
      </c>
      <c r="G30" s="246" t="n">
        <v>98.09999999999999</v>
      </c>
      <c r="H30" s="246" t="n">
        <v>8.300000000000001</v>
      </c>
      <c r="I30" s="246" t="n">
        <v>0.5</v>
      </c>
      <c r="J30" s="246" t="n">
        <v>28.1</v>
      </c>
      <c r="K30" s="247" t="inlineStr">
        <is>
          <t>6609 HEARTCARE-B; 2252 MEDBOT-B; 1519 J&amp;T EXPRESS-W; 6082 BIREN TECH; 0100 MINIMAX-WP; 6809 MONTAGE TECH; 0470 WUXI LEAD; 1879 XIZHI TECH-P; 0668 ANKER; 1377 DTECH; 3308 ZJ INNOLIGHT</t>
        </is>
      </c>
    </row>
    <row r="31">
      <c r="A31" s="51" t="inlineStr">
        <is>
          <t>PSBC Wealth Management Co., Ltd</t>
        </is>
      </c>
      <c r="B31" s="243" t="n">
        <v>11</v>
      </c>
      <c r="C31" s="245" t="n">
        <v>45</v>
      </c>
      <c r="D31" s="246" t="n">
        <v>11.4</v>
      </c>
      <c r="E31" s="246" t="n">
        <v>12.5</v>
      </c>
      <c r="F31" s="246" t="n">
        <v>5</v>
      </c>
      <c r="G31" s="246" t="n">
        <v>28.9</v>
      </c>
      <c r="H31" s="246" t="n">
        <v>-0</v>
      </c>
      <c r="I31" s="246" t="n">
        <v>-5.4</v>
      </c>
      <c r="J31" s="246" t="n">
        <v>8.199999999999999</v>
      </c>
      <c r="K31" s="247" t="inlineStr">
        <is>
          <t>0300 MIDEA GROUP; 2050 SANHUA; 2580 AUX ELECTRIC; 9973 CHERY AUTO; 9927 SERES; 0699 JOYSON ELEC; 0501 OMNIVISION; 6809 MONTAGE TECH; 1081 DAJIN; 3661 SG MICRO; 2249 NEXCHIP</t>
        </is>
      </c>
    </row>
    <row r="32">
      <c r="A32" s="51" t="inlineStr">
        <is>
          <t>Shanghai Greenwoods Asset Management Co., Ltd (上海 景林資產管理</t>
        </is>
      </c>
      <c r="B32" s="243" t="n">
        <v>10</v>
      </c>
      <c r="C32" s="245" t="n">
        <v>80</v>
      </c>
      <c r="D32" s="246" t="n">
        <v>33.9</v>
      </c>
      <c r="E32" s="246" t="n">
        <v>40.1</v>
      </c>
      <c r="F32" s="246" t="n">
        <v>45.7</v>
      </c>
      <c r="G32" s="246" t="n">
        <v>55.9</v>
      </c>
      <c r="H32" s="246" t="n">
        <v>4.5</v>
      </c>
      <c r="I32" s="246" t="n">
        <v>9.699999999999999</v>
      </c>
      <c r="J32" s="246" t="n">
        <v>17.6</v>
      </c>
      <c r="K32" s="247" t="inlineStr">
        <is>
          <t>2050 SANHUA; 2648 ANJOY FOOD; 9973 CHERY AUTO; 2259 ZIJIN GOLD INTL; 2788 CHUANGXIN IND; 6082 BIREN TECH; 9981 WOER; 1989 DELTON; 3277 GPIXEL; 6715 XUNLONG SCITECH</t>
        </is>
      </c>
    </row>
    <row r="33">
      <c r="A33" s="51" t="inlineStr">
        <is>
          <t>Morgan Stanley &amp; Co. International plc</t>
        </is>
      </c>
      <c r="B33" s="243" t="n">
        <v>10</v>
      </c>
      <c r="C33" s="245" t="n">
        <v>60</v>
      </c>
      <c r="D33" s="246" t="n">
        <v>32.7</v>
      </c>
      <c r="E33" s="246" t="n">
        <v>42.9</v>
      </c>
      <c r="F33" s="246" t="n">
        <v>30.3</v>
      </c>
      <c r="G33" s="246" t="n">
        <v>56.1</v>
      </c>
      <c r="H33" s="246" t="n">
        <v>4.2</v>
      </c>
      <c r="I33" s="246" t="n">
        <v>-1.6</v>
      </c>
      <c r="J33" s="246" t="n">
        <v>18.1</v>
      </c>
      <c r="K33" s="247" t="inlineStr">
        <is>
          <t>1024 KUAISHOU-W; 6936 SF HOLDING; 2050 SANHUA; 6166 CIG; 3200 HANS CNC; 6809 MONTAGE TECH; 0470 WUXI LEAD; 1021 HUAYAN ROBOTICS; 2476 VGT; 1688 LINGYI ITECH</t>
        </is>
      </c>
    </row>
    <row r="34">
      <c r="A34" s="51" t="inlineStr">
        <is>
          <t>Value Partners Hong Kong Limited</t>
        </is>
      </c>
      <c r="B34" s="243" t="n">
        <v>10</v>
      </c>
      <c r="C34" s="245" t="n">
        <v>70</v>
      </c>
      <c r="D34" s="246" t="n">
        <v>23.4</v>
      </c>
      <c r="E34" s="246" t="n">
        <v>25.7</v>
      </c>
      <c r="F34" s="246" t="n">
        <v>22.6</v>
      </c>
      <c r="G34" s="246" t="n">
        <v>34.7</v>
      </c>
      <c r="H34" s="246" t="n">
        <v>0.7</v>
      </c>
      <c r="I34" s="246" t="n">
        <v>-1.8</v>
      </c>
      <c r="J34" s="246" t="n">
        <v>5.8</v>
      </c>
      <c r="K34" s="247" t="inlineStr">
        <is>
          <t>2285 CHERVON; 1497 YAN PALACE; 6031 SANY HEAVY IND; 1989 DELTON; 3277 GPIXEL; 1779 LONGBIO-B; 3661 SG MICRO; 1688 LINGYI ITECH; 0668 ANKER; 2475 LUXSHARE ICT</t>
        </is>
      </c>
    </row>
    <row r="35">
      <c r="A35" s="51" t="inlineStr">
        <is>
          <t>LAV Star Opportunities Limited</t>
        </is>
      </c>
      <c r="B35" s="243" t="n">
        <v>10</v>
      </c>
      <c r="C35" s="245" t="n">
        <v>50</v>
      </c>
      <c r="D35" s="246" t="n">
        <v>22.8</v>
      </c>
      <c r="E35" s="246" t="n">
        <v>26.1</v>
      </c>
      <c r="F35" s="246" t="n">
        <v>12.5</v>
      </c>
      <c r="G35" s="246" t="n">
        <v>4.7</v>
      </c>
      <c r="H35" s="246" t="n">
        <v>3.5</v>
      </c>
      <c r="I35" s="246" t="n">
        <v>-9.199999999999999</v>
      </c>
      <c r="J35" s="246" t="n">
        <v>-17.6</v>
      </c>
      <c r="K35" s="247" t="inlineStr">
        <is>
          <t>2171 CARSGEN-B; 2162 KEYMED BIO-B; 6628 TRANSCENTA-B; 2256 ABBISKO-B; 2235 MICROTECH MED-B; 2252 MEDBOT-B; 2251 AIRDOC-B; 2279 YONGHE MEDICAL; 9606 DUALITYBIO-B; 7630 IMPACT THERAP-B</t>
        </is>
      </c>
    </row>
    <row r="36">
      <c r="A36" s="51" t="inlineStr">
        <is>
          <t>WuXi Biologics HealthCare Venture</t>
        </is>
      </c>
      <c r="B36" s="243" t="n">
        <v>10</v>
      </c>
      <c r="C36" s="245" t="n">
        <v>40</v>
      </c>
      <c r="D36" s="246" t="n">
        <v>22.5</v>
      </c>
      <c r="E36" s="246" t="n">
        <v>45.4</v>
      </c>
      <c r="F36" s="246" t="n">
        <v>22.6</v>
      </c>
      <c r="G36" s="246" t="n">
        <v>21</v>
      </c>
      <c r="H36" s="246" t="n">
        <v>8</v>
      </c>
      <c r="I36" s="246" t="n">
        <v>-3.5</v>
      </c>
      <c r="J36" s="246" t="n">
        <v>-5.2</v>
      </c>
      <c r="K36" s="247" t="inlineStr">
        <is>
          <t>2155 MORIMATSU INTL; 1228 CANBRIDGE-B; 2407 GAUSH MEDITECH; 2487 CUTIA-B; 1541 IMMUNEONCO-B; 2507 CIRRUS; 2561 VISEN PHARMA-B; 6831 GREEN TEA GROUP; 0470 WUXI LEAD; 2493 MABWELL-B</t>
        </is>
      </c>
    </row>
    <row r="37">
      <c r="A37" s="51" t="inlineStr">
        <is>
          <t>Foresight Funds</t>
        </is>
      </c>
      <c r="B37" s="243" t="n">
        <v>10</v>
      </c>
      <c r="C37" s="245" t="n">
        <v>70</v>
      </c>
      <c r="D37" s="246" t="n">
        <v>19.4</v>
      </c>
      <c r="E37" s="246" t="n">
        <v>22.4</v>
      </c>
      <c r="F37" s="246" t="n">
        <v>21.5</v>
      </c>
      <c r="G37" s="246" t="n">
        <v>17.6</v>
      </c>
      <c r="H37" s="246" t="n">
        <v>2.4</v>
      </c>
      <c r="I37" s="246" t="n">
        <v>2.4</v>
      </c>
      <c r="J37" s="246" t="n">
        <v>-0.9</v>
      </c>
      <c r="K37" s="247" t="inlineStr">
        <is>
          <t>2170 BASECARE-B; 2171 CARSGEN-B; 2273 GUSHENGTANG; 0300 MIDEA GROUP; 9887 LEADS BIOLABS-B; 6031 SANY HEAVY IND; 3355 FS.COM; 2476 VGT; 1779 LONGBIO-B; 2475 LUXSHARE ICT</t>
        </is>
      </c>
    </row>
    <row r="38">
      <c r="A38" s="51" t="inlineStr">
        <is>
          <t>China Orient Enhanced Income Fund</t>
        </is>
      </c>
      <c r="B38" s="243" t="n">
        <v>9</v>
      </c>
      <c r="C38" s="245" t="n">
        <v>89</v>
      </c>
      <c r="D38" s="246" t="n">
        <v>80.40000000000001</v>
      </c>
      <c r="E38" s="246" t="n">
        <v>79.3</v>
      </c>
      <c r="F38" s="246" t="n">
        <v>103.5</v>
      </c>
      <c r="G38" s="246" t="n">
        <v>77.09999999999999</v>
      </c>
      <c r="H38" s="246" t="n">
        <v>3.5</v>
      </c>
      <c r="I38" s="246" t="n">
        <v>15.5</v>
      </c>
      <c r="J38" s="246" t="n">
        <v>7.8</v>
      </c>
      <c r="K38" s="247" t="inlineStr">
        <is>
          <t>2158 YIDU TECH; 2191 SF REIT; 6600 ONEROBOTICS; 9903 ILUVATAR COREX; 3277 GPIXEL; 6810 SUNMI TECH-W; 6872 TENNOR THERAP-B; 1956 WENGE AI; 9856 LIGENT</t>
        </is>
      </c>
    </row>
    <row r="39">
      <c r="A39" s="51" t="inlineStr">
        <is>
          <t>Baring Asset Management (Asia) Limited</t>
        </is>
      </c>
      <c r="B39" s="243" t="n">
        <v>9</v>
      </c>
      <c r="C39" s="245" t="n">
        <v>89</v>
      </c>
      <c r="D39" s="246" t="n">
        <v>34.3</v>
      </c>
      <c r="E39" s="246" t="n">
        <v>29.3</v>
      </c>
      <c r="F39" s="246" t="n">
        <v>32.7</v>
      </c>
      <c r="G39" s="246" t="n">
        <v>92.59999999999999</v>
      </c>
      <c r="H39" s="246" t="n">
        <v>-5</v>
      </c>
      <c r="I39" s="246" t="n">
        <v>-4.8</v>
      </c>
      <c r="J39" s="246" t="n">
        <v>27</v>
      </c>
      <c r="K39" s="247" t="inlineStr">
        <is>
          <t>6166 CIG; 6809 MONTAGE TECH; 1989 DELTON; 6656 SIGENERGY; 6715 XUNLONG SCITECH; 7687 EACON; 1377 DTECH; 9856 LIGENT; 3228 KINWONG</t>
        </is>
      </c>
    </row>
    <row r="40">
      <c r="A40" s="51" t="inlineStr">
        <is>
          <t>JSC International Investment Fund SPC</t>
        </is>
      </c>
      <c r="B40" s="243" t="n">
        <v>9</v>
      </c>
      <c r="C40" s="245" t="n">
        <v>89</v>
      </c>
      <c r="D40" s="246" t="n">
        <v>28.9</v>
      </c>
      <c r="E40" s="246" t="n">
        <v>53</v>
      </c>
      <c r="F40" s="246" t="n">
        <v>23.2</v>
      </c>
      <c r="G40" s="246" t="n">
        <v>97.2</v>
      </c>
      <c r="H40" s="246" t="n">
        <v>18.6</v>
      </c>
      <c r="I40" s="246" t="n">
        <v>-4.6</v>
      </c>
      <c r="J40" s="246" t="n">
        <v>61.2</v>
      </c>
      <c r="K40" s="247" t="inlineStr">
        <is>
          <t>9660 HORIZONROBOT-W; 9973 CHERY AUTO; 2889 PATEO; 2513 KNOWLEDGE ATLAS; 0501 OMNIVISION; 0600 AXERA; 1609 STAR SPORTS MED; 1191 CREALIGHTS; 6731 DIRECT DRIVE</t>
        </is>
      </c>
    </row>
    <row r="41">
      <c r="A41" s="51" t="inlineStr">
        <is>
          <t>Shanghai Gaoyi Asset Management Partnership (Limited Partnership) and Huatai Capital Investment Limited (in connection with Huatai Back-to-back TRS and Huatai Client TRS)</t>
        </is>
      </c>
      <c r="B41" s="243" t="n">
        <v>9</v>
      </c>
      <c r="C41" s="245" t="n">
        <v>78</v>
      </c>
      <c r="D41" s="246" t="n">
        <v>25.6</v>
      </c>
      <c r="E41" s="246" t="n">
        <v>39.8</v>
      </c>
      <c r="F41" s="246" t="n">
        <v>33.2</v>
      </c>
      <c r="G41" s="246" t="n">
        <v>111.5</v>
      </c>
      <c r="H41" s="246" t="n">
        <v>10.8</v>
      </c>
      <c r="I41" s="246" t="n">
        <v>6.7</v>
      </c>
      <c r="J41" s="246" t="n">
        <v>73.2</v>
      </c>
      <c r="K41" s="247" t="inlineStr">
        <is>
          <t>9887 LEADS BIOLABS-B; 2259 ZIJIN GOLD INTL; 6031 SANY HEAVY IND; 2579 CNGR; 2513 KNOWLEDGE ATLAS; 2714 MUYUAN; 3296 HUAQIN; 1779 LONGBIO-B; 2249 NEXCHIP</t>
        </is>
      </c>
    </row>
    <row r="42">
      <c r="A42" s="51" t="inlineStr">
        <is>
          <t>Pinpoint Asset Management Limited</t>
        </is>
      </c>
      <c r="B42" s="243" t="n">
        <v>9</v>
      </c>
      <c r="C42" s="245" t="n">
        <v>56</v>
      </c>
      <c r="D42" s="246" t="n">
        <v>11</v>
      </c>
      <c r="E42" s="246" t="n">
        <v>10.7</v>
      </c>
      <c r="F42" s="246" t="n">
        <v>3.8</v>
      </c>
      <c r="G42" s="246" t="n">
        <v>3.2</v>
      </c>
      <c r="H42" s="246" t="n">
        <v>-0.4</v>
      </c>
      <c r="I42" s="246" t="n">
        <v>-7.4</v>
      </c>
      <c r="J42" s="246" t="n">
        <v>-7.8</v>
      </c>
      <c r="K42" s="247" t="inlineStr">
        <is>
          <t>2160 CARDIOFLOW-B; 6669 ACOTEC-B; 1304 FORTIOR; 6031 SANY HEAVY IND; 9980 EASTROC; 0470 WUXI LEAD; 2476 VGT; 1081 DAJIN; 2249 NEXCHIP</t>
        </is>
      </c>
    </row>
    <row r="43">
      <c r="A43" s="51" t="inlineStr">
        <is>
          <t>Infini Global Master Fund</t>
        </is>
      </c>
      <c r="B43" s="243" t="n">
        <v>9</v>
      </c>
      <c r="C43" s="245" t="n">
        <v>67</v>
      </c>
      <c r="D43" s="246" t="n">
        <v>9.5</v>
      </c>
      <c r="E43" s="246" t="n">
        <v>16.7</v>
      </c>
      <c r="F43" s="246" t="n">
        <v>44</v>
      </c>
      <c r="G43" s="246" t="n">
        <v>68.09999999999999</v>
      </c>
      <c r="H43" s="246" t="n">
        <v>6.2</v>
      </c>
      <c r="I43" s="246" t="n">
        <v>31.8</v>
      </c>
      <c r="J43" s="246" t="n">
        <v>56.4</v>
      </c>
      <c r="K43" s="247" t="inlineStr">
        <is>
          <t>6936 SF HOLDING; 2643 CAOCAO INC; 6613 LENS; 6166 CIG; 3887 HASHKEY HLDGS; 3317 XUNCE; 3696 INSILICO; 6600 ONEROBOTICS; 2675 EDGE MEDICAL-B</t>
        </is>
      </c>
    </row>
    <row r="44">
      <c r="A44" s="51" t="inlineStr">
        <is>
          <t>CloudAlpha Capital Management Limited</t>
        </is>
      </c>
      <c r="B44" s="243" t="n">
        <v>9</v>
      </c>
      <c r="C44" s="245" t="n">
        <v>44</v>
      </c>
      <c r="D44" s="246" t="n">
        <v>8.699999999999999</v>
      </c>
      <c r="E44" s="246" t="n">
        <v>12.7</v>
      </c>
      <c r="F44" s="246" t="n">
        <v>10.1</v>
      </c>
      <c r="G44" s="246" t="n">
        <v>2.9</v>
      </c>
      <c r="H44" s="246" t="n">
        <v>5.1</v>
      </c>
      <c r="I44" s="246" t="n">
        <v>1.3</v>
      </c>
      <c r="J44" s="246" t="n">
        <v>-8.300000000000001</v>
      </c>
      <c r="K44" s="247" t="inlineStr">
        <is>
          <t>2171 CARSGEN-B; 2252 MEDBOT-B; 2251 AIRDOC-B; 6166 CIG; 2476 VGT; 1377 DTECH; 3308 ZJ INNOLIGHT; 3223 INGENIC; 3228 KINWONG</t>
        </is>
      </c>
    </row>
    <row r="45">
      <c r="A45" s="51" t="inlineStr">
        <is>
          <t>Wind Sabre Fund SPC</t>
        </is>
      </c>
      <c r="B45" s="243" t="n">
        <v>9</v>
      </c>
      <c r="C45" s="245" t="n">
        <v>44</v>
      </c>
      <c r="D45" s="246" t="n">
        <v>6.9</v>
      </c>
      <c r="E45" s="246" t="n">
        <v>13.9</v>
      </c>
      <c r="F45" s="246" t="n">
        <v>37.7</v>
      </c>
      <c r="G45" s="246" t="n">
        <v>53.5</v>
      </c>
      <c r="H45" s="246" t="n">
        <v>5.5</v>
      </c>
      <c r="I45" s="246" t="n">
        <v>27</v>
      </c>
      <c r="J45" s="246" t="n">
        <v>43.5</v>
      </c>
      <c r="K45" s="247" t="inlineStr">
        <is>
          <t>6936 SF HOLDING; 2050 SANHUA; 1304 FORTIOR; 6600 ONEROBOTICS; 9903 ILUVATAR COREX; 2476 VGT; 6228 MERDEKAGOLD-DRS; 9976 LONGSYS; 3757 ROBOTECHNIK</t>
        </is>
      </c>
    </row>
    <row r="46">
      <c r="A46" s="51" t="inlineStr">
        <is>
          <t>Suzhou Harvest International Co., Limited</t>
        </is>
      </c>
      <c r="B46" s="243" t="n">
        <v>9</v>
      </c>
      <c r="C46" s="245" t="n">
        <v>33</v>
      </c>
      <c r="D46" s="246" t="n">
        <v>0.8</v>
      </c>
      <c r="E46" s="246" t="n">
        <v>1.6</v>
      </c>
      <c r="F46" s="246" t="n">
        <v>1.9</v>
      </c>
      <c r="G46" s="246" t="n">
        <v>32.2</v>
      </c>
      <c r="H46" s="246" t="n">
        <v>-1.4</v>
      </c>
      <c r="I46" s="246" t="n">
        <v>0.6</v>
      </c>
      <c r="J46" s="246" t="n">
        <v>13.1</v>
      </c>
      <c r="K46" s="247" t="inlineStr">
        <is>
          <t>2152 SUXIN SERVICES; 2479 TIANJUDIHE; 6681 BRAINAURORA-B; 2561 VISEN PHARMA-B; 3677 ZENERGY; 9606 DUALITYBIO-B; 2581 BENQ HOLDING; 6880 MOMENTA-W; 0537 RIGOL</t>
        </is>
      </c>
    </row>
    <row r="47">
      <c r="A47" s="51" t="inlineStr">
        <is>
          <t>Hongkong Ruihua Investment Management Limited</t>
        </is>
      </c>
      <c r="B47" s="243" t="n">
        <v>9</v>
      </c>
      <c r="C47" s="245" t="n">
        <v>33</v>
      </c>
      <c r="D47" s="246" t="n">
        <v>-2.1</v>
      </c>
      <c r="E47" s="246" t="n">
        <v>-1.2</v>
      </c>
      <c r="F47" s="246" t="n">
        <v>9.300000000000001</v>
      </c>
      <c r="G47" s="246" t="n">
        <v>18.8</v>
      </c>
      <c r="H47" s="246" t="n">
        <v>3</v>
      </c>
      <c r="I47" s="246" t="n">
        <v>19.9</v>
      </c>
      <c r="J47" s="246" t="n">
        <v>30.4</v>
      </c>
      <c r="K47" s="247" t="inlineStr">
        <is>
          <t>1228 CANBRIDGE-B; 2245 LYGEND RESOURCE; 2529 HOLLWIN URBAN; 2519 AUGROUP; 2582 GUOFUHEE; 2610 NANSHAN AL INTL; 9881 RONGTA TECH; 2632 NEW VISION CO; 1187 COFOE MEDICAL</t>
        </is>
      </c>
    </row>
    <row r="48">
      <c r="A48" s="51" t="inlineStr">
        <is>
          <t>Huadeng Technology</t>
        </is>
      </c>
      <c r="B48" s="243" t="n">
        <v>8</v>
      </c>
      <c r="C48" s="245" t="n">
        <v>75</v>
      </c>
      <c r="D48" s="246" t="n">
        <v>64.7</v>
      </c>
      <c r="E48" s="246" t="n">
        <v>50.4</v>
      </c>
      <c r="F48" s="246" t="n">
        <v>37.6</v>
      </c>
      <c r="G48" s="246" t="n">
        <v>74.09999999999999</v>
      </c>
      <c r="H48" s="246" t="n">
        <v>-6.6</v>
      </c>
      <c r="I48" s="246" t="n">
        <v>-17.8</v>
      </c>
      <c r="J48" s="246" t="n">
        <v>-1.7</v>
      </c>
      <c r="K48" s="247" t="inlineStr">
        <is>
          <t>6082 BIREN TECH; 6809 MONTAGE TECH; 6656 SIGENERGY; 7666 METIS TECHBIO-P; 3661 SG MICRO; 9630 CFMEE; 3308 ZJ INNOLIGHT; 9976 LONGSYS</t>
        </is>
      </c>
    </row>
    <row r="49">
      <c r="A49" s="51" t="inlineStr">
        <is>
          <t>MY Asian Opportunities Master Fund, L.P</t>
        </is>
      </c>
      <c r="B49" s="243" t="n">
        <v>8</v>
      </c>
      <c r="C49" s="245" t="n">
        <v>75</v>
      </c>
      <c r="D49" s="246" t="n">
        <v>43.3</v>
      </c>
      <c r="E49" s="246" t="n">
        <v>51.5</v>
      </c>
      <c r="F49" s="246" t="n">
        <v>55.9</v>
      </c>
      <c r="G49" s="246" t="n">
        <v>124.4</v>
      </c>
      <c r="H49" s="246" t="n">
        <v>5.3</v>
      </c>
      <c r="I49" s="246" t="n">
        <v>10.1</v>
      </c>
      <c r="J49" s="246" t="n">
        <v>47.2</v>
      </c>
      <c r="K49" s="247" t="inlineStr">
        <is>
          <t>0300 MIDEA GROUP; 9606 DUALITYBIO-B; 6082 BIREN TECH; 6809 MONTAGE TECH; 0470 WUXI LEAD; 1989 DELTON; 2476 VGT; 2475 LUXSHARE ICT</t>
        </is>
      </c>
    </row>
    <row r="50">
      <c r="A50" s="51" t="inlineStr">
        <is>
          <t>FIL Investment Management (Hong Kong) Limited</t>
        </is>
      </c>
      <c r="B50" s="243" t="n">
        <v>8</v>
      </c>
      <c r="C50" s="245" t="n">
        <v>75</v>
      </c>
      <c r="D50" s="246" t="n">
        <v>40.5</v>
      </c>
      <c r="E50" s="246" t="n">
        <v>52</v>
      </c>
      <c r="F50" s="246" t="n">
        <v>43.6</v>
      </c>
      <c r="G50" s="246" t="n">
        <v>40.8</v>
      </c>
      <c r="H50" s="246" t="n">
        <v>3.2</v>
      </c>
      <c r="I50" s="246" t="n">
        <v>3.8</v>
      </c>
      <c r="J50" s="246" t="n">
        <v>-3.7</v>
      </c>
      <c r="K50" s="247" t="inlineStr">
        <is>
          <t>1024 KUAISHOU-W; 2192 MEDLIVE; 2259 ZIJIN GOLD INTL; 3887 HASHKEY HLDGS; 2657 FOREST CABIN; 1768 BUSYMING; 2714 MUYUAN; 2475 LUXSHARE ICT</t>
        </is>
      </c>
    </row>
    <row r="51">
      <c r="A51" s="51" t="inlineStr">
        <is>
          <t>Dajia Life Insurance Co., Ltd</t>
        </is>
      </c>
      <c r="B51" s="243" t="n">
        <v>8</v>
      </c>
      <c r="C51" s="245" t="n">
        <v>100</v>
      </c>
      <c r="D51" s="246" t="n">
        <v>15.6</v>
      </c>
      <c r="E51" s="246" t="n">
        <v>16.5</v>
      </c>
      <c r="F51" s="246" t="n">
        <v>22.8</v>
      </c>
      <c r="G51" s="246" t="n">
        <v>23.3</v>
      </c>
      <c r="H51" s="246" t="n">
        <v>1.1</v>
      </c>
      <c r="I51" s="246" t="n">
        <v>6.5</v>
      </c>
      <c r="J51" s="246" t="n">
        <v>5.9</v>
      </c>
      <c r="K51" s="247" t="inlineStr">
        <is>
          <t>0300 MIDEA GROUP; 9973 CHERY AUTO; 6031 SANY HEAVY IND; 2657 FOREST CABIN; 0501 OMNIVISION; 2714 MUYUAN; 1989 DELTON; 3661 SG MICRO</t>
        </is>
      </c>
    </row>
    <row r="52">
      <c r="A52" s="51" t="inlineStr">
        <is>
          <t>Jump Trading Pacific Pte. Ltd</t>
        </is>
      </c>
      <c r="B52" s="243" t="n">
        <v>8</v>
      </c>
      <c r="C52" s="245" t="n">
        <v>75</v>
      </c>
      <c r="D52" s="246" t="n">
        <v>12.7</v>
      </c>
      <c r="E52" s="246" t="n">
        <v>15</v>
      </c>
      <c r="F52" s="246" t="n">
        <v>20.3</v>
      </c>
      <c r="G52" s="246" t="n">
        <v>8.1</v>
      </c>
      <c r="H52" s="246" t="n">
        <v>1.8</v>
      </c>
      <c r="I52" s="246" t="n">
        <v>5.4</v>
      </c>
      <c r="J52" s="246" t="n">
        <v>-4.7</v>
      </c>
      <c r="K52" s="247" t="inlineStr">
        <is>
          <t>0300 MIDEA GROUP; 6168 ZHOU LIU FU; 9927 SERES; 0699 JOYSON ELEC; 9981 WOER; 2692 ZHAOWEI; 2476 VGT; 3388 CREALITY</t>
        </is>
      </c>
    </row>
    <row r="53">
      <c r="A53" s="51" t="inlineStr">
        <is>
          <t>Jane Street Asia Trading Limited</t>
        </is>
      </c>
      <c r="B53" s="243" t="n">
        <v>8</v>
      </c>
      <c r="C53" s="245" t="n">
        <v>62</v>
      </c>
      <c r="D53" s="246" t="n">
        <v>11.7</v>
      </c>
      <c r="E53" s="246" t="n">
        <v>12.4</v>
      </c>
      <c r="F53" s="246" t="n">
        <v>18.5</v>
      </c>
      <c r="G53" s="246" t="n">
        <v>39.1</v>
      </c>
      <c r="H53" s="246" t="n">
        <v>-0.1</v>
      </c>
      <c r="I53" s="246" t="n">
        <v>5.7</v>
      </c>
      <c r="J53" s="246" t="n">
        <v>21</v>
      </c>
      <c r="K53" s="247" t="inlineStr">
        <is>
          <t>2050 SANHUA; 6603 IFBH; 6031 SANY HEAVY IND; 2788 CHUANGXIN IND; 2714 MUYUAN; 0668 ANKER; 2475 LUXSHARE ICT; 9615 MECH-MIND ROBOT</t>
        </is>
      </c>
    </row>
    <row r="54">
      <c r="A54" s="51" t="inlineStr">
        <is>
          <t>Zhejiang Innoforce Pharmaceuticals Co., Ltd</t>
        </is>
      </c>
      <c r="B54" s="243" t="n">
        <v>8</v>
      </c>
      <c r="C54" s="245" t="n">
        <v>38</v>
      </c>
      <c r="D54" s="246" t="n">
        <v>-7.3</v>
      </c>
      <c r="E54" s="246" t="n">
        <v>-8.5</v>
      </c>
      <c r="F54" s="246" t="n">
        <v>0.9</v>
      </c>
      <c r="G54" s="246" t="n">
        <v>22.1</v>
      </c>
      <c r="H54" s="246" t="n">
        <v>-2</v>
      </c>
      <c r="I54" s="246" t="n">
        <v>7.3</v>
      </c>
      <c r="J54" s="246" t="n">
        <v>32.9</v>
      </c>
      <c r="K54" s="247" t="inlineStr">
        <is>
          <t>2257 SIRNAOMICS-B; 6661 HUZHOU GAS; 9863 LEAPMOTOR; 6610 FLOWING CLOUD; 2420 ZIBUYU; 9930 HORIZON CD; 9690 TUHU-W; 1274 IMOTIONAUTOTECH</t>
        </is>
      </c>
    </row>
    <row r="55">
      <c r="A55" s="51" t="inlineStr">
        <is>
          <t>Schroders</t>
        </is>
      </c>
      <c r="B55" s="243" t="n">
        <v>7</v>
      </c>
      <c r="C55" s="245" t="n">
        <v>71</v>
      </c>
      <c r="D55" s="246" t="n">
        <v>72.40000000000001</v>
      </c>
      <c r="E55" s="246" t="n">
        <v>81.3</v>
      </c>
      <c r="F55" s="246" t="n">
        <v>76.7</v>
      </c>
      <c r="G55" s="246" t="n">
        <v>57.1</v>
      </c>
      <c r="H55" s="246" t="n">
        <v>6</v>
      </c>
      <c r="I55" s="246" t="n">
        <v>16</v>
      </c>
      <c r="J55" s="246" t="n">
        <v>18.9</v>
      </c>
      <c r="K55" s="247" t="inlineStr">
        <is>
          <t>2050 SANHUA; 2259 ZIJIN GOLD INTL; 9927 SERES; 3696 INSILICO; 3200 HANS CNC; 1879 XIZHI TECH-P; 0668 ANKER</t>
        </is>
      </c>
    </row>
    <row r="56">
      <c r="A56" s="51" t="inlineStr">
        <is>
          <t>TruMed Healthcare Master Fund and TruMed Health Innovation Fund LP</t>
        </is>
      </c>
      <c r="B56" s="243" t="n">
        <v>7</v>
      </c>
      <c r="C56" s="245" t="n">
        <v>100</v>
      </c>
      <c r="D56" s="246" t="n">
        <v>62.1</v>
      </c>
      <c r="E56" s="246" t="n">
        <v>65.40000000000001</v>
      </c>
      <c r="F56" s="246" t="n">
        <v>45</v>
      </c>
      <c r="G56" s="246" t="n">
        <v>70.40000000000001</v>
      </c>
      <c r="H56" s="246" t="n">
        <v>2.1</v>
      </c>
      <c r="I56" s="246" t="n">
        <v>-9.1</v>
      </c>
      <c r="J56" s="246" t="n">
        <v>5.2</v>
      </c>
      <c r="K56" s="247" t="inlineStr">
        <is>
          <t>2373 BEAUTYFARM MED; 6990 SKB BIO-B; 9606 DUALITYBIO-B; 9887 LEADS BIOLABS-B; 2595 GENFLEET-B; 2698 SOFTCARE; 1779 LONGBIO-B</t>
        </is>
      </c>
    </row>
    <row r="57">
      <c r="A57" s="51" t="inlineStr">
        <is>
          <t>Greater Bay Area Development Fund Management Limited for and on behalf of the M a n a g e dA c c o u n to fM e g a Prime Development Limited</t>
        </is>
      </c>
      <c r="B57" s="243" t="n">
        <v>7</v>
      </c>
      <c r="C57" s="245" t="n">
        <v>100</v>
      </c>
      <c r="D57" s="246" t="n">
        <v>54.9</v>
      </c>
      <c r="E57" s="246" t="n">
        <v>62.3</v>
      </c>
      <c r="F57" s="246" t="n">
        <v>73.09999999999999</v>
      </c>
      <c r="G57" s="246" t="n">
        <v>77.8</v>
      </c>
      <c r="H57" s="246" t="n">
        <v>5.1</v>
      </c>
      <c r="I57" s="246" t="n">
        <v>11.3</v>
      </c>
      <c r="J57" s="246" t="n">
        <v>15.8</v>
      </c>
      <c r="K57" s="247" t="inlineStr">
        <is>
          <t>2543 DAHON TECH; 2259 ZIJIN GOLD INTL; 2546 ZHIHUI MINING; 1989 DELTON; 1609 STAR SPORTS MED; 3388 CREALITY; 1779 LONGBIO-B</t>
        </is>
      </c>
    </row>
    <row r="58">
      <c r="A58" s="51" t="inlineStr">
        <is>
          <t>Arc Avenue Asset Management Pte. Ltd</t>
        </is>
      </c>
      <c r="B58" s="243" t="n">
        <v>7</v>
      </c>
      <c r="C58" s="245" t="n">
        <v>100</v>
      </c>
      <c r="D58" s="246" t="n">
        <v>53.9</v>
      </c>
      <c r="E58" s="246" t="n">
        <v>50.8</v>
      </c>
      <c r="F58" s="246" t="n">
        <v>38.9</v>
      </c>
      <c r="G58" s="246" t="n">
        <v>50.1</v>
      </c>
      <c r="H58" s="246" t="n">
        <v>-1.2</v>
      </c>
      <c r="I58" s="246" t="n">
        <v>-7.7</v>
      </c>
      <c r="J58" s="246" t="n">
        <v>3.4</v>
      </c>
      <c r="K58" s="247" t="inlineStr">
        <is>
          <t>2590 GEEKPLUS-W; 2259 ZIJIN GOLD INTL; 6166 CIG; 2698 SOFTCARE; 6938 RIBOLIFE-B; 3277 GPIXEL; 7666 METIS TECHBIO-P</t>
        </is>
      </c>
    </row>
    <row r="59">
      <c r="A59" s="51" t="inlineStr">
        <is>
          <t>Invesco Advisers, Inc</t>
        </is>
      </c>
      <c r="B59" s="243" t="n">
        <v>7</v>
      </c>
      <c r="C59" s="245" t="n">
        <v>86</v>
      </c>
      <c r="D59" s="246" t="n">
        <v>45.9</v>
      </c>
      <c r="E59" s="246" t="n">
        <v>63.1</v>
      </c>
      <c r="F59" s="246" t="n">
        <v>56.7</v>
      </c>
      <c r="G59" s="246" t="n">
        <v>36.1</v>
      </c>
      <c r="H59" s="246" t="n">
        <v>7.3</v>
      </c>
      <c r="I59" s="246" t="n">
        <v>11</v>
      </c>
      <c r="J59" s="246" t="n">
        <v>-5.5</v>
      </c>
      <c r="K59" s="247" t="inlineStr">
        <is>
          <t>1024 KUAISHOU-W; 2162 KEYMED BIO-B; 2137 BRII - B; 2235 MICROTECH MED-B; 2268 WUXI XDC; 1276 HENGRUI PHARMA; 2259 ZIJIN GOLD INTL</t>
        </is>
      </c>
    </row>
    <row r="60">
      <c r="A60" s="51" t="inlineStr">
        <is>
          <t>CPIC Investment Management (H.K.) Company Limited</t>
        </is>
      </c>
      <c r="B60" s="243" t="n">
        <v>7</v>
      </c>
      <c r="C60" s="245" t="n">
        <v>57</v>
      </c>
      <c r="D60" s="246" t="n">
        <v>39.6</v>
      </c>
      <c r="E60" s="246" t="n">
        <v>36</v>
      </c>
      <c r="F60" s="246" t="n">
        <v>39.2</v>
      </c>
      <c r="G60" s="246" t="n">
        <v>34.1</v>
      </c>
      <c r="H60" s="246" t="n">
        <v>-0.8</v>
      </c>
      <c r="I60" s="246" t="n">
        <v>-0.2</v>
      </c>
      <c r="J60" s="246" t="n">
        <v>-5.3</v>
      </c>
      <c r="K60" s="247" t="inlineStr">
        <is>
          <t>9696 TIANQI LITHIUM; 2505 EDA GROUP HLDGS; 2259 ZIJIN GOLD INTL; 0638 FIBOCOM; 2788 CHUANGXIN IND; 6656 SIGENERGY; 6880 MOMENTA-W</t>
        </is>
      </c>
    </row>
    <row r="61">
      <c r="A61" s="51" t="inlineStr">
        <is>
          <t>CICC Financial Trading Limited</t>
        </is>
      </c>
      <c r="B61" s="243" t="n">
        <v>7</v>
      </c>
      <c r="C61" s="245" t="n">
        <v>86</v>
      </c>
      <c r="D61" s="246" t="n">
        <v>37.4</v>
      </c>
      <c r="E61" s="246" t="n">
        <v>35.7</v>
      </c>
      <c r="F61" s="246" t="n">
        <v>32.9</v>
      </c>
      <c r="G61" s="246" t="n">
        <v>51.3</v>
      </c>
      <c r="H61" s="246" t="n">
        <v>-0.4</v>
      </c>
      <c r="I61" s="246" t="n">
        <v>-3</v>
      </c>
      <c r="J61" s="246" t="n">
        <v>6.6</v>
      </c>
      <c r="K61" s="247" t="inlineStr">
        <is>
          <t>0013 HUTCHMED; 6669 ACOTEC-B; 6181 LAOPU GOLD; 6168 ZHOU LIU FU; 3355 FS.COM; 6067 SENIOR MATERIAL; 9630 CFMEE</t>
        </is>
      </c>
    </row>
    <row r="62">
      <c r="A62" s="51" t="inlineStr">
        <is>
          <t>Janchor Partners Pan-Asian Master Fund</t>
        </is>
      </c>
      <c r="B62" s="243" t="n">
        <v>7</v>
      </c>
      <c r="C62" s="245" t="n">
        <v>57</v>
      </c>
      <c r="D62" s="246" t="n">
        <v>34.2</v>
      </c>
      <c r="E62" s="246" t="n">
        <v>47.4</v>
      </c>
      <c r="F62" s="246" t="n">
        <v>49.8</v>
      </c>
      <c r="G62" s="246" t="n">
        <v>122.3</v>
      </c>
      <c r="H62" s="246" t="n">
        <v>7.5</v>
      </c>
      <c r="I62" s="246" t="n">
        <v>7.3</v>
      </c>
      <c r="J62" s="246" t="n">
        <v>40.3</v>
      </c>
      <c r="K62" s="247" t="inlineStr">
        <is>
          <t>6127 JOINN; 2162 KEYMED BIO-B; 2256 ABBISKO-B; 0100 MINIMAX-WP; 6809 MONTAGE TECH; 2476 VGT; 3308 ZJ INNOLIGHT</t>
        </is>
      </c>
    </row>
    <row r="63">
      <c r="A63" s="51" t="inlineStr">
        <is>
          <t>Eastspring Investments (Singapore) Limited</t>
        </is>
      </c>
      <c r="B63" s="243" t="n">
        <v>7</v>
      </c>
      <c r="C63" s="245" t="n">
        <v>57</v>
      </c>
      <c r="D63" s="246" t="n">
        <v>30.4</v>
      </c>
      <c r="E63" s="246" t="n">
        <v>36.7</v>
      </c>
      <c r="F63" s="246" t="n">
        <v>50.5</v>
      </c>
      <c r="G63" s="246" t="n">
        <v>115.8</v>
      </c>
      <c r="H63" s="246" t="n">
        <v>1.8</v>
      </c>
      <c r="I63" s="246" t="n">
        <v>10</v>
      </c>
      <c r="J63" s="246" t="n">
        <v>44.3</v>
      </c>
      <c r="K63" s="247" t="inlineStr">
        <is>
          <t>2590 GEEKPLUS-W; 2026 PONY-W; 6082 BIREN TECH; 0100 MINIMAX-WP; 1989 DELTON; 1081 DAJIN; 2475 LUXSHARE ICT</t>
        </is>
      </c>
    </row>
    <row r="64">
      <c r="A64" s="51" t="inlineStr">
        <is>
          <t>Mega Prime Development Limited</t>
        </is>
      </c>
      <c r="B64" s="243" t="n">
        <v>7</v>
      </c>
      <c r="C64" s="245" t="n">
        <v>86</v>
      </c>
      <c r="D64" s="246" t="n">
        <v>27.7</v>
      </c>
      <c r="E64" s="246" t="n">
        <v>32.7</v>
      </c>
      <c r="F64" s="246" t="n">
        <v>41.2</v>
      </c>
      <c r="G64" s="246" t="n">
        <v>72.2</v>
      </c>
      <c r="H64" s="246" t="n">
        <v>3.8</v>
      </c>
      <c r="I64" s="246" t="n">
        <v>11.6</v>
      </c>
      <c r="J64" s="246" t="n">
        <v>35.1</v>
      </c>
      <c r="K64" s="247" t="inlineStr">
        <is>
          <t>9879 MIGAO GROUP; 1318 MAO GEPING; 2050 SANHUA; 6603 IFBH; 1304 FORTIOR; 2657 FOREST CABIN; 2476 VGT</t>
        </is>
      </c>
    </row>
    <row r="65">
      <c r="A65" s="51" t="inlineStr">
        <is>
          <t>Dymon Asia Multi-Strategy Investment Master Fund</t>
        </is>
      </c>
      <c r="B65" s="243" t="n">
        <v>7</v>
      </c>
      <c r="C65" s="245" t="n">
        <v>57</v>
      </c>
      <c r="D65" s="246" t="n">
        <v>23.9</v>
      </c>
      <c r="E65" s="246" t="n">
        <v>8.1</v>
      </c>
      <c r="F65" s="246" t="n">
        <v>-3.3</v>
      </c>
      <c r="G65" s="246" t="n">
        <v>7.1</v>
      </c>
      <c r="H65" s="246" t="n">
        <v>-8.699999999999999</v>
      </c>
      <c r="I65" s="246" t="n">
        <v>-17.9</v>
      </c>
      <c r="J65" s="246" t="n">
        <v>-6.6</v>
      </c>
      <c r="K65" s="247" t="inlineStr">
        <is>
          <t>2171 CARSGEN-B; 6669 ACOTEC-B; 6687 JST GROUP; 6166 CIG; 3661 SG MICRO; 6228 MERDEKAGOLD-DRS; 9637 ALEBUND-B</t>
        </is>
      </c>
    </row>
    <row r="66">
      <c r="A66" s="51" t="inlineStr">
        <is>
          <t>CITIC-Prudential Life Insurance Company Limited</t>
        </is>
      </c>
      <c r="B66" s="243" t="n">
        <v>7</v>
      </c>
      <c r="C66" s="245" t="n">
        <v>43</v>
      </c>
      <c r="D66" s="246" t="n">
        <v>13.5</v>
      </c>
      <c r="E66" s="246" t="n">
        <v>5.1</v>
      </c>
      <c r="F66" s="246" t="n">
        <v>16.1</v>
      </c>
      <c r="G66" s="246" t="n">
        <v>30.1</v>
      </c>
      <c r="H66" s="246" t="n">
        <v>-7.5</v>
      </c>
      <c r="I66" s="246" t="n">
        <v>2</v>
      </c>
      <c r="J66" s="246" t="n">
        <v>4</v>
      </c>
      <c r="K66" s="247" t="inlineStr">
        <is>
          <t>9858 YOURAN DAIRY; 6680 JLMAG; 2595 GENFLEET-B; 1989 DELTON; 3388 CREALITY; 0537 RIGOL; 9976 LONGSYS</t>
        </is>
      </c>
    </row>
    <row r="67">
      <c r="A67" s="51" t="inlineStr">
        <is>
          <t>Integrated Core Strategies (Asia) Pte. Ltd</t>
        </is>
      </c>
      <c r="B67" s="243" t="n">
        <v>7</v>
      </c>
      <c r="C67" s="245" t="n">
        <v>57</v>
      </c>
      <c r="D67" s="246" t="n">
        <v>11.1</v>
      </c>
      <c r="E67" s="246" t="n">
        <v>14.9</v>
      </c>
      <c r="F67" s="246" t="n">
        <v>16.7</v>
      </c>
      <c r="G67" s="246" t="n">
        <v>28.6</v>
      </c>
      <c r="H67" s="246" t="n">
        <v>3</v>
      </c>
      <c r="I67" s="246" t="n">
        <v>4.7</v>
      </c>
      <c r="J67" s="246" t="n">
        <v>10.4</v>
      </c>
      <c r="K67" s="247" t="inlineStr">
        <is>
          <t>1276 HENGRUI PHARMA; 2675 EDGE MEDICAL-B; 2714 MUYUAN; 0470 WUXI LEAD; 3388 CREALITY; 2475 LUXSHARE ICT; 1377 DTECH</t>
        </is>
      </c>
    </row>
    <row r="68">
      <c r="A68" s="51" t="inlineStr">
        <is>
          <t>Hudson Bay Master Fund Ltd</t>
        </is>
      </c>
      <c r="B68" s="243" t="n">
        <v>7</v>
      </c>
      <c r="C68" s="245" t="n">
        <v>43</v>
      </c>
      <c r="D68" s="246" t="n">
        <v>5.7</v>
      </c>
      <c r="E68" s="246" t="n">
        <v>2.9</v>
      </c>
      <c r="F68" s="246" t="n">
        <v>-8.4</v>
      </c>
      <c r="G68" s="246" t="n">
        <v>-28.2</v>
      </c>
      <c r="H68" s="246" t="n">
        <v>-2.5</v>
      </c>
      <c r="I68" s="246" t="n">
        <v>-13</v>
      </c>
      <c r="J68" s="246" t="n">
        <v>-33</v>
      </c>
      <c r="K68" s="247" t="inlineStr">
        <is>
          <t>2190 ZYLOXTB-B; 2162 KEYMED BIO-B; 2256 ABBISKO-B; 2235 MICROTECH MED-B; 1228 CANBRIDGE-B; 2279 YONGHE MEDICAL; 6639 ARRAIL GROUP</t>
        </is>
      </c>
    </row>
    <row r="69">
      <c r="A69" s="51" t="inlineStr">
        <is>
          <t>The Reynold Lemkins Group (Asia) Limited</t>
        </is>
      </c>
      <c r="B69" s="243" t="n">
        <v>7</v>
      </c>
      <c r="C69" s="245" t="n">
        <v>43</v>
      </c>
      <c r="D69" s="246" t="n">
        <v>4.7</v>
      </c>
      <c r="E69" s="246" t="n">
        <v>-15.2</v>
      </c>
      <c r="F69" s="246" t="n">
        <v>-4.9</v>
      </c>
      <c r="G69" s="246" t="n">
        <v>10</v>
      </c>
      <c r="H69" s="246" t="n">
        <v>-15.8</v>
      </c>
      <c r="I69" s="246" t="n">
        <v>-7.4</v>
      </c>
      <c r="J69" s="246" t="n">
        <v>11.2</v>
      </c>
      <c r="K69" s="247" t="inlineStr">
        <is>
          <t>2505 EDA GROUP HLDGS; 2479 TIANJUDIHE; 1354 KINGFARPROPERTY; 1471 ZHONGMIAO; 2561 VISEN PHARMA-B; 2573 NEWTREND GROUP; 2592 CLOUDBREAK-B</t>
        </is>
      </c>
    </row>
    <row r="70">
      <c r="A70" s="51" t="inlineStr">
        <is>
          <t>Jiangsu Pure Precision Technology Co., Ltd</t>
        </is>
      </c>
      <c r="B70" s="243" t="n">
        <v>7</v>
      </c>
      <c r="C70" s="245" t="n">
        <v>43</v>
      </c>
      <c r="D70" s="246" t="n">
        <v>-0.2</v>
      </c>
      <c r="E70" s="246" t="n">
        <v>-1</v>
      </c>
      <c r="F70" s="246" t="n">
        <v>6</v>
      </c>
      <c r="G70" s="246" t="n">
        <v>11.9</v>
      </c>
      <c r="H70" s="246" t="n">
        <v>-0.6</v>
      </c>
      <c r="I70" s="246" t="n">
        <v>6.9</v>
      </c>
      <c r="J70" s="246" t="n">
        <v>12.7</v>
      </c>
      <c r="K70" s="247" t="inlineStr">
        <is>
          <t>3931 CALB; 2407 GAUSH MEDITECH; 2517 GUOQUAN; 6657 BAIWANG CO; 2495 VOICECOMM; 2577 INNOSCIENCE; 3677 ZENERGY</t>
        </is>
      </c>
    </row>
    <row r="71">
      <c r="A71" s="51" t="inlineStr">
        <is>
          <t>The Valliance Fund</t>
        </is>
      </c>
      <c r="B71" s="243" t="n">
        <v>7</v>
      </c>
      <c r="C71" s="245" t="n">
        <v>29</v>
      </c>
      <c r="D71" s="246" t="n">
        <v>-6.1</v>
      </c>
      <c r="E71" s="246" t="n">
        <v>-5.3</v>
      </c>
      <c r="F71" s="246" t="n">
        <v>-4.9</v>
      </c>
      <c r="G71" s="246" t="n">
        <v>-23.8</v>
      </c>
      <c r="H71" s="246" t="n">
        <v>-0.1</v>
      </c>
      <c r="I71" s="246" t="n">
        <v>-1</v>
      </c>
      <c r="J71" s="246" t="n">
        <v>-19.7</v>
      </c>
      <c r="K71" s="247" t="inlineStr">
        <is>
          <t>6127 JOINN; 2219 CHAOJU EYE CARE; 2137 BRII - B; 6609 HEARTCARE-B; 6669 ACOTEC-B; 2216 BRONCUS-B; 0600 AXERA</t>
        </is>
      </c>
    </row>
    <row r="72">
      <c r="A72" s="51" t="inlineStr">
        <is>
          <t>Fidelity International</t>
        </is>
      </c>
      <c r="B72" s="243" t="n">
        <v>6</v>
      </c>
      <c r="C72" s="245" t="n">
        <v>83</v>
      </c>
      <c r="D72" s="246" t="n">
        <v>76.3</v>
      </c>
      <c r="E72" s="246" t="n">
        <v>75.7</v>
      </c>
      <c r="F72" s="246" t="n">
        <v>47.3</v>
      </c>
      <c r="G72" s="246" t="n">
        <v>12.6</v>
      </c>
      <c r="H72" s="246" t="n">
        <v>-0.4</v>
      </c>
      <c r="I72" s="246" t="n">
        <v>-8.4</v>
      </c>
      <c r="J72" s="246" t="n">
        <v>-25.9</v>
      </c>
      <c r="K72" s="247" t="inlineStr">
        <is>
          <t>9959 LINKLOGIS–W; 2190 ZYLOXTB-B; 2192 MEDLIVE; 1879 XIZHI TECH-P; 6880 MOMENTA-W; 7687 EACON</t>
        </is>
      </c>
    </row>
    <row r="73">
      <c r="A73" s="51" t="inlineStr">
        <is>
          <t>RIME Capital Limited</t>
        </is>
      </c>
      <c r="B73" s="243" t="n">
        <v>6</v>
      </c>
      <c r="C73" s="245" t="n">
        <v>100</v>
      </c>
      <c r="D73" s="246" t="n">
        <v>67.90000000000001</v>
      </c>
      <c r="E73" s="246" t="n">
        <v>101.5</v>
      </c>
      <c r="F73" s="246" t="n">
        <v>74</v>
      </c>
      <c r="G73" s="246" t="n">
        <v>136.3</v>
      </c>
      <c r="H73" s="246" t="n">
        <v>21.9</v>
      </c>
      <c r="I73" s="246" t="n">
        <v>6.5</v>
      </c>
      <c r="J73" s="246" t="n">
        <v>73.5</v>
      </c>
      <c r="K73" s="247" t="inlineStr">
        <is>
          <t>2655 GUOXIA TECH; 2513 KNOWLEDGE ATLAS; 9981 WOER; 2692 ZHAOWEI; 0068 MANYCORE TECH; 6675 SENASIC</t>
        </is>
      </c>
    </row>
    <row r="74">
      <c r="A74" s="51" t="inlineStr">
        <is>
          <t>Tencent Mobility Limited</t>
        </is>
      </c>
      <c r="B74" s="243" t="n">
        <v>6</v>
      </c>
      <c r="C74" s="245" t="n">
        <v>67</v>
      </c>
      <c r="D74" s="246" t="n">
        <v>42.3</v>
      </c>
      <c r="E74" s="246" t="n">
        <v>50.3</v>
      </c>
      <c r="F74" s="246" t="n">
        <v>67.09999999999999</v>
      </c>
      <c r="G74" s="246" t="n">
        <v>53.5</v>
      </c>
      <c r="H74" s="246" t="n">
        <v>7.9</v>
      </c>
      <c r="I74" s="246" t="n">
        <v>21.1</v>
      </c>
      <c r="J74" s="246" t="n">
        <v>9</v>
      </c>
      <c r="K74" s="247" t="inlineStr">
        <is>
          <t>2158 YIDU TECH; 2192 MEDLIVE; 2235 MICROTECH MED-B; 3696 INSILICO; 1768 BUSYMING; 3308 ZJ INNOLIGHT</t>
        </is>
      </c>
    </row>
    <row r="75">
      <c r="A75" s="51" t="inlineStr">
        <is>
          <t>China Asset Management Co., Ltd</t>
        </is>
      </c>
      <c r="B75" s="243" t="n">
        <v>6</v>
      </c>
      <c r="C75" s="245" t="n">
        <v>100</v>
      </c>
      <c r="D75" s="246" t="n">
        <v>40.7</v>
      </c>
      <c r="E75" s="246" t="n">
        <v>29.9</v>
      </c>
      <c r="F75" s="246" t="n">
        <v>19.2</v>
      </c>
      <c r="G75" s="246" t="n">
        <v>23.5</v>
      </c>
      <c r="H75" s="246" t="n">
        <v>-6.2</v>
      </c>
      <c r="I75" s="246" t="n">
        <v>-13.1</v>
      </c>
      <c r="J75" s="246" t="n">
        <v>-4.4</v>
      </c>
      <c r="K75" s="247" t="inlineStr">
        <is>
          <t>2160 CARDIOFLOW-B; 2508 SAINT BELLA; 9903 ILUVATAR COREX; 6938 RIBOLIFE-B; 3636 JINXUN RESOURCE; 7688 TOPNC</t>
        </is>
      </c>
    </row>
    <row r="76">
      <c r="A76" s="51" t="inlineStr">
        <is>
          <t>SensePower Management Limited</t>
        </is>
      </c>
      <c r="B76" s="243" t="n">
        <v>6</v>
      </c>
      <c r="C76" s="245" t="n">
        <v>67</v>
      </c>
      <c r="D76" s="246" t="n">
        <v>40</v>
      </c>
      <c r="E76" s="246" t="n">
        <v>49.4</v>
      </c>
      <c r="F76" s="246" t="n">
        <v>53.3</v>
      </c>
      <c r="G76" s="246" t="n">
        <v>55</v>
      </c>
      <c r="H76" s="246" t="n">
        <v>7</v>
      </c>
      <c r="I76" s="246" t="n">
        <v>27.1</v>
      </c>
      <c r="J76" s="246" t="n">
        <v>30.6</v>
      </c>
      <c r="K76" s="247" t="inlineStr">
        <is>
          <t>6626 YUEXIU SERVICES; 9878 HUITONGDA NET; 6610 FLOWING CLOUD; 2429 UBOX ONLINE; 9678 UNISOUND; 3231 EXCELLAND ROBOT</t>
        </is>
      </c>
    </row>
    <row r="77">
      <c r="A77" s="51" t="inlineStr">
        <is>
          <t>Bosera Asset Management (International) Co., Limited</t>
        </is>
      </c>
      <c r="B77" s="243" t="n">
        <v>6</v>
      </c>
      <c r="C77" s="245" t="n">
        <v>83</v>
      </c>
      <c r="D77" s="246" t="n">
        <v>39.4</v>
      </c>
      <c r="E77" s="246" t="n">
        <v>31.9</v>
      </c>
      <c r="F77" s="246" t="n">
        <v>33.4</v>
      </c>
      <c r="G77" s="246" t="n">
        <v>44</v>
      </c>
      <c r="H77" s="246" t="n">
        <v>-7.8</v>
      </c>
      <c r="I77" s="246" t="n">
        <v>-5</v>
      </c>
      <c r="J77" s="246" t="n">
        <v>-16.8</v>
      </c>
      <c r="K77" s="247" t="inlineStr">
        <is>
          <t>1768 BUSYMING; 2476 VGT; 9630 CFMEE; 2475 LUXSHARE ICT; 6951 CCTC; 3228 KINWONG</t>
        </is>
      </c>
    </row>
    <row r="78">
      <c r="A78" s="51" t="inlineStr">
        <is>
          <t>Martis Fund, L.P</t>
        </is>
      </c>
      <c r="B78" s="243" t="n">
        <v>6</v>
      </c>
      <c r="C78" s="245" t="n">
        <v>67</v>
      </c>
      <c r="D78" s="246" t="n">
        <v>27.7</v>
      </c>
      <c r="E78" s="246" t="n">
        <v>35.9</v>
      </c>
      <c r="F78" s="246" t="n">
        <v>50.2</v>
      </c>
      <c r="G78" s="246" t="n">
        <v>112.1</v>
      </c>
      <c r="H78" s="246" t="n">
        <v>4.5</v>
      </c>
      <c r="I78" s="246" t="n">
        <v>13.8</v>
      </c>
      <c r="J78" s="246" t="n">
        <v>44</v>
      </c>
      <c r="K78" s="247" t="inlineStr">
        <is>
          <t>2050 SANHUA; 9973 CHERY AUTO; 6166 CIG; 0100 MINIMAX-WP; 3388 CREALITY; 1377 DTECH</t>
        </is>
      </c>
    </row>
    <row r="79">
      <c r="A79" s="51" t="inlineStr">
        <is>
          <t>RBC Global Asset Management (Asia) Limited</t>
        </is>
      </c>
      <c r="B79" s="243" t="n">
        <v>6</v>
      </c>
      <c r="C79" s="245" t="n">
        <v>100</v>
      </c>
      <c r="D79" s="246" t="n">
        <v>26.5</v>
      </c>
      <c r="E79" s="246" t="n">
        <v>21.7</v>
      </c>
      <c r="F79" s="246" t="n">
        <v>31.8</v>
      </c>
      <c r="G79" s="246" t="n">
        <v>16.2</v>
      </c>
      <c r="H79" s="246" t="n">
        <v>-3.4</v>
      </c>
      <c r="I79" s="246" t="n">
        <v>9</v>
      </c>
      <c r="J79" s="246" t="n">
        <v>-3.9</v>
      </c>
      <c r="K79" s="247" t="inlineStr">
        <is>
          <t>2137 BRII - B; 3288 HAITIAN FLAV; 2259 ZIJIN GOLD INTL; 6031 SANY HEAVY IND; 2714 MUYUAN; 7688 TOPNC</t>
        </is>
      </c>
    </row>
    <row r="80">
      <c r="A80" s="51" t="inlineStr">
        <is>
          <t>Panjing Harbourview Investment Fund</t>
        </is>
      </c>
      <c r="B80" s="243" t="n">
        <v>6</v>
      </c>
      <c r="C80" s="245" t="n">
        <v>50</v>
      </c>
      <c r="D80" s="246" t="n">
        <v>26.4</v>
      </c>
      <c r="E80" s="246" t="n">
        <v>33.9</v>
      </c>
      <c r="F80" s="246" t="n">
        <v>31.2</v>
      </c>
      <c r="G80" s="246" t="n">
        <v>40.1</v>
      </c>
      <c r="H80" s="246" t="n">
        <v>3.5</v>
      </c>
      <c r="I80" s="246" t="n">
        <v>4.6</v>
      </c>
      <c r="J80" s="246" t="n">
        <v>4.3</v>
      </c>
      <c r="K80" s="247" t="inlineStr">
        <is>
          <t>6669 ACOTEC-B; 9606 DUALITYBIO-B; 3277 GPIXEL; 2476 VGT; 1187 COFOE MEDICAL; 6132 HJ SCIENCE-B</t>
        </is>
      </c>
    </row>
    <row r="81">
      <c r="A81" s="51" t="inlineStr">
        <is>
          <t>Snow Lake Funds and Accounts</t>
        </is>
      </c>
      <c r="B81" s="243" t="n">
        <v>6</v>
      </c>
      <c r="C81" s="245" t="n">
        <v>67</v>
      </c>
      <c r="D81" s="246" t="n">
        <v>26.2</v>
      </c>
      <c r="E81" s="246" t="n">
        <v>17.2</v>
      </c>
      <c r="F81" s="246" t="n">
        <v>5.7</v>
      </c>
      <c r="G81" s="246" t="n">
        <v>10.8</v>
      </c>
      <c r="H81" s="246" t="n">
        <v>-5.1</v>
      </c>
      <c r="I81" s="246" t="n">
        <v>-14.7</v>
      </c>
      <c r="J81" s="246" t="n">
        <v>-17.5</v>
      </c>
      <c r="K81" s="247" t="inlineStr">
        <is>
          <t>2125 STRAWBEAR ENT; 2160 CARDIOFLOW-B; 2190 ZYLOXTB-B; 9960 KINDSTAR GLOBAL; 2216 BRONCUS-B; 2252 MEDBOT-B</t>
        </is>
      </c>
    </row>
    <row r="82">
      <c r="A82" s="51" t="inlineStr">
        <is>
          <t>Guotai Junan Investments (Hong Kong) Limited</t>
        </is>
      </c>
      <c r="B82" s="243" t="n">
        <v>6</v>
      </c>
      <c r="C82" s="245" t="n">
        <v>67</v>
      </c>
      <c r="D82" s="246" t="n">
        <v>20.2</v>
      </c>
      <c r="E82" s="246" t="n">
        <v>40.3</v>
      </c>
      <c r="F82" s="246" t="n">
        <v>54.8</v>
      </c>
      <c r="G82" s="246" t="n">
        <v>75.8</v>
      </c>
      <c r="H82" s="246" t="n">
        <v>15.7</v>
      </c>
      <c r="I82" s="246" t="n">
        <v>21.5</v>
      </c>
      <c r="J82" s="246" t="n">
        <v>44.5</v>
      </c>
      <c r="K82" s="247" t="inlineStr">
        <is>
          <t>0020 SENSETIME-W; 2408 XIAO NOODLES; 2659 BAO PHARMA-B; 3378 HANXBIO-B; 1989 DELTON; 0668 ANKER</t>
        </is>
      </c>
    </row>
    <row r="83">
      <c r="A83" s="51" t="inlineStr">
        <is>
          <t>Da Cheng International Asset Management Company Limited</t>
        </is>
      </c>
      <c r="B83" s="243" t="n">
        <v>6</v>
      </c>
      <c r="C83" s="245" t="n">
        <v>50</v>
      </c>
      <c r="D83" s="246" t="n">
        <v>14.2</v>
      </c>
      <c r="E83" s="246" t="n">
        <v>9.800000000000001</v>
      </c>
      <c r="F83" s="246" t="n">
        <v>-6.3</v>
      </c>
      <c r="G83" s="246" t="n">
        <v>-10.2</v>
      </c>
      <c r="H83" s="246" t="n">
        <v>-3.5</v>
      </c>
      <c r="I83" s="246" t="n">
        <v>-17.4</v>
      </c>
      <c r="J83" s="246" t="n">
        <v>-23.6</v>
      </c>
      <c r="K83" s="247" t="inlineStr">
        <is>
          <t>6938 RIBOLIFE-B; 2692 ZHAOWEI; 1187 COFOE MEDICAL; 3661 SG MICRO; 1688 LINGYI ITECH; 2249 NEXCHIP</t>
        </is>
      </c>
    </row>
    <row r="84">
      <c r="A84" s="51" t="inlineStr">
        <is>
          <t>Dream ee (Hong Kong) Open-ended Fund Company</t>
        </is>
      </c>
      <c r="B84" s="243" t="n">
        <v>6</v>
      </c>
      <c r="C84" s="245" t="n">
        <v>17</v>
      </c>
      <c r="D84" s="246" t="n">
        <v>9.199999999999999</v>
      </c>
      <c r="E84" s="246" t="n">
        <v>13.7</v>
      </c>
      <c r="F84" s="246" t="n">
        <v>24.8</v>
      </c>
      <c r="G84" s="246" t="n">
        <v>15.9</v>
      </c>
      <c r="H84" s="246" t="n">
        <v>6.4</v>
      </c>
      <c r="I84" s="246" t="n">
        <v>4.9</v>
      </c>
      <c r="J84" s="246" t="n">
        <v>1.8</v>
      </c>
      <c r="K84" s="247" t="inlineStr">
        <is>
          <t>2408 XIAO NOODLES; 2676 NOVOSENSE; 2655 GUOXIA TECH; 2715 ESTUN; 3952 LAIFUAL; 3223 INGENIC</t>
        </is>
      </c>
    </row>
    <row r="85">
      <c r="A85" s="51" t="inlineStr">
        <is>
          <t>Springhill Master Fund Limited</t>
        </is>
      </c>
      <c r="B85" s="243" t="n">
        <v>6</v>
      </c>
      <c r="C85" s="245" t="n">
        <v>50</v>
      </c>
      <c r="D85" s="246" t="n">
        <v>3.7</v>
      </c>
      <c r="E85" s="246" t="n">
        <v>-2.9</v>
      </c>
      <c r="F85" s="246" t="n">
        <v>11.4</v>
      </c>
      <c r="G85" s="246" t="n">
        <v>-8.699999999999999</v>
      </c>
      <c r="H85" s="246" t="n">
        <v>-6.9</v>
      </c>
      <c r="I85" s="246" t="n">
        <v>6.4</v>
      </c>
      <c r="J85" s="246" t="n">
        <v>-13.4</v>
      </c>
      <c r="K85" s="247" t="inlineStr">
        <is>
          <t>2162 KEYMED BIO-B; 2137 BRII - B; 2192 MEDLIVE; 2216 BRONCUS-B; 2235 MICROTECH MED-B; 2197 CLOVER BIO-B</t>
        </is>
      </c>
    </row>
    <row r="86">
      <c r="A86" s="51" t="inlineStr">
        <is>
          <t>Ghisallo Fund Master Ltd</t>
        </is>
      </c>
      <c r="B86" s="243" t="n">
        <v>6</v>
      </c>
      <c r="C86" s="245" t="n">
        <v>33</v>
      </c>
      <c r="D86" s="246" t="n">
        <v>3.3</v>
      </c>
      <c r="E86" s="246" t="n">
        <v>-7.1</v>
      </c>
      <c r="F86" s="246" t="n">
        <v>-11</v>
      </c>
      <c r="G86" s="246" t="n">
        <v>-16.8</v>
      </c>
      <c r="H86" s="246" t="n">
        <v>-10.4</v>
      </c>
      <c r="I86" s="246" t="n">
        <v>-13.4</v>
      </c>
      <c r="J86" s="246" t="n">
        <v>-19.5</v>
      </c>
      <c r="K86" s="247" t="inlineStr">
        <is>
          <t>2460 CR BEVERAGE; 6936 SF HOLDING; 9927 SERES; 2026 PONY-W; 0501 OMNIVISION; 9615 MECH-MIND ROBOT</t>
        </is>
      </c>
    </row>
    <row r="87">
      <c r="A87" s="51" t="inlineStr">
        <is>
          <t>Green Better Limited</t>
        </is>
      </c>
      <c r="B87" s="243" t="n">
        <v>6</v>
      </c>
      <c r="C87" s="245" t="n">
        <v>50</v>
      </c>
      <c r="D87" s="246" t="n">
        <v>2.4</v>
      </c>
      <c r="E87" s="246" t="n">
        <v>3.2</v>
      </c>
      <c r="F87" s="246" t="n">
        <v>7.1</v>
      </c>
      <c r="G87" s="246" t="n">
        <v>9.800000000000001</v>
      </c>
      <c r="H87" s="246" t="n">
        <v>0.8</v>
      </c>
      <c r="I87" s="246" t="n">
        <v>4</v>
      </c>
      <c r="J87" s="246" t="n">
        <v>6.4</v>
      </c>
      <c r="K87" s="247" t="inlineStr">
        <is>
          <t>3658 NEW HOPE SERV; 1948 UJU HOLDING; 6936 SF HOLDING; 6613 LENS; 2676 NOVOSENSE; 3296 HUAQIN</t>
        </is>
      </c>
    </row>
    <row r="88">
      <c r="A88" s="51" t="inlineStr">
        <is>
          <t>Verition Multi- Strategy Master Fund Ltd</t>
        </is>
      </c>
      <c r="B88" s="243" t="n">
        <v>6</v>
      </c>
      <c r="C88" s="245" t="n">
        <v>33</v>
      </c>
      <c r="D88" s="246" t="n">
        <v>1.2</v>
      </c>
      <c r="E88" s="246" t="n">
        <v>1.8</v>
      </c>
      <c r="F88" s="246" t="n">
        <v>2.4</v>
      </c>
      <c r="G88" s="246" t="n">
        <v>34.8</v>
      </c>
      <c r="H88" s="246" t="n">
        <v>0.7</v>
      </c>
      <c r="I88" s="246" t="n">
        <v>0.9</v>
      </c>
      <c r="J88" s="246" t="n">
        <v>30.8</v>
      </c>
      <c r="K88" s="247" t="inlineStr">
        <is>
          <t>2050 SANHUA; 6613 LENS; 1688 LINGYI ITECH; 6951 CCTC; 1377 DTECH; 2249 NEXCHIP</t>
        </is>
      </c>
    </row>
    <row r="89">
      <c r="A89" s="51" t="inlineStr">
        <is>
          <t>China Structural Reform Fund Corporation Limited</t>
        </is>
      </c>
      <c r="B89" s="243" t="n">
        <v>6</v>
      </c>
      <c r="C89" s="245" t="n">
        <v>17</v>
      </c>
      <c r="D89" s="246" t="n">
        <v>-5.7</v>
      </c>
      <c r="E89" s="246" t="n">
        <v>-2</v>
      </c>
      <c r="F89" s="246" t="n">
        <v>-7.2</v>
      </c>
      <c r="G89" s="246" t="n">
        <v>-10.1</v>
      </c>
      <c r="H89" s="246" t="n">
        <v>3.6</v>
      </c>
      <c r="I89" s="246" t="n">
        <v>-3.4</v>
      </c>
      <c r="J89" s="246" t="n">
        <v>-6.3</v>
      </c>
      <c r="K89" s="247" t="inlineStr">
        <is>
          <t>6127 JOINN; 6608 BAIRONG-W; 6628 TRANSCENTA-B; 1880 CTG DUTY-FREE; 2507 CIRRUS; 0300 MIDEA GROUP</t>
        </is>
      </c>
    </row>
    <row r="90">
      <c r="A90" s="51" t="inlineStr">
        <is>
          <t>Golden Link</t>
        </is>
      </c>
      <c r="B90" s="243" t="n">
        <v>5</v>
      </c>
      <c r="C90" s="245" t="n">
        <v>40</v>
      </c>
      <c r="D90" s="246" t="n">
        <v>53.5</v>
      </c>
      <c r="E90" s="246" t="n">
        <v>1.4</v>
      </c>
      <c r="F90" s="246" t="n">
        <v>6.6</v>
      </c>
      <c r="G90" s="246" t="n">
        <v>23.8</v>
      </c>
      <c r="H90" s="246" t="n">
        <v>0.6</v>
      </c>
      <c r="I90" s="246" t="n">
        <v>5.9</v>
      </c>
      <c r="J90" s="246" t="n">
        <v>21.2</v>
      </c>
      <c r="K90" s="247" t="inlineStr">
        <is>
          <t>0300 MIDEA GROUP; 2676 NOVOSENSE; 6880 MOMENTA-W; 9615 MECH-MIND ROBOT; 6802 CAMSENSE</t>
        </is>
      </c>
    </row>
    <row r="91">
      <c r="A91" s="51" t="inlineStr">
        <is>
          <t>Cithara Global Multi-Strategy SPC — Bosideng Industry Investment Fund SP</t>
        </is>
      </c>
      <c r="B91" s="243" t="n">
        <v>5</v>
      </c>
      <c r="C91" s="245" t="n">
        <v>100</v>
      </c>
      <c r="D91" s="246" t="n">
        <v>38.1</v>
      </c>
      <c r="E91" s="246" t="n">
        <v>40.7</v>
      </c>
      <c r="F91" s="246" t="n">
        <v>57.3</v>
      </c>
      <c r="G91" s="246" t="n">
        <v>81.7</v>
      </c>
      <c r="H91" s="246" t="n">
        <v>4.4</v>
      </c>
      <c r="I91" s="246" t="n">
        <v>23.5</v>
      </c>
      <c r="J91" s="246" t="n">
        <v>53.8</v>
      </c>
      <c r="K91" s="247" t="inlineStr">
        <is>
          <t>6166 CIG; 3317 XUNCE; 6600 ONEROBOTICS; 3277 GPIXEL; 7688 TOPNC</t>
        </is>
      </c>
    </row>
    <row r="92">
      <c r="A92" s="51" t="inlineStr">
        <is>
          <t>Sunshine Life Insurance Corporation Limited</t>
        </is>
      </c>
      <c r="B92" s="243" t="n">
        <v>5</v>
      </c>
      <c r="C92" s="245" t="n">
        <v>40</v>
      </c>
      <c r="D92" s="246" t="n">
        <v>37.8</v>
      </c>
      <c r="E92" s="246" t="n">
        <v>61</v>
      </c>
      <c r="F92" s="246" t="n">
        <v>43.1</v>
      </c>
      <c r="G92" s="246" t="n">
        <v>4.2</v>
      </c>
      <c r="H92" s="246" t="n">
        <v>8.300000000000001</v>
      </c>
      <c r="I92" s="246" t="n">
        <v>4.5</v>
      </c>
      <c r="J92" s="246" t="n">
        <v>-15.7</v>
      </c>
      <c r="K92" s="247" t="inlineStr">
        <is>
          <t>9638 FERRETTI; 9886 DINGDANG HEALTH; 9985 WEILONG; 0068 MANYCORE TECH; 2476 VGT</t>
        </is>
      </c>
    </row>
    <row r="93">
      <c r="A93" s="51" t="inlineStr">
        <is>
          <t>Poly Platinum Enterprises Limited</t>
        </is>
      </c>
      <c r="B93" s="243" t="n">
        <v>5</v>
      </c>
      <c r="C93" s="245" t="n">
        <v>100</v>
      </c>
      <c r="D93" s="246" t="n">
        <v>37.1</v>
      </c>
      <c r="E93" s="246" t="n">
        <v>42.3</v>
      </c>
      <c r="F93" s="246" t="n">
        <v>76.2</v>
      </c>
      <c r="G93" s="246" t="n">
        <v>81</v>
      </c>
      <c r="H93" s="246" t="n">
        <v>2.9</v>
      </c>
      <c r="I93" s="246" t="n">
        <v>17.9</v>
      </c>
      <c r="J93" s="246" t="n">
        <v>23.6</v>
      </c>
      <c r="K93" s="247" t="inlineStr">
        <is>
          <t>6613 LENS; 2546 ZHIHUI MINING; 2675 EDGE MEDICAL-B; 2476 VGT; 9856 LIGENT</t>
        </is>
      </c>
    </row>
    <row r="94">
      <c r="A94" s="51" t="inlineStr">
        <is>
          <t>Golden Valley Global Limited</t>
        </is>
      </c>
      <c r="B94" s="243" t="n">
        <v>5</v>
      </c>
      <c r="C94" s="245" t="n">
        <v>40</v>
      </c>
      <c r="D94" s="246" t="n">
        <v>33</v>
      </c>
      <c r="E94" s="246" t="n">
        <v>23.7</v>
      </c>
      <c r="F94" s="246" t="n">
        <v>34.5</v>
      </c>
      <c r="G94" s="246" t="n">
        <v>45.9</v>
      </c>
      <c r="H94" s="246" t="n">
        <v>-12</v>
      </c>
      <c r="I94" s="246" t="n">
        <v>2</v>
      </c>
      <c r="J94" s="246" t="n">
        <v>18.2</v>
      </c>
      <c r="K94" s="247" t="inlineStr">
        <is>
          <t>6622 ZHAOKE OPHTH-B; 1364 GUMING; 9887 LEADS BIOLABS-B; 9637 ALEBUND-B; 9607 RA MATERIALS</t>
        </is>
      </c>
    </row>
    <row r="95">
      <c r="A95" s="51" t="inlineStr">
        <is>
          <t>Horizon Together Holding Ltd</t>
        </is>
      </c>
      <c r="B95" s="243" t="n">
        <v>5</v>
      </c>
      <c r="C95" s="245" t="n">
        <v>80</v>
      </c>
      <c r="D95" s="246" t="n">
        <v>31.4</v>
      </c>
      <c r="E95" s="246" t="n">
        <v>34.1</v>
      </c>
      <c r="F95" s="246" t="n">
        <v>28.6</v>
      </c>
      <c r="G95" s="246" t="n">
        <v>24.6</v>
      </c>
      <c r="H95" s="246" t="n">
        <v>2.2</v>
      </c>
      <c r="I95" s="246" t="n">
        <v>-1.9</v>
      </c>
      <c r="J95" s="246" t="n">
        <v>2</v>
      </c>
      <c r="K95" s="247" t="inlineStr">
        <is>
          <t>2431 MINIEYE; 9973 CHERY AUTO; 2889 PATEO; 9609 HAIWEI ELEC; 7630 IMPACT THERAP-B</t>
        </is>
      </c>
    </row>
    <row r="96">
      <c r="A96" s="51" t="inlineStr">
        <is>
          <t>Ocean Fine Industrial Limited</t>
        </is>
      </c>
      <c r="B96" s="243" t="n">
        <v>5</v>
      </c>
      <c r="C96" s="245" t="n">
        <v>60</v>
      </c>
      <c r="D96" s="246" t="n">
        <v>26.3</v>
      </c>
      <c r="E96" s="246" t="n">
        <v>18.5</v>
      </c>
      <c r="F96" s="246" t="n">
        <v>3.6</v>
      </c>
      <c r="G96" s="246" t="n">
        <v>36</v>
      </c>
      <c r="H96" s="246" t="n">
        <v>-1.8</v>
      </c>
      <c r="I96" s="246" t="n">
        <v>-12.5</v>
      </c>
      <c r="J96" s="246" t="n">
        <v>17.3</v>
      </c>
      <c r="K96" s="247" t="inlineStr">
        <is>
          <t>6911 LANCANG TEA; 2026 PONY-W; 9903 ILUVATAR COREX; 3661 SG MICRO; 9630 CFMEE</t>
        </is>
      </c>
    </row>
    <row r="97">
      <c r="A97" s="51" t="inlineStr">
        <is>
          <t>Huatai Capital Investment Limited</t>
        </is>
      </c>
      <c r="B97" s="243" t="n">
        <v>5</v>
      </c>
      <c r="C97" s="245" t="n">
        <v>80</v>
      </c>
      <c r="D97" s="246" t="n">
        <v>24.5</v>
      </c>
      <c r="E97" s="246" t="n">
        <v>13.6</v>
      </c>
      <c r="F97" s="246" t="n">
        <v>8.199999999999999</v>
      </c>
      <c r="G97" s="246" t="n">
        <v>46.4</v>
      </c>
      <c r="H97" s="246" t="n">
        <v>-5.8</v>
      </c>
      <c r="I97" s="246" t="n">
        <v>-8.4</v>
      </c>
      <c r="J97" s="246" t="n">
        <v>20.9</v>
      </c>
      <c r="K97" s="247" t="inlineStr">
        <is>
          <t>1490 CHESHI; 9903 ILUVATAR COREX; 1021 HUAYAN ROBOTICS; 1956 WENGE AI; 3223 INGENIC</t>
        </is>
      </c>
    </row>
    <row r="98">
      <c r="A98" s="51" t="inlineStr">
        <is>
          <t>China Southern Asset Management Co., Ltd</t>
        </is>
      </c>
      <c r="B98" s="243" t="n">
        <v>5</v>
      </c>
      <c r="C98" s="245" t="n">
        <v>60</v>
      </c>
      <c r="D98" s="246" t="n">
        <v>24.4</v>
      </c>
      <c r="E98" s="246" t="n">
        <v>23</v>
      </c>
      <c r="F98" s="246" t="n">
        <v>12.8</v>
      </c>
      <c r="G98" s="246" t="n">
        <v>19</v>
      </c>
      <c r="H98" s="246" t="n">
        <v>-1.1</v>
      </c>
      <c r="I98" s="246" t="n">
        <v>-10.8</v>
      </c>
      <c r="J98" s="246" t="n">
        <v>-3.1</v>
      </c>
      <c r="K98" s="247" t="inlineStr">
        <is>
          <t>2171 CARSGEN-B; 2150 NAYUKI; 6603 IFBH; 2698 SOFTCARE; 6082 BIREN TECH</t>
        </is>
      </c>
    </row>
    <row r="99">
      <c r="A99" s="51" t="inlineStr">
        <is>
          <t>Hefei Jianhui Zhanxin Cornerstone Investment Company Limited</t>
        </is>
      </c>
      <c r="B99" s="243" t="n">
        <v>5</v>
      </c>
      <c r="C99" s="245" t="n">
        <v>40</v>
      </c>
      <c r="D99" s="246" t="n">
        <v>21.1</v>
      </c>
      <c r="E99" s="246" t="n">
        <v>9</v>
      </c>
      <c r="F99" s="246" t="n">
        <v>-1.1</v>
      </c>
      <c r="G99" s="246" t="n">
        <v>-3.7</v>
      </c>
      <c r="H99" s="246" t="n">
        <v>-7.1</v>
      </c>
      <c r="I99" s="246" t="n">
        <v>-14.8</v>
      </c>
      <c r="J99" s="246" t="n">
        <v>-21.7</v>
      </c>
      <c r="K99" s="247" t="inlineStr">
        <is>
          <t>3931 CALB; 2482 LOGORY; 9973 CHERY AUTO; 9630 CFMEE; 2249 NEXCHIP</t>
        </is>
      </c>
    </row>
    <row r="100">
      <c r="A100" s="51" t="inlineStr">
        <is>
          <t>HSG Growth VII Holdco, Ltd</t>
        </is>
      </c>
      <c r="B100" s="243" t="n">
        <v>5</v>
      </c>
      <c r="C100" s="245" t="n">
        <v>100</v>
      </c>
      <c r="D100" s="246" t="n">
        <v>21</v>
      </c>
      <c r="E100" s="246" t="n">
        <v>28.2</v>
      </c>
      <c r="F100" s="246" t="n">
        <v>25.6</v>
      </c>
      <c r="G100" s="246" t="n">
        <v>29.1</v>
      </c>
      <c r="H100" s="246" t="n">
        <v>4.4</v>
      </c>
      <c r="I100" s="246" t="n">
        <v>1.5</v>
      </c>
      <c r="J100" s="246" t="n">
        <v>3.4</v>
      </c>
      <c r="K100" s="247" t="inlineStr">
        <is>
          <t>2268 WUXI XDC; 2097 MIXUE GROUP; 3288 HAITIAN FLAV; 6687 JST GROUP; 9980 EASTROC</t>
        </is>
      </c>
    </row>
    <row r="101">
      <c r="A101" s="51" t="inlineStr">
        <is>
          <t>Jain Global Master Fund Ltd</t>
        </is>
      </c>
      <c r="B101" s="243" t="n">
        <v>5</v>
      </c>
      <c r="C101" s="245" t="n">
        <v>60</v>
      </c>
      <c r="D101" s="246" t="n">
        <v>14.3</v>
      </c>
      <c r="E101" s="246" t="n">
        <v>7.9</v>
      </c>
      <c r="F101" s="246" t="n">
        <v>-7.2</v>
      </c>
      <c r="G101" s="246" t="n">
        <v>-16.5</v>
      </c>
      <c r="H101" s="246" t="n">
        <v>-5.9</v>
      </c>
      <c r="I101" s="246" t="n">
        <v>-19.5</v>
      </c>
      <c r="J101" s="246" t="n">
        <v>-28.4</v>
      </c>
      <c r="K101" s="247" t="inlineStr">
        <is>
          <t>6603 IFBH; 6687 JST GROUP; 9927 SERES; 1688 LINGYI ITECH; 7687 EACON</t>
        </is>
      </c>
    </row>
    <row r="102">
      <c r="A102" s="51" t="inlineStr">
        <is>
          <t>General Atlantic Singapore HCM Pte. Ltd</t>
        </is>
      </c>
      <c r="B102" s="243" t="n">
        <v>5</v>
      </c>
      <c r="C102" s="245" t="n">
        <v>40</v>
      </c>
      <c r="D102" s="246" t="n">
        <v>11.4</v>
      </c>
      <c r="E102" s="246" t="n">
        <v>10.7</v>
      </c>
      <c r="F102" s="246" t="n">
        <v>12.8</v>
      </c>
      <c r="G102" s="246" t="n">
        <v>-10</v>
      </c>
      <c r="H102" s="246" t="n">
        <v>-0.6</v>
      </c>
      <c r="I102" s="246" t="n">
        <v>-1.6</v>
      </c>
      <c r="J102" s="246" t="n">
        <v>-29.7</v>
      </c>
      <c r="K102" s="247" t="inlineStr">
        <is>
          <t>0013 HUTCHMED; 1228 CANBRIDGE-B; 2268 WUXI XDC; 3308 ZJ INNOLIGHT; 0625 SHEIN-W</t>
        </is>
      </c>
    </row>
    <row r="103">
      <c r="A103" s="51" t="inlineStr">
        <is>
          <t>Octagon Investments Master Fund LP</t>
        </is>
      </c>
      <c r="B103" s="243" t="n">
        <v>5</v>
      </c>
      <c r="C103" s="245" t="n">
        <v>40</v>
      </c>
      <c r="D103" s="246" t="n">
        <v>7</v>
      </c>
      <c r="E103" s="246" t="n">
        <v>3.4</v>
      </c>
      <c r="F103" s="246" t="n">
        <v>-5.3</v>
      </c>
      <c r="G103" s="246" t="n">
        <v>-19.3</v>
      </c>
      <c r="H103" s="246" t="n">
        <v>-3.3</v>
      </c>
      <c r="I103" s="246" t="n">
        <v>-11.3</v>
      </c>
      <c r="J103" s="246" t="n">
        <v>-24.2</v>
      </c>
      <c r="K103" s="247" t="inlineStr">
        <is>
          <t>6127 JOINN; 2190 ZYLOXTB-B; 2162 KEYMED BIO-B; 6609 HEARTCARE-B; 2235 MICROTECH MED-B</t>
        </is>
      </c>
    </row>
    <row r="104">
      <c r="A104" s="51" t="inlineStr">
        <is>
          <t>New China Asset Management (Hong Kong) Limited</t>
        </is>
      </c>
      <c r="B104" s="243" t="n">
        <v>5</v>
      </c>
      <c r="C104" s="245" t="n">
        <v>60</v>
      </c>
      <c r="D104" s="246" t="n">
        <v>3.9</v>
      </c>
      <c r="E104" s="246" t="n">
        <v>2.3</v>
      </c>
      <c r="F104" s="246" t="n">
        <v>2.4</v>
      </c>
      <c r="G104" s="246" t="n">
        <v>-10.9</v>
      </c>
      <c r="H104" s="246" t="n">
        <v>-1.6</v>
      </c>
      <c r="I104" s="246" t="n">
        <v>-2.2</v>
      </c>
      <c r="J104" s="246" t="n">
        <v>-14.8</v>
      </c>
      <c r="K104" s="247" t="inlineStr">
        <is>
          <t>6626 YUEXIU SERVICES; 9636 JF WEALTH; 6682 FOURTH PARADIGM; 9927 SERES; 3296 HUAQIN</t>
        </is>
      </c>
    </row>
    <row r="105">
      <c r="A105" s="51" t="inlineStr">
        <is>
          <t>The China State-owned Enterprise Mixed Ownership Reform Fund Co., Ltd</t>
        </is>
      </c>
      <c r="B105" s="243" t="n">
        <v>5</v>
      </c>
      <c r="C105" s="245" t="n">
        <v>20</v>
      </c>
      <c r="D105" s="246" t="n">
        <v>-3.2</v>
      </c>
      <c r="E105" s="246" t="n">
        <v>16</v>
      </c>
      <c r="F105" s="246" t="n">
        <v>6.2</v>
      </c>
      <c r="G105" s="246" t="n">
        <v>2.6</v>
      </c>
      <c r="H105" s="246" t="n">
        <v>17.7</v>
      </c>
      <c r="I105" s="246" t="n">
        <v>8.4</v>
      </c>
      <c r="J105" s="246" t="n">
        <v>4.5</v>
      </c>
      <c r="K105" s="247" t="inlineStr">
        <is>
          <t>0020 SENSETIME-W; 6680 JLMAG; 1880 CTG DUTY-FREE; 2602 ONEWO; 2245 LYGEND RESOURCE</t>
        </is>
      </c>
    </row>
    <row r="106">
      <c r="A106" s="51" t="inlineStr">
        <is>
          <t>Gold Mountains (H.K.) International Mining Company Limited</t>
        </is>
      </c>
      <c r="B106" s="243" t="n">
        <v>5</v>
      </c>
      <c r="C106" s="245" t="n">
        <v>0</v>
      </c>
      <c r="D106" s="246" t="n">
        <v>-6.6</v>
      </c>
      <c r="E106" s="246" t="n">
        <v>-7.8</v>
      </c>
      <c r="F106" s="246" t="n">
        <v>-0.5</v>
      </c>
      <c r="G106" s="246" t="n">
        <v>6.8</v>
      </c>
      <c r="H106" s="246" t="n">
        <v>-0.7</v>
      </c>
      <c r="I106" s="246" t="n">
        <v>7.3</v>
      </c>
      <c r="J106" s="246" t="n">
        <v>13.7</v>
      </c>
      <c r="K106" s="247" t="inlineStr">
        <is>
          <t>2385 READBOY; 9696 TIANQI LITHIUM; 2479 TIANJUDIHE; 6693 CHIFENG GOLD; 9927 SERES</t>
        </is>
      </c>
    </row>
    <row r="107">
      <c r="A107" s="51" t="inlineStr">
        <is>
          <t>Ping An of China Asset Management (Hong Kong) Company Limited</t>
        </is>
      </c>
      <c r="B107" s="243" t="n">
        <v>4</v>
      </c>
      <c r="C107" s="245" t="n">
        <v>75</v>
      </c>
      <c r="D107" s="246" t="n">
        <v>114.2</v>
      </c>
      <c r="E107" s="246" t="n">
        <v>114.3</v>
      </c>
      <c r="F107" s="246" t="n">
        <v>80.7</v>
      </c>
      <c r="G107" s="246" t="n">
        <v>32.9</v>
      </c>
      <c r="H107" s="246" t="n">
        <v>0.1</v>
      </c>
      <c r="I107" s="246" t="n">
        <v>-3.4</v>
      </c>
      <c r="J107" s="246" t="n">
        <v>-9.9</v>
      </c>
      <c r="K107" s="247" t="inlineStr">
        <is>
          <t>6082 BIREN TECH; 2714 MUYUAN; 1879 XIZHI TECH-P; 6228 MERDEKAGOLD-DRS</t>
        </is>
      </c>
    </row>
    <row r="108">
      <c r="A108" s="51" t="inlineStr">
        <is>
          <t>Temasek</t>
        </is>
      </c>
      <c r="B108" s="243" t="n">
        <v>4</v>
      </c>
      <c r="C108" s="245" t="n">
        <v>75</v>
      </c>
      <c r="D108" s="246" t="n">
        <v>113.1</v>
      </c>
      <c r="E108" s="246" t="n">
        <v>150.5</v>
      </c>
      <c r="F108" s="246" t="n">
        <v>102.7</v>
      </c>
      <c r="G108" s="246" t="n">
        <v>55.7</v>
      </c>
      <c r="H108" s="246" t="n">
        <v>-2.2</v>
      </c>
      <c r="I108" s="246" t="n">
        <v>-10.3</v>
      </c>
      <c r="J108" s="246" t="n">
        <v>-32.4</v>
      </c>
      <c r="K108" s="247" t="inlineStr">
        <is>
          <t>1768 BUSYMING; 1879 XIZHI TECH-P; 6951 CCTC; 3757 ROBOTECHNIK</t>
        </is>
      </c>
    </row>
    <row r="109">
      <c r="A109" s="51" t="inlineStr">
        <is>
          <t>CPP Investment Board PMI-2 Inc</t>
        </is>
      </c>
      <c r="B109" s="243" t="n">
        <v>4</v>
      </c>
      <c r="C109" s="245" t="n">
        <v>75</v>
      </c>
      <c r="D109" s="246" t="n">
        <v>89.3</v>
      </c>
      <c r="E109" s="246" t="n">
        <v>111.4</v>
      </c>
      <c r="F109" s="246" t="n">
        <v>90.09999999999999</v>
      </c>
      <c r="G109" s="246" t="n">
        <v>62.8</v>
      </c>
      <c r="H109" s="246" t="n">
        <v>10.9</v>
      </c>
      <c r="I109" s="246" t="n">
        <v>3.3</v>
      </c>
      <c r="J109" s="246" t="n">
        <v>-23.1</v>
      </c>
      <c r="K109" s="247" t="inlineStr">
        <is>
          <t>2158 YIDU TECH; 1024 KUAISHOU-W; 0013 HUTCHMED; 3308 ZJ INNOLIGHT</t>
        </is>
      </c>
    </row>
    <row r="110">
      <c r="A110" s="51" t="inlineStr">
        <is>
          <t>Alibaba Investment</t>
        </is>
      </c>
      <c r="B110" s="243" t="n">
        <v>4</v>
      </c>
      <c r="C110" s="245" t="n">
        <v>50</v>
      </c>
      <c r="D110" s="246" t="n">
        <v>87</v>
      </c>
      <c r="E110" s="246" t="n">
        <v>91.2</v>
      </c>
      <c r="F110" s="246" t="n">
        <v>50.5</v>
      </c>
      <c r="G110" s="246" t="n">
        <v>-10.1</v>
      </c>
      <c r="H110" s="246" t="n">
        <v>4.6</v>
      </c>
      <c r="I110" s="246" t="n">
        <v>-8.5</v>
      </c>
      <c r="J110" s="246" t="n">
        <v>-44.2</v>
      </c>
      <c r="K110" s="247" t="inlineStr">
        <is>
          <t>2566 JIUYUAN GENE; 1879 XIZHI TECH-P; 6951 CCTC; 3308 ZJ INNOLIGHT</t>
        </is>
      </c>
    </row>
    <row r="111">
      <c r="A111" s="51" t="inlineStr">
        <is>
          <t>RTW Master Fund, Ltd</t>
        </is>
      </c>
      <c r="B111" s="243" t="n">
        <v>4</v>
      </c>
      <c r="C111" s="245" t="n">
        <v>100</v>
      </c>
      <c r="D111" s="246" t="n">
        <v>85</v>
      </c>
      <c r="E111" s="246" t="n">
        <v>49.2</v>
      </c>
      <c r="F111" s="246" t="n">
        <v>23.7</v>
      </c>
      <c r="G111" s="246" t="n">
        <v>23.7</v>
      </c>
      <c r="H111" s="246" t="n">
        <v>-16.2</v>
      </c>
      <c r="I111" s="246" t="n">
        <v>-26.7</v>
      </c>
      <c r="J111" s="246" t="n">
        <v>-25.1</v>
      </c>
      <c r="K111" s="247" t="inlineStr">
        <is>
          <t>6990 SKB BIO-B; 2595 GENFLEET-B; 7666 METIS TECHBIO-P; 9637 ALEBUND-B</t>
        </is>
      </c>
    </row>
    <row r="112">
      <c r="A112" s="51" t="inlineStr">
        <is>
          <t>Aranda Investments Pte. Ltd</t>
        </is>
      </c>
      <c r="B112" s="243" t="n">
        <v>4</v>
      </c>
      <c r="C112" s="245" t="n">
        <v>75</v>
      </c>
      <c r="D112" s="246" t="n">
        <v>72.8</v>
      </c>
      <c r="E112" s="246" t="n">
        <v>86.3</v>
      </c>
      <c r="F112" s="246" t="n">
        <v>54</v>
      </c>
      <c r="G112" s="246" t="n">
        <v>13.1</v>
      </c>
      <c r="H112" s="246" t="n">
        <v>3.4</v>
      </c>
      <c r="I112" s="246" t="n">
        <v>-10.8</v>
      </c>
      <c r="J112" s="246" t="n">
        <v>-34.4</v>
      </c>
      <c r="K112" s="247" t="inlineStr">
        <is>
          <t>1024 KUAISHOU-W; 2162 KEYMED BIO-B; 2256 ABBISKO-B; 6656 SIGENERGY</t>
        </is>
      </c>
    </row>
    <row r="113">
      <c r="A113" s="51" t="inlineStr">
        <is>
          <t>Loyal Valley Capital</t>
        </is>
      </c>
      <c r="B113" s="243" t="n">
        <v>4</v>
      </c>
      <c r="C113" s="245" t="n">
        <v>100</v>
      </c>
      <c r="D113" s="246" t="n">
        <v>70.3</v>
      </c>
      <c r="E113" s="246" t="n">
        <v>58</v>
      </c>
      <c r="F113" s="246" t="n">
        <v>53.8</v>
      </c>
      <c r="G113" s="246" t="n">
        <v>82.7</v>
      </c>
      <c r="H113" s="246" t="n">
        <v>-5.8</v>
      </c>
      <c r="I113" s="246" t="n">
        <v>-8.199999999999999</v>
      </c>
      <c r="J113" s="246" t="n">
        <v>6.7</v>
      </c>
      <c r="K113" s="247" t="inlineStr">
        <is>
          <t>1318 MAO GEPING; 9887 LEADS BIOLABS-B; 2657 FOREST CABIN; 9637 ALEBUND-B</t>
        </is>
      </c>
    </row>
    <row r="114">
      <c r="A114" s="51" t="inlineStr">
        <is>
          <t>Guohui (HK) Holdings Co., Limited 控股有限公司</t>
        </is>
      </c>
      <c r="B114" s="243" t="n">
        <v>4</v>
      </c>
      <c r="C114" s="245" t="n">
        <v>100</v>
      </c>
      <c r="D114" s="246" t="n">
        <v>57.9</v>
      </c>
      <c r="E114" s="246" t="n">
        <v>76.2</v>
      </c>
      <c r="F114" s="246" t="n">
        <v>31.8</v>
      </c>
      <c r="G114" s="246" t="n">
        <v>-4.7</v>
      </c>
      <c r="H114" s="246" t="n">
        <v>5.3</v>
      </c>
      <c r="I114" s="246" t="n">
        <v>-16.4</v>
      </c>
      <c r="J114" s="246" t="n">
        <v>-35.8</v>
      </c>
      <c r="K114" s="247" t="inlineStr">
        <is>
          <t>9981 WOER; 0068 MANYCORE TECH; 2493 MABWELL-B; 1956 WENGE AI</t>
        </is>
      </c>
    </row>
    <row r="115">
      <c r="A115" s="51" t="inlineStr">
        <is>
          <t>New Golden Future Limited</t>
        </is>
      </c>
      <c r="B115" s="243" t="n">
        <v>4</v>
      </c>
      <c r="C115" s="245" t="n">
        <v>100</v>
      </c>
      <c r="D115" s="246" t="n">
        <v>45.8</v>
      </c>
      <c r="E115" s="246" t="n">
        <v>59.8</v>
      </c>
      <c r="F115" s="246" t="n">
        <v>58.6</v>
      </c>
      <c r="G115" s="246" t="n">
        <v>184.1</v>
      </c>
      <c r="H115" s="246" t="n">
        <v>8.4</v>
      </c>
      <c r="I115" s="246" t="n">
        <v>10.1</v>
      </c>
      <c r="J115" s="246" t="n">
        <v>113.3</v>
      </c>
      <c r="K115" s="247" t="inlineStr">
        <is>
          <t>2259 ZIJIN GOLD INTL; 3317 XUNCE; 6809 MONTAGE TECH; 2476 VGT</t>
        </is>
      </c>
    </row>
    <row r="116">
      <c r="A116" s="51" t="inlineStr">
        <is>
          <t>Sunwoda Treasury (Hong Kong) Limited</t>
        </is>
      </c>
      <c r="B116" s="243" t="n">
        <v>4</v>
      </c>
      <c r="C116" s="245" t="n">
        <v>100</v>
      </c>
      <c r="D116" s="246" t="n">
        <v>44.9</v>
      </c>
      <c r="E116" s="246" t="n">
        <v>42.1</v>
      </c>
      <c r="F116" s="246" t="n">
        <v>9.5</v>
      </c>
      <c r="G116" s="246" t="n">
        <v>11.8</v>
      </c>
      <c r="H116" s="246" t="n">
        <v>0.3</v>
      </c>
      <c r="I116" s="246" t="n">
        <v>-17.6</v>
      </c>
      <c r="J116" s="246" t="n">
        <v>-19.5</v>
      </c>
      <c r="K116" s="247" t="inlineStr">
        <is>
          <t>3636 JINXUN RESOURCE; 2701 NSING TECH; 6675 SENASIC; 6067 SENIOR MATERIAL</t>
        </is>
      </c>
    </row>
    <row r="117">
      <c r="A117" s="51" t="inlineStr">
        <is>
          <t>Worldwide Healthcare Partners LLC</t>
        </is>
      </c>
      <c r="B117" s="243" t="n">
        <v>4</v>
      </c>
      <c r="C117" s="245" t="n">
        <v>50</v>
      </c>
      <c r="D117" s="246" t="n">
        <v>44.8</v>
      </c>
      <c r="E117" s="246" t="n">
        <v>42.4</v>
      </c>
      <c r="F117" s="246" t="n">
        <v>28.8</v>
      </c>
      <c r="G117" s="246" t="n">
        <v>29.4</v>
      </c>
      <c r="H117" s="246" t="n">
        <v>-3</v>
      </c>
      <c r="I117" s="246" t="n">
        <v>-14</v>
      </c>
      <c r="J117" s="246" t="n">
        <v>-18.4</v>
      </c>
      <c r="K117" s="247" t="inlineStr">
        <is>
          <t>6669 ACOTEC-B; 2216 BRONCUS-B; 9606 DUALITYBIO-B; 7630 IMPACT THERAP-B</t>
        </is>
      </c>
    </row>
    <row r="118">
      <c r="A118" s="51" t="inlineStr">
        <is>
          <t>ChinaAMC (HK)</t>
        </is>
      </c>
      <c r="B118" s="243" t="n">
        <v>4</v>
      </c>
      <c r="C118" s="245" t="n">
        <v>75</v>
      </c>
      <c r="D118" s="246" t="n">
        <v>42.2</v>
      </c>
      <c r="E118" s="246" t="n">
        <v>28.8</v>
      </c>
      <c r="F118" s="246" t="n">
        <v>15.2</v>
      </c>
      <c r="G118" s="246" t="n">
        <v>35.9</v>
      </c>
      <c r="H118" s="246" t="n">
        <v>-5.6</v>
      </c>
      <c r="I118" s="246" t="n">
        <v>-12.7</v>
      </c>
      <c r="J118" s="246" t="n">
        <v>-3.1</v>
      </c>
      <c r="K118" s="247" t="inlineStr">
        <is>
          <t>1304 FORTIOR; 2698 SOFTCARE; 7666 METIS TECHBIO-P; 6880 MOMENTA-W</t>
        </is>
      </c>
    </row>
    <row r="119">
      <c r="A119" s="51" t="inlineStr">
        <is>
          <t>Matthews Funds</t>
        </is>
      </c>
      <c r="B119" s="243" t="n">
        <v>4</v>
      </c>
      <c r="C119" s="245" t="n">
        <v>75</v>
      </c>
      <c r="D119" s="246" t="n">
        <v>37.6</v>
      </c>
      <c r="E119" s="246" t="n">
        <v>32.8</v>
      </c>
      <c r="F119" s="246" t="n">
        <v>37.1</v>
      </c>
      <c r="G119" s="246" t="n">
        <v>1.1</v>
      </c>
      <c r="H119" s="246" t="n">
        <v>-3.8</v>
      </c>
      <c r="I119" s="246" t="n">
        <v>0.6</v>
      </c>
      <c r="J119" s="246" t="n">
        <v>-22.5</v>
      </c>
      <c r="K119" s="247" t="inlineStr">
        <is>
          <t>2158 YIDU TECH; 6622 ZHAOKE OPHTH-B; 2618 JD LOGISTICS; 2192 MEDLIVE</t>
        </is>
      </c>
    </row>
    <row r="120">
      <c r="A120" s="51" t="inlineStr">
        <is>
          <t>Millennium Capital Management (Singapore) Pte. Ltd</t>
        </is>
      </c>
      <c r="B120" s="243" t="n">
        <v>4</v>
      </c>
      <c r="C120" s="245" t="n">
        <v>75</v>
      </c>
      <c r="D120" s="246" t="n">
        <v>37.1</v>
      </c>
      <c r="E120" s="246" t="n">
        <v>47.8</v>
      </c>
      <c r="F120" s="246" t="n">
        <v>33.5</v>
      </c>
      <c r="G120" s="246" t="n">
        <v>41.8</v>
      </c>
      <c r="H120" s="246" t="n">
        <v>6.8</v>
      </c>
      <c r="I120" s="246" t="n">
        <v>-4.3</v>
      </c>
      <c r="J120" s="246" t="n">
        <v>-0.5</v>
      </c>
      <c r="K120" s="247" t="inlineStr">
        <is>
          <t>2259 ZIJIN GOLD INTL; 2788 CHUANGXIN IND; 1081 DAJIN; 3661 SG MICRO</t>
        </is>
      </c>
    </row>
    <row r="121">
      <c r="A121" s="51" t="inlineStr">
        <is>
          <t>Hillhouse Investment Management, Ltd</t>
        </is>
      </c>
      <c r="B121" s="243" t="n">
        <v>4</v>
      </c>
      <c r="C121" s="245" t="n">
        <v>75</v>
      </c>
      <c r="D121" s="246" t="n">
        <v>34.3</v>
      </c>
      <c r="E121" s="246" t="n">
        <v>33</v>
      </c>
      <c r="F121" s="246" t="n">
        <v>20.1</v>
      </c>
      <c r="G121" s="246" t="n">
        <v>-17</v>
      </c>
      <c r="H121" s="246" t="n">
        <v>2.1</v>
      </c>
      <c r="I121" s="246" t="n">
        <v>-9.199999999999999</v>
      </c>
      <c r="J121" s="246" t="n">
        <v>-34.5</v>
      </c>
      <c r="K121" s="247" t="inlineStr">
        <is>
          <t>2162 KEYMED BIO-B; 2252 MEDBOT-B; 6656 SIGENERGY; 1081 DAJIN</t>
        </is>
      </c>
    </row>
    <row r="122">
      <c r="A122" s="51" t="inlineStr">
        <is>
          <t>HCEP Master Fund</t>
        </is>
      </c>
      <c r="B122" s="243" t="n">
        <v>4</v>
      </c>
      <c r="C122" s="245" t="n">
        <v>100</v>
      </c>
      <c r="D122" s="246" t="n">
        <v>27.4</v>
      </c>
      <c r="E122" s="246" t="n">
        <v>26.5</v>
      </c>
      <c r="F122" s="246" t="n">
        <v>24.9</v>
      </c>
      <c r="G122" s="246" t="n">
        <v>21.2</v>
      </c>
      <c r="H122" s="246" t="n">
        <v>0.1</v>
      </c>
      <c r="I122" s="246" t="n">
        <v>-0.6</v>
      </c>
      <c r="J122" s="246" t="n">
        <v>-3</v>
      </c>
      <c r="K122" s="247" t="inlineStr">
        <is>
          <t>0300 MIDEA GROUP; 6603 IFBH; 6166 CIG; 2698 SOFTCARE</t>
        </is>
      </c>
    </row>
    <row r="123">
      <c r="A123" s="51" t="inlineStr">
        <is>
          <t>Vivo Opportunity Fund, L.P</t>
        </is>
      </c>
      <c r="B123" s="243" t="n">
        <v>4</v>
      </c>
      <c r="C123" s="245" t="n">
        <v>50</v>
      </c>
      <c r="D123" s="246" t="n">
        <v>26.5</v>
      </c>
      <c r="E123" s="246" t="n">
        <v>15.9</v>
      </c>
      <c r="F123" s="246" t="n">
        <v>-5.3</v>
      </c>
      <c r="G123" s="246" t="n">
        <v>-11.5</v>
      </c>
      <c r="H123" s="246" t="n">
        <v>-8.199999999999999</v>
      </c>
      <c r="I123" s="246" t="n">
        <v>-22</v>
      </c>
      <c r="J123" s="246" t="n">
        <v>-27.6</v>
      </c>
      <c r="K123" s="247" t="inlineStr">
        <is>
          <t>2256 ABBISKO-B; 2157 LEPU BIO-B; 2561 VISEN PHARMA-B; 2595 GENFLEET-B</t>
        </is>
      </c>
    </row>
    <row r="124">
      <c r="A124" s="51" t="inlineStr">
        <is>
          <t>E Fund HK</t>
        </is>
      </c>
      <c r="B124" s="243" t="n">
        <v>4</v>
      </c>
      <c r="C124" s="245" t="n">
        <v>50</v>
      </c>
      <c r="D124" s="246" t="n">
        <v>22</v>
      </c>
      <c r="E124" s="246" t="n">
        <v>21.8</v>
      </c>
      <c r="F124" s="246" t="n">
        <v>19.6</v>
      </c>
      <c r="G124" s="246" t="n">
        <v>50.6</v>
      </c>
      <c r="H124" s="246" t="n">
        <v>-8.699999999999999</v>
      </c>
      <c r="I124" s="246" t="n">
        <v>-10.2</v>
      </c>
      <c r="J124" s="246" t="n">
        <v>0.9</v>
      </c>
      <c r="K124" s="247" t="inlineStr">
        <is>
          <t>2698 SOFTCARE; 1768 BUSYMING; 9615 MECH-MIND ROBOT; 3757 ROBOTECHNIK</t>
        </is>
      </c>
    </row>
    <row r="125">
      <c r="A125" s="51" t="inlineStr">
        <is>
          <t>Yield Royal Investment Holding (Singapore) PTE. LTD</t>
        </is>
      </c>
      <c r="B125" s="243" t="n">
        <v>4</v>
      </c>
      <c r="C125" s="245" t="n">
        <v>100</v>
      </c>
      <c r="D125" s="246" t="n">
        <v>22</v>
      </c>
      <c r="E125" s="246" t="n">
        <v>40.6</v>
      </c>
      <c r="F125" s="246" t="n">
        <v>60.4</v>
      </c>
      <c r="G125" s="246" t="n">
        <v>17.1</v>
      </c>
      <c r="H125" s="246" t="n">
        <v>14.7</v>
      </c>
      <c r="I125" s="246" t="n">
        <v>35.1</v>
      </c>
      <c r="J125" s="246" t="n">
        <v>-4.7</v>
      </c>
      <c r="K125" s="247" t="inlineStr">
        <is>
          <t>2657 FOREST CABIN; 6600 ONEROBOTICS; 9981 WOER; 3277 GPIXEL</t>
        </is>
      </c>
    </row>
    <row r="126">
      <c r="A126" s="51" t="inlineStr">
        <is>
          <t>YHG Investment, L.P</t>
        </is>
      </c>
      <c r="B126" s="243" t="n">
        <v>4</v>
      </c>
      <c r="C126" s="245" t="n">
        <v>50</v>
      </c>
      <c r="D126" s="246" t="n">
        <v>21.2</v>
      </c>
      <c r="E126" s="246" t="n">
        <v>13.7</v>
      </c>
      <c r="F126" s="246" t="n">
        <v>-4.6</v>
      </c>
      <c r="G126" s="246" t="n">
        <v>1.9</v>
      </c>
      <c r="H126" s="246" t="n">
        <v>-7.4</v>
      </c>
      <c r="I126" s="246" t="n">
        <v>-22.1</v>
      </c>
      <c r="J126" s="246" t="n">
        <v>-14</v>
      </c>
      <c r="K126" s="247" t="inlineStr">
        <is>
          <t>2160 CARDIOFLOW-B; 2190 ZYLOXTB-B; 2197 CLOVER BIO-B; 2602 ONEWO</t>
        </is>
      </c>
    </row>
    <row r="127">
      <c r="A127" s="51" t="inlineStr">
        <is>
          <t>SCC Growth VI Holdco F, Ltd</t>
        </is>
      </c>
      <c r="B127" s="243" t="n">
        <v>4</v>
      </c>
      <c r="C127" s="245" t="n">
        <v>75</v>
      </c>
      <c r="D127" s="246" t="n">
        <v>18</v>
      </c>
      <c r="E127" s="246" t="n">
        <v>25.8</v>
      </c>
      <c r="F127" s="246" t="n">
        <v>44.8</v>
      </c>
      <c r="G127" s="246" t="n">
        <v>24.7</v>
      </c>
      <c r="H127" s="246" t="n">
        <v>3.9</v>
      </c>
      <c r="I127" s="246" t="n">
        <v>22.8</v>
      </c>
      <c r="J127" s="246" t="n">
        <v>6.3</v>
      </c>
      <c r="K127" s="247" t="inlineStr">
        <is>
          <t>6127 JOINN; 2137 BRII - B; 2179 RECBIO-B; 3277 GPIXEL</t>
        </is>
      </c>
    </row>
    <row r="128">
      <c r="A128" s="51" t="inlineStr">
        <is>
          <t>Qube Master Fund Ltd</t>
        </is>
      </c>
      <c r="B128" s="243" t="n">
        <v>4</v>
      </c>
      <c r="C128" s="245" t="n">
        <v>50</v>
      </c>
      <c r="D128" s="246" t="n">
        <v>15.5</v>
      </c>
      <c r="E128" s="246" t="n">
        <v>24.9</v>
      </c>
      <c r="F128" s="246" t="n">
        <v>4.5</v>
      </c>
      <c r="G128" s="246" t="n">
        <v>75.90000000000001</v>
      </c>
      <c r="H128" s="246" t="n">
        <v>6.1</v>
      </c>
      <c r="I128" s="246" t="n">
        <v>-11.4</v>
      </c>
      <c r="J128" s="246" t="n">
        <v>35.7</v>
      </c>
      <c r="K128" s="247" t="inlineStr">
        <is>
          <t>6031 SANY HEAVY IND; 6809 MONTAGE TECH; 0470 WUXI LEAD; 1688 LINGYI ITECH</t>
        </is>
      </c>
    </row>
    <row r="129">
      <c r="A129" s="51" t="inlineStr">
        <is>
          <t>Ninety One Asia Pte. Limited</t>
        </is>
      </c>
      <c r="B129" s="243" t="n">
        <v>4</v>
      </c>
      <c r="C129" s="245" t="n">
        <v>75</v>
      </c>
      <c r="D129" s="246" t="n">
        <v>15</v>
      </c>
      <c r="E129" s="246" t="n">
        <v>17.7</v>
      </c>
      <c r="F129" s="246" t="n">
        <v>5.9</v>
      </c>
      <c r="G129" s="246" t="n">
        <v>7.8</v>
      </c>
      <c r="H129" s="246" t="n">
        <v>2.3</v>
      </c>
      <c r="I129" s="246" t="n">
        <v>-6.1</v>
      </c>
      <c r="J129" s="246" t="n">
        <v>-26.7</v>
      </c>
      <c r="K129" s="247" t="inlineStr">
        <is>
          <t>3661 SG MICRO; 6951 CCTC; 3308 ZJ INNOLIGHT; 3228 KINWONG</t>
        </is>
      </c>
    </row>
    <row r="130">
      <c r="A130" s="51" t="inlineStr">
        <is>
          <t>Hel Ved Master Fund</t>
        </is>
      </c>
      <c r="B130" s="243" t="n">
        <v>4</v>
      </c>
      <c r="C130" s="245" t="n">
        <v>25</v>
      </c>
      <c r="D130" s="246" t="n">
        <v>13.2</v>
      </c>
      <c r="E130" s="246" t="n">
        <v>26.3</v>
      </c>
      <c r="F130" s="246" t="n">
        <v>9.800000000000001</v>
      </c>
      <c r="G130" s="246" t="n">
        <v>86.3</v>
      </c>
      <c r="H130" s="246" t="n">
        <v>9.6</v>
      </c>
      <c r="I130" s="246" t="n">
        <v>-3.6</v>
      </c>
      <c r="J130" s="246" t="n">
        <v>35.4</v>
      </c>
      <c r="K130" s="247" t="inlineStr">
        <is>
          <t>2026 PONY-W; 6809 MONTAGE TECH; 0600 AXERA; 1377 DTECH</t>
        </is>
      </c>
    </row>
    <row r="131">
      <c r="A131" s="51" t="inlineStr">
        <is>
          <t>LMR Multi-Strategy Master Fund Limited</t>
        </is>
      </c>
      <c r="B131" s="243" t="n">
        <v>4</v>
      </c>
      <c r="C131" s="245" t="n">
        <v>75</v>
      </c>
      <c r="D131" s="246" t="n">
        <v>12.4</v>
      </c>
      <c r="E131" s="246" t="n">
        <v>9.5</v>
      </c>
      <c r="F131" s="246" t="n">
        <v>-0.8</v>
      </c>
      <c r="G131" s="246" t="n">
        <v>11.8</v>
      </c>
      <c r="H131" s="246" t="n">
        <v>-2.2</v>
      </c>
      <c r="I131" s="246" t="n">
        <v>-10.3</v>
      </c>
      <c r="J131" s="246" t="n">
        <v>-0.2</v>
      </c>
      <c r="K131" s="247" t="inlineStr">
        <is>
          <t>2251 AIRDOC-B; 6613 LENS; 6031 SANY HEAVY IND; 3661 SG MICRO</t>
        </is>
      </c>
    </row>
    <row r="132">
      <c r="A132" s="51" t="inlineStr">
        <is>
          <t>Glencore International AG</t>
        </is>
      </c>
      <c r="B132" s="243" t="n">
        <v>4</v>
      </c>
      <c r="C132" s="245" t="n">
        <v>50</v>
      </c>
      <c r="D132" s="246" t="n">
        <v>11.8</v>
      </c>
      <c r="E132" s="246" t="n">
        <v>19.9</v>
      </c>
      <c r="F132" s="246" t="n">
        <v>23.7</v>
      </c>
      <c r="G132" s="246" t="n">
        <v>37</v>
      </c>
      <c r="H132" s="246" t="n">
        <v>6.2</v>
      </c>
      <c r="I132" s="246" t="n">
        <v>9.199999999999999</v>
      </c>
      <c r="J132" s="246" t="n">
        <v>23</v>
      </c>
      <c r="K132" s="247" t="inlineStr">
        <is>
          <t>2610 NANSHAN AL INTL; 2788 CHUANGXIN IND; 3636 JINXUN RESOURCE; 6228 MERDEKAGOLD-DRS</t>
        </is>
      </c>
    </row>
    <row r="133">
      <c r="A133" s="51" t="inlineStr">
        <is>
          <t>Ruihua Investment</t>
        </is>
      </c>
      <c r="B133" s="243" t="n">
        <v>4</v>
      </c>
      <c r="C133" s="245" t="n">
        <v>50</v>
      </c>
      <c r="D133" s="246" t="n">
        <v>10.2</v>
      </c>
      <c r="E133" s="246" t="n">
        <v>-2</v>
      </c>
      <c r="F133" s="246" t="n">
        <v>-7.1</v>
      </c>
      <c r="G133" s="246" t="n">
        <v>-15.5</v>
      </c>
      <c r="H133" s="246" t="n">
        <v>-11.4</v>
      </c>
      <c r="I133" s="246" t="n">
        <v>-18.7</v>
      </c>
      <c r="J133" s="246" t="n">
        <v>-25.3</v>
      </c>
      <c r="K133" s="247" t="inlineStr">
        <is>
          <t>0638 FIBOCOM; 2476 VGT; 6106 SEER TECH; 9615 MECH-MIND ROBOT</t>
        </is>
      </c>
    </row>
    <row r="134">
      <c r="A134" s="51" t="inlineStr">
        <is>
          <t>Seven Grand Managers, LLC</t>
        </is>
      </c>
      <c r="B134" s="243" t="n">
        <v>4</v>
      </c>
      <c r="C134" s="245" t="n">
        <v>75</v>
      </c>
      <c r="D134" s="246" t="n">
        <v>9.199999999999999</v>
      </c>
      <c r="E134" s="246" t="n">
        <v>2.9</v>
      </c>
      <c r="F134" s="246" t="n">
        <v>-1.4</v>
      </c>
      <c r="G134" s="246" t="n">
        <v>-8.699999999999999</v>
      </c>
      <c r="H134" s="246" t="n">
        <v>-5.2</v>
      </c>
      <c r="I134" s="246" t="n">
        <v>-11.3</v>
      </c>
      <c r="J134" s="246" t="n">
        <v>-18.3</v>
      </c>
      <c r="K134" s="247" t="inlineStr">
        <is>
          <t>3388 CREALITY; 1688 LINGYI ITECH; 7687 EACON; 3228 KINWONG</t>
        </is>
      </c>
    </row>
    <row r="135">
      <c r="A135" s="51" t="inlineStr">
        <is>
          <t>Jinyi Capital Multi-Strategy Fund SPC Ltd</t>
        </is>
      </c>
      <c r="B135" s="243" t="n">
        <v>4</v>
      </c>
      <c r="C135" s="245" t="n">
        <v>75</v>
      </c>
      <c r="D135" s="246" t="n">
        <v>7</v>
      </c>
      <c r="E135" s="246" t="n">
        <v>33.7</v>
      </c>
      <c r="F135" s="246" t="n">
        <v>23.9</v>
      </c>
      <c r="G135" s="246" t="n">
        <v>152.5</v>
      </c>
      <c r="H135" s="246" t="n">
        <v>23.9</v>
      </c>
      <c r="I135" s="246" t="n">
        <v>14.1</v>
      </c>
      <c r="J135" s="246" t="n">
        <v>127</v>
      </c>
      <c r="K135" s="247" t="inlineStr">
        <is>
          <t>2513 KNOWLEDGE ATLAS; 0600 AXERA; 3268 MEIG; 3296 HUAQIN</t>
        </is>
      </c>
    </row>
    <row r="136">
      <c r="A136" s="51" t="inlineStr">
        <is>
          <t>JPMAMAPL</t>
        </is>
      </c>
      <c r="B136" s="243" t="n">
        <v>4</v>
      </c>
      <c r="C136" s="245" t="n">
        <v>75</v>
      </c>
      <c r="D136" s="246" t="n">
        <v>6.5</v>
      </c>
      <c r="E136" s="246" t="n">
        <v>8.699999999999999</v>
      </c>
      <c r="F136" s="246" t="n">
        <v>14.8</v>
      </c>
      <c r="G136" s="246" t="n">
        <v>21.2</v>
      </c>
      <c r="H136" s="246" t="n">
        <v>2.5</v>
      </c>
      <c r="I136" s="246" t="n">
        <v>7.6</v>
      </c>
      <c r="J136" s="246" t="n">
        <v>7</v>
      </c>
      <c r="K136" s="247" t="inlineStr">
        <is>
          <t>3296 HUAQIN; 7687 EACON; 6951 CCTC; 3308 ZJ INNOLIGHT</t>
        </is>
      </c>
    </row>
    <row r="137">
      <c r="A137" s="51" t="inlineStr">
        <is>
          <t>Taibai Investments Pte. Ltd</t>
        </is>
      </c>
      <c r="B137" s="243" t="n">
        <v>4</v>
      </c>
      <c r="C137" s="245" t="n">
        <v>50</v>
      </c>
      <c r="D137" s="246" t="n">
        <v>5.7</v>
      </c>
      <c r="E137" s="246" t="n">
        <v>20.4</v>
      </c>
      <c r="F137" s="246" t="n">
        <v>41.2</v>
      </c>
      <c r="G137" s="246" t="n">
        <v>62.8</v>
      </c>
      <c r="H137" s="246" t="n">
        <v>12.6</v>
      </c>
      <c r="I137" s="246" t="n">
        <v>28.3</v>
      </c>
      <c r="J137" s="246" t="n">
        <v>38.6</v>
      </c>
      <c r="K137" s="247" t="inlineStr">
        <is>
          <t>3696 INSILICO; 9980 EASTROC; 2475 LUXSHARE ICT; 3308 ZJ INNOLIGHT</t>
        </is>
      </c>
    </row>
    <row r="138">
      <c r="A138" s="51" t="inlineStr">
        <is>
          <t>Alphahill Capital Limited</t>
        </is>
      </c>
      <c r="B138" s="243" t="n">
        <v>4</v>
      </c>
      <c r="C138" s="245" t="n">
        <v>50</v>
      </c>
      <c r="D138" s="246" t="n">
        <v>-0.4</v>
      </c>
      <c r="E138" s="246" t="n">
        <v>15.3</v>
      </c>
      <c r="F138" s="246" t="n">
        <v>-13.1</v>
      </c>
      <c r="G138" s="246" t="n">
        <v>27.7</v>
      </c>
      <c r="H138" s="246" t="n">
        <v>17.1</v>
      </c>
      <c r="I138" s="246" t="n">
        <v>-12.7</v>
      </c>
      <c r="J138" s="246" t="n">
        <v>24.1</v>
      </c>
      <c r="K138" s="247" t="inlineStr">
        <is>
          <t>9903 ILUVATAR COREX; 0600 AXERA; 3952 LAIFUAL; 9856 LIGENT</t>
        </is>
      </c>
    </row>
    <row r="139">
      <c r="A139" s="51" t="inlineStr">
        <is>
          <t>Lens Technology (HK) Co., Limited</t>
        </is>
      </c>
      <c r="B139" s="243" t="n">
        <v>4</v>
      </c>
      <c r="C139" s="245" t="n">
        <v>25</v>
      </c>
      <c r="D139" s="246" t="n">
        <v>-0.5</v>
      </c>
      <c r="E139" s="246" t="n">
        <v>-15.2</v>
      </c>
      <c r="F139" s="246" t="n">
        <v>-15.5</v>
      </c>
      <c r="G139" s="246" t="n">
        <v>-9.199999999999999</v>
      </c>
      <c r="H139" s="246" t="n">
        <v>-14.8</v>
      </c>
      <c r="I139" s="246" t="n">
        <v>-15.3</v>
      </c>
      <c r="J139" s="246" t="n">
        <v>-9</v>
      </c>
      <c r="K139" s="247" t="inlineStr">
        <is>
          <t>2529 HOLLWIN URBAN; 2579 CNGR; 1187 COFOE MEDICAL; 9976 LONGSYS</t>
        </is>
      </c>
    </row>
    <row r="140">
      <c r="A140" s="51" t="inlineStr">
        <is>
          <t>NGS Super Fund</t>
        </is>
      </c>
      <c r="B140" s="243" t="n">
        <v>4</v>
      </c>
      <c r="C140" s="245" t="n">
        <v>0</v>
      </c>
      <c r="D140" s="246" t="n">
        <v>-1</v>
      </c>
      <c r="E140" s="246" t="n">
        <v>1.8</v>
      </c>
      <c r="F140" s="246" t="n">
        <v>-6.5</v>
      </c>
      <c r="G140" s="246" t="n">
        <v>-28</v>
      </c>
      <c r="H140" s="246" t="n">
        <v>2.7</v>
      </c>
      <c r="I140" s="246" t="n">
        <v>-5.6</v>
      </c>
      <c r="J140" s="246" t="n">
        <v>-28</v>
      </c>
      <c r="K140" s="247" t="inlineStr">
        <is>
          <t>0600 AXERA; 2249 NEXCHIP; 3308 ZJ INNOLIGHT; 9615 MECH-MIND ROBOT</t>
        </is>
      </c>
    </row>
    <row r="141">
      <c r="A141" s="51" t="inlineStr">
        <is>
          <t>Factorial Master Fund</t>
        </is>
      </c>
      <c r="B141" s="243" t="n">
        <v>4</v>
      </c>
      <c r="C141" s="245" t="n">
        <v>50</v>
      </c>
      <c r="D141" s="246" t="n">
        <v>-2.7</v>
      </c>
      <c r="E141" s="246" t="n">
        <v>11.7</v>
      </c>
      <c r="F141" s="246" t="n">
        <v>-7.2</v>
      </c>
      <c r="G141" s="246" t="n">
        <v>53</v>
      </c>
      <c r="H141" s="246" t="n">
        <v>15.9</v>
      </c>
      <c r="I141" s="246" t="n">
        <v>-5.7</v>
      </c>
      <c r="J141" s="246" t="n">
        <v>53.7</v>
      </c>
      <c r="K141" s="247" t="inlineStr">
        <is>
          <t>3317 XUNCE; 0600 AXERA; 9981 WOER; 3952 LAIFUAL</t>
        </is>
      </c>
    </row>
    <row r="142">
      <c r="A142" s="51" t="inlineStr">
        <is>
          <t>Wealth Strategy Holding Limited</t>
        </is>
      </c>
      <c r="B142" s="243" t="n">
        <v>4</v>
      </c>
      <c r="C142" s="245" t="n">
        <v>50</v>
      </c>
      <c r="D142" s="246" t="n">
        <v>-5.1</v>
      </c>
      <c r="E142" s="246" t="n">
        <v>-7.1</v>
      </c>
      <c r="F142" s="246" t="n">
        <v>18.4</v>
      </c>
      <c r="G142" s="246" t="n">
        <v>64.3</v>
      </c>
      <c r="H142" s="246" t="n">
        <v>-7.1</v>
      </c>
      <c r="I142" s="246" t="n">
        <v>20.5</v>
      </c>
      <c r="J142" s="246" t="n">
        <v>68.3</v>
      </c>
      <c r="K142" s="247" t="inlineStr">
        <is>
          <t>2563 BIOSTAR PHARM-B; 2592 CLOUDBREAK-B; 3317 XUNCE; 6915 JIANGXI BIO</t>
        </is>
      </c>
    </row>
    <row r="143">
      <c r="A143" s="51" t="inlineStr">
        <is>
          <t>Qingdao Haifa Holding Development Co., Ltd</t>
        </is>
      </c>
      <c r="B143" s="243" t="n">
        <v>4</v>
      </c>
      <c r="C143" s="245" t="n">
        <v>25</v>
      </c>
      <c r="D143" s="246" t="n">
        <v>-5.4</v>
      </c>
      <c r="E143" s="246" t="n">
        <v>-5</v>
      </c>
      <c r="F143" s="246" t="n">
        <v>-4.9</v>
      </c>
      <c r="G143" s="246" t="n">
        <v>-22.6</v>
      </c>
      <c r="H143" s="246" t="n">
        <v>-0.7</v>
      </c>
      <c r="I143" s="246" t="n">
        <v>1.5</v>
      </c>
      <c r="J143" s="246" t="n">
        <v>-16.5</v>
      </c>
      <c r="K143" s="247" t="inlineStr">
        <is>
          <t>9638 FERRETTI; 1973 TIAN TU CAPITAL; 9611 LONGCHEER; 0600 AXERA</t>
        </is>
      </c>
    </row>
    <row r="144">
      <c r="A144" s="51" t="inlineStr">
        <is>
          <t>Ningbo Yinzhou District Financial Holding Co., Ltd</t>
        </is>
      </c>
      <c r="B144" s="243" t="n">
        <v>4</v>
      </c>
      <c r="C144" s="245" t="n">
        <v>25</v>
      </c>
      <c r="D144" s="246" t="n">
        <v>-7.5</v>
      </c>
      <c r="E144" s="246" t="n">
        <v>-13.3</v>
      </c>
      <c r="F144" s="246" t="n">
        <v>-17.4</v>
      </c>
      <c r="G144" s="246" t="n">
        <v>-25.5</v>
      </c>
      <c r="H144" s="246" t="n">
        <v>-7.7</v>
      </c>
      <c r="I144" s="246" t="n">
        <v>-14.4</v>
      </c>
      <c r="J144" s="246" t="n">
        <v>-23</v>
      </c>
      <c r="K144" s="247" t="inlineStr">
        <is>
          <t>2245 LYGEND RESOURCE; 2105 LAEKNA-B; 9686 NEUSOFT XIKANG; 0699 JOYSON ELEC</t>
        </is>
      </c>
    </row>
    <row r="145">
      <c r="A145" s="51" t="inlineStr">
        <is>
          <t>Aurora SF (in connection with the Arrangement)</t>
        </is>
      </c>
      <c r="B145" s="243" t="n">
        <v>4</v>
      </c>
      <c r="C145" s="245" t="n">
        <v>50</v>
      </c>
      <c r="D145" s="246" t="n">
        <v>-8.6</v>
      </c>
      <c r="E145" s="246" t="n">
        <v>-9.6</v>
      </c>
      <c r="F145" s="246" t="n">
        <v>-1.4</v>
      </c>
      <c r="G145" s="246" t="n">
        <v>21.2</v>
      </c>
      <c r="H145" s="246" t="n">
        <v>-1.5</v>
      </c>
      <c r="I145" s="246" t="n">
        <v>5.7</v>
      </c>
      <c r="J145" s="246" t="n">
        <v>7</v>
      </c>
      <c r="K145" s="247" t="inlineStr">
        <is>
          <t>3296 HUAQIN; 2667 TONGRENTANGCARE; 7687 EACON; 6745 BEFAR GROUP</t>
        </is>
      </c>
    </row>
    <row r="146">
      <c r="A146" s="51" t="inlineStr">
        <is>
          <t>Anji Guorong Construction Co., Ltd</t>
        </is>
      </c>
      <c r="B146" s="243" t="n">
        <v>4</v>
      </c>
      <c r="C146" s="245" t="n">
        <v>25</v>
      </c>
      <c r="D146" s="246" t="n">
        <v>-10.6</v>
      </c>
      <c r="E146" s="246" t="n">
        <v>-15.8</v>
      </c>
      <c r="F146" s="246" t="n">
        <v>-2</v>
      </c>
      <c r="G146" s="246" t="n">
        <v>8.199999999999999</v>
      </c>
      <c r="H146" s="246" t="n">
        <v>-6.8</v>
      </c>
      <c r="I146" s="246" t="n">
        <v>7.3</v>
      </c>
      <c r="J146" s="246" t="n">
        <v>18.8</v>
      </c>
      <c r="K146" s="247" t="inlineStr">
        <is>
          <t>6610 FLOWING CLOUD; 2440 HOWKINGTECH; 2415 MEDSCI; 6831 GREEN TEA GROUP</t>
        </is>
      </c>
    </row>
    <row r="147">
      <c r="A147" s="51" t="inlineStr">
        <is>
          <t>Baillie Gifford</t>
        </is>
      </c>
      <c r="B147" s="243" t="n">
        <v>3</v>
      </c>
      <c r="C147" s="245" t="n">
        <v>67</v>
      </c>
      <c r="D147" s="246" t="n">
        <v>150.1</v>
      </c>
      <c r="E147" s="246" t="n">
        <v>153.8</v>
      </c>
      <c r="F147" s="246" t="n">
        <v>98.90000000000001</v>
      </c>
      <c r="G147" s="246" t="n">
        <v>64</v>
      </c>
      <c r="H147" s="246" t="n">
        <v>-0.7</v>
      </c>
      <c r="I147" s="246" t="n">
        <v>-14</v>
      </c>
      <c r="J147" s="246" t="n">
        <v>-27.3</v>
      </c>
      <c r="K147" s="247" t="inlineStr">
        <is>
          <t>2259 ZIJIN GOLD INTL; 1879 XIZHI TECH-P; 9615 MECH-MIND ROBOT</t>
        </is>
      </c>
    </row>
    <row r="148">
      <c r="A148" s="51" t="inlineStr">
        <is>
          <t>The Biotech Growth Trust PLC</t>
        </is>
      </c>
      <c r="B148" s="243" t="n">
        <v>3</v>
      </c>
      <c r="C148" s="245" t="n">
        <v>100</v>
      </c>
      <c r="D148" s="246" t="n">
        <v>78.5</v>
      </c>
      <c r="E148" s="246" t="n">
        <v>79</v>
      </c>
      <c r="F148" s="246" t="n">
        <v>41.1</v>
      </c>
      <c r="G148" s="246" t="n">
        <v>42.7</v>
      </c>
      <c r="H148" s="246" t="n">
        <v>1.4</v>
      </c>
      <c r="I148" s="246" t="n">
        <v>-21.2</v>
      </c>
      <c r="J148" s="246" t="n">
        <v>-17.9</v>
      </c>
      <c r="K148" s="247" t="inlineStr">
        <is>
          <t>9887 LEADS BIOLABS-B; 2595 GENFLEET-B; 1779 LONGBIO-B</t>
        </is>
      </c>
    </row>
    <row r="149">
      <c r="A149" s="51" t="inlineStr">
        <is>
          <t>Charoen Pokphand Robot Limited</t>
        </is>
      </c>
      <c r="B149" s="243" t="n">
        <v>3</v>
      </c>
      <c r="C149" s="245" t="n">
        <v>100</v>
      </c>
      <c r="D149" s="246" t="n">
        <v>61</v>
      </c>
      <c r="E149" s="246" t="n">
        <v>49.3</v>
      </c>
      <c r="F149" s="246" t="n">
        <v>50.5</v>
      </c>
      <c r="G149" s="246" t="n">
        <v>20.4</v>
      </c>
      <c r="H149" s="246" t="n">
        <v>-6.4</v>
      </c>
      <c r="I149" s="246" t="n">
        <v>-2.9</v>
      </c>
      <c r="J149" s="246" t="n">
        <v>-20.5</v>
      </c>
      <c r="K149" s="247" t="inlineStr">
        <is>
          <t>6082 BIREN TECH; 2714 MUYUAN; 6656 SIGENERGY</t>
        </is>
      </c>
    </row>
    <row r="150">
      <c r="A150" s="51" t="inlineStr">
        <is>
          <t>Alisoft China Holding Limited</t>
        </is>
      </c>
      <c r="B150" s="243" t="n">
        <v>3</v>
      </c>
      <c r="C150" s="245" t="n">
        <v>100</v>
      </c>
      <c r="D150" s="246" t="n">
        <v>58.5</v>
      </c>
      <c r="E150" s="246" t="n">
        <v>94.09999999999999</v>
      </c>
      <c r="F150" s="246" t="n">
        <v>90.5</v>
      </c>
      <c r="G150" s="246" t="n">
        <v>256.1</v>
      </c>
      <c r="H150" s="246" t="n">
        <v>21.3</v>
      </c>
      <c r="I150" s="246" t="n">
        <v>14.1</v>
      </c>
      <c r="J150" s="246" t="n">
        <v>106.7</v>
      </c>
      <c r="K150" s="247" t="inlineStr">
        <is>
          <t>9660 HORIZONROBOT-W; 0100 MINIMAX-WP; 6809 MONTAGE TECH</t>
        </is>
      </c>
    </row>
    <row r="151">
      <c r="A151" s="51" t="inlineStr">
        <is>
          <t>IDG Breyer Capital Fund L.P</t>
        </is>
      </c>
      <c r="B151" s="243" t="n">
        <v>3</v>
      </c>
      <c r="C151" s="245" t="n">
        <v>67</v>
      </c>
      <c r="D151" s="246" t="n">
        <v>58.5</v>
      </c>
      <c r="E151" s="246" t="n">
        <v>93.40000000000001</v>
      </c>
      <c r="F151" s="246" t="n">
        <v>99.90000000000001</v>
      </c>
      <c r="G151" s="246" t="n">
        <v>273.2</v>
      </c>
      <c r="H151" s="246" t="n">
        <v>21.3</v>
      </c>
      <c r="I151" s="246" t="n">
        <v>21.8</v>
      </c>
      <c r="J151" s="246" t="n">
        <v>90.09999999999999</v>
      </c>
      <c r="K151" s="247" t="inlineStr">
        <is>
          <t>2259 ZIJIN GOLD INTL; 0100 MINIMAX-WP; 3308 ZJ INNOLIGHT</t>
        </is>
      </c>
    </row>
    <row r="152">
      <c r="A152" s="51" t="inlineStr">
        <is>
          <t>JPMorgan Asset Management (Asia Pacific) Limited</t>
        </is>
      </c>
      <c r="B152" s="243" t="n">
        <v>3</v>
      </c>
      <c r="C152" s="245" t="n">
        <v>100</v>
      </c>
      <c r="D152" s="246" t="n">
        <v>53.7</v>
      </c>
      <c r="E152" s="246" t="n">
        <v>46.5</v>
      </c>
      <c r="F152" s="246" t="n">
        <v>17.6</v>
      </c>
      <c r="G152" s="246" t="n">
        <v>23</v>
      </c>
      <c r="H152" s="246" t="n">
        <v>-15.1</v>
      </c>
      <c r="I152" s="246" t="n">
        <v>-32.4</v>
      </c>
      <c r="J152" s="246" t="n">
        <v>-29.4</v>
      </c>
      <c r="K152" s="247" t="inlineStr">
        <is>
          <t>3661 SG MICRO; 9630 CFMEE; 3228 KINWONG</t>
        </is>
      </c>
    </row>
    <row r="153">
      <c r="A153" s="51" t="inlineStr">
        <is>
          <t>Sparky International Company Limited</t>
        </is>
      </c>
      <c r="B153" s="243" t="n">
        <v>3</v>
      </c>
      <c r="C153" s="245" t="n">
        <v>67</v>
      </c>
      <c r="D153" s="246" t="n">
        <v>53</v>
      </c>
      <c r="E153" s="246" t="n">
        <v>69.59999999999999</v>
      </c>
      <c r="F153" s="246" t="n">
        <v>97.7</v>
      </c>
      <c r="G153" s="246" t="n">
        <v>141.3</v>
      </c>
      <c r="H153" s="246" t="n">
        <v>9.699999999999999</v>
      </c>
      <c r="I153" s="246" t="n">
        <v>27.7</v>
      </c>
      <c r="J153" s="246" t="n">
        <v>64.59999999999999</v>
      </c>
      <c r="K153" s="247" t="inlineStr">
        <is>
          <t>6693 CHIFENG GOLD; 2259 ZIJIN GOLD INTL; 2546 ZHIHUI MINING</t>
        </is>
      </c>
    </row>
    <row r="154">
      <c r="A154" s="51" t="inlineStr">
        <is>
          <t>TradArt Investment SP</t>
        </is>
      </c>
      <c r="B154" s="243" t="n">
        <v>3</v>
      </c>
      <c r="C154" s="245" t="n">
        <v>100</v>
      </c>
      <c r="D154" s="246" t="n">
        <v>48.1</v>
      </c>
      <c r="E154" s="246" t="n">
        <v>53.3</v>
      </c>
      <c r="F154" s="246" t="n">
        <v>114.9</v>
      </c>
      <c r="G154" s="246" t="n">
        <v>147.8</v>
      </c>
      <c r="H154" s="246" t="n">
        <v>4.9</v>
      </c>
      <c r="I154" s="246" t="n">
        <v>45.8</v>
      </c>
      <c r="J154" s="246" t="n">
        <v>66.8</v>
      </c>
      <c r="K154" s="247" t="inlineStr">
        <is>
          <t>1244 3D MEDICINES-B; 6698 STAR CM; 2306 YH ENT</t>
        </is>
      </c>
    </row>
    <row r="155">
      <c r="A155" s="51" t="inlineStr">
        <is>
          <t>Springs Capital (Hong Kong) Limited</t>
        </is>
      </c>
      <c r="B155" s="243" t="n">
        <v>3</v>
      </c>
      <c r="C155" s="245" t="n">
        <v>100</v>
      </c>
      <c r="D155" s="246" t="n">
        <v>44.4</v>
      </c>
      <c r="E155" s="246" t="n">
        <v>36.6</v>
      </c>
      <c r="F155" s="246" t="n">
        <v>23.7</v>
      </c>
      <c r="G155" s="246" t="n">
        <v>28.8</v>
      </c>
      <c r="H155" s="246" t="n">
        <v>-5.9</v>
      </c>
      <c r="I155" s="246" t="n">
        <v>-15.7</v>
      </c>
      <c r="J155" s="246" t="n">
        <v>-12.9</v>
      </c>
      <c r="K155" s="247" t="inlineStr">
        <is>
          <t>6938 RIBOLIFE-B; 1768 BUSYMING; 6067 SENIOR MATERIAL</t>
        </is>
      </c>
    </row>
    <row r="156">
      <c r="A156" s="51" t="inlineStr">
        <is>
          <t>Emerging Markets Healthcare Partners LLC</t>
        </is>
      </c>
      <c r="B156" s="243" t="n">
        <v>3</v>
      </c>
      <c r="C156" s="245" t="n">
        <v>67</v>
      </c>
      <c r="D156" s="246" t="n">
        <v>40.5</v>
      </c>
      <c r="E156" s="246" t="n">
        <v>59.5</v>
      </c>
      <c r="F156" s="246" t="n">
        <v>81.40000000000001</v>
      </c>
      <c r="G156" s="246" t="n">
        <v>112.2</v>
      </c>
      <c r="H156" s="246" t="n">
        <v>11.6</v>
      </c>
      <c r="I156" s="246" t="n">
        <v>30.5</v>
      </c>
      <c r="J156" s="246" t="n">
        <v>36.3</v>
      </c>
      <c r="K156" s="247" t="inlineStr">
        <is>
          <t>2216 BRONCUS-B; 9606 DUALITYBIO-B; 3696 INSILICO</t>
        </is>
      </c>
    </row>
    <row r="157">
      <c r="A157" s="51" t="inlineStr">
        <is>
          <t>Huangshan City Investment Private Equity Fund Management Co., Ltd</t>
        </is>
      </c>
      <c r="B157" s="243" t="n">
        <v>3</v>
      </c>
      <c r="C157" s="245" t="n">
        <v>100</v>
      </c>
      <c r="D157" s="246" t="n">
        <v>40.1</v>
      </c>
      <c r="E157" s="246" t="n">
        <v>45.9</v>
      </c>
      <c r="F157" s="246" t="n">
        <v>33.2</v>
      </c>
      <c r="G157" s="246" t="n">
        <v>28.5</v>
      </c>
      <c r="H157" s="246" t="n">
        <v>2.2</v>
      </c>
      <c r="I157" s="246" t="n">
        <v>-7.2</v>
      </c>
      <c r="J157" s="246" t="n">
        <v>-10.1</v>
      </c>
      <c r="K157" s="247" t="inlineStr">
        <is>
          <t>1334 RUICHANG INTL; 9973 CHERY AUTO; 2720 RIDGE OUTDOOR</t>
        </is>
      </c>
    </row>
    <row r="158">
      <c r="A158" s="51" t="inlineStr">
        <is>
          <t>Huaqin Telecom Hong Kong Limited</t>
        </is>
      </c>
      <c r="B158" s="243" t="n">
        <v>3</v>
      </c>
      <c r="C158" s="245" t="n">
        <v>100</v>
      </c>
      <c r="D158" s="246" t="n">
        <v>39.2</v>
      </c>
      <c r="E158" s="246" t="n">
        <v>65.8</v>
      </c>
      <c r="F158" s="246" t="n">
        <v>48.9</v>
      </c>
      <c r="G158" s="246" t="n">
        <v>149.5</v>
      </c>
      <c r="H158" s="246" t="n">
        <v>17.9</v>
      </c>
      <c r="I158" s="246" t="n">
        <v>6.4</v>
      </c>
      <c r="J158" s="246" t="n">
        <v>68.7</v>
      </c>
      <c r="K158" s="247" t="inlineStr">
        <is>
          <t>0501 OMNIVISION; 3986 GIGADEVICE; 6809 MONTAGE TECH</t>
        </is>
      </c>
    </row>
    <row r="159">
      <c r="A159" s="51" t="inlineStr">
        <is>
          <t>Sungrow Power (Hong Kong) Co., Limited</t>
        </is>
      </c>
      <c r="B159" s="243" t="n">
        <v>3</v>
      </c>
      <c r="C159" s="245" t="n">
        <v>67</v>
      </c>
      <c r="D159" s="246" t="n">
        <v>37.8</v>
      </c>
      <c r="E159" s="246" t="n">
        <v>16.2</v>
      </c>
      <c r="F159" s="246" t="n">
        <v>-3.3</v>
      </c>
      <c r="G159" s="246" t="n">
        <v>23</v>
      </c>
      <c r="H159" s="246" t="n">
        <v>-13.7</v>
      </c>
      <c r="I159" s="246" t="n">
        <v>-25.7</v>
      </c>
      <c r="J159" s="246" t="n">
        <v>-29.4</v>
      </c>
      <c r="K159" s="247" t="inlineStr">
        <is>
          <t>3661 SG MICRO; 9630 CFMEE; 0537 RIGOL</t>
        </is>
      </c>
    </row>
    <row r="160">
      <c r="A160" s="51" t="inlineStr">
        <is>
          <t>First Seafront Asset Management Limited</t>
        </is>
      </c>
      <c r="B160" s="243" t="n">
        <v>3</v>
      </c>
      <c r="C160" s="245" t="n">
        <v>100</v>
      </c>
      <c r="D160" s="246" t="n">
        <v>33.4</v>
      </c>
      <c r="E160" s="246" t="n">
        <v>18.2</v>
      </c>
      <c r="F160" s="246" t="n">
        <v>17.1</v>
      </c>
      <c r="G160" s="246" t="n">
        <v>30.4</v>
      </c>
      <c r="H160" s="246" t="n">
        <v>-7.4</v>
      </c>
      <c r="I160" s="246" t="n">
        <v>-12.8</v>
      </c>
      <c r="J160" s="246" t="n">
        <v>-3.8</v>
      </c>
      <c r="K160" s="247" t="inlineStr">
        <is>
          <t>2768 GON TECHNOLOGY; 1956 WENGE AI; 9856 LIGENT</t>
        </is>
      </c>
    </row>
    <row r="161">
      <c r="A161" s="51" t="inlineStr">
        <is>
          <t>HQ TELECOM SINGAPORE PTE. LTD</t>
        </is>
      </c>
      <c r="B161" s="243" t="n">
        <v>3</v>
      </c>
      <c r="C161" s="245" t="n">
        <v>67</v>
      </c>
      <c r="D161" s="246" t="n">
        <v>32.4</v>
      </c>
      <c r="E161" s="246" t="n">
        <v>26.9</v>
      </c>
      <c r="F161" s="246" t="n">
        <v>23.8</v>
      </c>
      <c r="G161" s="246" t="n">
        <v>8.699999999999999</v>
      </c>
      <c r="H161" s="246" t="n">
        <v>-3.7</v>
      </c>
      <c r="I161" s="246" t="n">
        <v>-5.8</v>
      </c>
      <c r="J161" s="246" t="n">
        <v>-26.8</v>
      </c>
      <c r="K161" s="247" t="inlineStr">
        <is>
          <t>2476 VGT; 3661 SG MICRO; 3223 INGENIC</t>
        </is>
      </c>
    </row>
    <row r="162">
      <c r="A162" s="51" t="inlineStr">
        <is>
          <t>Infore Holding</t>
        </is>
      </c>
      <c r="B162" s="243" t="n">
        <v>3</v>
      </c>
      <c r="C162" s="245" t="n">
        <v>100</v>
      </c>
      <c r="D162" s="246" t="n">
        <v>31</v>
      </c>
      <c r="E162" s="246" t="n">
        <v>20.8</v>
      </c>
      <c r="F162" s="246" t="n">
        <v>24.9</v>
      </c>
      <c r="G162" s="246" t="n">
        <v>16.6</v>
      </c>
      <c r="H162" s="246" t="n">
        <v>-6.8</v>
      </c>
      <c r="I162" s="246" t="n">
        <v>-4.8</v>
      </c>
      <c r="J162" s="246" t="n">
        <v>-8.300000000000001</v>
      </c>
      <c r="K162" s="247" t="inlineStr">
        <is>
          <t>2589 AUNTEA JENNY; 6031 SANY HEAVY IND; 2476 VGT</t>
        </is>
      </c>
    </row>
    <row r="163">
      <c r="A163" s="51" t="inlineStr">
        <is>
          <t>CDH Global Frontier Ventures Limited</t>
        </is>
      </c>
      <c r="B163" s="243" t="n">
        <v>3</v>
      </c>
      <c r="C163" s="245" t="n">
        <v>67</v>
      </c>
      <c r="D163" s="246" t="n">
        <v>30.4</v>
      </c>
      <c r="E163" s="246" t="n">
        <v>25.1</v>
      </c>
      <c r="F163" s="246" t="n">
        <v>-5.5</v>
      </c>
      <c r="G163" s="246" t="n">
        <v>-22.4</v>
      </c>
      <c r="H163" s="246" t="n">
        <v>3.9</v>
      </c>
      <c r="I163" s="246" t="n">
        <v>-26.5</v>
      </c>
      <c r="J163" s="246" t="n">
        <v>-36.4</v>
      </c>
      <c r="K163" s="247" t="inlineStr">
        <is>
          <t>2698 SOFTCARE; 7688 TOPNC; 3952 LAIFUAL</t>
        </is>
      </c>
    </row>
    <row r="164">
      <c r="A164" s="51" t="inlineStr">
        <is>
          <t>Hao Great China Focus Fund</t>
        </is>
      </c>
      <c r="B164" s="243" t="n">
        <v>3</v>
      </c>
      <c r="C164" s="245" t="n">
        <v>67</v>
      </c>
      <c r="D164" s="246" t="n">
        <v>29.1</v>
      </c>
      <c r="E164" s="246" t="n">
        <v>31.7</v>
      </c>
      <c r="F164" s="246" t="n">
        <v>27</v>
      </c>
      <c r="G164" s="246" t="n">
        <v>30.7</v>
      </c>
      <c r="H164" s="246" t="n">
        <v>3.4</v>
      </c>
      <c r="I164" s="246" t="n">
        <v>-0.6</v>
      </c>
      <c r="J164" s="246" t="n">
        <v>-12.2</v>
      </c>
      <c r="K164" s="247" t="inlineStr">
        <is>
          <t>6082 BIREN TECH; 3355 FS.COM; 3308 ZJ INNOLIGHT</t>
        </is>
      </c>
    </row>
    <row r="165">
      <c r="A165" s="51" t="inlineStr">
        <is>
          <t>Yi Fang Da Brocade Inv. Limited</t>
        </is>
      </c>
      <c r="B165" s="243" t="n">
        <v>3</v>
      </c>
      <c r="C165" s="245" t="n">
        <v>100</v>
      </c>
      <c r="D165" s="246" t="n">
        <v>29</v>
      </c>
      <c r="E165" s="246" t="n">
        <v>29.6</v>
      </c>
      <c r="F165" s="246" t="n">
        <v>11.6</v>
      </c>
      <c r="G165" s="246" t="n">
        <v>-5.6</v>
      </c>
      <c r="H165" s="246" t="n">
        <v>0</v>
      </c>
      <c r="I165" s="246" t="n">
        <v>-13.8</v>
      </c>
      <c r="J165" s="246" t="n">
        <v>-28.3</v>
      </c>
      <c r="K165" s="247" t="inlineStr">
        <is>
          <t>2160 CARDIOFLOW-B; 2162 KEYMED BIO-B; 2279 YONGHE MEDICAL</t>
        </is>
      </c>
    </row>
    <row r="166">
      <c r="A166" s="51" t="inlineStr">
        <is>
          <t>Eastern Bell Capital VIII Investment Limited</t>
        </is>
      </c>
      <c r="B166" s="243" t="n">
        <v>3</v>
      </c>
      <c r="C166" s="245" t="n">
        <v>33</v>
      </c>
      <c r="D166" s="246" t="n">
        <v>22.5</v>
      </c>
      <c r="E166" s="246" t="n">
        <v>34.5</v>
      </c>
      <c r="F166" s="246" t="n">
        <v>37.8</v>
      </c>
      <c r="G166" s="246" t="n">
        <v>43</v>
      </c>
      <c r="H166" s="246" t="n">
        <v>6.4</v>
      </c>
      <c r="I166" s="246" t="n">
        <v>10.3</v>
      </c>
      <c r="J166" s="246" t="n">
        <v>19.3</v>
      </c>
      <c r="K166" s="247" t="inlineStr">
        <is>
          <t>2050 SANHUA; 0699 JOYSON ELEC; 3277 GPIXEL</t>
        </is>
      </c>
    </row>
    <row r="167">
      <c r="A167" s="51" t="inlineStr">
        <is>
          <t>Metazone Link (HK) Limited</t>
        </is>
      </c>
      <c r="B167" s="243" t="n">
        <v>3</v>
      </c>
      <c r="C167" s="245" t="n">
        <v>100</v>
      </c>
      <c r="D167" s="246" t="n">
        <v>20.9</v>
      </c>
      <c r="E167" s="246" t="n">
        <v>23.2</v>
      </c>
      <c r="F167" s="246" t="n">
        <v>36.1</v>
      </c>
      <c r="G167" s="246" t="n">
        <v>24.3</v>
      </c>
      <c r="H167" s="246" t="n">
        <v>2.7</v>
      </c>
      <c r="I167" s="246" t="n">
        <v>12.8</v>
      </c>
      <c r="J167" s="246" t="n">
        <v>0.9</v>
      </c>
      <c r="K167" s="247" t="inlineStr">
        <is>
          <t>0300 MIDEA GROUP; 2476 VGT; 6951 CCTC</t>
        </is>
      </c>
    </row>
    <row r="168">
      <c r="A168" s="51" t="inlineStr">
        <is>
          <t>Indus Capital Partners, LLC</t>
        </is>
      </c>
      <c r="B168" s="243" t="n">
        <v>3</v>
      </c>
      <c r="C168" s="245" t="n">
        <v>67</v>
      </c>
      <c r="D168" s="246" t="n">
        <v>20.7</v>
      </c>
      <c r="E168" s="246" t="n">
        <v>26.6</v>
      </c>
      <c r="F168" s="246" t="n">
        <v>10</v>
      </c>
      <c r="G168" s="246" t="n">
        <v>27.5</v>
      </c>
      <c r="H168" s="246" t="n">
        <v>5.6</v>
      </c>
      <c r="I168" s="246" t="n">
        <v>-7.3</v>
      </c>
      <c r="J168" s="246" t="n">
        <v>-17.3</v>
      </c>
      <c r="K168" s="247" t="inlineStr">
        <is>
          <t>2160 CARDIOFLOW-B; 7687 EACON; 3308 ZJ INNOLIGHT</t>
        </is>
      </c>
    </row>
    <row r="169">
      <c r="A169" s="51" t="inlineStr">
        <is>
          <t>Dragon Merit Holdings Limited</t>
        </is>
      </c>
      <c r="B169" s="243" t="n">
        <v>3</v>
      </c>
      <c r="C169" s="245" t="n">
        <v>100</v>
      </c>
      <c r="D169" s="246" t="n">
        <v>18.9</v>
      </c>
      <c r="E169" s="246" t="n">
        <v>19.2</v>
      </c>
      <c r="F169" s="246" t="n">
        <v>22.3</v>
      </c>
      <c r="G169" s="246" t="n">
        <v>7</v>
      </c>
      <c r="H169" s="246" t="n">
        <v>0.3</v>
      </c>
      <c r="I169" s="246" t="n">
        <v>3.7</v>
      </c>
      <c r="J169" s="246" t="n">
        <v>-9.4</v>
      </c>
      <c r="K169" s="247" t="inlineStr">
        <is>
          <t>2162 KEYMED BIO-B; 2285 CHERVON; 3880 MEDTIDE</t>
        </is>
      </c>
    </row>
    <row r="170">
      <c r="A170" s="51" t="inlineStr">
        <is>
          <t>Huizhou Guohuilian Equity Investment Fund Partnership Enterprise (Limited Partnership)</t>
        </is>
      </c>
      <c r="B170" s="243" t="n">
        <v>3</v>
      </c>
      <c r="C170" s="245" t="n">
        <v>100</v>
      </c>
      <c r="D170" s="246" t="n">
        <v>18.4</v>
      </c>
      <c r="E170" s="246" t="n">
        <v>34</v>
      </c>
      <c r="F170" s="246" t="n">
        <v>38.3</v>
      </c>
      <c r="G170" s="246" t="n">
        <v>70</v>
      </c>
      <c r="H170" s="246" t="n">
        <v>16</v>
      </c>
      <c r="I170" s="246" t="n">
        <v>18</v>
      </c>
      <c r="J170" s="246" t="n">
        <v>54.9</v>
      </c>
      <c r="K170" s="247" t="inlineStr">
        <is>
          <t>2531 CARLINK TECH; 9981 WOER; 2476 VGT</t>
        </is>
      </c>
    </row>
    <row r="171">
      <c r="A171" s="51" t="inlineStr">
        <is>
          <t>Enreal and Forreal Funds</t>
        </is>
      </c>
      <c r="B171" s="243" t="n">
        <v>3</v>
      </c>
      <c r="C171" s="245" t="n">
        <v>100</v>
      </c>
      <c r="D171" s="246" t="n">
        <v>18.3</v>
      </c>
      <c r="E171" s="246" t="n">
        <v>25.3</v>
      </c>
      <c r="F171" s="246" t="n">
        <v>17.7</v>
      </c>
      <c r="G171" s="246" t="n">
        <v>3.5</v>
      </c>
      <c r="H171" s="246" t="n">
        <v>6.1</v>
      </c>
      <c r="I171" s="246" t="n">
        <v>-0.2</v>
      </c>
      <c r="J171" s="246" t="n">
        <v>-11.7</v>
      </c>
      <c r="K171" s="247" t="inlineStr">
        <is>
          <t>2279 YONGHE MEDICAL; 0300 MIDEA GROUP; 6603 IFBH</t>
        </is>
      </c>
    </row>
    <row r="172">
      <c r="A172" s="51" t="inlineStr">
        <is>
          <t>Polymer Asia Fund LP</t>
        </is>
      </c>
      <c r="B172" s="243" t="n">
        <v>3</v>
      </c>
      <c r="C172" s="245" t="n">
        <v>67</v>
      </c>
      <c r="D172" s="246" t="n">
        <v>17.5</v>
      </c>
      <c r="E172" s="246" t="n">
        <v>21.8</v>
      </c>
      <c r="F172" s="246" t="n">
        <v>39.1</v>
      </c>
      <c r="G172" s="246" t="n">
        <v>70.5</v>
      </c>
      <c r="H172" s="246" t="n">
        <v>2.7</v>
      </c>
      <c r="I172" s="246" t="n">
        <v>16.8</v>
      </c>
      <c r="J172" s="246" t="n">
        <v>32.9</v>
      </c>
      <c r="K172" s="247" t="inlineStr">
        <is>
          <t>2788 CHUANGXIN IND; 3388 CREALITY; 2475 LUXSHARE ICT</t>
        </is>
      </c>
    </row>
    <row r="173">
      <c r="A173" s="51" t="inlineStr">
        <is>
          <t>AIHC Master Fund</t>
        </is>
      </c>
      <c r="B173" s="243" t="n">
        <v>3</v>
      </c>
      <c r="C173" s="245" t="n">
        <v>67</v>
      </c>
      <c r="D173" s="246" t="n">
        <v>14.4</v>
      </c>
      <c r="E173" s="246" t="n">
        <v>5.4</v>
      </c>
      <c r="F173" s="246" t="n">
        <v>25.2</v>
      </c>
      <c r="G173" s="246" t="n">
        <v>-3.9</v>
      </c>
      <c r="H173" s="246" t="n">
        <v>-7.9</v>
      </c>
      <c r="I173" s="246" t="n">
        <v>13</v>
      </c>
      <c r="J173" s="246" t="n">
        <v>-14.4</v>
      </c>
      <c r="K173" s="247" t="inlineStr">
        <is>
          <t>2190 ZYLOXTB-B; 2137 BRII - B; 2256 ABBISKO-B</t>
        </is>
      </c>
    </row>
    <row r="174">
      <c r="A174" s="51" t="inlineStr">
        <is>
          <t>LBC HK Opportunity Fund Limited</t>
        </is>
      </c>
      <c r="B174" s="243" t="n">
        <v>3</v>
      </c>
      <c r="C174" s="245" t="n">
        <v>33</v>
      </c>
      <c r="D174" s="246" t="n">
        <v>11.7</v>
      </c>
      <c r="E174" s="246" t="n">
        <v>17.7</v>
      </c>
      <c r="F174" s="246" t="n">
        <v>-18.2</v>
      </c>
      <c r="G174" s="246" t="n">
        <v>-22.3</v>
      </c>
      <c r="H174" s="246" t="n">
        <v>11.7</v>
      </c>
      <c r="I174" s="246" t="n">
        <v>-12</v>
      </c>
      <c r="J174" s="246" t="n">
        <v>-17.5</v>
      </c>
      <c r="K174" s="247" t="inlineStr">
        <is>
          <t>2595 GENFLEET-B; 6132 HJ SCIENCE-B; 3952 LAIFUAL</t>
        </is>
      </c>
    </row>
    <row r="175">
      <c r="A175" s="51" t="inlineStr">
        <is>
          <t>China Pinnacle Equity Management Limited</t>
        </is>
      </c>
      <c r="B175" s="243" t="n">
        <v>3</v>
      </c>
      <c r="C175" s="245" t="n">
        <v>67</v>
      </c>
      <c r="D175" s="246" t="n">
        <v>10.2</v>
      </c>
      <c r="E175" s="246" t="n">
        <v>22.5</v>
      </c>
      <c r="F175" s="246" t="n">
        <v>20.1</v>
      </c>
      <c r="G175" s="246" t="n">
        <v>36.4</v>
      </c>
      <c r="H175" s="246" t="n">
        <v>7.4</v>
      </c>
      <c r="I175" s="246" t="n">
        <v>5.5</v>
      </c>
      <c r="J175" s="246" t="n">
        <v>14</v>
      </c>
      <c r="K175" s="247" t="inlineStr">
        <is>
          <t>9960 KINDSTAR GLOBAL; 3288 HAITIAN FLAV; 3986 GIGADEVICE</t>
        </is>
      </c>
    </row>
    <row r="176">
      <c r="A176" s="51" t="inlineStr">
        <is>
          <t>Hongxing International</t>
        </is>
      </c>
      <c r="B176" s="243" t="n">
        <v>3</v>
      </c>
      <c r="C176" s="245" t="n">
        <v>67</v>
      </c>
      <c r="D176" s="246" t="n">
        <v>7.8</v>
      </c>
      <c r="E176" s="246" t="n">
        <v>9.800000000000001</v>
      </c>
      <c r="F176" s="246" t="n">
        <v>12.3</v>
      </c>
      <c r="G176" s="246" t="n">
        <v>15.9</v>
      </c>
      <c r="H176" s="246" t="n">
        <v>1.8</v>
      </c>
      <c r="I176" s="246" t="n">
        <v>2.1</v>
      </c>
      <c r="J176" s="246" t="n">
        <v>4.8</v>
      </c>
      <c r="K176" s="247" t="inlineStr">
        <is>
          <t>3200 HANS CNC; 3296 HUAQIN; 1688 LINGYI ITECH</t>
        </is>
      </c>
    </row>
    <row r="177">
      <c r="A177" s="51" t="inlineStr">
        <is>
          <t>GRANITE ASIA VIII INVESTMENTS PTE. LTD</t>
        </is>
      </c>
      <c r="B177" s="243" t="n">
        <v>3</v>
      </c>
      <c r="C177" s="245" t="n">
        <v>33</v>
      </c>
      <c r="D177" s="246" t="n">
        <v>6.4</v>
      </c>
      <c r="E177" s="246" t="n">
        <v>7.9</v>
      </c>
      <c r="F177" s="246" t="n">
        <v>-21.2</v>
      </c>
      <c r="G177" s="246" t="n">
        <v>-25.7</v>
      </c>
      <c r="H177" s="246" t="n">
        <v>2.4</v>
      </c>
      <c r="I177" s="246" t="n">
        <v>-25.6</v>
      </c>
      <c r="J177" s="246" t="n">
        <v>-30.8</v>
      </c>
      <c r="K177" s="247" t="inlineStr">
        <is>
          <t>6687 JST GROUP; 0600 AXERA; 1688 LINGYI ITECH</t>
        </is>
      </c>
    </row>
    <row r="178">
      <c r="A178" s="51" t="inlineStr">
        <is>
          <t>Pacific Asset Management Co., Limited</t>
        </is>
      </c>
      <c r="B178" s="243" t="n">
        <v>3</v>
      </c>
      <c r="C178" s="245" t="n">
        <v>33</v>
      </c>
      <c r="D178" s="246" t="n">
        <v>4.3</v>
      </c>
      <c r="E178" s="246" t="n">
        <v>18.1</v>
      </c>
      <c r="F178" s="246" t="n">
        <v>49.6</v>
      </c>
      <c r="G178" s="246" t="n">
        <v>30.7</v>
      </c>
      <c r="H178" s="246" t="n">
        <v>11</v>
      </c>
      <c r="I178" s="246" t="n">
        <v>34.8</v>
      </c>
      <c r="J178" s="246" t="n">
        <v>18.3</v>
      </c>
      <c r="K178" s="247" t="inlineStr">
        <is>
          <t>9696 TIANQI LITHIUM; 0638 FIBOCOM; 3696 INSILICO</t>
        </is>
      </c>
    </row>
    <row r="179">
      <c r="A179" s="51" t="inlineStr">
        <is>
          <t>Duckling Fund, L.P</t>
        </is>
      </c>
      <c r="B179" s="243" t="n">
        <v>3</v>
      </c>
      <c r="C179" s="245" t="n">
        <v>67</v>
      </c>
      <c r="D179" s="246" t="n">
        <v>3.8</v>
      </c>
      <c r="E179" s="246" t="n">
        <v>8.800000000000001</v>
      </c>
      <c r="F179" s="246" t="n">
        <v>21</v>
      </c>
      <c r="G179" s="246" t="n">
        <v>98.40000000000001</v>
      </c>
      <c r="H179" s="246" t="n">
        <v>4.8</v>
      </c>
      <c r="I179" s="246" t="n">
        <v>18.4</v>
      </c>
      <c r="J179" s="246" t="n">
        <v>95.40000000000001</v>
      </c>
      <c r="K179" s="247" t="inlineStr">
        <is>
          <t>1364 GUMING; 2657 FOREST CABIN; 9903 ILUVATAR COREX</t>
        </is>
      </c>
    </row>
    <row r="180">
      <c r="A180" s="51" t="inlineStr">
        <is>
          <t>Colorful Cloud</t>
        </is>
      </c>
      <c r="B180" s="243" t="n">
        <v>3</v>
      </c>
      <c r="C180" s="245" t="n">
        <v>67</v>
      </c>
      <c r="D180" s="246" t="n">
        <v>2.4</v>
      </c>
      <c r="E180" s="246" t="n">
        <v>-8.9</v>
      </c>
      <c r="F180" s="246" t="n">
        <v>-12.7</v>
      </c>
      <c r="G180" s="246" t="n">
        <v>-22.7</v>
      </c>
      <c r="H180" s="246" t="n">
        <v>-11.3</v>
      </c>
      <c r="I180" s="246" t="n">
        <v>-15.5</v>
      </c>
      <c r="J180" s="246" t="n">
        <v>-25.1</v>
      </c>
      <c r="K180" s="247" t="inlineStr">
        <is>
          <t>2392 XUANWU CLOUD; 2671 USAS BUILDING; 9976 LONGSYS</t>
        </is>
      </c>
    </row>
    <row r="181">
      <c r="A181" s="51" t="inlineStr">
        <is>
          <t>CEPHEI</t>
        </is>
      </c>
      <c r="B181" s="243" t="n">
        <v>3</v>
      </c>
      <c r="C181" s="245" t="n">
        <v>33</v>
      </c>
      <c r="D181" s="246" t="n">
        <v>2.1</v>
      </c>
      <c r="E181" s="246" t="n">
        <v>6.7</v>
      </c>
      <c r="F181" s="246" t="n">
        <v>-0.3</v>
      </c>
      <c r="G181" s="246" t="n">
        <v>19.4</v>
      </c>
      <c r="H181" s="246" t="n">
        <v>1.6</v>
      </c>
      <c r="I181" s="246" t="n">
        <v>-8.6</v>
      </c>
      <c r="J181" s="246" t="n">
        <v>7.7</v>
      </c>
      <c r="K181" s="247" t="inlineStr">
        <is>
          <t>2216 BRONCUS-B; 2602 ONEWO; 2788 CHUANGXIN IND</t>
        </is>
      </c>
    </row>
    <row r="182">
      <c r="A182" s="51" t="inlineStr">
        <is>
          <t>Xian Yuanda Electronic Equipment Co., Ltd</t>
        </is>
      </c>
      <c r="B182" s="243" t="n">
        <v>3</v>
      </c>
      <c r="C182" s="245" t="n">
        <v>33</v>
      </c>
      <c r="D182" s="246" t="n">
        <v>1.3</v>
      </c>
      <c r="E182" s="246" t="n">
        <v>26.2</v>
      </c>
      <c r="F182" s="246" t="n">
        <v>35.5</v>
      </c>
      <c r="G182" s="246" t="n">
        <v>83.8</v>
      </c>
      <c r="H182" s="246" t="n">
        <v>20.1</v>
      </c>
      <c r="I182" s="246" t="n">
        <v>31.5</v>
      </c>
      <c r="J182" s="246" t="n">
        <v>85.2</v>
      </c>
      <c r="K182" s="247" t="inlineStr">
        <is>
          <t>2418 DEEWIN; 2536 PALASINO; 1354 KINGFARPROPERTY</t>
        </is>
      </c>
    </row>
    <row r="183">
      <c r="A183" s="51" t="inlineStr">
        <is>
          <t>China Sichuan International Investment Limited</t>
        </is>
      </c>
      <c r="B183" s="243" t="n">
        <v>3</v>
      </c>
      <c r="C183" s="245" t="n">
        <v>67</v>
      </c>
      <c r="D183" s="246" t="n">
        <v>0.5</v>
      </c>
      <c r="E183" s="246" t="n">
        <v>0.1</v>
      </c>
      <c r="F183" s="246" t="n">
        <v>-9.699999999999999</v>
      </c>
      <c r="G183" s="246" t="n">
        <v>-23.8</v>
      </c>
      <c r="H183" s="246" t="n">
        <v>-0.3</v>
      </c>
      <c r="I183" s="246" t="n">
        <v>-10.1</v>
      </c>
      <c r="J183" s="246" t="n">
        <v>-24.1</v>
      </c>
      <c r="K183" s="247" t="inlineStr">
        <is>
          <t>3658 NEW HOPE SERV; 9696 TIANQI LITHIUM; 9636 JF WEALTH</t>
        </is>
      </c>
    </row>
    <row r="184">
      <c r="A184" s="51" t="inlineStr">
        <is>
          <t>Hainan Financial Holdings Co., Ltd</t>
        </is>
      </c>
      <c r="B184" s="243" t="n">
        <v>3</v>
      </c>
      <c r="C184" s="245" t="n">
        <v>33</v>
      </c>
      <c r="D184" s="246" t="n">
        <v>0.3</v>
      </c>
      <c r="E184" s="246" t="n">
        <v>2.2</v>
      </c>
      <c r="F184" s="246" t="n">
        <v>9</v>
      </c>
      <c r="G184" s="246" t="n">
        <v>-1.7</v>
      </c>
      <c r="H184" s="246" t="n">
        <v>1.9</v>
      </c>
      <c r="I184" s="246" t="n">
        <v>8.699999999999999</v>
      </c>
      <c r="J184" s="246" t="n">
        <v>-2</v>
      </c>
      <c r="K184" s="247" t="inlineStr">
        <is>
          <t>9638 FERRETTI; 1880 CTG DUTY-FREE; 2451 LUYUAN GP HLDG</t>
        </is>
      </c>
    </row>
    <row r="185">
      <c r="A185" s="51" t="inlineStr">
        <is>
          <t>Keltic Investment (HK) Limited</t>
        </is>
      </c>
      <c r="B185" s="243" t="n">
        <v>3</v>
      </c>
      <c r="C185" s="245" t="n">
        <v>33</v>
      </c>
      <c r="D185" s="246" t="n">
        <v>0.1</v>
      </c>
      <c r="E185" s="246" t="n">
        <v>1.9</v>
      </c>
      <c r="F185" s="246" t="n">
        <v>-23.7</v>
      </c>
      <c r="G185" s="246" t="n">
        <v>-40.6</v>
      </c>
      <c r="H185" s="246" t="n">
        <v>1.8</v>
      </c>
      <c r="I185" s="246" t="n">
        <v>-23.7</v>
      </c>
      <c r="J185" s="246" t="n">
        <v>-40.6</v>
      </c>
      <c r="K185" s="247" t="inlineStr">
        <is>
          <t>3658 NEW HOPE SERV; 6626 YUEXIU SERVICES; 2210 BEIJING JIAYE</t>
        </is>
      </c>
    </row>
    <row r="186">
      <c r="A186" s="51" t="inlineStr">
        <is>
          <t>Main Source Capital Limited</t>
        </is>
      </c>
      <c r="B186" s="243" t="n">
        <v>3</v>
      </c>
      <c r="C186" s="245" t="n">
        <v>67</v>
      </c>
      <c r="D186" s="246" t="n">
        <v>-0.6</v>
      </c>
      <c r="E186" s="246" t="n">
        <v>-1.8</v>
      </c>
      <c r="F186" s="246" t="n">
        <v>-17.2</v>
      </c>
      <c r="G186" s="246" t="n">
        <v>-2.4</v>
      </c>
      <c r="H186" s="246" t="n">
        <v>-0.2</v>
      </c>
      <c r="I186" s="246" t="n">
        <v>-12.8</v>
      </c>
      <c r="J186" s="246" t="n">
        <v>13.8</v>
      </c>
      <c r="K186" s="247" t="inlineStr">
        <is>
          <t>9881 RONGTA TECH; 3378 HANXBIO-B; 2692 ZHAOWEI</t>
        </is>
      </c>
    </row>
    <row r="187">
      <c r="A187" s="51" t="inlineStr">
        <is>
          <t>True Light Investments H Pte. Ltd</t>
        </is>
      </c>
      <c r="B187" s="243" t="n">
        <v>3</v>
      </c>
      <c r="C187" s="245" t="n">
        <v>33</v>
      </c>
      <c r="D187" s="246" t="n">
        <v>-0.7</v>
      </c>
      <c r="E187" s="246" t="n">
        <v>4.4</v>
      </c>
      <c r="F187" s="246" t="n">
        <v>-2.5</v>
      </c>
      <c r="G187" s="246" t="n">
        <v>-12.5</v>
      </c>
      <c r="H187" s="246" t="n">
        <v>5.2</v>
      </c>
      <c r="I187" s="246" t="n">
        <v>-1.7</v>
      </c>
      <c r="J187" s="246" t="n">
        <v>-13.8</v>
      </c>
      <c r="K187" s="247" t="inlineStr">
        <is>
          <t>9980 EASTROC; 2475 LUXSHARE ICT; 3308 ZJ INNOLIGHT</t>
        </is>
      </c>
    </row>
    <row r="188">
      <c r="A188" s="51" t="inlineStr">
        <is>
          <t>Qianhai Kaiyuan Qunwei QDII Single Asset Management Plan</t>
        </is>
      </c>
      <c r="B188" s="243" t="n">
        <v>3</v>
      </c>
      <c r="C188" s="245" t="n">
        <v>33</v>
      </c>
      <c r="D188" s="246" t="n">
        <v>-8.9</v>
      </c>
      <c r="E188" s="246" t="n">
        <v>-9.5</v>
      </c>
      <c r="F188" s="246" t="n">
        <v>-7.8</v>
      </c>
      <c r="G188" s="246" t="n">
        <v>-10.5</v>
      </c>
      <c r="H188" s="246" t="n">
        <v>-0.7</v>
      </c>
      <c r="I188" s="246" t="n">
        <v>1.4</v>
      </c>
      <c r="J188" s="246" t="n">
        <v>0.3</v>
      </c>
      <c r="K188" s="247" t="inlineStr">
        <is>
          <t>3881 CIDI; 9981 WOER; 2715 ESTUN</t>
        </is>
      </c>
    </row>
    <row r="189">
      <c r="A189" s="51" t="inlineStr">
        <is>
          <t>King Terrace Limited</t>
        </is>
      </c>
      <c r="B189" s="243" t="n">
        <v>3</v>
      </c>
      <c r="C189" s="245" t="n">
        <v>67</v>
      </c>
      <c r="D189" s="246" t="n">
        <v>-10.1</v>
      </c>
      <c r="E189" s="246" t="n">
        <v>-7.8</v>
      </c>
      <c r="F189" s="246" t="n">
        <v>-15.1</v>
      </c>
      <c r="G189" s="246" t="n">
        <v>-14</v>
      </c>
      <c r="H189" s="246" t="n">
        <v>2.8</v>
      </c>
      <c r="I189" s="246" t="n">
        <v>-6.8</v>
      </c>
      <c r="J189" s="246" t="n">
        <v>-6</v>
      </c>
      <c r="K189" s="247" t="inlineStr">
        <is>
          <t>0606 SCE CM; 2157 LEPU BIO-B; 2566 JIUYUAN GENE</t>
        </is>
      </c>
    </row>
    <row r="190">
      <c r="A190" s="51" t="inlineStr">
        <is>
          <t>SCGC Capital Holding Company Limited</t>
        </is>
      </c>
      <c r="B190" s="243" t="n">
        <v>3</v>
      </c>
      <c r="C190" s="245" t="n">
        <v>67</v>
      </c>
      <c r="D190" s="246" t="n">
        <v>-10.2</v>
      </c>
      <c r="E190" s="246" t="n">
        <v>-14.9</v>
      </c>
      <c r="F190" s="246" t="n">
        <v>-18.4</v>
      </c>
      <c r="G190" s="246" t="n">
        <v>-12.9</v>
      </c>
      <c r="H190" s="246" t="n">
        <v>-5.5</v>
      </c>
      <c r="I190" s="246" t="n">
        <v>-10</v>
      </c>
      <c r="J190" s="246" t="n">
        <v>0.1</v>
      </c>
      <c r="K190" s="247" t="inlineStr">
        <is>
          <t>6668 E-STAR CM; 2560 CONCH MAT TECH; 3355 FS.COM</t>
        </is>
      </c>
    </row>
    <row r="191">
      <c r="A191" s="51" t="inlineStr">
        <is>
          <t>GOTION HIGH-TECH (HK) LIMITED</t>
        </is>
      </c>
      <c r="B191" s="243" t="n">
        <v>3</v>
      </c>
      <c r="C191" s="245" t="n">
        <v>33</v>
      </c>
      <c r="D191" s="246" t="n">
        <v>-19.3</v>
      </c>
      <c r="E191" s="246" t="n">
        <v>-21.4</v>
      </c>
      <c r="F191" s="246" t="n">
        <v>-17.3</v>
      </c>
      <c r="G191" s="246" t="n">
        <v>-5.4</v>
      </c>
      <c r="H191" s="246" t="n">
        <v>-3.4</v>
      </c>
      <c r="I191" s="246" t="n">
        <v>0.5</v>
      </c>
      <c r="J191" s="246" t="n">
        <v>18</v>
      </c>
      <c r="K191" s="247" t="inlineStr">
        <is>
          <t>2560 CONCH MAT TECH; 2643 CAOCAO INC; 9973 CHERY AUTO</t>
        </is>
      </c>
    </row>
    <row r="192">
      <c r="A192" s="51" t="inlineStr">
        <is>
          <t>Guangdong- Macao In-Depth Cooperation Zone in Hengqin</t>
        </is>
      </c>
      <c r="B192" s="243" t="n">
        <v>3</v>
      </c>
      <c r="C192" s="245" t="n">
        <v>33</v>
      </c>
      <c r="D192" s="246" t="n">
        <v>-24.3</v>
      </c>
      <c r="E192" s="246" t="n">
        <v>-23.7</v>
      </c>
      <c r="F192" s="246" t="n">
        <v>-22.3</v>
      </c>
      <c r="G192" s="246" t="n">
        <v>0.5</v>
      </c>
      <c r="H192" s="246" t="n">
        <v>0.6</v>
      </c>
      <c r="I192" s="246" t="n">
        <v>1.6</v>
      </c>
      <c r="J192" s="246" t="n">
        <v>27.5</v>
      </c>
      <c r="K192" s="247" t="inlineStr">
        <is>
          <t>2506 XUNFEIHEALTH; 2560 CONCH MAT TECH; 2658 TIANYU SEMI</t>
        </is>
      </c>
    </row>
    <row r="193">
      <c r="A193" s="51" t="inlineStr">
        <is>
          <t>ZTE (H.K.) LIMITED</t>
        </is>
      </c>
      <c r="B193" s="243" t="n">
        <v>2</v>
      </c>
      <c r="C193" s="245" t="n">
        <v>100</v>
      </c>
      <c r="D193" s="246" t="n">
        <v>196</v>
      </c>
      <c r="E193" s="246" t="n">
        <v>203.4</v>
      </c>
      <c r="F193" s="246" t="n">
        <v>125.2</v>
      </c>
      <c r="G193" s="246" t="n">
        <v>91.90000000000001</v>
      </c>
      <c r="H193" s="246" t="n">
        <v>6.3</v>
      </c>
      <c r="I193" s="246" t="n">
        <v>-12.6</v>
      </c>
      <c r="J193" s="246" t="n">
        <v>31.5</v>
      </c>
      <c r="K193" s="247" t="inlineStr">
        <is>
          <t>9903 ILUVATAR COREX; 1879 XIZHI TECH-P</t>
        </is>
      </c>
    </row>
    <row r="194">
      <c r="A194" s="51" t="inlineStr">
        <is>
          <t>June Star Global Limited</t>
        </is>
      </c>
      <c r="B194" s="243" t="n">
        <v>2</v>
      </c>
      <c r="C194" s="245" t="n">
        <v>100</v>
      </c>
      <c r="D194" s="246" t="n">
        <v>192.6</v>
      </c>
      <c r="E194" s="246" t="n">
        <v>175.3</v>
      </c>
      <c r="F194" s="246" t="n">
        <v>192.8</v>
      </c>
      <c r="G194" s="246" t="n">
        <v>124.8</v>
      </c>
      <c r="H194" s="246" t="n">
        <v>-5.8</v>
      </c>
      <c r="I194" s="246" t="n">
        <v>1.2</v>
      </c>
      <c r="J194" s="246" t="n">
        <v>-22.4</v>
      </c>
      <c r="K194" s="247" t="inlineStr">
        <is>
          <t>2591 INNOGEN-B; 6872 TENNOR THERAP-B</t>
        </is>
      </c>
    </row>
    <row r="195">
      <c r="A195" s="51" t="inlineStr">
        <is>
          <t>Lenovo</t>
        </is>
      </c>
      <c r="B195" s="243" t="n">
        <v>2</v>
      </c>
      <c r="C195" s="245" t="n">
        <v>50</v>
      </c>
      <c r="D195" s="246" t="n">
        <v>191.3</v>
      </c>
      <c r="E195" s="246" t="n">
        <v>180.5</v>
      </c>
      <c r="F195" s="246" t="n">
        <v>236.2</v>
      </c>
      <c r="G195" s="246" t="n">
        <v>27.3</v>
      </c>
      <c r="H195" s="246" t="n">
        <v>-11.4</v>
      </c>
      <c r="I195" s="246" t="n">
        <v>-30.5</v>
      </c>
      <c r="J195" s="246" t="n">
        <v>-73.7</v>
      </c>
      <c r="K195" s="247" t="inlineStr">
        <is>
          <t>1879 XIZHI TECH-P; 9976 LONGSYS</t>
        </is>
      </c>
    </row>
    <row r="196">
      <c r="A196" s="51" t="inlineStr">
        <is>
          <t>SKY ROYAL TRADING LIMITED</t>
        </is>
      </c>
      <c r="B196" s="243" t="n">
        <v>2</v>
      </c>
      <c r="C196" s="245" t="n">
        <v>100</v>
      </c>
      <c r="D196" s="246" t="n">
        <v>129.2</v>
      </c>
      <c r="E196" s="246" t="n">
        <v>155</v>
      </c>
      <c r="F196" s="246" t="n">
        <v>102.3</v>
      </c>
      <c r="G196" s="246" t="n">
        <v>53.7</v>
      </c>
      <c r="H196" s="246" t="n">
        <v>6.1</v>
      </c>
      <c r="I196" s="246" t="n">
        <v>-12.5</v>
      </c>
      <c r="J196" s="246" t="n">
        <v>-33.8</v>
      </c>
      <c r="K196" s="247" t="inlineStr">
        <is>
          <t>0501 OMNIVISION; 2706 HAIZHI TECH GP</t>
        </is>
      </c>
    </row>
    <row r="197">
      <c r="A197" s="51" t="inlineStr">
        <is>
          <t>TAL China Focus Master Fund</t>
        </is>
      </c>
      <c r="B197" s="243" t="n">
        <v>2</v>
      </c>
      <c r="C197" s="245" t="n">
        <v>50</v>
      </c>
      <c r="D197" s="246" t="n">
        <v>120.1</v>
      </c>
      <c r="E197" s="246" t="n">
        <v>158.1</v>
      </c>
      <c r="F197" s="246" t="n">
        <v>105.4</v>
      </c>
      <c r="G197" s="246" t="n">
        <v>132.4</v>
      </c>
      <c r="H197" s="246" t="n">
        <v>18.2</v>
      </c>
      <c r="I197" s="246" t="n">
        <v>-1.3</v>
      </c>
      <c r="J197" s="246" t="n">
        <v>-32.1</v>
      </c>
      <c r="K197" s="247" t="inlineStr">
        <is>
          <t>2706 HAIZHI TECH GP; 3308 ZJ INNOLIGHT</t>
        </is>
      </c>
    </row>
    <row r="198">
      <c r="A198" s="51" t="inlineStr">
        <is>
          <t>LC Logistics, Inc</t>
        </is>
      </c>
      <c r="B198" s="243" t="n">
        <v>2</v>
      </c>
      <c r="C198" s="245" t="n">
        <v>50</v>
      </c>
      <c r="D198" s="246" t="n">
        <v>115.4</v>
      </c>
      <c r="E198" s="246" t="n">
        <v>138</v>
      </c>
      <c r="F198" s="246" t="n">
        <v>92.7</v>
      </c>
      <c r="G198" s="246" t="n">
        <v>54.2</v>
      </c>
      <c r="H198" s="246" t="n">
        <v>1.8</v>
      </c>
      <c r="I198" s="246" t="n">
        <v>-9.9</v>
      </c>
      <c r="J198" s="246" t="n">
        <v>-23.1</v>
      </c>
      <c r="K198" s="247" t="inlineStr">
        <is>
          <t>2519 AUGROUP; 2706 HAIZHI TECH GP</t>
        </is>
      </c>
    </row>
    <row r="199">
      <c r="A199" s="51" t="inlineStr">
        <is>
          <t>Ginkgo Capital Global Fund SPC— Ginkgo Capital Global Fund I SP</t>
        </is>
      </c>
      <c r="B199" s="243" t="n">
        <v>2</v>
      </c>
      <c r="C199" s="245" t="n">
        <v>100</v>
      </c>
      <c r="D199" s="246" t="n">
        <v>108.2</v>
      </c>
      <c r="E199" s="246" t="n">
        <v>92.09999999999999</v>
      </c>
      <c r="F199" s="246" t="n">
        <v>73.59999999999999</v>
      </c>
      <c r="G199" s="246" t="n">
        <v>125.2</v>
      </c>
      <c r="H199" s="246" t="n">
        <v>-8</v>
      </c>
      <c r="I199" s="246" t="n">
        <v>-11.3</v>
      </c>
      <c r="J199" s="246" t="n">
        <v>51.1</v>
      </c>
      <c r="K199" s="247" t="inlineStr">
        <is>
          <t>2228 QUANTUMPH-P; 2591 INNOGEN-B</t>
        </is>
      </c>
    </row>
    <row r="200">
      <c r="A200" s="51" t="inlineStr">
        <is>
          <t>Zhengxin Group Investment Limited</t>
        </is>
      </c>
      <c r="B200" s="243" t="n">
        <v>2</v>
      </c>
      <c r="C200" s="245" t="n">
        <v>100</v>
      </c>
      <c r="D200" s="246" t="n">
        <v>101.9</v>
      </c>
      <c r="E200" s="246" t="n">
        <v>112.4</v>
      </c>
      <c r="F200" s="246" t="n">
        <v>85.90000000000001</v>
      </c>
      <c r="G200" s="246" t="n">
        <v>106.2</v>
      </c>
      <c r="H200" s="246" t="n">
        <v>4.9</v>
      </c>
      <c r="I200" s="246" t="n">
        <v>-5.9</v>
      </c>
      <c r="J200" s="246" t="n">
        <v>-6.8</v>
      </c>
      <c r="K200" s="247" t="inlineStr">
        <is>
          <t>3858 JIAXIN INTL RES; 3636 JINXUN RESOURCE</t>
        </is>
      </c>
    </row>
    <row r="201">
      <c r="A201" s="51" t="inlineStr">
        <is>
          <t>Top Vast (Hong Kong) Limited</t>
        </is>
      </c>
      <c r="B201" s="243" t="n">
        <v>2</v>
      </c>
      <c r="C201" s="245" t="n">
        <v>50</v>
      </c>
      <c r="D201" s="246" t="n">
        <v>94</v>
      </c>
      <c r="E201" s="246" t="n">
        <v>112.1</v>
      </c>
      <c r="F201" s="246" t="n">
        <v>128.7</v>
      </c>
      <c r="G201" s="246" t="n">
        <v>144.2</v>
      </c>
      <c r="H201" s="246" t="n">
        <v>7.6</v>
      </c>
      <c r="I201" s="246" t="n">
        <v>6.4</v>
      </c>
      <c r="J201" s="246" t="n">
        <v>12.1</v>
      </c>
      <c r="K201" s="247" t="inlineStr">
        <is>
          <t>6639 ARRAIL GROUP; 6658 LIULIUMEI</t>
        </is>
      </c>
    </row>
    <row r="202">
      <c r="A202" s="51" t="inlineStr">
        <is>
          <t>Goldman Sachs Asset Management (Hong Kong) Limited</t>
        </is>
      </c>
      <c r="B202" s="243" t="n">
        <v>2</v>
      </c>
      <c r="C202" s="245" t="n">
        <v>100</v>
      </c>
      <c r="D202" s="246" t="n">
        <v>91.7</v>
      </c>
      <c r="E202" s="246" t="n">
        <v>54.7</v>
      </c>
      <c r="F202" s="246" t="n">
        <v>37.8</v>
      </c>
      <c r="G202" s="246" t="n">
        <v>-26.7</v>
      </c>
      <c r="H202" s="246" t="n">
        <v>-19.6</v>
      </c>
      <c r="I202" s="246" t="n">
        <v>-28.7</v>
      </c>
      <c r="J202" s="246" t="n">
        <v>-62</v>
      </c>
      <c r="K202" s="247" t="inlineStr">
        <is>
          <t>6656 SIGENERGY; 7688 TOPNC</t>
        </is>
      </c>
    </row>
    <row r="203">
      <c r="A203" s="51" t="inlineStr">
        <is>
          <t>Lion Global Investors Limited</t>
        </is>
      </c>
      <c r="B203" s="243" t="n">
        <v>2</v>
      </c>
      <c r="C203" s="245" t="n">
        <v>100</v>
      </c>
      <c r="D203" s="246" t="n">
        <v>89.8</v>
      </c>
      <c r="E203" s="246" t="n">
        <v>64.40000000000001</v>
      </c>
      <c r="F203" s="246" t="n">
        <v>48.8</v>
      </c>
      <c r="G203" s="246" t="n">
        <v>56.7</v>
      </c>
      <c r="H203" s="246" t="n">
        <v>-12.5</v>
      </c>
      <c r="I203" s="246" t="n">
        <v>-20.4</v>
      </c>
      <c r="J203" s="246" t="n">
        <v>-16.2</v>
      </c>
      <c r="K203" s="247" t="inlineStr">
        <is>
          <t>6082 BIREN TECH; 9630 CFMEE</t>
        </is>
      </c>
    </row>
    <row r="204">
      <c r="A204" s="51" t="inlineStr">
        <is>
          <t>Digital China (HK) Limited 有限公司</t>
        </is>
      </c>
      <c r="B204" s="243" t="n">
        <v>2</v>
      </c>
      <c r="C204" s="245" t="n">
        <v>100</v>
      </c>
      <c r="D204" s="246" t="n">
        <v>83.8</v>
      </c>
      <c r="E204" s="246" t="n">
        <v>70.40000000000001</v>
      </c>
      <c r="F204" s="246" t="n">
        <v>64.2</v>
      </c>
      <c r="G204" s="246" t="n">
        <v>54.9</v>
      </c>
      <c r="H204" s="246" t="n">
        <v>-7</v>
      </c>
      <c r="I204" s="246" t="n">
        <v>-10.4</v>
      </c>
      <c r="J204" s="246" t="n">
        <v>-15.1</v>
      </c>
      <c r="K204" s="247" t="inlineStr">
        <is>
          <t>6082 BIREN TECH; 3310 VIEWTRIX TECH</t>
        </is>
      </c>
    </row>
    <row r="205">
      <c r="A205" s="51" t="inlineStr">
        <is>
          <t>MPC VII Pte. Ltd</t>
        </is>
      </c>
      <c r="B205" s="243" t="n">
        <v>2</v>
      </c>
      <c r="C205" s="245" t="n">
        <v>100</v>
      </c>
      <c r="D205" s="246" t="n">
        <v>83.7</v>
      </c>
      <c r="E205" s="246" t="n">
        <v>91.5</v>
      </c>
      <c r="F205" s="246" t="n">
        <v>100.5</v>
      </c>
      <c r="G205" s="246" t="n">
        <v>215.9</v>
      </c>
      <c r="H205" s="246" t="n">
        <v>0.6</v>
      </c>
      <c r="I205" s="246" t="n">
        <v>2.7</v>
      </c>
      <c r="J205" s="246" t="n">
        <v>57.7</v>
      </c>
      <c r="K205" s="247" t="inlineStr">
        <is>
          <t>2549 CAROTE LTD; 0100 MINIMAX-WP</t>
        </is>
      </c>
    </row>
    <row r="206">
      <c r="A206" s="51" t="inlineStr">
        <is>
          <t>Sunny Festive Limited</t>
        </is>
      </c>
      <c r="B206" s="243" t="n">
        <v>2</v>
      </c>
      <c r="C206" s="245" t="n">
        <v>50</v>
      </c>
      <c r="D206" s="246" t="n">
        <v>78.09999999999999</v>
      </c>
      <c r="E206" s="246" t="n">
        <v>122.7</v>
      </c>
      <c r="F206" s="246" t="n">
        <v>52.3</v>
      </c>
      <c r="G206" s="246" t="n">
        <v>31.3</v>
      </c>
      <c r="H206" s="246" t="n">
        <v>16.9</v>
      </c>
      <c r="I206" s="246" t="n">
        <v>-20.7</v>
      </c>
      <c r="J206" s="246" t="n">
        <v>-30.7</v>
      </c>
      <c r="K206" s="247" t="inlineStr">
        <is>
          <t>1024 KUAISHOU-W; 1688 LINGYI ITECH</t>
        </is>
      </c>
    </row>
    <row r="207">
      <c r="A207" s="51" t="inlineStr">
        <is>
          <t>Tropical Terrain Limited</t>
        </is>
      </c>
      <c r="B207" s="243" t="n">
        <v>2</v>
      </c>
      <c r="C207" s="245" t="n">
        <v>100</v>
      </c>
      <c r="D207" s="246" t="n">
        <v>76.8</v>
      </c>
      <c r="E207" s="246" t="n">
        <v>58.3</v>
      </c>
      <c r="F207" s="246" t="n">
        <v>64.7</v>
      </c>
      <c r="G207" s="246" t="n">
        <v>-2.5</v>
      </c>
      <c r="H207" s="246" t="n">
        <v>-9.699999999999999</v>
      </c>
      <c r="I207" s="246" t="n">
        <v>-4.6</v>
      </c>
      <c r="J207" s="246" t="n">
        <v>-42.5</v>
      </c>
      <c r="K207" s="247" t="inlineStr">
        <is>
          <t>6656 SIGENERGY; 2476 VGT</t>
        </is>
      </c>
    </row>
    <row r="208">
      <c r="A208" s="51" t="inlineStr">
        <is>
          <t>Redwood Elite Limited</t>
        </is>
      </c>
      <c r="B208" s="243" t="n">
        <v>2</v>
      </c>
      <c r="C208" s="245" t="n">
        <v>100</v>
      </c>
      <c r="D208" s="246" t="n">
        <v>76.59999999999999</v>
      </c>
      <c r="E208" s="246" t="n">
        <v>140.1</v>
      </c>
      <c r="F208" s="246" t="n">
        <v>79.5</v>
      </c>
      <c r="G208" s="246" t="n">
        <v>46.7</v>
      </c>
      <c r="H208" s="246" t="n">
        <v>25.3</v>
      </c>
      <c r="I208" s="246" t="n">
        <v>2.9</v>
      </c>
      <c r="J208" s="246" t="n">
        <v>4.9</v>
      </c>
      <c r="K208" s="247" t="inlineStr">
        <is>
          <t>6613 LENS; 0068 MANYCORE TECH</t>
        </is>
      </c>
    </row>
    <row r="209">
      <c r="A209" s="51" t="inlineStr">
        <is>
          <t>Velmar Company Limited</t>
        </is>
      </c>
      <c r="B209" s="243" t="n">
        <v>2</v>
      </c>
      <c r="C209" s="245" t="n">
        <v>100</v>
      </c>
      <c r="D209" s="246" t="n">
        <v>74.7</v>
      </c>
      <c r="E209" s="246" t="n">
        <v>68.3</v>
      </c>
      <c r="F209" s="246" t="n">
        <v>61.1</v>
      </c>
      <c r="G209" s="246" t="n">
        <v>13.2</v>
      </c>
      <c r="H209" s="246" t="n">
        <v>-2.8</v>
      </c>
      <c r="I209" s="246" t="n">
        <v>-10</v>
      </c>
      <c r="J209" s="246" t="n">
        <v>-28.9</v>
      </c>
      <c r="K209" s="247" t="inlineStr">
        <is>
          <t>2158 YIDU TECH; 9980 EASTROC</t>
        </is>
      </c>
    </row>
    <row r="210">
      <c r="A210" s="51" t="inlineStr">
        <is>
          <t>CYGG Holding Limited</t>
        </is>
      </c>
      <c r="B210" s="243" t="n">
        <v>2</v>
      </c>
      <c r="C210" s="245" t="n">
        <v>50</v>
      </c>
      <c r="D210" s="246" t="n">
        <v>74.59999999999999</v>
      </c>
      <c r="E210" s="246" t="n">
        <v>89.40000000000001</v>
      </c>
      <c r="F210" s="246" t="n">
        <v>68.7</v>
      </c>
      <c r="G210" s="246" t="n">
        <v>-0.8</v>
      </c>
      <c r="H210" s="246" t="n">
        <v>14.7</v>
      </c>
      <c r="I210" s="246" t="n">
        <v>76.90000000000001</v>
      </c>
      <c r="J210" s="246" t="n">
        <v>4</v>
      </c>
      <c r="K210" s="247" t="inlineStr">
        <is>
          <t>1511 UISEE TECH; 3231 EXCELLAND ROBOT</t>
        </is>
      </c>
    </row>
    <row r="211">
      <c r="A211" s="51" t="inlineStr">
        <is>
          <t>Wuhu Artec Biotechnology Co., Ltd.*</t>
        </is>
      </c>
      <c r="B211" s="243" t="n">
        <v>2</v>
      </c>
      <c r="C211" s="245" t="n">
        <v>50</v>
      </c>
      <c r="D211" s="246" t="n">
        <v>73</v>
      </c>
      <c r="E211" s="246" t="n">
        <v>87</v>
      </c>
      <c r="F211" s="246" t="n">
        <v>111.6</v>
      </c>
      <c r="G211" s="246" t="n">
        <v>133.3</v>
      </c>
      <c r="H211" s="246" t="n">
        <v>1.6</v>
      </c>
      <c r="I211" s="246" t="n">
        <v>7.6</v>
      </c>
      <c r="J211" s="246" t="n">
        <v>25.5</v>
      </c>
      <c r="K211" s="247" t="inlineStr">
        <is>
          <t>2560 CONCH MAT TECH; 6658 LIULIUMEI</t>
        </is>
      </c>
    </row>
    <row r="212">
      <c r="A212" s="51" t="inlineStr">
        <is>
          <t>Cormorant Asset Management, LP</t>
        </is>
      </c>
      <c r="B212" s="243" t="n">
        <v>2</v>
      </c>
      <c r="C212" s="245" t="n">
        <v>100</v>
      </c>
      <c r="D212" s="246" t="n">
        <v>72</v>
      </c>
      <c r="E212" s="246" t="n">
        <v>29.3</v>
      </c>
      <c r="F212" s="246" t="n">
        <v>14.1</v>
      </c>
      <c r="G212" s="246" t="n">
        <v>4</v>
      </c>
      <c r="H212" s="246" t="n">
        <v>-22.2</v>
      </c>
      <c r="I212" s="246" t="n">
        <v>-32</v>
      </c>
      <c r="J212" s="246" t="n">
        <v>-38.1</v>
      </c>
      <c r="K212" s="247" t="inlineStr">
        <is>
          <t>2190 ZYLOXTB-B; 9637 ALEBUND-B</t>
        </is>
      </c>
    </row>
    <row r="213">
      <c r="A213" s="51" t="inlineStr">
        <is>
          <t>KCH International Investment Limited</t>
        </is>
      </c>
      <c r="B213" s="243" t="n">
        <v>2</v>
      </c>
      <c r="C213" s="245" t="n">
        <v>100</v>
      </c>
      <c r="D213" s="246" t="n">
        <v>70.90000000000001</v>
      </c>
      <c r="E213" s="246" t="n">
        <v>29.8</v>
      </c>
      <c r="F213" s="246" t="n">
        <v>38.9</v>
      </c>
      <c r="G213" s="246" t="n">
        <v>68.59999999999999</v>
      </c>
      <c r="H213" s="246" t="n">
        <v>-20.5</v>
      </c>
      <c r="I213" s="246" t="n">
        <v>-12.1</v>
      </c>
      <c r="J213" s="246" t="n">
        <v>15.3</v>
      </c>
      <c r="K213" s="247" t="inlineStr">
        <is>
          <t>2431 MINIEYE; 1236 LDROBOT</t>
        </is>
      </c>
    </row>
    <row r="214">
      <c r="A214" s="51" t="inlineStr">
        <is>
          <t>Abu Dhabi Investment Authority</t>
        </is>
      </c>
      <c r="B214" s="243" t="n">
        <v>2</v>
      </c>
      <c r="C214" s="245" t="n">
        <v>100</v>
      </c>
      <c r="D214" s="246" t="n">
        <v>70</v>
      </c>
      <c r="E214" s="246" t="n">
        <v>110.5</v>
      </c>
      <c r="F214" s="246" t="n">
        <v>124.9</v>
      </c>
      <c r="G214" s="246" t="n">
        <v>235.3</v>
      </c>
      <c r="H214" s="246" t="n">
        <v>22.9</v>
      </c>
      <c r="I214" s="246" t="n">
        <v>27.2</v>
      </c>
      <c r="J214" s="246" t="n">
        <v>78.2</v>
      </c>
      <c r="K214" s="247" t="inlineStr">
        <is>
          <t>2675 EDGE MEDICAL-B; 0100 MINIMAX-WP</t>
        </is>
      </c>
    </row>
    <row r="215">
      <c r="A215" s="51" t="inlineStr">
        <is>
          <t>AnkeBio (Hong Kong) Co., Limited</t>
        </is>
      </c>
      <c r="B215" s="243" t="n">
        <v>2</v>
      </c>
      <c r="C215" s="245" t="n">
        <v>50</v>
      </c>
      <c r="D215" s="246" t="n">
        <v>69.40000000000001</v>
      </c>
      <c r="E215" s="246" t="n">
        <v>78.5</v>
      </c>
      <c r="F215" s="246" t="n">
        <v>98</v>
      </c>
      <c r="G215" s="246" t="n">
        <v>109.2</v>
      </c>
      <c r="H215" s="246" t="n">
        <v>-1.1</v>
      </c>
      <c r="I215" s="246" t="n">
        <v>3</v>
      </c>
      <c r="J215" s="246" t="n">
        <v>7.7</v>
      </c>
      <c r="K215" s="247" t="inlineStr">
        <is>
          <t>2561 VISEN PHARMA-B; 2659 BAO PHARMA-B</t>
        </is>
      </c>
    </row>
    <row r="216">
      <c r="A216" s="51" t="inlineStr">
        <is>
          <t>Oakwise Growth Fund</t>
        </is>
      </c>
      <c r="B216" s="243" t="n">
        <v>2</v>
      </c>
      <c r="C216" s="245" t="n">
        <v>100</v>
      </c>
      <c r="D216" s="246" t="n">
        <v>64.8</v>
      </c>
      <c r="E216" s="246" t="n">
        <v>58.6</v>
      </c>
      <c r="F216" s="246" t="n">
        <v>1.3</v>
      </c>
      <c r="G216" s="246" t="n">
        <v>20.7</v>
      </c>
      <c r="H216" s="246" t="n">
        <v>-0.3</v>
      </c>
      <c r="I216" s="246" t="n">
        <v>-30.6</v>
      </c>
      <c r="J216" s="246" t="n">
        <v>-23.6</v>
      </c>
      <c r="K216" s="247" t="inlineStr">
        <is>
          <t>2692 ZHAOWEI; 6675 SENASIC</t>
        </is>
      </c>
    </row>
    <row r="217">
      <c r="A217" s="51" t="inlineStr">
        <is>
          <t>CR Alpha Investment II Limited</t>
        </is>
      </c>
      <c r="B217" s="243" t="n">
        <v>2</v>
      </c>
      <c r="C217" s="245" t="n">
        <v>50</v>
      </c>
      <c r="D217" s="246" t="n">
        <v>63.8</v>
      </c>
      <c r="E217" s="246" t="n">
        <v>127.3</v>
      </c>
      <c r="F217" s="246" t="n">
        <v>65.7</v>
      </c>
      <c r="G217" s="246" t="n">
        <v>-9.300000000000001</v>
      </c>
      <c r="H217" s="246" t="n">
        <v>25</v>
      </c>
      <c r="I217" s="246" t="n">
        <v>2.8</v>
      </c>
      <c r="J217" s="246" t="n">
        <v>-37.2</v>
      </c>
      <c r="K217" s="247" t="inlineStr">
        <is>
          <t>6680 JLMAG; 0068 MANYCORE TECH</t>
        </is>
      </c>
    </row>
    <row r="218">
      <c r="A218" s="51" t="inlineStr">
        <is>
          <t>ORIX Asia AM</t>
        </is>
      </c>
      <c r="B218" s="243" t="n">
        <v>2</v>
      </c>
      <c r="C218" s="245" t="n">
        <v>50</v>
      </c>
      <c r="D218" s="246" t="n">
        <v>60.1</v>
      </c>
      <c r="E218" s="246" t="n">
        <v>34.6</v>
      </c>
      <c r="F218" s="246" t="n">
        <v>12.6</v>
      </c>
      <c r="G218" s="246" t="n">
        <v>27.1</v>
      </c>
      <c r="H218" s="246" t="n">
        <v>-9.9</v>
      </c>
      <c r="I218" s="246" t="n">
        <v>-19</v>
      </c>
      <c r="J218" s="246" t="n">
        <v>-3.5</v>
      </c>
      <c r="K218" s="247" t="inlineStr">
        <is>
          <t>7666 METIS TECHBIO-P; 6228 MERDEKAGOLD-DRS</t>
        </is>
      </c>
    </row>
    <row r="219">
      <c r="A219" s="51" t="inlineStr">
        <is>
          <t>QuantumPharm Limited</t>
        </is>
      </c>
      <c r="B219" s="243" t="n">
        <v>2</v>
      </c>
      <c r="C219" s="245" t="n">
        <v>100</v>
      </c>
      <c r="D219" s="246" t="n">
        <v>54.6</v>
      </c>
      <c r="E219" s="246" t="n">
        <v>28.9</v>
      </c>
      <c r="F219" s="246" t="n">
        <v>25.4</v>
      </c>
      <c r="G219" s="246" t="n">
        <v>40.5</v>
      </c>
      <c r="H219" s="246" t="n">
        <v>-13</v>
      </c>
      <c r="I219" s="246" t="n">
        <v>-13.6</v>
      </c>
      <c r="J219" s="246" t="n">
        <v>-6.8</v>
      </c>
      <c r="K219" s="247" t="inlineStr">
        <is>
          <t>2315 BIOCYTOGEN-B; 2718 MININGLAMP-W</t>
        </is>
      </c>
    </row>
    <row r="220">
      <c r="A220" s="51" t="inlineStr">
        <is>
          <t>Brilliant Partners Fund LP and China Core Fund</t>
        </is>
      </c>
      <c r="B220" s="243" t="n">
        <v>2</v>
      </c>
      <c r="C220" s="245" t="n">
        <v>100</v>
      </c>
      <c r="D220" s="246" t="n">
        <v>54.6</v>
      </c>
      <c r="E220" s="246" t="n">
        <v>77.90000000000001</v>
      </c>
      <c r="F220" s="246" t="n">
        <v>88.2</v>
      </c>
      <c r="G220" s="246" t="n">
        <v>193.1</v>
      </c>
      <c r="H220" s="246" t="n">
        <v>15.6</v>
      </c>
      <c r="I220" s="246" t="n">
        <v>23.2</v>
      </c>
      <c r="J220" s="246" t="n">
        <v>86.2</v>
      </c>
      <c r="K220" s="247" t="inlineStr">
        <is>
          <t>1318 MAO GEPING; 2788 CHUANGXIN IND</t>
        </is>
      </c>
    </row>
    <row r="221">
      <c r="A221" s="51" t="inlineStr">
        <is>
          <t>Montage Technology Holdings Company Limited</t>
        </is>
      </c>
      <c r="B221" s="243" t="n">
        <v>2</v>
      </c>
      <c r="C221" s="245" t="n">
        <v>100</v>
      </c>
      <c r="D221" s="246" t="n">
        <v>54.5</v>
      </c>
      <c r="E221" s="246" t="n">
        <v>26.1</v>
      </c>
      <c r="F221" s="246" t="n">
        <v>11.9</v>
      </c>
      <c r="G221" s="246" t="n">
        <v>13.7</v>
      </c>
      <c r="H221" s="246" t="n">
        <v>-15.8</v>
      </c>
      <c r="I221" s="246" t="n">
        <v>-23.6</v>
      </c>
      <c r="J221" s="246" t="n">
        <v>-23.7</v>
      </c>
      <c r="K221" s="247" t="inlineStr">
        <is>
          <t>6682 FOURTH PARADIGM; 9630 CFMEE</t>
        </is>
      </c>
    </row>
    <row r="222">
      <c r="A222" s="51" t="inlineStr">
        <is>
          <t>Vision Capital Management Co., Ltd.</t>
        </is>
      </c>
      <c r="B222" s="243" t="n">
        <v>2</v>
      </c>
      <c r="C222" s="245" t="n">
        <v>50</v>
      </c>
      <c r="D222" s="246" t="n">
        <v>53.6</v>
      </c>
      <c r="E222" s="246" t="n">
        <v>39.8</v>
      </c>
      <c r="F222" s="246" t="n">
        <v>32.5</v>
      </c>
      <c r="G222" s="246" t="n">
        <v>-28.7</v>
      </c>
      <c r="H222" s="246" t="n">
        <v>-8.1</v>
      </c>
      <c r="I222" s="246" t="n">
        <v>-14.1</v>
      </c>
      <c r="J222" s="246" t="n">
        <v>-43.9</v>
      </c>
      <c r="K222" s="247" t="inlineStr">
        <is>
          <t>1187 COFOE MEDICAL; 7630 IMPACT THERAP-B</t>
        </is>
      </c>
    </row>
    <row r="223">
      <c r="A223" s="51" t="inlineStr">
        <is>
          <t>Prosper High Holding Limited</t>
        </is>
      </c>
      <c r="B223" s="243" t="n">
        <v>2</v>
      </c>
      <c r="C223" s="245" t="n">
        <v>50</v>
      </c>
      <c r="D223" s="246" t="n">
        <v>53.4</v>
      </c>
      <c r="E223" s="246" t="n">
        <v>40.5</v>
      </c>
      <c r="F223" s="246" t="n">
        <v>40.6</v>
      </c>
      <c r="G223" s="246" t="n">
        <v>-39.8</v>
      </c>
      <c r="H223" s="246" t="n">
        <v>-7.1</v>
      </c>
      <c r="I223" s="246" t="n">
        <v>-5.7</v>
      </c>
      <c r="J223" s="246" t="n">
        <v>-71.09999999999999</v>
      </c>
      <c r="K223" s="247" t="inlineStr">
        <is>
          <t>7630 IMPACT THERAP-B; 2475 LUXSHARE ICT</t>
        </is>
      </c>
    </row>
    <row r="224">
      <c r="A224" s="51" t="inlineStr">
        <is>
          <t>Victory Giant Technology Holdings (Hong Kong) Limited</t>
        </is>
      </c>
      <c r="B224" s="243" t="n">
        <v>2</v>
      </c>
      <c r="C224" s="245" t="n">
        <v>50</v>
      </c>
      <c r="D224" s="246" t="n">
        <v>51</v>
      </c>
      <c r="E224" s="246" t="n">
        <v>32.5</v>
      </c>
      <c r="F224" s="246" t="n">
        <v>16.4</v>
      </c>
      <c r="G224" s="246" t="n">
        <v>38.2</v>
      </c>
      <c r="H224" s="246" t="n">
        <v>-6</v>
      </c>
      <c r="I224" s="246" t="n">
        <v>-15.8</v>
      </c>
      <c r="J224" s="246" t="n">
        <v>-32.2</v>
      </c>
      <c r="K224" s="247" t="inlineStr">
        <is>
          <t>9630 CFMEE; 1377 DTECH</t>
        </is>
      </c>
    </row>
    <row r="225">
      <c r="A225" s="51" t="inlineStr">
        <is>
          <t>Seraphim Advantage Inc</t>
        </is>
      </c>
      <c r="B225" s="243" t="n">
        <v>2</v>
      </c>
      <c r="C225" s="245" t="n">
        <v>100</v>
      </c>
      <c r="D225" s="246" t="n">
        <v>50.8</v>
      </c>
      <c r="E225" s="246" t="n">
        <v>75.90000000000001</v>
      </c>
      <c r="F225" s="246" t="n">
        <v>79.7</v>
      </c>
      <c r="G225" s="246" t="n">
        <v>175.9</v>
      </c>
      <c r="H225" s="246" t="n">
        <v>17.8</v>
      </c>
      <c r="I225" s="246" t="n">
        <v>20.7</v>
      </c>
      <c r="J225" s="246" t="n">
        <v>77.40000000000001</v>
      </c>
      <c r="K225" s="247" t="inlineStr">
        <is>
          <t>1318 MAO GEPING; 6168 ZHOU LIU FU</t>
        </is>
      </c>
    </row>
    <row r="226">
      <c r="A226" s="51" t="inlineStr">
        <is>
          <t>Yunfeng Capital</t>
        </is>
      </c>
      <c r="B226" s="243" t="n">
        <v>2</v>
      </c>
      <c r="C226" s="245" t="n">
        <v>100</v>
      </c>
      <c r="D226" s="246" t="n">
        <v>50.6</v>
      </c>
      <c r="E226" s="246" t="n">
        <v>93.09999999999999</v>
      </c>
      <c r="F226" s="246" t="n">
        <v>73.5</v>
      </c>
      <c r="G226" s="246" t="n">
        <v>236.8</v>
      </c>
      <c r="H226" s="246" t="n">
        <v>29</v>
      </c>
      <c r="I226" s="246" t="n">
        <v>16.6</v>
      </c>
      <c r="J226" s="246" t="n">
        <v>120.9</v>
      </c>
      <c r="K226" s="247" t="inlineStr">
        <is>
          <t>3986 GIGADEVICE; 6809 MONTAGE TECH</t>
        </is>
      </c>
    </row>
    <row r="227">
      <c r="A227" s="51" t="inlineStr">
        <is>
          <t>Gaoling Fund, L.P.</t>
        </is>
      </c>
      <c r="B227" s="243" t="n">
        <v>2</v>
      </c>
      <c r="C227" s="245" t="n">
        <v>100</v>
      </c>
      <c r="D227" s="246" t="n">
        <v>47.4</v>
      </c>
      <c r="E227" s="246" t="n">
        <v>44.6</v>
      </c>
      <c r="F227" s="246" t="n">
        <v>19.1</v>
      </c>
      <c r="G227" s="246" t="n">
        <v>12.9</v>
      </c>
      <c r="H227" s="246" t="n">
        <v>-2.2</v>
      </c>
      <c r="I227" s="246" t="n">
        <v>-19.4</v>
      </c>
      <c r="J227" s="246" t="n">
        <v>-23.7</v>
      </c>
      <c r="K227" s="247" t="inlineStr">
        <is>
          <t>2160 CARDIOFLOW-B; 2190 ZYLOXTB-B</t>
        </is>
      </c>
    </row>
    <row r="228">
      <c r="A228" s="51" t="inlineStr">
        <is>
          <t>Dacheng Fund Management Company Limited</t>
        </is>
      </c>
      <c r="B228" s="243" t="n">
        <v>2</v>
      </c>
      <c r="C228" s="245" t="n">
        <v>100</v>
      </c>
      <c r="D228" s="246" t="n">
        <v>46.3</v>
      </c>
      <c r="E228" s="246" t="n">
        <v>17.4</v>
      </c>
      <c r="F228" s="246" t="n">
        <v>-2.2</v>
      </c>
      <c r="G228" s="246" t="n">
        <v>-1.4</v>
      </c>
      <c r="H228" s="246" t="n">
        <v>-19.4</v>
      </c>
      <c r="I228" s="246" t="n">
        <v>-32.7</v>
      </c>
      <c r="J228" s="246" t="n">
        <v>-32.2</v>
      </c>
      <c r="K228" s="247" t="inlineStr">
        <is>
          <t>6938 RIBOLIFE-B; 6715 XUNLONG SCITECH</t>
        </is>
      </c>
    </row>
    <row r="229">
      <c r="A229" s="51" t="inlineStr">
        <is>
          <t>Black Dragon AP SPV1</t>
        </is>
      </c>
      <c r="B229" s="243" t="n">
        <v>2</v>
      </c>
      <c r="C229" s="245" t="n">
        <v>100</v>
      </c>
      <c r="D229" s="246" t="n">
        <v>46.1</v>
      </c>
      <c r="E229" s="246" t="n">
        <v>44.3</v>
      </c>
      <c r="F229" s="246" t="n">
        <v>49.3</v>
      </c>
      <c r="G229" s="246" t="n">
        <v>9.5</v>
      </c>
      <c r="H229" s="246" t="n">
        <v>-1.1</v>
      </c>
      <c r="I229" s="246" t="n">
        <v>2</v>
      </c>
      <c r="J229" s="246" t="n">
        <v>-25</v>
      </c>
      <c r="K229" s="247" t="inlineStr">
        <is>
          <t>6603 IFBH; 2476 VGT</t>
        </is>
      </c>
    </row>
    <row r="230">
      <c r="A230" s="51" t="inlineStr">
        <is>
          <t>Splendid Biotech Fund L.P</t>
        </is>
      </c>
      <c r="B230" s="243" t="n">
        <v>2</v>
      </c>
      <c r="C230" s="245" t="n">
        <v>100</v>
      </c>
      <c r="D230" s="246" t="n">
        <v>46.1</v>
      </c>
      <c r="E230" s="246" t="n">
        <v>49</v>
      </c>
      <c r="F230" s="246" t="n">
        <v>38.4</v>
      </c>
      <c r="G230" s="246" t="n">
        <v>22.5</v>
      </c>
      <c r="H230" s="246" t="n">
        <v>0.9</v>
      </c>
      <c r="I230" s="246" t="n">
        <v>-8.4</v>
      </c>
      <c r="J230" s="246" t="n">
        <v>-18.2</v>
      </c>
      <c r="K230" s="247" t="inlineStr">
        <is>
          <t>9887 LEADS BIOLABS-B; 2493 MABWELL-B</t>
        </is>
      </c>
    </row>
    <row r="231">
      <c r="A231" s="51" t="inlineStr">
        <is>
          <t>CMBC International</t>
        </is>
      </c>
      <c r="B231" s="243" t="n">
        <v>2</v>
      </c>
      <c r="C231" s="245" t="n">
        <v>100</v>
      </c>
      <c r="D231" s="246" t="n">
        <v>43.2</v>
      </c>
      <c r="E231" s="246" t="n">
        <v>20.7</v>
      </c>
      <c r="F231" s="246" t="n">
        <v>-3.2</v>
      </c>
      <c r="G231" s="246" t="n">
        <v>2</v>
      </c>
      <c r="H231" s="246" t="n">
        <v>-10.3</v>
      </c>
      <c r="I231" s="246" t="n">
        <v>-27.4</v>
      </c>
      <c r="J231" s="246" t="n">
        <v>-25.8</v>
      </c>
      <c r="K231" s="247" t="inlineStr">
        <is>
          <t>2692 ZHAOWEI; 1956 WENGE AI</t>
        </is>
      </c>
    </row>
    <row r="232">
      <c r="A232" s="51" t="inlineStr">
        <is>
          <t>Enhanced Investment Products Limited</t>
        </is>
      </c>
      <c r="B232" s="243" t="n">
        <v>2</v>
      </c>
      <c r="C232" s="245" t="n">
        <v>100</v>
      </c>
      <c r="D232" s="246" t="n">
        <v>39.4</v>
      </c>
      <c r="E232" s="246" t="n">
        <v>38.4</v>
      </c>
      <c r="F232" s="246" t="n">
        <v>34.2</v>
      </c>
      <c r="G232" s="246" t="n">
        <v>23.6</v>
      </c>
      <c r="H232" s="246" t="n">
        <v>-0.5</v>
      </c>
      <c r="I232" s="246" t="n">
        <v>-3.3</v>
      </c>
      <c r="J232" s="246" t="n">
        <v>-15.2</v>
      </c>
      <c r="K232" s="247" t="inlineStr">
        <is>
          <t>6082 BIREN TECH; 9981 WOER</t>
        </is>
      </c>
    </row>
    <row r="233">
      <c r="A233" s="51" t="inlineStr">
        <is>
          <t>Kunming Jiashiqing Investment Partnership (Limited Partnership)</t>
        </is>
      </c>
      <c r="B233" s="243" t="n">
        <v>2</v>
      </c>
      <c r="C233" s="245" t="n">
        <v>100</v>
      </c>
      <c r="D233" s="246" t="n">
        <v>35.8</v>
      </c>
      <c r="E233" s="246" t="n">
        <v>38.2</v>
      </c>
      <c r="F233" s="246" t="n">
        <v>28.7</v>
      </c>
      <c r="G233" s="246" t="n">
        <v>40.5</v>
      </c>
      <c r="H233" s="246" t="n">
        <v>1.7</v>
      </c>
      <c r="I233" s="246" t="n">
        <v>-5.3</v>
      </c>
      <c r="J233" s="246" t="n">
        <v>3.4</v>
      </c>
      <c r="K233" s="247" t="inlineStr">
        <is>
          <t>2257 SIRNAOMICS-B; 2373 BEAUTYFARM MED</t>
        </is>
      </c>
    </row>
    <row r="234">
      <c r="A234" s="51" t="inlineStr">
        <is>
          <t>HONG KONG MASON ELECTRONICS CO., LIMITED</t>
        </is>
      </c>
      <c r="B234" s="243" t="n">
        <v>2</v>
      </c>
      <c r="C234" s="245" t="n">
        <v>100</v>
      </c>
      <c r="D234" s="246" t="n">
        <v>30.2</v>
      </c>
      <c r="E234" s="246" t="n">
        <v>42.9</v>
      </c>
      <c r="F234" s="246" t="n">
        <v>65</v>
      </c>
      <c r="G234" s="246" t="n">
        <v>9.6</v>
      </c>
      <c r="H234" s="246" t="n">
        <v>-4.8</v>
      </c>
      <c r="I234" s="246" t="n">
        <v>9.9</v>
      </c>
      <c r="J234" s="246" t="n">
        <v>-27</v>
      </c>
      <c r="K234" s="247" t="inlineStr">
        <is>
          <t>2476 VGT; 3228 KINWONG</t>
        </is>
      </c>
    </row>
    <row r="235">
      <c r="A235" s="51" t="inlineStr">
        <is>
          <t>Tianhong Asset Management Co., Ltd</t>
        </is>
      </c>
      <c r="B235" s="243" t="n">
        <v>2</v>
      </c>
      <c r="C235" s="245" t="n">
        <v>100</v>
      </c>
      <c r="D235" s="246" t="n">
        <v>30.2</v>
      </c>
      <c r="E235" s="246" t="n">
        <v>42.9</v>
      </c>
      <c r="F235" s="246" t="n">
        <v>65</v>
      </c>
      <c r="G235" s="246" t="n">
        <v>9.6</v>
      </c>
      <c r="H235" s="246" t="n">
        <v>-4.8</v>
      </c>
      <c r="I235" s="246" t="n">
        <v>9.9</v>
      </c>
      <c r="J235" s="246" t="n">
        <v>-27</v>
      </c>
      <c r="K235" s="247" t="inlineStr">
        <is>
          <t>2476 VGT; 3228 KINWONG</t>
        </is>
      </c>
    </row>
    <row r="236">
      <c r="A236" s="51" t="inlineStr">
        <is>
          <t>Nova Kerry Inc</t>
        </is>
      </c>
      <c r="B236" s="243" t="n">
        <v>2</v>
      </c>
      <c r="C236" s="245" t="n">
        <v>100</v>
      </c>
      <c r="D236" s="246" t="n">
        <v>27.7</v>
      </c>
      <c r="E236" s="246" t="n">
        <v>-7.8</v>
      </c>
      <c r="F236" s="246" t="n">
        <v>-33.7</v>
      </c>
      <c r="G236" s="246" t="n">
        <v>-24.4</v>
      </c>
      <c r="H236" s="246" t="n">
        <v>-27</v>
      </c>
      <c r="I236" s="246" t="n">
        <v>-47.9</v>
      </c>
      <c r="J236" s="246" t="n">
        <v>-39.7</v>
      </c>
      <c r="K236" s="247" t="inlineStr">
        <is>
          <t>6106 SEER TECH; 6715 XUNLONG SCITECH</t>
        </is>
      </c>
    </row>
    <row r="237">
      <c r="A237" s="51" t="inlineStr">
        <is>
          <t>Global Superior Choice Fund 1 SP</t>
        </is>
      </c>
      <c r="B237" s="243" t="n">
        <v>2</v>
      </c>
      <c r="C237" s="245" t="n">
        <v>50</v>
      </c>
      <c r="D237" s="246" t="n">
        <v>25.7</v>
      </c>
      <c r="E237" s="246" t="n">
        <v>15.1</v>
      </c>
      <c r="F237" s="246" t="n">
        <v>19.3</v>
      </c>
      <c r="G237" s="246" t="n">
        <v>-43.4</v>
      </c>
      <c r="H237" s="246" t="n">
        <v>-4.4</v>
      </c>
      <c r="I237" s="246" t="n">
        <v>10.1</v>
      </c>
      <c r="J237" s="246" t="n">
        <v>-24.2</v>
      </c>
      <c r="K237" s="247" t="inlineStr">
        <is>
          <t>7630 IMPACT THERAP-B; 6132 HJ SCIENCE-B</t>
        </is>
      </c>
    </row>
    <row r="238">
      <c r="A238" s="51" t="inlineStr">
        <is>
          <t>New Alternative Limited</t>
        </is>
      </c>
      <c r="B238" s="243" t="n">
        <v>2</v>
      </c>
      <c r="C238" s="245" t="n">
        <v>50</v>
      </c>
      <c r="D238" s="246" t="n">
        <v>25</v>
      </c>
      <c r="E238" s="246" t="n">
        <v>15.4</v>
      </c>
      <c r="F238" s="246" t="n">
        <v>26.5</v>
      </c>
      <c r="G238" s="246" t="n">
        <v>-8.300000000000001</v>
      </c>
      <c r="H238" s="246" t="n">
        <v>-8.5</v>
      </c>
      <c r="I238" s="246" t="n">
        <v>-1</v>
      </c>
      <c r="J238" s="246" t="n">
        <v>-26.6</v>
      </c>
      <c r="K238" s="247" t="inlineStr">
        <is>
          <t>9927 SERES; 2476 VGT</t>
        </is>
      </c>
    </row>
    <row r="239">
      <c r="A239" s="51" t="inlineStr">
        <is>
          <t>Ovata Capital Management Limited</t>
        </is>
      </c>
      <c r="B239" s="243" t="n">
        <v>2</v>
      </c>
      <c r="C239" s="245" t="n">
        <v>50</v>
      </c>
      <c r="D239" s="246" t="n">
        <v>25</v>
      </c>
      <c r="E239" s="246" t="n">
        <v>21.8</v>
      </c>
      <c r="F239" s="246" t="n">
        <v>28</v>
      </c>
      <c r="G239" s="246" t="n">
        <v>12.5</v>
      </c>
      <c r="H239" s="246" t="n">
        <v>-2.1</v>
      </c>
      <c r="I239" s="246" t="n">
        <v>0.4</v>
      </c>
      <c r="J239" s="246" t="n">
        <v>-5.7</v>
      </c>
      <c r="K239" s="247" t="inlineStr">
        <is>
          <t>0470 WUXI LEAD; 2476 VGT</t>
        </is>
      </c>
    </row>
    <row r="240">
      <c r="A240" s="51" t="inlineStr">
        <is>
          <t>Stoneylake Global Alpha Fund</t>
        </is>
      </c>
      <c r="B240" s="243" t="n">
        <v>2</v>
      </c>
      <c r="C240" s="245" t="n">
        <v>100</v>
      </c>
      <c r="D240" s="246" t="n">
        <v>24.9</v>
      </c>
      <c r="E240" s="246" t="n">
        <v>19.9</v>
      </c>
      <c r="F240" s="246" t="n">
        <v>5.2</v>
      </c>
      <c r="G240" s="246" t="n">
        <v>-9.5</v>
      </c>
      <c r="H240" s="246" t="n">
        <v>-4.1</v>
      </c>
      <c r="I240" s="246" t="n">
        <v>-15.9</v>
      </c>
      <c r="J240" s="246" t="n">
        <v>-27.5</v>
      </c>
      <c r="K240" s="247" t="inlineStr">
        <is>
          <t>6687 JST GROUP; 3636 JINXUN RESOURCE</t>
        </is>
      </c>
    </row>
    <row r="241">
      <c r="A241" s="51" t="inlineStr">
        <is>
          <t>Bright Ambition</t>
        </is>
      </c>
      <c r="B241" s="243" t="n">
        <v>2</v>
      </c>
      <c r="C241" s="245" t="n">
        <v>100</v>
      </c>
      <c r="D241" s="246" t="n">
        <v>24.6</v>
      </c>
      <c r="E241" s="246" t="n">
        <v>13.7</v>
      </c>
      <c r="F241" s="246" t="n">
        <v>15.9</v>
      </c>
      <c r="G241" s="246" t="n">
        <v>31.7</v>
      </c>
      <c r="H241" s="246" t="n">
        <v>-8.9</v>
      </c>
      <c r="I241" s="246" t="n">
        <v>-5.5</v>
      </c>
      <c r="J241" s="246" t="n">
        <v>9.6</v>
      </c>
      <c r="K241" s="247" t="inlineStr">
        <is>
          <t>2585 MOKINGRAN; 6938 RIBOLIFE-B</t>
        </is>
      </c>
    </row>
    <row r="242">
      <c r="A242" s="51" t="inlineStr">
        <is>
          <t>M&amp;G Investments</t>
        </is>
      </c>
      <c r="B242" s="243" t="n">
        <v>2</v>
      </c>
      <c r="C242" s="245" t="n">
        <v>100</v>
      </c>
      <c r="D242" s="246" t="n">
        <v>22.8</v>
      </c>
      <c r="E242" s="246" t="n">
        <v>52.8</v>
      </c>
      <c r="F242" s="246" t="n">
        <v>50</v>
      </c>
      <c r="G242" s="246" t="n">
        <v>83.7</v>
      </c>
      <c r="H242" s="246" t="n">
        <v>22.2</v>
      </c>
      <c r="I242" s="246" t="n">
        <v>17.6</v>
      </c>
      <c r="J242" s="246" t="n">
        <v>40.4</v>
      </c>
      <c r="K242" s="247" t="inlineStr">
        <is>
          <t>2097 MIXUE GROUP; 2692 ZHAOWEI</t>
        </is>
      </c>
    </row>
    <row r="243">
      <c r="A243" s="51" t="inlineStr">
        <is>
          <t>First Sentier Investors (Hong Kong) Limited</t>
        </is>
      </c>
      <c r="B243" s="243" t="n">
        <v>2</v>
      </c>
      <c r="C243" s="245" t="n">
        <v>50</v>
      </c>
      <c r="D243" s="246" t="n">
        <v>22.8</v>
      </c>
      <c r="E243" s="246" t="n">
        <v>16.4</v>
      </c>
      <c r="F243" s="246" t="n">
        <v>2.5</v>
      </c>
      <c r="G243" s="246" t="n">
        <v>7.8</v>
      </c>
      <c r="H243" s="246" t="n">
        <v>-5</v>
      </c>
      <c r="I243" s="246" t="n">
        <v>-13.5</v>
      </c>
      <c r="J243" s="246" t="n">
        <v>-26.7</v>
      </c>
      <c r="K243" s="247" t="inlineStr">
        <is>
          <t>3661 SG MICRO; 2475 LUXSHARE ICT</t>
        </is>
      </c>
    </row>
    <row r="244">
      <c r="A244" s="51" t="inlineStr">
        <is>
          <t>Deliante Holdings Co., Ltd</t>
        </is>
      </c>
      <c r="B244" s="243" t="n">
        <v>2</v>
      </c>
      <c r="C244" s="245" t="n">
        <v>50</v>
      </c>
      <c r="D244" s="246" t="n">
        <v>22.7</v>
      </c>
      <c r="E244" s="246" t="n">
        <v>18.9</v>
      </c>
      <c r="F244" s="246" t="n">
        <v>13.9</v>
      </c>
      <c r="G244" s="246" t="n">
        <v>-16.6</v>
      </c>
      <c r="H244" s="246" t="n">
        <v>-2.6</v>
      </c>
      <c r="I244" s="246" t="n">
        <v>-12.1</v>
      </c>
      <c r="J244" s="246" t="n">
        <v>-33.5</v>
      </c>
      <c r="K244" s="247" t="inlineStr">
        <is>
          <t>2476 VGT; 1688 LINGYI ITECH</t>
        </is>
      </c>
    </row>
    <row r="245">
      <c r="A245" s="51" t="inlineStr">
        <is>
          <t>CNCB (Hong Kong) Investment Limited</t>
        </is>
      </c>
      <c r="B245" s="243" t="n">
        <v>2</v>
      </c>
      <c r="C245" s="245" t="n">
        <v>50</v>
      </c>
      <c r="D245" s="246" t="n">
        <v>20.5</v>
      </c>
      <c r="E245" s="246" t="n">
        <v>42.9</v>
      </c>
      <c r="F245" s="246" t="n">
        <v>65</v>
      </c>
      <c r="G245" s="246" t="n">
        <v>9.6</v>
      </c>
      <c r="H245" s="246" t="n">
        <v>-4.8</v>
      </c>
      <c r="I245" s="246" t="n">
        <v>9.9</v>
      </c>
      <c r="J245" s="246" t="n">
        <v>-27</v>
      </c>
      <c r="K245" s="247" t="inlineStr">
        <is>
          <t>2476 VGT; 9607 RA MATERIALS</t>
        </is>
      </c>
    </row>
    <row r="246">
      <c r="A246" s="51" t="inlineStr">
        <is>
          <t>Fourier Capital</t>
        </is>
      </c>
      <c r="B246" s="243" t="n">
        <v>2</v>
      </c>
      <c r="C246" s="245" t="n">
        <v>100</v>
      </c>
      <c r="D246" s="246" t="n">
        <v>19.9</v>
      </c>
      <c r="E246" s="246" t="n">
        <v>17.2</v>
      </c>
      <c r="F246" s="246" t="n">
        <v>7.9</v>
      </c>
      <c r="G246" s="246" t="n">
        <v>29.4</v>
      </c>
      <c r="H246" s="246" t="n">
        <v>-2</v>
      </c>
      <c r="I246" s="246" t="n">
        <v>-9.300000000000001</v>
      </c>
      <c r="J246" s="246" t="n">
        <v>9</v>
      </c>
      <c r="K246" s="247" t="inlineStr">
        <is>
          <t>1304 FORTIOR; 6687 JST GROUP</t>
        </is>
      </c>
    </row>
    <row r="247">
      <c r="A247" s="51" t="inlineStr">
        <is>
          <t>Al-Rayyan Holding LLC</t>
        </is>
      </c>
      <c r="B247" s="243" t="n">
        <v>2</v>
      </c>
      <c r="C247" s="245" t="n">
        <v>100</v>
      </c>
      <c r="D247" s="246" t="n">
        <v>18.7</v>
      </c>
      <c r="E247" s="246" t="n">
        <v>20.8</v>
      </c>
      <c r="F247" s="246" t="n">
        <v>18.7</v>
      </c>
      <c r="G247" s="246" t="n">
        <v>-11.2</v>
      </c>
      <c r="H247" s="246" t="n">
        <v>1.4</v>
      </c>
      <c r="I247" s="246" t="n">
        <v>-2</v>
      </c>
      <c r="J247" s="246" t="n">
        <v>-23.8</v>
      </c>
      <c r="K247" s="247" t="inlineStr">
        <is>
          <t>2268 WUXI XDC; 9980 EASTROC</t>
        </is>
      </c>
    </row>
    <row r="248">
      <c r="A248" s="51" t="inlineStr">
        <is>
          <t>Turquoise Hime (ORIX)</t>
        </is>
      </c>
      <c r="B248" s="243" t="n">
        <v>2</v>
      </c>
      <c r="C248" s="245" t="n">
        <v>100</v>
      </c>
      <c r="D248" s="246" t="n">
        <v>18.7</v>
      </c>
      <c r="E248" s="246" t="n">
        <v>28.4</v>
      </c>
      <c r="F248" s="246" t="n">
        <v>78.3</v>
      </c>
      <c r="G248" s="246" t="n">
        <v>115.7</v>
      </c>
      <c r="H248" s="246" t="n">
        <v>6.6</v>
      </c>
      <c r="I248" s="246" t="n">
        <v>34.3</v>
      </c>
      <c r="J248" s="246" t="n">
        <v>62.4</v>
      </c>
      <c r="K248" s="247" t="inlineStr">
        <is>
          <t>2788 CHUANGXIN IND; 9856 LIGENT</t>
        </is>
      </c>
    </row>
    <row r="249">
      <c r="A249" s="51" t="inlineStr">
        <is>
          <t>Wisdomshire Asset Management Co., Ltd</t>
        </is>
      </c>
      <c r="B249" s="243" t="n">
        <v>2</v>
      </c>
      <c r="C249" s="245" t="n">
        <v>50</v>
      </c>
      <c r="D249" s="246" t="n">
        <v>18.6</v>
      </c>
      <c r="E249" s="246" t="n">
        <v>22.4</v>
      </c>
      <c r="F249" s="246" t="n">
        <v>-1.2</v>
      </c>
      <c r="G249" s="246" t="n">
        <v>22.1</v>
      </c>
      <c r="H249" s="246" t="n">
        <v>2.1</v>
      </c>
      <c r="I249" s="246" t="n">
        <v>-14.6</v>
      </c>
      <c r="J249" s="246" t="n">
        <v>4</v>
      </c>
      <c r="K249" s="247" t="inlineStr">
        <is>
          <t>6936 SF HOLDING; 1779 LONGBIO-B</t>
        </is>
      </c>
    </row>
    <row r="250">
      <c r="A250" s="51" t="inlineStr">
        <is>
          <t>Long-Z Fund I, LP</t>
        </is>
      </c>
      <c r="B250" s="243" t="n">
        <v>2</v>
      </c>
      <c r="C250" s="245" t="n">
        <v>50</v>
      </c>
      <c r="D250" s="246" t="n">
        <v>18.4</v>
      </c>
      <c r="E250" s="246" t="n">
        <v>46.1</v>
      </c>
      <c r="F250" s="246" t="n">
        <v>76.2</v>
      </c>
      <c r="G250" s="246" t="n">
        <v>168.8</v>
      </c>
      <c r="H250" s="246" t="n">
        <v>20.1</v>
      </c>
      <c r="I250" s="246" t="n">
        <v>49.9</v>
      </c>
      <c r="J250" s="246" t="n">
        <v>135.3</v>
      </c>
      <c r="K250" s="247" t="inlineStr">
        <is>
          <t>1364 GUMING; 2097 MIXUE GROUP</t>
        </is>
      </c>
    </row>
    <row r="251">
      <c r="A251" s="51" t="inlineStr">
        <is>
          <t>FR M CONSULTING CO., LTD</t>
        </is>
      </c>
      <c r="B251" s="243" t="n">
        <v>2</v>
      </c>
      <c r="C251" s="245" t="n">
        <v>50</v>
      </c>
      <c r="D251" s="246" t="n">
        <v>18.1</v>
      </c>
      <c r="E251" s="246" t="n">
        <v>21.6</v>
      </c>
      <c r="F251" s="246" t="n">
        <v>-8.6</v>
      </c>
      <c r="G251" s="246" t="n">
        <v>7.8</v>
      </c>
      <c r="H251" s="246" t="n">
        <v>1.8</v>
      </c>
      <c r="I251" s="246" t="n">
        <v>-21.5</v>
      </c>
      <c r="J251" s="246" t="n">
        <v>-9.800000000000001</v>
      </c>
      <c r="K251" s="247" t="inlineStr">
        <is>
          <t>1187 COFOE MEDICAL; 1779 LONGBIO-B</t>
        </is>
      </c>
    </row>
    <row r="252">
      <c r="A252" s="51" t="inlineStr">
        <is>
          <t>Xiamen Evere Sports Goods Co., Ltd</t>
        </is>
      </c>
      <c r="B252" s="243" t="n">
        <v>2</v>
      </c>
      <c r="C252" s="245" t="n">
        <v>100</v>
      </c>
      <c r="D252" s="246" t="n">
        <v>17.7</v>
      </c>
      <c r="E252" s="246" t="n">
        <v>25.5</v>
      </c>
      <c r="F252" s="246" t="n">
        <v>24.9</v>
      </c>
      <c r="G252" s="246" t="n">
        <v>15.9</v>
      </c>
      <c r="H252" s="246" t="n">
        <v>5.7</v>
      </c>
      <c r="I252" s="246" t="n">
        <v>6.5</v>
      </c>
      <c r="J252" s="246" t="n">
        <v>-1.2</v>
      </c>
      <c r="K252" s="247" t="inlineStr">
        <is>
          <t>3650 KEEP; 2726 EPIWORLD</t>
        </is>
      </c>
    </row>
    <row r="253">
      <c r="A253" s="51" t="inlineStr">
        <is>
          <t>Optimas Capital Limited</t>
        </is>
      </c>
      <c r="B253" s="243" t="n">
        <v>2</v>
      </c>
      <c r="C253" s="245" t="n">
        <v>100</v>
      </c>
      <c r="D253" s="246" t="n">
        <v>17.2</v>
      </c>
      <c r="E253" s="246" t="n">
        <v>59.3</v>
      </c>
      <c r="F253" s="246" t="n">
        <v>56.8</v>
      </c>
      <c r="G253" s="246" t="n">
        <v>335.8</v>
      </c>
      <c r="H253" s="246" t="n">
        <v>37.5</v>
      </c>
      <c r="I253" s="246" t="n">
        <v>34.5</v>
      </c>
      <c r="J253" s="246" t="n">
        <v>281.4</v>
      </c>
      <c r="K253" s="247" t="inlineStr">
        <is>
          <t>2513 KNOWLEDGE ATLAS; 3388 CREALITY</t>
        </is>
      </c>
    </row>
    <row r="254">
      <c r="A254" s="51" t="inlineStr">
        <is>
          <t>Schonfeld Strategic Advisors (Hong Kong) Limited</t>
        </is>
      </c>
      <c r="B254" s="243" t="n">
        <v>2</v>
      </c>
      <c r="C254" s="245" t="n">
        <v>50</v>
      </c>
      <c r="D254" s="246" t="n">
        <v>16.9</v>
      </c>
      <c r="E254" s="246" t="n">
        <v>6.1</v>
      </c>
      <c r="F254" s="246" t="n">
        <v>5.7</v>
      </c>
      <c r="G254" s="246" t="n">
        <v>5.3</v>
      </c>
      <c r="H254" s="246" t="n">
        <v>-8.199999999999999</v>
      </c>
      <c r="I254" s="246" t="n">
        <v>-8.800000000000001</v>
      </c>
      <c r="J254" s="246" t="n">
        <v>-9.800000000000001</v>
      </c>
      <c r="K254" s="247" t="inlineStr">
        <is>
          <t>6166 CIG; 7618 JD INDUSTRIALS</t>
        </is>
      </c>
    </row>
    <row r="255">
      <c r="A255" s="51" t="inlineStr">
        <is>
          <t>Pointer Investment (Hong Kong) Limited</t>
        </is>
      </c>
      <c r="B255" s="243" t="n">
        <v>2</v>
      </c>
      <c r="C255" s="245" t="n">
        <v>50</v>
      </c>
      <c r="D255" s="246" t="n">
        <v>16.3</v>
      </c>
      <c r="E255" s="246" t="n">
        <v>24.3</v>
      </c>
      <c r="F255" s="246" t="n">
        <v>27.8</v>
      </c>
      <c r="G255" s="246" t="n">
        <v>59.1</v>
      </c>
      <c r="H255" s="246" t="n">
        <v>4.7</v>
      </c>
      <c r="I255" s="246" t="n">
        <v>5.9</v>
      </c>
      <c r="J255" s="246" t="n">
        <v>32.5</v>
      </c>
      <c r="K255" s="247" t="inlineStr">
        <is>
          <t>2579 CNGR; 2788 CHUANGXIN IND</t>
        </is>
      </c>
    </row>
    <row r="256">
      <c r="A256" s="51" t="inlineStr">
        <is>
          <t>Wildlife Willow Limited</t>
        </is>
      </c>
      <c r="B256" s="243" t="n">
        <v>2</v>
      </c>
      <c r="C256" s="245" t="n">
        <v>100</v>
      </c>
      <c r="D256" s="246" t="n">
        <v>15.6</v>
      </c>
      <c r="E256" s="246" t="n">
        <v>8.9</v>
      </c>
      <c r="F256" s="246" t="n">
        <v>-7.6</v>
      </c>
      <c r="G256" s="246" t="n">
        <v>-21.6</v>
      </c>
      <c r="H256" s="246" t="n">
        <v>-5.8</v>
      </c>
      <c r="I256" s="246" t="n">
        <v>-20.1</v>
      </c>
      <c r="J256" s="246" t="n">
        <v>-32.1</v>
      </c>
      <c r="K256" s="247" t="inlineStr">
        <is>
          <t>2460 CR BEVERAGE; 0501 OMNIVISION</t>
        </is>
      </c>
    </row>
    <row r="257">
      <c r="A257" s="51" t="inlineStr">
        <is>
          <t>China Alpha Fund Management (HK) Limited</t>
        </is>
      </c>
      <c r="B257" s="243" t="n">
        <v>2</v>
      </c>
      <c r="C257" s="245" t="n">
        <v>50</v>
      </c>
      <c r="D257" s="246" t="n">
        <v>15.4</v>
      </c>
      <c r="E257" s="246" t="n">
        <v>21.7</v>
      </c>
      <c r="F257" s="246" t="n">
        <v>12.9</v>
      </c>
      <c r="G257" s="246" t="n">
        <v>-0.7</v>
      </c>
      <c r="H257" s="246" t="n">
        <v>3.3</v>
      </c>
      <c r="I257" s="246" t="n">
        <v>-3.4</v>
      </c>
      <c r="J257" s="246" t="n">
        <v>-15.4</v>
      </c>
      <c r="K257" s="247" t="inlineStr">
        <is>
          <t>9927 SERES; 2675 EDGE MEDICAL-B</t>
        </is>
      </c>
    </row>
    <row r="258">
      <c r="A258" s="51" t="inlineStr">
        <is>
          <t>Baheal Wellness Limited</t>
        </is>
      </c>
      <c r="B258" s="243" t="n">
        <v>2</v>
      </c>
      <c r="C258" s="245" t="n">
        <v>50</v>
      </c>
      <c r="D258" s="246" t="n">
        <v>15</v>
      </c>
      <c r="E258" s="246" t="n">
        <v>43.5</v>
      </c>
      <c r="F258" s="246" t="n">
        <v>36.6</v>
      </c>
      <c r="G258" s="246" t="n">
        <v>-20.5</v>
      </c>
      <c r="H258" s="246" t="n">
        <v>23.3</v>
      </c>
      <c r="I258" s="246" t="n">
        <v>16.4</v>
      </c>
      <c r="J258" s="246" t="n">
        <v>-31.7</v>
      </c>
      <c r="K258" s="247" t="inlineStr">
        <is>
          <t>2361 SINOHEALTH HLDG; 2563 BIOSTAR PHARM-B</t>
        </is>
      </c>
    </row>
    <row r="259">
      <c r="A259" s="51" t="inlineStr">
        <is>
          <t>Bridge Zone Group Limited</t>
        </is>
      </c>
      <c r="B259" s="243" t="n">
        <v>2</v>
      </c>
      <c r="C259" s="245" t="n">
        <v>100</v>
      </c>
      <c r="D259" s="246" t="n">
        <v>14.2</v>
      </c>
      <c r="E259" s="246" t="n">
        <v>21.3</v>
      </c>
      <c r="F259" s="246" t="n">
        <v>9</v>
      </c>
      <c r="G259" s="246" t="n">
        <v>-12.9</v>
      </c>
      <c r="H259" s="246" t="n">
        <v>6.5</v>
      </c>
      <c r="I259" s="246" t="n">
        <v>-5</v>
      </c>
      <c r="J259" s="246" t="n">
        <v>-22.9</v>
      </c>
      <c r="K259" s="247" t="inlineStr">
        <is>
          <t>3636 JINXUN RESOURCE; 2692 ZHAOWEI</t>
        </is>
      </c>
    </row>
    <row r="260">
      <c r="A260" s="51" t="inlineStr">
        <is>
          <t>OmniVision HK</t>
        </is>
      </c>
      <c r="B260" s="243" t="n">
        <v>2</v>
      </c>
      <c r="C260" s="245" t="n">
        <v>100</v>
      </c>
      <c r="D260" s="246" t="n">
        <v>14</v>
      </c>
      <c r="E260" s="246" t="n">
        <v>17.3</v>
      </c>
      <c r="F260" s="246" t="n">
        <v>37</v>
      </c>
      <c r="G260" s="246" t="n">
        <v>45.3</v>
      </c>
      <c r="H260" s="246" t="n">
        <v>2.9</v>
      </c>
      <c r="I260" s="246" t="n">
        <v>20.3</v>
      </c>
      <c r="J260" s="246" t="n">
        <v>27.3</v>
      </c>
      <c r="K260" s="247" t="inlineStr">
        <is>
          <t>3200 HANS CNC; 3296 HUAQIN</t>
        </is>
      </c>
    </row>
    <row r="261">
      <c r="A261" s="51" t="inlineStr">
        <is>
          <t>Close associate of an existing Shareholder WeRide Inc</t>
        </is>
      </c>
      <c r="B261" s="243" t="n">
        <v>2</v>
      </c>
      <c r="C261" s="245" t="n">
        <v>50</v>
      </c>
      <c r="D261" s="246" t="n">
        <v>13.9</v>
      </c>
      <c r="E261" s="246" t="n">
        <v>17.5</v>
      </c>
      <c r="F261" s="246" t="n">
        <v>10.6</v>
      </c>
      <c r="G261" s="246" t="n">
        <v>-4.8</v>
      </c>
      <c r="H261" s="246" t="n">
        <v>0.4</v>
      </c>
      <c r="I261" s="246" t="n">
        <v>-4.3</v>
      </c>
      <c r="J261" s="246" t="n">
        <v>-18.5</v>
      </c>
      <c r="K261" s="247" t="inlineStr">
        <is>
          <t>9680 CHENQI TECH; 2675 EDGE MEDICAL-B</t>
        </is>
      </c>
    </row>
    <row r="262">
      <c r="A262" s="51" t="inlineStr">
        <is>
          <t>Mercuria Holdings (Singapore) Pte. Ltd</t>
        </is>
      </c>
      <c r="B262" s="243" t="n">
        <v>2</v>
      </c>
      <c r="C262" s="245" t="n">
        <v>50</v>
      </c>
      <c r="D262" s="246" t="n">
        <v>13.1</v>
      </c>
      <c r="E262" s="246" t="n">
        <v>28.6</v>
      </c>
      <c r="F262" s="246" t="n">
        <v>39</v>
      </c>
      <c r="G262" s="246" t="n">
        <v>72.09999999999999</v>
      </c>
      <c r="H262" s="246" t="n">
        <v>12.3</v>
      </c>
      <c r="I262" s="246" t="n">
        <v>20.5</v>
      </c>
      <c r="J262" s="246" t="n">
        <v>50</v>
      </c>
      <c r="K262" s="247" t="inlineStr">
        <is>
          <t>2788 CHUANGXIN IND; 6228 MERDEKAGOLD-DRS</t>
        </is>
      </c>
    </row>
    <row r="263">
      <c r="A263" s="51" t="inlineStr">
        <is>
          <t>Pamalican Fund Ltd</t>
        </is>
      </c>
      <c r="B263" s="243" t="n">
        <v>2</v>
      </c>
      <c r="C263" s="245" t="n">
        <v>100</v>
      </c>
      <c r="D263" s="246" t="n">
        <v>11.4</v>
      </c>
      <c r="E263" s="246" t="n">
        <v>17.8</v>
      </c>
      <c r="F263" s="246" t="n">
        <v>10.8</v>
      </c>
      <c r="G263" s="246" t="n">
        <v>10.4</v>
      </c>
      <c r="H263" s="246" t="n">
        <v>6.2</v>
      </c>
      <c r="I263" s="246" t="n">
        <v>0.3</v>
      </c>
      <c r="J263" s="246" t="n">
        <v>0</v>
      </c>
      <c r="K263" s="247" t="inlineStr">
        <is>
          <t>0300 MIDEA GROUP; 2460 CR BEVERAGE</t>
        </is>
      </c>
    </row>
    <row r="264">
      <c r="A264" s="51" t="inlineStr">
        <is>
          <t>Industrial Investment Fund (Limited Partnership) Star Group Limited</t>
        </is>
      </c>
      <c r="B264" s="243" t="n">
        <v>2</v>
      </c>
      <c r="C264" s="245" t="n">
        <v>100</v>
      </c>
      <c r="D264" s="246" t="n">
        <v>9.9</v>
      </c>
      <c r="E264" s="246" t="n">
        <v>9.9</v>
      </c>
      <c r="F264" s="246" t="n">
        <v>13.7</v>
      </c>
      <c r="G264" s="246" t="n">
        <v>65.09999999999999</v>
      </c>
      <c r="H264" s="246" t="n">
        <v>-0.2</v>
      </c>
      <c r="I264" s="246" t="n">
        <v>3.3</v>
      </c>
      <c r="J264" s="246" t="n">
        <v>50.3</v>
      </c>
      <c r="K264" s="247" t="inlineStr">
        <is>
          <t>2506 XUNFEIHEALTH; 3200 HANS CNC</t>
        </is>
      </c>
    </row>
    <row r="265">
      <c r="A265" s="51" t="inlineStr">
        <is>
          <t>Yishao Capital</t>
        </is>
      </c>
      <c r="B265" s="243" t="n">
        <v>2</v>
      </c>
      <c r="C265" s="245" t="n">
        <v>100</v>
      </c>
      <c r="D265" s="246" t="n">
        <v>9.800000000000001</v>
      </c>
      <c r="E265" s="246" t="n">
        <v>4.5</v>
      </c>
      <c r="F265" s="246" t="n">
        <v>22.1</v>
      </c>
      <c r="G265" s="246" t="n">
        <v>-31.3</v>
      </c>
      <c r="H265" s="246" t="n">
        <v>-5.6</v>
      </c>
      <c r="I265" s="246" t="n">
        <v>8.5</v>
      </c>
      <c r="J265" s="246" t="n">
        <v>-34.1</v>
      </c>
      <c r="K265" s="247" t="inlineStr">
        <is>
          <t>6106 SEER TECH; 3752 ROKAE ROBOTICS</t>
        </is>
      </c>
    </row>
    <row r="266">
      <c r="A266" s="51" t="inlineStr">
        <is>
          <t>VEKEN (HONGKONG) ECONOMIC AND TRADE CO., LIMITED</t>
        </is>
      </c>
      <c r="B266" s="243" t="n">
        <v>2</v>
      </c>
      <c r="C266" s="245" t="n">
        <v>100</v>
      </c>
      <c r="D266" s="246" t="n">
        <v>9</v>
      </c>
      <c r="E266" s="246" t="n">
        <v>15.4</v>
      </c>
      <c r="F266" s="246" t="n">
        <v>3.2</v>
      </c>
      <c r="G266" s="246" t="n">
        <v>-7.2</v>
      </c>
      <c r="H266" s="246" t="n">
        <v>5.4</v>
      </c>
      <c r="I266" s="246" t="n">
        <v>-5</v>
      </c>
      <c r="J266" s="246" t="n">
        <v>-14.1</v>
      </c>
      <c r="K266" s="247" t="inlineStr">
        <is>
          <t>2315 BIOCYTOGEN-B; 2543 DAHON TECH</t>
        </is>
      </c>
    </row>
    <row r="267">
      <c r="A267" s="51" t="inlineStr">
        <is>
          <t>Sanhua International Singapore</t>
        </is>
      </c>
      <c r="B267" s="243" t="n">
        <v>2</v>
      </c>
      <c r="C267" s="245" t="n">
        <v>50</v>
      </c>
      <c r="D267" s="246" t="n">
        <v>8</v>
      </c>
      <c r="E267" s="246" t="n">
        <v>6.8</v>
      </c>
      <c r="F267" s="246" t="n">
        <v>9.5</v>
      </c>
      <c r="G267" s="246" t="n">
        <v>19.4</v>
      </c>
      <c r="H267" s="246" t="n">
        <v>-1.9</v>
      </c>
      <c r="I267" s="246" t="n">
        <v>0.4</v>
      </c>
      <c r="J267" s="246" t="n">
        <v>8</v>
      </c>
      <c r="K267" s="247" t="inlineStr">
        <is>
          <t>1304 FORTIOR; 9927 SERES</t>
        </is>
      </c>
    </row>
    <row r="268">
      <c r="A268" s="51" t="inlineStr">
        <is>
          <t>HACF, L.P</t>
        </is>
      </c>
      <c r="B268" s="243" t="n">
        <v>2</v>
      </c>
      <c r="C268" s="245" t="n">
        <v>100</v>
      </c>
      <c r="D268" s="246" t="n">
        <v>7.9</v>
      </c>
      <c r="E268" s="246" t="n">
        <v>20.8</v>
      </c>
      <c r="F268" s="246" t="n">
        <v>69.90000000000001</v>
      </c>
      <c r="G268" s="246" t="n">
        <v>26.7</v>
      </c>
      <c r="H268" s="246" t="n">
        <v>13.8</v>
      </c>
      <c r="I268" s="246" t="n">
        <v>62.3</v>
      </c>
      <c r="J268" s="246" t="n">
        <v>18.5</v>
      </c>
      <c r="K268" s="247" t="inlineStr">
        <is>
          <t>6600 ONEROBOTICS; 0668 ANKER</t>
        </is>
      </c>
    </row>
    <row r="269">
      <c r="A269" s="51" t="inlineStr">
        <is>
          <t>Franklin Templeton Sealand Fund Management Co., Ltd</t>
        </is>
      </c>
      <c r="B269" s="243" t="n">
        <v>2</v>
      </c>
      <c r="C269" s="245" t="n">
        <v>50</v>
      </c>
      <c r="D269" s="246" t="n">
        <v>7.8</v>
      </c>
      <c r="E269" s="246" t="n">
        <v>0.8</v>
      </c>
      <c r="F269" s="246" t="n">
        <v>0.2</v>
      </c>
      <c r="G269" s="246" t="n">
        <v>19.9</v>
      </c>
      <c r="H269" s="246" t="n">
        <v>-6.1</v>
      </c>
      <c r="I269" s="246" t="n">
        <v>-7.3</v>
      </c>
      <c r="J269" s="246" t="n">
        <v>3.7</v>
      </c>
      <c r="K269" s="247" t="inlineStr">
        <is>
          <t>0668 ANKER; 6880 MOMENTA-W</t>
        </is>
      </c>
    </row>
    <row r="270">
      <c r="A270" s="51" t="inlineStr">
        <is>
          <t>China Hongqiao Group Limited</t>
        </is>
      </c>
      <c r="B270" s="243" t="n">
        <v>2</v>
      </c>
      <c r="C270" s="245" t="n">
        <v>50</v>
      </c>
      <c r="D270" s="246" t="n">
        <v>7</v>
      </c>
      <c r="E270" s="246" t="n">
        <v>23.1</v>
      </c>
      <c r="F270" s="246" t="n">
        <v>37.6</v>
      </c>
      <c r="G270" s="246" t="n">
        <v>115.7</v>
      </c>
      <c r="H270" s="246" t="n">
        <v>13.4</v>
      </c>
      <c r="I270" s="246" t="n">
        <v>26.7</v>
      </c>
      <c r="J270" s="246" t="n">
        <v>62.4</v>
      </c>
      <c r="K270" s="247" t="inlineStr">
        <is>
          <t>2788 CHUANGXIN IND; 6745 BEFAR GROUP</t>
        </is>
      </c>
    </row>
    <row r="271">
      <c r="A271" s="51" t="inlineStr">
        <is>
          <t>Galaxy Dynasty Limited</t>
        </is>
      </c>
      <c r="B271" s="243" t="n">
        <v>2</v>
      </c>
      <c r="C271" s="245" t="n">
        <v>50</v>
      </c>
      <c r="D271" s="246" t="n">
        <v>6.1</v>
      </c>
      <c r="E271" s="246" t="n">
        <v>-4.9</v>
      </c>
      <c r="F271" s="246" t="n">
        <v>-3.5</v>
      </c>
      <c r="G271" s="246" t="n">
        <v>-36.1</v>
      </c>
      <c r="H271" s="246" t="n">
        <v>-10.1</v>
      </c>
      <c r="I271" s="246" t="n">
        <v>-9.5</v>
      </c>
      <c r="J271" s="246" t="n">
        <v>-38.3</v>
      </c>
      <c r="K271" s="247" t="inlineStr">
        <is>
          <t>2677 DISTINCT HEALTH; 1187 COFOE MEDICAL</t>
        </is>
      </c>
    </row>
    <row r="272">
      <c r="A272" s="51" t="inlineStr">
        <is>
          <t>Ingenic Semiconductor HK</t>
        </is>
      </c>
      <c r="B272" s="243" t="n">
        <v>2</v>
      </c>
      <c r="C272" s="245" t="n">
        <v>50</v>
      </c>
      <c r="D272" s="246" t="n">
        <v>6.1</v>
      </c>
      <c r="E272" s="246" t="n">
        <v>-3.4</v>
      </c>
      <c r="F272" s="246" t="n">
        <v>52.2</v>
      </c>
      <c r="G272" s="246" t="n">
        <v>21.2</v>
      </c>
      <c r="H272" s="246" t="n">
        <v>-9.9</v>
      </c>
      <c r="I272" s="246" t="n">
        <v>34.4</v>
      </c>
      <c r="J272" s="246" t="n">
        <v>7</v>
      </c>
      <c r="K272" s="247" t="inlineStr">
        <is>
          <t>3296 HUAQIN; 9976 LONGSYS</t>
        </is>
      </c>
    </row>
    <row r="273">
      <c r="A273" s="51" t="inlineStr">
        <is>
          <t>VVC Technology Fund Ltd</t>
        </is>
      </c>
      <c r="B273" s="243" t="n">
        <v>2</v>
      </c>
      <c r="C273" s="245" t="n">
        <v>100</v>
      </c>
      <c r="D273" s="246" t="n">
        <v>5.3</v>
      </c>
      <c r="E273" s="246" t="n">
        <v>8.4</v>
      </c>
      <c r="F273" s="246" t="n">
        <v>4.4</v>
      </c>
      <c r="G273" s="246" t="n">
        <v>-11.1</v>
      </c>
      <c r="H273" s="246" t="n">
        <v>3.1</v>
      </c>
      <c r="I273" s="246" t="n">
        <v>-1.1</v>
      </c>
      <c r="J273" s="246" t="n">
        <v>-15.6</v>
      </c>
      <c r="K273" s="247" t="inlineStr">
        <is>
          <t>2692 ZHAOWEI; 1021 HUAYAN ROBOTICS</t>
        </is>
      </c>
    </row>
    <row r="274">
      <c r="A274" s="51" t="inlineStr">
        <is>
          <t>China Post Life Insurance Company Limited</t>
        </is>
      </c>
      <c r="B274" s="243" t="n">
        <v>2</v>
      </c>
      <c r="C274" s="245" t="n">
        <v>50</v>
      </c>
      <c r="D274" s="246" t="n">
        <v>4.8</v>
      </c>
      <c r="E274" s="246" t="n">
        <v>-0.5</v>
      </c>
      <c r="F274" s="246" t="n">
        <v>-17.8</v>
      </c>
      <c r="G274" s="246" t="n">
        <v>-13.7</v>
      </c>
      <c r="H274" s="246" t="n">
        <v>-4.8</v>
      </c>
      <c r="I274" s="246" t="n">
        <v>-21</v>
      </c>
      <c r="J274" s="246" t="n">
        <v>-16.4</v>
      </c>
      <c r="K274" s="247" t="inlineStr">
        <is>
          <t>2460 CR BEVERAGE; 2580 AUX ELECTRIC</t>
        </is>
      </c>
    </row>
    <row r="275">
      <c r="A275" s="51" t="inlineStr">
        <is>
          <t>GBAHIL</t>
        </is>
      </c>
      <c r="B275" s="243" t="n">
        <v>2</v>
      </c>
      <c r="C275" s="245" t="n">
        <v>100</v>
      </c>
      <c r="D275" s="246" t="n">
        <v>4.7</v>
      </c>
      <c r="E275" s="246" t="n">
        <v>-2.5</v>
      </c>
      <c r="F275" s="246" t="n">
        <v>6.7</v>
      </c>
      <c r="G275" s="248" t="n"/>
      <c r="H275" s="246" t="n">
        <v>-6.8</v>
      </c>
      <c r="I275" s="246" t="n">
        <v>1.9</v>
      </c>
      <c r="J275" s="248" t="n"/>
      <c r="K275" s="247" t="inlineStr">
        <is>
          <t>6951 CCTC; 9856 LIGENT</t>
        </is>
      </c>
    </row>
    <row r="276">
      <c r="A276" s="51" t="inlineStr">
        <is>
          <t>Everbright Wealth</t>
        </is>
      </c>
      <c r="B276" s="243" t="n">
        <v>2</v>
      </c>
      <c r="C276" s="245" t="n">
        <v>50</v>
      </c>
      <c r="D276" s="246" t="n">
        <v>4.3</v>
      </c>
      <c r="E276" s="246" t="n">
        <v>6</v>
      </c>
      <c r="F276" s="246" t="n">
        <v>7.5</v>
      </c>
      <c r="G276" s="246" t="n">
        <v>-10.9</v>
      </c>
      <c r="H276" s="246" t="n">
        <v>1.5</v>
      </c>
      <c r="I276" s="246" t="n">
        <v>0.1</v>
      </c>
      <c r="J276" s="246" t="n">
        <v>-16.6</v>
      </c>
      <c r="K276" s="247" t="inlineStr">
        <is>
          <t>3296 HUAQIN; 1688 LINGYI ITECH</t>
        </is>
      </c>
    </row>
    <row r="277">
      <c r="A277" s="51" t="inlineStr">
        <is>
          <t>Supercluster Universe Limited</t>
        </is>
      </c>
      <c r="B277" s="243" t="n">
        <v>2</v>
      </c>
      <c r="C277" s="245" t="n">
        <v>100</v>
      </c>
      <c r="D277" s="246" t="n">
        <v>4.2</v>
      </c>
      <c r="E277" s="246" t="n">
        <v>12.8</v>
      </c>
      <c r="F277" s="246" t="n">
        <v>17.5</v>
      </c>
      <c r="G277" s="246" t="n">
        <v>16.2</v>
      </c>
      <c r="H277" s="246" t="n">
        <v>7.8</v>
      </c>
      <c r="I277" s="246" t="n">
        <v>12.3</v>
      </c>
      <c r="J277" s="246" t="n">
        <v>10.9</v>
      </c>
      <c r="K277" s="247" t="inlineStr">
        <is>
          <t>0300 MIDEA GROUP; 3288 HAITIAN FLAV</t>
        </is>
      </c>
    </row>
    <row r="278">
      <c r="A278" s="51" t="inlineStr">
        <is>
          <t>KINGBOARD INVESTMENTS LIMITED</t>
        </is>
      </c>
      <c r="B278" s="243" t="n">
        <v>2</v>
      </c>
      <c r="C278" s="245" t="n">
        <v>50</v>
      </c>
      <c r="D278" s="246" t="n">
        <v>4.2</v>
      </c>
      <c r="E278" s="246" t="n">
        <v>9.9</v>
      </c>
      <c r="F278" s="246" t="n">
        <v>2.6</v>
      </c>
      <c r="G278" s="248" t="n"/>
      <c r="H278" s="246" t="n">
        <v>11.9</v>
      </c>
      <c r="I278" s="246" t="n">
        <v>4.5</v>
      </c>
      <c r="J278" s="248" t="n"/>
      <c r="K278" s="247" t="inlineStr">
        <is>
          <t>1377 DTECH; 3228 KINWONG</t>
        </is>
      </c>
    </row>
    <row r="279">
      <c r="A279" s="51" t="inlineStr">
        <is>
          <t>Eternal Earn Holding Limited</t>
        </is>
      </c>
      <c r="B279" s="243" t="n">
        <v>2</v>
      </c>
      <c r="C279" s="245" t="n">
        <v>50</v>
      </c>
      <c r="D279" s="246" t="n">
        <v>4.1</v>
      </c>
      <c r="E279" s="246" t="n">
        <v>4.4</v>
      </c>
      <c r="F279" s="246" t="n">
        <v>7.5</v>
      </c>
      <c r="G279" s="246" t="n">
        <v>12.4</v>
      </c>
      <c r="H279" s="246" t="n">
        <v>0.4</v>
      </c>
      <c r="I279" s="246" t="n">
        <v>3.1</v>
      </c>
      <c r="J279" s="246" t="n">
        <v>9</v>
      </c>
      <c r="K279" s="247" t="inlineStr">
        <is>
          <t>1519 J&amp;T EXPRESS-W; 1021 HUAYAN ROBOTICS</t>
        </is>
      </c>
    </row>
    <row r="280">
      <c r="A280" s="51" t="inlineStr">
        <is>
          <t>RemeGen Co., Ltd</t>
        </is>
      </c>
      <c r="B280" s="243" t="n">
        <v>2</v>
      </c>
      <c r="C280" s="245" t="n">
        <v>100</v>
      </c>
      <c r="D280" s="246" t="n">
        <v>4</v>
      </c>
      <c r="E280" s="246" t="n">
        <v>17.6</v>
      </c>
      <c r="F280" s="246" t="n">
        <v>21.8</v>
      </c>
      <c r="G280" s="246" t="n">
        <v>28</v>
      </c>
      <c r="H280" s="246" t="n">
        <v>12.9</v>
      </c>
      <c r="I280" s="246" t="n">
        <v>17</v>
      </c>
      <c r="J280" s="246" t="n">
        <v>22.9</v>
      </c>
      <c r="K280" s="247" t="inlineStr">
        <is>
          <t>2315 BIOCYTOGEN-B; 1541 IMMUNEONCO-B</t>
        </is>
      </c>
    </row>
    <row r="281">
      <c r="A281" s="51" t="inlineStr">
        <is>
          <t>COSCO Shipping (Hong Kong) Co., Limited</t>
        </is>
      </c>
      <c r="B281" s="243" t="n">
        <v>2</v>
      </c>
      <c r="C281" s="245" t="n">
        <v>50</v>
      </c>
      <c r="D281" s="246" t="n">
        <v>3.9</v>
      </c>
      <c r="E281" s="246" t="n">
        <v>18.6</v>
      </c>
      <c r="F281" s="246" t="n">
        <v>26.9</v>
      </c>
      <c r="G281" s="246" t="n">
        <v>24.1</v>
      </c>
      <c r="H281" s="246" t="n">
        <v>13.9</v>
      </c>
      <c r="I281" s="246" t="n">
        <v>21.9</v>
      </c>
      <c r="J281" s="246" t="n">
        <v>19.1</v>
      </c>
      <c r="K281" s="247" t="inlineStr">
        <is>
          <t>1880 CTG DUTY-FREE; 0300 MIDEA GROUP</t>
        </is>
      </c>
    </row>
    <row r="282">
      <c r="A282" s="51" t="inlineStr">
        <is>
          <t>Caitong Fund Management Co., Ltd</t>
        </is>
      </c>
      <c r="B282" s="243" t="n">
        <v>2</v>
      </c>
      <c r="C282" s="245" t="n">
        <v>50</v>
      </c>
      <c r="D282" s="246" t="n">
        <v>3.8</v>
      </c>
      <c r="E282" s="246" t="n">
        <v>-3.7</v>
      </c>
      <c r="F282" s="246" t="n">
        <v>-10.2</v>
      </c>
      <c r="G282" s="246" t="n">
        <v>-32.1</v>
      </c>
      <c r="H282" s="246" t="n">
        <v>-7</v>
      </c>
      <c r="I282" s="246" t="n">
        <v>-14.3</v>
      </c>
      <c r="J282" s="246" t="n">
        <v>-35.6</v>
      </c>
      <c r="K282" s="247" t="inlineStr">
        <is>
          <t>9600 NEWLINK TECH; 3355 FS.COM</t>
        </is>
      </c>
    </row>
    <row r="283">
      <c r="A283" s="51" t="inlineStr">
        <is>
          <t>SCV Alpha LP</t>
        </is>
      </c>
      <c r="B283" s="243" t="n">
        <v>2</v>
      </c>
      <c r="C283" s="245" t="n">
        <v>100</v>
      </c>
      <c r="D283" s="246" t="n">
        <v>3.8</v>
      </c>
      <c r="E283" s="246" t="n">
        <v>0.2</v>
      </c>
      <c r="F283" s="246" t="n">
        <v>1.1</v>
      </c>
      <c r="G283" s="246" t="n">
        <v>-28.1</v>
      </c>
      <c r="H283" s="246" t="n">
        <v>-3.4</v>
      </c>
      <c r="I283" s="246" t="n">
        <v>-1.8</v>
      </c>
      <c r="J283" s="246" t="n">
        <v>-30.1</v>
      </c>
      <c r="K283" s="247" t="inlineStr">
        <is>
          <t>9981 WOER; 9856 LIGENT</t>
        </is>
      </c>
    </row>
    <row r="284">
      <c r="A284" s="51" t="inlineStr">
        <is>
          <t>Oasis Investments II Master Fund Ltd</t>
        </is>
      </c>
      <c r="B284" s="243" t="n">
        <v>2</v>
      </c>
      <c r="C284" s="245" t="n">
        <v>50</v>
      </c>
      <c r="D284" s="246" t="n">
        <v>3.3</v>
      </c>
      <c r="E284" s="246" t="n">
        <v>16.5</v>
      </c>
      <c r="F284" s="246" t="n">
        <v>-1.8</v>
      </c>
      <c r="G284" s="246" t="n">
        <v>-10</v>
      </c>
      <c r="H284" s="246" t="n">
        <v>17.2</v>
      </c>
      <c r="I284" s="246" t="n">
        <v>-9</v>
      </c>
      <c r="J284" s="246" t="n">
        <v>-16.4</v>
      </c>
      <c r="K284" s="247" t="inlineStr">
        <is>
          <t>3388 CREALITY; 3952 LAIFUAL</t>
        </is>
      </c>
    </row>
    <row r="285">
      <c r="A285" s="51" t="inlineStr">
        <is>
          <t>LYFE CAPITAL FUND III (DRAGON), L.P</t>
        </is>
      </c>
      <c r="B285" s="243" t="n">
        <v>2</v>
      </c>
      <c r="C285" s="245" t="n">
        <v>50</v>
      </c>
      <c r="D285" s="246" t="n">
        <v>3.2</v>
      </c>
      <c r="E285" s="246" t="n">
        <v>13.7</v>
      </c>
      <c r="F285" s="246" t="n">
        <v>-2.3</v>
      </c>
      <c r="G285" s="246" t="n">
        <v>-16</v>
      </c>
      <c r="H285" s="246" t="n">
        <v>7</v>
      </c>
      <c r="I285" s="246" t="n">
        <v>-9.199999999999999</v>
      </c>
      <c r="J285" s="246" t="n">
        <v>-23.7</v>
      </c>
      <c r="K285" s="247" t="inlineStr">
        <is>
          <t>6609 HEARTCARE-B; 2675 EDGE MEDICAL-B</t>
        </is>
      </c>
    </row>
    <row r="286">
      <c r="A286" s="51" t="inlineStr">
        <is>
          <t>Jiangxi Guokong Private Equity Fund Management Co., Ltd</t>
        </is>
      </c>
      <c r="B286" s="243" t="n">
        <v>2</v>
      </c>
      <c r="C286" s="245" t="n">
        <v>100</v>
      </c>
      <c r="D286" s="246" t="n">
        <v>3.2</v>
      </c>
      <c r="E286" s="246" t="n">
        <v>0.7</v>
      </c>
      <c r="F286" s="246" t="n">
        <v>-1.3</v>
      </c>
      <c r="G286" s="246" t="n">
        <v>-28.6</v>
      </c>
      <c r="H286" s="246" t="n">
        <v>-2.4</v>
      </c>
      <c r="I286" s="246" t="n">
        <v>-4.4</v>
      </c>
      <c r="J286" s="246" t="n">
        <v>-30.8</v>
      </c>
      <c r="K286" s="247" t="inlineStr">
        <is>
          <t>9611 LONGCHEER; 9981 WOER</t>
        </is>
      </c>
    </row>
    <row r="287">
      <c r="A287" s="51" t="inlineStr">
        <is>
          <t>Virtues Origin SPC</t>
        </is>
      </c>
      <c r="B287" s="243" t="n">
        <v>2</v>
      </c>
      <c r="C287" s="245" t="n">
        <v>100</v>
      </c>
      <c r="D287" s="246" t="n">
        <v>3</v>
      </c>
      <c r="E287" s="246" t="n">
        <v>7.2</v>
      </c>
      <c r="F287" s="246" t="n">
        <v>-7.8</v>
      </c>
      <c r="G287" s="246" t="n">
        <v>1.7</v>
      </c>
      <c r="H287" s="246" t="n">
        <v>4.1</v>
      </c>
      <c r="I287" s="246" t="n">
        <v>-10.5</v>
      </c>
      <c r="J287" s="246" t="n">
        <v>-1.3</v>
      </c>
      <c r="K287" s="247" t="inlineStr">
        <is>
          <t>6668 E-STAR CM; 2692 ZHAOWEI</t>
        </is>
      </c>
    </row>
    <row r="288">
      <c r="A288" s="51" t="inlineStr">
        <is>
          <t>York Asian Opportunities Investments Master Fund, LP</t>
        </is>
      </c>
      <c r="B288" s="243" t="n">
        <v>2</v>
      </c>
      <c r="C288" s="245" t="n">
        <v>100</v>
      </c>
      <c r="D288" s="246" t="n">
        <v>3</v>
      </c>
      <c r="E288" s="246" t="n">
        <v>1.3</v>
      </c>
      <c r="F288" s="246" t="n">
        <v>3.2</v>
      </c>
      <c r="G288" s="246" t="n">
        <v>137.7</v>
      </c>
      <c r="H288" s="246" t="n">
        <v>-1.6</v>
      </c>
      <c r="I288" s="246" t="n">
        <v>0.6</v>
      </c>
      <c r="J288" s="246" t="n">
        <v>134.1</v>
      </c>
      <c r="K288" s="247" t="inlineStr">
        <is>
          <t>2279 YONGHE MEDICAL; 3317 XUNCE</t>
        </is>
      </c>
    </row>
    <row r="289">
      <c r="A289" s="51" t="inlineStr">
        <is>
          <t>Peak Reinsurance Company Limited</t>
        </is>
      </c>
      <c r="B289" s="243" t="n">
        <v>2</v>
      </c>
      <c r="C289" s="245" t="n">
        <v>100</v>
      </c>
      <c r="D289" s="246" t="n">
        <v>2.6</v>
      </c>
      <c r="E289" s="246" t="n">
        <v>1.2</v>
      </c>
      <c r="F289" s="246" t="n">
        <v>-25.8</v>
      </c>
      <c r="G289" s="246" t="n">
        <v>-45.3</v>
      </c>
      <c r="H289" s="246" t="n">
        <v>-1.3</v>
      </c>
      <c r="I289" s="246" t="n">
        <v>-26.2</v>
      </c>
      <c r="J289" s="246" t="n">
        <v>-45.5</v>
      </c>
      <c r="K289" s="247" t="inlineStr">
        <is>
          <t>3658 NEW HOPE SERV; 9856 LIGENT</t>
        </is>
      </c>
    </row>
    <row r="290">
      <c r="A290" s="51" t="inlineStr">
        <is>
          <t>Honour Goal Investments Limited</t>
        </is>
      </c>
      <c r="B290" s="243" t="n">
        <v>2</v>
      </c>
      <c r="C290" s="245" t="n">
        <v>50</v>
      </c>
      <c r="D290" s="246" t="n">
        <v>2.5</v>
      </c>
      <c r="E290" s="246" t="n">
        <v>-5</v>
      </c>
      <c r="F290" s="246" t="n">
        <v>-3.3</v>
      </c>
      <c r="G290" s="246" t="n">
        <v>17.3</v>
      </c>
      <c r="H290" s="246" t="n">
        <v>-7.5</v>
      </c>
      <c r="I290" s="246" t="n">
        <v>-5.8</v>
      </c>
      <c r="J290" s="246" t="n">
        <v>13.4</v>
      </c>
      <c r="K290" s="247" t="inlineStr">
        <is>
          <t>2506 XUNFEIHEALTH; 9927 SERES</t>
        </is>
      </c>
    </row>
    <row r="291">
      <c r="A291" s="51" t="inlineStr">
        <is>
          <t>GigaDevice</t>
        </is>
      </c>
      <c r="B291" s="243" t="n">
        <v>2</v>
      </c>
      <c r="C291" s="245" t="n">
        <v>50</v>
      </c>
      <c r="D291" s="246" t="n">
        <v>2.3</v>
      </c>
      <c r="E291" s="246" t="n">
        <v>-1.2</v>
      </c>
      <c r="F291" s="246" t="n">
        <v>-10.1</v>
      </c>
      <c r="G291" s="248" t="n"/>
      <c r="H291" s="246" t="n">
        <v>-3.3</v>
      </c>
      <c r="I291" s="246" t="n">
        <v>-10.1</v>
      </c>
      <c r="J291" s="248" t="n"/>
      <c r="K291" s="247" t="inlineStr">
        <is>
          <t>6880 MOMENTA-W; 9856 LIGENT</t>
        </is>
      </c>
    </row>
    <row r="292">
      <c r="A292" s="51" t="inlineStr">
        <is>
          <t>NANJING JINGKAI JUZHI INVESTMENT L.P</t>
        </is>
      </c>
      <c r="B292" s="243" t="n">
        <v>2</v>
      </c>
      <c r="C292" s="245" t="n">
        <v>50</v>
      </c>
      <c r="D292" s="246" t="n">
        <v>2.2</v>
      </c>
      <c r="E292" s="246" t="n">
        <v>-23</v>
      </c>
      <c r="F292" s="246" t="n">
        <v>-32.6</v>
      </c>
      <c r="G292" s="246" t="n">
        <v>-59.7</v>
      </c>
      <c r="H292" s="246" t="n">
        <v>-23.2</v>
      </c>
      <c r="I292" s="246" t="n">
        <v>-32.5</v>
      </c>
      <c r="J292" s="246" t="n">
        <v>-61</v>
      </c>
      <c r="K292" s="247" t="inlineStr">
        <is>
          <t>2438 MOBVOI; 2898 SUNHO BIO-B</t>
        </is>
      </c>
    </row>
    <row r="293">
      <c r="A293" s="51" t="inlineStr">
        <is>
          <t>Xingyu Automotive Lighting (Hong Kong) Company Limited</t>
        </is>
      </c>
      <c r="B293" s="243" t="n">
        <v>2</v>
      </c>
      <c r="C293" s="245" t="n">
        <v>50</v>
      </c>
      <c r="D293" s="246" t="n">
        <v>1.9</v>
      </c>
      <c r="E293" s="246" t="n">
        <v>-4.2</v>
      </c>
      <c r="F293" s="246" t="n">
        <v>-2.8</v>
      </c>
      <c r="G293" s="246" t="n">
        <v>-13.2</v>
      </c>
      <c r="H293" s="246" t="n">
        <v>-6.2</v>
      </c>
      <c r="I293" s="246" t="n">
        <v>-4.7</v>
      </c>
      <c r="J293" s="246" t="n">
        <v>-15</v>
      </c>
      <c r="K293" s="247" t="inlineStr">
        <is>
          <t>9973 CHERY AUTO; 9927 SERES</t>
        </is>
      </c>
    </row>
    <row r="294">
      <c r="A294" s="51" t="inlineStr">
        <is>
          <t>Sanjin International CO., LTD</t>
        </is>
      </c>
      <c r="B294" s="243" t="n">
        <v>2</v>
      </c>
      <c r="C294" s="245" t="n">
        <v>100</v>
      </c>
      <c r="D294" s="246" t="n">
        <v>1.8</v>
      </c>
      <c r="E294" s="246" t="n">
        <v>-0.7</v>
      </c>
      <c r="F294" s="246" t="n">
        <v>-6.1</v>
      </c>
      <c r="G294" s="246" t="n">
        <v>-10.5</v>
      </c>
      <c r="H294" s="246" t="n">
        <v>-2.5</v>
      </c>
      <c r="I294" s="246" t="n">
        <v>-7.9</v>
      </c>
      <c r="J294" s="246" t="n">
        <v>-12.3</v>
      </c>
      <c r="K294" s="247" t="inlineStr">
        <is>
          <t>2315 BIOCYTOGEN-B; 2493 MABWELL-B</t>
        </is>
      </c>
    </row>
    <row r="295">
      <c r="A295" s="51" t="inlineStr">
        <is>
          <t>ODI TRUST LIMITED</t>
        </is>
      </c>
      <c r="B295" s="243" t="n">
        <v>2</v>
      </c>
      <c r="C295" s="245" t="n">
        <v>50</v>
      </c>
      <c r="D295" s="246" t="n">
        <v>1.8</v>
      </c>
      <c r="E295" s="246" t="n">
        <v>-4.7</v>
      </c>
      <c r="F295" s="246" t="n">
        <v>-16.1</v>
      </c>
      <c r="G295" s="246" t="n">
        <v>-17.7</v>
      </c>
      <c r="H295" s="246" t="n">
        <v>-6.3</v>
      </c>
      <c r="I295" s="246" t="n">
        <v>-15.2</v>
      </c>
      <c r="J295" s="246" t="n">
        <v>-16.8</v>
      </c>
      <c r="K295" s="247" t="inlineStr">
        <is>
          <t>1187 COFOE MEDICAL; 9856 LIGENT</t>
        </is>
      </c>
    </row>
    <row r="296">
      <c r="A296" s="51" t="inlineStr">
        <is>
          <t>Internet Fund IIIA Pte. Ltd</t>
        </is>
      </c>
      <c r="B296" s="243" t="n">
        <v>2</v>
      </c>
      <c r="C296" s="245" t="n">
        <v>50</v>
      </c>
      <c r="D296" s="246" t="n">
        <v>1.6</v>
      </c>
      <c r="E296" s="246" t="n">
        <v>-0.2</v>
      </c>
      <c r="F296" s="246" t="n">
        <v>-16.2</v>
      </c>
      <c r="G296" s="246" t="n">
        <v>-24.2</v>
      </c>
      <c r="H296" s="246" t="n">
        <v>-2</v>
      </c>
      <c r="I296" s="246" t="n">
        <v>-17.8</v>
      </c>
      <c r="J296" s="246" t="n">
        <v>-26.6</v>
      </c>
      <c r="K296" s="247" t="inlineStr">
        <is>
          <t>2618 JD LOGISTICS; 0625 SHEIN-W</t>
        </is>
      </c>
    </row>
    <row r="297">
      <c r="A297" s="51" t="inlineStr">
        <is>
          <t>Shaanxi Tide Automobile Air Conditioning Co., Ltd</t>
        </is>
      </c>
      <c r="B297" s="243" t="n">
        <v>2</v>
      </c>
      <c r="C297" s="245" t="n">
        <v>50</v>
      </c>
      <c r="D297" s="246" t="n">
        <v>1.4</v>
      </c>
      <c r="E297" s="246" t="n">
        <v>-1.1</v>
      </c>
      <c r="F297" s="246" t="n">
        <v>-15.7</v>
      </c>
      <c r="G297" s="246" t="n">
        <v>-13.7</v>
      </c>
      <c r="H297" s="246" t="n">
        <v>-2.6</v>
      </c>
      <c r="I297" s="246" t="n">
        <v>-17.1</v>
      </c>
      <c r="J297" s="246" t="n">
        <v>-15.3</v>
      </c>
      <c r="K297" s="247" t="inlineStr">
        <is>
          <t>2418 DEEWIN; 6031 SANY HEAVY IND</t>
        </is>
      </c>
    </row>
    <row r="298">
      <c r="A298" s="51" t="inlineStr">
        <is>
          <t>ZGC International Limited</t>
        </is>
      </c>
      <c r="B298" s="243" t="n">
        <v>2</v>
      </c>
      <c r="C298" s="245" t="n">
        <v>50</v>
      </c>
      <c r="D298" s="246" t="n">
        <v>1.2</v>
      </c>
      <c r="E298" s="246" t="n">
        <v>11.9</v>
      </c>
      <c r="F298" s="246" t="n">
        <v>71.09999999999999</v>
      </c>
      <c r="G298" s="246" t="n">
        <v>42.4</v>
      </c>
      <c r="H298" s="246" t="n">
        <v>10.4</v>
      </c>
      <c r="I298" s="246" t="n">
        <v>66.2</v>
      </c>
      <c r="J298" s="246" t="n">
        <v>36.2</v>
      </c>
      <c r="K298" s="247" t="inlineStr">
        <is>
          <t>9885 YSB; 2438 MOBVOI</t>
        </is>
      </c>
    </row>
    <row r="299">
      <c r="A299" s="51" t="inlineStr">
        <is>
          <t>Heilan Group Co., Limited</t>
        </is>
      </c>
      <c r="B299" s="243" t="n">
        <v>2</v>
      </c>
      <c r="C299" s="245" t="n">
        <v>50</v>
      </c>
      <c r="D299" s="246" t="n">
        <v>1.1</v>
      </c>
      <c r="E299" s="246" t="n">
        <v>0</v>
      </c>
      <c r="F299" s="246" t="n">
        <v>-6</v>
      </c>
      <c r="G299" s="246" t="n">
        <v>-4.7</v>
      </c>
      <c r="H299" s="246" t="n">
        <v>-0.9</v>
      </c>
      <c r="I299" s="246" t="n">
        <v>-6.7</v>
      </c>
      <c r="J299" s="246" t="n">
        <v>-5.9</v>
      </c>
      <c r="K299" s="247" t="inlineStr">
        <is>
          <t>9878 HUITONGDA NET; 9857 LINMON MEDIA</t>
        </is>
      </c>
    </row>
    <row r="300">
      <c r="A300" s="51" t="inlineStr">
        <is>
          <t>Streamax Electronics Limited</t>
        </is>
      </c>
      <c r="B300" s="243" t="n">
        <v>2</v>
      </c>
      <c r="C300" s="245" t="n">
        <v>50</v>
      </c>
      <c r="D300" s="246" t="n">
        <v>0.8</v>
      </c>
      <c r="E300" s="246" t="n">
        <v>-9.5</v>
      </c>
      <c r="F300" s="246" t="n">
        <v>-25.9</v>
      </c>
      <c r="G300" s="246" t="n">
        <v>-37.6</v>
      </c>
      <c r="H300" s="246" t="n">
        <v>-10.1</v>
      </c>
      <c r="I300" s="246" t="n">
        <v>-26.5</v>
      </c>
      <c r="J300" s="246" t="n">
        <v>-38.1</v>
      </c>
      <c r="K300" s="247" t="inlineStr">
        <is>
          <t>2418 DEEWIN; 3268 MEIG</t>
        </is>
      </c>
    </row>
    <row r="301">
      <c r="A301" s="51" t="inlineStr">
        <is>
          <t>United Imaging Healthcare Hong Kong Limited</t>
        </is>
      </c>
      <c r="B301" s="243" t="n">
        <v>2</v>
      </c>
      <c r="C301" s="245" t="n">
        <v>100</v>
      </c>
      <c r="D301" s="246" t="n">
        <v>0.6</v>
      </c>
      <c r="E301" s="246" t="n">
        <v>14.5</v>
      </c>
      <c r="F301" s="246" t="n">
        <v>7.7</v>
      </c>
      <c r="G301" s="246" t="n">
        <v>27.6</v>
      </c>
      <c r="H301" s="246" t="n">
        <v>13.9</v>
      </c>
      <c r="I301" s="246" t="n">
        <v>7.1</v>
      </c>
      <c r="J301" s="246" t="n">
        <v>26.9</v>
      </c>
      <c r="K301" s="247" t="inlineStr">
        <is>
          <t>2522 RIMAG GROUP; 1828 FWD</t>
        </is>
      </c>
    </row>
    <row r="302">
      <c r="A302" s="51" t="inlineStr">
        <is>
          <t>Chongqing Dazuhuaiyuan Construction Investment Co., L</t>
        </is>
      </c>
      <c r="B302" s="243" t="n">
        <v>2</v>
      </c>
      <c r="C302" s="245" t="n">
        <v>50</v>
      </c>
      <c r="D302" s="246" t="n">
        <v>0.5</v>
      </c>
      <c r="E302" s="246" t="n">
        <v>-6.9</v>
      </c>
      <c r="F302" s="246" t="n">
        <v>-5.7</v>
      </c>
      <c r="G302" s="246" t="n">
        <v>-13.8</v>
      </c>
      <c r="H302" s="246" t="n">
        <v>-7.4</v>
      </c>
      <c r="I302" s="246" t="n">
        <v>-6.2</v>
      </c>
      <c r="J302" s="246" t="n">
        <v>-14.2</v>
      </c>
      <c r="K302" s="247" t="inlineStr">
        <is>
          <t>2451 LUYUAN GP HLDG; 9927 SERES</t>
        </is>
      </c>
    </row>
    <row r="303">
      <c r="A303" s="51" t="inlineStr">
        <is>
          <t>Xiongan Intelligent Robot Limited</t>
        </is>
      </c>
      <c r="B303" s="243" t="n">
        <v>2</v>
      </c>
      <c r="C303" s="245" t="n">
        <v>50</v>
      </c>
      <c r="D303" s="246" t="n">
        <v>0.4</v>
      </c>
      <c r="E303" s="246" t="n">
        <v>17.5</v>
      </c>
      <c r="F303" s="246" t="n">
        <v>39.3</v>
      </c>
      <c r="G303" s="246" t="n">
        <v>45.8</v>
      </c>
      <c r="H303" s="246" t="n">
        <v>17.6</v>
      </c>
      <c r="I303" s="246" t="n">
        <v>40.6</v>
      </c>
      <c r="J303" s="246" t="n">
        <v>43.4</v>
      </c>
      <c r="K303" s="247" t="inlineStr">
        <is>
          <t>2590 GEEKPLUS-W; 1511 UISEE TECH</t>
        </is>
      </c>
    </row>
    <row r="304">
      <c r="A304" s="51" t="inlineStr">
        <is>
          <t>CALB Co., Ltd</t>
        </is>
      </c>
      <c r="B304" s="243" t="n">
        <v>2</v>
      </c>
      <c r="C304" s="245" t="n">
        <v>0</v>
      </c>
      <c r="D304" s="246" t="n">
        <v>-0.1</v>
      </c>
      <c r="E304" s="246" t="n">
        <v>-7.4</v>
      </c>
      <c r="F304" s="246" t="n">
        <v>-9.199999999999999</v>
      </c>
      <c r="G304" s="246" t="n">
        <v>-9.300000000000001</v>
      </c>
      <c r="H304" s="246" t="n">
        <v>-7.3</v>
      </c>
      <c r="I304" s="246" t="n">
        <v>-9.1</v>
      </c>
      <c r="J304" s="246" t="n">
        <v>-9.300000000000001</v>
      </c>
      <c r="K304" s="247" t="inlineStr">
        <is>
          <t>9696 TIANQI LITHIUM; 2579 CNGR</t>
        </is>
      </c>
    </row>
    <row r="305">
      <c r="A305" s="51" t="inlineStr">
        <is>
          <t>Profit Joy (Hong Kong) Limited</t>
        </is>
      </c>
      <c r="B305" s="243" t="n">
        <v>2</v>
      </c>
      <c r="C305" s="245" t="n">
        <v>0</v>
      </c>
      <c r="D305" s="246" t="n">
        <v>-0.1</v>
      </c>
      <c r="E305" s="246" t="n">
        <v>-3.9</v>
      </c>
      <c r="F305" s="246" t="n">
        <v>15.1</v>
      </c>
      <c r="G305" s="246" t="n">
        <v>6.4</v>
      </c>
      <c r="H305" s="246" t="n">
        <v>-3.8</v>
      </c>
      <c r="I305" s="246" t="n">
        <v>15.2</v>
      </c>
      <c r="J305" s="246" t="n">
        <v>6.5</v>
      </c>
      <c r="K305" s="247" t="inlineStr">
        <is>
          <t>2517 GUOQUAN; 3887 HASHKEY HLDGS</t>
        </is>
      </c>
    </row>
    <row r="306">
      <c r="A306" s="51" t="inlineStr">
        <is>
          <t>Xuzhou Economic Technology Development Zone (HK) Investment Co., Limited</t>
        </is>
      </c>
      <c r="B306" s="243" t="n">
        <v>2</v>
      </c>
      <c r="C306" s="245" t="n">
        <v>50</v>
      </c>
      <c r="D306" s="246" t="n">
        <v>-1</v>
      </c>
      <c r="E306" s="246" t="n">
        <v>22.1</v>
      </c>
      <c r="F306" s="246" t="n">
        <v>63.5</v>
      </c>
      <c r="G306" s="246" t="n">
        <v>72</v>
      </c>
      <c r="H306" s="246" t="n">
        <v>20</v>
      </c>
      <c r="I306" s="246" t="n">
        <v>55.8</v>
      </c>
      <c r="J306" s="246" t="n">
        <v>59.4</v>
      </c>
      <c r="K306" s="247" t="inlineStr">
        <is>
          <t>1244 3D MEDICINES-B; 2479 TIANJUDIHE</t>
        </is>
      </c>
    </row>
    <row r="307">
      <c r="A307" s="51" t="inlineStr">
        <is>
          <t>Burkehill</t>
        </is>
      </c>
      <c r="B307" s="243" t="n">
        <v>2</v>
      </c>
      <c r="C307" s="245" t="n">
        <v>0</v>
      </c>
      <c r="D307" s="246" t="n">
        <v>-1</v>
      </c>
      <c r="E307" s="246" t="n">
        <v>8.1</v>
      </c>
      <c r="F307" s="246" t="n">
        <v>1.4</v>
      </c>
      <c r="G307" s="246" t="n">
        <v>-8.4</v>
      </c>
      <c r="H307" s="246" t="n">
        <v>9.300000000000001</v>
      </c>
      <c r="I307" s="246" t="n">
        <v>2.5</v>
      </c>
      <c r="J307" s="246" t="n">
        <v>-8.4</v>
      </c>
      <c r="K307" s="247" t="inlineStr">
        <is>
          <t>7618 JD INDUSTRIALS; 3308 ZJ INNOLIGHT</t>
        </is>
      </c>
    </row>
    <row r="308">
      <c r="A308" s="51" t="inlineStr">
        <is>
          <t>Goldstream Capital Management Limited</t>
        </is>
      </c>
      <c r="B308" s="243" t="n">
        <v>2</v>
      </c>
      <c r="C308" s="245" t="n">
        <v>50</v>
      </c>
      <c r="D308" s="246" t="n">
        <v>-1.3</v>
      </c>
      <c r="E308" s="246" t="n">
        <v>-8.800000000000001</v>
      </c>
      <c r="F308" s="246" t="n">
        <v>-17.1</v>
      </c>
      <c r="G308" s="246" t="n">
        <v>-17.9</v>
      </c>
      <c r="H308" s="246" t="n">
        <v>-7.1</v>
      </c>
      <c r="I308" s="246" t="n">
        <v>-17.5</v>
      </c>
      <c r="J308" s="246" t="n">
        <v>-21.8</v>
      </c>
      <c r="K308" s="247" t="inlineStr">
        <is>
          <t>1490 CHESHI; 6609 HEARTCARE-B</t>
        </is>
      </c>
    </row>
    <row r="309">
      <c r="A309" s="51" t="inlineStr">
        <is>
          <t>Chengdu High-tech Orinno Youchan Equity Investment Fund Partnership (LP)</t>
        </is>
      </c>
      <c r="B309" s="243" t="n">
        <v>2</v>
      </c>
      <c r="C309" s="245" t="n">
        <v>0</v>
      </c>
      <c r="D309" s="246" t="n">
        <v>-1.5</v>
      </c>
      <c r="E309" s="246" t="n">
        <v>0.9</v>
      </c>
      <c r="F309" s="246" t="n">
        <v>-18.9</v>
      </c>
      <c r="G309" s="246" t="n">
        <v>-40.6</v>
      </c>
      <c r="H309" s="246" t="n">
        <v>2.5</v>
      </c>
      <c r="I309" s="246" t="n">
        <v>-17.3</v>
      </c>
      <c r="J309" s="246" t="n">
        <v>-39.6</v>
      </c>
      <c r="K309" s="247" t="inlineStr">
        <is>
          <t>2416 EDIANYUN; 2496 YZYBIO-B</t>
        </is>
      </c>
    </row>
    <row r="310">
      <c r="A310" s="51" t="inlineStr">
        <is>
          <t>China Chengtong Investment Company Limited</t>
        </is>
      </c>
      <c r="B310" s="243" t="n">
        <v>2</v>
      </c>
      <c r="C310" s="245" t="n">
        <v>50</v>
      </c>
      <c r="D310" s="246" t="n">
        <v>-1.7</v>
      </c>
      <c r="E310" s="246" t="n">
        <v>2.3</v>
      </c>
      <c r="F310" s="246" t="n">
        <v>-17.8</v>
      </c>
      <c r="G310" s="246" t="n">
        <v>-12.4</v>
      </c>
      <c r="H310" s="246" t="n">
        <v>3.7</v>
      </c>
      <c r="I310" s="246" t="n">
        <v>-17.2</v>
      </c>
      <c r="J310" s="246" t="n">
        <v>-10</v>
      </c>
      <c r="K310" s="247" t="inlineStr">
        <is>
          <t>2618 JD LOGISTICS; 2602 ONEWO</t>
        </is>
      </c>
    </row>
    <row r="311">
      <c r="A311" s="51" t="inlineStr">
        <is>
          <t>Azure Telecommunication</t>
        </is>
      </c>
      <c r="B311" s="243" t="n">
        <v>2</v>
      </c>
      <c r="C311" s="245" t="n">
        <v>50</v>
      </c>
      <c r="D311" s="246" t="n">
        <v>-1.9</v>
      </c>
      <c r="E311" s="246" t="n">
        <v>-1.1</v>
      </c>
      <c r="F311" s="246" t="n">
        <v>-10.9</v>
      </c>
      <c r="G311" s="246" t="n">
        <v>-9.4</v>
      </c>
      <c r="H311" s="246" t="n">
        <v>0.8</v>
      </c>
      <c r="I311" s="246" t="n">
        <v>-9</v>
      </c>
      <c r="J311" s="246" t="n">
        <v>-7.4</v>
      </c>
      <c r="K311" s="247" t="inlineStr">
        <is>
          <t>2385 READBOY; 9980 EASTROC</t>
        </is>
      </c>
    </row>
    <row r="312">
      <c r="A312" s="51" t="inlineStr">
        <is>
          <t>Tasly International Capital Limited</t>
        </is>
      </c>
      <c r="B312" s="243" t="n">
        <v>2</v>
      </c>
      <c r="C312" s="245" t="n">
        <v>50</v>
      </c>
      <c r="D312" s="246" t="n">
        <v>-2.1</v>
      </c>
      <c r="E312" s="246" t="n">
        <v>2.5</v>
      </c>
      <c r="F312" s="246" t="n">
        <v>20.1</v>
      </c>
      <c r="G312" s="246" t="n">
        <v>17.7</v>
      </c>
      <c r="H312" s="246" t="n">
        <v>4.3</v>
      </c>
      <c r="I312" s="246" t="n">
        <v>19.9</v>
      </c>
      <c r="J312" s="246" t="n">
        <v>16.4</v>
      </c>
      <c r="K312" s="247" t="inlineStr">
        <is>
          <t>9955 CLOUDR; 6681 BRAINAURORA-B</t>
        </is>
      </c>
    </row>
    <row r="313">
      <c r="A313" s="51" t="inlineStr">
        <is>
          <t>Mr. Cheng Wan Wai</t>
        </is>
      </c>
      <c r="B313" s="243" t="n">
        <v>2</v>
      </c>
      <c r="C313" s="245" t="n">
        <v>50</v>
      </c>
      <c r="D313" s="246" t="n">
        <v>-2.3</v>
      </c>
      <c r="E313" s="246" t="n">
        <v>-11.9</v>
      </c>
      <c r="F313" s="246" t="n">
        <v>-26.7</v>
      </c>
      <c r="G313" s="246" t="n">
        <v>-33.2</v>
      </c>
      <c r="H313" s="246" t="n">
        <v>-9.800000000000001</v>
      </c>
      <c r="I313" s="246" t="n">
        <v>-23.9</v>
      </c>
      <c r="J313" s="246" t="n">
        <v>-32.8</v>
      </c>
      <c r="K313" s="247" t="inlineStr">
        <is>
          <t>2350 MTT GROUP; 6067 SENIOR MATERIAL</t>
        </is>
      </c>
    </row>
    <row r="314">
      <c r="A314" s="51" t="inlineStr">
        <is>
          <t>PT. Anugerah Citra Walet Indonesia</t>
        </is>
      </c>
      <c r="B314" s="243" t="n">
        <v>2</v>
      </c>
      <c r="C314" s="245" t="n">
        <v>0</v>
      </c>
      <c r="D314" s="246" t="n">
        <v>-2.5</v>
      </c>
      <c r="E314" s="246" t="n">
        <v>-7</v>
      </c>
      <c r="F314" s="246" t="n">
        <v>-3.8</v>
      </c>
      <c r="G314" s="246" t="n">
        <v>9.800000000000001</v>
      </c>
      <c r="H314" s="246" t="n">
        <v>-4.6</v>
      </c>
      <c r="I314" s="246" t="n">
        <v>-1.4</v>
      </c>
      <c r="J314" s="246" t="n">
        <v>12.9</v>
      </c>
      <c r="K314" s="247" t="inlineStr">
        <is>
          <t>1497 YAN PALACE; 2610 NANSHAN AL INTL</t>
        </is>
      </c>
    </row>
    <row r="315">
      <c r="A315" s="51" t="inlineStr">
        <is>
          <t>NonaVerse (Hong Kong) Limited</t>
        </is>
      </c>
      <c r="B315" s="243" t="n">
        <v>2</v>
      </c>
      <c r="C315" s="245" t="n">
        <v>0</v>
      </c>
      <c r="D315" s="246" t="n">
        <v>-2.5</v>
      </c>
      <c r="E315" s="246" t="n">
        <v>10.1</v>
      </c>
      <c r="F315" s="246" t="n">
        <v>-5.6</v>
      </c>
      <c r="G315" s="246" t="n">
        <v>-15.3</v>
      </c>
      <c r="H315" s="246" t="n">
        <v>12.8</v>
      </c>
      <c r="I315" s="246" t="n">
        <v>-3</v>
      </c>
      <c r="J315" s="246" t="n">
        <v>-12.7</v>
      </c>
      <c r="K315" s="247" t="inlineStr">
        <is>
          <t>2648 ANJOY FOOD; 0600 AXERA</t>
        </is>
      </c>
    </row>
    <row r="316">
      <c r="A316" s="51" t="inlineStr">
        <is>
          <t>Tibet Nord Technology Co., Ltd</t>
        </is>
      </c>
      <c r="B316" s="243" t="n">
        <v>2</v>
      </c>
      <c r="C316" s="245" t="n">
        <v>0</v>
      </c>
      <c r="D316" s="246" t="n">
        <v>-2.7</v>
      </c>
      <c r="E316" s="246" t="n">
        <v>-5.1</v>
      </c>
      <c r="F316" s="246" t="n">
        <v>-29.1</v>
      </c>
      <c r="G316" s="246" t="n">
        <v>-27.5</v>
      </c>
      <c r="H316" s="246" t="n">
        <v>-2.5</v>
      </c>
      <c r="I316" s="246" t="n">
        <v>-26.9</v>
      </c>
      <c r="J316" s="246" t="n">
        <v>-25</v>
      </c>
      <c r="K316" s="247" t="inlineStr">
        <is>
          <t>3931 CALB; 2580 AUX ELECTRIC</t>
        </is>
      </c>
    </row>
    <row r="317">
      <c r="A317" s="51" t="inlineStr">
        <is>
          <t>Yangtze River (Hong Kong) Limited</t>
        </is>
      </c>
      <c r="B317" s="243" t="n">
        <v>2</v>
      </c>
      <c r="C317" s="245" t="n">
        <v>50</v>
      </c>
      <c r="D317" s="246" t="n">
        <v>-2.9</v>
      </c>
      <c r="E317" s="246" t="n">
        <v>0.1</v>
      </c>
      <c r="F317" s="246" t="n">
        <v>-16.8</v>
      </c>
      <c r="G317" s="246" t="n">
        <v>-31.6</v>
      </c>
      <c r="H317" s="246" t="n">
        <v>2.8</v>
      </c>
      <c r="I317" s="246" t="n">
        <v>-15</v>
      </c>
      <c r="J317" s="246" t="n">
        <v>-30.5</v>
      </c>
      <c r="K317" s="247" t="inlineStr">
        <is>
          <t>2179 RECBIO-B; 9955 CLOUDR</t>
        </is>
      </c>
    </row>
    <row r="318">
      <c r="A318" s="51" t="inlineStr">
        <is>
          <t>CNGR Hong Kong Material Science &amp; Technology Co., Limited</t>
        </is>
      </c>
      <c r="B318" s="243" t="n">
        <v>2</v>
      </c>
      <c r="C318" s="245" t="n">
        <v>0</v>
      </c>
      <c r="D318" s="246" t="n">
        <v>-3.3</v>
      </c>
      <c r="E318" s="246" t="n">
        <v>-2.4</v>
      </c>
      <c r="F318" s="246" t="n">
        <v>-19.1</v>
      </c>
      <c r="G318" s="246" t="n">
        <v>-8.6</v>
      </c>
      <c r="H318" s="246" t="n">
        <v>1</v>
      </c>
      <c r="I318" s="246" t="n">
        <v>-15.6</v>
      </c>
      <c r="J318" s="246" t="n">
        <v>-4.1</v>
      </c>
      <c r="K318" s="247" t="inlineStr">
        <is>
          <t>3931 CALB; 6228 MERDEKAGOLD-DRS</t>
        </is>
      </c>
    </row>
    <row r="319">
      <c r="A319" s="51" t="inlineStr">
        <is>
          <t>Affin Hwang Asset Management Berhad</t>
        </is>
      </c>
      <c r="B319" s="243" t="n">
        <v>2</v>
      </c>
      <c r="C319" s="245" t="n">
        <v>50</v>
      </c>
      <c r="D319" s="246" t="n">
        <v>-3.6</v>
      </c>
      <c r="E319" s="246" t="n">
        <v>7</v>
      </c>
      <c r="F319" s="246" t="n">
        <v>-17</v>
      </c>
      <c r="G319" s="246" t="n">
        <v>15.4</v>
      </c>
      <c r="H319" s="246" t="n">
        <v>10.8</v>
      </c>
      <c r="I319" s="246" t="n">
        <v>-13.2</v>
      </c>
      <c r="J319" s="246" t="n">
        <v>21</v>
      </c>
      <c r="K319" s="247" t="inlineStr">
        <is>
          <t>2170 BASECARE-B; 2171 CARSGEN-B</t>
        </is>
      </c>
    </row>
    <row r="320">
      <c r="A320" s="51" t="inlineStr">
        <is>
          <t>CRF Investment Holdings Company Limited</t>
        </is>
      </c>
      <c r="B320" s="243" t="n">
        <v>2</v>
      </c>
      <c r="C320" s="245" t="n">
        <v>50</v>
      </c>
      <c r="D320" s="246" t="n">
        <v>-3.7</v>
      </c>
      <c r="E320" s="246" t="n">
        <v>2.2</v>
      </c>
      <c r="F320" s="246" t="n">
        <v>-16.9</v>
      </c>
      <c r="G320" s="246" t="n">
        <v>1.4</v>
      </c>
      <c r="H320" s="246" t="n">
        <v>5.6</v>
      </c>
      <c r="I320" s="246" t="n">
        <v>-13</v>
      </c>
      <c r="J320" s="246" t="n">
        <v>5.7</v>
      </c>
      <c r="K320" s="247" t="inlineStr">
        <is>
          <t>2170 BASECARE-B; 6127 JOINN</t>
        </is>
      </c>
    </row>
    <row r="321">
      <c r="A321" s="51" t="inlineStr">
        <is>
          <t>Triple Surge Holdings Limited</t>
        </is>
      </c>
      <c r="B321" s="243" t="n">
        <v>2</v>
      </c>
      <c r="C321" s="245" t="n">
        <v>50</v>
      </c>
      <c r="D321" s="246" t="n">
        <v>-4.8</v>
      </c>
      <c r="E321" s="246" t="n">
        <v>-23.7</v>
      </c>
      <c r="F321" s="246" t="n">
        <v>-28.6</v>
      </c>
      <c r="G321" s="246" t="n">
        <v>-50.3</v>
      </c>
      <c r="H321" s="246" t="n">
        <v>-20.7</v>
      </c>
      <c r="I321" s="246" t="n">
        <v>-25</v>
      </c>
      <c r="J321" s="246" t="n">
        <v>-46.5</v>
      </c>
      <c r="K321" s="247" t="inlineStr">
        <is>
          <t>2209 YESASIA HLDGS; 9639 WING LEE DEV</t>
        </is>
      </c>
    </row>
    <row r="322">
      <c r="A322" s="51" t="inlineStr">
        <is>
          <t>Wuhan Chuxing Yourui General Health Industry Investment Fund Partnership (Limite</t>
        </is>
      </c>
      <c r="B322" s="243" t="n">
        <v>2</v>
      </c>
      <c r="C322" s="245" t="n">
        <v>0</v>
      </c>
      <c r="D322" s="246" t="n">
        <v>-5.6</v>
      </c>
      <c r="E322" s="246" t="n">
        <v>-6.5</v>
      </c>
      <c r="F322" s="246" t="n">
        <v>-10.7</v>
      </c>
      <c r="G322" s="246" t="n">
        <v>-11.4</v>
      </c>
      <c r="H322" s="246" t="n">
        <v>-0.6</v>
      </c>
      <c r="I322" s="246" t="n">
        <v>-3.2</v>
      </c>
      <c r="J322" s="246" t="n">
        <v>-3.7</v>
      </c>
      <c r="K322" s="247" t="inlineStr">
        <is>
          <t>2496 YZYBIO-B; 2495 VOICECOMM</t>
        </is>
      </c>
    </row>
    <row r="323">
      <c r="A323" s="51" t="inlineStr">
        <is>
          <t>Hubei Ronbay Battery Triangle No. 1 Equity Investment Fund Partnership</t>
        </is>
      </c>
      <c r="B323" s="243" t="n">
        <v>2</v>
      </c>
      <c r="C323" s="245" t="n">
        <v>0</v>
      </c>
      <c r="D323" s="246" t="n">
        <v>-5.9</v>
      </c>
      <c r="E323" s="246" t="n">
        <v>-11.1</v>
      </c>
      <c r="F323" s="246" t="n">
        <v>-7.5</v>
      </c>
      <c r="G323" s="246" t="n">
        <v>-25.6</v>
      </c>
      <c r="H323" s="246" t="n">
        <v>-5.6</v>
      </c>
      <c r="I323" s="246" t="n">
        <v>-1.8</v>
      </c>
      <c r="J323" s="246" t="n">
        <v>-21</v>
      </c>
      <c r="K323" s="247" t="inlineStr">
        <is>
          <t>2245 LYGEND RESOURCE; 2619 XJ ELECTRICS</t>
        </is>
      </c>
    </row>
    <row r="324">
      <c r="A324" s="51" t="inlineStr">
        <is>
          <t>Artisan China Post-Venture Master Fund LP</t>
        </is>
      </c>
      <c r="B324" s="243" t="n">
        <v>2</v>
      </c>
      <c r="C324" s="245" t="n">
        <v>50</v>
      </c>
      <c r="D324" s="246" t="n">
        <v>-6.9</v>
      </c>
      <c r="E324" s="246" t="n">
        <v>3.1</v>
      </c>
      <c r="F324" s="246" t="n">
        <v>-7.7</v>
      </c>
      <c r="G324" s="246" t="n">
        <v>-23.4</v>
      </c>
      <c r="H324" s="246" t="n">
        <v>8.199999999999999</v>
      </c>
      <c r="I324" s="246" t="n">
        <v>-3.8</v>
      </c>
      <c r="J324" s="246" t="n">
        <v>-21.2</v>
      </c>
      <c r="K324" s="247" t="inlineStr">
        <is>
          <t>2216 BRONCUS-B; 2252 MEDBOT-B</t>
        </is>
      </c>
    </row>
    <row r="325">
      <c r="A325" s="51" t="inlineStr">
        <is>
          <t>Hunan Xingxiang Emerging Industry Investment Fund Partnership (Limited Partnership)</t>
        </is>
      </c>
      <c r="B325" s="243" t="n">
        <v>2</v>
      </c>
      <c r="C325" s="245" t="n">
        <v>0</v>
      </c>
      <c r="D325" s="246" t="n">
        <v>-6.9</v>
      </c>
      <c r="E325" s="246" t="n">
        <v>-13</v>
      </c>
      <c r="F325" s="246" t="n">
        <v>-15.2</v>
      </c>
      <c r="G325" s="246" t="n">
        <v>-4.6</v>
      </c>
      <c r="H325" s="246" t="n">
        <v>-6.3</v>
      </c>
      <c r="I325" s="246" t="n">
        <v>-7.9</v>
      </c>
      <c r="J325" s="246" t="n">
        <v>2.4</v>
      </c>
      <c r="K325" s="247" t="inlineStr">
        <is>
          <t>2579 CNGR; 3881 CIDI</t>
        </is>
      </c>
    </row>
    <row r="326">
      <c r="A326" s="51" t="inlineStr">
        <is>
          <t>Mercedes-Benz Mobility Services</t>
        </is>
      </c>
      <c r="B326" s="243" t="n">
        <v>2</v>
      </c>
      <c r="C326" s="245" t="n">
        <v>0</v>
      </c>
      <c r="D326" s="246" t="n">
        <v>-7.1</v>
      </c>
      <c r="E326" s="246" t="n">
        <v>-8</v>
      </c>
      <c r="F326" s="246" t="n">
        <v>-6.8</v>
      </c>
      <c r="G326" s="246" t="n">
        <v>25.2</v>
      </c>
      <c r="H326" s="246" t="n">
        <v>-1</v>
      </c>
      <c r="I326" s="246" t="n">
        <v>1.1</v>
      </c>
      <c r="J326" s="246" t="n">
        <v>45.8</v>
      </c>
      <c r="K326" s="247" t="inlineStr">
        <is>
          <t>2643 CAOCAO INC; 6880 MOMENTA-W</t>
        </is>
      </c>
    </row>
    <row r="327">
      <c r="A327" s="51" t="inlineStr">
        <is>
          <t>Sanya Development Holdings Co., Ltd</t>
        </is>
      </c>
      <c r="B327" s="243" t="n">
        <v>2</v>
      </c>
      <c r="C327" s="245" t="n">
        <v>0</v>
      </c>
      <c r="D327" s="246" t="n">
        <v>-7.6</v>
      </c>
      <c r="E327" s="246" t="n">
        <v>-19.9</v>
      </c>
      <c r="F327" s="246" t="n">
        <v>-13.9</v>
      </c>
      <c r="G327" s="246" t="n">
        <v>-28.8</v>
      </c>
      <c r="H327" s="246" t="n">
        <v>-14.5</v>
      </c>
      <c r="I327" s="246" t="n">
        <v>-8.199999999999999</v>
      </c>
      <c r="J327" s="246" t="n">
        <v>-23.8</v>
      </c>
      <c r="K327" s="247" t="inlineStr">
        <is>
          <t>9638 FERRETTI; 9639 WING LEE DEV</t>
        </is>
      </c>
    </row>
    <row r="328">
      <c r="A328" s="51" t="inlineStr">
        <is>
          <t>Carmignac Funds</t>
        </is>
      </c>
      <c r="B328" s="243" t="n">
        <v>2</v>
      </c>
      <c r="C328" s="245" t="n">
        <v>0</v>
      </c>
      <c r="D328" s="246" t="n">
        <v>-8.1</v>
      </c>
      <c r="E328" s="246" t="n">
        <v>-15.3</v>
      </c>
      <c r="F328" s="246" t="n">
        <v>-14.6</v>
      </c>
      <c r="G328" s="246" t="n">
        <v>-20.6</v>
      </c>
      <c r="H328" s="246" t="n">
        <v>-7.8</v>
      </c>
      <c r="I328" s="246" t="n">
        <v>-7.1</v>
      </c>
      <c r="J328" s="246" t="n">
        <v>-13.4</v>
      </c>
      <c r="K328" s="247" t="inlineStr">
        <is>
          <t>6127 JOINN; 9960 KINDSTAR GLOBAL</t>
        </is>
      </c>
    </row>
    <row r="329">
      <c r="A329" s="51" t="inlineStr">
        <is>
          <t>Deep Source Holdings Limited</t>
        </is>
      </c>
      <c r="B329" s="243" t="n">
        <v>2</v>
      </c>
      <c r="C329" s="245" t="n">
        <v>0</v>
      </c>
      <c r="D329" s="246" t="n">
        <v>-8.1</v>
      </c>
      <c r="E329" s="246" t="n">
        <v>-15.3</v>
      </c>
      <c r="F329" s="246" t="n">
        <v>-4.7</v>
      </c>
      <c r="G329" s="246" t="n">
        <v>-10.5</v>
      </c>
      <c r="H329" s="246" t="n">
        <v>-7.3</v>
      </c>
      <c r="I329" s="246" t="n">
        <v>3.3</v>
      </c>
      <c r="J329" s="246" t="n">
        <v>-0.2</v>
      </c>
      <c r="K329" s="247" t="inlineStr">
        <is>
          <t>3887 HASHKEY HLDGS; 2715 ESTUN</t>
        </is>
      </c>
    </row>
    <row r="330">
      <c r="A330" s="51" t="inlineStr">
        <is>
          <t>Janus Henderson Funds</t>
        </is>
      </c>
      <c r="B330" s="243" t="n">
        <v>2</v>
      </c>
      <c r="C330" s="245" t="n">
        <v>50</v>
      </c>
      <c r="D330" s="246" t="n">
        <v>-8.5</v>
      </c>
      <c r="E330" s="246" t="n">
        <v>-2.3</v>
      </c>
      <c r="F330" s="246" t="n">
        <v>-3.9</v>
      </c>
      <c r="G330" s="246" t="n">
        <v>-40.9</v>
      </c>
      <c r="H330" s="246" t="n">
        <v>4.9</v>
      </c>
      <c r="I330" s="246" t="n">
        <v>2.9</v>
      </c>
      <c r="J330" s="246" t="n">
        <v>-38</v>
      </c>
      <c r="K330" s="247" t="inlineStr">
        <is>
          <t>9959 LINKLOGIS–W; 1228 CANBRIDGE-B</t>
        </is>
      </c>
    </row>
    <row r="331">
      <c r="A331" s="51" t="inlineStr">
        <is>
          <t>Chery Commercial Vehicle (Anhui) Company Limited</t>
        </is>
      </c>
      <c r="B331" s="243" t="n">
        <v>2</v>
      </c>
      <c r="C331" s="245" t="n">
        <v>0</v>
      </c>
      <c r="D331" s="246" t="n">
        <v>-11.1</v>
      </c>
      <c r="E331" s="246" t="n">
        <v>-28.8</v>
      </c>
      <c r="F331" s="246" t="n">
        <v>-34.2</v>
      </c>
      <c r="G331" s="246" t="n">
        <v>-76.7</v>
      </c>
      <c r="H331" s="246" t="n">
        <v>-21.3</v>
      </c>
      <c r="I331" s="246" t="n">
        <v>-29.7</v>
      </c>
      <c r="J331" s="246" t="n">
        <v>-70.09999999999999</v>
      </c>
      <c r="K331" s="247" t="inlineStr">
        <is>
          <t>2246 GOGOX; 2249 NEXCHIP</t>
        </is>
      </c>
    </row>
    <row r="332">
      <c r="A332" s="51" t="inlineStr">
        <is>
          <t>Laurion Capital Master Fund Ltd</t>
        </is>
      </c>
      <c r="B332" s="243" t="n">
        <v>2</v>
      </c>
      <c r="C332" s="245" t="n">
        <v>50</v>
      </c>
      <c r="D332" s="246" t="n">
        <v>-11.2</v>
      </c>
      <c r="E332" s="246" t="n">
        <v>-12.7</v>
      </c>
      <c r="F332" s="246" t="n">
        <v>-13.6</v>
      </c>
      <c r="G332" s="246" t="n">
        <v>4.8</v>
      </c>
      <c r="H332" s="246" t="n">
        <v>-3.2</v>
      </c>
      <c r="I332" s="246" t="n">
        <v>-6.3</v>
      </c>
      <c r="J332" s="246" t="n">
        <v>15.7</v>
      </c>
      <c r="K332" s="247" t="inlineStr">
        <is>
          <t>2121 AINNOVATION; 6990 SKB BIO-B</t>
        </is>
      </c>
    </row>
    <row r="333">
      <c r="A333" s="51" t="inlineStr">
        <is>
          <t>Country Garden Property Services HK Holdings Company Limited</t>
        </is>
      </c>
      <c r="B333" s="243" t="n">
        <v>2</v>
      </c>
      <c r="C333" s="245" t="n">
        <v>0</v>
      </c>
      <c r="D333" s="246" t="n">
        <v>-12.4</v>
      </c>
      <c r="E333" s="246" t="n">
        <v>-15.1</v>
      </c>
      <c r="F333" s="246" t="n">
        <v>-26.7</v>
      </c>
      <c r="G333" s="246" t="n">
        <v>-28.9</v>
      </c>
      <c r="H333" s="246" t="n">
        <v>-3.5</v>
      </c>
      <c r="I333" s="246" t="n">
        <v>-18.4</v>
      </c>
      <c r="J333" s="246" t="n">
        <v>-21.7</v>
      </c>
      <c r="K333" s="247" t="inlineStr">
        <is>
          <t>2177 UNQ HOLDINGS; 2205 KANGQIAO SER</t>
        </is>
      </c>
    </row>
    <row r="334">
      <c r="A334" s="51" t="inlineStr">
        <is>
          <t>Fosun Diagnostics (Shanghai) Co., Ltd</t>
        </is>
      </c>
      <c r="B334" s="243" t="n">
        <v>2</v>
      </c>
      <c r="C334" s="245" t="n">
        <v>50</v>
      </c>
      <c r="D334" s="246" t="n">
        <v>-13.2</v>
      </c>
      <c r="E334" s="246" t="n">
        <v>-16.9</v>
      </c>
      <c r="F334" s="246" t="n">
        <v>-23.1</v>
      </c>
      <c r="G334" s="246" t="n">
        <v>-13.7</v>
      </c>
      <c r="H334" s="246" t="n">
        <v>-2.2</v>
      </c>
      <c r="I334" s="246" t="n">
        <v>-11.9</v>
      </c>
      <c r="J334" s="246" t="n">
        <v>-3.8</v>
      </c>
      <c r="K334" s="247" t="inlineStr">
        <is>
          <t>9860 ADICON HOLDINGS; 2566 JIUYUAN GENE</t>
        </is>
      </c>
    </row>
    <row r="335">
      <c r="A335" s="51" t="inlineStr">
        <is>
          <t>Wong Cheuk Tim, Timothy</t>
        </is>
      </c>
      <c r="B335" s="243" t="n">
        <v>2</v>
      </c>
      <c r="C335" s="245" t="n">
        <v>0</v>
      </c>
      <c r="D335" s="246" t="n">
        <v>-13.5</v>
      </c>
      <c r="E335" s="246" t="n">
        <v>-19.6</v>
      </c>
      <c r="F335" s="246" t="n">
        <v>-20.1</v>
      </c>
      <c r="G335" s="246" t="n">
        <v>-25.5</v>
      </c>
      <c r="H335" s="246" t="n">
        <v>-7.4</v>
      </c>
      <c r="I335" s="246" t="n">
        <v>-9.199999999999999</v>
      </c>
      <c r="J335" s="246" t="n">
        <v>-17</v>
      </c>
      <c r="K335" s="247" t="inlineStr">
        <is>
          <t>2350 MTT GROUP; 1497 YAN PALACE</t>
        </is>
      </c>
    </row>
    <row r="336">
      <c r="A336" s="51" t="inlineStr">
        <is>
          <t>Joyson Electronic USA LLC</t>
        </is>
      </c>
      <c r="B336" s="243" t="n">
        <v>2</v>
      </c>
      <c r="C336" s="245" t="n">
        <v>0</v>
      </c>
      <c r="D336" s="246" t="n">
        <v>-13.5</v>
      </c>
      <c r="E336" s="246" t="n">
        <v>-3.9</v>
      </c>
      <c r="F336" s="246" t="n">
        <v>-17.4</v>
      </c>
      <c r="G336" s="246" t="n">
        <v>-17.8</v>
      </c>
      <c r="H336" s="246" t="n">
        <v>9.4</v>
      </c>
      <c r="I336" s="246" t="n">
        <v>-3.3</v>
      </c>
      <c r="J336" s="246" t="n">
        <v>-0.8</v>
      </c>
      <c r="K336" s="247" t="inlineStr">
        <is>
          <t>2533 BLACK SESAME; 0600 AXERA</t>
        </is>
      </c>
    </row>
    <row r="337">
      <c r="A337" s="51" t="inlineStr">
        <is>
          <t>Superstring Capital Master Fund LP</t>
        </is>
      </c>
      <c r="B337" s="243" t="n">
        <v>2</v>
      </c>
      <c r="C337" s="245" t="n">
        <v>0</v>
      </c>
      <c r="D337" s="246" t="n">
        <v>-13.8</v>
      </c>
      <c r="E337" s="246" t="n">
        <v>-25.4</v>
      </c>
      <c r="F337" s="246" t="n">
        <v>-29.6</v>
      </c>
      <c r="G337" s="246" t="n">
        <v>-37.3</v>
      </c>
      <c r="H337" s="246" t="n">
        <v>-12.5</v>
      </c>
      <c r="I337" s="246" t="n">
        <v>-19</v>
      </c>
      <c r="J337" s="246" t="n">
        <v>-29.1</v>
      </c>
      <c r="K337" s="247" t="inlineStr">
        <is>
          <t>6609 HEARTCARE-B; 2197 CLOVER BIO-B</t>
        </is>
      </c>
    </row>
    <row r="338">
      <c r="A338" s="51" t="inlineStr">
        <is>
          <t>Zhongsheng Holdings Company Limited</t>
        </is>
      </c>
      <c r="B338" s="243" t="n">
        <v>2</v>
      </c>
      <c r="C338" s="245" t="n">
        <v>0</v>
      </c>
      <c r="D338" s="246" t="n">
        <v>-13.8</v>
      </c>
      <c r="E338" s="246" t="n">
        <v>-16.5</v>
      </c>
      <c r="F338" s="246" t="n">
        <v>-20.1</v>
      </c>
      <c r="G338" s="246" t="n">
        <v>-31.9</v>
      </c>
      <c r="H338" s="246" t="n">
        <v>-1.5</v>
      </c>
      <c r="I338" s="246" t="n">
        <v>-6.5</v>
      </c>
      <c r="J338" s="246" t="n">
        <v>-20</v>
      </c>
      <c r="K338" s="247" t="inlineStr">
        <is>
          <t>2502 JINYUAN HCHEM; 9927 SERES</t>
        </is>
      </c>
    </row>
    <row r="339">
      <c r="A339" s="51" t="inlineStr">
        <is>
          <t>Huzhou Erqing Asset Operation Co., Ltd</t>
        </is>
      </c>
      <c r="B339" s="243" t="n">
        <v>2</v>
      </c>
      <c r="C339" s="245" t="n">
        <v>0</v>
      </c>
      <c r="D339" s="246" t="n">
        <v>-14.5</v>
      </c>
      <c r="E339" s="246" t="n">
        <v>-4.5</v>
      </c>
      <c r="F339" s="246" t="n">
        <v>-11.6</v>
      </c>
      <c r="G339" s="246" t="n">
        <v>-5.6</v>
      </c>
      <c r="H339" s="246" t="n">
        <v>12.1</v>
      </c>
      <c r="I339" s="246" t="n">
        <v>3.8</v>
      </c>
      <c r="J339" s="246" t="n">
        <v>11</v>
      </c>
      <c r="K339" s="247" t="inlineStr">
        <is>
          <t>6661 HUZHOU GAS; 2409 SEACON</t>
        </is>
      </c>
    </row>
    <row r="340">
      <c r="A340" s="51" t="inlineStr">
        <is>
          <t>Jinhua Industrial Fund Co., Ltd</t>
        </is>
      </c>
      <c r="B340" s="243" t="n">
        <v>2</v>
      </c>
      <c r="C340" s="245" t="n">
        <v>50</v>
      </c>
      <c r="D340" s="246" t="n">
        <v>-16.3</v>
      </c>
      <c r="E340" s="246" t="n">
        <v>-25</v>
      </c>
      <c r="F340" s="246" t="n">
        <v>-30.8</v>
      </c>
      <c r="G340" s="246" t="n">
        <v>-19.2</v>
      </c>
      <c r="H340" s="246" t="n">
        <v>-12.4</v>
      </c>
      <c r="I340" s="246" t="n">
        <v>-21.8</v>
      </c>
      <c r="J340" s="246" t="n">
        <v>-3.8</v>
      </c>
      <c r="K340" s="247" t="inlineStr">
        <is>
          <t>9863 LEAPMOTOR; 2451 LUYUAN GP HLDG</t>
        </is>
      </c>
    </row>
    <row r="341">
      <c r="A341" s="51" t="inlineStr">
        <is>
          <t>Zoomlion International Trading (H.K.) Co., Limited</t>
        </is>
      </c>
      <c r="B341" s="243" t="n">
        <v>2</v>
      </c>
      <c r="C341" s="245" t="n">
        <v>0</v>
      </c>
      <c r="D341" s="246" t="n">
        <v>-18.8</v>
      </c>
      <c r="E341" s="246" t="n">
        <v>-17.8</v>
      </c>
      <c r="F341" s="246" t="n">
        <v>-29.3</v>
      </c>
      <c r="G341" s="246" t="n">
        <v>-25.1</v>
      </c>
      <c r="H341" s="246" t="n">
        <v>-0.8</v>
      </c>
      <c r="I341" s="246" t="n">
        <v>-13.9</v>
      </c>
      <c r="J341" s="246" t="n">
        <v>-8.1</v>
      </c>
      <c r="K341" s="247" t="inlineStr">
        <is>
          <t>2153 TAT HONG EQUIP; 9930 HORIZON CD</t>
        </is>
      </c>
    </row>
    <row r="342">
      <c r="A342" s="51" t="inlineStr">
        <is>
          <t>Jointown International Group Company Limited</t>
        </is>
      </c>
      <c r="B342" s="243" t="n">
        <v>2</v>
      </c>
      <c r="C342" s="245" t="n">
        <v>0</v>
      </c>
      <c r="D342" s="246" t="n">
        <v>-19.2</v>
      </c>
      <c r="E342" s="246" t="n">
        <v>-20.4</v>
      </c>
      <c r="F342" s="246" t="n">
        <v>-23.5</v>
      </c>
      <c r="G342" s="246" t="n">
        <v>-24</v>
      </c>
      <c r="H342" s="246" t="n">
        <v>-0.3</v>
      </c>
      <c r="I342" s="246" t="n">
        <v>-6.9</v>
      </c>
      <c r="J342" s="246" t="n">
        <v>-7.6</v>
      </c>
      <c r="K342" s="247" t="inlineStr">
        <is>
          <t>2291 SCIENTECH; 2566 JIUYUAN GENE</t>
        </is>
      </c>
    </row>
    <row r="343">
      <c r="A343" s="51" t="inlineStr">
        <is>
          <t>CM Shanghai Fund</t>
        </is>
      </c>
      <c r="B343" s="243" t="n">
        <v>1</v>
      </c>
      <c r="C343" s="245" t="n">
        <v>100</v>
      </c>
      <c r="D343" s="246" t="n">
        <v>383.6</v>
      </c>
      <c r="E343" s="246" t="n">
        <v>385</v>
      </c>
      <c r="F343" s="246" t="n">
        <v>236.2</v>
      </c>
      <c r="G343" s="246" t="n">
        <v>27.3</v>
      </c>
      <c r="H343" s="246" t="n">
        <v>0.3</v>
      </c>
      <c r="I343" s="246" t="n">
        <v>-30.5</v>
      </c>
      <c r="J343" s="246" t="n">
        <v>-73.7</v>
      </c>
      <c r="K343" s="247" t="inlineStr">
        <is>
          <t>1879 XIZHI TECH-P</t>
        </is>
      </c>
    </row>
    <row r="344">
      <c r="A344" s="51" t="inlineStr">
        <is>
          <t>GLY New Mobility</t>
        </is>
      </c>
      <c r="B344" s="243" t="n">
        <v>1</v>
      </c>
      <c r="C344" s="245" t="n">
        <v>100</v>
      </c>
      <c r="D344" s="246" t="n">
        <v>367.9</v>
      </c>
      <c r="E344" s="246" t="n">
        <v>295.2</v>
      </c>
      <c r="F344" s="246" t="n">
        <v>280.8</v>
      </c>
      <c r="G344" s="246" t="n">
        <v>288.5</v>
      </c>
      <c r="H344" s="246" t="n">
        <v>-15.6</v>
      </c>
      <c r="I344" s="246" t="n">
        <v>-18.6</v>
      </c>
      <c r="J344" s="246" t="n">
        <v>-17</v>
      </c>
      <c r="K344" s="247" t="inlineStr">
        <is>
          <t>2672 BAIGE DIGITAL</t>
        </is>
      </c>
    </row>
    <row r="345">
      <c r="A345" s="51" t="inlineStr">
        <is>
          <t>Mr. Ke</t>
        </is>
      </c>
      <c r="B345" s="243" t="n">
        <v>1</v>
      </c>
      <c r="C345" s="245" t="n">
        <v>100</v>
      </c>
      <c r="D345" s="246" t="n">
        <v>367.9</v>
      </c>
      <c r="E345" s="246" t="n">
        <v>295.2</v>
      </c>
      <c r="F345" s="246" t="n">
        <v>280.8</v>
      </c>
      <c r="G345" s="246" t="n">
        <v>288.5</v>
      </c>
      <c r="H345" s="246" t="n">
        <v>-15.6</v>
      </c>
      <c r="I345" s="246" t="n">
        <v>-18.6</v>
      </c>
      <c r="J345" s="246" t="n">
        <v>-17</v>
      </c>
      <c r="K345" s="247" t="inlineStr">
        <is>
          <t>2672 BAIGE DIGITAL</t>
        </is>
      </c>
    </row>
    <row r="346">
      <c r="A346" s="51" t="inlineStr">
        <is>
          <t>Taiwan ZMAX</t>
        </is>
      </c>
      <c r="B346" s="243" t="n">
        <v>1</v>
      </c>
      <c r="C346" s="245" t="n">
        <v>100</v>
      </c>
      <c r="D346" s="246" t="n">
        <v>265.7</v>
      </c>
      <c r="E346" s="248" t="n"/>
      <c r="F346" s="248" t="n"/>
      <c r="G346" s="248" t="n"/>
      <c r="H346" s="248" t="n"/>
      <c r="I346" s="248" t="n"/>
      <c r="J346" s="248" t="n"/>
      <c r="K346" s="247" t="inlineStr">
        <is>
          <t>6802 CAMSENSE</t>
        </is>
      </c>
    </row>
    <row r="347">
      <c r="A347" s="51" t="inlineStr">
        <is>
          <t>Huayou HongKong Holding Limited</t>
        </is>
      </c>
      <c r="B347" s="243" t="n">
        <v>1</v>
      </c>
      <c r="C347" s="245" t="n">
        <v>100</v>
      </c>
      <c r="D347" s="246" t="n">
        <v>258.9</v>
      </c>
      <c r="E347" s="246" t="n">
        <v>459.7</v>
      </c>
      <c r="F347" s="246" t="n">
        <v>303.2</v>
      </c>
      <c r="G347" s="246" t="n">
        <v>290.7</v>
      </c>
      <c r="H347" s="246" t="n">
        <v>56</v>
      </c>
      <c r="I347" s="246" t="n">
        <v>12.4</v>
      </c>
      <c r="J347" s="246" t="n">
        <v>8.9</v>
      </c>
      <c r="K347" s="247" t="inlineStr">
        <is>
          <t>2155 MORIMATSU INTL</t>
        </is>
      </c>
    </row>
    <row r="348">
      <c r="A348" s="51" t="inlineStr">
        <is>
          <t>Hwa-An International Limited</t>
        </is>
      </c>
      <c r="B348" s="243" t="n">
        <v>1</v>
      </c>
      <c r="C348" s="245" t="n">
        <v>100</v>
      </c>
      <c r="D348" s="246" t="n">
        <v>258.9</v>
      </c>
      <c r="E348" s="246" t="n">
        <v>459.7</v>
      </c>
      <c r="F348" s="246" t="n">
        <v>303.2</v>
      </c>
      <c r="G348" s="246" t="n">
        <v>290.7</v>
      </c>
      <c r="H348" s="246" t="n">
        <v>56</v>
      </c>
      <c r="I348" s="246" t="n">
        <v>12.4</v>
      </c>
      <c r="J348" s="246" t="n">
        <v>8.9</v>
      </c>
      <c r="K348" s="247" t="inlineStr">
        <is>
          <t>2155 MORIMATSU INTL</t>
        </is>
      </c>
    </row>
    <row r="349">
      <c r="A349" s="51" t="inlineStr">
        <is>
          <t>Jingzhirui (Suzhou) Microelectronic Technology Co., Ltd</t>
        </is>
      </c>
      <c r="B349" s="243" t="n">
        <v>1</v>
      </c>
      <c r="C349" s="245" t="n">
        <v>100</v>
      </c>
      <c r="D349" s="246" t="n">
        <v>258.9</v>
      </c>
      <c r="E349" s="246" t="n">
        <v>459.7</v>
      </c>
      <c r="F349" s="246" t="n">
        <v>303.2</v>
      </c>
      <c r="G349" s="246" t="n">
        <v>290.7</v>
      </c>
      <c r="H349" s="246" t="n">
        <v>56</v>
      </c>
      <c r="I349" s="246" t="n">
        <v>12.4</v>
      </c>
      <c r="J349" s="246" t="n">
        <v>8.9</v>
      </c>
      <c r="K349" s="247" t="inlineStr">
        <is>
          <t>2155 MORIMATSU INTL</t>
        </is>
      </c>
    </row>
    <row r="350">
      <c r="A350" s="51" t="inlineStr">
        <is>
          <t>Zhang Ning</t>
        </is>
      </c>
      <c r="B350" s="243" t="n">
        <v>1</v>
      </c>
      <c r="C350" s="245" t="n">
        <v>100</v>
      </c>
      <c r="D350" s="246" t="n">
        <v>258.9</v>
      </c>
      <c r="E350" s="246" t="n">
        <v>459.7</v>
      </c>
      <c r="F350" s="246" t="n">
        <v>303.2</v>
      </c>
      <c r="G350" s="246" t="n">
        <v>290.7</v>
      </c>
      <c r="H350" s="246" t="n">
        <v>56</v>
      </c>
      <c r="I350" s="246" t="n">
        <v>12.4</v>
      </c>
      <c r="J350" s="246" t="n">
        <v>8.9</v>
      </c>
      <c r="K350" s="247" t="inlineStr">
        <is>
          <t>2155 MORIMATSU INTL</t>
        </is>
      </c>
    </row>
    <row r="351">
      <c r="A351" s="51" t="inlineStr">
        <is>
          <t>Ren Xuyang (任旭陽)</t>
        </is>
      </c>
      <c r="B351" s="243" t="n">
        <v>1</v>
      </c>
      <c r="C351" s="245" t="n">
        <v>100</v>
      </c>
      <c r="D351" s="246" t="n">
        <v>242.2</v>
      </c>
      <c r="E351" s="246" t="n">
        <v>298.7</v>
      </c>
      <c r="F351" s="246" t="n">
        <v>204.7</v>
      </c>
      <c r="G351" s="246" t="n">
        <v>132.4</v>
      </c>
      <c r="H351" s="246" t="n">
        <v>16.5</v>
      </c>
      <c r="I351" s="246" t="n">
        <v>-11</v>
      </c>
      <c r="J351" s="246" t="n">
        <v>-32.1</v>
      </c>
      <c r="K351" s="247" t="inlineStr">
        <is>
          <t>2706 HAIZHI TECH GP</t>
        </is>
      </c>
    </row>
    <row r="352">
      <c r="A352" s="51" t="inlineStr">
        <is>
          <t>Yang Zaifei (楊再飛)</t>
        </is>
      </c>
      <c r="B352" s="243" t="n">
        <v>1</v>
      </c>
      <c r="C352" s="245" t="n">
        <v>100</v>
      </c>
      <c r="D352" s="246" t="n">
        <v>242.2</v>
      </c>
      <c r="E352" s="246" t="n">
        <v>298.7</v>
      </c>
      <c r="F352" s="246" t="n">
        <v>204.7</v>
      </c>
      <c r="G352" s="246" t="n">
        <v>132.4</v>
      </c>
      <c r="H352" s="246" t="n">
        <v>16.5</v>
      </c>
      <c r="I352" s="246" t="n">
        <v>-11</v>
      </c>
      <c r="J352" s="246" t="n">
        <v>-32.1</v>
      </c>
      <c r="K352" s="247" t="inlineStr">
        <is>
          <t>2706 HAIZHI TECH GP</t>
        </is>
      </c>
    </row>
    <row r="353">
      <c r="A353" s="51" t="inlineStr">
        <is>
          <t>BAI GmbH</t>
        </is>
      </c>
      <c r="B353" s="243" t="n">
        <v>1</v>
      </c>
      <c r="C353" s="245" t="n">
        <v>100</v>
      </c>
      <c r="D353" s="246" t="n">
        <v>242.2</v>
      </c>
      <c r="E353" s="246" t="n">
        <v>298.7</v>
      </c>
      <c r="F353" s="246" t="n">
        <v>204.7</v>
      </c>
      <c r="G353" s="246" t="n">
        <v>132.4</v>
      </c>
      <c r="H353" s="246" t="n">
        <v>16.5</v>
      </c>
      <c r="I353" s="246" t="n">
        <v>-11</v>
      </c>
      <c r="J353" s="246" t="n">
        <v>-32.1</v>
      </c>
      <c r="K353" s="247" t="inlineStr">
        <is>
          <t>2706 HAIZHI TECH GP</t>
        </is>
      </c>
    </row>
    <row r="354">
      <c r="A354" s="51" t="inlineStr">
        <is>
          <t>Yifang Technology Group, Ltd</t>
        </is>
      </c>
      <c r="B354" s="243" t="n">
        <v>1</v>
      </c>
      <c r="C354" s="245" t="n">
        <v>100</v>
      </c>
      <c r="D354" s="246" t="n">
        <v>242.2</v>
      </c>
      <c r="E354" s="246" t="n">
        <v>298.7</v>
      </c>
      <c r="F354" s="246" t="n">
        <v>204.7</v>
      </c>
      <c r="G354" s="246" t="n">
        <v>132.4</v>
      </c>
      <c r="H354" s="246" t="n">
        <v>16.5</v>
      </c>
      <c r="I354" s="246" t="n">
        <v>-11</v>
      </c>
      <c r="J354" s="246" t="n">
        <v>-32.1</v>
      </c>
      <c r="K354" s="247" t="inlineStr">
        <is>
          <t>2706 HAIZHI TECH GP</t>
        </is>
      </c>
    </row>
    <row r="355">
      <c r="A355" s="51" t="inlineStr">
        <is>
          <t>Shi Youcai (史有才)</t>
        </is>
      </c>
      <c r="B355" s="243" t="n">
        <v>1</v>
      </c>
      <c r="C355" s="245" t="n">
        <v>100</v>
      </c>
      <c r="D355" s="246" t="n">
        <v>242.2</v>
      </c>
      <c r="E355" s="246" t="n">
        <v>298.7</v>
      </c>
      <c r="F355" s="246" t="n">
        <v>204.7</v>
      </c>
      <c r="G355" s="246" t="n">
        <v>132.4</v>
      </c>
      <c r="H355" s="246" t="n">
        <v>16.5</v>
      </c>
      <c r="I355" s="246" t="n">
        <v>-11</v>
      </c>
      <c r="J355" s="246" t="n">
        <v>-32.1</v>
      </c>
      <c r="K355" s="247" t="inlineStr">
        <is>
          <t>2706 HAIZHI TECH GP</t>
        </is>
      </c>
    </row>
    <row r="356">
      <c r="A356" s="51" t="inlineStr">
        <is>
          <t>Yang Juan (楊娟)</t>
        </is>
      </c>
      <c r="B356" s="243" t="n">
        <v>1</v>
      </c>
      <c r="C356" s="245" t="n">
        <v>100</v>
      </c>
      <c r="D356" s="246" t="n">
        <v>242.2</v>
      </c>
      <c r="E356" s="246" t="n">
        <v>298.7</v>
      </c>
      <c r="F356" s="246" t="n">
        <v>204.7</v>
      </c>
      <c r="G356" s="246" t="n">
        <v>132.4</v>
      </c>
      <c r="H356" s="246" t="n">
        <v>16.5</v>
      </c>
      <c r="I356" s="246" t="n">
        <v>-11</v>
      </c>
      <c r="J356" s="246" t="n">
        <v>-32.1</v>
      </c>
      <c r="K356" s="247" t="inlineStr">
        <is>
          <t>2706 HAIZHI TECH GP</t>
        </is>
      </c>
    </row>
    <row r="357">
      <c r="A357" s="51" t="inlineStr">
        <is>
          <t>Wan Pengjiang (萬澎江)</t>
        </is>
      </c>
      <c r="B357" s="243" t="n">
        <v>1</v>
      </c>
      <c r="C357" s="245" t="n">
        <v>100</v>
      </c>
      <c r="D357" s="246" t="n">
        <v>242.2</v>
      </c>
      <c r="E357" s="246" t="n">
        <v>298.7</v>
      </c>
      <c r="F357" s="246" t="n">
        <v>204.7</v>
      </c>
      <c r="G357" s="246" t="n">
        <v>132.4</v>
      </c>
      <c r="H357" s="246" t="n">
        <v>16.5</v>
      </c>
      <c r="I357" s="246" t="n">
        <v>-11</v>
      </c>
      <c r="J357" s="246" t="n">
        <v>-32.1</v>
      </c>
      <c r="K357" s="247" t="inlineStr">
        <is>
          <t>2706 HAIZHI TECH GP</t>
        </is>
      </c>
    </row>
    <row r="358">
      <c r="A358" s="51" t="inlineStr">
        <is>
          <t>Hu Song (胡嵩)</t>
        </is>
      </c>
      <c r="B358" s="243" t="n">
        <v>1</v>
      </c>
      <c r="C358" s="245" t="n">
        <v>100</v>
      </c>
      <c r="D358" s="246" t="n">
        <v>242.2</v>
      </c>
      <c r="E358" s="246" t="n">
        <v>298.7</v>
      </c>
      <c r="F358" s="246" t="n">
        <v>204.7</v>
      </c>
      <c r="G358" s="246" t="n">
        <v>132.4</v>
      </c>
      <c r="H358" s="246" t="n">
        <v>16.5</v>
      </c>
      <c r="I358" s="246" t="n">
        <v>-11</v>
      </c>
      <c r="J358" s="246" t="n">
        <v>-32.1</v>
      </c>
      <c r="K358" s="247" t="inlineStr">
        <is>
          <t>2706 HAIZHI TECH GP</t>
        </is>
      </c>
    </row>
    <row r="359">
      <c r="A359" s="51" t="inlineStr">
        <is>
          <t>Alternative Fund, L.P</t>
        </is>
      </c>
      <c r="B359" s="243" t="n">
        <v>1</v>
      </c>
      <c r="C359" s="245" t="n">
        <v>100</v>
      </c>
      <c r="D359" s="246" t="n">
        <v>242.2</v>
      </c>
      <c r="E359" s="246" t="n">
        <v>298.7</v>
      </c>
      <c r="F359" s="246" t="n">
        <v>204.7</v>
      </c>
      <c r="G359" s="246" t="n">
        <v>132.4</v>
      </c>
      <c r="H359" s="246" t="n">
        <v>16.5</v>
      </c>
      <c r="I359" s="246" t="n">
        <v>-11</v>
      </c>
      <c r="J359" s="246" t="n">
        <v>-32.1</v>
      </c>
      <c r="K359" s="247" t="inlineStr">
        <is>
          <t>2706 HAIZHI TECH GP</t>
        </is>
      </c>
    </row>
    <row r="360">
      <c r="A360" s="51" t="inlineStr">
        <is>
          <t>XINWUTANG CO., LIMITED</t>
        </is>
      </c>
      <c r="B360" s="243" t="n">
        <v>1</v>
      </c>
      <c r="C360" s="245" t="n">
        <v>100</v>
      </c>
      <c r="D360" s="246" t="n">
        <v>241.1</v>
      </c>
      <c r="E360" s="246" t="n">
        <v>216.6</v>
      </c>
      <c r="F360" s="246" t="n">
        <v>201.5</v>
      </c>
      <c r="G360" s="246" t="n">
        <v>136.7</v>
      </c>
      <c r="H360" s="246" t="n">
        <v>-7.2</v>
      </c>
      <c r="I360" s="246" t="n">
        <v>-11.6</v>
      </c>
      <c r="J360" s="246" t="n">
        <v>-30.6</v>
      </c>
      <c r="K360" s="247" t="inlineStr">
        <is>
          <t>6810 SUNMI TECH-W</t>
        </is>
      </c>
    </row>
    <row r="361">
      <c r="A361" s="51" t="inlineStr">
        <is>
          <t>Carsonlin Investment Ltd</t>
        </is>
      </c>
      <c r="B361" s="243" t="n">
        <v>1</v>
      </c>
      <c r="C361" s="245" t="n">
        <v>100</v>
      </c>
      <c r="D361" s="246" t="n">
        <v>230.2</v>
      </c>
      <c r="E361" s="246" t="n">
        <v>281.1</v>
      </c>
      <c r="F361" s="246" t="n">
        <v>196.2</v>
      </c>
      <c r="G361" s="246" t="n">
        <v>696.2</v>
      </c>
      <c r="H361" s="246" t="n">
        <v>15.4</v>
      </c>
      <c r="I361" s="246" t="n">
        <v>-10.3</v>
      </c>
      <c r="J361" s="246" t="n">
        <v>141.1</v>
      </c>
      <c r="K361" s="247" t="inlineStr">
        <is>
          <t>2427 GUANZE MEDICAL</t>
        </is>
      </c>
    </row>
    <row r="362">
      <c r="A362" s="51" t="inlineStr">
        <is>
          <t>Mu Min</t>
        </is>
      </c>
      <c r="B362" s="243" t="n">
        <v>1</v>
      </c>
      <c r="C362" s="245" t="n">
        <v>100</v>
      </c>
      <c r="D362" s="246" t="n">
        <v>230.2</v>
      </c>
      <c r="E362" s="246" t="n">
        <v>281.1</v>
      </c>
      <c r="F362" s="246" t="n">
        <v>196.2</v>
      </c>
      <c r="G362" s="246" t="n">
        <v>696.2</v>
      </c>
      <c r="H362" s="246" t="n">
        <v>15.4</v>
      </c>
      <c r="I362" s="246" t="n">
        <v>-10.3</v>
      </c>
      <c r="J362" s="246" t="n">
        <v>141.1</v>
      </c>
      <c r="K362" s="247" t="inlineStr">
        <is>
          <t>2427 GUANZE MEDICAL</t>
        </is>
      </c>
    </row>
    <row r="363">
      <c r="A363" s="51" t="inlineStr">
        <is>
          <t>Yang Xinyun</t>
        </is>
      </c>
      <c r="B363" s="243" t="n">
        <v>1</v>
      </c>
      <c r="C363" s="245" t="n">
        <v>100</v>
      </c>
      <c r="D363" s="246" t="n">
        <v>230.2</v>
      </c>
      <c r="E363" s="246" t="n">
        <v>281.1</v>
      </c>
      <c r="F363" s="246" t="n">
        <v>196.2</v>
      </c>
      <c r="G363" s="246" t="n">
        <v>696.2</v>
      </c>
      <c r="H363" s="246" t="n">
        <v>15.4</v>
      </c>
      <c r="I363" s="246" t="n">
        <v>-10.3</v>
      </c>
      <c r="J363" s="246" t="n">
        <v>141.1</v>
      </c>
      <c r="K363" s="247" t="inlineStr">
        <is>
          <t>2427 GUANZE MEDICAL</t>
        </is>
      </c>
    </row>
    <row r="364">
      <c r="A364" s="51" t="inlineStr">
        <is>
          <t>Marketingforce Management Ltd</t>
        </is>
      </c>
      <c r="B364" s="243" t="n">
        <v>1</v>
      </c>
      <c r="C364" s="245" t="n">
        <v>100</v>
      </c>
      <c r="D364" s="246" t="n">
        <v>206.5</v>
      </c>
      <c r="E364" s="246" t="n">
        <v>183.7</v>
      </c>
      <c r="F364" s="246" t="n">
        <v>137.4</v>
      </c>
      <c r="G364" s="246" t="n">
        <v>84.59999999999999</v>
      </c>
      <c r="H364" s="246" t="n">
        <v>-7.4</v>
      </c>
      <c r="I364" s="246" t="n">
        <v>-22.6</v>
      </c>
      <c r="J364" s="246" t="n">
        <v>-39.8</v>
      </c>
      <c r="K364" s="247" t="inlineStr">
        <is>
          <t>2591 INNOGEN-B</t>
        </is>
      </c>
    </row>
    <row r="365">
      <c r="A365" s="51" t="inlineStr">
        <is>
          <t>DENG Haifeng (ࢤ</t>
        </is>
      </c>
      <c r="B365" s="243" t="n">
        <v>1</v>
      </c>
      <c r="C365" s="245" t="n">
        <v>100</v>
      </c>
      <c r="D365" s="246" t="n">
        <v>206.5</v>
      </c>
      <c r="E365" s="246" t="n">
        <v>183.7</v>
      </c>
      <c r="F365" s="246" t="n">
        <v>137.4</v>
      </c>
      <c r="G365" s="246" t="n">
        <v>84.59999999999999</v>
      </c>
      <c r="H365" s="246" t="n">
        <v>-7.4</v>
      </c>
      <c r="I365" s="246" t="n">
        <v>-22.6</v>
      </c>
      <c r="J365" s="246" t="n">
        <v>-39.8</v>
      </c>
      <c r="K365" s="247" t="inlineStr">
        <is>
          <t>2591 INNOGEN-B</t>
        </is>
      </c>
    </row>
    <row r="366">
      <c r="A366" s="51" t="inlineStr">
        <is>
          <t>LI Huifeng</t>
        </is>
      </c>
      <c r="B366" s="243" t="n">
        <v>1</v>
      </c>
      <c r="C366" s="245" t="n">
        <v>100</v>
      </c>
      <c r="D366" s="246" t="n">
        <v>206.5</v>
      </c>
      <c r="E366" s="246" t="n">
        <v>183.7</v>
      </c>
      <c r="F366" s="246" t="n">
        <v>137.4</v>
      </c>
      <c r="G366" s="246" t="n">
        <v>84.59999999999999</v>
      </c>
      <c r="H366" s="246" t="n">
        <v>-7.4</v>
      </c>
      <c r="I366" s="246" t="n">
        <v>-22.6</v>
      </c>
      <c r="J366" s="246" t="n">
        <v>-39.8</v>
      </c>
      <c r="K366" s="247" t="inlineStr">
        <is>
          <t>2591 INNOGEN-B</t>
        </is>
      </c>
    </row>
    <row r="367">
      <c r="A367" s="51" t="inlineStr">
        <is>
          <t>AMR Action Fund, L.P</t>
        </is>
      </c>
      <c r="B367" s="243" t="n">
        <v>1</v>
      </c>
      <c r="C367" s="245" t="n">
        <v>100</v>
      </c>
      <c r="D367" s="246" t="n">
        <v>178.7</v>
      </c>
      <c r="E367" s="246" t="n">
        <v>166.8</v>
      </c>
      <c r="F367" s="246" t="n">
        <v>248.2</v>
      </c>
      <c r="G367" s="246" t="n">
        <v>165</v>
      </c>
      <c r="H367" s="246" t="n">
        <v>-4.3</v>
      </c>
      <c r="I367" s="246" t="n">
        <v>24.9</v>
      </c>
      <c r="J367" s="246" t="n">
        <v>-4.9</v>
      </c>
      <c r="K367" s="247" t="inlineStr">
        <is>
          <t>6872 TENNOR THERAP-B</t>
        </is>
      </c>
    </row>
    <row r="368">
      <c r="A368" s="51" t="inlineStr">
        <is>
          <t>CHINA CINDA (HK) ASSET MANAGEMENT CO., LIMITED ʮ̡</t>
        </is>
      </c>
      <c r="B368" s="243" t="n">
        <v>1</v>
      </c>
      <c r="C368" s="245" t="n">
        <v>100</v>
      </c>
      <c r="D368" s="246" t="n">
        <v>177.8</v>
      </c>
      <c r="E368" s="246" t="n">
        <v>193.6</v>
      </c>
      <c r="F368" s="246" t="n">
        <v>146.3</v>
      </c>
      <c r="G368" s="246" t="n">
        <v>225.1</v>
      </c>
      <c r="H368" s="246" t="n">
        <v>5.7</v>
      </c>
      <c r="I368" s="246" t="n">
        <v>-11.3</v>
      </c>
      <c r="J368" s="246" t="n">
        <v>17</v>
      </c>
      <c r="K368" s="247" t="inlineStr">
        <is>
          <t>3858 JIAXIN INTL RES</t>
        </is>
      </c>
    </row>
    <row r="369">
      <c r="A369" s="51" t="inlineStr">
        <is>
          <t>LUYIN TRADING PTE. LTD</t>
        </is>
      </c>
      <c r="B369" s="243" t="n">
        <v>1</v>
      </c>
      <c r="C369" s="245" t="n">
        <v>100</v>
      </c>
      <c r="D369" s="246" t="n">
        <v>177.8</v>
      </c>
      <c r="E369" s="246" t="n">
        <v>193.6</v>
      </c>
      <c r="F369" s="246" t="n">
        <v>146.3</v>
      </c>
      <c r="G369" s="246" t="n">
        <v>225.1</v>
      </c>
      <c r="H369" s="246" t="n">
        <v>5.7</v>
      </c>
      <c r="I369" s="246" t="n">
        <v>-11.3</v>
      </c>
      <c r="J369" s="246" t="n">
        <v>17</v>
      </c>
      <c r="K369" s="247" t="inlineStr">
        <is>
          <t>3858 JIAXIN INTL RES</t>
        </is>
      </c>
    </row>
    <row r="370">
      <c r="A370" s="51" t="inlineStr">
        <is>
          <t>The Capital Group Funds</t>
        </is>
      </c>
      <c r="B370" s="243" t="n">
        <v>1</v>
      </c>
      <c r="C370" s="245" t="n">
        <v>100</v>
      </c>
      <c r="D370" s="246" t="n">
        <v>160.9</v>
      </c>
      <c r="E370" s="246" t="n">
        <v>250.4</v>
      </c>
      <c r="F370" s="246" t="n">
        <v>141.9</v>
      </c>
      <c r="G370" s="246" t="n">
        <v>105.4</v>
      </c>
      <c r="H370" s="246" t="n">
        <v>34.3</v>
      </c>
      <c r="I370" s="246" t="n">
        <v>-7.3</v>
      </c>
      <c r="J370" s="246" t="n">
        <v>-21.3</v>
      </c>
      <c r="K370" s="247" t="inlineStr">
        <is>
          <t>1024 KUAISHOU-W</t>
        </is>
      </c>
    </row>
    <row r="371">
      <c r="A371" s="51" t="inlineStr">
        <is>
          <t>Aoqin Heming</t>
        </is>
      </c>
      <c r="B371" s="243" t="n">
        <v>1</v>
      </c>
      <c r="C371" s="245" t="n">
        <v>100</v>
      </c>
      <c r="D371" s="246" t="n">
        <v>158.8</v>
      </c>
      <c r="E371" s="246" t="n">
        <v>229.4</v>
      </c>
      <c r="F371" s="246" t="n">
        <v>338.7</v>
      </c>
      <c r="G371" s="246" t="n">
        <v>592.7</v>
      </c>
      <c r="H371" s="246" t="n">
        <v>27.3</v>
      </c>
      <c r="I371" s="246" t="n">
        <v>69.5</v>
      </c>
      <c r="J371" s="246" t="n">
        <v>167.6</v>
      </c>
      <c r="K371" s="247" t="inlineStr">
        <is>
          <t>2661 QINGSONG HEALTH</t>
        </is>
      </c>
    </row>
    <row r="372">
      <c r="A372" s="51" t="inlineStr">
        <is>
          <t>Jiaxing Xinyang Private Equity Asset Management Co., Ltd. and Huatai Capital Investment Limited (in connection with Huatai Back-to-back TRS and Huatai Client TRS)</t>
        </is>
      </c>
      <c r="B372" s="243" t="n">
        <v>1</v>
      </c>
      <c r="C372" s="245" t="n">
        <v>100</v>
      </c>
      <c r="D372" s="246" t="n">
        <v>158</v>
      </c>
      <c r="E372" s="246" t="n">
        <v>314.7</v>
      </c>
      <c r="F372" s="246" t="n">
        <v>261.1</v>
      </c>
      <c r="G372" s="246" t="n">
        <v>212.7</v>
      </c>
      <c r="H372" s="246" t="n">
        <v>60.8</v>
      </c>
      <c r="I372" s="246" t="n">
        <v>40</v>
      </c>
      <c r="J372" s="246" t="n">
        <v>21.2</v>
      </c>
      <c r="K372" s="247" t="inlineStr">
        <is>
          <t>2627 AB&amp;B BIO-TECH-B</t>
        </is>
      </c>
    </row>
    <row r="373">
      <c r="A373" s="51" t="inlineStr">
        <is>
          <t>Zhengjin International</t>
        </is>
      </c>
      <c r="B373" s="243" t="n">
        <v>1</v>
      </c>
      <c r="C373" s="245" t="n">
        <v>100</v>
      </c>
      <c r="D373" s="246" t="n">
        <v>150</v>
      </c>
      <c r="E373" s="246" t="n">
        <v>164</v>
      </c>
      <c r="F373" s="246" t="n">
        <v>151.2</v>
      </c>
      <c r="G373" s="246" t="n">
        <v>112.5</v>
      </c>
      <c r="H373" s="246" t="n">
        <v>5.6</v>
      </c>
      <c r="I373" s="246" t="n">
        <v>0.5</v>
      </c>
      <c r="J373" s="246" t="n">
        <v>-15</v>
      </c>
      <c r="K373" s="247" t="inlineStr">
        <is>
          <t>6636 EXTREME VISION</t>
        </is>
      </c>
    </row>
    <row r="374">
      <c r="A374" s="51" t="inlineStr">
        <is>
          <t>Hesai Hong Kong Limited</t>
        </is>
      </c>
      <c r="B374" s="243" t="n">
        <v>1</v>
      </c>
      <c r="C374" s="245" t="n">
        <v>100</v>
      </c>
      <c r="D374" s="246" t="n">
        <v>144.1</v>
      </c>
      <c r="E374" s="246" t="n">
        <v>273.8</v>
      </c>
      <c r="F374" s="246" t="n">
        <v>142.9</v>
      </c>
      <c r="G374" s="246" t="n">
        <v>16.5</v>
      </c>
      <c r="H374" s="246" t="n">
        <v>53.1</v>
      </c>
      <c r="I374" s="246" t="n">
        <v>-0.5</v>
      </c>
      <c r="J374" s="246" t="n">
        <v>-52.3</v>
      </c>
      <c r="K374" s="247" t="inlineStr">
        <is>
          <t>0068 MANYCORE TECH</t>
        </is>
      </c>
    </row>
    <row r="375">
      <c r="A375" s="51" t="inlineStr">
        <is>
          <t>Derivatives China Alpha Fund SPC (acting for and on behalf of Derivatives China Fundamental Fund SP)</t>
        </is>
      </c>
      <c r="B375" s="243" t="n">
        <v>1</v>
      </c>
      <c r="C375" s="245" t="n">
        <v>100</v>
      </c>
      <c r="D375" s="246" t="n">
        <v>138.8</v>
      </c>
      <c r="E375" s="246" t="n">
        <v>173.7</v>
      </c>
      <c r="F375" s="246" t="n">
        <v>226.8</v>
      </c>
      <c r="G375" s="246" t="n">
        <v>249.3</v>
      </c>
      <c r="H375" s="246" t="n">
        <v>14.6</v>
      </c>
      <c r="I375" s="246" t="n">
        <v>36.8</v>
      </c>
      <c r="J375" s="246" t="n">
        <v>46.3</v>
      </c>
      <c r="K375" s="247" t="inlineStr">
        <is>
          <t>2659 BAO PHARMA-B</t>
        </is>
      </c>
    </row>
    <row r="376">
      <c r="A376" s="51" t="inlineStr">
        <is>
          <t>Longwei Hong Kong Company Limited</t>
        </is>
      </c>
      <c r="B376" s="243" t="n">
        <v>1</v>
      </c>
      <c r="C376" s="245" t="n">
        <v>100</v>
      </c>
      <c r="D376" s="246" t="n">
        <v>127.1</v>
      </c>
      <c r="E376" s="246" t="n">
        <v>105.9</v>
      </c>
      <c r="F376" s="246" t="n">
        <v>10</v>
      </c>
      <c r="G376" s="246" t="n">
        <v>54.5</v>
      </c>
      <c r="H376" s="246" t="n">
        <v>-9.300000000000001</v>
      </c>
      <c r="I376" s="246" t="n">
        <v>-51.6</v>
      </c>
      <c r="J376" s="246" t="n">
        <v>-32</v>
      </c>
      <c r="K376" s="247" t="inlineStr">
        <is>
          <t>6675 SENASIC</t>
        </is>
      </c>
    </row>
    <row r="377">
      <c r="A377" s="51" t="inlineStr">
        <is>
          <t>Tembusu Limited</t>
        </is>
      </c>
      <c r="B377" s="243" t="n">
        <v>1</v>
      </c>
      <c r="C377" s="245" t="n">
        <v>100</v>
      </c>
      <c r="D377" s="246" t="n">
        <v>127.1</v>
      </c>
      <c r="E377" s="246" t="n">
        <v>105.9</v>
      </c>
      <c r="F377" s="246" t="n">
        <v>10</v>
      </c>
      <c r="G377" s="246" t="n">
        <v>54.5</v>
      </c>
      <c r="H377" s="246" t="n">
        <v>-9.300000000000001</v>
      </c>
      <c r="I377" s="246" t="n">
        <v>-51.6</v>
      </c>
      <c r="J377" s="246" t="n">
        <v>-32</v>
      </c>
      <c r="K377" s="247" t="inlineStr">
        <is>
          <t>6675 SENASIC</t>
        </is>
      </c>
    </row>
    <row r="378">
      <c r="A378" s="51" t="inlineStr">
        <is>
          <t>Andrew Y Yan</t>
        </is>
      </c>
      <c r="B378" s="243" t="n">
        <v>1</v>
      </c>
      <c r="C378" s="245" t="n">
        <v>100</v>
      </c>
      <c r="D378" s="246" t="n">
        <v>127.1</v>
      </c>
      <c r="E378" s="246" t="n">
        <v>105.9</v>
      </c>
      <c r="F378" s="246" t="n">
        <v>10</v>
      </c>
      <c r="G378" s="246" t="n">
        <v>54.5</v>
      </c>
      <c r="H378" s="246" t="n">
        <v>-9.300000000000001</v>
      </c>
      <c r="I378" s="246" t="n">
        <v>-51.6</v>
      </c>
      <c r="J378" s="246" t="n">
        <v>-32</v>
      </c>
      <c r="K378" s="247" t="inlineStr">
        <is>
          <t>6675 SENASIC</t>
        </is>
      </c>
    </row>
    <row r="379">
      <c r="A379" s="51" t="inlineStr">
        <is>
          <t>Thalassa Capital Dynamics SPC (acting for and on behalf of Thalassa Horizon SP)</t>
        </is>
      </c>
      <c r="B379" s="243" t="n">
        <v>1</v>
      </c>
      <c r="C379" s="245" t="n">
        <v>100</v>
      </c>
      <c r="D379" s="246" t="n">
        <v>127.1</v>
      </c>
      <c r="E379" s="246" t="n">
        <v>105.9</v>
      </c>
      <c r="F379" s="246" t="n">
        <v>10</v>
      </c>
      <c r="G379" s="246" t="n">
        <v>54.5</v>
      </c>
      <c r="H379" s="246" t="n">
        <v>-9.300000000000001</v>
      </c>
      <c r="I379" s="246" t="n">
        <v>-51.6</v>
      </c>
      <c r="J379" s="246" t="n">
        <v>-32</v>
      </c>
      <c r="K379" s="247" t="inlineStr">
        <is>
          <t>6675 SENASIC</t>
        </is>
      </c>
    </row>
    <row r="380">
      <c r="A380" s="51" t="inlineStr">
        <is>
          <t>Chample International Limited</t>
        </is>
      </c>
      <c r="B380" s="243" t="n">
        <v>1</v>
      </c>
      <c r="C380" s="245" t="n">
        <v>100</v>
      </c>
      <c r="D380" s="246" t="n">
        <v>127.1</v>
      </c>
      <c r="E380" s="246" t="n">
        <v>105.9</v>
      </c>
      <c r="F380" s="246" t="n">
        <v>10</v>
      </c>
      <c r="G380" s="246" t="n">
        <v>54.5</v>
      </c>
      <c r="H380" s="246" t="n">
        <v>-9.300000000000001</v>
      </c>
      <c r="I380" s="246" t="n">
        <v>-51.6</v>
      </c>
      <c r="J380" s="246" t="n">
        <v>-32</v>
      </c>
      <c r="K380" s="247" t="inlineStr">
        <is>
          <t>6675 SENASIC</t>
        </is>
      </c>
    </row>
    <row r="381">
      <c r="A381" s="51" t="inlineStr">
        <is>
          <t>Libra Stable Value and Fixed Income Segregated Portfolio Company acting for and on behalf of Libra Fixed Income One SP</t>
        </is>
      </c>
      <c r="B381" s="243" t="n">
        <v>1</v>
      </c>
      <c r="C381" s="245" t="n">
        <v>100</v>
      </c>
      <c r="D381" s="246" t="n">
        <v>127.1</v>
      </c>
      <c r="E381" s="246" t="n">
        <v>105.9</v>
      </c>
      <c r="F381" s="246" t="n">
        <v>10</v>
      </c>
      <c r="G381" s="246" t="n">
        <v>54.5</v>
      </c>
      <c r="H381" s="246" t="n">
        <v>-9.300000000000001</v>
      </c>
      <c r="I381" s="246" t="n">
        <v>-51.6</v>
      </c>
      <c r="J381" s="246" t="n">
        <v>-32</v>
      </c>
      <c r="K381" s="247" t="inlineStr">
        <is>
          <t>6675 SENASIC</t>
        </is>
      </c>
    </row>
    <row r="382">
      <c r="A382" s="51" t="inlineStr">
        <is>
          <t>Beijing Denov Ruilang Phase XV Equity Investment Fund Center (Limited Partnership)</t>
        </is>
      </c>
      <c r="B382" s="243" t="n">
        <v>1</v>
      </c>
      <c r="C382" s="245" t="n">
        <v>100</v>
      </c>
      <c r="D382" s="246" t="n">
        <v>126.7</v>
      </c>
      <c r="E382" s="246" t="n">
        <v>417.2</v>
      </c>
      <c r="F382" s="246" t="n">
        <v>451.3</v>
      </c>
      <c r="G382" s="246" t="n">
        <v>509.1</v>
      </c>
      <c r="H382" s="246" t="n">
        <v>128.1</v>
      </c>
      <c r="I382" s="246" t="n">
        <v>143.2</v>
      </c>
      <c r="J382" s="246" t="n">
        <v>168.6</v>
      </c>
      <c r="K382" s="247" t="inlineStr">
        <is>
          <t>2575 XUANZHUBIO-B</t>
        </is>
      </c>
    </row>
    <row r="383">
      <c r="A383" s="51" t="inlineStr">
        <is>
          <t>China Venture Capital Innovation Investment Fund Co., Ltd</t>
        </is>
      </c>
      <c r="B383" s="243" t="n">
        <v>1</v>
      </c>
      <c r="C383" s="245" t="n">
        <v>100</v>
      </c>
      <c r="D383" s="246" t="n">
        <v>126.7</v>
      </c>
      <c r="E383" s="246" t="n">
        <v>71.40000000000001</v>
      </c>
      <c r="F383" s="246" t="n">
        <v>25.6</v>
      </c>
      <c r="G383" s="246" t="n">
        <v>25.6</v>
      </c>
      <c r="H383" s="246" t="n">
        <v>-24.4</v>
      </c>
      <c r="I383" s="246" t="n">
        <v>-44.6</v>
      </c>
      <c r="J383" s="246" t="n">
        <v>-44.6</v>
      </c>
      <c r="K383" s="247" t="inlineStr">
        <is>
          <t>7666 METIS TECHBIO-P</t>
        </is>
      </c>
    </row>
    <row r="384">
      <c r="A384" s="51" t="inlineStr">
        <is>
          <t>Deerfield</t>
        </is>
      </c>
      <c r="B384" s="243" t="n">
        <v>1</v>
      </c>
      <c r="C384" s="245" t="n">
        <v>100</v>
      </c>
      <c r="D384" s="246" t="n">
        <v>126.7</v>
      </c>
      <c r="E384" s="246" t="n">
        <v>71.40000000000001</v>
      </c>
      <c r="F384" s="246" t="n">
        <v>25.6</v>
      </c>
      <c r="G384" s="246" t="n">
        <v>25.6</v>
      </c>
      <c r="H384" s="246" t="n">
        <v>-24.4</v>
      </c>
      <c r="I384" s="246" t="n">
        <v>-44.6</v>
      </c>
      <c r="J384" s="246" t="n">
        <v>-44.6</v>
      </c>
      <c r="K384" s="247" t="inlineStr">
        <is>
          <t>7666 METIS TECHBIO-P</t>
        </is>
      </c>
    </row>
    <row r="385">
      <c r="A385" s="51" t="inlineStr">
        <is>
          <t>Isometry Global</t>
        </is>
      </c>
      <c r="B385" s="243" t="n">
        <v>1</v>
      </c>
      <c r="C385" s="245" t="n">
        <v>100</v>
      </c>
      <c r="D385" s="246" t="n">
        <v>126.7</v>
      </c>
      <c r="E385" s="246" t="n">
        <v>71.40000000000001</v>
      </c>
      <c r="F385" s="246" t="n">
        <v>25.6</v>
      </c>
      <c r="G385" s="246" t="n">
        <v>25.6</v>
      </c>
      <c r="H385" s="246" t="n">
        <v>-24.4</v>
      </c>
      <c r="I385" s="246" t="n">
        <v>-44.6</v>
      </c>
      <c r="J385" s="246" t="n">
        <v>-44.6</v>
      </c>
      <c r="K385" s="247" t="inlineStr">
        <is>
          <t>7666 METIS TECHBIO-P</t>
        </is>
      </c>
    </row>
    <row r="386">
      <c r="A386" s="51" t="inlineStr">
        <is>
          <t>ICBCUBS Entities</t>
        </is>
      </c>
      <c r="B386" s="243" t="n">
        <v>1</v>
      </c>
      <c r="C386" s="245" t="n">
        <v>100</v>
      </c>
      <c r="D386" s="246" t="n">
        <v>126.7</v>
      </c>
      <c r="E386" s="246" t="n">
        <v>71.40000000000001</v>
      </c>
      <c r="F386" s="246" t="n">
        <v>25.6</v>
      </c>
      <c r="G386" s="246" t="n">
        <v>25.6</v>
      </c>
      <c r="H386" s="246" t="n">
        <v>-24.4</v>
      </c>
      <c r="I386" s="246" t="n">
        <v>-44.6</v>
      </c>
      <c r="J386" s="246" t="n">
        <v>-44.6</v>
      </c>
      <c r="K386" s="247" t="inlineStr">
        <is>
          <t>7666 METIS TECHBIO-P</t>
        </is>
      </c>
    </row>
    <row r="387">
      <c r="A387" s="51" t="inlineStr">
        <is>
          <t>OAP IV (HK) Limited ʮ̡ )</t>
        </is>
      </c>
      <c r="B387" s="243" t="n">
        <v>1</v>
      </c>
      <c r="C387" s="245" t="n">
        <v>100</v>
      </c>
      <c r="D387" s="246" t="n">
        <v>118.3</v>
      </c>
      <c r="E387" s="246" t="n">
        <v>102.4</v>
      </c>
      <c r="F387" s="246" t="n">
        <v>94.3</v>
      </c>
      <c r="G387" s="246" t="n">
        <v>26.4</v>
      </c>
      <c r="H387" s="246" t="n">
        <v>-7.2</v>
      </c>
      <c r="I387" s="246" t="n">
        <v>-11</v>
      </c>
      <c r="J387" s="246" t="n">
        <v>-42.1</v>
      </c>
      <c r="K387" s="247" t="inlineStr">
        <is>
          <t>1609 STAR SPORTS MED</t>
        </is>
      </c>
    </row>
    <row r="388">
      <c r="A388" s="51" t="inlineStr">
        <is>
          <t>GBAD Fund Management for and on behalf of the Managed Account of Poly Platinum Enterprises Limited</t>
        </is>
      </c>
      <c r="B388" s="243" t="n">
        <v>1</v>
      </c>
      <c r="C388" s="245" t="n">
        <v>100</v>
      </c>
      <c r="D388" s="246" t="n">
        <v>118.3</v>
      </c>
      <c r="E388" s="246" t="n">
        <v>102.4</v>
      </c>
      <c r="F388" s="246" t="n">
        <v>94.3</v>
      </c>
      <c r="G388" s="246" t="n">
        <v>26.4</v>
      </c>
      <c r="H388" s="246" t="n">
        <v>-7.2</v>
      </c>
      <c r="I388" s="246" t="n">
        <v>-11</v>
      </c>
      <c r="J388" s="246" t="n">
        <v>-42.1</v>
      </c>
      <c r="K388" s="247" t="inlineStr">
        <is>
          <t>1609 STAR SPORTS MED</t>
        </is>
      </c>
    </row>
    <row r="389">
      <c r="A389" s="51" t="inlineStr">
        <is>
          <t>Huikai Hong Kong Economic Development Co., Ltd</t>
        </is>
      </c>
      <c r="B389" s="243" t="n">
        <v>1</v>
      </c>
      <c r="C389" s="245" t="n">
        <v>100</v>
      </c>
      <c r="D389" s="246" t="n">
        <v>117.9</v>
      </c>
      <c r="E389" s="246" t="n">
        <v>107.8</v>
      </c>
      <c r="F389" s="246" t="n">
        <v>222.4</v>
      </c>
      <c r="G389" s="246" t="n">
        <v>141.8</v>
      </c>
      <c r="H389" s="246" t="n">
        <v>-4.7</v>
      </c>
      <c r="I389" s="246" t="n">
        <v>48</v>
      </c>
      <c r="J389" s="246" t="n">
        <v>11</v>
      </c>
      <c r="K389" s="247" t="inlineStr">
        <is>
          <t>2655 GUOXIA TECH</t>
        </is>
      </c>
    </row>
    <row r="390">
      <c r="A390" s="51" t="inlineStr">
        <is>
          <t>BioNTech SE</t>
        </is>
      </c>
      <c r="B390" s="243" t="n">
        <v>1</v>
      </c>
      <c r="C390" s="245" t="n">
        <v>100</v>
      </c>
      <c r="D390" s="246" t="n">
        <v>116.7</v>
      </c>
      <c r="E390" s="246" t="n">
        <v>137.8</v>
      </c>
      <c r="F390" s="246" t="n">
        <v>111.4</v>
      </c>
      <c r="G390" s="246" t="n">
        <v>255.2</v>
      </c>
      <c r="H390" s="246" t="n">
        <v>9.800000000000001</v>
      </c>
      <c r="I390" s="246" t="n">
        <v>-2.4</v>
      </c>
      <c r="J390" s="246" t="n">
        <v>63.9</v>
      </c>
      <c r="K390" s="247" t="inlineStr">
        <is>
          <t>9606 DUALITYBIO-B</t>
        </is>
      </c>
    </row>
    <row r="391">
      <c r="A391" s="51" t="inlineStr">
        <is>
          <t>Fighton Asia Master Fund Limited</t>
        </is>
      </c>
      <c r="B391" s="243" t="n">
        <v>1</v>
      </c>
      <c r="C391" s="245" t="n">
        <v>100</v>
      </c>
      <c r="D391" s="246" t="n">
        <v>110.9</v>
      </c>
      <c r="E391" s="246" t="n">
        <v>218.8</v>
      </c>
      <c r="F391" s="246" t="n">
        <v>314.1</v>
      </c>
      <c r="G391" s="246" t="n">
        <v>284.4</v>
      </c>
      <c r="H391" s="246" t="n">
        <v>51.1</v>
      </c>
      <c r="I391" s="246" t="n">
        <v>96.3</v>
      </c>
      <c r="J391" s="246" t="n">
        <v>82.2</v>
      </c>
      <c r="K391" s="247" t="inlineStr">
        <is>
          <t>2422 REGO INTERACT</t>
        </is>
      </c>
    </row>
    <row r="392">
      <c r="A392" s="51" t="inlineStr">
        <is>
          <t>Abstract Enigma Limited</t>
        </is>
      </c>
      <c r="B392" s="243" t="n">
        <v>1</v>
      </c>
      <c r="C392" s="245" t="n">
        <v>100</v>
      </c>
      <c r="D392" s="246" t="n">
        <v>109.1</v>
      </c>
      <c r="E392" s="246" t="n">
        <v>165.4</v>
      </c>
      <c r="F392" s="246" t="n">
        <v>212.1</v>
      </c>
      <c r="G392" s="246" t="n">
        <v>445.8</v>
      </c>
      <c r="H392" s="246" t="n">
        <v>26.9</v>
      </c>
      <c r="I392" s="246" t="n">
        <v>49.3</v>
      </c>
      <c r="J392" s="246" t="n">
        <v>161</v>
      </c>
      <c r="K392" s="247" t="inlineStr">
        <is>
          <t>0100 MINIMAX-WP</t>
        </is>
      </c>
    </row>
    <row r="393">
      <c r="A393" s="51" t="inlineStr">
        <is>
          <t>First Quarter Moon OFC – Phecda Fund</t>
        </is>
      </c>
      <c r="B393" s="243" t="n">
        <v>1</v>
      </c>
      <c r="C393" s="245" t="n">
        <v>100</v>
      </c>
      <c r="D393" s="246" t="n">
        <v>108.3</v>
      </c>
      <c r="E393" s="246" t="n">
        <v>86.3</v>
      </c>
      <c r="F393" s="246" t="n">
        <v>81.09999999999999</v>
      </c>
      <c r="G393" s="246" t="n">
        <v>-39.8</v>
      </c>
      <c r="H393" s="246" t="n">
        <v>-10.6</v>
      </c>
      <c r="I393" s="246" t="n">
        <v>-13.1</v>
      </c>
      <c r="J393" s="246" t="n">
        <v>-71.09999999999999</v>
      </c>
      <c r="K393" s="247" t="inlineStr">
        <is>
          <t>7630 IMPACT THERAP-B</t>
        </is>
      </c>
    </row>
    <row r="394">
      <c r="A394" s="51" t="inlineStr">
        <is>
          <t>Ms. Minfang Guo (ٹ</t>
        </is>
      </c>
      <c r="B394" s="243" t="n">
        <v>1</v>
      </c>
      <c r="C394" s="245" t="n">
        <v>100</v>
      </c>
      <c r="D394" s="246" t="n">
        <v>106.1</v>
      </c>
      <c r="E394" s="246" t="n">
        <v>57.2</v>
      </c>
      <c r="F394" s="246" t="n">
        <v>45.2</v>
      </c>
      <c r="G394" s="246" t="n">
        <v>77.90000000000001</v>
      </c>
      <c r="H394" s="246" t="n">
        <v>-23.8</v>
      </c>
      <c r="I394" s="246" t="n">
        <v>-29.5</v>
      </c>
      <c r="J394" s="246" t="n">
        <v>-13.7</v>
      </c>
      <c r="K394" s="247" t="inlineStr">
        <is>
          <t>2718 MININGLAMP-W</t>
        </is>
      </c>
    </row>
    <row r="395">
      <c r="A395" s="51" t="inlineStr">
        <is>
          <t>Treasure-stone Investment Group Limited</t>
        </is>
      </c>
      <c r="B395" s="243" t="n">
        <v>1</v>
      </c>
      <c r="C395" s="245" t="n">
        <v>100</v>
      </c>
      <c r="D395" s="246" t="n">
        <v>106.1</v>
      </c>
      <c r="E395" s="246" t="n">
        <v>57.2</v>
      </c>
      <c r="F395" s="246" t="n">
        <v>45.2</v>
      </c>
      <c r="G395" s="246" t="n">
        <v>77.90000000000001</v>
      </c>
      <c r="H395" s="246" t="n">
        <v>-23.8</v>
      </c>
      <c r="I395" s="246" t="n">
        <v>-29.5</v>
      </c>
      <c r="J395" s="246" t="n">
        <v>-13.7</v>
      </c>
      <c r="K395" s="247" t="inlineStr">
        <is>
          <t>2718 MININGLAMP-W</t>
        </is>
      </c>
    </row>
    <row r="396">
      <c r="A396" s="51" t="inlineStr">
        <is>
          <t>Ms. Lina Bao (ࢆ</t>
        </is>
      </c>
      <c r="B396" s="243" t="n">
        <v>1</v>
      </c>
      <c r="C396" s="245" t="n">
        <v>100</v>
      </c>
      <c r="D396" s="246" t="n">
        <v>106.1</v>
      </c>
      <c r="E396" s="246" t="n">
        <v>57.2</v>
      </c>
      <c r="F396" s="246" t="n">
        <v>45.2</v>
      </c>
      <c r="G396" s="246" t="n">
        <v>77.90000000000001</v>
      </c>
      <c r="H396" s="246" t="n">
        <v>-23.8</v>
      </c>
      <c r="I396" s="246" t="n">
        <v>-29.5</v>
      </c>
      <c r="J396" s="246" t="n">
        <v>-13.7</v>
      </c>
      <c r="K396" s="247" t="inlineStr">
        <is>
          <t>2718 MININGLAMP-W</t>
        </is>
      </c>
    </row>
    <row r="397">
      <c r="A397" s="51" t="inlineStr">
        <is>
          <t>Hundreds Capital</t>
        </is>
      </c>
      <c r="B397" s="243" t="n">
        <v>1</v>
      </c>
      <c r="C397" s="245" t="n">
        <v>100</v>
      </c>
      <c r="D397" s="246" t="n">
        <v>106.1</v>
      </c>
      <c r="E397" s="246" t="n">
        <v>57.2</v>
      </c>
      <c r="F397" s="246" t="n">
        <v>45.2</v>
      </c>
      <c r="G397" s="246" t="n">
        <v>77.90000000000001</v>
      </c>
      <c r="H397" s="246" t="n">
        <v>-23.8</v>
      </c>
      <c r="I397" s="246" t="n">
        <v>-29.5</v>
      </c>
      <c r="J397" s="246" t="n">
        <v>-13.7</v>
      </c>
      <c r="K397" s="247" t="inlineStr">
        <is>
          <t>2718 MININGLAMP-W</t>
        </is>
      </c>
    </row>
    <row r="398">
      <c r="A398" s="51" t="inlineStr">
        <is>
          <t>GFH Financial Group B.S.C</t>
        </is>
      </c>
      <c r="B398" s="243" t="n">
        <v>1</v>
      </c>
      <c r="C398" s="245" t="n">
        <v>100</v>
      </c>
      <c r="D398" s="246" t="n">
        <v>106.1</v>
      </c>
      <c r="E398" s="246" t="n">
        <v>57.2</v>
      </c>
      <c r="F398" s="246" t="n">
        <v>45.2</v>
      </c>
      <c r="G398" s="246" t="n">
        <v>77.90000000000001</v>
      </c>
      <c r="H398" s="246" t="n">
        <v>-23.8</v>
      </c>
      <c r="I398" s="246" t="n">
        <v>-29.5</v>
      </c>
      <c r="J398" s="246" t="n">
        <v>-13.7</v>
      </c>
      <c r="K398" s="247" t="inlineStr">
        <is>
          <t>2718 MININGLAMP-W</t>
        </is>
      </c>
    </row>
    <row r="399">
      <c r="A399" s="51" t="inlineStr">
        <is>
          <t>HK Yonglian Investment Development Co., Limited</t>
        </is>
      </c>
      <c r="B399" s="243" t="n">
        <v>1</v>
      </c>
      <c r="C399" s="245" t="n">
        <v>100</v>
      </c>
      <c r="D399" s="246" t="n">
        <v>103.8</v>
      </c>
      <c r="E399" s="246" t="n">
        <v>55.1</v>
      </c>
      <c r="F399" s="246" t="n">
        <v>30.3</v>
      </c>
      <c r="G399" s="246" t="n">
        <v>38.2</v>
      </c>
      <c r="H399" s="246" t="n">
        <v>-23.9</v>
      </c>
      <c r="I399" s="246" t="n">
        <v>-36.1</v>
      </c>
      <c r="J399" s="246" t="n">
        <v>-32.2</v>
      </c>
      <c r="K399" s="247" t="inlineStr">
        <is>
          <t>9630 CFMEE</t>
        </is>
      </c>
    </row>
    <row r="400">
      <c r="A400" s="51" t="inlineStr">
        <is>
          <t>Hong Kong Xinyao Investment Limited</t>
        </is>
      </c>
      <c r="B400" s="243" t="n">
        <v>1</v>
      </c>
      <c r="C400" s="245" t="n">
        <v>100</v>
      </c>
      <c r="D400" s="246" t="n">
        <v>103.8</v>
      </c>
      <c r="E400" s="246" t="n">
        <v>55.1</v>
      </c>
      <c r="F400" s="246" t="n">
        <v>30.3</v>
      </c>
      <c r="G400" s="246" t="n">
        <v>38.2</v>
      </c>
      <c r="H400" s="246" t="n">
        <v>-23.9</v>
      </c>
      <c r="I400" s="246" t="n">
        <v>-36.1</v>
      </c>
      <c r="J400" s="246" t="n">
        <v>-32.2</v>
      </c>
      <c r="K400" s="247" t="inlineStr">
        <is>
          <t>9630 CFMEE</t>
        </is>
      </c>
    </row>
    <row r="401">
      <c r="A401" s="51" t="inlineStr">
        <is>
          <t>Monterey Park Finance Limited</t>
        </is>
      </c>
      <c r="B401" s="243" t="n">
        <v>1</v>
      </c>
      <c r="C401" s="245" t="n">
        <v>100</v>
      </c>
      <c r="D401" s="246" t="n">
        <v>103.8</v>
      </c>
      <c r="E401" s="246" t="n">
        <v>55.1</v>
      </c>
      <c r="F401" s="246" t="n">
        <v>30.3</v>
      </c>
      <c r="G401" s="246" t="n">
        <v>38.2</v>
      </c>
      <c r="H401" s="246" t="n">
        <v>-23.9</v>
      </c>
      <c r="I401" s="246" t="n">
        <v>-36.1</v>
      </c>
      <c r="J401" s="246" t="n">
        <v>-32.2</v>
      </c>
      <c r="K401" s="247" t="inlineStr">
        <is>
          <t>9630 CFMEE</t>
        </is>
      </c>
    </row>
    <row r="402">
      <c r="A402" s="51" t="inlineStr">
        <is>
          <t>Nexchip Semiconductor Hong Kong Corporation Limited</t>
        </is>
      </c>
      <c r="B402" s="243" t="n">
        <v>1</v>
      </c>
      <c r="C402" s="245" t="n">
        <v>100</v>
      </c>
      <c r="D402" s="246" t="n">
        <v>103.8</v>
      </c>
      <c r="E402" s="246" t="n">
        <v>55.1</v>
      </c>
      <c r="F402" s="246" t="n">
        <v>30.3</v>
      </c>
      <c r="G402" s="246" t="n">
        <v>38.2</v>
      </c>
      <c r="H402" s="246" t="n">
        <v>-23.9</v>
      </c>
      <c r="I402" s="246" t="n">
        <v>-36.1</v>
      </c>
      <c r="J402" s="246" t="n">
        <v>-32.2</v>
      </c>
      <c r="K402" s="247" t="inlineStr">
        <is>
          <t>9630 CFMEE</t>
        </is>
      </c>
    </row>
    <row r="403">
      <c r="A403" s="51" t="inlineStr">
        <is>
          <t>Loomis, Sayles &amp; Company, L.P</t>
        </is>
      </c>
      <c r="B403" s="243" t="n">
        <v>1</v>
      </c>
      <c r="C403" s="245" t="n">
        <v>100</v>
      </c>
      <c r="D403" s="246" t="n">
        <v>103.5</v>
      </c>
      <c r="E403" s="246" t="n">
        <v>29.1</v>
      </c>
      <c r="F403" s="246" t="n">
        <v>19.5</v>
      </c>
      <c r="G403" s="246" t="n">
        <v>9.699999999999999</v>
      </c>
      <c r="H403" s="246" t="n">
        <v>-36.6</v>
      </c>
      <c r="I403" s="246" t="n">
        <v>-41.3</v>
      </c>
      <c r="J403" s="246" t="n">
        <v>-46.1</v>
      </c>
      <c r="K403" s="247" t="inlineStr">
        <is>
          <t>9637 ALEBUND-B</t>
        </is>
      </c>
    </row>
    <row r="404">
      <c r="A404" s="51" t="inlineStr">
        <is>
          <t>SymBiosis II, LLC</t>
        </is>
      </c>
      <c r="B404" s="243" t="n">
        <v>1</v>
      </c>
      <c r="C404" s="245" t="n">
        <v>100</v>
      </c>
      <c r="D404" s="246" t="n">
        <v>103.5</v>
      </c>
      <c r="E404" s="246" t="n">
        <v>29.1</v>
      </c>
      <c r="F404" s="246" t="n">
        <v>19.5</v>
      </c>
      <c r="G404" s="246" t="n">
        <v>9.699999999999999</v>
      </c>
      <c r="H404" s="246" t="n">
        <v>-36.6</v>
      </c>
      <c r="I404" s="246" t="n">
        <v>-41.3</v>
      </c>
      <c r="J404" s="246" t="n">
        <v>-46.1</v>
      </c>
      <c r="K404" s="247" t="inlineStr">
        <is>
          <t>9637 ALEBUND-B</t>
        </is>
      </c>
    </row>
    <row r="405">
      <c r="A405" s="51" t="inlineStr">
        <is>
          <t>Perfect Ten Holding Limited</t>
        </is>
      </c>
      <c r="B405" s="243" t="n">
        <v>1</v>
      </c>
      <c r="C405" s="245" t="n">
        <v>100</v>
      </c>
      <c r="D405" s="246" t="n">
        <v>103.5</v>
      </c>
      <c r="E405" s="246" t="n">
        <v>29.1</v>
      </c>
      <c r="F405" s="246" t="n">
        <v>19.5</v>
      </c>
      <c r="G405" s="246" t="n">
        <v>9.699999999999999</v>
      </c>
      <c r="H405" s="246" t="n">
        <v>-36.6</v>
      </c>
      <c r="I405" s="246" t="n">
        <v>-41.3</v>
      </c>
      <c r="J405" s="246" t="n">
        <v>-46.1</v>
      </c>
      <c r="K405" s="247" t="inlineStr">
        <is>
          <t>9637 ALEBUND-B</t>
        </is>
      </c>
    </row>
    <row r="406">
      <c r="A406" s="51" t="inlineStr">
        <is>
          <t>AXA Investment Managers UK Limited</t>
        </is>
      </c>
      <c r="B406" s="243" t="n">
        <v>1</v>
      </c>
      <c r="C406" s="245" t="n">
        <v>100</v>
      </c>
      <c r="D406" s="246" t="n">
        <v>103.4</v>
      </c>
      <c r="E406" s="246" t="n">
        <v>73.7</v>
      </c>
      <c r="F406" s="246" t="n">
        <v>64.40000000000001</v>
      </c>
      <c r="G406" s="246" t="n">
        <v>-14.7</v>
      </c>
      <c r="H406" s="246" t="n">
        <v>-14.6</v>
      </c>
      <c r="I406" s="246" t="n">
        <v>-19.2</v>
      </c>
      <c r="J406" s="246" t="n">
        <v>-58.1</v>
      </c>
      <c r="K406" s="247" t="inlineStr">
        <is>
          <t>6656 SIGENERGY</t>
        </is>
      </c>
    </row>
    <row r="407">
      <c r="A407" s="51" t="inlineStr">
        <is>
          <t>Lazurite Hime L.P</t>
        </is>
      </c>
      <c r="B407" s="243" t="n">
        <v>1</v>
      </c>
      <c r="C407" s="245" t="n">
        <v>100</v>
      </c>
      <c r="D407" s="246" t="n">
        <v>103.4</v>
      </c>
      <c r="E407" s="246" t="n">
        <v>73.7</v>
      </c>
      <c r="F407" s="246" t="n">
        <v>64.40000000000001</v>
      </c>
      <c r="G407" s="246" t="n">
        <v>-14.7</v>
      </c>
      <c r="H407" s="246" t="n">
        <v>-14.6</v>
      </c>
      <c r="I407" s="246" t="n">
        <v>-19.2</v>
      </c>
      <c r="J407" s="246" t="n">
        <v>-58.1</v>
      </c>
      <c r="K407" s="247" t="inlineStr">
        <is>
          <t>6656 SIGENERGY</t>
        </is>
      </c>
    </row>
    <row r="408">
      <c r="A408" s="51" t="inlineStr">
        <is>
          <t>Scene Cloud Global Limited</t>
        </is>
      </c>
      <c r="B408" s="243" t="n">
        <v>1</v>
      </c>
      <c r="C408" s="245" t="n">
        <v>100</v>
      </c>
      <c r="D408" s="246" t="n">
        <v>103.4</v>
      </c>
      <c r="E408" s="246" t="n">
        <v>73.7</v>
      </c>
      <c r="F408" s="246" t="n">
        <v>64.40000000000001</v>
      </c>
      <c r="G408" s="246" t="n">
        <v>-14.7</v>
      </c>
      <c r="H408" s="246" t="n">
        <v>-14.6</v>
      </c>
      <c r="I408" s="246" t="n">
        <v>-19.2</v>
      </c>
      <c r="J408" s="246" t="n">
        <v>-58.1</v>
      </c>
      <c r="K408" s="247" t="inlineStr">
        <is>
          <t>6656 SIGENERGY</t>
        </is>
      </c>
    </row>
    <row r="409">
      <c r="A409" s="51" t="inlineStr">
        <is>
          <t>Shanghai Lujiazui (Group) Co., Ltd</t>
        </is>
      </c>
      <c r="B409" s="243" t="n">
        <v>1</v>
      </c>
      <c r="C409" s="245" t="n">
        <v>100</v>
      </c>
      <c r="D409" s="246" t="n">
        <v>103.4</v>
      </c>
      <c r="E409" s="246" t="n">
        <v>73.7</v>
      </c>
      <c r="F409" s="246" t="n">
        <v>64.40000000000001</v>
      </c>
      <c r="G409" s="246" t="n">
        <v>-14.7</v>
      </c>
      <c r="H409" s="246" t="n">
        <v>-14.6</v>
      </c>
      <c r="I409" s="246" t="n">
        <v>-19.2</v>
      </c>
      <c r="J409" s="246" t="n">
        <v>-58.1</v>
      </c>
      <c r="K409" s="247" t="inlineStr">
        <is>
          <t>6656 SIGENERGY</t>
        </is>
      </c>
    </row>
    <row r="410">
      <c r="A410" s="51" t="inlineStr">
        <is>
          <t>Qiyuan Hong Kong</t>
        </is>
      </c>
      <c r="B410" s="243" t="n">
        <v>1</v>
      </c>
      <c r="C410" s="245" t="n">
        <v>100</v>
      </c>
      <c r="D410" s="246" t="n">
        <v>102.8</v>
      </c>
      <c r="E410" s="246" t="n">
        <v>97.59999999999999</v>
      </c>
      <c r="F410" s="246" t="n">
        <v>86.8</v>
      </c>
      <c r="G410" s="246" t="n">
        <v>21.8</v>
      </c>
      <c r="H410" s="246" t="n">
        <v>-2.5</v>
      </c>
      <c r="I410" s="246" t="n">
        <v>-7.9</v>
      </c>
      <c r="J410" s="246" t="n">
        <v>-40</v>
      </c>
      <c r="K410" s="247" t="inlineStr">
        <is>
          <t>2335 MICOT PHARMA-B</t>
        </is>
      </c>
    </row>
    <row r="411">
      <c r="A411" s="51" t="inlineStr">
        <is>
          <t>Everest Medicine</t>
        </is>
      </c>
      <c r="B411" s="243" t="n">
        <v>1</v>
      </c>
      <c r="C411" s="245" t="n">
        <v>100</v>
      </c>
      <c r="D411" s="246" t="n">
        <v>102.8</v>
      </c>
      <c r="E411" s="246" t="n">
        <v>97.59999999999999</v>
      </c>
      <c r="F411" s="246" t="n">
        <v>86.8</v>
      </c>
      <c r="G411" s="246" t="n">
        <v>21.8</v>
      </c>
      <c r="H411" s="246" t="n">
        <v>-2.5</v>
      </c>
      <c r="I411" s="246" t="n">
        <v>-7.9</v>
      </c>
      <c r="J411" s="246" t="n">
        <v>-40</v>
      </c>
      <c r="K411" s="247" t="inlineStr">
        <is>
          <t>2335 MICOT PHARMA-B</t>
        </is>
      </c>
    </row>
    <row r="412">
      <c r="A412" s="51" t="inlineStr">
        <is>
          <t>Summit Capital</t>
        </is>
      </c>
      <c r="B412" s="243" t="n">
        <v>1</v>
      </c>
      <c r="C412" s="245" t="n">
        <v>100</v>
      </c>
      <c r="D412" s="246" t="n">
        <v>102.8</v>
      </c>
      <c r="E412" s="246" t="n">
        <v>97.59999999999999</v>
      </c>
      <c r="F412" s="246" t="n">
        <v>86.8</v>
      </c>
      <c r="G412" s="246" t="n">
        <v>21.8</v>
      </c>
      <c r="H412" s="246" t="n">
        <v>-2.5</v>
      </c>
      <c r="I412" s="246" t="n">
        <v>-7.9</v>
      </c>
      <c r="J412" s="246" t="n">
        <v>-40</v>
      </c>
      <c r="K412" s="247" t="inlineStr">
        <is>
          <t>2335 MICOT PHARMA-B</t>
        </is>
      </c>
    </row>
    <row r="413">
      <c r="A413" s="51" t="inlineStr">
        <is>
          <t>Orbit Venture Capital Management Co., Limited</t>
        </is>
      </c>
      <c r="B413" s="243" t="n">
        <v>1</v>
      </c>
      <c r="C413" s="245" t="n">
        <v>100</v>
      </c>
      <c r="D413" s="246" t="n">
        <v>102.3</v>
      </c>
      <c r="E413" s="246" t="n">
        <v>124.5</v>
      </c>
      <c r="F413" s="246" t="n">
        <v>112.2</v>
      </c>
      <c r="G413" s="246" t="n">
        <v>100.8</v>
      </c>
      <c r="H413" s="246" t="n">
        <v>11</v>
      </c>
      <c r="I413" s="246" t="n">
        <v>4.9</v>
      </c>
      <c r="J413" s="246" t="n">
        <v>-0.7</v>
      </c>
      <c r="K413" s="247" t="inlineStr">
        <is>
          <t>2720 RIDGE OUTDOOR</t>
        </is>
      </c>
    </row>
    <row r="414">
      <c r="A414" s="51" t="inlineStr">
        <is>
          <t>Hankang Biotech Fund III, L.P</t>
        </is>
      </c>
      <c r="B414" s="243" t="n">
        <v>1</v>
      </c>
      <c r="C414" s="245" t="n">
        <v>100</v>
      </c>
      <c r="D414" s="246" t="n">
        <v>91.7</v>
      </c>
      <c r="E414" s="246" t="n">
        <v>100</v>
      </c>
      <c r="F414" s="246" t="n">
        <v>94.3</v>
      </c>
      <c r="G414" s="246" t="n">
        <v>69.09999999999999</v>
      </c>
      <c r="H414" s="246" t="n">
        <v>4.3</v>
      </c>
      <c r="I414" s="246" t="n">
        <v>1.4</v>
      </c>
      <c r="J414" s="246" t="n">
        <v>-11.8</v>
      </c>
      <c r="K414" s="247" t="inlineStr">
        <is>
          <t>9887 LEADS BIOLABS-B</t>
        </is>
      </c>
    </row>
    <row r="415">
      <c r="A415" s="51" t="inlineStr">
        <is>
          <t>SpreadCom Limited</t>
        </is>
      </c>
      <c r="B415" s="243" t="n">
        <v>1</v>
      </c>
      <c r="C415" s="245" t="n">
        <v>100</v>
      </c>
      <c r="D415" s="246" t="n">
        <v>91.7</v>
      </c>
      <c r="E415" s="246" t="n">
        <v>66.90000000000001</v>
      </c>
      <c r="F415" s="246" t="n">
        <v>61</v>
      </c>
      <c r="G415" s="246" t="n">
        <v>34.5</v>
      </c>
      <c r="H415" s="246" t="n">
        <v>-12.9</v>
      </c>
      <c r="I415" s="246" t="n">
        <v>-16</v>
      </c>
      <c r="J415" s="246" t="n">
        <v>-29.9</v>
      </c>
      <c r="K415" s="247" t="inlineStr">
        <is>
          <t>3310 VIEWTRIX TECH</t>
        </is>
      </c>
    </row>
    <row r="416">
      <c r="A416" s="51" t="inlineStr">
        <is>
          <t>Origin Flair Limited</t>
        </is>
      </c>
      <c r="B416" s="243" t="n">
        <v>1</v>
      </c>
      <c r="C416" s="245" t="n">
        <v>100</v>
      </c>
      <c r="D416" s="246" t="n">
        <v>83.7</v>
      </c>
      <c r="E416" s="246" t="n">
        <v>25.9</v>
      </c>
      <c r="F416" s="246" t="n">
        <v>32.3</v>
      </c>
      <c r="G416" s="246" t="n">
        <v>130.9</v>
      </c>
      <c r="H416" s="246" t="n">
        <v>-31.5</v>
      </c>
      <c r="I416" s="246" t="n">
        <v>-28</v>
      </c>
      <c r="J416" s="246" t="n">
        <v>25.7</v>
      </c>
      <c r="K416" s="247" t="inlineStr">
        <is>
          <t>2125 STRAWBEAR ENT</t>
        </is>
      </c>
    </row>
    <row r="417">
      <c r="A417" s="51" t="inlineStr">
        <is>
          <t>Vipshop International Holdings Limited</t>
        </is>
      </c>
      <c r="B417" s="243" t="n">
        <v>1</v>
      </c>
      <c r="C417" s="245" t="n">
        <v>100</v>
      </c>
      <c r="D417" s="246" t="n">
        <v>83.7</v>
      </c>
      <c r="E417" s="246" t="n">
        <v>25.9</v>
      </c>
      <c r="F417" s="246" t="n">
        <v>32.3</v>
      </c>
      <c r="G417" s="246" t="n">
        <v>130.9</v>
      </c>
      <c r="H417" s="246" t="n">
        <v>-31.5</v>
      </c>
      <c r="I417" s="246" t="n">
        <v>-28</v>
      </c>
      <c r="J417" s="246" t="n">
        <v>25.7</v>
      </c>
      <c r="K417" s="247" t="inlineStr">
        <is>
          <t>2125 STRAWBEAR ENT</t>
        </is>
      </c>
    </row>
    <row r="418">
      <c r="A418" s="51" t="inlineStr">
        <is>
          <t>Shanghai Minhang Financial Investment Development Co., Ltd. (Notes 3 and 7)</t>
        </is>
      </c>
      <c r="B418" s="243" t="n">
        <v>1</v>
      </c>
      <c r="C418" s="245" t="n">
        <v>100</v>
      </c>
      <c r="D418" s="246" t="n">
        <v>80</v>
      </c>
      <c r="E418" s="246" t="n">
        <v>35.7</v>
      </c>
      <c r="F418" s="246" t="n">
        <v>11.2</v>
      </c>
      <c r="G418" s="246" t="n">
        <v>-38.8</v>
      </c>
      <c r="H418" s="246" t="n">
        <v>-24.6</v>
      </c>
      <c r="I418" s="246" t="n">
        <v>-38.2</v>
      </c>
      <c r="J418" s="246" t="n">
        <v>-66</v>
      </c>
      <c r="K418" s="247" t="inlineStr">
        <is>
          <t>7688 TOPNC</t>
        </is>
      </c>
    </row>
    <row r="419">
      <c r="A419" s="51" t="inlineStr">
        <is>
          <t>TT International Asset Management Ltd</t>
        </is>
      </c>
      <c r="B419" s="243" t="n">
        <v>1</v>
      </c>
      <c r="C419" s="245" t="n">
        <v>100</v>
      </c>
      <c r="D419" s="246" t="n">
        <v>80</v>
      </c>
      <c r="E419" s="246" t="n">
        <v>35.7</v>
      </c>
      <c r="F419" s="246" t="n">
        <v>11.2</v>
      </c>
      <c r="G419" s="246" t="n">
        <v>-38.8</v>
      </c>
      <c r="H419" s="246" t="n">
        <v>-24.6</v>
      </c>
      <c r="I419" s="246" t="n">
        <v>-38.2</v>
      </c>
      <c r="J419" s="246" t="n">
        <v>-66</v>
      </c>
      <c r="K419" s="247" t="inlineStr">
        <is>
          <t>7688 TOPNC</t>
        </is>
      </c>
    </row>
    <row r="420">
      <c r="A420" s="51" t="inlineStr">
        <is>
          <t>Jiangbei Pharmaceutical Technology (Hong Kong) Limited</t>
        </is>
      </c>
      <c r="B420" s="243" t="n">
        <v>1</v>
      </c>
      <c r="C420" s="245" t="n">
        <v>100</v>
      </c>
      <c r="D420" s="246" t="n">
        <v>78.7</v>
      </c>
      <c r="E420" s="246" t="n">
        <v>129.3</v>
      </c>
      <c r="F420" s="246" t="n">
        <v>138.8</v>
      </c>
      <c r="G420" s="246" t="n">
        <v>1039.9</v>
      </c>
      <c r="H420" s="246" t="n">
        <v>28.3</v>
      </c>
      <c r="I420" s="246" t="n">
        <v>33.6</v>
      </c>
      <c r="J420" s="246" t="n">
        <v>537.9</v>
      </c>
      <c r="K420" s="247" t="inlineStr">
        <is>
          <t>2617 TRANSTHERA-B</t>
        </is>
      </c>
    </row>
    <row r="421">
      <c r="A421" s="51" t="inlineStr">
        <is>
          <t>Sinohsc Honest Limited</t>
        </is>
      </c>
      <c r="B421" s="243" t="n">
        <v>1</v>
      </c>
      <c r="C421" s="245" t="n">
        <v>100</v>
      </c>
      <c r="D421" s="246" t="n">
        <v>78.7</v>
      </c>
      <c r="E421" s="246" t="n">
        <v>129.3</v>
      </c>
      <c r="F421" s="246" t="n">
        <v>138.8</v>
      </c>
      <c r="G421" s="246" t="n">
        <v>1039.9</v>
      </c>
      <c r="H421" s="246" t="n">
        <v>28.3</v>
      </c>
      <c r="I421" s="246" t="n">
        <v>33.6</v>
      </c>
      <c r="J421" s="246" t="n">
        <v>537.9</v>
      </c>
      <c r="K421" s="247" t="inlineStr">
        <is>
          <t>2617 TRANSTHERA-B</t>
        </is>
      </c>
    </row>
    <row r="422">
      <c r="A422" s="51" t="inlineStr">
        <is>
          <t>Pharmablock Horizon Capital Limited</t>
        </is>
      </c>
      <c r="B422" s="243" t="n">
        <v>1</v>
      </c>
      <c r="C422" s="245" t="n">
        <v>100</v>
      </c>
      <c r="D422" s="246" t="n">
        <v>78.7</v>
      </c>
      <c r="E422" s="246" t="n">
        <v>129.3</v>
      </c>
      <c r="F422" s="246" t="n">
        <v>138.8</v>
      </c>
      <c r="G422" s="246" t="n">
        <v>1039.9</v>
      </c>
      <c r="H422" s="246" t="n">
        <v>28.3</v>
      </c>
      <c r="I422" s="246" t="n">
        <v>33.6</v>
      </c>
      <c r="J422" s="246" t="n">
        <v>537.9</v>
      </c>
      <c r="K422" s="247" t="inlineStr">
        <is>
          <t>2617 TRANSTHERA-B</t>
        </is>
      </c>
    </row>
    <row r="423">
      <c r="A423" s="51" t="inlineStr">
        <is>
          <t>Kelingan (Hong Kong) Technology Co., Limited</t>
        </is>
      </c>
      <c r="B423" s="243" t="n">
        <v>1</v>
      </c>
      <c r="C423" s="245" t="n">
        <v>100</v>
      </c>
      <c r="D423" s="246" t="n">
        <v>78.7</v>
      </c>
      <c r="E423" s="246" t="n">
        <v>129.3</v>
      </c>
      <c r="F423" s="246" t="n">
        <v>138.8</v>
      </c>
      <c r="G423" s="246" t="n">
        <v>1039.9</v>
      </c>
      <c r="H423" s="246" t="n">
        <v>28.3</v>
      </c>
      <c r="I423" s="246" t="n">
        <v>33.6</v>
      </c>
      <c r="J423" s="246" t="n">
        <v>537.9</v>
      </c>
      <c r="K423" s="247" t="inlineStr">
        <is>
          <t>2617 TRANSTHERA-B</t>
        </is>
      </c>
    </row>
    <row r="424">
      <c r="A424" s="51" t="inlineStr">
        <is>
          <t>AKESO,INC</t>
        </is>
      </c>
      <c r="B424" s="243" t="n">
        <v>1</v>
      </c>
      <c r="C424" s="245" t="n">
        <v>100</v>
      </c>
      <c r="D424" s="246" t="n">
        <v>78.7</v>
      </c>
      <c r="E424" s="246" t="n">
        <v>129.3</v>
      </c>
      <c r="F424" s="246" t="n">
        <v>138.8</v>
      </c>
      <c r="G424" s="246" t="n">
        <v>1039.9</v>
      </c>
      <c r="H424" s="246" t="n">
        <v>28.3</v>
      </c>
      <c r="I424" s="246" t="n">
        <v>33.6</v>
      </c>
      <c r="J424" s="246" t="n">
        <v>537.9</v>
      </c>
      <c r="K424" s="247" t="inlineStr">
        <is>
          <t>2617 TRANSTHERA-B</t>
        </is>
      </c>
    </row>
    <row r="425">
      <c r="A425" s="51" t="inlineStr">
        <is>
          <t>Qiming Venture Partners</t>
        </is>
      </c>
      <c r="B425" s="243" t="n">
        <v>1</v>
      </c>
      <c r="C425" s="245" t="n">
        <v>100</v>
      </c>
      <c r="D425" s="246" t="n">
        <v>75.8</v>
      </c>
      <c r="E425" s="246" t="n">
        <v>73.8</v>
      </c>
      <c r="F425" s="246" t="n">
        <v>67.3</v>
      </c>
      <c r="G425" s="246" t="n">
        <v>75.3</v>
      </c>
      <c r="H425" s="246" t="n">
        <v>-1.2</v>
      </c>
      <c r="I425" s="246" t="n">
        <v>-4.8</v>
      </c>
      <c r="J425" s="246" t="n">
        <v>-0.3</v>
      </c>
      <c r="K425" s="247" t="inlineStr">
        <is>
          <t>6082 BIREN TECH</t>
        </is>
      </c>
    </row>
    <row r="426">
      <c r="A426" s="51" t="inlineStr">
        <is>
          <t>QM125 Limited</t>
        </is>
      </c>
      <c r="B426" s="243" t="n">
        <v>1</v>
      </c>
      <c r="C426" s="245" t="n">
        <v>100</v>
      </c>
      <c r="D426" s="246" t="n">
        <v>75.8</v>
      </c>
      <c r="E426" s="246" t="n">
        <v>73.8</v>
      </c>
      <c r="F426" s="246" t="n">
        <v>67.3</v>
      </c>
      <c r="G426" s="246" t="n">
        <v>75.3</v>
      </c>
      <c r="H426" s="246" t="n">
        <v>-1.2</v>
      </c>
      <c r="I426" s="246" t="n">
        <v>-4.8</v>
      </c>
      <c r="J426" s="246" t="n">
        <v>-0.3</v>
      </c>
      <c r="K426" s="247" t="inlineStr">
        <is>
          <t>6082 BIREN TECH</t>
        </is>
      </c>
    </row>
    <row r="427">
      <c r="A427" s="51" t="inlineStr">
        <is>
          <t>QM120 Limited</t>
        </is>
      </c>
      <c r="B427" s="243" t="n">
        <v>1</v>
      </c>
      <c r="C427" s="245" t="n">
        <v>100</v>
      </c>
      <c r="D427" s="246" t="n">
        <v>75.8</v>
      </c>
      <c r="E427" s="246" t="n">
        <v>73.8</v>
      </c>
      <c r="F427" s="246" t="n">
        <v>67.3</v>
      </c>
      <c r="G427" s="246" t="n">
        <v>75.3</v>
      </c>
      <c r="H427" s="246" t="n">
        <v>-1.2</v>
      </c>
      <c r="I427" s="246" t="n">
        <v>-4.8</v>
      </c>
      <c r="J427" s="246" t="n">
        <v>-0.3</v>
      </c>
      <c r="K427" s="247" t="inlineStr">
        <is>
          <t>6082 BIREN TECH</t>
        </is>
      </c>
    </row>
    <row r="428">
      <c r="A428" s="51" t="inlineStr">
        <is>
          <t>Aspirational China Growth GP Limited</t>
        </is>
      </c>
      <c r="B428" s="243" t="n">
        <v>1</v>
      </c>
      <c r="C428" s="245" t="n">
        <v>100</v>
      </c>
      <c r="D428" s="246" t="n">
        <v>75.8</v>
      </c>
      <c r="E428" s="246" t="n">
        <v>73.8</v>
      </c>
      <c r="F428" s="246" t="n">
        <v>67.3</v>
      </c>
      <c r="G428" s="246" t="n">
        <v>75.3</v>
      </c>
      <c r="H428" s="246" t="n">
        <v>-1.2</v>
      </c>
      <c r="I428" s="246" t="n">
        <v>-4.8</v>
      </c>
      <c r="J428" s="246" t="n">
        <v>-0.3</v>
      </c>
      <c r="K428" s="247" t="inlineStr">
        <is>
          <t>6082 BIREN TECH</t>
        </is>
      </c>
    </row>
    <row r="429">
      <c r="A429" s="51" t="inlineStr">
        <is>
          <t>Jinxiu 608 and GTJA HK (in connection with the GTJA Back-to-back TRS and Zhonghe OTC Swaps)</t>
        </is>
      </c>
      <c r="B429" s="243" t="n">
        <v>1</v>
      </c>
      <c r="C429" s="245" t="n">
        <v>100</v>
      </c>
      <c r="D429" s="246" t="n">
        <v>75.8</v>
      </c>
      <c r="E429" s="246" t="n">
        <v>73.8</v>
      </c>
      <c r="F429" s="246" t="n">
        <v>67.3</v>
      </c>
      <c r="G429" s="246" t="n">
        <v>75.3</v>
      </c>
      <c r="H429" s="246" t="n">
        <v>-1.2</v>
      </c>
      <c r="I429" s="246" t="n">
        <v>-4.8</v>
      </c>
      <c r="J429" s="246" t="n">
        <v>-0.3</v>
      </c>
      <c r="K429" s="247" t="inlineStr">
        <is>
          <t>6082 BIREN TECH</t>
        </is>
      </c>
    </row>
    <row r="430">
      <c r="A430" s="51" t="inlineStr">
        <is>
          <t>Yeebo Alpha Limited</t>
        </is>
      </c>
      <c r="B430" s="243" t="n">
        <v>1</v>
      </c>
      <c r="C430" s="245" t="n">
        <v>100</v>
      </c>
      <c r="D430" s="246" t="n">
        <v>75.8</v>
      </c>
      <c r="E430" s="246" t="n">
        <v>73.8</v>
      </c>
      <c r="F430" s="246" t="n">
        <v>67.3</v>
      </c>
      <c r="G430" s="246" t="n">
        <v>75.3</v>
      </c>
      <c r="H430" s="246" t="n">
        <v>-1.2</v>
      </c>
      <c r="I430" s="246" t="n">
        <v>-4.8</v>
      </c>
      <c r="J430" s="246" t="n">
        <v>-0.3</v>
      </c>
      <c r="K430" s="247" t="inlineStr">
        <is>
          <t>6082 BIREN TECH</t>
        </is>
      </c>
    </row>
    <row r="431">
      <c r="A431" s="51" t="inlineStr">
        <is>
          <t>Tessy Holding Limited</t>
        </is>
      </c>
      <c r="B431" s="243" t="n">
        <v>1</v>
      </c>
      <c r="C431" s="245" t="n">
        <v>100</v>
      </c>
      <c r="D431" s="246" t="n">
        <v>75.8</v>
      </c>
      <c r="E431" s="246" t="n">
        <v>73.8</v>
      </c>
      <c r="F431" s="246" t="n">
        <v>67.3</v>
      </c>
      <c r="G431" s="246" t="n">
        <v>75.3</v>
      </c>
      <c r="H431" s="246" t="n">
        <v>-1.2</v>
      </c>
      <c r="I431" s="246" t="n">
        <v>-4.8</v>
      </c>
      <c r="J431" s="246" t="n">
        <v>-0.3</v>
      </c>
      <c r="K431" s="247" t="inlineStr">
        <is>
          <t>6082 BIREN TECH</t>
        </is>
      </c>
    </row>
    <row r="432">
      <c r="A432" s="51" t="inlineStr">
        <is>
          <t>New Opportunities SPC</t>
        </is>
      </c>
      <c r="B432" s="243" t="n">
        <v>1</v>
      </c>
      <c r="C432" s="245" t="n">
        <v>100</v>
      </c>
      <c r="D432" s="246" t="n">
        <v>75.8</v>
      </c>
      <c r="E432" s="246" t="n">
        <v>73.8</v>
      </c>
      <c r="F432" s="246" t="n">
        <v>67.3</v>
      </c>
      <c r="G432" s="246" t="n">
        <v>75.3</v>
      </c>
      <c r="H432" s="246" t="n">
        <v>-1.2</v>
      </c>
      <c r="I432" s="246" t="n">
        <v>-4.8</v>
      </c>
      <c r="J432" s="246" t="n">
        <v>-0.3</v>
      </c>
      <c r="K432" s="247" t="inlineStr">
        <is>
          <t>6082 BIREN TECH</t>
        </is>
      </c>
    </row>
    <row r="433">
      <c r="A433" s="51" t="inlineStr">
        <is>
          <t>Protium Capital Limited</t>
        </is>
      </c>
      <c r="B433" s="243" t="n">
        <v>1</v>
      </c>
      <c r="C433" s="245" t="n">
        <v>100</v>
      </c>
      <c r="D433" s="246" t="n">
        <v>75.5</v>
      </c>
      <c r="E433" s="246" t="n">
        <v>112.4</v>
      </c>
      <c r="F433" s="246" t="n">
        <v>107.6</v>
      </c>
      <c r="G433" s="246" t="n">
        <v>81.40000000000001</v>
      </c>
      <c r="H433" s="246" t="n">
        <v>21</v>
      </c>
      <c r="I433" s="246" t="n">
        <v>18.3</v>
      </c>
      <c r="J433" s="246" t="n">
        <v>3.4</v>
      </c>
      <c r="K433" s="247" t="inlineStr">
        <is>
          <t>3277 GPIXEL</t>
        </is>
      </c>
    </row>
    <row r="434">
      <c r="A434" s="51" t="inlineStr">
        <is>
          <t>Voyage42 Master Fund</t>
        </is>
      </c>
      <c r="B434" s="243" t="n">
        <v>1</v>
      </c>
      <c r="C434" s="245" t="n">
        <v>100</v>
      </c>
      <c r="D434" s="246" t="n">
        <v>75.5</v>
      </c>
      <c r="E434" s="246" t="n">
        <v>112.4</v>
      </c>
      <c r="F434" s="246" t="n">
        <v>107.6</v>
      </c>
      <c r="G434" s="246" t="n">
        <v>81.40000000000001</v>
      </c>
      <c r="H434" s="246" t="n">
        <v>21</v>
      </c>
      <c r="I434" s="246" t="n">
        <v>18.3</v>
      </c>
      <c r="J434" s="246" t="n">
        <v>3.4</v>
      </c>
      <c r="K434" s="247" t="inlineStr">
        <is>
          <t>3277 GPIXEL</t>
        </is>
      </c>
    </row>
    <row r="435">
      <c r="A435" s="51" t="inlineStr">
        <is>
          <t>China Asset Management Co., Ltd. Notes 3&amp;6</t>
        </is>
      </c>
      <c r="B435" s="243" t="n">
        <v>1</v>
      </c>
      <c r="C435" s="245" t="n">
        <v>100</v>
      </c>
      <c r="D435" s="246" t="n">
        <v>75.5</v>
      </c>
      <c r="E435" s="246" t="n">
        <v>112.4</v>
      </c>
      <c r="F435" s="246" t="n">
        <v>107.6</v>
      </c>
      <c r="G435" s="246" t="n">
        <v>81.40000000000001</v>
      </c>
      <c r="H435" s="246" t="n">
        <v>21</v>
      </c>
      <c r="I435" s="246" t="n">
        <v>18.3</v>
      </c>
      <c r="J435" s="246" t="n">
        <v>3.4</v>
      </c>
      <c r="K435" s="247" t="inlineStr">
        <is>
          <t>3277 GPIXEL</t>
        </is>
      </c>
    </row>
    <row r="436">
      <c r="A436" s="51" t="inlineStr">
        <is>
          <t>China Merchants Securities Investment Management (Hong Kong) Company Limited</t>
        </is>
      </c>
      <c r="B436" s="243" t="n">
        <v>1</v>
      </c>
      <c r="C436" s="245" t="n">
        <v>100</v>
      </c>
      <c r="D436" s="246" t="n">
        <v>75.5</v>
      </c>
      <c r="E436" s="246" t="n">
        <v>112.4</v>
      </c>
      <c r="F436" s="246" t="n">
        <v>107.6</v>
      </c>
      <c r="G436" s="246" t="n">
        <v>81.40000000000001</v>
      </c>
      <c r="H436" s="246" t="n">
        <v>21</v>
      </c>
      <c r="I436" s="246" t="n">
        <v>18.3</v>
      </c>
      <c r="J436" s="246" t="n">
        <v>3.4</v>
      </c>
      <c r="K436" s="247" t="inlineStr">
        <is>
          <t>3277 GPIXEL</t>
        </is>
      </c>
    </row>
    <row r="437">
      <c r="A437" s="51" t="inlineStr">
        <is>
          <t>Southern Asset Management Co., Ltd. CPE Greater China Enterprises Growth Fund</t>
        </is>
      </c>
      <c r="B437" s="243" t="n">
        <v>1</v>
      </c>
      <c r="C437" s="245" t="n">
        <v>100</v>
      </c>
      <c r="D437" s="246" t="n">
        <v>72.8</v>
      </c>
      <c r="E437" s="246" t="n">
        <v>110.4</v>
      </c>
      <c r="F437" s="246" t="n">
        <v>104.9</v>
      </c>
      <c r="G437" s="246" t="n">
        <v>263</v>
      </c>
      <c r="H437" s="246" t="n">
        <v>21.7</v>
      </c>
      <c r="I437" s="246" t="n">
        <v>18.6</v>
      </c>
      <c r="J437" s="246" t="n">
        <v>110</v>
      </c>
      <c r="K437" s="247" t="inlineStr">
        <is>
          <t>6181 LAOPU GOLD</t>
        </is>
      </c>
    </row>
    <row r="438">
      <c r="A438" s="51" t="inlineStr">
        <is>
          <t>Dao Yi Capital Limited</t>
        </is>
      </c>
      <c r="B438" s="243" t="n">
        <v>1</v>
      </c>
      <c r="C438" s="245" t="n">
        <v>100</v>
      </c>
      <c r="D438" s="246" t="n">
        <v>68.5</v>
      </c>
      <c r="E438" s="246" t="n">
        <v>97.40000000000001</v>
      </c>
      <c r="F438" s="246" t="n">
        <v>81.5</v>
      </c>
      <c r="G438" s="246" t="n">
        <v>100.7</v>
      </c>
      <c r="H438" s="246" t="n">
        <v>17.2</v>
      </c>
      <c r="I438" s="246" t="n">
        <v>7.7</v>
      </c>
      <c r="J438" s="246" t="n">
        <v>19.2</v>
      </c>
      <c r="K438" s="247" t="inlineStr">
        <is>
          <t>2259 ZIJIN GOLD INTL</t>
        </is>
      </c>
    </row>
    <row r="439">
      <c r="A439" s="51" t="inlineStr">
        <is>
          <t>Globe Asia Investments Limited</t>
        </is>
      </c>
      <c r="B439" s="243" t="n">
        <v>1</v>
      </c>
      <c r="C439" s="245" t="n">
        <v>100</v>
      </c>
      <c r="D439" s="246" t="n">
        <v>68.5</v>
      </c>
      <c r="E439" s="246" t="n">
        <v>97.40000000000001</v>
      </c>
      <c r="F439" s="246" t="n">
        <v>81.5</v>
      </c>
      <c r="G439" s="246" t="n">
        <v>100.7</v>
      </c>
      <c r="H439" s="246" t="n">
        <v>17.2</v>
      </c>
      <c r="I439" s="246" t="n">
        <v>7.7</v>
      </c>
      <c r="J439" s="246" t="n">
        <v>19.2</v>
      </c>
      <c r="K439" s="247" t="inlineStr">
        <is>
          <t>2259 ZIJIN GOLD INTL</t>
        </is>
      </c>
    </row>
    <row r="440">
      <c r="A440" s="51" t="inlineStr">
        <is>
          <t>AGIC Partners Holding (Cayman) II Limited</t>
        </is>
      </c>
      <c r="B440" s="243" t="n">
        <v>1</v>
      </c>
      <c r="C440" s="245" t="n">
        <v>100</v>
      </c>
      <c r="D440" s="246" t="n">
        <v>63.7</v>
      </c>
      <c r="E440" s="246" t="n">
        <v>97.40000000000001</v>
      </c>
      <c r="F440" s="246" t="n">
        <v>64.2</v>
      </c>
      <c r="G440" s="246" t="n">
        <v>312.4</v>
      </c>
      <c r="H440" s="246" t="n">
        <v>20.6</v>
      </c>
      <c r="I440" s="246" t="n">
        <v>0.3</v>
      </c>
      <c r="J440" s="246" t="n">
        <v>151.9</v>
      </c>
      <c r="K440" s="247" t="inlineStr">
        <is>
          <t>6809 MONTAGE TECH</t>
        </is>
      </c>
    </row>
    <row r="441">
      <c r="A441" s="51" t="inlineStr">
        <is>
          <t>YSC Go (BVI) Limited</t>
        </is>
      </c>
      <c r="B441" s="243" t="n">
        <v>1</v>
      </c>
      <c r="C441" s="245" t="n">
        <v>100</v>
      </c>
      <c r="D441" s="246" t="n">
        <v>58.3</v>
      </c>
      <c r="E441" s="246" t="n">
        <v>17.6</v>
      </c>
      <c r="F441" s="246" t="n">
        <v>-11.1</v>
      </c>
      <c r="G441" s="246" t="n">
        <v>-14</v>
      </c>
      <c r="H441" s="246" t="n">
        <v>-25.7</v>
      </c>
      <c r="I441" s="246" t="n">
        <v>-43.8</v>
      </c>
      <c r="J441" s="246" t="n">
        <v>-45.7</v>
      </c>
      <c r="K441" s="247" t="inlineStr">
        <is>
          <t>2549 CAROTE LTD</t>
        </is>
      </c>
    </row>
    <row r="442">
      <c r="A442" s="51" t="inlineStr">
        <is>
          <t>CDG Group Fund L.P</t>
        </is>
      </c>
      <c r="B442" s="243" t="n">
        <v>1</v>
      </c>
      <c r="C442" s="245" t="n">
        <v>100</v>
      </c>
      <c r="D442" s="246" t="n">
        <v>54.3</v>
      </c>
      <c r="E442" s="246" t="n">
        <v>59.7</v>
      </c>
      <c r="F442" s="246" t="n">
        <v>29.5</v>
      </c>
      <c r="G442" s="246" t="n">
        <v>27.5</v>
      </c>
      <c r="H442" s="246" t="n">
        <v>3.5</v>
      </c>
      <c r="I442" s="246" t="n">
        <v>-16</v>
      </c>
      <c r="J442" s="246" t="n">
        <v>-17.3</v>
      </c>
      <c r="K442" s="247" t="inlineStr">
        <is>
          <t>2160 CARDIOFLOW-B</t>
        </is>
      </c>
    </row>
    <row r="443">
      <c r="A443" s="51" t="inlineStr">
        <is>
          <t>Kunlun Group Limited</t>
        </is>
      </c>
      <c r="B443" s="243" t="n">
        <v>1</v>
      </c>
      <c r="C443" s="245" t="n">
        <v>100</v>
      </c>
      <c r="D443" s="246" t="n">
        <v>54.3</v>
      </c>
      <c r="E443" s="246" t="n">
        <v>59.7</v>
      </c>
      <c r="F443" s="246" t="n">
        <v>29.5</v>
      </c>
      <c r="G443" s="246" t="n">
        <v>27.5</v>
      </c>
      <c r="H443" s="246" t="n">
        <v>3.5</v>
      </c>
      <c r="I443" s="246" t="n">
        <v>-16</v>
      </c>
      <c r="J443" s="246" t="n">
        <v>-17.3</v>
      </c>
      <c r="K443" s="247" t="inlineStr">
        <is>
          <t>2160 CARDIOFLOW-B</t>
        </is>
      </c>
    </row>
    <row r="444">
      <c r="A444" s="51" t="inlineStr">
        <is>
          <t>Tybourne Capital Management (HK) Limited</t>
        </is>
      </c>
      <c r="B444" s="243" t="n">
        <v>1</v>
      </c>
      <c r="C444" s="245" t="n">
        <v>100</v>
      </c>
      <c r="D444" s="246" t="n">
        <v>54.3</v>
      </c>
      <c r="E444" s="246" t="n">
        <v>59.7</v>
      </c>
      <c r="F444" s="246" t="n">
        <v>29.5</v>
      </c>
      <c r="G444" s="246" t="n">
        <v>27.5</v>
      </c>
      <c r="H444" s="246" t="n">
        <v>3.5</v>
      </c>
      <c r="I444" s="246" t="n">
        <v>-16</v>
      </c>
      <c r="J444" s="246" t="n">
        <v>-17.3</v>
      </c>
      <c r="K444" s="247" t="inlineStr">
        <is>
          <t>2160 CARDIOFLOW-B</t>
        </is>
      </c>
    </row>
    <row r="445">
      <c r="A445" s="51" t="inlineStr">
        <is>
          <t>Woodline Master Fund LP</t>
        </is>
      </c>
      <c r="B445" s="243" t="n">
        <v>1</v>
      </c>
      <c r="C445" s="245" t="n">
        <v>100</v>
      </c>
      <c r="D445" s="246" t="n">
        <v>54.3</v>
      </c>
      <c r="E445" s="246" t="n">
        <v>59.7</v>
      </c>
      <c r="F445" s="246" t="n">
        <v>29.5</v>
      </c>
      <c r="G445" s="246" t="n">
        <v>27.5</v>
      </c>
      <c r="H445" s="246" t="n">
        <v>3.5</v>
      </c>
      <c r="I445" s="246" t="n">
        <v>-16</v>
      </c>
      <c r="J445" s="246" t="n">
        <v>-17.3</v>
      </c>
      <c r="K445" s="247" t="inlineStr">
        <is>
          <t>2160 CARDIOFLOW-B</t>
        </is>
      </c>
    </row>
    <row r="446">
      <c r="A446" s="51" t="inlineStr">
        <is>
          <t>Smart Ventures Limited</t>
        </is>
      </c>
      <c r="B446" s="243" t="n">
        <v>1</v>
      </c>
      <c r="C446" s="245" t="n">
        <v>100</v>
      </c>
      <c r="D446" s="246" t="n">
        <v>53.6</v>
      </c>
      <c r="E446" s="246" t="n">
        <v>99</v>
      </c>
      <c r="F446" s="246" t="n">
        <v>68</v>
      </c>
      <c r="G446" s="246" t="n">
        <v>110.5</v>
      </c>
      <c r="H446" s="246" t="n">
        <v>29.6</v>
      </c>
      <c r="I446" s="246" t="n">
        <v>9.4</v>
      </c>
      <c r="J446" s="246" t="n">
        <v>37.1</v>
      </c>
      <c r="K446" s="247" t="inlineStr">
        <is>
          <t>2889 PATEO</t>
        </is>
      </c>
    </row>
    <row r="447">
      <c r="A447" s="51" t="inlineStr">
        <is>
          <t>Juzi Holding Co., Ltd</t>
        </is>
      </c>
      <c r="B447" s="243" t="n">
        <v>1</v>
      </c>
      <c r="C447" s="245" t="n">
        <v>100</v>
      </c>
      <c r="D447" s="246" t="n">
        <v>53.5</v>
      </c>
      <c r="E447" s="246" t="n">
        <v>56.3</v>
      </c>
      <c r="F447" s="246" t="n">
        <v>46</v>
      </c>
      <c r="G447" s="246" t="n">
        <v>58.6</v>
      </c>
      <c r="H447" s="246" t="n">
        <v>1.9</v>
      </c>
      <c r="I447" s="246" t="n">
        <v>-4.9</v>
      </c>
      <c r="J447" s="246" t="n">
        <v>3.4</v>
      </c>
      <c r="K447" s="247" t="inlineStr">
        <is>
          <t>2373 BEAUTYFARM MED</t>
        </is>
      </c>
    </row>
    <row r="448">
      <c r="A448" s="51" t="inlineStr">
        <is>
          <t>CA Fern Parent</t>
        </is>
      </c>
      <c r="B448" s="243" t="n">
        <v>1</v>
      </c>
      <c r="C448" s="245" t="n">
        <v>100</v>
      </c>
      <c r="D448" s="246" t="n">
        <v>50.4</v>
      </c>
      <c r="E448" s="246" t="n">
        <v>42</v>
      </c>
      <c r="F448" s="246" t="n">
        <v>76.09999999999999</v>
      </c>
      <c r="G448" s="246" t="n">
        <v>44.3</v>
      </c>
      <c r="H448" s="246" t="n">
        <v>-5.5</v>
      </c>
      <c r="I448" s="246" t="n">
        <v>17.1</v>
      </c>
      <c r="J448" s="246" t="n">
        <v>-4.1</v>
      </c>
      <c r="K448" s="247" t="inlineStr">
        <is>
          <t>0013 HUTCHMED</t>
        </is>
      </c>
    </row>
    <row r="449">
      <c r="A449" s="51" t="inlineStr">
        <is>
          <t>HBM Healthcare Investments (Cayman) Ltd</t>
        </is>
      </c>
      <c r="B449" s="243" t="n">
        <v>1</v>
      </c>
      <c r="C449" s="245" t="n">
        <v>100</v>
      </c>
      <c r="D449" s="246" t="n">
        <v>50.4</v>
      </c>
      <c r="E449" s="246" t="n">
        <v>42</v>
      </c>
      <c r="F449" s="246" t="n">
        <v>76.09999999999999</v>
      </c>
      <c r="G449" s="246" t="n">
        <v>44.3</v>
      </c>
      <c r="H449" s="246" t="n">
        <v>-5.5</v>
      </c>
      <c r="I449" s="246" t="n">
        <v>17.1</v>
      </c>
      <c r="J449" s="246" t="n">
        <v>-4.1</v>
      </c>
      <c r="K449" s="247" t="inlineStr">
        <is>
          <t>0013 HUTCHMED</t>
        </is>
      </c>
    </row>
    <row r="450">
      <c r="A450" s="51" t="inlineStr">
        <is>
          <t>Cloudview Capital Limited</t>
        </is>
      </c>
      <c r="B450" s="243" t="n">
        <v>1</v>
      </c>
      <c r="C450" s="245" t="n">
        <v>100</v>
      </c>
      <c r="D450" s="246" t="n">
        <v>50.1</v>
      </c>
      <c r="E450" s="246" t="n">
        <v>42.9</v>
      </c>
      <c r="F450" s="246" t="n">
        <v>65</v>
      </c>
      <c r="G450" s="246" t="n">
        <v>9.6</v>
      </c>
      <c r="H450" s="246" t="n">
        <v>-4.8</v>
      </c>
      <c r="I450" s="246" t="n">
        <v>9.9</v>
      </c>
      <c r="J450" s="246" t="n">
        <v>-27</v>
      </c>
      <c r="K450" s="247" t="inlineStr">
        <is>
          <t>2476 VGT</t>
        </is>
      </c>
    </row>
    <row r="451">
      <c r="A451" s="51" t="inlineStr">
        <is>
          <t>Golden K2 Falcon Open-ended Fund Company</t>
        </is>
      </c>
      <c r="B451" s="243" t="n">
        <v>1</v>
      </c>
      <c r="C451" s="245" t="n">
        <v>100</v>
      </c>
      <c r="D451" s="246" t="n">
        <v>50.1</v>
      </c>
      <c r="E451" s="246" t="n">
        <v>42.9</v>
      </c>
      <c r="F451" s="246" t="n">
        <v>65</v>
      </c>
      <c r="G451" s="246" t="n">
        <v>9.6</v>
      </c>
      <c r="H451" s="246" t="n">
        <v>-4.8</v>
      </c>
      <c r="I451" s="246" t="n">
        <v>9.9</v>
      </c>
      <c r="J451" s="246" t="n">
        <v>-27</v>
      </c>
      <c r="K451" s="247" t="inlineStr">
        <is>
          <t>2476 VGT</t>
        </is>
      </c>
    </row>
    <row r="452">
      <c r="A452" s="51" t="inlineStr">
        <is>
          <t>Mr. Ye Guofu</t>
        </is>
      </c>
      <c r="B452" s="243" t="n">
        <v>1</v>
      </c>
      <c r="C452" s="245" t="n">
        <v>100</v>
      </c>
      <c r="D452" s="246" t="n">
        <v>50.1</v>
      </c>
      <c r="E452" s="246" t="n">
        <v>42.9</v>
      </c>
      <c r="F452" s="246" t="n">
        <v>65</v>
      </c>
      <c r="G452" s="246" t="n">
        <v>9.6</v>
      </c>
      <c r="H452" s="246" t="n">
        <v>-4.8</v>
      </c>
      <c r="I452" s="246" t="n">
        <v>9.9</v>
      </c>
      <c r="J452" s="246" t="n">
        <v>-27</v>
      </c>
      <c r="K452" s="247" t="inlineStr">
        <is>
          <t>2476 VGT</t>
        </is>
      </c>
    </row>
    <row r="453">
      <c r="A453" s="51" t="inlineStr">
        <is>
          <t>SR Wealth Securities Limited</t>
        </is>
      </c>
      <c r="B453" s="243" t="n">
        <v>1</v>
      </c>
      <c r="C453" s="245" t="n">
        <v>100</v>
      </c>
      <c r="D453" s="246" t="n">
        <v>50.1</v>
      </c>
      <c r="E453" s="246" t="n">
        <v>42.9</v>
      </c>
      <c r="F453" s="246" t="n">
        <v>65</v>
      </c>
      <c r="G453" s="246" t="n">
        <v>9.6</v>
      </c>
      <c r="H453" s="246" t="n">
        <v>-4.8</v>
      </c>
      <c r="I453" s="246" t="n">
        <v>9.9</v>
      </c>
      <c r="J453" s="246" t="n">
        <v>-27</v>
      </c>
      <c r="K453" s="247" t="inlineStr">
        <is>
          <t>2476 VGT</t>
        </is>
      </c>
    </row>
    <row r="454">
      <c r="A454" s="51" t="inlineStr">
        <is>
          <t>Tanwan Inc</t>
        </is>
      </c>
      <c r="B454" s="243" t="n">
        <v>1</v>
      </c>
      <c r="C454" s="245" t="n">
        <v>100</v>
      </c>
      <c r="D454" s="246" t="n">
        <v>50.1</v>
      </c>
      <c r="E454" s="246" t="n">
        <v>42.9</v>
      </c>
      <c r="F454" s="246" t="n">
        <v>65</v>
      </c>
      <c r="G454" s="246" t="n">
        <v>9.6</v>
      </c>
      <c r="H454" s="246" t="n">
        <v>-4.8</v>
      </c>
      <c r="I454" s="246" t="n">
        <v>9.9</v>
      </c>
      <c r="J454" s="246" t="n">
        <v>-27</v>
      </c>
      <c r="K454" s="247" t="inlineStr">
        <is>
          <t>2476 VGT</t>
        </is>
      </c>
    </row>
    <row r="455">
      <c r="A455" s="51" t="inlineStr">
        <is>
          <t>Yong Rong (HK) Asset Management Limited</t>
        </is>
      </c>
      <c r="B455" s="243" t="n">
        <v>1</v>
      </c>
      <c r="C455" s="245" t="n">
        <v>100</v>
      </c>
      <c r="D455" s="246" t="n">
        <v>50.1</v>
      </c>
      <c r="E455" s="246" t="n">
        <v>42.9</v>
      </c>
      <c r="F455" s="246" t="n">
        <v>65</v>
      </c>
      <c r="G455" s="246" t="n">
        <v>9.6</v>
      </c>
      <c r="H455" s="246" t="n">
        <v>-4.8</v>
      </c>
      <c r="I455" s="246" t="n">
        <v>9.9</v>
      </c>
      <c r="J455" s="246" t="n">
        <v>-27</v>
      </c>
      <c r="K455" s="247" t="inlineStr">
        <is>
          <t>2476 VGT</t>
        </is>
      </c>
    </row>
    <row r="456">
      <c r="A456" s="51" t="inlineStr">
        <is>
          <t>Ding Shijia</t>
        </is>
      </c>
      <c r="B456" s="243" t="n">
        <v>1</v>
      </c>
      <c r="C456" s="245" t="n">
        <v>100</v>
      </c>
      <c r="D456" s="246" t="n">
        <v>47.8</v>
      </c>
      <c r="E456" s="246" t="n">
        <v>17.2</v>
      </c>
      <c r="F456" s="246" t="n">
        <v>6.9</v>
      </c>
      <c r="G456" s="246" t="n">
        <v>-1.2</v>
      </c>
      <c r="H456" s="246" t="n">
        <v>-20.7</v>
      </c>
      <c r="I456" s="246" t="n">
        <v>-27.7</v>
      </c>
      <c r="J456" s="246" t="n">
        <v>-33.2</v>
      </c>
      <c r="K456" s="247" t="inlineStr">
        <is>
          <t>2306 YH ENT</t>
        </is>
      </c>
    </row>
    <row r="457">
      <c r="A457" s="51" t="inlineStr">
        <is>
          <t>Maoyan Entertainment (HK) Limited</t>
        </is>
      </c>
      <c r="B457" s="243" t="n">
        <v>1</v>
      </c>
      <c r="C457" s="245" t="n">
        <v>100</v>
      </c>
      <c r="D457" s="246" t="n">
        <v>47.8</v>
      </c>
      <c r="E457" s="246" t="n">
        <v>17.2</v>
      </c>
      <c r="F457" s="246" t="n">
        <v>6.9</v>
      </c>
      <c r="G457" s="246" t="n">
        <v>-1.2</v>
      </c>
      <c r="H457" s="246" t="n">
        <v>-20.7</v>
      </c>
      <c r="I457" s="246" t="n">
        <v>-27.7</v>
      </c>
      <c r="J457" s="246" t="n">
        <v>-33.2</v>
      </c>
      <c r="K457" s="247" t="inlineStr">
        <is>
          <t>2306 YH ENT</t>
        </is>
      </c>
    </row>
    <row r="458">
      <c r="A458" s="51" t="inlineStr">
        <is>
          <t>Sun Mass Energy Development Limited</t>
        </is>
      </c>
      <c r="B458" s="243" t="n">
        <v>1</v>
      </c>
      <c r="C458" s="245" t="n">
        <v>100</v>
      </c>
      <c r="D458" s="246" t="n">
        <v>47.8</v>
      </c>
      <c r="E458" s="246" t="n">
        <v>17.2</v>
      </c>
      <c r="F458" s="246" t="n">
        <v>6.9</v>
      </c>
      <c r="G458" s="246" t="n">
        <v>-1.2</v>
      </c>
      <c r="H458" s="246" t="n">
        <v>-20.7</v>
      </c>
      <c r="I458" s="246" t="n">
        <v>-27.7</v>
      </c>
      <c r="J458" s="246" t="n">
        <v>-33.2</v>
      </c>
      <c r="K458" s="247" t="inlineStr">
        <is>
          <t>2306 YH ENT</t>
        </is>
      </c>
    </row>
    <row r="459">
      <c r="A459" s="51" t="inlineStr">
        <is>
          <t>4 Golden Continent Global Vision Open- ended Fund Company- Value Opportunity Fund N0.2</t>
        </is>
      </c>
      <c r="B459" s="243" t="n">
        <v>1</v>
      </c>
      <c r="C459" s="245" t="n">
        <v>100</v>
      </c>
      <c r="D459" s="246" t="n">
        <v>47.1</v>
      </c>
      <c r="E459" s="246" t="n">
        <v>37.9</v>
      </c>
      <c r="F459" s="246" t="n">
        <v>4.9</v>
      </c>
      <c r="G459" s="246" t="n">
        <v>7.8</v>
      </c>
      <c r="H459" s="246" t="n">
        <v>-6.2</v>
      </c>
      <c r="I459" s="246" t="n">
        <v>-28.6</v>
      </c>
      <c r="J459" s="246" t="n">
        <v>-26.7</v>
      </c>
      <c r="K459" s="247" t="inlineStr">
        <is>
          <t>3661 SG MICRO</t>
        </is>
      </c>
    </row>
    <row r="460">
      <c r="A460" s="51" t="inlineStr">
        <is>
          <t>Kingsoft Cloud Network Corporation Limited</t>
        </is>
      </c>
      <c r="B460" s="243" t="n">
        <v>1</v>
      </c>
      <c r="C460" s="245" t="n">
        <v>100</v>
      </c>
      <c r="D460" s="246" t="n">
        <v>44.7</v>
      </c>
      <c r="E460" s="246" t="n">
        <v>60.5</v>
      </c>
      <c r="F460" s="246" t="n">
        <v>-41.7</v>
      </c>
      <c r="G460" s="246" t="n">
        <v>38.1</v>
      </c>
      <c r="H460" s="246" t="n">
        <v>10.9</v>
      </c>
      <c r="I460" s="246" t="n">
        <v>-59.7</v>
      </c>
      <c r="J460" s="246" t="n">
        <v>-4.6</v>
      </c>
      <c r="K460" s="247" t="inlineStr">
        <is>
          <t>1191 CREALIGHTS</t>
        </is>
      </c>
    </row>
    <row r="461">
      <c r="A461" s="51" t="inlineStr">
        <is>
          <t>Winwin Technology Investment Co., Limited</t>
        </is>
      </c>
      <c r="B461" s="243" t="n">
        <v>1</v>
      </c>
      <c r="C461" s="245" t="n">
        <v>100</v>
      </c>
      <c r="D461" s="246" t="n">
        <v>44.7</v>
      </c>
      <c r="E461" s="246" t="n">
        <v>60.5</v>
      </c>
      <c r="F461" s="246" t="n">
        <v>-41.7</v>
      </c>
      <c r="G461" s="246" t="n">
        <v>38.1</v>
      </c>
      <c r="H461" s="246" t="n">
        <v>10.9</v>
      </c>
      <c r="I461" s="246" t="n">
        <v>-59.7</v>
      </c>
      <c r="J461" s="246" t="n">
        <v>-4.6</v>
      </c>
      <c r="K461" s="247" t="inlineStr">
        <is>
          <t>1191 CREALIGHTS</t>
        </is>
      </c>
    </row>
    <row r="462">
      <c r="A462" s="51" t="inlineStr">
        <is>
          <t>Nebula</t>
        </is>
      </c>
      <c r="B462" s="243" t="n">
        <v>1</v>
      </c>
      <c r="C462" s="245" t="n">
        <v>100</v>
      </c>
      <c r="D462" s="246" t="n">
        <v>44.6</v>
      </c>
      <c r="E462" s="246" t="n">
        <v>105.4</v>
      </c>
      <c r="F462" s="246" t="n">
        <v>184.9</v>
      </c>
      <c r="G462" s="246" t="n">
        <v>137.2</v>
      </c>
      <c r="H462" s="246" t="n">
        <v>42</v>
      </c>
      <c r="I462" s="246" t="n">
        <v>97</v>
      </c>
      <c r="J462" s="246" t="n">
        <v>64</v>
      </c>
      <c r="K462" s="247" t="inlineStr">
        <is>
          <t>9678 UNISOUND</t>
        </is>
      </c>
    </row>
    <row r="463">
      <c r="A463" s="51" t="inlineStr">
        <is>
          <t>Runjian International</t>
        </is>
      </c>
      <c r="B463" s="243" t="n">
        <v>1</v>
      </c>
      <c r="C463" s="245" t="n">
        <v>100</v>
      </c>
      <c r="D463" s="246" t="n">
        <v>44.6</v>
      </c>
      <c r="E463" s="246" t="n">
        <v>105.4</v>
      </c>
      <c r="F463" s="246" t="n">
        <v>184.9</v>
      </c>
      <c r="G463" s="246" t="n">
        <v>137.2</v>
      </c>
      <c r="H463" s="246" t="n">
        <v>42</v>
      </c>
      <c r="I463" s="246" t="n">
        <v>97</v>
      </c>
      <c r="J463" s="246" t="n">
        <v>64</v>
      </c>
      <c r="K463" s="247" t="inlineStr">
        <is>
          <t>9678 UNISOUND</t>
        </is>
      </c>
    </row>
    <row r="464">
      <c r="A464" s="51" t="inlineStr">
        <is>
          <t>Multi-Strategy SPC - Bosideng Industry Investment Fund SP</t>
        </is>
      </c>
      <c r="B464" s="243" t="n">
        <v>1</v>
      </c>
      <c r="C464" s="245" t="n">
        <v>100</v>
      </c>
      <c r="D464" s="246" t="n">
        <v>44</v>
      </c>
      <c r="E464" s="246" t="n">
        <v>46.1</v>
      </c>
      <c r="F464" s="246" t="n">
        <v>36.3</v>
      </c>
      <c r="G464" s="246" t="n">
        <v>44.7</v>
      </c>
      <c r="H464" s="246" t="n">
        <v>1.5</v>
      </c>
      <c r="I464" s="246" t="n">
        <v>-5.3</v>
      </c>
      <c r="J464" s="246" t="n">
        <v>0.5</v>
      </c>
      <c r="K464" s="247" t="inlineStr">
        <is>
          <t>6090 BUTONG GROUP</t>
        </is>
      </c>
    </row>
    <row r="465">
      <c r="A465" s="51" t="inlineStr">
        <is>
          <t>Shanghai Tongyi Investment Management Co., Ltd. and Huatai Capital Investment Limited (in connection with a back-to-back total return swap)</t>
        </is>
      </c>
      <c r="B465" s="243" t="n">
        <v>1</v>
      </c>
      <c r="C465" s="245" t="n">
        <v>100</v>
      </c>
      <c r="D465" s="246" t="n">
        <v>44</v>
      </c>
      <c r="E465" s="246" t="n">
        <v>46.1</v>
      </c>
      <c r="F465" s="246" t="n">
        <v>36.3</v>
      </c>
      <c r="G465" s="246" t="n">
        <v>44.7</v>
      </c>
      <c r="H465" s="246" t="n">
        <v>1.5</v>
      </c>
      <c r="I465" s="246" t="n">
        <v>-5.3</v>
      </c>
      <c r="J465" s="246" t="n">
        <v>0.5</v>
      </c>
      <c r="K465" s="247" t="inlineStr">
        <is>
          <t>6090 BUTONG GROUP</t>
        </is>
      </c>
    </row>
    <row r="466">
      <c r="A466" s="51" t="inlineStr">
        <is>
          <t>Great Praise Investment SPC - Selected AI Fund SP</t>
        </is>
      </c>
      <c r="B466" s="243" t="n">
        <v>1</v>
      </c>
      <c r="C466" s="245" t="n">
        <v>100</v>
      </c>
      <c r="D466" s="246" t="n">
        <v>44</v>
      </c>
      <c r="E466" s="246" t="n">
        <v>46.1</v>
      </c>
      <c r="F466" s="246" t="n">
        <v>36.3</v>
      </c>
      <c r="G466" s="246" t="n">
        <v>44.7</v>
      </c>
      <c r="H466" s="246" t="n">
        <v>1.5</v>
      </c>
      <c r="I466" s="246" t="n">
        <v>-5.3</v>
      </c>
      <c r="J466" s="246" t="n">
        <v>0.5</v>
      </c>
      <c r="K466" s="247" t="inlineStr">
        <is>
          <t>6090 BUTONG GROUP</t>
        </is>
      </c>
    </row>
    <row r="467">
      <c r="A467" s="51" t="inlineStr">
        <is>
          <t>Persistence Growth Limited</t>
        </is>
      </c>
      <c r="B467" s="243" t="n">
        <v>1</v>
      </c>
      <c r="C467" s="245" t="n">
        <v>100</v>
      </c>
      <c r="D467" s="246" t="n">
        <v>43.2</v>
      </c>
      <c r="E467" s="246" t="n">
        <v>94.3</v>
      </c>
      <c r="F467" s="246" t="n">
        <v>107.4</v>
      </c>
      <c r="G467" s="246" t="n">
        <v>180.5</v>
      </c>
      <c r="H467" s="246" t="n">
        <v>35.6</v>
      </c>
      <c r="I467" s="246" t="n">
        <v>44.8</v>
      </c>
      <c r="J467" s="246" t="n">
        <v>95.90000000000001</v>
      </c>
      <c r="K467" s="247" t="inlineStr">
        <is>
          <t>2097 MIXUE GROUP</t>
        </is>
      </c>
    </row>
    <row r="468">
      <c r="A468" s="51" t="inlineStr">
        <is>
          <t>Cao Ke</t>
        </is>
      </c>
      <c r="B468" s="243" t="n">
        <v>1</v>
      </c>
      <c r="C468" s="245" t="n">
        <v>100</v>
      </c>
      <c r="D468" s="246" t="n">
        <v>42</v>
      </c>
      <c r="E468" s="246" t="n">
        <v>30</v>
      </c>
      <c r="F468" s="246" t="n">
        <v>3</v>
      </c>
      <c r="G468" s="246" t="n">
        <v>9.5</v>
      </c>
      <c r="H468" s="246" t="n">
        <v>-8.4</v>
      </c>
      <c r="I468" s="246" t="n">
        <v>-27.5</v>
      </c>
      <c r="J468" s="246" t="n">
        <v>-22.9</v>
      </c>
      <c r="K468" s="247" t="inlineStr">
        <is>
          <t>9881 RONGTA TECH</t>
        </is>
      </c>
    </row>
    <row r="469">
      <c r="A469" s="51" t="inlineStr">
        <is>
          <t>Lin Xiaojian</t>
        </is>
      </c>
      <c r="B469" s="243" t="n">
        <v>1</v>
      </c>
      <c r="C469" s="245" t="n">
        <v>100</v>
      </c>
      <c r="D469" s="246" t="n">
        <v>42</v>
      </c>
      <c r="E469" s="246" t="n">
        <v>30</v>
      </c>
      <c r="F469" s="246" t="n">
        <v>3</v>
      </c>
      <c r="G469" s="246" t="n">
        <v>9.5</v>
      </c>
      <c r="H469" s="246" t="n">
        <v>-8.4</v>
      </c>
      <c r="I469" s="246" t="n">
        <v>-27.5</v>
      </c>
      <c r="J469" s="246" t="n">
        <v>-22.9</v>
      </c>
      <c r="K469" s="247" t="inlineStr">
        <is>
          <t>9881 RONGTA TECH</t>
        </is>
      </c>
    </row>
    <row r="470">
      <c r="A470" s="51" t="inlineStr">
        <is>
          <t>Sinos Group Limited</t>
        </is>
      </c>
      <c r="B470" s="243" t="n">
        <v>1</v>
      </c>
      <c r="C470" s="245" t="n">
        <v>100</v>
      </c>
      <c r="D470" s="246" t="n">
        <v>42</v>
      </c>
      <c r="E470" s="246" t="n">
        <v>30</v>
      </c>
      <c r="F470" s="246" t="n">
        <v>3</v>
      </c>
      <c r="G470" s="246" t="n">
        <v>9.5</v>
      </c>
      <c r="H470" s="246" t="n">
        <v>-8.4</v>
      </c>
      <c r="I470" s="246" t="n">
        <v>-27.5</v>
      </c>
      <c r="J470" s="246" t="n">
        <v>-22.9</v>
      </c>
      <c r="K470" s="247" t="inlineStr">
        <is>
          <t>9881 RONGTA TECH</t>
        </is>
      </c>
    </row>
    <row r="471">
      <c r="A471" s="51" t="inlineStr">
        <is>
          <t>Li Shuhan</t>
        </is>
      </c>
      <c r="B471" s="243" t="n">
        <v>1</v>
      </c>
      <c r="C471" s="245" t="n">
        <v>100</v>
      </c>
      <c r="D471" s="246" t="n">
        <v>42</v>
      </c>
      <c r="E471" s="246" t="n">
        <v>30</v>
      </c>
      <c r="F471" s="246" t="n">
        <v>3</v>
      </c>
      <c r="G471" s="246" t="n">
        <v>9.5</v>
      </c>
      <c r="H471" s="246" t="n">
        <v>-8.4</v>
      </c>
      <c r="I471" s="246" t="n">
        <v>-27.5</v>
      </c>
      <c r="J471" s="246" t="n">
        <v>-22.9</v>
      </c>
      <c r="K471" s="247" t="inlineStr">
        <is>
          <t>9881 RONGTA TECH</t>
        </is>
      </c>
    </row>
    <row r="472">
      <c r="A472" s="51" t="inlineStr">
        <is>
          <t>Ng Chi Fat</t>
        </is>
      </c>
      <c r="B472" s="243" t="n">
        <v>1</v>
      </c>
      <c r="C472" s="245" t="n">
        <v>100</v>
      </c>
      <c r="D472" s="246" t="n">
        <v>42</v>
      </c>
      <c r="E472" s="246" t="n">
        <v>30</v>
      </c>
      <c r="F472" s="246" t="n">
        <v>3</v>
      </c>
      <c r="G472" s="246" t="n">
        <v>9.5</v>
      </c>
      <c r="H472" s="246" t="n">
        <v>-8.4</v>
      </c>
      <c r="I472" s="246" t="n">
        <v>-27.5</v>
      </c>
      <c r="J472" s="246" t="n">
        <v>-22.9</v>
      </c>
      <c r="K472" s="247" t="inlineStr">
        <is>
          <t>9881 RONGTA TECH</t>
        </is>
      </c>
    </row>
    <row r="473">
      <c r="A473" s="51" t="inlineStr">
        <is>
          <t>Erik Selin Fastigheter Aktiebolag</t>
        </is>
      </c>
      <c r="B473" s="243" t="n">
        <v>1</v>
      </c>
      <c r="C473" s="245" t="n">
        <v>100</v>
      </c>
      <c r="D473" s="246" t="n">
        <v>41.6</v>
      </c>
      <c r="E473" s="246" t="n">
        <v>30.8</v>
      </c>
      <c r="F473" s="246" t="n">
        <v>18.2</v>
      </c>
      <c r="G473" s="246" t="n">
        <v>14.6</v>
      </c>
      <c r="H473" s="246" t="n">
        <v>-7.7</v>
      </c>
      <c r="I473" s="246" t="n">
        <v>-16.5</v>
      </c>
      <c r="J473" s="246" t="n">
        <v>-19.1</v>
      </c>
      <c r="K473" s="247" t="inlineStr">
        <is>
          <t>6938 RIBOLIFE-B</t>
        </is>
      </c>
    </row>
    <row r="474">
      <c r="A474" s="51" t="inlineStr">
        <is>
          <t>Himension Fund</t>
        </is>
      </c>
      <c r="B474" s="243" t="n">
        <v>1</v>
      </c>
      <c r="C474" s="245" t="n">
        <v>100</v>
      </c>
      <c r="D474" s="246" t="n">
        <v>41.6</v>
      </c>
      <c r="E474" s="246" t="n">
        <v>30.8</v>
      </c>
      <c r="F474" s="246" t="n">
        <v>18.2</v>
      </c>
      <c r="G474" s="246" t="n">
        <v>14.6</v>
      </c>
      <c r="H474" s="246" t="n">
        <v>-7.7</v>
      </c>
      <c r="I474" s="246" t="n">
        <v>-16.5</v>
      </c>
      <c r="J474" s="246" t="n">
        <v>-19.1</v>
      </c>
      <c r="K474" s="247" t="inlineStr">
        <is>
          <t>6938 RIBOLIFE-B</t>
        </is>
      </c>
    </row>
    <row r="475">
      <c r="A475" s="51" t="inlineStr">
        <is>
          <t>Mingxin Growth Ventures LS2 Limited</t>
        </is>
      </c>
      <c r="B475" s="243" t="n">
        <v>1</v>
      </c>
      <c r="C475" s="245" t="n">
        <v>100</v>
      </c>
      <c r="D475" s="246" t="n">
        <v>41.6</v>
      </c>
      <c r="E475" s="246" t="n">
        <v>30.8</v>
      </c>
      <c r="F475" s="246" t="n">
        <v>18.2</v>
      </c>
      <c r="G475" s="246" t="n">
        <v>14.6</v>
      </c>
      <c r="H475" s="246" t="n">
        <v>-7.7</v>
      </c>
      <c r="I475" s="246" t="n">
        <v>-16.5</v>
      </c>
      <c r="J475" s="246" t="n">
        <v>-19.1</v>
      </c>
      <c r="K475" s="247" t="inlineStr">
        <is>
          <t>6938 RIBOLIFE-B</t>
        </is>
      </c>
    </row>
    <row r="476">
      <c r="A476" s="51" t="inlineStr">
        <is>
          <t>LP. ), Tenbagger Capital (Shanghai, Ziran), LP. ) and Huatai Capital Investment Limited</t>
        </is>
      </c>
      <c r="B476" s="243" t="n">
        <v>1</v>
      </c>
      <c r="C476" s="245" t="n">
        <v>100</v>
      </c>
      <c r="D476" s="246" t="n">
        <v>41.6</v>
      </c>
      <c r="E476" s="246" t="n">
        <v>30.8</v>
      </c>
      <c r="F476" s="246" t="n">
        <v>18.2</v>
      </c>
      <c r="G476" s="246" t="n">
        <v>14.6</v>
      </c>
      <c r="H476" s="246" t="n">
        <v>-7.7</v>
      </c>
      <c r="I476" s="246" t="n">
        <v>-16.5</v>
      </c>
      <c r="J476" s="246" t="n">
        <v>-19.1</v>
      </c>
      <c r="K476" s="247" t="inlineStr">
        <is>
          <t>6938 RIBOLIFE-B</t>
        </is>
      </c>
    </row>
    <row r="477">
      <c r="A477" s="51" t="inlineStr">
        <is>
          <t>CURA International (Hong Kong) Investment Management Company Limited</t>
        </is>
      </c>
      <c r="B477" s="243" t="n">
        <v>1</v>
      </c>
      <c r="C477" s="245" t="n">
        <v>100</v>
      </c>
      <c r="D477" s="246" t="n">
        <v>41.5</v>
      </c>
      <c r="E477" s="246" t="n">
        <v>2.5</v>
      </c>
      <c r="F477" s="246" t="n">
        <v>0</v>
      </c>
      <c r="G477" s="246" t="n">
        <v>3.8</v>
      </c>
      <c r="H477" s="246" t="n">
        <v>-27.6</v>
      </c>
      <c r="I477" s="246" t="n">
        <v>-29.3</v>
      </c>
      <c r="J477" s="246" t="n">
        <v>-26.7</v>
      </c>
      <c r="K477" s="247" t="inlineStr">
        <is>
          <t>1965 LANDSEA LIFE</t>
        </is>
      </c>
    </row>
    <row r="478">
      <c r="A478" s="51" t="inlineStr">
        <is>
          <t>Dato Sri Ng Chong Keong</t>
        </is>
      </c>
      <c r="B478" s="243" t="n">
        <v>1</v>
      </c>
      <c r="C478" s="245" t="n">
        <v>100</v>
      </c>
      <c r="D478" s="246" t="n">
        <v>41.1</v>
      </c>
      <c r="E478" s="246" t="n">
        <v>62.5</v>
      </c>
      <c r="F478" s="246" t="n">
        <v>96.40000000000001</v>
      </c>
      <c r="G478" s="246" t="n">
        <v>258.9</v>
      </c>
      <c r="H478" s="246" t="n">
        <v>15.2</v>
      </c>
      <c r="I478" s="246" t="n">
        <v>39.2</v>
      </c>
      <c r="J478" s="246" t="n">
        <v>154.4</v>
      </c>
      <c r="K478" s="247" t="inlineStr">
        <is>
          <t>2321 SWANGCHAICHUAN</t>
        </is>
      </c>
    </row>
    <row r="479">
      <c r="A479" s="51" t="inlineStr">
        <is>
          <t>Huihuang Resources Limited</t>
        </is>
      </c>
      <c r="B479" s="243" t="n">
        <v>1</v>
      </c>
      <c r="C479" s="245" t="n">
        <v>100</v>
      </c>
      <c r="D479" s="246" t="n">
        <v>41.1</v>
      </c>
      <c r="E479" s="246" t="n">
        <v>62.5</v>
      </c>
      <c r="F479" s="246" t="n">
        <v>96.40000000000001</v>
      </c>
      <c r="G479" s="246" t="n">
        <v>258.9</v>
      </c>
      <c r="H479" s="246" t="n">
        <v>15.2</v>
      </c>
      <c r="I479" s="246" t="n">
        <v>39.2</v>
      </c>
      <c r="J479" s="246" t="n">
        <v>154.4</v>
      </c>
      <c r="K479" s="247" t="inlineStr">
        <is>
          <t>2321 SWANGCHAICHUAN</t>
        </is>
      </c>
    </row>
    <row r="480">
      <c r="A480" s="51" t="inlineStr">
        <is>
          <t>Mr. Tee Kian Heng</t>
        </is>
      </c>
      <c r="B480" s="243" t="n">
        <v>1</v>
      </c>
      <c r="C480" s="245" t="n">
        <v>100</v>
      </c>
      <c r="D480" s="246" t="n">
        <v>41.1</v>
      </c>
      <c r="E480" s="246" t="n">
        <v>62.5</v>
      </c>
      <c r="F480" s="246" t="n">
        <v>96.40000000000001</v>
      </c>
      <c r="G480" s="246" t="n">
        <v>258.9</v>
      </c>
      <c r="H480" s="246" t="n">
        <v>15.2</v>
      </c>
      <c r="I480" s="246" t="n">
        <v>39.2</v>
      </c>
      <c r="J480" s="246" t="n">
        <v>154.4</v>
      </c>
      <c r="K480" s="247" t="inlineStr">
        <is>
          <t>2321 SWANGCHAICHUAN</t>
        </is>
      </c>
    </row>
    <row r="481">
      <c r="A481" s="51" t="inlineStr">
        <is>
          <t>Nayuki Holdings Limited</t>
        </is>
      </c>
      <c r="B481" s="243" t="n">
        <v>1</v>
      </c>
      <c r="C481" s="245" t="n">
        <v>100</v>
      </c>
      <c r="D481" s="246" t="n">
        <v>40.9</v>
      </c>
      <c r="E481" s="246" t="n">
        <v>20.8</v>
      </c>
      <c r="F481" s="246" t="n">
        <v>55.9</v>
      </c>
      <c r="G481" s="246" t="n">
        <v>79.09999999999999</v>
      </c>
      <c r="H481" s="246" t="n">
        <v>-14.3</v>
      </c>
      <c r="I481" s="246" t="n">
        <v>10.7</v>
      </c>
      <c r="J481" s="246" t="n">
        <v>27.2</v>
      </c>
      <c r="K481" s="247" t="inlineStr">
        <is>
          <t>2429 UBOX ONLINE</t>
        </is>
      </c>
    </row>
    <row r="482">
      <c r="A482" s="51" t="inlineStr">
        <is>
          <t>Shenzhen Maliujia Network Technology Co., Ltd</t>
        </is>
      </c>
      <c r="B482" s="243" t="n">
        <v>1</v>
      </c>
      <c r="C482" s="245" t="n">
        <v>100</v>
      </c>
      <c r="D482" s="246" t="n">
        <v>40.9</v>
      </c>
      <c r="E482" s="246" t="n">
        <v>20.8</v>
      </c>
      <c r="F482" s="246" t="n">
        <v>55.9</v>
      </c>
      <c r="G482" s="246" t="n">
        <v>79.09999999999999</v>
      </c>
      <c r="H482" s="246" t="n">
        <v>-14.3</v>
      </c>
      <c r="I482" s="246" t="n">
        <v>10.7</v>
      </c>
      <c r="J482" s="246" t="n">
        <v>27.2</v>
      </c>
      <c r="K482" s="247" t="inlineStr">
        <is>
          <t>2429 UBOX ONLINE</t>
        </is>
      </c>
    </row>
    <row r="483">
      <c r="A483" s="51" t="inlineStr">
        <is>
          <t>Wei Jinbing</t>
        </is>
      </c>
      <c r="B483" s="243" t="n">
        <v>1</v>
      </c>
      <c r="C483" s="245" t="n">
        <v>100</v>
      </c>
      <c r="D483" s="246" t="n">
        <v>40.9</v>
      </c>
      <c r="E483" s="246" t="n">
        <v>20.8</v>
      </c>
      <c r="F483" s="246" t="n">
        <v>55.9</v>
      </c>
      <c r="G483" s="246" t="n">
        <v>79.09999999999999</v>
      </c>
      <c r="H483" s="246" t="n">
        <v>-14.3</v>
      </c>
      <c r="I483" s="246" t="n">
        <v>10.7</v>
      </c>
      <c r="J483" s="246" t="n">
        <v>27.2</v>
      </c>
      <c r="K483" s="247" t="inlineStr">
        <is>
          <t>2429 UBOX ONLINE</t>
        </is>
      </c>
    </row>
    <row r="484">
      <c r="A484" s="51" t="inlineStr">
        <is>
          <t>Golden Future LPF</t>
        </is>
      </c>
      <c r="B484" s="243" t="n">
        <v>1</v>
      </c>
      <c r="C484" s="245" t="n">
        <v>100</v>
      </c>
      <c r="D484" s="246" t="n">
        <v>40</v>
      </c>
      <c r="E484" s="246" t="n">
        <v>58.8</v>
      </c>
      <c r="F484" s="246" t="n">
        <v>110.6</v>
      </c>
      <c r="G484" s="246" t="n">
        <v>105.8</v>
      </c>
      <c r="H484" s="246" t="n">
        <v>13.4</v>
      </c>
      <c r="I484" s="246" t="n">
        <v>50.4</v>
      </c>
      <c r="J484" s="246" t="n">
        <v>47</v>
      </c>
      <c r="K484" s="247" t="inlineStr">
        <is>
          <t>0917 QUNABOX GROUP</t>
        </is>
      </c>
    </row>
    <row r="485">
      <c r="A485" s="51" t="inlineStr">
        <is>
          <t>Timber Kangaroo Capital Limited</t>
        </is>
      </c>
      <c r="B485" s="243" t="n">
        <v>1</v>
      </c>
      <c r="C485" s="245" t="n">
        <v>100</v>
      </c>
      <c r="D485" s="246" t="n">
        <v>39.1</v>
      </c>
      <c r="E485" s="246" t="n">
        <v>30.2</v>
      </c>
      <c r="F485" s="246" t="n">
        <v>45.3</v>
      </c>
      <c r="G485" s="246" t="n">
        <v>138.7</v>
      </c>
      <c r="H485" s="246" t="n">
        <v>-6.4</v>
      </c>
      <c r="I485" s="246" t="n">
        <v>4.5</v>
      </c>
      <c r="J485" s="246" t="n">
        <v>71.59999999999999</v>
      </c>
      <c r="K485" s="247" t="inlineStr">
        <is>
          <t>2603 JIHONG CO</t>
        </is>
      </c>
    </row>
    <row r="486">
      <c r="A486" s="51" t="inlineStr">
        <is>
          <t>Yulong International Capital Limited</t>
        </is>
      </c>
      <c r="B486" s="243" t="n">
        <v>1</v>
      </c>
      <c r="C486" s="245" t="n">
        <v>100</v>
      </c>
      <c r="D486" s="246" t="n">
        <v>39.1</v>
      </c>
      <c r="E486" s="246" t="n">
        <v>30.2</v>
      </c>
      <c r="F486" s="246" t="n">
        <v>45.3</v>
      </c>
      <c r="G486" s="246" t="n">
        <v>138.7</v>
      </c>
      <c r="H486" s="246" t="n">
        <v>-6.4</v>
      </c>
      <c r="I486" s="246" t="n">
        <v>4.5</v>
      </c>
      <c r="J486" s="246" t="n">
        <v>71.59999999999999</v>
      </c>
      <c r="K486" s="247" t="inlineStr">
        <is>
          <t>2603 JIHONG CO</t>
        </is>
      </c>
    </row>
    <row r="487">
      <c r="A487" s="51" t="inlineStr">
        <is>
          <t>Ms. Shen Zhenyu</t>
        </is>
      </c>
      <c r="B487" s="243" t="n">
        <v>1</v>
      </c>
      <c r="C487" s="245" t="n">
        <v>100</v>
      </c>
      <c r="D487" s="246" t="n">
        <v>39.1</v>
      </c>
      <c r="E487" s="246" t="n">
        <v>30.2</v>
      </c>
      <c r="F487" s="246" t="n">
        <v>45.3</v>
      </c>
      <c r="G487" s="246" t="n">
        <v>138.7</v>
      </c>
      <c r="H487" s="246" t="n">
        <v>-6.4</v>
      </c>
      <c r="I487" s="246" t="n">
        <v>4.5</v>
      </c>
      <c r="J487" s="246" t="n">
        <v>71.59999999999999</v>
      </c>
      <c r="K487" s="247" t="inlineStr">
        <is>
          <t>2603 JIHONG CO</t>
        </is>
      </c>
    </row>
    <row r="488">
      <c r="A488" s="51" t="inlineStr">
        <is>
          <t>Hong Kong Xinwei Electronic Co., Limited</t>
        </is>
      </c>
      <c r="B488" s="243" t="n">
        <v>1</v>
      </c>
      <c r="C488" s="245" t="n">
        <v>100</v>
      </c>
      <c r="D488" s="246" t="n">
        <v>38.3</v>
      </c>
      <c r="E488" s="246" t="n">
        <v>31.1</v>
      </c>
      <c r="F488" s="246" t="n">
        <v>79.40000000000001</v>
      </c>
      <c r="G488" s="246" t="n">
        <v>53.3</v>
      </c>
      <c r="H488" s="246" t="n">
        <v>-5.2</v>
      </c>
      <c r="I488" s="246" t="n">
        <v>29.7</v>
      </c>
      <c r="J488" s="246" t="n">
        <v>10.8</v>
      </c>
      <c r="K488" s="247" t="inlineStr">
        <is>
          <t>1333 BRETON</t>
        </is>
      </c>
    </row>
    <row r="489">
      <c r="A489" s="51" t="inlineStr">
        <is>
          <t>Changfeng Growth Equity Fund OFC</t>
        </is>
      </c>
      <c r="B489" s="243" t="n">
        <v>1</v>
      </c>
      <c r="C489" s="245" t="n">
        <v>100</v>
      </c>
      <c r="D489" s="246" t="n">
        <v>38.3</v>
      </c>
      <c r="E489" s="246" t="n">
        <v>31.1</v>
      </c>
      <c r="F489" s="246" t="n">
        <v>79.40000000000001</v>
      </c>
      <c r="G489" s="246" t="n">
        <v>53.3</v>
      </c>
      <c r="H489" s="246" t="n">
        <v>-5.2</v>
      </c>
      <c r="I489" s="246" t="n">
        <v>29.7</v>
      </c>
      <c r="J489" s="246" t="n">
        <v>10.8</v>
      </c>
      <c r="K489" s="247" t="inlineStr">
        <is>
          <t>1333 BRETON</t>
        </is>
      </c>
    </row>
    <row r="490">
      <c r="A490" s="51" t="inlineStr">
        <is>
          <t>Xiaomi</t>
        </is>
      </c>
      <c r="B490" s="243" t="n">
        <v>1</v>
      </c>
      <c r="C490" s="245" t="n">
        <v>100</v>
      </c>
      <c r="D490" s="246" t="n">
        <v>37.5</v>
      </c>
      <c r="E490" s="246" t="n">
        <v>88.90000000000001</v>
      </c>
      <c r="F490" s="246" t="n">
        <v>82.7</v>
      </c>
      <c r="G490" s="246" t="n">
        <v>161.1</v>
      </c>
      <c r="H490" s="246" t="n">
        <v>37.3</v>
      </c>
      <c r="I490" s="246" t="n">
        <v>32.9</v>
      </c>
      <c r="J490" s="246" t="n">
        <v>89.90000000000001</v>
      </c>
      <c r="K490" s="247" t="inlineStr">
        <is>
          <t>3986 GIGADEVICE</t>
        </is>
      </c>
    </row>
    <row r="491">
      <c r="A491" s="51" t="inlineStr">
        <is>
          <t>TCL Industries</t>
        </is>
      </c>
      <c r="B491" s="243" t="n">
        <v>1</v>
      </c>
      <c r="C491" s="245" t="n">
        <v>100</v>
      </c>
      <c r="D491" s="246" t="n">
        <v>37.5</v>
      </c>
      <c r="E491" s="246" t="n">
        <v>88.90000000000001</v>
      </c>
      <c r="F491" s="246" t="n">
        <v>82.7</v>
      </c>
      <c r="G491" s="246" t="n">
        <v>161.1</v>
      </c>
      <c r="H491" s="246" t="n">
        <v>37.3</v>
      </c>
      <c r="I491" s="246" t="n">
        <v>32.9</v>
      </c>
      <c r="J491" s="246" t="n">
        <v>89.90000000000001</v>
      </c>
      <c r="K491" s="247" t="inlineStr">
        <is>
          <t>3986 GIGADEVICE</t>
        </is>
      </c>
    </row>
    <row r="492">
      <c r="A492" s="51" t="inlineStr">
        <is>
          <t>Hengqin Guangdong Macao Deep Cooperation Zone Industrial Investment Fund (Limited Partnership)</t>
        </is>
      </c>
      <c r="B492" s="243" t="n">
        <v>1</v>
      </c>
      <c r="C492" s="245" t="n">
        <v>100</v>
      </c>
      <c r="D492" s="246" t="n">
        <v>36.7</v>
      </c>
      <c r="E492" s="246" t="n">
        <v>98</v>
      </c>
      <c r="F492" s="246" t="n">
        <v>71.8</v>
      </c>
      <c r="G492" s="246" t="n">
        <v>303.2</v>
      </c>
      <c r="H492" s="246" t="n">
        <v>44.8</v>
      </c>
      <c r="I492" s="246" t="n">
        <v>25.7</v>
      </c>
      <c r="J492" s="246" t="n">
        <v>195</v>
      </c>
      <c r="K492" s="247" t="inlineStr">
        <is>
          <t>2587 HEALTHYWAY INC</t>
        </is>
      </c>
    </row>
    <row r="493">
      <c r="A493" s="51" t="inlineStr">
        <is>
          <t>Novo Holdings A / S</t>
        </is>
      </c>
      <c r="B493" s="243" t="n">
        <v>1</v>
      </c>
      <c r="C493" s="245" t="n">
        <v>100</v>
      </c>
      <c r="D493" s="246" t="n">
        <v>35.9</v>
      </c>
      <c r="E493" s="246" t="n">
        <v>40.8</v>
      </c>
      <c r="F493" s="246" t="n">
        <v>51.2</v>
      </c>
      <c r="G493" s="246" t="n">
        <v>-10</v>
      </c>
      <c r="H493" s="246" t="n">
        <v>3.6</v>
      </c>
      <c r="I493" s="246" t="n">
        <v>11.2</v>
      </c>
      <c r="J493" s="246" t="n">
        <v>-33.8</v>
      </c>
      <c r="K493" s="247" t="inlineStr">
        <is>
          <t>2268 WUXI XDC</t>
        </is>
      </c>
    </row>
    <row r="494">
      <c r="A494" s="51" t="inlineStr">
        <is>
          <t>Turing International Limited</t>
        </is>
      </c>
      <c r="B494" s="243" t="n">
        <v>1</v>
      </c>
      <c r="C494" s="245" t="n">
        <v>100</v>
      </c>
      <c r="D494" s="246" t="n">
        <v>33.9</v>
      </c>
      <c r="E494" s="246" t="n">
        <v>13.5</v>
      </c>
      <c r="F494" s="246" t="n">
        <v>14.8</v>
      </c>
      <c r="G494" s="246" t="n">
        <v>19.1</v>
      </c>
      <c r="H494" s="246" t="n">
        <v>-15.2</v>
      </c>
      <c r="I494" s="246" t="n">
        <v>-14.3</v>
      </c>
      <c r="J494" s="246" t="n">
        <v>-11.1</v>
      </c>
      <c r="K494" s="247" t="inlineStr">
        <is>
          <t>6166 CIG</t>
        </is>
      </c>
    </row>
    <row r="495">
      <c r="A495" s="51" t="inlineStr">
        <is>
          <t>Alpine Investment Management Limited</t>
        </is>
      </c>
      <c r="B495" s="243" t="n">
        <v>1</v>
      </c>
      <c r="C495" s="245" t="n">
        <v>100</v>
      </c>
      <c r="D495" s="246" t="n">
        <v>33.9</v>
      </c>
      <c r="E495" s="246" t="n">
        <v>13.5</v>
      </c>
      <c r="F495" s="246" t="n">
        <v>14.8</v>
      </c>
      <c r="G495" s="246" t="n">
        <v>19.1</v>
      </c>
      <c r="H495" s="246" t="n">
        <v>-15.2</v>
      </c>
      <c r="I495" s="246" t="n">
        <v>-14.3</v>
      </c>
      <c r="J495" s="246" t="n">
        <v>-11.1</v>
      </c>
      <c r="K495" s="247" t="inlineStr">
        <is>
          <t>6166 CIG</t>
        </is>
      </c>
    </row>
    <row r="496">
      <c r="A496" s="51" t="inlineStr">
        <is>
          <t>Aqua Ocean Limited</t>
        </is>
      </c>
      <c r="B496" s="243" t="n">
        <v>1</v>
      </c>
      <c r="C496" s="245" t="n">
        <v>100</v>
      </c>
      <c r="D496" s="246" t="n">
        <v>33.9</v>
      </c>
      <c r="E496" s="246" t="n">
        <v>13.5</v>
      </c>
      <c r="F496" s="246" t="n">
        <v>14.8</v>
      </c>
      <c r="G496" s="246" t="n">
        <v>19.1</v>
      </c>
      <c r="H496" s="246" t="n">
        <v>-15.2</v>
      </c>
      <c r="I496" s="246" t="n">
        <v>-14.3</v>
      </c>
      <c r="J496" s="246" t="n">
        <v>-11.1</v>
      </c>
      <c r="K496" s="247" t="inlineStr">
        <is>
          <t>6166 CIG</t>
        </is>
      </c>
    </row>
    <row r="497">
      <c r="A497" s="51" t="inlineStr">
        <is>
          <t>GIMM Holding Limited</t>
        </is>
      </c>
      <c r="B497" s="243" t="n">
        <v>1</v>
      </c>
      <c r="C497" s="245" t="n">
        <v>100</v>
      </c>
      <c r="D497" s="246" t="n">
        <v>33.7</v>
      </c>
      <c r="E497" s="246" t="n">
        <v>0.5</v>
      </c>
      <c r="F497" s="246" t="n">
        <v>16.4</v>
      </c>
      <c r="G497" s="246" t="n">
        <v>-6.5</v>
      </c>
      <c r="H497" s="246" t="n">
        <v>-24.9</v>
      </c>
      <c r="I497" s="246" t="n">
        <v>-13</v>
      </c>
      <c r="J497" s="246" t="n">
        <v>-30.1</v>
      </c>
      <c r="K497" s="247" t="inlineStr">
        <is>
          <t>2508 SAINT BELLA</t>
        </is>
      </c>
    </row>
    <row r="498">
      <c r="A498" s="51" t="inlineStr">
        <is>
          <t>JKKB Limited</t>
        </is>
      </c>
      <c r="B498" s="243" t="n">
        <v>1</v>
      </c>
      <c r="C498" s="245" t="n">
        <v>100</v>
      </c>
      <c r="D498" s="246" t="n">
        <v>33.7</v>
      </c>
      <c r="E498" s="246" t="n">
        <v>0.5</v>
      </c>
      <c r="F498" s="246" t="n">
        <v>16.4</v>
      </c>
      <c r="G498" s="246" t="n">
        <v>-6.5</v>
      </c>
      <c r="H498" s="246" t="n">
        <v>-24.9</v>
      </c>
      <c r="I498" s="246" t="n">
        <v>-13</v>
      </c>
      <c r="J498" s="246" t="n">
        <v>-30.1</v>
      </c>
      <c r="K498" s="247" t="inlineStr">
        <is>
          <t>2508 SAINT BELLA</t>
        </is>
      </c>
    </row>
    <row r="499">
      <c r="A499" s="51" t="inlineStr">
        <is>
          <t>Carl Wu</t>
        </is>
      </c>
      <c r="B499" s="243" t="n">
        <v>1</v>
      </c>
      <c r="C499" s="245" t="n">
        <v>100</v>
      </c>
      <c r="D499" s="246" t="n">
        <v>33.7</v>
      </c>
      <c r="E499" s="246" t="n">
        <v>0.5</v>
      </c>
      <c r="F499" s="246" t="n">
        <v>16.4</v>
      </c>
      <c r="G499" s="246" t="n">
        <v>-6.5</v>
      </c>
      <c r="H499" s="246" t="n">
        <v>-24.9</v>
      </c>
      <c r="I499" s="246" t="n">
        <v>-13</v>
      </c>
      <c r="J499" s="246" t="n">
        <v>-30.1</v>
      </c>
      <c r="K499" s="247" t="inlineStr">
        <is>
          <t>2508 SAINT BELLA</t>
        </is>
      </c>
    </row>
    <row r="500">
      <c r="A500" s="51" t="inlineStr">
        <is>
          <t>SS Morgan Capital Limited</t>
        </is>
      </c>
      <c r="B500" s="243" t="n">
        <v>1</v>
      </c>
      <c r="C500" s="245" t="n">
        <v>100</v>
      </c>
      <c r="D500" s="246" t="n">
        <v>33.7</v>
      </c>
      <c r="E500" s="246" t="n">
        <v>0.5</v>
      </c>
      <c r="F500" s="246" t="n">
        <v>16.4</v>
      </c>
      <c r="G500" s="246" t="n">
        <v>-6.5</v>
      </c>
      <c r="H500" s="246" t="n">
        <v>-24.9</v>
      </c>
      <c r="I500" s="246" t="n">
        <v>-13</v>
      </c>
      <c r="J500" s="246" t="n">
        <v>-30.1</v>
      </c>
      <c r="K500" s="247" t="inlineStr">
        <is>
          <t>2508 SAINT BELLA</t>
        </is>
      </c>
    </row>
    <row r="501">
      <c r="A501" s="51" t="inlineStr">
        <is>
          <t>Minwise Business Consulting Limited</t>
        </is>
      </c>
      <c r="B501" s="243" t="n">
        <v>1</v>
      </c>
      <c r="C501" s="245" t="n">
        <v>100</v>
      </c>
      <c r="D501" s="246" t="n">
        <v>33.7</v>
      </c>
      <c r="E501" s="246" t="n">
        <v>0.5</v>
      </c>
      <c r="F501" s="246" t="n">
        <v>16.4</v>
      </c>
      <c r="G501" s="246" t="n">
        <v>-6.5</v>
      </c>
      <c r="H501" s="246" t="n">
        <v>-24.9</v>
      </c>
      <c r="I501" s="246" t="n">
        <v>-13</v>
      </c>
      <c r="J501" s="246" t="n">
        <v>-30.1</v>
      </c>
      <c r="K501" s="247" t="inlineStr">
        <is>
          <t>2508 SAINT BELLA</t>
        </is>
      </c>
    </row>
    <row r="502">
      <c r="A502" s="51" t="inlineStr">
        <is>
          <t>Wang Qianqing</t>
        </is>
      </c>
      <c r="B502" s="243" t="n">
        <v>1</v>
      </c>
      <c r="C502" s="245" t="n">
        <v>100</v>
      </c>
      <c r="D502" s="246" t="n">
        <v>33.7</v>
      </c>
      <c r="E502" s="246" t="n">
        <v>0.5</v>
      </c>
      <c r="F502" s="246" t="n">
        <v>16.4</v>
      </c>
      <c r="G502" s="246" t="n">
        <v>-6.5</v>
      </c>
      <c r="H502" s="246" t="n">
        <v>-24.9</v>
      </c>
      <c r="I502" s="246" t="n">
        <v>-13</v>
      </c>
      <c r="J502" s="246" t="n">
        <v>-30.1</v>
      </c>
      <c r="K502" s="247" t="inlineStr">
        <is>
          <t>2508 SAINT BELLA</t>
        </is>
      </c>
    </row>
    <row r="503">
      <c r="A503" s="51" t="inlineStr">
        <is>
          <t>Beijing Yuanfeng Asset Management L.L.P</t>
        </is>
      </c>
      <c r="B503" s="243" t="n">
        <v>1</v>
      </c>
      <c r="C503" s="245" t="n">
        <v>100</v>
      </c>
      <c r="D503" s="246" t="n">
        <v>33.6</v>
      </c>
      <c r="E503" s="246" t="n">
        <v>36</v>
      </c>
      <c r="F503" s="246" t="n">
        <v>111.3</v>
      </c>
      <c r="G503" s="246" t="n">
        <v>163.6</v>
      </c>
      <c r="H503" s="246" t="n">
        <v>1.8</v>
      </c>
      <c r="I503" s="246" t="n">
        <v>58.2</v>
      </c>
      <c r="J503" s="246" t="n">
        <v>97.40000000000001</v>
      </c>
      <c r="K503" s="247" t="inlineStr">
        <is>
          <t>1989 DELTON</t>
        </is>
      </c>
    </row>
    <row r="504">
      <c r="A504" s="51" t="inlineStr">
        <is>
          <t>Gigantic Wealth Holdings Limited</t>
        </is>
      </c>
      <c r="B504" s="243" t="n">
        <v>1</v>
      </c>
      <c r="C504" s="245" t="n">
        <v>100</v>
      </c>
      <c r="D504" s="246" t="n">
        <v>33</v>
      </c>
      <c r="E504" s="246" t="n">
        <v>44.3</v>
      </c>
      <c r="F504" s="246" t="n">
        <v>25.5</v>
      </c>
      <c r="G504" s="246" t="n">
        <v>-10.5</v>
      </c>
      <c r="H504" s="246" t="n">
        <v>8.5</v>
      </c>
      <c r="I504" s="246" t="n">
        <v>-5.7</v>
      </c>
      <c r="J504" s="246" t="n">
        <v>-32.7</v>
      </c>
      <c r="K504" s="247" t="inlineStr">
        <is>
          <t>2219 CHAOJU EYE CARE</t>
        </is>
      </c>
    </row>
    <row r="505">
      <c r="A505" s="51" t="inlineStr">
        <is>
          <t>GT Cedar Capital (Hong Kong) Limited</t>
        </is>
      </c>
      <c r="B505" s="243" t="n">
        <v>1</v>
      </c>
      <c r="C505" s="245" t="n">
        <v>100</v>
      </c>
      <c r="D505" s="246" t="n">
        <v>33</v>
      </c>
      <c r="E505" s="246" t="n">
        <v>44.3</v>
      </c>
      <c r="F505" s="246" t="n">
        <v>25.5</v>
      </c>
      <c r="G505" s="246" t="n">
        <v>-10.5</v>
      </c>
      <c r="H505" s="246" t="n">
        <v>8.5</v>
      </c>
      <c r="I505" s="246" t="n">
        <v>-5.7</v>
      </c>
      <c r="J505" s="246" t="n">
        <v>-32.7</v>
      </c>
      <c r="K505" s="247" t="inlineStr">
        <is>
          <t>2219 CHAOJU EYE CARE</t>
        </is>
      </c>
    </row>
    <row r="506">
      <c r="A506" s="51" t="inlineStr">
        <is>
          <t>Investcorp</t>
        </is>
      </c>
      <c r="B506" s="243" t="n">
        <v>1</v>
      </c>
      <c r="C506" s="245" t="n">
        <v>100</v>
      </c>
      <c r="D506" s="246" t="n">
        <v>32.8</v>
      </c>
      <c r="E506" s="246" t="n">
        <v>59.4</v>
      </c>
      <c r="F506" s="246" t="n">
        <v>78.3</v>
      </c>
      <c r="G506" s="246" t="n">
        <v>115.7</v>
      </c>
      <c r="H506" s="246" t="n">
        <v>20.1</v>
      </c>
      <c r="I506" s="246" t="n">
        <v>34.3</v>
      </c>
      <c r="J506" s="246" t="n">
        <v>62.4</v>
      </c>
      <c r="K506" s="247" t="inlineStr">
        <is>
          <t>2788 CHUANGXIN IND</t>
        </is>
      </c>
    </row>
    <row r="507">
      <c r="A507" s="51" t="inlineStr">
        <is>
          <t>Sanshui Venture Capital Co., Limited</t>
        </is>
      </c>
      <c r="B507" s="243" t="n">
        <v>1</v>
      </c>
      <c r="C507" s="245" t="n">
        <v>100</v>
      </c>
      <c r="D507" s="246" t="n">
        <v>31.3</v>
      </c>
      <c r="E507" s="246" t="n">
        <v>20.1</v>
      </c>
      <c r="F507" s="246" t="n">
        <v>24.4</v>
      </c>
      <c r="G507" s="246" t="n">
        <v>20.1</v>
      </c>
      <c r="H507" s="246" t="n">
        <v>-8.6</v>
      </c>
      <c r="I507" s="246" t="n">
        <v>-5.2</v>
      </c>
      <c r="J507" s="246" t="n">
        <v>-8.6</v>
      </c>
      <c r="K507" s="247" t="inlineStr">
        <is>
          <t>6960 SHUANGDENG</t>
        </is>
      </c>
    </row>
    <row r="508">
      <c r="A508" s="51" t="inlineStr">
        <is>
          <t>Tekful Limited</t>
        </is>
      </c>
      <c r="B508" s="243" t="n">
        <v>1</v>
      </c>
      <c r="C508" s="245" t="n">
        <v>100</v>
      </c>
      <c r="D508" s="246" t="n">
        <v>30.9</v>
      </c>
      <c r="E508" s="246" t="n">
        <v>55.5</v>
      </c>
      <c r="F508" s="246" t="n">
        <v>37.7</v>
      </c>
      <c r="G508" s="246" t="n">
        <v>24.9</v>
      </c>
      <c r="H508" s="246" t="n">
        <v>18.8</v>
      </c>
      <c r="I508" s="246" t="n">
        <v>5.2</v>
      </c>
      <c r="J508" s="246" t="n">
        <v>-4.6</v>
      </c>
      <c r="K508" s="247" t="inlineStr">
        <is>
          <t>2675 EDGE MEDICAL-B</t>
        </is>
      </c>
    </row>
    <row r="509">
      <c r="A509" s="51" t="inlineStr">
        <is>
          <t>NOVOTECH SG HOLDINGS PTE. LTD</t>
        </is>
      </c>
      <c r="B509" s="243" t="n">
        <v>1</v>
      </c>
      <c r="C509" s="245" t="n">
        <v>100</v>
      </c>
      <c r="D509" s="246" t="n">
        <v>30</v>
      </c>
      <c r="E509" s="246" t="n">
        <v>75</v>
      </c>
      <c r="F509" s="246" t="n">
        <v>74.7</v>
      </c>
      <c r="G509" s="246" t="n">
        <v>-2.9</v>
      </c>
      <c r="H509" s="246" t="n">
        <v>34.6</v>
      </c>
      <c r="I509" s="246" t="n">
        <v>34.4</v>
      </c>
      <c r="J509" s="246" t="n">
        <v>-25.3</v>
      </c>
      <c r="K509" s="247" t="inlineStr">
        <is>
          <t>2563 BIOSTAR PHARM-B</t>
        </is>
      </c>
    </row>
    <row r="510">
      <c r="A510" s="51" t="inlineStr">
        <is>
          <t>Silkywater Absolute Return LPF</t>
        </is>
      </c>
      <c r="B510" s="243" t="n">
        <v>1</v>
      </c>
      <c r="C510" s="245" t="n">
        <v>100</v>
      </c>
      <c r="D510" s="246" t="n">
        <v>30</v>
      </c>
      <c r="E510" s="246" t="n">
        <v>75</v>
      </c>
      <c r="F510" s="246" t="n">
        <v>74.7</v>
      </c>
      <c r="G510" s="246" t="n">
        <v>-2.9</v>
      </c>
      <c r="H510" s="246" t="n">
        <v>34.6</v>
      </c>
      <c r="I510" s="246" t="n">
        <v>34.4</v>
      </c>
      <c r="J510" s="246" t="n">
        <v>-25.3</v>
      </c>
      <c r="K510" s="247" t="inlineStr">
        <is>
          <t>2563 BIOSTAR PHARM-B</t>
        </is>
      </c>
    </row>
    <row r="511">
      <c r="A511" s="51" t="inlineStr">
        <is>
          <t>Beijing Xunrui Enterprise Management Partnership (Limited Partnership)</t>
        </is>
      </c>
      <c r="B511" s="243" t="n">
        <v>1</v>
      </c>
      <c r="C511" s="245" t="n">
        <v>100</v>
      </c>
      <c r="D511" s="246" t="n">
        <v>28.8</v>
      </c>
      <c r="E511" s="246" t="n">
        <v>25.3</v>
      </c>
      <c r="F511" s="246" t="n">
        <v>44.4</v>
      </c>
      <c r="G511" s="246" t="n">
        <v>87.5</v>
      </c>
      <c r="H511" s="246" t="n">
        <v>-2.7</v>
      </c>
      <c r="I511" s="246" t="n">
        <v>12.2</v>
      </c>
      <c r="J511" s="246" t="n">
        <v>45.7</v>
      </c>
      <c r="K511" s="247" t="inlineStr">
        <is>
          <t>2629 MIRXES-B</t>
        </is>
      </c>
    </row>
    <row r="512">
      <c r="A512" s="51" t="inlineStr">
        <is>
          <t>Evergreen Gate Limited</t>
        </is>
      </c>
      <c r="B512" s="243" t="n">
        <v>1</v>
      </c>
      <c r="C512" s="245" t="n">
        <v>100</v>
      </c>
      <c r="D512" s="246" t="n">
        <v>28.8</v>
      </c>
      <c r="E512" s="246" t="n">
        <v>25.3</v>
      </c>
      <c r="F512" s="246" t="n">
        <v>44.4</v>
      </c>
      <c r="G512" s="246" t="n">
        <v>87.5</v>
      </c>
      <c r="H512" s="246" t="n">
        <v>-2.7</v>
      </c>
      <c r="I512" s="246" t="n">
        <v>12.2</v>
      </c>
      <c r="J512" s="246" t="n">
        <v>45.7</v>
      </c>
      <c r="K512" s="247" t="inlineStr">
        <is>
          <t>2629 MIRXES-B</t>
        </is>
      </c>
    </row>
    <row r="513">
      <c r="A513" s="51" t="inlineStr">
        <is>
          <t>Luo Jinhong</t>
        </is>
      </c>
      <c r="B513" s="243" t="n">
        <v>1</v>
      </c>
      <c r="C513" s="245" t="n">
        <v>100</v>
      </c>
      <c r="D513" s="246" t="n">
        <v>28.4</v>
      </c>
      <c r="E513" s="246" t="n">
        <v>28</v>
      </c>
      <c r="F513" s="246" t="n">
        <v>28.9</v>
      </c>
      <c r="G513" s="246" t="n">
        <v>27.1</v>
      </c>
      <c r="H513" s="246" t="n">
        <v>-0.4</v>
      </c>
      <c r="I513" s="246" t="n">
        <v>0.4</v>
      </c>
      <c r="J513" s="246" t="n">
        <v>-1.1</v>
      </c>
      <c r="K513" s="247" t="inlineStr">
        <is>
          <t>2285 CHERVON</t>
        </is>
      </c>
    </row>
    <row r="514">
      <c r="A514" s="51" t="inlineStr">
        <is>
          <t>Double Joy Ventures Limited</t>
        </is>
      </c>
      <c r="B514" s="243" t="n">
        <v>1</v>
      </c>
      <c r="C514" s="245" t="n">
        <v>100</v>
      </c>
      <c r="D514" s="246" t="n">
        <v>27.6</v>
      </c>
      <c r="E514" s="246" t="n">
        <v>27.9</v>
      </c>
      <c r="F514" s="246" t="n">
        <v>22.5</v>
      </c>
      <c r="G514" s="246" t="n">
        <v>-6.2</v>
      </c>
      <c r="H514" s="246" t="n">
        <v>0.3</v>
      </c>
      <c r="I514" s="246" t="n">
        <v>-4</v>
      </c>
      <c r="J514" s="246" t="n">
        <v>-26.5</v>
      </c>
      <c r="K514" s="247" t="inlineStr">
        <is>
          <t>2162 KEYMED BIO-B</t>
        </is>
      </c>
    </row>
    <row r="515">
      <c r="A515" s="51" t="inlineStr">
        <is>
          <t>New Asia Ferrell Asset Management Limited</t>
        </is>
      </c>
      <c r="B515" s="243" t="n">
        <v>1</v>
      </c>
      <c r="C515" s="245" t="n">
        <v>100</v>
      </c>
      <c r="D515" s="246" t="n">
        <v>26</v>
      </c>
      <c r="E515" s="246" t="n">
        <v>31.3</v>
      </c>
      <c r="F515" s="246" t="n">
        <v>25.5</v>
      </c>
      <c r="G515" s="246" t="n">
        <v>-12.7</v>
      </c>
      <c r="H515" s="246" t="n">
        <v>4.2</v>
      </c>
      <c r="I515" s="246" t="n">
        <v>-0.4</v>
      </c>
      <c r="J515" s="246" t="n">
        <v>-30.7</v>
      </c>
      <c r="K515" s="247" t="inlineStr">
        <is>
          <t>3636 JINXUN RESOURCE</t>
        </is>
      </c>
    </row>
    <row r="516">
      <c r="A516" s="51" t="inlineStr">
        <is>
          <t>Mobilewise Limited</t>
        </is>
      </c>
      <c r="B516" s="243" t="n">
        <v>1</v>
      </c>
      <c r="C516" s="245" t="n">
        <v>100</v>
      </c>
      <c r="D516" s="246" t="n">
        <v>25.9</v>
      </c>
      <c r="E516" s="246" t="n">
        <v>66.09999999999999</v>
      </c>
      <c r="F516" s="246" t="n">
        <v>139.4</v>
      </c>
      <c r="G516" s="246" t="n">
        <v>167.2</v>
      </c>
      <c r="H516" s="246" t="n">
        <v>31.9</v>
      </c>
      <c r="I516" s="246" t="n">
        <v>90.09999999999999</v>
      </c>
      <c r="J516" s="246" t="n">
        <v>112.2</v>
      </c>
      <c r="K516" s="247" t="inlineStr">
        <is>
          <t>1244 3D MEDICINES-B</t>
        </is>
      </c>
    </row>
    <row r="517">
      <c r="A517" s="51" t="inlineStr">
        <is>
          <t>Beijing Shunao</t>
        </is>
      </c>
      <c r="B517" s="243" t="n">
        <v>1</v>
      </c>
      <c r="C517" s="245" t="n">
        <v>100</v>
      </c>
      <c r="D517" s="246" t="n">
        <v>25.9</v>
      </c>
      <c r="E517" s="246" t="n">
        <v>17.7</v>
      </c>
      <c r="F517" s="246" t="n">
        <v>14.5</v>
      </c>
      <c r="G517" s="246" t="n">
        <v>17.1</v>
      </c>
      <c r="H517" s="246" t="n">
        <v>-6.5</v>
      </c>
      <c r="I517" s="246" t="n">
        <v>-9.1</v>
      </c>
      <c r="J517" s="246" t="n">
        <v>-7</v>
      </c>
      <c r="K517" s="247" t="inlineStr">
        <is>
          <t>2698 SOFTCARE</t>
        </is>
      </c>
    </row>
    <row r="518">
      <c r="A518" s="51" t="inlineStr">
        <is>
          <t>NewTrails Capital</t>
        </is>
      </c>
      <c r="B518" s="243" t="n">
        <v>1</v>
      </c>
      <c r="C518" s="245" t="n">
        <v>100</v>
      </c>
      <c r="D518" s="246" t="n">
        <v>25.9</v>
      </c>
      <c r="E518" s="246" t="n">
        <v>17.7</v>
      </c>
      <c r="F518" s="246" t="n">
        <v>14.5</v>
      </c>
      <c r="G518" s="246" t="n">
        <v>17.1</v>
      </c>
      <c r="H518" s="246" t="n">
        <v>-6.5</v>
      </c>
      <c r="I518" s="246" t="n">
        <v>-9.1</v>
      </c>
      <c r="J518" s="246" t="n">
        <v>-7</v>
      </c>
      <c r="K518" s="247" t="inlineStr">
        <is>
          <t>2698 SOFTCARE</t>
        </is>
      </c>
    </row>
    <row r="519">
      <c r="A519" s="51" t="inlineStr">
        <is>
          <t>Charisma Mega</t>
        </is>
      </c>
      <c r="B519" s="243" t="n">
        <v>1</v>
      </c>
      <c r="C519" s="245" t="n">
        <v>100</v>
      </c>
      <c r="D519" s="246" t="n">
        <v>25.9</v>
      </c>
      <c r="E519" s="246" t="n">
        <v>17.7</v>
      </c>
      <c r="F519" s="246" t="n">
        <v>14.5</v>
      </c>
      <c r="G519" s="246" t="n">
        <v>17.1</v>
      </c>
      <c r="H519" s="246" t="n">
        <v>-6.5</v>
      </c>
      <c r="I519" s="246" t="n">
        <v>-9.1</v>
      </c>
      <c r="J519" s="246" t="n">
        <v>-7</v>
      </c>
      <c r="K519" s="247" t="inlineStr">
        <is>
          <t>2698 SOFTCARE</t>
        </is>
      </c>
    </row>
    <row r="520">
      <c r="A520" s="51" t="inlineStr">
        <is>
          <t>Qihui Runjin</t>
        </is>
      </c>
      <c r="B520" s="243" t="n">
        <v>1</v>
      </c>
      <c r="C520" s="245" t="n">
        <v>100</v>
      </c>
      <c r="D520" s="246" t="n">
        <v>25.9</v>
      </c>
      <c r="E520" s="246" t="n">
        <v>17.7</v>
      </c>
      <c r="F520" s="246" t="n">
        <v>14.5</v>
      </c>
      <c r="G520" s="246" t="n">
        <v>17.1</v>
      </c>
      <c r="H520" s="246" t="n">
        <v>-6.5</v>
      </c>
      <c r="I520" s="246" t="n">
        <v>-9.1</v>
      </c>
      <c r="J520" s="246" t="n">
        <v>-7</v>
      </c>
      <c r="K520" s="247" t="inlineStr">
        <is>
          <t>2698 SOFTCARE</t>
        </is>
      </c>
    </row>
    <row r="521">
      <c r="A521" s="51" t="inlineStr">
        <is>
          <t>Cordial Solar Limited</t>
        </is>
      </c>
      <c r="B521" s="243" t="n">
        <v>1</v>
      </c>
      <c r="C521" s="245" t="n">
        <v>100</v>
      </c>
      <c r="D521" s="246" t="n">
        <v>25.2</v>
      </c>
      <c r="E521" s="246" t="n">
        <v>31.7</v>
      </c>
      <c r="F521" s="246" t="n">
        <v>26.8</v>
      </c>
      <c r="G521" s="246" t="n">
        <v>76.5</v>
      </c>
      <c r="H521" s="246" t="n">
        <v>5.2</v>
      </c>
      <c r="I521" s="246" t="n">
        <v>1.3</v>
      </c>
      <c r="J521" s="246" t="n">
        <v>41</v>
      </c>
      <c r="K521" s="247" t="inlineStr">
        <is>
          <t>1276 HENGRUI PHARMA</t>
        </is>
      </c>
    </row>
    <row r="522">
      <c r="A522" s="51" t="inlineStr">
        <is>
          <t>Yongcheng No. 2 Hong Kong Limited</t>
        </is>
      </c>
      <c r="B522" s="243" t="n">
        <v>1</v>
      </c>
      <c r="C522" s="245" t="n">
        <v>100</v>
      </c>
      <c r="D522" s="246" t="n">
        <v>25</v>
      </c>
      <c r="E522" s="246" t="n">
        <v>55.4</v>
      </c>
      <c r="F522" s="246" t="n">
        <v>61.5</v>
      </c>
      <c r="G522" s="246" t="n">
        <v>81.2</v>
      </c>
      <c r="H522" s="246" t="n">
        <v>24.3</v>
      </c>
      <c r="I522" s="246" t="n">
        <v>29.2</v>
      </c>
      <c r="J522" s="246" t="n">
        <v>45</v>
      </c>
      <c r="K522" s="247" t="inlineStr">
        <is>
          <t>6168 ZHOU LIU FU</t>
        </is>
      </c>
    </row>
    <row r="523">
      <c r="A523" s="51" t="inlineStr">
        <is>
          <t>Shenzhen Luohu Investment Holding Co., Ltd</t>
        </is>
      </c>
      <c r="B523" s="243" t="n">
        <v>1</v>
      </c>
      <c r="C523" s="245" t="n">
        <v>100</v>
      </c>
      <c r="D523" s="246" t="n">
        <v>25</v>
      </c>
      <c r="E523" s="246" t="n">
        <v>55.4</v>
      </c>
      <c r="F523" s="246" t="n">
        <v>61.5</v>
      </c>
      <c r="G523" s="246" t="n">
        <v>81.2</v>
      </c>
      <c r="H523" s="246" t="n">
        <v>24.3</v>
      </c>
      <c r="I523" s="246" t="n">
        <v>29.2</v>
      </c>
      <c r="J523" s="246" t="n">
        <v>45</v>
      </c>
      <c r="K523" s="247" t="inlineStr">
        <is>
          <t>6168 ZHOU LIU FU</t>
        </is>
      </c>
    </row>
    <row r="524">
      <c r="A524" s="51" t="inlineStr">
        <is>
          <t>Pimlico Family Office Limited</t>
        </is>
      </c>
      <c r="B524" s="243" t="n">
        <v>1</v>
      </c>
      <c r="C524" s="245" t="n">
        <v>100</v>
      </c>
      <c r="D524" s="246" t="n">
        <v>25</v>
      </c>
      <c r="E524" s="246" t="n">
        <v>55.4</v>
      </c>
      <c r="F524" s="246" t="n">
        <v>61.5</v>
      </c>
      <c r="G524" s="246" t="n">
        <v>81.2</v>
      </c>
      <c r="H524" s="246" t="n">
        <v>24.3</v>
      </c>
      <c r="I524" s="246" t="n">
        <v>29.2</v>
      </c>
      <c r="J524" s="246" t="n">
        <v>45</v>
      </c>
      <c r="K524" s="247" t="inlineStr">
        <is>
          <t>6168 ZHOU LIU FU</t>
        </is>
      </c>
    </row>
    <row r="525">
      <c r="A525" s="51" t="inlineStr">
        <is>
          <t>Lingbao Gold International Company Limited</t>
        </is>
      </c>
      <c r="B525" s="243" t="n">
        <v>1</v>
      </c>
      <c r="C525" s="245" t="n">
        <v>100</v>
      </c>
      <c r="D525" s="246" t="n">
        <v>25</v>
      </c>
      <c r="E525" s="246" t="n">
        <v>55.4</v>
      </c>
      <c r="F525" s="246" t="n">
        <v>61.5</v>
      </c>
      <c r="G525" s="246" t="n">
        <v>81.2</v>
      </c>
      <c r="H525" s="246" t="n">
        <v>24.3</v>
      </c>
      <c r="I525" s="246" t="n">
        <v>29.2</v>
      </c>
      <c r="J525" s="246" t="n">
        <v>45</v>
      </c>
      <c r="K525" s="247" t="inlineStr">
        <is>
          <t>6168 ZHOU LIU FU</t>
        </is>
      </c>
    </row>
    <row r="526">
      <c r="A526" s="51" t="inlineStr">
        <is>
          <t>Lilly</t>
        </is>
      </c>
      <c r="B526" s="243" t="n">
        <v>1</v>
      </c>
      <c r="C526" s="245" t="n">
        <v>100</v>
      </c>
      <c r="D526" s="246" t="n">
        <v>24.7</v>
      </c>
      <c r="E526" s="246" t="n">
        <v>68.40000000000001</v>
      </c>
      <c r="F526" s="246" t="n">
        <v>172.3</v>
      </c>
      <c r="G526" s="246" t="n">
        <v>138.1</v>
      </c>
      <c r="H526" s="246" t="n">
        <v>35.1</v>
      </c>
      <c r="I526" s="246" t="n">
        <v>118.5</v>
      </c>
      <c r="J526" s="246" t="n">
        <v>91</v>
      </c>
      <c r="K526" s="247" t="inlineStr">
        <is>
          <t>3696 INSILICO</t>
        </is>
      </c>
    </row>
    <row r="527">
      <c r="A527" s="51" t="inlineStr">
        <is>
          <t>China AMC</t>
        </is>
      </c>
      <c r="B527" s="243" t="n">
        <v>1</v>
      </c>
      <c r="C527" s="245" t="n">
        <v>100</v>
      </c>
      <c r="D527" s="246" t="n">
        <v>24.7</v>
      </c>
      <c r="E527" s="246" t="n">
        <v>68.40000000000001</v>
      </c>
      <c r="F527" s="246" t="n">
        <v>172.3</v>
      </c>
      <c r="G527" s="246" t="n">
        <v>138.1</v>
      </c>
      <c r="H527" s="246" t="n">
        <v>35.1</v>
      </c>
      <c r="I527" s="246" t="n">
        <v>118.5</v>
      </c>
      <c r="J527" s="246" t="n">
        <v>91</v>
      </c>
      <c r="K527" s="247" t="inlineStr">
        <is>
          <t>3696 INSILICO</t>
        </is>
      </c>
    </row>
    <row r="528">
      <c r="A528" s="51" t="inlineStr">
        <is>
          <t>Blue Lake Capital Opportunity Fund I, L.P</t>
        </is>
      </c>
      <c r="B528" s="243" t="n">
        <v>1</v>
      </c>
      <c r="C528" s="245" t="n">
        <v>100</v>
      </c>
      <c r="D528" s="246" t="n">
        <v>23.9</v>
      </c>
      <c r="E528" s="246" t="n">
        <v>8.5</v>
      </c>
      <c r="F528" s="246" t="n">
        <v>-15.1</v>
      </c>
      <c r="G528" s="246" t="n">
        <v>-6.3</v>
      </c>
      <c r="H528" s="246" t="n">
        <v>-12.4</v>
      </c>
      <c r="I528" s="246" t="n">
        <v>-31.4</v>
      </c>
      <c r="J528" s="246" t="n">
        <v>-24.3</v>
      </c>
      <c r="K528" s="247" t="inlineStr">
        <is>
          <t>6687 JST GROUP</t>
        </is>
      </c>
    </row>
    <row r="529">
      <c r="A529" s="51" t="inlineStr">
        <is>
          <t>GTCS Holdings Limited</t>
        </is>
      </c>
      <c r="B529" s="243" t="n">
        <v>1</v>
      </c>
      <c r="C529" s="245" t="n">
        <v>100</v>
      </c>
      <c r="D529" s="246" t="n">
        <v>23.9</v>
      </c>
      <c r="E529" s="246" t="n">
        <v>8.5</v>
      </c>
      <c r="F529" s="246" t="n">
        <v>-15.1</v>
      </c>
      <c r="G529" s="246" t="n">
        <v>-6.3</v>
      </c>
      <c r="H529" s="246" t="n">
        <v>-12.4</v>
      </c>
      <c r="I529" s="246" t="n">
        <v>-31.4</v>
      </c>
      <c r="J529" s="246" t="n">
        <v>-24.3</v>
      </c>
      <c r="K529" s="247" t="inlineStr">
        <is>
          <t>6687 JST GROUP</t>
        </is>
      </c>
    </row>
    <row r="530">
      <c r="A530" s="51" t="inlineStr">
        <is>
          <t>Blink Field Limited</t>
        </is>
      </c>
      <c r="B530" s="243" t="n">
        <v>1</v>
      </c>
      <c r="C530" s="245" t="n">
        <v>100</v>
      </c>
      <c r="D530" s="246" t="n">
        <v>23.8</v>
      </c>
      <c r="E530" s="246" t="n">
        <v>67.09999999999999</v>
      </c>
      <c r="F530" s="246" t="n">
        <v>34.4</v>
      </c>
      <c r="G530" s="246" t="n">
        <v>102.3</v>
      </c>
      <c r="H530" s="246" t="n">
        <v>35</v>
      </c>
      <c r="I530" s="246" t="n">
        <v>8.6</v>
      </c>
      <c r="J530" s="246" t="n">
        <v>63.5</v>
      </c>
      <c r="K530" s="247" t="inlineStr">
        <is>
          <t>6683 STARPLUS LEGEND</t>
        </is>
      </c>
    </row>
    <row r="531">
      <c r="A531" s="51" t="inlineStr">
        <is>
          <t>NETDRAGON WEBSOFT INC</t>
        </is>
      </c>
      <c r="B531" s="243" t="n">
        <v>1</v>
      </c>
      <c r="C531" s="245" t="n">
        <v>100</v>
      </c>
      <c r="D531" s="246" t="n">
        <v>23.8</v>
      </c>
      <c r="E531" s="246" t="n">
        <v>67.09999999999999</v>
      </c>
      <c r="F531" s="246" t="n">
        <v>34.4</v>
      </c>
      <c r="G531" s="246" t="n">
        <v>102.3</v>
      </c>
      <c r="H531" s="246" t="n">
        <v>35</v>
      </c>
      <c r="I531" s="246" t="n">
        <v>8.6</v>
      </c>
      <c r="J531" s="246" t="n">
        <v>63.5</v>
      </c>
      <c r="K531" s="247" t="inlineStr">
        <is>
          <t>6683 STARPLUS LEGEND</t>
        </is>
      </c>
    </row>
    <row r="532">
      <c r="A532" s="51" t="inlineStr">
        <is>
          <t>Huadong Medicine Investment Holding (Hong Kong) Limited</t>
        </is>
      </c>
      <c r="B532" s="243" t="n">
        <v>1</v>
      </c>
      <c r="C532" s="245" t="n">
        <v>100</v>
      </c>
      <c r="D532" s="246" t="n">
        <v>23.7</v>
      </c>
      <c r="E532" s="246" t="n">
        <v>21</v>
      </c>
      <c r="F532" s="246" t="n">
        <v>20.7</v>
      </c>
      <c r="G532" s="246" t="n">
        <v>39.6</v>
      </c>
      <c r="H532" s="246" t="n">
        <v>-2.2</v>
      </c>
      <c r="I532" s="246" t="n">
        <v>-2.5</v>
      </c>
      <c r="J532" s="246" t="n">
        <v>12.9</v>
      </c>
      <c r="K532" s="247" t="inlineStr">
        <is>
          <t>2509 QYUNS-B</t>
        </is>
      </c>
    </row>
    <row r="533">
      <c r="A533" s="51" t="inlineStr">
        <is>
          <t>Beevest Capital Limited</t>
        </is>
      </c>
      <c r="B533" s="243" t="n">
        <v>1</v>
      </c>
      <c r="C533" s="245" t="n">
        <v>100</v>
      </c>
      <c r="D533" s="246" t="n">
        <v>23.7</v>
      </c>
      <c r="E533" s="246" t="n">
        <v>21</v>
      </c>
      <c r="F533" s="246" t="n">
        <v>20.7</v>
      </c>
      <c r="G533" s="246" t="n">
        <v>39.6</v>
      </c>
      <c r="H533" s="246" t="n">
        <v>-2.2</v>
      </c>
      <c r="I533" s="246" t="n">
        <v>-2.5</v>
      </c>
      <c r="J533" s="246" t="n">
        <v>12.9</v>
      </c>
      <c r="K533" s="247" t="inlineStr">
        <is>
          <t>2509 QYUNS-B</t>
        </is>
      </c>
    </row>
    <row r="534">
      <c r="A534" s="51" t="inlineStr">
        <is>
          <t>JianXin Medical Technology Limited</t>
        </is>
      </c>
      <c r="B534" s="243" t="n">
        <v>1</v>
      </c>
      <c r="C534" s="245" t="n">
        <v>100</v>
      </c>
      <c r="D534" s="246" t="n">
        <v>23.7</v>
      </c>
      <c r="E534" s="246" t="n">
        <v>21</v>
      </c>
      <c r="F534" s="246" t="n">
        <v>20.7</v>
      </c>
      <c r="G534" s="246" t="n">
        <v>39.6</v>
      </c>
      <c r="H534" s="246" t="n">
        <v>-2.2</v>
      </c>
      <c r="I534" s="246" t="n">
        <v>-2.5</v>
      </c>
      <c r="J534" s="246" t="n">
        <v>12.9</v>
      </c>
      <c r="K534" s="247" t="inlineStr">
        <is>
          <t>2509 QYUNS-B</t>
        </is>
      </c>
    </row>
    <row r="535">
      <c r="A535" s="51" t="inlineStr">
        <is>
          <t>Xinmin Tianshi Agricultural Industry Development Company Limited</t>
        </is>
      </c>
      <c r="B535" s="243" t="n">
        <v>1</v>
      </c>
      <c r="C535" s="245" t="n">
        <v>100</v>
      </c>
      <c r="D535" s="246" t="n">
        <v>22.7</v>
      </c>
      <c r="E535" s="246" t="n">
        <v>60.8</v>
      </c>
      <c r="F535" s="246" t="n">
        <v>61.5</v>
      </c>
      <c r="G535" s="246" t="n">
        <v>68.3</v>
      </c>
      <c r="H535" s="246" t="n">
        <v>31.1</v>
      </c>
      <c r="I535" s="246" t="n">
        <v>31.6</v>
      </c>
      <c r="J535" s="246" t="n">
        <v>37.2</v>
      </c>
      <c r="K535" s="247" t="inlineStr">
        <is>
          <t>9676 SHIYUE DAOTIAN</t>
        </is>
      </c>
    </row>
    <row r="536">
      <c r="A536" s="51" t="inlineStr">
        <is>
          <t>Bona Star Consultant Limited</t>
        </is>
      </c>
      <c r="B536" s="243" t="n">
        <v>1</v>
      </c>
      <c r="C536" s="245" t="n">
        <v>100</v>
      </c>
      <c r="D536" s="246" t="n">
        <v>22.5</v>
      </c>
      <c r="E536" s="246" t="n">
        <v>10.2</v>
      </c>
      <c r="F536" s="246" t="n">
        <v>-12.2</v>
      </c>
      <c r="G536" s="246" t="n">
        <v>-12.3</v>
      </c>
      <c r="H536" s="246" t="n">
        <v>-10</v>
      </c>
      <c r="I536" s="246" t="n">
        <v>-28.4</v>
      </c>
      <c r="J536" s="246" t="n">
        <v>-28.4</v>
      </c>
      <c r="K536" s="247" t="inlineStr">
        <is>
          <t>6067 SENIOR MATERIAL</t>
        </is>
      </c>
    </row>
    <row r="537">
      <c r="A537" s="51" t="inlineStr">
        <is>
          <t>JINKOSOLAR INVESTMENT LIMITED</t>
        </is>
      </c>
      <c r="B537" s="243" t="n">
        <v>1</v>
      </c>
      <c r="C537" s="245" t="n">
        <v>100</v>
      </c>
      <c r="D537" s="246" t="n">
        <v>22.5</v>
      </c>
      <c r="E537" s="246" t="n">
        <v>10.2</v>
      </c>
      <c r="F537" s="246" t="n">
        <v>-12.2</v>
      </c>
      <c r="G537" s="246" t="n">
        <v>-12.3</v>
      </c>
      <c r="H537" s="246" t="n">
        <v>-10</v>
      </c>
      <c r="I537" s="246" t="n">
        <v>-28.4</v>
      </c>
      <c r="J537" s="246" t="n">
        <v>-28.4</v>
      </c>
      <c r="K537" s="247" t="inlineStr">
        <is>
          <t>6067 SENIOR MATERIAL</t>
        </is>
      </c>
    </row>
    <row r="538">
      <c r="A538" s="51" t="inlineStr">
        <is>
          <t>Mondeomax Limited</t>
        </is>
      </c>
      <c r="B538" s="243" t="n">
        <v>1</v>
      </c>
      <c r="C538" s="245" t="n">
        <v>100</v>
      </c>
      <c r="D538" s="246" t="n">
        <v>22.5</v>
      </c>
      <c r="E538" s="246" t="n">
        <v>10.2</v>
      </c>
      <c r="F538" s="246" t="n">
        <v>-12.2</v>
      </c>
      <c r="G538" s="246" t="n">
        <v>-12.3</v>
      </c>
      <c r="H538" s="246" t="n">
        <v>-10</v>
      </c>
      <c r="I538" s="246" t="n">
        <v>-28.4</v>
      </c>
      <c r="J538" s="246" t="n">
        <v>-28.4</v>
      </c>
      <c r="K538" s="247" t="inlineStr">
        <is>
          <t>6067 SENIOR MATERIAL</t>
        </is>
      </c>
    </row>
    <row r="539">
      <c r="A539" s="51" t="inlineStr">
        <is>
          <t>SHEEN NATION HOLDINGS LIMITED</t>
        </is>
      </c>
      <c r="B539" s="243" t="n">
        <v>1</v>
      </c>
      <c r="C539" s="245" t="n">
        <v>100</v>
      </c>
      <c r="D539" s="246" t="n">
        <v>22.5</v>
      </c>
      <c r="E539" s="246" t="n">
        <v>10.2</v>
      </c>
      <c r="F539" s="246" t="n">
        <v>-12.2</v>
      </c>
      <c r="G539" s="246" t="n">
        <v>-12.3</v>
      </c>
      <c r="H539" s="246" t="n">
        <v>-10</v>
      </c>
      <c r="I539" s="246" t="n">
        <v>-28.4</v>
      </c>
      <c r="J539" s="246" t="n">
        <v>-28.4</v>
      </c>
      <c r="K539" s="247" t="inlineStr">
        <is>
          <t>6067 SENIOR MATERIAL</t>
        </is>
      </c>
    </row>
    <row r="540">
      <c r="A540" s="51" t="inlineStr">
        <is>
          <t>SINSANWA HOLDINGS (H.K.) CO., LIMITED</t>
        </is>
      </c>
      <c r="B540" s="243" t="n">
        <v>1</v>
      </c>
      <c r="C540" s="245" t="n">
        <v>100</v>
      </c>
      <c r="D540" s="246" t="n">
        <v>22.5</v>
      </c>
      <c r="E540" s="246" t="n">
        <v>10.2</v>
      </c>
      <c r="F540" s="246" t="n">
        <v>-12.2</v>
      </c>
      <c r="G540" s="246" t="n">
        <v>-12.3</v>
      </c>
      <c r="H540" s="246" t="n">
        <v>-10</v>
      </c>
      <c r="I540" s="246" t="n">
        <v>-28.4</v>
      </c>
      <c r="J540" s="246" t="n">
        <v>-28.4</v>
      </c>
      <c r="K540" s="247" t="inlineStr">
        <is>
          <t>6067 SENIOR MATERIAL</t>
        </is>
      </c>
    </row>
    <row r="541">
      <c r="A541" s="51" t="inlineStr">
        <is>
          <t>Coast Flagship Investment SPC</t>
        </is>
      </c>
      <c r="B541" s="243" t="n">
        <v>1</v>
      </c>
      <c r="C541" s="245" t="n">
        <v>100</v>
      </c>
      <c r="D541" s="246" t="n">
        <v>21.9</v>
      </c>
      <c r="E541" s="246" t="n">
        <v>10.6</v>
      </c>
      <c r="F541" s="246" t="n">
        <v>8.1</v>
      </c>
      <c r="G541" s="246" t="n">
        <v>21.1</v>
      </c>
      <c r="H541" s="246" t="n">
        <v>-9.300000000000001</v>
      </c>
      <c r="I541" s="246" t="n">
        <v>-11.3</v>
      </c>
      <c r="J541" s="246" t="n">
        <v>-0.7</v>
      </c>
      <c r="K541" s="247" t="inlineStr">
        <is>
          <t>1490 CHESHI</t>
        </is>
      </c>
    </row>
    <row r="542">
      <c r="A542" s="51" t="inlineStr">
        <is>
          <t>Shimmering Skyline L.P</t>
        </is>
      </c>
      <c r="B542" s="243" t="n">
        <v>1</v>
      </c>
      <c r="C542" s="245" t="n">
        <v>100</v>
      </c>
      <c r="D542" s="246" t="n">
        <v>21.9</v>
      </c>
      <c r="E542" s="246" t="n">
        <v>10.6</v>
      </c>
      <c r="F542" s="246" t="n">
        <v>8.1</v>
      </c>
      <c r="G542" s="246" t="n">
        <v>21.1</v>
      </c>
      <c r="H542" s="246" t="n">
        <v>-9.300000000000001</v>
      </c>
      <c r="I542" s="246" t="n">
        <v>-11.3</v>
      </c>
      <c r="J542" s="246" t="n">
        <v>-0.7</v>
      </c>
      <c r="K542" s="247" t="inlineStr">
        <is>
          <t>1490 CHESHI</t>
        </is>
      </c>
    </row>
    <row r="543">
      <c r="A543" s="51" t="inlineStr">
        <is>
          <t>He Win Hong Kong Holdings Co., Limited</t>
        </is>
      </c>
      <c r="B543" s="243" t="n">
        <v>1</v>
      </c>
      <c r="C543" s="245" t="n">
        <v>100</v>
      </c>
      <c r="D543" s="246" t="n">
        <v>21.4</v>
      </c>
      <c r="E543" s="246" t="n">
        <v>-16.8</v>
      </c>
      <c r="F543" s="246" t="n">
        <v>-34.6</v>
      </c>
      <c r="G543" s="246" t="n">
        <v>-34.9</v>
      </c>
      <c r="H543" s="246" t="n">
        <v>-31.5</v>
      </c>
      <c r="I543" s="246" t="n">
        <v>-46.1</v>
      </c>
      <c r="J543" s="246" t="n">
        <v>-46.4</v>
      </c>
      <c r="K543" s="247" t="inlineStr">
        <is>
          <t>2573 NEWTREND GROUP</t>
        </is>
      </c>
    </row>
    <row r="544">
      <c r="A544" s="51" t="inlineStr">
        <is>
          <t>Apex Insight Investment L.P</t>
        </is>
      </c>
      <c r="B544" s="243" t="n">
        <v>1</v>
      </c>
      <c r="C544" s="245" t="n">
        <v>100</v>
      </c>
      <c r="D544" s="246" t="n">
        <v>21.3</v>
      </c>
      <c r="E544" s="246" t="n">
        <v>11.2</v>
      </c>
      <c r="F544" s="246" t="n">
        <v>38.7</v>
      </c>
      <c r="G544" s="246" t="n">
        <v>25.4</v>
      </c>
      <c r="H544" s="246" t="n">
        <v>-8.300000000000001</v>
      </c>
      <c r="I544" s="246" t="n">
        <v>14.4</v>
      </c>
      <c r="J544" s="246" t="n">
        <v>3.4</v>
      </c>
      <c r="K544" s="247" t="inlineStr">
        <is>
          <t>3388 CREALITY</t>
        </is>
      </c>
    </row>
    <row r="545">
      <c r="A545" s="51" t="inlineStr">
        <is>
          <t>Dingxin (Securities) Limited</t>
        </is>
      </c>
      <c r="B545" s="243" t="n">
        <v>1</v>
      </c>
      <c r="C545" s="245" t="n">
        <v>100</v>
      </c>
      <c r="D545" s="246" t="n">
        <v>21.3</v>
      </c>
      <c r="E545" s="246" t="n">
        <v>11.2</v>
      </c>
      <c r="F545" s="246" t="n">
        <v>38.7</v>
      </c>
      <c r="G545" s="246" t="n">
        <v>25.4</v>
      </c>
      <c r="H545" s="246" t="n">
        <v>-8.300000000000001</v>
      </c>
      <c r="I545" s="246" t="n">
        <v>14.4</v>
      </c>
      <c r="J545" s="246" t="n">
        <v>3.4</v>
      </c>
      <c r="K545" s="247" t="inlineStr">
        <is>
          <t>3388 CREALITY</t>
        </is>
      </c>
    </row>
    <row r="546">
      <c r="A546" s="51" t="inlineStr">
        <is>
          <t>Colloway Group Limited</t>
        </is>
      </c>
      <c r="B546" s="243" t="n">
        <v>1</v>
      </c>
      <c r="C546" s="245" t="n">
        <v>100</v>
      </c>
      <c r="D546" s="246" t="n">
        <v>21.3</v>
      </c>
      <c r="E546" s="246" t="n">
        <v>11.2</v>
      </c>
      <c r="F546" s="246" t="n">
        <v>38.7</v>
      </c>
      <c r="G546" s="246" t="n">
        <v>25.4</v>
      </c>
      <c r="H546" s="246" t="n">
        <v>-8.300000000000001</v>
      </c>
      <c r="I546" s="246" t="n">
        <v>14.4</v>
      </c>
      <c r="J546" s="246" t="n">
        <v>3.4</v>
      </c>
      <c r="K546" s="247" t="inlineStr">
        <is>
          <t>3388 CREALITY</t>
        </is>
      </c>
    </row>
    <row r="547">
      <c r="A547" s="51" t="inlineStr">
        <is>
          <t>Future Industry Investment Fund II</t>
        </is>
      </c>
      <c r="B547" s="243" t="n">
        <v>1</v>
      </c>
      <c r="C547" s="245" t="n">
        <v>100</v>
      </c>
      <c r="D547" s="246" t="n">
        <v>20.9</v>
      </c>
      <c r="E547" s="246" t="n">
        <v>22.3</v>
      </c>
      <c r="F547" s="246" t="n">
        <v>16.5</v>
      </c>
      <c r="G547" s="246" t="n">
        <v>10.4</v>
      </c>
      <c r="H547" s="246" t="n">
        <v>1.2</v>
      </c>
      <c r="I547" s="246" t="n">
        <v>-3.6</v>
      </c>
      <c r="J547" s="246" t="n">
        <v>-8.699999999999999</v>
      </c>
      <c r="K547" s="247" t="inlineStr">
        <is>
          <t>2105 LAEKNA-B</t>
        </is>
      </c>
    </row>
    <row r="548">
      <c r="A548" s="51" t="inlineStr">
        <is>
          <t>Yuyao Yangming Equity Investment Fund Co., Ltd</t>
        </is>
      </c>
      <c r="B548" s="243" t="n">
        <v>1</v>
      </c>
      <c r="C548" s="245" t="n">
        <v>100</v>
      </c>
      <c r="D548" s="246" t="n">
        <v>20.9</v>
      </c>
      <c r="E548" s="246" t="n">
        <v>22.3</v>
      </c>
      <c r="F548" s="246" t="n">
        <v>16.5</v>
      </c>
      <c r="G548" s="246" t="n">
        <v>10.4</v>
      </c>
      <c r="H548" s="246" t="n">
        <v>1.2</v>
      </c>
      <c r="I548" s="246" t="n">
        <v>-3.6</v>
      </c>
      <c r="J548" s="246" t="n">
        <v>-8.699999999999999</v>
      </c>
      <c r="K548" s="247" t="inlineStr">
        <is>
          <t>2105 LAEKNA-B</t>
        </is>
      </c>
    </row>
    <row r="549">
      <c r="A549" s="51" t="inlineStr">
        <is>
          <t>Modern Direct Investment New Energy Technology Co., Limited</t>
        </is>
      </c>
      <c r="B549" s="243" t="n">
        <v>1</v>
      </c>
      <c r="C549" s="245" t="n">
        <v>100</v>
      </c>
      <c r="D549" s="246" t="n">
        <v>20.1</v>
      </c>
      <c r="E549" s="246" t="n">
        <v>3.6</v>
      </c>
      <c r="F549" s="246" t="n">
        <v>8.1</v>
      </c>
      <c r="G549" s="246" t="n">
        <v>-2.5</v>
      </c>
      <c r="H549" s="246" t="n">
        <v>-13.7</v>
      </c>
      <c r="I549" s="246" t="n">
        <v>-10</v>
      </c>
      <c r="J549" s="246" t="n">
        <v>-18.8</v>
      </c>
      <c r="K549" s="247" t="inlineStr">
        <is>
          <t>2865 DRINDA</t>
        </is>
      </c>
    </row>
    <row r="550">
      <c r="A550" s="51" t="inlineStr">
        <is>
          <t>Zhuhai Gokin New Energy Investment Co., Ltd</t>
        </is>
      </c>
      <c r="B550" s="243" t="n">
        <v>1</v>
      </c>
      <c r="C550" s="245" t="n">
        <v>100</v>
      </c>
      <c r="D550" s="246" t="n">
        <v>20.1</v>
      </c>
      <c r="E550" s="246" t="n">
        <v>3.6</v>
      </c>
      <c r="F550" s="246" t="n">
        <v>8.1</v>
      </c>
      <c r="G550" s="246" t="n">
        <v>-2.5</v>
      </c>
      <c r="H550" s="246" t="n">
        <v>-13.7</v>
      </c>
      <c r="I550" s="246" t="n">
        <v>-10</v>
      </c>
      <c r="J550" s="246" t="n">
        <v>-18.8</v>
      </c>
      <c r="K550" s="247" t="inlineStr">
        <is>
          <t>2865 DRINDA</t>
        </is>
      </c>
    </row>
    <row r="551">
      <c r="A551" s="51" t="inlineStr">
        <is>
          <t>Zhixin Qingzhuang</t>
        </is>
      </c>
      <c r="B551" s="243" t="n">
        <v>1</v>
      </c>
      <c r="C551" s="245" t="n">
        <v>100</v>
      </c>
      <c r="D551" s="246" t="n">
        <v>20</v>
      </c>
      <c r="E551" s="246" t="n">
        <v>48.5</v>
      </c>
      <c r="F551" s="246" t="n">
        <v>69.8</v>
      </c>
      <c r="G551" s="246" t="n">
        <v>132.2</v>
      </c>
      <c r="H551" s="246" t="n">
        <v>23.8</v>
      </c>
      <c r="I551" s="246" t="n">
        <v>41.5</v>
      </c>
      <c r="J551" s="246" t="n">
        <v>93.5</v>
      </c>
      <c r="K551" s="247" t="inlineStr">
        <is>
          <t>2582 GUOFUHEE</t>
        </is>
      </c>
    </row>
    <row r="552">
      <c r="A552" s="51" t="inlineStr">
        <is>
          <t>VH Nanchang Donghu Asset</t>
        </is>
      </c>
      <c r="B552" s="243" t="n">
        <v>1</v>
      </c>
      <c r="C552" s="245" t="n">
        <v>100</v>
      </c>
      <c r="D552" s="246" t="n">
        <v>18.5</v>
      </c>
      <c r="E552" s="246" t="n">
        <v>40</v>
      </c>
      <c r="F552" s="246" t="n">
        <v>90.2</v>
      </c>
      <c r="G552" s="246" t="n">
        <v>125.3</v>
      </c>
      <c r="H552" s="246" t="n">
        <v>18.2</v>
      </c>
      <c r="I552" s="246" t="n">
        <v>60.6</v>
      </c>
      <c r="J552" s="246" t="n">
        <v>90.2</v>
      </c>
      <c r="K552" s="247" t="inlineStr">
        <is>
          <t>2556 MARKETINGFORCE</t>
        </is>
      </c>
    </row>
    <row r="553">
      <c r="A553" s="51" t="inlineStr">
        <is>
          <t>Capital LPF</t>
        </is>
      </c>
      <c r="B553" s="243" t="n">
        <v>1</v>
      </c>
      <c r="C553" s="245" t="n">
        <v>100</v>
      </c>
      <c r="D553" s="246" t="n">
        <v>18.5</v>
      </c>
      <c r="E553" s="246" t="n">
        <v>40</v>
      </c>
      <c r="F553" s="246" t="n">
        <v>90.2</v>
      </c>
      <c r="G553" s="246" t="n">
        <v>125.3</v>
      </c>
      <c r="H553" s="246" t="n">
        <v>18.2</v>
      </c>
      <c r="I553" s="246" t="n">
        <v>60.6</v>
      </c>
      <c r="J553" s="246" t="n">
        <v>90.2</v>
      </c>
      <c r="K553" s="247" t="inlineStr">
        <is>
          <t>2556 MARKETINGFORCE</t>
        </is>
      </c>
    </row>
    <row r="554">
      <c r="A554" s="51" t="inlineStr">
        <is>
          <t>Sinopec HK</t>
        </is>
      </c>
      <c r="B554" s="243" t="n">
        <v>1</v>
      </c>
      <c r="C554" s="245" t="n">
        <v>100</v>
      </c>
      <c r="D554" s="246" t="n">
        <v>16.4</v>
      </c>
      <c r="E554" s="246" t="n">
        <v>17.5</v>
      </c>
      <c r="F554" s="246" t="n">
        <v>16.5</v>
      </c>
      <c r="G554" s="246" t="n">
        <v>57.4</v>
      </c>
      <c r="H554" s="246" t="n">
        <v>0.9</v>
      </c>
      <c r="I554" s="246" t="n">
        <v>0.1</v>
      </c>
      <c r="J554" s="246" t="n">
        <v>35.2</v>
      </c>
      <c r="K554" s="247" t="inlineStr">
        <is>
          <t>3750 CATL</t>
        </is>
      </c>
    </row>
    <row r="555">
      <c r="A555" s="51" t="inlineStr">
        <is>
          <t>16 2025 KIA</t>
        </is>
      </c>
      <c r="B555" s="243" t="n">
        <v>1</v>
      </c>
      <c r="C555" s="245" t="n">
        <v>100</v>
      </c>
      <c r="D555" s="246" t="n">
        <v>16.4</v>
      </c>
      <c r="E555" s="246" t="n">
        <v>17.5</v>
      </c>
      <c r="F555" s="246" t="n">
        <v>16.5</v>
      </c>
      <c r="G555" s="246" t="n">
        <v>57.4</v>
      </c>
      <c r="H555" s="246" t="n">
        <v>0.9</v>
      </c>
      <c r="I555" s="246" t="n">
        <v>0.1</v>
      </c>
      <c r="J555" s="246" t="n">
        <v>35.2</v>
      </c>
      <c r="K555" s="247" t="inlineStr">
        <is>
          <t>3750 CATL</t>
        </is>
      </c>
    </row>
    <row r="556">
      <c r="A556" s="51" t="inlineStr">
        <is>
          <t>November 19, 2025 HHLR CF, L.P</t>
        </is>
      </c>
      <c r="B556" s="243" t="n">
        <v>1</v>
      </c>
      <c r="C556" s="245" t="n">
        <v>100</v>
      </c>
      <c r="D556" s="246" t="n">
        <v>16.4</v>
      </c>
      <c r="E556" s="246" t="n">
        <v>17.5</v>
      </c>
      <c r="F556" s="246" t="n">
        <v>16.5</v>
      </c>
      <c r="G556" s="246" t="n">
        <v>57.4</v>
      </c>
      <c r="H556" s="246" t="n">
        <v>0.9</v>
      </c>
      <c r="I556" s="246" t="n">
        <v>0.1</v>
      </c>
      <c r="J556" s="246" t="n">
        <v>35.2</v>
      </c>
      <c r="K556" s="247" t="inlineStr">
        <is>
          <t>3750 CATL</t>
        </is>
      </c>
    </row>
    <row r="557">
      <c r="A557" s="51" t="inlineStr">
        <is>
          <t>17 Asset Management (Asia) Limited 2025 CPIC Investors</t>
        </is>
      </c>
      <c r="B557" s="243" t="n">
        <v>1</v>
      </c>
      <c r="C557" s="245" t="n">
        <v>100</v>
      </c>
      <c r="D557" s="246" t="n">
        <v>16.4</v>
      </c>
      <c r="E557" s="246" t="n">
        <v>17.5</v>
      </c>
      <c r="F557" s="246" t="n">
        <v>16.5</v>
      </c>
      <c r="G557" s="246" t="n">
        <v>57.4</v>
      </c>
      <c r="H557" s="246" t="n">
        <v>0.9</v>
      </c>
      <c r="I557" s="246" t="n">
        <v>0.1</v>
      </c>
      <c r="J557" s="246" t="n">
        <v>35.2</v>
      </c>
      <c r="K557" s="247" t="inlineStr">
        <is>
          <t>3750 CATL</t>
        </is>
      </c>
    </row>
    <row r="558">
      <c r="A558" s="51" t="inlineStr">
        <is>
          <t>Formosa Opportunity Limited</t>
        </is>
      </c>
      <c r="B558" s="243" t="n">
        <v>1</v>
      </c>
      <c r="C558" s="245" t="n">
        <v>100</v>
      </c>
      <c r="D558" s="246" t="n">
        <v>16.2</v>
      </c>
      <c r="E558" s="246" t="n">
        <v>11.2</v>
      </c>
      <c r="F558" s="246" t="n">
        <v>-0.1</v>
      </c>
      <c r="G558" s="246" t="n">
        <v>-25.1</v>
      </c>
      <c r="H558" s="246" t="n">
        <v>-4.3</v>
      </c>
      <c r="I558" s="246" t="n">
        <v>-14</v>
      </c>
      <c r="J558" s="246" t="n">
        <v>-35.5</v>
      </c>
      <c r="K558" s="247" t="inlineStr">
        <is>
          <t>0501 OMNIVISION</t>
        </is>
      </c>
    </row>
    <row r="559">
      <c r="A559" s="51" t="inlineStr">
        <is>
          <t>Pudong Science and Technology (Cayman) Co., Ltd</t>
        </is>
      </c>
      <c r="B559" s="243" t="n">
        <v>1</v>
      </c>
      <c r="C559" s="245" t="n">
        <v>100</v>
      </c>
      <c r="D559" s="246" t="n">
        <v>16.2</v>
      </c>
      <c r="E559" s="246" t="n">
        <v>11.2</v>
      </c>
      <c r="F559" s="246" t="n">
        <v>-0.1</v>
      </c>
      <c r="G559" s="246" t="n">
        <v>-25.1</v>
      </c>
      <c r="H559" s="246" t="n">
        <v>-4.3</v>
      </c>
      <c r="I559" s="246" t="n">
        <v>-14</v>
      </c>
      <c r="J559" s="246" t="n">
        <v>-35.5</v>
      </c>
      <c r="K559" s="247" t="inlineStr">
        <is>
          <t>0501 OMNIVISION</t>
        </is>
      </c>
    </row>
    <row r="560">
      <c r="A560" s="51" t="inlineStr">
        <is>
          <t>Torus</t>
        </is>
      </c>
      <c r="B560" s="243" t="n">
        <v>1</v>
      </c>
      <c r="C560" s="245" t="n">
        <v>100</v>
      </c>
      <c r="D560" s="246" t="n">
        <v>16</v>
      </c>
      <c r="E560" s="246" t="n">
        <v>25.8</v>
      </c>
      <c r="F560" s="246" t="n">
        <v>30.9</v>
      </c>
      <c r="G560" s="246" t="n">
        <v>65.09999999999999</v>
      </c>
      <c r="H560" s="246" t="n">
        <v>8.4</v>
      </c>
      <c r="I560" s="246" t="n">
        <v>12.8</v>
      </c>
      <c r="J560" s="246" t="n">
        <v>42.3</v>
      </c>
      <c r="K560" s="247" t="inlineStr">
        <is>
          <t>1304 FORTIOR</t>
        </is>
      </c>
    </row>
    <row r="561">
      <c r="A561" s="51" t="inlineStr">
        <is>
          <t>Intac</t>
        </is>
      </c>
      <c r="B561" s="243" t="n">
        <v>1</v>
      </c>
      <c r="C561" s="245" t="n">
        <v>100</v>
      </c>
      <c r="D561" s="246" t="n">
        <v>16</v>
      </c>
      <c r="E561" s="246" t="n">
        <v>25.8</v>
      </c>
      <c r="F561" s="246" t="n">
        <v>30.9</v>
      </c>
      <c r="G561" s="246" t="n">
        <v>65.09999999999999</v>
      </c>
      <c r="H561" s="246" t="n">
        <v>8.4</v>
      </c>
      <c r="I561" s="246" t="n">
        <v>12.8</v>
      </c>
      <c r="J561" s="246" t="n">
        <v>42.3</v>
      </c>
      <c r="K561" s="247" t="inlineStr">
        <is>
          <t>1304 FORTIOR</t>
        </is>
      </c>
    </row>
    <row r="562">
      <c r="A562" s="51" t="inlineStr">
        <is>
          <t>Principal Asset Management Company (Asia) Limited</t>
        </is>
      </c>
      <c r="B562" s="243" t="n">
        <v>1</v>
      </c>
      <c r="C562" s="245" t="n">
        <v>100</v>
      </c>
      <c r="D562" s="246" t="n">
        <v>15.7</v>
      </c>
      <c r="E562" s="246" t="n">
        <v>1.3</v>
      </c>
      <c r="F562" s="246" t="n">
        <v>10.6</v>
      </c>
      <c r="G562" s="246" t="n">
        <v>19.9</v>
      </c>
      <c r="H562" s="246" t="n">
        <v>-12.4</v>
      </c>
      <c r="I562" s="246" t="n">
        <v>-4.4</v>
      </c>
      <c r="J562" s="246" t="n">
        <v>3.7</v>
      </c>
      <c r="K562" s="247" t="inlineStr">
        <is>
          <t>0668 ANKER</t>
        </is>
      </c>
    </row>
    <row r="563">
      <c r="A563" s="51" t="inlineStr">
        <is>
          <t>Beijing Financial Street Capital Operation Group Co., Ltd.ፄ൑༟͉༶ᐄ ʮ̡</t>
        </is>
      </c>
      <c r="B563" s="243" t="n">
        <v>1</v>
      </c>
      <c r="C563" s="245" t="n">
        <v>100</v>
      </c>
      <c r="D563" s="246" t="n">
        <v>15.2</v>
      </c>
      <c r="E563" s="246" t="n">
        <v>28.6</v>
      </c>
      <c r="F563" s="246" t="n">
        <v>89</v>
      </c>
      <c r="G563" s="248" t="n"/>
      <c r="H563" s="246" t="n">
        <v>11.7</v>
      </c>
      <c r="I563" s="246" t="n">
        <v>64</v>
      </c>
      <c r="J563" s="248" t="n"/>
      <c r="K563" s="247" t="inlineStr">
        <is>
          <t>3752 ROKAE ROBOTICS</t>
        </is>
      </c>
    </row>
    <row r="564">
      <c r="A564" s="51" t="inlineStr">
        <is>
          <t>All View Focus Fund LPF</t>
        </is>
      </c>
      <c r="B564" s="243" t="n">
        <v>1</v>
      </c>
      <c r="C564" s="245" t="n">
        <v>100</v>
      </c>
      <c r="D564" s="246" t="n">
        <v>15.2</v>
      </c>
      <c r="E564" s="246" t="n">
        <v>28.6</v>
      </c>
      <c r="F564" s="246" t="n">
        <v>89</v>
      </c>
      <c r="G564" s="248" t="n"/>
      <c r="H564" s="246" t="n">
        <v>11.7</v>
      </c>
      <c r="I564" s="246" t="n">
        <v>64</v>
      </c>
      <c r="J564" s="248" t="n"/>
      <c r="K564" s="247" t="inlineStr">
        <is>
          <t>3752 ROKAE ROBOTICS</t>
        </is>
      </c>
    </row>
    <row r="565">
      <c r="A565" s="51" t="inlineStr">
        <is>
          <t>China Travel Service (Holdings) Hong Kong Limited</t>
        </is>
      </c>
      <c r="B565" s="243" t="n">
        <v>1</v>
      </c>
      <c r="C565" s="245" t="n">
        <v>100</v>
      </c>
      <c r="D565" s="246" t="n">
        <v>15</v>
      </c>
      <c r="E565" s="246" t="n">
        <v>6.6</v>
      </c>
      <c r="F565" s="246" t="n">
        <v>-15</v>
      </c>
      <c r="G565" s="246" t="n">
        <v>-18.1</v>
      </c>
      <c r="H565" s="246" t="n">
        <v>-7.3</v>
      </c>
      <c r="I565" s="246" t="n">
        <v>-26.1</v>
      </c>
      <c r="J565" s="246" t="n">
        <v>-28.8</v>
      </c>
      <c r="K565" s="247" t="inlineStr">
        <is>
          <t>2460 CR BEVERAGE</t>
        </is>
      </c>
    </row>
    <row r="566">
      <c r="A566" s="51" t="inlineStr">
        <is>
          <t>Allianz Global Investors Asia Pacific Limited</t>
        </is>
      </c>
      <c r="B566" s="243" t="n">
        <v>1</v>
      </c>
      <c r="C566" s="245" t="n">
        <v>100</v>
      </c>
      <c r="D566" s="246" t="n">
        <v>14.9</v>
      </c>
      <c r="E566" s="246" t="n">
        <v>30</v>
      </c>
      <c r="F566" s="246" t="n">
        <v>0.9</v>
      </c>
      <c r="G566" s="246" t="n">
        <v>-17.4</v>
      </c>
      <c r="H566" s="246" t="n">
        <v>13.1</v>
      </c>
      <c r="I566" s="246" t="n">
        <v>-12.2</v>
      </c>
      <c r="J566" s="246" t="n">
        <v>-28.2</v>
      </c>
      <c r="K566" s="247" t="inlineStr">
        <is>
          <t>2543 DAHON TECH</t>
        </is>
      </c>
    </row>
    <row r="567">
      <c r="A567" s="51" t="inlineStr">
        <is>
          <t>Emsdom Limited</t>
        </is>
      </c>
      <c r="B567" s="243" t="n">
        <v>1</v>
      </c>
      <c r="C567" s="245" t="n">
        <v>100</v>
      </c>
      <c r="D567" s="246" t="n">
        <v>14.3</v>
      </c>
      <c r="E567" s="246" t="n">
        <v>9.5</v>
      </c>
      <c r="F567" s="246" t="n">
        <v>-19.1</v>
      </c>
      <c r="G567" s="246" t="n">
        <v>-15.2</v>
      </c>
      <c r="H567" s="246" t="n">
        <v>-4.2</v>
      </c>
      <c r="I567" s="246" t="n">
        <v>-29.2</v>
      </c>
      <c r="J567" s="246" t="n">
        <v>-25.8</v>
      </c>
      <c r="K567" s="247" t="inlineStr">
        <is>
          <t>1334 RUICHANG INTL</t>
        </is>
      </c>
    </row>
    <row r="568">
      <c r="A568" s="51" t="inlineStr">
        <is>
          <t>Shanghai Huijin Asset Management Co., Ltd</t>
        </is>
      </c>
      <c r="B568" s="243" t="n">
        <v>1</v>
      </c>
      <c r="C568" s="245" t="n">
        <v>100</v>
      </c>
      <c r="D568" s="246" t="n">
        <v>13.8</v>
      </c>
      <c r="E568" s="246" t="n">
        <v>26.5</v>
      </c>
      <c r="F568" s="246" t="n">
        <v>93.8</v>
      </c>
      <c r="G568" s="246" t="n">
        <v>61.5</v>
      </c>
      <c r="H568" s="246" t="n">
        <v>11.1</v>
      </c>
      <c r="I568" s="246" t="n">
        <v>70.3</v>
      </c>
      <c r="J568" s="246" t="n">
        <v>41.9</v>
      </c>
      <c r="K568" s="247" t="inlineStr">
        <is>
          <t>6616 GLOBAL NEW MAT</t>
        </is>
      </c>
    </row>
    <row r="569">
      <c r="A569" s="51" t="inlineStr">
        <is>
          <t>YBN Investments</t>
        </is>
      </c>
      <c r="B569" s="243" t="n">
        <v>1</v>
      </c>
      <c r="C569" s="245" t="n">
        <v>100</v>
      </c>
      <c r="D569" s="246" t="n">
        <v>13.8</v>
      </c>
      <c r="E569" s="246" t="n">
        <v>26.5</v>
      </c>
      <c r="F569" s="246" t="n">
        <v>93.8</v>
      </c>
      <c r="G569" s="246" t="n">
        <v>61.5</v>
      </c>
      <c r="H569" s="246" t="n">
        <v>11.1</v>
      </c>
      <c r="I569" s="246" t="n">
        <v>70.3</v>
      </c>
      <c r="J569" s="246" t="n">
        <v>41.9</v>
      </c>
      <c r="K569" s="247" t="inlineStr">
        <is>
          <t>6616 GLOBAL NEW MAT</t>
        </is>
      </c>
    </row>
    <row r="570">
      <c r="A570" s="51" t="inlineStr">
        <is>
          <t>Great Holding Development Limited</t>
        </is>
      </c>
      <c r="B570" s="243" t="n">
        <v>1</v>
      </c>
      <c r="C570" s="245" t="n">
        <v>100</v>
      </c>
      <c r="D570" s="246" t="n">
        <v>13.5</v>
      </c>
      <c r="E570" s="246" t="n">
        <v>3.9</v>
      </c>
      <c r="F570" s="246" t="n">
        <v>7.5</v>
      </c>
      <c r="G570" s="246" t="n">
        <v>-14</v>
      </c>
      <c r="H570" s="246" t="n">
        <v>-8.4</v>
      </c>
      <c r="I570" s="246" t="n">
        <v>-5.2</v>
      </c>
      <c r="J570" s="246" t="n">
        <v>-24.2</v>
      </c>
      <c r="K570" s="247" t="inlineStr">
        <is>
          <t>3355 FS.COM</t>
        </is>
      </c>
    </row>
    <row r="571">
      <c r="A571" s="51" t="inlineStr">
        <is>
          <t>Shanghai Intewise Capital Investment Limited ultimate clients and CICC Financial Trading Limited (in connection with Shanghai Intewise OTC Swaps)</t>
        </is>
      </c>
      <c r="B571" s="243" t="n">
        <v>1</v>
      </c>
      <c r="C571" s="245" t="n">
        <v>100</v>
      </c>
      <c r="D571" s="246" t="n">
        <v>13.5</v>
      </c>
      <c r="E571" s="246" t="n">
        <v>3.9</v>
      </c>
      <c r="F571" s="246" t="n">
        <v>7.5</v>
      </c>
      <c r="G571" s="246" t="n">
        <v>-14</v>
      </c>
      <c r="H571" s="246" t="n">
        <v>-8.4</v>
      </c>
      <c r="I571" s="246" t="n">
        <v>-5.2</v>
      </c>
      <c r="J571" s="246" t="n">
        <v>-24.2</v>
      </c>
      <c r="K571" s="247" t="inlineStr">
        <is>
          <t>3355 FS.COM</t>
        </is>
      </c>
    </row>
    <row r="572">
      <c r="A572" s="51" t="inlineStr">
        <is>
          <t>Aether Wave Fund L.P</t>
        </is>
      </c>
      <c r="B572" s="243" t="n">
        <v>1</v>
      </c>
      <c r="C572" s="245" t="n">
        <v>100</v>
      </c>
      <c r="D572" s="246" t="n">
        <v>13.5</v>
      </c>
      <c r="E572" s="246" t="n">
        <v>3.9</v>
      </c>
      <c r="F572" s="246" t="n">
        <v>7.5</v>
      </c>
      <c r="G572" s="246" t="n">
        <v>-14</v>
      </c>
      <c r="H572" s="246" t="n">
        <v>-8.4</v>
      </c>
      <c r="I572" s="246" t="n">
        <v>-5.2</v>
      </c>
      <c r="J572" s="246" t="n">
        <v>-24.2</v>
      </c>
      <c r="K572" s="247" t="inlineStr">
        <is>
          <t>3355 FS.COM</t>
        </is>
      </c>
    </row>
    <row r="573">
      <c r="A573" s="51" t="inlineStr">
        <is>
          <t>Shenzhen Kaifeng Investment Management Co., Ltd. , Changdu Kaifeng Investment</t>
        </is>
      </c>
      <c r="B573" s="243" t="n">
        <v>1</v>
      </c>
      <c r="C573" s="245" t="n">
        <v>100</v>
      </c>
      <c r="D573" s="246" t="n">
        <v>13.5</v>
      </c>
      <c r="E573" s="246" t="n">
        <v>3.9</v>
      </c>
      <c r="F573" s="246" t="n">
        <v>7.5</v>
      </c>
      <c r="G573" s="246" t="n">
        <v>-14</v>
      </c>
      <c r="H573" s="246" t="n">
        <v>-8.4</v>
      </c>
      <c r="I573" s="246" t="n">
        <v>-5.2</v>
      </c>
      <c r="J573" s="246" t="n">
        <v>-24.2</v>
      </c>
      <c r="K573" s="247" t="inlineStr">
        <is>
          <t>3355 FS.COM</t>
        </is>
      </c>
    </row>
    <row r="574">
      <c r="A574" s="51" t="inlineStr">
        <is>
          <t>Management Co., Ltd.</t>
        </is>
      </c>
      <c r="B574" s="243" t="n">
        <v>1</v>
      </c>
      <c r="C574" s="245" t="n">
        <v>100</v>
      </c>
      <c r="D574" s="246" t="n">
        <v>13.5</v>
      </c>
      <c r="E574" s="246" t="n">
        <v>3.9</v>
      </c>
      <c r="F574" s="246" t="n">
        <v>7.5</v>
      </c>
      <c r="G574" s="246" t="n">
        <v>-14</v>
      </c>
      <c r="H574" s="246" t="n">
        <v>-8.4</v>
      </c>
      <c r="I574" s="246" t="n">
        <v>-5.2</v>
      </c>
      <c r="J574" s="246" t="n">
        <v>-24.2</v>
      </c>
      <c r="K574" s="247" t="inlineStr">
        <is>
          <t>3355 FS.COM</t>
        </is>
      </c>
    </row>
    <row r="575">
      <c r="A575" s="51" t="inlineStr">
        <is>
          <t>Health Vision Hong Kong Limited</t>
        </is>
      </c>
      <c r="B575" s="243" t="n">
        <v>1</v>
      </c>
      <c r="C575" s="245" t="n">
        <v>100</v>
      </c>
      <c r="D575" s="246" t="n">
        <v>13.4</v>
      </c>
      <c r="E575" s="246" t="n">
        <v>-3.2</v>
      </c>
      <c r="F575" s="246" t="n">
        <v>9.1</v>
      </c>
      <c r="G575" s="246" t="n">
        <v>-54.5</v>
      </c>
      <c r="H575" s="246" t="n">
        <v>-14.6</v>
      </c>
      <c r="I575" s="246" t="n">
        <v>-3.8</v>
      </c>
      <c r="J575" s="246" t="n">
        <v>-59.9</v>
      </c>
      <c r="K575" s="247" t="inlineStr">
        <is>
          <t>2677 DISTINCT HEALTH</t>
        </is>
      </c>
    </row>
    <row r="576">
      <c r="A576" s="51" t="inlineStr">
        <is>
          <t>KingMed Diagnostics (Hong Kong) Limited ʮ̡</t>
        </is>
      </c>
      <c r="B576" s="243" t="n">
        <v>1</v>
      </c>
      <c r="C576" s="245" t="n">
        <v>100</v>
      </c>
      <c r="D576" s="246" t="n">
        <v>13.4</v>
      </c>
      <c r="E576" s="246" t="n">
        <v>-3.2</v>
      </c>
      <c r="F576" s="246" t="n">
        <v>9.1</v>
      </c>
      <c r="G576" s="246" t="n">
        <v>-54.5</v>
      </c>
      <c r="H576" s="246" t="n">
        <v>-14.6</v>
      </c>
      <c r="I576" s="246" t="n">
        <v>-3.8</v>
      </c>
      <c r="J576" s="246" t="n">
        <v>-59.9</v>
      </c>
      <c r="K576" s="247" t="inlineStr">
        <is>
          <t>2677 DISTINCT HEALTH</t>
        </is>
      </c>
    </row>
    <row r="577">
      <c r="A577" s="51" t="inlineStr">
        <is>
          <t>Mininglamp Technology</t>
        </is>
      </c>
      <c r="B577" s="243" t="n">
        <v>1</v>
      </c>
      <c r="C577" s="245" t="n">
        <v>100</v>
      </c>
      <c r="D577" s="246" t="n">
        <v>13.4</v>
      </c>
      <c r="E577" s="246" t="n">
        <v>-3.2</v>
      </c>
      <c r="F577" s="246" t="n">
        <v>9.1</v>
      </c>
      <c r="G577" s="246" t="n">
        <v>-54.5</v>
      </c>
      <c r="H577" s="246" t="n">
        <v>-14.6</v>
      </c>
      <c r="I577" s="246" t="n">
        <v>-3.8</v>
      </c>
      <c r="J577" s="246" t="n">
        <v>-59.9</v>
      </c>
      <c r="K577" s="247" t="inlineStr">
        <is>
          <t>2677 DISTINCT HEALTH</t>
        </is>
      </c>
    </row>
    <row r="578">
      <c r="A578" s="51" t="inlineStr">
        <is>
          <t>Cloud Map</t>
        </is>
      </c>
      <c r="B578" s="243" t="n">
        <v>1</v>
      </c>
      <c r="C578" s="245" t="n">
        <v>100</v>
      </c>
      <c r="D578" s="246" t="n">
        <v>13.3</v>
      </c>
      <c r="E578" s="246" t="n">
        <v>17.1</v>
      </c>
      <c r="F578" s="246" t="n">
        <v>52.2</v>
      </c>
      <c r="G578" s="246" t="n">
        <v>21.2</v>
      </c>
      <c r="H578" s="246" t="n">
        <v>3.4</v>
      </c>
      <c r="I578" s="246" t="n">
        <v>34.4</v>
      </c>
      <c r="J578" s="246" t="n">
        <v>7</v>
      </c>
      <c r="K578" s="247" t="inlineStr">
        <is>
          <t>3296 HUAQIN</t>
        </is>
      </c>
    </row>
    <row r="579">
      <c r="A579" s="51" t="inlineStr">
        <is>
          <t>Awinic Technology Limited</t>
        </is>
      </c>
      <c r="B579" s="243" t="n">
        <v>1</v>
      </c>
      <c r="C579" s="245" t="n">
        <v>100</v>
      </c>
      <c r="D579" s="246" t="n">
        <v>13.3</v>
      </c>
      <c r="E579" s="246" t="n">
        <v>17.1</v>
      </c>
      <c r="F579" s="246" t="n">
        <v>52.2</v>
      </c>
      <c r="G579" s="246" t="n">
        <v>21.2</v>
      </c>
      <c r="H579" s="246" t="n">
        <v>3.4</v>
      </c>
      <c r="I579" s="246" t="n">
        <v>34.4</v>
      </c>
      <c r="J579" s="246" t="n">
        <v>7</v>
      </c>
      <c r="K579" s="247" t="inlineStr">
        <is>
          <t>3296 HUAQIN</t>
        </is>
      </c>
    </row>
    <row r="580">
      <c r="A580" s="51" t="inlineStr">
        <is>
          <t>Changxing Xingchang Industrial Investment Partnership (Limited Partnership)</t>
        </is>
      </c>
      <c r="B580" s="243" t="n">
        <v>1</v>
      </c>
      <c r="C580" s="245" t="n">
        <v>100</v>
      </c>
      <c r="D580" s="246" t="n">
        <v>13.2</v>
      </c>
      <c r="E580" s="246" t="n">
        <v>90.09999999999999</v>
      </c>
      <c r="F580" s="246" t="n">
        <v>135.9</v>
      </c>
      <c r="G580" s="246" t="n">
        <v>129.8</v>
      </c>
      <c r="H580" s="246" t="n">
        <v>67.90000000000001</v>
      </c>
      <c r="I580" s="246" t="n">
        <v>108.4</v>
      </c>
      <c r="J580" s="246" t="n">
        <v>102.9</v>
      </c>
      <c r="K580" s="247" t="inlineStr">
        <is>
          <t>2410 TYK MEDICINES-B</t>
        </is>
      </c>
    </row>
    <row r="581">
      <c r="A581" s="51" t="inlineStr">
        <is>
          <t>Luster LightTech International Limited</t>
        </is>
      </c>
      <c r="B581" s="243" t="n">
        <v>1</v>
      </c>
      <c r="C581" s="245" t="n">
        <v>100</v>
      </c>
      <c r="D581" s="246" t="n">
        <v>13.2</v>
      </c>
      <c r="E581" s="246" t="n">
        <v>107.4</v>
      </c>
      <c r="F581" s="246" t="n">
        <v>74.90000000000001</v>
      </c>
      <c r="G581" s="246" t="n">
        <v>646.1</v>
      </c>
      <c r="H581" s="246" t="n">
        <v>83.3</v>
      </c>
      <c r="I581" s="246" t="n">
        <v>54.5</v>
      </c>
      <c r="J581" s="246" t="n">
        <v>559.3</v>
      </c>
      <c r="K581" s="247" t="inlineStr">
        <is>
          <t>2513 KNOWLEDGE ATLAS</t>
        </is>
      </c>
    </row>
    <row r="582">
      <c r="A582" s="51" t="inlineStr">
        <is>
          <t>Ung Choi Kun</t>
        </is>
      </c>
      <c r="B582" s="243" t="n">
        <v>1</v>
      </c>
      <c r="C582" s="245" t="n">
        <v>100</v>
      </c>
      <c r="D582" s="246" t="n">
        <v>13</v>
      </c>
      <c r="E582" s="246" t="n">
        <v>13</v>
      </c>
      <c r="F582" s="246" t="n">
        <v>10.2</v>
      </c>
      <c r="G582" s="246" t="n">
        <v>-3.7</v>
      </c>
      <c r="H582" s="246" t="n">
        <v>0</v>
      </c>
      <c r="I582" s="246" t="n">
        <v>-2.5</v>
      </c>
      <c r="J582" s="246" t="n">
        <v>-14.8</v>
      </c>
      <c r="K582" s="247" t="inlineStr">
        <is>
          <t>1204 BOARDWARE INTEL</t>
        </is>
      </c>
    </row>
    <row r="583">
      <c r="A583" s="51" t="inlineStr">
        <is>
          <t>Corelink Group Limited</t>
        </is>
      </c>
      <c r="B583" s="243" t="n">
        <v>1</v>
      </c>
      <c r="C583" s="245" t="n">
        <v>100</v>
      </c>
      <c r="D583" s="246" t="n">
        <v>12</v>
      </c>
      <c r="E583" s="246" t="n">
        <v>1.6</v>
      </c>
      <c r="F583" s="246" t="n">
        <v>0.7</v>
      </c>
      <c r="G583" s="246" t="n">
        <v>20</v>
      </c>
      <c r="H583" s="246" t="n">
        <v>-9.300000000000001</v>
      </c>
      <c r="I583" s="246" t="n">
        <v>-10.1</v>
      </c>
      <c r="J583" s="246" t="n">
        <v>7.1</v>
      </c>
      <c r="K583" s="247" t="inlineStr">
        <is>
          <t>9860 ADICON HOLDINGS</t>
        </is>
      </c>
    </row>
    <row r="584">
      <c r="A584" s="51" t="inlineStr">
        <is>
          <t>MR Global (HK) Limited</t>
        </is>
      </c>
      <c r="B584" s="243" t="n">
        <v>1</v>
      </c>
      <c r="C584" s="245" t="n">
        <v>100</v>
      </c>
      <c r="D584" s="246" t="n">
        <v>12</v>
      </c>
      <c r="E584" s="246" t="n">
        <v>1.6</v>
      </c>
      <c r="F584" s="246" t="n">
        <v>0.7</v>
      </c>
      <c r="G584" s="246" t="n">
        <v>20</v>
      </c>
      <c r="H584" s="246" t="n">
        <v>-9.300000000000001</v>
      </c>
      <c r="I584" s="246" t="n">
        <v>-10.1</v>
      </c>
      <c r="J584" s="246" t="n">
        <v>7.1</v>
      </c>
      <c r="K584" s="247" t="inlineStr">
        <is>
          <t>9860 ADICON HOLDINGS</t>
        </is>
      </c>
    </row>
    <row r="585">
      <c r="A585" s="51" t="inlineStr">
        <is>
          <t>Snibe Diagnostic (Hong Kong) Company Limited</t>
        </is>
      </c>
      <c r="B585" s="243" t="n">
        <v>1</v>
      </c>
      <c r="C585" s="245" t="n">
        <v>100</v>
      </c>
      <c r="D585" s="246" t="n">
        <v>12</v>
      </c>
      <c r="E585" s="246" t="n">
        <v>1.6</v>
      </c>
      <c r="F585" s="246" t="n">
        <v>0.7</v>
      </c>
      <c r="G585" s="246" t="n">
        <v>20</v>
      </c>
      <c r="H585" s="246" t="n">
        <v>-9.300000000000001</v>
      </c>
      <c r="I585" s="246" t="n">
        <v>-10.1</v>
      </c>
      <c r="J585" s="246" t="n">
        <v>7.1</v>
      </c>
      <c r="K585" s="247" t="inlineStr">
        <is>
          <t>9860 ADICON HOLDINGS</t>
        </is>
      </c>
    </row>
    <row r="586">
      <c r="A586" s="51" t="inlineStr">
        <is>
          <t>Timestar Elite Limited</t>
        </is>
      </c>
      <c r="B586" s="243" t="n">
        <v>1</v>
      </c>
      <c r="C586" s="245" t="n">
        <v>100</v>
      </c>
      <c r="D586" s="246" t="n">
        <v>12</v>
      </c>
      <c r="E586" s="246" t="n">
        <v>1.6</v>
      </c>
      <c r="F586" s="246" t="n">
        <v>0.7</v>
      </c>
      <c r="G586" s="246" t="n">
        <v>20</v>
      </c>
      <c r="H586" s="246" t="n">
        <v>-9.300000000000001</v>
      </c>
      <c r="I586" s="246" t="n">
        <v>-10.1</v>
      </c>
      <c r="J586" s="246" t="n">
        <v>7.1</v>
      </c>
      <c r="K586" s="247" t="inlineStr">
        <is>
          <t>9860 ADICON HOLDINGS</t>
        </is>
      </c>
    </row>
    <row r="587">
      <c r="A587" s="51" t="inlineStr">
        <is>
          <t>Nice First Investments Limited</t>
        </is>
      </c>
      <c r="B587" s="243" t="n">
        <v>1</v>
      </c>
      <c r="C587" s="245" t="n">
        <v>100</v>
      </c>
      <c r="D587" s="246" t="n">
        <v>11.6</v>
      </c>
      <c r="E587" s="246" t="n">
        <v>27.2</v>
      </c>
      <c r="F587" s="246" t="n">
        <v>33.2</v>
      </c>
      <c r="G587" s="246" t="n">
        <v>43.8</v>
      </c>
      <c r="H587" s="246" t="n">
        <v>14</v>
      </c>
      <c r="I587" s="246" t="n">
        <v>19.4</v>
      </c>
      <c r="J587" s="246" t="n">
        <v>28.9</v>
      </c>
      <c r="K587" s="247" t="inlineStr">
        <is>
          <t>2768 GON TECHNOLOGY</t>
        </is>
      </c>
    </row>
    <row r="588">
      <c r="A588" s="51" t="inlineStr">
        <is>
          <t>SLD International Enterprises Limited</t>
        </is>
      </c>
      <c r="B588" s="243" t="n">
        <v>1</v>
      </c>
      <c r="C588" s="245" t="n">
        <v>100</v>
      </c>
      <c r="D588" s="246" t="n">
        <v>11.6</v>
      </c>
      <c r="E588" s="246" t="n">
        <v>27.2</v>
      </c>
      <c r="F588" s="246" t="n">
        <v>33.2</v>
      </c>
      <c r="G588" s="246" t="n">
        <v>43.8</v>
      </c>
      <c r="H588" s="246" t="n">
        <v>14</v>
      </c>
      <c r="I588" s="246" t="n">
        <v>19.4</v>
      </c>
      <c r="J588" s="246" t="n">
        <v>28.9</v>
      </c>
      <c r="K588" s="247" t="inlineStr">
        <is>
          <t>2768 GON TECHNOLOGY</t>
        </is>
      </c>
    </row>
    <row r="589">
      <c r="A589" s="51" t="inlineStr">
        <is>
          <t>Cheng A International Co., Limited</t>
        </is>
      </c>
      <c r="B589" s="243" t="n">
        <v>1</v>
      </c>
      <c r="C589" s="245" t="n">
        <v>100</v>
      </c>
      <c r="D589" s="246" t="n">
        <v>11.6</v>
      </c>
      <c r="E589" s="246" t="n">
        <v>27.2</v>
      </c>
      <c r="F589" s="246" t="n">
        <v>33.2</v>
      </c>
      <c r="G589" s="246" t="n">
        <v>43.8</v>
      </c>
      <c r="H589" s="246" t="n">
        <v>14</v>
      </c>
      <c r="I589" s="246" t="n">
        <v>19.4</v>
      </c>
      <c r="J589" s="246" t="n">
        <v>28.9</v>
      </c>
      <c r="K589" s="247" t="inlineStr">
        <is>
          <t>2768 GON TECHNOLOGY</t>
        </is>
      </c>
    </row>
    <row r="590">
      <c r="A590" s="51" t="inlineStr">
        <is>
          <t>Shenwan Hongyuan Securities Co., Ltd</t>
        </is>
      </c>
      <c r="B590" s="243" t="n">
        <v>1</v>
      </c>
      <c r="C590" s="245" t="n">
        <v>100</v>
      </c>
      <c r="D590" s="246" t="n">
        <v>11.6</v>
      </c>
      <c r="E590" s="246" t="n">
        <v>27.2</v>
      </c>
      <c r="F590" s="246" t="n">
        <v>33.2</v>
      </c>
      <c r="G590" s="246" t="n">
        <v>43.8</v>
      </c>
      <c r="H590" s="246" t="n">
        <v>14</v>
      </c>
      <c r="I590" s="246" t="n">
        <v>19.4</v>
      </c>
      <c r="J590" s="246" t="n">
        <v>28.9</v>
      </c>
      <c r="K590" s="247" t="inlineStr">
        <is>
          <t>2768 GON TECHNOLOGY</t>
        </is>
      </c>
    </row>
    <row r="591">
      <c r="A591" s="51" t="inlineStr">
        <is>
          <t>New Harvest Wealth Securities Company Limited</t>
        </is>
      </c>
      <c r="B591" s="243" t="n">
        <v>1</v>
      </c>
      <c r="C591" s="245" t="n">
        <v>100</v>
      </c>
      <c r="D591" s="246" t="n">
        <v>11.6</v>
      </c>
      <c r="E591" s="246" t="n">
        <v>27.2</v>
      </c>
      <c r="F591" s="246" t="n">
        <v>33.2</v>
      </c>
      <c r="G591" s="246" t="n">
        <v>43.8</v>
      </c>
      <c r="H591" s="246" t="n">
        <v>14</v>
      </c>
      <c r="I591" s="246" t="n">
        <v>19.4</v>
      </c>
      <c r="J591" s="246" t="n">
        <v>28.9</v>
      </c>
      <c r="K591" s="247" t="inlineStr">
        <is>
          <t>2768 GON TECHNOLOGY</t>
        </is>
      </c>
    </row>
    <row r="592">
      <c r="A592" s="51" t="inlineStr">
        <is>
          <t>Luminous Horizon Limited</t>
        </is>
      </c>
      <c r="B592" s="243" t="n">
        <v>1</v>
      </c>
      <c r="C592" s="245" t="n">
        <v>100</v>
      </c>
      <c r="D592" s="246" t="n">
        <v>11.6</v>
      </c>
      <c r="E592" s="246" t="n">
        <v>27.2</v>
      </c>
      <c r="F592" s="246" t="n">
        <v>33.2</v>
      </c>
      <c r="G592" s="246" t="n">
        <v>43.8</v>
      </c>
      <c r="H592" s="246" t="n">
        <v>14</v>
      </c>
      <c r="I592" s="246" t="n">
        <v>19.4</v>
      </c>
      <c r="J592" s="246" t="n">
        <v>28.9</v>
      </c>
      <c r="K592" s="247" t="inlineStr">
        <is>
          <t>2768 GON TECHNOLOGY</t>
        </is>
      </c>
    </row>
    <row r="593">
      <c r="A593" s="51" t="inlineStr">
        <is>
          <t>Liu Liyun</t>
        </is>
      </c>
      <c r="B593" s="243" t="n">
        <v>1</v>
      </c>
      <c r="C593" s="245" t="n">
        <v>100</v>
      </c>
      <c r="D593" s="246" t="n">
        <v>11.1</v>
      </c>
      <c r="E593" s="246" t="n">
        <v>6.7</v>
      </c>
      <c r="F593" s="246" t="n">
        <v>-7.8</v>
      </c>
      <c r="G593" s="246" t="n">
        <v>-36.7</v>
      </c>
      <c r="H593" s="246" t="n">
        <v>-4</v>
      </c>
      <c r="I593" s="246" t="n">
        <v>-17</v>
      </c>
      <c r="J593" s="246" t="n">
        <v>-43</v>
      </c>
      <c r="K593" s="247" t="inlineStr">
        <is>
          <t>2516 FAR INTL</t>
        </is>
      </c>
    </row>
    <row r="594">
      <c r="A594" s="51" t="inlineStr">
        <is>
          <t>Guo Shaojun</t>
        </is>
      </c>
      <c r="B594" s="243" t="n">
        <v>1</v>
      </c>
      <c r="C594" s="245" t="n">
        <v>100</v>
      </c>
      <c r="D594" s="246" t="n">
        <v>11.1</v>
      </c>
      <c r="E594" s="246" t="n">
        <v>6.7</v>
      </c>
      <c r="F594" s="246" t="n">
        <v>-7.8</v>
      </c>
      <c r="G594" s="246" t="n">
        <v>-36.7</v>
      </c>
      <c r="H594" s="246" t="n">
        <v>-4</v>
      </c>
      <c r="I594" s="246" t="n">
        <v>-17</v>
      </c>
      <c r="J594" s="246" t="n">
        <v>-43</v>
      </c>
      <c r="K594" s="247" t="inlineStr">
        <is>
          <t>2516 FAR INTL</t>
        </is>
      </c>
    </row>
    <row r="595">
      <c r="A595" s="51" t="inlineStr">
        <is>
          <t>Yang Yingwu</t>
        </is>
      </c>
      <c r="B595" s="243" t="n">
        <v>1</v>
      </c>
      <c r="C595" s="245" t="n">
        <v>100</v>
      </c>
      <c r="D595" s="246" t="n">
        <v>11.1</v>
      </c>
      <c r="E595" s="246" t="n">
        <v>6.7</v>
      </c>
      <c r="F595" s="246" t="n">
        <v>-7.8</v>
      </c>
      <c r="G595" s="246" t="n">
        <v>-36.7</v>
      </c>
      <c r="H595" s="246" t="n">
        <v>-4</v>
      </c>
      <c r="I595" s="246" t="n">
        <v>-17</v>
      </c>
      <c r="J595" s="246" t="n">
        <v>-43</v>
      </c>
      <c r="K595" s="247" t="inlineStr">
        <is>
          <t>2516 FAR INTL</t>
        </is>
      </c>
    </row>
    <row r="596">
      <c r="A596" s="51" t="inlineStr">
        <is>
          <t>Water Live Wealth Limited</t>
        </is>
      </c>
      <c r="B596" s="243" t="n">
        <v>1</v>
      </c>
      <c r="C596" s="245" t="n">
        <v>100</v>
      </c>
      <c r="D596" s="246" t="n">
        <v>10.4</v>
      </c>
      <c r="E596" s="246" t="n">
        <v>-24.3</v>
      </c>
      <c r="F596" s="246" t="n">
        <v>-45.1</v>
      </c>
      <c r="G596" s="246" t="n">
        <v>-54.9</v>
      </c>
      <c r="H596" s="246" t="n">
        <v>-31.4</v>
      </c>
      <c r="I596" s="246" t="n">
        <v>-50.2</v>
      </c>
      <c r="J596" s="246" t="n">
        <v>-59.2</v>
      </c>
      <c r="K596" s="247" t="inlineStr">
        <is>
          <t>2593 HERBS GROUP</t>
        </is>
      </c>
    </row>
    <row r="597">
      <c r="A597" s="51" t="inlineStr">
        <is>
          <t>Vital Message Medical Health Care Centre Limited</t>
        </is>
      </c>
      <c r="B597" s="243" t="n">
        <v>1</v>
      </c>
      <c r="C597" s="245" t="n">
        <v>100</v>
      </c>
      <c r="D597" s="246" t="n">
        <v>10.4</v>
      </c>
      <c r="E597" s="246" t="n">
        <v>-24.3</v>
      </c>
      <c r="F597" s="246" t="n">
        <v>-45.1</v>
      </c>
      <c r="G597" s="246" t="n">
        <v>-54.9</v>
      </c>
      <c r="H597" s="246" t="n">
        <v>-31.4</v>
      </c>
      <c r="I597" s="246" t="n">
        <v>-50.2</v>
      </c>
      <c r="J597" s="246" t="n">
        <v>-59.2</v>
      </c>
      <c r="K597" s="247" t="inlineStr">
        <is>
          <t>2593 HERBS GROUP</t>
        </is>
      </c>
    </row>
    <row r="598">
      <c r="A598" s="51" t="inlineStr">
        <is>
          <t>Mr. Yuen Tsz Ho Ronald</t>
        </is>
      </c>
      <c r="B598" s="243" t="n">
        <v>1</v>
      </c>
      <c r="C598" s="245" t="n">
        <v>100</v>
      </c>
      <c r="D598" s="246" t="n">
        <v>10.4</v>
      </c>
      <c r="E598" s="246" t="n">
        <v>-24.3</v>
      </c>
      <c r="F598" s="246" t="n">
        <v>-45.1</v>
      </c>
      <c r="G598" s="246" t="n">
        <v>-54.9</v>
      </c>
      <c r="H598" s="246" t="n">
        <v>-31.4</v>
      </c>
      <c r="I598" s="246" t="n">
        <v>-50.2</v>
      </c>
      <c r="J598" s="246" t="n">
        <v>-59.2</v>
      </c>
      <c r="K598" s="247" t="inlineStr">
        <is>
          <t>2593 HERBS GROUP</t>
        </is>
      </c>
    </row>
    <row r="599">
      <c r="A599" s="51" t="inlineStr">
        <is>
          <t>Cambridge Industries Group Telecommunication Limited</t>
        </is>
      </c>
      <c r="B599" s="243" t="n">
        <v>1</v>
      </c>
      <c r="C599" s="245" t="n">
        <v>100</v>
      </c>
      <c r="D599" s="246" t="n">
        <v>10.3</v>
      </c>
      <c r="E599" s="248" t="n"/>
      <c r="F599" s="248" t="n"/>
      <c r="G599" s="248" t="n"/>
      <c r="H599" s="248" t="n"/>
      <c r="I599" s="248" t="n"/>
      <c r="J599" s="248" t="n"/>
      <c r="K599" s="247" t="inlineStr">
        <is>
          <t>3228 KINWONG</t>
        </is>
      </c>
    </row>
    <row r="600">
      <c r="A600" s="51" t="inlineStr">
        <is>
          <t>Zhongji Innolight Co., Ltd</t>
        </is>
      </c>
      <c r="B600" s="243" t="n">
        <v>1</v>
      </c>
      <c r="C600" s="245" t="n">
        <v>100</v>
      </c>
      <c r="D600" s="246" t="n">
        <v>10.3</v>
      </c>
      <c r="E600" s="248" t="n"/>
      <c r="F600" s="248" t="n"/>
      <c r="G600" s="248" t="n"/>
      <c r="H600" s="248" t="n"/>
      <c r="I600" s="248" t="n"/>
      <c r="J600" s="248" t="n"/>
      <c r="K600" s="247" t="inlineStr">
        <is>
          <t>3228 KINWONG</t>
        </is>
      </c>
    </row>
    <row r="601">
      <c r="A601" s="51" t="inlineStr">
        <is>
          <t>Chu Kin Lan</t>
        </is>
      </c>
      <c r="B601" s="243" t="n">
        <v>1</v>
      </c>
      <c r="C601" s="245" t="n">
        <v>100</v>
      </c>
      <c r="D601" s="246" t="n">
        <v>10</v>
      </c>
      <c r="E601" s="246" t="n">
        <v>2</v>
      </c>
      <c r="F601" s="246" t="n">
        <v>8</v>
      </c>
      <c r="G601" s="246" t="n">
        <v>0</v>
      </c>
      <c r="H601" s="246" t="n">
        <v>-7.3</v>
      </c>
      <c r="I601" s="246" t="n">
        <v>-1.8</v>
      </c>
      <c r="J601" s="246" t="n">
        <v>-9.1</v>
      </c>
      <c r="K601" s="247" t="inlineStr">
        <is>
          <t>1489 GC CONSTRUCTION</t>
        </is>
      </c>
    </row>
    <row r="602">
      <c r="A602" s="51" t="inlineStr">
        <is>
          <t>Infinitus Wealth Limited</t>
        </is>
      </c>
      <c r="B602" s="243" t="n">
        <v>1</v>
      </c>
      <c r="C602" s="245" t="n">
        <v>100</v>
      </c>
      <c r="D602" s="246" t="n">
        <v>10</v>
      </c>
      <c r="E602" s="246" t="n">
        <v>2</v>
      </c>
      <c r="F602" s="246" t="n">
        <v>8</v>
      </c>
      <c r="G602" s="246" t="n">
        <v>0</v>
      </c>
      <c r="H602" s="246" t="n">
        <v>-7.3</v>
      </c>
      <c r="I602" s="246" t="n">
        <v>-1.8</v>
      </c>
      <c r="J602" s="246" t="n">
        <v>-9.1</v>
      </c>
      <c r="K602" s="247" t="inlineStr">
        <is>
          <t>1489 GC CONSTRUCTION</t>
        </is>
      </c>
    </row>
    <row r="603">
      <c r="A603" s="51" t="inlineStr">
        <is>
          <t>Grab Inc</t>
        </is>
      </c>
      <c r="B603" s="243" t="n">
        <v>1</v>
      </c>
      <c r="C603" s="245" t="n">
        <v>100</v>
      </c>
      <c r="D603" s="246" t="n">
        <v>10</v>
      </c>
      <c r="E603" s="246" t="n">
        <v>8.1</v>
      </c>
      <c r="F603" s="246" t="n">
        <v>-20.5</v>
      </c>
      <c r="G603" s="246" t="n">
        <v>-20.4</v>
      </c>
      <c r="H603" s="246" t="n">
        <v>-1.7</v>
      </c>
      <c r="I603" s="246" t="n">
        <v>-27.7</v>
      </c>
      <c r="J603" s="246" t="n">
        <v>-27.6</v>
      </c>
      <c r="K603" s="247" t="inlineStr">
        <is>
          <t>2525 HESAI-W</t>
        </is>
      </c>
    </row>
    <row r="604">
      <c r="A604" s="51" t="inlineStr">
        <is>
          <t>Hongda Group (Hong Kong) Co., Limited</t>
        </is>
      </c>
      <c r="B604" s="243" t="n">
        <v>1</v>
      </c>
      <c r="C604" s="245" t="n">
        <v>100</v>
      </c>
      <c r="D604" s="246" t="n">
        <v>10</v>
      </c>
      <c r="E604" s="246" t="n">
        <v>8.1</v>
      </c>
      <c r="F604" s="246" t="n">
        <v>-20.5</v>
      </c>
      <c r="G604" s="246" t="n">
        <v>-20.4</v>
      </c>
      <c r="H604" s="246" t="n">
        <v>-1.7</v>
      </c>
      <c r="I604" s="246" t="n">
        <v>-27.7</v>
      </c>
      <c r="J604" s="246" t="n">
        <v>-27.6</v>
      </c>
      <c r="K604" s="247" t="inlineStr">
        <is>
          <t>2525 HESAI-W</t>
        </is>
      </c>
    </row>
    <row r="605">
      <c r="A605" s="51" t="inlineStr">
        <is>
          <t>Commando Global Fund</t>
        </is>
      </c>
      <c r="B605" s="243" t="n">
        <v>1</v>
      </c>
      <c r="C605" s="245" t="n">
        <v>100</v>
      </c>
      <c r="D605" s="246" t="n">
        <v>10</v>
      </c>
      <c r="E605" s="246" t="n">
        <v>8.1</v>
      </c>
      <c r="F605" s="246" t="n">
        <v>-20.5</v>
      </c>
      <c r="G605" s="246" t="n">
        <v>-20.4</v>
      </c>
      <c r="H605" s="246" t="n">
        <v>-1.7</v>
      </c>
      <c r="I605" s="246" t="n">
        <v>-27.7</v>
      </c>
      <c r="J605" s="246" t="n">
        <v>-27.6</v>
      </c>
      <c r="K605" s="247" t="inlineStr">
        <is>
          <t>2525 HESAI-W</t>
        </is>
      </c>
    </row>
    <row r="606">
      <c r="A606" s="51" t="inlineStr">
        <is>
          <t>ZIJINNING</t>
        </is>
      </c>
      <c r="B606" s="243" t="n">
        <v>1</v>
      </c>
      <c r="C606" s="245" t="n">
        <v>100</v>
      </c>
      <c r="D606" s="246" t="n">
        <v>10</v>
      </c>
      <c r="E606" s="246" t="n">
        <v>2.6</v>
      </c>
      <c r="F606" s="246" t="n">
        <v>-5.6</v>
      </c>
      <c r="G606" s="248" t="n"/>
      <c r="H606" s="246" t="n">
        <v>-6.7</v>
      </c>
      <c r="I606" s="246" t="n">
        <v>-14.2</v>
      </c>
      <c r="J606" s="248" t="n"/>
      <c r="K606" s="247" t="inlineStr">
        <is>
          <t>7687 EACON</t>
        </is>
      </c>
    </row>
    <row r="607">
      <c r="A607" s="51" t="inlineStr">
        <is>
          <t>REGAL</t>
        </is>
      </c>
      <c r="B607" s="243" t="n">
        <v>1</v>
      </c>
      <c r="C607" s="245" t="n">
        <v>100</v>
      </c>
      <c r="D607" s="246" t="n">
        <v>10</v>
      </c>
      <c r="E607" s="246" t="n">
        <v>2.6</v>
      </c>
      <c r="F607" s="246" t="n">
        <v>-5.6</v>
      </c>
      <c r="G607" s="248" t="n"/>
      <c r="H607" s="246" t="n">
        <v>-6.7</v>
      </c>
      <c r="I607" s="246" t="n">
        <v>-14.2</v>
      </c>
      <c r="J607" s="248" t="n"/>
      <c r="K607" s="247" t="inlineStr">
        <is>
          <t>7687 EACON</t>
        </is>
      </c>
    </row>
    <row r="608">
      <c r="A608" s="51" t="inlineStr">
        <is>
          <t>EDB Investments</t>
        </is>
      </c>
      <c r="B608" s="243" t="n">
        <v>1</v>
      </c>
      <c r="C608" s="245" t="n">
        <v>100</v>
      </c>
      <c r="D608" s="246" t="n">
        <v>9.9</v>
      </c>
      <c r="E608" s="246" t="n">
        <v>25.4</v>
      </c>
      <c r="F608" s="246" t="n">
        <v>25.1</v>
      </c>
      <c r="G608" s="246" t="n">
        <v>-17.4</v>
      </c>
      <c r="H608" s="246" t="n">
        <v>14.1</v>
      </c>
      <c r="I608" s="246" t="n">
        <v>13.9</v>
      </c>
      <c r="J608" s="246" t="n">
        <v>-24.9</v>
      </c>
      <c r="K608" s="247" t="inlineStr">
        <is>
          <t>9959 LINKLOGIS–W</t>
        </is>
      </c>
    </row>
    <row r="609">
      <c r="A609" s="51" t="inlineStr">
        <is>
          <t>Ontario Teachers Pension Plan Board</t>
        </is>
      </c>
      <c r="B609" s="243" t="n">
        <v>1</v>
      </c>
      <c r="C609" s="245" t="n">
        <v>100</v>
      </c>
      <c r="D609" s="246" t="n">
        <v>9.9</v>
      </c>
      <c r="E609" s="246" t="n">
        <v>25.4</v>
      </c>
      <c r="F609" s="246" t="n">
        <v>25.1</v>
      </c>
      <c r="G609" s="246" t="n">
        <v>-17.4</v>
      </c>
      <c r="H609" s="246" t="n">
        <v>14.1</v>
      </c>
      <c r="I609" s="246" t="n">
        <v>13.9</v>
      </c>
      <c r="J609" s="246" t="n">
        <v>-24.9</v>
      </c>
      <c r="K609" s="247" t="inlineStr">
        <is>
          <t>9959 LINKLOGIS–W</t>
        </is>
      </c>
    </row>
    <row r="610">
      <c r="A610" s="51" t="inlineStr">
        <is>
          <t>Sequoia Funds</t>
        </is>
      </c>
      <c r="B610" s="243" t="n">
        <v>1</v>
      </c>
      <c r="C610" s="245" t="n">
        <v>100</v>
      </c>
      <c r="D610" s="246" t="n">
        <v>9.9</v>
      </c>
      <c r="E610" s="246" t="n">
        <v>25.4</v>
      </c>
      <c r="F610" s="246" t="n">
        <v>25.1</v>
      </c>
      <c r="G610" s="246" t="n">
        <v>-17.4</v>
      </c>
      <c r="H610" s="246" t="n">
        <v>14.1</v>
      </c>
      <c r="I610" s="246" t="n">
        <v>13.9</v>
      </c>
      <c r="J610" s="246" t="n">
        <v>-24.9</v>
      </c>
      <c r="K610" s="247" t="inlineStr">
        <is>
          <t>9959 LINKLOGIS–W</t>
        </is>
      </c>
    </row>
    <row r="611">
      <c r="A611" s="51" t="inlineStr">
        <is>
          <t>Successful Lotus Limited</t>
        </is>
      </c>
      <c r="B611" s="243" t="n">
        <v>1</v>
      </c>
      <c r="C611" s="245" t="n">
        <v>100</v>
      </c>
      <c r="D611" s="246" t="n">
        <v>9.800000000000001</v>
      </c>
      <c r="E611" s="246" t="n">
        <v>0.4</v>
      </c>
      <c r="F611" s="246" t="n">
        <v>9.800000000000001</v>
      </c>
      <c r="G611" s="246" t="n">
        <v>165.9</v>
      </c>
      <c r="H611" s="246" t="n">
        <v>-8.6</v>
      </c>
      <c r="I611" s="246" t="n">
        <v>0</v>
      </c>
      <c r="J611" s="246" t="n">
        <v>142.1</v>
      </c>
      <c r="K611" s="247" t="inlineStr">
        <is>
          <t>2228 QUANTUMPH-P</t>
        </is>
      </c>
    </row>
    <row r="612">
      <c r="A612" s="51" t="inlineStr">
        <is>
          <t>IntelliMed One Investment Limited</t>
        </is>
      </c>
      <c r="B612" s="243" t="n">
        <v>1</v>
      </c>
      <c r="C612" s="245" t="n">
        <v>100</v>
      </c>
      <c r="D612" s="246" t="n">
        <v>9.800000000000001</v>
      </c>
      <c r="E612" s="246" t="n">
        <v>0.4</v>
      </c>
      <c r="F612" s="246" t="n">
        <v>9.800000000000001</v>
      </c>
      <c r="G612" s="246" t="n">
        <v>165.9</v>
      </c>
      <c r="H612" s="246" t="n">
        <v>-8.6</v>
      </c>
      <c r="I612" s="246" t="n">
        <v>0</v>
      </c>
      <c r="J612" s="246" t="n">
        <v>142.1</v>
      </c>
      <c r="K612" s="247" t="inlineStr">
        <is>
          <t>2228 QUANTUMPH-P</t>
        </is>
      </c>
    </row>
    <row r="613">
      <c r="A613" s="51" t="inlineStr">
        <is>
          <t>Mammoth Medical Solutions</t>
        </is>
      </c>
      <c r="B613" s="243" t="n">
        <v>1</v>
      </c>
      <c r="C613" s="245" t="n">
        <v>100</v>
      </c>
      <c r="D613" s="246" t="n">
        <v>9.800000000000001</v>
      </c>
      <c r="E613" s="246" t="n">
        <v>0.4</v>
      </c>
      <c r="F613" s="246" t="n">
        <v>9.800000000000001</v>
      </c>
      <c r="G613" s="246" t="n">
        <v>165.9</v>
      </c>
      <c r="H613" s="246" t="n">
        <v>-8.6</v>
      </c>
      <c r="I613" s="246" t="n">
        <v>0</v>
      </c>
      <c r="J613" s="246" t="n">
        <v>142.1</v>
      </c>
      <c r="K613" s="247" t="inlineStr">
        <is>
          <t>2228 QUANTUMPH-P</t>
        </is>
      </c>
    </row>
    <row r="614">
      <c r="A614" s="51" t="inlineStr">
        <is>
          <t>Begonia No. 1 LPF</t>
        </is>
      </c>
      <c r="B614" s="243" t="n">
        <v>1</v>
      </c>
      <c r="C614" s="245" t="n">
        <v>100</v>
      </c>
      <c r="D614" s="246" t="n">
        <v>9.800000000000001</v>
      </c>
      <c r="E614" s="246" t="n">
        <v>0.4</v>
      </c>
      <c r="F614" s="246" t="n">
        <v>9.800000000000001</v>
      </c>
      <c r="G614" s="246" t="n">
        <v>165.9</v>
      </c>
      <c r="H614" s="246" t="n">
        <v>-8.6</v>
      </c>
      <c r="I614" s="246" t="n">
        <v>0</v>
      </c>
      <c r="J614" s="246" t="n">
        <v>142.1</v>
      </c>
      <c r="K614" s="247" t="inlineStr">
        <is>
          <t>2228 QUANTUMPH-P</t>
        </is>
      </c>
    </row>
    <row r="615">
      <c r="A615" s="51" t="inlineStr">
        <is>
          <t>Prof. Bradley Lether Pentelute</t>
        </is>
      </c>
      <c r="B615" s="243" t="n">
        <v>1</v>
      </c>
      <c r="C615" s="245" t="n">
        <v>100</v>
      </c>
      <c r="D615" s="246" t="n">
        <v>9.800000000000001</v>
      </c>
      <c r="E615" s="246" t="n">
        <v>0.4</v>
      </c>
      <c r="F615" s="246" t="n">
        <v>9.800000000000001</v>
      </c>
      <c r="G615" s="246" t="n">
        <v>165.9</v>
      </c>
      <c r="H615" s="246" t="n">
        <v>-8.6</v>
      </c>
      <c r="I615" s="246" t="n">
        <v>0</v>
      </c>
      <c r="J615" s="246" t="n">
        <v>142.1</v>
      </c>
      <c r="K615" s="247" t="inlineStr">
        <is>
          <t>2228 QUANTUMPH-P</t>
        </is>
      </c>
    </row>
    <row r="616">
      <c r="A616" s="51" t="inlineStr">
        <is>
          <t>Biocytogen Pharmaceuticals (Beijing) Co., Ltd. 醫藥科技股份有 限公司</t>
        </is>
      </c>
      <c r="B616" s="243" t="n">
        <v>1</v>
      </c>
      <c r="C616" s="245" t="n">
        <v>100</v>
      </c>
      <c r="D616" s="246" t="n">
        <v>9.800000000000001</v>
      </c>
      <c r="E616" s="246" t="n">
        <v>0.4</v>
      </c>
      <c r="F616" s="246" t="n">
        <v>9.800000000000001</v>
      </c>
      <c r="G616" s="246" t="n">
        <v>165.9</v>
      </c>
      <c r="H616" s="246" t="n">
        <v>-8.6</v>
      </c>
      <c r="I616" s="246" t="n">
        <v>0</v>
      </c>
      <c r="J616" s="246" t="n">
        <v>142.1</v>
      </c>
      <c r="K616" s="247" t="inlineStr">
        <is>
          <t>2228 QUANTUMPH-P</t>
        </is>
      </c>
    </row>
    <row r="617">
      <c r="A617" s="51" t="inlineStr">
        <is>
          <t>FaaS Capital Longevity Limited</t>
        </is>
      </c>
      <c r="B617" s="243" t="n">
        <v>1</v>
      </c>
      <c r="C617" s="245" t="n">
        <v>100</v>
      </c>
      <c r="D617" s="246" t="n">
        <v>9.800000000000001</v>
      </c>
      <c r="E617" s="246" t="n">
        <v>0.4</v>
      </c>
      <c r="F617" s="246" t="n">
        <v>9.800000000000001</v>
      </c>
      <c r="G617" s="246" t="n">
        <v>165.9</v>
      </c>
      <c r="H617" s="246" t="n">
        <v>-8.6</v>
      </c>
      <c r="I617" s="246" t="n">
        <v>0</v>
      </c>
      <c r="J617" s="246" t="n">
        <v>142.1</v>
      </c>
      <c r="K617" s="247" t="inlineStr">
        <is>
          <t>2228 QUANTUMPH-P</t>
        </is>
      </c>
    </row>
    <row r="618">
      <c r="A618" s="51" t="inlineStr">
        <is>
          <t>SynerSuccess Capital Ltd</t>
        </is>
      </c>
      <c r="B618" s="243" t="n">
        <v>1</v>
      </c>
      <c r="C618" s="245" t="n">
        <v>100</v>
      </c>
      <c r="D618" s="246" t="n">
        <v>9.300000000000001</v>
      </c>
      <c r="E618" s="246" t="n">
        <v>6.7</v>
      </c>
      <c r="F618" s="246" t="n">
        <v>3.6</v>
      </c>
      <c r="G618" s="246" t="n">
        <v>-18.3</v>
      </c>
      <c r="H618" s="246" t="n">
        <v>-2.4</v>
      </c>
      <c r="I618" s="246" t="n">
        <v>-5.2</v>
      </c>
      <c r="J618" s="246" t="n">
        <v>-25.2</v>
      </c>
      <c r="K618" s="247" t="inlineStr">
        <is>
          <t>2657 FOREST CABIN</t>
        </is>
      </c>
    </row>
    <row r="619">
      <c r="A619" s="51" t="inlineStr">
        <is>
          <t>Olympic Country Company Limited</t>
        </is>
      </c>
      <c r="B619" s="243" t="n">
        <v>1</v>
      </c>
      <c r="C619" s="245" t="n">
        <v>100</v>
      </c>
      <c r="D619" s="246" t="n">
        <v>9.1</v>
      </c>
      <c r="E619" s="246" t="n">
        <v>6.4</v>
      </c>
      <c r="F619" s="246" t="n">
        <v>16.1</v>
      </c>
      <c r="G619" s="246" t="n">
        <v>76.8</v>
      </c>
      <c r="H619" s="246" t="n">
        <v>-2.5</v>
      </c>
      <c r="I619" s="246" t="n">
        <v>6.3</v>
      </c>
      <c r="J619" s="246" t="n">
        <v>62</v>
      </c>
      <c r="K619" s="247" t="inlineStr">
        <is>
          <t>6613 LENS</t>
        </is>
      </c>
    </row>
    <row r="620">
      <c r="A620" s="51" t="inlineStr">
        <is>
          <t>QRT Master Fund SPC</t>
        </is>
      </c>
      <c r="B620" s="243" t="n">
        <v>1</v>
      </c>
      <c r="C620" s="245" t="n">
        <v>100</v>
      </c>
      <c r="D620" s="246" t="n">
        <v>9.1</v>
      </c>
      <c r="E620" s="246" t="n">
        <v>6.4</v>
      </c>
      <c r="F620" s="246" t="n">
        <v>16.1</v>
      </c>
      <c r="G620" s="246" t="n">
        <v>76.8</v>
      </c>
      <c r="H620" s="246" t="n">
        <v>-2.5</v>
      </c>
      <c r="I620" s="246" t="n">
        <v>6.3</v>
      </c>
      <c r="J620" s="246" t="n">
        <v>62</v>
      </c>
      <c r="K620" s="247" t="inlineStr">
        <is>
          <t>6613 LENS</t>
        </is>
      </c>
    </row>
    <row r="621">
      <c r="A621" s="51" t="inlineStr">
        <is>
          <t>XN Mountain International Limited</t>
        </is>
      </c>
      <c r="B621" s="243" t="n">
        <v>1</v>
      </c>
      <c r="C621" s="245" t="n">
        <v>100</v>
      </c>
      <c r="D621" s="246" t="n">
        <v>8.4</v>
      </c>
      <c r="E621" s="246" t="n">
        <v>21.7</v>
      </c>
      <c r="F621" s="246" t="n">
        <v>14.2</v>
      </c>
      <c r="G621" s="246" t="n">
        <v>156.6</v>
      </c>
      <c r="H621" s="246" t="n">
        <v>12.2</v>
      </c>
      <c r="I621" s="246" t="n">
        <v>5.4</v>
      </c>
      <c r="J621" s="246" t="n">
        <v>136.6</v>
      </c>
      <c r="K621" s="247" t="inlineStr">
        <is>
          <t>9903 ILUVATAR COREX</t>
        </is>
      </c>
    </row>
    <row r="622">
      <c r="A622" s="51" t="inlineStr">
        <is>
          <t>Teamsun Technology (HK) Limited</t>
        </is>
      </c>
      <c r="B622" s="243" t="n">
        <v>1</v>
      </c>
      <c r="C622" s="245" t="n">
        <v>100</v>
      </c>
      <c r="D622" s="246" t="n">
        <v>8.4</v>
      </c>
      <c r="E622" s="246" t="n">
        <v>21.7</v>
      </c>
      <c r="F622" s="246" t="n">
        <v>14.2</v>
      </c>
      <c r="G622" s="246" t="n">
        <v>156.6</v>
      </c>
      <c r="H622" s="246" t="n">
        <v>12.2</v>
      </c>
      <c r="I622" s="246" t="n">
        <v>5.4</v>
      </c>
      <c r="J622" s="246" t="n">
        <v>136.6</v>
      </c>
      <c r="K622" s="247" t="inlineStr">
        <is>
          <t>9903 ILUVATAR COREX</t>
        </is>
      </c>
    </row>
    <row r="623">
      <c r="A623" s="51" t="inlineStr">
        <is>
          <t>Qin Wan Investment Limited</t>
        </is>
      </c>
      <c r="B623" s="243" t="n">
        <v>1</v>
      </c>
      <c r="C623" s="245" t="n">
        <v>100</v>
      </c>
      <c r="D623" s="246" t="n">
        <v>8.4</v>
      </c>
      <c r="E623" s="246" t="n">
        <v>21.7</v>
      </c>
      <c r="F623" s="246" t="n">
        <v>14.2</v>
      </c>
      <c r="G623" s="246" t="n">
        <v>156.6</v>
      </c>
      <c r="H623" s="246" t="n">
        <v>12.2</v>
      </c>
      <c r="I623" s="246" t="n">
        <v>5.4</v>
      </c>
      <c r="J623" s="246" t="n">
        <v>136.6</v>
      </c>
      <c r="K623" s="247" t="inlineStr">
        <is>
          <t>9903 ILUVATAR COREX</t>
        </is>
      </c>
    </row>
    <row r="624">
      <c r="A624" s="51" t="inlineStr">
        <is>
          <t>OCM Limited</t>
        </is>
      </c>
      <c r="B624" s="243" t="n">
        <v>1</v>
      </c>
      <c r="C624" s="245" t="n">
        <v>100</v>
      </c>
      <c r="D624" s="246" t="n">
        <v>8.4</v>
      </c>
      <c r="E624" s="246" t="n">
        <v>21.7</v>
      </c>
      <c r="F624" s="246" t="n">
        <v>14.2</v>
      </c>
      <c r="G624" s="246" t="n">
        <v>156.6</v>
      </c>
      <c r="H624" s="246" t="n">
        <v>12.2</v>
      </c>
      <c r="I624" s="246" t="n">
        <v>5.4</v>
      </c>
      <c r="J624" s="246" t="n">
        <v>136.6</v>
      </c>
      <c r="K624" s="247" t="inlineStr">
        <is>
          <t>9903 ILUVATAR COREX</t>
        </is>
      </c>
    </row>
    <row r="625">
      <c r="A625" s="51" t="inlineStr">
        <is>
          <t>Fourth Paradigm International Limited</t>
        </is>
      </c>
      <c r="B625" s="243" t="n">
        <v>1</v>
      </c>
      <c r="C625" s="245" t="n">
        <v>100</v>
      </c>
      <c r="D625" s="246" t="n">
        <v>8.4</v>
      </c>
      <c r="E625" s="246" t="n">
        <v>21.7</v>
      </c>
      <c r="F625" s="246" t="n">
        <v>14.2</v>
      </c>
      <c r="G625" s="246" t="n">
        <v>156.6</v>
      </c>
      <c r="H625" s="246" t="n">
        <v>12.2</v>
      </c>
      <c r="I625" s="246" t="n">
        <v>5.4</v>
      </c>
      <c r="J625" s="246" t="n">
        <v>136.6</v>
      </c>
      <c r="K625" s="247" t="inlineStr">
        <is>
          <t>9903 ILUVATAR COREX</t>
        </is>
      </c>
    </row>
    <row r="626">
      <c r="A626" s="51" t="inlineStr">
        <is>
          <t>Engine International Technology Co., Limited</t>
        </is>
      </c>
      <c r="B626" s="243" t="n">
        <v>1</v>
      </c>
      <c r="C626" s="245" t="n">
        <v>100</v>
      </c>
      <c r="D626" s="246" t="n">
        <v>8.4</v>
      </c>
      <c r="E626" s="246" t="n">
        <v>21.7</v>
      </c>
      <c r="F626" s="246" t="n">
        <v>14.2</v>
      </c>
      <c r="G626" s="246" t="n">
        <v>156.6</v>
      </c>
      <c r="H626" s="246" t="n">
        <v>12.2</v>
      </c>
      <c r="I626" s="246" t="n">
        <v>5.4</v>
      </c>
      <c r="J626" s="246" t="n">
        <v>136.6</v>
      </c>
      <c r="K626" s="247" t="inlineStr">
        <is>
          <t>9903 ILUVATAR COREX</t>
        </is>
      </c>
    </row>
    <row r="627">
      <c r="A627" s="51" t="inlineStr">
        <is>
          <t>DeepRoot Alpha Ltd</t>
        </is>
      </c>
      <c r="B627" s="243" t="n">
        <v>1</v>
      </c>
      <c r="C627" s="245" t="n">
        <v>100</v>
      </c>
      <c r="D627" s="246" t="n">
        <v>8.4</v>
      </c>
      <c r="E627" s="246" t="n">
        <v>21.7</v>
      </c>
      <c r="F627" s="246" t="n">
        <v>14.2</v>
      </c>
      <c r="G627" s="246" t="n">
        <v>156.6</v>
      </c>
      <c r="H627" s="246" t="n">
        <v>12.2</v>
      </c>
      <c r="I627" s="246" t="n">
        <v>5.4</v>
      </c>
      <c r="J627" s="246" t="n">
        <v>136.6</v>
      </c>
      <c r="K627" s="247" t="inlineStr">
        <is>
          <t>9903 ILUVATAR COREX</t>
        </is>
      </c>
    </row>
    <row r="628">
      <c r="A628" s="51" t="inlineStr">
        <is>
          <t>CFIG Holdings Limited</t>
        </is>
      </c>
      <c r="B628" s="243" t="n">
        <v>1</v>
      </c>
      <c r="C628" s="245" t="n">
        <v>100</v>
      </c>
      <c r="D628" s="246" t="n">
        <v>8.4</v>
      </c>
      <c r="E628" s="246" t="n">
        <v>21.7</v>
      </c>
      <c r="F628" s="246" t="n">
        <v>14.2</v>
      </c>
      <c r="G628" s="246" t="n">
        <v>156.6</v>
      </c>
      <c r="H628" s="246" t="n">
        <v>12.2</v>
      </c>
      <c r="I628" s="246" t="n">
        <v>5.4</v>
      </c>
      <c r="J628" s="246" t="n">
        <v>136.6</v>
      </c>
      <c r="K628" s="247" t="inlineStr">
        <is>
          <t>9903 ILUVATAR COREX</t>
        </is>
      </c>
    </row>
    <row r="629">
      <c r="A629" s="51" t="inlineStr">
        <is>
          <t>Richfirm (Hong Kong) Development Limited</t>
        </is>
      </c>
      <c r="B629" s="243" t="n">
        <v>1</v>
      </c>
      <c r="C629" s="245" t="n">
        <v>100</v>
      </c>
      <c r="D629" s="246" t="n">
        <v>8.199999999999999</v>
      </c>
      <c r="E629" s="246" t="n">
        <v>5.4</v>
      </c>
      <c r="F629" s="246" t="n">
        <v>16.2</v>
      </c>
      <c r="G629" s="246" t="n">
        <v>-9.1</v>
      </c>
      <c r="H629" s="246" t="n">
        <v>-2.6</v>
      </c>
      <c r="I629" s="246" t="n">
        <v>7.4</v>
      </c>
      <c r="J629" s="246" t="n">
        <v>-16</v>
      </c>
      <c r="K629" s="247" t="inlineStr">
        <is>
          <t>1021 HUAYAN ROBOTICS</t>
        </is>
      </c>
    </row>
    <row r="630">
      <c r="A630" s="51" t="inlineStr">
        <is>
          <t>Samson Group Limited</t>
        </is>
      </c>
      <c r="B630" s="243" t="n">
        <v>1</v>
      </c>
      <c r="C630" s="245" t="n">
        <v>100</v>
      </c>
      <c r="D630" s="246" t="n">
        <v>8.199999999999999</v>
      </c>
      <c r="E630" s="246" t="n">
        <v>5.4</v>
      </c>
      <c r="F630" s="246" t="n">
        <v>16.2</v>
      </c>
      <c r="G630" s="246" t="n">
        <v>-9.1</v>
      </c>
      <c r="H630" s="246" t="n">
        <v>-2.6</v>
      </c>
      <c r="I630" s="246" t="n">
        <v>7.4</v>
      </c>
      <c r="J630" s="246" t="n">
        <v>-16</v>
      </c>
      <c r="K630" s="247" t="inlineStr">
        <is>
          <t>1021 HUAYAN ROBOTICS</t>
        </is>
      </c>
    </row>
    <row r="631">
      <c r="A631" s="51" t="inlineStr">
        <is>
          <t>Shrewd Pioneer Limited</t>
        </is>
      </c>
      <c r="B631" s="243" t="n">
        <v>1</v>
      </c>
      <c r="C631" s="245" t="n">
        <v>100</v>
      </c>
      <c r="D631" s="246" t="n">
        <v>8.199999999999999</v>
      </c>
      <c r="E631" s="246" t="n">
        <v>5.4</v>
      </c>
      <c r="F631" s="246" t="n">
        <v>16.2</v>
      </c>
      <c r="G631" s="246" t="n">
        <v>-9.1</v>
      </c>
      <c r="H631" s="246" t="n">
        <v>-2.6</v>
      </c>
      <c r="I631" s="246" t="n">
        <v>7.4</v>
      </c>
      <c r="J631" s="246" t="n">
        <v>-16</v>
      </c>
      <c r="K631" s="247" t="inlineStr">
        <is>
          <t>1021 HUAYAN ROBOTICS</t>
        </is>
      </c>
    </row>
    <row r="632">
      <c r="A632" s="51" t="inlineStr">
        <is>
          <t>He Sheng Overseas Holdings Limited</t>
        </is>
      </c>
      <c r="B632" s="243" t="n">
        <v>1</v>
      </c>
      <c r="C632" s="245" t="n">
        <v>100</v>
      </c>
      <c r="D632" s="246" t="n">
        <v>8.1</v>
      </c>
      <c r="E632" s="246" t="n">
        <v>11.9</v>
      </c>
      <c r="F632" s="246" t="n">
        <v>8.9</v>
      </c>
      <c r="G632" s="246" t="n">
        <v>14.1</v>
      </c>
      <c r="H632" s="246" t="n">
        <v>3.5</v>
      </c>
      <c r="I632" s="246" t="n">
        <v>0.8</v>
      </c>
      <c r="J632" s="246" t="n">
        <v>5.5</v>
      </c>
      <c r="K632" s="247" t="inlineStr">
        <is>
          <t>0606 SCE CM</t>
        </is>
      </c>
    </row>
    <row r="633">
      <c r="A633" s="51" t="inlineStr">
        <is>
          <t>Lam Yuen Ying</t>
        </is>
      </c>
      <c r="B633" s="243" t="n">
        <v>1</v>
      </c>
      <c r="C633" s="245" t="n">
        <v>100</v>
      </c>
      <c r="D633" s="246" t="n">
        <v>8.1</v>
      </c>
      <c r="E633" s="246" t="n">
        <v>11.9</v>
      </c>
      <c r="F633" s="246" t="n">
        <v>8.9</v>
      </c>
      <c r="G633" s="246" t="n">
        <v>14.1</v>
      </c>
      <c r="H633" s="246" t="n">
        <v>3.5</v>
      </c>
      <c r="I633" s="246" t="n">
        <v>0.8</v>
      </c>
      <c r="J633" s="246" t="n">
        <v>5.5</v>
      </c>
      <c r="K633" s="247" t="inlineStr">
        <is>
          <t>0606 SCE CM</t>
        </is>
      </c>
    </row>
    <row r="634">
      <c r="A634" s="51" t="inlineStr">
        <is>
          <t>TX Capital Value Fund</t>
        </is>
      </c>
      <c r="B634" s="243" t="n">
        <v>1</v>
      </c>
      <c r="C634" s="245" t="n">
        <v>100</v>
      </c>
      <c r="D634" s="246" t="n">
        <v>8.1</v>
      </c>
      <c r="E634" s="246" t="n">
        <v>11.9</v>
      </c>
      <c r="F634" s="246" t="n">
        <v>8.9</v>
      </c>
      <c r="G634" s="246" t="n">
        <v>14.1</v>
      </c>
      <c r="H634" s="246" t="n">
        <v>3.5</v>
      </c>
      <c r="I634" s="246" t="n">
        <v>0.8</v>
      </c>
      <c r="J634" s="246" t="n">
        <v>5.5</v>
      </c>
      <c r="K634" s="247" t="inlineStr">
        <is>
          <t>0606 SCE CM</t>
        </is>
      </c>
    </row>
    <row r="635">
      <c r="A635" s="51" t="inlineStr">
        <is>
          <t>Splendor Achieve Limited</t>
        </is>
      </c>
      <c r="B635" s="243" t="n">
        <v>1</v>
      </c>
      <c r="C635" s="245" t="n">
        <v>100</v>
      </c>
      <c r="D635" s="246" t="n">
        <v>7.8</v>
      </c>
      <c r="E635" s="246" t="n">
        <v>29</v>
      </c>
      <c r="F635" s="246" t="n">
        <v>36.7</v>
      </c>
      <c r="G635" s="246" t="n">
        <v>39</v>
      </c>
      <c r="H635" s="246" t="n">
        <v>19.6</v>
      </c>
      <c r="I635" s="246" t="n">
        <v>26.7</v>
      </c>
      <c r="J635" s="246" t="n">
        <v>28.9</v>
      </c>
      <c r="K635" s="247" t="inlineStr">
        <is>
          <t>0300 MIDEA GROUP</t>
        </is>
      </c>
    </row>
    <row r="636">
      <c r="A636" s="51" t="inlineStr">
        <is>
          <t>Vanguard Focus Limited</t>
        </is>
      </c>
      <c r="B636" s="243" t="n">
        <v>1</v>
      </c>
      <c r="C636" s="245" t="n">
        <v>100</v>
      </c>
      <c r="D636" s="246" t="n">
        <v>7.8</v>
      </c>
      <c r="E636" s="246" t="n">
        <v>29</v>
      </c>
      <c r="F636" s="246" t="n">
        <v>36.7</v>
      </c>
      <c r="G636" s="246" t="n">
        <v>39</v>
      </c>
      <c r="H636" s="246" t="n">
        <v>19.6</v>
      </c>
      <c r="I636" s="246" t="n">
        <v>26.7</v>
      </c>
      <c r="J636" s="246" t="n">
        <v>28.9</v>
      </c>
      <c r="K636" s="247" t="inlineStr">
        <is>
          <t>0300 MIDEA GROUP</t>
        </is>
      </c>
    </row>
    <row r="637">
      <c r="A637" s="51" t="inlineStr">
        <is>
          <t>YHLO (Hong Kong) Limited</t>
        </is>
      </c>
      <c r="B637" s="243" t="n">
        <v>1</v>
      </c>
      <c r="C637" s="245" t="n">
        <v>100</v>
      </c>
      <c r="D637" s="246" t="n">
        <v>7.7</v>
      </c>
      <c r="E637" s="246" t="n">
        <v>15.3</v>
      </c>
      <c r="F637" s="246" t="n">
        <v>94.40000000000001</v>
      </c>
      <c r="G637" s="246" t="n">
        <v>129.4</v>
      </c>
      <c r="H637" s="246" t="n">
        <v>7.1</v>
      </c>
      <c r="I637" s="246" t="n">
        <v>80.5</v>
      </c>
      <c r="J637" s="246" t="n">
        <v>112.9</v>
      </c>
      <c r="K637" s="247" t="inlineStr">
        <is>
          <t>2325 YUNKANG GROUP</t>
        </is>
      </c>
    </row>
    <row r="638">
      <c r="A638" s="51" t="inlineStr">
        <is>
          <t>Cangzhou Chuangrong Equity Investment Fund Co., Ltd</t>
        </is>
      </c>
      <c r="B638" s="243" t="n">
        <v>1</v>
      </c>
      <c r="C638" s="245" t="n">
        <v>100</v>
      </c>
      <c r="D638" s="246" t="n">
        <v>7.7</v>
      </c>
      <c r="E638" s="246" t="n">
        <v>1.9</v>
      </c>
      <c r="F638" s="246" t="n">
        <v>5.2</v>
      </c>
      <c r="G638" s="246" t="n">
        <v>-50.6</v>
      </c>
      <c r="H638" s="246" t="n">
        <v>-5.3</v>
      </c>
      <c r="I638" s="246" t="n">
        <v>-2.3</v>
      </c>
      <c r="J638" s="246" t="n">
        <v>-54.1</v>
      </c>
      <c r="K638" s="247" t="inlineStr">
        <is>
          <t>2511 HIGHTIDE-B</t>
        </is>
      </c>
    </row>
    <row r="639">
      <c r="A639" s="51" t="inlineStr">
        <is>
          <t>Tiny Jade Holdings (HK) Co., Limited</t>
        </is>
      </c>
      <c r="B639" s="243" t="n">
        <v>1</v>
      </c>
      <c r="C639" s="245" t="n">
        <v>100</v>
      </c>
      <c r="D639" s="246" t="n">
        <v>7.6</v>
      </c>
      <c r="E639" s="246" t="n">
        <v>4.2</v>
      </c>
      <c r="F639" s="246" t="n">
        <v>-29.6</v>
      </c>
      <c r="G639" s="246" t="n">
        <v>-42.2</v>
      </c>
      <c r="H639" s="246" t="n">
        <v>-3.1</v>
      </c>
      <c r="I639" s="246" t="n">
        <v>-34.6</v>
      </c>
      <c r="J639" s="246" t="n">
        <v>-46.3</v>
      </c>
      <c r="K639" s="247" t="inlineStr">
        <is>
          <t>2671 USAS BUILDING</t>
        </is>
      </c>
    </row>
    <row r="640">
      <c r="A640" s="51" t="inlineStr">
        <is>
          <t>Wu Xinghua</t>
        </is>
      </c>
      <c r="B640" s="243" t="n">
        <v>1</v>
      </c>
      <c r="C640" s="245" t="n">
        <v>100</v>
      </c>
      <c r="D640" s="246" t="n">
        <v>7.6</v>
      </c>
      <c r="E640" s="246" t="n">
        <v>4.2</v>
      </c>
      <c r="F640" s="246" t="n">
        <v>-29.6</v>
      </c>
      <c r="G640" s="246" t="n">
        <v>-42.2</v>
      </c>
      <c r="H640" s="246" t="n">
        <v>-3.1</v>
      </c>
      <c r="I640" s="246" t="n">
        <v>-34.6</v>
      </c>
      <c r="J640" s="246" t="n">
        <v>-46.3</v>
      </c>
      <c r="K640" s="247" t="inlineStr">
        <is>
          <t>2671 USAS BUILDING</t>
        </is>
      </c>
    </row>
    <row r="641">
      <c r="A641" s="51" t="inlineStr">
        <is>
          <t>Logic Selective Value Investment Funds SPC</t>
        </is>
      </c>
      <c r="B641" s="243" t="n">
        <v>1</v>
      </c>
      <c r="C641" s="245" t="n">
        <v>100</v>
      </c>
      <c r="D641" s="246" t="n">
        <v>7.6</v>
      </c>
      <c r="E641" s="246" t="n">
        <v>4.2</v>
      </c>
      <c r="F641" s="246" t="n">
        <v>-29.6</v>
      </c>
      <c r="G641" s="246" t="n">
        <v>-42.2</v>
      </c>
      <c r="H641" s="246" t="n">
        <v>-3.1</v>
      </c>
      <c r="I641" s="246" t="n">
        <v>-34.6</v>
      </c>
      <c r="J641" s="246" t="n">
        <v>-46.3</v>
      </c>
      <c r="K641" s="247" t="inlineStr">
        <is>
          <t>2671 USAS BUILDING</t>
        </is>
      </c>
    </row>
    <row r="642">
      <c r="A642" s="51" t="inlineStr">
        <is>
          <t>Tianjin Haitai Capital</t>
        </is>
      </c>
      <c r="B642" s="243" t="n">
        <v>1</v>
      </c>
      <c r="C642" s="245" t="n">
        <v>100</v>
      </c>
      <c r="D642" s="246" t="n">
        <v>7.5</v>
      </c>
      <c r="E642" s="246" t="n">
        <v>-3.3</v>
      </c>
      <c r="F642" s="246" t="n">
        <v>13.5</v>
      </c>
      <c r="G642" s="246" t="n">
        <v>48.7</v>
      </c>
      <c r="H642" s="246" t="n">
        <v>-10.1</v>
      </c>
      <c r="I642" s="246" t="n">
        <v>5.6</v>
      </c>
      <c r="J642" s="246" t="n">
        <v>38.3</v>
      </c>
      <c r="K642" s="247" t="inlineStr">
        <is>
          <t>2585 MOKINGRAN</t>
        </is>
      </c>
    </row>
    <row r="643">
      <c r="A643" s="51" t="inlineStr">
        <is>
          <t>Matrix Capital (on behalf of Matrix Income SP)</t>
        </is>
      </c>
      <c r="B643" s="243" t="n">
        <v>1</v>
      </c>
      <c r="C643" s="245" t="n">
        <v>100</v>
      </c>
      <c r="D643" s="246" t="n">
        <v>7.5</v>
      </c>
      <c r="E643" s="246" t="n">
        <v>-3.3</v>
      </c>
      <c r="F643" s="246" t="n">
        <v>13.5</v>
      </c>
      <c r="G643" s="246" t="n">
        <v>48.7</v>
      </c>
      <c r="H643" s="246" t="n">
        <v>-10.1</v>
      </c>
      <c r="I643" s="246" t="n">
        <v>5.6</v>
      </c>
      <c r="J643" s="246" t="n">
        <v>38.3</v>
      </c>
      <c r="K643" s="247" t="inlineStr">
        <is>
          <t>2585 MOKINGRAN</t>
        </is>
      </c>
    </row>
    <row r="644">
      <c r="A644" s="51" t="inlineStr">
        <is>
          <t>Solid Elegance</t>
        </is>
      </c>
      <c r="B644" s="243" t="n">
        <v>1</v>
      </c>
      <c r="C644" s="245" t="n">
        <v>100</v>
      </c>
      <c r="D644" s="246" t="n">
        <v>7.5</v>
      </c>
      <c r="E644" s="246" t="n">
        <v>-3.3</v>
      </c>
      <c r="F644" s="246" t="n">
        <v>13.5</v>
      </c>
      <c r="G644" s="246" t="n">
        <v>48.7</v>
      </c>
      <c r="H644" s="246" t="n">
        <v>-10.1</v>
      </c>
      <c r="I644" s="246" t="n">
        <v>5.6</v>
      </c>
      <c r="J644" s="246" t="n">
        <v>38.3</v>
      </c>
      <c r="K644" s="247" t="inlineStr">
        <is>
          <t>2585 MOKINGRAN</t>
        </is>
      </c>
    </row>
    <row r="645">
      <c r="A645" s="51" t="inlineStr">
        <is>
          <t>Swift Grace</t>
        </is>
      </c>
      <c r="B645" s="243" t="n">
        <v>1</v>
      </c>
      <c r="C645" s="245" t="n">
        <v>100</v>
      </c>
      <c r="D645" s="246" t="n">
        <v>7.5</v>
      </c>
      <c r="E645" s="246" t="n">
        <v>-3.3</v>
      </c>
      <c r="F645" s="246" t="n">
        <v>13.5</v>
      </c>
      <c r="G645" s="246" t="n">
        <v>48.7</v>
      </c>
      <c r="H645" s="246" t="n">
        <v>-10.1</v>
      </c>
      <c r="I645" s="246" t="n">
        <v>5.6</v>
      </c>
      <c r="J645" s="246" t="n">
        <v>38.3</v>
      </c>
      <c r="K645" s="247" t="inlineStr">
        <is>
          <t>2585 MOKINGRAN</t>
        </is>
      </c>
    </row>
    <row r="646">
      <c r="A646" s="51" t="inlineStr">
        <is>
          <t>HK Technology Innovation</t>
        </is>
      </c>
      <c r="B646" s="243" t="n">
        <v>1</v>
      </c>
      <c r="C646" s="245" t="n">
        <v>100</v>
      </c>
      <c r="D646" s="246" t="n">
        <v>7.4</v>
      </c>
      <c r="E646" s="248" t="n"/>
      <c r="F646" s="248" t="n"/>
      <c r="G646" s="248" t="n"/>
      <c r="H646" s="248" t="n"/>
      <c r="I646" s="248" t="n"/>
      <c r="J646" s="248" t="n"/>
      <c r="K646" s="247" t="inlineStr">
        <is>
          <t>6731 DIRECT DRIVE</t>
        </is>
      </c>
    </row>
    <row r="647">
      <c r="A647" s="51" t="inlineStr">
        <is>
          <t>C-MER Eye Care Holdings Limited</t>
        </is>
      </c>
      <c r="B647" s="243" t="n">
        <v>1</v>
      </c>
      <c r="C647" s="245" t="n">
        <v>100</v>
      </c>
      <c r="D647" s="246" t="n">
        <v>7.3</v>
      </c>
      <c r="E647" s="246" t="n">
        <v>106.5</v>
      </c>
      <c r="F647" s="246" t="n">
        <v>64.2</v>
      </c>
      <c r="G647" s="246" t="n">
        <v>59</v>
      </c>
      <c r="H647" s="246" t="n">
        <v>92.5</v>
      </c>
      <c r="I647" s="246" t="n">
        <v>53</v>
      </c>
      <c r="J647" s="246" t="n">
        <v>48.2</v>
      </c>
      <c r="K647" s="247" t="inlineStr">
        <is>
          <t>0020 SENSETIME-W</t>
        </is>
      </c>
    </row>
    <row r="648">
      <c r="A648" s="51" t="inlineStr">
        <is>
          <t>Guosheng Overseas Holdings (Hong Kong) Limited</t>
        </is>
      </c>
      <c r="B648" s="243" t="n">
        <v>1</v>
      </c>
      <c r="C648" s="245" t="n">
        <v>100</v>
      </c>
      <c r="D648" s="246" t="n">
        <v>7.3</v>
      </c>
      <c r="E648" s="246" t="n">
        <v>106.5</v>
      </c>
      <c r="F648" s="246" t="n">
        <v>64.2</v>
      </c>
      <c r="G648" s="246" t="n">
        <v>59</v>
      </c>
      <c r="H648" s="246" t="n">
        <v>92.5</v>
      </c>
      <c r="I648" s="246" t="n">
        <v>53</v>
      </c>
      <c r="J648" s="246" t="n">
        <v>48.2</v>
      </c>
      <c r="K648" s="247" t="inlineStr">
        <is>
          <t>0020 SENSETIME-W</t>
        </is>
      </c>
    </row>
    <row r="649">
      <c r="A649" s="51" t="inlineStr">
        <is>
          <t>HKSTP Venture Fund</t>
        </is>
      </c>
      <c r="B649" s="243" t="n">
        <v>1</v>
      </c>
      <c r="C649" s="245" t="n">
        <v>100</v>
      </c>
      <c r="D649" s="246" t="n">
        <v>7.3</v>
      </c>
      <c r="E649" s="246" t="n">
        <v>106.5</v>
      </c>
      <c r="F649" s="246" t="n">
        <v>64.2</v>
      </c>
      <c r="G649" s="246" t="n">
        <v>59</v>
      </c>
      <c r="H649" s="246" t="n">
        <v>92.5</v>
      </c>
      <c r="I649" s="246" t="n">
        <v>53</v>
      </c>
      <c r="J649" s="246" t="n">
        <v>48.2</v>
      </c>
      <c r="K649" s="247" t="inlineStr">
        <is>
          <t>0020 SENSETIME-W</t>
        </is>
      </c>
    </row>
    <row r="650">
      <c r="A650" s="51" t="inlineStr">
        <is>
          <t>SAIC Motor HK Investment Limited</t>
        </is>
      </c>
      <c r="B650" s="243" t="n">
        <v>1</v>
      </c>
      <c r="C650" s="245" t="n">
        <v>100</v>
      </c>
      <c r="D650" s="246" t="n">
        <v>7.3</v>
      </c>
      <c r="E650" s="246" t="n">
        <v>106.5</v>
      </c>
      <c r="F650" s="246" t="n">
        <v>64.2</v>
      </c>
      <c r="G650" s="246" t="n">
        <v>59</v>
      </c>
      <c r="H650" s="246" t="n">
        <v>92.5</v>
      </c>
      <c r="I650" s="246" t="n">
        <v>53</v>
      </c>
      <c r="J650" s="246" t="n">
        <v>48.2</v>
      </c>
      <c r="K650" s="247" t="inlineStr">
        <is>
          <t>0020 SENSETIME-W</t>
        </is>
      </c>
    </row>
    <row r="651">
      <c r="A651" s="51" t="inlineStr">
        <is>
          <t>Shanghai Artificial Intelligence Industry Equity Investment Fund Partnership</t>
        </is>
      </c>
      <c r="B651" s="243" t="n">
        <v>1</v>
      </c>
      <c r="C651" s="245" t="n">
        <v>100</v>
      </c>
      <c r="D651" s="246" t="n">
        <v>7.3</v>
      </c>
      <c r="E651" s="246" t="n">
        <v>106.5</v>
      </c>
      <c r="F651" s="246" t="n">
        <v>64.2</v>
      </c>
      <c r="G651" s="246" t="n">
        <v>59</v>
      </c>
      <c r="H651" s="246" t="n">
        <v>92.5</v>
      </c>
      <c r="I651" s="246" t="n">
        <v>53</v>
      </c>
      <c r="J651" s="246" t="n">
        <v>48.2</v>
      </c>
      <c r="K651" s="247" t="inlineStr">
        <is>
          <t>0020 SENSETIME-W</t>
        </is>
      </c>
    </row>
    <row r="652">
      <c r="A652" s="51" t="inlineStr">
        <is>
          <t>Shanghai Xuhui Capital Investment Co., Ltd</t>
        </is>
      </c>
      <c r="B652" s="243" t="n">
        <v>1</v>
      </c>
      <c r="C652" s="245" t="n">
        <v>100</v>
      </c>
      <c r="D652" s="246" t="n">
        <v>7.3</v>
      </c>
      <c r="E652" s="246" t="n">
        <v>106.5</v>
      </c>
      <c r="F652" s="246" t="n">
        <v>64.2</v>
      </c>
      <c r="G652" s="246" t="n">
        <v>59</v>
      </c>
      <c r="H652" s="246" t="n">
        <v>92.5</v>
      </c>
      <c r="I652" s="246" t="n">
        <v>53</v>
      </c>
      <c r="J652" s="246" t="n">
        <v>48.2</v>
      </c>
      <c r="K652" s="247" t="inlineStr">
        <is>
          <t>0020 SENSETIME-W</t>
        </is>
      </c>
    </row>
    <row r="653">
      <c r="A653" s="51" t="inlineStr">
        <is>
          <t>Taizhou Culture &amp; Tourism Development Group Ltd</t>
        </is>
      </c>
      <c r="B653" s="243" t="n">
        <v>1</v>
      </c>
      <c r="C653" s="245" t="n">
        <v>100</v>
      </c>
      <c r="D653" s="246" t="n">
        <v>7.3</v>
      </c>
      <c r="E653" s="246" t="n">
        <v>106.5</v>
      </c>
      <c r="F653" s="246" t="n">
        <v>64.2</v>
      </c>
      <c r="G653" s="246" t="n">
        <v>59</v>
      </c>
      <c r="H653" s="246" t="n">
        <v>92.5</v>
      </c>
      <c r="I653" s="246" t="n">
        <v>53</v>
      </c>
      <c r="J653" s="246" t="n">
        <v>48.2</v>
      </c>
      <c r="K653" s="247" t="inlineStr">
        <is>
          <t>0020 SENSETIME-W</t>
        </is>
      </c>
    </row>
    <row r="654">
      <c r="A654" s="51" t="inlineStr">
        <is>
          <t>HONG KONG BAIJIADA NEW MATERIAL LIMITED</t>
        </is>
      </c>
      <c r="B654" s="243" t="n">
        <v>1</v>
      </c>
      <c r="C654" s="245" t="n">
        <v>100</v>
      </c>
      <c r="D654" s="246" t="n">
        <v>7.1</v>
      </c>
      <c r="E654" s="246" t="n">
        <v>1.1</v>
      </c>
      <c r="F654" s="246" t="n">
        <v>0.7</v>
      </c>
      <c r="G654" s="246" t="n">
        <v>5.5</v>
      </c>
      <c r="H654" s="246" t="n">
        <v>-5.7</v>
      </c>
      <c r="I654" s="246" t="n">
        <v>-6</v>
      </c>
      <c r="J654" s="246" t="n">
        <v>-1.5</v>
      </c>
      <c r="K654" s="247" t="inlineStr">
        <is>
          <t>2411 PAGODA GP</t>
        </is>
      </c>
    </row>
    <row r="655">
      <c r="A655" s="51" t="inlineStr">
        <is>
          <t>Nantong Douson Drilling and Production Equipment Co., Ltd</t>
        </is>
      </c>
      <c r="B655" s="243" t="n">
        <v>1</v>
      </c>
      <c r="C655" s="245" t="n">
        <v>100</v>
      </c>
      <c r="D655" s="246" t="n">
        <v>7.1</v>
      </c>
      <c r="E655" s="246" t="n">
        <v>1.1</v>
      </c>
      <c r="F655" s="246" t="n">
        <v>0.7</v>
      </c>
      <c r="G655" s="246" t="n">
        <v>5.5</v>
      </c>
      <c r="H655" s="246" t="n">
        <v>-5.7</v>
      </c>
      <c r="I655" s="246" t="n">
        <v>-6</v>
      </c>
      <c r="J655" s="246" t="n">
        <v>-1.5</v>
      </c>
      <c r="K655" s="247" t="inlineStr">
        <is>
          <t>2411 PAGODA GP</t>
        </is>
      </c>
    </row>
    <row r="656">
      <c r="A656" s="51" t="inlineStr">
        <is>
          <t>Yip Wing Kui</t>
        </is>
      </c>
      <c r="B656" s="243" t="n">
        <v>1</v>
      </c>
      <c r="C656" s="245" t="n">
        <v>100</v>
      </c>
      <c r="D656" s="246" t="n">
        <v>7.1</v>
      </c>
      <c r="E656" s="246" t="n">
        <v>1.1</v>
      </c>
      <c r="F656" s="246" t="n">
        <v>0.7</v>
      </c>
      <c r="G656" s="246" t="n">
        <v>5.5</v>
      </c>
      <c r="H656" s="246" t="n">
        <v>-5.7</v>
      </c>
      <c r="I656" s="246" t="n">
        <v>-6</v>
      </c>
      <c r="J656" s="246" t="n">
        <v>-1.5</v>
      </c>
      <c r="K656" s="247" t="inlineStr">
        <is>
          <t>2411 PAGODA GP</t>
        </is>
      </c>
    </row>
    <row r="657">
      <c r="A657" s="51" t="inlineStr">
        <is>
          <t>H&amp;T Intelligent Control International Co., Limited</t>
        </is>
      </c>
      <c r="B657" s="243" t="n">
        <v>1</v>
      </c>
      <c r="C657" s="245" t="n">
        <v>100</v>
      </c>
      <c r="D657" s="246" t="n">
        <v>6.4</v>
      </c>
      <c r="E657" s="246" t="n">
        <v>2.3</v>
      </c>
      <c r="F657" s="246" t="n">
        <v>42.3</v>
      </c>
      <c r="G657" s="246" t="n">
        <v>23.2</v>
      </c>
      <c r="H657" s="246" t="n">
        <v>-3.8</v>
      </c>
      <c r="I657" s="246" t="n">
        <v>33.7</v>
      </c>
      <c r="J657" s="246" t="n">
        <v>15.8</v>
      </c>
      <c r="K657" s="247" t="inlineStr">
        <is>
          <t>2631 SICC</t>
        </is>
      </c>
    </row>
    <row r="658">
      <c r="A658" s="51" t="inlineStr">
        <is>
          <t>Mr. Lan Kun ( ᚆտ)</t>
        </is>
      </c>
      <c r="B658" s="243" t="n">
        <v>1</v>
      </c>
      <c r="C658" s="245" t="n">
        <v>100</v>
      </c>
      <c r="D658" s="246" t="n">
        <v>6.4</v>
      </c>
      <c r="E658" s="246" t="n">
        <v>2.3</v>
      </c>
      <c r="F658" s="246" t="n">
        <v>42.3</v>
      </c>
      <c r="G658" s="246" t="n">
        <v>23.2</v>
      </c>
      <c r="H658" s="246" t="n">
        <v>-3.8</v>
      </c>
      <c r="I658" s="246" t="n">
        <v>33.7</v>
      </c>
      <c r="J658" s="246" t="n">
        <v>15.8</v>
      </c>
      <c r="K658" s="247" t="inlineStr">
        <is>
          <t>2631 SICC</t>
        </is>
      </c>
    </row>
    <row r="659">
      <c r="A659" s="51" t="inlineStr">
        <is>
          <t>Yorkool International Limited</t>
        </is>
      </c>
      <c r="B659" s="243" t="n">
        <v>1</v>
      </c>
      <c r="C659" s="245" t="n">
        <v>100</v>
      </c>
      <c r="D659" s="246" t="n">
        <v>6</v>
      </c>
      <c r="E659" s="246" t="n">
        <v>34</v>
      </c>
      <c r="F659" s="246" t="n">
        <v>24.2</v>
      </c>
      <c r="G659" s="246" t="n">
        <v>9.9</v>
      </c>
      <c r="H659" s="246" t="n">
        <v>26.4</v>
      </c>
      <c r="I659" s="246" t="n">
        <v>17.1</v>
      </c>
      <c r="J659" s="246" t="n">
        <v>3.7</v>
      </c>
      <c r="K659" s="247" t="inlineStr">
        <is>
          <t>2252 MEDBOT-B</t>
        </is>
      </c>
    </row>
    <row r="660">
      <c r="A660" s="51" t="inlineStr">
        <is>
          <t>CS Logistics Holdings Ltd</t>
        </is>
      </c>
      <c r="B660" s="243" t="n">
        <v>1</v>
      </c>
      <c r="C660" s="245" t="n">
        <v>100</v>
      </c>
      <c r="D660" s="246" t="n">
        <v>5.5</v>
      </c>
      <c r="E660" s="246" t="n">
        <v>-7.6</v>
      </c>
      <c r="F660" s="246" t="n">
        <v>-20.1</v>
      </c>
      <c r="G660" s="246" t="n">
        <v>-56.1</v>
      </c>
      <c r="H660" s="246" t="n">
        <v>-12.4</v>
      </c>
      <c r="I660" s="246" t="n">
        <v>-24.3</v>
      </c>
      <c r="J660" s="246" t="n">
        <v>-58.4</v>
      </c>
      <c r="K660" s="247" t="inlineStr">
        <is>
          <t>2209 YESASIA HLDGS</t>
        </is>
      </c>
    </row>
    <row r="661">
      <c r="A661" s="51" t="inlineStr">
        <is>
          <t>De Well Group Singapore Pte. Ltd</t>
        </is>
      </c>
      <c r="B661" s="243" t="n">
        <v>1</v>
      </c>
      <c r="C661" s="245" t="n">
        <v>100</v>
      </c>
      <c r="D661" s="246" t="n">
        <v>5.5</v>
      </c>
      <c r="E661" s="246" t="n">
        <v>-16.4</v>
      </c>
      <c r="F661" s="246" t="n">
        <v>-20.9</v>
      </c>
      <c r="G661" s="246" t="n">
        <v>-33.8</v>
      </c>
      <c r="H661" s="246" t="n">
        <v>-20.8</v>
      </c>
      <c r="I661" s="246" t="n">
        <v>-25</v>
      </c>
      <c r="J661" s="246" t="n">
        <v>-37.3</v>
      </c>
      <c r="K661" s="247" t="inlineStr">
        <is>
          <t>2420 ZIBUYU</t>
        </is>
      </c>
    </row>
    <row r="662">
      <c r="A662" s="51" t="inlineStr">
        <is>
          <t>Castrol Holdings International Limited</t>
        </is>
      </c>
      <c r="B662" s="243" t="n">
        <v>1</v>
      </c>
      <c r="C662" s="245" t="n">
        <v>100</v>
      </c>
      <c r="D662" s="246" t="n">
        <v>5.4</v>
      </c>
      <c r="E662" s="246" t="n">
        <v>2.5</v>
      </c>
      <c r="F662" s="246" t="n">
        <v>25.7</v>
      </c>
      <c r="G662" s="246" t="n">
        <v>7</v>
      </c>
      <c r="H662" s="246" t="n">
        <v>-2.7</v>
      </c>
      <c r="I662" s="246" t="n">
        <v>19.3</v>
      </c>
      <c r="J662" s="246" t="n">
        <v>1.5</v>
      </c>
      <c r="K662" s="247" t="inlineStr">
        <is>
          <t>9690 TUHU-W</t>
        </is>
      </c>
    </row>
    <row r="663">
      <c r="A663" s="51" t="inlineStr">
        <is>
          <t>Image Frame Investment (HK) Limited</t>
        </is>
      </c>
      <c r="B663" s="243" t="n">
        <v>1</v>
      </c>
      <c r="C663" s="245" t="n">
        <v>100</v>
      </c>
      <c r="D663" s="246" t="n">
        <v>5.4</v>
      </c>
      <c r="E663" s="246" t="n">
        <v>2.5</v>
      </c>
      <c r="F663" s="246" t="n">
        <v>25.7</v>
      </c>
      <c r="G663" s="246" t="n">
        <v>7</v>
      </c>
      <c r="H663" s="246" t="n">
        <v>-2.7</v>
      </c>
      <c r="I663" s="246" t="n">
        <v>19.3</v>
      </c>
      <c r="J663" s="246" t="n">
        <v>1.5</v>
      </c>
      <c r="K663" s="247" t="inlineStr">
        <is>
          <t>9690 TUHU-W</t>
        </is>
      </c>
    </row>
    <row r="664">
      <c r="A664" s="51" t="inlineStr">
        <is>
          <t>Shanghai Zizhu High-tech Zone (Group) Co., Ltd</t>
        </is>
      </c>
      <c r="B664" s="243" t="n">
        <v>1</v>
      </c>
      <c r="C664" s="245" t="n">
        <v>100</v>
      </c>
      <c r="D664" s="246" t="n">
        <v>5.4</v>
      </c>
      <c r="E664" s="246" t="n">
        <v>2.5</v>
      </c>
      <c r="F664" s="246" t="n">
        <v>25.7</v>
      </c>
      <c r="G664" s="246" t="n">
        <v>7</v>
      </c>
      <c r="H664" s="246" t="n">
        <v>-2.7</v>
      </c>
      <c r="I664" s="246" t="n">
        <v>19.3</v>
      </c>
      <c r="J664" s="246" t="n">
        <v>1.5</v>
      </c>
      <c r="K664" s="247" t="inlineStr">
        <is>
          <t>9690 TUHU-W</t>
        </is>
      </c>
    </row>
    <row r="665">
      <c r="A665" s="51" t="inlineStr">
        <is>
          <t>Etarget Limited</t>
        </is>
      </c>
      <c r="B665" s="243" t="n">
        <v>1</v>
      </c>
      <c r="C665" s="245" t="n">
        <v>100</v>
      </c>
      <c r="D665" s="246" t="n">
        <v>5.4</v>
      </c>
      <c r="E665" s="246" t="n">
        <v>12.6</v>
      </c>
      <c r="F665" s="246" t="n">
        <v>9.9</v>
      </c>
      <c r="G665" s="246" t="n">
        <v>92.5</v>
      </c>
      <c r="H665" s="246" t="n">
        <v>6.9</v>
      </c>
      <c r="I665" s="246" t="n">
        <v>4.3</v>
      </c>
      <c r="J665" s="246" t="n">
        <v>82.7</v>
      </c>
      <c r="K665" s="247" t="inlineStr">
        <is>
          <t>2590 GEEKPLUS-W</t>
        </is>
      </c>
    </row>
    <row r="666">
      <c r="A666" s="51" t="inlineStr">
        <is>
          <t>Beijing Zhongguancun Science City Science and Technology Growth Investment Partn</t>
        </is>
      </c>
      <c r="B666" s="243" t="n">
        <v>1</v>
      </c>
      <c r="C666" s="245" t="n">
        <v>100</v>
      </c>
      <c r="D666" s="246" t="n">
        <v>5.2</v>
      </c>
      <c r="E666" s="246" t="n">
        <v>-2.9</v>
      </c>
      <c r="F666" s="246" t="n">
        <v>-6.5</v>
      </c>
      <c r="G666" s="246" t="n">
        <v>-10.8</v>
      </c>
      <c r="H666" s="246" t="n">
        <v>-7.7</v>
      </c>
      <c r="I666" s="246" t="n">
        <v>-11.1</v>
      </c>
      <c r="J666" s="246" t="n">
        <v>-15.2</v>
      </c>
      <c r="K666" s="247" t="inlineStr">
        <is>
          <t>6682 FOURTH PARADIGM</t>
        </is>
      </c>
    </row>
    <row r="667">
      <c r="A667" s="51" t="inlineStr">
        <is>
          <t>NCC China A-Share Master Fund</t>
        </is>
      </c>
      <c r="B667" s="243" t="n">
        <v>1</v>
      </c>
      <c r="C667" s="245" t="n">
        <v>100</v>
      </c>
      <c r="D667" s="246" t="n">
        <v>5.1</v>
      </c>
      <c r="E667" s="246" t="n">
        <v>1.1</v>
      </c>
      <c r="F667" s="246" t="n">
        <v>-17.3</v>
      </c>
      <c r="G667" s="246" t="n">
        <v>-38.1</v>
      </c>
      <c r="H667" s="246" t="n">
        <v>-3.7</v>
      </c>
      <c r="I667" s="246" t="n">
        <v>-21.3</v>
      </c>
      <c r="J667" s="246" t="n">
        <v>-41.1</v>
      </c>
      <c r="K667" s="247" t="inlineStr">
        <is>
          <t>2279 YONGHE MEDICAL</t>
        </is>
      </c>
    </row>
    <row r="668">
      <c r="A668" s="51" t="inlineStr">
        <is>
          <t>Costone China Growth Capital I L.P</t>
        </is>
      </c>
      <c r="B668" s="243" t="n">
        <v>1</v>
      </c>
      <c r="C668" s="245" t="n">
        <v>100</v>
      </c>
      <c r="D668" s="246" t="n">
        <v>5.1</v>
      </c>
      <c r="E668" s="246" t="n">
        <v>2.2</v>
      </c>
      <c r="F668" s="246" t="n">
        <v>5.4</v>
      </c>
      <c r="G668" s="246" t="n">
        <v>60.8</v>
      </c>
      <c r="H668" s="246" t="n">
        <v>-2.8</v>
      </c>
      <c r="I668" s="246" t="n">
        <v>0.3</v>
      </c>
      <c r="J668" s="246" t="n">
        <v>53</v>
      </c>
      <c r="K668" s="247" t="inlineStr">
        <is>
          <t>2506 XUNFEIHEALTH</t>
        </is>
      </c>
    </row>
    <row r="669">
      <c r="A669" s="51" t="inlineStr">
        <is>
          <t>Xunyi Limited</t>
        </is>
      </c>
      <c r="B669" s="243" t="n">
        <v>1</v>
      </c>
      <c r="C669" s="245" t="n">
        <v>100</v>
      </c>
      <c r="D669" s="246" t="n">
        <v>5.1</v>
      </c>
      <c r="E669" s="246" t="n">
        <v>2.2</v>
      </c>
      <c r="F669" s="246" t="n">
        <v>5.4</v>
      </c>
      <c r="G669" s="246" t="n">
        <v>60.8</v>
      </c>
      <c r="H669" s="246" t="n">
        <v>-2.8</v>
      </c>
      <c r="I669" s="246" t="n">
        <v>0.3</v>
      </c>
      <c r="J669" s="246" t="n">
        <v>53</v>
      </c>
      <c r="K669" s="247" t="inlineStr">
        <is>
          <t>2506 XUNFEIHEALTH</t>
        </is>
      </c>
    </row>
    <row r="670">
      <c r="A670" s="51" t="inlineStr">
        <is>
          <t>ClinChoice Medical Development Limited</t>
        </is>
      </c>
      <c r="B670" s="243" t="n">
        <v>1</v>
      </c>
      <c r="C670" s="245" t="n">
        <v>100</v>
      </c>
      <c r="D670" s="246" t="n">
        <v>5</v>
      </c>
      <c r="E670" s="246" t="n">
        <v>34.4</v>
      </c>
      <c r="F670" s="246" t="n">
        <v>38.2</v>
      </c>
      <c r="G670" s="246" t="n">
        <v>53</v>
      </c>
      <c r="H670" s="246" t="n">
        <v>28.1</v>
      </c>
      <c r="I670" s="246" t="n">
        <v>31.6</v>
      </c>
      <c r="J670" s="246" t="n">
        <v>45.8</v>
      </c>
      <c r="K670" s="247" t="inlineStr">
        <is>
          <t>1541 IMMUNEONCO-B</t>
        </is>
      </c>
    </row>
    <row r="671">
      <c r="A671" s="51" t="inlineStr">
        <is>
          <t>Hong Tai International III LPF</t>
        </is>
      </c>
      <c r="B671" s="243" t="n">
        <v>1</v>
      </c>
      <c r="C671" s="245" t="n">
        <v>100</v>
      </c>
      <c r="D671" s="246" t="n">
        <v>5</v>
      </c>
      <c r="E671" s="246" t="n">
        <v>-19.4</v>
      </c>
      <c r="F671" s="246" t="n">
        <v>-17.1</v>
      </c>
      <c r="G671" s="246" t="n">
        <v>-2.7</v>
      </c>
      <c r="H671" s="246" t="n">
        <v>-23.3</v>
      </c>
      <c r="I671" s="246" t="n">
        <v>-21.1</v>
      </c>
      <c r="J671" s="246" t="n">
        <v>-7.3</v>
      </c>
      <c r="K671" s="247" t="inlineStr">
        <is>
          <t>1471 ZHONGMIAO</t>
        </is>
      </c>
    </row>
    <row r="672">
      <c r="A672" s="51" t="inlineStr">
        <is>
          <t>Golden Feather Corporation</t>
        </is>
      </c>
      <c r="B672" s="243" t="n">
        <v>1</v>
      </c>
      <c r="C672" s="245" t="n">
        <v>100</v>
      </c>
      <c r="D672" s="246" t="n">
        <v>4.9</v>
      </c>
      <c r="E672" s="246" t="n">
        <v>0</v>
      </c>
      <c r="F672" s="246" t="n">
        <v>-8.5</v>
      </c>
      <c r="G672" s="246" t="n">
        <v>3</v>
      </c>
      <c r="H672" s="246" t="n">
        <v>-4.7</v>
      </c>
      <c r="I672" s="246" t="n">
        <v>-12.8</v>
      </c>
      <c r="J672" s="246" t="n">
        <v>-1.8</v>
      </c>
      <c r="K672" s="247" t="inlineStr">
        <is>
          <t>9878 HUITONGDA NET</t>
        </is>
      </c>
    </row>
    <row r="673">
      <c r="A673" s="51" t="inlineStr">
        <is>
          <t>Skyworth Overseas Investment Holdings Limited</t>
        </is>
      </c>
      <c r="B673" s="243" t="n">
        <v>1</v>
      </c>
      <c r="C673" s="245" t="n">
        <v>100</v>
      </c>
      <c r="D673" s="246" t="n">
        <v>4.9</v>
      </c>
      <c r="E673" s="246" t="n">
        <v>0</v>
      </c>
      <c r="F673" s="246" t="n">
        <v>-8.5</v>
      </c>
      <c r="G673" s="246" t="n">
        <v>3</v>
      </c>
      <c r="H673" s="246" t="n">
        <v>-4.7</v>
      </c>
      <c r="I673" s="246" t="n">
        <v>-12.8</v>
      </c>
      <c r="J673" s="246" t="n">
        <v>-1.8</v>
      </c>
      <c r="K673" s="247" t="inlineStr">
        <is>
          <t>9878 HUITONGDA NET</t>
        </is>
      </c>
    </row>
    <row r="674">
      <c r="A674" s="51" t="inlineStr">
        <is>
          <t>Windfall T&amp;L SPC</t>
        </is>
      </c>
      <c r="B674" s="243" t="n">
        <v>1</v>
      </c>
      <c r="C674" s="245" t="n">
        <v>100</v>
      </c>
      <c r="D674" s="246" t="n">
        <v>4.9</v>
      </c>
      <c r="E674" s="246" t="n">
        <v>0</v>
      </c>
      <c r="F674" s="246" t="n">
        <v>-8.5</v>
      </c>
      <c r="G674" s="246" t="n">
        <v>3</v>
      </c>
      <c r="H674" s="246" t="n">
        <v>-4.7</v>
      </c>
      <c r="I674" s="246" t="n">
        <v>-12.8</v>
      </c>
      <c r="J674" s="246" t="n">
        <v>-1.8</v>
      </c>
      <c r="K674" s="247" t="inlineStr">
        <is>
          <t>9878 HUITONGDA NET</t>
        </is>
      </c>
    </row>
    <row r="675">
      <c r="A675" s="51" t="inlineStr">
        <is>
          <t>GSAM</t>
        </is>
      </c>
      <c r="B675" s="243" t="n">
        <v>1</v>
      </c>
      <c r="C675" s="245" t="n">
        <v>100</v>
      </c>
      <c r="D675" s="246" t="n">
        <v>4.7</v>
      </c>
      <c r="E675" s="246" t="n">
        <v>-2.3</v>
      </c>
      <c r="F675" s="246" t="n">
        <v>6.7</v>
      </c>
      <c r="G675" s="248" t="n"/>
      <c r="H675" s="246" t="n">
        <v>-6.7</v>
      </c>
      <c r="I675" s="246" t="n">
        <v>1.9</v>
      </c>
      <c r="J675" s="248" t="n"/>
      <c r="K675" s="247" t="inlineStr">
        <is>
          <t>6951 CCTC</t>
        </is>
      </c>
    </row>
    <row r="676">
      <c r="A676" s="51" t="inlineStr">
        <is>
          <t>Manulife-managed Funds</t>
        </is>
      </c>
      <c r="B676" s="243" t="n">
        <v>1</v>
      </c>
      <c r="C676" s="245" t="n">
        <v>100</v>
      </c>
      <c r="D676" s="246" t="n">
        <v>4.7</v>
      </c>
      <c r="E676" s="246" t="n">
        <v>-2.3</v>
      </c>
      <c r="F676" s="246" t="n">
        <v>6.7</v>
      </c>
      <c r="G676" s="248" t="n"/>
      <c r="H676" s="246" t="n">
        <v>-6.7</v>
      </c>
      <c r="I676" s="246" t="n">
        <v>1.9</v>
      </c>
      <c r="J676" s="248" t="n"/>
      <c r="K676" s="247" t="inlineStr">
        <is>
          <t>6951 CCTC</t>
        </is>
      </c>
    </row>
    <row r="677">
      <c r="A677" s="51" t="inlineStr">
        <is>
          <t>GMF and IRMF</t>
        </is>
      </c>
      <c r="B677" s="243" t="n">
        <v>1</v>
      </c>
      <c r="C677" s="245" t="n">
        <v>100</v>
      </c>
      <c r="D677" s="246" t="n">
        <v>4.7</v>
      </c>
      <c r="E677" s="246" t="n">
        <v>-2.3</v>
      </c>
      <c r="F677" s="246" t="n">
        <v>6.7</v>
      </c>
      <c r="G677" s="248" t="n"/>
      <c r="H677" s="246" t="n">
        <v>-6.7</v>
      </c>
      <c r="I677" s="246" t="n">
        <v>1.9</v>
      </c>
      <c r="J677" s="248" t="n"/>
      <c r="K677" s="247" t="inlineStr">
        <is>
          <t>6951 CCTC</t>
        </is>
      </c>
    </row>
    <row r="678">
      <c r="A678" s="51" t="inlineStr">
        <is>
          <t>Primavera Investment Fund</t>
        </is>
      </c>
      <c r="B678" s="243" t="n">
        <v>1</v>
      </c>
      <c r="C678" s="245" t="n">
        <v>100</v>
      </c>
      <c r="D678" s="246" t="n">
        <v>4.6</v>
      </c>
      <c r="E678" s="246" t="n">
        <v>-2.7</v>
      </c>
      <c r="F678" s="248" t="n"/>
      <c r="G678" s="248" t="n"/>
      <c r="H678" s="246" t="n">
        <v>-7</v>
      </c>
      <c r="I678" s="248" t="n"/>
      <c r="J678" s="248" t="n"/>
      <c r="K678" s="247" t="inlineStr">
        <is>
          <t>9856 LIGENT</t>
        </is>
      </c>
    </row>
    <row r="679">
      <c r="A679" s="51" t="inlineStr">
        <is>
          <t>HK BVF I LPF</t>
        </is>
      </c>
      <c r="B679" s="243" t="n">
        <v>1</v>
      </c>
      <c r="C679" s="245" t="n">
        <v>100</v>
      </c>
      <c r="D679" s="246" t="n">
        <v>4.6</v>
      </c>
      <c r="E679" s="246" t="n">
        <v>-2.7</v>
      </c>
      <c r="F679" s="248" t="n"/>
      <c r="G679" s="248" t="n"/>
      <c r="H679" s="246" t="n">
        <v>-7</v>
      </c>
      <c r="I679" s="248" t="n"/>
      <c r="J679" s="248" t="n"/>
      <c r="K679" s="247" t="inlineStr">
        <is>
          <t>9856 LIGENT</t>
        </is>
      </c>
    </row>
    <row r="680">
      <c r="A680" s="51" t="inlineStr">
        <is>
          <t>Mount Altai</t>
        </is>
      </c>
      <c r="B680" s="243" t="n">
        <v>1</v>
      </c>
      <c r="C680" s="245" t="n">
        <v>100</v>
      </c>
      <c r="D680" s="246" t="n">
        <v>4.6</v>
      </c>
      <c r="E680" s="246" t="n">
        <v>-2.7</v>
      </c>
      <c r="F680" s="248" t="n"/>
      <c r="G680" s="248" t="n"/>
      <c r="H680" s="246" t="n">
        <v>-7</v>
      </c>
      <c r="I680" s="248" t="n"/>
      <c r="J680" s="248" t="n"/>
      <c r="K680" s="247" t="inlineStr">
        <is>
          <t>9856 LIGENT</t>
        </is>
      </c>
    </row>
    <row r="681">
      <c r="A681" s="51" t="inlineStr">
        <is>
          <t>Sinofortune International</t>
        </is>
      </c>
      <c r="B681" s="243" t="n">
        <v>1</v>
      </c>
      <c r="C681" s="245" t="n">
        <v>100</v>
      </c>
      <c r="D681" s="246" t="n">
        <v>4.6</v>
      </c>
      <c r="E681" s="246" t="n">
        <v>-2.7</v>
      </c>
      <c r="F681" s="248" t="n"/>
      <c r="G681" s="248" t="n"/>
      <c r="H681" s="246" t="n">
        <v>-7</v>
      </c>
      <c r="I681" s="248" t="n"/>
      <c r="J681" s="248" t="n"/>
      <c r="K681" s="247" t="inlineStr">
        <is>
          <t>9856 LIGENT</t>
        </is>
      </c>
    </row>
    <row r="682">
      <c r="A682" s="51" t="inlineStr">
        <is>
          <t>Ambre Lau Trade Limited</t>
        </is>
      </c>
      <c r="B682" s="243" t="n">
        <v>1</v>
      </c>
      <c r="C682" s="245" t="n">
        <v>100</v>
      </c>
      <c r="D682" s="246" t="n">
        <v>4.6</v>
      </c>
      <c r="E682" s="246" t="n">
        <v>-2.7</v>
      </c>
      <c r="F682" s="248" t="n"/>
      <c r="G682" s="248" t="n"/>
      <c r="H682" s="246" t="n">
        <v>-7</v>
      </c>
      <c r="I682" s="248" t="n"/>
      <c r="J682" s="248" t="n"/>
      <c r="K682" s="247" t="inlineStr">
        <is>
          <t>9856 LIGENT</t>
        </is>
      </c>
    </row>
    <row r="683">
      <c r="A683" s="51" t="inlineStr">
        <is>
          <t>PAG Capital Structure Opportunity Fund LP</t>
        </is>
      </c>
      <c r="B683" s="243" t="n">
        <v>1</v>
      </c>
      <c r="C683" s="245" t="n">
        <v>100</v>
      </c>
      <c r="D683" s="246" t="n">
        <v>4.6</v>
      </c>
      <c r="E683" s="246" t="n">
        <v>-2.7</v>
      </c>
      <c r="F683" s="248" t="n"/>
      <c r="G683" s="248" t="n"/>
      <c r="H683" s="246" t="n">
        <v>-7</v>
      </c>
      <c r="I683" s="248" t="n"/>
      <c r="J683" s="248" t="n"/>
      <c r="K683" s="247" t="inlineStr">
        <is>
          <t>9856 LIGENT</t>
        </is>
      </c>
    </row>
    <row r="684">
      <c r="A684" s="51" t="inlineStr">
        <is>
          <t>CSC OTC Swap</t>
        </is>
      </c>
      <c r="B684" s="243" t="n">
        <v>1</v>
      </c>
      <c r="C684" s="245" t="n">
        <v>100</v>
      </c>
      <c r="D684" s="246" t="n">
        <v>4.6</v>
      </c>
      <c r="E684" s="246" t="n">
        <v>-2.7</v>
      </c>
      <c r="F684" s="248" t="n"/>
      <c r="G684" s="248" t="n"/>
      <c r="H684" s="246" t="n">
        <v>-7</v>
      </c>
      <c r="I684" s="248" t="n"/>
      <c r="J684" s="248" t="n"/>
      <c r="K684" s="247" t="inlineStr">
        <is>
          <t>9856 LIGENT</t>
        </is>
      </c>
    </row>
    <row r="685">
      <c r="A685" s="51" t="inlineStr">
        <is>
          <t>GaoTeng Global Asset Management Limited</t>
        </is>
      </c>
      <c r="B685" s="243" t="n">
        <v>1</v>
      </c>
      <c r="C685" s="245" t="n">
        <v>100</v>
      </c>
      <c r="D685" s="246" t="n">
        <v>4.6</v>
      </c>
      <c r="E685" s="246" t="n">
        <v>-2.7</v>
      </c>
      <c r="F685" s="248" t="n"/>
      <c r="G685" s="248" t="n"/>
      <c r="H685" s="246" t="n">
        <v>-7</v>
      </c>
      <c r="I685" s="248" t="n"/>
      <c r="J685" s="248" t="n"/>
      <c r="K685" s="247" t="inlineStr">
        <is>
          <t>9856 LIGENT</t>
        </is>
      </c>
    </row>
    <row r="686">
      <c r="A686" s="51" t="inlineStr">
        <is>
          <t>Amlogic Hong Kong</t>
        </is>
      </c>
      <c r="B686" s="243" t="n">
        <v>1</v>
      </c>
      <c r="C686" s="245" t="n">
        <v>100</v>
      </c>
      <c r="D686" s="246" t="n">
        <v>4.6</v>
      </c>
      <c r="E686" s="246" t="n">
        <v>-2.7</v>
      </c>
      <c r="F686" s="248" t="n"/>
      <c r="G686" s="248" t="n"/>
      <c r="H686" s="246" t="n">
        <v>-7</v>
      </c>
      <c r="I686" s="248" t="n"/>
      <c r="J686" s="248" t="n"/>
      <c r="K686" s="247" t="inlineStr">
        <is>
          <t>9856 LIGENT</t>
        </is>
      </c>
    </row>
    <row r="687">
      <c r="A687" s="51" t="inlineStr">
        <is>
          <t>Atlas Venture Limited</t>
        </is>
      </c>
      <c r="B687" s="243" t="n">
        <v>1</v>
      </c>
      <c r="C687" s="245" t="n">
        <v>100</v>
      </c>
      <c r="D687" s="246" t="n">
        <v>4.6</v>
      </c>
      <c r="E687" s="246" t="n">
        <v>-2.7</v>
      </c>
      <c r="F687" s="248" t="n"/>
      <c r="G687" s="248" t="n"/>
      <c r="H687" s="246" t="n">
        <v>-7</v>
      </c>
      <c r="I687" s="248" t="n"/>
      <c r="J687" s="248" t="n"/>
      <c r="K687" s="247" t="inlineStr">
        <is>
          <t>9856 LIGENT</t>
        </is>
      </c>
    </row>
    <row r="688">
      <c r="A688" s="51" t="inlineStr">
        <is>
          <t>Yuanbao Family Office</t>
        </is>
      </c>
      <c r="B688" s="243" t="n">
        <v>1</v>
      </c>
      <c r="C688" s="245" t="n">
        <v>100</v>
      </c>
      <c r="D688" s="246" t="n">
        <v>4.3</v>
      </c>
      <c r="E688" s="246" t="n">
        <v>-19.5</v>
      </c>
      <c r="F688" s="246" t="n">
        <v>-44.7</v>
      </c>
      <c r="G688" s="246" t="n">
        <v>-31.3</v>
      </c>
      <c r="H688" s="246" t="n">
        <v>-22.9</v>
      </c>
      <c r="I688" s="246" t="n">
        <v>-47</v>
      </c>
      <c r="J688" s="246" t="n">
        <v>-34.1</v>
      </c>
      <c r="K688" s="247" t="inlineStr">
        <is>
          <t>6106 SEER TECH</t>
        </is>
      </c>
    </row>
    <row r="689">
      <c r="A689" s="51" t="inlineStr">
        <is>
          <t>Zhonghe Capital (through GF Securities AM as the qualified domestic institutional investor)</t>
        </is>
      </c>
      <c r="B689" s="243" t="n">
        <v>1</v>
      </c>
      <c r="C689" s="245" t="n">
        <v>100</v>
      </c>
      <c r="D689" s="246" t="n">
        <v>4.3</v>
      </c>
      <c r="E689" s="246" t="n">
        <v>-19.5</v>
      </c>
      <c r="F689" s="246" t="n">
        <v>-44.7</v>
      </c>
      <c r="G689" s="246" t="n">
        <v>-31.3</v>
      </c>
      <c r="H689" s="246" t="n">
        <v>-22.9</v>
      </c>
      <c r="I689" s="246" t="n">
        <v>-47</v>
      </c>
      <c r="J689" s="246" t="n">
        <v>-34.1</v>
      </c>
      <c r="K689" s="247" t="inlineStr">
        <is>
          <t>6106 SEER TECH</t>
        </is>
      </c>
    </row>
    <row r="690">
      <c r="A690" s="51" t="inlineStr">
        <is>
          <t>Fook Man Development Company Limited</t>
        </is>
      </c>
      <c r="B690" s="243" t="n">
        <v>1</v>
      </c>
      <c r="C690" s="245" t="n">
        <v>100</v>
      </c>
      <c r="D690" s="246" t="n">
        <v>4.2</v>
      </c>
      <c r="E690" s="246" t="n">
        <v>-4.9</v>
      </c>
      <c r="F690" s="246" t="n">
        <v>-8.6</v>
      </c>
      <c r="G690" s="246" t="n">
        <v>-4.7</v>
      </c>
      <c r="H690" s="246" t="n">
        <v>-8.699999999999999</v>
      </c>
      <c r="I690" s="246" t="n">
        <v>-12.2</v>
      </c>
      <c r="J690" s="246" t="n">
        <v>-8.5</v>
      </c>
      <c r="K690" s="247" t="inlineStr">
        <is>
          <t>9889 DRCB</t>
        </is>
      </c>
    </row>
    <row r="691">
      <c r="A691" s="51" t="inlineStr">
        <is>
          <t>Guohua Life Insurance Co., Ltd</t>
        </is>
      </c>
      <c r="B691" s="243" t="n">
        <v>1</v>
      </c>
      <c r="C691" s="245" t="n">
        <v>100</v>
      </c>
      <c r="D691" s="246" t="n">
        <v>4.2</v>
      </c>
      <c r="E691" s="246" t="n">
        <v>21.1</v>
      </c>
      <c r="F691" s="246" t="n">
        <v>14.5</v>
      </c>
      <c r="G691" s="246" t="n">
        <v>17.8</v>
      </c>
      <c r="H691" s="246" t="n">
        <v>16.3</v>
      </c>
      <c r="I691" s="246" t="n">
        <v>9.9</v>
      </c>
      <c r="J691" s="246" t="n">
        <v>13.1</v>
      </c>
      <c r="K691" s="247" t="inlineStr">
        <is>
          <t>2701 NSING TECH</t>
        </is>
      </c>
    </row>
    <row r="692">
      <c r="A692" s="51" t="inlineStr">
        <is>
          <t>Mr. An Jiangbo</t>
        </is>
      </c>
      <c r="B692" s="243" t="n">
        <v>1</v>
      </c>
      <c r="C692" s="245" t="n">
        <v>100</v>
      </c>
      <c r="D692" s="246" t="n">
        <v>4.2</v>
      </c>
      <c r="E692" s="246" t="n">
        <v>21.1</v>
      </c>
      <c r="F692" s="246" t="n">
        <v>14.5</v>
      </c>
      <c r="G692" s="246" t="n">
        <v>17.8</v>
      </c>
      <c r="H692" s="246" t="n">
        <v>16.3</v>
      </c>
      <c r="I692" s="246" t="n">
        <v>9.9</v>
      </c>
      <c r="J692" s="246" t="n">
        <v>13.1</v>
      </c>
      <c r="K692" s="247" t="inlineStr">
        <is>
          <t>2701 NSING TECH</t>
        </is>
      </c>
    </row>
    <row r="693">
      <c r="A693" s="51" t="inlineStr">
        <is>
          <t>Ms. Christine Tai</t>
        </is>
      </c>
      <c r="B693" s="243" t="n">
        <v>1</v>
      </c>
      <c r="C693" s="245" t="n">
        <v>100</v>
      </c>
      <c r="D693" s="246" t="n">
        <v>4.2</v>
      </c>
      <c r="E693" s="246" t="n">
        <v>21.1</v>
      </c>
      <c r="F693" s="246" t="n">
        <v>14.5</v>
      </c>
      <c r="G693" s="246" t="n">
        <v>17.8</v>
      </c>
      <c r="H693" s="246" t="n">
        <v>16.3</v>
      </c>
      <c r="I693" s="246" t="n">
        <v>9.9</v>
      </c>
      <c r="J693" s="246" t="n">
        <v>13.1</v>
      </c>
      <c r="K693" s="247" t="inlineStr">
        <is>
          <t>2701 NSING TECH</t>
        </is>
      </c>
    </row>
    <row r="694">
      <c r="A694" s="51" t="inlineStr">
        <is>
          <t>Hangzhou Fuyang Industrial Fund Investment Management Co., Ltd</t>
        </is>
      </c>
      <c r="B694" s="243" t="n">
        <v>1</v>
      </c>
      <c r="C694" s="245" t="n">
        <v>100</v>
      </c>
      <c r="D694" s="246" t="n">
        <v>4</v>
      </c>
      <c r="E694" s="246" t="n">
        <v>-5.1</v>
      </c>
      <c r="F694" s="246" t="n">
        <v>-6.2</v>
      </c>
      <c r="G694" s="246" t="n">
        <v>45.7</v>
      </c>
      <c r="H694" s="246" t="n">
        <v>-8.699999999999999</v>
      </c>
      <c r="I694" s="246" t="n">
        <v>-9.800000000000001</v>
      </c>
      <c r="J694" s="246" t="n">
        <v>40.1</v>
      </c>
      <c r="K694" s="247" t="inlineStr">
        <is>
          <t>6929 ORBUSNEICH</t>
        </is>
      </c>
    </row>
    <row r="695">
      <c r="A695" s="51" t="inlineStr">
        <is>
          <t>Wii Pte Ltd (Wilmar)</t>
        </is>
      </c>
      <c r="B695" s="243" t="n">
        <v>1</v>
      </c>
      <c r="C695" s="245" t="n">
        <v>100</v>
      </c>
      <c r="D695" s="246" t="n">
        <v>3.9</v>
      </c>
      <c r="E695" s="246" t="n">
        <v>0.5</v>
      </c>
      <c r="F695" s="246" t="n">
        <v>19.7</v>
      </c>
      <c r="G695" s="246" t="n">
        <v>0.7</v>
      </c>
      <c r="H695" s="246" t="n">
        <v>-3.3</v>
      </c>
      <c r="I695" s="246" t="n">
        <v>15.2</v>
      </c>
      <c r="J695" s="246" t="n">
        <v>-3.1</v>
      </c>
      <c r="K695" s="247" t="inlineStr">
        <is>
          <t>2714 MUYUAN</t>
        </is>
      </c>
    </row>
    <row r="696">
      <c r="A696" s="51" t="inlineStr">
        <is>
          <t>HPRY Holdings (Wilmar)</t>
        </is>
      </c>
      <c r="B696" s="243" t="n">
        <v>1</v>
      </c>
      <c r="C696" s="245" t="n">
        <v>100</v>
      </c>
      <c r="D696" s="246" t="n">
        <v>3.9</v>
      </c>
      <c r="E696" s="246" t="n">
        <v>0.5</v>
      </c>
      <c r="F696" s="246" t="n">
        <v>19.7</v>
      </c>
      <c r="G696" s="246" t="n">
        <v>0.7</v>
      </c>
      <c r="H696" s="246" t="n">
        <v>-3.3</v>
      </c>
      <c r="I696" s="246" t="n">
        <v>15.2</v>
      </c>
      <c r="J696" s="246" t="n">
        <v>-3.1</v>
      </c>
      <c r="K696" s="247" t="inlineStr">
        <is>
          <t>2714 MUYUAN</t>
        </is>
      </c>
    </row>
    <row r="697">
      <c r="A697" s="51" t="inlineStr">
        <is>
          <t>Sinochem Hong Kong (Group)</t>
        </is>
      </c>
      <c r="B697" s="243" t="n">
        <v>1</v>
      </c>
      <c r="C697" s="245" t="n">
        <v>100</v>
      </c>
      <c r="D697" s="246" t="n">
        <v>3.9</v>
      </c>
      <c r="E697" s="246" t="n">
        <v>0.5</v>
      </c>
      <c r="F697" s="246" t="n">
        <v>19.7</v>
      </c>
      <c r="G697" s="246" t="n">
        <v>0.7</v>
      </c>
      <c r="H697" s="246" t="n">
        <v>-3.3</v>
      </c>
      <c r="I697" s="246" t="n">
        <v>15.2</v>
      </c>
      <c r="J697" s="246" t="n">
        <v>-3.1</v>
      </c>
      <c r="K697" s="247" t="inlineStr">
        <is>
          <t>2714 MUYUAN</t>
        </is>
      </c>
    </row>
    <row r="698">
      <c r="A698" s="51" t="inlineStr">
        <is>
          <t>Hong Kong Henan Agri International</t>
        </is>
      </c>
      <c r="B698" s="243" t="n">
        <v>1</v>
      </c>
      <c r="C698" s="245" t="n">
        <v>100</v>
      </c>
      <c r="D698" s="246" t="n">
        <v>3.9</v>
      </c>
      <c r="E698" s="246" t="n">
        <v>0.5</v>
      </c>
      <c r="F698" s="246" t="n">
        <v>19.7</v>
      </c>
      <c r="G698" s="246" t="n">
        <v>0.7</v>
      </c>
      <c r="H698" s="246" t="n">
        <v>-3.3</v>
      </c>
      <c r="I698" s="246" t="n">
        <v>15.2</v>
      </c>
      <c r="J698" s="246" t="n">
        <v>-3.1</v>
      </c>
      <c r="K698" s="247" t="inlineStr">
        <is>
          <t>2714 MUYUAN</t>
        </is>
      </c>
    </row>
    <row r="699">
      <c r="A699" s="51" t="inlineStr">
        <is>
          <t>Midea Development Holding (BVI)</t>
        </is>
      </c>
      <c r="B699" s="243" t="n">
        <v>1</v>
      </c>
      <c r="C699" s="245" t="n">
        <v>100</v>
      </c>
      <c r="D699" s="246" t="n">
        <v>3.9</v>
      </c>
      <c r="E699" s="246" t="n">
        <v>0.5</v>
      </c>
      <c r="F699" s="246" t="n">
        <v>19.7</v>
      </c>
      <c r="G699" s="246" t="n">
        <v>0.7</v>
      </c>
      <c r="H699" s="246" t="n">
        <v>-3.3</v>
      </c>
      <c r="I699" s="246" t="n">
        <v>15.2</v>
      </c>
      <c r="J699" s="246" t="n">
        <v>-3.1</v>
      </c>
      <c r="K699" s="247" t="inlineStr">
        <is>
          <t>2714 MUYUAN</t>
        </is>
      </c>
    </row>
    <row r="700">
      <c r="A700" s="51" t="inlineStr">
        <is>
          <t>Cheng Hung Ping</t>
        </is>
      </c>
      <c r="B700" s="243" t="n">
        <v>1</v>
      </c>
      <c r="C700" s="245" t="n">
        <v>100</v>
      </c>
      <c r="D700" s="246" t="n">
        <v>3.8</v>
      </c>
      <c r="E700" s="246" t="n">
        <v>25</v>
      </c>
      <c r="F700" s="246" t="n">
        <v>60</v>
      </c>
      <c r="G700" s="246" t="n">
        <v>22.5</v>
      </c>
      <c r="H700" s="246" t="n">
        <v>20.5</v>
      </c>
      <c r="I700" s="246" t="n">
        <v>54.2</v>
      </c>
      <c r="J700" s="246" t="n">
        <v>18.1</v>
      </c>
      <c r="K700" s="247" t="inlineStr">
        <is>
          <t>1440 DEYUN HOLDING</t>
        </is>
      </c>
    </row>
    <row r="701">
      <c r="A701" s="51" t="inlineStr">
        <is>
          <t>Tam Yuk Ching Jenny</t>
        </is>
      </c>
      <c r="B701" s="243" t="n">
        <v>1</v>
      </c>
      <c r="C701" s="245" t="n">
        <v>100</v>
      </c>
      <c r="D701" s="246" t="n">
        <v>3.8</v>
      </c>
      <c r="E701" s="246" t="n">
        <v>25</v>
      </c>
      <c r="F701" s="246" t="n">
        <v>60</v>
      </c>
      <c r="G701" s="246" t="n">
        <v>22.5</v>
      </c>
      <c r="H701" s="246" t="n">
        <v>20.5</v>
      </c>
      <c r="I701" s="246" t="n">
        <v>54.2</v>
      </c>
      <c r="J701" s="246" t="n">
        <v>18.1</v>
      </c>
      <c r="K701" s="247" t="inlineStr">
        <is>
          <t>1440 DEYUN HOLDING</t>
        </is>
      </c>
    </row>
    <row r="702">
      <c r="A702" s="51" t="inlineStr">
        <is>
          <t>Tsai Chuen Sui Robert</t>
        </is>
      </c>
      <c r="B702" s="243" t="n">
        <v>1</v>
      </c>
      <c r="C702" s="245" t="n">
        <v>100</v>
      </c>
      <c r="D702" s="246" t="n">
        <v>3.8</v>
      </c>
      <c r="E702" s="246" t="n">
        <v>25</v>
      </c>
      <c r="F702" s="246" t="n">
        <v>60</v>
      </c>
      <c r="G702" s="246" t="n">
        <v>22.5</v>
      </c>
      <c r="H702" s="246" t="n">
        <v>20.5</v>
      </c>
      <c r="I702" s="246" t="n">
        <v>54.2</v>
      </c>
      <c r="J702" s="246" t="n">
        <v>18.1</v>
      </c>
      <c r="K702" s="247" t="inlineStr">
        <is>
          <t>1440 DEYUN HOLDING</t>
        </is>
      </c>
    </row>
    <row r="703">
      <c r="A703" s="51" t="inlineStr">
        <is>
          <t>Jinghui Ruiying (Hong Kong) Limited</t>
        </is>
      </c>
      <c r="B703" s="243" t="n">
        <v>1</v>
      </c>
      <c r="C703" s="245" t="n">
        <v>100</v>
      </c>
      <c r="D703" s="246" t="n">
        <v>3.8</v>
      </c>
      <c r="E703" s="246" t="n">
        <v>3.7</v>
      </c>
      <c r="F703" s="246" t="n">
        <v>6.4</v>
      </c>
      <c r="G703" s="246" t="n">
        <v>-0.2</v>
      </c>
      <c r="H703" s="246" t="n">
        <v>-0.1</v>
      </c>
      <c r="I703" s="246" t="n">
        <v>2.5</v>
      </c>
      <c r="J703" s="246" t="n">
        <v>-3.8</v>
      </c>
      <c r="K703" s="247" t="inlineStr">
        <is>
          <t>9973 CHERY AUTO</t>
        </is>
      </c>
    </row>
    <row r="704">
      <c r="A704" s="51" t="inlineStr">
        <is>
          <t>Pilgrim Ever Project Company Limited</t>
        </is>
      </c>
      <c r="B704" s="243" t="n">
        <v>1</v>
      </c>
      <c r="C704" s="245" t="n">
        <v>100</v>
      </c>
      <c r="D704" s="246" t="n">
        <v>3.6</v>
      </c>
      <c r="E704" s="246" t="n">
        <v>3.1</v>
      </c>
      <c r="F704" s="246" t="n">
        <v>-8</v>
      </c>
      <c r="G704" s="246" t="n">
        <v>16.6</v>
      </c>
      <c r="H704" s="246" t="n">
        <v>-0.5</v>
      </c>
      <c r="I704" s="246" t="n">
        <v>-11.2</v>
      </c>
      <c r="J704" s="246" t="n">
        <v>12.5</v>
      </c>
      <c r="K704" s="247" t="inlineStr">
        <is>
          <t>6668 E-STAR CM</t>
        </is>
      </c>
    </row>
    <row r="705">
      <c r="A705" s="51" t="inlineStr">
        <is>
          <t>Shenzhen Qichang Investment Holding Limited</t>
        </is>
      </c>
      <c r="B705" s="243" t="n">
        <v>1</v>
      </c>
      <c r="C705" s="245" t="n">
        <v>100</v>
      </c>
      <c r="D705" s="246" t="n">
        <v>3.6</v>
      </c>
      <c r="E705" s="246" t="n">
        <v>3.1</v>
      </c>
      <c r="F705" s="246" t="n">
        <v>-8</v>
      </c>
      <c r="G705" s="246" t="n">
        <v>16.6</v>
      </c>
      <c r="H705" s="246" t="n">
        <v>-0.5</v>
      </c>
      <c r="I705" s="246" t="n">
        <v>-11.2</v>
      </c>
      <c r="J705" s="246" t="n">
        <v>12.5</v>
      </c>
      <c r="K705" s="247" t="inlineStr">
        <is>
          <t>6668 E-STAR CM</t>
        </is>
      </c>
    </row>
    <row r="706">
      <c r="A706" s="51" t="inlineStr">
        <is>
          <t>Qualcomm Ventures LLC</t>
        </is>
      </c>
      <c r="B706" s="243" t="n">
        <v>1</v>
      </c>
      <c r="C706" s="245" t="n">
        <v>100</v>
      </c>
      <c r="D706" s="246" t="n">
        <v>3.5</v>
      </c>
      <c r="E706" s="246" t="n">
        <v>-1.6</v>
      </c>
      <c r="F706" s="246" t="n">
        <v>-3.7</v>
      </c>
      <c r="G706" s="246" t="n">
        <v>-29.1</v>
      </c>
      <c r="H706" s="246" t="n">
        <v>-5</v>
      </c>
      <c r="I706" s="246" t="n">
        <v>-7</v>
      </c>
      <c r="J706" s="246" t="n">
        <v>-31.5</v>
      </c>
      <c r="K706" s="247" t="inlineStr">
        <is>
          <t>9611 LONGCHEER</t>
        </is>
      </c>
    </row>
    <row r="707">
      <c r="A707" s="51" t="inlineStr">
        <is>
          <t>Hong Kong Yuto Printing Company Limited</t>
        </is>
      </c>
      <c r="B707" s="243" t="n">
        <v>1</v>
      </c>
      <c r="C707" s="245" t="n">
        <v>100</v>
      </c>
      <c r="D707" s="246" t="n">
        <v>3.5</v>
      </c>
      <c r="E707" s="246" t="n">
        <v>-1.6</v>
      </c>
      <c r="F707" s="246" t="n">
        <v>-3.7</v>
      </c>
      <c r="G707" s="246" t="n">
        <v>-29.1</v>
      </c>
      <c r="H707" s="246" t="n">
        <v>-5</v>
      </c>
      <c r="I707" s="246" t="n">
        <v>-7</v>
      </c>
      <c r="J707" s="246" t="n">
        <v>-31.5</v>
      </c>
      <c r="K707" s="247" t="inlineStr">
        <is>
          <t>9611 LONGCHEER</t>
        </is>
      </c>
    </row>
    <row r="708">
      <c r="A708" s="51" t="inlineStr">
        <is>
          <t>Endless Growth NH Limited</t>
        </is>
      </c>
      <c r="B708" s="243" t="n">
        <v>1</v>
      </c>
      <c r="C708" s="245" t="n">
        <v>100</v>
      </c>
      <c r="D708" s="246" t="n">
        <v>3.5</v>
      </c>
      <c r="E708" s="246" t="n">
        <v>-1.6</v>
      </c>
      <c r="F708" s="246" t="n">
        <v>-3.7</v>
      </c>
      <c r="G708" s="246" t="n">
        <v>-29.1</v>
      </c>
      <c r="H708" s="246" t="n">
        <v>-5</v>
      </c>
      <c r="I708" s="246" t="n">
        <v>-7</v>
      </c>
      <c r="J708" s="246" t="n">
        <v>-31.5</v>
      </c>
      <c r="K708" s="247" t="inlineStr">
        <is>
          <t>9611 LONGCHEER</t>
        </is>
      </c>
    </row>
    <row r="709">
      <c r="A709" s="51" t="inlineStr">
        <is>
          <t>Liugong Machinery Hongkong Co., Limited</t>
        </is>
      </c>
      <c r="B709" s="243" t="n">
        <v>1</v>
      </c>
      <c r="C709" s="245" t="n">
        <v>100</v>
      </c>
      <c r="D709" s="246" t="n">
        <v>3.4</v>
      </c>
      <c r="E709" s="246" t="n">
        <v>3.8</v>
      </c>
      <c r="F709" s="246" t="n">
        <v>2.7</v>
      </c>
      <c r="G709" s="246" t="n">
        <v>0.1</v>
      </c>
      <c r="H709" s="246" t="n">
        <v>0.4</v>
      </c>
      <c r="I709" s="246" t="n">
        <v>-0.7</v>
      </c>
      <c r="J709" s="246" t="n">
        <v>-3.1</v>
      </c>
      <c r="K709" s="247" t="inlineStr">
        <is>
          <t>2499 FOLANGSI</t>
        </is>
      </c>
    </row>
    <row r="710">
      <c r="A710" s="51" t="inlineStr">
        <is>
          <t>Huang Guangwei</t>
        </is>
      </c>
      <c r="B710" s="243" t="n">
        <v>1</v>
      </c>
      <c r="C710" s="245" t="n">
        <v>100</v>
      </c>
      <c r="D710" s="246" t="n">
        <v>3.4</v>
      </c>
      <c r="E710" s="246" t="n">
        <v>14.9</v>
      </c>
      <c r="F710" s="246" t="n">
        <v>73.90000000000001</v>
      </c>
      <c r="G710" s="246" t="n">
        <v>89.8</v>
      </c>
      <c r="H710" s="246" t="n">
        <v>11.1</v>
      </c>
      <c r="I710" s="246" t="n">
        <v>68.2</v>
      </c>
      <c r="J710" s="246" t="n">
        <v>83.5</v>
      </c>
      <c r="K710" s="247" t="inlineStr">
        <is>
          <t>6681 BRAINAURORA-B</t>
        </is>
      </c>
    </row>
    <row r="711">
      <c r="A711" s="51" t="inlineStr">
        <is>
          <t>SoftBank Group</t>
        </is>
      </c>
      <c r="B711" s="243" t="n">
        <v>1</v>
      </c>
      <c r="C711" s="245" t="n">
        <v>100</v>
      </c>
      <c r="D711" s="246" t="n">
        <v>3.3</v>
      </c>
      <c r="E711" s="246" t="n">
        <v>16.3</v>
      </c>
      <c r="F711" s="246" t="n">
        <v>4.2</v>
      </c>
      <c r="G711" s="246" t="n">
        <v>-24.2</v>
      </c>
      <c r="H711" s="246" t="n">
        <v>12.6</v>
      </c>
      <c r="I711" s="246" t="n">
        <v>0.8</v>
      </c>
      <c r="J711" s="246" t="n">
        <v>-26.6</v>
      </c>
      <c r="K711" s="247" t="inlineStr">
        <is>
          <t>2618 JD LOGISTICS</t>
        </is>
      </c>
    </row>
    <row r="712">
      <c r="A712" s="51" t="inlineStr">
        <is>
          <t>The Blackstone Group Inc</t>
        </is>
      </c>
      <c r="B712" s="243" t="n">
        <v>1</v>
      </c>
      <c r="C712" s="245" t="n">
        <v>100</v>
      </c>
      <c r="D712" s="246" t="n">
        <v>3.3</v>
      </c>
      <c r="E712" s="246" t="n">
        <v>16.3</v>
      </c>
      <c r="F712" s="246" t="n">
        <v>4.2</v>
      </c>
      <c r="G712" s="246" t="n">
        <v>-24.2</v>
      </c>
      <c r="H712" s="246" t="n">
        <v>12.6</v>
      </c>
      <c r="I712" s="246" t="n">
        <v>0.8</v>
      </c>
      <c r="J712" s="246" t="n">
        <v>-26.6</v>
      </c>
      <c r="K712" s="247" t="inlineStr">
        <is>
          <t>2618 JD LOGISTICS</t>
        </is>
      </c>
    </row>
    <row r="713">
      <c r="A713" s="51" t="inlineStr">
        <is>
          <t>Youyu Global Limited</t>
        </is>
      </c>
      <c r="B713" s="243" t="n">
        <v>1</v>
      </c>
      <c r="C713" s="245" t="n">
        <v>100</v>
      </c>
      <c r="D713" s="246" t="n">
        <v>3.1</v>
      </c>
      <c r="E713" s="246" t="n">
        <v>-6.5</v>
      </c>
      <c r="F713" s="246" t="n">
        <v>79.8</v>
      </c>
      <c r="G713" s="246" t="n">
        <v>22</v>
      </c>
      <c r="H713" s="246" t="n">
        <v>-9.4</v>
      </c>
      <c r="I713" s="246" t="n">
        <v>74.3</v>
      </c>
      <c r="J713" s="246" t="n">
        <v>18.3</v>
      </c>
      <c r="K713" s="247" t="inlineStr">
        <is>
          <t>2137 BRII - B</t>
        </is>
      </c>
    </row>
    <row r="714">
      <c r="A714" s="51" t="inlineStr">
        <is>
          <t>Beijing Xingxing Equity Investment Partnership (Limited Partnership)</t>
        </is>
      </c>
      <c r="B714" s="243" t="n">
        <v>1</v>
      </c>
      <c r="C714" s="245" t="n">
        <v>100</v>
      </c>
      <c r="D714" s="246" t="n">
        <v>3.1</v>
      </c>
      <c r="E714" s="246" t="n">
        <v>0.7</v>
      </c>
      <c r="F714" s="246" t="n">
        <v>5.5</v>
      </c>
      <c r="G714" s="246" t="n">
        <v>3.1</v>
      </c>
      <c r="H714" s="246" t="n">
        <v>-2.3</v>
      </c>
      <c r="I714" s="246" t="n">
        <v>2.3</v>
      </c>
      <c r="J714" s="246" t="n">
        <v>0</v>
      </c>
      <c r="K714" s="247" t="inlineStr">
        <is>
          <t>2315 BIOCYTOGEN-B</t>
        </is>
      </c>
    </row>
    <row r="715">
      <c r="A715" s="51" t="inlineStr">
        <is>
          <t>Kelun International Development Co., Limited</t>
        </is>
      </c>
      <c r="B715" s="243" t="n">
        <v>1</v>
      </c>
      <c r="C715" s="245" t="n">
        <v>100</v>
      </c>
      <c r="D715" s="246" t="n">
        <v>3.1</v>
      </c>
      <c r="E715" s="246" t="n">
        <v>8.9</v>
      </c>
      <c r="F715" s="246" t="n">
        <v>19.6</v>
      </c>
      <c r="G715" s="246" t="n">
        <v>33.7</v>
      </c>
      <c r="H715" s="246" t="n">
        <v>5.6</v>
      </c>
      <c r="I715" s="246" t="n">
        <v>16</v>
      </c>
      <c r="J715" s="246" t="n">
        <v>29.6</v>
      </c>
      <c r="K715" s="247" t="inlineStr">
        <is>
          <t>6990 SKB BIO-B</t>
        </is>
      </c>
    </row>
    <row r="716">
      <c r="A716" s="51" t="inlineStr">
        <is>
          <t>Shen Zhen New World Investment (H.K.)</t>
        </is>
      </c>
      <c r="B716" s="243" t="n">
        <v>1</v>
      </c>
      <c r="C716" s="245" t="n">
        <v>100</v>
      </c>
      <c r="D716" s="246" t="n">
        <v>2.9</v>
      </c>
      <c r="E716" s="246" t="n">
        <v>3</v>
      </c>
      <c r="F716" s="246" t="n">
        <v>1.1</v>
      </c>
      <c r="G716" s="246" t="n">
        <v>-28.1</v>
      </c>
      <c r="H716" s="246" t="n">
        <v>0.1</v>
      </c>
      <c r="I716" s="246" t="n">
        <v>-1.8</v>
      </c>
      <c r="J716" s="246" t="n">
        <v>-30.1</v>
      </c>
      <c r="K716" s="247" t="inlineStr">
        <is>
          <t>9981 WOER</t>
        </is>
      </c>
    </row>
    <row r="717">
      <c r="A717" s="51" t="inlineStr">
        <is>
          <t>Best Cheer Development</t>
        </is>
      </c>
      <c r="B717" s="243" t="n">
        <v>1</v>
      </c>
      <c r="C717" s="245" t="n">
        <v>100</v>
      </c>
      <c r="D717" s="246" t="n">
        <v>2.9</v>
      </c>
      <c r="E717" s="246" t="n">
        <v>3</v>
      </c>
      <c r="F717" s="246" t="n">
        <v>1.1</v>
      </c>
      <c r="G717" s="246" t="n">
        <v>-28.1</v>
      </c>
      <c r="H717" s="246" t="n">
        <v>0.1</v>
      </c>
      <c r="I717" s="246" t="n">
        <v>-1.8</v>
      </c>
      <c r="J717" s="246" t="n">
        <v>-30.1</v>
      </c>
      <c r="K717" s="247" t="inlineStr">
        <is>
          <t>9981 WOER</t>
        </is>
      </c>
    </row>
    <row r="718">
      <c r="A718" s="51" t="inlineStr">
        <is>
          <t>Pu Xin (via GTJA OTC swaps)</t>
        </is>
      </c>
      <c r="B718" s="243" t="n">
        <v>1</v>
      </c>
      <c r="C718" s="245" t="n">
        <v>100</v>
      </c>
      <c r="D718" s="246" t="n">
        <v>2.9</v>
      </c>
      <c r="E718" s="246" t="n">
        <v>3</v>
      </c>
      <c r="F718" s="246" t="n">
        <v>1.1</v>
      </c>
      <c r="G718" s="246" t="n">
        <v>-28.1</v>
      </c>
      <c r="H718" s="246" t="n">
        <v>0.1</v>
      </c>
      <c r="I718" s="246" t="n">
        <v>-1.8</v>
      </c>
      <c r="J718" s="246" t="n">
        <v>-30.1</v>
      </c>
      <c r="K718" s="247" t="inlineStr">
        <is>
          <t>9981 WOER</t>
        </is>
      </c>
    </row>
    <row r="719">
      <c r="A719" s="51" t="inlineStr">
        <is>
          <t>Capchem (Hongkong)</t>
        </is>
      </c>
      <c r="B719" s="243" t="n">
        <v>1</v>
      </c>
      <c r="C719" s="245" t="n">
        <v>100</v>
      </c>
      <c r="D719" s="246" t="n">
        <v>2.9</v>
      </c>
      <c r="E719" s="246" t="n">
        <v>3</v>
      </c>
      <c r="F719" s="246" t="n">
        <v>1.1</v>
      </c>
      <c r="G719" s="246" t="n">
        <v>-28.1</v>
      </c>
      <c r="H719" s="246" t="n">
        <v>0.1</v>
      </c>
      <c r="I719" s="246" t="n">
        <v>-1.8</v>
      </c>
      <c r="J719" s="246" t="n">
        <v>-30.1</v>
      </c>
      <c r="K719" s="247" t="inlineStr">
        <is>
          <t>9981 WOER</t>
        </is>
      </c>
    </row>
    <row r="720">
      <c r="A720" s="51" t="inlineStr">
        <is>
          <t>Baidu (Hong Kong) Limited</t>
        </is>
      </c>
      <c r="B720" s="243" t="n">
        <v>1</v>
      </c>
      <c r="C720" s="245" t="n">
        <v>100</v>
      </c>
      <c r="D720" s="246" t="n">
        <v>2.8</v>
      </c>
      <c r="E720" s="246" t="n">
        <v>19.6</v>
      </c>
      <c r="F720" s="246" t="n">
        <v>-4.8</v>
      </c>
      <c r="G720" s="246" t="n">
        <v>10</v>
      </c>
      <c r="H720" s="246" t="n">
        <v>16.3</v>
      </c>
      <c r="I720" s="246" t="n">
        <v>-7.3</v>
      </c>
      <c r="J720" s="246" t="n">
        <v>7.1</v>
      </c>
      <c r="K720" s="247" t="inlineStr">
        <is>
          <t>9660 HORIZONROBOT-W</t>
        </is>
      </c>
    </row>
    <row r="721">
      <c r="A721" s="51" t="inlineStr">
        <is>
          <t>PARTICIPATIONS 1</t>
        </is>
      </c>
      <c r="B721" s="243" t="n">
        <v>1</v>
      </c>
      <c r="C721" s="245" t="n">
        <v>100</v>
      </c>
      <c r="D721" s="246" t="n">
        <v>2.8</v>
      </c>
      <c r="E721" s="246" t="n">
        <v>19.6</v>
      </c>
      <c r="F721" s="246" t="n">
        <v>-4.8</v>
      </c>
      <c r="G721" s="246" t="n">
        <v>10</v>
      </c>
      <c r="H721" s="246" t="n">
        <v>16.3</v>
      </c>
      <c r="I721" s="246" t="n">
        <v>-7.3</v>
      </c>
      <c r="J721" s="246" t="n">
        <v>7.1</v>
      </c>
      <c r="K721" s="247" t="inlineStr">
        <is>
          <t>9660 HORIZONROBOT-W</t>
        </is>
      </c>
    </row>
    <row r="722">
      <c r="A722" s="51" t="inlineStr">
        <is>
          <t>Shanghai Pinpoint and CICC Financial Trading Limited (in connection with Pinpoint OTC Swaps)</t>
        </is>
      </c>
      <c r="B722" s="243" t="n">
        <v>1</v>
      </c>
      <c r="C722" s="245" t="n">
        <v>100</v>
      </c>
      <c r="D722" s="246" t="n">
        <v>2.8</v>
      </c>
      <c r="E722" s="246" t="n">
        <v>6.7</v>
      </c>
      <c r="F722" s="246" t="n">
        <v>0.2</v>
      </c>
      <c r="G722" s="246" t="n">
        <v>18.8</v>
      </c>
      <c r="H722" s="246" t="n">
        <v>3.7</v>
      </c>
      <c r="I722" s="246" t="n">
        <v>-2.6</v>
      </c>
      <c r="J722" s="246" t="n">
        <v>15.5</v>
      </c>
      <c r="K722" s="247" t="inlineStr">
        <is>
          <t>6031 SANY HEAVY IND</t>
        </is>
      </c>
    </row>
    <row r="723">
      <c r="A723" s="51" t="inlineStr">
        <is>
          <t>FengHe Asia Fund Ltd</t>
        </is>
      </c>
      <c r="B723" s="243" t="n">
        <v>1</v>
      </c>
      <c r="C723" s="245" t="n">
        <v>100</v>
      </c>
      <c r="D723" s="246" t="n">
        <v>2.8</v>
      </c>
      <c r="E723" s="246" t="n">
        <v>6.7</v>
      </c>
      <c r="F723" s="246" t="n">
        <v>0.2</v>
      </c>
      <c r="G723" s="246" t="n">
        <v>18.8</v>
      </c>
      <c r="H723" s="246" t="n">
        <v>3.7</v>
      </c>
      <c r="I723" s="246" t="n">
        <v>-2.6</v>
      </c>
      <c r="J723" s="246" t="n">
        <v>15.5</v>
      </c>
      <c r="K723" s="247" t="inlineStr">
        <is>
          <t>6031 SANY HEAVY IND</t>
        </is>
      </c>
    </row>
    <row r="724">
      <c r="A724" s="51" t="inlineStr">
        <is>
          <t>Weichai Power Hong Kong International Development Co., Ltd</t>
        </is>
      </c>
      <c r="B724" s="243" t="n">
        <v>1</v>
      </c>
      <c r="C724" s="245" t="n">
        <v>100</v>
      </c>
      <c r="D724" s="246" t="n">
        <v>2.8</v>
      </c>
      <c r="E724" s="246" t="n">
        <v>6.7</v>
      </c>
      <c r="F724" s="246" t="n">
        <v>0.2</v>
      </c>
      <c r="G724" s="246" t="n">
        <v>18.8</v>
      </c>
      <c r="H724" s="246" t="n">
        <v>3.7</v>
      </c>
      <c r="I724" s="246" t="n">
        <v>-2.6</v>
      </c>
      <c r="J724" s="246" t="n">
        <v>15.5</v>
      </c>
      <c r="K724" s="247" t="inlineStr">
        <is>
          <t>6031 SANY HEAVY IND</t>
        </is>
      </c>
    </row>
    <row r="725">
      <c r="A725" s="51" t="inlineStr">
        <is>
          <t>Heyuan Trading (Hong Kong) Limited</t>
        </is>
      </c>
      <c r="B725" s="243" t="n">
        <v>1</v>
      </c>
      <c r="C725" s="245" t="n">
        <v>100</v>
      </c>
      <c r="D725" s="246" t="n">
        <v>2.5</v>
      </c>
      <c r="E725" s="246" t="n">
        <v>-10.2</v>
      </c>
      <c r="F725" s="246" t="n">
        <v>-27.1</v>
      </c>
      <c r="G725" s="246" t="n">
        <v>-43.2</v>
      </c>
      <c r="H725" s="246" t="n">
        <v>-12.4</v>
      </c>
      <c r="I725" s="246" t="n">
        <v>-28.9</v>
      </c>
      <c r="J725" s="246" t="n">
        <v>-44.6</v>
      </c>
      <c r="K725" s="247" t="inlineStr">
        <is>
          <t>2271 ZHONGAN SERVICE</t>
        </is>
      </c>
    </row>
    <row r="726">
      <c r="A726" s="51" t="inlineStr">
        <is>
          <t>Wu Mingwu</t>
        </is>
      </c>
      <c r="B726" s="243" t="n">
        <v>1</v>
      </c>
      <c r="C726" s="245" t="n">
        <v>100</v>
      </c>
      <c r="D726" s="246" t="n">
        <v>2.5</v>
      </c>
      <c r="E726" s="246" t="n">
        <v>-10.2</v>
      </c>
      <c r="F726" s="246" t="n">
        <v>-27.1</v>
      </c>
      <c r="G726" s="246" t="n">
        <v>-43.2</v>
      </c>
      <c r="H726" s="246" t="n">
        <v>-12.4</v>
      </c>
      <c r="I726" s="246" t="n">
        <v>-28.9</v>
      </c>
      <c r="J726" s="246" t="n">
        <v>-44.6</v>
      </c>
      <c r="K726" s="247" t="inlineStr">
        <is>
          <t>2271 ZHONGAN SERVICE</t>
        </is>
      </c>
    </row>
    <row r="727">
      <c r="A727" s="51" t="inlineStr">
        <is>
          <t>Taihu Golden Valley</t>
        </is>
      </c>
      <c r="B727" s="243" t="n">
        <v>1</v>
      </c>
      <c r="C727" s="245" t="n">
        <v>100</v>
      </c>
      <c r="D727" s="246" t="n">
        <v>2.4</v>
      </c>
      <c r="E727" s="246" t="n">
        <v>11.4</v>
      </c>
      <c r="F727" s="246" t="n">
        <v>-7.5</v>
      </c>
      <c r="G727" s="246" t="n">
        <v>-13.1</v>
      </c>
      <c r="H727" s="246" t="n">
        <v>8.800000000000001</v>
      </c>
      <c r="I727" s="246" t="n">
        <v>-9.699999999999999</v>
      </c>
      <c r="J727" s="246" t="n">
        <v>-15.1</v>
      </c>
      <c r="K727" s="247" t="inlineStr">
        <is>
          <t>2692 ZHAOWEI</t>
        </is>
      </c>
    </row>
    <row r="728">
      <c r="A728" s="51" t="inlineStr">
        <is>
          <t>Topstar Worldwide</t>
        </is>
      </c>
      <c r="B728" s="243" t="n">
        <v>1</v>
      </c>
      <c r="C728" s="245" t="n">
        <v>100</v>
      </c>
      <c r="D728" s="246" t="n">
        <v>2.4</v>
      </c>
      <c r="E728" s="246" t="n">
        <v>11.4</v>
      </c>
      <c r="F728" s="246" t="n">
        <v>-7.5</v>
      </c>
      <c r="G728" s="246" t="n">
        <v>-13.1</v>
      </c>
      <c r="H728" s="246" t="n">
        <v>8.800000000000001</v>
      </c>
      <c r="I728" s="246" t="n">
        <v>-9.699999999999999</v>
      </c>
      <c r="J728" s="246" t="n">
        <v>-15.1</v>
      </c>
      <c r="K728" s="247" t="inlineStr">
        <is>
          <t>2692 ZHAOWEI</t>
        </is>
      </c>
    </row>
    <row r="729">
      <c r="A729" s="51" t="inlineStr">
        <is>
          <t>Hengbang and China Galaxy International Investment Company Limited (in connection with the Hengbang OTC Swaps)</t>
        </is>
      </c>
      <c r="B729" s="243" t="n">
        <v>1</v>
      </c>
      <c r="C729" s="245" t="n">
        <v>100</v>
      </c>
      <c r="D729" s="246" t="n">
        <v>2.4</v>
      </c>
      <c r="E729" s="246" t="n">
        <v>11.4</v>
      </c>
      <c r="F729" s="246" t="n">
        <v>-7.5</v>
      </c>
      <c r="G729" s="246" t="n">
        <v>-13.1</v>
      </c>
      <c r="H729" s="246" t="n">
        <v>8.800000000000001</v>
      </c>
      <c r="I729" s="246" t="n">
        <v>-9.699999999999999</v>
      </c>
      <c r="J729" s="246" t="n">
        <v>-15.1</v>
      </c>
      <c r="K729" s="247" t="inlineStr">
        <is>
          <t>2692 ZHAOWEI</t>
        </is>
      </c>
    </row>
    <row r="730">
      <c r="A730" s="51" t="inlineStr">
        <is>
          <t>BeingBoom Capital</t>
        </is>
      </c>
      <c r="B730" s="243" t="n">
        <v>1</v>
      </c>
      <c r="C730" s="245" t="n">
        <v>100</v>
      </c>
      <c r="D730" s="246" t="n">
        <v>2.4</v>
      </c>
      <c r="E730" s="246" t="n">
        <v>11.4</v>
      </c>
      <c r="F730" s="246" t="n">
        <v>-7.5</v>
      </c>
      <c r="G730" s="246" t="n">
        <v>-13.1</v>
      </c>
      <c r="H730" s="246" t="n">
        <v>8.800000000000001</v>
      </c>
      <c r="I730" s="246" t="n">
        <v>-9.699999999999999</v>
      </c>
      <c r="J730" s="246" t="n">
        <v>-15.1</v>
      </c>
      <c r="K730" s="247" t="inlineStr">
        <is>
          <t>2692 ZHAOWEI</t>
        </is>
      </c>
    </row>
    <row r="731">
      <c r="A731" s="51" t="inlineStr">
        <is>
          <t>Mr. He Maoling</t>
        </is>
      </c>
      <c r="B731" s="243" t="n">
        <v>1</v>
      </c>
      <c r="C731" s="245" t="n">
        <v>100</v>
      </c>
      <c r="D731" s="246" t="n">
        <v>2.4</v>
      </c>
      <c r="E731" s="246" t="n">
        <v>11.4</v>
      </c>
      <c r="F731" s="246" t="n">
        <v>-7.5</v>
      </c>
      <c r="G731" s="246" t="n">
        <v>-13.1</v>
      </c>
      <c r="H731" s="246" t="n">
        <v>8.800000000000001</v>
      </c>
      <c r="I731" s="246" t="n">
        <v>-9.699999999999999</v>
      </c>
      <c r="J731" s="246" t="n">
        <v>-15.1</v>
      </c>
      <c r="K731" s="247" t="inlineStr">
        <is>
          <t>2692 ZHAOWEI</t>
        </is>
      </c>
    </row>
    <row r="732">
      <c r="A732" s="51" t="inlineStr">
        <is>
          <t>Mr. Luo Jie</t>
        </is>
      </c>
      <c r="B732" s="243" t="n">
        <v>1</v>
      </c>
      <c r="C732" s="245" t="n">
        <v>100</v>
      </c>
      <c r="D732" s="246" t="n">
        <v>2.4</v>
      </c>
      <c r="E732" s="246" t="n">
        <v>11.4</v>
      </c>
      <c r="F732" s="246" t="n">
        <v>-7.5</v>
      </c>
      <c r="G732" s="246" t="n">
        <v>-13.1</v>
      </c>
      <c r="H732" s="246" t="n">
        <v>8.800000000000001</v>
      </c>
      <c r="I732" s="246" t="n">
        <v>-9.699999999999999</v>
      </c>
      <c r="J732" s="246" t="n">
        <v>-15.1</v>
      </c>
      <c r="K732" s="247" t="inlineStr">
        <is>
          <t>2692 ZHAOWEI</t>
        </is>
      </c>
    </row>
    <row r="733">
      <c r="A733" s="51" t="inlineStr">
        <is>
          <t>Pingmei Shenma (Hong Kong) International Investment Limited</t>
        </is>
      </c>
      <c r="B733" s="243" t="n">
        <v>1</v>
      </c>
      <c r="C733" s="245" t="n">
        <v>100</v>
      </c>
      <c r="D733" s="246" t="n">
        <v>2.2</v>
      </c>
      <c r="E733" s="246" t="n">
        <v>-11.5</v>
      </c>
      <c r="F733" s="246" t="n">
        <v>-41.1</v>
      </c>
      <c r="G733" s="246" t="n">
        <v>-39</v>
      </c>
      <c r="H733" s="246" t="n">
        <v>-13.4</v>
      </c>
      <c r="I733" s="246" t="n">
        <v>-42.4</v>
      </c>
      <c r="J733" s="246" t="n">
        <v>-40.4</v>
      </c>
      <c r="K733" s="247" t="inlineStr">
        <is>
          <t>2693 JINYAN KAOLIN</t>
        </is>
      </c>
    </row>
    <row r="734">
      <c r="A734" s="51" t="inlineStr">
        <is>
          <t>Hong Kong Chuangli Yingtai Investment Limited</t>
        </is>
      </c>
      <c r="B734" s="243" t="n">
        <v>1</v>
      </c>
      <c r="C734" s="245" t="n">
        <v>100</v>
      </c>
      <c r="D734" s="246" t="n">
        <v>2.2</v>
      </c>
      <c r="E734" s="246" t="n">
        <v>-11.5</v>
      </c>
      <c r="F734" s="246" t="n">
        <v>-41.1</v>
      </c>
      <c r="G734" s="246" t="n">
        <v>-39</v>
      </c>
      <c r="H734" s="246" t="n">
        <v>-13.4</v>
      </c>
      <c r="I734" s="246" t="n">
        <v>-42.4</v>
      </c>
      <c r="J734" s="246" t="n">
        <v>-40.4</v>
      </c>
      <c r="K734" s="247" t="inlineStr">
        <is>
          <t>2693 JINYAN KAOLIN</t>
        </is>
      </c>
    </row>
    <row r="735">
      <c r="A735" s="51" t="inlineStr">
        <is>
          <t>Hong Kong Jinyuan Industry and Trade Limited</t>
        </is>
      </c>
      <c r="B735" s="243" t="n">
        <v>1</v>
      </c>
      <c r="C735" s="245" t="n">
        <v>100</v>
      </c>
      <c r="D735" s="246" t="n">
        <v>2.2</v>
      </c>
      <c r="E735" s="246" t="n">
        <v>-11.5</v>
      </c>
      <c r="F735" s="246" t="n">
        <v>-41.1</v>
      </c>
      <c r="G735" s="246" t="n">
        <v>-39</v>
      </c>
      <c r="H735" s="246" t="n">
        <v>-13.4</v>
      </c>
      <c r="I735" s="246" t="n">
        <v>-42.4</v>
      </c>
      <c r="J735" s="246" t="n">
        <v>-40.4</v>
      </c>
      <c r="K735" s="247" t="inlineStr">
        <is>
          <t>2693 JINYAN KAOLIN</t>
        </is>
      </c>
    </row>
    <row r="736">
      <c r="A736" s="51" t="inlineStr">
        <is>
          <t>Degao Mining Technology Limited</t>
        </is>
      </c>
      <c r="B736" s="243" t="n">
        <v>1</v>
      </c>
      <c r="C736" s="245" t="n">
        <v>100</v>
      </c>
      <c r="D736" s="246" t="n">
        <v>2.2</v>
      </c>
      <c r="E736" s="246" t="n">
        <v>-11.5</v>
      </c>
      <c r="F736" s="246" t="n">
        <v>-41.1</v>
      </c>
      <c r="G736" s="246" t="n">
        <v>-39</v>
      </c>
      <c r="H736" s="246" t="n">
        <v>-13.4</v>
      </c>
      <c r="I736" s="246" t="n">
        <v>-42.4</v>
      </c>
      <c r="J736" s="246" t="n">
        <v>-40.4</v>
      </c>
      <c r="K736" s="247" t="inlineStr">
        <is>
          <t>2693 JINYAN KAOLIN</t>
        </is>
      </c>
    </row>
    <row r="737">
      <c r="A737" s="51" t="inlineStr">
        <is>
          <t>Lai Shixian</t>
        </is>
      </c>
      <c r="B737" s="243" t="n">
        <v>1</v>
      </c>
      <c r="C737" s="245" t="n">
        <v>100</v>
      </c>
      <c r="D737" s="246" t="n">
        <v>2</v>
      </c>
      <c r="E737" s="246" t="n">
        <v>-15.8</v>
      </c>
      <c r="F737" s="246" t="n">
        <v>-64.3</v>
      </c>
      <c r="G737" s="246" t="n">
        <v>-70.90000000000001</v>
      </c>
      <c r="H737" s="246" t="n">
        <v>-17.5</v>
      </c>
      <c r="I737" s="246" t="n">
        <v>-65</v>
      </c>
      <c r="J737" s="246" t="n">
        <v>-71.5</v>
      </c>
      <c r="K737" s="247" t="inlineStr">
        <is>
          <t>6696 MANY IDEA CLOUD</t>
        </is>
      </c>
    </row>
    <row r="738">
      <c r="A738" s="51" t="inlineStr">
        <is>
          <t>SCHP Master Fund</t>
        </is>
      </c>
      <c r="B738" s="243" t="n">
        <v>1</v>
      </c>
      <c r="C738" s="245" t="n">
        <v>100</v>
      </c>
      <c r="D738" s="246" t="n">
        <v>1.8</v>
      </c>
      <c r="E738" s="246" t="n">
        <v>10.1</v>
      </c>
      <c r="F738" s="246" t="n">
        <v>0.2</v>
      </c>
      <c r="G738" s="246" t="n">
        <v>-8.699999999999999</v>
      </c>
      <c r="H738" s="246" t="n">
        <v>8.1</v>
      </c>
      <c r="I738" s="246" t="n">
        <v>-1.6</v>
      </c>
      <c r="J738" s="246" t="n">
        <v>-10.3</v>
      </c>
      <c r="K738" s="247" t="inlineStr">
        <is>
          <t>2179 RECBIO-B</t>
        </is>
      </c>
    </row>
    <row r="739">
      <c r="A739" s="51" t="inlineStr">
        <is>
          <t>Dongfang Gold Industry (Hong Kong) Limited</t>
        </is>
      </c>
      <c r="B739" s="243" t="n">
        <v>1</v>
      </c>
      <c r="C739" s="245" t="n">
        <v>100</v>
      </c>
      <c r="D739" s="246" t="n">
        <v>1.8</v>
      </c>
      <c r="E739" s="246" t="n">
        <v>0</v>
      </c>
      <c r="F739" s="246" t="n">
        <v>1.8</v>
      </c>
      <c r="G739" s="246" t="n">
        <v>12.7</v>
      </c>
      <c r="H739" s="246" t="n">
        <v>-1.8</v>
      </c>
      <c r="I739" s="246" t="n">
        <v>0</v>
      </c>
      <c r="J739" s="246" t="n">
        <v>10.7</v>
      </c>
      <c r="K739" s="247" t="inlineStr">
        <is>
          <t>2489 PERSISTENCE RES</t>
        </is>
      </c>
    </row>
    <row r="740">
      <c r="A740" s="51" t="inlineStr">
        <is>
          <t>LifeTech Scientific Corporation</t>
        </is>
      </c>
      <c r="B740" s="243" t="n">
        <v>1</v>
      </c>
      <c r="C740" s="245" t="n">
        <v>100</v>
      </c>
      <c r="D740" s="246" t="n">
        <v>1.6</v>
      </c>
      <c r="E740" s="246" t="n">
        <v>0.5</v>
      </c>
      <c r="F740" s="246" t="n">
        <v>11.5</v>
      </c>
      <c r="G740" s="246" t="n">
        <v>28.4</v>
      </c>
      <c r="H740" s="246" t="n">
        <v>-1.1</v>
      </c>
      <c r="I740" s="246" t="n">
        <v>9.699999999999999</v>
      </c>
      <c r="J740" s="246" t="n">
        <v>26.4</v>
      </c>
      <c r="K740" s="247" t="inlineStr">
        <is>
          <t>9877 JENSCARE-B</t>
        </is>
      </c>
    </row>
    <row r="741">
      <c r="A741" s="51" t="inlineStr">
        <is>
          <t>Xiushan County Xinzhiyuan Market Management Co., Ltd</t>
        </is>
      </c>
      <c r="B741" s="243" t="n">
        <v>1</v>
      </c>
      <c r="C741" s="245" t="n">
        <v>100</v>
      </c>
      <c r="D741" s="246" t="n">
        <v>1.5</v>
      </c>
      <c r="E741" s="246" t="n">
        <v>2.2</v>
      </c>
      <c r="F741" s="246" t="n">
        <v>59.7</v>
      </c>
      <c r="G741" s="246" t="n">
        <v>18.9</v>
      </c>
      <c r="H741" s="246" t="n">
        <v>0.7</v>
      </c>
      <c r="I741" s="246" t="n">
        <v>57.3</v>
      </c>
      <c r="J741" s="246" t="n">
        <v>17.2</v>
      </c>
      <c r="K741" s="247" t="inlineStr">
        <is>
          <t>2419 DEKON AGR</t>
        </is>
      </c>
    </row>
    <row r="742">
      <c r="A742" s="51" t="inlineStr">
        <is>
          <t>Guiyang Agricultural Investment Development Co., Ltd</t>
        </is>
      </c>
      <c r="B742" s="243" t="n">
        <v>1</v>
      </c>
      <c r="C742" s="245" t="n">
        <v>100</v>
      </c>
      <c r="D742" s="246" t="n">
        <v>1.5</v>
      </c>
      <c r="E742" s="246" t="n">
        <v>2.2</v>
      </c>
      <c r="F742" s="246" t="n">
        <v>59.7</v>
      </c>
      <c r="G742" s="246" t="n">
        <v>18.9</v>
      </c>
      <c r="H742" s="246" t="n">
        <v>0.7</v>
      </c>
      <c r="I742" s="246" t="n">
        <v>57.3</v>
      </c>
      <c r="J742" s="246" t="n">
        <v>17.2</v>
      </c>
      <c r="K742" s="247" t="inlineStr">
        <is>
          <t>2419 DEKON AGR</t>
        </is>
      </c>
    </row>
    <row r="743">
      <c r="A743" s="51" t="inlineStr">
        <is>
          <t>Quxian Huixing Industrial Investment Co., Ltd</t>
        </is>
      </c>
      <c r="B743" s="243" t="n">
        <v>1</v>
      </c>
      <c r="C743" s="245" t="n">
        <v>100</v>
      </c>
      <c r="D743" s="246" t="n">
        <v>1.5</v>
      </c>
      <c r="E743" s="246" t="n">
        <v>2.2</v>
      </c>
      <c r="F743" s="246" t="n">
        <v>59.7</v>
      </c>
      <c r="G743" s="246" t="n">
        <v>18.9</v>
      </c>
      <c r="H743" s="246" t="n">
        <v>0.7</v>
      </c>
      <c r="I743" s="246" t="n">
        <v>57.3</v>
      </c>
      <c r="J743" s="246" t="n">
        <v>17.2</v>
      </c>
      <c r="K743" s="247" t="inlineStr">
        <is>
          <t>2419 DEKON AGR</t>
        </is>
      </c>
    </row>
    <row r="744">
      <c r="A744" s="51" t="inlineStr">
        <is>
          <t>China Mobile International Holdings Limited</t>
        </is>
      </c>
      <c r="B744" s="243" t="n">
        <v>1</v>
      </c>
      <c r="C744" s="245" t="n">
        <v>100</v>
      </c>
      <c r="D744" s="246" t="n">
        <v>1.5</v>
      </c>
      <c r="E744" s="246" t="n">
        <v>0.4</v>
      </c>
      <c r="F744" s="246" t="n">
        <v>17.2</v>
      </c>
      <c r="G744" s="246" t="n">
        <v>-4.5</v>
      </c>
      <c r="H744" s="246" t="n">
        <v>-1.1</v>
      </c>
      <c r="I744" s="246" t="n">
        <v>15.5</v>
      </c>
      <c r="J744" s="246" t="n">
        <v>-5.9</v>
      </c>
      <c r="K744" s="247" t="inlineStr">
        <is>
          <t>2571 SAIMO</t>
        </is>
      </c>
    </row>
    <row r="745">
      <c r="A745" s="51" t="inlineStr">
        <is>
          <t>Investments 1 Limited</t>
        </is>
      </c>
      <c r="B745" s="243" t="n">
        <v>1</v>
      </c>
      <c r="C745" s="245" t="n">
        <v>100</v>
      </c>
      <c r="D745" s="246" t="n">
        <v>1.5</v>
      </c>
      <c r="E745" s="246" t="n">
        <v>0.8</v>
      </c>
      <c r="F745" s="246" t="n">
        <v>-13.9</v>
      </c>
      <c r="G745" s="246" t="n">
        <v>-12.5</v>
      </c>
      <c r="H745" s="246" t="n">
        <v>-0.7</v>
      </c>
      <c r="I745" s="246" t="n">
        <v>-15.2</v>
      </c>
      <c r="J745" s="246" t="n">
        <v>-13.8</v>
      </c>
      <c r="K745" s="247" t="inlineStr">
        <is>
          <t>9980 EASTROC</t>
        </is>
      </c>
    </row>
    <row r="746">
      <c r="A746" s="51" t="inlineStr">
        <is>
          <t>Amazing Mountain Limited</t>
        </is>
      </c>
      <c r="B746" s="243" t="n">
        <v>1</v>
      </c>
      <c r="C746" s="245" t="n">
        <v>100</v>
      </c>
      <c r="D746" s="246" t="n">
        <v>1.5</v>
      </c>
      <c r="E746" s="246" t="n">
        <v>0.8</v>
      </c>
      <c r="F746" s="246" t="n">
        <v>-13.9</v>
      </c>
      <c r="G746" s="246" t="n">
        <v>-12.5</v>
      </c>
      <c r="H746" s="246" t="n">
        <v>-0.7</v>
      </c>
      <c r="I746" s="246" t="n">
        <v>-15.2</v>
      </c>
      <c r="J746" s="246" t="n">
        <v>-13.8</v>
      </c>
      <c r="K746" s="247" t="inlineStr">
        <is>
          <t>9980 EASTROC</t>
        </is>
      </c>
    </row>
    <row r="747">
      <c r="A747" s="51" t="inlineStr">
        <is>
          <t>Phase II L.P</t>
        </is>
      </c>
      <c r="B747" s="243" t="n">
        <v>1</v>
      </c>
      <c r="C747" s="245" t="n">
        <v>100</v>
      </c>
      <c r="D747" s="246" t="n">
        <v>1.5</v>
      </c>
      <c r="E747" s="246" t="n">
        <v>0.8</v>
      </c>
      <c r="F747" s="246" t="n">
        <v>-13.9</v>
      </c>
      <c r="G747" s="246" t="n">
        <v>-12.5</v>
      </c>
      <c r="H747" s="246" t="n">
        <v>-0.7</v>
      </c>
      <c r="I747" s="246" t="n">
        <v>-15.2</v>
      </c>
      <c r="J747" s="246" t="n">
        <v>-13.8</v>
      </c>
      <c r="K747" s="247" t="inlineStr">
        <is>
          <t>9980 EASTROC</t>
        </is>
      </c>
    </row>
    <row r="748">
      <c r="A748" s="51" t="inlineStr">
        <is>
          <t>Baoyue Lake Shenzhen Industrial Investment Win-Win Enterprise Management Limited</t>
        </is>
      </c>
      <c r="B748" s="243" t="n">
        <v>1</v>
      </c>
      <c r="C748" s="245" t="n">
        <v>100</v>
      </c>
      <c r="D748" s="246" t="n">
        <v>1.5</v>
      </c>
      <c r="E748" s="246" t="n">
        <v>-10.1</v>
      </c>
      <c r="F748" s="246" t="n">
        <v>-20</v>
      </c>
      <c r="G748" s="246" t="n">
        <v>-29.1</v>
      </c>
      <c r="H748" s="246" t="n">
        <v>-11.4</v>
      </c>
      <c r="I748" s="246" t="n">
        <v>-21.2</v>
      </c>
      <c r="J748" s="246" t="n">
        <v>-30.2</v>
      </c>
      <c r="K748" s="247" t="inlineStr">
        <is>
          <t>3268 MEIG</t>
        </is>
      </c>
    </row>
    <row r="749">
      <c r="A749" s="51" t="inlineStr">
        <is>
          <t>Meiko Elec. Hong Kong Co., Limited</t>
        </is>
      </c>
      <c r="B749" s="243" t="n">
        <v>1</v>
      </c>
      <c r="C749" s="245" t="n">
        <v>100</v>
      </c>
      <c r="D749" s="246" t="n">
        <v>1.5</v>
      </c>
      <c r="E749" s="246" t="n">
        <v>-10.1</v>
      </c>
      <c r="F749" s="246" t="n">
        <v>-20</v>
      </c>
      <c r="G749" s="246" t="n">
        <v>-29.1</v>
      </c>
      <c r="H749" s="246" t="n">
        <v>-11.4</v>
      </c>
      <c r="I749" s="246" t="n">
        <v>-21.2</v>
      </c>
      <c r="J749" s="246" t="n">
        <v>-30.2</v>
      </c>
      <c r="K749" s="247" t="inlineStr">
        <is>
          <t>3268 MEIG</t>
        </is>
      </c>
    </row>
    <row r="750">
      <c r="A750" s="51" t="inlineStr">
        <is>
          <t>Open Wealth Management Limited</t>
        </is>
      </c>
      <c r="B750" s="243" t="n">
        <v>1</v>
      </c>
      <c r="C750" s="245" t="n">
        <v>100</v>
      </c>
      <c r="D750" s="246" t="n">
        <v>1.5</v>
      </c>
      <c r="E750" s="246" t="n">
        <v>-10.1</v>
      </c>
      <c r="F750" s="246" t="n">
        <v>-20</v>
      </c>
      <c r="G750" s="246" t="n">
        <v>-29.1</v>
      </c>
      <c r="H750" s="246" t="n">
        <v>-11.4</v>
      </c>
      <c r="I750" s="246" t="n">
        <v>-21.2</v>
      </c>
      <c r="J750" s="246" t="n">
        <v>-30.2</v>
      </c>
      <c r="K750" s="247" t="inlineStr">
        <is>
          <t>3268 MEIG</t>
        </is>
      </c>
    </row>
    <row r="751">
      <c r="A751" s="51" t="inlineStr">
        <is>
          <t>China Winning Limited</t>
        </is>
      </c>
      <c r="B751" s="243" t="n">
        <v>1</v>
      </c>
      <c r="C751" s="245" t="n">
        <v>100</v>
      </c>
      <c r="D751" s="246" t="n">
        <v>1.5</v>
      </c>
      <c r="E751" s="246" t="n">
        <v>-10.1</v>
      </c>
      <c r="F751" s="246" t="n">
        <v>-20</v>
      </c>
      <c r="G751" s="246" t="n">
        <v>-29.1</v>
      </c>
      <c r="H751" s="246" t="n">
        <v>-11.4</v>
      </c>
      <c r="I751" s="246" t="n">
        <v>-21.2</v>
      </c>
      <c r="J751" s="246" t="n">
        <v>-30.2</v>
      </c>
      <c r="K751" s="247" t="inlineStr">
        <is>
          <t>3268 MEIG</t>
        </is>
      </c>
    </row>
    <row r="752">
      <c r="A752" s="51" t="inlineStr">
        <is>
          <t>Chau Tsang Cheong (Mr. Chau)</t>
        </is>
      </c>
      <c r="B752" s="243" t="n">
        <v>1</v>
      </c>
      <c r="C752" s="245" t="n">
        <v>100</v>
      </c>
      <c r="D752" s="246" t="n">
        <v>1.5</v>
      </c>
      <c r="E752" s="246" t="n">
        <v>-10.1</v>
      </c>
      <c r="F752" s="246" t="n">
        <v>-20</v>
      </c>
      <c r="G752" s="246" t="n">
        <v>-29.1</v>
      </c>
      <c r="H752" s="246" t="n">
        <v>-11.4</v>
      </c>
      <c r="I752" s="246" t="n">
        <v>-21.2</v>
      </c>
      <c r="J752" s="246" t="n">
        <v>-30.2</v>
      </c>
      <c r="K752" s="247" t="inlineStr">
        <is>
          <t>3268 MEIG</t>
        </is>
      </c>
    </row>
    <row r="753">
      <c r="A753" s="51" t="inlineStr">
        <is>
          <t>Southeast Investment Holding</t>
        </is>
      </c>
      <c r="B753" s="243" t="n">
        <v>1</v>
      </c>
      <c r="C753" s="245" t="n">
        <v>100</v>
      </c>
      <c r="D753" s="246" t="n">
        <v>1.4</v>
      </c>
      <c r="E753" s="246" t="n">
        <v>0.7</v>
      </c>
      <c r="F753" s="246" t="n">
        <v>13.8</v>
      </c>
      <c r="G753" s="246" t="n">
        <v>26.7</v>
      </c>
      <c r="H753" s="246" t="n">
        <v>-0.7</v>
      </c>
      <c r="I753" s="246" t="n">
        <v>12.2</v>
      </c>
      <c r="J753" s="246" t="n">
        <v>24.9</v>
      </c>
      <c r="K753" s="247" t="inlineStr">
        <is>
          <t>3677 ZENERGY</t>
        </is>
      </c>
    </row>
    <row r="754">
      <c r="A754" s="51" t="inlineStr">
        <is>
          <t>WinTwin Capital Limited</t>
        </is>
      </c>
      <c r="B754" s="243" t="n">
        <v>1</v>
      </c>
      <c r="C754" s="245" t="n">
        <v>100</v>
      </c>
      <c r="D754" s="246" t="n">
        <v>1.2</v>
      </c>
      <c r="E754" s="246" t="n">
        <v>17</v>
      </c>
      <c r="F754" s="246" t="n">
        <v>-25.3</v>
      </c>
      <c r="G754" s="246" t="n">
        <v>-1.3</v>
      </c>
      <c r="H754" s="246" t="n">
        <v>15.5</v>
      </c>
      <c r="I754" s="246" t="n">
        <v>-26.2</v>
      </c>
      <c r="J754" s="246" t="n">
        <v>-2.5</v>
      </c>
      <c r="K754" s="247" t="inlineStr">
        <is>
          <t>2170 BASECARE-B</t>
        </is>
      </c>
    </row>
    <row r="755">
      <c r="A755" s="51" t="inlineStr">
        <is>
          <t>MC Management 10 RSC Ltd</t>
        </is>
      </c>
      <c r="B755" s="243" t="n">
        <v>1</v>
      </c>
      <c r="C755" s="245" t="n">
        <v>100</v>
      </c>
      <c r="D755" s="246" t="n">
        <v>1.1</v>
      </c>
      <c r="E755" s="246" t="n">
        <v>0.7</v>
      </c>
      <c r="F755" s="246" t="n">
        <v>0.3</v>
      </c>
      <c r="G755" s="246" t="n">
        <v>21.1</v>
      </c>
      <c r="H755" s="246" t="n">
        <v>-0.4</v>
      </c>
      <c r="I755" s="246" t="n">
        <v>-0.8</v>
      </c>
      <c r="J755" s="246" t="n">
        <v>19.8</v>
      </c>
      <c r="K755" s="247" t="inlineStr">
        <is>
          <t>1828 FWD</t>
        </is>
      </c>
    </row>
    <row r="756">
      <c r="A756" s="51" t="inlineStr">
        <is>
          <t>SinoMedia Holding Limited</t>
        </is>
      </c>
      <c r="B756" s="243" t="n">
        <v>1</v>
      </c>
      <c r="C756" s="245" t="n">
        <v>100</v>
      </c>
      <c r="D756" s="246" t="n">
        <v>1</v>
      </c>
      <c r="E756" s="246" t="n">
        <v>1.5</v>
      </c>
      <c r="F756" s="246" t="n">
        <v>23.8</v>
      </c>
      <c r="G756" s="246" t="n">
        <v>313.5</v>
      </c>
      <c r="H756" s="246" t="n">
        <v>0.5</v>
      </c>
      <c r="I756" s="246" t="n">
        <v>22.5</v>
      </c>
      <c r="J756" s="246" t="n">
        <v>309.3</v>
      </c>
      <c r="K756" s="247" t="inlineStr">
        <is>
          <t>3317 XUNCE</t>
        </is>
      </c>
    </row>
    <row r="757">
      <c r="A757" s="51" t="inlineStr">
        <is>
          <t>Vered Holdings (Hong Kong) Limited ʮ̡</t>
        </is>
      </c>
      <c r="B757" s="243" t="n">
        <v>1</v>
      </c>
      <c r="C757" s="245" t="n">
        <v>100</v>
      </c>
      <c r="D757" s="246" t="n">
        <v>1</v>
      </c>
      <c r="E757" s="246" t="n">
        <v>1.5</v>
      </c>
      <c r="F757" s="246" t="n">
        <v>23.8</v>
      </c>
      <c r="G757" s="246" t="n">
        <v>313.5</v>
      </c>
      <c r="H757" s="246" t="n">
        <v>0.5</v>
      </c>
      <c r="I757" s="246" t="n">
        <v>22.5</v>
      </c>
      <c r="J757" s="246" t="n">
        <v>309.3</v>
      </c>
      <c r="K757" s="247" t="inlineStr">
        <is>
          <t>3317 XUNCE</t>
        </is>
      </c>
    </row>
    <row r="758">
      <c r="A758" s="51" t="inlineStr">
        <is>
          <t>Joy Mobile Network Pte. Ltd</t>
        </is>
      </c>
      <c r="B758" s="243" t="n">
        <v>1</v>
      </c>
      <c r="C758" s="245" t="n">
        <v>100</v>
      </c>
      <c r="D758" s="246" t="n">
        <v>1</v>
      </c>
      <c r="E758" s="246" t="n">
        <v>1.5</v>
      </c>
      <c r="F758" s="246" t="n">
        <v>23.8</v>
      </c>
      <c r="G758" s="246" t="n">
        <v>313.5</v>
      </c>
      <c r="H758" s="246" t="n">
        <v>0.5</v>
      </c>
      <c r="I758" s="246" t="n">
        <v>22.5</v>
      </c>
      <c r="J758" s="246" t="n">
        <v>309.3</v>
      </c>
      <c r="K758" s="247" t="inlineStr">
        <is>
          <t>3317 XUNCE</t>
        </is>
      </c>
    </row>
    <row r="759">
      <c r="A759" s="51" t="inlineStr">
        <is>
          <t>Phylion Battery Co., Ltd</t>
        </is>
      </c>
      <c r="B759" s="243" t="n">
        <v>1</v>
      </c>
      <c r="C759" s="245" t="n">
        <v>100</v>
      </c>
      <c r="D759" s="246" t="n">
        <v>0.9</v>
      </c>
      <c r="E759" s="246" t="n">
        <v>-1.6</v>
      </c>
      <c r="F759" s="246" t="n">
        <v>0.5</v>
      </c>
      <c r="G759" s="246" t="n">
        <v>-1.4</v>
      </c>
      <c r="H759" s="246" t="n">
        <v>-2.6</v>
      </c>
      <c r="I759" s="246" t="n">
        <v>-0.4</v>
      </c>
      <c r="J759" s="246" t="n">
        <v>-2.3</v>
      </c>
      <c r="K759" s="247" t="inlineStr">
        <is>
          <t>2451 LUYUAN GP HLDG</t>
        </is>
      </c>
    </row>
    <row r="760">
      <c r="A760" s="51" t="inlineStr">
        <is>
          <t>E-Town International Holding (Hong Kong) Co., Limited</t>
        </is>
      </c>
      <c r="B760" s="243" t="n">
        <v>1</v>
      </c>
      <c r="C760" s="245" t="n">
        <v>100</v>
      </c>
      <c r="D760" s="246" t="n">
        <v>0.9</v>
      </c>
      <c r="E760" s="246" t="n">
        <v>-2.2</v>
      </c>
      <c r="F760" s="246" t="n">
        <v>0</v>
      </c>
      <c r="G760" s="246" t="n">
        <v>143.8</v>
      </c>
      <c r="H760" s="246" t="n">
        <v>-3.1</v>
      </c>
      <c r="I760" s="246" t="n">
        <v>-0.9</v>
      </c>
      <c r="J760" s="246" t="n">
        <v>141.5</v>
      </c>
      <c r="K760" s="247" t="inlineStr">
        <is>
          <t>9880 UBTECH ROBOTICS</t>
        </is>
      </c>
    </row>
    <row r="761">
      <c r="A761" s="51" t="inlineStr">
        <is>
          <t>Chen Xiong</t>
        </is>
      </c>
      <c r="B761" s="243" t="n">
        <v>1</v>
      </c>
      <c r="C761" s="245" t="n">
        <v>100</v>
      </c>
      <c r="D761" s="246" t="n">
        <v>0.8</v>
      </c>
      <c r="E761" s="246" t="n">
        <v>0.8</v>
      </c>
      <c r="F761" s="246" t="n">
        <v>0</v>
      </c>
      <c r="G761" s="246" t="n">
        <v>0</v>
      </c>
      <c r="H761" s="246" t="n">
        <v>0</v>
      </c>
      <c r="I761" s="246" t="n">
        <v>-0.8</v>
      </c>
      <c r="J761" s="246" t="n">
        <v>-0.8</v>
      </c>
      <c r="K761" s="247" t="inlineStr">
        <is>
          <t>2260 VANOV HOLDINGS</t>
        </is>
      </c>
    </row>
    <row r="762">
      <c r="A762" s="51" t="inlineStr">
        <is>
          <t>Gong Chaohui</t>
        </is>
      </c>
      <c r="B762" s="243" t="n">
        <v>1</v>
      </c>
      <c r="C762" s="245" t="n">
        <v>100</v>
      </c>
      <c r="D762" s="246" t="n">
        <v>0.8</v>
      </c>
      <c r="E762" s="246" t="n">
        <v>0.8</v>
      </c>
      <c r="F762" s="246" t="n">
        <v>0</v>
      </c>
      <c r="G762" s="246" t="n">
        <v>0</v>
      </c>
      <c r="H762" s="246" t="n">
        <v>0</v>
      </c>
      <c r="I762" s="246" t="n">
        <v>-0.8</v>
      </c>
      <c r="J762" s="246" t="n">
        <v>-0.8</v>
      </c>
      <c r="K762" s="247" t="inlineStr">
        <is>
          <t>2260 VANOV HOLDINGS</t>
        </is>
      </c>
    </row>
    <row r="763">
      <c r="A763" s="51" t="inlineStr">
        <is>
          <t>Duke King Holdings Limited</t>
        </is>
      </c>
      <c r="B763" s="243" t="n">
        <v>1</v>
      </c>
      <c r="C763" s="245" t="n">
        <v>100</v>
      </c>
      <c r="D763" s="246" t="n">
        <v>0.8</v>
      </c>
      <c r="E763" s="246" t="n">
        <v>-0.8</v>
      </c>
      <c r="F763" s="246" t="n">
        <v>-7.7</v>
      </c>
      <c r="G763" s="246" t="n">
        <v>-4.8</v>
      </c>
      <c r="H763" s="246" t="n">
        <v>-1.6</v>
      </c>
      <c r="I763" s="246" t="n">
        <v>-8.4</v>
      </c>
      <c r="J763" s="246" t="n">
        <v>-5.6</v>
      </c>
      <c r="K763" s="247" t="inlineStr">
        <is>
          <t>9636 JF WEALTH</t>
        </is>
      </c>
    </row>
    <row r="764">
      <c r="A764" s="51" t="inlineStr">
        <is>
          <t>Garland Glory Holdings Limited</t>
        </is>
      </c>
      <c r="B764" s="243" t="n">
        <v>1</v>
      </c>
      <c r="C764" s="245" t="n">
        <v>100</v>
      </c>
      <c r="D764" s="246" t="n">
        <v>0.8</v>
      </c>
      <c r="E764" s="246" t="n">
        <v>-0.8</v>
      </c>
      <c r="F764" s="246" t="n">
        <v>-7.7</v>
      </c>
      <c r="G764" s="246" t="n">
        <v>-4.8</v>
      </c>
      <c r="H764" s="246" t="n">
        <v>-1.6</v>
      </c>
      <c r="I764" s="246" t="n">
        <v>-8.4</v>
      </c>
      <c r="J764" s="246" t="n">
        <v>-5.6</v>
      </c>
      <c r="K764" s="247" t="inlineStr">
        <is>
          <t>9636 JF WEALTH</t>
        </is>
      </c>
    </row>
    <row r="765">
      <c r="A765" s="51" t="inlineStr">
        <is>
          <t>Orchid Asia V Co-Investment, Limited</t>
        </is>
      </c>
      <c r="B765" s="243" t="n">
        <v>1</v>
      </c>
      <c r="C765" s="245" t="n">
        <v>100</v>
      </c>
      <c r="D765" s="246" t="n">
        <v>0.8</v>
      </c>
      <c r="E765" s="246" t="n">
        <v>-0.8</v>
      </c>
      <c r="F765" s="246" t="n">
        <v>-7.7</v>
      </c>
      <c r="G765" s="246" t="n">
        <v>-4.8</v>
      </c>
      <c r="H765" s="246" t="n">
        <v>-1.6</v>
      </c>
      <c r="I765" s="246" t="n">
        <v>-8.4</v>
      </c>
      <c r="J765" s="246" t="n">
        <v>-5.6</v>
      </c>
      <c r="K765" s="247" t="inlineStr">
        <is>
          <t>9636 JF WEALTH</t>
        </is>
      </c>
    </row>
    <row r="766">
      <c r="A766" s="51" t="inlineStr">
        <is>
          <t>Welight Capital L.P</t>
        </is>
      </c>
      <c r="B766" s="243" t="n">
        <v>1</v>
      </c>
      <c r="C766" s="245" t="n">
        <v>100</v>
      </c>
      <c r="D766" s="246" t="n">
        <v>0.7</v>
      </c>
      <c r="E766" s="246" t="n">
        <v>1.6</v>
      </c>
      <c r="F766" s="246" t="n">
        <v>15.5</v>
      </c>
      <c r="G766" s="246" t="n">
        <v>0</v>
      </c>
      <c r="H766" s="246" t="n">
        <v>1</v>
      </c>
      <c r="I766" s="246" t="n">
        <v>14.8</v>
      </c>
      <c r="J766" s="246" t="n">
        <v>-0.7</v>
      </c>
      <c r="K766" s="247" t="inlineStr">
        <is>
          <t>3880 MEDTIDE</t>
        </is>
      </c>
    </row>
    <row r="767">
      <c r="A767" s="51" t="inlineStr">
        <is>
          <t>Foshan Development Co., Ltd</t>
        </is>
      </c>
      <c r="B767" s="243" t="n">
        <v>1</v>
      </c>
      <c r="C767" s="245" t="n">
        <v>100</v>
      </c>
      <c r="D767" s="246" t="n">
        <v>0.6</v>
      </c>
      <c r="E767" s="246" t="n">
        <v>-3.4</v>
      </c>
      <c r="F767" s="246" t="n">
        <v>-1.6</v>
      </c>
      <c r="G767" s="246" t="n">
        <v>-6.5</v>
      </c>
      <c r="H767" s="246" t="n">
        <v>-4</v>
      </c>
      <c r="I767" s="246" t="n">
        <v>-2.2</v>
      </c>
      <c r="J767" s="246" t="n">
        <v>-7</v>
      </c>
      <c r="K767" s="247" t="inlineStr">
        <is>
          <t>3288 HAITIAN FLAV</t>
        </is>
      </c>
    </row>
    <row r="768">
      <c r="A768" s="51" t="inlineStr">
        <is>
          <t>Junshi Hong Kong Limited</t>
        </is>
      </c>
      <c r="B768" s="243" t="n">
        <v>1</v>
      </c>
      <c r="C768" s="245" t="n">
        <v>100</v>
      </c>
      <c r="D768" s="246" t="n">
        <v>0.6</v>
      </c>
      <c r="E768" s="246" t="n">
        <v>-2</v>
      </c>
      <c r="F768" s="246" t="n">
        <v>-17.6</v>
      </c>
      <c r="G768" s="246" t="n">
        <v>-24.2</v>
      </c>
      <c r="H768" s="246" t="n">
        <v>-2.6</v>
      </c>
      <c r="I768" s="246" t="n">
        <v>-18.1</v>
      </c>
      <c r="J768" s="246" t="n">
        <v>-24.6</v>
      </c>
      <c r="K768" s="247" t="inlineStr">
        <is>
          <t>2493 MABWELL-B</t>
        </is>
      </c>
    </row>
    <row r="769">
      <c r="A769" s="51" t="inlineStr">
        <is>
          <t>CHIL</t>
        </is>
      </c>
      <c r="B769" s="243" t="n">
        <v>1</v>
      </c>
      <c r="C769" s="245" t="n">
        <v>100</v>
      </c>
      <c r="D769" s="246" t="n">
        <v>0.6</v>
      </c>
      <c r="E769" s="246" t="n">
        <v>-2</v>
      </c>
      <c r="F769" s="246" t="n">
        <v>-17.6</v>
      </c>
      <c r="G769" s="246" t="n">
        <v>-24.2</v>
      </c>
      <c r="H769" s="246" t="n">
        <v>-2.6</v>
      </c>
      <c r="I769" s="246" t="n">
        <v>-18.1</v>
      </c>
      <c r="J769" s="246" t="n">
        <v>-24.6</v>
      </c>
      <c r="K769" s="247" t="inlineStr">
        <is>
          <t>2493 MABWELL-B</t>
        </is>
      </c>
    </row>
    <row r="770">
      <c r="A770" s="51" t="inlineStr">
        <is>
          <t>Golden Star International Pty Limited</t>
        </is>
      </c>
      <c r="B770" s="243" t="n">
        <v>1</v>
      </c>
      <c r="C770" s="245" t="n">
        <v>100</v>
      </c>
      <c r="D770" s="246" t="n">
        <v>0.5</v>
      </c>
      <c r="E770" s="246" t="n">
        <v>5</v>
      </c>
      <c r="F770" s="246" t="n">
        <v>-25.8</v>
      </c>
      <c r="G770" s="246" t="n">
        <v>-45.3</v>
      </c>
      <c r="H770" s="246" t="n">
        <v>4.5</v>
      </c>
      <c r="I770" s="246" t="n">
        <v>-26.2</v>
      </c>
      <c r="J770" s="246" t="n">
        <v>-45.5</v>
      </c>
      <c r="K770" s="247" t="inlineStr">
        <is>
          <t>3658 NEW HOPE SERV</t>
        </is>
      </c>
    </row>
    <row r="771">
      <c r="A771" s="51" t="inlineStr">
        <is>
          <t>Neptune Investments Holdings Limited</t>
        </is>
      </c>
      <c r="B771" s="243" t="n">
        <v>1</v>
      </c>
      <c r="C771" s="245" t="n">
        <v>100</v>
      </c>
      <c r="D771" s="246" t="n">
        <v>0.5</v>
      </c>
      <c r="E771" s="246" t="n">
        <v>5</v>
      </c>
      <c r="F771" s="246" t="n">
        <v>-25.8</v>
      </c>
      <c r="G771" s="246" t="n">
        <v>-45.3</v>
      </c>
      <c r="H771" s="246" t="n">
        <v>4.5</v>
      </c>
      <c r="I771" s="246" t="n">
        <v>-26.2</v>
      </c>
      <c r="J771" s="246" t="n">
        <v>-45.5</v>
      </c>
      <c r="K771" s="247" t="inlineStr">
        <is>
          <t>3658 NEW HOPE SERV</t>
        </is>
      </c>
    </row>
    <row r="772">
      <c r="A772" s="51" t="inlineStr">
        <is>
          <t>So-Young Hong Kong Limited</t>
        </is>
      </c>
      <c r="B772" s="243" t="n">
        <v>1</v>
      </c>
      <c r="C772" s="245" t="n">
        <v>100</v>
      </c>
      <c r="D772" s="246" t="n">
        <v>0.5</v>
      </c>
      <c r="E772" s="246" t="n">
        <v>38.7</v>
      </c>
      <c r="F772" s="246" t="n">
        <v>-1.6</v>
      </c>
      <c r="G772" s="246" t="n">
        <v>1.4</v>
      </c>
      <c r="H772" s="246" t="n">
        <v>38</v>
      </c>
      <c r="I772" s="246" t="n">
        <v>-2</v>
      </c>
      <c r="J772" s="246" t="n">
        <v>0.9</v>
      </c>
      <c r="K772" s="247" t="inlineStr">
        <is>
          <t>2487 CUTIA-B</t>
        </is>
      </c>
    </row>
    <row r="773">
      <c r="A773" s="51" t="inlineStr">
        <is>
          <t>STMicroelectro nics Limited</t>
        </is>
      </c>
      <c r="B773" s="243" t="n">
        <v>1</v>
      </c>
      <c r="C773" s="245" t="n">
        <v>100</v>
      </c>
      <c r="D773" s="246" t="n">
        <v>0.5</v>
      </c>
      <c r="E773" s="246" t="n">
        <v>-0</v>
      </c>
      <c r="F773" s="246" t="n">
        <v>32.7</v>
      </c>
      <c r="G773" s="246" t="n">
        <v>44.2</v>
      </c>
      <c r="H773" s="246" t="n">
        <v>-0.5</v>
      </c>
      <c r="I773" s="246" t="n">
        <v>32.1</v>
      </c>
      <c r="J773" s="246" t="n">
        <v>43.5</v>
      </c>
      <c r="K773" s="247" t="inlineStr">
        <is>
          <t>2577 INNOSCIENCE</t>
        </is>
      </c>
    </row>
    <row r="774">
      <c r="A774" s="51" t="inlineStr">
        <is>
          <t>HK InnoSC Limited Notes 2 and 4</t>
        </is>
      </c>
      <c r="B774" s="243" t="n">
        <v>1</v>
      </c>
      <c r="C774" s="245" t="n">
        <v>100</v>
      </c>
      <c r="D774" s="246" t="n">
        <v>0.5</v>
      </c>
      <c r="E774" s="246" t="n">
        <v>-0</v>
      </c>
      <c r="F774" s="246" t="n">
        <v>32.7</v>
      </c>
      <c r="G774" s="246" t="n">
        <v>44.2</v>
      </c>
      <c r="H774" s="246" t="n">
        <v>-0.5</v>
      </c>
      <c r="I774" s="246" t="n">
        <v>32.1</v>
      </c>
      <c r="J774" s="246" t="n">
        <v>43.5</v>
      </c>
      <c r="K774" s="247" t="inlineStr">
        <is>
          <t>2577 INNOSCIENCE</t>
        </is>
      </c>
    </row>
    <row r="775">
      <c r="A775" s="51" t="inlineStr">
        <is>
          <t>Inno CL. Limited Notes 3 and 4</t>
        </is>
      </c>
      <c r="B775" s="243" t="n">
        <v>1</v>
      </c>
      <c r="C775" s="245" t="n">
        <v>100</v>
      </c>
      <c r="D775" s="246" t="n">
        <v>0.5</v>
      </c>
      <c r="E775" s="246" t="n">
        <v>-0</v>
      </c>
      <c r="F775" s="246" t="n">
        <v>32.7</v>
      </c>
      <c r="G775" s="246" t="n">
        <v>44.2</v>
      </c>
      <c r="H775" s="246" t="n">
        <v>-0.5</v>
      </c>
      <c r="I775" s="246" t="n">
        <v>32.1</v>
      </c>
      <c r="J775" s="246" t="n">
        <v>43.5</v>
      </c>
      <c r="K775" s="247" t="inlineStr">
        <is>
          <t>2577 INNOSCIENCE</t>
        </is>
      </c>
    </row>
    <row r="776">
      <c r="A776" s="51" t="inlineStr">
        <is>
          <t>Fuqing Shengde Calorie Investment Co., Ltd</t>
        </is>
      </c>
      <c r="B776" s="243" t="n">
        <v>1</v>
      </c>
      <c r="C776" s="245" t="n">
        <v>100</v>
      </c>
      <c r="D776" s="246" t="n">
        <v>0.3</v>
      </c>
      <c r="E776" s="246" t="n">
        <v>-0.2</v>
      </c>
      <c r="F776" s="246" t="n">
        <v>9.300000000000001</v>
      </c>
      <c r="G776" s="246" t="n">
        <v>0.6</v>
      </c>
      <c r="H776" s="246" t="n">
        <v>-0.5</v>
      </c>
      <c r="I776" s="246" t="n">
        <v>9</v>
      </c>
      <c r="J776" s="246" t="n">
        <v>0.3</v>
      </c>
      <c r="K776" s="247" t="inlineStr">
        <is>
          <t>3650 KEEP</t>
        </is>
      </c>
    </row>
    <row r="777">
      <c r="A777" s="51" t="inlineStr">
        <is>
          <t>Shenzhen Fenda Technology Co., Ltd</t>
        </is>
      </c>
      <c r="B777" s="243" t="n">
        <v>1</v>
      </c>
      <c r="C777" s="245" t="n">
        <v>100</v>
      </c>
      <c r="D777" s="246" t="n">
        <v>0.3</v>
      </c>
      <c r="E777" s="246" t="n">
        <v>-0.2</v>
      </c>
      <c r="F777" s="246" t="n">
        <v>9.300000000000001</v>
      </c>
      <c r="G777" s="246" t="n">
        <v>0.6</v>
      </c>
      <c r="H777" s="246" t="n">
        <v>-0.5</v>
      </c>
      <c r="I777" s="246" t="n">
        <v>9</v>
      </c>
      <c r="J777" s="246" t="n">
        <v>0.3</v>
      </c>
      <c r="K777" s="247" t="inlineStr">
        <is>
          <t>3650 KEEP</t>
        </is>
      </c>
    </row>
    <row r="778">
      <c r="A778" s="51" t="inlineStr">
        <is>
          <t>CO., LIMITED LEYARD (HONGKONG) CO., LIMITED</t>
        </is>
      </c>
      <c r="B778" s="243" t="n">
        <v>1</v>
      </c>
      <c r="C778" s="245" t="n">
        <v>100</v>
      </c>
      <c r="D778" s="246" t="n">
        <v>0.3</v>
      </c>
      <c r="E778" s="246" t="n">
        <v>-19.4</v>
      </c>
      <c r="F778" s="246" t="n">
        <v>-7.8</v>
      </c>
      <c r="G778" s="246" t="n">
        <v>-12.5</v>
      </c>
      <c r="H778" s="246" t="n">
        <v>-19.6</v>
      </c>
      <c r="I778" s="246" t="n">
        <v>-8.1</v>
      </c>
      <c r="J778" s="246" t="n">
        <v>-12.8</v>
      </c>
      <c r="K778" s="247" t="inlineStr">
        <is>
          <t>2529 HOLLWIN URBAN</t>
        </is>
      </c>
    </row>
    <row r="779">
      <c r="A779" s="51" t="inlineStr">
        <is>
          <t>SANAN INTERNATION AL HOLDING CO., LIMITED</t>
        </is>
      </c>
      <c r="B779" s="243" t="n">
        <v>1</v>
      </c>
      <c r="C779" s="245" t="n">
        <v>100</v>
      </c>
      <c r="D779" s="246" t="n">
        <v>0.3</v>
      </c>
      <c r="E779" s="246" t="n">
        <v>-19.4</v>
      </c>
      <c r="F779" s="246" t="n">
        <v>-7.8</v>
      </c>
      <c r="G779" s="246" t="n">
        <v>-12.5</v>
      </c>
      <c r="H779" s="246" t="n">
        <v>-19.6</v>
      </c>
      <c r="I779" s="246" t="n">
        <v>-8.1</v>
      </c>
      <c r="J779" s="246" t="n">
        <v>-12.8</v>
      </c>
      <c r="K779" s="247" t="inlineStr">
        <is>
          <t>2529 HOLLWIN URBAN</t>
        </is>
      </c>
    </row>
    <row r="780">
      <c r="A780" s="51" t="inlineStr">
        <is>
          <t>XIANGZHENG CAPITAL LIMITED</t>
        </is>
      </c>
      <c r="B780" s="243" t="n">
        <v>1</v>
      </c>
      <c r="C780" s="245" t="n">
        <v>100</v>
      </c>
      <c r="D780" s="246" t="n">
        <v>0.3</v>
      </c>
      <c r="E780" s="246" t="n">
        <v>-19.4</v>
      </c>
      <c r="F780" s="246" t="n">
        <v>-7.8</v>
      </c>
      <c r="G780" s="246" t="n">
        <v>-12.5</v>
      </c>
      <c r="H780" s="246" t="n">
        <v>-19.6</v>
      </c>
      <c r="I780" s="246" t="n">
        <v>-8.1</v>
      </c>
      <c r="J780" s="246" t="n">
        <v>-12.8</v>
      </c>
      <c r="K780" s="247" t="inlineStr">
        <is>
          <t>2529 HOLLWIN URBAN</t>
        </is>
      </c>
    </row>
    <row r="781">
      <c r="A781" s="51" t="inlineStr">
        <is>
          <t>FUHUIDA (HK) LIMITED</t>
        </is>
      </c>
      <c r="B781" s="243" t="n">
        <v>1</v>
      </c>
      <c r="C781" s="245" t="n">
        <v>100</v>
      </c>
      <c r="D781" s="246" t="n">
        <v>0.3</v>
      </c>
      <c r="E781" s="246" t="n">
        <v>-18.8</v>
      </c>
      <c r="F781" s="246" t="n">
        <v>-30.5</v>
      </c>
      <c r="G781" s="246" t="n">
        <v>-42.1</v>
      </c>
      <c r="H781" s="246" t="n">
        <v>-19</v>
      </c>
      <c r="I781" s="246" t="n">
        <v>-30.7</v>
      </c>
      <c r="J781" s="246" t="n">
        <v>-42.3</v>
      </c>
      <c r="K781" s="247" t="inlineStr">
        <is>
          <t>1641 HX COLDCHAIN</t>
        </is>
      </c>
    </row>
    <row r="782">
      <c r="A782" s="51" t="inlineStr">
        <is>
          <t>Changsheng Fund Management Co., Ltd. - CHINA GF BANK- CHANGSHENG FUND -QDII1</t>
        </is>
      </c>
      <c r="B782" s="243" t="n">
        <v>1</v>
      </c>
      <c r="C782" s="245" t="n">
        <v>100</v>
      </c>
      <c r="D782" s="246" t="n">
        <v>0.2</v>
      </c>
      <c r="E782" s="246" t="n">
        <v>0</v>
      </c>
      <c r="F782" s="246" t="n">
        <v>31.1</v>
      </c>
      <c r="G782" s="246" t="n">
        <v>98.5</v>
      </c>
      <c r="H782" s="246" t="n">
        <v>-0.2</v>
      </c>
      <c r="I782" s="246" t="n">
        <v>30.8</v>
      </c>
      <c r="J782" s="246" t="n">
        <v>98</v>
      </c>
      <c r="K782" s="247" t="inlineStr">
        <is>
          <t>9879 MIGAO GROUP</t>
        </is>
      </c>
    </row>
    <row r="783">
      <c r="A783" s="51" t="inlineStr">
        <is>
          <t>Tongzhou International Development Limited</t>
        </is>
      </c>
      <c r="B783" s="243" t="n">
        <v>1</v>
      </c>
      <c r="C783" s="245" t="n">
        <v>100</v>
      </c>
      <c r="D783" s="246" t="n">
        <v>0.2</v>
      </c>
      <c r="E783" s="246" t="n">
        <v>-0.4</v>
      </c>
      <c r="F783" s="246" t="n">
        <v>-0.4</v>
      </c>
      <c r="G783" s="246" t="n">
        <v>47.6</v>
      </c>
      <c r="H783" s="246" t="n">
        <v>-0.6</v>
      </c>
      <c r="I783" s="246" t="n">
        <v>-0.6</v>
      </c>
      <c r="J783" s="246" t="n">
        <v>47.3</v>
      </c>
      <c r="K783" s="247" t="inlineStr">
        <is>
          <t>2597 XUNZHONG</t>
        </is>
      </c>
    </row>
    <row r="784">
      <c r="A784" s="51" t="inlineStr">
        <is>
          <t>Excellent Investment Enterprise Management (Hong Kong) Co., Limited</t>
        </is>
      </c>
      <c r="B784" s="243" t="n">
        <v>1</v>
      </c>
      <c r="C784" s="245" t="n">
        <v>100</v>
      </c>
      <c r="D784" s="246" t="n">
        <v>0.1</v>
      </c>
      <c r="E784" s="246" t="n">
        <v>28.3</v>
      </c>
      <c r="F784" s="246" t="n">
        <v>15.1</v>
      </c>
      <c r="G784" s="246" t="n">
        <v>34.2</v>
      </c>
      <c r="H784" s="246" t="n">
        <v>28.1</v>
      </c>
      <c r="I784" s="246" t="n">
        <v>14.9</v>
      </c>
      <c r="J784" s="246" t="n">
        <v>34</v>
      </c>
      <c r="K784" s="247" t="inlineStr">
        <is>
          <t>2522 RIMAG GROUP</t>
        </is>
      </c>
    </row>
    <row r="785">
      <c r="A785" s="51" t="inlineStr">
        <is>
          <t>China New Rich Medicine Holding Co. Limited</t>
        </is>
      </c>
      <c r="B785" s="243" t="n">
        <v>1</v>
      </c>
      <c r="C785" s="245" t="n">
        <v>100</v>
      </c>
      <c r="D785" s="246" t="n">
        <v>0.1</v>
      </c>
      <c r="E785" s="246" t="n">
        <v>28.3</v>
      </c>
      <c r="F785" s="246" t="n">
        <v>15.1</v>
      </c>
      <c r="G785" s="246" t="n">
        <v>34.2</v>
      </c>
      <c r="H785" s="246" t="n">
        <v>28.1</v>
      </c>
      <c r="I785" s="246" t="n">
        <v>14.9</v>
      </c>
      <c r="J785" s="246" t="n">
        <v>34</v>
      </c>
      <c r="K785" s="247" t="inlineStr">
        <is>
          <t>2522 RIMAG GROUP</t>
        </is>
      </c>
    </row>
    <row r="786">
      <c r="A786" s="51" t="inlineStr">
        <is>
          <t>DINGCHUANG HONGKONG INVESTMENT LIMITED</t>
        </is>
      </c>
      <c r="B786" s="243" t="n">
        <v>1</v>
      </c>
      <c r="C786" s="245" t="n">
        <v>100</v>
      </c>
      <c r="D786" s="246" t="n">
        <v>0.1</v>
      </c>
      <c r="E786" s="246" t="n">
        <v>11</v>
      </c>
      <c r="F786" s="246" t="n">
        <v>30.8</v>
      </c>
      <c r="G786" s="246" t="n">
        <v>69</v>
      </c>
      <c r="H786" s="246" t="n">
        <v>10.9</v>
      </c>
      <c r="I786" s="246" t="n">
        <v>30.7</v>
      </c>
      <c r="J786" s="246" t="n">
        <v>68.90000000000001</v>
      </c>
      <c r="K786" s="247" t="inlineStr">
        <is>
          <t>2570 REFIRE</t>
        </is>
      </c>
    </row>
    <row r="787">
      <c r="A787" s="51" t="inlineStr">
        <is>
          <t>Crotona Assets Limited</t>
        </is>
      </c>
      <c r="B787" s="243" t="n">
        <v>1</v>
      </c>
      <c r="C787" s="245" t="n">
        <v>0</v>
      </c>
      <c r="D787" s="246" t="n">
        <v>0</v>
      </c>
      <c r="E787" s="246" t="n">
        <v>10</v>
      </c>
      <c r="F787" s="246" t="n">
        <v>-13.9</v>
      </c>
      <c r="G787" s="246" t="n">
        <v>-33.8</v>
      </c>
      <c r="H787" s="246" t="n">
        <v>10</v>
      </c>
      <c r="I787" s="246" t="n">
        <v>-13.9</v>
      </c>
      <c r="J787" s="246" t="n">
        <v>-33.8</v>
      </c>
      <c r="K787" s="247" t="inlineStr">
        <is>
          <t>6626 YUEXIU SERVICES</t>
        </is>
      </c>
    </row>
    <row r="788">
      <c r="A788" s="51" t="inlineStr">
        <is>
          <t>Goingup Inc Limited</t>
        </is>
      </c>
      <c r="B788" s="243" t="n">
        <v>1</v>
      </c>
      <c r="C788" s="245" t="n">
        <v>0</v>
      </c>
      <c r="D788" s="246" t="n">
        <v>0</v>
      </c>
      <c r="E788" s="246" t="n">
        <v>10</v>
      </c>
      <c r="F788" s="246" t="n">
        <v>-13.9</v>
      </c>
      <c r="G788" s="246" t="n">
        <v>-33.8</v>
      </c>
      <c r="H788" s="246" t="n">
        <v>10</v>
      </c>
      <c r="I788" s="246" t="n">
        <v>-13.9</v>
      </c>
      <c r="J788" s="246" t="n">
        <v>-33.8</v>
      </c>
      <c r="K788" s="247" t="inlineStr">
        <is>
          <t>6626 YUEXIU SERVICES</t>
        </is>
      </c>
    </row>
    <row r="789">
      <c r="A789" s="51" t="inlineStr">
        <is>
          <t>Jiang Ganjun</t>
        </is>
      </c>
      <c r="B789" s="243" t="n">
        <v>1</v>
      </c>
      <c r="C789" s="245" t="n">
        <v>0</v>
      </c>
      <c r="D789" s="246" t="n">
        <v>0</v>
      </c>
      <c r="E789" s="246" t="n">
        <v>10</v>
      </c>
      <c r="F789" s="246" t="n">
        <v>-13.9</v>
      </c>
      <c r="G789" s="246" t="n">
        <v>-33.8</v>
      </c>
      <c r="H789" s="246" t="n">
        <v>10</v>
      </c>
      <c r="I789" s="246" t="n">
        <v>-13.9</v>
      </c>
      <c r="J789" s="246" t="n">
        <v>-33.8</v>
      </c>
      <c r="K789" s="247" t="inlineStr">
        <is>
          <t>6626 YUEXIU SERVICES</t>
        </is>
      </c>
    </row>
    <row r="790">
      <c r="A790" s="51" t="inlineStr">
        <is>
          <t>Kaiser Private Equity Fund SPC-SPI</t>
        </is>
      </c>
      <c r="B790" s="243" t="n">
        <v>1</v>
      </c>
      <c r="C790" s="245" t="n">
        <v>0</v>
      </c>
      <c r="D790" s="246" t="n">
        <v>0</v>
      </c>
      <c r="E790" s="246" t="n">
        <v>10</v>
      </c>
      <c r="F790" s="246" t="n">
        <v>-13.9</v>
      </c>
      <c r="G790" s="246" t="n">
        <v>-33.8</v>
      </c>
      <c r="H790" s="246" t="n">
        <v>10</v>
      </c>
      <c r="I790" s="246" t="n">
        <v>-13.9</v>
      </c>
      <c r="J790" s="246" t="n">
        <v>-33.8</v>
      </c>
      <c r="K790" s="247" t="inlineStr">
        <is>
          <t>6626 YUEXIU SERVICES</t>
        </is>
      </c>
    </row>
    <row r="791">
      <c r="A791" s="51" t="inlineStr">
        <is>
          <t>Ke Jiansheng</t>
        </is>
      </c>
      <c r="B791" s="243" t="n">
        <v>1</v>
      </c>
      <c r="C791" s="245" t="n">
        <v>0</v>
      </c>
      <c r="D791" s="246" t="n">
        <v>0</v>
      </c>
      <c r="E791" s="246" t="n">
        <v>10</v>
      </c>
      <c r="F791" s="246" t="n">
        <v>-13.9</v>
      </c>
      <c r="G791" s="246" t="n">
        <v>-33.8</v>
      </c>
      <c r="H791" s="246" t="n">
        <v>10</v>
      </c>
      <c r="I791" s="246" t="n">
        <v>-13.9</v>
      </c>
      <c r="J791" s="246" t="n">
        <v>-33.8</v>
      </c>
      <c r="K791" s="247" t="inlineStr">
        <is>
          <t>6626 YUEXIU SERVICES</t>
        </is>
      </c>
    </row>
    <row r="792">
      <c r="A792" s="51" t="inlineStr">
        <is>
          <t>Sunfly Holding Co., Ltd</t>
        </is>
      </c>
      <c r="B792" s="243" t="n">
        <v>1</v>
      </c>
      <c r="C792" s="245" t="n">
        <v>0</v>
      </c>
      <c r="D792" s="246" t="n">
        <v>0</v>
      </c>
      <c r="E792" s="246" t="n">
        <v>10</v>
      </c>
      <c r="F792" s="246" t="n">
        <v>-13.9</v>
      </c>
      <c r="G792" s="246" t="n">
        <v>-33.8</v>
      </c>
      <c r="H792" s="246" t="n">
        <v>10</v>
      </c>
      <c r="I792" s="246" t="n">
        <v>-13.9</v>
      </c>
      <c r="J792" s="246" t="n">
        <v>-33.8</v>
      </c>
      <c r="K792" s="247" t="inlineStr">
        <is>
          <t>6626 YUEXIU SERVICES</t>
        </is>
      </c>
    </row>
    <row r="793">
      <c r="A793" s="51" t="inlineStr">
        <is>
          <t>Wealthking Investments Limited</t>
        </is>
      </c>
      <c r="B793" s="243" t="n">
        <v>1</v>
      </c>
      <c r="C793" s="245" t="n">
        <v>0</v>
      </c>
      <c r="D793" s="246" t="n">
        <v>0</v>
      </c>
      <c r="E793" s="246" t="n">
        <v>10</v>
      </c>
      <c r="F793" s="246" t="n">
        <v>-13.9</v>
      </c>
      <c r="G793" s="246" t="n">
        <v>-33.8</v>
      </c>
      <c r="H793" s="246" t="n">
        <v>10</v>
      </c>
      <c r="I793" s="246" t="n">
        <v>-13.9</v>
      </c>
      <c r="J793" s="246" t="n">
        <v>-33.8</v>
      </c>
      <c r="K793" s="247" t="inlineStr">
        <is>
          <t>6626 YUEXIU SERVICES</t>
        </is>
      </c>
    </row>
    <row r="794">
      <c r="A794" s="51" t="inlineStr">
        <is>
          <t>Hangzhou Jintou Shenghan Investment Partnership (Limited Partnership)</t>
        </is>
      </c>
      <c r="B794" s="243" t="n">
        <v>1</v>
      </c>
      <c r="C794" s="245" t="n">
        <v>0</v>
      </c>
      <c r="D794" s="246" t="n">
        <v>0</v>
      </c>
      <c r="E794" s="246" t="n">
        <v>0</v>
      </c>
      <c r="F794" s="246" t="n">
        <v>9.800000000000001</v>
      </c>
      <c r="G794" s="246" t="n">
        <v>10.1</v>
      </c>
      <c r="H794" s="246" t="n">
        <v>0</v>
      </c>
      <c r="I794" s="246" t="n">
        <v>9.800000000000001</v>
      </c>
      <c r="J794" s="246" t="n">
        <v>10.1</v>
      </c>
      <c r="K794" s="247" t="inlineStr">
        <is>
          <t>2215 DEXIN SER GROUP</t>
        </is>
      </c>
    </row>
    <row r="795">
      <c r="A795" s="51" t="inlineStr">
        <is>
          <t>Hangzhou Light Industrial Association Investment Group Co.,Ltd</t>
        </is>
      </c>
      <c r="B795" s="243" t="n">
        <v>1</v>
      </c>
      <c r="C795" s="245" t="n">
        <v>0</v>
      </c>
      <c r="D795" s="246" t="n">
        <v>0</v>
      </c>
      <c r="E795" s="246" t="n">
        <v>0</v>
      </c>
      <c r="F795" s="246" t="n">
        <v>9.800000000000001</v>
      </c>
      <c r="G795" s="246" t="n">
        <v>10.1</v>
      </c>
      <c r="H795" s="246" t="n">
        <v>0</v>
      </c>
      <c r="I795" s="246" t="n">
        <v>9.800000000000001</v>
      </c>
      <c r="J795" s="246" t="n">
        <v>10.1</v>
      </c>
      <c r="K795" s="247" t="inlineStr">
        <is>
          <t>2215 DEXIN SER GROUP</t>
        </is>
      </c>
    </row>
    <row r="796">
      <c r="A796" s="51" t="inlineStr">
        <is>
          <t>JIC TRUST CO., LTD</t>
        </is>
      </c>
      <c r="B796" s="243" t="n">
        <v>1</v>
      </c>
      <c r="C796" s="245" t="n">
        <v>0</v>
      </c>
      <c r="D796" s="246" t="n">
        <v>0</v>
      </c>
      <c r="E796" s="246" t="n">
        <v>0</v>
      </c>
      <c r="F796" s="246" t="n">
        <v>9.800000000000001</v>
      </c>
      <c r="G796" s="246" t="n">
        <v>10.1</v>
      </c>
      <c r="H796" s="246" t="n">
        <v>0</v>
      </c>
      <c r="I796" s="246" t="n">
        <v>9.800000000000001</v>
      </c>
      <c r="J796" s="246" t="n">
        <v>10.1</v>
      </c>
      <c r="K796" s="247" t="inlineStr">
        <is>
          <t>2215 DEXIN SER GROUP</t>
        </is>
      </c>
    </row>
    <row r="797">
      <c r="A797" s="51" t="inlineStr">
        <is>
          <t>Maccura Biotechnology Co., Ltd</t>
        </is>
      </c>
      <c r="B797" s="243" t="n">
        <v>1</v>
      </c>
      <c r="C797" s="245" t="n">
        <v>0</v>
      </c>
      <c r="D797" s="246" t="n">
        <v>0</v>
      </c>
      <c r="E797" s="246" t="n">
        <v>-1.1</v>
      </c>
      <c r="F797" s="246" t="n">
        <v>-1.2</v>
      </c>
      <c r="G797" s="246" t="n">
        <v>-24.2</v>
      </c>
      <c r="H797" s="246" t="n">
        <v>-1.1</v>
      </c>
      <c r="I797" s="246" t="n">
        <v>-1.2</v>
      </c>
      <c r="J797" s="246" t="n">
        <v>-24.2</v>
      </c>
      <c r="K797" s="247" t="inlineStr">
        <is>
          <t>6667 MEGA GENOMICS</t>
        </is>
      </c>
    </row>
    <row r="798">
      <c r="A798" s="51" t="inlineStr">
        <is>
          <t>Nanchang Financial Holdings Co., Ltd</t>
        </is>
      </c>
      <c r="B798" s="243" t="n">
        <v>1</v>
      </c>
      <c r="C798" s="245" t="n">
        <v>0</v>
      </c>
      <c r="D798" s="246" t="n">
        <v>0</v>
      </c>
      <c r="E798" s="246" t="n">
        <v>-1.1</v>
      </c>
      <c r="F798" s="246" t="n">
        <v>-1.2</v>
      </c>
      <c r="G798" s="246" t="n">
        <v>-24.2</v>
      </c>
      <c r="H798" s="246" t="n">
        <v>-1.1</v>
      </c>
      <c r="I798" s="246" t="n">
        <v>-1.2</v>
      </c>
      <c r="J798" s="246" t="n">
        <v>-24.2</v>
      </c>
      <c r="K798" s="247" t="inlineStr">
        <is>
          <t>6667 MEGA GENOMICS</t>
        </is>
      </c>
    </row>
    <row r="799">
      <c r="A799" s="51" t="inlineStr">
        <is>
          <t>Kangshi No.1 LP</t>
        </is>
      </c>
      <c r="B799" s="243" t="n">
        <v>1</v>
      </c>
      <c r="C799" s="245" t="n">
        <v>0</v>
      </c>
      <c r="D799" s="246" t="n">
        <v>0</v>
      </c>
      <c r="E799" s="246" t="n">
        <v>11.9</v>
      </c>
      <c r="F799" s="246" t="n">
        <v>-1.5</v>
      </c>
      <c r="G799" s="246" t="n">
        <v>-38.1</v>
      </c>
      <c r="H799" s="246" t="n">
        <v>11.9</v>
      </c>
      <c r="I799" s="246" t="n">
        <v>-1.5</v>
      </c>
      <c r="J799" s="246" t="n">
        <v>-38.1</v>
      </c>
      <c r="K799" s="247" t="inlineStr">
        <is>
          <t>2361 SINOHEALTH HLDG</t>
        </is>
      </c>
    </row>
    <row r="800">
      <c r="A800" s="51" t="inlineStr">
        <is>
          <t>Luns Family Holdings Limited</t>
        </is>
      </c>
      <c r="B800" s="243" t="n">
        <v>1</v>
      </c>
      <c r="C800" s="245" t="n">
        <v>0</v>
      </c>
      <c r="D800" s="246" t="n">
        <v>0</v>
      </c>
      <c r="E800" s="246" t="n">
        <v>11.9</v>
      </c>
      <c r="F800" s="246" t="n">
        <v>-1.5</v>
      </c>
      <c r="G800" s="246" t="n">
        <v>-38.1</v>
      </c>
      <c r="H800" s="246" t="n">
        <v>11.9</v>
      </c>
      <c r="I800" s="246" t="n">
        <v>-1.5</v>
      </c>
      <c r="J800" s="246" t="n">
        <v>-38.1</v>
      </c>
      <c r="K800" s="247" t="inlineStr">
        <is>
          <t>2361 SINOHEALTH HLDG</t>
        </is>
      </c>
    </row>
    <row r="801">
      <c r="A801" s="51" t="inlineStr">
        <is>
          <t>Zheng Jingjie</t>
        </is>
      </c>
      <c r="B801" s="243" t="n">
        <v>1</v>
      </c>
      <c r="C801" s="245" t="n">
        <v>0</v>
      </c>
      <c r="D801" s="246" t="n">
        <v>0</v>
      </c>
      <c r="E801" s="246" t="n">
        <v>11.9</v>
      </c>
      <c r="F801" s="246" t="n">
        <v>-1.5</v>
      </c>
      <c r="G801" s="246" t="n">
        <v>-38.1</v>
      </c>
      <c r="H801" s="246" t="n">
        <v>11.9</v>
      </c>
      <c r="I801" s="246" t="n">
        <v>-1.5</v>
      </c>
      <c r="J801" s="246" t="n">
        <v>-38.1</v>
      </c>
      <c r="K801" s="247" t="inlineStr">
        <is>
          <t>2361 SINOHEALTH HLDG</t>
        </is>
      </c>
    </row>
    <row r="802">
      <c r="A802" s="51" t="inlineStr">
        <is>
          <t>LG Chem, Ltd</t>
        </is>
      </c>
      <c r="B802" s="243" t="n">
        <v>1</v>
      </c>
      <c r="C802" s="245" t="n">
        <v>0</v>
      </c>
      <c r="D802" s="246" t="n">
        <v>0</v>
      </c>
      <c r="E802" s="246" t="n">
        <v>-3.8</v>
      </c>
      <c r="F802" s="246" t="n">
        <v>4.3</v>
      </c>
      <c r="G802" s="246" t="n">
        <v>-21.2</v>
      </c>
      <c r="H802" s="246" t="n">
        <v>-3.8</v>
      </c>
      <c r="I802" s="246" t="n">
        <v>4.3</v>
      </c>
      <c r="J802" s="246" t="n">
        <v>-21.2</v>
      </c>
      <c r="K802" s="247" t="inlineStr">
        <is>
          <t>9696 TIANQI LITHIUM</t>
        </is>
      </c>
    </row>
    <row r="803">
      <c r="A803" s="51" t="inlineStr">
        <is>
          <t>Shenzhen Dynanonic Company Limited</t>
        </is>
      </c>
      <c r="B803" s="243" t="n">
        <v>1</v>
      </c>
      <c r="C803" s="245" t="n">
        <v>0</v>
      </c>
      <c r="D803" s="246" t="n">
        <v>0</v>
      </c>
      <c r="E803" s="246" t="n">
        <v>-3.8</v>
      </c>
      <c r="F803" s="246" t="n">
        <v>4.3</v>
      </c>
      <c r="G803" s="246" t="n">
        <v>-21.2</v>
      </c>
      <c r="H803" s="246" t="n">
        <v>-3.8</v>
      </c>
      <c r="I803" s="246" t="n">
        <v>4.3</v>
      </c>
      <c r="J803" s="246" t="n">
        <v>-21.2</v>
      </c>
      <c r="K803" s="247" t="inlineStr">
        <is>
          <t>9696 TIANQI LITHIUM</t>
        </is>
      </c>
    </row>
    <row r="804">
      <c r="A804" s="51" t="inlineStr">
        <is>
          <t>AMOREPACIFIC Group</t>
        </is>
      </c>
      <c r="B804" s="243" t="n">
        <v>1</v>
      </c>
      <c r="C804" s="245" t="n">
        <v>0</v>
      </c>
      <c r="D804" s="246" t="n">
        <v>0</v>
      </c>
      <c r="E804" s="246" t="n">
        <v>8.199999999999999</v>
      </c>
      <c r="F804" s="246" t="n">
        <v>17.1</v>
      </c>
      <c r="G804" s="246" t="n">
        <v>9.300000000000001</v>
      </c>
      <c r="H804" s="246" t="n">
        <v>8.199999999999999</v>
      </c>
      <c r="I804" s="246" t="n">
        <v>17.1</v>
      </c>
      <c r="J804" s="246" t="n">
        <v>9.300000000000001</v>
      </c>
      <c r="K804" s="247" t="inlineStr">
        <is>
          <t>1880 CTG DUTY-FREE</t>
        </is>
      </c>
    </row>
    <row r="805">
      <c r="A805" s="51" t="inlineStr">
        <is>
          <t>Luzhou Laojiao Co., Ltd</t>
        </is>
      </c>
      <c r="B805" s="243" t="n">
        <v>1</v>
      </c>
      <c r="C805" s="245" t="n">
        <v>0</v>
      </c>
      <c r="D805" s="246" t="n">
        <v>0</v>
      </c>
      <c r="E805" s="246" t="n">
        <v>8.199999999999999</v>
      </c>
      <c r="F805" s="246" t="n">
        <v>17.1</v>
      </c>
      <c r="G805" s="246" t="n">
        <v>9.300000000000001</v>
      </c>
      <c r="H805" s="246" t="n">
        <v>8.199999999999999</v>
      </c>
      <c r="I805" s="246" t="n">
        <v>17.1</v>
      </c>
      <c r="J805" s="246" t="n">
        <v>9.300000000000001</v>
      </c>
      <c r="K805" s="247" t="inlineStr">
        <is>
          <t>1880 CTG DUTY-FREE</t>
        </is>
      </c>
    </row>
    <row r="806">
      <c r="A806" s="51" t="inlineStr">
        <is>
          <t>Rongshi International Holding Company Limited</t>
        </is>
      </c>
      <c r="B806" s="243" t="n">
        <v>1</v>
      </c>
      <c r="C806" s="245" t="n">
        <v>0</v>
      </c>
      <c r="D806" s="246" t="n">
        <v>0</v>
      </c>
      <c r="E806" s="246" t="n">
        <v>8.199999999999999</v>
      </c>
      <c r="F806" s="246" t="n">
        <v>17.1</v>
      </c>
      <c r="G806" s="246" t="n">
        <v>9.300000000000001</v>
      </c>
      <c r="H806" s="246" t="n">
        <v>8.199999999999999</v>
      </c>
      <c r="I806" s="246" t="n">
        <v>17.1</v>
      </c>
      <c r="J806" s="246" t="n">
        <v>9.300000000000001</v>
      </c>
      <c r="K806" s="247" t="inlineStr">
        <is>
          <t>1880 CTG DUTY-FREE</t>
        </is>
      </c>
    </row>
    <row r="807">
      <c r="A807" s="51" t="inlineStr">
        <is>
          <t>Shanghai Airport Investment Corporation Limited</t>
        </is>
      </c>
      <c r="B807" s="243" t="n">
        <v>1</v>
      </c>
      <c r="C807" s="245" t="n">
        <v>0</v>
      </c>
      <c r="D807" s="246" t="n">
        <v>0</v>
      </c>
      <c r="E807" s="246" t="n">
        <v>8.199999999999999</v>
      </c>
      <c r="F807" s="246" t="n">
        <v>17.1</v>
      </c>
      <c r="G807" s="246" t="n">
        <v>9.300000000000001</v>
      </c>
      <c r="H807" s="246" t="n">
        <v>8.199999999999999</v>
      </c>
      <c r="I807" s="246" t="n">
        <v>17.1</v>
      </c>
      <c r="J807" s="246" t="n">
        <v>9.300000000000001</v>
      </c>
      <c r="K807" s="247" t="inlineStr">
        <is>
          <t>1880 CTG DUTY-FREE</t>
        </is>
      </c>
    </row>
    <row r="808">
      <c r="A808" s="51" t="inlineStr">
        <is>
          <t>Jumpcan International Co., Ltd</t>
        </is>
      </c>
      <c r="B808" s="243" t="n">
        <v>1</v>
      </c>
      <c r="C808" s="245" t="n">
        <v>0</v>
      </c>
      <c r="D808" s="246" t="n">
        <v>0</v>
      </c>
      <c r="E808" s="246" t="n">
        <v>0.3</v>
      </c>
      <c r="F808" s="246" t="n">
        <v>-1</v>
      </c>
      <c r="G808" s="246" t="n">
        <v>0</v>
      </c>
      <c r="H808" s="246" t="n">
        <v>0.3</v>
      </c>
      <c r="I808" s="246" t="n">
        <v>-1</v>
      </c>
      <c r="J808" s="246" t="n">
        <v>0</v>
      </c>
      <c r="K808" s="247" t="inlineStr">
        <is>
          <t>9886 DINGDANG HEALTH</t>
        </is>
      </c>
    </row>
    <row r="809">
      <c r="A809" s="51" t="inlineStr">
        <is>
          <t>Changzhou Jingce New Energy Tech Co., Ltd</t>
        </is>
      </c>
      <c r="B809" s="243" t="n">
        <v>1</v>
      </c>
      <c r="C809" s="245" t="n">
        <v>0</v>
      </c>
      <c r="D809" s="246" t="n">
        <v>0</v>
      </c>
      <c r="E809" s="246" t="n">
        <v>-2.6</v>
      </c>
      <c r="F809" s="246" t="n">
        <v>-37.8</v>
      </c>
      <c r="G809" s="246" t="n">
        <v>-45.8</v>
      </c>
      <c r="H809" s="246" t="n">
        <v>-2.6</v>
      </c>
      <c r="I809" s="246" t="n">
        <v>-37.8</v>
      </c>
      <c r="J809" s="246" t="n">
        <v>-45.8</v>
      </c>
      <c r="K809" s="247" t="inlineStr">
        <is>
          <t>3931 CALB</t>
        </is>
      </c>
    </row>
    <row r="810">
      <c r="A810" s="51" t="inlineStr">
        <is>
          <t>Hans Laser Technology Co., Limited</t>
        </is>
      </c>
      <c r="B810" s="243" t="n">
        <v>1</v>
      </c>
      <c r="C810" s="245" t="n">
        <v>0</v>
      </c>
      <c r="D810" s="246" t="n">
        <v>0</v>
      </c>
      <c r="E810" s="246" t="n">
        <v>-2.6</v>
      </c>
      <c r="F810" s="246" t="n">
        <v>-37.8</v>
      </c>
      <c r="G810" s="246" t="n">
        <v>-45.8</v>
      </c>
      <c r="H810" s="246" t="n">
        <v>-2.6</v>
      </c>
      <c r="I810" s="246" t="n">
        <v>-37.8</v>
      </c>
      <c r="J810" s="246" t="n">
        <v>-45.8</v>
      </c>
      <c r="K810" s="247" t="inlineStr">
        <is>
          <t>3931 CALB</t>
        </is>
      </c>
    </row>
    <row r="811">
      <c r="A811" s="51" t="inlineStr">
        <is>
          <t>Jiangmen New Energy</t>
        </is>
      </c>
      <c r="B811" s="243" t="n">
        <v>1</v>
      </c>
      <c r="C811" s="245" t="n">
        <v>0</v>
      </c>
      <c r="D811" s="246" t="n">
        <v>0</v>
      </c>
      <c r="E811" s="246" t="n">
        <v>-2.6</v>
      </c>
      <c r="F811" s="246" t="n">
        <v>-37.8</v>
      </c>
      <c r="G811" s="246" t="n">
        <v>-45.8</v>
      </c>
      <c r="H811" s="246" t="n">
        <v>-2.6</v>
      </c>
      <c r="I811" s="246" t="n">
        <v>-37.8</v>
      </c>
      <c r="J811" s="246" t="n">
        <v>-45.8</v>
      </c>
      <c r="K811" s="247" t="inlineStr">
        <is>
          <t>3931 CALB</t>
        </is>
      </c>
    </row>
    <row r="812">
      <c r="A812" s="51" t="inlineStr">
        <is>
          <t>Lv Lizhi</t>
        </is>
      </c>
      <c r="B812" s="243" t="n">
        <v>1</v>
      </c>
      <c r="C812" s="245" t="n">
        <v>0</v>
      </c>
      <c r="D812" s="246" t="n">
        <v>0</v>
      </c>
      <c r="E812" s="246" t="n">
        <v>-2.6</v>
      </c>
      <c r="F812" s="246" t="n">
        <v>-37.8</v>
      </c>
      <c r="G812" s="246" t="n">
        <v>-45.8</v>
      </c>
      <c r="H812" s="246" t="n">
        <v>-2.6</v>
      </c>
      <c r="I812" s="246" t="n">
        <v>-37.8</v>
      </c>
      <c r="J812" s="246" t="n">
        <v>-45.8</v>
      </c>
      <c r="K812" s="247" t="inlineStr">
        <is>
          <t>3931 CALB</t>
        </is>
      </c>
    </row>
    <row r="813">
      <c r="A813" s="51" t="inlineStr">
        <is>
          <t>Tianqi Lithium HK Co., Limited</t>
        </is>
      </c>
      <c r="B813" s="243" t="n">
        <v>1</v>
      </c>
      <c r="C813" s="245" t="n">
        <v>0</v>
      </c>
      <c r="D813" s="246" t="n">
        <v>0</v>
      </c>
      <c r="E813" s="246" t="n">
        <v>-2.6</v>
      </c>
      <c r="F813" s="246" t="n">
        <v>-37.8</v>
      </c>
      <c r="G813" s="246" t="n">
        <v>-45.8</v>
      </c>
      <c r="H813" s="246" t="n">
        <v>-2.6</v>
      </c>
      <c r="I813" s="246" t="n">
        <v>-37.8</v>
      </c>
      <c r="J813" s="246" t="n">
        <v>-45.8</v>
      </c>
      <c r="K813" s="247" t="inlineStr">
        <is>
          <t>3931 CALB</t>
        </is>
      </c>
    </row>
    <row r="814">
      <c r="A814" s="51" t="inlineStr">
        <is>
          <t>TMA International PTE. LTD</t>
        </is>
      </c>
      <c r="B814" s="243" t="n">
        <v>1</v>
      </c>
      <c r="C814" s="245" t="n">
        <v>0</v>
      </c>
      <c r="D814" s="246" t="n">
        <v>0</v>
      </c>
      <c r="E814" s="246" t="n">
        <v>-2.6</v>
      </c>
      <c r="F814" s="246" t="n">
        <v>-37.8</v>
      </c>
      <c r="G814" s="246" t="n">
        <v>-45.8</v>
      </c>
      <c r="H814" s="246" t="n">
        <v>-2.6</v>
      </c>
      <c r="I814" s="246" t="n">
        <v>-37.8</v>
      </c>
      <c r="J814" s="246" t="n">
        <v>-45.8</v>
      </c>
      <c r="K814" s="247" t="inlineStr">
        <is>
          <t>3931 CALB</t>
        </is>
      </c>
    </row>
    <row r="815">
      <c r="A815" s="51" t="inlineStr">
        <is>
          <t>Wang Sing International Resources Limited</t>
        </is>
      </c>
      <c r="B815" s="243" t="n">
        <v>1</v>
      </c>
      <c r="C815" s="245" t="n">
        <v>0</v>
      </c>
      <c r="D815" s="246" t="n">
        <v>0</v>
      </c>
      <c r="E815" s="246" t="n">
        <v>-2.6</v>
      </c>
      <c r="F815" s="246" t="n">
        <v>-37.8</v>
      </c>
      <c r="G815" s="246" t="n">
        <v>-45.8</v>
      </c>
      <c r="H815" s="246" t="n">
        <v>-2.6</v>
      </c>
      <c r="I815" s="246" t="n">
        <v>-37.8</v>
      </c>
      <c r="J815" s="246" t="n">
        <v>-45.8</v>
      </c>
      <c r="K815" s="247" t="inlineStr">
        <is>
          <t>3931 CALB</t>
        </is>
      </c>
    </row>
    <row r="816">
      <c r="A816" s="51" t="inlineStr">
        <is>
          <t>XING FA (HONG KONG) IMP.&amp;EXP. LIMITED</t>
        </is>
      </c>
      <c r="B816" s="243" t="n">
        <v>1</v>
      </c>
      <c r="C816" s="245" t="n">
        <v>0</v>
      </c>
      <c r="D816" s="246" t="n">
        <v>0</v>
      </c>
      <c r="E816" s="246" t="n">
        <v>-2.6</v>
      </c>
      <c r="F816" s="246" t="n">
        <v>-37.8</v>
      </c>
      <c r="G816" s="246" t="n">
        <v>-45.8</v>
      </c>
      <c r="H816" s="246" t="n">
        <v>-2.6</v>
      </c>
      <c r="I816" s="246" t="n">
        <v>-37.8</v>
      </c>
      <c r="J816" s="246" t="n">
        <v>-45.8</v>
      </c>
      <c r="K816" s="247" t="inlineStr">
        <is>
          <t>3931 CALB</t>
        </is>
      </c>
    </row>
    <row r="817">
      <c r="A817" s="51" t="inlineStr">
        <is>
          <t>XPeng Inc</t>
        </is>
      </c>
      <c r="B817" s="243" t="n">
        <v>1</v>
      </c>
      <c r="C817" s="245" t="n">
        <v>0</v>
      </c>
      <c r="D817" s="246" t="n">
        <v>0</v>
      </c>
      <c r="E817" s="246" t="n">
        <v>-2.6</v>
      </c>
      <c r="F817" s="246" t="n">
        <v>-37.8</v>
      </c>
      <c r="G817" s="246" t="n">
        <v>-45.8</v>
      </c>
      <c r="H817" s="246" t="n">
        <v>-2.6</v>
      </c>
      <c r="I817" s="246" t="n">
        <v>-37.8</v>
      </c>
      <c r="J817" s="246" t="n">
        <v>-45.8</v>
      </c>
      <c r="K817" s="247" t="inlineStr">
        <is>
          <t>3931 CALB</t>
        </is>
      </c>
    </row>
    <row r="818">
      <c r="A818" s="51" t="inlineStr">
        <is>
          <t>Zhenshi Group (HK) Heshi Composite Materials Co., Limited</t>
        </is>
      </c>
      <c r="B818" s="243" t="n">
        <v>1</v>
      </c>
      <c r="C818" s="245" t="n">
        <v>0</v>
      </c>
      <c r="D818" s="246" t="n">
        <v>0</v>
      </c>
      <c r="E818" s="246" t="n">
        <v>-2.6</v>
      </c>
      <c r="F818" s="246" t="n">
        <v>-37.8</v>
      </c>
      <c r="G818" s="246" t="n">
        <v>-45.8</v>
      </c>
      <c r="H818" s="246" t="n">
        <v>-2.6</v>
      </c>
      <c r="I818" s="246" t="n">
        <v>-37.8</v>
      </c>
      <c r="J818" s="246" t="n">
        <v>-45.8</v>
      </c>
      <c r="K818" s="247" t="inlineStr">
        <is>
          <t>3931 CALB</t>
        </is>
      </c>
    </row>
    <row r="819">
      <c r="A819" s="51" t="inlineStr">
        <is>
          <t>Shanghai Lingang Economic Development Group Investment Management Co., Ltd.*</t>
        </is>
      </c>
      <c r="B819" s="243" t="n">
        <v>1</v>
      </c>
      <c r="C819" s="245" t="n">
        <v>0</v>
      </c>
      <c r="D819" s="246" t="n">
        <v>0</v>
      </c>
      <c r="E819" s="246" t="n">
        <v>-5.5</v>
      </c>
      <c r="F819" s="246" t="n">
        <v>-0.2</v>
      </c>
      <c r="G819" s="246" t="n">
        <v>-0.5</v>
      </c>
      <c r="H819" s="246" t="n">
        <v>-5.5</v>
      </c>
      <c r="I819" s="246" t="n">
        <v>-0.2</v>
      </c>
      <c r="J819" s="246" t="n">
        <v>-0.5</v>
      </c>
      <c r="K819" s="247" t="inlineStr">
        <is>
          <t>2291 SCIENTECH</t>
        </is>
      </c>
    </row>
    <row r="820">
      <c r="A820" s="51" t="inlineStr">
        <is>
          <t>GEM Hong Kong International Co., Limited</t>
        </is>
      </c>
      <c r="B820" s="243" t="n">
        <v>1</v>
      </c>
      <c r="C820" s="245" t="n">
        <v>0</v>
      </c>
      <c r="D820" s="246" t="n">
        <v>0</v>
      </c>
      <c r="E820" s="246" t="n">
        <v>-3.7</v>
      </c>
      <c r="F820" s="246" t="n">
        <v>1.1</v>
      </c>
      <c r="G820" s="246" t="n">
        <v>-19.4</v>
      </c>
      <c r="H820" s="246" t="n">
        <v>-3.7</v>
      </c>
      <c r="I820" s="246" t="n">
        <v>1.1</v>
      </c>
      <c r="J820" s="246" t="n">
        <v>-19.4</v>
      </c>
      <c r="K820" s="247" t="inlineStr">
        <is>
          <t>2245 LYGEND RESOURCE</t>
        </is>
      </c>
    </row>
    <row r="821">
      <c r="A821" s="51" t="inlineStr">
        <is>
          <t>CL Kiwi Holding Ltd</t>
        </is>
      </c>
      <c r="B821" s="243" t="n">
        <v>1</v>
      </c>
      <c r="C821" s="245" t="n">
        <v>0</v>
      </c>
      <c r="D821" s="246" t="n">
        <v>0</v>
      </c>
      <c r="E821" s="246" t="n">
        <v>0</v>
      </c>
      <c r="F821" s="246" t="n">
        <v>-2.7</v>
      </c>
      <c r="G821" s="246" t="n">
        <v>-4.3</v>
      </c>
      <c r="H821" s="246" t="n">
        <v>0</v>
      </c>
      <c r="I821" s="246" t="n">
        <v>-2.7</v>
      </c>
      <c r="J821" s="246" t="n">
        <v>-4.3</v>
      </c>
      <c r="K821" s="247" t="inlineStr">
        <is>
          <t>2407 GAUSH MEDITECH</t>
        </is>
      </c>
    </row>
    <row r="822">
      <c r="A822" s="51" t="inlineStr">
        <is>
          <t>Fu Heliang</t>
        </is>
      </c>
      <c r="B822" s="243" t="n">
        <v>1</v>
      </c>
      <c r="C822" s="245" t="n">
        <v>0</v>
      </c>
      <c r="D822" s="246" t="n">
        <v>0</v>
      </c>
      <c r="E822" s="246" t="n">
        <v>-17.2</v>
      </c>
      <c r="F822" s="246" t="n">
        <v>-22</v>
      </c>
      <c r="G822" s="246" t="n">
        <v>-2.3</v>
      </c>
      <c r="H822" s="246" t="n">
        <v>-17.2</v>
      </c>
      <c r="I822" s="246" t="n">
        <v>-22</v>
      </c>
      <c r="J822" s="246" t="n">
        <v>-2.3</v>
      </c>
      <c r="K822" s="247" t="inlineStr">
        <is>
          <t>6955 BOAN BIOTECH-B</t>
        </is>
      </c>
    </row>
    <row r="823">
      <c r="A823" s="51" t="inlineStr">
        <is>
          <t>Sino Biopharmaceutical Limited</t>
        </is>
      </c>
      <c r="B823" s="243" t="n">
        <v>1</v>
      </c>
      <c r="C823" s="245" t="n">
        <v>0</v>
      </c>
      <c r="D823" s="246" t="n">
        <v>0</v>
      </c>
      <c r="E823" s="246" t="n">
        <v>-17.2</v>
      </c>
      <c r="F823" s="246" t="n">
        <v>-22</v>
      </c>
      <c r="G823" s="246" t="n">
        <v>-2.3</v>
      </c>
      <c r="H823" s="246" t="n">
        <v>-17.2</v>
      </c>
      <c r="I823" s="246" t="n">
        <v>-22</v>
      </c>
      <c r="J823" s="246" t="n">
        <v>-2.3</v>
      </c>
      <c r="K823" s="247" t="inlineStr">
        <is>
          <t>6955 BOAN BIOTECH-B</t>
        </is>
      </c>
    </row>
    <row r="824">
      <c r="A824" s="51" t="inlineStr">
        <is>
          <t>Astonish Investment Pte. Ltd</t>
        </is>
      </c>
      <c r="B824" s="243" t="n">
        <v>1</v>
      </c>
      <c r="C824" s="245" t="n">
        <v>0</v>
      </c>
      <c r="D824" s="246" t="n">
        <v>0</v>
      </c>
      <c r="E824" s="246" t="n">
        <v>0</v>
      </c>
      <c r="F824" s="246" t="n">
        <v>8.199999999999999</v>
      </c>
      <c r="G824" s="246" t="n">
        <v>-0.5</v>
      </c>
      <c r="H824" s="246" t="n">
        <v>0</v>
      </c>
      <c r="I824" s="246" t="n">
        <v>8.199999999999999</v>
      </c>
      <c r="J824" s="246" t="n">
        <v>-0.5</v>
      </c>
      <c r="K824" s="247" t="inlineStr">
        <is>
          <t>2402 SINOHYTEC</t>
        </is>
      </c>
    </row>
    <row r="825">
      <c r="A825" s="51" t="inlineStr">
        <is>
          <t>Jiang Gang International Investment Company Limited</t>
        </is>
      </c>
      <c r="B825" s="243" t="n">
        <v>1</v>
      </c>
      <c r="C825" s="245" t="n">
        <v>0</v>
      </c>
      <c r="D825" s="246" t="n">
        <v>0</v>
      </c>
      <c r="E825" s="246" t="n">
        <v>-19.7</v>
      </c>
      <c r="F825" s="246" t="n">
        <v>-22.2</v>
      </c>
      <c r="G825" s="246" t="n">
        <v>-26.9</v>
      </c>
      <c r="H825" s="246" t="n">
        <v>-19.7</v>
      </c>
      <c r="I825" s="246" t="n">
        <v>-22.2</v>
      </c>
      <c r="J825" s="246" t="n">
        <v>-26.9</v>
      </c>
      <c r="K825" s="247" t="inlineStr">
        <is>
          <t>2481 WISE LIVING TEC</t>
        </is>
      </c>
    </row>
    <row r="826">
      <c r="A826" s="51" t="inlineStr">
        <is>
          <t>4399 Net Limited</t>
        </is>
      </c>
      <c r="B826" s="243" t="n">
        <v>1</v>
      </c>
      <c r="C826" s="245" t="n">
        <v>0</v>
      </c>
      <c r="D826" s="246" t="n">
        <v>0</v>
      </c>
      <c r="E826" s="246" t="n">
        <v>-3.9</v>
      </c>
      <c r="F826" s="246" t="n">
        <v>-14.3</v>
      </c>
      <c r="G826" s="246" t="n">
        <v>240.4</v>
      </c>
      <c r="H826" s="246" t="n">
        <v>-3.9</v>
      </c>
      <c r="I826" s="246" t="n">
        <v>-14.3</v>
      </c>
      <c r="J826" s="246" t="n">
        <v>240.4</v>
      </c>
      <c r="K826" s="247" t="inlineStr">
        <is>
          <t>9890 ZX INC</t>
        </is>
      </c>
    </row>
    <row r="827">
      <c r="A827" s="51" t="inlineStr">
        <is>
          <t>Aofei Data International Company Limited</t>
        </is>
      </c>
      <c r="B827" s="243" t="n">
        <v>1</v>
      </c>
      <c r="C827" s="245" t="n">
        <v>0</v>
      </c>
      <c r="D827" s="246" t="n">
        <v>0</v>
      </c>
      <c r="E827" s="246" t="n">
        <v>-3.9</v>
      </c>
      <c r="F827" s="246" t="n">
        <v>-14.3</v>
      </c>
      <c r="G827" s="246" t="n">
        <v>240.4</v>
      </c>
      <c r="H827" s="246" t="n">
        <v>-3.9</v>
      </c>
      <c r="I827" s="246" t="n">
        <v>-14.3</v>
      </c>
      <c r="J827" s="246" t="n">
        <v>240.4</v>
      </c>
      <c r="K827" s="247" t="inlineStr">
        <is>
          <t>9890 ZX INC</t>
        </is>
      </c>
    </row>
    <row r="828">
      <c r="A828" s="51" t="inlineStr">
        <is>
          <t>Hong Kong Longsin Co., Limited</t>
        </is>
      </c>
      <c r="B828" s="243" t="n">
        <v>1</v>
      </c>
      <c r="C828" s="245" t="n">
        <v>0</v>
      </c>
      <c r="D828" s="246" t="n">
        <v>0</v>
      </c>
      <c r="E828" s="246" t="n">
        <v>-3.9</v>
      </c>
      <c r="F828" s="246" t="n">
        <v>-14.3</v>
      </c>
      <c r="G828" s="246" t="n">
        <v>240.4</v>
      </c>
      <c r="H828" s="246" t="n">
        <v>-3.9</v>
      </c>
      <c r="I828" s="246" t="n">
        <v>-14.3</v>
      </c>
      <c r="J828" s="246" t="n">
        <v>240.4</v>
      </c>
      <c r="K828" s="247" t="inlineStr">
        <is>
          <t>9890 ZX INC</t>
        </is>
      </c>
    </row>
    <row r="829">
      <c r="A829" s="51" t="inlineStr">
        <is>
          <t>Shangrao High-speed Industrial Investment</t>
        </is>
      </c>
      <c r="B829" s="243" t="n">
        <v>1</v>
      </c>
      <c r="C829" s="245" t="n">
        <v>0</v>
      </c>
      <c r="D829" s="246" t="n">
        <v>0</v>
      </c>
      <c r="E829" s="246" t="n">
        <v>-3.9</v>
      </c>
      <c r="F829" s="246" t="n">
        <v>-14.3</v>
      </c>
      <c r="G829" s="246" t="n">
        <v>240.4</v>
      </c>
      <c r="H829" s="246" t="n">
        <v>-3.9</v>
      </c>
      <c r="I829" s="246" t="n">
        <v>-14.3</v>
      </c>
      <c r="J829" s="246" t="n">
        <v>240.4</v>
      </c>
      <c r="K829" s="247" t="inlineStr">
        <is>
          <t>9890 ZX INC</t>
        </is>
      </c>
    </row>
    <row r="830">
      <c r="A830" s="51" t="inlineStr">
        <is>
          <t>CELESTIAL OCEAN INVESTMENTS LIMITED</t>
        </is>
      </c>
      <c r="B830" s="243" t="n">
        <v>1</v>
      </c>
      <c r="C830" s="245" t="n">
        <v>0</v>
      </c>
      <c r="D830" s="246" t="n">
        <v>0</v>
      </c>
      <c r="E830" s="246" t="n">
        <v>3.3</v>
      </c>
      <c r="F830" s="246" t="n">
        <v>-1.2</v>
      </c>
      <c r="G830" s="246" t="n">
        <v>34</v>
      </c>
      <c r="H830" s="246" t="n">
        <v>3.3</v>
      </c>
      <c r="I830" s="246" t="n">
        <v>-1.2</v>
      </c>
      <c r="J830" s="246" t="n">
        <v>34</v>
      </c>
      <c r="K830" s="247" t="inlineStr">
        <is>
          <t>1519 J&amp;T EXPRESS-W</t>
        </is>
      </c>
    </row>
    <row r="831">
      <c r="A831" s="51" t="inlineStr">
        <is>
          <t>D1 SPV Jupiter (Hong Kong) Limited</t>
        </is>
      </c>
      <c r="B831" s="243" t="n">
        <v>1</v>
      </c>
      <c r="C831" s="245" t="n">
        <v>0</v>
      </c>
      <c r="D831" s="246" t="n">
        <v>0</v>
      </c>
      <c r="E831" s="246" t="n">
        <v>3.3</v>
      </c>
      <c r="F831" s="246" t="n">
        <v>-1.2</v>
      </c>
      <c r="G831" s="246" t="n">
        <v>34</v>
      </c>
      <c r="H831" s="246" t="n">
        <v>3.3</v>
      </c>
      <c r="I831" s="246" t="n">
        <v>-1.2</v>
      </c>
      <c r="J831" s="246" t="n">
        <v>34</v>
      </c>
      <c r="K831" s="247" t="inlineStr">
        <is>
          <t>1519 J&amp;T EXPRESS-W</t>
        </is>
      </c>
    </row>
    <row r="832">
      <c r="A832" s="51" t="inlineStr">
        <is>
          <t>Dahlia Investments Pte. Ltd</t>
        </is>
      </c>
      <c r="B832" s="243" t="n">
        <v>1</v>
      </c>
      <c r="C832" s="245" t="n">
        <v>0</v>
      </c>
      <c r="D832" s="246" t="n">
        <v>0</v>
      </c>
      <c r="E832" s="246" t="n">
        <v>3.3</v>
      </c>
      <c r="F832" s="246" t="n">
        <v>-1.2</v>
      </c>
      <c r="G832" s="246" t="n">
        <v>34</v>
      </c>
      <c r="H832" s="246" t="n">
        <v>3.3</v>
      </c>
      <c r="I832" s="246" t="n">
        <v>-1.2</v>
      </c>
      <c r="J832" s="246" t="n">
        <v>34</v>
      </c>
      <c r="K832" s="247" t="inlineStr">
        <is>
          <t>1519 J&amp;T EXPRESS-W</t>
        </is>
      </c>
    </row>
    <row r="833">
      <c r="A833" s="51" t="inlineStr">
        <is>
          <t>Hidden Hill SPV VIII</t>
        </is>
      </c>
      <c r="B833" s="243" t="n">
        <v>1</v>
      </c>
      <c r="C833" s="245" t="n">
        <v>0</v>
      </c>
      <c r="D833" s="246" t="n">
        <v>0</v>
      </c>
      <c r="E833" s="246" t="n">
        <v>3.3</v>
      </c>
      <c r="F833" s="246" t="n">
        <v>-1.2</v>
      </c>
      <c r="G833" s="246" t="n">
        <v>34</v>
      </c>
      <c r="H833" s="246" t="n">
        <v>3.3</v>
      </c>
      <c r="I833" s="246" t="n">
        <v>-1.2</v>
      </c>
      <c r="J833" s="246" t="n">
        <v>34</v>
      </c>
      <c r="K833" s="247" t="inlineStr">
        <is>
          <t>1519 J&amp;T EXPRESS-W</t>
        </is>
      </c>
    </row>
    <row r="834">
      <c r="A834" s="51" t="inlineStr">
        <is>
          <t>Jallion Global Limited</t>
        </is>
      </c>
      <c r="B834" s="243" t="n">
        <v>1</v>
      </c>
      <c r="C834" s="245" t="n">
        <v>0</v>
      </c>
      <c r="D834" s="246" t="n">
        <v>0</v>
      </c>
      <c r="E834" s="246" t="n">
        <v>3.3</v>
      </c>
      <c r="F834" s="246" t="n">
        <v>-1.2</v>
      </c>
      <c r="G834" s="246" t="n">
        <v>34</v>
      </c>
      <c r="H834" s="246" t="n">
        <v>3.3</v>
      </c>
      <c r="I834" s="246" t="n">
        <v>-1.2</v>
      </c>
      <c r="J834" s="246" t="n">
        <v>34</v>
      </c>
      <c r="K834" s="247" t="inlineStr">
        <is>
          <t>1519 J&amp;T EXPRESS-W</t>
        </is>
      </c>
    </row>
    <row r="835">
      <c r="A835" s="51" t="inlineStr">
        <is>
          <t>JNRY III HOLDINGS LIMITED</t>
        </is>
      </c>
      <c r="B835" s="243" t="n">
        <v>1</v>
      </c>
      <c r="C835" s="245" t="n">
        <v>0</v>
      </c>
      <c r="D835" s="246" t="n">
        <v>0</v>
      </c>
      <c r="E835" s="246" t="n">
        <v>3.3</v>
      </c>
      <c r="F835" s="246" t="n">
        <v>-1.2</v>
      </c>
      <c r="G835" s="246" t="n">
        <v>34</v>
      </c>
      <c r="H835" s="246" t="n">
        <v>3.3</v>
      </c>
      <c r="I835" s="246" t="n">
        <v>-1.2</v>
      </c>
      <c r="J835" s="246" t="n">
        <v>34</v>
      </c>
      <c r="K835" s="247" t="inlineStr">
        <is>
          <t>1519 J&amp;T EXPRESS-W</t>
        </is>
      </c>
    </row>
    <row r="836">
      <c r="A836" s="51" t="inlineStr">
        <is>
          <t>Joyous Tempinis Limited</t>
        </is>
      </c>
      <c r="B836" s="243" t="n">
        <v>1</v>
      </c>
      <c r="C836" s="245" t="n">
        <v>0</v>
      </c>
      <c r="D836" s="246" t="n">
        <v>0</v>
      </c>
      <c r="E836" s="246" t="n">
        <v>3.3</v>
      </c>
      <c r="F836" s="246" t="n">
        <v>-1.2</v>
      </c>
      <c r="G836" s="246" t="n">
        <v>34</v>
      </c>
      <c r="H836" s="246" t="n">
        <v>3.3</v>
      </c>
      <c r="I836" s="246" t="n">
        <v>-1.2</v>
      </c>
      <c r="J836" s="246" t="n">
        <v>34</v>
      </c>
      <c r="K836" s="247" t="inlineStr">
        <is>
          <t>1519 J&amp;T EXPRESS-W</t>
        </is>
      </c>
    </row>
    <row r="837">
      <c r="A837" s="51" t="inlineStr">
        <is>
          <t>Parallel Cluster Investment Limited</t>
        </is>
      </c>
      <c r="B837" s="243" t="n">
        <v>1</v>
      </c>
      <c r="C837" s="245" t="n">
        <v>0</v>
      </c>
      <c r="D837" s="246" t="n">
        <v>0</v>
      </c>
      <c r="E837" s="246" t="n">
        <v>3.3</v>
      </c>
      <c r="F837" s="246" t="n">
        <v>-1.2</v>
      </c>
      <c r="G837" s="246" t="n">
        <v>34</v>
      </c>
      <c r="H837" s="246" t="n">
        <v>3.3</v>
      </c>
      <c r="I837" s="246" t="n">
        <v>-1.2</v>
      </c>
      <c r="J837" s="246" t="n">
        <v>34</v>
      </c>
      <c r="K837" s="247" t="inlineStr">
        <is>
          <t>1519 J&amp;T EXPRESS-W</t>
        </is>
      </c>
    </row>
    <row r="838">
      <c r="A838" s="51" t="inlineStr">
        <is>
          <t>SC GGF III Holdco, Ltd</t>
        </is>
      </c>
      <c r="B838" s="243" t="n">
        <v>1</v>
      </c>
      <c r="C838" s="245" t="n">
        <v>0</v>
      </c>
      <c r="D838" s="246" t="n">
        <v>0</v>
      </c>
      <c r="E838" s="246" t="n">
        <v>3.3</v>
      </c>
      <c r="F838" s="246" t="n">
        <v>-1.2</v>
      </c>
      <c r="G838" s="246" t="n">
        <v>34</v>
      </c>
      <c r="H838" s="246" t="n">
        <v>3.3</v>
      </c>
      <c r="I838" s="246" t="n">
        <v>-1.2</v>
      </c>
      <c r="J838" s="246" t="n">
        <v>34</v>
      </c>
      <c r="K838" s="247" t="inlineStr">
        <is>
          <t>1519 J&amp;T EXPRESS-W</t>
        </is>
      </c>
    </row>
    <row r="839">
      <c r="A839" s="51" t="inlineStr">
        <is>
          <t>COFCO Capital Special Opportunity Fund 2 SP</t>
        </is>
      </c>
      <c r="B839" s="243" t="n">
        <v>1</v>
      </c>
      <c r="C839" s="245" t="n">
        <v>0</v>
      </c>
      <c r="D839" s="246" t="n">
        <v>0</v>
      </c>
      <c r="E839" s="246" t="n">
        <v>6.5</v>
      </c>
      <c r="F839" s="246" t="n">
        <v>22.9</v>
      </c>
      <c r="G839" s="246" t="n">
        <v>42.1</v>
      </c>
      <c r="H839" s="246" t="n">
        <v>6.5</v>
      </c>
      <c r="I839" s="246" t="n">
        <v>22.9</v>
      </c>
      <c r="J839" s="246" t="n">
        <v>42.1</v>
      </c>
      <c r="K839" s="247" t="inlineStr">
        <is>
          <t>2517 GUOQUAN</t>
        </is>
      </c>
    </row>
    <row r="840">
      <c r="A840" s="51" t="inlineStr">
        <is>
          <t>Jinding Capital Management (Shenzhen) Co., Ltd</t>
        </is>
      </c>
      <c r="B840" s="243" t="n">
        <v>1</v>
      </c>
      <c r="C840" s="245" t="n">
        <v>0</v>
      </c>
      <c r="D840" s="246" t="n">
        <v>0</v>
      </c>
      <c r="E840" s="246" t="n">
        <v>6.5</v>
      </c>
      <c r="F840" s="246" t="n">
        <v>22.9</v>
      </c>
      <c r="G840" s="246" t="n">
        <v>42.1</v>
      </c>
      <c r="H840" s="246" t="n">
        <v>6.5</v>
      </c>
      <c r="I840" s="246" t="n">
        <v>22.9</v>
      </c>
      <c r="J840" s="246" t="n">
        <v>42.1</v>
      </c>
      <c r="K840" s="247" t="inlineStr">
        <is>
          <t>2517 GUOQUAN</t>
        </is>
      </c>
    </row>
    <row r="841">
      <c r="A841" s="51" t="inlineStr">
        <is>
          <t>Mingyang Smart Energy Group Co., Ltd</t>
        </is>
      </c>
      <c r="B841" s="243" t="n">
        <v>1</v>
      </c>
      <c r="C841" s="245" t="n">
        <v>0</v>
      </c>
      <c r="D841" s="246" t="n">
        <v>0</v>
      </c>
      <c r="E841" s="246" t="n">
        <v>-5.5</v>
      </c>
      <c r="F841" s="246" t="n">
        <v>-17.4</v>
      </c>
      <c r="G841" s="246" t="n">
        <v>-11.5</v>
      </c>
      <c r="H841" s="246" t="n">
        <v>-5.5</v>
      </c>
      <c r="I841" s="246" t="n">
        <v>-17.4</v>
      </c>
      <c r="J841" s="246" t="n">
        <v>-11.5</v>
      </c>
      <c r="K841" s="247" t="inlineStr">
        <is>
          <t>2520 SHANXI INSTALL</t>
        </is>
      </c>
    </row>
    <row r="842">
      <c r="A842" s="51" t="inlineStr">
        <is>
          <t>WU Chen</t>
        </is>
      </c>
      <c r="B842" s="243" t="n">
        <v>1</v>
      </c>
      <c r="C842" s="245" t="n">
        <v>0</v>
      </c>
      <c r="D842" s="246" t="n">
        <v>0</v>
      </c>
      <c r="E842" s="246" t="n">
        <v>-5.2</v>
      </c>
      <c r="F842" s="246" t="n">
        <v>1</v>
      </c>
      <c r="G842" s="246" t="n">
        <v>3.1</v>
      </c>
      <c r="H842" s="246" t="n">
        <v>-5.2</v>
      </c>
      <c r="I842" s="246" t="n">
        <v>1</v>
      </c>
      <c r="J842" s="246" t="n">
        <v>3.1</v>
      </c>
      <c r="K842" s="247" t="inlineStr">
        <is>
          <t>1497 YAN PALACE</t>
        </is>
      </c>
    </row>
    <row r="843">
      <c r="A843" s="51" t="inlineStr">
        <is>
          <t>Shenzhen Nanshan Strategic Emerging Industries Investment Co., Ltd</t>
        </is>
      </c>
      <c r="B843" s="243" t="n">
        <v>1</v>
      </c>
      <c r="C843" s="245" t="n">
        <v>0</v>
      </c>
      <c r="D843" s="246" t="n">
        <v>0</v>
      </c>
      <c r="E843" s="246" t="n">
        <v>0</v>
      </c>
      <c r="F843" s="246" t="n">
        <v>-9.300000000000001</v>
      </c>
      <c r="G843" s="246" t="n">
        <v>-1.2</v>
      </c>
      <c r="H843" s="246" t="n">
        <v>0</v>
      </c>
      <c r="I843" s="246" t="n">
        <v>-9.300000000000001</v>
      </c>
      <c r="J843" s="246" t="n">
        <v>-1.2</v>
      </c>
      <c r="K843" s="247" t="inlineStr">
        <is>
          <t>2498 ROBOSENSE</t>
        </is>
      </c>
    </row>
    <row r="844">
      <c r="A844" s="51" t="inlineStr">
        <is>
          <t>Changshu Southeast Industrial Investment Co., Ltd.*</t>
        </is>
      </c>
      <c r="B844" s="243" t="n">
        <v>1</v>
      </c>
      <c r="C844" s="245" t="n">
        <v>0</v>
      </c>
      <c r="D844" s="246" t="n">
        <v>0</v>
      </c>
      <c r="E844" s="246" t="n">
        <v>-10.4</v>
      </c>
      <c r="F844" s="246" t="n">
        <v>-9.6</v>
      </c>
      <c r="G844" s="246" t="n">
        <v>-30.2</v>
      </c>
      <c r="H844" s="246" t="n">
        <v>-10.4</v>
      </c>
      <c r="I844" s="246" t="n">
        <v>-9.6</v>
      </c>
      <c r="J844" s="246" t="n">
        <v>-30.2</v>
      </c>
      <c r="K844" s="247" t="inlineStr">
        <is>
          <t>2507 CIRRUS</t>
        </is>
      </c>
    </row>
    <row r="845">
      <c r="A845" s="51" t="inlineStr">
        <is>
          <t>Taicang High Tech Science and Innovation Development Co., Ltd.*</t>
        </is>
      </c>
      <c r="B845" s="243" t="n">
        <v>1</v>
      </c>
      <c r="C845" s="245" t="n">
        <v>0</v>
      </c>
      <c r="D845" s="246" t="n">
        <v>0</v>
      </c>
      <c r="E845" s="246" t="n">
        <v>-10.4</v>
      </c>
      <c r="F845" s="246" t="n">
        <v>-9.6</v>
      </c>
      <c r="G845" s="246" t="n">
        <v>-30.2</v>
      </c>
      <c r="H845" s="246" t="n">
        <v>-10.4</v>
      </c>
      <c r="I845" s="246" t="n">
        <v>-9.6</v>
      </c>
      <c r="J845" s="246" t="n">
        <v>-30.2</v>
      </c>
      <c r="K845" s="247" t="inlineStr">
        <is>
          <t>2507 CIRRUS</t>
        </is>
      </c>
    </row>
    <row r="846">
      <c r="A846" s="51" t="inlineStr">
        <is>
          <t>Wise Honest Limited</t>
        </is>
      </c>
      <c r="B846" s="243" t="n">
        <v>1</v>
      </c>
      <c r="C846" s="245" t="n">
        <v>0</v>
      </c>
      <c r="D846" s="246" t="n">
        <v>0</v>
      </c>
      <c r="E846" s="246" t="n">
        <v>-5</v>
      </c>
      <c r="F846" s="246" t="n">
        <v>-1.3</v>
      </c>
      <c r="G846" s="246" t="n">
        <v>10.9</v>
      </c>
      <c r="H846" s="246" t="n">
        <v>-5</v>
      </c>
      <c r="I846" s="246" t="n">
        <v>-1.3</v>
      </c>
      <c r="J846" s="246" t="n">
        <v>10.9</v>
      </c>
      <c r="K846" s="247" t="inlineStr">
        <is>
          <t>6936 SF HOLDING</t>
        </is>
      </c>
    </row>
    <row r="847">
      <c r="A847" s="51" t="inlineStr">
        <is>
          <t>China Pacific Insurance (Group) Co., Ltd</t>
        </is>
      </c>
      <c r="B847" s="243" t="n">
        <v>1</v>
      </c>
      <c r="C847" s="245" t="n">
        <v>0</v>
      </c>
      <c r="D847" s="246" t="n">
        <v>0</v>
      </c>
      <c r="E847" s="246" t="n">
        <v>-5</v>
      </c>
      <c r="F847" s="246" t="n">
        <v>-1.3</v>
      </c>
      <c r="G847" s="246" t="n">
        <v>10.9</v>
      </c>
      <c r="H847" s="246" t="n">
        <v>-5</v>
      </c>
      <c r="I847" s="246" t="n">
        <v>-1.3</v>
      </c>
      <c r="J847" s="246" t="n">
        <v>10.9</v>
      </c>
      <c r="K847" s="247" t="inlineStr">
        <is>
          <t>6936 SF HOLDING</t>
        </is>
      </c>
    </row>
    <row r="848">
      <c r="A848" s="51" t="inlineStr">
        <is>
          <t>Xu Shihe (許世和)</t>
        </is>
      </c>
      <c r="B848" s="243" t="n">
        <v>1</v>
      </c>
      <c r="C848" s="245" t="n">
        <v>0</v>
      </c>
      <c r="D848" s="246" t="n">
        <v>0</v>
      </c>
      <c r="E848" s="246" t="n">
        <v>-14.4</v>
      </c>
      <c r="F848" s="246" t="n">
        <v>33.6</v>
      </c>
      <c r="G848" s="246" t="n">
        <v>11.2</v>
      </c>
      <c r="H848" s="246" t="n">
        <v>-14.4</v>
      </c>
      <c r="I848" s="246" t="n">
        <v>33.6</v>
      </c>
      <c r="J848" s="246" t="n">
        <v>11.2</v>
      </c>
      <c r="K848" s="247" t="inlineStr">
        <is>
          <t>2625 JIANGSU HORIZON</t>
        </is>
      </c>
    </row>
    <row r="849">
      <c r="A849" s="51" t="inlineStr">
        <is>
          <t>Yin Qin (印勤)</t>
        </is>
      </c>
      <c r="B849" s="243" t="n">
        <v>1</v>
      </c>
      <c r="C849" s="245" t="n">
        <v>0</v>
      </c>
      <c r="D849" s="246" t="n">
        <v>0</v>
      </c>
      <c r="E849" s="246" t="n">
        <v>-14.4</v>
      </c>
      <c r="F849" s="246" t="n">
        <v>33.6</v>
      </c>
      <c r="G849" s="246" t="n">
        <v>11.2</v>
      </c>
      <c r="H849" s="246" t="n">
        <v>-14.4</v>
      </c>
      <c r="I849" s="246" t="n">
        <v>33.6</v>
      </c>
      <c r="J849" s="246" t="n">
        <v>11.2</v>
      </c>
      <c r="K849" s="247" t="inlineStr">
        <is>
          <t>2625 JIANGSU HORIZON</t>
        </is>
      </c>
    </row>
    <row r="850">
      <c r="A850" s="51" t="inlineStr">
        <is>
          <t>Hu Qinghua (胡慶華)</t>
        </is>
      </c>
      <c r="B850" s="243" t="n">
        <v>1</v>
      </c>
      <c r="C850" s="245" t="n">
        <v>0</v>
      </c>
      <c r="D850" s="246" t="n">
        <v>0</v>
      </c>
      <c r="E850" s="246" t="n">
        <v>-14.4</v>
      </c>
      <c r="F850" s="246" t="n">
        <v>33.6</v>
      </c>
      <c r="G850" s="246" t="n">
        <v>11.2</v>
      </c>
      <c r="H850" s="246" t="n">
        <v>-14.4</v>
      </c>
      <c r="I850" s="246" t="n">
        <v>33.6</v>
      </c>
      <c r="J850" s="246" t="n">
        <v>11.2</v>
      </c>
      <c r="K850" s="247" t="inlineStr">
        <is>
          <t>2625 JIANGSU HORIZON</t>
        </is>
      </c>
    </row>
    <row r="851">
      <c r="A851" s="51" t="inlineStr">
        <is>
          <t>Zhu Zheng (朱政)</t>
        </is>
      </c>
      <c r="B851" s="243" t="n">
        <v>1</v>
      </c>
      <c r="C851" s="245" t="n">
        <v>0</v>
      </c>
      <c r="D851" s="246" t="n">
        <v>0</v>
      </c>
      <c r="E851" s="246" t="n">
        <v>-14.4</v>
      </c>
      <c r="F851" s="246" t="n">
        <v>33.6</v>
      </c>
      <c r="G851" s="246" t="n">
        <v>11.2</v>
      </c>
      <c r="H851" s="246" t="n">
        <v>-14.4</v>
      </c>
      <c r="I851" s="246" t="n">
        <v>33.6</v>
      </c>
      <c r="J851" s="246" t="n">
        <v>11.2</v>
      </c>
      <c r="K851" s="247" t="inlineStr">
        <is>
          <t>2625 JIANGSU HORIZON</t>
        </is>
      </c>
    </row>
    <row r="852">
      <c r="A852" s="51" t="inlineStr">
        <is>
          <t>Zhan Mingyu (詹明玉)</t>
        </is>
      </c>
      <c r="B852" s="243" t="n">
        <v>1</v>
      </c>
      <c r="C852" s="245" t="n">
        <v>0</v>
      </c>
      <c r="D852" s="246" t="n">
        <v>0</v>
      </c>
      <c r="E852" s="246" t="n">
        <v>-14.4</v>
      </c>
      <c r="F852" s="246" t="n">
        <v>33.6</v>
      </c>
      <c r="G852" s="246" t="n">
        <v>11.2</v>
      </c>
      <c r="H852" s="246" t="n">
        <v>-14.4</v>
      </c>
      <c r="I852" s="246" t="n">
        <v>33.6</v>
      </c>
      <c r="J852" s="246" t="n">
        <v>11.2</v>
      </c>
      <c r="K852" s="247" t="inlineStr">
        <is>
          <t>2625 JIANGSU HORIZON</t>
        </is>
      </c>
    </row>
    <row r="853">
      <c r="A853" s="51" t="inlineStr">
        <is>
          <t>Jiang Xianyue (江顯月)</t>
        </is>
      </c>
      <c r="B853" s="243" t="n">
        <v>1</v>
      </c>
      <c r="C853" s="245" t="n">
        <v>0</v>
      </c>
      <c r="D853" s="246" t="n">
        <v>0</v>
      </c>
      <c r="E853" s="246" t="n">
        <v>-14.4</v>
      </c>
      <c r="F853" s="246" t="n">
        <v>33.6</v>
      </c>
      <c r="G853" s="246" t="n">
        <v>11.2</v>
      </c>
      <c r="H853" s="246" t="n">
        <v>-14.4</v>
      </c>
      <c r="I853" s="246" t="n">
        <v>33.6</v>
      </c>
      <c r="J853" s="246" t="n">
        <v>11.2</v>
      </c>
      <c r="K853" s="247" t="inlineStr">
        <is>
          <t>2625 JIANGSU HORIZON</t>
        </is>
      </c>
    </row>
    <row r="854">
      <c r="A854" s="51" t="inlineStr">
        <is>
          <t>Yao Xinhua (姚新華)</t>
        </is>
      </c>
      <c r="B854" s="243" t="n">
        <v>1</v>
      </c>
      <c r="C854" s="245" t="n">
        <v>0</v>
      </c>
      <c r="D854" s="246" t="n">
        <v>0</v>
      </c>
      <c r="E854" s="246" t="n">
        <v>-14.4</v>
      </c>
      <c r="F854" s="246" t="n">
        <v>33.6</v>
      </c>
      <c r="G854" s="246" t="n">
        <v>11.2</v>
      </c>
      <c r="H854" s="246" t="n">
        <v>-14.4</v>
      </c>
      <c r="I854" s="246" t="n">
        <v>33.6</v>
      </c>
      <c r="J854" s="246" t="n">
        <v>11.2</v>
      </c>
      <c r="K854" s="247" t="inlineStr">
        <is>
          <t>2625 JIANGSU HORIZON</t>
        </is>
      </c>
    </row>
    <row r="855">
      <c r="A855" s="51" t="inlineStr">
        <is>
          <t>Guo Xia (郭霞)</t>
        </is>
      </c>
      <c r="B855" s="243" t="n">
        <v>1</v>
      </c>
      <c r="C855" s="245" t="n">
        <v>0</v>
      </c>
      <c r="D855" s="246" t="n">
        <v>0</v>
      </c>
      <c r="E855" s="246" t="n">
        <v>-14.4</v>
      </c>
      <c r="F855" s="246" t="n">
        <v>33.6</v>
      </c>
      <c r="G855" s="246" t="n">
        <v>11.2</v>
      </c>
      <c r="H855" s="246" t="n">
        <v>-14.4</v>
      </c>
      <c r="I855" s="246" t="n">
        <v>33.6</v>
      </c>
      <c r="J855" s="246" t="n">
        <v>11.2</v>
      </c>
      <c r="K855" s="247" t="inlineStr">
        <is>
          <t>2625 JIANGSU HORIZON</t>
        </is>
      </c>
    </row>
    <row r="856">
      <c r="A856" s="51" t="inlineStr">
        <is>
          <t>Lu Shouping (陸壽萍)</t>
        </is>
      </c>
      <c r="B856" s="243" t="n">
        <v>1</v>
      </c>
      <c r="C856" s="245" t="n">
        <v>0</v>
      </c>
      <c r="D856" s="246" t="n">
        <v>0</v>
      </c>
      <c r="E856" s="246" t="n">
        <v>-14.4</v>
      </c>
      <c r="F856" s="246" t="n">
        <v>33.6</v>
      </c>
      <c r="G856" s="246" t="n">
        <v>11.2</v>
      </c>
      <c r="H856" s="246" t="n">
        <v>-14.4</v>
      </c>
      <c r="I856" s="246" t="n">
        <v>33.6</v>
      </c>
      <c r="J856" s="246" t="n">
        <v>11.2</v>
      </c>
      <c r="K856" s="247" t="inlineStr">
        <is>
          <t>2625 JIANGSU HORIZON</t>
        </is>
      </c>
    </row>
    <row r="857">
      <c r="A857" s="51" t="inlineStr">
        <is>
          <t>Kan Chuanling (闞傳玲)</t>
        </is>
      </c>
      <c r="B857" s="243" t="n">
        <v>1</v>
      </c>
      <c r="C857" s="245" t="n">
        <v>0</v>
      </c>
      <c r="D857" s="246" t="n">
        <v>0</v>
      </c>
      <c r="E857" s="246" t="n">
        <v>-14.4</v>
      </c>
      <c r="F857" s="246" t="n">
        <v>33.6</v>
      </c>
      <c r="G857" s="246" t="n">
        <v>11.2</v>
      </c>
      <c r="H857" s="246" t="n">
        <v>-14.4</v>
      </c>
      <c r="I857" s="246" t="n">
        <v>33.6</v>
      </c>
      <c r="J857" s="246" t="n">
        <v>11.2</v>
      </c>
      <c r="K857" s="247" t="inlineStr">
        <is>
          <t>2625 JIANGSU HORIZON</t>
        </is>
      </c>
    </row>
    <row r="858">
      <c r="A858" s="51" t="inlineStr">
        <is>
          <t>Huang Haiyan (黃海燕)</t>
        </is>
      </c>
      <c r="B858" s="243" t="n">
        <v>1</v>
      </c>
      <c r="C858" s="245" t="n">
        <v>0</v>
      </c>
      <c r="D858" s="246" t="n">
        <v>0</v>
      </c>
      <c r="E858" s="246" t="n">
        <v>-14.4</v>
      </c>
      <c r="F858" s="246" t="n">
        <v>33.6</v>
      </c>
      <c r="G858" s="246" t="n">
        <v>11.2</v>
      </c>
      <c r="H858" s="246" t="n">
        <v>-14.4</v>
      </c>
      <c r="I858" s="246" t="n">
        <v>33.6</v>
      </c>
      <c r="J858" s="246" t="n">
        <v>11.2</v>
      </c>
      <c r="K858" s="247" t="inlineStr">
        <is>
          <t>2625 JIANGSU HORIZON</t>
        </is>
      </c>
    </row>
    <row r="859">
      <c r="A859" s="51" t="inlineStr">
        <is>
          <t>Zhen Yizuo (殷義左)</t>
        </is>
      </c>
      <c r="B859" s="243" t="n">
        <v>1</v>
      </c>
      <c r="C859" s="245" t="n">
        <v>0</v>
      </c>
      <c r="D859" s="246" t="n">
        <v>0</v>
      </c>
      <c r="E859" s="246" t="n">
        <v>-14.4</v>
      </c>
      <c r="F859" s="246" t="n">
        <v>33.6</v>
      </c>
      <c r="G859" s="246" t="n">
        <v>11.2</v>
      </c>
      <c r="H859" s="246" t="n">
        <v>-14.4</v>
      </c>
      <c r="I859" s="246" t="n">
        <v>33.6</v>
      </c>
      <c r="J859" s="246" t="n">
        <v>11.2</v>
      </c>
      <c r="K859" s="247" t="inlineStr">
        <is>
          <t>2625 JIANGSU HORIZON</t>
        </is>
      </c>
    </row>
    <row r="860">
      <c r="A860" s="51" t="inlineStr">
        <is>
          <t>Shen Zhigen (沈志艮)</t>
        </is>
      </c>
      <c r="B860" s="243" t="n">
        <v>1</v>
      </c>
      <c r="C860" s="245" t="n">
        <v>0</v>
      </c>
      <c r="D860" s="246" t="n">
        <v>0</v>
      </c>
      <c r="E860" s="246" t="n">
        <v>-14.4</v>
      </c>
      <c r="F860" s="246" t="n">
        <v>33.6</v>
      </c>
      <c r="G860" s="246" t="n">
        <v>11.2</v>
      </c>
      <c r="H860" s="246" t="n">
        <v>-14.4</v>
      </c>
      <c r="I860" s="246" t="n">
        <v>33.6</v>
      </c>
      <c r="J860" s="246" t="n">
        <v>11.2</v>
      </c>
      <c r="K860" s="247" t="inlineStr">
        <is>
          <t>2625 JIANGSU HORIZON</t>
        </is>
      </c>
    </row>
    <row r="861">
      <c r="A861" s="51" t="inlineStr">
        <is>
          <t>Xia Zhonglin (夏忠林)</t>
        </is>
      </c>
      <c r="B861" s="243" t="n">
        <v>1</v>
      </c>
      <c r="C861" s="245" t="n">
        <v>0</v>
      </c>
      <c r="D861" s="246" t="n">
        <v>0</v>
      </c>
      <c r="E861" s="246" t="n">
        <v>-14.4</v>
      </c>
      <c r="F861" s="246" t="n">
        <v>33.6</v>
      </c>
      <c r="G861" s="246" t="n">
        <v>11.2</v>
      </c>
      <c r="H861" s="246" t="n">
        <v>-14.4</v>
      </c>
      <c r="I861" s="246" t="n">
        <v>33.6</v>
      </c>
      <c r="J861" s="246" t="n">
        <v>11.2</v>
      </c>
      <c r="K861" s="247" t="inlineStr">
        <is>
          <t>2625 JIANGSU HORIZON</t>
        </is>
      </c>
    </row>
    <row r="862">
      <c r="A862" s="51" t="inlineStr">
        <is>
          <t>Shenzhen Lin Yuan Investment Management Co., Ltd. and Huatai Capital Investment Limited (in connection with Huatai Back-to-back TRS and Linyuan TRS)</t>
        </is>
      </c>
      <c r="B862" s="243" t="n">
        <v>1</v>
      </c>
      <c r="C862" s="245" t="n">
        <v>0</v>
      </c>
      <c r="D862" s="246" t="n">
        <v>0</v>
      </c>
      <c r="E862" s="246" t="n">
        <v>-12.2</v>
      </c>
      <c r="F862" s="246" t="n">
        <v>-11.9</v>
      </c>
      <c r="G862" s="246" t="n">
        <v>-26.2</v>
      </c>
      <c r="H862" s="246" t="n">
        <v>-12.2</v>
      </c>
      <c r="I862" s="246" t="n">
        <v>-11.9</v>
      </c>
      <c r="J862" s="246" t="n">
        <v>-26.2</v>
      </c>
      <c r="K862" s="247" t="inlineStr">
        <is>
          <t>9927 SERES</t>
        </is>
      </c>
    </row>
    <row r="863">
      <c r="A863" s="51" t="inlineStr">
        <is>
          <t>BESS Broadway Limited</t>
        </is>
      </c>
      <c r="B863" s="243" t="n">
        <v>1</v>
      </c>
      <c r="C863" s="245" t="n">
        <v>0</v>
      </c>
      <c r="D863" s="246" t="n">
        <v>0</v>
      </c>
      <c r="E863" s="246" t="n">
        <v>-12.2</v>
      </c>
      <c r="F863" s="246" t="n">
        <v>-11.9</v>
      </c>
      <c r="G863" s="246" t="n">
        <v>-26.2</v>
      </c>
      <c r="H863" s="246" t="n">
        <v>-12.2</v>
      </c>
      <c r="I863" s="246" t="n">
        <v>-11.9</v>
      </c>
      <c r="J863" s="246" t="n">
        <v>-26.2</v>
      </c>
      <c r="K863" s="247" t="inlineStr">
        <is>
          <t>9927 SERES</t>
        </is>
      </c>
    </row>
    <row r="864">
      <c r="A864" s="51" t="inlineStr">
        <is>
          <t>Zhink International Pte. Ltd</t>
        </is>
      </c>
      <c r="B864" s="243" t="n">
        <v>1</v>
      </c>
      <c r="C864" s="245" t="n">
        <v>0</v>
      </c>
      <c r="D864" s="246" t="n">
        <v>0</v>
      </c>
      <c r="E864" s="246" t="n">
        <v>-12.2</v>
      </c>
      <c r="F864" s="246" t="n">
        <v>-11.9</v>
      </c>
      <c r="G864" s="246" t="n">
        <v>-26.2</v>
      </c>
      <c r="H864" s="246" t="n">
        <v>-12.2</v>
      </c>
      <c r="I864" s="246" t="n">
        <v>-11.9</v>
      </c>
      <c r="J864" s="246" t="n">
        <v>-26.2</v>
      </c>
      <c r="K864" s="247" t="inlineStr">
        <is>
          <t>9927 SERES</t>
        </is>
      </c>
    </row>
    <row r="865">
      <c r="A865" s="51" t="inlineStr">
        <is>
          <t>Hichain Logistics (Hong Kong) Limited</t>
        </is>
      </c>
      <c r="B865" s="243" t="n">
        <v>1</v>
      </c>
      <c r="C865" s="245" t="n">
        <v>0</v>
      </c>
      <c r="D865" s="246" t="n">
        <v>0</v>
      </c>
      <c r="E865" s="246" t="n">
        <v>-12.2</v>
      </c>
      <c r="F865" s="246" t="n">
        <v>-11.9</v>
      </c>
      <c r="G865" s="246" t="n">
        <v>-26.2</v>
      </c>
      <c r="H865" s="246" t="n">
        <v>-12.2</v>
      </c>
      <c r="I865" s="246" t="n">
        <v>-11.9</v>
      </c>
      <c r="J865" s="246" t="n">
        <v>-26.2</v>
      </c>
      <c r="K865" s="247" t="inlineStr">
        <is>
          <t>9927 SERES</t>
        </is>
      </c>
    </row>
    <row r="866">
      <c r="A866" s="51" t="inlineStr">
        <is>
          <t>Skyler International Co., Ltd</t>
        </is>
      </c>
      <c r="B866" s="243" t="n">
        <v>1</v>
      </c>
      <c r="C866" s="245" t="n">
        <v>0</v>
      </c>
      <c r="D866" s="246" t="n">
        <v>0</v>
      </c>
      <c r="E866" s="246" t="n">
        <v>-12.2</v>
      </c>
      <c r="F866" s="246" t="n">
        <v>-11.9</v>
      </c>
      <c r="G866" s="246" t="n">
        <v>-26.2</v>
      </c>
      <c r="H866" s="246" t="n">
        <v>-12.2</v>
      </c>
      <c r="I866" s="246" t="n">
        <v>-11.9</v>
      </c>
      <c r="J866" s="246" t="n">
        <v>-26.2</v>
      </c>
      <c r="K866" s="247" t="inlineStr">
        <is>
          <t>9927 SERES</t>
        </is>
      </c>
    </row>
    <row r="867">
      <c r="A867" s="51" t="inlineStr">
        <is>
          <t>China MeiDong Auto Holdings Limited</t>
        </is>
      </c>
      <c r="B867" s="243" t="n">
        <v>1</v>
      </c>
      <c r="C867" s="245" t="n">
        <v>0</v>
      </c>
      <c r="D867" s="246" t="n">
        <v>0</v>
      </c>
      <c r="E867" s="246" t="n">
        <v>-12.2</v>
      </c>
      <c r="F867" s="246" t="n">
        <v>-11.9</v>
      </c>
      <c r="G867" s="246" t="n">
        <v>-26.2</v>
      </c>
      <c r="H867" s="246" t="n">
        <v>-12.2</v>
      </c>
      <c r="I867" s="246" t="n">
        <v>-11.9</v>
      </c>
      <c r="J867" s="246" t="n">
        <v>-26.2</v>
      </c>
      <c r="K867" s="247" t="inlineStr">
        <is>
          <t>9927 SERES</t>
        </is>
      </c>
    </row>
    <row r="868">
      <c r="A868" s="51" t="inlineStr">
        <is>
          <t>M&amp;G Investors</t>
        </is>
      </c>
      <c r="B868" s="243" t="n">
        <v>1</v>
      </c>
      <c r="C868" s="245" t="n">
        <v>0</v>
      </c>
      <c r="D868" s="246" t="n">
        <v>0</v>
      </c>
      <c r="E868" s="246" t="n">
        <v>-1.3</v>
      </c>
      <c r="F868" s="246" t="n">
        <v>-3.4</v>
      </c>
      <c r="G868" s="246" t="n">
        <v>-8.4</v>
      </c>
      <c r="H868" s="246" t="n">
        <v>-1.3</v>
      </c>
      <c r="I868" s="246" t="n">
        <v>-3.4</v>
      </c>
      <c r="J868" s="246" t="n">
        <v>-8.4</v>
      </c>
      <c r="K868" s="247" t="inlineStr">
        <is>
          <t>7618 JD INDUSTRIALS</t>
        </is>
      </c>
    </row>
    <row r="869">
      <c r="A869" s="51" t="inlineStr">
        <is>
          <t>CoreView</t>
        </is>
      </c>
      <c r="B869" s="243" t="n">
        <v>1</v>
      </c>
      <c r="C869" s="245" t="n">
        <v>0</v>
      </c>
      <c r="D869" s="246" t="n">
        <v>0</v>
      </c>
      <c r="E869" s="246" t="n">
        <v>-1.3</v>
      </c>
      <c r="F869" s="246" t="n">
        <v>-3.4</v>
      </c>
      <c r="G869" s="246" t="n">
        <v>-8.4</v>
      </c>
      <c r="H869" s="246" t="n">
        <v>-1.3</v>
      </c>
      <c r="I869" s="246" t="n">
        <v>-3.4</v>
      </c>
      <c r="J869" s="246" t="n">
        <v>-8.4</v>
      </c>
      <c r="K869" s="247" t="inlineStr">
        <is>
          <t>7618 JD INDUSTRIALS</t>
        </is>
      </c>
    </row>
    <row r="870">
      <c r="A870" s="51" t="inlineStr">
        <is>
          <t>Xin Ma Apparel International Limited</t>
        </is>
      </c>
      <c r="B870" s="243" t="n">
        <v>1</v>
      </c>
      <c r="C870" s="245" t="n">
        <v>0</v>
      </c>
      <c r="D870" s="246" t="n">
        <v>0</v>
      </c>
      <c r="E870" s="246" t="n">
        <v>20.2</v>
      </c>
      <c r="F870" s="246" t="n">
        <v>-11.2</v>
      </c>
      <c r="G870" s="246" t="n">
        <v>-28</v>
      </c>
      <c r="H870" s="246" t="n">
        <v>20.2</v>
      </c>
      <c r="I870" s="246" t="n">
        <v>-11.2</v>
      </c>
      <c r="J870" s="246" t="n">
        <v>-28</v>
      </c>
      <c r="K870" s="247" t="inlineStr">
        <is>
          <t>0600 AXERA</t>
        </is>
      </c>
    </row>
    <row r="871">
      <c r="A871" s="51" t="inlineStr">
        <is>
          <t>Desay SV Automotive Singapore Pte. Ltd</t>
        </is>
      </c>
      <c r="B871" s="243" t="n">
        <v>1</v>
      </c>
      <c r="C871" s="245" t="n">
        <v>0</v>
      </c>
      <c r="D871" s="246" t="n">
        <v>0</v>
      </c>
      <c r="E871" s="246" t="n">
        <v>20.2</v>
      </c>
      <c r="F871" s="246" t="n">
        <v>-11.2</v>
      </c>
      <c r="G871" s="246" t="n">
        <v>-28</v>
      </c>
      <c r="H871" s="246" t="n">
        <v>20.2</v>
      </c>
      <c r="I871" s="246" t="n">
        <v>-11.2</v>
      </c>
      <c r="J871" s="246" t="n">
        <v>-28</v>
      </c>
      <c r="K871" s="247" t="inlineStr">
        <is>
          <t>0600 AXERA</t>
        </is>
      </c>
    </row>
    <row r="872">
      <c r="A872" s="51" t="inlineStr">
        <is>
          <t>Jupiter Global Master Fund Ltd</t>
        </is>
      </c>
      <c r="B872" s="243" t="n">
        <v>1</v>
      </c>
      <c r="C872" s="245" t="n">
        <v>0</v>
      </c>
      <c r="D872" s="246" t="n">
        <v>0</v>
      </c>
      <c r="E872" s="246" t="n">
        <v>20.2</v>
      </c>
      <c r="F872" s="246" t="n">
        <v>-11.2</v>
      </c>
      <c r="G872" s="246" t="n">
        <v>-28</v>
      </c>
      <c r="H872" s="246" t="n">
        <v>20.2</v>
      </c>
      <c r="I872" s="246" t="n">
        <v>-11.2</v>
      </c>
      <c r="J872" s="246" t="n">
        <v>-28</v>
      </c>
      <c r="K872" s="247" t="inlineStr">
        <is>
          <t>0600 AXERA</t>
        </is>
      </c>
    </row>
    <row r="873">
      <c r="A873" s="51" t="inlineStr">
        <is>
          <t>Longhorn Note 2 and CICC Financial Trading Limited (in connection with Longhorn OTC Swaps)</t>
        </is>
      </c>
      <c r="B873" s="243" t="n">
        <v>1</v>
      </c>
      <c r="C873" s="245" t="n">
        <v>0</v>
      </c>
      <c r="D873" s="246" t="n">
        <v>0</v>
      </c>
      <c r="E873" s="246" t="n">
        <v>20.2</v>
      </c>
      <c r="F873" s="246" t="n">
        <v>-11.2</v>
      </c>
      <c r="G873" s="246" t="n">
        <v>-28</v>
      </c>
      <c r="H873" s="246" t="n">
        <v>20.2</v>
      </c>
      <c r="I873" s="246" t="n">
        <v>-11.2</v>
      </c>
      <c r="J873" s="246" t="n">
        <v>-28</v>
      </c>
      <c r="K873" s="247" t="inlineStr">
        <is>
          <t>0600 AXERA</t>
        </is>
      </c>
    </row>
    <row r="874">
      <c r="A874" s="51" t="inlineStr">
        <is>
          <t>Rome Garden Holding Limited</t>
        </is>
      </c>
      <c r="B874" s="243" t="n">
        <v>1</v>
      </c>
      <c r="C874" s="245" t="n">
        <v>0</v>
      </c>
      <c r="D874" s="246" t="n">
        <v>0</v>
      </c>
      <c r="E874" s="246" t="n">
        <v>0.6</v>
      </c>
      <c r="F874" s="246" t="n">
        <v>-9</v>
      </c>
      <c r="G874" s="246" t="n">
        <v>15.5</v>
      </c>
      <c r="H874" s="246" t="n">
        <v>0.6</v>
      </c>
      <c r="I874" s="246" t="n">
        <v>-9</v>
      </c>
      <c r="J874" s="246" t="n">
        <v>15.5</v>
      </c>
      <c r="K874" s="247" t="inlineStr">
        <is>
          <t>0470 WUXI LEAD</t>
        </is>
      </c>
    </row>
    <row r="875">
      <c r="A875" s="51" t="inlineStr">
        <is>
          <t>Marshall Wace Asia Limited</t>
        </is>
      </c>
      <c r="B875" s="243" t="n">
        <v>1</v>
      </c>
      <c r="C875" s="245" t="n">
        <v>0</v>
      </c>
      <c r="D875" s="246" t="n">
        <v>0</v>
      </c>
      <c r="E875" s="246" t="n">
        <v>-3.7</v>
      </c>
      <c r="F875" s="246" t="n">
        <v>-30.7</v>
      </c>
      <c r="G875" s="246" t="n">
        <v>-57</v>
      </c>
      <c r="H875" s="246" t="n">
        <v>-3.7</v>
      </c>
      <c r="I875" s="246" t="n">
        <v>-30.7</v>
      </c>
      <c r="J875" s="246" t="n">
        <v>-57</v>
      </c>
      <c r="K875" s="247" t="inlineStr">
        <is>
          <t>1081 DAJIN</t>
        </is>
      </c>
    </row>
    <row r="876">
      <c r="A876" s="51" t="inlineStr">
        <is>
          <t>Gaoyi Entities</t>
        </is>
      </c>
      <c r="B876" s="243" t="n">
        <v>1</v>
      </c>
      <c r="C876" s="245" t="n">
        <v>0</v>
      </c>
      <c r="D876" s="246" t="n">
        <v>0</v>
      </c>
      <c r="E876" s="246" t="n">
        <v>0.3</v>
      </c>
      <c r="F876" s="246" t="n">
        <v>-10.1</v>
      </c>
      <c r="G876" s="248" t="n"/>
      <c r="H876" s="246" t="n">
        <v>0.3</v>
      </c>
      <c r="I876" s="246" t="n">
        <v>-10.1</v>
      </c>
      <c r="J876" s="248" t="n"/>
      <c r="K876" s="247" t="inlineStr">
        <is>
          <t>6880 MOMENTA-W</t>
        </is>
      </c>
    </row>
    <row r="877">
      <c r="A877" s="51" t="inlineStr">
        <is>
          <t>Puxin Technology Limited</t>
        </is>
      </c>
      <c r="B877" s="243" t="n">
        <v>1</v>
      </c>
      <c r="C877" s="245" t="n">
        <v>0</v>
      </c>
      <c r="D877" s="246" t="n">
        <v>0</v>
      </c>
      <c r="E877" s="246" t="n">
        <v>-9.699999999999999</v>
      </c>
      <c r="F877" s="246" t="n">
        <v>-0.1</v>
      </c>
      <c r="G877" s="248" t="n"/>
      <c r="H877" s="246" t="n">
        <v>-9.699999999999999</v>
      </c>
      <c r="I877" s="246" t="n">
        <v>-0.1</v>
      </c>
      <c r="J877" s="248" t="n"/>
      <c r="K877" s="247" t="inlineStr">
        <is>
          <t>2249 NEXCHIP</t>
        </is>
      </c>
    </row>
    <row r="878">
      <c r="A878" s="51" t="inlineStr">
        <is>
          <t>Smartsens Technology (HK) Co., Limited</t>
        </is>
      </c>
      <c r="B878" s="243" t="n">
        <v>1</v>
      </c>
      <c r="C878" s="245" t="n">
        <v>0</v>
      </c>
      <c r="D878" s="246" t="n">
        <v>0</v>
      </c>
      <c r="E878" s="246" t="n">
        <v>-9.699999999999999</v>
      </c>
      <c r="F878" s="246" t="n">
        <v>-0.1</v>
      </c>
      <c r="G878" s="248" t="n"/>
      <c r="H878" s="246" t="n">
        <v>-9.699999999999999</v>
      </c>
      <c r="I878" s="246" t="n">
        <v>-0.1</v>
      </c>
      <c r="J878" s="248" t="n"/>
      <c r="K878" s="247" t="inlineStr">
        <is>
          <t>2249 NEXCHIP</t>
        </is>
      </c>
    </row>
    <row r="879">
      <c r="A879" s="51" t="inlineStr">
        <is>
          <t>Goertek (HongKong) Co., Limited</t>
        </is>
      </c>
      <c r="B879" s="243" t="n">
        <v>1</v>
      </c>
      <c r="C879" s="245" t="n">
        <v>0</v>
      </c>
      <c r="D879" s="246" t="n">
        <v>0</v>
      </c>
      <c r="E879" s="246" t="n">
        <v>-9.699999999999999</v>
      </c>
      <c r="F879" s="246" t="n">
        <v>-0.1</v>
      </c>
      <c r="G879" s="248" t="n"/>
      <c r="H879" s="246" t="n">
        <v>-9.699999999999999</v>
      </c>
      <c r="I879" s="246" t="n">
        <v>-0.1</v>
      </c>
      <c r="J879" s="248" t="n"/>
      <c r="K879" s="247" t="inlineStr">
        <is>
          <t>2249 NEXCHIP</t>
        </is>
      </c>
    </row>
    <row r="880">
      <c r="A880" s="51" t="inlineStr">
        <is>
          <t>Arrow Target Investment L.P</t>
        </is>
      </c>
      <c r="B880" s="243" t="n">
        <v>1</v>
      </c>
      <c r="C880" s="245" t="n">
        <v>0</v>
      </c>
      <c r="D880" s="246" t="n">
        <v>0</v>
      </c>
      <c r="E880" s="246" t="n">
        <v>0</v>
      </c>
      <c r="F880" s="246" t="n">
        <v>1.5</v>
      </c>
      <c r="G880" s="248" t="n"/>
      <c r="H880" s="246" t="n">
        <v>0</v>
      </c>
      <c r="I880" s="246" t="n">
        <v>1.5</v>
      </c>
      <c r="J880" s="248" t="n"/>
      <c r="K880" s="247" t="inlineStr">
        <is>
          <t>3223 INGENIC</t>
        </is>
      </c>
    </row>
    <row r="881">
      <c r="A881" s="51" t="inlineStr">
        <is>
          <t>Emerald Prime Group Limited</t>
        </is>
      </c>
      <c r="B881" s="243" t="n">
        <v>1</v>
      </c>
      <c r="C881" s="245" t="n">
        <v>0</v>
      </c>
      <c r="D881" s="246" t="n">
        <v>0</v>
      </c>
      <c r="E881" s="246" t="n">
        <v>0</v>
      </c>
      <c r="F881" s="246" t="n">
        <v>1.5</v>
      </c>
      <c r="G881" s="248" t="n"/>
      <c r="H881" s="246" t="n">
        <v>0</v>
      </c>
      <c r="I881" s="246" t="n">
        <v>1.5</v>
      </c>
      <c r="J881" s="248" t="n"/>
      <c r="K881" s="247" t="inlineStr">
        <is>
          <t>3223 INGENIC</t>
        </is>
      </c>
    </row>
    <row r="882">
      <c r="A882" s="51" t="inlineStr">
        <is>
          <t>Heading Pioneer 10 Fund LPF</t>
        </is>
      </c>
      <c r="B882" s="243" t="n">
        <v>1</v>
      </c>
      <c r="C882" s="245" t="n">
        <v>0</v>
      </c>
      <c r="D882" s="246" t="n">
        <v>0</v>
      </c>
      <c r="E882" s="246" t="n">
        <v>0</v>
      </c>
      <c r="F882" s="246" t="n">
        <v>1.5</v>
      </c>
      <c r="G882" s="248" t="n"/>
      <c r="H882" s="246" t="n">
        <v>0</v>
      </c>
      <c r="I882" s="246" t="n">
        <v>1.5</v>
      </c>
      <c r="J882" s="248" t="n"/>
      <c r="K882" s="247" t="inlineStr">
        <is>
          <t>3223 INGENIC</t>
        </is>
      </c>
    </row>
    <row r="883">
      <c r="A883" s="51" t="inlineStr">
        <is>
          <t>Agora, Inc</t>
        </is>
      </c>
      <c r="B883" s="243" t="n">
        <v>1</v>
      </c>
      <c r="C883" s="245" t="n">
        <v>0</v>
      </c>
      <c r="D883" s="246" t="n">
        <v>-0.1</v>
      </c>
      <c r="E883" s="246" t="n">
        <v>2.7</v>
      </c>
      <c r="F883" s="246" t="n">
        <v>-19.1</v>
      </c>
      <c r="G883" s="246" t="n">
        <v>-22.3</v>
      </c>
      <c r="H883" s="246" t="n">
        <v>2.8</v>
      </c>
      <c r="I883" s="246" t="n">
        <v>-19</v>
      </c>
      <c r="J883" s="246" t="n">
        <v>-22.2</v>
      </c>
      <c r="K883" s="247" t="inlineStr">
        <is>
          <t>2167 TI CLOUD</t>
        </is>
      </c>
    </row>
    <row r="884">
      <c r="A884" s="51" t="inlineStr">
        <is>
          <t>Platinum Investment Management Limited</t>
        </is>
      </c>
      <c r="B884" s="243" t="n">
        <v>1</v>
      </c>
      <c r="C884" s="245" t="n">
        <v>0</v>
      </c>
      <c r="D884" s="246" t="n">
        <v>-0.1</v>
      </c>
      <c r="E884" s="246" t="n">
        <v>2.7</v>
      </c>
      <c r="F884" s="246" t="n">
        <v>-19.1</v>
      </c>
      <c r="G884" s="246" t="n">
        <v>-22.3</v>
      </c>
      <c r="H884" s="246" t="n">
        <v>2.8</v>
      </c>
      <c r="I884" s="246" t="n">
        <v>-19</v>
      </c>
      <c r="J884" s="246" t="n">
        <v>-22.2</v>
      </c>
      <c r="K884" s="247" t="inlineStr">
        <is>
          <t>2167 TI CLOUD</t>
        </is>
      </c>
    </row>
    <row r="885">
      <c r="A885" s="51" t="inlineStr">
        <is>
          <t>Chiyu International Capital Limited</t>
        </is>
      </c>
      <c r="B885" s="243" t="n">
        <v>1</v>
      </c>
      <c r="C885" s="245" t="n">
        <v>0</v>
      </c>
      <c r="D885" s="246" t="n">
        <v>-0.1</v>
      </c>
      <c r="E885" s="246" t="n">
        <v>-0.1</v>
      </c>
      <c r="F885" s="246" t="n">
        <v>-27.3</v>
      </c>
      <c r="G885" s="246" t="n">
        <v>-29.1</v>
      </c>
      <c r="H885" s="246" t="n">
        <v>0</v>
      </c>
      <c r="I885" s="246" t="n">
        <v>-27.2</v>
      </c>
      <c r="J885" s="246" t="n">
        <v>-29</v>
      </c>
      <c r="K885" s="247" t="inlineStr">
        <is>
          <t>2152 SUXIN SERVICES</t>
        </is>
      </c>
    </row>
    <row r="886">
      <c r="A886" s="51" t="inlineStr">
        <is>
          <t>6 (through GF SecuritiesA sset Manageme nt (Guangdong) Co., Ltd as the qualified domestic institutional investor) Taikang Life Insurance Co., Ltd</t>
        </is>
      </c>
      <c r="B886" s="243" t="n">
        <v>1</v>
      </c>
      <c r="C886" s="245" t="n">
        <v>0</v>
      </c>
      <c r="D886" s="246" t="n">
        <v>-0.1</v>
      </c>
      <c r="E886" s="246" t="n">
        <v>11.6</v>
      </c>
      <c r="F886" s="246" t="n">
        <v>26.5</v>
      </c>
      <c r="G886" s="246" t="n">
        <v>70.3</v>
      </c>
      <c r="H886" s="246" t="n">
        <v>11.8</v>
      </c>
      <c r="I886" s="246" t="n">
        <v>26.7</v>
      </c>
      <c r="J886" s="246" t="n">
        <v>70.59999999999999</v>
      </c>
      <c r="K886" s="247" t="inlineStr">
        <is>
          <t>2050 SANHUA</t>
        </is>
      </c>
    </row>
    <row r="887">
      <c r="A887" s="51" t="inlineStr">
        <is>
          <t>Dongsheng Pulead Technology and Guotai Junan Investments (Hong Kong) Limited (in connection with Dongsheng Pulead OTC Swaps)</t>
        </is>
      </c>
      <c r="B887" s="243" t="n">
        <v>1</v>
      </c>
      <c r="C887" s="245" t="n">
        <v>0</v>
      </c>
      <c r="D887" s="246" t="n">
        <v>-0.1</v>
      </c>
      <c r="E887" s="246" t="n">
        <v>-10.9</v>
      </c>
      <c r="F887" s="246" t="n">
        <v>-22.6</v>
      </c>
      <c r="G887" s="246" t="n">
        <v>2.5</v>
      </c>
      <c r="H887" s="246" t="n">
        <v>-10.8</v>
      </c>
      <c r="I887" s="246" t="n">
        <v>-22.6</v>
      </c>
      <c r="J887" s="246" t="n">
        <v>2.6</v>
      </c>
      <c r="K887" s="247" t="inlineStr">
        <is>
          <t>2579 CNGR</t>
        </is>
      </c>
    </row>
    <row r="888">
      <c r="A888" s="51" t="inlineStr">
        <is>
          <t>Shining Light Grace Limited</t>
        </is>
      </c>
      <c r="B888" s="243" t="n">
        <v>1</v>
      </c>
      <c r="C888" s="245" t="n">
        <v>0</v>
      </c>
      <c r="D888" s="246" t="n">
        <v>-0.1</v>
      </c>
      <c r="E888" s="246" t="n">
        <v>-14.2</v>
      </c>
      <c r="F888" s="246" t="n">
        <v>7.3</v>
      </c>
      <c r="G888" s="246" t="n">
        <v>-29.3</v>
      </c>
      <c r="H888" s="246" t="n">
        <v>-14.1</v>
      </c>
      <c r="I888" s="246" t="n">
        <v>7.5</v>
      </c>
      <c r="J888" s="246" t="n">
        <v>-29.2</v>
      </c>
      <c r="K888" s="247" t="inlineStr">
        <is>
          <t>3887 HASHKEY HLDGS</t>
        </is>
      </c>
    </row>
    <row r="889">
      <c r="A889" s="51" t="inlineStr">
        <is>
          <t>Exclusive Depot Limited</t>
        </is>
      </c>
      <c r="B889" s="243" t="n">
        <v>1</v>
      </c>
      <c r="C889" s="245" t="n">
        <v>0</v>
      </c>
      <c r="D889" s="246" t="n">
        <v>-0.1</v>
      </c>
      <c r="E889" s="246" t="n">
        <v>-16.7</v>
      </c>
      <c r="F889" s="246" t="n">
        <v>-36.5</v>
      </c>
      <c r="G889" s="248" t="n"/>
      <c r="H889" s="246" t="n">
        <v>-16.6</v>
      </c>
      <c r="I889" s="246" t="n">
        <v>-36.4</v>
      </c>
      <c r="J889" s="248" t="n"/>
      <c r="K889" s="247" t="inlineStr">
        <is>
          <t>0625 SHEIN-W</t>
        </is>
      </c>
    </row>
    <row r="890">
      <c r="A890" s="51" t="inlineStr">
        <is>
          <t>Glodon (Hongkong) Software Limited</t>
        </is>
      </c>
      <c r="B890" s="243" t="n">
        <v>1</v>
      </c>
      <c r="C890" s="245" t="n">
        <v>0</v>
      </c>
      <c r="D890" s="246" t="n">
        <v>-0.2</v>
      </c>
      <c r="E890" s="246" t="n">
        <v>-9.300000000000001</v>
      </c>
      <c r="F890" s="246" t="n">
        <v>-31.3</v>
      </c>
      <c r="G890" s="246" t="n">
        <v>-42.6</v>
      </c>
      <c r="H890" s="246" t="n">
        <v>-9.1</v>
      </c>
      <c r="I890" s="246" t="n">
        <v>-31.1</v>
      </c>
      <c r="J890" s="246" t="n">
        <v>-42.5</v>
      </c>
      <c r="K890" s="247" t="inlineStr">
        <is>
          <t>2210 BEIJING JIAYE</t>
        </is>
      </c>
    </row>
    <row r="891">
      <c r="A891" s="51" t="inlineStr">
        <is>
          <t>Xinhuanet Co., Ltd</t>
        </is>
      </c>
      <c r="B891" s="243" t="n">
        <v>1</v>
      </c>
      <c r="C891" s="245" t="n">
        <v>0</v>
      </c>
      <c r="D891" s="246" t="n">
        <v>-0.2</v>
      </c>
      <c r="E891" s="246" t="n">
        <v>-0.4</v>
      </c>
      <c r="F891" s="246" t="n">
        <v>-1</v>
      </c>
      <c r="G891" s="246" t="n">
        <v>-0.4</v>
      </c>
      <c r="H891" s="246" t="n">
        <v>-0.2</v>
      </c>
      <c r="I891" s="246" t="n">
        <v>-0.8</v>
      </c>
      <c r="J891" s="246" t="n">
        <v>-0.2</v>
      </c>
      <c r="K891" s="247" t="inlineStr">
        <is>
          <t>2172 MICROPORT NEURO</t>
        </is>
      </c>
    </row>
    <row r="892">
      <c r="A892" s="51" t="inlineStr">
        <is>
          <t>Epsomite Gem Investments Ltd</t>
        </is>
      </c>
      <c r="B892" s="243" t="n">
        <v>1</v>
      </c>
      <c r="C892" s="245" t="n">
        <v>0</v>
      </c>
      <c r="D892" s="246" t="n">
        <v>-0.5</v>
      </c>
      <c r="E892" s="246" t="n">
        <v>-6.9</v>
      </c>
      <c r="F892" s="246" t="n">
        <v>-13</v>
      </c>
      <c r="G892" s="246" t="n">
        <v>-31.9</v>
      </c>
      <c r="H892" s="246" t="n">
        <v>-6.5</v>
      </c>
      <c r="I892" s="246" t="n">
        <v>-12.6</v>
      </c>
      <c r="J892" s="246" t="n">
        <v>-31.6</v>
      </c>
      <c r="K892" s="247" t="inlineStr">
        <is>
          <t>2256 ABBISKO-B</t>
        </is>
      </c>
    </row>
    <row r="893">
      <c r="A893" s="51" t="inlineStr">
        <is>
          <t>Proterra Asia Food Fund 3 VCC</t>
        </is>
      </c>
      <c r="B893" s="243" t="n">
        <v>1</v>
      </c>
      <c r="C893" s="245" t="n">
        <v>0</v>
      </c>
      <c r="D893" s="246" t="n">
        <v>-0.5</v>
      </c>
      <c r="E893" s="246" t="n">
        <v>-5.8</v>
      </c>
      <c r="F893" s="246" t="n">
        <v>-23</v>
      </c>
      <c r="G893" s="246" t="n">
        <v>-47.8</v>
      </c>
      <c r="H893" s="246" t="n">
        <v>-5.3</v>
      </c>
      <c r="I893" s="246" t="n">
        <v>-22.6</v>
      </c>
      <c r="J893" s="246" t="n">
        <v>-47.6</v>
      </c>
      <c r="K893" s="247" t="inlineStr">
        <is>
          <t>2425 AUSTASIA GROUP</t>
        </is>
      </c>
    </row>
    <row r="894">
      <c r="A894" s="51" t="inlineStr">
        <is>
          <t>Well Alliance Investment Holdings Limited</t>
        </is>
      </c>
      <c r="B894" s="243" t="n">
        <v>1</v>
      </c>
      <c r="C894" s="245" t="n">
        <v>0</v>
      </c>
      <c r="D894" s="246" t="n">
        <v>-0.5</v>
      </c>
      <c r="E894" s="246" t="n">
        <v>-5.8</v>
      </c>
      <c r="F894" s="246" t="n">
        <v>-23</v>
      </c>
      <c r="G894" s="246" t="n">
        <v>-47.8</v>
      </c>
      <c r="H894" s="246" t="n">
        <v>-5.3</v>
      </c>
      <c r="I894" s="246" t="n">
        <v>-22.6</v>
      </c>
      <c r="J894" s="246" t="n">
        <v>-47.6</v>
      </c>
      <c r="K894" s="247" t="inlineStr">
        <is>
          <t>2425 AUSTASIA GROUP</t>
        </is>
      </c>
    </row>
    <row r="895">
      <c r="A895" s="51" t="inlineStr">
        <is>
          <t>Admiralty Harbour Growth Opportunities SPC SP1</t>
        </is>
      </c>
      <c r="B895" s="243" t="n">
        <v>1</v>
      </c>
      <c r="C895" s="245" t="n">
        <v>0</v>
      </c>
      <c r="D895" s="246" t="n">
        <v>-1</v>
      </c>
      <c r="E895" s="246" t="n">
        <v>-23.9</v>
      </c>
      <c r="F895" s="248" t="n"/>
      <c r="G895" s="248" t="n"/>
      <c r="H895" s="246" t="n">
        <v>-23.2</v>
      </c>
      <c r="I895" s="248" t="n"/>
      <c r="J895" s="248" t="n"/>
      <c r="K895" s="247" t="inlineStr">
        <is>
          <t>9976 LONGSYS</t>
        </is>
      </c>
    </row>
    <row r="896">
      <c r="A896" s="51" t="inlineStr">
        <is>
          <t>CQTech Limited</t>
        </is>
      </c>
      <c r="B896" s="243" t="n">
        <v>1</v>
      </c>
      <c r="C896" s="245" t="n">
        <v>0</v>
      </c>
      <c r="D896" s="246" t="n">
        <v>-1</v>
      </c>
      <c r="E896" s="246" t="n">
        <v>-23.9</v>
      </c>
      <c r="F896" s="248" t="n"/>
      <c r="G896" s="248" t="n"/>
      <c r="H896" s="246" t="n">
        <v>-23.2</v>
      </c>
      <c r="I896" s="248" t="n"/>
      <c r="J896" s="248" t="n"/>
      <c r="K896" s="247" t="inlineStr">
        <is>
          <t>9976 LONGSYS</t>
        </is>
      </c>
    </row>
    <row r="897">
      <c r="A897" s="51" t="inlineStr">
        <is>
          <t>HOSIN Global (HK) Electronics Co., Limited</t>
        </is>
      </c>
      <c r="B897" s="243" t="n">
        <v>1</v>
      </c>
      <c r="C897" s="245" t="n">
        <v>0</v>
      </c>
      <c r="D897" s="246" t="n">
        <v>-1</v>
      </c>
      <c r="E897" s="246" t="n">
        <v>-23.9</v>
      </c>
      <c r="F897" s="248" t="n"/>
      <c r="G897" s="248" t="n"/>
      <c r="H897" s="246" t="n">
        <v>-23.2</v>
      </c>
      <c r="I897" s="248" t="n"/>
      <c r="J897" s="248" t="n"/>
      <c r="K897" s="247" t="inlineStr">
        <is>
          <t>9976 LONGSYS</t>
        </is>
      </c>
    </row>
    <row r="898">
      <c r="A898" s="51" t="inlineStr">
        <is>
          <t>Ju Yuen (Hong Kong) International Limited</t>
        </is>
      </c>
      <c r="B898" s="243" t="n">
        <v>1</v>
      </c>
      <c r="C898" s="245" t="n">
        <v>0</v>
      </c>
      <c r="D898" s="246" t="n">
        <v>-1</v>
      </c>
      <c r="E898" s="246" t="n">
        <v>-23.9</v>
      </c>
      <c r="F898" s="248" t="n"/>
      <c r="G898" s="248" t="n"/>
      <c r="H898" s="246" t="n">
        <v>-23.2</v>
      </c>
      <c r="I898" s="248" t="n"/>
      <c r="J898" s="248" t="n"/>
      <c r="K898" s="247" t="inlineStr">
        <is>
          <t>9976 LONGSYS</t>
        </is>
      </c>
    </row>
    <row r="899">
      <c r="A899" s="51" t="inlineStr">
        <is>
          <t>SDMC Technology (Hong Kong) Limited</t>
        </is>
      </c>
      <c r="B899" s="243" t="n">
        <v>1</v>
      </c>
      <c r="C899" s="245" t="n">
        <v>0</v>
      </c>
      <c r="D899" s="246" t="n">
        <v>-1</v>
      </c>
      <c r="E899" s="246" t="n">
        <v>-23.9</v>
      </c>
      <c r="F899" s="248" t="n"/>
      <c r="G899" s="248" t="n"/>
      <c r="H899" s="246" t="n">
        <v>-23.2</v>
      </c>
      <c r="I899" s="248" t="n"/>
      <c r="J899" s="248" t="n"/>
      <c r="K899" s="247" t="inlineStr">
        <is>
          <t>9976 LONGSYS</t>
        </is>
      </c>
    </row>
    <row r="900">
      <c r="A900" s="51" t="inlineStr">
        <is>
          <t>Transsion International Limited</t>
        </is>
      </c>
      <c r="B900" s="243" t="n">
        <v>1</v>
      </c>
      <c r="C900" s="245" t="n">
        <v>0</v>
      </c>
      <c r="D900" s="246" t="n">
        <v>-1</v>
      </c>
      <c r="E900" s="246" t="n">
        <v>-23.9</v>
      </c>
      <c r="F900" s="248" t="n"/>
      <c r="G900" s="248" t="n"/>
      <c r="H900" s="246" t="n">
        <v>-23.2</v>
      </c>
      <c r="I900" s="248" t="n"/>
      <c r="J900" s="248" t="n"/>
      <c r="K900" s="247" t="inlineStr">
        <is>
          <t>9976 LONGSYS</t>
        </is>
      </c>
    </row>
    <row r="901">
      <c r="A901" s="51" t="inlineStr">
        <is>
          <t>YuFeng Financial Group Limited</t>
        </is>
      </c>
      <c r="B901" s="243" t="n">
        <v>1</v>
      </c>
      <c r="C901" s="245" t="n">
        <v>0</v>
      </c>
      <c r="D901" s="246" t="n">
        <v>-1</v>
      </c>
      <c r="E901" s="246" t="n">
        <v>-23.9</v>
      </c>
      <c r="F901" s="248" t="n"/>
      <c r="G901" s="248" t="n"/>
      <c r="H901" s="246" t="n">
        <v>-23.2</v>
      </c>
      <c r="I901" s="248" t="n"/>
      <c r="J901" s="248" t="n"/>
      <c r="K901" s="247" t="inlineStr">
        <is>
          <t>9976 LONGSYS</t>
        </is>
      </c>
    </row>
    <row r="902">
      <c r="A902" s="51" t="inlineStr">
        <is>
          <t>58.com Holdings Inc</t>
        </is>
      </c>
      <c r="B902" s="243" t="n">
        <v>1</v>
      </c>
      <c r="C902" s="245" t="n">
        <v>0</v>
      </c>
      <c r="D902" s="246" t="n">
        <v>-1.1</v>
      </c>
      <c r="E902" s="246" t="n">
        <v>-1.1</v>
      </c>
      <c r="F902" s="246" t="n">
        <v>-3</v>
      </c>
      <c r="G902" s="246" t="n">
        <v>-0.8</v>
      </c>
      <c r="H902" s="246" t="n">
        <v>0</v>
      </c>
      <c r="I902" s="246" t="n">
        <v>-1.9</v>
      </c>
      <c r="J902" s="246" t="n">
        <v>0.3</v>
      </c>
      <c r="K902" s="247" t="inlineStr">
        <is>
          <t>2205 KANGQIAO SER</t>
        </is>
      </c>
    </row>
    <row r="903">
      <c r="A903" s="51" t="inlineStr">
        <is>
          <t>Autobio Group Co., Ltd</t>
        </is>
      </c>
      <c r="B903" s="243" t="n">
        <v>1</v>
      </c>
      <c r="C903" s="245" t="n">
        <v>0</v>
      </c>
      <c r="D903" s="246" t="n">
        <v>-1.1</v>
      </c>
      <c r="E903" s="246" t="n">
        <v>-1.1</v>
      </c>
      <c r="F903" s="246" t="n">
        <v>-3</v>
      </c>
      <c r="G903" s="246" t="n">
        <v>-0.8</v>
      </c>
      <c r="H903" s="246" t="n">
        <v>0</v>
      </c>
      <c r="I903" s="246" t="n">
        <v>-1.9</v>
      </c>
      <c r="J903" s="246" t="n">
        <v>0.3</v>
      </c>
      <c r="K903" s="247" t="inlineStr">
        <is>
          <t>2205 KANGQIAO SER</t>
        </is>
      </c>
    </row>
    <row r="904">
      <c r="A904" s="51" t="inlineStr">
        <is>
          <t>Changsha Yufeng Technology Co., Ltd</t>
        </is>
      </c>
      <c r="B904" s="243" t="n">
        <v>1</v>
      </c>
      <c r="C904" s="245" t="n">
        <v>0</v>
      </c>
      <c r="D904" s="246" t="n">
        <v>-1.1</v>
      </c>
      <c r="E904" s="246" t="n">
        <v>-6.7</v>
      </c>
      <c r="F904" s="246" t="n">
        <v>-16.1</v>
      </c>
      <c r="G904" s="246" t="n">
        <v>-17.7</v>
      </c>
      <c r="H904" s="246" t="n">
        <v>-5.7</v>
      </c>
      <c r="I904" s="246" t="n">
        <v>-15.2</v>
      </c>
      <c r="J904" s="246" t="n">
        <v>-16.8</v>
      </c>
      <c r="K904" s="247" t="inlineStr">
        <is>
          <t>1187 COFOE MEDICAL</t>
        </is>
      </c>
    </row>
    <row r="905">
      <c r="A905" s="51" t="inlineStr">
        <is>
          <t>Mr. Dai Junan</t>
        </is>
      </c>
      <c r="B905" s="243" t="n">
        <v>1</v>
      </c>
      <c r="C905" s="245" t="n">
        <v>0</v>
      </c>
      <c r="D905" s="246" t="n">
        <v>-1.1</v>
      </c>
      <c r="E905" s="246" t="n">
        <v>-6.7</v>
      </c>
      <c r="F905" s="246" t="n">
        <v>-16.1</v>
      </c>
      <c r="G905" s="246" t="n">
        <v>-17.7</v>
      </c>
      <c r="H905" s="246" t="n">
        <v>-5.7</v>
      </c>
      <c r="I905" s="246" t="n">
        <v>-15.2</v>
      </c>
      <c r="J905" s="246" t="n">
        <v>-16.8</v>
      </c>
      <c r="K905" s="247" t="inlineStr">
        <is>
          <t>1187 COFOE MEDICAL</t>
        </is>
      </c>
    </row>
    <row r="906">
      <c r="A906" s="51" t="inlineStr">
        <is>
          <t>Mr. Huang Xuelin</t>
        </is>
      </c>
      <c r="B906" s="243" t="n">
        <v>1</v>
      </c>
      <c r="C906" s="245" t="n">
        <v>0</v>
      </c>
      <c r="D906" s="246" t="n">
        <v>-1.1</v>
      </c>
      <c r="E906" s="246" t="n">
        <v>-6.7</v>
      </c>
      <c r="F906" s="246" t="n">
        <v>-16.1</v>
      </c>
      <c r="G906" s="246" t="n">
        <v>-17.7</v>
      </c>
      <c r="H906" s="246" t="n">
        <v>-5.7</v>
      </c>
      <c r="I906" s="246" t="n">
        <v>-15.2</v>
      </c>
      <c r="J906" s="246" t="n">
        <v>-16.8</v>
      </c>
      <c r="K906" s="247" t="inlineStr">
        <is>
          <t>1187 COFOE MEDICAL</t>
        </is>
      </c>
    </row>
    <row r="907">
      <c r="A907" s="51" t="inlineStr">
        <is>
          <t>Ms. Lu Qinchao</t>
        </is>
      </c>
      <c r="B907" s="243" t="n">
        <v>1</v>
      </c>
      <c r="C907" s="245" t="n">
        <v>0</v>
      </c>
      <c r="D907" s="246" t="n">
        <v>-1.1</v>
      </c>
      <c r="E907" s="246" t="n">
        <v>-6.7</v>
      </c>
      <c r="F907" s="246" t="n">
        <v>-16.1</v>
      </c>
      <c r="G907" s="246" t="n">
        <v>-17.7</v>
      </c>
      <c r="H907" s="246" t="n">
        <v>-5.7</v>
      </c>
      <c r="I907" s="246" t="n">
        <v>-15.2</v>
      </c>
      <c r="J907" s="246" t="n">
        <v>-16.8</v>
      </c>
      <c r="K907" s="247" t="inlineStr">
        <is>
          <t>1187 COFOE MEDICAL</t>
        </is>
      </c>
    </row>
    <row r="908">
      <c r="A908" s="51" t="inlineStr">
        <is>
          <t>Sinohealth Technology Holdings Limited</t>
        </is>
      </c>
      <c r="B908" s="243" t="n">
        <v>1</v>
      </c>
      <c r="C908" s="245" t="n">
        <v>0</v>
      </c>
      <c r="D908" s="246" t="n">
        <v>-1.1</v>
      </c>
      <c r="E908" s="246" t="n">
        <v>-6.7</v>
      </c>
      <c r="F908" s="246" t="n">
        <v>-16.1</v>
      </c>
      <c r="G908" s="246" t="n">
        <v>-17.7</v>
      </c>
      <c r="H908" s="246" t="n">
        <v>-5.7</v>
      </c>
      <c r="I908" s="246" t="n">
        <v>-15.2</v>
      </c>
      <c r="J908" s="246" t="n">
        <v>-16.8</v>
      </c>
      <c r="K908" s="247" t="inlineStr">
        <is>
          <t>1187 COFOE MEDICAL</t>
        </is>
      </c>
    </row>
    <row r="909">
      <c r="A909" s="51" t="inlineStr">
        <is>
          <t>E FUND E FUND MANAGEMENT CO., LTD</t>
        </is>
      </c>
      <c r="B909" s="243" t="n">
        <v>1</v>
      </c>
      <c r="C909" s="245" t="n">
        <v>0</v>
      </c>
      <c r="D909" s="246" t="n">
        <v>-1.8</v>
      </c>
      <c r="E909" s="246" t="n">
        <v>9.9</v>
      </c>
      <c r="F909" s="246" t="n">
        <v>2.6</v>
      </c>
      <c r="G909" s="248" t="n"/>
      <c r="H909" s="246" t="n">
        <v>11.9</v>
      </c>
      <c r="I909" s="246" t="n">
        <v>4.5</v>
      </c>
      <c r="J909" s="248" t="n"/>
      <c r="K909" s="247" t="inlineStr">
        <is>
          <t>1377 DTECH</t>
        </is>
      </c>
    </row>
    <row r="910">
      <c r="A910" s="51" t="inlineStr">
        <is>
          <t>IFUND SPC — Vision IX SP</t>
        </is>
      </c>
      <c r="B910" s="243" t="n">
        <v>1</v>
      </c>
      <c r="C910" s="245" t="n">
        <v>0</v>
      </c>
      <c r="D910" s="246" t="n">
        <v>-1.8</v>
      </c>
      <c r="E910" s="246" t="n">
        <v>9.9</v>
      </c>
      <c r="F910" s="246" t="n">
        <v>2.6</v>
      </c>
      <c r="G910" s="248" t="n"/>
      <c r="H910" s="246" t="n">
        <v>11.9</v>
      </c>
      <c r="I910" s="246" t="n">
        <v>4.5</v>
      </c>
      <c r="J910" s="248" t="n"/>
      <c r="K910" s="247" t="inlineStr">
        <is>
          <t>1377 DTECH</t>
        </is>
      </c>
    </row>
    <row r="911">
      <c r="A911" s="51" t="inlineStr">
        <is>
          <t>DYNAMIC HOLDING CO., LTD</t>
        </is>
      </c>
      <c r="B911" s="243" t="n">
        <v>1</v>
      </c>
      <c r="C911" s="245" t="n">
        <v>0</v>
      </c>
      <c r="D911" s="246" t="n">
        <v>-1.8</v>
      </c>
      <c r="E911" s="246" t="n">
        <v>9.9</v>
      </c>
      <c r="F911" s="246" t="n">
        <v>2.6</v>
      </c>
      <c r="G911" s="248" t="n"/>
      <c r="H911" s="246" t="n">
        <v>11.9</v>
      </c>
      <c r="I911" s="246" t="n">
        <v>4.5</v>
      </c>
      <c r="J911" s="248" t="n"/>
      <c r="K911" s="247" t="inlineStr">
        <is>
          <t>1377 DTECH</t>
        </is>
      </c>
    </row>
    <row r="912">
      <c r="A912" s="51" t="inlineStr">
        <is>
          <t>Indigo Rainbow Limited</t>
        </is>
      </c>
      <c r="B912" s="243" t="n">
        <v>1</v>
      </c>
      <c r="C912" s="245" t="n">
        <v>0</v>
      </c>
      <c r="D912" s="246" t="n">
        <v>-1.9</v>
      </c>
      <c r="E912" s="246" t="n">
        <v>0</v>
      </c>
      <c r="F912" s="246" t="n">
        <v>7.7</v>
      </c>
      <c r="G912" s="246" t="n">
        <v>3.4</v>
      </c>
      <c r="H912" s="246" t="n">
        <v>1.9</v>
      </c>
      <c r="I912" s="246" t="n">
        <v>9.800000000000001</v>
      </c>
      <c r="J912" s="246" t="n">
        <v>5.4</v>
      </c>
      <c r="K912" s="247" t="inlineStr">
        <is>
          <t>2510 TS LINES</t>
        </is>
      </c>
    </row>
    <row r="913">
      <c r="A913" s="51" t="inlineStr">
        <is>
          <t>Hung Chi-Li</t>
        </is>
      </c>
      <c r="B913" s="243" t="n">
        <v>1</v>
      </c>
      <c r="C913" s="245" t="n">
        <v>0</v>
      </c>
      <c r="D913" s="246" t="n">
        <v>-1.9</v>
      </c>
      <c r="E913" s="246" t="n">
        <v>0</v>
      </c>
      <c r="F913" s="246" t="n">
        <v>7.7</v>
      </c>
      <c r="G913" s="246" t="n">
        <v>3.4</v>
      </c>
      <c r="H913" s="246" t="n">
        <v>1.9</v>
      </c>
      <c r="I913" s="246" t="n">
        <v>9.800000000000001</v>
      </c>
      <c r="J913" s="246" t="n">
        <v>5.4</v>
      </c>
      <c r="K913" s="247" t="inlineStr">
        <is>
          <t>2510 TS LINES</t>
        </is>
      </c>
    </row>
    <row r="914">
      <c r="A914" s="51" t="inlineStr">
        <is>
          <t>Worldwide Logistics Holding HK Limited</t>
        </is>
      </c>
      <c r="B914" s="243" t="n">
        <v>1</v>
      </c>
      <c r="C914" s="245" t="n">
        <v>0</v>
      </c>
      <c r="D914" s="246" t="n">
        <v>-1.9</v>
      </c>
      <c r="E914" s="246" t="n">
        <v>0</v>
      </c>
      <c r="F914" s="246" t="n">
        <v>7.7</v>
      </c>
      <c r="G914" s="246" t="n">
        <v>3.4</v>
      </c>
      <c r="H914" s="246" t="n">
        <v>1.9</v>
      </c>
      <c r="I914" s="246" t="n">
        <v>9.800000000000001</v>
      </c>
      <c r="J914" s="246" t="n">
        <v>5.4</v>
      </c>
      <c r="K914" s="247" t="inlineStr">
        <is>
          <t>2510 TS LINES</t>
        </is>
      </c>
    </row>
    <row r="915">
      <c r="A915" s="51" t="inlineStr">
        <is>
          <t>Metro Shine Group Limited</t>
        </is>
      </c>
      <c r="B915" s="243" t="n">
        <v>1</v>
      </c>
      <c r="C915" s="245" t="n">
        <v>0</v>
      </c>
      <c r="D915" s="246" t="n">
        <v>-1.9</v>
      </c>
      <c r="E915" s="246" t="n">
        <v>0</v>
      </c>
      <c r="F915" s="246" t="n">
        <v>7.7</v>
      </c>
      <c r="G915" s="246" t="n">
        <v>3.4</v>
      </c>
      <c r="H915" s="246" t="n">
        <v>1.9</v>
      </c>
      <c r="I915" s="246" t="n">
        <v>9.800000000000001</v>
      </c>
      <c r="J915" s="246" t="n">
        <v>5.4</v>
      </c>
      <c r="K915" s="247" t="inlineStr">
        <is>
          <t>2510 TS LINES</t>
        </is>
      </c>
    </row>
    <row r="916">
      <c r="A916" s="51" t="inlineStr">
        <is>
          <t>Wang Yi-Fen</t>
        </is>
      </c>
      <c r="B916" s="243" t="n">
        <v>1</v>
      </c>
      <c r="C916" s="245" t="n">
        <v>0</v>
      </c>
      <c r="D916" s="246" t="n">
        <v>-1.9</v>
      </c>
      <c r="E916" s="246" t="n">
        <v>0</v>
      </c>
      <c r="F916" s="246" t="n">
        <v>7.7</v>
      </c>
      <c r="G916" s="246" t="n">
        <v>3.4</v>
      </c>
      <c r="H916" s="246" t="n">
        <v>1.9</v>
      </c>
      <c r="I916" s="246" t="n">
        <v>9.800000000000001</v>
      </c>
      <c r="J916" s="246" t="n">
        <v>5.4</v>
      </c>
      <c r="K916" s="247" t="inlineStr">
        <is>
          <t>2510 TS LINES</t>
        </is>
      </c>
    </row>
    <row r="917">
      <c r="A917" s="51" t="inlineStr">
        <is>
          <t>Crane Movement Investment Limited</t>
        </is>
      </c>
      <c r="B917" s="243" t="n">
        <v>1</v>
      </c>
      <c r="C917" s="245" t="n">
        <v>0</v>
      </c>
      <c r="D917" s="246" t="n">
        <v>-1.9</v>
      </c>
      <c r="E917" s="246" t="n">
        <v>0</v>
      </c>
      <c r="F917" s="246" t="n">
        <v>7.7</v>
      </c>
      <c r="G917" s="246" t="n">
        <v>3.4</v>
      </c>
      <c r="H917" s="246" t="n">
        <v>1.9</v>
      </c>
      <c r="I917" s="246" t="n">
        <v>9.800000000000001</v>
      </c>
      <c r="J917" s="246" t="n">
        <v>5.4</v>
      </c>
      <c r="K917" s="247" t="inlineStr">
        <is>
          <t>2510 TS LINES</t>
        </is>
      </c>
    </row>
    <row r="918">
      <c r="A918" s="51" t="inlineStr">
        <is>
          <t>Invus</t>
        </is>
      </c>
      <c r="B918" s="243" t="n">
        <v>1</v>
      </c>
      <c r="C918" s="245" t="n">
        <v>0</v>
      </c>
      <c r="D918" s="246" t="n">
        <v>-1.9</v>
      </c>
      <c r="E918" s="246" t="n">
        <v>-21</v>
      </c>
      <c r="F918" s="246" t="n">
        <v>-20.9</v>
      </c>
      <c r="G918" s="248" t="n"/>
      <c r="H918" s="246" t="n">
        <v>-19.5</v>
      </c>
      <c r="I918" s="246" t="n">
        <v>-19.3</v>
      </c>
      <c r="J918" s="248" t="n"/>
      <c r="K918" s="247" t="inlineStr">
        <is>
          <t>9615 MECH-MIND ROBOT</t>
        </is>
      </c>
    </row>
    <row r="919">
      <c r="A919" s="51" t="inlineStr">
        <is>
          <t>JPMIMI</t>
        </is>
      </c>
      <c r="B919" s="243" t="n">
        <v>1</v>
      </c>
      <c r="C919" s="245" t="n">
        <v>0</v>
      </c>
      <c r="D919" s="246" t="n">
        <v>-2</v>
      </c>
      <c r="E919" s="246" t="n">
        <v>17.4</v>
      </c>
      <c r="F919" s="246" t="n">
        <v>6.1</v>
      </c>
      <c r="G919" s="248" t="n"/>
      <c r="H919" s="246" t="n">
        <v>19.9</v>
      </c>
      <c r="I919" s="246" t="n">
        <v>8.300000000000001</v>
      </c>
      <c r="J919" s="248" t="n"/>
      <c r="K919" s="247" t="inlineStr">
        <is>
          <t>3308 ZJ INNOLIGHT</t>
        </is>
      </c>
    </row>
    <row r="920">
      <c r="A920" s="51" t="inlineStr">
        <is>
          <t>YF Capital</t>
        </is>
      </c>
      <c r="B920" s="243" t="n">
        <v>1</v>
      </c>
      <c r="C920" s="245" t="n">
        <v>0</v>
      </c>
      <c r="D920" s="246" t="n">
        <v>-2</v>
      </c>
      <c r="E920" s="246" t="n">
        <v>17.4</v>
      </c>
      <c r="F920" s="246" t="n">
        <v>6.1</v>
      </c>
      <c r="G920" s="248" t="n"/>
      <c r="H920" s="246" t="n">
        <v>19.9</v>
      </c>
      <c r="I920" s="246" t="n">
        <v>8.300000000000001</v>
      </c>
      <c r="J920" s="248" t="n"/>
      <c r="K920" s="247" t="inlineStr">
        <is>
          <t>3308 ZJ INNOLIGHT</t>
        </is>
      </c>
    </row>
    <row r="921">
      <c r="A921" s="51" t="inlineStr">
        <is>
          <t>ADIA</t>
        </is>
      </c>
      <c r="B921" s="243" t="n">
        <v>1</v>
      </c>
      <c r="C921" s="245" t="n">
        <v>0</v>
      </c>
      <c r="D921" s="246" t="n">
        <v>-2</v>
      </c>
      <c r="E921" s="246" t="n">
        <v>17.4</v>
      </c>
      <c r="F921" s="246" t="n">
        <v>6.1</v>
      </c>
      <c r="G921" s="248" t="n"/>
      <c r="H921" s="246" t="n">
        <v>19.9</v>
      </c>
      <c r="I921" s="246" t="n">
        <v>8.300000000000001</v>
      </c>
      <c r="J921" s="248" t="n"/>
      <c r="K921" s="247" t="inlineStr">
        <is>
          <t>3308 ZJ INNOLIGHT</t>
        </is>
      </c>
    </row>
    <row r="922">
      <c r="A922" s="51" t="inlineStr">
        <is>
          <t>Wellington</t>
        </is>
      </c>
      <c r="B922" s="243" t="n">
        <v>1</v>
      </c>
      <c r="C922" s="245" t="n">
        <v>0</v>
      </c>
      <c r="D922" s="246" t="n">
        <v>-2</v>
      </c>
      <c r="E922" s="246" t="n">
        <v>17.4</v>
      </c>
      <c r="F922" s="246" t="n">
        <v>6.1</v>
      </c>
      <c r="G922" s="248" t="n"/>
      <c r="H922" s="246" t="n">
        <v>19.9</v>
      </c>
      <c r="I922" s="246" t="n">
        <v>8.300000000000001</v>
      </c>
      <c r="J922" s="248" t="n"/>
      <c r="K922" s="247" t="inlineStr">
        <is>
          <t>3308 ZJ INNOLIGHT</t>
        </is>
      </c>
    </row>
    <row r="923">
      <c r="A923" s="51" t="inlineStr">
        <is>
          <t>Bain Capital</t>
        </is>
      </c>
      <c r="B923" s="243" t="n">
        <v>1</v>
      </c>
      <c r="C923" s="245" t="n">
        <v>0</v>
      </c>
      <c r="D923" s="246" t="n">
        <v>-2</v>
      </c>
      <c r="E923" s="246" t="n">
        <v>17.4</v>
      </c>
      <c r="F923" s="246" t="n">
        <v>6.1</v>
      </c>
      <c r="G923" s="248" t="n"/>
      <c r="H923" s="246" t="n">
        <v>19.9</v>
      </c>
      <c r="I923" s="246" t="n">
        <v>8.300000000000001</v>
      </c>
      <c r="J923" s="248" t="n"/>
      <c r="K923" s="247" t="inlineStr">
        <is>
          <t>3308 ZJ INNOLIGHT</t>
        </is>
      </c>
    </row>
    <row r="924">
      <c r="A924" s="51" t="inlineStr">
        <is>
          <t>Tairen</t>
        </is>
      </c>
      <c r="B924" s="243" t="n">
        <v>1</v>
      </c>
      <c r="C924" s="245" t="n">
        <v>0</v>
      </c>
      <c r="D924" s="246" t="n">
        <v>-2</v>
      </c>
      <c r="E924" s="246" t="n">
        <v>17.4</v>
      </c>
      <c r="F924" s="246" t="n">
        <v>6.1</v>
      </c>
      <c r="G924" s="248" t="n"/>
      <c r="H924" s="246" t="n">
        <v>19.9</v>
      </c>
      <c r="I924" s="246" t="n">
        <v>8.300000000000001</v>
      </c>
      <c r="J924" s="248" t="n"/>
      <c r="K924" s="247" t="inlineStr">
        <is>
          <t>3308 ZJ INNOLIGHT</t>
        </is>
      </c>
    </row>
    <row r="925">
      <c r="A925" s="51" t="inlineStr">
        <is>
          <t>CP Black Dragon</t>
        </is>
      </c>
      <c r="B925" s="243" t="n">
        <v>1</v>
      </c>
      <c r="C925" s="245" t="n">
        <v>0</v>
      </c>
      <c r="D925" s="246" t="n">
        <v>-2</v>
      </c>
      <c r="E925" s="246" t="n">
        <v>17.4</v>
      </c>
      <c r="F925" s="246" t="n">
        <v>6.1</v>
      </c>
      <c r="G925" s="248" t="n"/>
      <c r="H925" s="246" t="n">
        <v>19.9</v>
      </c>
      <c r="I925" s="246" t="n">
        <v>8.300000000000001</v>
      </c>
      <c r="J925" s="248" t="n"/>
      <c r="K925" s="247" t="inlineStr">
        <is>
          <t>3308 ZJ INNOLIGHT</t>
        </is>
      </c>
    </row>
    <row r="926">
      <c r="A926" s="51" t="inlineStr">
        <is>
          <t>CTFE</t>
        </is>
      </c>
      <c r="B926" s="243" t="n">
        <v>1</v>
      </c>
      <c r="C926" s="245" t="n">
        <v>0</v>
      </c>
      <c r="D926" s="246" t="n">
        <v>-2</v>
      </c>
      <c r="E926" s="246" t="n">
        <v>17.4</v>
      </c>
      <c r="F926" s="246" t="n">
        <v>6.1</v>
      </c>
      <c r="G926" s="248" t="n"/>
      <c r="H926" s="246" t="n">
        <v>19.9</v>
      </c>
      <c r="I926" s="246" t="n">
        <v>8.300000000000001</v>
      </c>
      <c r="J926" s="248" t="n"/>
      <c r="K926" s="247" t="inlineStr">
        <is>
          <t>3308 ZJ INNOLIGHT</t>
        </is>
      </c>
    </row>
    <row r="927">
      <c r="A927" s="51" t="inlineStr">
        <is>
          <t>XINGTAI HOLDING COMPANY (HONG KONG) LIMITED</t>
        </is>
      </c>
      <c r="B927" s="243" t="n">
        <v>1</v>
      </c>
      <c r="C927" s="245" t="n">
        <v>0</v>
      </c>
      <c r="D927" s="246" t="n">
        <v>-2.1</v>
      </c>
      <c r="E927" s="246" t="n">
        <v>-1.4</v>
      </c>
      <c r="F927" s="246" t="n">
        <v>-4.5</v>
      </c>
      <c r="G927" s="246" t="n">
        <v>-6.9</v>
      </c>
      <c r="H927" s="246" t="n">
        <v>0.7</v>
      </c>
      <c r="I927" s="246" t="n">
        <v>-2.5</v>
      </c>
      <c r="J927" s="246" t="n">
        <v>-4.9</v>
      </c>
      <c r="K927" s="247" t="inlineStr">
        <is>
          <t>2482 LOGORY</t>
        </is>
      </c>
    </row>
    <row r="928">
      <c r="A928" s="51" t="inlineStr">
        <is>
          <t>NetEase, Inc</t>
        </is>
      </c>
      <c r="B928" s="243" t="n">
        <v>1</v>
      </c>
      <c r="C928" s="245" t="n">
        <v>0</v>
      </c>
      <c r="D928" s="246" t="n">
        <v>-2.5</v>
      </c>
      <c r="E928" s="246" t="n">
        <v>-2.7</v>
      </c>
      <c r="F928" s="246" t="n">
        <v>-27</v>
      </c>
      <c r="G928" s="246" t="n">
        <v>-55.1</v>
      </c>
      <c r="H928" s="246" t="n">
        <v>-0.2</v>
      </c>
      <c r="I928" s="246" t="n">
        <v>-25.2</v>
      </c>
      <c r="J928" s="246" t="n">
        <v>-54</v>
      </c>
      <c r="K928" s="247" t="inlineStr">
        <is>
          <t>9899 CLOUD VILLAGE</t>
        </is>
      </c>
    </row>
    <row r="929">
      <c r="A929" s="51" t="inlineStr">
        <is>
          <t>Orbis Investment Management Limited</t>
        </is>
      </c>
      <c r="B929" s="243" t="n">
        <v>1</v>
      </c>
      <c r="C929" s="245" t="n">
        <v>0</v>
      </c>
      <c r="D929" s="246" t="n">
        <v>-2.5</v>
      </c>
      <c r="E929" s="246" t="n">
        <v>-2.7</v>
      </c>
      <c r="F929" s="246" t="n">
        <v>-27</v>
      </c>
      <c r="G929" s="246" t="n">
        <v>-55.1</v>
      </c>
      <c r="H929" s="246" t="n">
        <v>-0.2</v>
      </c>
      <c r="I929" s="246" t="n">
        <v>-25.2</v>
      </c>
      <c r="J929" s="246" t="n">
        <v>-54</v>
      </c>
      <c r="K929" s="247" t="inlineStr">
        <is>
          <t>9899 CLOUD VILLAGE</t>
        </is>
      </c>
    </row>
    <row r="930">
      <c r="A930" s="51" t="inlineStr">
        <is>
          <t>Sony Music Entertainment</t>
        </is>
      </c>
      <c r="B930" s="243" t="n">
        <v>1</v>
      </c>
      <c r="C930" s="245" t="n">
        <v>0</v>
      </c>
      <c r="D930" s="246" t="n">
        <v>-2.5</v>
      </c>
      <c r="E930" s="246" t="n">
        <v>-2.7</v>
      </c>
      <c r="F930" s="246" t="n">
        <v>-27</v>
      </c>
      <c r="G930" s="246" t="n">
        <v>-55.1</v>
      </c>
      <c r="H930" s="246" t="n">
        <v>-0.2</v>
      </c>
      <c r="I930" s="246" t="n">
        <v>-25.2</v>
      </c>
      <c r="J930" s="246" t="n">
        <v>-54</v>
      </c>
      <c r="K930" s="247" t="inlineStr">
        <is>
          <t>9899 CLOUD VILLAGE</t>
        </is>
      </c>
    </row>
    <row r="931">
      <c r="A931" s="51" t="inlineStr">
        <is>
          <t>Oceanpine Capital Management Limited</t>
        </is>
      </c>
      <c r="B931" s="243" t="n">
        <v>1</v>
      </c>
      <c r="C931" s="245" t="n">
        <v>0</v>
      </c>
      <c r="D931" s="246" t="n">
        <v>-3</v>
      </c>
      <c r="E931" s="246" t="n">
        <v>-22.6</v>
      </c>
      <c r="F931" s="246" t="n">
        <v>-16.9</v>
      </c>
      <c r="G931" s="246" t="n">
        <v>-17.8</v>
      </c>
      <c r="H931" s="246" t="n">
        <v>-20.2</v>
      </c>
      <c r="I931" s="246" t="n">
        <v>-14.3</v>
      </c>
      <c r="J931" s="246" t="n">
        <v>-15.3</v>
      </c>
      <c r="K931" s="247" t="inlineStr">
        <is>
          <t>2197 CLOVER BIO-B</t>
        </is>
      </c>
    </row>
    <row r="932">
      <c r="A932" s="51" t="inlineStr">
        <is>
          <t>Rock Springs Capital Master Fund LP</t>
        </is>
      </c>
      <c r="B932" s="243" t="n">
        <v>1</v>
      </c>
      <c r="C932" s="245" t="n">
        <v>0</v>
      </c>
      <c r="D932" s="246" t="n">
        <v>-3</v>
      </c>
      <c r="E932" s="246" t="n">
        <v>-22.6</v>
      </c>
      <c r="F932" s="246" t="n">
        <v>-16.9</v>
      </c>
      <c r="G932" s="246" t="n">
        <v>-17.8</v>
      </c>
      <c r="H932" s="246" t="n">
        <v>-20.2</v>
      </c>
      <c r="I932" s="246" t="n">
        <v>-14.3</v>
      </c>
      <c r="J932" s="246" t="n">
        <v>-15.3</v>
      </c>
      <c r="K932" s="247" t="inlineStr">
        <is>
          <t>2197 CLOVER BIO-B</t>
        </is>
      </c>
    </row>
    <row r="933">
      <c r="A933" s="51" t="inlineStr">
        <is>
          <t>Toroa Master Fund</t>
        </is>
      </c>
      <c r="B933" s="243" t="n">
        <v>1</v>
      </c>
      <c r="C933" s="245" t="n">
        <v>0</v>
      </c>
      <c r="D933" s="246" t="n">
        <v>-3</v>
      </c>
      <c r="E933" s="246" t="n">
        <v>-22.6</v>
      </c>
      <c r="F933" s="246" t="n">
        <v>-16.9</v>
      </c>
      <c r="G933" s="246" t="n">
        <v>-17.8</v>
      </c>
      <c r="H933" s="246" t="n">
        <v>-20.2</v>
      </c>
      <c r="I933" s="246" t="n">
        <v>-14.3</v>
      </c>
      <c r="J933" s="246" t="n">
        <v>-15.3</v>
      </c>
      <c r="K933" s="247" t="inlineStr">
        <is>
          <t>2197 CLOVER BIO-B</t>
        </is>
      </c>
    </row>
    <row r="934">
      <c r="A934" s="51" t="inlineStr">
        <is>
          <t>GAIG</t>
        </is>
      </c>
      <c r="B934" s="243" t="n">
        <v>1</v>
      </c>
      <c r="C934" s="245" t="n">
        <v>0</v>
      </c>
      <c r="D934" s="246" t="n">
        <v>-3.1</v>
      </c>
      <c r="E934" s="246" t="n">
        <v>-20.6</v>
      </c>
      <c r="F934" s="246" t="n">
        <v>-16.6</v>
      </c>
      <c r="G934" s="246" t="n">
        <v>-34.6</v>
      </c>
      <c r="H934" s="246" t="n">
        <v>-18</v>
      </c>
      <c r="I934" s="246" t="n">
        <v>-13.9</v>
      </c>
      <c r="J934" s="246" t="n">
        <v>-32.5</v>
      </c>
      <c r="K934" s="247" t="inlineStr">
        <is>
          <t>9680 CHENQI TECH</t>
        </is>
      </c>
    </row>
    <row r="935">
      <c r="A935" s="51" t="inlineStr">
        <is>
          <t>An existing Shareholder Hongkong Pony AI Limited</t>
        </is>
      </c>
      <c r="B935" s="243" t="n">
        <v>1</v>
      </c>
      <c r="C935" s="245" t="n">
        <v>0</v>
      </c>
      <c r="D935" s="246" t="n">
        <v>-3.1</v>
      </c>
      <c r="E935" s="246" t="n">
        <v>-20.6</v>
      </c>
      <c r="F935" s="246" t="n">
        <v>-16.6</v>
      </c>
      <c r="G935" s="246" t="n">
        <v>-34.6</v>
      </c>
      <c r="H935" s="246" t="n">
        <v>-18</v>
      </c>
      <c r="I935" s="246" t="n">
        <v>-13.9</v>
      </c>
      <c r="J935" s="246" t="n">
        <v>-32.5</v>
      </c>
      <c r="K935" s="247" t="inlineStr">
        <is>
          <t>9680 CHENQI TECH</t>
        </is>
      </c>
    </row>
    <row r="936">
      <c r="A936" s="51" t="inlineStr">
        <is>
          <t>TradeGo FinTech Limited</t>
        </is>
      </c>
      <c r="B936" s="243" t="n">
        <v>1</v>
      </c>
      <c r="C936" s="245" t="n">
        <v>0</v>
      </c>
      <c r="D936" s="246" t="n">
        <v>-4.1</v>
      </c>
      <c r="E936" s="246" t="n">
        <v>3.6</v>
      </c>
      <c r="F936" s="246" t="n">
        <v>48</v>
      </c>
      <c r="G936" s="246" t="n">
        <v>89.59999999999999</v>
      </c>
      <c r="H936" s="246" t="n">
        <v>8</v>
      </c>
      <c r="I936" s="246" t="n">
        <v>54.2</v>
      </c>
      <c r="J936" s="246" t="n">
        <v>97.59999999999999</v>
      </c>
      <c r="K936" s="247" t="inlineStr">
        <is>
          <t>6610 FLOWING CLOUD</t>
        </is>
      </c>
    </row>
    <row r="937">
      <c r="A937" s="51" t="inlineStr">
        <is>
          <t>Oriza Naxin</t>
        </is>
      </c>
      <c r="B937" s="243" t="n">
        <v>1</v>
      </c>
      <c r="C937" s="245" t="n">
        <v>0</v>
      </c>
      <c r="D937" s="246" t="n">
        <v>-4.3</v>
      </c>
      <c r="E937" s="246" t="n">
        <v>-2.5</v>
      </c>
      <c r="F937" s="246" t="n">
        <v>20.8</v>
      </c>
      <c r="G937" s="246" t="n">
        <v>8.6</v>
      </c>
      <c r="H937" s="246" t="n">
        <v>1.9</v>
      </c>
      <c r="I937" s="246" t="n">
        <v>26.2</v>
      </c>
      <c r="J937" s="246" t="n">
        <v>13.5</v>
      </c>
      <c r="K937" s="247" t="inlineStr">
        <is>
          <t>2676 NOVOSENSE</t>
        </is>
      </c>
    </row>
    <row r="938">
      <c r="A938" s="51" t="inlineStr">
        <is>
          <t>Hield International</t>
        </is>
      </c>
      <c r="B938" s="243" t="n">
        <v>1</v>
      </c>
      <c r="C938" s="245" t="n">
        <v>0</v>
      </c>
      <c r="D938" s="246" t="n">
        <v>-4.3</v>
      </c>
      <c r="E938" s="246" t="n">
        <v>-2.5</v>
      </c>
      <c r="F938" s="246" t="n">
        <v>20.8</v>
      </c>
      <c r="G938" s="246" t="n">
        <v>8.6</v>
      </c>
      <c r="H938" s="246" t="n">
        <v>1.9</v>
      </c>
      <c r="I938" s="246" t="n">
        <v>26.2</v>
      </c>
      <c r="J938" s="246" t="n">
        <v>13.5</v>
      </c>
      <c r="K938" s="247" t="inlineStr">
        <is>
          <t>2676 NOVOSENSE</t>
        </is>
      </c>
    </row>
    <row r="939">
      <c r="A939" s="51" t="inlineStr">
        <is>
          <t>BYTEDANCE (HK) LIMITED</t>
        </is>
      </c>
      <c r="B939" s="243" t="n">
        <v>1</v>
      </c>
      <c r="C939" s="245" t="n">
        <v>0</v>
      </c>
      <c r="D939" s="246" t="n">
        <v>-4.5</v>
      </c>
      <c r="E939" s="246" t="n">
        <v>-1.9</v>
      </c>
      <c r="F939" s="246" t="n">
        <v>-19.4</v>
      </c>
      <c r="G939" s="246" t="n">
        <v>-13.6</v>
      </c>
      <c r="H939" s="246" t="n">
        <v>2.7</v>
      </c>
      <c r="I939" s="246" t="n">
        <v>-15.6</v>
      </c>
      <c r="J939" s="246" t="n">
        <v>-9.5</v>
      </c>
      <c r="K939" s="247" t="inlineStr">
        <is>
          <t>1948 UJU HOLDING</t>
        </is>
      </c>
    </row>
    <row r="940">
      <c r="A940" s="51" t="inlineStr">
        <is>
          <t>ABCI China Dynamic Growth SP</t>
        </is>
      </c>
      <c r="B940" s="243" t="n">
        <v>1</v>
      </c>
      <c r="C940" s="245" t="n">
        <v>0</v>
      </c>
      <c r="D940" s="246" t="n">
        <v>-4.6</v>
      </c>
      <c r="E940" s="246" t="n">
        <v>-4.5</v>
      </c>
      <c r="F940" s="246" t="n">
        <v>-21.3</v>
      </c>
      <c r="G940" s="246" t="n">
        <v>-61.9</v>
      </c>
      <c r="H940" s="246" t="n">
        <v>0.2</v>
      </c>
      <c r="I940" s="246" t="n">
        <v>-17.5</v>
      </c>
      <c r="J940" s="246" t="n">
        <v>-60</v>
      </c>
      <c r="K940" s="247" t="inlineStr">
        <is>
          <t>6633 QINGCI GAMES</t>
        </is>
      </c>
    </row>
    <row r="941">
      <c r="A941" s="51" t="inlineStr">
        <is>
          <t>I-China Holdings Limited</t>
        </is>
      </c>
      <c r="B941" s="243" t="n">
        <v>1</v>
      </c>
      <c r="C941" s="245" t="n">
        <v>0</v>
      </c>
      <c r="D941" s="246" t="n">
        <v>-4.6</v>
      </c>
      <c r="E941" s="246" t="n">
        <v>-4.5</v>
      </c>
      <c r="F941" s="246" t="n">
        <v>-21.3</v>
      </c>
      <c r="G941" s="246" t="n">
        <v>-61.9</v>
      </c>
      <c r="H941" s="246" t="n">
        <v>0.2</v>
      </c>
      <c r="I941" s="246" t="n">
        <v>-17.5</v>
      </c>
      <c r="J941" s="246" t="n">
        <v>-60</v>
      </c>
      <c r="K941" s="247" t="inlineStr">
        <is>
          <t>6633 QINGCI GAMES</t>
        </is>
      </c>
    </row>
    <row r="942">
      <c r="A942" s="51" t="inlineStr">
        <is>
          <t>Qookka Entertainment Limited</t>
        </is>
      </c>
      <c r="B942" s="243" t="n">
        <v>1</v>
      </c>
      <c r="C942" s="245" t="n">
        <v>0</v>
      </c>
      <c r="D942" s="246" t="n">
        <v>-4.6</v>
      </c>
      <c r="E942" s="246" t="n">
        <v>-4.5</v>
      </c>
      <c r="F942" s="246" t="n">
        <v>-21.3</v>
      </c>
      <c r="G942" s="246" t="n">
        <v>-61.9</v>
      </c>
      <c r="H942" s="246" t="n">
        <v>0.2</v>
      </c>
      <c r="I942" s="246" t="n">
        <v>-17.5</v>
      </c>
      <c r="J942" s="246" t="n">
        <v>-60</v>
      </c>
      <c r="K942" s="247" t="inlineStr">
        <is>
          <t>6633 QINGCI GAMES</t>
        </is>
      </c>
    </row>
    <row r="943">
      <c r="A943" s="51" t="inlineStr">
        <is>
          <t>Starwin International A LPF</t>
        </is>
      </c>
      <c r="B943" s="243" t="n">
        <v>1</v>
      </c>
      <c r="C943" s="245" t="n">
        <v>0</v>
      </c>
      <c r="D943" s="246" t="n">
        <v>-4.6</v>
      </c>
      <c r="E943" s="246" t="n">
        <v>22.3</v>
      </c>
      <c r="F943" s="246" t="n">
        <v>68.7</v>
      </c>
      <c r="G943" s="246" t="n">
        <v>-0.8</v>
      </c>
      <c r="H943" s="246" t="n">
        <v>28.3</v>
      </c>
      <c r="I943" s="246" t="n">
        <v>76.90000000000001</v>
      </c>
      <c r="J943" s="246" t="n">
        <v>4</v>
      </c>
      <c r="K943" s="247" t="inlineStr">
        <is>
          <t>1511 UISEE TECH</t>
        </is>
      </c>
    </row>
    <row r="944">
      <c r="A944" s="51" t="inlineStr">
        <is>
          <t>Kaide Global Investment Ltd</t>
        </is>
      </c>
      <c r="B944" s="243" t="n">
        <v>1</v>
      </c>
      <c r="C944" s="245" t="n">
        <v>0</v>
      </c>
      <c r="D944" s="246" t="n">
        <v>-4.6</v>
      </c>
      <c r="E944" s="246" t="n">
        <v>-5.1</v>
      </c>
      <c r="F944" s="246" t="n">
        <v>-37.2</v>
      </c>
      <c r="G944" s="246" t="n">
        <v>-42.9</v>
      </c>
      <c r="H944" s="246" t="n">
        <v>-0.5</v>
      </c>
      <c r="I944" s="246" t="n">
        <v>-34.2</v>
      </c>
      <c r="J944" s="246" t="n">
        <v>-40.1</v>
      </c>
      <c r="K944" s="247" t="inlineStr">
        <is>
          <t>1688 LINGYI ITECH</t>
        </is>
      </c>
    </row>
    <row r="945">
      <c r="A945" s="51" t="inlineStr">
        <is>
          <t>Ti-Capital (HK) Pioneer Fund III and Ti-Capital (HK) Pioneer Fund IV (collectively, Ti-Capital Funds )</t>
        </is>
      </c>
      <c r="B945" s="243" t="n">
        <v>1</v>
      </c>
      <c r="C945" s="245" t="n">
        <v>0</v>
      </c>
      <c r="D945" s="246" t="n">
        <v>-4.6</v>
      </c>
      <c r="E945" s="246" t="n">
        <v>-5.1</v>
      </c>
      <c r="F945" s="246" t="n">
        <v>-37.2</v>
      </c>
      <c r="G945" s="246" t="n">
        <v>-42.9</v>
      </c>
      <c r="H945" s="246" t="n">
        <v>-0.5</v>
      </c>
      <c r="I945" s="246" t="n">
        <v>-34.2</v>
      </c>
      <c r="J945" s="246" t="n">
        <v>-40.1</v>
      </c>
      <c r="K945" s="247" t="inlineStr">
        <is>
          <t>1688 LINGYI ITECH</t>
        </is>
      </c>
    </row>
    <row r="946">
      <c r="A946" s="51" t="inlineStr">
        <is>
          <t>Honor Information Technology Co., Limited ࢹڦ ʮ̡</t>
        </is>
      </c>
      <c r="B946" s="243" t="n">
        <v>1</v>
      </c>
      <c r="C946" s="245" t="n">
        <v>0</v>
      </c>
      <c r="D946" s="246" t="n">
        <v>-4.6</v>
      </c>
      <c r="E946" s="246" t="n">
        <v>-5.1</v>
      </c>
      <c r="F946" s="246" t="n">
        <v>-37.2</v>
      </c>
      <c r="G946" s="246" t="n">
        <v>-42.9</v>
      </c>
      <c r="H946" s="246" t="n">
        <v>-0.5</v>
      </c>
      <c r="I946" s="246" t="n">
        <v>-34.2</v>
      </c>
      <c r="J946" s="246" t="n">
        <v>-40.1</v>
      </c>
      <c r="K946" s="247" t="inlineStr">
        <is>
          <t>1688 LINGYI ITECH</t>
        </is>
      </c>
    </row>
    <row r="947">
      <c r="A947" s="51" t="inlineStr">
        <is>
          <t>HT Investment Limited</t>
        </is>
      </c>
      <c r="B947" s="243" t="n">
        <v>1</v>
      </c>
      <c r="C947" s="245" t="n">
        <v>0</v>
      </c>
      <c r="D947" s="246" t="n">
        <v>-5</v>
      </c>
      <c r="E947" s="246" t="n">
        <v>0.1</v>
      </c>
      <c r="F947" s="246" t="n">
        <v>0</v>
      </c>
      <c r="G947" s="246" t="n">
        <v>-2.6</v>
      </c>
      <c r="H947" s="246" t="n">
        <v>5.3</v>
      </c>
      <c r="I947" s="246" t="n">
        <v>5.3</v>
      </c>
      <c r="J947" s="246" t="n">
        <v>2.5</v>
      </c>
      <c r="K947" s="247" t="inlineStr">
        <is>
          <t>2648 ANJOY FOOD</t>
        </is>
      </c>
    </row>
    <row r="948">
      <c r="A948" s="51" t="inlineStr">
        <is>
          <t>4 FCP Domains Co., Ltd</t>
        </is>
      </c>
      <c r="B948" s="243" t="n">
        <v>1</v>
      </c>
      <c r="C948" s="245" t="n">
        <v>0</v>
      </c>
      <c r="D948" s="246" t="n">
        <v>-5</v>
      </c>
      <c r="E948" s="246" t="n">
        <v>0.1</v>
      </c>
      <c r="F948" s="246" t="n">
        <v>0</v>
      </c>
      <c r="G948" s="246" t="n">
        <v>-2.6</v>
      </c>
      <c r="H948" s="246" t="n">
        <v>5.3</v>
      </c>
      <c r="I948" s="246" t="n">
        <v>5.3</v>
      </c>
      <c r="J948" s="246" t="n">
        <v>2.5</v>
      </c>
      <c r="K948" s="247" t="inlineStr">
        <is>
          <t>2648 ANJOY FOOD</t>
        </is>
      </c>
    </row>
    <row r="949">
      <c r="A949" s="51" t="inlineStr">
        <is>
          <t>Sunpeak Asset</t>
        </is>
      </c>
      <c r="B949" s="243" t="n">
        <v>1</v>
      </c>
      <c r="C949" s="245" t="n">
        <v>0</v>
      </c>
      <c r="D949" s="246" t="n">
        <v>-5</v>
      </c>
      <c r="E949" s="248" t="n"/>
      <c r="F949" s="248" t="n"/>
      <c r="G949" s="248" t="n"/>
      <c r="H949" s="248" t="n"/>
      <c r="I949" s="248" t="n"/>
      <c r="J949" s="248" t="n"/>
      <c r="K949" s="247" t="inlineStr">
        <is>
          <t>3757 ROBOTECHNIK</t>
        </is>
      </c>
    </row>
    <row r="950">
      <c r="A950" s="51" t="inlineStr">
        <is>
          <t>Winner Global Fund</t>
        </is>
      </c>
      <c r="B950" s="243" t="n">
        <v>1</v>
      </c>
      <c r="C950" s="245" t="n">
        <v>0</v>
      </c>
      <c r="D950" s="246" t="n">
        <v>-5</v>
      </c>
      <c r="E950" s="248" t="n"/>
      <c r="F950" s="248" t="n"/>
      <c r="G950" s="248" t="n"/>
      <c r="H950" s="248" t="n"/>
      <c r="I950" s="248" t="n"/>
      <c r="J950" s="248" t="n"/>
      <c r="K950" s="247" t="inlineStr">
        <is>
          <t>3757 ROBOTECHNIK</t>
        </is>
      </c>
    </row>
    <row r="951">
      <c r="A951" s="51" t="inlineStr">
        <is>
          <t>Vestide Lumir</t>
        </is>
      </c>
      <c r="B951" s="243" t="n">
        <v>1</v>
      </c>
      <c r="C951" s="245" t="n">
        <v>0</v>
      </c>
      <c r="D951" s="246" t="n">
        <v>-5</v>
      </c>
      <c r="E951" s="248" t="n"/>
      <c r="F951" s="248" t="n"/>
      <c r="G951" s="248" t="n"/>
      <c r="H951" s="248" t="n"/>
      <c r="I951" s="248" t="n"/>
      <c r="J951" s="248" t="n"/>
      <c r="K951" s="247" t="inlineStr">
        <is>
          <t>3757 ROBOTECHNIK</t>
        </is>
      </c>
    </row>
    <row r="952">
      <c r="A952" s="51" t="inlineStr">
        <is>
          <t>Arrowpoint</t>
        </is>
      </c>
      <c r="B952" s="243" t="n">
        <v>1</v>
      </c>
      <c r="C952" s="245" t="n">
        <v>0</v>
      </c>
      <c r="D952" s="246" t="n">
        <v>-5</v>
      </c>
      <c r="E952" s="248" t="n"/>
      <c r="F952" s="248" t="n"/>
      <c r="G952" s="248" t="n"/>
      <c r="H952" s="248" t="n"/>
      <c r="I952" s="248" t="n"/>
      <c r="J952" s="248" t="n"/>
      <c r="K952" s="247" t="inlineStr">
        <is>
          <t>3757 ROBOTECHNIK</t>
        </is>
      </c>
    </row>
    <row r="953">
      <c r="A953" s="51" t="inlineStr">
        <is>
          <t>Sino Opulence Fund</t>
        </is>
      </c>
      <c r="B953" s="243" t="n">
        <v>1</v>
      </c>
      <c r="C953" s="245" t="n">
        <v>0</v>
      </c>
      <c r="D953" s="246" t="n">
        <v>-5</v>
      </c>
      <c r="E953" s="248" t="n"/>
      <c r="F953" s="248" t="n"/>
      <c r="G953" s="248" t="n"/>
      <c r="H953" s="248" t="n"/>
      <c r="I953" s="248" t="n"/>
      <c r="J953" s="248" t="n"/>
      <c r="K953" s="247" t="inlineStr">
        <is>
          <t>3757 ROBOTECHNIK</t>
        </is>
      </c>
    </row>
    <row r="954">
      <c r="A954" s="51" t="inlineStr">
        <is>
          <t>Roofer Asset Management</t>
        </is>
      </c>
      <c r="B954" s="243" t="n">
        <v>1</v>
      </c>
      <c r="C954" s="245" t="n">
        <v>0</v>
      </c>
      <c r="D954" s="246" t="n">
        <v>-5</v>
      </c>
      <c r="E954" s="248" t="n"/>
      <c r="F954" s="248" t="n"/>
      <c r="G954" s="248" t="n"/>
      <c r="H954" s="248" t="n"/>
      <c r="I954" s="248" t="n"/>
      <c r="J954" s="248" t="n"/>
      <c r="K954" s="247" t="inlineStr">
        <is>
          <t>3757 ROBOTECHNIK</t>
        </is>
      </c>
    </row>
    <row r="955">
      <c r="A955" s="51" t="inlineStr">
        <is>
          <t>Bloom Capital</t>
        </is>
      </c>
      <c r="B955" s="243" t="n">
        <v>1</v>
      </c>
      <c r="C955" s="245" t="n">
        <v>0</v>
      </c>
      <c r="D955" s="246" t="n">
        <v>-5</v>
      </c>
      <c r="E955" s="248" t="n"/>
      <c r="F955" s="248" t="n"/>
      <c r="G955" s="248" t="n"/>
      <c r="H955" s="248" t="n"/>
      <c r="I955" s="248" t="n"/>
      <c r="J955" s="248" t="n"/>
      <c r="K955" s="247" t="inlineStr">
        <is>
          <t>3757 ROBOTECHNIK</t>
        </is>
      </c>
    </row>
    <row r="956">
      <c r="A956" s="51" t="inlineStr">
        <is>
          <t>Mr. Lai Pak Lam</t>
        </is>
      </c>
      <c r="B956" s="243" t="n">
        <v>1</v>
      </c>
      <c r="C956" s="245" t="n">
        <v>0</v>
      </c>
      <c r="D956" s="246" t="n">
        <v>-5</v>
      </c>
      <c r="E956" s="248" t="n"/>
      <c r="F956" s="248" t="n"/>
      <c r="G956" s="248" t="n"/>
      <c r="H956" s="248" t="n"/>
      <c r="I956" s="248" t="n"/>
      <c r="J956" s="248" t="n"/>
      <c r="K956" s="247" t="inlineStr">
        <is>
          <t>3757 ROBOTECHNIK</t>
        </is>
      </c>
    </row>
    <row r="957">
      <c r="A957" s="51" t="inlineStr">
        <is>
          <t>Mr. Xia Shengli</t>
        </is>
      </c>
      <c r="B957" s="243" t="n">
        <v>1</v>
      </c>
      <c r="C957" s="245" t="n">
        <v>0</v>
      </c>
      <c r="D957" s="246" t="n">
        <v>-5</v>
      </c>
      <c r="E957" s="248" t="n"/>
      <c r="F957" s="248" t="n"/>
      <c r="G957" s="248" t="n"/>
      <c r="H957" s="248" t="n"/>
      <c r="I957" s="248" t="n"/>
      <c r="J957" s="248" t="n"/>
      <c r="K957" s="247" t="inlineStr">
        <is>
          <t>3757 ROBOTECHNIK</t>
        </is>
      </c>
    </row>
    <row r="958">
      <c r="A958" s="51" t="inlineStr">
        <is>
          <t>Mr. Zhu Guodong</t>
        </is>
      </c>
      <c r="B958" s="243" t="n">
        <v>1</v>
      </c>
      <c r="C958" s="245" t="n">
        <v>0</v>
      </c>
      <c r="D958" s="246" t="n">
        <v>-5</v>
      </c>
      <c r="E958" s="248" t="n"/>
      <c r="F958" s="248" t="n"/>
      <c r="G958" s="248" t="n"/>
      <c r="H958" s="248" t="n"/>
      <c r="I958" s="248" t="n"/>
      <c r="J958" s="248" t="n"/>
      <c r="K958" s="247" t="inlineStr">
        <is>
          <t>3757 ROBOTECHNIK</t>
        </is>
      </c>
    </row>
    <row r="959">
      <c r="A959" s="51" t="inlineStr">
        <is>
          <t>Mr. Zheng Xiaofeng</t>
        </is>
      </c>
      <c r="B959" s="243" t="n">
        <v>1</v>
      </c>
      <c r="C959" s="245" t="n">
        <v>0</v>
      </c>
      <c r="D959" s="246" t="n">
        <v>-5</v>
      </c>
      <c r="E959" s="248" t="n"/>
      <c r="F959" s="248" t="n"/>
      <c r="G959" s="248" t="n"/>
      <c r="H959" s="248" t="n"/>
      <c r="I959" s="248" t="n"/>
      <c r="J959" s="248" t="n"/>
      <c r="K959" s="247" t="inlineStr">
        <is>
          <t>3757 ROBOTECHNIK</t>
        </is>
      </c>
    </row>
    <row r="960">
      <c r="A960" s="51" t="inlineStr">
        <is>
          <t>Media Global Management Limited</t>
        </is>
      </c>
      <c r="B960" s="243" t="n">
        <v>1</v>
      </c>
      <c r="C960" s="245" t="n">
        <v>0</v>
      </c>
      <c r="D960" s="246" t="n">
        <v>-5.1</v>
      </c>
      <c r="E960" s="246" t="n">
        <v>-12.1</v>
      </c>
      <c r="F960" s="246" t="n">
        <v>-0.6</v>
      </c>
      <c r="G960" s="246" t="n">
        <v>8</v>
      </c>
      <c r="H960" s="246" t="n">
        <v>-7.4</v>
      </c>
      <c r="I960" s="246" t="n">
        <v>4.8</v>
      </c>
      <c r="J960" s="246" t="n">
        <v>13.8</v>
      </c>
      <c r="K960" s="247" t="inlineStr">
        <is>
          <t>9985 WEILONG</t>
        </is>
      </c>
    </row>
    <row r="961">
      <c r="A961" s="51" t="inlineStr">
        <is>
          <t>Prospect Bridge Value L.P</t>
        </is>
      </c>
      <c r="B961" s="243" t="n">
        <v>1</v>
      </c>
      <c r="C961" s="245" t="n">
        <v>0</v>
      </c>
      <c r="D961" s="246" t="n">
        <v>-5.1</v>
      </c>
      <c r="E961" s="246" t="n">
        <v>-12.1</v>
      </c>
      <c r="F961" s="246" t="n">
        <v>-0.6</v>
      </c>
      <c r="G961" s="246" t="n">
        <v>8</v>
      </c>
      <c r="H961" s="246" t="n">
        <v>-7.4</v>
      </c>
      <c r="I961" s="246" t="n">
        <v>4.8</v>
      </c>
      <c r="J961" s="246" t="n">
        <v>13.8</v>
      </c>
      <c r="K961" s="247" t="inlineStr">
        <is>
          <t>9985 WEILONG</t>
        </is>
      </c>
    </row>
    <row r="962">
      <c r="A962" s="51" t="inlineStr">
        <is>
          <t>Reijong International Industrial Equipment (HK) Limited</t>
        </is>
      </c>
      <c r="B962" s="243" t="n">
        <v>1</v>
      </c>
      <c r="C962" s="245" t="n">
        <v>0</v>
      </c>
      <c r="D962" s="246" t="n">
        <v>-5.1</v>
      </c>
      <c r="E962" s="246" t="n">
        <v>-8.800000000000001</v>
      </c>
      <c r="F962" s="246" t="n">
        <v>-8.699999999999999</v>
      </c>
      <c r="G962" s="246" t="n">
        <v>16.5</v>
      </c>
      <c r="H962" s="246" t="n">
        <v>-4</v>
      </c>
      <c r="I962" s="246" t="n">
        <v>-3.8</v>
      </c>
      <c r="J962" s="246" t="n">
        <v>22.8</v>
      </c>
      <c r="K962" s="247" t="inlineStr">
        <is>
          <t>2610 NANSHAN AL INTL</t>
        </is>
      </c>
    </row>
    <row r="963">
      <c r="A963" s="51" t="inlineStr">
        <is>
          <t>Eastland</t>
        </is>
      </c>
      <c r="B963" s="243" t="n">
        <v>1</v>
      </c>
      <c r="C963" s="245" t="n">
        <v>0</v>
      </c>
      <c r="D963" s="246" t="n">
        <v>-5.3</v>
      </c>
      <c r="E963" s="246" t="n">
        <v>-3</v>
      </c>
      <c r="F963" s="246" t="n">
        <v>-7.9</v>
      </c>
      <c r="G963" s="246" t="n">
        <v>-6.3</v>
      </c>
      <c r="H963" s="246" t="n">
        <v>2.4</v>
      </c>
      <c r="I963" s="246" t="n">
        <v>-2.8</v>
      </c>
      <c r="J963" s="246" t="n">
        <v>-1.1</v>
      </c>
      <c r="K963" s="247" t="inlineStr">
        <is>
          <t>2385 READBOY</t>
        </is>
      </c>
    </row>
    <row r="964">
      <c r="A964" s="51" t="inlineStr">
        <is>
          <t>Gui Chunfang</t>
        </is>
      </c>
      <c r="B964" s="243" t="n">
        <v>1</v>
      </c>
      <c r="C964" s="245" t="n">
        <v>0</v>
      </c>
      <c r="D964" s="246" t="n">
        <v>-5.3</v>
      </c>
      <c r="E964" s="246" t="n">
        <v>-3</v>
      </c>
      <c r="F964" s="246" t="n">
        <v>-7.9</v>
      </c>
      <c r="G964" s="246" t="n">
        <v>-6.3</v>
      </c>
      <c r="H964" s="246" t="n">
        <v>2.4</v>
      </c>
      <c r="I964" s="246" t="n">
        <v>-2.8</v>
      </c>
      <c r="J964" s="246" t="n">
        <v>-1.1</v>
      </c>
      <c r="K964" s="247" t="inlineStr">
        <is>
          <t>2385 READBOY</t>
        </is>
      </c>
    </row>
    <row r="965">
      <c r="A965" s="51" t="inlineStr">
        <is>
          <t>Jin Tao</t>
        </is>
      </c>
      <c r="B965" s="243" t="n">
        <v>1</v>
      </c>
      <c r="C965" s="245" t="n">
        <v>0</v>
      </c>
      <c r="D965" s="246" t="n">
        <v>-5.3</v>
      </c>
      <c r="E965" s="246" t="n">
        <v>-3</v>
      </c>
      <c r="F965" s="246" t="n">
        <v>-7.9</v>
      </c>
      <c r="G965" s="246" t="n">
        <v>-6.3</v>
      </c>
      <c r="H965" s="246" t="n">
        <v>2.4</v>
      </c>
      <c r="I965" s="246" t="n">
        <v>-2.8</v>
      </c>
      <c r="J965" s="246" t="n">
        <v>-1.1</v>
      </c>
      <c r="K965" s="247" t="inlineStr">
        <is>
          <t>2385 READBOY</t>
        </is>
      </c>
    </row>
    <row r="966">
      <c r="A966" s="51" t="inlineStr">
        <is>
          <t>Tower Lead</t>
        </is>
      </c>
      <c r="B966" s="243" t="n">
        <v>1</v>
      </c>
      <c r="C966" s="245" t="n">
        <v>0</v>
      </c>
      <c r="D966" s="246" t="n">
        <v>-5.3</v>
      </c>
      <c r="E966" s="246" t="n">
        <v>-3</v>
      </c>
      <c r="F966" s="246" t="n">
        <v>-7.9</v>
      </c>
      <c r="G966" s="246" t="n">
        <v>-6.3</v>
      </c>
      <c r="H966" s="246" t="n">
        <v>2.4</v>
      </c>
      <c r="I966" s="246" t="n">
        <v>-2.8</v>
      </c>
      <c r="J966" s="246" t="n">
        <v>-1.1</v>
      </c>
      <c r="K966" s="247" t="inlineStr">
        <is>
          <t>2385 READBOY</t>
        </is>
      </c>
    </row>
    <row r="967">
      <c r="A967" s="51" t="inlineStr">
        <is>
          <t>Yang Xiaojie</t>
        </is>
      </c>
      <c r="B967" s="243" t="n">
        <v>1</v>
      </c>
      <c r="C967" s="245" t="n">
        <v>0</v>
      </c>
      <c r="D967" s="246" t="n">
        <v>-5.3</v>
      </c>
      <c r="E967" s="246" t="n">
        <v>-3</v>
      </c>
      <c r="F967" s="246" t="n">
        <v>-7.9</v>
      </c>
      <c r="G967" s="246" t="n">
        <v>-6.3</v>
      </c>
      <c r="H967" s="246" t="n">
        <v>2.4</v>
      </c>
      <c r="I967" s="246" t="n">
        <v>-2.8</v>
      </c>
      <c r="J967" s="246" t="n">
        <v>-1.1</v>
      </c>
      <c r="K967" s="247" t="inlineStr">
        <is>
          <t>2385 READBOY</t>
        </is>
      </c>
    </row>
    <row r="968">
      <c r="A968" s="51" t="inlineStr">
        <is>
          <t>Zheng Changping</t>
        </is>
      </c>
      <c r="B968" s="243" t="n">
        <v>1</v>
      </c>
      <c r="C968" s="245" t="n">
        <v>0</v>
      </c>
      <c r="D968" s="246" t="n">
        <v>-5.3</v>
      </c>
      <c r="E968" s="246" t="n">
        <v>-3</v>
      </c>
      <c r="F968" s="246" t="n">
        <v>-7.9</v>
      </c>
      <c r="G968" s="246" t="n">
        <v>-6.3</v>
      </c>
      <c r="H968" s="246" t="n">
        <v>2.4</v>
      </c>
      <c r="I968" s="246" t="n">
        <v>-2.8</v>
      </c>
      <c r="J968" s="246" t="n">
        <v>-1.1</v>
      </c>
      <c r="K968" s="247" t="inlineStr">
        <is>
          <t>2385 READBOY</t>
        </is>
      </c>
    </row>
    <row r="969">
      <c r="A969" s="51" t="inlineStr">
        <is>
          <t>Valin Group Hongkong International Trade Co., Limited</t>
        </is>
      </c>
      <c r="B969" s="243" t="n">
        <v>1</v>
      </c>
      <c r="C969" s="245" t="n">
        <v>0</v>
      </c>
      <c r="D969" s="246" t="n">
        <v>-5.4</v>
      </c>
      <c r="E969" s="246" t="n">
        <v>-7.6</v>
      </c>
      <c r="F969" s="246" t="n">
        <v>-20.5</v>
      </c>
      <c r="G969" s="246" t="n">
        <v>-9.300000000000001</v>
      </c>
      <c r="H969" s="246" t="n">
        <v>-2.3</v>
      </c>
      <c r="I969" s="246" t="n">
        <v>-15.9</v>
      </c>
      <c r="J969" s="246" t="n">
        <v>-4.1</v>
      </c>
      <c r="K969" s="247" t="inlineStr">
        <is>
          <t>2580 AUX ELECTRIC</t>
        </is>
      </c>
    </row>
    <row r="970">
      <c r="A970" s="51" t="inlineStr">
        <is>
          <t>Shenzhen Yongxin Industrial Investment Partnership Enterprise (Limited Partnership) and Guotai Junan Investments (Hong Kong) Limited (in</t>
        </is>
      </c>
      <c r="B970" s="243" t="n">
        <v>1</v>
      </c>
      <c r="C970" s="245" t="n">
        <v>0</v>
      </c>
      <c r="D970" s="246" t="n">
        <v>-5.4</v>
      </c>
      <c r="E970" s="246" t="n">
        <v>-7.6</v>
      </c>
      <c r="F970" s="246" t="n">
        <v>-20.5</v>
      </c>
      <c r="G970" s="246" t="n">
        <v>-9.300000000000001</v>
      </c>
      <c r="H970" s="246" t="n">
        <v>-2.3</v>
      </c>
      <c r="I970" s="246" t="n">
        <v>-15.9</v>
      </c>
      <c r="J970" s="246" t="n">
        <v>-4.1</v>
      </c>
      <c r="K970" s="247" t="inlineStr">
        <is>
          <t>2580 AUX ELECTRIC</t>
        </is>
      </c>
    </row>
    <row r="971">
      <c r="A971" s="51" t="inlineStr">
        <is>
          <t>Abax Asian Structured Private Credit Fund III, LP</t>
        </is>
      </c>
      <c r="B971" s="243" t="n">
        <v>1</v>
      </c>
      <c r="C971" s="245" t="n">
        <v>0</v>
      </c>
      <c r="D971" s="246" t="n">
        <v>-5.6</v>
      </c>
      <c r="E971" s="246" t="n">
        <v>-1.5</v>
      </c>
      <c r="F971" s="246" t="n">
        <v>-20.5</v>
      </c>
      <c r="G971" s="246" t="n">
        <v>-19.6</v>
      </c>
      <c r="H971" s="246" t="n">
        <v>4.3</v>
      </c>
      <c r="I971" s="246" t="n">
        <v>-15.8</v>
      </c>
      <c r="J971" s="246" t="n">
        <v>-14.8</v>
      </c>
      <c r="K971" s="247" t="inlineStr">
        <is>
          <t>6639 ARRAIL GROUP</t>
        </is>
      </c>
    </row>
    <row r="972">
      <c r="A972" s="51" t="inlineStr">
        <is>
          <t>Hony Goldstream Special Opportunity Fund I</t>
        </is>
      </c>
      <c r="B972" s="243" t="n">
        <v>1</v>
      </c>
      <c r="C972" s="245" t="n">
        <v>0</v>
      </c>
      <c r="D972" s="246" t="n">
        <v>-6</v>
      </c>
      <c r="E972" s="246" t="n">
        <v>-11.2</v>
      </c>
      <c r="F972" s="246" t="n">
        <v>-28</v>
      </c>
      <c r="G972" s="246" t="n">
        <v>-50.2</v>
      </c>
      <c r="H972" s="246" t="n">
        <v>-5.6</v>
      </c>
      <c r="I972" s="246" t="n">
        <v>-23.4</v>
      </c>
      <c r="J972" s="246" t="n">
        <v>-47.1</v>
      </c>
      <c r="K972" s="247" t="inlineStr">
        <is>
          <t>9600 NEWLINK TECH</t>
        </is>
      </c>
    </row>
    <row r="973">
      <c r="A973" s="51" t="inlineStr">
        <is>
          <t>GM Charm Yield (BVI) Limited</t>
        </is>
      </c>
      <c r="B973" s="243" t="n">
        <v>1</v>
      </c>
      <c r="C973" s="245" t="n">
        <v>0</v>
      </c>
      <c r="D973" s="246" t="n">
        <v>-6.4</v>
      </c>
      <c r="E973" s="246" t="n">
        <v>-2.1</v>
      </c>
      <c r="F973" s="246" t="n">
        <v>45.1</v>
      </c>
      <c r="G973" s="246" t="n">
        <v>157</v>
      </c>
      <c r="H973" s="246" t="n">
        <v>4.6</v>
      </c>
      <c r="I973" s="246" t="n">
        <v>55.1</v>
      </c>
      <c r="J973" s="246" t="n">
        <v>174.7</v>
      </c>
      <c r="K973" s="247" t="inlineStr">
        <is>
          <t>1364 GUMING</t>
        </is>
      </c>
    </row>
    <row r="974">
      <c r="A974" s="51" t="inlineStr">
        <is>
          <t>Intera Mining Investment Limited</t>
        </is>
      </c>
      <c r="B974" s="243" t="n">
        <v>1</v>
      </c>
      <c r="C974" s="245" t="n">
        <v>0</v>
      </c>
      <c r="D974" s="246" t="n">
        <v>-6.5</v>
      </c>
      <c r="E974" s="246" t="n">
        <v>-2.3</v>
      </c>
      <c r="F974" s="246" t="n">
        <v>-0.4</v>
      </c>
      <c r="G974" s="246" t="n">
        <v>28.5</v>
      </c>
      <c r="H974" s="246" t="n">
        <v>4.6</v>
      </c>
      <c r="I974" s="246" t="n">
        <v>6.6</v>
      </c>
      <c r="J974" s="246" t="n">
        <v>37.5</v>
      </c>
      <c r="K974" s="247" t="inlineStr">
        <is>
          <t>6228 MERDEKAGOLD-DRS</t>
        </is>
      </c>
    </row>
    <row r="975">
      <c r="A975" s="51" t="inlineStr">
        <is>
          <t>Trafigura Group Pte. Ltd</t>
        </is>
      </c>
      <c r="B975" s="243" t="n">
        <v>1</v>
      </c>
      <c r="C975" s="245" t="n">
        <v>0</v>
      </c>
      <c r="D975" s="246" t="n">
        <v>-6.5</v>
      </c>
      <c r="E975" s="246" t="n">
        <v>-2.3</v>
      </c>
      <c r="F975" s="246" t="n">
        <v>-0.4</v>
      </c>
      <c r="G975" s="246" t="n">
        <v>28.5</v>
      </c>
      <c r="H975" s="246" t="n">
        <v>4.6</v>
      </c>
      <c r="I975" s="246" t="n">
        <v>6.6</v>
      </c>
      <c r="J975" s="246" t="n">
        <v>37.5</v>
      </c>
      <c r="K975" s="247" t="inlineStr">
        <is>
          <t>6228 MERDEKAGOLD-DRS</t>
        </is>
      </c>
    </row>
    <row r="976">
      <c r="A976" s="51" t="inlineStr">
        <is>
          <t>Wanguo Gold Group Limited</t>
        </is>
      </c>
      <c r="B976" s="243" t="n">
        <v>1</v>
      </c>
      <c r="C976" s="245" t="n">
        <v>0</v>
      </c>
      <c r="D976" s="246" t="n">
        <v>-6.5</v>
      </c>
      <c r="E976" s="246" t="n">
        <v>-2.3</v>
      </c>
      <c r="F976" s="246" t="n">
        <v>-0.4</v>
      </c>
      <c r="G976" s="246" t="n">
        <v>28.5</v>
      </c>
      <c r="H976" s="246" t="n">
        <v>4.6</v>
      </c>
      <c r="I976" s="246" t="n">
        <v>6.6</v>
      </c>
      <c r="J976" s="246" t="n">
        <v>37.5</v>
      </c>
      <c r="K976" s="247" t="inlineStr">
        <is>
          <t>6228 MERDEKAGOLD-DRS</t>
        </is>
      </c>
    </row>
    <row r="977">
      <c r="A977" s="51" t="inlineStr">
        <is>
          <t>Sanofi Foreign Participations B.V</t>
        </is>
      </c>
      <c r="B977" s="243" t="n">
        <v>1</v>
      </c>
      <c r="C977" s="245" t="n">
        <v>0</v>
      </c>
      <c r="D977" s="246" t="n">
        <v>-7.5</v>
      </c>
      <c r="E977" s="246" t="n">
        <v>-9.800000000000001</v>
      </c>
      <c r="F977" s="246" t="n">
        <v>-33.8</v>
      </c>
      <c r="G977" s="246" t="n">
        <v>-54.4</v>
      </c>
      <c r="H977" s="246" t="n">
        <v>-2.5</v>
      </c>
      <c r="I977" s="246" t="n">
        <v>-28.4</v>
      </c>
      <c r="J977" s="246" t="n">
        <v>-50.7</v>
      </c>
      <c r="K977" s="247" t="inlineStr">
        <is>
          <t>9955 CLOUDR</t>
        </is>
      </c>
    </row>
    <row r="978">
      <c r="A978" s="51" t="inlineStr">
        <is>
          <t>DNCA Finance</t>
        </is>
      </c>
      <c r="B978" s="243" t="n">
        <v>1</v>
      </c>
      <c r="C978" s="245" t="n">
        <v>0</v>
      </c>
      <c r="D978" s="246" t="n">
        <v>-7.6</v>
      </c>
      <c r="E978" s="246" t="n">
        <v>-18</v>
      </c>
      <c r="F978" s="246" t="n">
        <v>-20.8</v>
      </c>
      <c r="G978" s="246" t="n">
        <v>-45.3</v>
      </c>
      <c r="H978" s="246" t="n">
        <v>-11.3</v>
      </c>
      <c r="I978" s="246" t="n">
        <v>-14.3</v>
      </c>
      <c r="J978" s="246" t="n">
        <v>-40.8</v>
      </c>
      <c r="K978" s="247" t="inlineStr">
        <is>
          <t>9960 KINDSTAR GLOBAL</t>
        </is>
      </c>
    </row>
    <row r="979">
      <c r="A979" s="51" t="inlineStr">
        <is>
          <t>Hangzhou Urban Investment Industrial Development Investment Partnership (LP)</t>
        </is>
      </c>
      <c r="B979" s="243" t="n">
        <v>1</v>
      </c>
      <c r="C979" s="245" t="n">
        <v>0</v>
      </c>
      <c r="D979" s="246" t="n">
        <v>-7.6</v>
      </c>
      <c r="E979" s="246" t="n">
        <v>-4.8</v>
      </c>
      <c r="F979" s="246" t="n">
        <v>-5.5</v>
      </c>
      <c r="G979" s="246" t="n">
        <v>-7</v>
      </c>
      <c r="H979" s="246" t="n">
        <v>3.1</v>
      </c>
      <c r="I979" s="246" t="n">
        <v>2.3</v>
      </c>
      <c r="J979" s="246" t="n">
        <v>0.6</v>
      </c>
      <c r="K979" s="247" t="inlineStr">
        <is>
          <t>2598 LIANLIAN</t>
        </is>
      </c>
    </row>
    <row r="980">
      <c r="A980" s="51" t="inlineStr">
        <is>
          <t>Jun Sheng SP</t>
        </is>
      </c>
      <c r="B980" s="243" t="n">
        <v>1</v>
      </c>
      <c r="C980" s="245" t="n">
        <v>0</v>
      </c>
      <c r="D980" s="246" t="n">
        <v>-8</v>
      </c>
      <c r="E980" s="246" t="n">
        <v>-20.4</v>
      </c>
      <c r="F980" s="246" t="n">
        <v>-20.8</v>
      </c>
      <c r="G980" s="246" t="n">
        <v>-22.9</v>
      </c>
      <c r="H980" s="246" t="n">
        <v>-13.5</v>
      </c>
      <c r="I980" s="246" t="n">
        <v>-13.9</v>
      </c>
      <c r="J980" s="246" t="n">
        <v>-16.1</v>
      </c>
      <c r="K980" s="247" t="inlineStr">
        <is>
          <t>0699 JOYSON ELEC</t>
        </is>
      </c>
    </row>
    <row r="981">
      <c r="A981" s="51" t="inlineStr">
        <is>
          <t>Vandi Investments Limited</t>
        </is>
      </c>
      <c r="B981" s="243" t="n">
        <v>1</v>
      </c>
      <c r="C981" s="245" t="n">
        <v>0</v>
      </c>
      <c r="D981" s="246" t="n">
        <v>-8</v>
      </c>
      <c r="E981" s="246" t="n">
        <v>-20.4</v>
      </c>
      <c r="F981" s="246" t="n">
        <v>-20.8</v>
      </c>
      <c r="G981" s="246" t="n">
        <v>-22.9</v>
      </c>
      <c r="H981" s="246" t="n">
        <v>-13.5</v>
      </c>
      <c r="I981" s="246" t="n">
        <v>-13.9</v>
      </c>
      <c r="J981" s="246" t="n">
        <v>-16.1</v>
      </c>
      <c r="K981" s="247" t="inlineStr">
        <is>
          <t>0699 JOYSON ELEC</t>
        </is>
      </c>
    </row>
    <row r="982">
      <c r="A982" s="51" t="inlineStr">
        <is>
          <t>Fidelidade – Companhia de Seguros, S.A</t>
        </is>
      </c>
      <c r="B982" s="243" t="n">
        <v>1</v>
      </c>
      <c r="C982" s="245" t="n">
        <v>0</v>
      </c>
      <c r="D982" s="246" t="n">
        <v>-8</v>
      </c>
      <c r="E982" s="246" t="n">
        <v>-20.4</v>
      </c>
      <c r="F982" s="246" t="n">
        <v>-20.8</v>
      </c>
      <c r="G982" s="246" t="n">
        <v>-22.9</v>
      </c>
      <c r="H982" s="246" t="n">
        <v>-13.5</v>
      </c>
      <c r="I982" s="246" t="n">
        <v>-13.9</v>
      </c>
      <c r="J982" s="246" t="n">
        <v>-16.1</v>
      </c>
      <c r="K982" s="247" t="inlineStr">
        <is>
          <t>0699 JOYSON ELEC</t>
        </is>
      </c>
    </row>
    <row r="983">
      <c r="A983" s="51" t="inlineStr">
        <is>
          <t>Yanlord Investment Limited</t>
        </is>
      </c>
      <c r="B983" s="243" t="n">
        <v>1</v>
      </c>
      <c r="C983" s="245" t="n">
        <v>0</v>
      </c>
      <c r="D983" s="246" t="n">
        <v>-8.699999999999999</v>
      </c>
      <c r="E983" s="246" t="n">
        <v>5.8</v>
      </c>
      <c r="F983" s="246" t="n">
        <v>-13.9</v>
      </c>
      <c r="G983" s="246" t="n">
        <v>-13.3</v>
      </c>
      <c r="H983" s="246" t="n">
        <v>15.8</v>
      </c>
      <c r="I983" s="246" t="n">
        <v>-5.7</v>
      </c>
      <c r="J983" s="246" t="n">
        <v>-5.1</v>
      </c>
      <c r="K983" s="247" t="inlineStr">
        <is>
          <t>2153 TAT HONG EQUIP</t>
        </is>
      </c>
    </row>
    <row r="984">
      <c r="A984" s="51" t="inlineStr">
        <is>
          <t>Full Truck</t>
        </is>
      </c>
      <c r="B984" s="243" t="n">
        <v>1</v>
      </c>
      <c r="C984" s="245" t="n">
        <v>0</v>
      </c>
      <c r="D984" s="246" t="n">
        <v>-9.1</v>
      </c>
      <c r="E984" s="248" t="n"/>
      <c r="F984" s="248" t="n"/>
      <c r="G984" s="248" t="n"/>
      <c r="H984" s="248" t="n"/>
      <c r="I984" s="248" t="n"/>
      <c r="J984" s="248" t="n"/>
      <c r="K984" s="247" t="inlineStr">
        <is>
          <t>9607 RA MATERIALS</t>
        </is>
      </c>
    </row>
    <row r="985">
      <c r="A985" s="51" t="inlineStr">
        <is>
          <t>Goldshore</t>
        </is>
      </c>
      <c r="B985" s="243" t="n">
        <v>1</v>
      </c>
      <c r="C985" s="245" t="n">
        <v>0</v>
      </c>
      <c r="D985" s="246" t="n">
        <v>-9.1</v>
      </c>
      <c r="E985" s="248" t="n"/>
      <c r="F985" s="248" t="n"/>
      <c r="G985" s="248" t="n"/>
      <c r="H985" s="248" t="n"/>
      <c r="I985" s="248" t="n"/>
      <c r="J985" s="248" t="n"/>
      <c r="K985" s="247" t="inlineStr">
        <is>
          <t>9607 RA MATERIALS</t>
        </is>
      </c>
    </row>
    <row r="986">
      <c r="A986" s="51" t="inlineStr">
        <is>
          <t>Happy Wisdom</t>
        </is>
      </c>
      <c r="B986" s="243" t="n">
        <v>1</v>
      </c>
      <c r="C986" s="245" t="n">
        <v>0</v>
      </c>
      <c r="D986" s="246" t="n">
        <v>-9.1</v>
      </c>
      <c r="E986" s="248" t="n"/>
      <c r="F986" s="248" t="n"/>
      <c r="G986" s="248" t="n"/>
      <c r="H986" s="248" t="n"/>
      <c r="I986" s="248" t="n"/>
      <c r="J986" s="248" t="n"/>
      <c r="K986" s="247" t="inlineStr">
        <is>
          <t>9607 RA MATERIALS</t>
        </is>
      </c>
    </row>
    <row r="987">
      <c r="A987" s="51" t="inlineStr">
        <is>
          <t>Prinx Chengshan HK</t>
        </is>
      </c>
      <c r="B987" s="243" t="n">
        <v>1</v>
      </c>
      <c r="C987" s="245" t="n">
        <v>0</v>
      </c>
      <c r="D987" s="246" t="n">
        <v>-9.1</v>
      </c>
      <c r="E987" s="248" t="n"/>
      <c r="F987" s="248" t="n"/>
      <c r="G987" s="248" t="n"/>
      <c r="H987" s="248" t="n"/>
      <c r="I987" s="248" t="n"/>
      <c r="J987" s="248" t="n"/>
      <c r="K987" s="247" t="inlineStr">
        <is>
          <t>9607 RA MATERIALS</t>
        </is>
      </c>
    </row>
    <row r="988">
      <c r="A988" s="51" t="inlineStr">
        <is>
          <t>Yang Quanhai</t>
        </is>
      </c>
      <c r="B988" s="243" t="n">
        <v>1</v>
      </c>
      <c r="C988" s="245" t="n">
        <v>0</v>
      </c>
      <c r="D988" s="246" t="n">
        <v>-9.1</v>
      </c>
      <c r="E988" s="248" t="n"/>
      <c r="F988" s="248" t="n"/>
      <c r="G988" s="248" t="n"/>
      <c r="H988" s="248" t="n"/>
      <c r="I988" s="248" t="n"/>
      <c r="J988" s="248" t="n"/>
      <c r="K988" s="247" t="inlineStr">
        <is>
          <t>9607 RA MATERIALS</t>
        </is>
      </c>
    </row>
    <row r="989">
      <c r="A989" s="51" t="inlineStr">
        <is>
          <t>Zhou Bo</t>
        </is>
      </c>
      <c r="B989" s="243" t="n">
        <v>1</v>
      </c>
      <c r="C989" s="245" t="n">
        <v>0</v>
      </c>
      <c r="D989" s="246" t="n">
        <v>-9.1</v>
      </c>
      <c r="E989" s="248" t="n"/>
      <c r="F989" s="248" t="n"/>
      <c r="G989" s="248" t="n"/>
      <c r="H989" s="248" t="n"/>
      <c r="I989" s="248" t="n"/>
      <c r="J989" s="248" t="n"/>
      <c r="K989" s="247" t="inlineStr">
        <is>
          <t>9607 RA MATERIALS</t>
        </is>
      </c>
    </row>
    <row r="990">
      <c r="A990" s="51" t="inlineStr">
        <is>
          <t>Electronic Channel Limited</t>
        </is>
      </c>
      <c r="B990" s="243" t="n">
        <v>1</v>
      </c>
      <c r="C990" s="245" t="n">
        <v>0</v>
      </c>
      <c r="D990" s="246" t="n">
        <v>-9.199999999999999</v>
      </c>
      <c r="E990" s="246" t="n">
        <v>-31.8</v>
      </c>
      <c r="F990" s="248" t="n"/>
      <c r="G990" s="248" t="n"/>
      <c r="H990" s="246" t="n">
        <v>-24.9</v>
      </c>
      <c r="I990" s="248" t="n"/>
      <c r="J990" s="248" t="n"/>
      <c r="K990" s="247" t="inlineStr">
        <is>
          <t>6727 TRANSWARP</t>
        </is>
      </c>
    </row>
    <row r="991">
      <c r="A991" s="51" t="inlineStr">
        <is>
          <t>LUOYANG Sci-Tech Inv</t>
        </is>
      </c>
      <c r="B991" s="243" t="n">
        <v>1</v>
      </c>
      <c r="C991" s="245" t="n">
        <v>0</v>
      </c>
      <c r="D991" s="246" t="n">
        <v>-9.199999999999999</v>
      </c>
      <c r="E991" s="246" t="n">
        <v>-31.8</v>
      </c>
      <c r="F991" s="248" t="n"/>
      <c r="G991" s="248" t="n"/>
      <c r="H991" s="246" t="n">
        <v>-24.9</v>
      </c>
      <c r="I991" s="248" t="n"/>
      <c r="J991" s="248" t="n"/>
      <c r="K991" s="247" t="inlineStr">
        <is>
          <t>6727 TRANSWARP</t>
        </is>
      </c>
    </row>
    <row r="992">
      <c r="A992" s="51" t="inlineStr">
        <is>
          <t>Hello Inc</t>
        </is>
      </c>
      <c r="B992" s="243" t="n">
        <v>1</v>
      </c>
      <c r="C992" s="245" t="n">
        <v>0</v>
      </c>
      <c r="D992" s="246" t="n">
        <v>-9.300000000000001</v>
      </c>
      <c r="E992" s="246" t="n">
        <v>-6.9</v>
      </c>
      <c r="F992" s="246" t="n">
        <v>-19.9</v>
      </c>
      <c r="G992" s="246" t="n">
        <v>-52</v>
      </c>
      <c r="H992" s="246" t="n">
        <v>2.6</v>
      </c>
      <c r="I992" s="246" t="n">
        <v>-11.7</v>
      </c>
      <c r="J992" s="246" t="n">
        <v>-47.1</v>
      </c>
      <c r="K992" s="247" t="inlineStr">
        <is>
          <t>9699 SF INTRA-CITY</t>
        </is>
      </c>
    </row>
    <row r="993">
      <c r="A993" s="51" t="inlineStr">
        <is>
          <t>Taobao China Holding Limited</t>
        </is>
      </c>
      <c r="B993" s="243" t="n">
        <v>1</v>
      </c>
      <c r="C993" s="245" t="n">
        <v>0</v>
      </c>
      <c r="D993" s="246" t="n">
        <v>-9.300000000000001</v>
      </c>
      <c r="E993" s="246" t="n">
        <v>-6.9</v>
      </c>
      <c r="F993" s="246" t="n">
        <v>-19.9</v>
      </c>
      <c r="G993" s="246" t="n">
        <v>-52</v>
      </c>
      <c r="H993" s="246" t="n">
        <v>2.6</v>
      </c>
      <c r="I993" s="246" t="n">
        <v>-11.7</v>
      </c>
      <c r="J993" s="246" t="n">
        <v>-47.1</v>
      </c>
      <c r="K993" s="247" t="inlineStr">
        <is>
          <t>9699 SF INTRA-CITY</t>
        </is>
      </c>
    </row>
    <row r="994">
      <c r="A994" s="51" t="inlineStr">
        <is>
          <t>Ms. Wong, Ka Wai Vivian</t>
        </is>
      </c>
      <c r="B994" s="243" t="n">
        <v>1</v>
      </c>
      <c r="C994" s="245" t="n">
        <v>0</v>
      </c>
      <c r="D994" s="246" t="n">
        <v>-11.4</v>
      </c>
      <c r="E994" s="246" t="n">
        <v>-22.8</v>
      </c>
      <c r="F994" s="246" t="n">
        <v>-19.2</v>
      </c>
      <c r="G994" s="246" t="n">
        <v>-24</v>
      </c>
      <c r="H994" s="246" t="n">
        <v>-12.9</v>
      </c>
      <c r="I994" s="246" t="n">
        <v>-8.800000000000001</v>
      </c>
      <c r="J994" s="246" t="n">
        <v>-14.2</v>
      </c>
      <c r="K994" s="247" t="inlineStr">
        <is>
          <t>2519 AUGROUP</t>
        </is>
      </c>
    </row>
    <row r="995">
      <c r="A995" s="51" t="inlineStr">
        <is>
          <t>Hong Kong Xinghuang Holdings Limited</t>
        </is>
      </c>
      <c r="B995" s="243" t="n">
        <v>1</v>
      </c>
      <c r="C995" s="245" t="n">
        <v>0</v>
      </c>
      <c r="D995" s="246" t="n">
        <v>-11.9</v>
      </c>
      <c r="E995" s="246" t="n">
        <v>-18.5</v>
      </c>
      <c r="F995" s="246" t="n">
        <v>-16.1</v>
      </c>
      <c r="G995" s="246" t="n">
        <v>-31.8</v>
      </c>
      <c r="H995" s="246" t="n">
        <v>-7.5</v>
      </c>
      <c r="I995" s="246" t="n">
        <v>-4.8</v>
      </c>
      <c r="J995" s="246" t="n">
        <v>-22.6</v>
      </c>
      <c r="K995" s="247" t="inlineStr">
        <is>
          <t>2619 XJ ELECTRICS</t>
        </is>
      </c>
    </row>
    <row r="996">
      <c r="A996" s="51" t="inlineStr">
        <is>
          <t>Hong Kong Yunxing Technology Trade Management Co., Limited</t>
        </is>
      </c>
      <c r="B996" s="243" t="n">
        <v>1</v>
      </c>
      <c r="C996" s="245" t="n">
        <v>0</v>
      </c>
      <c r="D996" s="246" t="n">
        <v>-11.9</v>
      </c>
      <c r="E996" s="246" t="n">
        <v>-18.5</v>
      </c>
      <c r="F996" s="246" t="n">
        <v>-16.1</v>
      </c>
      <c r="G996" s="246" t="n">
        <v>-31.8</v>
      </c>
      <c r="H996" s="246" t="n">
        <v>-7.5</v>
      </c>
      <c r="I996" s="246" t="n">
        <v>-4.8</v>
      </c>
      <c r="J996" s="246" t="n">
        <v>-22.6</v>
      </c>
      <c r="K996" s="247" t="inlineStr">
        <is>
          <t>2619 XJ ELECTRICS</t>
        </is>
      </c>
    </row>
    <row r="997">
      <c r="A997" s="51" t="inlineStr">
        <is>
          <t>Lucky Advent Limited</t>
        </is>
      </c>
      <c r="B997" s="243" t="n">
        <v>1</v>
      </c>
      <c r="C997" s="245" t="n">
        <v>0</v>
      </c>
      <c r="D997" s="246" t="n">
        <v>-12</v>
      </c>
      <c r="E997" s="246" t="n">
        <v>-9</v>
      </c>
      <c r="F997" s="246" t="n">
        <v>-23.7</v>
      </c>
      <c r="G997" s="246" t="n">
        <v>-38.3</v>
      </c>
      <c r="H997" s="246" t="n">
        <v>3.4</v>
      </c>
      <c r="I997" s="246" t="n">
        <v>-13.3</v>
      </c>
      <c r="J997" s="246" t="n">
        <v>-29.9</v>
      </c>
      <c r="K997" s="247" t="inlineStr">
        <is>
          <t>9982 CENTRALCHINA MT</t>
        </is>
      </c>
    </row>
    <row r="998">
      <c r="A998" s="51" t="inlineStr">
        <is>
          <t>Action Chain International Limited</t>
        </is>
      </c>
      <c r="B998" s="243" t="n">
        <v>1</v>
      </c>
      <c r="C998" s="245" t="n">
        <v>0</v>
      </c>
      <c r="D998" s="246" t="n">
        <v>-12.5</v>
      </c>
      <c r="E998" s="246" t="n">
        <v>-19.6</v>
      </c>
      <c r="F998" s="246" t="n">
        <v>-11.3</v>
      </c>
      <c r="G998" s="246" t="n">
        <v>3.2</v>
      </c>
      <c r="H998" s="246" t="n">
        <v>-8.1</v>
      </c>
      <c r="I998" s="246" t="n">
        <v>1.4</v>
      </c>
      <c r="J998" s="246" t="n">
        <v>18</v>
      </c>
      <c r="K998" s="247" t="inlineStr">
        <is>
          <t>6831 GREEN TEA GROUP</t>
        </is>
      </c>
    </row>
    <row r="999">
      <c r="A999" s="51" t="inlineStr">
        <is>
          <t>Chia Tai Food Investment Company Limited</t>
        </is>
      </c>
      <c r="B999" s="243" t="n">
        <v>1</v>
      </c>
      <c r="C999" s="245" t="n">
        <v>0</v>
      </c>
      <c r="D999" s="246" t="n">
        <v>-12.5</v>
      </c>
      <c r="E999" s="246" t="n">
        <v>-19.6</v>
      </c>
      <c r="F999" s="246" t="n">
        <v>-11.3</v>
      </c>
      <c r="G999" s="246" t="n">
        <v>3.2</v>
      </c>
      <c r="H999" s="246" t="n">
        <v>-8.1</v>
      </c>
      <c r="I999" s="246" t="n">
        <v>1.4</v>
      </c>
      <c r="J999" s="246" t="n">
        <v>18</v>
      </c>
      <c r="K999" s="247" t="inlineStr">
        <is>
          <t>6831 GREEN TEA GROUP</t>
        </is>
      </c>
    </row>
    <row r="1000">
      <c r="A1000" s="51" t="inlineStr">
        <is>
          <t>Grand Rejuvenation Premium Selection Fund SPC</t>
        </is>
      </c>
      <c r="B1000" s="243" t="n">
        <v>1</v>
      </c>
      <c r="C1000" s="245" t="n">
        <v>0</v>
      </c>
      <c r="D1000" s="246" t="n">
        <v>-13.5</v>
      </c>
      <c r="E1000" s="246" t="n">
        <v>-19.1</v>
      </c>
      <c r="F1000" s="246" t="n">
        <v>-42.9</v>
      </c>
      <c r="G1000" s="246" t="n">
        <v>-39.2</v>
      </c>
      <c r="H1000" s="246" t="n">
        <v>-6.4</v>
      </c>
      <c r="I1000" s="246" t="n">
        <v>-34</v>
      </c>
      <c r="J1000" s="246" t="n">
        <v>-29.7</v>
      </c>
      <c r="K1000" s="247" t="inlineStr">
        <is>
          <t>2150 NAYUKI</t>
        </is>
      </c>
    </row>
    <row r="1001">
      <c r="A1001" s="51" t="inlineStr">
        <is>
          <t>Nanning Zhijia No. 1 Ruiyue Equity Investment Partnership (Limited Partnership)</t>
        </is>
      </c>
      <c r="B1001" s="243" t="n">
        <v>1</v>
      </c>
      <c r="C1001" s="245" t="n">
        <v>0</v>
      </c>
      <c r="D1001" s="246" t="n">
        <v>-13.7</v>
      </c>
      <c r="E1001" s="246" t="n">
        <v>-15.2</v>
      </c>
      <c r="F1001" s="246" t="n">
        <v>-7.8</v>
      </c>
      <c r="G1001" s="246" t="n">
        <v>-11.8</v>
      </c>
      <c r="H1001" s="246" t="n">
        <v>-1.8</v>
      </c>
      <c r="I1001" s="246" t="n">
        <v>6.8</v>
      </c>
      <c r="J1001" s="246" t="n">
        <v>2.2</v>
      </c>
      <c r="K1001" s="247" t="inlineStr">
        <is>
          <t>3881 CIDI</t>
        </is>
      </c>
    </row>
    <row r="1002">
      <c r="A1002" s="51" t="inlineStr">
        <is>
          <t>EVE Asia</t>
        </is>
      </c>
      <c r="B1002" s="243" t="n">
        <v>1</v>
      </c>
      <c r="C1002" s="245" t="n">
        <v>0</v>
      </c>
      <c r="D1002" s="246" t="n">
        <v>-14.2</v>
      </c>
      <c r="E1002" s="246" t="n">
        <v>-16.2</v>
      </c>
      <c r="F1002" s="246" t="n">
        <v>-3.5</v>
      </c>
      <c r="G1002" s="246" t="n">
        <v>25.2</v>
      </c>
      <c r="H1002" s="246" t="n">
        <v>-2.4</v>
      </c>
      <c r="I1002" s="246" t="n">
        <v>12.4</v>
      </c>
      <c r="J1002" s="246" t="n">
        <v>45.8</v>
      </c>
      <c r="K1002" s="247" t="inlineStr">
        <is>
          <t>2643 CAOCAO INC</t>
        </is>
      </c>
    </row>
    <row r="1003">
      <c r="A1003" s="51" t="inlineStr">
        <is>
          <t>RoboSense Hong Kong</t>
        </is>
      </c>
      <c r="B1003" s="243" t="n">
        <v>1</v>
      </c>
      <c r="C1003" s="245" t="n">
        <v>0</v>
      </c>
      <c r="D1003" s="246" t="n">
        <v>-14.2</v>
      </c>
      <c r="E1003" s="246" t="n">
        <v>-16.2</v>
      </c>
      <c r="F1003" s="246" t="n">
        <v>-3.5</v>
      </c>
      <c r="G1003" s="246" t="n">
        <v>25.2</v>
      </c>
      <c r="H1003" s="246" t="n">
        <v>-2.4</v>
      </c>
      <c r="I1003" s="246" t="n">
        <v>12.4</v>
      </c>
      <c r="J1003" s="246" t="n">
        <v>45.8</v>
      </c>
      <c r="K1003" s="247" t="inlineStr">
        <is>
          <t>2643 CAOCAO INC</t>
        </is>
      </c>
    </row>
    <row r="1004">
      <c r="A1004" s="51" t="inlineStr">
        <is>
          <t>Eurus Holdings SPC acting for and on behalf of OAAM Diversified Opportunities IV S.P</t>
        </is>
      </c>
      <c r="B1004" s="243" t="n">
        <v>1</v>
      </c>
      <c r="C1004" s="245" t="n">
        <v>0</v>
      </c>
      <c r="D1004" s="246" t="n">
        <v>-14.6</v>
      </c>
      <c r="E1004" s="246" t="n">
        <v>21.9</v>
      </c>
      <c r="F1004" s="246" t="n">
        <v>-42.2</v>
      </c>
      <c r="G1004" s="246" t="n">
        <v>-45.5</v>
      </c>
      <c r="H1004" s="246" t="n">
        <v>42.7</v>
      </c>
      <c r="I1004" s="246" t="n">
        <v>-32.3</v>
      </c>
      <c r="J1004" s="246" t="n">
        <v>-36.2</v>
      </c>
      <c r="K1004" s="247" t="inlineStr">
        <is>
          <t>3952 LAIFUAL</t>
        </is>
      </c>
    </row>
    <row r="1005">
      <c r="A1005" s="51" t="inlineStr">
        <is>
          <t>CaaS Capital Master Fund LP</t>
        </is>
      </c>
      <c r="B1005" s="243" t="n">
        <v>1</v>
      </c>
      <c r="C1005" s="245" t="n">
        <v>0</v>
      </c>
      <c r="D1005" s="246" t="n">
        <v>-14.8</v>
      </c>
      <c r="E1005" s="246" t="n">
        <v>-32.1</v>
      </c>
      <c r="F1005" s="246" t="n">
        <v>-20.9</v>
      </c>
      <c r="G1005" s="246" t="n">
        <v>-52.4</v>
      </c>
      <c r="H1005" s="246" t="n">
        <v>-20.4</v>
      </c>
      <c r="I1005" s="246" t="n">
        <v>-7.3</v>
      </c>
      <c r="J1005" s="246" t="n">
        <v>-44.1</v>
      </c>
      <c r="K1005" s="247" t="inlineStr">
        <is>
          <t>6622 ZHAOKE OPHTH-B</t>
        </is>
      </c>
    </row>
    <row r="1006">
      <c r="A1006" s="51" t="inlineStr">
        <is>
          <t>Jennison Associates LLC</t>
        </is>
      </c>
      <c r="B1006" s="243" t="n">
        <v>1</v>
      </c>
      <c r="C1006" s="245" t="n">
        <v>0</v>
      </c>
      <c r="D1006" s="246" t="n">
        <v>-14.8</v>
      </c>
      <c r="E1006" s="246" t="n">
        <v>-32.1</v>
      </c>
      <c r="F1006" s="246" t="n">
        <v>-20.9</v>
      </c>
      <c r="G1006" s="246" t="n">
        <v>-52.4</v>
      </c>
      <c r="H1006" s="246" t="n">
        <v>-20.4</v>
      </c>
      <c r="I1006" s="246" t="n">
        <v>-7.3</v>
      </c>
      <c r="J1006" s="246" t="n">
        <v>-44.1</v>
      </c>
      <c r="K1006" s="247" t="inlineStr">
        <is>
          <t>6622 ZHAOKE OPHTH-B</t>
        </is>
      </c>
    </row>
    <row r="1007">
      <c r="A1007" s="51" t="inlineStr">
        <is>
          <t>Mass Ave Global, Inc</t>
        </is>
      </c>
      <c r="B1007" s="243" t="n">
        <v>1</v>
      </c>
      <c r="C1007" s="245" t="n">
        <v>0</v>
      </c>
      <c r="D1007" s="246" t="n">
        <v>-14.8</v>
      </c>
      <c r="E1007" s="246" t="n">
        <v>-32.1</v>
      </c>
      <c r="F1007" s="246" t="n">
        <v>-20.9</v>
      </c>
      <c r="G1007" s="246" t="n">
        <v>-52.4</v>
      </c>
      <c r="H1007" s="246" t="n">
        <v>-20.4</v>
      </c>
      <c r="I1007" s="246" t="n">
        <v>-7.3</v>
      </c>
      <c r="J1007" s="246" t="n">
        <v>-44.1</v>
      </c>
      <c r="K1007" s="247" t="inlineStr">
        <is>
          <t>6622 ZHAOKE OPHTH-B</t>
        </is>
      </c>
    </row>
    <row r="1008">
      <c r="A1008" s="51" t="inlineStr">
        <is>
          <t>VMS Zhaoke Investment Fund SP</t>
        </is>
      </c>
      <c r="B1008" s="243" t="n">
        <v>1</v>
      </c>
      <c r="C1008" s="245" t="n">
        <v>0</v>
      </c>
      <c r="D1008" s="246" t="n">
        <v>-14.8</v>
      </c>
      <c r="E1008" s="246" t="n">
        <v>-32.1</v>
      </c>
      <c r="F1008" s="246" t="n">
        <v>-20.9</v>
      </c>
      <c r="G1008" s="246" t="n">
        <v>-52.4</v>
      </c>
      <c r="H1008" s="246" t="n">
        <v>-20.4</v>
      </c>
      <c r="I1008" s="246" t="n">
        <v>-7.3</v>
      </c>
      <c r="J1008" s="246" t="n">
        <v>-44.1</v>
      </c>
      <c r="K1008" s="247" t="inlineStr">
        <is>
          <t>6622 ZHAOKE OPHTH-B</t>
        </is>
      </c>
    </row>
    <row r="1009">
      <c r="A1009" s="51" t="inlineStr">
        <is>
          <t>Accel Group Holdings Limited 高 陞集團控股有限公司</t>
        </is>
      </c>
      <c r="B1009" s="243" t="n">
        <v>1</v>
      </c>
      <c r="C1009" s="245" t="n">
        <v>0</v>
      </c>
      <c r="D1009" s="246" t="n">
        <v>-15.1</v>
      </c>
      <c r="E1009" s="246" t="n">
        <v>-39.7</v>
      </c>
      <c r="F1009" s="246" t="n">
        <v>-37</v>
      </c>
      <c r="G1009" s="246" t="n">
        <v>-44.5</v>
      </c>
      <c r="H1009" s="246" t="n">
        <v>-29</v>
      </c>
      <c r="I1009" s="246" t="n">
        <v>-25.8</v>
      </c>
      <c r="J1009" s="246" t="n">
        <v>-34.7</v>
      </c>
      <c r="K1009" s="247" t="inlineStr">
        <is>
          <t>9639 WING LEE DEV</t>
        </is>
      </c>
    </row>
    <row r="1010">
      <c r="A1010" s="51" t="inlineStr">
        <is>
          <t>Cederberg Capital Limited</t>
        </is>
      </c>
      <c r="B1010" s="243" t="n">
        <v>1</v>
      </c>
      <c r="C1010" s="245" t="n">
        <v>0</v>
      </c>
      <c r="D1010" s="246" t="n">
        <v>-16</v>
      </c>
      <c r="E1010" s="246" t="n">
        <v>-23.1</v>
      </c>
      <c r="F1010" s="246" t="n">
        <v>-35.1</v>
      </c>
      <c r="G1010" s="246" t="n">
        <v>-40.6</v>
      </c>
      <c r="H1010" s="246" t="n">
        <v>-8.4</v>
      </c>
      <c r="I1010" s="246" t="n">
        <v>-22.6</v>
      </c>
      <c r="J1010" s="246" t="n">
        <v>-29.2</v>
      </c>
      <c r="K1010" s="247" t="inlineStr">
        <is>
          <t>6608 BAIRONG-W</t>
        </is>
      </c>
    </row>
    <row r="1011">
      <c r="A1011" s="51" t="inlineStr">
        <is>
          <t>Franchise Fund LP</t>
        </is>
      </c>
      <c r="B1011" s="243" t="n">
        <v>1</v>
      </c>
      <c r="C1011" s="245" t="n">
        <v>0</v>
      </c>
      <c r="D1011" s="246" t="n">
        <v>-16</v>
      </c>
      <c r="E1011" s="246" t="n">
        <v>-23.1</v>
      </c>
      <c r="F1011" s="246" t="n">
        <v>-35.1</v>
      </c>
      <c r="G1011" s="246" t="n">
        <v>-40.6</v>
      </c>
      <c r="H1011" s="246" t="n">
        <v>-8.4</v>
      </c>
      <c r="I1011" s="246" t="n">
        <v>-22.6</v>
      </c>
      <c r="J1011" s="246" t="n">
        <v>-29.2</v>
      </c>
      <c r="K1011" s="247" t="inlineStr">
        <is>
          <t>6608 BAIRONG-W</t>
        </is>
      </c>
    </row>
    <row r="1012">
      <c r="A1012" s="51" t="inlineStr">
        <is>
          <t>Hengtong Optic-electric International</t>
        </is>
      </c>
      <c r="B1012" s="243" t="n">
        <v>1</v>
      </c>
      <c r="C1012" s="245" t="n">
        <v>0</v>
      </c>
      <c r="D1012" s="246" t="n">
        <v>-16</v>
      </c>
      <c r="E1012" s="246" t="n">
        <v>-16.4</v>
      </c>
      <c r="F1012" s="246" t="n">
        <v>-16.7</v>
      </c>
      <c r="G1012" s="246" t="n">
        <v>8.300000000000001</v>
      </c>
      <c r="H1012" s="246" t="n">
        <v>-0.5</v>
      </c>
      <c r="I1012" s="246" t="n">
        <v>-0.8</v>
      </c>
      <c r="J1012" s="246" t="n">
        <v>28.9</v>
      </c>
      <c r="K1012" s="247" t="inlineStr">
        <is>
          <t>2715 ESTUN</t>
        </is>
      </c>
    </row>
    <row r="1013">
      <c r="A1013" s="51" t="inlineStr">
        <is>
          <t>Haitian Huayuan</t>
        </is>
      </c>
      <c r="B1013" s="243" t="n">
        <v>1</v>
      </c>
      <c r="C1013" s="245" t="n">
        <v>0</v>
      </c>
      <c r="D1013" s="246" t="n">
        <v>-16</v>
      </c>
      <c r="E1013" s="246" t="n">
        <v>-16.4</v>
      </c>
      <c r="F1013" s="246" t="n">
        <v>-16.7</v>
      </c>
      <c r="G1013" s="246" t="n">
        <v>8.300000000000001</v>
      </c>
      <c r="H1013" s="246" t="n">
        <v>-0.5</v>
      </c>
      <c r="I1013" s="246" t="n">
        <v>-0.8</v>
      </c>
      <c r="J1013" s="246" t="n">
        <v>28.9</v>
      </c>
      <c r="K1013" s="247" t="inlineStr">
        <is>
          <t>2715 ESTUN</t>
        </is>
      </c>
    </row>
    <row r="1014">
      <c r="A1014" s="51" t="inlineStr">
        <is>
          <t>New Fortune</t>
        </is>
      </c>
      <c r="B1014" s="243" t="n">
        <v>1</v>
      </c>
      <c r="C1014" s="245" t="n">
        <v>0</v>
      </c>
      <c r="D1014" s="246" t="n">
        <v>-16</v>
      </c>
      <c r="E1014" s="246" t="n">
        <v>-16.4</v>
      </c>
      <c r="F1014" s="246" t="n">
        <v>-16.7</v>
      </c>
      <c r="G1014" s="246" t="n">
        <v>8.300000000000001</v>
      </c>
      <c r="H1014" s="246" t="n">
        <v>-0.5</v>
      </c>
      <c r="I1014" s="246" t="n">
        <v>-0.8</v>
      </c>
      <c r="J1014" s="246" t="n">
        <v>28.9</v>
      </c>
      <c r="K1014" s="247" t="inlineStr">
        <is>
          <t>2715 ESTUN</t>
        </is>
      </c>
    </row>
    <row r="1015">
      <c r="A1015" s="51" t="inlineStr">
        <is>
          <t>CI Global Asset Management</t>
        </is>
      </c>
      <c r="B1015" s="243" t="n">
        <v>1</v>
      </c>
      <c r="C1015" s="245" t="n">
        <v>0</v>
      </c>
      <c r="D1015" s="246" t="n">
        <v>-16.5</v>
      </c>
      <c r="E1015" s="246" t="n">
        <v>-7.6</v>
      </c>
      <c r="F1015" s="246" t="n">
        <v>-9.6</v>
      </c>
      <c r="G1015" s="246" t="n">
        <v>-12.4</v>
      </c>
      <c r="H1015" s="246" t="n">
        <v>10.6</v>
      </c>
      <c r="I1015" s="246" t="n">
        <v>8.199999999999999</v>
      </c>
      <c r="J1015" s="246" t="n">
        <v>4.8</v>
      </c>
      <c r="K1015" s="247" t="inlineStr">
        <is>
          <t>2191 SF REIT</t>
        </is>
      </c>
    </row>
    <row r="1016">
      <c r="A1016" s="51" t="inlineStr">
        <is>
          <t>SINO-BLR Industrial Investment Fund, L.P</t>
        </is>
      </c>
      <c r="B1016" s="243" t="n">
        <v>1</v>
      </c>
      <c r="C1016" s="245" t="n">
        <v>0</v>
      </c>
      <c r="D1016" s="246" t="n">
        <v>-16.6</v>
      </c>
      <c r="E1016" s="246" t="n">
        <v>-19.2</v>
      </c>
      <c r="F1016" s="246" t="n">
        <v>-11.5</v>
      </c>
      <c r="G1016" s="246" t="n">
        <v>-35.1</v>
      </c>
      <c r="H1016" s="246" t="n">
        <v>-3.2</v>
      </c>
      <c r="I1016" s="246" t="n">
        <v>6</v>
      </c>
      <c r="J1016" s="246" t="n">
        <v>-22.2</v>
      </c>
      <c r="K1016" s="247" t="inlineStr">
        <is>
          <t>6680 JLMAG</t>
        </is>
      </c>
    </row>
    <row r="1017">
      <c r="A1017" s="51" t="inlineStr">
        <is>
          <t>HiTai (Hong Kong) Limited ʮ̡</t>
        </is>
      </c>
      <c r="B1017" s="243" t="n">
        <v>1</v>
      </c>
      <c r="C1017" s="245" t="n">
        <v>0</v>
      </c>
      <c r="D1017" s="246" t="n">
        <v>-18.2</v>
      </c>
      <c r="E1017" s="246" t="n">
        <v>-33</v>
      </c>
      <c r="F1017" s="246" t="n">
        <v>-39.5</v>
      </c>
      <c r="G1017" s="246" t="n">
        <v>-41.8</v>
      </c>
      <c r="H1017" s="246" t="n">
        <v>-18.1</v>
      </c>
      <c r="I1017" s="246" t="n">
        <v>-26</v>
      </c>
      <c r="J1017" s="246" t="n">
        <v>-28.9</v>
      </c>
      <c r="K1017" s="247" t="inlineStr">
        <is>
          <t>2621 SHOUHUI GROUP</t>
        </is>
      </c>
    </row>
    <row r="1018">
      <c r="A1018" s="51" t="inlineStr">
        <is>
          <t>Taller industrial Co., Limited</t>
        </is>
      </c>
      <c r="B1018" s="243" t="n">
        <v>1</v>
      </c>
      <c r="C1018" s="245" t="n">
        <v>0</v>
      </c>
      <c r="D1018" s="246" t="n">
        <v>-18.2</v>
      </c>
      <c r="E1018" s="246" t="n">
        <v>-33</v>
      </c>
      <c r="F1018" s="246" t="n">
        <v>-39.5</v>
      </c>
      <c r="G1018" s="246" t="n">
        <v>-41.8</v>
      </c>
      <c r="H1018" s="246" t="n">
        <v>-18.1</v>
      </c>
      <c r="I1018" s="246" t="n">
        <v>-26</v>
      </c>
      <c r="J1018" s="246" t="n">
        <v>-28.9</v>
      </c>
      <c r="K1018" s="247" t="inlineStr">
        <is>
          <t>2621 SHOUHUI GROUP</t>
        </is>
      </c>
    </row>
    <row r="1019">
      <c r="A1019" s="51" t="inlineStr">
        <is>
          <t>ROSY DAY INVESTMENTS LIMITED</t>
        </is>
      </c>
      <c r="B1019" s="243" t="n">
        <v>1</v>
      </c>
      <c r="C1019" s="245" t="n">
        <v>0</v>
      </c>
      <c r="D1019" s="246" t="n">
        <v>-18.7</v>
      </c>
      <c r="E1019" s="246" t="n">
        <v>0</v>
      </c>
      <c r="F1019" s="246" t="n">
        <v>-14.8</v>
      </c>
      <c r="G1019" s="246" t="n">
        <v>2.8</v>
      </c>
      <c r="H1019" s="246" t="n">
        <v>23</v>
      </c>
      <c r="I1019" s="246" t="n">
        <v>4.8</v>
      </c>
      <c r="J1019" s="246" t="n">
        <v>26.4</v>
      </c>
      <c r="K1019" s="247" t="inlineStr">
        <is>
          <t>6911 LANCANG TEA</t>
        </is>
      </c>
    </row>
    <row r="1020">
      <c r="A1020" s="51" t="inlineStr">
        <is>
          <t>Wang Chunyu</t>
        </is>
      </c>
      <c r="B1020" s="243" t="n">
        <v>1</v>
      </c>
      <c r="C1020" s="245" t="n">
        <v>0</v>
      </c>
      <c r="D1020" s="246" t="n">
        <v>-18.7</v>
      </c>
      <c r="E1020" s="246" t="n">
        <v>0</v>
      </c>
      <c r="F1020" s="246" t="n">
        <v>-14.8</v>
      </c>
      <c r="G1020" s="246" t="n">
        <v>2.8</v>
      </c>
      <c r="H1020" s="246" t="n">
        <v>23</v>
      </c>
      <c r="I1020" s="246" t="n">
        <v>4.8</v>
      </c>
      <c r="J1020" s="246" t="n">
        <v>26.4</v>
      </c>
      <c r="K1020" s="247" t="inlineStr">
        <is>
          <t>6911 LANCANG TEA</t>
        </is>
      </c>
    </row>
    <row r="1021">
      <c r="A1021" s="51" t="inlineStr">
        <is>
          <t>Lancang Green Resource Investment Co., Ltd</t>
        </is>
      </c>
      <c r="B1021" s="243" t="n">
        <v>1</v>
      </c>
      <c r="C1021" s="245" t="n">
        <v>0</v>
      </c>
      <c r="D1021" s="246" t="n">
        <v>-18.7</v>
      </c>
      <c r="E1021" s="246" t="n">
        <v>0</v>
      </c>
      <c r="F1021" s="246" t="n">
        <v>-14.8</v>
      </c>
      <c r="G1021" s="246" t="n">
        <v>2.8</v>
      </c>
      <c r="H1021" s="246" t="n">
        <v>23</v>
      </c>
      <c r="I1021" s="246" t="n">
        <v>4.8</v>
      </c>
      <c r="J1021" s="246" t="n">
        <v>26.4</v>
      </c>
      <c r="K1021" s="247" t="inlineStr">
        <is>
          <t>6911 LANCANG TEA</t>
        </is>
      </c>
    </row>
    <row r="1022">
      <c r="A1022" s="51" t="inlineStr">
        <is>
          <t>Beijing Yian and HTCI (in connection with the Beijing Yian OTC Swaps)</t>
        </is>
      </c>
      <c r="B1022" s="243" t="n">
        <v>1</v>
      </c>
      <c r="C1022" s="245" t="n">
        <v>0</v>
      </c>
      <c r="D1022" s="246" t="n">
        <v>-18.7</v>
      </c>
      <c r="E1022" s="246" t="n">
        <v>-13.2</v>
      </c>
      <c r="F1022" s="246" t="n">
        <v>-3.2</v>
      </c>
      <c r="G1022" s="248" t="n"/>
      <c r="H1022" s="246" t="n">
        <v>6.7</v>
      </c>
      <c r="I1022" s="246" t="n">
        <v>19.1</v>
      </c>
      <c r="J1022" s="248" t="n"/>
      <c r="K1022" s="247" t="inlineStr">
        <is>
          <t>6745 BEFAR GROUP</t>
        </is>
      </c>
    </row>
    <row r="1023">
      <c r="A1023" s="51" t="inlineStr">
        <is>
          <t>Luhua Daosheng and HTCI (in connection with the Luhua Daosheng OTC Swaps)</t>
        </is>
      </c>
      <c r="B1023" s="243" t="n">
        <v>1</v>
      </c>
      <c r="C1023" s="245" t="n">
        <v>0</v>
      </c>
      <c r="D1023" s="246" t="n">
        <v>-18.7</v>
      </c>
      <c r="E1023" s="246" t="n">
        <v>-13.2</v>
      </c>
      <c r="F1023" s="246" t="n">
        <v>-3.2</v>
      </c>
      <c r="G1023" s="248" t="n"/>
      <c r="H1023" s="246" t="n">
        <v>6.7</v>
      </c>
      <c r="I1023" s="246" t="n">
        <v>19.1</v>
      </c>
      <c r="J1023" s="248" t="n"/>
      <c r="K1023" s="247" t="inlineStr">
        <is>
          <t>6745 BEFAR GROUP</t>
        </is>
      </c>
    </row>
    <row r="1024">
      <c r="A1024" s="51" t="inlineStr">
        <is>
          <t>Hyperion Venture</t>
        </is>
      </c>
      <c r="B1024" s="243" t="n">
        <v>1</v>
      </c>
      <c r="C1024" s="245" t="n">
        <v>0</v>
      </c>
      <c r="D1024" s="246" t="n">
        <v>-18.7</v>
      </c>
      <c r="E1024" s="246" t="n">
        <v>-13.2</v>
      </c>
      <c r="F1024" s="246" t="n">
        <v>-3.2</v>
      </c>
      <c r="G1024" s="248" t="n"/>
      <c r="H1024" s="246" t="n">
        <v>6.7</v>
      </c>
      <c r="I1024" s="246" t="n">
        <v>19.1</v>
      </c>
      <c r="J1024" s="248" t="n"/>
      <c r="K1024" s="247" t="inlineStr">
        <is>
          <t>6745 BEFAR GROUP</t>
        </is>
      </c>
    </row>
    <row r="1025">
      <c r="A1025" s="51" t="inlineStr">
        <is>
          <t>Tianto</t>
        </is>
      </c>
      <c r="B1025" s="243" t="n">
        <v>1</v>
      </c>
      <c r="C1025" s="245" t="n">
        <v>0</v>
      </c>
      <c r="D1025" s="246" t="n">
        <v>-18.7</v>
      </c>
      <c r="E1025" s="246" t="n">
        <v>-13.2</v>
      </c>
      <c r="F1025" s="246" t="n">
        <v>-3.2</v>
      </c>
      <c r="G1025" s="248" t="n"/>
      <c r="H1025" s="246" t="n">
        <v>6.7</v>
      </c>
      <c r="I1025" s="246" t="n">
        <v>19.1</v>
      </c>
      <c r="J1025" s="248" t="n"/>
      <c r="K1025" s="247" t="inlineStr">
        <is>
          <t>6745 BEFAR GROUP</t>
        </is>
      </c>
    </row>
    <row r="1026">
      <c r="A1026" s="51" t="inlineStr">
        <is>
          <t>Safewell</t>
        </is>
      </c>
      <c r="B1026" s="243" t="n">
        <v>1</v>
      </c>
      <c r="C1026" s="245" t="n">
        <v>0</v>
      </c>
      <c r="D1026" s="246" t="n">
        <v>-18.7</v>
      </c>
      <c r="E1026" s="246" t="n">
        <v>-13.2</v>
      </c>
      <c r="F1026" s="246" t="n">
        <v>-3.2</v>
      </c>
      <c r="G1026" s="248" t="n"/>
      <c r="H1026" s="246" t="n">
        <v>6.7</v>
      </c>
      <c r="I1026" s="246" t="n">
        <v>19.1</v>
      </c>
      <c r="J1026" s="248" t="n"/>
      <c r="K1026" s="247" t="inlineStr">
        <is>
          <t>6745 BEFAR GROUP</t>
        </is>
      </c>
    </row>
    <row r="1027">
      <c r="A1027" s="51" t="inlineStr">
        <is>
          <t>Summer Healthcare Fund, L.P</t>
        </is>
      </c>
      <c r="B1027" s="243" t="n">
        <v>1</v>
      </c>
      <c r="C1027" s="245" t="n">
        <v>0</v>
      </c>
      <c r="D1027" s="246" t="n">
        <v>-19.8</v>
      </c>
      <c r="E1027" s="246" t="n">
        <v>-27.8</v>
      </c>
      <c r="F1027" s="246" t="n">
        <v>-39.6</v>
      </c>
      <c r="G1027" s="246" t="n">
        <v>-56.7</v>
      </c>
      <c r="H1027" s="246" t="n">
        <v>-10</v>
      </c>
      <c r="I1027" s="246" t="n">
        <v>-24.7</v>
      </c>
      <c r="J1027" s="246" t="n">
        <v>-46.1</v>
      </c>
      <c r="K1027" s="247" t="inlineStr">
        <is>
          <t>2216 BRONCUS-B</t>
        </is>
      </c>
    </row>
    <row r="1028">
      <c r="A1028" s="51" t="inlineStr">
        <is>
          <t>Danube Bridge Shipping Limited</t>
        </is>
      </c>
      <c r="B1028" s="243" t="n">
        <v>1</v>
      </c>
      <c r="C1028" s="245" t="n">
        <v>0</v>
      </c>
      <c r="D1028" s="246" t="n">
        <v>-21.1</v>
      </c>
      <c r="E1028" s="246" t="n">
        <v>-7.7</v>
      </c>
      <c r="F1028" s="246" t="n">
        <v>-13.8</v>
      </c>
      <c r="G1028" s="246" t="n">
        <v>-5.8</v>
      </c>
      <c r="H1028" s="246" t="n">
        <v>17.1</v>
      </c>
      <c r="I1028" s="246" t="n">
        <v>9.300000000000001</v>
      </c>
      <c r="J1028" s="246" t="n">
        <v>19.4</v>
      </c>
      <c r="K1028" s="247" t="inlineStr">
        <is>
          <t>2409 SEACON</t>
        </is>
      </c>
    </row>
    <row r="1029">
      <c r="A1029" s="51" t="inlineStr">
        <is>
          <t>Guodian Shipping (Hong Kong) Company Limited</t>
        </is>
      </c>
      <c r="B1029" s="243" t="n">
        <v>1</v>
      </c>
      <c r="C1029" s="245" t="n">
        <v>0</v>
      </c>
      <c r="D1029" s="246" t="n">
        <v>-21.1</v>
      </c>
      <c r="E1029" s="246" t="n">
        <v>-7.7</v>
      </c>
      <c r="F1029" s="246" t="n">
        <v>-13.8</v>
      </c>
      <c r="G1029" s="246" t="n">
        <v>-5.8</v>
      </c>
      <c r="H1029" s="246" t="n">
        <v>17.1</v>
      </c>
      <c r="I1029" s="246" t="n">
        <v>9.300000000000001</v>
      </c>
      <c r="J1029" s="246" t="n">
        <v>19.4</v>
      </c>
      <c r="K1029" s="247" t="inlineStr">
        <is>
          <t>2409 SEACON</t>
        </is>
      </c>
    </row>
    <row r="1030">
      <c r="A1030" s="51" t="inlineStr">
        <is>
          <t>Kobayashi Pharmaceutical Co., Ltd</t>
        </is>
      </c>
      <c r="B1030" s="243" t="n">
        <v>1</v>
      </c>
      <c r="C1030" s="245" t="n">
        <v>0</v>
      </c>
      <c r="D1030" s="246" t="n">
        <v>-23.8</v>
      </c>
      <c r="E1030" s="246" t="n">
        <v>-29.1</v>
      </c>
      <c r="F1030" s="246" t="n">
        <v>-50.4</v>
      </c>
      <c r="G1030" s="246" t="n">
        <v>-57</v>
      </c>
      <c r="H1030" s="246" t="n">
        <v>-7</v>
      </c>
      <c r="I1030" s="246" t="n">
        <v>-35</v>
      </c>
      <c r="J1030" s="246" t="n">
        <v>-43.6</v>
      </c>
      <c r="K1030" s="247" t="inlineStr">
        <is>
          <t>2177 UNQ HOLDINGS</t>
        </is>
      </c>
    </row>
    <row r="1031">
      <c r="A1031" s="51" t="inlineStr">
        <is>
          <t>Unicharm Corporation</t>
        </is>
      </c>
      <c r="B1031" s="243" t="n">
        <v>1</v>
      </c>
      <c r="C1031" s="245" t="n">
        <v>0</v>
      </c>
      <c r="D1031" s="246" t="n">
        <v>-23.8</v>
      </c>
      <c r="E1031" s="246" t="n">
        <v>-29.1</v>
      </c>
      <c r="F1031" s="246" t="n">
        <v>-50.4</v>
      </c>
      <c r="G1031" s="246" t="n">
        <v>-57</v>
      </c>
      <c r="H1031" s="246" t="n">
        <v>-7</v>
      </c>
      <c r="I1031" s="246" t="n">
        <v>-35</v>
      </c>
      <c r="J1031" s="246" t="n">
        <v>-43.6</v>
      </c>
      <c r="K1031" s="247" t="inlineStr">
        <is>
          <t>2177 UNQ HOLDINGS</t>
        </is>
      </c>
    </row>
    <row r="1032">
      <c r="A1032" s="51" t="inlineStr">
        <is>
          <t>Shenzhen Futian Guiding Fund Investment Co., Ltd</t>
        </is>
      </c>
      <c r="B1032" s="243" t="n">
        <v>1</v>
      </c>
      <c r="C1032" s="245" t="n">
        <v>0</v>
      </c>
      <c r="D1032" s="246" t="n">
        <v>-24.9</v>
      </c>
      <c r="E1032" s="246" t="n">
        <v>-38.5</v>
      </c>
      <c r="F1032" s="246" t="n">
        <v>-13.8</v>
      </c>
      <c r="G1032" s="246" t="n">
        <v>-20.1</v>
      </c>
      <c r="H1032" s="246" t="n">
        <v>-18</v>
      </c>
      <c r="I1032" s="246" t="n">
        <v>14.7</v>
      </c>
      <c r="J1032" s="246" t="n">
        <v>6.3</v>
      </c>
      <c r="K1032" s="247" t="inlineStr">
        <is>
          <t>1973 TIAN TU CAPITAL</t>
        </is>
      </c>
    </row>
    <row r="1033">
      <c r="A1033" s="51" t="inlineStr">
        <is>
          <t>SVF II Zeal</t>
        </is>
      </c>
      <c r="B1033" s="243" t="n">
        <v>1</v>
      </c>
      <c r="C1033" s="245" t="n">
        <v>0</v>
      </c>
      <c r="D1033" s="246" t="n">
        <v>-25.5</v>
      </c>
      <c r="E1033" s="246" t="n">
        <v>-34.4</v>
      </c>
      <c r="F1033" s="246" t="n">
        <v>-46.8</v>
      </c>
      <c r="G1033" s="246" t="n">
        <v>-24.1</v>
      </c>
      <c r="H1033" s="246" t="n">
        <v>-11.9</v>
      </c>
      <c r="I1033" s="246" t="n">
        <v>-28.6</v>
      </c>
      <c r="J1033" s="246" t="n">
        <v>1.8</v>
      </c>
      <c r="K1033" s="247" t="inlineStr">
        <is>
          <t>2121 AINNOVATION</t>
        </is>
      </c>
    </row>
    <row r="1034">
      <c r="A1034" s="51" t="inlineStr">
        <is>
          <t>Jinan Huaiyin Urban Construction Investment Group Co., Ltd</t>
        </is>
      </c>
      <c r="B1034" s="243" t="n">
        <v>1</v>
      </c>
      <c r="C1034" s="245" t="n">
        <v>0</v>
      </c>
      <c r="D1034" s="246" t="n">
        <v>-25.9</v>
      </c>
      <c r="E1034" s="246" t="n">
        <v>-23.5</v>
      </c>
      <c r="F1034" s="246" t="n">
        <v>-25.9</v>
      </c>
      <c r="G1034" s="246" t="n">
        <v>-20</v>
      </c>
      <c r="H1034" s="246" t="n">
        <v>3.2</v>
      </c>
      <c r="I1034" s="246" t="n">
        <v>0</v>
      </c>
      <c r="J1034" s="246" t="n">
        <v>7.9</v>
      </c>
      <c r="K1034" s="247" t="inlineStr">
        <is>
          <t>2455 RUNHUA SERVICE</t>
        </is>
      </c>
    </row>
    <row r="1035">
      <c r="A1035" s="51" t="inlineStr">
        <is>
          <t>Yizekangrui Medical (HK) Limited ʮ̡</t>
        </is>
      </c>
      <c r="B1035" s="243" t="n">
        <v>1</v>
      </c>
      <c r="C1035" s="245" t="n">
        <v>0</v>
      </c>
      <c r="D1035" s="246" t="n">
        <v>-25.9</v>
      </c>
      <c r="E1035" s="246" t="n">
        <v>-37.8</v>
      </c>
      <c r="F1035" s="246" t="n">
        <v>-42.3</v>
      </c>
      <c r="G1035" s="246" t="n">
        <v>118</v>
      </c>
      <c r="H1035" s="246" t="n">
        <v>-16.1</v>
      </c>
      <c r="I1035" s="246" t="n">
        <v>-22.1</v>
      </c>
      <c r="J1035" s="246" t="n">
        <v>194.1</v>
      </c>
      <c r="K1035" s="247" t="inlineStr">
        <is>
          <t>2565 PEGBIO CO-B</t>
        </is>
      </c>
    </row>
    <row r="1036">
      <c r="A1036" s="51" t="inlineStr">
        <is>
          <t>Daguan International Limited</t>
        </is>
      </c>
      <c r="B1036" s="243" t="n">
        <v>1</v>
      </c>
      <c r="C1036" s="245" t="n">
        <v>0</v>
      </c>
      <c r="D1036" s="246" t="n">
        <v>-26.1</v>
      </c>
      <c r="E1036" s="246" t="n">
        <v>-26.9</v>
      </c>
      <c r="F1036" s="246" t="n">
        <v>-37.9</v>
      </c>
      <c r="G1036" s="246" t="n">
        <v>-41</v>
      </c>
      <c r="H1036" s="246" t="n">
        <v>-1.1</v>
      </c>
      <c r="I1036" s="246" t="n">
        <v>-16</v>
      </c>
      <c r="J1036" s="246" t="n">
        <v>-20.2</v>
      </c>
      <c r="K1036" s="247" t="inlineStr">
        <is>
          <t>6669 ACOTEC-B</t>
        </is>
      </c>
    </row>
    <row r="1037">
      <c r="A1037" s="51" t="inlineStr">
        <is>
          <t>New Journey Hospital Group Ltd</t>
        </is>
      </c>
      <c r="B1037" s="243" t="n">
        <v>1</v>
      </c>
      <c r="C1037" s="245" t="n">
        <v>0</v>
      </c>
      <c r="D1037" s="246" t="n">
        <v>-26.1</v>
      </c>
      <c r="E1037" s="246" t="n">
        <v>-26.9</v>
      </c>
      <c r="F1037" s="246" t="n">
        <v>-37.9</v>
      </c>
      <c r="G1037" s="246" t="n">
        <v>-41</v>
      </c>
      <c r="H1037" s="246" t="n">
        <v>-1.1</v>
      </c>
      <c r="I1037" s="246" t="n">
        <v>-16</v>
      </c>
      <c r="J1037" s="246" t="n">
        <v>-20.2</v>
      </c>
      <c r="K1037" s="247" t="inlineStr">
        <is>
          <t>6669 ACOTEC-B</t>
        </is>
      </c>
    </row>
    <row r="1038">
      <c r="A1038" s="51" t="inlineStr">
        <is>
          <t>PRIMEONE LUCK LIMITED</t>
        </is>
      </c>
      <c r="B1038" s="243" t="n">
        <v>1</v>
      </c>
      <c r="C1038" s="245" t="n">
        <v>0</v>
      </c>
      <c r="D1038" s="246" t="n">
        <v>-26.1</v>
      </c>
      <c r="E1038" s="246" t="n">
        <v>-26.9</v>
      </c>
      <c r="F1038" s="246" t="n">
        <v>-37.9</v>
      </c>
      <c r="G1038" s="246" t="n">
        <v>-41</v>
      </c>
      <c r="H1038" s="246" t="n">
        <v>-1.1</v>
      </c>
      <c r="I1038" s="246" t="n">
        <v>-16</v>
      </c>
      <c r="J1038" s="246" t="n">
        <v>-20.2</v>
      </c>
      <c r="K1038" s="247" t="inlineStr">
        <is>
          <t>6669 ACOTEC-B</t>
        </is>
      </c>
    </row>
    <row r="1039">
      <c r="A1039" s="51" t="inlineStr">
        <is>
          <t>Belinda A. Termeer</t>
        </is>
      </c>
      <c r="B1039" s="243" t="n">
        <v>1</v>
      </c>
      <c r="C1039" s="245" t="n">
        <v>0</v>
      </c>
      <c r="D1039" s="246" t="n">
        <v>-26.9</v>
      </c>
      <c r="E1039" s="246" t="n">
        <v>-30.1</v>
      </c>
      <c r="F1039" s="246" t="n">
        <v>-32.8</v>
      </c>
      <c r="G1039" s="246" t="n">
        <v>-64.40000000000001</v>
      </c>
      <c r="H1039" s="246" t="n">
        <v>-4.4</v>
      </c>
      <c r="I1039" s="246" t="n">
        <v>-8.1</v>
      </c>
      <c r="J1039" s="246" t="n">
        <v>-51.2</v>
      </c>
      <c r="K1039" s="247" t="inlineStr">
        <is>
          <t>1228 CANBRIDGE-B</t>
        </is>
      </c>
    </row>
    <row r="1040">
      <c r="A1040" s="51" t="inlineStr">
        <is>
          <t>RA Capital Healthcare Fund, L.P</t>
        </is>
      </c>
      <c r="B1040" s="243" t="n">
        <v>1</v>
      </c>
      <c r="C1040" s="245" t="n">
        <v>0</v>
      </c>
      <c r="D1040" s="246" t="n">
        <v>-26.9</v>
      </c>
      <c r="E1040" s="246" t="n">
        <v>-30.1</v>
      </c>
      <c r="F1040" s="246" t="n">
        <v>-32.8</v>
      </c>
      <c r="G1040" s="246" t="n">
        <v>-64.40000000000001</v>
      </c>
      <c r="H1040" s="246" t="n">
        <v>-4.4</v>
      </c>
      <c r="I1040" s="246" t="n">
        <v>-8.1</v>
      </c>
      <c r="J1040" s="246" t="n">
        <v>-51.2</v>
      </c>
      <c r="K1040" s="247" t="inlineStr">
        <is>
          <t>1228 CANBRIDGE-B</t>
        </is>
      </c>
    </row>
    <row r="1041">
      <c r="A1041" s="51" t="inlineStr">
        <is>
          <t>Gardex Development Limited</t>
        </is>
      </c>
      <c r="B1041" s="243" t="n">
        <v>1</v>
      </c>
      <c r="C1041" s="245" t="n">
        <v>0</v>
      </c>
      <c r="D1041" s="246" t="n">
        <v>-27</v>
      </c>
      <c r="E1041" s="246" t="n">
        <v>-28</v>
      </c>
      <c r="F1041" s="246" t="n">
        <v>-23.6</v>
      </c>
      <c r="G1041" s="246" t="n">
        <v>-7.7</v>
      </c>
      <c r="H1041" s="246" t="n">
        <v>-1.5</v>
      </c>
      <c r="I1041" s="246" t="n">
        <v>4.6</v>
      </c>
      <c r="J1041" s="246" t="n">
        <v>26.4</v>
      </c>
      <c r="K1041" s="247" t="inlineStr">
        <is>
          <t>2533 BLACK SESAME</t>
        </is>
      </c>
    </row>
    <row r="1042">
      <c r="A1042" s="51" t="inlineStr">
        <is>
          <t>ATNT Group Management Limited</t>
        </is>
      </c>
      <c r="B1042" s="243" t="n">
        <v>1</v>
      </c>
      <c r="C1042" s="245" t="n">
        <v>0</v>
      </c>
      <c r="D1042" s="246" t="n">
        <v>-27.1</v>
      </c>
      <c r="E1042" s="246" t="n">
        <v>-34.1</v>
      </c>
      <c r="F1042" s="246" t="n">
        <v>-41.2</v>
      </c>
      <c r="G1042" s="246" t="n">
        <v>-54.1</v>
      </c>
      <c r="H1042" s="246" t="n">
        <v>-9.699999999999999</v>
      </c>
      <c r="I1042" s="246" t="n">
        <v>-19.4</v>
      </c>
      <c r="J1042" s="246" t="n">
        <v>-37.1</v>
      </c>
      <c r="K1042" s="247" t="inlineStr">
        <is>
          <t>2350 MTT GROUP</t>
        </is>
      </c>
    </row>
    <row r="1043">
      <c r="A1043" s="51" t="inlineStr">
        <is>
          <t>EC InfoTech Limited</t>
        </is>
      </c>
      <c r="B1043" s="243" t="n">
        <v>1</v>
      </c>
      <c r="C1043" s="245" t="n">
        <v>0</v>
      </c>
      <c r="D1043" s="246" t="n">
        <v>-27.1</v>
      </c>
      <c r="E1043" s="246" t="n">
        <v>-34.1</v>
      </c>
      <c r="F1043" s="246" t="n">
        <v>-41.2</v>
      </c>
      <c r="G1043" s="246" t="n">
        <v>-54.1</v>
      </c>
      <c r="H1043" s="246" t="n">
        <v>-9.699999999999999</v>
      </c>
      <c r="I1043" s="246" t="n">
        <v>-19.4</v>
      </c>
      <c r="J1043" s="246" t="n">
        <v>-37.1</v>
      </c>
      <c r="K1043" s="247" t="inlineStr">
        <is>
          <t>2350 MTT GROUP</t>
        </is>
      </c>
    </row>
    <row r="1044">
      <c r="A1044" s="51" t="inlineStr">
        <is>
          <t>Mr. Hung Kwong Yee</t>
        </is>
      </c>
      <c r="B1044" s="243" t="n">
        <v>1</v>
      </c>
      <c r="C1044" s="245" t="n">
        <v>0</v>
      </c>
      <c r="D1044" s="246" t="n">
        <v>-27.1</v>
      </c>
      <c r="E1044" s="246" t="n">
        <v>-34.1</v>
      </c>
      <c r="F1044" s="246" t="n">
        <v>-41.2</v>
      </c>
      <c r="G1044" s="246" t="n">
        <v>-54.1</v>
      </c>
      <c r="H1044" s="246" t="n">
        <v>-9.699999999999999</v>
      </c>
      <c r="I1044" s="246" t="n">
        <v>-19.4</v>
      </c>
      <c r="J1044" s="246" t="n">
        <v>-37.1</v>
      </c>
      <c r="K1044" s="247" t="inlineStr">
        <is>
          <t>2350 MTT GROUP</t>
        </is>
      </c>
    </row>
    <row r="1045">
      <c r="A1045" s="51" t="inlineStr">
        <is>
          <t>Genesis M Co., Limited</t>
        </is>
      </c>
      <c r="B1045" s="243" t="n">
        <v>1</v>
      </c>
      <c r="C1045" s="245" t="n">
        <v>0</v>
      </c>
      <c r="D1045" s="246" t="n">
        <v>-27.5</v>
      </c>
      <c r="E1045" s="246" t="n">
        <v>-20.8</v>
      </c>
      <c r="F1045" s="246" t="n">
        <v>-28.3</v>
      </c>
      <c r="G1045" s="246" t="n">
        <v>-37.5</v>
      </c>
      <c r="H1045" s="246" t="n">
        <v>9.199999999999999</v>
      </c>
      <c r="I1045" s="246" t="n">
        <v>-1.1</v>
      </c>
      <c r="J1045" s="246" t="n">
        <v>-13.8</v>
      </c>
      <c r="K1045" s="247" t="inlineStr">
        <is>
          <t>2502 JINYUAN HCHEM</t>
        </is>
      </c>
    </row>
    <row r="1046">
      <c r="A1046" s="51" t="inlineStr">
        <is>
          <t>Prosperity Steel United Singapore Pte. Ltd</t>
        </is>
      </c>
      <c r="B1046" s="243" t="n">
        <v>1</v>
      </c>
      <c r="C1046" s="245" t="n">
        <v>0</v>
      </c>
      <c r="D1046" s="246" t="n">
        <v>-27.5</v>
      </c>
      <c r="E1046" s="246" t="n">
        <v>-20.8</v>
      </c>
      <c r="F1046" s="246" t="n">
        <v>-28.3</v>
      </c>
      <c r="G1046" s="246" t="n">
        <v>-37.5</v>
      </c>
      <c r="H1046" s="246" t="n">
        <v>9.199999999999999</v>
      </c>
      <c r="I1046" s="246" t="n">
        <v>-1.1</v>
      </c>
      <c r="J1046" s="246" t="n">
        <v>-13.8</v>
      </c>
      <c r="K1046" s="247" t="inlineStr">
        <is>
          <t>2502 JINYUAN HCHEM</t>
        </is>
      </c>
    </row>
    <row r="1047">
      <c r="A1047" s="51" t="inlineStr">
        <is>
          <t>Max Success Group Holdings Limited</t>
        </is>
      </c>
      <c r="B1047" s="243" t="n">
        <v>1</v>
      </c>
      <c r="C1047" s="245" t="n">
        <v>0</v>
      </c>
      <c r="D1047" s="246" t="n">
        <v>-27.5</v>
      </c>
      <c r="E1047" s="246" t="n">
        <v>-20.8</v>
      </c>
      <c r="F1047" s="246" t="n">
        <v>-28.3</v>
      </c>
      <c r="G1047" s="246" t="n">
        <v>-37.5</v>
      </c>
      <c r="H1047" s="246" t="n">
        <v>9.199999999999999</v>
      </c>
      <c r="I1047" s="246" t="n">
        <v>-1.1</v>
      </c>
      <c r="J1047" s="246" t="n">
        <v>-13.8</v>
      </c>
      <c r="K1047" s="247" t="inlineStr">
        <is>
          <t>2502 JINYUAN HCHEM</t>
        </is>
      </c>
    </row>
    <row r="1048">
      <c r="A1048" s="51" t="inlineStr">
        <is>
          <t>Hong Kong Shengying Investment Limited</t>
        </is>
      </c>
      <c r="B1048" s="243" t="n">
        <v>1</v>
      </c>
      <c r="C1048" s="245" t="n">
        <v>0</v>
      </c>
      <c r="D1048" s="246" t="n">
        <v>-27.8</v>
      </c>
      <c r="E1048" s="246" t="n">
        <v>-28.7</v>
      </c>
      <c r="F1048" s="246" t="n">
        <v>-37.2</v>
      </c>
      <c r="G1048" s="246" t="n">
        <v>-33.7</v>
      </c>
      <c r="H1048" s="246" t="n">
        <v>-1.2</v>
      </c>
      <c r="I1048" s="246" t="n">
        <v>-13</v>
      </c>
      <c r="J1048" s="246" t="n">
        <v>-8.1</v>
      </c>
      <c r="K1048" s="247" t="inlineStr">
        <is>
          <t>2408 XIAO NOODLES</t>
        </is>
      </c>
    </row>
    <row r="1049">
      <c r="A1049" s="51" t="inlineStr">
        <is>
          <t>Zeta Wisdom OFC</t>
        </is>
      </c>
      <c r="B1049" s="243" t="n">
        <v>1</v>
      </c>
      <c r="C1049" s="245" t="n">
        <v>0</v>
      </c>
      <c r="D1049" s="246" t="n">
        <v>-27.8</v>
      </c>
      <c r="E1049" s="246" t="n">
        <v>-28.7</v>
      </c>
      <c r="F1049" s="246" t="n">
        <v>-37.2</v>
      </c>
      <c r="G1049" s="246" t="n">
        <v>-33.7</v>
      </c>
      <c r="H1049" s="246" t="n">
        <v>-1.2</v>
      </c>
      <c r="I1049" s="246" t="n">
        <v>-13</v>
      </c>
      <c r="J1049" s="246" t="n">
        <v>-8.1</v>
      </c>
      <c r="K1049" s="247" t="inlineStr">
        <is>
          <t>2408 XIAO NOODLES</t>
        </is>
      </c>
    </row>
    <row r="1050">
      <c r="A1050" s="51" t="inlineStr">
        <is>
          <t>Hai Di Lao Holdings Pte. Ltd</t>
        </is>
      </c>
      <c r="B1050" s="243" t="n">
        <v>1</v>
      </c>
      <c r="C1050" s="245" t="n">
        <v>0</v>
      </c>
      <c r="D1050" s="246" t="n">
        <v>-27.8</v>
      </c>
      <c r="E1050" s="246" t="n">
        <v>-28.7</v>
      </c>
      <c r="F1050" s="246" t="n">
        <v>-37.2</v>
      </c>
      <c r="G1050" s="246" t="n">
        <v>-33.7</v>
      </c>
      <c r="H1050" s="246" t="n">
        <v>-1.2</v>
      </c>
      <c r="I1050" s="246" t="n">
        <v>-13</v>
      </c>
      <c r="J1050" s="246" t="n">
        <v>-8.1</v>
      </c>
      <c r="K1050" s="247" t="inlineStr">
        <is>
          <t>2408 XIAO NOODLES</t>
        </is>
      </c>
    </row>
    <row r="1051">
      <c r="A1051" s="51" t="inlineStr">
        <is>
          <t>HK Dongbin Joint Victory Development Co. Limited</t>
        </is>
      </c>
      <c r="B1051" s="243" t="n">
        <v>1</v>
      </c>
      <c r="C1051" s="245" t="n">
        <v>0</v>
      </c>
      <c r="D1051" s="246" t="n">
        <v>-29</v>
      </c>
      <c r="E1051" s="246" t="n">
        <v>-41.4</v>
      </c>
      <c r="F1051" s="246" t="n">
        <v>-44.7</v>
      </c>
      <c r="G1051" s="246" t="n">
        <v>-37</v>
      </c>
      <c r="H1051" s="246" t="n">
        <v>-17.4</v>
      </c>
      <c r="I1051" s="246" t="n">
        <v>-22.1</v>
      </c>
      <c r="J1051" s="246" t="n">
        <v>-11.2</v>
      </c>
      <c r="K1051" s="247" t="inlineStr">
        <is>
          <t>9930 HORIZON CD</t>
        </is>
      </c>
    </row>
    <row r="1052">
      <c r="A1052" s="51" t="inlineStr">
        <is>
          <t>LGMG International Limited</t>
        </is>
      </c>
      <c r="B1052" s="243" t="n">
        <v>1</v>
      </c>
      <c r="C1052" s="245" t="n">
        <v>0</v>
      </c>
      <c r="D1052" s="246" t="n">
        <v>-29</v>
      </c>
      <c r="E1052" s="246" t="n">
        <v>-41.4</v>
      </c>
      <c r="F1052" s="246" t="n">
        <v>-44.7</v>
      </c>
      <c r="G1052" s="246" t="n">
        <v>-37</v>
      </c>
      <c r="H1052" s="246" t="n">
        <v>-17.4</v>
      </c>
      <c r="I1052" s="246" t="n">
        <v>-22.1</v>
      </c>
      <c r="J1052" s="246" t="n">
        <v>-11.2</v>
      </c>
      <c r="K1052" s="247" t="inlineStr">
        <is>
          <t>9930 HORIZON CD</t>
        </is>
      </c>
    </row>
    <row r="1053">
      <c r="A1053" s="51" t="inlineStr">
        <is>
          <t>Shanghai Gold Ring Enterprise Group Co., Ltd</t>
        </is>
      </c>
      <c r="B1053" s="243" t="n">
        <v>1</v>
      </c>
      <c r="C1053" s="245" t="n">
        <v>0</v>
      </c>
      <c r="D1053" s="246" t="n">
        <v>-29</v>
      </c>
      <c r="E1053" s="246" t="n">
        <v>-41.4</v>
      </c>
      <c r="F1053" s="246" t="n">
        <v>-44.7</v>
      </c>
      <c r="G1053" s="246" t="n">
        <v>-37</v>
      </c>
      <c r="H1053" s="246" t="n">
        <v>-17.4</v>
      </c>
      <c r="I1053" s="246" t="n">
        <v>-22.1</v>
      </c>
      <c r="J1053" s="246" t="n">
        <v>-11.2</v>
      </c>
      <c r="K1053" s="247" t="inlineStr">
        <is>
          <t>9930 HORIZON CD</t>
        </is>
      </c>
    </row>
    <row r="1054">
      <c r="A1054" s="51" t="inlineStr">
        <is>
          <t>Shanghai Putuo Science and Technology Investment Co., Ltd</t>
        </is>
      </c>
      <c r="B1054" s="243" t="n">
        <v>1</v>
      </c>
      <c r="C1054" s="245" t="n">
        <v>0</v>
      </c>
      <c r="D1054" s="246" t="n">
        <v>-29</v>
      </c>
      <c r="E1054" s="246" t="n">
        <v>-41.4</v>
      </c>
      <c r="F1054" s="246" t="n">
        <v>-44.7</v>
      </c>
      <c r="G1054" s="246" t="n">
        <v>-37</v>
      </c>
      <c r="H1054" s="246" t="n">
        <v>-17.4</v>
      </c>
      <c r="I1054" s="246" t="n">
        <v>-22.1</v>
      </c>
      <c r="J1054" s="246" t="n">
        <v>-11.2</v>
      </c>
      <c r="K1054" s="247" t="inlineStr">
        <is>
          <t>9930 HORIZON CD</t>
        </is>
      </c>
    </row>
    <row r="1055">
      <c r="A1055" s="51" t="inlineStr">
        <is>
          <t>Xinheng Holding Limited</t>
        </is>
      </c>
      <c r="B1055" s="243" t="n">
        <v>1</v>
      </c>
      <c r="C1055" s="245" t="n">
        <v>0</v>
      </c>
      <c r="D1055" s="246" t="n">
        <v>-29</v>
      </c>
      <c r="E1055" s="246" t="n">
        <v>-41.4</v>
      </c>
      <c r="F1055" s="246" t="n">
        <v>-44.7</v>
      </c>
      <c r="G1055" s="246" t="n">
        <v>-37</v>
      </c>
      <c r="H1055" s="246" t="n">
        <v>-17.4</v>
      </c>
      <c r="I1055" s="246" t="n">
        <v>-22.1</v>
      </c>
      <c r="J1055" s="246" t="n">
        <v>-11.2</v>
      </c>
      <c r="K1055" s="247" t="inlineStr">
        <is>
          <t>9930 HORIZON CD</t>
        </is>
      </c>
    </row>
    <row r="1056">
      <c r="A1056" s="51" t="inlineStr">
        <is>
          <t>Tenancy Co., Limited</t>
        </is>
      </c>
      <c r="B1056" s="243" t="n">
        <v>1</v>
      </c>
      <c r="C1056" s="245" t="n">
        <v>0</v>
      </c>
      <c r="D1056" s="246" t="n">
        <v>-29.3</v>
      </c>
      <c r="E1056" s="246" t="n">
        <v>-30</v>
      </c>
      <c r="F1056" s="246" t="n">
        <v>-23.3</v>
      </c>
      <c r="G1056" s="246" t="n">
        <v>-16</v>
      </c>
      <c r="H1056" s="246" t="n">
        <v>-0.9</v>
      </c>
      <c r="I1056" s="246" t="n">
        <v>8.5</v>
      </c>
      <c r="J1056" s="246" t="n">
        <v>18.9</v>
      </c>
      <c r="K1056" s="247" t="inlineStr">
        <is>
          <t>2187 ZHIXIN GP HLDG</t>
        </is>
      </c>
    </row>
    <row r="1057">
      <c r="A1057" s="51" t="inlineStr">
        <is>
          <t>Wang Miao</t>
        </is>
      </c>
      <c r="B1057" s="243" t="n">
        <v>1</v>
      </c>
      <c r="C1057" s="245" t="n">
        <v>0</v>
      </c>
      <c r="D1057" s="246" t="n">
        <v>-29.3</v>
      </c>
      <c r="E1057" s="246" t="n">
        <v>-30</v>
      </c>
      <c r="F1057" s="246" t="n">
        <v>-23.3</v>
      </c>
      <c r="G1057" s="246" t="n">
        <v>-16</v>
      </c>
      <c r="H1057" s="246" t="n">
        <v>-0.9</v>
      </c>
      <c r="I1057" s="246" t="n">
        <v>8.5</v>
      </c>
      <c r="J1057" s="246" t="n">
        <v>18.9</v>
      </c>
      <c r="K1057" s="247" t="inlineStr">
        <is>
          <t>2187 ZHIXIN GP HLDG</t>
        </is>
      </c>
    </row>
    <row r="1058">
      <c r="A1058" s="51" t="inlineStr">
        <is>
          <t>Glory Ocean Innovation Limited</t>
        </is>
      </c>
      <c r="B1058" s="243" t="n">
        <v>1</v>
      </c>
      <c r="C1058" s="245" t="n">
        <v>0</v>
      </c>
      <c r="D1058" s="246" t="n">
        <v>-30.2</v>
      </c>
      <c r="E1058" s="246" t="n">
        <v>-21.7</v>
      </c>
      <c r="F1058" s="246" t="n">
        <v>-17.8</v>
      </c>
      <c r="G1058" s="246" t="n">
        <v>-17.9</v>
      </c>
      <c r="H1058" s="246" t="n">
        <v>12.1</v>
      </c>
      <c r="I1058" s="246" t="n">
        <v>17.7</v>
      </c>
      <c r="J1058" s="246" t="n">
        <v>17.5</v>
      </c>
      <c r="K1058" s="247" t="inlineStr">
        <is>
          <t>2658 TIANYU SEMI</t>
        </is>
      </c>
    </row>
    <row r="1059">
      <c r="A1059" s="51" t="inlineStr">
        <is>
          <t>Kwok Tai East International Group Limited</t>
        </is>
      </c>
      <c r="B1059" s="243" t="n">
        <v>1</v>
      </c>
      <c r="C1059" s="245" t="n">
        <v>0</v>
      </c>
      <c r="D1059" s="246" t="n">
        <v>-33.5</v>
      </c>
      <c r="E1059" s="246" t="n">
        <v>-48.3</v>
      </c>
      <c r="F1059" s="246" t="n">
        <v>-62.2</v>
      </c>
      <c r="G1059" s="246" t="n">
        <v>-37.1</v>
      </c>
      <c r="H1059" s="246" t="n">
        <v>-22.2</v>
      </c>
      <c r="I1059" s="246" t="n">
        <v>-43.1</v>
      </c>
      <c r="J1059" s="246" t="n">
        <v>-5.3</v>
      </c>
      <c r="K1059" s="247" t="inlineStr">
        <is>
          <t>9863 LEAPMOTOR</t>
        </is>
      </c>
    </row>
    <row r="1060">
      <c r="A1060" s="51" t="inlineStr">
        <is>
          <t>ZhongBaoNew materials. Ltd</t>
        </is>
      </c>
      <c r="B1060" s="243" t="n">
        <v>1</v>
      </c>
      <c r="C1060" s="245" t="n">
        <v>0</v>
      </c>
      <c r="D1060" s="246" t="n">
        <v>-35.2</v>
      </c>
      <c r="E1060" s="246" t="n">
        <v>-36.2</v>
      </c>
      <c r="F1060" s="246" t="n">
        <v>-39</v>
      </c>
      <c r="G1060" s="246" t="n">
        <v>-50.5</v>
      </c>
      <c r="H1060" s="246" t="n">
        <v>-1.5</v>
      </c>
      <c r="I1060" s="246" t="n">
        <v>-5.9</v>
      </c>
      <c r="J1060" s="246" t="n">
        <v>-23.5</v>
      </c>
      <c r="K1060" s="247" t="inlineStr">
        <is>
          <t>2439 CH TREASURES NM</t>
        </is>
      </c>
    </row>
    <row r="1061">
      <c r="A1061" s="51" t="inlineStr">
        <is>
          <t>Jiu Rong Holdings Limited</t>
        </is>
      </c>
      <c r="B1061" s="243" t="n">
        <v>1</v>
      </c>
      <c r="C1061" s="245" t="n">
        <v>0</v>
      </c>
      <c r="D1061" s="246" t="n">
        <v>-36</v>
      </c>
      <c r="E1061" s="246" t="n">
        <v>-48</v>
      </c>
      <c r="F1061" s="246" t="n">
        <v>-50.4</v>
      </c>
      <c r="G1061" s="246" t="n">
        <v>-52.4</v>
      </c>
      <c r="H1061" s="246" t="n">
        <v>-18.8</v>
      </c>
      <c r="I1061" s="246" t="n">
        <v>-22.5</v>
      </c>
      <c r="J1061" s="246" t="n">
        <v>-25.6</v>
      </c>
      <c r="K1061" s="247" t="inlineStr">
        <is>
          <t>9608 SUNDY SERVICE</t>
        </is>
      </c>
    </row>
    <row r="1062">
      <c r="A1062" s="51" t="inlineStr">
        <is>
          <t>Yingke No. 1 (Hongkong) Limited ʮ̡</t>
        </is>
      </c>
      <c r="B1062" s="243" t="n">
        <v>1</v>
      </c>
      <c r="C1062" s="245" t="n">
        <v>0</v>
      </c>
      <c r="D1062" s="246" t="n">
        <v>-36.9</v>
      </c>
      <c r="E1062" s="246" t="n">
        <v>1.8</v>
      </c>
      <c r="F1062" s="246" t="n">
        <v>94.09999999999999</v>
      </c>
      <c r="G1062" s="246" t="n">
        <v>149.1</v>
      </c>
      <c r="H1062" s="246" t="n">
        <v>61.4</v>
      </c>
      <c r="I1062" s="246" t="n">
        <v>207.7</v>
      </c>
      <c r="J1062" s="246" t="n">
        <v>294.9</v>
      </c>
      <c r="K1062" s="247" t="inlineStr">
        <is>
          <t>2632 NEW VISION CO</t>
        </is>
      </c>
    </row>
    <row r="1063">
      <c r="A1063" s="51" t="inlineStr">
        <is>
          <t>Hua Yuan International Limited</t>
        </is>
      </c>
      <c r="B1063" s="243" t="n">
        <v>1</v>
      </c>
      <c r="C1063" s="245" t="n">
        <v>0</v>
      </c>
      <c r="D1063" s="246" t="n">
        <v>-37.4</v>
      </c>
      <c r="E1063" s="246" t="n">
        <v>-44.3</v>
      </c>
      <c r="F1063" s="246" t="n">
        <v>-45.1</v>
      </c>
      <c r="G1063" s="248" t="n"/>
      <c r="H1063" s="246" t="n">
        <v>-11.1</v>
      </c>
      <c r="I1063" s="246" t="n">
        <v>-12.3</v>
      </c>
      <c r="J1063" s="248" t="n"/>
      <c r="K1063" s="247" t="inlineStr">
        <is>
          <t>0537 RIGOL</t>
        </is>
      </c>
    </row>
    <row r="1064">
      <c r="A1064" s="51" t="inlineStr">
        <is>
          <t>Purple Diamond Ltd</t>
        </is>
      </c>
      <c r="B1064" s="243" t="n">
        <v>1</v>
      </c>
      <c r="C1064" s="245" t="n">
        <v>0</v>
      </c>
      <c r="D1064" s="246" t="n">
        <v>-37.4</v>
      </c>
      <c r="E1064" s="246" t="n">
        <v>-44.3</v>
      </c>
      <c r="F1064" s="246" t="n">
        <v>-45.1</v>
      </c>
      <c r="G1064" s="248" t="n"/>
      <c r="H1064" s="246" t="n">
        <v>-11.1</v>
      </c>
      <c r="I1064" s="246" t="n">
        <v>-12.3</v>
      </c>
      <c r="J1064" s="248" t="n"/>
      <c r="K1064" s="247" t="inlineStr">
        <is>
          <t>0537 RIGOL</t>
        </is>
      </c>
    </row>
    <row r="1065">
      <c r="A1065" s="51" t="inlineStr">
        <is>
          <t>Heda HK</t>
        </is>
      </c>
      <c r="B1065" s="243" t="n">
        <v>1</v>
      </c>
      <c r="C1065" s="245" t="n">
        <v>0</v>
      </c>
      <c r="D1065" s="246" t="n">
        <v>-38.4</v>
      </c>
      <c r="E1065" s="246" t="n">
        <v>-35.4</v>
      </c>
      <c r="F1065" s="246" t="n">
        <v>-46.9</v>
      </c>
      <c r="G1065" s="246" t="n">
        <v>-47.4</v>
      </c>
      <c r="H1065" s="246" t="n">
        <v>5</v>
      </c>
      <c r="I1065" s="246" t="n">
        <v>-13.7</v>
      </c>
      <c r="J1065" s="246" t="n">
        <v>-14.6</v>
      </c>
      <c r="K1065" s="247" t="inlineStr">
        <is>
          <t>2566 JIUYUAN GENE</t>
        </is>
      </c>
    </row>
    <row r="1066">
      <c r="A1066" s="51" t="inlineStr">
        <is>
          <t>Mr. Wu</t>
        </is>
      </c>
      <c r="B1066" s="243" t="n">
        <v>1</v>
      </c>
      <c r="C1066" s="245" t="n">
        <v>0</v>
      </c>
      <c r="D1066" s="246" t="n">
        <v>-38.4</v>
      </c>
      <c r="E1066" s="246" t="n">
        <v>-35.4</v>
      </c>
      <c r="F1066" s="246" t="n">
        <v>-46.9</v>
      </c>
      <c r="G1066" s="246" t="n">
        <v>-47.4</v>
      </c>
      <c r="H1066" s="246" t="n">
        <v>5</v>
      </c>
      <c r="I1066" s="246" t="n">
        <v>-13.7</v>
      </c>
      <c r="J1066" s="246" t="n">
        <v>-14.6</v>
      </c>
      <c r="K1066" s="247" t="inlineStr">
        <is>
          <t>2566 JIUYUAN GENE</t>
        </is>
      </c>
    </row>
    <row r="1067">
      <c r="A1067" s="51" t="inlineStr">
        <is>
          <t>Delta Capital Hong Kong Limited</t>
        </is>
      </c>
      <c r="B1067" s="243" t="n">
        <v>1</v>
      </c>
      <c r="C1067" s="245" t="n">
        <v>0</v>
      </c>
      <c r="D1067" s="246" t="n">
        <v>-38.4</v>
      </c>
      <c r="E1067" s="246" t="n">
        <v>-35.4</v>
      </c>
      <c r="F1067" s="246" t="n">
        <v>-46.9</v>
      </c>
      <c r="G1067" s="246" t="n">
        <v>-47.4</v>
      </c>
      <c r="H1067" s="246" t="n">
        <v>5</v>
      </c>
      <c r="I1067" s="246" t="n">
        <v>-13.7</v>
      </c>
      <c r="J1067" s="246" t="n">
        <v>-14.6</v>
      </c>
      <c r="K1067" s="247" t="inlineStr">
        <is>
          <t>2566 JIUYUAN GENE</t>
        </is>
      </c>
    </row>
    <row r="1068">
      <c r="A1068" s="51" t="inlineStr">
        <is>
          <t>Airport Technology Capital</t>
        </is>
      </c>
      <c r="B1068" s="243" t="n">
        <v>1</v>
      </c>
      <c r="C1068" s="245" t="n">
        <v>0</v>
      </c>
      <c r="D1068" s="246" t="n">
        <v>-39.1</v>
      </c>
      <c r="E1068" s="246" t="n">
        <v>-44.7</v>
      </c>
      <c r="F1068" s="246" t="n">
        <v>-49.1</v>
      </c>
      <c r="G1068" s="248" t="n"/>
      <c r="H1068" s="246" t="n">
        <v>-9.300000000000001</v>
      </c>
      <c r="I1068" s="246" t="n">
        <v>-16.4</v>
      </c>
      <c r="J1068" s="248" t="n"/>
      <c r="K1068" s="247" t="inlineStr">
        <is>
          <t>2667 TONGRENTANGCARE</t>
        </is>
      </c>
    </row>
    <row r="1069">
      <c r="A1069" s="51" t="inlineStr">
        <is>
          <t>CICCFT (in connection with OTC Swaps)</t>
        </is>
      </c>
      <c r="B1069" s="243" t="n">
        <v>1</v>
      </c>
      <c r="C1069" s="245" t="n">
        <v>0</v>
      </c>
      <c r="D1069" s="246" t="n">
        <v>-39.1</v>
      </c>
      <c r="E1069" s="246" t="n">
        <v>-44.7</v>
      </c>
      <c r="F1069" s="246" t="n">
        <v>-49.1</v>
      </c>
      <c r="G1069" s="248" t="n"/>
      <c r="H1069" s="246" t="n">
        <v>-9.300000000000001</v>
      </c>
      <c r="I1069" s="246" t="n">
        <v>-16.4</v>
      </c>
      <c r="J1069" s="248" t="n"/>
      <c r="K1069" s="247" t="inlineStr">
        <is>
          <t>2667 TONGRENTANGCARE</t>
        </is>
      </c>
    </row>
    <row r="1070">
      <c r="A1070" s="51" t="inlineStr">
        <is>
          <t>Arda (HK) Investment Co., Limited</t>
        </is>
      </c>
      <c r="B1070" s="243" t="n">
        <v>1</v>
      </c>
      <c r="C1070" s="245" t="n">
        <v>0</v>
      </c>
      <c r="D1070" s="246" t="n">
        <v>-40</v>
      </c>
      <c r="E1070" s="246" t="n">
        <v>-25</v>
      </c>
      <c r="F1070" s="246" t="n">
        <v>-15</v>
      </c>
      <c r="G1070" s="246" t="n">
        <v>-31</v>
      </c>
      <c r="H1070" s="246" t="n">
        <v>25</v>
      </c>
      <c r="I1070" s="246" t="n">
        <v>41.7</v>
      </c>
      <c r="J1070" s="246" t="n">
        <v>15</v>
      </c>
      <c r="K1070" s="247" t="inlineStr">
        <is>
          <t>2457 BUYANG INTL</t>
        </is>
      </c>
    </row>
    <row r="1071">
      <c r="A1071" s="51" t="inlineStr">
        <is>
          <t>INFO EXPERT SERVICES LIMITED</t>
        </is>
      </c>
      <c r="B1071" s="243" t="n">
        <v>1</v>
      </c>
      <c r="C1071" s="245" t="n">
        <v>0</v>
      </c>
      <c r="D1071" s="246" t="n">
        <v>-42.9</v>
      </c>
      <c r="E1071" s="246" t="n">
        <v>-51.3</v>
      </c>
      <c r="F1071" s="246" t="n">
        <v>-66.40000000000001</v>
      </c>
      <c r="G1071" s="246" t="n">
        <v>-70.2</v>
      </c>
      <c r="H1071" s="246" t="n">
        <v>-14.7</v>
      </c>
      <c r="I1071" s="246" t="n">
        <v>-41.2</v>
      </c>
      <c r="J1071" s="246" t="n">
        <v>-47.8</v>
      </c>
      <c r="K1071" s="247" t="inlineStr">
        <is>
          <t>9686 NEUSOFT XIKANG</t>
        </is>
      </c>
    </row>
    <row r="1072">
      <c r="A1072" s="51" t="inlineStr">
        <is>
          <t>Fund Resources Investment Holding Group Company Limited</t>
        </is>
      </c>
      <c r="B1072" s="243" t="n">
        <v>1</v>
      </c>
      <c r="C1072" s="245" t="n">
        <v>0</v>
      </c>
      <c r="D1072" s="246" t="n">
        <v>-46.2</v>
      </c>
      <c r="E1072" s="246" t="n">
        <v>-46.7</v>
      </c>
      <c r="F1072" s="246" t="n">
        <v>-47</v>
      </c>
      <c r="G1072" s="246" t="n">
        <v>-3.5</v>
      </c>
      <c r="H1072" s="246" t="n">
        <v>-0.8</v>
      </c>
      <c r="I1072" s="246" t="n">
        <v>-1.3</v>
      </c>
      <c r="J1072" s="246" t="n">
        <v>79.5</v>
      </c>
      <c r="K1072" s="247" t="inlineStr">
        <is>
          <t>3378 HANXBIO-B</t>
        </is>
      </c>
    </row>
    <row r="1073">
      <c r="A1073" s="51" t="inlineStr">
        <is>
          <t>TFI Investment Fund SPC (acting for and on behalf of its segregated portfolio, TFI Lakeside SP)</t>
        </is>
      </c>
      <c r="B1073" s="243" t="n">
        <v>1</v>
      </c>
      <c r="C1073" s="245" t="n">
        <v>0</v>
      </c>
      <c r="D1073" s="246" t="n">
        <v>-46.2</v>
      </c>
      <c r="E1073" s="246" t="n">
        <v>-46.7</v>
      </c>
      <c r="F1073" s="246" t="n">
        <v>-47</v>
      </c>
      <c r="G1073" s="246" t="n">
        <v>-3.5</v>
      </c>
      <c r="H1073" s="246" t="n">
        <v>-0.8</v>
      </c>
      <c r="I1073" s="246" t="n">
        <v>-1.3</v>
      </c>
      <c r="J1073" s="246" t="n">
        <v>79.5</v>
      </c>
      <c r="K1073" s="247" t="inlineStr">
        <is>
          <t>3378 HANXBIO-B</t>
        </is>
      </c>
    </row>
    <row r="1074">
      <c r="A1074" s="51" t="inlineStr">
        <is>
          <t>YStem Holding Limited</t>
        </is>
      </c>
      <c r="B1074" s="243" t="n">
        <v>1</v>
      </c>
      <c r="C1074" s="245" t="n">
        <v>0</v>
      </c>
      <c r="D1074" s="246" t="n">
        <v>-46.2</v>
      </c>
      <c r="E1074" s="246" t="n">
        <v>-46.7</v>
      </c>
      <c r="F1074" s="246" t="n">
        <v>-47</v>
      </c>
      <c r="G1074" s="246" t="n">
        <v>-3.5</v>
      </c>
      <c r="H1074" s="246" t="n">
        <v>-0.8</v>
      </c>
      <c r="I1074" s="246" t="n">
        <v>-1.3</v>
      </c>
      <c r="J1074" s="246" t="n">
        <v>79.5</v>
      </c>
      <c r="K1074" s="247" t="inlineStr">
        <is>
          <t>3378 HANXBIO-B</t>
        </is>
      </c>
    </row>
    <row r="1075">
      <c r="A1075" s="51" t="inlineStr">
        <is>
          <t>Awaken Thunder Capital Limited</t>
        </is>
      </c>
      <c r="B1075" s="243" t="n">
        <v>1</v>
      </c>
      <c r="C1075" s="245" t="n">
        <v>0</v>
      </c>
      <c r="D1075" s="246" t="n">
        <v>-46.2</v>
      </c>
      <c r="E1075" s="246" t="n">
        <v>-46.7</v>
      </c>
      <c r="F1075" s="246" t="n">
        <v>-47</v>
      </c>
      <c r="G1075" s="246" t="n">
        <v>-3.5</v>
      </c>
      <c r="H1075" s="246" t="n">
        <v>-0.8</v>
      </c>
      <c r="I1075" s="246" t="n">
        <v>-1.3</v>
      </c>
      <c r="J1075" s="246" t="n">
        <v>79.5</v>
      </c>
      <c r="K1075" s="247" t="inlineStr">
        <is>
          <t>3378 HANXBIO-B</t>
        </is>
      </c>
    </row>
    <row r="1076">
      <c r="A1076" s="51" t="inlineStr">
        <is>
          <t>Anhui Shengchang Chemical Co., Ltd.*</t>
        </is>
      </c>
      <c r="B1076" s="243" t="n">
        <v>1</v>
      </c>
      <c r="C1076" s="245" t="n">
        <v>0</v>
      </c>
      <c r="D1076" s="246" t="n">
        <v>-47.7</v>
      </c>
      <c r="E1076" s="246" t="n">
        <v>-51.7</v>
      </c>
      <c r="F1076" s="246" t="n">
        <v>-54.7</v>
      </c>
      <c r="G1076" s="246" t="n">
        <v>-41.3</v>
      </c>
      <c r="H1076" s="246" t="n">
        <v>-7.6</v>
      </c>
      <c r="I1076" s="246" t="n">
        <v>-13.4</v>
      </c>
      <c r="J1076" s="246" t="n">
        <v>12.1</v>
      </c>
      <c r="K1076" s="247" t="inlineStr">
        <is>
          <t>2560 CONCH MAT TECH</t>
        </is>
      </c>
    </row>
    <row r="1077">
      <c r="A1077" s="51" t="inlineStr">
        <is>
          <t>Shenzhen Gaodeng Computer Technology Co., Ltd.*</t>
        </is>
      </c>
      <c r="B1077" s="243" t="n">
        <v>1</v>
      </c>
      <c r="C1077" s="245" t="n">
        <v>0</v>
      </c>
      <c r="D1077" s="246" t="n">
        <v>-47.7</v>
      </c>
      <c r="E1077" s="246" t="n">
        <v>-51.7</v>
      </c>
      <c r="F1077" s="246" t="n">
        <v>-54.7</v>
      </c>
      <c r="G1077" s="246" t="n">
        <v>-41.3</v>
      </c>
      <c r="H1077" s="246" t="n">
        <v>-7.6</v>
      </c>
      <c r="I1077" s="246" t="n">
        <v>-13.4</v>
      </c>
      <c r="J1077" s="246" t="n">
        <v>12.1</v>
      </c>
      <c r="K1077" s="247" t="inlineStr">
        <is>
          <t>2560 CONCH MAT TECH</t>
        </is>
      </c>
    </row>
    <row r="1078">
      <c r="A1078" s="51" t="inlineStr">
        <is>
          <t>Jiantou International (Hong Kong) Co., Limited</t>
        </is>
      </c>
      <c r="B1078" s="243" t="n">
        <v>1</v>
      </c>
      <c r="C1078" s="245" t="n">
        <v>0</v>
      </c>
      <c r="D1078" s="246" t="n">
        <v>-49.2</v>
      </c>
      <c r="E1078" s="246" t="n">
        <v>-53.2</v>
      </c>
      <c r="F1078" s="246" t="n">
        <v>-62.3</v>
      </c>
      <c r="G1078" s="246" t="n">
        <v>-74.8</v>
      </c>
      <c r="H1078" s="246" t="n">
        <v>-7.9</v>
      </c>
      <c r="I1078" s="246" t="n">
        <v>-25.8</v>
      </c>
      <c r="J1078" s="246" t="n">
        <v>-50.5</v>
      </c>
      <c r="K1078" s="247" t="inlineStr">
        <is>
          <t>0664 TONGSHIFU</t>
        </is>
      </c>
    </row>
    <row r="1079">
      <c r="A1079" s="51" t="inlineStr">
        <is>
          <t>Heron Neutron Medical Corp</t>
        </is>
      </c>
      <c r="B1079" s="243" t="n">
        <v>1</v>
      </c>
      <c r="C1079" s="245" t="n">
        <v>0</v>
      </c>
      <c r="D1079" s="246" t="n">
        <v>-49.5</v>
      </c>
      <c r="E1079" s="246" t="n">
        <v>-56</v>
      </c>
      <c r="F1079" s="246" t="n">
        <v>-56.2</v>
      </c>
      <c r="G1079" s="246" t="n">
        <v>-63.1</v>
      </c>
      <c r="H1079" s="246" t="n">
        <v>-12.9</v>
      </c>
      <c r="I1079" s="246" t="n">
        <v>-13.4</v>
      </c>
      <c r="J1079" s="246" t="n">
        <v>-26.9</v>
      </c>
      <c r="K1079" s="247" t="inlineStr">
        <is>
          <t>2581 BENQ HOLDING</t>
        </is>
      </c>
    </row>
    <row r="1080">
      <c r="A1080" s="51" t="inlineStr">
        <is>
          <t>DFI Development Holdings Limited</t>
        </is>
      </c>
      <c r="B1080" s="243" t="n">
        <v>1</v>
      </c>
      <c r="C1080" s="245" t="n">
        <v>0</v>
      </c>
      <c r="D1080" s="246" t="n">
        <v>-54.3</v>
      </c>
      <c r="E1080" s="246" t="n">
        <v>-79.2</v>
      </c>
      <c r="F1080" s="246" t="n">
        <v>-80.2</v>
      </c>
      <c r="G1080" s="246" t="n">
        <v>-57</v>
      </c>
      <c r="H1080" s="246" t="n">
        <v>-54.4</v>
      </c>
      <c r="I1080" s="246" t="n">
        <v>-56.6</v>
      </c>
      <c r="J1080" s="246" t="n">
        <v>-5.8</v>
      </c>
      <c r="K1080" s="247" t="inlineStr">
        <is>
          <t>2586 DMALL</t>
        </is>
      </c>
    </row>
    <row r="1081">
      <c r="A1081" s="51" t="inlineStr">
        <is>
          <t>Woseon Limited Partnership</t>
        </is>
      </c>
      <c r="B1081" s="243" t="n">
        <v>1</v>
      </c>
      <c r="C1081" s="245" t="n">
        <v>0</v>
      </c>
      <c r="D1081" s="246" t="n">
        <v>-56.7</v>
      </c>
      <c r="E1081" s="246" t="n">
        <v>-56.7</v>
      </c>
      <c r="F1081" s="246" t="n">
        <v>-62.5</v>
      </c>
      <c r="G1081" s="246" t="n">
        <v>-75.3</v>
      </c>
      <c r="H1081" s="246" t="n">
        <v>0</v>
      </c>
      <c r="I1081" s="246" t="n">
        <v>-13.4</v>
      </c>
      <c r="J1081" s="246" t="n">
        <v>-42.9</v>
      </c>
      <c r="K1081" s="247" t="inlineStr">
        <is>
          <t>2567 QINIU</t>
        </is>
      </c>
    </row>
    <row r="1082">
      <c r="A1082" s="51" t="inlineStr">
        <is>
          <t>Key Broad Future Limited</t>
        </is>
      </c>
      <c r="B1082" s="243" t="n">
        <v>1</v>
      </c>
      <c r="C1082" s="245" t="n">
        <v>0</v>
      </c>
      <c r="D1082" s="246" t="n">
        <v>-56.9</v>
      </c>
      <c r="E1082" s="246" t="n">
        <v>-56.1</v>
      </c>
      <c r="F1082" s="246" t="n">
        <v>-42.5</v>
      </c>
      <c r="G1082" s="246" t="n">
        <v>-47.1</v>
      </c>
      <c r="H1082" s="246" t="n">
        <v>1.7</v>
      </c>
      <c r="I1082" s="246" t="n">
        <v>33.3</v>
      </c>
      <c r="J1082" s="246" t="n">
        <v>22.7</v>
      </c>
      <c r="K1082" s="247" t="inlineStr">
        <is>
          <t>6132 HJ SCIENCE-B</t>
        </is>
      </c>
    </row>
  </sheetData>
  <autoFilter ref="A4:K1082"/>
  <mergeCells count="1">
    <mergeCell ref="A2:K2"/>
  </mergeCells>
  <conditionalFormatting sqref="D5:D1082">
    <cfRule type="colorScale" priority="1">
      <colorScale>
        <cfvo type="num" val="-40"/>
        <cfvo type="num" val="0"/>
        <cfvo type="num" val="60"/>
        <color rgb="00F8696B"/>
        <color rgb="00FFFFFF"/>
        <color rgb="0063BE7B"/>
      </colorScale>
    </cfRule>
  </conditionalFormatting>
  <conditionalFormatting sqref="E5:E1082">
    <cfRule type="colorScale" priority="2">
      <colorScale>
        <cfvo type="num" val="-40"/>
        <cfvo type="num" val="0"/>
        <cfvo type="num" val="60"/>
        <color rgb="00F8696B"/>
        <color rgb="00FFFFFF"/>
        <color rgb="0063BE7B"/>
      </colorScale>
    </cfRule>
  </conditionalFormatting>
  <conditionalFormatting sqref="F5:F1082">
    <cfRule type="colorScale" priority="3">
      <colorScale>
        <cfvo type="num" val="-40"/>
        <cfvo type="num" val="0"/>
        <cfvo type="num" val="60"/>
        <color rgb="00F8696B"/>
        <color rgb="00FFFFFF"/>
        <color rgb="0063BE7B"/>
      </colorScale>
    </cfRule>
  </conditionalFormatting>
  <conditionalFormatting sqref="G5:G1082">
    <cfRule type="colorScale" priority="4">
      <colorScale>
        <cfvo type="num" val="-40"/>
        <cfvo type="num" val="0"/>
        <cfvo type="num" val="60"/>
        <color rgb="00F8696B"/>
        <color rgb="00FFFFFF"/>
        <color rgb="0063BE7B"/>
      </colorScale>
    </cfRule>
  </conditionalFormatting>
  <conditionalFormatting sqref="H5:H1082">
    <cfRule type="colorScale" priority="5">
      <colorScale>
        <cfvo type="num" val="-40"/>
        <cfvo type="num" val="0"/>
        <cfvo type="num" val="60"/>
        <color rgb="00F8696B"/>
        <color rgb="00FFFFFF"/>
        <color rgb="0063BE7B"/>
      </colorScale>
    </cfRule>
  </conditionalFormatting>
  <conditionalFormatting sqref="I5:I1082">
    <cfRule type="colorScale" priority="6">
      <colorScale>
        <cfvo type="num" val="-40"/>
        <cfvo type="num" val="0"/>
        <cfvo type="num" val="60"/>
        <color rgb="00F8696B"/>
        <color rgb="00FFFFFF"/>
        <color rgb="0063BE7B"/>
      </colorScale>
    </cfRule>
  </conditionalFormatting>
  <conditionalFormatting sqref="J5:J1082">
    <cfRule type="colorScale" priority="7">
      <colorScale>
        <cfvo type="num" val="-40"/>
        <cfvo type="num" val="0"/>
        <cfvo type="num" val="60"/>
        <color rgb="00F8696B"/>
        <color rgb="00FFFFFF"/>
        <color rgb="0063BE7B"/>
      </colorScale>
    </cfRule>
  </conditionalFormatting>
  <printOptions horizontalCentered="1"/>
  <pageMargins left="0.75" right="0.75" top="1" bottom="1" header="0.5" footer="0.5"/>
  <pageSetup orientation="landscape" paperSize="8" fitToHeight="0" fitToWidth="1"/>
</worksheet>
</file>

<file path=xl/worksheets/sheet7.xml><?xml version="1.0" encoding="utf-8"?>
<worksheet xmlns="http://schemas.openxmlformats.org/spreadsheetml/2006/main">
  <sheetPr>
    <tabColor rgb="00BFBFBF"/>
    <outlinePr summaryBelow="1" summaryRight="1"/>
    <pageSetUpPr fitToPage="1"/>
  </sheetPr>
  <dimension ref="A1:R69"/>
  <sheetViews>
    <sheetView showGridLines="0" zoomScale="95" workbookViewId="0">
      <pane xSplit="3" ySplit="4" topLeftCell="D5" activePane="bottomRight" state="frozen"/>
      <selection pane="topRight"/>
      <selection pane="bottomLeft"/>
      <selection pane="bottomRight" activeCell="A1" sqref="A1"/>
    </sheetView>
  </sheetViews>
  <sheetFormatPr baseColWidth="8" defaultRowHeight="15"/>
  <cols>
    <col width="40" customWidth="1" min="1" max="1"/>
    <col width="7" customWidth="1" min="2" max="2"/>
    <col width="9" customWidth="1" min="3" max="3"/>
    <col width="19" customWidth="1" min="4" max="4"/>
    <col width="20" customWidth="1" min="5" max="5"/>
    <col width="17" customWidth="1" min="6" max="6"/>
    <col width="12" customWidth="1" min="7" max="7"/>
    <col width="11" customWidth="1" min="8" max="8"/>
    <col width="11" customWidth="1" min="9" max="9"/>
    <col width="11" customWidth="1" min="10" max="10"/>
    <col width="13" customWidth="1" min="11" max="11"/>
    <col width="13" customWidth="1" min="12" max="12"/>
    <col width="13" customWidth="1" min="13" max="13"/>
    <col width="11" customWidth="1" min="14" max="14"/>
    <col width="12" customWidth="1" min="15" max="15"/>
    <col width="13" customWidth="1" min="16" max="16"/>
    <col width="18" customWidth="1" min="17" max="17"/>
    <col width="70" customWidth="1" min="18" max="18"/>
  </cols>
  <sheetData>
    <row r="1" ht="30" customHeight="1">
      <c r="A1" s="35" t="inlineStr">
        <is>
          <t>STABILISING MANAGER LEAGUE</t>
        </is>
      </c>
    </row>
    <row r="2" ht="34" customHeight="1">
      <c r="A2" s="36" t="inlineStr">
        <is>
          <t>One row per stabilising manager, grouped by bank family. Day 1: open vs issue is the pop, close vs issue the day-1 return, open to close whether the open held. Shoe full / lapsed are shares of deals with a known outcome. Read as deal mix, not skill: the banks at the bottom lead the large institutional deals, the top sit on small retail-driven ones.</t>
        </is>
      </c>
    </row>
    <row r="3">
      <c r="D3" s="241" t="inlineStr">
        <is>
          <t>DAY 1</t>
        </is>
      </c>
      <c r="H3" s="241" t="inlineStr">
        <is>
          <t>VS OFFER (WITH POP)</t>
        </is>
      </c>
      <c r="K3" s="241" t="inlineStr">
        <is>
          <t>FROM DAY-1 CLOSE (EX-POP)</t>
        </is>
      </c>
      <c r="N3" s="241" t="inlineStr">
        <is>
          <t>SHOE OUTCOME</t>
        </is>
      </c>
    </row>
    <row r="4" ht="30" customHeight="1">
      <c r="A4" s="45" t="inlineStr">
        <is>
          <t>Stabilising manager</t>
        </is>
      </c>
      <c r="B4" s="45" t="inlineStr">
        <is>
          <t>Deals</t>
        </is>
      </c>
      <c r="C4" s="45" t="inlineStr">
        <is>
          <t>Day-1 hit</t>
        </is>
      </c>
      <c r="D4" s="45" t="inlineStr">
        <is>
          <t>Day-1 open vs issue</t>
        </is>
      </c>
      <c r="E4" s="45" t="inlineStr">
        <is>
          <t>Day-1 close vs issue</t>
        </is>
      </c>
      <c r="F4" s="45" t="inlineStr">
        <is>
          <t>Day-1 open to close</t>
        </is>
      </c>
      <c r="G4" s="45" t="inlineStr">
        <is>
          <t>Day-1 known</t>
        </is>
      </c>
      <c r="H4" s="45" t="inlineStr">
        <is>
          <t>Avg 1w</t>
        </is>
      </c>
      <c r="I4" s="45" t="inlineStr">
        <is>
          <t>Avg 1m</t>
        </is>
      </c>
      <c r="J4" s="45" t="inlineStr">
        <is>
          <t>Avg 3m</t>
        </is>
      </c>
      <c r="K4" s="45" t="inlineStr">
        <is>
          <t>Avg 1w ex-pop</t>
        </is>
      </c>
      <c r="L4" s="45" t="inlineStr">
        <is>
          <t>Avg 1m ex-pop</t>
        </is>
      </c>
      <c r="M4" s="45" t="inlineStr">
        <is>
          <t>Avg 3m ex-pop</t>
        </is>
      </c>
      <c r="N4" s="45" t="inlineStr">
        <is>
          <t>Shoe full %</t>
        </is>
      </c>
      <c r="O4" s="45" t="inlineStr">
        <is>
          <t>Shoe lapsed %</t>
        </is>
      </c>
      <c r="P4" s="45" t="inlineStr">
        <is>
          <t>Outcome known</t>
        </is>
      </c>
      <c r="Q4" s="45" t="inlineStr">
        <is>
          <t>Avg deal size (HK$m)</t>
        </is>
      </c>
      <c r="R4" s="45" t="inlineStr">
        <is>
          <t>Their deals</t>
        </is>
      </c>
    </row>
    <row r="5">
      <c r="A5" s="51" t="inlineStr">
        <is>
          <t>China International Capital Corporation Hong Kong Securities Limited</t>
        </is>
      </c>
      <c r="B5" s="243" t="n">
        <v>92</v>
      </c>
      <c r="C5" s="245" t="n">
        <v>61</v>
      </c>
      <c r="D5" s="246" t="n">
        <v>26.6</v>
      </c>
      <c r="E5" s="246" t="n">
        <v>31.7</v>
      </c>
      <c r="F5" s="246" t="n">
        <v>2.9</v>
      </c>
      <c r="G5" s="243" t="n">
        <v>92</v>
      </c>
      <c r="H5" s="246" t="n">
        <v>32.4</v>
      </c>
      <c r="I5" s="246" t="n">
        <v>35.9</v>
      </c>
      <c r="J5" s="246" t="n">
        <v>47.4</v>
      </c>
      <c r="K5" s="246" t="n">
        <v>2.5</v>
      </c>
      <c r="L5" s="246" t="n">
        <v>5.7</v>
      </c>
      <c r="M5" s="246" t="n">
        <v>13.3</v>
      </c>
      <c r="N5" s="245" t="n">
        <v>30</v>
      </c>
      <c r="O5" s="245" t="n">
        <v>35</v>
      </c>
      <c r="P5" s="243" t="n">
        <v>88</v>
      </c>
      <c r="Q5" s="213" t="n">
        <v>2589.8</v>
      </c>
      <c r="R5" s="247" t="inlineStr">
        <is>
          <t>2177 UNQ HOLDINGS; 9869 HELENS; 2210 BEIJING JIAYE; 9699 SF INTRA-CITY; 6633 QINGCI GAMES; 2257 SIRNAOMICS-B; 0020 SENSETIME-W; 9878 HUITONGDA NET; 2157 LEPU BIO-B; 2167 TI CLOUD; 2172 MICROPORT NEURO; 1880 CTG DUTY-FREE; 9886 DINGDANG HEALTH; 9877 JENSCARE-B; 2291 SCIENTECH; 2245 LYGEND RESOURCE; 2145 CHICMAX; 2425 AUSTASIA GROUP; 2469 FENBI; 9636 JF WEALTH; 2480 LUZHU BIOTECH-B; 2416 EDIANYUN; 2487 CUTIA-B; 9885 YSB; 3650 KEEP; 9890 ZX INC; 6682 FOURTH PARADIGM; 2517 GUOQUAN; 2149 BATELAB; 2598 LIANLIAN; 2555 CHABAIDAO; 2438 MOBVOI; 2559 DIDA INC; 2495 VOICECOMM; 2507 CIRRUS; 2533 BLACK SESAME; 0300 MIDEA GROUP; 2570 REFIRE; 1318 MAO GEPING; 2577 INNOSCIENCE; 6681 BRAINAURORA-B; 3677 ZENERGY; 1333 BRETON; 2621 SHOUHUI GROUP; 3288 HAITIAN FLAV; 2050 SANHUA; 9678 UNISOUND; 2631 SICC; 3858 JIAXIN INTL RES; 2580 AUX ELECTRIC; 2525 HESAI-W; 9973 CHERY AUTO; 2889 PATEO; 6687 JST GROUP; 2718 MININGLAMP-W; 9927 SERES; 0699 JOYSON ELEC; 2698 SOFTCARE; 2788 CHUANGXIN IND; 2685 QUANTGROUP; 9609 HAIWEI ELEC; 2676 NOVOSENSE; 3881 CIDI; 2635 NUOBIKAN; 2661 QINGSONG HEALTH; 6651 51WORLD; 6082 BIREN TECH; 2513 KNOWLEDGE ATLAS; 0100 MINIMAX-WP; 6938 RIBOLIFE-B; 0501 OMNIVISION; 3200 HANS CNC; 0600 AXERA; 3355 FS.COM; 1021 HUAYAN ROBOTICS; 3296 HUAQIN; 1879 XIZHI TECH-P; 3310 VIEWTRIX TECH; 3388 CREALITY; 6675 SENASIC; 6106 SEER TECH; 2272 KEYTOP PARKING; 1956 WENGE AI; 3661 SG MICRO; 9630 CFMEE; 2697 TH MEDICAL-B; 0668 ANKER; 2667 TONGRENTANGCARE; 6880 MOMENTA-W; 3752 ROKAE ROBOTICS; 2249 NEXCHIP; 6802 CAMSENSE</t>
        </is>
      </c>
    </row>
    <row r="6">
      <c r="A6" s="51" t="inlineStr">
        <is>
          <t>Morgan Stanley Asia Limited</t>
        </is>
      </c>
      <c r="B6" s="243" t="n">
        <v>39</v>
      </c>
      <c r="C6" s="245" t="n">
        <v>62</v>
      </c>
      <c r="D6" s="246" t="n">
        <v>20.3</v>
      </c>
      <c r="E6" s="246" t="n">
        <v>19.7</v>
      </c>
      <c r="F6" s="246" t="n">
        <v>-0.1</v>
      </c>
      <c r="G6" s="243" t="n">
        <v>39</v>
      </c>
      <c r="H6" s="246" t="n">
        <v>22.9</v>
      </c>
      <c r="I6" s="246" t="n">
        <v>19.2</v>
      </c>
      <c r="J6" s="246" t="n">
        <v>27.1</v>
      </c>
      <c r="K6" s="246" t="n">
        <v>0.3</v>
      </c>
      <c r="L6" s="246" t="n">
        <v>-1.6</v>
      </c>
      <c r="M6" s="246" t="n">
        <v>2.4</v>
      </c>
      <c r="N6" s="245" t="n">
        <v>34</v>
      </c>
      <c r="O6" s="245" t="n">
        <v>37</v>
      </c>
      <c r="P6" s="243" t="n">
        <v>38</v>
      </c>
      <c r="Q6" s="213" t="n">
        <v>4848.1</v>
      </c>
      <c r="R6" s="247" t="inlineStr">
        <is>
          <t>1024 KUAISHOU-W; 6601 CHEERWIN GP; 9626 BILIBILI-SW; 0013 HUTCHMED; 2190 ZYLOXTB-B; 2162 KEYMED BIO-B; 2137 BRII - B; 6669 ACOTEC-B; 2256 ABBISKO-B; 2279 YONGHE MEDICAL; 6639 ARRAIL GROUP; 2179 RECBIO-B; 2391 TUYA-W; 9955 CLOUDR; 9696 TIANQI LITHIUM; 9857 LINMON MEDIA; 9985 WEILONG; 0314 SIPAI HEALTH; 2411 PAGODA GP; 2373 BEAUTYFARM MED; 9669 BEISEN HOLDING; 9860 ADICON HOLDINGS; 1541 IMMUNEONCO-B; 1519 J&amp;T EXPRESS-W; 2268 WUXI XDC; 2576 TAIMEI TECH; 2561 VISEN PHARMA-B; 9606 DUALITYBIO-B; 1276 HENGRUI PHARMA; 1828 FWD; 2590 GEEKPLUS-W; 9887 LEADS BIOLABS-B; 2259 ZIJIN GOLD INTL; 2579 CNGR; 3696 INSILICO; 2675 EDGE MEDICAL-B; 9980 EASTROC; 2714 MUYUAN; 6809 MONTAGE TECH</t>
        </is>
      </c>
    </row>
    <row r="7">
      <c r="A7" s="51" t="inlineStr">
        <is>
          <t>Goldman Sachs</t>
        </is>
      </c>
      <c r="B7" s="243" t="n">
        <v>32</v>
      </c>
      <c r="C7" s="245" t="n">
        <v>41</v>
      </c>
      <c r="D7" s="246" t="n">
        <v>13.8</v>
      </c>
      <c r="E7" s="246" t="n">
        <v>12.2</v>
      </c>
      <c r="F7" s="246" t="n">
        <v>-1.4</v>
      </c>
      <c r="G7" s="243" t="n">
        <v>32</v>
      </c>
      <c r="H7" s="246" t="n">
        <v>11.7</v>
      </c>
      <c r="I7" s="246" t="n">
        <v>11.3</v>
      </c>
      <c r="J7" s="246" t="n">
        <v>10.1</v>
      </c>
      <c r="K7" s="246" t="n">
        <v>-0.5</v>
      </c>
      <c r="L7" s="246" t="n">
        <v>-1.3</v>
      </c>
      <c r="M7" s="246" t="n">
        <v>-0.2</v>
      </c>
      <c r="N7" s="245" t="n">
        <v>28</v>
      </c>
      <c r="O7" s="245" t="n">
        <v>31</v>
      </c>
      <c r="P7" s="243" t="n">
        <v>32</v>
      </c>
      <c r="Q7" s="213" t="n">
        <v>5695.1</v>
      </c>
      <c r="R7" s="247" t="inlineStr">
        <is>
          <t>2158 YIDU TECH; 9959 LINKLOGIS–W; 6622 ZHAOKE OPHTH-B; 6699 ANGELALIGN; 2171 CARSGEN-B; 2192 MEDLIVE; 9960 KINDSTAR GLOBAL; 2015 LI AUTO-W; 6609 HEARTCARE-B; 2216 BRONCUS-B; 6628 TRANSCENTA-B; 2235 MICROTECH MED-B; 9898 WB-SW; 6821 ASYMCHEM; 6686 NOAH HOLDINGS-S; 2315 BIOCYTOGEN-B; 2602 ONEWO; 6660 AIM VACCINE; 2367 GIANT BIOGENE; 6979 ZJLD; 6990 SKB BIO-B; 9690 TUHU-W; 9660 HORIZONROBOT-W; 0325 BLOKS; 1364 GUMING; 2648 ANJOY FOOD; 2026 PONY-W; 1768 BUSYMING; 7630 IMPACT THERAP-B; 2475 LUXSHARE ICT; 3308 ZJ INNOLIGHT; 0625 SHEIN-W</t>
        </is>
      </c>
    </row>
    <row r="8">
      <c r="A8" s="51" t="inlineStr">
        <is>
          <t>CLSA Limited</t>
        </is>
      </c>
      <c r="B8" s="243" t="n">
        <v>28</v>
      </c>
      <c r="C8" s="245" t="n">
        <v>71</v>
      </c>
      <c r="D8" s="246" t="n">
        <v>45.4</v>
      </c>
      <c r="E8" s="246" t="n">
        <v>38.4</v>
      </c>
      <c r="F8" s="246" t="n">
        <v>-3.9</v>
      </c>
      <c r="G8" s="243" t="n">
        <v>28</v>
      </c>
      <c r="H8" s="246" t="n">
        <v>31.7</v>
      </c>
      <c r="I8" s="246" t="n">
        <v>35.8</v>
      </c>
      <c r="J8" s="246" t="n">
        <v>85.2</v>
      </c>
      <c r="K8" s="246" t="n">
        <v>-4.5</v>
      </c>
      <c r="L8" s="246" t="n">
        <v>-2.4</v>
      </c>
      <c r="M8" s="246" t="n">
        <v>29.4</v>
      </c>
      <c r="N8" s="245" t="n">
        <v>40</v>
      </c>
      <c r="O8" s="245" t="n">
        <v>35</v>
      </c>
      <c r="P8" s="243" t="n">
        <v>20</v>
      </c>
      <c r="Q8" s="213" t="n">
        <v>2163.7</v>
      </c>
      <c r="R8" s="247" t="inlineStr">
        <is>
          <t>2170 BASECARE-B; 2228 QUANTUMPH-P; 2431 MINIEYE; 6693 CHIFENG GOLD; 2589 AUNTEA JENNY; 2617 TRANSTHERA-B; 6603 IFBH; 2591 INNOGEN-B; 2595 GENFLEET-B; 6090 BUTONG GROUP; 2670 YUNJI; 6031 SANY HEAVY IND; 2630 VIGONVITA-B; 2658 TIANYU SEMI; 2396 B&amp;K CORP-B; 2691 NANHUA FUTURES; 2657 FOREST CABIN; 6656 SIGENERGY; 3277 GPIXEL; 7666 METIS TECHBIO-P; 6872 TENNOR THERAP-B; 6132 HJ SCIENCE-B; 6228 MERDEKAGOLD-DRS; 1770 DKE; 9615 MECH-MIND ROBOT; 9976 LONGSYS; 9856 LIGENT; 6731 DIRECT DRIVE</t>
        </is>
      </c>
    </row>
    <row r="9">
      <c r="A9" s="51" t="inlineStr">
        <is>
          <t>Huatai Financial Holdings</t>
        </is>
      </c>
      <c r="B9" s="243" t="n">
        <v>19</v>
      </c>
      <c r="C9" s="245" t="n">
        <v>32</v>
      </c>
      <c r="D9" s="246" t="n">
        <v>1.8</v>
      </c>
      <c r="E9" s="246" t="n">
        <v>-1.2</v>
      </c>
      <c r="F9" s="246" t="n">
        <v>-2.2</v>
      </c>
      <c r="G9" s="243" t="n">
        <v>19</v>
      </c>
      <c r="H9" s="246" t="n">
        <v>-1.3</v>
      </c>
      <c r="I9" s="246" t="n">
        <v>-11.6</v>
      </c>
      <c r="J9" s="246" t="n">
        <v>-0.8</v>
      </c>
      <c r="K9" s="246" t="n">
        <v>-1.7</v>
      </c>
      <c r="L9" s="246" t="n">
        <v>-10.3</v>
      </c>
      <c r="M9" s="246" t="n">
        <v>-1.3</v>
      </c>
      <c r="N9" s="245" t="n">
        <v>18</v>
      </c>
      <c r="O9" s="245" t="n">
        <v>59</v>
      </c>
      <c r="P9" s="243" t="n">
        <v>17</v>
      </c>
      <c r="Q9" s="213" t="n">
        <v>2494.8</v>
      </c>
      <c r="R9" s="247" t="inlineStr">
        <is>
          <t>2146 ROISERV; 2185 BIOHEART-B; 2297 RAINMED-B; 3931 CALB; 6963 SUNSHINE INS; 9930 HORIZON CD; 2271 ZHONGAN SERVICE; 1973 TIAN TU CAPITAL; 2519 AUGROUP; 2566 JIUYUAN GENE; 2506 XUNFEIHEALTH; 2610 NANSHAN AL INTL; 2865 DRINDA; 3636 JINXUN RESOURCE; 3986 GIGADEVICE; 2715 ESTUN; 1081 DAJIN; 1191 CREALIGHTS; 3757 ROBOTECHNIK</t>
        </is>
      </c>
    </row>
    <row r="10">
      <c r="A10" s="51" t="inlineStr">
        <is>
          <t>Guotai Junan Securities</t>
        </is>
      </c>
      <c r="B10" s="243" t="n">
        <v>13</v>
      </c>
      <c r="C10" s="245" t="n">
        <v>54</v>
      </c>
      <c r="D10" s="246" t="n">
        <v>5.2</v>
      </c>
      <c r="E10" s="246" t="n">
        <v>8.9</v>
      </c>
      <c r="F10" s="246" t="n">
        <v>2.9</v>
      </c>
      <c r="G10" s="243" t="n">
        <v>13</v>
      </c>
      <c r="H10" s="246" t="n">
        <v>9.199999999999999</v>
      </c>
      <c r="I10" s="246" t="n">
        <v>13.1</v>
      </c>
      <c r="J10" s="246" t="n">
        <v>60.8</v>
      </c>
      <c r="K10" s="246" t="n">
        <v>1.2</v>
      </c>
      <c r="L10" s="246" t="n">
        <v>6.1</v>
      </c>
      <c r="M10" s="246" t="n">
        <v>54</v>
      </c>
      <c r="N10" s="245" t="n">
        <v>15</v>
      </c>
      <c r="O10" s="245" t="n">
        <v>38</v>
      </c>
      <c r="P10" s="243" t="n">
        <v>13</v>
      </c>
      <c r="Q10" s="213" t="n">
        <v>1262</v>
      </c>
      <c r="R10" s="247" t="inlineStr">
        <is>
          <t>2175 CH GENERAL EDU; 1948 UJU HOLDING; 2276 CONANT OPTICAL; 2352 DOWELL SERVICE; 2481 WISE LIVING TEC; 9880 UBTECH ROBOTICS; 2536 PALASINO; 2465 LOPAL TECH; 2432 DOBOT; 6166 CIG; 3317 XUNCE; 7688 TOPNC; 3223 INGENIC</t>
        </is>
      </c>
    </row>
    <row r="11">
      <c r="A11" s="51" t="inlineStr">
        <is>
          <t>China Securities</t>
        </is>
      </c>
      <c r="B11" s="243" t="n">
        <v>12</v>
      </c>
      <c r="C11" s="245" t="n">
        <v>50</v>
      </c>
      <c r="D11" s="246" t="n">
        <v>8.199999999999999</v>
      </c>
      <c r="E11" s="246" t="n">
        <v>18.3</v>
      </c>
      <c r="F11" s="246" t="n">
        <v>8.199999999999999</v>
      </c>
      <c r="G11" s="243" t="n">
        <v>12</v>
      </c>
      <c r="H11" s="246" t="n">
        <v>16.8</v>
      </c>
      <c r="I11" s="246" t="n">
        <v>31.5</v>
      </c>
      <c r="J11" s="246" t="n">
        <v>59.7</v>
      </c>
      <c r="K11" s="246" t="n">
        <v>-1.7</v>
      </c>
      <c r="L11" s="246" t="n">
        <v>2.4</v>
      </c>
      <c r="M11" s="246" t="n">
        <v>18.5</v>
      </c>
      <c r="N11" s="245" t="n">
        <v>20</v>
      </c>
      <c r="O11" s="245" t="n">
        <v>20</v>
      </c>
      <c r="P11" s="243" t="n">
        <v>10</v>
      </c>
      <c r="Q11" s="213" t="n">
        <v>485.5</v>
      </c>
      <c r="R11" s="247" t="inlineStr">
        <is>
          <t>2125 STRAWBEAR ENT; 6667 MEGA GENOMICS; 2385 READBOY; 2418 DEEWIN; 1244 3D MEDICINES-B; 6698 STAR CM; 2306 YH ENT; 2496 YZYBIO-B; 6181 LAOPU GOLD; 2560 CONCH MAT TECH; 2543 DAHON TECH; 2649 ALSCO POOLING</t>
        </is>
      </c>
    </row>
    <row r="12">
      <c r="A12" s="51" t="inlineStr">
        <is>
          <t>Haitong International Securities Company Limited</t>
        </is>
      </c>
      <c r="B12" s="243" t="n">
        <v>11</v>
      </c>
      <c r="C12" s="245" t="n">
        <v>82</v>
      </c>
      <c r="D12" s="246" t="n">
        <v>24</v>
      </c>
      <c r="E12" s="246" t="n">
        <v>24</v>
      </c>
      <c r="F12" s="246" t="n">
        <v>1.2</v>
      </c>
      <c r="G12" s="243" t="n">
        <v>11</v>
      </c>
      <c r="H12" s="246" t="n">
        <v>12.4</v>
      </c>
      <c r="I12" s="246" t="n">
        <v>8.5</v>
      </c>
      <c r="J12" s="246" t="n">
        <v>4.1</v>
      </c>
      <c r="K12" s="246" t="n">
        <v>-6.2</v>
      </c>
      <c r="L12" s="246" t="n">
        <v>-9.5</v>
      </c>
      <c r="M12" s="246" t="n">
        <v>-10</v>
      </c>
      <c r="N12" s="245" t="n">
        <v>10</v>
      </c>
      <c r="O12" s="245" t="n">
        <v>70</v>
      </c>
      <c r="P12" s="243" t="n">
        <v>10</v>
      </c>
      <c r="Q12" s="213" t="n">
        <v>677</v>
      </c>
      <c r="R12" s="247" t="inlineStr">
        <is>
          <t>2219 CHAOJU EYE CARE; 1965 LANDSEA LIFE; 2436 LX TECHNOLOGY; 2482 LOGORY; 2499 FOLANGSI; 2502 JINYUAN HCHEM; 6657 BAIWANG CO; 2651 DAZHONG DENTAL; 1236 LDROBOT; 7687 EACON; 2261 NASN TECH</t>
        </is>
      </c>
    </row>
    <row r="13">
      <c r="A13" s="51" t="inlineStr">
        <is>
          <t>J.P. Morgan Securities</t>
        </is>
      </c>
      <c r="B13" s="243" t="n">
        <v>10</v>
      </c>
      <c r="C13" s="245" t="n">
        <v>20</v>
      </c>
      <c r="D13" s="246" t="n">
        <v>21.3</v>
      </c>
      <c r="E13" s="246" t="n">
        <v>14.5</v>
      </c>
      <c r="F13" s="246" t="n">
        <v>-5.1</v>
      </c>
      <c r="G13" s="243" t="n">
        <v>10</v>
      </c>
      <c r="H13" s="246" t="n">
        <v>22.2</v>
      </c>
      <c r="I13" s="246" t="n">
        <v>9.800000000000001</v>
      </c>
      <c r="J13" s="246" t="n">
        <v>-6.9</v>
      </c>
      <c r="K13" s="246" t="n">
        <v>-0.5</v>
      </c>
      <c r="L13" s="246" t="n">
        <v>-7</v>
      </c>
      <c r="M13" s="246" t="n">
        <v>-13.1</v>
      </c>
      <c r="N13" s="245" t="n">
        <v>20</v>
      </c>
      <c r="O13" s="245" t="n">
        <v>30</v>
      </c>
      <c r="P13" s="243" t="n">
        <v>10</v>
      </c>
      <c r="Q13" s="213" t="n">
        <v>6089</v>
      </c>
      <c r="R13" s="247" t="inlineStr">
        <is>
          <t>2150 NAYUKI; 9868 XPENG-W; 9863 LEAPMOTOR; 2498 ROBOSENSE; 2510 TS LINES; 6936 SF HOLDING; 3887 HASHKEY HLDGS; 0470 WUXI LEAD; 0068 MANYCORE TECH; 2476 VGT</t>
        </is>
      </c>
    </row>
    <row r="14">
      <c r="A14" s="51" t="inlineStr">
        <is>
          <t>CMB International Global Markets Limited</t>
        </is>
      </c>
      <c r="B14" s="243" t="n">
        <v>8</v>
      </c>
      <c r="C14" s="245" t="n">
        <v>50</v>
      </c>
      <c r="D14" s="246" t="n">
        <v>4.1</v>
      </c>
      <c r="E14" s="246" t="n">
        <v>5.8</v>
      </c>
      <c r="F14" s="246" t="n">
        <v>-0.2</v>
      </c>
      <c r="G14" s="243" t="n">
        <v>8</v>
      </c>
      <c r="H14" s="246" t="n">
        <v>-2.3</v>
      </c>
      <c r="I14" s="246" t="n">
        <v>2.3</v>
      </c>
      <c r="J14" s="246" t="n">
        <v>1.3</v>
      </c>
      <c r="K14" s="246" t="n">
        <v>-3.4</v>
      </c>
      <c r="L14" s="246" t="n">
        <v>-3.7</v>
      </c>
      <c r="M14" s="246" t="n">
        <v>-4</v>
      </c>
      <c r="N14" s="245" t="n">
        <v>12</v>
      </c>
      <c r="O14" s="245" t="n">
        <v>62</v>
      </c>
      <c r="P14" s="243" t="n">
        <v>8</v>
      </c>
      <c r="Q14" s="213" t="n">
        <v>740.3</v>
      </c>
      <c r="R14" s="247" t="inlineStr">
        <is>
          <t>2325 YUNKANG GROUP; 2392 XUANWU CLOUD; 2505 EDA GROUP HLDGS; 2549 CAROTE LTD; 6831 GREEN TEA GROUP; 2408 XIAO NOODLES; 0664 TONGSHIFU; 3952 LAIFUAL</t>
        </is>
      </c>
    </row>
    <row r="15">
      <c r="A15" s="51" t="inlineStr">
        <is>
          <t>Merrill Lynch</t>
        </is>
      </c>
      <c r="B15" s="243" t="n">
        <v>8</v>
      </c>
      <c r="C15" s="245" t="n">
        <v>25</v>
      </c>
      <c r="D15" s="246" t="n">
        <v>5.9</v>
      </c>
      <c r="E15" s="246" t="n">
        <v>5.1</v>
      </c>
      <c r="F15" s="246" t="n">
        <v>-0.7</v>
      </c>
      <c r="G15" s="243" t="n">
        <v>8</v>
      </c>
      <c r="H15" s="246" t="n">
        <v>12</v>
      </c>
      <c r="I15" s="246" t="n">
        <v>14.6</v>
      </c>
      <c r="J15" s="246" t="n">
        <v>3.4</v>
      </c>
      <c r="K15" s="246" t="n">
        <v>4.9</v>
      </c>
      <c r="L15" s="246" t="n">
        <v>7</v>
      </c>
      <c r="M15" s="246" t="n">
        <v>-7</v>
      </c>
      <c r="N15" s="245" t="n">
        <v>29</v>
      </c>
      <c r="O15" s="245" t="n">
        <v>29</v>
      </c>
      <c r="P15" s="243" t="n">
        <v>7</v>
      </c>
      <c r="Q15" s="213" t="n">
        <v>7514</v>
      </c>
      <c r="R15" s="247" t="inlineStr">
        <is>
          <t>9888 BIDU-SW; 2618 JD LOGISTICS; 9899 CLOUD VILLAGE; 2273 GUSHENGTANG; 9896 MNSO; 1405 DPC DASH; 2097 MIXUE GROUP; 7618 JD INDUSTRIALS</t>
        </is>
      </c>
    </row>
    <row r="16">
      <c r="A16" s="51" t="inlineStr">
        <is>
          <t>UBS AG Hong Kong Branch</t>
        </is>
      </c>
      <c r="B16" s="243" t="n">
        <v>8</v>
      </c>
      <c r="C16" s="245" t="n">
        <v>50</v>
      </c>
      <c r="D16" s="246" t="n">
        <v>2.9</v>
      </c>
      <c r="E16" s="246" t="n">
        <v>-3.9</v>
      </c>
      <c r="F16" s="246" t="n">
        <v>-8.4</v>
      </c>
      <c r="G16" s="243" t="n">
        <v>8</v>
      </c>
      <c r="H16" s="246" t="n">
        <v>-19</v>
      </c>
      <c r="I16" s="246" t="n">
        <v>-25.2</v>
      </c>
      <c r="J16" s="246" t="n">
        <v>-18.2</v>
      </c>
      <c r="K16" s="246" t="n">
        <v>-18.8</v>
      </c>
      <c r="L16" s="246" t="n">
        <v>-26.5</v>
      </c>
      <c r="M16" s="246" t="n">
        <v>-15</v>
      </c>
      <c r="N16" s="245" t="n">
        <v>12</v>
      </c>
      <c r="O16" s="245" t="n">
        <v>62</v>
      </c>
      <c r="P16" s="243" t="n">
        <v>8</v>
      </c>
      <c r="Q16" s="213" t="n">
        <v>1406</v>
      </c>
      <c r="R16" s="247" t="inlineStr">
        <is>
          <t>0606 SCE CM; 2121 AINNOVATION; 2246 GOGOX; 6955 BOAN BIOTECH-B; 2460 CR BEVERAGE; 2586 DMALL; 0999 XIAOCAIYUAN; 2508 SAINT BELLA</t>
        </is>
      </c>
    </row>
    <row r="17">
      <c r="A17" s="51" t="inlineStr">
        <is>
          <t>CMBC Securities Company Limited</t>
        </is>
      </c>
      <c r="B17" s="243" t="n">
        <v>7</v>
      </c>
      <c r="C17" s="245" t="n">
        <v>86</v>
      </c>
      <c r="D17" s="246" t="n">
        <v>89.3</v>
      </c>
      <c r="E17" s="246" t="n">
        <v>90.5</v>
      </c>
      <c r="F17" s="246" t="n">
        <v>-3.4</v>
      </c>
      <c r="G17" s="243" t="n">
        <v>7</v>
      </c>
      <c r="H17" s="246" t="n">
        <v>83.09999999999999</v>
      </c>
      <c r="I17" s="246" t="n">
        <v>81.3</v>
      </c>
      <c r="J17" s="246" t="n">
        <v>69.3</v>
      </c>
      <c r="K17" s="246" t="n">
        <v>-2.6</v>
      </c>
      <c r="L17" s="246" t="n">
        <v>-5</v>
      </c>
      <c r="M17" s="246" t="n">
        <v>-9.199999999999999</v>
      </c>
      <c r="N17" s="245" t="n">
        <v>20</v>
      </c>
      <c r="O17" s="245" t="n">
        <v>60</v>
      </c>
      <c r="P17" s="243" t="n">
        <v>5</v>
      </c>
      <c r="Q17" s="213" t="n">
        <v>204.9</v>
      </c>
      <c r="R17" s="247" t="inlineStr">
        <is>
          <t>6939 MEGAIN; 2260 VANOV HOLDINGS; 2347 YOHO GROUP; 2422 REGO INTERACT; 2433 ZT HN GROUP; 2573 NEWTREND GROUP; 2672 BAIGE DIGITAL</t>
        </is>
      </c>
    </row>
    <row r="18">
      <c r="A18" s="51" t="inlineStr">
        <is>
          <t>CCB International Capital Limited</t>
        </is>
      </c>
      <c r="B18" s="243" t="n">
        <v>7</v>
      </c>
      <c r="C18" s="245" t="n">
        <v>43</v>
      </c>
      <c r="D18" s="246" t="n">
        <v>17.9</v>
      </c>
      <c r="E18" s="246" t="n">
        <v>15.2</v>
      </c>
      <c r="F18" s="246" t="n">
        <v>-2.9</v>
      </c>
      <c r="G18" s="243" t="n">
        <v>7</v>
      </c>
      <c r="H18" s="246" t="n">
        <v>14.3</v>
      </c>
      <c r="I18" s="246" t="n">
        <v>11.3</v>
      </c>
      <c r="J18" s="246" t="n">
        <v>6.5</v>
      </c>
      <c r="K18" s="246" t="n">
        <v>-0.5</v>
      </c>
      <c r="L18" s="246" t="n">
        <v>-2.7</v>
      </c>
      <c r="M18" s="246" t="n">
        <v>-2.8</v>
      </c>
      <c r="N18" s="245" t="n">
        <v>0</v>
      </c>
      <c r="O18" s="245" t="n">
        <v>33</v>
      </c>
      <c r="P18" s="243" t="n">
        <v>6</v>
      </c>
      <c r="Q18" s="213" t="n">
        <v>898.7</v>
      </c>
      <c r="R18" s="247" t="inlineStr">
        <is>
          <t>6668 E-STAR CM; 2165 LING YUE SER GP; 2215 DEXIN SER GROUP; 2205 KANGQIAO SER; 6611 SANXUN GROUP; 2596 YIBIN BANK; 2335 MICOT PHARMA-B</t>
        </is>
      </c>
    </row>
    <row r="19">
      <c r="A19" s="51" t="inlineStr">
        <is>
          <t>Shenwan Hongyuan Securities</t>
        </is>
      </c>
      <c r="B19" s="243" t="n">
        <v>5</v>
      </c>
      <c r="C19" s="245" t="n">
        <v>40</v>
      </c>
      <c r="D19" s="246" t="n">
        <v>59.7</v>
      </c>
      <c r="E19" s="246" t="n">
        <v>52.7</v>
      </c>
      <c r="F19" s="246" t="n">
        <v>-8.4</v>
      </c>
      <c r="G19" s="243" t="n">
        <v>5</v>
      </c>
      <c r="H19" s="246" t="n">
        <v>51.6</v>
      </c>
      <c r="I19" s="246" t="n">
        <v>77.5</v>
      </c>
      <c r="J19" s="246" t="n">
        <v>122</v>
      </c>
      <c r="K19" s="246" t="n">
        <v>1.5</v>
      </c>
      <c r="L19" s="246" t="n">
        <v>15.6</v>
      </c>
      <c r="M19" s="246" t="n">
        <v>33.4</v>
      </c>
      <c r="N19" s="245" t="n">
        <v>0</v>
      </c>
      <c r="O19" s="245" t="n">
        <v>75</v>
      </c>
      <c r="P19" s="243" t="n">
        <v>4</v>
      </c>
      <c r="Q19" s="213" t="n">
        <v>401.2</v>
      </c>
      <c r="R19" s="247" t="inlineStr">
        <is>
          <t>2270 DESUN SERVICES; 6610 FLOWING CLOUD; 2567 QINIU; 2656 160 HEALTH; 2650 ZHIDA TECH</t>
        </is>
      </c>
    </row>
    <row r="20">
      <c r="A20" s="51" t="inlineStr">
        <is>
          <t>Yue Xiu Securities Company Limited</t>
        </is>
      </c>
      <c r="B20" s="243" t="n">
        <v>5</v>
      </c>
      <c r="C20" s="245" t="n">
        <v>80</v>
      </c>
      <c r="D20" s="246" t="n">
        <v>31.4</v>
      </c>
      <c r="E20" s="246" t="n">
        <v>25.8</v>
      </c>
      <c r="F20" s="246" t="n">
        <v>1</v>
      </c>
      <c r="G20" s="243" t="n">
        <v>5</v>
      </c>
      <c r="H20" s="246" t="n">
        <v>31.4</v>
      </c>
      <c r="I20" s="246" t="n">
        <v>51.5</v>
      </c>
      <c r="J20" s="246" t="n">
        <v>43.2</v>
      </c>
      <c r="K20" s="246" t="n">
        <v>3.7</v>
      </c>
      <c r="L20" s="246" t="n">
        <v>18.5</v>
      </c>
      <c r="M20" s="246" t="n">
        <v>11.7</v>
      </c>
      <c r="N20" s="245" t="n">
        <v>0</v>
      </c>
      <c r="O20" s="245" t="n">
        <v>75</v>
      </c>
      <c r="P20" s="243" t="n">
        <v>4</v>
      </c>
      <c r="Q20" s="213" t="n">
        <v>595</v>
      </c>
      <c r="R20" s="247" t="inlineStr">
        <is>
          <t>6626 YUEXIU SERVICES; 2459 SANERGY GROUP; 2569 SOFT INTL; 9881 RONGTA TECH; 2553 SHOUGANG LANZA</t>
        </is>
      </c>
    </row>
    <row r="21">
      <c r="A21" s="51" t="inlineStr">
        <is>
          <t>Sinolink Securities</t>
        </is>
      </c>
      <c r="B21" s="243" t="n">
        <v>4</v>
      </c>
      <c r="C21" s="245" t="n">
        <v>75</v>
      </c>
      <c r="D21" s="246" t="n">
        <v>37.7</v>
      </c>
      <c r="E21" s="246" t="n">
        <v>72.3</v>
      </c>
      <c r="F21" s="246" t="n">
        <v>15.8</v>
      </c>
      <c r="G21" s="243" t="n">
        <v>4</v>
      </c>
      <c r="H21" s="246" t="n">
        <v>131.2</v>
      </c>
      <c r="I21" s="246" t="n">
        <v>90.2</v>
      </c>
      <c r="J21" s="246" t="n">
        <v>97.40000000000001</v>
      </c>
      <c r="K21" s="246" t="n">
        <v>21.2</v>
      </c>
      <c r="L21" s="246" t="n">
        <v>11.5</v>
      </c>
      <c r="M21" s="246" t="n">
        <v>-5.5</v>
      </c>
      <c r="N21" s="245" t="n">
        <v>67</v>
      </c>
      <c r="O21" s="245" t="n">
        <v>33</v>
      </c>
      <c r="P21" s="243" t="n">
        <v>3</v>
      </c>
      <c r="Q21" s="213" t="n">
        <v>761.1</v>
      </c>
      <c r="R21" s="247" t="inlineStr">
        <is>
          <t>2155 MORIMATSU INTL; 2619 XJ ELECTRICS; 1779 LONGBIO-B; 9971 BASICSEMI</t>
        </is>
      </c>
    </row>
    <row r="22">
      <c r="A22" s="51" t="inlineStr">
        <is>
          <t>ABCI Securities Company Limited</t>
        </is>
      </c>
      <c r="B22" s="243" t="n">
        <v>4</v>
      </c>
      <c r="C22" s="245" t="n">
        <v>75</v>
      </c>
      <c r="D22" s="246" t="n">
        <v>8.699999999999999</v>
      </c>
      <c r="E22" s="246" t="n">
        <v>6.8</v>
      </c>
      <c r="F22" s="246" t="n">
        <v>-1.6</v>
      </c>
      <c r="G22" s="243" t="n">
        <v>4</v>
      </c>
      <c r="H22" s="246" t="n">
        <v>16.9</v>
      </c>
      <c r="I22" s="246" t="n">
        <v>11.4</v>
      </c>
      <c r="J22" s="246" t="n">
        <v>31.1</v>
      </c>
      <c r="K22" s="246" t="n">
        <v>5.6</v>
      </c>
      <c r="L22" s="246" t="n">
        <v>-1.4</v>
      </c>
      <c r="M22" s="246" t="n">
        <v>14.1</v>
      </c>
      <c r="N22" s="245" t="n">
        <v>25</v>
      </c>
      <c r="O22" s="245" t="n">
        <v>75</v>
      </c>
      <c r="P22" s="243" t="n">
        <v>4</v>
      </c>
      <c r="Q22" s="213" t="n">
        <v>2383.8</v>
      </c>
      <c r="R22" s="247" t="inlineStr">
        <is>
          <t>1490 CHESHI; 9889 DRCB; 2370 REDCO HEALTHY; 2376 LUSHANGSERVICES</t>
        </is>
      </c>
    </row>
    <row r="23">
      <c r="A23" s="51" t="inlineStr">
        <is>
          <t>Zhongtai International Securities Limited</t>
        </is>
      </c>
      <c r="B23" s="243" t="n">
        <v>4</v>
      </c>
      <c r="C23" s="245" t="n">
        <v>25</v>
      </c>
      <c r="D23" s="246" t="n">
        <v>0.2</v>
      </c>
      <c r="E23" s="246" t="n">
        <v>-21.2</v>
      </c>
      <c r="F23" s="246" t="n">
        <v>-19.2</v>
      </c>
      <c r="G23" s="243" t="n">
        <v>4</v>
      </c>
      <c r="H23" s="246" t="n">
        <v>-18</v>
      </c>
      <c r="I23" s="246" t="n">
        <v>-29.7</v>
      </c>
      <c r="J23" s="246" t="n">
        <v>-31.9</v>
      </c>
      <c r="K23" s="246" t="n">
        <v>6.9</v>
      </c>
      <c r="L23" s="246" t="n">
        <v>-3.5</v>
      </c>
      <c r="M23" s="246" t="n">
        <v>-7.3</v>
      </c>
      <c r="N23" s="245" t="n">
        <v>0</v>
      </c>
      <c r="O23" s="245" t="n">
        <v>100</v>
      </c>
      <c r="P23" s="243" t="n">
        <v>4</v>
      </c>
      <c r="Q23" s="213" t="n">
        <v>243.7</v>
      </c>
      <c r="R23" s="247" t="inlineStr">
        <is>
          <t>6696 MANY IDEA CLOUD; 2457 BUYANG INTL; 2455 RUNHUA SERVICE; 2409 SEACON</t>
        </is>
      </c>
    </row>
    <row r="24">
      <c r="A24" s="51" t="inlineStr">
        <is>
          <t>China Tonghai Securities Limited</t>
        </is>
      </c>
      <c r="B24" s="243" t="n">
        <v>3</v>
      </c>
      <c r="C24" s="245" t="n">
        <v>100</v>
      </c>
      <c r="D24" s="246" t="n">
        <v>9.699999999999999</v>
      </c>
      <c r="E24" s="246" t="n">
        <v>8.5</v>
      </c>
      <c r="F24" s="246" t="n">
        <v>-0.4</v>
      </c>
      <c r="G24" s="243" t="n">
        <v>3</v>
      </c>
      <c r="H24" s="246" t="n">
        <v>3.3</v>
      </c>
      <c r="I24" s="246" t="n">
        <v>4.4</v>
      </c>
      <c r="J24" s="246" t="n">
        <v>-0.1</v>
      </c>
      <c r="K24" s="246" t="n">
        <v>-4.9</v>
      </c>
      <c r="L24" s="246" t="n">
        <v>-3.9</v>
      </c>
      <c r="M24" s="246" t="n">
        <v>-7.6</v>
      </c>
      <c r="N24" s="245" t="n">
        <v>0</v>
      </c>
      <c r="O24" s="245" t="n">
        <v>100</v>
      </c>
      <c r="P24" s="243" t="n">
        <v>2</v>
      </c>
      <c r="Q24" s="213" t="n">
        <v>132.5</v>
      </c>
      <c r="R24" s="247" t="inlineStr">
        <is>
          <t>1855 ZONBONG ENVIRO; 1204 BOARDWARE INTEL; 1489 GC CONSTRUCTION</t>
        </is>
      </c>
    </row>
    <row r="25">
      <c r="A25" s="51" t="inlineStr">
        <is>
          <t>BOCOM International Securities</t>
        </is>
      </c>
      <c r="B25" s="243" t="n">
        <v>3</v>
      </c>
      <c r="C25" s="245" t="n">
        <v>33</v>
      </c>
      <c r="D25" s="246" t="n">
        <v>24.4</v>
      </c>
      <c r="E25" s="246" t="n">
        <v>6.5</v>
      </c>
      <c r="F25" s="246" t="n">
        <v>-10.2</v>
      </c>
      <c r="G25" s="243" t="n">
        <v>3</v>
      </c>
      <c r="H25" s="246" t="n">
        <v>3.8</v>
      </c>
      <c r="I25" s="246" t="n">
        <v>-16.8</v>
      </c>
      <c r="J25" s="246" t="n">
        <v>-19.4</v>
      </c>
      <c r="K25" s="246" t="n">
        <v>-1.5</v>
      </c>
      <c r="L25" s="246" t="n">
        <v>-20.5</v>
      </c>
      <c r="M25" s="246" t="n">
        <v>-22.2</v>
      </c>
      <c r="N25" s="245" t="n">
        <v>0</v>
      </c>
      <c r="O25" s="245" t="n">
        <v>33</v>
      </c>
      <c r="P25" s="243" t="n">
        <v>3</v>
      </c>
      <c r="Q25" s="213" t="n">
        <v>206.6</v>
      </c>
      <c r="R25" s="247" t="inlineStr">
        <is>
          <t>6661 HUZHOU GAS; 2152 SUXIN SERVICES; 2881 WUHAN YOUJI</t>
        </is>
      </c>
    </row>
    <row r="26">
      <c r="A26" s="51" t="inlineStr">
        <is>
          <t>GF Securities</t>
        </is>
      </c>
      <c r="B26" s="243" t="n">
        <v>3</v>
      </c>
      <c r="C26" s="245" t="n">
        <v>33</v>
      </c>
      <c r="D26" s="246" t="n">
        <v>-0.9</v>
      </c>
      <c r="E26" s="246" t="n">
        <v>1.9</v>
      </c>
      <c r="F26" s="246" t="n">
        <v>3.1</v>
      </c>
      <c r="G26" s="243" t="n">
        <v>3</v>
      </c>
      <c r="H26" s="246" t="n">
        <v>9.6</v>
      </c>
      <c r="I26" s="246" t="n">
        <v>42</v>
      </c>
      <c r="J26" s="246" t="n">
        <v>138</v>
      </c>
      <c r="K26" s="246" t="n">
        <v>5.8</v>
      </c>
      <c r="L26" s="246" t="n">
        <v>34.6</v>
      </c>
      <c r="M26" s="246" t="n">
        <v>117.9</v>
      </c>
      <c r="N26" s="245" t="n">
        <v>0</v>
      </c>
      <c r="O26" s="245" t="n">
        <v>67</v>
      </c>
      <c r="P26" s="243" t="n">
        <v>3</v>
      </c>
      <c r="Q26" s="213" t="n">
        <v>767.8</v>
      </c>
      <c r="R26" s="247" t="inlineStr">
        <is>
          <t>2405 POWERWIN TECH; 1497 YAN PALACE; 2643 CAOCAO INC</t>
        </is>
      </c>
    </row>
    <row r="27">
      <c r="A27" s="51" t="inlineStr">
        <is>
          <t>China Everbright Securities</t>
        </is>
      </c>
      <c r="B27" s="243" t="n">
        <v>3</v>
      </c>
      <c r="C27" s="245" t="n">
        <v>33</v>
      </c>
      <c r="D27" s="246" t="n">
        <v>-3.5</v>
      </c>
      <c r="E27" s="246" t="n">
        <v>-10.6</v>
      </c>
      <c r="F27" s="246" t="n">
        <v>-7.9</v>
      </c>
      <c r="G27" s="243" t="n">
        <v>3</v>
      </c>
      <c r="H27" s="246" t="n">
        <v>-18.4</v>
      </c>
      <c r="I27" s="246" t="n">
        <v>-23.4</v>
      </c>
      <c r="J27" s="246" t="n">
        <v>-34.8</v>
      </c>
      <c r="K27" s="246" t="n">
        <v>-8.1</v>
      </c>
      <c r="L27" s="246" t="n">
        <v>-15.8</v>
      </c>
      <c r="M27" s="246" t="n">
        <v>-28.4</v>
      </c>
      <c r="N27" s="245" t="n">
        <v>0</v>
      </c>
      <c r="O27" s="245" t="n">
        <v>100</v>
      </c>
      <c r="P27" s="243" t="n">
        <v>3</v>
      </c>
      <c r="Q27" s="213" t="n">
        <v>196.6</v>
      </c>
      <c r="R27" s="247" t="inlineStr">
        <is>
          <t>2250 SEMK HOLDINGS; 1406 CLARITY MEDICAL; 2450 HUAIBEI GD CO</t>
        </is>
      </c>
    </row>
    <row r="28">
      <c r="A28" s="51" t="inlineStr">
        <is>
          <t>Citigroup Global Markets Asia Limited</t>
        </is>
      </c>
      <c r="B28" s="243" t="n">
        <v>3</v>
      </c>
      <c r="C28" s="245" t="n">
        <v>67</v>
      </c>
      <c r="D28" s="246" t="n">
        <v>-9.6</v>
      </c>
      <c r="E28" s="246" t="n">
        <v>-12.5</v>
      </c>
      <c r="F28" s="246" t="n">
        <v>-3.1</v>
      </c>
      <c r="G28" s="243" t="n">
        <v>3</v>
      </c>
      <c r="H28" s="246" t="n">
        <v>-3.9</v>
      </c>
      <c r="I28" s="246" t="n">
        <v>1.9</v>
      </c>
      <c r="J28" s="246" t="n">
        <v>7.8</v>
      </c>
      <c r="K28" s="246" t="n">
        <v>8.6</v>
      </c>
      <c r="L28" s="246" t="n">
        <v>13.1</v>
      </c>
      <c r="M28" s="246" t="n">
        <v>27.8</v>
      </c>
      <c r="N28" s="245" t="n">
        <v>0</v>
      </c>
      <c r="O28" s="245" t="n">
        <v>100</v>
      </c>
      <c r="P28" s="243" t="n">
        <v>2</v>
      </c>
      <c r="Q28" s="213" t="n">
        <v>697.3</v>
      </c>
      <c r="R28" s="247" t="inlineStr">
        <is>
          <t>3660 360 DIGITECH-S; 6086 FANGZHOU JIANKE; 9611 LONGCHEER</t>
        </is>
      </c>
    </row>
    <row r="29">
      <c r="A29" s="51" t="inlineStr">
        <is>
          <t>Credit Suisse</t>
        </is>
      </c>
      <c r="B29" s="243" t="n">
        <v>3</v>
      </c>
      <c r="C29" s="245" t="n">
        <v>0</v>
      </c>
      <c r="D29" s="246" t="n">
        <v>-14</v>
      </c>
      <c r="E29" s="246" t="n">
        <v>-17.3</v>
      </c>
      <c r="F29" s="246" t="n">
        <v>-3.7</v>
      </c>
      <c r="G29" s="243" t="n">
        <v>3</v>
      </c>
      <c r="H29" s="246" t="n">
        <v>-11.6</v>
      </c>
      <c r="I29" s="246" t="n">
        <v>-24.3</v>
      </c>
      <c r="J29" s="246" t="n">
        <v>-24.8</v>
      </c>
      <c r="K29" s="246" t="n">
        <v>7.1</v>
      </c>
      <c r="L29" s="246" t="n">
        <v>-8.5</v>
      </c>
      <c r="M29" s="246" t="n">
        <v>-9</v>
      </c>
      <c r="N29" s="245" t="n">
        <v>0</v>
      </c>
      <c r="O29" s="245" t="n">
        <v>100</v>
      </c>
      <c r="P29" s="243" t="n">
        <v>3</v>
      </c>
      <c r="Q29" s="213" t="n">
        <v>2775.1</v>
      </c>
      <c r="R29" s="247" t="inlineStr">
        <is>
          <t>2191 SF REIT; 9858 YOURAN DAIRY; 2390 ZHIHU-W</t>
        </is>
      </c>
    </row>
    <row r="30">
      <c r="A30" s="51" t="inlineStr">
        <is>
          <t>Jefferies Hong Kong Limited</t>
        </is>
      </c>
      <c r="B30" s="243" t="n">
        <v>2</v>
      </c>
      <c r="C30" s="245" t="n">
        <v>50</v>
      </c>
      <c r="D30" s="246" t="n">
        <v>42</v>
      </c>
      <c r="E30" s="246" t="n">
        <v>39.5</v>
      </c>
      <c r="F30" s="246" t="n">
        <v>-6.8</v>
      </c>
      <c r="G30" s="243" t="n">
        <v>2</v>
      </c>
      <c r="H30" s="246" t="n">
        <v>-0.1</v>
      </c>
      <c r="I30" s="246" t="n">
        <v>-12.1</v>
      </c>
      <c r="J30" s="246" t="n">
        <v>-20.2</v>
      </c>
      <c r="K30" s="246" t="n">
        <v>-21.4</v>
      </c>
      <c r="L30" s="246" t="n">
        <v>-33.3</v>
      </c>
      <c r="M30" s="246" t="n">
        <v>-39.9</v>
      </c>
      <c r="N30" s="245" t="n">
        <v>50</v>
      </c>
      <c r="O30" s="245" t="n">
        <v>50</v>
      </c>
      <c r="P30" s="243" t="n">
        <v>2</v>
      </c>
      <c r="Q30" s="213" t="n">
        <v>773.9</v>
      </c>
      <c r="R30" s="247" t="inlineStr">
        <is>
          <t>2486 PLUS GP HOLDING; 9637 ALEBUND-B</t>
        </is>
      </c>
    </row>
    <row r="31">
      <c r="A31" s="51" t="inlineStr">
        <is>
          <t>Elstone Securities Limited</t>
        </is>
      </c>
      <c r="B31" s="243" t="n">
        <v>2</v>
      </c>
      <c r="C31" s="245" t="n">
        <v>50</v>
      </c>
      <c r="D31" s="246" t="n">
        <v>16.4</v>
      </c>
      <c r="E31" s="246" t="n">
        <v>2.5</v>
      </c>
      <c r="F31" s="246" t="n">
        <v>-15.1</v>
      </c>
      <c r="G31" s="243" t="n">
        <v>2</v>
      </c>
      <c r="H31" s="246" t="n">
        <v>7.2</v>
      </c>
      <c r="I31" s="246" t="n">
        <v>23</v>
      </c>
      <c r="J31" s="246" t="n">
        <v>103.3</v>
      </c>
      <c r="K31" s="246" t="n">
        <v>-1.8</v>
      </c>
      <c r="L31" s="246" t="n">
        <v>8.4</v>
      </c>
      <c r="M31" s="246" t="n">
        <v>64.40000000000001</v>
      </c>
      <c r="N31" s="245" t="n">
        <v>50</v>
      </c>
      <c r="O31" s="245" t="n">
        <v>50</v>
      </c>
      <c r="P31" s="243" t="n">
        <v>2</v>
      </c>
      <c r="Q31" s="213" t="n">
        <v>167.5</v>
      </c>
      <c r="R31" s="247" t="inlineStr">
        <is>
          <t>9608 SUNDY SERVICE; 2321 SWANGCHAICHUAN</t>
        </is>
      </c>
    </row>
    <row r="32">
      <c r="A32" s="51" t="inlineStr">
        <is>
          <t>Grand Moore Capital</t>
        </is>
      </c>
      <c r="B32" s="243" t="n">
        <v>2</v>
      </c>
      <c r="C32" s="245" t="n">
        <v>50</v>
      </c>
      <c r="D32" s="246" t="n">
        <v>26.6</v>
      </c>
      <c r="E32" s="246" t="n">
        <v>-3.3</v>
      </c>
      <c r="F32" s="246" t="n">
        <v>-23.7</v>
      </c>
      <c r="G32" s="243" t="n">
        <v>2</v>
      </c>
      <c r="H32" s="246" t="n">
        <v>-11.4</v>
      </c>
      <c r="I32" s="246" t="n">
        <v>-19.3</v>
      </c>
      <c r="J32" s="246" t="n">
        <v>-19.1</v>
      </c>
      <c r="K32" s="246" t="n">
        <v>-9.1</v>
      </c>
      <c r="L32" s="246" t="n">
        <v>-16.5</v>
      </c>
      <c r="M32" s="246" t="n">
        <v>-11.7</v>
      </c>
      <c r="N32" s="245" t="n">
        <v>0</v>
      </c>
      <c r="O32" s="245" t="n">
        <v>100</v>
      </c>
      <c r="P32" s="243" t="n">
        <v>2</v>
      </c>
      <c r="Q32" s="213" t="n">
        <v>111.7</v>
      </c>
      <c r="R32" s="247" t="inlineStr">
        <is>
          <t>2147 ZHENGWEI GROUP; 2516 FAR INTL</t>
        </is>
      </c>
    </row>
    <row r="33">
      <c r="A33" s="51" t="inlineStr">
        <is>
          <t>CEB International Capital Corporation Limited</t>
        </is>
      </c>
      <c r="B33" s="243" t="n">
        <v>2</v>
      </c>
      <c r="C33" s="245" t="n">
        <v>50</v>
      </c>
      <c r="D33" s="246" t="n">
        <v>2.2</v>
      </c>
      <c r="E33" s="246" t="n">
        <v>-5</v>
      </c>
      <c r="F33" s="246" t="n">
        <v>-7.1</v>
      </c>
      <c r="G33" s="243" t="n">
        <v>2</v>
      </c>
      <c r="H33" s="246" t="n">
        <v>-11.8</v>
      </c>
      <c r="I33" s="246" t="n">
        <v>21.6</v>
      </c>
      <c r="J33" s="246" t="n">
        <v>81.7</v>
      </c>
      <c r="K33" s="246" t="n">
        <v>-7.6</v>
      </c>
      <c r="L33" s="246" t="n">
        <v>29</v>
      </c>
      <c r="M33" s="246" t="n">
        <v>98.40000000000001</v>
      </c>
      <c r="N33" s="245" t="n">
        <v>0</v>
      </c>
      <c r="O33" s="245" t="n">
        <v>100</v>
      </c>
      <c r="P33" s="243" t="n">
        <v>2</v>
      </c>
      <c r="Q33" s="213" t="n">
        <v>279</v>
      </c>
      <c r="R33" s="247" t="inlineStr">
        <is>
          <t>1354 KINGFARPROPERTY; 2571 SAIMO</t>
        </is>
      </c>
    </row>
    <row r="34">
      <c r="A34" s="51" t="inlineStr">
        <is>
          <t>Chin a International Capital Corporation Hong Kong Securities Limited</t>
        </is>
      </c>
      <c r="B34" s="243" t="n">
        <v>2</v>
      </c>
      <c r="C34" s="245" t="n">
        <v>50</v>
      </c>
      <c r="D34" s="246" t="n">
        <v>-18.3</v>
      </c>
      <c r="E34" s="246" t="n">
        <v>-5.8</v>
      </c>
      <c r="F34" s="246" t="n">
        <v>18.1</v>
      </c>
      <c r="G34" s="243" t="n">
        <v>2</v>
      </c>
      <c r="H34" s="246" t="n">
        <v>-33.9</v>
      </c>
      <c r="I34" s="246" t="n">
        <v>13.7</v>
      </c>
      <c r="J34" s="246" t="n">
        <v>-6.6</v>
      </c>
      <c r="K34" s="246" t="n">
        <v>-31.7</v>
      </c>
      <c r="L34" s="246" t="n">
        <v>22.2</v>
      </c>
      <c r="M34" s="246" t="n">
        <v>0.3</v>
      </c>
      <c r="N34" s="245" t="n">
        <v>0</v>
      </c>
      <c r="O34" s="245" t="n">
        <v>100</v>
      </c>
      <c r="P34" s="243" t="n">
        <v>1</v>
      </c>
      <c r="Q34" s="213" t="n">
        <v>506.8</v>
      </c>
      <c r="R34" s="247" t="inlineStr">
        <is>
          <t>2415 MEDSCI; 6915 JIANGXI BIO</t>
        </is>
      </c>
    </row>
    <row r="35">
      <c r="A35" s="51" t="inlineStr">
        <is>
          <t>BNP Paribas Securities</t>
        </is>
      </c>
      <c r="B35" s="243" t="n">
        <v>2</v>
      </c>
      <c r="C35" s="245" t="n">
        <v>0</v>
      </c>
      <c r="D35" s="246" t="n">
        <v>-10.2</v>
      </c>
      <c r="E35" s="246" t="n">
        <v>-8.5</v>
      </c>
      <c r="F35" s="246" t="n">
        <v>2.1</v>
      </c>
      <c r="G35" s="243" t="n">
        <v>2</v>
      </c>
      <c r="H35" s="246" t="n">
        <v>-10.7</v>
      </c>
      <c r="I35" s="246" t="n">
        <v>-6.7</v>
      </c>
      <c r="J35" s="246" t="n">
        <v>-31.3</v>
      </c>
      <c r="K35" s="246" t="n">
        <v>-3.9</v>
      </c>
      <c r="L35" s="246" t="n">
        <v>2.3</v>
      </c>
      <c r="M35" s="246" t="n">
        <v>-23.6</v>
      </c>
      <c r="N35" s="245" t="n">
        <v>0</v>
      </c>
      <c r="O35" s="245" t="n">
        <v>50</v>
      </c>
      <c r="P35" s="243" t="n">
        <v>2</v>
      </c>
      <c r="Q35" s="213" t="n">
        <v>466.6</v>
      </c>
      <c r="R35" s="247" t="inlineStr">
        <is>
          <t>6913 SCVE GROUP; 2361 SINOHEALTH HLDG</t>
        </is>
      </c>
    </row>
    <row r="36">
      <c r="A36" s="51" t="inlineStr">
        <is>
          <t>China PA Securities</t>
        </is>
      </c>
      <c r="B36" s="243" t="n">
        <v>2</v>
      </c>
      <c r="C36" s="245" t="n">
        <v>0</v>
      </c>
      <c r="D36" s="246" t="n">
        <v>-14.6</v>
      </c>
      <c r="E36" s="246" t="n">
        <v>-13.6</v>
      </c>
      <c r="F36" s="246" t="n">
        <v>0.6</v>
      </c>
      <c r="G36" s="243" t="n">
        <v>2</v>
      </c>
      <c r="H36" s="246" t="n">
        <v>-23.4</v>
      </c>
      <c r="I36" s="246" t="n">
        <v>-26.1</v>
      </c>
      <c r="J36" s="246" t="n">
        <v>-24.8</v>
      </c>
      <c r="K36" s="246" t="n">
        <v>-12.5</v>
      </c>
      <c r="L36" s="246" t="n">
        <v>-16.2</v>
      </c>
      <c r="M36" s="246" t="n">
        <v>-14.5</v>
      </c>
      <c r="N36" s="245" t="n">
        <v>0</v>
      </c>
      <c r="O36" s="245" t="n">
        <v>100</v>
      </c>
      <c r="P36" s="243" t="n">
        <v>1</v>
      </c>
      <c r="Q36" s="213" t="n">
        <v>161.7</v>
      </c>
      <c r="R36" s="247" t="inlineStr">
        <is>
          <t>2440 HOWKINGTECH; 2483 K CASH</t>
        </is>
      </c>
    </row>
    <row r="37">
      <c r="A37" s="51" t="inlineStr">
        <is>
          <t>Wealth Link Securities Limited</t>
        </is>
      </c>
      <c r="B37" s="243" t="n">
        <v>2</v>
      </c>
      <c r="C37" s="245" t="n">
        <v>50</v>
      </c>
      <c r="D37" s="246" t="n">
        <v>-19.5</v>
      </c>
      <c r="E37" s="246" t="n">
        <v>-14.2</v>
      </c>
      <c r="F37" s="246" t="n">
        <v>6.2</v>
      </c>
      <c r="G37" s="243" t="n">
        <v>2</v>
      </c>
      <c r="H37" s="246" t="n">
        <v>-24</v>
      </c>
      <c r="I37" s="246" t="n">
        <v>-30.1</v>
      </c>
      <c r="J37" s="246" t="n">
        <v>-39.6</v>
      </c>
      <c r="K37" s="246" t="n">
        <v>-9.5</v>
      </c>
      <c r="L37" s="246" t="n">
        <v>-16</v>
      </c>
      <c r="M37" s="246" t="n">
        <v>-28.4</v>
      </c>
      <c r="N37" s="245" t="n">
        <v>0</v>
      </c>
      <c r="O37" s="245" t="n">
        <v>100</v>
      </c>
      <c r="P37" s="243" t="n">
        <v>1</v>
      </c>
      <c r="Q37" s="213" t="n">
        <v>219.8</v>
      </c>
      <c r="R37" s="247" t="inlineStr">
        <is>
          <t>1643 MODERN CHI MED; 2439 CH TREASURES NM</t>
        </is>
      </c>
    </row>
    <row r="38">
      <c r="A38" s="51" t="inlineStr">
        <is>
          <t>China Industrial Securities International Capital Limited</t>
        </is>
      </c>
      <c r="B38" s="243" t="n">
        <v>2</v>
      </c>
      <c r="C38" s="245" t="n">
        <v>0</v>
      </c>
      <c r="D38" s="246" t="n">
        <v>-1.2</v>
      </c>
      <c r="E38" s="246" t="n">
        <v>-17.6</v>
      </c>
      <c r="F38" s="246" t="n">
        <v>-17.6</v>
      </c>
      <c r="G38" s="243" t="n">
        <v>2</v>
      </c>
      <c r="H38" s="246" t="n">
        <v>-23.4</v>
      </c>
      <c r="I38" s="246" t="n">
        <v>-30.5</v>
      </c>
      <c r="J38" s="246" t="n">
        <v>-49.1</v>
      </c>
      <c r="K38" s="246" t="n">
        <v>-7.3</v>
      </c>
      <c r="L38" s="246" t="n">
        <v>-12.9</v>
      </c>
      <c r="M38" s="246" t="n">
        <v>-35.5</v>
      </c>
      <c r="N38" s="245" t="n">
        <v>0</v>
      </c>
      <c r="O38" s="245" t="n">
        <v>100</v>
      </c>
      <c r="P38" s="243" t="n">
        <v>1</v>
      </c>
      <c r="Q38" s="213" t="n">
        <v>143.1</v>
      </c>
      <c r="R38" s="247" t="inlineStr">
        <is>
          <t>1407 JY GAS; 2695 IMPRESSION DHP</t>
        </is>
      </c>
    </row>
    <row r="39">
      <c r="A39" s="51" t="inlineStr">
        <is>
          <t>Innovax Securities</t>
        </is>
      </c>
      <c r="B39" s="243" t="n">
        <v>2</v>
      </c>
      <c r="C39" s="245" t="n">
        <v>0</v>
      </c>
      <c r="D39" s="246" t="n">
        <v>-1.8</v>
      </c>
      <c r="E39" s="246" t="n">
        <v>-20.7</v>
      </c>
      <c r="F39" s="246" t="n">
        <v>-18.2</v>
      </c>
      <c r="G39" s="243" t="n">
        <v>2</v>
      </c>
      <c r="H39" s="246" t="n">
        <v>-36.7</v>
      </c>
      <c r="I39" s="246" t="n">
        <v>-39</v>
      </c>
      <c r="J39" s="246" t="n">
        <v>-47.3</v>
      </c>
      <c r="K39" s="246" t="n">
        <v>-19.4</v>
      </c>
      <c r="L39" s="246" t="n">
        <v>-22.9</v>
      </c>
      <c r="M39" s="246" t="n">
        <v>-33.8</v>
      </c>
      <c r="N39" s="245" t="n">
        <v>0</v>
      </c>
      <c r="O39" s="245" t="n">
        <v>100</v>
      </c>
      <c r="P39" s="243" t="n">
        <v>2</v>
      </c>
      <c r="Q39" s="213" t="n">
        <v>122.8</v>
      </c>
      <c r="R39" s="247" t="inlineStr">
        <is>
          <t>2350 MTT GROUP; 1947 MEIHAO GROUP</t>
        </is>
      </c>
    </row>
    <row r="40">
      <c r="A40" s="51" t="inlineStr">
        <is>
          <t>Eddid Secu rities and Futures Limited</t>
        </is>
      </c>
      <c r="B40" s="243" t="n">
        <v>1</v>
      </c>
      <c r="C40" s="245" t="n">
        <v>100</v>
      </c>
      <c r="D40" s="246" t="n">
        <v>77</v>
      </c>
      <c r="E40" s="246" t="n">
        <v>164</v>
      </c>
      <c r="F40" s="246" t="n">
        <v>49.1</v>
      </c>
      <c r="G40" s="243" t="n">
        <v>1</v>
      </c>
      <c r="H40" s="246" t="n">
        <v>250</v>
      </c>
      <c r="I40" s="246" t="n">
        <v>230</v>
      </c>
      <c r="J40" s="246" t="n">
        <v>232</v>
      </c>
      <c r="K40" s="246" t="n">
        <v>32.6</v>
      </c>
      <c r="L40" s="246" t="n">
        <v>25</v>
      </c>
      <c r="M40" s="246" t="n">
        <v>25.8</v>
      </c>
      <c r="N40" s="245" t="n">
        <v>0</v>
      </c>
      <c r="O40" s="245" t="n">
        <v>100</v>
      </c>
      <c r="P40" s="243" t="n">
        <v>1</v>
      </c>
      <c r="Q40" s="213" t="n">
        <v>125</v>
      </c>
      <c r="R40" s="247" t="inlineStr">
        <is>
          <t>2477 WELLCELL HOLD</t>
        </is>
      </c>
    </row>
    <row r="41">
      <c r="A41" s="51" t="inlineStr">
        <is>
          <t>Zhongtai Intern ational Securities Limited</t>
        </is>
      </c>
      <c r="B41" s="243" t="n">
        <v>1</v>
      </c>
      <c r="C41" s="245" t="n">
        <v>100</v>
      </c>
      <c r="D41" s="246" t="n">
        <v>100</v>
      </c>
      <c r="E41" s="246" t="n">
        <v>162.5</v>
      </c>
      <c r="F41" s="246" t="n">
        <v>31.2</v>
      </c>
      <c r="G41" s="243" t="n">
        <v>1</v>
      </c>
      <c r="H41" s="246" t="n">
        <v>267.5</v>
      </c>
      <c r="I41" s="246" t="n">
        <v>1146.9</v>
      </c>
      <c r="J41" s="248" t="n"/>
      <c r="K41" s="246" t="n">
        <v>40</v>
      </c>
      <c r="L41" s="246" t="n">
        <v>375</v>
      </c>
      <c r="M41" s="248" t="n"/>
      <c r="N41" s="245" t="n">
        <v>0</v>
      </c>
      <c r="O41" s="245" t="n">
        <v>100</v>
      </c>
      <c r="P41" s="243" t="n">
        <v>1</v>
      </c>
      <c r="Q41" s="213" t="n">
        <v>200</v>
      </c>
      <c r="R41" s="247" t="inlineStr">
        <is>
          <t>2797 QIYUNSHAN FOOD</t>
        </is>
      </c>
    </row>
    <row r="42">
      <c r="A42" s="51" t="inlineStr">
        <is>
          <t>Lego Securities Lim ited</t>
        </is>
      </c>
      <c r="B42" s="243" t="n">
        <v>1</v>
      </c>
      <c r="C42" s="245" t="n">
        <v>100</v>
      </c>
      <c r="D42" s="246" t="n">
        <v>35.4</v>
      </c>
      <c r="E42" s="246" t="n">
        <v>143.1</v>
      </c>
      <c r="F42" s="246" t="n">
        <v>79.5</v>
      </c>
      <c r="G42" s="243" t="n">
        <v>1</v>
      </c>
      <c r="H42" s="246" t="n">
        <v>56.9</v>
      </c>
      <c r="I42" s="246" t="n">
        <v>176.9</v>
      </c>
      <c r="J42" s="246" t="n">
        <v>183.1</v>
      </c>
      <c r="K42" s="246" t="n">
        <v>-35.5</v>
      </c>
      <c r="L42" s="246" t="n">
        <v>13.9</v>
      </c>
      <c r="M42" s="246" t="n">
        <v>16.5</v>
      </c>
      <c r="N42" s="245" t="n">
        <v>0</v>
      </c>
      <c r="O42" s="245" t="n">
        <v>100</v>
      </c>
      <c r="P42" s="243" t="n">
        <v>1</v>
      </c>
      <c r="Q42" s="213" t="n">
        <v>130</v>
      </c>
      <c r="R42" s="247" t="inlineStr">
        <is>
          <t>2237 CHINA GRAPHITE</t>
        </is>
      </c>
    </row>
    <row r="43">
      <c r="A43" s="51" t="inlineStr">
        <is>
          <t>Yuen Meta</t>
        </is>
      </c>
      <c r="B43" s="243" t="n">
        <v>1</v>
      </c>
      <c r="C43" s="245" t="n">
        <v>100</v>
      </c>
      <c r="D43" s="246" t="n">
        <v>160</v>
      </c>
      <c r="E43" s="246" t="n">
        <v>136</v>
      </c>
      <c r="F43" s="246" t="n">
        <v>-9.199999999999999</v>
      </c>
      <c r="G43" s="243" t="n">
        <v>1</v>
      </c>
      <c r="H43" s="246" t="n">
        <v>156</v>
      </c>
      <c r="I43" s="246" t="n">
        <v>156</v>
      </c>
      <c r="J43" s="246" t="n">
        <v>132</v>
      </c>
      <c r="K43" s="246" t="n">
        <v>8.5</v>
      </c>
      <c r="L43" s="246" t="n">
        <v>8.5</v>
      </c>
      <c r="M43" s="246" t="n">
        <v>-1.7</v>
      </c>
      <c r="N43" s="245" t="n">
        <v>0</v>
      </c>
      <c r="O43" s="245" t="n">
        <v>100</v>
      </c>
      <c r="P43" s="243" t="n">
        <v>1</v>
      </c>
      <c r="Q43" s="213" t="n">
        <v>125</v>
      </c>
      <c r="R43" s="247" t="inlineStr">
        <is>
          <t>2535 WK GROUP</t>
        </is>
      </c>
    </row>
    <row r="44">
      <c r="A44" s="51" t="inlineStr">
        <is>
          <t>Livermore Holdings Limited</t>
        </is>
      </c>
      <c r="B44" s="243" t="n">
        <v>1</v>
      </c>
      <c r="C44" s="245" t="n">
        <v>100</v>
      </c>
      <c r="D44" s="246" t="n">
        <v>89</v>
      </c>
      <c r="E44" s="246" t="n">
        <v>117.9</v>
      </c>
      <c r="F44" s="246" t="n">
        <v>15.3</v>
      </c>
      <c r="G44" s="243" t="n">
        <v>1</v>
      </c>
      <c r="H44" s="246" t="n">
        <v>107.8</v>
      </c>
      <c r="I44" s="246" t="n">
        <v>222.4</v>
      </c>
      <c r="J44" s="246" t="n">
        <v>141.8</v>
      </c>
      <c r="K44" s="246" t="n">
        <v>-4.7</v>
      </c>
      <c r="L44" s="246" t="n">
        <v>48</v>
      </c>
      <c r="M44" s="246" t="n">
        <v>11</v>
      </c>
      <c r="N44" s="245" t="n">
        <v>100</v>
      </c>
      <c r="O44" s="245" t="n">
        <v>0</v>
      </c>
      <c r="P44" s="243" t="n">
        <v>1</v>
      </c>
      <c r="Q44" s="213" t="n">
        <v>782.5</v>
      </c>
      <c r="R44" s="247" t="inlineStr">
        <is>
          <t>2655 GUOXIA TECH</t>
        </is>
      </c>
    </row>
    <row r="45">
      <c r="A45" s="51" t="inlineStr">
        <is>
          <t>BOCI Asia Limited</t>
        </is>
      </c>
      <c r="B45" s="243" t="n">
        <v>1</v>
      </c>
      <c r="C45" s="245" t="n">
        <v>100</v>
      </c>
      <c r="D45" s="246" t="n">
        <v>46.5</v>
      </c>
      <c r="E45" s="246" t="n">
        <v>91.7</v>
      </c>
      <c r="F45" s="246" t="n">
        <v>30.8</v>
      </c>
      <c r="G45" s="243" t="n">
        <v>1</v>
      </c>
      <c r="H45" s="246" t="n">
        <v>191</v>
      </c>
      <c r="I45" s="246" t="n">
        <v>200</v>
      </c>
      <c r="J45" s="246" t="n">
        <v>223.8</v>
      </c>
      <c r="K45" s="246" t="n">
        <v>51.8</v>
      </c>
      <c r="L45" s="246" t="n">
        <v>56.5</v>
      </c>
      <c r="M45" s="246" t="n">
        <v>68.90000000000001</v>
      </c>
      <c r="N45" s="249" t="n"/>
      <c r="O45" s="249" t="n"/>
      <c r="P45" s="243" t="n">
        <v>0</v>
      </c>
      <c r="Q45" s="213" t="n">
        <v>85.90000000000001</v>
      </c>
      <c r="R45" s="247" t="inlineStr">
        <is>
          <t>2550 EASOU TECH</t>
        </is>
      </c>
    </row>
    <row r="46">
      <c r="A46" s="51" t="inlineStr">
        <is>
          <t>CL SA Limited</t>
        </is>
      </c>
      <c r="B46" s="243" t="n">
        <v>1</v>
      </c>
      <c r="C46" s="245" t="n">
        <v>100</v>
      </c>
      <c r="D46" s="246" t="n">
        <v>36.4</v>
      </c>
      <c r="E46" s="246" t="n">
        <v>51</v>
      </c>
      <c r="F46" s="246" t="n">
        <v>10.7</v>
      </c>
      <c r="G46" s="243" t="n">
        <v>1</v>
      </c>
      <c r="H46" s="246" t="n">
        <v>4</v>
      </c>
      <c r="I46" s="246" t="n">
        <v>-22.7</v>
      </c>
      <c r="J46" s="246" t="n">
        <v>-17.4</v>
      </c>
      <c r="K46" s="246" t="n">
        <v>-31.1</v>
      </c>
      <c r="L46" s="246" t="n">
        <v>-48.8</v>
      </c>
      <c r="M46" s="246" t="n">
        <v>-45.3</v>
      </c>
      <c r="N46" s="245" t="n">
        <v>0</v>
      </c>
      <c r="O46" s="245" t="n">
        <v>100</v>
      </c>
      <c r="P46" s="243" t="n">
        <v>1</v>
      </c>
      <c r="Q46" s="213" t="n">
        <v>1233.1</v>
      </c>
      <c r="R46" s="247" t="inlineStr">
        <is>
          <t>6715 XUNLONG SCITECH</t>
        </is>
      </c>
    </row>
    <row r="47">
      <c r="A47" s="51" t="inlineStr">
        <is>
          <t>Quam Securities Limited</t>
        </is>
      </c>
      <c r="B47" s="243" t="n">
        <v>1</v>
      </c>
      <c r="C47" s="245" t="n">
        <v>100</v>
      </c>
      <c r="D47" s="246" t="n">
        <v>4.2</v>
      </c>
      <c r="E47" s="246" t="n">
        <v>38.1</v>
      </c>
      <c r="F47" s="246" t="n">
        <v>32.5</v>
      </c>
      <c r="G47" s="243" t="n">
        <v>1</v>
      </c>
      <c r="H47" s="246" t="n">
        <v>14.4</v>
      </c>
      <c r="I47" s="246" t="n">
        <v>11.9</v>
      </c>
      <c r="J47" s="246" t="n">
        <v>-2.5</v>
      </c>
      <c r="K47" s="246" t="n">
        <v>-17.2</v>
      </c>
      <c r="L47" s="246" t="n">
        <v>-19</v>
      </c>
      <c r="M47" s="246" t="n">
        <v>-29.4</v>
      </c>
      <c r="N47" s="249" t="n"/>
      <c r="O47" s="249" t="n"/>
      <c r="P47" s="243" t="n">
        <v>0</v>
      </c>
      <c r="Q47" s="213" t="n">
        <v>147.5</v>
      </c>
      <c r="R47" s="247" t="inlineStr">
        <is>
          <t>2501 MAIYUE TECH</t>
        </is>
      </c>
    </row>
    <row r="48">
      <c r="A48" s="51" t="inlineStr">
        <is>
          <t>Stabilisin g Manager</t>
        </is>
      </c>
      <c r="B48" s="243" t="n">
        <v>1</v>
      </c>
      <c r="C48" s="245" t="n">
        <v>100</v>
      </c>
      <c r="D48" s="246" t="n">
        <v>19.6</v>
      </c>
      <c r="E48" s="246" t="n">
        <v>26.8</v>
      </c>
      <c r="F48" s="246" t="n">
        <v>6</v>
      </c>
      <c r="G48" s="243" t="n">
        <v>1</v>
      </c>
      <c r="H48" s="246" t="n">
        <v>1.8</v>
      </c>
      <c r="I48" s="246" t="n">
        <v>8.9</v>
      </c>
      <c r="J48" s="246" t="n">
        <v>16.1</v>
      </c>
      <c r="K48" s="246" t="n">
        <v>-19.7</v>
      </c>
      <c r="L48" s="246" t="n">
        <v>-14.1</v>
      </c>
      <c r="M48" s="246" t="n">
        <v>-8.4</v>
      </c>
      <c r="N48" s="249" t="n"/>
      <c r="O48" s="249" t="n"/>
      <c r="P48" s="243" t="n">
        <v>0</v>
      </c>
      <c r="Q48" s="213" t="n">
        <v>140</v>
      </c>
      <c r="R48" s="247" t="inlineStr">
        <is>
          <t>1473 PANGAEA CONNECT</t>
        </is>
      </c>
    </row>
    <row r="49">
      <c r="A49" s="51" t="inlineStr">
        <is>
          <t>Macquarie</t>
        </is>
      </c>
      <c r="B49" s="243" t="n">
        <v>1</v>
      </c>
      <c r="C49" s="245" t="n">
        <v>100</v>
      </c>
      <c r="D49" s="246" t="n">
        <v>34.1</v>
      </c>
      <c r="E49" s="246" t="n">
        <v>25</v>
      </c>
      <c r="F49" s="246" t="n">
        <v>-6.8</v>
      </c>
      <c r="G49" s="243" t="n">
        <v>1</v>
      </c>
      <c r="H49" s="246" t="n">
        <v>89.5</v>
      </c>
      <c r="I49" s="246" t="n">
        <v>63.4</v>
      </c>
      <c r="J49" s="246" t="n">
        <v>57.3</v>
      </c>
      <c r="K49" s="246" t="n">
        <v>51.6</v>
      </c>
      <c r="L49" s="246" t="n">
        <v>30.7</v>
      </c>
      <c r="M49" s="246" t="n">
        <v>25.8</v>
      </c>
      <c r="N49" s="245" t="n">
        <v>100</v>
      </c>
      <c r="O49" s="245" t="n">
        <v>0</v>
      </c>
      <c r="P49" s="243" t="n">
        <v>1</v>
      </c>
      <c r="Q49" s="213" t="n">
        <v>660</v>
      </c>
      <c r="R49" s="247" t="inlineStr">
        <is>
          <t>6909 BETTERLIFE HLDG</t>
        </is>
      </c>
    </row>
    <row r="50">
      <c r="A50" s="51" t="inlineStr">
        <is>
          <t>Bradbury Securities Limited</t>
        </is>
      </c>
      <c r="B50" s="243" t="n">
        <v>1</v>
      </c>
      <c r="C50" s="245" t="n">
        <v>100</v>
      </c>
      <c r="D50" s="246" t="n">
        <v>35.3</v>
      </c>
      <c r="E50" s="246" t="n">
        <v>23.8</v>
      </c>
      <c r="F50" s="246" t="n">
        <v>-8.5</v>
      </c>
      <c r="G50" s="243" t="n">
        <v>1</v>
      </c>
      <c r="H50" s="246" t="n">
        <v>67.09999999999999</v>
      </c>
      <c r="I50" s="246" t="n">
        <v>34.4</v>
      </c>
      <c r="J50" s="246" t="n">
        <v>102.3</v>
      </c>
      <c r="K50" s="246" t="n">
        <v>35</v>
      </c>
      <c r="L50" s="246" t="n">
        <v>8.6</v>
      </c>
      <c r="M50" s="246" t="n">
        <v>63.5</v>
      </c>
      <c r="N50" s="245" t="n">
        <v>0</v>
      </c>
      <c r="O50" s="245" t="n">
        <v>0</v>
      </c>
      <c r="P50" s="243" t="n">
        <v>1</v>
      </c>
      <c r="Q50" s="213" t="n">
        <v>245.2</v>
      </c>
      <c r="R50" s="247" t="inlineStr">
        <is>
          <t>6683 STARPLUS LEGEND</t>
        </is>
      </c>
    </row>
    <row r="51">
      <c r="A51" s="51" t="inlineStr">
        <is>
          <t>Essence International Securities</t>
        </is>
      </c>
      <c r="B51" s="243" t="n">
        <v>1</v>
      </c>
      <c r="C51" s="245" t="n">
        <v>100</v>
      </c>
      <c r="D51" s="246" t="n">
        <v>26.1</v>
      </c>
      <c r="E51" s="246" t="n">
        <v>13.8</v>
      </c>
      <c r="F51" s="246" t="n">
        <v>-9.800000000000001</v>
      </c>
      <c r="G51" s="243" t="n">
        <v>1</v>
      </c>
      <c r="H51" s="246" t="n">
        <v>26.5</v>
      </c>
      <c r="I51" s="246" t="n">
        <v>93.8</v>
      </c>
      <c r="J51" s="246" t="n">
        <v>61.5</v>
      </c>
      <c r="K51" s="246" t="n">
        <v>11.1</v>
      </c>
      <c r="L51" s="246" t="n">
        <v>70.3</v>
      </c>
      <c r="M51" s="246" t="n">
        <v>41.9</v>
      </c>
      <c r="N51" s="245" t="n">
        <v>0</v>
      </c>
      <c r="O51" s="245" t="n">
        <v>0</v>
      </c>
      <c r="P51" s="243" t="n">
        <v>1</v>
      </c>
      <c r="Q51" s="213" t="n">
        <v>944.7</v>
      </c>
      <c r="R51" s="247" t="inlineStr">
        <is>
          <t>6616 GLOBAL NEW MAT</t>
        </is>
      </c>
    </row>
    <row r="52">
      <c r="A52" s="51" t="inlineStr">
        <is>
          <t>C LSA Limited</t>
        </is>
      </c>
      <c r="B52" s="243" t="n">
        <v>1</v>
      </c>
      <c r="C52" s="245" t="n">
        <v>100</v>
      </c>
      <c r="D52" s="246" t="n">
        <v>3.9</v>
      </c>
      <c r="E52" s="246" t="n">
        <v>9.1</v>
      </c>
      <c r="F52" s="246" t="n">
        <v>5.1</v>
      </c>
      <c r="G52" s="243" t="n">
        <v>1</v>
      </c>
      <c r="H52" s="246" t="n">
        <v>6.4</v>
      </c>
      <c r="I52" s="246" t="n">
        <v>16.1</v>
      </c>
      <c r="J52" s="246" t="n">
        <v>76.8</v>
      </c>
      <c r="K52" s="246" t="n">
        <v>-2.5</v>
      </c>
      <c r="L52" s="246" t="n">
        <v>6.3</v>
      </c>
      <c r="M52" s="246" t="n">
        <v>62</v>
      </c>
      <c r="N52" s="245" t="n">
        <v>100</v>
      </c>
      <c r="O52" s="245" t="n">
        <v>0</v>
      </c>
      <c r="P52" s="243" t="n">
        <v>1</v>
      </c>
      <c r="Q52" s="213" t="n">
        <v>4767.8</v>
      </c>
      <c r="R52" s="247" t="inlineStr">
        <is>
          <t>6613 LENS</t>
        </is>
      </c>
    </row>
    <row r="53">
      <c r="A53" s="51" t="inlineStr">
        <is>
          <t>UOB Kay Hian</t>
        </is>
      </c>
      <c r="B53" s="243" t="n">
        <v>1</v>
      </c>
      <c r="C53" s="245" t="n">
        <v>100</v>
      </c>
      <c r="D53" s="246" t="n">
        <v>47.3</v>
      </c>
      <c r="E53" s="246" t="n">
        <v>5.5</v>
      </c>
      <c r="F53" s="246" t="n">
        <v>-28.4</v>
      </c>
      <c r="G53" s="243" t="n">
        <v>1</v>
      </c>
      <c r="H53" s="246" t="n">
        <v>-7.6</v>
      </c>
      <c r="I53" s="246" t="n">
        <v>-20.1</v>
      </c>
      <c r="J53" s="246" t="n">
        <v>-56.1</v>
      </c>
      <c r="K53" s="246" t="n">
        <v>-12.4</v>
      </c>
      <c r="L53" s="246" t="n">
        <v>-24.3</v>
      </c>
      <c r="M53" s="246" t="n">
        <v>-58.4</v>
      </c>
      <c r="N53" s="245" t="n">
        <v>0</v>
      </c>
      <c r="O53" s="245" t="n">
        <v>0</v>
      </c>
      <c r="P53" s="243" t="n">
        <v>1</v>
      </c>
      <c r="Q53" s="213" t="n">
        <v>91</v>
      </c>
      <c r="R53" s="247" t="inlineStr">
        <is>
          <t>2209 YESASIA HLDGS</t>
        </is>
      </c>
    </row>
    <row r="54">
      <c r="A54" s="51" t="inlineStr">
        <is>
          <t>China Galaxy International Securities</t>
        </is>
      </c>
      <c r="B54" s="243" t="n">
        <v>1</v>
      </c>
      <c r="C54" s="245" t="n">
        <v>100</v>
      </c>
      <c r="D54" s="246" t="n">
        <v>0</v>
      </c>
      <c r="E54" s="246" t="n">
        <v>4.7</v>
      </c>
      <c r="F54" s="246" t="n">
        <v>4.7</v>
      </c>
      <c r="G54" s="243" t="n">
        <v>1</v>
      </c>
      <c r="H54" s="246" t="n">
        <v>-2.3</v>
      </c>
      <c r="I54" s="246" t="n">
        <v>6.7</v>
      </c>
      <c r="J54" s="248" t="n"/>
      <c r="K54" s="246" t="n">
        <v>-6.7</v>
      </c>
      <c r="L54" s="246" t="n">
        <v>1.9</v>
      </c>
      <c r="M54" s="248" t="n"/>
      <c r="N54" s="245" t="n">
        <v>0</v>
      </c>
      <c r="O54" s="245" t="n">
        <v>0</v>
      </c>
      <c r="P54" s="243" t="n">
        <v>1</v>
      </c>
      <c r="Q54" s="213" t="n">
        <v>7157.8</v>
      </c>
      <c r="R54" s="247" t="inlineStr">
        <is>
          <t>6951 CCTC</t>
        </is>
      </c>
    </row>
    <row r="55">
      <c r="A55" s="51" t="inlineStr">
        <is>
          <t>Dakin Securities Limited</t>
        </is>
      </c>
      <c r="B55" s="243" t="n">
        <v>1</v>
      </c>
      <c r="C55" s="245" t="n">
        <v>100</v>
      </c>
      <c r="D55" s="246" t="n">
        <v>5</v>
      </c>
      <c r="E55" s="246" t="n">
        <v>3.8</v>
      </c>
      <c r="F55" s="246" t="n">
        <v>-1.2</v>
      </c>
      <c r="G55" s="243" t="n">
        <v>1</v>
      </c>
      <c r="H55" s="246" t="n">
        <v>25</v>
      </c>
      <c r="I55" s="246" t="n">
        <v>60</v>
      </c>
      <c r="J55" s="246" t="n">
        <v>22.5</v>
      </c>
      <c r="K55" s="246" t="n">
        <v>20.5</v>
      </c>
      <c r="L55" s="246" t="n">
        <v>54.2</v>
      </c>
      <c r="M55" s="246" t="n">
        <v>18.1</v>
      </c>
      <c r="N55" s="249" t="n"/>
      <c r="O55" s="249" t="n"/>
      <c r="P55" s="243" t="n">
        <v>0</v>
      </c>
      <c r="Q55" s="213" t="n">
        <v>126</v>
      </c>
      <c r="R55" s="247" t="inlineStr">
        <is>
          <t>1440 DEYUN HOLDING</t>
        </is>
      </c>
    </row>
    <row r="56">
      <c r="A56" s="51" t="inlineStr">
        <is>
          <t>Guoyuan Securities Brokerage</t>
        </is>
      </c>
      <c r="B56" s="243" t="n">
        <v>1</v>
      </c>
      <c r="C56" s="245" t="n">
        <v>100</v>
      </c>
      <c r="D56" s="246" t="n">
        <v>27.4</v>
      </c>
      <c r="E56" s="246" t="n">
        <v>2.2</v>
      </c>
      <c r="F56" s="246" t="n">
        <v>-19.8</v>
      </c>
      <c r="G56" s="243" t="n">
        <v>1</v>
      </c>
      <c r="H56" s="246" t="n">
        <v>-11.5</v>
      </c>
      <c r="I56" s="246" t="n">
        <v>-41.1</v>
      </c>
      <c r="J56" s="246" t="n">
        <v>-39</v>
      </c>
      <c r="K56" s="246" t="n">
        <v>-13.4</v>
      </c>
      <c r="L56" s="246" t="n">
        <v>-42.4</v>
      </c>
      <c r="M56" s="246" t="n">
        <v>-40.4</v>
      </c>
      <c r="N56" s="245" t="n">
        <v>0</v>
      </c>
      <c r="O56" s="245" t="n">
        <v>100</v>
      </c>
      <c r="P56" s="243" t="n">
        <v>1</v>
      </c>
      <c r="Q56" s="213" t="n">
        <v>177.4</v>
      </c>
      <c r="R56" s="247" t="inlineStr">
        <is>
          <t>2693 JINYAN KAOLIN</t>
        </is>
      </c>
    </row>
    <row r="57">
      <c r="A57" s="51" t="inlineStr">
        <is>
          <t>DBS Asia Capital Limited</t>
        </is>
      </c>
      <c r="B57" s="243" t="n">
        <v>1</v>
      </c>
      <c r="C57" s="245" t="n">
        <v>100</v>
      </c>
      <c r="D57" s="246" t="n">
        <v>7.2</v>
      </c>
      <c r="E57" s="246" t="n">
        <v>0.2</v>
      </c>
      <c r="F57" s="246" t="n">
        <v>-6.5</v>
      </c>
      <c r="G57" s="243" t="n">
        <v>1</v>
      </c>
      <c r="H57" s="246" t="n">
        <v>-0.4</v>
      </c>
      <c r="I57" s="246" t="n">
        <v>-0.4</v>
      </c>
      <c r="J57" s="246" t="n">
        <v>47.6</v>
      </c>
      <c r="K57" s="246" t="n">
        <v>-0.6</v>
      </c>
      <c r="L57" s="246" t="n">
        <v>-0.6</v>
      </c>
      <c r="M57" s="246" t="n">
        <v>47.3</v>
      </c>
      <c r="N57" s="245" t="n">
        <v>0</v>
      </c>
      <c r="O57" s="245" t="n">
        <v>100</v>
      </c>
      <c r="P57" s="243" t="n">
        <v>1</v>
      </c>
      <c r="Q57" s="213" t="n">
        <v>412.5</v>
      </c>
      <c r="R57" s="247" t="inlineStr">
        <is>
          <t>2597 XUNZHONG</t>
        </is>
      </c>
    </row>
    <row r="58">
      <c r="A58" s="51" t="inlineStr">
        <is>
          <t>Guotai Juna n Securities</t>
        </is>
      </c>
      <c r="B58" s="243" t="n">
        <v>1</v>
      </c>
      <c r="C58" s="245" t="n">
        <v>0</v>
      </c>
      <c r="D58" s="246" t="n">
        <v>0</v>
      </c>
      <c r="E58" s="246" t="n">
        <v>0</v>
      </c>
      <c r="F58" s="246" t="n">
        <v>0</v>
      </c>
      <c r="G58" s="243" t="n">
        <v>1</v>
      </c>
      <c r="H58" s="246" t="n">
        <v>0</v>
      </c>
      <c r="I58" s="246" t="n">
        <v>8.199999999999999</v>
      </c>
      <c r="J58" s="246" t="n">
        <v>-0.5</v>
      </c>
      <c r="K58" s="246" t="n">
        <v>0</v>
      </c>
      <c r="L58" s="246" t="n">
        <v>8.199999999999999</v>
      </c>
      <c r="M58" s="246" t="n">
        <v>-0.5</v>
      </c>
      <c r="N58" s="245" t="n">
        <v>0</v>
      </c>
      <c r="O58" s="245" t="n">
        <v>0</v>
      </c>
      <c r="P58" s="243" t="n">
        <v>1</v>
      </c>
      <c r="Q58" s="213" t="n">
        <v>1057.7</v>
      </c>
      <c r="R58" s="247" t="inlineStr">
        <is>
          <t>2402 SINOHYTEC</t>
        </is>
      </c>
    </row>
    <row r="59">
      <c r="A59" s="51" t="inlineStr">
        <is>
          <t>Shanxi Securities International Limited</t>
        </is>
      </c>
      <c r="B59" s="243" t="n">
        <v>1</v>
      </c>
      <c r="C59" s="245" t="n">
        <v>0</v>
      </c>
      <c r="D59" s="246" t="n">
        <v>0</v>
      </c>
      <c r="E59" s="246" t="n">
        <v>0</v>
      </c>
      <c r="F59" s="246" t="n">
        <v>0</v>
      </c>
      <c r="G59" s="243" t="n">
        <v>1</v>
      </c>
      <c r="H59" s="246" t="n">
        <v>-5.5</v>
      </c>
      <c r="I59" s="246" t="n">
        <v>-17.4</v>
      </c>
      <c r="J59" s="246" t="n">
        <v>-11.5</v>
      </c>
      <c r="K59" s="246" t="n">
        <v>-5.5</v>
      </c>
      <c r="L59" s="246" t="n">
        <v>-17.4</v>
      </c>
      <c r="M59" s="246" t="n">
        <v>-11.5</v>
      </c>
      <c r="N59" s="245" t="n">
        <v>0</v>
      </c>
      <c r="O59" s="245" t="n">
        <v>0</v>
      </c>
      <c r="P59" s="243" t="n">
        <v>1</v>
      </c>
      <c r="Q59" s="213" t="n">
        <v>726.7</v>
      </c>
      <c r="R59" s="247" t="inlineStr">
        <is>
          <t>2520 SHANXI INSTALL</t>
        </is>
      </c>
    </row>
    <row r="60">
      <c r="A60" s="51" t="inlineStr">
        <is>
          <t>Red Solar Capital Limited</t>
        </is>
      </c>
      <c r="B60" s="243" t="n">
        <v>1</v>
      </c>
      <c r="C60" s="245" t="n">
        <v>0</v>
      </c>
      <c r="D60" s="246" t="n">
        <v>37.6</v>
      </c>
      <c r="E60" s="246" t="n">
        <v>0</v>
      </c>
      <c r="F60" s="246" t="n">
        <v>-27.3</v>
      </c>
      <c r="G60" s="243" t="n">
        <v>1</v>
      </c>
      <c r="H60" s="246" t="n">
        <v>-14.4</v>
      </c>
      <c r="I60" s="246" t="n">
        <v>33.6</v>
      </c>
      <c r="J60" s="246" t="n">
        <v>11.2</v>
      </c>
      <c r="K60" s="246" t="n">
        <v>-14.4</v>
      </c>
      <c r="L60" s="246" t="n">
        <v>33.6</v>
      </c>
      <c r="M60" s="246" t="n">
        <v>11.2</v>
      </c>
      <c r="N60" s="249" t="n"/>
      <c r="O60" s="249" t="n"/>
      <c r="P60" s="243" t="n">
        <v>0</v>
      </c>
      <c r="Q60" s="213" t="n">
        <v>133.9</v>
      </c>
      <c r="R60" s="247" t="inlineStr">
        <is>
          <t>2625 JIANGSU HORIZON</t>
        </is>
      </c>
    </row>
    <row r="61">
      <c r="A61" s="51" t="inlineStr">
        <is>
          <t>Mont Avenir Capital Limited</t>
        </is>
      </c>
      <c r="B61" s="243" t="n">
        <v>1</v>
      </c>
      <c r="C61" s="245" t="n">
        <v>0</v>
      </c>
      <c r="D61" s="246" t="n">
        <v>-5.5</v>
      </c>
      <c r="E61" s="246" t="n">
        <v>-6</v>
      </c>
      <c r="F61" s="246" t="n">
        <v>-0.5</v>
      </c>
      <c r="G61" s="243" t="n">
        <v>1</v>
      </c>
      <c r="H61" s="246" t="n">
        <v>-11.2</v>
      </c>
      <c r="I61" s="246" t="n">
        <v>-28</v>
      </c>
      <c r="J61" s="246" t="n">
        <v>-50.2</v>
      </c>
      <c r="K61" s="246" t="n">
        <v>-5.6</v>
      </c>
      <c r="L61" s="246" t="n">
        <v>-23.4</v>
      </c>
      <c r="M61" s="246" t="n">
        <v>-47.1</v>
      </c>
      <c r="N61" s="245" t="n">
        <v>0</v>
      </c>
      <c r="O61" s="245" t="n">
        <v>100</v>
      </c>
      <c r="P61" s="243" t="n">
        <v>1</v>
      </c>
      <c r="Q61" s="213" t="n">
        <v>872</v>
      </c>
      <c r="R61" s="247" t="inlineStr">
        <is>
          <t>9600 NEWLINK TECH</t>
        </is>
      </c>
    </row>
    <row r="62">
      <c r="A62" s="51" t="inlineStr">
        <is>
          <t>Fortune</t>
        </is>
      </c>
      <c r="B62" s="243" t="n">
        <v>1</v>
      </c>
      <c r="C62" s="245" t="n">
        <v>0</v>
      </c>
      <c r="D62" s="246" t="n">
        <v>-19.1</v>
      </c>
      <c r="E62" s="246" t="n">
        <v>-8.699999999999999</v>
      </c>
      <c r="F62" s="246" t="n">
        <v>12.9</v>
      </c>
      <c r="G62" s="243" t="n">
        <v>1</v>
      </c>
      <c r="H62" s="246" t="n">
        <v>5.8</v>
      </c>
      <c r="I62" s="246" t="n">
        <v>-13.9</v>
      </c>
      <c r="J62" s="246" t="n">
        <v>-13.3</v>
      </c>
      <c r="K62" s="246" t="n">
        <v>15.8</v>
      </c>
      <c r="L62" s="246" t="n">
        <v>-5.7</v>
      </c>
      <c r="M62" s="246" t="n">
        <v>-5.1</v>
      </c>
      <c r="N62" s="245" t="n">
        <v>0</v>
      </c>
      <c r="O62" s="245" t="n">
        <v>100</v>
      </c>
      <c r="P62" s="243" t="n">
        <v>1</v>
      </c>
      <c r="Q62" s="213" t="n">
        <v>644.8</v>
      </c>
      <c r="R62" s="247" t="inlineStr">
        <is>
          <t>2153 TAT HONG EQUIP</t>
        </is>
      </c>
    </row>
    <row r="63">
      <c r="A63" s="51" t="inlineStr">
        <is>
          <t>First Shanghai Securities Limited</t>
        </is>
      </c>
      <c r="B63" s="243" t="n">
        <v>1</v>
      </c>
      <c r="C63" s="245" t="n">
        <v>0</v>
      </c>
      <c r="D63" s="246" t="n">
        <v>2</v>
      </c>
      <c r="E63" s="246" t="n">
        <v>-10.8</v>
      </c>
      <c r="F63" s="246" t="n">
        <v>-12.5</v>
      </c>
      <c r="G63" s="243" t="n">
        <v>1</v>
      </c>
      <c r="H63" s="246" t="n">
        <v>-3.9</v>
      </c>
      <c r="I63" s="246" t="n">
        <v>-10.8</v>
      </c>
      <c r="J63" s="246" t="n">
        <v>-17.6</v>
      </c>
      <c r="K63" s="246" t="n">
        <v>7.7</v>
      </c>
      <c r="L63" s="246" t="n">
        <v>0</v>
      </c>
      <c r="M63" s="246" t="n">
        <v>-7.7</v>
      </c>
      <c r="N63" s="245" t="n">
        <v>0</v>
      </c>
      <c r="O63" s="245" t="n">
        <v>100</v>
      </c>
      <c r="P63" s="243" t="n">
        <v>1</v>
      </c>
      <c r="Q63" s="213" t="n">
        <v>255</v>
      </c>
      <c r="R63" s="247" t="inlineStr">
        <is>
          <t>2265 HC ENV TECH</t>
        </is>
      </c>
    </row>
    <row r="64">
      <c r="A64" s="51" t="inlineStr">
        <is>
          <t>BN P Paribas Securities</t>
        </is>
      </c>
      <c r="B64" s="243" t="n">
        <v>1</v>
      </c>
      <c r="C64" s="245" t="n">
        <v>0</v>
      </c>
      <c r="D64" s="246" t="n">
        <v>-16.7</v>
      </c>
      <c r="E64" s="246" t="n">
        <v>-12</v>
      </c>
      <c r="F64" s="246" t="n">
        <v>5.6</v>
      </c>
      <c r="G64" s="243" t="n">
        <v>1</v>
      </c>
      <c r="H64" s="246" t="n">
        <v>-9</v>
      </c>
      <c r="I64" s="246" t="n">
        <v>-23.7</v>
      </c>
      <c r="J64" s="246" t="n">
        <v>-38.3</v>
      </c>
      <c r="K64" s="246" t="n">
        <v>3.4</v>
      </c>
      <c r="L64" s="246" t="n">
        <v>-13.3</v>
      </c>
      <c r="M64" s="246" t="n">
        <v>-29.9</v>
      </c>
      <c r="N64" s="245" t="n">
        <v>0</v>
      </c>
      <c r="O64" s="245" t="n">
        <v>100</v>
      </c>
      <c r="P64" s="243" t="n">
        <v>1</v>
      </c>
      <c r="Q64" s="213" t="n">
        <v>984.5</v>
      </c>
      <c r="R64" s="247" t="inlineStr">
        <is>
          <t>9982 CENTRALCHINA MT</t>
        </is>
      </c>
    </row>
    <row r="65">
      <c r="A65" s="51" t="inlineStr">
        <is>
          <t>Alpha Financial Group Limited</t>
        </is>
      </c>
      <c r="B65" s="243" t="n">
        <v>1</v>
      </c>
      <c r="C65" s="245" t="n">
        <v>0</v>
      </c>
      <c r="D65" s="246" t="n">
        <v>15</v>
      </c>
      <c r="E65" s="246" t="n">
        <v>-12.5</v>
      </c>
      <c r="F65" s="246" t="n">
        <v>-23.9</v>
      </c>
      <c r="G65" s="243" t="n">
        <v>1</v>
      </c>
      <c r="H65" s="246" t="n">
        <v>-31.2</v>
      </c>
      <c r="I65" s="246" t="n">
        <v>-42</v>
      </c>
      <c r="J65" s="246" t="n">
        <v>-55</v>
      </c>
      <c r="K65" s="246" t="n">
        <v>-21.4</v>
      </c>
      <c r="L65" s="246" t="n">
        <v>-33.7</v>
      </c>
      <c r="M65" s="246" t="n">
        <v>-48.6</v>
      </c>
      <c r="N65" s="249" t="n"/>
      <c r="O65" s="249" t="n"/>
      <c r="P65" s="243" t="n">
        <v>0</v>
      </c>
      <c r="Q65" s="213" t="n">
        <v>125</v>
      </c>
      <c r="R65" s="247" t="inlineStr">
        <is>
          <t>2129 LEGION CONSO</t>
        </is>
      </c>
    </row>
    <row r="66">
      <c r="A66" s="51" t="inlineStr">
        <is>
          <t>Space Securities Limited</t>
        </is>
      </c>
      <c r="B66" s="243" t="n">
        <v>1</v>
      </c>
      <c r="C66" s="245" t="n">
        <v>0</v>
      </c>
      <c r="D66" s="246" t="n">
        <v>-5.6</v>
      </c>
      <c r="E66" s="246" t="n">
        <v>-22.2</v>
      </c>
      <c r="F66" s="246" t="n">
        <v>-17.6</v>
      </c>
      <c r="G66" s="243" t="n">
        <v>1</v>
      </c>
      <c r="H66" s="246" t="n">
        <v>-29.6</v>
      </c>
      <c r="I66" s="246" t="n">
        <v>-38</v>
      </c>
      <c r="J66" s="246" t="n">
        <v>-40.7</v>
      </c>
      <c r="K66" s="246" t="n">
        <v>-9.5</v>
      </c>
      <c r="L66" s="246" t="n">
        <v>-20.2</v>
      </c>
      <c r="M66" s="246" t="n">
        <v>-23.8</v>
      </c>
      <c r="N66" s="249" t="n"/>
      <c r="O66" s="249" t="n"/>
      <c r="P66" s="243" t="n">
        <v>0</v>
      </c>
      <c r="Q66" s="213" t="n">
        <v>135</v>
      </c>
      <c r="R66" s="247" t="inlineStr">
        <is>
          <t>1413 KWONG LUEN ENG</t>
        </is>
      </c>
    </row>
    <row r="67">
      <c r="A67" s="51" t="inlineStr">
        <is>
          <t>Head &amp; Shoulders Securities Limited</t>
        </is>
      </c>
      <c r="B67" s="243" t="n">
        <v>1</v>
      </c>
      <c r="C67" s="245" t="n">
        <v>0</v>
      </c>
      <c r="D67" s="246" t="n">
        <v>-32</v>
      </c>
      <c r="E67" s="246" t="n">
        <v>-23.4</v>
      </c>
      <c r="F67" s="246" t="n">
        <v>12.6</v>
      </c>
      <c r="G67" s="243" t="n">
        <v>1</v>
      </c>
      <c r="H67" s="246" t="n">
        <v>20.3</v>
      </c>
      <c r="I67" s="246" t="n">
        <v>26.6</v>
      </c>
      <c r="J67" s="246" t="n">
        <v>-21.1</v>
      </c>
      <c r="K67" s="246" t="n">
        <v>57.1</v>
      </c>
      <c r="L67" s="246" t="n">
        <v>65.3</v>
      </c>
      <c r="M67" s="246" t="n">
        <v>3.1</v>
      </c>
      <c r="N67" s="245" t="n">
        <v>0</v>
      </c>
      <c r="O67" s="245" t="n">
        <v>100</v>
      </c>
      <c r="P67" s="243" t="n">
        <v>1</v>
      </c>
      <c r="Q67" s="213" t="n">
        <v>130.6</v>
      </c>
      <c r="R67" s="247" t="inlineStr">
        <is>
          <t>2442 EASY SMART GP</t>
        </is>
      </c>
    </row>
    <row r="68">
      <c r="A68" s="51" t="inlineStr">
        <is>
          <t>First Fidelity Capi tal</t>
        </is>
      </c>
      <c r="B68" s="243" t="n">
        <v>1</v>
      </c>
      <c r="C68" s="245" t="n">
        <v>0</v>
      </c>
      <c r="D68" s="246" t="n">
        <v>-8</v>
      </c>
      <c r="E68" s="246" t="n">
        <v>-26.7</v>
      </c>
      <c r="F68" s="246" t="n">
        <v>-20.3</v>
      </c>
      <c r="G68" s="243" t="n">
        <v>1</v>
      </c>
      <c r="H68" s="246" t="n">
        <v>-34.7</v>
      </c>
      <c r="I68" s="246" t="n">
        <v>-40</v>
      </c>
      <c r="J68" s="246" t="n">
        <v>-46.7</v>
      </c>
      <c r="K68" s="246" t="n">
        <v>-10.9</v>
      </c>
      <c r="L68" s="246" t="n">
        <v>-18.2</v>
      </c>
      <c r="M68" s="246" t="n">
        <v>-27.3</v>
      </c>
      <c r="N68" s="249" t="n"/>
      <c r="O68" s="249" t="n"/>
      <c r="P68" s="243" t="n">
        <v>0</v>
      </c>
      <c r="Q68" s="213" t="n">
        <v>148.5</v>
      </c>
      <c r="R68" s="247" t="inlineStr">
        <is>
          <t>1927 JIUJIUWANG</t>
        </is>
      </c>
    </row>
    <row r="69">
      <c r="A69" s="51" t="inlineStr">
        <is>
          <t>Zhongtai Internati onal Securities Limited</t>
        </is>
      </c>
      <c r="B69" s="243" t="n">
        <v>1</v>
      </c>
      <c r="C69" s="245" t="n">
        <v>0</v>
      </c>
      <c r="D69" s="246" t="n">
        <v>-39.2</v>
      </c>
      <c r="E69" s="246" t="n">
        <v>-46.4</v>
      </c>
      <c r="F69" s="246" t="n">
        <v>-11.8</v>
      </c>
      <c r="G69" s="243" t="n">
        <v>1</v>
      </c>
      <c r="H69" s="246" t="n">
        <v>-63.6</v>
      </c>
      <c r="I69" s="246" t="n">
        <v>-65.59999999999999</v>
      </c>
      <c r="J69" s="246" t="n">
        <v>-68.40000000000001</v>
      </c>
      <c r="K69" s="246" t="n">
        <v>-32.1</v>
      </c>
      <c r="L69" s="246" t="n">
        <v>-35.8</v>
      </c>
      <c r="M69" s="246" t="n">
        <v>-41</v>
      </c>
      <c r="N69" s="245" t="n">
        <v>0</v>
      </c>
      <c r="O69" s="245" t="n">
        <v>100</v>
      </c>
      <c r="P69" s="243" t="n">
        <v>1</v>
      </c>
      <c r="Q69" s="213" t="n">
        <v>200</v>
      </c>
      <c r="R69" s="247" t="inlineStr">
        <is>
          <t>2545 ZHONGGAN COMM</t>
        </is>
      </c>
    </row>
  </sheetData>
  <autoFilter ref="A4:R69"/>
  <mergeCells count="1">
    <mergeCell ref="A2:L2"/>
  </mergeCells>
  <conditionalFormatting sqref="D5:D69">
    <cfRule type="colorScale" priority="1">
      <colorScale>
        <cfvo type="num" val="-40"/>
        <cfvo type="num" val="0"/>
        <cfvo type="num" val="60"/>
        <color rgb="00F8696B"/>
        <color rgb="00FFFFFF"/>
        <color rgb="0063BE7B"/>
      </colorScale>
    </cfRule>
  </conditionalFormatting>
  <conditionalFormatting sqref="E5:E69">
    <cfRule type="colorScale" priority="2">
      <colorScale>
        <cfvo type="num" val="-40"/>
        <cfvo type="num" val="0"/>
        <cfvo type="num" val="60"/>
        <color rgb="00F8696B"/>
        <color rgb="00FFFFFF"/>
        <color rgb="0063BE7B"/>
      </colorScale>
    </cfRule>
  </conditionalFormatting>
  <conditionalFormatting sqref="F5:F69">
    <cfRule type="colorScale" priority="3">
      <colorScale>
        <cfvo type="num" val="-40"/>
        <cfvo type="num" val="0"/>
        <cfvo type="num" val="60"/>
        <color rgb="00F8696B"/>
        <color rgb="00FFFFFF"/>
        <color rgb="0063BE7B"/>
      </colorScale>
    </cfRule>
  </conditionalFormatting>
  <conditionalFormatting sqref="H5:H69">
    <cfRule type="colorScale" priority="4">
      <colorScale>
        <cfvo type="num" val="-40"/>
        <cfvo type="num" val="0"/>
        <cfvo type="num" val="60"/>
        <color rgb="00F8696B"/>
        <color rgb="00FFFFFF"/>
        <color rgb="0063BE7B"/>
      </colorScale>
    </cfRule>
  </conditionalFormatting>
  <conditionalFormatting sqref="I5:I69">
    <cfRule type="colorScale" priority="5">
      <colorScale>
        <cfvo type="num" val="-40"/>
        <cfvo type="num" val="0"/>
        <cfvo type="num" val="60"/>
        <color rgb="00F8696B"/>
        <color rgb="00FFFFFF"/>
        <color rgb="0063BE7B"/>
      </colorScale>
    </cfRule>
  </conditionalFormatting>
  <conditionalFormatting sqref="J5:J69">
    <cfRule type="colorScale" priority="6">
      <colorScale>
        <cfvo type="num" val="-40"/>
        <cfvo type="num" val="0"/>
        <cfvo type="num" val="60"/>
        <color rgb="00F8696B"/>
        <color rgb="00FFFFFF"/>
        <color rgb="0063BE7B"/>
      </colorScale>
    </cfRule>
  </conditionalFormatting>
  <conditionalFormatting sqref="K5:K69">
    <cfRule type="colorScale" priority="7">
      <colorScale>
        <cfvo type="num" val="-40"/>
        <cfvo type="num" val="0"/>
        <cfvo type="num" val="60"/>
        <color rgb="00F8696B"/>
        <color rgb="00FFFFFF"/>
        <color rgb="0063BE7B"/>
      </colorScale>
    </cfRule>
  </conditionalFormatting>
  <conditionalFormatting sqref="L5:L69">
    <cfRule type="colorScale" priority="8">
      <colorScale>
        <cfvo type="num" val="-40"/>
        <cfvo type="num" val="0"/>
        <cfvo type="num" val="60"/>
        <color rgb="00F8696B"/>
        <color rgb="00FFFFFF"/>
        <color rgb="0063BE7B"/>
      </colorScale>
    </cfRule>
  </conditionalFormatting>
  <conditionalFormatting sqref="M5:M69">
    <cfRule type="colorScale" priority="9">
      <colorScale>
        <cfvo type="num" val="-40"/>
        <cfvo type="num" val="0"/>
        <cfvo type="num" val="60"/>
        <color rgb="00F8696B"/>
        <color rgb="00FFFFFF"/>
        <color rgb="0063BE7B"/>
      </colorScale>
    </cfRule>
  </conditionalFormatting>
  <printOptions horizontalCentered="1"/>
  <pageMargins left="0.75" right="0.75" top="1" bottom="1" header="0.5" footer="0.5"/>
  <pageSetup orientation="landscape" paperSize="8" fitToHeight="0" fitToWidth="1"/>
</worksheet>
</file>

<file path=xl/worksheets/sheet8.xml><?xml version="1.0" encoding="utf-8"?>
<worksheet xmlns="http://schemas.openxmlformats.org/spreadsheetml/2006/main">
  <sheetPr>
    <tabColor rgb="00BFBFBF"/>
    <outlinePr summaryBelow="1" summaryRight="1"/>
    <pageSetUpPr fitToPage="1"/>
  </sheetPr>
  <dimension ref="A1:H228"/>
  <sheetViews>
    <sheetView showGridLines="0" zoomScale="95" workbookViewId="0">
      <selection activeCell="A1" sqref="A1"/>
    </sheetView>
  </sheetViews>
  <sheetFormatPr baseColWidth="8" defaultRowHeight="15"/>
  <cols>
    <col width="30" customWidth="1" min="1" max="1"/>
    <col width="26" customWidth="1" min="2" max="2"/>
    <col width="14" customWidth="1" min="3" max="3"/>
    <col width="8" customWidth="1" min="4" max="4"/>
    <col width="13" customWidth="1" min="5" max="5"/>
    <col width="10" customWidth="1" min="6" max="6"/>
    <col hidden="1" width="13" customWidth="1" min="7" max="7"/>
  </cols>
  <sheetData>
    <row r="1" ht="30" customHeight="1">
      <c r="A1" s="35" t="inlineStr">
        <is>
          <t>DAY-1 ANALOGS</t>
        </is>
      </c>
    </row>
    <row r="2" ht="34" customHeight="1">
      <c r="A2" s="36" t="inlineStr">
        <is>
          <t>524 deals with a listing-day price, 2021-2026. Hit-rate = share that closed above the offer. Check n before trusting a cell.</t>
        </is>
      </c>
    </row>
    <row r="3"/>
    <row r="4">
      <c r="A4" s="241" t="inlineStr">
        <is>
          <t>BY SUBSCRIPTION LEVEL (all deals)</t>
        </is>
      </c>
    </row>
    <row r="5" ht="30" customHeight="1">
      <c r="A5" s="45" t="inlineStr">
        <is>
          <t>Subscription</t>
        </is>
      </c>
      <c r="B5" s="45" t="inlineStr">
        <is>
          <t>n</t>
        </is>
      </c>
      <c r="C5" s="45" t="inlineStr">
        <is>
          <t>Median day-1</t>
        </is>
      </c>
      <c r="D5" s="45" t="inlineStr">
        <is>
          <t>Hit-rate</t>
        </is>
      </c>
      <c r="E5" s="45" t="inlineStr">
        <is>
          <t>P25</t>
        </is>
      </c>
      <c r="F5" s="45" t="inlineStr">
        <is>
          <t>P75</t>
        </is>
      </c>
    </row>
    <row r="6">
      <c r="A6" s="51" t="inlineStr">
        <is>
          <t>&lt;10x</t>
        </is>
      </c>
      <c r="B6" s="243" t="n">
        <v>169</v>
      </c>
      <c r="C6" s="250" t="n">
        <v>0</v>
      </c>
      <c r="D6" s="245" t="n">
        <v>40</v>
      </c>
      <c r="E6" s="250" t="n">
        <v>-5.4</v>
      </c>
      <c r="F6" s="250" t="n">
        <v>3.1</v>
      </c>
    </row>
    <row r="7">
      <c r="A7" s="51" t="inlineStr">
        <is>
          <t>10-100x</t>
        </is>
      </c>
      <c r="B7" s="243" t="n">
        <v>128</v>
      </c>
      <c r="C7" s="250" t="n">
        <v>0.8</v>
      </c>
      <c r="D7" s="245" t="n">
        <v>53</v>
      </c>
      <c r="E7" s="250" t="n">
        <v>-12.1</v>
      </c>
      <c r="F7" s="250" t="n">
        <v>14.3</v>
      </c>
    </row>
    <row r="8">
      <c r="A8" s="51" t="inlineStr">
        <is>
          <t>100-1000x</t>
        </is>
      </c>
      <c r="B8" s="243" t="n">
        <v>121</v>
      </c>
      <c r="C8" s="250" t="n">
        <v>3.3</v>
      </c>
      <c r="D8" s="245" t="n">
        <v>58</v>
      </c>
      <c r="E8" s="250" t="n">
        <v>-8.6</v>
      </c>
      <c r="F8" s="250" t="n">
        <v>26.9</v>
      </c>
    </row>
    <row r="9">
      <c r="A9" s="51" t="inlineStr">
        <is>
          <t>&gt;=1000x</t>
        </is>
      </c>
      <c r="B9" s="243" t="n">
        <v>106</v>
      </c>
      <c r="C9" s="250" t="n">
        <v>76</v>
      </c>
      <c r="D9" s="245" t="n">
        <v>92</v>
      </c>
      <c r="E9" s="250" t="n">
        <v>21.3</v>
      </c>
      <c r="F9" s="250" t="n">
        <v>127.1</v>
      </c>
    </row>
    <row r="10"/>
    <row r="11">
      <c r="A11" s="241" t="inlineStr">
        <is>
          <t>BY SUBSECTOR x SUBSCRIPTION</t>
        </is>
      </c>
    </row>
    <row r="12" ht="30" customHeight="1">
      <c r="A12" s="45" t="inlineStr">
        <is>
          <t>Subsector</t>
        </is>
      </c>
      <c r="B12" s="45" t="inlineStr">
        <is>
          <t>Subscription</t>
        </is>
      </c>
      <c r="C12" s="45" t="inlineStr">
        <is>
          <t>n</t>
        </is>
      </c>
      <c r="D12" s="45" t="inlineStr">
        <is>
          <t>Median day-1</t>
        </is>
      </c>
      <c r="E12" s="45" t="inlineStr">
        <is>
          <t>Hit-rate</t>
        </is>
      </c>
    </row>
    <row r="13">
      <c r="A13" s="51" t="inlineStr">
        <is>
          <t>AI application / agent software</t>
        </is>
      </c>
      <c r="B13" s="51" t="inlineStr">
        <is>
          <t>10-100x</t>
        </is>
      </c>
      <c r="C13" s="243" t="n">
        <v>3</v>
      </c>
      <c r="D13" s="250" t="n">
        <v>5.2</v>
      </c>
      <c r="E13" s="245" t="n">
        <v>67</v>
      </c>
      <c r="G13" s="105" t="inlineStr">
        <is>
          <t>AI application / agent software|10-100x</t>
        </is>
      </c>
    </row>
    <row r="14">
      <c r="A14" s="51" t="inlineStr">
        <is>
          <t>AI application / agent software</t>
        </is>
      </c>
      <c r="B14" s="51" t="inlineStr">
        <is>
          <t>100-1000x</t>
        </is>
      </c>
      <c r="C14" s="243" t="n">
        <v>2</v>
      </c>
      <c r="D14" s="250" t="n">
        <v>3.3</v>
      </c>
      <c r="E14" s="245" t="n">
        <v>50</v>
      </c>
      <c r="G14" s="105" t="inlineStr">
        <is>
          <t>AI application / agent software|100-1000x</t>
        </is>
      </c>
    </row>
    <row r="15">
      <c r="A15" s="51" t="inlineStr">
        <is>
          <t>AI application / agent software</t>
        </is>
      </c>
      <c r="B15" s="51" t="inlineStr">
        <is>
          <t>&lt;10x</t>
        </is>
      </c>
      <c r="C15" s="243" t="n">
        <v>2</v>
      </c>
      <c r="D15" s="250" t="n">
        <v>22.7</v>
      </c>
      <c r="E15" s="245" t="n">
        <v>100</v>
      </c>
      <c r="G15" s="105" t="inlineStr">
        <is>
          <t>AI application / agent software|&lt;10x</t>
        </is>
      </c>
    </row>
    <row r="16">
      <c r="A16" s="51" t="inlineStr">
        <is>
          <t>AI application / agent software</t>
        </is>
      </c>
      <c r="B16" s="51" t="inlineStr">
        <is>
          <t>&gt;=1000x</t>
        </is>
      </c>
      <c r="C16" s="243" t="n">
        <v>10</v>
      </c>
      <c r="D16" s="250" t="n">
        <v>150.3</v>
      </c>
      <c r="E16" s="245" t="n">
        <v>90</v>
      </c>
      <c r="G16" s="105" t="inlineStr">
        <is>
          <t>AI application / agent software|&gt;=1000x</t>
        </is>
      </c>
    </row>
    <row r="17">
      <c r="A17" s="51" t="inlineStr">
        <is>
          <t>Analog / power semiconductors</t>
        </is>
      </c>
      <c r="B17" s="51" t="inlineStr">
        <is>
          <t>10-100x</t>
        </is>
      </c>
      <c r="C17" s="243" t="n">
        <v>1</v>
      </c>
      <c r="D17" s="250" t="n">
        <v>-4.3</v>
      </c>
      <c r="E17" s="245" t="n">
        <v>0</v>
      </c>
      <c r="G17" s="105" t="inlineStr">
        <is>
          <t>Analog / power semiconductors|10-100x</t>
        </is>
      </c>
    </row>
    <row r="18">
      <c r="A18" s="51" t="inlineStr">
        <is>
          <t>Analog / power semiconductors</t>
        </is>
      </c>
      <c r="B18" s="51" t="inlineStr">
        <is>
          <t>100-1000x</t>
        </is>
      </c>
      <c r="C18" s="243" t="n">
        <v>2</v>
      </c>
      <c r="D18" s="250" t="n">
        <v>31.5</v>
      </c>
      <c r="E18" s="245" t="n">
        <v>100</v>
      </c>
      <c r="G18" s="105" t="inlineStr">
        <is>
          <t>Analog / power semiconductors|100-1000x</t>
        </is>
      </c>
    </row>
    <row r="19">
      <c r="A19" s="51" t="inlineStr">
        <is>
          <t>Analog / power semiconductors</t>
        </is>
      </c>
      <c r="B19" s="51" t="inlineStr">
        <is>
          <t>&lt;10x</t>
        </is>
      </c>
      <c r="C19" s="243" t="n">
        <v>2</v>
      </c>
      <c r="D19" s="250" t="n">
        <v>-8.5</v>
      </c>
      <c r="E19" s="245" t="n">
        <v>50</v>
      </c>
      <c r="G19" s="105" t="inlineStr">
        <is>
          <t>Analog / power semiconductors|&lt;10x</t>
        </is>
      </c>
    </row>
    <row r="20">
      <c r="A20" s="51" t="inlineStr">
        <is>
          <t>Analog / power semiconductors</t>
        </is>
      </c>
      <c r="B20" s="51" t="inlineStr">
        <is>
          <t>&gt;=1000x</t>
        </is>
      </c>
      <c r="C20" s="243" t="n">
        <v>1</v>
      </c>
      <c r="D20" s="250" t="n">
        <v>5.1</v>
      </c>
      <c r="E20" s="245" t="n">
        <v>100</v>
      </c>
      <c r="G20" s="105" t="inlineStr">
        <is>
          <t>Analog / power semiconductors|&gt;=1000x</t>
        </is>
      </c>
    </row>
    <row r="21">
      <c r="A21" s="51" t="inlineStr">
        <is>
          <t>Apparel / luxury</t>
        </is>
      </c>
      <c r="B21" s="51" t="inlineStr">
        <is>
          <t>10-100x</t>
        </is>
      </c>
      <c r="C21" s="243" t="n">
        <v>1</v>
      </c>
      <c r="D21" s="250" t="n">
        <v>7.5</v>
      </c>
      <c r="E21" s="245" t="n">
        <v>100</v>
      </c>
      <c r="G21" s="105" t="inlineStr">
        <is>
          <t>Apparel / luxury|10-100x</t>
        </is>
      </c>
    </row>
    <row r="22">
      <c r="A22" s="51" t="inlineStr">
        <is>
          <t>Apparel / luxury</t>
        </is>
      </c>
      <c r="B22" s="51" t="inlineStr">
        <is>
          <t>100-1000x</t>
        </is>
      </c>
      <c r="C22" s="243" t="n">
        <v>2</v>
      </c>
      <c r="D22" s="250" t="n">
        <v>48.9</v>
      </c>
      <c r="E22" s="245" t="n">
        <v>100</v>
      </c>
      <c r="G22" s="105" t="inlineStr">
        <is>
          <t>Apparel / luxury|100-1000x</t>
        </is>
      </c>
    </row>
    <row r="23">
      <c r="A23" s="51" t="inlineStr">
        <is>
          <t>Apparel / luxury</t>
        </is>
      </c>
      <c r="B23" s="51" t="inlineStr">
        <is>
          <t>&lt;10x</t>
        </is>
      </c>
      <c r="C23" s="243" t="n">
        <v>2</v>
      </c>
      <c r="D23" s="250" t="n">
        <v>-0.1</v>
      </c>
      <c r="E23" s="245" t="n">
        <v>0</v>
      </c>
      <c r="G23" s="105" t="inlineStr">
        <is>
          <t>Apparel / luxury|&lt;10x</t>
        </is>
      </c>
    </row>
    <row r="24">
      <c r="A24" s="51" t="inlineStr">
        <is>
          <t>Apparel / luxury</t>
        </is>
      </c>
      <c r="B24" s="51" t="inlineStr">
        <is>
          <t>&gt;=1000x</t>
        </is>
      </c>
      <c r="C24" s="243" t="n">
        <v>1</v>
      </c>
      <c r="D24" s="250" t="n">
        <v>258.1</v>
      </c>
      <c r="E24" s="245" t="n">
        <v>100</v>
      </c>
      <c r="G24" s="105" t="inlineStr">
        <is>
          <t>Apparel / luxury|&gt;=1000x</t>
        </is>
      </c>
    </row>
    <row r="25">
      <c r="A25" s="51" t="inlineStr">
        <is>
          <t>Auto parts / supply chain</t>
        </is>
      </c>
      <c r="B25" s="51" t="inlineStr">
        <is>
          <t>10-100x</t>
        </is>
      </c>
      <c r="C25" s="243" t="n">
        <v>3</v>
      </c>
      <c r="D25" s="250" t="n">
        <v>-36.9</v>
      </c>
      <c r="E25" s="245" t="n">
        <v>33</v>
      </c>
      <c r="G25" s="105" t="inlineStr">
        <is>
          <t>Auto parts / supply chain|10-100x</t>
        </is>
      </c>
    </row>
    <row r="26">
      <c r="A26" s="51" t="inlineStr">
        <is>
          <t>Auto parts / supply chain</t>
        </is>
      </c>
      <c r="B26" s="51" t="inlineStr">
        <is>
          <t>100-1000x</t>
        </is>
      </c>
      <c r="C26" s="243" t="n">
        <v>3</v>
      </c>
      <c r="D26" s="250" t="n">
        <v>-0.1</v>
      </c>
      <c r="E26" s="245" t="n">
        <v>33</v>
      </c>
      <c r="G26" s="105" t="inlineStr">
        <is>
          <t>Auto parts / supply chain|100-1000x</t>
        </is>
      </c>
    </row>
    <row r="27">
      <c r="A27" s="51" t="inlineStr">
        <is>
          <t>Auto parts / supply chain</t>
        </is>
      </c>
      <c r="B27" s="51" t="inlineStr">
        <is>
          <t>&lt;10x</t>
        </is>
      </c>
      <c r="C27" s="243" t="n">
        <v>1</v>
      </c>
      <c r="D27" s="250" t="n">
        <v>2.1</v>
      </c>
      <c r="E27" s="245" t="n">
        <v>100</v>
      </c>
      <c r="G27" s="105" t="inlineStr">
        <is>
          <t>Auto parts / supply chain|&lt;10x</t>
        </is>
      </c>
    </row>
    <row r="28">
      <c r="A28" s="51" t="inlineStr">
        <is>
          <t>Auto parts / supply chain</t>
        </is>
      </c>
      <c r="B28" s="51" t="inlineStr">
        <is>
          <t>&gt;=1000x</t>
        </is>
      </c>
      <c r="C28" s="243" t="n">
        <v>2</v>
      </c>
      <c r="D28" s="250" t="n">
        <v>128.1</v>
      </c>
      <c r="E28" s="245" t="n">
        <v>100</v>
      </c>
      <c r="G28" s="105" t="inlineStr">
        <is>
          <t>Auto parts / supply chain|&gt;=1000x</t>
        </is>
      </c>
    </row>
    <row r="29">
      <c r="A29" s="51" t="inlineStr">
        <is>
          <t>Autos (NEV OEM)</t>
        </is>
      </c>
      <c r="B29" s="51" t="inlineStr">
        <is>
          <t>10-100x</t>
        </is>
      </c>
      <c r="C29" s="243" t="n">
        <v>2</v>
      </c>
      <c r="D29" s="250" t="n">
        <v>0.5</v>
      </c>
      <c r="E29" s="245" t="n">
        <v>50</v>
      </c>
      <c r="G29" s="105" t="inlineStr">
        <is>
          <t>Autos (NEV OEM)|10-100x</t>
        </is>
      </c>
    </row>
    <row r="30">
      <c r="A30" s="51" t="inlineStr">
        <is>
          <t>Autos (NEV OEM)</t>
        </is>
      </c>
      <c r="B30" s="51" t="inlineStr">
        <is>
          <t>100-1000x</t>
        </is>
      </c>
      <c r="C30" s="243" t="n">
        <v>2</v>
      </c>
      <c r="D30" s="250" t="n">
        <v>1.9</v>
      </c>
      <c r="E30" s="245" t="n">
        <v>50</v>
      </c>
      <c r="G30" s="105" t="inlineStr">
        <is>
          <t>Autos (NEV OEM)|100-1000x</t>
        </is>
      </c>
    </row>
    <row r="31">
      <c r="A31" s="51" t="inlineStr">
        <is>
          <t>Autos (NEV OEM)</t>
        </is>
      </c>
      <c r="B31" s="51" t="inlineStr">
        <is>
          <t>&lt;10x</t>
        </is>
      </c>
      <c r="C31" s="243" t="n">
        <v>2</v>
      </c>
      <c r="D31" s="250" t="n">
        <v>-17.2</v>
      </c>
      <c r="E31" s="245" t="n">
        <v>0</v>
      </c>
      <c r="G31" s="105" t="inlineStr">
        <is>
          <t>Autos (NEV OEM)|&lt;10x</t>
        </is>
      </c>
    </row>
    <row r="32">
      <c r="A32" s="51" t="inlineStr">
        <is>
          <t>Banks</t>
        </is>
      </c>
      <c r="B32" s="51" t="inlineStr">
        <is>
          <t>&lt;10x</t>
        </is>
      </c>
      <c r="C32" s="243" t="n">
        <v>2</v>
      </c>
      <c r="D32" s="250" t="n">
        <v>2.5</v>
      </c>
      <c r="E32" s="245" t="n">
        <v>100</v>
      </c>
      <c r="G32" s="105" t="inlineStr">
        <is>
          <t>Banks|&lt;10x</t>
        </is>
      </c>
    </row>
    <row r="33">
      <c r="A33" s="51" t="inlineStr">
        <is>
          <t>Batteries / energy storage</t>
        </is>
      </c>
      <c r="B33" s="51" t="inlineStr">
        <is>
          <t>10-100x</t>
        </is>
      </c>
      <c r="C33" s="243" t="n">
        <v>2</v>
      </c>
      <c r="D33" s="250" t="n">
        <v>9.9</v>
      </c>
      <c r="E33" s="245" t="n">
        <v>50</v>
      </c>
      <c r="G33" s="105" t="inlineStr">
        <is>
          <t>Batteries / energy storage|10-100x</t>
        </is>
      </c>
    </row>
    <row r="34">
      <c r="A34" s="51" t="inlineStr">
        <is>
          <t>Batteries / energy storage</t>
        </is>
      </c>
      <c r="B34" s="51" t="inlineStr">
        <is>
          <t>100-1000x</t>
        </is>
      </c>
      <c r="C34" s="243" t="n">
        <v>1</v>
      </c>
      <c r="D34" s="250" t="n">
        <v>16.4</v>
      </c>
      <c r="E34" s="245" t="n">
        <v>100</v>
      </c>
      <c r="G34" s="105" t="inlineStr">
        <is>
          <t>Batteries / energy storage|100-1000x</t>
        </is>
      </c>
    </row>
    <row r="35">
      <c r="A35" s="51" t="inlineStr">
        <is>
          <t>Batteries / energy storage</t>
        </is>
      </c>
      <c r="B35" s="51" t="inlineStr">
        <is>
          <t>&lt;10x</t>
        </is>
      </c>
      <c r="C35" s="243" t="n">
        <v>7</v>
      </c>
      <c r="D35" s="250" t="n">
        <v>0.1</v>
      </c>
      <c r="E35" s="245" t="n">
        <v>57</v>
      </c>
      <c r="G35" s="105" t="inlineStr">
        <is>
          <t>Batteries / energy storage|&lt;10x</t>
        </is>
      </c>
    </row>
    <row r="36">
      <c r="A36" s="51" t="inlineStr">
        <is>
          <t>Batteries / energy storage</t>
        </is>
      </c>
      <c r="B36" s="51" t="inlineStr">
        <is>
          <t>&gt;=1000x</t>
        </is>
      </c>
      <c r="C36" s="243" t="n">
        <v>3</v>
      </c>
      <c r="D36" s="250" t="n">
        <v>31.3</v>
      </c>
      <c r="E36" s="245" t="n">
        <v>100</v>
      </c>
      <c r="G36" s="105" t="inlineStr">
        <is>
          <t>Batteries / energy storage|&gt;=1000x</t>
        </is>
      </c>
    </row>
    <row r="37">
      <c r="A37" s="51" t="inlineStr">
        <is>
          <t>Beauty / personal care</t>
        </is>
      </c>
      <c r="B37" s="51" t="inlineStr">
        <is>
          <t>10-100x</t>
        </is>
      </c>
      <c r="C37" s="243" t="n">
        <v>2</v>
      </c>
      <c r="D37" s="250" t="n">
        <v>18.4</v>
      </c>
      <c r="E37" s="245" t="n">
        <v>50</v>
      </c>
      <c r="G37" s="105" t="inlineStr">
        <is>
          <t>Beauty / personal care|10-100x</t>
        </is>
      </c>
    </row>
    <row r="38">
      <c r="A38" s="51" t="inlineStr">
        <is>
          <t>Beauty / personal care</t>
        </is>
      </c>
      <c r="B38" s="51" t="inlineStr">
        <is>
          <t>100-1000x</t>
        </is>
      </c>
      <c r="C38" s="243" t="n">
        <v>2</v>
      </c>
      <c r="D38" s="250" t="n">
        <v>31.7</v>
      </c>
      <c r="E38" s="245" t="n">
        <v>50</v>
      </c>
      <c r="G38" s="105" t="inlineStr">
        <is>
          <t>Beauty / personal care|100-1000x</t>
        </is>
      </c>
    </row>
    <row r="39">
      <c r="A39" s="51" t="inlineStr">
        <is>
          <t>Beauty / personal care</t>
        </is>
      </c>
      <c r="B39" s="51" t="inlineStr">
        <is>
          <t>&lt;10x</t>
        </is>
      </c>
      <c r="C39" s="243" t="n">
        <v>2</v>
      </c>
      <c r="D39" s="250" t="n">
        <v>4.9</v>
      </c>
      <c r="E39" s="245" t="n">
        <v>50</v>
      </c>
      <c r="G39" s="105" t="inlineStr">
        <is>
          <t>Beauty / personal care|&lt;10x</t>
        </is>
      </c>
    </row>
    <row r="40">
      <c r="A40" s="51" t="inlineStr">
        <is>
          <t>Beauty / personal care</t>
        </is>
      </c>
      <c r="B40" s="51" t="inlineStr">
        <is>
          <t>&gt;=1000x</t>
        </is>
      </c>
      <c r="C40" s="243" t="n">
        <v>1</v>
      </c>
      <c r="D40" s="250" t="n">
        <v>9.300000000000001</v>
      </c>
      <c r="E40" s="245" t="n">
        <v>100</v>
      </c>
      <c r="G40" s="105" t="inlineStr">
        <is>
          <t>Beauty / personal care|&gt;=1000x</t>
        </is>
      </c>
    </row>
    <row r="41">
      <c r="A41" s="51" t="inlineStr">
        <is>
          <t>Beverages / packaged food</t>
        </is>
      </c>
      <c r="B41" s="51" t="inlineStr">
        <is>
          <t>10-100x</t>
        </is>
      </c>
      <c r="C41" s="243" t="n">
        <v>8</v>
      </c>
      <c r="D41" s="250" t="n">
        <v>-9.4</v>
      </c>
      <c r="E41" s="245" t="n">
        <v>12</v>
      </c>
      <c r="G41" s="105" t="inlineStr">
        <is>
          <t>Beverages / packaged food|10-100x</t>
        </is>
      </c>
    </row>
    <row r="42">
      <c r="A42" s="51" t="inlineStr">
        <is>
          <t>Beverages / packaged food</t>
        </is>
      </c>
      <c r="B42" s="51" t="inlineStr">
        <is>
          <t>100-1000x</t>
        </is>
      </c>
      <c r="C42" s="243" t="n">
        <v>5</v>
      </c>
      <c r="D42" s="250" t="n">
        <v>15</v>
      </c>
      <c r="E42" s="245" t="n">
        <v>80</v>
      </c>
      <c r="G42" s="105" t="inlineStr">
        <is>
          <t>Beverages / packaged food|100-1000x</t>
        </is>
      </c>
    </row>
    <row r="43">
      <c r="A43" s="51" t="inlineStr">
        <is>
          <t>Beverages / packaged food</t>
        </is>
      </c>
      <c r="B43" s="51" t="inlineStr">
        <is>
          <t>&lt;10x</t>
        </is>
      </c>
      <c r="C43" s="243" t="n">
        <v>6</v>
      </c>
      <c r="D43" s="250" t="n">
        <v>0.5</v>
      </c>
      <c r="E43" s="245" t="n">
        <v>50</v>
      </c>
      <c r="G43" s="105" t="inlineStr">
        <is>
          <t>Beverages / packaged food|&lt;10x</t>
        </is>
      </c>
    </row>
    <row r="44">
      <c r="A44" s="51" t="inlineStr">
        <is>
          <t>Beverages / packaged food</t>
        </is>
      </c>
      <c r="B44" s="51" t="inlineStr">
        <is>
          <t>&gt;=1000x</t>
        </is>
      </c>
      <c r="C44" s="243" t="n">
        <v>6</v>
      </c>
      <c r="D44" s="250" t="n">
        <v>77.90000000000001</v>
      </c>
      <c r="E44" s="245" t="n">
        <v>100</v>
      </c>
      <c r="G44" s="105" t="inlineStr">
        <is>
          <t>Beverages / packaged food|&gt;=1000x</t>
        </is>
      </c>
    </row>
    <row r="45">
      <c r="A45" s="51" t="inlineStr">
        <is>
          <t>Biopharma commercial</t>
        </is>
      </c>
      <c r="B45" s="51" t="inlineStr">
        <is>
          <t>10-100x</t>
        </is>
      </c>
      <c r="C45" s="243" t="n">
        <v>2</v>
      </c>
      <c r="D45" s="250" t="n">
        <v>122</v>
      </c>
      <c r="E45" s="245" t="n">
        <v>100</v>
      </c>
      <c r="G45" s="105" t="inlineStr">
        <is>
          <t>Biopharma commercial|10-100x</t>
        </is>
      </c>
    </row>
    <row r="46">
      <c r="A46" s="51" t="inlineStr">
        <is>
          <t>Biopharma commercial</t>
        </is>
      </c>
      <c r="B46" s="51" t="inlineStr">
        <is>
          <t>100-1000x</t>
        </is>
      </c>
      <c r="C46" s="243" t="n">
        <v>3</v>
      </c>
      <c r="D46" s="250" t="n">
        <v>-12.7</v>
      </c>
      <c r="E46" s="245" t="n">
        <v>33</v>
      </c>
      <c r="G46" s="105" t="inlineStr">
        <is>
          <t>Biopharma commercial|100-1000x</t>
        </is>
      </c>
    </row>
    <row r="47">
      <c r="A47" s="51" t="inlineStr">
        <is>
          <t>Biopharma commercial</t>
        </is>
      </c>
      <c r="B47" s="51" t="inlineStr">
        <is>
          <t>&lt;10x</t>
        </is>
      </c>
      <c r="C47" s="243" t="n">
        <v>2</v>
      </c>
      <c r="D47" s="250" t="n">
        <v>26.7</v>
      </c>
      <c r="E47" s="245" t="n">
        <v>100</v>
      </c>
      <c r="G47" s="105" t="inlineStr">
        <is>
          <t>Biopharma commercial|&lt;10x</t>
        </is>
      </c>
    </row>
    <row r="48">
      <c r="A48" s="51" t="inlineStr">
        <is>
          <t>Biopharma commercial</t>
        </is>
      </c>
      <c r="B48" s="51" t="inlineStr">
        <is>
          <t>&gt;=1000x</t>
        </is>
      </c>
      <c r="C48" s="243" t="n">
        <v>2</v>
      </c>
      <c r="D48" s="250" t="n">
        <v>90.8</v>
      </c>
      <c r="E48" s="245" t="n">
        <v>100</v>
      </c>
      <c r="G48" s="105" t="inlineStr">
        <is>
          <t>Biopharma commercial|&gt;=1000x</t>
        </is>
      </c>
    </row>
    <row r="49">
      <c r="A49" s="51" t="inlineStr">
        <is>
          <t>Biotech pre-revenue (18A)</t>
        </is>
      </c>
      <c r="B49" s="51" t="inlineStr">
        <is>
          <t>10-100x</t>
        </is>
      </c>
      <c r="C49" s="243" t="n">
        <v>10</v>
      </c>
      <c r="D49" s="250" t="n">
        <v>0.9</v>
      </c>
      <c r="E49" s="245" t="n">
        <v>50</v>
      </c>
      <c r="G49" s="105" t="inlineStr">
        <is>
          <t>Biotech pre-revenue (18A)|10-100x</t>
        </is>
      </c>
    </row>
    <row r="50">
      <c r="A50" s="51" t="inlineStr">
        <is>
          <t>Biotech pre-revenue (18A)</t>
        </is>
      </c>
      <c r="B50" s="51" t="inlineStr">
        <is>
          <t>100-1000x</t>
        </is>
      </c>
      <c r="C50" s="243" t="n">
        <v>10</v>
      </c>
      <c r="D50" s="250" t="n">
        <v>13.4</v>
      </c>
      <c r="E50" s="245" t="n">
        <v>70</v>
      </c>
      <c r="G50" s="105" t="inlineStr">
        <is>
          <t>Biotech pre-revenue (18A)|100-1000x</t>
        </is>
      </c>
    </row>
    <row r="51">
      <c r="A51" s="51" t="inlineStr">
        <is>
          <t>Biotech pre-revenue (18A)</t>
        </is>
      </c>
      <c r="B51" s="51" t="inlineStr">
        <is>
          <t>&lt;10x</t>
        </is>
      </c>
      <c r="C51" s="243" t="n">
        <v>14</v>
      </c>
      <c r="D51" s="250" t="n">
        <v>1.8</v>
      </c>
      <c r="E51" s="245" t="n">
        <v>64</v>
      </c>
      <c r="G51" s="105" t="inlineStr">
        <is>
          <t>Biotech pre-revenue (18A)|&lt;10x</t>
        </is>
      </c>
    </row>
    <row r="52">
      <c r="A52" s="51" t="inlineStr">
        <is>
          <t>Biotech pre-revenue (18A)</t>
        </is>
      </c>
      <c r="B52" s="51" t="inlineStr">
        <is>
          <t>&gt;=1000x</t>
        </is>
      </c>
      <c r="C52" s="243" t="n">
        <v>15</v>
      </c>
      <c r="D52" s="250" t="n">
        <v>108.3</v>
      </c>
      <c r="E52" s="245" t="n">
        <v>87</v>
      </c>
      <c r="G52" s="105" t="inlineStr">
        <is>
          <t>Biotech pre-revenue (18A)|&gt;=1000x</t>
        </is>
      </c>
    </row>
    <row r="53">
      <c r="A53" s="51" t="inlineStr">
        <is>
          <t>Brokers / asset management</t>
        </is>
      </c>
      <c r="B53" s="51" t="inlineStr">
        <is>
          <t>&lt;10x</t>
        </is>
      </c>
      <c r="C53" s="243" t="n">
        <v>4</v>
      </c>
      <c r="D53" s="250" t="n">
        <v>-14.3</v>
      </c>
      <c r="E53" s="245" t="n">
        <v>25</v>
      </c>
      <c r="G53" s="105" t="inlineStr">
        <is>
          <t>Brokers / asset management|&lt;10x</t>
        </is>
      </c>
    </row>
    <row r="54">
      <c r="A54" s="51" t="inlineStr">
        <is>
          <t>CXO / pharma services</t>
        </is>
      </c>
      <c r="B54" s="51" t="inlineStr">
        <is>
          <t>10-100x</t>
        </is>
      </c>
      <c r="C54" s="243" t="n">
        <v>1</v>
      </c>
      <c r="D54" s="250" t="n">
        <v>35.9</v>
      </c>
      <c r="E54" s="245" t="n">
        <v>100</v>
      </c>
      <c r="G54" s="105" t="inlineStr">
        <is>
          <t>CXO / pharma services|10-100x</t>
        </is>
      </c>
    </row>
    <row r="55">
      <c r="A55" s="51" t="inlineStr">
        <is>
          <t>CXO / pharma services</t>
        </is>
      </c>
      <c r="B55" s="51" t="inlineStr">
        <is>
          <t>100-1000x</t>
        </is>
      </c>
      <c r="C55" s="243" t="n">
        <v>3</v>
      </c>
      <c r="D55" s="250" t="n">
        <v>-7.6</v>
      </c>
      <c r="E55" s="245" t="n">
        <v>33</v>
      </c>
      <c r="G55" s="105" t="inlineStr">
        <is>
          <t>CXO / pharma services|100-1000x</t>
        </is>
      </c>
    </row>
    <row r="56">
      <c r="A56" s="51" t="inlineStr">
        <is>
          <t>CXO / pharma services</t>
        </is>
      </c>
      <c r="B56" s="51" t="inlineStr">
        <is>
          <t>&lt;10x</t>
        </is>
      </c>
      <c r="C56" s="243" t="n">
        <v>5</v>
      </c>
      <c r="D56" s="250" t="n">
        <v>1.1</v>
      </c>
      <c r="E56" s="245" t="n">
        <v>60</v>
      </c>
      <c r="G56" s="105" t="inlineStr">
        <is>
          <t>CXO / pharma services|&lt;10x</t>
        </is>
      </c>
    </row>
    <row r="57">
      <c r="A57" s="51" t="inlineStr">
        <is>
          <t>Capital goods / machinery</t>
        </is>
      </c>
      <c r="B57" s="51" t="inlineStr">
        <is>
          <t>10-100x</t>
        </is>
      </c>
      <c r="C57" s="243" t="n">
        <v>7</v>
      </c>
      <c r="D57" s="250" t="n">
        <v>0.8</v>
      </c>
      <c r="E57" s="245" t="n">
        <v>57</v>
      </c>
      <c r="G57" s="105" t="inlineStr">
        <is>
          <t>Capital goods / machinery|10-100x</t>
        </is>
      </c>
    </row>
    <row r="58">
      <c r="A58" s="51" t="inlineStr">
        <is>
          <t>Capital goods / machinery</t>
        </is>
      </c>
      <c r="B58" s="51" t="inlineStr">
        <is>
          <t>100-1000x</t>
        </is>
      </c>
      <c r="C58" s="243" t="n">
        <v>3</v>
      </c>
      <c r="D58" s="250" t="n">
        <v>14.8</v>
      </c>
      <c r="E58" s="245" t="n">
        <v>67</v>
      </c>
      <c r="G58" s="105" t="inlineStr">
        <is>
          <t>Capital goods / machinery|100-1000x</t>
        </is>
      </c>
    </row>
    <row r="59">
      <c r="A59" s="51" t="inlineStr">
        <is>
          <t>Capital goods / machinery</t>
        </is>
      </c>
      <c r="B59" s="51" t="inlineStr">
        <is>
          <t>&lt;10x</t>
        </is>
      </c>
      <c r="C59" s="243" t="n">
        <v>5</v>
      </c>
      <c r="D59" s="250" t="n">
        <v>1.5</v>
      </c>
      <c r="E59" s="245" t="n">
        <v>60</v>
      </c>
      <c r="G59" s="105" t="inlineStr">
        <is>
          <t>Capital goods / machinery|&lt;10x</t>
        </is>
      </c>
    </row>
    <row r="60">
      <c r="A60" s="51" t="inlineStr">
        <is>
          <t>Capital goods / machinery</t>
        </is>
      </c>
      <c r="B60" s="51" t="inlineStr">
        <is>
          <t>&gt;=1000x</t>
        </is>
      </c>
      <c r="C60" s="243" t="n">
        <v>3</v>
      </c>
      <c r="D60" s="250" t="n">
        <v>2.4</v>
      </c>
      <c r="E60" s="245" t="n">
        <v>67</v>
      </c>
      <c r="G60" s="105" t="inlineStr">
        <is>
          <t>Capital goods / machinery|&gt;=1000x</t>
        </is>
      </c>
    </row>
    <row r="61">
      <c r="A61" s="51" t="inlineStr">
        <is>
          <t>Chemicals</t>
        </is>
      </c>
      <c r="B61" s="51" t="inlineStr">
        <is>
          <t>10-100x</t>
        </is>
      </c>
      <c r="C61" s="243" t="n">
        <v>5</v>
      </c>
      <c r="D61" s="250" t="n">
        <v>-27.5</v>
      </c>
      <c r="E61" s="245" t="n">
        <v>20</v>
      </c>
      <c r="G61" s="105" t="inlineStr">
        <is>
          <t>Chemicals|10-100x</t>
        </is>
      </c>
    </row>
    <row r="62">
      <c r="A62" s="51" t="inlineStr">
        <is>
          <t>Chemicals</t>
        </is>
      </c>
      <c r="B62" s="51" t="inlineStr">
        <is>
          <t>100-1000x</t>
        </is>
      </c>
      <c r="C62" s="243" t="n">
        <v>4</v>
      </c>
      <c r="D62" s="250" t="n">
        <v>15.3</v>
      </c>
      <c r="E62" s="245" t="n">
        <v>75</v>
      </c>
      <c r="G62" s="105" t="inlineStr">
        <is>
          <t>Chemicals|100-1000x</t>
        </is>
      </c>
    </row>
    <row r="63">
      <c r="A63" s="51" t="inlineStr">
        <is>
          <t>Chemicals</t>
        </is>
      </c>
      <c r="B63" s="51" t="inlineStr">
        <is>
          <t>&lt;10x</t>
        </is>
      </c>
      <c r="C63" s="243" t="n">
        <v>4</v>
      </c>
      <c r="D63" s="250" t="n">
        <v>-4.4</v>
      </c>
      <c r="E63" s="245" t="n">
        <v>50</v>
      </c>
      <c r="G63" s="105" t="inlineStr">
        <is>
          <t>Chemicals|&lt;10x</t>
        </is>
      </c>
    </row>
    <row r="64">
      <c r="A64" s="51" t="inlineStr">
        <is>
          <t>Chemicals</t>
        </is>
      </c>
      <c r="B64" s="51" t="inlineStr">
        <is>
          <t>&gt;=1000x</t>
        </is>
      </c>
      <c r="C64" s="243" t="n">
        <v>2</v>
      </c>
      <c r="D64" s="250" t="n">
        <v>10.6</v>
      </c>
      <c r="E64" s="245" t="n">
        <v>50</v>
      </c>
      <c r="G64" s="105" t="inlineStr">
        <is>
          <t>Chemicals|&gt;=1000x</t>
        </is>
      </c>
    </row>
    <row r="65">
      <c r="A65" s="51" t="inlineStr">
        <is>
          <t>Compute / AI semiconductors</t>
        </is>
      </c>
      <c r="B65" s="51" t="inlineStr">
        <is>
          <t>10-100x</t>
        </is>
      </c>
      <c r="C65" s="243" t="n">
        <v>1</v>
      </c>
      <c r="D65" s="250" t="n">
        <v>2.8</v>
      </c>
      <c r="E65" s="245" t="n">
        <v>100</v>
      </c>
      <c r="G65" s="105" t="inlineStr">
        <is>
          <t>Compute / AI semiconductors|10-100x</t>
        </is>
      </c>
    </row>
    <row r="66">
      <c r="A66" s="51" t="inlineStr">
        <is>
          <t>Compute / AI semiconductors</t>
        </is>
      </c>
      <c r="B66" s="51" t="inlineStr">
        <is>
          <t>100-1000x</t>
        </is>
      </c>
      <c r="C66" s="243" t="n">
        <v>2</v>
      </c>
      <c r="D66" s="250" t="n">
        <v>4.2</v>
      </c>
      <c r="E66" s="245" t="n">
        <v>50</v>
      </c>
      <c r="G66" s="105" t="inlineStr">
        <is>
          <t>Compute / AI semiconductors|100-1000x</t>
        </is>
      </c>
    </row>
    <row r="67">
      <c r="A67" s="51" t="inlineStr">
        <is>
          <t>Compute / AI semiconductors</t>
        </is>
      </c>
      <c r="B67" s="51" t="inlineStr">
        <is>
          <t>&lt;10x</t>
        </is>
      </c>
      <c r="C67" s="243" t="n">
        <v>1</v>
      </c>
      <c r="D67" s="250" t="n">
        <v>-27</v>
      </c>
      <c r="E67" s="245" t="n">
        <v>0</v>
      </c>
      <c r="G67" s="105" t="inlineStr">
        <is>
          <t>Compute / AI semiconductors|&lt;10x</t>
        </is>
      </c>
    </row>
    <row r="68">
      <c r="A68" s="51" t="inlineStr">
        <is>
          <t>Compute / AI semiconductors</t>
        </is>
      </c>
      <c r="B68" s="51" t="inlineStr">
        <is>
          <t>&gt;=1000x</t>
        </is>
      </c>
      <c r="C68" s="243" t="n">
        <v>1</v>
      </c>
      <c r="D68" s="250" t="n">
        <v>75.8</v>
      </c>
      <c r="E68" s="245" t="n">
        <v>100</v>
      </c>
      <c r="G68" s="105" t="inlineStr">
        <is>
          <t>Compute / AI semiconductors|&gt;=1000x</t>
        </is>
      </c>
    </row>
    <row r="69">
      <c r="A69" s="51" t="inlineStr">
        <is>
          <t>Construction / engineering</t>
        </is>
      </c>
      <c r="B69" s="51" t="inlineStr">
        <is>
          <t>10-100x</t>
        </is>
      </c>
      <c r="C69" s="243" t="n">
        <v>10</v>
      </c>
      <c r="D69" s="250" t="n">
        <v>-9.9</v>
      </c>
      <c r="E69" s="245" t="n">
        <v>50</v>
      </c>
      <c r="G69" s="105" t="inlineStr">
        <is>
          <t>Construction / engineering|10-100x</t>
        </is>
      </c>
    </row>
    <row r="70">
      <c r="A70" s="51" t="inlineStr">
        <is>
          <t>Construction / engineering</t>
        </is>
      </c>
      <c r="B70" s="51" t="inlineStr">
        <is>
          <t>100-1000x</t>
        </is>
      </c>
      <c r="C70" s="243" t="n">
        <v>4</v>
      </c>
      <c r="D70" s="250" t="n">
        <v>-21.1</v>
      </c>
      <c r="E70" s="245" t="n">
        <v>25</v>
      </c>
      <c r="G70" s="105" t="inlineStr">
        <is>
          <t>Construction / engineering|100-1000x</t>
        </is>
      </c>
    </row>
    <row r="71">
      <c r="A71" s="51" t="inlineStr">
        <is>
          <t>Construction / engineering</t>
        </is>
      </c>
      <c r="B71" s="51" t="inlineStr">
        <is>
          <t>&lt;10x</t>
        </is>
      </c>
      <c r="C71" s="243" t="n">
        <v>2</v>
      </c>
      <c r="D71" s="250" t="n">
        <v>5</v>
      </c>
      <c r="E71" s="245" t="n">
        <v>50</v>
      </c>
      <c r="G71" s="105" t="inlineStr">
        <is>
          <t>Construction / engineering|&lt;10x</t>
        </is>
      </c>
    </row>
    <row r="72">
      <c r="A72" s="51" t="inlineStr">
        <is>
          <t>Consumer services / education</t>
        </is>
      </c>
      <c r="B72" s="51" t="inlineStr">
        <is>
          <t>10-100x</t>
        </is>
      </c>
      <c r="C72" s="243" t="n">
        <v>1</v>
      </c>
      <c r="D72" s="250" t="n">
        <v>12.1</v>
      </c>
      <c r="E72" s="245" t="n">
        <v>100</v>
      </c>
      <c r="G72" s="105" t="inlineStr">
        <is>
          <t>Consumer services / education|10-100x</t>
        </is>
      </c>
    </row>
    <row r="73">
      <c r="A73" s="51" t="inlineStr">
        <is>
          <t>Consumer services / education</t>
        </is>
      </c>
      <c r="B73" s="51" t="inlineStr">
        <is>
          <t>&lt;10x</t>
        </is>
      </c>
      <c r="C73" s="243" t="n">
        <v>3</v>
      </c>
      <c r="D73" s="250" t="n">
        <v>0</v>
      </c>
      <c r="E73" s="245" t="n">
        <v>33</v>
      </c>
      <c r="G73" s="105" t="inlineStr">
        <is>
          <t>Consumer services / education|&lt;10x</t>
        </is>
      </c>
    </row>
    <row r="74">
      <c r="A74" s="51" t="inlineStr">
        <is>
          <t>Data center / cloud infra</t>
        </is>
      </c>
      <c r="B74" s="51" t="inlineStr">
        <is>
          <t>10-100x</t>
        </is>
      </c>
      <c r="C74" s="243" t="n">
        <v>2</v>
      </c>
      <c r="D74" s="250" t="n">
        <v>-37.1</v>
      </c>
      <c r="E74" s="245" t="n">
        <v>0</v>
      </c>
      <c r="G74" s="105" t="inlineStr">
        <is>
          <t>Data center / cloud infra|10-100x</t>
        </is>
      </c>
    </row>
    <row r="75">
      <c r="A75" s="51" t="inlineStr">
        <is>
          <t>Developers</t>
        </is>
      </c>
      <c r="B75" s="51" t="inlineStr">
        <is>
          <t>&lt;10x</t>
        </is>
      </c>
      <c r="C75" s="243" t="n">
        <v>1</v>
      </c>
      <c r="D75" s="250" t="n">
        <v>0</v>
      </c>
      <c r="E75" s="245" t="n">
        <v>0</v>
      </c>
      <c r="G75" s="105" t="inlineStr">
        <is>
          <t>Developers|&lt;10x</t>
        </is>
      </c>
    </row>
    <row r="76">
      <c r="A76" s="51" t="inlineStr">
        <is>
          <t>Digital health</t>
        </is>
      </c>
      <c r="B76" s="51" t="inlineStr">
        <is>
          <t>10-100x</t>
        </is>
      </c>
      <c r="C76" s="243" t="n">
        <v>3</v>
      </c>
      <c r="D76" s="250" t="n">
        <v>36.7</v>
      </c>
      <c r="E76" s="245" t="n">
        <v>67</v>
      </c>
      <c r="G76" s="105" t="inlineStr">
        <is>
          <t>Digital health|10-100x</t>
        </is>
      </c>
    </row>
    <row r="77">
      <c r="A77" s="51" t="inlineStr">
        <is>
          <t>Digital health</t>
        </is>
      </c>
      <c r="B77" s="51" t="inlineStr">
        <is>
          <t>100-1000x</t>
        </is>
      </c>
      <c r="C77" s="243" t="n">
        <v>4</v>
      </c>
      <c r="D77" s="250" t="n">
        <v>20.1</v>
      </c>
      <c r="E77" s="245" t="n">
        <v>75</v>
      </c>
      <c r="G77" s="105" t="inlineStr">
        <is>
          <t>Digital health|100-1000x</t>
        </is>
      </c>
    </row>
    <row r="78">
      <c r="A78" s="51" t="inlineStr">
        <is>
          <t>Digital health</t>
        </is>
      </c>
      <c r="B78" s="51" t="inlineStr">
        <is>
          <t>&lt;10x</t>
        </is>
      </c>
      <c r="C78" s="243" t="n">
        <v>8</v>
      </c>
      <c r="D78" s="250" t="n">
        <v>0</v>
      </c>
      <c r="E78" s="245" t="n">
        <v>38</v>
      </c>
      <c r="G78" s="105" t="inlineStr">
        <is>
          <t>Digital health|&lt;10x</t>
        </is>
      </c>
    </row>
    <row r="79">
      <c r="A79" s="51" t="inlineStr">
        <is>
          <t>Digital health</t>
        </is>
      </c>
      <c r="B79" s="51" t="inlineStr">
        <is>
          <t>&gt;=1000x</t>
        </is>
      </c>
      <c r="C79" s="243" t="n">
        <v>2</v>
      </c>
      <c r="D79" s="250" t="n">
        <v>80.59999999999999</v>
      </c>
      <c r="E79" s="245" t="n">
        <v>100</v>
      </c>
      <c r="G79" s="105" t="inlineStr">
        <is>
          <t>Digital health|&gt;=1000x</t>
        </is>
      </c>
    </row>
    <row r="80">
      <c r="A80" s="51" t="inlineStr">
        <is>
          <t>F&amp;B chains / restaurants</t>
        </is>
      </c>
      <c r="B80" s="51" t="inlineStr">
        <is>
          <t>10-100x</t>
        </is>
      </c>
      <c r="C80" s="243" t="n">
        <v>1</v>
      </c>
      <c r="D80" s="250" t="n">
        <v>22.9</v>
      </c>
      <c r="E80" s="245" t="n">
        <v>100</v>
      </c>
      <c r="G80" s="105" t="inlineStr">
        <is>
          <t>F&amp;B chains / restaurants|10-100x</t>
        </is>
      </c>
    </row>
    <row r="81">
      <c r="A81" s="51" t="inlineStr">
        <is>
          <t>F&amp;B chains / restaurants</t>
        </is>
      </c>
      <c r="B81" s="51" t="inlineStr">
        <is>
          <t>100-1000x</t>
        </is>
      </c>
      <c r="C81" s="243" t="n">
        <v>4</v>
      </c>
      <c r="D81" s="250" t="n">
        <v>-13</v>
      </c>
      <c r="E81" s="245" t="n">
        <v>0</v>
      </c>
      <c r="G81" s="105" t="inlineStr">
        <is>
          <t>F&amp;B chains / restaurants|100-1000x</t>
        </is>
      </c>
    </row>
    <row r="82">
      <c r="A82" s="51" t="inlineStr">
        <is>
          <t>F&amp;B chains / restaurants</t>
        </is>
      </c>
      <c r="B82" s="51" t="inlineStr">
        <is>
          <t>&lt;10x</t>
        </is>
      </c>
      <c r="C82" s="243" t="n">
        <v>3</v>
      </c>
      <c r="D82" s="250" t="n">
        <v>-0.1</v>
      </c>
      <c r="E82" s="245" t="n">
        <v>33</v>
      </c>
      <c r="G82" s="105" t="inlineStr">
        <is>
          <t>F&amp;B chains / restaurants|&lt;10x</t>
        </is>
      </c>
    </row>
    <row r="83">
      <c r="A83" s="51" t="inlineStr">
        <is>
          <t>F&amp;B chains / restaurants</t>
        </is>
      </c>
      <c r="B83" s="51" t="inlineStr">
        <is>
          <t>&gt;=1000x</t>
        </is>
      </c>
      <c r="C83" s="243" t="n">
        <v>2</v>
      </c>
      <c r="D83" s="250" t="n">
        <v>41.6</v>
      </c>
      <c r="E83" s="245" t="n">
        <v>100</v>
      </c>
      <c r="G83" s="105" t="inlineStr">
        <is>
          <t>F&amp;B chains / restaurants|&gt;=1000x</t>
        </is>
      </c>
    </row>
    <row r="84">
      <c r="A84" s="51" t="inlineStr">
        <is>
          <t>Fintech platform</t>
        </is>
      </c>
      <c r="B84" s="51" t="inlineStr">
        <is>
          <t>10-100x</t>
        </is>
      </c>
      <c r="C84" s="243" t="n">
        <v>3</v>
      </c>
      <c r="D84" s="250" t="n">
        <v>-0.6</v>
      </c>
      <c r="E84" s="245" t="n">
        <v>33</v>
      </c>
      <c r="G84" s="105" t="inlineStr">
        <is>
          <t>Fintech platform|10-100x</t>
        </is>
      </c>
    </row>
    <row r="85">
      <c r="A85" s="51" t="inlineStr">
        <is>
          <t>Fintech platform</t>
        </is>
      </c>
      <c r="B85" s="51" t="inlineStr">
        <is>
          <t>100-1000x</t>
        </is>
      </c>
      <c r="C85" s="243" t="n">
        <v>2</v>
      </c>
      <c r="D85" s="250" t="n">
        <v>-8.1</v>
      </c>
      <c r="E85" s="245" t="n">
        <v>0</v>
      </c>
      <c r="G85" s="105" t="inlineStr">
        <is>
          <t>Fintech platform|100-1000x</t>
        </is>
      </c>
    </row>
    <row r="86">
      <c r="A86" s="51" t="inlineStr">
        <is>
          <t>Fintech platform</t>
        </is>
      </c>
      <c r="B86" s="51" t="inlineStr">
        <is>
          <t>&lt;10x</t>
        </is>
      </c>
      <c r="C86" s="243" t="n">
        <v>2</v>
      </c>
      <c r="D86" s="250" t="n">
        <v>-4</v>
      </c>
      <c r="E86" s="245" t="n">
        <v>50</v>
      </c>
      <c r="G86" s="105" t="inlineStr">
        <is>
          <t>Fintech platform|&lt;10x</t>
        </is>
      </c>
    </row>
    <row r="87">
      <c r="A87" s="51" t="inlineStr">
        <is>
          <t>Hospitals / clinics</t>
        </is>
      </c>
      <c r="B87" s="51" t="inlineStr">
        <is>
          <t>10-100x</t>
        </is>
      </c>
      <c r="C87" s="243" t="n">
        <v>1</v>
      </c>
      <c r="D87" s="250" t="n">
        <v>-14.3</v>
      </c>
      <c r="E87" s="245" t="n">
        <v>0</v>
      </c>
      <c r="G87" s="105" t="inlineStr">
        <is>
          <t>Hospitals / clinics|10-100x</t>
        </is>
      </c>
    </row>
    <row r="88">
      <c r="A88" s="51" t="inlineStr">
        <is>
          <t>Hospitals / clinics</t>
        </is>
      </c>
      <c r="B88" s="51" t="inlineStr">
        <is>
          <t>100-1000x</t>
        </is>
      </c>
      <c r="C88" s="243" t="n">
        <v>5</v>
      </c>
      <c r="D88" s="250" t="n">
        <v>5.1</v>
      </c>
      <c r="E88" s="245" t="n">
        <v>100</v>
      </c>
      <c r="G88" s="105" t="inlineStr">
        <is>
          <t>Hospitals / clinics|100-1000x</t>
        </is>
      </c>
    </row>
    <row r="89">
      <c r="A89" s="51" t="inlineStr">
        <is>
          <t>Hospitals / clinics</t>
        </is>
      </c>
      <c r="B89" s="51" t="inlineStr">
        <is>
          <t>&lt;10x</t>
        </is>
      </c>
      <c r="C89" s="243" t="n">
        <v>3</v>
      </c>
      <c r="D89" s="250" t="n">
        <v>-5.6</v>
      </c>
      <c r="E89" s="245" t="n">
        <v>0</v>
      </c>
      <c r="G89" s="105" t="inlineStr">
        <is>
          <t>Hospitals / clinics|&lt;10x</t>
        </is>
      </c>
    </row>
    <row r="90">
      <c r="A90" s="51" t="inlineStr">
        <is>
          <t>Image / display semiconductors</t>
        </is>
      </c>
      <c r="B90" s="51" t="inlineStr">
        <is>
          <t>&lt;10x</t>
        </is>
      </c>
      <c r="C90" s="243" t="n">
        <v>1</v>
      </c>
      <c r="D90" s="250" t="n">
        <v>16.2</v>
      </c>
      <c r="E90" s="245" t="n">
        <v>100</v>
      </c>
      <c r="G90" s="105" t="inlineStr">
        <is>
          <t>Image / display semiconductors|&lt;10x</t>
        </is>
      </c>
    </row>
    <row r="91">
      <c r="A91" s="51" t="inlineStr">
        <is>
          <t>Image / display semiconductors</t>
        </is>
      </c>
      <c r="B91" s="51" t="inlineStr">
        <is>
          <t>&gt;=1000x</t>
        </is>
      </c>
      <c r="C91" s="243" t="n">
        <v>3</v>
      </c>
      <c r="D91" s="250" t="n">
        <v>75.5</v>
      </c>
      <c r="E91" s="245" t="n">
        <v>100</v>
      </c>
      <c r="G91" s="105" t="inlineStr">
        <is>
          <t>Image / display semiconductors|&gt;=1000x</t>
        </is>
      </c>
    </row>
    <row r="92">
      <c r="A92" s="51" t="inlineStr">
        <is>
          <t>Insurance</t>
        </is>
      </c>
      <c r="B92" s="51" t="inlineStr">
        <is>
          <t>10-100x</t>
        </is>
      </c>
      <c r="C92" s="243" t="n">
        <v>2</v>
      </c>
      <c r="D92" s="250" t="n">
        <v>3</v>
      </c>
      <c r="E92" s="245" t="n">
        <v>100</v>
      </c>
      <c r="G92" s="105" t="inlineStr">
        <is>
          <t>Insurance|10-100x</t>
        </is>
      </c>
    </row>
    <row r="93">
      <c r="A93" s="51" t="inlineStr">
        <is>
          <t>Insurance</t>
        </is>
      </c>
      <c r="B93" s="51" t="inlineStr">
        <is>
          <t>100-1000x</t>
        </is>
      </c>
      <c r="C93" s="243" t="n">
        <v>2</v>
      </c>
      <c r="D93" s="250" t="n">
        <v>174.9</v>
      </c>
      <c r="E93" s="245" t="n">
        <v>50</v>
      </c>
      <c r="G93" s="105" t="inlineStr">
        <is>
          <t>Insurance|100-1000x</t>
        </is>
      </c>
    </row>
    <row r="94">
      <c r="A94" s="51" t="inlineStr">
        <is>
          <t>Insurance</t>
        </is>
      </c>
      <c r="B94" s="51" t="inlineStr">
        <is>
          <t>&lt;10x</t>
        </is>
      </c>
      <c r="C94" s="243" t="n">
        <v>2</v>
      </c>
      <c r="D94" s="250" t="n">
        <v>2.4</v>
      </c>
      <c r="E94" s="245" t="n">
        <v>50</v>
      </c>
      <c r="G94" s="105" t="inlineStr">
        <is>
          <t>Insurance|&lt;10x</t>
        </is>
      </c>
    </row>
    <row r="95">
      <c r="A95" s="51" t="inlineStr">
        <is>
          <t>Insurance</t>
        </is>
      </c>
      <c r="B95" s="51" t="inlineStr">
        <is>
          <t>&gt;=1000x</t>
        </is>
      </c>
      <c r="C95" s="243" t="n">
        <v>1</v>
      </c>
      <c r="D95" s="250" t="n">
        <v>158.8</v>
      </c>
      <c r="E95" s="245" t="n">
        <v>100</v>
      </c>
      <c r="G95" s="105" t="inlineStr">
        <is>
          <t>Insurance|&gt;=1000x</t>
        </is>
      </c>
    </row>
    <row r="96">
      <c r="A96" s="51" t="inlineStr">
        <is>
          <t>Internet platform / e-commerce</t>
        </is>
      </c>
      <c r="B96" s="51" t="inlineStr">
        <is>
          <t>10-100x</t>
        </is>
      </c>
      <c r="C96" s="243" t="n">
        <v>7</v>
      </c>
      <c r="D96" s="250" t="n">
        <v>0.8</v>
      </c>
      <c r="E96" s="245" t="n">
        <v>57</v>
      </c>
      <c r="G96" s="105" t="inlineStr">
        <is>
          <t>Internet platform / e-commerce|10-100x</t>
        </is>
      </c>
    </row>
    <row r="97">
      <c r="A97" s="51" t="inlineStr">
        <is>
          <t>Internet platform / e-commerce</t>
        </is>
      </c>
      <c r="B97" s="51" t="inlineStr">
        <is>
          <t>100-1000x</t>
        </is>
      </c>
      <c r="C97" s="243" t="n">
        <v>6</v>
      </c>
      <c r="D97" s="250" t="n">
        <v>-0.5</v>
      </c>
      <c r="E97" s="245" t="n">
        <v>33</v>
      </c>
      <c r="G97" s="105" t="inlineStr">
        <is>
          <t>Internet platform / e-commerce|100-1000x</t>
        </is>
      </c>
    </row>
    <row r="98">
      <c r="A98" s="51" t="inlineStr">
        <is>
          <t>Internet platform / e-commerce</t>
        </is>
      </c>
      <c r="B98" s="51" t="inlineStr">
        <is>
          <t>&lt;10x</t>
        </is>
      </c>
      <c r="C98" s="243" t="n">
        <v>8</v>
      </c>
      <c r="D98" s="250" t="n">
        <v>-1.1</v>
      </c>
      <c r="E98" s="245" t="n">
        <v>50</v>
      </c>
      <c r="G98" s="105" t="inlineStr">
        <is>
          <t>Internet platform / e-commerce|&lt;10x</t>
        </is>
      </c>
    </row>
    <row r="99">
      <c r="A99" s="51" t="inlineStr">
        <is>
          <t>Internet platform / e-commerce</t>
        </is>
      </c>
      <c r="B99" s="51" t="inlineStr">
        <is>
          <t>&gt;=1000x</t>
        </is>
      </c>
      <c r="C99" s="243" t="n">
        <v>2</v>
      </c>
      <c r="D99" s="250" t="n">
        <v>124.8</v>
      </c>
      <c r="E99" s="245" t="n">
        <v>100</v>
      </c>
      <c r="G99" s="105" t="inlineStr">
        <is>
          <t>Internet platform / e-commerce|&gt;=1000x</t>
        </is>
      </c>
    </row>
    <row r="100">
      <c r="A100" s="51" t="inlineStr">
        <is>
          <t>LLM / foundation model</t>
        </is>
      </c>
      <c r="B100" s="51" t="inlineStr">
        <is>
          <t>&gt;=1000x</t>
        </is>
      </c>
      <c r="C100" s="243" t="n">
        <v>2</v>
      </c>
      <c r="D100" s="250" t="n">
        <v>61.1</v>
      </c>
      <c r="E100" s="245" t="n">
        <v>100</v>
      </c>
      <c r="G100" s="105" t="inlineStr">
        <is>
          <t>LLM / foundation model|&gt;=1000x</t>
        </is>
      </c>
    </row>
    <row r="101">
      <c r="A101" s="51" t="inlineStr">
        <is>
          <t>Logistics</t>
        </is>
      </c>
      <c r="B101" s="51" t="inlineStr">
        <is>
          <t>10-100x</t>
        </is>
      </c>
      <c r="C101" s="243" t="n">
        <v>4</v>
      </c>
      <c r="D101" s="250" t="n">
        <v>-1</v>
      </c>
      <c r="E101" s="245" t="n">
        <v>25</v>
      </c>
      <c r="G101" s="105" t="inlineStr">
        <is>
          <t>Logistics|10-100x</t>
        </is>
      </c>
    </row>
    <row r="102">
      <c r="A102" s="51" t="inlineStr">
        <is>
          <t>Logistics</t>
        </is>
      </c>
      <c r="B102" s="51" t="inlineStr">
        <is>
          <t>100-1000x</t>
        </is>
      </c>
      <c r="C102" s="243" t="n">
        <v>3</v>
      </c>
      <c r="D102" s="250" t="n">
        <v>3.3</v>
      </c>
      <c r="E102" s="245" t="n">
        <v>67</v>
      </c>
      <c r="G102" s="105" t="inlineStr">
        <is>
          <t>Logistics|100-1000x</t>
        </is>
      </c>
    </row>
    <row r="103">
      <c r="A103" s="51" t="inlineStr">
        <is>
          <t>Logistics</t>
        </is>
      </c>
      <c r="B103" s="51" t="inlineStr">
        <is>
          <t>&lt;10x</t>
        </is>
      </c>
      <c r="C103" s="243" t="n">
        <v>6</v>
      </c>
      <c r="D103" s="250" t="n">
        <v>-4.9</v>
      </c>
      <c r="E103" s="245" t="n">
        <v>0</v>
      </c>
      <c r="G103" s="105" t="inlineStr">
        <is>
          <t>Logistics|&lt;10x</t>
        </is>
      </c>
    </row>
    <row r="104">
      <c r="A104" s="51" t="inlineStr">
        <is>
          <t>Logistics</t>
        </is>
      </c>
      <c r="B104" s="51" t="inlineStr">
        <is>
          <t>&gt;=1000x</t>
        </is>
      </c>
      <c r="C104" s="243" t="n">
        <v>2</v>
      </c>
      <c r="D104" s="250" t="n">
        <v>-21.7</v>
      </c>
      <c r="E104" s="245" t="n">
        <v>50</v>
      </c>
      <c r="G104" s="105" t="inlineStr">
        <is>
          <t>Logistics|&gt;=1000x</t>
        </is>
      </c>
    </row>
    <row r="105">
      <c r="A105" s="51" t="inlineStr">
        <is>
          <t>Media / advertising</t>
        </is>
      </c>
      <c r="B105" s="51" t="inlineStr">
        <is>
          <t>10-100x</t>
        </is>
      </c>
      <c r="C105" s="243" t="n">
        <v>6</v>
      </c>
      <c r="D105" s="250" t="n">
        <v>38.2</v>
      </c>
      <c r="E105" s="245" t="n">
        <v>100</v>
      </c>
      <c r="G105" s="105" t="inlineStr">
        <is>
          <t>Media / advertising|10-100x</t>
        </is>
      </c>
    </row>
    <row r="106">
      <c r="A106" s="51" t="inlineStr">
        <is>
          <t>Media / advertising</t>
        </is>
      </c>
      <c r="B106" s="51" t="inlineStr">
        <is>
          <t>100-1000x</t>
        </is>
      </c>
      <c r="C106" s="243" t="n">
        <v>2</v>
      </c>
      <c r="D106" s="250" t="n">
        <v>41.8</v>
      </c>
      <c r="E106" s="245" t="n">
        <v>50</v>
      </c>
      <c r="G106" s="105" t="inlineStr">
        <is>
          <t>Media / advertising|100-1000x</t>
        </is>
      </c>
    </row>
    <row r="107">
      <c r="A107" s="51" t="inlineStr">
        <is>
          <t>Media / advertising</t>
        </is>
      </c>
      <c r="B107" s="51" t="inlineStr">
        <is>
          <t>&lt;10x</t>
        </is>
      </c>
      <c r="C107" s="243" t="n">
        <v>9</v>
      </c>
      <c r="D107" s="250" t="n">
        <v>-2.7</v>
      </c>
      <c r="E107" s="245" t="n">
        <v>44</v>
      </c>
      <c r="G107" s="105" t="inlineStr">
        <is>
          <t>Media / advertising|&lt;10x</t>
        </is>
      </c>
    </row>
    <row r="108">
      <c r="A108" s="51" t="inlineStr">
        <is>
          <t>Media / advertising</t>
        </is>
      </c>
      <c r="B108" s="51" t="inlineStr">
        <is>
          <t>&gt;=1000x</t>
        </is>
      </c>
      <c r="C108" s="243" t="n">
        <v>2</v>
      </c>
      <c r="D108" s="250" t="n">
        <v>-6.7</v>
      </c>
      <c r="E108" s="245" t="n">
        <v>50</v>
      </c>
      <c r="G108" s="105" t="inlineStr">
        <is>
          <t>Media / advertising|&gt;=1000x</t>
        </is>
      </c>
    </row>
    <row r="109">
      <c r="A109" s="51" t="inlineStr">
        <is>
          <t>Medical devices</t>
        </is>
      </c>
      <c r="B109" s="51" t="inlineStr">
        <is>
          <t>10-100x</t>
        </is>
      </c>
      <c r="C109" s="243" t="n">
        <v>4</v>
      </c>
      <c r="D109" s="250" t="n">
        <v>1.6</v>
      </c>
      <c r="E109" s="245" t="n">
        <v>50</v>
      </c>
      <c r="G109" s="105" t="inlineStr">
        <is>
          <t>Medical devices|10-100x</t>
        </is>
      </c>
    </row>
    <row r="110">
      <c r="A110" s="51" t="inlineStr">
        <is>
          <t>Medical devices</t>
        </is>
      </c>
      <c r="B110" s="51" t="inlineStr">
        <is>
          <t>100-1000x</t>
        </is>
      </c>
      <c r="C110" s="243" t="n">
        <v>7</v>
      </c>
      <c r="D110" s="250" t="n">
        <v>-1.1</v>
      </c>
      <c r="E110" s="245" t="n">
        <v>43</v>
      </c>
      <c r="G110" s="105" t="inlineStr">
        <is>
          <t>Medical devices|100-1000x</t>
        </is>
      </c>
    </row>
    <row r="111">
      <c r="A111" s="51" t="inlineStr">
        <is>
          <t>Medical devices</t>
        </is>
      </c>
      <c r="B111" s="51" t="inlineStr">
        <is>
          <t>&lt;10x</t>
        </is>
      </c>
      <c r="C111" s="243" t="n">
        <v>9</v>
      </c>
      <c r="D111" s="250" t="n">
        <v>0</v>
      </c>
      <c r="E111" s="245" t="n">
        <v>33</v>
      </c>
      <c r="G111" s="105" t="inlineStr">
        <is>
          <t>Medical devices|&lt;10x</t>
        </is>
      </c>
    </row>
    <row r="112">
      <c r="A112" s="51" t="inlineStr">
        <is>
          <t>Medical devices</t>
        </is>
      </c>
      <c r="B112" s="51" t="inlineStr">
        <is>
          <t>&gt;=1000x</t>
        </is>
      </c>
      <c r="C112" s="243" t="n">
        <v>6</v>
      </c>
      <c r="D112" s="250" t="n">
        <v>115</v>
      </c>
      <c r="E112" s="245" t="n">
        <v>100</v>
      </c>
      <c r="G112" s="105" t="inlineStr">
        <is>
          <t>Medical devices|&gt;=1000x</t>
        </is>
      </c>
    </row>
    <row r="113">
      <c r="A113" s="51" t="inlineStr">
        <is>
          <t>Memory / interface semiconductors</t>
        </is>
      </c>
      <c r="B113" s="51" t="inlineStr">
        <is>
          <t>100-1000x</t>
        </is>
      </c>
      <c r="C113" s="243" t="n">
        <v>2</v>
      </c>
      <c r="D113" s="250" t="n">
        <v>50.6</v>
      </c>
      <c r="E113" s="245" t="n">
        <v>100</v>
      </c>
      <c r="G113" s="105" t="inlineStr">
        <is>
          <t>Memory / interface semiconductors|100-1000x</t>
        </is>
      </c>
    </row>
    <row r="114">
      <c r="A114" s="51" t="inlineStr">
        <is>
          <t>Mining / metals</t>
        </is>
      </c>
      <c r="B114" s="51" t="inlineStr">
        <is>
          <t>10-100x</t>
        </is>
      </c>
      <c r="C114" s="243" t="n">
        <v>1</v>
      </c>
      <c r="D114" s="250" t="n">
        <v>143.1</v>
      </c>
      <c r="E114" s="245" t="n">
        <v>100</v>
      </c>
      <c r="G114" s="105" t="inlineStr">
        <is>
          <t>Mining / metals|10-100x</t>
        </is>
      </c>
    </row>
    <row r="115">
      <c r="A115" s="51" t="inlineStr">
        <is>
          <t>Mining / metals</t>
        </is>
      </c>
      <c r="B115" s="51" t="inlineStr">
        <is>
          <t>100-1000x</t>
        </is>
      </c>
      <c r="C115" s="243" t="n">
        <v>3</v>
      </c>
      <c r="D115" s="250" t="n">
        <v>32.8</v>
      </c>
      <c r="E115" s="245" t="n">
        <v>100</v>
      </c>
      <c r="G115" s="105" t="inlineStr">
        <is>
          <t>Mining / metals|100-1000x</t>
        </is>
      </c>
    </row>
    <row r="116">
      <c r="A116" s="51" t="inlineStr">
        <is>
          <t>Mining / metals</t>
        </is>
      </c>
      <c r="B116" s="51" t="inlineStr">
        <is>
          <t>&lt;10x</t>
        </is>
      </c>
      <c r="C116" s="243" t="n">
        <v>6</v>
      </c>
      <c r="D116" s="250" t="n">
        <v>0</v>
      </c>
      <c r="E116" s="245" t="n">
        <v>17</v>
      </c>
      <c r="G116" s="105" t="inlineStr">
        <is>
          <t>Mining / metals|&lt;10x</t>
        </is>
      </c>
    </row>
    <row r="117">
      <c r="A117" s="51" t="inlineStr">
        <is>
          <t>Mining / metals</t>
        </is>
      </c>
      <c r="B117" s="51" t="inlineStr">
        <is>
          <t>&gt;=1000x</t>
        </is>
      </c>
      <c r="C117" s="243" t="n">
        <v>3</v>
      </c>
      <c r="D117" s="250" t="n">
        <v>90.7</v>
      </c>
      <c r="E117" s="245" t="n">
        <v>100</v>
      </c>
      <c r="G117" s="105" t="inlineStr">
        <is>
          <t>Mining / metals|&gt;=1000x</t>
        </is>
      </c>
    </row>
    <row r="118">
      <c r="A118" s="51" t="inlineStr">
        <is>
          <t>Oil &amp; gas / utilities</t>
        </is>
      </c>
      <c r="B118" s="51" t="inlineStr">
        <is>
          <t>10-100x</t>
        </is>
      </c>
      <c r="C118" s="243" t="n">
        <v>2</v>
      </c>
      <c r="D118" s="250" t="n">
        <v>15.1</v>
      </c>
      <c r="E118" s="245" t="n">
        <v>50</v>
      </c>
      <c r="G118" s="105" t="inlineStr">
        <is>
          <t>Oil &amp; gas / utilities|10-100x</t>
        </is>
      </c>
    </row>
    <row r="119">
      <c r="A119" s="51" t="inlineStr">
        <is>
          <t>Oil &amp; gas / utilities</t>
        </is>
      </c>
      <c r="B119" s="51" t="inlineStr">
        <is>
          <t>&lt;10x</t>
        </is>
      </c>
      <c r="C119" s="243" t="n">
        <v>3</v>
      </c>
      <c r="D119" s="250" t="n">
        <v>0</v>
      </c>
      <c r="E119" s="245" t="n">
        <v>0</v>
      </c>
      <c r="G119" s="105" t="inlineStr">
        <is>
          <t>Oil &amp; gas / utilities|&lt;10x</t>
        </is>
      </c>
    </row>
    <row r="120">
      <c r="A120" s="51" t="inlineStr">
        <is>
          <t>Other / diversified semiconductors</t>
        </is>
      </c>
      <c r="B120" s="51" t="inlineStr">
        <is>
          <t>10-100x</t>
        </is>
      </c>
      <c r="C120" s="243" t="n">
        <v>1</v>
      </c>
      <c r="D120" s="250" t="n">
        <v>6.3</v>
      </c>
      <c r="E120" s="245" t="n">
        <v>100</v>
      </c>
      <c r="G120" s="105" t="inlineStr">
        <is>
          <t>Other / diversified semiconductors|10-100x</t>
        </is>
      </c>
    </row>
    <row r="121">
      <c r="A121" s="51" t="inlineStr">
        <is>
          <t>Other / diversified semiconductors</t>
        </is>
      </c>
      <c r="B121" s="51" t="inlineStr">
        <is>
          <t>100-1000x</t>
        </is>
      </c>
      <c r="C121" s="243" t="n">
        <v>2</v>
      </c>
      <c r="D121" s="250" t="n">
        <v>2.1</v>
      </c>
      <c r="E121" s="245" t="n">
        <v>50</v>
      </c>
      <c r="G121" s="105" t="inlineStr">
        <is>
          <t>Other / diversified semiconductors|100-1000x</t>
        </is>
      </c>
    </row>
    <row r="122">
      <c r="A122" s="51" t="inlineStr">
        <is>
          <t>Other / diversified semiconductors</t>
        </is>
      </c>
      <c r="B122" s="51" t="inlineStr">
        <is>
          <t>&gt;=1000x</t>
        </is>
      </c>
      <c r="C122" s="243" t="n">
        <v>2</v>
      </c>
      <c r="D122" s="250" t="n">
        <v>113.6</v>
      </c>
      <c r="E122" s="245" t="n">
        <v>100</v>
      </c>
      <c r="G122" s="105" t="inlineStr">
        <is>
          <t>Other / diversified semiconductors|&gt;=1000x</t>
        </is>
      </c>
    </row>
    <row r="123">
      <c r="A123" s="51" t="inlineStr">
        <is>
          <t>Property management</t>
        </is>
      </c>
      <c r="B123" s="51" t="inlineStr">
        <is>
          <t>10-100x</t>
        </is>
      </c>
      <c r="C123" s="243" t="n">
        <v>4</v>
      </c>
      <c r="D123" s="250" t="n">
        <v>-0.4</v>
      </c>
      <c r="E123" s="245" t="n">
        <v>50</v>
      </c>
      <c r="G123" s="105" t="inlineStr">
        <is>
          <t>Property management|10-100x</t>
        </is>
      </c>
    </row>
    <row r="124">
      <c r="A124" s="51" t="inlineStr">
        <is>
          <t>Property management</t>
        </is>
      </c>
      <c r="B124" s="51" t="inlineStr">
        <is>
          <t>100-1000x</t>
        </is>
      </c>
      <c r="C124" s="243" t="n">
        <v>2</v>
      </c>
      <c r="D124" s="250" t="n">
        <v>-3.9</v>
      </c>
      <c r="E124" s="245" t="n">
        <v>50</v>
      </c>
      <c r="G124" s="105" t="inlineStr">
        <is>
          <t>Property management|100-1000x</t>
        </is>
      </c>
    </row>
    <row r="125">
      <c r="A125" s="51" t="inlineStr">
        <is>
          <t>Property management</t>
        </is>
      </c>
      <c r="B125" s="51" t="inlineStr">
        <is>
          <t>&lt;10x</t>
        </is>
      </c>
      <c r="C125" s="243" t="n">
        <v>17</v>
      </c>
      <c r="D125" s="250" t="n">
        <v>0</v>
      </c>
      <c r="E125" s="245" t="n">
        <v>29</v>
      </c>
      <c r="G125" s="105" t="inlineStr">
        <is>
          <t>Property management|&lt;10x</t>
        </is>
      </c>
    </row>
    <row r="126">
      <c r="A126" s="51" t="inlineStr">
        <is>
          <t>Property management</t>
        </is>
      </c>
      <c r="B126" s="51" t="inlineStr">
        <is>
          <t>&gt;=1000x</t>
        </is>
      </c>
      <c r="C126" s="243" t="n">
        <v>1</v>
      </c>
      <c r="D126" s="250" t="n">
        <v>36.2</v>
      </c>
      <c r="E126" s="245" t="n">
        <v>100</v>
      </c>
      <c r="G126" s="105" t="inlineStr">
        <is>
          <t>Property management|&gt;=1000x</t>
        </is>
      </c>
    </row>
    <row r="127">
      <c r="A127" s="51" t="inlineStr">
        <is>
          <t>REITs / asset-light</t>
        </is>
      </c>
      <c r="B127" s="51" t="inlineStr">
        <is>
          <t>&lt;10x</t>
        </is>
      </c>
      <c r="C127" s="243" t="n">
        <v>1</v>
      </c>
      <c r="D127" s="250" t="n">
        <v>-16.5</v>
      </c>
      <c r="E127" s="245" t="n">
        <v>0</v>
      </c>
      <c r="G127" s="105" t="inlineStr">
        <is>
          <t>REITs / asset-light|&lt;10x</t>
        </is>
      </c>
    </row>
    <row r="128">
      <c r="A128" s="51" t="inlineStr">
        <is>
          <t>Retail / distribution</t>
        </is>
      </c>
      <c r="B128" s="51" t="inlineStr">
        <is>
          <t>10-100x</t>
        </is>
      </c>
      <c r="C128" s="243" t="n">
        <v>6</v>
      </c>
      <c r="D128" s="250" t="n">
        <v>16.1</v>
      </c>
      <c r="E128" s="245" t="n">
        <v>67</v>
      </c>
      <c r="G128" s="105" t="inlineStr">
        <is>
          <t>Retail / distribution|10-100x</t>
        </is>
      </c>
    </row>
    <row r="129">
      <c r="A129" s="51" t="inlineStr">
        <is>
          <t>Retail / distribution</t>
        </is>
      </c>
      <c r="B129" s="51" t="inlineStr">
        <is>
          <t>100-1000x</t>
        </is>
      </c>
      <c r="C129" s="243" t="n">
        <v>2</v>
      </c>
      <c r="D129" s="250" t="n">
        <v>-9.4</v>
      </c>
      <c r="E129" s="245" t="n">
        <v>50</v>
      </c>
      <c r="G129" s="105" t="inlineStr">
        <is>
          <t>Retail / distribution|100-1000x</t>
        </is>
      </c>
    </row>
    <row r="130">
      <c r="A130" s="51" t="inlineStr">
        <is>
          <t>Retail / distribution</t>
        </is>
      </c>
      <c r="B130" s="51" t="inlineStr">
        <is>
          <t>&lt;10x</t>
        </is>
      </c>
      <c r="C130" s="243" t="n">
        <v>4</v>
      </c>
      <c r="D130" s="250" t="n">
        <v>0</v>
      </c>
      <c r="E130" s="245" t="n">
        <v>0</v>
      </c>
      <c r="G130" s="105" t="inlineStr">
        <is>
          <t>Retail / distribution|&lt;10x</t>
        </is>
      </c>
    </row>
    <row r="131">
      <c r="A131" s="51" t="inlineStr">
        <is>
          <t>Retail / distribution</t>
        </is>
      </c>
      <c r="B131" s="51" t="inlineStr">
        <is>
          <t>&gt;=1000x</t>
        </is>
      </c>
      <c r="C131" s="243" t="n">
        <v>5</v>
      </c>
      <c r="D131" s="250" t="n">
        <v>44</v>
      </c>
      <c r="E131" s="245" t="n">
        <v>100</v>
      </c>
      <c r="G131" s="105" t="inlineStr">
        <is>
          <t>Retail / distribution|&gt;=1000x</t>
        </is>
      </c>
    </row>
    <row r="132">
      <c r="A132" s="51" t="inlineStr">
        <is>
          <t>Robotics &amp; autonomous driving</t>
        </is>
      </c>
      <c r="B132" s="51" t="inlineStr">
        <is>
          <t>10-100x</t>
        </is>
      </c>
      <c r="C132" s="243" t="n">
        <v>4</v>
      </c>
      <c r="D132" s="250" t="n">
        <v>-11.5</v>
      </c>
      <c r="E132" s="245" t="n">
        <v>25</v>
      </c>
      <c r="G132" s="105" t="inlineStr">
        <is>
          <t>Robotics &amp; autonomous driving|10-100x</t>
        </is>
      </c>
    </row>
    <row r="133">
      <c r="A133" s="51" t="inlineStr">
        <is>
          <t>Robotics &amp; autonomous driving</t>
        </is>
      </c>
      <c r="B133" s="51" t="inlineStr">
        <is>
          <t>100-1000x</t>
        </is>
      </c>
      <c r="C133" s="243" t="n">
        <v>8</v>
      </c>
      <c r="D133" s="250" t="n">
        <v>8.699999999999999</v>
      </c>
      <c r="E133" s="245" t="n">
        <v>88</v>
      </c>
      <c r="G133" s="105" t="inlineStr">
        <is>
          <t>Robotics &amp; autonomous driving|100-1000x</t>
        </is>
      </c>
    </row>
    <row r="134">
      <c r="A134" s="51" t="inlineStr">
        <is>
          <t>Robotics &amp; autonomous driving</t>
        </is>
      </c>
      <c r="B134" s="51" t="inlineStr">
        <is>
          <t>&lt;10x</t>
        </is>
      </c>
      <c r="C134" s="243" t="n">
        <v>6</v>
      </c>
      <c r="D134" s="250" t="n">
        <v>0.4</v>
      </c>
      <c r="E134" s="245" t="n">
        <v>50</v>
      </c>
      <c r="G134" s="105" t="inlineStr">
        <is>
          <t>Robotics &amp; autonomous driving|&lt;10x</t>
        </is>
      </c>
    </row>
    <row r="135">
      <c r="A135" s="51" t="inlineStr">
        <is>
          <t>Robotics &amp; autonomous driving</t>
        </is>
      </c>
      <c r="B135" s="51" t="inlineStr">
        <is>
          <t>&gt;=1000x</t>
        </is>
      </c>
      <c r="C135" s="243" t="n">
        <v>8</v>
      </c>
      <c r="D135" s="250" t="n">
        <v>17.1</v>
      </c>
      <c r="E135" s="245" t="n">
        <v>75</v>
      </c>
      <c r="G135" s="105" t="inlineStr">
        <is>
          <t>Robotics &amp; autonomous driving|&gt;=1000x</t>
        </is>
      </c>
    </row>
    <row r="136">
      <c r="A136" s="51" t="inlineStr">
        <is>
          <t>SaaS / enterprise software</t>
        </is>
      </c>
      <c r="B136" s="51" t="inlineStr">
        <is>
          <t>10-100x</t>
        </is>
      </c>
      <c r="C136" s="243" t="n">
        <v>9</v>
      </c>
      <c r="D136" s="250" t="n">
        <v>0.6</v>
      </c>
      <c r="E136" s="245" t="n">
        <v>67</v>
      </c>
      <c r="G136" s="105" t="inlineStr">
        <is>
          <t>SaaS / enterprise software|10-100x</t>
        </is>
      </c>
    </row>
    <row r="137">
      <c r="A137" s="51" t="inlineStr">
        <is>
          <t>SaaS / enterprise software</t>
        </is>
      </c>
      <c r="B137" s="51" t="inlineStr">
        <is>
          <t>100-1000x</t>
        </is>
      </c>
      <c r="C137" s="243" t="n">
        <v>4</v>
      </c>
      <c r="D137" s="250" t="n">
        <v>1</v>
      </c>
      <c r="E137" s="245" t="n">
        <v>50</v>
      </c>
      <c r="G137" s="105" t="inlineStr">
        <is>
          <t>SaaS / enterprise software|100-1000x</t>
        </is>
      </c>
    </row>
    <row r="138">
      <c r="A138" s="51" t="inlineStr">
        <is>
          <t>SaaS / enterprise software</t>
        </is>
      </c>
      <c r="B138" s="51" t="inlineStr">
        <is>
          <t>&lt;10x</t>
        </is>
      </c>
      <c r="C138" s="243" t="n">
        <v>7</v>
      </c>
      <c r="D138" s="250" t="n">
        <v>0</v>
      </c>
      <c r="E138" s="245" t="n">
        <v>43</v>
      </c>
      <c r="G138" s="105" t="inlineStr">
        <is>
          <t>SaaS / enterprise software|&lt;10x</t>
        </is>
      </c>
    </row>
    <row r="139">
      <c r="A139" s="51" t="inlineStr">
        <is>
          <t>SaaS / enterprise software</t>
        </is>
      </c>
      <c r="B139" s="51" t="inlineStr">
        <is>
          <t>&gt;=1000x</t>
        </is>
      </c>
      <c r="C139" s="243" t="n">
        <v>5</v>
      </c>
      <c r="D139" s="250" t="n">
        <v>117.9</v>
      </c>
      <c r="E139" s="245" t="n">
        <v>100</v>
      </c>
      <c r="G139" s="105" t="inlineStr">
        <is>
          <t>SaaS / enterprise software|&gt;=1000x</t>
        </is>
      </c>
    </row>
    <row r="140">
      <c r="A140" s="51" t="inlineStr">
        <is>
          <t>Semiconductor equipment / materials</t>
        </is>
      </c>
      <c r="B140" s="51" t="inlineStr">
        <is>
          <t>10-100x</t>
        </is>
      </c>
      <c r="C140" s="243" t="n">
        <v>2</v>
      </c>
      <c r="D140" s="250" t="n">
        <v>2.4</v>
      </c>
      <c r="E140" s="245" t="n">
        <v>50</v>
      </c>
      <c r="G140" s="105" t="inlineStr">
        <is>
          <t>Semiconductor equipment / materials|10-100x</t>
        </is>
      </c>
    </row>
    <row r="141">
      <c r="A141" s="51" t="inlineStr">
        <is>
          <t>Semiconductor equipment / materials</t>
        </is>
      </c>
      <c r="B141" s="51" t="inlineStr">
        <is>
          <t>&gt;=1000x</t>
        </is>
      </c>
      <c r="C141" s="243" t="n">
        <v>2</v>
      </c>
      <c r="D141" s="250" t="n">
        <v>55.1</v>
      </c>
      <c r="E141" s="245" t="n">
        <v>100</v>
      </c>
      <c r="G141" s="105" t="inlineStr">
        <is>
          <t>Semiconductor equipment / materials|&gt;=1000x</t>
        </is>
      </c>
    </row>
    <row r="142">
      <c r="A142" s="51" t="inlineStr">
        <is>
          <t>Semiconductor foundry</t>
        </is>
      </c>
      <c r="B142" s="51" t="inlineStr">
        <is>
          <t>100-1000x</t>
        </is>
      </c>
      <c r="C142" s="243" t="n">
        <v>1</v>
      </c>
      <c r="D142" s="250" t="n">
        <v>0</v>
      </c>
      <c r="E142" s="245" t="n">
        <v>0</v>
      </c>
      <c r="G142" s="105" t="inlineStr">
        <is>
          <t>Semiconductor foundry|100-1000x</t>
        </is>
      </c>
    </row>
    <row r="143">
      <c r="A143" s="51" t="inlineStr">
        <is>
          <t>Smart hardware / consumer electronics</t>
        </is>
      </c>
      <c r="B143" s="51" t="inlineStr">
        <is>
          <t>10-100x</t>
        </is>
      </c>
      <c r="C143" s="243" t="n">
        <v>6</v>
      </c>
      <c r="D143" s="250" t="n">
        <v>1.8</v>
      </c>
      <c r="E143" s="245" t="n">
        <v>50</v>
      </c>
      <c r="G143" s="105" t="inlineStr">
        <is>
          <t>Smart hardware / consumer electronics|10-100x</t>
        </is>
      </c>
    </row>
    <row r="144">
      <c r="A144" s="51" t="inlineStr">
        <is>
          <t>Smart hardware / consumer electronics</t>
        </is>
      </c>
      <c r="B144" s="51" t="inlineStr">
        <is>
          <t>100-1000x</t>
        </is>
      </c>
      <c r="C144" s="243" t="n">
        <v>11</v>
      </c>
      <c r="D144" s="250" t="n">
        <v>4.7</v>
      </c>
      <c r="E144" s="245" t="n">
        <v>64</v>
      </c>
      <c r="G144" s="105" t="inlineStr">
        <is>
          <t>Smart hardware / consumer electronics|100-1000x</t>
        </is>
      </c>
    </row>
    <row r="145">
      <c r="A145" s="51" t="inlineStr">
        <is>
          <t>Smart hardware / consumer electronics</t>
        </is>
      </c>
      <c r="B145" s="51" t="inlineStr">
        <is>
          <t>&lt;10x</t>
        </is>
      </c>
      <c r="C145" s="243" t="n">
        <v>4</v>
      </c>
      <c r="D145" s="250" t="n">
        <v>-3.4</v>
      </c>
      <c r="E145" s="245" t="n">
        <v>25</v>
      </c>
      <c r="G145" s="105" t="inlineStr">
        <is>
          <t>Smart hardware / consumer electronics|&lt;10x</t>
        </is>
      </c>
    </row>
    <row r="146">
      <c r="A146" s="51" t="inlineStr">
        <is>
          <t>Smart hardware / consumer electronics</t>
        </is>
      </c>
      <c r="B146" s="51" t="inlineStr">
        <is>
          <t>&gt;=1000x</t>
        </is>
      </c>
      <c r="C146" s="243" t="n">
        <v>10</v>
      </c>
      <c r="D146" s="250" t="n">
        <v>18.1</v>
      </c>
      <c r="E146" s="245" t="n">
        <v>100</v>
      </c>
      <c r="G146" s="105" t="inlineStr">
        <is>
          <t>Smart hardware / consumer electronics|&gt;=1000x</t>
        </is>
      </c>
    </row>
    <row r="147">
      <c r="A147" s="51" t="inlineStr">
        <is>
          <t>Solar / wind supply chain</t>
        </is>
      </c>
      <c r="B147" s="51" t="inlineStr">
        <is>
          <t>100-1000x</t>
        </is>
      </c>
      <c r="C147" s="243" t="n">
        <v>1</v>
      </c>
      <c r="D147" s="250" t="n">
        <v>0</v>
      </c>
      <c r="E147" s="245" t="n">
        <v>0</v>
      </c>
      <c r="G147" s="105" t="inlineStr">
        <is>
          <t>Solar / wind supply chain|100-1000x</t>
        </is>
      </c>
    </row>
    <row r="148">
      <c r="A148" s="51" t="inlineStr">
        <is>
          <t>Solar / wind supply chain</t>
        </is>
      </c>
      <c r="B148" s="51" t="inlineStr">
        <is>
          <t>&lt;10x</t>
        </is>
      </c>
      <c r="C148" s="243" t="n">
        <v>1</v>
      </c>
      <c r="D148" s="250" t="n">
        <v>20.1</v>
      </c>
      <c r="E148" s="245" t="n">
        <v>100</v>
      </c>
      <c r="G148" s="105" t="inlineStr">
        <is>
          <t>Solar / wind supply chain|&lt;10x</t>
        </is>
      </c>
    </row>
    <row r="149">
      <c r="A149" s="51" t="inlineStr">
        <is>
          <t>TCM</t>
        </is>
      </c>
      <c r="B149" s="51" t="inlineStr">
        <is>
          <t>10-100x</t>
        </is>
      </c>
      <c r="C149" s="243" t="n">
        <v>1</v>
      </c>
      <c r="D149" s="250" t="n">
        <v>6.8</v>
      </c>
      <c r="E149" s="245" t="n">
        <v>100</v>
      </c>
      <c r="G149" s="105" t="inlineStr">
        <is>
          <t>TCM|10-100x</t>
        </is>
      </c>
    </row>
    <row r="150">
      <c r="A150" s="51" t="inlineStr">
        <is>
          <t>TCM</t>
        </is>
      </c>
      <c r="B150" s="51" t="inlineStr">
        <is>
          <t>100-1000x</t>
        </is>
      </c>
      <c r="C150" s="243" t="n">
        <v>1</v>
      </c>
      <c r="D150" s="250" t="n">
        <v>-39.1</v>
      </c>
      <c r="E150" s="245" t="n">
        <v>0</v>
      </c>
      <c r="G150" s="105" t="inlineStr">
        <is>
          <t>TCM|100-1000x</t>
        </is>
      </c>
    </row>
    <row r="151">
      <c r="A151" s="51" t="inlineStr">
        <is>
          <t>TCM</t>
        </is>
      </c>
      <c r="B151" s="51" t="inlineStr">
        <is>
          <t>&lt;10x</t>
        </is>
      </c>
      <c r="C151" s="243" t="n">
        <v>1</v>
      </c>
      <c r="D151" s="250" t="n">
        <v>0</v>
      </c>
      <c r="E151" s="245" t="n">
        <v>0</v>
      </c>
      <c r="G151" s="105" t="inlineStr">
        <is>
          <t>TCM|&lt;10x</t>
        </is>
      </c>
    </row>
    <row r="152">
      <c r="A152" s="51" t="inlineStr">
        <is>
          <t>TCM</t>
        </is>
      </c>
      <c r="B152" s="51" t="inlineStr">
        <is>
          <t>&gt;=1000x</t>
        </is>
      </c>
      <c r="C152" s="243" t="n">
        <v>1</v>
      </c>
      <c r="D152" s="250" t="n">
        <v>10.4</v>
      </c>
      <c r="E152" s="245" t="n">
        <v>100</v>
      </c>
      <c r="G152" s="105" t="inlineStr">
        <is>
          <t>TCM|&gt;=1000x</t>
        </is>
      </c>
    </row>
    <row r="153">
      <c r="A153" s="51" t="inlineStr">
        <is>
          <t>Telecom</t>
        </is>
      </c>
      <c r="B153" s="51" t="inlineStr">
        <is>
          <t>100-1000x</t>
        </is>
      </c>
      <c r="C153" s="243" t="n">
        <v>1</v>
      </c>
      <c r="D153" s="250" t="n">
        <v>-46.4</v>
      </c>
      <c r="E153" s="245" t="n">
        <v>0</v>
      </c>
      <c r="G153" s="105" t="inlineStr">
        <is>
          <t>Telecom|100-1000x</t>
        </is>
      </c>
    </row>
    <row r="154">
      <c r="A154" s="51" t="inlineStr">
        <is>
          <t>Telecom</t>
        </is>
      </c>
      <c r="B154" s="51" t="inlineStr">
        <is>
          <t>&lt;10x</t>
        </is>
      </c>
      <c r="C154" s="243" t="n">
        <v>1</v>
      </c>
      <c r="D154" s="250" t="n">
        <v>-11.2</v>
      </c>
      <c r="E154" s="245" t="n">
        <v>0</v>
      </c>
      <c r="G154" s="105" t="inlineStr">
        <is>
          <t>Telecom|&lt;10x</t>
        </is>
      </c>
    </row>
    <row r="155"/>
    <row r="156">
      <c r="A156" s="241" t="inlineStr">
        <is>
          <t>BY SUBSECTOR (any subscription)</t>
        </is>
      </c>
    </row>
    <row r="157" ht="30" customHeight="1">
      <c r="A157" s="45" t="inlineStr">
        <is>
          <t>Subsector</t>
        </is>
      </c>
      <c r="B157" s="45" t="inlineStr">
        <is>
          <t>n</t>
        </is>
      </c>
      <c r="C157" s="45" t="inlineStr">
        <is>
          <t>Median day-1</t>
        </is>
      </c>
      <c r="D157" s="45" t="inlineStr">
        <is>
          <t>Hit-rate</t>
        </is>
      </c>
      <c r="E157" s="45" t="inlineStr">
        <is>
          <t>Median P/E</t>
        </is>
      </c>
      <c r="F157" s="45" t="inlineStr">
        <is>
          <t>Median P/S</t>
        </is>
      </c>
      <c r="G157" s="45" t="inlineStr">
        <is>
          <t>n P/E</t>
        </is>
      </c>
      <c r="H157" s="45" t="inlineStr">
        <is>
          <t>n P/S</t>
        </is>
      </c>
    </row>
    <row r="158">
      <c r="A158" s="51" t="inlineStr">
        <is>
          <t>AI application / agent software</t>
        </is>
      </c>
      <c r="B158" s="243" t="n">
        <v>17</v>
      </c>
      <c r="C158" s="250" t="n">
        <v>44.6</v>
      </c>
      <c r="D158" s="245" t="n">
        <v>82</v>
      </c>
      <c r="E158" s="251" t="n">
        <v>57.8</v>
      </c>
      <c r="F158" s="251" t="n">
        <v>14.1</v>
      </c>
      <c r="G158" s="243" t="n">
        <v>3</v>
      </c>
      <c r="H158" s="243" t="n">
        <v>15</v>
      </c>
    </row>
    <row r="159">
      <c r="A159" s="51" t="inlineStr">
        <is>
          <t>Analog / power semiconductors</t>
        </is>
      </c>
      <c r="B159" s="243" t="n">
        <v>6</v>
      </c>
      <c r="C159" s="250" t="n">
        <v>2.8</v>
      </c>
      <c r="D159" s="245" t="n">
        <v>67</v>
      </c>
      <c r="E159" s="251" t="n">
        <v>83.7</v>
      </c>
      <c r="F159" s="251" t="n">
        <v>16.6</v>
      </c>
      <c r="G159" s="243" t="n">
        <v>3</v>
      </c>
      <c r="H159" s="243" t="n">
        <v>6</v>
      </c>
    </row>
    <row r="160">
      <c r="A160" s="51" t="inlineStr">
        <is>
          <t>Apparel / luxury</t>
        </is>
      </c>
      <c r="B160" s="243" t="n">
        <v>6</v>
      </c>
      <c r="C160" s="250" t="n">
        <v>16.2</v>
      </c>
      <c r="D160" s="245" t="n">
        <v>67</v>
      </c>
      <c r="E160" s="251" t="n">
        <v>16.2</v>
      </c>
      <c r="F160" s="251" t="n">
        <v>1.2</v>
      </c>
      <c r="G160" s="243" t="n">
        <v>6</v>
      </c>
      <c r="H160" s="243" t="n">
        <v>4</v>
      </c>
    </row>
    <row r="161">
      <c r="A161" s="51" t="inlineStr">
        <is>
          <t>Auto parts / supply chain</t>
        </is>
      </c>
      <c r="B161" s="243" t="n">
        <v>9</v>
      </c>
      <c r="C161" s="250" t="n">
        <v>2.1</v>
      </c>
      <c r="D161" s="245" t="n">
        <v>56</v>
      </c>
      <c r="E161" s="251" t="n">
        <v>18.3</v>
      </c>
      <c r="F161" s="251" t="n">
        <v>3</v>
      </c>
      <c r="G161" s="243" t="n">
        <v>5</v>
      </c>
      <c r="H161" s="243" t="n">
        <v>9</v>
      </c>
    </row>
    <row r="162">
      <c r="A162" s="51" t="inlineStr">
        <is>
          <t>Autos (NEV OEM)</t>
        </is>
      </c>
      <c r="B162" s="243" t="n">
        <v>6</v>
      </c>
      <c r="C162" s="250" t="n">
        <v>0</v>
      </c>
      <c r="D162" s="245" t="n">
        <v>33</v>
      </c>
      <c r="E162" s="251" t="n">
        <v>18.1</v>
      </c>
      <c r="F162" s="251" t="n">
        <v>1.4</v>
      </c>
      <c r="G162" s="243" t="n">
        <v>2</v>
      </c>
      <c r="H162" s="243" t="n">
        <v>5</v>
      </c>
    </row>
    <row r="163">
      <c r="A163" s="51" t="inlineStr">
        <is>
          <t>Banks</t>
        </is>
      </c>
      <c r="B163" s="243" t="n">
        <v>2</v>
      </c>
      <c r="C163" s="250" t="n">
        <v>2.5</v>
      </c>
      <c r="D163" s="245" t="n">
        <v>100</v>
      </c>
      <c r="E163" s="251" t="n">
        <v>20.1</v>
      </c>
      <c r="F163" s="251" t="n">
        <v>4.4</v>
      </c>
      <c r="G163" s="243" t="n">
        <v>1</v>
      </c>
      <c r="H163" s="243" t="n">
        <v>1</v>
      </c>
    </row>
    <row r="164">
      <c r="A164" s="51" t="inlineStr">
        <is>
          <t>Batteries / energy storage</t>
        </is>
      </c>
      <c r="B164" s="243" t="n">
        <v>13</v>
      </c>
      <c r="C164" s="250" t="n">
        <v>1.4</v>
      </c>
      <c r="D164" s="245" t="n">
        <v>69</v>
      </c>
      <c r="E164" s="251" t="n">
        <v>19.8</v>
      </c>
      <c r="F164" s="251" t="n">
        <v>4.5</v>
      </c>
      <c r="G164" s="243" t="n">
        <v>5</v>
      </c>
      <c r="H164" s="243" t="n">
        <v>13</v>
      </c>
    </row>
    <row r="165">
      <c r="A165" s="51" t="inlineStr">
        <is>
          <t>Beauty / personal care</t>
        </is>
      </c>
      <c r="B165" s="243" t="n">
        <v>7</v>
      </c>
      <c r="C165" s="250" t="n">
        <v>9.300000000000001</v>
      </c>
      <c r="D165" s="245" t="n">
        <v>57</v>
      </c>
      <c r="E165" s="251" t="n">
        <v>21.3</v>
      </c>
      <c r="F165" s="251" t="n">
        <v>4.4</v>
      </c>
      <c r="G165" s="243" t="n">
        <v>6</v>
      </c>
      <c r="H165" s="243" t="n">
        <v>7</v>
      </c>
    </row>
    <row r="166">
      <c r="A166" s="51" t="inlineStr">
        <is>
          <t>Beverages / packaged food</t>
        </is>
      </c>
      <c r="B166" s="243" t="n">
        <v>25</v>
      </c>
      <c r="C166" s="250" t="n">
        <v>1.5</v>
      </c>
      <c r="D166" s="245" t="n">
        <v>56</v>
      </c>
      <c r="E166" s="251" t="n">
        <v>18.1</v>
      </c>
      <c r="F166" s="251" t="n">
        <v>2.3</v>
      </c>
      <c r="G166" s="243" t="n">
        <v>24</v>
      </c>
      <c r="H166" s="243" t="n">
        <v>25</v>
      </c>
    </row>
    <row r="167">
      <c r="A167" s="51" t="inlineStr">
        <is>
          <t>Biopharma commercial</t>
        </is>
      </c>
      <c r="B167" s="243" t="n">
        <v>9</v>
      </c>
      <c r="C167" s="250" t="n">
        <v>25.2</v>
      </c>
      <c r="D167" s="245" t="n">
        <v>78</v>
      </c>
      <c r="E167" s="251" t="n">
        <v>28.6</v>
      </c>
      <c r="F167" s="251" t="n">
        <v>11.3</v>
      </c>
      <c r="G167" s="243" t="n">
        <v>6</v>
      </c>
      <c r="H167" s="243" t="n">
        <v>9</v>
      </c>
    </row>
    <row r="168">
      <c r="A168" s="51" t="inlineStr">
        <is>
          <t>Biotech pre-revenue (18A)</t>
        </is>
      </c>
      <c r="B168" s="243" t="n">
        <v>49</v>
      </c>
      <c r="C168" s="250" t="n">
        <v>7.7</v>
      </c>
      <c r="D168" s="245" t="n">
        <v>69</v>
      </c>
      <c r="E168" s="252" t="n"/>
      <c r="F168" s="251" t="n">
        <v>25.7</v>
      </c>
      <c r="G168" s="243" t="n">
        <v>0</v>
      </c>
      <c r="H168" s="243" t="n">
        <v>9</v>
      </c>
    </row>
    <row r="169">
      <c r="A169" s="51" t="inlineStr">
        <is>
          <t>Brokers / asset management</t>
        </is>
      </c>
      <c r="B169" s="243" t="n">
        <v>4</v>
      </c>
      <c r="C169" s="250" t="n">
        <v>-14.3</v>
      </c>
      <c r="D169" s="245" t="n">
        <v>25</v>
      </c>
      <c r="E169" s="251" t="n">
        <v>20.8</v>
      </c>
      <c r="F169" s="251" t="n">
        <v>5</v>
      </c>
      <c r="G169" s="243" t="n">
        <v>3</v>
      </c>
      <c r="H169" s="243" t="n">
        <v>3</v>
      </c>
    </row>
    <row r="170">
      <c r="A170" s="51" t="inlineStr">
        <is>
          <t>CXO / pharma services</t>
        </is>
      </c>
      <c r="B170" s="243" t="n">
        <v>9</v>
      </c>
      <c r="C170" s="250" t="n">
        <v>0.7</v>
      </c>
      <c r="D170" s="245" t="n">
        <v>56</v>
      </c>
      <c r="E170" s="251" t="n">
        <v>66.7</v>
      </c>
      <c r="F170" s="251" t="n">
        <v>12.4</v>
      </c>
      <c r="G170" s="243" t="n">
        <v>7</v>
      </c>
      <c r="H170" s="243" t="n">
        <v>8</v>
      </c>
    </row>
    <row r="171">
      <c r="A171" s="51" t="inlineStr">
        <is>
          <t>Capital goods / machinery</t>
        </is>
      </c>
      <c r="B171" s="243" t="n">
        <v>18</v>
      </c>
      <c r="C171" s="250" t="n">
        <v>1.9</v>
      </c>
      <c r="D171" s="245" t="n">
        <v>61</v>
      </c>
      <c r="E171" s="251" t="n">
        <v>27.5</v>
      </c>
      <c r="F171" s="251" t="n">
        <v>5.9</v>
      </c>
      <c r="G171" s="243" t="n">
        <v>13</v>
      </c>
      <c r="H171" s="243" t="n">
        <v>17</v>
      </c>
    </row>
    <row r="172">
      <c r="A172" s="51" t="inlineStr">
        <is>
          <t>Chemicals</t>
        </is>
      </c>
      <c r="B172" s="243" t="n">
        <v>15</v>
      </c>
      <c r="C172" s="250" t="n">
        <v>0</v>
      </c>
      <c r="D172" s="245" t="n">
        <v>47</v>
      </c>
      <c r="E172" s="251" t="n">
        <v>9.4</v>
      </c>
      <c r="F172" s="251" t="n">
        <v>1.3</v>
      </c>
      <c r="G172" s="243" t="n">
        <v>13</v>
      </c>
      <c r="H172" s="243" t="n">
        <v>15</v>
      </c>
    </row>
    <row r="173">
      <c r="A173" s="51" t="inlineStr">
        <is>
          <t>Compute / AI semiconductors</t>
        </is>
      </c>
      <c r="B173" s="243" t="n">
        <v>5</v>
      </c>
      <c r="C173" s="250" t="n">
        <v>2.8</v>
      </c>
      <c r="D173" s="245" t="n">
        <v>60</v>
      </c>
      <c r="E173" s="252" t="n"/>
      <c r="F173" s="251" t="n">
        <v>31.9</v>
      </c>
      <c r="G173" s="243" t="n">
        <v>0</v>
      </c>
      <c r="H173" s="243" t="n">
        <v>3</v>
      </c>
    </row>
    <row r="174">
      <c r="A174" s="51" t="inlineStr">
        <is>
          <t>Construction / engineering</t>
        </is>
      </c>
      <c r="B174" s="243" t="n">
        <v>16</v>
      </c>
      <c r="C174" s="250" t="n">
        <v>-7.5</v>
      </c>
      <c r="D174" s="245" t="n">
        <v>44</v>
      </c>
      <c r="E174" s="251" t="n">
        <v>12.2</v>
      </c>
      <c r="F174" s="251" t="n">
        <v>1.4</v>
      </c>
      <c r="G174" s="243" t="n">
        <v>15</v>
      </c>
      <c r="H174" s="243" t="n">
        <v>14</v>
      </c>
    </row>
    <row r="175">
      <c r="A175" s="51" t="inlineStr">
        <is>
          <t>Consumer services / education</t>
        </is>
      </c>
      <c r="B175" s="243" t="n">
        <v>4</v>
      </c>
      <c r="C175" s="250" t="n">
        <v>6.1</v>
      </c>
      <c r="D175" s="245" t="n">
        <v>50</v>
      </c>
      <c r="E175" s="251" t="n">
        <v>13.7</v>
      </c>
      <c r="F175" s="251" t="n">
        <v>5.3</v>
      </c>
      <c r="G175" s="243" t="n">
        <v>3</v>
      </c>
      <c r="H175" s="243" t="n">
        <v>4</v>
      </c>
    </row>
    <row r="176">
      <c r="A176" s="51" t="inlineStr">
        <is>
          <t>Data center / cloud infra</t>
        </is>
      </c>
      <c r="B176" s="243" t="n">
        <v>2</v>
      </c>
      <c r="C176" s="250" t="n">
        <v>-37.1</v>
      </c>
      <c r="D176" s="245" t="n">
        <v>0</v>
      </c>
      <c r="E176" s="251" t="n">
        <v>135.6</v>
      </c>
      <c r="F176" s="251" t="n">
        <v>3.2</v>
      </c>
      <c r="G176" s="243" t="n">
        <v>1</v>
      </c>
      <c r="H176" s="243" t="n">
        <v>2</v>
      </c>
    </row>
    <row r="177">
      <c r="A177" s="51" t="inlineStr">
        <is>
          <t>Developers</t>
        </is>
      </c>
      <c r="B177" s="243" t="n">
        <v>1</v>
      </c>
      <c r="C177" s="250" t="n">
        <v>0</v>
      </c>
      <c r="D177" s="245" t="n">
        <v>0</v>
      </c>
      <c r="E177" s="251" t="n">
        <v>6.9</v>
      </c>
      <c r="F177" s="251" t="n">
        <v>0.6</v>
      </c>
      <c r="G177" s="243" t="n">
        <v>1</v>
      </c>
      <c r="H177" s="243" t="n">
        <v>1</v>
      </c>
    </row>
    <row r="178">
      <c r="A178" s="51" t="inlineStr">
        <is>
          <t>Digital health</t>
        </is>
      </c>
      <c r="B178" s="243" t="n">
        <v>17</v>
      </c>
      <c r="C178" s="250" t="n">
        <v>5.5</v>
      </c>
      <c r="D178" s="245" t="n">
        <v>59</v>
      </c>
      <c r="E178" s="251" t="n">
        <v>43.7</v>
      </c>
      <c r="F178" s="251" t="n">
        <v>5.9</v>
      </c>
      <c r="G178" s="243" t="n">
        <v>5</v>
      </c>
      <c r="H178" s="243" t="n">
        <v>13</v>
      </c>
    </row>
    <row r="179">
      <c r="A179" s="51" t="inlineStr">
        <is>
          <t>F&amp;B chains / restaurants</t>
        </is>
      </c>
      <c r="B179" s="243" t="n">
        <v>10</v>
      </c>
      <c r="C179" s="250" t="n">
        <v>-3.3</v>
      </c>
      <c r="D179" s="245" t="n">
        <v>40</v>
      </c>
      <c r="E179" s="251" t="n">
        <v>20.4</v>
      </c>
      <c r="F179" s="251" t="n">
        <v>3.1</v>
      </c>
      <c r="G179" s="243" t="n">
        <v>7</v>
      </c>
      <c r="H179" s="243" t="n">
        <v>10</v>
      </c>
    </row>
    <row r="180">
      <c r="A180" s="51" t="inlineStr">
        <is>
          <t>Fintech platform</t>
        </is>
      </c>
      <c r="B180" s="243" t="n">
        <v>7</v>
      </c>
      <c r="C180" s="250" t="n">
        <v>-0.6</v>
      </c>
      <c r="D180" s="245" t="n">
        <v>29</v>
      </c>
      <c r="E180" s="251" t="n">
        <v>8.9</v>
      </c>
      <c r="F180" s="251" t="n">
        <v>7.7</v>
      </c>
      <c r="G180" s="243" t="n">
        <v>2</v>
      </c>
      <c r="H180" s="243" t="n">
        <v>6</v>
      </c>
    </row>
    <row r="181">
      <c r="A181" s="51" t="inlineStr">
        <is>
          <t>Hospitals / clinics</t>
        </is>
      </c>
      <c r="B181" s="243" t="n">
        <v>9</v>
      </c>
      <c r="C181" s="250" t="n">
        <v>0.1</v>
      </c>
      <c r="D181" s="245" t="n">
        <v>56</v>
      </c>
      <c r="E181" s="251" t="n">
        <v>42.5</v>
      </c>
      <c r="F181" s="251" t="n">
        <v>4.8</v>
      </c>
      <c r="G181" s="243" t="n">
        <v>6</v>
      </c>
      <c r="H181" s="243" t="n">
        <v>9</v>
      </c>
    </row>
    <row r="182">
      <c r="A182" s="51" t="inlineStr">
        <is>
          <t>Image / display semiconductors</t>
        </is>
      </c>
      <c r="B182" s="243" t="n">
        <v>4</v>
      </c>
      <c r="C182" s="250" t="n">
        <v>61.6</v>
      </c>
      <c r="D182" s="245" t="n">
        <v>100</v>
      </c>
      <c r="E182" s="251" t="n">
        <v>25.9</v>
      </c>
      <c r="F182" s="251" t="n">
        <v>6</v>
      </c>
      <c r="G182" s="243" t="n">
        <v>3</v>
      </c>
      <c r="H182" s="243" t="n">
        <v>4</v>
      </c>
    </row>
    <row r="183">
      <c r="A183" s="51" t="inlineStr">
        <is>
          <t>Insurance</t>
        </is>
      </c>
      <c r="B183" s="243" t="n">
        <v>7</v>
      </c>
      <c r="C183" s="250" t="n">
        <v>4.7</v>
      </c>
      <c r="D183" s="245" t="n">
        <v>71</v>
      </c>
      <c r="E183" s="251" t="n">
        <v>17.4</v>
      </c>
      <c r="F183" s="251" t="n">
        <v>3</v>
      </c>
      <c r="G183" s="243" t="n">
        <v>3</v>
      </c>
      <c r="H183" s="243" t="n">
        <v>6</v>
      </c>
    </row>
    <row r="184">
      <c r="A184" s="51" t="inlineStr">
        <is>
          <t>Internet platform / e-commerce</t>
        </is>
      </c>
      <c r="B184" s="243" t="n">
        <v>23</v>
      </c>
      <c r="C184" s="250" t="n">
        <v>0.3</v>
      </c>
      <c r="D184" s="245" t="n">
        <v>52</v>
      </c>
      <c r="E184" s="251" t="n">
        <v>30</v>
      </c>
      <c r="F184" s="251" t="n">
        <v>3.8</v>
      </c>
      <c r="G184" s="243" t="n">
        <v>12</v>
      </c>
      <c r="H184" s="243" t="n">
        <v>20</v>
      </c>
    </row>
    <row r="185">
      <c r="A185" s="51" t="inlineStr">
        <is>
          <t>LLM / foundation model</t>
        </is>
      </c>
      <c r="B185" s="243" t="n">
        <v>2</v>
      </c>
      <c r="C185" s="250" t="n">
        <v>61.1</v>
      </c>
      <c r="D185" s="245" t="n">
        <v>100</v>
      </c>
      <c r="E185" s="252" t="n"/>
      <c r="F185" s="252" t="n"/>
      <c r="G185" s="243" t="n">
        <v>0</v>
      </c>
      <c r="H185" s="243" t="n">
        <v>0</v>
      </c>
    </row>
    <row r="186">
      <c r="A186" s="51" t="inlineStr">
        <is>
          <t>Logistics</t>
        </is>
      </c>
      <c r="B186" s="243" t="n">
        <v>15</v>
      </c>
      <c r="C186" s="250" t="n">
        <v>-0.6</v>
      </c>
      <c r="D186" s="245" t="n">
        <v>27</v>
      </c>
      <c r="E186" s="251" t="n">
        <v>14.3</v>
      </c>
      <c r="F186" s="251" t="n">
        <v>1.1</v>
      </c>
      <c r="G186" s="243" t="n">
        <v>10</v>
      </c>
      <c r="H186" s="243" t="n">
        <v>15</v>
      </c>
    </row>
    <row r="187">
      <c r="A187" s="51" t="inlineStr">
        <is>
          <t>Media / advertising</t>
        </is>
      </c>
      <c r="B187" s="243" t="n">
        <v>19</v>
      </c>
      <c r="C187" s="250" t="n">
        <v>16.6</v>
      </c>
      <c r="D187" s="245" t="n">
        <v>63</v>
      </c>
      <c r="E187" s="251" t="n">
        <v>27.8</v>
      </c>
      <c r="F187" s="251" t="n">
        <v>4.3</v>
      </c>
      <c r="G187" s="243" t="n">
        <v>17</v>
      </c>
      <c r="H187" s="243" t="n">
        <v>18</v>
      </c>
    </row>
    <row r="188">
      <c r="A188" s="51" t="inlineStr">
        <is>
          <t>Medical devices</t>
        </is>
      </c>
      <c r="B188" s="243" t="n">
        <v>26</v>
      </c>
      <c r="C188" s="250" t="n">
        <v>1.4</v>
      </c>
      <c r="D188" s="245" t="n">
        <v>54</v>
      </c>
      <c r="E188" s="251" t="n">
        <v>147.8</v>
      </c>
      <c r="F188" s="251" t="n">
        <v>10.1</v>
      </c>
      <c r="G188" s="243" t="n">
        <v>6</v>
      </c>
      <c r="H188" s="243" t="n">
        <v>10</v>
      </c>
    </row>
    <row r="189">
      <c r="A189" s="51" t="inlineStr">
        <is>
          <t>Memory / interface semiconductors</t>
        </is>
      </c>
      <c r="B189" s="243" t="n">
        <v>2</v>
      </c>
      <c r="C189" s="250" t="n">
        <v>50.6</v>
      </c>
      <c r="D189" s="245" t="n">
        <v>100</v>
      </c>
      <c r="E189" s="251" t="n">
        <v>85.40000000000001</v>
      </c>
      <c r="F189" s="251" t="n">
        <v>21.2</v>
      </c>
      <c r="G189" s="243" t="n">
        <v>2</v>
      </c>
      <c r="H189" s="243" t="n">
        <v>2</v>
      </c>
    </row>
    <row r="190">
      <c r="A190" s="51" t="inlineStr">
        <is>
          <t>Mining / metals</t>
        </is>
      </c>
      <c r="B190" s="243" t="n">
        <v>13</v>
      </c>
      <c r="C190" s="250" t="n">
        <v>2.2</v>
      </c>
      <c r="D190" s="245" t="n">
        <v>62</v>
      </c>
      <c r="E190" s="251" t="n">
        <v>17.9</v>
      </c>
      <c r="F190" s="251" t="n">
        <v>2.7</v>
      </c>
      <c r="G190" s="243" t="n">
        <v>11</v>
      </c>
      <c r="H190" s="243" t="n">
        <v>12</v>
      </c>
    </row>
    <row r="191">
      <c r="A191" s="51" t="inlineStr">
        <is>
          <t>Oil &amp; gas / utilities</t>
        </is>
      </c>
      <c r="B191" s="243" t="n">
        <v>5</v>
      </c>
      <c r="C191" s="250" t="n">
        <v>0</v>
      </c>
      <c r="D191" s="245" t="n">
        <v>20</v>
      </c>
      <c r="E191" s="251" t="n">
        <v>9.300000000000001</v>
      </c>
      <c r="F191" s="251" t="n">
        <v>0.7</v>
      </c>
      <c r="G191" s="243" t="n">
        <v>5</v>
      </c>
      <c r="H191" s="243" t="n">
        <v>5</v>
      </c>
    </row>
    <row r="192">
      <c r="A192" s="51" t="inlineStr">
        <is>
          <t>Other / diversified semiconductors</t>
        </is>
      </c>
      <c r="B192" s="243" t="n">
        <v>5</v>
      </c>
      <c r="C192" s="250" t="n">
        <v>6.3</v>
      </c>
      <c r="D192" s="245" t="n">
        <v>80</v>
      </c>
      <c r="E192" s="251" t="n">
        <v>69.90000000000001</v>
      </c>
      <c r="F192" s="251" t="n">
        <v>9.9</v>
      </c>
      <c r="G192" s="243" t="n">
        <v>2</v>
      </c>
      <c r="H192" s="243" t="n">
        <v>5</v>
      </c>
    </row>
    <row r="193">
      <c r="A193" s="51" t="inlineStr">
        <is>
          <t>Property management</t>
        </is>
      </c>
      <c r="B193" s="243" t="n">
        <v>24</v>
      </c>
      <c r="C193" s="250" t="n">
        <v>0</v>
      </c>
      <c r="D193" s="245" t="n">
        <v>38</v>
      </c>
      <c r="E193" s="251" t="n">
        <v>16.1</v>
      </c>
      <c r="F193" s="251" t="n">
        <v>2.6</v>
      </c>
      <c r="G193" s="243" t="n">
        <v>23</v>
      </c>
      <c r="H193" s="243" t="n">
        <v>24</v>
      </c>
    </row>
    <row r="194">
      <c r="A194" s="51" t="inlineStr">
        <is>
          <t>REITs / asset-light</t>
        </is>
      </c>
      <c r="B194" s="243" t="n">
        <v>1</v>
      </c>
      <c r="C194" s="250" t="n">
        <v>-16.5</v>
      </c>
      <c r="D194" s="245" t="n">
        <v>0</v>
      </c>
      <c r="E194" s="251" t="n">
        <v>153.5</v>
      </c>
      <c r="F194" s="251" t="n">
        <v>14.8</v>
      </c>
      <c r="G194" s="243" t="n">
        <v>1</v>
      </c>
      <c r="H194" s="243" t="n">
        <v>1</v>
      </c>
    </row>
    <row r="195">
      <c r="A195" s="51" t="inlineStr">
        <is>
          <t>Retail / distribution</t>
        </is>
      </c>
      <c r="B195" s="243" t="n">
        <v>17</v>
      </c>
      <c r="C195" s="250" t="n">
        <v>25</v>
      </c>
      <c r="D195" s="245" t="n">
        <v>59</v>
      </c>
      <c r="E195" s="251" t="n">
        <v>20.3</v>
      </c>
      <c r="F195" s="251" t="n">
        <v>1.8</v>
      </c>
      <c r="G195" s="243" t="n">
        <v>12</v>
      </c>
      <c r="H195" s="243" t="n">
        <v>17</v>
      </c>
    </row>
    <row r="196">
      <c r="A196" s="51" t="inlineStr">
        <is>
          <t>Robotics &amp; autonomous driving</t>
        </is>
      </c>
      <c r="B196" s="243" t="n">
        <v>26</v>
      </c>
      <c r="C196" s="250" t="n">
        <v>4.8</v>
      </c>
      <c r="D196" s="245" t="n">
        <v>65</v>
      </c>
      <c r="E196" s="252" t="n"/>
      <c r="F196" s="251" t="n">
        <v>21.1</v>
      </c>
      <c r="G196" s="243" t="n">
        <v>0</v>
      </c>
      <c r="H196" s="243" t="n">
        <v>21</v>
      </c>
    </row>
    <row r="197">
      <c r="A197" s="51" t="inlineStr">
        <is>
          <t>SaaS / enterprise software</t>
        </is>
      </c>
      <c r="B197" s="243" t="n">
        <v>25</v>
      </c>
      <c r="C197" s="250" t="n">
        <v>2.6</v>
      </c>
      <c r="D197" s="245" t="n">
        <v>64</v>
      </c>
      <c r="E197" s="251" t="n">
        <v>29.6</v>
      </c>
      <c r="F197" s="251" t="n">
        <v>7.2</v>
      </c>
      <c r="G197" s="243" t="n">
        <v>11</v>
      </c>
      <c r="H197" s="243" t="n">
        <v>24</v>
      </c>
    </row>
    <row r="198">
      <c r="A198" s="51" t="inlineStr">
        <is>
          <t>Semiconductor equipment / materials</t>
        </is>
      </c>
      <c r="B198" s="243" t="n">
        <v>4</v>
      </c>
      <c r="C198" s="250" t="n">
        <v>20.7</v>
      </c>
      <c r="D198" s="245" t="n">
        <v>75</v>
      </c>
      <c r="E198" s="251" t="n">
        <v>100.9</v>
      </c>
      <c r="F198" s="251" t="n">
        <v>25.6</v>
      </c>
      <c r="G198" s="243" t="n">
        <v>3</v>
      </c>
      <c r="H198" s="243" t="n">
        <v>4</v>
      </c>
    </row>
    <row r="199">
      <c r="A199" s="51" t="inlineStr">
        <is>
          <t>Semiconductor foundry</t>
        </is>
      </c>
      <c r="B199" s="243" t="n">
        <v>1</v>
      </c>
      <c r="C199" s="250" t="n">
        <v>0</v>
      </c>
      <c r="D199" s="245" t="n">
        <v>0</v>
      </c>
      <c r="E199" s="251" t="n">
        <v>140.7</v>
      </c>
      <c r="F199" s="251" t="n">
        <v>6.3</v>
      </c>
      <c r="G199" s="243" t="n">
        <v>1</v>
      </c>
      <c r="H199" s="243" t="n">
        <v>1</v>
      </c>
    </row>
    <row r="200">
      <c r="A200" s="51" t="inlineStr">
        <is>
          <t>Smart hardware / consumer electronics</t>
        </is>
      </c>
      <c r="B200" s="243" t="n">
        <v>31</v>
      </c>
      <c r="C200" s="250" t="n">
        <v>7.8</v>
      </c>
      <c r="D200" s="245" t="n">
        <v>68</v>
      </c>
      <c r="E200" s="251" t="n">
        <v>29.9</v>
      </c>
      <c r="F200" s="251" t="n">
        <v>2.6</v>
      </c>
      <c r="G200" s="243" t="n">
        <v>27</v>
      </c>
      <c r="H200" s="243" t="n">
        <v>29</v>
      </c>
    </row>
    <row r="201">
      <c r="A201" s="51" t="inlineStr">
        <is>
          <t>Solar / wind supply chain</t>
        </is>
      </c>
      <c r="B201" s="243" t="n">
        <v>2</v>
      </c>
      <c r="C201" s="250" t="n">
        <v>10</v>
      </c>
      <c r="D201" s="245" t="n">
        <v>50</v>
      </c>
      <c r="E201" s="251" t="n">
        <v>53.3</v>
      </c>
      <c r="F201" s="251" t="n">
        <v>6.3</v>
      </c>
      <c r="G201" s="243" t="n">
        <v>1</v>
      </c>
      <c r="H201" s="243" t="n">
        <v>2</v>
      </c>
    </row>
    <row r="202">
      <c r="A202" s="51" t="inlineStr">
        <is>
          <t>TCM</t>
        </is>
      </c>
      <c r="B202" s="243" t="n">
        <v>4</v>
      </c>
      <c r="C202" s="250" t="n">
        <v>3.4</v>
      </c>
      <c r="D202" s="245" t="n">
        <v>50</v>
      </c>
      <c r="E202" s="251" t="n">
        <v>16</v>
      </c>
      <c r="F202" s="251" t="n">
        <v>2.7</v>
      </c>
      <c r="G202" s="243" t="n">
        <v>3</v>
      </c>
      <c r="H202" s="243" t="n">
        <v>4</v>
      </c>
    </row>
    <row r="203">
      <c r="A203" s="51" t="inlineStr">
        <is>
          <t>Telecom</t>
        </is>
      </c>
      <c r="B203" s="243" t="n">
        <v>2</v>
      </c>
      <c r="C203" s="250" t="n">
        <v>-28.8</v>
      </c>
      <c r="D203" s="245" t="n">
        <v>0</v>
      </c>
      <c r="E203" s="251" t="n">
        <v>10.6</v>
      </c>
      <c r="F203" s="251" t="n">
        <v>5.1</v>
      </c>
      <c r="G203" s="243" t="n">
        <v>1</v>
      </c>
      <c r="H203" s="243" t="n">
        <v>2</v>
      </c>
    </row>
    <row r="204"/>
    <row r="205">
      <c r="A205" s="241" t="inlineStr">
        <is>
          <t>BY YEAR x SUBSCRIPTION</t>
        </is>
      </c>
    </row>
    <row r="206" ht="30" customHeight="1">
      <c r="A206" s="45" t="inlineStr">
        <is>
          <t>Year</t>
        </is>
      </c>
      <c r="B206" s="45" t="inlineStr">
        <is>
          <t>Subscription</t>
        </is>
      </c>
      <c r="C206" s="45" t="inlineStr">
        <is>
          <t>n</t>
        </is>
      </c>
      <c r="D206" s="45" t="inlineStr">
        <is>
          <t>Median day-1</t>
        </is>
      </c>
      <c r="E206" s="45" t="inlineStr">
        <is>
          <t>Hit-rate</t>
        </is>
      </c>
    </row>
    <row r="207">
      <c r="A207" s="51" t="inlineStr">
        <is>
          <t>2021</t>
        </is>
      </c>
      <c r="B207" s="51" t="inlineStr">
        <is>
          <t>10-100x</t>
        </is>
      </c>
      <c r="C207" s="243" t="n">
        <v>25</v>
      </c>
      <c r="D207" s="250" t="n">
        <v>2.1</v>
      </c>
      <c r="E207" s="245" t="n">
        <v>52</v>
      </c>
    </row>
    <row r="208">
      <c r="A208" s="51" t="inlineStr">
        <is>
          <t>2021</t>
        </is>
      </c>
      <c r="B208" s="51" t="inlineStr">
        <is>
          <t>100-1000x</t>
        </is>
      </c>
      <c r="C208" s="243" t="n">
        <v>26</v>
      </c>
      <c r="D208" s="250" t="n">
        <v>0.6</v>
      </c>
      <c r="E208" s="245" t="n">
        <v>50</v>
      </c>
    </row>
    <row r="209">
      <c r="A209" s="51" t="inlineStr">
        <is>
          <t>2021</t>
        </is>
      </c>
      <c r="B209" s="51" t="inlineStr">
        <is>
          <t>&lt;10x</t>
        </is>
      </c>
      <c r="C209" s="243" t="n">
        <v>36</v>
      </c>
      <c r="D209" s="250" t="n">
        <v>-0.4</v>
      </c>
      <c r="E209" s="245" t="n">
        <v>28</v>
      </c>
    </row>
    <row r="210">
      <c r="A210" s="51" t="inlineStr">
        <is>
          <t>2021</t>
        </is>
      </c>
      <c r="B210" s="51" t="inlineStr">
        <is>
          <t>&gt;=1000x</t>
        </is>
      </c>
      <c r="C210" s="243" t="n">
        <v>5</v>
      </c>
      <c r="D210" s="250" t="n">
        <v>131.8</v>
      </c>
      <c r="E210" s="245" t="n">
        <v>100</v>
      </c>
    </row>
    <row r="211">
      <c r="A211" s="51" t="inlineStr">
        <is>
          <t>2022</t>
        </is>
      </c>
      <c r="B211" s="51" t="inlineStr">
        <is>
          <t>10-100x</t>
        </is>
      </c>
      <c r="C211" s="243" t="n">
        <v>17</v>
      </c>
      <c r="D211" s="250" t="n">
        <v>0.6</v>
      </c>
      <c r="E211" s="245" t="n">
        <v>53</v>
      </c>
    </row>
    <row r="212">
      <c r="A212" s="51" t="inlineStr">
        <is>
          <t>2022</t>
        </is>
      </c>
      <c r="B212" s="51" t="inlineStr">
        <is>
          <t>100-1000x</t>
        </is>
      </c>
      <c r="C212" s="243" t="n">
        <v>1</v>
      </c>
      <c r="D212" s="250" t="n">
        <v>-27.1</v>
      </c>
      <c r="E212" s="245" t="n">
        <v>0</v>
      </c>
    </row>
    <row r="213">
      <c r="A213" s="51" t="inlineStr">
        <is>
          <t>2022</t>
        </is>
      </c>
      <c r="B213" s="51" t="inlineStr">
        <is>
          <t>&lt;10x</t>
        </is>
      </c>
      <c r="C213" s="243" t="n">
        <v>54</v>
      </c>
      <c r="D213" s="250" t="n">
        <v>0</v>
      </c>
      <c r="E213" s="245" t="n">
        <v>31</v>
      </c>
    </row>
    <row r="214">
      <c r="A214" s="51" t="inlineStr">
        <is>
          <t>2023</t>
        </is>
      </c>
      <c r="B214" s="51" t="inlineStr">
        <is>
          <t>10-100x</t>
        </is>
      </c>
      <c r="C214" s="243" t="n">
        <v>26</v>
      </c>
      <c r="D214" s="250" t="n">
        <v>6.2</v>
      </c>
      <c r="E214" s="245" t="n">
        <v>62</v>
      </c>
    </row>
    <row r="215">
      <c r="A215" s="51" t="inlineStr">
        <is>
          <t>2023</t>
        </is>
      </c>
      <c r="B215" s="51" t="inlineStr">
        <is>
          <t>100-1000x</t>
        </is>
      </c>
      <c r="C215" s="243" t="n">
        <v>1</v>
      </c>
      <c r="D215" s="250" t="n">
        <v>0</v>
      </c>
      <c r="E215" s="245" t="n">
        <v>0</v>
      </c>
    </row>
    <row r="216">
      <c r="A216" s="51" t="inlineStr">
        <is>
          <t>2023</t>
        </is>
      </c>
      <c r="B216" s="51" t="inlineStr">
        <is>
          <t>&lt;10x</t>
        </is>
      </c>
      <c r="C216" s="243" t="n">
        <v>41</v>
      </c>
      <c r="D216" s="250" t="n">
        <v>0.3</v>
      </c>
      <c r="E216" s="245" t="n">
        <v>51</v>
      </c>
    </row>
    <row r="217">
      <c r="A217" s="51" t="inlineStr">
        <is>
          <t>2024</t>
        </is>
      </c>
      <c r="B217" s="51" t="inlineStr">
        <is>
          <t>10-100x</t>
        </is>
      </c>
      <c r="C217" s="243" t="n">
        <v>23</v>
      </c>
      <c r="D217" s="250" t="n">
        <v>7.5</v>
      </c>
      <c r="E217" s="245" t="n">
        <v>65</v>
      </c>
    </row>
    <row r="218">
      <c r="A218" s="51" t="inlineStr">
        <is>
          <t>2024</t>
        </is>
      </c>
      <c r="B218" s="51" t="inlineStr">
        <is>
          <t>100-1000x</t>
        </is>
      </c>
      <c r="C218" s="243" t="n">
        <v>20</v>
      </c>
      <c r="D218" s="250" t="n">
        <v>5</v>
      </c>
      <c r="E218" s="245" t="n">
        <v>55</v>
      </c>
    </row>
    <row r="219">
      <c r="A219" s="51" t="inlineStr">
        <is>
          <t>2024</t>
        </is>
      </c>
      <c r="B219" s="51" t="inlineStr">
        <is>
          <t>&lt;10x</t>
        </is>
      </c>
      <c r="C219" s="243" t="n">
        <v>21</v>
      </c>
      <c r="D219" s="250" t="n">
        <v>0.2</v>
      </c>
      <c r="E219" s="245" t="n">
        <v>57</v>
      </c>
    </row>
    <row r="220">
      <c r="A220" s="51" t="inlineStr">
        <is>
          <t>2024</t>
        </is>
      </c>
      <c r="B220" s="51" t="inlineStr">
        <is>
          <t>&gt;=1000x</t>
        </is>
      </c>
      <c r="C220" s="243" t="n">
        <v>3</v>
      </c>
      <c r="D220" s="250" t="n">
        <v>47.6</v>
      </c>
      <c r="E220" s="245" t="n">
        <v>100</v>
      </c>
    </row>
    <row r="221">
      <c r="A221" s="51" t="inlineStr">
        <is>
          <t>2025</t>
        </is>
      </c>
      <c r="B221" s="51" t="inlineStr">
        <is>
          <t>10-100x</t>
        </is>
      </c>
      <c r="C221" s="243" t="n">
        <v>24</v>
      </c>
      <c r="D221" s="250" t="n">
        <v>0</v>
      </c>
      <c r="E221" s="245" t="n">
        <v>42</v>
      </c>
    </row>
    <row r="222">
      <c r="A222" s="51" t="inlineStr">
        <is>
          <t>2025</t>
        </is>
      </c>
      <c r="B222" s="51" t="inlineStr">
        <is>
          <t>100-1000x</t>
        </is>
      </c>
      <c r="C222" s="243" t="n">
        <v>40</v>
      </c>
      <c r="D222" s="250" t="n">
        <v>6.5</v>
      </c>
      <c r="E222" s="245" t="n">
        <v>65</v>
      </c>
    </row>
    <row r="223">
      <c r="A223" s="51" t="inlineStr">
        <is>
          <t>2025</t>
        </is>
      </c>
      <c r="B223" s="51" t="inlineStr">
        <is>
          <t>&lt;10x</t>
        </is>
      </c>
      <c r="C223" s="243" t="n">
        <v>9</v>
      </c>
      <c r="D223" s="250" t="n">
        <v>0.8</v>
      </c>
      <c r="E223" s="245" t="n">
        <v>56</v>
      </c>
    </row>
    <row r="224">
      <c r="A224" s="51" t="inlineStr">
        <is>
          <t>2025</t>
        </is>
      </c>
      <c r="B224" s="51" t="inlineStr">
        <is>
          <t>&gt;=1000x</t>
        </is>
      </c>
      <c r="C224" s="243" t="n">
        <v>39</v>
      </c>
      <c r="D224" s="250" t="n">
        <v>78.7</v>
      </c>
      <c r="E224" s="245" t="n">
        <v>92</v>
      </c>
    </row>
    <row r="225">
      <c r="A225" s="51" t="inlineStr">
        <is>
          <t>2026</t>
        </is>
      </c>
      <c r="B225" s="51" t="inlineStr">
        <is>
          <t>10-100x</t>
        </is>
      </c>
      <c r="C225" s="243" t="n">
        <v>13</v>
      </c>
      <c r="D225" s="250" t="n">
        <v>-1</v>
      </c>
      <c r="E225" s="245" t="n">
        <v>38</v>
      </c>
    </row>
    <row r="226">
      <c r="A226" s="51" t="inlineStr">
        <is>
          <t>2026</t>
        </is>
      </c>
      <c r="B226" s="51" t="inlineStr">
        <is>
          <t>100-1000x</t>
        </is>
      </c>
      <c r="C226" s="243" t="n">
        <v>33</v>
      </c>
      <c r="D226" s="250" t="n">
        <v>4.2</v>
      </c>
      <c r="E226" s="245" t="n">
        <v>61</v>
      </c>
    </row>
    <row r="227">
      <c r="A227" s="51" t="inlineStr">
        <is>
          <t>2026</t>
        </is>
      </c>
      <c r="B227" s="51" t="inlineStr">
        <is>
          <t>&lt;10x</t>
        </is>
      </c>
      <c r="C227" s="243" t="n">
        <v>8</v>
      </c>
      <c r="D227" s="250" t="n">
        <v>-0.8</v>
      </c>
      <c r="E227" s="245" t="n">
        <v>38</v>
      </c>
    </row>
    <row r="228">
      <c r="A228" s="51" t="inlineStr">
        <is>
          <t>2026</t>
        </is>
      </c>
      <c r="B228" s="51" t="inlineStr">
        <is>
          <t>&gt;=1000x</t>
        </is>
      </c>
      <c r="C228" s="243" t="n">
        <v>59</v>
      </c>
      <c r="D228" s="250" t="n">
        <v>76.2</v>
      </c>
      <c r="E228" s="245" t="n">
        <v>90</v>
      </c>
    </row>
  </sheetData>
  <mergeCells count="1">
    <mergeCell ref="A2:H2"/>
  </mergeCells>
  <printOptions horizontalCentered="1"/>
  <pageMargins left="0.75" right="0.75" top="1" bottom="1" header="0.5" footer="0.5"/>
  <pageSetup orientation="landscape" paperSize="8" fitToHeight="0" fitToWidth="1"/>
</worksheet>
</file>

<file path=xl/worksheets/sheet9.xml><?xml version="1.0" encoding="utf-8"?>
<worksheet xmlns="http://schemas.openxmlformats.org/spreadsheetml/2006/main">
  <sheetPr>
    <tabColor rgb="00BFBFBF"/>
    <outlinePr summaryBelow="1" summaryRight="1"/>
    <pageSetUpPr fitToPage="1"/>
  </sheetPr>
  <dimension ref="A1:J50"/>
  <sheetViews>
    <sheetView showGridLines="0" zoomScale="95" workbookViewId="0">
      <pane xSplit="2" ySplit="3" topLeftCell="C4" activePane="bottomRight" state="frozen"/>
      <selection pane="topRight"/>
      <selection pane="bottomLeft"/>
      <selection pane="bottomRight" activeCell="A1" sqref="A1"/>
    </sheetView>
  </sheetViews>
  <sheetFormatPr baseColWidth="8" defaultRowHeight="15"/>
  <cols>
    <col width="18" customWidth="1" min="1" max="1"/>
    <col width="38" customWidth="1" min="2" max="2"/>
    <col width="68" customWidth="1" min="3" max="3"/>
    <col width="32" customWidth="1" min="4" max="4"/>
    <col width="12" customWidth="1" min="5" max="5"/>
    <col hidden="1" width="13" customWidth="1" min="10" max="10"/>
  </cols>
  <sheetData>
    <row r="1" ht="30" customHeight="1">
      <c r="A1" s="35" t="inlineStr">
        <is>
          <t>SECTOR / SUBSECTOR TAXONOMY</t>
        </is>
      </c>
    </row>
    <row r="2" ht="34" customHeight="1">
      <c r="A2" s="36" t="inlineStr">
        <is>
          <t>Product and business model define peers. Listing regime (18A/18C), A/H status and profitability are separate attributes; all classifications are analyst judgments.</t>
        </is>
      </c>
    </row>
    <row r="3" ht="38" customHeight="1">
      <c r="A3" s="45" t="inlineStr">
        <is>
          <t>Sector</t>
        </is>
      </c>
      <c r="B3" s="45" t="inlineStr">
        <is>
          <t>Subsector</t>
        </is>
      </c>
      <c r="C3" s="45" t="inlineStr">
        <is>
          <t>Peer boundary / what to compare</t>
        </is>
      </c>
      <c r="D3" s="45" t="inlineStr">
        <is>
          <t>Return benchmark</t>
        </is>
      </c>
      <c r="E3" s="45" t="inlineStr">
        <is>
          <t>IPO count</t>
        </is>
      </c>
    </row>
    <row r="4" ht="42" customHeight="1">
      <c r="A4" s="108" t="inlineStr">
        <is>
          <t>Tech/AI</t>
        </is>
      </c>
      <c r="B4" s="108" t="inlineStr">
        <is>
          <t>LLM / foundation model</t>
        </is>
      </c>
      <c r="C4" s="253" t="inlineStr">
        <is>
          <t>Model-layer cos (MiniMax-type). NOT data-center, NOT AI application.</t>
        </is>
      </c>
      <c r="D4" s="253" t="inlineStr">
        <is>
          <t>HSTECH (Hang Seng TECH ETF)</t>
        </is>
      </c>
      <c r="E4" s="108">
        <f>COUNTIF(Database!$E$5:$E$528,B4)</f>
        <v/>
      </c>
      <c r="J4" s="105" t="inlineStr">
        <is>
          <t>LLM / foundation model</t>
        </is>
      </c>
    </row>
    <row r="5" ht="42" customHeight="1">
      <c r="A5" s="108" t="inlineStr">
        <is>
          <t>Tech/AI</t>
        </is>
      </c>
      <c r="B5" s="108" t="inlineStr">
        <is>
          <t>AI application / agent software</t>
        </is>
      </c>
      <c r="C5" s="253" t="inlineStr">
        <is>
          <t>AI-native software &amp; agents monetising models; not the model layer itself.</t>
        </is>
      </c>
      <c r="D5" s="253" t="inlineStr">
        <is>
          <t>HSTECH (Hang Seng TECH ETF)</t>
        </is>
      </c>
      <c r="E5" s="108">
        <f>COUNTIF(Database!$E$5:$E$528,B5)</f>
        <v/>
      </c>
      <c r="J5" s="105" t="inlineStr">
        <is>
          <t>AI application / agent software</t>
        </is>
      </c>
    </row>
    <row r="6" ht="42" customHeight="1">
      <c r="A6" s="108" t="inlineStr">
        <is>
          <t>Tech/AI</t>
        </is>
      </c>
      <c r="B6" s="108" t="inlineStr">
        <is>
          <t>Compute / AI semiconductors</t>
        </is>
      </c>
      <c r="C6" s="253" t="inlineStr">
        <is>
          <t>GPU, accelerator and automotive-compute designers. Compare end-market, architecture and commercialisation; semiconductor status alone does not imply an AI peer.</t>
        </is>
      </c>
      <c r="D6" s="253" t="inlineStr">
        <is>
          <t>HSTECH (Hang Seng TECH ETF)</t>
        </is>
      </c>
      <c r="E6" s="108">
        <f>COUNTIF(Database!$E$5:$E$528,B6)</f>
        <v/>
      </c>
      <c r="J6" s="105" t="inlineStr">
        <is>
          <t>Compute / AI semiconductors</t>
        </is>
      </c>
    </row>
    <row r="7" ht="42" customHeight="1">
      <c r="A7" s="108" t="inlineStr">
        <is>
          <t>Tech/AI</t>
        </is>
      </c>
      <c r="B7" s="108" t="inlineStr">
        <is>
          <t>Memory / interface semiconductors</t>
        </is>
      </c>
      <c r="C7" s="253" t="inlineStr">
        <is>
          <t>Memory and memory-interface ICs. GigaDevice and Montage share memory exposure but their product mix differs; compare growth and margin by product.</t>
        </is>
      </c>
      <c r="D7" s="253" t="inlineStr">
        <is>
          <t>HSTECH (Hang Seng TECH ETF)</t>
        </is>
      </c>
      <c r="E7" s="108">
        <f>COUNTIF(Database!$E$5:$E$528,B7)</f>
        <v/>
      </c>
      <c r="J7" s="105" t="inlineStr">
        <is>
          <t>Memory / interface semiconductors</t>
        </is>
      </c>
    </row>
    <row r="8" ht="42" customHeight="1">
      <c r="A8" s="108" t="inlineStr">
        <is>
          <t>Tech/AI</t>
        </is>
      </c>
      <c r="B8" s="108" t="inlineStr">
        <is>
          <t>Analog / power semiconductors</t>
        </is>
      </c>
      <c r="C8" s="253" t="inlineStr">
        <is>
          <t>Analog, power, mixed-signal and motor-control ICs/devices. Distinguish fabless design from integrated manufacturing and GaN/SiC from silicon.</t>
        </is>
      </c>
      <c r="D8" s="253" t="inlineStr">
        <is>
          <t>HSTECH (Hang Seng TECH ETF)</t>
        </is>
      </c>
      <c r="E8" s="108">
        <f>COUNTIF(Database!$E$5:$E$528,B8)</f>
        <v/>
      </c>
      <c r="J8" s="105" t="inlineStr">
        <is>
          <t>Analog / power semiconductors</t>
        </is>
      </c>
    </row>
    <row r="9" ht="42" customHeight="1">
      <c r="A9" s="108" t="inlineStr">
        <is>
          <t>Tech/AI</t>
        </is>
      </c>
      <c r="B9" s="108" t="inlineStr">
        <is>
          <t>Image / display semiconductors</t>
        </is>
      </c>
      <c r="C9" s="253" t="inlineStr">
        <is>
          <t>Image sensors, display drivers and LED devices/modules. Review LED module versus IC-design economics before using peer multiples.</t>
        </is>
      </c>
      <c r="D9" s="253" t="inlineStr">
        <is>
          <t>HSTECH (Hang Seng TECH ETF)</t>
        </is>
      </c>
      <c r="E9" s="108">
        <f>COUNTIF(Database!$E$5:$E$528,B9)</f>
        <v/>
      </c>
      <c r="J9" s="105" t="inlineStr">
        <is>
          <t>Image / display semiconductors</t>
        </is>
      </c>
    </row>
    <row r="10" ht="42" customHeight="1">
      <c r="A10" s="108" t="inlineStr">
        <is>
          <t>Tech/AI</t>
        </is>
      </c>
      <c r="B10" s="108" t="inlineStr">
        <is>
          <t>Semiconductor equipment / materials</t>
        </is>
      </c>
      <c r="C10" s="253" t="inlineStr">
        <is>
          <t>Substrates, epitaxy and lithography equipment. Compare capital intensity, utilisation and cycle exposure; not direct fabless-chip peers.</t>
        </is>
      </c>
      <c r="D10" s="253" t="inlineStr">
        <is>
          <t>HSTECH (Hang Seng TECH ETF)</t>
        </is>
      </c>
      <c r="E10" s="108">
        <f>COUNTIF(Database!$E$5:$E$528,B10)</f>
        <v/>
      </c>
      <c r="J10" s="105" t="inlineStr">
        <is>
          <t>Semiconductor equipment / materials</t>
        </is>
      </c>
    </row>
    <row r="11" ht="42" customHeight="1">
      <c r="A11" s="108" t="inlineStr">
        <is>
          <t>Tech/AI</t>
        </is>
      </c>
      <c r="B11" s="108" t="inlineStr">
        <is>
          <t>Semiconductor foundry</t>
        </is>
      </c>
      <c r="C11" s="253" t="inlineStr">
        <is>
          <t>Wafer manufacturing services. Capacity, process node and utilisation drive comparability; exclude fabless designers from direct operating comps.</t>
        </is>
      </c>
      <c r="D11" s="253" t="inlineStr">
        <is>
          <t>HSTECH (Hang Seng TECH ETF)</t>
        </is>
      </c>
      <c r="E11" s="108">
        <f>COUNTIF(Database!$E$5:$E$528,B11)</f>
        <v/>
      </c>
      <c r="J11" s="105" t="inlineStr">
        <is>
          <t>Semiconductor foundry</t>
        </is>
      </c>
    </row>
    <row r="12" ht="42" customHeight="1">
      <c r="A12" s="108" t="inlineStr">
        <is>
          <t>Tech/AI</t>
        </is>
      </c>
      <c r="B12" s="108" t="inlineStr">
        <is>
          <t>Other / diversified semiconductors</t>
        </is>
      </c>
      <c r="C12" s="253" t="inlineStr">
        <is>
          <t>Niche ICs or mixed business models needing product-level review. NSING also has battery-material exposure. This category is not a blanket AI label or an automatic peer set.</t>
        </is>
      </c>
      <c r="D12" s="253" t="inlineStr">
        <is>
          <t>HSTECH (Hang Seng TECH ETF)</t>
        </is>
      </c>
      <c r="E12" s="108">
        <f>COUNTIF(Database!$E$5:$E$528,B12)</f>
        <v/>
      </c>
      <c r="J12" s="105" t="inlineStr">
        <is>
          <t>Other / diversified semiconductors</t>
        </is>
      </c>
    </row>
    <row r="13" ht="42" customHeight="1">
      <c r="A13" s="108" t="inlineStr">
        <is>
          <t>Tech/AI</t>
        </is>
      </c>
      <c r="B13" s="108" t="inlineStr">
        <is>
          <t>Data center / cloud infra</t>
        </is>
      </c>
      <c r="C13" s="253" t="inlineStr">
        <is>
          <t>IDC, cloud capacity, AI infra landlords. Distinct from model layer.</t>
        </is>
      </c>
      <c r="D13" s="253" t="inlineStr">
        <is>
          <t>HSTECH (Hang Seng TECH ETF)</t>
        </is>
      </c>
      <c r="E13" s="108">
        <f>COUNTIF(Database!$E$5:$E$528,B13)</f>
        <v/>
      </c>
      <c r="J13" s="105" t="inlineStr">
        <is>
          <t>Data center / cloud infra</t>
        </is>
      </c>
    </row>
    <row r="14" ht="42" customHeight="1">
      <c r="A14" s="108" t="inlineStr">
        <is>
          <t>Tech/AI</t>
        </is>
      </c>
      <c r="B14" s="108" t="inlineStr">
        <is>
          <t>Robotics &amp; autonomous driving</t>
        </is>
      </c>
      <c r="C14" s="253" t="inlineStr">
        <is>
          <t>Embodied AI, ADAS/AD stacks, robotaxi, humanoid.</t>
        </is>
      </c>
      <c r="D14" s="253" t="inlineStr">
        <is>
          <t>HSTECH (Hang Seng TECH ETF)</t>
        </is>
      </c>
      <c r="E14" s="108">
        <f>COUNTIF(Database!$E$5:$E$528,B14)</f>
        <v/>
      </c>
      <c r="J14" s="105" t="inlineStr">
        <is>
          <t>Robotics &amp; autonomous driving</t>
        </is>
      </c>
    </row>
    <row r="15" ht="42" customHeight="1">
      <c r="A15" s="108" t="inlineStr">
        <is>
          <t>Tech/AI</t>
        </is>
      </c>
      <c r="B15" s="108" t="inlineStr">
        <is>
          <t>Smart hardware / consumer electronics</t>
        </is>
      </c>
      <c r="C15" s="253" t="inlineStr">
        <is>
          <t>Devices, IoT, components ex-semis.</t>
        </is>
      </c>
      <c r="D15" s="253" t="inlineStr">
        <is>
          <t>HSTECH (Hang Seng TECH ETF)</t>
        </is>
      </c>
      <c r="E15" s="108">
        <f>COUNTIF(Database!$E$5:$E$528,B15)</f>
        <v/>
      </c>
      <c r="J15" s="105" t="inlineStr">
        <is>
          <t>Smart hardware / consumer electronics</t>
        </is>
      </c>
    </row>
    <row r="16" ht="42" customHeight="1">
      <c r="A16" s="108" t="inlineStr">
        <is>
          <t>Tech/AI</t>
        </is>
      </c>
      <c r="B16" s="108" t="inlineStr">
        <is>
          <t>SaaS / enterprise software</t>
        </is>
      </c>
      <c r="C16" s="253" t="inlineStr">
        <is>
          <t>Recurring-revenue software without AI-native positioning.</t>
        </is>
      </c>
      <c r="D16" s="253" t="inlineStr">
        <is>
          <t>HSTECH (Hang Seng TECH ETF)</t>
        </is>
      </c>
      <c r="E16" s="108">
        <f>COUNTIF(Database!$E$5:$E$528,B16)</f>
        <v/>
      </c>
      <c r="J16" s="105" t="inlineStr">
        <is>
          <t>SaaS / enterprise software</t>
        </is>
      </c>
    </row>
    <row r="17" ht="42" customHeight="1">
      <c r="A17" s="108" t="inlineStr">
        <is>
          <t>Tech/AI</t>
        </is>
      </c>
      <c r="B17" s="108" t="inlineStr">
        <is>
          <t>Internet platform / e-commerce</t>
        </is>
      </c>
      <c r="C17" s="253" t="inlineStr">
        <is>
          <t>Marketplaces, local services, content platforms.</t>
        </is>
      </c>
      <c r="D17" s="253" t="inlineStr">
        <is>
          <t>HSTECH (Hang Seng TECH ETF)</t>
        </is>
      </c>
      <c r="E17" s="108">
        <f>COUNTIF(Database!$E$5:$E$528,B17)</f>
        <v/>
      </c>
      <c r="J17" s="105" t="inlineStr">
        <is>
          <t>Internet platform / e-commerce</t>
        </is>
      </c>
    </row>
    <row r="18" ht="42" customHeight="1">
      <c r="A18" s="108" t="inlineStr">
        <is>
          <t>Tech/AI</t>
        </is>
      </c>
      <c r="B18" s="108" t="inlineStr">
        <is>
          <t>Fintech platform</t>
        </is>
      </c>
      <c r="C18" s="253" t="inlineStr">
        <is>
          <t>Payments, lending, wealth platforms (tech-first).</t>
        </is>
      </c>
      <c r="D18" s="253" t="inlineStr">
        <is>
          <t>HSTECH (Hang Seng TECH ETF)</t>
        </is>
      </c>
      <c r="E18" s="108">
        <f>COUNTIF(Database!$E$5:$E$528,B18)</f>
        <v/>
      </c>
      <c r="J18" s="105" t="inlineStr">
        <is>
          <t>Fintech platform</t>
        </is>
      </c>
    </row>
    <row r="19" ht="42" customHeight="1">
      <c r="A19" s="108" t="inlineStr">
        <is>
          <t>Healthcare</t>
        </is>
      </c>
      <c r="B19" s="108" t="inlineStr">
        <is>
          <t>Biotech pre-revenue (18A)</t>
        </is>
      </c>
      <c r="C19" s="253" t="inlineStr">
        <is>
          <t>Loss-making 18A; comp on pipeline/P-S-if-any, never P/E.</t>
        </is>
      </c>
      <c r="D19" s="253" t="inlineStr">
        <is>
          <t>China Biotech ETF (HS biotech proxy)</t>
        </is>
      </c>
      <c r="E19" s="108">
        <f>COUNTIF(Database!$E$5:$E$528,B19)</f>
        <v/>
      </c>
      <c r="J19" s="105" t="inlineStr">
        <is>
          <t>Biotech pre-revenue (18A)</t>
        </is>
      </c>
    </row>
    <row r="20" ht="42" customHeight="1">
      <c r="A20" s="108" t="inlineStr">
        <is>
          <t>Healthcare</t>
        </is>
      </c>
      <c r="B20" s="108" t="inlineStr">
        <is>
          <t>Biopharma commercial</t>
        </is>
      </c>
      <c r="C20" s="253" t="inlineStr">
        <is>
          <t>Revenue-generating pharma/biotech.</t>
        </is>
      </c>
      <c r="D20" s="253" t="inlineStr">
        <is>
          <t>China Biotech ETF (HS biotech proxy)</t>
        </is>
      </c>
      <c r="E20" s="108">
        <f>COUNTIF(Database!$E$5:$E$528,B20)</f>
        <v/>
      </c>
      <c r="J20" s="105" t="inlineStr">
        <is>
          <t>Biopharma commercial</t>
        </is>
      </c>
    </row>
    <row r="21" ht="42" customHeight="1">
      <c r="A21" s="108" t="inlineStr">
        <is>
          <t>Healthcare</t>
        </is>
      </c>
      <c r="B21" s="108" t="inlineStr">
        <is>
          <t>Medical devices</t>
        </is>
      </c>
      <c r="C21" s="253" t="inlineStr">
        <is>
          <t>Devices incl. 18A device names.</t>
        </is>
      </c>
      <c r="D21" s="253" t="inlineStr">
        <is>
          <t>China Biotech ETF (HS biotech proxy)</t>
        </is>
      </c>
      <c r="E21" s="108">
        <f>COUNTIF(Database!$E$5:$E$528,B21)</f>
        <v/>
      </c>
      <c r="J21" s="105" t="inlineStr">
        <is>
          <t>Medical devices</t>
        </is>
      </c>
    </row>
    <row r="22" ht="42" customHeight="1">
      <c r="A22" s="108" t="inlineStr">
        <is>
          <t>Healthcare</t>
        </is>
      </c>
      <c r="B22" s="108" t="inlineStr">
        <is>
          <t>CXO / pharma services</t>
        </is>
      </c>
      <c r="C22" s="253" t="inlineStr">
        <is>
          <t>CRO/CDMO/CMO.</t>
        </is>
      </c>
      <c r="D22" s="253" t="inlineStr">
        <is>
          <t>China Biotech ETF (HS biotech proxy)</t>
        </is>
      </c>
      <c r="E22" s="108">
        <f>COUNTIF(Database!$E$5:$E$528,B22)</f>
        <v/>
      </c>
      <c r="J22" s="105" t="inlineStr">
        <is>
          <t>CXO / pharma services</t>
        </is>
      </c>
    </row>
    <row r="23" ht="42" customHeight="1">
      <c r="A23" s="108" t="inlineStr">
        <is>
          <t>Healthcare</t>
        </is>
      </c>
      <c r="B23" s="108" t="inlineStr">
        <is>
          <t>Digital health</t>
        </is>
      </c>
      <c r="C23" s="253" t="inlineStr">
        <is>
          <t>Online healthcare platforms.</t>
        </is>
      </c>
      <c r="D23" s="253" t="inlineStr">
        <is>
          <t>China Biotech ETF (HS biotech proxy)</t>
        </is>
      </c>
      <c r="E23" s="108">
        <f>COUNTIF(Database!$E$5:$E$528,B23)</f>
        <v/>
      </c>
      <c r="J23" s="105" t="inlineStr">
        <is>
          <t>Digital health</t>
        </is>
      </c>
    </row>
    <row r="24" ht="42" customHeight="1">
      <c r="A24" s="108" t="inlineStr">
        <is>
          <t>Healthcare</t>
        </is>
      </c>
      <c r="B24" s="108" t="inlineStr">
        <is>
          <t>Hospitals / clinics</t>
        </is>
      </c>
      <c r="C24" s="253" t="inlineStr">
        <is>
          <t>Service providers.</t>
        </is>
      </c>
      <c r="D24" s="253" t="inlineStr">
        <is>
          <t>China Biotech ETF (HS biotech proxy)</t>
        </is>
      </c>
      <c r="E24" s="108">
        <f>COUNTIF(Database!$E$5:$E$528,B24)</f>
        <v/>
      </c>
      <c r="J24" s="105" t="inlineStr">
        <is>
          <t>Hospitals / clinics</t>
        </is>
      </c>
    </row>
    <row r="25" ht="42" customHeight="1">
      <c r="A25" s="108" t="inlineStr">
        <is>
          <t>Healthcare</t>
        </is>
      </c>
      <c r="B25" s="108" t="inlineStr">
        <is>
          <t>TCM</t>
        </is>
      </c>
      <c r="C25" s="253" t="inlineStr">
        <is>
          <t>Traditional Chinese medicine.</t>
        </is>
      </c>
      <c r="D25" s="253" t="inlineStr">
        <is>
          <t>China Biotech ETF (HS biotech proxy)</t>
        </is>
      </c>
      <c r="E25" s="108">
        <f>COUNTIF(Database!$E$5:$E$528,B25)</f>
        <v/>
      </c>
      <c r="J25" s="105" t="inlineStr">
        <is>
          <t>TCM</t>
        </is>
      </c>
    </row>
    <row r="26" ht="42" customHeight="1">
      <c r="A26" s="108" t="inlineStr">
        <is>
          <t>Consumer</t>
        </is>
      </c>
      <c r="B26" s="108" t="inlineStr">
        <is>
          <t>F&amp;B chains / restaurants</t>
        </is>
      </c>
      <c r="C26" s="253" t="inlineStr">
        <is>
          <t>Mixue-type store-count stories.</t>
        </is>
      </c>
      <c r="D26" s="253" t="inlineStr">
        <is>
          <t>Hang Seng Commerce &amp; Industry sub-index</t>
        </is>
      </c>
      <c r="E26" s="108">
        <f>COUNTIF(Database!$E$5:$E$528,B26)</f>
        <v/>
      </c>
      <c r="J26" s="105" t="inlineStr">
        <is>
          <t>F&amp;B chains / restaurants</t>
        </is>
      </c>
    </row>
    <row r="27" ht="42" customHeight="1">
      <c r="A27" s="108" t="inlineStr">
        <is>
          <t>Consumer</t>
        </is>
      </c>
      <c r="B27" s="108" t="inlineStr">
        <is>
          <t>Beverages / packaged food</t>
        </is>
      </c>
      <c r="C27" s="253" t="inlineStr">
        <is>
          <t>Brands, not chains.</t>
        </is>
      </c>
      <c r="D27" s="253" t="inlineStr">
        <is>
          <t>Hang Seng Commerce &amp; Industry sub-index</t>
        </is>
      </c>
      <c r="E27" s="108">
        <f>COUNTIF(Database!$E$5:$E$528,B27)</f>
        <v/>
      </c>
      <c r="J27" s="105" t="inlineStr">
        <is>
          <t>Beverages / packaged food</t>
        </is>
      </c>
    </row>
    <row r="28" ht="42" customHeight="1">
      <c r="A28" s="108" t="inlineStr">
        <is>
          <t>Consumer</t>
        </is>
      </c>
      <c r="B28" s="108" t="inlineStr">
        <is>
          <t>Apparel / luxury</t>
        </is>
      </c>
      <c r="C28" s="253" t="inlineStr"/>
      <c r="D28" s="253" t="inlineStr">
        <is>
          <t>Hang Seng Commerce &amp; Industry sub-index</t>
        </is>
      </c>
      <c r="E28" s="108">
        <f>COUNTIF(Database!$E$5:$E$528,B28)</f>
        <v/>
      </c>
      <c r="J28" s="105" t="inlineStr">
        <is>
          <t>Apparel / luxury</t>
        </is>
      </c>
    </row>
    <row r="29" ht="42" customHeight="1">
      <c r="A29" s="108" t="inlineStr">
        <is>
          <t>Consumer</t>
        </is>
      </c>
      <c r="B29" s="108" t="inlineStr">
        <is>
          <t>Beauty / personal care</t>
        </is>
      </c>
      <c r="C29" s="253" t="inlineStr"/>
      <c r="D29" s="253" t="inlineStr">
        <is>
          <t>Hang Seng Commerce &amp; Industry sub-index</t>
        </is>
      </c>
      <c r="E29" s="108">
        <f>COUNTIF(Database!$E$5:$E$528,B29)</f>
        <v/>
      </c>
      <c r="J29" s="105" t="inlineStr">
        <is>
          <t>Beauty / personal care</t>
        </is>
      </c>
    </row>
    <row r="30" ht="42" customHeight="1">
      <c r="A30" s="108" t="inlineStr">
        <is>
          <t>Consumer</t>
        </is>
      </c>
      <c r="B30" s="108" t="inlineStr">
        <is>
          <t>Consumer services / education</t>
        </is>
      </c>
      <c r="C30" s="253" t="inlineStr"/>
      <c r="D30" s="253" t="inlineStr">
        <is>
          <t>Hang Seng Commerce &amp; Industry sub-index</t>
        </is>
      </c>
      <c r="E30" s="108">
        <f>COUNTIF(Database!$E$5:$E$528,B30)</f>
        <v/>
      </c>
      <c r="J30" s="105" t="inlineStr">
        <is>
          <t>Consumer services / education</t>
        </is>
      </c>
    </row>
    <row r="31" ht="42" customHeight="1">
      <c r="A31" s="108" t="inlineStr">
        <is>
          <t>Consumer</t>
        </is>
      </c>
      <c r="B31" s="108" t="inlineStr">
        <is>
          <t>Autos (NEV OEM)</t>
        </is>
      </c>
      <c r="C31" s="253" t="inlineStr">
        <is>
          <t>Vehicle OEMs; loss-making OEMs comp on P/S.</t>
        </is>
      </c>
      <c r="D31" s="253" t="inlineStr">
        <is>
          <t>Hang Seng Commerce &amp; Industry sub-index</t>
        </is>
      </c>
      <c r="E31" s="108">
        <f>COUNTIF(Database!$E$5:$E$528,B31)</f>
        <v/>
      </c>
      <c r="J31" s="105" t="inlineStr">
        <is>
          <t>Autos (NEV OEM)</t>
        </is>
      </c>
    </row>
    <row r="32" ht="42" customHeight="1">
      <c r="A32" s="108" t="inlineStr">
        <is>
          <t>Consumer</t>
        </is>
      </c>
      <c r="B32" s="108" t="inlineStr">
        <is>
          <t>Auto parts / supply chain</t>
        </is>
      </c>
      <c r="C32" s="253" t="inlineStr"/>
      <c r="D32" s="253" t="inlineStr">
        <is>
          <t>Hang Seng Commerce &amp; Industry sub-index</t>
        </is>
      </c>
      <c r="E32" s="108">
        <f>COUNTIF(Database!$E$5:$E$528,B32)</f>
        <v/>
      </c>
      <c r="J32" s="105" t="inlineStr">
        <is>
          <t>Auto parts / supply chain</t>
        </is>
      </c>
    </row>
    <row r="33" ht="42" customHeight="1">
      <c r="A33" s="108" t="inlineStr">
        <is>
          <t>Consumer</t>
        </is>
      </c>
      <c r="B33" s="108" t="inlineStr">
        <is>
          <t>Retail / distribution</t>
        </is>
      </c>
      <c r="C33" s="253" t="inlineStr"/>
      <c r="D33" s="253" t="inlineStr">
        <is>
          <t>Hang Seng Commerce &amp; Industry sub-index</t>
        </is>
      </c>
      <c r="E33" s="108">
        <f>COUNTIF(Database!$E$5:$E$528,B33)</f>
        <v/>
      </c>
      <c r="J33" s="105" t="inlineStr">
        <is>
          <t>Retail / distribution</t>
        </is>
      </c>
    </row>
    <row r="34" ht="42" customHeight="1">
      <c r="A34" s="108" t="inlineStr">
        <is>
          <t>Financials</t>
        </is>
      </c>
      <c r="B34" s="108" t="inlineStr">
        <is>
          <t>Banks</t>
        </is>
      </c>
      <c r="C34" s="253" t="inlineStr"/>
      <c r="D34" s="253" t="inlineStr">
        <is>
          <t>Hang Seng Finance sub-index</t>
        </is>
      </c>
      <c r="E34" s="108">
        <f>COUNTIF(Database!$E$5:$E$528,B34)</f>
        <v/>
      </c>
      <c r="J34" s="105" t="inlineStr">
        <is>
          <t>Banks</t>
        </is>
      </c>
    </row>
    <row r="35" ht="42" customHeight="1">
      <c r="A35" s="108" t="inlineStr">
        <is>
          <t>Financials</t>
        </is>
      </c>
      <c r="B35" s="108" t="inlineStr">
        <is>
          <t>Insurance</t>
        </is>
      </c>
      <c r="C35" s="253" t="inlineStr"/>
      <c r="D35" s="253" t="inlineStr">
        <is>
          <t>Hang Seng Finance sub-index</t>
        </is>
      </c>
      <c r="E35" s="108">
        <f>COUNTIF(Database!$E$5:$E$528,B35)</f>
        <v/>
      </c>
      <c r="J35" s="105" t="inlineStr">
        <is>
          <t>Insurance</t>
        </is>
      </c>
    </row>
    <row r="36" ht="42" customHeight="1">
      <c r="A36" s="108" t="inlineStr">
        <is>
          <t>Financials</t>
        </is>
      </c>
      <c r="B36" s="108" t="inlineStr">
        <is>
          <t>Brokers / asset management</t>
        </is>
      </c>
      <c r="C36" s="253" t="inlineStr"/>
      <c r="D36" s="253" t="inlineStr">
        <is>
          <t>Hang Seng Finance sub-index</t>
        </is>
      </c>
      <c r="E36" s="108">
        <f>COUNTIF(Database!$E$5:$E$528,B36)</f>
        <v/>
      </c>
      <c r="J36" s="105" t="inlineStr">
        <is>
          <t>Brokers / asset management</t>
        </is>
      </c>
    </row>
    <row r="37" ht="42" customHeight="1">
      <c r="A37" s="108" t="inlineStr">
        <is>
          <t>Industrials</t>
        </is>
      </c>
      <c r="B37" s="108" t="inlineStr">
        <is>
          <t>Capital goods / machinery</t>
        </is>
      </c>
      <c r="C37" s="253" t="inlineStr"/>
      <c r="D37" s="253" t="inlineStr">
        <is>
          <t>Hang Seng Commerce &amp; Industry sub-index</t>
        </is>
      </c>
      <c r="E37" s="108">
        <f>COUNTIF(Database!$E$5:$E$528,B37)</f>
        <v/>
      </c>
      <c r="J37" s="105" t="inlineStr">
        <is>
          <t>Capital goods / machinery</t>
        </is>
      </c>
    </row>
    <row r="38" ht="42" customHeight="1">
      <c r="A38" s="108" t="inlineStr">
        <is>
          <t>Industrials</t>
        </is>
      </c>
      <c r="B38" s="108" t="inlineStr">
        <is>
          <t>Batteries / energy storage</t>
        </is>
      </c>
      <c r="C38" s="253" t="inlineStr">
        <is>
          <t>CATL bucket: cells, materials, ESS.</t>
        </is>
      </c>
      <c r="D38" s="253" t="inlineStr">
        <is>
          <t>Hang Seng Commerce &amp; Industry sub-index</t>
        </is>
      </c>
      <c r="E38" s="108">
        <f>COUNTIF(Database!$E$5:$E$528,B38)</f>
        <v/>
      </c>
      <c r="J38" s="105" t="inlineStr">
        <is>
          <t>Batteries / energy storage</t>
        </is>
      </c>
    </row>
    <row r="39" ht="42" customHeight="1">
      <c r="A39" s="108" t="inlineStr">
        <is>
          <t>Industrials</t>
        </is>
      </c>
      <c r="B39" s="108" t="inlineStr">
        <is>
          <t>Solar / wind supply chain</t>
        </is>
      </c>
      <c r="C39" s="253" t="inlineStr"/>
      <c r="D39" s="253" t="inlineStr">
        <is>
          <t>Hang Seng Commerce &amp; Industry sub-index</t>
        </is>
      </c>
      <c r="E39" s="108">
        <f>COUNTIF(Database!$E$5:$E$528,B39)</f>
        <v/>
      </c>
      <c r="J39" s="105" t="inlineStr">
        <is>
          <t>Solar / wind supply chain</t>
        </is>
      </c>
    </row>
    <row r="40" ht="42" customHeight="1">
      <c r="A40" s="108" t="inlineStr">
        <is>
          <t>Industrials</t>
        </is>
      </c>
      <c r="B40" s="108" t="inlineStr">
        <is>
          <t>Logistics</t>
        </is>
      </c>
      <c r="C40" s="253" t="inlineStr"/>
      <c r="D40" s="253" t="inlineStr">
        <is>
          <t>Hang Seng Commerce &amp; Industry sub-index</t>
        </is>
      </c>
      <c r="E40" s="108">
        <f>COUNTIF(Database!$E$5:$E$528,B40)</f>
        <v/>
      </c>
      <c r="J40" s="105" t="inlineStr">
        <is>
          <t>Logistics</t>
        </is>
      </c>
    </row>
    <row r="41" ht="42" customHeight="1">
      <c r="A41" s="108" t="inlineStr">
        <is>
          <t>Industrials</t>
        </is>
      </c>
      <c r="B41" s="108" t="inlineStr">
        <is>
          <t>Construction / engineering</t>
        </is>
      </c>
      <c r="C41" s="253" t="inlineStr"/>
      <c r="D41" s="253" t="inlineStr">
        <is>
          <t>Hang Seng Commerce &amp; Industry sub-index</t>
        </is>
      </c>
      <c r="E41" s="108">
        <f>COUNTIF(Database!$E$5:$E$528,B41)</f>
        <v/>
      </c>
      <c r="J41" s="105" t="inlineStr">
        <is>
          <t>Construction / engineering</t>
        </is>
      </c>
    </row>
    <row r="42" ht="42" customHeight="1">
      <c r="A42" s="108" t="inlineStr">
        <is>
          <t>Materials/Energy</t>
        </is>
      </c>
      <c r="B42" s="108" t="inlineStr">
        <is>
          <t>Mining / metals</t>
        </is>
      </c>
      <c r="C42" s="253" t="inlineStr"/>
      <c r="D42" s="253" t="inlineStr">
        <is>
          <t>Hang Seng Commerce &amp; Industry sub-index</t>
        </is>
      </c>
      <c r="E42" s="108">
        <f>COUNTIF(Database!$E$5:$E$528,B42)</f>
        <v/>
      </c>
      <c r="J42" s="105" t="inlineStr">
        <is>
          <t>Mining / metals</t>
        </is>
      </c>
    </row>
    <row r="43" ht="42" customHeight="1">
      <c r="A43" s="108" t="inlineStr">
        <is>
          <t>Materials/Energy</t>
        </is>
      </c>
      <c r="B43" s="108" t="inlineStr">
        <is>
          <t>Chemicals</t>
        </is>
      </c>
      <c r="C43" s="253" t="inlineStr"/>
      <c r="D43" s="253" t="inlineStr">
        <is>
          <t>Hang Seng Commerce &amp; Industry sub-index</t>
        </is>
      </c>
      <c r="E43" s="108">
        <f>COUNTIF(Database!$E$5:$E$528,B43)</f>
        <v/>
      </c>
      <c r="J43" s="105" t="inlineStr">
        <is>
          <t>Chemicals</t>
        </is>
      </c>
    </row>
    <row r="44" ht="42" customHeight="1">
      <c r="A44" s="108" t="inlineStr">
        <is>
          <t>Materials/Energy</t>
        </is>
      </c>
      <c r="B44" s="108" t="inlineStr">
        <is>
          <t>Oil &amp; gas / utilities</t>
        </is>
      </c>
      <c r="C44" s="253" t="inlineStr"/>
      <c r="D44" s="253" t="inlineStr">
        <is>
          <t>Hang Seng Commerce &amp; Industry sub-index</t>
        </is>
      </c>
      <c r="E44" s="108">
        <f>COUNTIF(Database!$E$5:$E$528,B44)</f>
        <v/>
      </c>
      <c r="J44" s="105" t="inlineStr">
        <is>
          <t>Oil &amp; gas / utilities</t>
        </is>
      </c>
    </row>
    <row r="45" ht="42" customHeight="1">
      <c r="A45" s="108" t="inlineStr">
        <is>
          <t>Real Estate</t>
        </is>
      </c>
      <c r="B45" s="108" t="inlineStr">
        <is>
          <t>Developers</t>
        </is>
      </c>
      <c r="C45" s="253" t="inlineStr"/>
      <c r="D45" s="253" t="inlineStr">
        <is>
          <t>Hang Seng Properties sub-index</t>
        </is>
      </c>
      <c r="E45" s="108">
        <f>COUNTIF(Database!$E$5:$E$528,B45)</f>
        <v/>
      </c>
      <c r="J45" s="105" t="inlineStr">
        <is>
          <t>Developers</t>
        </is>
      </c>
    </row>
    <row r="46" ht="42" customHeight="1">
      <c r="A46" s="108" t="inlineStr">
        <is>
          <t>Real Estate</t>
        </is>
      </c>
      <c r="B46" s="108" t="inlineStr">
        <is>
          <t>Property management</t>
        </is>
      </c>
      <c r="C46" s="253" t="inlineStr"/>
      <c r="D46" s="253" t="inlineStr">
        <is>
          <t>Hang Seng Properties sub-index</t>
        </is>
      </c>
      <c r="E46" s="108">
        <f>COUNTIF(Database!$E$5:$E$528,B46)</f>
        <v/>
      </c>
      <c r="J46" s="105" t="inlineStr">
        <is>
          <t>Property management</t>
        </is>
      </c>
    </row>
    <row r="47" ht="42" customHeight="1">
      <c r="A47" s="108" t="inlineStr">
        <is>
          <t>Real Estate</t>
        </is>
      </c>
      <c r="B47" s="108" t="inlineStr">
        <is>
          <t>REITs / asset-light</t>
        </is>
      </c>
      <c r="C47" s="253" t="inlineStr"/>
      <c r="D47" s="253" t="inlineStr">
        <is>
          <t>Hang Seng Properties sub-index</t>
        </is>
      </c>
      <c r="E47" s="108">
        <f>COUNTIF(Database!$E$5:$E$528,B47)</f>
        <v/>
      </c>
      <c r="J47" s="105" t="inlineStr">
        <is>
          <t>REITs / asset-light</t>
        </is>
      </c>
    </row>
    <row r="48" ht="42" customHeight="1">
      <c r="A48" s="108" t="inlineStr">
        <is>
          <t>TMT-other</t>
        </is>
      </c>
      <c r="B48" s="108" t="inlineStr">
        <is>
          <t>Telecom</t>
        </is>
      </c>
      <c r="C48" s="253" t="inlineStr"/>
      <c r="D48" s="253" t="inlineStr">
        <is>
          <t>Hang Seng Index</t>
        </is>
      </c>
      <c r="E48" s="108">
        <f>COUNTIF(Database!$E$5:$E$528,B48)</f>
        <v/>
      </c>
      <c r="J48" s="105" t="inlineStr">
        <is>
          <t>Telecom</t>
        </is>
      </c>
    </row>
    <row r="49" ht="42" customHeight="1">
      <c r="A49" s="108" t="inlineStr">
        <is>
          <t>TMT-other</t>
        </is>
      </c>
      <c r="B49" s="108" t="inlineStr">
        <is>
          <t>Media / advertising</t>
        </is>
      </c>
      <c r="C49" s="253" t="inlineStr"/>
      <c r="D49" s="253" t="inlineStr">
        <is>
          <t>Hang Seng Index</t>
        </is>
      </c>
      <c r="E49" s="108">
        <f>COUNTIF(Database!$E$5:$E$528,B49)</f>
        <v/>
      </c>
      <c r="J49" s="105" t="inlineStr">
        <is>
          <t>Media / advertising</t>
        </is>
      </c>
    </row>
    <row r="50" ht="42" customHeight="1">
      <c r="A50" s="108" t="inlineStr">
        <is>
          <t>Other</t>
        </is>
      </c>
      <c r="B50" s="108" t="inlineStr">
        <is>
          <t>Other / unclassified</t>
        </is>
      </c>
      <c r="C50" s="253" t="inlineStr">
        <is>
          <t>Must stay &lt;5% of deals (checks.py enforces).</t>
        </is>
      </c>
      <c r="D50" s="253" t="inlineStr">
        <is>
          <t>Hang Seng Index</t>
        </is>
      </c>
      <c r="E50" s="108">
        <f>COUNTIF(Database!$E$5:$E$528,B50)</f>
        <v/>
      </c>
      <c r="J50" s="105" t="inlineStr">
        <is>
          <t>Other / unclassified</t>
        </is>
      </c>
    </row>
  </sheetData>
  <autoFilter ref="A3:E50"/>
  <mergeCells count="1">
    <mergeCell ref="A2:J2"/>
  </mergeCells>
  <printOptions horizontalCentered="1"/>
  <pageMargins left="0.75" right="0.75" top="1" bottom="1" header="0.5" footer="0.5"/>
  <pageSetup orientation="landscape" paperSize="8" fitToHeight="0" fitToWidth="1"/>
</worksheet>
</file>

<file path=xl/worksheets/sheet10.xml><?xml version="1.0" encoding="utf-8"?>
<worksheet xmlns="http://schemas.openxmlformats.org/spreadsheetml/2006/main">
  <sheetPr>
    <tabColor rgb="00BFBFBF"/>
    <outlinePr summaryBelow="1" summaryRight="1"/>
    <pageSetUpPr fitToPage="1"/>
  </sheetPr>
  <dimension ref="A1:C68"/>
  <sheetViews>
    <sheetView showGridLines="0" zoomScale="95" workbookViewId="0">
      <selection activeCell="A1" sqref="A1"/>
    </sheetView>
  </sheetViews>
  <sheetFormatPr baseColWidth="8" defaultRowHeight="15"/>
  <cols>
    <col width="24" customWidth="1" min="1" max="1"/>
    <col width="96" customWidth="1" min="2" max="2"/>
    <col width="40" customWidth="1" min="3" max="3"/>
  </cols>
  <sheetData>
    <row r="1" ht="30" customHeight="1">
      <c r="A1" s="35" t="inlineStr">
        <is>
          <t>HK IPO DATABASE</t>
        </is>
      </c>
    </row>
    <row r="2" ht="34" customHeight="1">
      <c r="A2" s="36" t="inlineStr">
        <is>
          <t>524 Main Board IPOs 2021-2026 plus the pipeline. Built 2026-10-06; latest price snapshot 2026-10-02. Each name retains its actual quote date.</t>
        </is>
      </c>
    </row>
    <row r="3"/>
    <row r="4">
      <c r="A4" s="108" t="inlineStr"/>
      <c r="B4" s="108" t="inlineStr"/>
    </row>
    <row r="5" ht="40" customHeight="1">
      <c r="A5" s="241" t="inlineStr">
        <is>
          <t>Blue cells</t>
        </is>
      </c>
      <c r="B5" s="253" t="inlineStr">
        <is>
          <t>Inputs. Everything else calculates.</t>
        </is>
      </c>
    </row>
    <row r="6" ht="40" customHeight="1">
      <c r="A6" s="241" t="inlineStr">
        <is>
          <t>AH daily monitor</t>
        </is>
      </c>
      <c r="B6" s="253" t="inlineStr">
        <is>
          <t>Choose a pair and a sector view. Auto uses a complete Bloomberg pair quote or a complete dated snapshot. Bloomberg mode leaves missing quotes unavailable. History source is labelled separately. Day change is terminal-only; snapshot rows are dated closes.</t>
        </is>
      </c>
    </row>
    <row r="7" ht="40" customHeight="1">
      <c r="A7" s="241" t="inlineStr">
        <is>
          <t>A/H study</t>
        </is>
      </c>
      <c r="B7" s="253" t="inlineStr">
        <is>
          <t>The A/H analysis is in AH_Premium_Study.docx. It covers all 62 pairs and 60 first-month cases; it is separate from this live-price workbook.</t>
        </is>
      </c>
    </row>
    <row r="8" ht="40" customHeight="1">
      <c r="A8" s="241" t="inlineStr">
        <is>
          <t>Support tabs</t>
        </is>
      </c>
      <c r="B8" s="253" t="inlineStr">
        <is>
          <t>Bloomberg checks are at the back. SizeBench, Verification and calculation/history sheets are hidden by default; right-click a tab and choose Unhide. They remain available for auditing and inputs.</t>
        </is>
      </c>
    </row>
    <row r="9" ht="40" customHeight="1">
      <c r="A9" s="241" t="inlineStr">
        <is>
          <t>Screener</t>
        </is>
      </c>
      <c r="B9" s="253" t="inlineStr">
        <is>
          <t>Pick a deal, or type your own terms; comps rank same-subsector first.</t>
        </is>
      </c>
    </row>
    <row r="10" ht="40" customHeight="1">
      <c r="A10" s="241" t="inlineStr">
        <is>
          <t>Database</t>
        </is>
      </c>
      <c r="B10" s="253" t="inlineStr">
        <is>
          <t>One row per deal. The last column says why any cell is blank.</t>
        </is>
      </c>
    </row>
    <row r="11" ht="40" customHeight="1">
      <c r="A11" s="241" t="inlineStr">
        <is>
          <t>CS League, SM League</t>
        </is>
      </c>
      <c r="B11" s="253" t="inlineStr">
        <is>
          <t>One row per cornerstone investor or stabilising manager, with how their deals traded. Read together: who anchored the deal, who defended it.</t>
        </is>
      </c>
    </row>
    <row r="12" ht="40" customHeight="1">
      <c r="A12" s="241" t="inlineStr">
        <is>
          <t>Analogs</t>
        </is>
      </c>
      <c r="B12" s="253" t="inlineStr">
        <is>
          <t>Day-1 history by subscription bucket, subsector and year.</t>
        </is>
      </c>
    </row>
    <row r="13" ht="40" customHeight="1">
      <c r="A13" s="241" t="inlineStr">
        <is>
          <t>Eff. free float</t>
        </is>
      </c>
      <c r="B13" s="253" t="inlineStr">
        <is>
          <t>Deal size x (1 - cornerstone %) / market cap: what can trade on day 1 while cornerstones are locked up.</t>
        </is>
      </c>
    </row>
    <row r="14" ht="40" customHeight="1">
      <c r="A14" s="241" t="inlineStr">
        <is>
          <t>Money and signs</t>
        </is>
      </c>
      <c r="B14" s="253" t="inlineStr">
        <is>
          <t>HK$ millions. Day-1 + = closed above the offer. A premium + = A above H.</t>
        </is>
      </c>
    </row>
    <row r="15" ht="40" customHeight="1">
      <c r="A15" s="241" t="inlineStr">
        <is>
          <t>Subscription</t>
        </is>
      </c>
      <c r="B15" s="253" t="inlineStr">
        <is>
          <t>Filing basis: 10x = ten times the shares on offer. Bloomberg CP036/CP037 override the scrape where the desk paste has them.</t>
        </is>
      </c>
    </row>
    <row r="16" ht="40" customHeight="1">
      <c r="A16" s="241" t="inlineStr">
        <is>
          <t>Ex-pop columns</t>
        </is>
      </c>
      <c r="B16" s="253" t="inlineStr">
        <is>
          <t>Teal headers. 1w/1m/3m ex-pop run from the day-1 close; alpha 1m ex-pop nets the index over the same window.</t>
        </is>
      </c>
    </row>
    <row r="17" ht="40" customHeight="1">
      <c r="A17" s="241" t="inlineStr">
        <is>
          <t>P/E and P/S at IPO</t>
        </is>
      </c>
      <c r="B17" s="253" t="inlineStr">
        <is>
          <t>Trailing, never forward: market cap at the offer price over the last full pre-IPO fiscal year's net income or revenue. Loss-makers read n/m on P/E; use P/S.</t>
        </is>
      </c>
    </row>
    <row r="18" ht="40" customHeight="1">
      <c r="A18" s="241" t="inlineStr">
        <is>
          <t>Two at-IPO P/E columns</t>
        </is>
      </c>
      <c r="B18" s="253" t="inlineStr">
        <is>
          <t>'P/E at IPO' is the prospectus basis, computed the same way for every row: use it to compare deals. 'P/E at IPO (BBG)' is price over trailing-12m EPS at listing, Bloomberg's basis: use it when quoting a number someone will check on a terminal. They diverge most for 2021-23 deals.</t>
        </is>
      </c>
    </row>
    <row r="19" ht="40" customHeight="1">
      <c r="A19" s="241" t="inlineStr">
        <is>
          <t>P/E today, P/S today</t>
        </is>
      </c>
      <c r="B19" s="253" t="inlineStr">
        <is>
          <t>Bloomberg. P/E today is the desk paste; P/S today resolves on the terminal and reads 'run on terminal' elsewhere.</t>
        </is>
      </c>
    </row>
    <row r="20" ht="40" customHeight="1">
      <c r="A20" s="241" t="inlineStr">
        <is>
          <t>A-share mkt cap now</t>
        </is>
      </c>
      <c r="B20" s="253" t="inlineStr">
        <is>
          <t>From the A-share quote for A/H pairs, Bloomberg on the terminal where the quote had none. Non-A/H rows read N/A.</t>
        </is>
      </c>
    </row>
    <row r="21" ht="40" customHeight="1">
      <c r="A21" s="241" t="inlineStr">
        <is>
          <t>Force-include</t>
        </is>
      </c>
      <c r="B21" s="253" t="inlineStr">
        <is>
          <t>Type codes, comma-separated, on the Screener; those deals pin to the top.</t>
        </is>
      </c>
    </row>
    <row r="22" ht="40" customHeight="1">
      <c r="A22" s="241" t="inlineStr">
        <is>
          <t>Not captured</t>
        </is>
      </c>
      <c r="B22" s="253" t="inlineStr">
        <is>
          <t>Underwriting fee splits.</t>
        </is>
      </c>
    </row>
    <row r="23" ht="40" customHeight="1">
      <c r="A23" s="241" t="inlineStr">
        <is>
          <t>Judgment</t>
        </is>
      </c>
      <c r="B23" s="253" t="inlineStr">
        <is>
          <t>Sector and subsector are analyst-assigned.</t>
        </is>
      </c>
    </row>
    <row r="24"/>
    <row r="25">
      <c r="A25" s="241" t="inlineStr">
        <is>
          <t>SCREENER WEIGHTS (edit to re-tune)</t>
        </is>
      </c>
    </row>
    <row r="26" ht="40" customHeight="1">
      <c r="A26" s="241" t="inlineStr">
        <is>
          <t>W_SUB</t>
        </is>
      </c>
      <c r="B26" s="141" t="n">
        <v>1000</v>
      </c>
      <c r="C26" s="105" t="inlineStr">
        <is>
          <t>same subsector</t>
        </is>
      </c>
    </row>
    <row r="27" ht="40" customHeight="1">
      <c r="A27" s="241" t="inlineStr">
        <is>
          <t>W_SEC</t>
        </is>
      </c>
      <c r="B27" s="141" t="n">
        <v>300</v>
      </c>
      <c r="C27" s="105" t="inlineStr">
        <is>
          <t>same sector</t>
        </is>
      </c>
    </row>
    <row r="28" ht="40" customHeight="1">
      <c r="A28" s="241" t="inlineStr">
        <is>
          <t>W_SIZE</t>
        </is>
      </c>
      <c r="B28" s="141" t="n">
        <v>200</v>
      </c>
      <c r="C28" s="105" t="inlineStr">
        <is>
          <t>size proximity</t>
        </is>
      </c>
    </row>
    <row r="29" ht="40" customHeight="1">
      <c r="A29" s="241" t="inlineStr">
        <is>
          <t>W_PROF</t>
        </is>
      </c>
      <c r="B29" s="141" t="n">
        <v>80</v>
      </c>
      <c r="C29" s="105" t="inlineStr">
        <is>
          <t>profitability match</t>
        </is>
      </c>
    </row>
    <row r="30" ht="40" customHeight="1">
      <c r="A30" s="241" t="inlineStr">
        <is>
          <t>W_AH</t>
        </is>
      </c>
      <c r="B30" s="141" t="n">
        <v>50</v>
      </c>
      <c r="C30" s="105" t="inlineStr">
        <is>
          <t>H-share match</t>
        </is>
      </c>
    </row>
    <row r="31" ht="40" customHeight="1">
      <c r="A31" s="241" t="inlineStr">
        <is>
          <t>W_REC</t>
        </is>
      </c>
      <c r="B31" s="141" t="n">
        <v>80</v>
      </c>
      <c r="C31" s="105" t="inlineStr">
        <is>
          <t>recency</t>
        </is>
      </c>
    </row>
    <row r="32" ht="40" customHeight="1">
      <c r="A32" s="241" t="inlineStr">
        <is>
          <t>W_CS</t>
        </is>
      </c>
      <c r="B32" s="141" t="n">
        <v>12</v>
      </c>
      <c r="C32" s="105" t="inlineStr">
        <is>
          <t>shares a cornerstone investor with the target</t>
        </is>
      </c>
    </row>
    <row r="33" ht="40" customHeight="1">
      <c r="A33" s="241" t="inlineStr">
        <is>
          <t>W_PE</t>
        </is>
      </c>
      <c r="B33" s="141" t="n">
        <v>150</v>
      </c>
      <c r="C33" s="105" t="inlineStr">
        <is>
          <t>P/E proximity</t>
        </is>
      </c>
    </row>
    <row r="34" ht="40" customHeight="1">
      <c r="A34" s="241" t="inlineStr">
        <is>
          <t>W_PEHW</t>
        </is>
      </c>
      <c r="B34" s="141" t="n">
        <v>0.6</v>
      </c>
      <c r="C34" s="105" t="inlineStr">
        <is>
          <t>P/E log half-width</t>
        </is>
      </c>
    </row>
    <row r="35" ht="40" customHeight="1">
      <c r="A35" s="241" t="inlineStr">
        <is>
          <t>W_SIZEHW</t>
        </is>
      </c>
      <c r="B35" s="141" t="n">
        <v>1.5</v>
      </c>
      <c r="C35" s="105" t="inlineStr">
        <is>
          <t>size log half-width</t>
        </is>
      </c>
    </row>
    <row r="36" ht="40" customHeight="1">
      <c r="A36" s="241" t="inlineStr">
        <is>
          <t>W_RECD</t>
        </is>
      </c>
      <c r="B36" s="141" t="n">
        <v>1825</v>
      </c>
      <c r="C36" s="105" t="inlineStr">
        <is>
          <t>recency horizon (days)</t>
        </is>
      </c>
    </row>
    <row r="37"/>
    <row r="38">
      <c r="A38" s="241" t="inlineStr">
        <is>
          <t>WHY THESE WEIGHTS</t>
        </is>
      </c>
    </row>
    <row r="39">
      <c r="A39" s="105" t="inlineStr">
        <is>
          <t>Measured on 24,090 deal pairs. Median day-1 gap between two random deals: 27.5pp. Both A+H: 14.2pp. Subscription within 2x: 18.6pp. Same sector: 26.3pp. Same subsector: 29.2pp. Size, P/E, cornerstone: 29-33pp.</t>
        </is>
      </c>
    </row>
    <row r="40">
      <c r="A40" s="105" t="inlineStr">
        <is>
          <t>Subsector decides which companies are comparable; it does not predict the debut. For 'how will it trade', rank demand-similar first and read the Analogs tab.</t>
        </is>
      </c>
    </row>
    <row r="41"/>
    <row r="42">
      <c r="A42" s="241" t="inlineStr">
        <is>
          <t>WHERE EACH DATABASE COLUMN COMES FROM</t>
        </is>
      </c>
    </row>
    <row r="43" ht="40" customHeight="1">
      <c r="A43" s="45" t="inlineStr">
        <is>
          <t>Column</t>
        </is>
      </c>
      <c r="B43" s="254" t="inlineStr">
        <is>
          <t>Source and method</t>
        </is>
      </c>
    </row>
    <row r="44" ht="40" customHeight="1">
      <c r="A44" s="255" t="inlineStr">
        <is>
          <t>Code / Name / date</t>
        </is>
      </c>
      <c r="B44" s="212" t="inlineStr">
        <is>
          <t>HKEX Allotment Results announcement. Every IPO files one, so the roster comes from the filings themselves.</t>
        </is>
      </c>
    </row>
    <row r="45" ht="40" customHeight="1">
      <c r="A45" s="255" t="inlineStr">
        <is>
          <t>Name (CN)</t>
        </is>
      </c>
      <c r="B45" s="212" t="inlineStr">
        <is>
          <t>HKEX bilingual securities feed.</t>
        </is>
      </c>
    </row>
    <row r="46" ht="40" customHeight="1">
      <c r="A46" s="255" t="inlineStr">
        <is>
          <t>Sector / Subsector</t>
        </is>
      </c>
      <c r="B46" s="212" t="inlineStr">
        <is>
          <t>Analyst-assigned against data/taxonomy.json. New deals get a provisional keyword label until relabelled.</t>
        </is>
      </c>
    </row>
    <row r="47" ht="40" customHeight="1">
      <c r="A47" s="255" t="inlineStr">
        <is>
          <t>Deal size</t>
        </is>
      </c>
      <c r="B47" s="212" t="inlineStr">
        <is>
          <t>Stated gross proceeds, else final price x offer shares, else net proceeds; the basis is printed beside it. From the final-price announcement and the prospectus.</t>
        </is>
      </c>
    </row>
    <row r="48" ht="40" customHeight="1">
      <c r="A48" s="255" t="inlineStr">
        <is>
          <t>Range low / Max-cap</t>
        </is>
      </c>
      <c r="B48" s="212" t="inlineStr">
        <is>
          <t>Prospectus indicative range; the cap is the maximum offer price. A fixed-price offer has no range and is labelled as such.</t>
        </is>
      </c>
    </row>
    <row r="49" ht="40" customHeight="1">
      <c r="A49" s="255" t="inlineStr">
        <is>
          <t>Final px</t>
        </is>
      </c>
      <c r="B49" s="212" t="inlineStr">
        <is>
          <t>Allotment Results announcement (the struck price).</t>
        </is>
      </c>
    </row>
    <row r="50" ht="40" customHeight="1">
      <c r="A50" s="255" t="inlineStr">
        <is>
          <t>% of cap</t>
        </is>
      </c>
      <c r="B50" s="212" t="inlineStr">
        <is>
          <t>Final price / cap. Fixed-price offers are 100% by definition.</t>
        </is>
      </c>
    </row>
    <row r="51" ht="40" customHeight="1">
      <c r="A51" s="255" t="inlineStr">
        <is>
          <t>Mkt cap at IPO</t>
        </is>
      </c>
      <c r="B51" s="212" t="inlineStr">
        <is>
          <t>Final price x shares on listing, else deal size / offer % of enlarged capital, else the issuer's stated cap, else AAStocks scaled to the struck price; the basis is printed beside it. Cross-checked against AAStocks; a &gt;25% gap is flagged orange.</t>
        </is>
      </c>
    </row>
    <row r="52" ht="40" customHeight="1">
      <c r="A52" s="255" t="inlineStr">
        <is>
          <t>Public / Intl sub</t>
        </is>
      </c>
      <c r="B52" s="212" t="inlineStr">
        <is>
          <t>Allotment Results, subscription section, per tranche. Under-subscription is kept as data.</t>
        </is>
      </c>
    </row>
    <row r="53" ht="40" customHeight="1">
      <c r="A53" s="255" t="inlineStr">
        <is>
          <t>Cornerstone % / investors</t>
        </is>
      </c>
      <c r="B53" s="212" t="inlineStr">
        <is>
          <t>Prospectus cornerstone section, filled from AAStocks where the filing text did not survive extraction.</t>
        </is>
      </c>
    </row>
    <row r="54" ht="40" customHeight="1">
      <c r="A54" s="255" t="inlineStr">
        <is>
          <t>Greenshoe size</t>
        </is>
      </c>
      <c r="B54" s="212" t="inlineStr">
        <is>
          <t>Over-allocated shares / offer shares, from the prospectus.</t>
        </is>
      </c>
    </row>
    <row r="55" ht="40" customHeight="1">
      <c r="A55" s="255" t="inlineStr">
        <is>
          <t>Shoe outcome</t>
        </is>
      </c>
      <c r="B55" s="212" t="inlineStr">
        <is>
          <t>The end-of-stabilisation notice filed about 30 days after listing.</t>
        </is>
      </c>
    </row>
    <row r="56" ht="40" customHeight="1">
      <c r="A56" s="255" t="inlineStr">
        <is>
          <t>Day-1</t>
        </is>
      </c>
      <c r="B56" s="212" t="inlineStr">
        <is>
          <t>Listing-day close vs the offer price, from the local session list; AAStocks where the price feed has no listing-day bar.</t>
        </is>
      </c>
    </row>
    <row r="57" ht="40" customHeight="1">
      <c r="A57" s="255" t="inlineStr">
        <is>
          <t>1-week / 1-month / 3-month</t>
        </is>
      </c>
      <c r="B57" s="212" t="inlineStr">
        <is>
          <t>Close 5 / 21 / 63 traded sessions after the debut (debut = 0), vs offer; these are session counts, not calendar anniversaries. Price-only returns, split/consolidation scaled to the offer; dividends and entitlement value excluded. Unelapsed windows stay blank with a reason.</t>
        </is>
      </c>
    </row>
    <row r="58" ht="40" customHeight="1">
      <c r="A58" s="255" t="inlineStr">
        <is>
          <t>1m ex-pop</t>
        </is>
      </c>
      <c r="B58" s="212" t="inlineStr">
        <is>
          <t>Same horizon measured from the day-1 close, so the debut pop is stripped out.</t>
        </is>
      </c>
    </row>
    <row r="59" ht="40" customHeight="1">
      <c r="A59" s="255" t="inlineStr">
        <is>
          <t>Benchmark index Day-1</t>
        </is>
      </c>
      <c r="B59" s="212" t="inlineStr">
        <is>
          <t>Sector benchmark close on listing day / its previous trading close - 1, in %. Uses the same benchmark named per row and the exact listing date.</t>
        </is>
      </c>
    </row>
    <row r="60" ht="40" customHeight="1">
      <c r="A60" s="255" t="inlineStr">
        <is>
          <t>Alpha / Index</t>
        </is>
      </c>
      <c r="B60" s="212" t="inlineStr">
        <is>
          <t>The sector index over the same window, anchored at the close before the listing. Index named per row; map on the Taxonomy tab.</t>
        </is>
      </c>
    </row>
    <row r="61" ht="40" customHeight="1">
      <c r="A61" s="255" t="inlineStr">
        <is>
          <t>Since IPO</t>
        </is>
      </c>
      <c r="B61" s="212" t="inlineStr">
        <is>
          <t>Last available traded close vs offer; see Prices as of for each row. Suspended stocks retain their last trade, and their index leg ends on that same date.</t>
        </is>
      </c>
    </row>
    <row r="62" ht="40" customHeight="1">
      <c r="A62" s="255" t="inlineStr">
        <is>
          <t>Grey market</t>
        </is>
      </c>
      <c r="B62" s="212" t="inlineStr">
        <is>
          <t>Verified evening-session close / offer - 1, in %. Brokers can print different closes; hover the Database grey cell for venue, date and source. An open/intraday price is never a closing quote. Missing means unverified or no session, never a 0% return.</t>
        </is>
      </c>
    </row>
    <row r="63" ht="40" customHeight="1">
      <c r="A63" s="255" t="inlineStr">
        <is>
          <t>Revenue / NI</t>
        </is>
      </c>
      <c r="B63" s="212" t="inlineStr">
        <is>
          <t>Prospectus financial information, latest full year, converted to HK$ at a fixed rate.</t>
        </is>
      </c>
    </row>
    <row r="64" ht="40" customHeight="1">
      <c r="A64" s="255" t="inlineStr">
        <is>
          <t>P/E at IPO</t>
        </is>
      </c>
      <c r="B64" s="212" t="inlineStr">
        <is>
          <t>Market cap / latest FY net income. Loss-makers read n/m and carry P/S instead.</t>
        </is>
      </c>
    </row>
    <row r="65" ht="40" customHeight="1">
      <c r="A65" s="255" t="inlineStr">
        <is>
          <t>A prem vs H at IPO</t>
        </is>
      </c>
      <c r="B65" s="212" t="inlineStr">
        <is>
          <t>A-share close on the last session before the H listing, in HK$ at that day's rate, over the H offer price, minus 1. Checked by hand on CATL.</t>
        </is>
      </c>
    </row>
    <row r="66" ht="40" customHeight="1">
      <c r="A66" s="255" t="inlineStr">
        <is>
          <t>A premium (today)</t>
        </is>
      </c>
      <c r="B66" s="212" t="inlineStr">
        <is>
          <t>Latest A and H closes, same conversion.</t>
        </is>
      </c>
    </row>
    <row r="67" ht="40" customHeight="1">
      <c r="A67" s="255" t="inlineStr">
        <is>
          <t>Sponsors / Bookrunners</t>
        </is>
      </c>
      <c r="B67" s="212" t="inlineStr">
        <is>
          <t>Prospectus cover page. The AAStocks columns beside them are the same facts from the deal's AAStocks page.</t>
        </is>
      </c>
    </row>
    <row r="68" ht="40" customHeight="1">
      <c r="A68" s="255" t="inlineStr">
        <is>
          <t>Prospectus / Allotment / Stabilisation</t>
        </is>
      </c>
      <c r="B68" s="212" t="inlineStr">
        <is>
          <t>HKEX filing links, resolved per stock code.</t>
        </is>
      </c>
    </row>
  </sheetData>
  <mergeCells count="1">
    <mergeCell ref="A2:C2"/>
  </mergeCells>
  <printOptions horizontalCentered="1"/>
  <pageMargins left="0.75" right="0.75" top="1" bottom="1" header="0.5" footer="0.5"/>
  <pageSetup orientation="landscape" paperSize="8" fitToHeight="0" fitToWidth="1"/>
</worksheet>
</file>

<file path=xl/worksheets/sheet11.xml><?xml version="1.0" encoding="utf-8"?>
<worksheet xmlns="http://schemas.openxmlformats.org/spreadsheetml/2006/main">
  <sheetPr>
    <tabColor rgb="00BFBFBF"/>
    <outlinePr summaryBelow="1" summaryRight="1"/>
    <pageSetUpPr fitToPage="1"/>
  </sheetPr>
  <dimension ref="A1:I28"/>
  <sheetViews>
    <sheetView showGridLines="0" zoomScale="95" workbookViewId="0">
      <selection activeCell="A1" sqref="A1"/>
    </sheetView>
  </sheetViews>
  <sheetFormatPr baseColWidth="8" defaultRowHeight="15"/>
  <cols>
    <col width="8" customWidth="1" min="1" max="1"/>
    <col width="26" customWidth="1" min="2" max="2"/>
    <col width="11" customWidth="1" min="3" max="3"/>
    <col width="12" customWidth="1" min="4" max="4"/>
    <col width="22" customWidth="1" min="5" max="5"/>
  </cols>
  <sheetData>
    <row r="1" ht="30" customHeight="1">
      <c r="A1" s="35" t="inlineStr">
        <is>
          <t>SIZE BENCHMARKS</t>
        </is>
      </c>
    </row>
    <row r="2">
      <c r="A2" s="105" t="inlineStr">
        <is>
          <t>Blue thresholds are inputs; the counts recompute.</t>
        </is>
      </c>
    </row>
    <row r="3"/>
    <row r="4" ht="30" customHeight="1">
      <c r="A4" s="241" t="inlineStr">
        <is>
          <t>Bucket</t>
        </is>
      </c>
      <c r="B4" s="241" t="inlineStr">
        <is>
          <t>Min HK$m</t>
        </is>
      </c>
      <c r="D4" s="45" t="inlineStr">
        <is>
          <t>Year</t>
        </is>
      </c>
      <c r="E4" s="45" t="inlineStr">
        <is>
          <t>Mega</t>
        </is>
      </c>
      <c r="F4" s="45" t="inlineStr">
        <is>
          <t>Large</t>
        </is>
      </c>
      <c r="G4" s="45" t="inlineStr">
        <is>
          <t>Mid</t>
        </is>
      </c>
      <c r="H4" s="45" t="inlineStr">
        <is>
          <t>Small</t>
        </is>
      </c>
      <c r="I4" s="45" t="inlineStr">
        <is>
          <t>Sum HK$bn</t>
        </is>
      </c>
    </row>
    <row r="5">
      <c r="A5" s="51" t="inlineStr">
        <is>
          <t>Mega</t>
        </is>
      </c>
      <c r="B5" s="256" t="n">
        <v>20000</v>
      </c>
      <c r="D5" s="257" t="inlineStr">
        <is>
          <t>2021</t>
        </is>
      </c>
      <c r="E5" s="88">
        <f>COUNTIFS(Database!$H$5:$H$528,"&gt;="&amp;DATE(2021,1,1),Database!$H$5:$H$528,"&lt;="&amp;DATE(2021,12,31),Database!$I$5:$I$528,"&gt;="&amp;$B$5)</f>
        <v/>
      </c>
      <c r="F5" s="88">
        <f>COUNTIFS(Database!$H$5:$H$528,"&gt;="&amp;DATE(2021,1,1),Database!$H$5:$H$528,"&lt;="&amp;DATE(2021,12,31),Database!$I$5:$I$528,"&gt;="&amp;$B$6,Database!$I$5:$I$528,"&lt;"&amp;$B$5)</f>
        <v/>
      </c>
      <c r="G5" s="88">
        <f>COUNTIFS(Database!$H$5:$H$528,"&gt;="&amp;DATE(2021,1,1),Database!$H$5:$H$528,"&lt;="&amp;DATE(2021,12,31),Database!$I$5:$I$528,"&gt;="&amp;$B$7,Database!$I$5:$I$528,"&lt;"&amp;$B$6)</f>
        <v/>
      </c>
      <c r="H5" s="88">
        <f>COUNTIFS(Database!$H$5:$H$528,"&gt;="&amp;DATE(2021,1,1),Database!$H$5:$H$528,"&lt;="&amp;DATE(2021,12,31),Database!$I$5:$I$528,"&gt;="&amp;$B$8,Database!$I$5:$I$528,"&lt;"&amp;$B$7)</f>
        <v/>
      </c>
      <c r="I5" s="60">
        <f>SUMIFS(Database!$I$5:$I$528,Database!$H$5:$H$528,"&gt;="&amp;DATE(2021,1,1),Database!$H$5:$H$528,"&lt;="&amp;DATE(2021,12,31))/1000</f>
        <v/>
      </c>
    </row>
    <row r="6">
      <c r="A6" s="51" t="inlineStr">
        <is>
          <t>Large</t>
        </is>
      </c>
      <c r="B6" s="256" t="n">
        <v>5000</v>
      </c>
      <c r="D6" s="257" t="inlineStr">
        <is>
          <t>2022</t>
        </is>
      </c>
      <c r="E6" s="88">
        <f>COUNTIFS(Database!$H$5:$H$528,"&gt;="&amp;DATE(2022,1,1),Database!$H$5:$H$528,"&lt;="&amp;DATE(2022,12,31),Database!$I$5:$I$528,"&gt;="&amp;$B$5)</f>
        <v/>
      </c>
      <c r="F6" s="88">
        <f>COUNTIFS(Database!$H$5:$H$528,"&gt;="&amp;DATE(2022,1,1),Database!$H$5:$H$528,"&lt;="&amp;DATE(2022,12,31),Database!$I$5:$I$528,"&gt;="&amp;$B$6,Database!$I$5:$I$528,"&lt;"&amp;$B$5)</f>
        <v/>
      </c>
      <c r="G6" s="88">
        <f>COUNTIFS(Database!$H$5:$H$528,"&gt;="&amp;DATE(2022,1,1),Database!$H$5:$H$528,"&lt;="&amp;DATE(2022,12,31),Database!$I$5:$I$528,"&gt;="&amp;$B$7,Database!$I$5:$I$528,"&lt;"&amp;$B$6)</f>
        <v/>
      </c>
      <c r="H6" s="88">
        <f>COUNTIFS(Database!$H$5:$H$528,"&gt;="&amp;DATE(2022,1,1),Database!$H$5:$H$528,"&lt;="&amp;DATE(2022,12,31),Database!$I$5:$I$528,"&gt;="&amp;$B$8,Database!$I$5:$I$528,"&lt;"&amp;$B$7)</f>
        <v/>
      </c>
      <c r="I6" s="60">
        <f>SUMIFS(Database!$I$5:$I$528,Database!$H$5:$H$528,"&gt;="&amp;DATE(2022,1,1),Database!$H$5:$H$528,"&lt;="&amp;DATE(2022,12,31))/1000</f>
        <v/>
      </c>
    </row>
    <row r="7">
      <c r="A7" s="51" t="inlineStr">
        <is>
          <t>Mid</t>
        </is>
      </c>
      <c r="B7" s="256" t="n">
        <v>1000</v>
      </c>
      <c r="D7" s="257" t="inlineStr">
        <is>
          <t>2023</t>
        </is>
      </c>
      <c r="E7" s="88">
        <f>COUNTIFS(Database!$H$5:$H$528,"&gt;="&amp;DATE(2023,1,1),Database!$H$5:$H$528,"&lt;="&amp;DATE(2023,12,31),Database!$I$5:$I$528,"&gt;="&amp;$B$5)</f>
        <v/>
      </c>
      <c r="F7" s="88">
        <f>COUNTIFS(Database!$H$5:$H$528,"&gt;="&amp;DATE(2023,1,1),Database!$H$5:$H$528,"&lt;="&amp;DATE(2023,12,31),Database!$I$5:$I$528,"&gt;="&amp;$B$6,Database!$I$5:$I$528,"&lt;"&amp;$B$5)</f>
        <v/>
      </c>
      <c r="G7" s="88">
        <f>COUNTIFS(Database!$H$5:$H$528,"&gt;="&amp;DATE(2023,1,1),Database!$H$5:$H$528,"&lt;="&amp;DATE(2023,12,31),Database!$I$5:$I$528,"&gt;="&amp;$B$7,Database!$I$5:$I$528,"&lt;"&amp;$B$6)</f>
        <v/>
      </c>
      <c r="H7" s="88">
        <f>COUNTIFS(Database!$H$5:$H$528,"&gt;="&amp;DATE(2023,1,1),Database!$H$5:$H$528,"&lt;="&amp;DATE(2023,12,31),Database!$I$5:$I$528,"&gt;="&amp;$B$8,Database!$I$5:$I$528,"&lt;"&amp;$B$7)</f>
        <v/>
      </c>
      <c r="I7" s="60">
        <f>SUMIFS(Database!$I$5:$I$528,Database!$H$5:$H$528,"&gt;="&amp;DATE(2023,1,1),Database!$H$5:$H$528,"&lt;="&amp;DATE(2023,12,31))/1000</f>
        <v/>
      </c>
    </row>
    <row r="8">
      <c r="A8" s="51" t="inlineStr">
        <is>
          <t>Small</t>
        </is>
      </c>
      <c r="B8" s="256" t="n">
        <v>0</v>
      </c>
      <c r="D8" s="257" t="inlineStr">
        <is>
          <t>2024</t>
        </is>
      </c>
      <c r="E8" s="88">
        <f>COUNTIFS(Database!$H$5:$H$528,"&gt;="&amp;DATE(2024,1,1),Database!$H$5:$H$528,"&lt;="&amp;DATE(2024,12,31),Database!$I$5:$I$528,"&gt;="&amp;$B$5)</f>
        <v/>
      </c>
      <c r="F8" s="88">
        <f>COUNTIFS(Database!$H$5:$H$528,"&gt;="&amp;DATE(2024,1,1),Database!$H$5:$H$528,"&lt;="&amp;DATE(2024,12,31),Database!$I$5:$I$528,"&gt;="&amp;$B$6,Database!$I$5:$I$528,"&lt;"&amp;$B$5)</f>
        <v/>
      </c>
      <c r="G8" s="88">
        <f>COUNTIFS(Database!$H$5:$H$528,"&gt;="&amp;DATE(2024,1,1),Database!$H$5:$H$528,"&lt;="&amp;DATE(2024,12,31),Database!$I$5:$I$528,"&gt;="&amp;$B$7,Database!$I$5:$I$528,"&lt;"&amp;$B$6)</f>
        <v/>
      </c>
      <c r="H8" s="88">
        <f>COUNTIFS(Database!$H$5:$H$528,"&gt;="&amp;DATE(2024,1,1),Database!$H$5:$H$528,"&lt;="&amp;DATE(2024,12,31),Database!$I$5:$I$528,"&gt;="&amp;$B$8,Database!$I$5:$I$528,"&lt;"&amp;$B$7)</f>
        <v/>
      </c>
      <c r="I8" s="60">
        <f>SUMIFS(Database!$I$5:$I$528,Database!$H$5:$H$528,"&gt;="&amp;DATE(2024,1,1),Database!$H$5:$H$528,"&lt;="&amp;DATE(2024,12,31))/1000</f>
        <v/>
      </c>
    </row>
    <row r="9">
      <c r="D9" s="257" t="inlineStr">
        <is>
          <t>2025</t>
        </is>
      </c>
      <c r="E9" s="88">
        <f>COUNTIFS(Database!$H$5:$H$528,"&gt;="&amp;DATE(2025,1,1),Database!$H$5:$H$528,"&lt;="&amp;DATE(2025,12,31),Database!$I$5:$I$528,"&gt;="&amp;$B$5)</f>
        <v/>
      </c>
      <c r="F9" s="88">
        <f>COUNTIFS(Database!$H$5:$H$528,"&gt;="&amp;DATE(2025,1,1),Database!$H$5:$H$528,"&lt;="&amp;DATE(2025,12,31),Database!$I$5:$I$528,"&gt;="&amp;$B$6,Database!$I$5:$I$528,"&lt;"&amp;$B$5)</f>
        <v/>
      </c>
      <c r="G9" s="88">
        <f>COUNTIFS(Database!$H$5:$H$528,"&gt;="&amp;DATE(2025,1,1),Database!$H$5:$H$528,"&lt;="&amp;DATE(2025,12,31),Database!$I$5:$I$528,"&gt;="&amp;$B$7,Database!$I$5:$I$528,"&lt;"&amp;$B$6)</f>
        <v/>
      </c>
      <c r="H9" s="88">
        <f>COUNTIFS(Database!$H$5:$H$528,"&gt;="&amp;DATE(2025,1,1),Database!$H$5:$H$528,"&lt;="&amp;DATE(2025,12,31),Database!$I$5:$I$528,"&gt;="&amp;$B$8,Database!$I$5:$I$528,"&lt;"&amp;$B$7)</f>
        <v/>
      </c>
      <c r="I9" s="60">
        <f>SUMIFS(Database!$I$5:$I$528,Database!$H$5:$H$528,"&gt;="&amp;DATE(2025,1,1),Database!$H$5:$H$528,"&lt;="&amp;DATE(2025,12,31))/1000</f>
        <v/>
      </c>
    </row>
    <row r="10">
      <c r="D10" s="257" t="inlineStr">
        <is>
          <t>2026</t>
        </is>
      </c>
      <c r="E10" s="88">
        <f>COUNTIFS(Database!$H$5:$H$528,"&gt;="&amp;DATE(2026,1,1),Database!$H$5:$H$528,"&lt;="&amp;DATE(2026,12,31),Database!$I$5:$I$528,"&gt;="&amp;$B$5)</f>
        <v/>
      </c>
      <c r="F10" s="88">
        <f>COUNTIFS(Database!$H$5:$H$528,"&gt;="&amp;DATE(2026,1,1),Database!$H$5:$H$528,"&lt;="&amp;DATE(2026,12,31),Database!$I$5:$I$528,"&gt;="&amp;$B$6,Database!$I$5:$I$528,"&lt;"&amp;$B$5)</f>
        <v/>
      </c>
      <c r="G10" s="88">
        <f>COUNTIFS(Database!$H$5:$H$528,"&gt;="&amp;DATE(2026,1,1),Database!$H$5:$H$528,"&lt;="&amp;DATE(2026,12,31),Database!$I$5:$I$528,"&gt;="&amp;$B$7,Database!$I$5:$I$528,"&lt;"&amp;$B$6)</f>
        <v/>
      </c>
      <c r="H10" s="88">
        <f>COUNTIFS(Database!$H$5:$H$528,"&gt;="&amp;DATE(2026,1,1),Database!$H$5:$H$528,"&lt;="&amp;DATE(2026,12,31),Database!$I$5:$I$528,"&gt;="&amp;$B$8,Database!$I$5:$I$528,"&lt;"&amp;$B$7)</f>
        <v/>
      </c>
      <c r="I10" s="60">
        <f>SUMIFS(Database!$I$5:$I$528,Database!$H$5:$H$528,"&gt;="&amp;DATE(2026,1,1),Database!$H$5:$H$528,"&lt;="&amp;DATE(2026,12,31))/1000</f>
        <v/>
      </c>
    </row>
    <row r="11"/>
    <row r="12">
      <c r="A12" s="241" t="inlineStr">
        <is>
          <t>LARGEST DEALS (top 15 by proceeds)</t>
        </is>
      </c>
    </row>
    <row r="13" ht="30" customHeight="1">
      <c r="A13" s="45" t="inlineStr">
        <is>
          <t>Code</t>
        </is>
      </c>
      <c r="B13" s="45" t="inlineStr">
        <is>
          <t>Name</t>
        </is>
      </c>
      <c r="C13" s="45" t="inlineStr">
        <is>
          <t>IPO date</t>
        </is>
      </c>
      <c r="D13" s="45" t="inlineStr">
        <is>
          <t>HK$m</t>
        </is>
      </c>
      <c r="E13" s="45" t="inlineStr">
        <is>
          <t>Subsector</t>
        </is>
      </c>
    </row>
    <row r="14">
      <c r="A14" s="258" t="inlineStr">
        <is>
          <t>3308</t>
        </is>
      </c>
      <c r="B14" s="51" t="inlineStr">
        <is>
          <t>ZJ INNOLIGHT</t>
        </is>
      </c>
      <c r="C14" s="259" t="n">
        <v>46233</v>
      </c>
      <c r="D14" s="213" t="n">
        <v>53410</v>
      </c>
      <c r="E14" s="51" t="inlineStr">
        <is>
          <t>Smart hardware / consumer electronics</t>
        </is>
      </c>
    </row>
    <row r="15">
      <c r="A15" s="258" t="inlineStr">
        <is>
          <t>1024</t>
        </is>
      </c>
      <c r="B15" s="51" t="inlineStr">
        <is>
          <t>KUAISHOU-W</t>
        </is>
      </c>
      <c r="C15" s="259" t="n">
        <v>44232</v>
      </c>
      <c r="D15" s="213" t="n">
        <v>42000.1</v>
      </c>
      <c r="E15" s="51" t="inlineStr">
        <is>
          <t>Internet platform / e-commerce</t>
        </is>
      </c>
    </row>
    <row r="16">
      <c r="A16" s="258" t="inlineStr">
        <is>
          <t>3750</t>
        </is>
      </c>
      <c r="B16" s="51" t="inlineStr">
        <is>
          <t>CATL</t>
        </is>
      </c>
      <c r="C16" s="259" t="n">
        <v>45797</v>
      </c>
      <c r="D16" s="213" t="n">
        <v>35657.2</v>
      </c>
      <c r="E16" s="51" t="inlineStr">
        <is>
          <t>Batteries / energy storage</t>
        </is>
      </c>
    </row>
    <row r="17">
      <c r="A17" s="258" t="inlineStr">
        <is>
          <t>0300</t>
        </is>
      </c>
      <c r="B17" s="51" t="inlineStr">
        <is>
          <t>MIDEA GROUP</t>
        </is>
      </c>
      <c r="C17" s="259" t="n">
        <v>45552</v>
      </c>
      <c r="D17" s="213" t="n">
        <v>31014</v>
      </c>
      <c r="E17" s="51" t="inlineStr">
        <is>
          <t>Smart hardware / consumer electronics</t>
        </is>
      </c>
    </row>
    <row r="18">
      <c r="A18" s="258" t="inlineStr">
        <is>
          <t>2259</t>
        </is>
      </c>
      <c r="B18" s="51" t="inlineStr">
        <is>
          <t>ZIJIN GOLD INTL</t>
        </is>
      </c>
      <c r="C18" s="259" t="n">
        <v>45930</v>
      </c>
      <c r="D18" s="213" t="n">
        <v>24984.2</v>
      </c>
      <c r="E18" s="51" t="inlineStr">
        <is>
          <t>Mining / metals</t>
        </is>
      </c>
    </row>
    <row r="19">
      <c r="A19" s="258" t="inlineStr">
        <is>
          <t>2618</t>
        </is>
      </c>
      <c r="B19" s="51" t="inlineStr">
        <is>
          <t>JD LOGISTICS</t>
        </is>
      </c>
      <c r="C19" s="259" t="n">
        <v>44344</v>
      </c>
      <c r="D19" s="213" t="n">
        <v>24585.7</v>
      </c>
      <c r="E19" s="51" t="inlineStr">
        <is>
          <t>Logistics</t>
        </is>
      </c>
    </row>
    <row r="20">
      <c r="A20" s="258" t="inlineStr">
        <is>
          <t>2475</t>
        </is>
      </c>
      <c r="B20" s="51" t="inlineStr">
        <is>
          <t>LUXSHARE ICT</t>
        </is>
      </c>
      <c r="C20" s="259" t="n">
        <v>46212</v>
      </c>
      <c r="D20" s="213" t="n">
        <v>24266.2</v>
      </c>
      <c r="E20" s="51" t="inlineStr">
        <is>
          <t>Smart hardware / consumer electronics</t>
        </is>
      </c>
    </row>
    <row r="21">
      <c r="A21" s="258" t="inlineStr">
        <is>
          <t>9888</t>
        </is>
      </c>
      <c r="B21" s="51" t="inlineStr">
        <is>
          <t>BIDU-SW</t>
        </is>
      </c>
      <c r="C21" s="259" t="n">
        <v>44278</v>
      </c>
      <c r="D21" s="213" t="n">
        <v>23940</v>
      </c>
      <c r="E21" s="51" t="inlineStr">
        <is>
          <t>Internet platform / e-commerce</t>
        </is>
      </c>
    </row>
    <row r="22">
      <c r="A22" s="258" t="inlineStr">
        <is>
          <t>9626</t>
        </is>
      </c>
      <c r="B22" s="51" t="inlineStr">
        <is>
          <t>BILIBILI-SW</t>
        </is>
      </c>
      <c r="C22" s="259" t="n">
        <v>44284</v>
      </c>
      <c r="D22" s="213" t="n">
        <v>20200</v>
      </c>
      <c r="E22" s="51" t="inlineStr">
        <is>
          <t>Internet platform / e-commerce</t>
        </is>
      </c>
    </row>
    <row r="23">
      <c r="A23" s="258" t="inlineStr">
        <is>
          <t>2476</t>
        </is>
      </c>
      <c r="B23" s="51" t="inlineStr">
        <is>
          <t>VGT</t>
        </is>
      </c>
      <c r="C23" s="259" t="n">
        <v>46133</v>
      </c>
      <c r="D23" s="213" t="n">
        <v>20117</v>
      </c>
      <c r="E23" s="51" t="inlineStr">
        <is>
          <t>Smart hardware / consumer electronics</t>
        </is>
      </c>
    </row>
    <row r="24">
      <c r="A24" s="258" t="inlineStr">
        <is>
          <t>2378</t>
        </is>
      </c>
      <c r="B24" s="51" t="inlineStr">
        <is>
          <t>PRU</t>
        </is>
      </c>
      <c r="C24" s="259" t="n">
        <v>44473</v>
      </c>
      <c r="D24" s="213" t="n">
        <v>18500</v>
      </c>
      <c r="E24" s="51" t="inlineStr">
        <is>
          <t>Insurance</t>
        </is>
      </c>
    </row>
    <row r="25">
      <c r="A25" s="258" t="inlineStr">
        <is>
          <t>1880</t>
        </is>
      </c>
      <c r="B25" s="51" t="inlineStr">
        <is>
          <t>CTG DUTY-FREE</t>
        </is>
      </c>
      <c r="C25" s="259" t="n">
        <v>44798</v>
      </c>
      <c r="D25" s="213" t="n">
        <v>16236.4</v>
      </c>
      <c r="E25" s="51" t="inlineStr">
        <is>
          <t>Retail / distribution</t>
        </is>
      </c>
    </row>
    <row r="26">
      <c r="A26" s="258" t="inlineStr">
        <is>
          <t>9927</t>
        </is>
      </c>
      <c r="B26" s="51" t="inlineStr">
        <is>
          <t>SERES</t>
        </is>
      </c>
      <c r="C26" s="259" t="n">
        <v>45966</v>
      </c>
      <c r="D26" s="213" t="n">
        <v>14283.4</v>
      </c>
      <c r="E26" s="51" t="inlineStr">
        <is>
          <t>Autos (NEV OEM)</t>
        </is>
      </c>
    </row>
    <row r="27">
      <c r="A27" s="258" t="inlineStr">
        <is>
          <t>9868</t>
        </is>
      </c>
      <c r="B27" s="51" t="inlineStr">
        <is>
          <t>XPENG-W</t>
        </is>
      </c>
      <c r="C27" s="259" t="n">
        <v>44384</v>
      </c>
      <c r="D27" s="213" t="n">
        <v>14025</v>
      </c>
      <c r="E27" s="51" t="inlineStr">
        <is>
          <t>Autos (NEV OEM)</t>
        </is>
      </c>
    </row>
    <row r="28">
      <c r="A28" s="258" t="inlineStr">
        <is>
          <t>0625</t>
        </is>
      </c>
      <c r="B28" s="51" t="inlineStr">
        <is>
          <t>SHEIN-W</t>
        </is>
      </c>
      <c r="C28" s="259" t="n">
        <v>46266</v>
      </c>
      <c r="D28" s="213" t="n">
        <v>13596.4</v>
      </c>
      <c r="E28" s="51" t="inlineStr">
        <is>
          <t>Apparel / luxury</t>
        </is>
      </c>
    </row>
  </sheetData>
  <printOptions horizontalCentered="1"/>
  <pageMargins left="0.75" right="0.75" top="1" bottom="1" header="0.5" footer="0.5"/>
  <pageSetup orientation="landscape" paperSize="8" fitToHeight="0" fitToWidth="1"/>
</worksheet>
</file>

<file path=xl/worksheets/sheet12.xml><?xml version="1.0" encoding="utf-8"?>
<worksheet xmlns="http://schemas.openxmlformats.org/spreadsheetml/2006/main">
  <sheetPr>
    <tabColor rgb="00BFBFBF"/>
    <outlinePr summaryBelow="1" summaryRight="1"/>
    <pageSetUpPr fitToPage="1"/>
  </sheetPr>
  <dimension ref="A1:T530"/>
  <sheetViews>
    <sheetView showGridLines="0" zoomScale="95"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ht="30" customHeight="1">
      <c r="A1" s="35" t="inlineStr">
        <is>
          <t>BLOOMBERG CROSS-CHECK (terminal only)</t>
        </is>
      </c>
    </row>
    <row r="2" ht="34" customHeight="1">
      <c r="A2" s="36" t="inlineStr">
        <is>
          <t>Column B pulls each deal's Bloomberg IPO order ID; the columns after it feed off that ID and sit beside the scraped values. The BDS calls are heavy: let it run once, then paste values if you want it static.</t>
        </is>
      </c>
    </row>
    <row r="3"/>
    <row r="4" ht="56" customHeight="1">
      <c r="A4" s="45" t="inlineStr">
        <is>
          <t>Code / Name</t>
        </is>
      </c>
      <c r="B4" s="45" t="inlineStr">
        <is>
          <t>BBG IPO order ID</t>
        </is>
      </c>
      <c r="C4" s="45" t="inlineStr">
        <is>
          <t>Retail o/sub CP036</t>
        </is>
      </c>
      <c r="D4" s="45" t="inlineStr">
        <is>
          <t>Scraped public sub</t>
        </is>
      </c>
      <c r="E4" s="45" t="inlineStr">
        <is>
          <t>Instn o/sub CP037</t>
        </is>
      </c>
      <c r="F4" s="45" t="inlineStr">
        <is>
          <t>Scraped intl sub</t>
        </is>
      </c>
      <c r="G4" s="45" t="inlineStr">
        <is>
          <t>Greenshoe facility</t>
        </is>
      </c>
      <c r="H4" s="45" t="inlineStr">
        <is>
          <t>Shoe exercised (BBG)</t>
        </is>
      </c>
      <c r="I4" s="45" t="inlineStr">
        <is>
          <t>Shoe outcome (scraped)</t>
        </is>
      </c>
      <c r="J4" s="45" t="inlineStr">
        <is>
          <t>Current P/E (BBG)</t>
        </is>
      </c>
      <c r="K4" s="45" t="inlineStr">
        <is>
          <t>A/H conversion (BBG)</t>
        </is>
      </c>
      <c r="L4" s="45" t="inlineStr">
        <is>
          <t>A-share (scraped)</t>
        </is>
      </c>
      <c r="M4" s="45" t="inlineStr">
        <is>
          <t>Mkt cap at listing (BBG)</t>
        </is>
      </c>
      <c r="N4" s="45" t="inlineStr">
        <is>
          <t>Mkt cap (scraped)</t>
        </is>
      </c>
      <c r="O4" s="45" t="inlineStr">
        <is>
          <t>P/E at listing (BBG)</t>
        </is>
      </c>
      <c r="P4" s="45" t="inlineStr">
        <is>
          <t>P/E at IPO (scraped)</t>
        </is>
      </c>
      <c r="Q4" s="45" t="inlineStr">
        <is>
          <t>A-share P/E at H-IPO (BBG)</t>
        </is>
      </c>
      <c r="R4" s="45" t="inlineStr">
        <is>
          <t>HSAHP Index at IPO (BBG)</t>
        </is>
      </c>
      <c r="S4" s="45" t="inlineStr">
        <is>
          <t>P/S today (BBG)</t>
        </is>
      </c>
      <c r="T4" s="45" t="inlineStr">
        <is>
          <t>A security cap now (HK$m, BBG)</t>
        </is>
      </c>
    </row>
    <row r="5" ht="23" customHeight="1">
      <c r="A5" s="51">
        <f>Database!A5&amp;"  "&amp;Database!B5</f>
        <v/>
      </c>
      <c r="B5" s="43">
        <f>IFERROR(INDEX(BDS(TEXT(VALUE(Database!$A5),"0")&amp;" HK Equity","EQUITY_OFFERINGS","array=t","endcol=1"),MATCH("IPO",BDS(TEXT(VALUE(Database!$A5),"0")&amp;" HK Equity","EQUITY_OFFERINGS","array=t","startcol=2","endcol=2"),0)),"")</f>
        <v/>
      </c>
      <c r="C5" s="260">
        <f>IF($B5="","",IFERROR(BDP($B5&amp;" Action","CP036"),""))</f>
        <v/>
      </c>
      <c r="D5" s="261">
        <f>Database!S5</f>
        <v/>
      </c>
      <c r="E5" s="260">
        <f>IF($B5="","",IFERROR(BDP($B5&amp;" Action","CP037"),""))</f>
        <v/>
      </c>
      <c r="F5" s="261">
        <f>Database!T5</f>
        <v/>
      </c>
      <c r="G5" s="260">
        <f>IF($B5="","",IFERROR(BDP($B5&amp;" Action","GREENSHOE_FACILITY"),""))</f>
        <v/>
      </c>
      <c r="H5" s="260">
        <f>IF($B5="","",IFERROR(BDP($B5&amp;" Action","OFFERING_GREENSHOE_SHARES_EX"),""))</f>
        <v/>
      </c>
      <c r="I5" s="51">
        <f>Database!AE5</f>
        <v/>
      </c>
      <c r="J5" s="58">
        <f>IFERROR(BDP(TEXT(VALUE(Database!$A5),"0")&amp;" HK Equity","PE_RATIO"),"")</f>
        <v/>
      </c>
      <c r="K5" s="43">
        <f>IFERROR(BDP(TEXT(VALUE(Database!$A5),"0")&amp;" HK Equity","A/H_SHARE_CONVERSION"),"")</f>
        <v/>
      </c>
      <c r="L5" s="51">
        <f>IF(Database!BN5="","(none found)",Database!BN5)</f>
        <v/>
      </c>
      <c r="M5" s="53">
        <f>IFERROR(INDEX(BDH(TEXT(VALUE(Database!$A5),"0")&amp;" HK Equity","CUR_MKT_CAP",Database!$H5,Database!$H5),MATCH(Database!$H5,INDEX(BDH(TEXT(VALUE(Database!$A5),"0")&amp;" HK Equity","CUR_MKT_CAP",Database!$H5,Database!$H5),0,1),0),2),"run on terminal")</f>
        <v/>
      </c>
      <c r="N5" s="213">
        <f>Database!Q5</f>
        <v/>
      </c>
      <c r="O5" s="58">
        <f>IFERROR(INDEX(BDH(TEXT(VALUE(Database!$A5),"0")&amp;" HK Equity","PE_RATIO",Database!$H5,Database!$H5),MATCH(Database!$H5,INDEX(BDH(TEXT(VALUE(Database!$A5),"0")&amp;" HK Equity","PE_RATIO",Database!$H5,Database!$H5),0,1),0),2),"run on terminal")</f>
        <v/>
      </c>
      <c r="P5" s="251">
        <f>IF(Database!BH5="","(n/m or not derivable)",Database!BH5)</f>
        <v/>
      </c>
      <c r="Q5" s="58">
        <f>IF(Database!BN5="","",IFERROR(INDEX(BDH(LEFT(Database!BN5,FIND(".",Database!BN5)-1)&amp;" CH Equity","PE_RATIO",Database!$H5,Database!$H5),MATCH(Database!$H5,INDEX(BDH(LEFT(Database!BN5,FIND(".",Database!BN5)-1)&amp;" CH Equity","PE_RATIO",Database!$H5,Database!$H5),0,1),0),2),"run on terminal"))</f>
        <v/>
      </c>
      <c r="R5" s="58">
        <f>IF(Database!BN5="","",IFERROR(INDEX(BDH("HSAHP Index","PX_LAST",Database!$H5,Database!$H5),MATCH(Database!$H5,INDEX(BDH("HSAHP Index","PX_LAST",Database!$H5,Database!$H5),0,1),0),2),"run on terminal"))</f>
        <v/>
      </c>
      <c r="S5" s="58">
        <f>IFERROR(BDP(TEXT(VALUE(Database!$A5),"0")&amp;" HK Equity","PX_TO_SALES_RATIO"),"")</f>
        <v/>
      </c>
      <c r="T5" s="53">
        <f>IF(Database!BN5="","",IFERROR(BDP(LEFT(Database!BN5,FIND(".",Database!BN5)-1)&amp;" CH Equity","CUR_MKT_CAP")*BDP("CNYHKD Curncy","PX_LAST"),"run on terminal"))</f>
        <v/>
      </c>
    </row>
    <row r="6" ht="23" customHeight="1">
      <c r="A6" s="51">
        <f>Database!A6&amp;"  "&amp;Database!B6</f>
        <v/>
      </c>
      <c r="B6" s="43">
        <f>IFERROR(INDEX(BDS(TEXT(VALUE(Database!$A6),"0")&amp;" HK Equity","EQUITY_OFFERINGS","array=t","endcol=1"),MATCH("IPO",BDS(TEXT(VALUE(Database!$A6),"0")&amp;" HK Equity","EQUITY_OFFERINGS","array=t","startcol=2","endcol=2"),0)),"")</f>
        <v/>
      </c>
      <c r="C6" s="260">
        <f>IF($B6="","",IFERROR(BDP($B6&amp;" Action","CP036"),""))</f>
        <v/>
      </c>
      <c r="D6" s="261">
        <f>Database!S6</f>
        <v/>
      </c>
      <c r="E6" s="260">
        <f>IF($B6="","",IFERROR(BDP($B6&amp;" Action","CP037"),""))</f>
        <v/>
      </c>
      <c r="F6" s="261">
        <f>Database!T6</f>
        <v/>
      </c>
      <c r="G6" s="260">
        <f>IF($B6="","",IFERROR(BDP($B6&amp;" Action","GREENSHOE_FACILITY"),""))</f>
        <v/>
      </c>
      <c r="H6" s="260">
        <f>IF($B6="","",IFERROR(BDP($B6&amp;" Action","OFFERING_GREENSHOE_SHARES_EX"),""))</f>
        <v/>
      </c>
      <c r="I6" s="51">
        <f>Database!AE6</f>
        <v/>
      </c>
      <c r="J6" s="58">
        <f>IFERROR(BDP(TEXT(VALUE(Database!$A6),"0")&amp;" HK Equity","PE_RATIO"),"")</f>
        <v/>
      </c>
      <c r="K6" s="43">
        <f>IFERROR(BDP(TEXT(VALUE(Database!$A6),"0")&amp;" HK Equity","A/H_SHARE_CONVERSION"),"")</f>
        <v/>
      </c>
      <c r="L6" s="51">
        <f>IF(Database!BN6="","(none found)",Database!BN6)</f>
        <v/>
      </c>
      <c r="M6" s="53">
        <f>IFERROR(INDEX(BDH(TEXT(VALUE(Database!$A6),"0")&amp;" HK Equity","CUR_MKT_CAP",Database!$H6,Database!$H6),MATCH(Database!$H6,INDEX(BDH(TEXT(VALUE(Database!$A6),"0")&amp;" HK Equity","CUR_MKT_CAP",Database!$H6,Database!$H6),0,1),0),2),"run on terminal")</f>
        <v/>
      </c>
      <c r="N6" s="213">
        <f>Database!Q6</f>
        <v/>
      </c>
      <c r="O6" s="58">
        <f>IFERROR(INDEX(BDH(TEXT(VALUE(Database!$A6),"0")&amp;" HK Equity","PE_RATIO",Database!$H6,Database!$H6),MATCH(Database!$H6,INDEX(BDH(TEXT(VALUE(Database!$A6),"0")&amp;" HK Equity","PE_RATIO",Database!$H6,Database!$H6),0,1),0),2),"run on terminal")</f>
        <v/>
      </c>
      <c r="P6" s="251">
        <f>IF(Database!BH6="","(n/m or not derivable)",Database!BH6)</f>
        <v/>
      </c>
      <c r="Q6" s="58">
        <f>IF(Database!BN6="","",IFERROR(INDEX(BDH(LEFT(Database!BN6,FIND(".",Database!BN6)-1)&amp;" CH Equity","PE_RATIO",Database!$H6,Database!$H6),MATCH(Database!$H6,INDEX(BDH(LEFT(Database!BN6,FIND(".",Database!BN6)-1)&amp;" CH Equity","PE_RATIO",Database!$H6,Database!$H6),0,1),0),2),"run on terminal"))</f>
        <v/>
      </c>
      <c r="R6" s="58">
        <f>IF(Database!BN6="","",IFERROR(INDEX(BDH("HSAHP Index","PX_LAST",Database!$H6,Database!$H6),MATCH(Database!$H6,INDEX(BDH("HSAHP Index","PX_LAST",Database!$H6,Database!$H6),0,1),0),2),"run on terminal"))</f>
        <v/>
      </c>
      <c r="S6" s="58">
        <f>IFERROR(BDP(TEXT(VALUE(Database!$A6),"0")&amp;" HK Equity","PX_TO_SALES_RATIO"),"")</f>
        <v/>
      </c>
      <c r="T6" s="53">
        <f>IF(Database!BN6="","",IFERROR(BDP(LEFT(Database!BN6,FIND(".",Database!BN6)-1)&amp;" CH Equity","CUR_MKT_CAP")*BDP("CNYHKD Curncy","PX_LAST"),"run on terminal"))</f>
        <v/>
      </c>
    </row>
    <row r="7" ht="23" customHeight="1">
      <c r="A7" s="51">
        <f>Database!A7&amp;"  "&amp;Database!B7</f>
        <v/>
      </c>
      <c r="B7" s="43">
        <f>IFERROR(INDEX(BDS(TEXT(VALUE(Database!$A7),"0")&amp;" HK Equity","EQUITY_OFFERINGS","array=t","endcol=1"),MATCH("IPO",BDS(TEXT(VALUE(Database!$A7),"0")&amp;" HK Equity","EQUITY_OFFERINGS","array=t","startcol=2","endcol=2"),0)),"")</f>
        <v/>
      </c>
      <c r="C7" s="260">
        <f>IF($B7="","",IFERROR(BDP($B7&amp;" Action","CP036"),""))</f>
        <v/>
      </c>
      <c r="D7" s="261">
        <f>Database!S7</f>
        <v/>
      </c>
      <c r="E7" s="260">
        <f>IF($B7="","",IFERROR(BDP($B7&amp;" Action","CP037"),""))</f>
        <v/>
      </c>
      <c r="F7" s="261">
        <f>Database!T7</f>
        <v/>
      </c>
      <c r="G7" s="260">
        <f>IF($B7="","",IFERROR(BDP($B7&amp;" Action","GREENSHOE_FACILITY"),""))</f>
        <v/>
      </c>
      <c r="H7" s="260">
        <f>IF($B7="","",IFERROR(BDP($B7&amp;" Action","OFFERING_GREENSHOE_SHARES_EX"),""))</f>
        <v/>
      </c>
      <c r="I7" s="51">
        <f>Database!AE7</f>
        <v/>
      </c>
      <c r="J7" s="58">
        <f>IFERROR(BDP(TEXT(VALUE(Database!$A7),"0")&amp;" HK Equity","PE_RATIO"),"")</f>
        <v/>
      </c>
      <c r="K7" s="43">
        <f>IFERROR(BDP(TEXT(VALUE(Database!$A7),"0")&amp;" HK Equity","A/H_SHARE_CONVERSION"),"")</f>
        <v/>
      </c>
      <c r="L7" s="51">
        <f>IF(Database!BN7="","(none found)",Database!BN7)</f>
        <v/>
      </c>
      <c r="M7" s="53">
        <f>IFERROR(INDEX(BDH(TEXT(VALUE(Database!$A7),"0")&amp;" HK Equity","CUR_MKT_CAP",Database!$H7,Database!$H7),MATCH(Database!$H7,INDEX(BDH(TEXT(VALUE(Database!$A7),"0")&amp;" HK Equity","CUR_MKT_CAP",Database!$H7,Database!$H7),0,1),0),2),"run on terminal")</f>
        <v/>
      </c>
      <c r="N7" s="213">
        <f>Database!Q7</f>
        <v/>
      </c>
      <c r="O7" s="58">
        <f>IFERROR(INDEX(BDH(TEXT(VALUE(Database!$A7),"0")&amp;" HK Equity","PE_RATIO",Database!$H7,Database!$H7),MATCH(Database!$H7,INDEX(BDH(TEXT(VALUE(Database!$A7),"0")&amp;" HK Equity","PE_RATIO",Database!$H7,Database!$H7),0,1),0),2),"run on terminal")</f>
        <v/>
      </c>
      <c r="P7" s="251">
        <f>IF(Database!BH7="","(n/m or not derivable)",Database!BH7)</f>
        <v/>
      </c>
      <c r="Q7" s="58">
        <f>IF(Database!BN7="","",IFERROR(INDEX(BDH(LEFT(Database!BN7,FIND(".",Database!BN7)-1)&amp;" CH Equity","PE_RATIO",Database!$H7,Database!$H7),MATCH(Database!$H7,INDEX(BDH(LEFT(Database!BN7,FIND(".",Database!BN7)-1)&amp;" CH Equity","PE_RATIO",Database!$H7,Database!$H7),0,1),0),2),"run on terminal"))</f>
        <v/>
      </c>
      <c r="R7" s="58">
        <f>IF(Database!BN7="","",IFERROR(INDEX(BDH("HSAHP Index","PX_LAST",Database!$H7,Database!$H7),MATCH(Database!$H7,INDEX(BDH("HSAHP Index","PX_LAST",Database!$H7,Database!$H7),0,1),0),2),"run on terminal"))</f>
        <v/>
      </c>
      <c r="S7" s="58">
        <f>IFERROR(BDP(TEXT(VALUE(Database!$A7),"0")&amp;" HK Equity","PX_TO_SALES_RATIO"),"")</f>
        <v/>
      </c>
      <c r="T7" s="53">
        <f>IF(Database!BN7="","",IFERROR(BDP(LEFT(Database!BN7,FIND(".",Database!BN7)-1)&amp;" CH Equity","CUR_MKT_CAP")*BDP("CNYHKD Curncy","PX_LAST"),"run on terminal"))</f>
        <v/>
      </c>
    </row>
    <row r="8" ht="23" customHeight="1">
      <c r="A8" s="51">
        <f>Database!A8&amp;"  "&amp;Database!B8</f>
        <v/>
      </c>
      <c r="B8" s="43">
        <f>IFERROR(INDEX(BDS(TEXT(VALUE(Database!$A8),"0")&amp;" HK Equity","EQUITY_OFFERINGS","array=t","endcol=1"),MATCH("IPO",BDS(TEXT(VALUE(Database!$A8),"0")&amp;" HK Equity","EQUITY_OFFERINGS","array=t","startcol=2","endcol=2"),0)),"")</f>
        <v/>
      </c>
      <c r="C8" s="260">
        <f>IF($B8="","",IFERROR(BDP($B8&amp;" Action","CP036"),""))</f>
        <v/>
      </c>
      <c r="D8" s="261">
        <f>Database!S8</f>
        <v/>
      </c>
      <c r="E8" s="260">
        <f>IF($B8="","",IFERROR(BDP($B8&amp;" Action","CP037"),""))</f>
        <v/>
      </c>
      <c r="F8" s="261">
        <f>Database!T8</f>
        <v/>
      </c>
      <c r="G8" s="260">
        <f>IF($B8="","",IFERROR(BDP($B8&amp;" Action","GREENSHOE_FACILITY"),""))</f>
        <v/>
      </c>
      <c r="H8" s="260">
        <f>IF($B8="","",IFERROR(BDP($B8&amp;" Action","OFFERING_GREENSHOE_SHARES_EX"),""))</f>
        <v/>
      </c>
      <c r="I8" s="51">
        <f>Database!AE8</f>
        <v/>
      </c>
      <c r="J8" s="58">
        <f>IFERROR(BDP(TEXT(VALUE(Database!$A8),"0")&amp;" HK Equity","PE_RATIO"),"")</f>
        <v/>
      </c>
      <c r="K8" s="43">
        <f>IFERROR(BDP(TEXT(VALUE(Database!$A8),"0")&amp;" HK Equity","A/H_SHARE_CONVERSION"),"")</f>
        <v/>
      </c>
      <c r="L8" s="51">
        <f>IF(Database!BN8="","(none found)",Database!BN8)</f>
        <v/>
      </c>
      <c r="M8" s="53">
        <f>IFERROR(INDEX(BDH(TEXT(VALUE(Database!$A8),"0")&amp;" HK Equity","CUR_MKT_CAP",Database!$H8,Database!$H8),MATCH(Database!$H8,INDEX(BDH(TEXT(VALUE(Database!$A8),"0")&amp;" HK Equity","CUR_MKT_CAP",Database!$H8,Database!$H8),0,1),0),2),"run on terminal")</f>
        <v/>
      </c>
      <c r="N8" s="213">
        <f>Database!Q8</f>
        <v/>
      </c>
      <c r="O8" s="58">
        <f>IFERROR(INDEX(BDH(TEXT(VALUE(Database!$A8),"0")&amp;" HK Equity","PE_RATIO",Database!$H8,Database!$H8),MATCH(Database!$H8,INDEX(BDH(TEXT(VALUE(Database!$A8),"0")&amp;" HK Equity","PE_RATIO",Database!$H8,Database!$H8),0,1),0),2),"run on terminal")</f>
        <v/>
      </c>
      <c r="P8" s="251">
        <f>IF(Database!BH8="","(n/m or not derivable)",Database!BH8)</f>
        <v/>
      </c>
      <c r="Q8" s="58">
        <f>IF(Database!BN8="","",IFERROR(INDEX(BDH(LEFT(Database!BN8,FIND(".",Database!BN8)-1)&amp;" CH Equity","PE_RATIO",Database!$H8,Database!$H8),MATCH(Database!$H8,INDEX(BDH(LEFT(Database!BN8,FIND(".",Database!BN8)-1)&amp;" CH Equity","PE_RATIO",Database!$H8,Database!$H8),0,1),0),2),"run on terminal"))</f>
        <v/>
      </c>
      <c r="R8" s="58">
        <f>IF(Database!BN8="","",IFERROR(INDEX(BDH("HSAHP Index","PX_LAST",Database!$H8,Database!$H8),MATCH(Database!$H8,INDEX(BDH("HSAHP Index","PX_LAST",Database!$H8,Database!$H8),0,1),0),2),"run on terminal"))</f>
        <v/>
      </c>
      <c r="S8" s="58">
        <f>IFERROR(BDP(TEXT(VALUE(Database!$A8),"0")&amp;" HK Equity","PX_TO_SALES_RATIO"),"")</f>
        <v/>
      </c>
      <c r="T8" s="53">
        <f>IF(Database!BN8="","",IFERROR(BDP(LEFT(Database!BN8,FIND(".",Database!BN8)-1)&amp;" CH Equity","CUR_MKT_CAP")*BDP("CNYHKD Curncy","PX_LAST"),"run on terminal"))</f>
        <v/>
      </c>
    </row>
    <row r="9" ht="23" customHeight="1">
      <c r="A9" s="51">
        <f>Database!A9&amp;"  "&amp;Database!B9</f>
        <v/>
      </c>
      <c r="B9" s="43">
        <f>IFERROR(INDEX(BDS(TEXT(VALUE(Database!$A9),"0")&amp;" HK Equity","EQUITY_OFFERINGS","array=t","endcol=1"),MATCH("IPO",BDS(TEXT(VALUE(Database!$A9),"0")&amp;" HK Equity","EQUITY_OFFERINGS","array=t","startcol=2","endcol=2"),0)),"")</f>
        <v/>
      </c>
      <c r="C9" s="260">
        <f>IF($B9="","",IFERROR(BDP($B9&amp;" Action","CP036"),""))</f>
        <v/>
      </c>
      <c r="D9" s="261">
        <f>Database!S9</f>
        <v/>
      </c>
      <c r="E9" s="260">
        <f>IF($B9="","",IFERROR(BDP($B9&amp;" Action","CP037"),""))</f>
        <v/>
      </c>
      <c r="F9" s="261">
        <f>Database!T9</f>
        <v/>
      </c>
      <c r="G9" s="260">
        <f>IF($B9="","",IFERROR(BDP($B9&amp;" Action","GREENSHOE_FACILITY"),""))</f>
        <v/>
      </c>
      <c r="H9" s="260">
        <f>IF($B9="","",IFERROR(BDP($B9&amp;" Action","OFFERING_GREENSHOE_SHARES_EX"),""))</f>
        <v/>
      </c>
      <c r="I9" s="51">
        <f>Database!AE9</f>
        <v/>
      </c>
      <c r="J9" s="58">
        <f>IFERROR(BDP(TEXT(VALUE(Database!$A9),"0")&amp;" HK Equity","PE_RATIO"),"")</f>
        <v/>
      </c>
      <c r="K9" s="43">
        <f>IFERROR(BDP(TEXT(VALUE(Database!$A9),"0")&amp;" HK Equity","A/H_SHARE_CONVERSION"),"")</f>
        <v/>
      </c>
      <c r="L9" s="51">
        <f>IF(Database!BN9="","(none found)",Database!BN9)</f>
        <v/>
      </c>
      <c r="M9" s="53">
        <f>IFERROR(INDEX(BDH(TEXT(VALUE(Database!$A9),"0")&amp;" HK Equity","CUR_MKT_CAP",Database!$H9,Database!$H9),MATCH(Database!$H9,INDEX(BDH(TEXT(VALUE(Database!$A9),"0")&amp;" HK Equity","CUR_MKT_CAP",Database!$H9,Database!$H9),0,1),0),2),"run on terminal")</f>
        <v/>
      </c>
      <c r="N9" s="213">
        <f>Database!Q9</f>
        <v/>
      </c>
      <c r="O9" s="58">
        <f>IFERROR(INDEX(BDH(TEXT(VALUE(Database!$A9),"0")&amp;" HK Equity","PE_RATIO",Database!$H9,Database!$H9),MATCH(Database!$H9,INDEX(BDH(TEXT(VALUE(Database!$A9),"0")&amp;" HK Equity","PE_RATIO",Database!$H9,Database!$H9),0,1),0),2),"run on terminal")</f>
        <v/>
      </c>
      <c r="P9" s="251">
        <f>IF(Database!BH9="","(n/m or not derivable)",Database!BH9)</f>
        <v/>
      </c>
      <c r="Q9" s="58">
        <f>IF(Database!BN9="","",IFERROR(INDEX(BDH(LEFT(Database!BN9,FIND(".",Database!BN9)-1)&amp;" CH Equity","PE_RATIO",Database!$H9,Database!$H9),MATCH(Database!$H9,INDEX(BDH(LEFT(Database!BN9,FIND(".",Database!BN9)-1)&amp;" CH Equity","PE_RATIO",Database!$H9,Database!$H9),0,1),0),2),"run on terminal"))</f>
        <v/>
      </c>
      <c r="R9" s="58">
        <f>IF(Database!BN9="","",IFERROR(INDEX(BDH("HSAHP Index","PX_LAST",Database!$H9,Database!$H9),MATCH(Database!$H9,INDEX(BDH("HSAHP Index","PX_LAST",Database!$H9,Database!$H9),0,1),0),2),"run on terminal"))</f>
        <v/>
      </c>
      <c r="S9" s="58">
        <f>IFERROR(BDP(TEXT(VALUE(Database!$A9),"0")&amp;" HK Equity","PX_TO_SALES_RATIO"),"")</f>
        <v/>
      </c>
      <c r="T9" s="53">
        <f>IF(Database!BN9="","",IFERROR(BDP(LEFT(Database!BN9,FIND(".",Database!BN9)-1)&amp;" CH Equity","CUR_MKT_CAP")*BDP("CNYHKD Curncy","PX_LAST"),"run on terminal"))</f>
        <v/>
      </c>
    </row>
    <row r="10" ht="23" customHeight="1">
      <c r="A10" s="51">
        <f>Database!A10&amp;"  "&amp;Database!B10</f>
        <v/>
      </c>
      <c r="B10" s="43">
        <f>IFERROR(INDEX(BDS(TEXT(VALUE(Database!$A10),"0")&amp;" HK Equity","EQUITY_OFFERINGS","array=t","endcol=1"),MATCH("IPO",BDS(TEXT(VALUE(Database!$A10),"0")&amp;" HK Equity","EQUITY_OFFERINGS","array=t","startcol=2","endcol=2"),0)),"")</f>
        <v/>
      </c>
      <c r="C10" s="260">
        <f>IF($B10="","",IFERROR(BDP($B10&amp;" Action","CP036"),""))</f>
        <v/>
      </c>
      <c r="D10" s="261">
        <f>Database!S10</f>
        <v/>
      </c>
      <c r="E10" s="260">
        <f>IF($B10="","",IFERROR(BDP($B10&amp;" Action","CP037"),""))</f>
        <v/>
      </c>
      <c r="F10" s="261">
        <f>Database!T10</f>
        <v/>
      </c>
      <c r="G10" s="260">
        <f>IF($B10="","",IFERROR(BDP($B10&amp;" Action","GREENSHOE_FACILITY"),""))</f>
        <v/>
      </c>
      <c r="H10" s="260">
        <f>IF($B10="","",IFERROR(BDP($B10&amp;" Action","OFFERING_GREENSHOE_SHARES_EX"),""))</f>
        <v/>
      </c>
      <c r="I10" s="51">
        <f>Database!AE10</f>
        <v/>
      </c>
      <c r="J10" s="58">
        <f>IFERROR(BDP(TEXT(VALUE(Database!$A10),"0")&amp;" HK Equity","PE_RATIO"),"")</f>
        <v/>
      </c>
      <c r="K10" s="43">
        <f>IFERROR(BDP(TEXT(VALUE(Database!$A10),"0")&amp;" HK Equity","A/H_SHARE_CONVERSION"),"")</f>
        <v/>
      </c>
      <c r="L10" s="51">
        <f>IF(Database!BN10="","(none found)",Database!BN10)</f>
        <v/>
      </c>
      <c r="M10" s="53">
        <f>IFERROR(INDEX(BDH(TEXT(VALUE(Database!$A10),"0")&amp;" HK Equity","CUR_MKT_CAP",Database!$H10,Database!$H10),MATCH(Database!$H10,INDEX(BDH(TEXT(VALUE(Database!$A10),"0")&amp;" HK Equity","CUR_MKT_CAP",Database!$H10,Database!$H10),0,1),0),2),"run on terminal")</f>
        <v/>
      </c>
      <c r="N10" s="213">
        <f>Database!Q10</f>
        <v/>
      </c>
      <c r="O10" s="58">
        <f>IFERROR(INDEX(BDH(TEXT(VALUE(Database!$A10),"0")&amp;" HK Equity","PE_RATIO",Database!$H10,Database!$H10),MATCH(Database!$H10,INDEX(BDH(TEXT(VALUE(Database!$A10),"0")&amp;" HK Equity","PE_RATIO",Database!$H10,Database!$H10),0,1),0),2),"run on terminal")</f>
        <v/>
      </c>
      <c r="P10" s="251">
        <f>IF(Database!BH10="","(n/m or not derivable)",Database!BH10)</f>
        <v/>
      </c>
      <c r="Q10" s="58">
        <f>IF(Database!BN10="","",IFERROR(INDEX(BDH(LEFT(Database!BN10,FIND(".",Database!BN10)-1)&amp;" CH Equity","PE_RATIO",Database!$H10,Database!$H10),MATCH(Database!$H10,INDEX(BDH(LEFT(Database!BN10,FIND(".",Database!BN10)-1)&amp;" CH Equity","PE_RATIO",Database!$H10,Database!$H10),0,1),0),2),"run on terminal"))</f>
        <v/>
      </c>
      <c r="R10" s="58">
        <f>IF(Database!BN10="","",IFERROR(INDEX(BDH("HSAHP Index","PX_LAST",Database!$H10,Database!$H10),MATCH(Database!$H10,INDEX(BDH("HSAHP Index","PX_LAST",Database!$H10,Database!$H10),0,1),0),2),"run on terminal"))</f>
        <v/>
      </c>
      <c r="S10" s="58">
        <f>IFERROR(BDP(TEXT(VALUE(Database!$A10),"0")&amp;" HK Equity","PX_TO_SALES_RATIO"),"")</f>
        <v/>
      </c>
      <c r="T10" s="53">
        <f>IF(Database!BN10="","",IFERROR(BDP(LEFT(Database!BN10,FIND(".",Database!BN10)-1)&amp;" CH Equity","CUR_MKT_CAP")*BDP("CNYHKD Curncy","PX_LAST"),"run on terminal"))</f>
        <v/>
      </c>
    </row>
    <row r="11" ht="23" customHeight="1">
      <c r="A11" s="51">
        <f>Database!A11&amp;"  "&amp;Database!B11</f>
        <v/>
      </c>
      <c r="B11" s="43">
        <f>IFERROR(INDEX(BDS(TEXT(VALUE(Database!$A11),"0")&amp;" HK Equity","EQUITY_OFFERINGS","array=t","endcol=1"),MATCH("IPO",BDS(TEXT(VALUE(Database!$A11),"0")&amp;" HK Equity","EQUITY_OFFERINGS","array=t","startcol=2","endcol=2"),0)),"")</f>
        <v/>
      </c>
      <c r="C11" s="260">
        <f>IF($B11="","",IFERROR(BDP($B11&amp;" Action","CP036"),""))</f>
        <v/>
      </c>
      <c r="D11" s="261">
        <f>Database!S11</f>
        <v/>
      </c>
      <c r="E11" s="260">
        <f>IF($B11="","",IFERROR(BDP($B11&amp;" Action","CP037"),""))</f>
        <v/>
      </c>
      <c r="F11" s="261">
        <f>Database!T11</f>
        <v/>
      </c>
      <c r="G11" s="260">
        <f>IF($B11="","",IFERROR(BDP($B11&amp;" Action","GREENSHOE_FACILITY"),""))</f>
        <v/>
      </c>
      <c r="H11" s="260">
        <f>IF($B11="","",IFERROR(BDP($B11&amp;" Action","OFFERING_GREENSHOE_SHARES_EX"),""))</f>
        <v/>
      </c>
      <c r="I11" s="51">
        <f>Database!AE11</f>
        <v/>
      </c>
      <c r="J11" s="58">
        <f>IFERROR(BDP(TEXT(VALUE(Database!$A11),"0")&amp;" HK Equity","PE_RATIO"),"")</f>
        <v/>
      </c>
      <c r="K11" s="43">
        <f>IFERROR(BDP(TEXT(VALUE(Database!$A11),"0")&amp;" HK Equity","A/H_SHARE_CONVERSION"),"")</f>
        <v/>
      </c>
      <c r="L11" s="51">
        <f>IF(Database!BN11="","(none found)",Database!BN11)</f>
        <v/>
      </c>
      <c r="M11" s="53">
        <f>IFERROR(INDEX(BDH(TEXT(VALUE(Database!$A11),"0")&amp;" HK Equity","CUR_MKT_CAP",Database!$H11,Database!$H11),MATCH(Database!$H11,INDEX(BDH(TEXT(VALUE(Database!$A11),"0")&amp;" HK Equity","CUR_MKT_CAP",Database!$H11,Database!$H11),0,1),0),2),"run on terminal")</f>
        <v/>
      </c>
      <c r="N11" s="213">
        <f>Database!Q11</f>
        <v/>
      </c>
      <c r="O11" s="58">
        <f>IFERROR(INDEX(BDH(TEXT(VALUE(Database!$A11),"0")&amp;" HK Equity","PE_RATIO",Database!$H11,Database!$H11),MATCH(Database!$H11,INDEX(BDH(TEXT(VALUE(Database!$A11),"0")&amp;" HK Equity","PE_RATIO",Database!$H11,Database!$H11),0,1),0),2),"run on terminal")</f>
        <v/>
      </c>
      <c r="P11" s="251">
        <f>IF(Database!BH11="","(n/m or not derivable)",Database!BH11)</f>
        <v/>
      </c>
      <c r="Q11" s="58">
        <f>IF(Database!BN11="","",IFERROR(INDEX(BDH(LEFT(Database!BN11,FIND(".",Database!BN11)-1)&amp;" CH Equity","PE_RATIO",Database!$H11,Database!$H11),MATCH(Database!$H11,INDEX(BDH(LEFT(Database!BN11,FIND(".",Database!BN11)-1)&amp;" CH Equity","PE_RATIO",Database!$H11,Database!$H11),0,1),0),2),"run on terminal"))</f>
        <v/>
      </c>
      <c r="R11" s="58">
        <f>IF(Database!BN11="","",IFERROR(INDEX(BDH("HSAHP Index","PX_LAST",Database!$H11,Database!$H11),MATCH(Database!$H11,INDEX(BDH("HSAHP Index","PX_LAST",Database!$H11,Database!$H11),0,1),0),2),"run on terminal"))</f>
        <v/>
      </c>
      <c r="S11" s="58">
        <f>IFERROR(BDP(TEXT(VALUE(Database!$A11),"0")&amp;" HK Equity","PX_TO_SALES_RATIO"),"")</f>
        <v/>
      </c>
      <c r="T11" s="53">
        <f>IF(Database!BN11="","",IFERROR(BDP(LEFT(Database!BN11,FIND(".",Database!BN11)-1)&amp;" CH Equity","CUR_MKT_CAP")*BDP("CNYHKD Curncy","PX_LAST"),"run on terminal"))</f>
        <v/>
      </c>
    </row>
    <row r="12" ht="23" customHeight="1">
      <c r="A12" s="51">
        <f>Database!A12&amp;"  "&amp;Database!B12</f>
        <v/>
      </c>
      <c r="B12" s="43">
        <f>IFERROR(INDEX(BDS(TEXT(VALUE(Database!$A12),"0")&amp;" HK Equity","EQUITY_OFFERINGS","array=t","endcol=1"),MATCH("IPO",BDS(TEXT(VALUE(Database!$A12),"0")&amp;" HK Equity","EQUITY_OFFERINGS","array=t","startcol=2","endcol=2"),0)),"")</f>
        <v/>
      </c>
      <c r="C12" s="260">
        <f>IF($B12="","",IFERROR(BDP($B12&amp;" Action","CP036"),""))</f>
        <v/>
      </c>
      <c r="D12" s="261">
        <f>Database!S12</f>
        <v/>
      </c>
      <c r="E12" s="260">
        <f>IF($B12="","",IFERROR(BDP($B12&amp;" Action","CP037"),""))</f>
        <v/>
      </c>
      <c r="F12" s="261">
        <f>Database!T12</f>
        <v/>
      </c>
      <c r="G12" s="260">
        <f>IF($B12="","",IFERROR(BDP($B12&amp;" Action","GREENSHOE_FACILITY"),""))</f>
        <v/>
      </c>
      <c r="H12" s="260">
        <f>IF($B12="","",IFERROR(BDP($B12&amp;" Action","OFFERING_GREENSHOE_SHARES_EX"),""))</f>
        <v/>
      </c>
      <c r="I12" s="51">
        <f>Database!AE12</f>
        <v/>
      </c>
      <c r="J12" s="58">
        <f>IFERROR(BDP(TEXT(VALUE(Database!$A12),"0")&amp;" HK Equity","PE_RATIO"),"")</f>
        <v/>
      </c>
      <c r="K12" s="43">
        <f>IFERROR(BDP(TEXT(VALUE(Database!$A12),"0")&amp;" HK Equity","A/H_SHARE_CONVERSION"),"")</f>
        <v/>
      </c>
      <c r="L12" s="51">
        <f>IF(Database!BN12="","(none found)",Database!BN12)</f>
        <v/>
      </c>
      <c r="M12" s="53">
        <f>IFERROR(INDEX(BDH(TEXT(VALUE(Database!$A12),"0")&amp;" HK Equity","CUR_MKT_CAP",Database!$H12,Database!$H12),MATCH(Database!$H12,INDEX(BDH(TEXT(VALUE(Database!$A12),"0")&amp;" HK Equity","CUR_MKT_CAP",Database!$H12,Database!$H12),0,1),0),2),"run on terminal")</f>
        <v/>
      </c>
      <c r="N12" s="213">
        <f>Database!Q12</f>
        <v/>
      </c>
      <c r="O12" s="58">
        <f>IFERROR(INDEX(BDH(TEXT(VALUE(Database!$A12),"0")&amp;" HK Equity","PE_RATIO",Database!$H12,Database!$H12),MATCH(Database!$H12,INDEX(BDH(TEXT(VALUE(Database!$A12),"0")&amp;" HK Equity","PE_RATIO",Database!$H12,Database!$H12),0,1),0),2),"run on terminal")</f>
        <v/>
      </c>
      <c r="P12" s="251">
        <f>IF(Database!BH12="","(n/m or not derivable)",Database!BH12)</f>
        <v/>
      </c>
      <c r="Q12" s="58">
        <f>IF(Database!BN12="","",IFERROR(INDEX(BDH(LEFT(Database!BN12,FIND(".",Database!BN12)-1)&amp;" CH Equity","PE_RATIO",Database!$H12,Database!$H12),MATCH(Database!$H12,INDEX(BDH(LEFT(Database!BN12,FIND(".",Database!BN12)-1)&amp;" CH Equity","PE_RATIO",Database!$H12,Database!$H12),0,1),0),2),"run on terminal"))</f>
        <v/>
      </c>
      <c r="R12" s="58">
        <f>IF(Database!BN12="","",IFERROR(INDEX(BDH("HSAHP Index","PX_LAST",Database!$H12,Database!$H12),MATCH(Database!$H12,INDEX(BDH("HSAHP Index","PX_LAST",Database!$H12,Database!$H12),0,1),0),2),"run on terminal"))</f>
        <v/>
      </c>
      <c r="S12" s="58">
        <f>IFERROR(BDP(TEXT(VALUE(Database!$A12),"0")&amp;" HK Equity","PX_TO_SALES_RATIO"),"")</f>
        <v/>
      </c>
      <c r="T12" s="53">
        <f>IF(Database!BN12="","",IFERROR(BDP(LEFT(Database!BN12,FIND(".",Database!BN12)-1)&amp;" CH Equity","CUR_MKT_CAP")*BDP("CNYHKD Curncy","PX_LAST"),"run on terminal"))</f>
        <v/>
      </c>
    </row>
    <row r="13" ht="23" customHeight="1">
      <c r="A13" s="51">
        <f>Database!A13&amp;"  "&amp;Database!B13</f>
        <v/>
      </c>
      <c r="B13" s="43">
        <f>IFERROR(INDEX(BDS(TEXT(VALUE(Database!$A13),"0")&amp;" HK Equity","EQUITY_OFFERINGS","array=t","endcol=1"),MATCH("IPO",BDS(TEXT(VALUE(Database!$A13),"0")&amp;" HK Equity","EQUITY_OFFERINGS","array=t","startcol=2","endcol=2"),0)),"")</f>
        <v/>
      </c>
      <c r="C13" s="260">
        <f>IF($B13="","",IFERROR(BDP($B13&amp;" Action","CP036"),""))</f>
        <v/>
      </c>
      <c r="D13" s="261">
        <f>Database!S13</f>
        <v/>
      </c>
      <c r="E13" s="260">
        <f>IF($B13="","",IFERROR(BDP($B13&amp;" Action","CP037"),""))</f>
        <v/>
      </c>
      <c r="F13" s="261">
        <f>Database!T13</f>
        <v/>
      </c>
      <c r="G13" s="260">
        <f>IF($B13="","",IFERROR(BDP($B13&amp;" Action","GREENSHOE_FACILITY"),""))</f>
        <v/>
      </c>
      <c r="H13" s="260">
        <f>IF($B13="","",IFERROR(BDP($B13&amp;" Action","OFFERING_GREENSHOE_SHARES_EX"),""))</f>
        <v/>
      </c>
      <c r="I13" s="51">
        <f>Database!AE13</f>
        <v/>
      </c>
      <c r="J13" s="58">
        <f>IFERROR(BDP(TEXT(VALUE(Database!$A13),"0")&amp;" HK Equity","PE_RATIO"),"")</f>
        <v/>
      </c>
      <c r="K13" s="43">
        <f>IFERROR(BDP(TEXT(VALUE(Database!$A13),"0")&amp;" HK Equity","A/H_SHARE_CONVERSION"),"")</f>
        <v/>
      </c>
      <c r="L13" s="51">
        <f>IF(Database!BN13="","(none found)",Database!BN13)</f>
        <v/>
      </c>
      <c r="M13" s="53">
        <f>IFERROR(INDEX(BDH(TEXT(VALUE(Database!$A13),"0")&amp;" HK Equity","CUR_MKT_CAP",Database!$H13,Database!$H13),MATCH(Database!$H13,INDEX(BDH(TEXT(VALUE(Database!$A13),"0")&amp;" HK Equity","CUR_MKT_CAP",Database!$H13,Database!$H13),0,1),0),2),"run on terminal")</f>
        <v/>
      </c>
      <c r="N13" s="213">
        <f>Database!Q13</f>
        <v/>
      </c>
      <c r="O13" s="58">
        <f>IFERROR(INDEX(BDH(TEXT(VALUE(Database!$A13),"0")&amp;" HK Equity","PE_RATIO",Database!$H13,Database!$H13),MATCH(Database!$H13,INDEX(BDH(TEXT(VALUE(Database!$A13),"0")&amp;" HK Equity","PE_RATIO",Database!$H13,Database!$H13),0,1),0),2),"run on terminal")</f>
        <v/>
      </c>
      <c r="P13" s="251">
        <f>IF(Database!BH13="","(n/m or not derivable)",Database!BH13)</f>
        <v/>
      </c>
      <c r="Q13" s="58">
        <f>IF(Database!BN13="","",IFERROR(INDEX(BDH(LEFT(Database!BN13,FIND(".",Database!BN13)-1)&amp;" CH Equity","PE_RATIO",Database!$H13,Database!$H13),MATCH(Database!$H13,INDEX(BDH(LEFT(Database!BN13,FIND(".",Database!BN13)-1)&amp;" CH Equity","PE_RATIO",Database!$H13,Database!$H13),0,1),0),2),"run on terminal"))</f>
        <v/>
      </c>
      <c r="R13" s="58">
        <f>IF(Database!BN13="","",IFERROR(INDEX(BDH("HSAHP Index","PX_LAST",Database!$H13,Database!$H13),MATCH(Database!$H13,INDEX(BDH("HSAHP Index","PX_LAST",Database!$H13,Database!$H13),0,1),0),2),"run on terminal"))</f>
        <v/>
      </c>
      <c r="S13" s="58">
        <f>IFERROR(BDP(TEXT(VALUE(Database!$A13),"0")&amp;" HK Equity","PX_TO_SALES_RATIO"),"")</f>
        <v/>
      </c>
      <c r="T13" s="53">
        <f>IF(Database!BN13="","",IFERROR(BDP(LEFT(Database!BN13,FIND(".",Database!BN13)-1)&amp;" CH Equity","CUR_MKT_CAP")*BDP("CNYHKD Curncy","PX_LAST"),"run on terminal"))</f>
        <v/>
      </c>
    </row>
    <row r="14" ht="23" customHeight="1">
      <c r="A14" s="51">
        <f>Database!A14&amp;"  "&amp;Database!B14</f>
        <v/>
      </c>
      <c r="B14" s="43">
        <f>IFERROR(INDEX(BDS(TEXT(VALUE(Database!$A14),"0")&amp;" HK Equity","EQUITY_OFFERINGS","array=t","endcol=1"),MATCH("IPO",BDS(TEXT(VALUE(Database!$A14),"0")&amp;" HK Equity","EQUITY_OFFERINGS","array=t","startcol=2","endcol=2"),0)),"")</f>
        <v/>
      </c>
      <c r="C14" s="260">
        <f>IF($B14="","",IFERROR(BDP($B14&amp;" Action","CP036"),""))</f>
        <v/>
      </c>
      <c r="D14" s="261">
        <f>Database!S14</f>
        <v/>
      </c>
      <c r="E14" s="260">
        <f>IF($B14="","",IFERROR(BDP($B14&amp;" Action","CP037"),""))</f>
        <v/>
      </c>
      <c r="F14" s="261">
        <f>Database!T14</f>
        <v/>
      </c>
      <c r="G14" s="260">
        <f>IF($B14="","",IFERROR(BDP($B14&amp;" Action","GREENSHOE_FACILITY"),""))</f>
        <v/>
      </c>
      <c r="H14" s="260">
        <f>IF($B14="","",IFERROR(BDP($B14&amp;" Action","OFFERING_GREENSHOE_SHARES_EX"),""))</f>
        <v/>
      </c>
      <c r="I14" s="51">
        <f>Database!AE14</f>
        <v/>
      </c>
      <c r="J14" s="58">
        <f>IFERROR(BDP(TEXT(VALUE(Database!$A14),"0")&amp;" HK Equity","PE_RATIO"),"")</f>
        <v/>
      </c>
      <c r="K14" s="43">
        <f>IFERROR(BDP(TEXT(VALUE(Database!$A14),"0")&amp;" HK Equity","A/H_SHARE_CONVERSION"),"")</f>
        <v/>
      </c>
      <c r="L14" s="51">
        <f>IF(Database!BN14="","(none found)",Database!BN14)</f>
        <v/>
      </c>
      <c r="M14" s="53">
        <f>IFERROR(INDEX(BDH(TEXT(VALUE(Database!$A14),"0")&amp;" HK Equity","CUR_MKT_CAP",Database!$H14,Database!$H14),MATCH(Database!$H14,INDEX(BDH(TEXT(VALUE(Database!$A14),"0")&amp;" HK Equity","CUR_MKT_CAP",Database!$H14,Database!$H14),0,1),0),2),"run on terminal")</f>
        <v/>
      </c>
      <c r="N14" s="213">
        <f>Database!Q14</f>
        <v/>
      </c>
      <c r="O14" s="58">
        <f>IFERROR(INDEX(BDH(TEXT(VALUE(Database!$A14),"0")&amp;" HK Equity","PE_RATIO",Database!$H14,Database!$H14),MATCH(Database!$H14,INDEX(BDH(TEXT(VALUE(Database!$A14),"0")&amp;" HK Equity","PE_RATIO",Database!$H14,Database!$H14),0,1),0),2),"run on terminal")</f>
        <v/>
      </c>
      <c r="P14" s="251">
        <f>IF(Database!BH14="","(n/m or not derivable)",Database!BH14)</f>
        <v/>
      </c>
      <c r="Q14" s="58">
        <f>IF(Database!BN14="","",IFERROR(INDEX(BDH(LEFT(Database!BN14,FIND(".",Database!BN14)-1)&amp;" CH Equity","PE_RATIO",Database!$H14,Database!$H14),MATCH(Database!$H14,INDEX(BDH(LEFT(Database!BN14,FIND(".",Database!BN14)-1)&amp;" CH Equity","PE_RATIO",Database!$H14,Database!$H14),0,1),0),2),"run on terminal"))</f>
        <v/>
      </c>
      <c r="R14" s="58">
        <f>IF(Database!BN14="","",IFERROR(INDEX(BDH("HSAHP Index","PX_LAST",Database!$H14,Database!$H14),MATCH(Database!$H14,INDEX(BDH("HSAHP Index","PX_LAST",Database!$H14,Database!$H14),0,1),0),2),"run on terminal"))</f>
        <v/>
      </c>
      <c r="S14" s="58">
        <f>IFERROR(BDP(TEXT(VALUE(Database!$A14),"0")&amp;" HK Equity","PX_TO_SALES_RATIO"),"")</f>
        <v/>
      </c>
      <c r="T14" s="53">
        <f>IF(Database!BN14="","",IFERROR(BDP(LEFT(Database!BN14,FIND(".",Database!BN14)-1)&amp;" CH Equity","CUR_MKT_CAP")*BDP("CNYHKD Curncy","PX_LAST"),"run on terminal"))</f>
        <v/>
      </c>
    </row>
    <row r="15" ht="23" customHeight="1">
      <c r="A15" s="51">
        <f>Database!A15&amp;"  "&amp;Database!B15</f>
        <v/>
      </c>
      <c r="B15" s="43">
        <f>IFERROR(INDEX(BDS(TEXT(VALUE(Database!$A15),"0")&amp;" HK Equity","EQUITY_OFFERINGS","array=t","endcol=1"),MATCH("IPO",BDS(TEXT(VALUE(Database!$A15),"0")&amp;" HK Equity","EQUITY_OFFERINGS","array=t","startcol=2","endcol=2"),0)),"")</f>
        <v/>
      </c>
      <c r="C15" s="260">
        <f>IF($B15="","",IFERROR(BDP($B15&amp;" Action","CP036"),""))</f>
        <v/>
      </c>
      <c r="D15" s="261">
        <f>Database!S15</f>
        <v/>
      </c>
      <c r="E15" s="260">
        <f>IF($B15="","",IFERROR(BDP($B15&amp;" Action","CP037"),""))</f>
        <v/>
      </c>
      <c r="F15" s="261">
        <f>Database!T15</f>
        <v/>
      </c>
      <c r="G15" s="260">
        <f>IF($B15="","",IFERROR(BDP($B15&amp;" Action","GREENSHOE_FACILITY"),""))</f>
        <v/>
      </c>
      <c r="H15" s="260">
        <f>IF($B15="","",IFERROR(BDP($B15&amp;" Action","OFFERING_GREENSHOE_SHARES_EX"),""))</f>
        <v/>
      </c>
      <c r="I15" s="51">
        <f>Database!AE15</f>
        <v/>
      </c>
      <c r="J15" s="58">
        <f>IFERROR(BDP(TEXT(VALUE(Database!$A15),"0")&amp;" HK Equity","PE_RATIO"),"")</f>
        <v/>
      </c>
      <c r="K15" s="43">
        <f>IFERROR(BDP(TEXT(VALUE(Database!$A15),"0")&amp;" HK Equity","A/H_SHARE_CONVERSION"),"")</f>
        <v/>
      </c>
      <c r="L15" s="51">
        <f>IF(Database!BN15="","(none found)",Database!BN15)</f>
        <v/>
      </c>
      <c r="M15" s="53">
        <f>IFERROR(INDEX(BDH(TEXT(VALUE(Database!$A15),"0")&amp;" HK Equity","CUR_MKT_CAP",Database!$H15,Database!$H15),MATCH(Database!$H15,INDEX(BDH(TEXT(VALUE(Database!$A15),"0")&amp;" HK Equity","CUR_MKT_CAP",Database!$H15,Database!$H15),0,1),0),2),"run on terminal")</f>
        <v/>
      </c>
      <c r="N15" s="213">
        <f>Database!Q15</f>
        <v/>
      </c>
      <c r="O15" s="58">
        <f>IFERROR(INDEX(BDH(TEXT(VALUE(Database!$A15),"0")&amp;" HK Equity","PE_RATIO",Database!$H15,Database!$H15),MATCH(Database!$H15,INDEX(BDH(TEXT(VALUE(Database!$A15),"0")&amp;" HK Equity","PE_RATIO",Database!$H15,Database!$H15),0,1),0),2),"run on terminal")</f>
        <v/>
      </c>
      <c r="P15" s="251">
        <f>IF(Database!BH15="","(n/m or not derivable)",Database!BH15)</f>
        <v/>
      </c>
      <c r="Q15" s="58">
        <f>IF(Database!BN15="","",IFERROR(INDEX(BDH(LEFT(Database!BN15,FIND(".",Database!BN15)-1)&amp;" CH Equity","PE_RATIO",Database!$H15,Database!$H15),MATCH(Database!$H15,INDEX(BDH(LEFT(Database!BN15,FIND(".",Database!BN15)-1)&amp;" CH Equity","PE_RATIO",Database!$H15,Database!$H15),0,1),0),2),"run on terminal"))</f>
        <v/>
      </c>
      <c r="R15" s="58">
        <f>IF(Database!BN15="","",IFERROR(INDEX(BDH("HSAHP Index","PX_LAST",Database!$H15,Database!$H15),MATCH(Database!$H15,INDEX(BDH("HSAHP Index","PX_LAST",Database!$H15,Database!$H15),0,1),0),2),"run on terminal"))</f>
        <v/>
      </c>
      <c r="S15" s="58">
        <f>IFERROR(BDP(TEXT(VALUE(Database!$A15),"0")&amp;" HK Equity","PX_TO_SALES_RATIO"),"")</f>
        <v/>
      </c>
      <c r="T15" s="53">
        <f>IF(Database!BN15="","",IFERROR(BDP(LEFT(Database!BN15,FIND(".",Database!BN15)-1)&amp;" CH Equity","CUR_MKT_CAP")*BDP("CNYHKD Curncy","PX_LAST"),"run on terminal"))</f>
        <v/>
      </c>
    </row>
    <row r="16" ht="23" customHeight="1">
      <c r="A16" s="51">
        <f>Database!A16&amp;"  "&amp;Database!B16</f>
        <v/>
      </c>
      <c r="B16" s="43">
        <f>IFERROR(INDEX(BDS(TEXT(VALUE(Database!$A16),"0")&amp;" HK Equity","EQUITY_OFFERINGS","array=t","endcol=1"),MATCH("IPO",BDS(TEXT(VALUE(Database!$A16),"0")&amp;" HK Equity","EQUITY_OFFERINGS","array=t","startcol=2","endcol=2"),0)),"")</f>
        <v/>
      </c>
      <c r="C16" s="260">
        <f>IF($B16="","",IFERROR(BDP($B16&amp;" Action","CP036"),""))</f>
        <v/>
      </c>
      <c r="D16" s="261">
        <f>Database!S16</f>
        <v/>
      </c>
      <c r="E16" s="260">
        <f>IF($B16="","",IFERROR(BDP($B16&amp;" Action","CP037"),""))</f>
        <v/>
      </c>
      <c r="F16" s="261">
        <f>Database!T16</f>
        <v/>
      </c>
      <c r="G16" s="260">
        <f>IF($B16="","",IFERROR(BDP($B16&amp;" Action","GREENSHOE_FACILITY"),""))</f>
        <v/>
      </c>
      <c r="H16" s="260">
        <f>IF($B16="","",IFERROR(BDP($B16&amp;" Action","OFFERING_GREENSHOE_SHARES_EX"),""))</f>
        <v/>
      </c>
      <c r="I16" s="51">
        <f>Database!AE16</f>
        <v/>
      </c>
      <c r="J16" s="58">
        <f>IFERROR(BDP(TEXT(VALUE(Database!$A16),"0")&amp;" HK Equity","PE_RATIO"),"")</f>
        <v/>
      </c>
      <c r="K16" s="43">
        <f>IFERROR(BDP(TEXT(VALUE(Database!$A16),"0")&amp;" HK Equity","A/H_SHARE_CONVERSION"),"")</f>
        <v/>
      </c>
      <c r="L16" s="51">
        <f>IF(Database!BN16="","(none found)",Database!BN16)</f>
        <v/>
      </c>
      <c r="M16" s="53">
        <f>IFERROR(INDEX(BDH(TEXT(VALUE(Database!$A16),"0")&amp;" HK Equity","CUR_MKT_CAP",Database!$H16,Database!$H16),MATCH(Database!$H16,INDEX(BDH(TEXT(VALUE(Database!$A16),"0")&amp;" HK Equity","CUR_MKT_CAP",Database!$H16,Database!$H16),0,1),0),2),"run on terminal")</f>
        <v/>
      </c>
      <c r="N16" s="213">
        <f>Database!Q16</f>
        <v/>
      </c>
      <c r="O16" s="58">
        <f>IFERROR(INDEX(BDH(TEXT(VALUE(Database!$A16),"0")&amp;" HK Equity","PE_RATIO",Database!$H16,Database!$H16),MATCH(Database!$H16,INDEX(BDH(TEXT(VALUE(Database!$A16),"0")&amp;" HK Equity","PE_RATIO",Database!$H16,Database!$H16),0,1),0),2),"run on terminal")</f>
        <v/>
      </c>
      <c r="P16" s="251">
        <f>IF(Database!BH16="","(n/m or not derivable)",Database!BH16)</f>
        <v/>
      </c>
      <c r="Q16" s="58">
        <f>IF(Database!BN16="","",IFERROR(INDEX(BDH(LEFT(Database!BN16,FIND(".",Database!BN16)-1)&amp;" CH Equity","PE_RATIO",Database!$H16,Database!$H16),MATCH(Database!$H16,INDEX(BDH(LEFT(Database!BN16,FIND(".",Database!BN16)-1)&amp;" CH Equity","PE_RATIO",Database!$H16,Database!$H16),0,1),0),2),"run on terminal"))</f>
        <v/>
      </c>
      <c r="R16" s="58">
        <f>IF(Database!BN16="","",IFERROR(INDEX(BDH("HSAHP Index","PX_LAST",Database!$H16,Database!$H16),MATCH(Database!$H16,INDEX(BDH("HSAHP Index","PX_LAST",Database!$H16,Database!$H16),0,1),0),2),"run on terminal"))</f>
        <v/>
      </c>
      <c r="S16" s="58">
        <f>IFERROR(BDP(TEXT(VALUE(Database!$A16),"0")&amp;" HK Equity","PX_TO_SALES_RATIO"),"")</f>
        <v/>
      </c>
      <c r="T16" s="53">
        <f>IF(Database!BN16="","",IFERROR(BDP(LEFT(Database!BN16,FIND(".",Database!BN16)-1)&amp;" CH Equity","CUR_MKT_CAP")*BDP("CNYHKD Curncy","PX_LAST"),"run on terminal"))</f>
        <v/>
      </c>
    </row>
    <row r="17" ht="23" customHeight="1">
      <c r="A17" s="51">
        <f>Database!A17&amp;"  "&amp;Database!B17</f>
        <v/>
      </c>
      <c r="B17" s="43">
        <f>IFERROR(INDEX(BDS(TEXT(VALUE(Database!$A17),"0")&amp;" HK Equity","EQUITY_OFFERINGS","array=t","endcol=1"),MATCH("IPO",BDS(TEXT(VALUE(Database!$A17),"0")&amp;" HK Equity","EQUITY_OFFERINGS","array=t","startcol=2","endcol=2"),0)),"")</f>
        <v/>
      </c>
      <c r="C17" s="260">
        <f>IF($B17="","",IFERROR(BDP($B17&amp;" Action","CP036"),""))</f>
        <v/>
      </c>
      <c r="D17" s="261">
        <f>Database!S17</f>
        <v/>
      </c>
      <c r="E17" s="260">
        <f>IF($B17="","",IFERROR(BDP($B17&amp;" Action","CP037"),""))</f>
        <v/>
      </c>
      <c r="F17" s="261">
        <f>Database!T17</f>
        <v/>
      </c>
      <c r="G17" s="260">
        <f>IF($B17="","",IFERROR(BDP($B17&amp;" Action","GREENSHOE_FACILITY"),""))</f>
        <v/>
      </c>
      <c r="H17" s="260">
        <f>IF($B17="","",IFERROR(BDP($B17&amp;" Action","OFFERING_GREENSHOE_SHARES_EX"),""))</f>
        <v/>
      </c>
      <c r="I17" s="51">
        <f>Database!AE17</f>
        <v/>
      </c>
      <c r="J17" s="58">
        <f>IFERROR(BDP(TEXT(VALUE(Database!$A17),"0")&amp;" HK Equity","PE_RATIO"),"")</f>
        <v/>
      </c>
      <c r="K17" s="43">
        <f>IFERROR(BDP(TEXT(VALUE(Database!$A17),"0")&amp;" HK Equity","A/H_SHARE_CONVERSION"),"")</f>
        <v/>
      </c>
      <c r="L17" s="51">
        <f>IF(Database!BN17="","(none found)",Database!BN17)</f>
        <v/>
      </c>
      <c r="M17" s="53">
        <f>IFERROR(INDEX(BDH(TEXT(VALUE(Database!$A17),"0")&amp;" HK Equity","CUR_MKT_CAP",Database!$H17,Database!$H17),MATCH(Database!$H17,INDEX(BDH(TEXT(VALUE(Database!$A17),"0")&amp;" HK Equity","CUR_MKT_CAP",Database!$H17,Database!$H17),0,1),0),2),"run on terminal")</f>
        <v/>
      </c>
      <c r="N17" s="213">
        <f>Database!Q17</f>
        <v/>
      </c>
      <c r="O17" s="58">
        <f>IFERROR(INDEX(BDH(TEXT(VALUE(Database!$A17),"0")&amp;" HK Equity","PE_RATIO",Database!$H17,Database!$H17),MATCH(Database!$H17,INDEX(BDH(TEXT(VALUE(Database!$A17),"0")&amp;" HK Equity","PE_RATIO",Database!$H17,Database!$H17),0,1),0),2),"run on terminal")</f>
        <v/>
      </c>
      <c r="P17" s="251">
        <f>IF(Database!BH17="","(n/m or not derivable)",Database!BH17)</f>
        <v/>
      </c>
      <c r="Q17" s="58">
        <f>IF(Database!BN17="","",IFERROR(INDEX(BDH(LEFT(Database!BN17,FIND(".",Database!BN17)-1)&amp;" CH Equity","PE_RATIO",Database!$H17,Database!$H17),MATCH(Database!$H17,INDEX(BDH(LEFT(Database!BN17,FIND(".",Database!BN17)-1)&amp;" CH Equity","PE_RATIO",Database!$H17,Database!$H17),0,1),0),2),"run on terminal"))</f>
        <v/>
      </c>
      <c r="R17" s="58">
        <f>IF(Database!BN17="","",IFERROR(INDEX(BDH("HSAHP Index","PX_LAST",Database!$H17,Database!$H17),MATCH(Database!$H17,INDEX(BDH("HSAHP Index","PX_LAST",Database!$H17,Database!$H17),0,1),0),2),"run on terminal"))</f>
        <v/>
      </c>
      <c r="S17" s="58">
        <f>IFERROR(BDP(TEXT(VALUE(Database!$A17),"0")&amp;" HK Equity","PX_TO_SALES_RATIO"),"")</f>
        <v/>
      </c>
      <c r="T17" s="53">
        <f>IF(Database!BN17="","",IFERROR(BDP(LEFT(Database!BN17,FIND(".",Database!BN17)-1)&amp;" CH Equity","CUR_MKT_CAP")*BDP("CNYHKD Curncy","PX_LAST"),"run on terminal"))</f>
        <v/>
      </c>
    </row>
    <row r="18" ht="23" customHeight="1">
      <c r="A18" s="51">
        <f>Database!A18&amp;"  "&amp;Database!B18</f>
        <v/>
      </c>
      <c r="B18" s="43">
        <f>IFERROR(INDEX(BDS(TEXT(VALUE(Database!$A18),"0")&amp;" HK Equity","EQUITY_OFFERINGS","array=t","endcol=1"),MATCH("IPO",BDS(TEXT(VALUE(Database!$A18),"0")&amp;" HK Equity","EQUITY_OFFERINGS","array=t","startcol=2","endcol=2"),0)),"")</f>
        <v/>
      </c>
      <c r="C18" s="260">
        <f>IF($B18="","",IFERROR(BDP($B18&amp;" Action","CP036"),""))</f>
        <v/>
      </c>
      <c r="D18" s="261">
        <f>Database!S18</f>
        <v/>
      </c>
      <c r="E18" s="260">
        <f>IF($B18="","",IFERROR(BDP($B18&amp;" Action","CP037"),""))</f>
        <v/>
      </c>
      <c r="F18" s="261">
        <f>Database!T18</f>
        <v/>
      </c>
      <c r="G18" s="260">
        <f>IF($B18="","",IFERROR(BDP($B18&amp;" Action","GREENSHOE_FACILITY"),""))</f>
        <v/>
      </c>
      <c r="H18" s="260">
        <f>IF($B18="","",IFERROR(BDP($B18&amp;" Action","OFFERING_GREENSHOE_SHARES_EX"),""))</f>
        <v/>
      </c>
      <c r="I18" s="51">
        <f>Database!AE18</f>
        <v/>
      </c>
      <c r="J18" s="58">
        <f>IFERROR(BDP(TEXT(VALUE(Database!$A18),"0")&amp;" HK Equity","PE_RATIO"),"")</f>
        <v/>
      </c>
      <c r="K18" s="43">
        <f>IFERROR(BDP(TEXT(VALUE(Database!$A18),"0")&amp;" HK Equity","A/H_SHARE_CONVERSION"),"")</f>
        <v/>
      </c>
      <c r="L18" s="51">
        <f>IF(Database!BN18="","(none found)",Database!BN18)</f>
        <v/>
      </c>
      <c r="M18" s="53">
        <f>IFERROR(INDEX(BDH(TEXT(VALUE(Database!$A18),"0")&amp;" HK Equity","CUR_MKT_CAP",Database!$H18,Database!$H18),MATCH(Database!$H18,INDEX(BDH(TEXT(VALUE(Database!$A18),"0")&amp;" HK Equity","CUR_MKT_CAP",Database!$H18,Database!$H18),0,1),0),2),"run on terminal")</f>
        <v/>
      </c>
      <c r="N18" s="213">
        <f>Database!Q18</f>
        <v/>
      </c>
      <c r="O18" s="58">
        <f>IFERROR(INDEX(BDH(TEXT(VALUE(Database!$A18),"0")&amp;" HK Equity","PE_RATIO",Database!$H18,Database!$H18),MATCH(Database!$H18,INDEX(BDH(TEXT(VALUE(Database!$A18),"0")&amp;" HK Equity","PE_RATIO",Database!$H18,Database!$H18),0,1),0),2),"run on terminal")</f>
        <v/>
      </c>
      <c r="P18" s="251">
        <f>IF(Database!BH18="","(n/m or not derivable)",Database!BH18)</f>
        <v/>
      </c>
      <c r="Q18" s="58">
        <f>IF(Database!BN18="","",IFERROR(INDEX(BDH(LEFT(Database!BN18,FIND(".",Database!BN18)-1)&amp;" CH Equity","PE_RATIO",Database!$H18,Database!$H18),MATCH(Database!$H18,INDEX(BDH(LEFT(Database!BN18,FIND(".",Database!BN18)-1)&amp;" CH Equity","PE_RATIO",Database!$H18,Database!$H18),0,1),0),2),"run on terminal"))</f>
        <v/>
      </c>
      <c r="R18" s="58">
        <f>IF(Database!BN18="","",IFERROR(INDEX(BDH("HSAHP Index","PX_LAST",Database!$H18,Database!$H18),MATCH(Database!$H18,INDEX(BDH("HSAHP Index","PX_LAST",Database!$H18,Database!$H18),0,1),0),2),"run on terminal"))</f>
        <v/>
      </c>
      <c r="S18" s="58">
        <f>IFERROR(BDP(TEXT(VALUE(Database!$A18),"0")&amp;" HK Equity","PX_TO_SALES_RATIO"),"")</f>
        <v/>
      </c>
      <c r="T18" s="53">
        <f>IF(Database!BN18="","",IFERROR(BDP(LEFT(Database!BN18,FIND(".",Database!BN18)-1)&amp;" CH Equity","CUR_MKT_CAP")*BDP("CNYHKD Curncy","PX_LAST"),"run on terminal"))</f>
        <v/>
      </c>
    </row>
    <row r="19" ht="23" customHeight="1">
      <c r="A19" s="51">
        <f>Database!A19&amp;"  "&amp;Database!B19</f>
        <v/>
      </c>
      <c r="B19" s="43">
        <f>IFERROR(INDEX(BDS(TEXT(VALUE(Database!$A19),"0")&amp;" HK Equity","EQUITY_OFFERINGS","array=t","endcol=1"),MATCH("IPO",BDS(TEXT(VALUE(Database!$A19),"0")&amp;" HK Equity","EQUITY_OFFERINGS","array=t","startcol=2","endcol=2"),0)),"")</f>
        <v/>
      </c>
      <c r="C19" s="260">
        <f>IF($B19="","",IFERROR(BDP($B19&amp;" Action","CP036"),""))</f>
        <v/>
      </c>
      <c r="D19" s="261">
        <f>Database!S19</f>
        <v/>
      </c>
      <c r="E19" s="260">
        <f>IF($B19="","",IFERROR(BDP($B19&amp;" Action","CP037"),""))</f>
        <v/>
      </c>
      <c r="F19" s="261">
        <f>Database!T19</f>
        <v/>
      </c>
      <c r="G19" s="260">
        <f>IF($B19="","",IFERROR(BDP($B19&amp;" Action","GREENSHOE_FACILITY"),""))</f>
        <v/>
      </c>
      <c r="H19" s="260">
        <f>IF($B19="","",IFERROR(BDP($B19&amp;" Action","OFFERING_GREENSHOE_SHARES_EX"),""))</f>
        <v/>
      </c>
      <c r="I19" s="51">
        <f>Database!AE19</f>
        <v/>
      </c>
      <c r="J19" s="58">
        <f>IFERROR(BDP(TEXT(VALUE(Database!$A19),"0")&amp;" HK Equity","PE_RATIO"),"")</f>
        <v/>
      </c>
      <c r="K19" s="43">
        <f>IFERROR(BDP(TEXT(VALUE(Database!$A19),"0")&amp;" HK Equity","A/H_SHARE_CONVERSION"),"")</f>
        <v/>
      </c>
      <c r="L19" s="51">
        <f>IF(Database!BN19="","(none found)",Database!BN19)</f>
        <v/>
      </c>
      <c r="M19" s="53">
        <f>IFERROR(INDEX(BDH(TEXT(VALUE(Database!$A19),"0")&amp;" HK Equity","CUR_MKT_CAP",Database!$H19,Database!$H19),MATCH(Database!$H19,INDEX(BDH(TEXT(VALUE(Database!$A19),"0")&amp;" HK Equity","CUR_MKT_CAP",Database!$H19,Database!$H19),0,1),0),2),"run on terminal")</f>
        <v/>
      </c>
      <c r="N19" s="213">
        <f>Database!Q19</f>
        <v/>
      </c>
      <c r="O19" s="58">
        <f>IFERROR(INDEX(BDH(TEXT(VALUE(Database!$A19),"0")&amp;" HK Equity","PE_RATIO",Database!$H19,Database!$H19),MATCH(Database!$H19,INDEX(BDH(TEXT(VALUE(Database!$A19),"0")&amp;" HK Equity","PE_RATIO",Database!$H19,Database!$H19),0,1),0),2),"run on terminal")</f>
        <v/>
      </c>
      <c r="P19" s="251">
        <f>IF(Database!BH19="","(n/m or not derivable)",Database!BH19)</f>
        <v/>
      </c>
      <c r="Q19" s="58">
        <f>IF(Database!BN19="","",IFERROR(INDEX(BDH(LEFT(Database!BN19,FIND(".",Database!BN19)-1)&amp;" CH Equity","PE_RATIO",Database!$H19,Database!$H19),MATCH(Database!$H19,INDEX(BDH(LEFT(Database!BN19,FIND(".",Database!BN19)-1)&amp;" CH Equity","PE_RATIO",Database!$H19,Database!$H19),0,1),0),2),"run on terminal"))</f>
        <v/>
      </c>
      <c r="R19" s="58">
        <f>IF(Database!BN19="","",IFERROR(INDEX(BDH("HSAHP Index","PX_LAST",Database!$H19,Database!$H19),MATCH(Database!$H19,INDEX(BDH("HSAHP Index","PX_LAST",Database!$H19,Database!$H19),0,1),0),2),"run on terminal"))</f>
        <v/>
      </c>
      <c r="S19" s="58">
        <f>IFERROR(BDP(TEXT(VALUE(Database!$A19),"0")&amp;" HK Equity","PX_TO_SALES_RATIO"),"")</f>
        <v/>
      </c>
      <c r="T19" s="53">
        <f>IF(Database!BN19="","",IFERROR(BDP(LEFT(Database!BN19,FIND(".",Database!BN19)-1)&amp;" CH Equity","CUR_MKT_CAP")*BDP("CNYHKD Curncy","PX_LAST"),"run on terminal"))</f>
        <v/>
      </c>
    </row>
    <row r="20" ht="23" customHeight="1">
      <c r="A20" s="51">
        <f>Database!A20&amp;"  "&amp;Database!B20</f>
        <v/>
      </c>
      <c r="B20" s="43">
        <f>IFERROR(INDEX(BDS(TEXT(VALUE(Database!$A20),"0")&amp;" HK Equity","EQUITY_OFFERINGS","array=t","endcol=1"),MATCH("IPO",BDS(TEXT(VALUE(Database!$A20),"0")&amp;" HK Equity","EQUITY_OFFERINGS","array=t","startcol=2","endcol=2"),0)),"")</f>
        <v/>
      </c>
      <c r="C20" s="260">
        <f>IF($B20="","",IFERROR(BDP($B20&amp;" Action","CP036"),""))</f>
        <v/>
      </c>
      <c r="D20" s="261">
        <f>Database!S20</f>
        <v/>
      </c>
      <c r="E20" s="260">
        <f>IF($B20="","",IFERROR(BDP($B20&amp;" Action","CP037"),""))</f>
        <v/>
      </c>
      <c r="F20" s="261">
        <f>Database!T20</f>
        <v/>
      </c>
      <c r="G20" s="260">
        <f>IF($B20="","",IFERROR(BDP($B20&amp;" Action","GREENSHOE_FACILITY"),""))</f>
        <v/>
      </c>
      <c r="H20" s="260">
        <f>IF($B20="","",IFERROR(BDP($B20&amp;" Action","OFFERING_GREENSHOE_SHARES_EX"),""))</f>
        <v/>
      </c>
      <c r="I20" s="51">
        <f>Database!AE20</f>
        <v/>
      </c>
      <c r="J20" s="58">
        <f>IFERROR(BDP(TEXT(VALUE(Database!$A20),"0")&amp;" HK Equity","PE_RATIO"),"")</f>
        <v/>
      </c>
      <c r="K20" s="43">
        <f>IFERROR(BDP(TEXT(VALUE(Database!$A20),"0")&amp;" HK Equity","A/H_SHARE_CONVERSION"),"")</f>
        <v/>
      </c>
      <c r="L20" s="51">
        <f>IF(Database!BN20="","(none found)",Database!BN20)</f>
        <v/>
      </c>
      <c r="M20" s="53">
        <f>IFERROR(INDEX(BDH(TEXT(VALUE(Database!$A20),"0")&amp;" HK Equity","CUR_MKT_CAP",Database!$H20,Database!$H20),MATCH(Database!$H20,INDEX(BDH(TEXT(VALUE(Database!$A20),"0")&amp;" HK Equity","CUR_MKT_CAP",Database!$H20,Database!$H20),0,1),0),2),"run on terminal")</f>
        <v/>
      </c>
      <c r="N20" s="213">
        <f>Database!Q20</f>
        <v/>
      </c>
      <c r="O20" s="58">
        <f>IFERROR(INDEX(BDH(TEXT(VALUE(Database!$A20),"0")&amp;" HK Equity","PE_RATIO",Database!$H20,Database!$H20),MATCH(Database!$H20,INDEX(BDH(TEXT(VALUE(Database!$A20),"0")&amp;" HK Equity","PE_RATIO",Database!$H20,Database!$H20),0,1),0),2),"run on terminal")</f>
        <v/>
      </c>
      <c r="P20" s="251">
        <f>IF(Database!BH20="","(n/m or not derivable)",Database!BH20)</f>
        <v/>
      </c>
      <c r="Q20" s="58">
        <f>IF(Database!BN20="","",IFERROR(INDEX(BDH(LEFT(Database!BN20,FIND(".",Database!BN20)-1)&amp;" CH Equity","PE_RATIO",Database!$H20,Database!$H20),MATCH(Database!$H20,INDEX(BDH(LEFT(Database!BN20,FIND(".",Database!BN20)-1)&amp;" CH Equity","PE_RATIO",Database!$H20,Database!$H20),0,1),0),2),"run on terminal"))</f>
        <v/>
      </c>
      <c r="R20" s="58">
        <f>IF(Database!BN20="","",IFERROR(INDEX(BDH("HSAHP Index","PX_LAST",Database!$H20,Database!$H20),MATCH(Database!$H20,INDEX(BDH("HSAHP Index","PX_LAST",Database!$H20,Database!$H20),0,1),0),2),"run on terminal"))</f>
        <v/>
      </c>
      <c r="S20" s="58">
        <f>IFERROR(BDP(TEXT(VALUE(Database!$A20),"0")&amp;" HK Equity","PX_TO_SALES_RATIO"),"")</f>
        <v/>
      </c>
      <c r="T20" s="53">
        <f>IF(Database!BN20="","",IFERROR(BDP(LEFT(Database!BN20,FIND(".",Database!BN20)-1)&amp;" CH Equity","CUR_MKT_CAP")*BDP("CNYHKD Curncy","PX_LAST"),"run on terminal"))</f>
        <v/>
      </c>
    </row>
    <row r="21" ht="23" customHeight="1">
      <c r="A21" s="51">
        <f>Database!A21&amp;"  "&amp;Database!B21</f>
        <v/>
      </c>
      <c r="B21" s="43">
        <f>IFERROR(INDEX(BDS(TEXT(VALUE(Database!$A21),"0")&amp;" HK Equity","EQUITY_OFFERINGS","array=t","endcol=1"),MATCH("IPO",BDS(TEXT(VALUE(Database!$A21),"0")&amp;" HK Equity","EQUITY_OFFERINGS","array=t","startcol=2","endcol=2"),0)),"")</f>
        <v/>
      </c>
      <c r="C21" s="260">
        <f>IF($B21="","",IFERROR(BDP($B21&amp;" Action","CP036"),""))</f>
        <v/>
      </c>
      <c r="D21" s="261">
        <f>Database!S21</f>
        <v/>
      </c>
      <c r="E21" s="260">
        <f>IF($B21="","",IFERROR(BDP($B21&amp;" Action","CP037"),""))</f>
        <v/>
      </c>
      <c r="F21" s="261">
        <f>Database!T21</f>
        <v/>
      </c>
      <c r="G21" s="260">
        <f>IF($B21="","",IFERROR(BDP($B21&amp;" Action","GREENSHOE_FACILITY"),""))</f>
        <v/>
      </c>
      <c r="H21" s="260">
        <f>IF($B21="","",IFERROR(BDP($B21&amp;" Action","OFFERING_GREENSHOE_SHARES_EX"),""))</f>
        <v/>
      </c>
      <c r="I21" s="51">
        <f>Database!AE21</f>
        <v/>
      </c>
      <c r="J21" s="58">
        <f>IFERROR(BDP(TEXT(VALUE(Database!$A21),"0")&amp;" HK Equity","PE_RATIO"),"")</f>
        <v/>
      </c>
      <c r="K21" s="43">
        <f>IFERROR(BDP(TEXT(VALUE(Database!$A21),"0")&amp;" HK Equity","A/H_SHARE_CONVERSION"),"")</f>
        <v/>
      </c>
      <c r="L21" s="51">
        <f>IF(Database!BN21="","(none found)",Database!BN21)</f>
        <v/>
      </c>
      <c r="M21" s="53">
        <f>IFERROR(INDEX(BDH(TEXT(VALUE(Database!$A21),"0")&amp;" HK Equity","CUR_MKT_CAP",Database!$H21,Database!$H21),MATCH(Database!$H21,INDEX(BDH(TEXT(VALUE(Database!$A21),"0")&amp;" HK Equity","CUR_MKT_CAP",Database!$H21,Database!$H21),0,1),0),2),"run on terminal")</f>
        <v/>
      </c>
      <c r="N21" s="213">
        <f>Database!Q21</f>
        <v/>
      </c>
      <c r="O21" s="58">
        <f>IFERROR(INDEX(BDH(TEXT(VALUE(Database!$A21),"0")&amp;" HK Equity","PE_RATIO",Database!$H21,Database!$H21),MATCH(Database!$H21,INDEX(BDH(TEXT(VALUE(Database!$A21),"0")&amp;" HK Equity","PE_RATIO",Database!$H21,Database!$H21),0,1),0),2),"run on terminal")</f>
        <v/>
      </c>
      <c r="P21" s="251">
        <f>IF(Database!BH21="","(n/m or not derivable)",Database!BH21)</f>
        <v/>
      </c>
      <c r="Q21" s="58">
        <f>IF(Database!BN21="","",IFERROR(INDEX(BDH(LEFT(Database!BN21,FIND(".",Database!BN21)-1)&amp;" CH Equity","PE_RATIO",Database!$H21,Database!$H21),MATCH(Database!$H21,INDEX(BDH(LEFT(Database!BN21,FIND(".",Database!BN21)-1)&amp;" CH Equity","PE_RATIO",Database!$H21,Database!$H21),0,1),0),2),"run on terminal"))</f>
        <v/>
      </c>
      <c r="R21" s="58">
        <f>IF(Database!BN21="","",IFERROR(INDEX(BDH("HSAHP Index","PX_LAST",Database!$H21,Database!$H21),MATCH(Database!$H21,INDEX(BDH("HSAHP Index","PX_LAST",Database!$H21,Database!$H21),0,1),0),2),"run on terminal"))</f>
        <v/>
      </c>
      <c r="S21" s="58">
        <f>IFERROR(BDP(TEXT(VALUE(Database!$A21),"0")&amp;" HK Equity","PX_TO_SALES_RATIO"),"")</f>
        <v/>
      </c>
      <c r="T21" s="53">
        <f>IF(Database!BN21="","",IFERROR(BDP(LEFT(Database!BN21,FIND(".",Database!BN21)-1)&amp;" CH Equity","CUR_MKT_CAP")*BDP("CNYHKD Curncy","PX_LAST"),"run on terminal"))</f>
        <v/>
      </c>
    </row>
    <row r="22" ht="23" customHeight="1">
      <c r="A22" s="51">
        <f>Database!A22&amp;"  "&amp;Database!B22</f>
        <v/>
      </c>
      <c r="B22" s="43">
        <f>IFERROR(INDEX(BDS(TEXT(VALUE(Database!$A22),"0")&amp;" HK Equity","EQUITY_OFFERINGS","array=t","endcol=1"),MATCH("IPO",BDS(TEXT(VALUE(Database!$A22),"0")&amp;" HK Equity","EQUITY_OFFERINGS","array=t","startcol=2","endcol=2"),0)),"")</f>
        <v/>
      </c>
      <c r="C22" s="260">
        <f>IF($B22="","",IFERROR(BDP($B22&amp;" Action","CP036"),""))</f>
        <v/>
      </c>
      <c r="D22" s="261">
        <f>Database!S22</f>
        <v/>
      </c>
      <c r="E22" s="260">
        <f>IF($B22="","",IFERROR(BDP($B22&amp;" Action","CP037"),""))</f>
        <v/>
      </c>
      <c r="F22" s="261">
        <f>Database!T22</f>
        <v/>
      </c>
      <c r="G22" s="260">
        <f>IF($B22="","",IFERROR(BDP($B22&amp;" Action","GREENSHOE_FACILITY"),""))</f>
        <v/>
      </c>
      <c r="H22" s="260">
        <f>IF($B22="","",IFERROR(BDP($B22&amp;" Action","OFFERING_GREENSHOE_SHARES_EX"),""))</f>
        <v/>
      </c>
      <c r="I22" s="51">
        <f>Database!AE22</f>
        <v/>
      </c>
      <c r="J22" s="58">
        <f>IFERROR(BDP(TEXT(VALUE(Database!$A22),"0")&amp;" HK Equity","PE_RATIO"),"")</f>
        <v/>
      </c>
      <c r="K22" s="43">
        <f>IFERROR(BDP(TEXT(VALUE(Database!$A22),"0")&amp;" HK Equity","A/H_SHARE_CONVERSION"),"")</f>
        <v/>
      </c>
      <c r="L22" s="51">
        <f>IF(Database!BN22="","(none found)",Database!BN22)</f>
        <v/>
      </c>
      <c r="M22" s="53">
        <f>IFERROR(INDEX(BDH(TEXT(VALUE(Database!$A22),"0")&amp;" HK Equity","CUR_MKT_CAP",Database!$H22,Database!$H22),MATCH(Database!$H22,INDEX(BDH(TEXT(VALUE(Database!$A22),"0")&amp;" HK Equity","CUR_MKT_CAP",Database!$H22,Database!$H22),0,1),0),2),"run on terminal")</f>
        <v/>
      </c>
      <c r="N22" s="213">
        <f>Database!Q22</f>
        <v/>
      </c>
      <c r="O22" s="58">
        <f>IFERROR(INDEX(BDH(TEXT(VALUE(Database!$A22),"0")&amp;" HK Equity","PE_RATIO",Database!$H22,Database!$H22),MATCH(Database!$H22,INDEX(BDH(TEXT(VALUE(Database!$A22),"0")&amp;" HK Equity","PE_RATIO",Database!$H22,Database!$H22),0,1),0),2),"run on terminal")</f>
        <v/>
      </c>
      <c r="P22" s="251">
        <f>IF(Database!BH22="","(n/m or not derivable)",Database!BH22)</f>
        <v/>
      </c>
      <c r="Q22" s="58">
        <f>IF(Database!BN22="","",IFERROR(INDEX(BDH(LEFT(Database!BN22,FIND(".",Database!BN22)-1)&amp;" CH Equity","PE_RATIO",Database!$H22,Database!$H22),MATCH(Database!$H22,INDEX(BDH(LEFT(Database!BN22,FIND(".",Database!BN22)-1)&amp;" CH Equity","PE_RATIO",Database!$H22,Database!$H22),0,1),0),2),"run on terminal"))</f>
        <v/>
      </c>
      <c r="R22" s="58">
        <f>IF(Database!BN22="","",IFERROR(INDEX(BDH("HSAHP Index","PX_LAST",Database!$H22,Database!$H22),MATCH(Database!$H22,INDEX(BDH("HSAHP Index","PX_LAST",Database!$H22,Database!$H22),0,1),0),2),"run on terminal"))</f>
        <v/>
      </c>
      <c r="S22" s="58">
        <f>IFERROR(BDP(TEXT(VALUE(Database!$A22),"0")&amp;" HK Equity","PX_TO_SALES_RATIO"),"")</f>
        <v/>
      </c>
      <c r="T22" s="53">
        <f>IF(Database!BN22="","",IFERROR(BDP(LEFT(Database!BN22,FIND(".",Database!BN22)-1)&amp;" CH Equity","CUR_MKT_CAP")*BDP("CNYHKD Curncy","PX_LAST"),"run on terminal"))</f>
        <v/>
      </c>
    </row>
    <row r="23" ht="23" customHeight="1">
      <c r="A23" s="51">
        <f>Database!A23&amp;"  "&amp;Database!B23</f>
        <v/>
      </c>
      <c r="B23" s="43">
        <f>IFERROR(INDEX(BDS(TEXT(VALUE(Database!$A23),"0")&amp;" HK Equity","EQUITY_OFFERINGS","array=t","endcol=1"),MATCH("IPO",BDS(TEXT(VALUE(Database!$A23),"0")&amp;" HK Equity","EQUITY_OFFERINGS","array=t","startcol=2","endcol=2"),0)),"")</f>
        <v/>
      </c>
      <c r="C23" s="260">
        <f>IF($B23="","",IFERROR(BDP($B23&amp;" Action","CP036"),""))</f>
        <v/>
      </c>
      <c r="D23" s="261">
        <f>Database!S23</f>
        <v/>
      </c>
      <c r="E23" s="260">
        <f>IF($B23="","",IFERROR(BDP($B23&amp;" Action","CP037"),""))</f>
        <v/>
      </c>
      <c r="F23" s="261">
        <f>Database!T23</f>
        <v/>
      </c>
      <c r="G23" s="260">
        <f>IF($B23="","",IFERROR(BDP($B23&amp;" Action","GREENSHOE_FACILITY"),""))</f>
        <v/>
      </c>
      <c r="H23" s="260">
        <f>IF($B23="","",IFERROR(BDP($B23&amp;" Action","OFFERING_GREENSHOE_SHARES_EX"),""))</f>
        <v/>
      </c>
      <c r="I23" s="51">
        <f>Database!AE23</f>
        <v/>
      </c>
      <c r="J23" s="58">
        <f>IFERROR(BDP(TEXT(VALUE(Database!$A23),"0")&amp;" HK Equity","PE_RATIO"),"")</f>
        <v/>
      </c>
      <c r="K23" s="43">
        <f>IFERROR(BDP(TEXT(VALUE(Database!$A23),"0")&amp;" HK Equity","A/H_SHARE_CONVERSION"),"")</f>
        <v/>
      </c>
      <c r="L23" s="51">
        <f>IF(Database!BN23="","(none found)",Database!BN23)</f>
        <v/>
      </c>
      <c r="M23" s="53">
        <f>IFERROR(INDEX(BDH(TEXT(VALUE(Database!$A23),"0")&amp;" HK Equity","CUR_MKT_CAP",Database!$H23,Database!$H23),MATCH(Database!$H23,INDEX(BDH(TEXT(VALUE(Database!$A23),"0")&amp;" HK Equity","CUR_MKT_CAP",Database!$H23,Database!$H23),0,1),0),2),"run on terminal")</f>
        <v/>
      </c>
      <c r="N23" s="213">
        <f>Database!Q23</f>
        <v/>
      </c>
      <c r="O23" s="58">
        <f>IFERROR(INDEX(BDH(TEXT(VALUE(Database!$A23),"0")&amp;" HK Equity","PE_RATIO",Database!$H23,Database!$H23),MATCH(Database!$H23,INDEX(BDH(TEXT(VALUE(Database!$A23),"0")&amp;" HK Equity","PE_RATIO",Database!$H23,Database!$H23),0,1),0),2),"run on terminal")</f>
        <v/>
      </c>
      <c r="P23" s="251">
        <f>IF(Database!BH23="","(n/m or not derivable)",Database!BH23)</f>
        <v/>
      </c>
      <c r="Q23" s="58">
        <f>IF(Database!BN23="","",IFERROR(INDEX(BDH(LEFT(Database!BN23,FIND(".",Database!BN23)-1)&amp;" CH Equity","PE_RATIO",Database!$H23,Database!$H23),MATCH(Database!$H23,INDEX(BDH(LEFT(Database!BN23,FIND(".",Database!BN23)-1)&amp;" CH Equity","PE_RATIO",Database!$H23,Database!$H23),0,1),0),2),"run on terminal"))</f>
        <v/>
      </c>
      <c r="R23" s="58">
        <f>IF(Database!BN23="","",IFERROR(INDEX(BDH("HSAHP Index","PX_LAST",Database!$H23,Database!$H23),MATCH(Database!$H23,INDEX(BDH("HSAHP Index","PX_LAST",Database!$H23,Database!$H23),0,1),0),2),"run on terminal"))</f>
        <v/>
      </c>
      <c r="S23" s="58">
        <f>IFERROR(BDP(TEXT(VALUE(Database!$A23),"0")&amp;" HK Equity","PX_TO_SALES_RATIO"),"")</f>
        <v/>
      </c>
      <c r="T23" s="53">
        <f>IF(Database!BN23="","",IFERROR(BDP(LEFT(Database!BN23,FIND(".",Database!BN23)-1)&amp;" CH Equity","CUR_MKT_CAP")*BDP("CNYHKD Curncy","PX_LAST"),"run on terminal"))</f>
        <v/>
      </c>
    </row>
    <row r="24" ht="23" customHeight="1">
      <c r="A24" s="51">
        <f>Database!A24&amp;"  "&amp;Database!B24</f>
        <v/>
      </c>
      <c r="B24" s="43">
        <f>IFERROR(INDEX(BDS(TEXT(VALUE(Database!$A24),"0")&amp;" HK Equity","EQUITY_OFFERINGS","array=t","endcol=1"),MATCH("IPO",BDS(TEXT(VALUE(Database!$A24),"0")&amp;" HK Equity","EQUITY_OFFERINGS","array=t","startcol=2","endcol=2"),0)),"")</f>
        <v/>
      </c>
      <c r="C24" s="260">
        <f>IF($B24="","",IFERROR(BDP($B24&amp;" Action","CP036"),""))</f>
        <v/>
      </c>
      <c r="D24" s="261">
        <f>Database!S24</f>
        <v/>
      </c>
      <c r="E24" s="260">
        <f>IF($B24="","",IFERROR(BDP($B24&amp;" Action","CP037"),""))</f>
        <v/>
      </c>
      <c r="F24" s="261">
        <f>Database!T24</f>
        <v/>
      </c>
      <c r="G24" s="260">
        <f>IF($B24="","",IFERROR(BDP($B24&amp;" Action","GREENSHOE_FACILITY"),""))</f>
        <v/>
      </c>
      <c r="H24" s="260">
        <f>IF($B24="","",IFERROR(BDP($B24&amp;" Action","OFFERING_GREENSHOE_SHARES_EX"),""))</f>
        <v/>
      </c>
      <c r="I24" s="51">
        <f>Database!AE24</f>
        <v/>
      </c>
      <c r="J24" s="58">
        <f>IFERROR(BDP(TEXT(VALUE(Database!$A24),"0")&amp;" HK Equity","PE_RATIO"),"")</f>
        <v/>
      </c>
      <c r="K24" s="43">
        <f>IFERROR(BDP(TEXT(VALUE(Database!$A24),"0")&amp;" HK Equity","A/H_SHARE_CONVERSION"),"")</f>
        <v/>
      </c>
      <c r="L24" s="51">
        <f>IF(Database!BN24="","(none found)",Database!BN24)</f>
        <v/>
      </c>
      <c r="M24" s="53">
        <f>IFERROR(INDEX(BDH(TEXT(VALUE(Database!$A24),"0")&amp;" HK Equity","CUR_MKT_CAP",Database!$H24,Database!$H24),MATCH(Database!$H24,INDEX(BDH(TEXT(VALUE(Database!$A24),"0")&amp;" HK Equity","CUR_MKT_CAP",Database!$H24,Database!$H24),0,1),0),2),"run on terminal")</f>
        <v/>
      </c>
      <c r="N24" s="213">
        <f>Database!Q24</f>
        <v/>
      </c>
      <c r="O24" s="58">
        <f>IFERROR(INDEX(BDH(TEXT(VALUE(Database!$A24),"0")&amp;" HK Equity","PE_RATIO",Database!$H24,Database!$H24),MATCH(Database!$H24,INDEX(BDH(TEXT(VALUE(Database!$A24),"0")&amp;" HK Equity","PE_RATIO",Database!$H24,Database!$H24),0,1),0),2),"run on terminal")</f>
        <v/>
      </c>
      <c r="P24" s="251">
        <f>IF(Database!BH24="","(n/m or not derivable)",Database!BH24)</f>
        <v/>
      </c>
      <c r="Q24" s="58">
        <f>IF(Database!BN24="","",IFERROR(INDEX(BDH(LEFT(Database!BN24,FIND(".",Database!BN24)-1)&amp;" CH Equity","PE_RATIO",Database!$H24,Database!$H24),MATCH(Database!$H24,INDEX(BDH(LEFT(Database!BN24,FIND(".",Database!BN24)-1)&amp;" CH Equity","PE_RATIO",Database!$H24,Database!$H24),0,1),0),2),"run on terminal"))</f>
        <v/>
      </c>
      <c r="R24" s="58">
        <f>IF(Database!BN24="","",IFERROR(INDEX(BDH("HSAHP Index","PX_LAST",Database!$H24,Database!$H24),MATCH(Database!$H24,INDEX(BDH("HSAHP Index","PX_LAST",Database!$H24,Database!$H24),0,1),0),2),"run on terminal"))</f>
        <v/>
      </c>
      <c r="S24" s="58">
        <f>IFERROR(BDP(TEXT(VALUE(Database!$A24),"0")&amp;" HK Equity","PX_TO_SALES_RATIO"),"")</f>
        <v/>
      </c>
      <c r="T24" s="53">
        <f>IF(Database!BN24="","",IFERROR(BDP(LEFT(Database!BN24,FIND(".",Database!BN24)-1)&amp;" CH Equity","CUR_MKT_CAP")*BDP("CNYHKD Curncy","PX_LAST"),"run on terminal"))</f>
        <v/>
      </c>
    </row>
    <row r="25" ht="23" customHeight="1">
      <c r="A25" s="51">
        <f>Database!A25&amp;"  "&amp;Database!B25</f>
        <v/>
      </c>
      <c r="B25" s="43">
        <f>IFERROR(INDEX(BDS(TEXT(VALUE(Database!$A25),"0")&amp;" HK Equity","EQUITY_OFFERINGS","array=t","endcol=1"),MATCH("IPO",BDS(TEXT(VALUE(Database!$A25),"0")&amp;" HK Equity","EQUITY_OFFERINGS","array=t","startcol=2","endcol=2"),0)),"")</f>
        <v/>
      </c>
      <c r="C25" s="260">
        <f>IF($B25="","",IFERROR(BDP($B25&amp;" Action","CP036"),""))</f>
        <v/>
      </c>
      <c r="D25" s="261">
        <f>Database!S25</f>
        <v/>
      </c>
      <c r="E25" s="260">
        <f>IF($B25="","",IFERROR(BDP($B25&amp;" Action","CP037"),""))</f>
        <v/>
      </c>
      <c r="F25" s="261">
        <f>Database!T25</f>
        <v/>
      </c>
      <c r="G25" s="260">
        <f>IF($B25="","",IFERROR(BDP($B25&amp;" Action","GREENSHOE_FACILITY"),""))</f>
        <v/>
      </c>
      <c r="H25" s="260">
        <f>IF($B25="","",IFERROR(BDP($B25&amp;" Action","OFFERING_GREENSHOE_SHARES_EX"),""))</f>
        <v/>
      </c>
      <c r="I25" s="51">
        <f>Database!AE25</f>
        <v/>
      </c>
      <c r="J25" s="58">
        <f>IFERROR(BDP(TEXT(VALUE(Database!$A25),"0")&amp;" HK Equity","PE_RATIO"),"")</f>
        <v/>
      </c>
      <c r="K25" s="43">
        <f>IFERROR(BDP(TEXT(VALUE(Database!$A25),"0")&amp;" HK Equity","A/H_SHARE_CONVERSION"),"")</f>
        <v/>
      </c>
      <c r="L25" s="51">
        <f>IF(Database!BN25="","(none found)",Database!BN25)</f>
        <v/>
      </c>
      <c r="M25" s="53">
        <f>IFERROR(INDEX(BDH(TEXT(VALUE(Database!$A25),"0")&amp;" HK Equity","CUR_MKT_CAP",Database!$H25,Database!$H25),MATCH(Database!$H25,INDEX(BDH(TEXT(VALUE(Database!$A25),"0")&amp;" HK Equity","CUR_MKT_CAP",Database!$H25,Database!$H25),0,1),0),2),"run on terminal")</f>
        <v/>
      </c>
      <c r="N25" s="213">
        <f>Database!Q25</f>
        <v/>
      </c>
      <c r="O25" s="58">
        <f>IFERROR(INDEX(BDH(TEXT(VALUE(Database!$A25),"0")&amp;" HK Equity","PE_RATIO",Database!$H25,Database!$H25),MATCH(Database!$H25,INDEX(BDH(TEXT(VALUE(Database!$A25),"0")&amp;" HK Equity","PE_RATIO",Database!$H25,Database!$H25),0,1),0),2),"run on terminal")</f>
        <v/>
      </c>
      <c r="P25" s="251">
        <f>IF(Database!BH25="","(n/m or not derivable)",Database!BH25)</f>
        <v/>
      </c>
      <c r="Q25" s="58">
        <f>IF(Database!BN25="","",IFERROR(INDEX(BDH(LEFT(Database!BN25,FIND(".",Database!BN25)-1)&amp;" CH Equity","PE_RATIO",Database!$H25,Database!$H25),MATCH(Database!$H25,INDEX(BDH(LEFT(Database!BN25,FIND(".",Database!BN25)-1)&amp;" CH Equity","PE_RATIO",Database!$H25,Database!$H25),0,1),0),2),"run on terminal"))</f>
        <v/>
      </c>
      <c r="R25" s="58">
        <f>IF(Database!BN25="","",IFERROR(INDEX(BDH("HSAHP Index","PX_LAST",Database!$H25,Database!$H25),MATCH(Database!$H25,INDEX(BDH("HSAHP Index","PX_LAST",Database!$H25,Database!$H25),0,1),0),2),"run on terminal"))</f>
        <v/>
      </c>
      <c r="S25" s="58">
        <f>IFERROR(BDP(TEXT(VALUE(Database!$A25),"0")&amp;" HK Equity","PX_TO_SALES_RATIO"),"")</f>
        <v/>
      </c>
      <c r="T25" s="53">
        <f>IF(Database!BN25="","",IFERROR(BDP(LEFT(Database!BN25,FIND(".",Database!BN25)-1)&amp;" CH Equity","CUR_MKT_CAP")*BDP("CNYHKD Curncy","PX_LAST"),"run on terminal"))</f>
        <v/>
      </c>
    </row>
    <row r="26" ht="23" customHeight="1">
      <c r="A26" s="51">
        <f>Database!A26&amp;"  "&amp;Database!B26</f>
        <v/>
      </c>
      <c r="B26" s="43">
        <f>IFERROR(INDEX(BDS(TEXT(VALUE(Database!$A26),"0")&amp;" HK Equity","EQUITY_OFFERINGS","array=t","endcol=1"),MATCH("IPO",BDS(TEXT(VALUE(Database!$A26),"0")&amp;" HK Equity","EQUITY_OFFERINGS","array=t","startcol=2","endcol=2"),0)),"")</f>
        <v/>
      </c>
      <c r="C26" s="260">
        <f>IF($B26="","",IFERROR(BDP($B26&amp;" Action","CP036"),""))</f>
        <v/>
      </c>
      <c r="D26" s="261">
        <f>Database!S26</f>
        <v/>
      </c>
      <c r="E26" s="260">
        <f>IF($B26="","",IFERROR(BDP($B26&amp;" Action","CP037"),""))</f>
        <v/>
      </c>
      <c r="F26" s="261">
        <f>Database!T26</f>
        <v/>
      </c>
      <c r="G26" s="260">
        <f>IF($B26="","",IFERROR(BDP($B26&amp;" Action","GREENSHOE_FACILITY"),""))</f>
        <v/>
      </c>
      <c r="H26" s="260">
        <f>IF($B26="","",IFERROR(BDP($B26&amp;" Action","OFFERING_GREENSHOE_SHARES_EX"),""))</f>
        <v/>
      </c>
      <c r="I26" s="51">
        <f>Database!AE26</f>
        <v/>
      </c>
      <c r="J26" s="58">
        <f>IFERROR(BDP(TEXT(VALUE(Database!$A26),"0")&amp;" HK Equity","PE_RATIO"),"")</f>
        <v/>
      </c>
      <c r="K26" s="43">
        <f>IFERROR(BDP(TEXT(VALUE(Database!$A26),"0")&amp;" HK Equity","A/H_SHARE_CONVERSION"),"")</f>
        <v/>
      </c>
      <c r="L26" s="51">
        <f>IF(Database!BN26="","(none found)",Database!BN26)</f>
        <v/>
      </c>
      <c r="M26" s="53">
        <f>IFERROR(INDEX(BDH(TEXT(VALUE(Database!$A26),"0")&amp;" HK Equity","CUR_MKT_CAP",Database!$H26,Database!$H26),MATCH(Database!$H26,INDEX(BDH(TEXT(VALUE(Database!$A26),"0")&amp;" HK Equity","CUR_MKT_CAP",Database!$H26,Database!$H26),0,1),0),2),"run on terminal")</f>
        <v/>
      </c>
      <c r="N26" s="213">
        <f>Database!Q26</f>
        <v/>
      </c>
      <c r="O26" s="58">
        <f>IFERROR(INDEX(BDH(TEXT(VALUE(Database!$A26),"0")&amp;" HK Equity","PE_RATIO",Database!$H26,Database!$H26),MATCH(Database!$H26,INDEX(BDH(TEXT(VALUE(Database!$A26),"0")&amp;" HK Equity","PE_RATIO",Database!$H26,Database!$H26),0,1),0),2),"run on terminal")</f>
        <v/>
      </c>
      <c r="P26" s="251">
        <f>IF(Database!BH26="","(n/m or not derivable)",Database!BH26)</f>
        <v/>
      </c>
      <c r="Q26" s="58">
        <f>IF(Database!BN26="","",IFERROR(INDEX(BDH(LEFT(Database!BN26,FIND(".",Database!BN26)-1)&amp;" CH Equity","PE_RATIO",Database!$H26,Database!$H26),MATCH(Database!$H26,INDEX(BDH(LEFT(Database!BN26,FIND(".",Database!BN26)-1)&amp;" CH Equity","PE_RATIO",Database!$H26,Database!$H26),0,1),0),2),"run on terminal"))</f>
        <v/>
      </c>
      <c r="R26" s="58">
        <f>IF(Database!BN26="","",IFERROR(INDEX(BDH("HSAHP Index","PX_LAST",Database!$H26,Database!$H26),MATCH(Database!$H26,INDEX(BDH("HSAHP Index","PX_LAST",Database!$H26,Database!$H26),0,1),0),2),"run on terminal"))</f>
        <v/>
      </c>
      <c r="S26" s="58">
        <f>IFERROR(BDP(TEXT(VALUE(Database!$A26),"0")&amp;" HK Equity","PX_TO_SALES_RATIO"),"")</f>
        <v/>
      </c>
      <c r="T26" s="53">
        <f>IF(Database!BN26="","",IFERROR(BDP(LEFT(Database!BN26,FIND(".",Database!BN26)-1)&amp;" CH Equity","CUR_MKT_CAP")*BDP("CNYHKD Curncy","PX_LAST"),"run on terminal"))</f>
        <v/>
      </c>
    </row>
    <row r="27" ht="23" customHeight="1">
      <c r="A27" s="51">
        <f>Database!A27&amp;"  "&amp;Database!B27</f>
        <v/>
      </c>
      <c r="B27" s="43">
        <f>IFERROR(INDEX(BDS(TEXT(VALUE(Database!$A27),"0")&amp;" HK Equity","EQUITY_OFFERINGS","array=t","endcol=1"),MATCH("IPO",BDS(TEXT(VALUE(Database!$A27),"0")&amp;" HK Equity","EQUITY_OFFERINGS","array=t","startcol=2","endcol=2"),0)),"")</f>
        <v/>
      </c>
      <c r="C27" s="260">
        <f>IF($B27="","",IFERROR(BDP($B27&amp;" Action","CP036"),""))</f>
        <v/>
      </c>
      <c r="D27" s="261">
        <f>Database!S27</f>
        <v/>
      </c>
      <c r="E27" s="260">
        <f>IF($B27="","",IFERROR(BDP($B27&amp;" Action","CP037"),""))</f>
        <v/>
      </c>
      <c r="F27" s="261">
        <f>Database!T27</f>
        <v/>
      </c>
      <c r="G27" s="260">
        <f>IF($B27="","",IFERROR(BDP($B27&amp;" Action","GREENSHOE_FACILITY"),""))</f>
        <v/>
      </c>
      <c r="H27" s="260">
        <f>IF($B27="","",IFERROR(BDP($B27&amp;" Action","OFFERING_GREENSHOE_SHARES_EX"),""))</f>
        <v/>
      </c>
      <c r="I27" s="51">
        <f>Database!AE27</f>
        <v/>
      </c>
      <c r="J27" s="58">
        <f>IFERROR(BDP(TEXT(VALUE(Database!$A27),"0")&amp;" HK Equity","PE_RATIO"),"")</f>
        <v/>
      </c>
      <c r="K27" s="43">
        <f>IFERROR(BDP(TEXT(VALUE(Database!$A27),"0")&amp;" HK Equity","A/H_SHARE_CONVERSION"),"")</f>
        <v/>
      </c>
      <c r="L27" s="51">
        <f>IF(Database!BN27="","(none found)",Database!BN27)</f>
        <v/>
      </c>
      <c r="M27" s="53">
        <f>IFERROR(INDEX(BDH(TEXT(VALUE(Database!$A27),"0")&amp;" HK Equity","CUR_MKT_CAP",Database!$H27,Database!$H27),MATCH(Database!$H27,INDEX(BDH(TEXT(VALUE(Database!$A27),"0")&amp;" HK Equity","CUR_MKT_CAP",Database!$H27,Database!$H27),0,1),0),2),"run on terminal")</f>
        <v/>
      </c>
      <c r="N27" s="213">
        <f>Database!Q27</f>
        <v/>
      </c>
      <c r="O27" s="58">
        <f>IFERROR(INDEX(BDH(TEXT(VALUE(Database!$A27),"0")&amp;" HK Equity","PE_RATIO",Database!$H27,Database!$H27),MATCH(Database!$H27,INDEX(BDH(TEXT(VALUE(Database!$A27),"0")&amp;" HK Equity","PE_RATIO",Database!$H27,Database!$H27),0,1),0),2),"run on terminal")</f>
        <v/>
      </c>
      <c r="P27" s="251">
        <f>IF(Database!BH27="","(n/m or not derivable)",Database!BH27)</f>
        <v/>
      </c>
      <c r="Q27" s="58">
        <f>IF(Database!BN27="","",IFERROR(INDEX(BDH(LEFT(Database!BN27,FIND(".",Database!BN27)-1)&amp;" CH Equity","PE_RATIO",Database!$H27,Database!$H27),MATCH(Database!$H27,INDEX(BDH(LEFT(Database!BN27,FIND(".",Database!BN27)-1)&amp;" CH Equity","PE_RATIO",Database!$H27,Database!$H27),0,1),0),2),"run on terminal"))</f>
        <v/>
      </c>
      <c r="R27" s="58">
        <f>IF(Database!BN27="","",IFERROR(INDEX(BDH("HSAHP Index","PX_LAST",Database!$H27,Database!$H27),MATCH(Database!$H27,INDEX(BDH("HSAHP Index","PX_LAST",Database!$H27,Database!$H27),0,1),0),2),"run on terminal"))</f>
        <v/>
      </c>
      <c r="S27" s="58">
        <f>IFERROR(BDP(TEXT(VALUE(Database!$A27),"0")&amp;" HK Equity","PX_TO_SALES_RATIO"),"")</f>
        <v/>
      </c>
      <c r="T27" s="53">
        <f>IF(Database!BN27="","",IFERROR(BDP(LEFT(Database!BN27,FIND(".",Database!BN27)-1)&amp;" CH Equity","CUR_MKT_CAP")*BDP("CNYHKD Curncy","PX_LAST"),"run on terminal"))</f>
        <v/>
      </c>
    </row>
    <row r="28" ht="23" customHeight="1">
      <c r="A28" s="51">
        <f>Database!A28&amp;"  "&amp;Database!B28</f>
        <v/>
      </c>
      <c r="B28" s="43">
        <f>IFERROR(INDEX(BDS(TEXT(VALUE(Database!$A28),"0")&amp;" HK Equity","EQUITY_OFFERINGS","array=t","endcol=1"),MATCH("IPO",BDS(TEXT(VALUE(Database!$A28),"0")&amp;" HK Equity","EQUITY_OFFERINGS","array=t","startcol=2","endcol=2"),0)),"")</f>
        <v/>
      </c>
      <c r="C28" s="260">
        <f>IF($B28="","",IFERROR(BDP($B28&amp;" Action","CP036"),""))</f>
        <v/>
      </c>
      <c r="D28" s="261">
        <f>Database!S28</f>
        <v/>
      </c>
      <c r="E28" s="260">
        <f>IF($B28="","",IFERROR(BDP($B28&amp;" Action","CP037"),""))</f>
        <v/>
      </c>
      <c r="F28" s="261">
        <f>Database!T28</f>
        <v/>
      </c>
      <c r="G28" s="260">
        <f>IF($B28="","",IFERROR(BDP($B28&amp;" Action","GREENSHOE_FACILITY"),""))</f>
        <v/>
      </c>
      <c r="H28" s="260">
        <f>IF($B28="","",IFERROR(BDP($B28&amp;" Action","OFFERING_GREENSHOE_SHARES_EX"),""))</f>
        <v/>
      </c>
      <c r="I28" s="51">
        <f>Database!AE28</f>
        <v/>
      </c>
      <c r="J28" s="58">
        <f>IFERROR(BDP(TEXT(VALUE(Database!$A28),"0")&amp;" HK Equity","PE_RATIO"),"")</f>
        <v/>
      </c>
      <c r="K28" s="43">
        <f>IFERROR(BDP(TEXT(VALUE(Database!$A28),"0")&amp;" HK Equity","A/H_SHARE_CONVERSION"),"")</f>
        <v/>
      </c>
      <c r="L28" s="51">
        <f>IF(Database!BN28="","(none found)",Database!BN28)</f>
        <v/>
      </c>
      <c r="M28" s="53">
        <f>IFERROR(INDEX(BDH(TEXT(VALUE(Database!$A28),"0")&amp;" HK Equity","CUR_MKT_CAP",Database!$H28,Database!$H28),MATCH(Database!$H28,INDEX(BDH(TEXT(VALUE(Database!$A28),"0")&amp;" HK Equity","CUR_MKT_CAP",Database!$H28,Database!$H28),0,1),0),2),"run on terminal")</f>
        <v/>
      </c>
      <c r="N28" s="213">
        <f>Database!Q28</f>
        <v/>
      </c>
      <c r="O28" s="58">
        <f>IFERROR(INDEX(BDH(TEXT(VALUE(Database!$A28),"0")&amp;" HK Equity","PE_RATIO",Database!$H28,Database!$H28),MATCH(Database!$H28,INDEX(BDH(TEXT(VALUE(Database!$A28),"0")&amp;" HK Equity","PE_RATIO",Database!$H28,Database!$H28),0,1),0),2),"run on terminal")</f>
        <v/>
      </c>
      <c r="P28" s="251">
        <f>IF(Database!BH28="","(n/m or not derivable)",Database!BH28)</f>
        <v/>
      </c>
      <c r="Q28" s="58">
        <f>IF(Database!BN28="","",IFERROR(INDEX(BDH(LEFT(Database!BN28,FIND(".",Database!BN28)-1)&amp;" CH Equity","PE_RATIO",Database!$H28,Database!$H28),MATCH(Database!$H28,INDEX(BDH(LEFT(Database!BN28,FIND(".",Database!BN28)-1)&amp;" CH Equity","PE_RATIO",Database!$H28,Database!$H28),0,1),0),2),"run on terminal"))</f>
        <v/>
      </c>
      <c r="R28" s="58">
        <f>IF(Database!BN28="","",IFERROR(INDEX(BDH("HSAHP Index","PX_LAST",Database!$H28,Database!$H28),MATCH(Database!$H28,INDEX(BDH("HSAHP Index","PX_LAST",Database!$H28,Database!$H28),0,1),0),2),"run on terminal"))</f>
        <v/>
      </c>
      <c r="S28" s="58">
        <f>IFERROR(BDP(TEXT(VALUE(Database!$A28),"0")&amp;" HK Equity","PX_TO_SALES_RATIO"),"")</f>
        <v/>
      </c>
      <c r="T28" s="53">
        <f>IF(Database!BN28="","",IFERROR(BDP(LEFT(Database!BN28,FIND(".",Database!BN28)-1)&amp;" CH Equity","CUR_MKT_CAP")*BDP("CNYHKD Curncy","PX_LAST"),"run on terminal"))</f>
        <v/>
      </c>
    </row>
    <row r="29" ht="23" customHeight="1">
      <c r="A29" s="51">
        <f>Database!A29&amp;"  "&amp;Database!B29</f>
        <v/>
      </c>
      <c r="B29" s="43">
        <f>IFERROR(INDEX(BDS(TEXT(VALUE(Database!$A29),"0")&amp;" HK Equity","EQUITY_OFFERINGS","array=t","endcol=1"),MATCH("IPO",BDS(TEXT(VALUE(Database!$A29),"0")&amp;" HK Equity","EQUITY_OFFERINGS","array=t","startcol=2","endcol=2"),0)),"")</f>
        <v/>
      </c>
      <c r="C29" s="260">
        <f>IF($B29="","",IFERROR(BDP($B29&amp;" Action","CP036"),""))</f>
        <v/>
      </c>
      <c r="D29" s="261">
        <f>Database!S29</f>
        <v/>
      </c>
      <c r="E29" s="260">
        <f>IF($B29="","",IFERROR(BDP($B29&amp;" Action","CP037"),""))</f>
        <v/>
      </c>
      <c r="F29" s="261">
        <f>Database!T29</f>
        <v/>
      </c>
      <c r="G29" s="260">
        <f>IF($B29="","",IFERROR(BDP($B29&amp;" Action","GREENSHOE_FACILITY"),""))</f>
        <v/>
      </c>
      <c r="H29" s="260">
        <f>IF($B29="","",IFERROR(BDP($B29&amp;" Action","OFFERING_GREENSHOE_SHARES_EX"),""))</f>
        <v/>
      </c>
      <c r="I29" s="51">
        <f>Database!AE29</f>
        <v/>
      </c>
      <c r="J29" s="58">
        <f>IFERROR(BDP(TEXT(VALUE(Database!$A29),"0")&amp;" HK Equity","PE_RATIO"),"")</f>
        <v/>
      </c>
      <c r="K29" s="43">
        <f>IFERROR(BDP(TEXT(VALUE(Database!$A29),"0")&amp;" HK Equity","A/H_SHARE_CONVERSION"),"")</f>
        <v/>
      </c>
      <c r="L29" s="51">
        <f>IF(Database!BN29="","(none found)",Database!BN29)</f>
        <v/>
      </c>
      <c r="M29" s="53">
        <f>IFERROR(INDEX(BDH(TEXT(VALUE(Database!$A29),"0")&amp;" HK Equity","CUR_MKT_CAP",Database!$H29,Database!$H29),MATCH(Database!$H29,INDEX(BDH(TEXT(VALUE(Database!$A29),"0")&amp;" HK Equity","CUR_MKT_CAP",Database!$H29,Database!$H29),0,1),0),2),"run on terminal")</f>
        <v/>
      </c>
      <c r="N29" s="213">
        <f>Database!Q29</f>
        <v/>
      </c>
      <c r="O29" s="58">
        <f>IFERROR(INDEX(BDH(TEXT(VALUE(Database!$A29),"0")&amp;" HK Equity","PE_RATIO",Database!$H29,Database!$H29),MATCH(Database!$H29,INDEX(BDH(TEXT(VALUE(Database!$A29),"0")&amp;" HK Equity","PE_RATIO",Database!$H29,Database!$H29),0,1),0),2),"run on terminal")</f>
        <v/>
      </c>
      <c r="P29" s="251">
        <f>IF(Database!BH29="","(n/m or not derivable)",Database!BH29)</f>
        <v/>
      </c>
      <c r="Q29" s="58">
        <f>IF(Database!BN29="","",IFERROR(INDEX(BDH(LEFT(Database!BN29,FIND(".",Database!BN29)-1)&amp;" CH Equity","PE_RATIO",Database!$H29,Database!$H29),MATCH(Database!$H29,INDEX(BDH(LEFT(Database!BN29,FIND(".",Database!BN29)-1)&amp;" CH Equity","PE_RATIO",Database!$H29,Database!$H29),0,1),0),2),"run on terminal"))</f>
        <v/>
      </c>
      <c r="R29" s="58">
        <f>IF(Database!BN29="","",IFERROR(INDEX(BDH("HSAHP Index","PX_LAST",Database!$H29,Database!$H29),MATCH(Database!$H29,INDEX(BDH("HSAHP Index","PX_LAST",Database!$H29,Database!$H29),0,1),0),2),"run on terminal"))</f>
        <v/>
      </c>
      <c r="S29" s="58">
        <f>IFERROR(BDP(TEXT(VALUE(Database!$A29),"0")&amp;" HK Equity","PX_TO_SALES_RATIO"),"")</f>
        <v/>
      </c>
      <c r="T29" s="53">
        <f>IF(Database!BN29="","",IFERROR(BDP(LEFT(Database!BN29,FIND(".",Database!BN29)-1)&amp;" CH Equity","CUR_MKT_CAP")*BDP("CNYHKD Curncy","PX_LAST"),"run on terminal"))</f>
        <v/>
      </c>
    </row>
    <row r="30" ht="23" customHeight="1">
      <c r="A30" s="51">
        <f>Database!A30&amp;"  "&amp;Database!B30</f>
        <v/>
      </c>
      <c r="B30" s="43">
        <f>IFERROR(INDEX(BDS(TEXT(VALUE(Database!$A30),"0")&amp;" HK Equity","EQUITY_OFFERINGS","array=t","endcol=1"),MATCH("IPO",BDS(TEXT(VALUE(Database!$A30),"0")&amp;" HK Equity","EQUITY_OFFERINGS","array=t","startcol=2","endcol=2"),0)),"")</f>
        <v/>
      </c>
      <c r="C30" s="260">
        <f>IF($B30="","",IFERROR(BDP($B30&amp;" Action","CP036"),""))</f>
        <v/>
      </c>
      <c r="D30" s="261">
        <f>Database!S30</f>
        <v/>
      </c>
      <c r="E30" s="260">
        <f>IF($B30="","",IFERROR(BDP($B30&amp;" Action","CP037"),""))</f>
        <v/>
      </c>
      <c r="F30" s="261">
        <f>Database!T30</f>
        <v/>
      </c>
      <c r="G30" s="260">
        <f>IF($B30="","",IFERROR(BDP($B30&amp;" Action","GREENSHOE_FACILITY"),""))</f>
        <v/>
      </c>
      <c r="H30" s="260">
        <f>IF($B30="","",IFERROR(BDP($B30&amp;" Action","OFFERING_GREENSHOE_SHARES_EX"),""))</f>
        <v/>
      </c>
      <c r="I30" s="51">
        <f>Database!AE30</f>
        <v/>
      </c>
      <c r="J30" s="58">
        <f>IFERROR(BDP(TEXT(VALUE(Database!$A30),"0")&amp;" HK Equity","PE_RATIO"),"")</f>
        <v/>
      </c>
      <c r="K30" s="43">
        <f>IFERROR(BDP(TEXT(VALUE(Database!$A30),"0")&amp;" HK Equity","A/H_SHARE_CONVERSION"),"")</f>
        <v/>
      </c>
      <c r="L30" s="51">
        <f>IF(Database!BN30="","(none found)",Database!BN30)</f>
        <v/>
      </c>
      <c r="M30" s="53">
        <f>IFERROR(INDEX(BDH(TEXT(VALUE(Database!$A30),"0")&amp;" HK Equity","CUR_MKT_CAP",Database!$H30,Database!$H30),MATCH(Database!$H30,INDEX(BDH(TEXT(VALUE(Database!$A30),"0")&amp;" HK Equity","CUR_MKT_CAP",Database!$H30,Database!$H30),0,1),0),2),"run on terminal")</f>
        <v/>
      </c>
      <c r="N30" s="213">
        <f>Database!Q30</f>
        <v/>
      </c>
      <c r="O30" s="58">
        <f>IFERROR(INDEX(BDH(TEXT(VALUE(Database!$A30),"0")&amp;" HK Equity","PE_RATIO",Database!$H30,Database!$H30),MATCH(Database!$H30,INDEX(BDH(TEXT(VALUE(Database!$A30),"0")&amp;" HK Equity","PE_RATIO",Database!$H30,Database!$H30),0,1),0),2),"run on terminal")</f>
        <v/>
      </c>
      <c r="P30" s="251">
        <f>IF(Database!BH30="","(n/m or not derivable)",Database!BH30)</f>
        <v/>
      </c>
      <c r="Q30" s="58">
        <f>IF(Database!BN30="","",IFERROR(INDEX(BDH(LEFT(Database!BN30,FIND(".",Database!BN30)-1)&amp;" CH Equity","PE_RATIO",Database!$H30,Database!$H30),MATCH(Database!$H30,INDEX(BDH(LEFT(Database!BN30,FIND(".",Database!BN30)-1)&amp;" CH Equity","PE_RATIO",Database!$H30,Database!$H30),0,1),0),2),"run on terminal"))</f>
        <v/>
      </c>
      <c r="R30" s="58">
        <f>IF(Database!BN30="","",IFERROR(INDEX(BDH("HSAHP Index","PX_LAST",Database!$H30,Database!$H30),MATCH(Database!$H30,INDEX(BDH("HSAHP Index","PX_LAST",Database!$H30,Database!$H30),0,1),0),2),"run on terminal"))</f>
        <v/>
      </c>
      <c r="S30" s="58">
        <f>IFERROR(BDP(TEXT(VALUE(Database!$A30),"0")&amp;" HK Equity","PX_TO_SALES_RATIO"),"")</f>
        <v/>
      </c>
      <c r="T30" s="53">
        <f>IF(Database!BN30="","",IFERROR(BDP(LEFT(Database!BN30,FIND(".",Database!BN30)-1)&amp;" CH Equity","CUR_MKT_CAP")*BDP("CNYHKD Curncy","PX_LAST"),"run on terminal"))</f>
        <v/>
      </c>
    </row>
    <row r="31" ht="23" customHeight="1">
      <c r="A31" s="51">
        <f>Database!A31&amp;"  "&amp;Database!B31</f>
        <v/>
      </c>
      <c r="B31" s="43">
        <f>IFERROR(INDEX(BDS(TEXT(VALUE(Database!$A31),"0")&amp;" HK Equity","EQUITY_OFFERINGS","array=t","endcol=1"),MATCH("IPO",BDS(TEXT(VALUE(Database!$A31),"0")&amp;" HK Equity","EQUITY_OFFERINGS","array=t","startcol=2","endcol=2"),0)),"")</f>
        <v/>
      </c>
      <c r="C31" s="260">
        <f>IF($B31="","",IFERROR(BDP($B31&amp;" Action","CP036"),""))</f>
        <v/>
      </c>
      <c r="D31" s="261">
        <f>Database!S31</f>
        <v/>
      </c>
      <c r="E31" s="260">
        <f>IF($B31="","",IFERROR(BDP($B31&amp;" Action","CP037"),""))</f>
        <v/>
      </c>
      <c r="F31" s="261">
        <f>Database!T31</f>
        <v/>
      </c>
      <c r="G31" s="260">
        <f>IF($B31="","",IFERROR(BDP($B31&amp;" Action","GREENSHOE_FACILITY"),""))</f>
        <v/>
      </c>
      <c r="H31" s="260">
        <f>IF($B31="","",IFERROR(BDP($B31&amp;" Action","OFFERING_GREENSHOE_SHARES_EX"),""))</f>
        <v/>
      </c>
      <c r="I31" s="51">
        <f>Database!AE31</f>
        <v/>
      </c>
      <c r="J31" s="58">
        <f>IFERROR(BDP(TEXT(VALUE(Database!$A31),"0")&amp;" HK Equity","PE_RATIO"),"")</f>
        <v/>
      </c>
      <c r="K31" s="43">
        <f>IFERROR(BDP(TEXT(VALUE(Database!$A31),"0")&amp;" HK Equity","A/H_SHARE_CONVERSION"),"")</f>
        <v/>
      </c>
      <c r="L31" s="51">
        <f>IF(Database!BN31="","(none found)",Database!BN31)</f>
        <v/>
      </c>
      <c r="M31" s="53">
        <f>IFERROR(INDEX(BDH(TEXT(VALUE(Database!$A31),"0")&amp;" HK Equity","CUR_MKT_CAP",Database!$H31,Database!$H31),MATCH(Database!$H31,INDEX(BDH(TEXT(VALUE(Database!$A31),"0")&amp;" HK Equity","CUR_MKT_CAP",Database!$H31,Database!$H31),0,1),0),2),"run on terminal")</f>
        <v/>
      </c>
      <c r="N31" s="213">
        <f>Database!Q31</f>
        <v/>
      </c>
      <c r="O31" s="58">
        <f>IFERROR(INDEX(BDH(TEXT(VALUE(Database!$A31),"0")&amp;" HK Equity","PE_RATIO",Database!$H31,Database!$H31),MATCH(Database!$H31,INDEX(BDH(TEXT(VALUE(Database!$A31),"0")&amp;" HK Equity","PE_RATIO",Database!$H31,Database!$H31),0,1),0),2),"run on terminal")</f>
        <v/>
      </c>
      <c r="P31" s="251">
        <f>IF(Database!BH31="","(n/m or not derivable)",Database!BH31)</f>
        <v/>
      </c>
      <c r="Q31" s="58">
        <f>IF(Database!BN31="","",IFERROR(INDEX(BDH(LEFT(Database!BN31,FIND(".",Database!BN31)-1)&amp;" CH Equity","PE_RATIO",Database!$H31,Database!$H31),MATCH(Database!$H31,INDEX(BDH(LEFT(Database!BN31,FIND(".",Database!BN31)-1)&amp;" CH Equity","PE_RATIO",Database!$H31,Database!$H31),0,1),0),2),"run on terminal"))</f>
        <v/>
      </c>
      <c r="R31" s="58">
        <f>IF(Database!BN31="","",IFERROR(INDEX(BDH("HSAHP Index","PX_LAST",Database!$H31,Database!$H31),MATCH(Database!$H31,INDEX(BDH("HSAHP Index","PX_LAST",Database!$H31,Database!$H31),0,1),0),2),"run on terminal"))</f>
        <v/>
      </c>
      <c r="S31" s="58">
        <f>IFERROR(BDP(TEXT(VALUE(Database!$A31),"0")&amp;" HK Equity","PX_TO_SALES_RATIO"),"")</f>
        <v/>
      </c>
      <c r="T31" s="53">
        <f>IF(Database!BN31="","",IFERROR(BDP(LEFT(Database!BN31,FIND(".",Database!BN31)-1)&amp;" CH Equity","CUR_MKT_CAP")*BDP("CNYHKD Curncy","PX_LAST"),"run on terminal"))</f>
        <v/>
      </c>
    </row>
    <row r="32" ht="23" customHeight="1">
      <c r="A32" s="51">
        <f>Database!A32&amp;"  "&amp;Database!B32</f>
        <v/>
      </c>
      <c r="B32" s="43">
        <f>IFERROR(INDEX(BDS(TEXT(VALUE(Database!$A32),"0")&amp;" HK Equity","EQUITY_OFFERINGS","array=t","endcol=1"),MATCH("IPO",BDS(TEXT(VALUE(Database!$A32),"0")&amp;" HK Equity","EQUITY_OFFERINGS","array=t","startcol=2","endcol=2"),0)),"")</f>
        <v/>
      </c>
      <c r="C32" s="260">
        <f>IF($B32="","",IFERROR(BDP($B32&amp;" Action","CP036"),""))</f>
        <v/>
      </c>
      <c r="D32" s="261">
        <f>Database!S32</f>
        <v/>
      </c>
      <c r="E32" s="260">
        <f>IF($B32="","",IFERROR(BDP($B32&amp;" Action","CP037"),""))</f>
        <v/>
      </c>
      <c r="F32" s="261">
        <f>Database!T32</f>
        <v/>
      </c>
      <c r="G32" s="260">
        <f>IF($B32="","",IFERROR(BDP($B32&amp;" Action","GREENSHOE_FACILITY"),""))</f>
        <v/>
      </c>
      <c r="H32" s="260">
        <f>IF($B32="","",IFERROR(BDP($B32&amp;" Action","OFFERING_GREENSHOE_SHARES_EX"),""))</f>
        <v/>
      </c>
      <c r="I32" s="51">
        <f>Database!AE32</f>
        <v/>
      </c>
      <c r="J32" s="58">
        <f>IFERROR(BDP(TEXT(VALUE(Database!$A32),"0")&amp;" HK Equity","PE_RATIO"),"")</f>
        <v/>
      </c>
      <c r="K32" s="43">
        <f>IFERROR(BDP(TEXT(VALUE(Database!$A32),"0")&amp;" HK Equity","A/H_SHARE_CONVERSION"),"")</f>
        <v/>
      </c>
      <c r="L32" s="51">
        <f>IF(Database!BN32="","(none found)",Database!BN32)</f>
        <v/>
      </c>
      <c r="M32" s="53">
        <f>IFERROR(INDEX(BDH(TEXT(VALUE(Database!$A32),"0")&amp;" HK Equity","CUR_MKT_CAP",Database!$H32,Database!$H32),MATCH(Database!$H32,INDEX(BDH(TEXT(VALUE(Database!$A32),"0")&amp;" HK Equity","CUR_MKT_CAP",Database!$H32,Database!$H32),0,1),0),2),"run on terminal")</f>
        <v/>
      </c>
      <c r="N32" s="213">
        <f>Database!Q32</f>
        <v/>
      </c>
      <c r="O32" s="58">
        <f>IFERROR(INDEX(BDH(TEXT(VALUE(Database!$A32),"0")&amp;" HK Equity","PE_RATIO",Database!$H32,Database!$H32),MATCH(Database!$H32,INDEX(BDH(TEXT(VALUE(Database!$A32),"0")&amp;" HK Equity","PE_RATIO",Database!$H32,Database!$H32),0,1),0),2),"run on terminal")</f>
        <v/>
      </c>
      <c r="P32" s="251">
        <f>IF(Database!BH32="","(n/m or not derivable)",Database!BH32)</f>
        <v/>
      </c>
      <c r="Q32" s="58">
        <f>IF(Database!BN32="","",IFERROR(INDEX(BDH(LEFT(Database!BN32,FIND(".",Database!BN32)-1)&amp;" CH Equity","PE_RATIO",Database!$H32,Database!$H32),MATCH(Database!$H32,INDEX(BDH(LEFT(Database!BN32,FIND(".",Database!BN32)-1)&amp;" CH Equity","PE_RATIO",Database!$H32,Database!$H32),0,1),0),2),"run on terminal"))</f>
        <v/>
      </c>
      <c r="R32" s="58">
        <f>IF(Database!BN32="","",IFERROR(INDEX(BDH("HSAHP Index","PX_LAST",Database!$H32,Database!$H32),MATCH(Database!$H32,INDEX(BDH("HSAHP Index","PX_LAST",Database!$H32,Database!$H32),0,1),0),2),"run on terminal"))</f>
        <v/>
      </c>
      <c r="S32" s="58">
        <f>IFERROR(BDP(TEXT(VALUE(Database!$A32),"0")&amp;" HK Equity","PX_TO_SALES_RATIO"),"")</f>
        <v/>
      </c>
      <c r="T32" s="53">
        <f>IF(Database!BN32="","",IFERROR(BDP(LEFT(Database!BN32,FIND(".",Database!BN32)-1)&amp;" CH Equity","CUR_MKT_CAP")*BDP("CNYHKD Curncy","PX_LAST"),"run on terminal"))</f>
        <v/>
      </c>
    </row>
    <row r="33" ht="23" customHeight="1">
      <c r="A33" s="51">
        <f>Database!A33&amp;"  "&amp;Database!B33</f>
        <v/>
      </c>
      <c r="B33" s="43">
        <f>IFERROR(INDEX(BDS(TEXT(VALUE(Database!$A33),"0")&amp;" HK Equity","EQUITY_OFFERINGS","array=t","endcol=1"),MATCH("IPO",BDS(TEXT(VALUE(Database!$A33),"0")&amp;" HK Equity","EQUITY_OFFERINGS","array=t","startcol=2","endcol=2"),0)),"")</f>
        <v/>
      </c>
      <c r="C33" s="260">
        <f>IF($B33="","",IFERROR(BDP($B33&amp;" Action","CP036"),""))</f>
        <v/>
      </c>
      <c r="D33" s="261">
        <f>Database!S33</f>
        <v/>
      </c>
      <c r="E33" s="260">
        <f>IF($B33="","",IFERROR(BDP($B33&amp;" Action","CP037"),""))</f>
        <v/>
      </c>
      <c r="F33" s="261">
        <f>Database!T33</f>
        <v/>
      </c>
      <c r="G33" s="260">
        <f>IF($B33="","",IFERROR(BDP($B33&amp;" Action","GREENSHOE_FACILITY"),""))</f>
        <v/>
      </c>
      <c r="H33" s="260">
        <f>IF($B33="","",IFERROR(BDP($B33&amp;" Action","OFFERING_GREENSHOE_SHARES_EX"),""))</f>
        <v/>
      </c>
      <c r="I33" s="51">
        <f>Database!AE33</f>
        <v/>
      </c>
      <c r="J33" s="58">
        <f>IFERROR(BDP(TEXT(VALUE(Database!$A33),"0")&amp;" HK Equity","PE_RATIO"),"")</f>
        <v/>
      </c>
      <c r="K33" s="43">
        <f>IFERROR(BDP(TEXT(VALUE(Database!$A33),"0")&amp;" HK Equity","A/H_SHARE_CONVERSION"),"")</f>
        <v/>
      </c>
      <c r="L33" s="51">
        <f>IF(Database!BN33="","(none found)",Database!BN33)</f>
        <v/>
      </c>
      <c r="M33" s="53">
        <f>IFERROR(INDEX(BDH(TEXT(VALUE(Database!$A33),"0")&amp;" HK Equity","CUR_MKT_CAP",Database!$H33,Database!$H33),MATCH(Database!$H33,INDEX(BDH(TEXT(VALUE(Database!$A33),"0")&amp;" HK Equity","CUR_MKT_CAP",Database!$H33,Database!$H33),0,1),0),2),"run on terminal")</f>
        <v/>
      </c>
      <c r="N33" s="213">
        <f>Database!Q33</f>
        <v/>
      </c>
      <c r="O33" s="58">
        <f>IFERROR(INDEX(BDH(TEXT(VALUE(Database!$A33),"0")&amp;" HK Equity","PE_RATIO",Database!$H33,Database!$H33),MATCH(Database!$H33,INDEX(BDH(TEXT(VALUE(Database!$A33),"0")&amp;" HK Equity","PE_RATIO",Database!$H33,Database!$H33),0,1),0),2),"run on terminal")</f>
        <v/>
      </c>
      <c r="P33" s="251">
        <f>IF(Database!BH33="","(n/m or not derivable)",Database!BH33)</f>
        <v/>
      </c>
      <c r="Q33" s="58">
        <f>IF(Database!BN33="","",IFERROR(INDEX(BDH(LEFT(Database!BN33,FIND(".",Database!BN33)-1)&amp;" CH Equity","PE_RATIO",Database!$H33,Database!$H33),MATCH(Database!$H33,INDEX(BDH(LEFT(Database!BN33,FIND(".",Database!BN33)-1)&amp;" CH Equity","PE_RATIO",Database!$H33,Database!$H33),0,1),0),2),"run on terminal"))</f>
        <v/>
      </c>
      <c r="R33" s="58">
        <f>IF(Database!BN33="","",IFERROR(INDEX(BDH("HSAHP Index","PX_LAST",Database!$H33,Database!$H33),MATCH(Database!$H33,INDEX(BDH("HSAHP Index","PX_LAST",Database!$H33,Database!$H33),0,1),0),2),"run on terminal"))</f>
        <v/>
      </c>
      <c r="S33" s="58">
        <f>IFERROR(BDP(TEXT(VALUE(Database!$A33),"0")&amp;" HK Equity","PX_TO_SALES_RATIO"),"")</f>
        <v/>
      </c>
      <c r="T33" s="53">
        <f>IF(Database!BN33="","",IFERROR(BDP(LEFT(Database!BN33,FIND(".",Database!BN33)-1)&amp;" CH Equity","CUR_MKT_CAP")*BDP("CNYHKD Curncy","PX_LAST"),"run on terminal"))</f>
        <v/>
      </c>
    </row>
    <row r="34" ht="23" customHeight="1">
      <c r="A34" s="51">
        <f>Database!A34&amp;"  "&amp;Database!B34</f>
        <v/>
      </c>
      <c r="B34" s="43">
        <f>IFERROR(INDEX(BDS(TEXT(VALUE(Database!$A34),"0")&amp;" HK Equity","EQUITY_OFFERINGS","array=t","endcol=1"),MATCH("IPO",BDS(TEXT(VALUE(Database!$A34),"0")&amp;" HK Equity","EQUITY_OFFERINGS","array=t","startcol=2","endcol=2"),0)),"")</f>
        <v/>
      </c>
      <c r="C34" s="260">
        <f>IF($B34="","",IFERROR(BDP($B34&amp;" Action","CP036"),""))</f>
        <v/>
      </c>
      <c r="D34" s="261">
        <f>Database!S34</f>
        <v/>
      </c>
      <c r="E34" s="260">
        <f>IF($B34="","",IFERROR(BDP($B34&amp;" Action","CP037"),""))</f>
        <v/>
      </c>
      <c r="F34" s="261">
        <f>Database!T34</f>
        <v/>
      </c>
      <c r="G34" s="260">
        <f>IF($B34="","",IFERROR(BDP($B34&amp;" Action","GREENSHOE_FACILITY"),""))</f>
        <v/>
      </c>
      <c r="H34" s="260">
        <f>IF($B34="","",IFERROR(BDP($B34&amp;" Action","OFFERING_GREENSHOE_SHARES_EX"),""))</f>
        <v/>
      </c>
      <c r="I34" s="51">
        <f>Database!AE34</f>
        <v/>
      </c>
      <c r="J34" s="58">
        <f>IFERROR(BDP(TEXT(VALUE(Database!$A34),"0")&amp;" HK Equity","PE_RATIO"),"")</f>
        <v/>
      </c>
      <c r="K34" s="43">
        <f>IFERROR(BDP(TEXT(VALUE(Database!$A34),"0")&amp;" HK Equity","A/H_SHARE_CONVERSION"),"")</f>
        <v/>
      </c>
      <c r="L34" s="51">
        <f>IF(Database!BN34="","(none found)",Database!BN34)</f>
        <v/>
      </c>
      <c r="M34" s="53">
        <f>IFERROR(INDEX(BDH(TEXT(VALUE(Database!$A34),"0")&amp;" HK Equity","CUR_MKT_CAP",Database!$H34,Database!$H34),MATCH(Database!$H34,INDEX(BDH(TEXT(VALUE(Database!$A34),"0")&amp;" HK Equity","CUR_MKT_CAP",Database!$H34,Database!$H34),0,1),0),2),"run on terminal")</f>
        <v/>
      </c>
      <c r="N34" s="213">
        <f>Database!Q34</f>
        <v/>
      </c>
      <c r="O34" s="58">
        <f>IFERROR(INDEX(BDH(TEXT(VALUE(Database!$A34),"0")&amp;" HK Equity","PE_RATIO",Database!$H34,Database!$H34),MATCH(Database!$H34,INDEX(BDH(TEXT(VALUE(Database!$A34),"0")&amp;" HK Equity","PE_RATIO",Database!$H34,Database!$H34),0,1),0),2),"run on terminal")</f>
        <v/>
      </c>
      <c r="P34" s="251">
        <f>IF(Database!BH34="","(n/m or not derivable)",Database!BH34)</f>
        <v/>
      </c>
      <c r="Q34" s="58">
        <f>IF(Database!BN34="","",IFERROR(INDEX(BDH(LEFT(Database!BN34,FIND(".",Database!BN34)-1)&amp;" CH Equity","PE_RATIO",Database!$H34,Database!$H34),MATCH(Database!$H34,INDEX(BDH(LEFT(Database!BN34,FIND(".",Database!BN34)-1)&amp;" CH Equity","PE_RATIO",Database!$H34,Database!$H34),0,1),0),2),"run on terminal"))</f>
        <v/>
      </c>
      <c r="R34" s="58">
        <f>IF(Database!BN34="","",IFERROR(INDEX(BDH("HSAHP Index","PX_LAST",Database!$H34,Database!$H34),MATCH(Database!$H34,INDEX(BDH("HSAHP Index","PX_LAST",Database!$H34,Database!$H34),0,1),0),2),"run on terminal"))</f>
        <v/>
      </c>
      <c r="S34" s="58">
        <f>IFERROR(BDP(TEXT(VALUE(Database!$A34),"0")&amp;" HK Equity","PX_TO_SALES_RATIO"),"")</f>
        <v/>
      </c>
      <c r="T34" s="53">
        <f>IF(Database!BN34="","",IFERROR(BDP(LEFT(Database!BN34,FIND(".",Database!BN34)-1)&amp;" CH Equity","CUR_MKT_CAP")*BDP("CNYHKD Curncy","PX_LAST"),"run on terminal"))</f>
        <v/>
      </c>
    </row>
    <row r="35" ht="23" customHeight="1">
      <c r="A35" s="51">
        <f>Database!A35&amp;"  "&amp;Database!B35</f>
        <v/>
      </c>
      <c r="B35" s="43">
        <f>IFERROR(INDEX(BDS(TEXT(VALUE(Database!$A35),"0")&amp;" HK Equity","EQUITY_OFFERINGS","array=t","endcol=1"),MATCH("IPO",BDS(TEXT(VALUE(Database!$A35),"0")&amp;" HK Equity","EQUITY_OFFERINGS","array=t","startcol=2","endcol=2"),0)),"")</f>
        <v/>
      </c>
      <c r="C35" s="260">
        <f>IF($B35="","",IFERROR(BDP($B35&amp;" Action","CP036"),""))</f>
        <v/>
      </c>
      <c r="D35" s="261">
        <f>Database!S35</f>
        <v/>
      </c>
      <c r="E35" s="260">
        <f>IF($B35="","",IFERROR(BDP($B35&amp;" Action","CP037"),""))</f>
        <v/>
      </c>
      <c r="F35" s="261">
        <f>Database!T35</f>
        <v/>
      </c>
      <c r="G35" s="260">
        <f>IF($B35="","",IFERROR(BDP($B35&amp;" Action","GREENSHOE_FACILITY"),""))</f>
        <v/>
      </c>
      <c r="H35" s="260">
        <f>IF($B35="","",IFERROR(BDP($B35&amp;" Action","OFFERING_GREENSHOE_SHARES_EX"),""))</f>
        <v/>
      </c>
      <c r="I35" s="51">
        <f>Database!AE35</f>
        <v/>
      </c>
      <c r="J35" s="58">
        <f>IFERROR(BDP(TEXT(VALUE(Database!$A35),"0")&amp;" HK Equity","PE_RATIO"),"")</f>
        <v/>
      </c>
      <c r="K35" s="43">
        <f>IFERROR(BDP(TEXT(VALUE(Database!$A35),"0")&amp;" HK Equity","A/H_SHARE_CONVERSION"),"")</f>
        <v/>
      </c>
      <c r="L35" s="51">
        <f>IF(Database!BN35="","(none found)",Database!BN35)</f>
        <v/>
      </c>
      <c r="M35" s="53">
        <f>IFERROR(INDEX(BDH(TEXT(VALUE(Database!$A35),"0")&amp;" HK Equity","CUR_MKT_CAP",Database!$H35,Database!$H35),MATCH(Database!$H35,INDEX(BDH(TEXT(VALUE(Database!$A35),"0")&amp;" HK Equity","CUR_MKT_CAP",Database!$H35,Database!$H35),0,1),0),2),"run on terminal")</f>
        <v/>
      </c>
      <c r="N35" s="213">
        <f>Database!Q35</f>
        <v/>
      </c>
      <c r="O35" s="58">
        <f>IFERROR(INDEX(BDH(TEXT(VALUE(Database!$A35),"0")&amp;" HK Equity","PE_RATIO",Database!$H35,Database!$H35),MATCH(Database!$H35,INDEX(BDH(TEXT(VALUE(Database!$A35),"0")&amp;" HK Equity","PE_RATIO",Database!$H35,Database!$H35),0,1),0),2),"run on terminal")</f>
        <v/>
      </c>
      <c r="P35" s="251">
        <f>IF(Database!BH35="","(n/m or not derivable)",Database!BH35)</f>
        <v/>
      </c>
      <c r="Q35" s="58">
        <f>IF(Database!BN35="","",IFERROR(INDEX(BDH(LEFT(Database!BN35,FIND(".",Database!BN35)-1)&amp;" CH Equity","PE_RATIO",Database!$H35,Database!$H35),MATCH(Database!$H35,INDEX(BDH(LEFT(Database!BN35,FIND(".",Database!BN35)-1)&amp;" CH Equity","PE_RATIO",Database!$H35,Database!$H35),0,1),0),2),"run on terminal"))</f>
        <v/>
      </c>
      <c r="R35" s="58">
        <f>IF(Database!BN35="","",IFERROR(INDEX(BDH("HSAHP Index","PX_LAST",Database!$H35,Database!$H35),MATCH(Database!$H35,INDEX(BDH("HSAHP Index","PX_LAST",Database!$H35,Database!$H35),0,1),0),2),"run on terminal"))</f>
        <v/>
      </c>
      <c r="S35" s="58">
        <f>IFERROR(BDP(TEXT(VALUE(Database!$A35),"0")&amp;" HK Equity","PX_TO_SALES_RATIO"),"")</f>
        <v/>
      </c>
      <c r="T35" s="53">
        <f>IF(Database!BN35="","",IFERROR(BDP(LEFT(Database!BN35,FIND(".",Database!BN35)-1)&amp;" CH Equity","CUR_MKT_CAP")*BDP("CNYHKD Curncy","PX_LAST"),"run on terminal"))</f>
        <v/>
      </c>
    </row>
    <row r="36" ht="23" customHeight="1">
      <c r="A36" s="51">
        <f>Database!A36&amp;"  "&amp;Database!B36</f>
        <v/>
      </c>
      <c r="B36" s="43">
        <f>IFERROR(INDEX(BDS(TEXT(VALUE(Database!$A36),"0")&amp;" HK Equity","EQUITY_OFFERINGS","array=t","endcol=1"),MATCH("IPO",BDS(TEXT(VALUE(Database!$A36),"0")&amp;" HK Equity","EQUITY_OFFERINGS","array=t","startcol=2","endcol=2"),0)),"")</f>
        <v/>
      </c>
      <c r="C36" s="260">
        <f>IF($B36="","",IFERROR(BDP($B36&amp;" Action","CP036"),""))</f>
        <v/>
      </c>
      <c r="D36" s="261">
        <f>Database!S36</f>
        <v/>
      </c>
      <c r="E36" s="260">
        <f>IF($B36="","",IFERROR(BDP($B36&amp;" Action","CP037"),""))</f>
        <v/>
      </c>
      <c r="F36" s="261">
        <f>Database!T36</f>
        <v/>
      </c>
      <c r="G36" s="260">
        <f>IF($B36="","",IFERROR(BDP($B36&amp;" Action","GREENSHOE_FACILITY"),""))</f>
        <v/>
      </c>
      <c r="H36" s="260">
        <f>IF($B36="","",IFERROR(BDP($B36&amp;" Action","OFFERING_GREENSHOE_SHARES_EX"),""))</f>
        <v/>
      </c>
      <c r="I36" s="51">
        <f>Database!AE36</f>
        <v/>
      </c>
      <c r="J36" s="58">
        <f>IFERROR(BDP(TEXT(VALUE(Database!$A36),"0")&amp;" HK Equity","PE_RATIO"),"")</f>
        <v/>
      </c>
      <c r="K36" s="43">
        <f>IFERROR(BDP(TEXT(VALUE(Database!$A36),"0")&amp;" HK Equity","A/H_SHARE_CONVERSION"),"")</f>
        <v/>
      </c>
      <c r="L36" s="51">
        <f>IF(Database!BN36="","(none found)",Database!BN36)</f>
        <v/>
      </c>
      <c r="M36" s="53">
        <f>IFERROR(INDEX(BDH(TEXT(VALUE(Database!$A36),"0")&amp;" HK Equity","CUR_MKT_CAP",Database!$H36,Database!$H36),MATCH(Database!$H36,INDEX(BDH(TEXT(VALUE(Database!$A36),"0")&amp;" HK Equity","CUR_MKT_CAP",Database!$H36,Database!$H36),0,1),0),2),"run on terminal")</f>
        <v/>
      </c>
      <c r="N36" s="213">
        <f>Database!Q36</f>
        <v/>
      </c>
      <c r="O36" s="58">
        <f>IFERROR(INDEX(BDH(TEXT(VALUE(Database!$A36),"0")&amp;" HK Equity","PE_RATIO",Database!$H36,Database!$H36),MATCH(Database!$H36,INDEX(BDH(TEXT(VALUE(Database!$A36),"0")&amp;" HK Equity","PE_RATIO",Database!$H36,Database!$H36),0,1),0),2),"run on terminal")</f>
        <v/>
      </c>
      <c r="P36" s="251">
        <f>IF(Database!BH36="","(n/m or not derivable)",Database!BH36)</f>
        <v/>
      </c>
      <c r="Q36" s="58">
        <f>IF(Database!BN36="","",IFERROR(INDEX(BDH(LEFT(Database!BN36,FIND(".",Database!BN36)-1)&amp;" CH Equity","PE_RATIO",Database!$H36,Database!$H36),MATCH(Database!$H36,INDEX(BDH(LEFT(Database!BN36,FIND(".",Database!BN36)-1)&amp;" CH Equity","PE_RATIO",Database!$H36,Database!$H36),0,1),0),2),"run on terminal"))</f>
        <v/>
      </c>
      <c r="R36" s="58">
        <f>IF(Database!BN36="","",IFERROR(INDEX(BDH("HSAHP Index","PX_LAST",Database!$H36,Database!$H36),MATCH(Database!$H36,INDEX(BDH("HSAHP Index","PX_LAST",Database!$H36,Database!$H36),0,1),0),2),"run on terminal"))</f>
        <v/>
      </c>
      <c r="S36" s="58">
        <f>IFERROR(BDP(TEXT(VALUE(Database!$A36),"0")&amp;" HK Equity","PX_TO_SALES_RATIO"),"")</f>
        <v/>
      </c>
      <c r="T36" s="53">
        <f>IF(Database!BN36="","",IFERROR(BDP(LEFT(Database!BN36,FIND(".",Database!BN36)-1)&amp;" CH Equity","CUR_MKT_CAP")*BDP("CNYHKD Curncy","PX_LAST"),"run on terminal"))</f>
        <v/>
      </c>
    </row>
    <row r="37" ht="23" customHeight="1">
      <c r="A37" s="51">
        <f>Database!A37&amp;"  "&amp;Database!B37</f>
        <v/>
      </c>
      <c r="B37" s="43">
        <f>IFERROR(INDEX(BDS(TEXT(VALUE(Database!$A37),"0")&amp;" HK Equity","EQUITY_OFFERINGS","array=t","endcol=1"),MATCH("IPO",BDS(TEXT(VALUE(Database!$A37),"0")&amp;" HK Equity","EQUITY_OFFERINGS","array=t","startcol=2","endcol=2"),0)),"")</f>
        <v/>
      </c>
      <c r="C37" s="260">
        <f>IF($B37="","",IFERROR(BDP($B37&amp;" Action","CP036"),""))</f>
        <v/>
      </c>
      <c r="D37" s="261">
        <f>Database!S37</f>
        <v/>
      </c>
      <c r="E37" s="260">
        <f>IF($B37="","",IFERROR(BDP($B37&amp;" Action","CP037"),""))</f>
        <v/>
      </c>
      <c r="F37" s="261">
        <f>Database!T37</f>
        <v/>
      </c>
      <c r="G37" s="260">
        <f>IF($B37="","",IFERROR(BDP($B37&amp;" Action","GREENSHOE_FACILITY"),""))</f>
        <v/>
      </c>
      <c r="H37" s="260">
        <f>IF($B37="","",IFERROR(BDP($B37&amp;" Action","OFFERING_GREENSHOE_SHARES_EX"),""))</f>
        <v/>
      </c>
      <c r="I37" s="51">
        <f>Database!AE37</f>
        <v/>
      </c>
      <c r="J37" s="58">
        <f>IFERROR(BDP(TEXT(VALUE(Database!$A37),"0")&amp;" HK Equity","PE_RATIO"),"")</f>
        <v/>
      </c>
      <c r="K37" s="43">
        <f>IFERROR(BDP(TEXT(VALUE(Database!$A37),"0")&amp;" HK Equity","A/H_SHARE_CONVERSION"),"")</f>
        <v/>
      </c>
      <c r="L37" s="51">
        <f>IF(Database!BN37="","(none found)",Database!BN37)</f>
        <v/>
      </c>
      <c r="M37" s="53">
        <f>IFERROR(INDEX(BDH(TEXT(VALUE(Database!$A37),"0")&amp;" HK Equity","CUR_MKT_CAP",Database!$H37,Database!$H37),MATCH(Database!$H37,INDEX(BDH(TEXT(VALUE(Database!$A37),"0")&amp;" HK Equity","CUR_MKT_CAP",Database!$H37,Database!$H37),0,1),0),2),"run on terminal")</f>
        <v/>
      </c>
      <c r="N37" s="213">
        <f>Database!Q37</f>
        <v/>
      </c>
      <c r="O37" s="58">
        <f>IFERROR(INDEX(BDH(TEXT(VALUE(Database!$A37),"0")&amp;" HK Equity","PE_RATIO",Database!$H37,Database!$H37),MATCH(Database!$H37,INDEX(BDH(TEXT(VALUE(Database!$A37),"0")&amp;" HK Equity","PE_RATIO",Database!$H37,Database!$H37),0,1),0),2),"run on terminal")</f>
        <v/>
      </c>
      <c r="P37" s="251">
        <f>IF(Database!BH37="","(n/m or not derivable)",Database!BH37)</f>
        <v/>
      </c>
      <c r="Q37" s="58">
        <f>IF(Database!BN37="","",IFERROR(INDEX(BDH(LEFT(Database!BN37,FIND(".",Database!BN37)-1)&amp;" CH Equity","PE_RATIO",Database!$H37,Database!$H37),MATCH(Database!$H37,INDEX(BDH(LEFT(Database!BN37,FIND(".",Database!BN37)-1)&amp;" CH Equity","PE_RATIO",Database!$H37,Database!$H37),0,1),0),2),"run on terminal"))</f>
        <v/>
      </c>
      <c r="R37" s="58">
        <f>IF(Database!BN37="","",IFERROR(INDEX(BDH("HSAHP Index","PX_LAST",Database!$H37,Database!$H37),MATCH(Database!$H37,INDEX(BDH("HSAHP Index","PX_LAST",Database!$H37,Database!$H37),0,1),0),2),"run on terminal"))</f>
        <v/>
      </c>
      <c r="S37" s="58">
        <f>IFERROR(BDP(TEXT(VALUE(Database!$A37),"0")&amp;" HK Equity","PX_TO_SALES_RATIO"),"")</f>
        <v/>
      </c>
      <c r="T37" s="53">
        <f>IF(Database!BN37="","",IFERROR(BDP(LEFT(Database!BN37,FIND(".",Database!BN37)-1)&amp;" CH Equity","CUR_MKT_CAP")*BDP("CNYHKD Curncy","PX_LAST"),"run on terminal"))</f>
        <v/>
      </c>
    </row>
    <row r="38" ht="23" customHeight="1">
      <c r="A38" s="51">
        <f>Database!A38&amp;"  "&amp;Database!B38</f>
        <v/>
      </c>
      <c r="B38" s="43">
        <f>IFERROR(INDEX(BDS(TEXT(VALUE(Database!$A38),"0")&amp;" HK Equity","EQUITY_OFFERINGS","array=t","endcol=1"),MATCH("IPO",BDS(TEXT(VALUE(Database!$A38),"0")&amp;" HK Equity","EQUITY_OFFERINGS","array=t","startcol=2","endcol=2"),0)),"")</f>
        <v/>
      </c>
      <c r="C38" s="260">
        <f>IF($B38="","",IFERROR(BDP($B38&amp;" Action","CP036"),""))</f>
        <v/>
      </c>
      <c r="D38" s="261">
        <f>Database!S38</f>
        <v/>
      </c>
      <c r="E38" s="260">
        <f>IF($B38="","",IFERROR(BDP($B38&amp;" Action","CP037"),""))</f>
        <v/>
      </c>
      <c r="F38" s="261">
        <f>Database!T38</f>
        <v/>
      </c>
      <c r="G38" s="260">
        <f>IF($B38="","",IFERROR(BDP($B38&amp;" Action","GREENSHOE_FACILITY"),""))</f>
        <v/>
      </c>
      <c r="H38" s="260">
        <f>IF($B38="","",IFERROR(BDP($B38&amp;" Action","OFFERING_GREENSHOE_SHARES_EX"),""))</f>
        <v/>
      </c>
      <c r="I38" s="51">
        <f>Database!AE38</f>
        <v/>
      </c>
      <c r="J38" s="58">
        <f>IFERROR(BDP(TEXT(VALUE(Database!$A38),"0")&amp;" HK Equity","PE_RATIO"),"")</f>
        <v/>
      </c>
      <c r="K38" s="43">
        <f>IFERROR(BDP(TEXT(VALUE(Database!$A38),"0")&amp;" HK Equity","A/H_SHARE_CONVERSION"),"")</f>
        <v/>
      </c>
      <c r="L38" s="51">
        <f>IF(Database!BN38="","(none found)",Database!BN38)</f>
        <v/>
      </c>
      <c r="M38" s="53">
        <f>IFERROR(INDEX(BDH(TEXT(VALUE(Database!$A38),"0")&amp;" HK Equity","CUR_MKT_CAP",Database!$H38,Database!$H38),MATCH(Database!$H38,INDEX(BDH(TEXT(VALUE(Database!$A38),"0")&amp;" HK Equity","CUR_MKT_CAP",Database!$H38,Database!$H38),0,1),0),2),"run on terminal")</f>
        <v/>
      </c>
      <c r="N38" s="213">
        <f>Database!Q38</f>
        <v/>
      </c>
      <c r="O38" s="58">
        <f>IFERROR(INDEX(BDH(TEXT(VALUE(Database!$A38),"0")&amp;" HK Equity","PE_RATIO",Database!$H38,Database!$H38),MATCH(Database!$H38,INDEX(BDH(TEXT(VALUE(Database!$A38),"0")&amp;" HK Equity","PE_RATIO",Database!$H38,Database!$H38),0,1),0),2),"run on terminal")</f>
        <v/>
      </c>
      <c r="P38" s="251">
        <f>IF(Database!BH38="","(n/m or not derivable)",Database!BH38)</f>
        <v/>
      </c>
      <c r="Q38" s="58">
        <f>IF(Database!BN38="","",IFERROR(INDEX(BDH(LEFT(Database!BN38,FIND(".",Database!BN38)-1)&amp;" CH Equity","PE_RATIO",Database!$H38,Database!$H38),MATCH(Database!$H38,INDEX(BDH(LEFT(Database!BN38,FIND(".",Database!BN38)-1)&amp;" CH Equity","PE_RATIO",Database!$H38,Database!$H38),0,1),0),2),"run on terminal"))</f>
        <v/>
      </c>
      <c r="R38" s="58">
        <f>IF(Database!BN38="","",IFERROR(INDEX(BDH("HSAHP Index","PX_LAST",Database!$H38,Database!$H38),MATCH(Database!$H38,INDEX(BDH("HSAHP Index","PX_LAST",Database!$H38,Database!$H38),0,1),0),2),"run on terminal"))</f>
        <v/>
      </c>
      <c r="S38" s="58">
        <f>IFERROR(BDP(TEXT(VALUE(Database!$A38),"0")&amp;" HK Equity","PX_TO_SALES_RATIO"),"")</f>
        <v/>
      </c>
      <c r="T38" s="53">
        <f>IF(Database!BN38="","",IFERROR(BDP(LEFT(Database!BN38,FIND(".",Database!BN38)-1)&amp;" CH Equity","CUR_MKT_CAP")*BDP("CNYHKD Curncy","PX_LAST"),"run on terminal"))</f>
        <v/>
      </c>
    </row>
    <row r="39" ht="23" customHeight="1">
      <c r="A39" s="51">
        <f>Database!A39&amp;"  "&amp;Database!B39</f>
        <v/>
      </c>
      <c r="B39" s="43">
        <f>IFERROR(INDEX(BDS(TEXT(VALUE(Database!$A39),"0")&amp;" HK Equity","EQUITY_OFFERINGS","array=t","endcol=1"),MATCH("IPO",BDS(TEXT(VALUE(Database!$A39),"0")&amp;" HK Equity","EQUITY_OFFERINGS","array=t","startcol=2","endcol=2"),0)),"")</f>
        <v/>
      </c>
      <c r="C39" s="260">
        <f>IF($B39="","",IFERROR(BDP($B39&amp;" Action","CP036"),""))</f>
        <v/>
      </c>
      <c r="D39" s="261">
        <f>Database!S39</f>
        <v/>
      </c>
      <c r="E39" s="260">
        <f>IF($B39="","",IFERROR(BDP($B39&amp;" Action","CP037"),""))</f>
        <v/>
      </c>
      <c r="F39" s="261">
        <f>Database!T39</f>
        <v/>
      </c>
      <c r="G39" s="260">
        <f>IF($B39="","",IFERROR(BDP($B39&amp;" Action","GREENSHOE_FACILITY"),""))</f>
        <v/>
      </c>
      <c r="H39" s="260">
        <f>IF($B39="","",IFERROR(BDP($B39&amp;" Action","OFFERING_GREENSHOE_SHARES_EX"),""))</f>
        <v/>
      </c>
      <c r="I39" s="51">
        <f>Database!AE39</f>
        <v/>
      </c>
      <c r="J39" s="58">
        <f>IFERROR(BDP(TEXT(VALUE(Database!$A39),"0")&amp;" HK Equity","PE_RATIO"),"")</f>
        <v/>
      </c>
      <c r="K39" s="43">
        <f>IFERROR(BDP(TEXT(VALUE(Database!$A39),"0")&amp;" HK Equity","A/H_SHARE_CONVERSION"),"")</f>
        <v/>
      </c>
      <c r="L39" s="51">
        <f>IF(Database!BN39="","(none found)",Database!BN39)</f>
        <v/>
      </c>
      <c r="M39" s="53">
        <f>IFERROR(INDEX(BDH(TEXT(VALUE(Database!$A39),"0")&amp;" HK Equity","CUR_MKT_CAP",Database!$H39,Database!$H39),MATCH(Database!$H39,INDEX(BDH(TEXT(VALUE(Database!$A39),"0")&amp;" HK Equity","CUR_MKT_CAP",Database!$H39,Database!$H39),0,1),0),2),"run on terminal")</f>
        <v/>
      </c>
      <c r="N39" s="213">
        <f>Database!Q39</f>
        <v/>
      </c>
      <c r="O39" s="58">
        <f>IFERROR(INDEX(BDH(TEXT(VALUE(Database!$A39),"0")&amp;" HK Equity","PE_RATIO",Database!$H39,Database!$H39),MATCH(Database!$H39,INDEX(BDH(TEXT(VALUE(Database!$A39),"0")&amp;" HK Equity","PE_RATIO",Database!$H39,Database!$H39),0,1),0),2),"run on terminal")</f>
        <v/>
      </c>
      <c r="P39" s="251">
        <f>IF(Database!BH39="","(n/m or not derivable)",Database!BH39)</f>
        <v/>
      </c>
      <c r="Q39" s="58">
        <f>IF(Database!BN39="","",IFERROR(INDEX(BDH(LEFT(Database!BN39,FIND(".",Database!BN39)-1)&amp;" CH Equity","PE_RATIO",Database!$H39,Database!$H39),MATCH(Database!$H39,INDEX(BDH(LEFT(Database!BN39,FIND(".",Database!BN39)-1)&amp;" CH Equity","PE_RATIO",Database!$H39,Database!$H39),0,1),0),2),"run on terminal"))</f>
        <v/>
      </c>
      <c r="R39" s="58">
        <f>IF(Database!BN39="","",IFERROR(INDEX(BDH("HSAHP Index","PX_LAST",Database!$H39,Database!$H39),MATCH(Database!$H39,INDEX(BDH("HSAHP Index","PX_LAST",Database!$H39,Database!$H39),0,1),0),2),"run on terminal"))</f>
        <v/>
      </c>
      <c r="S39" s="58">
        <f>IFERROR(BDP(TEXT(VALUE(Database!$A39),"0")&amp;" HK Equity","PX_TO_SALES_RATIO"),"")</f>
        <v/>
      </c>
      <c r="T39" s="53">
        <f>IF(Database!BN39="","",IFERROR(BDP(LEFT(Database!BN39,FIND(".",Database!BN39)-1)&amp;" CH Equity","CUR_MKT_CAP")*BDP("CNYHKD Curncy","PX_LAST"),"run on terminal"))</f>
        <v/>
      </c>
    </row>
    <row r="40" ht="23" customHeight="1">
      <c r="A40" s="51">
        <f>Database!A40&amp;"  "&amp;Database!B40</f>
        <v/>
      </c>
      <c r="B40" s="43">
        <f>IFERROR(INDEX(BDS(TEXT(VALUE(Database!$A40),"0")&amp;" HK Equity","EQUITY_OFFERINGS","array=t","endcol=1"),MATCH("IPO",BDS(TEXT(VALUE(Database!$A40),"0")&amp;" HK Equity","EQUITY_OFFERINGS","array=t","startcol=2","endcol=2"),0)),"")</f>
        <v/>
      </c>
      <c r="C40" s="260">
        <f>IF($B40="","",IFERROR(BDP($B40&amp;" Action","CP036"),""))</f>
        <v/>
      </c>
      <c r="D40" s="261">
        <f>Database!S40</f>
        <v/>
      </c>
      <c r="E40" s="260">
        <f>IF($B40="","",IFERROR(BDP($B40&amp;" Action","CP037"),""))</f>
        <v/>
      </c>
      <c r="F40" s="261">
        <f>Database!T40</f>
        <v/>
      </c>
      <c r="G40" s="260">
        <f>IF($B40="","",IFERROR(BDP($B40&amp;" Action","GREENSHOE_FACILITY"),""))</f>
        <v/>
      </c>
      <c r="H40" s="260">
        <f>IF($B40="","",IFERROR(BDP($B40&amp;" Action","OFFERING_GREENSHOE_SHARES_EX"),""))</f>
        <v/>
      </c>
      <c r="I40" s="51">
        <f>Database!AE40</f>
        <v/>
      </c>
      <c r="J40" s="58">
        <f>IFERROR(BDP(TEXT(VALUE(Database!$A40),"0")&amp;" HK Equity","PE_RATIO"),"")</f>
        <v/>
      </c>
      <c r="K40" s="43">
        <f>IFERROR(BDP(TEXT(VALUE(Database!$A40),"0")&amp;" HK Equity","A/H_SHARE_CONVERSION"),"")</f>
        <v/>
      </c>
      <c r="L40" s="51">
        <f>IF(Database!BN40="","(none found)",Database!BN40)</f>
        <v/>
      </c>
      <c r="M40" s="53">
        <f>IFERROR(INDEX(BDH(TEXT(VALUE(Database!$A40),"0")&amp;" HK Equity","CUR_MKT_CAP",Database!$H40,Database!$H40),MATCH(Database!$H40,INDEX(BDH(TEXT(VALUE(Database!$A40),"0")&amp;" HK Equity","CUR_MKT_CAP",Database!$H40,Database!$H40),0,1),0),2),"run on terminal")</f>
        <v/>
      </c>
      <c r="N40" s="213">
        <f>Database!Q40</f>
        <v/>
      </c>
      <c r="O40" s="58">
        <f>IFERROR(INDEX(BDH(TEXT(VALUE(Database!$A40),"0")&amp;" HK Equity","PE_RATIO",Database!$H40,Database!$H40),MATCH(Database!$H40,INDEX(BDH(TEXT(VALUE(Database!$A40),"0")&amp;" HK Equity","PE_RATIO",Database!$H40,Database!$H40),0,1),0),2),"run on terminal")</f>
        <v/>
      </c>
      <c r="P40" s="251">
        <f>IF(Database!BH40="","(n/m or not derivable)",Database!BH40)</f>
        <v/>
      </c>
      <c r="Q40" s="58">
        <f>IF(Database!BN40="","",IFERROR(INDEX(BDH(LEFT(Database!BN40,FIND(".",Database!BN40)-1)&amp;" CH Equity","PE_RATIO",Database!$H40,Database!$H40),MATCH(Database!$H40,INDEX(BDH(LEFT(Database!BN40,FIND(".",Database!BN40)-1)&amp;" CH Equity","PE_RATIO",Database!$H40,Database!$H40),0,1),0),2),"run on terminal"))</f>
        <v/>
      </c>
      <c r="R40" s="58">
        <f>IF(Database!BN40="","",IFERROR(INDEX(BDH("HSAHP Index","PX_LAST",Database!$H40,Database!$H40),MATCH(Database!$H40,INDEX(BDH("HSAHP Index","PX_LAST",Database!$H40,Database!$H40),0,1),0),2),"run on terminal"))</f>
        <v/>
      </c>
      <c r="S40" s="58">
        <f>IFERROR(BDP(TEXT(VALUE(Database!$A40),"0")&amp;" HK Equity","PX_TO_SALES_RATIO"),"")</f>
        <v/>
      </c>
      <c r="T40" s="53">
        <f>IF(Database!BN40="","",IFERROR(BDP(LEFT(Database!BN40,FIND(".",Database!BN40)-1)&amp;" CH Equity","CUR_MKT_CAP")*BDP("CNYHKD Curncy","PX_LAST"),"run on terminal"))</f>
        <v/>
      </c>
    </row>
    <row r="41" ht="23" customHeight="1">
      <c r="A41" s="51">
        <f>Database!A41&amp;"  "&amp;Database!B41</f>
        <v/>
      </c>
      <c r="B41" s="43">
        <f>IFERROR(INDEX(BDS(TEXT(VALUE(Database!$A41),"0")&amp;" HK Equity","EQUITY_OFFERINGS","array=t","endcol=1"),MATCH("IPO",BDS(TEXT(VALUE(Database!$A41),"0")&amp;" HK Equity","EQUITY_OFFERINGS","array=t","startcol=2","endcol=2"),0)),"")</f>
        <v/>
      </c>
      <c r="C41" s="260">
        <f>IF($B41="","",IFERROR(BDP($B41&amp;" Action","CP036"),""))</f>
        <v/>
      </c>
      <c r="D41" s="261">
        <f>Database!S41</f>
        <v/>
      </c>
      <c r="E41" s="260">
        <f>IF($B41="","",IFERROR(BDP($B41&amp;" Action","CP037"),""))</f>
        <v/>
      </c>
      <c r="F41" s="261">
        <f>Database!T41</f>
        <v/>
      </c>
      <c r="G41" s="260">
        <f>IF($B41="","",IFERROR(BDP($B41&amp;" Action","GREENSHOE_FACILITY"),""))</f>
        <v/>
      </c>
      <c r="H41" s="260">
        <f>IF($B41="","",IFERROR(BDP($B41&amp;" Action","OFFERING_GREENSHOE_SHARES_EX"),""))</f>
        <v/>
      </c>
      <c r="I41" s="51">
        <f>Database!AE41</f>
        <v/>
      </c>
      <c r="J41" s="58">
        <f>IFERROR(BDP(TEXT(VALUE(Database!$A41),"0")&amp;" HK Equity","PE_RATIO"),"")</f>
        <v/>
      </c>
      <c r="K41" s="43">
        <f>IFERROR(BDP(TEXT(VALUE(Database!$A41),"0")&amp;" HK Equity","A/H_SHARE_CONVERSION"),"")</f>
        <v/>
      </c>
      <c r="L41" s="51">
        <f>IF(Database!BN41="","(none found)",Database!BN41)</f>
        <v/>
      </c>
      <c r="M41" s="53">
        <f>IFERROR(INDEX(BDH(TEXT(VALUE(Database!$A41),"0")&amp;" HK Equity","CUR_MKT_CAP",Database!$H41,Database!$H41),MATCH(Database!$H41,INDEX(BDH(TEXT(VALUE(Database!$A41),"0")&amp;" HK Equity","CUR_MKT_CAP",Database!$H41,Database!$H41),0,1),0),2),"run on terminal")</f>
        <v/>
      </c>
      <c r="N41" s="213">
        <f>Database!Q41</f>
        <v/>
      </c>
      <c r="O41" s="58">
        <f>IFERROR(INDEX(BDH(TEXT(VALUE(Database!$A41),"0")&amp;" HK Equity","PE_RATIO",Database!$H41,Database!$H41),MATCH(Database!$H41,INDEX(BDH(TEXT(VALUE(Database!$A41),"0")&amp;" HK Equity","PE_RATIO",Database!$H41,Database!$H41),0,1),0),2),"run on terminal")</f>
        <v/>
      </c>
      <c r="P41" s="251">
        <f>IF(Database!BH41="","(n/m or not derivable)",Database!BH41)</f>
        <v/>
      </c>
      <c r="Q41" s="58">
        <f>IF(Database!BN41="","",IFERROR(INDEX(BDH(LEFT(Database!BN41,FIND(".",Database!BN41)-1)&amp;" CH Equity","PE_RATIO",Database!$H41,Database!$H41),MATCH(Database!$H41,INDEX(BDH(LEFT(Database!BN41,FIND(".",Database!BN41)-1)&amp;" CH Equity","PE_RATIO",Database!$H41,Database!$H41),0,1),0),2),"run on terminal"))</f>
        <v/>
      </c>
      <c r="R41" s="58">
        <f>IF(Database!BN41="","",IFERROR(INDEX(BDH("HSAHP Index","PX_LAST",Database!$H41,Database!$H41),MATCH(Database!$H41,INDEX(BDH("HSAHP Index","PX_LAST",Database!$H41,Database!$H41),0,1),0),2),"run on terminal"))</f>
        <v/>
      </c>
      <c r="S41" s="58">
        <f>IFERROR(BDP(TEXT(VALUE(Database!$A41),"0")&amp;" HK Equity","PX_TO_SALES_RATIO"),"")</f>
        <v/>
      </c>
      <c r="T41" s="53">
        <f>IF(Database!BN41="","",IFERROR(BDP(LEFT(Database!BN41,FIND(".",Database!BN41)-1)&amp;" CH Equity","CUR_MKT_CAP")*BDP("CNYHKD Curncy","PX_LAST"),"run on terminal"))</f>
        <v/>
      </c>
    </row>
    <row r="42" ht="23" customHeight="1">
      <c r="A42" s="51">
        <f>Database!A42&amp;"  "&amp;Database!B42</f>
        <v/>
      </c>
      <c r="B42" s="43">
        <f>IFERROR(INDEX(BDS(TEXT(VALUE(Database!$A42),"0")&amp;" HK Equity","EQUITY_OFFERINGS","array=t","endcol=1"),MATCH("IPO",BDS(TEXT(VALUE(Database!$A42),"0")&amp;" HK Equity","EQUITY_OFFERINGS","array=t","startcol=2","endcol=2"),0)),"")</f>
        <v/>
      </c>
      <c r="C42" s="260">
        <f>IF($B42="","",IFERROR(BDP($B42&amp;" Action","CP036"),""))</f>
        <v/>
      </c>
      <c r="D42" s="261">
        <f>Database!S42</f>
        <v/>
      </c>
      <c r="E42" s="260">
        <f>IF($B42="","",IFERROR(BDP($B42&amp;" Action","CP037"),""))</f>
        <v/>
      </c>
      <c r="F42" s="261">
        <f>Database!T42</f>
        <v/>
      </c>
      <c r="G42" s="260">
        <f>IF($B42="","",IFERROR(BDP($B42&amp;" Action","GREENSHOE_FACILITY"),""))</f>
        <v/>
      </c>
      <c r="H42" s="260">
        <f>IF($B42="","",IFERROR(BDP($B42&amp;" Action","OFFERING_GREENSHOE_SHARES_EX"),""))</f>
        <v/>
      </c>
      <c r="I42" s="51">
        <f>Database!AE42</f>
        <v/>
      </c>
      <c r="J42" s="58">
        <f>IFERROR(BDP(TEXT(VALUE(Database!$A42),"0")&amp;" HK Equity","PE_RATIO"),"")</f>
        <v/>
      </c>
      <c r="K42" s="43">
        <f>IFERROR(BDP(TEXT(VALUE(Database!$A42),"0")&amp;" HK Equity","A/H_SHARE_CONVERSION"),"")</f>
        <v/>
      </c>
      <c r="L42" s="51">
        <f>IF(Database!BN42="","(none found)",Database!BN42)</f>
        <v/>
      </c>
      <c r="M42" s="53">
        <f>IFERROR(INDEX(BDH(TEXT(VALUE(Database!$A42),"0")&amp;" HK Equity","CUR_MKT_CAP",Database!$H42,Database!$H42),MATCH(Database!$H42,INDEX(BDH(TEXT(VALUE(Database!$A42),"0")&amp;" HK Equity","CUR_MKT_CAP",Database!$H42,Database!$H42),0,1),0),2),"run on terminal")</f>
        <v/>
      </c>
      <c r="N42" s="213">
        <f>Database!Q42</f>
        <v/>
      </c>
      <c r="O42" s="58">
        <f>IFERROR(INDEX(BDH(TEXT(VALUE(Database!$A42),"0")&amp;" HK Equity","PE_RATIO",Database!$H42,Database!$H42),MATCH(Database!$H42,INDEX(BDH(TEXT(VALUE(Database!$A42),"0")&amp;" HK Equity","PE_RATIO",Database!$H42,Database!$H42),0,1),0),2),"run on terminal")</f>
        <v/>
      </c>
      <c r="P42" s="251">
        <f>IF(Database!BH42="","(n/m or not derivable)",Database!BH42)</f>
        <v/>
      </c>
      <c r="Q42" s="58">
        <f>IF(Database!BN42="","",IFERROR(INDEX(BDH(LEFT(Database!BN42,FIND(".",Database!BN42)-1)&amp;" CH Equity","PE_RATIO",Database!$H42,Database!$H42),MATCH(Database!$H42,INDEX(BDH(LEFT(Database!BN42,FIND(".",Database!BN42)-1)&amp;" CH Equity","PE_RATIO",Database!$H42,Database!$H42),0,1),0),2),"run on terminal"))</f>
        <v/>
      </c>
      <c r="R42" s="58">
        <f>IF(Database!BN42="","",IFERROR(INDEX(BDH("HSAHP Index","PX_LAST",Database!$H42,Database!$H42),MATCH(Database!$H42,INDEX(BDH("HSAHP Index","PX_LAST",Database!$H42,Database!$H42),0,1),0),2),"run on terminal"))</f>
        <v/>
      </c>
      <c r="S42" s="58">
        <f>IFERROR(BDP(TEXT(VALUE(Database!$A42),"0")&amp;" HK Equity","PX_TO_SALES_RATIO"),"")</f>
        <v/>
      </c>
      <c r="T42" s="53">
        <f>IF(Database!BN42="","",IFERROR(BDP(LEFT(Database!BN42,FIND(".",Database!BN42)-1)&amp;" CH Equity","CUR_MKT_CAP")*BDP("CNYHKD Curncy","PX_LAST"),"run on terminal"))</f>
        <v/>
      </c>
    </row>
    <row r="43" ht="23" customHeight="1">
      <c r="A43" s="51">
        <f>Database!A43&amp;"  "&amp;Database!B43</f>
        <v/>
      </c>
      <c r="B43" s="43">
        <f>IFERROR(INDEX(BDS(TEXT(VALUE(Database!$A43),"0")&amp;" HK Equity","EQUITY_OFFERINGS","array=t","endcol=1"),MATCH("IPO",BDS(TEXT(VALUE(Database!$A43),"0")&amp;" HK Equity","EQUITY_OFFERINGS","array=t","startcol=2","endcol=2"),0)),"")</f>
        <v/>
      </c>
      <c r="C43" s="260">
        <f>IF($B43="","",IFERROR(BDP($B43&amp;" Action","CP036"),""))</f>
        <v/>
      </c>
      <c r="D43" s="261">
        <f>Database!S43</f>
        <v/>
      </c>
      <c r="E43" s="260">
        <f>IF($B43="","",IFERROR(BDP($B43&amp;" Action","CP037"),""))</f>
        <v/>
      </c>
      <c r="F43" s="261">
        <f>Database!T43</f>
        <v/>
      </c>
      <c r="G43" s="260">
        <f>IF($B43="","",IFERROR(BDP($B43&amp;" Action","GREENSHOE_FACILITY"),""))</f>
        <v/>
      </c>
      <c r="H43" s="260">
        <f>IF($B43="","",IFERROR(BDP($B43&amp;" Action","OFFERING_GREENSHOE_SHARES_EX"),""))</f>
        <v/>
      </c>
      <c r="I43" s="51">
        <f>Database!AE43</f>
        <v/>
      </c>
      <c r="J43" s="58">
        <f>IFERROR(BDP(TEXT(VALUE(Database!$A43),"0")&amp;" HK Equity","PE_RATIO"),"")</f>
        <v/>
      </c>
      <c r="K43" s="43">
        <f>IFERROR(BDP(TEXT(VALUE(Database!$A43),"0")&amp;" HK Equity","A/H_SHARE_CONVERSION"),"")</f>
        <v/>
      </c>
      <c r="L43" s="51">
        <f>IF(Database!BN43="","(none found)",Database!BN43)</f>
        <v/>
      </c>
      <c r="M43" s="53">
        <f>IFERROR(INDEX(BDH(TEXT(VALUE(Database!$A43),"0")&amp;" HK Equity","CUR_MKT_CAP",Database!$H43,Database!$H43),MATCH(Database!$H43,INDEX(BDH(TEXT(VALUE(Database!$A43),"0")&amp;" HK Equity","CUR_MKT_CAP",Database!$H43,Database!$H43),0,1),0),2),"run on terminal")</f>
        <v/>
      </c>
      <c r="N43" s="213">
        <f>Database!Q43</f>
        <v/>
      </c>
      <c r="O43" s="58">
        <f>IFERROR(INDEX(BDH(TEXT(VALUE(Database!$A43),"0")&amp;" HK Equity","PE_RATIO",Database!$H43,Database!$H43),MATCH(Database!$H43,INDEX(BDH(TEXT(VALUE(Database!$A43),"0")&amp;" HK Equity","PE_RATIO",Database!$H43,Database!$H43),0,1),0),2),"run on terminal")</f>
        <v/>
      </c>
      <c r="P43" s="251">
        <f>IF(Database!BH43="","(n/m or not derivable)",Database!BH43)</f>
        <v/>
      </c>
      <c r="Q43" s="58">
        <f>IF(Database!BN43="","",IFERROR(INDEX(BDH(LEFT(Database!BN43,FIND(".",Database!BN43)-1)&amp;" CH Equity","PE_RATIO",Database!$H43,Database!$H43),MATCH(Database!$H43,INDEX(BDH(LEFT(Database!BN43,FIND(".",Database!BN43)-1)&amp;" CH Equity","PE_RATIO",Database!$H43,Database!$H43),0,1),0),2),"run on terminal"))</f>
        <v/>
      </c>
      <c r="R43" s="58">
        <f>IF(Database!BN43="","",IFERROR(INDEX(BDH("HSAHP Index","PX_LAST",Database!$H43,Database!$H43),MATCH(Database!$H43,INDEX(BDH("HSAHP Index","PX_LAST",Database!$H43,Database!$H43),0,1),0),2),"run on terminal"))</f>
        <v/>
      </c>
      <c r="S43" s="58">
        <f>IFERROR(BDP(TEXT(VALUE(Database!$A43),"0")&amp;" HK Equity","PX_TO_SALES_RATIO"),"")</f>
        <v/>
      </c>
      <c r="T43" s="53">
        <f>IF(Database!BN43="","",IFERROR(BDP(LEFT(Database!BN43,FIND(".",Database!BN43)-1)&amp;" CH Equity","CUR_MKT_CAP")*BDP("CNYHKD Curncy","PX_LAST"),"run on terminal"))</f>
        <v/>
      </c>
    </row>
    <row r="44" ht="23" customHeight="1">
      <c r="A44" s="51">
        <f>Database!A44&amp;"  "&amp;Database!B44</f>
        <v/>
      </c>
      <c r="B44" s="43">
        <f>IFERROR(INDEX(BDS(TEXT(VALUE(Database!$A44),"0")&amp;" HK Equity","EQUITY_OFFERINGS","array=t","endcol=1"),MATCH("IPO",BDS(TEXT(VALUE(Database!$A44),"0")&amp;" HK Equity","EQUITY_OFFERINGS","array=t","startcol=2","endcol=2"),0)),"")</f>
        <v/>
      </c>
      <c r="C44" s="260">
        <f>IF($B44="","",IFERROR(BDP($B44&amp;" Action","CP036"),""))</f>
        <v/>
      </c>
      <c r="D44" s="261">
        <f>Database!S44</f>
        <v/>
      </c>
      <c r="E44" s="260">
        <f>IF($B44="","",IFERROR(BDP($B44&amp;" Action","CP037"),""))</f>
        <v/>
      </c>
      <c r="F44" s="261">
        <f>Database!T44</f>
        <v/>
      </c>
      <c r="G44" s="260">
        <f>IF($B44="","",IFERROR(BDP($B44&amp;" Action","GREENSHOE_FACILITY"),""))</f>
        <v/>
      </c>
      <c r="H44" s="260">
        <f>IF($B44="","",IFERROR(BDP($B44&amp;" Action","OFFERING_GREENSHOE_SHARES_EX"),""))</f>
        <v/>
      </c>
      <c r="I44" s="51">
        <f>Database!AE44</f>
        <v/>
      </c>
      <c r="J44" s="58">
        <f>IFERROR(BDP(TEXT(VALUE(Database!$A44),"0")&amp;" HK Equity","PE_RATIO"),"")</f>
        <v/>
      </c>
      <c r="K44" s="43">
        <f>IFERROR(BDP(TEXT(VALUE(Database!$A44),"0")&amp;" HK Equity","A/H_SHARE_CONVERSION"),"")</f>
        <v/>
      </c>
      <c r="L44" s="51">
        <f>IF(Database!BN44="","(none found)",Database!BN44)</f>
        <v/>
      </c>
      <c r="M44" s="53">
        <f>IFERROR(INDEX(BDH(TEXT(VALUE(Database!$A44),"0")&amp;" HK Equity","CUR_MKT_CAP",Database!$H44,Database!$H44),MATCH(Database!$H44,INDEX(BDH(TEXT(VALUE(Database!$A44),"0")&amp;" HK Equity","CUR_MKT_CAP",Database!$H44,Database!$H44),0,1),0),2),"run on terminal")</f>
        <v/>
      </c>
      <c r="N44" s="213">
        <f>Database!Q44</f>
        <v/>
      </c>
      <c r="O44" s="58">
        <f>IFERROR(INDEX(BDH(TEXT(VALUE(Database!$A44),"0")&amp;" HK Equity","PE_RATIO",Database!$H44,Database!$H44),MATCH(Database!$H44,INDEX(BDH(TEXT(VALUE(Database!$A44),"0")&amp;" HK Equity","PE_RATIO",Database!$H44,Database!$H44),0,1),0),2),"run on terminal")</f>
        <v/>
      </c>
      <c r="P44" s="251">
        <f>IF(Database!BH44="","(n/m or not derivable)",Database!BH44)</f>
        <v/>
      </c>
      <c r="Q44" s="58">
        <f>IF(Database!BN44="","",IFERROR(INDEX(BDH(LEFT(Database!BN44,FIND(".",Database!BN44)-1)&amp;" CH Equity","PE_RATIO",Database!$H44,Database!$H44),MATCH(Database!$H44,INDEX(BDH(LEFT(Database!BN44,FIND(".",Database!BN44)-1)&amp;" CH Equity","PE_RATIO",Database!$H44,Database!$H44),0,1),0),2),"run on terminal"))</f>
        <v/>
      </c>
      <c r="R44" s="58">
        <f>IF(Database!BN44="","",IFERROR(INDEX(BDH("HSAHP Index","PX_LAST",Database!$H44,Database!$H44),MATCH(Database!$H44,INDEX(BDH("HSAHP Index","PX_LAST",Database!$H44,Database!$H44),0,1),0),2),"run on terminal"))</f>
        <v/>
      </c>
      <c r="S44" s="58">
        <f>IFERROR(BDP(TEXT(VALUE(Database!$A44),"0")&amp;" HK Equity","PX_TO_SALES_RATIO"),"")</f>
        <v/>
      </c>
      <c r="T44" s="53">
        <f>IF(Database!BN44="","",IFERROR(BDP(LEFT(Database!BN44,FIND(".",Database!BN44)-1)&amp;" CH Equity","CUR_MKT_CAP")*BDP("CNYHKD Curncy","PX_LAST"),"run on terminal"))</f>
        <v/>
      </c>
    </row>
    <row r="45" ht="23" customHeight="1">
      <c r="A45" s="51">
        <f>Database!A45&amp;"  "&amp;Database!B45</f>
        <v/>
      </c>
      <c r="B45" s="43">
        <f>IFERROR(INDEX(BDS(TEXT(VALUE(Database!$A45),"0")&amp;" HK Equity","EQUITY_OFFERINGS","array=t","endcol=1"),MATCH("IPO",BDS(TEXT(VALUE(Database!$A45),"0")&amp;" HK Equity","EQUITY_OFFERINGS","array=t","startcol=2","endcol=2"),0)),"")</f>
        <v/>
      </c>
      <c r="C45" s="260">
        <f>IF($B45="","",IFERROR(BDP($B45&amp;" Action","CP036"),""))</f>
        <v/>
      </c>
      <c r="D45" s="261">
        <f>Database!S45</f>
        <v/>
      </c>
      <c r="E45" s="260">
        <f>IF($B45="","",IFERROR(BDP($B45&amp;" Action","CP037"),""))</f>
        <v/>
      </c>
      <c r="F45" s="261">
        <f>Database!T45</f>
        <v/>
      </c>
      <c r="G45" s="260">
        <f>IF($B45="","",IFERROR(BDP($B45&amp;" Action","GREENSHOE_FACILITY"),""))</f>
        <v/>
      </c>
      <c r="H45" s="260">
        <f>IF($B45="","",IFERROR(BDP($B45&amp;" Action","OFFERING_GREENSHOE_SHARES_EX"),""))</f>
        <v/>
      </c>
      <c r="I45" s="51">
        <f>Database!AE45</f>
        <v/>
      </c>
      <c r="J45" s="58">
        <f>IFERROR(BDP(TEXT(VALUE(Database!$A45),"0")&amp;" HK Equity","PE_RATIO"),"")</f>
        <v/>
      </c>
      <c r="K45" s="43">
        <f>IFERROR(BDP(TEXT(VALUE(Database!$A45),"0")&amp;" HK Equity","A/H_SHARE_CONVERSION"),"")</f>
        <v/>
      </c>
      <c r="L45" s="51">
        <f>IF(Database!BN45="","(none found)",Database!BN45)</f>
        <v/>
      </c>
      <c r="M45" s="53">
        <f>IFERROR(INDEX(BDH(TEXT(VALUE(Database!$A45),"0")&amp;" HK Equity","CUR_MKT_CAP",Database!$H45,Database!$H45),MATCH(Database!$H45,INDEX(BDH(TEXT(VALUE(Database!$A45),"0")&amp;" HK Equity","CUR_MKT_CAP",Database!$H45,Database!$H45),0,1),0),2),"run on terminal")</f>
        <v/>
      </c>
      <c r="N45" s="213">
        <f>Database!Q45</f>
        <v/>
      </c>
      <c r="O45" s="58">
        <f>IFERROR(INDEX(BDH(TEXT(VALUE(Database!$A45),"0")&amp;" HK Equity","PE_RATIO",Database!$H45,Database!$H45),MATCH(Database!$H45,INDEX(BDH(TEXT(VALUE(Database!$A45),"0")&amp;" HK Equity","PE_RATIO",Database!$H45,Database!$H45),0,1),0),2),"run on terminal")</f>
        <v/>
      </c>
      <c r="P45" s="251">
        <f>IF(Database!BH45="","(n/m or not derivable)",Database!BH45)</f>
        <v/>
      </c>
      <c r="Q45" s="58">
        <f>IF(Database!BN45="","",IFERROR(INDEX(BDH(LEFT(Database!BN45,FIND(".",Database!BN45)-1)&amp;" CH Equity","PE_RATIO",Database!$H45,Database!$H45),MATCH(Database!$H45,INDEX(BDH(LEFT(Database!BN45,FIND(".",Database!BN45)-1)&amp;" CH Equity","PE_RATIO",Database!$H45,Database!$H45),0,1),0),2),"run on terminal"))</f>
        <v/>
      </c>
      <c r="R45" s="58">
        <f>IF(Database!BN45="","",IFERROR(INDEX(BDH("HSAHP Index","PX_LAST",Database!$H45,Database!$H45),MATCH(Database!$H45,INDEX(BDH("HSAHP Index","PX_LAST",Database!$H45,Database!$H45),0,1),0),2),"run on terminal"))</f>
        <v/>
      </c>
      <c r="S45" s="58">
        <f>IFERROR(BDP(TEXT(VALUE(Database!$A45),"0")&amp;" HK Equity","PX_TO_SALES_RATIO"),"")</f>
        <v/>
      </c>
      <c r="T45" s="53">
        <f>IF(Database!BN45="","",IFERROR(BDP(LEFT(Database!BN45,FIND(".",Database!BN45)-1)&amp;" CH Equity","CUR_MKT_CAP")*BDP("CNYHKD Curncy","PX_LAST"),"run on terminal"))</f>
        <v/>
      </c>
    </row>
    <row r="46" ht="23" customHeight="1">
      <c r="A46" s="51">
        <f>Database!A46&amp;"  "&amp;Database!B46</f>
        <v/>
      </c>
      <c r="B46" s="43">
        <f>IFERROR(INDEX(BDS(TEXT(VALUE(Database!$A46),"0")&amp;" HK Equity","EQUITY_OFFERINGS","array=t","endcol=1"),MATCH("IPO",BDS(TEXT(VALUE(Database!$A46),"0")&amp;" HK Equity","EQUITY_OFFERINGS","array=t","startcol=2","endcol=2"),0)),"")</f>
        <v/>
      </c>
      <c r="C46" s="260">
        <f>IF($B46="","",IFERROR(BDP($B46&amp;" Action","CP036"),""))</f>
        <v/>
      </c>
      <c r="D46" s="261">
        <f>Database!S46</f>
        <v/>
      </c>
      <c r="E46" s="260">
        <f>IF($B46="","",IFERROR(BDP($B46&amp;" Action","CP037"),""))</f>
        <v/>
      </c>
      <c r="F46" s="261">
        <f>Database!T46</f>
        <v/>
      </c>
      <c r="G46" s="260">
        <f>IF($B46="","",IFERROR(BDP($B46&amp;" Action","GREENSHOE_FACILITY"),""))</f>
        <v/>
      </c>
      <c r="H46" s="260">
        <f>IF($B46="","",IFERROR(BDP($B46&amp;" Action","OFFERING_GREENSHOE_SHARES_EX"),""))</f>
        <v/>
      </c>
      <c r="I46" s="51">
        <f>Database!AE46</f>
        <v/>
      </c>
      <c r="J46" s="58">
        <f>IFERROR(BDP(TEXT(VALUE(Database!$A46),"0")&amp;" HK Equity","PE_RATIO"),"")</f>
        <v/>
      </c>
      <c r="K46" s="43">
        <f>IFERROR(BDP(TEXT(VALUE(Database!$A46),"0")&amp;" HK Equity","A/H_SHARE_CONVERSION"),"")</f>
        <v/>
      </c>
      <c r="L46" s="51">
        <f>IF(Database!BN46="","(none found)",Database!BN46)</f>
        <v/>
      </c>
      <c r="M46" s="53">
        <f>IFERROR(INDEX(BDH(TEXT(VALUE(Database!$A46),"0")&amp;" HK Equity","CUR_MKT_CAP",Database!$H46,Database!$H46),MATCH(Database!$H46,INDEX(BDH(TEXT(VALUE(Database!$A46),"0")&amp;" HK Equity","CUR_MKT_CAP",Database!$H46,Database!$H46),0,1),0),2),"run on terminal")</f>
        <v/>
      </c>
      <c r="N46" s="213">
        <f>Database!Q46</f>
        <v/>
      </c>
      <c r="O46" s="58">
        <f>IFERROR(INDEX(BDH(TEXT(VALUE(Database!$A46),"0")&amp;" HK Equity","PE_RATIO",Database!$H46,Database!$H46),MATCH(Database!$H46,INDEX(BDH(TEXT(VALUE(Database!$A46),"0")&amp;" HK Equity","PE_RATIO",Database!$H46,Database!$H46),0,1),0),2),"run on terminal")</f>
        <v/>
      </c>
      <c r="P46" s="251">
        <f>IF(Database!BH46="","(n/m or not derivable)",Database!BH46)</f>
        <v/>
      </c>
      <c r="Q46" s="58">
        <f>IF(Database!BN46="","",IFERROR(INDEX(BDH(LEFT(Database!BN46,FIND(".",Database!BN46)-1)&amp;" CH Equity","PE_RATIO",Database!$H46,Database!$H46),MATCH(Database!$H46,INDEX(BDH(LEFT(Database!BN46,FIND(".",Database!BN46)-1)&amp;" CH Equity","PE_RATIO",Database!$H46,Database!$H46),0,1),0),2),"run on terminal"))</f>
        <v/>
      </c>
      <c r="R46" s="58">
        <f>IF(Database!BN46="","",IFERROR(INDEX(BDH("HSAHP Index","PX_LAST",Database!$H46,Database!$H46),MATCH(Database!$H46,INDEX(BDH("HSAHP Index","PX_LAST",Database!$H46,Database!$H46),0,1),0),2),"run on terminal"))</f>
        <v/>
      </c>
      <c r="S46" s="58">
        <f>IFERROR(BDP(TEXT(VALUE(Database!$A46),"0")&amp;" HK Equity","PX_TO_SALES_RATIO"),"")</f>
        <v/>
      </c>
      <c r="T46" s="53">
        <f>IF(Database!BN46="","",IFERROR(BDP(LEFT(Database!BN46,FIND(".",Database!BN46)-1)&amp;" CH Equity","CUR_MKT_CAP")*BDP("CNYHKD Curncy","PX_LAST"),"run on terminal"))</f>
        <v/>
      </c>
    </row>
    <row r="47" ht="23" customHeight="1">
      <c r="A47" s="51">
        <f>Database!A47&amp;"  "&amp;Database!B47</f>
        <v/>
      </c>
      <c r="B47" s="43">
        <f>IFERROR(INDEX(BDS(TEXT(VALUE(Database!$A47),"0")&amp;" HK Equity","EQUITY_OFFERINGS","array=t","endcol=1"),MATCH("IPO",BDS(TEXT(VALUE(Database!$A47),"0")&amp;" HK Equity","EQUITY_OFFERINGS","array=t","startcol=2","endcol=2"),0)),"")</f>
        <v/>
      </c>
      <c r="C47" s="260">
        <f>IF($B47="","",IFERROR(BDP($B47&amp;" Action","CP036"),""))</f>
        <v/>
      </c>
      <c r="D47" s="261">
        <f>Database!S47</f>
        <v/>
      </c>
      <c r="E47" s="260">
        <f>IF($B47="","",IFERROR(BDP($B47&amp;" Action","CP037"),""))</f>
        <v/>
      </c>
      <c r="F47" s="261">
        <f>Database!T47</f>
        <v/>
      </c>
      <c r="G47" s="260">
        <f>IF($B47="","",IFERROR(BDP($B47&amp;" Action","GREENSHOE_FACILITY"),""))</f>
        <v/>
      </c>
      <c r="H47" s="260">
        <f>IF($B47="","",IFERROR(BDP($B47&amp;" Action","OFFERING_GREENSHOE_SHARES_EX"),""))</f>
        <v/>
      </c>
      <c r="I47" s="51">
        <f>Database!AE47</f>
        <v/>
      </c>
      <c r="J47" s="58">
        <f>IFERROR(BDP(TEXT(VALUE(Database!$A47),"0")&amp;" HK Equity","PE_RATIO"),"")</f>
        <v/>
      </c>
      <c r="K47" s="43">
        <f>IFERROR(BDP(TEXT(VALUE(Database!$A47),"0")&amp;" HK Equity","A/H_SHARE_CONVERSION"),"")</f>
        <v/>
      </c>
      <c r="L47" s="51">
        <f>IF(Database!BN47="","(none found)",Database!BN47)</f>
        <v/>
      </c>
      <c r="M47" s="53">
        <f>IFERROR(INDEX(BDH(TEXT(VALUE(Database!$A47),"0")&amp;" HK Equity","CUR_MKT_CAP",Database!$H47,Database!$H47),MATCH(Database!$H47,INDEX(BDH(TEXT(VALUE(Database!$A47),"0")&amp;" HK Equity","CUR_MKT_CAP",Database!$H47,Database!$H47),0,1),0),2),"run on terminal")</f>
        <v/>
      </c>
      <c r="N47" s="213">
        <f>Database!Q47</f>
        <v/>
      </c>
      <c r="O47" s="58">
        <f>IFERROR(INDEX(BDH(TEXT(VALUE(Database!$A47),"0")&amp;" HK Equity","PE_RATIO",Database!$H47,Database!$H47),MATCH(Database!$H47,INDEX(BDH(TEXT(VALUE(Database!$A47),"0")&amp;" HK Equity","PE_RATIO",Database!$H47,Database!$H47),0,1),0),2),"run on terminal")</f>
        <v/>
      </c>
      <c r="P47" s="251">
        <f>IF(Database!BH47="","(n/m or not derivable)",Database!BH47)</f>
        <v/>
      </c>
      <c r="Q47" s="58">
        <f>IF(Database!BN47="","",IFERROR(INDEX(BDH(LEFT(Database!BN47,FIND(".",Database!BN47)-1)&amp;" CH Equity","PE_RATIO",Database!$H47,Database!$H47),MATCH(Database!$H47,INDEX(BDH(LEFT(Database!BN47,FIND(".",Database!BN47)-1)&amp;" CH Equity","PE_RATIO",Database!$H47,Database!$H47),0,1),0),2),"run on terminal"))</f>
        <v/>
      </c>
      <c r="R47" s="58">
        <f>IF(Database!BN47="","",IFERROR(INDEX(BDH("HSAHP Index","PX_LAST",Database!$H47,Database!$H47),MATCH(Database!$H47,INDEX(BDH("HSAHP Index","PX_LAST",Database!$H47,Database!$H47),0,1),0),2),"run on terminal"))</f>
        <v/>
      </c>
      <c r="S47" s="58">
        <f>IFERROR(BDP(TEXT(VALUE(Database!$A47),"0")&amp;" HK Equity","PX_TO_SALES_RATIO"),"")</f>
        <v/>
      </c>
      <c r="T47" s="53">
        <f>IF(Database!BN47="","",IFERROR(BDP(LEFT(Database!BN47,FIND(".",Database!BN47)-1)&amp;" CH Equity","CUR_MKT_CAP")*BDP("CNYHKD Curncy","PX_LAST"),"run on terminal"))</f>
        <v/>
      </c>
    </row>
    <row r="48" ht="23" customHeight="1">
      <c r="A48" s="51">
        <f>Database!A48&amp;"  "&amp;Database!B48</f>
        <v/>
      </c>
      <c r="B48" s="43">
        <f>IFERROR(INDEX(BDS(TEXT(VALUE(Database!$A48),"0")&amp;" HK Equity","EQUITY_OFFERINGS","array=t","endcol=1"),MATCH("IPO",BDS(TEXT(VALUE(Database!$A48),"0")&amp;" HK Equity","EQUITY_OFFERINGS","array=t","startcol=2","endcol=2"),0)),"")</f>
        <v/>
      </c>
      <c r="C48" s="260">
        <f>IF($B48="","",IFERROR(BDP($B48&amp;" Action","CP036"),""))</f>
        <v/>
      </c>
      <c r="D48" s="261">
        <f>Database!S48</f>
        <v/>
      </c>
      <c r="E48" s="260">
        <f>IF($B48="","",IFERROR(BDP($B48&amp;" Action","CP037"),""))</f>
        <v/>
      </c>
      <c r="F48" s="261">
        <f>Database!T48</f>
        <v/>
      </c>
      <c r="G48" s="260">
        <f>IF($B48="","",IFERROR(BDP($B48&amp;" Action","GREENSHOE_FACILITY"),""))</f>
        <v/>
      </c>
      <c r="H48" s="260">
        <f>IF($B48="","",IFERROR(BDP($B48&amp;" Action","OFFERING_GREENSHOE_SHARES_EX"),""))</f>
        <v/>
      </c>
      <c r="I48" s="51">
        <f>Database!AE48</f>
        <v/>
      </c>
      <c r="J48" s="58">
        <f>IFERROR(BDP(TEXT(VALUE(Database!$A48),"0")&amp;" HK Equity","PE_RATIO"),"")</f>
        <v/>
      </c>
      <c r="K48" s="43">
        <f>IFERROR(BDP(TEXT(VALUE(Database!$A48),"0")&amp;" HK Equity","A/H_SHARE_CONVERSION"),"")</f>
        <v/>
      </c>
      <c r="L48" s="51">
        <f>IF(Database!BN48="","(none found)",Database!BN48)</f>
        <v/>
      </c>
      <c r="M48" s="53">
        <f>IFERROR(INDEX(BDH(TEXT(VALUE(Database!$A48),"0")&amp;" HK Equity","CUR_MKT_CAP",Database!$H48,Database!$H48),MATCH(Database!$H48,INDEX(BDH(TEXT(VALUE(Database!$A48),"0")&amp;" HK Equity","CUR_MKT_CAP",Database!$H48,Database!$H48),0,1),0),2),"run on terminal")</f>
        <v/>
      </c>
      <c r="N48" s="213">
        <f>Database!Q48</f>
        <v/>
      </c>
      <c r="O48" s="58">
        <f>IFERROR(INDEX(BDH(TEXT(VALUE(Database!$A48),"0")&amp;" HK Equity","PE_RATIO",Database!$H48,Database!$H48),MATCH(Database!$H48,INDEX(BDH(TEXT(VALUE(Database!$A48),"0")&amp;" HK Equity","PE_RATIO",Database!$H48,Database!$H48),0,1),0),2),"run on terminal")</f>
        <v/>
      </c>
      <c r="P48" s="251">
        <f>IF(Database!BH48="","(n/m or not derivable)",Database!BH48)</f>
        <v/>
      </c>
      <c r="Q48" s="58">
        <f>IF(Database!BN48="","",IFERROR(INDEX(BDH(LEFT(Database!BN48,FIND(".",Database!BN48)-1)&amp;" CH Equity","PE_RATIO",Database!$H48,Database!$H48),MATCH(Database!$H48,INDEX(BDH(LEFT(Database!BN48,FIND(".",Database!BN48)-1)&amp;" CH Equity","PE_RATIO",Database!$H48,Database!$H48),0,1),0),2),"run on terminal"))</f>
        <v/>
      </c>
      <c r="R48" s="58">
        <f>IF(Database!BN48="","",IFERROR(INDEX(BDH("HSAHP Index","PX_LAST",Database!$H48,Database!$H48),MATCH(Database!$H48,INDEX(BDH("HSAHP Index","PX_LAST",Database!$H48,Database!$H48),0,1),0),2),"run on terminal"))</f>
        <v/>
      </c>
      <c r="S48" s="58">
        <f>IFERROR(BDP(TEXT(VALUE(Database!$A48),"0")&amp;" HK Equity","PX_TO_SALES_RATIO"),"")</f>
        <v/>
      </c>
      <c r="T48" s="53">
        <f>IF(Database!BN48="","",IFERROR(BDP(LEFT(Database!BN48,FIND(".",Database!BN48)-1)&amp;" CH Equity","CUR_MKT_CAP")*BDP("CNYHKD Curncy","PX_LAST"),"run on terminal"))</f>
        <v/>
      </c>
    </row>
    <row r="49" ht="23" customHeight="1">
      <c r="A49" s="51">
        <f>Database!A49&amp;"  "&amp;Database!B49</f>
        <v/>
      </c>
      <c r="B49" s="43">
        <f>IFERROR(INDEX(BDS(TEXT(VALUE(Database!$A49),"0")&amp;" HK Equity","EQUITY_OFFERINGS","array=t","endcol=1"),MATCH("IPO",BDS(TEXT(VALUE(Database!$A49),"0")&amp;" HK Equity","EQUITY_OFFERINGS","array=t","startcol=2","endcol=2"),0)),"")</f>
        <v/>
      </c>
      <c r="C49" s="260">
        <f>IF($B49="","",IFERROR(BDP($B49&amp;" Action","CP036"),""))</f>
        <v/>
      </c>
      <c r="D49" s="261">
        <f>Database!S49</f>
        <v/>
      </c>
      <c r="E49" s="260">
        <f>IF($B49="","",IFERROR(BDP($B49&amp;" Action","CP037"),""))</f>
        <v/>
      </c>
      <c r="F49" s="261">
        <f>Database!T49</f>
        <v/>
      </c>
      <c r="G49" s="260">
        <f>IF($B49="","",IFERROR(BDP($B49&amp;" Action","GREENSHOE_FACILITY"),""))</f>
        <v/>
      </c>
      <c r="H49" s="260">
        <f>IF($B49="","",IFERROR(BDP($B49&amp;" Action","OFFERING_GREENSHOE_SHARES_EX"),""))</f>
        <v/>
      </c>
      <c r="I49" s="51">
        <f>Database!AE49</f>
        <v/>
      </c>
      <c r="J49" s="58">
        <f>IFERROR(BDP(TEXT(VALUE(Database!$A49),"0")&amp;" HK Equity","PE_RATIO"),"")</f>
        <v/>
      </c>
      <c r="K49" s="43">
        <f>IFERROR(BDP(TEXT(VALUE(Database!$A49),"0")&amp;" HK Equity","A/H_SHARE_CONVERSION"),"")</f>
        <v/>
      </c>
      <c r="L49" s="51">
        <f>IF(Database!BN49="","(none found)",Database!BN49)</f>
        <v/>
      </c>
      <c r="M49" s="53">
        <f>IFERROR(INDEX(BDH(TEXT(VALUE(Database!$A49),"0")&amp;" HK Equity","CUR_MKT_CAP",Database!$H49,Database!$H49),MATCH(Database!$H49,INDEX(BDH(TEXT(VALUE(Database!$A49),"0")&amp;" HK Equity","CUR_MKT_CAP",Database!$H49,Database!$H49),0,1),0),2),"run on terminal")</f>
        <v/>
      </c>
      <c r="N49" s="213">
        <f>Database!Q49</f>
        <v/>
      </c>
      <c r="O49" s="58">
        <f>IFERROR(INDEX(BDH(TEXT(VALUE(Database!$A49),"0")&amp;" HK Equity","PE_RATIO",Database!$H49,Database!$H49),MATCH(Database!$H49,INDEX(BDH(TEXT(VALUE(Database!$A49),"0")&amp;" HK Equity","PE_RATIO",Database!$H49,Database!$H49),0,1),0),2),"run on terminal")</f>
        <v/>
      </c>
      <c r="P49" s="251">
        <f>IF(Database!BH49="","(n/m or not derivable)",Database!BH49)</f>
        <v/>
      </c>
      <c r="Q49" s="58">
        <f>IF(Database!BN49="","",IFERROR(INDEX(BDH(LEFT(Database!BN49,FIND(".",Database!BN49)-1)&amp;" CH Equity","PE_RATIO",Database!$H49,Database!$H49),MATCH(Database!$H49,INDEX(BDH(LEFT(Database!BN49,FIND(".",Database!BN49)-1)&amp;" CH Equity","PE_RATIO",Database!$H49,Database!$H49),0,1),0),2),"run on terminal"))</f>
        <v/>
      </c>
      <c r="R49" s="58">
        <f>IF(Database!BN49="","",IFERROR(INDEX(BDH("HSAHP Index","PX_LAST",Database!$H49,Database!$H49),MATCH(Database!$H49,INDEX(BDH("HSAHP Index","PX_LAST",Database!$H49,Database!$H49),0,1),0),2),"run on terminal"))</f>
        <v/>
      </c>
      <c r="S49" s="58">
        <f>IFERROR(BDP(TEXT(VALUE(Database!$A49),"0")&amp;" HK Equity","PX_TO_SALES_RATIO"),"")</f>
        <v/>
      </c>
      <c r="T49" s="53">
        <f>IF(Database!BN49="","",IFERROR(BDP(LEFT(Database!BN49,FIND(".",Database!BN49)-1)&amp;" CH Equity","CUR_MKT_CAP")*BDP("CNYHKD Curncy","PX_LAST"),"run on terminal"))</f>
        <v/>
      </c>
    </row>
    <row r="50" ht="23" customHeight="1">
      <c r="A50" s="51">
        <f>Database!A50&amp;"  "&amp;Database!B50</f>
        <v/>
      </c>
      <c r="B50" s="43">
        <f>IFERROR(INDEX(BDS(TEXT(VALUE(Database!$A50),"0")&amp;" HK Equity","EQUITY_OFFERINGS","array=t","endcol=1"),MATCH("IPO",BDS(TEXT(VALUE(Database!$A50),"0")&amp;" HK Equity","EQUITY_OFFERINGS","array=t","startcol=2","endcol=2"),0)),"")</f>
        <v/>
      </c>
      <c r="C50" s="260">
        <f>IF($B50="","",IFERROR(BDP($B50&amp;" Action","CP036"),""))</f>
        <v/>
      </c>
      <c r="D50" s="261">
        <f>Database!S50</f>
        <v/>
      </c>
      <c r="E50" s="260">
        <f>IF($B50="","",IFERROR(BDP($B50&amp;" Action","CP037"),""))</f>
        <v/>
      </c>
      <c r="F50" s="261">
        <f>Database!T50</f>
        <v/>
      </c>
      <c r="G50" s="260">
        <f>IF($B50="","",IFERROR(BDP($B50&amp;" Action","GREENSHOE_FACILITY"),""))</f>
        <v/>
      </c>
      <c r="H50" s="260">
        <f>IF($B50="","",IFERROR(BDP($B50&amp;" Action","OFFERING_GREENSHOE_SHARES_EX"),""))</f>
        <v/>
      </c>
      <c r="I50" s="51">
        <f>Database!AE50</f>
        <v/>
      </c>
      <c r="J50" s="58">
        <f>IFERROR(BDP(TEXT(VALUE(Database!$A50),"0")&amp;" HK Equity","PE_RATIO"),"")</f>
        <v/>
      </c>
      <c r="K50" s="43">
        <f>IFERROR(BDP(TEXT(VALUE(Database!$A50),"0")&amp;" HK Equity","A/H_SHARE_CONVERSION"),"")</f>
        <v/>
      </c>
      <c r="L50" s="51">
        <f>IF(Database!BN50="","(none found)",Database!BN50)</f>
        <v/>
      </c>
      <c r="M50" s="53">
        <f>IFERROR(INDEX(BDH(TEXT(VALUE(Database!$A50),"0")&amp;" HK Equity","CUR_MKT_CAP",Database!$H50,Database!$H50),MATCH(Database!$H50,INDEX(BDH(TEXT(VALUE(Database!$A50),"0")&amp;" HK Equity","CUR_MKT_CAP",Database!$H50,Database!$H50),0,1),0),2),"run on terminal")</f>
        <v/>
      </c>
      <c r="N50" s="213">
        <f>Database!Q50</f>
        <v/>
      </c>
      <c r="O50" s="58">
        <f>IFERROR(INDEX(BDH(TEXT(VALUE(Database!$A50),"0")&amp;" HK Equity","PE_RATIO",Database!$H50,Database!$H50),MATCH(Database!$H50,INDEX(BDH(TEXT(VALUE(Database!$A50),"0")&amp;" HK Equity","PE_RATIO",Database!$H50,Database!$H50),0,1),0),2),"run on terminal")</f>
        <v/>
      </c>
      <c r="P50" s="251">
        <f>IF(Database!BH50="","(n/m or not derivable)",Database!BH50)</f>
        <v/>
      </c>
      <c r="Q50" s="58">
        <f>IF(Database!BN50="","",IFERROR(INDEX(BDH(LEFT(Database!BN50,FIND(".",Database!BN50)-1)&amp;" CH Equity","PE_RATIO",Database!$H50,Database!$H50),MATCH(Database!$H50,INDEX(BDH(LEFT(Database!BN50,FIND(".",Database!BN50)-1)&amp;" CH Equity","PE_RATIO",Database!$H50,Database!$H50),0,1),0),2),"run on terminal"))</f>
        <v/>
      </c>
      <c r="R50" s="58">
        <f>IF(Database!BN50="","",IFERROR(INDEX(BDH("HSAHP Index","PX_LAST",Database!$H50,Database!$H50),MATCH(Database!$H50,INDEX(BDH("HSAHP Index","PX_LAST",Database!$H50,Database!$H50),0,1),0),2),"run on terminal"))</f>
        <v/>
      </c>
      <c r="S50" s="58">
        <f>IFERROR(BDP(TEXT(VALUE(Database!$A50),"0")&amp;" HK Equity","PX_TO_SALES_RATIO"),"")</f>
        <v/>
      </c>
      <c r="T50" s="53">
        <f>IF(Database!BN50="","",IFERROR(BDP(LEFT(Database!BN50,FIND(".",Database!BN50)-1)&amp;" CH Equity","CUR_MKT_CAP")*BDP("CNYHKD Curncy","PX_LAST"),"run on terminal"))</f>
        <v/>
      </c>
    </row>
    <row r="51" ht="23" customHeight="1">
      <c r="A51" s="51">
        <f>Database!A51&amp;"  "&amp;Database!B51</f>
        <v/>
      </c>
      <c r="B51" s="43">
        <f>IFERROR(INDEX(BDS(TEXT(VALUE(Database!$A51),"0")&amp;" HK Equity","EQUITY_OFFERINGS","array=t","endcol=1"),MATCH("IPO",BDS(TEXT(VALUE(Database!$A51),"0")&amp;" HK Equity","EQUITY_OFFERINGS","array=t","startcol=2","endcol=2"),0)),"")</f>
        <v/>
      </c>
      <c r="C51" s="260">
        <f>IF($B51="","",IFERROR(BDP($B51&amp;" Action","CP036"),""))</f>
        <v/>
      </c>
      <c r="D51" s="261">
        <f>Database!S51</f>
        <v/>
      </c>
      <c r="E51" s="260">
        <f>IF($B51="","",IFERROR(BDP($B51&amp;" Action","CP037"),""))</f>
        <v/>
      </c>
      <c r="F51" s="261">
        <f>Database!T51</f>
        <v/>
      </c>
      <c r="G51" s="260">
        <f>IF($B51="","",IFERROR(BDP($B51&amp;" Action","GREENSHOE_FACILITY"),""))</f>
        <v/>
      </c>
      <c r="H51" s="260">
        <f>IF($B51="","",IFERROR(BDP($B51&amp;" Action","OFFERING_GREENSHOE_SHARES_EX"),""))</f>
        <v/>
      </c>
      <c r="I51" s="51">
        <f>Database!AE51</f>
        <v/>
      </c>
      <c r="J51" s="58">
        <f>IFERROR(BDP(TEXT(VALUE(Database!$A51),"0")&amp;" HK Equity","PE_RATIO"),"")</f>
        <v/>
      </c>
      <c r="K51" s="43">
        <f>IFERROR(BDP(TEXT(VALUE(Database!$A51),"0")&amp;" HK Equity","A/H_SHARE_CONVERSION"),"")</f>
        <v/>
      </c>
      <c r="L51" s="51">
        <f>IF(Database!BN51="","(none found)",Database!BN51)</f>
        <v/>
      </c>
      <c r="M51" s="53">
        <f>IFERROR(INDEX(BDH(TEXT(VALUE(Database!$A51),"0")&amp;" HK Equity","CUR_MKT_CAP",Database!$H51,Database!$H51),MATCH(Database!$H51,INDEX(BDH(TEXT(VALUE(Database!$A51),"0")&amp;" HK Equity","CUR_MKT_CAP",Database!$H51,Database!$H51),0,1),0),2),"run on terminal")</f>
        <v/>
      </c>
      <c r="N51" s="213">
        <f>Database!Q51</f>
        <v/>
      </c>
      <c r="O51" s="58">
        <f>IFERROR(INDEX(BDH(TEXT(VALUE(Database!$A51),"0")&amp;" HK Equity","PE_RATIO",Database!$H51,Database!$H51),MATCH(Database!$H51,INDEX(BDH(TEXT(VALUE(Database!$A51),"0")&amp;" HK Equity","PE_RATIO",Database!$H51,Database!$H51),0,1),0),2),"run on terminal")</f>
        <v/>
      </c>
      <c r="P51" s="251">
        <f>IF(Database!BH51="","(n/m or not derivable)",Database!BH51)</f>
        <v/>
      </c>
      <c r="Q51" s="58">
        <f>IF(Database!BN51="","",IFERROR(INDEX(BDH(LEFT(Database!BN51,FIND(".",Database!BN51)-1)&amp;" CH Equity","PE_RATIO",Database!$H51,Database!$H51),MATCH(Database!$H51,INDEX(BDH(LEFT(Database!BN51,FIND(".",Database!BN51)-1)&amp;" CH Equity","PE_RATIO",Database!$H51,Database!$H51),0,1),0),2),"run on terminal"))</f>
        <v/>
      </c>
      <c r="R51" s="58">
        <f>IF(Database!BN51="","",IFERROR(INDEX(BDH("HSAHP Index","PX_LAST",Database!$H51,Database!$H51),MATCH(Database!$H51,INDEX(BDH("HSAHP Index","PX_LAST",Database!$H51,Database!$H51),0,1),0),2),"run on terminal"))</f>
        <v/>
      </c>
      <c r="S51" s="58">
        <f>IFERROR(BDP(TEXT(VALUE(Database!$A51),"0")&amp;" HK Equity","PX_TO_SALES_RATIO"),"")</f>
        <v/>
      </c>
      <c r="T51" s="53">
        <f>IF(Database!BN51="","",IFERROR(BDP(LEFT(Database!BN51,FIND(".",Database!BN51)-1)&amp;" CH Equity","CUR_MKT_CAP")*BDP("CNYHKD Curncy","PX_LAST"),"run on terminal"))</f>
        <v/>
      </c>
    </row>
    <row r="52" ht="23" customHeight="1">
      <c r="A52" s="51">
        <f>Database!A52&amp;"  "&amp;Database!B52</f>
        <v/>
      </c>
      <c r="B52" s="43">
        <f>IFERROR(INDEX(BDS(TEXT(VALUE(Database!$A52),"0")&amp;" HK Equity","EQUITY_OFFERINGS","array=t","endcol=1"),MATCH("IPO",BDS(TEXT(VALUE(Database!$A52),"0")&amp;" HK Equity","EQUITY_OFFERINGS","array=t","startcol=2","endcol=2"),0)),"")</f>
        <v/>
      </c>
      <c r="C52" s="260">
        <f>IF($B52="","",IFERROR(BDP($B52&amp;" Action","CP036"),""))</f>
        <v/>
      </c>
      <c r="D52" s="261">
        <f>Database!S52</f>
        <v/>
      </c>
      <c r="E52" s="260">
        <f>IF($B52="","",IFERROR(BDP($B52&amp;" Action","CP037"),""))</f>
        <v/>
      </c>
      <c r="F52" s="261">
        <f>Database!T52</f>
        <v/>
      </c>
      <c r="G52" s="260">
        <f>IF($B52="","",IFERROR(BDP($B52&amp;" Action","GREENSHOE_FACILITY"),""))</f>
        <v/>
      </c>
      <c r="H52" s="260">
        <f>IF($B52="","",IFERROR(BDP($B52&amp;" Action","OFFERING_GREENSHOE_SHARES_EX"),""))</f>
        <v/>
      </c>
      <c r="I52" s="51">
        <f>Database!AE52</f>
        <v/>
      </c>
      <c r="J52" s="58">
        <f>IFERROR(BDP(TEXT(VALUE(Database!$A52),"0")&amp;" HK Equity","PE_RATIO"),"")</f>
        <v/>
      </c>
      <c r="K52" s="43">
        <f>IFERROR(BDP(TEXT(VALUE(Database!$A52),"0")&amp;" HK Equity","A/H_SHARE_CONVERSION"),"")</f>
        <v/>
      </c>
      <c r="L52" s="51">
        <f>IF(Database!BN52="","(none found)",Database!BN52)</f>
        <v/>
      </c>
      <c r="M52" s="53">
        <f>IFERROR(INDEX(BDH(TEXT(VALUE(Database!$A52),"0")&amp;" HK Equity","CUR_MKT_CAP",Database!$H52,Database!$H52),MATCH(Database!$H52,INDEX(BDH(TEXT(VALUE(Database!$A52),"0")&amp;" HK Equity","CUR_MKT_CAP",Database!$H52,Database!$H52),0,1),0),2),"run on terminal")</f>
        <v/>
      </c>
      <c r="N52" s="213">
        <f>Database!Q52</f>
        <v/>
      </c>
      <c r="O52" s="58">
        <f>IFERROR(INDEX(BDH(TEXT(VALUE(Database!$A52),"0")&amp;" HK Equity","PE_RATIO",Database!$H52,Database!$H52),MATCH(Database!$H52,INDEX(BDH(TEXT(VALUE(Database!$A52),"0")&amp;" HK Equity","PE_RATIO",Database!$H52,Database!$H52),0,1),0),2),"run on terminal")</f>
        <v/>
      </c>
      <c r="P52" s="251">
        <f>IF(Database!BH52="","(n/m or not derivable)",Database!BH52)</f>
        <v/>
      </c>
      <c r="Q52" s="58">
        <f>IF(Database!BN52="","",IFERROR(INDEX(BDH(LEFT(Database!BN52,FIND(".",Database!BN52)-1)&amp;" CH Equity","PE_RATIO",Database!$H52,Database!$H52),MATCH(Database!$H52,INDEX(BDH(LEFT(Database!BN52,FIND(".",Database!BN52)-1)&amp;" CH Equity","PE_RATIO",Database!$H52,Database!$H52),0,1),0),2),"run on terminal"))</f>
        <v/>
      </c>
      <c r="R52" s="58">
        <f>IF(Database!BN52="","",IFERROR(INDEX(BDH("HSAHP Index","PX_LAST",Database!$H52,Database!$H52),MATCH(Database!$H52,INDEX(BDH("HSAHP Index","PX_LAST",Database!$H52,Database!$H52),0,1),0),2),"run on terminal"))</f>
        <v/>
      </c>
      <c r="S52" s="58">
        <f>IFERROR(BDP(TEXT(VALUE(Database!$A52),"0")&amp;" HK Equity","PX_TO_SALES_RATIO"),"")</f>
        <v/>
      </c>
      <c r="T52" s="53">
        <f>IF(Database!BN52="","",IFERROR(BDP(LEFT(Database!BN52,FIND(".",Database!BN52)-1)&amp;" CH Equity","CUR_MKT_CAP")*BDP("CNYHKD Curncy","PX_LAST"),"run on terminal"))</f>
        <v/>
      </c>
    </row>
    <row r="53" ht="23" customHeight="1">
      <c r="A53" s="51">
        <f>Database!A53&amp;"  "&amp;Database!B53</f>
        <v/>
      </c>
      <c r="B53" s="43">
        <f>IFERROR(INDEX(BDS(TEXT(VALUE(Database!$A53),"0")&amp;" HK Equity","EQUITY_OFFERINGS","array=t","endcol=1"),MATCH("IPO",BDS(TEXT(VALUE(Database!$A53),"0")&amp;" HK Equity","EQUITY_OFFERINGS","array=t","startcol=2","endcol=2"),0)),"")</f>
        <v/>
      </c>
      <c r="C53" s="260">
        <f>IF($B53="","",IFERROR(BDP($B53&amp;" Action","CP036"),""))</f>
        <v/>
      </c>
      <c r="D53" s="261">
        <f>Database!S53</f>
        <v/>
      </c>
      <c r="E53" s="260">
        <f>IF($B53="","",IFERROR(BDP($B53&amp;" Action","CP037"),""))</f>
        <v/>
      </c>
      <c r="F53" s="261">
        <f>Database!T53</f>
        <v/>
      </c>
      <c r="G53" s="260">
        <f>IF($B53="","",IFERROR(BDP($B53&amp;" Action","GREENSHOE_FACILITY"),""))</f>
        <v/>
      </c>
      <c r="H53" s="260">
        <f>IF($B53="","",IFERROR(BDP($B53&amp;" Action","OFFERING_GREENSHOE_SHARES_EX"),""))</f>
        <v/>
      </c>
      <c r="I53" s="51">
        <f>Database!AE53</f>
        <v/>
      </c>
      <c r="J53" s="58">
        <f>IFERROR(BDP(TEXT(VALUE(Database!$A53),"0")&amp;" HK Equity","PE_RATIO"),"")</f>
        <v/>
      </c>
      <c r="K53" s="43">
        <f>IFERROR(BDP(TEXT(VALUE(Database!$A53),"0")&amp;" HK Equity","A/H_SHARE_CONVERSION"),"")</f>
        <v/>
      </c>
      <c r="L53" s="51">
        <f>IF(Database!BN53="","(none found)",Database!BN53)</f>
        <v/>
      </c>
      <c r="M53" s="53">
        <f>IFERROR(INDEX(BDH(TEXT(VALUE(Database!$A53),"0")&amp;" HK Equity","CUR_MKT_CAP",Database!$H53,Database!$H53),MATCH(Database!$H53,INDEX(BDH(TEXT(VALUE(Database!$A53),"0")&amp;" HK Equity","CUR_MKT_CAP",Database!$H53,Database!$H53),0,1),0),2),"run on terminal")</f>
        <v/>
      </c>
      <c r="N53" s="213">
        <f>Database!Q53</f>
        <v/>
      </c>
      <c r="O53" s="58">
        <f>IFERROR(INDEX(BDH(TEXT(VALUE(Database!$A53),"0")&amp;" HK Equity","PE_RATIO",Database!$H53,Database!$H53),MATCH(Database!$H53,INDEX(BDH(TEXT(VALUE(Database!$A53),"0")&amp;" HK Equity","PE_RATIO",Database!$H53,Database!$H53),0,1),0),2),"run on terminal")</f>
        <v/>
      </c>
      <c r="P53" s="251">
        <f>IF(Database!BH53="","(n/m or not derivable)",Database!BH53)</f>
        <v/>
      </c>
      <c r="Q53" s="58">
        <f>IF(Database!BN53="","",IFERROR(INDEX(BDH(LEFT(Database!BN53,FIND(".",Database!BN53)-1)&amp;" CH Equity","PE_RATIO",Database!$H53,Database!$H53),MATCH(Database!$H53,INDEX(BDH(LEFT(Database!BN53,FIND(".",Database!BN53)-1)&amp;" CH Equity","PE_RATIO",Database!$H53,Database!$H53),0,1),0),2),"run on terminal"))</f>
        <v/>
      </c>
      <c r="R53" s="58">
        <f>IF(Database!BN53="","",IFERROR(INDEX(BDH("HSAHP Index","PX_LAST",Database!$H53,Database!$H53),MATCH(Database!$H53,INDEX(BDH("HSAHP Index","PX_LAST",Database!$H53,Database!$H53),0,1),0),2),"run on terminal"))</f>
        <v/>
      </c>
      <c r="S53" s="58">
        <f>IFERROR(BDP(TEXT(VALUE(Database!$A53),"0")&amp;" HK Equity","PX_TO_SALES_RATIO"),"")</f>
        <v/>
      </c>
      <c r="T53" s="53">
        <f>IF(Database!BN53="","",IFERROR(BDP(LEFT(Database!BN53,FIND(".",Database!BN53)-1)&amp;" CH Equity","CUR_MKT_CAP")*BDP("CNYHKD Curncy","PX_LAST"),"run on terminal"))</f>
        <v/>
      </c>
    </row>
    <row r="54" ht="23" customHeight="1">
      <c r="A54" s="51">
        <f>Database!A54&amp;"  "&amp;Database!B54</f>
        <v/>
      </c>
      <c r="B54" s="43">
        <f>IFERROR(INDEX(BDS(TEXT(VALUE(Database!$A54),"0")&amp;" HK Equity","EQUITY_OFFERINGS","array=t","endcol=1"),MATCH("IPO",BDS(TEXT(VALUE(Database!$A54),"0")&amp;" HK Equity","EQUITY_OFFERINGS","array=t","startcol=2","endcol=2"),0)),"")</f>
        <v/>
      </c>
      <c r="C54" s="260">
        <f>IF($B54="","",IFERROR(BDP($B54&amp;" Action","CP036"),""))</f>
        <v/>
      </c>
      <c r="D54" s="261">
        <f>Database!S54</f>
        <v/>
      </c>
      <c r="E54" s="260">
        <f>IF($B54="","",IFERROR(BDP($B54&amp;" Action","CP037"),""))</f>
        <v/>
      </c>
      <c r="F54" s="261">
        <f>Database!T54</f>
        <v/>
      </c>
      <c r="G54" s="260">
        <f>IF($B54="","",IFERROR(BDP($B54&amp;" Action","GREENSHOE_FACILITY"),""))</f>
        <v/>
      </c>
      <c r="H54" s="260">
        <f>IF($B54="","",IFERROR(BDP($B54&amp;" Action","OFFERING_GREENSHOE_SHARES_EX"),""))</f>
        <v/>
      </c>
      <c r="I54" s="51">
        <f>Database!AE54</f>
        <v/>
      </c>
      <c r="J54" s="58">
        <f>IFERROR(BDP(TEXT(VALUE(Database!$A54),"0")&amp;" HK Equity","PE_RATIO"),"")</f>
        <v/>
      </c>
      <c r="K54" s="43">
        <f>IFERROR(BDP(TEXT(VALUE(Database!$A54),"0")&amp;" HK Equity","A/H_SHARE_CONVERSION"),"")</f>
        <v/>
      </c>
      <c r="L54" s="51">
        <f>IF(Database!BN54="","(none found)",Database!BN54)</f>
        <v/>
      </c>
      <c r="M54" s="53">
        <f>IFERROR(INDEX(BDH(TEXT(VALUE(Database!$A54),"0")&amp;" HK Equity","CUR_MKT_CAP",Database!$H54,Database!$H54),MATCH(Database!$H54,INDEX(BDH(TEXT(VALUE(Database!$A54),"0")&amp;" HK Equity","CUR_MKT_CAP",Database!$H54,Database!$H54),0,1),0),2),"run on terminal")</f>
        <v/>
      </c>
      <c r="N54" s="213">
        <f>Database!Q54</f>
        <v/>
      </c>
      <c r="O54" s="58">
        <f>IFERROR(INDEX(BDH(TEXT(VALUE(Database!$A54),"0")&amp;" HK Equity","PE_RATIO",Database!$H54,Database!$H54),MATCH(Database!$H54,INDEX(BDH(TEXT(VALUE(Database!$A54),"0")&amp;" HK Equity","PE_RATIO",Database!$H54,Database!$H54),0,1),0),2),"run on terminal")</f>
        <v/>
      </c>
      <c r="P54" s="251">
        <f>IF(Database!BH54="","(n/m or not derivable)",Database!BH54)</f>
        <v/>
      </c>
      <c r="Q54" s="58">
        <f>IF(Database!BN54="","",IFERROR(INDEX(BDH(LEFT(Database!BN54,FIND(".",Database!BN54)-1)&amp;" CH Equity","PE_RATIO",Database!$H54,Database!$H54),MATCH(Database!$H54,INDEX(BDH(LEFT(Database!BN54,FIND(".",Database!BN54)-1)&amp;" CH Equity","PE_RATIO",Database!$H54,Database!$H54),0,1),0),2),"run on terminal"))</f>
        <v/>
      </c>
      <c r="R54" s="58">
        <f>IF(Database!BN54="","",IFERROR(INDEX(BDH("HSAHP Index","PX_LAST",Database!$H54,Database!$H54),MATCH(Database!$H54,INDEX(BDH("HSAHP Index","PX_LAST",Database!$H54,Database!$H54),0,1),0),2),"run on terminal"))</f>
        <v/>
      </c>
      <c r="S54" s="58">
        <f>IFERROR(BDP(TEXT(VALUE(Database!$A54),"0")&amp;" HK Equity","PX_TO_SALES_RATIO"),"")</f>
        <v/>
      </c>
      <c r="T54" s="53">
        <f>IF(Database!BN54="","",IFERROR(BDP(LEFT(Database!BN54,FIND(".",Database!BN54)-1)&amp;" CH Equity","CUR_MKT_CAP")*BDP("CNYHKD Curncy","PX_LAST"),"run on terminal"))</f>
        <v/>
      </c>
    </row>
    <row r="55" ht="23" customHeight="1">
      <c r="A55" s="51">
        <f>Database!A55&amp;"  "&amp;Database!B55</f>
        <v/>
      </c>
      <c r="B55" s="43">
        <f>IFERROR(INDEX(BDS(TEXT(VALUE(Database!$A55),"0")&amp;" HK Equity","EQUITY_OFFERINGS","array=t","endcol=1"),MATCH("IPO",BDS(TEXT(VALUE(Database!$A55),"0")&amp;" HK Equity","EQUITY_OFFERINGS","array=t","startcol=2","endcol=2"),0)),"")</f>
        <v/>
      </c>
      <c r="C55" s="260">
        <f>IF($B55="","",IFERROR(BDP($B55&amp;" Action","CP036"),""))</f>
        <v/>
      </c>
      <c r="D55" s="261">
        <f>Database!S55</f>
        <v/>
      </c>
      <c r="E55" s="260">
        <f>IF($B55="","",IFERROR(BDP($B55&amp;" Action","CP037"),""))</f>
        <v/>
      </c>
      <c r="F55" s="261">
        <f>Database!T55</f>
        <v/>
      </c>
      <c r="G55" s="260">
        <f>IF($B55="","",IFERROR(BDP($B55&amp;" Action","GREENSHOE_FACILITY"),""))</f>
        <v/>
      </c>
      <c r="H55" s="260">
        <f>IF($B55="","",IFERROR(BDP($B55&amp;" Action","OFFERING_GREENSHOE_SHARES_EX"),""))</f>
        <v/>
      </c>
      <c r="I55" s="51">
        <f>Database!AE55</f>
        <v/>
      </c>
      <c r="J55" s="58">
        <f>IFERROR(BDP(TEXT(VALUE(Database!$A55),"0")&amp;" HK Equity","PE_RATIO"),"")</f>
        <v/>
      </c>
      <c r="K55" s="43">
        <f>IFERROR(BDP(TEXT(VALUE(Database!$A55),"0")&amp;" HK Equity","A/H_SHARE_CONVERSION"),"")</f>
        <v/>
      </c>
      <c r="L55" s="51">
        <f>IF(Database!BN55="","(none found)",Database!BN55)</f>
        <v/>
      </c>
      <c r="M55" s="53">
        <f>IFERROR(INDEX(BDH(TEXT(VALUE(Database!$A55),"0")&amp;" HK Equity","CUR_MKT_CAP",Database!$H55,Database!$H55),MATCH(Database!$H55,INDEX(BDH(TEXT(VALUE(Database!$A55),"0")&amp;" HK Equity","CUR_MKT_CAP",Database!$H55,Database!$H55),0,1),0),2),"run on terminal")</f>
        <v/>
      </c>
      <c r="N55" s="213">
        <f>Database!Q55</f>
        <v/>
      </c>
      <c r="O55" s="58">
        <f>IFERROR(INDEX(BDH(TEXT(VALUE(Database!$A55),"0")&amp;" HK Equity","PE_RATIO",Database!$H55,Database!$H55),MATCH(Database!$H55,INDEX(BDH(TEXT(VALUE(Database!$A55),"0")&amp;" HK Equity","PE_RATIO",Database!$H55,Database!$H55),0,1),0),2),"run on terminal")</f>
        <v/>
      </c>
      <c r="P55" s="251">
        <f>IF(Database!BH55="","(n/m or not derivable)",Database!BH55)</f>
        <v/>
      </c>
      <c r="Q55" s="58">
        <f>IF(Database!BN55="","",IFERROR(INDEX(BDH(LEFT(Database!BN55,FIND(".",Database!BN55)-1)&amp;" CH Equity","PE_RATIO",Database!$H55,Database!$H55),MATCH(Database!$H55,INDEX(BDH(LEFT(Database!BN55,FIND(".",Database!BN55)-1)&amp;" CH Equity","PE_RATIO",Database!$H55,Database!$H55),0,1),0),2),"run on terminal"))</f>
        <v/>
      </c>
      <c r="R55" s="58">
        <f>IF(Database!BN55="","",IFERROR(INDEX(BDH("HSAHP Index","PX_LAST",Database!$H55,Database!$H55),MATCH(Database!$H55,INDEX(BDH("HSAHP Index","PX_LAST",Database!$H55,Database!$H55),0,1),0),2),"run on terminal"))</f>
        <v/>
      </c>
      <c r="S55" s="58">
        <f>IFERROR(BDP(TEXT(VALUE(Database!$A55),"0")&amp;" HK Equity","PX_TO_SALES_RATIO"),"")</f>
        <v/>
      </c>
      <c r="T55" s="53">
        <f>IF(Database!BN55="","",IFERROR(BDP(LEFT(Database!BN55,FIND(".",Database!BN55)-1)&amp;" CH Equity","CUR_MKT_CAP")*BDP("CNYHKD Curncy","PX_LAST"),"run on terminal"))</f>
        <v/>
      </c>
    </row>
    <row r="56" ht="23" customHeight="1">
      <c r="A56" s="51">
        <f>Database!A56&amp;"  "&amp;Database!B56</f>
        <v/>
      </c>
      <c r="B56" s="43">
        <f>IFERROR(INDEX(BDS(TEXT(VALUE(Database!$A56),"0")&amp;" HK Equity","EQUITY_OFFERINGS","array=t","endcol=1"),MATCH("IPO",BDS(TEXT(VALUE(Database!$A56),"0")&amp;" HK Equity","EQUITY_OFFERINGS","array=t","startcol=2","endcol=2"),0)),"")</f>
        <v/>
      </c>
      <c r="C56" s="260">
        <f>IF($B56="","",IFERROR(BDP($B56&amp;" Action","CP036"),""))</f>
        <v/>
      </c>
      <c r="D56" s="261">
        <f>Database!S56</f>
        <v/>
      </c>
      <c r="E56" s="260">
        <f>IF($B56="","",IFERROR(BDP($B56&amp;" Action","CP037"),""))</f>
        <v/>
      </c>
      <c r="F56" s="261">
        <f>Database!T56</f>
        <v/>
      </c>
      <c r="G56" s="260">
        <f>IF($B56="","",IFERROR(BDP($B56&amp;" Action","GREENSHOE_FACILITY"),""))</f>
        <v/>
      </c>
      <c r="H56" s="260">
        <f>IF($B56="","",IFERROR(BDP($B56&amp;" Action","OFFERING_GREENSHOE_SHARES_EX"),""))</f>
        <v/>
      </c>
      <c r="I56" s="51">
        <f>Database!AE56</f>
        <v/>
      </c>
      <c r="J56" s="58">
        <f>IFERROR(BDP(TEXT(VALUE(Database!$A56),"0")&amp;" HK Equity","PE_RATIO"),"")</f>
        <v/>
      </c>
      <c r="K56" s="43">
        <f>IFERROR(BDP(TEXT(VALUE(Database!$A56),"0")&amp;" HK Equity","A/H_SHARE_CONVERSION"),"")</f>
        <v/>
      </c>
      <c r="L56" s="51">
        <f>IF(Database!BN56="","(none found)",Database!BN56)</f>
        <v/>
      </c>
      <c r="M56" s="53">
        <f>IFERROR(INDEX(BDH(TEXT(VALUE(Database!$A56),"0")&amp;" HK Equity","CUR_MKT_CAP",Database!$H56,Database!$H56),MATCH(Database!$H56,INDEX(BDH(TEXT(VALUE(Database!$A56),"0")&amp;" HK Equity","CUR_MKT_CAP",Database!$H56,Database!$H56),0,1),0),2),"run on terminal")</f>
        <v/>
      </c>
      <c r="N56" s="213">
        <f>Database!Q56</f>
        <v/>
      </c>
      <c r="O56" s="58">
        <f>IFERROR(INDEX(BDH(TEXT(VALUE(Database!$A56),"0")&amp;" HK Equity","PE_RATIO",Database!$H56,Database!$H56),MATCH(Database!$H56,INDEX(BDH(TEXT(VALUE(Database!$A56),"0")&amp;" HK Equity","PE_RATIO",Database!$H56,Database!$H56),0,1),0),2),"run on terminal")</f>
        <v/>
      </c>
      <c r="P56" s="251">
        <f>IF(Database!BH56="","(n/m or not derivable)",Database!BH56)</f>
        <v/>
      </c>
      <c r="Q56" s="58">
        <f>IF(Database!BN56="","",IFERROR(INDEX(BDH(LEFT(Database!BN56,FIND(".",Database!BN56)-1)&amp;" CH Equity","PE_RATIO",Database!$H56,Database!$H56),MATCH(Database!$H56,INDEX(BDH(LEFT(Database!BN56,FIND(".",Database!BN56)-1)&amp;" CH Equity","PE_RATIO",Database!$H56,Database!$H56),0,1),0),2),"run on terminal"))</f>
        <v/>
      </c>
      <c r="R56" s="58">
        <f>IF(Database!BN56="","",IFERROR(INDEX(BDH("HSAHP Index","PX_LAST",Database!$H56,Database!$H56),MATCH(Database!$H56,INDEX(BDH("HSAHP Index","PX_LAST",Database!$H56,Database!$H56),0,1),0),2),"run on terminal"))</f>
        <v/>
      </c>
      <c r="S56" s="58">
        <f>IFERROR(BDP(TEXT(VALUE(Database!$A56),"0")&amp;" HK Equity","PX_TO_SALES_RATIO"),"")</f>
        <v/>
      </c>
      <c r="T56" s="53">
        <f>IF(Database!BN56="","",IFERROR(BDP(LEFT(Database!BN56,FIND(".",Database!BN56)-1)&amp;" CH Equity","CUR_MKT_CAP")*BDP("CNYHKD Curncy","PX_LAST"),"run on terminal"))</f>
        <v/>
      </c>
    </row>
    <row r="57" ht="23" customHeight="1">
      <c r="A57" s="51">
        <f>Database!A57&amp;"  "&amp;Database!B57</f>
        <v/>
      </c>
      <c r="B57" s="43">
        <f>IFERROR(INDEX(BDS(TEXT(VALUE(Database!$A57),"0")&amp;" HK Equity","EQUITY_OFFERINGS","array=t","endcol=1"),MATCH("IPO",BDS(TEXT(VALUE(Database!$A57),"0")&amp;" HK Equity","EQUITY_OFFERINGS","array=t","startcol=2","endcol=2"),0)),"")</f>
        <v/>
      </c>
      <c r="C57" s="260">
        <f>IF($B57="","",IFERROR(BDP($B57&amp;" Action","CP036"),""))</f>
        <v/>
      </c>
      <c r="D57" s="261">
        <f>Database!S57</f>
        <v/>
      </c>
      <c r="E57" s="260">
        <f>IF($B57="","",IFERROR(BDP($B57&amp;" Action","CP037"),""))</f>
        <v/>
      </c>
      <c r="F57" s="261">
        <f>Database!T57</f>
        <v/>
      </c>
      <c r="G57" s="260">
        <f>IF($B57="","",IFERROR(BDP($B57&amp;" Action","GREENSHOE_FACILITY"),""))</f>
        <v/>
      </c>
      <c r="H57" s="260">
        <f>IF($B57="","",IFERROR(BDP($B57&amp;" Action","OFFERING_GREENSHOE_SHARES_EX"),""))</f>
        <v/>
      </c>
      <c r="I57" s="51">
        <f>Database!AE57</f>
        <v/>
      </c>
      <c r="J57" s="58">
        <f>IFERROR(BDP(TEXT(VALUE(Database!$A57),"0")&amp;" HK Equity","PE_RATIO"),"")</f>
        <v/>
      </c>
      <c r="K57" s="43">
        <f>IFERROR(BDP(TEXT(VALUE(Database!$A57),"0")&amp;" HK Equity","A/H_SHARE_CONVERSION"),"")</f>
        <v/>
      </c>
      <c r="L57" s="51">
        <f>IF(Database!BN57="","(none found)",Database!BN57)</f>
        <v/>
      </c>
      <c r="M57" s="53">
        <f>IFERROR(INDEX(BDH(TEXT(VALUE(Database!$A57),"0")&amp;" HK Equity","CUR_MKT_CAP",Database!$H57,Database!$H57),MATCH(Database!$H57,INDEX(BDH(TEXT(VALUE(Database!$A57),"0")&amp;" HK Equity","CUR_MKT_CAP",Database!$H57,Database!$H57),0,1),0),2),"run on terminal")</f>
        <v/>
      </c>
      <c r="N57" s="213">
        <f>Database!Q57</f>
        <v/>
      </c>
      <c r="O57" s="58">
        <f>IFERROR(INDEX(BDH(TEXT(VALUE(Database!$A57),"0")&amp;" HK Equity","PE_RATIO",Database!$H57,Database!$H57),MATCH(Database!$H57,INDEX(BDH(TEXT(VALUE(Database!$A57),"0")&amp;" HK Equity","PE_RATIO",Database!$H57,Database!$H57),0,1),0),2),"run on terminal")</f>
        <v/>
      </c>
      <c r="P57" s="251">
        <f>IF(Database!BH57="","(n/m or not derivable)",Database!BH57)</f>
        <v/>
      </c>
      <c r="Q57" s="58">
        <f>IF(Database!BN57="","",IFERROR(INDEX(BDH(LEFT(Database!BN57,FIND(".",Database!BN57)-1)&amp;" CH Equity","PE_RATIO",Database!$H57,Database!$H57),MATCH(Database!$H57,INDEX(BDH(LEFT(Database!BN57,FIND(".",Database!BN57)-1)&amp;" CH Equity","PE_RATIO",Database!$H57,Database!$H57),0,1),0),2),"run on terminal"))</f>
        <v/>
      </c>
      <c r="R57" s="58">
        <f>IF(Database!BN57="","",IFERROR(INDEX(BDH("HSAHP Index","PX_LAST",Database!$H57,Database!$H57),MATCH(Database!$H57,INDEX(BDH("HSAHP Index","PX_LAST",Database!$H57,Database!$H57),0,1),0),2),"run on terminal"))</f>
        <v/>
      </c>
      <c r="S57" s="58">
        <f>IFERROR(BDP(TEXT(VALUE(Database!$A57),"0")&amp;" HK Equity","PX_TO_SALES_RATIO"),"")</f>
        <v/>
      </c>
      <c r="T57" s="53">
        <f>IF(Database!BN57="","",IFERROR(BDP(LEFT(Database!BN57,FIND(".",Database!BN57)-1)&amp;" CH Equity","CUR_MKT_CAP")*BDP("CNYHKD Curncy","PX_LAST"),"run on terminal"))</f>
        <v/>
      </c>
    </row>
    <row r="58" ht="23" customHeight="1">
      <c r="A58" s="51">
        <f>Database!A58&amp;"  "&amp;Database!B58</f>
        <v/>
      </c>
      <c r="B58" s="43">
        <f>IFERROR(INDEX(BDS(TEXT(VALUE(Database!$A58),"0")&amp;" HK Equity","EQUITY_OFFERINGS","array=t","endcol=1"),MATCH("IPO",BDS(TEXT(VALUE(Database!$A58),"0")&amp;" HK Equity","EQUITY_OFFERINGS","array=t","startcol=2","endcol=2"),0)),"")</f>
        <v/>
      </c>
      <c r="C58" s="260">
        <f>IF($B58="","",IFERROR(BDP($B58&amp;" Action","CP036"),""))</f>
        <v/>
      </c>
      <c r="D58" s="261">
        <f>Database!S58</f>
        <v/>
      </c>
      <c r="E58" s="260">
        <f>IF($B58="","",IFERROR(BDP($B58&amp;" Action","CP037"),""))</f>
        <v/>
      </c>
      <c r="F58" s="261">
        <f>Database!T58</f>
        <v/>
      </c>
      <c r="G58" s="260">
        <f>IF($B58="","",IFERROR(BDP($B58&amp;" Action","GREENSHOE_FACILITY"),""))</f>
        <v/>
      </c>
      <c r="H58" s="260">
        <f>IF($B58="","",IFERROR(BDP($B58&amp;" Action","OFFERING_GREENSHOE_SHARES_EX"),""))</f>
        <v/>
      </c>
      <c r="I58" s="51">
        <f>Database!AE58</f>
        <v/>
      </c>
      <c r="J58" s="58">
        <f>IFERROR(BDP(TEXT(VALUE(Database!$A58),"0")&amp;" HK Equity","PE_RATIO"),"")</f>
        <v/>
      </c>
      <c r="K58" s="43">
        <f>IFERROR(BDP(TEXT(VALUE(Database!$A58),"0")&amp;" HK Equity","A/H_SHARE_CONVERSION"),"")</f>
        <v/>
      </c>
      <c r="L58" s="51">
        <f>IF(Database!BN58="","(none found)",Database!BN58)</f>
        <v/>
      </c>
      <c r="M58" s="53">
        <f>IFERROR(INDEX(BDH(TEXT(VALUE(Database!$A58),"0")&amp;" HK Equity","CUR_MKT_CAP",Database!$H58,Database!$H58),MATCH(Database!$H58,INDEX(BDH(TEXT(VALUE(Database!$A58),"0")&amp;" HK Equity","CUR_MKT_CAP",Database!$H58,Database!$H58),0,1),0),2),"run on terminal")</f>
        <v/>
      </c>
      <c r="N58" s="213">
        <f>Database!Q58</f>
        <v/>
      </c>
      <c r="O58" s="58">
        <f>IFERROR(INDEX(BDH(TEXT(VALUE(Database!$A58),"0")&amp;" HK Equity","PE_RATIO",Database!$H58,Database!$H58),MATCH(Database!$H58,INDEX(BDH(TEXT(VALUE(Database!$A58),"0")&amp;" HK Equity","PE_RATIO",Database!$H58,Database!$H58),0,1),0),2),"run on terminal")</f>
        <v/>
      </c>
      <c r="P58" s="251">
        <f>IF(Database!BH58="","(n/m or not derivable)",Database!BH58)</f>
        <v/>
      </c>
      <c r="Q58" s="58">
        <f>IF(Database!BN58="","",IFERROR(INDEX(BDH(LEFT(Database!BN58,FIND(".",Database!BN58)-1)&amp;" CH Equity","PE_RATIO",Database!$H58,Database!$H58),MATCH(Database!$H58,INDEX(BDH(LEFT(Database!BN58,FIND(".",Database!BN58)-1)&amp;" CH Equity","PE_RATIO",Database!$H58,Database!$H58),0,1),0),2),"run on terminal"))</f>
        <v/>
      </c>
      <c r="R58" s="58">
        <f>IF(Database!BN58="","",IFERROR(INDEX(BDH("HSAHP Index","PX_LAST",Database!$H58,Database!$H58),MATCH(Database!$H58,INDEX(BDH("HSAHP Index","PX_LAST",Database!$H58,Database!$H58),0,1),0),2),"run on terminal"))</f>
        <v/>
      </c>
      <c r="S58" s="58">
        <f>IFERROR(BDP(TEXT(VALUE(Database!$A58),"0")&amp;" HK Equity","PX_TO_SALES_RATIO"),"")</f>
        <v/>
      </c>
      <c r="T58" s="53">
        <f>IF(Database!BN58="","",IFERROR(BDP(LEFT(Database!BN58,FIND(".",Database!BN58)-1)&amp;" CH Equity","CUR_MKT_CAP")*BDP("CNYHKD Curncy","PX_LAST"),"run on terminal"))</f>
        <v/>
      </c>
    </row>
    <row r="59" ht="23" customHeight="1">
      <c r="A59" s="51">
        <f>Database!A59&amp;"  "&amp;Database!B59</f>
        <v/>
      </c>
      <c r="B59" s="43">
        <f>IFERROR(INDEX(BDS(TEXT(VALUE(Database!$A59),"0")&amp;" HK Equity","EQUITY_OFFERINGS","array=t","endcol=1"),MATCH("IPO",BDS(TEXT(VALUE(Database!$A59),"0")&amp;" HK Equity","EQUITY_OFFERINGS","array=t","startcol=2","endcol=2"),0)),"")</f>
        <v/>
      </c>
      <c r="C59" s="260">
        <f>IF($B59="","",IFERROR(BDP($B59&amp;" Action","CP036"),""))</f>
        <v/>
      </c>
      <c r="D59" s="261">
        <f>Database!S59</f>
        <v/>
      </c>
      <c r="E59" s="260">
        <f>IF($B59="","",IFERROR(BDP($B59&amp;" Action","CP037"),""))</f>
        <v/>
      </c>
      <c r="F59" s="261">
        <f>Database!T59</f>
        <v/>
      </c>
      <c r="G59" s="260">
        <f>IF($B59="","",IFERROR(BDP($B59&amp;" Action","GREENSHOE_FACILITY"),""))</f>
        <v/>
      </c>
      <c r="H59" s="260">
        <f>IF($B59="","",IFERROR(BDP($B59&amp;" Action","OFFERING_GREENSHOE_SHARES_EX"),""))</f>
        <v/>
      </c>
      <c r="I59" s="51">
        <f>Database!AE59</f>
        <v/>
      </c>
      <c r="J59" s="58">
        <f>IFERROR(BDP(TEXT(VALUE(Database!$A59),"0")&amp;" HK Equity","PE_RATIO"),"")</f>
        <v/>
      </c>
      <c r="K59" s="43">
        <f>IFERROR(BDP(TEXT(VALUE(Database!$A59),"0")&amp;" HK Equity","A/H_SHARE_CONVERSION"),"")</f>
        <v/>
      </c>
      <c r="L59" s="51">
        <f>IF(Database!BN59="","(none found)",Database!BN59)</f>
        <v/>
      </c>
      <c r="M59" s="53">
        <f>IFERROR(INDEX(BDH(TEXT(VALUE(Database!$A59),"0")&amp;" HK Equity","CUR_MKT_CAP",Database!$H59,Database!$H59),MATCH(Database!$H59,INDEX(BDH(TEXT(VALUE(Database!$A59),"0")&amp;" HK Equity","CUR_MKT_CAP",Database!$H59,Database!$H59),0,1),0),2),"run on terminal")</f>
        <v/>
      </c>
      <c r="N59" s="213">
        <f>Database!Q59</f>
        <v/>
      </c>
      <c r="O59" s="58">
        <f>IFERROR(INDEX(BDH(TEXT(VALUE(Database!$A59),"0")&amp;" HK Equity","PE_RATIO",Database!$H59,Database!$H59),MATCH(Database!$H59,INDEX(BDH(TEXT(VALUE(Database!$A59),"0")&amp;" HK Equity","PE_RATIO",Database!$H59,Database!$H59),0,1),0),2),"run on terminal")</f>
        <v/>
      </c>
      <c r="P59" s="251">
        <f>IF(Database!BH59="","(n/m or not derivable)",Database!BH59)</f>
        <v/>
      </c>
      <c r="Q59" s="58">
        <f>IF(Database!BN59="","",IFERROR(INDEX(BDH(LEFT(Database!BN59,FIND(".",Database!BN59)-1)&amp;" CH Equity","PE_RATIO",Database!$H59,Database!$H59),MATCH(Database!$H59,INDEX(BDH(LEFT(Database!BN59,FIND(".",Database!BN59)-1)&amp;" CH Equity","PE_RATIO",Database!$H59,Database!$H59),0,1),0),2),"run on terminal"))</f>
        <v/>
      </c>
      <c r="R59" s="58">
        <f>IF(Database!BN59="","",IFERROR(INDEX(BDH("HSAHP Index","PX_LAST",Database!$H59,Database!$H59),MATCH(Database!$H59,INDEX(BDH("HSAHP Index","PX_LAST",Database!$H59,Database!$H59),0,1),0),2),"run on terminal"))</f>
        <v/>
      </c>
      <c r="S59" s="58">
        <f>IFERROR(BDP(TEXT(VALUE(Database!$A59),"0")&amp;" HK Equity","PX_TO_SALES_RATIO"),"")</f>
        <v/>
      </c>
      <c r="T59" s="53">
        <f>IF(Database!BN59="","",IFERROR(BDP(LEFT(Database!BN59,FIND(".",Database!BN59)-1)&amp;" CH Equity","CUR_MKT_CAP")*BDP("CNYHKD Curncy","PX_LAST"),"run on terminal"))</f>
        <v/>
      </c>
    </row>
    <row r="60" ht="23" customHeight="1">
      <c r="A60" s="51">
        <f>Database!A60&amp;"  "&amp;Database!B60</f>
        <v/>
      </c>
      <c r="B60" s="43">
        <f>IFERROR(INDEX(BDS(TEXT(VALUE(Database!$A60),"0")&amp;" HK Equity","EQUITY_OFFERINGS","array=t","endcol=1"),MATCH("IPO",BDS(TEXT(VALUE(Database!$A60),"0")&amp;" HK Equity","EQUITY_OFFERINGS","array=t","startcol=2","endcol=2"),0)),"")</f>
        <v/>
      </c>
      <c r="C60" s="260">
        <f>IF($B60="","",IFERROR(BDP($B60&amp;" Action","CP036"),""))</f>
        <v/>
      </c>
      <c r="D60" s="261">
        <f>Database!S60</f>
        <v/>
      </c>
      <c r="E60" s="260">
        <f>IF($B60="","",IFERROR(BDP($B60&amp;" Action","CP037"),""))</f>
        <v/>
      </c>
      <c r="F60" s="261">
        <f>Database!T60</f>
        <v/>
      </c>
      <c r="G60" s="260">
        <f>IF($B60="","",IFERROR(BDP($B60&amp;" Action","GREENSHOE_FACILITY"),""))</f>
        <v/>
      </c>
      <c r="H60" s="260">
        <f>IF($B60="","",IFERROR(BDP($B60&amp;" Action","OFFERING_GREENSHOE_SHARES_EX"),""))</f>
        <v/>
      </c>
      <c r="I60" s="51">
        <f>Database!AE60</f>
        <v/>
      </c>
      <c r="J60" s="58">
        <f>IFERROR(BDP(TEXT(VALUE(Database!$A60),"0")&amp;" HK Equity","PE_RATIO"),"")</f>
        <v/>
      </c>
      <c r="K60" s="43">
        <f>IFERROR(BDP(TEXT(VALUE(Database!$A60),"0")&amp;" HK Equity","A/H_SHARE_CONVERSION"),"")</f>
        <v/>
      </c>
      <c r="L60" s="51">
        <f>IF(Database!BN60="","(none found)",Database!BN60)</f>
        <v/>
      </c>
      <c r="M60" s="53">
        <f>IFERROR(INDEX(BDH(TEXT(VALUE(Database!$A60),"0")&amp;" HK Equity","CUR_MKT_CAP",Database!$H60,Database!$H60),MATCH(Database!$H60,INDEX(BDH(TEXT(VALUE(Database!$A60),"0")&amp;" HK Equity","CUR_MKT_CAP",Database!$H60,Database!$H60),0,1),0),2),"run on terminal")</f>
        <v/>
      </c>
      <c r="N60" s="213">
        <f>Database!Q60</f>
        <v/>
      </c>
      <c r="O60" s="58">
        <f>IFERROR(INDEX(BDH(TEXT(VALUE(Database!$A60),"0")&amp;" HK Equity","PE_RATIO",Database!$H60,Database!$H60),MATCH(Database!$H60,INDEX(BDH(TEXT(VALUE(Database!$A60),"0")&amp;" HK Equity","PE_RATIO",Database!$H60,Database!$H60),0,1),0),2),"run on terminal")</f>
        <v/>
      </c>
      <c r="P60" s="251">
        <f>IF(Database!BH60="","(n/m or not derivable)",Database!BH60)</f>
        <v/>
      </c>
      <c r="Q60" s="58">
        <f>IF(Database!BN60="","",IFERROR(INDEX(BDH(LEFT(Database!BN60,FIND(".",Database!BN60)-1)&amp;" CH Equity","PE_RATIO",Database!$H60,Database!$H60),MATCH(Database!$H60,INDEX(BDH(LEFT(Database!BN60,FIND(".",Database!BN60)-1)&amp;" CH Equity","PE_RATIO",Database!$H60,Database!$H60),0,1),0),2),"run on terminal"))</f>
        <v/>
      </c>
      <c r="R60" s="58">
        <f>IF(Database!BN60="","",IFERROR(INDEX(BDH("HSAHP Index","PX_LAST",Database!$H60,Database!$H60),MATCH(Database!$H60,INDEX(BDH("HSAHP Index","PX_LAST",Database!$H60,Database!$H60),0,1),0),2),"run on terminal"))</f>
        <v/>
      </c>
      <c r="S60" s="58">
        <f>IFERROR(BDP(TEXT(VALUE(Database!$A60),"0")&amp;" HK Equity","PX_TO_SALES_RATIO"),"")</f>
        <v/>
      </c>
      <c r="T60" s="53">
        <f>IF(Database!BN60="","",IFERROR(BDP(LEFT(Database!BN60,FIND(".",Database!BN60)-1)&amp;" CH Equity","CUR_MKT_CAP")*BDP("CNYHKD Curncy","PX_LAST"),"run on terminal"))</f>
        <v/>
      </c>
    </row>
    <row r="61" ht="23" customHeight="1">
      <c r="A61" s="51">
        <f>Database!A61&amp;"  "&amp;Database!B61</f>
        <v/>
      </c>
      <c r="B61" s="43">
        <f>IFERROR(INDEX(BDS(TEXT(VALUE(Database!$A61),"0")&amp;" HK Equity","EQUITY_OFFERINGS","array=t","endcol=1"),MATCH("IPO",BDS(TEXT(VALUE(Database!$A61),"0")&amp;" HK Equity","EQUITY_OFFERINGS","array=t","startcol=2","endcol=2"),0)),"")</f>
        <v/>
      </c>
      <c r="C61" s="260">
        <f>IF($B61="","",IFERROR(BDP($B61&amp;" Action","CP036"),""))</f>
        <v/>
      </c>
      <c r="D61" s="261">
        <f>Database!S61</f>
        <v/>
      </c>
      <c r="E61" s="260">
        <f>IF($B61="","",IFERROR(BDP($B61&amp;" Action","CP037"),""))</f>
        <v/>
      </c>
      <c r="F61" s="261">
        <f>Database!T61</f>
        <v/>
      </c>
      <c r="G61" s="260">
        <f>IF($B61="","",IFERROR(BDP($B61&amp;" Action","GREENSHOE_FACILITY"),""))</f>
        <v/>
      </c>
      <c r="H61" s="260">
        <f>IF($B61="","",IFERROR(BDP($B61&amp;" Action","OFFERING_GREENSHOE_SHARES_EX"),""))</f>
        <v/>
      </c>
      <c r="I61" s="51">
        <f>Database!AE61</f>
        <v/>
      </c>
      <c r="J61" s="58">
        <f>IFERROR(BDP(TEXT(VALUE(Database!$A61),"0")&amp;" HK Equity","PE_RATIO"),"")</f>
        <v/>
      </c>
      <c r="K61" s="43">
        <f>IFERROR(BDP(TEXT(VALUE(Database!$A61),"0")&amp;" HK Equity","A/H_SHARE_CONVERSION"),"")</f>
        <v/>
      </c>
      <c r="L61" s="51">
        <f>IF(Database!BN61="","(none found)",Database!BN61)</f>
        <v/>
      </c>
      <c r="M61" s="53">
        <f>IFERROR(INDEX(BDH(TEXT(VALUE(Database!$A61),"0")&amp;" HK Equity","CUR_MKT_CAP",Database!$H61,Database!$H61),MATCH(Database!$H61,INDEX(BDH(TEXT(VALUE(Database!$A61),"0")&amp;" HK Equity","CUR_MKT_CAP",Database!$H61,Database!$H61),0,1),0),2),"run on terminal")</f>
        <v/>
      </c>
      <c r="N61" s="213">
        <f>Database!Q61</f>
        <v/>
      </c>
      <c r="O61" s="58">
        <f>IFERROR(INDEX(BDH(TEXT(VALUE(Database!$A61),"0")&amp;" HK Equity","PE_RATIO",Database!$H61,Database!$H61),MATCH(Database!$H61,INDEX(BDH(TEXT(VALUE(Database!$A61),"0")&amp;" HK Equity","PE_RATIO",Database!$H61,Database!$H61),0,1),0),2),"run on terminal")</f>
        <v/>
      </c>
      <c r="P61" s="251">
        <f>IF(Database!BH61="","(n/m or not derivable)",Database!BH61)</f>
        <v/>
      </c>
      <c r="Q61" s="58">
        <f>IF(Database!BN61="","",IFERROR(INDEX(BDH(LEFT(Database!BN61,FIND(".",Database!BN61)-1)&amp;" CH Equity","PE_RATIO",Database!$H61,Database!$H61),MATCH(Database!$H61,INDEX(BDH(LEFT(Database!BN61,FIND(".",Database!BN61)-1)&amp;" CH Equity","PE_RATIO",Database!$H61,Database!$H61),0,1),0),2),"run on terminal"))</f>
        <v/>
      </c>
      <c r="R61" s="58">
        <f>IF(Database!BN61="","",IFERROR(INDEX(BDH("HSAHP Index","PX_LAST",Database!$H61,Database!$H61),MATCH(Database!$H61,INDEX(BDH("HSAHP Index","PX_LAST",Database!$H61,Database!$H61),0,1),0),2),"run on terminal"))</f>
        <v/>
      </c>
      <c r="S61" s="58">
        <f>IFERROR(BDP(TEXT(VALUE(Database!$A61),"0")&amp;" HK Equity","PX_TO_SALES_RATIO"),"")</f>
        <v/>
      </c>
      <c r="T61" s="53">
        <f>IF(Database!BN61="","",IFERROR(BDP(LEFT(Database!BN61,FIND(".",Database!BN61)-1)&amp;" CH Equity","CUR_MKT_CAP")*BDP("CNYHKD Curncy","PX_LAST"),"run on terminal"))</f>
        <v/>
      </c>
    </row>
    <row r="62" ht="23" customHeight="1">
      <c r="A62" s="51">
        <f>Database!A62&amp;"  "&amp;Database!B62</f>
        <v/>
      </c>
      <c r="B62" s="43">
        <f>IFERROR(INDEX(BDS(TEXT(VALUE(Database!$A62),"0")&amp;" HK Equity","EQUITY_OFFERINGS","array=t","endcol=1"),MATCH("IPO",BDS(TEXT(VALUE(Database!$A62),"0")&amp;" HK Equity","EQUITY_OFFERINGS","array=t","startcol=2","endcol=2"),0)),"")</f>
        <v/>
      </c>
      <c r="C62" s="260">
        <f>IF($B62="","",IFERROR(BDP($B62&amp;" Action","CP036"),""))</f>
        <v/>
      </c>
      <c r="D62" s="261">
        <f>Database!S62</f>
        <v/>
      </c>
      <c r="E62" s="260">
        <f>IF($B62="","",IFERROR(BDP($B62&amp;" Action","CP037"),""))</f>
        <v/>
      </c>
      <c r="F62" s="261">
        <f>Database!T62</f>
        <v/>
      </c>
      <c r="G62" s="260">
        <f>IF($B62="","",IFERROR(BDP($B62&amp;" Action","GREENSHOE_FACILITY"),""))</f>
        <v/>
      </c>
      <c r="H62" s="260">
        <f>IF($B62="","",IFERROR(BDP($B62&amp;" Action","OFFERING_GREENSHOE_SHARES_EX"),""))</f>
        <v/>
      </c>
      <c r="I62" s="51">
        <f>Database!AE62</f>
        <v/>
      </c>
      <c r="J62" s="58">
        <f>IFERROR(BDP(TEXT(VALUE(Database!$A62),"0")&amp;" HK Equity","PE_RATIO"),"")</f>
        <v/>
      </c>
      <c r="K62" s="43">
        <f>IFERROR(BDP(TEXT(VALUE(Database!$A62),"0")&amp;" HK Equity","A/H_SHARE_CONVERSION"),"")</f>
        <v/>
      </c>
      <c r="L62" s="51">
        <f>IF(Database!BN62="","(none found)",Database!BN62)</f>
        <v/>
      </c>
      <c r="M62" s="53">
        <f>IFERROR(INDEX(BDH(TEXT(VALUE(Database!$A62),"0")&amp;" HK Equity","CUR_MKT_CAP",Database!$H62,Database!$H62),MATCH(Database!$H62,INDEX(BDH(TEXT(VALUE(Database!$A62),"0")&amp;" HK Equity","CUR_MKT_CAP",Database!$H62,Database!$H62),0,1),0),2),"run on terminal")</f>
        <v/>
      </c>
      <c r="N62" s="213">
        <f>Database!Q62</f>
        <v/>
      </c>
      <c r="O62" s="58">
        <f>IFERROR(INDEX(BDH(TEXT(VALUE(Database!$A62),"0")&amp;" HK Equity","PE_RATIO",Database!$H62,Database!$H62),MATCH(Database!$H62,INDEX(BDH(TEXT(VALUE(Database!$A62),"0")&amp;" HK Equity","PE_RATIO",Database!$H62,Database!$H62),0,1),0),2),"run on terminal")</f>
        <v/>
      </c>
      <c r="P62" s="251">
        <f>IF(Database!BH62="","(n/m or not derivable)",Database!BH62)</f>
        <v/>
      </c>
      <c r="Q62" s="58">
        <f>IF(Database!BN62="","",IFERROR(INDEX(BDH(LEFT(Database!BN62,FIND(".",Database!BN62)-1)&amp;" CH Equity","PE_RATIO",Database!$H62,Database!$H62),MATCH(Database!$H62,INDEX(BDH(LEFT(Database!BN62,FIND(".",Database!BN62)-1)&amp;" CH Equity","PE_RATIO",Database!$H62,Database!$H62),0,1),0),2),"run on terminal"))</f>
        <v/>
      </c>
      <c r="R62" s="58">
        <f>IF(Database!BN62="","",IFERROR(INDEX(BDH("HSAHP Index","PX_LAST",Database!$H62,Database!$H62),MATCH(Database!$H62,INDEX(BDH("HSAHP Index","PX_LAST",Database!$H62,Database!$H62),0,1),0),2),"run on terminal"))</f>
        <v/>
      </c>
      <c r="S62" s="58">
        <f>IFERROR(BDP(TEXT(VALUE(Database!$A62),"0")&amp;" HK Equity","PX_TO_SALES_RATIO"),"")</f>
        <v/>
      </c>
      <c r="T62" s="53">
        <f>IF(Database!BN62="","",IFERROR(BDP(LEFT(Database!BN62,FIND(".",Database!BN62)-1)&amp;" CH Equity","CUR_MKT_CAP")*BDP("CNYHKD Curncy","PX_LAST"),"run on terminal"))</f>
        <v/>
      </c>
    </row>
    <row r="63" ht="23" customHeight="1">
      <c r="A63" s="51">
        <f>Database!A63&amp;"  "&amp;Database!B63</f>
        <v/>
      </c>
      <c r="B63" s="43">
        <f>IFERROR(INDEX(BDS(TEXT(VALUE(Database!$A63),"0")&amp;" HK Equity","EQUITY_OFFERINGS","array=t","endcol=1"),MATCH("IPO",BDS(TEXT(VALUE(Database!$A63),"0")&amp;" HK Equity","EQUITY_OFFERINGS","array=t","startcol=2","endcol=2"),0)),"")</f>
        <v/>
      </c>
      <c r="C63" s="260">
        <f>IF($B63="","",IFERROR(BDP($B63&amp;" Action","CP036"),""))</f>
        <v/>
      </c>
      <c r="D63" s="261">
        <f>Database!S63</f>
        <v/>
      </c>
      <c r="E63" s="260">
        <f>IF($B63="","",IFERROR(BDP($B63&amp;" Action","CP037"),""))</f>
        <v/>
      </c>
      <c r="F63" s="261">
        <f>Database!T63</f>
        <v/>
      </c>
      <c r="G63" s="260">
        <f>IF($B63="","",IFERROR(BDP($B63&amp;" Action","GREENSHOE_FACILITY"),""))</f>
        <v/>
      </c>
      <c r="H63" s="260">
        <f>IF($B63="","",IFERROR(BDP($B63&amp;" Action","OFFERING_GREENSHOE_SHARES_EX"),""))</f>
        <v/>
      </c>
      <c r="I63" s="51">
        <f>Database!AE63</f>
        <v/>
      </c>
      <c r="J63" s="58">
        <f>IFERROR(BDP(TEXT(VALUE(Database!$A63),"0")&amp;" HK Equity","PE_RATIO"),"")</f>
        <v/>
      </c>
      <c r="K63" s="43">
        <f>IFERROR(BDP(TEXT(VALUE(Database!$A63),"0")&amp;" HK Equity","A/H_SHARE_CONVERSION"),"")</f>
        <v/>
      </c>
      <c r="L63" s="51">
        <f>IF(Database!BN63="","(none found)",Database!BN63)</f>
        <v/>
      </c>
      <c r="M63" s="53">
        <f>IFERROR(INDEX(BDH(TEXT(VALUE(Database!$A63),"0")&amp;" HK Equity","CUR_MKT_CAP",Database!$H63,Database!$H63),MATCH(Database!$H63,INDEX(BDH(TEXT(VALUE(Database!$A63),"0")&amp;" HK Equity","CUR_MKT_CAP",Database!$H63,Database!$H63),0,1),0),2),"run on terminal")</f>
        <v/>
      </c>
      <c r="N63" s="213">
        <f>Database!Q63</f>
        <v/>
      </c>
      <c r="O63" s="58">
        <f>IFERROR(INDEX(BDH(TEXT(VALUE(Database!$A63),"0")&amp;" HK Equity","PE_RATIO",Database!$H63,Database!$H63),MATCH(Database!$H63,INDEX(BDH(TEXT(VALUE(Database!$A63),"0")&amp;" HK Equity","PE_RATIO",Database!$H63,Database!$H63),0,1),0),2),"run on terminal")</f>
        <v/>
      </c>
      <c r="P63" s="251">
        <f>IF(Database!BH63="","(n/m or not derivable)",Database!BH63)</f>
        <v/>
      </c>
      <c r="Q63" s="58">
        <f>IF(Database!BN63="","",IFERROR(INDEX(BDH(LEFT(Database!BN63,FIND(".",Database!BN63)-1)&amp;" CH Equity","PE_RATIO",Database!$H63,Database!$H63),MATCH(Database!$H63,INDEX(BDH(LEFT(Database!BN63,FIND(".",Database!BN63)-1)&amp;" CH Equity","PE_RATIO",Database!$H63,Database!$H63),0,1),0),2),"run on terminal"))</f>
        <v/>
      </c>
      <c r="R63" s="58">
        <f>IF(Database!BN63="","",IFERROR(INDEX(BDH("HSAHP Index","PX_LAST",Database!$H63,Database!$H63),MATCH(Database!$H63,INDEX(BDH("HSAHP Index","PX_LAST",Database!$H63,Database!$H63),0,1),0),2),"run on terminal"))</f>
        <v/>
      </c>
      <c r="S63" s="58">
        <f>IFERROR(BDP(TEXT(VALUE(Database!$A63),"0")&amp;" HK Equity","PX_TO_SALES_RATIO"),"")</f>
        <v/>
      </c>
      <c r="T63" s="53">
        <f>IF(Database!BN63="","",IFERROR(BDP(LEFT(Database!BN63,FIND(".",Database!BN63)-1)&amp;" CH Equity","CUR_MKT_CAP")*BDP("CNYHKD Curncy","PX_LAST"),"run on terminal"))</f>
        <v/>
      </c>
    </row>
    <row r="64" ht="23" customHeight="1">
      <c r="A64" s="51">
        <f>Database!A64&amp;"  "&amp;Database!B64</f>
        <v/>
      </c>
      <c r="B64" s="43">
        <f>IFERROR(INDEX(BDS(TEXT(VALUE(Database!$A64),"0")&amp;" HK Equity","EQUITY_OFFERINGS","array=t","endcol=1"),MATCH("IPO",BDS(TEXT(VALUE(Database!$A64),"0")&amp;" HK Equity","EQUITY_OFFERINGS","array=t","startcol=2","endcol=2"),0)),"")</f>
        <v/>
      </c>
      <c r="C64" s="260">
        <f>IF($B64="","",IFERROR(BDP($B64&amp;" Action","CP036"),""))</f>
        <v/>
      </c>
      <c r="D64" s="261">
        <f>Database!S64</f>
        <v/>
      </c>
      <c r="E64" s="260">
        <f>IF($B64="","",IFERROR(BDP($B64&amp;" Action","CP037"),""))</f>
        <v/>
      </c>
      <c r="F64" s="261">
        <f>Database!T64</f>
        <v/>
      </c>
      <c r="G64" s="260">
        <f>IF($B64="","",IFERROR(BDP($B64&amp;" Action","GREENSHOE_FACILITY"),""))</f>
        <v/>
      </c>
      <c r="H64" s="260">
        <f>IF($B64="","",IFERROR(BDP($B64&amp;" Action","OFFERING_GREENSHOE_SHARES_EX"),""))</f>
        <v/>
      </c>
      <c r="I64" s="51">
        <f>Database!AE64</f>
        <v/>
      </c>
      <c r="J64" s="58">
        <f>IFERROR(BDP(TEXT(VALUE(Database!$A64),"0")&amp;" HK Equity","PE_RATIO"),"")</f>
        <v/>
      </c>
      <c r="K64" s="43">
        <f>IFERROR(BDP(TEXT(VALUE(Database!$A64),"0")&amp;" HK Equity","A/H_SHARE_CONVERSION"),"")</f>
        <v/>
      </c>
      <c r="L64" s="51">
        <f>IF(Database!BN64="","(none found)",Database!BN64)</f>
        <v/>
      </c>
      <c r="M64" s="53">
        <f>IFERROR(INDEX(BDH(TEXT(VALUE(Database!$A64),"0")&amp;" HK Equity","CUR_MKT_CAP",Database!$H64,Database!$H64),MATCH(Database!$H64,INDEX(BDH(TEXT(VALUE(Database!$A64),"0")&amp;" HK Equity","CUR_MKT_CAP",Database!$H64,Database!$H64),0,1),0),2),"run on terminal")</f>
        <v/>
      </c>
      <c r="N64" s="213">
        <f>Database!Q64</f>
        <v/>
      </c>
      <c r="O64" s="58">
        <f>IFERROR(INDEX(BDH(TEXT(VALUE(Database!$A64),"0")&amp;" HK Equity","PE_RATIO",Database!$H64,Database!$H64),MATCH(Database!$H64,INDEX(BDH(TEXT(VALUE(Database!$A64),"0")&amp;" HK Equity","PE_RATIO",Database!$H64,Database!$H64),0,1),0),2),"run on terminal")</f>
        <v/>
      </c>
      <c r="P64" s="251">
        <f>IF(Database!BH64="","(n/m or not derivable)",Database!BH64)</f>
        <v/>
      </c>
      <c r="Q64" s="58">
        <f>IF(Database!BN64="","",IFERROR(INDEX(BDH(LEFT(Database!BN64,FIND(".",Database!BN64)-1)&amp;" CH Equity","PE_RATIO",Database!$H64,Database!$H64),MATCH(Database!$H64,INDEX(BDH(LEFT(Database!BN64,FIND(".",Database!BN64)-1)&amp;" CH Equity","PE_RATIO",Database!$H64,Database!$H64),0,1),0),2),"run on terminal"))</f>
        <v/>
      </c>
      <c r="R64" s="58">
        <f>IF(Database!BN64="","",IFERROR(INDEX(BDH("HSAHP Index","PX_LAST",Database!$H64,Database!$H64),MATCH(Database!$H64,INDEX(BDH("HSAHP Index","PX_LAST",Database!$H64,Database!$H64),0,1),0),2),"run on terminal"))</f>
        <v/>
      </c>
      <c r="S64" s="58">
        <f>IFERROR(BDP(TEXT(VALUE(Database!$A64),"0")&amp;" HK Equity","PX_TO_SALES_RATIO"),"")</f>
        <v/>
      </c>
      <c r="T64" s="53">
        <f>IF(Database!BN64="","",IFERROR(BDP(LEFT(Database!BN64,FIND(".",Database!BN64)-1)&amp;" CH Equity","CUR_MKT_CAP")*BDP("CNYHKD Curncy","PX_LAST"),"run on terminal"))</f>
        <v/>
      </c>
    </row>
    <row r="65" ht="23" customHeight="1">
      <c r="A65" s="51">
        <f>Database!A65&amp;"  "&amp;Database!B65</f>
        <v/>
      </c>
      <c r="B65" s="43">
        <f>IFERROR(INDEX(BDS(TEXT(VALUE(Database!$A65),"0")&amp;" HK Equity","EQUITY_OFFERINGS","array=t","endcol=1"),MATCH("IPO",BDS(TEXT(VALUE(Database!$A65),"0")&amp;" HK Equity","EQUITY_OFFERINGS","array=t","startcol=2","endcol=2"),0)),"")</f>
        <v/>
      </c>
      <c r="C65" s="260">
        <f>IF($B65="","",IFERROR(BDP($B65&amp;" Action","CP036"),""))</f>
        <v/>
      </c>
      <c r="D65" s="261">
        <f>Database!S65</f>
        <v/>
      </c>
      <c r="E65" s="260">
        <f>IF($B65="","",IFERROR(BDP($B65&amp;" Action","CP037"),""))</f>
        <v/>
      </c>
      <c r="F65" s="261">
        <f>Database!T65</f>
        <v/>
      </c>
      <c r="G65" s="260">
        <f>IF($B65="","",IFERROR(BDP($B65&amp;" Action","GREENSHOE_FACILITY"),""))</f>
        <v/>
      </c>
      <c r="H65" s="260">
        <f>IF($B65="","",IFERROR(BDP($B65&amp;" Action","OFFERING_GREENSHOE_SHARES_EX"),""))</f>
        <v/>
      </c>
      <c r="I65" s="51">
        <f>Database!AE65</f>
        <v/>
      </c>
      <c r="J65" s="58">
        <f>IFERROR(BDP(TEXT(VALUE(Database!$A65),"0")&amp;" HK Equity","PE_RATIO"),"")</f>
        <v/>
      </c>
      <c r="K65" s="43">
        <f>IFERROR(BDP(TEXT(VALUE(Database!$A65),"0")&amp;" HK Equity","A/H_SHARE_CONVERSION"),"")</f>
        <v/>
      </c>
      <c r="L65" s="51">
        <f>IF(Database!BN65="","(none found)",Database!BN65)</f>
        <v/>
      </c>
      <c r="M65" s="53">
        <f>IFERROR(INDEX(BDH(TEXT(VALUE(Database!$A65),"0")&amp;" HK Equity","CUR_MKT_CAP",Database!$H65,Database!$H65),MATCH(Database!$H65,INDEX(BDH(TEXT(VALUE(Database!$A65),"0")&amp;" HK Equity","CUR_MKT_CAP",Database!$H65,Database!$H65),0,1),0),2),"run on terminal")</f>
        <v/>
      </c>
      <c r="N65" s="213">
        <f>Database!Q65</f>
        <v/>
      </c>
      <c r="O65" s="58">
        <f>IFERROR(INDEX(BDH(TEXT(VALUE(Database!$A65),"0")&amp;" HK Equity","PE_RATIO",Database!$H65,Database!$H65),MATCH(Database!$H65,INDEX(BDH(TEXT(VALUE(Database!$A65),"0")&amp;" HK Equity","PE_RATIO",Database!$H65,Database!$H65),0,1),0),2),"run on terminal")</f>
        <v/>
      </c>
      <c r="P65" s="251">
        <f>IF(Database!BH65="","(n/m or not derivable)",Database!BH65)</f>
        <v/>
      </c>
      <c r="Q65" s="58">
        <f>IF(Database!BN65="","",IFERROR(INDEX(BDH(LEFT(Database!BN65,FIND(".",Database!BN65)-1)&amp;" CH Equity","PE_RATIO",Database!$H65,Database!$H65),MATCH(Database!$H65,INDEX(BDH(LEFT(Database!BN65,FIND(".",Database!BN65)-1)&amp;" CH Equity","PE_RATIO",Database!$H65,Database!$H65),0,1),0),2),"run on terminal"))</f>
        <v/>
      </c>
      <c r="R65" s="58">
        <f>IF(Database!BN65="","",IFERROR(INDEX(BDH("HSAHP Index","PX_LAST",Database!$H65,Database!$H65),MATCH(Database!$H65,INDEX(BDH("HSAHP Index","PX_LAST",Database!$H65,Database!$H65),0,1),0),2),"run on terminal"))</f>
        <v/>
      </c>
      <c r="S65" s="58">
        <f>IFERROR(BDP(TEXT(VALUE(Database!$A65),"0")&amp;" HK Equity","PX_TO_SALES_RATIO"),"")</f>
        <v/>
      </c>
      <c r="T65" s="53">
        <f>IF(Database!BN65="","",IFERROR(BDP(LEFT(Database!BN65,FIND(".",Database!BN65)-1)&amp;" CH Equity","CUR_MKT_CAP")*BDP("CNYHKD Curncy","PX_LAST"),"run on terminal"))</f>
        <v/>
      </c>
    </row>
    <row r="66" ht="23" customHeight="1">
      <c r="A66" s="51">
        <f>Database!A66&amp;"  "&amp;Database!B66</f>
        <v/>
      </c>
      <c r="B66" s="43">
        <f>IFERROR(INDEX(BDS(TEXT(VALUE(Database!$A66),"0")&amp;" HK Equity","EQUITY_OFFERINGS","array=t","endcol=1"),MATCH("IPO",BDS(TEXT(VALUE(Database!$A66),"0")&amp;" HK Equity","EQUITY_OFFERINGS","array=t","startcol=2","endcol=2"),0)),"")</f>
        <v/>
      </c>
      <c r="C66" s="260">
        <f>IF($B66="","",IFERROR(BDP($B66&amp;" Action","CP036"),""))</f>
        <v/>
      </c>
      <c r="D66" s="261">
        <f>Database!S66</f>
        <v/>
      </c>
      <c r="E66" s="260">
        <f>IF($B66="","",IFERROR(BDP($B66&amp;" Action","CP037"),""))</f>
        <v/>
      </c>
      <c r="F66" s="261">
        <f>Database!T66</f>
        <v/>
      </c>
      <c r="G66" s="260">
        <f>IF($B66="","",IFERROR(BDP($B66&amp;" Action","GREENSHOE_FACILITY"),""))</f>
        <v/>
      </c>
      <c r="H66" s="260">
        <f>IF($B66="","",IFERROR(BDP($B66&amp;" Action","OFFERING_GREENSHOE_SHARES_EX"),""))</f>
        <v/>
      </c>
      <c r="I66" s="51">
        <f>Database!AE66</f>
        <v/>
      </c>
      <c r="J66" s="58">
        <f>IFERROR(BDP(TEXT(VALUE(Database!$A66),"0")&amp;" HK Equity","PE_RATIO"),"")</f>
        <v/>
      </c>
      <c r="K66" s="43">
        <f>IFERROR(BDP(TEXT(VALUE(Database!$A66),"0")&amp;" HK Equity","A/H_SHARE_CONVERSION"),"")</f>
        <v/>
      </c>
      <c r="L66" s="51">
        <f>IF(Database!BN66="","(none found)",Database!BN66)</f>
        <v/>
      </c>
      <c r="M66" s="53">
        <f>IFERROR(INDEX(BDH(TEXT(VALUE(Database!$A66),"0")&amp;" HK Equity","CUR_MKT_CAP",Database!$H66,Database!$H66),MATCH(Database!$H66,INDEX(BDH(TEXT(VALUE(Database!$A66),"0")&amp;" HK Equity","CUR_MKT_CAP",Database!$H66,Database!$H66),0,1),0),2),"run on terminal")</f>
        <v/>
      </c>
      <c r="N66" s="213">
        <f>Database!Q66</f>
        <v/>
      </c>
      <c r="O66" s="58">
        <f>IFERROR(INDEX(BDH(TEXT(VALUE(Database!$A66),"0")&amp;" HK Equity","PE_RATIO",Database!$H66,Database!$H66),MATCH(Database!$H66,INDEX(BDH(TEXT(VALUE(Database!$A66),"0")&amp;" HK Equity","PE_RATIO",Database!$H66,Database!$H66),0,1),0),2),"run on terminal")</f>
        <v/>
      </c>
      <c r="P66" s="251">
        <f>IF(Database!BH66="","(n/m or not derivable)",Database!BH66)</f>
        <v/>
      </c>
      <c r="Q66" s="58">
        <f>IF(Database!BN66="","",IFERROR(INDEX(BDH(LEFT(Database!BN66,FIND(".",Database!BN66)-1)&amp;" CH Equity","PE_RATIO",Database!$H66,Database!$H66),MATCH(Database!$H66,INDEX(BDH(LEFT(Database!BN66,FIND(".",Database!BN66)-1)&amp;" CH Equity","PE_RATIO",Database!$H66,Database!$H66),0,1),0),2),"run on terminal"))</f>
        <v/>
      </c>
      <c r="R66" s="58">
        <f>IF(Database!BN66="","",IFERROR(INDEX(BDH("HSAHP Index","PX_LAST",Database!$H66,Database!$H66),MATCH(Database!$H66,INDEX(BDH("HSAHP Index","PX_LAST",Database!$H66,Database!$H66),0,1),0),2),"run on terminal"))</f>
        <v/>
      </c>
      <c r="S66" s="58">
        <f>IFERROR(BDP(TEXT(VALUE(Database!$A66),"0")&amp;" HK Equity","PX_TO_SALES_RATIO"),"")</f>
        <v/>
      </c>
      <c r="T66" s="53">
        <f>IF(Database!BN66="","",IFERROR(BDP(LEFT(Database!BN66,FIND(".",Database!BN66)-1)&amp;" CH Equity","CUR_MKT_CAP")*BDP("CNYHKD Curncy","PX_LAST"),"run on terminal"))</f>
        <v/>
      </c>
    </row>
    <row r="67" ht="23" customHeight="1">
      <c r="A67" s="51">
        <f>Database!A67&amp;"  "&amp;Database!B67</f>
        <v/>
      </c>
      <c r="B67" s="43">
        <f>IFERROR(INDEX(BDS(TEXT(VALUE(Database!$A67),"0")&amp;" HK Equity","EQUITY_OFFERINGS","array=t","endcol=1"),MATCH("IPO",BDS(TEXT(VALUE(Database!$A67),"0")&amp;" HK Equity","EQUITY_OFFERINGS","array=t","startcol=2","endcol=2"),0)),"")</f>
        <v/>
      </c>
      <c r="C67" s="260">
        <f>IF($B67="","",IFERROR(BDP($B67&amp;" Action","CP036"),""))</f>
        <v/>
      </c>
      <c r="D67" s="261">
        <f>Database!S67</f>
        <v/>
      </c>
      <c r="E67" s="260">
        <f>IF($B67="","",IFERROR(BDP($B67&amp;" Action","CP037"),""))</f>
        <v/>
      </c>
      <c r="F67" s="261">
        <f>Database!T67</f>
        <v/>
      </c>
      <c r="G67" s="260">
        <f>IF($B67="","",IFERROR(BDP($B67&amp;" Action","GREENSHOE_FACILITY"),""))</f>
        <v/>
      </c>
      <c r="H67" s="260">
        <f>IF($B67="","",IFERROR(BDP($B67&amp;" Action","OFFERING_GREENSHOE_SHARES_EX"),""))</f>
        <v/>
      </c>
      <c r="I67" s="51">
        <f>Database!AE67</f>
        <v/>
      </c>
      <c r="J67" s="58">
        <f>IFERROR(BDP(TEXT(VALUE(Database!$A67),"0")&amp;" HK Equity","PE_RATIO"),"")</f>
        <v/>
      </c>
      <c r="K67" s="43">
        <f>IFERROR(BDP(TEXT(VALUE(Database!$A67),"0")&amp;" HK Equity","A/H_SHARE_CONVERSION"),"")</f>
        <v/>
      </c>
      <c r="L67" s="51">
        <f>IF(Database!BN67="","(none found)",Database!BN67)</f>
        <v/>
      </c>
      <c r="M67" s="53">
        <f>IFERROR(INDEX(BDH(TEXT(VALUE(Database!$A67),"0")&amp;" HK Equity","CUR_MKT_CAP",Database!$H67,Database!$H67),MATCH(Database!$H67,INDEX(BDH(TEXT(VALUE(Database!$A67),"0")&amp;" HK Equity","CUR_MKT_CAP",Database!$H67,Database!$H67),0,1),0),2),"run on terminal")</f>
        <v/>
      </c>
      <c r="N67" s="213">
        <f>Database!Q67</f>
        <v/>
      </c>
      <c r="O67" s="58">
        <f>IFERROR(INDEX(BDH(TEXT(VALUE(Database!$A67),"0")&amp;" HK Equity","PE_RATIO",Database!$H67,Database!$H67),MATCH(Database!$H67,INDEX(BDH(TEXT(VALUE(Database!$A67),"0")&amp;" HK Equity","PE_RATIO",Database!$H67,Database!$H67),0,1),0),2),"run on terminal")</f>
        <v/>
      </c>
      <c r="P67" s="251">
        <f>IF(Database!BH67="","(n/m or not derivable)",Database!BH67)</f>
        <v/>
      </c>
      <c r="Q67" s="58">
        <f>IF(Database!BN67="","",IFERROR(INDEX(BDH(LEFT(Database!BN67,FIND(".",Database!BN67)-1)&amp;" CH Equity","PE_RATIO",Database!$H67,Database!$H67),MATCH(Database!$H67,INDEX(BDH(LEFT(Database!BN67,FIND(".",Database!BN67)-1)&amp;" CH Equity","PE_RATIO",Database!$H67,Database!$H67),0,1),0),2),"run on terminal"))</f>
        <v/>
      </c>
      <c r="R67" s="58">
        <f>IF(Database!BN67="","",IFERROR(INDEX(BDH("HSAHP Index","PX_LAST",Database!$H67,Database!$H67),MATCH(Database!$H67,INDEX(BDH("HSAHP Index","PX_LAST",Database!$H67,Database!$H67),0,1),0),2),"run on terminal"))</f>
        <v/>
      </c>
      <c r="S67" s="58">
        <f>IFERROR(BDP(TEXT(VALUE(Database!$A67),"0")&amp;" HK Equity","PX_TO_SALES_RATIO"),"")</f>
        <v/>
      </c>
      <c r="T67" s="53">
        <f>IF(Database!BN67="","",IFERROR(BDP(LEFT(Database!BN67,FIND(".",Database!BN67)-1)&amp;" CH Equity","CUR_MKT_CAP")*BDP("CNYHKD Curncy","PX_LAST"),"run on terminal"))</f>
        <v/>
      </c>
    </row>
    <row r="68" ht="23" customHeight="1">
      <c r="A68" s="51">
        <f>Database!A68&amp;"  "&amp;Database!B68</f>
        <v/>
      </c>
      <c r="B68" s="43">
        <f>IFERROR(INDEX(BDS(TEXT(VALUE(Database!$A68),"0")&amp;" HK Equity","EQUITY_OFFERINGS","array=t","endcol=1"),MATCH("IPO",BDS(TEXT(VALUE(Database!$A68),"0")&amp;" HK Equity","EQUITY_OFFERINGS","array=t","startcol=2","endcol=2"),0)),"")</f>
        <v/>
      </c>
      <c r="C68" s="260">
        <f>IF($B68="","",IFERROR(BDP($B68&amp;" Action","CP036"),""))</f>
        <v/>
      </c>
      <c r="D68" s="261">
        <f>Database!S68</f>
        <v/>
      </c>
      <c r="E68" s="260">
        <f>IF($B68="","",IFERROR(BDP($B68&amp;" Action","CP037"),""))</f>
        <v/>
      </c>
      <c r="F68" s="261">
        <f>Database!T68</f>
        <v/>
      </c>
      <c r="G68" s="260">
        <f>IF($B68="","",IFERROR(BDP($B68&amp;" Action","GREENSHOE_FACILITY"),""))</f>
        <v/>
      </c>
      <c r="H68" s="260">
        <f>IF($B68="","",IFERROR(BDP($B68&amp;" Action","OFFERING_GREENSHOE_SHARES_EX"),""))</f>
        <v/>
      </c>
      <c r="I68" s="51">
        <f>Database!AE68</f>
        <v/>
      </c>
      <c r="J68" s="58">
        <f>IFERROR(BDP(TEXT(VALUE(Database!$A68),"0")&amp;" HK Equity","PE_RATIO"),"")</f>
        <v/>
      </c>
      <c r="K68" s="43">
        <f>IFERROR(BDP(TEXT(VALUE(Database!$A68),"0")&amp;" HK Equity","A/H_SHARE_CONVERSION"),"")</f>
        <v/>
      </c>
      <c r="L68" s="51">
        <f>IF(Database!BN68="","(none found)",Database!BN68)</f>
        <v/>
      </c>
      <c r="M68" s="53">
        <f>IFERROR(INDEX(BDH(TEXT(VALUE(Database!$A68),"0")&amp;" HK Equity","CUR_MKT_CAP",Database!$H68,Database!$H68),MATCH(Database!$H68,INDEX(BDH(TEXT(VALUE(Database!$A68),"0")&amp;" HK Equity","CUR_MKT_CAP",Database!$H68,Database!$H68),0,1),0),2),"run on terminal")</f>
        <v/>
      </c>
      <c r="N68" s="213">
        <f>Database!Q68</f>
        <v/>
      </c>
      <c r="O68" s="58">
        <f>IFERROR(INDEX(BDH(TEXT(VALUE(Database!$A68),"0")&amp;" HK Equity","PE_RATIO",Database!$H68,Database!$H68),MATCH(Database!$H68,INDEX(BDH(TEXT(VALUE(Database!$A68),"0")&amp;" HK Equity","PE_RATIO",Database!$H68,Database!$H68),0,1),0),2),"run on terminal")</f>
        <v/>
      </c>
      <c r="P68" s="251">
        <f>IF(Database!BH68="","(n/m or not derivable)",Database!BH68)</f>
        <v/>
      </c>
      <c r="Q68" s="58">
        <f>IF(Database!BN68="","",IFERROR(INDEX(BDH(LEFT(Database!BN68,FIND(".",Database!BN68)-1)&amp;" CH Equity","PE_RATIO",Database!$H68,Database!$H68),MATCH(Database!$H68,INDEX(BDH(LEFT(Database!BN68,FIND(".",Database!BN68)-1)&amp;" CH Equity","PE_RATIO",Database!$H68,Database!$H68),0,1),0),2),"run on terminal"))</f>
        <v/>
      </c>
      <c r="R68" s="58">
        <f>IF(Database!BN68="","",IFERROR(INDEX(BDH("HSAHP Index","PX_LAST",Database!$H68,Database!$H68),MATCH(Database!$H68,INDEX(BDH("HSAHP Index","PX_LAST",Database!$H68,Database!$H68),0,1),0),2),"run on terminal"))</f>
        <v/>
      </c>
      <c r="S68" s="58">
        <f>IFERROR(BDP(TEXT(VALUE(Database!$A68),"0")&amp;" HK Equity","PX_TO_SALES_RATIO"),"")</f>
        <v/>
      </c>
      <c r="T68" s="53">
        <f>IF(Database!BN68="","",IFERROR(BDP(LEFT(Database!BN68,FIND(".",Database!BN68)-1)&amp;" CH Equity","CUR_MKT_CAP")*BDP("CNYHKD Curncy","PX_LAST"),"run on terminal"))</f>
        <v/>
      </c>
    </row>
    <row r="69" ht="23" customHeight="1">
      <c r="A69" s="51">
        <f>Database!A69&amp;"  "&amp;Database!B69</f>
        <v/>
      </c>
      <c r="B69" s="43">
        <f>IFERROR(INDEX(BDS(TEXT(VALUE(Database!$A69),"0")&amp;" HK Equity","EQUITY_OFFERINGS","array=t","endcol=1"),MATCH("IPO",BDS(TEXT(VALUE(Database!$A69),"0")&amp;" HK Equity","EQUITY_OFFERINGS","array=t","startcol=2","endcol=2"),0)),"")</f>
        <v/>
      </c>
      <c r="C69" s="260">
        <f>IF($B69="","",IFERROR(BDP($B69&amp;" Action","CP036"),""))</f>
        <v/>
      </c>
      <c r="D69" s="261">
        <f>Database!S69</f>
        <v/>
      </c>
      <c r="E69" s="260">
        <f>IF($B69="","",IFERROR(BDP($B69&amp;" Action","CP037"),""))</f>
        <v/>
      </c>
      <c r="F69" s="261">
        <f>Database!T69</f>
        <v/>
      </c>
      <c r="G69" s="260">
        <f>IF($B69="","",IFERROR(BDP($B69&amp;" Action","GREENSHOE_FACILITY"),""))</f>
        <v/>
      </c>
      <c r="H69" s="260">
        <f>IF($B69="","",IFERROR(BDP($B69&amp;" Action","OFFERING_GREENSHOE_SHARES_EX"),""))</f>
        <v/>
      </c>
      <c r="I69" s="51">
        <f>Database!AE69</f>
        <v/>
      </c>
      <c r="J69" s="58">
        <f>IFERROR(BDP(TEXT(VALUE(Database!$A69),"0")&amp;" HK Equity","PE_RATIO"),"")</f>
        <v/>
      </c>
      <c r="K69" s="43">
        <f>IFERROR(BDP(TEXT(VALUE(Database!$A69),"0")&amp;" HK Equity","A/H_SHARE_CONVERSION"),"")</f>
        <v/>
      </c>
      <c r="L69" s="51">
        <f>IF(Database!BN69="","(none found)",Database!BN69)</f>
        <v/>
      </c>
      <c r="M69" s="53">
        <f>IFERROR(INDEX(BDH(TEXT(VALUE(Database!$A69),"0")&amp;" HK Equity","CUR_MKT_CAP",Database!$H69,Database!$H69),MATCH(Database!$H69,INDEX(BDH(TEXT(VALUE(Database!$A69),"0")&amp;" HK Equity","CUR_MKT_CAP",Database!$H69,Database!$H69),0,1),0),2),"run on terminal")</f>
        <v/>
      </c>
      <c r="N69" s="213">
        <f>Database!Q69</f>
        <v/>
      </c>
      <c r="O69" s="58">
        <f>IFERROR(INDEX(BDH(TEXT(VALUE(Database!$A69),"0")&amp;" HK Equity","PE_RATIO",Database!$H69,Database!$H69),MATCH(Database!$H69,INDEX(BDH(TEXT(VALUE(Database!$A69),"0")&amp;" HK Equity","PE_RATIO",Database!$H69,Database!$H69),0,1),0),2),"run on terminal")</f>
        <v/>
      </c>
      <c r="P69" s="251">
        <f>IF(Database!BH69="","(n/m or not derivable)",Database!BH69)</f>
        <v/>
      </c>
      <c r="Q69" s="58">
        <f>IF(Database!BN69="","",IFERROR(INDEX(BDH(LEFT(Database!BN69,FIND(".",Database!BN69)-1)&amp;" CH Equity","PE_RATIO",Database!$H69,Database!$H69),MATCH(Database!$H69,INDEX(BDH(LEFT(Database!BN69,FIND(".",Database!BN69)-1)&amp;" CH Equity","PE_RATIO",Database!$H69,Database!$H69),0,1),0),2),"run on terminal"))</f>
        <v/>
      </c>
      <c r="R69" s="58">
        <f>IF(Database!BN69="","",IFERROR(INDEX(BDH("HSAHP Index","PX_LAST",Database!$H69,Database!$H69),MATCH(Database!$H69,INDEX(BDH("HSAHP Index","PX_LAST",Database!$H69,Database!$H69),0,1),0),2),"run on terminal"))</f>
        <v/>
      </c>
      <c r="S69" s="58">
        <f>IFERROR(BDP(TEXT(VALUE(Database!$A69),"0")&amp;" HK Equity","PX_TO_SALES_RATIO"),"")</f>
        <v/>
      </c>
      <c r="T69" s="53">
        <f>IF(Database!BN69="","",IFERROR(BDP(LEFT(Database!BN69,FIND(".",Database!BN69)-1)&amp;" CH Equity","CUR_MKT_CAP")*BDP("CNYHKD Curncy","PX_LAST"),"run on terminal"))</f>
        <v/>
      </c>
    </row>
    <row r="70" ht="23" customHeight="1">
      <c r="A70" s="51">
        <f>Database!A70&amp;"  "&amp;Database!B70</f>
        <v/>
      </c>
      <c r="B70" s="43">
        <f>IFERROR(INDEX(BDS(TEXT(VALUE(Database!$A70),"0")&amp;" HK Equity","EQUITY_OFFERINGS","array=t","endcol=1"),MATCH("IPO",BDS(TEXT(VALUE(Database!$A70),"0")&amp;" HK Equity","EQUITY_OFFERINGS","array=t","startcol=2","endcol=2"),0)),"")</f>
        <v/>
      </c>
      <c r="C70" s="260">
        <f>IF($B70="","",IFERROR(BDP($B70&amp;" Action","CP036"),""))</f>
        <v/>
      </c>
      <c r="D70" s="261">
        <f>Database!S70</f>
        <v/>
      </c>
      <c r="E70" s="260">
        <f>IF($B70="","",IFERROR(BDP($B70&amp;" Action","CP037"),""))</f>
        <v/>
      </c>
      <c r="F70" s="261">
        <f>Database!T70</f>
        <v/>
      </c>
      <c r="G70" s="260">
        <f>IF($B70="","",IFERROR(BDP($B70&amp;" Action","GREENSHOE_FACILITY"),""))</f>
        <v/>
      </c>
      <c r="H70" s="260">
        <f>IF($B70="","",IFERROR(BDP($B70&amp;" Action","OFFERING_GREENSHOE_SHARES_EX"),""))</f>
        <v/>
      </c>
      <c r="I70" s="51">
        <f>Database!AE70</f>
        <v/>
      </c>
      <c r="J70" s="58">
        <f>IFERROR(BDP(TEXT(VALUE(Database!$A70),"0")&amp;" HK Equity","PE_RATIO"),"")</f>
        <v/>
      </c>
      <c r="K70" s="43">
        <f>IFERROR(BDP(TEXT(VALUE(Database!$A70),"0")&amp;" HK Equity","A/H_SHARE_CONVERSION"),"")</f>
        <v/>
      </c>
      <c r="L70" s="51">
        <f>IF(Database!BN70="","(none found)",Database!BN70)</f>
        <v/>
      </c>
      <c r="M70" s="53">
        <f>IFERROR(INDEX(BDH(TEXT(VALUE(Database!$A70),"0")&amp;" HK Equity","CUR_MKT_CAP",Database!$H70,Database!$H70),MATCH(Database!$H70,INDEX(BDH(TEXT(VALUE(Database!$A70),"0")&amp;" HK Equity","CUR_MKT_CAP",Database!$H70,Database!$H70),0,1),0),2),"run on terminal")</f>
        <v/>
      </c>
      <c r="N70" s="213">
        <f>Database!Q70</f>
        <v/>
      </c>
      <c r="O70" s="58">
        <f>IFERROR(INDEX(BDH(TEXT(VALUE(Database!$A70),"0")&amp;" HK Equity","PE_RATIO",Database!$H70,Database!$H70),MATCH(Database!$H70,INDEX(BDH(TEXT(VALUE(Database!$A70),"0")&amp;" HK Equity","PE_RATIO",Database!$H70,Database!$H70),0,1),0),2),"run on terminal")</f>
        <v/>
      </c>
      <c r="P70" s="251">
        <f>IF(Database!BH70="","(n/m or not derivable)",Database!BH70)</f>
        <v/>
      </c>
      <c r="Q70" s="58">
        <f>IF(Database!BN70="","",IFERROR(INDEX(BDH(LEFT(Database!BN70,FIND(".",Database!BN70)-1)&amp;" CH Equity","PE_RATIO",Database!$H70,Database!$H70),MATCH(Database!$H70,INDEX(BDH(LEFT(Database!BN70,FIND(".",Database!BN70)-1)&amp;" CH Equity","PE_RATIO",Database!$H70,Database!$H70),0,1),0),2),"run on terminal"))</f>
        <v/>
      </c>
      <c r="R70" s="58">
        <f>IF(Database!BN70="","",IFERROR(INDEX(BDH("HSAHP Index","PX_LAST",Database!$H70,Database!$H70),MATCH(Database!$H70,INDEX(BDH("HSAHP Index","PX_LAST",Database!$H70,Database!$H70),0,1),0),2),"run on terminal"))</f>
        <v/>
      </c>
      <c r="S70" s="58">
        <f>IFERROR(BDP(TEXT(VALUE(Database!$A70),"0")&amp;" HK Equity","PX_TO_SALES_RATIO"),"")</f>
        <v/>
      </c>
      <c r="T70" s="53">
        <f>IF(Database!BN70="","",IFERROR(BDP(LEFT(Database!BN70,FIND(".",Database!BN70)-1)&amp;" CH Equity","CUR_MKT_CAP")*BDP("CNYHKD Curncy","PX_LAST"),"run on terminal"))</f>
        <v/>
      </c>
    </row>
    <row r="71" ht="23" customHeight="1">
      <c r="A71" s="51">
        <f>Database!A71&amp;"  "&amp;Database!B71</f>
        <v/>
      </c>
      <c r="B71" s="43">
        <f>IFERROR(INDEX(BDS(TEXT(VALUE(Database!$A71),"0")&amp;" HK Equity","EQUITY_OFFERINGS","array=t","endcol=1"),MATCH("IPO",BDS(TEXT(VALUE(Database!$A71),"0")&amp;" HK Equity","EQUITY_OFFERINGS","array=t","startcol=2","endcol=2"),0)),"")</f>
        <v/>
      </c>
      <c r="C71" s="260">
        <f>IF($B71="","",IFERROR(BDP($B71&amp;" Action","CP036"),""))</f>
        <v/>
      </c>
      <c r="D71" s="261">
        <f>Database!S71</f>
        <v/>
      </c>
      <c r="E71" s="260">
        <f>IF($B71="","",IFERROR(BDP($B71&amp;" Action","CP037"),""))</f>
        <v/>
      </c>
      <c r="F71" s="261">
        <f>Database!T71</f>
        <v/>
      </c>
      <c r="G71" s="260">
        <f>IF($B71="","",IFERROR(BDP($B71&amp;" Action","GREENSHOE_FACILITY"),""))</f>
        <v/>
      </c>
      <c r="H71" s="260">
        <f>IF($B71="","",IFERROR(BDP($B71&amp;" Action","OFFERING_GREENSHOE_SHARES_EX"),""))</f>
        <v/>
      </c>
      <c r="I71" s="51">
        <f>Database!AE71</f>
        <v/>
      </c>
      <c r="J71" s="58">
        <f>IFERROR(BDP(TEXT(VALUE(Database!$A71),"0")&amp;" HK Equity","PE_RATIO"),"")</f>
        <v/>
      </c>
      <c r="K71" s="43">
        <f>IFERROR(BDP(TEXT(VALUE(Database!$A71),"0")&amp;" HK Equity","A/H_SHARE_CONVERSION"),"")</f>
        <v/>
      </c>
      <c r="L71" s="51">
        <f>IF(Database!BN71="","(none found)",Database!BN71)</f>
        <v/>
      </c>
      <c r="M71" s="53">
        <f>IFERROR(INDEX(BDH(TEXT(VALUE(Database!$A71),"0")&amp;" HK Equity","CUR_MKT_CAP",Database!$H71,Database!$H71),MATCH(Database!$H71,INDEX(BDH(TEXT(VALUE(Database!$A71),"0")&amp;" HK Equity","CUR_MKT_CAP",Database!$H71,Database!$H71),0,1),0),2),"run on terminal")</f>
        <v/>
      </c>
      <c r="N71" s="213">
        <f>Database!Q71</f>
        <v/>
      </c>
      <c r="O71" s="58">
        <f>IFERROR(INDEX(BDH(TEXT(VALUE(Database!$A71),"0")&amp;" HK Equity","PE_RATIO",Database!$H71,Database!$H71),MATCH(Database!$H71,INDEX(BDH(TEXT(VALUE(Database!$A71),"0")&amp;" HK Equity","PE_RATIO",Database!$H71,Database!$H71),0,1),0),2),"run on terminal")</f>
        <v/>
      </c>
      <c r="P71" s="251">
        <f>IF(Database!BH71="","(n/m or not derivable)",Database!BH71)</f>
        <v/>
      </c>
      <c r="Q71" s="58">
        <f>IF(Database!BN71="","",IFERROR(INDEX(BDH(LEFT(Database!BN71,FIND(".",Database!BN71)-1)&amp;" CH Equity","PE_RATIO",Database!$H71,Database!$H71),MATCH(Database!$H71,INDEX(BDH(LEFT(Database!BN71,FIND(".",Database!BN71)-1)&amp;" CH Equity","PE_RATIO",Database!$H71,Database!$H71),0,1),0),2),"run on terminal"))</f>
        <v/>
      </c>
      <c r="R71" s="58">
        <f>IF(Database!BN71="","",IFERROR(INDEX(BDH("HSAHP Index","PX_LAST",Database!$H71,Database!$H71),MATCH(Database!$H71,INDEX(BDH("HSAHP Index","PX_LAST",Database!$H71,Database!$H71),0,1),0),2),"run on terminal"))</f>
        <v/>
      </c>
      <c r="S71" s="58">
        <f>IFERROR(BDP(TEXT(VALUE(Database!$A71),"0")&amp;" HK Equity","PX_TO_SALES_RATIO"),"")</f>
        <v/>
      </c>
      <c r="T71" s="53">
        <f>IF(Database!BN71="","",IFERROR(BDP(LEFT(Database!BN71,FIND(".",Database!BN71)-1)&amp;" CH Equity","CUR_MKT_CAP")*BDP("CNYHKD Curncy","PX_LAST"),"run on terminal"))</f>
        <v/>
      </c>
    </row>
    <row r="72" ht="23" customHeight="1">
      <c r="A72" s="51">
        <f>Database!A72&amp;"  "&amp;Database!B72</f>
        <v/>
      </c>
      <c r="B72" s="43">
        <f>IFERROR(INDEX(BDS(TEXT(VALUE(Database!$A72),"0")&amp;" HK Equity","EQUITY_OFFERINGS","array=t","endcol=1"),MATCH("IPO",BDS(TEXT(VALUE(Database!$A72),"0")&amp;" HK Equity","EQUITY_OFFERINGS","array=t","startcol=2","endcol=2"),0)),"")</f>
        <v/>
      </c>
      <c r="C72" s="260">
        <f>IF($B72="","",IFERROR(BDP($B72&amp;" Action","CP036"),""))</f>
        <v/>
      </c>
      <c r="D72" s="261">
        <f>Database!S72</f>
        <v/>
      </c>
      <c r="E72" s="260">
        <f>IF($B72="","",IFERROR(BDP($B72&amp;" Action","CP037"),""))</f>
        <v/>
      </c>
      <c r="F72" s="261">
        <f>Database!T72</f>
        <v/>
      </c>
      <c r="G72" s="260">
        <f>IF($B72="","",IFERROR(BDP($B72&amp;" Action","GREENSHOE_FACILITY"),""))</f>
        <v/>
      </c>
      <c r="H72" s="260">
        <f>IF($B72="","",IFERROR(BDP($B72&amp;" Action","OFFERING_GREENSHOE_SHARES_EX"),""))</f>
        <v/>
      </c>
      <c r="I72" s="51">
        <f>Database!AE72</f>
        <v/>
      </c>
      <c r="J72" s="58">
        <f>IFERROR(BDP(TEXT(VALUE(Database!$A72),"0")&amp;" HK Equity","PE_RATIO"),"")</f>
        <v/>
      </c>
      <c r="K72" s="43">
        <f>IFERROR(BDP(TEXT(VALUE(Database!$A72),"0")&amp;" HK Equity","A/H_SHARE_CONVERSION"),"")</f>
        <v/>
      </c>
      <c r="L72" s="51">
        <f>IF(Database!BN72="","(none found)",Database!BN72)</f>
        <v/>
      </c>
      <c r="M72" s="53">
        <f>IFERROR(INDEX(BDH(TEXT(VALUE(Database!$A72),"0")&amp;" HK Equity","CUR_MKT_CAP",Database!$H72,Database!$H72),MATCH(Database!$H72,INDEX(BDH(TEXT(VALUE(Database!$A72),"0")&amp;" HK Equity","CUR_MKT_CAP",Database!$H72,Database!$H72),0,1),0),2),"run on terminal")</f>
        <v/>
      </c>
      <c r="N72" s="213">
        <f>Database!Q72</f>
        <v/>
      </c>
      <c r="O72" s="58">
        <f>IFERROR(INDEX(BDH(TEXT(VALUE(Database!$A72),"0")&amp;" HK Equity","PE_RATIO",Database!$H72,Database!$H72),MATCH(Database!$H72,INDEX(BDH(TEXT(VALUE(Database!$A72),"0")&amp;" HK Equity","PE_RATIO",Database!$H72,Database!$H72),0,1),0),2),"run on terminal")</f>
        <v/>
      </c>
      <c r="P72" s="251">
        <f>IF(Database!BH72="","(n/m or not derivable)",Database!BH72)</f>
        <v/>
      </c>
      <c r="Q72" s="58">
        <f>IF(Database!BN72="","",IFERROR(INDEX(BDH(LEFT(Database!BN72,FIND(".",Database!BN72)-1)&amp;" CH Equity","PE_RATIO",Database!$H72,Database!$H72),MATCH(Database!$H72,INDEX(BDH(LEFT(Database!BN72,FIND(".",Database!BN72)-1)&amp;" CH Equity","PE_RATIO",Database!$H72,Database!$H72),0,1),0),2),"run on terminal"))</f>
        <v/>
      </c>
      <c r="R72" s="58">
        <f>IF(Database!BN72="","",IFERROR(INDEX(BDH("HSAHP Index","PX_LAST",Database!$H72,Database!$H72),MATCH(Database!$H72,INDEX(BDH("HSAHP Index","PX_LAST",Database!$H72,Database!$H72),0,1),0),2),"run on terminal"))</f>
        <v/>
      </c>
      <c r="S72" s="58">
        <f>IFERROR(BDP(TEXT(VALUE(Database!$A72),"0")&amp;" HK Equity","PX_TO_SALES_RATIO"),"")</f>
        <v/>
      </c>
      <c r="T72" s="53">
        <f>IF(Database!BN72="","",IFERROR(BDP(LEFT(Database!BN72,FIND(".",Database!BN72)-1)&amp;" CH Equity","CUR_MKT_CAP")*BDP("CNYHKD Curncy","PX_LAST"),"run on terminal"))</f>
        <v/>
      </c>
    </row>
    <row r="73" ht="23" customHeight="1">
      <c r="A73" s="51">
        <f>Database!A73&amp;"  "&amp;Database!B73</f>
        <v/>
      </c>
      <c r="B73" s="43">
        <f>IFERROR(INDEX(BDS(TEXT(VALUE(Database!$A73),"0")&amp;" HK Equity","EQUITY_OFFERINGS","array=t","endcol=1"),MATCH("IPO",BDS(TEXT(VALUE(Database!$A73),"0")&amp;" HK Equity","EQUITY_OFFERINGS","array=t","startcol=2","endcol=2"),0)),"")</f>
        <v/>
      </c>
      <c r="C73" s="260">
        <f>IF($B73="","",IFERROR(BDP($B73&amp;" Action","CP036"),""))</f>
        <v/>
      </c>
      <c r="D73" s="261">
        <f>Database!S73</f>
        <v/>
      </c>
      <c r="E73" s="260">
        <f>IF($B73="","",IFERROR(BDP($B73&amp;" Action","CP037"),""))</f>
        <v/>
      </c>
      <c r="F73" s="261">
        <f>Database!T73</f>
        <v/>
      </c>
      <c r="G73" s="260">
        <f>IF($B73="","",IFERROR(BDP($B73&amp;" Action","GREENSHOE_FACILITY"),""))</f>
        <v/>
      </c>
      <c r="H73" s="260">
        <f>IF($B73="","",IFERROR(BDP($B73&amp;" Action","OFFERING_GREENSHOE_SHARES_EX"),""))</f>
        <v/>
      </c>
      <c r="I73" s="51">
        <f>Database!AE73</f>
        <v/>
      </c>
      <c r="J73" s="58">
        <f>IFERROR(BDP(TEXT(VALUE(Database!$A73),"0")&amp;" HK Equity","PE_RATIO"),"")</f>
        <v/>
      </c>
      <c r="K73" s="43">
        <f>IFERROR(BDP(TEXT(VALUE(Database!$A73),"0")&amp;" HK Equity","A/H_SHARE_CONVERSION"),"")</f>
        <v/>
      </c>
      <c r="L73" s="51">
        <f>IF(Database!BN73="","(none found)",Database!BN73)</f>
        <v/>
      </c>
      <c r="M73" s="53">
        <f>IFERROR(INDEX(BDH(TEXT(VALUE(Database!$A73),"0")&amp;" HK Equity","CUR_MKT_CAP",Database!$H73,Database!$H73),MATCH(Database!$H73,INDEX(BDH(TEXT(VALUE(Database!$A73),"0")&amp;" HK Equity","CUR_MKT_CAP",Database!$H73,Database!$H73),0,1),0),2),"run on terminal")</f>
        <v/>
      </c>
      <c r="N73" s="213">
        <f>Database!Q73</f>
        <v/>
      </c>
      <c r="O73" s="58">
        <f>IFERROR(INDEX(BDH(TEXT(VALUE(Database!$A73),"0")&amp;" HK Equity","PE_RATIO",Database!$H73,Database!$H73),MATCH(Database!$H73,INDEX(BDH(TEXT(VALUE(Database!$A73),"0")&amp;" HK Equity","PE_RATIO",Database!$H73,Database!$H73),0,1),0),2),"run on terminal")</f>
        <v/>
      </c>
      <c r="P73" s="251">
        <f>IF(Database!BH73="","(n/m or not derivable)",Database!BH73)</f>
        <v/>
      </c>
      <c r="Q73" s="58">
        <f>IF(Database!BN73="","",IFERROR(INDEX(BDH(LEFT(Database!BN73,FIND(".",Database!BN73)-1)&amp;" CH Equity","PE_RATIO",Database!$H73,Database!$H73),MATCH(Database!$H73,INDEX(BDH(LEFT(Database!BN73,FIND(".",Database!BN73)-1)&amp;" CH Equity","PE_RATIO",Database!$H73,Database!$H73),0,1),0),2),"run on terminal"))</f>
        <v/>
      </c>
      <c r="R73" s="58">
        <f>IF(Database!BN73="","",IFERROR(INDEX(BDH("HSAHP Index","PX_LAST",Database!$H73,Database!$H73),MATCH(Database!$H73,INDEX(BDH("HSAHP Index","PX_LAST",Database!$H73,Database!$H73),0,1),0),2),"run on terminal"))</f>
        <v/>
      </c>
      <c r="S73" s="58">
        <f>IFERROR(BDP(TEXT(VALUE(Database!$A73),"0")&amp;" HK Equity","PX_TO_SALES_RATIO"),"")</f>
        <v/>
      </c>
      <c r="T73" s="53">
        <f>IF(Database!BN73="","",IFERROR(BDP(LEFT(Database!BN73,FIND(".",Database!BN73)-1)&amp;" CH Equity","CUR_MKT_CAP")*BDP("CNYHKD Curncy","PX_LAST"),"run on terminal"))</f>
        <v/>
      </c>
    </row>
    <row r="74" ht="23" customHeight="1">
      <c r="A74" s="51">
        <f>Database!A74&amp;"  "&amp;Database!B74</f>
        <v/>
      </c>
      <c r="B74" s="43">
        <f>IFERROR(INDEX(BDS(TEXT(VALUE(Database!$A74),"0")&amp;" HK Equity","EQUITY_OFFERINGS","array=t","endcol=1"),MATCH("IPO",BDS(TEXT(VALUE(Database!$A74),"0")&amp;" HK Equity","EQUITY_OFFERINGS","array=t","startcol=2","endcol=2"),0)),"")</f>
        <v/>
      </c>
      <c r="C74" s="260">
        <f>IF($B74="","",IFERROR(BDP($B74&amp;" Action","CP036"),""))</f>
        <v/>
      </c>
      <c r="D74" s="261">
        <f>Database!S74</f>
        <v/>
      </c>
      <c r="E74" s="260">
        <f>IF($B74="","",IFERROR(BDP($B74&amp;" Action","CP037"),""))</f>
        <v/>
      </c>
      <c r="F74" s="261">
        <f>Database!T74</f>
        <v/>
      </c>
      <c r="G74" s="260">
        <f>IF($B74="","",IFERROR(BDP($B74&amp;" Action","GREENSHOE_FACILITY"),""))</f>
        <v/>
      </c>
      <c r="H74" s="260">
        <f>IF($B74="","",IFERROR(BDP($B74&amp;" Action","OFFERING_GREENSHOE_SHARES_EX"),""))</f>
        <v/>
      </c>
      <c r="I74" s="51">
        <f>Database!AE74</f>
        <v/>
      </c>
      <c r="J74" s="58">
        <f>IFERROR(BDP(TEXT(VALUE(Database!$A74),"0")&amp;" HK Equity","PE_RATIO"),"")</f>
        <v/>
      </c>
      <c r="K74" s="43">
        <f>IFERROR(BDP(TEXT(VALUE(Database!$A74),"0")&amp;" HK Equity","A/H_SHARE_CONVERSION"),"")</f>
        <v/>
      </c>
      <c r="L74" s="51">
        <f>IF(Database!BN74="","(none found)",Database!BN74)</f>
        <v/>
      </c>
      <c r="M74" s="53">
        <f>IFERROR(INDEX(BDH(TEXT(VALUE(Database!$A74),"0")&amp;" HK Equity","CUR_MKT_CAP",Database!$H74,Database!$H74),MATCH(Database!$H74,INDEX(BDH(TEXT(VALUE(Database!$A74),"0")&amp;" HK Equity","CUR_MKT_CAP",Database!$H74,Database!$H74),0,1),0),2),"run on terminal")</f>
        <v/>
      </c>
      <c r="N74" s="213">
        <f>Database!Q74</f>
        <v/>
      </c>
      <c r="O74" s="58">
        <f>IFERROR(INDEX(BDH(TEXT(VALUE(Database!$A74),"0")&amp;" HK Equity","PE_RATIO",Database!$H74,Database!$H74),MATCH(Database!$H74,INDEX(BDH(TEXT(VALUE(Database!$A74),"0")&amp;" HK Equity","PE_RATIO",Database!$H74,Database!$H74),0,1),0),2),"run on terminal")</f>
        <v/>
      </c>
      <c r="P74" s="251">
        <f>IF(Database!BH74="","(n/m or not derivable)",Database!BH74)</f>
        <v/>
      </c>
      <c r="Q74" s="58">
        <f>IF(Database!BN74="","",IFERROR(INDEX(BDH(LEFT(Database!BN74,FIND(".",Database!BN74)-1)&amp;" CH Equity","PE_RATIO",Database!$H74,Database!$H74),MATCH(Database!$H74,INDEX(BDH(LEFT(Database!BN74,FIND(".",Database!BN74)-1)&amp;" CH Equity","PE_RATIO",Database!$H74,Database!$H74),0,1),0),2),"run on terminal"))</f>
        <v/>
      </c>
      <c r="R74" s="58">
        <f>IF(Database!BN74="","",IFERROR(INDEX(BDH("HSAHP Index","PX_LAST",Database!$H74,Database!$H74),MATCH(Database!$H74,INDEX(BDH("HSAHP Index","PX_LAST",Database!$H74,Database!$H74),0,1),0),2),"run on terminal"))</f>
        <v/>
      </c>
      <c r="S74" s="58">
        <f>IFERROR(BDP(TEXT(VALUE(Database!$A74),"0")&amp;" HK Equity","PX_TO_SALES_RATIO"),"")</f>
        <v/>
      </c>
      <c r="T74" s="53">
        <f>IF(Database!BN74="","",IFERROR(BDP(LEFT(Database!BN74,FIND(".",Database!BN74)-1)&amp;" CH Equity","CUR_MKT_CAP")*BDP("CNYHKD Curncy","PX_LAST"),"run on terminal"))</f>
        <v/>
      </c>
    </row>
    <row r="75" ht="23" customHeight="1">
      <c r="A75" s="51">
        <f>Database!A75&amp;"  "&amp;Database!B75</f>
        <v/>
      </c>
      <c r="B75" s="43">
        <f>IFERROR(INDEX(BDS(TEXT(VALUE(Database!$A75),"0")&amp;" HK Equity","EQUITY_OFFERINGS","array=t","endcol=1"),MATCH("IPO",BDS(TEXT(VALUE(Database!$A75),"0")&amp;" HK Equity","EQUITY_OFFERINGS","array=t","startcol=2","endcol=2"),0)),"")</f>
        <v/>
      </c>
      <c r="C75" s="260">
        <f>IF($B75="","",IFERROR(BDP($B75&amp;" Action","CP036"),""))</f>
        <v/>
      </c>
      <c r="D75" s="261">
        <f>Database!S75</f>
        <v/>
      </c>
      <c r="E75" s="260">
        <f>IF($B75="","",IFERROR(BDP($B75&amp;" Action","CP037"),""))</f>
        <v/>
      </c>
      <c r="F75" s="261">
        <f>Database!T75</f>
        <v/>
      </c>
      <c r="G75" s="260">
        <f>IF($B75="","",IFERROR(BDP($B75&amp;" Action","GREENSHOE_FACILITY"),""))</f>
        <v/>
      </c>
      <c r="H75" s="260">
        <f>IF($B75="","",IFERROR(BDP($B75&amp;" Action","OFFERING_GREENSHOE_SHARES_EX"),""))</f>
        <v/>
      </c>
      <c r="I75" s="51">
        <f>Database!AE75</f>
        <v/>
      </c>
      <c r="J75" s="58">
        <f>IFERROR(BDP(TEXT(VALUE(Database!$A75),"0")&amp;" HK Equity","PE_RATIO"),"")</f>
        <v/>
      </c>
      <c r="K75" s="43">
        <f>IFERROR(BDP(TEXT(VALUE(Database!$A75),"0")&amp;" HK Equity","A/H_SHARE_CONVERSION"),"")</f>
        <v/>
      </c>
      <c r="L75" s="51">
        <f>IF(Database!BN75="","(none found)",Database!BN75)</f>
        <v/>
      </c>
      <c r="M75" s="53">
        <f>IFERROR(INDEX(BDH(TEXT(VALUE(Database!$A75),"0")&amp;" HK Equity","CUR_MKT_CAP",Database!$H75,Database!$H75),MATCH(Database!$H75,INDEX(BDH(TEXT(VALUE(Database!$A75),"0")&amp;" HK Equity","CUR_MKT_CAP",Database!$H75,Database!$H75),0,1),0),2),"run on terminal")</f>
        <v/>
      </c>
      <c r="N75" s="213">
        <f>Database!Q75</f>
        <v/>
      </c>
      <c r="O75" s="58">
        <f>IFERROR(INDEX(BDH(TEXT(VALUE(Database!$A75),"0")&amp;" HK Equity","PE_RATIO",Database!$H75,Database!$H75),MATCH(Database!$H75,INDEX(BDH(TEXT(VALUE(Database!$A75),"0")&amp;" HK Equity","PE_RATIO",Database!$H75,Database!$H75),0,1),0),2),"run on terminal")</f>
        <v/>
      </c>
      <c r="P75" s="251">
        <f>IF(Database!BH75="","(n/m or not derivable)",Database!BH75)</f>
        <v/>
      </c>
      <c r="Q75" s="58">
        <f>IF(Database!BN75="","",IFERROR(INDEX(BDH(LEFT(Database!BN75,FIND(".",Database!BN75)-1)&amp;" CH Equity","PE_RATIO",Database!$H75,Database!$H75),MATCH(Database!$H75,INDEX(BDH(LEFT(Database!BN75,FIND(".",Database!BN75)-1)&amp;" CH Equity","PE_RATIO",Database!$H75,Database!$H75),0,1),0),2),"run on terminal"))</f>
        <v/>
      </c>
      <c r="R75" s="58">
        <f>IF(Database!BN75="","",IFERROR(INDEX(BDH("HSAHP Index","PX_LAST",Database!$H75,Database!$H75),MATCH(Database!$H75,INDEX(BDH("HSAHP Index","PX_LAST",Database!$H75,Database!$H75),0,1),0),2),"run on terminal"))</f>
        <v/>
      </c>
      <c r="S75" s="58">
        <f>IFERROR(BDP(TEXT(VALUE(Database!$A75),"0")&amp;" HK Equity","PX_TO_SALES_RATIO"),"")</f>
        <v/>
      </c>
      <c r="T75" s="53">
        <f>IF(Database!BN75="","",IFERROR(BDP(LEFT(Database!BN75,FIND(".",Database!BN75)-1)&amp;" CH Equity","CUR_MKT_CAP")*BDP("CNYHKD Curncy","PX_LAST"),"run on terminal"))</f>
        <v/>
      </c>
    </row>
    <row r="76" ht="23" customHeight="1">
      <c r="A76" s="51">
        <f>Database!A76&amp;"  "&amp;Database!B76</f>
        <v/>
      </c>
      <c r="B76" s="43">
        <f>IFERROR(INDEX(BDS(TEXT(VALUE(Database!$A76),"0")&amp;" HK Equity","EQUITY_OFFERINGS","array=t","endcol=1"),MATCH("IPO",BDS(TEXT(VALUE(Database!$A76),"0")&amp;" HK Equity","EQUITY_OFFERINGS","array=t","startcol=2","endcol=2"),0)),"")</f>
        <v/>
      </c>
      <c r="C76" s="260">
        <f>IF($B76="","",IFERROR(BDP($B76&amp;" Action","CP036"),""))</f>
        <v/>
      </c>
      <c r="D76" s="261">
        <f>Database!S76</f>
        <v/>
      </c>
      <c r="E76" s="260">
        <f>IF($B76="","",IFERROR(BDP($B76&amp;" Action","CP037"),""))</f>
        <v/>
      </c>
      <c r="F76" s="261">
        <f>Database!T76</f>
        <v/>
      </c>
      <c r="G76" s="260">
        <f>IF($B76="","",IFERROR(BDP($B76&amp;" Action","GREENSHOE_FACILITY"),""))</f>
        <v/>
      </c>
      <c r="H76" s="260">
        <f>IF($B76="","",IFERROR(BDP($B76&amp;" Action","OFFERING_GREENSHOE_SHARES_EX"),""))</f>
        <v/>
      </c>
      <c r="I76" s="51">
        <f>Database!AE76</f>
        <v/>
      </c>
      <c r="J76" s="58">
        <f>IFERROR(BDP(TEXT(VALUE(Database!$A76),"0")&amp;" HK Equity","PE_RATIO"),"")</f>
        <v/>
      </c>
      <c r="K76" s="43">
        <f>IFERROR(BDP(TEXT(VALUE(Database!$A76),"0")&amp;" HK Equity","A/H_SHARE_CONVERSION"),"")</f>
        <v/>
      </c>
      <c r="L76" s="51">
        <f>IF(Database!BN76="","(none found)",Database!BN76)</f>
        <v/>
      </c>
      <c r="M76" s="53">
        <f>IFERROR(INDEX(BDH(TEXT(VALUE(Database!$A76),"0")&amp;" HK Equity","CUR_MKT_CAP",Database!$H76,Database!$H76),MATCH(Database!$H76,INDEX(BDH(TEXT(VALUE(Database!$A76),"0")&amp;" HK Equity","CUR_MKT_CAP",Database!$H76,Database!$H76),0,1),0),2),"run on terminal")</f>
        <v/>
      </c>
      <c r="N76" s="213">
        <f>Database!Q76</f>
        <v/>
      </c>
      <c r="O76" s="58">
        <f>IFERROR(INDEX(BDH(TEXT(VALUE(Database!$A76),"0")&amp;" HK Equity","PE_RATIO",Database!$H76,Database!$H76),MATCH(Database!$H76,INDEX(BDH(TEXT(VALUE(Database!$A76),"0")&amp;" HK Equity","PE_RATIO",Database!$H76,Database!$H76),0,1),0),2),"run on terminal")</f>
        <v/>
      </c>
      <c r="P76" s="251">
        <f>IF(Database!BH76="","(n/m or not derivable)",Database!BH76)</f>
        <v/>
      </c>
      <c r="Q76" s="58">
        <f>IF(Database!BN76="","",IFERROR(INDEX(BDH(LEFT(Database!BN76,FIND(".",Database!BN76)-1)&amp;" CH Equity","PE_RATIO",Database!$H76,Database!$H76),MATCH(Database!$H76,INDEX(BDH(LEFT(Database!BN76,FIND(".",Database!BN76)-1)&amp;" CH Equity","PE_RATIO",Database!$H76,Database!$H76),0,1),0),2),"run on terminal"))</f>
        <v/>
      </c>
      <c r="R76" s="58">
        <f>IF(Database!BN76="","",IFERROR(INDEX(BDH("HSAHP Index","PX_LAST",Database!$H76,Database!$H76),MATCH(Database!$H76,INDEX(BDH("HSAHP Index","PX_LAST",Database!$H76,Database!$H76),0,1),0),2),"run on terminal"))</f>
        <v/>
      </c>
      <c r="S76" s="58">
        <f>IFERROR(BDP(TEXT(VALUE(Database!$A76),"0")&amp;" HK Equity","PX_TO_SALES_RATIO"),"")</f>
        <v/>
      </c>
      <c r="T76" s="53">
        <f>IF(Database!BN76="","",IFERROR(BDP(LEFT(Database!BN76,FIND(".",Database!BN76)-1)&amp;" CH Equity","CUR_MKT_CAP")*BDP("CNYHKD Curncy","PX_LAST"),"run on terminal"))</f>
        <v/>
      </c>
    </row>
    <row r="77" ht="23" customHeight="1">
      <c r="A77" s="51">
        <f>Database!A77&amp;"  "&amp;Database!B77</f>
        <v/>
      </c>
      <c r="B77" s="43">
        <f>IFERROR(INDEX(BDS(TEXT(VALUE(Database!$A77),"0")&amp;" HK Equity","EQUITY_OFFERINGS","array=t","endcol=1"),MATCH("IPO",BDS(TEXT(VALUE(Database!$A77),"0")&amp;" HK Equity","EQUITY_OFFERINGS","array=t","startcol=2","endcol=2"),0)),"")</f>
        <v/>
      </c>
      <c r="C77" s="260">
        <f>IF($B77="","",IFERROR(BDP($B77&amp;" Action","CP036"),""))</f>
        <v/>
      </c>
      <c r="D77" s="261">
        <f>Database!S77</f>
        <v/>
      </c>
      <c r="E77" s="260">
        <f>IF($B77="","",IFERROR(BDP($B77&amp;" Action","CP037"),""))</f>
        <v/>
      </c>
      <c r="F77" s="261">
        <f>Database!T77</f>
        <v/>
      </c>
      <c r="G77" s="260">
        <f>IF($B77="","",IFERROR(BDP($B77&amp;" Action","GREENSHOE_FACILITY"),""))</f>
        <v/>
      </c>
      <c r="H77" s="260">
        <f>IF($B77="","",IFERROR(BDP($B77&amp;" Action","OFFERING_GREENSHOE_SHARES_EX"),""))</f>
        <v/>
      </c>
      <c r="I77" s="51">
        <f>Database!AE77</f>
        <v/>
      </c>
      <c r="J77" s="58">
        <f>IFERROR(BDP(TEXT(VALUE(Database!$A77),"0")&amp;" HK Equity","PE_RATIO"),"")</f>
        <v/>
      </c>
      <c r="K77" s="43">
        <f>IFERROR(BDP(TEXT(VALUE(Database!$A77),"0")&amp;" HK Equity","A/H_SHARE_CONVERSION"),"")</f>
        <v/>
      </c>
      <c r="L77" s="51">
        <f>IF(Database!BN77="","(none found)",Database!BN77)</f>
        <v/>
      </c>
      <c r="M77" s="53">
        <f>IFERROR(INDEX(BDH(TEXT(VALUE(Database!$A77),"0")&amp;" HK Equity","CUR_MKT_CAP",Database!$H77,Database!$H77),MATCH(Database!$H77,INDEX(BDH(TEXT(VALUE(Database!$A77),"0")&amp;" HK Equity","CUR_MKT_CAP",Database!$H77,Database!$H77),0,1),0),2),"run on terminal")</f>
        <v/>
      </c>
      <c r="N77" s="213">
        <f>Database!Q77</f>
        <v/>
      </c>
      <c r="O77" s="58">
        <f>IFERROR(INDEX(BDH(TEXT(VALUE(Database!$A77),"0")&amp;" HK Equity","PE_RATIO",Database!$H77,Database!$H77),MATCH(Database!$H77,INDEX(BDH(TEXT(VALUE(Database!$A77),"0")&amp;" HK Equity","PE_RATIO",Database!$H77,Database!$H77),0,1),0),2),"run on terminal")</f>
        <v/>
      </c>
      <c r="P77" s="251">
        <f>IF(Database!BH77="","(n/m or not derivable)",Database!BH77)</f>
        <v/>
      </c>
      <c r="Q77" s="58">
        <f>IF(Database!BN77="","",IFERROR(INDEX(BDH(LEFT(Database!BN77,FIND(".",Database!BN77)-1)&amp;" CH Equity","PE_RATIO",Database!$H77,Database!$H77),MATCH(Database!$H77,INDEX(BDH(LEFT(Database!BN77,FIND(".",Database!BN77)-1)&amp;" CH Equity","PE_RATIO",Database!$H77,Database!$H77),0,1),0),2),"run on terminal"))</f>
        <v/>
      </c>
      <c r="R77" s="58">
        <f>IF(Database!BN77="","",IFERROR(INDEX(BDH("HSAHP Index","PX_LAST",Database!$H77,Database!$H77),MATCH(Database!$H77,INDEX(BDH("HSAHP Index","PX_LAST",Database!$H77,Database!$H77),0,1),0),2),"run on terminal"))</f>
        <v/>
      </c>
      <c r="S77" s="58">
        <f>IFERROR(BDP(TEXT(VALUE(Database!$A77),"0")&amp;" HK Equity","PX_TO_SALES_RATIO"),"")</f>
        <v/>
      </c>
      <c r="T77" s="53">
        <f>IF(Database!BN77="","",IFERROR(BDP(LEFT(Database!BN77,FIND(".",Database!BN77)-1)&amp;" CH Equity","CUR_MKT_CAP")*BDP("CNYHKD Curncy","PX_LAST"),"run on terminal"))</f>
        <v/>
      </c>
    </row>
    <row r="78" ht="23" customHeight="1">
      <c r="A78" s="51">
        <f>Database!A78&amp;"  "&amp;Database!B78</f>
        <v/>
      </c>
      <c r="B78" s="43">
        <f>IFERROR(INDEX(BDS(TEXT(VALUE(Database!$A78),"0")&amp;" HK Equity","EQUITY_OFFERINGS","array=t","endcol=1"),MATCH("IPO",BDS(TEXT(VALUE(Database!$A78),"0")&amp;" HK Equity","EQUITY_OFFERINGS","array=t","startcol=2","endcol=2"),0)),"")</f>
        <v/>
      </c>
      <c r="C78" s="260">
        <f>IF($B78="","",IFERROR(BDP($B78&amp;" Action","CP036"),""))</f>
        <v/>
      </c>
      <c r="D78" s="261">
        <f>Database!S78</f>
        <v/>
      </c>
      <c r="E78" s="260">
        <f>IF($B78="","",IFERROR(BDP($B78&amp;" Action","CP037"),""))</f>
        <v/>
      </c>
      <c r="F78" s="261">
        <f>Database!T78</f>
        <v/>
      </c>
      <c r="G78" s="260">
        <f>IF($B78="","",IFERROR(BDP($B78&amp;" Action","GREENSHOE_FACILITY"),""))</f>
        <v/>
      </c>
      <c r="H78" s="260">
        <f>IF($B78="","",IFERROR(BDP($B78&amp;" Action","OFFERING_GREENSHOE_SHARES_EX"),""))</f>
        <v/>
      </c>
      <c r="I78" s="51">
        <f>Database!AE78</f>
        <v/>
      </c>
      <c r="J78" s="58">
        <f>IFERROR(BDP(TEXT(VALUE(Database!$A78),"0")&amp;" HK Equity","PE_RATIO"),"")</f>
        <v/>
      </c>
      <c r="K78" s="43">
        <f>IFERROR(BDP(TEXT(VALUE(Database!$A78),"0")&amp;" HK Equity","A/H_SHARE_CONVERSION"),"")</f>
        <v/>
      </c>
      <c r="L78" s="51">
        <f>IF(Database!BN78="","(none found)",Database!BN78)</f>
        <v/>
      </c>
      <c r="M78" s="53">
        <f>IFERROR(INDEX(BDH(TEXT(VALUE(Database!$A78),"0")&amp;" HK Equity","CUR_MKT_CAP",Database!$H78,Database!$H78),MATCH(Database!$H78,INDEX(BDH(TEXT(VALUE(Database!$A78),"0")&amp;" HK Equity","CUR_MKT_CAP",Database!$H78,Database!$H78),0,1),0),2),"run on terminal")</f>
        <v/>
      </c>
      <c r="N78" s="213">
        <f>Database!Q78</f>
        <v/>
      </c>
      <c r="O78" s="58">
        <f>IFERROR(INDEX(BDH(TEXT(VALUE(Database!$A78),"0")&amp;" HK Equity","PE_RATIO",Database!$H78,Database!$H78),MATCH(Database!$H78,INDEX(BDH(TEXT(VALUE(Database!$A78),"0")&amp;" HK Equity","PE_RATIO",Database!$H78,Database!$H78),0,1),0),2),"run on terminal")</f>
        <v/>
      </c>
      <c r="P78" s="251">
        <f>IF(Database!BH78="","(n/m or not derivable)",Database!BH78)</f>
        <v/>
      </c>
      <c r="Q78" s="58">
        <f>IF(Database!BN78="","",IFERROR(INDEX(BDH(LEFT(Database!BN78,FIND(".",Database!BN78)-1)&amp;" CH Equity","PE_RATIO",Database!$H78,Database!$H78),MATCH(Database!$H78,INDEX(BDH(LEFT(Database!BN78,FIND(".",Database!BN78)-1)&amp;" CH Equity","PE_RATIO",Database!$H78,Database!$H78),0,1),0),2),"run on terminal"))</f>
        <v/>
      </c>
      <c r="R78" s="58">
        <f>IF(Database!BN78="","",IFERROR(INDEX(BDH("HSAHP Index","PX_LAST",Database!$H78,Database!$H78),MATCH(Database!$H78,INDEX(BDH("HSAHP Index","PX_LAST",Database!$H78,Database!$H78),0,1),0),2),"run on terminal"))</f>
        <v/>
      </c>
      <c r="S78" s="58">
        <f>IFERROR(BDP(TEXT(VALUE(Database!$A78),"0")&amp;" HK Equity","PX_TO_SALES_RATIO"),"")</f>
        <v/>
      </c>
      <c r="T78" s="53">
        <f>IF(Database!BN78="","",IFERROR(BDP(LEFT(Database!BN78,FIND(".",Database!BN78)-1)&amp;" CH Equity","CUR_MKT_CAP")*BDP("CNYHKD Curncy","PX_LAST"),"run on terminal"))</f>
        <v/>
      </c>
    </row>
    <row r="79" ht="23" customHeight="1">
      <c r="A79" s="51">
        <f>Database!A79&amp;"  "&amp;Database!B79</f>
        <v/>
      </c>
      <c r="B79" s="43">
        <f>IFERROR(INDEX(BDS(TEXT(VALUE(Database!$A79),"0")&amp;" HK Equity","EQUITY_OFFERINGS","array=t","endcol=1"),MATCH("IPO",BDS(TEXT(VALUE(Database!$A79),"0")&amp;" HK Equity","EQUITY_OFFERINGS","array=t","startcol=2","endcol=2"),0)),"")</f>
        <v/>
      </c>
      <c r="C79" s="260">
        <f>IF($B79="","",IFERROR(BDP($B79&amp;" Action","CP036"),""))</f>
        <v/>
      </c>
      <c r="D79" s="261">
        <f>Database!S79</f>
        <v/>
      </c>
      <c r="E79" s="260">
        <f>IF($B79="","",IFERROR(BDP($B79&amp;" Action","CP037"),""))</f>
        <v/>
      </c>
      <c r="F79" s="261">
        <f>Database!T79</f>
        <v/>
      </c>
      <c r="G79" s="260">
        <f>IF($B79="","",IFERROR(BDP($B79&amp;" Action","GREENSHOE_FACILITY"),""))</f>
        <v/>
      </c>
      <c r="H79" s="260">
        <f>IF($B79="","",IFERROR(BDP($B79&amp;" Action","OFFERING_GREENSHOE_SHARES_EX"),""))</f>
        <v/>
      </c>
      <c r="I79" s="51">
        <f>Database!AE79</f>
        <v/>
      </c>
      <c r="J79" s="58">
        <f>IFERROR(BDP(TEXT(VALUE(Database!$A79),"0")&amp;" HK Equity","PE_RATIO"),"")</f>
        <v/>
      </c>
      <c r="K79" s="43">
        <f>IFERROR(BDP(TEXT(VALUE(Database!$A79),"0")&amp;" HK Equity","A/H_SHARE_CONVERSION"),"")</f>
        <v/>
      </c>
      <c r="L79" s="51">
        <f>IF(Database!BN79="","(none found)",Database!BN79)</f>
        <v/>
      </c>
      <c r="M79" s="53">
        <f>IFERROR(INDEX(BDH(TEXT(VALUE(Database!$A79),"0")&amp;" HK Equity","CUR_MKT_CAP",Database!$H79,Database!$H79),MATCH(Database!$H79,INDEX(BDH(TEXT(VALUE(Database!$A79),"0")&amp;" HK Equity","CUR_MKT_CAP",Database!$H79,Database!$H79),0,1),0),2),"run on terminal")</f>
        <v/>
      </c>
      <c r="N79" s="213">
        <f>Database!Q79</f>
        <v/>
      </c>
      <c r="O79" s="58">
        <f>IFERROR(INDEX(BDH(TEXT(VALUE(Database!$A79),"0")&amp;" HK Equity","PE_RATIO",Database!$H79,Database!$H79),MATCH(Database!$H79,INDEX(BDH(TEXT(VALUE(Database!$A79),"0")&amp;" HK Equity","PE_RATIO",Database!$H79,Database!$H79),0,1),0),2),"run on terminal")</f>
        <v/>
      </c>
      <c r="P79" s="251">
        <f>IF(Database!BH79="","(n/m or not derivable)",Database!BH79)</f>
        <v/>
      </c>
      <c r="Q79" s="58">
        <f>IF(Database!BN79="","",IFERROR(INDEX(BDH(LEFT(Database!BN79,FIND(".",Database!BN79)-1)&amp;" CH Equity","PE_RATIO",Database!$H79,Database!$H79),MATCH(Database!$H79,INDEX(BDH(LEFT(Database!BN79,FIND(".",Database!BN79)-1)&amp;" CH Equity","PE_RATIO",Database!$H79,Database!$H79),0,1),0),2),"run on terminal"))</f>
        <v/>
      </c>
      <c r="R79" s="58">
        <f>IF(Database!BN79="","",IFERROR(INDEX(BDH("HSAHP Index","PX_LAST",Database!$H79,Database!$H79),MATCH(Database!$H79,INDEX(BDH("HSAHP Index","PX_LAST",Database!$H79,Database!$H79),0,1),0),2),"run on terminal"))</f>
        <v/>
      </c>
      <c r="S79" s="58">
        <f>IFERROR(BDP(TEXT(VALUE(Database!$A79),"0")&amp;" HK Equity","PX_TO_SALES_RATIO"),"")</f>
        <v/>
      </c>
      <c r="T79" s="53">
        <f>IF(Database!BN79="","",IFERROR(BDP(LEFT(Database!BN79,FIND(".",Database!BN79)-1)&amp;" CH Equity","CUR_MKT_CAP")*BDP("CNYHKD Curncy","PX_LAST"),"run on terminal"))</f>
        <v/>
      </c>
    </row>
    <row r="80" ht="23" customHeight="1">
      <c r="A80" s="51">
        <f>Database!A80&amp;"  "&amp;Database!B80</f>
        <v/>
      </c>
      <c r="B80" s="43">
        <f>IFERROR(INDEX(BDS(TEXT(VALUE(Database!$A80),"0")&amp;" HK Equity","EQUITY_OFFERINGS","array=t","endcol=1"),MATCH("IPO",BDS(TEXT(VALUE(Database!$A80),"0")&amp;" HK Equity","EQUITY_OFFERINGS","array=t","startcol=2","endcol=2"),0)),"")</f>
        <v/>
      </c>
      <c r="C80" s="260">
        <f>IF($B80="","",IFERROR(BDP($B80&amp;" Action","CP036"),""))</f>
        <v/>
      </c>
      <c r="D80" s="261">
        <f>Database!S80</f>
        <v/>
      </c>
      <c r="E80" s="260">
        <f>IF($B80="","",IFERROR(BDP($B80&amp;" Action","CP037"),""))</f>
        <v/>
      </c>
      <c r="F80" s="261">
        <f>Database!T80</f>
        <v/>
      </c>
      <c r="G80" s="260">
        <f>IF($B80="","",IFERROR(BDP($B80&amp;" Action","GREENSHOE_FACILITY"),""))</f>
        <v/>
      </c>
      <c r="H80" s="260">
        <f>IF($B80="","",IFERROR(BDP($B80&amp;" Action","OFFERING_GREENSHOE_SHARES_EX"),""))</f>
        <v/>
      </c>
      <c r="I80" s="51">
        <f>Database!AE80</f>
        <v/>
      </c>
      <c r="J80" s="58">
        <f>IFERROR(BDP(TEXT(VALUE(Database!$A80),"0")&amp;" HK Equity","PE_RATIO"),"")</f>
        <v/>
      </c>
      <c r="K80" s="43">
        <f>IFERROR(BDP(TEXT(VALUE(Database!$A80),"0")&amp;" HK Equity","A/H_SHARE_CONVERSION"),"")</f>
        <v/>
      </c>
      <c r="L80" s="51">
        <f>IF(Database!BN80="","(none found)",Database!BN80)</f>
        <v/>
      </c>
      <c r="M80" s="53">
        <f>IFERROR(INDEX(BDH(TEXT(VALUE(Database!$A80),"0")&amp;" HK Equity","CUR_MKT_CAP",Database!$H80,Database!$H80),MATCH(Database!$H80,INDEX(BDH(TEXT(VALUE(Database!$A80),"0")&amp;" HK Equity","CUR_MKT_CAP",Database!$H80,Database!$H80),0,1),0),2),"run on terminal")</f>
        <v/>
      </c>
      <c r="N80" s="213">
        <f>Database!Q80</f>
        <v/>
      </c>
      <c r="O80" s="58">
        <f>IFERROR(INDEX(BDH(TEXT(VALUE(Database!$A80),"0")&amp;" HK Equity","PE_RATIO",Database!$H80,Database!$H80),MATCH(Database!$H80,INDEX(BDH(TEXT(VALUE(Database!$A80),"0")&amp;" HK Equity","PE_RATIO",Database!$H80,Database!$H80),0,1),0),2),"run on terminal")</f>
        <v/>
      </c>
      <c r="P80" s="251">
        <f>IF(Database!BH80="","(n/m or not derivable)",Database!BH80)</f>
        <v/>
      </c>
      <c r="Q80" s="58">
        <f>IF(Database!BN80="","",IFERROR(INDEX(BDH(LEFT(Database!BN80,FIND(".",Database!BN80)-1)&amp;" CH Equity","PE_RATIO",Database!$H80,Database!$H80),MATCH(Database!$H80,INDEX(BDH(LEFT(Database!BN80,FIND(".",Database!BN80)-1)&amp;" CH Equity","PE_RATIO",Database!$H80,Database!$H80),0,1),0),2),"run on terminal"))</f>
        <v/>
      </c>
      <c r="R80" s="58">
        <f>IF(Database!BN80="","",IFERROR(INDEX(BDH("HSAHP Index","PX_LAST",Database!$H80,Database!$H80),MATCH(Database!$H80,INDEX(BDH("HSAHP Index","PX_LAST",Database!$H80,Database!$H80),0,1),0),2),"run on terminal"))</f>
        <v/>
      </c>
      <c r="S80" s="58">
        <f>IFERROR(BDP(TEXT(VALUE(Database!$A80),"0")&amp;" HK Equity","PX_TO_SALES_RATIO"),"")</f>
        <v/>
      </c>
      <c r="T80" s="53">
        <f>IF(Database!BN80="","",IFERROR(BDP(LEFT(Database!BN80,FIND(".",Database!BN80)-1)&amp;" CH Equity","CUR_MKT_CAP")*BDP("CNYHKD Curncy","PX_LAST"),"run on terminal"))</f>
        <v/>
      </c>
    </row>
    <row r="81" ht="23" customHeight="1">
      <c r="A81" s="51">
        <f>Database!A81&amp;"  "&amp;Database!B81</f>
        <v/>
      </c>
      <c r="B81" s="43">
        <f>IFERROR(INDEX(BDS(TEXT(VALUE(Database!$A81),"0")&amp;" HK Equity","EQUITY_OFFERINGS","array=t","endcol=1"),MATCH("IPO",BDS(TEXT(VALUE(Database!$A81),"0")&amp;" HK Equity","EQUITY_OFFERINGS","array=t","startcol=2","endcol=2"),0)),"")</f>
        <v/>
      </c>
      <c r="C81" s="260">
        <f>IF($B81="","",IFERROR(BDP($B81&amp;" Action","CP036"),""))</f>
        <v/>
      </c>
      <c r="D81" s="261">
        <f>Database!S81</f>
        <v/>
      </c>
      <c r="E81" s="260">
        <f>IF($B81="","",IFERROR(BDP($B81&amp;" Action","CP037"),""))</f>
        <v/>
      </c>
      <c r="F81" s="261">
        <f>Database!T81</f>
        <v/>
      </c>
      <c r="G81" s="260">
        <f>IF($B81="","",IFERROR(BDP($B81&amp;" Action","GREENSHOE_FACILITY"),""))</f>
        <v/>
      </c>
      <c r="H81" s="260">
        <f>IF($B81="","",IFERROR(BDP($B81&amp;" Action","OFFERING_GREENSHOE_SHARES_EX"),""))</f>
        <v/>
      </c>
      <c r="I81" s="51">
        <f>Database!AE81</f>
        <v/>
      </c>
      <c r="J81" s="58">
        <f>IFERROR(BDP(TEXT(VALUE(Database!$A81),"0")&amp;" HK Equity","PE_RATIO"),"")</f>
        <v/>
      </c>
      <c r="K81" s="43">
        <f>IFERROR(BDP(TEXT(VALUE(Database!$A81),"0")&amp;" HK Equity","A/H_SHARE_CONVERSION"),"")</f>
        <v/>
      </c>
      <c r="L81" s="51">
        <f>IF(Database!BN81="","(none found)",Database!BN81)</f>
        <v/>
      </c>
      <c r="M81" s="53">
        <f>IFERROR(INDEX(BDH(TEXT(VALUE(Database!$A81),"0")&amp;" HK Equity","CUR_MKT_CAP",Database!$H81,Database!$H81),MATCH(Database!$H81,INDEX(BDH(TEXT(VALUE(Database!$A81),"0")&amp;" HK Equity","CUR_MKT_CAP",Database!$H81,Database!$H81),0,1),0),2),"run on terminal")</f>
        <v/>
      </c>
      <c r="N81" s="213">
        <f>Database!Q81</f>
        <v/>
      </c>
      <c r="O81" s="58">
        <f>IFERROR(INDEX(BDH(TEXT(VALUE(Database!$A81),"0")&amp;" HK Equity","PE_RATIO",Database!$H81,Database!$H81),MATCH(Database!$H81,INDEX(BDH(TEXT(VALUE(Database!$A81),"0")&amp;" HK Equity","PE_RATIO",Database!$H81,Database!$H81),0,1),0),2),"run on terminal")</f>
        <v/>
      </c>
      <c r="P81" s="251">
        <f>IF(Database!BH81="","(n/m or not derivable)",Database!BH81)</f>
        <v/>
      </c>
      <c r="Q81" s="58">
        <f>IF(Database!BN81="","",IFERROR(INDEX(BDH(LEFT(Database!BN81,FIND(".",Database!BN81)-1)&amp;" CH Equity","PE_RATIO",Database!$H81,Database!$H81),MATCH(Database!$H81,INDEX(BDH(LEFT(Database!BN81,FIND(".",Database!BN81)-1)&amp;" CH Equity","PE_RATIO",Database!$H81,Database!$H81),0,1),0),2),"run on terminal"))</f>
        <v/>
      </c>
      <c r="R81" s="58">
        <f>IF(Database!BN81="","",IFERROR(INDEX(BDH("HSAHP Index","PX_LAST",Database!$H81,Database!$H81),MATCH(Database!$H81,INDEX(BDH("HSAHP Index","PX_LAST",Database!$H81,Database!$H81),0,1),0),2),"run on terminal"))</f>
        <v/>
      </c>
      <c r="S81" s="58">
        <f>IFERROR(BDP(TEXT(VALUE(Database!$A81),"0")&amp;" HK Equity","PX_TO_SALES_RATIO"),"")</f>
        <v/>
      </c>
      <c r="T81" s="53">
        <f>IF(Database!BN81="","",IFERROR(BDP(LEFT(Database!BN81,FIND(".",Database!BN81)-1)&amp;" CH Equity","CUR_MKT_CAP")*BDP("CNYHKD Curncy","PX_LAST"),"run on terminal"))</f>
        <v/>
      </c>
    </row>
    <row r="82" ht="23" customHeight="1">
      <c r="A82" s="51">
        <f>Database!A82&amp;"  "&amp;Database!B82</f>
        <v/>
      </c>
      <c r="B82" s="43">
        <f>IFERROR(INDEX(BDS(TEXT(VALUE(Database!$A82),"0")&amp;" HK Equity","EQUITY_OFFERINGS","array=t","endcol=1"),MATCH("IPO",BDS(TEXT(VALUE(Database!$A82),"0")&amp;" HK Equity","EQUITY_OFFERINGS","array=t","startcol=2","endcol=2"),0)),"")</f>
        <v/>
      </c>
      <c r="C82" s="260">
        <f>IF($B82="","",IFERROR(BDP($B82&amp;" Action","CP036"),""))</f>
        <v/>
      </c>
      <c r="D82" s="261">
        <f>Database!S82</f>
        <v/>
      </c>
      <c r="E82" s="260">
        <f>IF($B82="","",IFERROR(BDP($B82&amp;" Action","CP037"),""))</f>
        <v/>
      </c>
      <c r="F82" s="261">
        <f>Database!T82</f>
        <v/>
      </c>
      <c r="G82" s="260">
        <f>IF($B82="","",IFERROR(BDP($B82&amp;" Action","GREENSHOE_FACILITY"),""))</f>
        <v/>
      </c>
      <c r="H82" s="260">
        <f>IF($B82="","",IFERROR(BDP($B82&amp;" Action","OFFERING_GREENSHOE_SHARES_EX"),""))</f>
        <v/>
      </c>
      <c r="I82" s="51">
        <f>Database!AE82</f>
        <v/>
      </c>
      <c r="J82" s="58">
        <f>IFERROR(BDP(TEXT(VALUE(Database!$A82),"0")&amp;" HK Equity","PE_RATIO"),"")</f>
        <v/>
      </c>
      <c r="K82" s="43">
        <f>IFERROR(BDP(TEXT(VALUE(Database!$A82),"0")&amp;" HK Equity","A/H_SHARE_CONVERSION"),"")</f>
        <v/>
      </c>
      <c r="L82" s="51">
        <f>IF(Database!BN82="","(none found)",Database!BN82)</f>
        <v/>
      </c>
      <c r="M82" s="53">
        <f>IFERROR(INDEX(BDH(TEXT(VALUE(Database!$A82),"0")&amp;" HK Equity","CUR_MKT_CAP",Database!$H82,Database!$H82),MATCH(Database!$H82,INDEX(BDH(TEXT(VALUE(Database!$A82),"0")&amp;" HK Equity","CUR_MKT_CAP",Database!$H82,Database!$H82),0,1),0),2),"run on terminal")</f>
        <v/>
      </c>
      <c r="N82" s="213">
        <f>Database!Q82</f>
        <v/>
      </c>
      <c r="O82" s="58">
        <f>IFERROR(INDEX(BDH(TEXT(VALUE(Database!$A82),"0")&amp;" HK Equity","PE_RATIO",Database!$H82,Database!$H82),MATCH(Database!$H82,INDEX(BDH(TEXT(VALUE(Database!$A82),"0")&amp;" HK Equity","PE_RATIO",Database!$H82,Database!$H82),0,1),0),2),"run on terminal")</f>
        <v/>
      </c>
      <c r="P82" s="251">
        <f>IF(Database!BH82="","(n/m or not derivable)",Database!BH82)</f>
        <v/>
      </c>
      <c r="Q82" s="58">
        <f>IF(Database!BN82="","",IFERROR(INDEX(BDH(LEFT(Database!BN82,FIND(".",Database!BN82)-1)&amp;" CH Equity","PE_RATIO",Database!$H82,Database!$H82),MATCH(Database!$H82,INDEX(BDH(LEFT(Database!BN82,FIND(".",Database!BN82)-1)&amp;" CH Equity","PE_RATIO",Database!$H82,Database!$H82),0,1),0),2),"run on terminal"))</f>
        <v/>
      </c>
      <c r="R82" s="58">
        <f>IF(Database!BN82="","",IFERROR(INDEX(BDH("HSAHP Index","PX_LAST",Database!$H82,Database!$H82),MATCH(Database!$H82,INDEX(BDH("HSAHP Index","PX_LAST",Database!$H82,Database!$H82),0,1),0),2),"run on terminal"))</f>
        <v/>
      </c>
      <c r="S82" s="58">
        <f>IFERROR(BDP(TEXT(VALUE(Database!$A82),"0")&amp;" HK Equity","PX_TO_SALES_RATIO"),"")</f>
        <v/>
      </c>
      <c r="T82" s="53">
        <f>IF(Database!BN82="","",IFERROR(BDP(LEFT(Database!BN82,FIND(".",Database!BN82)-1)&amp;" CH Equity","CUR_MKT_CAP")*BDP("CNYHKD Curncy","PX_LAST"),"run on terminal"))</f>
        <v/>
      </c>
    </row>
    <row r="83" ht="23" customHeight="1">
      <c r="A83" s="51">
        <f>Database!A83&amp;"  "&amp;Database!B83</f>
        <v/>
      </c>
      <c r="B83" s="43">
        <f>IFERROR(INDEX(BDS(TEXT(VALUE(Database!$A83),"0")&amp;" HK Equity","EQUITY_OFFERINGS","array=t","endcol=1"),MATCH("IPO",BDS(TEXT(VALUE(Database!$A83),"0")&amp;" HK Equity","EQUITY_OFFERINGS","array=t","startcol=2","endcol=2"),0)),"")</f>
        <v/>
      </c>
      <c r="C83" s="260">
        <f>IF($B83="","",IFERROR(BDP($B83&amp;" Action","CP036"),""))</f>
        <v/>
      </c>
      <c r="D83" s="261">
        <f>Database!S83</f>
        <v/>
      </c>
      <c r="E83" s="260">
        <f>IF($B83="","",IFERROR(BDP($B83&amp;" Action","CP037"),""))</f>
        <v/>
      </c>
      <c r="F83" s="261">
        <f>Database!T83</f>
        <v/>
      </c>
      <c r="G83" s="260">
        <f>IF($B83="","",IFERROR(BDP($B83&amp;" Action","GREENSHOE_FACILITY"),""))</f>
        <v/>
      </c>
      <c r="H83" s="260">
        <f>IF($B83="","",IFERROR(BDP($B83&amp;" Action","OFFERING_GREENSHOE_SHARES_EX"),""))</f>
        <v/>
      </c>
      <c r="I83" s="51">
        <f>Database!AE83</f>
        <v/>
      </c>
      <c r="J83" s="58">
        <f>IFERROR(BDP(TEXT(VALUE(Database!$A83),"0")&amp;" HK Equity","PE_RATIO"),"")</f>
        <v/>
      </c>
      <c r="K83" s="43">
        <f>IFERROR(BDP(TEXT(VALUE(Database!$A83),"0")&amp;" HK Equity","A/H_SHARE_CONVERSION"),"")</f>
        <v/>
      </c>
      <c r="L83" s="51">
        <f>IF(Database!BN83="","(none found)",Database!BN83)</f>
        <v/>
      </c>
      <c r="M83" s="53">
        <f>IFERROR(INDEX(BDH(TEXT(VALUE(Database!$A83),"0")&amp;" HK Equity","CUR_MKT_CAP",Database!$H83,Database!$H83),MATCH(Database!$H83,INDEX(BDH(TEXT(VALUE(Database!$A83),"0")&amp;" HK Equity","CUR_MKT_CAP",Database!$H83,Database!$H83),0,1),0),2),"run on terminal")</f>
        <v/>
      </c>
      <c r="N83" s="213">
        <f>Database!Q83</f>
        <v/>
      </c>
      <c r="O83" s="58">
        <f>IFERROR(INDEX(BDH(TEXT(VALUE(Database!$A83),"0")&amp;" HK Equity","PE_RATIO",Database!$H83,Database!$H83),MATCH(Database!$H83,INDEX(BDH(TEXT(VALUE(Database!$A83),"0")&amp;" HK Equity","PE_RATIO",Database!$H83,Database!$H83),0,1),0),2),"run on terminal")</f>
        <v/>
      </c>
      <c r="P83" s="251">
        <f>IF(Database!BH83="","(n/m or not derivable)",Database!BH83)</f>
        <v/>
      </c>
      <c r="Q83" s="58">
        <f>IF(Database!BN83="","",IFERROR(INDEX(BDH(LEFT(Database!BN83,FIND(".",Database!BN83)-1)&amp;" CH Equity","PE_RATIO",Database!$H83,Database!$H83),MATCH(Database!$H83,INDEX(BDH(LEFT(Database!BN83,FIND(".",Database!BN83)-1)&amp;" CH Equity","PE_RATIO",Database!$H83,Database!$H83),0,1),0),2),"run on terminal"))</f>
        <v/>
      </c>
      <c r="R83" s="58">
        <f>IF(Database!BN83="","",IFERROR(INDEX(BDH("HSAHP Index","PX_LAST",Database!$H83,Database!$H83),MATCH(Database!$H83,INDEX(BDH("HSAHP Index","PX_LAST",Database!$H83,Database!$H83),0,1),0),2),"run on terminal"))</f>
        <v/>
      </c>
      <c r="S83" s="58">
        <f>IFERROR(BDP(TEXT(VALUE(Database!$A83),"0")&amp;" HK Equity","PX_TO_SALES_RATIO"),"")</f>
        <v/>
      </c>
      <c r="T83" s="53">
        <f>IF(Database!BN83="","",IFERROR(BDP(LEFT(Database!BN83,FIND(".",Database!BN83)-1)&amp;" CH Equity","CUR_MKT_CAP")*BDP("CNYHKD Curncy","PX_LAST"),"run on terminal"))</f>
        <v/>
      </c>
    </row>
    <row r="84" ht="23" customHeight="1">
      <c r="A84" s="51">
        <f>Database!A84&amp;"  "&amp;Database!B84</f>
        <v/>
      </c>
      <c r="B84" s="43">
        <f>IFERROR(INDEX(BDS(TEXT(VALUE(Database!$A84),"0")&amp;" HK Equity","EQUITY_OFFERINGS","array=t","endcol=1"),MATCH("IPO",BDS(TEXT(VALUE(Database!$A84),"0")&amp;" HK Equity","EQUITY_OFFERINGS","array=t","startcol=2","endcol=2"),0)),"")</f>
        <v/>
      </c>
      <c r="C84" s="260">
        <f>IF($B84="","",IFERROR(BDP($B84&amp;" Action","CP036"),""))</f>
        <v/>
      </c>
      <c r="D84" s="261">
        <f>Database!S84</f>
        <v/>
      </c>
      <c r="E84" s="260">
        <f>IF($B84="","",IFERROR(BDP($B84&amp;" Action","CP037"),""))</f>
        <v/>
      </c>
      <c r="F84" s="261">
        <f>Database!T84</f>
        <v/>
      </c>
      <c r="G84" s="260">
        <f>IF($B84="","",IFERROR(BDP($B84&amp;" Action","GREENSHOE_FACILITY"),""))</f>
        <v/>
      </c>
      <c r="H84" s="260">
        <f>IF($B84="","",IFERROR(BDP($B84&amp;" Action","OFFERING_GREENSHOE_SHARES_EX"),""))</f>
        <v/>
      </c>
      <c r="I84" s="51">
        <f>Database!AE84</f>
        <v/>
      </c>
      <c r="J84" s="58">
        <f>IFERROR(BDP(TEXT(VALUE(Database!$A84),"0")&amp;" HK Equity","PE_RATIO"),"")</f>
        <v/>
      </c>
      <c r="K84" s="43">
        <f>IFERROR(BDP(TEXT(VALUE(Database!$A84),"0")&amp;" HK Equity","A/H_SHARE_CONVERSION"),"")</f>
        <v/>
      </c>
      <c r="L84" s="51">
        <f>IF(Database!BN84="","(none found)",Database!BN84)</f>
        <v/>
      </c>
      <c r="M84" s="53">
        <f>IFERROR(INDEX(BDH(TEXT(VALUE(Database!$A84),"0")&amp;" HK Equity","CUR_MKT_CAP",Database!$H84,Database!$H84),MATCH(Database!$H84,INDEX(BDH(TEXT(VALUE(Database!$A84),"0")&amp;" HK Equity","CUR_MKT_CAP",Database!$H84,Database!$H84),0,1),0),2),"run on terminal")</f>
        <v/>
      </c>
      <c r="N84" s="213">
        <f>Database!Q84</f>
        <v/>
      </c>
      <c r="O84" s="58">
        <f>IFERROR(INDEX(BDH(TEXT(VALUE(Database!$A84),"0")&amp;" HK Equity","PE_RATIO",Database!$H84,Database!$H84),MATCH(Database!$H84,INDEX(BDH(TEXT(VALUE(Database!$A84),"0")&amp;" HK Equity","PE_RATIO",Database!$H84,Database!$H84),0,1),0),2),"run on terminal")</f>
        <v/>
      </c>
      <c r="P84" s="251">
        <f>IF(Database!BH84="","(n/m or not derivable)",Database!BH84)</f>
        <v/>
      </c>
      <c r="Q84" s="58">
        <f>IF(Database!BN84="","",IFERROR(INDEX(BDH(LEFT(Database!BN84,FIND(".",Database!BN84)-1)&amp;" CH Equity","PE_RATIO",Database!$H84,Database!$H84),MATCH(Database!$H84,INDEX(BDH(LEFT(Database!BN84,FIND(".",Database!BN84)-1)&amp;" CH Equity","PE_RATIO",Database!$H84,Database!$H84),0,1),0),2),"run on terminal"))</f>
        <v/>
      </c>
      <c r="R84" s="58">
        <f>IF(Database!BN84="","",IFERROR(INDEX(BDH("HSAHP Index","PX_LAST",Database!$H84,Database!$H84),MATCH(Database!$H84,INDEX(BDH("HSAHP Index","PX_LAST",Database!$H84,Database!$H84),0,1),0),2),"run on terminal"))</f>
        <v/>
      </c>
      <c r="S84" s="58">
        <f>IFERROR(BDP(TEXT(VALUE(Database!$A84),"0")&amp;" HK Equity","PX_TO_SALES_RATIO"),"")</f>
        <v/>
      </c>
      <c r="T84" s="53">
        <f>IF(Database!BN84="","",IFERROR(BDP(LEFT(Database!BN84,FIND(".",Database!BN84)-1)&amp;" CH Equity","CUR_MKT_CAP")*BDP("CNYHKD Curncy","PX_LAST"),"run on terminal"))</f>
        <v/>
      </c>
    </row>
    <row r="85" ht="23" customHeight="1">
      <c r="A85" s="51">
        <f>Database!A85&amp;"  "&amp;Database!B85</f>
        <v/>
      </c>
      <c r="B85" s="43">
        <f>IFERROR(INDEX(BDS(TEXT(VALUE(Database!$A85),"0")&amp;" HK Equity","EQUITY_OFFERINGS","array=t","endcol=1"),MATCH("IPO",BDS(TEXT(VALUE(Database!$A85),"0")&amp;" HK Equity","EQUITY_OFFERINGS","array=t","startcol=2","endcol=2"),0)),"")</f>
        <v/>
      </c>
      <c r="C85" s="260">
        <f>IF($B85="","",IFERROR(BDP($B85&amp;" Action","CP036"),""))</f>
        <v/>
      </c>
      <c r="D85" s="261">
        <f>Database!S85</f>
        <v/>
      </c>
      <c r="E85" s="260">
        <f>IF($B85="","",IFERROR(BDP($B85&amp;" Action","CP037"),""))</f>
        <v/>
      </c>
      <c r="F85" s="261">
        <f>Database!T85</f>
        <v/>
      </c>
      <c r="G85" s="260">
        <f>IF($B85="","",IFERROR(BDP($B85&amp;" Action","GREENSHOE_FACILITY"),""))</f>
        <v/>
      </c>
      <c r="H85" s="260">
        <f>IF($B85="","",IFERROR(BDP($B85&amp;" Action","OFFERING_GREENSHOE_SHARES_EX"),""))</f>
        <v/>
      </c>
      <c r="I85" s="51">
        <f>Database!AE85</f>
        <v/>
      </c>
      <c r="J85" s="58">
        <f>IFERROR(BDP(TEXT(VALUE(Database!$A85),"0")&amp;" HK Equity","PE_RATIO"),"")</f>
        <v/>
      </c>
      <c r="K85" s="43">
        <f>IFERROR(BDP(TEXT(VALUE(Database!$A85),"0")&amp;" HK Equity","A/H_SHARE_CONVERSION"),"")</f>
        <v/>
      </c>
      <c r="L85" s="51">
        <f>IF(Database!BN85="","(none found)",Database!BN85)</f>
        <v/>
      </c>
      <c r="M85" s="53">
        <f>IFERROR(INDEX(BDH(TEXT(VALUE(Database!$A85),"0")&amp;" HK Equity","CUR_MKT_CAP",Database!$H85,Database!$H85),MATCH(Database!$H85,INDEX(BDH(TEXT(VALUE(Database!$A85),"0")&amp;" HK Equity","CUR_MKT_CAP",Database!$H85,Database!$H85),0,1),0),2),"run on terminal")</f>
        <v/>
      </c>
      <c r="N85" s="213">
        <f>Database!Q85</f>
        <v/>
      </c>
      <c r="O85" s="58">
        <f>IFERROR(INDEX(BDH(TEXT(VALUE(Database!$A85),"0")&amp;" HK Equity","PE_RATIO",Database!$H85,Database!$H85),MATCH(Database!$H85,INDEX(BDH(TEXT(VALUE(Database!$A85),"0")&amp;" HK Equity","PE_RATIO",Database!$H85,Database!$H85),0,1),0),2),"run on terminal")</f>
        <v/>
      </c>
      <c r="P85" s="251">
        <f>IF(Database!BH85="","(n/m or not derivable)",Database!BH85)</f>
        <v/>
      </c>
      <c r="Q85" s="58">
        <f>IF(Database!BN85="","",IFERROR(INDEX(BDH(LEFT(Database!BN85,FIND(".",Database!BN85)-1)&amp;" CH Equity","PE_RATIO",Database!$H85,Database!$H85),MATCH(Database!$H85,INDEX(BDH(LEFT(Database!BN85,FIND(".",Database!BN85)-1)&amp;" CH Equity","PE_RATIO",Database!$H85,Database!$H85),0,1),0),2),"run on terminal"))</f>
        <v/>
      </c>
      <c r="R85" s="58">
        <f>IF(Database!BN85="","",IFERROR(INDEX(BDH("HSAHP Index","PX_LAST",Database!$H85,Database!$H85),MATCH(Database!$H85,INDEX(BDH("HSAHP Index","PX_LAST",Database!$H85,Database!$H85),0,1),0),2),"run on terminal"))</f>
        <v/>
      </c>
      <c r="S85" s="58">
        <f>IFERROR(BDP(TEXT(VALUE(Database!$A85),"0")&amp;" HK Equity","PX_TO_SALES_RATIO"),"")</f>
        <v/>
      </c>
      <c r="T85" s="53">
        <f>IF(Database!BN85="","",IFERROR(BDP(LEFT(Database!BN85,FIND(".",Database!BN85)-1)&amp;" CH Equity","CUR_MKT_CAP")*BDP("CNYHKD Curncy","PX_LAST"),"run on terminal"))</f>
        <v/>
      </c>
    </row>
    <row r="86" ht="23" customHeight="1">
      <c r="A86" s="51">
        <f>Database!A86&amp;"  "&amp;Database!B86</f>
        <v/>
      </c>
      <c r="B86" s="43">
        <f>IFERROR(INDEX(BDS(TEXT(VALUE(Database!$A86),"0")&amp;" HK Equity","EQUITY_OFFERINGS","array=t","endcol=1"),MATCH("IPO",BDS(TEXT(VALUE(Database!$A86),"0")&amp;" HK Equity","EQUITY_OFFERINGS","array=t","startcol=2","endcol=2"),0)),"")</f>
        <v/>
      </c>
      <c r="C86" s="260">
        <f>IF($B86="","",IFERROR(BDP($B86&amp;" Action","CP036"),""))</f>
        <v/>
      </c>
      <c r="D86" s="261">
        <f>Database!S86</f>
        <v/>
      </c>
      <c r="E86" s="260">
        <f>IF($B86="","",IFERROR(BDP($B86&amp;" Action","CP037"),""))</f>
        <v/>
      </c>
      <c r="F86" s="261">
        <f>Database!T86</f>
        <v/>
      </c>
      <c r="G86" s="260">
        <f>IF($B86="","",IFERROR(BDP($B86&amp;" Action","GREENSHOE_FACILITY"),""))</f>
        <v/>
      </c>
      <c r="H86" s="260">
        <f>IF($B86="","",IFERROR(BDP($B86&amp;" Action","OFFERING_GREENSHOE_SHARES_EX"),""))</f>
        <v/>
      </c>
      <c r="I86" s="51">
        <f>Database!AE86</f>
        <v/>
      </c>
      <c r="J86" s="58">
        <f>IFERROR(BDP(TEXT(VALUE(Database!$A86),"0")&amp;" HK Equity","PE_RATIO"),"")</f>
        <v/>
      </c>
      <c r="K86" s="43">
        <f>IFERROR(BDP(TEXT(VALUE(Database!$A86),"0")&amp;" HK Equity","A/H_SHARE_CONVERSION"),"")</f>
        <v/>
      </c>
      <c r="L86" s="51">
        <f>IF(Database!BN86="","(none found)",Database!BN86)</f>
        <v/>
      </c>
      <c r="M86" s="53">
        <f>IFERROR(INDEX(BDH(TEXT(VALUE(Database!$A86),"0")&amp;" HK Equity","CUR_MKT_CAP",Database!$H86,Database!$H86),MATCH(Database!$H86,INDEX(BDH(TEXT(VALUE(Database!$A86),"0")&amp;" HK Equity","CUR_MKT_CAP",Database!$H86,Database!$H86),0,1),0),2),"run on terminal")</f>
        <v/>
      </c>
      <c r="N86" s="213">
        <f>Database!Q86</f>
        <v/>
      </c>
      <c r="O86" s="58">
        <f>IFERROR(INDEX(BDH(TEXT(VALUE(Database!$A86),"0")&amp;" HK Equity","PE_RATIO",Database!$H86,Database!$H86),MATCH(Database!$H86,INDEX(BDH(TEXT(VALUE(Database!$A86),"0")&amp;" HK Equity","PE_RATIO",Database!$H86,Database!$H86),0,1),0),2),"run on terminal")</f>
        <v/>
      </c>
      <c r="P86" s="251">
        <f>IF(Database!BH86="","(n/m or not derivable)",Database!BH86)</f>
        <v/>
      </c>
      <c r="Q86" s="58">
        <f>IF(Database!BN86="","",IFERROR(INDEX(BDH(LEFT(Database!BN86,FIND(".",Database!BN86)-1)&amp;" CH Equity","PE_RATIO",Database!$H86,Database!$H86),MATCH(Database!$H86,INDEX(BDH(LEFT(Database!BN86,FIND(".",Database!BN86)-1)&amp;" CH Equity","PE_RATIO",Database!$H86,Database!$H86),0,1),0),2),"run on terminal"))</f>
        <v/>
      </c>
      <c r="R86" s="58">
        <f>IF(Database!BN86="","",IFERROR(INDEX(BDH("HSAHP Index","PX_LAST",Database!$H86,Database!$H86),MATCH(Database!$H86,INDEX(BDH("HSAHP Index","PX_LAST",Database!$H86,Database!$H86),0,1),0),2),"run on terminal"))</f>
        <v/>
      </c>
      <c r="S86" s="58">
        <f>IFERROR(BDP(TEXT(VALUE(Database!$A86),"0")&amp;" HK Equity","PX_TO_SALES_RATIO"),"")</f>
        <v/>
      </c>
      <c r="T86" s="53">
        <f>IF(Database!BN86="","",IFERROR(BDP(LEFT(Database!BN86,FIND(".",Database!BN86)-1)&amp;" CH Equity","CUR_MKT_CAP")*BDP("CNYHKD Curncy","PX_LAST"),"run on terminal"))</f>
        <v/>
      </c>
    </row>
    <row r="87" ht="23" customHeight="1">
      <c r="A87" s="51">
        <f>Database!A87&amp;"  "&amp;Database!B87</f>
        <v/>
      </c>
      <c r="B87" s="43">
        <f>IFERROR(INDEX(BDS(TEXT(VALUE(Database!$A87),"0")&amp;" HK Equity","EQUITY_OFFERINGS","array=t","endcol=1"),MATCH("IPO",BDS(TEXT(VALUE(Database!$A87),"0")&amp;" HK Equity","EQUITY_OFFERINGS","array=t","startcol=2","endcol=2"),0)),"")</f>
        <v/>
      </c>
      <c r="C87" s="260">
        <f>IF($B87="","",IFERROR(BDP($B87&amp;" Action","CP036"),""))</f>
        <v/>
      </c>
      <c r="D87" s="261">
        <f>Database!S87</f>
        <v/>
      </c>
      <c r="E87" s="260">
        <f>IF($B87="","",IFERROR(BDP($B87&amp;" Action","CP037"),""))</f>
        <v/>
      </c>
      <c r="F87" s="261">
        <f>Database!T87</f>
        <v/>
      </c>
      <c r="G87" s="260">
        <f>IF($B87="","",IFERROR(BDP($B87&amp;" Action","GREENSHOE_FACILITY"),""))</f>
        <v/>
      </c>
      <c r="H87" s="260">
        <f>IF($B87="","",IFERROR(BDP($B87&amp;" Action","OFFERING_GREENSHOE_SHARES_EX"),""))</f>
        <v/>
      </c>
      <c r="I87" s="51">
        <f>Database!AE87</f>
        <v/>
      </c>
      <c r="J87" s="58">
        <f>IFERROR(BDP(TEXT(VALUE(Database!$A87),"0")&amp;" HK Equity","PE_RATIO"),"")</f>
        <v/>
      </c>
      <c r="K87" s="43">
        <f>IFERROR(BDP(TEXT(VALUE(Database!$A87),"0")&amp;" HK Equity","A/H_SHARE_CONVERSION"),"")</f>
        <v/>
      </c>
      <c r="L87" s="51">
        <f>IF(Database!BN87="","(none found)",Database!BN87)</f>
        <v/>
      </c>
      <c r="M87" s="53">
        <f>IFERROR(INDEX(BDH(TEXT(VALUE(Database!$A87),"0")&amp;" HK Equity","CUR_MKT_CAP",Database!$H87,Database!$H87),MATCH(Database!$H87,INDEX(BDH(TEXT(VALUE(Database!$A87),"0")&amp;" HK Equity","CUR_MKT_CAP",Database!$H87,Database!$H87),0,1),0),2),"run on terminal")</f>
        <v/>
      </c>
      <c r="N87" s="213">
        <f>Database!Q87</f>
        <v/>
      </c>
      <c r="O87" s="58">
        <f>IFERROR(INDEX(BDH(TEXT(VALUE(Database!$A87),"0")&amp;" HK Equity","PE_RATIO",Database!$H87,Database!$H87),MATCH(Database!$H87,INDEX(BDH(TEXT(VALUE(Database!$A87),"0")&amp;" HK Equity","PE_RATIO",Database!$H87,Database!$H87),0,1),0),2),"run on terminal")</f>
        <v/>
      </c>
      <c r="P87" s="251">
        <f>IF(Database!BH87="","(n/m or not derivable)",Database!BH87)</f>
        <v/>
      </c>
      <c r="Q87" s="58">
        <f>IF(Database!BN87="","",IFERROR(INDEX(BDH(LEFT(Database!BN87,FIND(".",Database!BN87)-1)&amp;" CH Equity","PE_RATIO",Database!$H87,Database!$H87),MATCH(Database!$H87,INDEX(BDH(LEFT(Database!BN87,FIND(".",Database!BN87)-1)&amp;" CH Equity","PE_RATIO",Database!$H87,Database!$H87),0,1),0),2),"run on terminal"))</f>
        <v/>
      </c>
      <c r="R87" s="58">
        <f>IF(Database!BN87="","",IFERROR(INDEX(BDH("HSAHP Index","PX_LAST",Database!$H87,Database!$H87),MATCH(Database!$H87,INDEX(BDH("HSAHP Index","PX_LAST",Database!$H87,Database!$H87),0,1),0),2),"run on terminal"))</f>
        <v/>
      </c>
      <c r="S87" s="58">
        <f>IFERROR(BDP(TEXT(VALUE(Database!$A87),"0")&amp;" HK Equity","PX_TO_SALES_RATIO"),"")</f>
        <v/>
      </c>
      <c r="T87" s="53">
        <f>IF(Database!BN87="","",IFERROR(BDP(LEFT(Database!BN87,FIND(".",Database!BN87)-1)&amp;" CH Equity","CUR_MKT_CAP")*BDP("CNYHKD Curncy","PX_LAST"),"run on terminal"))</f>
        <v/>
      </c>
    </row>
    <row r="88" ht="23" customHeight="1">
      <c r="A88" s="51">
        <f>Database!A88&amp;"  "&amp;Database!B88</f>
        <v/>
      </c>
      <c r="B88" s="43">
        <f>IFERROR(INDEX(BDS(TEXT(VALUE(Database!$A88),"0")&amp;" HK Equity","EQUITY_OFFERINGS","array=t","endcol=1"),MATCH("IPO",BDS(TEXT(VALUE(Database!$A88),"0")&amp;" HK Equity","EQUITY_OFFERINGS","array=t","startcol=2","endcol=2"),0)),"")</f>
        <v/>
      </c>
      <c r="C88" s="260">
        <f>IF($B88="","",IFERROR(BDP($B88&amp;" Action","CP036"),""))</f>
        <v/>
      </c>
      <c r="D88" s="261">
        <f>Database!S88</f>
        <v/>
      </c>
      <c r="E88" s="260">
        <f>IF($B88="","",IFERROR(BDP($B88&amp;" Action","CP037"),""))</f>
        <v/>
      </c>
      <c r="F88" s="261">
        <f>Database!T88</f>
        <v/>
      </c>
      <c r="G88" s="260">
        <f>IF($B88="","",IFERROR(BDP($B88&amp;" Action","GREENSHOE_FACILITY"),""))</f>
        <v/>
      </c>
      <c r="H88" s="260">
        <f>IF($B88="","",IFERROR(BDP($B88&amp;" Action","OFFERING_GREENSHOE_SHARES_EX"),""))</f>
        <v/>
      </c>
      <c r="I88" s="51">
        <f>Database!AE88</f>
        <v/>
      </c>
      <c r="J88" s="58">
        <f>IFERROR(BDP(TEXT(VALUE(Database!$A88),"0")&amp;" HK Equity","PE_RATIO"),"")</f>
        <v/>
      </c>
      <c r="K88" s="43">
        <f>IFERROR(BDP(TEXT(VALUE(Database!$A88),"0")&amp;" HK Equity","A/H_SHARE_CONVERSION"),"")</f>
        <v/>
      </c>
      <c r="L88" s="51">
        <f>IF(Database!BN88="","(none found)",Database!BN88)</f>
        <v/>
      </c>
      <c r="M88" s="53">
        <f>IFERROR(INDEX(BDH(TEXT(VALUE(Database!$A88),"0")&amp;" HK Equity","CUR_MKT_CAP",Database!$H88,Database!$H88),MATCH(Database!$H88,INDEX(BDH(TEXT(VALUE(Database!$A88),"0")&amp;" HK Equity","CUR_MKT_CAP",Database!$H88,Database!$H88),0,1),0),2),"run on terminal")</f>
        <v/>
      </c>
      <c r="N88" s="213">
        <f>Database!Q88</f>
        <v/>
      </c>
      <c r="O88" s="58">
        <f>IFERROR(INDEX(BDH(TEXT(VALUE(Database!$A88),"0")&amp;" HK Equity","PE_RATIO",Database!$H88,Database!$H88),MATCH(Database!$H88,INDEX(BDH(TEXT(VALUE(Database!$A88),"0")&amp;" HK Equity","PE_RATIO",Database!$H88,Database!$H88),0,1),0),2),"run on terminal")</f>
        <v/>
      </c>
      <c r="P88" s="251">
        <f>IF(Database!BH88="","(n/m or not derivable)",Database!BH88)</f>
        <v/>
      </c>
      <c r="Q88" s="58">
        <f>IF(Database!BN88="","",IFERROR(INDEX(BDH(LEFT(Database!BN88,FIND(".",Database!BN88)-1)&amp;" CH Equity","PE_RATIO",Database!$H88,Database!$H88),MATCH(Database!$H88,INDEX(BDH(LEFT(Database!BN88,FIND(".",Database!BN88)-1)&amp;" CH Equity","PE_RATIO",Database!$H88,Database!$H88),0,1),0),2),"run on terminal"))</f>
        <v/>
      </c>
      <c r="R88" s="58">
        <f>IF(Database!BN88="","",IFERROR(INDEX(BDH("HSAHP Index","PX_LAST",Database!$H88,Database!$H88),MATCH(Database!$H88,INDEX(BDH("HSAHP Index","PX_LAST",Database!$H88,Database!$H88),0,1),0),2),"run on terminal"))</f>
        <v/>
      </c>
      <c r="S88" s="58">
        <f>IFERROR(BDP(TEXT(VALUE(Database!$A88),"0")&amp;" HK Equity","PX_TO_SALES_RATIO"),"")</f>
        <v/>
      </c>
      <c r="T88" s="53">
        <f>IF(Database!BN88="","",IFERROR(BDP(LEFT(Database!BN88,FIND(".",Database!BN88)-1)&amp;" CH Equity","CUR_MKT_CAP")*BDP("CNYHKD Curncy","PX_LAST"),"run on terminal"))</f>
        <v/>
      </c>
    </row>
    <row r="89" ht="23" customHeight="1">
      <c r="A89" s="51">
        <f>Database!A89&amp;"  "&amp;Database!B89</f>
        <v/>
      </c>
      <c r="B89" s="43">
        <f>IFERROR(INDEX(BDS(TEXT(VALUE(Database!$A89),"0")&amp;" HK Equity","EQUITY_OFFERINGS","array=t","endcol=1"),MATCH("IPO",BDS(TEXT(VALUE(Database!$A89),"0")&amp;" HK Equity","EQUITY_OFFERINGS","array=t","startcol=2","endcol=2"),0)),"")</f>
        <v/>
      </c>
      <c r="C89" s="260">
        <f>IF($B89="","",IFERROR(BDP($B89&amp;" Action","CP036"),""))</f>
        <v/>
      </c>
      <c r="D89" s="261">
        <f>Database!S89</f>
        <v/>
      </c>
      <c r="E89" s="260">
        <f>IF($B89="","",IFERROR(BDP($B89&amp;" Action","CP037"),""))</f>
        <v/>
      </c>
      <c r="F89" s="261">
        <f>Database!T89</f>
        <v/>
      </c>
      <c r="G89" s="260">
        <f>IF($B89="","",IFERROR(BDP($B89&amp;" Action","GREENSHOE_FACILITY"),""))</f>
        <v/>
      </c>
      <c r="H89" s="260">
        <f>IF($B89="","",IFERROR(BDP($B89&amp;" Action","OFFERING_GREENSHOE_SHARES_EX"),""))</f>
        <v/>
      </c>
      <c r="I89" s="51">
        <f>Database!AE89</f>
        <v/>
      </c>
      <c r="J89" s="58">
        <f>IFERROR(BDP(TEXT(VALUE(Database!$A89),"0")&amp;" HK Equity","PE_RATIO"),"")</f>
        <v/>
      </c>
      <c r="K89" s="43">
        <f>IFERROR(BDP(TEXT(VALUE(Database!$A89),"0")&amp;" HK Equity","A/H_SHARE_CONVERSION"),"")</f>
        <v/>
      </c>
      <c r="L89" s="51">
        <f>IF(Database!BN89="","(none found)",Database!BN89)</f>
        <v/>
      </c>
      <c r="M89" s="53">
        <f>IFERROR(INDEX(BDH(TEXT(VALUE(Database!$A89),"0")&amp;" HK Equity","CUR_MKT_CAP",Database!$H89,Database!$H89),MATCH(Database!$H89,INDEX(BDH(TEXT(VALUE(Database!$A89),"0")&amp;" HK Equity","CUR_MKT_CAP",Database!$H89,Database!$H89),0,1),0),2),"run on terminal")</f>
        <v/>
      </c>
      <c r="N89" s="213">
        <f>Database!Q89</f>
        <v/>
      </c>
      <c r="O89" s="58">
        <f>IFERROR(INDEX(BDH(TEXT(VALUE(Database!$A89),"0")&amp;" HK Equity","PE_RATIO",Database!$H89,Database!$H89),MATCH(Database!$H89,INDEX(BDH(TEXT(VALUE(Database!$A89),"0")&amp;" HK Equity","PE_RATIO",Database!$H89,Database!$H89),0,1),0),2),"run on terminal")</f>
        <v/>
      </c>
      <c r="P89" s="251">
        <f>IF(Database!BH89="","(n/m or not derivable)",Database!BH89)</f>
        <v/>
      </c>
      <c r="Q89" s="58">
        <f>IF(Database!BN89="","",IFERROR(INDEX(BDH(LEFT(Database!BN89,FIND(".",Database!BN89)-1)&amp;" CH Equity","PE_RATIO",Database!$H89,Database!$H89),MATCH(Database!$H89,INDEX(BDH(LEFT(Database!BN89,FIND(".",Database!BN89)-1)&amp;" CH Equity","PE_RATIO",Database!$H89,Database!$H89),0,1),0),2),"run on terminal"))</f>
        <v/>
      </c>
      <c r="R89" s="58">
        <f>IF(Database!BN89="","",IFERROR(INDEX(BDH("HSAHP Index","PX_LAST",Database!$H89,Database!$H89),MATCH(Database!$H89,INDEX(BDH("HSAHP Index","PX_LAST",Database!$H89,Database!$H89),0,1),0),2),"run on terminal"))</f>
        <v/>
      </c>
      <c r="S89" s="58">
        <f>IFERROR(BDP(TEXT(VALUE(Database!$A89),"0")&amp;" HK Equity","PX_TO_SALES_RATIO"),"")</f>
        <v/>
      </c>
      <c r="T89" s="53">
        <f>IF(Database!BN89="","",IFERROR(BDP(LEFT(Database!BN89,FIND(".",Database!BN89)-1)&amp;" CH Equity","CUR_MKT_CAP")*BDP("CNYHKD Curncy","PX_LAST"),"run on terminal"))</f>
        <v/>
      </c>
    </row>
    <row r="90" ht="23" customHeight="1">
      <c r="A90" s="51">
        <f>Database!A90&amp;"  "&amp;Database!B90</f>
        <v/>
      </c>
      <c r="B90" s="43">
        <f>IFERROR(INDEX(BDS(TEXT(VALUE(Database!$A90),"0")&amp;" HK Equity","EQUITY_OFFERINGS","array=t","endcol=1"),MATCH("IPO",BDS(TEXT(VALUE(Database!$A90),"0")&amp;" HK Equity","EQUITY_OFFERINGS","array=t","startcol=2","endcol=2"),0)),"")</f>
        <v/>
      </c>
      <c r="C90" s="260">
        <f>IF($B90="","",IFERROR(BDP($B90&amp;" Action","CP036"),""))</f>
        <v/>
      </c>
      <c r="D90" s="261">
        <f>Database!S90</f>
        <v/>
      </c>
      <c r="E90" s="260">
        <f>IF($B90="","",IFERROR(BDP($B90&amp;" Action","CP037"),""))</f>
        <v/>
      </c>
      <c r="F90" s="261">
        <f>Database!T90</f>
        <v/>
      </c>
      <c r="G90" s="260">
        <f>IF($B90="","",IFERROR(BDP($B90&amp;" Action","GREENSHOE_FACILITY"),""))</f>
        <v/>
      </c>
      <c r="H90" s="260">
        <f>IF($B90="","",IFERROR(BDP($B90&amp;" Action","OFFERING_GREENSHOE_SHARES_EX"),""))</f>
        <v/>
      </c>
      <c r="I90" s="51">
        <f>Database!AE90</f>
        <v/>
      </c>
      <c r="J90" s="58">
        <f>IFERROR(BDP(TEXT(VALUE(Database!$A90),"0")&amp;" HK Equity","PE_RATIO"),"")</f>
        <v/>
      </c>
      <c r="K90" s="43">
        <f>IFERROR(BDP(TEXT(VALUE(Database!$A90),"0")&amp;" HK Equity","A/H_SHARE_CONVERSION"),"")</f>
        <v/>
      </c>
      <c r="L90" s="51">
        <f>IF(Database!BN90="","(none found)",Database!BN90)</f>
        <v/>
      </c>
      <c r="M90" s="53">
        <f>IFERROR(INDEX(BDH(TEXT(VALUE(Database!$A90),"0")&amp;" HK Equity","CUR_MKT_CAP",Database!$H90,Database!$H90),MATCH(Database!$H90,INDEX(BDH(TEXT(VALUE(Database!$A90),"0")&amp;" HK Equity","CUR_MKT_CAP",Database!$H90,Database!$H90),0,1),0),2),"run on terminal")</f>
        <v/>
      </c>
      <c r="N90" s="213">
        <f>Database!Q90</f>
        <v/>
      </c>
      <c r="O90" s="58">
        <f>IFERROR(INDEX(BDH(TEXT(VALUE(Database!$A90),"0")&amp;" HK Equity","PE_RATIO",Database!$H90,Database!$H90),MATCH(Database!$H90,INDEX(BDH(TEXT(VALUE(Database!$A90),"0")&amp;" HK Equity","PE_RATIO",Database!$H90,Database!$H90),0,1),0),2),"run on terminal")</f>
        <v/>
      </c>
      <c r="P90" s="251">
        <f>IF(Database!BH90="","(n/m or not derivable)",Database!BH90)</f>
        <v/>
      </c>
      <c r="Q90" s="58">
        <f>IF(Database!BN90="","",IFERROR(INDEX(BDH(LEFT(Database!BN90,FIND(".",Database!BN90)-1)&amp;" CH Equity","PE_RATIO",Database!$H90,Database!$H90),MATCH(Database!$H90,INDEX(BDH(LEFT(Database!BN90,FIND(".",Database!BN90)-1)&amp;" CH Equity","PE_RATIO",Database!$H90,Database!$H90),0,1),0),2),"run on terminal"))</f>
        <v/>
      </c>
      <c r="R90" s="58">
        <f>IF(Database!BN90="","",IFERROR(INDEX(BDH("HSAHP Index","PX_LAST",Database!$H90,Database!$H90),MATCH(Database!$H90,INDEX(BDH("HSAHP Index","PX_LAST",Database!$H90,Database!$H90),0,1),0),2),"run on terminal"))</f>
        <v/>
      </c>
      <c r="S90" s="58">
        <f>IFERROR(BDP(TEXT(VALUE(Database!$A90),"0")&amp;" HK Equity","PX_TO_SALES_RATIO"),"")</f>
        <v/>
      </c>
      <c r="T90" s="53">
        <f>IF(Database!BN90="","",IFERROR(BDP(LEFT(Database!BN90,FIND(".",Database!BN90)-1)&amp;" CH Equity","CUR_MKT_CAP")*BDP("CNYHKD Curncy","PX_LAST"),"run on terminal"))</f>
        <v/>
      </c>
    </row>
    <row r="91" ht="23" customHeight="1">
      <c r="A91" s="51">
        <f>Database!A91&amp;"  "&amp;Database!B91</f>
        <v/>
      </c>
      <c r="B91" s="43">
        <f>IFERROR(INDEX(BDS(TEXT(VALUE(Database!$A91),"0")&amp;" HK Equity","EQUITY_OFFERINGS","array=t","endcol=1"),MATCH("IPO",BDS(TEXT(VALUE(Database!$A91),"0")&amp;" HK Equity","EQUITY_OFFERINGS","array=t","startcol=2","endcol=2"),0)),"")</f>
        <v/>
      </c>
      <c r="C91" s="260">
        <f>IF($B91="","",IFERROR(BDP($B91&amp;" Action","CP036"),""))</f>
        <v/>
      </c>
      <c r="D91" s="261">
        <f>Database!S91</f>
        <v/>
      </c>
      <c r="E91" s="260">
        <f>IF($B91="","",IFERROR(BDP($B91&amp;" Action","CP037"),""))</f>
        <v/>
      </c>
      <c r="F91" s="261">
        <f>Database!T91</f>
        <v/>
      </c>
      <c r="G91" s="260">
        <f>IF($B91="","",IFERROR(BDP($B91&amp;" Action","GREENSHOE_FACILITY"),""))</f>
        <v/>
      </c>
      <c r="H91" s="260">
        <f>IF($B91="","",IFERROR(BDP($B91&amp;" Action","OFFERING_GREENSHOE_SHARES_EX"),""))</f>
        <v/>
      </c>
      <c r="I91" s="51">
        <f>Database!AE91</f>
        <v/>
      </c>
      <c r="J91" s="58">
        <f>IFERROR(BDP(TEXT(VALUE(Database!$A91),"0")&amp;" HK Equity","PE_RATIO"),"")</f>
        <v/>
      </c>
      <c r="K91" s="43">
        <f>IFERROR(BDP(TEXT(VALUE(Database!$A91),"0")&amp;" HK Equity","A/H_SHARE_CONVERSION"),"")</f>
        <v/>
      </c>
      <c r="L91" s="51">
        <f>IF(Database!BN91="","(none found)",Database!BN91)</f>
        <v/>
      </c>
      <c r="M91" s="53">
        <f>IFERROR(INDEX(BDH(TEXT(VALUE(Database!$A91),"0")&amp;" HK Equity","CUR_MKT_CAP",Database!$H91,Database!$H91),MATCH(Database!$H91,INDEX(BDH(TEXT(VALUE(Database!$A91),"0")&amp;" HK Equity","CUR_MKT_CAP",Database!$H91,Database!$H91),0,1),0),2),"run on terminal")</f>
        <v/>
      </c>
      <c r="N91" s="213">
        <f>Database!Q91</f>
        <v/>
      </c>
      <c r="O91" s="58">
        <f>IFERROR(INDEX(BDH(TEXT(VALUE(Database!$A91),"0")&amp;" HK Equity","PE_RATIO",Database!$H91,Database!$H91),MATCH(Database!$H91,INDEX(BDH(TEXT(VALUE(Database!$A91),"0")&amp;" HK Equity","PE_RATIO",Database!$H91,Database!$H91),0,1),0),2),"run on terminal")</f>
        <v/>
      </c>
      <c r="P91" s="251">
        <f>IF(Database!BH91="","(n/m or not derivable)",Database!BH91)</f>
        <v/>
      </c>
      <c r="Q91" s="58">
        <f>IF(Database!BN91="","",IFERROR(INDEX(BDH(LEFT(Database!BN91,FIND(".",Database!BN91)-1)&amp;" CH Equity","PE_RATIO",Database!$H91,Database!$H91),MATCH(Database!$H91,INDEX(BDH(LEFT(Database!BN91,FIND(".",Database!BN91)-1)&amp;" CH Equity","PE_RATIO",Database!$H91,Database!$H91),0,1),0),2),"run on terminal"))</f>
        <v/>
      </c>
      <c r="R91" s="58">
        <f>IF(Database!BN91="","",IFERROR(INDEX(BDH("HSAHP Index","PX_LAST",Database!$H91,Database!$H91),MATCH(Database!$H91,INDEX(BDH("HSAHP Index","PX_LAST",Database!$H91,Database!$H91),0,1),0),2),"run on terminal"))</f>
        <v/>
      </c>
      <c r="S91" s="58">
        <f>IFERROR(BDP(TEXT(VALUE(Database!$A91),"0")&amp;" HK Equity","PX_TO_SALES_RATIO"),"")</f>
        <v/>
      </c>
      <c r="T91" s="53">
        <f>IF(Database!BN91="","",IFERROR(BDP(LEFT(Database!BN91,FIND(".",Database!BN91)-1)&amp;" CH Equity","CUR_MKT_CAP")*BDP("CNYHKD Curncy","PX_LAST"),"run on terminal"))</f>
        <v/>
      </c>
    </row>
    <row r="92" ht="23" customHeight="1">
      <c r="A92" s="51">
        <f>Database!A92&amp;"  "&amp;Database!B92</f>
        <v/>
      </c>
      <c r="B92" s="43">
        <f>IFERROR(INDEX(BDS(TEXT(VALUE(Database!$A92),"0")&amp;" HK Equity","EQUITY_OFFERINGS","array=t","endcol=1"),MATCH("IPO",BDS(TEXT(VALUE(Database!$A92),"0")&amp;" HK Equity","EQUITY_OFFERINGS","array=t","startcol=2","endcol=2"),0)),"")</f>
        <v/>
      </c>
      <c r="C92" s="260">
        <f>IF($B92="","",IFERROR(BDP($B92&amp;" Action","CP036"),""))</f>
        <v/>
      </c>
      <c r="D92" s="261">
        <f>Database!S92</f>
        <v/>
      </c>
      <c r="E92" s="260">
        <f>IF($B92="","",IFERROR(BDP($B92&amp;" Action","CP037"),""))</f>
        <v/>
      </c>
      <c r="F92" s="261">
        <f>Database!T92</f>
        <v/>
      </c>
      <c r="G92" s="260">
        <f>IF($B92="","",IFERROR(BDP($B92&amp;" Action","GREENSHOE_FACILITY"),""))</f>
        <v/>
      </c>
      <c r="H92" s="260">
        <f>IF($B92="","",IFERROR(BDP($B92&amp;" Action","OFFERING_GREENSHOE_SHARES_EX"),""))</f>
        <v/>
      </c>
      <c r="I92" s="51">
        <f>Database!AE92</f>
        <v/>
      </c>
      <c r="J92" s="58">
        <f>IFERROR(BDP(TEXT(VALUE(Database!$A92),"0")&amp;" HK Equity","PE_RATIO"),"")</f>
        <v/>
      </c>
      <c r="K92" s="43">
        <f>IFERROR(BDP(TEXT(VALUE(Database!$A92),"0")&amp;" HK Equity","A/H_SHARE_CONVERSION"),"")</f>
        <v/>
      </c>
      <c r="L92" s="51">
        <f>IF(Database!BN92="","(none found)",Database!BN92)</f>
        <v/>
      </c>
      <c r="M92" s="53">
        <f>IFERROR(INDEX(BDH(TEXT(VALUE(Database!$A92),"0")&amp;" HK Equity","CUR_MKT_CAP",Database!$H92,Database!$H92),MATCH(Database!$H92,INDEX(BDH(TEXT(VALUE(Database!$A92),"0")&amp;" HK Equity","CUR_MKT_CAP",Database!$H92,Database!$H92),0,1),0),2),"run on terminal")</f>
        <v/>
      </c>
      <c r="N92" s="213">
        <f>Database!Q92</f>
        <v/>
      </c>
      <c r="O92" s="58">
        <f>IFERROR(INDEX(BDH(TEXT(VALUE(Database!$A92),"0")&amp;" HK Equity","PE_RATIO",Database!$H92,Database!$H92),MATCH(Database!$H92,INDEX(BDH(TEXT(VALUE(Database!$A92),"0")&amp;" HK Equity","PE_RATIO",Database!$H92,Database!$H92),0,1),0),2),"run on terminal")</f>
        <v/>
      </c>
      <c r="P92" s="251">
        <f>IF(Database!BH92="","(n/m or not derivable)",Database!BH92)</f>
        <v/>
      </c>
      <c r="Q92" s="58">
        <f>IF(Database!BN92="","",IFERROR(INDEX(BDH(LEFT(Database!BN92,FIND(".",Database!BN92)-1)&amp;" CH Equity","PE_RATIO",Database!$H92,Database!$H92),MATCH(Database!$H92,INDEX(BDH(LEFT(Database!BN92,FIND(".",Database!BN92)-1)&amp;" CH Equity","PE_RATIO",Database!$H92,Database!$H92),0,1),0),2),"run on terminal"))</f>
        <v/>
      </c>
      <c r="R92" s="58">
        <f>IF(Database!BN92="","",IFERROR(INDEX(BDH("HSAHP Index","PX_LAST",Database!$H92,Database!$H92),MATCH(Database!$H92,INDEX(BDH("HSAHP Index","PX_LAST",Database!$H92,Database!$H92),0,1),0),2),"run on terminal"))</f>
        <v/>
      </c>
      <c r="S92" s="58">
        <f>IFERROR(BDP(TEXT(VALUE(Database!$A92),"0")&amp;" HK Equity","PX_TO_SALES_RATIO"),"")</f>
        <v/>
      </c>
      <c r="T92" s="53">
        <f>IF(Database!BN92="","",IFERROR(BDP(LEFT(Database!BN92,FIND(".",Database!BN92)-1)&amp;" CH Equity","CUR_MKT_CAP")*BDP("CNYHKD Curncy","PX_LAST"),"run on terminal"))</f>
        <v/>
      </c>
    </row>
    <row r="93" ht="23" customHeight="1">
      <c r="A93" s="51">
        <f>Database!A93&amp;"  "&amp;Database!B93</f>
        <v/>
      </c>
      <c r="B93" s="43">
        <f>IFERROR(INDEX(BDS(TEXT(VALUE(Database!$A93),"0")&amp;" HK Equity","EQUITY_OFFERINGS","array=t","endcol=1"),MATCH("IPO",BDS(TEXT(VALUE(Database!$A93),"0")&amp;" HK Equity","EQUITY_OFFERINGS","array=t","startcol=2","endcol=2"),0)),"")</f>
        <v/>
      </c>
      <c r="C93" s="260">
        <f>IF($B93="","",IFERROR(BDP($B93&amp;" Action","CP036"),""))</f>
        <v/>
      </c>
      <c r="D93" s="261">
        <f>Database!S93</f>
        <v/>
      </c>
      <c r="E93" s="260">
        <f>IF($B93="","",IFERROR(BDP($B93&amp;" Action","CP037"),""))</f>
        <v/>
      </c>
      <c r="F93" s="261">
        <f>Database!T93</f>
        <v/>
      </c>
      <c r="G93" s="260">
        <f>IF($B93="","",IFERROR(BDP($B93&amp;" Action","GREENSHOE_FACILITY"),""))</f>
        <v/>
      </c>
      <c r="H93" s="260">
        <f>IF($B93="","",IFERROR(BDP($B93&amp;" Action","OFFERING_GREENSHOE_SHARES_EX"),""))</f>
        <v/>
      </c>
      <c r="I93" s="51">
        <f>Database!AE93</f>
        <v/>
      </c>
      <c r="J93" s="58">
        <f>IFERROR(BDP(TEXT(VALUE(Database!$A93),"0")&amp;" HK Equity","PE_RATIO"),"")</f>
        <v/>
      </c>
      <c r="K93" s="43">
        <f>IFERROR(BDP(TEXT(VALUE(Database!$A93),"0")&amp;" HK Equity","A/H_SHARE_CONVERSION"),"")</f>
        <v/>
      </c>
      <c r="L93" s="51">
        <f>IF(Database!BN93="","(none found)",Database!BN93)</f>
        <v/>
      </c>
      <c r="M93" s="53">
        <f>IFERROR(INDEX(BDH(TEXT(VALUE(Database!$A93),"0")&amp;" HK Equity","CUR_MKT_CAP",Database!$H93,Database!$H93),MATCH(Database!$H93,INDEX(BDH(TEXT(VALUE(Database!$A93),"0")&amp;" HK Equity","CUR_MKT_CAP",Database!$H93,Database!$H93),0,1),0),2),"run on terminal")</f>
        <v/>
      </c>
      <c r="N93" s="213">
        <f>Database!Q93</f>
        <v/>
      </c>
      <c r="O93" s="58">
        <f>IFERROR(INDEX(BDH(TEXT(VALUE(Database!$A93),"0")&amp;" HK Equity","PE_RATIO",Database!$H93,Database!$H93),MATCH(Database!$H93,INDEX(BDH(TEXT(VALUE(Database!$A93),"0")&amp;" HK Equity","PE_RATIO",Database!$H93,Database!$H93),0,1),0),2),"run on terminal")</f>
        <v/>
      </c>
      <c r="P93" s="251">
        <f>IF(Database!BH93="","(n/m or not derivable)",Database!BH93)</f>
        <v/>
      </c>
      <c r="Q93" s="58">
        <f>IF(Database!BN93="","",IFERROR(INDEX(BDH(LEFT(Database!BN93,FIND(".",Database!BN93)-1)&amp;" CH Equity","PE_RATIO",Database!$H93,Database!$H93),MATCH(Database!$H93,INDEX(BDH(LEFT(Database!BN93,FIND(".",Database!BN93)-1)&amp;" CH Equity","PE_RATIO",Database!$H93,Database!$H93),0,1),0),2),"run on terminal"))</f>
        <v/>
      </c>
      <c r="R93" s="58">
        <f>IF(Database!BN93="","",IFERROR(INDEX(BDH("HSAHP Index","PX_LAST",Database!$H93,Database!$H93),MATCH(Database!$H93,INDEX(BDH("HSAHP Index","PX_LAST",Database!$H93,Database!$H93),0,1),0),2),"run on terminal"))</f>
        <v/>
      </c>
      <c r="S93" s="58">
        <f>IFERROR(BDP(TEXT(VALUE(Database!$A93),"0")&amp;" HK Equity","PX_TO_SALES_RATIO"),"")</f>
        <v/>
      </c>
      <c r="T93" s="53">
        <f>IF(Database!BN93="","",IFERROR(BDP(LEFT(Database!BN93,FIND(".",Database!BN93)-1)&amp;" CH Equity","CUR_MKT_CAP")*BDP("CNYHKD Curncy","PX_LAST"),"run on terminal"))</f>
        <v/>
      </c>
    </row>
    <row r="94" ht="23" customHeight="1">
      <c r="A94" s="51">
        <f>Database!A94&amp;"  "&amp;Database!B94</f>
        <v/>
      </c>
      <c r="B94" s="43">
        <f>IFERROR(INDEX(BDS(TEXT(VALUE(Database!$A94),"0")&amp;" HK Equity","EQUITY_OFFERINGS","array=t","endcol=1"),MATCH("IPO",BDS(TEXT(VALUE(Database!$A94),"0")&amp;" HK Equity","EQUITY_OFFERINGS","array=t","startcol=2","endcol=2"),0)),"")</f>
        <v/>
      </c>
      <c r="C94" s="260">
        <f>IF($B94="","",IFERROR(BDP($B94&amp;" Action","CP036"),""))</f>
        <v/>
      </c>
      <c r="D94" s="261">
        <f>Database!S94</f>
        <v/>
      </c>
      <c r="E94" s="260">
        <f>IF($B94="","",IFERROR(BDP($B94&amp;" Action","CP037"),""))</f>
        <v/>
      </c>
      <c r="F94" s="261">
        <f>Database!T94</f>
        <v/>
      </c>
      <c r="G94" s="260">
        <f>IF($B94="","",IFERROR(BDP($B94&amp;" Action","GREENSHOE_FACILITY"),""))</f>
        <v/>
      </c>
      <c r="H94" s="260">
        <f>IF($B94="","",IFERROR(BDP($B94&amp;" Action","OFFERING_GREENSHOE_SHARES_EX"),""))</f>
        <v/>
      </c>
      <c r="I94" s="51">
        <f>Database!AE94</f>
        <v/>
      </c>
      <c r="J94" s="58">
        <f>IFERROR(BDP(TEXT(VALUE(Database!$A94),"0")&amp;" HK Equity","PE_RATIO"),"")</f>
        <v/>
      </c>
      <c r="K94" s="43">
        <f>IFERROR(BDP(TEXT(VALUE(Database!$A94),"0")&amp;" HK Equity","A/H_SHARE_CONVERSION"),"")</f>
        <v/>
      </c>
      <c r="L94" s="51">
        <f>IF(Database!BN94="","(none found)",Database!BN94)</f>
        <v/>
      </c>
      <c r="M94" s="53">
        <f>IFERROR(INDEX(BDH(TEXT(VALUE(Database!$A94),"0")&amp;" HK Equity","CUR_MKT_CAP",Database!$H94,Database!$H94),MATCH(Database!$H94,INDEX(BDH(TEXT(VALUE(Database!$A94),"0")&amp;" HK Equity","CUR_MKT_CAP",Database!$H94,Database!$H94),0,1),0),2),"run on terminal")</f>
        <v/>
      </c>
      <c r="N94" s="213">
        <f>Database!Q94</f>
        <v/>
      </c>
      <c r="O94" s="58">
        <f>IFERROR(INDEX(BDH(TEXT(VALUE(Database!$A94),"0")&amp;" HK Equity","PE_RATIO",Database!$H94,Database!$H94),MATCH(Database!$H94,INDEX(BDH(TEXT(VALUE(Database!$A94),"0")&amp;" HK Equity","PE_RATIO",Database!$H94,Database!$H94),0,1),0),2),"run on terminal")</f>
        <v/>
      </c>
      <c r="P94" s="251">
        <f>IF(Database!BH94="","(n/m or not derivable)",Database!BH94)</f>
        <v/>
      </c>
      <c r="Q94" s="58">
        <f>IF(Database!BN94="","",IFERROR(INDEX(BDH(LEFT(Database!BN94,FIND(".",Database!BN94)-1)&amp;" CH Equity","PE_RATIO",Database!$H94,Database!$H94),MATCH(Database!$H94,INDEX(BDH(LEFT(Database!BN94,FIND(".",Database!BN94)-1)&amp;" CH Equity","PE_RATIO",Database!$H94,Database!$H94),0,1),0),2),"run on terminal"))</f>
        <v/>
      </c>
      <c r="R94" s="58">
        <f>IF(Database!BN94="","",IFERROR(INDEX(BDH("HSAHP Index","PX_LAST",Database!$H94,Database!$H94),MATCH(Database!$H94,INDEX(BDH("HSAHP Index","PX_LAST",Database!$H94,Database!$H94),0,1),0),2),"run on terminal"))</f>
        <v/>
      </c>
      <c r="S94" s="58">
        <f>IFERROR(BDP(TEXT(VALUE(Database!$A94),"0")&amp;" HK Equity","PX_TO_SALES_RATIO"),"")</f>
        <v/>
      </c>
      <c r="T94" s="53">
        <f>IF(Database!BN94="","",IFERROR(BDP(LEFT(Database!BN94,FIND(".",Database!BN94)-1)&amp;" CH Equity","CUR_MKT_CAP")*BDP("CNYHKD Curncy","PX_LAST"),"run on terminal"))</f>
        <v/>
      </c>
    </row>
    <row r="95" ht="23" customHeight="1">
      <c r="A95" s="51">
        <f>Database!A95&amp;"  "&amp;Database!B95</f>
        <v/>
      </c>
      <c r="B95" s="43">
        <f>IFERROR(INDEX(BDS(TEXT(VALUE(Database!$A95),"0")&amp;" HK Equity","EQUITY_OFFERINGS","array=t","endcol=1"),MATCH("IPO",BDS(TEXT(VALUE(Database!$A95),"0")&amp;" HK Equity","EQUITY_OFFERINGS","array=t","startcol=2","endcol=2"),0)),"")</f>
        <v/>
      </c>
      <c r="C95" s="260">
        <f>IF($B95="","",IFERROR(BDP($B95&amp;" Action","CP036"),""))</f>
        <v/>
      </c>
      <c r="D95" s="261">
        <f>Database!S95</f>
        <v/>
      </c>
      <c r="E95" s="260">
        <f>IF($B95="","",IFERROR(BDP($B95&amp;" Action","CP037"),""))</f>
        <v/>
      </c>
      <c r="F95" s="261">
        <f>Database!T95</f>
        <v/>
      </c>
      <c r="G95" s="260">
        <f>IF($B95="","",IFERROR(BDP($B95&amp;" Action","GREENSHOE_FACILITY"),""))</f>
        <v/>
      </c>
      <c r="H95" s="260">
        <f>IF($B95="","",IFERROR(BDP($B95&amp;" Action","OFFERING_GREENSHOE_SHARES_EX"),""))</f>
        <v/>
      </c>
      <c r="I95" s="51">
        <f>Database!AE95</f>
        <v/>
      </c>
      <c r="J95" s="58">
        <f>IFERROR(BDP(TEXT(VALUE(Database!$A95),"0")&amp;" HK Equity","PE_RATIO"),"")</f>
        <v/>
      </c>
      <c r="K95" s="43">
        <f>IFERROR(BDP(TEXT(VALUE(Database!$A95),"0")&amp;" HK Equity","A/H_SHARE_CONVERSION"),"")</f>
        <v/>
      </c>
      <c r="L95" s="51">
        <f>IF(Database!BN95="","(none found)",Database!BN95)</f>
        <v/>
      </c>
      <c r="M95" s="53">
        <f>IFERROR(INDEX(BDH(TEXT(VALUE(Database!$A95),"0")&amp;" HK Equity","CUR_MKT_CAP",Database!$H95,Database!$H95),MATCH(Database!$H95,INDEX(BDH(TEXT(VALUE(Database!$A95),"0")&amp;" HK Equity","CUR_MKT_CAP",Database!$H95,Database!$H95),0,1),0),2),"run on terminal")</f>
        <v/>
      </c>
      <c r="N95" s="213">
        <f>Database!Q95</f>
        <v/>
      </c>
      <c r="O95" s="58">
        <f>IFERROR(INDEX(BDH(TEXT(VALUE(Database!$A95),"0")&amp;" HK Equity","PE_RATIO",Database!$H95,Database!$H95),MATCH(Database!$H95,INDEX(BDH(TEXT(VALUE(Database!$A95),"0")&amp;" HK Equity","PE_RATIO",Database!$H95,Database!$H95),0,1),0),2),"run on terminal")</f>
        <v/>
      </c>
      <c r="P95" s="251">
        <f>IF(Database!BH95="","(n/m or not derivable)",Database!BH95)</f>
        <v/>
      </c>
      <c r="Q95" s="58">
        <f>IF(Database!BN95="","",IFERROR(INDEX(BDH(LEFT(Database!BN95,FIND(".",Database!BN95)-1)&amp;" CH Equity","PE_RATIO",Database!$H95,Database!$H95),MATCH(Database!$H95,INDEX(BDH(LEFT(Database!BN95,FIND(".",Database!BN95)-1)&amp;" CH Equity","PE_RATIO",Database!$H95,Database!$H95),0,1),0),2),"run on terminal"))</f>
        <v/>
      </c>
      <c r="R95" s="58">
        <f>IF(Database!BN95="","",IFERROR(INDEX(BDH("HSAHP Index","PX_LAST",Database!$H95,Database!$H95),MATCH(Database!$H95,INDEX(BDH("HSAHP Index","PX_LAST",Database!$H95,Database!$H95),0,1),0),2),"run on terminal"))</f>
        <v/>
      </c>
      <c r="S95" s="58">
        <f>IFERROR(BDP(TEXT(VALUE(Database!$A95),"0")&amp;" HK Equity","PX_TO_SALES_RATIO"),"")</f>
        <v/>
      </c>
      <c r="T95" s="53">
        <f>IF(Database!BN95="","",IFERROR(BDP(LEFT(Database!BN95,FIND(".",Database!BN95)-1)&amp;" CH Equity","CUR_MKT_CAP")*BDP("CNYHKD Curncy","PX_LAST"),"run on terminal"))</f>
        <v/>
      </c>
    </row>
    <row r="96" ht="23" customHeight="1">
      <c r="A96" s="51">
        <f>Database!A96&amp;"  "&amp;Database!B96</f>
        <v/>
      </c>
      <c r="B96" s="43">
        <f>IFERROR(INDEX(BDS(TEXT(VALUE(Database!$A96),"0")&amp;" HK Equity","EQUITY_OFFERINGS","array=t","endcol=1"),MATCH("IPO",BDS(TEXT(VALUE(Database!$A96),"0")&amp;" HK Equity","EQUITY_OFFERINGS","array=t","startcol=2","endcol=2"),0)),"")</f>
        <v/>
      </c>
      <c r="C96" s="260">
        <f>IF($B96="","",IFERROR(BDP($B96&amp;" Action","CP036"),""))</f>
        <v/>
      </c>
      <c r="D96" s="261">
        <f>Database!S96</f>
        <v/>
      </c>
      <c r="E96" s="260">
        <f>IF($B96="","",IFERROR(BDP($B96&amp;" Action","CP037"),""))</f>
        <v/>
      </c>
      <c r="F96" s="261">
        <f>Database!T96</f>
        <v/>
      </c>
      <c r="G96" s="260">
        <f>IF($B96="","",IFERROR(BDP($B96&amp;" Action","GREENSHOE_FACILITY"),""))</f>
        <v/>
      </c>
      <c r="H96" s="260">
        <f>IF($B96="","",IFERROR(BDP($B96&amp;" Action","OFFERING_GREENSHOE_SHARES_EX"),""))</f>
        <v/>
      </c>
      <c r="I96" s="51">
        <f>Database!AE96</f>
        <v/>
      </c>
      <c r="J96" s="58">
        <f>IFERROR(BDP(TEXT(VALUE(Database!$A96),"0")&amp;" HK Equity","PE_RATIO"),"")</f>
        <v/>
      </c>
      <c r="K96" s="43">
        <f>IFERROR(BDP(TEXT(VALUE(Database!$A96),"0")&amp;" HK Equity","A/H_SHARE_CONVERSION"),"")</f>
        <v/>
      </c>
      <c r="L96" s="51">
        <f>IF(Database!BN96="","(none found)",Database!BN96)</f>
        <v/>
      </c>
      <c r="M96" s="53">
        <f>IFERROR(INDEX(BDH(TEXT(VALUE(Database!$A96),"0")&amp;" HK Equity","CUR_MKT_CAP",Database!$H96,Database!$H96),MATCH(Database!$H96,INDEX(BDH(TEXT(VALUE(Database!$A96),"0")&amp;" HK Equity","CUR_MKT_CAP",Database!$H96,Database!$H96),0,1),0),2),"run on terminal")</f>
        <v/>
      </c>
      <c r="N96" s="213">
        <f>Database!Q96</f>
        <v/>
      </c>
      <c r="O96" s="58">
        <f>IFERROR(INDEX(BDH(TEXT(VALUE(Database!$A96),"0")&amp;" HK Equity","PE_RATIO",Database!$H96,Database!$H96),MATCH(Database!$H96,INDEX(BDH(TEXT(VALUE(Database!$A96),"0")&amp;" HK Equity","PE_RATIO",Database!$H96,Database!$H96),0,1),0),2),"run on terminal")</f>
        <v/>
      </c>
      <c r="P96" s="251">
        <f>IF(Database!BH96="","(n/m or not derivable)",Database!BH96)</f>
        <v/>
      </c>
      <c r="Q96" s="58">
        <f>IF(Database!BN96="","",IFERROR(INDEX(BDH(LEFT(Database!BN96,FIND(".",Database!BN96)-1)&amp;" CH Equity","PE_RATIO",Database!$H96,Database!$H96),MATCH(Database!$H96,INDEX(BDH(LEFT(Database!BN96,FIND(".",Database!BN96)-1)&amp;" CH Equity","PE_RATIO",Database!$H96,Database!$H96),0,1),0),2),"run on terminal"))</f>
        <v/>
      </c>
      <c r="R96" s="58">
        <f>IF(Database!BN96="","",IFERROR(INDEX(BDH("HSAHP Index","PX_LAST",Database!$H96,Database!$H96),MATCH(Database!$H96,INDEX(BDH("HSAHP Index","PX_LAST",Database!$H96,Database!$H96),0,1),0),2),"run on terminal"))</f>
        <v/>
      </c>
      <c r="S96" s="58">
        <f>IFERROR(BDP(TEXT(VALUE(Database!$A96),"0")&amp;" HK Equity","PX_TO_SALES_RATIO"),"")</f>
        <v/>
      </c>
      <c r="T96" s="53">
        <f>IF(Database!BN96="","",IFERROR(BDP(LEFT(Database!BN96,FIND(".",Database!BN96)-1)&amp;" CH Equity","CUR_MKT_CAP")*BDP("CNYHKD Curncy","PX_LAST"),"run on terminal"))</f>
        <v/>
      </c>
    </row>
    <row r="97" ht="23" customHeight="1">
      <c r="A97" s="51">
        <f>Database!A97&amp;"  "&amp;Database!B97</f>
        <v/>
      </c>
      <c r="B97" s="43">
        <f>IFERROR(INDEX(BDS(TEXT(VALUE(Database!$A97),"0")&amp;" HK Equity","EQUITY_OFFERINGS","array=t","endcol=1"),MATCH("IPO",BDS(TEXT(VALUE(Database!$A97),"0")&amp;" HK Equity","EQUITY_OFFERINGS","array=t","startcol=2","endcol=2"),0)),"")</f>
        <v/>
      </c>
      <c r="C97" s="260">
        <f>IF($B97="","",IFERROR(BDP($B97&amp;" Action","CP036"),""))</f>
        <v/>
      </c>
      <c r="D97" s="261">
        <f>Database!S97</f>
        <v/>
      </c>
      <c r="E97" s="260">
        <f>IF($B97="","",IFERROR(BDP($B97&amp;" Action","CP037"),""))</f>
        <v/>
      </c>
      <c r="F97" s="261">
        <f>Database!T97</f>
        <v/>
      </c>
      <c r="G97" s="260">
        <f>IF($B97="","",IFERROR(BDP($B97&amp;" Action","GREENSHOE_FACILITY"),""))</f>
        <v/>
      </c>
      <c r="H97" s="260">
        <f>IF($B97="","",IFERROR(BDP($B97&amp;" Action","OFFERING_GREENSHOE_SHARES_EX"),""))</f>
        <v/>
      </c>
      <c r="I97" s="51">
        <f>Database!AE97</f>
        <v/>
      </c>
      <c r="J97" s="58">
        <f>IFERROR(BDP(TEXT(VALUE(Database!$A97),"0")&amp;" HK Equity","PE_RATIO"),"")</f>
        <v/>
      </c>
      <c r="K97" s="43">
        <f>IFERROR(BDP(TEXT(VALUE(Database!$A97),"0")&amp;" HK Equity","A/H_SHARE_CONVERSION"),"")</f>
        <v/>
      </c>
      <c r="L97" s="51">
        <f>IF(Database!BN97="","(none found)",Database!BN97)</f>
        <v/>
      </c>
      <c r="M97" s="53">
        <f>IFERROR(INDEX(BDH(TEXT(VALUE(Database!$A97),"0")&amp;" HK Equity","CUR_MKT_CAP",Database!$H97,Database!$H97),MATCH(Database!$H97,INDEX(BDH(TEXT(VALUE(Database!$A97),"0")&amp;" HK Equity","CUR_MKT_CAP",Database!$H97,Database!$H97),0,1),0),2),"run on terminal")</f>
        <v/>
      </c>
      <c r="N97" s="213">
        <f>Database!Q97</f>
        <v/>
      </c>
      <c r="O97" s="58">
        <f>IFERROR(INDEX(BDH(TEXT(VALUE(Database!$A97),"0")&amp;" HK Equity","PE_RATIO",Database!$H97,Database!$H97),MATCH(Database!$H97,INDEX(BDH(TEXT(VALUE(Database!$A97),"0")&amp;" HK Equity","PE_RATIO",Database!$H97,Database!$H97),0,1),0),2),"run on terminal")</f>
        <v/>
      </c>
      <c r="P97" s="251">
        <f>IF(Database!BH97="","(n/m or not derivable)",Database!BH97)</f>
        <v/>
      </c>
      <c r="Q97" s="58">
        <f>IF(Database!BN97="","",IFERROR(INDEX(BDH(LEFT(Database!BN97,FIND(".",Database!BN97)-1)&amp;" CH Equity","PE_RATIO",Database!$H97,Database!$H97),MATCH(Database!$H97,INDEX(BDH(LEFT(Database!BN97,FIND(".",Database!BN97)-1)&amp;" CH Equity","PE_RATIO",Database!$H97,Database!$H97),0,1),0),2),"run on terminal"))</f>
        <v/>
      </c>
      <c r="R97" s="58">
        <f>IF(Database!BN97="","",IFERROR(INDEX(BDH("HSAHP Index","PX_LAST",Database!$H97,Database!$H97),MATCH(Database!$H97,INDEX(BDH("HSAHP Index","PX_LAST",Database!$H97,Database!$H97),0,1),0),2),"run on terminal"))</f>
        <v/>
      </c>
      <c r="S97" s="58">
        <f>IFERROR(BDP(TEXT(VALUE(Database!$A97),"0")&amp;" HK Equity","PX_TO_SALES_RATIO"),"")</f>
        <v/>
      </c>
      <c r="T97" s="53">
        <f>IF(Database!BN97="","",IFERROR(BDP(LEFT(Database!BN97,FIND(".",Database!BN97)-1)&amp;" CH Equity","CUR_MKT_CAP")*BDP("CNYHKD Curncy","PX_LAST"),"run on terminal"))</f>
        <v/>
      </c>
    </row>
    <row r="98" ht="23" customHeight="1">
      <c r="A98" s="51">
        <f>Database!A98&amp;"  "&amp;Database!B98</f>
        <v/>
      </c>
      <c r="B98" s="43">
        <f>IFERROR(INDEX(BDS(TEXT(VALUE(Database!$A98),"0")&amp;" HK Equity","EQUITY_OFFERINGS","array=t","endcol=1"),MATCH("IPO",BDS(TEXT(VALUE(Database!$A98),"0")&amp;" HK Equity","EQUITY_OFFERINGS","array=t","startcol=2","endcol=2"),0)),"")</f>
        <v/>
      </c>
      <c r="C98" s="260">
        <f>IF($B98="","",IFERROR(BDP($B98&amp;" Action","CP036"),""))</f>
        <v/>
      </c>
      <c r="D98" s="261">
        <f>Database!S98</f>
        <v/>
      </c>
      <c r="E98" s="260">
        <f>IF($B98="","",IFERROR(BDP($B98&amp;" Action","CP037"),""))</f>
        <v/>
      </c>
      <c r="F98" s="261">
        <f>Database!T98</f>
        <v/>
      </c>
      <c r="G98" s="260">
        <f>IF($B98="","",IFERROR(BDP($B98&amp;" Action","GREENSHOE_FACILITY"),""))</f>
        <v/>
      </c>
      <c r="H98" s="260">
        <f>IF($B98="","",IFERROR(BDP($B98&amp;" Action","OFFERING_GREENSHOE_SHARES_EX"),""))</f>
        <v/>
      </c>
      <c r="I98" s="51">
        <f>Database!AE98</f>
        <v/>
      </c>
      <c r="J98" s="58">
        <f>IFERROR(BDP(TEXT(VALUE(Database!$A98),"0")&amp;" HK Equity","PE_RATIO"),"")</f>
        <v/>
      </c>
      <c r="K98" s="43">
        <f>IFERROR(BDP(TEXT(VALUE(Database!$A98),"0")&amp;" HK Equity","A/H_SHARE_CONVERSION"),"")</f>
        <v/>
      </c>
      <c r="L98" s="51">
        <f>IF(Database!BN98="","(none found)",Database!BN98)</f>
        <v/>
      </c>
      <c r="M98" s="53">
        <f>IFERROR(INDEX(BDH(TEXT(VALUE(Database!$A98),"0")&amp;" HK Equity","CUR_MKT_CAP",Database!$H98,Database!$H98),MATCH(Database!$H98,INDEX(BDH(TEXT(VALUE(Database!$A98),"0")&amp;" HK Equity","CUR_MKT_CAP",Database!$H98,Database!$H98),0,1),0),2),"run on terminal")</f>
        <v/>
      </c>
      <c r="N98" s="213">
        <f>Database!Q98</f>
        <v/>
      </c>
      <c r="O98" s="58">
        <f>IFERROR(INDEX(BDH(TEXT(VALUE(Database!$A98),"0")&amp;" HK Equity","PE_RATIO",Database!$H98,Database!$H98),MATCH(Database!$H98,INDEX(BDH(TEXT(VALUE(Database!$A98),"0")&amp;" HK Equity","PE_RATIO",Database!$H98,Database!$H98),0,1),0),2),"run on terminal")</f>
        <v/>
      </c>
      <c r="P98" s="251">
        <f>IF(Database!BH98="","(n/m or not derivable)",Database!BH98)</f>
        <v/>
      </c>
      <c r="Q98" s="58">
        <f>IF(Database!BN98="","",IFERROR(INDEX(BDH(LEFT(Database!BN98,FIND(".",Database!BN98)-1)&amp;" CH Equity","PE_RATIO",Database!$H98,Database!$H98),MATCH(Database!$H98,INDEX(BDH(LEFT(Database!BN98,FIND(".",Database!BN98)-1)&amp;" CH Equity","PE_RATIO",Database!$H98,Database!$H98),0,1),0),2),"run on terminal"))</f>
        <v/>
      </c>
      <c r="R98" s="58">
        <f>IF(Database!BN98="","",IFERROR(INDEX(BDH("HSAHP Index","PX_LAST",Database!$H98,Database!$H98),MATCH(Database!$H98,INDEX(BDH("HSAHP Index","PX_LAST",Database!$H98,Database!$H98),0,1),0),2),"run on terminal"))</f>
        <v/>
      </c>
      <c r="S98" s="58">
        <f>IFERROR(BDP(TEXT(VALUE(Database!$A98),"0")&amp;" HK Equity","PX_TO_SALES_RATIO"),"")</f>
        <v/>
      </c>
      <c r="T98" s="53">
        <f>IF(Database!BN98="","",IFERROR(BDP(LEFT(Database!BN98,FIND(".",Database!BN98)-1)&amp;" CH Equity","CUR_MKT_CAP")*BDP("CNYHKD Curncy","PX_LAST"),"run on terminal"))</f>
        <v/>
      </c>
    </row>
    <row r="99" ht="23" customHeight="1">
      <c r="A99" s="51">
        <f>Database!A99&amp;"  "&amp;Database!B99</f>
        <v/>
      </c>
      <c r="B99" s="43">
        <f>IFERROR(INDEX(BDS(TEXT(VALUE(Database!$A99),"0")&amp;" HK Equity","EQUITY_OFFERINGS","array=t","endcol=1"),MATCH("IPO",BDS(TEXT(VALUE(Database!$A99),"0")&amp;" HK Equity","EQUITY_OFFERINGS","array=t","startcol=2","endcol=2"),0)),"")</f>
        <v/>
      </c>
      <c r="C99" s="260">
        <f>IF($B99="","",IFERROR(BDP($B99&amp;" Action","CP036"),""))</f>
        <v/>
      </c>
      <c r="D99" s="261">
        <f>Database!S99</f>
        <v/>
      </c>
      <c r="E99" s="260">
        <f>IF($B99="","",IFERROR(BDP($B99&amp;" Action","CP037"),""))</f>
        <v/>
      </c>
      <c r="F99" s="261">
        <f>Database!T99</f>
        <v/>
      </c>
      <c r="G99" s="260">
        <f>IF($B99="","",IFERROR(BDP($B99&amp;" Action","GREENSHOE_FACILITY"),""))</f>
        <v/>
      </c>
      <c r="H99" s="260">
        <f>IF($B99="","",IFERROR(BDP($B99&amp;" Action","OFFERING_GREENSHOE_SHARES_EX"),""))</f>
        <v/>
      </c>
      <c r="I99" s="51">
        <f>Database!AE99</f>
        <v/>
      </c>
      <c r="J99" s="58">
        <f>IFERROR(BDP(TEXT(VALUE(Database!$A99),"0")&amp;" HK Equity","PE_RATIO"),"")</f>
        <v/>
      </c>
      <c r="K99" s="43">
        <f>IFERROR(BDP(TEXT(VALUE(Database!$A99),"0")&amp;" HK Equity","A/H_SHARE_CONVERSION"),"")</f>
        <v/>
      </c>
      <c r="L99" s="51">
        <f>IF(Database!BN99="","(none found)",Database!BN99)</f>
        <v/>
      </c>
      <c r="M99" s="53">
        <f>IFERROR(INDEX(BDH(TEXT(VALUE(Database!$A99),"0")&amp;" HK Equity","CUR_MKT_CAP",Database!$H99,Database!$H99),MATCH(Database!$H99,INDEX(BDH(TEXT(VALUE(Database!$A99),"0")&amp;" HK Equity","CUR_MKT_CAP",Database!$H99,Database!$H99),0,1),0),2),"run on terminal")</f>
        <v/>
      </c>
      <c r="N99" s="213">
        <f>Database!Q99</f>
        <v/>
      </c>
      <c r="O99" s="58">
        <f>IFERROR(INDEX(BDH(TEXT(VALUE(Database!$A99),"0")&amp;" HK Equity","PE_RATIO",Database!$H99,Database!$H99),MATCH(Database!$H99,INDEX(BDH(TEXT(VALUE(Database!$A99),"0")&amp;" HK Equity","PE_RATIO",Database!$H99,Database!$H99),0,1),0),2),"run on terminal")</f>
        <v/>
      </c>
      <c r="P99" s="251">
        <f>IF(Database!BH99="","(n/m or not derivable)",Database!BH99)</f>
        <v/>
      </c>
      <c r="Q99" s="58">
        <f>IF(Database!BN99="","",IFERROR(INDEX(BDH(LEFT(Database!BN99,FIND(".",Database!BN99)-1)&amp;" CH Equity","PE_RATIO",Database!$H99,Database!$H99),MATCH(Database!$H99,INDEX(BDH(LEFT(Database!BN99,FIND(".",Database!BN99)-1)&amp;" CH Equity","PE_RATIO",Database!$H99,Database!$H99),0,1),0),2),"run on terminal"))</f>
        <v/>
      </c>
      <c r="R99" s="58">
        <f>IF(Database!BN99="","",IFERROR(INDEX(BDH("HSAHP Index","PX_LAST",Database!$H99,Database!$H99),MATCH(Database!$H99,INDEX(BDH("HSAHP Index","PX_LAST",Database!$H99,Database!$H99),0,1),0),2),"run on terminal"))</f>
        <v/>
      </c>
      <c r="S99" s="58">
        <f>IFERROR(BDP(TEXT(VALUE(Database!$A99),"0")&amp;" HK Equity","PX_TO_SALES_RATIO"),"")</f>
        <v/>
      </c>
      <c r="T99" s="53">
        <f>IF(Database!BN99="","",IFERROR(BDP(LEFT(Database!BN99,FIND(".",Database!BN99)-1)&amp;" CH Equity","CUR_MKT_CAP")*BDP("CNYHKD Curncy","PX_LAST"),"run on terminal"))</f>
        <v/>
      </c>
    </row>
    <row r="100" ht="23" customHeight="1">
      <c r="A100" s="51">
        <f>Database!A100&amp;"  "&amp;Database!B100</f>
        <v/>
      </c>
      <c r="B100" s="43">
        <f>IFERROR(INDEX(BDS(TEXT(VALUE(Database!$A100),"0")&amp;" HK Equity","EQUITY_OFFERINGS","array=t","endcol=1"),MATCH("IPO",BDS(TEXT(VALUE(Database!$A100),"0")&amp;" HK Equity","EQUITY_OFFERINGS","array=t","startcol=2","endcol=2"),0)),"")</f>
        <v/>
      </c>
      <c r="C100" s="260">
        <f>IF($B100="","",IFERROR(BDP($B100&amp;" Action","CP036"),""))</f>
        <v/>
      </c>
      <c r="D100" s="261">
        <f>Database!S100</f>
        <v/>
      </c>
      <c r="E100" s="260">
        <f>IF($B100="","",IFERROR(BDP($B100&amp;" Action","CP037"),""))</f>
        <v/>
      </c>
      <c r="F100" s="261">
        <f>Database!T100</f>
        <v/>
      </c>
      <c r="G100" s="260">
        <f>IF($B100="","",IFERROR(BDP($B100&amp;" Action","GREENSHOE_FACILITY"),""))</f>
        <v/>
      </c>
      <c r="H100" s="260">
        <f>IF($B100="","",IFERROR(BDP($B100&amp;" Action","OFFERING_GREENSHOE_SHARES_EX"),""))</f>
        <v/>
      </c>
      <c r="I100" s="51">
        <f>Database!AE100</f>
        <v/>
      </c>
      <c r="J100" s="58">
        <f>IFERROR(BDP(TEXT(VALUE(Database!$A100),"0")&amp;" HK Equity","PE_RATIO"),"")</f>
        <v/>
      </c>
      <c r="K100" s="43">
        <f>IFERROR(BDP(TEXT(VALUE(Database!$A100),"0")&amp;" HK Equity","A/H_SHARE_CONVERSION"),"")</f>
        <v/>
      </c>
      <c r="L100" s="51">
        <f>IF(Database!BN100="","(none found)",Database!BN100)</f>
        <v/>
      </c>
      <c r="M100" s="53">
        <f>IFERROR(INDEX(BDH(TEXT(VALUE(Database!$A100),"0")&amp;" HK Equity","CUR_MKT_CAP",Database!$H100,Database!$H100),MATCH(Database!$H100,INDEX(BDH(TEXT(VALUE(Database!$A100),"0")&amp;" HK Equity","CUR_MKT_CAP",Database!$H100,Database!$H100),0,1),0),2),"run on terminal")</f>
        <v/>
      </c>
      <c r="N100" s="213">
        <f>Database!Q100</f>
        <v/>
      </c>
      <c r="O100" s="58">
        <f>IFERROR(INDEX(BDH(TEXT(VALUE(Database!$A100),"0")&amp;" HK Equity","PE_RATIO",Database!$H100,Database!$H100),MATCH(Database!$H100,INDEX(BDH(TEXT(VALUE(Database!$A100),"0")&amp;" HK Equity","PE_RATIO",Database!$H100,Database!$H100),0,1),0),2),"run on terminal")</f>
        <v/>
      </c>
      <c r="P100" s="251">
        <f>IF(Database!BH100="","(n/m or not derivable)",Database!BH100)</f>
        <v/>
      </c>
      <c r="Q100" s="58">
        <f>IF(Database!BN100="","",IFERROR(INDEX(BDH(LEFT(Database!BN100,FIND(".",Database!BN100)-1)&amp;" CH Equity","PE_RATIO",Database!$H100,Database!$H100),MATCH(Database!$H100,INDEX(BDH(LEFT(Database!BN100,FIND(".",Database!BN100)-1)&amp;" CH Equity","PE_RATIO",Database!$H100,Database!$H100),0,1),0),2),"run on terminal"))</f>
        <v/>
      </c>
      <c r="R100" s="58">
        <f>IF(Database!BN100="","",IFERROR(INDEX(BDH("HSAHP Index","PX_LAST",Database!$H100,Database!$H100),MATCH(Database!$H100,INDEX(BDH("HSAHP Index","PX_LAST",Database!$H100,Database!$H100),0,1),0),2),"run on terminal"))</f>
        <v/>
      </c>
      <c r="S100" s="58">
        <f>IFERROR(BDP(TEXT(VALUE(Database!$A100),"0")&amp;" HK Equity","PX_TO_SALES_RATIO"),"")</f>
        <v/>
      </c>
      <c r="T100" s="53">
        <f>IF(Database!BN100="","",IFERROR(BDP(LEFT(Database!BN100,FIND(".",Database!BN100)-1)&amp;" CH Equity","CUR_MKT_CAP")*BDP("CNYHKD Curncy","PX_LAST"),"run on terminal"))</f>
        <v/>
      </c>
    </row>
    <row r="101" ht="23" customHeight="1">
      <c r="A101" s="51">
        <f>Database!A101&amp;"  "&amp;Database!B101</f>
        <v/>
      </c>
      <c r="B101" s="43">
        <f>IFERROR(INDEX(BDS(TEXT(VALUE(Database!$A101),"0")&amp;" HK Equity","EQUITY_OFFERINGS","array=t","endcol=1"),MATCH("IPO",BDS(TEXT(VALUE(Database!$A101),"0")&amp;" HK Equity","EQUITY_OFFERINGS","array=t","startcol=2","endcol=2"),0)),"")</f>
        <v/>
      </c>
      <c r="C101" s="260">
        <f>IF($B101="","",IFERROR(BDP($B101&amp;" Action","CP036"),""))</f>
        <v/>
      </c>
      <c r="D101" s="261">
        <f>Database!S101</f>
        <v/>
      </c>
      <c r="E101" s="260">
        <f>IF($B101="","",IFERROR(BDP($B101&amp;" Action","CP037"),""))</f>
        <v/>
      </c>
      <c r="F101" s="261">
        <f>Database!T101</f>
        <v/>
      </c>
      <c r="G101" s="260">
        <f>IF($B101="","",IFERROR(BDP($B101&amp;" Action","GREENSHOE_FACILITY"),""))</f>
        <v/>
      </c>
      <c r="H101" s="260">
        <f>IF($B101="","",IFERROR(BDP($B101&amp;" Action","OFFERING_GREENSHOE_SHARES_EX"),""))</f>
        <v/>
      </c>
      <c r="I101" s="51">
        <f>Database!AE101</f>
        <v/>
      </c>
      <c r="J101" s="58">
        <f>IFERROR(BDP(TEXT(VALUE(Database!$A101),"0")&amp;" HK Equity","PE_RATIO"),"")</f>
        <v/>
      </c>
      <c r="K101" s="43">
        <f>IFERROR(BDP(TEXT(VALUE(Database!$A101),"0")&amp;" HK Equity","A/H_SHARE_CONVERSION"),"")</f>
        <v/>
      </c>
      <c r="L101" s="51">
        <f>IF(Database!BN101="","(none found)",Database!BN101)</f>
        <v/>
      </c>
      <c r="M101" s="53">
        <f>IFERROR(INDEX(BDH(TEXT(VALUE(Database!$A101),"0")&amp;" HK Equity","CUR_MKT_CAP",Database!$H101,Database!$H101),MATCH(Database!$H101,INDEX(BDH(TEXT(VALUE(Database!$A101),"0")&amp;" HK Equity","CUR_MKT_CAP",Database!$H101,Database!$H101),0,1),0),2),"run on terminal")</f>
        <v/>
      </c>
      <c r="N101" s="213">
        <f>Database!Q101</f>
        <v/>
      </c>
      <c r="O101" s="58">
        <f>IFERROR(INDEX(BDH(TEXT(VALUE(Database!$A101),"0")&amp;" HK Equity","PE_RATIO",Database!$H101,Database!$H101),MATCH(Database!$H101,INDEX(BDH(TEXT(VALUE(Database!$A101),"0")&amp;" HK Equity","PE_RATIO",Database!$H101,Database!$H101),0,1),0),2),"run on terminal")</f>
        <v/>
      </c>
      <c r="P101" s="251">
        <f>IF(Database!BH101="","(n/m or not derivable)",Database!BH101)</f>
        <v/>
      </c>
      <c r="Q101" s="58">
        <f>IF(Database!BN101="","",IFERROR(INDEX(BDH(LEFT(Database!BN101,FIND(".",Database!BN101)-1)&amp;" CH Equity","PE_RATIO",Database!$H101,Database!$H101),MATCH(Database!$H101,INDEX(BDH(LEFT(Database!BN101,FIND(".",Database!BN101)-1)&amp;" CH Equity","PE_RATIO",Database!$H101,Database!$H101),0,1),0),2),"run on terminal"))</f>
        <v/>
      </c>
      <c r="R101" s="58">
        <f>IF(Database!BN101="","",IFERROR(INDEX(BDH("HSAHP Index","PX_LAST",Database!$H101,Database!$H101),MATCH(Database!$H101,INDEX(BDH("HSAHP Index","PX_LAST",Database!$H101,Database!$H101),0,1),0),2),"run on terminal"))</f>
        <v/>
      </c>
      <c r="S101" s="58">
        <f>IFERROR(BDP(TEXT(VALUE(Database!$A101),"0")&amp;" HK Equity","PX_TO_SALES_RATIO"),"")</f>
        <v/>
      </c>
      <c r="T101" s="53">
        <f>IF(Database!BN101="","",IFERROR(BDP(LEFT(Database!BN101,FIND(".",Database!BN101)-1)&amp;" CH Equity","CUR_MKT_CAP")*BDP("CNYHKD Curncy","PX_LAST"),"run on terminal"))</f>
        <v/>
      </c>
    </row>
    <row r="102" ht="23" customHeight="1">
      <c r="A102" s="51">
        <f>Database!A102&amp;"  "&amp;Database!B102</f>
        <v/>
      </c>
      <c r="B102" s="43">
        <f>IFERROR(INDEX(BDS(TEXT(VALUE(Database!$A102),"0")&amp;" HK Equity","EQUITY_OFFERINGS","array=t","endcol=1"),MATCH("IPO",BDS(TEXT(VALUE(Database!$A102),"0")&amp;" HK Equity","EQUITY_OFFERINGS","array=t","startcol=2","endcol=2"),0)),"")</f>
        <v/>
      </c>
      <c r="C102" s="260">
        <f>IF($B102="","",IFERROR(BDP($B102&amp;" Action","CP036"),""))</f>
        <v/>
      </c>
      <c r="D102" s="261">
        <f>Database!S102</f>
        <v/>
      </c>
      <c r="E102" s="260">
        <f>IF($B102="","",IFERROR(BDP($B102&amp;" Action","CP037"),""))</f>
        <v/>
      </c>
      <c r="F102" s="261">
        <f>Database!T102</f>
        <v/>
      </c>
      <c r="G102" s="260">
        <f>IF($B102="","",IFERROR(BDP($B102&amp;" Action","GREENSHOE_FACILITY"),""))</f>
        <v/>
      </c>
      <c r="H102" s="260">
        <f>IF($B102="","",IFERROR(BDP($B102&amp;" Action","OFFERING_GREENSHOE_SHARES_EX"),""))</f>
        <v/>
      </c>
      <c r="I102" s="51">
        <f>Database!AE102</f>
        <v/>
      </c>
      <c r="J102" s="58">
        <f>IFERROR(BDP(TEXT(VALUE(Database!$A102),"0")&amp;" HK Equity","PE_RATIO"),"")</f>
        <v/>
      </c>
      <c r="K102" s="43">
        <f>IFERROR(BDP(TEXT(VALUE(Database!$A102),"0")&amp;" HK Equity","A/H_SHARE_CONVERSION"),"")</f>
        <v/>
      </c>
      <c r="L102" s="51">
        <f>IF(Database!BN102="","(none found)",Database!BN102)</f>
        <v/>
      </c>
      <c r="M102" s="53">
        <f>IFERROR(INDEX(BDH(TEXT(VALUE(Database!$A102),"0")&amp;" HK Equity","CUR_MKT_CAP",Database!$H102,Database!$H102),MATCH(Database!$H102,INDEX(BDH(TEXT(VALUE(Database!$A102),"0")&amp;" HK Equity","CUR_MKT_CAP",Database!$H102,Database!$H102),0,1),0),2),"run on terminal")</f>
        <v/>
      </c>
      <c r="N102" s="213">
        <f>Database!Q102</f>
        <v/>
      </c>
      <c r="O102" s="58">
        <f>IFERROR(INDEX(BDH(TEXT(VALUE(Database!$A102),"0")&amp;" HK Equity","PE_RATIO",Database!$H102,Database!$H102),MATCH(Database!$H102,INDEX(BDH(TEXT(VALUE(Database!$A102),"0")&amp;" HK Equity","PE_RATIO",Database!$H102,Database!$H102),0,1),0),2),"run on terminal")</f>
        <v/>
      </c>
      <c r="P102" s="251">
        <f>IF(Database!BH102="","(n/m or not derivable)",Database!BH102)</f>
        <v/>
      </c>
      <c r="Q102" s="58">
        <f>IF(Database!BN102="","",IFERROR(INDEX(BDH(LEFT(Database!BN102,FIND(".",Database!BN102)-1)&amp;" CH Equity","PE_RATIO",Database!$H102,Database!$H102),MATCH(Database!$H102,INDEX(BDH(LEFT(Database!BN102,FIND(".",Database!BN102)-1)&amp;" CH Equity","PE_RATIO",Database!$H102,Database!$H102),0,1),0),2),"run on terminal"))</f>
        <v/>
      </c>
      <c r="R102" s="58">
        <f>IF(Database!BN102="","",IFERROR(INDEX(BDH("HSAHP Index","PX_LAST",Database!$H102,Database!$H102),MATCH(Database!$H102,INDEX(BDH("HSAHP Index","PX_LAST",Database!$H102,Database!$H102),0,1),0),2),"run on terminal"))</f>
        <v/>
      </c>
      <c r="S102" s="58">
        <f>IFERROR(BDP(TEXT(VALUE(Database!$A102),"0")&amp;" HK Equity","PX_TO_SALES_RATIO"),"")</f>
        <v/>
      </c>
      <c r="T102" s="53">
        <f>IF(Database!BN102="","",IFERROR(BDP(LEFT(Database!BN102,FIND(".",Database!BN102)-1)&amp;" CH Equity","CUR_MKT_CAP")*BDP("CNYHKD Curncy","PX_LAST"),"run on terminal"))</f>
        <v/>
      </c>
    </row>
    <row r="103" ht="23" customHeight="1">
      <c r="A103" s="51">
        <f>Database!A103&amp;"  "&amp;Database!B103</f>
        <v/>
      </c>
      <c r="B103" s="43">
        <f>IFERROR(INDEX(BDS(TEXT(VALUE(Database!$A103),"0")&amp;" HK Equity","EQUITY_OFFERINGS","array=t","endcol=1"),MATCH("IPO",BDS(TEXT(VALUE(Database!$A103),"0")&amp;" HK Equity","EQUITY_OFFERINGS","array=t","startcol=2","endcol=2"),0)),"")</f>
        <v/>
      </c>
      <c r="C103" s="260">
        <f>IF($B103="","",IFERROR(BDP($B103&amp;" Action","CP036"),""))</f>
        <v/>
      </c>
      <c r="D103" s="261">
        <f>Database!S103</f>
        <v/>
      </c>
      <c r="E103" s="260">
        <f>IF($B103="","",IFERROR(BDP($B103&amp;" Action","CP037"),""))</f>
        <v/>
      </c>
      <c r="F103" s="261">
        <f>Database!T103</f>
        <v/>
      </c>
      <c r="G103" s="260">
        <f>IF($B103="","",IFERROR(BDP($B103&amp;" Action","GREENSHOE_FACILITY"),""))</f>
        <v/>
      </c>
      <c r="H103" s="260">
        <f>IF($B103="","",IFERROR(BDP($B103&amp;" Action","OFFERING_GREENSHOE_SHARES_EX"),""))</f>
        <v/>
      </c>
      <c r="I103" s="51">
        <f>Database!AE103</f>
        <v/>
      </c>
      <c r="J103" s="58">
        <f>IFERROR(BDP(TEXT(VALUE(Database!$A103),"0")&amp;" HK Equity","PE_RATIO"),"")</f>
        <v/>
      </c>
      <c r="K103" s="43">
        <f>IFERROR(BDP(TEXT(VALUE(Database!$A103),"0")&amp;" HK Equity","A/H_SHARE_CONVERSION"),"")</f>
        <v/>
      </c>
      <c r="L103" s="51">
        <f>IF(Database!BN103="","(none found)",Database!BN103)</f>
        <v/>
      </c>
      <c r="M103" s="53">
        <f>IFERROR(INDEX(BDH(TEXT(VALUE(Database!$A103),"0")&amp;" HK Equity","CUR_MKT_CAP",Database!$H103,Database!$H103),MATCH(Database!$H103,INDEX(BDH(TEXT(VALUE(Database!$A103),"0")&amp;" HK Equity","CUR_MKT_CAP",Database!$H103,Database!$H103),0,1),0),2),"run on terminal")</f>
        <v/>
      </c>
      <c r="N103" s="213">
        <f>Database!Q103</f>
        <v/>
      </c>
      <c r="O103" s="58">
        <f>IFERROR(INDEX(BDH(TEXT(VALUE(Database!$A103),"0")&amp;" HK Equity","PE_RATIO",Database!$H103,Database!$H103),MATCH(Database!$H103,INDEX(BDH(TEXT(VALUE(Database!$A103),"0")&amp;" HK Equity","PE_RATIO",Database!$H103,Database!$H103),0,1),0),2),"run on terminal")</f>
        <v/>
      </c>
      <c r="P103" s="251">
        <f>IF(Database!BH103="","(n/m or not derivable)",Database!BH103)</f>
        <v/>
      </c>
      <c r="Q103" s="58">
        <f>IF(Database!BN103="","",IFERROR(INDEX(BDH(LEFT(Database!BN103,FIND(".",Database!BN103)-1)&amp;" CH Equity","PE_RATIO",Database!$H103,Database!$H103),MATCH(Database!$H103,INDEX(BDH(LEFT(Database!BN103,FIND(".",Database!BN103)-1)&amp;" CH Equity","PE_RATIO",Database!$H103,Database!$H103),0,1),0),2),"run on terminal"))</f>
        <v/>
      </c>
      <c r="R103" s="58">
        <f>IF(Database!BN103="","",IFERROR(INDEX(BDH("HSAHP Index","PX_LAST",Database!$H103,Database!$H103),MATCH(Database!$H103,INDEX(BDH("HSAHP Index","PX_LAST",Database!$H103,Database!$H103),0,1),0),2),"run on terminal"))</f>
        <v/>
      </c>
      <c r="S103" s="58">
        <f>IFERROR(BDP(TEXT(VALUE(Database!$A103),"0")&amp;" HK Equity","PX_TO_SALES_RATIO"),"")</f>
        <v/>
      </c>
      <c r="T103" s="53">
        <f>IF(Database!BN103="","",IFERROR(BDP(LEFT(Database!BN103,FIND(".",Database!BN103)-1)&amp;" CH Equity","CUR_MKT_CAP")*BDP("CNYHKD Curncy","PX_LAST"),"run on terminal"))</f>
        <v/>
      </c>
    </row>
    <row r="104" ht="23" customHeight="1">
      <c r="A104" s="51">
        <f>Database!A104&amp;"  "&amp;Database!B104</f>
        <v/>
      </c>
      <c r="B104" s="43">
        <f>IFERROR(INDEX(BDS(TEXT(VALUE(Database!$A104),"0")&amp;" HK Equity","EQUITY_OFFERINGS","array=t","endcol=1"),MATCH("IPO",BDS(TEXT(VALUE(Database!$A104),"0")&amp;" HK Equity","EQUITY_OFFERINGS","array=t","startcol=2","endcol=2"),0)),"")</f>
        <v/>
      </c>
      <c r="C104" s="260">
        <f>IF($B104="","",IFERROR(BDP($B104&amp;" Action","CP036"),""))</f>
        <v/>
      </c>
      <c r="D104" s="261">
        <f>Database!S104</f>
        <v/>
      </c>
      <c r="E104" s="260">
        <f>IF($B104="","",IFERROR(BDP($B104&amp;" Action","CP037"),""))</f>
        <v/>
      </c>
      <c r="F104" s="261">
        <f>Database!T104</f>
        <v/>
      </c>
      <c r="G104" s="260">
        <f>IF($B104="","",IFERROR(BDP($B104&amp;" Action","GREENSHOE_FACILITY"),""))</f>
        <v/>
      </c>
      <c r="H104" s="260">
        <f>IF($B104="","",IFERROR(BDP($B104&amp;" Action","OFFERING_GREENSHOE_SHARES_EX"),""))</f>
        <v/>
      </c>
      <c r="I104" s="51">
        <f>Database!AE104</f>
        <v/>
      </c>
      <c r="J104" s="58">
        <f>IFERROR(BDP(TEXT(VALUE(Database!$A104),"0")&amp;" HK Equity","PE_RATIO"),"")</f>
        <v/>
      </c>
      <c r="K104" s="43">
        <f>IFERROR(BDP(TEXT(VALUE(Database!$A104),"0")&amp;" HK Equity","A/H_SHARE_CONVERSION"),"")</f>
        <v/>
      </c>
      <c r="L104" s="51">
        <f>IF(Database!BN104="","(none found)",Database!BN104)</f>
        <v/>
      </c>
      <c r="M104" s="53">
        <f>IFERROR(INDEX(BDH(TEXT(VALUE(Database!$A104),"0")&amp;" HK Equity","CUR_MKT_CAP",Database!$H104,Database!$H104),MATCH(Database!$H104,INDEX(BDH(TEXT(VALUE(Database!$A104),"0")&amp;" HK Equity","CUR_MKT_CAP",Database!$H104,Database!$H104),0,1),0),2),"run on terminal")</f>
        <v/>
      </c>
      <c r="N104" s="213">
        <f>Database!Q104</f>
        <v/>
      </c>
      <c r="O104" s="58">
        <f>IFERROR(INDEX(BDH(TEXT(VALUE(Database!$A104),"0")&amp;" HK Equity","PE_RATIO",Database!$H104,Database!$H104),MATCH(Database!$H104,INDEX(BDH(TEXT(VALUE(Database!$A104),"0")&amp;" HK Equity","PE_RATIO",Database!$H104,Database!$H104),0,1),0),2),"run on terminal")</f>
        <v/>
      </c>
      <c r="P104" s="251">
        <f>IF(Database!BH104="","(n/m or not derivable)",Database!BH104)</f>
        <v/>
      </c>
      <c r="Q104" s="58">
        <f>IF(Database!BN104="","",IFERROR(INDEX(BDH(LEFT(Database!BN104,FIND(".",Database!BN104)-1)&amp;" CH Equity","PE_RATIO",Database!$H104,Database!$H104),MATCH(Database!$H104,INDEX(BDH(LEFT(Database!BN104,FIND(".",Database!BN104)-1)&amp;" CH Equity","PE_RATIO",Database!$H104,Database!$H104),0,1),0),2),"run on terminal"))</f>
        <v/>
      </c>
      <c r="R104" s="58">
        <f>IF(Database!BN104="","",IFERROR(INDEX(BDH("HSAHP Index","PX_LAST",Database!$H104,Database!$H104),MATCH(Database!$H104,INDEX(BDH("HSAHP Index","PX_LAST",Database!$H104,Database!$H104),0,1),0),2),"run on terminal"))</f>
        <v/>
      </c>
      <c r="S104" s="58">
        <f>IFERROR(BDP(TEXT(VALUE(Database!$A104),"0")&amp;" HK Equity","PX_TO_SALES_RATIO"),"")</f>
        <v/>
      </c>
      <c r="T104" s="53">
        <f>IF(Database!BN104="","",IFERROR(BDP(LEFT(Database!BN104,FIND(".",Database!BN104)-1)&amp;" CH Equity","CUR_MKT_CAP")*BDP("CNYHKD Curncy","PX_LAST"),"run on terminal"))</f>
        <v/>
      </c>
    </row>
    <row r="105" ht="23" customHeight="1">
      <c r="A105" s="51">
        <f>Database!A105&amp;"  "&amp;Database!B105</f>
        <v/>
      </c>
      <c r="B105" s="43">
        <f>IFERROR(INDEX(BDS(TEXT(VALUE(Database!$A105),"0")&amp;" HK Equity","EQUITY_OFFERINGS","array=t","endcol=1"),MATCH("IPO",BDS(TEXT(VALUE(Database!$A105),"0")&amp;" HK Equity","EQUITY_OFFERINGS","array=t","startcol=2","endcol=2"),0)),"")</f>
        <v/>
      </c>
      <c r="C105" s="260">
        <f>IF($B105="","",IFERROR(BDP($B105&amp;" Action","CP036"),""))</f>
        <v/>
      </c>
      <c r="D105" s="261">
        <f>Database!S105</f>
        <v/>
      </c>
      <c r="E105" s="260">
        <f>IF($B105="","",IFERROR(BDP($B105&amp;" Action","CP037"),""))</f>
        <v/>
      </c>
      <c r="F105" s="261">
        <f>Database!T105</f>
        <v/>
      </c>
      <c r="G105" s="260">
        <f>IF($B105="","",IFERROR(BDP($B105&amp;" Action","GREENSHOE_FACILITY"),""))</f>
        <v/>
      </c>
      <c r="H105" s="260">
        <f>IF($B105="","",IFERROR(BDP($B105&amp;" Action","OFFERING_GREENSHOE_SHARES_EX"),""))</f>
        <v/>
      </c>
      <c r="I105" s="51">
        <f>Database!AE105</f>
        <v/>
      </c>
      <c r="J105" s="58">
        <f>IFERROR(BDP(TEXT(VALUE(Database!$A105),"0")&amp;" HK Equity","PE_RATIO"),"")</f>
        <v/>
      </c>
      <c r="K105" s="43">
        <f>IFERROR(BDP(TEXT(VALUE(Database!$A105),"0")&amp;" HK Equity","A/H_SHARE_CONVERSION"),"")</f>
        <v/>
      </c>
      <c r="L105" s="51">
        <f>IF(Database!BN105="","(none found)",Database!BN105)</f>
        <v/>
      </c>
      <c r="M105" s="53">
        <f>IFERROR(INDEX(BDH(TEXT(VALUE(Database!$A105),"0")&amp;" HK Equity","CUR_MKT_CAP",Database!$H105,Database!$H105),MATCH(Database!$H105,INDEX(BDH(TEXT(VALUE(Database!$A105),"0")&amp;" HK Equity","CUR_MKT_CAP",Database!$H105,Database!$H105),0,1),0),2),"run on terminal")</f>
        <v/>
      </c>
      <c r="N105" s="213">
        <f>Database!Q105</f>
        <v/>
      </c>
      <c r="O105" s="58">
        <f>IFERROR(INDEX(BDH(TEXT(VALUE(Database!$A105),"0")&amp;" HK Equity","PE_RATIO",Database!$H105,Database!$H105),MATCH(Database!$H105,INDEX(BDH(TEXT(VALUE(Database!$A105),"0")&amp;" HK Equity","PE_RATIO",Database!$H105,Database!$H105),0,1),0),2),"run on terminal")</f>
        <v/>
      </c>
      <c r="P105" s="251">
        <f>IF(Database!BH105="","(n/m or not derivable)",Database!BH105)</f>
        <v/>
      </c>
      <c r="Q105" s="58">
        <f>IF(Database!BN105="","",IFERROR(INDEX(BDH(LEFT(Database!BN105,FIND(".",Database!BN105)-1)&amp;" CH Equity","PE_RATIO",Database!$H105,Database!$H105),MATCH(Database!$H105,INDEX(BDH(LEFT(Database!BN105,FIND(".",Database!BN105)-1)&amp;" CH Equity","PE_RATIO",Database!$H105,Database!$H105),0,1),0),2),"run on terminal"))</f>
        <v/>
      </c>
      <c r="R105" s="58">
        <f>IF(Database!BN105="","",IFERROR(INDEX(BDH("HSAHP Index","PX_LAST",Database!$H105,Database!$H105),MATCH(Database!$H105,INDEX(BDH("HSAHP Index","PX_LAST",Database!$H105,Database!$H105),0,1),0),2),"run on terminal"))</f>
        <v/>
      </c>
      <c r="S105" s="58">
        <f>IFERROR(BDP(TEXT(VALUE(Database!$A105),"0")&amp;" HK Equity","PX_TO_SALES_RATIO"),"")</f>
        <v/>
      </c>
      <c r="T105" s="53">
        <f>IF(Database!BN105="","",IFERROR(BDP(LEFT(Database!BN105,FIND(".",Database!BN105)-1)&amp;" CH Equity","CUR_MKT_CAP")*BDP("CNYHKD Curncy","PX_LAST"),"run on terminal"))</f>
        <v/>
      </c>
    </row>
    <row r="106" ht="23" customHeight="1">
      <c r="A106" s="51">
        <f>Database!A106&amp;"  "&amp;Database!B106</f>
        <v/>
      </c>
      <c r="B106" s="43">
        <f>IFERROR(INDEX(BDS(TEXT(VALUE(Database!$A106),"0")&amp;" HK Equity","EQUITY_OFFERINGS","array=t","endcol=1"),MATCH("IPO",BDS(TEXT(VALUE(Database!$A106),"0")&amp;" HK Equity","EQUITY_OFFERINGS","array=t","startcol=2","endcol=2"),0)),"")</f>
        <v/>
      </c>
      <c r="C106" s="260">
        <f>IF($B106="","",IFERROR(BDP($B106&amp;" Action","CP036"),""))</f>
        <v/>
      </c>
      <c r="D106" s="261">
        <f>Database!S106</f>
        <v/>
      </c>
      <c r="E106" s="260">
        <f>IF($B106="","",IFERROR(BDP($B106&amp;" Action","CP037"),""))</f>
        <v/>
      </c>
      <c r="F106" s="261">
        <f>Database!T106</f>
        <v/>
      </c>
      <c r="G106" s="260">
        <f>IF($B106="","",IFERROR(BDP($B106&amp;" Action","GREENSHOE_FACILITY"),""))</f>
        <v/>
      </c>
      <c r="H106" s="260">
        <f>IF($B106="","",IFERROR(BDP($B106&amp;" Action","OFFERING_GREENSHOE_SHARES_EX"),""))</f>
        <v/>
      </c>
      <c r="I106" s="51">
        <f>Database!AE106</f>
        <v/>
      </c>
      <c r="J106" s="58">
        <f>IFERROR(BDP(TEXT(VALUE(Database!$A106),"0")&amp;" HK Equity","PE_RATIO"),"")</f>
        <v/>
      </c>
      <c r="K106" s="43">
        <f>IFERROR(BDP(TEXT(VALUE(Database!$A106),"0")&amp;" HK Equity","A/H_SHARE_CONVERSION"),"")</f>
        <v/>
      </c>
      <c r="L106" s="51">
        <f>IF(Database!BN106="","(none found)",Database!BN106)</f>
        <v/>
      </c>
      <c r="M106" s="53">
        <f>IFERROR(INDEX(BDH(TEXT(VALUE(Database!$A106),"0")&amp;" HK Equity","CUR_MKT_CAP",Database!$H106,Database!$H106),MATCH(Database!$H106,INDEX(BDH(TEXT(VALUE(Database!$A106),"0")&amp;" HK Equity","CUR_MKT_CAP",Database!$H106,Database!$H106),0,1),0),2),"run on terminal")</f>
        <v/>
      </c>
      <c r="N106" s="213">
        <f>Database!Q106</f>
        <v/>
      </c>
      <c r="O106" s="58">
        <f>IFERROR(INDEX(BDH(TEXT(VALUE(Database!$A106),"0")&amp;" HK Equity","PE_RATIO",Database!$H106,Database!$H106),MATCH(Database!$H106,INDEX(BDH(TEXT(VALUE(Database!$A106),"0")&amp;" HK Equity","PE_RATIO",Database!$H106,Database!$H106),0,1),0),2),"run on terminal")</f>
        <v/>
      </c>
      <c r="P106" s="251">
        <f>IF(Database!BH106="","(n/m or not derivable)",Database!BH106)</f>
        <v/>
      </c>
      <c r="Q106" s="58">
        <f>IF(Database!BN106="","",IFERROR(INDEX(BDH(LEFT(Database!BN106,FIND(".",Database!BN106)-1)&amp;" CH Equity","PE_RATIO",Database!$H106,Database!$H106),MATCH(Database!$H106,INDEX(BDH(LEFT(Database!BN106,FIND(".",Database!BN106)-1)&amp;" CH Equity","PE_RATIO",Database!$H106,Database!$H106),0,1),0),2),"run on terminal"))</f>
        <v/>
      </c>
      <c r="R106" s="58">
        <f>IF(Database!BN106="","",IFERROR(INDEX(BDH("HSAHP Index","PX_LAST",Database!$H106,Database!$H106),MATCH(Database!$H106,INDEX(BDH("HSAHP Index","PX_LAST",Database!$H106,Database!$H106),0,1),0),2),"run on terminal"))</f>
        <v/>
      </c>
      <c r="S106" s="58">
        <f>IFERROR(BDP(TEXT(VALUE(Database!$A106),"0")&amp;" HK Equity","PX_TO_SALES_RATIO"),"")</f>
        <v/>
      </c>
      <c r="T106" s="53">
        <f>IF(Database!BN106="","",IFERROR(BDP(LEFT(Database!BN106,FIND(".",Database!BN106)-1)&amp;" CH Equity","CUR_MKT_CAP")*BDP("CNYHKD Curncy","PX_LAST"),"run on terminal"))</f>
        <v/>
      </c>
    </row>
    <row r="107" ht="23" customHeight="1">
      <c r="A107" s="51">
        <f>Database!A107&amp;"  "&amp;Database!B107</f>
        <v/>
      </c>
      <c r="B107" s="43">
        <f>IFERROR(INDEX(BDS(TEXT(VALUE(Database!$A107),"0")&amp;" HK Equity","EQUITY_OFFERINGS","array=t","endcol=1"),MATCH("IPO",BDS(TEXT(VALUE(Database!$A107),"0")&amp;" HK Equity","EQUITY_OFFERINGS","array=t","startcol=2","endcol=2"),0)),"")</f>
        <v/>
      </c>
      <c r="C107" s="260">
        <f>IF($B107="","",IFERROR(BDP($B107&amp;" Action","CP036"),""))</f>
        <v/>
      </c>
      <c r="D107" s="261">
        <f>Database!S107</f>
        <v/>
      </c>
      <c r="E107" s="260">
        <f>IF($B107="","",IFERROR(BDP($B107&amp;" Action","CP037"),""))</f>
        <v/>
      </c>
      <c r="F107" s="261">
        <f>Database!T107</f>
        <v/>
      </c>
      <c r="G107" s="260">
        <f>IF($B107="","",IFERROR(BDP($B107&amp;" Action","GREENSHOE_FACILITY"),""))</f>
        <v/>
      </c>
      <c r="H107" s="260">
        <f>IF($B107="","",IFERROR(BDP($B107&amp;" Action","OFFERING_GREENSHOE_SHARES_EX"),""))</f>
        <v/>
      </c>
      <c r="I107" s="51">
        <f>Database!AE107</f>
        <v/>
      </c>
      <c r="J107" s="58">
        <f>IFERROR(BDP(TEXT(VALUE(Database!$A107),"0")&amp;" HK Equity","PE_RATIO"),"")</f>
        <v/>
      </c>
      <c r="K107" s="43">
        <f>IFERROR(BDP(TEXT(VALUE(Database!$A107),"0")&amp;" HK Equity","A/H_SHARE_CONVERSION"),"")</f>
        <v/>
      </c>
      <c r="L107" s="51">
        <f>IF(Database!BN107="","(none found)",Database!BN107)</f>
        <v/>
      </c>
      <c r="M107" s="53">
        <f>IFERROR(INDEX(BDH(TEXT(VALUE(Database!$A107),"0")&amp;" HK Equity","CUR_MKT_CAP",Database!$H107,Database!$H107),MATCH(Database!$H107,INDEX(BDH(TEXT(VALUE(Database!$A107),"0")&amp;" HK Equity","CUR_MKT_CAP",Database!$H107,Database!$H107),0,1),0),2),"run on terminal")</f>
        <v/>
      </c>
      <c r="N107" s="213">
        <f>Database!Q107</f>
        <v/>
      </c>
      <c r="O107" s="58">
        <f>IFERROR(INDEX(BDH(TEXT(VALUE(Database!$A107),"0")&amp;" HK Equity","PE_RATIO",Database!$H107,Database!$H107),MATCH(Database!$H107,INDEX(BDH(TEXT(VALUE(Database!$A107),"0")&amp;" HK Equity","PE_RATIO",Database!$H107,Database!$H107),0,1),0),2),"run on terminal")</f>
        <v/>
      </c>
      <c r="P107" s="251">
        <f>IF(Database!BH107="","(n/m or not derivable)",Database!BH107)</f>
        <v/>
      </c>
      <c r="Q107" s="58">
        <f>IF(Database!BN107="","",IFERROR(INDEX(BDH(LEFT(Database!BN107,FIND(".",Database!BN107)-1)&amp;" CH Equity","PE_RATIO",Database!$H107,Database!$H107),MATCH(Database!$H107,INDEX(BDH(LEFT(Database!BN107,FIND(".",Database!BN107)-1)&amp;" CH Equity","PE_RATIO",Database!$H107,Database!$H107),0,1),0),2),"run on terminal"))</f>
        <v/>
      </c>
      <c r="R107" s="58">
        <f>IF(Database!BN107="","",IFERROR(INDEX(BDH("HSAHP Index","PX_LAST",Database!$H107,Database!$H107),MATCH(Database!$H107,INDEX(BDH("HSAHP Index","PX_LAST",Database!$H107,Database!$H107),0,1),0),2),"run on terminal"))</f>
        <v/>
      </c>
      <c r="S107" s="58">
        <f>IFERROR(BDP(TEXT(VALUE(Database!$A107),"0")&amp;" HK Equity","PX_TO_SALES_RATIO"),"")</f>
        <v/>
      </c>
      <c r="T107" s="53">
        <f>IF(Database!BN107="","",IFERROR(BDP(LEFT(Database!BN107,FIND(".",Database!BN107)-1)&amp;" CH Equity","CUR_MKT_CAP")*BDP("CNYHKD Curncy","PX_LAST"),"run on terminal"))</f>
        <v/>
      </c>
    </row>
    <row r="108" ht="23" customHeight="1">
      <c r="A108" s="51">
        <f>Database!A108&amp;"  "&amp;Database!B108</f>
        <v/>
      </c>
      <c r="B108" s="43">
        <f>IFERROR(INDEX(BDS(TEXT(VALUE(Database!$A108),"0")&amp;" HK Equity","EQUITY_OFFERINGS","array=t","endcol=1"),MATCH("IPO",BDS(TEXT(VALUE(Database!$A108),"0")&amp;" HK Equity","EQUITY_OFFERINGS","array=t","startcol=2","endcol=2"),0)),"")</f>
        <v/>
      </c>
      <c r="C108" s="260">
        <f>IF($B108="","",IFERROR(BDP($B108&amp;" Action","CP036"),""))</f>
        <v/>
      </c>
      <c r="D108" s="261">
        <f>Database!S108</f>
        <v/>
      </c>
      <c r="E108" s="260">
        <f>IF($B108="","",IFERROR(BDP($B108&amp;" Action","CP037"),""))</f>
        <v/>
      </c>
      <c r="F108" s="261">
        <f>Database!T108</f>
        <v/>
      </c>
      <c r="G108" s="260">
        <f>IF($B108="","",IFERROR(BDP($B108&amp;" Action","GREENSHOE_FACILITY"),""))</f>
        <v/>
      </c>
      <c r="H108" s="260">
        <f>IF($B108="","",IFERROR(BDP($B108&amp;" Action","OFFERING_GREENSHOE_SHARES_EX"),""))</f>
        <v/>
      </c>
      <c r="I108" s="51">
        <f>Database!AE108</f>
        <v/>
      </c>
      <c r="J108" s="58">
        <f>IFERROR(BDP(TEXT(VALUE(Database!$A108),"0")&amp;" HK Equity","PE_RATIO"),"")</f>
        <v/>
      </c>
      <c r="K108" s="43">
        <f>IFERROR(BDP(TEXT(VALUE(Database!$A108),"0")&amp;" HK Equity","A/H_SHARE_CONVERSION"),"")</f>
        <v/>
      </c>
      <c r="L108" s="51">
        <f>IF(Database!BN108="","(none found)",Database!BN108)</f>
        <v/>
      </c>
      <c r="M108" s="53">
        <f>IFERROR(INDEX(BDH(TEXT(VALUE(Database!$A108),"0")&amp;" HK Equity","CUR_MKT_CAP",Database!$H108,Database!$H108),MATCH(Database!$H108,INDEX(BDH(TEXT(VALUE(Database!$A108),"0")&amp;" HK Equity","CUR_MKT_CAP",Database!$H108,Database!$H108),0,1),0),2),"run on terminal")</f>
        <v/>
      </c>
      <c r="N108" s="213">
        <f>Database!Q108</f>
        <v/>
      </c>
      <c r="O108" s="58">
        <f>IFERROR(INDEX(BDH(TEXT(VALUE(Database!$A108),"0")&amp;" HK Equity","PE_RATIO",Database!$H108,Database!$H108),MATCH(Database!$H108,INDEX(BDH(TEXT(VALUE(Database!$A108),"0")&amp;" HK Equity","PE_RATIO",Database!$H108,Database!$H108),0,1),0),2),"run on terminal")</f>
        <v/>
      </c>
      <c r="P108" s="251">
        <f>IF(Database!BH108="","(n/m or not derivable)",Database!BH108)</f>
        <v/>
      </c>
      <c r="Q108" s="58">
        <f>IF(Database!BN108="","",IFERROR(INDEX(BDH(LEFT(Database!BN108,FIND(".",Database!BN108)-1)&amp;" CH Equity","PE_RATIO",Database!$H108,Database!$H108),MATCH(Database!$H108,INDEX(BDH(LEFT(Database!BN108,FIND(".",Database!BN108)-1)&amp;" CH Equity","PE_RATIO",Database!$H108,Database!$H108),0,1),0),2),"run on terminal"))</f>
        <v/>
      </c>
      <c r="R108" s="58">
        <f>IF(Database!BN108="","",IFERROR(INDEX(BDH("HSAHP Index","PX_LAST",Database!$H108,Database!$H108),MATCH(Database!$H108,INDEX(BDH("HSAHP Index","PX_LAST",Database!$H108,Database!$H108),0,1),0),2),"run on terminal"))</f>
        <v/>
      </c>
      <c r="S108" s="58">
        <f>IFERROR(BDP(TEXT(VALUE(Database!$A108),"0")&amp;" HK Equity","PX_TO_SALES_RATIO"),"")</f>
        <v/>
      </c>
      <c r="T108" s="53">
        <f>IF(Database!BN108="","",IFERROR(BDP(LEFT(Database!BN108,FIND(".",Database!BN108)-1)&amp;" CH Equity","CUR_MKT_CAP")*BDP("CNYHKD Curncy","PX_LAST"),"run on terminal"))</f>
        <v/>
      </c>
    </row>
    <row r="109" ht="23" customHeight="1">
      <c r="A109" s="51">
        <f>Database!A109&amp;"  "&amp;Database!B109</f>
        <v/>
      </c>
      <c r="B109" s="43">
        <f>IFERROR(INDEX(BDS(TEXT(VALUE(Database!$A109),"0")&amp;" HK Equity","EQUITY_OFFERINGS","array=t","endcol=1"),MATCH("IPO",BDS(TEXT(VALUE(Database!$A109),"0")&amp;" HK Equity","EQUITY_OFFERINGS","array=t","startcol=2","endcol=2"),0)),"")</f>
        <v/>
      </c>
      <c r="C109" s="260">
        <f>IF($B109="","",IFERROR(BDP($B109&amp;" Action","CP036"),""))</f>
        <v/>
      </c>
      <c r="D109" s="261">
        <f>Database!S109</f>
        <v/>
      </c>
      <c r="E109" s="260">
        <f>IF($B109="","",IFERROR(BDP($B109&amp;" Action","CP037"),""))</f>
        <v/>
      </c>
      <c r="F109" s="261">
        <f>Database!T109</f>
        <v/>
      </c>
      <c r="G109" s="260">
        <f>IF($B109="","",IFERROR(BDP($B109&amp;" Action","GREENSHOE_FACILITY"),""))</f>
        <v/>
      </c>
      <c r="H109" s="260">
        <f>IF($B109="","",IFERROR(BDP($B109&amp;" Action","OFFERING_GREENSHOE_SHARES_EX"),""))</f>
        <v/>
      </c>
      <c r="I109" s="51">
        <f>Database!AE109</f>
        <v/>
      </c>
      <c r="J109" s="58">
        <f>IFERROR(BDP(TEXT(VALUE(Database!$A109),"0")&amp;" HK Equity","PE_RATIO"),"")</f>
        <v/>
      </c>
      <c r="K109" s="43">
        <f>IFERROR(BDP(TEXT(VALUE(Database!$A109),"0")&amp;" HK Equity","A/H_SHARE_CONVERSION"),"")</f>
        <v/>
      </c>
      <c r="L109" s="51">
        <f>IF(Database!BN109="","(none found)",Database!BN109)</f>
        <v/>
      </c>
      <c r="M109" s="53">
        <f>IFERROR(INDEX(BDH(TEXT(VALUE(Database!$A109),"0")&amp;" HK Equity","CUR_MKT_CAP",Database!$H109,Database!$H109),MATCH(Database!$H109,INDEX(BDH(TEXT(VALUE(Database!$A109),"0")&amp;" HK Equity","CUR_MKT_CAP",Database!$H109,Database!$H109),0,1),0),2),"run on terminal")</f>
        <v/>
      </c>
      <c r="N109" s="213">
        <f>Database!Q109</f>
        <v/>
      </c>
      <c r="O109" s="58">
        <f>IFERROR(INDEX(BDH(TEXT(VALUE(Database!$A109),"0")&amp;" HK Equity","PE_RATIO",Database!$H109,Database!$H109),MATCH(Database!$H109,INDEX(BDH(TEXT(VALUE(Database!$A109),"0")&amp;" HK Equity","PE_RATIO",Database!$H109,Database!$H109),0,1),0),2),"run on terminal")</f>
        <v/>
      </c>
      <c r="P109" s="251">
        <f>IF(Database!BH109="","(n/m or not derivable)",Database!BH109)</f>
        <v/>
      </c>
      <c r="Q109" s="58">
        <f>IF(Database!BN109="","",IFERROR(INDEX(BDH(LEFT(Database!BN109,FIND(".",Database!BN109)-1)&amp;" CH Equity","PE_RATIO",Database!$H109,Database!$H109),MATCH(Database!$H109,INDEX(BDH(LEFT(Database!BN109,FIND(".",Database!BN109)-1)&amp;" CH Equity","PE_RATIO",Database!$H109,Database!$H109),0,1),0),2),"run on terminal"))</f>
        <v/>
      </c>
      <c r="R109" s="58">
        <f>IF(Database!BN109="","",IFERROR(INDEX(BDH("HSAHP Index","PX_LAST",Database!$H109,Database!$H109),MATCH(Database!$H109,INDEX(BDH("HSAHP Index","PX_LAST",Database!$H109,Database!$H109),0,1),0),2),"run on terminal"))</f>
        <v/>
      </c>
      <c r="S109" s="58">
        <f>IFERROR(BDP(TEXT(VALUE(Database!$A109),"0")&amp;" HK Equity","PX_TO_SALES_RATIO"),"")</f>
        <v/>
      </c>
      <c r="T109" s="53">
        <f>IF(Database!BN109="","",IFERROR(BDP(LEFT(Database!BN109,FIND(".",Database!BN109)-1)&amp;" CH Equity","CUR_MKT_CAP")*BDP("CNYHKD Curncy","PX_LAST"),"run on terminal"))</f>
        <v/>
      </c>
    </row>
    <row r="110" ht="23" customHeight="1">
      <c r="A110" s="51">
        <f>Database!A110&amp;"  "&amp;Database!B110</f>
        <v/>
      </c>
      <c r="B110" s="43">
        <f>IFERROR(INDEX(BDS(TEXT(VALUE(Database!$A110),"0")&amp;" HK Equity","EQUITY_OFFERINGS","array=t","endcol=1"),MATCH("IPO",BDS(TEXT(VALUE(Database!$A110),"0")&amp;" HK Equity","EQUITY_OFFERINGS","array=t","startcol=2","endcol=2"),0)),"")</f>
        <v/>
      </c>
      <c r="C110" s="260">
        <f>IF($B110="","",IFERROR(BDP($B110&amp;" Action","CP036"),""))</f>
        <v/>
      </c>
      <c r="D110" s="261">
        <f>Database!S110</f>
        <v/>
      </c>
      <c r="E110" s="260">
        <f>IF($B110="","",IFERROR(BDP($B110&amp;" Action","CP037"),""))</f>
        <v/>
      </c>
      <c r="F110" s="261">
        <f>Database!T110</f>
        <v/>
      </c>
      <c r="G110" s="260">
        <f>IF($B110="","",IFERROR(BDP($B110&amp;" Action","GREENSHOE_FACILITY"),""))</f>
        <v/>
      </c>
      <c r="H110" s="260">
        <f>IF($B110="","",IFERROR(BDP($B110&amp;" Action","OFFERING_GREENSHOE_SHARES_EX"),""))</f>
        <v/>
      </c>
      <c r="I110" s="51">
        <f>Database!AE110</f>
        <v/>
      </c>
      <c r="J110" s="58">
        <f>IFERROR(BDP(TEXT(VALUE(Database!$A110),"0")&amp;" HK Equity","PE_RATIO"),"")</f>
        <v/>
      </c>
      <c r="K110" s="43">
        <f>IFERROR(BDP(TEXT(VALUE(Database!$A110),"0")&amp;" HK Equity","A/H_SHARE_CONVERSION"),"")</f>
        <v/>
      </c>
      <c r="L110" s="51">
        <f>IF(Database!BN110="","(none found)",Database!BN110)</f>
        <v/>
      </c>
      <c r="M110" s="53">
        <f>IFERROR(INDEX(BDH(TEXT(VALUE(Database!$A110),"0")&amp;" HK Equity","CUR_MKT_CAP",Database!$H110,Database!$H110),MATCH(Database!$H110,INDEX(BDH(TEXT(VALUE(Database!$A110),"0")&amp;" HK Equity","CUR_MKT_CAP",Database!$H110,Database!$H110),0,1),0),2),"run on terminal")</f>
        <v/>
      </c>
      <c r="N110" s="213">
        <f>Database!Q110</f>
        <v/>
      </c>
      <c r="O110" s="58">
        <f>IFERROR(INDEX(BDH(TEXT(VALUE(Database!$A110),"0")&amp;" HK Equity","PE_RATIO",Database!$H110,Database!$H110),MATCH(Database!$H110,INDEX(BDH(TEXT(VALUE(Database!$A110),"0")&amp;" HK Equity","PE_RATIO",Database!$H110,Database!$H110),0,1),0),2),"run on terminal")</f>
        <v/>
      </c>
      <c r="P110" s="251">
        <f>IF(Database!BH110="","(n/m or not derivable)",Database!BH110)</f>
        <v/>
      </c>
      <c r="Q110" s="58">
        <f>IF(Database!BN110="","",IFERROR(INDEX(BDH(LEFT(Database!BN110,FIND(".",Database!BN110)-1)&amp;" CH Equity","PE_RATIO",Database!$H110,Database!$H110),MATCH(Database!$H110,INDEX(BDH(LEFT(Database!BN110,FIND(".",Database!BN110)-1)&amp;" CH Equity","PE_RATIO",Database!$H110,Database!$H110),0,1),0),2),"run on terminal"))</f>
        <v/>
      </c>
      <c r="R110" s="58">
        <f>IF(Database!BN110="","",IFERROR(INDEX(BDH("HSAHP Index","PX_LAST",Database!$H110,Database!$H110),MATCH(Database!$H110,INDEX(BDH("HSAHP Index","PX_LAST",Database!$H110,Database!$H110),0,1),0),2),"run on terminal"))</f>
        <v/>
      </c>
      <c r="S110" s="58">
        <f>IFERROR(BDP(TEXT(VALUE(Database!$A110),"0")&amp;" HK Equity","PX_TO_SALES_RATIO"),"")</f>
        <v/>
      </c>
      <c r="T110" s="53">
        <f>IF(Database!BN110="","",IFERROR(BDP(LEFT(Database!BN110,FIND(".",Database!BN110)-1)&amp;" CH Equity","CUR_MKT_CAP")*BDP("CNYHKD Curncy","PX_LAST"),"run on terminal"))</f>
        <v/>
      </c>
    </row>
    <row r="111" ht="23" customHeight="1">
      <c r="A111" s="51">
        <f>Database!A111&amp;"  "&amp;Database!B111</f>
        <v/>
      </c>
      <c r="B111" s="43">
        <f>IFERROR(INDEX(BDS(TEXT(VALUE(Database!$A111),"0")&amp;" HK Equity","EQUITY_OFFERINGS","array=t","endcol=1"),MATCH("IPO",BDS(TEXT(VALUE(Database!$A111),"0")&amp;" HK Equity","EQUITY_OFFERINGS","array=t","startcol=2","endcol=2"),0)),"")</f>
        <v/>
      </c>
      <c r="C111" s="260">
        <f>IF($B111="","",IFERROR(BDP($B111&amp;" Action","CP036"),""))</f>
        <v/>
      </c>
      <c r="D111" s="261">
        <f>Database!S111</f>
        <v/>
      </c>
      <c r="E111" s="260">
        <f>IF($B111="","",IFERROR(BDP($B111&amp;" Action","CP037"),""))</f>
        <v/>
      </c>
      <c r="F111" s="261">
        <f>Database!T111</f>
        <v/>
      </c>
      <c r="G111" s="260">
        <f>IF($B111="","",IFERROR(BDP($B111&amp;" Action","GREENSHOE_FACILITY"),""))</f>
        <v/>
      </c>
      <c r="H111" s="260">
        <f>IF($B111="","",IFERROR(BDP($B111&amp;" Action","OFFERING_GREENSHOE_SHARES_EX"),""))</f>
        <v/>
      </c>
      <c r="I111" s="51">
        <f>Database!AE111</f>
        <v/>
      </c>
      <c r="J111" s="58">
        <f>IFERROR(BDP(TEXT(VALUE(Database!$A111),"0")&amp;" HK Equity","PE_RATIO"),"")</f>
        <v/>
      </c>
      <c r="K111" s="43">
        <f>IFERROR(BDP(TEXT(VALUE(Database!$A111),"0")&amp;" HK Equity","A/H_SHARE_CONVERSION"),"")</f>
        <v/>
      </c>
      <c r="L111" s="51">
        <f>IF(Database!BN111="","(none found)",Database!BN111)</f>
        <v/>
      </c>
      <c r="M111" s="53">
        <f>IFERROR(INDEX(BDH(TEXT(VALUE(Database!$A111),"0")&amp;" HK Equity","CUR_MKT_CAP",Database!$H111,Database!$H111),MATCH(Database!$H111,INDEX(BDH(TEXT(VALUE(Database!$A111),"0")&amp;" HK Equity","CUR_MKT_CAP",Database!$H111,Database!$H111),0,1),0),2),"run on terminal")</f>
        <v/>
      </c>
      <c r="N111" s="213">
        <f>Database!Q111</f>
        <v/>
      </c>
      <c r="O111" s="58">
        <f>IFERROR(INDEX(BDH(TEXT(VALUE(Database!$A111),"0")&amp;" HK Equity","PE_RATIO",Database!$H111,Database!$H111),MATCH(Database!$H111,INDEX(BDH(TEXT(VALUE(Database!$A111),"0")&amp;" HK Equity","PE_RATIO",Database!$H111,Database!$H111),0,1),0),2),"run on terminal")</f>
        <v/>
      </c>
      <c r="P111" s="251">
        <f>IF(Database!BH111="","(n/m or not derivable)",Database!BH111)</f>
        <v/>
      </c>
      <c r="Q111" s="58">
        <f>IF(Database!BN111="","",IFERROR(INDEX(BDH(LEFT(Database!BN111,FIND(".",Database!BN111)-1)&amp;" CH Equity","PE_RATIO",Database!$H111,Database!$H111),MATCH(Database!$H111,INDEX(BDH(LEFT(Database!BN111,FIND(".",Database!BN111)-1)&amp;" CH Equity","PE_RATIO",Database!$H111,Database!$H111),0,1),0),2),"run on terminal"))</f>
        <v/>
      </c>
      <c r="R111" s="58">
        <f>IF(Database!BN111="","",IFERROR(INDEX(BDH("HSAHP Index","PX_LAST",Database!$H111,Database!$H111),MATCH(Database!$H111,INDEX(BDH("HSAHP Index","PX_LAST",Database!$H111,Database!$H111),0,1),0),2),"run on terminal"))</f>
        <v/>
      </c>
      <c r="S111" s="58">
        <f>IFERROR(BDP(TEXT(VALUE(Database!$A111),"0")&amp;" HK Equity","PX_TO_SALES_RATIO"),"")</f>
        <v/>
      </c>
      <c r="T111" s="53">
        <f>IF(Database!BN111="","",IFERROR(BDP(LEFT(Database!BN111,FIND(".",Database!BN111)-1)&amp;" CH Equity","CUR_MKT_CAP")*BDP("CNYHKD Curncy","PX_LAST"),"run on terminal"))</f>
        <v/>
      </c>
    </row>
    <row r="112" ht="23" customHeight="1">
      <c r="A112" s="51">
        <f>Database!A112&amp;"  "&amp;Database!B112</f>
        <v/>
      </c>
      <c r="B112" s="43">
        <f>IFERROR(INDEX(BDS(TEXT(VALUE(Database!$A112),"0")&amp;" HK Equity","EQUITY_OFFERINGS","array=t","endcol=1"),MATCH("IPO",BDS(TEXT(VALUE(Database!$A112),"0")&amp;" HK Equity","EQUITY_OFFERINGS","array=t","startcol=2","endcol=2"),0)),"")</f>
        <v/>
      </c>
      <c r="C112" s="260">
        <f>IF($B112="","",IFERROR(BDP($B112&amp;" Action","CP036"),""))</f>
        <v/>
      </c>
      <c r="D112" s="261">
        <f>Database!S112</f>
        <v/>
      </c>
      <c r="E112" s="260">
        <f>IF($B112="","",IFERROR(BDP($B112&amp;" Action","CP037"),""))</f>
        <v/>
      </c>
      <c r="F112" s="261">
        <f>Database!T112</f>
        <v/>
      </c>
      <c r="G112" s="260">
        <f>IF($B112="","",IFERROR(BDP($B112&amp;" Action","GREENSHOE_FACILITY"),""))</f>
        <v/>
      </c>
      <c r="H112" s="260">
        <f>IF($B112="","",IFERROR(BDP($B112&amp;" Action","OFFERING_GREENSHOE_SHARES_EX"),""))</f>
        <v/>
      </c>
      <c r="I112" s="51">
        <f>Database!AE112</f>
        <v/>
      </c>
      <c r="J112" s="58">
        <f>IFERROR(BDP(TEXT(VALUE(Database!$A112),"0")&amp;" HK Equity","PE_RATIO"),"")</f>
        <v/>
      </c>
      <c r="K112" s="43">
        <f>IFERROR(BDP(TEXT(VALUE(Database!$A112),"0")&amp;" HK Equity","A/H_SHARE_CONVERSION"),"")</f>
        <v/>
      </c>
      <c r="L112" s="51">
        <f>IF(Database!BN112="","(none found)",Database!BN112)</f>
        <v/>
      </c>
      <c r="M112" s="53">
        <f>IFERROR(INDEX(BDH(TEXT(VALUE(Database!$A112),"0")&amp;" HK Equity","CUR_MKT_CAP",Database!$H112,Database!$H112),MATCH(Database!$H112,INDEX(BDH(TEXT(VALUE(Database!$A112),"0")&amp;" HK Equity","CUR_MKT_CAP",Database!$H112,Database!$H112),0,1),0),2),"run on terminal")</f>
        <v/>
      </c>
      <c r="N112" s="213">
        <f>Database!Q112</f>
        <v/>
      </c>
      <c r="O112" s="58">
        <f>IFERROR(INDEX(BDH(TEXT(VALUE(Database!$A112),"0")&amp;" HK Equity","PE_RATIO",Database!$H112,Database!$H112),MATCH(Database!$H112,INDEX(BDH(TEXT(VALUE(Database!$A112),"0")&amp;" HK Equity","PE_RATIO",Database!$H112,Database!$H112),0,1),0),2),"run on terminal")</f>
        <v/>
      </c>
      <c r="P112" s="251">
        <f>IF(Database!BH112="","(n/m or not derivable)",Database!BH112)</f>
        <v/>
      </c>
      <c r="Q112" s="58">
        <f>IF(Database!BN112="","",IFERROR(INDEX(BDH(LEFT(Database!BN112,FIND(".",Database!BN112)-1)&amp;" CH Equity","PE_RATIO",Database!$H112,Database!$H112),MATCH(Database!$H112,INDEX(BDH(LEFT(Database!BN112,FIND(".",Database!BN112)-1)&amp;" CH Equity","PE_RATIO",Database!$H112,Database!$H112),0,1),0),2),"run on terminal"))</f>
        <v/>
      </c>
      <c r="R112" s="58">
        <f>IF(Database!BN112="","",IFERROR(INDEX(BDH("HSAHP Index","PX_LAST",Database!$H112,Database!$H112),MATCH(Database!$H112,INDEX(BDH("HSAHP Index","PX_LAST",Database!$H112,Database!$H112),0,1),0),2),"run on terminal"))</f>
        <v/>
      </c>
      <c r="S112" s="58">
        <f>IFERROR(BDP(TEXT(VALUE(Database!$A112),"0")&amp;" HK Equity","PX_TO_SALES_RATIO"),"")</f>
        <v/>
      </c>
      <c r="T112" s="53">
        <f>IF(Database!BN112="","",IFERROR(BDP(LEFT(Database!BN112,FIND(".",Database!BN112)-1)&amp;" CH Equity","CUR_MKT_CAP")*BDP("CNYHKD Curncy","PX_LAST"),"run on terminal"))</f>
        <v/>
      </c>
    </row>
    <row r="113" ht="23" customHeight="1">
      <c r="A113" s="51">
        <f>Database!A113&amp;"  "&amp;Database!B113</f>
        <v/>
      </c>
      <c r="B113" s="43">
        <f>IFERROR(INDEX(BDS(TEXT(VALUE(Database!$A113),"0")&amp;" HK Equity","EQUITY_OFFERINGS","array=t","endcol=1"),MATCH("IPO",BDS(TEXT(VALUE(Database!$A113),"0")&amp;" HK Equity","EQUITY_OFFERINGS","array=t","startcol=2","endcol=2"),0)),"")</f>
        <v/>
      </c>
      <c r="C113" s="260">
        <f>IF($B113="","",IFERROR(BDP($B113&amp;" Action","CP036"),""))</f>
        <v/>
      </c>
      <c r="D113" s="261">
        <f>Database!S113</f>
        <v/>
      </c>
      <c r="E113" s="260">
        <f>IF($B113="","",IFERROR(BDP($B113&amp;" Action","CP037"),""))</f>
        <v/>
      </c>
      <c r="F113" s="261">
        <f>Database!T113</f>
        <v/>
      </c>
      <c r="G113" s="260">
        <f>IF($B113="","",IFERROR(BDP($B113&amp;" Action","GREENSHOE_FACILITY"),""))</f>
        <v/>
      </c>
      <c r="H113" s="260">
        <f>IF($B113="","",IFERROR(BDP($B113&amp;" Action","OFFERING_GREENSHOE_SHARES_EX"),""))</f>
        <v/>
      </c>
      <c r="I113" s="51">
        <f>Database!AE113</f>
        <v/>
      </c>
      <c r="J113" s="58">
        <f>IFERROR(BDP(TEXT(VALUE(Database!$A113),"0")&amp;" HK Equity","PE_RATIO"),"")</f>
        <v/>
      </c>
      <c r="K113" s="43">
        <f>IFERROR(BDP(TEXT(VALUE(Database!$A113),"0")&amp;" HK Equity","A/H_SHARE_CONVERSION"),"")</f>
        <v/>
      </c>
      <c r="L113" s="51">
        <f>IF(Database!BN113="","(none found)",Database!BN113)</f>
        <v/>
      </c>
      <c r="M113" s="53">
        <f>IFERROR(INDEX(BDH(TEXT(VALUE(Database!$A113),"0")&amp;" HK Equity","CUR_MKT_CAP",Database!$H113,Database!$H113),MATCH(Database!$H113,INDEX(BDH(TEXT(VALUE(Database!$A113),"0")&amp;" HK Equity","CUR_MKT_CAP",Database!$H113,Database!$H113),0,1),0),2),"run on terminal")</f>
        <v/>
      </c>
      <c r="N113" s="213">
        <f>Database!Q113</f>
        <v/>
      </c>
      <c r="O113" s="58">
        <f>IFERROR(INDEX(BDH(TEXT(VALUE(Database!$A113),"0")&amp;" HK Equity","PE_RATIO",Database!$H113,Database!$H113),MATCH(Database!$H113,INDEX(BDH(TEXT(VALUE(Database!$A113),"0")&amp;" HK Equity","PE_RATIO",Database!$H113,Database!$H113),0,1),0),2),"run on terminal")</f>
        <v/>
      </c>
      <c r="P113" s="251">
        <f>IF(Database!BH113="","(n/m or not derivable)",Database!BH113)</f>
        <v/>
      </c>
      <c r="Q113" s="58">
        <f>IF(Database!BN113="","",IFERROR(INDEX(BDH(LEFT(Database!BN113,FIND(".",Database!BN113)-1)&amp;" CH Equity","PE_RATIO",Database!$H113,Database!$H113),MATCH(Database!$H113,INDEX(BDH(LEFT(Database!BN113,FIND(".",Database!BN113)-1)&amp;" CH Equity","PE_RATIO",Database!$H113,Database!$H113),0,1),0),2),"run on terminal"))</f>
        <v/>
      </c>
      <c r="R113" s="58">
        <f>IF(Database!BN113="","",IFERROR(INDEX(BDH("HSAHP Index","PX_LAST",Database!$H113,Database!$H113),MATCH(Database!$H113,INDEX(BDH("HSAHP Index","PX_LAST",Database!$H113,Database!$H113),0,1),0),2),"run on terminal"))</f>
        <v/>
      </c>
      <c r="S113" s="58">
        <f>IFERROR(BDP(TEXT(VALUE(Database!$A113),"0")&amp;" HK Equity","PX_TO_SALES_RATIO"),"")</f>
        <v/>
      </c>
      <c r="T113" s="53">
        <f>IF(Database!BN113="","",IFERROR(BDP(LEFT(Database!BN113,FIND(".",Database!BN113)-1)&amp;" CH Equity","CUR_MKT_CAP")*BDP("CNYHKD Curncy","PX_LAST"),"run on terminal"))</f>
        <v/>
      </c>
    </row>
    <row r="114" ht="23" customHeight="1">
      <c r="A114" s="51">
        <f>Database!A114&amp;"  "&amp;Database!B114</f>
        <v/>
      </c>
      <c r="B114" s="43">
        <f>IFERROR(INDEX(BDS(TEXT(VALUE(Database!$A114),"0")&amp;" HK Equity","EQUITY_OFFERINGS","array=t","endcol=1"),MATCH("IPO",BDS(TEXT(VALUE(Database!$A114),"0")&amp;" HK Equity","EQUITY_OFFERINGS","array=t","startcol=2","endcol=2"),0)),"")</f>
        <v/>
      </c>
      <c r="C114" s="260">
        <f>IF($B114="","",IFERROR(BDP($B114&amp;" Action","CP036"),""))</f>
        <v/>
      </c>
      <c r="D114" s="261">
        <f>Database!S114</f>
        <v/>
      </c>
      <c r="E114" s="260">
        <f>IF($B114="","",IFERROR(BDP($B114&amp;" Action","CP037"),""))</f>
        <v/>
      </c>
      <c r="F114" s="261">
        <f>Database!T114</f>
        <v/>
      </c>
      <c r="G114" s="260">
        <f>IF($B114="","",IFERROR(BDP($B114&amp;" Action","GREENSHOE_FACILITY"),""))</f>
        <v/>
      </c>
      <c r="H114" s="260">
        <f>IF($B114="","",IFERROR(BDP($B114&amp;" Action","OFFERING_GREENSHOE_SHARES_EX"),""))</f>
        <v/>
      </c>
      <c r="I114" s="51">
        <f>Database!AE114</f>
        <v/>
      </c>
      <c r="J114" s="58">
        <f>IFERROR(BDP(TEXT(VALUE(Database!$A114),"0")&amp;" HK Equity","PE_RATIO"),"")</f>
        <v/>
      </c>
      <c r="K114" s="43">
        <f>IFERROR(BDP(TEXT(VALUE(Database!$A114),"0")&amp;" HK Equity","A/H_SHARE_CONVERSION"),"")</f>
        <v/>
      </c>
      <c r="L114" s="51">
        <f>IF(Database!BN114="","(none found)",Database!BN114)</f>
        <v/>
      </c>
      <c r="M114" s="53">
        <f>IFERROR(INDEX(BDH(TEXT(VALUE(Database!$A114),"0")&amp;" HK Equity","CUR_MKT_CAP",Database!$H114,Database!$H114),MATCH(Database!$H114,INDEX(BDH(TEXT(VALUE(Database!$A114),"0")&amp;" HK Equity","CUR_MKT_CAP",Database!$H114,Database!$H114),0,1),0),2),"run on terminal")</f>
        <v/>
      </c>
      <c r="N114" s="213">
        <f>Database!Q114</f>
        <v/>
      </c>
      <c r="O114" s="58">
        <f>IFERROR(INDEX(BDH(TEXT(VALUE(Database!$A114),"0")&amp;" HK Equity","PE_RATIO",Database!$H114,Database!$H114),MATCH(Database!$H114,INDEX(BDH(TEXT(VALUE(Database!$A114),"0")&amp;" HK Equity","PE_RATIO",Database!$H114,Database!$H114),0,1),0),2),"run on terminal")</f>
        <v/>
      </c>
      <c r="P114" s="251">
        <f>IF(Database!BH114="","(n/m or not derivable)",Database!BH114)</f>
        <v/>
      </c>
      <c r="Q114" s="58">
        <f>IF(Database!BN114="","",IFERROR(INDEX(BDH(LEFT(Database!BN114,FIND(".",Database!BN114)-1)&amp;" CH Equity","PE_RATIO",Database!$H114,Database!$H114),MATCH(Database!$H114,INDEX(BDH(LEFT(Database!BN114,FIND(".",Database!BN114)-1)&amp;" CH Equity","PE_RATIO",Database!$H114,Database!$H114),0,1),0),2),"run on terminal"))</f>
        <v/>
      </c>
      <c r="R114" s="58">
        <f>IF(Database!BN114="","",IFERROR(INDEX(BDH("HSAHP Index","PX_LAST",Database!$H114,Database!$H114),MATCH(Database!$H114,INDEX(BDH("HSAHP Index","PX_LAST",Database!$H114,Database!$H114),0,1),0),2),"run on terminal"))</f>
        <v/>
      </c>
      <c r="S114" s="58">
        <f>IFERROR(BDP(TEXT(VALUE(Database!$A114),"0")&amp;" HK Equity","PX_TO_SALES_RATIO"),"")</f>
        <v/>
      </c>
      <c r="T114" s="53">
        <f>IF(Database!BN114="","",IFERROR(BDP(LEFT(Database!BN114,FIND(".",Database!BN114)-1)&amp;" CH Equity","CUR_MKT_CAP")*BDP("CNYHKD Curncy","PX_LAST"),"run on terminal"))</f>
        <v/>
      </c>
    </row>
    <row r="115" ht="23" customHeight="1">
      <c r="A115" s="51">
        <f>Database!A115&amp;"  "&amp;Database!B115</f>
        <v/>
      </c>
      <c r="B115" s="43">
        <f>IFERROR(INDEX(BDS(TEXT(VALUE(Database!$A115),"0")&amp;" HK Equity","EQUITY_OFFERINGS","array=t","endcol=1"),MATCH("IPO",BDS(TEXT(VALUE(Database!$A115),"0")&amp;" HK Equity","EQUITY_OFFERINGS","array=t","startcol=2","endcol=2"),0)),"")</f>
        <v/>
      </c>
      <c r="C115" s="260">
        <f>IF($B115="","",IFERROR(BDP($B115&amp;" Action","CP036"),""))</f>
        <v/>
      </c>
      <c r="D115" s="261">
        <f>Database!S115</f>
        <v/>
      </c>
      <c r="E115" s="260">
        <f>IF($B115="","",IFERROR(BDP($B115&amp;" Action","CP037"),""))</f>
        <v/>
      </c>
      <c r="F115" s="261">
        <f>Database!T115</f>
        <v/>
      </c>
      <c r="G115" s="260">
        <f>IF($B115="","",IFERROR(BDP($B115&amp;" Action","GREENSHOE_FACILITY"),""))</f>
        <v/>
      </c>
      <c r="H115" s="260">
        <f>IF($B115="","",IFERROR(BDP($B115&amp;" Action","OFFERING_GREENSHOE_SHARES_EX"),""))</f>
        <v/>
      </c>
      <c r="I115" s="51">
        <f>Database!AE115</f>
        <v/>
      </c>
      <c r="J115" s="58">
        <f>IFERROR(BDP(TEXT(VALUE(Database!$A115),"0")&amp;" HK Equity","PE_RATIO"),"")</f>
        <v/>
      </c>
      <c r="K115" s="43">
        <f>IFERROR(BDP(TEXT(VALUE(Database!$A115),"0")&amp;" HK Equity","A/H_SHARE_CONVERSION"),"")</f>
        <v/>
      </c>
      <c r="L115" s="51">
        <f>IF(Database!BN115="","(none found)",Database!BN115)</f>
        <v/>
      </c>
      <c r="M115" s="53">
        <f>IFERROR(INDEX(BDH(TEXT(VALUE(Database!$A115),"0")&amp;" HK Equity","CUR_MKT_CAP",Database!$H115,Database!$H115),MATCH(Database!$H115,INDEX(BDH(TEXT(VALUE(Database!$A115),"0")&amp;" HK Equity","CUR_MKT_CAP",Database!$H115,Database!$H115),0,1),0),2),"run on terminal")</f>
        <v/>
      </c>
      <c r="N115" s="213">
        <f>Database!Q115</f>
        <v/>
      </c>
      <c r="O115" s="58">
        <f>IFERROR(INDEX(BDH(TEXT(VALUE(Database!$A115),"0")&amp;" HK Equity","PE_RATIO",Database!$H115,Database!$H115),MATCH(Database!$H115,INDEX(BDH(TEXT(VALUE(Database!$A115),"0")&amp;" HK Equity","PE_RATIO",Database!$H115,Database!$H115),0,1),0),2),"run on terminal")</f>
        <v/>
      </c>
      <c r="P115" s="251">
        <f>IF(Database!BH115="","(n/m or not derivable)",Database!BH115)</f>
        <v/>
      </c>
      <c r="Q115" s="58">
        <f>IF(Database!BN115="","",IFERROR(INDEX(BDH(LEFT(Database!BN115,FIND(".",Database!BN115)-1)&amp;" CH Equity","PE_RATIO",Database!$H115,Database!$H115),MATCH(Database!$H115,INDEX(BDH(LEFT(Database!BN115,FIND(".",Database!BN115)-1)&amp;" CH Equity","PE_RATIO",Database!$H115,Database!$H115),0,1),0),2),"run on terminal"))</f>
        <v/>
      </c>
      <c r="R115" s="58">
        <f>IF(Database!BN115="","",IFERROR(INDEX(BDH("HSAHP Index","PX_LAST",Database!$H115,Database!$H115),MATCH(Database!$H115,INDEX(BDH("HSAHP Index","PX_LAST",Database!$H115,Database!$H115),0,1),0),2),"run on terminal"))</f>
        <v/>
      </c>
      <c r="S115" s="58">
        <f>IFERROR(BDP(TEXT(VALUE(Database!$A115),"0")&amp;" HK Equity","PX_TO_SALES_RATIO"),"")</f>
        <v/>
      </c>
      <c r="T115" s="53">
        <f>IF(Database!BN115="","",IFERROR(BDP(LEFT(Database!BN115,FIND(".",Database!BN115)-1)&amp;" CH Equity","CUR_MKT_CAP")*BDP("CNYHKD Curncy","PX_LAST"),"run on terminal"))</f>
        <v/>
      </c>
    </row>
    <row r="116" ht="23" customHeight="1">
      <c r="A116" s="51">
        <f>Database!A116&amp;"  "&amp;Database!B116</f>
        <v/>
      </c>
      <c r="B116" s="43">
        <f>IFERROR(INDEX(BDS(TEXT(VALUE(Database!$A116),"0")&amp;" HK Equity","EQUITY_OFFERINGS","array=t","endcol=1"),MATCH("IPO",BDS(TEXT(VALUE(Database!$A116),"0")&amp;" HK Equity","EQUITY_OFFERINGS","array=t","startcol=2","endcol=2"),0)),"")</f>
        <v/>
      </c>
      <c r="C116" s="260">
        <f>IF($B116="","",IFERROR(BDP($B116&amp;" Action","CP036"),""))</f>
        <v/>
      </c>
      <c r="D116" s="261">
        <f>Database!S116</f>
        <v/>
      </c>
      <c r="E116" s="260">
        <f>IF($B116="","",IFERROR(BDP($B116&amp;" Action","CP037"),""))</f>
        <v/>
      </c>
      <c r="F116" s="261">
        <f>Database!T116</f>
        <v/>
      </c>
      <c r="G116" s="260">
        <f>IF($B116="","",IFERROR(BDP($B116&amp;" Action","GREENSHOE_FACILITY"),""))</f>
        <v/>
      </c>
      <c r="H116" s="260">
        <f>IF($B116="","",IFERROR(BDP($B116&amp;" Action","OFFERING_GREENSHOE_SHARES_EX"),""))</f>
        <v/>
      </c>
      <c r="I116" s="51">
        <f>Database!AE116</f>
        <v/>
      </c>
      <c r="J116" s="58">
        <f>IFERROR(BDP(TEXT(VALUE(Database!$A116),"0")&amp;" HK Equity","PE_RATIO"),"")</f>
        <v/>
      </c>
      <c r="K116" s="43">
        <f>IFERROR(BDP(TEXT(VALUE(Database!$A116),"0")&amp;" HK Equity","A/H_SHARE_CONVERSION"),"")</f>
        <v/>
      </c>
      <c r="L116" s="51">
        <f>IF(Database!BN116="","(none found)",Database!BN116)</f>
        <v/>
      </c>
      <c r="M116" s="53">
        <f>IFERROR(INDEX(BDH(TEXT(VALUE(Database!$A116),"0")&amp;" HK Equity","CUR_MKT_CAP",Database!$H116,Database!$H116),MATCH(Database!$H116,INDEX(BDH(TEXT(VALUE(Database!$A116),"0")&amp;" HK Equity","CUR_MKT_CAP",Database!$H116,Database!$H116),0,1),0),2),"run on terminal")</f>
        <v/>
      </c>
      <c r="N116" s="213">
        <f>Database!Q116</f>
        <v/>
      </c>
      <c r="O116" s="58">
        <f>IFERROR(INDEX(BDH(TEXT(VALUE(Database!$A116),"0")&amp;" HK Equity","PE_RATIO",Database!$H116,Database!$H116),MATCH(Database!$H116,INDEX(BDH(TEXT(VALUE(Database!$A116),"0")&amp;" HK Equity","PE_RATIO",Database!$H116,Database!$H116),0,1),0),2),"run on terminal")</f>
        <v/>
      </c>
      <c r="P116" s="251">
        <f>IF(Database!BH116="","(n/m or not derivable)",Database!BH116)</f>
        <v/>
      </c>
      <c r="Q116" s="58">
        <f>IF(Database!BN116="","",IFERROR(INDEX(BDH(LEFT(Database!BN116,FIND(".",Database!BN116)-1)&amp;" CH Equity","PE_RATIO",Database!$H116,Database!$H116),MATCH(Database!$H116,INDEX(BDH(LEFT(Database!BN116,FIND(".",Database!BN116)-1)&amp;" CH Equity","PE_RATIO",Database!$H116,Database!$H116),0,1),0),2),"run on terminal"))</f>
        <v/>
      </c>
      <c r="R116" s="58">
        <f>IF(Database!BN116="","",IFERROR(INDEX(BDH("HSAHP Index","PX_LAST",Database!$H116,Database!$H116),MATCH(Database!$H116,INDEX(BDH("HSAHP Index","PX_LAST",Database!$H116,Database!$H116),0,1),0),2),"run on terminal"))</f>
        <v/>
      </c>
      <c r="S116" s="58">
        <f>IFERROR(BDP(TEXT(VALUE(Database!$A116),"0")&amp;" HK Equity","PX_TO_SALES_RATIO"),"")</f>
        <v/>
      </c>
      <c r="T116" s="53">
        <f>IF(Database!BN116="","",IFERROR(BDP(LEFT(Database!BN116,FIND(".",Database!BN116)-1)&amp;" CH Equity","CUR_MKT_CAP")*BDP("CNYHKD Curncy","PX_LAST"),"run on terminal"))</f>
        <v/>
      </c>
    </row>
    <row r="117" ht="23" customHeight="1">
      <c r="A117" s="51">
        <f>Database!A117&amp;"  "&amp;Database!B117</f>
        <v/>
      </c>
      <c r="B117" s="43">
        <f>IFERROR(INDEX(BDS(TEXT(VALUE(Database!$A117),"0")&amp;" HK Equity","EQUITY_OFFERINGS","array=t","endcol=1"),MATCH("IPO",BDS(TEXT(VALUE(Database!$A117),"0")&amp;" HK Equity","EQUITY_OFFERINGS","array=t","startcol=2","endcol=2"),0)),"")</f>
        <v/>
      </c>
      <c r="C117" s="260">
        <f>IF($B117="","",IFERROR(BDP($B117&amp;" Action","CP036"),""))</f>
        <v/>
      </c>
      <c r="D117" s="261">
        <f>Database!S117</f>
        <v/>
      </c>
      <c r="E117" s="260">
        <f>IF($B117="","",IFERROR(BDP($B117&amp;" Action","CP037"),""))</f>
        <v/>
      </c>
      <c r="F117" s="261">
        <f>Database!T117</f>
        <v/>
      </c>
      <c r="G117" s="260">
        <f>IF($B117="","",IFERROR(BDP($B117&amp;" Action","GREENSHOE_FACILITY"),""))</f>
        <v/>
      </c>
      <c r="H117" s="260">
        <f>IF($B117="","",IFERROR(BDP($B117&amp;" Action","OFFERING_GREENSHOE_SHARES_EX"),""))</f>
        <v/>
      </c>
      <c r="I117" s="51">
        <f>Database!AE117</f>
        <v/>
      </c>
      <c r="J117" s="58">
        <f>IFERROR(BDP(TEXT(VALUE(Database!$A117),"0")&amp;" HK Equity","PE_RATIO"),"")</f>
        <v/>
      </c>
      <c r="K117" s="43">
        <f>IFERROR(BDP(TEXT(VALUE(Database!$A117),"0")&amp;" HK Equity","A/H_SHARE_CONVERSION"),"")</f>
        <v/>
      </c>
      <c r="L117" s="51">
        <f>IF(Database!BN117="","(none found)",Database!BN117)</f>
        <v/>
      </c>
      <c r="M117" s="53">
        <f>IFERROR(INDEX(BDH(TEXT(VALUE(Database!$A117),"0")&amp;" HK Equity","CUR_MKT_CAP",Database!$H117,Database!$H117),MATCH(Database!$H117,INDEX(BDH(TEXT(VALUE(Database!$A117),"0")&amp;" HK Equity","CUR_MKT_CAP",Database!$H117,Database!$H117),0,1),0),2),"run on terminal")</f>
        <v/>
      </c>
      <c r="N117" s="213">
        <f>Database!Q117</f>
        <v/>
      </c>
      <c r="O117" s="58">
        <f>IFERROR(INDEX(BDH(TEXT(VALUE(Database!$A117),"0")&amp;" HK Equity","PE_RATIO",Database!$H117,Database!$H117),MATCH(Database!$H117,INDEX(BDH(TEXT(VALUE(Database!$A117),"0")&amp;" HK Equity","PE_RATIO",Database!$H117,Database!$H117),0,1),0),2),"run on terminal")</f>
        <v/>
      </c>
      <c r="P117" s="251">
        <f>IF(Database!BH117="","(n/m or not derivable)",Database!BH117)</f>
        <v/>
      </c>
      <c r="Q117" s="58">
        <f>IF(Database!BN117="","",IFERROR(INDEX(BDH(LEFT(Database!BN117,FIND(".",Database!BN117)-1)&amp;" CH Equity","PE_RATIO",Database!$H117,Database!$H117),MATCH(Database!$H117,INDEX(BDH(LEFT(Database!BN117,FIND(".",Database!BN117)-1)&amp;" CH Equity","PE_RATIO",Database!$H117,Database!$H117),0,1),0),2),"run on terminal"))</f>
        <v/>
      </c>
      <c r="R117" s="58">
        <f>IF(Database!BN117="","",IFERROR(INDEX(BDH("HSAHP Index","PX_LAST",Database!$H117,Database!$H117),MATCH(Database!$H117,INDEX(BDH("HSAHP Index","PX_LAST",Database!$H117,Database!$H117),0,1),0),2),"run on terminal"))</f>
        <v/>
      </c>
      <c r="S117" s="58">
        <f>IFERROR(BDP(TEXT(VALUE(Database!$A117),"0")&amp;" HK Equity","PX_TO_SALES_RATIO"),"")</f>
        <v/>
      </c>
      <c r="T117" s="53">
        <f>IF(Database!BN117="","",IFERROR(BDP(LEFT(Database!BN117,FIND(".",Database!BN117)-1)&amp;" CH Equity","CUR_MKT_CAP")*BDP("CNYHKD Curncy","PX_LAST"),"run on terminal"))</f>
        <v/>
      </c>
    </row>
    <row r="118" ht="23" customHeight="1">
      <c r="A118" s="51">
        <f>Database!A118&amp;"  "&amp;Database!B118</f>
        <v/>
      </c>
      <c r="B118" s="43">
        <f>IFERROR(INDEX(BDS(TEXT(VALUE(Database!$A118),"0")&amp;" HK Equity","EQUITY_OFFERINGS","array=t","endcol=1"),MATCH("IPO",BDS(TEXT(VALUE(Database!$A118),"0")&amp;" HK Equity","EQUITY_OFFERINGS","array=t","startcol=2","endcol=2"),0)),"")</f>
        <v/>
      </c>
      <c r="C118" s="260">
        <f>IF($B118="","",IFERROR(BDP($B118&amp;" Action","CP036"),""))</f>
        <v/>
      </c>
      <c r="D118" s="261">
        <f>Database!S118</f>
        <v/>
      </c>
      <c r="E118" s="260">
        <f>IF($B118="","",IFERROR(BDP($B118&amp;" Action","CP037"),""))</f>
        <v/>
      </c>
      <c r="F118" s="261">
        <f>Database!T118</f>
        <v/>
      </c>
      <c r="G118" s="260">
        <f>IF($B118="","",IFERROR(BDP($B118&amp;" Action","GREENSHOE_FACILITY"),""))</f>
        <v/>
      </c>
      <c r="H118" s="260">
        <f>IF($B118="","",IFERROR(BDP($B118&amp;" Action","OFFERING_GREENSHOE_SHARES_EX"),""))</f>
        <v/>
      </c>
      <c r="I118" s="51">
        <f>Database!AE118</f>
        <v/>
      </c>
      <c r="J118" s="58">
        <f>IFERROR(BDP(TEXT(VALUE(Database!$A118),"0")&amp;" HK Equity","PE_RATIO"),"")</f>
        <v/>
      </c>
      <c r="K118" s="43">
        <f>IFERROR(BDP(TEXT(VALUE(Database!$A118),"0")&amp;" HK Equity","A/H_SHARE_CONVERSION"),"")</f>
        <v/>
      </c>
      <c r="L118" s="51">
        <f>IF(Database!BN118="","(none found)",Database!BN118)</f>
        <v/>
      </c>
      <c r="M118" s="53">
        <f>IFERROR(INDEX(BDH(TEXT(VALUE(Database!$A118),"0")&amp;" HK Equity","CUR_MKT_CAP",Database!$H118,Database!$H118),MATCH(Database!$H118,INDEX(BDH(TEXT(VALUE(Database!$A118),"0")&amp;" HK Equity","CUR_MKT_CAP",Database!$H118,Database!$H118),0,1),0),2),"run on terminal")</f>
        <v/>
      </c>
      <c r="N118" s="213">
        <f>Database!Q118</f>
        <v/>
      </c>
      <c r="O118" s="58">
        <f>IFERROR(INDEX(BDH(TEXT(VALUE(Database!$A118),"0")&amp;" HK Equity","PE_RATIO",Database!$H118,Database!$H118),MATCH(Database!$H118,INDEX(BDH(TEXT(VALUE(Database!$A118),"0")&amp;" HK Equity","PE_RATIO",Database!$H118,Database!$H118),0,1),0),2),"run on terminal")</f>
        <v/>
      </c>
      <c r="P118" s="251">
        <f>IF(Database!BH118="","(n/m or not derivable)",Database!BH118)</f>
        <v/>
      </c>
      <c r="Q118" s="58">
        <f>IF(Database!BN118="","",IFERROR(INDEX(BDH(LEFT(Database!BN118,FIND(".",Database!BN118)-1)&amp;" CH Equity","PE_RATIO",Database!$H118,Database!$H118),MATCH(Database!$H118,INDEX(BDH(LEFT(Database!BN118,FIND(".",Database!BN118)-1)&amp;" CH Equity","PE_RATIO",Database!$H118,Database!$H118),0,1),0),2),"run on terminal"))</f>
        <v/>
      </c>
      <c r="R118" s="58">
        <f>IF(Database!BN118="","",IFERROR(INDEX(BDH("HSAHP Index","PX_LAST",Database!$H118,Database!$H118),MATCH(Database!$H118,INDEX(BDH("HSAHP Index","PX_LAST",Database!$H118,Database!$H118),0,1),0),2),"run on terminal"))</f>
        <v/>
      </c>
      <c r="S118" s="58">
        <f>IFERROR(BDP(TEXT(VALUE(Database!$A118),"0")&amp;" HK Equity","PX_TO_SALES_RATIO"),"")</f>
        <v/>
      </c>
      <c r="T118" s="53">
        <f>IF(Database!BN118="","",IFERROR(BDP(LEFT(Database!BN118,FIND(".",Database!BN118)-1)&amp;" CH Equity","CUR_MKT_CAP")*BDP("CNYHKD Curncy","PX_LAST"),"run on terminal"))</f>
        <v/>
      </c>
    </row>
    <row r="119" ht="23" customHeight="1">
      <c r="A119" s="51">
        <f>Database!A119&amp;"  "&amp;Database!B119</f>
        <v/>
      </c>
      <c r="B119" s="43">
        <f>IFERROR(INDEX(BDS(TEXT(VALUE(Database!$A119),"0")&amp;" HK Equity","EQUITY_OFFERINGS","array=t","endcol=1"),MATCH("IPO",BDS(TEXT(VALUE(Database!$A119),"0")&amp;" HK Equity","EQUITY_OFFERINGS","array=t","startcol=2","endcol=2"),0)),"")</f>
        <v/>
      </c>
      <c r="C119" s="260">
        <f>IF($B119="","",IFERROR(BDP($B119&amp;" Action","CP036"),""))</f>
        <v/>
      </c>
      <c r="D119" s="261">
        <f>Database!S119</f>
        <v/>
      </c>
      <c r="E119" s="260">
        <f>IF($B119="","",IFERROR(BDP($B119&amp;" Action","CP037"),""))</f>
        <v/>
      </c>
      <c r="F119" s="261">
        <f>Database!T119</f>
        <v/>
      </c>
      <c r="G119" s="260">
        <f>IF($B119="","",IFERROR(BDP($B119&amp;" Action","GREENSHOE_FACILITY"),""))</f>
        <v/>
      </c>
      <c r="H119" s="260">
        <f>IF($B119="","",IFERROR(BDP($B119&amp;" Action","OFFERING_GREENSHOE_SHARES_EX"),""))</f>
        <v/>
      </c>
      <c r="I119" s="51">
        <f>Database!AE119</f>
        <v/>
      </c>
      <c r="J119" s="58">
        <f>IFERROR(BDP(TEXT(VALUE(Database!$A119),"0")&amp;" HK Equity","PE_RATIO"),"")</f>
        <v/>
      </c>
      <c r="K119" s="43">
        <f>IFERROR(BDP(TEXT(VALUE(Database!$A119),"0")&amp;" HK Equity","A/H_SHARE_CONVERSION"),"")</f>
        <v/>
      </c>
      <c r="L119" s="51">
        <f>IF(Database!BN119="","(none found)",Database!BN119)</f>
        <v/>
      </c>
      <c r="M119" s="53">
        <f>IFERROR(INDEX(BDH(TEXT(VALUE(Database!$A119),"0")&amp;" HK Equity","CUR_MKT_CAP",Database!$H119,Database!$H119),MATCH(Database!$H119,INDEX(BDH(TEXT(VALUE(Database!$A119),"0")&amp;" HK Equity","CUR_MKT_CAP",Database!$H119,Database!$H119),0,1),0),2),"run on terminal")</f>
        <v/>
      </c>
      <c r="N119" s="213">
        <f>Database!Q119</f>
        <v/>
      </c>
      <c r="O119" s="58">
        <f>IFERROR(INDEX(BDH(TEXT(VALUE(Database!$A119),"0")&amp;" HK Equity","PE_RATIO",Database!$H119,Database!$H119),MATCH(Database!$H119,INDEX(BDH(TEXT(VALUE(Database!$A119),"0")&amp;" HK Equity","PE_RATIO",Database!$H119,Database!$H119),0,1),0),2),"run on terminal")</f>
        <v/>
      </c>
      <c r="P119" s="251">
        <f>IF(Database!BH119="","(n/m or not derivable)",Database!BH119)</f>
        <v/>
      </c>
      <c r="Q119" s="58">
        <f>IF(Database!BN119="","",IFERROR(INDEX(BDH(LEFT(Database!BN119,FIND(".",Database!BN119)-1)&amp;" CH Equity","PE_RATIO",Database!$H119,Database!$H119),MATCH(Database!$H119,INDEX(BDH(LEFT(Database!BN119,FIND(".",Database!BN119)-1)&amp;" CH Equity","PE_RATIO",Database!$H119,Database!$H119),0,1),0),2),"run on terminal"))</f>
        <v/>
      </c>
      <c r="R119" s="58">
        <f>IF(Database!BN119="","",IFERROR(INDEX(BDH("HSAHP Index","PX_LAST",Database!$H119,Database!$H119),MATCH(Database!$H119,INDEX(BDH("HSAHP Index","PX_LAST",Database!$H119,Database!$H119),0,1),0),2),"run on terminal"))</f>
        <v/>
      </c>
      <c r="S119" s="58">
        <f>IFERROR(BDP(TEXT(VALUE(Database!$A119),"0")&amp;" HK Equity","PX_TO_SALES_RATIO"),"")</f>
        <v/>
      </c>
      <c r="T119" s="53">
        <f>IF(Database!BN119="","",IFERROR(BDP(LEFT(Database!BN119,FIND(".",Database!BN119)-1)&amp;" CH Equity","CUR_MKT_CAP")*BDP("CNYHKD Curncy","PX_LAST"),"run on terminal"))</f>
        <v/>
      </c>
    </row>
    <row r="120" ht="23" customHeight="1">
      <c r="A120" s="51">
        <f>Database!A120&amp;"  "&amp;Database!B120</f>
        <v/>
      </c>
      <c r="B120" s="43">
        <f>IFERROR(INDEX(BDS(TEXT(VALUE(Database!$A120),"0")&amp;" HK Equity","EQUITY_OFFERINGS","array=t","endcol=1"),MATCH("IPO",BDS(TEXT(VALUE(Database!$A120),"0")&amp;" HK Equity","EQUITY_OFFERINGS","array=t","startcol=2","endcol=2"),0)),"")</f>
        <v/>
      </c>
      <c r="C120" s="260">
        <f>IF($B120="","",IFERROR(BDP($B120&amp;" Action","CP036"),""))</f>
        <v/>
      </c>
      <c r="D120" s="261">
        <f>Database!S120</f>
        <v/>
      </c>
      <c r="E120" s="260">
        <f>IF($B120="","",IFERROR(BDP($B120&amp;" Action","CP037"),""))</f>
        <v/>
      </c>
      <c r="F120" s="261">
        <f>Database!T120</f>
        <v/>
      </c>
      <c r="G120" s="260">
        <f>IF($B120="","",IFERROR(BDP($B120&amp;" Action","GREENSHOE_FACILITY"),""))</f>
        <v/>
      </c>
      <c r="H120" s="260">
        <f>IF($B120="","",IFERROR(BDP($B120&amp;" Action","OFFERING_GREENSHOE_SHARES_EX"),""))</f>
        <v/>
      </c>
      <c r="I120" s="51">
        <f>Database!AE120</f>
        <v/>
      </c>
      <c r="J120" s="58">
        <f>IFERROR(BDP(TEXT(VALUE(Database!$A120),"0")&amp;" HK Equity","PE_RATIO"),"")</f>
        <v/>
      </c>
      <c r="K120" s="43">
        <f>IFERROR(BDP(TEXT(VALUE(Database!$A120),"0")&amp;" HK Equity","A/H_SHARE_CONVERSION"),"")</f>
        <v/>
      </c>
      <c r="L120" s="51">
        <f>IF(Database!BN120="","(none found)",Database!BN120)</f>
        <v/>
      </c>
      <c r="M120" s="53">
        <f>IFERROR(INDEX(BDH(TEXT(VALUE(Database!$A120),"0")&amp;" HK Equity","CUR_MKT_CAP",Database!$H120,Database!$H120),MATCH(Database!$H120,INDEX(BDH(TEXT(VALUE(Database!$A120),"0")&amp;" HK Equity","CUR_MKT_CAP",Database!$H120,Database!$H120),0,1),0),2),"run on terminal")</f>
        <v/>
      </c>
      <c r="N120" s="213">
        <f>Database!Q120</f>
        <v/>
      </c>
      <c r="O120" s="58">
        <f>IFERROR(INDEX(BDH(TEXT(VALUE(Database!$A120),"0")&amp;" HK Equity","PE_RATIO",Database!$H120,Database!$H120),MATCH(Database!$H120,INDEX(BDH(TEXT(VALUE(Database!$A120),"0")&amp;" HK Equity","PE_RATIO",Database!$H120,Database!$H120),0,1),0),2),"run on terminal")</f>
        <v/>
      </c>
      <c r="P120" s="251">
        <f>IF(Database!BH120="","(n/m or not derivable)",Database!BH120)</f>
        <v/>
      </c>
      <c r="Q120" s="58">
        <f>IF(Database!BN120="","",IFERROR(INDEX(BDH(LEFT(Database!BN120,FIND(".",Database!BN120)-1)&amp;" CH Equity","PE_RATIO",Database!$H120,Database!$H120),MATCH(Database!$H120,INDEX(BDH(LEFT(Database!BN120,FIND(".",Database!BN120)-1)&amp;" CH Equity","PE_RATIO",Database!$H120,Database!$H120),0,1),0),2),"run on terminal"))</f>
        <v/>
      </c>
      <c r="R120" s="58">
        <f>IF(Database!BN120="","",IFERROR(INDEX(BDH("HSAHP Index","PX_LAST",Database!$H120,Database!$H120),MATCH(Database!$H120,INDEX(BDH("HSAHP Index","PX_LAST",Database!$H120,Database!$H120),0,1),0),2),"run on terminal"))</f>
        <v/>
      </c>
      <c r="S120" s="58">
        <f>IFERROR(BDP(TEXT(VALUE(Database!$A120),"0")&amp;" HK Equity","PX_TO_SALES_RATIO"),"")</f>
        <v/>
      </c>
      <c r="T120" s="53">
        <f>IF(Database!BN120="","",IFERROR(BDP(LEFT(Database!BN120,FIND(".",Database!BN120)-1)&amp;" CH Equity","CUR_MKT_CAP")*BDP("CNYHKD Curncy","PX_LAST"),"run on terminal"))</f>
        <v/>
      </c>
    </row>
    <row r="121" ht="23" customHeight="1">
      <c r="A121" s="51">
        <f>Database!A121&amp;"  "&amp;Database!B121</f>
        <v/>
      </c>
      <c r="B121" s="43">
        <f>IFERROR(INDEX(BDS(TEXT(VALUE(Database!$A121),"0")&amp;" HK Equity","EQUITY_OFFERINGS","array=t","endcol=1"),MATCH("IPO",BDS(TEXT(VALUE(Database!$A121),"0")&amp;" HK Equity","EQUITY_OFFERINGS","array=t","startcol=2","endcol=2"),0)),"")</f>
        <v/>
      </c>
      <c r="C121" s="260">
        <f>IF($B121="","",IFERROR(BDP($B121&amp;" Action","CP036"),""))</f>
        <v/>
      </c>
      <c r="D121" s="261">
        <f>Database!S121</f>
        <v/>
      </c>
      <c r="E121" s="260">
        <f>IF($B121="","",IFERROR(BDP($B121&amp;" Action","CP037"),""))</f>
        <v/>
      </c>
      <c r="F121" s="261">
        <f>Database!T121</f>
        <v/>
      </c>
      <c r="G121" s="260">
        <f>IF($B121="","",IFERROR(BDP($B121&amp;" Action","GREENSHOE_FACILITY"),""))</f>
        <v/>
      </c>
      <c r="H121" s="260">
        <f>IF($B121="","",IFERROR(BDP($B121&amp;" Action","OFFERING_GREENSHOE_SHARES_EX"),""))</f>
        <v/>
      </c>
      <c r="I121" s="51">
        <f>Database!AE121</f>
        <v/>
      </c>
      <c r="J121" s="58">
        <f>IFERROR(BDP(TEXT(VALUE(Database!$A121),"0")&amp;" HK Equity","PE_RATIO"),"")</f>
        <v/>
      </c>
      <c r="K121" s="43">
        <f>IFERROR(BDP(TEXT(VALUE(Database!$A121),"0")&amp;" HK Equity","A/H_SHARE_CONVERSION"),"")</f>
        <v/>
      </c>
      <c r="L121" s="51">
        <f>IF(Database!BN121="","(none found)",Database!BN121)</f>
        <v/>
      </c>
      <c r="M121" s="53">
        <f>IFERROR(INDEX(BDH(TEXT(VALUE(Database!$A121),"0")&amp;" HK Equity","CUR_MKT_CAP",Database!$H121,Database!$H121),MATCH(Database!$H121,INDEX(BDH(TEXT(VALUE(Database!$A121),"0")&amp;" HK Equity","CUR_MKT_CAP",Database!$H121,Database!$H121),0,1),0),2),"run on terminal")</f>
        <v/>
      </c>
      <c r="N121" s="213">
        <f>Database!Q121</f>
        <v/>
      </c>
      <c r="O121" s="58">
        <f>IFERROR(INDEX(BDH(TEXT(VALUE(Database!$A121),"0")&amp;" HK Equity","PE_RATIO",Database!$H121,Database!$H121),MATCH(Database!$H121,INDEX(BDH(TEXT(VALUE(Database!$A121),"0")&amp;" HK Equity","PE_RATIO",Database!$H121,Database!$H121),0,1),0),2),"run on terminal")</f>
        <v/>
      </c>
      <c r="P121" s="251">
        <f>IF(Database!BH121="","(n/m or not derivable)",Database!BH121)</f>
        <v/>
      </c>
      <c r="Q121" s="58">
        <f>IF(Database!BN121="","",IFERROR(INDEX(BDH(LEFT(Database!BN121,FIND(".",Database!BN121)-1)&amp;" CH Equity","PE_RATIO",Database!$H121,Database!$H121),MATCH(Database!$H121,INDEX(BDH(LEFT(Database!BN121,FIND(".",Database!BN121)-1)&amp;" CH Equity","PE_RATIO",Database!$H121,Database!$H121),0,1),0),2),"run on terminal"))</f>
        <v/>
      </c>
      <c r="R121" s="58">
        <f>IF(Database!BN121="","",IFERROR(INDEX(BDH("HSAHP Index","PX_LAST",Database!$H121,Database!$H121),MATCH(Database!$H121,INDEX(BDH("HSAHP Index","PX_LAST",Database!$H121,Database!$H121),0,1),0),2),"run on terminal"))</f>
        <v/>
      </c>
      <c r="S121" s="58">
        <f>IFERROR(BDP(TEXT(VALUE(Database!$A121),"0")&amp;" HK Equity","PX_TO_SALES_RATIO"),"")</f>
        <v/>
      </c>
      <c r="T121" s="53">
        <f>IF(Database!BN121="","",IFERROR(BDP(LEFT(Database!BN121,FIND(".",Database!BN121)-1)&amp;" CH Equity","CUR_MKT_CAP")*BDP("CNYHKD Curncy","PX_LAST"),"run on terminal"))</f>
        <v/>
      </c>
    </row>
    <row r="122" ht="23" customHeight="1">
      <c r="A122" s="51">
        <f>Database!A122&amp;"  "&amp;Database!B122</f>
        <v/>
      </c>
      <c r="B122" s="43">
        <f>IFERROR(INDEX(BDS(TEXT(VALUE(Database!$A122),"0")&amp;" HK Equity","EQUITY_OFFERINGS","array=t","endcol=1"),MATCH("IPO",BDS(TEXT(VALUE(Database!$A122),"0")&amp;" HK Equity","EQUITY_OFFERINGS","array=t","startcol=2","endcol=2"),0)),"")</f>
        <v/>
      </c>
      <c r="C122" s="260">
        <f>IF($B122="","",IFERROR(BDP($B122&amp;" Action","CP036"),""))</f>
        <v/>
      </c>
      <c r="D122" s="261">
        <f>Database!S122</f>
        <v/>
      </c>
      <c r="E122" s="260">
        <f>IF($B122="","",IFERROR(BDP($B122&amp;" Action","CP037"),""))</f>
        <v/>
      </c>
      <c r="F122" s="261">
        <f>Database!T122</f>
        <v/>
      </c>
      <c r="G122" s="260">
        <f>IF($B122="","",IFERROR(BDP($B122&amp;" Action","GREENSHOE_FACILITY"),""))</f>
        <v/>
      </c>
      <c r="H122" s="260">
        <f>IF($B122="","",IFERROR(BDP($B122&amp;" Action","OFFERING_GREENSHOE_SHARES_EX"),""))</f>
        <v/>
      </c>
      <c r="I122" s="51">
        <f>Database!AE122</f>
        <v/>
      </c>
      <c r="J122" s="58">
        <f>IFERROR(BDP(TEXT(VALUE(Database!$A122),"0")&amp;" HK Equity","PE_RATIO"),"")</f>
        <v/>
      </c>
      <c r="K122" s="43">
        <f>IFERROR(BDP(TEXT(VALUE(Database!$A122),"0")&amp;" HK Equity","A/H_SHARE_CONVERSION"),"")</f>
        <v/>
      </c>
      <c r="L122" s="51">
        <f>IF(Database!BN122="","(none found)",Database!BN122)</f>
        <v/>
      </c>
      <c r="M122" s="53">
        <f>IFERROR(INDEX(BDH(TEXT(VALUE(Database!$A122),"0")&amp;" HK Equity","CUR_MKT_CAP",Database!$H122,Database!$H122),MATCH(Database!$H122,INDEX(BDH(TEXT(VALUE(Database!$A122),"0")&amp;" HK Equity","CUR_MKT_CAP",Database!$H122,Database!$H122),0,1),0),2),"run on terminal")</f>
        <v/>
      </c>
      <c r="N122" s="213">
        <f>Database!Q122</f>
        <v/>
      </c>
      <c r="O122" s="58">
        <f>IFERROR(INDEX(BDH(TEXT(VALUE(Database!$A122),"0")&amp;" HK Equity","PE_RATIO",Database!$H122,Database!$H122),MATCH(Database!$H122,INDEX(BDH(TEXT(VALUE(Database!$A122),"0")&amp;" HK Equity","PE_RATIO",Database!$H122,Database!$H122),0,1),0),2),"run on terminal")</f>
        <v/>
      </c>
      <c r="P122" s="251">
        <f>IF(Database!BH122="","(n/m or not derivable)",Database!BH122)</f>
        <v/>
      </c>
      <c r="Q122" s="58">
        <f>IF(Database!BN122="","",IFERROR(INDEX(BDH(LEFT(Database!BN122,FIND(".",Database!BN122)-1)&amp;" CH Equity","PE_RATIO",Database!$H122,Database!$H122),MATCH(Database!$H122,INDEX(BDH(LEFT(Database!BN122,FIND(".",Database!BN122)-1)&amp;" CH Equity","PE_RATIO",Database!$H122,Database!$H122),0,1),0),2),"run on terminal"))</f>
        <v/>
      </c>
      <c r="R122" s="58">
        <f>IF(Database!BN122="","",IFERROR(INDEX(BDH("HSAHP Index","PX_LAST",Database!$H122,Database!$H122),MATCH(Database!$H122,INDEX(BDH("HSAHP Index","PX_LAST",Database!$H122,Database!$H122),0,1),0),2),"run on terminal"))</f>
        <v/>
      </c>
      <c r="S122" s="58">
        <f>IFERROR(BDP(TEXT(VALUE(Database!$A122),"0")&amp;" HK Equity","PX_TO_SALES_RATIO"),"")</f>
        <v/>
      </c>
      <c r="T122" s="53">
        <f>IF(Database!BN122="","",IFERROR(BDP(LEFT(Database!BN122,FIND(".",Database!BN122)-1)&amp;" CH Equity","CUR_MKT_CAP")*BDP("CNYHKD Curncy","PX_LAST"),"run on terminal"))</f>
        <v/>
      </c>
    </row>
    <row r="123" ht="23" customHeight="1">
      <c r="A123" s="51">
        <f>Database!A123&amp;"  "&amp;Database!B123</f>
        <v/>
      </c>
      <c r="B123" s="43">
        <f>IFERROR(INDEX(BDS(TEXT(VALUE(Database!$A123),"0")&amp;" HK Equity","EQUITY_OFFERINGS","array=t","endcol=1"),MATCH("IPO",BDS(TEXT(VALUE(Database!$A123),"0")&amp;" HK Equity","EQUITY_OFFERINGS","array=t","startcol=2","endcol=2"),0)),"")</f>
        <v/>
      </c>
      <c r="C123" s="260">
        <f>IF($B123="","",IFERROR(BDP($B123&amp;" Action","CP036"),""))</f>
        <v/>
      </c>
      <c r="D123" s="261">
        <f>Database!S123</f>
        <v/>
      </c>
      <c r="E123" s="260">
        <f>IF($B123="","",IFERROR(BDP($B123&amp;" Action","CP037"),""))</f>
        <v/>
      </c>
      <c r="F123" s="261">
        <f>Database!T123</f>
        <v/>
      </c>
      <c r="G123" s="260">
        <f>IF($B123="","",IFERROR(BDP($B123&amp;" Action","GREENSHOE_FACILITY"),""))</f>
        <v/>
      </c>
      <c r="H123" s="260">
        <f>IF($B123="","",IFERROR(BDP($B123&amp;" Action","OFFERING_GREENSHOE_SHARES_EX"),""))</f>
        <v/>
      </c>
      <c r="I123" s="51">
        <f>Database!AE123</f>
        <v/>
      </c>
      <c r="J123" s="58">
        <f>IFERROR(BDP(TEXT(VALUE(Database!$A123),"0")&amp;" HK Equity","PE_RATIO"),"")</f>
        <v/>
      </c>
      <c r="K123" s="43">
        <f>IFERROR(BDP(TEXT(VALUE(Database!$A123),"0")&amp;" HK Equity","A/H_SHARE_CONVERSION"),"")</f>
        <v/>
      </c>
      <c r="L123" s="51">
        <f>IF(Database!BN123="","(none found)",Database!BN123)</f>
        <v/>
      </c>
      <c r="M123" s="53">
        <f>IFERROR(INDEX(BDH(TEXT(VALUE(Database!$A123),"0")&amp;" HK Equity","CUR_MKT_CAP",Database!$H123,Database!$H123),MATCH(Database!$H123,INDEX(BDH(TEXT(VALUE(Database!$A123),"0")&amp;" HK Equity","CUR_MKT_CAP",Database!$H123,Database!$H123),0,1),0),2),"run on terminal")</f>
        <v/>
      </c>
      <c r="N123" s="213">
        <f>Database!Q123</f>
        <v/>
      </c>
      <c r="O123" s="58">
        <f>IFERROR(INDEX(BDH(TEXT(VALUE(Database!$A123),"0")&amp;" HK Equity","PE_RATIO",Database!$H123,Database!$H123),MATCH(Database!$H123,INDEX(BDH(TEXT(VALUE(Database!$A123),"0")&amp;" HK Equity","PE_RATIO",Database!$H123,Database!$H123),0,1),0),2),"run on terminal")</f>
        <v/>
      </c>
      <c r="P123" s="251">
        <f>IF(Database!BH123="","(n/m or not derivable)",Database!BH123)</f>
        <v/>
      </c>
      <c r="Q123" s="58">
        <f>IF(Database!BN123="","",IFERROR(INDEX(BDH(LEFT(Database!BN123,FIND(".",Database!BN123)-1)&amp;" CH Equity","PE_RATIO",Database!$H123,Database!$H123),MATCH(Database!$H123,INDEX(BDH(LEFT(Database!BN123,FIND(".",Database!BN123)-1)&amp;" CH Equity","PE_RATIO",Database!$H123,Database!$H123),0,1),0),2),"run on terminal"))</f>
        <v/>
      </c>
      <c r="R123" s="58">
        <f>IF(Database!BN123="","",IFERROR(INDEX(BDH("HSAHP Index","PX_LAST",Database!$H123,Database!$H123),MATCH(Database!$H123,INDEX(BDH("HSAHP Index","PX_LAST",Database!$H123,Database!$H123),0,1),0),2),"run on terminal"))</f>
        <v/>
      </c>
      <c r="S123" s="58">
        <f>IFERROR(BDP(TEXT(VALUE(Database!$A123),"0")&amp;" HK Equity","PX_TO_SALES_RATIO"),"")</f>
        <v/>
      </c>
      <c r="T123" s="53">
        <f>IF(Database!BN123="","",IFERROR(BDP(LEFT(Database!BN123,FIND(".",Database!BN123)-1)&amp;" CH Equity","CUR_MKT_CAP")*BDP("CNYHKD Curncy","PX_LAST"),"run on terminal"))</f>
        <v/>
      </c>
    </row>
    <row r="124" ht="23" customHeight="1">
      <c r="A124" s="51">
        <f>Database!A124&amp;"  "&amp;Database!B124</f>
        <v/>
      </c>
      <c r="B124" s="43">
        <f>IFERROR(INDEX(BDS(TEXT(VALUE(Database!$A124),"0")&amp;" HK Equity","EQUITY_OFFERINGS","array=t","endcol=1"),MATCH("IPO",BDS(TEXT(VALUE(Database!$A124),"0")&amp;" HK Equity","EQUITY_OFFERINGS","array=t","startcol=2","endcol=2"),0)),"")</f>
        <v/>
      </c>
      <c r="C124" s="260">
        <f>IF($B124="","",IFERROR(BDP($B124&amp;" Action","CP036"),""))</f>
        <v/>
      </c>
      <c r="D124" s="261">
        <f>Database!S124</f>
        <v/>
      </c>
      <c r="E124" s="260">
        <f>IF($B124="","",IFERROR(BDP($B124&amp;" Action","CP037"),""))</f>
        <v/>
      </c>
      <c r="F124" s="261">
        <f>Database!T124</f>
        <v/>
      </c>
      <c r="G124" s="260">
        <f>IF($B124="","",IFERROR(BDP($B124&amp;" Action","GREENSHOE_FACILITY"),""))</f>
        <v/>
      </c>
      <c r="H124" s="260">
        <f>IF($B124="","",IFERROR(BDP($B124&amp;" Action","OFFERING_GREENSHOE_SHARES_EX"),""))</f>
        <v/>
      </c>
      <c r="I124" s="51">
        <f>Database!AE124</f>
        <v/>
      </c>
      <c r="J124" s="58">
        <f>IFERROR(BDP(TEXT(VALUE(Database!$A124),"0")&amp;" HK Equity","PE_RATIO"),"")</f>
        <v/>
      </c>
      <c r="K124" s="43">
        <f>IFERROR(BDP(TEXT(VALUE(Database!$A124),"0")&amp;" HK Equity","A/H_SHARE_CONVERSION"),"")</f>
        <v/>
      </c>
      <c r="L124" s="51">
        <f>IF(Database!BN124="","(none found)",Database!BN124)</f>
        <v/>
      </c>
      <c r="M124" s="53">
        <f>IFERROR(INDEX(BDH(TEXT(VALUE(Database!$A124),"0")&amp;" HK Equity","CUR_MKT_CAP",Database!$H124,Database!$H124),MATCH(Database!$H124,INDEX(BDH(TEXT(VALUE(Database!$A124),"0")&amp;" HK Equity","CUR_MKT_CAP",Database!$H124,Database!$H124),0,1),0),2),"run on terminal")</f>
        <v/>
      </c>
      <c r="N124" s="213">
        <f>Database!Q124</f>
        <v/>
      </c>
      <c r="O124" s="58">
        <f>IFERROR(INDEX(BDH(TEXT(VALUE(Database!$A124),"0")&amp;" HK Equity","PE_RATIO",Database!$H124,Database!$H124),MATCH(Database!$H124,INDEX(BDH(TEXT(VALUE(Database!$A124),"0")&amp;" HK Equity","PE_RATIO",Database!$H124,Database!$H124),0,1),0),2),"run on terminal")</f>
        <v/>
      </c>
      <c r="P124" s="251">
        <f>IF(Database!BH124="","(n/m or not derivable)",Database!BH124)</f>
        <v/>
      </c>
      <c r="Q124" s="58">
        <f>IF(Database!BN124="","",IFERROR(INDEX(BDH(LEFT(Database!BN124,FIND(".",Database!BN124)-1)&amp;" CH Equity","PE_RATIO",Database!$H124,Database!$H124),MATCH(Database!$H124,INDEX(BDH(LEFT(Database!BN124,FIND(".",Database!BN124)-1)&amp;" CH Equity","PE_RATIO",Database!$H124,Database!$H124),0,1),0),2),"run on terminal"))</f>
        <v/>
      </c>
      <c r="R124" s="58">
        <f>IF(Database!BN124="","",IFERROR(INDEX(BDH("HSAHP Index","PX_LAST",Database!$H124,Database!$H124),MATCH(Database!$H124,INDEX(BDH("HSAHP Index","PX_LAST",Database!$H124,Database!$H124),0,1),0),2),"run on terminal"))</f>
        <v/>
      </c>
      <c r="S124" s="58">
        <f>IFERROR(BDP(TEXT(VALUE(Database!$A124),"0")&amp;" HK Equity","PX_TO_SALES_RATIO"),"")</f>
        <v/>
      </c>
      <c r="T124" s="53">
        <f>IF(Database!BN124="","",IFERROR(BDP(LEFT(Database!BN124,FIND(".",Database!BN124)-1)&amp;" CH Equity","CUR_MKT_CAP")*BDP("CNYHKD Curncy","PX_LAST"),"run on terminal"))</f>
        <v/>
      </c>
    </row>
    <row r="125" ht="23" customHeight="1">
      <c r="A125" s="51">
        <f>Database!A125&amp;"  "&amp;Database!B125</f>
        <v/>
      </c>
      <c r="B125" s="43">
        <f>IFERROR(INDEX(BDS(TEXT(VALUE(Database!$A125),"0")&amp;" HK Equity","EQUITY_OFFERINGS","array=t","endcol=1"),MATCH("IPO",BDS(TEXT(VALUE(Database!$A125),"0")&amp;" HK Equity","EQUITY_OFFERINGS","array=t","startcol=2","endcol=2"),0)),"")</f>
        <v/>
      </c>
      <c r="C125" s="260">
        <f>IF($B125="","",IFERROR(BDP($B125&amp;" Action","CP036"),""))</f>
        <v/>
      </c>
      <c r="D125" s="261">
        <f>Database!S125</f>
        <v/>
      </c>
      <c r="E125" s="260">
        <f>IF($B125="","",IFERROR(BDP($B125&amp;" Action","CP037"),""))</f>
        <v/>
      </c>
      <c r="F125" s="261">
        <f>Database!T125</f>
        <v/>
      </c>
      <c r="G125" s="260">
        <f>IF($B125="","",IFERROR(BDP($B125&amp;" Action","GREENSHOE_FACILITY"),""))</f>
        <v/>
      </c>
      <c r="H125" s="260">
        <f>IF($B125="","",IFERROR(BDP($B125&amp;" Action","OFFERING_GREENSHOE_SHARES_EX"),""))</f>
        <v/>
      </c>
      <c r="I125" s="51">
        <f>Database!AE125</f>
        <v/>
      </c>
      <c r="J125" s="58">
        <f>IFERROR(BDP(TEXT(VALUE(Database!$A125),"0")&amp;" HK Equity","PE_RATIO"),"")</f>
        <v/>
      </c>
      <c r="K125" s="43">
        <f>IFERROR(BDP(TEXT(VALUE(Database!$A125),"0")&amp;" HK Equity","A/H_SHARE_CONVERSION"),"")</f>
        <v/>
      </c>
      <c r="L125" s="51">
        <f>IF(Database!BN125="","(none found)",Database!BN125)</f>
        <v/>
      </c>
      <c r="M125" s="53">
        <f>IFERROR(INDEX(BDH(TEXT(VALUE(Database!$A125),"0")&amp;" HK Equity","CUR_MKT_CAP",Database!$H125,Database!$H125),MATCH(Database!$H125,INDEX(BDH(TEXT(VALUE(Database!$A125),"0")&amp;" HK Equity","CUR_MKT_CAP",Database!$H125,Database!$H125),0,1),0),2),"run on terminal")</f>
        <v/>
      </c>
      <c r="N125" s="213">
        <f>Database!Q125</f>
        <v/>
      </c>
      <c r="O125" s="58">
        <f>IFERROR(INDEX(BDH(TEXT(VALUE(Database!$A125),"0")&amp;" HK Equity","PE_RATIO",Database!$H125,Database!$H125),MATCH(Database!$H125,INDEX(BDH(TEXT(VALUE(Database!$A125),"0")&amp;" HK Equity","PE_RATIO",Database!$H125,Database!$H125),0,1),0),2),"run on terminal")</f>
        <v/>
      </c>
      <c r="P125" s="251">
        <f>IF(Database!BH125="","(n/m or not derivable)",Database!BH125)</f>
        <v/>
      </c>
      <c r="Q125" s="58">
        <f>IF(Database!BN125="","",IFERROR(INDEX(BDH(LEFT(Database!BN125,FIND(".",Database!BN125)-1)&amp;" CH Equity","PE_RATIO",Database!$H125,Database!$H125),MATCH(Database!$H125,INDEX(BDH(LEFT(Database!BN125,FIND(".",Database!BN125)-1)&amp;" CH Equity","PE_RATIO",Database!$H125,Database!$H125),0,1),0),2),"run on terminal"))</f>
        <v/>
      </c>
      <c r="R125" s="58">
        <f>IF(Database!BN125="","",IFERROR(INDEX(BDH("HSAHP Index","PX_LAST",Database!$H125,Database!$H125),MATCH(Database!$H125,INDEX(BDH("HSAHP Index","PX_LAST",Database!$H125,Database!$H125),0,1),0),2),"run on terminal"))</f>
        <v/>
      </c>
      <c r="S125" s="58">
        <f>IFERROR(BDP(TEXT(VALUE(Database!$A125),"0")&amp;" HK Equity","PX_TO_SALES_RATIO"),"")</f>
        <v/>
      </c>
      <c r="T125" s="53">
        <f>IF(Database!BN125="","",IFERROR(BDP(LEFT(Database!BN125,FIND(".",Database!BN125)-1)&amp;" CH Equity","CUR_MKT_CAP")*BDP("CNYHKD Curncy","PX_LAST"),"run on terminal"))</f>
        <v/>
      </c>
    </row>
    <row r="126" ht="23" customHeight="1">
      <c r="A126" s="51">
        <f>Database!A126&amp;"  "&amp;Database!B126</f>
        <v/>
      </c>
      <c r="B126" s="43">
        <f>IFERROR(INDEX(BDS(TEXT(VALUE(Database!$A126),"0")&amp;" HK Equity","EQUITY_OFFERINGS","array=t","endcol=1"),MATCH("IPO",BDS(TEXT(VALUE(Database!$A126),"0")&amp;" HK Equity","EQUITY_OFFERINGS","array=t","startcol=2","endcol=2"),0)),"")</f>
        <v/>
      </c>
      <c r="C126" s="260">
        <f>IF($B126="","",IFERROR(BDP($B126&amp;" Action","CP036"),""))</f>
        <v/>
      </c>
      <c r="D126" s="261">
        <f>Database!S126</f>
        <v/>
      </c>
      <c r="E126" s="260">
        <f>IF($B126="","",IFERROR(BDP($B126&amp;" Action","CP037"),""))</f>
        <v/>
      </c>
      <c r="F126" s="261">
        <f>Database!T126</f>
        <v/>
      </c>
      <c r="G126" s="260">
        <f>IF($B126="","",IFERROR(BDP($B126&amp;" Action","GREENSHOE_FACILITY"),""))</f>
        <v/>
      </c>
      <c r="H126" s="260">
        <f>IF($B126="","",IFERROR(BDP($B126&amp;" Action","OFFERING_GREENSHOE_SHARES_EX"),""))</f>
        <v/>
      </c>
      <c r="I126" s="51">
        <f>Database!AE126</f>
        <v/>
      </c>
      <c r="J126" s="58">
        <f>IFERROR(BDP(TEXT(VALUE(Database!$A126),"0")&amp;" HK Equity","PE_RATIO"),"")</f>
        <v/>
      </c>
      <c r="K126" s="43">
        <f>IFERROR(BDP(TEXT(VALUE(Database!$A126),"0")&amp;" HK Equity","A/H_SHARE_CONVERSION"),"")</f>
        <v/>
      </c>
      <c r="L126" s="51">
        <f>IF(Database!BN126="","(none found)",Database!BN126)</f>
        <v/>
      </c>
      <c r="M126" s="53">
        <f>IFERROR(INDEX(BDH(TEXT(VALUE(Database!$A126),"0")&amp;" HK Equity","CUR_MKT_CAP",Database!$H126,Database!$H126),MATCH(Database!$H126,INDEX(BDH(TEXT(VALUE(Database!$A126),"0")&amp;" HK Equity","CUR_MKT_CAP",Database!$H126,Database!$H126),0,1),0),2),"run on terminal")</f>
        <v/>
      </c>
      <c r="N126" s="213">
        <f>Database!Q126</f>
        <v/>
      </c>
      <c r="O126" s="58">
        <f>IFERROR(INDEX(BDH(TEXT(VALUE(Database!$A126),"0")&amp;" HK Equity","PE_RATIO",Database!$H126,Database!$H126),MATCH(Database!$H126,INDEX(BDH(TEXT(VALUE(Database!$A126),"0")&amp;" HK Equity","PE_RATIO",Database!$H126,Database!$H126),0,1),0),2),"run on terminal")</f>
        <v/>
      </c>
      <c r="P126" s="251">
        <f>IF(Database!BH126="","(n/m or not derivable)",Database!BH126)</f>
        <v/>
      </c>
      <c r="Q126" s="58">
        <f>IF(Database!BN126="","",IFERROR(INDEX(BDH(LEFT(Database!BN126,FIND(".",Database!BN126)-1)&amp;" CH Equity","PE_RATIO",Database!$H126,Database!$H126),MATCH(Database!$H126,INDEX(BDH(LEFT(Database!BN126,FIND(".",Database!BN126)-1)&amp;" CH Equity","PE_RATIO",Database!$H126,Database!$H126),0,1),0),2),"run on terminal"))</f>
        <v/>
      </c>
      <c r="R126" s="58">
        <f>IF(Database!BN126="","",IFERROR(INDEX(BDH("HSAHP Index","PX_LAST",Database!$H126,Database!$H126),MATCH(Database!$H126,INDEX(BDH("HSAHP Index","PX_LAST",Database!$H126,Database!$H126),0,1),0),2),"run on terminal"))</f>
        <v/>
      </c>
      <c r="S126" s="58">
        <f>IFERROR(BDP(TEXT(VALUE(Database!$A126),"0")&amp;" HK Equity","PX_TO_SALES_RATIO"),"")</f>
        <v/>
      </c>
      <c r="T126" s="53">
        <f>IF(Database!BN126="","",IFERROR(BDP(LEFT(Database!BN126,FIND(".",Database!BN126)-1)&amp;" CH Equity","CUR_MKT_CAP")*BDP("CNYHKD Curncy","PX_LAST"),"run on terminal"))</f>
        <v/>
      </c>
    </row>
    <row r="127" ht="23" customHeight="1">
      <c r="A127" s="51">
        <f>Database!A127&amp;"  "&amp;Database!B127</f>
        <v/>
      </c>
      <c r="B127" s="43">
        <f>IFERROR(INDEX(BDS(TEXT(VALUE(Database!$A127),"0")&amp;" HK Equity","EQUITY_OFFERINGS","array=t","endcol=1"),MATCH("IPO",BDS(TEXT(VALUE(Database!$A127),"0")&amp;" HK Equity","EQUITY_OFFERINGS","array=t","startcol=2","endcol=2"),0)),"")</f>
        <v/>
      </c>
      <c r="C127" s="260">
        <f>IF($B127="","",IFERROR(BDP($B127&amp;" Action","CP036"),""))</f>
        <v/>
      </c>
      <c r="D127" s="261">
        <f>Database!S127</f>
        <v/>
      </c>
      <c r="E127" s="260">
        <f>IF($B127="","",IFERROR(BDP($B127&amp;" Action","CP037"),""))</f>
        <v/>
      </c>
      <c r="F127" s="261">
        <f>Database!T127</f>
        <v/>
      </c>
      <c r="G127" s="260">
        <f>IF($B127="","",IFERROR(BDP($B127&amp;" Action","GREENSHOE_FACILITY"),""))</f>
        <v/>
      </c>
      <c r="H127" s="260">
        <f>IF($B127="","",IFERROR(BDP($B127&amp;" Action","OFFERING_GREENSHOE_SHARES_EX"),""))</f>
        <v/>
      </c>
      <c r="I127" s="51">
        <f>Database!AE127</f>
        <v/>
      </c>
      <c r="J127" s="58">
        <f>IFERROR(BDP(TEXT(VALUE(Database!$A127),"0")&amp;" HK Equity","PE_RATIO"),"")</f>
        <v/>
      </c>
      <c r="K127" s="43">
        <f>IFERROR(BDP(TEXT(VALUE(Database!$A127),"0")&amp;" HK Equity","A/H_SHARE_CONVERSION"),"")</f>
        <v/>
      </c>
      <c r="L127" s="51">
        <f>IF(Database!BN127="","(none found)",Database!BN127)</f>
        <v/>
      </c>
      <c r="M127" s="53">
        <f>IFERROR(INDEX(BDH(TEXT(VALUE(Database!$A127),"0")&amp;" HK Equity","CUR_MKT_CAP",Database!$H127,Database!$H127),MATCH(Database!$H127,INDEX(BDH(TEXT(VALUE(Database!$A127),"0")&amp;" HK Equity","CUR_MKT_CAP",Database!$H127,Database!$H127),0,1),0),2),"run on terminal")</f>
        <v/>
      </c>
      <c r="N127" s="213">
        <f>Database!Q127</f>
        <v/>
      </c>
      <c r="O127" s="58">
        <f>IFERROR(INDEX(BDH(TEXT(VALUE(Database!$A127),"0")&amp;" HK Equity","PE_RATIO",Database!$H127,Database!$H127),MATCH(Database!$H127,INDEX(BDH(TEXT(VALUE(Database!$A127),"0")&amp;" HK Equity","PE_RATIO",Database!$H127,Database!$H127),0,1),0),2),"run on terminal")</f>
        <v/>
      </c>
      <c r="P127" s="251">
        <f>IF(Database!BH127="","(n/m or not derivable)",Database!BH127)</f>
        <v/>
      </c>
      <c r="Q127" s="58">
        <f>IF(Database!BN127="","",IFERROR(INDEX(BDH(LEFT(Database!BN127,FIND(".",Database!BN127)-1)&amp;" CH Equity","PE_RATIO",Database!$H127,Database!$H127),MATCH(Database!$H127,INDEX(BDH(LEFT(Database!BN127,FIND(".",Database!BN127)-1)&amp;" CH Equity","PE_RATIO",Database!$H127,Database!$H127),0,1),0),2),"run on terminal"))</f>
        <v/>
      </c>
      <c r="R127" s="58">
        <f>IF(Database!BN127="","",IFERROR(INDEX(BDH("HSAHP Index","PX_LAST",Database!$H127,Database!$H127),MATCH(Database!$H127,INDEX(BDH("HSAHP Index","PX_LAST",Database!$H127,Database!$H127),0,1),0),2),"run on terminal"))</f>
        <v/>
      </c>
      <c r="S127" s="58">
        <f>IFERROR(BDP(TEXT(VALUE(Database!$A127),"0")&amp;" HK Equity","PX_TO_SALES_RATIO"),"")</f>
        <v/>
      </c>
      <c r="T127" s="53">
        <f>IF(Database!BN127="","",IFERROR(BDP(LEFT(Database!BN127,FIND(".",Database!BN127)-1)&amp;" CH Equity","CUR_MKT_CAP")*BDP("CNYHKD Curncy","PX_LAST"),"run on terminal"))</f>
        <v/>
      </c>
    </row>
    <row r="128" ht="23" customHeight="1">
      <c r="A128" s="51">
        <f>Database!A128&amp;"  "&amp;Database!B128</f>
        <v/>
      </c>
      <c r="B128" s="43">
        <f>IFERROR(INDEX(BDS(TEXT(VALUE(Database!$A128),"0")&amp;" HK Equity","EQUITY_OFFERINGS","array=t","endcol=1"),MATCH("IPO",BDS(TEXT(VALUE(Database!$A128),"0")&amp;" HK Equity","EQUITY_OFFERINGS","array=t","startcol=2","endcol=2"),0)),"")</f>
        <v/>
      </c>
      <c r="C128" s="260">
        <f>IF($B128="","",IFERROR(BDP($B128&amp;" Action","CP036"),""))</f>
        <v/>
      </c>
      <c r="D128" s="261">
        <f>Database!S128</f>
        <v/>
      </c>
      <c r="E128" s="260">
        <f>IF($B128="","",IFERROR(BDP($B128&amp;" Action","CP037"),""))</f>
        <v/>
      </c>
      <c r="F128" s="261">
        <f>Database!T128</f>
        <v/>
      </c>
      <c r="G128" s="260">
        <f>IF($B128="","",IFERROR(BDP($B128&amp;" Action","GREENSHOE_FACILITY"),""))</f>
        <v/>
      </c>
      <c r="H128" s="260">
        <f>IF($B128="","",IFERROR(BDP($B128&amp;" Action","OFFERING_GREENSHOE_SHARES_EX"),""))</f>
        <v/>
      </c>
      <c r="I128" s="51">
        <f>Database!AE128</f>
        <v/>
      </c>
      <c r="J128" s="58">
        <f>IFERROR(BDP(TEXT(VALUE(Database!$A128),"0")&amp;" HK Equity","PE_RATIO"),"")</f>
        <v/>
      </c>
      <c r="K128" s="43">
        <f>IFERROR(BDP(TEXT(VALUE(Database!$A128),"0")&amp;" HK Equity","A/H_SHARE_CONVERSION"),"")</f>
        <v/>
      </c>
      <c r="L128" s="51">
        <f>IF(Database!BN128="","(none found)",Database!BN128)</f>
        <v/>
      </c>
      <c r="M128" s="53">
        <f>IFERROR(INDEX(BDH(TEXT(VALUE(Database!$A128),"0")&amp;" HK Equity","CUR_MKT_CAP",Database!$H128,Database!$H128),MATCH(Database!$H128,INDEX(BDH(TEXT(VALUE(Database!$A128),"0")&amp;" HK Equity","CUR_MKT_CAP",Database!$H128,Database!$H128),0,1),0),2),"run on terminal")</f>
        <v/>
      </c>
      <c r="N128" s="213">
        <f>Database!Q128</f>
        <v/>
      </c>
      <c r="O128" s="58">
        <f>IFERROR(INDEX(BDH(TEXT(VALUE(Database!$A128),"0")&amp;" HK Equity","PE_RATIO",Database!$H128,Database!$H128),MATCH(Database!$H128,INDEX(BDH(TEXT(VALUE(Database!$A128),"0")&amp;" HK Equity","PE_RATIO",Database!$H128,Database!$H128),0,1),0),2),"run on terminal")</f>
        <v/>
      </c>
      <c r="P128" s="251">
        <f>IF(Database!BH128="","(n/m or not derivable)",Database!BH128)</f>
        <v/>
      </c>
      <c r="Q128" s="58">
        <f>IF(Database!BN128="","",IFERROR(INDEX(BDH(LEFT(Database!BN128,FIND(".",Database!BN128)-1)&amp;" CH Equity","PE_RATIO",Database!$H128,Database!$H128),MATCH(Database!$H128,INDEX(BDH(LEFT(Database!BN128,FIND(".",Database!BN128)-1)&amp;" CH Equity","PE_RATIO",Database!$H128,Database!$H128),0,1),0),2),"run on terminal"))</f>
        <v/>
      </c>
      <c r="R128" s="58">
        <f>IF(Database!BN128="","",IFERROR(INDEX(BDH("HSAHP Index","PX_LAST",Database!$H128,Database!$H128),MATCH(Database!$H128,INDEX(BDH("HSAHP Index","PX_LAST",Database!$H128,Database!$H128),0,1),0),2),"run on terminal"))</f>
        <v/>
      </c>
      <c r="S128" s="58">
        <f>IFERROR(BDP(TEXT(VALUE(Database!$A128),"0")&amp;" HK Equity","PX_TO_SALES_RATIO"),"")</f>
        <v/>
      </c>
      <c r="T128" s="53">
        <f>IF(Database!BN128="","",IFERROR(BDP(LEFT(Database!BN128,FIND(".",Database!BN128)-1)&amp;" CH Equity","CUR_MKT_CAP")*BDP("CNYHKD Curncy","PX_LAST"),"run on terminal"))</f>
        <v/>
      </c>
    </row>
    <row r="129" ht="23" customHeight="1">
      <c r="A129" s="51">
        <f>Database!A129&amp;"  "&amp;Database!B129</f>
        <v/>
      </c>
      <c r="B129" s="43">
        <f>IFERROR(INDEX(BDS(TEXT(VALUE(Database!$A129),"0")&amp;" HK Equity","EQUITY_OFFERINGS","array=t","endcol=1"),MATCH("IPO",BDS(TEXT(VALUE(Database!$A129),"0")&amp;" HK Equity","EQUITY_OFFERINGS","array=t","startcol=2","endcol=2"),0)),"")</f>
        <v/>
      </c>
      <c r="C129" s="260">
        <f>IF($B129="","",IFERROR(BDP($B129&amp;" Action","CP036"),""))</f>
        <v/>
      </c>
      <c r="D129" s="261">
        <f>Database!S129</f>
        <v/>
      </c>
      <c r="E129" s="260">
        <f>IF($B129="","",IFERROR(BDP($B129&amp;" Action","CP037"),""))</f>
        <v/>
      </c>
      <c r="F129" s="261">
        <f>Database!T129</f>
        <v/>
      </c>
      <c r="G129" s="260">
        <f>IF($B129="","",IFERROR(BDP($B129&amp;" Action","GREENSHOE_FACILITY"),""))</f>
        <v/>
      </c>
      <c r="H129" s="260">
        <f>IF($B129="","",IFERROR(BDP($B129&amp;" Action","OFFERING_GREENSHOE_SHARES_EX"),""))</f>
        <v/>
      </c>
      <c r="I129" s="51">
        <f>Database!AE129</f>
        <v/>
      </c>
      <c r="J129" s="58">
        <f>IFERROR(BDP(TEXT(VALUE(Database!$A129),"0")&amp;" HK Equity","PE_RATIO"),"")</f>
        <v/>
      </c>
      <c r="K129" s="43">
        <f>IFERROR(BDP(TEXT(VALUE(Database!$A129),"0")&amp;" HK Equity","A/H_SHARE_CONVERSION"),"")</f>
        <v/>
      </c>
      <c r="L129" s="51">
        <f>IF(Database!BN129="","(none found)",Database!BN129)</f>
        <v/>
      </c>
      <c r="M129" s="53">
        <f>IFERROR(INDEX(BDH(TEXT(VALUE(Database!$A129),"0")&amp;" HK Equity","CUR_MKT_CAP",Database!$H129,Database!$H129),MATCH(Database!$H129,INDEX(BDH(TEXT(VALUE(Database!$A129),"0")&amp;" HK Equity","CUR_MKT_CAP",Database!$H129,Database!$H129),0,1),0),2),"run on terminal")</f>
        <v/>
      </c>
      <c r="N129" s="213">
        <f>Database!Q129</f>
        <v/>
      </c>
      <c r="O129" s="58">
        <f>IFERROR(INDEX(BDH(TEXT(VALUE(Database!$A129),"0")&amp;" HK Equity","PE_RATIO",Database!$H129,Database!$H129),MATCH(Database!$H129,INDEX(BDH(TEXT(VALUE(Database!$A129),"0")&amp;" HK Equity","PE_RATIO",Database!$H129,Database!$H129),0,1),0),2),"run on terminal")</f>
        <v/>
      </c>
      <c r="P129" s="251">
        <f>IF(Database!BH129="","(n/m or not derivable)",Database!BH129)</f>
        <v/>
      </c>
      <c r="Q129" s="58">
        <f>IF(Database!BN129="","",IFERROR(INDEX(BDH(LEFT(Database!BN129,FIND(".",Database!BN129)-1)&amp;" CH Equity","PE_RATIO",Database!$H129,Database!$H129),MATCH(Database!$H129,INDEX(BDH(LEFT(Database!BN129,FIND(".",Database!BN129)-1)&amp;" CH Equity","PE_RATIO",Database!$H129,Database!$H129),0,1),0),2),"run on terminal"))</f>
        <v/>
      </c>
      <c r="R129" s="58">
        <f>IF(Database!BN129="","",IFERROR(INDEX(BDH("HSAHP Index","PX_LAST",Database!$H129,Database!$H129),MATCH(Database!$H129,INDEX(BDH("HSAHP Index","PX_LAST",Database!$H129,Database!$H129),0,1),0),2),"run on terminal"))</f>
        <v/>
      </c>
      <c r="S129" s="58">
        <f>IFERROR(BDP(TEXT(VALUE(Database!$A129),"0")&amp;" HK Equity","PX_TO_SALES_RATIO"),"")</f>
        <v/>
      </c>
      <c r="T129" s="53">
        <f>IF(Database!BN129="","",IFERROR(BDP(LEFT(Database!BN129,FIND(".",Database!BN129)-1)&amp;" CH Equity","CUR_MKT_CAP")*BDP("CNYHKD Curncy","PX_LAST"),"run on terminal"))</f>
        <v/>
      </c>
    </row>
    <row r="130" ht="23" customHeight="1">
      <c r="A130" s="51">
        <f>Database!A130&amp;"  "&amp;Database!B130</f>
        <v/>
      </c>
      <c r="B130" s="43">
        <f>IFERROR(INDEX(BDS(TEXT(VALUE(Database!$A130),"0")&amp;" HK Equity","EQUITY_OFFERINGS","array=t","endcol=1"),MATCH("IPO",BDS(TEXT(VALUE(Database!$A130),"0")&amp;" HK Equity","EQUITY_OFFERINGS","array=t","startcol=2","endcol=2"),0)),"")</f>
        <v/>
      </c>
      <c r="C130" s="260">
        <f>IF($B130="","",IFERROR(BDP($B130&amp;" Action","CP036"),""))</f>
        <v/>
      </c>
      <c r="D130" s="261">
        <f>Database!S130</f>
        <v/>
      </c>
      <c r="E130" s="260">
        <f>IF($B130="","",IFERROR(BDP($B130&amp;" Action","CP037"),""))</f>
        <v/>
      </c>
      <c r="F130" s="261">
        <f>Database!T130</f>
        <v/>
      </c>
      <c r="G130" s="260">
        <f>IF($B130="","",IFERROR(BDP($B130&amp;" Action","GREENSHOE_FACILITY"),""))</f>
        <v/>
      </c>
      <c r="H130" s="260">
        <f>IF($B130="","",IFERROR(BDP($B130&amp;" Action","OFFERING_GREENSHOE_SHARES_EX"),""))</f>
        <v/>
      </c>
      <c r="I130" s="51">
        <f>Database!AE130</f>
        <v/>
      </c>
      <c r="J130" s="58">
        <f>IFERROR(BDP(TEXT(VALUE(Database!$A130),"0")&amp;" HK Equity","PE_RATIO"),"")</f>
        <v/>
      </c>
      <c r="K130" s="43">
        <f>IFERROR(BDP(TEXT(VALUE(Database!$A130),"0")&amp;" HK Equity","A/H_SHARE_CONVERSION"),"")</f>
        <v/>
      </c>
      <c r="L130" s="51">
        <f>IF(Database!BN130="","(none found)",Database!BN130)</f>
        <v/>
      </c>
      <c r="M130" s="53">
        <f>IFERROR(INDEX(BDH(TEXT(VALUE(Database!$A130),"0")&amp;" HK Equity","CUR_MKT_CAP",Database!$H130,Database!$H130),MATCH(Database!$H130,INDEX(BDH(TEXT(VALUE(Database!$A130),"0")&amp;" HK Equity","CUR_MKT_CAP",Database!$H130,Database!$H130),0,1),0),2),"run on terminal")</f>
        <v/>
      </c>
      <c r="N130" s="213">
        <f>Database!Q130</f>
        <v/>
      </c>
      <c r="O130" s="58">
        <f>IFERROR(INDEX(BDH(TEXT(VALUE(Database!$A130),"0")&amp;" HK Equity","PE_RATIO",Database!$H130,Database!$H130),MATCH(Database!$H130,INDEX(BDH(TEXT(VALUE(Database!$A130),"0")&amp;" HK Equity","PE_RATIO",Database!$H130,Database!$H130),0,1),0),2),"run on terminal")</f>
        <v/>
      </c>
      <c r="P130" s="251">
        <f>IF(Database!BH130="","(n/m or not derivable)",Database!BH130)</f>
        <v/>
      </c>
      <c r="Q130" s="58">
        <f>IF(Database!BN130="","",IFERROR(INDEX(BDH(LEFT(Database!BN130,FIND(".",Database!BN130)-1)&amp;" CH Equity","PE_RATIO",Database!$H130,Database!$H130),MATCH(Database!$H130,INDEX(BDH(LEFT(Database!BN130,FIND(".",Database!BN130)-1)&amp;" CH Equity","PE_RATIO",Database!$H130,Database!$H130),0,1),0),2),"run on terminal"))</f>
        <v/>
      </c>
      <c r="R130" s="58">
        <f>IF(Database!BN130="","",IFERROR(INDEX(BDH("HSAHP Index","PX_LAST",Database!$H130,Database!$H130),MATCH(Database!$H130,INDEX(BDH("HSAHP Index","PX_LAST",Database!$H130,Database!$H130),0,1),0),2),"run on terminal"))</f>
        <v/>
      </c>
      <c r="S130" s="58">
        <f>IFERROR(BDP(TEXT(VALUE(Database!$A130),"0")&amp;" HK Equity","PX_TO_SALES_RATIO"),"")</f>
        <v/>
      </c>
      <c r="T130" s="53">
        <f>IF(Database!BN130="","",IFERROR(BDP(LEFT(Database!BN130,FIND(".",Database!BN130)-1)&amp;" CH Equity","CUR_MKT_CAP")*BDP("CNYHKD Curncy","PX_LAST"),"run on terminal"))</f>
        <v/>
      </c>
    </row>
    <row r="131" ht="23" customHeight="1">
      <c r="A131" s="51">
        <f>Database!A131&amp;"  "&amp;Database!B131</f>
        <v/>
      </c>
      <c r="B131" s="43">
        <f>IFERROR(INDEX(BDS(TEXT(VALUE(Database!$A131),"0")&amp;" HK Equity","EQUITY_OFFERINGS","array=t","endcol=1"),MATCH("IPO",BDS(TEXT(VALUE(Database!$A131),"0")&amp;" HK Equity","EQUITY_OFFERINGS","array=t","startcol=2","endcol=2"),0)),"")</f>
        <v/>
      </c>
      <c r="C131" s="260">
        <f>IF($B131="","",IFERROR(BDP($B131&amp;" Action","CP036"),""))</f>
        <v/>
      </c>
      <c r="D131" s="261">
        <f>Database!S131</f>
        <v/>
      </c>
      <c r="E131" s="260">
        <f>IF($B131="","",IFERROR(BDP($B131&amp;" Action","CP037"),""))</f>
        <v/>
      </c>
      <c r="F131" s="261">
        <f>Database!T131</f>
        <v/>
      </c>
      <c r="G131" s="260">
        <f>IF($B131="","",IFERROR(BDP($B131&amp;" Action","GREENSHOE_FACILITY"),""))</f>
        <v/>
      </c>
      <c r="H131" s="260">
        <f>IF($B131="","",IFERROR(BDP($B131&amp;" Action","OFFERING_GREENSHOE_SHARES_EX"),""))</f>
        <v/>
      </c>
      <c r="I131" s="51">
        <f>Database!AE131</f>
        <v/>
      </c>
      <c r="J131" s="58">
        <f>IFERROR(BDP(TEXT(VALUE(Database!$A131),"0")&amp;" HK Equity","PE_RATIO"),"")</f>
        <v/>
      </c>
      <c r="K131" s="43">
        <f>IFERROR(BDP(TEXT(VALUE(Database!$A131),"0")&amp;" HK Equity","A/H_SHARE_CONVERSION"),"")</f>
        <v/>
      </c>
      <c r="L131" s="51">
        <f>IF(Database!BN131="","(none found)",Database!BN131)</f>
        <v/>
      </c>
      <c r="M131" s="53">
        <f>IFERROR(INDEX(BDH(TEXT(VALUE(Database!$A131),"0")&amp;" HK Equity","CUR_MKT_CAP",Database!$H131,Database!$H131),MATCH(Database!$H131,INDEX(BDH(TEXT(VALUE(Database!$A131),"0")&amp;" HK Equity","CUR_MKT_CAP",Database!$H131,Database!$H131),0,1),0),2),"run on terminal")</f>
        <v/>
      </c>
      <c r="N131" s="213">
        <f>Database!Q131</f>
        <v/>
      </c>
      <c r="O131" s="58">
        <f>IFERROR(INDEX(BDH(TEXT(VALUE(Database!$A131),"0")&amp;" HK Equity","PE_RATIO",Database!$H131,Database!$H131),MATCH(Database!$H131,INDEX(BDH(TEXT(VALUE(Database!$A131),"0")&amp;" HK Equity","PE_RATIO",Database!$H131,Database!$H131),0,1),0),2),"run on terminal")</f>
        <v/>
      </c>
      <c r="P131" s="251">
        <f>IF(Database!BH131="","(n/m or not derivable)",Database!BH131)</f>
        <v/>
      </c>
      <c r="Q131" s="58">
        <f>IF(Database!BN131="","",IFERROR(INDEX(BDH(LEFT(Database!BN131,FIND(".",Database!BN131)-1)&amp;" CH Equity","PE_RATIO",Database!$H131,Database!$H131),MATCH(Database!$H131,INDEX(BDH(LEFT(Database!BN131,FIND(".",Database!BN131)-1)&amp;" CH Equity","PE_RATIO",Database!$H131,Database!$H131),0,1),0),2),"run on terminal"))</f>
        <v/>
      </c>
      <c r="R131" s="58">
        <f>IF(Database!BN131="","",IFERROR(INDEX(BDH("HSAHP Index","PX_LAST",Database!$H131,Database!$H131),MATCH(Database!$H131,INDEX(BDH("HSAHP Index","PX_LAST",Database!$H131,Database!$H131),0,1),0),2),"run on terminal"))</f>
        <v/>
      </c>
      <c r="S131" s="58">
        <f>IFERROR(BDP(TEXT(VALUE(Database!$A131),"0")&amp;" HK Equity","PX_TO_SALES_RATIO"),"")</f>
        <v/>
      </c>
      <c r="T131" s="53">
        <f>IF(Database!BN131="","",IFERROR(BDP(LEFT(Database!BN131,FIND(".",Database!BN131)-1)&amp;" CH Equity","CUR_MKT_CAP")*BDP("CNYHKD Curncy","PX_LAST"),"run on terminal"))</f>
        <v/>
      </c>
    </row>
    <row r="132" ht="23" customHeight="1">
      <c r="A132" s="51">
        <f>Database!A132&amp;"  "&amp;Database!B132</f>
        <v/>
      </c>
      <c r="B132" s="43">
        <f>IFERROR(INDEX(BDS(TEXT(VALUE(Database!$A132),"0")&amp;" HK Equity","EQUITY_OFFERINGS","array=t","endcol=1"),MATCH("IPO",BDS(TEXT(VALUE(Database!$A132),"0")&amp;" HK Equity","EQUITY_OFFERINGS","array=t","startcol=2","endcol=2"),0)),"")</f>
        <v/>
      </c>
      <c r="C132" s="260">
        <f>IF($B132="","",IFERROR(BDP($B132&amp;" Action","CP036"),""))</f>
        <v/>
      </c>
      <c r="D132" s="261">
        <f>Database!S132</f>
        <v/>
      </c>
      <c r="E132" s="260">
        <f>IF($B132="","",IFERROR(BDP($B132&amp;" Action","CP037"),""))</f>
        <v/>
      </c>
      <c r="F132" s="261">
        <f>Database!T132</f>
        <v/>
      </c>
      <c r="G132" s="260">
        <f>IF($B132="","",IFERROR(BDP($B132&amp;" Action","GREENSHOE_FACILITY"),""))</f>
        <v/>
      </c>
      <c r="H132" s="260">
        <f>IF($B132="","",IFERROR(BDP($B132&amp;" Action","OFFERING_GREENSHOE_SHARES_EX"),""))</f>
        <v/>
      </c>
      <c r="I132" s="51">
        <f>Database!AE132</f>
        <v/>
      </c>
      <c r="J132" s="58">
        <f>IFERROR(BDP(TEXT(VALUE(Database!$A132),"0")&amp;" HK Equity","PE_RATIO"),"")</f>
        <v/>
      </c>
      <c r="K132" s="43">
        <f>IFERROR(BDP(TEXT(VALUE(Database!$A132),"0")&amp;" HK Equity","A/H_SHARE_CONVERSION"),"")</f>
        <v/>
      </c>
      <c r="L132" s="51">
        <f>IF(Database!BN132="","(none found)",Database!BN132)</f>
        <v/>
      </c>
      <c r="M132" s="53">
        <f>IFERROR(INDEX(BDH(TEXT(VALUE(Database!$A132),"0")&amp;" HK Equity","CUR_MKT_CAP",Database!$H132,Database!$H132),MATCH(Database!$H132,INDEX(BDH(TEXT(VALUE(Database!$A132),"0")&amp;" HK Equity","CUR_MKT_CAP",Database!$H132,Database!$H132),0,1),0),2),"run on terminal")</f>
        <v/>
      </c>
      <c r="N132" s="213">
        <f>Database!Q132</f>
        <v/>
      </c>
      <c r="O132" s="58">
        <f>IFERROR(INDEX(BDH(TEXT(VALUE(Database!$A132),"0")&amp;" HK Equity","PE_RATIO",Database!$H132,Database!$H132),MATCH(Database!$H132,INDEX(BDH(TEXT(VALUE(Database!$A132),"0")&amp;" HK Equity","PE_RATIO",Database!$H132,Database!$H132),0,1),0),2),"run on terminal")</f>
        <v/>
      </c>
      <c r="P132" s="251">
        <f>IF(Database!BH132="","(n/m or not derivable)",Database!BH132)</f>
        <v/>
      </c>
      <c r="Q132" s="58">
        <f>IF(Database!BN132="","",IFERROR(INDEX(BDH(LEFT(Database!BN132,FIND(".",Database!BN132)-1)&amp;" CH Equity","PE_RATIO",Database!$H132,Database!$H132),MATCH(Database!$H132,INDEX(BDH(LEFT(Database!BN132,FIND(".",Database!BN132)-1)&amp;" CH Equity","PE_RATIO",Database!$H132,Database!$H132),0,1),0),2),"run on terminal"))</f>
        <v/>
      </c>
      <c r="R132" s="58">
        <f>IF(Database!BN132="","",IFERROR(INDEX(BDH("HSAHP Index","PX_LAST",Database!$H132,Database!$H132),MATCH(Database!$H132,INDEX(BDH("HSAHP Index","PX_LAST",Database!$H132,Database!$H132),0,1),0),2),"run on terminal"))</f>
        <v/>
      </c>
      <c r="S132" s="58">
        <f>IFERROR(BDP(TEXT(VALUE(Database!$A132),"0")&amp;" HK Equity","PX_TO_SALES_RATIO"),"")</f>
        <v/>
      </c>
      <c r="T132" s="53">
        <f>IF(Database!BN132="","",IFERROR(BDP(LEFT(Database!BN132,FIND(".",Database!BN132)-1)&amp;" CH Equity","CUR_MKT_CAP")*BDP("CNYHKD Curncy","PX_LAST"),"run on terminal"))</f>
        <v/>
      </c>
    </row>
    <row r="133" ht="23" customHeight="1">
      <c r="A133" s="51">
        <f>Database!A133&amp;"  "&amp;Database!B133</f>
        <v/>
      </c>
      <c r="B133" s="43">
        <f>IFERROR(INDEX(BDS(TEXT(VALUE(Database!$A133),"0")&amp;" HK Equity","EQUITY_OFFERINGS","array=t","endcol=1"),MATCH("IPO",BDS(TEXT(VALUE(Database!$A133),"0")&amp;" HK Equity","EQUITY_OFFERINGS","array=t","startcol=2","endcol=2"),0)),"")</f>
        <v/>
      </c>
      <c r="C133" s="260">
        <f>IF($B133="","",IFERROR(BDP($B133&amp;" Action","CP036"),""))</f>
        <v/>
      </c>
      <c r="D133" s="261">
        <f>Database!S133</f>
        <v/>
      </c>
      <c r="E133" s="260">
        <f>IF($B133="","",IFERROR(BDP($B133&amp;" Action","CP037"),""))</f>
        <v/>
      </c>
      <c r="F133" s="261">
        <f>Database!T133</f>
        <v/>
      </c>
      <c r="G133" s="260">
        <f>IF($B133="","",IFERROR(BDP($B133&amp;" Action","GREENSHOE_FACILITY"),""))</f>
        <v/>
      </c>
      <c r="H133" s="260">
        <f>IF($B133="","",IFERROR(BDP($B133&amp;" Action","OFFERING_GREENSHOE_SHARES_EX"),""))</f>
        <v/>
      </c>
      <c r="I133" s="51">
        <f>Database!AE133</f>
        <v/>
      </c>
      <c r="J133" s="58">
        <f>IFERROR(BDP(TEXT(VALUE(Database!$A133),"0")&amp;" HK Equity","PE_RATIO"),"")</f>
        <v/>
      </c>
      <c r="K133" s="43">
        <f>IFERROR(BDP(TEXT(VALUE(Database!$A133),"0")&amp;" HK Equity","A/H_SHARE_CONVERSION"),"")</f>
        <v/>
      </c>
      <c r="L133" s="51">
        <f>IF(Database!BN133="","(none found)",Database!BN133)</f>
        <v/>
      </c>
      <c r="M133" s="53">
        <f>IFERROR(INDEX(BDH(TEXT(VALUE(Database!$A133),"0")&amp;" HK Equity","CUR_MKT_CAP",Database!$H133,Database!$H133),MATCH(Database!$H133,INDEX(BDH(TEXT(VALUE(Database!$A133),"0")&amp;" HK Equity","CUR_MKT_CAP",Database!$H133,Database!$H133),0,1),0),2),"run on terminal")</f>
        <v/>
      </c>
      <c r="N133" s="213">
        <f>Database!Q133</f>
        <v/>
      </c>
      <c r="O133" s="58">
        <f>IFERROR(INDEX(BDH(TEXT(VALUE(Database!$A133),"0")&amp;" HK Equity","PE_RATIO",Database!$H133,Database!$H133),MATCH(Database!$H133,INDEX(BDH(TEXT(VALUE(Database!$A133),"0")&amp;" HK Equity","PE_RATIO",Database!$H133,Database!$H133),0,1),0),2),"run on terminal")</f>
        <v/>
      </c>
      <c r="P133" s="251">
        <f>IF(Database!BH133="","(n/m or not derivable)",Database!BH133)</f>
        <v/>
      </c>
      <c r="Q133" s="58">
        <f>IF(Database!BN133="","",IFERROR(INDEX(BDH(LEFT(Database!BN133,FIND(".",Database!BN133)-1)&amp;" CH Equity","PE_RATIO",Database!$H133,Database!$H133),MATCH(Database!$H133,INDEX(BDH(LEFT(Database!BN133,FIND(".",Database!BN133)-1)&amp;" CH Equity","PE_RATIO",Database!$H133,Database!$H133),0,1),0),2),"run on terminal"))</f>
        <v/>
      </c>
      <c r="R133" s="58">
        <f>IF(Database!BN133="","",IFERROR(INDEX(BDH("HSAHP Index","PX_LAST",Database!$H133,Database!$H133),MATCH(Database!$H133,INDEX(BDH("HSAHP Index","PX_LAST",Database!$H133,Database!$H133),0,1),0),2),"run on terminal"))</f>
        <v/>
      </c>
      <c r="S133" s="58">
        <f>IFERROR(BDP(TEXT(VALUE(Database!$A133),"0")&amp;" HK Equity","PX_TO_SALES_RATIO"),"")</f>
        <v/>
      </c>
      <c r="T133" s="53">
        <f>IF(Database!BN133="","",IFERROR(BDP(LEFT(Database!BN133,FIND(".",Database!BN133)-1)&amp;" CH Equity","CUR_MKT_CAP")*BDP("CNYHKD Curncy","PX_LAST"),"run on terminal"))</f>
        <v/>
      </c>
    </row>
    <row r="134" ht="23" customHeight="1">
      <c r="A134" s="51">
        <f>Database!A134&amp;"  "&amp;Database!B134</f>
        <v/>
      </c>
      <c r="B134" s="43">
        <f>IFERROR(INDEX(BDS(TEXT(VALUE(Database!$A134),"0")&amp;" HK Equity","EQUITY_OFFERINGS","array=t","endcol=1"),MATCH("IPO",BDS(TEXT(VALUE(Database!$A134),"0")&amp;" HK Equity","EQUITY_OFFERINGS","array=t","startcol=2","endcol=2"),0)),"")</f>
        <v/>
      </c>
      <c r="C134" s="260">
        <f>IF($B134="","",IFERROR(BDP($B134&amp;" Action","CP036"),""))</f>
        <v/>
      </c>
      <c r="D134" s="261">
        <f>Database!S134</f>
        <v/>
      </c>
      <c r="E134" s="260">
        <f>IF($B134="","",IFERROR(BDP($B134&amp;" Action","CP037"),""))</f>
        <v/>
      </c>
      <c r="F134" s="261">
        <f>Database!T134</f>
        <v/>
      </c>
      <c r="G134" s="260">
        <f>IF($B134="","",IFERROR(BDP($B134&amp;" Action","GREENSHOE_FACILITY"),""))</f>
        <v/>
      </c>
      <c r="H134" s="260">
        <f>IF($B134="","",IFERROR(BDP($B134&amp;" Action","OFFERING_GREENSHOE_SHARES_EX"),""))</f>
        <v/>
      </c>
      <c r="I134" s="51">
        <f>Database!AE134</f>
        <v/>
      </c>
      <c r="J134" s="58">
        <f>IFERROR(BDP(TEXT(VALUE(Database!$A134),"0")&amp;" HK Equity","PE_RATIO"),"")</f>
        <v/>
      </c>
      <c r="K134" s="43">
        <f>IFERROR(BDP(TEXT(VALUE(Database!$A134),"0")&amp;" HK Equity","A/H_SHARE_CONVERSION"),"")</f>
        <v/>
      </c>
      <c r="L134" s="51">
        <f>IF(Database!BN134="","(none found)",Database!BN134)</f>
        <v/>
      </c>
      <c r="M134" s="53">
        <f>IFERROR(INDEX(BDH(TEXT(VALUE(Database!$A134),"0")&amp;" HK Equity","CUR_MKT_CAP",Database!$H134,Database!$H134),MATCH(Database!$H134,INDEX(BDH(TEXT(VALUE(Database!$A134),"0")&amp;" HK Equity","CUR_MKT_CAP",Database!$H134,Database!$H134),0,1),0),2),"run on terminal")</f>
        <v/>
      </c>
      <c r="N134" s="213">
        <f>Database!Q134</f>
        <v/>
      </c>
      <c r="O134" s="58">
        <f>IFERROR(INDEX(BDH(TEXT(VALUE(Database!$A134),"0")&amp;" HK Equity","PE_RATIO",Database!$H134,Database!$H134),MATCH(Database!$H134,INDEX(BDH(TEXT(VALUE(Database!$A134),"0")&amp;" HK Equity","PE_RATIO",Database!$H134,Database!$H134),0,1),0),2),"run on terminal")</f>
        <v/>
      </c>
      <c r="P134" s="251">
        <f>IF(Database!BH134="","(n/m or not derivable)",Database!BH134)</f>
        <v/>
      </c>
      <c r="Q134" s="58">
        <f>IF(Database!BN134="","",IFERROR(INDEX(BDH(LEFT(Database!BN134,FIND(".",Database!BN134)-1)&amp;" CH Equity","PE_RATIO",Database!$H134,Database!$H134),MATCH(Database!$H134,INDEX(BDH(LEFT(Database!BN134,FIND(".",Database!BN134)-1)&amp;" CH Equity","PE_RATIO",Database!$H134,Database!$H134),0,1),0),2),"run on terminal"))</f>
        <v/>
      </c>
      <c r="R134" s="58">
        <f>IF(Database!BN134="","",IFERROR(INDEX(BDH("HSAHP Index","PX_LAST",Database!$H134,Database!$H134),MATCH(Database!$H134,INDEX(BDH("HSAHP Index","PX_LAST",Database!$H134,Database!$H134),0,1),0),2),"run on terminal"))</f>
        <v/>
      </c>
      <c r="S134" s="58">
        <f>IFERROR(BDP(TEXT(VALUE(Database!$A134),"0")&amp;" HK Equity","PX_TO_SALES_RATIO"),"")</f>
        <v/>
      </c>
      <c r="T134" s="53">
        <f>IF(Database!BN134="","",IFERROR(BDP(LEFT(Database!BN134,FIND(".",Database!BN134)-1)&amp;" CH Equity","CUR_MKT_CAP")*BDP("CNYHKD Curncy","PX_LAST"),"run on terminal"))</f>
        <v/>
      </c>
    </row>
    <row r="135" ht="23" customHeight="1">
      <c r="A135" s="51">
        <f>Database!A135&amp;"  "&amp;Database!B135</f>
        <v/>
      </c>
      <c r="B135" s="43">
        <f>IFERROR(INDEX(BDS(TEXT(VALUE(Database!$A135),"0")&amp;" HK Equity","EQUITY_OFFERINGS","array=t","endcol=1"),MATCH("IPO",BDS(TEXT(VALUE(Database!$A135),"0")&amp;" HK Equity","EQUITY_OFFERINGS","array=t","startcol=2","endcol=2"),0)),"")</f>
        <v/>
      </c>
      <c r="C135" s="260">
        <f>IF($B135="","",IFERROR(BDP($B135&amp;" Action","CP036"),""))</f>
        <v/>
      </c>
      <c r="D135" s="261">
        <f>Database!S135</f>
        <v/>
      </c>
      <c r="E135" s="260">
        <f>IF($B135="","",IFERROR(BDP($B135&amp;" Action","CP037"),""))</f>
        <v/>
      </c>
      <c r="F135" s="261">
        <f>Database!T135</f>
        <v/>
      </c>
      <c r="G135" s="260">
        <f>IF($B135="","",IFERROR(BDP($B135&amp;" Action","GREENSHOE_FACILITY"),""))</f>
        <v/>
      </c>
      <c r="H135" s="260">
        <f>IF($B135="","",IFERROR(BDP($B135&amp;" Action","OFFERING_GREENSHOE_SHARES_EX"),""))</f>
        <v/>
      </c>
      <c r="I135" s="51">
        <f>Database!AE135</f>
        <v/>
      </c>
      <c r="J135" s="58">
        <f>IFERROR(BDP(TEXT(VALUE(Database!$A135),"0")&amp;" HK Equity","PE_RATIO"),"")</f>
        <v/>
      </c>
      <c r="K135" s="43">
        <f>IFERROR(BDP(TEXT(VALUE(Database!$A135),"0")&amp;" HK Equity","A/H_SHARE_CONVERSION"),"")</f>
        <v/>
      </c>
      <c r="L135" s="51">
        <f>IF(Database!BN135="","(none found)",Database!BN135)</f>
        <v/>
      </c>
      <c r="M135" s="53">
        <f>IFERROR(INDEX(BDH(TEXT(VALUE(Database!$A135),"0")&amp;" HK Equity","CUR_MKT_CAP",Database!$H135,Database!$H135),MATCH(Database!$H135,INDEX(BDH(TEXT(VALUE(Database!$A135),"0")&amp;" HK Equity","CUR_MKT_CAP",Database!$H135,Database!$H135),0,1),0),2),"run on terminal")</f>
        <v/>
      </c>
      <c r="N135" s="213">
        <f>Database!Q135</f>
        <v/>
      </c>
      <c r="O135" s="58">
        <f>IFERROR(INDEX(BDH(TEXT(VALUE(Database!$A135),"0")&amp;" HK Equity","PE_RATIO",Database!$H135,Database!$H135),MATCH(Database!$H135,INDEX(BDH(TEXT(VALUE(Database!$A135),"0")&amp;" HK Equity","PE_RATIO",Database!$H135,Database!$H135),0,1),0),2),"run on terminal")</f>
        <v/>
      </c>
      <c r="P135" s="251">
        <f>IF(Database!BH135="","(n/m or not derivable)",Database!BH135)</f>
        <v/>
      </c>
      <c r="Q135" s="58">
        <f>IF(Database!BN135="","",IFERROR(INDEX(BDH(LEFT(Database!BN135,FIND(".",Database!BN135)-1)&amp;" CH Equity","PE_RATIO",Database!$H135,Database!$H135),MATCH(Database!$H135,INDEX(BDH(LEFT(Database!BN135,FIND(".",Database!BN135)-1)&amp;" CH Equity","PE_RATIO",Database!$H135,Database!$H135),0,1),0),2),"run on terminal"))</f>
        <v/>
      </c>
      <c r="R135" s="58">
        <f>IF(Database!BN135="","",IFERROR(INDEX(BDH("HSAHP Index","PX_LAST",Database!$H135,Database!$H135),MATCH(Database!$H135,INDEX(BDH("HSAHP Index","PX_LAST",Database!$H135,Database!$H135),0,1),0),2),"run on terminal"))</f>
        <v/>
      </c>
      <c r="S135" s="58">
        <f>IFERROR(BDP(TEXT(VALUE(Database!$A135),"0")&amp;" HK Equity","PX_TO_SALES_RATIO"),"")</f>
        <v/>
      </c>
      <c r="T135" s="53">
        <f>IF(Database!BN135="","",IFERROR(BDP(LEFT(Database!BN135,FIND(".",Database!BN135)-1)&amp;" CH Equity","CUR_MKT_CAP")*BDP("CNYHKD Curncy","PX_LAST"),"run on terminal"))</f>
        <v/>
      </c>
    </row>
    <row r="136" ht="23" customHeight="1">
      <c r="A136" s="51">
        <f>Database!A136&amp;"  "&amp;Database!B136</f>
        <v/>
      </c>
      <c r="B136" s="43">
        <f>IFERROR(INDEX(BDS(TEXT(VALUE(Database!$A136),"0")&amp;" HK Equity","EQUITY_OFFERINGS","array=t","endcol=1"),MATCH("IPO",BDS(TEXT(VALUE(Database!$A136),"0")&amp;" HK Equity","EQUITY_OFFERINGS","array=t","startcol=2","endcol=2"),0)),"")</f>
        <v/>
      </c>
      <c r="C136" s="260">
        <f>IF($B136="","",IFERROR(BDP($B136&amp;" Action","CP036"),""))</f>
        <v/>
      </c>
      <c r="D136" s="261">
        <f>Database!S136</f>
        <v/>
      </c>
      <c r="E136" s="260">
        <f>IF($B136="","",IFERROR(BDP($B136&amp;" Action","CP037"),""))</f>
        <v/>
      </c>
      <c r="F136" s="261">
        <f>Database!T136</f>
        <v/>
      </c>
      <c r="G136" s="260">
        <f>IF($B136="","",IFERROR(BDP($B136&amp;" Action","GREENSHOE_FACILITY"),""))</f>
        <v/>
      </c>
      <c r="H136" s="260">
        <f>IF($B136="","",IFERROR(BDP($B136&amp;" Action","OFFERING_GREENSHOE_SHARES_EX"),""))</f>
        <v/>
      </c>
      <c r="I136" s="51">
        <f>Database!AE136</f>
        <v/>
      </c>
      <c r="J136" s="58">
        <f>IFERROR(BDP(TEXT(VALUE(Database!$A136),"0")&amp;" HK Equity","PE_RATIO"),"")</f>
        <v/>
      </c>
      <c r="K136" s="43">
        <f>IFERROR(BDP(TEXT(VALUE(Database!$A136),"0")&amp;" HK Equity","A/H_SHARE_CONVERSION"),"")</f>
        <v/>
      </c>
      <c r="L136" s="51">
        <f>IF(Database!BN136="","(none found)",Database!BN136)</f>
        <v/>
      </c>
      <c r="M136" s="53">
        <f>IFERROR(INDEX(BDH(TEXT(VALUE(Database!$A136),"0")&amp;" HK Equity","CUR_MKT_CAP",Database!$H136,Database!$H136),MATCH(Database!$H136,INDEX(BDH(TEXT(VALUE(Database!$A136),"0")&amp;" HK Equity","CUR_MKT_CAP",Database!$H136,Database!$H136),0,1),0),2),"run on terminal")</f>
        <v/>
      </c>
      <c r="N136" s="213">
        <f>Database!Q136</f>
        <v/>
      </c>
      <c r="O136" s="58">
        <f>IFERROR(INDEX(BDH(TEXT(VALUE(Database!$A136),"0")&amp;" HK Equity","PE_RATIO",Database!$H136,Database!$H136),MATCH(Database!$H136,INDEX(BDH(TEXT(VALUE(Database!$A136),"0")&amp;" HK Equity","PE_RATIO",Database!$H136,Database!$H136),0,1),0),2),"run on terminal")</f>
        <v/>
      </c>
      <c r="P136" s="251">
        <f>IF(Database!BH136="","(n/m or not derivable)",Database!BH136)</f>
        <v/>
      </c>
      <c r="Q136" s="58">
        <f>IF(Database!BN136="","",IFERROR(INDEX(BDH(LEFT(Database!BN136,FIND(".",Database!BN136)-1)&amp;" CH Equity","PE_RATIO",Database!$H136,Database!$H136),MATCH(Database!$H136,INDEX(BDH(LEFT(Database!BN136,FIND(".",Database!BN136)-1)&amp;" CH Equity","PE_RATIO",Database!$H136,Database!$H136),0,1),0),2),"run on terminal"))</f>
        <v/>
      </c>
      <c r="R136" s="58">
        <f>IF(Database!BN136="","",IFERROR(INDEX(BDH("HSAHP Index","PX_LAST",Database!$H136,Database!$H136),MATCH(Database!$H136,INDEX(BDH("HSAHP Index","PX_LAST",Database!$H136,Database!$H136),0,1),0),2),"run on terminal"))</f>
        <v/>
      </c>
      <c r="S136" s="58">
        <f>IFERROR(BDP(TEXT(VALUE(Database!$A136),"0")&amp;" HK Equity","PX_TO_SALES_RATIO"),"")</f>
        <v/>
      </c>
      <c r="T136" s="53">
        <f>IF(Database!BN136="","",IFERROR(BDP(LEFT(Database!BN136,FIND(".",Database!BN136)-1)&amp;" CH Equity","CUR_MKT_CAP")*BDP("CNYHKD Curncy","PX_LAST"),"run on terminal"))</f>
        <v/>
      </c>
    </row>
    <row r="137" ht="23" customHeight="1">
      <c r="A137" s="51">
        <f>Database!A137&amp;"  "&amp;Database!B137</f>
        <v/>
      </c>
      <c r="B137" s="43">
        <f>IFERROR(INDEX(BDS(TEXT(VALUE(Database!$A137),"0")&amp;" HK Equity","EQUITY_OFFERINGS","array=t","endcol=1"),MATCH("IPO",BDS(TEXT(VALUE(Database!$A137),"0")&amp;" HK Equity","EQUITY_OFFERINGS","array=t","startcol=2","endcol=2"),0)),"")</f>
        <v/>
      </c>
      <c r="C137" s="260">
        <f>IF($B137="","",IFERROR(BDP($B137&amp;" Action","CP036"),""))</f>
        <v/>
      </c>
      <c r="D137" s="261">
        <f>Database!S137</f>
        <v/>
      </c>
      <c r="E137" s="260">
        <f>IF($B137="","",IFERROR(BDP($B137&amp;" Action","CP037"),""))</f>
        <v/>
      </c>
      <c r="F137" s="261">
        <f>Database!T137</f>
        <v/>
      </c>
      <c r="G137" s="260">
        <f>IF($B137="","",IFERROR(BDP($B137&amp;" Action","GREENSHOE_FACILITY"),""))</f>
        <v/>
      </c>
      <c r="H137" s="260">
        <f>IF($B137="","",IFERROR(BDP($B137&amp;" Action","OFFERING_GREENSHOE_SHARES_EX"),""))</f>
        <v/>
      </c>
      <c r="I137" s="51">
        <f>Database!AE137</f>
        <v/>
      </c>
      <c r="J137" s="58">
        <f>IFERROR(BDP(TEXT(VALUE(Database!$A137),"0")&amp;" HK Equity","PE_RATIO"),"")</f>
        <v/>
      </c>
      <c r="K137" s="43">
        <f>IFERROR(BDP(TEXT(VALUE(Database!$A137),"0")&amp;" HK Equity","A/H_SHARE_CONVERSION"),"")</f>
        <v/>
      </c>
      <c r="L137" s="51">
        <f>IF(Database!BN137="","(none found)",Database!BN137)</f>
        <v/>
      </c>
      <c r="M137" s="53">
        <f>IFERROR(INDEX(BDH(TEXT(VALUE(Database!$A137),"0")&amp;" HK Equity","CUR_MKT_CAP",Database!$H137,Database!$H137),MATCH(Database!$H137,INDEX(BDH(TEXT(VALUE(Database!$A137),"0")&amp;" HK Equity","CUR_MKT_CAP",Database!$H137,Database!$H137),0,1),0),2),"run on terminal")</f>
        <v/>
      </c>
      <c r="N137" s="213">
        <f>Database!Q137</f>
        <v/>
      </c>
      <c r="O137" s="58">
        <f>IFERROR(INDEX(BDH(TEXT(VALUE(Database!$A137),"0")&amp;" HK Equity","PE_RATIO",Database!$H137,Database!$H137),MATCH(Database!$H137,INDEX(BDH(TEXT(VALUE(Database!$A137),"0")&amp;" HK Equity","PE_RATIO",Database!$H137,Database!$H137),0,1),0),2),"run on terminal")</f>
        <v/>
      </c>
      <c r="P137" s="251">
        <f>IF(Database!BH137="","(n/m or not derivable)",Database!BH137)</f>
        <v/>
      </c>
      <c r="Q137" s="58">
        <f>IF(Database!BN137="","",IFERROR(INDEX(BDH(LEFT(Database!BN137,FIND(".",Database!BN137)-1)&amp;" CH Equity","PE_RATIO",Database!$H137,Database!$H137),MATCH(Database!$H137,INDEX(BDH(LEFT(Database!BN137,FIND(".",Database!BN137)-1)&amp;" CH Equity","PE_RATIO",Database!$H137,Database!$H137),0,1),0),2),"run on terminal"))</f>
        <v/>
      </c>
      <c r="R137" s="58">
        <f>IF(Database!BN137="","",IFERROR(INDEX(BDH("HSAHP Index","PX_LAST",Database!$H137,Database!$H137),MATCH(Database!$H137,INDEX(BDH("HSAHP Index","PX_LAST",Database!$H137,Database!$H137),0,1),0),2),"run on terminal"))</f>
        <v/>
      </c>
      <c r="S137" s="58">
        <f>IFERROR(BDP(TEXT(VALUE(Database!$A137),"0")&amp;" HK Equity","PX_TO_SALES_RATIO"),"")</f>
        <v/>
      </c>
      <c r="T137" s="53">
        <f>IF(Database!BN137="","",IFERROR(BDP(LEFT(Database!BN137,FIND(".",Database!BN137)-1)&amp;" CH Equity","CUR_MKT_CAP")*BDP("CNYHKD Curncy","PX_LAST"),"run on terminal"))</f>
        <v/>
      </c>
    </row>
    <row r="138" ht="23" customHeight="1">
      <c r="A138" s="51">
        <f>Database!A138&amp;"  "&amp;Database!B138</f>
        <v/>
      </c>
      <c r="B138" s="43">
        <f>IFERROR(INDEX(BDS(TEXT(VALUE(Database!$A138),"0")&amp;" HK Equity","EQUITY_OFFERINGS","array=t","endcol=1"),MATCH("IPO",BDS(TEXT(VALUE(Database!$A138),"0")&amp;" HK Equity","EQUITY_OFFERINGS","array=t","startcol=2","endcol=2"),0)),"")</f>
        <v/>
      </c>
      <c r="C138" s="260">
        <f>IF($B138="","",IFERROR(BDP($B138&amp;" Action","CP036"),""))</f>
        <v/>
      </c>
      <c r="D138" s="261">
        <f>Database!S138</f>
        <v/>
      </c>
      <c r="E138" s="260">
        <f>IF($B138="","",IFERROR(BDP($B138&amp;" Action","CP037"),""))</f>
        <v/>
      </c>
      <c r="F138" s="261">
        <f>Database!T138</f>
        <v/>
      </c>
      <c r="G138" s="260">
        <f>IF($B138="","",IFERROR(BDP($B138&amp;" Action","GREENSHOE_FACILITY"),""))</f>
        <v/>
      </c>
      <c r="H138" s="260">
        <f>IF($B138="","",IFERROR(BDP($B138&amp;" Action","OFFERING_GREENSHOE_SHARES_EX"),""))</f>
        <v/>
      </c>
      <c r="I138" s="51">
        <f>Database!AE138</f>
        <v/>
      </c>
      <c r="J138" s="58">
        <f>IFERROR(BDP(TEXT(VALUE(Database!$A138),"0")&amp;" HK Equity","PE_RATIO"),"")</f>
        <v/>
      </c>
      <c r="K138" s="43">
        <f>IFERROR(BDP(TEXT(VALUE(Database!$A138),"0")&amp;" HK Equity","A/H_SHARE_CONVERSION"),"")</f>
        <v/>
      </c>
      <c r="L138" s="51">
        <f>IF(Database!BN138="","(none found)",Database!BN138)</f>
        <v/>
      </c>
      <c r="M138" s="53">
        <f>IFERROR(INDEX(BDH(TEXT(VALUE(Database!$A138),"0")&amp;" HK Equity","CUR_MKT_CAP",Database!$H138,Database!$H138),MATCH(Database!$H138,INDEX(BDH(TEXT(VALUE(Database!$A138),"0")&amp;" HK Equity","CUR_MKT_CAP",Database!$H138,Database!$H138),0,1),0),2),"run on terminal")</f>
        <v/>
      </c>
      <c r="N138" s="213">
        <f>Database!Q138</f>
        <v/>
      </c>
      <c r="O138" s="58">
        <f>IFERROR(INDEX(BDH(TEXT(VALUE(Database!$A138),"0")&amp;" HK Equity","PE_RATIO",Database!$H138,Database!$H138),MATCH(Database!$H138,INDEX(BDH(TEXT(VALUE(Database!$A138),"0")&amp;" HK Equity","PE_RATIO",Database!$H138,Database!$H138),0,1),0),2),"run on terminal")</f>
        <v/>
      </c>
      <c r="P138" s="251">
        <f>IF(Database!BH138="","(n/m or not derivable)",Database!BH138)</f>
        <v/>
      </c>
      <c r="Q138" s="58">
        <f>IF(Database!BN138="","",IFERROR(INDEX(BDH(LEFT(Database!BN138,FIND(".",Database!BN138)-1)&amp;" CH Equity","PE_RATIO",Database!$H138,Database!$H138),MATCH(Database!$H138,INDEX(BDH(LEFT(Database!BN138,FIND(".",Database!BN138)-1)&amp;" CH Equity","PE_RATIO",Database!$H138,Database!$H138),0,1),0),2),"run on terminal"))</f>
        <v/>
      </c>
      <c r="R138" s="58">
        <f>IF(Database!BN138="","",IFERROR(INDEX(BDH("HSAHP Index","PX_LAST",Database!$H138,Database!$H138),MATCH(Database!$H138,INDEX(BDH("HSAHP Index","PX_LAST",Database!$H138,Database!$H138),0,1),0),2),"run on terminal"))</f>
        <v/>
      </c>
      <c r="S138" s="58">
        <f>IFERROR(BDP(TEXT(VALUE(Database!$A138),"0")&amp;" HK Equity","PX_TO_SALES_RATIO"),"")</f>
        <v/>
      </c>
      <c r="T138" s="53">
        <f>IF(Database!BN138="","",IFERROR(BDP(LEFT(Database!BN138,FIND(".",Database!BN138)-1)&amp;" CH Equity","CUR_MKT_CAP")*BDP("CNYHKD Curncy","PX_LAST"),"run on terminal"))</f>
        <v/>
      </c>
    </row>
    <row r="139" ht="23" customHeight="1">
      <c r="A139" s="51">
        <f>Database!A139&amp;"  "&amp;Database!B139</f>
        <v/>
      </c>
      <c r="B139" s="43">
        <f>IFERROR(INDEX(BDS(TEXT(VALUE(Database!$A139),"0")&amp;" HK Equity","EQUITY_OFFERINGS","array=t","endcol=1"),MATCH("IPO",BDS(TEXT(VALUE(Database!$A139),"0")&amp;" HK Equity","EQUITY_OFFERINGS","array=t","startcol=2","endcol=2"),0)),"")</f>
        <v/>
      </c>
      <c r="C139" s="260">
        <f>IF($B139="","",IFERROR(BDP($B139&amp;" Action","CP036"),""))</f>
        <v/>
      </c>
      <c r="D139" s="261">
        <f>Database!S139</f>
        <v/>
      </c>
      <c r="E139" s="260">
        <f>IF($B139="","",IFERROR(BDP($B139&amp;" Action","CP037"),""))</f>
        <v/>
      </c>
      <c r="F139" s="261">
        <f>Database!T139</f>
        <v/>
      </c>
      <c r="G139" s="260">
        <f>IF($B139="","",IFERROR(BDP($B139&amp;" Action","GREENSHOE_FACILITY"),""))</f>
        <v/>
      </c>
      <c r="H139" s="260">
        <f>IF($B139="","",IFERROR(BDP($B139&amp;" Action","OFFERING_GREENSHOE_SHARES_EX"),""))</f>
        <v/>
      </c>
      <c r="I139" s="51">
        <f>Database!AE139</f>
        <v/>
      </c>
      <c r="J139" s="58">
        <f>IFERROR(BDP(TEXT(VALUE(Database!$A139),"0")&amp;" HK Equity","PE_RATIO"),"")</f>
        <v/>
      </c>
      <c r="K139" s="43">
        <f>IFERROR(BDP(TEXT(VALUE(Database!$A139),"0")&amp;" HK Equity","A/H_SHARE_CONVERSION"),"")</f>
        <v/>
      </c>
      <c r="L139" s="51">
        <f>IF(Database!BN139="","(none found)",Database!BN139)</f>
        <v/>
      </c>
      <c r="M139" s="53">
        <f>IFERROR(INDEX(BDH(TEXT(VALUE(Database!$A139),"0")&amp;" HK Equity","CUR_MKT_CAP",Database!$H139,Database!$H139),MATCH(Database!$H139,INDEX(BDH(TEXT(VALUE(Database!$A139),"0")&amp;" HK Equity","CUR_MKT_CAP",Database!$H139,Database!$H139),0,1),0),2),"run on terminal")</f>
        <v/>
      </c>
      <c r="N139" s="213">
        <f>Database!Q139</f>
        <v/>
      </c>
      <c r="O139" s="58">
        <f>IFERROR(INDEX(BDH(TEXT(VALUE(Database!$A139),"0")&amp;" HK Equity","PE_RATIO",Database!$H139,Database!$H139),MATCH(Database!$H139,INDEX(BDH(TEXT(VALUE(Database!$A139),"0")&amp;" HK Equity","PE_RATIO",Database!$H139,Database!$H139),0,1),0),2),"run on terminal")</f>
        <v/>
      </c>
      <c r="P139" s="251">
        <f>IF(Database!BH139="","(n/m or not derivable)",Database!BH139)</f>
        <v/>
      </c>
      <c r="Q139" s="58">
        <f>IF(Database!BN139="","",IFERROR(INDEX(BDH(LEFT(Database!BN139,FIND(".",Database!BN139)-1)&amp;" CH Equity","PE_RATIO",Database!$H139,Database!$H139),MATCH(Database!$H139,INDEX(BDH(LEFT(Database!BN139,FIND(".",Database!BN139)-1)&amp;" CH Equity","PE_RATIO",Database!$H139,Database!$H139),0,1),0),2),"run on terminal"))</f>
        <v/>
      </c>
      <c r="R139" s="58">
        <f>IF(Database!BN139="","",IFERROR(INDEX(BDH("HSAHP Index","PX_LAST",Database!$H139,Database!$H139),MATCH(Database!$H139,INDEX(BDH("HSAHP Index","PX_LAST",Database!$H139,Database!$H139),0,1),0),2),"run on terminal"))</f>
        <v/>
      </c>
      <c r="S139" s="58">
        <f>IFERROR(BDP(TEXT(VALUE(Database!$A139),"0")&amp;" HK Equity","PX_TO_SALES_RATIO"),"")</f>
        <v/>
      </c>
      <c r="T139" s="53">
        <f>IF(Database!BN139="","",IFERROR(BDP(LEFT(Database!BN139,FIND(".",Database!BN139)-1)&amp;" CH Equity","CUR_MKT_CAP")*BDP("CNYHKD Curncy","PX_LAST"),"run on terminal"))</f>
        <v/>
      </c>
    </row>
    <row r="140" ht="23" customHeight="1">
      <c r="A140" s="51">
        <f>Database!A140&amp;"  "&amp;Database!B140</f>
        <v/>
      </c>
      <c r="B140" s="43">
        <f>IFERROR(INDEX(BDS(TEXT(VALUE(Database!$A140),"0")&amp;" HK Equity","EQUITY_OFFERINGS","array=t","endcol=1"),MATCH("IPO",BDS(TEXT(VALUE(Database!$A140),"0")&amp;" HK Equity","EQUITY_OFFERINGS","array=t","startcol=2","endcol=2"),0)),"")</f>
        <v/>
      </c>
      <c r="C140" s="260">
        <f>IF($B140="","",IFERROR(BDP($B140&amp;" Action","CP036"),""))</f>
        <v/>
      </c>
      <c r="D140" s="261">
        <f>Database!S140</f>
        <v/>
      </c>
      <c r="E140" s="260">
        <f>IF($B140="","",IFERROR(BDP($B140&amp;" Action","CP037"),""))</f>
        <v/>
      </c>
      <c r="F140" s="261">
        <f>Database!T140</f>
        <v/>
      </c>
      <c r="G140" s="260">
        <f>IF($B140="","",IFERROR(BDP($B140&amp;" Action","GREENSHOE_FACILITY"),""))</f>
        <v/>
      </c>
      <c r="H140" s="260">
        <f>IF($B140="","",IFERROR(BDP($B140&amp;" Action","OFFERING_GREENSHOE_SHARES_EX"),""))</f>
        <v/>
      </c>
      <c r="I140" s="51">
        <f>Database!AE140</f>
        <v/>
      </c>
      <c r="J140" s="58">
        <f>IFERROR(BDP(TEXT(VALUE(Database!$A140),"0")&amp;" HK Equity","PE_RATIO"),"")</f>
        <v/>
      </c>
      <c r="K140" s="43">
        <f>IFERROR(BDP(TEXT(VALUE(Database!$A140),"0")&amp;" HK Equity","A/H_SHARE_CONVERSION"),"")</f>
        <v/>
      </c>
      <c r="L140" s="51">
        <f>IF(Database!BN140="","(none found)",Database!BN140)</f>
        <v/>
      </c>
      <c r="M140" s="53">
        <f>IFERROR(INDEX(BDH(TEXT(VALUE(Database!$A140),"0")&amp;" HK Equity","CUR_MKT_CAP",Database!$H140,Database!$H140),MATCH(Database!$H140,INDEX(BDH(TEXT(VALUE(Database!$A140),"0")&amp;" HK Equity","CUR_MKT_CAP",Database!$H140,Database!$H140),0,1),0),2),"run on terminal")</f>
        <v/>
      </c>
      <c r="N140" s="213">
        <f>Database!Q140</f>
        <v/>
      </c>
      <c r="O140" s="58">
        <f>IFERROR(INDEX(BDH(TEXT(VALUE(Database!$A140),"0")&amp;" HK Equity","PE_RATIO",Database!$H140,Database!$H140),MATCH(Database!$H140,INDEX(BDH(TEXT(VALUE(Database!$A140),"0")&amp;" HK Equity","PE_RATIO",Database!$H140,Database!$H140),0,1),0),2),"run on terminal")</f>
        <v/>
      </c>
      <c r="P140" s="251">
        <f>IF(Database!BH140="","(n/m or not derivable)",Database!BH140)</f>
        <v/>
      </c>
      <c r="Q140" s="58">
        <f>IF(Database!BN140="","",IFERROR(INDEX(BDH(LEFT(Database!BN140,FIND(".",Database!BN140)-1)&amp;" CH Equity","PE_RATIO",Database!$H140,Database!$H140),MATCH(Database!$H140,INDEX(BDH(LEFT(Database!BN140,FIND(".",Database!BN140)-1)&amp;" CH Equity","PE_RATIO",Database!$H140,Database!$H140),0,1),0),2),"run on terminal"))</f>
        <v/>
      </c>
      <c r="R140" s="58">
        <f>IF(Database!BN140="","",IFERROR(INDEX(BDH("HSAHP Index","PX_LAST",Database!$H140,Database!$H140),MATCH(Database!$H140,INDEX(BDH("HSAHP Index","PX_LAST",Database!$H140,Database!$H140),0,1),0),2),"run on terminal"))</f>
        <v/>
      </c>
      <c r="S140" s="58">
        <f>IFERROR(BDP(TEXT(VALUE(Database!$A140),"0")&amp;" HK Equity","PX_TO_SALES_RATIO"),"")</f>
        <v/>
      </c>
      <c r="T140" s="53">
        <f>IF(Database!BN140="","",IFERROR(BDP(LEFT(Database!BN140,FIND(".",Database!BN140)-1)&amp;" CH Equity","CUR_MKT_CAP")*BDP("CNYHKD Curncy","PX_LAST"),"run on terminal"))</f>
        <v/>
      </c>
    </row>
    <row r="141" ht="23" customHeight="1">
      <c r="A141" s="51">
        <f>Database!A141&amp;"  "&amp;Database!B141</f>
        <v/>
      </c>
      <c r="B141" s="43">
        <f>IFERROR(INDEX(BDS(TEXT(VALUE(Database!$A141),"0")&amp;" HK Equity","EQUITY_OFFERINGS","array=t","endcol=1"),MATCH("IPO",BDS(TEXT(VALUE(Database!$A141),"0")&amp;" HK Equity","EQUITY_OFFERINGS","array=t","startcol=2","endcol=2"),0)),"")</f>
        <v/>
      </c>
      <c r="C141" s="260">
        <f>IF($B141="","",IFERROR(BDP($B141&amp;" Action","CP036"),""))</f>
        <v/>
      </c>
      <c r="D141" s="261">
        <f>Database!S141</f>
        <v/>
      </c>
      <c r="E141" s="260">
        <f>IF($B141="","",IFERROR(BDP($B141&amp;" Action","CP037"),""))</f>
        <v/>
      </c>
      <c r="F141" s="261">
        <f>Database!T141</f>
        <v/>
      </c>
      <c r="G141" s="260">
        <f>IF($B141="","",IFERROR(BDP($B141&amp;" Action","GREENSHOE_FACILITY"),""))</f>
        <v/>
      </c>
      <c r="H141" s="260">
        <f>IF($B141="","",IFERROR(BDP($B141&amp;" Action","OFFERING_GREENSHOE_SHARES_EX"),""))</f>
        <v/>
      </c>
      <c r="I141" s="51">
        <f>Database!AE141</f>
        <v/>
      </c>
      <c r="J141" s="58">
        <f>IFERROR(BDP(TEXT(VALUE(Database!$A141),"0")&amp;" HK Equity","PE_RATIO"),"")</f>
        <v/>
      </c>
      <c r="K141" s="43">
        <f>IFERROR(BDP(TEXT(VALUE(Database!$A141),"0")&amp;" HK Equity","A/H_SHARE_CONVERSION"),"")</f>
        <v/>
      </c>
      <c r="L141" s="51">
        <f>IF(Database!BN141="","(none found)",Database!BN141)</f>
        <v/>
      </c>
      <c r="M141" s="53">
        <f>IFERROR(INDEX(BDH(TEXT(VALUE(Database!$A141),"0")&amp;" HK Equity","CUR_MKT_CAP",Database!$H141,Database!$H141),MATCH(Database!$H141,INDEX(BDH(TEXT(VALUE(Database!$A141),"0")&amp;" HK Equity","CUR_MKT_CAP",Database!$H141,Database!$H141),0,1),0),2),"run on terminal")</f>
        <v/>
      </c>
      <c r="N141" s="213">
        <f>Database!Q141</f>
        <v/>
      </c>
      <c r="O141" s="58">
        <f>IFERROR(INDEX(BDH(TEXT(VALUE(Database!$A141),"0")&amp;" HK Equity","PE_RATIO",Database!$H141,Database!$H141),MATCH(Database!$H141,INDEX(BDH(TEXT(VALUE(Database!$A141),"0")&amp;" HK Equity","PE_RATIO",Database!$H141,Database!$H141),0,1),0),2),"run on terminal")</f>
        <v/>
      </c>
      <c r="P141" s="251">
        <f>IF(Database!BH141="","(n/m or not derivable)",Database!BH141)</f>
        <v/>
      </c>
      <c r="Q141" s="58">
        <f>IF(Database!BN141="","",IFERROR(INDEX(BDH(LEFT(Database!BN141,FIND(".",Database!BN141)-1)&amp;" CH Equity","PE_RATIO",Database!$H141,Database!$H141),MATCH(Database!$H141,INDEX(BDH(LEFT(Database!BN141,FIND(".",Database!BN141)-1)&amp;" CH Equity","PE_RATIO",Database!$H141,Database!$H141),0,1),0),2),"run on terminal"))</f>
        <v/>
      </c>
      <c r="R141" s="58">
        <f>IF(Database!BN141="","",IFERROR(INDEX(BDH("HSAHP Index","PX_LAST",Database!$H141,Database!$H141),MATCH(Database!$H141,INDEX(BDH("HSAHP Index","PX_LAST",Database!$H141,Database!$H141),0,1),0),2),"run on terminal"))</f>
        <v/>
      </c>
      <c r="S141" s="58">
        <f>IFERROR(BDP(TEXT(VALUE(Database!$A141),"0")&amp;" HK Equity","PX_TO_SALES_RATIO"),"")</f>
        <v/>
      </c>
      <c r="T141" s="53">
        <f>IF(Database!BN141="","",IFERROR(BDP(LEFT(Database!BN141,FIND(".",Database!BN141)-1)&amp;" CH Equity","CUR_MKT_CAP")*BDP("CNYHKD Curncy","PX_LAST"),"run on terminal"))</f>
        <v/>
      </c>
    </row>
    <row r="142" ht="23" customHeight="1">
      <c r="A142" s="51">
        <f>Database!A142&amp;"  "&amp;Database!B142</f>
        <v/>
      </c>
      <c r="B142" s="43">
        <f>IFERROR(INDEX(BDS(TEXT(VALUE(Database!$A142),"0")&amp;" HK Equity","EQUITY_OFFERINGS","array=t","endcol=1"),MATCH("IPO",BDS(TEXT(VALUE(Database!$A142),"0")&amp;" HK Equity","EQUITY_OFFERINGS","array=t","startcol=2","endcol=2"),0)),"")</f>
        <v/>
      </c>
      <c r="C142" s="260">
        <f>IF($B142="","",IFERROR(BDP($B142&amp;" Action","CP036"),""))</f>
        <v/>
      </c>
      <c r="D142" s="261">
        <f>Database!S142</f>
        <v/>
      </c>
      <c r="E142" s="260">
        <f>IF($B142="","",IFERROR(BDP($B142&amp;" Action","CP037"),""))</f>
        <v/>
      </c>
      <c r="F142" s="261">
        <f>Database!T142</f>
        <v/>
      </c>
      <c r="G142" s="260">
        <f>IF($B142="","",IFERROR(BDP($B142&amp;" Action","GREENSHOE_FACILITY"),""))</f>
        <v/>
      </c>
      <c r="H142" s="260">
        <f>IF($B142="","",IFERROR(BDP($B142&amp;" Action","OFFERING_GREENSHOE_SHARES_EX"),""))</f>
        <v/>
      </c>
      <c r="I142" s="51">
        <f>Database!AE142</f>
        <v/>
      </c>
      <c r="J142" s="58">
        <f>IFERROR(BDP(TEXT(VALUE(Database!$A142),"0")&amp;" HK Equity","PE_RATIO"),"")</f>
        <v/>
      </c>
      <c r="K142" s="43">
        <f>IFERROR(BDP(TEXT(VALUE(Database!$A142),"0")&amp;" HK Equity","A/H_SHARE_CONVERSION"),"")</f>
        <v/>
      </c>
      <c r="L142" s="51">
        <f>IF(Database!BN142="","(none found)",Database!BN142)</f>
        <v/>
      </c>
      <c r="M142" s="53">
        <f>IFERROR(INDEX(BDH(TEXT(VALUE(Database!$A142),"0")&amp;" HK Equity","CUR_MKT_CAP",Database!$H142,Database!$H142),MATCH(Database!$H142,INDEX(BDH(TEXT(VALUE(Database!$A142),"0")&amp;" HK Equity","CUR_MKT_CAP",Database!$H142,Database!$H142),0,1),0),2),"run on terminal")</f>
        <v/>
      </c>
      <c r="N142" s="213">
        <f>Database!Q142</f>
        <v/>
      </c>
      <c r="O142" s="58">
        <f>IFERROR(INDEX(BDH(TEXT(VALUE(Database!$A142),"0")&amp;" HK Equity","PE_RATIO",Database!$H142,Database!$H142),MATCH(Database!$H142,INDEX(BDH(TEXT(VALUE(Database!$A142),"0")&amp;" HK Equity","PE_RATIO",Database!$H142,Database!$H142),0,1),0),2),"run on terminal")</f>
        <v/>
      </c>
      <c r="P142" s="251">
        <f>IF(Database!BH142="","(n/m or not derivable)",Database!BH142)</f>
        <v/>
      </c>
      <c r="Q142" s="58">
        <f>IF(Database!BN142="","",IFERROR(INDEX(BDH(LEFT(Database!BN142,FIND(".",Database!BN142)-1)&amp;" CH Equity","PE_RATIO",Database!$H142,Database!$H142),MATCH(Database!$H142,INDEX(BDH(LEFT(Database!BN142,FIND(".",Database!BN142)-1)&amp;" CH Equity","PE_RATIO",Database!$H142,Database!$H142),0,1),0),2),"run on terminal"))</f>
        <v/>
      </c>
      <c r="R142" s="58">
        <f>IF(Database!BN142="","",IFERROR(INDEX(BDH("HSAHP Index","PX_LAST",Database!$H142,Database!$H142),MATCH(Database!$H142,INDEX(BDH("HSAHP Index","PX_LAST",Database!$H142,Database!$H142),0,1),0),2),"run on terminal"))</f>
        <v/>
      </c>
      <c r="S142" s="58">
        <f>IFERROR(BDP(TEXT(VALUE(Database!$A142),"0")&amp;" HK Equity","PX_TO_SALES_RATIO"),"")</f>
        <v/>
      </c>
      <c r="T142" s="53">
        <f>IF(Database!BN142="","",IFERROR(BDP(LEFT(Database!BN142,FIND(".",Database!BN142)-1)&amp;" CH Equity","CUR_MKT_CAP")*BDP("CNYHKD Curncy","PX_LAST"),"run on terminal"))</f>
        <v/>
      </c>
    </row>
    <row r="143" ht="23" customHeight="1">
      <c r="A143" s="51">
        <f>Database!A143&amp;"  "&amp;Database!B143</f>
        <v/>
      </c>
      <c r="B143" s="43">
        <f>IFERROR(INDEX(BDS(TEXT(VALUE(Database!$A143),"0")&amp;" HK Equity","EQUITY_OFFERINGS","array=t","endcol=1"),MATCH("IPO",BDS(TEXT(VALUE(Database!$A143),"0")&amp;" HK Equity","EQUITY_OFFERINGS","array=t","startcol=2","endcol=2"),0)),"")</f>
        <v/>
      </c>
      <c r="C143" s="260">
        <f>IF($B143="","",IFERROR(BDP($B143&amp;" Action","CP036"),""))</f>
        <v/>
      </c>
      <c r="D143" s="261">
        <f>Database!S143</f>
        <v/>
      </c>
      <c r="E143" s="260">
        <f>IF($B143="","",IFERROR(BDP($B143&amp;" Action","CP037"),""))</f>
        <v/>
      </c>
      <c r="F143" s="261">
        <f>Database!T143</f>
        <v/>
      </c>
      <c r="G143" s="260">
        <f>IF($B143="","",IFERROR(BDP($B143&amp;" Action","GREENSHOE_FACILITY"),""))</f>
        <v/>
      </c>
      <c r="H143" s="260">
        <f>IF($B143="","",IFERROR(BDP($B143&amp;" Action","OFFERING_GREENSHOE_SHARES_EX"),""))</f>
        <v/>
      </c>
      <c r="I143" s="51">
        <f>Database!AE143</f>
        <v/>
      </c>
      <c r="J143" s="58">
        <f>IFERROR(BDP(TEXT(VALUE(Database!$A143),"0")&amp;" HK Equity","PE_RATIO"),"")</f>
        <v/>
      </c>
      <c r="K143" s="43">
        <f>IFERROR(BDP(TEXT(VALUE(Database!$A143),"0")&amp;" HK Equity","A/H_SHARE_CONVERSION"),"")</f>
        <v/>
      </c>
      <c r="L143" s="51">
        <f>IF(Database!BN143="","(none found)",Database!BN143)</f>
        <v/>
      </c>
      <c r="M143" s="53">
        <f>IFERROR(INDEX(BDH(TEXT(VALUE(Database!$A143),"0")&amp;" HK Equity","CUR_MKT_CAP",Database!$H143,Database!$H143),MATCH(Database!$H143,INDEX(BDH(TEXT(VALUE(Database!$A143),"0")&amp;" HK Equity","CUR_MKT_CAP",Database!$H143,Database!$H143),0,1),0),2),"run on terminal")</f>
        <v/>
      </c>
      <c r="N143" s="213">
        <f>Database!Q143</f>
        <v/>
      </c>
      <c r="O143" s="58">
        <f>IFERROR(INDEX(BDH(TEXT(VALUE(Database!$A143),"0")&amp;" HK Equity","PE_RATIO",Database!$H143,Database!$H143),MATCH(Database!$H143,INDEX(BDH(TEXT(VALUE(Database!$A143),"0")&amp;" HK Equity","PE_RATIO",Database!$H143,Database!$H143),0,1),0),2),"run on terminal")</f>
        <v/>
      </c>
      <c r="P143" s="251">
        <f>IF(Database!BH143="","(n/m or not derivable)",Database!BH143)</f>
        <v/>
      </c>
      <c r="Q143" s="58">
        <f>IF(Database!BN143="","",IFERROR(INDEX(BDH(LEFT(Database!BN143,FIND(".",Database!BN143)-1)&amp;" CH Equity","PE_RATIO",Database!$H143,Database!$H143),MATCH(Database!$H143,INDEX(BDH(LEFT(Database!BN143,FIND(".",Database!BN143)-1)&amp;" CH Equity","PE_RATIO",Database!$H143,Database!$H143),0,1),0),2),"run on terminal"))</f>
        <v/>
      </c>
      <c r="R143" s="58">
        <f>IF(Database!BN143="","",IFERROR(INDEX(BDH("HSAHP Index","PX_LAST",Database!$H143,Database!$H143),MATCH(Database!$H143,INDEX(BDH("HSAHP Index","PX_LAST",Database!$H143,Database!$H143),0,1),0),2),"run on terminal"))</f>
        <v/>
      </c>
      <c r="S143" s="58">
        <f>IFERROR(BDP(TEXT(VALUE(Database!$A143),"0")&amp;" HK Equity","PX_TO_SALES_RATIO"),"")</f>
        <v/>
      </c>
      <c r="T143" s="53">
        <f>IF(Database!BN143="","",IFERROR(BDP(LEFT(Database!BN143,FIND(".",Database!BN143)-1)&amp;" CH Equity","CUR_MKT_CAP")*BDP("CNYHKD Curncy","PX_LAST"),"run on terminal"))</f>
        <v/>
      </c>
    </row>
    <row r="144" ht="23" customHeight="1">
      <c r="A144" s="51">
        <f>Database!A144&amp;"  "&amp;Database!B144</f>
        <v/>
      </c>
      <c r="B144" s="43">
        <f>IFERROR(INDEX(BDS(TEXT(VALUE(Database!$A144),"0")&amp;" HK Equity","EQUITY_OFFERINGS","array=t","endcol=1"),MATCH("IPO",BDS(TEXT(VALUE(Database!$A144),"0")&amp;" HK Equity","EQUITY_OFFERINGS","array=t","startcol=2","endcol=2"),0)),"")</f>
        <v/>
      </c>
      <c r="C144" s="260">
        <f>IF($B144="","",IFERROR(BDP($B144&amp;" Action","CP036"),""))</f>
        <v/>
      </c>
      <c r="D144" s="261">
        <f>Database!S144</f>
        <v/>
      </c>
      <c r="E144" s="260">
        <f>IF($B144="","",IFERROR(BDP($B144&amp;" Action","CP037"),""))</f>
        <v/>
      </c>
      <c r="F144" s="261">
        <f>Database!T144</f>
        <v/>
      </c>
      <c r="G144" s="260">
        <f>IF($B144="","",IFERROR(BDP($B144&amp;" Action","GREENSHOE_FACILITY"),""))</f>
        <v/>
      </c>
      <c r="H144" s="260">
        <f>IF($B144="","",IFERROR(BDP($B144&amp;" Action","OFFERING_GREENSHOE_SHARES_EX"),""))</f>
        <v/>
      </c>
      <c r="I144" s="51">
        <f>Database!AE144</f>
        <v/>
      </c>
      <c r="J144" s="58">
        <f>IFERROR(BDP(TEXT(VALUE(Database!$A144),"0")&amp;" HK Equity","PE_RATIO"),"")</f>
        <v/>
      </c>
      <c r="K144" s="43">
        <f>IFERROR(BDP(TEXT(VALUE(Database!$A144),"0")&amp;" HK Equity","A/H_SHARE_CONVERSION"),"")</f>
        <v/>
      </c>
      <c r="L144" s="51">
        <f>IF(Database!BN144="","(none found)",Database!BN144)</f>
        <v/>
      </c>
      <c r="M144" s="53">
        <f>IFERROR(INDEX(BDH(TEXT(VALUE(Database!$A144),"0")&amp;" HK Equity","CUR_MKT_CAP",Database!$H144,Database!$H144),MATCH(Database!$H144,INDEX(BDH(TEXT(VALUE(Database!$A144),"0")&amp;" HK Equity","CUR_MKT_CAP",Database!$H144,Database!$H144),0,1),0),2),"run on terminal")</f>
        <v/>
      </c>
      <c r="N144" s="213">
        <f>Database!Q144</f>
        <v/>
      </c>
      <c r="O144" s="58">
        <f>IFERROR(INDEX(BDH(TEXT(VALUE(Database!$A144),"0")&amp;" HK Equity","PE_RATIO",Database!$H144,Database!$H144),MATCH(Database!$H144,INDEX(BDH(TEXT(VALUE(Database!$A144),"0")&amp;" HK Equity","PE_RATIO",Database!$H144,Database!$H144),0,1),0),2),"run on terminal")</f>
        <v/>
      </c>
      <c r="P144" s="251">
        <f>IF(Database!BH144="","(n/m or not derivable)",Database!BH144)</f>
        <v/>
      </c>
      <c r="Q144" s="58">
        <f>IF(Database!BN144="","",IFERROR(INDEX(BDH(LEFT(Database!BN144,FIND(".",Database!BN144)-1)&amp;" CH Equity","PE_RATIO",Database!$H144,Database!$H144),MATCH(Database!$H144,INDEX(BDH(LEFT(Database!BN144,FIND(".",Database!BN144)-1)&amp;" CH Equity","PE_RATIO",Database!$H144,Database!$H144),0,1),0),2),"run on terminal"))</f>
        <v/>
      </c>
      <c r="R144" s="58">
        <f>IF(Database!BN144="","",IFERROR(INDEX(BDH("HSAHP Index","PX_LAST",Database!$H144,Database!$H144),MATCH(Database!$H144,INDEX(BDH("HSAHP Index","PX_LAST",Database!$H144,Database!$H144),0,1),0),2),"run on terminal"))</f>
        <v/>
      </c>
      <c r="S144" s="58">
        <f>IFERROR(BDP(TEXT(VALUE(Database!$A144),"0")&amp;" HK Equity","PX_TO_SALES_RATIO"),"")</f>
        <v/>
      </c>
      <c r="T144" s="53">
        <f>IF(Database!BN144="","",IFERROR(BDP(LEFT(Database!BN144,FIND(".",Database!BN144)-1)&amp;" CH Equity","CUR_MKT_CAP")*BDP("CNYHKD Curncy","PX_LAST"),"run on terminal"))</f>
        <v/>
      </c>
    </row>
    <row r="145" ht="23" customHeight="1">
      <c r="A145" s="51">
        <f>Database!A145&amp;"  "&amp;Database!B145</f>
        <v/>
      </c>
      <c r="B145" s="43">
        <f>IFERROR(INDEX(BDS(TEXT(VALUE(Database!$A145),"0")&amp;" HK Equity","EQUITY_OFFERINGS","array=t","endcol=1"),MATCH("IPO",BDS(TEXT(VALUE(Database!$A145),"0")&amp;" HK Equity","EQUITY_OFFERINGS","array=t","startcol=2","endcol=2"),0)),"")</f>
        <v/>
      </c>
      <c r="C145" s="260">
        <f>IF($B145="","",IFERROR(BDP($B145&amp;" Action","CP036"),""))</f>
        <v/>
      </c>
      <c r="D145" s="261">
        <f>Database!S145</f>
        <v/>
      </c>
      <c r="E145" s="260">
        <f>IF($B145="","",IFERROR(BDP($B145&amp;" Action","CP037"),""))</f>
        <v/>
      </c>
      <c r="F145" s="261">
        <f>Database!T145</f>
        <v/>
      </c>
      <c r="G145" s="260">
        <f>IF($B145="","",IFERROR(BDP($B145&amp;" Action","GREENSHOE_FACILITY"),""))</f>
        <v/>
      </c>
      <c r="H145" s="260">
        <f>IF($B145="","",IFERROR(BDP($B145&amp;" Action","OFFERING_GREENSHOE_SHARES_EX"),""))</f>
        <v/>
      </c>
      <c r="I145" s="51">
        <f>Database!AE145</f>
        <v/>
      </c>
      <c r="J145" s="58">
        <f>IFERROR(BDP(TEXT(VALUE(Database!$A145),"0")&amp;" HK Equity","PE_RATIO"),"")</f>
        <v/>
      </c>
      <c r="K145" s="43">
        <f>IFERROR(BDP(TEXT(VALUE(Database!$A145),"0")&amp;" HK Equity","A/H_SHARE_CONVERSION"),"")</f>
        <v/>
      </c>
      <c r="L145" s="51">
        <f>IF(Database!BN145="","(none found)",Database!BN145)</f>
        <v/>
      </c>
      <c r="M145" s="53">
        <f>IFERROR(INDEX(BDH(TEXT(VALUE(Database!$A145),"0")&amp;" HK Equity","CUR_MKT_CAP",Database!$H145,Database!$H145),MATCH(Database!$H145,INDEX(BDH(TEXT(VALUE(Database!$A145),"0")&amp;" HK Equity","CUR_MKT_CAP",Database!$H145,Database!$H145),0,1),0),2),"run on terminal")</f>
        <v/>
      </c>
      <c r="N145" s="213">
        <f>Database!Q145</f>
        <v/>
      </c>
      <c r="O145" s="58">
        <f>IFERROR(INDEX(BDH(TEXT(VALUE(Database!$A145),"0")&amp;" HK Equity","PE_RATIO",Database!$H145,Database!$H145),MATCH(Database!$H145,INDEX(BDH(TEXT(VALUE(Database!$A145),"0")&amp;" HK Equity","PE_RATIO",Database!$H145,Database!$H145),0,1),0),2),"run on terminal")</f>
        <v/>
      </c>
      <c r="P145" s="251">
        <f>IF(Database!BH145="","(n/m or not derivable)",Database!BH145)</f>
        <v/>
      </c>
      <c r="Q145" s="58">
        <f>IF(Database!BN145="","",IFERROR(INDEX(BDH(LEFT(Database!BN145,FIND(".",Database!BN145)-1)&amp;" CH Equity","PE_RATIO",Database!$H145,Database!$H145),MATCH(Database!$H145,INDEX(BDH(LEFT(Database!BN145,FIND(".",Database!BN145)-1)&amp;" CH Equity","PE_RATIO",Database!$H145,Database!$H145),0,1),0),2),"run on terminal"))</f>
        <v/>
      </c>
      <c r="R145" s="58">
        <f>IF(Database!BN145="","",IFERROR(INDEX(BDH("HSAHP Index","PX_LAST",Database!$H145,Database!$H145),MATCH(Database!$H145,INDEX(BDH("HSAHP Index","PX_LAST",Database!$H145,Database!$H145),0,1),0),2),"run on terminal"))</f>
        <v/>
      </c>
      <c r="S145" s="58">
        <f>IFERROR(BDP(TEXT(VALUE(Database!$A145),"0")&amp;" HK Equity","PX_TO_SALES_RATIO"),"")</f>
        <v/>
      </c>
      <c r="T145" s="53">
        <f>IF(Database!BN145="","",IFERROR(BDP(LEFT(Database!BN145,FIND(".",Database!BN145)-1)&amp;" CH Equity","CUR_MKT_CAP")*BDP("CNYHKD Curncy","PX_LAST"),"run on terminal"))</f>
        <v/>
      </c>
    </row>
    <row r="146" ht="23" customHeight="1">
      <c r="A146" s="51">
        <f>Database!A146&amp;"  "&amp;Database!B146</f>
        <v/>
      </c>
      <c r="B146" s="43">
        <f>IFERROR(INDEX(BDS(TEXT(VALUE(Database!$A146),"0")&amp;" HK Equity","EQUITY_OFFERINGS","array=t","endcol=1"),MATCH("IPO",BDS(TEXT(VALUE(Database!$A146),"0")&amp;" HK Equity","EQUITY_OFFERINGS","array=t","startcol=2","endcol=2"),0)),"")</f>
        <v/>
      </c>
      <c r="C146" s="260">
        <f>IF($B146="","",IFERROR(BDP($B146&amp;" Action","CP036"),""))</f>
        <v/>
      </c>
      <c r="D146" s="261">
        <f>Database!S146</f>
        <v/>
      </c>
      <c r="E146" s="260">
        <f>IF($B146="","",IFERROR(BDP($B146&amp;" Action","CP037"),""))</f>
        <v/>
      </c>
      <c r="F146" s="261">
        <f>Database!T146</f>
        <v/>
      </c>
      <c r="G146" s="260">
        <f>IF($B146="","",IFERROR(BDP($B146&amp;" Action","GREENSHOE_FACILITY"),""))</f>
        <v/>
      </c>
      <c r="H146" s="260">
        <f>IF($B146="","",IFERROR(BDP($B146&amp;" Action","OFFERING_GREENSHOE_SHARES_EX"),""))</f>
        <v/>
      </c>
      <c r="I146" s="51">
        <f>Database!AE146</f>
        <v/>
      </c>
      <c r="J146" s="58">
        <f>IFERROR(BDP(TEXT(VALUE(Database!$A146),"0")&amp;" HK Equity","PE_RATIO"),"")</f>
        <v/>
      </c>
      <c r="K146" s="43">
        <f>IFERROR(BDP(TEXT(VALUE(Database!$A146),"0")&amp;" HK Equity","A/H_SHARE_CONVERSION"),"")</f>
        <v/>
      </c>
      <c r="L146" s="51">
        <f>IF(Database!BN146="","(none found)",Database!BN146)</f>
        <v/>
      </c>
      <c r="M146" s="53">
        <f>IFERROR(INDEX(BDH(TEXT(VALUE(Database!$A146),"0")&amp;" HK Equity","CUR_MKT_CAP",Database!$H146,Database!$H146),MATCH(Database!$H146,INDEX(BDH(TEXT(VALUE(Database!$A146),"0")&amp;" HK Equity","CUR_MKT_CAP",Database!$H146,Database!$H146),0,1),0),2),"run on terminal")</f>
        <v/>
      </c>
      <c r="N146" s="213">
        <f>Database!Q146</f>
        <v/>
      </c>
      <c r="O146" s="58">
        <f>IFERROR(INDEX(BDH(TEXT(VALUE(Database!$A146),"0")&amp;" HK Equity","PE_RATIO",Database!$H146,Database!$H146),MATCH(Database!$H146,INDEX(BDH(TEXT(VALUE(Database!$A146),"0")&amp;" HK Equity","PE_RATIO",Database!$H146,Database!$H146),0,1),0),2),"run on terminal")</f>
        <v/>
      </c>
      <c r="P146" s="251">
        <f>IF(Database!BH146="","(n/m or not derivable)",Database!BH146)</f>
        <v/>
      </c>
      <c r="Q146" s="58">
        <f>IF(Database!BN146="","",IFERROR(INDEX(BDH(LEFT(Database!BN146,FIND(".",Database!BN146)-1)&amp;" CH Equity","PE_RATIO",Database!$H146,Database!$H146),MATCH(Database!$H146,INDEX(BDH(LEFT(Database!BN146,FIND(".",Database!BN146)-1)&amp;" CH Equity","PE_RATIO",Database!$H146,Database!$H146),0,1),0),2),"run on terminal"))</f>
        <v/>
      </c>
      <c r="R146" s="58">
        <f>IF(Database!BN146="","",IFERROR(INDEX(BDH("HSAHP Index","PX_LAST",Database!$H146,Database!$H146),MATCH(Database!$H146,INDEX(BDH("HSAHP Index","PX_LAST",Database!$H146,Database!$H146),0,1),0),2),"run on terminal"))</f>
        <v/>
      </c>
      <c r="S146" s="58">
        <f>IFERROR(BDP(TEXT(VALUE(Database!$A146),"0")&amp;" HK Equity","PX_TO_SALES_RATIO"),"")</f>
        <v/>
      </c>
      <c r="T146" s="53">
        <f>IF(Database!BN146="","",IFERROR(BDP(LEFT(Database!BN146,FIND(".",Database!BN146)-1)&amp;" CH Equity","CUR_MKT_CAP")*BDP("CNYHKD Curncy","PX_LAST"),"run on terminal"))</f>
        <v/>
      </c>
    </row>
    <row r="147" ht="23" customHeight="1">
      <c r="A147" s="51">
        <f>Database!A147&amp;"  "&amp;Database!B147</f>
        <v/>
      </c>
      <c r="B147" s="43">
        <f>IFERROR(INDEX(BDS(TEXT(VALUE(Database!$A147),"0")&amp;" HK Equity","EQUITY_OFFERINGS","array=t","endcol=1"),MATCH("IPO",BDS(TEXT(VALUE(Database!$A147),"0")&amp;" HK Equity","EQUITY_OFFERINGS","array=t","startcol=2","endcol=2"),0)),"")</f>
        <v/>
      </c>
      <c r="C147" s="260">
        <f>IF($B147="","",IFERROR(BDP($B147&amp;" Action","CP036"),""))</f>
        <v/>
      </c>
      <c r="D147" s="261">
        <f>Database!S147</f>
        <v/>
      </c>
      <c r="E147" s="260">
        <f>IF($B147="","",IFERROR(BDP($B147&amp;" Action","CP037"),""))</f>
        <v/>
      </c>
      <c r="F147" s="261">
        <f>Database!T147</f>
        <v/>
      </c>
      <c r="G147" s="260">
        <f>IF($B147="","",IFERROR(BDP($B147&amp;" Action","GREENSHOE_FACILITY"),""))</f>
        <v/>
      </c>
      <c r="H147" s="260">
        <f>IF($B147="","",IFERROR(BDP($B147&amp;" Action","OFFERING_GREENSHOE_SHARES_EX"),""))</f>
        <v/>
      </c>
      <c r="I147" s="51">
        <f>Database!AE147</f>
        <v/>
      </c>
      <c r="J147" s="58">
        <f>IFERROR(BDP(TEXT(VALUE(Database!$A147),"0")&amp;" HK Equity","PE_RATIO"),"")</f>
        <v/>
      </c>
      <c r="K147" s="43">
        <f>IFERROR(BDP(TEXT(VALUE(Database!$A147),"0")&amp;" HK Equity","A/H_SHARE_CONVERSION"),"")</f>
        <v/>
      </c>
      <c r="L147" s="51">
        <f>IF(Database!BN147="","(none found)",Database!BN147)</f>
        <v/>
      </c>
      <c r="M147" s="53">
        <f>IFERROR(INDEX(BDH(TEXT(VALUE(Database!$A147),"0")&amp;" HK Equity","CUR_MKT_CAP",Database!$H147,Database!$H147),MATCH(Database!$H147,INDEX(BDH(TEXT(VALUE(Database!$A147),"0")&amp;" HK Equity","CUR_MKT_CAP",Database!$H147,Database!$H147),0,1),0),2),"run on terminal")</f>
        <v/>
      </c>
      <c r="N147" s="213">
        <f>Database!Q147</f>
        <v/>
      </c>
      <c r="O147" s="58">
        <f>IFERROR(INDEX(BDH(TEXT(VALUE(Database!$A147),"0")&amp;" HK Equity","PE_RATIO",Database!$H147,Database!$H147),MATCH(Database!$H147,INDEX(BDH(TEXT(VALUE(Database!$A147),"0")&amp;" HK Equity","PE_RATIO",Database!$H147,Database!$H147),0,1),0),2),"run on terminal")</f>
        <v/>
      </c>
      <c r="P147" s="251">
        <f>IF(Database!BH147="","(n/m or not derivable)",Database!BH147)</f>
        <v/>
      </c>
      <c r="Q147" s="58">
        <f>IF(Database!BN147="","",IFERROR(INDEX(BDH(LEFT(Database!BN147,FIND(".",Database!BN147)-1)&amp;" CH Equity","PE_RATIO",Database!$H147,Database!$H147),MATCH(Database!$H147,INDEX(BDH(LEFT(Database!BN147,FIND(".",Database!BN147)-1)&amp;" CH Equity","PE_RATIO",Database!$H147,Database!$H147),0,1),0),2),"run on terminal"))</f>
        <v/>
      </c>
      <c r="R147" s="58">
        <f>IF(Database!BN147="","",IFERROR(INDEX(BDH("HSAHP Index","PX_LAST",Database!$H147,Database!$H147),MATCH(Database!$H147,INDEX(BDH("HSAHP Index","PX_LAST",Database!$H147,Database!$H147),0,1),0),2),"run on terminal"))</f>
        <v/>
      </c>
      <c r="S147" s="58">
        <f>IFERROR(BDP(TEXT(VALUE(Database!$A147),"0")&amp;" HK Equity","PX_TO_SALES_RATIO"),"")</f>
        <v/>
      </c>
      <c r="T147" s="53">
        <f>IF(Database!BN147="","",IFERROR(BDP(LEFT(Database!BN147,FIND(".",Database!BN147)-1)&amp;" CH Equity","CUR_MKT_CAP")*BDP("CNYHKD Curncy","PX_LAST"),"run on terminal"))</f>
        <v/>
      </c>
    </row>
    <row r="148" ht="23" customHeight="1">
      <c r="A148" s="51">
        <f>Database!A148&amp;"  "&amp;Database!B148</f>
        <v/>
      </c>
      <c r="B148" s="43">
        <f>IFERROR(INDEX(BDS(TEXT(VALUE(Database!$A148),"0")&amp;" HK Equity","EQUITY_OFFERINGS","array=t","endcol=1"),MATCH("IPO",BDS(TEXT(VALUE(Database!$A148),"0")&amp;" HK Equity","EQUITY_OFFERINGS","array=t","startcol=2","endcol=2"),0)),"")</f>
        <v/>
      </c>
      <c r="C148" s="260">
        <f>IF($B148="","",IFERROR(BDP($B148&amp;" Action","CP036"),""))</f>
        <v/>
      </c>
      <c r="D148" s="261">
        <f>Database!S148</f>
        <v/>
      </c>
      <c r="E148" s="260">
        <f>IF($B148="","",IFERROR(BDP($B148&amp;" Action","CP037"),""))</f>
        <v/>
      </c>
      <c r="F148" s="261">
        <f>Database!T148</f>
        <v/>
      </c>
      <c r="G148" s="260">
        <f>IF($B148="","",IFERROR(BDP($B148&amp;" Action","GREENSHOE_FACILITY"),""))</f>
        <v/>
      </c>
      <c r="H148" s="260">
        <f>IF($B148="","",IFERROR(BDP($B148&amp;" Action","OFFERING_GREENSHOE_SHARES_EX"),""))</f>
        <v/>
      </c>
      <c r="I148" s="51">
        <f>Database!AE148</f>
        <v/>
      </c>
      <c r="J148" s="58">
        <f>IFERROR(BDP(TEXT(VALUE(Database!$A148),"0")&amp;" HK Equity","PE_RATIO"),"")</f>
        <v/>
      </c>
      <c r="K148" s="43">
        <f>IFERROR(BDP(TEXT(VALUE(Database!$A148),"0")&amp;" HK Equity","A/H_SHARE_CONVERSION"),"")</f>
        <v/>
      </c>
      <c r="L148" s="51">
        <f>IF(Database!BN148="","(none found)",Database!BN148)</f>
        <v/>
      </c>
      <c r="M148" s="53">
        <f>IFERROR(INDEX(BDH(TEXT(VALUE(Database!$A148),"0")&amp;" HK Equity","CUR_MKT_CAP",Database!$H148,Database!$H148),MATCH(Database!$H148,INDEX(BDH(TEXT(VALUE(Database!$A148),"0")&amp;" HK Equity","CUR_MKT_CAP",Database!$H148,Database!$H148),0,1),0),2),"run on terminal")</f>
        <v/>
      </c>
      <c r="N148" s="213">
        <f>Database!Q148</f>
        <v/>
      </c>
      <c r="O148" s="58">
        <f>IFERROR(INDEX(BDH(TEXT(VALUE(Database!$A148),"0")&amp;" HK Equity","PE_RATIO",Database!$H148,Database!$H148),MATCH(Database!$H148,INDEX(BDH(TEXT(VALUE(Database!$A148),"0")&amp;" HK Equity","PE_RATIO",Database!$H148,Database!$H148),0,1),0),2),"run on terminal")</f>
        <v/>
      </c>
      <c r="P148" s="251">
        <f>IF(Database!BH148="","(n/m or not derivable)",Database!BH148)</f>
        <v/>
      </c>
      <c r="Q148" s="58">
        <f>IF(Database!BN148="","",IFERROR(INDEX(BDH(LEFT(Database!BN148,FIND(".",Database!BN148)-1)&amp;" CH Equity","PE_RATIO",Database!$H148,Database!$H148),MATCH(Database!$H148,INDEX(BDH(LEFT(Database!BN148,FIND(".",Database!BN148)-1)&amp;" CH Equity","PE_RATIO",Database!$H148,Database!$H148),0,1),0),2),"run on terminal"))</f>
        <v/>
      </c>
      <c r="R148" s="58">
        <f>IF(Database!BN148="","",IFERROR(INDEX(BDH("HSAHP Index","PX_LAST",Database!$H148,Database!$H148),MATCH(Database!$H148,INDEX(BDH("HSAHP Index","PX_LAST",Database!$H148,Database!$H148),0,1),0),2),"run on terminal"))</f>
        <v/>
      </c>
      <c r="S148" s="58">
        <f>IFERROR(BDP(TEXT(VALUE(Database!$A148),"0")&amp;" HK Equity","PX_TO_SALES_RATIO"),"")</f>
        <v/>
      </c>
      <c r="T148" s="53">
        <f>IF(Database!BN148="","",IFERROR(BDP(LEFT(Database!BN148,FIND(".",Database!BN148)-1)&amp;" CH Equity","CUR_MKT_CAP")*BDP("CNYHKD Curncy","PX_LAST"),"run on terminal"))</f>
        <v/>
      </c>
    </row>
    <row r="149" ht="23" customHeight="1">
      <c r="A149" s="51">
        <f>Database!A149&amp;"  "&amp;Database!B149</f>
        <v/>
      </c>
      <c r="B149" s="43">
        <f>IFERROR(INDEX(BDS(TEXT(VALUE(Database!$A149),"0")&amp;" HK Equity","EQUITY_OFFERINGS","array=t","endcol=1"),MATCH("IPO",BDS(TEXT(VALUE(Database!$A149),"0")&amp;" HK Equity","EQUITY_OFFERINGS","array=t","startcol=2","endcol=2"),0)),"")</f>
        <v/>
      </c>
      <c r="C149" s="260">
        <f>IF($B149="","",IFERROR(BDP($B149&amp;" Action","CP036"),""))</f>
        <v/>
      </c>
      <c r="D149" s="261">
        <f>Database!S149</f>
        <v/>
      </c>
      <c r="E149" s="260">
        <f>IF($B149="","",IFERROR(BDP($B149&amp;" Action","CP037"),""))</f>
        <v/>
      </c>
      <c r="F149" s="261">
        <f>Database!T149</f>
        <v/>
      </c>
      <c r="G149" s="260">
        <f>IF($B149="","",IFERROR(BDP($B149&amp;" Action","GREENSHOE_FACILITY"),""))</f>
        <v/>
      </c>
      <c r="H149" s="260">
        <f>IF($B149="","",IFERROR(BDP($B149&amp;" Action","OFFERING_GREENSHOE_SHARES_EX"),""))</f>
        <v/>
      </c>
      <c r="I149" s="51">
        <f>Database!AE149</f>
        <v/>
      </c>
      <c r="J149" s="58">
        <f>IFERROR(BDP(TEXT(VALUE(Database!$A149),"0")&amp;" HK Equity","PE_RATIO"),"")</f>
        <v/>
      </c>
      <c r="K149" s="43">
        <f>IFERROR(BDP(TEXT(VALUE(Database!$A149),"0")&amp;" HK Equity","A/H_SHARE_CONVERSION"),"")</f>
        <v/>
      </c>
      <c r="L149" s="51">
        <f>IF(Database!BN149="","(none found)",Database!BN149)</f>
        <v/>
      </c>
      <c r="M149" s="53">
        <f>IFERROR(INDEX(BDH(TEXT(VALUE(Database!$A149),"0")&amp;" HK Equity","CUR_MKT_CAP",Database!$H149,Database!$H149),MATCH(Database!$H149,INDEX(BDH(TEXT(VALUE(Database!$A149),"0")&amp;" HK Equity","CUR_MKT_CAP",Database!$H149,Database!$H149),0,1),0),2),"run on terminal")</f>
        <v/>
      </c>
      <c r="N149" s="213">
        <f>Database!Q149</f>
        <v/>
      </c>
      <c r="O149" s="58">
        <f>IFERROR(INDEX(BDH(TEXT(VALUE(Database!$A149),"0")&amp;" HK Equity","PE_RATIO",Database!$H149,Database!$H149),MATCH(Database!$H149,INDEX(BDH(TEXT(VALUE(Database!$A149),"0")&amp;" HK Equity","PE_RATIO",Database!$H149,Database!$H149),0,1),0),2),"run on terminal")</f>
        <v/>
      </c>
      <c r="P149" s="251">
        <f>IF(Database!BH149="","(n/m or not derivable)",Database!BH149)</f>
        <v/>
      </c>
      <c r="Q149" s="58">
        <f>IF(Database!BN149="","",IFERROR(INDEX(BDH(LEFT(Database!BN149,FIND(".",Database!BN149)-1)&amp;" CH Equity","PE_RATIO",Database!$H149,Database!$H149),MATCH(Database!$H149,INDEX(BDH(LEFT(Database!BN149,FIND(".",Database!BN149)-1)&amp;" CH Equity","PE_RATIO",Database!$H149,Database!$H149),0,1),0),2),"run on terminal"))</f>
        <v/>
      </c>
      <c r="R149" s="58">
        <f>IF(Database!BN149="","",IFERROR(INDEX(BDH("HSAHP Index","PX_LAST",Database!$H149,Database!$H149),MATCH(Database!$H149,INDEX(BDH("HSAHP Index","PX_LAST",Database!$H149,Database!$H149),0,1),0),2),"run on terminal"))</f>
        <v/>
      </c>
      <c r="S149" s="58">
        <f>IFERROR(BDP(TEXT(VALUE(Database!$A149),"0")&amp;" HK Equity","PX_TO_SALES_RATIO"),"")</f>
        <v/>
      </c>
      <c r="T149" s="53">
        <f>IF(Database!BN149="","",IFERROR(BDP(LEFT(Database!BN149,FIND(".",Database!BN149)-1)&amp;" CH Equity","CUR_MKT_CAP")*BDP("CNYHKD Curncy","PX_LAST"),"run on terminal"))</f>
        <v/>
      </c>
    </row>
    <row r="150" ht="23" customHeight="1">
      <c r="A150" s="51">
        <f>Database!A150&amp;"  "&amp;Database!B150</f>
        <v/>
      </c>
      <c r="B150" s="43">
        <f>IFERROR(INDEX(BDS(TEXT(VALUE(Database!$A150),"0")&amp;" HK Equity","EQUITY_OFFERINGS","array=t","endcol=1"),MATCH("IPO",BDS(TEXT(VALUE(Database!$A150),"0")&amp;" HK Equity","EQUITY_OFFERINGS","array=t","startcol=2","endcol=2"),0)),"")</f>
        <v/>
      </c>
      <c r="C150" s="260">
        <f>IF($B150="","",IFERROR(BDP($B150&amp;" Action","CP036"),""))</f>
        <v/>
      </c>
      <c r="D150" s="261">
        <f>Database!S150</f>
        <v/>
      </c>
      <c r="E150" s="260">
        <f>IF($B150="","",IFERROR(BDP($B150&amp;" Action","CP037"),""))</f>
        <v/>
      </c>
      <c r="F150" s="261">
        <f>Database!T150</f>
        <v/>
      </c>
      <c r="G150" s="260">
        <f>IF($B150="","",IFERROR(BDP($B150&amp;" Action","GREENSHOE_FACILITY"),""))</f>
        <v/>
      </c>
      <c r="H150" s="260">
        <f>IF($B150="","",IFERROR(BDP($B150&amp;" Action","OFFERING_GREENSHOE_SHARES_EX"),""))</f>
        <v/>
      </c>
      <c r="I150" s="51">
        <f>Database!AE150</f>
        <v/>
      </c>
      <c r="J150" s="58">
        <f>IFERROR(BDP(TEXT(VALUE(Database!$A150),"0")&amp;" HK Equity","PE_RATIO"),"")</f>
        <v/>
      </c>
      <c r="K150" s="43">
        <f>IFERROR(BDP(TEXT(VALUE(Database!$A150),"0")&amp;" HK Equity","A/H_SHARE_CONVERSION"),"")</f>
        <v/>
      </c>
      <c r="L150" s="51">
        <f>IF(Database!BN150="","(none found)",Database!BN150)</f>
        <v/>
      </c>
      <c r="M150" s="53">
        <f>IFERROR(INDEX(BDH(TEXT(VALUE(Database!$A150),"0")&amp;" HK Equity","CUR_MKT_CAP",Database!$H150,Database!$H150),MATCH(Database!$H150,INDEX(BDH(TEXT(VALUE(Database!$A150),"0")&amp;" HK Equity","CUR_MKT_CAP",Database!$H150,Database!$H150),0,1),0),2),"run on terminal")</f>
        <v/>
      </c>
      <c r="N150" s="213">
        <f>Database!Q150</f>
        <v/>
      </c>
      <c r="O150" s="58">
        <f>IFERROR(INDEX(BDH(TEXT(VALUE(Database!$A150),"0")&amp;" HK Equity","PE_RATIO",Database!$H150,Database!$H150),MATCH(Database!$H150,INDEX(BDH(TEXT(VALUE(Database!$A150),"0")&amp;" HK Equity","PE_RATIO",Database!$H150,Database!$H150),0,1),0),2),"run on terminal")</f>
        <v/>
      </c>
      <c r="P150" s="251">
        <f>IF(Database!BH150="","(n/m or not derivable)",Database!BH150)</f>
        <v/>
      </c>
      <c r="Q150" s="58">
        <f>IF(Database!BN150="","",IFERROR(INDEX(BDH(LEFT(Database!BN150,FIND(".",Database!BN150)-1)&amp;" CH Equity","PE_RATIO",Database!$H150,Database!$H150),MATCH(Database!$H150,INDEX(BDH(LEFT(Database!BN150,FIND(".",Database!BN150)-1)&amp;" CH Equity","PE_RATIO",Database!$H150,Database!$H150),0,1),0),2),"run on terminal"))</f>
        <v/>
      </c>
      <c r="R150" s="58">
        <f>IF(Database!BN150="","",IFERROR(INDEX(BDH("HSAHP Index","PX_LAST",Database!$H150,Database!$H150),MATCH(Database!$H150,INDEX(BDH("HSAHP Index","PX_LAST",Database!$H150,Database!$H150),0,1),0),2),"run on terminal"))</f>
        <v/>
      </c>
      <c r="S150" s="58">
        <f>IFERROR(BDP(TEXT(VALUE(Database!$A150),"0")&amp;" HK Equity","PX_TO_SALES_RATIO"),"")</f>
        <v/>
      </c>
      <c r="T150" s="53">
        <f>IF(Database!BN150="","",IFERROR(BDP(LEFT(Database!BN150,FIND(".",Database!BN150)-1)&amp;" CH Equity","CUR_MKT_CAP")*BDP("CNYHKD Curncy","PX_LAST"),"run on terminal"))</f>
        <v/>
      </c>
    </row>
    <row r="151" ht="23" customHeight="1">
      <c r="A151" s="51">
        <f>Database!A151&amp;"  "&amp;Database!B151</f>
        <v/>
      </c>
      <c r="B151" s="43">
        <f>IFERROR(INDEX(BDS(TEXT(VALUE(Database!$A151),"0")&amp;" HK Equity","EQUITY_OFFERINGS","array=t","endcol=1"),MATCH("IPO",BDS(TEXT(VALUE(Database!$A151),"0")&amp;" HK Equity","EQUITY_OFFERINGS","array=t","startcol=2","endcol=2"),0)),"")</f>
        <v/>
      </c>
      <c r="C151" s="260">
        <f>IF($B151="","",IFERROR(BDP($B151&amp;" Action","CP036"),""))</f>
        <v/>
      </c>
      <c r="D151" s="261">
        <f>Database!S151</f>
        <v/>
      </c>
      <c r="E151" s="260">
        <f>IF($B151="","",IFERROR(BDP($B151&amp;" Action","CP037"),""))</f>
        <v/>
      </c>
      <c r="F151" s="261">
        <f>Database!T151</f>
        <v/>
      </c>
      <c r="G151" s="260">
        <f>IF($B151="","",IFERROR(BDP($B151&amp;" Action","GREENSHOE_FACILITY"),""))</f>
        <v/>
      </c>
      <c r="H151" s="260">
        <f>IF($B151="","",IFERROR(BDP($B151&amp;" Action","OFFERING_GREENSHOE_SHARES_EX"),""))</f>
        <v/>
      </c>
      <c r="I151" s="51">
        <f>Database!AE151</f>
        <v/>
      </c>
      <c r="J151" s="58">
        <f>IFERROR(BDP(TEXT(VALUE(Database!$A151),"0")&amp;" HK Equity","PE_RATIO"),"")</f>
        <v/>
      </c>
      <c r="K151" s="43">
        <f>IFERROR(BDP(TEXT(VALUE(Database!$A151),"0")&amp;" HK Equity","A/H_SHARE_CONVERSION"),"")</f>
        <v/>
      </c>
      <c r="L151" s="51">
        <f>IF(Database!BN151="","(none found)",Database!BN151)</f>
        <v/>
      </c>
      <c r="M151" s="53">
        <f>IFERROR(INDEX(BDH(TEXT(VALUE(Database!$A151),"0")&amp;" HK Equity","CUR_MKT_CAP",Database!$H151,Database!$H151),MATCH(Database!$H151,INDEX(BDH(TEXT(VALUE(Database!$A151),"0")&amp;" HK Equity","CUR_MKT_CAP",Database!$H151,Database!$H151),0,1),0),2),"run on terminal")</f>
        <v/>
      </c>
      <c r="N151" s="213">
        <f>Database!Q151</f>
        <v/>
      </c>
      <c r="O151" s="58">
        <f>IFERROR(INDEX(BDH(TEXT(VALUE(Database!$A151),"0")&amp;" HK Equity","PE_RATIO",Database!$H151,Database!$H151),MATCH(Database!$H151,INDEX(BDH(TEXT(VALUE(Database!$A151),"0")&amp;" HK Equity","PE_RATIO",Database!$H151,Database!$H151),0,1),0),2),"run on terminal")</f>
        <v/>
      </c>
      <c r="P151" s="251">
        <f>IF(Database!BH151="","(n/m or not derivable)",Database!BH151)</f>
        <v/>
      </c>
      <c r="Q151" s="58">
        <f>IF(Database!BN151="","",IFERROR(INDEX(BDH(LEFT(Database!BN151,FIND(".",Database!BN151)-1)&amp;" CH Equity","PE_RATIO",Database!$H151,Database!$H151),MATCH(Database!$H151,INDEX(BDH(LEFT(Database!BN151,FIND(".",Database!BN151)-1)&amp;" CH Equity","PE_RATIO",Database!$H151,Database!$H151),0,1),0),2),"run on terminal"))</f>
        <v/>
      </c>
      <c r="R151" s="58">
        <f>IF(Database!BN151="","",IFERROR(INDEX(BDH("HSAHP Index","PX_LAST",Database!$H151,Database!$H151),MATCH(Database!$H151,INDEX(BDH("HSAHP Index","PX_LAST",Database!$H151,Database!$H151),0,1),0),2),"run on terminal"))</f>
        <v/>
      </c>
      <c r="S151" s="58">
        <f>IFERROR(BDP(TEXT(VALUE(Database!$A151),"0")&amp;" HK Equity","PX_TO_SALES_RATIO"),"")</f>
        <v/>
      </c>
      <c r="T151" s="53">
        <f>IF(Database!BN151="","",IFERROR(BDP(LEFT(Database!BN151,FIND(".",Database!BN151)-1)&amp;" CH Equity","CUR_MKT_CAP")*BDP("CNYHKD Curncy","PX_LAST"),"run on terminal"))</f>
        <v/>
      </c>
    </row>
    <row r="152" ht="23" customHeight="1">
      <c r="A152" s="51">
        <f>Database!A152&amp;"  "&amp;Database!B152</f>
        <v/>
      </c>
      <c r="B152" s="43">
        <f>IFERROR(INDEX(BDS(TEXT(VALUE(Database!$A152),"0")&amp;" HK Equity","EQUITY_OFFERINGS","array=t","endcol=1"),MATCH("IPO",BDS(TEXT(VALUE(Database!$A152),"0")&amp;" HK Equity","EQUITY_OFFERINGS","array=t","startcol=2","endcol=2"),0)),"")</f>
        <v/>
      </c>
      <c r="C152" s="260">
        <f>IF($B152="","",IFERROR(BDP($B152&amp;" Action","CP036"),""))</f>
        <v/>
      </c>
      <c r="D152" s="261">
        <f>Database!S152</f>
        <v/>
      </c>
      <c r="E152" s="260">
        <f>IF($B152="","",IFERROR(BDP($B152&amp;" Action","CP037"),""))</f>
        <v/>
      </c>
      <c r="F152" s="261">
        <f>Database!T152</f>
        <v/>
      </c>
      <c r="G152" s="260">
        <f>IF($B152="","",IFERROR(BDP($B152&amp;" Action","GREENSHOE_FACILITY"),""))</f>
        <v/>
      </c>
      <c r="H152" s="260">
        <f>IF($B152="","",IFERROR(BDP($B152&amp;" Action","OFFERING_GREENSHOE_SHARES_EX"),""))</f>
        <v/>
      </c>
      <c r="I152" s="51">
        <f>Database!AE152</f>
        <v/>
      </c>
      <c r="J152" s="58">
        <f>IFERROR(BDP(TEXT(VALUE(Database!$A152),"0")&amp;" HK Equity","PE_RATIO"),"")</f>
        <v/>
      </c>
      <c r="K152" s="43">
        <f>IFERROR(BDP(TEXT(VALUE(Database!$A152),"0")&amp;" HK Equity","A/H_SHARE_CONVERSION"),"")</f>
        <v/>
      </c>
      <c r="L152" s="51">
        <f>IF(Database!BN152="","(none found)",Database!BN152)</f>
        <v/>
      </c>
      <c r="M152" s="53">
        <f>IFERROR(INDEX(BDH(TEXT(VALUE(Database!$A152),"0")&amp;" HK Equity","CUR_MKT_CAP",Database!$H152,Database!$H152),MATCH(Database!$H152,INDEX(BDH(TEXT(VALUE(Database!$A152),"0")&amp;" HK Equity","CUR_MKT_CAP",Database!$H152,Database!$H152),0,1),0),2),"run on terminal")</f>
        <v/>
      </c>
      <c r="N152" s="213">
        <f>Database!Q152</f>
        <v/>
      </c>
      <c r="O152" s="58">
        <f>IFERROR(INDEX(BDH(TEXT(VALUE(Database!$A152),"0")&amp;" HK Equity","PE_RATIO",Database!$H152,Database!$H152),MATCH(Database!$H152,INDEX(BDH(TEXT(VALUE(Database!$A152),"0")&amp;" HK Equity","PE_RATIO",Database!$H152,Database!$H152),0,1),0),2),"run on terminal")</f>
        <v/>
      </c>
      <c r="P152" s="251">
        <f>IF(Database!BH152="","(n/m or not derivable)",Database!BH152)</f>
        <v/>
      </c>
      <c r="Q152" s="58">
        <f>IF(Database!BN152="","",IFERROR(INDEX(BDH(LEFT(Database!BN152,FIND(".",Database!BN152)-1)&amp;" CH Equity","PE_RATIO",Database!$H152,Database!$H152),MATCH(Database!$H152,INDEX(BDH(LEFT(Database!BN152,FIND(".",Database!BN152)-1)&amp;" CH Equity","PE_RATIO",Database!$H152,Database!$H152),0,1),0),2),"run on terminal"))</f>
        <v/>
      </c>
      <c r="R152" s="58">
        <f>IF(Database!BN152="","",IFERROR(INDEX(BDH("HSAHP Index","PX_LAST",Database!$H152,Database!$H152),MATCH(Database!$H152,INDEX(BDH("HSAHP Index","PX_LAST",Database!$H152,Database!$H152),0,1),0),2),"run on terminal"))</f>
        <v/>
      </c>
      <c r="S152" s="58">
        <f>IFERROR(BDP(TEXT(VALUE(Database!$A152),"0")&amp;" HK Equity","PX_TO_SALES_RATIO"),"")</f>
        <v/>
      </c>
      <c r="T152" s="53">
        <f>IF(Database!BN152="","",IFERROR(BDP(LEFT(Database!BN152,FIND(".",Database!BN152)-1)&amp;" CH Equity","CUR_MKT_CAP")*BDP("CNYHKD Curncy","PX_LAST"),"run on terminal"))</f>
        <v/>
      </c>
    </row>
    <row r="153" ht="23" customHeight="1">
      <c r="A153" s="51">
        <f>Database!A153&amp;"  "&amp;Database!B153</f>
        <v/>
      </c>
      <c r="B153" s="43">
        <f>IFERROR(INDEX(BDS(TEXT(VALUE(Database!$A153),"0")&amp;" HK Equity","EQUITY_OFFERINGS","array=t","endcol=1"),MATCH("IPO",BDS(TEXT(VALUE(Database!$A153),"0")&amp;" HK Equity","EQUITY_OFFERINGS","array=t","startcol=2","endcol=2"),0)),"")</f>
        <v/>
      </c>
      <c r="C153" s="260">
        <f>IF($B153="","",IFERROR(BDP($B153&amp;" Action","CP036"),""))</f>
        <v/>
      </c>
      <c r="D153" s="261">
        <f>Database!S153</f>
        <v/>
      </c>
      <c r="E153" s="260">
        <f>IF($B153="","",IFERROR(BDP($B153&amp;" Action","CP037"),""))</f>
        <v/>
      </c>
      <c r="F153" s="261">
        <f>Database!T153</f>
        <v/>
      </c>
      <c r="G153" s="260">
        <f>IF($B153="","",IFERROR(BDP($B153&amp;" Action","GREENSHOE_FACILITY"),""))</f>
        <v/>
      </c>
      <c r="H153" s="260">
        <f>IF($B153="","",IFERROR(BDP($B153&amp;" Action","OFFERING_GREENSHOE_SHARES_EX"),""))</f>
        <v/>
      </c>
      <c r="I153" s="51">
        <f>Database!AE153</f>
        <v/>
      </c>
      <c r="J153" s="58">
        <f>IFERROR(BDP(TEXT(VALUE(Database!$A153),"0")&amp;" HK Equity","PE_RATIO"),"")</f>
        <v/>
      </c>
      <c r="K153" s="43">
        <f>IFERROR(BDP(TEXT(VALUE(Database!$A153),"0")&amp;" HK Equity","A/H_SHARE_CONVERSION"),"")</f>
        <v/>
      </c>
      <c r="L153" s="51">
        <f>IF(Database!BN153="","(none found)",Database!BN153)</f>
        <v/>
      </c>
      <c r="M153" s="53">
        <f>IFERROR(INDEX(BDH(TEXT(VALUE(Database!$A153),"0")&amp;" HK Equity","CUR_MKT_CAP",Database!$H153,Database!$H153),MATCH(Database!$H153,INDEX(BDH(TEXT(VALUE(Database!$A153),"0")&amp;" HK Equity","CUR_MKT_CAP",Database!$H153,Database!$H153),0,1),0),2),"run on terminal")</f>
        <v/>
      </c>
      <c r="N153" s="213">
        <f>Database!Q153</f>
        <v/>
      </c>
      <c r="O153" s="58">
        <f>IFERROR(INDEX(BDH(TEXT(VALUE(Database!$A153),"0")&amp;" HK Equity","PE_RATIO",Database!$H153,Database!$H153),MATCH(Database!$H153,INDEX(BDH(TEXT(VALUE(Database!$A153),"0")&amp;" HK Equity","PE_RATIO",Database!$H153,Database!$H153),0,1),0),2),"run on terminal")</f>
        <v/>
      </c>
      <c r="P153" s="251">
        <f>IF(Database!BH153="","(n/m or not derivable)",Database!BH153)</f>
        <v/>
      </c>
      <c r="Q153" s="58">
        <f>IF(Database!BN153="","",IFERROR(INDEX(BDH(LEFT(Database!BN153,FIND(".",Database!BN153)-1)&amp;" CH Equity","PE_RATIO",Database!$H153,Database!$H153),MATCH(Database!$H153,INDEX(BDH(LEFT(Database!BN153,FIND(".",Database!BN153)-1)&amp;" CH Equity","PE_RATIO",Database!$H153,Database!$H153),0,1),0),2),"run on terminal"))</f>
        <v/>
      </c>
      <c r="R153" s="58">
        <f>IF(Database!BN153="","",IFERROR(INDEX(BDH("HSAHP Index","PX_LAST",Database!$H153,Database!$H153),MATCH(Database!$H153,INDEX(BDH("HSAHP Index","PX_LAST",Database!$H153,Database!$H153),0,1),0),2),"run on terminal"))</f>
        <v/>
      </c>
      <c r="S153" s="58">
        <f>IFERROR(BDP(TEXT(VALUE(Database!$A153),"0")&amp;" HK Equity","PX_TO_SALES_RATIO"),"")</f>
        <v/>
      </c>
      <c r="T153" s="53">
        <f>IF(Database!BN153="","",IFERROR(BDP(LEFT(Database!BN153,FIND(".",Database!BN153)-1)&amp;" CH Equity","CUR_MKT_CAP")*BDP("CNYHKD Curncy","PX_LAST"),"run on terminal"))</f>
        <v/>
      </c>
    </row>
    <row r="154" ht="23" customHeight="1">
      <c r="A154" s="51">
        <f>Database!A154&amp;"  "&amp;Database!B154</f>
        <v/>
      </c>
      <c r="B154" s="43">
        <f>IFERROR(INDEX(BDS(TEXT(VALUE(Database!$A154),"0")&amp;" HK Equity","EQUITY_OFFERINGS","array=t","endcol=1"),MATCH("IPO",BDS(TEXT(VALUE(Database!$A154),"0")&amp;" HK Equity","EQUITY_OFFERINGS","array=t","startcol=2","endcol=2"),0)),"")</f>
        <v/>
      </c>
      <c r="C154" s="260">
        <f>IF($B154="","",IFERROR(BDP($B154&amp;" Action","CP036"),""))</f>
        <v/>
      </c>
      <c r="D154" s="261">
        <f>Database!S154</f>
        <v/>
      </c>
      <c r="E154" s="260">
        <f>IF($B154="","",IFERROR(BDP($B154&amp;" Action","CP037"),""))</f>
        <v/>
      </c>
      <c r="F154" s="261">
        <f>Database!T154</f>
        <v/>
      </c>
      <c r="G154" s="260">
        <f>IF($B154="","",IFERROR(BDP($B154&amp;" Action","GREENSHOE_FACILITY"),""))</f>
        <v/>
      </c>
      <c r="H154" s="260">
        <f>IF($B154="","",IFERROR(BDP($B154&amp;" Action","OFFERING_GREENSHOE_SHARES_EX"),""))</f>
        <v/>
      </c>
      <c r="I154" s="51">
        <f>Database!AE154</f>
        <v/>
      </c>
      <c r="J154" s="58">
        <f>IFERROR(BDP(TEXT(VALUE(Database!$A154),"0")&amp;" HK Equity","PE_RATIO"),"")</f>
        <v/>
      </c>
      <c r="K154" s="43">
        <f>IFERROR(BDP(TEXT(VALUE(Database!$A154),"0")&amp;" HK Equity","A/H_SHARE_CONVERSION"),"")</f>
        <v/>
      </c>
      <c r="L154" s="51">
        <f>IF(Database!BN154="","(none found)",Database!BN154)</f>
        <v/>
      </c>
      <c r="M154" s="53">
        <f>IFERROR(INDEX(BDH(TEXT(VALUE(Database!$A154),"0")&amp;" HK Equity","CUR_MKT_CAP",Database!$H154,Database!$H154),MATCH(Database!$H154,INDEX(BDH(TEXT(VALUE(Database!$A154),"0")&amp;" HK Equity","CUR_MKT_CAP",Database!$H154,Database!$H154),0,1),0),2),"run on terminal")</f>
        <v/>
      </c>
      <c r="N154" s="213">
        <f>Database!Q154</f>
        <v/>
      </c>
      <c r="O154" s="58">
        <f>IFERROR(INDEX(BDH(TEXT(VALUE(Database!$A154),"0")&amp;" HK Equity","PE_RATIO",Database!$H154,Database!$H154),MATCH(Database!$H154,INDEX(BDH(TEXT(VALUE(Database!$A154),"0")&amp;" HK Equity","PE_RATIO",Database!$H154,Database!$H154),0,1),0),2),"run on terminal")</f>
        <v/>
      </c>
      <c r="P154" s="251">
        <f>IF(Database!BH154="","(n/m or not derivable)",Database!BH154)</f>
        <v/>
      </c>
      <c r="Q154" s="58">
        <f>IF(Database!BN154="","",IFERROR(INDEX(BDH(LEFT(Database!BN154,FIND(".",Database!BN154)-1)&amp;" CH Equity","PE_RATIO",Database!$H154,Database!$H154),MATCH(Database!$H154,INDEX(BDH(LEFT(Database!BN154,FIND(".",Database!BN154)-1)&amp;" CH Equity","PE_RATIO",Database!$H154,Database!$H154),0,1),0),2),"run on terminal"))</f>
        <v/>
      </c>
      <c r="R154" s="58">
        <f>IF(Database!BN154="","",IFERROR(INDEX(BDH("HSAHP Index","PX_LAST",Database!$H154,Database!$H154),MATCH(Database!$H154,INDEX(BDH("HSAHP Index","PX_LAST",Database!$H154,Database!$H154),0,1),0),2),"run on terminal"))</f>
        <v/>
      </c>
      <c r="S154" s="58">
        <f>IFERROR(BDP(TEXT(VALUE(Database!$A154),"0")&amp;" HK Equity","PX_TO_SALES_RATIO"),"")</f>
        <v/>
      </c>
      <c r="T154" s="53">
        <f>IF(Database!BN154="","",IFERROR(BDP(LEFT(Database!BN154,FIND(".",Database!BN154)-1)&amp;" CH Equity","CUR_MKT_CAP")*BDP("CNYHKD Curncy","PX_LAST"),"run on terminal"))</f>
        <v/>
      </c>
    </row>
    <row r="155" ht="23" customHeight="1">
      <c r="A155" s="51">
        <f>Database!A155&amp;"  "&amp;Database!B155</f>
        <v/>
      </c>
      <c r="B155" s="43">
        <f>IFERROR(INDEX(BDS(TEXT(VALUE(Database!$A155),"0")&amp;" HK Equity","EQUITY_OFFERINGS","array=t","endcol=1"),MATCH("IPO",BDS(TEXT(VALUE(Database!$A155),"0")&amp;" HK Equity","EQUITY_OFFERINGS","array=t","startcol=2","endcol=2"),0)),"")</f>
        <v/>
      </c>
      <c r="C155" s="260">
        <f>IF($B155="","",IFERROR(BDP($B155&amp;" Action","CP036"),""))</f>
        <v/>
      </c>
      <c r="D155" s="261">
        <f>Database!S155</f>
        <v/>
      </c>
      <c r="E155" s="260">
        <f>IF($B155="","",IFERROR(BDP($B155&amp;" Action","CP037"),""))</f>
        <v/>
      </c>
      <c r="F155" s="261">
        <f>Database!T155</f>
        <v/>
      </c>
      <c r="G155" s="260">
        <f>IF($B155="","",IFERROR(BDP($B155&amp;" Action","GREENSHOE_FACILITY"),""))</f>
        <v/>
      </c>
      <c r="H155" s="260">
        <f>IF($B155="","",IFERROR(BDP($B155&amp;" Action","OFFERING_GREENSHOE_SHARES_EX"),""))</f>
        <v/>
      </c>
      <c r="I155" s="51">
        <f>Database!AE155</f>
        <v/>
      </c>
      <c r="J155" s="58">
        <f>IFERROR(BDP(TEXT(VALUE(Database!$A155),"0")&amp;" HK Equity","PE_RATIO"),"")</f>
        <v/>
      </c>
      <c r="K155" s="43">
        <f>IFERROR(BDP(TEXT(VALUE(Database!$A155),"0")&amp;" HK Equity","A/H_SHARE_CONVERSION"),"")</f>
        <v/>
      </c>
      <c r="L155" s="51">
        <f>IF(Database!BN155="","(none found)",Database!BN155)</f>
        <v/>
      </c>
      <c r="M155" s="53">
        <f>IFERROR(INDEX(BDH(TEXT(VALUE(Database!$A155),"0")&amp;" HK Equity","CUR_MKT_CAP",Database!$H155,Database!$H155),MATCH(Database!$H155,INDEX(BDH(TEXT(VALUE(Database!$A155),"0")&amp;" HK Equity","CUR_MKT_CAP",Database!$H155,Database!$H155),0,1),0),2),"run on terminal")</f>
        <v/>
      </c>
      <c r="N155" s="213">
        <f>Database!Q155</f>
        <v/>
      </c>
      <c r="O155" s="58">
        <f>IFERROR(INDEX(BDH(TEXT(VALUE(Database!$A155),"0")&amp;" HK Equity","PE_RATIO",Database!$H155,Database!$H155),MATCH(Database!$H155,INDEX(BDH(TEXT(VALUE(Database!$A155),"0")&amp;" HK Equity","PE_RATIO",Database!$H155,Database!$H155),0,1),0),2),"run on terminal")</f>
        <v/>
      </c>
      <c r="P155" s="251">
        <f>IF(Database!BH155="","(n/m or not derivable)",Database!BH155)</f>
        <v/>
      </c>
      <c r="Q155" s="58">
        <f>IF(Database!BN155="","",IFERROR(INDEX(BDH(LEFT(Database!BN155,FIND(".",Database!BN155)-1)&amp;" CH Equity","PE_RATIO",Database!$H155,Database!$H155),MATCH(Database!$H155,INDEX(BDH(LEFT(Database!BN155,FIND(".",Database!BN155)-1)&amp;" CH Equity","PE_RATIO",Database!$H155,Database!$H155),0,1),0),2),"run on terminal"))</f>
        <v/>
      </c>
      <c r="R155" s="58">
        <f>IF(Database!BN155="","",IFERROR(INDEX(BDH("HSAHP Index","PX_LAST",Database!$H155,Database!$H155),MATCH(Database!$H155,INDEX(BDH("HSAHP Index","PX_LAST",Database!$H155,Database!$H155),0,1),0),2),"run on terminal"))</f>
        <v/>
      </c>
      <c r="S155" s="58">
        <f>IFERROR(BDP(TEXT(VALUE(Database!$A155),"0")&amp;" HK Equity","PX_TO_SALES_RATIO"),"")</f>
        <v/>
      </c>
      <c r="T155" s="53">
        <f>IF(Database!BN155="","",IFERROR(BDP(LEFT(Database!BN155,FIND(".",Database!BN155)-1)&amp;" CH Equity","CUR_MKT_CAP")*BDP("CNYHKD Curncy","PX_LAST"),"run on terminal"))</f>
        <v/>
      </c>
    </row>
    <row r="156" ht="23" customHeight="1">
      <c r="A156" s="51">
        <f>Database!A156&amp;"  "&amp;Database!B156</f>
        <v/>
      </c>
      <c r="B156" s="43">
        <f>IFERROR(INDEX(BDS(TEXT(VALUE(Database!$A156),"0")&amp;" HK Equity","EQUITY_OFFERINGS","array=t","endcol=1"),MATCH("IPO",BDS(TEXT(VALUE(Database!$A156),"0")&amp;" HK Equity","EQUITY_OFFERINGS","array=t","startcol=2","endcol=2"),0)),"")</f>
        <v/>
      </c>
      <c r="C156" s="260">
        <f>IF($B156="","",IFERROR(BDP($B156&amp;" Action","CP036"),""))</f>
        <v/>
      </c>
      <c r="D156" s="261">
        <f>Database!S156</f>
        <v/>
      </c>
      <c r="E156" s="260">
        <f>IF($B156="","",IFERROR(BDP($B156&amp;" Action","CP037"),""))</f>
        <v/>
      </c>
      <c r="F156" s="261">
        <f>Database!T156</f>
        <v/>
      </c>
      <c r="G156" s="260">
        <f>IF($B156="","",IFERROR(BDP($B156&amp;" Action","GREENSHOE_FACILITY"),""))</f>
        <v/>
      </c>
      <c r="H156" s="260">
        <f>IF($B156="","",IFERROR(BDP($B156&amp;" Action","OFFERING_GREENSHOE_SHARES_EX"),""))</f>
        <v/>
      </c>
      <c r="I156" s="51">
        <f>Database!AE156</f>
        <v/>
      </c>
      <c r="J156" s="58">
        <f>IFERROR(BDP(TEXT(VALUE(Database!$A156),"0")&amp;" HK Equity","PE_RATIO"),"")</f>
        <v/>
      </c>
      <c r="K156" s="43">
        <f>IFERROR(BDP(TEXT(VALUE(Database!$A156),"0")&amp;" HK Equity","A/H_SHARE_CONVERSION"),"")</f>
        <v/>
      </c>
      <c r="L156" s="51">
        <f>IF(Database!BN156="","(none found)",Database!BN156)</f>
        <v/>
      </c>
      <c r="M156" s="53">
        <f>IFERROR(INDEX(BDH(TEXT(VALUE(Database!$A156),"0")&amp;" HK Equity","CUR_MKT_CAP",Database!$H156,Database!$H156),MATCH(Database!$H156,INDEX(BDH(TEXT(VALUE(Database!$A156),"0")&amp;" HK Equity","CUR_MKT_CAP",Database!$H156,Database!$H156),0,1),0),2),"run on terminal")</f>
        <v/>
      </c>
      <c r="N156" s="213">
        <f>Database!Q156</f>
        <v/>
      </c>
      <c r="O156" s="58">
        <f>IFERROR(INDEX(BDH(TEXT(VALUE(Database!$A156),"0")&amp;" HK Equity","PE_RATIO",Database!$H156,Database!$H156),MATCH(Database!$H156,INDEX(BDH(TEXT(VALUE(Database!$A156),"0")&amp;" HK Equity","PE_RATIO",Database!$H156,Database!$H156),0,1),0),2),"run on terminal")</f>
        <v/>
      </c>
      <c r="P156" s="251">
        <f>IF(Database!BH156="","(n/m or not derivable)",Database!BH156)</f>
        <v/>
      </c>
      <c r="Q156" s="58">
        <f>IF(Database!BN156="","",IFERROR(INDEX(BDH(LEFT(Database!BN156,FIND(".",Database!BN156)-1)&amp;" CH Equity","PE_RATIO",Database!$H156,Database!$H156),MATCH(Database!$H156,INDEX(BDH(LEFT(Database!BN156,FIND(".",Database!BN156)-1)&amp;" CH Equity","PE_RATIO",Database!$H156,Database!$H156),0,1),0),2),"run on terminal"))</f>
        <v/>
      </c>
      <c r="R156" s="58">
        <f>IF(Database!BN156="","",IFERROR(INDEX(BDH("HSAHP Index","PX_LAST",Database!$H156,Database!$H156),MATCH(Database!$H156,INDEX(BDH("HSAHP Index","PX_LAST",Database!$H156,Database!$H156),0,1),0),2),"run on terminal"))</f>
        <v/>
      </c>
      <c r="S156" s="58">
        <f>IFERROR(BDP(TEXT(VALUE(Database!$A156),"0")&amp;" HK Equity","PX_TO_SALES_RATIO"),"")</f>
        <v/>
      </c>
      <c r="T156" s="53">
        <f>IF(Database!BN156="","",IFERROR(BDP(LEFT(Database!BN156,FIND(".",Database!BN156)-1)&amp;" CH Equity","CUR_MKT_CAP")*BDP("CNYHKD Curncy","PX_LAST"),"run on terminal"))</f>
        <v/>
      </c>
    </row>
    <row r="157" ht="23" customHeight="1">
      <c r="A157" s="51">
        <f>Database!A157&amp;"  "&amp;Database!B157</f>
        <v/>
      </c>
      <c r="B157" s="43">
        <f>IFERROR(INDEX(BDS(TEXT(VALUE(Database!$A157),"0")&amp;" HK Equity","EQUITY_OFFERINGS","array=t","endcol=1"),MATCH("IPO",BDS(TEXT(VALUE(Database!$A157),"0")&amp;" HK Equity","EQUITY_OFFERINGS","array=t","startcol=2","endcol=2"),0)),"")</f>
        <v/>
      </c>
      <c r="C157" s="260">
        <f>IF($B157="","",IFERROR(BDP($B157&amp;" Action","CP036"),""))</f>
        <v/>
      </c>
      <c r="D157" s="261">
        <f>Database!S157</f>
        <v/>
      </c>
      <c r="E157" s="260">
        <f>IF($B157="","",IFERROR(BDP($B157&amp;" Action","CP037"),""))</f>
        <v/>
      </c>
      <c r="F157" s="261">
        <f>Database!T157</f>
        <v/>
      </c>
      <c r="G157" s="260">
        <f>IF($B157="","",IFERROR(BDP($B157&amp;" Action","GREENSHOE_FACILITY"),""))</f>
        <v/>
      </c>
      <c r="H157" s="260">
        <f>IF($B157="","",IFERROR(BDP($B157&amp;" Action","OFFERING_GREENSHOE_SHARES_EX"),""))</f>
        <v/>
      </c>
      <c r="I157" s="51">
        <f>Database!AE157</f>
        <v/>
      </c>
      <c r="J157" s="58">
        <f>IFERROR(BDP(TEXT(VALUE(Database!$A157),"0")&amp;" HK Equity","PE_RATIO"),"")</f>
        <v/>
      </c>
      <c r="K157" s="43">
        <f>IFERROR(BDP(TEXT(VALUE(Database!$A157),"0")&amp;" HK Equity","A/H_SHARE_CONVERSION"),"")</f>
        <v/>
      </c>
      <c r="L157" s="51">
        <f>IF(Database!BN157="","(none found)",Database!BN157)</f>
        <v/>
      </c>
      <c r="M157" s="53">
        <f>IFERROR(INDEX(BDH(TEXT(VALUE(Database!$A157),"0")&amp;" HK Equity","CUR_MKT_CAP",Database!$H157,Database!$H157),MATCH(Database!$H157,INDEX(BDH(TEXT(VALUE(Database!$A157),"0")&amp;" HK Equity","CUR_MKT_CAP",Database!$H157,Database!$H157),0,1),0),2),"run on terminal")</f>
        <v/>
      </c>
      <c r="N157" s="213">
        <f>Database!Q157</f>
        <v/>
      </c>
      <c r="O157" s="58">
        <f>IFERROR(INDEX(BDH(TEXT(VALUE(Database!$A157),"0")&amp;" HK Equity","PE_RATIO",Database!$H157,Database!$H157),MATCH(Database!$H157,INDEX(BDH(TEXT(VALUE(Database!$A157),"0")&amp;" HK Equity","PE_RATIO",Database!$H157,Database!$H157),0,1),0),2),"run on terminal")</f>
        <v/>
      </c>
      <c r="P157" s="251">
        <f>IF(Database!BH157="","(n/m or not derivable)",Database!BH157)</f>
        <v/>
      </c>
      <c r="Q157" s="58">
        <f>IF(Database!BN157="","",IFERROR(INDEX(BDH(LEFT(Database!BN157,FIND(".",Database!BN157)-1)&amp;" CH Equity","PE_RATIO",Database!$H157,Database!$H157),MATCH(Database!$H157,INDEX(BDH(LEFT(Database!BN157,FIND(".",Database!BN157)-1)&amp;" CH Equity","PE_RATIO",Database!$H157,Database!$H157),0,1),0),2),"run on terminal"))</f>
        <v/>
      </c>
      <c r="R157" s="58">
        <f>IF(Database!BN157="","",IFERROR(INDEX(BDH("HSAHP Index","PX_LAST",Database!$H157,Database!$H157),MATCH(Database!$H157,INDEX(BDH("HSAHP Index","PX_LAST",Database!$H157,Database!$H157),0,1),0),2),"run on terminal"))</f>
        <v/>
      </c>
      <c r="S157" s="58">
        <f>IFERROR(BDP(TEXT(VALUE(Database!$A157),"0")&amp;" HK Equity","PX_TO_SALES_RATIO"),"")</f>
        <v/>
      </c>
      <c r="T157" s="53">
        <f>IF(Database!BN157="","",IFERROR(BDP(LEFT(Database!BN157,FIND(".",Database!BN157)-1)&amp;" CH Equity","CUR_MKT_CAP")*BDP("CNYHKD Curncy","PX_LAST"),"run on terminal"))</f>
        <v/>
      </c>
    </row>
    <row r="158" ht="23" customHeight="1">
      <c r="A158" s="51">
        <f>Database!A158&amp;"  "&amp;Database!B158</f>
        <v/>
      </c>
      <c r="B158" s="43">
        <f>IFERROR(INDEX(BDS(TEXT(VALUE(Database!$A158),"0")&amp;" HK Equity","EQUITY_OFFERINGS","array=t","endcol=1"),MATCH("IPO",BDS(TEXT(VALUE(Database!$A158),"0")&amp;" HK Equity","EQUITY_OFFERINGS","array=t","startcol=2","endcol=2"),0)),"")</f>
        <v/>
      </c>
      <c r="C158" s="260">
        <f>IF($B158="","",IFERROR(BDP($B158&amp;" Action","CP036"),""))</f>
        <v/>
      </c>
      <c r="D158" s="261">
        <f>Database!S158</f>
        <v/>
      </c>
      <c r="E158" s="260">
        <f>IF($B158="","",IFERROR(BDP($B158&amp;" Action","CP037"),""))</f>
        <v/>
      </c>
      <c r="F158" s="261">
        <f>Database!T158</f>
        <v/>
      </c>
      <c r="G158" s="260">
        <f>IF($B158="","",IFERROR(BDP($B158&amp;" Action","GREENSHOE_FACILITY"),""))</f>
        <v/>
      </c>
      <c r="H158" s="260">
        <f>IF($B158="","",IFERROR(BDP($B158&amp;" Action","OFFERING_GREENSHOE_SHARES_EX"),""))</f>
        <v/>
      </c>
      <c r="I158" s="51">
        <f>Database!AE158</f>
        <v/>
      </c>
      <c r="J158" s="58">
        <f>IFERROR(BDP(TEXT(VALUE(Database!$A158),"0")&amp;" HK Equity","PE_RATIO"),"")</f>
        <v/>
      </c>
      <c r="K158" s="43">
        <f>IFERROR(BDP(TEXT(VALUE(Database!$A158),"0")&amp;" HK Equity","A/H_SHARE_CONVERSION"),"")</f>
        <v/>
      </c>
      <c r="L158" s="51">
        <f>IF(Database!BN158="","(none found)",Database!BN158)</f>
        <v/>
      </c>
      <c r="M158" s="53">
        <f>IFERROR(INDEX(BDH(TEXT(VALUE(Database!$A158),"0")&amp;" HK Equity","CUR_MKT_CAP",Database!$H158,Database!$H158),MATCH(Database!$H158,INDEX(BDH(TEXT(VALUE(Database!$A158),"0")&amp;" HK Equity","CUR_MKT_CAP",Database!$H158,Database!$H158),0,1),0),2),"run on terminal")</f>
        <v/>
      </c>
      <c r="N158" s="213">
        <f>Database!Q158</f>
        <v/>
      </c>
      <c r="O158" s="58">
        <f>IFERROR(INDEX(BDH(TEXT(VALUE(Database!$A158),"0")&amp;" HK Equity","PE_RATIO",Database!$H158,Database!$H158),MATCH(Database!$H158,INDEX(BDH(TEXT(VALUE(Database!$A158),"0")&amp;" HK Equity","PE_RATIO",Database!$H158,Database!$H158),0,1),0),2),"run on terminal")</f>
        <v/>
      </c>
      <c r="P158" s="251">
        <f>IF(Database!BH158="","(n/m or not derivable)",Database!BH158)</f>
        <v/>
      </c>
      <c r="Q158" s="58">
        <f>IF(Database!BN158="","",IFERROR(INDEX(BDH(LEFT(Database!BN158,FIND(".",Database!BN158)-1)&amp;" CH Equity","PE_RATIO",Database!$H158,Database!$H158),MATCH(Database!$H158,INDEX(BDH(LEFT(Database!BN158,FIND(".",Database!BN158)-1)&amp;" CH Equity","PE_RATIO",Database!$H158,Database!$H158),0,1),0),2),"run on terminal"))</f>
        <v/>
      </c>
      <c r="R158" s="58">
        <f>IF(Database!BN158="","",IFERROR(INDEX(BDH("HSAHP Index","PX_LAST",Database!$H158,Database!$H158),MATCH(Database!$H158,INDEX(BDH("HSAHP Index","PX_LAST",Database!$H158,Database!$H158),0,1),0),2),"run on terminal"))</f>
        <v/>
      </c>
      <c r="S158" s="58">
        <f>IFERROR(BDP(TEXT(VALUE(Database!$A158),"0")&amp;" HK Equity","PX_TO_SALES_RATIO"),"")</f>
        <v/>
      </c>
      <c r="T158" s="53">
        <f>IF(Database!BN158="","",IFERROR(BDP(LEFT(Database!BN158,FIND(".",Database!BN158)-1)&amp;" CH Equity","CUR_MKT_CAP")*BDP("CNYHKD Curncy","PX_LAST"),"run on terminal"))</f>
        <v/>
      </c>
    </row>
    <row r="159" ht="23" customHeight="1">
      <c r="A159" s="51">
        <f>Database!A159&amp;"  "&amp;Database!B159</f>
        <v/>
      </c>
      <c r="B159" s="43">
        <f>IFERROR(INDEX(BDS(TEXT(VALUE(Database!$A159),"0")&amp;" HK Equity","EQUITY_OFFERINGS","array=t","endcol=1"),MATCH("IPO",BDS(TEXT(VALUE(Database!$A159),"0")&amp;" HK Equity","EQUITY_OFFERINGS","array=t","startcol=2","endcol=2"),0)),"")</f>
        <v/>
      </c>
      <c r="C159" s="260">
        <f>IF($B159="","",IFERROR(BDP($B159&amp;" Action","CP036"),""))</f>
        <v/>
      </c>
      <c r="D159" s="261">
        <f>Database!S159</f>
        <v/>
      </c>
      <c r="E159" s="260">
        <f>IF($B159="","",IFERROR(BDP($B159&amp;" Action","CP037"),""))</f>
        <v/>
      </c>
      <c r="F159" s="261">
        <f>Database!T159</f>
        <v/>
      </c>
      <c r="G159" s="260">
        <f>IF($B159="","",IFERROR(BDP($B159&amp;" Action","GREENSHOE_FACILITY"),""))</f>
        <v/>
      </c>
      <c r="H159" s="260">
        <f>IF($B159="","",IFERROR(BDP($B159&amp;" Action","OFFERING_GREENSHOE_SHARES_EX"),""))</f>
        <v/>
      </c>
      <c r="I159" s="51">
        <f>Database!AE159</f>
        <v/>
      </c>
      <c r="J159" s="58">
        <f>IFERROR(BDP(TEXT(VALUE(Database!$A159),"0")&amp;" HK Equity","PE_RATIO"),"")</f>
        <v/>
      </c>
      <c r="K159" s="43">
        <f>IFERROR(BDP(TEXT(VALUE(Database!$A159),"0")&amp;" HK Equity","A/H_SHARE_CONVERSION"),"")</f>
        <v/>
      </c>
      <c r="L159" s="51">
        <f>IF(Database!BN159="","(none found)",Database!BN159)</f>
        <v/>
      </c>
      <c r="M159" s="53">
        <f>IFERROR(INDEX(BDH(TEXT(VALUE(Database!$A159),"0")&amp;" HK Equity","CUR_MKT_CAP",Database!$H159,Database!$H159),MATCH(Database!$H159,INDEX(BDH(TEXT(VALUE(Database!$A159),"0")&amp;" HK Equity","CUR_MKT_CAP",Database!$H159,Database!$H159),0,1),0),2),"run on terminal")</f>
        <v/>
      </c>
      <c r="N159" s="213">
        <f>Database!Q159</f>
        <v/>
      </c>
      <c r="O159" s="58">
        <f>IFERROR(INDEX(BDH(TEXT(VALUE(Database!$A159),"0")&amp;" HK Equity","PE_RATIO",Database!$H159,Database!$H159),MATCH(Database!$H159,INDEX(BDH(TEXT(VALUE(Database!$A159),"0")&amp;" HK Equity","PE_RATIO",Database!$H159,Database!$H159),0,1),0),2),"run on terminal")</f>
        <v/>
      </c>
      <c r="P159" s="251">
        <f>IF(Database!BH159="","(n/m or not derivable)",Database!BH159)</f>
        <v/>
      </c>
      <c r="Q159" s="58">
        <f>IF(Database!BN159="","",IFERROR(INDEX(BDH(LEFT(Database!BN159,FIND(".",Database!BN159)-1)&amp;" CH Equity","PE_RATIO",Database!$H159,Database!$H159),MATCH(Database!$H159,INDEX(BDH(LEFT(Database!BN159,FIND(".",Database!BN159)-1)&amp;" CH Equity","PE_RATIO",Database!$H159,Database!$H159),0,1),0),2),"run on terminal"))</f>
        <v/>
      </c>
      <c r="R159" s="58">
        <f>IF(Database!BN159="","",IFERROR(INDEX(BDH("HSAHP Index","PX_LAST",Database!$H159,Database!$H159),MATCH(Database!$H159,INDEX(BDH("HSAHP Index","PX_LAST",Database!$H159,Database!$H159),0,1),0),2),"run on terminal"))</f>
        <v/>
      </c>
      <c r="S159" s="58">
        <f>IFERROR(BDP(TEXT(VALUE(Database!$A159),"0")&amp;" HK Equity","PX_TO_SALES_RATIO"),"")</f>
        <v/>
      </c>
      <c r="T159" s="53">
        <f>IF(Database!BN159="","",IFERROR(BDP(LEFT(Database!BN159,FIND(".",Database!BN159)-1)&amp;" CH Equity","CUR_MKT_CAP")*BDP("CNYHKD Curncy","PX_LAST"),"run on terminal"))</f>
        <v/>
      </c>
    </row>
    <row r="160" ht="23" customHeight="1">
      <c r="A160" s="51">
        <f>Database!A160&amp;"  "&amp;Database!B160</f>
        <v/>
      </c>
      <c r="B160" s="43">
        <f>IFERROR(INDEX(BDS(TEXT(VALUE(Database!$A160),"0")&amp;" HK Equity","EQUITY_OFFERINGS","array=t","endcol=1"),MATCH("IPO",BDS(TEXT(VALUE(Database!$A160),"0")&amp;" HK Equity","EQUITY_OFFERINGS","array=t","startcol=2","endcol=2"),0)),"")</f>
        <v/>
      </c>
      <c r="C160" s="260">
        <f>IF($B160="","",IFERROR(BDP($B160&amp;" Action","CP036"),""))</f>
        <v/>
      </c>
      <c r="D160" s="261">
        <f>Database!S160</f>
        <v/>
      </c>
      <c r="E160" s="260">
        <f>IF($B160="","",IFERROR(BDP($B160&amp;" Action","CP037"),""))</f>
        <v/>
      </c>
      <c r="F160" s="261">
        <f>Database!T160</f>
        <v/>
      </c>
      <c r="G160" s="260">
        <f>IF($B160="","",IFERROR(BDP($B160&amp;" Action","GREENSHOE_FACILITY"),""))</f>
        <v/>
      </c>
      <c r="H160" s="260">
        <f>IF($B160="","",IFERROR(BDP($B160&amp;" Action","OFFERING_GREENSHOE_SHARES_EX"),""))</f>
        <v/>
      </c>
      <c r="I160" s="51">
        <f>Database!AE160</f>
        <v/>
      </c>
      <c r="J160" s="58">
        <f>IFERROR(BDP(TEXT(VALUE(Database!$A160),"0")&amp;" HK Equity","PE_RATIO"),"")</f>
        <v/>
      </c>
      <c r="K160" s="43">
        <f>IFERROR(BDP(TEXT(VALUE(Database!$A160),"0")&amp;" HK Equity","A/H_SHARE_CONVERSION"),"")</f>
        <v/>
      </c>
      <c r="L160" s="51">
        <f>IF(Database!BN160="","(none found)",Database!BN160)</f>
        <v/>
      </c>
      <c r="M160" s="53">
        <f>IFERROR(INDEX(BDH(TEXT(VALUE(Database!$A160),"0")&amp;" HK Equity","CUR_MKT_CAP",Database!$H160,Database!$H160),MATCH(Database!$H160,INDEX(BDH(TEXT(VALUE(Database!$A160),"0")&amp;" HK Equity","CUR_MKT_CAP",Database!$H160,Database!$H160),0,1),0),2),"run on terminal")</f>
        <v/>
      </c>
      <c r="N160" s="213">
        <f>Database!Q160</f>
        <v/>
      </c>
      <c r="O160" s="58">
        <f>IFERROR(INDEX(BDH(TEXT(VALUE(Database!$A160),"0")&amp;" HK Equity","PE_RATIO",Database!$H160,Database!$H160),MATCH(Database!$H160,INDEX(BDH(TEXT(VALUE(Database!$A160),"0")&amp;" HK Equity","PE_RATIO",Database!$H160,Database!$H160),0,1),0),2),"run on terminal")</f>
        <v/>
      </c>
      <c r="P160" s="251">
        <f>IF(Database!BH160="","(n/m or not derivable)",Database!BH160)</f>
        <v/>
      </c>
      <c r="Q160" s="58">
        <f>IF(Database!BN160="","",IFERROR(INDEX(BDH(LEFT(Database!BN160,FIND(".",Database!BN160)-1)&amp;" CH Equity","PE_RATIO",Database!$H160,Database!$H160),MATCH(Database!$H160,INDEX(BDH(LEFT(Database!BN160,FIND(".",Database!BN160)-1)&amp;" CH Equity","PE_RATIO",Database!$H160,Database!$H160),0,1),0),2),"run on terminal"))</f>
        <v/>
      </c>
      <c r="R160" s="58">
        <f>IF(Database!BN160="","",IFERROR(INDEX(BDH("HSAHP Index","PX_LAST",Database!$H160,Database!$H160),MATCH(Database!$H160,INDEX(BDH("HSAHP Index","PX_LAST",Database!$H160,Database!$H160),0,1),0),2),"run on terminal"))</f>
        <v/>
      </c>
      <c r="S160" s="58">
        <f>IFERROR(BDP(TEXT(VALUE(Database!$A160),"0")&amp;" HK Equity","PX_TO_SALES_RATIO"),"")</f>
        <v/>
      </c>
      <c r="T160" s="53">
        <f>IF(Database!BN160="","",IFERROR(BDP(LEFT(Database!BN160,FIND(".",Database!BN160)-1)&amp;" CH Equity","CUR_MKT_CAP")*BDP("CNYHKD Curncy","PX_LAST"),"run on terminal"))</f>
        <v/>
      </c>
    </row>
    <row r="161" ht="23" customHeight="1">
      <c r="A161" s="51">
        <f>Database!A161&amp;"  "&amp;Database!B161</f>
        <v/>
      </c>
      <c r="B161" s="43">
        <f>IFERROR(INDEX(BDS(TEXT(VALUE(Database!$A161),"0")&amp;" HK Equity","EQUITY_OFFERINGS","array=t","endcol=1"),MATCH("IPO",BDS(TEXT(VALUE(Database!$A161),"0")&amp;" HK Equity","EQUITY_OFFERINGS","array=t","startcol=2","endcol=2"),0)),"")</f>
        <v/>
      </c>
      <c r="C161" s="260">
        <f>IF($B161="","",IFERROR(BDP($B161&amp;" Action","CP036"),""))</f>
        <v/>
      </c>
      <c r="D161" s="261">
        <f>Database!S161</f>
        <v/>
      </c>
      <c r="E161" s="260">
        <f>IF($B161="","",IFERROR(BDP($B161&amp;" Action","CP037"),""))</f>
        <v/>
      </c>
      <c r="F161" s="261">
        <f>Database!T161</f>
        <v/>
      </c>
      <c r="G161" s="260">
        <f>IF($B161="","",IFERROR(BDP($B161&amp;" Action","GREENSHOE_FACILITY"),""))</f>
        <v/>
      </c>
      <c r="H161" s="260">
        <f>IF($B161="","",IFERROR(BDP($B161&amp;" Action","OFFERING_GREENSHOE_SHARES_EX"),""))</f>
        <v/>
      </c>
      <c r="I161" s="51">
        <f>Database!AE161</f>
        <v/>
      </c>
      <c r="J161" s="58">
        <f>IFERROR(BDP(TEXT(VALUE(Database!$A161),"0")&amp;" HK Equity","PE_RATIO"),"")</f>
        <v/>
      </c>
      <c r="K161" s="43">
        <f>IFERROR(BDP(TEXT(VALUE(Database!$A161),"0")&amp;" HK Equity","A/H_SHARE_CONVERSION"),"")</f>
        <v/>
      </c>
      <c r="L161" s="51">
        <f>IF(Database!BN161="","(none found)",Database!BN161)</f>
        <v/>
      </c>
      <c r="M161" s="53">
        <f>IFERROR(INDEX(BDH(TEXT(VALUE(Database!$A161),"0")&amp;" HK Equity","CUR_MKT_CAP",Database!$H161,Database!$H161),MATCH(Database!$H161,INDEX(BDH(TEXT(VALUE(Database!$A161),"0")&amp;" HK Equity","CUR_MKT_CAP",Database!$H161,Database!$H161),0,1),0),2),"run on terminal")</f>
        <v/>
      </c>
      <c r="N161" s="213">
        <f>Database!Q161</f>
        <v/>
      </c>
      <c r="O161" s="58">
        <f>IFERROR(INDEX(BDH(TEXT(VALUE(Database!$A161),"0")&amp;" HK Equity","PE_RATIO",Database!$H161,Database!$H161),MATCH(Database!$H161,INDEX(BDH(TEXT(VALUE(Database!$A161),"0")&amp;" HK Equity","PE_RATIO",Database!$H161,Database!$H161),0,1),0),2),"run on terminal")</f>
        <v/>
      </c>
      <c r="P161" s="251">
        <f>IF(Database!BH161="","(n/m or not derivable)",Database!BH161)</f>
        <v/>
      </c>
      <c r="Q161" s="58">
        <f>IF(Database!BN161="","",IFERROR(INDEX(BDH(LEFT(Database!BN161,FIND(".",Database!BN161)-1)&amp;" CH Equity","PE_RATIO",Database!$H161,Database!$H161),MATCH(Database!$H161,INDEX(BDH(LEFT(Database!BN161,FIND(".",Database!BN161)-1)&amp;" CH Equity","PE_RATIO",Database!$H161,Database!$H161),0,1),0),2),"run on terminal"))</f>
        <v/>
      </c>
      <c r="R161" s="58">
        <f>IF(Database!BN161="","",IFERROR(INDEX(BDH("HSAHP Index","PX_LAST",Database!$H161,Database!$H161),MATCH(Database!$H161,INDEX(BDH("HSAHP Index","PX_LAST",Database!$H161,Database!$H161),0,1),0),2),"run on terminal"))</f>
        <v/>
      </c>
      <c r="S161" s="58">
        <f>IFERROR(BDP(TEXT(VALUE(Database!$A161),"0")&amp;" HK Equity","PX_TO_SALES_RATIO"),"")</f>
        <v/>
      </c>
      <c r="T161" s="53">
        <f>IF(Database!BN161="","",IFERROR(BDP(LEFT(Database!BN161,FIND(".",Database!BN161)-1)&amp;" CH Equity","CUR_MKT_CAP")*BDP("CNYHKD Curncy","PX_LAST"),"run on terminal"))</f>
        <v/>
      </c>
    </row>
    <row r="162" ht="23" customHeight="1">
      <c r="A162" s="51">
        <f>Database!A162&amp;"  "&amp;Database!B162</f>
        <v/>
      </c>
      <c r="B162" s="43">
        <f>IFERROR(INDEX(BDS(TEXT(VALUE(Database!$A162),"0")&amp;" HK Equity","EQUITY_OFFERINGS","array=t","endcol=1"),MATCH("IPO",BDS(TEXT(VALUE(Database!$A162),"0")&amp;" HK Equity","EQUITY_OFFERINGS","array=t","startcol=2","endcol=2"),0)),"")</f>
        <v/>
      </c>
      <c r="C162" s="260">
        <f>IF($B162="","",IFERROR(BDP($B162&amp;" Action","CP036"),""))</f>
        <v/>
      </c>
      <c r="D162" s="261">
        <f>Database!S162</f>
        <v/>
      </c>
      <c r="E162" s="260">
        <f>IF($B162="","",IFERROR(BDP($B162&amp;" Action","CP037"),""))</f>
        <v/>
      </c>
      <c r="F162" s="261">
        <f>Database!T162</f>
        <v/>
      </c>
      <c r="G162" s="260">
        <f>IF($B162="","",IFERROR(BDP($B162&amp;" Action","GREENSHOE_FACILITY"),""))</f>
        <v/>
      </c>
      <c r="H162" s="260">
        <f>IF($B162="","",IFERROR(BDP($B162&amp;" Action","OFFERING_GREENSHOE_SHARES_EX"),""))</f>
        <v/>
      </c>
      <c r="I162" s="51">
        <f>Database!AE162</f>
        <v/>
      </c>
      <c r="J162" s="58">
        <f>IFERROR(BDP(TEXT(VALUE(Database!$A162),"0")&amp;" HK Equity","PE_RATIO"),"")</f>
        <v/>
      </c>
      <c r="K162" s="43">
        <f>IFERROR(BDP(TEXT(VALUE(Database!$A162),"0")&amp;" HK Equity","A/H_SHARE_CONVERSION"),"")</f>
        <v/>
      </c>
      <c r="L162" s="51">
        <f>IF(Database!BN162="","(none found)",Database!BN162)</f>
        <v/>
      </c>
      <c r="M162" s="53">
        <f>IFERROR(INDEX(BDH(TEXT(VALUE(Database!$A162),"0")&amp;" HK Equity","CUR_MKT_CAP",Database!$H162,Database!$H162),MATCH(Database!$H162,INDEX(BDH(TEXT(VALUE(Database!$A162),"0")&amp;" HK Equity","CUR_MKT_CAP",Database!$H162,Database!$H162),0,1),0),2),"run on terminal")</f>
        <v/>
      </c>
      <c r="N162" s="213">
        <f>Database!Q162</f>
        <v/>
      </c>
      <c r="O162" s="58">
        <f>IFERROR(INDEX(BDH(TEXT(VALUE(Database!$A162),"0")&amp;" HK Equity","PE_RATIO",Database!$H162,Database!$H162),MATCH(Database!$H162,INDEX(BDH(TEXT(VALUE(Database!$A162),"0")&amp;" HK Equity","PE_RATIO",Database!$H162,Database!$H162),0,1),0),2),"run on terminal")</f>
        <v/>
      </c>
      <c r="P162" s="251">
        <f>IF(Database!BH162="","(n/m or not derivable)",Database!BH162)</f>
        <v/>
      </c>
      <c r="Q162" s="58">
        <f>IF(Database!BN162="","",IFERROR(INDEX(BDH(LEFT(Database!BN162,FIND(".",Database!BN162)-1)&amp;" CH Equity","PE_RATIO",Database!$H162,Database!$H162),MATCH(Database!$H162,INDEX(BDH(LEFT(Database!BN162,FIND(".",Database!BN162)-1)&amp;" CH Equity","PE_RATIO",Database!$H162,Database!$H162),0,1),0),2),"run on terminal"))</f>
        <v/>
      </c>
      <c r="R162" s="58">
        <f>IF(Database!BN162="","",IFERROR(INDEX(BDH("HSAHP Index","PX_LAST",Database!$H162,Database!$H162),MATCH(Database!$H162,INDEX(BDH("HSAHP Index","PX_LAST",Database!$H162,Database!$H162),0,1),0),2),"run on terminal"))</f>
        <v/>
      </c>
      <c r="S162" s="58">
        <f>IFERROR(BDP(TEXT(VALUE(Database!$A162),"0")&amp;" HK Equity","PX_TO_SALES_RATIO"),"")</f>
        <v/>
      </c>
      <c r="T162" s="53">
        <f>IF(Database!BN162="","",IFERROR(BDP(LEFT(Database!BN162,FIND(".",Database!BN162)-1)&amp;" CH Equity","CUR_MKT_CAP")*BDP("CNYHKD Curncy","PX_LAST"),"run on terminal"))</f>
        <v/>
      </c>
    </row>
    <row r="163" ht="23" customHeight="1">
      <c r="A163" s="51">
        <f>Database!A163&amp;"  "&amp;Database!B163</f>
        <v/>
      </c>
      <c r="B163" s="43">
        <f>IFERROR(INDEX(BDS(TEXT(VALUE(Database!$A163),"0")&amp;" HK Equity","EQUITY_OFFERINGS","array=t","endcol=1"),MATCH("IPO",BDS(TEXT(VALUE(Database!$A163),"0")&amp;" HK Equity","EQUITY_OFFERINGS","array=t","startcol=2","endcol=2"),0)),"")</f>
        <v/>
      </c>
      <c r="C163" s="260">
        <f>IF($B163="","",IFERROR(BDP($B163&amp;" Action","CP036"),""))</f>
        <v/>
      </c>
      <c r="D163" s="261">
        <f>Database!S163</f>
        <v/>
      </c>
      <c r="E163" s="260">
        <f>IF($B163="","",IFERROR(BDP($B163&amp;" Action","CP037"),""))</f>
        <v/>
      </c>
      <c r="F163" s="261">
        <f>Database!T163</f>
        <v/>
      </c>
      <c r="G163" s="260">
        <f>IF($B163="","",IFERROR(BDP($B163&amp;" Action","GREENSHOE_FACILITY"),""))</f>
        <v/>
      </c>
      <c r="H163" s="260">
        <f>IF($B163="","",IFERROR(BDP($B163&amp;" Action","OFFERING_GREENSHOE_SHARES_EX"),""))</f>
        <v/>
      </c>
      <c r="I163" s="51">
        <f>Database!AE163</f>
        <v/>
      </c>
      <c r="J163" s="58">
        <f>IFERROR(BDP(TEXT(VALUE(Database!$A163),"0")&amp;" HK Equity","PE_RATIO"),"")</f>
        <v/>
      </c>
      <c r="K163" s="43">
        <f>IFERROR(BDP(TEXT(VALUE(Database!$A163),"0")&amp;" HK Equity","A/H_SHARE_CONVERSION"),"")</f>
        <v/>
      </c>
      <c r="L163" s="51">
        <f>IF(Database!BN163="","(none found)",Database!BN163)</f>
        <v/>
      </c>
      <c r="M163" s="53">
        <f>IFERROR(INDEX(BDH(TEXT(VALUE(Database!$A163),"0")&amp;" HK Equity","CUR_MKT_CAP",Database!$H163,Database!$H163),MATCH(Database!$H163,INDEX(BDH(TEXT(VALUE(Database!$A163),"0")&amp;" HK Equity","CUR_MKT_CAP",Database!$H163,Database!$H163),0,1),0),2),"run on terminal")</f>
        <v/>
      </c>
      <c r="N163" s="213">
        <f>Database!Q163</f>
        <v/>
      </c>
      <c r="O163" s="58">
        <f>IFERROR(INDEX(BDH(TEXT(VALUE(Database!$A163),"0")&amp;" HK Equity","PE_RATIO",Database!$H163,Database!$H163),MATCH(Database!$H163,INDEX(BDH(TEXT(VALUE(Database!$A163),"0")&amp;" HK Equity","PE_RATIO",Database!$H163,Database!$H163),0,1),0),2),"run on terminal")</f>
        <v/>
      </c>
      <c r="P163" s="251">
        <f>IF(Database!BH163="","(n/m or not derivable)",Database!BH163)</f>
        <v/>
      </c>
      <c r="Q163" s="58">
        <f>IF(Database!BN163="","",IFERROR(INDEX(BDH(LEFT(Database!BN163,FIND(".",Database!BN163)-1)&amp;" CH Equity","PE_RATIO",Database!$H163,Database!$H163),MATCH(Database!$H163,INDEX(BDH(LEFT(Database!BN163,FIND(".",Database!BN163)-1)&amp;" CH Equity","PE_RATIO",Database!$H163,Database!$H163),0,1),0),2),"run on terminal"))</f>
        <v/>
      </c>
      <c r="R163" s="58">
        <f>IF(Database!BN163="","",IFERROR(INDEX(BDH("HSAHP Index","PX_LAST",Database!$H163,Database!$H163),MATCH(Database!$H163,INDEX(BDH("HSAHP Index","PX_LAST",Database!$H163,Database!$H163),0,1),0),2),"run on terminal"))</f>
        <v/>
      </c>
      <c r="S163" s="58">
        <f>IFERROR(BDP(TEXT(VALUE(Database!$A163),"0")&amp;" HK Equity","PX_TO_SALES_RATIO"),"")</f>
        <v/>
      </c>
      <c r="T163" s="53">
        <f>IF(Database!BN163="","",IFERROR(BDP(LEFT(Database!BN163,FIND(".",Database!BN163)-1)&amp;" CH Equity","CUR_MKT_CAP")*BDP("CNYHKD Curncy","PX_LAST"),"run on terminal"))</f>
        <v/>
      </c>
    </row>
    <row r="164" ht="23" customHeight="1">
      <c r="A164" s="51">
        <f>Database!A164&amp;"  "&amp;Database!B164</f>
        <v/>
      </c>
      <c r="B164" s="43">
        <f>IFERROR(INDEX(BDS(TEXT(VALUE(Database!$A164),"0")&amp;" HK Equity","EQUITY_OFFERINGS","array=t","endcol=1"),MATCH("IPO",BDS(TEXT(VALUE(Database!$A164),"0")&amp;" HK Equity","EQUITY_OFFERINGS","array=t","startcol=2","endcol=2"),0)),"")</f>
        <v/>
      </c>
      <c r="C164" s="260">
        <f>IF($B164="","",IFERROR(BDP($B164&amp;" Action","CP036"),""))</f>
        <v/>
      </c>
      <c r="D164" s="261">
        <f>Database!S164</f>
        <v/>
      </c>
      <c r="E164" s="260">
        <f>IF($B164="","",IFERROR(BDP($B164&amp;" Action","CP037"),""))</f>
        <v/>
      </c>
      <c r="F164" s="261">
        <f>Database!T164</f>
        <v/>
      </c>
      <c r="G164" s="260">
        <f>IF($B164="","",IFERROR(BDP($B164&amp;" Action","GREENSHOE_FACILITY"),""))</f>
        <v/>
      </c>
      <c r="H164" s="260">
        <f>IF($B164="","",IFERROR(BDP($B164&amp;" Action","OFFERING_GREENSHOE_SHARES_EX"),""))</f>
        <v/>
      </c>
      <c r="I164" s="51">
        <f>Database!AE164</f>
        <v/>
      </c>
      <c r="J164" s="58">
        <f>IFERROR(BDP(TEXT(VALUE(Database!$A164),"0")&amp;" HK Equity","PE_RATIO"),"")</f>
        <v/>
      </c>
      <c r="K164" s="43">
        <f>IFERROR(BDP(TEXT(VALUE(Database!$A164),"0")&amp;" HK Equity","A/H_SHARE_CONVERSION"),"")</f>
        <v/>
      </c>
      <c r="L164" s="51">
        <f>IF(Database!BN164="","(none found)",Database!BN164)</f>
        <v/>
      </c>
      <c r="M164" s="53">
        <f>IFERROR(INDEX(BDH(TEXT(VALUE(Database!$A164),"0")&amp;" HK Equity","CUR_MKT_CAP",Database!$H164,Database!$H164),MATCH(Database!$H164,INDEX(BDH(TEXT(VALUE(Database!$A164),"0")&amp;" HK Equity","CUR_MKT_CAP",Database!$H164,Database!$H164),0,1),0),2),"run on terminal")</f>
        <v/>
      </c>
      <c r="N164" s="213">
        <f>Database!Q164</f>
        <v/>
      </c>
      <c r="O164" s="58">
        <f>IFERROR(INDEX(BDH(TEXT(VALUE(Database!$A164),"0")&amp;" HK Equity","PE_RATIO",Database!$H164,Database!$H164),MATCH(Database!$H164,INDEX(BDH(TEXT(VALUE(Database!$A164),"0")&amp;" HK Equity","PE_RATIO",Database!$H164,Database!$H164),0,1),0),2),"run on terminal")</f>
        <v/>
      </c>
      <c r="P164" s="251">
        <f>IF(Database!BH164="","(n/m or not derivable)",Database!BH164)</f>
        <v/>
      </c>
      <c r="Q164" s="58">
        <f>IF(Database!BN164="","",IFERROR(INDEX(BDH(LEFT(Database!BN164,FIND(".",Database!BN164)-1)&amp;" CH Equity","PE_RATIO",Database!$H164,Database!$H164),MATCH(Database!$H164,INDEX(BDH(LEFT(Database!BN164,FIND(".",Database!BN164)-1)&amp;" CH Equity","PE_RATIO",Database!$H164,Database!$H164),0,1),0),2),"run on terminal"))</f>
        <v/>
      </c>
      <c r="R164" s="58">
        <f>IF(Database!BN164="","",IFERROR(INDEX(BDH("HSAHP Index","PX_LAST",Database!$H164,Database!$H164),MATCH(Database!$H164,INDEX(BDH("HSAHP Index","PX_LAST",Database!$H164,Database!$H164),0,1),0),2),"run on terminal"))</f>
        <v/>
      </c>
      <c r="S164" s="58">
        <f>IFERROR(BDP(TEXT(VALUE(Database!$A164),"0")&amp;" HK Equity","PX_TO_SALES_RATIO"),"")</f>
        <v/>
      </c>
      <c r="T164" s="53">
        <f>IF(Database!BN164="","",IFERROR(BDP(LEFT(Database!BN164,FIND(".",Database!BN164)-1)&amp;" CH Equity","CUR_MKT_CAP")*BDP("CNYHKD Curncy","PX_LAST"),"run on terminal"))</f>
        <v/>
      </c>
    </row>
    <row r="165" ht="23" customHeight="1">
      <c r="A165" s="51">
        <f>Database!A165&amp;"  "&amp;Database!B165</f>
        <v/>
      </c>
      <c r="B165" s="43">
        <f>IFERROR(INDEX(BDS(TEXT(VALUE(Database!$A165),"0")&amp;" HK Equity","EQUITY_OFFERINGS","array=t","endcol=1"),MATCH("IPO",BDS(TEXT(VALUE(Database!$A165),"0")&amp;" HK Equity","EQUITY_OFFERINGS","array=t","startcol=2","endcol=2"),0)),"")</f>
        <v/>
      </c>
      <c r="C165" s="260">
        <f>IF($B165="","",IFERROR(BDP($B165&amp;" Action","CP036"),""))</f>
        <v/>
      </c>
      <c r="D165" s="261">
        <f>Database!S165</f>
        <v/>
      </c>
      <c r="E165" s="260">
        <f>IF($B165="","",IFERROR(BDP($B165&amp;" Action","CP037"),""))</f>
        <v/>
      </c>
      <c r="F165" s="261">
        <f>Database!T165</f>
        <v/>
      </c>
      <c r="G165" s="260">
        <f>IF($B165="","",IFERROR(BDP($B165&amp;" Action","GREENSHOE_FACILITY"),""))</f>
        <v/>
      </c>
      <c r="H165" s="260">
        <f>IF($B165="","",IFERROR(BDP($B165&amp;" Action","OFFERING_GREENSHOE_SHARES_EX"),""))</f>
        <v/>
      </c>
      <c r="I165" s="51">
        <f>Database!AE165</f>
        <v/>
      </c>
      <c r="J165" s="58">
        <f>IFERROR(BDP(TEXT(VALUE(Database!$A165),"0")&amp;" HK Equity","PE_RATIO"),"")</f>
        <v/>
      </c>
      <c r="K165" s="43">
        <f>IFERROR(BDP(TEXT(VALUE(Database!$A165),"0")&amp;" HK Equity","A/H_SHARE_CONVERSION"),"")</f>
        <v/>
      </c>
      <c r="L165" s="51">
        <f>IF(Database!BN165="","(none found)",Database!BN165)</f>
        <v/>
      </c>
      <c r="M165" s="53">
        <f>IFERROR(INDEX(BDH(TEXT(VALUE(Database!$A165),"0")&amp;" HK Equity","CUR_MKT_CAP",Database!$H165,Database!$H165),MATCH(Database!$H165,INDEX(BDH(TEXT(VALUE(Database!$A165),"0")&amp;" HK Equity","CUR_MKT_CAP",Database!$H165,Database!$H165),0,1),0),2),"run on terminal")</f>
        <v/>
      </c>
      <c r="N165" s="213">
        <f>Database!Q165</f>
        <v/>
      </c>
      <c r="O165" s="58">
        <f>IFERROR(INDEX(BDH(TEXT(VALUE(Database!$A165),"0")&amp;" HK Equity","PE_RATIO",Database!$H165,Database!$H165),MATCH(Database!$H165,INDEX(BDH(TEXT(VALUE(Database!$A165),"0")&amp;" HK Equity","PE_RATIO",Database!$H165,Database!$H165),0,1),0),2),"run on terminal")</f>
        <v/>
      </c>
      <c r="P165" s="251">
        <f>IF(Database!BH165="","(n/m or not derivable)",Database!BH165)</f>
        <v/>
      </c>
      <c r="Q165" s="58">
        <f>IF(Database!BN165="","",IFERROR(INDEX(BDH(LEFT(Database!BN165,FIND(".",Database!BN165)-1)&amp;" CH Equity","PE_RATIO",Database!$H165,Database!$H165),MATCH(Database!$H165,INDEX(BDH(LEFT(Database!BN165,FIND(".",Database!BN165)-1)&amp;" CH Equity","PE_RATIO",Database!$H165,Database!$H165),0,1),0),2),"run on terminal"))</f>
        <v/>
      </c>
      <c r="R165" s="58">
        <f>IF(Database!BN165="","",IFERROR(INDEX(BDH("HSAHP Index","PX_LAST",Database!$H165,Database!$H165),MATCH(Database!$H165,INDEX(BDH("HSAHP Index","PX_LAST",Database!$H165,Database!$H165),0,1),0),2),"run on terminal"))</f>
        <v/>
      </c>
      <c r="S165" s="58">
        <f>IFERROR(BDP(TEXT(VALUE(Database!$A165),"0")&amp;" HK Equity","PX_TO_SALES_RATIO"),"")</f>
        <v/>
      </c>
      <c r="T165" s="53">
        <f>IF(Database!BN165="","",IFERROR(BDP(LEFT(Database!BN165,FIND(".",Database!BN165)-1)&amp;" CH Equity","CUR_MKT_CAP")*BDP("CNYHKD Curncy","PX_LAST"),"run on terminal"))</f>
        <v/>
      </c>
    </row>
    <row r="166" ht="23" customHeight="1">
      <c r="A166" s="51">
        <f>Database!A166&amp;"  "&amp;Database!B166</f>
        <v/>
      </c>
      <c r="B166" s="43">
        <f>IFERROR(INDEX(BDS(TEXT(VALUE(Database!$A166),"0")&amp;" HK Equity","EQUITY_OFFERINGS","array=t","endcol=1"),MATCH("IPO",BDS(TEXT(VALUE(Database!$A166),"0")&amp;" HK Equity","EQUITY_OFFERINGS","array=t","startcol=2","endcol=2"),0)),"")</f>
        <v/>
      </c>
      <c r="C166" s="260">
        <f>IF($B166="","",IFERROR(BDP($B166&amp;" Action","CP036"),""))</f>
        <v/>
      </c>
      <c r="D166" s="261">
        <f>Database!S166</f>
        <v/>
      </c>
      <c r="E166" s="260">
        <f>IF($B166="","",IFERROR(BDP($B166&amp;" Action","CP037"),""))</f>
        <v/>
      </c>
      <c r="F166" s="261">
        <f>Database!T166</f>
        <v/>
      </c>
      <c r="G166" s="260">
        <f>IF($B166="","",IFERROR(BDP($B166&amp;" Action","GREENSHOE_FACILITY"),""))</f>
        <v/>
      </c>
      <c r="H166" s="260">
        <f>IF($B166="","",IFERROR(BDP($B166&amp;" Action","OFFERING_GREENSHOE_SHARES_EX"),""))</f>
        <v/>
      </c>
      <c r="I166" s="51">
        <f>Database!AE166</f>
        <v/>
      </c>
      <c r="J166" s="58">
        <f>IFERROR(BDP(TEXT(VALUE(Database!$A166),"0")&amp;" HK Equity","PE_RATIO"),"")</f>
        <v/>
      </c>
      <c r="K166" s="43">
        <f>IFERROR(BDP(TEXT(VALUE(Database!$A166),"0")&amp;" HK Equity","A/H_SHARE_CONVERSION"),"")</f>
        <v/>
      </c>
      <c r="L166" s="51">
        <f>IF(Database!BN166="","(none found)",Database!BN166)</f>
        <v/>
      </c>
      <c r="M166" s="53">
        <f>IFERROR(INDEX(BDH(TEXT(VALUE(Database!$A166),"0")&amp;" HK Equity","CUR_MKT_CAP",Database!$H166,Database!$H166),MATCH(Database!$H166,INDEX(BDH(TEXT(VALUE(Database!$A166),"0")&amp;" HK Equity","CUR_MKT_CAP",Database!$H166,Database!$H166),0,1),0),2),"run on terminal")</f>
        <v/>
      </c>
      <c r="N166" s="213">
        <f>Database!Q166</f>
        <v/>
      </c>
      <c r="O166" s="58">
        <f>IFERROR(INDEX(BDH(TEXT(VALUE(Database!$A166),"0")&amp;" HK Equity","PE_RATIO",Database!$H166,Database!$H166),MATCH(Database!$H166,INDEX(BDH(TEXT(VALUE(Database!$A166),"0")&amp;" HK Equity","PE_RATIO",Database!$H166,Database!$H166),0,1),0),2),"run on terminal")</f>
        <v/>
      </c>
      <c r="P166" s="251">
        <f>IF(Database!BH166="","(n/m or not derivable)",Database!BH166)</f>
        <v/>
      </c>
      <c r="Q166" s="58">
        <f>IF(Database!BN166="","",IFERROR(INDEX(BDH(LEFT(Database!BN166,FIND(".",Database!BN166)-1)&amp;" CH Equity","PE_RATIO",Database!$H166,Database!$H166),MATCH(Database!$H166,INDEX(BDH(LEFT(Database!BN166,FIND(".",Database!BN166)-1)&amp;" CH Equity","PE_RATIO",Database!$H166,Database!$H166),0,1),0),2),"run on terminal"))</f>
        <v/>
      </c>
      <c r="R166" s="58">
        <f>IF(Database!BN166="","",IFERROR(INDEX(BDH("HSAHP Index","PX_LAST",Database!$H166,Database!$H166),MATCH(Database!$H166,INDEX(BDH("HSAHP Index","PX_LAST",Database!$H166,Database!$H166),0,1),0),2),"run on terminal"))</f>
        <v/>
      </c>
      <c r="S166" s="58">
        <f>IFERROR(BDP(TEXT(VALUE(Database!$A166),"0")&amp;" HK Equity","PX_TO_SALES_RATIO"),"")</f>
        <v/>
      </c>
      <c r="T166" s="53">
        <f>IF(Database!BN166="","",IFERROR(BDP(LEFT(Database!BN166,FIND(".",Database!BN166)-1)&amp;" CH Equity","CUR_MKT_CAP")*BDP("CNYHKD Curncy","PX_LAST"),"run on terminal"))</f>
        <v/>
      </c>
    </row>
    <row r="167" ht="23" customHeight="1">
      <c r="A167" s="51">
        <f>Database!A167&amp;"  "&amp;Database!B167</f>
        <v/>
      </c>
      <c r="B167" s="43">
        <f>IFERROR(INDEX(BDS(TEXT(VALUE(Database!$A167),"0")&amp;" HK Equity","EQUITY_OFFERINGS","array=t","endcol=1"),MATCH("IPO",BDS(TEXT(VALUE(Database!$A167),"0")&amp;" HK Equity","EQUITY_OFFERINGS","array=t","startcol=2","endcol=2"),0)),"")</f>
        <v/>
      </c>
      <c r="C167" s="260">
        <f>IF($B167="","",IFERROR(BDP($B167&amp;" Action","CP036"),""))</f>
        <v/>
      </c>
      <c r="D167" s="261">
        <f>Database!S167</f>
        <v/>
      </c>
      <c r="E167" s="260">
        <f>IF($B167="","",IFERROR(BDP($B167&amp;" Action","CP037"),""))</f>
        <v/>
      </c>
      <c r="F167" s="261">
        <f>Database!T167</f>
        <v/>
      </c>
      <c r="G167" s="260">
        <f>IF($B167="","",IFERROR(BDP($B167&amp;" Action","GREENSHOE_FACILITY"),""))</f>
        <v/>
      </c>
      <c r="H167" s="260">
        <f>IF($B167="","",IFERROR(BDP($B167&amp;" Action","OFFERING_GREENSHOE_SHARES_EX"),""))</f>
        <v/>
      </c>
      <c r="I167" s="51">
        <f>Database!AE167</f>
        <v/>
      </c>
      <c r="J167" s="58">
        <f>IFERROR(BDP(TEXT(VALUE(Database!$A167),"0")&amp;" HK Equity","PE_RATIO"),"")</f>
        <v/>
      </c>
      <c r="K167" s="43">
        <f>IFERROR(BDP(TEXT(VALUE(Database!$A167),"0")&amp;" HK Equity","A/H_SHARE_CONVERSION"),"")</f>
        <v/>
      </c>
      <c r="L167" s="51">
        <f>IF(Database!BN167="","(none found)",Database!BN167)</f>
        <v/>
      </c>
      <c r="M167" s="53">
        <f>IFERROR(INDEX(BDH(TEXT(VALUE(Database!$A167),"0")&amp;" HK Equity","CUR_MKT_CAP",Database!$H167,Database!$H167),MATCH(Database!$H167,INDEX(BDH(TEXT(VALUE(Database!$A167),"0")&amp;" HK Equity","CUR_MKT_CAP",Database!$H167,Database!$H167),0,1),0),2),"run on terminal")</f>
        <v/>
      </c>
      <c r="N167" s="213">
        <f>Database!Q167</f>
        <v/>
      </c>
      <c r="O167" s="58">
        <f>IFERROR(INDEX(BDH(TEXT(VALUE(Database!$A167),"0")&amp;" HK Equity","PE_RATIO",Database!$H167,Database!$H167),MATCH(Database!$H167,INDEX(BDH(TEXT(VALUE(Database!$A167),"0")&amp;" HK Equity","PE_RATIO",Database!$H167,Database!$H167),0,1),0),2),"run on terminal")</f>
        <v/>
      </c>
      <c r="P167" s="251">
        <f>IF(Database!BH167="","(n/m or not derivable)",Database!BH167)</f>
        <v/>
      </c>
      <c r="Q167" s="58">
        <f>IF(Database!BN167="","",IFERROR(INDEX(BDH(LEFT(Database!BN167,FIND(".",Database!BN167)-1)&amp;" CH Equity","PE_RATIO",Database!$H167,Database!$H167),MATCH(Database!$H167,INDEX(BDH(LEFT(Database!BN167,FIND(".",Database!BN167)-1)&amp;" CH Equity","PE_RATIO",Database!$H167,Database!$H167),0,1),0),2),"run on terminal"))</f>
        <v/>
      </c>
      <c r="R167" s="58">
        <f>IF(Database!BN167="","",IFERROR(INDEX(BDH("HSAHP Index","PX_LAST",Database!$H167,Database!$H167),MATCH(Database!$H167,INDEX(BDH("HSAHP Index","PX_LAST",Database!$H167,Database!$H167),0,1),0),2),"run on terminal"))</f>
        <v/>
      </c>
      <c r="S167" s="58">
        <f>IFERROR(BDP(TEXT(VALUE(Database!$A167),"0")&amp;" HK Equity","PX_TO_SALES_RATIO"),"")</f>
        <v/>
      </c>
      <c r="T167" s="53">
        <f>IF(Database!BN167="","",IFERROR(BDP(LEFT(Database!BN167,FIND(".",Database!BN167)-1)&amp;" CH Equity","CUR_MKT_CAP")*BDP("CNYHKD Curncy","PX_LAST"),"run on terminal"))</f>
        <v/>
      </c>
    </row>
    <row r="168" ht="23" customHeight="1">
      <c r="A168" s="51">
        <f>Database!A168&amp;"  "&amp;Database!B168</f>
        <v/>
      </c>
      <c r="B168" s="43">
        <f>IFERROR(INDEX(BDS(TEXT(VALUE(Database!$A168),"0")&amp;" HK Equity","EQUITY_OFFERINGS","array=t","endcol=1"),MATCH("IPO",BDS(TEXT(VALUE(Database!$A168),"0")&amp;" HK Equity","EQUITY_OFFERINGS","array=t","startcol=2","endcol=2"),0)),"")</f>
        <v/>
      </c>
      <c r="C168" s="260">
        <f>IF($B168="","",IFERROR(BDP($B168&amp;" Action","CP036"),""))</f>
        <v/>
      </c>
      <c r="D168" s="261">
        <f>Database!S168</f>
        <v/>
      </c>
      <c r="E168" s="260">
        <f>IF($B168="","",IFERROR(BDP($B168&amp;" Action","CP037"),""))</f>
        <v/>
      </c>
      <c r="F168" s="261">
        <f>Database!T168</f>
        <v/>
      </c>
      <c r="G168" s="260">
        <f>IF($B168="","",IFERROR(BDP($B168&amp;" Action","GREENSHOE_FACILITY"),""))</f>
        <v/>
      </c>
      <c r="H168" s="260">
        <f>IF($B168="","",IFERROR(BDP($B168&amp;" Action","OFFERING_GREENSHOE_SHARES_EX"),""))</f>
        <v/>
      </c>
      <c r="I168" s="51">
        <f>Database!AE168</f>
        <v/>
      </c>
      <c r="J168" s="58">
        <f>IFERROR(BDP(TEXT(VALUE(Database!$A168),"0")&amp;" HK Equity","PE_RATIO"),"")</f>
        <v/>
      </c>
      <c r="K168" s="43">
        <f>IFERROR(BDP(TEXT(VALUE(Database!$A168),"0")&amp;" HK Equity","A/H_SHARE_CONVERSION"),"")</f>
        <v/>
      </c>
      <c r="L168" s="51">
        <f>IF(Database!BN168="","(none found)",Database!BN168)</f>
        <v/>
      </c>
      <c r="M168" s="53">
        <f>IFERROR(INDEX(BDH(TEXT(VALUE(Database!$A168),"0")&amp;" HK Equity","CUR_MKT_CAP",Database!$H168,Database!$H168),MATCH(Database!$H168,INDEX(BDH(TEXT(VALUE(Database!$A168),"0")&amp;" HK Equity","CUR_MKT_CAP",Database!$H168,Database!$H168),0,1),0),2),"run on terminal")</f>
        <v/>
      </c>
      <c r="N168" s="213">
        <f>Database!Q168</f>
        <v/>
      </c>
      <c r="O168" s="58">
        <f>IFERROR(INDEX(BDH(TEXT(VALUE(Database!$A168),"0")&amp;" HK Equity","PE_RATIO",Database!$H168,Database!$H168),MATCH(Database!$H168,INDEX(BDH(TEXT(VALUE(Database!$A168),"0")&amp;" HK Equity","PE_RATIO",Database!$H168,Database!$H168),0,1),0),2),"run on terminal")</f>
        <v/>
      </c>
      <c r="P168" s="251">
        <f>IF(Database!BH168="","(n/m or not derivable)",Database!BH168)</f>
        <v/>
      </c>
      <c r="Q168" s="58">
        <f>IF(Database!BN168="","",IFERROR(INDEX(BDH(LEFT(Database!BN168,FIND(".",Database!BN168)-1)&amp;" CH Equity","PE_RATIO",Database!$H168,Database!$H168),MATCH(Database!$H168,INDEX(BDH(LEFT(Database!BN168,FIND(".",Database!BN168)-1)&amp;" CH Equity","PE_RATIO",Database!$H168,Database!$H168),0,1),0),2),"run on terminal"))</f>
        <v/>
      </c>
      <c r="R168" s="58">
        <f>IF(Database!BN168="","",IFERROR(INDEX(BDH("HSAHP Index","PX_LAST",Database!$H168,Database!$H168),MATCH(Database!$H168,INDEX(BDH("HSAHP Index","PX_LAST",Database!$H168,Database!$H168),0,1),0),2),"run on terminal"))</f>
        <v/>
      </c>
      <c r="S168" s="58">
        <f>IFERROR(BDP(TEXT(VALUE(Database!$A168),"0")&amp;" HK Equity","PX_TO_SALES_RATIO"),"")</f>
        <v/>
      </c>
      <c r="T168" s="53">
        <f>IF(Database!BN168="","",IFERROR(BDP(LEFT(Database!BN168,FIND(".",Database!BN168)-1)&amp;" CH Equity","CUR_MKT_CAP")*BDP("CNYHKD Curncy","PX_LAST"),"run on terminal"))</f>
        <v/>
      </c>
    </row>
    <row r="169" ht="23" customHeight="1">
      <c r="A169" s="51">
        <f>Database!A169&amp;"  "&amp;Database!B169</f>
        <v/>
      </c>
      <c r="B169" s="43">
        <f>IFERROR(INDEX(BDS(TEXT(VALUE(Database!$A169),"0")&amp;" HK Equity","EQUITY_OFFERINGS","array=t","endcol=1"),MATCH("IPO",BDS(TEXT(VALUE(Database!$A169),"0")&amp;" HK Equity","EQUITY_OFFERINGS","array=t","startcol=2","endcol=2"),0)),"")</f>
        <v/>
      </c>
      <c r="C169" s="260">
        <f>IF($B169="","",IFERROR(BDP($B169&amp;" Action","CP036"),""))</f>
        <v/>
      </c>
      <c r="D169" s="261">
        <f>Database!S169</f>
        <v/>
      </c>
      <c r="E169" s="260">
        <f>IF($B169="","",IFERROR(BDP($B169&amp;" Action","CP037"),""))</f>
        <v/>
      </c>
      <c r="F169" s="261">
        <f>Database!T169</f>
        <v/>
      </c>
      <c r="G169" s="260">
        <f>IF($B169="","",IFERROR(BDP($B169&amp;" Action","GREENSHOE_FACILITY"),""))</f>
        <v/>
      </c>
      <c r="H169" s="260">
        <f>IF($B169="","",IFERROR(BDP($B169&amp;" Action","OFFERING_GREENSHOE_SHARES_EX"),""))</f>
        <v/>
      </c>
      <c r="I169" s="51">
        <f>Database!AE169</f>
        <v/>
      </c>
      <c r="J169" s="58">
        <f>IFERROR(BDP(TEXT(VALUE(Database!$A169),"0")&amp;" HK Equity","PE_RATIO"),"")</f>
        <v/>
      </c>
      <c r="K169" s="43">
        <f>IFERROR(BDP(TEXT(VALUE(Database!$A169),"0")&amp;" HK Equity","A/H_SHARE_CONVERSION"),"")</f>
        <v/>
      </c>
      <c r="L169" s="51">
        <f>IF(Database!BN169="","(none found)",Database!BN169)</f>
        <v/>
      </c>
      <c r="M169" s="53">
        <f>IFERROR(INDEX(BDH(TEXT(VALUE(Database!$A169),"0")&amp;" HK Equity","CUR_MKT_CAP",Database!$H169,Database!$H169),MATCH(Database!$H169,INDEX(BDH(TEXT(VALUE(Database!$A169),"0")&amp;" HK Equity","CUR_MKT_CAP",Database!$H169,Database!$H169),0,1),0),2),"run on terminal")</f>
        <v/>
      </c>
      <c r="N169" s="213">
        <f>Database!Q169</f>
        <v/>
      </c>
      <c r="O169" s="58">
        <f>IFERROR(INDEX(BDH(TEXT(VALUE(Database!$A169),"0")&amp;" HK Equity","PE_RATIO",Database!$H169,Database!$H169),MATCH(Database!$H169,INDEX(BDH(TEXT(VALUE(Database!$A169),"0")&amp;" HK Equity","PE_RATIO",Database!$H169,Database!$H169),0,1),0),2),"run on terminal")</f>
        <v/>
      </c>
      <c r="P169" s="251">
        <f>IF(Database!BH169="","(n/m or not derivable)",Database!BH169)</f>
        <v/>
      </c>
      <c r="Q169" s="58">
        <f>IF(Database!BN169="","",IFERROR(INDEX(BDH(LEFT(Database!BN169,FIND(".",Database!BN169)-1)&amp;" CH Equity","PE_RATIO",Database!$H169,Database!$H169),MATCH(Database!$H169,INDEX(BDH(LEFT(Database!BN169,FIND(".",Database!BN169)-1)&amp;" CH Equity","PE_RATIO",Database!$H169,Database!$H169),0,1),0),2),"run on terminal"))</f>
        <v/>
      </c>
      <c r="R169" s="58">
        <f>IF(Database!BN169="","",IFERROR(INDEX(BDH("HSAHP Index","PX_LAST",Database!$H169,Database!$H169),MATCH(Database!$H169,INDEX(BDH("HSAHP Index","PX_LAST",Database!$H169,Database!$H169),0,1),0),2),"run on terminal"))</f>
        <v/>
      </c>
      <c r="S169" s="58">
        <f>IFERROR(BDP(TEXT(VALUE(Database!$A169),"0")&amp;" HK Equity","PX_TO_SALES_RATIO"),"")</f>
        <v/>
      </c>
      <c r="T169" s="53">
        <f>IF(Database!BN169="","",IFERROR(BDP(LEFT(Database!BN169,FIND(".",Database!BN169)-1)&amp;" CH Equity","CUR_MKT_CAP")*BDP("CNYHKD Curncy","PX_LAST"),"run on terminal"))</f>
        <v/>
      </c>
    </row>
    <row r="170" ht="23" customHeight="1">
      <c r="A170" s="51">
        <f>Database!A170&amp;"  "&amp;Database!B170</f>
        <v/>
      </c>
      <c r="B170" s="43">
        <f>IFERROR(INDEX(BDS(TEXT(VALUE(Database!$A170),"0")&amp;" HK Equity","EQUITY_OFFERINGS","array=t","endcol=1"),MATCH("IPO",BDS(TEXT(VALUE(Database!$A170),"0")&amp;" HK Equity","EQUITY_OFFERINGS","array=t","startcol=2","endcol=2"),0)),"")</f>
        <v/>
      </c>
      <c r="C170" s="260">
        <f>IF($B170="","",IFERROR(BDP($B170&amp;" Action","CP036"),""))</f>
        <v/>
      </c>
      <c r="D170" s="261">
        <f>Database!S170</f>
        <v/>
      </c>
      <c r="E170" s="260">
        <f>IF($B170="","",IFERROR(BDP($B170&amp;" Action","CP037"),""))</f>
        <v/>
      </c>
      <c r="F170" s="261">
        <f>Database!T170</f>
        <v/>
      </c>
      <c r="G170" s="260">
        <f>IF($B170="","",IFERROR(BDP($B170&amp;" Action","GREENSHOE_FACILITY"),""))</f>
        <v/>
      </c>
      <c r="H170" s="260">
        <f>IF($B170="","",IFERROR(BDP($B170&amp;" Action","OFFERING_GREENSHOE_SHARES_EX"),""))</f>
        <v/>
      </c>
      <c r="I170" s="51">
        <f>Database!AE170</f>
        <v/>
      </c>
      <c r="J170" s="58">
        <f>IFERROR(BDP(TEXT(VALUE(Database!$A170),"0")&amp;" HK Equity","PE_RATIO"),"")</f>
        <v/>
      </c>
      <c r="K170" s="43">
        <f>IFERROR(BDP(TEXT(VALUE(Database!$A170),"0")&amp;" HK Equity","A/H_SHARE_CONVERSION"),"")</f>
        <v/>
      </c>
      <c r="L170" s="51">
        <f>IF(Database!BN170="","(none found)",Database!BN170)</f>
        <v/>
      </c>
      <c r="M170" s="53">
        <f>IFERROR(INDEX(BDH(TEXT(VALUE(Database!$A170),"0")&amp;" HK Equity","CUR_MKT_CAP",Database!$H170,Database!$H170),MATCH(Database!$H170,INDEX(BDH(TEXT(VALUE(Database!$A170),"0")&amp;" HK Equity","CUR_MKT_CAP",Database!$H170,Database!$H170),0,1),0),2),"run on terminal")</f>
        <v/>
      </c>
      <c r="N170" s="213">
        <f>Database!Q170</f>
        <v/>
      </c>
      <c r="O170" s="58">
        <f>IFERROR(INDEX(BDH(TEXT(VALUE(Database!$A170),"0")&amp;" HK Equity","PE_RATIO",Database!$H170,Database!$H170),MATCH(Database!$H170,INDEX(BDH(TEXT(VALUE(Database!$A170),"0")&amp;" HK Equity","PE_RATIO",Database!$H170,Database!$H170),0,1),0),2),"run on terminal")</f>
        <v/>
      </c>
      <c r="P170" s="251">
        <f>IF(Database!BH170="","(n/m or not derivable)",Database!BH170)</f>
        <v/>
      </c>
      <c r="Q170" s="58">
        <f>IF(Database!BN170="","",IFERROR(INDEX(BDH(LEFT(Database!BN170,FIND(".",Database!BN170)-1)&amp;" CH Equity","PE_RATIO",Database!$H170,Database!$H170),MATCH(Database!$H170,INDEX(BDH(LEFT(Database!BN170,FIND(".",Database!BN170)-1)&amp;" CH Equity","PE_RATIO",Database!$H170,Database!$H170),0,1),0),2),"run on terminal"))</f>
        <v/>
      </c>
      <c r="R170" s="58">
        <f>IF(Database!BN170="","",IFERROR(INDEX(BDH("HSAHP Index","PX_LAST",Database!$H170,Database!$H170),MATCH(Database!$H170,INDEX(BDH("HSAHP Index","PX_LAST",Database!$H170,Database!$H170),0,1),0),2),"run on terminal"))</f>
        <v/>
      </c>
      <c r="S170" s="58">
        <f>IFERROR(BDP(TEXT(VALUE(Database!$A170),"0")&amp;" HK Equity","PX_TO_SALES_RATIO"),"")</f>
        <v/>
      </c>
      <c r="T170" s="53">
        <f>IF(Database!BN170="","",IFERROR(BDP(LEFT(Database!BN170,FIND(".",Database!BN170)-1)&amp;" CH Equity","CUR_MKT_CAP")*BDP("CNYHKD Curncy","PX_LAST"),"run on terminal"))</f>
        <v/>
      </c>
    </row>
    <row r="171" ht="23" customHeight="1">
      <c r="A171" s="51">
        <f>Database!A171&amp;"  "&amp;Database!B171</f>
        <v/>
      </c>
      <c r="B171" s="43">
        <f>IFERROR(INDEX(BDS(TEXT(VALUE(Database!$A171),"0")&amp;" HK Equity","EQUITY_OFFERINGS","array=t","endcol=1"),MATCH("IPO",BDS(TEXT(VALUE(Database!$A171),"0")&amp;" HK Equity","EQUITY_OFFERINGS","array=t","startcol=2","endcol=2"),0)),"")</f>
        <v/>
      </c>
      <c r="C171" s="260">
        <f>IF($B171="","",IFERROR(BDP($B171&amp;" Action","CP036"),""))</f>
        <v/>
      </c>
      <c r="D171" s="261">
        <f>Database!S171</f>
        <v/>
      </c>
      <c r="E171" s="260">
        <f>IF($B171="","",IFERROR(BDP($B171&amp;" Action","CP037"),""))</f>
        <v/>
      </c>
      <c r="F171" s="261">
        <f>Database!T171</f>
        <v/>
      </c>
      <c r="G171" s="260">
        <f>IF($B171="","",IFERROR(BDP($B171&amp;" Action","GREENSHOE_FACILITY"),""))</f>
        <v/>
      </c>
      <c r="H171" s="260">
        <f>IF($B171="","",IFERROR(BDP($B171&amp;" Action","OFFERING_GREENSHOE_SHARES_EX"),""))</f>
        <v/>
      </c>
      <c r="I171" s="51">
        <f>Database!AE171</f>
        <v/>
      </c>
      <c r="J171" s="58">
        <f>IFERROR(BDP(TEXT(VALUE(Database!$A171),"0")&amp;" HK Equity","PE_RATIO"),"")</f>
        <v/>
      </c>
      <c r="K171" s="43">
        <f>IFERROR(BDP(TEXT(VALUE(Database!$A171),"0")&amp;" HK Equity","A/H_SHARE_CONVERSION"),"")</f>
        <v/>
      </c>
      <c r="L171" s="51">
        <f>IF(Database!BN171="","(none found)",Database!BN171)</f>
        <v/>
      </c>
      <c r="M171" s="53">
        <f>IFERROR(INDEX(BDH(TEXT(VALUE(Database!$A171),"0")&amp;" HK Equity","CUR_MKT_CAP",Database!$H171,Database!$H171),MATCH(Database!$H171,INDEX(BDH(TEXT(VALUE(Database!$A171),"0")&amp;" HK Equity","CUR_MKT_CAP",Database!$H171,Database!$H171),0,1),0),2),"run on terminal")</f>
        <v/>
      </c>
      <c r="N171" s="213">
        <f>Database!Q171</f>
        <v/>
      </c>
      <c r="O171" s="58">
        <f>IFERROR(INDEX(BDH(TEXT(VALUE(Database!$A171),"0")&amp;" HK Equity","PE_RATIO",Database!$H171,Database!$H171),MATCH(Database!$H171,INDEX(BDH(TEXT(VALUE(Database!$A171),"0")&amp;" HK Equity","PE_RATIO",Database!$H171,Database!$H171),0,1),0),2),"run on terminal")</f>
        <v/>
      </c>
      <c r="P171" s="251">
        <f>IF(Database!BH171="","(n/m or not derivable)",Database!BH171)</f>
        <v/>
      </c>
      <c r="Q171" s="58">
        <f>IF(Database!BN171="","",IFERROR(INDEX(BDH(LEFT(Database!BN171,FIND(".",Database!BN171)-1)&amp;" CH Equity","PE_RATIO",Database!$H171,Database!$H171),MATCH(Database!$H171,INDEX(BDH(LEFT(Database!BN171,FIND(".",Database!BN171)-1)&amp;" CH Equity","PE_RATIO",Database!$H171,Database!$H171),0,1),0),2),"run on terminal"))</f>
        <v/>
      </c>
      <c r="R171" s="58">
        <f>IF(Database!BN171="","",IFERROR(INDEX(BDH("HSAHP Index","PX_LAST",Database!$H171,Database!$H171),MATCH(Database!$H171,INDEX(BDH("HSAHP Index","PX_LAST",Database!$H171,Database!$H171),0,1),0),2),"run on terminal"))</f>
        <v/>
      </c>
      <c r="S171" s="58">
        <f>IFERROR(BDP(TEXT(VALUE(Database!$A171),"0")&amp;" HK Equity","PX_TO_SALES_RATIO"),"")</f>
        <v/>
      </c>
      <c r="T171" s="53">
        <f>IF(Database!BN171="","",IFERROR(BDP(LEFT(Database!BN171,FIND(".",Database!BN171)-1)&amp;" CH Equity","CUR_MKT_CAP")*BDP("CNYHKD Curncy","PX_LAST"),"run on terminal"))</f>
        <v/>
      </c>
    </row>
    <row r="172" ht="23" customHeight="1">
      <c r="A172" s="51">
        <f>Database!A172&amp;"  "&amp;Database!B172</f>
        <v/>
      </c>
      <c r="B172" s="43">
        <f>IFERROR(INDEX(BDS(TEXT(VALUE(Database!$A172),"0")&amp;" HK Equity","EQUITY_OFFERINGS","array=t","endcol=1"),MATCH("IPO",BDS(TEXT(VALUE(Database!$A172),"0")&amp;" HK Equity","EQUITY_OFFERINGS","array=t","startcol=2","endcol=2"),0)),"")</f>
        <v/>
      </c>
      <c r="C172" s="260">
        <f>IF($B172="","",IFERROR(BDP($B172&amp;" Action","CP036"),""))</f>
        <v/>
      </c>
      <c r="D172" s="261">
        <f>Database!S172</f>
        <v/>
      </c>
      <c r="E172" s="260">
        <f>IF($B172="","",IFERROR(BDP($B172&amp;" Action","CP037"),""))</f>
        <v/>
      </c>
      <c r="F172" s="261">
        <f>Database!T172</f>
        <v/>
      </c>
      <c r="G172" s="260">
        <f>IF($B172="","",IFERROR(BDP($B172&amp;" Action","GREENSHOE_FACILITY"),""))</f>
        <v/>
      </c>
      <c r="H172" s="260">
        <f>IF($B172="","",IFERROR(BDP($B172&amp;" Action","OFFERING_GREENSHOE_SHARES_EX"),""))</f>
        <v/>
      </c>
      <c r="I172" s="51">
        <f>Database!AE172</f>
        <v/>
      </c>
      <c r="J172" s="58">
        <f>IFERROR(BDP(TEXT(VALUE(Database!$A172),"0")&amp;" HK Equity","PE_RATIO"),"")</f>
        <v/>
      </c>
      <c r="K172" s="43">
        <f>IFERROR(BDP(TEXT(VALUE(Database!$A172),"0")&amp;" HK Equity","A/H_SHARE_CONVERSION"),"")</f>
        <v/>
      </c>
      <c r="L172" s="51">
        <f>IF(Database!BN172="","(none found)",Database!BN172)</f>
        <v/>
      </c>
      <c r="M172" s="53">
        <f>IFERROR(INDEX(BDH(TEXT(VALUE(Database!$A172),"0")&amp;" HK Equity","CUR_MKT_CAP",Database!$H172,Database!$H172),MATCH(Database!$H172,INDEX(BDH(TEXT(VALUE(Database!$A172),"0")&amp;" HK Equity","CUR_MKT_CAP",Database!$H172,Database!$H172),0,1),0),2),"run on terminal")</f>
        <v/>
      </c>
      <c r="N172" s="213">
        <f>Database!Q172</f>
        <v/>
      </c>
      <c r="O172" s="58">
        <f>IFERROR(INDEX(BDH(TEXT(VALUE(Database!$A172),"0")&amp;" HK Equity","PE_RATIO",Database!$H172,Database!$H172),MATCH(Database!$H172,INDEX(BDH(TEXT(VALUE(Database!$A172),"0")&amp;" HK Equity","PE_RATIO",Database!$H172,Database!$H172),0,1),0),2),"run on terminal")</f>
        <v/>
      </c>
      <c r="P172" s="251">
        <f>IF(Database!BH172="","(n/m or not derivable)",Database!BH172)</f>
        <v/>
      </c>
      <c r="Q172" s="58">
        <f>IF(Database!BN172="","",IFERROR(INDEX(BDH(LEFT(Database!BN172,FIND(".",Database!BN172)-1)&amp;" CH Equity","PE_RATIO",Database!$H172,Database!$H172),MATCH(Database!$H172,INDEX(BDH(LEFT(Database!BN172,FIND(".",Database!BN172)-1)&amp;" CH Equity","PE_RATIO",Database!$H172,Database!$H172),0,1),0),2),"run on terminal"))</f>
        <v/>
      </c>
      <c r="R172" s="58">
        <f>IF(Database!BN172="","",IFERROR(INDEX(BDH("HSAHP Index","PX_LAST",Database!$H172,Database!$H172),MATCH(Database!$H172,INDEX(BDH("HSAHP Index","PX_LAST",Database!$H172,Database!$H172),0,1),0),2),"run on terminal"))</f>
        <v/>
      </c>
      <c r="S172" s="58">
        <f>IFERROR(BDP(TEXT(VALUE(Database!$A172),"0")&amp;" HK Equity","PX_TO_SALES_RATIO"),"")</f>
        <v/>
      </c>
      <c r="T172" s="53">
        <f>IF(Database!BN172="","",IFERROR(BDP(LEFT(Database!BN172,FIND(".",Database!BN172)-1)&amp;" CH Equity","CUR_MKT_CAP")*BDP("CNYHKD Curncy","PX_LAST"),"run on terminal"))</f>
        <v/>
      </c>
    </row>
    <row r="173" ht="23" customHeight="1">
      <c r="A173" s="51">
        <f>Database!A173&amp;"  "&amp;Database!B173</f>
        <v/>
      </c>
      <c r="B173" s="43">
        <f>IFERROR(INDEX(BDS(TEXT(VALUE(Database!$A173),"0")&amp;" HK Equity","EQUITY_OFFERINGS","array=t","endcol=1"),MATCH("IPO",BDS(TEXT(VALUE(Database!$A173),"0")&amp;" HK Equity","EQUITY_OFFERINGS","array=t","startcol=2","endcol=2"),0)),"")</f>
        <v/>
      </c>
      <c r="C173" s="260">
        <f>IF($B173="","",IFERROR(BDP($B173&amp;" Action","CP036"),""))</f>
        <v/>
      </c>
      <c r="D173" s="261">
        <f>Database!S173</f>
        <v/>
      </c>
      <c r="E173" s="260">
        <f>IF($B173="","",IFERROR(BDP($B173&amp;" Action","CP037"),""))</f>
        <v/>
      </c>
      <c r="F173" s="261">
        <f>Database!T173</f>
        <v/>
      </c>
      <c r="G173" s="260">
        <f>IF($B173="","",IFERROR(BDP($B173&amp;" Action","GREENSHOE_FACILITY"),""))</f>
        <v/>
      </c>
      <c r="H173" s="260">
        <f>IF($B173="","",IFERROR(BDP($B173&amp;" Action","OFFERING_GREENSHOE_SHARES_EX"),""))</f>
        <v/>
      </c>
      <c r="I173" s="51">
        <f>Database!AE173</f>
        <v/>
      </c>
      <c r="J173" s="58">
        <f>IFERROR(BDP(TEXT(VALUE(Database!$A173),"0")&amp;" HK Equity","PE_RATIO"),"")</f>
        <v/>
      </c>
      <c r="K173" s="43">
        <f>IFERROR(BDP(TEXT(VALUE(Database!$A173),"0")&amp;" HK Equity","A/H_SHARE_CONVERSION"),"")</f>
        <v/>
      </c>
      <c r="L173" s="51">
        <f>IF(Database!BN173="","(none found)",Database!BN173)</f>
        <v/>
      </c>
      <c r="M173" s="53">
        <f>IFERROR(INDEX(BDH(TEXT(VALUE(Database!$A173),"0")&amp;" HK Equity","CUR_MKT_CAP",Database!$H173,Database!$H173),MATCH(Database!$H173,INDEX(BDH(TEXT(VALUE(Database!$A173),"0")&amp;" HK Equity","CUR_MKT_CAP",Database!$H173,Database!$H173),0,1),0),2),"run on terminal")</f>
        <v/>
      </c>
      <c r="N173" s="213">
        <f>Database!Q173</f>
        <v/>
      </c>
      <c r="O173" s="58">
        <f>IFERROR(INDEX(BDH(TEXT(VALUE(Database!$A173),"0")&amp;" HK Equity","PE_RATIO",Database!$H173,Database!$H173),MATCH(Database!$H173,INDEX(BDH(TEXT(VALUE(Database!$A173),"0")&amp;" HK Equity","PE_RATIO",Database!$H173,Database!$H173),0,1),0),2),"run on terminal")</f>
        <v/>
      </c>
      <c r="P173" s="251">
        <f>IF(Database!BH173="","(n/m or not derivable)",Database!BH173)</f>
        <v/>
      </c>
      <c r="Q173" s="58">
        <f>IF(Database!BN173="","",IFERROR(INDEX(BDH(LEFT(Database!BN173,FIND(".",Database!BN173)-1)&amp;" CH Equity","PE_RATIO",Database!$H173,Database!$H173),MATCH(Database!$H173,INDEX(BDH(LEFT(Database!BN173,FIND(".",Database!BN173)-1)&amp;" CH Equity","PE_RATIO",Database!$H173,Database!$H173),0,1),0),2),"run on terminal"))</f>
        <v/>
      </c>
      <c r="R173" s="58">
        <f>IF(Database!BN173="","",IFERROR(INDEX(BDH("HSAHP Index","PX_LAST",Database!$H173,Database!$H173),MATCH(Database!$H173,INDEX(BDH("HSAHP Index","PX_LAST",Database!$H173,Database!$H173),0,1),0),2),"run on terminal"))</f>
        <v/>
      </c>
      <c r="S173" s="58">
        <f>IFERROR(BDP(TEXT(VALUE(Database!$A173),"0")&amp;" HK Equity","PX_TO_SALES_RATIO"),"")</f>
        <v/>
      </c>
      <c r="T173" s="53">
        <f>IF(Database!BN173="","",IFERROR(BDP(LEFT(Database!BN173,FIND(".",Database!BN173)-1)&amp;" CH Equity","CUR_MKT_CAP")*BDP("CNYHKD Curncy","PX_LAST"),"run on terminal"))</f>
        <v/>
      </c>
    </row>
    <row r="174" ht="23" customHeight="1">
      <c r="A174" s="51">
        <f>Database!A174&amp;"  "&amp;Database!B174</f>
        <v/>
      </c>
      <c r="B174" s="43">
        <f>IFERROR(INDEX(BDS(TEXT(VALUE(Database!$A174),"0")&amp;" HK Equity","EQUITY_OFFERINGS","array=t","endcol=1"),MATCH("IPO",BDS(TEXT(VALUE(Database!$A174),"0")&amp;" HK Equity","EQUITY_OFFERINGS","array=t","startcol=2","endcol=2"),0)),"")</f>
        <v/>
      </c>
      <c r="C174" s="260">
        <f>IF($B174="","",IFERROR(BDP($B174&amp;" Action","CP036"),""))</f>
        <v/>
      </c>
      <c r="D174" s="261">
        <f>Database!S174</f>
        <v/>
      </c>
      <c r="E174" s="260">
        <f>IF($B174="","",IFERROR(BDP($B174&amp;" Action","CP037"),""))</f>
        <v/>
      </c>
      <c r="F174" s="261">
        <f>Database!T174</f>
        <v/>
      </c>
      <c r="G174" s="260">
        <f>IF($B174="","",IFERROR(BDP($B174&amp;" Action","GREENSHOE_FACILITY"),""))</f>
        <v/>
      </c>
      <c r="H174" s="260">
        <f>IF($B174="","",IFERROR(BDP($B174&amp;" Action","OFFERING_GREENSHOE_SHARES_EX"),""))</f>
        <v/>
      </c>
      <c r="I174" s="51">
        <f>Database!AE174</f>
        <v/>
      </c>
      <c r="J174" s="58">
        <f>IFERROR(BDP(TEXT(VALUE(Database!$A174),"0")&amp;" HK Equity","PE_RATIO"),"")</f>
        <v/>
      </c>
      <c r="K174" s="43">
        <f>IFERROR(BDP(TEXT(VALUE(Database!$A174),"0")&amp;" HK Equity","A/H_SHARE_CONVERSION"),"")</f>
        <v/>
      </c>
      <c r="L174" s="51">
        <f>IF(Database!BN174="","(none found)",Database!BN174)</f>
        <v/>
      </c>
      <c r="M174" s="53">
        <f>IFERROR(INDEX(BDH(TEXT(VALUE(Database!$A174),"0")&amp;" HK Equity","CUR_MKT_CAP",Database!$H174,Database!$H174),MATCH(Database!$H174,INDEX(BDH(TEXT(VALUE(Database!$A174),"0")&amp;" HK Equity","CUR_MKT_CAP",Database!$H174,Database!$H174),0,1),0),2),"run on terminal")</f>
        <v/>
      </c>
      <c r="N174" s="213">
        <f>Database!Q174</f>
        <v/>
      </c>
      <c r="O174" s="58">
        <f>IFERROR(INDEX(BDH(TEXT(VALUE(Database!$A174),"0")&amp;" HK Equity","PE_RATIO",Database!$H174,Database!$H174),MATCH(Database!$H174,INDEX(BDH(TEXT(VALUE(Database!$A174),"0")&amp;" HK Equity","PE_RATIO",Database!$H174,Database!$H174),0,1),0),2),"run on terminal")</f>
        <v/>
      </c>
      <c r="P174" s="251">
        <f>IF(Database!BH174="","(n/m or not derivable)",Database!BH174)</f>
        <v/>
      </c>
      <c r="Q174" s="58">
        <f>IF(Database!BN174="","",IFERROR(INDEX(BDH(LEFT(Database!BN174,FIND(".",Database!BN174)-1)&amp;" CH Equity","PE_RATIO",Database!$H174,Database!$H174),MATCH(Database!$H174,INDEX(BDH(LEFT(Database!BN174,FIND(".",Database!BN174)-1)&amp;" CH Equity","PE_RATIO",Database!$H174,Database!$H174),0,1),0),2),"run on terminal"))</f>
        <v/>
      </c>
      <c r="R174" s="58">
        <f>IF(Database!BN174="","",IFERROR(INDEX(BDH("HSAHP Index","PX_LAST",Database!$H174,Database!$H174),MATCH(Database!$H174,INDEX(BDH("HSAHP Index","PX_LAST",Database!$H174,Database!$H174),0,1),0),2),"run on terminal"))</f>
        <v/>
      </c>
      <c r="S174" s="58">
        <f>IFERROR(BDP(TEXT(VALUE(Database!$A174),"0")&amp;" HK Equity","PX_TO_SALES_RATIO"),"")</f>
        <v/>
      </c>
      <c r="T174" s="53">
        <f>IF(Database!BN174="","",IFERROR(BDP(LEFT(Database!BN174,FIND(".",Database!BN174)-1)&amp;" CH Equity","CUR_MKT_CAP")*BDP("CNYHKD Curncy","PX_LAST"),"run on terminal"))</f>
        <v/>
      </c>
    </row>
    <row r="175" ht="23" customHeight="1">
      <c r="A175" s="51">
        <f>Database!A175&amp;"  "&amp;Database!B175</f>
        <v/>
      </c>
      <c r="B175" s="43">
        <f>IFERROR(INDEX(BDS(TEXT(VALUE(Database!$A175),"0")&amp;" HK Equity","EQUITY_OFFERINGS","array=t","endcol=1"),MATCH("IPO",BDS(TEXT(VALUE(Database!$A175),"0")&amp;" HK Equity","EQUITY_OFFERINGS","array=t","startcol=2","endcol=2"),0)),"")</f>
        <v/>
      </c>
      <c r="C175" s="260">
        <f>IF($B175="","",IFERROR(BDP($B175&amp;" Action","CP036"),""))</f>
        <v/>
      </c>
      <c r="D175" s="261">
        <f>Database!S175</f>
        <v/>
      </c>
      <c r="E175" s="260">
        <f>IF($B175="","",IFERROR(BDP($B175&amp;" Action","CP037"),""))</f>
        <v/>
      </c>
      <c r="F175" s="261">
        <f>Database!T175</f>
        <v/>
      </c>
      <c r="G175" s="260">
        <f>IF($B175="","",IFERROR(BDP($B175&amp;" Action","GREENSHOE_FACILITY"),""))</f>
        <v/>
      </c>
      <c r="H175" s="260">
        <f>IF($B175="","",IFERROR(BDP($B175&amp;" Action","OFFERING_GREENSHOE_SHARES_EX"),""))</f>
        <v/>
      </c>
      <c r="I175" s="51">
        <f>Database!AE175</f>
        <v/>
      </c>
      <c r="J175" s="58">
        <f>IFERROR(BDP(TEXT(VALUE(Database!$A175),"0")&amp;" HK Equity","PE_RATIO"),"")</f>
        <v/>
      </c>
      <c r="K175" s="43">
        <f>IFERROR(BDP(TEXT(VALUE(Database!$A175),"0")&amp;" HK Equity","A/H_SHARE_CONVERSION"),"")</f>
        <v/>
      </c>
      <c r="L175" s="51">
        <f>IF(Database!BN175="","(none found)",Database!BN175)</f>
        <v/>
      </c>
      <c r="M175" s="53">
        <f>IFERROR(INDEX(BDH(TEXT(VALUE(Database!$A175),"0")&amp;" HK Equity","CUR_MKT_CAP",Database!$H175,Database!$H175),MATCH(Database!$H175,INDEX(BDH(TEXT(VALUE(Database!$A175),"0")&amp;" HK Equity","CUR_MKT_CAP",Database!$H175,Database!$H175),0,1),0),2),"run on terminal")</f>
        <v/>
      </c>
      <c r="N175" s="213">
        <f>Database!Q175</f>
        <v/>
      </c>
      <c r="O175" s="58">
        <f>IFERROR(INDEX(BDH(TEXT(VALUE(Database!$A175),"0")&amp;" HK Equity","PE_RATIO",Database!$H175,Database!$H175),MATCH(Database!$H175,INDEX(BDH(TEXT(VALUE(Database!$A175),"0")&amp;" HK Equity","PE_RATIO",Database!$H175,Database!$H175),0,1),0),2),"run on terminal")</f>
        <v/>
      </c>
      <c r="P175" s="251">
        <f>IF(Database!BH175="","(n/m or not derivable)",Database!BH175)</f>
        <v/>
      </c>
      <c r="Q175" s="58">
        <f>IF(Database!BN175="","",IFERROR(INDEX(BDH(LEFT(Database!BN175,FIND(".",Database!BN175)-1)&amp;" CH Equity","PE_RATIO",Database!$H175,Database!$H175),MATCH(Database!$H175,INDEX(BDH(LEFT(Database!BN175,FIND(".",Database!BN175)-1)&amp;" CH Equity","PE_RATIO",Database!$H175,Database!$H175),0,1),0),2),"run on terminal"))</f>
        <v/>
      </c>
      <c r="R175" s="58">
        <f>IF(Database!BN175="","",IFERROR(INDEX(BDH("HSAHP Index","PX_LAST",Database!$H175,Database!$H175),MATCH(Database!$H175,INDEX(BDH("HSAHP Index","PX_LAST",Database!$H175,Database!$H175),0,1),0),2),"run on terminal"))</f>
        <v/>
      </c>
      <c r="S175" s="58">
        <f>IFERROR(BDP(TEXT(VALUE(Database!$A175),"0")&amp;" HK Equity","PX_TO_SALES_RATIO"),"")</f>
        <v/>
      </c>
      <c r="T175" s="53">
        <f>IF(Database!BN175="","",IFERROR(BDP(LEFT(Database!BN175,FIND(".",Database!BN175)-1)&amp;" CH Equity","CUR_MKT_CAP")*BDP("CNYHKD Curncy","PX_LAST"),"run on terminal"))</f>
        <v/>
      </c>
    </row>
    <row r="176" ht="23" customHeight="1">
      <c r="A176" s="51">
        <f>Database!A176&amp;"  "&amp;Database!B176</f>
        <v/>
      </c>
      <c r="B176" s="43">
        <f>IFERROR(INDEX(BDS(TEXT(VALUE(Database!$A176),"0")&amp;" HK Equity","EQUITY_OFFERINGS","array=t","endcol=1"),MATCH("IPO",BDS(TEXT(VALUE(Database!$A176),"0")&amp;" HK Equity","EQUITY_OFFERINGS","array=t","startcol=2","endcol=2"),0)),"")</f>
        <v/>
      </c>
      <c r="C176" s="260">
        <f>IF($B176="","",IFERROR(BDP($B176&amp;" Action","CP036"),""))</f>
        <v/>
      </c>
      <c r="D176" s="261">
        <f>Database!S176</f>
        <v/>
      </c>
      <c r="E176" s="260">
        <f>IF($B176="","",IFERROR(BDP($B176&amp;" Action","CP037"),""))</f>
        <v/>
      </c>
      <c r="F176" s="261">
        <f>Database!T176</f>
        <v/>
      </c>
      <c r="G176" s="260">
        <f>IF($B176="","",IFERROR(BDP($B176&amp;" Action","GREENSHOE_FACILITY"),""))</f>
        <v/>
      </c>
      <c r="H176" s="260">
        <f>IF($B176="","",IFERROR(BDP($B176&amp;" Action","OFFERING_GREENSHOE_SHARES_EX"),""))</f>
        <v/>
      </c>
      <c r="I176" s="51">
        <f>Database!AE176</f>
        <v/>
      </c>
      <c r="J176" s="58">
        <f>IFERROR(BDP(TEXT(VALUE(Database!$A176),"0")&amp;" HK Equity","PE_RATIO"),"")</f>
        <v/>
      </c>
      <c r="K176" s="43">
        <f>IFERROR(BDP(TEXT(VALUE(Database!$A176),"0")&amp;" HK Equity","A/H_SHARE_CONVERSION"),"")</f>
        <v/>
      </c>
      <c r="L176" s="51">
        <f>IF(Database!BN176="","(none found)",Database!BN176)</f>
        <v/>
      </c>
      <c r="M176" s="53">
        <f>IFERROR(INDEX(BDH(TEXT(VALUE(Database!$A176),"0")&amp;" HK Equity","CUR_MKT_CAP",Database!$H176,Database!$H176),MATCH(Database!$H176,INDEX(BDH(TEXT(VALUE(Database!$A176),"0")&amp;" HK Equity","CUR_MKT_CAP",Database!$H176,Database!$H176),0,1),0),2),"run on terminal")</f>
        <v/>
      </c>
      <c r="N176" s="213">
        <f>Database!Q176</f>
        <v/>
      </c>
      <c r="O176" s="58">
        <f>IFERROR(INDEX(BDH(TEXT(VALUE(Database!$A176),"0")&amp;" HK Equity","PE_RATIO",Database!$H176,Database!$H176),MATCH(Database!$H176,INDEX(BDH(TEXT(VALUE(Database!$A176),"0")&amp;" HK Equity","PE_RATIO",Database!$H176,Database!$H176),0,1),0),2),"run on terminal")</f>
        <v/>
      </c>
      <c r="P176" s="251">
        <f>IF(Database!BH176="","(n/m or not derivable)",Database!BH176)</f>
        <v/>
      </c>
      <c r="Q176" s="58">
        <f>IF(Database!BN176="","",IFERROR(INDEX(BDH(LEFT(Database!BN176,FIND(".",Database!BN176)-1)&amp;" CH Equity","PE_RATIO",Database!$H176,Database!$H176),MATCH(Database!$H176,INDEX(BDH(LEFT(Database!BN176,FIND(".",Database!BN176)-1)&amp;" CH Equity","PE_RATIO",Database!$H176,Database!$H176),0,1),0),2),"run on terminal"))</f>
        <v/>
      </c>
      <c r="R176" s="58">
        <f>IF(Database!BN176="","",IFERROR(INDEX(BDH("HSAHP Index","PX_LAST",Database!$H176,Database!$H176),MATCH(Database!$H176,INDEX(BDH("HSAHP Index","PX_LAST",Database!$H176,Database!$H176),0,1),0),2),"run on terminal"))</f>
        <v/>
      </c>
      <c r="S176" s="58">
        <f>IFERROR(BDP(TEXT(VALUE(Database!$A176),"0")&amp;" HK Equity","PX_TO_SALES_RATIO"),"")</f>
        <v/>
      </c>
      <c r="T176" s="53">
        <f>IF(Database!BN176="","",IFERROR(BDP(LEFT(Database!BN176,FIND(".",Database!BN176)-1)&amp;" CH Equity","CUR_MKT_CAP")*BDP("CNYHKD Curncy","PX_LAST"),"run on terminal"))</f>
        <v/>
      </c>
    </row>
    <row r="177" ht="23" customHeight="1">
      <c r="A177" s="51">
        <f>Database!A177&amp;"  "&amp;Database!B177</f>
        <v/>
      </c>
      <c r="B177" s="43">
        <f>IFERROR(INDEX(BDS(TEXT(VALUE(Database!$A177),"0")&amp;" HK Equity","EQUITY_OFFERINGS","array=t","endcol=1"),MATCH("IPO",BDS(TEXT(VALUE(Database!$A177),"0")&amp;" HK Equity","EQUITY_OFFERINGS","array=t","startcol=2","endcol=2"),0)),"")</f>
        <v/>
      </c>
      <c r="C177" s="260">
        <f>IF($B177="","",IFERROR(BDP($B177&amp;" Action","CP036"),""))</f>
        <v/>
      </c>
      <c r="D177" s="261">
        <f>Database!S177</f>
        <v/>
      </c>
      <c r="E177" s="260">
        <f>IF($B177="","",IFERROR(BDP($B177&amp;" Action","CP037"),""))</f>
        <v/>
      </c>
      <c r="F177" s="261">
        <f>Database!T177</f>
        <v/>
      </c>
      <c r="G177" s="260">
        <f>IF($B177="","",IFERROR(BDP($B177&amp;" Action","GREENSHOE_FACILITY"),""))</f>
        <v/>
      </c>
      <c r="H177" s="260">
        <f>IF($B177="","",IFERROR(BDP($B177&amp;" Action","OFFERING_GREENSHOE_SHARES_EX"),""))</f>
        <v/>
      </c>
      <c r="I177" s="51">
        <f>Database!AE177</f>
        <v/>
      </c>
      <c r="J177" s="58">
        <f>IFERROR(BDP(TEXT(VALUE(Database!$A177),"0")&amp;" HK Equity","PE_RATIO"),"")</f>
        <v/>
      </c>
      <c r="K177" s="43">
        <f>IFERROR(BDP(TEXT(VALUE(Database!$A177),"0")&amp;" HK Equity","A/H_SHARE_CONVERSION"),"")</f>
        <v/>
      </c>
      <c r="L177" s="51">
        <f>IF(Database!BN177="","(none found)",Database!BN177)</f>
        <v/>
      </c>
      <c r="M177" s="53">
        <f>IFERROR(INDEX(BDH(TEXT(VALUE(Database!$A177),"0")&amp;" HK Equity","CUR_MKT_CAP",Database!$H177,Database!$H177),MATCH(Database!$H177,INDEX(BDH(TEXT(VALUE(Database!$A177),"0")&amp;" HK Equity","CUR_MKT_CAP",Database!$H177,Database!$H177),0,1),0),2),"run on terminal")</f>
        <v/>
      </c>
      <c r="N177" s="213">
        <f>Database!Q177</f>
        <v/>
      </c>
      <c r="O177" s="58">
        <f>IFERROR(INDEX(BDH(TEXT(VALUE(Database!$A177),"0")&amp;" HK Equity","PE_RATIO",Database!$H177,Database!$H177),MATCH(Database!$H177,INDEX(BDH(TEXT(VALUE(Database!$A177),"0")&amp;" HK Equity","PE_RATIO",Database!$H177,Database!$H177),0,1),0),2),"run on terminal")</f>
        <v/>
      </c>
      <c r="P177" s="251">
        <f>IF(Database!BH177="","(n/m or not derivable)",Database!BH177)</f>
        <v/>
      </c>
      <c r="Q177" s="58">
        <f>IF(Database!BN177="","",IFERROR(INDEX(BDH(LEFT(Database!BN177,FIND(".",Database!BN177)-1)&amp;" CH Equity","PE_RATIO",Database!$H177,Database!$H177),MATCH(Database!$H177,INDEX(BDH(LEFT(Database!BN177,FIND(".",Database!BN177)-1)&amp;" CH Equity","PE_RATIO",Database!$H177,Database!$H177),0,1),0),2),"run on terminal"))</f>
        <v/>
      </c>
      <c r="R177" s="58">
        <f>IF(Database!BN177="","",IFERROR(INDEX(BDH("HSAHP Index","PX_LAST",Database!$H177,Database!$H177),MATCH(Database!$H177,INDEX(BDH("HSAHP Index","PX_LAST",Database!$H177,Database!$H177),0,1),0),2),"run on terminal"))</f>
        <v/>
      </c>
      <c r="S177" s="58">
        <f>IFERROR(BDP(TEXT(VALUE(Database!$A177),"0")&amp;" HK Equity","PX_TO_SALES_RATIO"),"")</f>
        <v/>
      </c>
      <c r="T177" s="53">
        <f>IF(Database!BN177="","",IFERROR(BDP(LEFT(Database!BN177,FIND(".",Database!BN177)-1)&amp;" CH Equity","CUR_MKT_CAP")*BDP("CNYHKD Curncy","PX_LAST"),"run on terminal"))</f>
        <v/>
      </c>
    </row>
    <row r="178" ht="23" customHeight="1">
      <c r="A178" s="51">
        <f>Database!A178&amp;"  "&amp;Database!B178</f>
        <v/>
      </c>
      <c r="B178" s="43">
        <f>IFERROR(INDEX(BDS(TEXT(VALUE(Database!$A178),"0")&amp;" HK Equity","EQUITY_OFFERINGS","array=t","endcol=1"),MATCH("IPO",BDS(TEXT(VALUE(Database!$A178),"0")&amp;" HK Equity","EQUITY_OFFERINGS","array=t","startcol=2","endcol=2"),0)),"")</f>
        <v/>
      </c>
      <c r="C178" s="260">
        <f>IF($B178="","",IFERROR(BDP($B178&amp;" Action","CP036"),""))</f>
        <v/>
      </c>
      <c r="D178" s="261">
        <f>Database!S178</f>
        <v/>
      </c>
      <c r="E178" s="260">
        <f>IF($B178="","",IFERROR(BDP($B178&amp;" Action","CP037"),""))</f>
        <v/>
      </c>
      <c r="F178" s="261">
        <f>Database!T178</f>
        <v/>
      </c>
      <c r="G178" s="260">
        <f>IF($B178="","",IFERROR(BDP($B178&amp;" Action","GREENSHOE_FACILITY"),""))</f>
        <v/>
      </c>
      <c r="H178" s="260">
        <f>IF($B178="","",IFERROR(BDP($B178&amp;" Action","OFFERING_GREENSHOE_SHARES_EX"),""))</f>
        <v/>
      </c>
      <c r="I178" s="51">
        <f>Database!AE178</f>
        <v/>
      </c>
      <c r="J178" s="58">
        <f>IFERROR(BDP(TEXT(VALUE(Database!$A178),"0")&amp;" HK Equity","PE_RATIO"),"")</f>
        <v/>
      </c>
      <c r="K178" s="43">
        <f>IFERROR(BDP(TEXT(VALUE(Database!$A178),"0")&amp;" HK Equity","A/H_SHARE_CONVERSION"),"")</f>
        <v/>
      </c>
      <c r="L178" s="51">
        <f>IF(Database!BN178="","(none found)",Database!BN178)</f>
        <v/>
      </c>
      <c r="M178" s="53">
        <f>IFERROR(INDEX(BDH(TEXT(VALUE(Database!$A178),"0")&amp;" HK Equity","CUR_MKT_CAP",Database!$H178,Database!$H178),MATCH(Database!$H178,INDEX(BDH(TEXT(VALUE(Database!$A178),"0")&amp;" HK Equity","CUR_MKT_CAP",Database!$H178,Database!$H178),0,1),0),2),"run on terminal")</f>
        <v/>
      </c>
      <c r="N178" s="213">
        <f>Database!Q178</f>
        <v/>
      </c>
      <c r="O178" s="58">
        <f>IFERROR(INDEX(BDH(TEXT(VALUE(Database!$A178),"0")&amp;" HK Equity","PE_RATIO",Database!$H178,Database!$H178),MATCH(Database!$H178,INDEX(BDH(TEXT(VALUE(Database!$A178),"0")&amp;" HK Equity","PE_RATIO",Database!$H178,Database!$H178),0,1),0),2),"run on terminal")</f>
        <v/>
      </c>
      <c r="P178" s="251">
        <f>IF(Database!BH178="","(n/m or not derivable)",Database!BH178)</f>
        <v/>
      </c>
      <c r="Q178" s="58">
        <f>IF(Database!BN178="","",IFERROR(INDEX(BDH(LEFT(Database!BN178,FIND(".",Database!BN178)-1)&amp;" CH Equity","PE_RATIO",Database!$H178,Database!$H178),MATCH(Database!$H178,INDEX(BDH(LEFT(Database!BN178,FIND(".",Database!BN178)-1)&amp;" CH Equity","PE_RATIO",Database!$H178,Database!$H178),0,1),0),2),"run on terminal"))</f>
        <v/>
      </c>
      <c r="R178" s="58">
        <f>IF(Database!BN178="","",IFERROR(INDEX(BDH("HSAHP Index","PX_LAST",Database!$H178,Database!$H178),MATCH(Database!$H178,INDEX(BDH("HSAHP Index","PX_LAST",Database!$H178,Database!$H178),0,1),0),2),"run on terminal"))</f>
        <v/>
      </c>
      <c r="S178" s="58">
        <f>IFERROR(BDP(TEXT(VALUE(Database!$A178),"0")&amp;" HK Equity","PX_TO_SALES_RATIO"),"")</f>
        <v/>
      </c>
      <c r="T178" s="53">
        <f>IF(Database!BN178="","",IFERROR(BDP(LEFT(Database!BN178,FIND(".",Database!BN178)-1)&amp;" CH Equity","CUR_MKT_CAP")*BDP("CNYHKD Curncy","PX_LAST"),"run on terminal"))</f>
        <v/>
      </c>
    </row>
    <row r="179" ht="23" customHeight="1">
      <c r="A179" s="51">
        <f>Database!A179&amp;"  "&amp;Database!B179</f>
        <v/>
      </c>
      <c r="B179" s="43">
        <f>IFERROR(INDEX(BDS(TEXT(VALUE(Database!$A179),"0")&amp;" HK Equity","EQUITY_OFFERINGS","array=t","endcol=1"),MATCH("IPO",BDS(TEXT(VALUE(Database!$A179),"0")&amp;" HK Equity","EQUITY_OFFERINGS","array=t","startcol=2","endcol=2"),0)),"")</f>
        <v/>
      </c>
      <c r="C179" s="260">
        <f>IF($B179="","",IFERROR(BDP($B179&amp;" Action","CP036"),""))</f>
        <v/>
      </c>
      <c r="D179" s="261">
        <f>Database!S179</f>
        <v/>
      </c>
      <c r="E179" s="260">
        <f>IF($B179="","",IFERROR(BDP($B179&amp;" Action","CP037"),""))</f>
        <v/>
      </c>
      <c r="F179" s="261">
        <f>Database!T179</f>
        <v/>
      </c>
      <c r="G179" s="260">
        <f>IF($B179="","",IFERROR(BDP($B179&amp;" Action","GREENSHOE_FACILITY"),""))</f>
        <v/>
      </c>
      <c r="H179" s="260">
        <f>IF($B179="","",IFERROR(BDP($B179&amp;" Action","OFFERING_GREENSHOE_SHARES_EX"),""))</f>
        <v/>
      </c>
      <c r="I179" s="51">
        <f>Database!AE179</f>
        <v/>
      </c>
      <c r="J179" s="58">
        <f>IFERROR(BDP(TEXT(VALUE(Database!$A179),"0")&amp;" HK Equity","PE_RATIO"),"")</f>
        <v/>
      </c>
      <c r="K179" s="43">
        <f>IFERROR(BDP(TEXT(VALUE(Database!$A179),"0")&amp;" HK Equity","A/H_SHARE_CONVERSION"),"")</f>
        <v/>
      </c>
      <c r="L179" s="51">
        <f>IF(Database!BN179="","(none found)",Database!BN179)</f>
        <v/>
      </c>
      <c r="M179" s="53">
        <f>IFERROR(INDEX(BDH(TEXT(VALUE(Database!$A179),"0")&amp;" HK Equity","CUR_MKT_CAP",Database!$H179,Database!$H179),MATCH(Database!$H179,INDEX(BDH(TEXT(VALUE(Database!$A179),"0")&amp;" HK Equity","CUR_MKT_CAP",Database!$H179,Database!$H179),0,1),0),2),"run on terminal")</f>
        <v/>
      </c>
      <c r="N179" s="213">
        <f>Database!Q179</f>
        <v/>
      </c>
      <c r="O179" s="58">
        <f>IFERROR(INDEX(BDH(TEXT(VALUE(Database!$A179),"0")&amp;" HK Equity","PE_RATIO",Database!$H179,Database!$H179),MATCH(Database!$H179,INDEX(BDH(TEXT(VALUE(Database!$A179),"0")&amp;" HK Equity","PE_RATIO",Database!$H179,Database!$H179),0,1),0),2),"run on terminal")</f>
        <v/>
      </c>
      <c r="P179" s="251">
        <f>IF(Database!BH179="","(n/m or not derivable)",Database!BH179)</f>
        <v/>
      </c>
      <c r="Q179" s="58">
        <f>IF(Database!BN179="","",IFERROR(INDEX(BDH(LEFT(Database!BN179,FIND(".",Database!BN179)-1)&amp;" CH Equity","PE_RATIO",Database!$H179,Database!$H179),MATCH(Database!$H179,INDEX(BDH(LEFT(Database!BN179,FIND(".",Database!BN179)-1)&amp;" CH Equity","PE_RATIO",Database!$H179,Database!$H179),0,1),0),2),"run on terminal"))</f>
        <v/>
      </c>
      <c r="R179" s="58">
        <f>IF(Database!BN179="","",IFERROR(INDEX(BDH("HSAHP Index","PX_LAST",Database!$H179,Database!$H179),MATCH(Database!$H179,INDEX(BDH("HSAHP Index","PX_LAST",Database!$H179,Database!$H179),0,1),0),2),"run on terminal"))</f>
        <v/>
      </c>
      <c r="S179" s="58">
        <f>IFERROR(BDP(TEXT(VALUE(Database!$A179),"0")&amp;" HK Equity","PX_TO_SALES_RATIO"),"")</f>
        <v/>
      </c>
      <c r="T179" s="53">
        <f>IF(Database!BN179="","",IFERROR(BDP(LEFT(Database!BN179,FIND(".",Database!BN179)-1)&amp;" CH Equity","CUR_MKT_CAP")*BDP("CNYHKD Curncy","PX_LAST"),"run on terminal"))</f>
        <v/>
      </c>
    </row>
    <row r="180" ht="23" customHeight="1">
      <c r="A180" s="51">
        <f>Database!A180&amp;"  "&amp;Database!B180</f>
        <v/>
      </c>
      <c r="B180" s="43">
        <f>IFERROR(INDEX(BDS(TEXT(VALUE(Database!$A180),"0")&amp;" HK Equity","EQUITY_OFFERINGS","array=t","endcol=1"),MATCH("IPO",BDS(TEXT(VALUE(Database!$A180),"0")&amp;" HK Equity","EQUITY_OFFERINGS","array=t","startcol=2","endcol=2"),0)),"")</f>
        <v/>
      </c>
      <c r="C180" s="260">
        <f>IF($B180="","",IFERROR(BDP($B180&amp;" Action","CP036"),""))</f>
        <v/>
      </c>
      <c r="D180" s="261">
        <f>Database!S180</f>
        <v/>
      </c>
      <c r="E180" s="260">
        <f>IF($B180="","",IFERROR(BDP($B180&amp;" Action","CP037"),""))</f>
        <v/>
      </c>
      <c r="F180" s="261">
        <f>Database!T180</f>
        <v/>
      </c>
      <c r="G180" s="260">
        <f>IF($B180="","",IFERROR(BDP($B180&amp;" Action","GREENSHOE_FACILITY"),""))</f>
        <v/>
      </c>
      <c r="H180" s="260">
        <f>IF($B180="","",IFERROR(BDP($B180&amp;" Action","OFFERING_GREENSHOE_SHARES_EX"),""))</f>
        <v/>
      </c>
      <c r="I180" s="51">
        <f>Database!AE180</f>
        <v/>
      </c>
      <c r="J180" s="58">
        <f>IFERROR(BDP(TEXT(VALUE(Database!$A180),"0")&amp;" HK Equity","PE_RATIO"),"")</f>
        <v/>
      </c>
      <c r="K180" s="43">
        <f>IFERROR(BDP(TEXT(VALUE(Database!$A180),"0")&amp;" HK Equity","A/H_SHARE_CONVERSION"),"")</f>
        <v/>
      </c>
      <c r="L180" s="51">
        <f>IF(Database!BN180="","(none found)",Database!BN180)</f>
        <v/>
      </c>
      <c r="M180" s="53">
        <f>IFERROR(INDEX(BDH(TEXT(VALUE(Database!$A180),"0")&amp;" HK Equity","CUR_MKT_CAP",Database!$H180,Database!$H180),MATCH(Database!$H180,INDEX(BDH(TEXT(VALUE(Database!$A180),"0")&amp;" HK Equity","CUR_MKT_CAP",Database!$H180,Database!$H180),0,1),0),2),"run on terminal")</f>
        <v/>
      </c>
      <c r="N180" s="213">
        <f>Database!Q180</f>
        <v/>
      </c>
      <c r="O180" s="58">
        <f>IFERROR(INDEX(BDH(TEXT(VALUE(Database!$A180),"0")&amp;" HK Equity","PE_RATIO",Database!$H180,Database!$H180),MATCH(Database!$H180,INDEX(BDH(TEXT(VALUE(Database!$A180),"0")&amp;" HK Equity","PE_RATIO",Database!$H180,Database!$H180),0,1),0),2),"run on terminal")</f>
        <v/>
      </c>
      <c r="P180" s="251">
        <f>IF(Database!BH180="","(n/m or not derivable)",Database!BH180)</f>
        <v/>
      </c>
      <c r="Q180" s="58">
        <f>IF(Database!BN180="","",IFERROR(INDEX(BDH(LEFT(Database!BN180,FIND(".",Database!BN180)-1)&amp;" CH Equity","PE_RATIO",Database!$H180,Database!$H180),MATCH(Database!$H180,INDEX(BDH(LEFT(Database!BN180,FIND(".",Database!BN180)-1)&amp;" CH Equity","PE_RATIO",Database!$H180,Database!$H180),0,1),0),2),"run on terminal"))</f>
        <v/>
      </c>
      <c r="R180" s="58">
        <f>IF(Database!BN180="","",IFERROR(INDEX(BDH("HSAHP Index","PX_LAST",Database!$H180,Database!$H180),MATCH(Database!$H180,INDEX(BDH("HSAHP Index","PX_LAST",Database!$H180,Database!$H180),0,1),0),2),"run on terminal"))</f>
        <v/>
      </c>
      <c r="S180" s="58">
        <f>IFERROR(BDP(TEXT(VALUE(Database!$A180),"0")&amp;" HK Equity","PX_TO_SALES_RATIO"),"")</f>
        <v/>
      </c>
      <c r="T180" s="53">
        <f>IF(Database!BN180="","",IFERROR(BDP(LEFT(Database!BN180,FIND(".",Database!BN180)-1)&amp;" CH Equity","CUR_MKT_CAP")*BDP("CNYHKD Curncy","PX_LAST"),"run on terminal"))</f>
        <v/>
      </c>
    </row>
    <row r="181" ht="23" customHeight="1">
      <c r="A181" s="51">
        <f>Database!A181&amp;"  "&amp;Database!B181</f>
        <v/>
      </c>
      <c r="B181" s="43">
        <f>IFERROR(INDEX(BDS(TEXT(VALUE(Database!$A181),"0")&amp;" HK Equity","EQUITY_OFFERINGS","array=t","endcol=1"),MATCH("IPO",BDS(TEXT(VALUE(Database!$A181),"0")&amp;" HK Equity","EQUITY_OFFERINGS","array=t","startcol=2","endcol=2"),0)),"")</f>
        <v/>
      </c>
      <c r="C181" s="260">
        <f>IF($B181="","",IFERROR(BDP($B181&amp;" Action","CP036"),""))</f>
        <v/>
      </c>
      <c r="D181" s="261">
        <f>Database!S181</f>
        <v/>
      </c>
      <c r="E181" s="260">
        <f>IF($B181="","",IFERROR(BDP($B181&amp;" Action","CP037"),""))</f>
        <v/>
      </c>
      <c r="F181" s="261">
        <f>Database!T181</f>
        <v/>
      </c>
      <c r="G181" s="260">
        <f>IF($B181="","",IFERROR(BDP($B181&amp;" Action","GREENSHOE_FACILITY"),""))</f>
        <v/>
      </c>
      <c r="H181" s="260">
        <f>IF($B181="","",IFERROR(BDP($B181&amp;" Action","OFFERING_GREENSHOE_SHARES_EX"),""))</f>
        <v/>
      </c>
      <c r="I181" s="51">
        <f>Database!AE181</f>
        <v/>
      </c>
      <c r="J181" s="58">
        <f>IFERROR(BDP(TEXT(VALUE(Database!$A181),"0")&amp;" HK Equity","PE_RATIO"),"")</f>
        <v/>
      </c>
      <c r="K181" s="43">
        <f>IFERROR(BDP(TEXT(VALUE(Database!$A181),"0")&amp;" HK Equity","A/H_SHARE_CONVERSION"),"")</f>
        <v/>
      </c>
      <c r="L181" s="51">
        <f>IF(Database!BN181="","(none found)",Database!BN181)</f>
        <v/>
      </c>
      <c r="M181" s="53">
        <f>IFERROR(INDEX(BDH(TEXT(VALUE(Database!$A181),"0")&amp;" HK Equity","CUR_MKT_CAP",Database!$H181,Database!$H181),MATCH(Database!$H181,INDEX(BDH(TEXT(VALUE(Database!$A181),"0")&amp;" HK Equity","CUR_MKT_CAP",Database!$H181,Database!$H181),0,1),0),2),"run on terminal")</f>
        <v/>
      </c>
      <c r="N181" s="213">
        <f>Database!Q181</f>
        <v/>
      </c>
      <c r="O181" s="58">
        <f>IFERROR(INDEX(BDH(TEXT(VALUE(Database!$A181),"0")&amp;" HK Equity","PE_RATIO",Database!$H181,Database!$H181),MATCH(Database!$H181,INDEX(BDH(TEXT(VALUE(Database!$A181),"0")&amp;" HK Equity","PE_RATIO",Database!$H181,Database!$H181),0,1),0),2),"run on terminal")</f>
        <v/>
      </c>
      <c r="P181" s="251">
        <f>IF(Database!BH181="","(n/m or not derivable)",Database!BH181)</f>
        <v/>
      </c>
      <c r="Q181" s="58">
        <f>IF(Database!BN181="","",IFERROR(INDEX(BDH(LEFT(Database!BN181,FIND(".",Database!BN181)-1)&amp;" CH Equity","PE_RATIO",Database!$H181,Database!$H181),MATCH(Database!$H181,INDEX(BDH(LEFT(Database!BN181,FIND(".",Database!BN181)-1)&amp;" CH Equity","PE_RATIO",Database!$H181,Database!$H181),0,1),0),2),"run on terminal"))</f>
        <v/>
      </c>
      <c r="R181" s="58">
        <f>IF(Database!BN181="","",IFERROR(INDEX(BDH("HSAHP Index","PX_LAST",Database!$H181,Database!$H181),MATCH(Database!$H181,INDEX(BDH("HSAHP Index","PX_LAST",Database!$H181,Database!$H181),0,1),0),2),"run on terminal"))</f>
        <v/>
      </c>
      <c r="S181" s="58">
        <f>IFERROR(BDP(TEXT(VALUE(Database!$A181),"0")&amp;" HK Equity","PX_TO_SALES_RATIO"),"")</f>
        <v/>
      </c>
      <c r="T181" s="53">
        <f>IF(Database!BN181="","",IFERROR(BDP(LEFT(Database!BN181,FIND(".",Database!BN181)-1)&amp;" CH Equity","CUR_MKT_CAP")*BDP("CNYHKD Curncy","PX_LAST"),"run on terminal"))</f>
        <v/>
      </c>
    </row>
    <row r="182" ht="23" customHeight="1">
      <c r="A182" s="51">
        <f>Database!A182&amp;"  "&amp;Database!B182</f>
        <v/>
      </c>
      <c r="B182" s="43">
        <f>IFERROR(INDEX(BDS(TEXT(VALUE(Database!$A182),"0")&amp;" HK Equity","EQUITY_OFFERINGS","array=t","endcol=1"),MATCH("IPO",BDS(TEXT(VALUE(Database!$A182),"0")&amp;" HK Equity","EQUITY_OFFERINGS","array=t","startcol=2","endcol=2"),0)),"")</f>
        <v/>
      </c>
      <c r="C182" s="260">
        <f>IF($B182="","",IFERROR(BDP($B182&amp;" Action","CP036"),""))</f>
        <v/>
      </c>
      <c r="D182" s="261">
        <f>Database!S182</f>
        <v/>
      </c>
      <c r="E182" s="260">
        <f>IF($B182="","",IFERROR(BDP($B182&amp;" Action","CP037"),""))</f>
        <v/>
      </c>
      <c r="F182" s="261">
        <f>Database!T182</f>
        <v/>
      </c>
      <c r="G182" s="260">
        <f>IF($B182="","",IFERROR(BDP($B182&amp;" Action","GREENSHOE_FACILITY"),""))</f>
        <v/>
      </c>
      <c r="H182" s="260">
        <f>IF($B182="","",IFERROR(BDP($B182&amp;" Action","OFFERING_GREENSHOE_SHARES_EX"),""))</f>
        <v/>
      </c>
      <c r="I182" s="51">
        <f>Database!AE182</f>
        <v/>
      </c>
      <c r="J182" s="58">
        <f>IFERROR(BDP(TEXT(VALUE(Database!$A182),"0")&amp;" HK Equity","PE_RATIO"),"")</f>
        <v/>
      </c>
      <c r="K182" s="43">
        <f>IFERROR(BDP(TEXT(VALUE(Database!$A182),"0")&amp;" HK Equity","A/H_SHARE_CONVERSION"),"")</f>
        <v/>
      </c>
      <c r="L182" s="51">
        <f>IF(Database!BN182="","(none found)",Database!BN182)</f>
        <v/>
      </c>
      <c r="M182" s="53">
        <f>IFERROR(INDEX(BDH(TEXT(VALUE(Database!$A182),"0")&amp;" HK Equity","CUR_MKT_CAP",Database!$H182,Database!$H182),MATCH(Database!$H182,INDEX(BDH(TEXT(VALUE(Database!$A182),"0")&amp;" HK Equity","CUR_MKT_CAP",Database!$H182,Database!$H182),0,1),0),2),"run on terminal")</f>
        <v/>
      </c>
      <c r="N182" s="213">
        <f>Database!Q182</f>
        <v/>
      </c>
      <c r="O182" s="58">
        <f>IFERROR(INDEX(BDH(TEXT(VALUE(Database!$A182),"0")&amp;" HK Equity","PE_RATIO",Database!$H182,Database!$H182),MATCH(Database!$H182,INDEX(BDH(TEXT(VALUE(Database!$A182),"0")&amp;" HK Equity","PE_RATIO",Database!$H182,Database!$H182),0,1),0),2),"run on terminal")</f>
        <v/>
      </c>
      <c r="P182" s="251">
        <f>IF(Database!BH182="","(n/m or not derivable)",Database!BH182)</f>
        <v/>
      </c>
      <c r="Q182" s="58">
        <f>IF(Database!BN182="","",IFERROR(INDEX(BDH(LEFT(Database!BN182,FIND(".",Database!BN182)-1)&amp;" CH Equity","PE_RATIO",Database!$H182,Database!$H182),MATCH(Database!$H182,INDEX(BDH(LEFT(Database!BN182,FIND(".",Database!BN182)-1)&amp;" CH Equity","PE_RATIO",Database!$H182,Database!$H182),0,1),0),2),"run on terminal"))</f>
        <v/>
      </c>
      <c r="R182" s="58">
        <f>IF(Database!BN182="","",IFERROR(INDEX(BDH("HSAHP Index","PX_LAST",Database!$H182,Database!$H182),MATCH(Database!$H182,INDEX(BDH("HSAHP Index","PX_LAST",Database!$H182,Database!$H182),0,1),0),2),"run on terminal"))</f>
        <v/>
      </c>
      <c r="S182" s="58">
        <f>IFERROR(BDP(TEXT(VALUE(Database!$A182),"0")&amp;" HK Equity","PX_TO_SALES_RATIO"),"")</f>
        <v/>
      </c>
      <c r="T182" s="53">
        <f>IF(Database!BN182="","",IFERROR(BDP(LEFT(Database!BN182,FIND(".",Database!BN182)-1)&amp;" CH Equity","CUR_MKT_CAP")*BDP("CNYHKD Curncy","PX_LAST"),"run on terminal"))</f>
        <v/>
      </c>
    </row>
    <row r="183" ht="23" customHeight="1">
      <c r="A183" s="51">
        <f>Database!A183&amp;"  "&amp;Database!B183</f>
        <v/>
      </c>
      <c r="B183" s="43">
        <f>IFERROR(INDEX(BDS(TEXT(VALUE(Database!$A183),"0")&amp;" HK Equity","EQUITY_OFFERINGS","array=t","endcol=1"),MATCH("IPO",BDS(TEXT(VALUE(Database!$A183),"0")&amp;" HK Equity","EQUITY_OFFERINGS","array=t","startcol=2","endcol=2"),0)),"")</f>
        <v/>
      </c>
      <c r="C183" s="260">
        <f>IF($B183="","",IFERROR(BDP($B183&amp;" Action","CP036"),""))</f>
        <v/>
      </c>
      <c r="D183" s="261">
        <f>Database!S183</f>
        <v/>
      </c>
      <c r="E183" s="260">
        <f>IF($B183="","",IFERROR(BDP($B183&amp;" Action","CP037"),""))</f>
        <v/>
      </c>
      <c r="F183" s="261">
        <f>Database!T183</f>
        <v/>
      </c>
      <c r="G183" s="260">
        <f>IF($B183="","",IFERROR(BDP($B183&amp;" Action","GREENSHOE_FACILITY"),""))</f>
        <v/>
      </c>
      <c r="H183" s="260">
        <f>IF($B183="","",IFERROR(BDP($B183&amp;" Action","OFFERING_GREENSHOE_SHARES_EX"),""))</f>
        <v/>
      </c>
      <c r="I183" s="51">
        <f>Database!AE183</f>
        <v/>
      </c>
      <c r="J183" s="58">
        <f>IFERROR(BDP(TEXT(VALUE(Database!$A183),"0")&amp;" HK Equity","PE_RATIO"),"")</f>
        <v/>
      </c>
      <c r="K183" s="43">
        <f>IFERROR(BDP(TEXT(VALUE(Database!$A183),"0")&amp;" HK Equity","A/H_SHARE_CONVERSION"),"")</f>
        <v/>
      </c>
      <c r="L183" s="51">
        <f>IF(Database!BN183="","(none found)",Database!BN183)</f>
        <v/>
      </c>
      <c r="M183" s="53">
        <f>IFERROR(INDEX(BDH(TEXT(VALUE(Database!$A183),"0")&amp;" HK Equity","CUR_MKT_CAP",Database!$H183,Database!$H183),MATCH(Database!$H183,INDEX(BDH(TEXT(VALUE(Database!$A183),"0")&amp;" HK Equity","CUR_MKT_CAP",Database!$H183,Database!$H183),0,1),0),2),"run on terminal")</f>
        <v/>
      </c>
      <c r="N183" s="213">
        <f>Database!Q183</f>
        <v/>
      </c>
      <c r="O183" s="58">
        <f>IFERROR(INDEX(BDH(TEXT(VALUE(Database!$A183),"0")&amp;" HK Equity","PE_RATIO",Database!$H183,Database!$H183),MATCH(Database!$H183,INDEX(BDH(TEXT(VALUE(Database!$A183),"0")&amp;" HK Equity","PE_RATIO",Database!$H183,Database!$H183),0,1),0),2),"run on terminal")</f>
        <v/>
      </c>
      <c r="P183" s="251">
        <f>IF(Database!BH183="","(n/m or not derivable)",Database!BH183)</f>
        <v/>
      </c>
      <c r="Q183" s="58">
        <f>IF(Database!BN183="","",IFERROR(INDEX(BDH(LEFT(Database!BN183,FIND(".",Database!BN183)-1)&amp;" CH Equity","PE_RATIO",Database!$H183,Database!$H183),MATCH(Database!$H183,INDEX(BDH(LEFT(Database!BN183,FIND(".",Database!BN183)-1)&amp;" CH Equity","PE_RATIO",Database!$H183,Database!$H183),0,1),0),2),"run on terminal"))</f>
        <v/>
      </c>
      <c r="R183" s="58">
        <f>IF(Database!BN183="","",IFERROR(INDEX(BDH("HSAHP Index","PX_LAST",Database!$H183,Database!$H183),MATCH(Database!$H183,INDEX(BDH("HSAHP Index","PX_LAST",Database!$H183,Database!$H183),0,1),0),2),"run on terminal"))</f>
        <v/>
      </c>
      <c r="S183" s="58">
        <f>IFERROR(BDP(TEXT(VALUE(Database!$A183),"0")&amp;" HK Equity","PX_TO_SALES_RATIO"),"")</f>
        <v/>
      </c>
      <c r="T183" s="53">
        <f>IF(Database!BN183="","",IFERROR(BDP(LEFT(Database!BN183,FIND(".",Database!BN183)-1)&amp;" CH Equity","CUR_MKT_CAP")*BDP("CNYHKD Curncy","PX_LAST"),"run on terminal"))</f>
        <v/>
      </c>
    </row>
    <row r="184" ht="23" customHeight="1">
      <c r="A184" s="51">
        <f>Database!A184&amp;"  "&amp;Database!B184</f>
        <v/>
      </c>
      <c r="B184" s="43">
        <f>IFERROR(INDEX(BDS(TEXT(VALUE(Database!$A184),"0")&amp;" HK Equity","EQUITY_OFFERINGS","array=t","endcol=1"),MATCH("IPO",BDS(TEXT(VALUE(Database!$A184),"0")&amp;" HK Equity","EQUITY_OFFERINGS","array=t","startcol=2","endcol=2"),0)),"")</f>
        <v/>
      </c>
      <c r="C184" s="260">
        <f>IF($B184="","",IFERROR(BDP($B184&amp;" Action","CP036"),""))</f>
        <v/>
      </c>
      <c r="D184" s="261">
        <f>Database!S184</f>
        <v/>
      </c>
      <c r="E184" s="260">
        <f>IF($B184="","",IFERROR(BDP($B184&amp;" Action","CP037"),""))</f>
        <v/>
      </c>
      <c r="F184" s="261">
        <f>Database!T184</f>
        <v/>
      </c>
      <c r="G184" s="260">
        <f>IF($B184="","",IFERROR(BDP($B184&amp;" Action","GREENSHOE_FACILITY"),""))</f>
        <v/>
      </c>
      <c r="H184" s="260">
        <f>IF($B184="","",IFERROR(BDP($B184&amp;" Action","OFFERING_GREENSHOE_SHARES_EX"),""))</f>
        <v/>
      </c>
      <c r="I184" s="51">
        <f>Database!AE184</f>
        <v/>
      </c>
      <c r="J184" s="58">
        <f>IFERROR(BDP(TEXT(VALUE(Database!$A184),"0")&amp;" HK Equity","PE_RATIO"),"")</f>
        <v/>
      </c>
      <c r="K184" s="43">
        <f>IFERROR(BDP(TEXT(VALUE(Database!$A184),"0")&amp;" HK Equity","A/H_SHARE_CONVERSION"),"")</f>
        <v/>
      </c>
      <c r="L184" s="51">
        <f>IF(Database!BN184="","(none found)",Database!BN184)</f>
        <v/>
      </c>
      <c r="M184" s="53">
        <f>IFERROR(INDEX(BDH(TEXT(VALUE(Database!$A184),"0")&amp;" HK Equity","CUR_MKT_CAP",Database!$H184,Database!$H184),MATCH(Database!$H184,INDEX(BDH(TEXT(VALUE(Database!$A184),"0")&amp;" HK Equity","CUR_MKT_CAP",Database!$H184,Database!$H184),0,1),0),2),"run on terminal")</f>
        <v/>
      </c>
      <c r="N184" s="213">
        <f>Database!Q184</f>
        <v/>
      </c>
      <c r="O184" s="58">
        <f>IFERROR(INDEX(BDH(TEXT(VALUE(Database!$A184),"0")&amp;" HK Equity","PE_RATIO",Database!$H184,Database!$H184),MATCH(Database!$H184,INDEX(BDH(TEXT(VALUE(Database!$A184),"0")&amp;" HK Equity","PE_RATIO",Database!$H184,Database!$H184),0,1),0),2),"run on terminal")</f>
        <v/>
      </c>
      <c r="P184" s="251">
        <f>IF(Database!BH184="","(n/m or not derivable)",Database!BH184)</f>
        <v/>
      </c>
      <c r="Q184" s="58">
        <f>IF(Database!BN184="","",IFERROR(INDEX(BDH(LEFT(Database!BN184,FIND(".",Database!BN184)-1)&amp;" CH Equity","PE_RATIO",Database!$H184,Database!$H184),MATCH(Database!$H184,INDEX(BDH(LEFT(Database!BN184,FIND(".",Database!BN184)-1)&amp;" CH Equity","PE_RATIO",Database!$H184,Database!$H184),0,1),0),2),"run on terminal"))</f>
        <v/>
      </c>
      <c r="R184" s="58">
        <f>IF(Database!BN184="","",IFERROR(INDEX(BDH("HSAHP Index","PX_LAST",Database!$H184,Database!$H184),MATCH(Database!$H184,INDEX(BDH("HSAHP Index","PX_LAST",Database!$H184,Database!$H184),0,1),0),2),"run on terminal"))</f>
        <v/>
      </c>
      <c r="S184" s="58">
        <f>IFERROR(BDP(TEXT(VALUE(Database!$A184),"0")&amp;" HK Equity","PX_TO_SALES_RATIO"),"")</f>
        <v/>
      </c>
      <c r="T184" s="53">
        <f>IF(Database!BN184="","",IFERROR(BDP(LEFT(Database!BN184,FIND(".",Database!BN184)-1)&amp;" CH Equity","CUR_MKT_CAP")*BDP("CNYHKD Curncy","PX_LAST"),"run on terminal"))</f>
        <v/>
      </c>
    </row>
    <row r="185" ht="23" customHeight="1">
      <c r="A185" s="51">
        <f>Database!A185&amp;"  "&amp;Database!B185</f>
        <v/>
      </c>
      <c r="B185" s="43">
        <f>IFERROR(INDEX(BDS(TEXT(VALUE(Database!$A185),"0")&amp;" HK Equity","EQUITY_OFFERINGS","array=t","endcol=1"),MATCH("IPO",BDS(TEXT(VALUE(Database!$A185),"0")&amp;" HK Equity","EQUITY_OFFERINGS","array=t","startcol=2","endcol=2"),0)),"")</f>
        <v/>
      </c>
      <c r="C185" s="260">
        <f>IF($B185="","",IFERROR(BDP($B185&amp;" Action","CP036"),""))</f>
        <v/>
      </c>
      <c r="D185" s="261">
        <f>Database!S185</f>
        <v/>
      </c>
      <c r="E185" s="260">
        <f>IF($B185="","",IFERROR(BDP($B185&amp;" Action","CP037"),""))</f>
        <v/>
      </c>
      <c r="F185" s="261">
        <f>Database!T185</f>
        <v/>
      </c>
      <c r="G185" s="260">
        <f>IF($B185="","",IFERROR(BDP($B185&amp;" Action","GREENSHOE_FACILITY"),""))</f>
        <v/>
      </c>
      <c r="H185" s="260">
        <f>IF($B185="","",IFERROR(BDP($B185&amp;" Action","OFFERING_GREENSHOE_SHARES_EX"),""))</f>
        <v/>
      </c>
      <c r="I185" s="51">
        <f>Database!AE185</f>
        <v/>
      </c>
      <c r="J185" s="58">
        <f>IFERROR(BDP(TEXT(VALUE(Database!$A185),"0")&amp;" HK Equity","PE_RATIO"),"")</f>
        <v/>
      </c>
      <c r="K185" s="43">
        <f>IFERROR(BDP(TEXT(VALUE(Database!$A185),"0")&amp;" HK Equity","A/H_SHARE_CONVERSION"),"")</f>
        <v/>
      </c>
      <c r="L185" s="51">
        <f>IF(Database!BN185="","(none found)",Database!BN185)</f>
        <v/>
      </c>
      <c r="M185" s="53">
        <f>IFERROR(INDEX(BDH(TEXT(VALUE(Database!$A185),"0")&amp;" HK Equity","CUR_MKT_CAP",Database!$H185,Database!$H185),MATCH(Database!$H185,INDEX(BDH(TEXT(VALUE(Database!$A185),"0")&amp;" HK Equity","CUR_MKT_CAP",Database!$H185,Database!$H185),0,1),0),2),"run on terminal")</f>
        <v/>
      </c>
      <c r="N185" s="213">
        <f>Database!Q185</f>
        <v/>
      </c>
      <c r="O185" s="58">
        <f>IFERROR(INDEX(BDH(TEXT(VALUE(Database!$A185),"0")&amp;" HK Equity","PE_RATIO",Database!$H185,Database!$H185),MATCH(Database!$H185,INDEX(BDH(TEXT(VALUE(Database!$A185),"0")&amp;" HK Equity","PE_RATIO",Database!$H185,Database!$H185),0,1),0),2),"run on terminal")</f>
        <v/>
      </c>
      <c r="P185" s="251">
        <f>IF(Database!BH185="","(n/m or not derivable)",Database!BH185)</f>
        <v/>
      </c>
      <c r="Q185" s="58">
        <f>IF(Database!BN185="","",IFERROR(INDEX(BDH(LEFT(Database!BN185,FIND(".",Database!BN185)-1)&amp;" CH Equity","PE_RATIO",Database!$H185,Database!$H185),MATCH(Database!$H185,INDEX(BDH(LEFT(Database!BN185,FIND(".",Database!BN185)-1)&amp;" CH Equity","PE_RATIO",Database!$H185,Database!$H185),0,1),0),2),"run on terminal"))</f>
        <v/>
      </c>
      <c r="R185" s="58">
        <f>IF(Database!BN185="","",IFERROR(INDEX(BDH("HSAHP Index","PX_LAST",Database!$H185,Database!$H185),MATCH(Database!$H185,INDEX(BDH("HSAHP Index","PX_LAST",Database!$H185,Database!$H185),0,1),0),2),"run on terminal"))</f>
        <v/>
      </c>
      <c r="S185" s="58">
        <f>IFERROR(BDP(TEXT(VALUE(Database!$A185),"0")&amp;" HK Equity","PX_TO_SALES_RATIO"),"")</f>
        <v/>
      </c>
      <c r="T185" s="53">
        <f>IF(Database!BN185="","",IFERROR(BDP(LEFT(Database!BN185,FIND(".",Database!BN185)-1)&amp;" CH Equity","CUR_MKT_CAP")*BDP("CNYHKD Curncy","PX_LAST"),"run on terminal"))</f>
        <v/>
      </c>
    </row>
    <row r="186" ht="23" customHeight="1">
      <c r="A186" s="51">
        <f>Database!A186&amp;"  "&amp;Database!B186</f>
        <v/>
      </c>
      <c r="B186" s="43">
        <f>IFERROR(INDEX(BDS(TEXT(VALUE(Database!$A186),"0")&amp;" HK Equity","EQUITY_OFFERINGS","array=t","endcol=1"),MATCH("IPO",BDS(TEXT(VALUE(Database!$A186),"0")&amp;" HK Equity","EQUITY_OFFERINGS","array=t","startcol=2","endcol=2"),0)),"")</f>
        <v/>
      </c>
      <c r="C186" s="260">
        <f>IF($B186="","",IFERROR(BDP($B186&amp;" Action","CP036"),""))</f>
        <v/>
      </c>
      <c r="D186" s="261">
        <f>Database!S186</f>
        <v/>
      </c>
      <c r="E186" s="260">
        <f>IF($B186="","",IFERROR(BDP($B186&amp;" Action","CP037"),""))</f>
        <v/>
      </c>
      <c r="F186" s="261">
        <f>Database!T186</f>
        <v/>
      </c>
      <c r="G186" s="260">
        <f>IF($B186="","",IFERROR(BDP($B186&amp;" Action","GREENSHOE_FACILITY"),""))</f>
        <v/>
      </c>
      <c r="H186" s="260">
        <f>IF($B186="","",IFERROR(BDP($B186&amp;" Action","OFFERING_GREENSHOE_SHARES_EX"),""))</f>
        <v/>
      </c>
      <c r="I186" s="51">
        <f>Database!AE186</f>
        <v/>
      </c>
      <c r="J186" s="58">
        <f>IFERROR(BDP(TEXT(VALUE(Database!$A186),"0")&amp;" HK Equity","PE_RATIO"),"")</f>
        <v/>
      </c>
      <c r="K186" s="43">
        <f>IFERROR(BDP(TEXT(VALUE(Database!$A186),"0")&amp;" HK Equity","A/H_SHARE_CONVERSION"),"")</f>
        <v/>
      </c>
      <c r="L186" s="51">
        <f>IF(Database!BN186="","(none found)",Database!BN186)</f>
        <v/>
      </c>
      <c r="M186" s="53">
        <f>IFERROR(INDEX(BDH(TEXT(VALUE(Database!$A186),"0")&amp;" HK Equity","CUR_MKT_CAP",Database!$H186,Database!$H186),MATCH(Database!$H186,INDEX(BDH(TEXT(VALUE(Database!$A186),"0")&amp;" HK Equity","CUR_MKT_CAP",Database!$H186,Database!$H186),0,1),0),2),"run on terminal")</f>
        <v/>
      </c>
      <c r="N186" s="213">
        <f>Database!Q186</f>
        <v/>
      </c>
      <c r="O186" s="58">
        <f>IFERROR(INDEX(BDH(TEXT(VALUE(Database!$A186),"0")&amp;" HK Equity","PE_RATIO",Database!$H186,Database!$H186),MATCH(Database!$H186,INDEX(BDH(TEXT(VALUE(Database!$A186),"0")&amp;" HK Equity","PE_RATIO",Database!$H186,Database!$H186),0,1),0),2),"run on terminal")</f>
        <v/>
      </c>
      <c r="P186" s="251">
        <f>IF(Database!BH186="","(n/m or not derivable)",Database!BH186)</f>
        <v/>
      </c>
      <c r="Q186" s="58">
        <f>IF(Database!BN186="","",IFERROR(INDEX(BDH(LEFT(Database!BN186,FIND(".",Database!BN186)-1)&amp;" CH Equity","PE_RATIO",Database!$H186,Database!$H186),MATCH(Database!$H186,INDEX(BDH(LEFT(Database!BN186,FIND(".",Database!BN186)-1)&amp;" CH Equity","PE_RATIO",Database!$H186,Database!$H186),0,1),0),2),"run on terminal"))</f>
        <v/>
      </c>
      <c r="R186" s="58">
        <f>IF(Database!BN186="","",IFERROR(INDEX(BDH("HSAHP Index","PX_LAST",Database!$H186,Database!$H186),MATCH(Database!$H186,INDEX(BDH("HSAHP Index","PX_LAST",Database!$H186,Database!$H186),0,1),0),2),"run on terminal"))</f>
        <v/>
      </c>
      <c r="S186" s="58">
        <f>IFERROR(BDP(TEXT(VALUE(Database!$A186),"0")&amp;" HK Equity","PX_TO_SALES_RATIO"),"")</f>
        <v/>
      </c>
      <c r="T186" s="53">
        <f>IF(Database!BN186="","",IFERROR(BDP(LEFT(Database!BN186,FIND(".",Database!BN186)-1)&amp;" CH Equity","CUR_MKT_CAP")*BDP("CNYHKD Curncy","PX_LAST"),"run on terminal"))</f>
        <v/>
      </c>
    </row>
    <row r="187" ht="23" customHeight="1">
      <c r="A187" s="51">
        <f>Database!A187&amp;"  "&amp;Database!B187</f>
        <v/>
      </c>
      <c r="B187" s="43">
        <f>IFERROR(INDEX(BDS(TEXT(VALUE(Database!$A187),"0")&amp;" HK Equity","EQUITY_OFFERINGS","array=t","endcol=1"),MATCH("IPO",BDS(TEXT(VALUE(Database!$A187),"0")&amp;" HK Equity","EQUITY_OFFERINGS","array=t","startcol=2","endcol=2"),0)),"")</f>
        <v/>
      </c>
      <c r="C187" s="260">
        <f>IF($B187="","",IFERROR(BDP($B187&amp;" Action","CP036"),""))</f>
        <v/>
      </c>
      <c r="D187" s="261">
        <f>Database!S187</f>
        <v/>
      </c>
      <c r="E187" s="260">
        <f>IF($B187="","",IFERROR(BDP($B187&amp;" Action","CP037"),""))</f>
        <v/>
      </c>
      <c r="F187" s="261">
        <f>Database!T187</f>
        <v/>
      </c>
      <c r="G187" s="260">
        <f>IF($B187="","",IFERROR(BDP($B187&amp;" Action","GREENSHOE_FACILITY"),""))</f>
        <v/>
      </c>
      <c r="H187" s="260">
        <f>IF($B187="","",IFERROR(BDP($B187&amp;" Action","OFFERING_GREENSHOE_SHARES_EX"),""))</f>
        <v/>
      </c>
      <c r="I187" s="51">
        <f>Database!AE187</f>
        <v/>
      </c>
      <c r="J187" s="58">
        <f>IFERROR(BDP(TEXT(VALUE(Database!$A187),"0")&amp;" HK Equity","PE_RATIO"),"")</f>
        <v/>
      </c>
      <c r="K187" s="43">
        <f>IFERROR(BDP(TEXT(VALUE(Database!$A187),"0")&amp;" HK Equity","A/H_SHARE_CONVERSION"),"")</f>
        <v/>
      </c>
      <c r="L187" s="51">
        <f>IF(Database!BN187="","(none found)",Database!BN187)</f>
        <v/>
      </c>
      <c r="M187" s="53">
        <f>IFERROR(INDEX(BDH(TEXT(VALUE(Database!$A187),"0")&amp;" HK Equity","CUR_MKT_CAP",Database!$H187,Database!$H187),MATCH(Database!$H187,INDEX(BDH(TEXT(VALUE(Database!$A187),"0")&amp;" HK Equity","CUR_MKT_CAP",Database!$H187,Database!$H187),0,1),0),2),"run on terminal")</f>
        <v/>
      </c>
      <c r="N187" s="213">
        <f>Database!Q187</f>
        <v/>
      </c>
      <c r="O187" s="58">
        <f>IFERROR(INDEX(BDH(TEXT(VALUE(Database!$A187),"0")&amp;" HK Equity","PE_RATIO",Database!$H187,Database!$H187),MATCH(Database!$H187,INDEX(BDH(TEXT(VALUE(Database!$A187),"0")&amp;" HK Equity","PE_RATIO",Database!$H187,Database!$H187),0,1),0),2),"run on terminal")</f>
        <v/>
      </c>
      <c r="P187" s="251">
        <f>IF(Database!BH187="","(n/m or not derivable)",Database!BH187)</f>
        <v/>
      </c>
      <c r="Q187" s="58">
        <f>IF(Database!BN187="","",IFERROR(INDEX(BDH(LEFT(Database!BN187,FIND(".",Database!BN187)-1)&amp;" CH Equity","PE_RATIO",Database!$H187,Database!$H187),MATCH(Database!$H187,INDEX(BDH(LEFT(Database!BN187,FIND(".",Database!BN187)-1)&amp;" CH Equity","PE_RATIO",Database!$H187,Database!$H187),0,1),0),2),"run on terminal"))</f>
        <v/>
      </c>
      <c r="R187" s="58">
        <f>IF(Database!BN187="","",IFERROR(INDEX(BDH("HSAHP Index","PX_LAST",Database!$H187,Database!$H187),MATCH(Database!$H187,INDEX(BDH("HSAHP Index","PX_LAST",Database!$H187,Database!$H187),0,1),0),2),"run on terminal"))</f>
        <v/>
      </c>
      <c r="S187" s="58">
        <f>IFERROR(BDP(TEXT(VALUE(Database!$A187),"0")&amp;" HK Equity","PX_TO_SALES_RATIO"),"")</f>
        <v/>
      </c>
      <c r="T187" s="53">
        <f>IF(Database!BN187="","",IFERROR(BDP(LEFT(Database!BN187,FIND(".",Database!BN187)-1)&amp;" CH Equity","CUR_MKT_CAP")*BDP("CNYHKD Curncy","PX_LAST"),"run on terminal"))</f>
        <v/>
      </c>
    </row>
    <row r="188" ht="23" customHeight="1">
      <c r="A188" s="51">
        <f>Database!A188&amp;"  "&amp;Database!B188</f>
        <v/>
      </c>
      <c r="B188" s="43">
        <f>IFERROR(INDEX(BDS(TEXT(VALUE(Database!$A188),"0")&amp;" HK Equity","EQUITY_OFFERINGS","array=t","endcol=1"),MATCH("IPO",BDS(TEXT(VALUE(Database!$A188),"0")&amp;" HK Equity","EQUITY_OFFERINGS","array=t","startcol=2","endcol=2"),0)),"")</f>
        <v/>
      </c>
      <c r="C188" s="260">
        <f>IF($B188="","",IFERROR(BDP($B188&amp;" Action","CP036"),""))</f>
        <v/>
      </c>
      <c r="D188" s="261">
        <f>Database!S188</f>
        <v/>
      </c>
      <c r="E188" s="260">
        <f>IF($B188="","",IFERROR(BDP($B188&amp;" Action","CP037"),""))</f>
        <v/>
      </c>
      <c r="F188" s="261">
        <f>Database!T188</f>
        <v/>
      </c>
      <c r="G188" s="260">
        <f>IF($B188="","",IFERROR(BDP($B188&amp;" Action","GREENSHOE_FACILITY"),""))</f>
        <v/>
      </c>
      <c r="H188" s="260">
        <f>IF($B188="","",IFERROR(BDP($B188&amp;" Action","OFFERING_GREENSHOE_SHARES_EX"),""))</f>
        <v/>
      </c>
      <c r="I188" s="51">
        <f>Database!AE188</f>
        <v/>
      </c>
      <c r="J188" s="58">
        <f>IFERROR(BDP(TEXT(VALUE(Database!$A188),"0")&amp;" HK Equity","PE_RATIO"),"")</f>
        <v/>
      </c>
      <c r="K188" s="43">
        <f>IFERROR(BDP(TEXT(VALUE(Database!$A188),"0")&amp;" HK Equity","A/H_SHARE_CONVERSION"),"")</f>
        <v/>
      </c>
      <c r="L188" s="51">
        <f>IF(Database!BN188="","(none found)",Database!BN188)</f>
        <v/>
      </c>
      <c r="M188" s="53">
        <f>IFERROR(INDEX(BDH(TEXT(VALUE(Database!$A188),"0")&amp;" HK Equity","CUR_MKT_CAP",Database!$H188,Database!$H188),MATCH(Database!$H188,INDEX(BDH(TEXT(VALUE(Database!$A188),"0")&amp;" HK Equity","CUR_MKT_CAP",Database!$H188,Database!$H188),0,1),0),2),"run on terminal")</f>
        <v/>
      </c>
      <c r="N188" s="213">
        <f>Database!Q188</f>
        <v/>
      </c>
      <c r="O188" s="58">
        <f>IFERROR(INDEX(BDH(TEXT(VALUE(Database!$A188),"0")&amp;" HK Equity","PE_RATIO",Database!$H188,Database!$H188),MATCH(Database!$H188,INDEX(BDH(TEXT(VALUE(Database!$A188),"0")&amp;" HK Equity","PE_RATIO",Database!$H188,Database!$H188),0,1),0),2),"run on terminal")</f>
        <v/>
      </c>
      <c r="P188" s="251">
        <f>IF(Database!BH188="","(n/m or not derivable)",Database!BH188)</f>
        <v/>
      </c>
      <c r="Q188" s="58">
        <f>IF(Database!BN188="","",IFERROR(INDEX(BDH(LEFT(Database!BN188,FIND(".",Database!BN188)-1)&amp;" CH Equity","PE_RATIO",Database!$H188,Database!$H188),MATCH(Database!$H188,INDEX(BDH(LEFT(Database!BN188,FIND(".",Database!BN188)-1)&amp;" CH Equity","PE_RATIO",Database!$H188,Database!$H188),0,1),0),2),"run on terminal"))</f>
        <v/>
      </c>
      <c r="R188" s="58">
        <f>IF(Database!BN188="","",IFERROR(INDEX(BDH("HSAHP Index","PX_LAST",Database!$H188,Database!$H188),MATCH(Database!$H188,INDEX(BDH("HSAHP Index","PX_LAST",Database!$H188,Database!$H188),0,1),0),2),"run on terminal"))</f>
        <v/>
      </c>
      <c r="S188" s="58">
        <f>IFERROR(BDP(TEXT(VALUE(Database!$A188),"0")&amp;" HK Equity","PX_TO_SALES_RATIO"),"")</f>
        <v/>
      </c>
      <c r="T188" s="53">
        <f>IF(Database!BN188="","",IFERROR(BDP(LEFT(Database!BN188,FIND(".",Database!BN188)-1)&amp;" CH Equity","CUR_MKT_CAP")*BDP("CNYHKD Curncy","PX_LAST"),"run on terminal"))</f>
        <v/>
      </c>
    </row>
    <row r="189" ht="23" customHeight="1">
      <c r="A189" s="51">
        <f>Database!A189&amp;"  "&amp;Database!B189</f>
        <v/>
      </c>
      <c r="B189" s="43">
        <f>IFERROR(INDEX(BDS(TEXT(VALUE(Database!$A189),"0")&amp;" HK Equity","EQUITY_OFFERINGS","array=t","endcol=1"),MATCH("IPO",BDS(TEXT(VALUE(Database!$A189),"0")&amp;" HK Equity","EQUITY_OFFERINGS","array=t","startcol=2","endcol=2"),0)),"")</f>
        <v/>
      </c>
      <c r="C189" s="260">
        <f>IF($B189="","",IFERROR(BDP($B189&amp;" Action","CP036"),""))</f>
        <v/>
      </c>
      <c r="D189" s="261">
        <f>Database!S189</f>
        <v/>
      </c>
      <c r="E189" s="260">
        <f>IF($B189="","",IFERROR(BDP($B189&amp;" Action","CP037"),""))</f>
        <v/>
      </c>
      <c r="F189" s="261">
        <f>Database!T189</f>
        <v/>
      </c>
      <c r="G189" s="260">
        <f>IF($B189="","",IFERROR(BDP($B189&amp;" Action","GREENSHOE_FACILITY"),""))</f>
        <v/>
      </c>
      <c r="H189" s="260">
        <f>IF($B189="","",IFERROR(BDP($B189&amp;" Action","OFFERING_GREENSHOE_SHARES_EX"),""))</f>
        <v/>
      </c>
      <c r="I189" s="51">
        <f>Database!AE189</f>
        <v/>
      </c>
      <c r="J189" s="58">
        <f>IFERROR(BDP(TEXT(VALUE(Database!$A189),"0")&amp;" HK Equity","PE_RATIO"),"")</f>
        <v/>
      </c>
      <c r="K189" s="43">
        <f>IFERROR(BDP(TEXT(VALUE(Database!$A189),"0")&amp;" HK Equity","A/H_SHARE_CONVERSION"),"")</f>
        <v/>
      </c>
      <c r="L189" s="51">
        <f>IF(Database!BN189="","(none found)",Database!BN189)</f>
        <v/>
      </c>
      <c r="M189" s="53">
        <f>IFERROR(INDEX(BDH(TEXT(VALUE(Database!$A189),"0")&amp;" HK Equity","CUR_MKT_CAP",Database!$H189,Database!$H189),MATCH(Database!$H189,INDEX(BDH(TEXT(VALUE(Database!$A189),"0")&amp;" HK Equity","CUR_MKT_CAP",Database!$H189,Database!$H189),0,1),0),2),"run on terminal")</f>
        <v/>
      </c>
      <c r="N189" s="213">
        <f>Database!Q189</f>
        <v/>
      </c>
      <c r="O189" s="58">
        <f>IFERROR(INDEX(BDH(TEXT(VALUE(Database!$A189),"0")&amp;" HK Equity","PE_RATIO",Database!$H189,Database!$H189),MATCH(Database!$H189,INDEX(BDH(TEXT(VALUE(Database!$A189),"0")&amp;" HK Equity","PE_RATIO",Database!$H189,Database!$H189),0,1),0),2),"run on terminal")</f>
        <v/>
      </c>
      <c r="P189" s="251">
        <f>IF(Database!BH189="","(n/m or not derivable)",Database!BH189)</f>
        <v/>
      </c>
      <c r="Q189" s="58">
        <f>IF(Database!BN189="","",IFERROR(INDEX(BDH(LEFT(Database!BN189,FIND(".",Database!BN189)-1)&amp;" CH Equity","PE_RATIO",Database!$H189,Database!$H189),MATCH(Database!$H189,INDEX(BDH(LEFT(Database!BN189,FIND(".",Database!BN189)-1)&amp;" CH Equity","PE_RATIO",Database!$H189,Database!$H189),0,1),0),2),"run on terminal"))</f>
        <v/>
      </c>
      <c r="R189" s="58">
        <f>IF(Database!BN189="","",IFERROR(INDEX(BDH("HSAHP Index","PX_LAST",Database!$H189,Database!$H189),MATCH(Database!$H189,INDEX(BDH("HSAHP Index","PX_LAST",Database!$H189,Database!$H189),0,1),0),2),"run on terminal"))</f>
        <v/>
      </c>
      <c r="S189" s="58">
        <f>IFERROR(BDP(TEXT(VALUE(Database!$A189),"0")&amp;" HK Equity","PX_TO_SALES_RATIO"),"")</f>
        <v/>
      </c>
      <c r="T189" s="53">
        <f>IF(Database!BN189="","",IFERROR(BDP(LEFT(Database!BN189,FIND(".",Database!BN189)-1)&amp;" CH Equity","CUR_MKT_CAP")*BDP("CNYHKD Curncy","PX_LAST"),"run on terminal"))</f>
        <v/>
      </c>
    </row>
    <row r="190" ht="23" customHeight="1">
      <c r="A190" s="51">
        <f>Database!A190&amp;"  "&amp;Database!B190</f>
        <v/>
      </c>
      <c r="B190" s="43">
        <f>IFERROR(INDEX(BDS(TEXT(VALUE(Database!$A190),"0")&amp;" HK Equity","EQUITY_OFFERINGS","array=t","endcol=1"),MATCH("IPO",BDS(TEXT(VALUE(Database!$A190),"0")&amp;" HK Equity","EQUITY_OFFERINGS","array=t","startcol=2","endcol=2"),0)),"")</f>
        <v/>
      </c>
      <c r="C190" s="260">
        <f>IF($B190="","",IFERROR(BDP($B190&amp;" Action","CP036"),""))</f>
        <v/>
      </c>
      <c r="D190" s="261">
        <f>Database!S190</f>
        <v/>
      </c>
      <c r="E190" s="260">
        <f>IF($B190="","",IFERROR(BDP($B190&amp;" Action","CP037"),""))</f>
        <v/>
      </c>
      <c r="F190" s="261">
        <f>Database!T190</f>
        <v/>
      </c>
      <c r="G190" s="260">
        <f>IF($B190="","",IFERROR(BDP($B190&amp;" Action","GREENSHOE_FACILITY"),""))</f>
        <v/>
      </c>
      <c r="H190" s="260">
        <f>IF($B190="","",IFERROR(BDP($B190&amp;" Action","OFFERING_GREENSHOE_SHARES_EX"),""))</f>
        <v/>
      </c>
      <c r="I190" s="51">
        <f>Database!AE190</f>
        <v/>
      </c>
      <c r="J190" s="58">
        <f>IFERROR(BDP(TEXT(VALUE(Database!$A190),"0")&amp;" HK Equity","PE_RATIO"),"")</f>
        <v/>
      </c>
      <c r="K190" s="43">
        <f>IFERROR(BDP(TEXT(VALUE(Database!$A190),"0")&amp;" HK Equity","A/H_SHARE_CONVERSION"),"")</f>
        <v/>
      </c>
      <c r="L190" s="51">
        <f>IF(Database!BN190="","(none found)",Database!BN190)</f>
        <v/>
      </c>
      <c r="M190" s="53">
        <f>IFERROR(INDEX(BDH(TEXT(VALUE(Database!$A190),"0")&amp;" HK Equity","CUR_MKT_CAP",Database!$H190,Database!$H190),MATCH(Database!$H190,INDEX(BDH(TEXT(VALUE(Database!$A190),"0")&amp;" HK Equity","CUR_MKT_CAP",Database!$H190,Database!$H190),0,1),0),2),"run on terminal")</f>
        <v/>
      </c>
      <c r="N190" s="213">
        <f>Database!Q190</f>
        <v/>
      </c>
      <c r="O190" s="58">
        <f>IFERROR(INDEX(BDH(TEXT(VALUE(Database!$A190),"0")&amp;" HK Equity","PE_RATIO",Database!$H190,Database!$H190),MATCH(Database!$H190,INDEX(BDH(TEXT(VALUE(Database!$A190),"0")&amp;" HK Equity","PE_RATIO",Database!$H190,Database!$H190),0,1),0),2),"run on terminal")</f>
        <v/>
      </c>
      <c r="P190" s="251">
        <f>IF(Database!BH190="","(n/m or not derivable)",Database!BH190)</f>
        <v/>
      </c>
      <c r="Q190" s="58">
        <f>IF(Database!BN190="","",IFERROR(INDEX(BDH(LEFT(Database!BN190,FIND(".",Database!BN190)-1)&amp;" CH Equity","PE_RATIO",Database!$H190,Database!$H190),MATCH(Database!$H190,INDEX(BDH(LEFT(Database!BN190,FIND(".",Database!BN190)-1)&amp;" CH Equity","PE_RATIO",Database!$H190,Database!$H190),0,1),0),2),"run on terminal"))</f>
        <v/>
      </c>
      <c r="R190" s="58">
        <f>IF(Database!BN190="","",IFERROR(INDEX(BDH("HSAHP Index","PX_LAST",Database!$H190,Database!$H190),MATCH(Database!$H190,INDEX(BDH("HSAHP Index","PX_LAST",Database!$H190,Database!$H190),0,1),0),2),"run on terminal"))</f>
        <v/>
      </c>
      <c r="S190" s="58">
        <f>IFERROR(BDP(TEXT(VALUE(Database!$A190),"0")&amp;" HK Equity","PX_TO_SALES_RATIO"),"")</f>
        <v/>
      </c>
      <c r="T190" s="53">
        <f>IF(Database!BN190="","",IFERROR(BDP(LEFT(Database!BN190,FIND(".",Database!BN190)-1)&amp;" CH Equity","CUR_MKT_CAP")*BDP("CNYHKD Curncy","PX_LAST"),"run on terminal"))</f>
        <v/>
      </c>
    </row>
    <row r="191" ht="23" customHeight="1">
      <c r="A191" s="51">
        <f>Database!A191&amp;"  "&amp;Database!B191</f>
        <v/>
      </c>
      <c r="B191" s="43">
        <f>IFERROR(INDEX(BDS(TEXT(VALUE(Database!$A191),"0")&amp;" HK Equity","EQUITY_OFFERINGS","array=t","endcol=1"),MATCH("IPO",BDS(TEXT(VALUE(Database!$A191),"0")&amp;" HK Equity","EQUITY_OFFERINGS","array=t","startcol=2","endcol=2"),0)),"")</f>
        <v/>
      </c>
      <c r="C191" s="260">
        <f>IF($B191="","",IFERROR(BDP($B191&amp;" Action","CP036"),""))</f>
        <v/>
      </c>
      <c r="D191" s="261">
        <f>Database!S191</f>
        <v/>
      </c>
      <c r="E191" s="260">
        <f>IF($B191="","",IFERROR(BDP($B191&amp;" Action","CP037"),""))</f>
        <v/>
      </c>
      <c r="F191" s="261">
        <f>Database!T191</f>
        <v/>
      </c>
      <c r="G191" s="260">
        <f>IF($B191="","",IFERROR(BDP($B191&amp;" Action","GREENSHOE_FACILITY"),""))</f>
        <v/>
      </c>
      <c r="H191" s="260">
        <f>IF($B191="","",IFERROR(BDP($B191&amp;" Action","OFFERING_GREENSHOE_SHARES_EX"),""))</f>
        <v/>
      </c>
      <c r="I191" s="51">
        <f>Database!AE191</f>
        <v/>
      </c>
      <c r="J191" s="58">
        <f>IFERROR(BDP(TEXT(VALUE(Database!$A191),"0")&amp;" HK Equity","PE_RATIO"),"")</f>
        <v/>
      </c>
      <c r="K191" s="43">
        <f>IFERROR(BDP(TEXT(VALUE(Database!$A191),"0")&amp;" HK Equity","A/H_SHARE_CONVERSION"),"")</f>
        <v/>
      </c>
      <c r="L191" s="51">
        <f>IF(Database!BN191="","(none found)",Database!BN191)</f>
        <v/>
      </c>
      <c r="M191" s="53">
        <f>IFERROR(INDEX(BDH(TEXT(VALUE(Database!$A191),"0")&amp;" HK Equity","CUR_MKT_CAP",Database!$H191,Database!$H191),MATCH(Database!$H191,INDEX(BDH(TEXT(VALUE(Database!$A191),"0")&amp;" HK Equity","CUR_MKT_CAP",Database!$H191,Database!$H191),0,1),0),2),"run on terminal")</f>
        <v/>
      </c>
      <c r="N191" s="213">
        <f>Database!Q191</f>
        <v/>
      </c>
      <c r="O191" s="58">
        <f>IFERROR(INDEX(BDH(TEXT(VALUE(Database!$A191),"0")&amp;" HK Equity","PE_RATIO",Database!$H191,Database!$H191),MATCH(Database!$H191,INDEX(BDH(TEXT(VALUE(Database!$A191),"0")&amp;" HK Equity","PE_RATIO",Database!$H191,Database!$H191),0,1),0),2),"run on terminal")</f>
        <v/>
      </c>
      <c r="P191" s="251">
        <f>IF(Database!BH191="","(n/m or not derivable)",Database!BH191)</f>
        <v/>
      </c>
      <c r="Q191" s="58">
        <f>IF(Database!BN191="","",IFERROR(INDEX(BDH(LEFT(Database!BN191,FIND(".",Database!BN191)-1)&amp;" CH Equity","PE_RATIO",Database!$H191,Database!$H191),MATCH(Database!$H191,INDEX(BDH(LEFT(Database!BN191,FIND(".",Database!BN191)-1)&amp;" CH Equity","PE_RATIO",Database!$H191,Database!$H191),0,1),0),2),"run on terminal"))</f>
        <v/>
      </c>
      <c r="R191" s="58">
        <f>IF(Database!BN191="","",IFERROR(INDEX(BDH("HSAHP Index","PX_LAST",Database!$H191,Database!$H191),MATCH(Database!$H191,INDEX(BDH("HSAHP Index","PX_LAST",Database!$H191,Database!$H191),0,1),0),2),"run on terminal"))</f>
        <v/>
      </c>
      <c r="S191" s="58">
        <f>IFERROR(BDP(TEXT(VALUE(Database!$A191),"0")&amp;" HK Equity","PX_TO_SALES_RATIO"),"")</f>
        <v/>
      </c>
      <c r="T191" s="53">
        <f>IF(Database!BN191="","",IFERROR(BDP(LEFT(Database!BN191,FIND(".",Database!BN191)-1)&amp;" CH Equity","CUR_MKT_CAP")*BDP("CNYHKD Curncy","PX_LAST"),"run on terminal"))</f>
        <v/>
      </c>
    </row>
    <row r="192" ht="23" customHeight="1">
      <c r="A192" s="51">
        <f>Database!A192&amp;"  "&amp;Database!B192</f>
        <v/>
      </c>
      <c r="B192" s="43">
        <f>IFERROR(INDEX(BDS(TEXT(VALUE(Database!$A192),"0")&amp;" HK Equity","EQUITY_OFFERINGS","array=t","endcol=1"),MATCH("IPO",BDS(TEXT(VALUE(Database!$A192),"0")&amp;" HK Equity","EQUITY_OFFERINGS","array=t","startcol=2","endcol=2"),0)),"")</f>
        <v/>
      </c>
      <c r="C192" s="260">
        <f>IF($B192="","",IFERROR(BDP($B192&amp;" Action","CP036"),""))</f>
        <v/>
      </c>
      <c r="D192" s="261">
        <f>Database!S192</f>
        <v/>
      </c>
      <c r="E192" s="260">
        <f>IF($B192="","",IFERROR(BDP($B192&amp;" Action","CP037"),""))</f>
        <v/>
      </c>
      <c r="F192" s="261">
        <f>Database!T192</f>
        <v/>
      </c>
      <c r="G192" s="260">
        <f>IF($B192="","",IFERROR(BDP($B192&amp;" Action","GREENSHOE_FACILITY"),""))</f>
        <v/>
      </c>
      <c r="H192" s="260">
        <f>IF($B192="","",IFERROR(BDP($B192&amp;" Action","OFFERING_GREENSHOE_SHARES_EX"),""))</f>
        <v/>
      </c>
      <c r="I192" s="51">
        <f>Database!AE192</f>
        <v/>
      </c>
      <c r="J192" s="58">
        <f>IFERROR(BDP(TEXT(VALUE(Database!$A192),"0")&amp;" HK Equity","PE_RATIO"),"")</f>
        <v/>
      </c>
      <c r="K192" s="43">
        <f>IFERROR(BDP(TEXT(VALUE(Database!$A192),"0")&amp;" HK Equity","A/H_SHARE_CONVERSION"),"")</f>
        <v/>
      </c>
      <c r="L192" s="51">
        <f>IF(Database!BN192="","(none found)",Database!BN192)</f>
        <v/>
      </c>
      <c r="M192" s="53">
        <f>IFERROR(INDEX(BDH(TEXT(VALUE(Database!$A192),"0")&amp;" HK Equity","CUR_MKT_CAP",Database!$H192,Database!$H192),MATCH(Database!$H192,INDEX(BDH(TEXT(VALUE(Database!$A192),"0")&amp;" HK Equity","CUR_MKT_CAP",Database!$H192,Database!$H192),0,1),0),2),"run on terminal")</f>
        <v/>
      </c>
      <c r="N192" s="213">
        <f>Database!Q192</f>
        <v/>
      </c>
      <c r="O192" s="58">
        <f>IFERROR(INDEX(BDH(TEXT(VALUE(Database!$A192),"0")&amp;" HK Equity","PE_RATIO",Database!$H192,Database!$H192),MATCH(Database!$H192,INDEX(BDH(TEXT(VALUE(Database!$A192),"0")&amp;" HK Equity","PE_RATIO",Database!$H192,Database!$H192),0,1),0),2),"run on terminal")</f>
        <v/>
      </c>
      <c r="P192" s="251">
        <f>IF(Database!BH192="","(n/m or not derivable)",Database!BH192)</f>
        <v/>
      </c>
      <c r="Q192" s="58">
        <f>IF(Database!BN192="","",IFERROR(INDEX(BDH(LEFT(Database!BN192,FIND(".",Database!BN192)-1)&amp;" CH Equity","PE_RATIO",Database!$H192,Database!$H192),MATCH(Database!$H192,INDEX(BDH(LEFT(Database!BN192,FIND(".",Database!BN192)-1)&amp;" CH Equity","PE_RATIO",Database!$H192,Database!$H192),0,1),0),2),"run on terminal"))</f>
        <v/>
      </c>
      <c r="R192" s="58">
        <f>IF(Database!BN192="","",IFERROR(INDEX(BDH("HSAHP Index","PX_LAST",Database!$H192,Database!$H192),MATCH(Database!$H192,INDEX(BDH("HSAHP Index","PX_LAST",Database!$H192,Database!$H192),0,1),0),2),"run on terminal"))</f>
        <v/>
      </c>
      <c r="S192" s="58">
        <f>IFERROR(BDP(TEXT(VALUE(Database!$A192),"0")&amp;" HK Equity","PX_TO_SALES_RATIO"),"")</f>
        <v/>
      </c>
      <c r="T192" s="53">
        <f>IF(Database!BN192="","",IFERROR(BDP(LEFT(Database!BN192,FIND(".",Database!BN192)-1)&amp;" CH Equity","CUR_MKT_CAP")*BDP("CNYHKD Curncy","PX_LAST"),"run on terminal"))</f>
        <v/>
      </c>
    </row>
    <row r="193" ht="23" customHeight="1">
      <c r="A193" s="51">
        <f>Database!A193&amp;"  "&amp;Database!B193</f>
        <v/>
      </c>
      <c r="B193" s="43">
        <f>IFERROR(INDEX(BDS(TEXT(VALUE(Database!$A193),"0")&amp;" HK Equity","EQUITY_OFFERINGS","array=t","endcol=1"),MATCH("IPO",BDS(TEXT(VALUE(Database!$A193),"0")&amp;" HK Equity","EQUITY_OFFERINGS","array=t","startcol=2","endcol=2"),0)),"")</f>
        <v/>
      </c>
      <c r="C193" s="260">
        <f>IF($B193="","",IFERROR(BDP($B193&amp;" Action","CP036"),""))</f>
        <v/>
      </c>
      <c r="D193" s="261">
        <f>Database!S193</f>
        <v/>
      </c>
      <c r="E193" s="260">
        <f>IF($B193="","",IFERROR(BDP($B193&amp;" Action","CP037"),""))</f>
        <v/>
      </c>
      <c r="F193" s="261">
        <f>Database!T193</f>
        <v/>
      </c>
      <c r="G193" s="260">
        <f>IF($B193="","",IFERROR(BDP($B193&amp;" Action","GREENSHOE_FACILITY"),""))</f>
        <v/>
      </c>
      <c r="H193" s="260">
        <f>IF($B193="","",IFERROR(BDP($B193&amp;" Action","OFFERING_GREENSHOE_SHARES_EX"),""))</f>
        <v/>
      </c>
      <c r="I193" s="51">
        <f>Database!AE193</f>
        <v/>
      </c>
      <c r="J193" s="58">
        <f>IFERROR(BDP(TEXT(VALUE(Database!$A193),"0")&amp;" HK Equity","PE_RATIO"),"")</f>
        <v/>
      </c>
      <c r="K193" s="43">
        <f>IFERROR(BDP(TEXT(VALUE(Database!$A193),"0")&amp;" HK Equity","A/H_SHARE_CONVERSION"),"")</f>
        <v/>
      </c>
      <c r="L193" s="51">
        <f>IF(Database!BN193="","(none found)",Database!BN193)</f>
        <v/>
      </c>
      <c r="M193" s="53">
        <f>IFERROR(INDEX(BDH(TEXT(VALUE(Database!$A193),"0")&amp;" HK Equity","CUR_MKT_CAP",Database!$H193,Database!$H193),MATCH(Database!$H193,INDEX(BDH(TEXT(VALUE(Database!$A193),"0")&amp;" HK Equity","CUR_MKT_CAP",Database!$H193,Database!$H193),0,1),0),2),"run on terminal")</f>
        <v/>
      </c>
      <c r="N193" s="213">
        <f>Database!Q193</f>
        <v/>
      </c>
      <c r="O193" s="58">
        <f>IFERROR(INDEX(BDH(TEXT(VALUE(Database!$A193),"0")&amp;" HK Equity","PE_RATIO",Database!$H193,Database!$H193),MATCH(Database!$H193,INDEX(BDH(TEXT(VALUE(Database!$A193),"0")&amp;" HK Equity","PE_RATIO",Database!$H193,Database!$H193),0,1),0),2),"run on terminal")</f>
        <v/>
      </c>
      <c r="P193" s="251">
        <f>IF(Database!BH193="","(n/m or not derivable)",Database!BH193)</f>
        <v/>
      </c>
      <c r="Q193" s="58">
        <f>IF(Database!BN193="","",IFERROR(INDEX(BDH(LEFT(Database!BN193,FIND(".",Database!BN193)-1)&amp;" CH Equity","PE_RATIO",Database!$H193,Database!$H193),MATCH(Database!$H193,INDEX(BDH(LEFT(Database!BN193,FIND(".",Database!BN193)-1)&amp;" CH Equity","PE_RATIO",Database!$H193,Database!$H193),0,1),0),2),"run on terminal"))</f>
        <v/>
      </c>
      <c r="R193" s="58">
        <f>IF(Database!BN193="","",IFERROR(INDEX(BDH("HSAHP Index","PX_LAST",Database!$H193,Database!$H193),MATCH(Database!$H193,INDEX(BDH("HSAHP Index","PX_LAST",Database!$H193,Database!$H193),0,1),0),2),"run on terminal"))</f>
        <v/>
      </c>
      <c r="S193" s="58">
        <f>IFERROR(BDP(TEXT(VALUE(Database!$A193),"0")&amp;" HK Equity","PX_TO_SALES_RATIO"),"")</f>
        <v/>
      </c>
      <c r="T193" s="53">
        <f>IF(Database!BN193="","",IFERROR(BDP(LEFT(Database!BN193,FIND(".",Database!BN193)-1)&amp;" CH Equity","CUR_MKT_CAP")*BDP("CNYHKD Curncy","PX_LAST"),"run on terminal"))</f>
        <v/>
      </c>
    </row>
    <row r="194" ht="23" customHeight="1">
      <c r="A194" s="51">
        <f>Database!A194&amp;"  "&amp;Database!B194</f>
        <v/>
      </c>
      <c r="B194" s="43">
        <f>IFERROR(INDEX(BDS(TEXT(VALUE(Database!$A194),"0")&amp;" HK Equity","EQUITY_OFFERINGS","array=t","endcol=1"),MATCH("IPO",BDS(TEXT(VALUE(Database!$A194),"0")&amp;" HK Equity","EQUITY_OFFERINGS","array=t","startcol=2","endcol=2"),0)),"")</f>
        <v/>
      </c>
      <c r="C194" s="260">
        <f>IF($B194="","",IFERROR(BDP($B194&amp;" Action","CP036"),""))</f>
        <v/>
      </c>
      <c r="D194" s="261">
        <f>Database!S194</f>
        <v/>
      </c>
      <c r="E194" s="260">
        <f>IF($B194="","",IFERROR(BDP($B194&amp;" Action","CP037"),""))</f>
        <v/>
      </c>
      <c r="F194" s="261">
        <f>Database!T194</f>
        <v/>
      </c>
      <c r="G194" s="260">
        <f>IF($B194="","",IFERROR(BDP($B194&amp;" Action","GREENSHOE_FACILITY"),""))</f>
        <v/>
      </c>
      <c r="H194" s="260">
        <f>IF($B194="","",IFERROR(BDP($B194&amp;" Action","OFFERING_GREENSHOE_SHARES_EX"),""))</f>
        <v/>
      </c>
      <c r="I194" s="51">
        <f>Database!AE194</f>
        <v/>
      </c>
      <c r="J194" s="58">
        <f>IFERROR(BDP(TEXT(VALUE(Database!$A194),"0")&amp;" HK Equity","PE_RATIO"),"")</f>
        <v/>
      </c>
      <c r="K194" s="43">
        <f>IFERROR(BDP(TEXT(VALUE(Database!$A194),"0")&amp;" HK Equity","A/H_SHARE_CONVERSION"),"")</f>
        <v/>
      </c>
      <c r="L194" s="51">
        <f>IF(Database!BN194="","(none found)",Database!BN194)</f>
        <v/>
      </c>
      <c r="M194" s="53">
        <f>IFERROR(INDEX(BDH(TEXT(VALUE(Database!$A194),"0")&amp;" HK Equity","CUR_MKT_CAP",Database!$H194,Database!$H194),MATCH(Database!$H194,INDEX(BDH(TEXT(VALUE(Database!$A194),"0")&amp;" HK Equity","CUR_MKT_CAP",Database!$H194,Database!$H194),0,1),0),2),"run on terminal")</f>
        <v/>
      </c>
      <c r="N194" s="213">
        <f>Database!Q194</f>
        <v/>
      </c>
      <c r="O194" s="58">
        <f>IFERROR(INDEX(BDH(TEXT(VALUE(Database!$A194),"0")&amp;" HK Equity","PE_RATIO",Database!$H194,Database!$H194),MATCH(Database!$H194,INDEX(BDH(TEXT(VALUE(Database!$A194),"0")&amp;" HK Equity","PE_RATIO",Database!$H194,Database!$H194),0,1),0),2),"run on terminal")</f>
        <v/>
      </c>
      <c r="P194" s="251">
        <f>IF(Database!BH194="","(n/m or not derivable)",Database!BH194)</f>
        <v/>
      </c>
      <c r="Q194" s="58">
        <f>IF(Database!BN194="","",IFERROR(INDEX(BDH(LEFT(Database!BN194,FIND(".",Database!BN194)-1)&amp;" CH Equity","PE_RATIO",Database!$H194,Database!$H194),MATCH(Database!$H194,INDEX(BDH(LEFT(Database!BN194,FIND(".",Database!BN194)-1)&amp;" CH Equity","PE_RATIO",Database!$H194,Database!$H194),0,1),0),2),"run on terminal"))</f>
        <v/>
      </c>
      <c r="R194" s="58">
        <f>IF(Database!BN194="","",IFERROR(INDEX(BDH("HSAHP Index","PX_LAST",Database!$H194,Database!$H194),MATCH(Database!$H194,INDEX(BDH("HSAHP Index","PX_LAST",Database!$H194,Database!$H194),0,1),0),2),"run on terminal"))</f>
        <v/>
      </c>
      <c r="S194" s="58">
        <f>IFERROR(BDP(TEXT(VALUE(Database!$A194),"0")&amp;" HK Equity","PX_TO_SALES_RATIO"),"")</f>
        <v/>
      </c>
      <c r="T194" s="53">
        <f>IF(Database!BN194="","",IFERROR(BDP(LEFT(Database!BN194,FIND(".",Database!BN194)-1)&amp;" CH Equity","CUR_MKT_CAP")*BDP("CNYHKD Curncy","PX_LAST"),"run on terminal"))</f>
        <v/>
      </c>
    </row>
    <row r="195" ht="23" customHeight="1">
      <c r="A195" s="51">
        <f>Database!A195&amp;"  "&amp;Database!B195</f>
        <v/>
      </c>
      <c r="B195" s="43">
        <f>IFERROR(INDEX(BDS(TEXT(VALUE(Database!$A195),"0")&amp;" HK Equity","EQUITY_OFFERINGS","array=t","endcol=1"),MATCH("IPO",BDS(TEXT(VALUE(Database!$A195),"0")&amp;" HK Equity","EQUITY_OFFERINGS","array=t","startcol=2","endcol=2"),0)),"")</f>
        <v/>
      </c>
      <c r="C195" s="260">
        <f>IF($B195="","",IFERROR(BDP($B195&amp;" Action","CP036"),""))</f>
        <v/>
      </c>
      <c r="D195" s="261">
        <f>Database!S195</f>
        <v/>
      </c>
      <c r="E195" s="260">
        <f>IF($B195="","",IFERROR(BDP($B195&amp;" Action","CP037"),""))</f>
        <v/>
      </c>
      <c r="F195" s="261">
        <f>Database!T195</f>
        <v/>
      </c>
      <c r="G195" s="260">
        <f>IF($B195="","",IFERROR(BDP($B195&amp;" Action","GREENSHOE_FACILITY"),""))</f>
        <v/>
      </c>
      <c r="H195" s="260">
        <f>IF($B195="","",IFERROR(BDP($B195&amp;" Action","OFFERING_GREENSHOE_SHARES_EX"),""))</f>
        <v/>
      </c>
      <c r="I195" s="51">
        <f>Database!AE195</f>
        <v/>
      </c>
      <c r="J195" s="58">
        <f>IFERROR(BDP(TEXT(VALUE(Database!$A195),"0")&amp;" HK Equity","PE_RATIO"),"")</f>
        <v/>
      </c>
      <c r="K195" s="43">
        <f>IFERROR(BDP(TEXT(VALUE(Database!$A195),"0")&amp;" HK Equity","A/H_SHARE_CONVERSION"),"")</f>
        <v/>
      </c>
      <c r="L195" s="51">
        <f>IF(Database!BN195="","(none found)",Database!BN195)</f>
        <v/>
      </c>
      <c r="M195" s="53">
        <f>IFERROR(INDEX(BDH(TEXT(VALUE(Database!$A195),"0")&amp;" HK Equity","CUR_MKT_CAP",Database!$H195,Database!$H195),MATCH(Database!$H195,INDEX(BDH(TEXT(VALUE(Database!$A195),"0")&amp;" HK Equity","CUR_MKT_CAP",Database!$H195,Database!$H195),0,1),0),2),"run on terminal")</f>
        <v/>
      </c>
      <c r="N195" s="213">
        <f>Database!Q195</f>
        <v/>
      </c>
      <c r="O195" s="58">
        <f>IFERROR(INDEX(BDH(TEXT(VALUE(Database!$A195),"0")&amp;" HK Equity","PE_RATIO",Database!$H195,Database!$H195),MATCH(Database!$H195,INDEX(BDH(TEXT(VALUE(Database!$A195),"0")&amp;" HK Equity","PE_RATIO",Database!$H195,Database!$H195),0,1),0),2),"run on terminal")</f>
        <v/>
      </c>
      <c r="P195" s="251">
        <f>IF(Database!BH195="","(n/m or not derivable)",Database!BH195)</f>
        <v/>
      </c>
      <c r="Q195" s="58">
        <f>IF(Database!BN195="","",IFERROR(INDEX(BDH(LEFT(Database!BN195,FIND(".",Database!BN195)-1)&amp;" CH Equity","PE_RATIO",Database!$H195,Database!$H195),MATCH(Database!$H195,INDEX(BDH(LEFT(Database!BN195,FIND(".",Database!BN195)-1)&amp;" CH Equity","PE_RATIO",Database!$H195,Database!$H195),0,1),0),2),"run on terminal"))</f>
        <v/>
      </c>
      <c r="R195" s="58">
        <f>IF(Database!BN195="","",IFERROR(INDEX(BDH("HSAHP Index","PX_LAST",Database!$H195,Database!$H195),MATCH(Database!$H195,INDEX(BDH("HSAHP Index","PX_LAST",Database!$H195,Database!$H195),0,1),0),2),"run on terminal"))</f>
        <v/>
      </c>
      <c r="S195" s="58">
        <f>IFERROR(BDP(TEXT(VALUE(Database!$A195),"0")&amp;" HK Equity","PX_TO_SALES_RATIO"),"")</f>
        <v/>
      </c>
      <c r="T195" s="53">
        <f>IF(Database!BN195="","",IFERROR(BDP(LEFT(Database!BN195,FIND(".",Database!BN195)-1)&amp;" CH Equity","CUR_MKT_CAP")*BDP("CNYHKD Curncy","PX_LAST"),"run on terminal"))</f>
        <v/>
      </c>
    </row>
    <row r="196" ht="23" customHeight="1">
      <c r="A196" s="51">
        <f>Database!A196&amp;"  "&amp;Database!B196</f>
        <v/>
      </c>
      <c r="B196" s="43">
        <f>IFERROR(INDEX(BDS(TEXT(VALUE(Database!$A196),"0")&amp;" HK Equity","EQUITY_OFFERINGS","array=t","endcol=1"),MATCH("IPO",BDS(TEXT(VALUE(Database!$A196),"0")&amp;" HK Equity","EQUITY_OFFERINGS","array=t","startcol=2","endcol=2"),0)),"")</f>
        <v/>
      </c>
      <c r="C196" s="260">
        <f>IF($B196="","",IFERROR(BDP($B196&amp;" Action","CP036"),""))</f>
        <v/>
      </c>
      <c r="D196" s="261">
        <f>Database!S196</f>
        <v/>
      </c>
      <c r="E196" s="260">
        <f>IF($B196="","",IFERROR(BDP($B196&amp;" Action","CP037"),""))</f>
        <v/>
      </c>
      <c r="F196" s="261">
        <f>Database!T196</f>
        <v/>
      </c>
      <c r="G196" s="260">
        <f>IF($B196="","",IFERROR(BDP($B196&amp;" Action","GREENSHOE_FACILITY"),""))</f>
        <v/>
      </c>
      <c r="H196" s="260">
        <f>IF($B196="","",IFERROR(BDP($B196&amp;" Action","OFFERING_GREENSHOE_SHARES_EX"),""))</f>
        <v/>
      </c>
      <c r="I196" s="51">
        <f>Database!AE196</f>
        <v/>
      </c>
      <c r="J196" s="58">
        <f>IFERROR(BDP(TEXT(VALUE(Database!$A196),"0")&amp;" HK Equity","PE_RATIO"),"")</f>
        <v/>
      </c>
      <c r="K196" s="43">
        <f>IFERROR(BDP(TEXT(VALUE(Database!$A196),"0")&amp;" HK Equity","A/H_SHARE_CONVERSION"),"")</f>
        <v/>
      </c>
      <c r="L196" s="51">
        <f>IF(Database!BN196="","(none found)",Database!BN196)</f>
        <v/>
      </c>
      <c r="M196" s="53">
        <f>IFERROR(INDEX(BDH(TEXT(VALUE(Database!$A196),"0")&amp;" HK Equity","CUR_MKT_CAP",Database!$H196,Database!$H196),MATCH(Database!$H196,INDEX(BDH(TEXT(VALUE(Database!$A196),"0")&amp;" HK Equity","CUR_MKT_CAP",Database!$H196,Database!$H196),0,1),0),2),"run on terminal")</f>
        <v/>
      </c>
      <c r="N196" s="213">
        <f>Database!Q196</f>
        <v/>
      </c>
      <c r="O196" s="58">
        <f>IFERROR(INDEX(BDH(TEXT(VALUE(Database!$A196),"0")&amp;" HK Equity","PE_RATIO",Database!$H196,Database!$H196),MATCH(Database!$H196,INDEX(BDH(TEXT(VALUE(Database!$A196),"0")&amp;" HK Equity","PE_RATIO",Database!$H196,Database!$H196),0,1),0),2),"run on terminal")</f>
        <v/>
      </c>
      <c r="P196" s="251">
        <f>IF(Database!BH196="","(n/m or not derivable)",Database!BH196)</f>
        <v/>
      </c>
      <c r="Q196" s="58">
        <f>IF(Database!BN196="","",IFERROR(INDEX(BDH(LEFT(Database!BN196,FIND(".",Database!BN196)-1)&amp;" CH Equity","PE_RATIO",Database!$H196,Database!$H196),MATCH(Database!$H196,INDEX(BDH(LEFT(Database!BN196,FIND(".",Database!BN196)-1)&amp;" CH Equity","PE_RATIO",Database!$H196,Database!$H196),0,1),0),2),"run on terminal"))</f>
        <v/>
      </c>
      <c r="R196" s="58">
        <f>IF(Database!BN196="","",IFERROR(INDEX(BDH("HSAHP Index","PX_LAST",Database!$H196,Database!$H196),MATCH(Database!$H196,INDEX(BDH("HSAHP Index","PX_LAST",Database!$H196,Database!$H196),0,1),0),2),"run on terminal"))</f>
        <v/>
      </c>
      <c r="S196" s="58">
        <f>IFERROR(BDP(TEXT(VALUE(Database!$A196),"0")&amp;" HK Equity","PX_TO_SALES_RATIO"),"")</f>
        <v/>
      </c>
      <c r="T196" s="53">
        <f>IF(Database!BN196="","",IFERROR(BDP(LEFT(Database!BN196,FIND(".",Database!BN196)-1)&amp;" CH Equity","CUR_MKT_CAP")*BDP("CNYHKD Curncy","PX_LAST"),"run on terminal"))</f>
        <v/>
      </c>
    </row>
    <row r="197" ht="23" customHeight="1">
      <c r="A197" s="51">
        <f>Database!A197&amp;"  "&amp;Database!B197</f>
        <v/>
      </c>
      <c r="B197" s="43">
        <f>IFERROR(INDEX(BDS(TEXT(VALUE(Database!$A197),"0")&amp;" HK Equity","EQUITY_OFFERINGS","array=t","endcol=1"),MATCH("IPO",BDS(TEXT(VALUE(Database!$A197),"0")&amp;" HK Equity","EQUITY_OFFERINGS","array=t","startcol=2","endcol=2"),0)),"")</f>
        <v/>
      </c>
      <c r="C197" s="260">
        <f>IF($B197="","",IFERROR(BDP($B197&amp;" Action","CP036"),""))</f>
        <v/>
      </c>
      <c r="D197" s="261">
        <f>Database!S197</f>
        <v/>
      </c>
      <c r="E197" s="260">
        <f>IF($B197="","",IFERROR(BDP($B197&amp;" Action","CP037"),""))</f>
        <v/>
      </c>
      <c r="F197" s="261">
        <f>Database!T197</f>
        <v/>
      </c>
      <c r="G197" s="260">
        <f>IF($B197="","",IFERROR(BDP($B197&amp;" Action","GREENSHOE_FACILITY"),""))</f>
        <v/>
      </c>
      <c r="H197" s="260">
        <f>IF($B197="","",IFERROR(BDP($B197&amp;" Action","OFFERING_GREENSHOE_SHARES_EX"),""))</f>
        <v/>
      </c>
      <c r="I197" s="51">
        <f>Database!AE197</f>
        <v/>
      </c>
      <c r="J197" s="58">
        <f>IFERROR(BDP(TEXT(VALUE(Database!$A197),"0")&amp;" HK Equity","PE_RATIO"),"")</f>
        <v/>
      </c>
      <c r="K197" s="43">
        <f>IFERROR(BDP(TEXT(VALUE(Database!$A197),"0")&amp;" HK Equity","A/H_SHARE_CONVERSION"),"")</f>
        <v/>
      </c>
      <c r="L197" s="51">
        <f>IF(Database!BN197="","(none found)",Database!BN197)</f>
        <v/>
      </c>
      <c r="M197" s="53">
        <f>IFERROR(INDEX(BDH(TEXT(VALUE(Database!$A197),"0")&amp;" HK Equity","CUR_MKT_CAP",Database!$H197,Database!$H197),MATCH(Database!$H197,INDEX(BDH(TEXT(VALUE(Database!$A197),"0")&amp;" HK Equity","CUR_MKT_CAP",Database!$H197,Database!$H197),0,1),0),2),"run on terminal")</f>
        <v/>
      </c>
      <c r="N197" s="213">
        <f>Database!Q197</f>
        <v/>
      </c>
      <c r="O197" s="58">
        <f>IFERROR(INDEX(BDH(TEXT(VALUE(Database!$A197),"0")&amp;" HK Equity","PE_RATIO",Database!$H197,Database!$H197),MATCH(Database!$H197,INDEX(BDH(TEXT(VALUE(Database!$A197),"0")&amp;" HK Equity","PE_RATIO",Database!$H197,Database!$H197),0,1),0),2),"run on terminal")</f>
        <v/>
      </c>
      <c r="P197" s="251">
        <f>IF(Database!BH197="","(n/m or not derivable)",Database!BH197)</f>
        <v/>
      </c>
      <c r="Q197" s="58">
        <f>IF(Database!BN197="","",IFERROR(INDEX(BDH(LEFT(Database!BN197,FIND(".",Database!BN197)-1)&amp;" CH Equity","PE_RATIO",Database!$H197,Database!$H197),MATCH(Database!$H197,INDEX(BDH(LEFT(Database!BN197,FIND(".",Database!BN197)-1)&amp;" CH Equity","PE_RATIO",Database!$H197,Database!$H197),0,1),0),2),"run on terminal"))</f>
        <v/>
      </c>
      <c r="R197" s="58">
        <f>IF(Database!BN197="","",IFERROR(INDEX(BDH("HSAHP Index","PX_LAST",Database!$H197,Database!$H197),MATCH(Database!$H197,INDEX(BDH("HSAHP Index","PX_LAST",Database!$H197,Database!$H197),0,1),0),2),"run on terminal"))</f>
        <v/>
      </c>
      <c r="S197" s="58">
        <f>IFERROR(BDP(TEXT(VALUE(Database!$A197),"0")&amp;" HK Equity","PX_TO_SALES_RATIO"),"")</f>
        <v/>
      </c>
      <c r="T197" s="53">
        <f>IF(Database!BN197="","",IFERROR(BDP(LEFT(Database!BN197,FIND(".",Database!BN197)-1)&amp;" CH Equity","CUR_MKT_CAP")*BDP("CNYHKD Curncy","PX_LAST"),"run on terminal"))</f>
        <v/>
      </c>
    </row>
    <row r="198" ht="23" customHeight="1">
      <c r="A198" s="51">
        <f>Database!A198&amp;"  "&amp;Database!B198</f>
        <v/>
      </c>
      <c r="B198" s="43">
        <f>IFERROR(INDEX(BDS(TEXT(VALUE(Database!$A198),"0")&amp;" HK Equity","EQUITY_OFFERINGS","array=t","endcol=1"),MATCH("IPO",BDS(TEXT(VALUE(Database!$A198),"0")&amp;" HK Equity","EQUITY_OFFERINGS","array=t","startcol=2","endcol=2"),0)),"")</f>
        <v/>
      </c>
      <c r="C198" s="260">
        <f>IF($B198="","",IFERROR(BDP($B198&amp;" Action","CP036"),""))</f>
        <v/>
      </c>
      <c r="D198" s="261">
        <f>Database!S198</f>
        <v/>
      </c>
      <c r="E198" s="260">
        <f>IF($B198="","",IFERROR(BDP($B198&amp;" Action","CP037"),""))</f>
        <v/>
      </c>
      <c r="F198" s="261">
        <f>Database!T198</f>
        <v/>
      </c>
      <c r="G198" s="260">
        <f>IF($B198="","",IFERROR(BDP($B198&amp;" Action","GREENSHOE_FACILITY"),""))</f>
        <v/>
      </c>
      <c r="H198" s="260">
        <f>IF($B198="","",IFERROR(BDP($B198&amp;" Action","OFFERING_GREENSHOE_SHARES_EX"),""))</f>
        <v/>
      </c>
      <c r="I198" s="51">
        <f>Database!AE198</f>
        <v/>
      </c>
      <c r="J198" s="58">
        <f>IFERROR(BDP(TEXT(VALUE(Database!$A198),"0")&amp;" HK Equity","PE_RATIO"),"")</f>
        <v/>
      </c>
      <c r="K198" s="43">
        <f>IFERROR(BDP(TEXT(VALUE(Database!$A198),"0")&amp;" HK Equity","A/H_SHARE_CONVERSION"),"")</f>
        <v/>
      </c>
      <c r="L198" s="51">
        <f>IF(Database!BN198="","(none found)",Database!BN198)</f>
        <v/>
      </c>
      <c r="M198" s="53">
        <f>IFERROR(INDEX(BDH(TEXT(VALUE(Database!$A198),"0")&amp;" HK Equity","CUR_MKT_CAP",Database!$H198,Database!$H198),MATCH(Database!$H198,INDEX(BDH(TEXT(VALUE(Database!$A198),"0")&amp;" HK Equity","CUR_MKT_CAP",Database!$H198,Database!$H198),0,1),0),2),"run on terminal")</f>
        <v/>
      </c>
      <c r="N198" s="213">
        <f>Database!Q198</f>
        <v/>
      </c>
      <c r="O198" s="58">
        <f>IFERROR(INDEX(BDH(TEXT(VALUE(Database!$A198),"0")&amp;" HK Equity","PE_RATIO",Database!$H198,Database!$H198),MATCH(Database!$H198,INDEX(BDH(TEXT(VALUE(Database!$A198),"0")&amp;" HK Equity","PE_RATIO",Database!$H198,Database!$H198),0,1),0),2),"run on terminal")</f>
        <v/>
      </c>
      <c r="P198" s="251">
        <f>IF(Database!BH198="","(n/m or not derivable)",Database!BH198)</f>
        <v/>
      </c>
      <c r="Q198" s="58">
        <f>IF(Database!BN198="","",IFERROR(INDEX(BDH(LEFT(Database!BN198,FIND(".",Database!BN198)-1)&amp;" CH Equity","PE_RATIO",Database!$H198,Database!$H198),MATCH(Database!$H198,INDEX(BDH(LEFT(Database!BN198,FIND(".",Database!BN198)-1)&amp;" CH Equity","PE_RATIO",Database!$H198,Database!$H198),0,1),0),2),"run on terminal"))</f>
        <v/>
      </c>
      <c r="R198" s="58">
        <f>IF(Database!BN198="","",IFERROR(INDEX(BDH("HSAHP Index","PX_LAST",Database!$H198,Database!$H198),MATCH(Database!$H198,INDEX(BDH("HSAHP Index","PX_LAST",Database!$H198,Database!$H198),0,1),0),2),"run on terminal"))</f>
        <v/>
      </c>
      <c r="S198" s="58">
        <f>IFERROR(BDP(TEXT(VALUE(Database!$A198),"0")&amp;" HK Equity","PX_TO_SALES_RATIO"),"")</f>
        <v/>
      </c>
      <c r="T198" s="53">
        <f>IF(Database!BN198="","",IFERROR(BDP(LEFT(Database!BN198,FIND(".",Database!BN198)-1)&amp;" CH Equity","CUR_MKT_CAP")*BDP("CNYHKD Curncy","PX_LAST"),"run on terminal"))</f>
        <v/>
      </c>
    </row>
    <row r="199" ht="23" customHeight="1">
      <c r="A199" s="51">
        <f>Database!A199&amp;"  "&amp;Database!B199</f>
        <v/>
      </c>
      <c r="B199" s="43">
        <f>IFERROR(INDEX(BDS(TEXT(VALUE(Database!$A199),"0")&amp;" HK Equity","EQUITY_OFFERINGS","array=t","endcol=1"),MATCH("IPO",BDS(TEXT(VALUE(Database!$A199),"0")&amp;" HK Equity","EQUITY_OFFERINGS","array=t","startcol=2","endcol=2"),0)),"")</f>
        <v/>
      </c>
      <c r="C199" s="260">
        <f>IF($B199="","",IFERROR(BDP($B199&amp;" Action","CP036"),""))</f>
        <v/>
      </c>
      <c r="D199" s="261">
        <f>Database!S199</f>
        <v/>
      </c>
      <c r="E199" s="260">
        <f>IF($B199="","",IFERROR(BDP($B199&amp;" Action","CP037"),""))</f>
        <v/>
      </c>
      <c r="F199" s="261">
        <f>Database!T199</f>
        <v/>
      </c>
      <c r="G199" s="260">
        <f>IF($B199="","",IFERROR(BDP($B199&amp;" Action","GREENSHOE_FACILITY"),""))</f>
        <v/>
      </c>
      <c r="H199" s="260">
        <f>IF($B199="","",IFERROR(BDP($B199&amp;" Action","OFFERING_GREENSHOE_SHARES_EX"),""))</f>
        <v/>
      </c>
      <c r="I199" s="51">
        <f>Database!AE199</f>
        <v/>
      </c>
      <c r="J199" s="58">
        <f>IFERROR(BDP(TEXT(VALUE(Database!$A199),"0")&amp;" HK Equity","PE_RATIO"),"")</f>
        <v/>
      </c>
      <c r="K199" s="43">
        <f>IFERROR(BDP(TEXT(VALUE(Database!$A199),"0")&amp;" HK Equity","A/H_SHARE_CONVERSION"),"")</f>
        <v/>
      </c>
      <c r="L199" s="51">
        <f>IF(Database!BN199="","(none found)",Database!BN199)</f>
        <v/>
      </c>
      <c r="M199" s="53">
        <f>IFERROR(INDEX(BDH(TEXT(VALUE(Database!$A199),"0")&amp;" HK Equity","CUR_MKT_CAP",Database!$H199,Database!$H199),MATCH(Database!$H199,INDEX(BDH(TEXT(VALUE(Database!$A199),"0")&amp;" HK Equity","CUR_MKT_CAP",Database!$H199,Database!$H199),0,1),0),2),"run on terminal")</f>
        <v/>
      </c>
      <c r="N199" s="213">
        <f>Database!Q199</f>
        <v/>
      </c>
      <c r="O199" s="58">
        <f>IFERROR(INDEX(BDH(TEXT(VALUE(Database!$A199),"0")&amp;" HK Equity","PE_RATIO",Database!$H199,Database!$H199),MATCH(Database!$H199,INDEX(BDH(TEXT(VALUE(Database!$A199),"0")&amp;" HK Equity","PE_RATIO",Database!$H199,Database!$H199),0,1),0),2),"run on terminal")</f>
        <v/>
      </c>
      <c r="P199" s="251">
        <f>IF(Database!BH199="","(n/m or not derivable)",Database!BH199)</f>
        <v/>
      </c>
      <c r="Q199" s="58">
        <f>IF(Database!BN199="","",IFERROR(INDEX(BDH(LEFT(Database!BN199,FIND(".",Database!BN199)-1)&amp;" CH Equity","PE_RATIO",Database!$H199,Database!$H199),MATCH(Database!$H199,INDEX(BDH(LEFT(Database!BN199,FIND(".",Database!BN199)-1)&amp;" CH Equity","PE_RATIO",Database!$H199,Database!$H199),0,1),0),2),"run on terminal"))</f>
        <v/>
      </c>
      <c r="R199" s="58">
        <f>IF(Database!BN199="","",IFERROR(INDEX(BDH("HSAHP Index","PX_LAST",Database!$H199,Database!$H199),MATCH(Database!$H199,INDEX(BDH("HSAHP Index","PX_LAST",Database!$H199,Database!$H199),0,1),0),2),"run on terminal"))</f>
        <v/>
      </c>
      <c r="S199" s="58">
        <f>IFERROR(BDP(TEXT(VALUE(Database!$A199),"0")&amp;" HK Equity","PX_TO_SALES_RATIO"),"")</f>
        <v/>
      </c>
      <c r="T199" s="53">
        <f>IF(Database!BN199="","",IFERROR(BDP(LEFT(Database!BN199,FIND(".",Database!BN199)-1)&amp;" CH Equity","CUR_MKT_CAP")*BDP("CNYHKD Curncy","PX_LAST"),"run on terminal"))</f>
        <v/>
      </c>
    </row>
    <row r="200" ht="23" customHeight="1">
      <c r="A200" s="51">
        <f>Database!A200&amp;"  "&amp;Database!B200</f>
        <v/>
      </c>
      <c r="B200" s="43">
        <f>IFERROR(INDEX(BDS(TEXT(VALUE(Database!$A200),"0")&amp;" HK Equity","EQUITY_OFFERINGS","array=t","endcol=1"),MATCH("IPO",BDS(TEXT(VALUE(Database!$A200),"0")&amp;" HK Equity","EQUITY_OFFERINGS","array=t","startcol=2","endcol=2"),0)),"")</f>
        <v/>
      </c>
      <c r="C200" s="260">
        <f>IF($B200="","",IFERROR(BDP($B200&amp;" Action","CP036"),""))</f>
        <v/>
      </c>
      <c r="D200" s="261">
        <f>Database!S200</f>
        <v/>
      </c>
      <c r="E200" s="260">
        <f>IF($B200="","",IFERROR(BDP($B200&amp;" Action","CP037"),""))</f>
        <v/>
      </c>
      <c r="F200" s="261">
        <f>Database!T200</f>
        <v/>
      </c>
      <c r="G200" s="260">
        <f>IF($B200="","",IFERROR(BDP($B200&amp;" Action","GREENSHOE_FACILITY"),""))</f>
        <v/>
      </c>
      <c r="H200" s="260">
        <f>IF($B200="","",IFERROR(BDP($B200&amp;" Action","OFFERING_GREENSHOE_SHARES_EX"),""))</f>
        <v/>
      </c>
      <c r="I200" s="51">
        <f>Database!AE200</f>
        <v/>
      </c>
      <c r="J200" s="58">
        <f>IFERROR(BDP(TEXT(VALUE(Database!$A200),"0")&amp;" HK Equity","PE_RATIO"),"")</f>
        <v/>
      </c>
      <c r="K200" s="43">
        <f>IFERROR(BDP(TEXT(VALUE(Database!$A200),"0")&amp;" HK Equity","A/H_SHARE_CONVERSION"),"")</f>
        <v/>
      </c>
      <c r="L200" s="51">
        <f>IF(Database!BN200="","(none found)",Database!BN200)</f>
        <v/>
      </c>
      <c r="M200" s="53">
        <f>IFERROR(INDEX(BDH(TEXT(VALUE(Database!$A200),"0")&amp;" HK Equity","CUR_MKT_CAP",Database!$H200,Database!$H200),MATCH(Database!$H200,INDEX(BDH(TEXT(VALUE(Database!$A200),"0")&amp;" HK Equity","CUR_MKT_CAP",Database!$H200,Database!$H200),0,1),0),2),"run on terminal")</f>
        <v/>
      </c>
      <c r="N200" s="213">
        <f>Database!Q200</f>
        <v/>
      </c>
      <c r="O200" s="58">
        <f>IFERROR(INDEX(BDH(TEXT(VALUE(Database!$A200),"0")&amp;" HK Equity","PE_RATIO",Database!$H200,Database!$H200),MATCH(Database!$H200,INDEX(BDH(TEXT(VALUE(Database!$A200),"0")&amp;" HK Equity","PE_RATIO",Database!$H200,Database!$H200),0,1),0),2),"run on terminal")</f>
        <v/>
      </c>
      <c r="P200" s="251">
        <f>IF(Database!BH200="","(n/m or not derivable)",Database!BH200)</f>
        <v/>
      </c>
      <c r="Q200" s="58">
        <f>IF(Database!BN200="","",IFERROR(INDEX(BDH(LEFT(Database!BN200,FIND(".",Database!BN200)-1)&amp;" CH Equity","PE_RATIO",Database!$H200,Database!$H200),MATCH(Database!$H200,INDEX(BDH(LEFT(Database!BN200,FIND(".",Database!BN200)-1)&amp;" CH Equity","PE_RATIO",Database!$H200,Database!$H200),0,1),0),2),"run on terminal"))</f>
        <v/>
      </c>
      <c r="R200" s="58">
        <f>IF(Database!BN200="","",IFERROR(INDEX(BDH("HSAHP Index","PX_LAST",Database!$H200,Database!$H200),MATCH(Database!$H200,INDEX(BDH("HSAHP Index","PX_LAST",Database!$H200,Database!$H200),0,1),0),2),"run on terminal"))</f>
        <v/>
      </c>
      <c r="S200" s="58">
        <f>IFERROR(BDP(TEXT(VALUE(Database!$A200),"0")&amp;" HK Equity","PX_TO_SALES_RATIO"),"")</f>
        <v/>
      </c>
      <c r="T200" s="53">
        <f>IF(Database!BN200="","",IFERROR(BDP(LEFT(Database!BN200,FIND(".",Database!BN200)-1)&amp;" CH Equity","CUR_MKT_CAP")*BDP("CNYHKD Curncy","PX_LAST"),"run on terminal"))</f>
        <v/>
      </c>
    </row>
    <row r="201" ht="23" customHeight="1">
      <c r="A201" s="51">
        <f>Database!A201&amp;"  "&amp;Database!B201</f>
        <v/>
      </c>
      <c r="B201" s="43">
        <f>IFERROR(INDEX(BDS(TEXT(VALUE(Database!$A201),"0")&amp;" HK Equity","EQUITY_OFFERINGS","array=t","endcol=1"),MATCH("IPO",BDS(TEXT(VALUE(Database!$A201),"0")&amp;" HK Equity","EQUITY_OFFERINGS","array=t","startcol=2","endcol=2"),0)),"")</f>
        <v/>
      </c>
      <c r="C201" s="260">
        <f>IF($B201="","",IFERROR(BDP($B201&amp;" Action","CP036"),""))</f>
        <v/>
      </c>
      <c r="D201" s="261">
        <f>Database!S201</f>
        <v/>
      </c>
      <c r="E201" s="260">
        <f>IF($B201="","",IFERROR(BDP($B201&amp;" Action","CP037"),""))</f>
        <v/>
      </c>
      <c r="F201" s="261">
        <f>Database!T201</f>
        <v/>
      </c>
      <c r="G201" s="260">
        <f>IF($B201="","",IFERROR(BDP($B201&amp;" Action","GREENSHOE_FACILITY"),""))</f>
        <v/>
      </c>
      <c r="H201" s="260">
        <f>IF($B201="","",IFERROR(BDP($B201&amp;" Action","OFFERING_GREENSHOE_SHARES_EX"),""))</f>
        <v/>
      </c>
      <c r="I201" s="51">
        <f>Database!AE201</f>
        <v/>
      </c>
      <c r="J201" s="58">
        <f>IFERROR(BDP(TEXT(VALUE(Database!$A201),"0")&amp;" HK Equity","PE_RATIO"),"")</f>
        <v/>
      </c>
      <c r="K201" s="43">
        <f>IFERROR(BDP(TEXT(VALUE(Database!$A201),"0")&amp;" HK Equity","A/H_SHARE_CONVERSION"),"")</f>
        <v/>
      </c>
      <c r="L201" s="51">
        <f>IF(Database!BN201="","(none found)",Database!BN201)</f>
        <v/>
      </c>
      <c r="M201" s="53">
        <f>IFERROR(INDEX(BDH(TEXT(VALUE(Database!$A201),"0")&amp;" HK Equity","CUR_MKT_CAP",Database!$H201,Database!$H201),MATCH(Database!$H201,INDEX(BDH(TEXT(VALUE(Database!$A201),"0")&amp;" HK Equity","CUR_MKT_CAP",Database!$H201,Database!$H201),0,1),0),2),"run on terminal")</f>
        <v/>
      </c>
      <c r="N201" s="213">
        <f>Database!Q201</f>
        <v/>
      </c>
      <c r="O201" s="58">
        <f>IFERROR(INDEX(BDH(TEXT(VALUE(Database!$A201),"0")&amp;" HK Equity","PE_RATIO",Database!$H201,Database!$H201),MATCH(Database!$H201,INDEX(BDH(TEXT(VALUE(Database!$A201),"0")&amp;" HK Equity","PE_RATIO",Database!$H201,Database!$H201),0,1),0),2),"run on terminal")</f>
        <v/>
      </c>
      <c r="P201" s="251">
        <f>IF(Database!BH201="","(n/m or not derivable)",Database!BH201)</f>
        <v/>
      </c>
      <c r="Q201" s="58">
        <f>IF(Database!BN201="","",IFERROR(INDEX(BDH(LEFT(Database!BN201,FIND(".",Database!BN201)-1)&amp;" CH Equity","PE_RATIO",Database!$H201,Database!$H201),MATCH(Database!$H201,INDEX(BDH(LEFT(Database!BN201,FIND(".",Database!BN201)-1)&amp;" CH Equity","PE_RATIO",Database!$H201,Database!$H201),0,1),0),2),"run on terminal"))</f>
        <v/>
      </c>
      <c r="R201" s="58">
        <f>IF(Database!BN201="","",IFERROR(INDEX(BDH("HSAHP Index","PX_LAST",Database!$H201,Database!$H201),MATCH(Database!$H201,INDEX(BDH("HSAHP Index","PX_LAST",Database!$H201,Database!$H201),0,1),0),2),"run on terminal"))</f>
        <v/>
      </c>
      <c r="S201" s="58">
        <f>IFERROR(BDP(TEXT(VALUE(Database!$A201),"0")&amp;" HK Equity","PX_TO_SALES_RATIO"),"")</f>
        <v/>
      </c>
      <c r="T201" s="53">
        <f>IF(Database!BN201="","",IFERROR(BDP(LEFT(Database!BN201,FIND(".",Database!BN201)-1)&amp;" CH Equity","CUR_MKT_CAP")*BDP("CNYHKD Curncy","PX_LAST"),"run on terminal"))</f>
        <v/>
      </c>
    </row>
    <row r="202" ht="23" customHeight="1">
      <c r="A202" s="51">
        <f>Database!A202&amp;"  "&amp;Database!B202</f>
        <v/>
      </c>
      <c r="B202" s="43">
        <f>IFERROR(INDEX(BDS(TEXT(VALUE(Database!$A202),"0")&amp;" HK Equity","EQUITY_OFFERINGS","array=t","endcol=1"),MATCH("IPO",BDS(TEXT(VALUE(Database!$A202),"0")&amp;" HK Equity","EQUITY_OFFERINGS","array=t","startcol=2","endcol=2"),0)),"")</f>
        <v/>
      </c>
      <c r="C202" s="260">
        <f>IF($B202="","",IFERROR(BDP($B202&amp;" Action","CP036"),""))</f>
        <v/>
      </c>
      <c r="D202" s="261">
        <f>Database!S202</f>
        <v/>
      </c>
      <c r="E202" s="260">
        <f>IF($B202="","",IFERROR(BDP($B202&amp;" Action","CP037"),""))</f>
        <v/>
      </c>
      <c r="F202" s="261">
        <f>Database!T202</f>
        <v/>
      </c>
      <c r="G202" s="260">
        <f>IF($B202="","",IFERROR(BDP($B202&amp;" Action","GREENSHOE_FACILITY"),""))</f>
        <v/>
      </c>
      <c r="H202" s="260">
        <f>IF($B202="","",IFERROR(BDP($B202&amp;" Action","OFFERING_GREENSHOE_SHARES_EX"),""))</f>
        <v/>
      </c>
      <c r="I202" s="51">
        <f>Database!AE202</f>
        <v/>
      </c>
      <c r="J202" s="58">
        <f>IFERROR(BDP(TEXT(VALUE(Database!$A202),"0")&amp;" HK Equity","PE_RATIO"),"")</f>
        <v/>
      </c>
      <c r="K202" s="43">
        <f>IFERROR(BDP(TEXT(VALUE(Database!$A202),"0")&amp;" HK Equity","A/H_SHARE_CONVERSION"),"")</f>
        <v/>
      </c>
      <c r="L202" s="51">
        <f>IF(Database!BN202="","(none found)",Database!BN202)</f>
        <v/>
      </c>
      <c r="M202" s="53">
        <f>IFERROR(INDEX(BDH(TEXT(VALUE(Database!$A202),"0")&amp;" HK Equity","CUR_MKT_CAP",Database!$H202,Database!$H202),MATCH(Database!$H202,INDEX(BDH(TEXT(VALUE(Database!$A202),"0")&amp;" HK Equity","CUR_MKT_CAP",Database!$H202,Database!$H202),0,1),0),2),"run on terminal")</f>
        <v/>
      </c>
      <c r="N202" s="213">
        <f>Database!Q202</f>
        <v/>
      </c>
      <c r="O202" s="58">
        <f>IFERROR(INDEX(BDH(TEXT(VALUE(Database!$A202),"0")&amp;" HK Equity","PE_RATIO",Database!$H202,Database!$H202),MATCH(Database!$H202,INDEX(BDH(TEXT(VALUE(Database!$A202),"0")&amp;" HK Equity","PE_RATIO",Database!$H202,Database!$H202),0,1),0),2),"run on terminal")</f>
        <v/>
      </c>
      <c r="P202" s="251">
        <f>IF(Database!BH202="","(n/m or not derivable)",Database!BH202)</f>
        <v/>
      </c>
      <c r="Q202" s="58">
        <f>IF(Database!BN202="","",IFERROR(INDEX(BDH(LEFT(Database!BN202,FIND(".",Database!BN202)-1)&amp;" CH Equity","PE_RATIO",Database!$H202,Database!$H202),MATCH(Database!$H202,INDEX(BDH(LEFT(Database!BN202,FIND(".",Database!BN202)-1)&amp;" CH Equity","PE_RATIO",Database!$H202,Database!$H202),0,1),0),2),"run on terminal"))</f>
        <v/>
      </c>
      <c r="R202" s="58">
        <f>IF(Database!BN202="","",IFERROR(INDEX(BDH("HSAHP Index","PX_LAST",Database!$H202,Database!$H202),MATCH(Database!$H202,INDEX(BDH("HSAHP Index","PX_LAST",Database!$H202,Database!$H202),0,1),0),2),"run on terminal"))</f>
        <v/>
      </c>
      <c r="S202" s="58">
        <f>IFERROR(BDP(TEXT(VALUE(Database!$A202),"0")&amp;" HK Equity","PX_TO_SALES_RATIO"),"")</f>
        <v/>
      </c>
      <c r="T202" s="53">
        <f>IF(Database!BN202="","",IFERROR(BDP(LEFT(Database!BN202,FIND(".",Database!BN202)-1)&amp;" CH Equity","CUR_MKT_CAP")*BDP("CNYHKD Curncy","PX_LAST"),"run on terminal"))</f>
        <v/>
      </c>
    </row>
    <row r="203" ht="23" customHeight="1">
      <c r="A203" s="51">
        <f>Database!A203&amp;"  "&amp;Database!B203</f>
        <v/>
      </c>
      <c r="B203" s="43">
        <f>IFERROR(INDEX(BDS(TEXT(VALUE(Database!$A203),"0")&amp;" HK Equity","EQUITY_OFFERINGS","array=t","endcol=1"),MATCH("IPO",BDS(TEXT(VALUE(Database!$A203),"0")&amp;" HK Equity","EQUITY_OFFERINGS","array=t","startcol=2","endcol=2"),0)),"")</f>
        <v/>
      </c>
      <c r="C203" s="260">
        <f>IF($B203="","",IFERROR(BDP($B203&amp;" Action","CP036"),""))</f>
        <v/>
      </c>
      <c r="D203" s="261">
        <f>Database!S203</f>
        <v/>
      </c>
      <c r="E203" s="260">
        <f>IF($B203="","",IFERROR(BDP($B203&amp;" Action","CP037"),""))</f>
        <v/>
      </c>
      <c r="F203" s="261">
        <f>Database!T203</f>
        <v/>
      </c>
      <c r="G203" s="260">
        <f>IF($B203="","",IFERROR(BDP($B203&amp;" Action","GREENSHOE_FACILITY"),""))</f>
        <v/>
      </c>
      <c r="H203" s="260">
        <f>IF($B203="","",IFERROR(BDP($B203&amp;" Action","OFFERING_GREENSHOE_SHARES_EX"),""))</f>
        <v/>
      </c>
      <c r="I203" s="51">
        <f>Database!AE203</f>
        <v/>
      </c>
      <c r="J203" s="58">
        <f>IFERROR(BDP(TEXT(VALUE(Database!$A203),"0")&amp;" HK Equity","PE_RATIO"),"")</f>
        <v/>
      </c>
      <c r="K203" s="43">
        <f>IFERROR(BDP(TEXT(VALUE(Database!$A203),"0")&amp;" HK Equity","A/H_SHARE_CONVERSION"),"")</f>
        <v/>
      </c>
      <c r="L203" s="51">
        <f>IF(Database!BN203="","(none found)",Database!BN203)</f>
        <v/>
      </c>
      <c r="M203" s="53">
        <f>IFERROR(INDEX(BDH(TEXT(VALUE(Database!$A203),"0")&amp;" HK Equity","CUR_MKT_CAP",Database!$H203,Database!$H203),MATCH(Database!$H203,INDEX(BDH(TEXT(VALUE(Database!$A203),"0")&amp;" HK Equity","CUR_MKT_CAP",Database!$H203,Database!$H203),0,1),0),2),"run on terminal")</f>
        <v/>
      </c>
      <c r="N203" s="213">
        <f>Database!Q203</f>
        <v/>
      </c>
      <c r="O203" s="58">
        <f>IFERROR(INDEX(BDH(TEXT(VALUE(Database!$A203),"0")&amp;" HK Equity","PE_RATIO",Database!$H203,Database!$H203),MATCH(Database!$H203,INDEX(BDH(TEXT(VALUE(Database!$A203),"0")&amp;" HK Equity","PE_RATIO",Database!$H203,Database!$H203),0,1),0),2),"run on terminal")</f>
        <v/>
      </c>
      <c r="P203" s="251">
        <f>IF(Database!BH203="","(n/m or not derivable)",Database!BH203)</f>
        <v/>
      </c>
      <c r="Q203" s="58">
        <f>IF(Database!BN203="","",IFERROR(INDEX(BDH(LEFT(Database!BN203,FIND(".",Database!BN203)-1)&amp;" CH Equity","PE_RATIO",Database!$H203,Database!$H203),MATCH(Database!$H203,INDEX(BDH(LEFT(Database!BN203,FIND(".",Database!BN203)-1)&amp;" CH Equity","PE_RATIO",Database!$H203,Database!$H203),0,1),0),2),"run on terminal"))</f>
        <v/>
      </c>
      <c r="R203" s="58">
        <f>IF(Database!BN203="","",IFERROR(INDEX(BDH("HSAHP Index","PX_LAST",Database!$H203,Database!$H203),MATCH(Database!$H203,INDEX(BDH("HSAHP Index","PX_LAST",Database!$H203,Database!$H203),0,1),0),2),"run on terminal"))</f>
        <v/>
      </c>
      <c r="S203" s="58">
        <f>IFERROR(BDP(TEXT(VALUE(Database!$A203),"0")&amp;" HK Equity","PX_TO_SALES_RATIO"),"")</f>
        <v/>
      </c>
      <c r="T203" s="53">
        <f>IF(Database!BN203="","",IFERROR(BDP(LEFT(Database!BN203,FIND(".",Database!BN203)-1)&amp;" CH Equity","CUR_MKT_CAP")*BDP("CNYHKD Curncy","PX_LAST"),"run on terminal"))</f>
        <v/>
      </c>
    </row>
    <row r="204" ht="23" customHeight="1">
      <c r="A204" s="51">
        <f>Database!A204&amp;"  "&amp;Database!B204</f>
        <v/>
      </c>
      <c r="B204" s="43">
        <f>IFERROR(INDEX(BDS(TEXT(VALUE(Database!$A204),"0")&amp;" HK Equity","EQUITY_OFFERINGS","array=t","endcol=1"),MATCH("IPO",BDS(TEXT(VALUE(Database!$A204),"0")&amp;" HK Equity","EQUITY_OFFERINGS","array=t","startcol=2","endcol=2"),0)),"")</f>
        <v/>
      </c>
      <c r="C204" s="260">
        <f>IF($B204="","",IFERROR(BDP($B204&amp;" Action","CP036"),""))</f>
        <v/>
      </c>
      <c r="D204" s="261">
        <f>Database!S204</f>
        <v/>
      </c>
      <c r="E204" s="260">
        <f>IF($B204="","",IFERROR(BDP($B204&amp;" Action","CP037"),""))</f>
        <v/>
      </c>
      <c r="F204" s="261">
        <f>Database!T204</f>
        <v/>
      </c>
      <c r="G204" s="260">
        <f>IF($B204="","",IFERROR(BDP($B204&amp;" Action","GREENSHOE_FACILITY"),""))</f>
        <v/>
      </c>
      <c r="H204" s="260">
        <f>IF($B204="","",IFERROR(BDP($B204&amp;" Action","OFFERING_GREENSHOE_SHARES_EX"),""))</f>
        <v/>
      </c>
      <c r="I204" s="51">
        <f>Database!AE204</f>
        <v/>
      </c>
      <c r="J204" s="58">
        <f>IFERROR(BDP(TEXT(VALUE(Database!$A204),"0")&amp;" HK Equity","PE_RATIO"),"")</f>
        <v/>
      </c>
      <c r="K204" s="43">
        <f>IFERROR(BDP(TEXT(VALUE(Database!$A204),"0")&amp;" HK Equity","A/H_SHARE_CONVERSION"),"")</f>
        <v/>
      </c>
      <c r="L204" s="51">
        <f>IF(Database!BN204="","(none found)",Database!BN204)</f>
        <v/>
      </c>
      <c r="M204" s="53">
        <f>IFERROR(INDEX(BDH(TEXT(VALUE(Database!$A204),"0")&amp;" HK Equity","CUR_MKT_CAP",Database!$H204,Database!$H204),MATCH(Database!$H204,INDEX(BDH(TEXT(VALUE(Database!$A204),"0")&amp;" HK Equity","CUR_MKT_CAP",Database!$H204,Database!$H204),0,1),0),2),"run on terminal")</f>
        <v/>
      </c>
      <c r="N204" s="213">
        <f>Database!Q204</f>
        <v/>
      </c>
      <c r="O204" s="58">
        <f>IFERROR(INDEX(BDH(TEXT(VALUE(Database!$A204),"0")&amp;" HK Equity","PE_RATIO",Database!$H204,Database!$H204),MATCH(Database!$H204,INDEX(BDH(TEXT(VALUE(Database!$A204),"0")&amp;" HK Equity","PE_RATIO",Database!$H204,Database!$H204),0,1),0),2),"run on terminal")</f>
        <v/>
      </c>
      <c r="P204" s="251">
        <f>IF(Database!BH204="","(n/m or not derivable)",Database!BH204)</f>
        <v/>
      </c>
      <c r="Q204" s="58">
        <f>IF(Database!BN204="","",IFERROR(INDEX(BDH(LEFT(Database!BN204,FIND(".",Database!BN204)-1)&amp;" CH Equity","PE_RATIO",Database!$H204,Database!$H204),MATCH(Database!$H204,INDEX(BDH(LEFT(Database!BN204,FIND(".",Database!BN204)-1)&amp;" CH Equity","PE_RATIO",Database!$H204,Database!$H204),0,1),0),2),"run on terminal"))</f>
        <v/>
      </c>
      <c r="R204" s="58">
        <f>IF(Database!BN204="","",IFERROR(INDEX(BDH("HSAHP Index","PX_LAST",Database!$H204,Database!$H204),MATCH(Database!$H204,INDEX(BDH("HSAHP Index","PX_LAST",Database!$H204,Database!$H204),0,1),0),2),"run on terminal"))</f>
        <v/>
      </c>
      <c r="S204" s="58">
        <f>IFERROR(BDP(TEXT(VALUE(Database!$A204),"0")&amp;" HK Equity","PX_TO_SALES_RATIO"),"")</f>
        <v/>
      </c>
      <c r="T204" s="53">
        <f>IF(Database!BN204="","",IFERROR(BDP(LEFT(Database!BN204,FIND(".",Database!BN204)-1)&amp;" CH Equity","CUR_MKT_CAP")*BDP("CNYHKD Curncy","PX_LAST"),"run on terminal"))</f>
        <v/>
      </c>
    </row>
    <row r="205" ht="23" customHeight="1">
      <c r="A205" s="51">
        <f>Database!A205&amp;"  "&amp;Database!B205</f>
        <v/>
      </c>
      <c r="B205" s="43">
        <f>IFERROR(INDEX(BDS(TEXT(VALUE(Database!$A205),"0")&amp;" HK Equity","EQUITY_OFFERINGS","array=t","endcol=1"),MATCH("IPO",BDS(TEXT(VALUE(Database!$A205),"0")&amp;" HK Equity","EQUITY_OFFERINGS","array=t","startcol=2","endcol=2"),0)),"")</f>
        <v/>
      </c>
      <c r="C205" s="260">
        <f>IF($B205="","",IFERROR(BDP($B205&amp;" Action","CP036"),""))</f>
        <v/>
      </c>
      <c r="D205" s="261">
        <f>Database!S205</f>
        <v/>
      </c>
      <c r="E205" s="260">
        <f>IF($B205="","",IFERROR(BDP($B205&amp;" Action","CP037"),""))</f>
        <v/>
      </c>
      <c r="F205" s="261">
        <f>Database!T205</f>
        <v/>
      </c>
      <c r="G205" s="260">
        <f>IF($B205="","",IFERROR(BDP($B205&amp;" Action","GREENSHOE_FACILITY"),""))</f>
        <v/>
      </c>
      <c r="H205" s="260">
        <f>IF($B205="","",IFERROR(BDP($B205&amp;" Action","OFFERING_GREENSHOE_SHARES_EX"),""))</f>
        <v/>
      </c>
      <c r="I205" s="51">
        <f>Database!AE205</f>
        <v/>
      </c>
      <c r="J205" s="58">
        <f>IFERROR(BDP(TEXT(VALUE(Database!$A205),"0")&amp;" HK Equity","PE_RATIO"),"")</f>
        <v/>
      </c>
      <c r="K205" s="43">
        <f>IFERROR(BDP(TEXT(VALUE(Database!$A205),"0")&amp;" HK Equity","A/H_SHARE_CONVERSION"),"")</f>
        <v/>
      </c>
      <c r="L205" s="51">
        <f>IF(Database!BN205="","(none found)",Database!BN205)</f>
        <v/>
      </c>
      <c r="M205" s="53">
        <f>IFERROR(INDEX(BDH(TEXT(VALUE(Database!$A205),"0")&amp;" HK Equity","CUR_MKT_CAP",Database!$H205,Database!$H205),MATCH(Database!$H205,INDEX(BDH(TEXT(VALUE(Database!$A205),"0")&amp;" HK Equity","CUR_MKT_CAP",Database!$H205,Database!$H205),0,1),0),2),"run on terminal")</f>
        <v/>
      </c>
      <c r="N205" s="213">
        <f>Database!Q205</f>
        <v/>
      </c>
      <c r="O205" s="58">
        <f>IFERROR(INDEX(BDH(TEXT(VALUE(Database!$A205),"0")&amp;" HK Equity","PE_RATIO",Database!$H205,Database!$H205),MATCH(Database!$H205,INDEX(BDH(TEXT(VALUE(Database!$A205),"0")&amp;" HK Equity","PE_RATIO",Database!$H205,Database!$H205),0,1),0),2),"run on terminal")</f>
        <v/>
      </c>
      <c r="P205" s="251">
        <f>IF(Database!BH205="","(n/m or not derivable)",Database!BH205)</f>
        <v/>
      </c>
      <c r="Q205" s="58">
        <f>IF(Database!BN205="","",IFERROR(INDEX(BDH(LEFT(Database!BN205,FIND(".",Database!BN205)-1)&amp;" CH Equity","PE_RATIO",Database!$H205,Database!$H205),MATCH(Database!$H205,INDEX(BDH(LEFT(Database!BN205,FIND(".",Database!BN205)-1)&amp;" CH Equity","PE_RATIO",Database!$H205,Database!$H205),0,1),0),2),"run on terminal"))</f>
        <v/>
      </c>
      <c r="R205" s="58">
        <f>IF(Database!BN205="","",IFERROR(INDEX(BDH("HSAHP Index","PX_LAST",Database!$H205,Database!$H205),MATCH(Database!$H205,INDEX(BDH("HSAHP Index","PX_LAST",Database!$H205,Database!$H205),0,1),0),2),"run on terminal"))</f>
        <v/>
      </c>
      <c r="S205" s="58">
        <f>IFERROR(BDP(TEXT(VALUE(Database!$A205),"0")&amp;" HK Equity","PX_TO_SALES_RATIO"),"")</f>
        <v/>
      </c>
      <c r="T205" s="53">
        <f>IF(Database!BN205="","",IFERROR(BDP(LEFT(Database!BN205,FIND(".",Database!BN205)-1)&amp;" CH Equity","CUR_MKT_CAP")*BDP("CNYHKD Curncy","PX_LAST"),"run on terminal"))</f>
        <v/>
      </c>
    </row>
    <row r="206" ht="23" customHeight="1">
      <c r="A206" s="51">
        <f>Database!A206&amp;"  "&amp;Database!B206</f>
        <v/>
      </c>
      <c r="B206" s="43">
        <f>IFERROR(INDEX(BDS(TEXT(VALUE(Database!$A206),"0")&amp;" HK Equity","EQUITY_OFFERINGS","array=t","endcol=1"),MATCH("IPO",BDS(TEXT(VALUE(Database!$A206),"0")&amp;" HK Equity","EQUITY_OFFERINGS","array=t","startcol=2","endcol=2"),0)),"")</f>
        <v/>
      </c>
      <c r="C206" s="260">
        <f>IF($B206="","",IFERROR(BDP($B206&amp;" Action","CP036"),""))</f>
        <v/>
      </c>
      <c r="D206" s="261">
        <f>Database!S206</f>
        <v/>
      </c>
      <c r="E206" s="260">
        <f>IF($B206="","",IFERROR(BDP($B206&amp;" Action","CP037"),""))</f>
        <v/>
      </c>
      <c r="F206" s="261">
        <f>Database!T206</f>
        <v/>
      </c>
      <c r="G206" s="260">
        <f>IF($B206="","",IFERROR(BDP($B206&amp;" Action","GREENSHOE_FACILITY"),""))</f>
        <v/>
      </c>
      <c r="H206" s="260">
        <f>IF($B206="","",IFERROR(BDP($B206&amp;" Action","OFFERING_GREENSHOE_SHARES_EX"),""))</f>
        <v/>
      </c>
      <c r="I206" s="51">
        <f>Database!AE206</f>
        <v/>
      </c>
      <c r="J206" s="58">
        <f>IFERROR(BDP(TEXT(VALUE(Database!$A206),"0")&amp;" HK Equity","PE_RATIO"),"")</f>
        <v/>
      </c>
      <c r="K206" s="43">
        <f>IFERROR(BDP(TEXT(VALUE(Database!$A206),"0")&amp;" HK Equity","A/H_SHARE_CONVERSION"),"")</f>
        <v/>
      </c>
      <c r="L206" s="51">
        <f>IF(Database!BN206="","(none found)",Database!BN206)</f>
        <v/>
      </c>
      <c r="M206" s="53">
        <f>IFERROR(INDEX(BDH(TEXT(VALUE(Database!$A206),"0")&amp;" HK Equity","CUR_MKT_CAP",Database!$H206,Database!$H206),MATCH(Database!$H206,INDEX(BDH(TEXT(VALUE(Database!$A206),"0")&amp;" HK Equity","CUR_MKT_CAP",Database!$H206,Database!$H206),0,1),0),2),"run on terminal")</f>
        <v/>
      </c>
      <c r="N206" s="213">
        <f>Database!Q206</f>
        <v/>
      </c>
      <c r="O206" s="58">
        <f>IFERROR(INDEX(BDH(TEXT(VALUE(Database!$A206),"0")&amp;" HK Equity","PE_RATIO",Database!$H206,Database!$H206),MATCH(Database!$H206,INDEX(BDH(TEXT(VALUE(Database!$A206),"0")&amp;" HK Equity","PE_RATIO",Database!$H206,Database!$H206),0,1),0),2),"run on terminal")</f>
        <v/>
      </c>
      <c r="P206" s="251">
        <f>IF(Database!BH206="","(n/m or not derivable)",Database!BH206)</f>
        <v/>
      </c>
      <c r="Q206" s="58">
        <f>IF(Database!BN206="","",IFERROR(INDEX(BDH(LEFT(Database!BN206,FIND(".",Database!BN206)-1)&amp;" CH Equity","PE_RATIO",Database!$H206,Database!$H206),MATCH(Database!$H206,INDEX(BDH(LEFT(Database!BN206,FIND(".",Database!BN206)-1)&amp;" CH Equity","PE_RATIO",Database!$H206,Database!$H206),0,1),0),2),"run on terminal"))</f>
        <v/>
      </c>
      <c r="R206" s="58">
        <f>IF(Database!BN206="","",IFERROR(INDEX(BDH("HSAHP Index","PX_LAST",Database!$H206,Database!$H206),MATCH(Database!$H206,INDEX(BDH("HSAHP Index","PX_LAST",Database!$H206,Database!$H206),0,1),0),2),"run on terminal"))</f>
        <v/>
      </c>
      <c r="S206" s="58">
        <f>IFERROR(BDP(TEXT(VALUE(Database!$A206),"0")&amp;" HK Equity","PX_TO_SALES_RATIO"),"")</f>
        <v/>
      </c>
      <c r="T206" s="53">
        <f>IF(Database!BN206="","",IFERROR(BDP(LEFT(Database!BN206,FIND(".",Database!BN206)-1)&amp;" CH Equity","CUR_MKT_CAP")*BDP("CNYHKD Curncy","PX_LAST"),"run on terminal"))</f>
        <v/>
      </c>
    </row>
    <row r="207" ht="23" customHeight="1">
      <c r="A207" s="51">
        <f>Database!A207&amp;"  "&amp;Database!B207</f>
        <v/>
      </c>
      <c r="B207" s="43">
        <f>IFERROR(INDEX(BDS(TEXT(VALUE(Database!$A207),"0")&amp;" HK Equity","EQUITY_OFFERINGS","array=t","endcol=1"),MATCH("IPO",BDS(TEXT(VALUE(Database!$A207),"0")&amp;" HK Equity","EQUITY_OFFERINGS","array=t","startcol=2","endcol=2"),0)),"")</f>
        <v/>
      </c>
      <c r="C207" s="260">
        <f>IF($B207="","",IFERROR(BDP($B207&amp;" Action","CP036"),""))</f>
        <v/>
      </c>
      <c r="D207" s="261">
        <f>Database!S207</f>
        <v/>
      </c>
      <c r="E207" s="260">
        <f>IF($B207="","",IFERROR(BDP($B207&amp;" Action","CP037"),""))</f>
        <v/>
      </c>
      <c r="F207" s="261">
        <f>Database!T207</f>
        <v/>
      </c>
      <c r="G207" s="260">
        <f>IF($B207="","",IFERROR(BDP($B207&amp;" Action","GREENSHOE_FACILITY"),""))</f>
        <v/>
      </c>
      <c r="H207" s="260">
        <f>IF($B207="","",IFERROR(BDP($B207&amp;" Action","OFFERING_GREENSHOE_SHARES_EX"),""))</f>
        <v/>
      </c>
      <c r="I207" s="51">
        <f>Database!AE207</f>
        <v/>
      </c>
      <c r="J207" s="58">
        <f>IFERROR(BDP(TEXT(VALUE(Database!$A207),"0")&amp;" HK Equity","PE_RATIO"),"")</f>
        <v/>
      </c>
      <c r="K207" s="43">
        <f>IFERROR(BDP(TEXT(VALUE(Database!$A207),"0")&amp;" HK Equity","A/H_SHARE_CONVERSION"),"")</f>
        <v/>
      </c>
      <c r="L207" s="51">
        <f>IF(Database!BN207="","(none found)",Database!BN207)</f>
        <v/>
      </c>
      <c r="M207" s="53">
        <f>IFERROR(INDEX(BDH(TEXT(VALUE(Database!$A207),"0")&amp;" HK Equity","CUR_MKT_CAP",Database!$H207,Database!$H207),MATCH(Database!$H207,INDEX(BDH(TEXT(VALUE(Database!$A207),"0")&amp;" HK Equity","CUR_MKT_CAP",Database!$H207,Database!$H207),0,1),0),2),"run on terminal")</f>
        <v/>
      </c>
      <c r="N207" s="213">
        <f>Database!Q207</f>
        <v/>
      </c>
      <c r="O207" s="58">
        <f>IFERROR(INDEX(BDH(TEXT(VALUE(Database!$A207),"0")&amp;" HK Equity","PE_RATIO",Database!$H207,Database!$H207),MATCH(Database!$H207,INDEX(BDH(TEXT(VALUE(Database!$A207),"0")&amp;" HK Equity","PE_RATIO",Database!$H207,Database!$H207),0,1),0),2),"run on terminal")</f>
        <v/>
      </c>
      <c r="P207" s="251">
        <f>IF(Database!BH207="","(n/m or not derivable)",Database!BH207)</f>
        <v/>
      </c>
      <c r="Q207" s="58">
        <f>IF(Database!BN207="","",IFERROR(INDEX(BDH(LEFT(Database!BN207,FIND(".",Database!BN207)-1)&amp;" CH Equity","PE_RATIO",Database!$H207,Database!$H207),MATCH(Database!$H207,INDEX(BDH(LEFT(Database!BN207,FIND(".",Database!BN207)-1)&amp;" CH Equity","PE_RATIO",Database!$H207,Database!$H207),0,1),0),2),"run on terminal"))</f>
        <v/>
      </c>
      <c r="R207" s="58">
        <f>IF(Database!BN207="","",IFERROR(INDEX(BDH("HSAHP Index","PX_LAST",Database!$H207,Database!$H207),MATCH(Database!$H207,INDEX(BDH("HSAHP Index","PX_LAST",Database!$H207,Database!$H207),0,1),0),2),"run on terminal"))</f>
        <v/>
      </c>
      <c r="S207" s="58">
        <f>IFERROR(BDP(TEXT(VALUE(Database!$A207),"0")&amp;" HK Equity","PX_TO_SALES_RATIO"),"")</f>
        <v/>
      </c>
      <c r="T207" s="53">
        <f>IF(Database!BN207="","",IFERROR(BDP(LEFT(Database!BN207,FIND(".",Database!BN207)-1)&amp;" CH Equity","CUR_MKT_CAP")*BDP("CNYHKD Curncy","PX_LAST"),"run on terminal"))</f>
        <v/>
      </c>
    </row>
    <row r="208" ht="23" customHeight="1">
      <c r="A208" s="51">
        <f>Database!A208&amp;"  "&amp;Database!B208</f>
        <v/>
      </c>
      <c r="B208" s="43">
        <f>IFERROR(INDEX(BDS(TEXT(VALUE(Database!$A208),"0")&amp;" HK Equity","EQUITY_OFFERINGS","array=t","endcol=1"),MATCH("IPO",BDS(TEXT(VALUE(Database!$A208),"0")&amp;" HK Equity","EQUITY_OFFERINGS","array=t","startcol=2","endcol=2"),0)),"")</f>
        <v/>
      </c>
      <c r="C208" s="260">
        <f>IF($B208="","",IFERROR(BDP($B208&amp;" Action","CP036"),""))</f>
        <v/>
      </c>
      <c r="D208" s="261">
        <f>Database!S208</f>
        <v/>
      </c>
      <c r="E208" s="260">
        <f>IF($B208="","",IFERROR(BDP($B208&amp;" Action","CP037"),""))</f>
        <v/>
      </c>
      <c r="F208" s="261">
        <f>Database!T208</f>
        <v/>
      </c>
      <c r="G208" s="260">
        <f>IF($B208="","",IFERROR(BDP($B208&amp;" Action","GREENSHOE_FACILITY"),""))</f>
        <v/>
      </c>
      <c r="H208" s="260">
        <f>IF($B208="","",IFERROR(BDP($B208&amp;" Action","OFFERING_GREENSHOE_SHARES_EX"),""))</f>
        <v/>
      </c>
      <c r="I208" s="51">
        <f>Database!AE208</f>
        <v/>
      </c>
      <c r="J208" s="58">
        <f>IFERROR(BDP(TEXT(VALUE(Database!$A208),"0")&amp;" HK Equity","PE_RATIO"),"")</f>
        <v/>
      </c>
      <c r="K208" s="43">
        <f>IFERROR(BDP(TEXT(VALUE(Database!$A208),"0")&amp;" HK Equity","A/H_SHARE_CONVERSION"),"")</f>
        <v/>
      </c>
      <c r="L208" s="51">
        <f>IF(Database!BN208="","(none found)",Database!BN208)</f>
        <v/>
      </c>
      <c r="M208" s="53">
        <f>IFERROR(INDEX(BDH(TEXT(VALUE(Database!$A208),"0")&amp;" HK Equity","CUR_MKT_CAP",Database!$H208,Database!$H208),MATCH(Database!$H208,INDEX(BDH(TEXT(VALUE(Database!$A208),"0")&amp;" HK Equity","CUR_MKT_CAP",Database!$H208,Database!$H208),0,1),0),2),"run on terminal")</f>
        <v/>
      </c>
      <c r="N208" s="213">
        <f>Database!Q208</f>
        <v/>
      </c>
      <c r="O208" s="58">
        <f>IFERROR(INDEX(BDH(TEXT(VALUE(Database!$A208),"0")&amp;" HK Equity","PE_RATIO",Database!$H208,Database!$H208),MATCH(Database!$H208,INDEX(BDH(TEXT(VALUE(Database!$A208),"0")&amp;" HK Equity","PE_RATIO",Database!$H208,Database!$H208),0,1),0),2),"run on terminal")</f>
        <v/>
      </c>
      <c r="P208" s="251">
        <f>IF(Database!BH208="","(n/m or not derivable)",Database!BH208)</f>
        <v/>
      </c>
      <c r="Q208" s="58">
        <f>IF(Database!BN208="","",IFERROR(INDEX(BDH(LEFT(Database!BN208,FIND(".",Database!BN208)-1)&amp;" CH Equity","PE_RATIO",Database!$H208,Database!$H208),MATCH(Database!$H208,INDEX(BDH(LEFT(Database!BN208,FIND(".",Database!BN208)-1)&amp;" CH Equity","PE_RATIO",Database!$H208,Database!$H208),0,1),0),2),"run on terminal"))</f>
        <v/>
      </c>
      <c r="R208" s="58">
        <f>IF(Database!BN208="","",IFERROR(INDEX(BDH("HSAHP Index","PX_LAST",Database!$H208,Database!$H208),MATCH(Database!$H208,INDEX(BDH("HSAHP Index","PX_LAST",Database!$H208,Database!$H208),0,1),0),2),"run on terminal"))</f>
        <v/>
      </c>
      <c r="S208" s="58">
        <f>IFERROR(BDP(TEXT(VALUE(Database!$A208),"0")&amp;" HK Equity","PX_TO_SALES_RATIO"),"")</f>
        <v/>
      </c>
      <c r="T208" s="53">
        <f>IF(Database!BN208="","",IFERROR(BDP(LEFT(Database!BN208,FIND(".",Database!BN208)-1)&amp;" CH Equity","CUR_MKT_CAP")*BDP("CNYHKD Curncy","PX_LAST"),"run on terminal"))</f>
        <v/>
      </c>
    </row>
    <row r="209" ht="23" customHeight="1">
      <c r="A209" s="51">
        <f>Database!A209&amp;"  "&amp;Database!B209</f>
        <v/>
      </c>
      <c r="B209" s="43">
        <f>IFERROR(INDEX(BDS(TEXT(VALUE(Database!$A209),"0")&amp;" HK Equity","EQUITY_OFFERINGS","array=t","endcol=1"),MATCH("IPO",BDS(TEXT(VALUE(Database!$A209),"0")&amp;" HK Equity","EQUITY_OFFERINGS","array=t","startcol=2","endcol=2"),0)),"")</f>
        <v/>
      </c>
      <c r="C209" s="260">
        <f>IF($B209="","",IFERROR(BDP($B209&amp;" Action","CP036"),""))</f>
        <v/>
      </c>
      <c r="D209" s="261">
        <f>Database!S209</f>
        <v/>
      </c>
      <c r="E209" s="260">
        <f>IF($B209="","",IFERROR(BDP($B209&amp;" Action","CP037"),""))</f>
        <v/>
      </c>
      <c r="F209" s="261">
        <f>Database!T209</f>
        <v/>
      </c>
      <c r="G209" s="260">
        <f>IF($B209="","",IFERROR(BDP($B209&amp;" Action","GREENSHOE_FACILITY"),""))</f>
        <v/>
      </c>
      <c r="H209" s="260">
        <f>IF($B209="","",IFERROR(BDP($B209&amp;" Action","OFFERING_GREENSHOE_SHARES_EX"),""))</f>
        <v/>
      </c>
      <c r="I209" s="51">
        <f>Database!AE209</f>
        <v/>
      </c>
      <c r="J209" s="58">
        <f>IFERROR(BDP(TEXT(VALUE(Database!$A209),"0")&amp;" HK Equity","PE_RATIO"),"")</f>
        <v/>
      </c>
      <c r="K209" s="43">
        <f>IFERROR(BDP(TEXT(VALUE(Database!$A209),"0")&amp;" HK Equity","A/H_SHARE_CONVERSION"),"")</f>
        <v/>
      </c>
      <c r="L209" s="51">
        <f>IF(Database!BN209="","(none found)",Database!BN209)</f>
        <v/>
      </c>
      <c r="M209" s="53">
        <f>IFERROR(INDEX(BDH(TEXT(VALUE(Database!$A209),"0")&amp;" HK Equity","CUR_MKT_CAP",Database!$H209,Database!$H209),MATCH(Database!$H209,INDEX(BDH(TEXT(VALUE(Database!$A209),"0")&amp;" HK Equity","CUR_MKT_CAP",Database!$H209,Database!$H209),0,1),0),2),"run on terminal")</f>
        <v/>
      </c>
      <c r="N209" s="213">
        <f>Database!Q209</f>
        <v/>
      </c>
      <c r="O209" s="58">
        <f>IFERROR(INDEX(BDH(TEXT(VALUE(Database!$A209),"0")&amp;" HK Equity","PE_RATIO",Database!$H209,Database!$H209),MATCH(Database!$H209,INDEX(BDH(TEXT(VALUE(Database!$A209),"0")&amp;" HK Equity","PE_RATIO",Database!$H209,Database!$H209),0,1),0),2),"run on terminal")</f>
        <v/>
      </c>
      <c r="P209" s="251">
        <f>IF(Database!BH209="","(n/m or not derivable)",Database!BH209)</f>
        <v/>
      </c>
      <c r="Q209" s="58">
        <f>IF(Database!BN209="","",IFERROR(INDEX(BDH(LEFT(Database!BN209,FIND(".",Database!BN209)-1)&amp;" CH Equity","PE_RATIO",Database!$H209,Database!$H209),MATCH(Database!$H209,INDEX(BDH(LEFT(Database!BN209,FIND(".",Database!BN209)-1)&amp;" CH Equity","PE_RATIO",Database!$H209,Database!$H209),0,1),0),2),"run on terminal"))</f>
        <v/>
      </c>
      <c r="R209" s="58">
        <f>IF(Database!BN209="","",IFERROR(INDEX(BDH("HSAHP Index","PX_LAST",Database!$H209,Database!$H209),MATCH(Database!$H209,INDEX(BDH("HSAHP Index","PX_LAST",Database!$H209,Database!$H209),0,1),0),2),"run on terminal"))</f>
        <v/>
      </c>
      <c r="S209" s="58">
        <f>IFERROR(BDP(TEXT(VALUE(Database!$A209),"0")&amp;" HK Equity","PX_TO_SALES_RATIO"),"")</f>
        <v/>
      </c>
      <c r="T209" s="53">
        <f>IF(Database!BN209="","",IFERROR(BDP(LEFT(Database!BN209,FIND(".",Database!BN209)-1)&amp;" CH Equity","CUR_MKT_CAP")*BDP("CNYHKD Curncy","PX_LAST"),"run on terminal"))</f>
        <v/>
      </c>
    </row>
    <row r="210" ht="23" customHeight="1">
      <c r="A210" s="51">
        <f>Database!A210&amp;"  "&amp;Database!B210</f>
        <v/>
      </c>
      <c r="B210" s="43">
        <f>IFERROR(INDEX(BDS(TEXT(VALUE(Database!$A210),"0")&amp;" HK Equity","EQUITY_OFFERINGS","array=t","endcol=1"),MATCH("IPO",BDS(TEXT(VALUE(Database!$A210),"0")&amp;" HK Equity","EQUITY_OFFERINGS","array=t","startcol=2","endcol=2"),0)),"")</f>
        <v/>
      </c>
      <c r="C210" s="260">
        <f>IF($B210="","",IFERROR(BDP($B210&amp;" Action","CP036"),""))</f>
        <v/>
      </c>
      <c r="D210" s="261">
        <f>Database!S210</f>
        <v/>
      </c>
      <c r="E210" s="260">
        <f>IF($B210="","",IFERROR(BDP($B210&amp;" Action","CP037"),""))</f>
        <v/>
      </c>
      <c r="F210" s="261">
        <f>Database!T210</f>
        <v/>
      </c>
      <c r="G210" s="260">
        <f>IF($B210="","",IFERROR(BDP($B210&amp;" Action","GREENSHOE_FACILITY"),""))</f>
        <v/>
      </c>
      <c r="H210" s="260">
        <f>IF($B210="","",IFERROR(BDP($B210&amp;" Action","OFFERING_GREENSHOE_SHARES_EX"),""))</f>
        <v/>
      </c>
      <c r="I210" s="51">
        <f>Database!AE210</f>
        <v/>
      </c>
      <c r="J210" s="58">
        <f>IFERROR(BDP(TEXT(VALUE(Database!$A210),"0")&amp;" HK Equity","PE_RATIO"),"")</f>
        <v/>
      </c>
      <c r="K210" s="43">
        <f>IFERROR(BDP(TEXT(VALUE(Database!$A210),"0")&amp;" HK Equity","A/H_SHARE_CONVERSION"),"")</f>
        <v/>
      </c>
      <c r="L210" s="51">
        <f>IF(Database!BN210="","(none found)",Database!BN210)</f>
        <v/>
      </c>
      <c r="M210" s="53">
        <f>IFERROR(INDEX(BDH(TEXT(VALUE(Database!$A210),"0")&amp;" HK Equity","CUR_MKT_CAP",Database!$H210,Database!$H210),MATCH(Database!$H210,INDEX(BDH(TEXT(VALUE(Database!$A210),"0")&amp;" HK Equity","CUR_MKT_CAP",Database!$H210,Database!$H210),0,1),0),2),"run on terminal")</f>
        <v/>
      </c>
      <c r="N210" s="213">
        <f>Database!Q210</f>
        <v/>
      </c>
      <c r="O210" s="58">
        <f>IFERROR(INDEX(BDH(TEXT(VALUE(Database!$A210),"0")&amp;" HK Equity","PE_RATIO",Database!$H210,Database!$H210),MATCH(Database!$H210,INDEX(BDH(TEXT(VALUE(Database!$A210),"0")&amp;" HK Equity","PE_RATIO",Database!$H210,Database!$H210),0,1),0),2),"run on terminal")</f>
        <v/>
      </c>
      <c r="P210" s="251">
        <f>IF(Database!BH210="","(n/m or not derivable)",Database!BH210)</f>
        <v/>
      </c>
      <c r="Q210" s="58">
        <f>IF(Database!BN210="","",IFERROR(INDEX(BDH(LEFT(Database!BN210,FIND(".",Database!BN210)-1)&amp;" CH Equity","PE_RATIO",Database!$H210,Database!$H210),MATCH(Database!$H210,INDEX(BDH(LEFT(Database!BN210,FIND(".",Database!BN210)-1)&amp;" CH Equity","PE_RATIO",Database!$H210,Database!$H210),0,1),0),2),"run on terminal"))</f>
        <v/>
      </c>
      <c r="R210" s="58">
        <f>IF(Database!BN210="","",IFERROR(INDEX(BDH("HSAHP Index","PX_LAST",Database!$H210,Database!$H210),MATCH(Database!$H210,INDEX(BDH("HSAHP Index","PX_LAST",Database!$H210,Database!$H210),0,1),0),2),"run on terminal"))</f>
        <v/>
      </c>
      <c r="S210" s="58">
        <f>IFERROR(BDP(TEXT(VALUE(Database!$A210),"0")&amp;" HK Equity","PX_TO_SALES_RATIO"),"")</f>
        <v/>
      </c>
      <c r="T210" s="53">
        <f>IF(Database!BN210="","",IFERROR(BDP(LEFT(Database!BN210,FIND(".",Database!BN210)-1)&amp;" CH Equity","CUR_MKT_CAP")*BDP("CNYHKD Curncy","PX_LAST"),"run on terminal"))</f>
        <v/>
      </c>
    </row>
    <row r="211" ht="23" customHeight="1">
      <c r="A211" s="51">
        <f>Database!A211&amp;"  "&amp;Database!B211</f>
        <v/>
      </c>
      <c r="B211" s="43">
        <f>IFERROR(INDEX(BDS(TEXT(VALUE(Database!$A211),"0")&amp;" HK Equity","EQUITY_OFFERINGS","array=t","endcol=1"),MATCH("IPO",BDS(TEXT(VALUE(Database!$A211),"0")&amp;" HK Equity","EQUITY_OFFERINGS","array=t","startcol=2","endcol=2"),0)),"")</f>
        <v/>
      </c>
      <c r="C211" s="260">
        <f>IF($B211="","",IFERROR(BDP($B211&amp;" Action","CP036"),""))</f>
        <v/>
      </c>
      <c r="D211" s="261">
        <f>Database!S211</f>
        <v/>
      </c>
      <c r="E211" s="260">
        <f>IF($B211="","",IFERROR(BDP($B211&amp;" Action","CP037"),""))</f>
        <v/>
      </c>
      <c r="F211" s="261">
        <f>Database!T211</f>
        <v/>
      </c>
      <c r="G211" s="260">
        <f>IF($B211="","",IFERROR(BDP($B211&amp;" Action","GREENSHOE_FACILITY"),""))</f>
        <v/>
      </c>
      <c r="H211" s="260">
        <f>IF($B211="","",IFERROR(BDP($B211&amp;" Action","OFFERING_GREENSHOE_SHARES_EX"),""))</f>
        <v/>
      </c>
      <c r="I211" s="51">
        <f>Database!AE211</f>
        <v/>
      </c>
      <c r="J211" s="58">
        <f>IFERROR(BDP(TEXT(VALUE(Database!$A211),"0")&amp;" HK Equity","PE_RATIO"),"")</f>
        <v/>
      </c>
      <c r="K211" s="43">
        <f>IFERROR(BDP(TEXT(VALUE(Database!$A211),"0")&amp;" HK Equity","A/H_SHARE_CONVERSION"),"")</f>
        <v/>
      </c>
      <c r="L211" s="51">
        <f>IF(Database!BN211="","(none found)",Database!BN211)</f>
        <v/>
      </c>
      <c r="M211" s="53">
        <f>IFERROR(INDEX(BDH(TEXT(VALUE(Database!$A211),"0")&amp;" HK Equity","CUR_MKT_CAP",Database!$H211,Database!$H211),MATCH(Database!$H211,INDEX(BDH(TEXT(VALUE(Database!$A211),"0")&amp;" HK Equity","CUR_MKT_CAP",Database!$H211,Database!$H211),0,1),0),2),"run on terminal")</f>
        <v/>
      </c>
      <c r="N211" s="213">
        <f>Database!Q211</f>
        <v/>
      </c>
      <c r="O211" s="58">
        <f>IFERROR(INDEX(BDH(TEXT(VALUE(Database!$A211),"0")&amp;" HK Equity","PE_RATIO",Database!$H211,Database!$H211),MATCH(Database!$H211,INDEX(BDH(TEXT(VALUE(Database!$A211),"0")&amp;" HK Equity","PE_RATIO",Database!$H211,Database!$H211),0,1),0),2),"run on terminal")</f>
        <v/>
      </c>
      <c r="P211" s="251">
        <f>IF(Database!BH211="","(n/m or not derivable)",Database!BH211)</f>
        <v/>
      </c>
      <c r="Q211" s="58">
        <f>IF(Database!BN211="","",IFERROR(INDEX(BDH(LEFT(Database!BN211,FIND(".",Database!BN211)-1)&amp;" CH Equity","PE_RATIO",Database!$H211,Database!$H211),MATCH(Database!$H211,INDEX(BDH(LEFT(Database!BN211,FIND(".",Database!BN211)-1)&amp;" CH Equity","PE_RATIO",Database!$H211,Database!$H211),0,1),0),2),"run on terminal"))</f>
        <v/>
      </c>
      <c r="R211" s="58">
        <f>IF(Database!BN211="","",IFERROR(INDEX(BDH("HSAHP Index","PX_LAST",Database!$H211,Database!$H211),MATCH(Database!$H211,INDEX(BDH("HSAHP Index","PX_LAST",Database!$H211,Database!$H211),0,1),0),2),"run on terminal"))</f>
        <v/>
      </c>
      <c r="S211" s="58">
        <f>IFERROR(BDP(TEXT(VALUE(Database!$A211),"0")&amp;" HK Equity","PX_TO_SALES_RATIO"),"")</f>
        <v/>
      </c>
      <c r="T211" s="53">
        <f>IF(Database!BN211="","",IFERROR(BDP(LEFT(Database!BN211,FIND(".",Database!BN211)-1)&amp;" CH Equity","CUR_MKT_CAP")*BDP("CNYHKD Curncy","PX_LAST"),"run on terminal"))</f>
        <v/>
      </c>
    </row>
    <row r="212" ht="23" customHeight="1">
      <c r="A212" s="51">
        <f>Database!A212&amp;"  "&amp;Database!B212</f>
        <v/>
      </c>
      <c r="B212" s="43">
        <f>IFERROR(INDEX(BDS(TEXT(VALUE(Database!$A212),"0")&amp;" HK Equity","EQUITY_OFFERINGS","array=t","endcol=1"),MATCH("IPO",BDS(TEXT(VALUE(Database!$A212),"0")&amp;" HK Equity","EQUITY_OFFERINGS","array=t","startcol=2","endcol=2"),0)),"")</f>
        <v/>
      </c>
      <c r="C212" s="260">
        <f>IF($B212="","",IFERROR(BDP($B212&amp;" Action","CP036"),""))</f>
        <v/>
      </c>
      <c r="D212" s="261">
        <f>Database!S212</f>
        <v/>
      </c>
      <c r="E212" s="260">
        <f>IF($B212="","",IFERROR(BDP($B212&amp;" Action","CP037"),""))</f>
        <v/>
      </c>
      <c r="F212" s="261">
        <f>Database!T212</f>
        <v/>
      </c>
      <c r="G212" s="260">
        <f>IF($B212="","",IFERROR(BDP($B212&amp;" Action","GREENSHOE_FACILITY"),""))</f>
        <v/>
      </c>
      <c r="H212" s="260">
        <f>IF($B212="","",IFERROR(BDP($B212&amp;" Action","OFFERING_GREENSHOE_SHARES_EX"),""))</f>
        <v/>
      </c>
      <c r="I212" s="51">
        <f>Database!AE212</f>
        <v/>
      </c>
      <c r="J212" s="58">
        <f>IFERROR(BDP(TEXT(VALUE(Database!$A212),"0")&amp;" HK Equity","PE_RATIO"),"")</f>
        <v/>
      </c>
      <c r="K212" s="43">
        <f>IFERROR(BDP(TEXT(VALUE(Database!$A212),"0")&amp;" HK Equity","A/H_SHARE_CONVERSION"),"")</f>
        <v/>
      </c>
      <c r="L212" s="51">
        <f>IF(Database!BN212="","(none found)",Database!BN212)</f>
        <v/>
      </c>
      <c r="M212" s="53">
        <f>IFERROR(INDEX(BDH(TEXT(VALUE(Database!$A212),"0")&amp;" HK Equity","CUR_MKT_CAP",Database!$H212,Database!$H212),MATCH(Database!$H212,INDEX(BDH(TEXT(VALUE(Database!$A212),"0")&amp;" HK Equity","CUR_MKT_CAP",Database!$H212,Database!$H212),0,1),0),2),"run on terminal")</f>
        <v/>
      </c>
      <c r="N212" s="213">
        <f>Database!Q212</f>
        <v/>
      </c>
      <c r="O212" s="58">
        <f>IFERROR(INDEX(BDH(TEXT(VALUE(Database!$A212),"0")&amp;" HK Equity","PE_RATIO",Database!$H212,Database!$H212),MATCH(Database!$H212,INDEX(BDH(TEXT(VALUE(Database!$A212),"0")&amp;" HK Equity","PE_RATIO",Database!$H212,Database!$H212),0,1),0),2),"run on terminal")</f>
        <v/>
      </c>
      <c r="P212" s="251">
        <f>IF(Database!BH212="","(n/m or not derivable)",Database!BH212)</f>
        <v/>
      </c>
      <c r="Q212" s="58">
        <f>IF(Database!BN212="","",IFERROR(INDEX(BDH(LEFT(Database!BN212,FIND(".",Database!BN212)-1)&amp;" CH Equity","PE_RATIO",Database!$H212,Database!$H212),MATCH(Database!$H212,INDEX(BDH(LEFT(Database!BN212,FIND(".",Database!BN212)-1)&amp;" CH Equity","PE_RATIO",Database!$H212,Database!$H212),0,1),0),2),"run on terminal"))</f>
        <v/>
      </c>
      <c r="R212" s="58">
        <f>IF(Database!BN212="","",IFERROR(INDEX(BDH("HSAHP Index","PX_LAST",Database!$H212,Database!$H212),MATCH(Database!$H212,INDEX(BDH("HSAHP Index","PX_LAST",Database!$H212,Database!$H212),0,1),0),2),"run on terminal"))</f>
        <v/>
      </c>
      <c r="S212" s="58">
        <f>IFERROR(BDP(TEXT(VALUE(Database!$A212),"0")&amp;" HK Equity","PX_TO_SALES_RATIO"),"")</f>
        <v/>
      </c>
      <c r="T212" s="53">
        <f>IF(Database!BN212="","",IFERROR(BDP(LEFT(Database!BN212,FIND(".",Database!BN212)-1)&amp;" CH Equity","CUR_MKT_CAP")*BDP("CNYHKD Curncy","PX_LAST"),"run on terminal"))</f>
        <v/>
      </c>
    </row>
    <row r="213" ht="23" customHeight="1">
      <c r="A213" s="51">
        <f>Database!A213&amp;"  "&amp;Database!B213</f>
        <v/>
      </c>
      <c r="B213" s="43">
        <f>IFERROR(INDEX(BDS(TEXT(VALUE(Database!$A213),"0")&amp;" HK Equity","EQUITY_OFFERINGS","array=t","endcol=1"),MATCH("IPO",BDS(TEXT(VALUE(Database!$A213),"0")&amp;" HK Equity","EQUITY_OFFERINGS","array=t","startcol=2","endcol=2"),0)),"")</f>
        <v/>
      </c>
      <c r="C213" s="260">
        <f>IF($B213="","",IFERROR(BDP($B213&amp;" Action","CP036"),""))</f>
        <v/>
      </c>
      <c r="D213" s="261">
        <f>Database!S213</f>
        <v/>
      </c>
      <c r="E213" s="260">
        <f>IF($B213="","",IFERROR(BDP($B213&amp;" Action","CP037"),""))</f>
        <v/>
      </c>
      <c r="F213" s="261">
        <f>Database!T213</f>
        <v/>
      </c>
      <c r="G213" s="260">
        <f>IF($B213="","",IFERROR(BDP($B213&amp;" Action","GREENSHOE_FACILITY"),""))</f>
        <v/>
      </c>
      <c r="H213" s="260">
        <f>IF($B213="","",IFERROR(BDP($B213&amp;" Action","OFFERING_GREENSHOE_SHARES_EX"),""))</f>
        <v/>
      </c>
      <c r="I213" s="51">
        <f>Database!AE213</f>
        <v/>
      </c>
      <c r="J213" s="58">
        <f>IFERROR(BDP(TEXT(VALUE(Database!$A213),"0")&amp;" HK Equity","PE_RATIO"),"")</f>
        <v/>
      </c>
      <c r="K213" s="43">
        <f>IFERROR(BDP(TEXT(VALUE(Database!$A213),"0")&amp;" HK Equity","A/H_SHARE_CONVERSION"),"")</f>
        <v/>
      </c>
      <c r="L213" s="51">
        <f>IF(Database!BN213="","(none found)",Database!BN213)</f>
        <v/>
      </c>
      <c r="M213" s="53">
        <f>IFERROR(INDEX(BDH(TEXT(VALUE(Database!$A213),"0")&amp;" HK Equity","CUR_MKT_CAP",Database!$H213,Database!$H213),MATCH(Database!$H213,INDEX(BDH(TEXT(VALUE(Database!$A213),"0")&amp;" HK Equity","CUR_MKT_CAP",Database!$H213,Database!$H213),0,1),0),2),"run on terminal")</f>
        <v/>
      </c>
      <c r="N213" s="213">
        <f>Database!Q213</f>
        <v/>
      </c>
      <c r="O213" s="58">
        <f>IFERROR(INDEX(BDH(TEXT(VALUE(Database!$A213),"0")&amp;" HK Equity","PE_RATIO",Database!$H213,Database!$H213),MATCH(Database!$H213,INDEX(BDH(TEXT(VALUE(Database!$A213),"0")&amp;" HK Equity","PE_RATIO",Database!$H213,Database!$H213),0,1),0),2),"run on terminal")</f>
        <v/>
      </c>
      <c r="P213" s="251">
        <f>IF(Database!BH213="","(n/m or not derivable)",Database!BH213)</f>
        <v/>
      </c>
      <c r="Q213" s="58">
        <f>IF(Database!BN213="","",IFERROR(INDEX(BDH(LEFT(Database!BN213,FIND(".",Database!BN213)-1)&amp;" CH Equity","PE_RATIO",Database!$H213,Database!$H213),MATCH(Database!$H213,INDEX(BDH(LEFT(Database!BN213,FIND(".",Database!BN213)-1)&amp;" CH Equity","PE_RATIO",Database!$H213,Database!$H213),0,1),0),2),"run on terminal"))</f>
        <v/>
      </c>
      <c r="R213" s="58">
        <f>IF(Database!BN213="","",IFERROR(INDEX(BDH("HSAHP Index","PX_LAST",Database!$H213,Database!$H213),MATCH(Database!$H213,INDEX(BDH("HSAHP Index","PX_LAST",Database!$H213,Database!$H213),0,1),0),2),"run on terminal"))</f>
        <v/>
      </c>
      <c r="S213" s="58">
        <f>IFERROR(BDP(TEXT(VALUE(Database!$A213),"0")&amp;" HK Equity","PX_TO_SALES_RATIO"),"")</f>
        <v/>
      </c>
      <c r="T213" s="53">
        <f>IF(Database!BN213="","",IFERROR(BDP(LEFT(Database!BN213,FIND(".",Database!BN213)-1)&amp;" CH Equity","CUR_MKT_CAP")*BDP("CNYHKD Curncy","PX_LAST"),"run on terminal"))</f>
        <v/>
      </c>
    </row>
    <row r="214" ht="23" customHeight="1">
      <c r="A214" s="51">
        <f>Database!A214&amp;"  "&amp;Database!B214</f>
        <v/>
      </c>
      <c r="B214" s="43">
        <f>IFERROR(INDEX(BDS(TEXT(VALUE(Database!$A214),"0")&amp;" HK Equity","EQUITY_OFFERINGS","array=t","endcol=1"),MATCH("IPO",BDS(TEXT(VALUE(Database!$A214),"0")&amp;" HK Equity","EQUITY_OFFERINGS","array=t","startcol=2","endcol=2"),0)),"")</f>
        <v/>
      </c>
      <c r="C214" s="260">
        <f>IF($B214="","",IFERROR(BDP($B214&amp;" Action","CP036"),""))</f>
        <v/>
      </c>
      <c r="D214" s="261">
        <f>Database!S214</f>
        <v/>
      </c>
      <c r="E214" s="260">
        <f>IF($B214="","",IFERROR(BDP($B214&amp;" Action","CP037"),""))</f>
        <v/>
      </c>
      <c r="F214" s="261">
        <f>Database!T214</f>
        <v/>
      </c>
      <c r="G214" s="260">
        <f>IF($B214="","",IFERROR(BDP($B214&amp;" Action","GREENSHOE_FACILITY"),""))</f>
        <v/>
      </c>
      <c r="H214" s="260">
        <f>IF($B214="","",IFERROR(BDP($B214&amp;" Action","OFFERING_GREENSHOE_SHARES_EX"),""))</f>
        <v/>
      </c>
      <c r="I214" s="51">
        <f>Database!AE214</f>
        <v/>
      </c>
      <c r="J214" s="58">
        <f>IFERROR(BDP(TEXT(VALUE(Database!$A214),"0")&amp;" HK Equity","PE_RATIO"),"")</f>
        <v/>
      </c>
      <c r="K214" s="43">
        <f>IFERROR(BDP(TEXT(VALUE(Database!$A214),"0")&amp;" HK Equity","A/H_SHARE_CONVERSION"),"")</f>
        <v/>
      </c>
      <c r="L214" s="51">
        <f>IF(Database!BN214="","(none found)",Database!BN214)</f>
        <v/>
      </c>
      <c r="M214" s="53">
        <f>IFERROR(INDEX(BDH(TEXT(VALUE(Database!$A214),"0")&amp;" HK Equity","CUR_MKT_CAP",Database!$H214,Database!$H214),MATCH(Database!$H214,INDEX(BDH(TEXT(VALUE(Database!$A214),"0")&amp;" HK Equity","CUR_MKT_CAP",Database!$H214,Database!$H214),0,1),0),2),"run on terminal")</f>
        <v/>
      </c>
      <c r="N214" s="213">
        <f>Database!Q214</f>
        <v/>
      </c>
      <c r="O214" s="58">
        <f>IFERROR(INDEX(BDH(TEXT(VALUE(Database!$A214),"0")&amp;" HK Equity","PE_RATIO",Database!$H214,Database!$H214),MATCH(Database!$H214,INDEX(BDH(TEXT(VALUE(Database!$A214),"0")&amp;" HK Equity","PE_RATIO",Database!$H214,Database!$H214),0,1),0),2),"run on terminal")</f>
        <v/>
      </c>
      <c r="P214" s="251">
        <f>IF(Database!BH214="","(n/m or not derivable)",Database!BH214)</f>
        <v/>
      </c>
      <c r="Q214" s="58">
        <f>IF(Database!BN214="","",IFERROR(INDEX(BDH(LEFT(Database!BN214,FIND(".",Database!BN214)-1)&amp;" CH Equity","PE_RATIO",Database!$H214,Database!$H214),MATCH(Database!$H214,INDEX(BDH(LEFT(Database!BN214,FIND(".",Database!BN214)-1)&amp;" CH Equity","PE_RATIO",Database!$H214,Database!$H214),0,1),0),2),"run on terminal"))</f>
        <v/>
      </c>
      <c r="R214" s="58">
        <f>IF(Database!BN214="","",IFERROR(INDEX(BDH("HSAHP Index","PX_LAST",Database!$H214,Database!$H214),MATCH(Database!$H214,INDEX(BDH("HSAHP Index","PX_LAST",Database!$H214,Database!$H214),0,1),0),2),"run on terminal"))</f>
        <v/>
      </c>
      <c r="S214" s="58">
        <f>IFERROR(BDP(TEXT(VALUE(Database!$A214),"0")&amp;" HK Equity","PX_TO_SALES_RATIO"),"")</f>
        <v/>
      </c>
      <c r="T214" s="53">
        <f>IF(Database!BN214="","",IFERROR(BDP(LEFT(Database!BN214,FIND(".",Database!BN214)-1)&amp;" CH Equity","CUR_MKT_CAP")*BDP("CNYHKD Curncy","PX_LAST"),"run on terminal"))</f>
        <v/>
      </c>
    </row>
    <row r="215" ht="23" customHeight="1">
      <c r="A215" s="51">
        <f>Database!A215&amp;"  "&amp;Database!B215</f>
        <v/>
      </c>
      <c r="B215" s="43">
        <f>IFERROR(INDEX(BDS(TEXT(VALUE(Database!$A215),"0")&amp;" HK Equity","EQUITY_OFFERINGS","array=t","endcol=1"),MATCH("IPO",BDS(TEXT(VALUE(Database!$A215),"0")&amp;" HK Equity","EQUITY_OFFERINGS","array=t","startcol=2","endcol=2"),0)),"")</f>
        <v/>
      </c>
      <c r="C215" s="260">
        <f>IF($B215="","",IFERROR(BDP($B215&amp;" Action","CP036"),""))</f>
        <v/>
      </c>
      <c r="D215" s="261">
        <f>Database!S215</f>
        <v/>
      </c>
      <c r="E215" s="260">
        <f>IF($B215="","",IFERROR(BDP($B215&amp;" Action","CP037"),""))</f>
        <v/>
      </c>
      <c r="F215" s="261">
        <f>Database!T215</f>
        <v/>
      </c>
      <c r="G215" s="260">
        <f>IF($B215="","",IFERROR(BDP($B215&amp;" Action","GREENSHOE_FACILITY"),""))</f>
        <v/>
      </c>
      <c r="H215" s="260">
        <f>IF($B215="","",IFERROR(BDP($B215&amp;" Action","OFFERING_GREENSHOE_SHARES_EX"),""))</f>
        <v/>
      </c>
      <c r="I215" s="51">
        <f>Database!AE215</f>
        <v/>
      </c>
      <c r="J215" s="58">
        <f>IFERROR(BDP(TEXT(VALUE(Database!$A215),"0")&amp;" HK Equity","PE_RATIO"),"")</f>
        <v/>
      </c>
      <c r="K215" s="43">
        <f>IFERROR(BDP(TEXT(VALUE(Database!$A215),"0")&amp;" HK Equity","A/H_SHARE_CONVERSION"),"")</f>
        <v/>
      </c>
      <c r="L215" s="51">
        <f>IF(Database!BN215="","(none found)",Database!BN215)</f>
        <v/>
      </c>
      <c r="M215" s="53">
        <f>IFERROR(INDEX(BDH(TEXT(VALUE(Database!$A215),"0")&amp;" HK Equity","CUR_MKT_CAP",Database!$H215,Database!$H215),MATCH(Database!$H215,INDEX(BDH(TEXT(VALUE(Database!$A215),"0")&amp;" HK Equity","CUR_MKT_CAP",Database!$H215,Database!$H215),0,1),0),2),"run on terminal")</f>
        <v/>
      </c>
      <c r="N215" s="213">
        <f>Database!Q215</f>
        <v/>
      </c>
      <c r="O215" s="58">
        <f>IFERROR(INDEX(BDH(TEXT(VALUE(Database!$A215),"0")&amp;" HK Equity","PE_RATIO",Database!$H215,Database!$H215),MATCH(Database!$H215,INDEX(BDH(TEXT(VALUE(Database!$A215),"0")&amp;" HK Equity","PE_RATIO",Database!$H215,Database!$H215),0,1),0),2),"run on terminal")</f>
        <v/>
      </c>
      <c r="P215" s="251">
        <f>IF(Database!BH215="","(n/m or not derivable)",Database!BH215)</f>
        <v/>
      </c>
      <c r="Q215" s="58">
        <f>IF(Database!BN215="","",IFERROR(INDEX(BDH(LEFT(Database!BN215,FIND(".",Database!BN215)-1)&amp;" CH Equity","PE_RATIO",Database!$H215,Database!$H215),MATCH(Database!$H215,INDEX(BDH(LEFT(Database!BN215,FIND(".",Database!BN215)-1)&amp;" CH Equity","PE_RATIO",Database!$H215,Database!$H215),0,1),0),2),"run on terminal"))</f>
        <v/>
      </c>
      <c r="R215" s="58">
        <f>IF(Database!BN215="","",IFERROR(INDEX(BDH("HSAHP Index","PX_LAST",Database!$H215,Database!$H215),MATCH(Database!$H215,INDEX(BDH("HSAHP Index","PX_LAST",Database!$H215,Database!$H215),0,1),0),2),"run on terminal"))</f>
        <v/>
      </c>
      <c r="S215" s="58">
        <f>IFERROR(BDP(TEXT(VALUE(Database!$A215),"0")&amp;" HK Equity","PX_TO_SALES_RATIO"),"")</f>
        <v/>
      </c>
      <c r="T215" s="53">
        <f>IF(Database!BN215="","",IFERROR(BDP(LEFT(Database!BN215,FIND(".",Database!BN215)-1)&amp;" CH Equity","CUR_MKT_CAP")*BDP("CNYHKD Curncy","PX_LAST"),"run on terminal"))</f>
        <v/>
      </c>
    </row>
    <row r="216" ht="23" customHeight="1">
      <c r="A216" s="51">
        <f>Database!A216&amp;"  "&amp;Database!B216</f>
        <v/>
      </c>
      <c r="B216" s="43">
        <f>IFERROR(INDEX(BDS(TEXT(VALUE(Database!$A216),"0")&amp;" HK Equity","EQUITY_OFFERINGS","array=t","endcol=1"),MATCH("IPO",BDS(TEXT(VALUE(Database!$A216),"0")&amp;" HK Equity","EQUITY_OFFERINGS","array=t","startcol=2","endcol=2"),0)),"")</f>
        <v/>
      </c>
      <c r="C216" s="260">
        <f>IF($B216="","",IFERROR(BDP($B216&amp;" Action","CP036"),""))</f>
        <v/>
      </c>
      <c r="D216" s="261">
        <f>Database!S216</f>
        <v/>
      </c>
      <c r="E216" s="260">
        <f>IF($B216="","",IFERROR(BDP($B216&amp;" Action","CP037"),""))</f>
        <v/>
      </c>
      <c r="F216" s="261">
        <f>Database!T216</f>
        <v/>
      </c>
      <c r="G216" s="260">
        <f>IF($B216="","",IFERROR(BDP($B216&amp;" Action","GREENSHOE_FACILITY"),""))</f>
        <v/>
      </c>
      <c r="H216" s="260">
        <f>IF($B216="","",IFERROR(BDP($B216&amp;" Action","OFFERING_GREENSHOE_SHARES_EX"),""))</f>
        <v/>
      </c>
      <c r="I216" s="51">
        <f>Database!AE216</f>
        <v/>
      </c>
      <c r="J216" s="58">
        <f>IFERROR(BDP(TEXT(VALUE(Database!$A216),"0")&amp;" HK Equity","PE_RATIO"),"")</f>
        <v/>
      </c>
      <c r="K216" s="43">
        <f>IFERROR(BDP(TEXT(VALUE(Database!$A216),"0")&amp;" HK Equity","A/H_SHARE_CONVERSION"),"")</f>
        <v/>
      </c>
      <c r="L216" s="51">
        <f>IF(Database!BN216="","(none found)",Database!BN216)</f>
        <v/>
      </c>
      <c r="M216" s="53">
        <f>IFERROR(INDEX(BDH(TEXT(VALUE(Database!$A216),"0")&amp;" HK Equity","CUR_MKT_CAP",Database!$H216,Database!$H216),MATCH(Database!$H216,INDEX(BDH(TEXT(VALUE(Database!$A216),"0")&amp;" HK Equity","CUR_MKT_CAP",Database!$H216,Database!$H216),0,1),0),2),"run on terminal")</f>
        <v/>
      </c>
      <c r="N216" s="213">
        <f>Database!Q216</f>
        <v/>
      </c>
      <c r="O216" s="58">
        <f>IFERROR(INDEX(BDH(TEXT(VALUE(Database!$A216),"0")&amp;" HK Equity","PE_RATIO",Database!$H216,Database!$H216),MATCH(Database!$H216,INDEX(BDH(TEXT(VALUE(Database!$A216),"0")&amp;" HK Equity","PE_RATIO",Database!$H216,Database!$H216),0,1),0),2),"run on terminal")</f>
        <v/>
      </c>
      <c r="P216" s="251">
        <f>IF(Database!BH216="","(n/m or not derivable)",Database!BH216)</f>
        <v/>
      </c>
      <c r="Q216" s="58">
        <f>IF(Database!BN216="","",IFERROR(INDEX(BDH(LEFT(Database!BN216,FIND(".",Database!BN216)-1)&amp;" CH Equity","PE_RATIO",Database!$H216,Database!$H216),MATCH(Database!$H216,INDEX(BDH(LEFT(Database!BN216,FIND(".",Database!BN216)-1)&amp;" CH Equity","PE_RATIO",Database!$H216,Database!$H216),0,1),0),2),"run on terminal"))</f>
        <v/>
      </c>
      <c r="R216" s="58">
        <f>IF(Database!BN216="","",IFERROR(INDEX(BDH("HSAHP Index","PX_LAST",Database!$H216,Database!$H216),MATCH(Database!$H216,INDEX(BDH("HSAHP Index","PX_LAST",Database!$H216,Database!$H216),0,1),0),2),"run on terminal"))</f>
        <v/>
      </c>
      <c r="S216" s="58">
        <f>IFERROR(BDP(TEXT(VALUE(Database!$A216),"0")&amp;" HK Equity","PX_TO_SALES_RATIO"),"")</f>
        <v/>
      </c>
      <c r="T216" s="53">
        <f>IF(Database!BN216="","",IFERROR(BDP(LEFT(Database!BN216,FIND(".",Database!BN216)-1)&amp;" CH Equity","CUR_MKT_CAP")*BDP("CNYHKD Curncy","PX_LAST"),"run on terminal"))</f>
        <v/>
      </c>
    </row>
    <row r="217" ht="23" customHeight="1">
      <c r="A217" s="51">
        <f>Database!A217&amp;"  "&amp;Database!B217</f>
        <v/>
      </c>
      <c r="B217" s="43">
        <f>IFERROR(INDEX(BDS(TEXT(VALUE(Database!$A217),"0")&amp;" HK Equity","EQUITY_OFFERINGS","array=t","endcol=1"),MATCH("IPO",BDS(TEXT(VALUE(Database!$A217),"0")&amp;" HK Equity","EQUITY_OFFERINGS","array=t","startcol=2","endcol=2"),0)),"")</f>
        <v/>
      </c>
      <c r="C217" s="260">
        <f>IF($B217="","",IFERROR(BDP($B217&amp;" Action","CP036"),""))</f>
        <v/>
      </c>
      <c r="D217" s="261">
        <f>Database!S217</f>
        <v/>
      </c>
      <c r="E217" s="260">
        <f>IF($B217="","",IFERROR(BDP($B217&amp;" Action","CP037"),""))</f>
        <v/>
      </c>
      <c r="F217" s="261">
        <f>Database!T217</f>
        <v/>
      </c>
      <c r="G217" s="260">
        <f>IF($B217="","",IFERROR(BDP($B217&amp;" Action","GREENSHOE_FACILITY"),""))</f>
        <v/>
      </c>
      <c r="H217" s="260">
        <f>IF($B217="","",IFERROR(BDP($B217&amp;" Action","OFFERING_GREENSHOE_SHARES_EX"),""))</f>
        <v/>
      </c>
      <c r="I217" s="51">
        <f>Database!AE217</f>
        <v/>
      </c>
      <c r="J217" s="58">
        <f>IFERROR(BDP(TEXT(VALUE(Database!$A217),"0")&amp;" HK Equity","PE_RATIO"),"")</f>
        <v/>
      </c>
      <c r="K217" s="43">
        <f>IFERROR(BDP(TEXT(VALUE(Database!$A217),"0")&amp;" HK Equity","A/H_SHARE_CONVERSION"),"")</f>
        <v/>
      </c>
      <c r="L217" s="51">
        <f>IF(Database!BN217="","(none found)",Database!BN217)</f>
        <v/>
      </c>
      <c r="M217" s="53">
        <f>IFERROR(INDEX(BDH(TEXT(VALUE(Database!$A217),"0")&amp;" HK Equity","CUR_MKT_CAP",Database!$H217,Database!$H217),MATCH(Database!$H217,INDEX(BDH(TEXT(VALUE(Database!$A217),"0")&amp;" HK Equity","CUR_MKT_CAP",Database!$H217,Database!$H217),0,1),0),2),"run on terminal")</f>
        <v/>
      </c>
      <c r="N217" s="213">
        <f>Database!Q217</f>
        <v/>
      </c>
      <c r="O217" s="58">
        <f>IFERROR(INDEX(BDH(TEXT(VALUE(Database!$A217),"0")&amp;" HK Equity","PE_RATIO",Database!$H217,Database!$H217),MATCH(Database!$H217,INDEX(BDH(TEXT(VALUE(Database!$A217),"0")&amp;" HK Equity","PE_RATIO",Database!$H217,Database!$H217),0,1),0),2),"run on terminal")</f>
        <v/>
      </c>
      <c r="P217" s="251">
        <f>IF(Database!BH217="","(n/m or not derivable)",Database!BH217)</f>
        <v/>
      </c>
      <c r="Q217" s="58">
        <f>IF(Database!BN217="","",IFERROR(INDEX(BDH(LEFT(Database!BN217,FIND(".",Database!BN217)-1)&amp;" CH Equity","PE_RATIO",Database!$H217,Database!$H217),MATCH(Database!$H217,INDEX(BDH(LEFT(Database!BN217,FIND(".",Database!BN217)-1)&amp;" CH Equity","PE_RATIO",Database!$H217,Database!$H217),0,1),0),2),"run on terminal"))</f>
        <v/>
      </c>
      <c r="R217" s="58">
        <f>IF(Database!BN217="","",IFERROR(INDEX(BDH("HSAHP Index","PX_LAST",Database!$H217,Database!$H217),MATCH(Database!$H217,INDEX(BDH("HSAHP Index","PX_LAST",Database!$H217,Database!$H217),0,1),0),2),"run on terminal"))</f>
        <v/>
      </c>
      <c r="S217" s="58">
        <f>IFERROR(BDP(TEXT(VALUE(Database!$A217),"0")&amp;" HK Equity","PX_TO_SALES_RATIO"),"")</f>
        <v/>
      </c>
      <c r="T217" s="53">
        <f>IF(Database!BN217="","",IFERROR(BDP(LEFT(Database!BN217,FIND(".",Database!BN217)-1)&amp;" CH Equity","CUR_MKT_CAP")*BDP("CNYHKD Curncy","PX_LAST"),"run on terminal"))</f>
        <v/>
      </c>
    </row>
    <row r="218" ht="23" customHeight="1">
      <c r="A218" s="51">
        <f>Database!A218&amp;"  "&amp;Database!B218</f>
        <v/>
      </c>
      <c r="B218" s="43">
        <f>IFERROR(INDEX(BDS(TEXT(VALUE(Database!$A218),"0")&amp;" HK Equity","EQUITY_OFFERINGS","array=t","endcol=1"),MATCH("IPO",BDS(TEXT(VALUE(Database!$A218),"0")&amp;" HK Equity","EQUITY_OFFERINGS","array=t","startcol=2","endcol=2"),0)),"")</f>
        <v/>
      </c>
      <c r="C218" s="260">
        <f>IF($B218="","",IFERROR(BDP($B218&amp;" Action","CP036"),""))</f>
        <v/>
      </c>
      <c r="D218" s="261">
        <f>Database!S218</f>
        <v/>
      </c>
      <c r="E218" s="260">
        <f>IF($B218="","",IFERROR(BDP($B218&amp;" Action","CP037"),""))</f>
        <v/>
      </c>
      <c r="F218" s="261">
        <f>Database!T218</f>
        <v/>
      </c>
      <c r="G218" s="260">
        <f>IF($B218="","",IFERROR(BDP($B218&amp;" Action","GREENSHOE_FACILITY"),""))</f>
        <v/>
      </c>
      <c r="H218" s="260">
        <f>IF($B218="","",IFERROR(BDP($B218&amp;" Action","OFFERING_GREENSHOE_SHARES_EX"),""))</f>
        <v/>
      </c>
      <c r="I218" s="51">
        <f>Database!AE218</f>
        <v/>
      </c>
      <c r="J218" s="58">
        <f>IFERROR(BDP(TEXT(VALUE(Database!$A218),"0")&amp;" HK Equity","PE_RATIO"),"")</f>
        <v/>
      </c>
      <c r="K218" s="43">
        <f>IFERROR(BDP(TEXT(VALUE(Database!$A218),"0")&amp;" HK Equity","A/H_SHARE_CONVERSION"),"")</f>
        <v/>
      </c>
      <c r="L218" s="51">
        <f>IF(Database!BN218="","(none found)",Database!BN218)</f>
        <v/>
      </c>
      <c r="M218" s="53">
        <f>IFERROR(INDEX(BDH(TEXT(VALUE(Database!$A218),"0")&amp;" HK Equity","CUR_MKT_CAP",Database!$H218,Database!$H218),MATCH(Database!$H218,INDEX(BDH(TEXT(VALUE(Database!$A218),"0")&amp;" HK Equity","CUR_MKT_CAP",Database!$H218,Database!$H218),0,1),0),2),"run on terminal")</f>
        <v/>
      </c>
      <c r="N218" s="213">
        <f>Database!Q218</f>
        <v/>
      </c>
      <c r="O218" s="58">
        <f>IFERROR(INDEX(BDH(TEXT(VALUE(Database!$A218),"0")&amp;" HK Equity","PE_RATIO",Database!$H218,Database!$H218),MATCH(Database!$H218,INDEX(BDH(TEXT(VALUE(Database!$A218),"0")&amp;" HK Equity","PE_RATIO",Database!$H218,Database!$H218),0,1),0),2),"run on terminal")</f>
        <v/>
      </c>
      <c r="P218" s="251">
        <f>IF(Database!BH218="","(n/m or not derivable)",Database!BH218)</f>
        <v/>
      </c>
      <c r="Q218" s="58">
        <f>IF(Database!BN218="","",IFERROR(INDEX(BDH(LEFT(Database!BN218,FIND(".",Database!BN218)-1)&amp;" CH Equity","PE_RATIO",Database!$H218,Database!$H218),MATCH(Database!$H218,INDEX(BDH(LEFT(Database!BN218,FIND(".",Database!BN218)-1)&amp;" CH Equity","PE_RATIO",Database!$H218,Database!$H218),0,1),0),2),"run on terminal"))</f>
        <v/>
      </c>
      <c r="R218" s="58">
        <f>IF(Database!BN218="","",IFERROR(INDEX(BDH("HSAHP Index","PX_LAST",Database!$H218,Database!$H218),MATCH(Database!$H218,INDEX(BDH("HSAHP Index","PX_LAST",Database!$H218,Database!$H218),0,1),0),2),"run on terminal"))</f>
        <v/>
      </c>
      <c r="S218" s="58">
        <f>IFERROR(BDP(TEXT(VALUE(Database!$A218),"0")&amp;" HK Equity","PX_TO_SALES_RATIO"),"")</f>
        <v/>
      </c>
      <c r="T218" s="53">
        <f>IF(Database!BN218="","",IFERROR(BDP(LEFT(Database!BN218,FIND(".",Database!BN218)-1)&amp;" CH Equity","CUR_MKT_CAP")*BDP("CNYHKD Curncy","PX_LAST"),"run on terminal"))</f>
        <v/>
      </c>
    </row>
    <row r="219" ht="23" customHeight="1">
      <c r="A219" s="51">
        <f>Database!A219&amp;"  "&amp;Database!B219</f>
        <v/>
      </c>
      <c r="B219" s="43">
        <f>IFERROR(INDEX(BDS(TEXT(VALUE(Database!$A219),"0")&amp;" HK Equity","EQUITY_OFFERINGS","array=t","endcol=1"),MATCH("IPO",BDS(TEXT(VALUE(Database!$A219),"0")&amp;" HK Equity","EQUITY_OFFERINGS","array=t","startcol=2","endcol=2"),0)),"")</f>
        <v/>
      </c>
      <c r="C219" s="260">
        <f>IF($B219="","",IFERROR(BDP($B219&amp;" Action","CP036"),""))</f>
        <v/>
      </c>
      <c r="D219" s="261">
        <f>Database!S219</f>
        <v/>
      </c>
      <c r="E219" s="260">
        <f>IF($B219="","",IFERROR(BDP($B219&amp;" Action","CP037"),""))</f>
        <v/>
      </c>
      <c r="F219" s="261">
        <f>Database!T219</f>
        <v/>
      </c>
      <c r="G219" s="260">
        <f>IF($B219="","",IFERROR(BDP($B219&amp;" Action","GREENSHOE_FACILITY"),""))</f>
        <v/>
      </c>
      <c r="H219" s="260">
        <f>IF($B219="","",IFERROR(BDP($B219&amp;" Action","OFFERING_GREENSHOE_SHARES_EX"),""))</f>
        <v/>
      </c>
      <c r="I219" s="51">
        <f>Database!AE219</f>
        <v/>
      </c>
      <c r="J219" s="58">
        <f>IFERROR(BDP(TEXT(VALUE(Database!$A219),"0")&amp;" HK Equity","PE_RATIO"),"")</f>
        <v/>
      </c>
      <c r="K219" s="43">
        <f>IFERROR(BDP(TEXT(VALUE(Database!$A219),"0")&amp;" HK Equity","A/H_SHARE_CONVERSION"),"")</f>
        <v/>
      </c>
      <c r="L219" s="51">
        <f>IF(Database!BN219="","(none found)",Database!BN219)</f>
        <v/>
      </c>
      <c r="M219" s="53">
        <f>IFERROR(INDEX(BDH(TEXT(VALUE(Database!$A219),"0")&amp;" HK Equity","CUR_MKT_CAP",Database!$H219,Database!$H219),MATCH(Database!$H219,INDEX(BDH(TEXT(VALUE(Database!$A219),"0")&amp;" HK Equity","CUR_MKT_CAP",Database!$H219,Database!$H219),0,1),0),2),"run on terminal")</f>
        <v/>
      </c>
      <c r="N219" s="213">
        <f>Database!Q219</f>
        <v/>
      </c>
      <c r="O219" s="58">
        <f>IFERROR(INDEX(BDH(TEXT(VALUE(Database!$A219),"0")&amp;" HK Equity","PE_RATIO",Database!$H219,Database!$H219),MATCH(Database!$H219,INDEX(BDH(TEXT(VALUE(Database!$A219),"0")&amp;" HK Equity","PE_RATIO",Database!$H219,Database!$H219),0,1),0),2),"run on terminal")</f>
        <v/>
      </c>
      <c r="P219" s="251">
        <f>IF(Database!BH219="","(n/m or not derivable)",Database!BH219)</f>
        <v/>
      </c>
      <c r="Q219" s="58">
        <f>IF(Database!BN219="","",IFERROR(INDEX(BDH(LEFT(Database!BN219,FIND(".",Database!BN219)-1)&amp;" CH Equity","PE_RATIO",Database!$H219,Database!$H219),MATCH(Database!$H219,INDEX(BDH(LEFT(Database!BN219,FIND(".",Database!BN219)-1)&amp;" CH Equity","PE_RATIO",Database!$H219,Database!$H219),0,1),0),2),"run on terminal"))</f>
        <v/>
      </c>
      <c r="R219" s="58">
        <f>IF(Database!BN219="","",IFERROR(INDEX(BDH("HSAHP Index","PX_LAST",Database!$H219,Database!$H219),MATCH(Database!$H219,INDEX(BDH("HSAHP Index","PX_LAST",Database!$H219,Database!$H219),0,1),0),2),"run on terminal"))</f>
        <v/>
      </c>
      <c r="S219" s="58">
        <f>IFERROR(BDP(TEXT(VALUE(Database!$A219),"0")&amp;" HK Equity","PX_TO_SALES_RATIO"),"")</f>
        <v/>
      </c>
      <c r="T219" s="53">
        <f>IF(Database!BN219="","",IFERROR(BDP(LEFT(Database!BN219,FIND(".",Database!BN219)-1)&amp;" CH Equity","CUR_MKT_CAP")*BDP("CNYHKD Curncy","PX_LAST"),"run on terminal"))</f>
        <v/>
      </c>
    </row>
    <row r="220" ht="23" customHeight="1">
      <c r="A220" s="51">
        <f>Database!A220&amp;"  "&amp;Database!B220</f>
        <v/>
      </c>
      <c r="B220" s="43">
        <f>IFERROR(INDEX(BDS(TEXT(VALUE(Database!$A220),"0")&amp;" HK Equity","EQUITY_OFFERINGS","array=t","endcol=1"),MATCH("IPO",BDS(TEXT(VALUE(Database!$A220),"0")&amp;" HK Equity","EQUITY_OFFERINGS","array=t","startcol=2","endcol=2"),0)),"")</f>
        <v/>
      </c>
      <c r="C220" s="260">
        <f>IF($B220="","",IFERROR(BDP($B220&amp;" Action","CP036"),""))</f>
        <v/>
      </c>
      <c r="D220" s="261">
        <f>Database!S220</f>
        <v/>
      </c>
      <c r="E220" s="260">
        <f>IF($B220="","",IFERROR(BDP($B220&amp;" Action","CP037"),""))</f>
        <v/>
      </c>
      <c r="F220" s="261">
        <f>Database!T220</f>
        <v/>
      </c>
      <c r="G220" s="260">
        <f>IF($B220="","",IFERROR(BDP($B220&amp;" Action","GREENSHOE_FACILITY"),""))</f>
        <v/>
      </c>
      <c r="H220" s="260">
        <f>IF($B220="","",IFERROR(BDP($B220&amp;" Action","OFFERING_GREENSHOE_SHARES_EX"),""))</f>
        <v/>
      </c>
      <c r="I220" s="51">
        <f>Database!AE220</f>
        <v/>
      </c>
      <c r="J220" s="58">
        <f>IFERROR(BDP(TEXT(VALUE(Database!$A220),"0")&amp;" HK Equity","PE_RATIO"),"")</f>
        <v/>
      </c>
      <c r="K220" s="43">
        <f>IFERROR(BDP(TEXT(VALUE(Database!$A220),"0")&amp;" HK Equity","A/H_SHARE_CONVERSION"),"")</f>
        <v/>
      </c>
      <c r="L220" s="51">
        <f>IF(Database!BN220="","(none found)",Database!BN220)</f>
        <v/>
      </c>
      <c r="M220" s="53">
        <f>IFERROR(INDEX(BDH(TEXT(VALUE(Database!$A220),"0")&amp;" HK Equity","CUR_MKT_CAP",Database!$H220,Database!$H220),MATCH(Database!$H220,INDEX(BDH(TEXT(VALUE(Database!$A220),"0")&amp;" HK Equity","CUR_MKT_CAP",Database!$H220,Database!$H220),0,1),0),2),"run on terminal")</f>
        <v/>
      </c>
      <c r="N220" s="213">
        <f>Database!Q220</f>
        <v/>
      </c>
      <c r="O220" s="58">
        <f>IFERROR(INDEX(BDH(TEXT(VALUE(Database!$A220),"0")&amp;" HK Equity","PE_RATIO",Database!$H220,Database!$H220),MATCH(Database!$H220,INDEX(BDH(TEXT(VALUE(Database!$A220),"0")&amp;" HK Equity","PE_RATIO",Database!$H220,Database!$H220),0,1),0),2),"run on terminal")</f>
        <v/>
      </c>
      <c r="P220" s="251">
        <f>IF(Database!BH220="","(n/m or not derivable)",Database!BH220)</f>
        <v/>
      </c>
      <c r="Q220" s="58">
        <f>IF(Database!BN220="","",IFERROR(INDEX(BDH(LEFT(Database!BN220,FIND(".",Database!BN220)-1)&amp;" CH Equity","PE_RATIO",Database!$H220,Database!$H220),MATCH(Database!$H220,INDEX(BDH(LEFT(Database!BN220,FIND(".",Database!BN220)-1)&amp;" CH Equity","PE_RATIO",Database!$H220,Database!$H220),0,1),0),2),"run on terminal"))</f>
        <v/>
      </c>
      <c r="R220" s="58">
        <f>IF(Database!BN220="","",IFERROR(INDEX(BDH("HSAHP Index","PX_LAST",Database!$H220,Database!$H220),MATCH(Database!$H220,INDEX(BDH("HSAHP Index","PX_LAST",Database!$H220,Database!$H220),0,1),0),2),"run on terminal"))</f>
        <v/>
      </c>
      <c r="S220" s="58">
        <f>IFERROR(BDP(TEXT(VALUE(Database!$A220),"0")&amp;" HK Equity","PX_TO_SALES_RATIO"),"")</f>
        <v/>
      </c>
      <c r="T220" s="53">
        <f>IF(Database!BN220="","",IFERROR(BDP(LEFT(Database!BN220,FIND(".",Database!BN220)-1)&amp;" CH Equity","CUR_MKT_CAP")*BDP("CNYHKD Curncy","PX_LAST"),"run on terminal"))</f>
        <v/>
      </c>
    </row>
    <row r="221" ht="23" customHeight="1">
      <c r="A221" s="51">
        <f>Database!A221&amp;"  "&amp;Database!B221</f>
        <v/>
      </c>
      <c r="B221" s="43">
        <f>IFERROR(INDEX(BDS(TEXT(VALUE(Database!$A221),"0")&amp;" HK Equity","EQUITY_OFFERINGS","array=t","endcol=1"),MATCH("IPO",BDS(TEXT(VALUE(Database!$A221),"0")&amp;" HK Equity","EQUITY_OFFERINGS","array=t","startcol=2","endcol=2"),0)),"")</f>
        <v/>
      </c>
      <c r="C221" s="260">
        <f>IF($B221="","",IFERROR(BDP($B221&amp;" Action","CP036"),""))</f>
        <v/>
      </c>
      <c r="D221" s="261">
        <f>Database!S221</f>
        <v/>
      </c>
      <c r="E221" s="260">
        <f>IF($B221="","",IFERROR(BDP($B221&amp;" Action","CP037"),""))</f>
        <v/>
      </c>
      <c r="F221" s="261">
        <f>Database!T221</f>
        <v/>
      </c>
      <c r="G221" s="260">
        <f>IF($B221="","",IFERROR(BDP($B221&amp;" Action","GREENSHOE_FACILITY"),""))</f>
        <v/>
      </c>
      <c r="H221" s="260">
        <f>IF($B221="","",IFERROR(BDP($B221&amp;" Action","OFFERING_GREENSHOE_SHARES_EX"),""))</f>
        <v/>
      </c>
      <c r="I221" s="51">
        <f>Database!AE221</f>
        <v/>
      </c>
      <c r="J221" s="58">
        <f>IFERROR(BDP(TEXT(VALUE(Database!$A221),"0")&amp;" HK Equity","PE_RATIO"),"")</f>
        <v/>
      </c>
      <c r="K221" s="43">
        <f>IFERROR(BDP(TEXT(VALUE(Database!$A221),"0")&amp;" HK Equity","A/H_SHARE_CONVERSION"),"")</f>
        <v/>
      </c>
      <c r="L221" s="51">
        <f>IF(Database!BN221="","(none found)",Database!BN221)</f>
        <v/>
      </c>
      <c r="M221" s="53">
        <f>IFERROR(INDEX(BDH(TEXT(VALUE(Database!$A221),"0")&amp;" HK Equity","CUR_MKT_CAP",Database!$H221,Database!$H221),MATCH(Database!$H221,INDEX(BDH(TEXT(VALUE(Database!$A221),"0")&amp;" HK Equity","CUR_MKT_CAP",Database!$H221,Database!$H221),0,1),0),2),"run on terminal")</f>
        <v/>
      </c>
      <c r="N221" s="213">
        <f>Database!Q221</f>
        <v/>
      </c>
      <c r="O221" s="58">
        <f>IFERROR(INDEX(BDH(TEXT(VALUE(Database!$A221),"0")&amp;" HK Equity","PE_RATIO",Database!$H221,Database!$H221),MATCH(Database!$H221,INDEX(BDH(TEXT(VALUE(Database!$A221),"0")&amp;" HK Equity","PE_RATIO",Database!$H221,Database!$H221),0,1),0),2),"run on terminal")</f>
        <v/>
      </c>
      <c r="P221" s="251">
        <f>IF(Database!BH221="","(n/m or not derivable)",Database!BH221)</f>
        <v/>
      </c>
      <c r="Q221" s="58">
        <f>IF(Database!BN221="","",IFERROR(INDEX(BDH(LEFT(Database!BN221,FIND(".",Database!BN221)-1)&amp;" CH Equity","PE_RATIO",Database!$H221,Database!$H221),MATCH(Database!$H221,INDEX(BDH(LEFT(Database!BN221,FIND(".",Database!BN221)-1)&amp;" CH Equity","PE_RATIO",Database!$H221,Database!$H221),0,1),0),2),"run on terminal"))</f>
        <v/>
      </c>
      <c r="R221" s="58">
        <f>IF(Database!BN221="","",IFERROR(INDEX(BDH("HSAHP Index","PX_LAST",Database!$H221,Database!$H221),MATCH(Database!$H221,INDEX(BDH("HSAHP Index","PX_LAST",Database!$H221,Database!$H221),0,1),0),2),"run on terminal"))</f>
        <v/>
      </c>
      <c r="S221" s="58">
        <f>IFERROR(BDP(TEXT(VALUE(Database!$A221),"0")&amp;" HK Equity","PX_TO_SALES_RATIO"),"")</f>
        <v/>
      </c>
      <c r="T221" s="53">
        <f>IF(Database!BN221="","",IFERROR(BDP(LEFT(Database!BN221,FIND(".",Database!BN221)-1)&amp;" CH Equity","CUR_MKT_CAP")*BDP("CNYHKD Curncy","PX_LAST"),"run on terminal"))</f>
        <v/>
      </c>
    </row>
    <row r="222" ht="23" customHeight="1">
      <c r="A222" s="51">
        <f>Database!A222&amp;"  "&amp;Database!B222</f>
        <v/>
      </c>
      <c r="B222" s="43">
        <f>IFERROR(INDEX(BDS(TEXT(VALUE(Database!$A222),"0")&amp;" HK Equity","EQUITY_OFFERINGS","array=t","endcol=1"),MATCH("IPO",BDS(TEXT(VALUE(Database!$A222),"0")&amp;" HK Equity","EQUITY_OFFERINGS","array=t","startcol=2","endcol=2"),0)),"")</f>
        <v/>
      </c>
      <c r="C222" s="260">
        <f>IF($B222="","",IFERROR(BDP($B222&amp;" Action","CP036"),""))</f>
        <v/>
      </c>
      <c r="D222" s="261">
        <f>Database!S222</f>
        <v/>
      </c>
      <c r="E222" s="260">
        <f>IF($B222="","",IFERROR(BDP($B222&amp;" Action","CP037"),""))</f>
        <v/>
      </c>
      <c r="F222" s="261">
        <f>Database!T222</f>
        <v/>
      </c>
      <c r="G222" s="260">
        <f>IF($B222="","",IFERROR(BDP($B222&amp;" Action","GREENSHOE_FACILITY"),""))</f>
        <v/>
      </c>
      <c r="H222" s="260">
        <f>IF($B222="","",IFERROR(BDP($B222&amp;" Action","OFFERING_GREENSHOE_SHARES_EX"),""))</f>
        <v/>
      </c>
      <c r="I222" s="51">
        <f>Database!AE222</f>
        <v/>
      </c>
      <c r="J222" s="58">
        <f>IFERROR(BDP(TEXT(VALUE(Database!$A222),"0")&amp;" HK Equity","PE_RATIO"),"")</f>
        <v/>
      </c>
      <c r="K222" s="43">
        <f>IFERROR(BDP(TEXT(VALUE(Database!$A222),"0")&amp;" HK Equity","A/H_SHARE_CONVERSION"),"")</f>
        <v/>
      </c>
      <c r="L222" s="51">
        <f>IF(Database!BN222="","(none found)",Database!BN222)</f>
        <v/>
      </c>
      <c r="M222" s="53">
        <f>IFERROR(INDEX(BDH(TEXT(VALUE(Database!$A222),"0")&amp;" HK Equity","CUR_MKT_CAP",Database!$H222,Database!$H222),MATCH(Database!$H222,INDEX(BDH(TEXT(VALUE(Database!$A222),"0")&amp;" HK Equity","CUR_MKT_CAP",Database!$H222,Database!$H222),0,1),0),2),"run on terminal")</f>
        <v/>
      </c>
      <c r="N222" s="213">
        <f>Database!Q222</f>
        <v/>
      </c>
      <c r="O222" s="58">
        <f>IFERROR(INDEX(BDH(TEXT(VALUE(Database!$A222),"0")&amp;" HK Equity","PE_RATIO",Database!$H222,Database!$H222),MATCH(Database!$H222,INDEX(BDH(TEXT(VALUE(Database!$A222),"0")&amp;" HK Equity","PE_RATIO",Database!$H222,Database!$H222),0,1),0),2),"run on terminal")</f>
        <v/>
      </c>
      <c r="P222" s="251">
        <f>IF(Database!BH222="","(n/m or not derivable)",Database!BH222)</f>
        <v/>
      </c>
      <c r="Q222" s="58">
        <f>IF(Database!BN222="","",IFERROR(INDEX(BDH(LEFT(Database!BN222,FIND(".",Database!BN222)-1)&amp;" CH Equity","PE_RATIO",Database!$H222,Database!$H222),MATCH(Database!$H222,INDEX(BDH(LEFT(Database!BN222,FIND(".",Database!BN222)-1)&amp;" CH Equity","PE_RATIO",Database!$H222,Database!$H222),0,1),0),2),"run on terminal"))</f>
        <v/>
      </c>
      <c r="R222" s="58">
        <f>IF(Database!BN222="","",IFERROR(INDEX(BDH("HSAHP Index","PX_LAST",Database!$H222,Database!$H222),MATCH(Database!$H222,INDEX(BDH("HSAHP Index","PX_LAST",Database!$H222,Database!$H222),0,1),0),2),"run on terminal"))</f>
        <v/>
      </c>
      <c r="S222" s="58">
        <f>IFERROR(BDP(TEXT(VALUE(Database!$A222),"0")&amp;" HK Equity","PX_TO_SALES_RATIO"),"")</f>
        <v/>
      </c>
      <c r="T222" s="53">
        <f>IF(Database!BN222="","",IFERROR(BDP(LEFT(Database!BN222,FIND(".",Database!BN222)-1)&amp;" CH Equity","CUR_MKT_CAP")*BDP("CNYHKD Curncy","PX_LAST"),"run on terminal"))</f>
        <v/>
      </c>
    </row>
    <row r="223" ht="23" customHeight="1">
      <c r="A223" s="51">
        <f>Database!A223&amp;"  "&amp;Database!B223</f>
        <v/>
      </c>
      <c r="B223" s="43">
        <f>IFERROR(INDEX(BDS(TEXT(VALUE(Database!$A223),"0")&amp;" HK Equity","EQUITY_OFFERINGS","array=t","endcol=1"),MATCH("IPO",BDS(TEXT(VALUE(Database!$A223),"0")&amp;" HK Equity","EQUITY_OFFERINGS","array=t","startcol=2","endcol=2"),0)),"")</f>
        <v/>
      </c>
      <c r="C223" s="260">
        <f>IF($B223="","",IFERROR(BDP($B223&amp;" Action","CP036"),""))</f>
        <v/>
      </c>
      <c r="D223" s="261">
        <f>Database!S223</f>
        <v/>
      </c>
      <c r="E223" s="260">
        <f>IF($B223="","",IFERROR(BDP($B223&amp;" Action","CP037"),""))</f>
        <v/>
      </c>
      <c r="F223" s="261">
        <f>Database!T223</f>
        <v/>
      </c>
      <c r="G223" s="260">
        <f>IF($B223="","",IFERROR(BDP($B223&amp;" Action","GREENSHOE_FACILITY"),""))</f>
        <v/>
      </c>
      <c r="H223" s="260">
        <f>IF($B223="","",IFERROR(BDP($B223&amp;" Action","OFFERING_GREENSHOE_SHARES_EX"),""))</f>
        <v/>
      </c>
      <c r="I223" s="51">
        <f>Database!AE223</f>
        <v/>
      </c>
      <c r="J223" s="58">
        <f>IFERROR(BDP(TEXT(VALUE(Database!$A223),"0")&amp;" HK Equity","PE_RATIO"),"")</f>
        <v/>
      </c>
      <c r="K223" s="43">
        <f>IFERROR(BDP(TEXT(VALUE(Database!$A223),"0")&amp;" HK Equity","A/H_SHARE_CONVERSION"),"")</f>
        <v/>
      </c>
      <c r="L223" s="51">
        <f>IF(Database!BN223="","(none found)",Database!BN223)</f>
        <v/>
      </c>
      <c r="M223" s="53">
        <f>IFERROR(INDEX(BDH(TEXT(VALUE(Database!$A223),"0")&amp;" HK Equity","CUR_MKT_CAP",Database!$H223,Database!$H223),MATCH(Database!$H223,INDEX(BDH(TEXT(VALUE(Database!$A223),"0")&amp;" HK Equity","CUR_MKT_CAP",Database!$H223,Database!$H223),0,1),0),2),"run on terminal")</f>
        <v/>
      </c>
      <c r="N223" s="213">
        <f>Database!Q223</f>
        <v/>
      </c>
      <c r="O223" s="58">
        <f>IFERROR(INDEX(BDH(TEXT(VALUE(Database!$A223),"0")&amp;" HK Equity","PE_RATIO",Database!$H223,Database!$H223),MATCH(Database!$H223,INDEX(BDH(TEXT(VALUE(Database!$A223),"0")&amp;" HK Equity","PE_RATIO",Database!$H223,Database!$H223),0,1),0),2),"run on terminal")</f>
        <v/>
      </c>
      <c r="P223" s="251">
        <f>IF(Database!BH223="","(n/m or not derivable)",Database!BH223)</f>
        <v/>
      </c>
      <c r="Q223" s="58">
        <f>IF(Database!BN223="","",IFERROR(INDEX(BDH(LEFT(Database!BN223,FIND(".",Database!BN223)-1)&amp;" CH Equity","PE_RATIO",Database!$H223,Database!$H223),MATCH(Database!$H223,INDEX(BDH(LEFT(Database!BN223,FIND(".",Database!BN223)-1)&amp;" CH Equity","PE_RATIO",Database!$H223,Database!$H223),0,1),0),2),"run on terminal"))</f>
        <v/>
      </c>
      <c r="R223" s="58">
        <f>IF(Database!BN223="","",IFERROR(INDEX(BDH("HSAHP Index","PX_LAST",Database!$H223,Database!$H223),MATCH(Database!$H223,INDEX(BDH("HSAHP Index","PX_LAST",Database!$H223,Database!$H223),0,1),0),2),"run on terminal"))</f>
        <v/>
      </c>
      <c r="S223" s="58">
        <f>IFERROR(BDP(TEXT(VALUE(Database!$A223),"0")&amp;" HK Equity","PX_TO_SALES_RATIO"),"")</f>
        <v/>
      </c>
      <c r="T223" s="53">
        <f>IF(Database!BN223="","",IFERROR(BDP(LEFT(Database!BN223,FIND(".",Database!BN223)-1)&amp;" CH Equity","CUR_MKT_CAP")*BDP("CNYHKD Curncy","PX_LAST"),"run on terminal"))</f>
        <v/>
      </c>
    </row>
    <row r="224" ht="23" customHeight="1">
      <c r="A224" s="51">
        <f>Database!A224&amp;"  "&amp;Database!B224</f>
        <v/>
      </c>
      <c r="B224" s="43">
        <f>IFERROR(INDEX(BDS(TEXT(VALUE(Database!$A224),"0")&amp;" HK Equity","EQUITY_OFFERINGS","array=t","endcol=1"),MATCH("IPO",BDS(TEXT(VALUE(Database!$A224),"0")&amp;" HK Equity","EQUITY_OFFERINGS","array=t","startcol=2","endcol=2"),0)),"")</f>
        <v/>
      </c>
      <c r="C224" s="260">
        <f>IF($B224="","",IFERROR(BDP($B224&amp;" Action","CP036"),""))</f>
        <v/>
      </c>
      <c r="D224" s="261">
        <f>Database!S224</f>
        <v/>
      </c>
      <c r="E224" s="260">
        <f>IF($B224="","",IFERROR(BDP($B224&amp;" Action","CP037"),""))</f>
        <v/>
      </c>
      <c r="F224" s="261">
        <f>Database!T224</f>
        <v/>
      </c>
      <c r="G224" s="260">
        <f>IF($B224="","",IFERROR(BDP($B224&amp;" Action","GREENSHOE_FACILITY"),""))</f>
        <v/>
      </c>
      <c r="H224" s="260">
        <f>IF($B224="","",IFERROR(BDP($B224&amp;" Action","OFFERING_GREENSHOE_SHARES_EX"),""))</f>
        <v/>
      </c>
      <c r="I224" s="51">
        <f>Database!AE224</f>
        <v/>
      </c>
      <c r="J224" s="58">
        <f>IFERROR(BDP(TEXT(VALUE(Database!$A224),"0")&amp;" HK Equity","PE_RATIO"),"")</f>
        <v/>
      </c>
      <c r="K224" s="43">
        <f>IFERROR(BDP(TEXT(VALUE(Database!$A224),"0")&amp;" HK Equity","A/H_SHARE_CONVERSION"),"")</f>
        <v/>
      </c>
      <c r="L224" s="51">
        <f>IF(Database!BN224="","(none found)",Database!BN224)</f>
        <v/>
      </c>
      <c r="M224" s="53">
        <f>IFERROR(INDEX(BDH(TEXT(VALUE(Database!$A224),"0")&amp;" HK Equity","CUR_MKT_CAP",Database!$H224,Database!$H224),MATCH(Database!$H224,INDEX(BDH(TEXT(VALUE(Database!$A224),"0")&amp;" HK Equity","CUR_MKT_CAP",Database!$H224,Database!$H224),0,1),0),2),"run on terminal")</f>
        <v/>
      </c>
      <c r="N224" s="213">
        <f>Database!Q224</f>
        <v/>
      </c>
      <c r="O224" s="58">
        <f>IFERROR(INDEX(BDH(TEXT(VALUE(Database!$A224),"0")&amp;" HK Equity","PE_RATIO",Database!$H224,Database!$H224),MATCH(Database!$H224,INDEX(BDH(TEXT(VALUE(Database!$A224),"0")&amp;" HK Equity","PE_RATIO",Database!$H224,Database!$H224),0,1),0),2),"run on terminal")</f>
        <v/>
      </c>
      <c r="P224" s="251">
        <f>IF(Database!BH224="","(n/m or not derivable)",Database!BH224)</f>
        <v/>
      </c>
      <c r="Q224" s="58">
        <f>IF(Database!BN224="","",IFERROR(INDEX(BDH(LEFT(Database!BN224,FIND(".",Database!BN224)-1)&amp;" CH Equity","PE_RATIO",Database!$H224,Database!$H224),MATCH(Database!$H224,INDEX(BDH(LEFT(Database!BN224,FIND(".",Database!BN224)-1)&amp;" CH Equity","PE_RATIO",Database!$H224,Database!$H224),0,1),0),2),"run on terminal"))</f>
        <v/>
      </c>
      <c r="R224" s="58">
        <f>IF(Database!BN224="","",IFERROR(INDEX(BDH("HSAHP Index","PX_LAST",Database!$H224,Database!$H224),MATCH(Database!$H224,INDEX(BDH("HSAHP Index","PX_LAST",Database!$H224,Database!$H224),0,1),0),2),"run on terminal"))</f>
        <v/>
      </c>
      <c r="S224" s="58">
        <f>IFERROR(BDP(TEXT(VALUE(Database!$A224),"0")&amp;" HK Equity","PX_TO_SALES_RATIO"),"")</f>
        <v/>
      </c>
      <c r="T224" s="53">
        <f>IF(Database!BN224="","",IFERROR(BDP(LEFT(Database!BN224,FIND(".",Database!BN224)-1)&amp;" CH Equity","CUR_MKT_CAP")*BDP("CNYHKD Curncy","PX_LAST"),"run on terminal"))</f>
        <v/>
      </c>
    </row>
    <row r="225" ht="23" customHeight="1">
      <c r="A225" s="51">
        <f>Database!A225&amp;"  "&amp;Database!B225</f>
        <v/>
      </c>
      <c r="B225" s="43">
        <f>IFERROR(INDEX(BDS(TEXT(VALUE(Database!$A225),"0")&amp;" HK Equity","EQUITY_OFFERINGS","array=t","endcol=1"),MATCH("IPO",BDS(TEXT(VALUE(Database!$A225),"0")&amp;" HK Equity","EQUITY_OFFERINGS","array=t","startcol=2","endcol=2"),0)),"")</f>
        <v/>
      </c>
      <c r="C225" s="260">
        <f>IF($B225="","",IFERROR(BDP($B225&amp;" Action","CP036"),""))</f>
        <v/>
      </c>
      <c r="D225" s="261">
        <f>Database!S225</f>
        <v/>
      </c>
      <c r="E225" s="260">
        <f>IF($B225="","",IFERROR(BDP($B225&amp;" Action","CP037"),""))</f>
        <v/>
      </c>
      <c r="F225" s="261">
        <f>Database!T225</f>
        <v/>
      </c>
      <c r="G225" s="260">
        <f>IF($B225="","",IFERROR(BDP($B225&amp;" Action","GREENSHOE_FACILITY"),""))</f>
        <v/>
      </c>
      <c r="H225" s="260">
        <f>IF($B225="","",IFERROR(BDP($B225&amp;" Action","OFFERING_GREENSHOE_SHARES_EX"),""))</f>
        <v/>
      </c>
      <c r="I225" s="51">
        <f>Database!AE225</f>
        <v/>
      </c>
      <c r="J225" s="58">
        <f>IFERROR(BDP(TEXT(VALUE(Database!$A225),"0")&amp;" HK Equity","PE_RATIO"),"")</f>
        <v/>
      </c>
      <c r="K225" s="43">
        <f>IFERROR(BDP(TEXT(VALUE(Database!$A225),"0")&amp;" HK Equity","A/H_SHARE_CONVERSION"),"")</f>
        <v/>
      </c>
      <c r="L225" s="51">
        <f>IF(Database!BN225="","(none found)",Database!BN225)</f>
        <v/>
      </c>
      <c r="M225" s="53">
        <f>IFERROR(INDEX(BDH(TEXT(VALUE(Database!$A225),"0")&amp;" HK Equity","CUR_MKT_CAP",Database!$H225,Database!$H225),MATCH(Database!$H225,INDEX(BDH(TEXT(VALUE(Database!$A225),"0")&amp;" HK Equity","CUR_MKT_CAP",Database!$H225,Database!$H225),0,1),0),2),"run on terminal")</f>
        <v/>
      </c>
      <c r="N225" s="213">
        <f>Database!Q225</f>
        <v/>
      </c>
      <c r="O225" s="58">
        <f>IFERROR(INDEX(BDH(TEXT(VALUE(Database!$A225),"0")&amp;" HK Equity","PE_RATIO",Database!$H225,Database!$H225),MATCH(Database!$H225,INDEX(BDH(TEXT(VALUE(Database!$A225),"0")&amp;" HK Equity","PE_RATIO",Database!$H225,Database!$H225),0,1),0),2),"run on terminal")</f>
        <v/>
      </c>
      <c r="P225" s="251">
        <f>IF(Database!BH225="","(n/m or not derivable)",Database!BH225)</f>
        <v/>
      </c>
      <c r="Q225" s="58">
        <f>IF(Database!BN225="","",IFERROR(INDEX(BDH(LEFT(Database!BN225,FIND(".",Database!BN225)-1)&amp;" CH Equity","PE_RATIO",Database!$H225,Database!$H225),MATCH(Database!$H225,INDEX(BDH(LEFT(Database!BN225,FIND(".",Database!BN225)-1)&amp;" CH Equity","PE_RATIO",Database!$H225,Database!$H225),0,1),0),2),"run on terminal"))</f>
        <v/>
      </c>
      <c r="R225" s="58">
        <f>IF(Database!BN225="","",IFERROR(INDEX(BDH("HSAHP Index","PX_LAST",Database!$H225,Database!$H225),MATCH(Database!$H225,INDEX(BDH("HSAHP Index","PX_LAST",Database!$H225,Database!$H225),0,1),0),2),"run on terminal"))</f>
        <v/>
      </c>
      <c r="S225" s="58">
        <f>IFERROR(BDP(TEXT(VALUE(Database!$A225),"0")&amp;" HK Equity","PX_TO_SALES_RATIO"),"")</f>
        <v/>
      </c>
      <c r="T225" s="53">
        <f>IF(Database!BN225="","",IFERROR(BDP(LEFT(Database!BN225,FIND(".",Database!BN225)-1)&amp;" CH Equity","CUR_MKT_CAP")*BDP("CNYHKD Curncy","PX_LAST"),"run on terminal"))</f>
        <v/>
      </c>
    </row>
    <row r="226" ht="23" customHeight="1">
      <c r="A226" s="51">
        <f>Database!A226&amp;"  "&amp;Database!B226</f>
        <v/>
      </c>
      <c r="B226" s="43">
        <f>IFERROR(INDEX(BDS(TEXT(VALUE(Database!$A226),"0")&amp;" HK Equity","EQUITY_OFFERINGS","array=t","endcol=1"),MATCH("IPO",BDS(TEXT(VALUE(Database!$A226),"0")&amp;" HK Equity","EQUITY_OFFERINGS","array=t","startcol=2","endcol=2"),0)),"")</f>
        <v/>
      </c>
      <c r="C226" s="260">
        <f>IF($B226="","",IFERROR(BDP($B226&amp;" Action","CP036"),""))</f>
        <v/>
      </c>
      <c r="D226" s="261">
        <f>Database!S226</f>
        <v/>
      </c>
      <c r="E226" s="260">
        <f>IF($B226="","",IFERROR(BDP($B226&amp;" Action","CP037"),""))</f>
        <v/>
      </c>
      <c r="F226" s="261">
        <f>Database!T226</f>
        <v/>
      </c>
      <c r="G226" s="260">
        <f>IF($B226="","",IFERROR(BDP($B226&amp;" Action","GREENSHOE_FACILITY"),""))</f>
        <v/>
      </c>
      <c r="H226" s="260">
        <f>IF($B226="","",IFERROR(BDP($B226&amp;" Action","OFFERING_GREENSHOE_SHARES_EX"),""))</f>
        <v/>
      </c>
      <c r="I226" s="51">
        <f>Database!AE226</f>
        <v/>
      </c>
      <c r="J226" s="58">
        <f>IFERROR(BDP(TEXT(VALUE(Database!$A226),"0")&amp;" HK Equity","PE_RATIO"),"")</f>
        <v/>
      </c>
      <c r="K226" s="43">
        <f>IFERROR(BDP(TEXT(VALUE(Database!$A226),"0")&amp;" HK Equity","A/H_SHARE_CONVERSION"),"")</f>
        <v/>
      </c>
      <c r="L226" s="51">
        <f>IF(Database!BN226="","(none found)",Database!BN226)</f>
        <v/>
      </c>
      <c r="M226" s="53">
        <f>IFERROR(INDEX(BDH(TEXT(VALUE(Database!$A226),"0")&amp;" HK Equity","CUR_MKT_CAP",Database!$H226,Database!$H226),MATCH(Database!$H226,INDEX(BDH(TEXT(VALUE(Database!$A226),"0")&amp;" HK Equity","CUR_MKT_CAP",Database!$H226,Database!$H226),0,1),0),2),"run on terminal")</f>
        <v/>
      </c>
      <c r="N226" s="213">
        <f>Database!Q226</f>
        <v/>
      </c>
      <c r="O226" s="58">
        <f>IFERROR(INDEX(BDH(TEXT(VALUE(Database!$A226),"0")&amp;" HK Equity","PE_RATIO",Database!$H226,Database!$H226),MATCH(Database!$H226,INDEX(BDH(TEXT(VALUE(Database!$A226),"0")&amp;" HK Equity","PE_RATIO",Database!$H226,Database!$H226),0,1),0),2),"run on terminal")</f>
        <v/>
      </c>
      <c r="P226" s="251">
        <f>IF(Database!BH226="","(n/m or not derivable)",Database!BH226)</f>
        <v/>
      </c>
      <c r="Q226" s="58">
        <f>IF(Database!BN226="","",IFERROR(INDEX(BDH(LEFT(Database!BN226,FIND(".",Database!BN226)-1)&amp;" CH Equity","PE_RATIO",Database!$H226,Database!$H226),MATCH(Database!$H226,INDEX(BDH(LEFT(Database!BN226,FIND(".",Database!BN226)-1)&amp;" CH Equity","PE_RATIO",Database!$H226,Database!$H226),0,1),0),2),"run on terminal"))</f>
        <v/>
      </c>
      <c r="R226" s="58">
        <f>IF(Database!BN226="","",IFERROR(INDEX(BDH("HSAHP Index","PX_LAST",Database!$H226,Database!$H226),MATCH(Database!$H226,INDEX(BDH("HSAHP Index","PX_LAST",Database!$H226,Database!$H226),0,1),0),2),"run on terminal"))</f>
        <v/>
      </c>
      <c r="S226" s="58">
        <f>IFERROR(BDP(TEXT(VALUE(Database!$A226),"0")&amp;" HK Equity","PX_TO_SALES_RATIO"),"")</f>
        <v/>
      </c>
      <c r="T226" s="53">
        <f>IF(Database!BN226="","",IFERROR(BDP(LEFT(Database!BN226,FIND(".",Database!BN226)-1)&amp;" CH Equity","CUR_MKT_CAP")*BDP("CNYHKD Curncy","PX_LAST"),"run on terminal"))</f>
        <v/>
      </c>
    </row>
    <row r="227" ht="23" customHeight="1">
      <c r="A227" s="51">
        <f>Database!A227&amp;"  "&amp;Database!B227</f>
        <v/>
      </c>
      <c r="B227" s="43">
        <f>IFERROR(INDEX(BDS(TEXT(VALUE(Database!$A227),"0")&amp;" HK Equity","EQUITY_OFFERINGS","array=t","endcol=1"),MATCH("IPO",BDS(TEXT(VALUE(Database!$A227),"0")&amp;" HK Equity","EQUITY_OFFERINGS","array=t","startcol=2","endcol=2"),0)),"")</f>
        <v/>
      </c>
      <c r="C227" s="260">
        <f>IF($B227="","",IFERROR(BDP($B227&amp;" Action","CP036"),""))</f>
        <v/>
      </c>
      <c r="D227" s="261">
        <f>Database!S227</f>
        <v/>
      </c>
      <c r="E227" s="260">
        <f>IF($B227="","",IFERROR(BDP($B227&amp;" Action","CP037"),""))</f>
        <v/>
      </c>
      <c r="F227" s="261">
        <f>Database!T227</f>
        <v/>
      </c>
      <c r="G227" s="260">
        <f>IF($B227="","",IFERROR(BDP($B227&amp;" Action","GREENSHOE_FACILITY"),""))</f>
        <v/>
      </c>
      <c r="H227" s="260">
        <f>IF($B227="","",IFERROR(BDP($B227&amp;" Action","OFFERING_GREENSHOE_SHARES_EX"),""))</f>
        <v/>
      </c>
      <c r="I227" s="51">
        <f>Database!AE227</f>
        <v/>
      </c>
      <c r="J227" s="58">
        <f>IFERROR(BDP(TEXT(VALUE(Database!$A227),"0")&amp;" HK Equity","PE_RATIO"),"")</f>
        <v/>
      </c>
      <c r="K227" s="43">
        <f>IFERROR(BDP(TEXT(VALUE(Database!$A227),"0")&amp;" HK Equity","A/H_SHARE_CONVERSION"),"")</f>
        <v/>
      </c>
      <c r="L227" s="51">
        <f>IF(Database!BN227="","(none found)",Database!BN227)</f>
        <v/>
      </c>
      <c r="M227" s="53">
        <f>IFERROR(INDEX(BDH(TEXT(VALUE(Database!$A227),"0")&amp;" HK Equity","CUR_MKT_CAP",Database!$H227,Database!$H227),MATCH(Database!$H227,INDEX(BDH(TEXT(VALUE(Database!$A227),"0")&amp;" HK Equity","CUR_MKT_CAP",Database!$H227,Database!$H227),0,1),0),2),"run on terminal")</f>
        <v/>
      </c>
      <c r="N227" s="213">
        <f>Database!Q227</f>
        <v/>
      </c>
      <c r="O227" s="58">
        <f>IFERROR(INDEX(BDH(TEXT(VALUE(Database!$A227),"0")&amp;" HK Equity","PE_RATIO",Database!$H227,Database!$H227),MATCH(Database!$H227,INDEX(BDH(TEXT(VALUE(Database!$A227),"0")&amp;" HK Equity","PE_RATIO",Database!$H227,Database!$H227),0,1),0),2),"run on terminal")</f>
        <v/>
      </c>
      <c r="P227" s="251">
        <f>IF(Database!BH227="","(n/m or not derivable)",Database!BH227)</f>
        <v/>
      </c>
      <c r="Q227" s="58">
        <f>IF(Database!BN227="","",IFERROR(INDEX(BDH(LEFT(Database!BN227,FIND(".",Database!BN227)-1)&amp;" CH Equity","PE_RATIO",Database!$H227,Database!$H227),MATCH(Database!$H227,INDEX(BDH(LEFT(Database!BN227,FIND(".",Database!BN227)-1)&amp;" CH Equity","PE_RATIO",Database!$H227,Database!$H227),0,1),0),2),"run on terminal"))</f>
        <v/>
      </c>
      <c r="R227" s="58">
        <f>IF(Database!BN227="","",IFERROR(INDEX(BDH("HSAHP Index","PX_LAST",Database!$H227,Database!$H227),MATCH(Database!$H227,INDEX(BDH("HSAHP Index","PX_LAST",Database!$H227,Database!$H227),0,1),0),2),"run on terminal"))</f>
        <v/>
      </c>
      <c r="S227" s="58">
        <f>IFERROR(BDP(TEXT(VALUE(Database!$A227),"0")&amp;" HK Equity","PX_TO_SALES_RATIO"),"")</f>
        <v/>
      </c>
      <c r="T227" s="53">
        <f>IF(Database!BN227="","",IFERROR(BDP(LEFT(Database!BN227,FIND(".",Database!BN227)-1)&amp;" CH Equity","CUR_MKT_CAP")*BDP("CNYHKD Curncy","PX_LAST"),"run on terminal"))</f>
        <v/>
      </c>
    </row>
    <row r="228" ht="23" customHeight="1">
      <c r="A228" s="51">
        <f>Database!A228&amp;"  "&amp;Database!B228</f>
        <v/>
      </c>
      <c r="B228" s="43">
        <f>IFERROR(INDEX(BDS(TEXT(VALUE(Database!$A228),"0")&amp;" HK Equity","EQUITY_OFFERINGS","array=t","endcol=1"),MATCH("IPO",BDS(TEXT(VALUE(Database!$A228),"0")&amp;" HK Equity","EQUITY_OFFERINGS","array=t","startcol=2","endcol=2"),0)),"")</f>
        <v/>
      </c>
      <c r="C228" s="260">
        <f>IF($B228="","",IFERROR(BDP($B228&amp;" Action","CP036"),""))</f>
        <v/>
      </c>
      <c r="D228" s="261">
        <f>Database!S228</f>
        <v/>
      </c>
      <c r="E228" s="260">
        <f>IF($B228="","",IFERROR(BDP($B228&amp;" Action","CP037"),""))</f>
        <v/>
      </c>
      <c r="F228" s="261">
        <f>Database!T228</f>
        <v/>
      </c>
      <c r="G228" s="260">
        <f>IF($B228="","",IFERROR(BDP($B228&amp;" Action","GREENSHOE_FACILITY"),""))</f>
        <v/>
      </c>
      <c r="H228" s="260">
        <f>IF($B228="","",IFERROR(BDP($B228&amp;" Action","OFFERING_GREENSHOE_SHARES_EX"),""))</f>
        <v/>
      </c>
      <c r="I228" s="51">
        <f>Database!AE228</f>
        <v/>
      </c>
      <c r="J228" s="58">
        <f>IFERROR(BDP(TEXT(VALUE(Database!$A228),"0")&amp;" HK Equity","PE_RATIO"),"")</f>
        <v/>
      </c>
      <c r="K228" s="43">
        <f>IFERROR(BDP(TEXT(VALUE(Database!$A228),"0")&amp;" HK Equity","A/H_SHARE_CONVERSION"),"")</f>
        <v/>
      </c>
      <c r="L228" s="51">
        <f>IF(Database!BN228="","(none found)",Database!BN228)</f>
        <v/>
      </c>
      <c r="M228" s="53">
        <f>IFERROR(INDEX(BDH(TEXT(VALUE(Database!$A228),"0")&amp;" HK Equity","CUR_MKT_CAP",Database!$H228,Database!$H228),MATCH(Database!$H228,INDEX(BDH(TEXT(VALUE(Database!$A228),"0")&amp;" HK Equity","CUR_MKT_CAP",Database!$H228,Database!$H228),0,1),0),2),"run on terminal")</f>
        <v/>
      </c>
      <c r="N228" s="213">
        <f>Database!Q228</f>
        <v/>
      </c>
      <c r="O228" s="58">
        <f>IFERROR(INDEX(BDH(TEXT(VALUE(Database!$A228),"0")&amp;" HK Equity","PE_RATIO",Database!$H228,Database!$H228),MATCH(Database!$H228,INDEX(BDH(TEXT(VALUE(Database!$A228),"0")&amp;" HK Equity","PE_RATIO",Database!$H228,Database!$H228),0,1),0),2),"run on terminal")</f>
        <v/>
      </c>
      <c r="P228" s="251">
        <f>IF(Database!BH228="","(n/m or not derivable)",Database!BH228)</f>
        <v/>
      </c>
      <c r="Q228" s="58">
        <f>IF(Database!BN228="","",IFERROR(INDEX(BDH(LEFT(Database!BN228,FIND(".",Database!BN228)-1)&amp;" CH Equity","PE_RATIO",Database!$H228,Database!$H228),MATCH(Database!$H228,INDEX(BDH(LEFT(Database!BN228,FIND(".",Database!BN228)-1)&amp;" CH Equity","PE_RATIO",Database!$H228,Database!$H228),0,1),0),2),"run on terminal"))</f>
        <v/>
      </c>
      <c r="R228" s="58">
        <f>IF(Database!BN228="","",IFERROR(INDEX(BDH("HSAHP Index","PX_LAST",Database!$H228,Database!$H228),MATCH(Database!$H228,INDEX(BDH("HSAHP Index","PX_LAST",Database!$H228,Database!$H228),0,1),0),2),"run on terminal"))</f>
        <v/>
      </c>
      <c r="S228" s="58">
        <f>IFERROR(BDP(TEXT(VALUE(Database!$A228),"0")&amp;" HK Equity","PX_TO_SALES_RATIO"),"")</f>
        <v/>
      </c>
      <c r="T228" s="53">
        <f>IF(Database!BN228="","",IFERROR(BDP(LEFT(Database!BN228,FIND(".",Database!BN228)-1)&amp;" CH Equity","CUR_MKT_CAP")*BDP("CNYHKD Curncy","PX_LAST"),"run on terminal"))</f>
        <v/>
      </c>
    </row>
    <row r="229" ht="23" customHeight="1">
      <c r="A229" s="51">
        <f>Database!A229&amp;"  "&amp;Database!B229</f>
        <v/>
      </c>
      <c r="B229" s="43">
        <f>IFERROR(INDEX(BDS(TEXT(VALUE(Database!$A229),"0")&amp;" HK Equity","EQUITY_OFFERINGS","array=t","endcol=1"),MATCH("IPO",BDS(TEXT(VALUE(Database!$A229),"0")&amp;" HK Equity","EQUITY_OFFERINGS","array=t","startcol=2","endcol=2"),0)),"")</f>
        <v/>
      </c>
      <c r="C229" s="260">
        <f>IF($B229="","",IFERROR(BDP($B229&amp;" Action","CP036"),""))</f>
        <v/>
      </c>
      <c r="D229" s="261">
        <f>Database!S229</f>
        <v/>
      </c>
      <c r="E229" s="260">
        <f>IF($B229="","",IFERROR(BDP($B229&amp;" Action","CP037"),""))</f>
        <v/>
      </c>
      <c r="F229" s="261">
        <f>Database!T229</f>
        <v/>
      </c>
      <c r="G229" s="260">
        <f>IF($B229="","",IFERROR(BDP($B229&amp;" Action","GREENSHOE_FACILITY"),""))</f>
        <v/>
      </c>
      <c r="H229" s="260">
        <f>IF($B229="","",IFERROR(BDP($B229&amp;" Action","OFFERING_GREENSHOE_SHARES_EX"),""))</f>
        <v/>
      </c>
      <c r="I229" s="51">
        <f>Database!AE229</f>
        <v/>
      </c>
      <c r="J229" s="58">
        <f>IFERROR(BDP(TEXT(VALUE(Database!$A229),"0")&amp;" HK Equity","PE_RATIO"),"")</f>
        <v/>
      </c>
      <c r="K229" s="43">
        <f>IFERROR(BDP(TEXT(VALUE(Database!$A229),"0")&amp;" HK Equity","A/H_SHARE_CONVERSION"),"")</f>
        <v/>
      </c>
      <c r="L229" s="51">
        <f>IF(Database!BN229="","(none found)",Database!BN229)</f>
        <v/>
      </c>
      <c r="M229" s="53">
        <f>IFERROR(INDEX(BDH(TEXT(VALUE(Database!$A229),"0")&amp;" HK Equity","CUR_MKT_CAP",Database!$H229,Database!$H229),MATCH(Database!$H229,INDEX(BDH(TEXT(VALUE(Database!$A229),"0")&amp;" HK Equity","CUR_MKT_CAP",Database!$H229,Database!$H229),0,1),0),2),"run on terminal")</f>
        <v/>
      </c>
      <c r="N229" s="213">
        <f>Database!Q229</f>
        <v/>
      </c>
      <c r="O229" s="58">
        <f>IFERROR(INDEX(BDH(TEXT(VALUE(Database!$A229),"0")&amp;" HK Equity","PE_RATIO",Database!$H229,Database!$H229),MATCH(Database!$H229,INDEX(BDH(TEXT(VALUE(Database!$A229),"0")&amp;" HK Equity","PE_RATIO",Database!$H229,Database!$H229),0,1),0),2),"run on terminal")</f>
        <v/>
      </c>
      <c r="P229" s="251">
        <f>IF(Database!BH229="","(n/m or not derivable)",Database!BH229)</f>
        <v/>
      </c>
      <c r="Q229" s="58">
        <f>IF(Database!BN229="","",IFERROR(INDEX(BDH(LEFT(Database!BN229,FIND(".",Database!BN229)-1)&amp;" CH Equity","PE_RATIO",Database!$H229,Database!$H229),MATCH(Database!$H229,INDEX(BDH(LEFT(Database!BN229,FIND(".",Database!BN229)-1)&amp;" CH Equity","PE_RATIO",Database!$H229,Database!$H229),0,1),0),2),"run on terminal"))</f>
        <v/>
      </c>
      <c r="R229" s="58">
        <f>IF(Database!BN229="","",IFERROR(INDEX(BDH("HSAHP Index","PX_LAST",Database!$H229,Database!$H229),MATCH(Database!$H229,INDEX(BDH("HSAHP Index","PX_LAST",Database!$H229,Database!$H229),0,1),0),2),"run on terminal"))</f>
        <v/>
      </c>
      <c r="S229" s="58">
        <f>IFERROR(BDP(TEXT(VALUE(Database!$A229),"0")&amp;" HK Equity","PX_TO_SALES_RATIO"),"")</f>
        <v/>
      </c>
      <c r="T229" s="53">
        <f>IF(Database!BN229="","",IFERROR(BDP(LEFT(Database!BN229,FIND(".",Database!BN229)-1)&amp;" CH Equity","CUR_MKT_CAP")*BDP("CNYHKD Curncy","PX_LAST"),"run on terminal"))</f>
        <v/>
      </c>
    </row>
    <row r="230" ht="23" customHeight="1">
      <c r="A230" s="51">
        <f>Database!A230&amp;"  "&amp;Database!B230</f>
        <v/>
      </c>
      <c r="B230" s="43">
        <f>IFERROR(INDEX(BDS(TEXT(VALUE(Database!$A230),"0")&amp;" HK Equity","EQUITY_OFFERINGS","array=t","endcol=1"),MATCH("IPO",BDS(TEXT(VALUE(Database!$A230),"0")&amp;" HK Equity","EQUITY_OFFERINGS","array=t","startcol=2","endcol=2"),0)),"")</f>
        <v/>
      </c>
      <c r="C230" s="260">
        <f>IF($B230="","",IFERROR(BDP($B230&amp;" Action","CP036"),""))</f>
        <v/>
      </c>
      <c r="D230" s="261">
        <f>Database!S230</f>
        <v/>
      </c>
      <c r="E230" s="260">
        <f>IF($B230="","",IFERROR(BDP($B230&amp;" Action","CP037"),""))</f>
        <v/>
      </c>
      <c r="F230" s="261">
        <f>Database!T230</f>
        <v/>
      </c>
      <c r="G230" s="260">
        <f>IF($B230="","",IFERROR(BDP($B230&amp;" Action","GREENSHOE_FACILITY"),""))</f>
        <v/>
      </c>
      <c r="H230" s="260">
        <f>IF($B230="","",IFERROR(BDP($B230&amp;" Action","OFFERING_GREENSHOE_SHARES_EX"),""))</f>
        <v/>
      </c>
      <c r="I230" s="51">
        <f>Database!AE230</f>
        <v/>
      </c>
      <c r="J230" s="58">
        <f>IFERROR(BDP(TEXT(VALUE(Database!$A230),"0")&amp;" HK Equity","PE_RATIO"),"")</f>
        <v/>
      </c>
      <c r="K230" s="43">
        <f>IFERROR(BDP(TEXT(VALUE(Database!$A230),"0")&amp;" HK Equity","A/H_SHARE_CONVERSION"),"")</f>
        <v/>
      </c>
      <c r="L230" s="51">
        <f>IF(Database!BN230="","(none found)",Database!BN230)</f>
        <v/>
      </c>
      <c r="M230" s="53">
        <f>IFERROR(INDEX(BDH(TEXT(VALUE(Database!$A230),"0")&amp;" HK Equity","CUR_MKT_CAP",Database!$H230,Database!$H230),MATCH(Database!$H230,INDEX(BDH(TEXT(VALUE(Database!$A230),"0")&amp;" HK Equity","CUR_MKT_CAP",Database!$H230,Database!$H230),0,1),0),2),"run on terminal")</f>
        <v/>
      </c>
      <c r="N230" s="213">
        <f>Database!Q230</f>
        <v/>
      </c>
      <c r="O230" s="58">
        <f>IFERROR(INDEX(BDH(TEXT(VALUE(Database!$A230),"0")&amp;" HK Equity","PE_RATIO",Database!$H230,Database!$H230),MATCH(Database!$H230,INDEX(BDH(TEXT(VALUE(Database!$A230),"0")&amp;" HK Equity","PE_RATIO",Database!$H230,Database!$H230),0,1),0),2),"run on terminal")</f>
        <v/>
      </c>
      <c r="P230" s="251">
        <f>IF(Database!BH230="","(n/m or not derivable)",Database!BH230)</f>
        <v/>
      </c>
      <c r="Q230" s="58">
        <f>IF(Database!BN230="","",IFERROR(INDEX(BDH(LEFT(Database!BN230,FIND(".",Database!BN230)-1)&amp;" CH Equity","PE_RATIO",Database!$H230,Database!$H230),MATCH(Database!$H230,INDEX(BDH(LEFT(Database!BN230,FIND(".",Database!BN230)-1)&amp;" CH Equity","PE_RATIO",Database!$H230,Database!$H230),0,1),0),2),"run on terminal"))</f>
        <v/>
      </c>
      <c r="R230" s="58">
        <f>IF(Database!BN230="","",IFERROR(INDEX(BDH("HSAHP Index","PX_LAST",Database!$H230,Database!$H230),MATCH(Database!$H230,INDEX(BDH("HSAHP Index","PX_LAST",Database!$H230,Database!$H230),0,1),0),2),"run on terminal"))</f>
        <v/>
      </c>
      <c r="S230" s="58">
        <f>IFERROR(BDP(TEXT(VALUE(Database!$A230),"0")&amp;" HK Equity","PX_TO_SALES_RATIO"),"")</f>
        <v/>
      </c>
      <c r="T230" s="53">
        <f>IF(Database!BN230="","",IFERROR(BDP(LEFT(Database!BN230,FIND(".",Database!BN230)-1)&amp;" CH Equity","CUR_MKT_CAP")*BDP("CNYHKD Curncy","PX_LAST"),"run on terminal"))</f>
        <v/>
      </c>
    </row>
    <row r="231" ht="23" customHeight="1">
      <c r="A231" s="51">
        <f>Database!A231&amp;"  "&amp;Database!B231</f>
        <v/>
      </c>
      <c r="B231" s="43">
        <f>IFERROR(INDEX(BDS(TEXT(VALUE(Database!$A231),"0")&amp;" HK Equity","EQUITY_OFFERINGS","array=t","endcol=1"),MATCH("IPO",BDS(TEXT(VALUE(Database!$A231),"0")&amp;" HK Equity","EQUITY_OFFERINGS","array=t","startcol=2","endcol=2"),0)),"")</f>
        <v/>
      </c>
      <c r="C231" s="260">
        <f>IF($B231="","",IFERROR(BDP($B231&amp;" Action","CP036"),""))</f>
        <v/>
      </c>
      <c r="D231" s="261">
        <f>Database!S231</f>
        <v/>
      </c>
      <c r="E231" s="260">
        <f>IF($B231="","",IFERROR(BDP($B231&amp;" Action","CP037"),""))</f>
        <v/>
      </c>
      <c r="F231" s="261">
        <f>Database!T231</f>
        <v/>
      </c>
      <c r="G231" s="260">
        <f>IF($B231="","",IFERROR(BDP($B231&amp;" Action","GREENSHOE_FACILITY"),""))</f>
        <v/>
      </c>
      <c r="H231" s="260">
        <f>IF($B231="","",IFERROR(BDP($B231&amp;" Action","OFFERING_GREENSHOE_SHARES_EX"),""))</f>
        <v/>
      </c>
      <c r="I231" s="51">
        <f>Database!AE231</f>
        <v/>
      </c>
      <c r="J231" s="58">
        <f>IFERROR(BDP(TEXT(VALUE(Database!$A231),"0")&amp;" HK Equity","PE_RATIO"),"")</f>
        <v/>
      </c>
      <c r="K231" s="43">
        <f>IFERROR(BDP(TEXT(VALUE(Database!$A231),"0")&amp;" HK Equity","A/H_SHARE_CONVERSION"),"")</f>
        <v/>
      </c>
      <c r="L231" s="51">
        <f>IF(Database!BN231="","(none found)",Database!BN231)</f>
        <v/>
      </c>
      <c r="M231" s="53">
        <f>IFERROR(INDEX(BDH(TEXT(VALUE(Database!$A231),"0")&amp;" HK Equity","CUR_MKT_CAP",Database!$H231,Database!$H231),MATCH(Database!$H231,INDEX(BDH(TEXT(VALUE(Database!$A231),"0")&amp;" HK Equity","CUR_MKT_CAP",Database!$H231,Database!$H231),0,1),0),2),"run on terminal")</f>
        <v/>
      </c>
      <c r="N231" s="213">
        <f>Database!Q231</f>
        <v/>
      </c>
      <c r="O231" s="58">
        <f>IFERROR(INDEX(BDH(TEXT(VALUE(Database!$A231),"0")&amp;" HK Equity","PE_RATIO",Database!$H231,Database!$H231),MATCH(Database!$H231,INDEX(BDH(TEXT(VALUE(Database!$A231),"0")&amp;" HK Equity","PE_RATIO",Database!$H231,Database!$H231),0,1),0),2),"run on terminal")</f>
        <v/>
      </c>
      <c r="P231" s="251">
        <f>IF(Database!BH231="","(n/m or not derivable)",Database!BH231)</f>
        <v/>
      </c>
      <c r="Q231" s="58">
        <f>IF(Database!BN231="","",IFERROR(INDEX(BDH(LEFT(Database!BN231,FIND(".",Database!BN231)-1)&amp;" CH Equity","PE_RATIO",Database!$H231,Database!$H231),MATCH(Database!$H231,INDEX(BDH(LEFT(Database!BN231,FIND(".",Database!BN231)-1)&amp;" CH Equity","PE_RATIO",Database!$H231,Database!$H231),0,1),0),2),"run on terminal"))</f>
        <v/>
      </c>
      <c r="R231" s="58">
        <f>IF(Database!BN231="","",IFERROR(INDEX(BDH("HSAHP Index","PX_LAST",Database!$H231,Database!$H231),MATCH(Database!$H231,INDEX(BDH("HSAHP Index","PX_LAST",Database!$H231,Database!$H231),0,1),0),2),"run on terminal"))</f>
        <v/>
      </c>
      <c r="S231" s="58">
        <f>IFERROR(BDP(TEXT(VALUE(Database!$A231),"0")&amp;" HK Equity","PX_TO_SALES_RATIO"),"")</f>
        <v/>
      </c>
      <c r="T231" s="53">
        <f>IF(Database!BN231="","",IFERROR(BDP(LEFT(Database!BN231,FIND(".",Database!BN231)-1)&amp;" CH Equity","CUR_MKT_CAP")*BDP("CNYHKD Curncy","PX_LAST"),"run on terminal"))</f>
        <v/>
      </c>
    </row>
    <row r="232" ht="23" customHeight="1">
      <c r="A232" s="51">
        <f>Database!A232&amp;"  "&amp;Database!B232</f>
        <v/>
      </c>
      <c r="B232" s="43">
        <f>IFERROR(INDEX(BDS(TEXT(VALUE(Database!$A232),"0")&amp;" HK Equity","EQUITY_OFFERINGS","array=t","endcol=1"),MATCH("IPO",BDS(TEXT(VALUE(Database!$A232),"0")&amp;" HK Equity","EQUITY_OFFERINGS","array=t","startcol=2","endcol=2"),0)),"")</f>
        <v/>
      </c>
      <c r="C232" s="260">
        <f>IF($B232="","",IFERROR(BDP($B232&amp;" Action","CP036"),""))</f>
        <v/>
      </c>
      <c r="D232" s="261">
        <f>Database!S232</f>
        <v/>
      </c>
      <c r="E232" s="260">
        <f>IF($B232="","",IFERROR(BDP($B232&amp;" Action","CP037"),""))</f>
        <v/>
      </c>
      <c r="F232" s="261">
        <f>Database!T232</f>
        <v/>
      </c>
      <c r="G232" s="260">
        <f>IF($B232="","",IFERROR(BDP($B232&amp;" Action","GREENSHOE_FACILITY"),""))</f>
        <v/>
      </c>
      <c r="H232" s="260">
        <f>IF($B232="","",IFERROR(BDP($B232&amp;" Action","OFFERING_GREENSHOE_SHARES_EX"),""))</f>
        <v/>
      </c>
      <c r="I232" s="51">
        <f>Database!AE232</f>
        <v/>
      </c>
      <c r="J232" s="58">
        <f>IFERROR(BDP(TEXT(VALUE(Database!$A232),"0")&amp;" HK Equity","PE_RATIO"),"")</f>
        <v/>
      </c>
      <c r="K232" s="43">
        <f>IFERROR(BDP(TEXT(VALUE(Database!$A232),"0")&amp;" HK Equity","A/H_SHARE_CONVERSION"),"")</f>
        <v/>
      </c>
      <c r="L232" s="51">
        <f>IF(Database!BN232="","(none found)",Database!BN232)</f>
        <v/>
      </c>
      <c r="M232" s="53">
        <f>IFERROR(INDEX(BDH(TEXT(VALUE(Database!$A232),"0")&amp;" HK Equity","CUR_MKT_CAP",Database!$H232,Database!$H232),MATCH(Database!$H232,INDEX(BDH(TEXT(VALUE(Database!$A232),"0")&amp;" HK Equity","CUR_MKT_CAP",Database!$H232,Database!$H232),0,1),0),2),"run on terminal")</f>
        <v/>
      </c>
      <c r="N232" s="213">
        <f>Database!Q232</f>
        <v/>
      </c>
      <c r="O232" s="58">
        <f>IFERROR(INDEX(BDH(TEXT(VALUE(Database!$A232),"0")&amp;" HK Equity","PE_RATIO",Database!$H232,Database!$H232),MATCH(Database!$H232,INDEX(BDH(TEXT(VALUE(Database!$A232),"0")&amp;" HK Equity","PE_RATIO",Database!$H232,Database!$H232),0,1),0),2),"run on terminal")</f>
        <v/>
      </c>
      <c r="P232" s="251">
        <f>IF(Database!BH232="","(n/m or not derivable)",Database!BH232)</f>
        <v/>
      </c>
      <c r="Q232" s="58">
        <f>IF(Database!BN232="","",IFERROR(INDEX(BDH(LEFT(Database!BN232,FIND(".",Database!BN232)-1)&amp;" CH Equity","PE_RATIO",Database!$H232,Database!$H232),MATCH(Database!$H232,INDEX(BDH(LEFT(Database!BN232,FIND(".",Database!BN232)-1)&amp;" CH Equity","PE_RATIO",Database!$H232,Database!$H232),0,1),0),2),"run on terminal"))</f>
        <v/>
      </c>
      <c r="R232" s="58">
        <f>IF(Database!BN232="","",IFERROR(INDEX(BDH("HSAHP Index","PX_LAST",Database!$H232,Database!$H232),MATCH(Database!$H232,INDEX(BDH("HSAHP Index","PX_LAST",Database!$H232,Database!$H232),0,1),0),2),"run on terminal"))</f>
        <v/>
      </c>
      <c r="S232" s="58">
        <f>IFERROR(BDP(TEXT(VALUE(Database!$A232),"0")&amp;" HK Equity","PX_TO_SALES_RATIO"),"")</f>
        <v/>
      </c>
      <c r="T232" s="53">
        <f>IF(Database!BN232="","",IFERROR(BDP(LEFT(Database!BN232,FIND(".",Database!BN232)-1)&amp;" CH Equity","CUR_MKT_CAP")*BDP("CNYHKD Curncy","PX_LAST"),"run on terminal"))</f>
        <v/>
      </c>
    </row>
    <row r="233" ht="23" customHeight="1">
      <c r="A233" s="51">
        <f>Database!A233&amp;"  "&amp;Database!B233</f>
        <v/>
      </c>
      <c r="B233" s="43">
        <f>IFERROR(INDEX(BDS(TEXT(VALUE(Database!$A233),"0")&amp;" HK Equity","EQUITY_OFFERINGS","array=t","endcol=1"),MATCH("IPO",BDS(TEXT(VALUE(Database!$A233),"0")&amp;" HK Equity","EQUITY_OFFERINGS","array=t","startcol=2","endcol=2"),0)),"")</f>
        <v/>
      </c>
      <c r="C233" s="260">
        <f>IF($B233="","",IFERROR(BDP($B233&amp;" Action","CP036"),""))</f>
        <v/>
      </c>
      <c r="D233" s="261">
        <f>Database!S233</f>
        <v/>
      </c>
      <c r="E233" s="260">
        <f>IF($B233="","",IFERROR(BDP($B233&amp;" Action","CP037"),""))</f>
        <v/>
      </c>
      <c r="F233" s="261">
        <f>Database!T233</f>
        <v/>
      </c>
      <c r="G233" s="260">
        <f>IF($B233="","",IFERROR(BDP($B233&amp;" Action","GREENSHOE_FACILITY"),""))</f>
        <v/>
      </c>
      <c r="H233" s="260">
        <f>IF($B233="","",IFERROR(BDP($B233&amp;" Action","OFFERING_GREENSHOE_SHARES_EX"),""))</f>
        <v/>
      </c>
      <c r="I233" s="51">
        <f>Database!AE233</f>
        <v/>
      </c>
      <c r="J233" s="58">
        <f>IFERROR(BDP(TEXT(VALUE(Database!$A233),"0")&amp;" HK Equity","PE_RATIO"),"")</f>
        <v/>
      </c>
      <c r="K233" s="43">
        <f>IFERROR(BDP(TEXT(VALUE(Database!$A233),"0")&amp;" HK Equity","A/H_SHARE_CONVERSION"),"")</f>
        <v/>
      </c>
      <c r="L233" s="51">
        <f>IF(Database!BN233="","(none found)",Database!BN233)</f>
        <v/>
      </c>
      <c r="M233" s="53">
        <f>IFERROR(INDEX(BDH(TEXT(VALUE(Database!$A233),"0")&amp;" HK Equity","CUR_MKT_CAP",Database!$H233,Database!$H233),MATCH(Database!$H233,INDEX(BDH(TEXT(VALUE(Database!$A233),"0")&amp;" HK Equity","CUR_MKT_CAP",Database!$H233,Database!$H233),0,1),0),2),"run on terminal")</f>
        <v/>
      </c>
      <c r="N233" s="213">
        <f>Database!Q233</f>
        <v/>
      </c>
      <c r="O233" s="58">
        <f>IFERROR(INDEX(BDH(TEXT(VALUE(Database!$A233),"0")&amp;" HK Equity","PE_RATIO",Database!$H233,Database!$H233),MATCH(Database!$H233,INDEX(BDH(TEXT(VALUE(Database!$A233),"0")&amp;" HK Equity","PE_RATIO",Database!$H233,Database!$H233),0,1),0),2),"run on terminal")</f>
        <v/>
      </c>
      <c r="P233" s="251">
        <f>IF(Database!BH233="","(n/m or not derivable)",Database!BH233)</f>
        <v/>
      </c>
      <c r="Q233" s="58">
        <f>IF(Database!BN233="","",IFERROR(INDEX(BDH(LEFT(Database!BN233,FIND(".",Database!BN233)-1)&amp;" CH Equity","PE_RATIO",Database!$H233,Database!$H233),MATCH(Database!$H233,INDEX(BDH(LEFT(Database!BN233,FIND(".",Database!BN233)-1)&amp;" CH Equity","PE_RATIO",Database!$H233,Database!$H233),0,1),0),2),"run on terminal"))</f>
        <v/>
      </c>
      <c r="R233" s="58">
        <f>IF(Database!BN233="","",IFERROR(INDEX(BDH("HSAHP Index","PX_LAST",Database!$H233,Database!$H233),MATCH(Database!$H233,INDEX(BDH("HSAHP Index","PX_LAST",Database!$H233,Database!$H233),0,1),0),2),"run on terminal"))</f>
        <v/>
      </c>
      <c r="S233" s="58">
        <f>IFERROR(BDP(TEXT(VALUE(Database!$A233),"0")&amp;" HK Equity","PX_TO_SALES_RATIO"),"")</f>
        <v/>
      </c>
      <c r="T233" s="53">
        <f>IF(Database!BN233="","",IFERROR(BDP(LEFT(Database!BN233,FIND(".",Database!BN233)-1)&amp;" CH Equity","CUR_MKT_CAP")*BDP("CNYHKD Curncy","PX_LAST"),"run on terminal"))</f>
        <v/>
      </c>
    </row>
    <row r="234" ht="23" customHeight="1">
      <c r="A234" s="51">
        <f>Database!A234&amp;"  "&amp;Database!B234</f>
        <v/>
      </c>
      <c r="B234" s="43">
        <f>IFERROR(INDEX(BDS(TEXT(VALUE(Database!$A234),"0")&amp;" HK Equity","EQUITY_OFFERINGS","array=t","endcol=1"),MATCH("IPO",BDS(TEXT(VALUE(Database!$A234),"0")&amp;" HK Equity","EQUITY_OFFERINGS","array=t","startcol=2","endcol=2"),0)),"")</f>
        <v/>
      </c>
      <c r="C234" s="260">
        <f>IF($B234="","",IFERROR(BDP($B234&amp;" Action","CP036"),""))</f>
        <v/>
      </c>
      <c r="D234" s="261">
        <f>Database!S234</f>
        <v/>
      </c>
      <c r="E234" s="260">
        <f>IF($B234="","",IFERROR(BDP($B234&amp;" Action","CP037"),""))</f>
        <v/>
      </c>
      <c r="F234" s="261">
        <f>Database!T234</f>
        <v/>
      </c>
      <c r="G234" s="260">
        <f>IF($B234="","",IFERROR(BDP($B234&amp;" Action","GREENSHOE_FACILITY"),""))</f>
        <v/>
      </c>
      <c r="H234" s="260">
        <f>IF($B234="","",IFERROR(BDP($B234&amp;" Action","OFFERING_GREENSHOE_SHARES_EX"),""))</f>
        <v/>
      </c>
      <c r="I234" s="51">
        <f>Database!AE234</f>
        <v/>
      </c>
      <c r="J234" s="58">
        <f>IFERROR(BDP(TEXT(VALUE(Database!$A234),"0")&amp;" HK Equity","PE_RATIO"),"")</f>
        <v/>
      </c>
      <c r="K234" s="43">
        <f>IFERROR(BDP(TEXT(VALUE(Database!$A234),"0")&amp;" HK Equity","A/H_SHARE_CONVERSION"),"")</f>
        <v/>
      </c>
      <c r="L234" s="51">
        <f>IF(Database!BN234="","(none found)",Database!BN234)</f>
        <v/>
      </c>
      <c r="M234" s="53">
        <f>IFERROR(INDEX(BDH(TEXT(VALUE(Database!$A234),"0")&amp;" HK Equity","CUR_MKT_CAP",Database!$H234,Database!$H234),MATCH(Database!$H234,INDEX(BDH(TEXT(VALUE(Database!$A234),"0")&amp;" HK Equity","CUR_MKT_CAP",Database!$H234,Database!$H234),0,1),0),2),"run on terminal")</f>
        <v/>
      </c>
      <c r="N234" s="213">
        <f>Database!Q234</f>
        <v/>
      </c>
      <c r="O234" s="58">
        <f>IFERROR(INDEX(BDH(TEXT(VALUE(Database!$A234),"0")&amp;" HK Equity","PE_RATIO",Database!$H234,Database!$H234),MATCH(Database!$H234,INDEX(BDH(TEXT(VALUE(Database!$A234),"0")&amp;" HK Equity","PE_RATIO",Database!$H234,Database!$H234),0,1),0),2),"run on terminal")</f>
        <v/>
      </c>
      <c r="P234" s="251">
        <f>IF(Database!BH234="","(n/m or not derivable)",Database!BH234)</f>
        <v/>
      </c>
      <c r="Q234" s="58">
        <f>IF(Database!BN234="","",IFERROR(INDEX(BDH(LEFT(Database!BN234,FIND(".",Database!BN234)-1)&amp;" CH Equity","PE_RATIO",Database!$H234,Database!$H234),MATCH(Database!$H234,INDEX(BDH(LEFT(Database!BN234,FIND(".",Database!BN234)-1)&amp;" CH Equity","PE_RATIO",Database!$H234,Database!$H234),0,1),0),2),"run on terminal"))</f>
        <v/>
      </c>
      <c r="R234" s="58">
        <f>IF(Database!BN234="","",IFERROR(INDEX(BDH("HSAHP Index","PX_LAST",Database!$H234,Database!$H234),MATCH(Database!$H234,INDEX(BDH("HSAHP Index","PX_LAST",Database!$H234,Database!$H234),0,1),0),2),"run on terminal"))</f>
        <v/>
      </c>
      <c r="S234" s="58">
        <f>IFERROR(BDP(TEXT(VALUE(Database!$A234),"0")&amp;" HK Equity","PX_TO_SALES_RATIO"),"")</f>
        <v/>
      </c>
      <c r="T234" s="53">
        <f>IF(Database!BN234="","",IFERROR(BDP(LEFT(Database!BN234,FIND(".",Database!BN234)-1)&amp;" CH Equity","CUR_MKT_CAP")*BDP("CNYHKD Curncy","PX_LAST"),"run on terminal"))</f>
        <v/>
      </c>
    </row>
    <row r="235" ht="23" customHeight="1">
      <c r="A235" s="51">
        <f>Database!A235&amp;"  "&amp;Database!B235</f>
        <v/>
      </c>
      <c r="B235" s="43">
        <f>IFERROR(INDEX(BDS(TEXT(VALUE(Database!$A235),"0")&amp;" HK Equity","EQUITY_OFFERINGS","array=t","endcol=1"),MATCH("IPO",BDS(TEXT(VALUE(Database!$A235),"0")&amp;" HK Equity","EQUITY_OFFERINGS","array=t","startcol=2","endcol=2"),0)),"")</f>
        <v/>
      </c>
      <c r="C235" s="260">
        <f>IF($B235="","",IFERROR(BDP($B235&amp;" Action","CP036"),""))</f>
        <v/>
      </c>
      <c r="D235" s="261">
        <f>Database!S235</f>
        <v/>
      </c>
      <c r="E235" s="260">
        <f>IF($B235="","",IFERROR(BDP($B235&amp;" Action","CP037"),""))</f>
        <v/>
      </c>
      <c r="F235" s="261">
        <f>Database!T235</f>
        <v/>
      </c>
      <c r="G235" s="260">
        <f>IF($B235="","",IFERROR(BDP($B235&amp;" Action","GREENSHOE_FACILITY"),""))</f>
        <v/>
      </c>
      <c r="H235" s="260">
        <f>IF($B235="","",IFERROR(BDP($B235&amp;" Action","OFFERING_GREENSHOE_SHARES_EX"),""))</f>
        <v/>
      </c>
      <c r="I235" s="51">
        <f>Database!AE235</f>
        <v/>
      </c>
      <c r="J235" s="58">
        <f>IFERROR(BDP(TEXT(VALUE(Database!$A235),"0")&amp;" HK Equity","PE_RATIO"),"")</f>
        <v/>
      </c>
      <c r="K235" s="43">
        <f>IFERROR(BDP(TEXT(VALUE(Database!$A235),"0")&amp;" HK Equity","A/H_SHARE_CONVERSION"),"")</f>
        <v/>
      </c>
      <c r="L235" s="51">
        <f>IF(Database!BN235="","(none found)",Database!BN235)</f>
        <v/>
      </c>
      <c r="M235" s="53">
        <f>IFERROR(INDEX(BDH(TEXT(VALUE(Database!$A235),"0")&amp;" HK Equity","CUR_MKT_CAP",Database!$H235,Database!$H235),MATCH(Database!$H235,INDEX(BDH(TEXT(VALUE(Database!$A235),"0")&amp;" HK Equity","CUR_MKT_CAP",Database!$H235,Database!$H235),0,1),0),2),"run on terminal")</f>
        <v/>
      </c>
      <c r="N235" s="213">
        <f>Database!Q235</f>
        <v/>
      </c>
      <c r="O235" s="58">
        <f>IFERROR(INDEX(BDH(TEXT(VALUE(Database!$A235),"0")&amp;" HK Equity","PE_RATIO",Database!$H235,Database!$H235),MATCH(Database!$H235,INDEX(BDH(TEXT(VALUE(Database!$A235),"0")&amp;" HK Equity","PE_RATIO",Database!$H235,Database!$H235),0,1),0),2),"run on terminal")</f>
        <v/>
      </c>
      <c r="P235" s="251">
        <f>IF(Database!BH235="","(n/m or not derivable)",Database!BH235)</f>
        <v/>
      </c>
      <c r="Q235" s="58">
        <f>IF(Database!BN235="","",IFERROR(INDEX(BDH(LEFT(Database!BN235,FIND(".",Database!BN235)-1)&amp;" CH Equity","PE_RATIO",Database!$H235,Database!$H235),MATCH(Database!$H235,INDEX(BDH(LEFT(Database!BN235,FIND(".",Database!BN235)-1)&amp;" CH Equity","PE_RATIO",Database!$H235,Database!$H235),0,1),0),2),"run on terminal"))</f>
        <v/>
      </c>
      <c r="R235" s="58">
        <f>IF(Database!BN235="","",IFERROR(INDEX(BDH("HSAHP Index","PX_LAST",Database!$H235,Database!$H235),MATCH(Database!$H235,INDEX(BDH("HSAHP Index","PX_LAST",Database!$H235,Database!$H235),0,1),0),2),"run on terminal"))</f>
        <v/>
      </c>
      <c r="S235" s="58">
        <f>IFERROR(BDP(TEXT(VALUE(Database!$A235),"0")&amp;" HK Equity","PX_TO_SALES_RATIO"),"")</f>
        <v/>
      </c>
      <c r="T235" s="53">
        <f>IF(Database!BN235="","",IFERROR(BDP(LEFT(Database!BN235,FIND(".",Database!BN235)-1)&amp;" CH Equity","CUR_MKT_CAP")*BDP("CNYHKD Curncy","PX_LAST"),"run on terminal"))</f>
        <v/>
      </c>
    </row>
    <row r="236" ht="23" customHeight="1">
      <c r="A236" s="51">
        <f>Database!A236&amp;"  "&amp;Database!B236</f>
        <v/>
      </c>
      <c r="B236" s="43">
        <f>IFERROR(INDEX(BDS(TEXT(VALUE(Database!$A236),"0")&amp;" HK Equity","EQUITY_OFFERINGS","array=t","endcol=1"),MATCH("IPO",BDS(TEXT(VALUE(Database!$A236),"0")&amp;" HK Equity","EQUITY_OFFERINGS","array=t","startcol=2","endcol=2"),0)),"")</f>
        <v/>
      </c>
      <c r="C236" s="260">
        <f>IF($B236="","",IFERROR(BDP($B236&amp;" Action","CP036"),""))</f>
        <v/>
      </c>
      <c r="D236" s="261">
        <f>Database!S236</f>
        <v/>
      </c>
      <c r="E236" s="260">
        <f>IF($B236="","",IFERROR(BDP($B236&amp;" Action","CP037"),""))</f>
        <v/>
      </c>
      <c r="F236" s="261">
        <f>Database!T236</f>
        <v/>
      </c>
      <c r="G236" s="260">
        <f>IF($B236="","",IFERROR(BDP($B236&amp;" Action","GREENSHOE_FACILITY"),""))</f>
        <v/>
      </c>
      <c r="H236" s="260">
        <f>IF($B236="","",IFERROR(BDP($B236&amp;" Action","OFFERING_GREENSHOE_SHARES_EX"),""))</f>
        <v/>
      </c>
      <c r="I236" s="51">
        <f>Database!AE236</f>
        <v/>
      </c>
      <c r="J236" s="58">
        <f>IFERROR(BDP(TEXT(VALUE(Database!$A236),"0")&amp;" HK Equity","PE_RATIO"),"")</f>
        <v/>
      </c>
      <c r="K236" s="43">
        <f>IFERROR(BDP(TEXT(VALUE(Database!$A236),"0")&amp;" HK Equity","A/H_SHARE_CONVERSION"),"")</f>
        <v/>
      </c>
      <c r="L236" s="51">
        <f>IF(Database!BN236="","(none found)",Database!BN236)</f>
        <v/>
      </c>
      <c r="M236" s="53">
        <f>IFERROR(INDEX(BDH(TEXT(VALUE(Database!$A236),"0")&amp;" HK Equity","CUR_MKT_CAP",Database!$H236,Database!$H236),MATCH(Database!$H236,INDEX(BDH(TEXT(VALUE(Database!$A236),"0")&amp;" HK Equity","CUR_MKT_CAP",Database!$H236,Database!$H236),0,1),0),2),"run on terminal")</f>
        <v/>
      </c>
      <c r="N236" s="213">
        <f>Database!Q236</f>
        <v/>
      </c>
      <c r="O236" s="58">
        <f>IFERROR(INDEX(BDH(TEXT(VALUE(Database!$A236),"0")&amp;" HK Equity","PE_RATIO",Database!$H236,Database!$H236),MATCH(Database!$H236,INDEX(BDH(TEXT(VALUE(Database!$A236),"0")&amp;" HK Equity","PE_RATIO",Database!$H236,Database!$H236),0,1),0),2),"run on terminal")</f>
        <v/>
      </c>
      <c r="P236" s="251">
        <f>IF(Database!BH236="","(n/m or not derivable)",Database!BH236)</f>
        <v/>
      </c>
      <c r="Q236" s="58">
        <f>IF(Database!BN236="","",IFERROR(INDEX(BDH(LEFT(Database!BN236,FIND(".",Database!BN236)-1)&amp;" CH Equity","PE_RATIO",Database!$H236,Database!$H236),MATCH(Database!$H236,INDEX(BDH(LEFT(Database!BN236,FIND(".",Database!BN236)-1)&amp;" CH Equity","PE_RATIO",Database!$H236,Database!$H236),0,1),0),2),"run on terminal"))</f>
        <v/>
      </c>
      <c r="R236" s="58">
        <f>IF(Database!BN236="","",IFERROR(INDEX(BDH("HSAHP Index","PX_LAST",Database!$H236,Database!$H236),MATCH(Database!$H236,INDEX(BDH("HSAHP Index","PX_LAST",Database!$H236,Database!$H236),0,1),0),2),"run on terminal"))</f>
        <v/>
      </c>
      <c r="S236" s="58">
        <f>IFERROR(BDP(TEXT(VALUE(Database!$A236),"0")&amp;" HK Equity","PX_TO_SALES_RATIO"),"")</f>
        <v/>
      </c>
      <c r="T236" s="53">
        <f>IF(Database!BN236="","",IFERROR(BDP(LEFT(Database!BN236,FIND(".",Database!BN236)-1)&amp;" CH Equity","CUR_MKT_CAP")*BDP("CNYHKD Curncy","PX_LAST"),"run on terminal"))</f>
        <v/>
      </c>
    </row>
    <row r="237" ht="23" customHeight="1">
      <c r="A237" s="51">
        <f>Database!A237&amp;"  "&amp;Database!B237</f>
        <v/>
      </c>
      <c r="B237" s="43">
        <f>IFERROR(INDEX(BDS(TEXT(VALUE(Database!$A237),"0")&amp;" HK Equity","EQUITY_OFFERINGS","array=t","endcol=1"),MATCH("IPO",BDS(TEXT(VALUE(Database!$A237),"0")&amp;" HK Equity","EQUITY_OFFERINGS","array=t","startcol=2","endcol=2"),0)),"")</f>
        <v/>
      </c>
      <c r="C237" s="260">
        <f>IF($B237="","",IFERROR(BDP($B237&amp;" Action","CP036"),""))</f>
        <v/>
      </c>
      <c r="D237" s="261">
        <f>Database!S237</f>
        <v/>
      </c>
      <c r="E237" s="260">
        <f>IF($B237="","",IFERROR(BDP($B237&amp;" Action","CP037"),""))</f>
        <v/>
      </c>
      <c r="F237" s="261">
        <f>Database!T237</f>
        <v/>
      </c>
      <c r="G237" s="260">
        <f>IF($B237="","",IFERROR(BDP($B237&amp;" Action","GREENSHOE_FACILITY"),""))</f>
        <v/>
      </c>
      <c r="H237" s="260">
        <f>IF($B237="","",IFERROR(BDP($B237&amp;" Action","OFFERING_GREENSHOE_SHARES_EX"),""))</f>
        <v/>
      </c>
      <c r="I237" s="51">
        <f>Database!AE237</f>
        <v/>
      </c>
      <c r="J237" s="58">
        <f>IFERROR(BDP(TEXT(VALUE(Database!$A237),"0")&amp;" HK Equity","PE_RATIO"),"")</f>
        <v/>
      </c>
      <c r="K237" s="43">
        <f>IFERROR(BDP(TEXT(VALUE(Database!$A237),"0")&amp;" HK Equity","A/H_SHARE_CONVERSION"),"")</f>
        <v/>
      </c>
      <c r="L237" s="51">
        <f>IF(Database!BN237="","(none found)",Database!BN237)</f>
        <v/>
      </c>
      <c r="M237" s="53">
        <f>IFERROR(INDEX(BDH(TEXT(VALUE(Database!$A237),"0")&amp;" HK Equity","CUR_MKT_CAP",Database!$H237,Database!$H237),MATCH(Database!$H237,INDEX(BDH(TEXT(VALUE(Database!$A237),"0")&amp;" HK Equity","CUR_MKT_CAP",Database!$H237,Database!$H237),0,1),0),2),"run on terminal")</f>
        <v/>
      </c>
      <c r="N237" s="213">
        <f>Database!Q237</f>
        <v/>
      </c>
      <c r="O237" s="58">
        <f>IFERROR(INDEX(BDH(TEXT(VALUE(Database!$A237),"0")&amp;" HK Equity","PE_RATIO",Database!$H237,Database!$H237),MATCH(Database!$H237,INDEX(BDH(TEXT(VALUE(Database!$A237),"0")&amp;" HK Equity","PE_RATIO",Database!$H237,Database!$H237),0,1),0),2),"run on terminal")</f>
        <v/>
      </c>
      <c r="P237" s="251">
        <f>IF(Database!BH237="","(n/m or not derivable)",Database!BH237)</f>
        <v/>
      </c>
      <c r="Q237" s="58">
        <f>IF(Database!BN237="","",IFERROR(INDEX(BDH(LEFT(Database!BN237,FIND(".",Database!BN237)-1)&amp;" CH Equity","PE_RATIO",Database!$H237,Database!$H237),MATCH(Database!$H237,INDEX(BDH(LEFT(Database!BN237,FIND(".",Database!BN237)-1)&amp;" CH Equity","PE_RATIO",Database!$H237,Database!$H237),0,1),0),2),"run on terminal"))</f>
        <v/>
      </c>
      <c r="R237" s="58">
        <f>IF(Database!BN237="","",IFERROR(INDEX(BDH("HSAHP Index","PX_LAST",Database!$H237,Database!$H237),MATCH(Database!$H237,INDEX(BDH("HSAHP Index","PX_LAST",Database!$H237,Database!$H237),0,1),0),2),"run on terminal"))</f>
        <v/>
      </c>
      <c r="S237" s="58">
        <f>IFERROR(BDP(TEXT(VALUE(Database!$A237),"0")&amp;" HK Equity","PX_TO_SALES_RATIO"),"")</f>
        <v/>
      </c>
      <c r="T237" s="53">
        <f>IF(Database!BN237="","",IFERROR(BDP(LEFT(Database!BN237,FIND(".",Database!BN237)-1)&amp;" CH Equity","CUR_MKT_CAP")*BDP("CNYHKD Curncy","PX_LAST"),"run on terminal"))</f>
        <v/>
      </c>
    </row>
    <row r="238" ht="23" customHeight="1">
      <c r="A238" s="51">
        <f>Database!A238&amp;"  "&amp;Database!B238</f>
        <v/>
      </c>
      <c r="B238" s="43">
        <f>IFERROR(INDEX(BDS(TEXT(VALUE(Database!$A238),"0")&amp;" HK Equity","EQUITY_OFFERINGS","array=t","endcol=1"),MATCH("IPO",BDS(TEXT(VALUE(Database!$A238),"0")&amp;" HK Equity","EQUITY_OFFERINGS","array=t","startcol=2","endcol=2"),0)),"")</f>
        <v/>
      </c>
      <c r="C238" s="260">
        <f>IF($B238="","",IFERROR(BDP($B238&amp;" Action","CP036"),""))</f>
        <v/>
      </c>
      <c r="D238" s="261">
        <f>Database!S238</f>
        <v/>
      </c>
      <c r="E238" s="260">
        <f>IF($B238="","",IFERROR(BDP($B238&amp;" Action","CP037"),""))</f>
        <v/>
      </c>
      <c r="F238" s="261">
        <f>Database!T238</f>
        <v/>
      </c>
      <c r="G238" s="260">
        <f>IF($B238="","",IFERROR(BDP($B238&amp;" Action","GREENSHOE_FACILITY"),""))</f>
        <v/>
      </c>
      <c r="H238" s="260">
        <f>IF($B238="","",IFERROR(BDP($B238&amp;" Action","OFFERING_GREENSHOE_SHARES_EX"),""))</f>
        <v/>
      </c>
      <c r="I238" s="51">
        <f>Database!AE238</f>
        <v/>
      </c>
      <c r="J238" s="58">
        <f>IFERROR(BDP(TEXT(VALUE(Database!$A238),"0")&amp;" HK Equity","PE_RATIO"),"")</f>
        <v/>
      </c>
      <c r="K238" s="43">
        <f>IFERROR(BDP(TEXT(VALUE(Database!$A238),"0")&amp;" HK Equity","A/H_SHARE_CONVERSION"),"")</f>
        <v/>
      </c>
      <c r="L238" s="51">
        <f>IF(Database!BN238="","(none found)",Database!BN238)</f>
        <v/>
      </c>
      <c r="M238" s="53">
        <f>IFERROR(INDEX(BDH(TEXT(VALUE(Database!$A238),"0")&amp;" HK Equity","CUR_MKT_CAP",Database!$H238,Database!$H238),MATCH(Database!$H238,INDEX(BDH(TEXT(VALUE(Database!$A238),"0")&amp;" HK Equity","CUR_MKT_CAP",Database!$H238,Database!$H238),0,1),0),2),"run on terminal")</f>
        <v/>
      </c>
      <c r="N238" s="213">
        <f>Database!Q238</f>
        <v/>
      </c>
      <c r="O238" s="58">
        <f>IFERROR(INDEX(BDH(TEXT(VALUE(Database!$A238),"0")&amp;" HK Equity","PE_RATIO",Database!$H238,Database!$H238),MATCH(Database!$H238,INDEX(BDH(TEXT(VALUE(Database!$A238),"0")&amp;" HK Equity","PE_RATIO",Database!$H238,Database!$H238),0,1),0),2),"run on terminal")</f>
        <v/>
      </c>
      <c r="P238" s="251">
        <f>IF(Database!BH238="","(n/m or not derivable)",Database!BH238)</f>
        <v/>
      </c>
      <c r="Q238" s="58">
        <f>IF(Database!BN238="","",IFERROR(INDEX(BDH(LEFT(Database!BN238,FIND(".",Database!BN238)-1)&amp;" CH Equity","PE_RATIO",Database!$H238,Database!$H238),MATCH(Database!$H238,INDEX(BDH(LEFT(Database!BN238,FIND(".",Database!BN238)-1)&amp;" CH Equity","PE_RATIO",Database!$H238,Database!$H238),0,1),0),2),"run on terminal"))</f>
        <v/>
      </c>
      <c r="R238" s="58">
        <f>IF(Database!BN238="","",IFERROR(INDEX(BDH("HSAHP Index","PX_LAST",Database!$H238,Database!$H238),MATCH(Database!$H238,INDEX(BDH("HSAHP Index","PX_LAST",Database!$H238,Database!$H238),0,1),0),2),"run on terminal"))</f>
        <v/>
      </c>
      <c r="S238" s="58">
        <f>IFERROR(BDP(TEXT(VALUE(Database!$A238),"0")&amp;" HK Equity","PX_TO_SALES_RATIO"),"")</f>
        <v/>
      </c>
      <c r="T238" s="53">
        <f>IF(Database!BN238="","",IFERROR(BDP(LEFT(Database!BN238,FIND(".",Database!BN238)-1)&amp;" CH Equity","CUR_MKT_CAP")*BDP("CNYHKD Curncy","PX_LAST"),"run on terminal"))</f>
        <v/>
      </c>
    </row>
    <row r="239" ht="23" customHeight="1">
      <c r="A239" s="51">
        <f>Database!A239&amp;"  "&amp;Database!B239</f>
        <v/>
      </c>
      <c r="B239" s="43">
        <f>IFERROR(INDEX(BDS(TEXT(VALUE(Database!$A239),"0")&amp;" HK Equity","EQUITY_OFFERINGS","array=t","endcol=1"),MATCH("IPO",BDS(TEXT(VALUE(Database!$A239),"0")&amp;" HK Equity","EQUITY_OFFERINGS","array=t","startcol=2","endcol=2"),0)),"")</f>
        <v/>
      </c>
      <c r="C239" s="260">
        <f>IF($B239="","",IFERROR(BDP($B239&amp;" Action","CP036"),""))</f>
        <v/>
      </c>
      <c r="D239" s="261">
        <f>Database!S239</f>
        <v/>
      </c>
      <c r="E239" s="260">
        <f>IF($B239="","",IFERROR(BDP($B239&amp;" Action","CP037"),""))</f>
        <v/>
      </c>
      <c r="F239" s="261">
        <f>Database!T239</f>
        <v/>
      </c>
      <c r="G239" s="260">
        <f>IF($B239="","",IFERROR(BDP($B239&amp;" Action","GREENSHOE_FACILITY"),""))</f>
        <v/>
      </c>
      <c r="H239" s="260">
        <f>IF($B239="","",IFERROR(BDP($B239&amp;" Action","OFFERING_GREENSHOE_SHARES_EX"),""))</f>
        <v/>
      </c>
      <c r="I239" s="51">
        <f>Database!AE239</f>
        <v/>
      </c>
      <c r="J239" s="58">
        <f>IFERROR(BDP(TEXT(VALUE(Database!$A239),"0")&amp;" HK Equity","PE_RATIO"),"")</f>
        <v/>
      </c>
      <c r="K239" s="43">
        <f>IFERROR(BDP(TEXT(VALUE(Database!$A239),"0")&amp;" HK Equity","A/H_SHARE_CONVERSION"),"")</f>
        <v/>
      </c>
      <c r="L239" s="51">
        <f>IF(Database!BN239="","(none found)",Database!BN239)</f>
        <v/>
      </c>
      <c r="M239" s="53">
        <f>IFERROR(INDEX(BDH(TEXT(VALUE(Database!$A239),"0")&amp;" HK Equity","CUR_MKT_CAP",Database!$H239,Database!$H239),MATCH(Database!$H239,INDEX(BDH(TEXT(VALUE(Database!$A239),"0")&amp;" HK Equity","CUR_MKT_CAP",Database!$H239,Database!$H239),0,1),0),2),"run on terminal")</f>
        <v/>
      </c>
      <c r="N239" s="213">
        <f>Database!Q239</f>
        <v/>
      </c>
      <c r="O239" s="58">
        <f>IFERROR(INDEX(BDH(TEXT(VALUE(Database!$A239),"0")&amp;" HK Equity","PE_RATIO",Database!$H239,Database!$H239),MATCH(Database!$H239,INDEX(BDH(TEXT(VALUE(Database!$A239),"0")&amp;" HK Equity","PE_RATIO",Database!$H239,Database!$H239),0,1),0),2),"run on terminal")</f>
        <v/>
      </c>
      <c r="P239" s="251">
        <f>IF(Database!BH239="","(n/m or not derivable)",Database!BH239)</f>
        <v/>
      </c>
      <c r="Q239" s="58">
        <f>IF(Database!BN239="","",IFERROR(INDEX(BDH(LEFT(Database!BN239,FIND(".",Database!BN239)-1)&amp;" CH Equity","PE_RATIO",Database!$H239,Database!$H239),MATCH(Database!$H239,INDEX(BDH(LEFT(Database!BN239,FIND(".",Database!BN239)-1)&amp;" CH Equity","PE_RATIO",Database!$H239,Database!$H239),0,1),0),2),"run on terminal"))</f>
        <v/>
      </c>
      <c r="R239" s="58">
        <f>IF(Database!BN239="","",IFERROR(INDEX(BDH("HSAHP Index","PX_LAST",Database!$H239,Database!$H239),MATCH(Database!$H239,INDEX(BDH("HSAHP Index","PX_LAST",Database!$H239,Database!$H239),0,1),0),2),"run on terminal"))</f>
        <v/>
      </c>
      <c r="S239" s="58">
        <f>IFERROR(BDP(TEXT(VALUE(Database!$A239),"0")&amp;" HK Equity","PX_TO_SALES_RATIO"),"")</f>
        <v/>
      </c>
      <c r="T239" s="53">
        <f>IF(Database!BN239="","",IFERROR(BDP(LEFT(Database!BN239,FIND(".",Database!BN239)-1)&amp;" CH Equity","CUR_MKT_CAP")*BDP("CNYHKD Curncy","PX_LAST"),"run on terminal"))</f>
        <v/>
      </c>
    </row>
    <row r="240" ht="23" customHeight="1">
      <c r="A240" s="51">
        <f>Database!A240&amp;"  "&amp;Database!B240</f>
        <v/>
      </c>
      <c r="B240" s="43">
        <f>IFERROR(INDEX(BDS(TEXT(VALUE(Database!$A240),"0")&amp;" HK Equity","EQUITY_OFFERINGS","array=t","endcol=1"),MATCH("IPO",BDS(TEXT(VALUE(Database!$A240),"0")&amp;" HK Equity","EQUITY_OFFERINGS","array=t","startcol=2","endcol=2"),0)),"")</f>
        <v/>
      </c>
      <c r="C240" s="260">
        <f>IF($B240="","",IFERROR(BDP($B240&amp;" Action","CP036"),""))</f>
        <v/>
      </c>
      <c r="D240" s="261">
        <f>Database!S240</f>
        <v/>
      </c>
      <c r="E240" s="260">
        <f>IF($B240="","",IFERROR(BDP($B240&amp;" Action","CP037"),""))</f>
        <v/>
      </c>
      <c r="F240" s="261">
        <f>Database!T240</f>
        <v/>
      </c>
      <c r="G240" s="260">
        <f>IF($B240="","",IFERROR(BDP($B240&amp;" Action","GREENSHOE_FACILITY"),""))</f>
        <v/>
      </c>
      <c r="H240" s="260">
        <f>IF($B240="","",IFERROR(BDP($B240&amp;" Action","OFFERING_GREENSHOE_SHARES_EX"),""))</f>
        <v/>
      </c>
      <c r="I240" s="51">
        <f>Database!AE240</f>
        <v/>
      </c>
      <c r="J240" s="58">
        <f>IFERROR(BDP(TEXT(VALUE(Database!$A240),"0")&amp;" HK Equity","PE_RATIO"),"")</f>
        <v/>
      </c>
      <c r="K240" s="43">
        <f>IFERROR(BDP(TEXT(VALUE(Database!$A240),"0")&amp;" HK Equity","A/H_SHARE_CONVERSION"),"")</f>
        <v/>
      </c>
      <c r="L240" s="51">
        <f>IF(Database!BN240="","(none found)",Database!BN240)</f>
        <v/>
      </c>
      <c r="M240" s="53">
        <f>IFERROR(INDEX(BDH(TEXT(VALUE(Database!$A240),"0")&amp;" HK Equity","CUR_MKT_CAP",Database!$H240,Database!$H240),MATCH(Database!$H240,INDEX(BDH(TEXT(VALUE(Database!$A240),"0")&amp;" HK Equity","CUR_MKT_CAP",Database!$H240,Database!$H240),0,1),0),2),"run on terminal")</f>
        <v/>
      </c>
      <c r="N240" s="213">
        <f>Database!Q240</f>
        <v/>
      </c>
      <c r="O240" s="58">
        <f>IFERROR(INDEX(BDH(TEXT(VALUE(Database!$A240),"0")&amp;" HK Equity","PE_RATIO",Database!$H240,Database!$H240),MATCH(Database!$H240,INDEX(BDH(TEXT(VALUE(Database!$A240),"0")&amp;" HK Equity","PE_RATIO",Database!$H240,Database!$H240),0,1),0),2),"run on terminal")</f>
        <v/>
      </c>
      <c r="P240" s="251">
        <f>IF(Database!BH240="","(n/m or not derivable)",Database!BH240)</f>
        <v/>
      </c>
      <c r="Q240" s="58">
        <f>IF(Database!BN240="","",IFERROR(INDEX(BDH(LEFT(Database!BN240,FIND(".",Database!BN240)-1)&amp;" CH Equity","PE_RATIO",Database!$H240,Database!$H240),MATCH(Database!$H240,INDEX(BDH(LEFT(Database!BN240,FIND(".",Database!BN240)-1)&amp;" CH Equity","PE_RATIO",Database!$H240,Database!$H240),0,1),0),2),"run on terminal"))</f>
        <v/>
      </c>
      <c r="R240" s="58">
        <f>IF(Database!BN240="","",IFERROR(INDEX(BDH("HSAHP Index","PX_LAST",Database!$H240,Database!$H240),MATCH(Database!$H240,INDEX(BDH("HSAHP Index","PX_LAST",Database!$H240,Database!$H240),0,1),0),2),"run on terminal"))</f>
        <v/>
      </c>
      <c r="S240" s="58">
        <f>IFERROR(BDP(TEXT(VALUE(Database!$A240),"0")&amp;" HK Equity","PX_TO_SALES_RATIO"),"")</f>
        <v/>
      </c>
      <c r="T240" s="53">
        <f>IF(Database!BN240="","",IFERROR(BDP(LEFT(Database!BN240,FIND(".",Database!BN240)-1)&amp;" CH Equity","CUR_MKT_CAP")*BDP("CNYHKD Curncy","PX_LAST"),"run on terminal"))</f>
        <v/>
      </c>
    </row>
    <row r="241" ht="23" customHeight="1">
      <c r="A241" s="51">
        <f>Database!A241&amp;"  "&amp;Database!B241</f>
        <v/>
      </c>
      <c r="B241" s="43">
        <f>IFERROR(INDEX(BDS(TEXT(VALUE(Database!$A241),"0")&amp;" HK Equity","EQUITY_OFFERINGS","array=t","endcol=1"),MATCH("IPO",BDS(TEXT(VALUE(Database!$A241),"0")&amp;" HK Equity","EQUITY_OFFERINGS","array=t","startcol=2","endcol=2"),0)),"")</f>
        <v/>
      </c>
      <c r="C241" s="260">
        <f>IF($B241="","",IFERROR(BDP($B241&amp;" Action","CP036"),""))</f>
        <v/>
      </c>
      <c r="D241" s="261">
        <f>Database!S241</f>
        <v/>
      </c>
      <c r="E241" s="260">
        <f>IF($B241="","",IFERROR(BDP($B241&amp;" Action","CP037"),""))</f>
        <v/>
      </c>
      <c r="F241" s="261">
        <f>Database!T241</f>
        <v/>
      </c>
      <c r="G241" s="260">
        <f>IF($B241="","",IFERROR(BDP($B241&amp;" Action","GREENSHOE_FACILITY"),""))</f>
        <v/>
      </c>
      <c r="H241" s="260">
        <f>IF($B241="","",IFERROR(BDP($B241&amp;" Action","OFFERING_GREENSHOE_SHARES_EX"),""))</f>
        <v/>
      </c>
      <c r="I241" s="51">
        <f>Database!AE241</f>
        <v/>
      </c>
      <c r="J241" s="58">
        <f>IFERROR(BDP(TEXT(VALUE(Database!$A241),"0")&amp;" HK Equity","PE_RATIO"),"")</f>
        <v/>
      </c>
      <c r="K241" s="43">
        <f>IFERROR(BDP(TEXT(VALUE(Database!$A241),"0")&amp;" HK Equity","A/H_SHARE_CONVERSION"),"")</f>
        <v/>
      </c>
      <c r="L241" s="51">
        <f>IF(Database!BN241="","(none found)",Database!BN241)</f>
        <v/>
      </c>
      <c r="M241" s="53">
        <f>IFERROR(INDEX(BDH(TEXT(VALUE(Database!$A241),"0")&amp;" HK Equity","CUR_MKT_CAP",Database!$H241,Database!$H241),MATCH(Database!$H241,INDEX(BDH(TEXT(VALUE(Database!$A241),"0")&amp;" HK Equity","CUR_MKT_CAP",Database!$H241,Database!$H241),0,1),0),2),"run on terminal")</f>
        <v/>
      </c>
      <c r="N241" s="213">
        <f>Database!Q241</f>
        <v/>
      </c>
      <c r="O241" s="58">
        <f>IFERROR(INDEX(BDH(TEXT(VALUE(Database!$A241),"0")&amp;" HK Equity","PE_RATIO",Database!$H241,Database!$H241),MATCH(Database!$H241,INDEX(BDH(TEXT(VALUE(Database!$A241),"0")&amp;" HK Equity","PE_RATIO",Database!$H241,Database!$H241),0,1),0),2),"run on terminal")</f>
        <v/>
      </c>
      <c r="P241" s="251">
        <f>IF(Database!BH241="","(n/m or not derivable)",Database!BH241)</f>
        <v/>
      </c>
      <c r="Q241" s="58">
        <f>IF(Database!BN241="","",IFERROR(INDEX(BDH(LEFT(Database!BN241,FIND(".",Database!BN241)-1)&amp;" CH Equity","PE_RATIO",Database!$H241,Database!$H241),MATCH(Database!$H241,INDEX(BDH(LEFT(Database!BN241,FIND(".",Database!BN241)-1)&amp;" CH Equity","PE_RATIO",Database!$H241,Database!$H241),0,1),0),2),"run on terminal"))</f>
        <v/>
      </c>
      <c r="R241" s="58">
        <f>IF(Database!BN241="","",IFERROR(INDEX(BDH("HSAHP Index","PX_LAST",Database!$H241,Database!$H241),MATCH(Database!$H241,INDEX(BDH("HSAHP Index","PX_LAST",Database!$H241,Database!$H241),0,1),0),2),"run on terminal"))</f>
        <v/>
      </c>
      <c r="S241" s="58">
        <f>IFERROR(BDP(TEXT(VALUE(Database!$A241),"0")&amp;" HK Equity","PX_TO_SALES_RATIO"),"")</f>
        <v/>
      </c>
      <c r="T241" s="53">
        <f>IF(Database!BN241="","",IFERROR(BDP(LEFT(Database!BN241,FIND(".",Database!BN241)-1)&amp;" CH Equity","CUR_MKT_CAP")*BDP("CNYHKD Curncy","PX_LAST"),"run on terminal"))</f>
        <v/>
      </c>
    </row>
    <row r="242" ht="23" customHeight="1">
      <c r="A242" s="51">
        <f>Database!A242&amp;"  "&amp;Database!B242</f>
        <v/>
      </c>
      <c r="B242" s="43">
        <f>IFERROR(INDEX(BDS(TEXT(VALUE(Database!$A242),"0")&amp;" HK Equity","EQUITY_OFFERINGS","array=t","endcol=1"),MATCH("IPO",BDS(TEXT(VALUE(Database!$A242),"0")&amp;" HK Equity","EQUITY_OFFERINGS","array=t","startcol=2","endcol=2"),0)),"")</f>
        <v/>
      </c>
      <c r="C242" s="260">
        <f>IF($B242="","",IFERROR(BDP($B242&amp;" Action","CP036"),""))</f>
        <v/>
      </c>
      <c r="D242" s="261">
        <f>Database!S242</f>
        <v/>
      </c>
      <c r="E242" s="260">
        <f>IF($B242="","",IFERROR(BDP($B242&amp;" Action","CP037"),""))</f>
        <v/>
      </c>
      <c r="F242" s="261">
        <f>Database!T242</f>
        <v/>
      </c>
      <c r="G242" s="260">
        <f>IF($B242="","",IFERROR(BDP($B242&amp;" Action","GREENSHOE_FACILITY"),""))</f>
        <v/>
      </c>
      <c r="H242" s="260">
        <f>IF($B242="","",IFERROR(BDP($B242&amp;" Action","OFFERING_GREENSHOE_SHARES_EX"),""))</f>
        <v/>
      </c>
      <c r="I242" s="51">
        <f>Database!AE242</f>
        <v/>
      </c>
      <c r="J242" s="58">
        <f>IFERROR(BDP(TEXT(VALUE(Database!$A242),"0")&amp;" HK Equity","PE_RATIO"),"")</f>
        <v/>
      </c>
      <c r="K242" s="43">
        <f>IFERROR(BDP(TEXT(VALUE(Database!$A242),"0")&amp;" HK Equity","A/H_SHARE_CONVERSION"),"")</f>
        <v/>
      </c>
      <c r="L242" s="51">
        <f>IF(Database!BN242="","(none found)",Database!BN242)</f>
        <v/>
      </c>
      <c r="M242" s="53">
        <f>IFERROR(INDEX(BDH(TEXT(VALUE(Database!$A242),"0")&amp;" HK Equity","CUR_MKT_CAP",Database!$H242,Database!$H242),MATCH(Database!$H242,INDEX(BDH(TEXT(VALUE(Database!$A242),"0")&amp;" HK Equity","CUR_MKT_CAP",Database!$H242,Database!$H242),0,1),0),2),"run on terminal")</f>
        <v/>
      </c>
      <c r="N242" s="213">
        <f>Database!Q242</f>
        <v/>
      </c>
      <c r="O242" s="58">
        <f>IFERROR(INDEX(BDH(TEXT(VALUE(Database!$A242),"0")&amp;" HK Equity","PE_RATIO",Database!$H242,Database!$H242),MATCH(Database!$H242,INDEX(BDH(TEXT(VALUE(Database!$A242),"0")&amp;" HK Equity","PE_RATIO",Database!$H242,Database!$H242),0,1),0),2),"run on terminal")</f>
        <v/>
      </c>
      <c r="P242" s="251">
        <f>IF(Database!BH242="","(n/m or not derivable)",Database!BH242)</f>
        <v/>
      </c>
      <c r="Q242" s="58">
        <f>IF(Database!BN242="","",IFERROR(INDEX(BDH(LEFT(Database!BN242,FIND(".",Database!BN242)-1)&amp;" CH Equity","PE_RATIO",Database!$H242,Database!$H242),MATCH(Database!$H242,INDEX(BDH(LEFT(Database!BN242,FIND(".",Database!BN242)-1)&amp;" CH Equity","PE_RATIO",Database!$H242,Database!$H242),0,1),0),2),"run on terminal"))</f>
        <v/>
      </c>
      <c r="R242" s="58">
        <f>IF(Database!BN242="","",IFERROR(INDEX(BDH("HSAHP Index","PX_LAST",Database!$H242,Database!$H242),MATCH(Database!$H242,INDEX(BDH("HSAHP Index","PX_LAST",Database!$H242,Database!$H242),0,1),0),2),"run on terminal"))</f>
        <v/>
      </c>
      <c r="S242" s="58">
        <f>IFERROR(BDP(TEXT(VALUE(Database!$A242),"0")&amp;" HK Equity","PX_TO_SALES_RATIO"),"")</f>
        <v/>
      </c>
      <c r="T242" s="53">
        <f>IF(Database!BN242="","",IFERROR(BDP(LEFT(Database!BN242,FIND(".",Database!BN242)-1)&amp;" CH Equity","CUR_MKT_CAP")*BDP("CNYHKD Curncy","PX_LAST"),"run on terminal"))</f>
        <v/>
      </c>
    </row>
    <row r="243" ht="23" customHeight="1">
      <c r="A243" s="51">
        <f>Database!A243&amp;"  "&amp;Database!B243</f>
        <v/>
      </c>
      <c r="B243" s="43">
        <f>IFERROR(INDEX(BDS(TEXT(VALUE(Database!$A243),"0")&amp;" HK Equity","EQUITY_OFFERINGS","array=t","endcol=1"),MATCH("IPO",BDS(TEXT(VALUE(Database!$A243),"0")&amp;" HK Equity","EQUITY_OFFERINGS","array=t","startcol=2","endcol=2"),0)),"")</f>
        <v/>
      </c>
      <c r="C243" s="260">
        <f>IF($B243="","",IFERROR(BDP($B243&amp;" Action","CP036"),""))</f>
        <v/>
      </c>
      <c r="D243" s="261">
        <f>Database!S243</f>
        <v/>
      </c>
      <c r="E243" s="260">
        <f>IF($B243="","",IFERROR(BDP($B243&amp;" Action","CP037"),""))</f>
        <v/>
      </c>
      <c r="F243" s="261">
        <f>Database!T243</f>
        <v/>
      </c>
      <c r="G243" s="260">
        <f>IF($B243="","",IFERROR(BDP($B243&amp;" Action","GREENSHOE_FACILITY"),""))</f>
        <v/>
      </c>
      <c r="H243" s="260">
        <f>IF($B243="","",IFERROR(BDP($B243&amp;" Action","OFFERING_GREENSHOE_SHARES_EX"),""))</f>
        <v/>
      </c>
      <c r="I243" s="51">
        <f>Database!AE243</f>
        <v/>
      </c>
      <c r="J243" s="58">
        <f>IFERROR(BDP(TEXT(VALUE(Database!$A243),"0")&amp;" HK Equity","PE_RATIO"),"")</f>
        <v/>
      </c>
      <c r="K243" s="43">
        <f>IFERROR(BDP(TEXT(VALUE(Database!$A243),"0")&amp;" HK Equity","A/H_SHARE_CONVERSION"),"")</f>
        <v/>
      </c>
      <c r="L243" s="51">
        <f>IF(Database!BN243="","(none found)",Database!BN243)</f>
        <v/>
      </c>
      <c r="M243" s="53">
        <f>IFERROR(INDEX(BDH(TEXT(VALUE(Database!$A243),"0")&amp;" HK Equity","CUR_MKT_CAP",Database!$H243,Database!$H243),MATCH(Database!$H243,INDEX(BDH(TEXT(VALUE(Database!$A243),"0")&amp;" HK Equity","CUR_MKT_CAP",Database!$H243,Database!$H243),0,1),0),2),"run on terminal")</f>
        <v/>
      </c>
      <c r="N243" s="213">
        <f>Database!Q243</f>
        <v/>
      </c>
      <c r="O243" s="58">
        <f>IFERROR(INDEX(BDH(TEXT(VALUE(Database!$A243),"0")&amp;" HK Equity","PE_RATIO",Database!$H243,Database!$H243),MATCH(Database!$H243,INDEX(BDH(TEXT(VALUE(Database!$A243),"0")&amp;" HK Equity","PE_RATIO",Database!$H243,Database!$H243),0,1),0),2),"run on terminal")</f>
        <v/>
      </c>
      <c r="P243" s="251">
        <f>IF(Database!BH243="","(n/m or not derivable)",Database!BH243)</f>
        <v/>
      </c>
      <c r="Q243" s="58">
        <f>IF(Database!BN243="","",IFERROR(INDEX(BDH(LEFT(Database!BN243,FIND(".",Database!BN243)-1)&amp;" CH Equity","PE_RATIO",Database!$H243,Database!$H243),MATCH(Database!$H243,INDEX(BDH(LEFT(Database!BN243,FIND(".",Database!BN243)-1)&amp;" CH Equity","PE_RATIO",Database!$H243,Database!$H243),0,1),0),2),"run on terminal"))</f>
        <v/>
      </c>
      <c r="R243" s="58">
        <f>IF(Database!BN243="","",IFERROR(INDEX(BDH("HSAHP Index","PX_LAST",Database!$H243,Database!$H243),MATCH(Database!$H243,INDEX(BDH("HSAHP Index","PX_LAST",Database!$H243,Database!$H243),0,1),0),2),"run on terminal"))</f>
        <v/>
      </c>
      <c r="S243" s="58">
        <f>IFERROR(BDP(TEXT(VALUE(Database!$A243),"0")&amp;" HK Equity","PX_TO_SALES_RATIO"),"")</f>
        <v/>
      </c>
      <c r="T243" s="53">
        <f>IF(Database!BN243="","",IFERROR(BDP(LEFT(Database!BN243,FIND(".",Database!BN243)-1)&amp;" CH Equity","CUR_MKT_CAP")*BDP("CNYHKD Curncy","PX_LAST"),"run on terminal"))</f>
        <v/>
      </c>
    </row>
    <row r="244" ht="23" customHeight="1">
      <c r="A244" s="51">
        <f>Database!A244&amp;"  "&amp;Database!B244</f>
        <v/>
      </c>
      <c r="B244" s="43">
        <f>IFERROR(INDEX(BDS(TEXT(VALUE(Database!$A244),"0")&amp;" HK Equity","EQUITY_OFFERINGS","array=t","endcol=1"),MATCH("IPO",BDS(TEXT(VALUE(Database!$A244),"0")&amp;" HK Equity","EQUITY_OFFERINGS","array=t","startcol=2","endcol=2"),0)),"")</f>
        <v/>
      </c>
      <c r="C244" s="260">
        <f>IF($B244="","",IFERROR(BDP($B244&amp;" Action","CP036"),""))</f>
        <v/>
      </c>
      <c r="D244" s="261">
        <f>Database!S244</f>
        <v/>
      </c>
      <c r="E244" s="260">
        <f>IF($B244="","",IFERROR(BDP($B244&amp;" Action","CP037"),""))</f>
        <v/>
      </c>
      <c r="F244" s="261">
        <f>Database!T244</f>
        <v/>
      </c>
      <c r="G244" s="260">
        <f>IF($B244="","",IFERROR(BDP($B244&amp;" Action","GREENSHOE_FACILITY"),""))</f>
        <v/>
      </c>
      <c r="H244" s="260">
        <f>IF($B244="","",IFERROR(BDP($B244&amp;" Action","OFFERING_GREENSHOE_SHARES_EX"),""))</f>
        <v/>
      </c>
      <c r="I244" s="51">
        <f>Database!AE244</f>
        <v/>
      </c>
      <c r="J244" s="58">
        <f>IFERROR(BDP(TEXT(VALUE(Database!$A244),"0")&amp;" HK Equity","PE_RATIO"),"")</f>
        <v/>
      </c>
      <c r="K244" s="43">
        <f>IFERROR(BDP(TEXT(VALUE(Database!$A244),"0")&amp;" HK Equity","A/H_SHARE_CONVERSION"),"")</f>
        <v/>
      </c>
      <c r="L244" s="51">
        <f>IF(Database!BN244="","(none found)",Database!BN244)</f>
        <v/>
      </c>
      <c r="M244" s="53">
        <f>IFERROR(INDEX(BDH(TEXT(VALUE(Database!$A244),"0")&amp;" HK Equity","CUR_MKT_CAP",Database!$H244,Database!$H244),MATCH(Database!$H244,INDEX(BDH(TEXT(VALUE(Database!$A244),"0")&amp;" HK Equity","CUR_MKT_CAP",Database!$H244,Database!$H244),0,1),0),2),"run on terminal")</f>
        <v/>
      </c>
      <c r="N244" s="213">
        <f>Database!Q244</f>
        <v/>
      </c>
      <c r="O244" s="58">
        <f>IFERROR(INDEX(BDH(TEXT(VALUE(Database!$A244),"0")&amp;" HK Equity","PE_RATIO",Database!$H244,Database!$H244),MATCH(Database!$H244,INDEX(BDH(TEXT(VALUE(Database!$A244),"0")&amp;" HK Equity","PE_RATIO",Database!$H244,Database!$H244),0,1),0),2),"run on terminal")</f>
        <v/>
      </c>
      <c r="P244" s="251">
        <f>IF(Database!BH244="","(n/m or not derivable)",Database!BH244)</f>
        <v/>
      </c>
      <c r="Q244" s="58">
        <f>IF(Database!BN244="","",IFERROR(INDEX(BDH(LEFT(Database!BN244,FIND(".",Database!BN244)-1)&amp;" CH Equity","PE_RATIO",Database!$H244,Database!$H244),MATCH(Database!$H244,INDEX(BDH(LEFT(Database!BN244,FIND(".",Database!BN244)-1)&amp;" CH Equity","PE_RATIO",Database!$H244,Database!$H244),0,1),0),2),"run on terminal"))</f>
        <v/>
      </c>
      <c r="R244" s="58">
        <f>IF(Database!BN244="","",IFERROR(INDEX(BDH("HSAHP Index","PX_LAST",Database!$H244,Database!$H244),MATCH(Database!$H244,INDEX(BDH("HSAHP Index","PX_LAST",Database!$H244,Database!$H244),0,1),0),2),"run on terminal"))</f>
        <v/>
      </c>
      <c r="S244" s="58">
        <f>IFERROR(BDP(TEXT(VALUE(Database!$A244),"0")&amp;" HK Equity","PX_TO_SALES_RATIO"),"")</f>
        <v/>
      </c>
      <c r="T244" s="53">
        <f>IF(Database!BN244="","",IFERROR(BDP(LEFT(Database!BN244,FIND(".",Database!BN244)-1)&amp;" CH Equity","CUR_MKT_CAP")*BDP("CNYHKD Curncy","PX_LAST"),"run on terminal"))</f>
        <v/>
      </c>
    </row>
    <row r="245" ht="23" customHeight="1">
      <c r="A245" s="51">
        <f>Database!A245&amp;"  "&amp;Database!B245</f>
        <v/>
      </c>
      <c r="B245" s="43">
        <f>IFERROR(INDEX(BDS(TEXT(VALUE(Database!$A245),"0")&amp;" HK Equity","EQUITY_OFFERINGS","array=t","endcol=1"),MATCH("IPO",BDS(TEXT(VALUE(Database!$A245),"0")&amp;" HK Equity","EQUITY_OFFERINGS","array=t","startcol=2","endcol=2"),0)),"")</f>
        <v/>
      </c>
      <c r="C245" s="260">
        <f>IF($B245="","",IFERROR(BDP($B245&amp;" Action","CP036"),""))</f>
        <v/>
      </c>
      <c r="D245" s="261">
        <f>Database!S245</f>
        <v/>
      </c>
      <c r="E245" s="260">
        <f>IF($B245="","",IFERROR(BDP($B245&amp;" Action","CP037"),""))</f>
        <v/>
      </c>
      <c r="F245" s="261">
        <f>Database!T245</f>
        <v/>
      </c>
      <c r="G245" s="260">
        <f>IF($B245="","",IFERROR(BDP($B245&amp;" Action","GREENSHOE_FACILITY"),""))</f>
        <v/>
      </c>
      <c r="H245" s="260">
        <f>IF($B245="","",IFERROR(BDP($B245&amp;" Action","OFFERING_GREENSHOE_SHARES_EX"),""))</f>
        <v/>
      </c>
      <c r="I245" s="51">
        <f>Database!AE245</f>
        <v/>
      </c>
      <c r="J245" s="58">
        <f>IFERROR(BDP(TEXT(VALUE(Database!$A245),"0")&amp;" HK Equity","PE_RATIO"),"")</f>
        <v/>
      </c>
      <c r="K245" s="43">
        <f>IFERROR(BDP(TEXT(VALUE(Database!$A245),"0")&amp;" HK Equity","A/H_SHARE_CONVERSION"),"")</f>
        <v/>
      </c>
      <c r="L245" s="51">
        <f>IF(Database!BN245="","(none found)",Database!BN245)</f>
        <v/>
      </c>
      <c r="M245" s="53">
        <f>IFERROR(INDEX(BDH(TEXT(VALUE(Database!$A245),"0")&amp;" HK Equity","CUR_MKT_CAP",Database!$H245,Database!$H245),MATCH(Database!$H245,INDEX(BDH(TEXT(VALUE(Database!$A245),"0")&amp;" HK Equity","CUR_MKT_CAP",Database!$H245,Database!$H245),0,1),0),2),"run on terminal")</f>
        <v/>
      </c>
      <c r="N245" s="213">
        <f>Database!Q245</f>
        <v/>
      </c>
      <c r="O245" s="58">
        <f>IFERROR(INDEX(BDH(TEXT(VALUE(Database!$A245),"0")&amp;" HK Equity","PE_RATIO",Database!$H245,Database!$H245),MATCH(Database!$H245,INDEX(BDH(TEXT(VALUE(Database!$A245),"0")&amp;" HK Equity","PE_RATIO",Database!$H245,Database!$H245),0,1),0),2),"run on terminal")</f>
        <v/>
      </c>
      <c r="P245" s="251">
        <f>IF(Database!BH245="","(n/m or not derivable)",Database!BH245)</f>
        <v/>
      </c>
      <c r="Q245" s="58">
        <f>IF(Database!BN245="","",IFERROR(INDEX(BDH(LEFT(Database!BN245,FIND(".",Database!BN245)-1)&amp;" CH Equity","PE_RATIO",Database!$H245,Database!$H245),MATCH(Database!$H245,INDEX(BDH(LEFT(Database!BN245,FIND(".",Database!BN245)-1)&amp;" CH Equity","PE_RATIO",Database!$H245,Database!$H245),0,1),0),2),"run on terminal"))</f>
        <v/>
      </c>
      <c r="R245" s="58">
        <f>IF(Database!BN245="","",IFERROR(INDEX(BDH("HSAHP Index","PX_LAST",Database!$H245,Database!$H245),MATCH(Database!$H245,INDEX(BDH("HSAHP Index","PX_LAST",Database!$H245,Database!$H245),0,1),0),2),"run on terminal"))</f>
        <v/>
      </c>
      <c r="S245" s="58">
        <f>IFERROR(BDP(TEXT(VALUE(Database!$A245),"0")&amp;" HK Equity","PX_TO_SALES_RATIO"),"")</f>
        <v/>
      </c>
      <c r="T245" s="53">
        <f>IF(Database!BN245="","",IFERROR(BDP(LEFT(Database!BN245,FIND(".",Database!BN245)-1)&amp;" CH Equity","CUR_MKT_CAP")*BDP("CNYHKD Curncy","PX_LAST"),"run on terminal"))</f>
        <v/>
      </c>
    </row>
    <row r="246" ht="23" customHeight="1">
      <c r="A246" s="51">
        <f>Database!A246&amp;"  "&amp;Database!B246</f>
        <v/>
      </c>
      <c r="B246" s="43">
        <f>IFERROR(INDEX(BDS(TEXT(VALUE(Database!$A246),"0")&amp;" HK Equity","EQUITY_OFFERINGS","array=t","endcol=1"),MATCH("IPO",BDS(TEXT(VALUE(Database!$A246),"0")&amp;" HK Equity","EQUITY_OFFERINGS","array=t","startcol=2","endcol=2"),0)),"")</f>
        <v/>
      </c>
      <c r="C246" s="260">
        <f>IF($B246="","",IFERROR(BDP($B246&amp;" Action","CP036"),""))</f>
        <v/>
      </c>
      <c r="D246" s="261">
        <f>Database!S246</f>
        <v/>
      </c>
      <c r="E246" s="260">
        <f>IF($B246="","",IFERROR(BDP($B246&amp;" Action","CP037"),""))</f>
        <v/>
      </c>
      <c r="F246" s="261">
        <f>Database!T246</f>
        <v/>
      </c>
      <c r="G246" s="260">
        <f>IF($B246="","",IFERROR(BDP($B246&amp;" Action","GREENSHOE_FACILITY"),""))</f>
        <v/>
      </c>
      <c r="H246" s="260">
        <f>IF($B246="","",IFERROR(BDP($B246&amp;" Action","OFFERING_GREENSHOE_SHARES_EX"),""))</f>
        <v/>
      </c>
      <c r="I246" s="51">
        <f>Database!AE246</f>
        <v/>
      </c>
      <c r="J246" s="58">
        <f>IFERROR(BDP(TEXT(VALUE(Database!$A246),"0")&amp;" HK Equity","PE_RATIO"),"")</f>
        <v/>
      </c>
      <c r="K246" s="43">
        <f>IFERROR(BDP(TEXT(VALUE(Database!$A246),"0")&amp;" HK Equity","A/H_SHARE_CONVERSION"),"")</f>
        <v/>
      </c>
      <c r="L246" s="51">
        <f>IF(Database!BN246="","(none found)",Database!BN246)</f>
        <v/>
      </c>
      <c r="M246" s="53">
        <f>IFERROR(INDEX(BDH(TEXT(VALUE(Database!$A246),"0")&amp;" HK Equity","CUR_MKT_CAP",Database!$H246,Database!$H246),MATCH(Database!$H246,INDEX(BDH(TEXT(VALUE(Database!$A246),"0")&amp;" HK Equity","CUR_MKT_CAP",Database!$H246,Database!$H246),0,1),0),2),"run on terminal")</f>
        <v/>
      </c>
      <c r="N246" s="213">
        <f>Database!Q246</f>
        <v/>
      </c>
      <c r="O246" s="58">
        <f>IFERROR(INDEX(BDH(TEXT(VALUE(Database!$A246),"0")&amp;" HK Equity","PE_RATIO",Database!$H246,Database!$H246),MATCH(Database!$H246,INDEX(BDH(TEXT(VALUE(Database!$A246),"0")&amp;" HK Equity","PE_RATIO",Database!$H246,Database!$H246),0,1),0),2),"run on terminal")</f>
        <v/>
      </c>
      <c r="P246" s="251">
        <f>IF(Database!BH246="","(n/m or not derivable)",Database!BH246)</f>
        <v/>
      </c>
      <c r="Q246" s="58">
        <f>IF(Database!BN246="","",IFERROR(INDEX(BDH(LEFT(Database!BN246,FIND(".",Database!BN246)-1)&amp;" CH Equity","PE_RATIO",Database!$H246,Database!$H246),MATCH(Database!$H246,INDEX(BDH(LEFT(Database!BN246,FIND(".",Database!BN246)-1)&amp;" CH Equity","PE_RATIO",Database!$H246,Database!$H246),0,1),0),2),"run on terminal"))</f>
        <v/>
      </c>
      <c r="R246" s="58">
        <f>IF(Database!BN246="","",IFERROR(INDEX(BDH("HSAHP Index","PX_LAST",Database!$H246,Database!$H246),MATCH(Database!$H246,INDEX(BDH("HSAHP Index","PX_LAST",Database!$H246,Database!$H246),0,1),0),2),"run on terminal"))</f>
        <v/>
      </c>
      <c r="S246" s="58">
        <f>IFERROR(BDP(TEXT(VALUE(Database!$A246),"0")&amp;" HK Equity","PX_TO_SALES_RATIO"),"")</f>
        <v/>
      </c>
      <c r="T246" s="53">
        <f>IF(Database!BN246="","",IFERROR(BDP(LEFT(Database!BN246,FIND(".",Database!BN246)-1)&amp;" CH Equity","CUR_MKT_CAP")*BDP("CNYHKD Curncy","PX_LAST"),"run on terminal"))</f>
        <v/>
      </c>
    </row>
    <row r="247" ht="23" customHeight="1">
      <c r="A247" s="51">
        <f>Database!A247&amp;"  "&amp;Database!B247</f>
        <v/>
      </c>
      <c r="B247" s="43">
        <f>IFERROR(INDEX(BDS(TEXT(VALUE(Database!$A247),"0")&amp;" HK Equity","EQUITY_OFFERINGS","array=t","endcol=1"),MATCH("IPO",BDS(TEXT(VALUE(Database!$A247),"0")&amp;" HK Equity","EQUITY_OFFERINGS","array=t","startcol=2","endcol=2"),0)),"")</f>
        <v/>
      </c>
      <c r="C247" s="260">
        <f>IF($B247="","",IFERROR(BDP($B247&amp;" Action","CP036"),""))</f>
        <v/>
      </c>
      <c r="D247" s="261">
        <f>Database!S247</f>
        <v/>
      </c>
      <c r="E247" s="260">
        <f>IF($B247="","",IFERROR(BDP($B247&amp;" Action","CP037"),""))</f>
        <v/>
      </c>
      <c r="F247" s="261">
        <f>Database!T247</f>
        <v/>
      </c>
      <c r="G247" s="260">
        <f>IF($B247="","",IFERROR(BDP($B247&amp;" Action","GREENSHOE_FACILITY"),""))</f>
        <v/>
      </c>
      <c r="H247" s="260">
        <f>IF($B247="","",IFERROR(BDP($B247&amp;" Action","OFFERING_GREENSHOE_SHARES_EX"),""))</f>
        <v/>
      </c>
      <c r="I247" s="51">
        <f>Database!AE247</f>
        <v/>
      </c>
      <c r="J247" s="58">
        <f>IFERROR(BDP(TEXT(VALUE(Database!$A247),"0")&amp;" HK Equity","PE_RATIO"),"")</f>
        <v/>
      </c>
      <c r="K247" s="43">
        <f>IFERROR(BDP(TEXT(VALUE(Database!$A247),"0")&amp;" HK Equity","A/H_SHARE_CONVERSION"),"")</f>
        <v/>
      </c>
      <c r="L247" s="51">
        <f>IF(Database!BN247="","(none found)",Database!BN247)</f>
        <v/>
      </c>
      <c r="M247" s="53">
        <f>IFERROR(INDEX(BDH(TEXT(VALUE(Database!$A247),"0")&amp;" HK Equity","CUR_MKT_CAP",Database!$H247,Database!$H247),MATCH(Database!$H247,INDEX(BDH(TEXT(VALUE(Database!$A247),"0")&amp;" HK Equity","CUR_MKT_CAP",Database!$H247,Database!$H247),0,1),0),2),"run on terminal")</f>
        <v/>
      </c>
      <c r="N247" s="213">
        <f>Database!Q247</f>
        <v/>
      </c>
      <c r="O247" s="58">
        <f>IFERROR(INDEX(BDH(TEXT(VALUE(Database!$A247),"0")&amp;" HK Equity","PE_RATIO",Database!$H247,Database!$H247),MATCH(Database!$H247,INDEX(BDH(TEXT(VALUE(Database!$A247),"0")&amp;" HK Equity","PE_RATIO",Database!$H247,Database!$H247),0,1),0),2),"run on terminal")</f>
        <v/>
      </c>
      <c r="P247" s="251">
        <f>IF(Database!BH247="","(n/m or not derivable)",Database!BH247)</f>
        <v/>
      </c>
      <c r="Q247" s="58">
        <f>IF(Database!BN247="","",IFERROR(INDEX(BDH(LEFT(Database!BN247,FIND(".",Database!BN247)-1)&amp;" CH Equity","PE_RATIO",Database!$H247,Database!$H247),MATCH(Database!$H247,INDEX(BDH(LEFT(Database!BN247,FIND(".",Database!BN247)-1)&amp;" CH Equity","PE_RATIO",Database!$H247,Database!$H247),0,1),0),2),"run on terminal"))</f>
        <v/>
      </c>
      <c r="R247" s="58">
        <f>IF(Database!BN247="","",IFERROR(INDEX(BDH("HSAHP Index","PX_LAST",Database!$H247,Database!$H247),MATCH(Database!$H247,INDEX(BDH("HSAHP Index","PX_LAST",Database!$H247,Database!$H247),0,1),0),2),"run on terminal"))</f>
        <v/>
      </c>
      <c r="S247" s="58">
        <f>IFERROR(BDP(TEXT(VALUE(Database!$A247),"0")&amp;" HK Equity","PX_TO_SALES_RATIO"),"")</f>
        <v/>
      </c>
      <c r="T247" s="53">
        <f>IF(Database!BN247="","",IFERROR(BDP(LEFT(Database!BN247,FIND(".",Database!BN247)-1)&amp;" CH Equity","CUR_MKT_CAP")*BDP("CNYHKD Curncy","PX_LAST"),"run on terminal"))</f>
        <v/>
      </c>
    </row>
    <row r="248" ht="23" customHeight="1">
      <c r="A248" s="51">
        <f>Database!A248&amp;"  "&amp;Database!B248</f>
        <v/>
      </c>
      <c r="B248" s="43">
        <f>IFERROR(INDEX(BDS(TEXT(VALUE(Database!$A248),"0")&amp;" HK Equity","EQUITY_OFFERINGS","array=t","endcol=1"),MATCH("IPO",BDS(TEXT(VALUE(Database!$A248),"0")&amp;" HK Equity","EQUITY_OFFERINGS","array=t","startcol=2","endcol=2"),0)),"")</f>
        <v/>
      </c>
      <c r="C248" s="260">
        <f>IF($B248="","",IFERROR(BDP($B248&amp;" Action","CP036"),""))</f>
        <v/>
      </c>
      <c r="D248" s="261">
        <f>Database!S248</f>
        <v/>
      </c>
      <c r="E248" s="260">
        <f>IF($B248="","",IFERROR(BDP($B248&amp;" Action","CP037"),""))</f>
        <v/>
      </c>
      <c r="F248" s="261">
        <f>Database!T248</f>
        <v/>
      </c>
      <c r="G248" s="260">
        <f>IF($B248="","",IFERROR(BDP($B248&amp;" Action","GREENSHOE_FACILITY"),""))</f>
        <v/>
      </c>
      <c r="H248" s="260">
        <f>IF($B248="","",IFERROR(BDP($B248&amp;" Action","OFFERING_GREENSHOE_SHARES_EX"),""))</f>
        <v/>
      </c>
      <c r="I248" s="51">
        <f>Database!AE248</f>
        <v/>
      </c>
      <c r="J248" s="58">
        <f>IFERROR(BDP(TEXT(VALUE(Database!$A248),"0")&amp;" HK Equity","PE_RATIO"),"")</f>
        <v/>
      </c>
      <c r="K248" s="43">
        <f>IFERROR(BDP(TEXT(VALUE(Database!$A248),"0")&amp;" HK Equity","A/H_SHARE_CONVERSION"),"")</f>
        <v/>
      </c>
      <c r="L248" s="51">
        <f>IF(Database!BN248="","(none found)",Database!BN248)</f>
        <v/>
      </c>
      <c r="M248" s="53">
        <f>IFERROR(INDEX(BDH(TEXT(VALUE(Database!$A248),"0")&amp;" HK Equity","CUR_MKT_CAP",Database!$H248,Database!$H248),MATCH(Database!$H248,INDEX(BDH(TEXT(VALUE(Database!$A248),"0")&amp;" HK Equity","CUR_MKT_CAP",Database!$H248,Database!$H248),0,1),0),2),"run on terminal")</f>
        <v/>
      </c>
      <c r="N248" s="213">
        <f>Database!Q248</f>
        <v/>
      </c>
      <c r="O248" s="58">
        <f>IFERROR(INDEX(BDH(TEXT(VALUE(Database!$A248),"0")&amp;" HK Equity","PE_RATIO",Database!$H248,Database!$H248),MATCH(Database!$H248,INDEX(BDH(TEXT(VALUE(Database!$A248),"0")&amp;" HK Equity","PE_RATIO",Database!$H248,Database!$H248),0,1),0),2),"run on terminal")</f>
        <v/>
      </c>
      <c r="P248" s="251">
        <f>IF(Database!BH248="","(n/m or not derivable)",Database!BH248)</f>
        <v/>
      </c>
      <c r="Q248" s="58">
        <f>IF(Database!BN248="","",IFERROR(INDEX(BDH(LEFT(Database!BN248,FIND(".",Database!BN248)-1)&amp;" CH Equity","PE_RATIO",Database!$H248,Database!$H248),MATCH(Database!$H248,INDEX(BDH(LEFT(Database!BN248,FIND(".",Database!BN248)-1)&amp;" CH Equity","PE_RATIO",Database!$H248,Database!$H248),0,1),0),2),"run on terminal"))</f>
        <v/>
      </c>
      <c r="R248" s="58">
        <f>IF(Database!BN248="","",IFERROR(INDEX(BDH("HSAHP Index","PX_LAST",Database!$H248,Database!$H248),MATCH(Database!$H248,INDEX(BDH("HSAHP Index","PX_LAST",Database!$H248,Database!$H248),0,1),0),2),"run on terminal"))</f>
        <v/>
      </c>
      <c r="S248" s="58">
        <f>IFERROR(BDP(TEXT(VALUE(Database!$A248),"0")&amp;" HK Equity","PX_TO_SALES_RATIO"),"")</f>
        <v/>
      </c>
      <c r="T248" s="53">
        <f>IF(Database!BN248="","",IFERROR(BDP(LEFT(Database!BN248,FIND(".",Database!BN248)-1)&amp;" CH Equity","CUR_MKT_CAP")*BDP("CNYHKD Curncy","PX_LAST"),"run on terminal"))</f>
        <v/>
      </c>
    </row>
    <row r="249" ht="23" customHeight="1">
      <c r="A249" s="51">
        <f>Database!A249&amp;"  "&amp;Database!B249</f>
        <v/>
      </c>
      <c r="B249" s="43">
        <f>IFERROR(INDEX(BDS(TEXT(VALUE(Database!$A249),"0")&amp;" HK Equity","EQUITY_OFFERINGS","array=t","endcol=1"),MATCH("IPO",BDS(TEXT(VALUE(Database!$A249),"0")&amp;" HK Equity","EQUITY_OFFERINGS","array=t","startcol=2","endcol=2"),0)),"")</f>
        <v/>
      </c>
      <c r="C249" s="260">
        <f>IF($B249="","",IFERROR(BDP($B249&amp;" Action","CP036"),""))</f>
        <v/>
      </c>
      <c r="D249" s="261">
        <f>Database!S249</f>
        <v/>
      </c>
      <c r="E249" s="260">
        <f>IF($B249="","",IFERROR(BDP($B249&amp;" Action","CP037"),""))</f>
        <v/>
      </c>
      <c r="F249" s="261">
        <f>Database!T249</f>
        <v/>
      </c>
      <c r="G249" s="260">
        <f>IF($B249="","",IFERROR(BDP($B249&amp;" Action","GREENSHOE_FACILITY"),""))</f>
        <v/>
      </c>
      <c r="H249" s="260">
        <f>IF($B249="","",IFERROR(BDP($B249&amp;" Action","OFFERING_GREENSHOE_SHARES_EX"),""))</f>
        <v/>
      </c>
      <c r="I249" s="51">
        <f>Database!AE249</f>
        <v/>
      </c>
      <c r="J249" s="58">
        <f>IFERROR(BDP(TEXT(VALUE(Database!$A249),"0")&amp;" HK Equity","PE_RATIO"),"")</f>
        <v/>
      </c>
      <c r="K249" s="43">
        <f>IFERROR(BDP(TEXT(VALUE(Database!$A249),"0")&amp;" HK Equity","A/H_SHARE_CONVERSION"),"")</f>
        <v/>
      </c>
      <c r="L249" s="51">
        <f>IF(Database!BN249="","(none found)",Database!BN249)</f>
        <v/>
      </c>
      <c r="M249" s="53">
        <f>IFERROR(INDEX(BDH(TEXT(VALUE(Database!$A249),"0")&amp;" HK Equity","CUR_MKT_CAP",Database!$H249,Database!$H249),MATCH(Database!$H249,INDEX(BDH(TEXT(VALUE(Database!$A249),"0")&amp;" HK Equity","CUR_MKT_CAP",Database!$H249,Database!$H249),0,1),0),2),"run on terminal")</f>
        <v/>
      </c>
      <c r="N249" s="213">
        <f>Database!Q249</f>
        <v/>
      </c>
      <c r="O249" s="58">
        <f>IFERROR(INDEX(BDH(TEXT(VALUE(Database!$A249),"0")&amp;" HK Equity","PE_RATIO",Database!$H249,Database!$H249),MATCH(Database!$H249,INDEX(BDH(TEXT(VALUE(Database!$A249),"0")&amp;" HK Equity","PE_RATIO",Database!$H249,Database!$H249),0,1),0),2),"run on terminal")</f>
        <v/>
      </c>
      <c r="P249" s="251">
        <f>IF(Database!BH249="","(n/m or not derivable)",Database!BH249)</f>
        <v/>
      </c>
      <c r="Q249" s="58">
        <f>IF(Database!BN249="","",IFERROR(INDEX(BDH(LEFT(Database!BN249,FIND(".",Database!BN249)-1)&amp;" CH Equity","PE_RATIO",Database!$H249,Database!$H249),MATCH(Database!$H249,INDEX(BDH(LEFT(Database!BN249,FIND(".",Database!BN249)-1)&amp;" CH Equity","PE_RATIO",Database!$H249,Database!$H249),0,1),0),2),"run on terminal"))</f>
        <v/>
      </c>
      <c r="R249" s="58">
        <f>IF(Database!BN249="","",IFERROR(INDEX(BDH("HSAHP Index","PX_LAST",Database!$H249,Database!$H249),MATCH(Database!$H249,INDEX(BDH("HSAHP Index","PX_LAST",Database!$H249,Database!$H249),0,1),0),2),"run on terminal"))</f>
        <v/>
      </c>
      <c r="S249" s="58">
        <f>IFERROR(BDP(TEXT(VALUE(Database!$A249),"0")&amp;" HK Equity","PX_TO_SALES_RATIO"),"")</f>
        <v/>
      </c>
      <c r="T249" s="53">
        <f>IF(Database!BN249="","",IFERROR(BDP(LEFT(Database!BN249,FIND(".",Database!BN249)-1)&amp;" CH Equity","CUR_MKT_CAP")*BDP("CNYHKD Curncy","PX_LAST"),"run on terminal"))</f>
        <v/>
      </c>
    </row>
    <row r="250" ht="23" customHeight="1">
      <c r="A250" s="51">
        <f>Database!A250&amp;"  "&amp;Database!B250</f>
        <v/>
      </c>
      <c r="B250" s="43">
        <f>IFERROR(INDEX(BDS(TEXT(VALUE(Database!$A250),"0")&amp;" HK Equity","EQUITY_OFFERINGS","array=t","endcol=1"),MATCH("IPO",BDS(TEXT(VALUE(Database!$A250),"0")&amp;" HK Equity","EQUITY_OFFERINGS","array=t","startcol=2","endcol=2"),0)),"")</f>
        <v/>
      </c>
      <c r="C250" s="260">
        <f>IF($B250="","",IFERROR(BDP($B250&amp;" Action","CP036"),""))</f>
        <v/>
      </c>
      <c r="D250" s="261">
        <f>Database!S250</f>
        <v/>
      </c>
      <c r="E250" s="260">
        <f>IF($B250="","",IFERROR(BDP($B250&amp;" Action","CP037"),""))</f>
        <v/>
      </c>
      <c r="F250" s="261">
        <f>Database!T250</f>
        <v/>
      </c>
      <c r="G250" s="260">
        <f>IF($B250="","",IFERROR(BDP($B250&amp;" Action","GREENSHOE_FACILITY"),""))</f>
        <v/>
      </c>
      <c r="H250" s="260">
        <f>IF($B250="","",IFERROR(BDP($B250&amp;" Action","OFFERING_GREENSHOE_SHARES_EX"),""))</f>
        <v/>
      </c>
      <c r="I250" s="51">
        <f>Database!AE250</f>
        <v/>
      </c>
      <c r="J250" s="58">
        <f>IFERROR(BDP(TEXT(VALUE(Database!$A250),"0")&amp;" HK Equity","PE_RATIO"),"")</f>
        <v/>
      </c>
      <c r="K250" s="43">
        <f>IFERROR(BDP(TEXT(VALUE(Database!$A250),"0")&amp;" HK Equity","A/H_SHARE_CONVERSION"),"")</f>
        <v/>
      </c>
      <c r="L250" s="51">
        <f>IF(Database!BN250="","(none found)",Database!BN250)</f>
        <v/>
      </c>
      <c r="M250" s="53">
        <f>IFERROR(INDEX(BDH(TEXT(VALUE(Database!$A250),"0")&amp;" HK Equity","CUR_MKT_CAP",Database!$H250,Database!$H250),MATCH(Database!$H250,INDEX(BDH(TEXT(VALUE(Database!$A250),"0")&amp;" HK Equity","CUR_MKT_CAP",Database!$H250,Database!$H250),0,1),0),2),"run on terminal")</f>
        <v/>
      </c>
      <c r="N250" s="213">
        <f>Database!Q250</f>
        <v/>
      </c>
      <c r="O250" s="58">
        <f>IFERROR(INDEX(BDH(TEXT(VALUE(Database!$A250),"0")&amp;" HK Equity","PE_RATIO",Database!$H250,Database!$H250),MATCH(Database!$H250,INDEX(BDH(TEXT(VALUE(Database!$A250),"0")&amp;" HK Equity","PE_RATIO",Database!$H250,Database!$H250),0,1),0),2),"run on terminal")</f>
        <v/>
      </c>
      <c r="P250" s="251">
        <f>IF(Database!BH250="","(n/m or not derivable)",Database!BH250)</f>
        <v/>
      </c>
      <c r="Q250" s="58">
        <f>IF(Database!BN250="","",IFERROR(INDEX(BDH(LEFT(Database!BN250,FIND(".",Database!BN250)-1)&amp;" CH Equity","PE_RATIO",Database!$H250,Database!$H250),MATCH(Database!$H250,INDEX(BDH(LEFT(Database!BN250,FIND(".",Database!BN250)-1)&amp;" CH Equity","PE_RATIO",Database!$H250,Database!$H250),0,1),0),2),"run on terminal"))</f>
        <v/>
      </c>
      <c r="R250" s="58">
        <f>IF(Database!BN250="","",IFERROR(INDEX(BDH("HSAHP Index","PX_LAST",Database!$H250,Database!$H250),MATCH(Database!$H250,INDEX(BDH("HSAHP Index","PX_LAST",Database!$H250,Database!$H250),0,1),0),2),"run on terminal"))</f>
        <v/>
      </c>
      <c r="S250" s="58">
        <f>IFERROR(BDP(TEXT(VALUE(Database!$A250),"0")&amp;" HK Equity","PX_TO_SALES_RATIO"),"")</f>
        <v/>
      </c>
      <c r="T250" s="53">
        <f>IF(Database!BN250="","",IFERROR(BDP(LEFT(Database!BN250,FIND(".",Database!BN250)-1)&amp;" CH Equity","CUR_MKT_CAP")*BDP("CNYHKD Curncy","PX_LAST"),"run on terminal"))</f>
        <v/>
      </c>
    </row>
    <row r="251" ht="23" customHeight="1">
      <c r="A251" s="51">
        <f>Database!A251&amp;"  "&amp;Database!B251</f>
        <v/>
      </c>
      <c r="B251" s="43">
        <f>IFERROR(INDEX(BDS(TEXT(VALUE(Database!$A251),"0")&amp;" HK Equity","EQUITY_OFFERINGS","array=t","endcol=1"),MATCH("IPO",BDS(TEXT(VALUE(Database!$A251),"0")&amp;" HK Equity","EQUITY_OFFERINGS","array=t","startcol=2","endcol=2"),0)),"")</f>
        <v/>
      </c>
      <c r="C251" s="260">
        <f>IF($B251="","",IFERROR(BDP($B251&amp;" Action","CP036"),""))</f>
        <v/>
      </c>
      <c r="D251" s="261">
        <f>Database!S251</f>
        <v/>
      </c>
      <c r="E251" s="260">
        <f>IF($B251="","",IFERROR(BDP($B251&amp;" Action","CP037"),""))</f>
        <v/>
      </c>
      <c r="F251" s="261">
        <f>Database!T251</f>
        <v/>
      </c>
      <c r="G251" s="260">
        <f>IF($B251="","",IFERROR(BDP($B251&amp;" Action","GREENSHOE_FACILITY"),""))</f>
        <v/>
      </c>
      <c r="H251" s="260">
        <f>IF($B251="","",IFERROR(BDP($B251&amp;" Action","OFFERING_GREENSHOE_SHARES_EX"),""))</f>
        <v/>
      </c>
      <c r="I251" s="51">
        <f>Database!AE251</f>
        <v/>
      </c>
      <c r="J251" s="58">
        <f>IFERROR(BDP(TEXT(VALUE(Database!$A251),"0")&amp;" HK Equity","PE_RATIO"),"")</f>
        <v/>
      </c>
      <c r="K251" s="43">
        <f>IFERROR(BDP(TEXT(VALUE(Database!$A251),"0")&amp;" HK Equity","A/H_SHARE_CONVERSION"),"")</f>
        <v/>
      </c>
      <c r="L251" s="51">
        <f>IF(Database!BN251="","(none found)",Database!BN251)</f>
        <v/>
      </c>
      <c r="M251" s="53">
        <f>IFERROR(INDEX(BDH(TEXT(VALUE(Database!$A251),"0")&amp;" HK Equity","CUR_MKT_CAP",Database!$H251,Database!$H251),MATCH(Database!$H251,INDEX(BDH(TEXT(VALUE(Database!$A251),"0")&amp;" HK Equity","CUR_MKT_CAP",Database!$H251,Database!$H251),0,1),0),2),"run on terminal")</f>
        <v/>
      </c>
      <c r="N251" s="213">
        <f>Database!Q251</f>
        <v/>
      </c>
      <c r="O251" s="58">
        <f>IFERROR(INDEX(BDH(TEXT(VALUE(Database!$A251),"0")&amp;" HK Equity","PE_RATIO",Database!$H251,Database!$H251),MATCH(Database!$H251,INDEX(BDH(TEXT(VALUE(Database!$A251),"0")&amp;" HK Equity","PE_RATIO",Database!$H251,Database!$H251),0,1),0),2),"run on terminal")</f>
        <v/>
      </c>
      <c r="P251" s="251">
        <f>IF(Database!BH251="","(n/m or not derivable)",Database!BH251)</f>
        <v/>
      </c>
      <c r="Q251" s="58">
        <f>IF(Database!BN251="","",IFERROR(INDEX(BDH(LEFT(Database!BN251,FIND(".",Database!BN251)-1)&amp;" CH Equity","PE_RATIO",Database!$H251,Database!$H251),MATCH(Database!$H251,INDEX(BDH(LEFT(Database!BN251,FIND(".",Database!BN251)-1)&amp;" CH Equity","PE_RATIO",Database!$H251,Database!$H251),0,1),0),2),"run on terminal"))</f>
        <v/>
      </c>
      <c r="R251" s="58">
        <f>IF(Database!BN251="","",IFERROR(INDEX(BDH("HSAHP Index","PX_LAST",Database!$H251,Database!$H251),MATCH(Database!$H251,INDEX(BDH("HSAHP Index","PX_LAST",Database!$H251,Database!$H251),0,1),0),2),"run on terminal"))</f>
        <v/>
      </c>
      <c r="S251" s="58">
        <f>IFERROR(BDP(TEXT(VALUE(Database!$A251),"0")&amp;" HK Equity","PX_TO_SALES_RATIO"),"")</f>
        <v/>
      </c>
      <c r="T251" s="53">
        <f>IF(Database!BN251="","",IFERROR(BDP(LEFT(Database!BN251,FIND(".",Database!BN251)-1)&amp;" CH Equity","CUR_MKT_CAP")*BDP("CNYHKD Curncy","PX_LAST"),"run on terminal"))</f>
        <v/>
      </c>
    </row>
    <row r="252" ht="23" customHeight="1">
      <c r="A252" s="51">
        <f>Database!A252&amp;"  "&amp;Database!B252</f>
        <v/>
      </c>
      <c r="B252" s="43">
        <f>IFERROR(INDEX(BDS(TEXT(VALUE(Database!$A252),"0")&amp;" HK Equity","EQUITY_OFFERINGS","array=t","endcol=1"),MATCH("IPO",BDS(TEXT(VALUE(Database!$A252),"0")&amp;" HK Equity","EQUITY_OFFERINGS","array=t","startcol=2","endcol=2"),0)),"")</f>
        <v/>
      </c>
      <c r="C252" s="260">
        <f>IF($B252="","",IFERROR(BDP($B252&amp;" Action","CP036"),""))</f>
        <v/>
      </c>
      <c r="D252" s="261">
        <f>Database!S252</f>
        <v/>
      </c>
      <c r="E252" s="260">
        <f>IF($B252="","",IFERROR(BDP($B252&amp;" Action","CP037"),""))</f>
        <v/>
      </c>
      <c r="F252" s="261">
        <f>Database!T252</f>
        <v/>
      </c>
      <c r="G252" s="260">
        <f>IF($B252="","",IFERROR(BDP($B252&amp;" Action","GREENSHOE_FACILITY"),""))</f>
        <v/>
      </c>
      <c r="H252" s="260">
        <f>IF($B252="","",IFERROR(BDP($B252&amp;" Action","OFFERING_GREENSHOE_SHARES_EX"),""))</f>
        <v/>
      </c>
      <c r="I252" s="51">
        <f>Database!AE252</f>
        <v/>
      </c>
      <c r="J252" s="58">
        <f>IFERROR(BDP(TEXT(VALUE(Database!$A252),"0")&amp;" HK Equity","PE_RATIO"),"")</f>
        <v/>
      </c>
      <c r="K252" s="43">
        <f>IFERROR(BDP(TEXT(VALUE(Database!$A252),"0")&amp;" HK Equity","A/H_SHARE_CONVERSION"),"")</f>
        <v/>
      </c>
      <c r="L252" s="51">
        <f>IF(Database!BN252="","(none found)",Database!BN252)</f>
        <v/>
      </c>
      <c r="M252" s="53">
        <f>IFERROR(INDEX(BDH(TEXT(VALUE(Database!$A252),"0")&amp;" HK Equity","CUR_MKT_CAP",Database!$H252,Database!$H252),MATCH(Database!$H252,INDEX(BDH(TEXT(VALUE(Database!$A252),"0")&amp;" HK Equity","CUR_MKT_CAP",Database!$H252,Database!$H252),0,1),0),2),"run on terminal")</f>
        <v/>
      </c>
      <c r="N252" s="213">
        <f>Database!Q252</f>
        <v/>
      </c>
      <c r="O252" s="58">
        <f>IFERROR(INDEX(BDH(TEXT(VALUE(Database!$A252),"0")&amp;" HK Equity","PE_RATIO",Database!$H252,Database!$H252),MATCH(Database!$H252,INDEX(BDH(TEXT(VALUE(Database!$A252),"0")&amp;" HK Equity","PE_RATIO",Database!$H252,Database!$H252),0,1),0),2),"run on terminal")</f>
        <v/>
      </c>
      <c r="P252" s="251">
        <f>IF(Database!BH252="","(n/m or not derivable)",Database!BH252)</f>
        <v/>
      </c>
      <c r="Q252" s="58">
        <f>IF(Database!BN252="","",IFERROR(INDEX(BDH(LEFT(Database!BN252,FIND(".",Database!BN252)-1)&amp;" CH Equity","PE_RATIO",Database!$H252,Database!$H252),MATCH(Database!$H252,INDEX(BDH(LEFT(Database!BN252,FIND(".",Database!BN252)-1)&amp;" CH Equity","PE_RATIO",Database!$H252,Database!$H252),0,1),0),2),"run on terminal"))</f>
        <v/>
      </c>
      <c r="R252" s="58">
        <f>IF(Database!BN252="","",IFERROR(INDEX(BDH("HSAHP Index","PX_LAST",Database!$H252,Database!$H252),MATCH(Database!$H252,INDEX(BDH("HSAHP Index","PX_LAST",Database!$H252,Database!$H252),0,1),0),2),"run on terminal"))</f>
        <v/>
      </c>
      <c r="S252" s="58">
        <f>IFERROR(BDP(TEXT(VALUE(Database!$A252),"0")&amp;" HK Equity","PX_TO_SALES_RATIO"),"")</f>
        <v/>
      </c>
      <c r="T252" s="53">
        <f>IF(Database!BN252="","",IFERROR(BDP(LEFT(Database!BN252,FIND(".",Database!BN252)-1)&amp;" CH Equity","CUR_MKT_CAP")*BDP("CNYHKD Curncy","PX_LAST"),"run on terminal"))</f>
        <v/>
      </c>
    </row>
    <row r="253" ht="23" customHeight="1">
      <c r="A253" s="51">
        <f>Database!A253&amp;"  "&amp;Database!B253</f>
        <v/>
      </c>
      <c r="B253" s="43">
        <f>IFERROR(INDEX(BDS(TEXT(VALUE(Database!$A253),"0")&amp;" HK Equity","EQUITY_OFFERINGS","array=t","endcol=1"),MATCH("IPO",BDS(TEXT(VALUE(Database!$A253),"0")&amp;" HK Equity","EQUITY_OFFERINGS","array=t","startcol=2","endcol=2"),0)),"")</f>
        <v/>
      </c>
      <c r="C253" s="260">
        <f>IF($B253="","",IFERROR(BDP($B253&amp;" Action","CP036"),""))</f>
        <v/>
      </c>
      <c r="D253" s="261">
        <f>Database!S253</f>
        <v/>
      </c>
      <c r="E253" s="260">
        <f>IF($B253="","",IFERROR(BDP($B253&amp;" Action","CP037"),""))</f>
        <v/>
      </c>
      <c r="F253" s="261">
        <f>Database!T253</f>
        <v/>
      </c>
      <c r="G253" s="260">
        <f>IF($B253="","",IFERROR(BDP($B253&amp;" Action","GREENSHOE_FACILITY"),""))</f>
        <v/>
      </c>
      <c r="H253" s="260">
        <f>IF($B253="","",IFERROR(BDP($B253&amp;" Action","OFFERING_GREENSHOE_SHARES_EX"),""))</f>
        <v/>
      </c>
      <c r="I253" s="51">
        <f>Database!AE253</f>
        <v/>
      </c>
      <c r="J253" s="58">
        <f>IFERROR(BDP(TEXT(VALUE(Database!$A253),"0")&amp;" HK Equity","PE_RATIO"),"")</f>
        <v/>
      </c>
      <c r="K253" s="43">
        <f>IFERROR(BDP(TEXT(VALUE(Database!$A253),"0")&amp;" HK Equity","A/H_SHARE_CONVERSION"),"")</f>
        <v/>
      </c>
      <c r="L253" s="51">
        <f>IF(Database!BN253="","(none found)",Database!BN253)</f>
        <v/>
      </c>
      <c r="M253" s="53">
        <f>IFERROR(INDEX(BDH(TEXT(VALUE(Database!$A253),"0")&amp;" HK Equity","CUR_MKT_CAP",Database!$H253,Database!$H253),MATCH(Database!$H253,INDEX(BDH(TEXT(VALUE(Database!$A253),"0")&amp;" HK Equity","CUR_MKT_CAP",Database!$H253,Database!$H253),0,1),0),2),"run on terminal")</f>
        <v/>
      </c>
      <c r="N253" s="213">
        <f>Database!Q253</f>
        <v/>
      </c>
      <c r="O253" s="58">
        <f>IFERROR(INDEX(BDH(TEXT(VALUE(Database!$A253),"0")&amp;" HK Equity","PE_RATIO",Database!$H253,Database!$H253),MATCH(Database!$H253,INDEX(BDH(TEXT(VALUE(Database!$A253),"0")&amp;" HK Equity","PE_RATIO",Database!$H253,Database!$H253),0,1),0),2),"run on terminal")</f>
        <v/>
      </c>
      <c r="P253" s="251">
        <f>IF(Database!BH253="","(n/m or not derivable)",Database!BH253)</f>
        <v/>
      </c>
      <c r="Q253" s="58">
        <f>IF(Database!BN253="","",IFERROR(INDEX(BDH(LEFT(Database!BN253,FIND(".",Database!BN253)-1)&amp;" CH Equity","PE_RATIO",Database!$H253,Database!$H253),MATCH(Database!$H253,INDEX(BDH(LEFT(Database!BN253,FIND(".",Database!BN253)-1)&amp;" CH Equity","PE_RATIO",Database!$H253,Database!$H253),0,1),0),2),"run on terminal"))</f>
        <v/>
      </c>
      <c r="R253" s="58">
        <f>IF(Database!BN253="","",IFERROR(INDEX(BDH("HSAHP Index","PX_LAST",Database!$H253,Database!$H253),MATCH(Database!$H253,INDEX(BDH("HSAHP Index","PX_LAST",Database!$H253,Database!$H253),0,1),0),2),"run on terminal"))</f>
        <v/>
      </c>
      <c r="S253" s="58">
        <f>IFERROR(BDP(TEXT(VALUE(Database!$A253),"0")&amp;" HK Equity","PX_TO_SALES_RATIO"),"")</f>
        <v/>
      </c>
      <c r="T253" s="53">
        <f>IF(Database!BN253="","",IFERROR(BDP(LEFT(Database!BN253,FIND(".",Database!BN253)-1)&amp;" CH Equity","CUR_MKT_CAP")*BDP("CNYHKD Curncy","PX_LAST"),"run on terminal"))</f>
        <v/>
      </c>
    </row>
    <row r="254" ht="23" customHeight="1">
      <c r="A254" s="51">
        <f>Database!A254&amp;"  "&amp;Database!B254</f>
        <v/>
      </c>
      <c r="B254" s="43">
        <f>IFERROR(INDEX(BDS(TEXT(VALUE(Database!$A254),"0")&amp;" HK Equity","EQUITY_OFFERINGS","array=t","endcol=1"),MATCH("IPO",BDS(TEXT(VALUE(Database!$A254),"0")&amp;" HK Equity","EQUITY_OFFERINGS","array=t","startcol=2","endcol=2"),0)),"")</f>
        <v/>
      </c>
      <c r="C254" s="260">
        <f>IF($B254="","",IFERROR(BDP($B254&amp;" Action","CP036"),""))</f>
        <v/>
      </c>
      <c r="D254" s="261">
        <f>Database!S254</f>
        <v/>
      </c>
      <c r="E254" s="260">
        <f>IF($B254="","",IFERROR(BDP($B254&amp;" Action","CP037"),""))</f>
        <v/>
      </c>
      <c r="F254" s="261">
        <f>Database!T254</f>
        <v/>
      </c>
      <c r="G254" s="260">
        <f>IF($B254="","",IFERROR(BDP($B254&amp;" Action","GREENSHOE_FACILITY"),""))</f>
        <v/>
      </c>
      <c r="H254" s="260">
        <f>IF($B254="","",IFERROR(BDP($B254&amp;" Action","OFFERING_GREENSHOE_SHARES_EX"),""))</f>
        <v/>
      </c>
      <c r="I254" s="51">
        <f>Database!AE254</f>
        <v/>
      </c>
      <c r="J254" s="58">
        <f>IFERROR(BDP(TEXT(VALUE(Database!$A254),"0")&amp;" HK Equity","PE_RATIO"),"")</f>
        <v/>
      </c>
      <c r="K254" s="43">
        <f>IFERROR(BDP(TEXT(VALUE(Database!$A254),"0")&amp;" HK Equity","A/H_SHARE_CONVERSION"),"")</f>
        <v/>
      </c>
      <c r="L254" s="51">
        <f>IF(Database!BN254="","(none found)",Database!BN254)</f>
        <v/>
      </c>
      <c r="M254" s="53">
        <f>IFERROR(INDEX(BDH(TEXT(VALUE(Database!$A254),"0")&amp;" HK Equity","CUR_MKT_CAP",Database!$H254,Database!$H254),MATCH(Database!$H254,INDEX(BDH(TEXT(VALUE(Database!$A254),"0")&amp;" HK Equity","CUR_MKT_CAP",Database!$H254,Database!$H254),0,1),0),2),"run on terminal")</f>
        <v/>
      </c>
      <c r="N254" s="213">
        <f>Database!Q254</f>
        <v/>
      </c>
      <c r="O254" s="58">
        <f>IFERROR(INDEX(BDH(TEXT(VALUE(Database!$A254),"0")&amp;" HK Equity","PE_RATIO",Database!$H254,Database!$H254),MATCH(Database!$H254,INDEX(BDH(TEXT(VALUE(Database!$A254),"0")&amp;" HK Equity","PE_RATIO",Database!$H254,Database!$H254),0,1),0),2),"run on terminal")</f>
        <v/>
      </c>
      <c r="P254" s="251">
        <f>IF(Database!BH254="","(n/m or not derivable)",Database!BH254)</f>
        <v/>
      </c>
      <c r="Q254" s="58">
        <f>IF(Database!BN254="","",IFERROR(INDEX(BDH(LEFT(Database!BN254,FIND(".",Database!BN254)-1)&amp;" CH Equity","PE_RATIO",Database!$H254,Database!$H254),MATCH(Database!$H254,INDEX(BDH(LEFT(Database!BN254,FIND(".",Database!BN254)-1)&amp;" CH Equity","PE_RATIO",Database!$H254,Database!$H254),0,1),0),2),"run on terminal"))</f>
        <v/>
      </c>
      <c r="R254" s="58">
        <f>IF(Database!BN254="","",IFERROR(INDEX(BDH("HSAHP Index","PX_LAST",Database!$H254,Database!$H254),MATCH(Database!$H254,INDEX(BDH("HSAHP Index","PX_LAST",Database!$H254,Database!$H254),0,1),0),2),"run on terminal"))</f>
        <v/>
      </c>
      <c r="S254" s="58">
        <f>IFERROR(BDP(TEXT(VALUE(Database!$A254),"0")&amp;" HK Equity","PX_TO_SALES_RATIO"),"")</f>
        <v/>
      </c>
      <c r="T254" s="53">
        <f>IF(Database!BN254="","",IFERROR(BDP(LEFT(Database!BN254,FIND(".",Database!BN254)-1)&amp;" CH Equity","CUR_MKT_CAP")*BDP("CNYHKD Curncy","PX_LAST"),"run on terminal"))</f>
        <v/>
      </c>
    </row>
    <row r="255" ht="23" customHeight="1">
      <c r="A255" s="51">
        <f>Database!A255&amp;"  "&amp;Database!B255</f>
        <v/>
      </c>
      <c r="B255" s="43">
        <f>IFERROR(INDEX(BDS(TEXT(VALUE(Database!$A255),"0")&amp;" HK Equity","EQUITY_OFFERINGS","array=t","endcol=1"),MATCH("IPO",BDS(TEXT(VALUE(Database!$A255),"0")&amp;" HK Equity","EQUITY_OFFERINGS","array=t","startcol=2","endcol=2"),0)),"")</f>
        <v/>
      </c>
      <c r="C255" s="260">
        <f>IF($B255="","",IFERROR(BDP($B255&amp;" Action","CP036"),""))</f>
        <v/>
      </c>
      <c r="D255" s="261">
        <f>Database!S255</f>
        <v/>
      </c>
      <c r="E255" s="260">
        <f>IF($B255="","",IFERROR(BDP($B255&amp;" Action","CP037"),""))</f>
        <v/>
      </c>
      <c r="F255" s="261">
        <f>Database!T255</f>
        <v/>
      </c>
      <c r="G255" s="260">
        <f>IF($B255="","",IFERROR(BDP($B255&amp;" Action","GREENSHOE_FACILITY"),""))</f>
        <v/>
      </c>
      <c r="H255" s="260">
        <f>IF($B255="","",IFERROR(BDP($B255&amp;" Action","OFFERING_GREENSHOE_SHARES_EX"),""))</f>
        <v/>
      </c>
      <c r="I255" s="51">
        <f>Database!AE255</f>
        <v/>
      </c>
      <c r="J255" s="58">
        <f>IFERROR(BDP(TEXT(VALUE(Database!$A255),"0")&amp;" HK Equity","PE_RATIO"),"")</f>
        <v/>
      </c>
      <c r="K255" s="43">
        <f>IFERROR(BDP(TEXT(VALUE(Database!$A255),"0")&amp;" HK Equity","A/H_SHARE_CONVERSION"),"")</f>
        <v/>
      </c>
      <c r="L255" s="51">
        <f>IF(Database!BN255="","(none found)",Database!BN255)</f>
        <v/>
      </c>
      <c r="M255" s="53">
        <f>IFERROR(INDEX(BDH(TEXT(VALUE(Database!$A255),"0")&amp;" HK Equity","CUR_MKT_CAP",Database!$H255,Database!$H255),MATCH(Database!$H255,INDEX(BDH(TEXT(VALUE(Database!$A255),"0")&amp;" HK Equity","CUR_MKT_CAP",Database!$H255,Database!$H255),0,1),0),2),"run on terminal")</f>
        <v/>
      </c>
      <c r="N255" s="213">
        <f>Database!Q255</f>
        <v/>
      </c>
      <c r="O255" s="58">
        <f>IFERROR(INDEX(BDH(TEXT(VALUE(Database!$A255),"0")&amp;" HK Equity","PE_RATIO",Database!$H255,Database!$H255),MATCH(Database!$H255,INDEX(BDH(TEXT(VALUE(Database!$A255),"0")&amp;" HK Equity","PE_RATIO",Database!$H255,Database!$H255),0,1),0),2),"run on terminal")</f>
        <v/>
      </c>
      <c r="P255" s="251">
        <f>IF(Database!BH255="","(n/m or not derivable)",Database!BH255)</f>
        <v/>
      </c>
      <c r="Q255" s="58">
        <f>IF(Database!BN255="","",IFERROR(INDEX(BDH(LEFT(Database!BN255,FIND(".",Database!BN255)-1)&amp;" CH Equity","PE_RATIO",Database!$H255,Database!$H255),MATCH(Database!$H255,INDEX(BDH(LEFT(Database!BN255,FIND(".",Database!BN255)-1)&amp;" CH Equity","PE_RATIO",Database!$H255,Database!$H255),0,1),0),2),"run on terminal"))</f>
        <v/>
      </c>
      <c r="R255" s="58">
        <f>IF(Database!BN255="","",IFERROR(INDEX(BDH("HSAHP Index","PX_LAST",Database!$H255,Database!$H255),MATCH(Database!$H255,INDEX(BDH("HSAHP Index","PX_LAST",Database!$H255,Database!$H255),0,1),0),2),"run on terminal"))</f>
        <v/>
      </c>
      <c r="S255" s="58">
        <f>IFERROR(BDP(TEXT(VALUE(Database!$A255),"0")&amp;" HK Equity","PX_TO_SALES_RATIO"),"")</f>
        <v/>
      </c>
      <c r="T255" s="53">
        <f>IF(Database!BN255="","",IFERROR(BDP(LEFT(Database!BN255,FIND(".",Database!BN255)-1)&amp;" CH Equity","CUR_MKT_CAP")*BDP("CNYHKD Curncy","PX_LAST"),"run on terminal"))</f>
        <v/>
      </c>
    </row>
    <row r="256" ht="23" customHeight="1">
      <c r="A256" s="51">
        <f>Database!A256&amp;"  "&amp;Database!B256</f>
        <v/>
      </c>
      <c r="B256" s="43">
        <f>IFERROR(INDEX(BDS(TEXT(VALUE(Database!$A256),"0")&amp;" HK Equity","EQUITY_OFFERINGS","array=t","endcol=1"),MATCH("IPO",BDS(TEXT(VALUE(Database!$A256),"0")&amp;" HK Equity","EQUITY_OFFERINGS","array=t","startcol=2","endcol=2"),0)),"")</f>
        <v/>
      </c>
      <c r="C256" s="260">
        <f>IF($B256="","",IFERROR(BDP($B256&amp;" Action","CP036"),""))</f>
        <v/>
      </c>
      <c r="D256" s="261">
        <f>Database!S256</f>
        <v/>
      </c>
      <c r="E256" s="260">
        <f>IF($B256="","",IFERROR(BDP($B256&amp;" Action","CP037"),""))</f>
        <v/>
      </c>
      <c r="F256" s="261">
        <f>Database!T256</f>
        <v/>
      </c>
      <c r="G256" s="260">
        <f>IF($B256="","",IFERROR(BDP($B256&amp;" Action","GREENSHOE_FACILITY"),""))</f>
        <v/>
      </c>
      <c r="H256" s="260">
        <f>IF($B256="","",IFERROR(BDP($B256&amp;" Action","OFFERING_GREENSHOE_SHARES_EX"),""))</f>
        <v/>
      </c>
      <c r="I256" s="51">
        <f>Database!AE256</f>
        <v/>
      </c>
      <c r="J256" s="58">
        <f>IFERROR(BDP(TEXT(VALUE(Database!$A256),"0")&amp;" HK Equity","PE_RATIO"),"")</f>
        <v/>
      </c>
      <c r="K256" s="43">
        <f>IFERROR(BDP(TEXT(VALUE(Database!$A256),"0")&amp;" HK Equity","A/H_SHARE_CONVERSION"),"")</f>
        <v/>
      </c>
      <c r="L256" s="51">
        <f>IF(Database!BN256="","(none found)",Database!BN256)</f>
        <v/>
      </c>
      <c r="M256" s="53">
        <f>IFERROR(INDEX(BDH(TEXT(VALUE(Database!$A256),"0")&amp;" HK Equity","CUR_MKT_CAP",Database!$H256,Database!$H256),MATCH(Database!$H256,INDEX(BDH(TEXT(VALUE(Database!$A256),"0")&amp;" HK Equity","CUR_MKT_CAP",Database!$H256,Database!$H256),0,1),0),2),"run on terminal")</f>
        <v/>
      </c>
      <c r="N256" s="213">
        <f>Database!Q256</f>
        <v/>
      </c>
      <c r="O256" s="58">
        <f>IFERROR(INDEX(BDH(TEXT(VALUE(Database!$A256),"0")&amp;" HK Equity","PE_RATIO",Database!$H256,Database!$H256),MATCH(Database!$H256,INDEX(BDH(TEXT(VALUE(Database!$A256),"0")&amp;" HK Equity","PE_RATIO",Database!$H256,Database!$H256),0,1),0),2),"run on terminal")</f>
        <v/>
      </c>
      <c r="P256" s="251">
        <f>IF(Database!BH256="","(n/m or not derivable)",Database!BH256)</f>
        <v/>
      </c>
      <c r="Q256" s="58">
        <f>IF(Database!BN256="","",IFERROR(INDEX(BDH(LEFT(Database!BN256,FIND(".",Database!BN256)-1)&amp;" CH Equity","PE_RATIO",Database!$H256,Database!$H256),MATCH(Database!$H256,INDEX(BDH(LEFT(Database!BN256,FIND(".",Database!BN256)-1)&amp;" CH Equity","PE_RATIO",Database!$H256,Database!$H256),0,1),0),2),"run on terminal"))</f>
        <v/>
      </c>
      <c r="R256" s="58">
        <f>IF(Database!BN256="","",IFERROR(INDEX(BDH("HSAHP Index","PX_LAST",Database!$H256,Database!$H256),MATCH(Database!$H256,INDEX(BDH("HSAHP Index","PX_LAST",Database!$H256,Database!$H256),0,1),0),2),"run on terminal"))</f>
        <v/>
      </c>
      <c r="S256" s="58">
        <f>IFERROR(BDP(TEXT(VALUE(Database!$A256),"0")&amp;" HK Equity","PX_TO_SALES_RATIO"),"")</f>
        <v/>
      </c>
      <c r="T256" s="53">
        <f>IF(Database!BN256="","",IFERROR(BDP(LEFT(Database!BN256,FIND(".",Database!BN256)-1)&amp;" CH Equity","CUR_MKT_CAP")*BDP("CNYHKD Curncy","PX_LAST"),"run on terminal"))</f>
        <v/>
      </c>
    </row>
    <row r="257" ht="23" customHeight="1">
      <c r="A257" s="51">
        <f>Database!A257&amp;"  "&amp;Database!B257</f>
        <v/>
      </c>
      <c r="B257" s="43">
        <f>IFERROR(INDEX(BDS(TEXT(VALUE(Database!$A257),"0")&amp;" HK Equity","EQUITY_OFFERINGS","array=t","endcol=1"),MATCH("IPO",BDS(TEXT(VALUE(Database!$A257),"0")&amp;" HK Equity","EQUITY_OFFERINGS","array=t","startcol=2","endcol=2"),0)),"")</f>
        <v/>
      </c>
      <c r="C257" s="260">
        <f>IF($B257="","",IFERROR(BDP($B257&amp;" Action","CP036"),""))</f>
        <v/>
      </c>
      <c r="D257" s="261">
        <f>Database!S257</f>
        <v/>
      </c>
      <c r="E257" s="260">
        <f>IF($B257="","",IFERROR(BDP($B257&amp;" Action","CP037"),""))</f>
        <v/>
      </c>
      <c r="F257" s="261">
        <f>Database!T257</f>
        <v/>
      </c>
      <c r="G257" s="260">
        <f>IF($B257="","",IFERROR(BDP($B257&amp;" Action","GREENSHOE_FACILITY"),""))</f>
        <v/>
      </c>
      <c r="H257" s="260">
        <f>IF($B257="","",IFERROR(BDP($B257&amp;" Action","OFFERING_GREENSHOE_SHARES_EX"),""))</f>
        <v/>
      </c>
      <c r="I257" s="51">
        <f>Database!AE257</f>
        <v/>
      </c>
      <c r="J257" s="58">
        <f>IFERROR(BDP(TEXT(VALUE(Database!$A257),"0")&amp;" HK Equity","PE_RATIO"),"")</f>
        <v/>
      </c>
      <c r="K257" s="43">
        <f>IFERROR(BDP(TEXT(VALUE(Database!$A257),"0")&amp;" HK Equity","A/H_SHARE_CONVERSION"),"")</f>
        <v/>
      </c>
      <c r="L257" s="51">
        <f>IF(Database!BN257="","(none found)",Database!BN257)</f>
        <v/>
      </c>
      <c r="M257" s="53">
        <f>IFERROR(INDEX(BDH(TEXT(VALUE(Database!$A257),"0")&amp;" HK Equity","CUR_MKT_CAP",Database!$H257,Database!$H257),MATCH(Database!$H257,INDEX(BDH(TEXT(VALUE(Database!$A257),"0")&amp;" HK Equity","CUR_MKT_CAP",Database!$H257,Database!$H257),0,1),0),2),"run on terminal")</f>
        <v/>
      </c>
      <c r="N257" s="213">
        <f>Database!Q257</f>
        <v/>
      </c>
      <c r="O257" s="58">
        <f>IFERROR(INDEX(BDH(TEXT(VALUE(Database!$A257),"0")&amp;" HK Equity","PE_RATIO",Database!$H257,Database!$H257),MATCH(Database!$H257,INDEX(BDH(TEXT(VALUE(Database!$A257),"0")&amp;" HK Equity","PE_RATIO",Database!$H257,Database!$H257),0,1),0),2),"run on terminal")</f>
        <v/>
      </c>
      <c r="P257" s="251">
        <f>IF(Database!BH257="","(n/m or not derivable)",Database!BH257)</f>
        <v/>
      </c>
      <c r="Q257" s="58">
        <f>IF(Database!BN257="","",IFERROR(INDEX(BDH(LEFT(Database!BN257,FIND(".",Database!BN257)-1)&amp;" CH Equity","PE_RATIO",Database!$H257,Database!$H257),MATCH(Database!$H257,INDEX(BDH(LEFT(Database!BN257,FIND(".",Database!BN257)-1)&amp;" CH Equity","PE_RATIO",Database!$H257,Database!$H257),0,1),0),2),"run on terminal"))</f>
        <v/>
      </c>
      <c r="R257" s="58">
        <f>IF(Database!BN257="","",IFERROR(INDEX(BDH("HSAHP Index","PX_LAST",Database!$H257,Database!$H257),MATCH(Database!$H257,INDEX(BDH("HSAHP Index","PX_LAST",Database!$H257,Database!$H257),0,1),0),2),"run on terminal"))</f>
        <v/>
      </c>
      <c r="S257" s="58">
        <f>IFERROR(BDP(TEXT(VALUE(Database!$A257),"0")&amp;" HK Equity","PX_TO_SALES_RATIO"),"")</f>
        <v/>
      </c>
      <c r="T257" s="53">
        <f>IF(Database!BN257="","",IFERROR(BDP(LEFT(Database!BN257,FIND(".",Database!BN257)-1)&amp;" CH Equity","CUR_MKT_CAP")*BDP("CNYHKD Curncy","PX_LAST"),"run on terminal"))</f>
        <v/>
      </c>
    </row>
    <row r="258" ht="23" customHeight="1">
      <c r="A258" s="51">
        <f>Database!A258&amp;"  "&amp;Database!B258</f>
        <v/>
      </c>
      <c r="B258" s="43">
        <f>IFERROR(INDEX(BDS(TEXT(VALUE(Database!$A258),"0")&amp;" HK Equity","EQUITY_OFFERINGS","array=t","endcol=1"),MATCH("IPO",BDS(TEXT(VALUE(Database!$A258),"0")&amp;" HK Equity","EQUITY_OFFERINGS","array=t","startcol=2","endcol=2"),0)),"")</f>
        <v/>
      </c>
      <c r="C258" s="260">
        <f>IF($B258="","",IFERROR(BDP($B258&amp;" Action","CP036"),""))</f>
        <v/>
      </c>
      <c r="D258" s="261">
        <f>Database!S258</f>
        <v/>
      </c>
      <c r="E258" s="260">
        <f>IF($B258="","",IFERROR(BDP($B258&amp;" Action","CP037"),""))</f>
        <v/>
      </c>
      <c r="F258" s="261">
        <f>Database!T258</f>
        <v/>
      </c>
      <c r="G258" s="260">
        <f>IF($B258="","",IFERROR(BDP($B258&amp;" Action","GREENSHOE_FACILITY"),""))</f>
        <v/>
      </c>
      <c r="H258" s="260">
        <f>IF($B258="","",IFERROR(BDP($B258&amp;" Action","OFFERING_GREENSHOE_SHARES_EX"),""))</f>
        <v/>
      </c>
      <c r="I258" s="51">
        <f>Database!AE258</f>
        <v/>
      </c>
      <c r="J258" s="58">
        <f>IFERROR(BDP(TEXT(VALUE(Database!$A258),"0")&amp;" HK Equity","PE_RATIO"),"")</f>
        <v/>
      </c>
      <c r="K258" s="43">
        <f>IFERROR(BDP(TEXT(VALUE(Database!$A258),"0")&amp;" HK Equity","A/H_SHARE_CONVERSION"),"")</f>
        <v/>
      </c>
      <c r="L258" s="51">
        <f>IF(Database!BN258="","(none found)",Database!BN258)</f>
        <v/>
      </c>
      <c r="M258" s="53">
        <f>IFERROR(INDEX(BDH(TEXT(VALUE(Database!$A258),"0")&amp;" HK Equity","CUR_MKT_CAP",Database!$H258,Database!$H258),MATCH(Database!$H258,INDEX(BDH(TEXT(VALUE(Database!$A258),"0")&amp;" HK Equity","CUR_MKT_CAP",Database!$H258,Database!$H258),0,1),0),2),"run on terminal")</f>
        <v/>
      </c>
      <c r="N258" s="213">
        <f>Database!Q258</f>
        <v/>
      </c>
      <c r="O258" s="58">
        <f>IFERROR(INDEX(BDH(TEXT(VALUE(Database!$A258),"0")&amp;" HK Equity","PE_RATIO",Database!$H258,Database!$H258),MATCH(Database!$H258,INDEX(BDH(TEXT(VALUE(Database!$A258),"0")&amp;" HK Equity","PE_RATIO",Database!$H258,Database!$H258),0,1),0),2),"run on terminal")</f>
        <v/>
      </c>
      <c r="P258" s="251">
        <f>IF(Database!BH258="","(n/m or not derivable)",Database!BH258)</f>
        <v/>
      </c>
      <c r="Q258" s="58">
        <f>IF(Database!BN258="","",IFERROR(INDEX(BDH(LEFT(Database!BN258,FIND(".",Database!BN258)-1)&amp;" CH Equity","PE_RATIO",Database!$H258,Database!$H258),MATCH(Database!$H258,INDEX(BDH(LEFT(Database!BN258,FIND(".",Database!BN258)-1)&amp;" CH Equity","PE_RATIO",Database!$H258,Database!$H258),0,1),0),2),"run on terminal"))</f>
        <v/>
      </c>
      <c r="R258" s="58">
        <f>IF(Database!BN258="","",IFERROR(INDEX(BDH("HSAHP Index","PX_LAST",Database!$H258,Database!$H258),MATCH(Database!$H258,INDEX(BDH("HSAHP Index","PX_LAST",Database!$H258,Database!$H258),0,1),0),2),"run on terminal"))</f>
        <v/>
      </c>
      <c r="S258" s="58">
        <f>IFERROR(BDP(TEXT(VALUE(Database!$A258),"0")&amp;" HK Equity","PX_TO_SALES_RATIO"),"")</f>
        <v/>
      </c>
      <c r="T258" s="53">
        <f>IF(Database!BN258="","",IFERROR(BDP(LEFT(Database!BN258,FIND(".",Database!BN258)-1)&amp;" CH Equity","CUR_MKT_CAP")*BDP("CNYHKD Curncy","PX_LAST"),"run on terminal"))</f>
        <v/>
      </c>
    </row>
    <row r="259" ht="23" customHeight="1">
      <c r="A259" s="51">
        <f>Database!A259&amp;"  "&amp;Database!B259</f>
        <v/>
      </c>
      <c r="B259" s="43">
        <f>IFERROR(INDEX(BDS(TEXT(VALUE(Database!$A259),"0")&amp;" HK Equity","EQUITY_OFFERINGS","array=t","endcol=1"),MATCH("IPO",BDS(TEXT(VALUE(Database!$A259),"0")&amp;" HK Equity","EQUITY_OFFERINGS","array=t","startcol=2","endcol=2"),0)),"")</f>
        <v/>
      </c>
      <c r="C259" s="260">
        <f>IF($B259="","",IFERROR(BDP($B259&amp;" Action","CP036"),""))</f>
        <v/>
      </c>
      <c r="D259" s="261">
        <f>Database!S259</f>
        <v/>
      </c>
      <c r="E259" s="260">
        <f>IF($B259="","",IFERROR(BDP($B259&amp;" Action","CP037"),""))</f>
        <v/>
      </c>
      <c r="F259" s="261">
        <f>Database!T259</f>
        <v/>
      </c>
      <c r="G259" s="260">
        <f>IF($B259="","",IFERROR(BDP($B259&amp;" Action","GREENSHOE_FACILITY"),""))</f>
        <v/>
      </c>
      <c r="H259" s="260">
        <f>IF($B259="","",IFERROR(BDP($B259&amp;" Action","OFFERING_GREENSHOE_SHARES_EX"),""))</f>
        <v/>
      </c>
      <c r="I259" s="51">
        <f>Database!AE259</f>
        <v/>
      </c>
      <c r="J259" s="58">
        <f>IFERROR(BDP(TEXT(VALUE(Database!$A259),"0")&amp;" HK Equity","PE_RATIO"),"")</f>
        <v/>
      </c>
      <c r="K259" s="43">
        <f>IFERROR(BDP(TEXT(VALUE(Database!$A259),"0")&amp;" HK Equity","A/H_SHARE_CONVERSION"),"")</f>
        <v/>
      </c>
      <c r="L259" s="51">
        <f>IF(Database!BN259="","(none found)",Database!BN259)</f>
        <v/>
      </c>
      <c r="M259" s="53">
        <f>IFERROR(INDEX(BDH(TEXT(VALUE(Database!$A259),"0")&amp;" HK Equity","CUR_MKT_CAP",Database!$H259,Database!$H259),MATCH(Database!$H259,INDEX(BDH(TEXT(VALUE(Database!$A259),"0")&amp;" HK Equity","CUR_MKT_CAP",Database!$H259,Database!$H259),0,1),0),2),"run on terminal")</f>
        <v/>
      </c>
      <c r="N259" s="213">
        <f>Database!Q259</f>
        <v/>
      </c>
      <c r="O259" s="58">
        <f>IFERROR(INDEX(BDH(TEXT(VALUE(Database!$A259),"0")&amp;" HK Equity","PE_RATIO",Database!$H259,Database!$H259),MATCH(Database!$H259,INDEX(BDH(TEXT(VALUE(Database!$A259),"0")&amp;" HK Equity","PE_RATIO",Database!$H259,Database!$H259),0,1),0),2),"run on terminal")</f>
        <v/>
      </c>
      <c r="P259" s="251">
        <f>IF(Database!BH259="","(n/m or not derivable)",Database!BH259)</f>
        <v/>
      </c>
      <c r="Q259" s="58">
        <f>IF(Database!BN259="","",IFERROR(INDEX(BDH(LEFT(Database!BN259,FIND(".",Database!BN259)-1)&amp;" CH Equity","PE_RATIO",Database!$H259,Database!$H259),MATCH(Database!$H259,INDEX(BDH(LEFT(Database!BN259,FIND(".",Database!BN259)-1)&amp;" CH Equity","PE_RATIO",Database!$H259,Database!$H259),0,1),0),2),"run on terminal"))</f>
        <v/>
      </c>
      <c r="R259" s="58">
        <f>IF(Database!BN259="","",IFERROR(INDEX(BDH("HSAHP Index","PX_LAST",Database!$H259,Database!$H259),MATCH(Database!$H259,INDEX(BDH("HSAHP Index","PX_LAST",Database!$H259,Database!$H259),0,1),0),2),"run on terminal"))</f>
        <v/>
      </c>
      <c r="S259" s="58">
        <f>IFERROR(BDP(TEXT(VALUE(Database!$A259),"0")&amp;" HK Equity","PX_TO_SALES_RATIO"),"")</f>
        <v/>
      </c>
      <c r="T259" s="53">
        <f>IF(Database!BN259="","",IFERROR(BDP(LEFT(Database!BN259,FIND(".",Database!BN259)-1)&amp;" CH Equity","CUR_MKT_CAP")*BDP("CNYHKD Curncy","PX_LAST"),"run on terminal"))</f>
        <v/>
      </c>
    </row>
    <row r="260" ht="23" customHeight="1">
      <c r="A260" s="51">
        <f>Database!A260&amp;"  "&amp;Database!B260</f>
        <v/>
      </c>
      <c r="B260" s="43">
        <f>IFERROR(INDEX(BDS(TEXT(VALUE(Database!$A260),"0")&amp;" HK Equity","EQUITY_OFFERINGS","array=t","endcol=1"),MATCH("IPO",BDS(TEXT(VALUE(Database!$A260),"0")&amp;" HK Equity","EQUITY_OFFERINGS","array=t","startcol=2","endcol=2"),0)),"")</f>
        <v/>
      </c>
      <c r="C260" s="260">
        <f>IF($B260="","",IFERROR(BDP($B260&amp;" Action","CP036"),""))</f>
        <v/>
      </c>
      <c r="D260" s="261">
        <f>Database!S260</f>
        <v/>
      </c>
      <c r="E260" s="260">
        <f>IF($B260="","",IFERROR(BDP($B260&amp;" Action","CP037"),""))</f>
        <v/>
      </c>
      <c r="F260" s="261">
        <f>Database!T260</f>
        <v/>
      </c>
      <c r="G260" s="260">
        <f>IF($B260="","",IFERROR(BDP($B260&amp;" Action","GREENSHOE_FACILITY"),""))</f>
        <v/>
      </c>
      <c r="H260" s="260">
        <f>IF($B260="","",IFERROR(BDP($B260&amp;" Action","OFFERING_GREENSHOE_SHARES_EX"),""))</f>
        <v/>
      </c>
      <c r="I260" s="51">
        <f>Database!AE260</f>
        <v/>
      </c>
      <c r="J260" s="58">
        <f>IFERROR(BDP(TEXT(VALUE(Database!$A260),"0")&amp;" HK Equity","PE_RATIO"),"")</f>
        <v/>
      </c>
      <c r="K260" s="43">
        <f>IFERROR(BDP(TEXT(VALUE(Database!$A260),"0")&amp;" HK Equity","A/H_SHARE_CONVERSION"),"")</f>
        <v/>
      </c>
      <c r="L260" s="51">
        <f>IF(Database!BN260="","(none found)",Database!BN260)</f>
        <v/>
      </c>
      <c r="M260" s="53">
        <f>IFERROR(INDEX(BDH(TEXT(VALUE(Database!$A260),"0")&amp;" HK Equity","CUR_MKT_CAP",Database!$H260,Database!$H260),MATCH(Database!$H260,INDEX(BDH(TEXT(VALUE(Database!$A260),"0")&amp;" HK Equity","CUR_MKT_CAP",Database!$H260,Database!$H260),0,1),0),2),"run on terminal")</f>
        <v/>
      </c>
      <c r="N260" s="213">
        <f>Database!Q260</f>
        <v/>
      </c>
      <c r="O260" s="58">
        <f>IFERROR(INDEX(BDH(TEXT(VALUE(Database!$A260),"0")&amp;" HK Equity","PE_RATIO",Database!$H260,Database!$H260),MATCH(Database!$H260,INDEX(BDH(TEXT(VALUE(Database!$A260),"0")&amp;" HK Equity","PE_RATIO",Database!$H260,Database!$H260),0,1),0),2),"run on terminal")</f>
        <v/>
      </c>
      <c r="P260" s="251">
        <f>IF(Database!BH260="","(n/m or not derivable)",Database!BH260)</f>
        <v/>
      </c>
      <c r="Q260" s="58">
        <f>IF(Database!BN260="","",IFERROR(INDEX(BDH(LEFT(Database!BN260,FIND(".",Database!BN260)-1)&amp;" CH Equity","PE_RATIO",Database!$H260,Database!$H260),MATCH(Database!$H260,INDEX(BDH(LEFT(Database!BN260,FIND(".",Database!BN260)-1)&amp;" CH Equity","PE_RATIO",Database!$H260,Database!$H260),0,1),0),2),"run on terminal"))</f>
        <v/>
      </c>
      <c r="R260" s="58">
        <f>IF(Database!BN260="","",IFERROR(INDEX(BDH("HSAHP Index","PX_LAST",Database!$H260,Database!$H260),MATCH(Database!$H260,INDEX(BDH("HSAHP Index","PX_LAST",Database!$H260,Database!$H260),0,1),0),2),"run on terminal"))</f>
        <v/>
      </c>
      <c r="S260" s="58">
        <f>IFERROR(BDP(TEXT(VALUE(Database!$A260),"0")&amp;" HK Equity","PX_TO_SALES_RATIO"),"")</f>
        <v/>
      </c>
      <c r="T260" s="53">
        <f>IF(Database!BN260="","",IFERROR(BDP(LEFT(Database!BN260,FIND(".",Database!BN260)-1)&amp;" CH Equity","CUR_MKT_CAP")*BDP("CNYHKD Curncy","PX_LAST"),"run on terminal"))</f>
        <v/>
      </c>
    </row>
    <row r="261" ht="23" customHeight="1">
      <c r="A261" s="51">
        <f>Database!A261&amp;"  "&amp;Database!B261</f>
        <v/>
      </c>
      <c r="B261" s="43">
        <f>IFERROR(INDEX(BDS(TEXT(VALUE(Database!$A261),"0")&amp;" HK Equity","EQUITY_OFFERINGS","array=t","endcol=1"),MATCH("IPO",BDS(TEXT(VALUE(Database!$A261),"0")&amp;" HK Equity","EQUITY_OFFERINGS","array=t","startcol=2","endcol=2"),0)),"")</f>
        <v/>
      </c>
      <c r="C261" s="260">
        <f>IF($B261="","",IFERROR(BDP($B261&amp;" Action","CP036"),""))</f>
        <v/>
      </c>
      <c r="D261" s="261">
        <f>Database!S261</f>
        <v/>
      </c>
      <c r="E261" s="260">
        <f>IF($B261="","",IFERROR(BDP($B261&amp;" Action","CP037"),""))</f>
        <v/>
      </c>
      <c r="F261" s="261">
        <f>Database!T261</f>
        <v/>
      </c>
      <c r="G261" s="260">
        <f>IF($B261="","",IFERROR(BDP($B261&amp;" Action","GREENSHOE_FACILITY"),""))</f>
        <v/>
      </c>
      <c r="H261" s="260">
        <f>IF($B261="","",IFERROR(BDP($B261&amp;" Action","OFFERING_GREENSHOE_SHARES_EX"),""))</f>
        <v/>
      </c>
      <c r="I261" s="51">
        <f>Database!AE261</f>
        <v/>
      </c>
      <c r="J261" s="58">
        <f>IFERROR(BDP(TEXT(VALUE(Database!$A261),"0")&amp;" HK Equity","PE_RATIO"),"")</f>
        <v/>
      </c>
      <c r="K261" s="43">
        <f>IFERROR(BDP(TEXT(VALUE(Database!$A261),"0")&amp;" HK Equity","A/H_SHARE_CONVERSION"),"")</f>
        <v/>
      </c>
      <c r="L261" s="51">
        <f>IF(Database!BN261="","(none found)",Database!BN261)</f>
        <v/>
      </c>
      <c r="M261" s="53">
        <f>IFERROR(INDEX(BDH(TEXT(VALUE(Database!$A261),"0")&amp;" HK Equity","CUR_MKT_CAP",Database!$H261,Database!$H261),MATCH(Database!$H261,INDEX(BDH(TEXT(VALUE(Database!$A261),"0")&amp;" HK Equity","CUR_MKT_CAP",Database!$H261,Database!$H261),0,1),0),2),"run on terminal")</f>
        <v/>
      </c>
      <c r="N261" s="213">
        <f>Database!Q261</f>
        <v/>
      </c>
      <c r="O261" s="58">
        <f>IFERROR(INDEX(BDH(TEXT(VALUE(Database!$A261),"0")&amp;" HK Equity","PE_RATIO",Database!$H261,Database!$H261),MATCH(Database!$H261,INDEX(BDH(TEXT(VALUE(Database!$A261),"0")&amp;" HK Equity","PE_RATIO",Database!$H261,Database!$H261),0,1),0),2),"run on terminal")</f>
        <v/>
      </c>
      <c r="P261" s="251">
        <f>IF(Database!BH261="","(n/m or not derivable)",Database!BH261)</f>
        <v/>
      </c>
      <c r="Q261" s="58">
        <f>IF(Database!BN261="","",IFERROR(INDEX(BDH(LEFT(Database!BN261,FIND(".",Database!BN261)-1)&amp;" CH Equity","PE_RATIO",Database!$H261,Database!$H261),MATCH(Database!$H261,INDEX(BDH(LEFT(Database!BN261,FIND(".",Database!BN261)-1)&amp;" CH Equity","PE_RATIO",Database!$H261,Database!$H261),0,1),0),2),"run on terminal"))</f>
        <v/>
      </c>
      <c r="R261" s="58">
        <f>IF(Database!BN261="","",IFERROR(INDEX(BDH("HSAHP Index","PX_LAST",Database!$H261,Database!$H261),MATCH(Database!$H261,INDEX(BDH("HSAHP Index","PX_LAST",Database!$H261,Database!$H261),0,1),0),2),"run on terminal"))</f>
        <v/>
      </c>
      <c r="S261" s="58">
        <f>IFERROR(BDP(TEXT(VALUE(Database!$A261),"0")&amp;" HK Equity","PX_TO_SALES_RATIO"),"")</f>
        <v/>
      </c>
      <c r="T261" s="53">
        <f>IF(Database!BN261="","",IFERROR(BDP(LEFT(Database!BN261,FIND(".",Database!BN261)-1)&amp;" CH Equity","CUR_MKT_CAP")*BDP("CNYHKD Curncy","PX_LAST"),"run on terminal"))</f>
        <v/>
      </c>
    </row>
    <row r="262" ht="23" customHeight="1">
      <c r="A262" s="51">
        <f>Database!A262&amp;"  "&amp;Database!B262</f>
        <v/>
      </c>
      <c r="B262" s="43">
        <f>IFERROR(INDEX(BDS(TEXT(VALUE(Database!$A262),"0")&amp;" HK Equity","EQUITY_OFFERINGS","array=t","endcol=1"),MATCH("IPO",BDS(TEXT(VALUE(Database!$A262),"0")&amp;" HK Equity","EQUITY_OFFERINGS","array=t","startcol=2","endcol=2"),0)),"")</f>
        <v/>
      </c>
      <c r="C262" s="260">
        <f>IF($B262="","",IFERROR(BDP($B262&amp;" Action","CP036"),""))</f>
        <v/>
      </c>
      <c r="D262" s="261">
        <f>Database!S262</f>
        <v/>
      </c>
      <c r="E262" s="260">
        <f>IF($B262="","",IFERROR(BDP($B262&amp;" Action","CP037"),""))</f>
        <v/>
      </c>
      <c r="F262" s="261">
        <f>Database!T262</f>
        <v/>
      </c>
      <c r="G262" s="260">
        <f>IF($B262="","",IFERROR(BDP($B262&amp;" Action","GREENSHOE_FACILITY"),""))</f>
        <v/>
      </c>
      <c r="H262" s="260">
        <f>IF($B262="","",IFERROR(BDP($B262&amp;" Action","OFFERING_GREENSHOE_SHARES_EX"),""))</f>
        <v/>
      </c>
      <c r="I262" s="51">
        <f>Database!AE262</f>
        <v/>
      </c>
      <c r="J262" s="58">
        <f>IFERROR(BDP(TEXT(VALUE(Database!$A262),"0")&amp;" HK Equity","PE_RATIO"),"")</f>
        <v/>
      </c>
      <c r="K262" s="43">
        <f>IFERROR(BDP(TEXT(VALUE(Database!$A262),"0")&amp;" HK Equity","A/H_SHARE_CONVERSION"),"")</f>
        <v/>
      </c>
      <c r="L262" s="51">
        <f>IF(Database!BN262="","(none found)",Database!BN262)</f>
        <v/>
      </c>
      <c r="M262" s="53">
        <f>IFERROR(INDEX(BDH(TEXT(VALUE(Database!$A262),"0")&amp;" HK Equity","CUR_MKT_CAP",Database!$H262,Database!$H262),MATCH(Database!$H262,INDEX(BDH(TEXT(VALUE(Database!$A262),"0")&amp;" HK Equity","CUR_MKT_CAP",Database!$H262,Database!$H262),0,1),0),2),"run on terminal")</f>
        <v/>
      </c>
      <c r="N262" s="213">
        <f>Database!Q262</f>
        <v/>
      </c>
      <c r="O262" s="58">
        <f>IFERROR(INDEX(BDH(TEXT(VALUE(Database!$A262),"0")&amp;" HK Equity","PE_RATIO",Database!$H262,Database!$H262),MATCH(Database!$H262,INDEX(BDH(TEXT(VALUE(Database!$A262),"0")&amp;" HK Equity","PE_RATIO",Database!$H262,Database!$H262),0,1),0),2),"run on terminal")</f>
        <v/>
      </c>
      <c r="P262" s="251">
        <f>IF(Database!BH262="","(n/m or not derivable)",Database!BH262)</f>
        <v/>
      </c>
      <c r="Q262" s="58">
        <f>IF(Database!BN262="","",IFERROR(INDEX(BDH(LEFT(Database!BN262,FIND(".",Database!BN262)-1)&amp;" CH Equity","PE_RATIO",Database!$H262,Database!$H262),MATCH(Database!$H262,INDEX(BDH(LEFT(Database!BN262,FIND(".",Database!BN262)-1)&amp;" CH Equity","PE_RATIO",Database!$H262,Database!$H262),0,1),0),2),"run on terminal"))</f>
        <v/>
      </c>
      <c r="R262" s="58">
        <f>IF(Database!BN262="","",IFERROR(INDEX(BDH("HSAHP Index","PX_LAST",Database!$H262,Database!$H262),MATCH(Database!$H262,INDEX(BDH("HSAHP Index","PX_LAST",Database!$H262,Database!$H262),0,1),0),2),"run on terminal"))</f>
        <v/>
      </c>
      <c r="S262" s="58">
        <f>IFERROR(BDP(TEXT(VALUE(Database!$A262),"0")&amp;" HK Equity","PX_TO_SALES_RATIO"),"")</f>
        <v/>
      </c>
      <c r="T262" s="53">
        <f>IF(Database!BN262="","",IFERROR(BDP(LEFT(Database!BN262,FIND(".",Database!BN262)-1)&amp;" CH Equity","CUR_MKT_CAP")*BDP("CNYHKD Curncy","PX_LAST"),"run on terminal"))</f>
        <v/>
      </c>
    </row>
    <row r="263" ht="23" customHeight="1">
      <c r="A263" s="51">
        <f>Database!A263&amp;"  "&amp;Database!B263</f>
        <v/>
      </c>
      <c r="B263" s="43">
        <f>IFERROR(INDEX(BDS(TEXT(VALUE(Database!$A263),"0")&amp;" HK Equity","EQUITY_OFFERINGS","array=t","endcol=1"),MATCH("IPO",BDS(TEXT(VALUE(Database!$A263),"0")&amp;" HK Equity","EQUITY_OFFERINGS","array=t","startcol=2","endcol=2"),0)),"")</f>
        <v/>
      </c>
      <c r="C263" s="260">
        <f>IF($B263="","",IFERROR(BDP($B263&amp;" Action","CP036"),""))</f>
        <v/>
      </c>
      <c r="D263" s="261">
        <f>Database!S263</f>
        <v/>
      </c>
      <c r="E263" s="260">
        <f>IF($B263="","",IFERROR(BDP($B263&amp;" Action","CP037"),""))</f>
        <v/>
      </c>
      <c r="F263" s="261">
        <f>Database!T263</f>
        <v/>
      </c>
      <c r="G263" s="260">
        <f>IF($B263="","",IFERROR(BDP($B263&amp;" Action","GREENSHOE_FACILITY"),""))</f>
        <v/>
      </c>
      <c r="H263" s="260">
        <f>IF($B263="","",IFERROR(BDP($B263&amp;" Action","OFFERING_GREENSHOE_SHARES_EX"),""))</f>
        <v/>
      </c>
      <c r="I263" s="51">
        <f>Database!AE263</f>
        <v/>
      </c>
      <c r="J263" s="58">
        <f>IFERROR(BDP(TEXT(VALUE(Database!$A263),"0")&amp;" HK Equity","PE_RATIO"),"")</f>
        <v/>
      </c>
      <c r="K263" s="43">
        <f>IFERROR(BDP(TEXT(VALUE(Database!$A263),"0")&amp;" HK Equity","A/H_SHARE_CONVERSION"),"")</f>
        <v/>
      </c>
      <c r="L263" s="51">
        <f>IF(Database!BN263="","(none found)",Database!BN263)</f>
        <v/>
      </c>
      <c r="M263" s="53">
        <f>IFERROR(INDEX(BDH(TEXT(VALUE(Database!$A263),"0")&amp;" HK Equity","CUR_MKT_CAP",Database!$H263,Database!$H263),MATCH(Database!$H263,INDEX(BDH(TEXT(VALUE(Database!$A263),"0")&amp;" HK Equity","CUR_MKT_CAP",Database!$H263,Database!$H263),0,1),0),2),"run on terminal")</f>
        <v/>
      </c>
      <c r="N263" s="213">
        <f>Database!Q263</f>
        <v/>
      </c>
      <c r="O263" s="58">
        <f>IFERROR(INDEX(BDH(TEXT(VALUE(Database!$A263),"0")&amp;" HK Equity","PE_RATIO",Database!$H263,Database!$H263),MATCH(Database!$H263,INDEX(BDH(TEXT(VALUE(Database!$A263),"0")&amp;" HK Equity","PE_RATIO",Database!$H263,Database!$H263),0,1),0),2),"run on terminal")</f>
        <v/>
      </c>
      <c r="P263" s="251">
        <f>IF(Database!BH263="","(n/m or not derivable)",Database!BH263)</f>
        <v/>
      </c>
      <c r="Q263" s="58">
        <f>IF(Database!BN263="","",IFERROR(INDEX(BDH(LEFT(Database!BN263,FIND(".",Database!BN263)-1)&amp;" CH Equity","PE_RATIO",Database!$H263,Database!$H263),MATCH(Database!$H263,INDEX(BDH(LEFT(Database!BN263,FIND(".",Database!BN263)-1)&amp;" CH Equity","PE_RATIO",Database!$H263,Database!$H263),0,1),0),2),"run on terminal"))</f>
        <v/>
      </c>
      <c r="R263" s="58">
        <f>IF(Database!BN263="","",IFERROR(INDEX(BDH("HSAHP Index","PX_LAST",Database!$H263,Database!$H263),MATCH(Database!$H263,INDEX(BDH("HSAHP Index","PX_LAST",Database!$H263,Database!$H263),0,1),0),2),"run on terminal"))</f>
        <v/>
      </c>
      <c r="S263" s="58">
        <f>IFERROR(BDP(TEXT(VALUE(Database!$A263),"0")&amp;" HK Equity","PX_TO_SALES_RATIO"),"")</f>
        <v/>
      </c>
      <c r="T263" s="53">
        <f>IF(Database!BN263="","",IFERROR(BDP(LEFT(Database!BN263,FIND(".",Database!BN263)-1)&amp;" CH Equity","CUR_MKT_CAP")*BDP("CNYHKD Curncy","PX_LAST"),"run on terminal"))</f>
        <v/>
      </c>
    </row>
    <row r="264" ht="23" customHeight="1">
      <c r="A264" s="51">
        <f>Database!A264&amp;"  "&amp;Database!B264</f>
        <v/>
      </c>
      <c r="B264" s="43">
        <f>IFERROR(INDEX(BDS(TEXT(VALUE(Database!$A264),"0")&amp;" HK Equity","EQUITY_OFFERINGS","array=t","endcol=1"),MATCH("IPO",BDS(TEXT(VALUE(Database!$A264),"0")&amp;" HK Equity","EQUITY_OFFERINGS","array=t","startcol=2","endcol=2"),0)),"")</f>
        <v/>
      </c>
      <c r="C264" s="260">
        <f>IF($B264="","",IFERROR(BDP($B264&amp;" Action","CP036"),""))</f>
        <v/>
      </c>
      <c r="D264" s="261">
        <f>Database!S264</f>
        <v/>
      </c>
      <c r="E264" s="260">
        <f>IF($B264="","",IFERROR(BDP($B264&amp;" Action","CP037"),""))</f>
        <v/>
      </c>
      <c r="F264" s="261">
        <f>Database!T264</f>
        <v/>
      </c>
      <c r="G264" s="260">
        <f>IF($B264="","",IFERROR(BDP($B264&amp;" Action","GREENSHOE_FACILITY"),""))</f>
        <v/>
      </c>
      <c r="H264" s="260">
        <f>IF($B264="","",IFERROR(BDP($B264&amp;" Action","OFFERING_GREENSHOE_SHARES_EX"),""))</f>
        <v/>
      </c>
      <c r="I264" s="51">
        <f>Database!AE264</f>
        <v/>
      </c>
      <c r="J264" s="58">
        <f>IFERROR(BDP(TEXT(VALUE(Database!$A264),"0")&amp;" HK Equity","PE_RATIO"),"")</f>
        <v/>
      </c>
      <c r="K264" s="43">
        <f>IFERROR(BDP(TEXT(VALUE(Database!$A264),"0")&amp;" HK Equity","A/H_SHARE_CONVERSION"),"")</f>
        <v/>
      </c>
      <c r="L264" s="51">
        <f>IF(Database!BN264="","(none found)",Database!BN264)</f>
        <v/>
      </c>
      <c r="M264" s="53">
        <f>IFERROR(INDEX(BDH(TEXT(VALUE(Database!$A264),"0")&amp;" HK Equity","CUR_MKT_CAP",Database!$H264,Database!$H264),MATCH(Database!$H264,INDEX(BDH(TEXT(VALUE(Database!$A264),"0")&amp;" HK Equity","CUR_MKT_CAP",Database!$H264,Database!$H264),0,1),0),2),"run on terminal")</f>
        <v/>
      </c>
      <c r="N264" s="213">
        <f>Database!Q264</f>
        <v/>
      </c>
      <c r="O264" s="58">
        <f>IFERROR(INDEX(BDH(TEXT(VALUE(Database!$A264),"0")&amp;" HK Equity","PE_RATIO",Database!$H264,Database!$H264),MATCH(Database!$H264,INDEX(BDH(TEXT(VALUE(Database!$A264),"0")&amp;" HK Equity","PE_RATIO",Database!$H264,Database!$H264),0,1),0),2),"run on terminal")</f>
        <v/>
      </c>
      <c r="P264" s="251">
        <f>IF(Database!BH264="","(n/m or not derivable)",Database!BH264)</f>
        <v/>
      </c>
      <c r="Q264" s="58">
        <f>IF(Database!BN264="","",IFERROR(INDEX(BDH(LEFT(Database!BN264,FIND(".",Database!BN264)-1)&amp;" CH Equity","PE_RATIO",Database!$H264,Database!$H264),MATCH(Database!$H264,INDEX(BDH(LEFT(Database!BN264,FIND(".",Database!BN264)-1)&amp;" CH Equity","PE_RATIO",Database!$H264,Database!$H264),0,1),0),2),"run on terminal"))</f>
        <v/>
      </c>
      <c r="R264" s="58">
        <f>IF(Database!BN264="","",IFERROR(INDEX(BDH("HSAHP Index","PX_LAST",Database!$H264,Database!$H264),MATCH(Database!$H264,INDEX(BDH("HSAHP Index","PX_LAST",Database!$H264,Database!$H264),0,1),0),2),"run on terminal"))</f>
        <v/>
      </c>
      <c r="S264" s="58">
        <f>IFERROR(BDP(TEXT(VALUE(Database!$A264),"0")&amp;" HK Equity","PX_TO_SALES_RATIO"),"")</f>
        <v/>
      </c>
      <c r="T264" s="53">
        <f>IF(Database!BN264="","",IFERROR(BDP(LEFT(Database!BN264,FIND(".",Database!BN264)-1)&amp;" CH Equity","CUR_MKT_CAP")*BDP("CNYHKD Curncy","PX_LAST"),"run on terminal"))</f>
        <v/>
      </c>
    </row>
    <row r="265" ht="23" customHeight="1">
      <c r="A265" s="51">
        <f>Database!A265&amp;"  "&amp;Database!B265</f>
        <v/>
      </c>
      <c r="B265" s="43">
        <f>IFERROR(INDEX(BDS(TEXT(VALUE(Database!$A265),"0")&amp;" HK Equity","EQUITY_OFFERINGS","array=t","endcol=1"),MATCH("IPO",BDS(TEXT(VALUE(Database!$A265),"0")&amp;" HK Equity","EQUITY_OFFERINGS","array=t","startcol=2","endcol=2"),0)),"")</f>
        <v/>
      </c>
      <c r="C265" s="260">
        <f>IF($B265="","",IFERROR(BDP($B265&amp;" Action","CP036"),""))</f>
        <v/>
      </c>
      <c r="D265" s="261">
        <f>Database!S265</f>
        <v/>
      </c>
      <c r="E265" s="260">
        <f>IF($B265="","",IFERROR(BDP($B265&amp;" Action","CP037"),""))</f>
        <v/>
      </c>
      <c r="F265" s="261">
        <f>Database!T265</f>
        <v/>
      </c>
      <c r="G265" s="260">
        <f>IF($B265="","",IFERROR(BDP($B265&amp;" Action","GREENSHOE_FACILITY"),""))</f>
        <v/>
      </c>
      <c r="H265" s="260">
        <f>IF($B265="","",IFERROR(BDP($B265&amp;" Action","OFFERING_GREENSHOE_SHARES_EX"),""))</f>
        <v/>
      </c>
      <c r="I265" s="51">
        <f>Database!AE265</f>
        <v/>
      </c>
      <c r="J265" s="58">
        <f>IFERROR(BDP(TEXT(VALUE(Database!$A265),"0")&amp;" HK Equity","PE_RATIO"),"")</f>
        <v/>
      </c>
      <c r="K265" s="43">
        <f>IFERROR(BDP(TEXT(VALUE(Database!$A265),"0")&amp;" HK Equity","A/H_SHARE_CONVERSION"),"")</f>
        <v/>
      </c>
      <c r="L265" s="51">
        <f>IF(Database!BN265="","(none found)",Database!BN265)</f>
        <v/>
      </c>
      <c r="M265" s="53">
        <f>IFERROR(INDEX(BDH(TEXT(VALUE(Database!$A265),"0")&amp;" HK Equity","CUR_MKT_CAP",Database!$H265,Database!$H265),MATCH(Database!$H265,INDEX(BDH(TEXT(VALUE(Database!$A265),"0")&amp;" HK Equity","CUR_MKT_CAP",Database!$H265,Database!$H265),0,1),0),2),"run on terminal")</f>
        <v/>
      </c>
      <c r="N265" s="213">
        <f>Database!Q265</f>
        <v/>
      </c>
      <c r="O265" s="58">
        <f>IFERROR(INDEX(BDH(TEXT(VALUE(Database!$A265),"0")&amp;" HK Equity","PE_RATIO",Database!$H265,Database!$H265),MATCH(Database!$H265,INDEX(BDH(TEXT(VALUE(Database!$A265),"0")&amp;" HK Equity","PE_RATIO",Database!$H265,Database!$H265),0,1),0),2),"run on terminal")</f>
        <v/>
      </c>
      <c r="P265" s="251">
        <f>IF(Database!BH265="","(n/m or not derivable)",Database!BH265)</f>
        <v/>
      </c>
      <c r="Q265" s="58">
        <f>IF(Database!BN265="","",IFERROR(INDEX(BDH(LEFT(Database!BN265,FIND(".",Database!BN265)-1)&amp;" CH Equity","PE_RATIO",Database!$H265,Database!$H265),MATCH(Database!$H265,INDEX(BDH(LEFT(Database!BN265,FIND(".",Database!BN265)-1)&amp;" CH Equity","PE_RATIO",Database!$H265,Database!$H265),0,1),0),2),"run on terminal"))</f>
        <v/>
      </c>
      <c r="R265" s="58">
        <f>IF(Database!BN265="","",IFERROR(INDEX(BDH("HSAHP Index","PX_LAST",Database!$H265,Database!$H265),MATCH(Database!$H265,INDEX(BDH("HSAHP Index","PX_LAST",Database!$H265,Database!$H265),0,1),0),2),"run on terminal"))</f>
        <v/>
      </c>
      <c r="S265" s="58">
        <f>IFERROR(BDP(TEXT(VALUE(Database!$A265),"0")&amp;" HK Equity","PX_TO_SALES_RATIO"),"")</f>
        <v/>
      </c>
      <c r="T265" s="53">
        <f>IF(Database!BN265="","",IFERROR(BDP(LEFT(Database!BN265,FIND(".",Database!BN265)-1)&amp;" CH Equity","CUR_MKT_CAP")*BDP("CNYHKD Curncy","PX_LAST"),"run on terminal"))</f>
        <v/>
      </c>
    </row>
    <row r="266" ht="23" customHeight="1">
      <c r="A266" s="51">
        <f>Database!A266&amp;"  "&amp;Database!B266</f>
        <v/>
      </c>
      <c r="B266" s="43">
        <f>IFERROR(INDEX(BDS(TEXT(VALUE(Database!$A266),"0")&amp;" HK Equity","EQUITY_OFFERINGS","array=t","endcol=1"),MATCH("IPO",BDS(TEXT(VALUE(Database!$A266),"0")&amp;" HK Equity","EQUITY_OFFERINGS","array=t","startcol=2","endcol=2"),0)),"")</f>
        <v/>
      </c>
      <c r="C266" s="260">
        <f>IF($B266="","",IFERROR(BDP($B266&amp;" Action","CP036"),""))</f>
        <v/>
      </c>
      <c r="D266" s="261">
        <f>Database!S266</f>
        <v/>
      </c>
      <c r="E266" s="260">
        <f>IF($B266="","",IFERROR(BDP($B266&amp;" Action","CP037"),""))</f>
        <v/>
      </c>
      <c r="F266" s="261">
        <f>Database!T266</f>
        <v/>
      </c>
      <c r="G266" s="260">
        <f>IF($B266="","",IFERROR(BDP($B266&amp;" Action","GREENSHOE_FACILITY"),""))</f>
        <v/>
      </c>
      <c r="H266" s="260">
        <f>IF($B266="","",IFERROR(BDP($B266&amp;" Action","OFFERING_GREENSHOE_SHARES_EX"),""))</f>
        <v/>
      </c>
      <c r="I266" s="51">
        <f>Database!AE266</f>
        <v/>
      </c>
      <c r="J266" s="58">
        <f>IFERROR(BDP(TEXT(VALUE(Database!$A266),"0")&amp;" HK Equity","PE_RATIO"),"")</f>
        <v/>
      </c>
      <c r="K266" s="43">
        <f>IFERROR(BDP(TEXT(VALUE(Database!$A266),"0")&amp;" HK Equity","A/H_SHARE_CONVERSION"),"")</f>
        <v/>
      </c>
      <c r="L266" s="51">
        <f>IF(Database!BN266="","(none found)",Database!BN266)</f>
        <v/>
      </c>
      <c r="M266" s="53">
        <f>IFERROR(INDEX(BDH(TEXT(VALUE(Database!$A266),"0")&amp;" HK Equity","CUR_MKT_CAP",Database!$H266,Database!$H266),MATCH(Database!$H266,INDEX(BDH(TEXT(VALUE(Database!$A266),"0")&amp;" HK Equity","CUR_MKT_CAP",Database!$H266,Database!$H266),0,1),0),2),"run on terminal")</f>
        <v/>
      </c>
      <c r="N266" s="213">
        <f>Database!Q266</f>
        <v/>
      </c>
      <c r="O266" s="58">
        <f>IFERROR(INDEX(BDH(TEXT(VALUE(Database!$A266),"0")&amp;" HK Equity","PE_RATIO",Database!$H266,Database!$H266),MATCH(Database!$H266,INDEX(BDH(TEXT(VALUE(Database!$A266),"0")&amp;" HK Equity","PE_RATIO",Database!$H266,Database!$H266),0,1),0),2),"run on terminal")</f>
        <v/>
      </c>
      <c r="P266" s="251">
        <f>IF(Database!BH266="","(n/m or not derivable)",Database!BH266)</f>
        <v/>
      </c>
      <c r="Q266" s="58">
        <f>IF(Database!BN266="","",IFERROR(INDEX(BDH(LEFT(Database!BN266,FIND(".",Database!BN266)-1)&amp;" CH Equity","PE_RATIO",Database!$H266,Database!$H266),MATCH(Database!$H266,INDEX(BDH(LEFT(Database!BN266,FIND(".",Database!BN266)-1)&amp;" CH Equity","PE_RATIO",Database!$H266,Database!$H266),0,1),0),2),"run on terminal"))</f>
        <v/>
      </c>
      <c r="R266" s="58">
        <f>IF(Database!BN266="","",IFERROR(INDEX(BDH("HSAHP Index","PX_LAST",Database!$H266,Database!$H266),MATCH(Database!$H266,INDEX(BDH("HSAHP Index","PX_LAST",Database!$H266,Database!$H266),0,1),0),2),"run on terminal"))</f>
        <v/>
      </c>
      <c r="S266" s="58">
        <f>IFERROR(BDP(TEXT(VALUE(Database!$A266),"0")&amp;" HK Equity","PX_TO_SALES_RATIO"),"")</f>
        <v/>
      </c>
      <c r="T266" s="53">
        <f>IF(Database!BN266="","",IFERROR(BDP(LEFT(Database!BN266,FIND(".",Database!BN266)-1)&amp;" CH Equity","CUR_MKT_CAP")*BDP("CNYHKD Curncy","PX_LAST"),"run on terminal"))</f>
        <v/>
      </c>
    </row>
    <row r="267" ht="23" customHeight="1">
      <c r="A267" s="51">
        <f>Database!A267&amp;"  "&amp;Database!B267</f>
        <v/>
      </c>
      <c r="B267" s="43">
        <f>IFERROR(INDEX(BDS(TEXT(VALUE(Database!$A267),"0")&amp;" HK Equity","EQUITY_OFFERINGS","array=t","endcol=1"),MATCH("IPO",BDS(TEXT(VALUE(Database!$A267),"0")&amp;" HK Equity","EQUITY_OFFERINGS","array=t","startcol=2","endcol=2"),0)),"")</f>
        <v/>
      </c>
      <c r="C267" s="260">
        <f>IF($B267="","",IFERROR(BDP($B267&amp;" Action","CP036"),""))</f>
        <v/>
      </c>
      <c r="D267" s="261">
        <f>Database!S267</f>
        <v/>
      </c>
      <c r="E267" s="260">
        <f>IF($B267="","",IFERROR(BDP($B267&amp;" Action","CP037"),""))</f>
        <v/>
      </c>
      <c r="F267" s="261">
        <f>Database!T267</f>
        <v/>
      </c>
      <c r="G267" s="260">
        <f>IF($B267="","",IFERROR(BDP($B267&amp;" Action","GREENSHOE_FACILITY"),""))</f>
        <v/>
      </c>
      <c r="H267" s="260">
        <f>IF($B267="","",IFERROR(BDP($B267&amp;" Action","OFFERING_GREENSHOE_SHARES_EX"),""))</f>
        <v/>
      </c>
      <c r="I267" s="51">
        <f>Database!AE267</f>
        <v/>
      </c>
      <c r="J267" s="58">
        <f>IFERROR(BDP(TEXT(VALUE(Database!$A267),"0")&amp;" HK Equity","PE_RATIO"),"")</f>
        <v/>
      </c>
      <c r="K267" s="43">
        <f>IFERROR(BDP(TEXT(VALUE(Database!$A267),"0")&amp;" HK Equity","A/H_SHARE_CONVERSION"),"")</f>
        <v/>
      </c>
      <c r="L267" s="51">
        <f>IF(Database!BN267="","(none found)",Database!BN267)</f>
        <v/>
      </c>
      <c r="M267" s="53">
        <f>IFERROR(INDEX(BDH(TEXT(VALUE(Database!$A267),"0")&amp;" HK Equity","CUR_MKT_CAP",Database!$H267,Database!$H267),MATCH(Database!$H267,INDEX(BDH(TEXT(VALUE(Database!$A267),"0")&amp;" HK Equity","CUR_MKT_CAP",Database!$H267,Database!$H267),0,1),0),2),"run on terminal")</f>
        <v/>
      </c>
      <c r="N267" s="213">
        <f>Database!Q267</f>
        <v/>
      </c>
      <c r="O267" s="58">
        <f>IFERROR(INDEX(BDH(TEXT(VALUE(Database!$A267),"0")&amp;" HK Equity","PE_RATIO",Database!$H267,Database!$H267),MATCH(Database!$H267,INDEX(BDH(TEXT(VALUE(Database!$A267),"0")&amp;" HK Equity","PE_RATIO",Database!$H267,Database!$H267),0,1),0),2),"run on terminal")</f>
        <v/>
      </c>
      <c r="P267" s="251">
        <f>IF(Database!BH267="","(n/m or not derivable)",Database!BH267)</f>
        <v/>
      </c>
      <c r="Q267" s="58">
        <f>IF(Database!BN267="","",IFERROR(INDEX(BDH(LEFT(Database!BN267,FIND(".",Database!BN267)-1)&amp;" CH Equity","PE_RATIO",Database!$H267,Database!$H267),MATCH(Database!$H267,INDEX(BDH(LEFT(Database!BN267,FIND(".",Database!BN267)-1)&amp;" CH Equity","PE_RATIO",Database!$H267,Database!$H267),0,1),0),2),"run on terminal"))</f>
        <v/>
      </c>
      <c r="R267" s="58">
        <f>IF(Database!BN267="","",IFERROR(INDEX(BDH("HSAHP Index","PX_LAST",Database!$H267,Database!$H267),MATCH(Database!$H267,INDEX(BDH("HSAHP Index","PX_LAST",Database!$H267,Database!$H267),0,1),0),2),"run on terminal"))</f>
        <v/>
      </c>
      <c r="S267" s="58">
        <f>IFERROR(BDP(TEXT(VALUE(Database!$A267),"0")&amp;" HK Equity","PX_TO_SALES_RATIO"),"")</f>
        <v/>
      </c>
      <c r="T267" s="53">
        <f>IF(Database!BN267="","",IFERROR(BDP(LEFT(Database!BN267,FIND(".",Database!BN267)-1)&amp;" CH Equity","CUR_MKT_CAP")*BDP("CNYHKD Curncy","PX_LAST"),"run on terminal"))</f>
        <v/>
      </c>
    </row>
    <row r="268" ht="23" customHeight="1">
      <c r="A268" s="51">
        <f>Database!A268&amp;"  "&amp;Database!B268</f>
        <v/>
      </c>
      <c r="B268" s="43">
        <f>IFERROR(INDEX(BDS(TEXT(VALUE(Database!$A268),"0")&amp;" HK Equity","EQUITY_OFFERINGS","array=t","endcol=1"),MATCH("IPO",BDS(TEXT(VALUE(Database!$A268),"0")&amp;" HK Equity","EQUITY_OFFERINGS","array=t","startcol=2","endcol=2"),0)),"")</f>
        <v/>
      </c>
      <c r="C268" s="260">
        <f>IF($B268="","",IFERROR(BDP($B268&amp;" Action","CP036"),""))</f>
        <v/>
      </c>
      <c r="D268" s="261">
        <f>Database!S268</f>
        <v/>
      </c>
      <c r="E268" s="260">
        <f>IF($B268="","",IFERROR(BDP($B268&amp;" Action","CP037"),""))</f>
        <v/>
      </c>
      <c r="F268" s="261">
        <f>Database!T268</f>
        <v/>
      </c>
      <c r="G268" s="260">
        <f>IF($B268="","",IFERROR(BDP($B268&amp;" Action","GREENSHOE_FACILITY"),""))</f>
        <v/>
      </c>
      <c r="H268" s="260">
        <f>IF($B268="","",IFERROR(BDP($B268&amp;" Action","OFFERING_GREENSHOE_SHARES_EX"),""))</f>
        <v/>
      </c>
      <c r="I268" s="51">
        <f>Database!AE268</f>
        <v/>
      </c>
      <c r="J268" s="58">
        <f>IFERROR(BDP(TEXT(VALUE(Database!$A268),"0")&amp;" HK Equity","PE_RATIO"),"")</f>
        <v/>
      </c>
      <c r="K268" s="43">
        <f>IFERROR(BDP(TEXT(VALUE(Database!$A268),"0")&amp;" HK Equity","A/H_SHARE_CONVERSION"),"")</f>
        <v/>
      </c>
      <c r="L268" s="51">
        <f>IF(Database!BN268="","(none found)",Database!BN268)</f>
        <v/>
      </c>
      <c r="M268" s="53">
        <f>IFERROR(INDEX(BDH(TEXT(VALUE(Database!$A268),"0")&amp;" HK Equity","CUR_MKT_CAP",Database!$H268,Database!$H268),MATCH(Database!$H268,INDEX(BDH(TEXT(VALUE(Database!$A268),"0")&amp;" HK Equity","CUR_MKT_CAP",Database!$H268,Database!$H268),0,1),0),2),"run on terminal")</f>
        <v/>
      </c>
      <c r="N268" s="213">
        <f>Database!Q268</f>
        <v/>
      </c>
      <c r="O268" s="58">
        <f>IFERROR(INDEX(BDH(TEXT(VALUE(Database!$A268),"0")&amp;" HK Equity","PE_RATIO",Database!$H268,Database!$H268),MATCH(Database!$H268,INDEX(BDH(TEXT(VALUE(Database!$A268),"0")&amp;" HK Equity","PE_RATIO",Database!$H268,Database!$H268),0,1),0),2),"run on terminal")</f>
        <v/>
      </c>
      <c r="P268" s="251">
        <f>IF(Database!BH268="","(n/m or not derivable)",Database!BH268)</f>
        <v/>
      </c>
      <c r="Q268" s="58">
        <f>IF(Database!BN268="","",IFERROR(INDEX(BDH(LEFT(Database!BN268,FIND(".",Database!BN268)-1)&amp;" CH Equity","PE_RATIO",Database!$H268,Database!$H268),MATCH(Database!$H268,INDEX(BDH(LEFT(Database!BN268,FIND(".",Database!BN268)-1)&amp;" CH Equity","PE_RATIO",Database!$H268,Database!$H268),0,1),0),2),"run on terminal"))</f>
        <v/>
      </c>
      <c r="R268" s="58">
        <f>IF(Database!BN268="","",IFERROR(INDEX(BDH("HSAHP Index","PX_LAST",Database!$H268,Database!$H268),MATCH(Database!$H268,INDEX(BDH("HSAHP Index","PX_LAST",Database!$H268,Database!$H268),0,1),0),2),"run on terminal"))</f>
        <v/>
      </c>
      <c r="S268" s="58">
        <f>IFERROR(BDP(TEXT(VALUE(Database!$A268),"0")&amp;" HK Equity","PX_TO_SALES_RATIO"),"")</f>
        <v/>
      </c>
      <c r="T268" s="53">
        <f>IF(Database!BN268="","",IFERROR(BDP(LEFT(Database!BN268,FIND(".",Database!BN268)-1)&amp;" CH Equity","CUR_MKT_CAP")*BDP("CNYHKD Curncy","PX_LAST"),"run on terminal"))</f>
        <v/>
      </c>
    </row>
    <row r="269" ht="23" customHeight="1">
      <c r="A269" s="51">
        <f>Database!A269&amp;"  "&amp;Database!B269</f>
        <v/>
      </c>
      <c r="B269" s="43">
        <f>IFERROR(INDEX(BDS(TEXT(VALUE(Database!$A269),"0")&amp;" HK Equity","EQUITY_OFFERINGS","array=t","endcol=1"),MATCH("IPO",BDS(TEXT(VALUE(Database!$A269),"0")&amp;" HK Equity","EQUITY_OFFERINGS","array=t","startcol=2","endcol=2"),0)),"")</f>
        <v/>
      </c>
      <c r="C269" s="260">
        <f>IF($B269="","",IFERROR(BDP($B269&amp;" Action","CP036"),""))</f>
        <v/>
      </c>
      <c r="D269" s="261">
        <f>Database!S269</f>
        <v/>
      </c>
      <c r="E269" s="260">
        <f>IF($B269="","",IFERROR(BDP($B269&amp;" Action","CP037"),""))</f>
        <v/>
      </c>
      <c r="F269" s="261">
        <f>Database!T269</f>
        <v/>
      </c>
      <c r="G269" s="260">
        <f>IF($B269="","",IFERROR(BDP($B269&amp;" Action","GREENSHOE_FACILITY"),""))</f>
        <v/>
      </c>
      <c r="H269" s="260">
        <f>IF($B269="","",IFERROR(BDP($B269&amp;" Action","OFFERING_GREENSHOE_SHARES_EX"),""))</f>
        <v/>
      </c>
      <c r="I269" s="51">
        <f>Database!AE269</f>
        <v/>
      </c>
      <c r="J269" s="58">
        <f>IFERROR(BDP(TEXT(VALUE(Database!$A269),"0")&amp;" HK Equity","PE_RATIO"),"")</f>
        <v/>
      </c>
      <c r="K269" s="43">
        <f>IFERROR(BDP(TEXT(VALUE(Database!$A269),"0")&amp;" HK Equity","A/H_SHARE_CONVERSION"),"")</f>
        <v/>
      </c>
      <c r="L269" s="51">
        <f>IF(Database!BN269="","(none found)",Database!BN269)</f>
        <v/>
      </c>
      <c r="M269" s="53">
        <f>IFERROR(INDEX(BDH(TEXT(VALUE(Database!$A269),"0")&amp;" HK Equity","CUR_MKT_CAP",Database!$H269,Database!$H269),MATCH(Database!$H269,INDEX(BDH(TEXT(VALUE(Database!$A269),"0")&amp;" HK Equity","CUR_MKT_CAP",Database!$H269,Database!$H269),0,1),0),2),"run on terminal")</f>
        <v/>
      </c>
      <c r="N269" s="213">
        <f>Database!Q269</f>
        <v/>
      </c>
      <c r="O269" s="58">
        <f>IFERROR(INDEX(BDH(TEXT(VALUE(Database!$A269),"0")&amp;" HK Equity","PE_RATIO",Database!$H269,Database!$H269),MATCH(Database!$H269,INDEX(BDH(TEXT(VALUE(Database!$A269),"0")&amp;" HK Equity","PE_RATIO",Database!$H269,Database!$H269),0,1),0),2),"run on terminal")</f>
        <v/>
      </c>
      <c r="P269" s="251">
        <f>IF(Database!BH269="","(n/m or not derivable)",Database!BH269)</f>
        <v/>
      </c>
      <c r="Q269" s="58">
        <f>IF(Database!BN269="","",IFERROR(INDEX(BDH(LEFT(Database!BN269,FIND(".",Database!BN269)-1)&amp;" CH Equity","PE_RATIO",Database!$H269,Database!$H269),MATCH(Database!$H269,INDEX(BDH(LEFT(Database!BN269,FIND(".",Database!BN269)-1)&amp;" CH Equity","PE_RATIO",Database!$H269,Database!$H269),0,1),0),2),"run on terminal"))</f>
        <v/>
      </c>
      <c r="R269" s="58">
        <f>IF(Database!BN269="","",IFERROR(INDEX(BDH("HSAHP Index","PX_LAST",Database!$H269,Database!$H269),MATCH(Database!$H269,INDEX(BDH("HSAHP Index","PX_LAST",Database!$H269,Database!$H269),0,1),0),2),"run on terminal"))</f>
        <v/>
      </c>
      <c r="S269" s="58">
        <f>IFERROR(BDP(TEXT(VALUE(Database!$A269),"0")&amp;" HK Equity","PX_TO_SALES_RATIO"),"")</f>
        <v/>
      </c>
      <c r="T269" s="53">
        <f>IF(Database!BN269="","",IFERROR(BDP(LEFT(Database!BN269,FIND(".",Database!BN269)-1)&amp;" CH Equity","CUR_MKT_CAP")*BDP("CNYHKD Curncy","PX_LAST"),"run on terminal"))</f>
        <v/>
      </c>
    </row>
    <row r="270" ht="23" customHeight="1">
      <c r="A270" s="51">
        <f>Database!A270&amp;"  "&amp;Database!B270</f>
        <v/>
      </c>
      <c r="B270" s="43">
        <f>IFERROR(INDEX(BDS(TEXT(VALUE(Database!$A270),"0")&amp;" HK Equity","EQUITY_OFFERINGS","array=t","endcol=1"),MATCH("IPO",BDS(TEXT(VALUE(Database!$A270),"0")&amp;" HK Equity","EQUITY_OFFERINGS","array=t","startcol=2","endcol=2"),0)),"")</f>
        <v/>
      </c>
      <c r="C270" s="260">
        <f>IF($B270="","",IFERROR(BDP($B270&amp;" Action","CP036"),""))</f>
        <v/>
      </c>
      <c r="D270" s="261">
        <f>Database!S270</f>
        <v/>
      </c>
      <c r="E270" s="260">
        <f>IF($B270="","",IFERROR(BDP($B270&amp;" Action","CP037"),""))</f>
        <v/>
      </c>
      <c r="F270" s="261">
        <f>Database!T270</f>
        <v/>
      </c>
      <c r="G270" s="260">
        <f>IF($B270="","",IFERROR(BDP($B270&amp;" Action","GREENSHOE_FACILITY"),""))</f>
        <v/>
      </c>
      <c r="H270" s="260">
        <f>IF($B270="","",IFERROR(BDP($B270&amp;" Action","OFFERING_GREENSHOE_SHARES_EX"),""))</f>
        <v/>
      </c>
      <c r="I270" s="51">
        <f>Database!AE270</f>
        <v/>
      </c>
      <c r="J270" s="58">
        <f>IFERROR(BDP(TEXT(VALUE(Database!$A270),"0")&amp;" HK Equity","PE_RATIO"),"")</f>
        <v/>
      </c>
      <c r="K270" s="43">
        <f>IFERROR(BDP(TEXT(VALUE(Database!$A270),"0")&amp;" HK Equity","A/H_SHARE_CONVERSION"),"")</f>
        <v/>
      </c>
      <c r="L270" s="51">
        <f>IF(Database!BN270="","(none found)",Database!BN270)</f>
        <v/>
      </c>
      <c r="M270" s="53">
        <f>IFERROR(INDEX(BDH(TEXT(VALUE(Database!$A270),"0")&amp;" HK Equity","CUR_MKT_CAP",Database!$H270,Database!$H270),MATCH(Database!$H270,INDEX(BDH(TEXT(VALUE(Database!$A270),"0")&amp;" HK Equity","CUR_MKT_CAP",Database!$H270,Database!$H270),0,1),0),2),"run on terminal")</f>
        <v/>
      </c>
      <c r="N270" s="213">
        <f>Database!Q270</f>
        <v/>
      </c>
      <c r="O270" s="58">
        <f>IFERROR(INDEX(BDH(TEXT(VALUE(Database!$A270),"0")&amp;" HK Equity","PE_RATIO",Database!$H270,Database!$H270),MATCH(Database!$H270,INDEX(BDH(TEXT(VALUE(Database!$A270),"0")&amp;" HK Equity","PE_RATIO",Database!$H270,Database!$H270),0,1),0),2),"run on terminal")</f>
        <v/>
      </c>
      <c r="P270" s="251">
        <f>IF(Database!BH270="","(n/m or not derivable)",Database!BH270)</f>
        <v/>
      </c>
      <c r="Q270" s="58">
        <f>IF(Database!BN270="","",IFERROR(INDEX(BDH(LEFT(Database!BN270,FIND(".",Database!BN270)-1)&amp;" CH Equity","PE_RATIO",Database!$H270,Database!$H270),MATCH(Database!$H270,INDEX(BDH(LEFT(Database!BN270,FIND(".",Database!BN270)-1)&amp;" CH Equity","PE_RATIO",Database!$H270,Database!$H270),0,1),0),2),"run on terminal"))</f>
        <v/>
      </c>
      <c r="R270" s="58">
        <f>IF(Database!BN270="","",IFERROR(INDEX(BDH("HSAHP Index","PX_LAST",Database!$H270,Database!$H270),MATCH(Database!$H270,INDEX(BDH("HSAHP Index","PX_LAST",Database!$H270,Database!$H270),0,1),0),2),"run on terminal"))</f>
        <v/>
      </c>
      <c r="S270" s="58">
        <f>IFERROR(BDP(TEXT(VALUE(Database!$A270),"0")&amp;" HK Equity","PX_TO_SALES_RATIO"),"")</f>
        <v/>
      </c>
      <c r="T270" s="53">
        <f>IF(Database!BN270="","",IFERROR(BDP(LEFT(Database!BN270,FIND(".",Database!BN270)-1)&amp;" CH Equity","CUR_MKT_CAP")*BDP("CNYHKD Curncy","PX_LAST"),"run on terminal"))</f>
        <v/>
      </c>
    </row>
    <row r="271" ht="23" customHeight="1">
      <c r="A271" s="51">
        <f>Database!A271&amp;"  "&amp;Database!B271</f>
        <v/>
      </c>
      <c r="B271" s="43">
        <f>IFERROR(INDEX(BDS(TEXT(VALUE(Database!$A271),"0")&amp;" HK Equity","EQUITY_OFFERINGS","array=t","endcol=1"),MATCH("IPO",BDS(TEXT(VALUE(Database!$A271),"0")&amp;" HK Equity","EQUITY_OFFERINGS","array=t","startcol=2","endcol=2"),0)),"")</f>
        <v/>
      </c>
      <c r="C271" s="260">
        <f>IF($B271="","",IFERROR(BDP($B271&amp;" Action","CP036"),""))</f>
        <v/>
      </c>
      <c r="D271" s="261">
        <f>Database!S271</f>
        <v/>
      </c>
      <c r="E271" s="260">
        <f>IF($B271="","",IFERROR(BDP($B271&amp;" Action","CP037"),""))</f>
        <v/>
      </c>
      <c r="F271" s="261">
        <f>Database!T271</f>
        <v/>
      </c>
      <c r="G271" s="260">
        <f>IF($B271="","",IFERROR(BDP($B271&amp;" Action","GREENSHOE_FACILITY"),""))</f>
        <v/>
      </c>
      <c r="H271" s="260">
        <f>IF($B271="","",IFERROR(BDP($B271&amp;" Action","OFFERING_GREENSHOE_SHARES_EX"),""))</f>
        <v/>
      </c>
      <c r="I271" s="51">
        <f>Database!AE271</f>
        <v/>
      </c>
      <c r="J271" s="58">
        <f>IFERROR(BDP(TEXT(VALUE(Database!$A271),"0")&amp;" HK Equity","PE_RATIO"),"")</f>
        <v/>
      </c>
      <c r="K271" s="43">
        <f>IFERROR(BDP(TEXT(VALUE(Database!$A271),"0")&amp;" HK Equity","A/H_SHARE_CONVERSION"),"")</f>
        <v/>
      </c>
      <c r="L271" s="51">
        <f>IF(Database!BN271="","(none found)",Database!BN271)</f>
        <v/>
      </c>
      <c r="M271" s="53">
        <f>IFERROR(INDEX(BDH(TEXT(VALUE(Database!$A271),"0")&amp;" HK Equity","CUR_MKT_CAP",Database!$H271,Database!$H271),MATCH(Database!$H271,INDEX(BDH(TEXT(VALUE(Database!$A271),"0")&amp;" HK Equity","CUR_MKT_CAP",Database!$H271,Database!$H271),0,1),0),2),"run on terminal")</f>
        <v/>
      </c>
      <c r="N271" s="213">
        <f>Database!Q271</f>
        <v/>
      </c>
      <c r="O271" s="58">
        <f>IFERROR(INDEX(BDH(TEXT(VALUE(Database!$A271),"0")&amp;" HK Equity","PE_RATIO",Database!$H271,Database!$H271),MATCH(Database!$H271,INDEX(BDH(TEXT(VALUE(Database!$A271),"0")&amp;" HK Equity","PE_RATIO",Database!$H271,Database!$H271),0,1),0),2),"run on terminal")</f>
        <v/>
      </c>
      <c r="P271" s="251">
        <f>IF(Database!BH271="","(n/m or not derivable)",Database!BH271)</f>
        <v/>
      </c>
      <c r="Q271" s="58">
        <f>IF(Database!BN271="","",IFERROR(INDEX(BDH(LEFT(Database!BN271,FIND(".",Database!BN271)-1)&amp;" CH Equity","PE_RATIO",Database!$H271,Database!$H271),MATCH(Database!$H271,INDEX(BDH(LEFT(Database!BN271,FIND(".",Database!BN271)-1)&amp;" CH Equity","PE_RATIO",Database!$H271,Database!$H271),0,1),0),2),"run on terminal"))</f>
        <v/>
      </c>
      <c r="R271" s="58">
        <f>IF(Database!BN271="","",IFERROR(INDEX(BDH("HSAHP Index","PX_LAST",Database!$H271,Database!$H271),MATCH(Database!$H271,INDEX(BDH("HSAHP Index","PX_LAST",Database!$H271,Database!$H271),0,1),0),2),"run on terminal"))</f>
        <v/>
      </c>
      <c r="S271" s="58">
        <f>IFERROR(BDP(TEXT(VALUE(Database!$A271),"0")&amp;" HK Equity","PX_TO_SALES_RATIO"),"")</f>
        <v/>
      </c>
      <c r="T271" s="53">
        <f>IF(Database!BN271="","",IFERROR(BDP(LEFT(Database!BN271,FIND(".",Database!BN271)-1)&amp;" CH Equity","CUR_MKT_CAP")*BDP("CNYHKD Curncy","PX_LAST"),"run on terminal"))</f>
        <v/>
      </c>
    </row>
    <row r="272" ht="23" customHeight="1">
      <c r="A272" s="51">
        <f>Database!A272&amp;"  "&amp;Database!B272</f>
        <v/>
      </c>
      <c r="B272" s="43">
        <f>IFERROR(INDEX(BDS(TEXT(VALUE(Database!$A272),"0")&amp;" HK Equity","EQUITY_OFFERINGS","array=t","endcol=1"),MATCH("IPO",BDS(TEXT(VALUE(Database!$A272),"0")&amp;" HK Equity","EQUITY_OFFERINGS","array=t","startcol=2","endcol=2"),0)),"")</f>
        <v/>
      </c>
      <c r="C272" s="260">
        <f>IF($B272="","",IFERROR(BDP($B272&amp;" Action","CP036"),""))</f>
        <v/>
      </c>
      <c r="D272" s="261">
        <f>Database!S272</f>
        <v/>
      </c>
      <c r="E272" s="260">
        <f>IF($B272="","",IFERROR(BDP($B272&amp;" Action","CP037"),""))</f>
        <v/>
      </c>
      <c r="F272" s="261">
        <f>Database!T272</f>
        <v/>
      </c>
      <c r="G272" s="260">
        <f>IF($B272="","",IFERROR(BDP($B272&amp;" Action","GREENSHOE_FACILITY"),""))</f>
        <v/>
      </c>
      <c r="H272" s="260">
        <f>IF($B272="","",IFERROR(BDP($B272&amp;" Action","OFFERING_GREENSHOE_SHARES_EX"),""))</f>
        <v/>
      </c>
      <c r="I272" s="51">
        <f>Database!AE272</f>
        <v/>
      </c>
      <c r="J272" s="58">
        <f>IFERROR(BDP(TEXT(VALUE(Database!$A272),"0")&amp;" HK Equity","PE_RATIO"),"")</f>
        <v/>
      </c>
      <c r="K272" s="43">
        <f>IFERROR(BDP(TEXT(VALUE(Database!$A272),"0")&amp;" HK Equity","A/H_SHARE_CONVERSION"),"")</f>
        <v/>
      </c>
      <c r="L272" s="51">
        <f>IF(Database!BN272="","(none found)",Database!BN272)</f>
        <v/>
      </c>
      <c r="M272" s="53">
        <f>IFERROR(INDEX(BDH(TEXT(VALUE(Database!$A272),"0")&amp;" HK Equity","CUR_MKT_CAP",Database!$H272,Database!$H272),MATCH(Database!$H272,INDEX(BDH(TEXT(VALUE(Database!$A272),"0")&amp;" HK Equity","CUR_MKT_CAP",Database!$H272,Database!$H272),0,1),0),2),"run on terminal")</f>
        <v/>
      </c>
      <c r="N272" s="213">
        <f>Database!Q272</f>
        <v/>
      </c>
      <c r="O272" s="58">
        <f>IFERROR(INDEX(BDH(TEXT(VALUE(Database!$A272),"0")&amp;" HK Equity","PE_RATIO",Database!$H272,Database!$H272),MATCH(Database!$H272,INDEX(BDH(TEXT(VALUE(Database!$A272),"0")&amp;" HK Equity","PE_RATIO",Database!$H272,Database!$H272),0,1),0),2),"run on terminal")</f>
        <v/>
      </c>
      <c r="P272" s="251">
        <f>IF(Database!BH272="","(n/m or not derivable)",Database!BH272)</f>
        <v/>
      </c>
      <c r="Q272" s="58">
        <f>IF(Database!BN272="","",IFERROR(INDEX(BDH(LEFT(Database!BN272,FIND(".",Database!BN272)-1)&amp;" CH Equity","PE_RATIO",Database!$H272,Database!$H272),MATCH(Database!$H272,INDEX(BDH(LEFT(Database!BN272,FIND(".",Database!BN272)-1)&amp;" CH Equity","PE_RATIO",Database!$H272,Database!$H272),0,1),0),2),"run on terminal"))</f>
        <v/>
      </c>
      <c r="R272" s="58">
        <f>IF(Database!BN272="","",IFERROR(INDEX(BDH("HSAHP Index","PX_LAST",Database!$H272,Database!$H272),MATCH(Database!$H272,INDEX(BDH("HSAHP Index","PX_LAST",Database!$H272,Database!$H272),0,1),0),2),"run on terminal"))</f>
        <v/>
      </c>
      <c r="S272" s="58">
        <f>IFERROR(BDP(TEXT(VALUE(Database!$A272),"0")&amp;" HK Equity","PX_TO_SALES_RATIO"),"")</f>
        <v/>
      </c>
      <c r="T272" s="53">
        <f>IF(Database!BN272="","",IFERROR(BDP(LEFT(Database!BN272,FIND(".",Database!BN272)-1)&amp;" CH Equity","CUR_MKT_CAP")*BDP("CNYHKD Curncy","PX_LAST"),"run on terminal"))</f>
        <v/>
      </c>
    </row>
    <row r="273" ht="23" customHeight="1">
      <c r="A273" s="51">
        <f>Database!A273&amp;"  "&amp;Database!B273</f>
        <v/>
      </c>
      <c r="B273" s="43">
        <f>IFERROR(INDEX(BDS(TEXT(VALUE(Database!$A273),"0")&amp;" HK Equity","EQUITY_OFFERINGS","array=t","endcol=1"),MATCH("IPO",BDS(TEXT(VALUE(Database!$A273),"0")&amp;" HK Equity","EQUITY_OFFERINGS","array=t","startcol=2","endcol=2"),0)),"")</f>
        <v/>
      </c>
      <c r="C273" s="260">
        <f>IF($B273="","",IFERROR(BDP($B273&amp;" Action","CP036"),""))</f>
        <v/>
      </c>
      <c r="D273" s="261">
        <f>Database!S273</f>
        <v/>
      </c>
      <c r="E273" s="260">
        <f>IF($B273="","",IFERROR(BDP($B273&amp;" Action","CP037"),""))</f>
        <v/>
      </c>
      <c r="F273" s="261">
        <f>Database!T273</f>
        <v/>
      </c>
      <c r="G273" s="260">
        <f>IF($B273="","",IFERROR(BDP($B273&amp;" Action","GREENSHOE_FACILITY"),""))</f>
        <v/>
      </c>
      <c r="H273" s="260">
        <f>IF($B273="","",IFERROR(BDP($B273&amp;" Action","OFFERING_GREENSHOE_SHARES_EX"),""))</f>
        <v/>
      </c>
      <c r="I273" s="51">
        <f>Database!AE273</f>
        <v/>
      </c>
      <c r="J273" s="58">
        <f>IFERROR(BDP(TEXT(VALUE(Database!$A273),"0")&amp;" HK Equity","PE_RATIO"),"")</f>
        <v/>
      </c>
      <c r="K273" s="43">
        <f>IFERROR(BDP(TEXT(VALUE(Database!$A273),"0")&amp;" HK Equity","A/H_SHARE_CONVERSION"),"")</f>
        <v/>
      </c>
      <c r="L273" s="51">
        <f>IF(Database!BN273="","(none found)",Database!BN273)</f>
        <v/>
      </c>
      <c r="M273" s="53">
        <f>IFERROR(INDEX(BDH(TEXT(VALUE(Database!$A273),"0")&amp;" HK Equity","CUR_MKT_CAP",Database!$H273,Database!$H273),MATCH(Database!$H273,INDEX(BDH(TEXT(VALUE(Database!$A273),"0")&amp;" HK Equity","CUR_MKT_CAP",Database!$H273,Database!$H273),0,1),0),2),"run on terminal")</f>
        <v/>
      </c>
      <c r="N273" s="213">
        <f>Database!Q273</f>
        <v/>
      </c>
      <c r="O273" s="58">
        <f>IFERROR(INDEX(BDH(TEXT(VALUE(Database!$A273),"0")&amp;" HK Equity","PE_RATIO",Database!$H273,Database!$H273),MATCH(Database!$H273,INDEX(BDH(TEXT(VALUE(Database!$A273),"0")&amp;" HK Equity","PE_RATIO",Database!$H273,Database!$H273),0,1),0),2),"run on terminal")</f>
        <v/>
      </c>
      <c r="P273" s="251">
        <f>IF(Database!BH273="","(n/m or not derivable)",Database!BH273)</f>
        <v/>
      </c>
      <c r="Q273" s="58">
        <f>IF(Database!BN273="","",IFERROR(INDEX(BDH(LEFT(Database!BN273,FIND(".",Database!BN273)-1)&amp;" CH Equity","PE_RATIO",Database!$H273,Database!$H273),MATCH(Database!$H273,INDEX(BDH(LEFT(Database!BN273,FIND(".",Database!BN273)-1)&amp;" CH Equity","PE_RATIO",Database!$H273,Database!$H273),0,1),0),2),"run on terminal"))</f>
        <v/>
      </c>
      <c r="R273" s="58">
        <f>IF(Database!BN273="","",IFERROR(INDEX(BDH("HSAHP Index","PX_LAST",Database!$H273,Database!$H273),MATCH(Database!$H273,INDEX(BDH("HSAHP Index","PX_LAST",Database!$H273,Database!$H273),0,1),0),2),"run on terminal"))</f>
        <v/>
      </c>
      <c r="S273" s="58">
        <f>IFERROR(BDP(TEXT(VALUE(Database!$A273),"0")&amp;" HK Equity","PX_TO_SALES_RATIO"),"")</f>
        <v/>
      </c>
      <c r="T273" s="53">
        <f>IF(Database!BN273="","",IFERROR(BDP(LEFT(Database!BN273,FIND(".",Database!BN273)-1)&amp;" CH Equity","CUR_MKT_CAP")*BDP("CNYHKD Curncy","PX_LAST"),"run on terminal"))</f>
        <v/>
      </c>
    </row>
    <row r="274" ht="23" customHeight="1">
      <c r="A274" s="51">
        <f>Database!A274&amp;"  "&amp;Database!B274</f>
        <v/>
      </c>
      <c r="B274" s="43">
        <f>IFERROR(INDEX(BDS(TEXT(VALUE(Database!$A274),"0")&amp;" HK Equity","EQUITY_OFFERINGS","array=t","endcol=1"),MATCH("IPO",BDS(TEXT(VALUE(Database!$A274),"0")&amp;" HK Equity","EQUITY_OFFERINGS","array=t","startcol=2","endcol=2"),0)),"")</f>
        <v/>
      </c>
      <c r="C274" s="260">
        <f>IF($B274="","",IFERROR(BDP($B274&amp;" Action","CP036"),""))</f>
        <v/>
      </c>
      <c r="D274" s="261">
        <f>Database!S274</f>
        <v/>
      </c>
      <c r="E274" s="260">
        <f>IF($B274="","",IFERROR(BDP($B274&amp;" Action","CP037"),""))</f>
        <v/>
      </c>
      <c r="F274" s="261">
        <f>Database!T274</f>
        <v/>
      </c>
      <c r="G274" s="260">
        <f>IF($B274="","",IFERROR(BDP($B274&amp;" Action","GREENSHOE_FACILITY"),""))</f>
        <v/>
      </c>
      <c r="H274" s="260">
        <f>IF($B274="","",IFERROR(BDP($B274&amp;" Action","OFFERING_GREENSHOE_SHARES_EX"),""))</f>
        <v/>
      </c>
      <c r="I274" s="51">
        <f>Database!AE274</f>
        <v/>
      </c>
      <c r="J274" s="58">
        <f>IFERROR(BDP(TEXT(VALUE(Database!$A274),"0")&amp;" HK Equity","PE_RATIO"),"")</f>
        <v/>
      </c>
      <c r="K274" s="43">
        <f>IFERROR(BDP(TEXT(VALUE(Database!$A274),"0")&amp;" HK Equity","A/H_SHARE_CONVERSION"),"")</f>
        <v/>
      </c>
      <c r="L274" s="51">
        <f>IF(Database!BN274="","(none found)",Database!BN274)</f>
        <v/>
      </c>
      <c r="M274" s="53">
        <f>IFERROR(INDEX(BDH(TEXT(VALUE(Database!$A274),"0")&amp;" HK Equity","CUR_MKT_CAP",Database!$H274,Database!$H274),MATCH(Database!$H274,INDEX(BDH(TEXT(VALUE(Database!$A274),"0")&amp;" HK Equity","CUR_MKT_CAP",Database!$H274,Database!$H274),0,1),0),2),"run on terminal")</f>
        <v/>
      </c>
      <c r="N274" s="213">
        <f>Database!Q274</f>
        <v/>
      </c>
      <c r="O274" s="58">
        <f>IFERROR(INDEX(BDH(TEXT(VALUE(Database!$A274),"0")&amp;" HK Equity","PE_RATIO",Database!$H274,Database!$H274),MATCH(Database!$H274,INDEX(BDH(TEXT(VALUE(Database!$A274),"0")&amp;" HK Equity","PE_RATIO",Database!$H274,Database!$H274),0,1),0),2),"run on terminal")</f>
        <v/>
      </c>
      <c r="P274" s="251">
        <f>IF(Database!BH274="","(n/m or not derivable)",Database!BH274)</f>
        <v/>
      </c>
      <c r="Q274" s="58">
        <f>IF(Database!BN274="","",IFERROR(INDEX(BDH(LEFT(Database!BN274,FIND(".",Database!BN274)-1)&amp;" CH Equity","PE_RATIO",Database!$H274,Database!$H274),MATCH(Database!$H274,INDEX(BDH(LEFT(Database!BN274,FIND(".",Database!BN274)-1)&amp;" CH Equity","PE_RATIO",Database!$H274,Database!$H274),0,1),0),2),"run on terminal"))</f>
        <v/>
      </c>
      <c r="R274" s="58">
        <f>IF(Database!BN274="","",IFERROR(INDEX(BDH("HSAHP Index","PX_LAST",Database!$H274,Database!$H274),MATCH(Database!$H274,INDEX(BDH("HSAHP Index","PX_LAST",Database!$H274,Database!$H274),0,1),0),2),"run on terminal"))</f>
        <v/>
      </c>
      <c r="S274" s="58">
        <f>IFERROR(BDP(TEXT(VALUE(Database!$A274),"0")&amp;" HK Equity","PX_TO_SALES_RATIO"),"")</f>
        <v/>
      </c>
      <c r="T274" s="53">
        <f>IF(Database!BN274="","",IFERROR(BDP(LEFT(Database!BN274,FIND(".",Database!BN274)-1)&amp;" CH Equity","CUR_MKT_CAP")*BDP("CNYHKD Curncy","PX_LAST"),"run on terminal"))</f>
        <v/>
      </c>
    </row>
    <row r="275" ht="23" customHeight="1">
      <c r="A275" s="51">
        <f>Database!A275&amp;"  "&amp;Database!B275</f>
        <v/>
      </c>
      <c r="B275" s="43">
        <f>IFERROR(INDEX(BDS(TEXT(VALUE(Database!$A275),"0")&amp;" HK Equity","EQUITY_OFFERINGS","array=t","endcol=1"),MATCH("IPO",BDS(TEXT(VALUE(Database!$A275),"0")&amp;" HK Equity","EQUITY_OFFERINGS","array=t","startcol=2","endcol=2"),0)),"")</f>
        <v/>
      </c>
      <c r="C275" s="260">
        <f>IF($B275="","",IFERROR(BDP($B275&amp;" Action","CP036"),""))</f>
        <v/>
      </c>
      <c r="D275" s="261">
        <f>Database!S275</f>
        <v/>
      </c>
      <c r="E275" s="260">
        <f>IF($B275="","",IFERROR(BDP($B275&amp;" Action","CP037"),""))</f>
        <v/>
      </c>
      <c r="F275" s="261">
        <f>Database!T275</f>
        <v/>
      </c>
      <c r="G275" s="260">
        <f>IF($B275="","",IFERROR(BDP($B275&amp;" Action","GREENSHOE_FACILITY"),""))</f>
        <v/>
      </c>
      <c r="H275" s="260">
        <f>IF($B275="","",IFERROR(BDP($B275&amp;" Action","OFFERING_GREENSHOE_SHARES_EX"),""))</f>
        <v/>
      </c>
      <c r="I275" s="51">
        <f>Database!AE275</f>
        <v/>
      </c>
      <c r="J275" s="58">
        <f>IFERROR(BDP(TEXT(VALUE(Database!$A275),"0")&amp;" HK Equity","PE_RATIO"),"")</f>
        <v/>
      </c>
      <c r="K275" s="43">
        <f>IFERROR(BDP(TEXT(VALUE(Database!$A275),"0")&amp;" HK Equity","A/H_SHARE_CONVERSION"),"")</f>
        <v/>
      </c>
      <c r="L275" s="51">
        <f>IF(Database!BN275="","(none found)",Database!BN275)</f>
        <v/>
      </c>
      <c r="M275" s="53">
        <f>IFERROR(INDEX(BDH(TEXT(VALUE(Database!$A275),"0")&amp;" HK Equity","CUR_MKT_CAP",Database!$H275,Database!$H275),MATCH(Database!$H275,INDEX(BDH(TEXT(VALUE(Database!$A275),"0")&amp;" HK Equity","CUR_MKT_CAP",Database!$H275,Database!$H275),0,1),0),2),"run on terminal")</f>
        <v/>
      </c>
      <c r="N275" s="213">
        <f>Database!Q275</f>
        <v/>
      </c>
      <c r="O275" s="58">
        <f>IFERROR(INDEX(BDH(TEXT(VALUE(Database!$A275),"0")&amp;" HK Equity","PE_RATIO",Database!$H275,Database!$H275),MATCH(Database!$H275,INDEX(BDH(TEXT(VALUE(Database!$A275),"0")&amp;" HK Equity","PE_RATIO",Database!$H275,Database!$H275),0,1),0),2),"run on terminal")</f>
        <v/>
      </c>
      <c r="P275" s="251">
        <f>IF(Database!BH275="","(n/m or not derivable)",Database!BH275)</f>
        <v/>
      </c>
      <c r="Q275" s="58">
        <f>IF(Database!BN275="","",IFERROR(INDEX(BDH(LEFT(Database!BN275,FIND(".",Database!BN275)-1)&amp;" CH Equity","PE_RATIO",Database!$H275,Database!$H275),MATCH(Database!$H275,INDEX(BDH(LEFT(Database!BN275,FIND(".",Database!BN275)-1)&amp;" CH Equity","PE_RATIO",Database!$H275,Database!$H275),0,1),0),2),"run on terminal"))</f>
        <v/>
      </c>
      <c r="R275" s="58">
        <f>IF(Database!BN275="","",IFERROR(INDEX(BDH("HSAHP Index","PX_LAST",Database!$H275,Database!$H275),MATCH(Database!$H275,INDEX(BDH("HSAHP Index","PX_LAST",Database!$H275,Database!$H275),0,1),0),2),"run on terminal"))</f>
        <v/>
      </c>
      <c r="S275" s="58">
        <f>IFERROR(BDP(TEXT(VALUE(Database!$A275),"0")&amp;" HK Equity","PX_TO_SALES_RATIO"),"")</f>
        <v/>
      </c>
      <c r="T275" s="53">
        <f>IF(Database!BN275="","",IFERROR(BDP(LEFT(Database!BN275,FIND(".",Database!BN275)-1)&amp;" CH Equity","CUR_MKT_CAP")*BDP("CNYHKD Curncy","PX_LAST"),"run on terminal"))</f>
        <v/>
      </c>
    </row>
    <row r="276" ht="23" customHeight="1">
      <c r="A276" s="51">
        <f>Database!A276&amp;"  "&amp;Database!B276</f>
        <v/>
      </c>
      <c r="B276" s="43">
        <f>IFERROR(INDEX(BDS(TEXT(VALUE(Database!$A276),"0")&amp;" HK Equity","EQUITY_OFFERINGS","array=t","endcol=1"),MATCH("IPO",BDS(TEXT(VALUE(Database!$A276),"0")&amp;" HK Equity","EQUITY_OFFERINGS","array=t","startcol=2","endcol=2"),0)),"")</f>
        <v/>
      </c>
      <c r="C276" s="260">
        <f>IF($B276="","",IFERROR(BDP($B276&amp;" Action","CP036"),""))</f>
        <v/>
      </c>
      <c r="D276" s="261">
        <f>Database!S276</f>
        <v/>
      </c>
      <c r="E276" s="260">
        <f>IF($B276="","",IFERROR(BDP($B276&amp;" Action","CP037"),""))</f>
        <v/>
      </c>
      <c r="F276" s="261">
        <f>Database!T276</f>
        <v/>
      </c>
      <c r="G276" s="260">
        <f>IF($B276="","",IFERROR(BDP($B276&amp;" Action","GREENSHOE_FACILITY"),""))</f>
        <v/>
      </c>
      <c r="H276" s="260">
        <f>IF($B276="","",IFERROR(BDP($B276&amp;" Action","OFFERING_GREENSHOE_SHARES_EX"),""))</f>
        <v/>
      </c>
      <c r="I276" s="51">
        <f>Database!AE276</f>
        <v/>
      </c>
      <c r="J276" s="58">
        <f>IFERROR(BDP(TEXT(VALUE(Database!$A276),"0")&amp;" HK Equity","PE_RATIO"),"")</f>
        <v/>
      </c>
      <c r="K276" s="43">
        <f>IFERROR(BDP(TEXT(VALUE(Database!$A276),"0")&amp;" HK Equity","A/H_SHARE_CONVERSION"),"")</f>
        <v/>
      </c>
      <c r="L276" s="51">
        <f>IF(Database!BN276="","(none found)",Database!BN276)</f>
        <v/>
      </c>
      <c r="M276" s="53">
        <f>IFERROR(INDEX(BDH(TEXT(VALUE(Database!$A276),"0")&amp;" HK Equity","CUR_MKT_CAP",Database!$H276,Database!$H276),MATCH(Database!$H276,INDEX(BDH(TEXT(VALUE(Database!$A276),"0")&amp;" HK Equity","CUR_MKT_CAP",Database!$H276,Database!$H276),0,1),0),2),"run on terminal")</f>
        <v/>
      </c>
      <c r="N276" s="213">
        <f>Database!Q276</f>
        <v/>
      </c>
      <c r="O276" s="58">
        <f>IFERROR(INDEX(BDH(TEXT(VALUE(Database!$A276),"0")&amp;" HK Equity","PE_RATIO",Database!$H276,Database!$H276),MATCH(Database!$H276,INDEX(BDH(TEXT(VALUE(Database!$A276),"0")&amp;" HK Equity","PE_RATIO",Database!$H276,Database!$H276),0,1),0),2),"run on terminal")</f>
        <v/>
      </c>
      <c r="P276" s="251">
        <f>IF(Database!BH276="","(n/m or not derivable)",Database!BH276)</f>
        <v/>
      </c>
      <c r="Q276" s="58">
        <f>IF(Database!BN276="","",IFERROR(INDEX(BDH(LEFT(Database!BN276,FIND(".",Database!BN276)-1)&amp;" CH Equity","PE_RATIO",Database!$H276,Database!$H276),MATCH(Database!$H276,INDEX(BDH(LEFT(Database!BN276,FIND(".",Database!BN276)-1)&amp;" CH Equity","PE_RATIO",Database!$H276,Database!$H276),0,1),0),2),"run on terminal"))</f>
        <v/>
      </c>
      <c r="R276" s="58">
        <f>IF(Database!BN276="","",IFERROR(INDEX(BDH("HSAHP Index","PX_LAST",Database!$H276,Database!$H276),MATCH(Database!$H276,INDEX(BDH("HSAHP Index","PX_LAST",Database!$H276,Database!$H276),0,1),0),2),"run on terminal"))</f>
        <v/>
      </c>
      <c r="S276" s="58">
        <f>IFERROR(BDP(TEXT(VALUE(Database!$A276),"0")&amp;" HK Equity","PX_TO_SALES_RATIO"),"")</f>
        <v/>
      </c>
      <c r="T276" s="53">
        <f>IF(Database!BN276="","",IFERROR(BDP(LEFT(Database!BN276,FIND(".",Database!BN276)-1)&amp;" CH Equity","CUR_MKT_CAP")*BDP("CNYHKD Curncy","PX_LAST"),"run on terminal"))</f>
        <v/>
      </c>
    </row>
    <row r="277" ht="23" customHeight="1">
      <c r="A277" s="51">
        <f>Database!A277&amp;"  "&amp;Database!B277</f>
        <v/>
      </c>
      <c r="B277" s="43">
        <f>IFERROR(INDEX(BDS(TEXT(VALUE(Database!$A277),"0")&amp;" HK Equity","EQUITY_OFFERINGS","array=t","endcol=1"),MATCH("IPO",BDS(TEXT(VALUE(Database!$A277),"0")&amp;" HK Equity","EQUITY_OFFERINGS","array=t","startcol=2","endcol=2"),0)),"")</f>
        <v/>
      </c>
      <c r="C277" s="260">
        <f>IF($B277="","",IFERROR(BDP($B277&amp;" Action","CP036"),""))</f>
        <v/>
      </c>
      <c r="D277" s="261">
        <f>Database!S277</f>
        <v/>
      </c>
      <c r="E277" s="260">
        <f>IF($B277="","",IFERROR(BDP($B277&amp;" Action","CP037"),""))</f>
        <v/>
      </c>
      <c r="F277" s="261">
        <f>Database!T277</f>
        <v/>
      </c>
      <c r="G277" s="260">
        <f>IF($B277="","",IFERROR(BDP($B277&amp;" Action","GREENSHOE_FACILITY"),""))</f>
        <v/>
      </c>
      <c r="H277" s="260">
        <f>IF($B277="","",IFERROR(BDP($B277&amp;" Action","OFFERING_GREENSHOE_SHARES_EX"),""))</f>
        <v/>
      </c>
      <c r="I277" s="51">
        <f>Database!AE277</f>
        <v/>
      </c>
      <c r="J277" s="58">
        <f>IFERROR(BDP(TEXT(VALUE(Database!$A277),"0")&amp;" HK Equity","PE_RATIO"),"")</f>
        <v/>
      </c>
      <c r="K277" s="43">
        <f>IFERROR(BDP(TEXT(VALUE(Database!$A277),"0")&amp;" HK Equity","A/H_SHARE_CONVERSION"),"")</f>
        <v/>
      </c>
      <c r="L277" s="51">
        <f>IF(Database!BN277="","(none found)",Database!BN277)</f>
        <v/>
      </c>
      <c r="M277" s="53">
        <f>IFERROR(INDEX(BDH(TEXT(VALUE(Database!$A277),"0")&amp;" HK Equity","CUR_MKT_CAP",Database!$H277,Database!$H277),MATCH(Database!$H277,INDEX(BDH(TEXT(VALUE(Database!$A277),"0")&amp;" HK Equity","CUR_MKT_CAP",Database!$H277,Database!$H277),0,1),0),2),"run on terminal")</f>
        <v/>
      </c>
      <c r="N277" s="213">
        <f>Database!Q277</f>
        <v/>
      </c>
      <c r="O277" s="58">
        <f>IFERROR(INDEX(BDH(TEXT(VALUE(Database!$A277),"0")&amp;" HK Equity","PE_RATIO",Database!$H277,Database!$H277),MATCH(Database!$H277,INDEX(BDH(TEXT(VALUE(Database!$A277),"0")&amp;" HK Equity","PE_RATIO",Database!$H277,Database!$H277),0,1),0),2),"run on terminal")</f>
        <v/>
      </c>
      <c r="P277" s="251">
        <f>IF(Database!BH277="","(n/m or not derivable)",Database!BH277)</f>
        <v/>
      </c>
      <c r="Q277" s="58">
        <f>IF(Database!BN277="","",IFERROR(INDEX(BDH(LEFT(Database!BN277,FIND(".",Database!BN277)-1)&amp;" CH Equity","PE_RATIO",Database!$H277,Database!$H277),MATCH(Database!$H277,INDEX(BDH(LEFT(Database!BN277,FIND(".",Database!BN277)-1)&amp;" CH Equity","PE_RATIO",Database!$H277,Database!$H277),0,1),0),2),"run on terminal"))</f>
        <v/>
      </c>
      <c r="R277" s="58">
        <f>IF(Database!BN277="","",IFERROR(INDEX(BDH("HSAHP Index","PX_LAST",Database!$H277,Database!$H277),MATCH(Database!$H277,INDEX(BDH("HSAHP Index","PX_LAST",Database!$H277,Database!$H277),0,1),0),2),"run on terminal"))</f>
        <v/>
      </c>
      <c r="S277" s="58">
        <f>IFERROR(BDP(TEXT(VALUE(Database!$A277),"0")&amp;" HK Equity","PX_TO_SALES_RATIO"),"")</f>
        <v/>
      </c>
      <c r="T277" s="53">
        <f>IF(Database!BN277="","",IFERROR(BDP(LEFT(Database!BN277,FIND(".",Database!BN277)-1)&amp;" CH Equity","CUR_MKT_CAP")*BDP("CNYHKD Curncy","PX_LAST"),"run on terminal"))</f>
        <v/>
      </c>
    </row>
    <row r="278" ht="23" customHeight="1">
      <c r="A278" s="51">
        <f>Database!A278&amp;"  "&amp;Database!B278</f>
        <v/>
      </c>
      <c r="B278" s="43">
        <f>IFERROR(INDEX(BDS(TEXT(VALUE(Database!$A278),"0")&amp;" HK Equity","EQUITY_OFFERINGS","array=t","endcol=1"),MATCH("IPO",BDS(TEXT(VALUE(Database!$A278),"0")&amp;" HK Equity","EQUITY_OFFERINGS","array=t","startcol=2","endcol=2"),0)),"")</f>
        <v/>
      </c>
      <c r="C278" s="260">
        <f>IF($B278="","",IFERROR(BDP($B278&amp;" Action","CP036"),""))</f>
        <v/>
      </c>
      <c r="D278" s="261">
        <f>Database!S278</f>
        <v/>
      </c>
      <c r="E278" s="260">
        <f>IF($B278="","",IFERROR(BDP($B278&amp;" Action","CP037"),""))</f>
        <v/>
      </c>
      <c r="F278" s="261">
        <f>Database!T278</f>
        <v/>
      </c>
      <c r="G278" s="260">
        <f>IF($B278="","",IFERROR(BDP($B278&amp;" Action","GREENSHOE_FACILITY"),""))</f>
        <v/>
      </c>
      <c r="H278" s="260">
        <f>IF($B278="","",IFERROR(BDP($B278&amp;" Action","OFFERING_GREENSHOE_SHARES_EX"),""))</f>
        <v/>
      </c>
      <c r="I278" s="51">
        <f>Database!AE278</f>
        <v/>
      </c>
      <c r="J278" s="58">
        <f>IFERROR(BDP(TEXT(VALUE(Database!$A278),"0")&amp;" HK Equity","PE_RATIO"),"")</f>
        <v/>
      </c>
      <c r="K278" s="43">
        <f>IFERROR(BDP(TEXT(VALUE(Database!$A278),"0")&amp;" HK Equity","A/H_SHARE_CONVERSION"),"")</f>
        <v/>
      </c>
      <c r="L278" s="51">
        <f>IF(Database!BN278="","(none found)",Database!BN278)</f>
        <v/>
      </c>
      <c r="M278" s="53">
        <f>IFERROR(INDEX(BDH(TEXT(VALUE(Database!$A278),"0")&amp;" HK Equity","CUR_MKT_CAP",Database!$H278,Database!$H278),MATCH(Database!$H278,INDEX(BDH(TEXT(VALUE(Database!$A278),"0")&amp;" HK Equity","CUR_MKT_CAP",Database!$H278,Database!$H278),0,1),0),2),"run on terminal")</f>
        <v/>
      </c>
      <c r="N278" s="213">
        <f>Database!Q278</f>
        <v/>
      </c>
      <c r="O278" s="58">
        <f>IFERROR(INDEX(BDH(TEXT(VALUE(Database!$A278),"0")&amp;" HK Equity","PE_RATIO",Database!$H278,Database!$H278),MATCH(Database!$H278,INDEX(BDH(TEXT(VALUE(Database!$A278),"0")&amp;" HK Equity","PE_RATIO",Database!$H278,Database!$H278),0,1),0),2),"run on terminal")</f>
        <v/>
      </c>
      <c r="P278" s="251">
        <f>IF(Database!BH278="","(n/m or not derivable)",Database!BH278)</f>
        <v/>
      </c>
      <c r="Q278" s="58">
        <f>IF(Database!BN278="","",IFERROR(INDEX(BDH(LEFT(Database!BN278,FIND(".",Database!BN278)-1)&amp;" CH Equity","PE_RATIO",Database!$H278,Database!$H278),MATCH(Database!$H278,INDEX(BDH(LEFT(Database!BN278,FIND(".",Database!BN278)-1)&amp;" CH Equity","PE_RATIO",Database!$H278,Database!$H278),0,1),0),2),"run on terminal"))</f>
        <v/>
      </c>
      <c r="R278" s="58">
        <f>IF(Database!BN278="","",IFERROR(INDEX(BDH("HSAHP Index","PX_LAST",Database!$H278,Database!$H278),MATCH(Database!$H278,INDEX(BDH("HSAHP Index","PX_LAST",Database!$H278,Database!$H278),0,1),0),2),"run on terminal"))</f>
        <v/>
      </c>
      <c r="S278" s="58">
        <f>IFERROR(BDP(TEXT(VALUE(Database!$A278),"0")&amp;" HK Equity","PX_TO_SALES_RATIO"),"")</f>
        <v/>
      </c>
      <c r="T278" s="53">
        <f>IF(Database!BN278="","",IFERROR(BDP(LEFT(Database!BN278,FIND(".",Database!BN278)-1)&amp;" CH Equity","CUR_MKT_CAP")*BDP("CNYHKD Curncy","PX_LAST"),"run on terminal"))</f>
        <v/>
      </c>
    </row>
    <row r="279" ht="23" customHeight="1">
      <c r="A279" s="51">
        <f>Database!A279&amp;"  "&amp;Database!B279</f>
        <v/>
      </c>
      <c r="B279" s="43">
        <f>IFERROR(INDEX(BDS(TEXT(VALUE(Database!$A279),"0")&amp;" HK Equity","EQUITY_OFFERINGS","array=t","endcol=1"),MATCH("IPO",BDS(TEXT(VALUE(Database!$A279),"0")&amp;" HK Equity","EQUITY_OFFERINGS","array=t","startcol=2","endcol=2"),0)),"")</f>
        <v/>
      </c>
      <c r="C279" s="260">
        <f>IF($B279="","",IFERROR(BDP($B279&amp;" Action","CP036"),""))</f>
        <v/>
      </c>
      <c r="D279" s="261">
        <f>Database!S279</f>
        <v/>
      </c>
      <c r="E279" s="260">
        <f>IF($B279="","",IFERROR(BDP($B279&amp;" Action","CP037"),""))</f>
        <v/>
      </c>
      <c r="F279" s="261">
        <f>Database!T279</f>
        <v/>
      </c>
      <c r="G279" s="260">
        <f>IF($B279="","",IFERROR(BDP($B279&amp;" Action","GREENSHOE_FACILITY"),""))</f>
        <v/>
      </c>
      <c r="H279" s="260">
        <f>IF($B279="","",IFERROR(BDP($B279&amp;" Action","OFFERING_GREENSHOE_SHARES_EX"),""))</f>
        <v/>
      </c>
      <c r="I279" s="51">
        <f>Database!AE279</f>
        <v/>
      </c>
      <c r="J279" s="58">
        <f>IFERROR(BDP(TEXT(VALUE(Database!$A279),"0")&amp;" HK Equity","PE_RATIO"),"")</f>
        <v/>
      </c>
      <c r="K279" s="43">
        <f>IFERROR(BDP(TEXT(VALUE(Database!$A279),"0")&amp;" HK Equity","A/H_SHARE_CONVERSION"),"")</f>
        <v/>
      </c>
      <c r="L279" s="51">
        <f>IF(Database!BN279="","(none found)",Database!BN279)</f>
        <v/>
      </c>
      <c r="M279" s="53">
        <f>IFERROR(INDEX(BDH(TEXT(VALUE(Database!$A279),"0")&amp;" HK Equity","CUR_MKT_CAP",Database!$H279,Database!$H279),MATCH(Database!$H279,INDEX(BDH(TEXT(VALUE(Database!$A279),"0")&amp;" HK Equity","CUR_MKT_CAP",Database!$H279,Database!$H279),0,1),0),2),"run on terminal")</f>
        <v/>
      </c>
      <c r="N279" s="213">
        <f>Database!Q279</f>
        <v/>
      </c>
      <c r="O279" s="58">
        <f>IFERROR(INDEX(BDH(TEXT(VALUE(Database!$A279),"0")&amp;" HK Equity","PE_RATIO",Database!$H279,Database!$H279),MATCH(Database!$H279,INDEX(BDH(TEXT(VALUE(Database!$A279),"0")&amp;" HK Equity","PE_RATIO",Database!$H279,Database!$H279),0,1),0),2),"run on terminal")</f>
        <v/>
      </c>
      <c r="P279" s="251">
        <f>IF(Database!BH279="","(n/m or not derivable)",Database!BH279)</f>
        <v/>
      </c>
      <c r="Q279" s="58">
        <f>IF(Database!BN279="","",IFERROR(INDEX(BDH(LEFT(Database!BN279,FIND(".",Database!BN279)-1)&amp;" CH Equity","PE_RATIO",Database!$H279,Database!$H279),MATCH(Database!$H279,INDEX(BDH(LEFT(Database!BN279,FIND(".",Database!BN279)-1)&amp;" CH Equity","PE_RATIO",Database!$H279,Database!$H279),0,1),0),2),"run on terminal"))</f>
        <v/>
      </c>
      <c r="R279" s="58">
        <f>IF(Database!BN279="","",IFERROR(INDEX(BDH("HSAHP Index","PX_LAST",Database!$H279,Database!$H279),MATCH(Database!$H279,INDEX(BDH("HSAHP Index","PX_LAST",Database!$H279,Database!$H279),0,1),0),2),"run on terminal"))</f>
        <v/>
      </c>
      <c r="S279" s="58">
        <f>IFERROR(BDP(TEXT(VALUE(Database!$A279),"0")&amp;" HK Equity","PX_TO_SALES_RATIO"),"")</f>
        <v/>
      </c>
      <c r="T279" s="53">
        <f>IF(Database!BN279="","",IFERROR(BDP(LEFT(Database!BN279,FIND(".",Database!BN279)-1)&amp;" CH Equity","CUR_MKT_CAP")*BDP("CNYHKD Curncy","PX_LAST"),"run on terminal"))</f>
        <v/>
      </c>
    </row>
    <row r="280" ht="23" customHeight="1">
      <c r="A280" s="51">
        <f>Database!A280&amp;"  "&amp;Database!B280</f>
        <v/>
      </c>
      <c r="B280" s="43">
        <f>IFERROR(INDEX(BDS(TEXT(VALUE(Database!$A280),"0")&amp;" HK Equity","EQUITY_OFFERINGS","array=t","endcol=1"),MATCH("IPO",BDS(TEXT(VALUE(Database!$A280),"0")&amp;" HK Equity","EQUITY_OFFERINGS","array=t","startcol=2","endcol=2"),0)),"")</f>
        <v/>
      </c>
      <c r="C280" s="260">
        <f>IF($B280="","",IFERROR(BDP($B280&amp;" Action","CP036"),""))</f>
        <v/>
      </c>
      <c r="D280" s="261">
        <f>Database!S280</f>
        <v/>
      </c>
      <c r="E280" s="260">
        <f>IF($B280="","",IFERROR(BDP($B280&amp;" Action","CP037"),""))</f>
        <v/>
      </c>
      <c r="F280" s="261">
        <f>Database!T280</f>
        <v/>
      </c>
      <c r="G280" s="260">
        <f>IF($B280="","",IFERROR(BDP($B280&amp;" Action","GREENSHOE_FACILITY"),""))</f>
        <v/>
      </c>
      <c r="H280" s="260">
        <f>IF($B280="","",IFERROR(BDP($B280&amp;" Action","OFFERING_GREENSHOE_SHARES_EX"),""))</f>
        <v/>
      </c>
      <c r="I280" s="51">
        <f>Database!AE280</f>
        <v/>
      </c>
      <c r="J280" s="58">
        <f>IFERROR(BDP(TEXT(VALUE(Database!$A280),"0")&amp;" HK Equity","PE_RATIO"),"")</f>
        <v/>
      </c>
      <c r="K280" s="43">
        <f>IFERROR(BDP(TEXT(VALUE(Database!$A280),"0")&amp;" HK Equity","A/H_SHARE_CONVERSION"),"")</f>
        <v/>
      </c>
      <c r="L280" s="51">
        <f>IF(Database!BN280="","(none found)",Database!BN280)</f>
        <v/>
      </c>
      <c r="M280" s="53">
        <f>IFERROR(INDEX(BDH(TEXT(VALUE(Database!$A280),"0")&amp;" HK Equity","CUR_MKT_CAP",Database!$H280,Database!$H280),MATCH(Database!$H280,INDEX(BDH(TEXT(VALUE(Database!$A280),"0")&amp;" HK Equity","CUR_MKT_CAP",Database!$H280,Database!$H280),0,1),0),2),"run on terminal")</f>
        <v/>
      </c>
      <c r="N280" s="213">
        <f>Database!Q280</f>
        <v/>
      </c>
      <c r="O280" s="58">
        <f>IFERROR(INDEX(BDH(TEXT(VALUE(Database!$A280),"0")&amp;" HK Equity","PE_RATIO",Database!$H280,Database!$H280),MATCH(Database!$H280,INDEX(BDH(TEXT(VALUE(Database!$A280),"0")&amp;" HK Equity","PE_RATIO",Database!$H280,Database!$H280),0,1),0),2),"run on terminal")</f>
        <v/>
      </c>
      <c r="P280" s="251">
        <f>IF(Database!BH280="","(n/m or not derivable)",Database!BH280)</f>
        <v/>
      </c>
      <c r="Q280" s="58">
        <f>IF(Database!BN280="","",IFERROR(INDEX(BDH(LEFT(Database!BN280,FIND(".",Database!BN280)-1)&amp;" CH Equity","PE_RATIO",Database!$H280,Database!$H280),MATCH(Database!$H280,INDEX(BDH(LEFT(Database!BN280,FIND(".",Database!BN280)-1)&amp;" CH Equity","PE_RATIO",Database!$H280,Database!$H280),0,1),0),2),"run on terminal"))</f>
        <v/>
      </c>
      <c r="R280" s="58">
        <f>IF(Database!BN280="","",IFERROR(INDEX(BDH("HSAHP Index","PX_LAST",Database!$H280,Database!$H280),MATCH(Database!$H280,INDEX(BDH("HSAHP Index","PX_LAST",Database!$H280,Database!$H280),0,1),0),2),"run on terminal"))</f>
        <v/>
      </c>
      <c r="S280" s="58">
        <f>IFERROR(BDP(TEXT(VALUE(Database!$A280),"0")&amp;" HK Equity","PX_TO_SALES_RATIO"),"")</f>
        <v/>
      </c>
      <c r="T280" s="53">
        <f>IF(Database!BN280="","",IFERROR(BDP(LEFT(Database!BN280,FIND(".",Database!BN280)-1)&amp;" CH Equity","CUR_MKT_CAP")*BDP("CNYHKD Curncy","PX_LAST"),"run on terminal"))</f>
        <v/>
      </c>
    </row>
    <row r="281" ht="23" customHeight="1">
      <c r="A281" s="51">
        <f>Database!A281&amp;"  "&amp;Database!B281</f>
        <v/>
      </c>
      <c r="B281" s="43">
        <f>IFERROR(INDEX(BDS(TEXT(VALUE(Database!$A281),"0")&amp;" HK Equity","EQUITY_OFFERINGS","array=t","endcol=1"),MATCH("IPO",BDS(TEXT(VALUE(Database!$A281),"0")&amp;" HK Equity","EQUITY_OFFERINGS","array=t","startcol=2","endcol=2"),0)),"")</f>
        <v/>
      </c>
      <c r="C281" s="260">
        <f>IF($B281="","",IFERROR(BDP($B281&amp;" Action","CP036"),""))</f>
        <v/>
      </c>
      <c r="D281" s="261">
        <f>Database!S281</f>
        <v/>
      </c>
      <c r="E281" s="260">
        <f>IF($B281="","",IFERROR(BDP($B281&amp;" Action","CP037"),""))</f>
        <v/>
      </c>
      <c r="F281" s="261">
        <f>Database!T281</f>
        <v/>
      </c>
      <c r="G281" s="260">
        <f>IF($B281="","",IFERROR(BDP($B281&amp;" Action","GREENSHOE_FACILITY"),""))</f>
        <v/>
      </c>
      <c r="H281" s="260">
        <f>IF($B281="","",IFERROR(BDP($B281&amp;" Action","OFFERING_GREENSHOE_SHARES_EX"),""))</f>
        <v/>
      </c>
      <c r="I281" s="51">
        <f>Database!AE281</f>
        <v/>
      </c>
      <c r="J281" s="58">
        <f>IFERROR(BDP(TEXT(VALUE(Database!$A281),"0")&amp;" HK Equity","PE_RATIO"),"")</f>
        <v/>
      </c>
      <c r="K281" s="43">
        <f>IFERROR(BDP(TEXT(VALUE(Database!$A281),"0")&amp;" HK Equity","A/H_SHARE_CONVERSION"),"")</f>
        <v/>
      </c>
      <c r="L281" s="51">
        <f>IF(Database!BN281="","(none found)",Database!BN281)</f>
        <v/>
      </c>
      <c r="M281" s="53">
        <f>IFERROR(INDEX(BDH(TEXT(VALUE(Database!$A281),"0")&amp;" HK Equity","CUR_MKT_CAP",Database!$H281,Database!$H281),MATCH(Database!$H281,INDEX(BDH(TEXT(VALUE(Database!$A281),"0")&amp;" HK Equity","CUR_MKT_CAP",Database!$H281,Database!$H281),0,1),0),2),"run on terminal")</f>
        <v/>
      </c>
      <c r="N281" s="213">
        <f>Database!Q281</f>
        <v/>
      </c>
      <c r="O281" s="58">
        <f>IFERROR(INDEX(BDH(TEXT(VALUE(Database!$A281),"0")&amp;" HK Equity","PE_RATIO",Database!$H281,Database!$H281),MATCH(Database!$H281,INDEX(BDH(TEXT(VALUE(Database!$A281),"0")&amp;" HK Equity","PE_RATIO",Database!$H281,Database!$H281),0,1),0),2),"run on terminal")</f>
        <v/>
      </c>
      <c r="P281" s="251">
        <f>IF(Database!BH281="","(n/m or not derivable)",Database!BH281)</f>
        <v/>
      </c>
      <c r="Q281" s="58">
        <f>IF(Database!BN281="","",IFERROR(INDEX(BDH(LEFT(Database!BN281,FIND(".",Database!BN281)-1)&amp;" CH Equity","PE_RATIO",Database!$H281,Database!$H281),MATCH(Database!$H281,INDEX(BDH(LEFT(Database!BN281,FIND(".",Database!BN281)-1)&amp;" CH Equity","PE_RATIO",Database!$H281,Database!$H281),0,1),0),2),"run on terminal"))</f>
        <v/>
      </c>
      <c r="R281" s="58">
        <f>IF(Database!BN281="","",IFERROR(INDEX(BDH("HSAHP Index","PX_LAST",Database!$H281,Database!$H281),MATCH(Database!$H281,INDEX(BDH("HSAHP Index","PX_LAST",Database!$H281,Database!$H281),0,1),0),2),"run on terminal"))</f>
        <v/>
      </c>
      <c r="S281" s="58">
        <f>IFERROR(BDP(TEXT(VALUE(Database!$A281),"0")&amp;" HK Equity","PX_TO_SALES_RATIO"),"")</f>
        <v/>
      </c>
      <c r="T281" s="53">
        <f>IF(Database!BN281="","",IFERROR(BDP(LEFT(Database!BN281,FIND(".",Database!BN281)-1)&amp;" CH Equity","CUR_MKT_CAP")*BDP("CNYHKD Curncy","PX_LAST"),"run on terminal"))</f>
        <v/>
      </c>
    </row>
    <row r="282" ht="23" customHeight="1">
      <c r="A282" s="51">
        <f>Database!A282&amp;"  "&amp;Database!B282</f>
        <v/>
      </c>
      <c r="B282" s="43">
        <f>IFERROR(INDEX(BDS(TEXT(VALUE(Database!$A282),"0")&amp;" HK Equity","EQUITY_OFFERINGS","array=t","endcol=1"),MATCH("IPO",BDS(TEXT(VALUE(Database!$A282),"0")&amp;" HK Equity","EQUITY_OFFERINGS","array=t","startcol=2","endcol=2"),0)),"")</f>
        <v/>
      </c>
      <c r="C282" s="260">
        <f>IF($B282="","",IFERROR(BDP($B282&amp;" Action","CP036"),""))</f>
        <v/>
      </c>
      <c r="D282" s="261">
        <f>Database!S282</f>
        <v/>
      </c>
      <c r="E282" s="260">
        <f>IF($B282="","",IFERROR(BDP($B282&amp;" Action","CP037"),""))</f>
        <v/>
      </c>
      <c r="F282" s="261">
        <f>Database!T282</f>
        <v/>
      </c>
      <c r="G282" s="260">
        <f>IF($B282="","",IFERROR(BDP($B282&amp;" Action","GREENSHOE_FACILITY"),""))</f>
        <v/>
      </c>
      <c r="H282" s="260">
        <f>IF($B282="","",IFERROR(BDP($B282&amp;" Action","OFFERING_GREENSHOE_SHARES_EX"),""))</f>
        <v/>
      </c>
      <c r="I282" s="51">
        <f>Database!AE282</f>
        <v/>
      </c>
      <c r="J282" s="58">
        <f>IFERROR(BDP(TEXT(VALUE(Database!$A282),"0")&amp;" HK Equity","PE_RATIO"),"")</f>
        <v/>
      </c>
      <c r="K282" s="43">
        <f>IFERROR(BDP(TEXT(VALUE(Database!$A282),"0")&amp;" HK Equity","A/H_SHARE_CONVERSION"),"")</f>
        <v/>
      </c>
      <c r="L282" s="51">
        <f>IF(Database!BN282="","(none found)",Database!BN282)</f>
        <v/>
      </c>
      <c r="M282" s="53">
        <f>IFERROR(INDEX(BDH(TEXT(VALUE(Database!$A282),"0")&amp;" HK Equity","CUR_MKT_CAP",Database!$H282,Database!$H282),MATCH(Database!$H282,INDEX(BDH(TEXT(VALUE(Database!$A282),"0")&amp;" HK Equity","CUR_MKT_CAP",Database!$H282,Database!$H282),0,1),0),2),"run on terminal")</f>
        <v/>
      </c>
      <c r="N282" s="213">
        <f>Database!Q282</f>
        <v/>
      </c>
      <c r="O282" s="58">
        <f>IFERROR(INDEX(BDH(TEXT(VALUE(Database!$A282),"0")&amp;" HK Equity","PE_RATIO",Database!$H282,Database!$H282),MATCH(Database!$H282,INDEX(BDH(TEXT(VALUE(Database!$A282),"0")&amp;" HK Equity","PE_RATIO",Database!$H282,Database!$H282),0,1),0),2),"run on terminal")</f>
        <v/>
      </c>
      <c r="P282" s="251">
        <f>IF(Database!BH282="","(n/m or not derivable)",Database!BH282)</f>
        <v/>
      </c>
      <c r="Q282" s="58">
        <f>IF(Database!BN282="","",IFERROR(INDEX(BDH(LEFT(Database!BN282,FIND(".",Database!BN282)-1)&amp;" CH Equity","PE_RATIO",Database!$H282,Database!$H282),MATCH(Database!$H282,INDEX(BDH(LEFT(Database!BN282,FIND(".",Database!BN282)-1)&amp;" CH Equity","PE_RATIO",Database!$H282,Database!$H282),0,1),0),2),"run on terminal"))</f>
        <v/>
      </c>
      <c r="R282" s="58">
        <f>IF(Database!BN282="","",IFERROR(INDEX(BDH("HSAHP Index","PX_LAST",Database!$H282,Database!$H282),MATCH(Database!$H282,INDEX(BDH("HSAHP Index","PX_LAST",Database!$H282,Database!$H282),0,1),0),2),"run on terminal"))</f>
        <v/>
      </c>
      <c r="S282" s="58">
        <f>IFERROR(BDP(TEXT(VALUE(Database!$A282),"0")&amp;" HK Equity","PX_TO_SALES_RATIO"),"")</f>
        <v/>
      </c>
      <c r="T282" s="53">
        <f>IF(Database!BN282="","",IFERROR(BDP(LEFT(Database!BN282,FIND(".",Database!BN282)-1)&amp;" CH Equity","CUR_MKT_CAP")*BDP("CNYHKD Curncy","PX_LAST"),"run on terminal"))</f>
        <v/>
      </c>
    </row>
    <row r="283" ht="23" customHeight="1">
      <c r="A283" s="51">
        <f>Database!A283&amp;"  "&amp;Database!B283</f>
        <v/>
      </c>
      <c r="B283" s="43">
        <f>IFERROR(INDEX(BDS(TEXT(VALUE(Database!$A283),"0")&amp;" HK Equity","EQUITY_OFFERINGS","array=t","endcol=1"),MATCH("IPO",BDS(TEXT(VALUE(Database!$A283),"0")&amp;" HK Equity","EQUITY_OFFERINGS","array=t","startcol=2","endcol=2"),0)),"")</f>
        <v/>
      </c>
      <c r="C283" s="260">
        <f>IF($B283="","",IFERROR(BDP($B283&amp;" Action","CP036"),""))</f>
        <v/>
      </c>
      <c r="D283" s="261">
        <f>Database!S283</f>
        <v/>
      </c>
      <c r="E283" s="260">
        <f>IF($B283="","",IFERROR(BDP($B283&amp;" Action","CP037"),""))</f>
        <v/>
      </c>
      <c r="F283" s="261">
        <f>Database!T283</f>
        <v/>
      </c>
      <c r="G283" s="260">
        <f>IF($B283="","",IFERROR(BDP($B283&amp;" Action","GREENSHOE_FACILITY"),""))</f>
        <v/>
      </c>
      <c r="H283" s="260">
        <f>IF($B283="","",IFERROR(BDP($B283&amp;" Action","OFFERING_GREENSHOE_SHARES_EX"),""))</f>
        <v/>
      </c>
      <c r="I283" s="51">
        <f>Database!AE283</f>
        <v/>
      </c>
      <c r="J283" s="58">
        <f>IFERROR(BDP(TEXT(VALUE(Database!$A283),"0")&amp;" HK Equity","PE_RATIO"),"")</f>
        <v/>
      </c>
      <c r="K283" s="43">
        <f>IFERROR(BDP(TEXT(VALUE(Database!$A283),"0")&amp;" HK Equity","A/H_SHARE_CONVERSION"),"")</f>
        <v/>
      </c>
      <c r="L283" s="51">
        <f>IF(Database!BN283="","(none found)",Database!BN283)</f>
        <v/>
      </c>
      <c r="M283" s="53">
        <f>IFERROR(INDEX(BDH(TEXT(VALUE(Database!$A283),"0")&amp;" HK Equity","CUR_MKT_CAP",Database!$H283,Database!$H283),MATCH(Database!$H283,INDEX(BDH(TEXT(VALUE(Database!$A283),"0")&amp;" HK Equity","CUR_MKT_CAP",Database!$H283,Database!$H283),0,1),0),2),"run on terminal")</f>
        <v/>
      </c>
      <c r="N283" s="213">
        <f>Database!Q283</f>
        <v/>
      </c>
      <c r="O283" s="58">
        <f>IFERROR(INDEX(BDH(TEXT(VALUE(Database!$A283),"0")&amp;" HK Equity","PE_RATIO",Database!$H283,Database!$H283),MATCH(Database!$H283,INDEX(BDH(TEXT(VALUE(Database!$A283),"0")&amp;" HK Equity","PE_RATIO",Database!$H283,Database!$H283),0,1),0),2),"run on terminal")</f>
        <v/>
      </c>
      <c r="P283" s="251">
        <f>IF(Database!BH283="","(n/m or not derivable)",Database!BH283)</f>
        <v/>
      </c>
      <c r="Q283" s="58">
        <f>IF(Database!BN283="","",IFERROR(INDEX(BDH(LEFT(Database!BN283,FIND(".",Database!BN283)-1)&amp;" CH Equity","PE_RATIO",Database!$H283,Database!$H283),MATCH(Database!$H283,INDEX(BDH(LEFT(Database!BN283,FIND(".",Database!BN283)-1)&amp;" CH Equity","PE_RATIO",Database!$H283,Database!$H283),0,1),0),2),"run on terminal"))</f>
        <v/>
      </c>
      <c r="R283" s="58">
        <f>IF(Database!BN283="","",IFERROR(INDEX(BDH("HSAHP Index","PX_LAST",Database!$H283,Database!$H283),MATCH(Database!$H283,INDEX(BDH("HSAHP Index","PX_LAST",Database!$H283,Database!$H283),0,1),0),2),"run on terminal"))</f>
        <v/>
      </c>
      <c r="S283" s="58">
        <f>IFERROR(BDP(TEXT(VALUE(Database!$A283),"0")&amp;" HK Equity","PX_TO_SALES_RATIO"),"")</f>
        <v/>
      </c>
      <c r="T283" s="53">
        <f>IF(Database!BN283="","",IFERROR(BDP(LEFT(Database!BN283,FIND(".",Database!BN283)-1)&amp;" CH Equity","CUR_MKT_CAP")*BDP("CNYHKD Curncy","PX_LAST"),"run on terminal"))</f>
        <v/>
      </c>
    </row>
    <row r="284" ht="23" customHeight="1">
      <c r="A284" s="51">
        <f>Database!A284&amp;"  "&amp;Database!B284</f>
        <v/>
      </c>
      <c r="B284" s="43">
        <f>IFERROR(INDEX(BDS(TEXT(VALUE(Database!$A284),"0")&amp;" HK Equity","EQUITY_OFFERINGS","array=t","endcol=1"),MATCH("IPO",BDS(TEXT(VALUE(Database!$A284),"0")&amp;" HK Equity","EQUITY_OFFERINGS","array=t","startcol=2","endcol=2"),0)),"")</f>
        <v/>
      </c>
      <c r="C284" s="260">
        <f>IF($B284="","",IFERROR(BDP($B284&amp;" Action","CP036"),""))</f>
        <v/>
      </c>
      <c r="D284" s="261">
        <f>Database!S284</f>
        <v/>
      </c>
      <c r="E284" s="260">
        <f>IF($B284="","",IFERROR(BDP($B284&amp;" Action","CP037"),""))</f>
        <v/>
      </c>
      <c r="F284" s="261">
        <f>Database!T284</f>
        <v/>
      </c>
      <c r="G284" s="260">
        <f>IF($B284="","",IFERROR(BDP($B284&amp;" Action","GREENSHOE_FACILITY"),""))</f>
        <v/>
      </c>
      <c r="H284" s="260">
        <f>IF($B284="","",IFERROR(BDP($B284&amp;" Action","OFFERING_GREENSHOE_SHARES_EX"),""))</f>
        <v/>
      </c>
      <c r="I284" s="51">
        <f>Database!AE284</f>
        <v/>
      </c>
      <c r="J284" s="58">
        <f>IFERROR(BDP(TEXT(VALUE(Database!$A284),"0")&amp;" HK Equity","PE_RATIO"),"")</f>
        <v/>
      </c>
      <c r="K284" s="43">
        <f>IFERROR(BDP(TEXT(VALUE(Database!$A284),"0")&amp;" HK Equity","A/H_SHARE_CONVERSION"),"")</f>
        <v/>
      </c>
      <c r="L284" s="51">
        <f>IF(Database!BN284="","(none found)",Database!BN284)</f>
        <v/>
      </c>
      <c r="M284" s="53">
        <f>IFERROR(INDEX(BDH(TEXT(VALUE(Database!$A284),"0")&amp;" HK Equity","CUR_MKT_CAP",Database!$H284,Database!$H284),MATCH(Database!$H284,INDEX(BDH(TEXT(VALUE(Database!$A284),"0")&amp;" HK Equity","CUR_MKT_CAP",Database!$H284,Database!$H284),0,1),0),2),"run on terminal")</f>
        <v/>
      </c>
      <c r="N284" s="213">
        <f>Database!Q284</f>
        <v/>
      </c>
      <c r="O284" s="58">
        <f>IFERROR(INDEX(BDH(TEXT(VALUE(Database!$A284),"0")&amp;" HK Equity","PE_RATIO",Database!$H284,Database!$H284),MATCH(Database!$H284,INDEX(BDH(TEXT(VALUE(Database!$A284),"0")&amp;" HK Equity","PE_RATIO",Database!$H284,Database!$H284),0,1),0),2),"run on terminal")</f>
        <v/>
      </c>
      <c r="P284" s="251">
        <f>IF(Database!BH284="","(n/m or not derivable)",Database!BH284)</f>
        <v/>
      </c>
      <c r="Q284" s="58">
        <f>IF(Database!BN284="","",IFERROR(INDEX(BDH(LEFT(Database!BN284,FIND(".",Database!BN284)-1)&amp;" CH Equity","PE_RATIO",Database!$H284,Database!$H284),MATCH(Database!$H284,INDEX(BDH(LEFT(Database!BN284,FIND(".",Database!BN284)-1)&amp;" CH Equity","PE_RATIO",Database!$H284,Database!$H284),0,1),0),2),"run on terminal"))</f>
        <v/>
      </c>
      <c r="R284" s="58">
        <f>IF(Database!BN284="","",IFERROR(INDEX(BDH("HSAHP Index","PX_LAST",Database!$H284,Database!$H284),MATCH(Database!$H284,INDEX(BDH("HSAHP Index","PX_LAST",Database!$H284,Database!$H284),0,1),0),2),"run on terminal"))</f>
        <v/>
      </c>
      <c r="S284" s="58">
        <f>IFERROR(BDP(TEXT(VALUE(Database!$A284),"0")&amp;" HK Equity","PX_TO_SALES_RATIO"),"")</f>
        <v/>
      </c>
      <c r="T284" s="53">
        <f>IF(Database!BN284="","",IFERROR(BDP(LEFT(Database!BN284,FIND(".",Database!BN284)-1)&amp;" CH Equity","CUR_MKT_CAP")*BDP("CNYHKD Curncy","PX_LAST"),"run on terminal"))</f>
        <v/>
      </c>
    </row>
    <row r="285" ht="23" customHeight="1">
      <c r="A285" s="51">
        <f>Database!A285&amp;"  "&amp;Database!B285</f>
        <v/>
      </c>
      <c r="B285" s="43">
        <f>IFERROR(INDEX(BDS(TEXT(VALUE(Database!$A285),"0")&amp;" HK Equity","EQUITY_OFFERINGS","array=t","endcol=1"),MATCH("IPO",BDS(TEXT(VALUE(Database!$A285),"0")&amp;" HK Equity","EQUITY_OFFERINGS","array=t","startcol=2","endcol=2"),0)),"")</f>
        <v/>
      </c>
      <c r="C285" s="260">
        <f>IF($B285="","",IFERROR(BDP($B285&amp;" Action","CP036"),""))</f>
        <v/>
      </c>
      <c r="D285" s="261">
        <f>Database!S285</f>
        <v/>
      </c>
      <c r="E285" s="260">
        <f>IF($B285="","",IFERROR(BDP($B285&amp;" Action","CP037"),""))</f>
        <v/>
      </c>
      <c r="F285" s="261">
        <f>Database!T285</f>
        <v/>
      </c>
      <c r="G285" s="260">
        <f>IF($B285="","",IFERROR(BDP($B285&amp;" Action","GREENSHOE_FACILITY"),""))</f>
        <v/>
      </c>
      <c r="H285" s="260">
        <f>IF($B285="","",IFERROR(BDP($B285&amp;" Action","OFFERING_GREENSHOE_SHARES_EX"),""))</f>
        <v/>
      </c>
      <c r="I285" s="51">
        <f>Database!AE285</f>
        <v/>
      </c>
      <c r="J285" s="58">
        <f>IFERROR(BDP(TEXT(VALUE(Database!$A285),"0")&amp;" HK Equity","PE_RATIO"),"")</f>
        <v/>
      </c>
      <c r="K285" s="43">
        <f>IFERROR(BDP(TEXT(VALUE(Database!$A285),"0")&amp;" HK Equity","A/H_SHARE_CONVERSION"),"")</f>
        <v/>
      </c>
      <c r="L285" s="51">
        <f>IF(Database!BN285="","(none found)",Database!BN285)</f>
        <v/>
      </c>
      <c r="M285" s="53">
        <f>IFERROR(INDEX(BDH(TEXT(VALUE(Database!$A285),"0")&amp;" HK Equity","CUR_MKT_CAP",Database!$H285,Database!$H285),MATCH(Database!$H285,INDEX(BDH(TEXT(VALUE(Database!$A285),"0")&amp;" HK Equity","CUR_MKT_CAP",Database!$H285,Database!$H285),0,1),0),2),"run on terminal")</f>
        <v/>
      </c>
      <c r="N285" s="213">
        <f>Database!Q285</f>
        <v/>
      </c>
      <c r="O285" s="58">
        <f>IFERROR(INDEX(BDH(TEXT(VALUE(Database!$A285),"0")&amp;" HK Equity","PE_RATIO",Database!$H285,Database!$H285),MATCH(Database!$H285,INDEX(BDH(TEXT(VALUE(Database!$A285),"0")&amp;" HK Equity","PE_RATIO",Database!$H285,Database!$H285),0,1),0),2),"run on terminal")</f>
        <v/>
      </c>
      <c r="P285" s="251">
        <f>IF(Database!BH285="","(n/m or not derivable)",Database!BH285)</f>
        <v/>
      </c>
      <c r="Q285" s="58">
        <f>IF(Database!BN285="","",IFERROR(INDEX(BDH(LEFT(Database!BN285,FIND(".",Database!BN285)-1)&amp;" CH Equity","PE_RATIO",Database!$H285,Database!$H285),MATCH(Database!$H285,INDEX(BDH(LEFT(Database!BN285,FIND(".",Database!BN285)-1)&amp;" CH Equity","PE_RATIO",Database!$H285,Database!$H285),0,1),0),2),"run on terminal"))</f>
        <v/>
      </c>
      <c r="R285" s="58">
        <f>IF(Database!BN285="","",IFERROR(INDEX(BDH("HSAHP Index","PX_LAST",Database!$H285,Database!$H285),MATCH(Database!$H285,INDEX(BDH("HSAHP Index","PX_LAST",Database!$H285,Database!$H285),0,1),0),2),"run on terminal"))</f>
        <v/>
      </c>
      <c r="S285" s="58">
        <f>IFERROR(BDP(TEXT(VALUE(Database!$A285),"0")&amp;" HK Equity","PX_TO_SALES_RATIO"),"")</f>
        <v/>
      </c>
      <c r="T285" s="53">
        <f>IF(Database!BN285="","",IFERROR(BDP(LEFT(Database!BN285,FIND(".",Database!BN285)-1)&amp;" CH Equity","CUR_MKT_CAP")*BDP("CNYHKD Curncy","PX_LAST"),"run on terminal"))</f>
        <v/>
      </c>
    </row>
    <row r="286" ht="23" customHeight="1">
      <c r="A286" s="51">
        <f>Database!A286&amp;"  "&amp;Database!B286</f>
        <v/>
      </c>
      <c r="B286" s="43">
        <f>IFERROR(INDEX(BDS(TEXT(VALUE(Database!$A286),"0")&amp;" HK Equity","EQUITY_OFFERINGS","array=t","endcol=1"),MATCH("IPO",BDS(TEXT(VALUE(Database!$A286),"0")&amp;" HK Equity","EQUITY_OFFERINGS","array=t","startcol=2","endcol=2"),0)),"")</f>
        <v/>
      </c>
      <c r="C286" s="260">
        <f>IF($B286="","",IFERROR(BDP($B286&amp;" Action","CP036"),""))</f>
        <v/>
      </c>
      <c r="D286" s="261">
        <f>Database!S286</f>
        <v/>
      </c>
      <c r="E286" s="260">
        <f>IF($B286="","",IFERROR(BDP($B286&amp;" Action","CP037"),""))</f>
        <v/>
      </c>
      <c r="F286" s="261">
        <f>Database!T286</f>
        <v/>
      </c>
      <c r="G286" s="260">
        <f>IF($B286="","",IFERROR(BDP($B286&amp;" Action","GREENSHOE_FACILITY"),""))</f>
        <v/>
      </c>
      <c r="H286" s="260">
        <f>IF($B286="","",IFERROR(BDP($B286&amp;" Action","OFFERING_GREENSHOE_SHARES_EX"),""))</f>
        <v/>
      </c>
      <c r="I286" s="51">
        <f>Database!AE286</f>
        <v/>
      </c>
      <c r="J286" s="58">
        <f>IFERROR(BDP(TEXT(VALUE(Database!$A286),"0")&amp;" HK Equity","PE_RATIO"),"")</f>
        <v/>
      </c>
      <c r="K286" s="43">
        <f>IFERROR(BDP(TEXT(VALUE(Database!$A286),"0")&amp;" HK Equity","A/H_SHARE_CONVERSION"),"")</f>
        <v/>
      </c>
      <c r="L286" s="51">
        <f>IF(Database!BN286="","(none found)",Database!BN286)</f>
        <v/>
      </c>
      <c r="M286" s="53">
        <f>IFERROR(INDEX(BDH(TEXT(VALUE(Database!$A286),"0")&amp;" HK Equity","CUR_MKT_CAP",Database!$H286,Database!$H286),MATCH(Database!$H286,INDEX(BDH(TEXT(VALUE(Database!$A286),"0")&amp;" HK Equity","CUR_MKT_CAP",Database!$H286,Database!$H286),0,1),0),2),"run on terminal")</f>
        <v/>
      </c>
      <c r="N286" s="213">
        <f>Database!Q286</f>
        <v/>
      </c>
      <c r="O286" s="58">
        <f>IFERROR(INDEX(BDH(TEXT(VALUE(Database!$A286),"0")&amp;" HK Equity","PE_RATIO",Database!$H286,Database!$H286),MATCH(Database!$H286,INDEX(BDH(TEXT(VALUE(Database!$A286),"0")&amp;" HK Equity","PE_RATIO",Database!$H286,Database!$H286),0,1),0),2),"run on terminal")</f>
        <v/>
      </c>
      <c r="P286" s="251">
        <f>IF(Database!BH286="","(n/m or not derivable)",Database!BH286)</f>
        <v/>
      </c>
      <c r="Q286" s="58">
        <f>IF(Database!BN286="","",IFERROR(INDEX(BDH(LEFT(Database!BN286,FIND(".",Database!BN286)-1)&amp;" CH Equity","PE_RATIO",Database!$H286,Database!$H286),MATCH(Database!$H286,INDEX(BDH(LEFT(Database!BN286,FIND(".",Database!BN286)-1)&amp;" CH Equity","PE_RATIO",Database!$H286,Database!$H286),0,1),0),2),"run on terminal"))</f>
        <v/>
      </c>
      <c r="R286" s="58">
        <f>IF(Database!BN286="","",IFERROR(INDEX(BDH("HSAHP Index","PX_LAST",Database!$H286,Database!$H286),MATCH(Database!$H286,INDEX(BDH("HSAHP Index","PX_LAST",Database!$H286,Database!$H286),0,1),0),2),"run on terminal"))</f>
        <v/>
      </c>
      <c r="S286" s="58">
        <f>IFERROR(BDP(TEXT(VALUE(Database!$A286),"0")&amp;" HK Equity","PX_TO_SALES_RATIO"),"")</f>
        <v/>
      </c>
      <c r="T286" s="53">
        <f>IF(Database!BN286="","",IFERROR(BDP(LEFT(Database!BN286,FIND(".",Database!BN286)-1)&amp;" CH Equity","CUR_MKT_CAP")*BDP("CNYHKD Curncy","PX_LAST"),"run on terminal"))</f>
        <v/>
      </c>
    </row>
    <row r="287" ht="23" customHeight="1">
      <c r="A287" s="51">
        <f>Database!A287&amp;"  "&amp;Database!B287</f>
        <v/>
      </c>
      <c r="B287" s="43">
        <f>IFERROR(INDEX(BDS(TEXT(VALUE(Database!$A287),"0")&amp;" HK Equity","EQUITY_OFFERINGS","array=t","endcol=1"),MATCH("IPO",BDS(TEXT(VALUE(Database!$A287),"0")&amp;" HK Equity","EQUITY_OFFERINGS","array=t","startcol=2","endcol=2"),0)),"")</f>
        <v/>
      </c>
      <c r="C287" s="260">
        <f>IF($B287="","",IFERROR(BDP($B287&amp;" Action","CP036"),""))</f>
        <v/>
      </c>
      <c r="D287" s="261">
        <f>Database!S287</f>
        <v/>
      </c>
      <c r="E287" s="260">
        <f>IF($B287="","",IFERROR(BDP($B287&amp;" Action","CP037"),""))</f>
        <v/>
      </c>
      <c r="F287" s="261">
        <f>Database!T287</f>
        <v/>
      </c>
      <c r="G287" s="260">
        <f>IF($B287="","",IFERROR(BDP($B287&amp;" Action","GREENSHOE_FACILITY"),""))</f>
        <v/>
      </c>
      <c r="H287" s="260">
        <f>IF($B287="","",IFERROR(BDP($B287&amp;" Action","OFFERING_GREENSHOE_SHARES_EX"),""))</f>
        <v/>
      </c>
      <c r="I287" s="51">
        <f>Database!AE287</f>
        <v/>
      </c>
      <c r="J287" s="58">
        <f>IFERROR(BDP(TEXT(VALUE(Database!$A287),"0")&amp;" HK Equity","PE_RATIO"),"")</f>
        <v/>
      </c>
      <c r="K287" s="43">
        <f>IFERROR(BDP(TEXT(VALUE(Database!$A287),"0")&amp;" HK Equity","A/H_SHARE_CONVERSION"),"")</f>
        <v/>
      </c>
      <c r="L287" s="51">
        <f>IF(Database!BN287="","(none found)",Database!BN287)</f>
        <v/>
      </c>
      <c r="M287" s="53">
        <f>IFERROR(INDEX(BDH(TEXT(VALUE(Database!$A287),"0")&amp;" HK Equity","CUR_MKT_CAP",Database!$H287,Database!$H287),MATCH(Database!$H287,INDEX(BDH(TEXT(VALUE(Database!$A287),"0")&amp;" HK Equity","CUR_MKT_CAP",Database!$H287,Database!$H287),0,1),0),2),"run on terminal")</f>
        <v/>
      </c>
      <c r="N287" s="213">
        <f>Database!Q287</f>
        <v/>
      </c>
      <c r="O287" s="58">
        <f>IFERROR(INDEX(BDH(TEXT(VALUE(Database!$A287),"0")&amp;" HK Equity","PE_RATIO",Database!$H287,Database!$H287),MATCH(Database!$H287,INDEX(BDH(TEXT(VALUE(Database!$A287),"0")&amp;" HK Equity","PE_RATIO",Database!$H287,Database!$H287),0,1),0),2),"run on terminal")</f>
        <v/>
      </c>
      <c r="P287" s="251">
        <f>IF(Database!BH287="","(n/m or not derivable)",Database!BH287)</f>
        <v/>
      </c>
      <c r="Q287" s="58">
        <f>IF(Database!BN287="","",IFERROR(INDEX(BDH(LEFT(Database!BN287,FIND(".",Database!BN287)-1)&amp;" CH Equity","PE_RATIO",Database!$H287,Database!$H287),MATCH(Database!$H287,INDEX(BDH(LEFT(Database!BN287,FIND(".",Database!BN287)-1)&amp;" CH Equity","PE_RATIO",Database!$H287,Database!$H287),0,1),0),2),"run on terminal"))</f>
        <v/>
      </c>
      <c r="R287" s="58">
        <f>IF(Database!BN287="","",IFERROR(INDEX(BDH("HSAHP Index","PX_LAST",Database!$H287,Database!$H287),MATCH(Database!$H287,INDEX(BDH("HSAHP Index","PX_LAST",Database!$H287,Database!$H287),0,1),0),2),"run on terminal"))</f>
        <v/>
      </c>
      <c r="S287" s="58">
        <f>IFERROR(BDP(TEXT(VALUE(Database!$A287),"0")&amp;" HK Equity","PX_TO_SALES_RATIO"),"")</f>
        <v/>
      </c>
      <c r="T287" s="53">
        <f>IF(Database!BN287="","",IFERROR(BDP(LEFT(Database!BN287,FIND(".",Database!BN287)-1)&amp;" CH Equity","CUR_MKT_CAP")*BDP("CNYHKD Curncy","PX_LAST"),"run on terminal"))</f>
        <v/>
      </c>
    </row>
    <row r="288" ht="23" customHeight="1">
      <c r="A288" s="51">
        <f>Database!A288&amp;"  "&amp;Database!B288</f>
        <v/>
      </c>
      <c r="B288" s="43">
        <f>IFERROR(INDEX(BDS(TEXT(VALUE(Database!$A288),"0")&amp;" HK Equity","EQUITY_OFFERINGS","array=t","endcol=1"),MATCH("IPO",BDS(TEXT(VALUE(Database!$A288),"0")&amp;" HK Equity","EQUITY_OFFERINGS","array=t","startcol=2","endcol=2"),0)),"")</f>
        <v/>
      </c>
      <c r="C288" s="260">
        <f>IF($B288="","",IFERROR(BDP($B288&amp;" Action","CP036"),""))</f>
        <v/>
      </c>
      <c r="D288" s="261">
        <f>Database!S288</f>
        <v/>
      </c>
      <c r="E288" s="260">
        <f>IF($B288="","",IFERROR(BDP($B288&amp;" Action","CP037"),""))</f>
        <v/>
      </c>
      <c r="F288" s="261">
        <f>Database!T288</f>
        <v/>
      </c>
      <c r="G288" s="260">
        <f>IF($B288="","",IFERROR(BDP($B288&amp;" Action","GREENSHOE_FACILITY"),""))</f>
        <v/>
      </c>
      <c r="H288" s="260">
        <f>IF($B288="","",IFERROR(BDP($B288&amp;" Action","OFFERING_GREENSHOE_SHARES_EX"),""))</f>
        <v/>
      </c>
      <c r="I288" s="51">
        <f>Database!AE288</f>
        <v/>
      </c>
      <c r="J288" s="58">
        <f>IFERROR(BDP(TEXT(VALUE(Database!$A288),"0")&amp;" HK Equity","PE_RATIO"),"")</f>
        <v/>
      </c>
      <c r="K288" s="43">
        <f>IFERROR(BDP(TEXT(VALUE(Database!$A288),"0")&amp;" HK Equity","A/H_SHARE_CONVERSION"),"")</f>
        <v/>
      </c>
      <c r="L288" s="51">
        <f>IF(Database!BN288="","(none found)",Database!BN288)</f>
        <v/>
      </c>
      <c r="M288" s="53">
        <f>IFERROR(INDEX(BDH(TEXT(VALUE(Database!$A288),"0")&amp;" HK Equity","CUR_MKT_CAP",Database!$H288,Database!$H288),MATCH(Database!$H288,INDEX(BDH(TEXT(VALUE(Database!$A288),"0")&amp;" HK Equity","CUR_MKT_CAP",Database!$H288,Database!$H288),0,1),0),2),"run on terminal")</f>
        <v/>
      </c>
      <c r="N288" s="213">
        <f>Database!Q288</f>
        <v/>
      </c>
      <c r="O288" s="58">
        <f>IFERROR(INDEX(BDH(TEXT(VALUE(Database!$A288),"0")&amp;" HK Equity","PE_RATIO",Database!$H288,Database!$H288),MATCH(Database!$H288,INDEX(BDH(TEXT(VALUE(Database!$A288),"0")&amp;" HK Equity","PE_RATIO",Database!$H288,Database!$H288),0,1),0),2),"run on terminal")</f>
        <v/>
      </c>
      <c r="P288" s="251">
        <f>IF(Database!BH288="","(n/m or not derivable)",Database!BH288)</f>
        <v/>
      </c>
      <c r="Q288" s="58">
        <f>IF(Database!BN288="","",IFERROR(INDEX(BDH(LEFT(Database!BN288,FIND(".",Database!BN288)-1)&amp;" CH Equity","PE_RATIO",Database!$H288,Database!$H288),MATCH(Database!$H288,INDEX(BDH(LEFT(Database!BN288,FIND(".",Database!BN288)-1)&amp;" CH Equity","PE_RATIO",Database!$H288,Database!$H288),0,1),0),2),"run on terminal"))</f>
        <v/>
      </c>
      <c r="R288" s="58">
        <f>IF(Database!BN288="","",IFERROR(INDEX(BDH("HSAHP Index","PX_LAST",Database!$H288,Database!$H288),MATCH(Database!$H288,INDEX(BDH("HSAHP Index","PX_LAST",Database!$H288,Database!$H288),0,1),0),2),"run on terminal"))</f>
        <v/>
      </c>
      <c r="S288" s="58">
        <f>IFERROR(BDP(TEXT(VALUE(Database!$A288),"0")&amp;" HK Equity","PX_TO_SALES_RATIO"),"")</f>
        <v/>
      </c>
      <c r="T288" s="53">
        <f>IF(Database!BN288="","",IFERROR(BDP(LEFT(Database!BN288,FIND(".",Database!BN288)-1)&amp;" CH Equity","CUR_MKT_CAP")*BDP("CNYHKD Curncy","PX_LAST"),"run on terminal"))</f>
        <v/>
      </c>
    </row>
    <row r="289" ht="23" customHeight="1">
      <c r="A289" s="51">
        <f>Database!A289&amp;"  "&amp;Database!B289</f>
        <v/>
      </c>
      <c r="B289" s="43">
        <f>IFERROR(INDEX(BDS(TEXT(VALUE(Database!$A289),"0")&amp;" HK Equity","EQUITY_OFFERINGS","array=t","endcol=1"),MATCH("IPO",BDS(TEXT(VALUE(Database!$A289),"0")&amp;" HK Equity","EQUITY_OFFERINGS","array=t","startcol=2","endcol=2"),0)),"")</f>
        <v/>
      </c>
      <c r="C289" s="260">
        <f>IF($B289="","",IFERROR(BDP($B289&amp;" Action","CP036"),""))</f>
        <v/>
      </c>
      <c r="D289" s="261">
        <f>Database!S289</f>
        <v/>
      </c>
      <c r="E289" s="260">
        <f>IF($B289="","",IFERROR(BDP($B289&amp;" Action","CP037"),""))</f>
        <v/>
      </c>
      <c r="F289" s="261">
        <f>Database!T289</f>
        <v/>
      </c>
      <c r="G289" s="260">
        <f>IF($B289="","",IFERROR(BDP($B289&amp;" Action","GREENSHOE_FACILITY"),""))</f>
        <v/>
      </c>
      <c r="H289" s="260">
        <f>IF($B289="","",IFERROR(BDP($B289&amp;" Action","OFFERING_GREENSHOE_SHARES_EX"),""))</f>
        <v/>
      </c>
      <c r="I289" s="51">
        <f>Database!AE289</f>
        <v/>
      </c>
      <c r="J289" s="58">
        <f>IFERROR(BDP(TEXT(VALUE(Database!$A289),"0")&amp;" HK Equity","PE_RATIO"),"")</f>
        <v/>
      </c>
      <c r="K289" s="43">
        <f>IFERROR(BDP(TEXT(VALUE(Database!$A289),"0")&amp;" HK Equity","A/H_SHARE_CONVERSION"),"")</f>
        <v/>
      </c>
      <c r="L289" s="51">
        <f>IF(Database!BN289="","(none found)",Database!BN289)</f>
        <v/>
      </c>
      <c r="M289" s="53">
        <f>IFERROR(INDEX(BDH(TEXT(VALUE(Database!$A289),"0")&amp;" HK Equity","CUR_MKT_CAP",Database!$H289,Database!$H289),MATCH(Database!$H289,INDEX(BDH(TEXT(VALUE(Database!$A289),"0")&amp;" HK Equity","CUR_MKT_CAP",Database!$H289,Database!$H289),0,1),0),2),"run on terminal")</f>
        <v/>
      </c>
      <c r="N289" s="213">
        <f>Database!Q289</f>
        <v/>
      </c>
      <c r="O289" s="58">
        <f>IFERROR(INDEX(BDH(TEXT(VALUE(Database!$A289),"0")&amp;" HK Equity","PE_RATIO",Database!$H289,Database!$H289),MATCH(Database!$H289,INDEX(BDH(TEXT(VALUE(Database!$A289),"0")&amp;" HK Equity","PE_RATIO",Database!$H289,Database!$H289),0,1),0),2),"run on terminal")</f>
        <v/>
      </c>
      <c r="P289" s="251">
        <f>IF(Database!BH289="","(n/m or not derivable)",Database!BH289)</f>
        <v/>
      </c>
      <c r="Q289" s="58">
        <f>IF(Database!BN289="","",IFERROR(INDEX(BDH(LEFT(Database!BN289,FIND(".",Database!BN289)-1)&amp;" CH Equity","PE_RATIO",Database!$H289,Database!$H289),MATCH(Database!$H289,INDEX(BDH(LEFT(Database!BN289,FIND(".",Database!BN289)-1)&amp;" CH Equity","PE_RATIO",Database!$H289,Database!$H289),0,1),0),2),"run on terminal"))</f>
        <v/>
      </c>
      <c r="R289" s="58">
        <f>IF(Database!BN289="","",IFERROR(INDEX(BDH("HSAHP Index","PX_LAST",Database!$H289,Database!$H289),MATCH(Database!$H289,INDEX(BDH("HSAHP Index","PX_LAST",Database!$H289,Database!$H289),0,1),0),2),"run on terminal"))</f>
        <v/>
      </c>
      <c r="S289" s="58">
        <f>IFERROR(BDP(TEXT(VALUE(Database!$A289),"0")&amp;" HK Equity","PX_TO_SALES_RATIO"),"")</f>
        <v/>
      </c>
      <c r="T289" s="53">
        <f>IF(Database!BN289="","",IFERROR(BDP(LEFT(Database!BN289,FIND(".",Database!BN289)-1)&amp;" CH Equity","CUR_MKT_CAP")*BDP("CNYHKD Curncy","PX_LAST"),"run on terminal"))</f>
        <v/>
      </c>
    </row>
    <row r="290" ht="23" customHeight="1">
      <c r="A290" s="51">
        <f>Database!A290&amp;"  "&amp;Database!B290</f>
        <v/>
      </c>
      <c r="B290" s="43">
        <f>IFERROR(INDEX(BDS(TEXT(VALUE(Database!$A290),"0")&amp;" HK Equity","EQUITY_OFFERINGS","array=t","endcol=1"),MATCH("IPO",BDS(TEXT(VALUE(Database!$A290),"0")&amp;" HK Equity","EQUITY_OFFERINGS","array=t","startcol=2","endcol=2"),0)),"")</f>
        <v/>
      </c>
      <c r="C290" s="260">
        <f>IF($B290="","",IFERROR(BDP($B290&amp;" Action","CP036"),""))</f>
        <v/>
      </c>
      <c r="D290" s="261">
        <f>Database!S290</f>
        <v/>
      </c>
      <c r="E290" s="260">
        <f>IF($B290="","",IFERROR(BDP($B290&amp;" Action","CP037"),""))</f>
        <v/>
      </c>
      <c r="F290" s="261">
        <f>Database!T290</f>
        <v/>
      </c>
      <c r="G290" s="260">
        <f>IF($B290="","",IFERROR(BDP($B290&amp;" Action","GREENSHOE_FACILITY"),""))</f>
        <v/>
      </c>
      <c r="H290" s="260">
        <f>IF($B290="","",IFERROR(BDP($B290&amp;" Action","OFFERING_GREENSHOE_SHARES_EX"),""))</f>
        <v/>
      </c>
      <c r="I290" s="51">
        <f>Database!AE290</f>
        <v/>
      </c>
      <c r="J290" s="58">
        <f>IFERROR(BDP(TEXT(VALUE(Database!$A290),"0")&amp;" HK Equity","PE_RATIO"),"")</f>
        <v/>
      </c>
      <c r="K290" s="43">
        <f>IFERROR(BDP(TEXT(VALUE(Database!$A290),"0")&amp;" HK Equity","A/H_SHARE_CONVERSION"),"")</f>
        <v/>
      </c>
      <c r="L290" s="51">
        <f>IF(Database!BN290="","(none found)",Database!BN290)</f>
        <v/>
      </c>
      <c r="M290" s="53">
        <f>IFERROR(INDEX(BDH(TEXT(VALUE(Database!$A290),"0")&amp;" HK Equity","CUR_MKT_CAP",Database!$H290,Database!$H290),MATCH(Database!$H290,INDEX(BDH(TEXT(VALUE(Database!$A290),"0")&amp;" HK Equity","CUR_MKT_CAP",Database!$H290,Database!$H290),0,1),0),2),"run on terminal")</f>
        <v/>
      </c>
      <c r="N290" s="213">
        <f>Database!Q290</f>
        <v/>
      </c>
      <c r="O290" s="58">
        <f>IFERROR(INDEX(BDH(TEXT(VALUE(Database!$A290),"0")&amp;" HK Equity","PE_RATIO",Database!$H290,Database!$H290),MATCH(Database!$H290,INDEX(BDH(TEXT(VALUE(Database!$A290),"0")&amp;" HK Equity","PE_RATIO",Database!$H290,Database!$H290),0,1),0),2),"run on terminal")</f>
        <v/>
      </c>
      <c r="P290" s="251">
        <f>IF(Database!BH290="","(n/m or not derivable)",Database!BH290)</f>
        <v/>
      </c>
      <c r="Q290" s="58">
        <f>IF(Database!BN290="","",IFERROR(INDEX(BDH(LEFT(Database!BN290,FIND(".",Database!BN290)-1)&amp;" CH Equity","PE_RATIO",Database!$H290,Database!$H290),MATCH(Database!$H290,INDEX(BDH(LEFT(Database!BN290,FIND(".",Database!BN290)-1)&amp;" CH Equity","PE_RATIO",Database!$H290,Database!$H290),0,1),0),2),"run on terminal"))</f>
        <v/>
      </c>
      <c r="R290" s="58">
        <f>IF(Database!BN290="","",IFERROR(INDEX(BDH("HSAHP Index","PX_LAST",Database!$H290,Database!$H290),MATCH(Database!$H290,INDEX(BDH("HSAHP Index","PX_LAST",Database!$H290,Database!$H290),0,1),0),2),"run on terminal"))</f>
        <v/>
      </c>
      <c r="S290" s="58">
        <f>IFERROR(BDP(TEXT(VALUE(Database!$A290),"0")&amp;" HK Equity","PX_TO_SALES_RATIO"),"")</f>
        <v/>
      </c>
      <c r="T290" s="53">
        <f>IF(Database!BN290="","",IFERROR(BDP(LEFT(Database!BN290,FIND(".",Database!BN290)-1)&amp;" CH Equity","CUR_MKT_CAP")*BDP("CNYHKD Curncy","PX_LAST"),"run on terminal"))</f>
        <v/>
      </c>
    </row>
    <row r="291" ht="23" customHeight="1">
      <c r="A291" s="51">
        <f>Database!A291&amp;"  "&amp;Database!B291</f>
        <v/>
      </c>
      <c r="B291" s="43">
        <f>IFERROR(INDEX(BDS(TEXT(VALUE(Database!$A291),"0")&amp;" HK Equity","EQUITY_OFFERINGS","array=t","endcol=1"),MATCH("IPO",BDS(TEXT(VALUE(Database!$A291),"0")&amp;" HK Equity","EQUITY_OFFERINGS","array=t","startcol=2","endcol=2"),0)),"")</f>
        <v/>
      </c>
      <c r="C291" s="260">
        <f>IF($B291="","",IFERROR(BDP($B291&amp;" Action","CP036"),""))</f>
        <v/>
      </c>
      <c r="D291" s="261">
        <f>Database!S291</f>
        <v/>
      </c>
      <c r="E291" s="260">
        <f>IF($B291="","",IFERROR(BDP($B291&amp;" Action","CP037"),""))</f>
        <v/>
      </c>
      <c r="F291" s="261">
        <f>Database!T291</f>
        <v/>
      </c>
      <c r="G291" s="260">
        <f>IF($B291="","",IFERROR(BDP($B291&amp;" Action","GREENSHOE_FACILITY"),""))</f>
        <v/>
      </c>
      <c r="H291" s="260">
        <f>IF($B291="","",IFERROR(BDP($B291&amp;" Action","OFFERING_GREENSHOE_SHARES_EX"),""))</f>
        <v/>
      </c>
      <c r="I291" s="51">
        <f>Database!AE291</f>
        <v/>
      </c>
      <c r="J291" s="58">
        <f>IFERROR(BDP(TEXT(VALUE(Database!$A291),"0")&amp;" HK Equity","PE_RATIO"),"")</f>
        <v/>
      </c>
      <c r="K291" s="43">
        <f>IFERROR(BDP(TEXT(VALUE(Database!$A291),"0")&amp;" HK Equity","A/H_SHARE_CONVERSION"),"")</f>
        <v/>
      </c>
      <c r="L291" s="51">
        <f>IF(Database!BN291="","(none found)",Database!BN291)</f>
        <v/>
      </c>
      <c r="M291" s="53">
        <f>IFERROR(INDEX(BDH(TEXT(VALUE(Database!$A291),"0")&amp;" HK Equity","CUR_MKT_CAP",Database!$H291,Database!$H291),MATCH(Database!$H291,INDEX(BDH(TEXT(VALUE(Database!$A291),"0")&amp;" HK Equity","CUR_MKT_CAP",Database!$H291,Database!$H291),0,1),0),2),"run on terminal")</f>
        <v/>
      </c>
      <c r="N291" s="213">
        <f>Database!Q291</f>
        <v/>
      </c>
      <c r="O291" s="58">
        <f>IFERROR(INDEX(BDH(TEXT(VALUE(Database!$A291),"0")&amp;" HK Equity","PE_RATIO",Database!$H291,Database!$H291),MATCH(Database!$H291,INDEX(BDH(TEXT(VALUE(Database!$A291),"0")&amp;" HK Equity","PE_RATIO",Database!$H291,Database!$H291),0,1),0),2),"run on terminal")</f>
        <v/>
      </c>
      <c r="P291" s="251">
        <f>IF(Database!BH291="","(n/m or not derivable)",Database!BH291)</f>
        <v/>
      </c>
      <c r="Q291" s="58">
        <f>IF(Database!BN291="","",IFERROR(INDEX(BDH(LEFT(Database!BN291,FIND(".",Database!BN291)-1)&amp;" CH Equity","PE_RATIO",Database!$H291,Database!$H291),MATCH(Database!$H291,INDEX(BDH(LEFT(Database!BN291,FIND(".",Database!BN291)-1)&amp;" CH Equity","PE_RATIO",Database!$H291,Database!$H291),0,1),0),2),"run on terminal"))</f>
        <v/>
      </c>
      <c r="R291" s="58">
        <f>IF(Database!BN291="","",IFERROR(INDEX(BDH("HSAHP Index","PX_LAST",Database!$H291,Database!$H291),MATCH(Database!$H291,INDEX(BDH("HSAHP Index","PX_LAST",Database!$H291,Database!$H291),0,1),0),2),"run on terminal"))</f>
        <v/>
      </c>
      <c r="S291" s="58">
        <f>IFERROR(BDP(TEXT(VALUE(Database!$A291),"0")&amp;" HK Equity","PX_TO_SALES_RATIO"),"")</f>
        <v/>
      </c>
      <c r="T291" s="53">
        <f>IF(Database!BN291="","",IFERROR(BDP(LEFT(Database!BN291,FIND(".",Database!BN291)-1)&amp;" CH Equity","CUR_MKT_CAP")*BDP("CNYHKD Curncy","PX_LAST"),"run on terminal"))</f>
        <v/>
      </c>
    </row>
    <row r="292" ht="23" customHeight="1">
      <c r="A292" s="51">
        <f>Database!A292&amp;"  "&amp;Database!B292</f>
        <v/>
      </c>
      <c r="B292" s="43">
        <f>IFERROR(INDEX(BDS(TEXT(VALUE(Database!$A292),"0")&amp;" HK Equity","EQUITY_OFFERINGS","array=t","endcol=1"),MATCH("IPO",BDS(TEXT(VALUE(Database!$A292),"0")&amp;" HK Equity","EQUITY_OFFERINGS","array=t","startcol=2","endcol=2"),0)),"")</f>
        <v/>
      </c>
      <c r="C292" s="260">
        <f>IF($B292="","",IFERROR(BDP($B292&amp;" Action","CP036"),""))</f>
        <v/>
      </c>
      <c r="D292" s="261">
        <f>Database!S292</f>
        <v/>
      </c>
      <c r="E292" s="260">
        <f>IF($B292="","",IFERROR(BDP($B292&amp;" Action","CP037"),""))</f>
        <v/>
      </c>
      <c r="F292" s="261">
        <f>Database!T292</f>
        <v/>
      </c>
      <c r="G292" s="260">
        <f>IF($B292="","",IFERROR(BDP($B292&amp;" Action","GREENSHOE_FACILITY"),""))</f>
        <v/>
      </c>
      <c r="H292" s="260">
        <f>IF($B292="","",IFERROR(BDP($B292&amp;" Action","OFFERING_GREENSHOE_SHARES_EX"),""))</f>
        <v/>
      </c>
      <c r="I292" s="51">
        <f>Database!AE292</f>
        <v/>
      </c>
      <c r="J292" s="58">
        <f>IFERROR(BDP(TEXT(VALUE(Database!$A292),"0")&amp;" HK Equity","PE_RATIO"),"")</f>
        <v/>
      </c>
      <c r="K292" s="43">
        <f>IFERROR(BDP(TEXT(VALUE(Database!$A292),"0")&amp;" HK Equity","A/H_SHARE_CONVERSION"),"")</f>
        <v/>
      </c>
      <c r="L292" s="51">
        <f>IF(Database!BN292="","(none found)",Database!BN292)</f>
        <v/>
      </c>
      <c r="M292" s="53">
        <f>IFERROR(INDEX(BDH(TEXT(VALUE(Database!$A292),"0")&amp;" HK Equity","CUR_MKT_CAP",Database!$H292,Database!$H292),MATCH(Database!$H292,INDEX(BDH(TEXT(VALUE(Database!$A292),"0")&amp;" HK Equity","CUR_MKT_CAP",Database!$H292,Database!$H292),0,1),0),2),"run on terminal")</f>
        <v/>
      </c>
      <c r="N292" s="213">
        <f>Database!Q292</f>
        <v/>
      </c>
      <c r="O292" s="58">
        <f>IFERROR(INDEX(BDH(TEXT(VALUE(Database!$A292),"0")&amp;" HK Equity","PE_RATIO",Database!$H292,Database!$H292),MATCH(Database!$H292,INDEX(BDH(TEXT(VALUE(Database!$A292),"0")&amp;" HK Equity","PE_RATIO",Database!$H292,Database!$H292),0,1),0),2),"run on terminal")</f>
        <v/>
      </c>
      <c r="P292" s="251">
        <f>IF(Database!BH292="","(n/m or not derivable)",Database!BH292)</f>
        <v/>
      </c>
      <c r="Q292" s="58">
        <f>IF(Database!BN292="","",IFERROR(INDEX(BDH(LEFT(Database!BN292,FIND(".",Database!BN292)-1)&amp;" CH Equity","PE_RATIO",Database!$H292,Database!$H292),MATCH(Database!$H292,INDEX(BDH(LEFT(Database!BN292,FIND(".",Database!BN292)-1)&amp;" CH Equity","PE_RATIO",Database!$H292,Database!$H292),0,1),0),2),"run on terminal"))</f>
        <v/>
      </c>
      <c r="R292" s="58">
        <f>IF(Database!BN292="","",IFERROR(INDEX(BDH("HSAHP Index","PX_LAST",Database!$H292,Database!$H292),MATCH(Database!$H292,INDEX(BDH("HSAHP Index","PX_LAST",Database!$H292,Database!$H292),0,1),0),2),"run on terminal"))</f>
        <v/>
      </c>
      <c r="S292" s="58">
        <f>IFERROR(BDP(TEXT(VALUE(Database!$A292),"0")&amp;" HK Equity","PX_TO_SALES_RATIO"),"")</f>
        <v/>
      </c>
      <c r="T292" s="53">
        <f>IF(Database!BN292="","",IFERROR(BDP(LEFT(Database!BN292,FIND(".",Database!BN292)-1)&amp;" CH Equity","CUR_MKT_CAP")*BDP("CNYHKD Curncy","PX_LAST"),"run on terminal"))</f>
        <v/>
      </c>
    </row>
    <row r="293" ht="23" customHeight="1">
      <c r="A293" s="51">
        <f>Database!A293&amp;"  "&amp;Database!B293</f>
        <v/>
      </c>
      <c r="B293" s="43">
        <f>IFERROR(INDEX(BDS(TEXT(VALUE(Database!$A293),"0")&amp;" HK Equity","EQUITY_OFFERINGS","array=t","endcol=1"),MATCH("IPO",BDS(TEXT(VALUE(Database!$A293),"0")&amp;" HK Equity","EQUITY_OFFERINGS","array=t","startcol=2","endcol=2"),0)),"")</f>
        <v/>
      </c>
      <c r="C293" s="260">
        <f>IF($B293="","",IFERROR(BDP($B293&amp;" Action","CP036"),""))</f>
        <v/>
      </c>
      <c r="D293" s="261">
        <f>Database!S293</f>
        <v/>
      </c>
      <c r="E293" s="260">
        <f>IF($B293="","",IFERROR(BDP($B293&amp;" Action","CP037"),""))</f>
        <v/>
      </c>
      <c r="F293" s="261">
        <f>Database!T293</f>
        <v/>
      </c>
      <c r="G293" s="260">
        <f>IF($B293="","",IFERROR(BDP($B293&amp;" Action","GREENSHOE_FACILITY"),""))</f>
        <v/>
      </c>
      <c r="H293" s="260">
        <f>IF($B293="","",IFERROR(BDP($B293&amp;" Action","OFFERING_GREENSHOE_SHARES_EX"),""))</f>
        <v/>
      </c>
      <c r="I293" s="51">
        <f>Database!AE293</f>
        <v/>
      </c>
      <c r="J293" s="58">
        <f>IFERROR(BDP(TEXT(VALUE(Database!$A293),"0")&amp;" HK Equity","PE_RATIO"),"")</f>
        <v/>
      </c>
      <c r="K293" s="43">
        <f>IFERROR(BDP(TEXT(VALUE(Database!$A293),"0")&amp;" HK Equity","A/H_SHARE_CONVERSION"),"")</f>
        <v/>
      </c>
      <c r="L293" s="51">
        <f>IF(Database!BN293="","(none found)",Database!BN293)</f>
        <v/>
      </c>
      <c r="M293" s="53">
        <f>IFERROR(INDEX(BDH(TEXT(VALUE(Database!$A293),"0")&amp;" HK Equity","CUR_MKT_CAP",Database!$H293,Database!$H293),MATCH(Database!$H293,INDEX(BDH(TEXT(VALUE(Database!$A293),"0")&amp;" HK Equity","CUR_MKT_CAP",Database!$H293,Database!$H293),0,1),0),2),"run on terminal")</f>
        <v/>
      </c>
      <c r="N293" s="213">
        <f>Database!Q293</f>
        <v/>
      </c>
      <c r="O293" s="58">
        <f>IFERROR(INDEX(BDH(TEXT(VALUE(Database!$A293),"0")&amp;" HK Equity","PE_RATIO",Database!$H293,Database!$H293),MATCH(Database!$H293,INDEX(BDH(TEXT(VALUE(Database!$A293),"0")&amp;" HK Equity","PE_RATIO",Database!$H293,Database!$H293),0,1),0),2),"run on terminal")</f>
        <v/>
      </c>
      <c r="P293" s="251">
        <f>IF(Database!BH293="","(n/m or not derivable)",Database!BH293)</f>
        <v/>
      </c>
      <c r="Q293" s="58">
        <f>IF(Database!BN293="","",IFERROR(INDEX(BDH(LEFT(Database!BN293,FIND(".",Database!BN293)-1)&amp;" CH Equity","PE_RATIO",Database!$H293,Database!$H293),MATCH(Database!$H293,INDEX(BDH(LEFT(Database!BN293,FIND(".",Database!BN293)-1)&amp;" CH Equity","PE_RATIO",Database!$H293,Database!$H293),0,1),0),2),"run on terminal"))</f>
        <v/>
      </c>
      <c r="R293" s="58">
        <f>IF(Database!BN293="","",IFERROR(INDEX(BDH("HSAHP Index","PX_LAST",Database!$H293,Database!$H293),MATCH(Database!$H293,INDEX(BDH("HSAHP Index","PX_LAST",Database!$H293,Database!$H293),0,1),0),2),"run on terminal"))</f>
        <v/>
      </c>
      <c r="S293" s="58">
        <f>IFERROR(BDP(TEXT(VALUE(Database!$A293),"0")&amp;" HK Equity","PX_TO_SALES_RATIO"),"")</f>
        <v/>
      </c>
      <c r="T293" s="53">
        <f>IF(Database!BN293="","",IFERROR(BDP(LEFT(Database!BN293,FIND(".",Database!BN293)-1)&amp;" CH Equity","CUR_MKT_CAP")*BDP("CNYHKD Curncy","PX_LAST"),"run on terminal"))</f>
        <v/>
      </c>
    </row>
    <row r="294" ht="23" customHeight="1">
      <c r="A294" s="51">
        <f>Database!A294&amp;"  "&amp;Database!B294</f>
        <v/>
      </c>
      <c r="B294" s="43">
        <f>IFERROR(INDEX(BDS(TEXT(VALUE(Database!$A294),"0")&amp;" HK Equity","EQUITY_OFFERINGS","array=t","endcol=1"),MATCH("IPO",BDS(TEXT(VALUE(Database!$A294),"0")&amp;" HK Equity","EQUITY_OFFERINGS","array=t","startcol=2","endcol=2"),0)),"")</f>
        <v/>
      </c>
      <c r="C294" s="260">
        <f>IF($B294="","",IFERROR(BDP($B294&amp;" Action","CP036"),""))</f>
        <v/>
      </c>
      <c r="D294" s="261">
        <f>Database!S294</f>
        <v/>
      </c>
      <c r="E294" s="260">
        <f>IF($B294="","",IFERROR(BDP($B294&amp;" Action","CP037"),""))</f>
        <v/>
      </c>
      <c r="F294" s="261">
        <f>Database!T294</f>
        <v/>
      </c>
      <c r="G294" s="260">
        <f>IF($B294="","",IFERROR(BDP($B294&amp;" Action","GREENSHOE_FACILITY"),""))</f>
        <v/>
      </c>
      <c r="H294" s="260">
        <f>IF($B294="","",IFERROR(BDP($B294&amp;" Action","OFFERING_GREENSHOE_SHARES_EX"),""))</f>
        <v/>
      </c>
      <c r="I294" s="51">
        <f>Database!AE294</f>
        <v/>
      </c>
      <c r="J294" s="58">
        <f>IFERROR(BDP(TEXT(VALUE(Database!$A294),"0")&amp;" HK Equity","PE_RATIO"),"")</f>
        <v/>
      </c>
      <c r="K294" s="43">
        <f>IFERROR(BDP(TEXT(VALUE(Database!$A294),"0")&amp;" HK Equity","A/H_SHARE_CONVERSION"),"")</f>
        <v/>
      </c>
      <c r="L294" s="51">
        <f>IF(Database!BN294="","(none found)",Database!BN294)</f>
        <v/>
      </c>
      <c r="M294" s="53">
        <f>IFERROR(INDEX(BDH(TEXT(VALUE(Database!$A294),"0")&amp;" HK Equity","CUR_MKT_CAP",Database!$H294,Database!$H294),MATCH(Database!$H294,INDEX(BDH(TEXT(VALUE(Database!$A294),"0")&amp;" HK Equity","CUR_MKT_CAP",Database!$H294,Database!$H294),0,1),0),2),"run on terminal")</f>
        <v/>
      </c>
      <c r="N294" s="213">
        <f>Database!Q294</f>
        <v/>
      </c>
      <c r="O294" s="58">
        <f>IFERROR(INDEX(BDH(TEXT(VALUE(Database!$A294),"0")&amp;" HK Equity","PE_RATIO",Database!$H294,Database!$H294),MATCH(Database!$H294,INDEX(BDH(TEXT(VALUE(Database!$A294),"0")&amp;" HK Equity","PE_RATIO",Database!$H294,Database!$H294),0,1),0),2),"run on terminal")</f>
        <v/>
      </c>
      <c r="P294" s="251">
        <f>IF(Database!BH294="","(n/m or not derivable)",Database!BH294)</f>
        <v/>
      </c>
      <c r="Q294" s="58">
        <f>IF(Database!BN294="","",IFERROR(INDEX(BDH(LEFT(Database!BN294,FIND(".",Database!BN294)-1)&amp;" CH Equity","PE_RATIO",Database!$H294,Database!$H294),MATCH(Database!$H294,INDEX(BDH(LEFT(Database!BN294,FIND(".",Database!BN294)-1)&amp;" CH Equity","PE_RATIO",Database!$H294,Database!$H294),0,1),0),2),"run on terminal"))</f>
        <v/>
      </c>
      <c r="R294" s="58">
        <f>IF(Database!BN294="","",IFERROR(INDEX(BDH("HSAHP Index","PX_LAST",Database!$H294,Database!$H294),MATCH(Database!$H294,INDEX(BDH("HSAHP Index","PX_LAST",Database!$H294,Database!$H294),0,1),0),2),"run on terminal"))</f>
        <v/>
      </c>
      <c r="S294" s="58">
        <f>IFERROR(BDP(TEXT(VALUE(Database!$A294),"0")&amp;" HK Equity","PX_TO_SALES_RATIO"),"")</f>
        <v/>
      </c>
      <c r="T294" s="53">
        <f>IF(Database!BN294="","",IFERROR(BDP(LEFT(Database!BN294,FIND(".",Database!BN294)-1)&amp;" CH Equity","CUR_MKT_CAP")*BDP("CNYHKD Curncy","PX_LAST"),"run on terminal"))</f>
        <v/>
      </c>
    </row>
    <row r="295" ht="23" customHeight="1">
      <c r="A295" s="51">
        <f>Database!A295&amp;"  "&amp;Database!B295</f>
        <v/>
      </c>
      <c r="B295" s="43">
        <f>IFERROR(INDEX(BDS(TEXT(VALUE(Database!$A295),"0")&amp;" HK Equity","EQUITY_OFFERINGS","array=t","endcol=1"),MATCH("IPO",BDS(TEXT(VALUE(Database!$A295),"0")&amp;" HK Equity","EQUITY_OFFERINGS","array=t","startcol=2","endcol=2"),0)),"")</f>
        <v/>
      </c>
      <c r="C295" s="260">
        <f>IF($B295="","",IFERROR(BDP($B295&amp;" Action","CP036"),""))</f>
        <v/>
      </c>
      <c r="D295" s="261">
        <f>Database!S295</f>
        <v/>
      </c>
      <c r="E295" s="260">
        <f>IF($B295="","",IFERROR(BDP($B295&amp;" Action","CP037"),""))</f>
        <v/>
      </c>
      <c r="F295" s="261">
        <f>Database!T295</f>
        <v/>
      </c>
      <c r="G295" s="260">
        <f>IF($B295="","",IFERROR(BDP($B295&amp;" Action","GREENSHOE_FACILITY"),""))</f>
        <v/>
      </c>
      <c r="H295" s="260">
        <f>IF($B295="","",IFERROR(BDP($B295&amp;" Action","OFFERING_GREENSHOE_SHARES_EX"),""))</f>
        <v/>
      </c>
      <c r="I295" s="51">
        <f>Database!AE295</f>
        <v/>
      </c>
      <c r="J295" s="58">
        <f>IFERROR(BDP(TEXT(VALUE(Database!$A295),"0")&amp;" HK Equity","PE_RATIO"),"")</f>
        <v/>
      </c>
      <c r="K295" s="43">
        <f>IFERROR(BDP(TEXT(VALUE(Database!$A295),"0")&amp;" HK Equity","A/H_SHARE_CONVERSION"),"")</f>
        <v/>
      </c>
      <c r="L295" s="51">
        <f>IF(Database!BN295="","(none found)",Database!BN295)</f>
        <v/>
      </c>
      <c r="M295" s="53">
        <f>IFERROR(INDEX(BDH(TEXT(VALUE(Database!$A295),"0")&amp;" HK Equity","CUR_MKT_CAP",Database!$H295,Database!$H295),MATCH(Database!$H295,INDEX(BDH(TEXT(VALUE(Database!$A295),"0")&amp;" HK Equity","CUR_MKT_CAP",Database!$H295,Database!$H295),0,1),0),2),"run on terminal")</f>
        <v/>
      </c>
      <c r="N295" s="213">
        <f>Database!Q295</f>
        <v/>
      </c>
      <c r="O295" s="58">
        <f>IFERROR(INDEX(BDH(TEXT(VALUE(Database!$A295),"0")&amp;" HK Equity","PE_RATIO",Database!$H295,Database!$H295),MATCH(Database!$H295,INDEX(BDH(TEXT(VALUE(Database!$A295),"0")&amp;" HK Equity","PE_RATIO",Database!$H295,Database!$H295),0,1),0),2),"run on terminal")</f>
        <v/>
      </c>
      <c r="P295" s="251">
        <f>IF(Database!BH295="","(n/m or not derivable)",Database!BH295)</f>
        <v/>
      </c>
      <c r="Q295" s="58">
        <f>IF(Database!BN295="","",IFERROR(INDEX(BDH(LEFT(Database!BN295,FIND(".",Database!BN295)-1)&amp;" CH Equity","PE_RATIO",Database!$H295,Database!$H295),MATCH(Database!$H295,INDEX(BDH(LEFT(Database!BN295,FIND(".",Database!BN295)-1)&amp;" CH Equity","PE_RATIO",Database!$H295,Database!$H295),0,1),0),2),"run on terminal"))</f>
        <v/>
      </c>
      <c r="R295" s="58">
        <f>IF(Database!BN295="","",IFERROR(INDEX(BDH("HSAHP Index","PX_LAST",Database!$H295,Database!$H295),MATCH(Database!$H295,INDEX(BDH("HSAHP Index","PX_LAST",Database!$H295,Database!$H295),0,1),0),2),"run on terminal"))</f>
        <v/>
      </c>
      <c r="S295" s="58">
        <f>IFERROR(BDP(TEXT(VALUE(Database!$A295),"0")&amp;" HK Equity","PX_TO_SALES_RATIO"),"")</f>
        <v/>
      </c>
      <c r="T295" s="53">
        <f>IF(Database!BN295="","",IFERROR(BDP(LEFT(Database!BN295,FIND(".",Database!BN295)-1)&amp;" CH Equity","CUR_MKT_CAP")*BDP("CNYHKD Curncy","PX_LAST"),"run on terminal"))</f>
        <v/>
      </c>
    </row>
    <row r="296" ht="23" customHeight="1">
      <c r="A296" s="51">
        <f>Database!A296&amp;"  "&amp;Database!B296</f>
        <v/>
      </c>
      <c r="B296" s="43">
        <f>IFERROR(INDEX(BDS(TEXT(VALUE(Database!$A296),"0")&amp;" HK Equity","EQUITY_OFFERINGS","array=t","endcol=1"),MATCH("IPO",BDS(TEXT(VALUE(Database!$A296),"0")&amp;" HK Equity","EQUITY_OFFERINGS","array=t","startcol=2","endcol=2"),0)),"")</f>
        <v/>
      </c>
      <c r="C296" s="260">
        <f>IF($B296="","",IFERROR(BDP($B296&amp;" Action","CP036"),""))</f>
        <v/>
      </c>
      <c r="D296" s="261">
        <f>Database!S296</f>
        <v/>
      </c>
      <c r="E296" s="260">
        <f>IF($B296="","",IFERROR(BDP($B296&amp;" Action","CP037"),""))</f>
        <v/>
      </c>
      <c r="F296" s="261">
        <f>Database!T296</f>
        <v/>
      </c>
      <c r="G296" s="260">
        <f>IF($B296="","",IFERROR(BDP($B296&amp;" Action","GREENSHOE_FACILITY"),""))</f>
        <v/>
      </c>
      <c r="H296" s="260">
        <f>IF($B296="","",IFERROR(BDP($B296&amp;" Action","OFFERING_GREENSHOE_SHARES_EX"),""))</f>
        <v/>
      </c>
      <c r="I296" s="51">
        <f>Database!AE296</f>
        <v/>
      </c>
      <c r="J296" s="58">
        <f>IFERROR(BDP(TEXT(VALUE(Database!$A296),"0")&amp;" HK Equity","PE_RATIO"),"")</f>
        <v/>
      </c>
      <c r="K296" s="43">
        <f>IFERROR(BDP(TEXT(VALUE(Database!$A296),"0")&amp;" HK Equity","A/H_SHARE_CONVERSION"),"")</f>
        <v/>
      </c>
      <c r="L296" s="51">
        <f>IF(Database!BN296="","(none found)",Database!BN296)</f>
        <v/>
      </c>
      <c r="M296" s="53">
        <f>IFERROR(INDEX(BDH(TEXT(VALUE(Database!$A296),"0")&amp;" HK Equity","CUR_MKT_CAP",Database!$H296,Database!$H296),MATCH(Database!$H296,INDEX(BDH(TEXT(VALUE(Database!$A296),"0")&amp;" HK Equity","CUR_MKT_CAP",Database!$H296,Database!$H296),0,1),0),2),"run on terminal")</f>
        <v/>
      </c>
      <c r="N296" s="213">
        <f>Database!Q296</f>
        <v/>
      </c>
      <c r="O296" s="58">
        <f>IFERROR(INDEX(BDH(TEXT(VALUE(Database!$A296),"0")&amp;" HK Equity","PE_RATIO",Database!$H296,Database!$H296),MATCH(Database!$H296,INDEX(BDH(TEXT(VALUE(Database!$A296),"0")&amp;" HK Equity","PE_RATIO",Database!$H296,Database!$H296),0,1),0),2),"run on terminal")</f>
        <v/>
      </c>
      <c r="P296" s="251">
        <f>IF(Database!BH296="","(n/m or not derivable)",Database!BH296)</f>
        <v/>
      </c>
      <c r="Q296" s="58">
        <f>IF(Database!BN296="","",IFERROR(INDEX(BDH(LEFT(Database!BN296,FIND(".",Database!BN296)-1)&amp;" CH Equity","PE_RATIO",Database!$H296,Database!$H296),MATCH(Database!$H296,INDEX(BDH(LEFT(Database!BN296,FIND(".",Database!BN296)-1)&amp;" CH Equity","PE_RATIO",Database!$H296,Database!$H296),0,1),0),2),"run on terminal"))</f>
        <v/>
      </c>
      <c r="R296" s="58">
        <f>IF(Database!BN296="","",IFERROR(INDEX(BDH("HSAHP Index","PX_LAST",Database!$H296,Database!$H296),MATCH(Database!$H296,INDEX(BDH("HSAHP Index","PX_LAST",Database!$H296,Database!$H296),0,1),0),2),"run on terminal"))</f>
        <v/>
      </c>
      <c r="S296" s="58">
        <f>IFERROR(BDP(TEXT(VALUE(Database!$A296),"0")&amp;" HK Equity","PX_TO_SALES_RATIO"),"")</f>
        <v/>
      </c>
      <c r="T296" s="53">
        <f>IF(Database!BN296="","",IFERROR(BDP(LEFT(Database!BN296,FIND(".",Database!BN296)-1)&amp;" CH Equity","CUR_MKT_CAP")*BDP("CNYHKD Curncy","PX_LAST"),"run on terminal"))</f>
        <v/>
      </c>
    </row>
    <row r="297" ht="23" customHeight="1">
      <c r="A297" s="51">
        <f>Database!A297&amp;"  "&amp;Database!B297</f>
        <v/>
      </c>
      <c r="B297" s="43">
        <f>IFERROR(INDEX(BDS(TEXT(VALUE(Database!$A297),"0")&amp;" HK Equity","EQUITY_OFFERINGS","array=t","endcol=1"),MATCH("IPO",BDS(TEXT(VALUE(Database!$A297),"0")&amp;" HK Equity","EQUITY_OFFERINGS","array=t","startcol=2","endcol=2"),0)),"")</f>
        <v/>
      </c>
      <c r="C297" s="260">
        <f>IF($B297="","",IFERROR(BDP($B297&amp;" Action","CP036"),""))</f>
        <v/>
      </c>
      <c r="D297" s="261">
        <f>Database!S297</f>
        <v/>
      </c>
      <c r="E297" s="260">
        <f>IF($B297="","",IFERROR(BDP($B297&amp;" Action","CP037"),""))</f>
        <v/>
      </c>
      <c r="F297" s="261">
        <f>Database!T297</f>
        <v/>
      </c>
      <c r="G297" s="260">
        <f>IF($B297="","",IFERROR(BDP($B297&amp;" Action","GREENSHOE_FACILITY"),""))</f>
        <v/>
      </c>
      <c r="H297" s="260">
        <f>IF($B297="","",IFERROR(BDP($B297&amp;" Action","OFFERING_GREENSHOE_SHARES_EX"),""))</f>
        <v/>
      </c>
      <c r="I297" s="51">
        <f>Database!AE297</f>
        <v/>
      </c>
      <c r="J297" s="58">
        <f>IFERROR(BDP(TEXT(VALUE(Database!$A297),"0")&amp;" HK Equity","PE_RATIO"),"")</f>
        <v/>
      </c>
      <c r="K297" s="43">
        <f>IFERROR(BDP(TEXT(VALUE(Database!$A297),"0")&amp;" HK Equity","A/H_SHARE_CONVERSION"),"")</f>
        <v/>
      </c>
      <c r="L297" s="51">
        <f>IF(Database!BN297="","(none found)",Database!BN297)</f>
        <v/>
      </c>
      <c r="M297" s="53">
        <f>IFERROR(INDEX(BDH(TEXT(VALUE(Database!$A297),"0")&amp;" HK Equity","CUR_MKT_CAP",Database!$H297,Database!$H297),MATCH(Database!$H297,INDEX(BDH(TEXT(VALUE(Database!$A297),"0")&amp;" HK Equity","CUR_MKT_CAP",Database!$H297,Database!$H297),0,1),0),2),"run on terminal")</f>
        <v/>
      </c>
      <c r="N297" s="213">
        <f>Database!Q297</f>
        <v/>
      </c>
      <c r="O297" s="58">
        <f>IFERROR(INDEX(BDH(TEXT(VALUE(Database!$A297),"0")&amp;" HK Equity","PE_RATIO",Database!$H297,Database!$H297),MATCH(Database!$H297,INDEX(BDH(TEXT(VALUE(Database!$A297),"0")&amp;" HK Equity","PE_RATIO",Database!$H297,Database!$H297),0,1),0),2),"run on terminal")</f>
        <v/>
      </c>
      <c r="P297" s="251">
        <f>IF(Database!BH297="","(n/m or not derivable)",Database!BH297)</f>
        <v/>
      </c>
      <c r="Q297" s="58">
        <f>IF(Database!BN297="","",IFERROR(INDEX(BDH(LEFT(Database!BN297,FIND(".",Database!BN297)-1)&amp;" CH Equity","PE_RATIO",Database!$H297,Database!$H297),MATCH(Database!$H297,INDEX(BDH(LEFT(Database!BN297,FIND(".",Database!BN297)-1)&amp;" CH Equity","PE_RATIO",Database!$H297,Database!$H297),0,1),0),2),"run on terminal"))</f>
        <v/>
      </c>
      <c r="R297" s="58">
        <f>IF(Database!BN297="","",IFERROR(INDEX(BDH("HSAHP Index","PX_LAST",Database!$H297,Database!$H297),MATCH(Database!$H297,INDEX(BDH("HSAHP Index","PX_LAST",Database!$H297,Database!$H297),0,1),0),2),"run on terminal"))</f>
        <v/>
      </c>
      <c r="S297" s="58">
        <f>IFERROR(BDP(TEXT(VALUE(Database!$A297),"0")&amp;" HK Equity","PX_TO_SALES_RATIO"),"")</f>
        <v/>
      </c>
      <c r="T297" s="53">
        <f>IF(Database!BN297="","",IFERROR(BDP(LEFT(Database!BN297,FIND(".",Database!BN297)-1)&amp;" CH Equity","CUR_MKT_CAP")*BDP("CNYHKD Curncy","PX_LAST"),"run on terminal"))</f>
        <v/>
      </c>
    </row>
    <row r="298" ht="23" customHeight="1">
      <c r="A298" s="51">
        <f>Database!A298&amp;"  "&amp;Database!B298</f>
        <v/>
      </c>
      <c r="B298" s="43">
        <f>IFERROR(INDEX(BDS(TEXT(VALUE(Database!$A298),"0")&amp;" HK Equity","EQUITY_OFFERINGS","array=t","endcol=1"),MATCH("IPO",BDS(TEXT(VALUE(Database!$A298),"0")&amp;" HK Equity","EQUITY_OFFERINGS","array=t","startcol=2","endcol=2"),0)),"")</f>
        <v/>
      </c>
      <c r="C298" s="260">
        <f>IF($B298="","",IFERROR(BDP($B298&amp;" Action","CP036"),""))</f>
        <v/>
      </c>
      <c r="D298" s="261">
        <f>Database!S298</f>
        <v/>
      </c>
      <c r="E298" s="260">
        <f>IF($B298="","",IFERROR(BDP($B298&amp;" Action","CP037"),""))</f>
        <v/>
      </c>
      <c r="F298" s="261">
        <f>Database!T298</f>
        <v/>
      </c>
      <c r="G298" s="260">
        <f>IF($B298="","",IFERROR(BDP($B298&amp;" Action","GREENSHOE_FACILITY"),""))</f>
        <v/>
      </c>
      <c r="H298" s="260">
        <f>IF($B298="","",IFERROR(BDP($B298&amp;" Action","OFFERING_GREENSHOE_SHARES_EX"),""))</f>
        <v/>
      </c>
      <c r="I298" s="51">
        <f>Database!AE298</f>
        <v/>
      </c>
      <c r="J298" s="58">
        <f>IFERROR(BDP(TEXT(VALUE(Database!$A298),"0")&amp;" HK Equity","PE_RATIO"),"")</f>
        <v/>
      </c>
      <c r="K298" s="43">
        <f>IFERROR(BDP(TEXT(VALUE(Database!$A298),"0")&amp;" HK Equity","A/H_SHARE_CONVERSION"),"")</f>
        <v/>
      </c>
      <c r="L298" s="51">
        <f>IF(Database!BN298="","(none found)",Database!BN298)</f>
        <v/>
      </c>
      <c r="M298" s="53">
        <f>IFERROR(INDEX(BDH(TEXT(VALUE(Database!$A298),"0")&amp;" HK Equity","CUR_MKT_CAP",Database!$H298,Database!$H298),MATCH(Database!$H298,INDEX(BDH(TEXT(VALUE(Database!$A298),"0")&amp;" HK Equity","CUR_MKT_CAP",Database!$H298,Database!$H298),0,1),0),2),"run on terminal")</f>
        <v/>
      </c>
      <c r="N298" s="213">
        <f>Database!Q298</f>
        <v/>
      </c>
      <c r="O298" s="58">
        <f>IFERROR(INDEX(BDH(TEXT(VALUE(Database!$A298),"0")&amp;" HK Equity","PE_RATIO",Database!$H298,Database!$H298),MATCH(Database!$H298,INDEX(BDH(TEXT(VALUE(Database!$A298),"0")&amp;" HK Equity","PE_RATIO",Database!$H298,Database!$H298),0,1),0),2),"run on terminal")</f>
        <v/>
      </c>
      <c r="P298" s="251">
        <f>IF(Database!BH298="","(n/m or not derivable)",Database!BH298)</f>
        <v/>
      </c>
      <c r="Q298" s="58">
        <f>IF(Database!BN298="","",IFERROR(INDEX(BDH(LEFT(Database!BN298,FIND(".",Database!BN298)-1)&amp;" CH Equity","PE_RATIO",Database!$H298,Database!$H298),MATCH(Database!$H298,INDEX(BDH(LEFT(Database!BN298,FIND(".",Database!BN298)-1)&amp;" CH Equity","PE_RATIO",Database!$H298,Database!$H298),0,1),0),2),"run on terminal"))</f>
        <v/>
      </c>
      <c r="R298" s="58">
        <f>IF(Database!BN298="","",IFERROR(INDEX(BDH("HSAHP Index","PX_LAST",Database!$H298,Database!$H298),MATCH(Database!$H298,INDEX(BDH("HSAHP Index","PX_LAST",Database!$H298,Database!$H298),0,1),0),2),"run on terminal"))</f>
        <v/>
      </c>
      <c r="S298" s="58">
        <f>IFERROR(BDP(TEXT(VALUE(Database!$A298),"0")&amp;" HK Equity","PX_TO_SALES_RATIO"),"")</f>
        <v/>
      </c>
      <c r="T298" s="53">
        <f>IF(Database!BN298="","",IFERROR(BDP(LEFT(Database!BN298,FIND(".",Database!BN298)-1)&amp;" CH Equity","CUR_MKT_CAP")*BDP("CNYHKD Curncy","PX_LAST"),"run on terminal"))</f>
        <v/>
      </c>
    </row>
    <row r="299" ht="23" customHeight="1">
      <c r="A299" s="51">
        <f>Database!A299&amp;"  "&amp;Database!B299</f>
        <v/>
      </c>
      <c r="B299" s="43">
        <f>IFERROR(INDEX(BDS(TEXT(VALUE(Database!$A299),"0")&amp;" HK Equity","EQUITY_OFFERINGS","array=t","endcol=1"),MATCH("IPO",BDS(TEXT(VALUE(Database!$A299),"0")&amp;" HK Equity","EQUITY_OFFERINGS","array=t","startcol=2","endcol=2"),0)),"")</f>
        <v/>
      </c>
      <c r="C299" s="260">
        <f>IF($B299="","",IFERROR(BDP($B299&amp;" Action","CP036"),""))</f>
        <v/>
      </c>
      <c r="D299" s="261">
        <f>Database!S299</f>
        <v/>
      </c>
      <c r="E299" s="260">
        <f>IF($B299="","",IFERROR(BDP($B299&amp;" Action","CP037"),""))</f>
        <v/>
      </c>
      <c r="F299" s="261">
        <f>Database!T299</f>
        <v/>
      </c>
      <c r="G299" s="260">
        <f>IF($B299="","",IFERROR(BDP($B299&amp;" Action","GREENSHOE_FACILITY"),""))</f>
        <v/>
      </c>
      <c r="H299" s="260">
        <f>IF($B299="","",IFERROR(BDP($B299&amp;" Action","OFFERING_GREENSHOE_SHARES_EX"),""))</f>
        <v/>
      </c>
      <c r="I299" s="51">
        <f>Database!AE299</f>
        <v/>
      </c>
      <c r="J299" s="58">
        <f>IFERROR(BDP(TEXT(VALUE(Database!$A299),"0")&amp;" HK Equity","PE_RATIO"),"")</f>
        <v/>
      </c>
      <c r="K299" s="43">
        <f>IFERROR(BDP(TEXT(VALUE(Database!$A299),"0")&amp;" HK Equity","A/H_SHARE_CONVERSION"),"")</f>
        <v/>
      </c>
      <c r="L299" s="51">
        <f>IF(Database!BN299="","(none found)",Database!BN299)</f>
        <v/>
      </c>
      <c r="M299" s="53">
        <f>IFERROR(INDEX(BDH(TEXT(VALUE(Database!$A299),"0")&amp;" HK Equity","CUR_MKT_CAP",Database!$H299,Database!$H299),MATCH(Database!$H299,INDEX(BDH(TEXT(VALUE(Database!$A299),"0")&amp;" HK Equity","CUR_MKT_CAP",Database!$H299,Database!$H299),0,1),0),2),"run on terminal")</f>
        <v/>
      </c>
      <c r="N299" s="213">
        <f>Database!Q299</f>
        <v/>
      </c>
      <c r="O299" s="58">
        <f>IFERROR(INDEX(BDH(TEXT(VALUE(Database!$A299),"0")&amp;" HK Equity","PE_RATIO",Database!$H299,Database!$H299),MATCH(Database!$H299,INDEX(BDH(TEXT(VALUE(Database!$A299),"0")&amp;" HK Equity","PE_RATIO",Database!$H299,Database!$H299),0,1),0),2),"run on terminal")</f>
        <v/>
      </c>
      <c r="P299" s="251">
        <f>IF(Database!BH299="","(n/m or not derivable)",Database!BH299)</f>
        <v/>
      </c>
      <c r="Q299" s="58">
        <f>IF(Database!BN299="","",IFERROR(INDEX(BDH(LEFT(Database!BN299,FIND(".",Database!BN299)-1)&amp;" CH Equity","PE_RATIO",Database!$H299,Database!$H299),MATCH(Database!$H299,INDEX(BDH(LEFT(Database!BN299,FIND(".",Database!BN299)-1)&amp;" CH Equity","PE_RATIO",Database!$H299,Database!$H299),0,1),0),2),"run on terminal"))</f>
        <v/>
      </c>
      <c r="R299" s="58">
        <f>IF(Database!BN299="","",IFERROR(INDEX(BDH("HSAHP Index","PX_LAST",Database!$H299,Database!$H299),MATCH(Database!$H299,INDEX(BDH("HSAHP Index","PX_LAST",Database!$H299,Database!$H299),0,1),0),2),"run on terminal"))</f>
        <v/>
      </c>
      <c r="S299" s="58">
        <f>IFERROR(BDP(TEXT(VALUE(Database!$A299),"0")&amp;" HK Equity","PX_TO_SALES_RATIO"),"")</f>
        <v/>
      </c>
      <c r="T299" s="53">
        <f>IF(Database!BN299="","",IFERROR(BDP(LEFT(Database!BN299,FIND(".",Database!BN299)-1)&amp;" CH Equity","CUR_MKT_CAP")*BDP("CNYHKD Curncy","PX_LAST"),"run on terminal"))</f>
        <v/>
      </c>
    </row>
    <row r="300" ht="23" customHeight="1">
      <c r="A300" s="51">
        <f>Database!A300&amp;"  "&amp;Database!B300</f>
        <v/>
      </c>
      <c r="B300" s="43">
        <f>IFERROR(INDEX(BDS(TEXT(VALUE(Database!$A300),"0")&amp;" HK Equity","EQUITY_OFFERINGS","array=t","endcol=1"),MATCH("IPO",BDS(TEXT(VALUE(Database!$A300),"0")&amp;" HK Equity","EQUITY_OFFERINGS","array=t","startcol=2","endcol=2"),0)),"")</f>
        <v/>
      </c>
      <c r="C300" s="260">
        <f>IF($B300="","",IFERROR(BDP($B300&amp;" Action","CP036"),""))</f>
        <v/>
      </c>
      <c r="D300" s="261">
        <f>Database!S300</f>
        <v/>
      </c>
      <c r="E300" s="260">
        <f>IF($B300="","",IFERROR(BDP($B300&amp;" Action","CP037"),""))</f>
        <v/>
      </c>
      <c r="F300" s="261">
        <f>Database!T300</f>
        <v/>
      </c>
      <c r="G300" s="260">
        <f>IF($B300="","",IFERROR(BDP($B300&amp;" Action","GREENSHOE_FACILITY"),""))</f>
        <v/>
      </c>
      <c r="H300" s="260">
        <f>IF($B300="","",IFERROR(BDP($B300&amp;" Action","OFFERING_GREENSHOE_SHARES_EX"),""))</f>
        <v/>
      </c>
      <c r="I300" s="51">
        <f>Database!AE300</f>
        <v/>
      </c>
      <c r="J300" s="58">
        <f>IFERROR(BDP(TEXT(VALUE(Database!$A300),"0")&amp;" HK Equity","PE_RATIO"),"")</f>
        <v/>
      </c>
      <c r="K300" s="43">
        <f>IFERROR(BDP(TEXT(VALUE(Database!$A300),"0")&amp;" HK Equity","A/H_SHARE_CONVERSION"),"")</f>
        <v/>
      </c>
      <c r="L300" s="51">
        <f>IF(Database!BN300="","(none found)",Database!BN300)</f>
        <v/>
      </c>
      <c r="M300" s="53">
        <f>IFERROR(INDEX(BDH(TEXT(VALUE(Database!$A300),"0")&amp;" HK Equity","CUR_MKT_CAP",Database!$H300,Database!$H300),MATCH(Database!$H300,INDEX(BDH(TEXT(VALUE(Database!$A300),"0")&amp;" HK Equity","CUR_MKT_CAP",Database!$H300,Database!$H300),0,1),0),2),"run on terminal")</f>
        <v/>
      </c>
      <c r="N300" s="213">
        <f>Database!Q300</f>
        <v/>
      </c>
      <c r="O300" s="58">
        <f>IFERROR(INDEX(BDH(TEXT(VALUE(Database!$A300),"0")&amp;" HK Equity","PE_RATIO",Database!$H300,Database!$H300),MATCH(Database!$H300,INDEX(BDH(TEXT(VALUE(Database!$A300),"0")&amp;" HK Equity","PE_RATIO",Database!$H300,Database!$H300),0,1),0),2),"run on terminal")</f>
        <v/>
      </c>
      <c r="P300" s="251">
        <f>IF(Database!BH300="","(n/m or not derivable)",Database!BH300)</f>
        <v/>
      </c>
      <c r="Q300" s="58">
        <f>IF(Database!BN300="","",IFERROR(INDEX(BDH(LEFT(Database!BN300,FIND(".",Database!BN300)-1)&amp;" CH Equity","PE_RATIO",Database!$H300,Database!$H300),MATCH(Database!$H300,INDEX(BDH(LEFT(Database!BN300,FIND(".",Database!BN300)-1)&amp;" CH Equity","PE_RATIO",Database!$H300,Database!$H300),0,1),0),2),"run on terminal"))</f>
        <v/>
      </c>
      <c r="R300" s="58">
        <f>IF(Database!BN300="","",IFERROR(INDEX(BDH("HSAHP Index","PX_LAST",Database!$H300,Database!$H300),MATCH(Database!$H300,INDEX(BDH("HSAHP Index","PX_LAST",Database!$H300,Database!$H300),0,1),0),2),"run on terminal"))</f>
        <v/>
      </c>
      <c r="S300" s="58">
        <f>IFERROR(BDP(TEXT(VALUE(Database!$A300),"0")&amp;" HK Equity","PX_TO_SALES_RATIO"),"")</f>
        <v/>
      </c>
      <c r="T300" s="53">
        <f>IF(Database!BN300="","",IFERROR(BDP(LEFT(Database!BN300,FIND(".",Database!BN300)-1)&amp;" CH Equity","CUR_MKT_CAP")*BDP("CNYHKD Curncy","PX_LAST"),"run on terminal"))</f>
        <v/>
      </c>
    </row>
    <row r="301" ht="23" customHeight="1">
      <c r="A301" s="51">
        <f>Database!A301&amp;"  "&amp;Database!B301</f>
        <v/>
      </c>
      <c r="B301" s="43">
        <f>IFERROR(INDEX(BDS(TEXT(VALUE(Database!$A301),"0")&amp;" HK Equity","EQUITY_OFFERINGS","array=t","endcol=1"),MATCH("IPO",BDS(TEXT(VALUE(Database!$A301),"0")&amp;" HK Equity","EQUITY_OFFERINGS","array=t","startcol=2","endcol=2"),0)),"")</f>
        <v/>
      </c>
      <c r="C301" s="260">
        <f>IF($B301="","",IFERROR(BDP($B301&amp;" Action","CP036"),""))</f>
        <v/>
      </c>
      <c r="D301" s="261">
        <f>Database!S301</f>
        <v/>
      </c>
      <c r="E301" s="260">
        <f>IF($B301="","",IFERROR(BDP($B301&amp;" Action","CP037"),""))</f>
        <v/>
      </c>
      <c r="F301" s="261">
        <f>Database!T301</f>
        <v/>
      </c>
      <c r="G301" s="260">
        <f>IF($B301="","",IFERROR(BDP($B301&amp;" Action","GREENSHOE_FACILITY"),""))</f>
        <v/>
      </c>
      <c r="H301" s="260">
        <f>IF($B301="","",IFERROR(BDP($B301&amp;" Action","OFFERING_GREENSHOE_SHARES_EX"),""))</f>
        <v/>
      </c>
      <c r="I301" s="51">
        <f>Database!AE301</f>
        <v/>
      </c>
      <c r="J301" s="58">
        <f>IFERROR(BDP(TEXT(VALUE(Database!$A301),"0")&amp;" HK Equity","PE_RATIO"),"")</f>
        <v/>
      </c>
      <c r="K301" s="43">
        <f>IFERROR(BDP(TEXT(VALUE(Database!$A301),"0")&amp;" HK Equity","A/H_SHARE_CONVERSION"),"")</f>
        <v/>
      </c>
      <c r="L301" s="51">
        <f>IF(Database!BN301="","(none found)",Database!BN301)</f>
        <v/>
      </c>
      <c r="M301" s="53">
        <f>IFERROR(INDEX(BDH(TEXT(VALUE(Database!$A301),"0")&amp;" HK Equity","CUR_MKT_CAP",Database!$H301,Database!$H301),MATCH(Database!$H301,INDEX(BDH(TEXT(VALUE(Database!$A301),"0")&amp;" HK Equity","CUR_MKT_CAP",Database!$H301,Database!$H301),0,1),0),2),"run on terminal")</f>
        <v/>
      </c>
      <c r="N301" s="213">
        <f>Database!Q301</f>
        <v/>
      </c>
      <c r="O301" s="58">
        <f>IFERROR(INDEX(BDH(TEXT(VALUE(Database!$A301),"0")&amp;" HK Equity","PE_RATIO",Database!$H301,Database!$H301),MATCH(Database!$H301,INDEX(BDH(TEXT(VALUE(Database!$A301),"0")&amp;" HK Equity","PE_RATIO",Database!$H301,Database!$H301),0,1),0),2),"run on terminal")</f>
        <v/>
      </c>
      <c r="P301" s="251">
        <f>IF(Database!BH301="","(n/m or not derivable)",Database!BH301)</f>
        <v/>
      </c>
      <c r="Q301" s="58">
        <f>IF(Database!BN301="","",IFERROR(INDEX(BDH(LEFT(Database!BN301,FIND(".",Database!BN301)-1)&amp;" CH Equity","PE_RATIO",Database!$H301,Database!$H301),MATCH(Database!$H301,INDEX(BDH(LEFT(Database!BN301,FIND(".",Database!BN301)-1)&amp;" CH Equity","PE_RATIO",Database!$H301,Database!$H301),0,1),0),2),"run on terminal"))</f>
        <v/>
      </c>
      <c r="R301" s="58">
        <f>IF(Database!BN301="","",IFERROR(INDEX(BDH("HSAHP Index","PX_LAST",Database!$H301,Database!$H301),MATCH(Database!$H301,INDEX(BDH("HSAHP Index","PX_LAST",Database!$H301,Database!$H301),0,1),0),2),"run on terminal"))</f>
        <v/>
      </c>
      <c r="S301" s="58">
        <f>IFERROR(BDP(TEXT(VALUE(Database!$A301),"0")&amp;" HK Equity","PX_TO_SALES_RATIO"),"")</f>
        <v/>
      </c>
      <c r="T301" s="53">
        <f>IF(Database!BN301="","",IFERROR(BDP(LEFT(Database!BN301,FIND(".",Database!BN301)-1)&amp;" CH Equity","CUR_MKT_CAP")*BDP("CNYHKD Curncy","PX_LAST"),"run on terminal"))</f>
        <v/>
      </c>
    </row>
    <row r="302" ht="23" customHeight="1">
      <c r="A302" s="51">
        <f>Database!A302&amp;"  "&amp;Database!B302</f>
        <v/>
      </c>
      <c r="B302" s="43">
        <f>IFERROR(INDEX(BDS(TEXT(VALUE(Database!$A302),"0")&amp;" HK Equity","EQUITY_OFFERINGS","array=t","endcol=1"),MATCH("IPO",BDS(TEXT(VALUE(Database!$A302),"0")&amp;" HK Equity","EQUITY_OFFERINGS","array=t","startcol=2","endcol=2"),0)),"")</f>
        <v/>
      </c>
      <c r="C302" s="260">
        <f>IF($B302="","",IFERROR(BDP($B302&amp;" Action","CP036"),""))</f>
        <v/>
      </c>
      <c r="D302" s="261">
        <f>Database!S302</f>
        <v/>
      </c>
      <c r="E302" s="260">
        <f>IF($B302="","",IFERROR(BDP($B302&amp;" Action","CP037"),""))</f>
        <v/>
      </c>
      <c r="F302" s="261">
        <f>Database!T302</f>
        <v/>
      </c>
      <c r="G302" s="260">
        <f>IF($B302="","",IFERROR(BDP($B302&amp;" Action","GREENSHOE_FACILITY"),""))</f>
        <v/>
      </c>
      <c r="H302" s="260">
        <f>IF($B302="","",IFERROR(BDP($B302&amp;" Action","OFFERING_GREENSHOE_SHARES_EX"),""))</f>
        <v/>
      </c>
      <c r="I302" s="51">
        <f>Database!AE302</f>
        <v/>
      </c>
      <c r="J302" s="58">
        <f>IFERROR(BDP(TEXT(VALUE(Database!$A302),"0")&amp;" HK Equity","PE_RATIO"),"")</f>
        <v/>
      </c>
      <c r="K302" s="43">
        <f>IFERROR(BDP(TEXT(VALUE(Database!$A302),"0")&amp;" HK Equity","A/H_SHARE_CONVERSION"),"")</f>
        <v/>
      </c>
      <c r="L302" s="51">
        <f>IF(Database!BN302="","(none found)",Database!BN302)</f>
        <v/>
      </c>
      <c r="M302" s="53">
        <f>IFERROR(INDEX(BDH(TEXT(VALUE(Database!$A302),"0")&amp;" HK Equity","CUR_MKT_CAP",Database!$H302,Database!$H302),MATCH(Database!$H302,INDEX(BDH(TEXT(VALUE(Database!$A302),"0")&amp;" HK Equity","CUR_MKT_CAP",Database!$H302,Database!$H302),0,1),0),2),"run on terminal")</f>
        <v/>
      </c>
      <c r="N302" s="213">
        <f>Database!Q302</f>
        <v/>
      </c>
      <c r="O302" s="58">
        <f>IFERROR(INDEX(BDH(TEXT(VALUE(Database!$A302),"0")&amp;" HK Equity","PE_RATIO",Database!$H302,Database!$H302),MATCH(Database!$H302,INDEX(BDH(TEXT(VALUE(Database!$A302),"0")&amp;" HK Equity","PE_RATIO",Database!$H302,Database!$H302),0,1),0),2),"run on terminal")</f>
        <v/>
      </c>
      <c r="P302" s="251">
        <f>IF(Database!BH302="","(n/m or not derivable)",Database!BH302)</f>
        <v/>
      </c>
      <c r="Q302" s="58">
        <f>IF(Database!BN302="","",IFERROR(INDEX(BDH(LEFT(Database!BN302,FIND(".",Database!BN302)-1)&amp;" CH Equity","PE_RATIO",Database!$H302,Database!$H302),MATCH(Database!$H302,INDEX(BDH(LEFT(Database!BN302,FIND(".",Database!BN302)-1)&amp;" CH Equity","PE_RATIO",Database!$H302,Database!$H302),0,1),0),2),"run on terminal"))</f>
        <v/>
      </c>
      <c r="R302" s="58">
        <f>IF(Database!BN302="","",IFERROR(INDEX(BDH("HSAHP Index","PX_LAST",Database!$H302,Database!$H302),MATCH(Database!$H302,INDEX(BDH("HSAHP Index","PX_LAST",Database!$H302,Database!$H302),0,1),0),2),"run on terminal"))</f>
        <v/>
      </c>
      <c r="S302" s="58">
        <f>IFERROR(BDP(TEXT(VALUE(Database!$A302),"0")&amp;" HK Equity","PX_TO_SALES_RATIO"),"")</f>
        <v/>
      </c>
      <c r="T302" s="53">
        <f>IF(Database!BN302="","",IFERROR(BDP(LEFT(Database!BN302,FIND(".",Database!BN302)-1)&amp;" CH Equity","CUR_MKT_CAP")*BDP("CNYHKD Curncy","PX_LAST"),"run on terminal"))</f>
        <v/>
      </c>
    </row>
    <row r="303" ht="23" customHeight="1">
      <c r="A303" s="51">
        <f>Database!A303&amp;"  "&amp;Database!B303</f>
        <v/>
      </c>
      <c r="B303" s="43">
        <f>IFERROR(INDEX(BDS(TEXT(VALUE(Database!$A303),"0")&amp;" HK Equity","EQUITY_OFFERINGS","array=t","endcol=1"),MATCH("IPO",BDS(TEXT(VALUE(Database!$A303),"0")&amp;" HK Equity","EQUITY_OFFERINGS","array=t","startcol=2","endcol=2"),0)),"")</f>
        <v/>
      </c>
      <c r="C303" s="260">
        <f>IF($B303="","",IFERROR(BDP($B303&amp;" Action","CP036"),""))</f>
        <v/>
      </c>
      <c r="D303" s="261">
        <f>Database!S303</f>
        <v/>
      </c>
      <c r="E303" s="260">
        <f>IF($B303="","",IFERROR(BDP($B303&amp;" Action","CP037"),""))</f>
        <v/>
      </c>
      <c r="F303" s="261">
        <f>Database!T303</f>
        <v/>
      </c>
      <c r="G303" s="260">
        <f>IF($B303="","",IFERROR(BDP($B303&amp;" Action","GREENSHOE_FACILITY"),""))</f>
        <v/>
      </c>
      <c r="H303" s="260">
        <f>IF($B303="","",IFERROR(BDP($B303&amp;" Action","OFFERING_GREENSHOE_SHARES_EX"),""))</f>
        <v/>
      </c>
      <c r="I303" s="51">
        <f>Database!AE303</f>
        <v/>
      </c>
      <c r="J303" s="58">
        <f>IFERROR(BDP(TEXT(VALUE(Database!$A303),"0")&amp;" HK Equity","PE_RATIO"),"")</f>
        <v/>
      </c>
      <c r="K303" s="43">
        <f>IFERROR(BDP(TEXT(VALUE(Database!$A303),"0")&amp;" HK Equity","A/H_SHARE_CONVERSION"),"")</f>
        <v/>
      </c>
      <c r="L303" s="51">
        <f>IF(Database!BN303="","(none found)",Database!BN303)</f>
        <v/>
      </c>
      <c r="M303" s="53">
        <f>IFERROR(INDEX(BDH(TEXT(VALUE(Database!$A303),"0")&amp;" HK Equity","CUR_MKT_CAP",Database!$H303,Database!$H303),MATCH(Database!$H303,INDEX(BDH(TEXT(VALUE(Database!$A303),"0")&amp;" HK Equity","CUR_MKT_CAP",Database!$H303,Database!$H303),0,1),0),2),"run on terminal")</f>
        <v/>
      </c>
      <c r="N303" s="213">
        <f>Database!Q303</f>
        <v/>
      </c>
      <c r="O303" s="58">
        <f>IFERROR(INDEX(BDH(TEXT(VALUE(Database!$A303),"0")&amp;" HK Equity","PE_RATIO",Database!$H303,Database!$H303),MATCH(Database!$H303,INDEX(BDH(TEXT(VALUE(Database!$A303),"0")&amp;" HK Equity","PE_RATIO",Database!$H303,Database!$H303),0,1),0),2),"run on terminal")</f>
        <v/>
      </c>
      <c r="P303" s="251">
        <f>IF(Database!BH303="","(n/m or not derivable)",Database!BH303)</f>
        <v/>
      </c>
      <c r="Q303" s="58">
        <f>IF(Database!BN303="","",IFERROR(INDEX(BDH(LEFT(Database!BN303,FIND(".",Database!BN303)-1)&amp;" CH Equity","PE_RATIO",Database!$H303,Database!$H303),MATCH(Database!$H303,INDEX(BDH(LEFT(Database!BN303,FIND(".",Database!BN303)-1)&amp;" CH Equity","PE_RATIO",Database!$H303,Database!$H303),0,1),0),2),"run on terminal"))</f>
        <v/>
      </c>
      <c r="R303" s="58">
        <f>IF(Database!BN303="","",IFERROR(INDEX(BDH("HSAHP Index","PX_LAST",Database!$H303,Database!$H303),MATCH(Database!$H303,INDEX(BDH("HSAHP Index","PX_LAST",Database!$H303,Database!$H303),0,1),0),2),"run on terminal"))</f>
        <v/>
      </c>
      <c r="S303" s="58">
        <f>IFERROR(BDP(TEXT(VALUE(Database!$A303),"0")&amp;" HK Equity","PX_TO_SALES_RATIO"),"")</f>
        <v/>
      </c>
      <c r="T303" s="53">
        <f>IF(Database!BN303="","",IFERROR(BDP(LEFT(Database!BN303,FIND(".",Database!BN303)-1)&amp;" CH Equity","CUR_MKT_CAP")*BDP("CNYHKD Curncy","PX_LAST"),"run on terminal"))</f>
        <v/>
      </c>
    </row>
    <row r="304" ht="23" customHeight="1">
      <c r="A304" s="51">
        <f>Database!A304&amp;"  "&amp;Database!B304</f>
        <v/>
      </c>
      <c r="B304" s="43">
        <f>IFERROR(INDEX(BDS(TEXT(VALUE(Database!$A304),"0")&amp;" HK Equity","EQUITY_OFFERINGS","array=t","endcol=1"),MATCH("IPO",BDS(TEXT(VALUE(Database!$A304),"0")&amp;" HK Equity","EQUITY_OFFERINGS","array=t","startcol=2","endcol=2"),0)),"")</f>
        <v/>
      </c>
      <c r="C304" s="260">
        <f>IF($B304="","",IFERROR(BDP($B304&amp;" Action","CP036"),""))</f>
        <v/>
      </c>
      <c r="D304" s="261">
        <f>Database!S304</f>
        <v/>
      </c>
      <c r="E304" s="260">
        <f>IF($B304="","",IFERROR(BDP($B304&amp;" Action","CP037"),""))</f>
        <v/>
      </c>
      <c r="F304" s="261">
        <f>Database!T304</f>
        <v/>
      </c>
      <c r="G304" s="260">
        <f>IF($B304="","",IFERROR(BDP($B304&amp;" Action","GREENSHOE_FACILITY"),""))</f>
        <v/>
      </c>
      <c r="H304" s="260">
        <f>IF($B304="","",IFERROR(BDP($B304&amp;" Action","OFFERING_GREENSHOE_SHARES_EX"),""))</f>
        <v/>
      </c>
      <c r="I304" s="51">
        <f>Database!AE304</f>
        <v/>
      </c>
      <c r="J304" s="58">
        <f>IFERROR(BDP(TEXT(VALUE(Database!$A304),"0")&amp;" HK Equity","PE_RATIO"),"")</f>
        <v/>
      </c>
      <c r="K304" s="43">
        <f>IFERROR(BDP(TEXT(VALUE(Database!$A304),"0")&amp;" HK Equity","A/H_SHARE_CONVERSION"),"")</f>
        <v/>
      </c>
      <c r="L304" s="51">
        <f>IF(Database!BN304="","(none found)",Database!BN304)</f>
        <v/>
      </c>
      <c r="M304" s="53">
        <f>IFERROR(INDEX(BDH(TEXT(VALUE(Database!$A304),"0")&amp;" HK Equity","CUR_MKT_CAP",Database!$H304,Database!$H304),MATCH(Database!$H304,INDEX(BDH(TEXT(VALUE(Database!$A304),"0")&amp;" HK Equity","CUR_MKT_CAP",Database!$H304,Database!$H304),0,1),0),2),"run on terminal")</f>
        <v/>
      </c>
      <c r="N304" s="213">
        <f>Database!Q304</f>
        <v/>
      </c>
      <c r="O304" s="58">
        <f>IFERROR(INDEX(BDH(TEXT(VALUE(Database!$A304),"0")&amp;" HK Equity","PE_RATIO",Database!$H304,Database!$H304),MATCH(Database!$H304,INDEX(BDH(TEXT(VALUE(Database!$A304),"0")&amp;" HK Equity","PE_RATIO",Database!$H304,Database!$H304),0,1),0),2),"run on terminal")</f>
        <v/>
      </c>
      <c r="P304" s="251">
        <f>IF(Database!BH304="","(n/m or not derivable)",Database!BH304)</f>
        <v/>
      </c>
      <c r="Q304" s="58">
        <f>IF(Database!BN304="","",IFERROR(INDEX(BDH(LEFT(Database!BN304,FIND(".",Database!BN304)-1)&amp;" CH Equity","PE_RATIO",Database!$H304,Database!$H304),MATCH(Database!$H304,INDEX(BDH(LEFT(Database!BN304,FIND(".",Database!BN304)-1)&amp;" CH Equity","PE_RATIO",Database!$H304,Database!$H304),0,1),0),2),"run on terminal"))</f>
        <v/>
      </c>
      <c r="R304" s="58">
        <f>IF(Database!BN304="","",IFERROR(INDEX(BDH("HSAHP Index","PX_LAST",Database!$H304,Database!$H304),MATCH(Database!$H304,INDEX(BDH("HSAHP Index","PX_LAST",Database!$H304,Database!$H304),0,1),0),2),"run on terminal"))</f>
        <v/>
      </c>
      <c r="S304" s="58">
        <f>IFERROR(BDP(TEXT(VALUE(Database!$A304),"0")&amp;" HK Equity","PX_TO_SALES_RATIO"),"")</f>
        <v/>
      </c>
      <c r="T304" s="53">
        <f>IF(Database!BN304="","",IFERROR(BDP(LEFT(Database!BN304,FIND(".",Database!BN304)-1)&amp;" CH Equity","CUR_MKT_CAP")*BDP("CNYHKD Curncy","PX_LAST"),"run on terminal"))</f>
        <v/>
      </c>
    </row>
    <row r="305" ht="23" customHeight="1">
      <c r="A305" s="51">
        <f>Database!A305&amp;"  "&amp;Database!B305</f>
        <v/>
      </c>
      <c r="B305" s="43">
        <f>IFERROR(INDEX(BDS(TEXT(VALUE(Database!$A305),"0")&amp;" HK Equity","EQUITY_OFFERINGS","array=t","endcol=1"),MATCH("IPO",BDS(TEXT(VALUE(Database!$A305),"0")&amp;" HK Equity","EQUITY_OFFERINGS","array=t","startcol=2","endcol=2"),0)),"")</f>
        <v/>
      </c>
      <c r="C305" s="260">
        <f>IF($B305="","",IFERROR(BDP($B305&amp;" Action","CP036"),""))</f>
        <v/>
      </c>
      <c r="D305" s="261">
        <f>Database!S305</f>
        <v/>
      </c>
      <c r="E305" s="260">
        <f>IF($B305="","",IFERROR(BDP($B305&amp;" Action","CP037"),""))</f>
        <v/>
      </c>
      <c r="F305" s="261">
        <f>Database!T305</f>
        <v/>
      </c>
      <c r="G305" s="260">
        <f>IF($B305="","",IFERROR(BDP($B305&amp;" Action","GREENSHOE_FACILITY"),""))</f>
        <v/>
      </c>
      <c r="H305" s="260">
        <f>IF($B305="","",IFERROR(BDP($B305&amp;" Action","OFFERING_GREENSHOE_SHARES_EX"),""))</f>
        <v/>
      </c>
      <c r="I305" s="51">
        <f>Database!AE305</f>
        <v/>
      </c>
      <c r="J305" s="58">
        <f>IFERROR(BDP(TEXT(VALUE(Database!$A305),"0")&amp;" HK Equity","PE_RATIO"),"")</f>
        <v/>
      </c>
      <c r="K305" s="43">
        <f>IFERROR(BDP(TEXT(VALUE(Database!$A305),"0")&amp;" HK Equity","A/H_SHARE_CONVERSION"),"")</f>
        <v/>
      </c>
      <c r="L305" s="51">
        <f>IF(Database!BN305="","(none found)",Database!BN305)</f>
        <v/>
      </c>
      <c r="M305" s="53">
        <f>IFERROR(INDEX(BDH(TEXT(VALUE(Database!$A305),"0")&amp;" HK Equity","CUR_MKT_CAP",Database!$H305,Database!$H305),MATCH(Database!$H305,INDEX(BDH(TEXT(VALUE(Database!$A305),"0")&amp;" HK Equity","CUR_MKT_CAP",Database!$H305,Database!$H305),0,1),0),2),"run on terminal")</f>
        <v/>
      </c>
      <c r="N305" s="213">
        <f>Database!Q305</f>
        <v/>
      </c>
      <c r="O305" s="58">
        <f>IFERROR(INDEX(BDH(TEXT(VALUE(Database!$A305),"0")&amp;" HK Equity","PE_RATIO",Database!$H305,Database!$H305),MATCH(Database!$H305,INDEX(BDH(TEXT(VALUE(Database!$A305),"0")&amp;" HK Equity","PE_RATIO",Database!$H305,Database!$H305),0,1),0),2),"run on terminal")</f>
        <v/>
      </c>
      <c r="P305" s="251">
        <f>IF(Database!BH305="","(n/m or not derivable)",Database!BH305)</f>
        <v/>
      </c>
      <c r="Q305" s="58">
        <f>IF(Database!BN305="","",IFERROR(INDEX(BDH(LEFT(Database!BN305,FIND(".",Database!BN305)-1)&amp;" CH Equity","PE_RATIO",Database!$H305,Database!$H305),MATCH(Database!$H305,INDEX(BDH(LEFT(Database!BN305,FIND(".",Database!BN305)-1)&amp;" CH Equity","PE_RATIO",Database!$H305,Database!$H305),0,1),0),2),"run on terminal"))</f>
        <v/>
      </c>
      <c r="R305" s="58">
        <f>IF(Database!BN305="","",IFERROR(INDEX(BDH("HSAHP Index","PX_LAST",Database!$H305,Database!$H305),MATCH(Database!$H305,INDEX(BDH("HSAHP Index","PX_LAST",Database!$H305,Database!$H305),0,1),0),2),"run on terminal"))</f>
        <v/>
      </c>
      <c r="S305" s="58">
        <f>IFERROR(BDP(TEXT(VALUE(Database!$A305),"0")&amp;" HK Equity","PX_TO_SALES_RATIO"),"")</f>
        <v/>
      </c>
      <c r="T305" s="53">
        <f>IF(Database!BN305="","",IFERROR(BDP(LEFT(Database!BN305,FIND(".",Database!BN305)-1)&amp;" CH Equity","CUR_MKT_CAP")*BDP("CNYHKD Curncy","PX_LAST"),"run on terminal"))</f>
        <v/>
      </c>
    </row>
    <row r="306" ht="23" customHeight="1">
      <c r="A306" s="51">
        <f>Database!A306&amp;"  "&amp;Database!B306</f>
        <v/>
      </c>
      <c r="B306" s="43">
        <f>IFERROR(INDEX(BDS(TEXT(VALUE(Database!$A306),"0")&amp;" HK Equity","EQUITY_OFFERINGS","array=t","endcol=1"),MATCH("IPO",BDS(TEXT(VALUE(Database!$A306),"0")&amp;" HK Equity","EQUITY_OFFERINGS","array=t","startcol=2","endcol=2"),0)),"")</f>
        <v/>
      </c>
      <c r="C306" s="260">
        <f>IF($B306="","",IFERROR(BDP($B306&amp;" Action","CP036"),""))</f>
        <v/>
      </c>
      <c r="D306" s="261">
        <f>Database!S306</f>
        <v/>
      </c>
      <c r="E306" s="260">
        <f>IF($B306="","",IFERROR(BDP($B306&amp;" Action","CP037"),""))</f>
        <v/>
      </c>
      <c r="F306" s="261">
        <f>Database!T306</f>
        <v/>
      </c>
      <c r="G306" s="260">
        <f>IF($B306="","",IFERROR(BDP($B306&amp;" Action","GREENSHOE_FACILITY"),""))</f>
        <v/>
      </c>
      <c r="H306" s="260">
        <f>IF($B306="","",IFERROR(BDP($B306&amp;" Action","OFFERING_GREENSHOE_SHARES_EX"),""))</f>
        <v/>
      </c>
      <c r="I306" s="51">
        <f>Database!AE306</f>
        <v/>
      </c>
      <c r="J306" s="58">
        <f>IFERROR(BDP(TEXT(VALUE(Database!$A306),"0")&amp;" HK Equity","PE_RATIO"),"")</f>
        <v/>
      </c>
      <c r="K306" s="43">
        <f>IFERROR(BDP(TEXT(VALUE(Database!$A306),"0")&amp;" HK Equity","A/H_SHARE_CONVERSION"),"")</f>
        <v/>
      </c>
      <c r="L306" s="51">
        <f>IF(Database!BN306="","(none found)",Database!BN306)</f>
        <v/>
      </c>
      <c r="M306" s="53">
        <f>IFERROR(INDEX(BDH(TEXT(VALUE(Database!$A306),"0")&amp;" HK Equity","CUR_MKT_CAP",Database!$H306,Database!$H306),MATCH(Database!$H306,INDEX(BDH(TEXT(VALUE(Database!$A306),"0")&amp;" HK Equity","CUR_MKT_CAP",Database!$H306,Database!$H306),0,1),0),2),"run on terminal")</f>
        <v/>
      </c>
      <c r="N306" s="213">
        <f>Database!Q306</f>
        <v/>
      </c>
      <c r="O306" s="58">
        <f>IFERROR(INDEX(BDH(TEXT(VALUE(Database!$A306),"0")&amp;" HK Equity","PE_RATIO",Database!$H306,Database!$H306),MATCH(Database!$H306,INDEX(BDH(TEXT(VALUE(Database!$A306),"0")&amp;" HK Equity","PE_RATIO",Database!$H306,Database!$H306),0,1),0),2),"run on terminal")</f>
        <v/>
      </c>
      <c r="P306" s="251">
        <f>IF(Database!BH306="","(n/m or not derivable)",Database!BH306)</f>
        <v/>
      </c>
      <c r="Q306" s="58">
        <f>IF(Database!BN306="","",IFERROR(INDEX(BDH(LEFT(Database!BN306,FIND(".",Database!BN306)-1)&amp;" CH Equity","PE_RATIO",Database!$H306,Database!$H306),MATCH(Database!$H306,INDEX(BDH(LEFT(Database!BN306,FIND(".",Database!BN306)-1)&amp;" CH Equity","PE_RATIO",Database!$H306,Database!$H306),0,1),0),2),"run on terminal"))</f>
        <v/>
      </c>
      <c r="R306" s="58">
        <f>IF(Database!BN306="","",IFERROR(INDEX(BDH("HSAHP Index","PX_LAST",Database!$H306,Database!$H306),MATCH(Database!$H306,INDEX(BDH("HSAHP Index","PX_LAST",Database!$H306,Database!$H306),0,1),0),2),"run on terminal"))</f>
        <v/>
      </c>
      <c r="S306" s="58">
        <f>IFERROR(BDP(TEXT(VALUE(Database!$A306),"0")&amp;" HK Equity","PX_TO_SALES_RATIO"),"")</f>
        <v/>
      </c>
      <c r="T306" s="53">
        <f>IF(Database!BN306="","",IFERROR(BDP(LEFT(Database!BN306,FIND(".",Database!BN306)-1)&amp;" CH Equity","CUR_MKT_CAP")*BDP("CNYHKD Curncy","PX_LAST"),"run on terminal"))</f>
        <v/>
      </c>
    </row>
    <row r="307" ht="23" customHeight="1">
      <c r="A307" s="51">
        <f>Database!A307&amp;"  "&amp;Database!B307</f>
        <v/>
      </c>
      <c r="B307" s="43">
        <f>IFERROR(INDEX(BDS(TEXT(VALUE(Database!$A307),"0")&amp;" HK Equity","EQUITY_OFFERINGS","array=t","endcol=1"),MATCH("IPO",BDS(TEXT(VALUE(Database!$A307),"0")&amp;" HK Equity","EQUITY_OFFERINGS","array=t","startcol=2","endcol=2"),0)),"")</f>
        <v/>
      </c>
      <c r="C307" s="260">
        <f>IF($B307="","",IFERROR(BDP($B307&amp;" Action","CP036"),""))</f>
        <v/>
      </c>
      <c r="D307" s="261">
        <f>Database!S307</f>
        <v/>
      </c>
      <c r="E307" s="260">
        <f>IF($B307="","",IFERROR(BDP($B307&amp;" Action","CP037"),""))</f>
        <v/>
      </c>
      <c r="F307" s="261">
        <f>Database!T307</f>
        <v/>
      </c>
      <c r="G307" s="260">
        <f>IF($B307="","",IFERROR(BDP($B307&amp;" Action","GREENSHOE_FACILITY"),""))</f>
        <v/>
      </c>
      <c r="H307" s="260">
        <f>IF($B307="","",IFERROR(BDP($B307&amp;" Action","OFFERING_GREENSHOE_SHARES_EX"),""))</f>
        <v/>
      </c>
      <c r="I307" s="51">
        <f>Database!AE307</f>
        <v/>
      </c>
      <c r="J307" s="58">
        <f>IFERROR(BDP(TEXT(VALUE(Database!$A307),"0")&amp;" HK Equity","PE_RATIO"),"")</f>
        <v/>
      </c>
      <c r="K307" s="43">
        <f>IFERROR(BDP(TEXT(VALUE(Database!$A307),"0")&amp;" HK Equity","A/H_SHARE_CONVERSION"),"")</f>
        <v/>
      </c>
      <c r="L307" s="51">
        <f>IF(Database!BN307="","(none found)",Database!BN307)</f>
        <v/>
      </c>
      <c r="M307" s="53">
        <f>IFERROR(INDEX(BDH(TEXT(VALUE(Database!$A307),"0")&amp;" HK Equity","CUR_MKT_CAP",Database!$H307,Database!$H307),MATCH(Database!$H307,INDEX(BDH(TEXT(VALUE(Database!$A307),"0")&amp;" HK Equity","CUR_MKT_CAP",Database!$H307,Database!$H307),0,1),0),2),"run on terminal")</f>
        <v/>
      </c>
      <c r="N307" s="213">
        <f>Database!Q307</f>
        <v/>
      </c>
      <c r="O307" s="58">
        <f>IFERROR(INDEX(BDH(TEXT(VALUE(Database!$A307),"0")&amp;" HK Equity","PE_RATIO",Database!$H307,Database!$H307),MATCH(Database!$H307,INDEX(BDH(TEXT(VALUE(Database!$A307),"0")&amp;" HK Equity","PE_RATIO",Database!$H307,Database!$H307),0,1),0),2),"run on terminal")</f>
        <v/>
      </c>
      <c r="P307" s="251">
        <f>IF(Database!BH307="","(n/m or not derivable)",Database!BH307)</f>
        <v/>
      </c>
      <c r="Q307" s="58">
        <f>IF(Database!BN307="","",IFERROR(INDEX(BDH(LEFT(Database!BN307,FIND(".",Database!BN307)-1)&amp;" CH Equity","PE_RATIO",Database!$H307,Database!$H307),MATCH(Database!$H307,INDEX(BDH(LEFT(Database!BN307,FIND(".",Database!BN307)-1)&amp;" CH Equity","PE_RATIO",Database!$H307,Database!$H307),0,1),0),2),"run on terminal"))</f>
        <v/>
      </c>
      <c r="R307" s="58">
        <f>IF(Database!BN307="","",IFERROR(INDEX(BDH("HSAHP Index","PX_LAST",Database!$H307,Database!$H307),MATCH(Database!$H307,INDEX(BDH("HSAHP Index","PX_LAST",Database!$H307,Database!$H307),0,1),0),2),"run on terminal"))</f>
        <v/>
      </c>
      <c r="S307" s="58">
        <f>IFERROR(BDP(TEXT(VALUE(Database!$A307),"0")&amp;" HK Equity","PX_TO_SALES_RATIO"),"")</f>
        <v/>
      </c>
      <c r="T307" s="53">
        <f>IF(Database!BN307="","",IFERROR(BDP(LEFT(Database!BN307,FIND(".",Database!BN307)-1)&amp;" CH Equity","CUR_MKT_CAP")*BDP("CNYHKD Curncy","PX_LAST"),"run on terminal"))</f>
        <v/>
      </c>
    </row>
    <row r="308" ht="23" customHeight="1">
      <c r="A308" s="51">
        <f>Database!A308&amp;"  "&amp;Database!B308</f>
        <v/>
      </c>
      <c r="B308" s="43">
        <f>IFERROR(INDEX(BDS(TEXT(VALUE(Database!$A308),"0")&amp;" HK Equity","EQUITY_OFFERINGS","array=t","endcol=1"),MATCH("IPO",BDS(TEXT(VALUE(Database!$A308),"0")&amp;" HK Equity","EQUITY_OFFERINGS","array=t","startcol=2","endcol=2"),0)),"")</f>
        <v/>
      </c>
      <c r="C308" s="260">
        <f>IF($B308="","",IFERROR(BDP($B308&amp;" Action","CP036"),""))</f>
        <v/>
      </c>
      <c r="D308" s="261">
        <f>Database!S308</f>
        <v/>
      </c>
      <c r="E308" s="260">
        <f>IF($B308="","",IFERROR(BDP($B308&amp;" Action","CP037"),""))</f>
        <v/>
      </c>
      <c r="F308" s="261">
        <f>Database!T308</f>
        <v/>
      </c>
      <c r="G308" s="260">
        <f>IF($B308="","",IFERROR(BDP($B308&amp;" Action","GREENSHOE_FACILITY"),""))</f>
        <v/>
      </c>
      <c r="H308" s="260">
        <f>IF($B308="","",IFERROR(BDP($B308&amp;" Action","OFFERING_GREENSHOE_SHARES_EX"),""))</f>
        <v/>
      </c>
      <c r="I308" s="51">
        <f>Database!AE308</f>
        <v/>
      </c>
      <c r="J308" s="58">
        <f>IFERROR(BDP(TEXT(VALUE(Database!$A308),"0")&amp;" HK Equity","PE_RATIO"),"")</f>
        <v/>
      </c>
      <c r="K308" s="43">
        <f>IFERROR(BDP(TEXT(VALUE(Database!$A308),"0")&amp;" HK Equity","A/H_SHARE_CONVERSION"),"")</f>
        <v/>
      </c>
      <c r="L308" s="51">
        <f>IF(Database!BN308="","(none found)",Database!BN308)</f>
        <v/>
      </c>
      <c r="M308" s="53">
        <f>IFERROR(INDEX(BDH(TEXT(VALUE(Database!$A308),"0")&amp;" HK Equity","CUR_MKT_CAP",Database!$H308,Database!$H308),MATCH(Database!$H308,INDEX(BDH(TEXT(VALUE(Database!$A308),"0")&amp;" HK Equity","CUR_MKT_CAP",Database!$H308,Database!$H308),0,1),0),2),"run on terminal")</f>
        <v/>
      </c>
      <c r="N308" s="213">
        <f>Database!Q308</f>
        <v/>
      </c>
      <c r="O308" s="58">
        <f>IFERROR(INDEX(BDH(TEXT(VALUE(Database!$A308),"0")&amp;" HK Equity","PE_RATIO",Database!$H308,Database!$H308),MATCH(Database!$H308,INDEX(BDH(TEXT(VALUE(Database!$A308),"0")&amp;" HK Equity","PE_RATIO",Database!$H308,Database!$H308),0,1),0),2),"run on terminal")</f>
        <v/>
      </c>
      <c r="P308" s="251">
        <f>IF(Database!BH308="","(n/m or not derivable)",Database!BH308)</f>
        <v/>
      </c>
      <c r="Q308" s="58">
        <f>IF(Database!BN308="","",IFERROR(INDEX(BDH(LEFT(Database!BN308,FIND(".",Database!BN308)-1)&amp;" CH Equity","PE_RATIO",Database!$H308,Database!$H308),MATCH(Database!$H308,INDEX(BDH(LEFT(Database!BN308,FIND(".",Database!BN308)-1)&amp;" CH Equity","PE_RATIO",Database!$H308,Database!$H308),0,1),0),2),"run on terminal"))</f>
        <v/>
      </c>
      <c r="R308" s="58">
        <f>IF(Database!BN308="","",IFERROR(INDEX(BDH("HSAHP Index","PX_LAST",Database!$H308,Database!$H308),MATCH(Database!$H308,INDEX(BDH("HSAHP Index","PX_LAST",Database!$H308,Database!$H308),0,1),0),2),"run on terminal"))</f>
        <v/>
      </c>
      <c r="S308" s="58">
        <f>IFERROR(BDP(TEXT(VALUE(Database!$A308),"0")&amp;" HK Equity","PX_TO_SALES_RATIO"),"")</f>
        <v/>
      </c>
      <c r="T308" s="53">
        <f>IF(Database!BN308="","",IFERROR(BDP(LEFT(Database!BN308,FIND(".",Database!BN308)-1)&amp;" CH Equity","CUR_MKT_CAP")*BDP("CNYHKD Curncy","PX_LAST"),"run on terminal"))</f>
        <v/>
      </c>
    </row>
    <row r="309" ht="23" customHeight="1">
      <c r="A309" s="51">
        <f>Database!A309&amp;"  "&amp;Database!B309</f>
        <v/>
      </c>
      <c r="B309" s="43">
        <f>IFERROR(INDEX(BDS(TEXT(VALUE(Database!$A309),"0")&amp;" HK Equity","EQUITY_OFFERINGS","array=t","endcol=1"),MATCH("IPO",BDS(TEXT(VALUE(Database!$A309),"0")&amp;" HK Equity","EQUITY_OFFERINGS","array=t","startcol=2","endcol=2"),0)),"")</f>
        <v/>
      </c>
      <c r="C309" s="260">
        <f>IF($B309="","",IFERROR(BDP($B309&amp;" Action","CP036"),""))</f>
        <v/>
      </c>
      <c r="D309" s="261">
        <f>Database!S309</f>
        <v/>
      </c>
      <c r="E309" s="260">
        <f>IF($B309="","",IFERROR(BDP($B309&amp;" Action","CP037"),""))</f>
        <v/>
      </c>
      <c r="F309" s="261">
        <f>Database!T309</f>
        <v/>
      </c>
      <c r="G309" s="260">
        <f>IF($B309="","",IFERROR(BDP($B309&amp;" Action","GREENSHOE_FACILITY"),""))</f>
        <v/>
      </c>
      <c r="H309" s="260">
        <f>IF($B309="","",IFERROR(BDP($B309&amp;" Action","OFFERING_GREENSHOE_SHARES_EX"),""))</f>
        <v/>
      </c>
      <c r="I309" s="51">
        <f>Database!AE309</f>
        <v/>
      </c>
      <c r="J309" s="58">
        <f>IFERROR(BDP(TEXT(VALUE(Database!$A309),"0")&amp;" HK Equity","PE_RATIO"),"")</f>
        <v/>
      </c>
      <c r="K309" s="43">
        <f>IFERROR(BDP(TEXT(VALUE(Database!$A309),"0")&amp;" HK Equity","A/H_SHARE_CONVERSION"),"")</f>
        <v/>
      </c>
      <c r="L309" s="51">
        <f>IF(Database!BN309="","(none found)",Database!BN309)</f>
        <v/>
      </c>
      <c r="M309" s="53">
        <f>IFERROR(INDEX(BDH(TEXT(VALUE(Database!$A309),"0")&amp;" HK Equity","CUR_MKT_CAP",Database!$H309,Database!$H309),MATCH(Database!$H309,INDEX(BDH(TEXT(VALUE(Database!$A309),"0")&amp;" HK Equity","CUR_MKT_CAP",Database!$H309,Database!$H309),0,1),0),2),"run on terminal")</f>
        <v/>
      </c>
      <c r="N309" s="213">
        <f>Database!Q309</f>
        <v/>
      </c>
      <c r="O309" s="58">
        <f>IFERROR(INDEX(BDH(TEXT(VALUE(Database!$A309),"0")&amp;" HK Equity","PE_RATIO",Database!$H309,Database!$H309),MATCH(Database!$H309,INDEX(BDH(TEXT(VALUE(Database!$A309),"0")&amp;" HK Equity","PE_RATIO",Database!$H309,Database!$H309),0,1),0),2),"run on terminal")</f>
        <v/>
      </c>
      <c r="P309" s="251">
        <f>IF(Database!BH309="","(n/m or not derivable)",Database!BH309)</f>
        <v/>
      </c>
      <c r="Q309" s="58">
        <f>IF(Database!BN309="","",IFERROR(INDEX(BDH(LEFT(Database!BN309,FIND(".",Database!BN309)-1)&amp;" CH Equity","PE_RATIO",Database!$H309,Database!$H309),MATCH(Database!$H309,INDEX(BDH(LEFT(Database!BN309,FIND(".",Database!BN309)-1)&amp;" CH Equity","PE_RATIO",Database!$H309,Database!$H309),0,1),0),2),"run on terminal"))</f>
        <v/>
      </c>
      <c r="R309" s="58">
        <f>IF(Database!BN309="","",IFERROR(INDEX(BDH("HSAHP Index","PX_LAST",Database!$H309,Database!$H309),MATCH(Database!$H309,INDEX(BDH("HSAHP Index","PX_LAST",Database!$H309,Database!$H309),0,1),0),2),"run on terminal"))</f>
        <v/>
      </c>
      <c r="S309" s="58">
        <f>IFERROR(BDP(TEXT(VALUE(Database!$A309),"0")&amp;" HK Equity","PX_TO_SALES_RATIO"),"")</f>
        <v/>
      </c>
      <c r="T309" s="53">
        <f>IF(Database!BN309="","",IFERROR(BDP(LEFT(Database!BN309,FIND(".",Database!BN309)-1)&amp;" CH Equity","CUR_MKT_CAP")*BDP("CNYHKD Curncy","PX_LAST"),"run on terminal"))</f>
        <v/>
      </c>
    </row>
    <row r="310" ht="23" customHeight="1">
      <c r="A310" s="51">
        <f>Database!A310&amp;"  "&amp;Database!B310</f>
        <v/>
      </c>
      <c r="B310" s="43">
        <f>IFERROR(INDEX(BDS(TEXT(VALUE(Database!$A310),"0")&amp;" HK Equity","EQUITY_OFFERINGS","array=t","endcol=1"),MATCH("IPO",BDS(TEXT(VALUE(Database!$A310),"0")&amp;" HK Equity","EQUITY_OFFERINGS","array=t","startcol=2","endcol=2"),0)),"")</f>
        <v/>
      </c>
      <c r="C310" s="260">
        <f>IF($B310="","",IFERROR(BDP($B310&amp;" Action","CP036"),""))</f>
        <v/>
      </c>
      <c r="D310" s="261">
        <f>Database!S310</f>
        <v/>
      </c>
      <c r="E310" s="260">
        <f>IF($B310="","",IFERROR(BDP($B310&amp;" Action","CP037"),""))</f>
        <v/>
      </c>
      <c r="F310" s="261">
        <f>Database!T310</f>
        <v/>
      </c>
      <c r="G310" s="260">
        <f>IF($B310="","",IFERROR(BDP($B310&amp;" Action","GREENSHOE_FACILITY"),""))</f>
        <v/>
      </c>
      <c r="H310" s="260">
        <f>IF($B310="","",IFERROR(BDP($B310&amp;" Action","OFFERING_GREENSHOE_SHARES_EX"),""))</f>
        <v/>
      </c>
      <c r="I310" s="51">
        <f>Database!AE310</f>
        <v/>
      </c>
      <c r="J310" s="58">
        <f>IFERROR(BDP(TEXT(VALUE(Database!$A310),"0")&amp;" HK Equity","PE_RATIO"),"")</f>
        <v/>
      </c>
      <c r="K310" s="43">
        <f>IFERROR(BDP(TEXT(VALUE(Database!$A310),"0")&amp;" HK Equity","A/H_SHARE_CONVERSION"),"")</f>
        <v/>
      </c>
      <c r="L310" s="51">
        <f>IF(Database!BN310="","(none found)",Database!BN310)</f>
        <v/>
      </c>
      <c r="M310" s="53">
        <f>IFERROR(INDEX(BDH(TEXT(VALUE(Database!$A310),"0")&amp;" HK Equity","CUR_MKT_CAP",Database!$H310,Database!$H310),MATCH(Database!$H310,INDEX(BDH(TEXT(VALUE(Database!$A310),"0")&amp;" HK Equity","CUR_MKT_CAP",Database!$H310,Database!$H310),0,1),0),2),"run on terminal")</f>
        <v/>
      </c>
      <c r="N310" s="213">
        <f>Database!Q310</f>
        <v/>
      </c>
      <c r="O310" s="58">
        <f>IFERROR(INDEX(BDH(TEXT(VALUE(Database!$A310),"0")&amp;" HK Equity","PE_RATIO",Database!$H310,Database!$H310),MATCH(Database!$H310,INDEX(BDH(TEXT(VALUE(Database!$A310),"0")&amp;" HK Equity","PE_RATIO",Database!$H310,Database!$H310),0,1),0),2),"run on terminal")</f>
        <v/>
      </c>
      <c r="P310" s="251">
        <f>IF(Database!BH310="","(n/m or not derivable)",Database!BH310)</f>
        <v/>
      </c>
      <c r="Q310" s="58">
        <f>IF(Database!BN310="","",IFERROR(INDEX(BDH(LEFT(Database!BN310,FIND(".",Database!BN310)-1)&amp;" CH Equity","PE_RATIO",Database!$H310,Database!$H310),MATCH(Database!$H310,INDEX(BDH(LEFT(Database!BN310,FIND(".",Database!BN310)-1)&amp;" CH Equity","PE_RATIO",Database!$H310,Database!$H310),0,1),0),2),"run on terminal"))</f>
        <v/>
      </c>
      <c r="R310" s="58">
        <f>IF(Database!BN310="","",IFERROR(INDEX(BDH("HSAHP Index","PX_LAST",Database!$H310,Database!$H310),MATCH(Database!$H310,INDEX(BDH("HSAHP Index","PX_LAST",Database!$H310,Database!$H310),0,1),0),2),"run on terminal"))</f>
        <v/>
      </c>
      <c r="S310" s="58">
        <f>IFERROR(BDP(TEXT(VALUE(Database!$A310),"0")&amp;" HK Equity","PX_TO_SALES_RATIO"),"")</f>
        <v/>
      </c>
      <c r="T310" s="53">
        <f>IF(Database!BN310="","",IFERROR(BDP(LEFT(Database!BN310,FIND(".",Database!BN310)-1)&amp;" CH Equity","CUR_MKT_CAP")*BDP("CNYHKD Curncy","PX_LAST"),"run on terminal"))</f>
        <v/>
      </c>
    </row>
    <row r="311" ht="23" customHeight="1">
      <c r="A311" s="51">
        <f>Database!A311&amp;"  "&amp;Database!B311</f>
        <v/>
      </c>
      <c r="B311" s="43">
        <f>IFERROR(INDEX(BDS(TEXT(VALUE(Database!$A311),"0")&amp;" HK Equity","EQUITY_OFFERINGS","array=t","endcol=1"),MATCH("IPO",BDS(TEXT(VALUE(Database!$A311),"0")&amp;" HK Equity","EQUITY_OFFERINGS","array=t","startcol=2","endcol=2"),0)),"")</f>
        <v/>
      </c>
      <c r="C311" s="260">
        <f>IF($B311="","",IFERROR(BDP($B311&amp;" Action","CP036"),""))</f>
        <v/>
      </c>
      <c r="D311" s="261">
        <f>Database!S311</f>
        <v/>
      </c>
      <c r="E311" s="260">
        <f>IF($B311="","",IFERROR(BDP($B311&amp;" Action","CP037"),""))</f>
        <v/>
      </c>
      <c r="F311" s="261">
        <f>Database!T311</f>
        <v/>
      </c>
      <c r="G311" s="260">
        <f>IF($B311="","",IFERROR(BDP($B311&amp;" Action","GREENSHOE_FACILITY"),""))</f>
        <v/>
      </c>
      <c r="H311" s="260">
        <f>IF($B311="","",IFERROR(BDP($B311&amp;" Action","OFFERING_GREENSHOE_SHARES_EX"),""))</f>
        <v/>
      </c>
      <c r="I311" s="51">
        <f>Database!AE311</f>
        <v/>
      </c>
      <c r="J311" s="58">
        <f>IFERROR(BDP(TEXT(VALUE(Database!$A311),"0")&amp;" HK Equity","PE_RATIO"),"")</f>
        <v/>
      </c>
      <c r="K311" s="43">
        <f>IFERROR(BDP(TEXT(VALUE(Database!$A311),"0")&amp;" HK Equity","A/H_SHARE_CONVERSION"),"")</f>
        <v/>
      </c>
      <c r="L311" s="51">
        <f>IF(Database!BN311="","(none found)",Database!BN311)</f>
        <v/>
      </c>
      <c r="M311" s="53">
        <f>IFERROR(INDEX(BDH(TEXT(VALUE(Database!$A311),"0")&amp;" HK Equity","CUR_MKT_CAP",Database!$H311,Database!$H311),MATCH(Database!$H311,INDEX(BDH(TEXT(VALUE(Database!$A311),"0")&amp;" HK Equity","CUR_MKT_CAP",Database!$H311,Database!$H311),0,1),0),2),"run on terminal")</f>
        <v/>
      </c>
      <c r="N311" s="213">
        <f>Database!Q311</f>
        <v/>
      </c>
      <c r="O311" s="58">
        <f>IFERROR(INDEX(BDH(TEXT(VALUE(Database!$A311),"0")&amp;" HK Equity","PE_RATIO",Database!$H311,Database!$H311),MATCH(Database!$H311,INDEX(BDH(TEXT(VALUE(Database!$A311),"0")&amp;" HK Equity","PE_RATIO",Database!$H311,Database!$H311),0,1),0),2),"run on terminal")</f>
        <v/>
      </c>
      <c r="P311" s="251">
        <f>IF(Database!BH311="","(n/m or not derivable)",Database!BH311)</f>
        <v/>
      </c>
      <c r="Q311" s="58">
        <f>IF(Database!BN311="","",IFERROR(INDEX(BDH(LEFT(Database!BN311,FIND(".",Database!BN311)-1)&amp;" CH Equity","PE_RATIO",Database!$H311,Database!$H311),MATCH(Database!$H311,INDEX(BDH(LEFT(Database!BN311,FIND(".",Database!BN311)-1)&amp;" CH Equity","PE_RATIO",Database!$H311,Database!$H311),0,1),0),2),"run on terminal"))</f>
        <v/>
      </c>
      <c r="R311" s="58">
        <f>IF(Database!BN311="","",IFERROR(INDEX(BDH("HSAHP Index","PX_LAST",Database!$H311,Database!$H311),MATCH(Database!$H311,INDEX(BDH("HSAHP Index","PX_LAST",Database!$H311,Database!$H311),0,1),0),2),"run on terminal"))</f>
        <v/>
      </c>
      <c r="S311" s="58">
        <f>IFERROR(BDP(TEXT(VALUE(Database!$A311),"0")&amp;" HK Equity","PX_TO_SALES_RATIO"),"")</f>
        <v/>
      </c>
      <c r="T311" s="53">
        <f>IF(Database!BN311="","",IFERROR(BDP(LEFT(Database!BN311,FIND(".",Database!BN311)-1)&amp;" CH Equity","CUR_MKT_CAP")*BDP("CNYHKD Curncy","PX_LAST"),"run on terminal"))</f>
        <v/>
      </c>
    </row>
    <row r="312" ht="23" customHeight="1">
      <c r="A312" s="51">
        <f>Database!A312&amp;"  "&amp;Database!B312</f>
        <v/>
      </c>
      <c r="B312" s="43">
        <f>IFERROR(INDEX(BDS(TEXT(VALUE(Database!$A312),"0")&amp;" HK Equity","EQUITY_OFFERINGS","array=t","endcol=1"),MATCH("IPO",BDS(TEXT(VALUE(Database!$A312),"0")&amp;" HK Equity","EQUITY_OFFERINGS","array=t","startcol=2","endcol=2"),0)),"")</f>
        <v/>
      </c>
      <c r="C312" s="260">
        <f>IF($B312="","",IFERROR(BDP($B312&amp;" Action","CP036"),""))</f>
        <v/>
      </c>
      <c r="D312" s="261">
        <f>Database!S312</f>
        <v/>
      </c>
      <c r="E312" s="260">
        <f>IF($B312="","",IFERROR(BDP($B312&amp;" Action","CP037"),""))</f>
        <v/>
      </c>
      <c r="F312" s="261">
        <f>Database!T312</f>
        <v/>
      </c>
      <c r="G312" s="260">
        <f>IF($B312="","",IFERROR(BDP($B312&amp;" Action","GREENSHOE_FACILITY"),""))</f>
        <v/>
      </c>
      <c r="H312" s="260">
        <f>IF($B312="","",IFERROR(BDP($B312&amp;" Action","OFFERING_GREENSHOE_SHARES_EX"),""))</f>
        <v/>
      </c>
      <c r="I312" s="51">
        <f>Database!AE312</f>
        <v/>
      </c>
      <c r="J312" s="58">
        <f>IFERROR(BDP(TEXT(VALUE(Database!$A312),"0")&amp;" HK Equity","PE_RATIO"),"")</f>
        <v/>
      </c>
      <c r="K312" s="43">
        <f>IFERROR(BDP(TEXT(VALUE(Database!$A312),"0")&amp;" HK Equity","A/H_SHARE_CONVERSION"),"")</f>
        <v/>
      </c>
      <c r="L312" s="51">
        <f>IF(Database!BN312="","(none found)",Database!BN312)</f>
        <v/>
      </c>
      <c r="M312" s="53">
        <f>IFERROR(INDEX(BDH(TEXT(VALUE(Database!$A312),"0")&amp;" HK Equity","CUR_MKT_CAP",Database!$H312,Database!$H312),MATCH(Database!$H312,INDEX(BDH(TEXT(VALUE(Database!$A312),"0")&amp;" HK Equity","CUR_MKT_CAP",Database!$H312,Database!$H312),0,1),0),2),"run on terminal")</f>
        <v/>
      </c>
      <c r="N312" s="213">
        <f>Database!Q312</f>
        <v/>
      </c>
      <c r="O312" s="58">
        <f>IFERROR(INDEX(BDH(TEXT(VALUE(Database!$A312),"0")&amp;" HK Equity","PE_RATIO",Database!$H312,Database!$H312),MATCH(Database!$H312,INDEX(BDH(TEXT(VALUE(Database!$A312),"0")&amp;" HK Equity","PE_RATIO",Database!$H312,Database!$H312),0,1),0),2),"run on terminal")</f>
        <v/>
      </c>
      <c r="P312" s="251">
        <f>IF(Database!BH312="","(n/m or not derivable)",Database!BH312)</f>
        <v/>
      </c>
      <c r="Q312" s="58">
        <f>IF(Database!BN312="","",IFERROR(INDEX(BDH(LEFT(Database!BN312,FIND(".",Database!BN312)-1)&amp;" CH Equity","PE_RATIO",Database!$H312,Database!$H312),MATCH(Database!$H312,INDEX(BDH(LEFT(Database!BN312,FIND(".",Database!BN312)-1)&amp;" CH Equity","PE_RATIO",Database!$H312,Database!$H312),0,1),0),2),"run on terminal"))</f>
        <v/>
      </c>
      <c r="R312" s="58">
        <f>IF(Database!BN312="","",IFERROR(INDEX(BDH("HSAHP Index","PX_LAST",Database!$H312,Database!$H312),MATCH(Database!$H312,INDEX(BDH("HSAHP Index","PX_LAST",Database!$H312,Database!$H312),0,1),0),2),"run on terminal"))</f>
        <v/>
      </c>
      <c r="S312" s="58">
        <f>IFERROR(BDP(TEXT(VALUE(Database!$A312),"0")&amp;" HK Equity","PX_TO_SALES_RATIO"),"")</f>
        <v/>
      </c>
      <c r="T312" s="53">
        <f>IF(Database!BN312="","",IFERROR(BDP(LEFT(Database!BN312,FIND(".",Database!BN312)-1)&amp;" CH Equity","CUR_MKT_CAP")*BDP("CNYHKD Curncy","PX_LAST"),"run on terminal"))</f>
        <v/>
      </c>
    </row>
    <row r="313" ht="23" customHeight="1">
      <c r="A313" s="51">
        <f>Database!A313&amp;"  "&amp;Database!B313</f>
        <v/>
      </c>
      <c r="B313" s="43">
        <f>IFERROR(INDEX(BDS(TEXT(VALUE(Database!$A313),"0")&amp;" HK Equity","EQUITY_OFFERINGS","array=t","endcol=1"),MATCH("IPO",BDS(TEXT(VALUE(Database!$A313),"0")&amp;" HK Equity","EQUITY_OFFERINGS","array=t","startcol=2","endcol=2"),0)),"")</f>
        <v/>
      </c>
      <c r="C313" s="260">
        <f>IF($B313="","",IFERROR(BDP($B313&amp;" Action","CP036"),""))</f>
        <v/>
      </c>
      <c r="D313" s="261">
        <f>Database!S313</f>
        <v/>
      </c>
      <c r="E313" s="260">
        <f>IF($B313="","",IFERROR(BDP($B313&amp;" Action","CP037"),""))</f>
        <v/>
      </c>
      <c r="F313" s="261">
        <f>Database!T313</f>
        <v/>
      </c>
      <c r="G313" s="260">
        <f>IF($B313="","",IFERROR(BDP($B313&amp;" Action","GREENSHOE_FACILITY"),""))</f>
        <v/>
      </c>
      <c r="H313" s="260">
        <f>IF($B313="","",IFERROR(BDP($B313&amp;" Action","OFFERING_GREENSHOE_SHARES_EX"),""))</f>
        <v/>
      </c>
      <c r="I313" s="51">
        <f>Database!AE313</f>
        <v/>
      </c>
      <c r="J313" s="58">
        <f>IFERROR(BDP(TEXT(VALUE(Database!$A313),"0")&amp;" HK Equity","PE_RATIO"),"")</f>
        <v/>
      </c>
      <c r="K313" s="43">
        <f>IFERROR(BDP(TEXT(VALUE(Database!$A313),"0")&amp;" HK Equity","A/H_SHARE_CONVERSION"),"")</f>
        <v/>
      </c>
      <c r="L313" s="51">
        <f>IF(Database!BN313="","(none found)",Database!BN313)</f>
        <v/>
      </c>
      <c r="M313" s="53">
        <f>IFERROR(INDEX(BDH(TEXT(VALUE(Database!$A313),"0")&amp;" HK Equity","CUR_MKT_CAP",Database!$H313,Database!$H313),MATCH(Database!$H313,INDEX(BDH(TEXT(VALUE(Database!$A313),"0")&amp;" HK Equity","CUR_MKT_CAP",Database!$H313,Database!$H313),0,1),0),2),"run on terminal")</f>
        <v/>
      </c>
      <c r="N313" s="213">
        <f>Database!Q313</f>
        <v/>
      </c>
      <c r="O313" s="58">
        <f>IFERROR(INDEX(BDH(TEXT(VALUE(Database!$A313),"0")&amp;" HK Equity","PE_RATIO",Database!$H313,Database!$H313),MATCH(Database!$H313,INDEX(BDH(TEXT(VALUE(Database!$A313),"0")&amp;" HK Equity","PE_RATIO",Database!$H313,Database!$H313),0,1),0),2),"run on terminal")</f>
        <v/>
      </c>
      <c r="P313" s="251">
        <f>IF(Database!BH313="","(n/m or not derivable)",Database!BH313)</f>
        <v/>
      </c>
      <c r="Q313" s="58">
        <f>IF(Database!BN313="","",IFERROR(INDEX(BDH(LEFT(Database!BN313,FIND(".",Database!BN313)-1)&amp;" CH Equity","PE_RATIO",Database!$H313,Database!$H313),MATCH(Database!$H313,INDEX(BDH(LEFT(Database!BN313,FIND(".",Database!BN313)-1)&amp;" CH Equity","PE_RATIO",Database!$H313,Database!$H313),0,1),0),2),"run on terminal"))</f>
        <v/>
      </c>
      <c r="R313" s="58">
        <f>IF(Database!BN313="","",IFERROR(INDEX(BDH("HSAHP Index","PX_LAST",Database!$H313,Database!$H313),MATCH(Database!$H313,INDEX(BDH("HSAHP Index","PX_LAST",Database!$H313,Database!$H313),0,1),0),2),"run on terminal"))</f>
        <v/>
      </c>
      <c r="S313" s="58">
        <f>IFERROR(BDP(TEXT(VALUE(Database!$A313),"0")&amp;" HK Equity","PX_TO_SALES_RATIO"),"")</f>
        <v/>
      </c>
      <c r="T313" s="53">
        <f>IF(Database!BN313="","",IFERROR(BDP(LEFT(Database!BN313,FIND(".",Database!BN313)-1)&amp;" CH Equity","CUR_MKT_CAP")*BDP("CNYHKD Curncy","PX_LAST"),"run on terminal"))</f>
        <v/>
      </c>
    </row>
    <row r="314" ht="23" customHeight="1">
      <c r="A314" s="51">
        <f>Database!A314&amp;"  "&amp;Database!B314</f>
        <v/>
      </c>
      <c r="B314" s="43">
        <f>IFERROR(INDEX(BDS(TEXT(VALUE(Database!$A314),"0")&amp;" HK Equity","EQUITY_OFFERINGS","array=t","endcol=1"),MATCH("IPO",BDS(TEXT(VALUE(Database!$A314),"0")&amp;" HK Equity","EQUITY_OFFERINGS","array=t","startcol=2","endcol=2"),0)),"")</f>
        <v/>
      </c>
      <c r="C314" s="260">
        <f>IF($B314="","",IFERROR(BDP($B314&amp;" Action","CP036"),""))</f>
        <v/>
      </c>
      <c r="D314" s="261">
        <f>Database!S314</f>
        <v/>
      </c>
      <c r="E314" s="260">
        <f>IF($B314="","",IFERROR(BDP($B314&amp;" Action","CP037"),""))</f>
        <v/>
      </c>
      <c r="F314" s="261">
        <f>Database!T314</f>
        <v/>
      </c>
      <c r="G314" s="260">
        <f>IF($B314="","",IFERROR(BDP($B314&amp;" Action","GREENSHOE_FACILITY"),""))</f>
        <v/>
      </c>
      <c r="H314" s="260">
        <f>IF($B314="","",IFERROR(BDP($B314&amp;" Action","OFFERING_GREENSHOE_SHARES_EX"),""))</f>
        <v/>
      </c>
      <c r="I314" s="51">
        <f>Database!AE314</f>
        <v/>
      </c>
      <c r="J314" s="58">
        <f>IFERROR(BDP(TEXT(VALUE(Database!$A314),"0")&amp;" HK Equity","PE_RATIO"),"")</f>
        <v/>
      </c>
      <c r="K314" s="43">
        <f>IFERROR(BDP(TEXT(VALUE(Database!$A314),"0")&amp;" HK Equity","A/H_SHARE_CONVERSION"),"")</f>
        <v/>
      </c>
      <c r="L314" s="51">
        <f>IF(Database!BN314="","(none found)",Database!BN314)</f>
        <v/>
      </c>
      <c r="M314" s="53">
        <f>IFERROR(INDEX(BDH(TEXT(VALUE(Database!$A314),"0")&amp;" HK Equity","CUR_MKT_CAP",Database!$H314,Database!$H314),MATCH(Database!$H314,INDEX(BDH(TEXT(VALUE(Database!$A314),"0")&amp;" HK Equity","CUR_MKT_CAP",Database!$H314,Database!$H314),0,1),0),2),"run on terminal")</f>
        <v/>
      </c>
      <c r="N314" s="213">
        <f>Database!Q314</f>
        <v/>
      </c>
      <c r="O314" s="58">
        <f>IFERROR(INDEX(BDH(TEXT(VALUE(Database!$A314),"0")&amp;" HK Equity","PE_RATIO",Database!$H314,Database!$H314),MATCH(Database!$H314,INDEX(BDH(TEXT(VALUE(Database!$A314),"0")&amp;" HK Equity","PE_RATIO",Database!$H314,Database!$H314),0,1),0),2),"run on terminal")</f>
        <v/>
      </c>
      <c r="P314" s="251">
        <f>IF(Database!BH314="","(n/m or not derivable)",Database!BH314)</f>
        <v/>
      </c>
      <c r="Q314" s="58">
        <f>IF(Database!BN314="","",IFERROR(INDEX(BDH(LEFT(Database!BN314,FIND(".",Database!BN314)-1)&amp;" CH Equity","PE_RATIO",Database!$H314,Database!$H314),MATCH(Database!$H314,INDEX(BDH(LEFT(Database!BN314,FIND(".",Database!BN314)-1)&amp;" CH Equity","PE_RATIO",Database!$H314,Database!$H314),0,1),0),2),"run on terminal"))</f>
        <v/>
      </c>
      <c r="R314" s="58">
        <f>IF(Database!BN314="","",IFERROR(INDEX(BDH("HSAHP Index","PX_LAST",Database!$H314,Database!$H314),MATCH(Database!$H314,INDEX(BDH("HSAHP Index","PX_LAST",Database!$H314,Database!$H314),0,1),0),2),"run on terminal"))</f>
        <v/>
      </c>
      <c r="S314" s="58">
        <f>IFERROR(BDP(TEXT(VALUE(Database!$A314),"0")&amp;" HK Equity","PX_TO_SALES_RATIO"),"")</f>
        <v/>
      </c>
      <c r="T314" s="53">
        <f>IF(Database!BN314="","",IFERROR(BDP(LEFT(Database!BN314,FIND(".",Database!BN314)-1)&amp;" CH Equity","CUR_MKT_CAP")*BDP("CNYHKD Curncy","PX_LAST"),"run on terminal"))</f>
        <v/>
      </c>
    </row>
    <row r="315" ht="23" customHeight="1">
      <c r="A315" s="51">
        <f>Database!A315&amp;"  "&amp;Database!B315</f>
        <v/>
      </c>
      <c r="B315" s="43">
        <f>IFERROR(INDEX(BDS(TEXT(VALUE(Database!$A315),"0")&amp;" HK Equity","EQUITY_OFFERINGS","array=t","endcol=1"),MATCH("IPO",BDS(TEXT(VALUE(Database!$A315),"0")&amp;" HK Equity","EQUITY_OFFERINGS","array=t","startcol=2","endcol=2"),0)),"")</f>
        <v/>
      </c>
      <c r="C315" s="260">
        <f>IF($B315="","",IFERROR(BDP($B315&amp;" Action","CP036"),""))</f>
        <v/>
      </c>
      <c r="D315" s="261">
        <f>Database!S315</f>
        <v/>
      </c>
      <c r="E315" s="260">
        <f>IF($B315="","",IFERROR(BDP($B315&amp;" Action","CP037"),""))</f>
        <v/>
      </c>
      <c r="F315" s="261">
        <f>Database!T315</f>
        <v/>
      </c>
      <c r="G315" s="260">
        <f>IF($B315="","",IFERROR(BDP($B315&amp;" Action","GREENSHOE_FACILITY"),""))</f>
        <v/>
      </c>
      <c r="H315" s="260">
        <f>IF($B315="","",IFERROR(BDP($B315&amp;" Action","OFFERING_GREENSHOE_SHARES_EX"),""))</f>
        <v/>
      </c>
      <c r="I315" s="51">
        <f>Database!AE315</f>
        <v/>
      </c>
      <c r="J315" s="58">
        <f>IFERROR(BDP(TEXT(VALUE(Database!$A315),"0")&amp;" HK Equity","PE_RATIO"),"")</f>
        <v/>
      </c>
      <c r="K315" s="43">
        <f>IFERROR(BDP(TEXT(VALUE(Database!$A315),"0")&amp;" HK Equity","A/H_SHARE_CONVERSION"),"")</f>
        <v/>
      </c>
      <c r="L315" s="51">
        <f>IF(Database!BN315="","(none found)",Database!BN315)</f>
        <v/>
      </c>
      <c r="M315" s="53">
        <f>IFERROR(INDEX(BDH(TEXT(VALUE(Database!$A315),"0")&amp;" HK Equity","CUR_MKT_CAP",Database!$H315,Database!$H315),MATCH(Database!$H315,INDEX(BDH(TEXT(VALUE(Database!$A315),"0")&amp;" HK Equity","CUR_MKT_CAP",Database!$H315,Database!$H315),0,1),0),2),"run on terminal")</f>
        <v/>
      </c>
      <c r="N315" s="213">
        <f>Database!Q315</f>
        <v/>
      </c>
      <c r="O315" s="58">
        <f>IFERROR(INDEX(BDH(TEXT(VALUE(Database!$A315),"0")&amp;" HK Equity","PE_RATIO",Database!$H315,Database!$H315),MATCH(Database!$H315,INDEX(BDH(TEXT(VALUE(Database!$A315),"0")&amp;" HK Equity","PE_RATIO",Database!$H315,Database!$H315),0,1),0),2),"run on terminal")</f>
        <v/>
      </c>
      <c r="P315" s="251">
        <f>IF(Database!BH315="","(n/m or not derivable)",Database!BH315)</f>
        <v/>
      </c>
      <c r="Q315" s="58">
        <f>IF(Database!BN315="","",IFERROR(INDEX(BDH(LEFT(Database!BN315,FIND(".",Database!BN315)-1)&amp;" CH Equity","PE_RATIO",Database!$H315,Database!$H315),MATCH(Database!$H315,INDEX(BDH(LEFT(Database!BN315,FIND(".",Database!BN315)-1)&amp;" CH Equity","PE_RATIO",Database!$H315,Database!$H315),0,1),0),2),"run on terminal"))</f>
        <v/>
      </c>
      <c r="R315" s="58">
        <f>IF(Database!BN315="","",IFERROR(INDEX(BDH("HSAHP Index","PX_LAST",Database!$H315,Database!$H315),MATCH(Database!$H315,INDEX(BDH("HSAHP Index","PX_LAST",Database!$H315,Database!$H315),0,1),0),2),"run on terminal"))</f>
        <v/>
      </c>
      <c r="S315" s="58">
        <f>IFERROR(BDP(TEXT(VALUE(Database!$A315),"0")&amp;" HK Equity","PX_TO_SALES_RATIO"),"")</f>
        <v/>
      </c>
      <c r="T315" s="53">
        <f>IF(Database!BN315="","",IFERROR(BDP(LEFT(Database!BN315,FIND(".",Database!BN315)-1)&amp;" CH Equity","CUR_MKT_CAP")*BDP("CNYHKD Curncy","PX_LAST"),"run on terminal"))</f>
        <v/>
      </c>
    </row>
    <row r="316" ht="23" customHeight="1">
      <c r="A316" s="51">
        <f>Database!A316&amp;"  "&amp;Database!B316</f>
        <v/>
      </c>
      <c r="B316" s="43">
        <f>IFERROR(INDEX(BDS(TEXT(VALUE(Database!$A316),"0")&amp;" HK Equity","EQUITY_OFFERINGS","array=t","endcol=1"),MATCH("IPO",BDS(TEXT(VALUE(Database!$A316),"0")&amp;" HK Equity","EQUITY_OFFERINGS","array=t","startcol=2","endcol=2"),0)),"")</f>
        <v/>
      </c>
      <c r="C316" s="260">
        <f>IF($B316="","",IFERROR(BDP($B316&amp;" Action","CP036"),""))</f>
        <v/>
      </c>
      <c r="D316" s="261">
        <f>Database!S316</f>
        <v/>
      </c>
      <c r="E316" s="260">
        <f>IF($B316="","",IFERROR(BDP($B316&amp;" Action","CP037"),""))</f>
        <v/>
      </c>
      <c r="F316" s="261">
        <f>Database!T316</f>
        <v/>
      </c>
      <c r="G316" s="260">
        <f>IF($B316="","",IFERROR(BDP($B316&amp;" Action","GREENSHOE_FACILITY"),""))</f>
        <v/>
      </c>
      <c r="H316" s="260">
        <f>IF($B316="","",IFERROR(BDP($B316&amp;" Action","OFFERING_GREENSHOE_SHARES_EX"),""))</f>
        <v/>
      </c>
      <c r="I316" s="51">
        <f>Database!AE316</f>
        <v/>
      </c>
      <c r="J316" s="58">
        <f>IFERROR(BDP(TEXT(VALUE(Database!$A316),"0")&amp;" HK Equity","PE_RATIO"),"")</f>
        <v/>
      </c>
      <c r="K316" s="43">
        <f>IFERROR(BDP(TEXT(VALUE(Database!$A316),"0")&amp;" HK Equity","A/H_SHARE_CONVERSION"),"")</f>
        <v/>
      </c>
      <c r="L316" s="51">
        <f>IF(Database!BN316="","(none found)",Database!BN316)</f>
        <v/>
      </c>
      <c r="M316" s="53">
        <f>IFERROR(INDEX(BDH(TEXT(VALUE(Database!$A316),"0")&amp;" HK Equity","CUR_MKT_CAP",Database!$H316,Database!$H316),MATCH(Database!$H316,INDEX(BDH(TEXT(VALUE(Database!$A316),"0")&amp;" HK Equity","CUR_MKT_CAP",Database!$H316,Database!$H316),0,1),0),2),"run on terminal")</f>
        <v/>
      </c>
      <c r="N316" s="213">
        <f>Database!Q316</f>
        <v/>
      </c>
      <c r="O316" s="58">
        <f>IFERROR(INDEX(BDH(TEXT(VALUE(Database!$A316),"0")&amp;" HK Equity","PE_RATIO",Database!$H316,Database!$H316),MATCH(Database!$H316,INDEX(BDH(TEXT(VALUE(Database!$A316),"0")&amp;" HK Equity","PE_RATIO",Database!$H316,Database!$H316),0,1),0),2),"run on terminal")</f>
        <v/>
      </c>
      <c r="P316" s="251">
        <f>IF(Database!BH316="","(n/m or not derivable)",Database!BH316)</f>
        <v/>
      </c>
      <c r="Q316" s="58">
        <f>IF(Database!BN316="","",IFERROR(INDEX(BDH(LEFT(Database!BN316,FIND(".",Database!BN316)-1)&amp;" CH Equity","PE_RATIO",Database!$H316,Database!$H316),MATCH(Database!$H316,INDEX(BDH(LEFT(Database!BN316,FIND(".",Database!BN316)-1)&amp;" CH Equity","PE_RATIO",Database!$H316,Database!$H316),0,1),0),2),"run on terminal"))</f>
        <v/>
      </c>
      <c r="R316" s="58">
        <f>IF(Database!BN316="","",IFERROR(INDEX(BDH("HSAHP Index","PX_LAST",Database!$H316,Database!$H316),MATCH(Database!$H316,INDEX(BDH("HSAHP Index","PX_LAST",Database!$H316,Database!$H316),0,1),0),2),"run on terminal"))</f>
        <v/>
      </c>
      <c r="S316" s="58">
        <f>IFERROR(BDP(TEXT(VALUE(Database!$A316),"0")&amp;" HK Equity","PX_TO_SALES_RATIO"),"")</f>
        <v/>
      </c>
      <c r="T316" s="53">
        <f>IF(Database!BN316="","",IFERROR(BDP(LEFT(Database!BN316,FIND(".",Database!BN316)-1)&amp;" CH Equity","CUR_MKT_CAP")*BDP("CNYHKD Curncy","PX_LAST"),"run on terminal"))</f>
        <v/>
      </c>
    </row>
    <row r="317" ht="23" customHeight="1">
      <c r="A317" s="51">
        <f>Database!A317&amp;"  "&amp;Database!B317</f>
        <v/>
      </c>
      <c r="B317" s="43">
        <f>IFERROR(INDEX(BDS(TEXT(VALUE(Database!$A317),"0")&amp;" HK Equity","EQUITY_OFFERINGS","array=t","endcol=1"),MATCH("IPO",BDS(TEXT(VALUE(Database!$A317),"0")&amp;" HK Equity","EQUITY_OFFERINGS","array=t","startcol=2","endcol=2"),0)),"")</f>
        <v/>
      </c>
      <c r="C317" s="260">
        <f>IF($B317="","",IFERROR(BDP($B317&amp;" Action","CP036"),""))</f>
        <v/>
      </c>
      <c r="D317" s="261">
        <f>Database!S317</f>
        <v/>
      </c>
      <c r="E317" s="260">
        <f>IF($B317="","",IFERROR(BDP($B317&amp;" Action","CP037"),""))</f>
        <v/>
      </c>
      <c r="F317" s="261">
        <f>Database!T317</f>
        <v/>
      </c>
      <c r="G317" s="260">
        <f>IF($B317="","",IFERROR(BDP($B317&amp;" Action","GREENSHOE_FACILITY"),""))</f>
        <v/>
      </c>
      <c r="H317" s="260">
        <f>IF($B317="","",IFERROR(BDP($B317&amp;" Action","OFFERING_GREENSHOE_SHARES_EX"),""))</f>
        <v/>
      </c>
      <c r="I317" s="51">
        <f>Database!AE317</f>
        <v/>
      </c>
      <c r="J317" s="58">
        <f>IFERROR(BDP(TEXT(VALUE(Database!$A317),"0")&amp;" HK Equity","PE_RATIO"),"")</f>
        <v/>
      </c>
      <c r="K317" s="43">
        <f>IFERROR(BDP(TEXT(VALUE(Database!$A317),"0")&amp;" HK Equity","A/H_SHARE_CONVERSION"),"")</f>
        <v/>
      </c>
      <c r="L317" s="51">
        <f>IF(Database!BN317="","(none found)",Database!BN317)</f>
        <v/>
      </c>
      <c r="M317" s="53">
        <f>IFERROR(INDEX(BDH(TEXT(VALUE(Database!$A317),"0")&amp;" HK Equity","CUR_MKT_CAP",Database!$H317,Database!$H317),MATCH(Database!$H317,INDEX(BDH(TEXT(VALUE(Database!$A317),"0")&amp;" HK Equity","CUR_MKT_CAP",Database!$H317,Database!$H317),0,1),0),2),"run on terminal")</f>
        <v/>
      </c>
      <c r="N317" s="213">
        <f>Database!Q317</f>
        <v/>
      </c>
      <c r="O317" s="58">
        <f>IFERROR(INDEX(BDH(TEXT(VALUE(Database!$A317),"0")&amp;" HK Equity","PE_RATIO",Database!$H317,Database!$H317),MATCH(Database!$H317,INDEX(BDH(TEXT(VALUE(Database!$A317),"0")&amp;" HK Equity","PE_RATIO",Database!$H317,Database!$H317),0,1),0),2),"run on terminal")</f>
        <v/>
      </c>
      <c r="P317" s="251">
        <f>IF(Database!BH317="","(n/m or not derivable)",Database!BH317)</f>
        <v/>
      </c>
      <c r="Q317" s="58">
        <f>IF(Database!BN317="","",IFERROR(INDEX(BDH(LEFT(Database!BN317,FIND(".",Database!BN317)-1)&amp;" CH Equity","PE_RATIO",Database!$H317,Database!$H317),MATCH(Database!$H317,INDEX(BDH(LEFT(Database!BN317,FIND(".",Database!BN317)-1)&amp;" CH Equity","PE_RATIO",Database!$H317,Database!$H317),0,1),0),2),"run on terminal"))</f>
        <v/>
      </c>
      <c r="R317" s="58">
        <f>IF(Database!BN317="","",IFERROR(INDEX(BDH("HSAHP Index","PX_LAST",Database!$H317,Database!$H317),MATCH(Database!$H317,INDEX(BDH("HSAHP Index","PX_LAST",Database!$H317,Database!$H317),0,1),0),2),"run on terminal"))</f>
        <v/>
      </c>
      <c r="S317" s="58">
        <f>IFERROR(BDP(TEXT(VALUE(Database!$A317),"0")&amp;" HK Equity","PX_TO_SALES_RATIO"),"")</f>
        <v/>
      </c>
      <c r="T317" s="53">
        <f>IF(Database!BN317="","",IFERROR(BDP(LEFT(Database!BN317,FIND(".",Database!BN317)-1)&amp;" CH Equity","CUR_MKT_CAP")*BDP("CNYHKD Curncy","PX_LAST"),"run on terminal"))</f>
        <v/>
      </c>
    </row>
    <row r="318" ht="23" customHeight="1">
      <c r="A318" s="51">
        <f>Database!A318&amp;"  "&amp;Database!B318</f>
        <v/>
      </c>
      <c r="B318" s="43">
        <f>IFERROR(INDEX(BDS(TEXT(VALUE(Database!$A318),"0")&amp;" HK Equity","EQUITY_OFFERINGS","array=t","endcol=1"),MATCH("IPO",BDS(TEXT(VALUE(Database!$A318),"0")&amp;" HK Equity","EQUITY_OFFERINGS","array=t","startcol=2","endcol=2"),0)),"")</f>
        <v/>
      </c>
      <c r="C318" s="260">
        <f>IF($B318="","",IFERROR(BDP($B318&amp;" Action","CP036"),""))</f>
        <v/>
      </c>
      <c r="D318" s="261">
        <f>Database!S318</f>
        <v/>
      </c>
      <c r="E318" s="260">
        <f>IF($B318="","",IFERROR(BDP($B318&amp;" Action","CP037"),""))</f>
        <v/>
      </c>
      <c r="F318" s="261">
        <f>Database!T318</f>
        <v/>
      </c>
      <c r="G318" s="260">
        <f>IF($B318="","",IFERROR(BDP($B318&amp;" Action","GREENSHOE_FACILITY"),""))</f>
        <v/>
      </c>
      <c r="H318" s="260">
        <f>IF($B318="","",IFERROR(BDP($B318&amp;" Action","OFFERING_GREENSHOE_SHARES_EX"),""))</f>
        <v/>
      </c>
      <c r="I318" s="51">
        <f>Database!AE318</f>
        <v/>
      </c>
      <c r="J318" s="58">
        <f>IFERROR(BDP(TEXT(VALUE(Database!$A318),"0")&amp;" HK Equity","PE_RATIO"),"")</f>
        <v/>
      </c>
      <c r="K318" s="43">
        <f>IFERROR(BDP(TEXT(VALUE(Database!$A318),"0")&amp;" HK Equity","A/H_SHARE_CONVERSION"),"")</f>
        <v/>
      </c>
      <c r="L318" s="51">
        <f>IF(Database!BN318="","(none found)",Database!BN318)</f>
        <v/>
      </c>
      <c r="M318" s="53">
        <f>IFERROR(INDEX(BDH(TEXT(VALUE(Database!$A318),"0")&amp;" HK Equity","CUR_MKT_CAP",Database!$H318,Database!$H318),MATCH(Database!$H318,INDEX(BDH(TEXT(VALUE(Database!$A318),"0")&amp;" HK Equity","CUR_MKT_CAP",Database!$H318,Database!$H318),0,1),0),2),"run on terminal")</f>
        <v/>
      </c>
      <c r="N318" s="213">
        <f>Database!Q318</f>
        <v/>
      </c>
      <c r="O318" s="58">
        <f>IFERROR(INDEX(BDH(TEXT(VALUE(Database!$A318),"0")&amp;" HK Equity","PE_RATIO",Database!$H318,Database!$H318),MATCH(Database!$H318,INDEX(BDH(TEXT(VALUE(Database!$A318),"0")&amp;" HK Equity","PE_RATIO",Database!$H318,Database!$H318),0,1),0),2),"run on terminal")</f>
        <v/>
      </c>
      <c r="P318" s="251">
        <f>IF(Database!BH318="","(n/m or not derivable)",Database!BH318)</f>
        <v/>
      </c>
      <c r="Q318" s="58">
        <f>IF(Database!BN318="","",IFERROR(INDEX(BDH(LEFT(Database!BN318,FIND(".",Database!BN318)-1)&amp;" CH Equity","PE_RATIO",Database!$H318,Database!$H318),MATCH(Database!$H318,INDEX(BDH(LEFT(Database!BN318,FIND(".",Database!BN318)-1)&amp;" CH Equity","PE_RATIO",Database!$H318,Database!$H318),0,1),0),2),"run on terminal"))</f>
        <v/>
      </c>
      <c r="R318" s="58">
        <f>IF(Database!BN318="","",IFERROR(INDEX(BDH("HSAHP Index","PX_LAST",Database!$H318,Database!$H318),MATCH(Database!$H318,INDEX(BDH("HSAHP Index","PX_LAST",Database!$H318,Database!$H318),0,1),0),2),"run on terminal"))</f>
        <v/>
      </c>
      <c r="S318" s="58">
        <f>IFERROR(BDP(TEXT(VALUE(Database!$A318),"0")&amp;" HK Equity","PX_TO_SALES_RATIO"),"")</f>
        <v/>
      </c>
      <c r="T318" s="53">
        <f>IF(Database!BN318="","",IFERROR(BDP(LEFT(Database!BN318,FIND(".",Database!BN318)-1)&amp;" CH Equity","CUR_MKT_CAP")*BDP("CNYHKD Curncy","PX_LAST"),"run on terminal"))</f>
        <v/>
      </c>
    </row>
    <row r="319" ht="23" customHeight="1">
      <c r="A319" s="51">
        <f>Database!A319&amp;"  "&amp;Database!B319</f>
        <v/>
      </c>
      <c r="B319" s="43">
        <f>IFERROR(INDEX(BDS(TEXT(VALUE(Database!$A319),"0")&amp;" HK Equity","EQUITY_OFFERINGS","array=t","endcol=1"),MATCH("IPO",BDS(TEXT(VALUE(Database!$A319),"0")&amp;" HK Equity","EQUITY_OFFERINGS","array=t","startcol=2","endcol=2"),0)),"")</f>
        <v/>
      </c>
      <c r="C319" s="260">
        <f>IF($B319="","",IFERROR(BDP($B319&amp;" Action","CP036"),""))</f>
        <v/>
      </c>
      <c r="D319" s="261">
        <f>Database!S319</f>
        <v/>
      </c>
      <c r="E319" s="260">
        <f>IF($B319="","",IFERROR(BDP($B319&amp;" Action","CP037"),""))</f>
        <v/>
      </c>
      <c r="F319" s="261">
        <f>Database!T319</f>
        <v/>
      </c>
      <c r="G319" s="260">
        <f>IF($B319="","",IFERROR(BDP($B319&amp;" Action","GREENSHOE_FACILITY"),""))</f>
        <v/>
      </c>
      <c r="H319" s="260">
        <f>IF($B319="","",IFERROR(BDP($B319&amp;" Action","OFFERING_GREENSHOE_SHARES_EX"),""))</f>
        <v/>
      </c>
      <c r="I319" s="51">
        <f>Database!AE319</f>
        <v/>
      </c>
      <c r="J319" s="58">
        <f>IFERROR(BDP(TEXT(VALUE(Database!$A319),"0")&amp;" HK Equity","PE_RATIO"),"")</f>
        <v/>
      </c>
      <c r="K319" s="43">
        <f>IFERROR(BDP(TEXT(VALUE(Database!$A319),"0")&amp;" HK Equity","A/H_SHARE_CONVERSION"),"")</f>
        <v/>
      </c>
      <c r="L319" s="51">
        <f>IF(Database!BN319="","(none found)",Database!BN319)</f>
        <v/>
      </c>
      <c r="M319" s="53">
        <f>IFERROR(INDEX(BDH(TEXT(VALUE(Database!$A319),"0")&amp;" HK Equity","CUR_MKT_CAP",Database!$H319,Database!$H319),MATCH(Database!$H319,INDEX(BDH(TEXT(VALUE(Database!$A319),"0")&amp;" HK Equity","CUR_MKT_CAP",Database!$H319,Database!$H319),0,1),0),2),"run on terminal")</f>
        <v/>
      </c>
      <c r="N319" s="213">
        <f>Database!Q319</f>
        <v/>
      </c>
      <c r="O319" s="58">
        <f>IFERROR(INDEX(BDH(TEXT(VALUE(Database!$A319),"0")&amp;" HK Equity","PE_RATIO",Database!$H319,Database!$H319),MATCH(Database!$H319,INDEX(BDH(TEXT(VALUE(Database!$A319),"0")&amp;" HK Equity","PE_RATIO",Database!$H319,Database!$H319),0,1),0),2),"run on terminal")</f>
        <v/>
      </c>
      <c r="P319" s="251">
        <f>IF(Database!BH319="","(n/m or not derivable)",Database!BH319)</f>
        <v/>
      </c>
      <c r="Q319" s="58">
        <f>IF(Database!BN319="","",IFERROR(INDEX(BDH(LEFT(Database!BN319,FIND(".",Database!BN319)-1)&amp;" CH Equity","PE_RATIO",Database!$H319,Database!$H319),MATCH(Database!$H319,INDEX(BDH(LEFT(Database!BN319,FIND(".",Database!BN319)-1)&amp;" CH Equity","PE_RATIO",Database!$H319,Database!$H319),0,1),0),2),"run on terminal"))</f>
        <v/>
      </c>
      <c r="R319" s="58">
        <f>IF(Database!BN319="","",IFERROR(INDEX(BDH("HSAHP Index","PX_LAST",Database!$H319,Database!$H319),MATCH(Database!$H319,INDEX(BDH("HSAHP Index","PX_LAST",Database!$H319,Database!$H319),0,1),0),2),"run on terminal"))</f>
        <v/>
      </c>
      <c r="S319" s="58">
        <f>IFERROR(BDP(TEXT(VALUE(Database!$A319),"0")&amp;" HK Equity","PX_TO_SALES_RATIO"),"")</f>
        <v/>
      </c>
      <c r="T319" s="53">
        <f>IF(Database!BN319="","",IFERROR(BDP(LEFT(Database!BN319,FIND(".",Database!BN319)-1)&amp;" CH Equity","CUR_MKT_CAP")*BDP("CNYHKD Curncy","PX_LAST"),"run on terminal"))</f>
        <v/>
      </c>
    </row>
    <row r="320" ht="23" customHeight="1">
      <c r="A320" s="51">
        <f>Database!A320&amp;"  "&amp;Database!B320</f>
        <v/>
      </c>
      <c r="B320" s="43">
        <f>IFERROR(INDEX(BDS(TEXT(VALUE(Database!$A320),"0")&amp;" HK Equity","EQUITY_OFFERINGS","array=t","endcol=1"),MATCH("IPO",BDS(TEXT(VALUE(Database!$A320),"0")&amp;" HK Equity","EQUITY_OFFERINGS","array=t","startcol=2","endcol=2"),0)),"")</f>
        <v/>
      </c>
      <c r="C320" s="260">
        <f>IF($B320="","",IFERROR(BDP($B320&amp;" Action","CP036"),""))</f>
        <v/>
      </c>
      <c r="D320" s="261">
        <f>Database!S320</f>
        <v/>
      </c>
      <c r="E320" s="260">
        <f>IF($B320="","",IFERROR(BDP($B320&amp;" Action","CP037"),""))</f>
        <v/>
      </c>
      <c r="F320" s="261">
        <f>Database!T320</f>
        <v/>
      </c>
      <c r="G320" s="260">
        <f>IF($B320="","",IFERROR(BDP($B320&amp;" Action","GREENSHOE_FACILITY"),""))</f>
        <v/>
      </c>
      <c r="H320" s="260">
        <f>IF($B320="","",IFERROR(BDP($B320&amp;" Action","OFFERING_GREENSHOE_SHARES_EX"),""))</f>
        <v/>
      </c>
      <c r="I320" s="51">
        <f>Database!AE320</f>
        <v/>
      </c>
      <c r="J320" s="58">
        <f>IFERROR(BDP(TEXT(VALUE(Database!$A320),"0")&amp;" HK Equity","PE_RATIO"),"")</f>
        <v/>
      </c>
      <c r="K320" s="43">
        <f>IFERROR(BDP(TEXT(VALUE(Database!$A320),"0")&amp;" HK Equity","A/H_SHARE_CONVERSION"),"")</f>
        <v/>
      </c>
      <c r="L320" s="51">
        <f>IF(Database!BN320="","(none found)",Database!BN320)</f>
        <v/>
      </c>
      <c r="M320" s="53">
        <f>IFERROR(INDEX(BDH(TEXT(VALUE(Database!$A320),"0")&amp;" HK Equity","CUR_MKT_CAP",Database!$H320,Database!$H320),MATCH(Database!$H320,INDEX(BDH(TEXT(VALUE(Database!$A320),"0")&amp;" HK Equity","CUR_MKT_CAP",Database!$H320,Database!$H320),0,1),0),2),"run on terminal")</f>
        <v/>
      </c>
      <c r="N320" s="213">
        <f>Database!Q320</f>
        <v/>
      </c>
      <c r="O320" s="58">
        <f>IFERROR(INDEX(BDH(TEXT(VALUE(Database!$A320),"0")&amp;" HK Equity","PE_RATIO",Database!$H320,Database!$H320),MATCH(Database!$H320,INDEX(BDH(TEXT(VALUE(Database!$A320),"0")&amp;" HK Equity","PE_RATIO",Database!$H320,Database!$H320),0,1),0),2),"run on terminal")</f>
        <v/>
      </c>
      <c r="P320" s="251">
        <f>IF(Database!BH320="","(n/m or not derivable)",Database!BH320)</f>
        <v/>
      </c>
      <c r="Q320" s="58">
        <f>IF(Database!BN320="","",IFERROR(INDEX(BDH(LEFT(Database!BN320,FIND(".",Database!BN320)-1)&amp;" CH Equity","PE_RATIO",Database!$H320,Database!$H320),MATCH(Database!$H320,INDEX(BDH(LEFT(Database!BN320,FIND(".",Database!BN320)-1)&amp;" CH Equity","PE_RATIO",Database!$H320,Database!$H320),0,1),0),2),"run on terminal"))</f>
        <v/>
      </c>
      <c r="R320" s="58">
        <f>IF(Database!BN320="","",IFERROR(INDEX(BDH("HSAHP Index","PX_LAST",Database!$H320,Database!$H320),MATCH(Database!$H320,INDEX(BDH("HSAHP Index","PX_LAST",Database!$H320,Database!$H320),0,1),0),2),"run on terminal"))</f>
        <v/>
      </c>
      <c r="S320" s="58">
        <f>IFERROR(BDP(TEXT(VALUE(Database!$A320),"0")&amp;" HK Equity","PX_TO_SALES_RATIO"),"")</f>
        <v/>
      </c>
      <c r="T320" s="53">
        <f>IF(Database!BN320="","",IFERROR(BDP(LEFT(Database!BN320,FIND(".",Database!BN320)-1)&amp;" CH Equity","CUR_MKT_CAP")*BDP("CNYHKD Curncy","PX_LAST"),"run on terminal"))</f>
        <v/>
      </c>
    </row>
    <row r="321" ht="23" customHeight="1">
      <c r="A321" s="51">
        <f>Database!A321&amp;"  "&amp;Database!B321</f>
        <v/>
      </c>
      <c r="B321" s="43">
        <f>IFERROR(INDEX(BDS(TEXT(VALUE(Database!$A321),"0")&amp;" HK Equity","EQUITY_OFFERINGS","array=t","endcol=1"),MATCH("IPO",BDS(TEXT(VALUE(Database!$A321),"0")&amp;" HK Equity","EQUITY_OFFERINGS","array=t","startcol=2","endcol=2"),0)),"")</f>
        <v/>
      </c>
      <c r="C321" s="260">
        <f>IF($B321="","",IFERROR(BDP($B321&amp;" Action","CP036"),""))</f>
        <v/>
      </c>
      <c r="D321" s="261">
        <f>Database!S321</f>
        <v/>
      </c>
      <c r="E321" s="260">
        <f>IF($B321="","",IFERROR(BDP($B321&amp;" Action","CP037"),""))</f>
        <v/>
      </c>
      <c r="F321" s="261">
        <f>Database!T321</f>
        <v/>
      </c>
      <c r="G321" s="260">
        <f>IF($B321="","",IFERROR(BDP($B321&amp;" Action","GREENSHOE_FACILITY"),""))</f>
        <v/>
      </c>
      <c r="H321" s="260">
        <f>IF($B321="","",IFERROR(BDP($B321&amp;" Action","OFFERING_GREENSHOE_SHARES_EX"),""))</f>
        <v/>
      </c>
      <c r="I321" s="51">
        <f>Database!AE321</f>
        <v/>
      </c>
      <c r="J321" s="58">
        <f>IFERROR(BDP(TEXT(VALUE(Database!$A321),"0")&amp;" HK Equity","PE_RATIO"),"")</f>
        <v/>
      </c>
      <c r="K321" s="43">
        <f>IFERROR(BDP(TEXT(VALUE(Database!$A321),"0")&amp;" HK Equity","A/H_SHARE_CONVERSION"),"")</f>
        <v/>
      </c>
      <c r="L321" s="51">
        <f>IF(Database!BN321="","(none found)",Database!BN321)</f>
        <v/>
      </c>
      <c r="M321" s="53">
        <f>IFERROR(INDEX(BDH(TEXT(VALUE(Database!$A321),"0")&amp;" HK Equity","CUR_MKT_CAP",Database!$H321,Database!$H321),MATCH(Database!$H321,INDEX(BDH(TEXT(VALUE(Database!$A321),"0")&amp;" HK Equity","CUR_MKT_CAP",Database!$H321,Database!$H321),0,1),0),2),"run on terminal")</f>
        <v/>
      </c>
      <c r="N321" s="213">
        <f>Database!Q321</f>
        <v/>
      </c>
      <c r="O321" s="58">
        <f>IFERROR(INDEX(BDH(TEXT(VALUE(Database!$A321),"0")&amp;" HK Equity","PE_RATIO",Database!$H321,Database!$H321),MATCH(Database!$H321,INDEX(BDH(TEXT(VALUE(Database!$A321),"0")&amp;" HK Equity","PE_RATIO",Database!$H321,Database!$H321),0,1),0),2),"run on terminal")</f>
        <v/>
      </c>
      <c r="P321" s="251">
        <f>IF(Database!BH321="","(n/m or not derivable)",Database!BH321)</f>
        <v/>
      </c>
      <c r="Q321" s="58">
        <f>IF(Database!BN321="","",IFERROR(INDEX(BDH(LEFT(Database!BN321,FIND(".",Database!BN321)-1)&amp;" CH Equity","PE_RATIO",Database!$H321,Database!$H321),MATCH(Database!$H321,INDEX(BDH(LEFT(Database!BN321,FIND(".",Database!BN321)-1)&amp;" CH Equity","PE_RATIO",Database!$H321,Database!$H321),0,1),0),2),"run on terminal"))</f>
        <v/>
      </c>
      <c r="R321" s="58">
        <f>IF(Database!BN321="","",IFERROR(INDEX(BDH("HSAHP Index","PX_LAST",Database!$H321,Database!$H321),MATCH(Database!$H321,INDEX(BDH("HSAHP Index","PX_LAST",Database!$H321,Database!$H321),0,1),0),2),"run on terminal"))</f>
        <v/>
      </c>
      <c r="S321" s="58">
        <f>IFERROR(BDP(TEXT(VALUE(Database!$A321),"0")&amp;" HK Equity","PX_TO_SALES_RATIO"),"")</f>
        <v/>
      </c>
      <c r="T321" s="53">
        <f>IF(Database!BN321="","",IFERROR(BDP(LEFT(Database!BN321,FIND(".",Database!BN321)-1)&amp;" CH Equity","CUR_MKT_CAP")*BDP("CNYHKD Curncy","PX_LAST"),"run on terminal"))</f>
        <v/>
      </c>
    </row>
    <row r="322" ht="23" customHeight="1">
      <c r="A322" s="51">
        <f>Database!A322&amp;"  "&amp;Database!B322</f>
        <v/>
      </c>
      <c r="B322" s="43">
        <f>IFERROR(INDEX(BDS(TEXT(VALUE(Database!$A322),"0")&amp;" HK Equity","EQUITY_OFFERINGS","array=t","endcol=1"),MATCH("IPO",BDS(TEXT(VALUE(Database!$A322),"0")&amp;" HK Equity","EQUITY_OFFERINGS","array=t","startcol=2","endcol=2"),0)),"")</f>
        <v/>
      </c>
      <c r="C322" s="260">
        <f>IF($B322="","",IFERROR(BDP($B322&amp;" Action","CP036"),""))</f>
        <v/>
      </c>
      <c r="D322" s="261">
        <f>Database!S322</f>
        <v/>
      </c>
      <c r="E322" s="260">
        <f>IF($B322="","",IFERROR(BDP($B322&amp;" Action","CP037"),""))</f>
        <v/>
      </c>
      <c r="F322" s="261">
        <f>Database!T322</f>
        <v/>
      </c>
      <c r="G322" s="260">
        <f>IF($B322="","",IFERROR(BDP($B322&amp;" Action","GREENSHOE_FACILITY"),""))</f>
        <v/>
      </c>
      <c r="H322" s="260">
        <f>IF($B322="","",IFERROR(BDP($B322&amp;" Action","OFFERING_GREENSHOE_SHARES_EX"),""))</f>
        <v/>
      </c>
      <c r="I322" s="51">
        <f>Database!AE322</f>
        <v/>
      </c>
      <c r="J322" s="58">
        <f>IFERROR(BDP(TEXT(VALUE(Database!$A322),"0")&amp;" HK Equity","PE_RATIO"),"")</f>
        <v/>
      </c>
      <c r="K322" s="43">
        <f>IFERROR(BDP(TEXT(VALUE(Database!$A322),"0")&amp;" HK Equity","A/H_SHARE_CONVERSION"),"")</f>
        <v/>
      </c>
      <c r="L322" s="51">
        <f>IF(Database!BN322="","(none found)",Database!BN322)</f>
        <v/>
      </c>
      <c r="M322" s="53">
        <f>IFERROR(INDEX(BDH(TEXT(VALUE(Database!$A322),"0")&amp;" HK Equity","CUR_MKT_CAP",Database!$H322,Database!$H322),MATCH(Database!$H322,INDEX(BDH(TEXT(VALUE(Database!$A322),"0")&amp;" HK Equity","CUR_MKT_CAP",Database!$H322,Database!$H322),0,1),0),2),"run on terminal")</f>
        <v/>
      </c>
      <c r="N322" s="213">
        <f>Database!Q322</f>
        <v/>
      </c>
      <c r="O322" s="58">
        <f>IFERROR(INDEX(BDH(TEXT(VALUE(Database!$A322),"0")&amp;" HK Equity","PE_RATIO",Database!$H322,Database!$H322),MATCH(Database!$H322,INDEX(BDH(TEXT(VALUE(Database!$A322),"0")&amp;" HK Equity","PE_RATIO",Database!$H322,Database!$H322),0,1),0),2),"run on terminal")</f>
        <v/>
      </c>
      <c r="P322" s="251">
        <f>IF(Database!BH322="","(n/m or not derivable)",Database!BH322)</f>
        <v/>
      </c>
      <c r="Q322" s="58">
        <f>IF(Database!BN322="","",IFERROR(INDEX(BDH(LEFT(Database!BN322,FIND(".",Database!BN322)-1)&amp;" CH Equity","PE_RATIO",Database!$H322,Database!$H322),MATCH(Database!$H322,INDEX(BDH(LEFT(Database!BN322,FIND(".",Database!BN322)-1)&amp;" CH Equity","PE_RATIO",Database!$H322,Database!$H322),0,1),0),2),"run on terminal"))</f>
        <v/>
      </c>
      <c r="R322" s="58">
        <f>IF(Database!BN322="","",IFERROR(INDEX(BDH("HSAHP Index","PX_LAST",Database!$H322,Database!$H322),MATCH(Database!$H322,INDEX(BDH("HSAHP Index","PX_LAST",Database!$H322,Database!$H322),0,1),0),2),"run on terminal"))</f>
        <v/>
      </c>
      <c r="S322" s="58">
        <f>IFERROR(BDP(TEXT(VALUE(Database!$A322),"0")&amp;" HK Equity","PX_TO_SALES_RATIO"),"")</f>
        <v/>
      </c>
      <c r="T322" s="53">
        <f>IF(Database!BN322="","",IFERROR(BDP(LEFT(Database!BN322,FIND(".",Database!BN322)-1)&amp;" CH Equity","CUR_MKT_CAP")*BDP("CNYHKD Curncy","PX_LAST"),"run on terminal"))</f>
        <v/>
      </c>
    </row>
    <row r="323" ht="23" customHeight="1">
      <c r="A323" s="51">
        <f>Database!A323&amp;"  "&amp;Database!B323</f>
        <v/>
      </c>
      <c r="B323" s="43">
        <f>IFERROR(INDEX(BDS(TEXT(VALUE(Database!$A323),"0")&amp;" HK Equity","EQUITY_OFFERINGS","array=t","endcol=1"),MATCH("IPO",BDS(TEXT(VALUE(Database!$A323),"0")&amp;" HK Equity","EQUITY_OFFERINGS","array=t","startcol=2","endcol=2"),0)),"")</f>
        <v/>
      </c>
      <c r="C323" s="260">
        <f>IF($B323="","",IFERROR(BDP($B323&amp;" Action","CP036"),""))</f>
        <v/>
      </c>
      <c r="D323" s="261">
        <f>Database!S323</f>
        <v/>
      </c>
      <c r="E323" s="260">
        <f>IF($B323="","",IFERROR(BDP($B323&amp;" Action","CP037"),""))</f>
        <v/>
      </c>
      <c r="F323" s="261">
        <f>Database!T323</f>
        <v/>
      </c>
      <c r="G323" s="260">
        <f>IF($B323="","",IFERROR(BDP($B323&amp;" Action","GREENSHOE_FACILITY"),""))</f>
        <v/>
      </c>
      <c r="H323" s="260">
        <f>IF($B323="","",IFERROR(BDP($B323&amp;" Action","OFFERING_GREENSHOE_SHARES_EX"),""))</f>
        <v/>
      </c>
      <c r="I323" s="51">
        <f>Database!AE323</f>
        <v/>
      </c>
      <c r="J323" s="58">
        <f>IFERROR(BDP(TEXT(VALUE(Database!$A323),"0")&amp;" HK Equity","PE_RATIO"),"")</f>
        <v/>
      </c>
      <c r="K323" s="43">
        <f>IFERROR(BDP(TEXT(VALUE(Database!$A323),"0")&amp;" HK Equity","A/H_SHARE_CONVERSION"),"")</f>
        <v/>
      </c>
      <c r="L323" s="51">
        <f>IF(Database!BN323="","(none found)",Database!BN323)</f>
        <v/>
      </c>
      <c r="M323" s="53">
        <f>IFERROR(INDEX(BDH(TEXT(VALUE(Database!$A323),"0")&amp;" HK Equity","CUR_MKT_CAP",Database!$H323,Database!$H323),MATCH(Database!$H323,INDEX(BDH(TEXT(VALUE(Database!$A323),"0")&amp;" HK Equity","CUR_MKT_CAP",Database!$H323,Database!$H323),0,1),0),2),"run on terminal")</f>
        <v/>
      </c>
      <c r="N323" s="213">
        <f>Database!Q323</f>
        <v/>
      </c>
      <c r="O323" s="58">
        <f>IFERROR(INDEX(BDH(TEXT(VALUE(Database!$A323),"0")&amp;" HK Equity","PE_RATIO",Database!$H323,Database!$H323),MATCH(Database!$H323,INDEX(BDH(TEXT(VALUE(Database!$A323),"0")&amp;" HK Equity","PE_RATIO",Database!$H323,Database!$H323),0,1),0),2),"run on terminal")</f>
        <v/>
      </c>
      <c r="P323" s="251">
        <f>IF(Database!BH323="","(n/m or not derivable)",Database!BH323)</f>
        <v/>
      </c>
      <c r="Q323" s="58">
        <f>IF(Database!BN323="","",IFERROR(INDEX(BDH(LEFT(Database!BN323,FIND(".",Database!BN323)-1)&amp;" CH Equity","PE_RATIO",Database!$H323,Database!$H323),MATCH(Database!$H323,INDEX(BDH(LEFT(Database!BN323,FIND(".",Database!BN323)-1)&amp;" CH Equity","PE_RATIO",Database!$H323,Database!$H323),0,1),0),2),"run on terminal"))</f>
        <v/>
      </c>
      <c r="R323" s="58">
        <f>IF(Database!BN323="","",IFERROR(INDEX(BDH("HSAHP Index","PX_LAST",Database!$H323,Database!$H323),MATCH(Database!$H323,INDEX(BDH("HSAHP Index","PX_LAST",Database!$H323,Database!$H323),0,1),0),2),"run on terminal"))</f>
        <v/>
      </c>
      <c r="S323" s="58">
        <f>IFERROR(BDP(TEXT(VALUE(Database!$A323),"0")&amp;" HK Equity","PX_TO_SALES_RATIO"),"")</f>
        <v/>
      </c>
      <c r="T323" s="53">
        <f>IF(Database!BN323="","",IFERROR(BDP(LEFT(Database!BN323,FIND(".",Database!BN323)-1)&amp;" CH Equity","CUR_MKT_CAP")*BDP("CNYHKD Curncy","PX_LAST"),"run on terminal"))</f>
        <v/>
      </c>
    </row>
    <row r="324" ht="23" customHeight="1">
      <c r="A324" s="51">
        <f>Database!A324&amp;"  "&amp;Database!B324</f>
        <v/>
      </c>
      <c r="B324" s="43">
        <f>IFERROR(INDEX(BDS(TEXT(VALUE(Database!$A324),"0")&amp;" HK Equity","EQUITY_OFFERINGS","array=t","endcol=1"),MATCH("IPO",BDS(TEXT(VALUE(Database!$A324),"0")&amp;" HK Equity","EQUITY_OFFERINGS","array=t","startcol=2","endcol=2"),0)),"")</f>
        <v/>
      </c>
      <c r="C324" s="260">
        <f>IF($B324="","",IFERROR(BDP($B324&amp;" Action","CP036"),""))</f>
        <v/>
      </c>
      <c r="D324" s="261">
        <f>Database!S324</f>
        <v/>
      </c>
      <c r="E324" s="260">
        <f>IF($B324="","",IFERROR(BDP($B324&amp;" Action","CP037"),""))</f>
        <v/>
      </c>
      <c r="F324" s="261">
        <f>Database!T324</f>
        <v/>
      </c>
      <c r="G324" s="260">
        <f>IF($B324="","",IFERROR(BDP($B324&amp;" Action","GREENSHOE_FACILITY"),""))</f>
        <v/>
      </c>
      <c r="H324" s="260">
        <f>IF($B324="","",IFERROR(BDP($B324&amp;" Action","OFFERING_GREENSHOE_SHARES_EX"),""))</f>
        <v/>
      </c>
      <c r="I324" s="51">
        <f>Database!AE324</f>
        <v/>
      </c>
      <c r="J324" s="58">
        <f>IFERROR(BDP(TEXT(VALUE(Database!$A324),"0")&amp;" HK Equity","PE_RATIO"),"")</f>
        <v/>
      </c>
      <c r="K324" s="43">
        <f>IFERROR(BDP(TEXT(VALUE(Database!$A324),"0")&amp;" HK Equity","A/H_SHARE_CONVERSION"),"")</f>
        <v/>
      </c>
      <c r="L324" s="51">
        <f>IF(Database!BN324="","(none found)",Database!BN324)</f>
        <v/>
      </c>
      <c r="M324" s="53">
        <f>IFERROR(INDEX(BDH(TEXT(VALUE(Database!$A324),"0")&amp;" HK Equity","CUR_MKT_CAP",Database!$H324,Database!$H324),MATCH(Database!$H324,INDEX(BDH(TEXT(VALUE(Database!$A324),"0")&amp;" HK Equity","CUR_MKT_CAP",Database!$H324,Database!$H324),0,1),0),2),"run on terminal")</f>
        <v/>
      </c>
      <c r="N324" s="213">
        <f>Database!Q324</f>
        <v/>
      </c>
      <c r="O324" s="58">
        <f>IFERROR(INDEX(BDH(TEXT(VALUE(Database!$A324),"0")&amp;" HK Equity","PE_RATIO",Database!$H324,Database!$H324),MATCH(Database!$H324,INDEX(BDH(TEXT(VALUE(Database!$A324),"0")&amp;" HK Equity","PE_RATIO",Database!$H324,Database!$H324),0,1),0),2),"run on terminal")</f>
        <v/>
      </c>
      <c r="P324" s="251">
        <f>IF(Database!BH324="","(n/m or not derivable)",Database!BH324)</f>
        <v/>
      </c>
      <c r="Q324" s="58">
        <f>IF(Database!BN324="","",IFERROR(INDEX(BDH(LEFT(Database!BN324,FIND(".",Database!BN324)-1)&amp;" CH Equity","PE_RATIO",Database!$H324,Database!$H324),MATCH(Database!$H324,INDEX(BDH(LEFT(Database!BN324,FIND(".",Database!BN324)-1)&amp;" CH Equity","PE_RATIO",Database!$H324,Database!$H324),0,1),0),2),"run on terminal"))</f>
        <v/>
      </c>
      <c r="R324" s="58">
        <f>IF(Database!BN324="","",IFERROR(INDEX(BDH("HSAHP Index","PX_LAST",Database!$H324,Database!$H324),MATCH(Database!$H324,INDEX(BDH("HSAHP Index","PX_LAST",Database!$H324,Database!$H324),0,1),0),2),"run on terminal"))</f>
        <v/>
      </c>
      <c r="S324" s="58">
        <f>IFERROR(BDP(TEXT(VALUE(Database!$A324),"0")&amp;" HK Equity","PX_TO_SALES_RATIO"),"")</f>
        <v/>
      </c>
      <c r="T324" s="53">
        <f>IF(Database!BN324="","",IFERROR(BDP(LEFT(Database!BN324,FIND(".",Database!BN324)-1)&amp;" CH Equity","CUR_MKT_CAP")*BDP("CNYHKD Curncy","PX_LAST"),"run on terminal"))</f>
        <v/>
      </c>
    </row>
    <row r="325" ht="23" customHeight="1">
      <c r="A325" s="51">
        <f>Database!A325&amp;"  "&amp;Database!B325</f>
        <v/>
      </c>
      <c r="B325" s="43">
        <f>IFERROR(INDEX(BDS(TEXT(VALUE(Database!$A325),"0")&amp;" HK Equity","EQUITY_OFFERINGS","array=t","endcol=1"),MATCH("IPO",BDS(TEXT(VALUE(Database!$A325),"0")&amp;" HK Equity","EQUITY_OFFERINGS","array=t","startcol=2","endcol=2"),0)),"")</f>
        <v/>
      </c>
      <c r="C325" s="260">
        <f>IF($B325="","",IFERROR(BDP($B325&amp;" Action","CP036"),""))</f>
        <v/>
      </c>
      <c r="D325" s="261">
        <f>Database!S325</f>
        <v/>
      </c>
      <c r="E325" s="260">
        <f>IF($B325="","",IFERROR(BDP($B325&amp;" Action","CP037"),""))</f>
        <v/>
      </c>
      <c r="F325" s="261">
        <f>Database!T325</f>
        <v/>
      </c>
      <c r="G325" s="260">
        <f>IF($B325="","",IFERROR(BDP($B325&amp;" Action","GREENSHOE_FACILITY"),""))</f>
        <v/>
      </c>
      <c r="H325" s="260">
        <f>IF($B325="","",IFERROR(BDP($B325&amp;" Action","OFFERING_GREENSHOE_SHARES_EX"),""))</f>
        <v/>
      </c>
      <c r="I325" s="51">
        <f>Database!AE325</f>
        <v/>
      </c>
      <c r="J325" s="58">
        <f>IFERROR(BDP(TEXT(VALUE(Database!$A325),"0")&amp;" HK Equity","PE_RATIO"),"")</f>
        <v/>
      </c>
      <c r="K325" s="43">
        <f>IFERROR(BDP(TEXT(VALUE(Database!$A325),"0")&amp;" HK Equity","A/H_SHARE_CONVERSION"),"")</f>
        <v/>
      </c>
      <c r="L325" s="51">
        <f>IF(Database!BN325="","(none found)",Database!BN325)</f>
        <v/>
      </c>
      <c r="M325" s="53">
        <f>IFERROR(INDEX(BDH(TEXT(VALUE(Database!$A325),"0")&amp;" HK Equity","CUR_MKT_CAP",Database!$H325,Database!$H325),MATCH(Database!$H325,INDEX(BDH(TEXT(VALUE(Database!$A325),"0")&amp;" HK Equity","CUR_MKT_CAP",Database!$H325,Database!$H325),0,1),0),2),"run on terminal")</f>
        <v/>
      </c>
      <c r="N325" s="213">
        <f>Database!Q325</f>
        <v/>
      </c>
      <c r="O325" s="58">
        <f>IFERROR(INDEX(BDH(TEXT(VALUE(Database!$A325),"0")&amp;" HK Equity","PE_RATIO",Database!$H325,Database!$H325),MATCH(Database!$H325,INDEX(BDH(TEXT(VALUE(Database!$A325),"0")&amp;" HK Equity","PE_RATIO",Database!$H325,Database!$H325),0,1),0),2),"run on terminal")</f>
        <v/>
      </c>
      <c r="P325" s="251">
        <f>IF(Database!BH325="","(n/m or not derivable)",Database!BH325)</f>
        <v/>
      </c>
      <c r="Q325" s="58">
        <f>IF(Database!BN325="","",IFERROR(INDEX(BDH(LEFT(Database!BN325,FIND(".",Database!BN325)-1)&amp;" CH Equity","PE_RATIO",Database!$H325,Database!$H325),MATCH(Database!$H325,INDEX(BDH(LEFT(Database!BN325,FIND(".",Database!BN325)-1)&amp;" CH Equity","PE_RATIO",Database!$H325,Database!$H325),0,1),0),2),"run on terminal"))</f>
        <v/>
      </c>
      <c r="R325" s="58">
        <f>IF(Database!BN325="","",IFERROR(INDEX(BDH("HSAHP Index","PX_LAST",Database!$H325,Database!$H325),MATCH(Database!$H325,INDEX(BDH("HSAHP Index","PX_LAST",Database!$H325,Database!$H325),0,1),0),2),"run on terminal"))</f>
        <v/>
      </c>
      <c r="S325" s="58">
        <f>IFERROR(BDP(TEXT(VALUE(Database!$A325),"0")&amp;" HK Equity","PX_TO_SALES_RATIO"),"")</f>
        <v/>
      </c>
      <c r="T325" s="53">
        <f>IF(Database!BN325="","",IFERROR(BDP(LEFT(Database!BN325,FIND(".",Database!BN325)-1)&amp;" CH Equity","CUR_MKT_CAP")*BDP("CNYHKD Curncy","PX_LAST"),"run on terminal"))</f>
        <v/>
      </c>
    </row>
    <row r="326" ht="23" customHeight="1">
      <c r="A326" s="51">
        <f>Database!A326&amp;"  "&amp;Database!B326</f>
        <v/>
      </c>
      <c r="B326" s="43">
        <f>IFERROR(INDEX(BDS(TEXT(VALUE(Database!$A326),"0")&amp;" HK Equity","EQUITY_OFFERINGS","array=t","endcol=1"),MATCH("IPO",BDS(TEXT(VALUE(Database!$A326),"0")&amp;" HK Equity","EQUITY_OFFERINGS","array=t","startcol=2","endcol=2"),0)),"")</f>
        <v/>
      </c>
      <c r="C326" s="260">
        <f>IF($B326="","",IFERROR(BDP($B326&amp;" Action","CP036"),""))</f>
        <v/>
      </c>
      <c r="D326" s="261">
        <f>Database!S326</f>
        <v/>
      </c>
      <c r="E326" s="260">
        <f>IF($B326="","",IFERROR(BDP($B326&amp;" Action","CP037"),""))</f>
        <v/>
      </c>
      <c r="F326" s="261">
        <f>Database!T326</f>
        <v/>
      </c>
      <c r="G326" s="260">
        <f>IF($B326="","",IFERROR(BDP($B326&amp;" Action","GREENSHOE_FACILITY"),""))</f>
        <v/>
      </c>
      <c r="H326" s="260">
        <f>IF($B326="","",IFERROR(BDP($B326&amp;" Action","OFFERING_GREENSHOE_SHARES_EX"),""))</f>
        <v/>
      </c>
      <c r="I326" s="51">
        <f>Database!AE326</f>
        <v/>
      </c>
      <c r="J326" s="58">
        <f>IFERROR(BDP(TEXT(VALUE(Database!$A326),"0")&amp;" HK Equity","PE_RATIO"),"")</f>
        <v/>
      </c>
      <c r="K326" s="43">
        <f>IFERROR(BDP(TEXT(VALUE(Database!$A326),"0")&amp;" HK Equity","A/H_SHARE_CONVERSION"),"")</f>
        <v/>
      </c>
      <c r="L326" s="51">
        <f>IF(Database!BN326="","(none found)",Database!BN326)</f>
        <v/>
      </c>
      <c r="M326" s="53">
        <f>IFERROR(INDEX(BDH(TEXT(VALUE(Database!$A326),"0")&amp;" HK Equity","CUR_MKT_CAP",Database!$H326,Database!$H326),MATCH(Database!$H326,INDEX(BDH(TEXT(VALUE(Database!$A326),"0")&amp;" HK Equity","CUR_MKT_CAP",Database!$H326,Database!$H326),0,1),0),2),"run on terminal")</f>
        <v/>
      </c>
      <c r="N326" s="213">
        <f>Database!Q326</f>
        <v/>
      </c>
      <c r="O326" s="58">
        <f>IFERROR(INDEX(BDH(TEXT(VALUE(Database!$A326),"0")&amp;" HK Equity","PE_RATIO",Database!$H326,Database!$H326),MATCH(Database!$H326,INDEX(BDH(TEXT(VALUE(Database!$A326),"0")&amp;" HK Equity","PE_RATIO",Database!$H326,Database!$H326),0,1),0),2),"run on terminal")</f>
        <v/>
      </c>
      <c r="P326" s="251">
        <f>IF(Database!BH326="","(n/m or not derivable)",Database!BH326)</f>
        <v/>
      </c>
      <c r="Q326" s="58">
        <f>IF(Database!BN326="","",IFERROR(INDEX(BDH(LEFT(Database!BN326,FIND(".",Database!BN326)-1)&amp;" CH Equity","PE_RATIO",Database!$H326,Database!$H326),MATCH(Database!$H326,INDEX(BDH(LEFT(Database!BN326,FIND(".",Database!BN326)-1)&amp;" CH Equity","PE_RATIO",Database!$H326,Database!$H326),0,1),0),2),"run on terminal"))</f>
        <v/>
      </c>
      <c r="R326" s="58">
        <f>IF(Database!BN326="","",IFERROR(INDEX(BDH("HSAHP Index","PX_LAST",Database!$H326,Database!$H326),MATCH(Database!$H326,INDEX(BDH("HSAHP Index","PX_LAST",Database!$H326,Database!$H326),0,1),0),2),"run on terminal"))</f>
        <v/>
      </c>
      <c r="S326" s="58">
        <f>IFERROR(BDP(TEXT(VALUE(Database!$A326),"0")&amp;" HK Equity","PX_TO_SALES_RATIO"),"")</f>
        <v/>
      </c>
      <c r="T326" s="53">
        <f>IF(Database!BN326="","",IFERROR(BDP(LEFT(Database!BN326,FIND(".",Database!BN326)-1)&amp;" CH Equity","CUR_MKT_CAP")*BDP("CNYHKD Curncy","PX_LAST"),"run on terminal"))</f>
        <v/>
      </c>
    </row>
    <row r="327" ht="23" customHeight="1">
      <c r="A327" s="51">
        <f>Database!A327&amp;"  "&amp;Database!B327</f>
        <v/>
      </c>
      <c r="B327" s="43">
        <f>IFERROR(INDEX(BDS(TEXT(VALUE(Database!$A327),"0")&amp;" HK Equity","EQUITY_OFFERINGS","array=t","endcol=1"),MATCH("IPO",BDS(TEXT(VALUE(Database!$A327),"0")&amp;" HK Equity","EQUITY_OFFERINGS","array=t","startcol=2","endcol=2"),0)),"")</f>
        <v/>
      </c>
      <c r="C327" s="260">
        <f>IF($B327="","",IFERROR(BDP($B327&amp;" Action","CP036"),""))</f>
        <v/>
      </c>
      <c r="D327" s="261">
        <f>Database!S327</f>
        <v/>
      </c>
      <c r="E327" s="260">
        <f>IF($B327="","",IFERROR(BDP($B327&amp;" Action","CP037"),""))</f>
        <v/>
      </c>
      <c r="F327" s="261">
        <f>Database!T327</f>
        <v/>
      </c>
      <c r="G327" s="260">
        <f>IF($B327="","",IFERROR(BDP($B327&amp;" Action","GREENSHOE_FACILITY"),""))</f>
        <v/>
      </c>
      <c r="H327" s="260">
        <f>IF($B327="","",IFERROR(BDP($B327&amp;" Action","OFFERING_GREENSHOE_SHARES_EX"),""))</f>
        <v/>
      </c>
      <c r="I327" s="51">
        <f>Database!AE327</f>
        <v/>
      </c>
      <c r="J327" s="58">
        <f>IFERROR(BDP(TEXT(VALUE(Database!$A327),"0")&amp;" HK Equity","PE_RATIO"),"")</f>
        <v/>
      </c>
      <c r="K327" s="43">
        <f>IFERROR(BDP(TEXT(VALUE(Database!$A327),"0")&amp;" HK Equity","A/H_SHARE_CONVERSION"),"")</f>
        <v/>
      </c>
      <c r="L327" s="51">
        <f>IF(Database!BN327="","(none found)",Database!BN327)</f>
        <v/>
      </c>
      <c r="M327" s="53">
        <f>IFERROR(INDEX(BDH(TEXT(VALUE(Database!$A327),"0")&amp;" HK Equity","CUR_MKT_CAP",Database!$H327,Database!$H327),MATCH(Database!$H327,INDEX(BDH(TEXT(VALUE(Database!$A327),"0")&amp;" HK Equity","CUR_MKT_CAP",Database!$H327,Database!$H327),0,1),0),2),"run on terminal")</f>
        <v/>
      </c>
      <c r="N327" s="213">
        <f>Database!Q327</f>
        <v/>
      </c>
      <c r="O327" s="58">
        <f>IFERROR(INDEX(BDH(TEXT(VALUE(Database!$A327),"0")&amp;" HK Equity","PE_RATIO",Database!$H327,Database!$H327),MATCH(Database!$H327,INDEX(BDH(TEXT(VALUE(Database!$A327),"0")&amp;" HK Equity","PE_RATIO",Database!$H327,Database!$H327),0,1),0),2),"run on terminal")</f>
        <v/>
      </c>
      <c r="P327" s="251">
        <f>IF(Database!BH327="","(n/m or not derivable)",Database!BH327)</f>
        <v/>
      </c>
      <c r="Q327" s="58">
        <f>IF(Database!BN327="","",IFERROR(INDEX(BDH(LEFT(Database!BN327,FIND(".",Database!BN327)-1)&amp;" CH Equity","PE_RATIO",Database!$H327,Database!$H327),MATCH(Database!$H327,INDEX(BDH(LEFT(Database!BN327,FIND(".",Database!BN327)-1)&amp;" CH Equity","PE_RATIO",Database!$H327,Database!$H327),0,1),0),2),"run on terminal"))</f>
        <v/>
      </c>
      <c r="R327" s="58">
        <f>IF(Database!BN327="","",IFERROR(INDEX(BDH("HSAHP Index","PX_LAST",Database!$H327,Database!$H327),MATCH(Database!$H327,INDEX(BDH("HSAHP Index","PX_LAST",Database!$H327,Database!$H327),0,1),0),2),"run on terminal"))</f>
        <v/>
      </c>
      <c r="S327" s="58">
        <f>IFERROR(BDP(TEXT(VALUE(Database!$A327),"0")&amp;" HK Equity","PX_TO_SALES_RATIO"),"")</f>
        <v/>
      </c>
      <c r="T327" s="53">
        <f>IF(Database!BN327="","",IFERROR(BDP(LEFT(Database!BN327,FIND(".",Database!BN327)-1)&amp;" CH Equity","CUR_MKT_CAP")*BDP("CNYHKD Curncy","PX_LAST"),"run on terminal"))</f>
        <v/>
      </c>
    </row>
    <row r="328" ht="23" customHeight="1">
      <c r="A328" s="51">
        <f>Database!A328&amp;"  "&amp;Database!B328</f>
        <v/>
      </c>
      <c r="B328" s="43">
        <f>IFERROR(INDEX(BDS(TEXT(VALUE(Database!$A328),"0")&amp;" HK Equity","EQUITY_OFFERINGS","array=t","endcol=1"),MATCH("IPO",BDS(TEXT(VALUE(Database!$A328),"0")&amp;" HK Equity","EQUITY_OFFERINGS","array=t","startcol=2","endcol=2"),0)),"")</f>
        <v/>
      </c>
      <c r="C328" s="260">
        <f>IF($B328="","",IFERROR(BDP($B328&amp;" Action","CP036"),""))</f>
        <v/>
      </c>
      <c r="D328" s="261">
        <f>Database!S328</f>
        <v/>
      </c>
      <c r="E328" s="260">
        <f>IF($B328="","",IFERROR(BDP($B328&amp;" Action","CP037"),""))</f>
        <v/>
      </c>
      <c r="F328" s="261">
        <f>Database!T328</f>
        <v/>
      </c>
      <c r="G328" s="260">
        <f>IF($B328="","",IFERROR(BDP($B328&amp;" Action","GREENSHOE_FACILITY"),""))</f>
        <v/>
      </c>
      <c r="H328" s="260">
        <f>IF($B328="","",IFERROR(BDP($B328&amp;" Action","OFFERING_GREENSHOE_SHARES_EX"),""))</f>
        <v/>
      </c>
      <c r="I328" s="51">
        <f>Database!AE328</f>
        <v/>
      </c>
      <c r="J328" s="58">
        <f>IFERROR(BDP(TEXT(VALUE(Database!$A328),"0")&amp;" HK Equity","PE_RATIO"),"")</f>
        <v/>
      </c>
      <c r="K328" s="43">
        <f>IFERROR(BDP(TEXT(VALUE(Database!$A328),"0")&amp;" HK Equity","A/H_SHARE_CONVERSION"),"")</f>
        <v/>
      </c>
      <c r="L328" s="51">
        <f>IF(Database!BN328="","(none found)",Database!BN328)</f>
        <v/>
      </c>
      <c r="M328" s="53">
        <f>IFERROR(INDEX(BDH(TEXT(VALUE(Database!$A328),"0")&amp;" HK Equity","CUR_MKT_CAP",Database!$H328,Database!$H328),MATCH(Database!$H328,INDEX(BDH(TEXT(VALUE(Database!$A328),"0")&amp;" HK Equity","CUR_MKT_CAP",Database!$H328,Database!$H328),0,1),0),2),"run on terminal")</f>
        <v/>
      </c>
      <c r="N328" s="213">
        <f>Database!Q328</f>
        <v/>
      </c>
      <c r="O328" s="58">
        <f>IFERROR(INDEX(BDH(TEXT(VALUE(Database!$A328),"0")&amp;" HK Equity","PE_RATIO",Database!$H328,Database!$H328),MATCH(Database!$H328,INDEX(BDH(TEXT(VALUE(Database!$A328),"0")&amp;" HK Equity","PE_RATIO",Database!$H328,Database!$H328),0,1),0),2),"run on terminal")</f>
        <v/>
      </c>
      <c r="P328" s="251">
        <f>IF(Database!BH328="","(n/m or not derivable)",Database!BH328)</f>
        <v/>
      </c>
      <c r="Q328" s="58">
        <f>IF(Database!BN328="","",IFERROR(INDEX(BDH(LEFT(Database!BN328,FIND(".",Database!BN328)-1)&amp;" CH Equity","PE_RATIO",Database!$H328,Database!$H328),MATCH(Database!$H328,INDEX(BDH(LEFT(Database!BN328,FIND(".",Database!BN328)-1)&amp;" CH Equity","PE_RATIO",Database!$H328,Database!$H328),0,1),0),2),"run on terminal"))</f>
        <v/>
      </c>
      <c r="R328" s="58">
        <f>IF(Database!BN328="","",IFERROR(INDEX(BDH("HSAHP Index","PX_LAST",Database!$H328,Database!$H328),MATCH(Database!$H328,INDEX(BDH("HSAHP Index","PX_LAST",Database!$H328,Database!$H328),0,1),0),2),"run on terminal"))</f>
        <v/>
      </c>
      <c r="S328" s="58">
        <f>IFERROR(BDP(TEXT(VALUE(Database!$A328),"0")&amp;" HK Equity","PX_TO_SALES_RATIO"),"")</f>
        <v/>
      </c>
      <c r="T328" s="53">
        <f>IF(Database!BN328="","",IFERROR(BDP(LEFT(Database!BN328,FIND(".",Database!BN328)-1)&amp;" CH Equity","CUR_MKT_CAP")*BDP("CNYHKD Curncy","PX_LAST"),"run on terminal"))</f>
        <v/>
      </c>
    </row>
    <row r="329" ht="23" customHeight="1">
      <c r="A329" s="51">
        <f>Database!A329&amp;"  "&amp;Database!B329</f>
        <v/>
      </c>
      <c r="B329" s="43">
        <f>IFERROR(INDEX(BDS(TEXT(VALUE(Database!$A329),"0")&amp;" HK Equity","EQUITY_OFFERINGS","array=t","endcol=1"),MATCH("IPO",BDS(TEXT(VALUE(Database!$A329),"0")&amp;" HK Equity","EQUITY_OFFERINGS","array=t","startcol=2","endcol=2"),0)),"")</f>
        <v/>
      </c>
      <c r="C329" s="260">
        <f>IF($B329="","",IFERROR(BDP($B329&amp;" Action","CP036"),""))</f>
        <v/>
      </c>
      <c r="D329" s="261">
        <f>Database!S329</f>
        <v/>
      </c>
      <c r="E329" s="260">
        <f>IF($B329="","",IFERROR(BDP($B329&amp;" Action","CP037"),""))</f>
        <v/>
      </c>
      <c r="F329" s="261">
        <f>Database!T329</f>
        <v/>
      </c>
      <c r="G329" s="260">
        <f>IF($B329="","",IFERROR(BDP($B329&amp;" Action","GREENSHOE_FACILITY"),""))</f>
        <v/>
      </c>
      <c r="H329" s="260">
        <f>IF($B329="","",IFERROR(BDP($B329&amp;" Action","OFFERING_GREENSHOE_SHARES_EX"),""))</f>
        <v/>
      </c>
      <c r="I329" s="51">
        <f>Database!AE329</f>
        <v/>
      </c>
      <c r="J329" s="58">
        <f>IFERROR(BDP(TEXT(VALUE(Database!$A329),"0")&amp;" HK Equity","PE_RATIO"),"")</f>
        <v/>
      </c>
      <c r="K329" s="43">
        <f>IFERROR(BDP(TEXT(VALUE(Database!$A329),"0")&amp;" HK Equity","A/H_SHARE_CONVERSION"),"")</f>
        <v/>
      </c>
      <c r="L329" s="51">
        <f>IF(Database!BN329="","(none found)",Database!BN329)</f>
        <v/>
      </c>
      <c r="M329" s="53">
        <f>IFERROR(INDEX(BDH(TEXT(VALUE(Database!$A329),"0")&amp;" HK Equity","CUR_MKT_CAP",Database!$H329,Database!$H329),MATCH(Database!$H329,INDEX(BDH(TEXT(VALUE(Database!$A329),"0")&amp;" HK Equity","CUR_MKT_CAP",Database!$H329,Database!$H329),0,1),0),2),"run on terminal")</f>
        <v/>
      </c>
      <c r="N329" s="213">
        <f>Database!Q329</f>
        <v/>
      </c>
      <c r="O329" s="58">
        <f>IFERROR(INDEX(BDH(TEXT(VALUE(Database!$A329),"0")&amp;" HK Equity","PE_RATIO",Database!$H329,Database!$H329),MATCH(Database!$H329,INDEX(BDH(TEXT(VALUE(Database!$A329),"0")&amp;" HK Equity","PE_RATIO",Database!$H329,Database!$H329),0,1),0),2),"run on terminal")</f>
        <v/>
      </c>
      <c r="P329" s="251">
        <f>IF(Database!BH329="","(n/m or not derivable)",Database!BH329)</f>
        <v/>
      </c>
      <c r="Q329" s="58">
        <f>IF(Database!BN329="","",IFERROR(INDEX(BDH(LEFT(Database!BN329,FIND(".",Database!BN329)-1)&amp;" CH Equity","PE_RATIO",Database!$H329,Database!$H329),MATCH(Database!$H329,INDEX(BDH(LEFT(Database!BN329,FIND(".",Database!BN329)-1)&amp;" CH Equity","PE_RATIO",Database!$H329,Database!$H329),0,1),0),2),"run on terminal"))</f>
        <v/>
      </c>
      <c r="R329" s="58">
        <f>IF(Database!BN329="","",IFERROR(INDEX(BDH("HSAHP Index","PX_LAST",Database!$H329,Database!$H329),MATCH(Database!$H329,INDEX(BDH("HSAHP Index","PX_LAST",Database!$H329,Database!$H329),0,1),0),2),"run on terminal"))</f>
        <v/>
      </c>
      <c r="S329" s="58">
        <f>IFERROR(BDP(TEXT(VALUE(Database!$A329),"0")&amp;" HK Equity","PX_TO_SALES_RATIO"),"")</f>
        <v/>
      </c>
      <c r="T329" s="53">
        <f>IF(Database!BN329="","",IFERROR(BDP(LEFT(Database!BN329,FIND(".",Database!BN329)-1)&amp;" CH Equity","CUR_MKT_CAP")*BDP("CNYHKD Curncy","PX_LAST"),"run on terminal"))</f>
        <v/>
      </c>
    </row>
    <row r="330" ht="23" customHeight="1">
      <c r="A330" s="51">
        <f>Database!A330&amp;"  "&amp;Database!B330</f>
        <v/>
      </c>
      <c r="B330" s="43">
        <f>IFERROR(INDEX(BDS(TEXT(VALUE(Database!$A330),"0")&amp;" HK Equity","EQUITY_OFFERINGS","array=t","endcol=1"),MATCH("IPO",BDS(TEXT(VALUE(Database!$A330),"0")&amp;" HK Equity","EQUITY_OFFERINGS","array=t","startcol=2","endcol=2"),0)),"")</f>
        <v/>
      </c>
      <c r="C330" s="260">
        <f>IF($B330="","",IFERROR(BDP($B330&amp;" Action","CP036"),""))</f>
        <v/>
      </c>
      <c r="D330" s="261">
        <f>Database!S330</f>
        <v/>
      </c>
      <c r="E330" s="260">
        <f>IF($B330="","",IFERROR(BDP($B330&amp;" Action","CP037"),""))</f>
        <v/>
      </c>
      <c r="F330" s="261">
        <f>Database!T330</f>
        <v/>
      </c>
      <c r="G330" s="260">
        <f>IF($B330="","",IFERROR(BDP($B330&amp;" Action","GREENSHOE_FACILITY"),""))</f>
        <v/>
      </c>
      <c r="H330" s="260">
        <f>IF($B330="","",IFERROR(BDP($B330&amp;" Action","OFFERING_GREENSHOE_SHARES_EX"),""))</f>
        <v/>
      </c>
      <c r="I330" s="51">
        <f>Database!AE330</f>
        <v/>
      </c>
      <c r="J330" s="58">
        <f>IFERROR(BDP(TEXT(VALUE(Database!$A330),"0")&amp;" HK Equity","PE_RATIO"),"")</f>
        <v/>
      </c>
      <c r="K330" s="43">
        <f>IFERROR(BDP(TEXT(VALUE(Database!$A330),"0")&amp;" HK Equity","A/H_SHARE_CONVERSION"),"")</f>
        <v/>
      </c>
      <c r="L330" s="51">
        <f>IF(Database!BN330="","(none found)",Database!BN330)</f>
        <v/>
      </c>
      <c r="M330" s="53">
        <f>IFERROR(INDEX(BDH(TEXT(VALUE(Database!$A330),"0")&amp;" HK Equity","CUR_MKT_CAP",Database!$H330,Database!$H330),MATCH(Database!$H330,INDEX(BDH(TEXT(VALUE(Database!$A330),"0")&amp;" HK Equity","CUR_MKT_CAP",Database!$H330,Database!$H330),0,1),0),2),"run on terminal")</f>
        <v/>
      </c>
      <c r="N330" s="213">
        <f>Database!Q330</f>
        <v/>
      </c>
      <c r="O330" s="58">
        <f>IFERROR(INDEX(BDH(TEXT(VALUE(Database!$A330),"0")&amp;" HK Equity","PE_RATIO",Database!$H330,Database!$H330),MATCH(Database!$H330,INDEX(BDH(TEXT(VALUE(Database!$A330),"0")&amp;" HK Equity","PE_RATIO",Database!$H330,Database!$H330),0,1),0),2),"run on terminal")</f>
        <v/>
      </c>
      <c r="P330" s="251">
        <f>IF(Database!BH330="","(n/m or not derivable)",Database!BH330)</f>
        <v/>
      </c>
      <c r="Q330" s="58">
        <f>IF(Database!BN330="","",IFERROR(INDEX(BDH(LEFT(Database!BN330,FIND(".",Database!BN330)-1)&amp;" CH Equity","PE_RATIO",Database!$H330,Database!$H330),MATCH(Database!$H330,INDEX(BDH(LEFT(Database!BN330,FIND(".",Database!BN330)-1)&amp;" CH Equity","PE_RATIO",Database!$H330,Database!$H330),0,1),0),2),"run on terminal"))</f>
        <v/>
      </c>
      <c r="R330" s="58">
        <f>IF(Database!BN330="","",IFERROR(INDEX(BDH("HSAHP Index","PX_LAST",Database!$H330,Database!$H330),MATCH(Database!$H330,INDEX(BDH("HSAHP Index","PX_LAST",Database!$H330,Database!$H330),0,1),0),2),"run on terminal"))</f>
        <v/>
      </c>
      <c r="S330" s="58">
        <f>IFERROR(BDP(TEXT(VALUE(Database!$A330),"0")&amp;" HK Equity","PX_TO_SALES_RATIO"),"")</f>
        <v/>
      </c>
      <c r="T330" s="53">
        <f>IF(Database!BN330="","",IFERROR(BDP(LEFT(Database!BN330,FIND(".",Database!BN330)-1)&amp;" CH Equity","CUR_MKT_CAP")*BDP("CNYHKD Curncy","PX_LAST"),"run on terminal"))</f>
        <v/>
      </c>
    </row>
    <row r="331" ht="23" customHeight="1">
      <c r="A331" s="51">
        <f>Database!A331&amp;"  "&amp;Database!B331</f>
        <v/>
      </c>
      <c r="B331" s="43">
        <f>IFERROR(INDEX(BDS(TEXT(VALUE(Database!$A331),"0")&amp;" HK Equity","EQUITY_OFFERINGS","array=t","endcol=1"),MATCH("IPO",BDS(TEXT(VALUE(Database!$A331),"0")&amp;" HK Equity","EQUITY_OFFERINGS","array=t","startcol=2","endcol=2"),0)),"")</f>
        <v/>
      </c>
      <c r="C331" s="260">
        <f>IF($B331="","",IFERROR(BDP($B331&amp;" Action","CP036"),""))</f>
        <v/>
      </c>
      <c r="D331" s="261">
        <f>Database!S331</f>
        <v/>
      </c>
      <c r="E331" s="260">
        <f>IF($B331="","",IFERROR(BDP($B331&amp;" Action","CP037"),""))</f>
        <v/>
      </c>
      <c r="F331" s="261">
        <f>Database!T331</f>
        <v/>
      </c>
      <c r="G331" s="260">
        <f>IF($B331="","",IFERROR(BDP($B331&amp;" Action","GREENSHOE_FACILITY"),""))</f>
        <v/>
      </c>
      <c r="H331" s="260">
        <f>IF($B331="","",IFERROR(BDP($B331&amp;" Action","OFFERING_GREENSHOE_SHARES_EX"),""))</f>
        <v/>
      </c>
      <c r="I331" s="51">
        <f>Database!AE331</f>
        <v/>
      </c>
      <c r="J331" s="58">
        <f>IFERROR(BDP(TEXT(VALUE(Database!$A331),"0")&amp;" HK Equity","PE_RATIO"),"")</f>
        <v/>
      </c>
      <c r="K331" s="43">
        <f>IFERROR(BDP(TEXT(VALUE(Database!$A331),"0")&amp;" HK Equity","A/H_SHARE_CONVERSION"),"")</f>
        <v/>
      </c>
      <c r="L331" s="51">
        <f>IF(Database!BN331="","(none found)",Database!BN331)</f>
        <v/>
      </c>
      <c r="M331" s="53">
        <f>IFERROR(INDEX(BDH(TEXT(VALUE(Database!$A331),"0")&amp;" HK Equity","CUR_MKT_CAP",Database!$H331,Database!$H331),MATCH(Database!$H331,INDEX(BDH(TEXT(VALUE(Database!$A331),"0")&amp;" HK Equity","CUR_MKT_CAP",Database!$H331,Database!$H331),0,1),0),2),"run on terminal")</f>
        <v/>
      </c>
      <c r="N331" s="213">
        <f>Database!Q331</f>
        <v/>
      </c>
      <c r="O331" s="58">
        <f>IFERROR(INDEX(BDH(TEXT(VALUE(Database!$A331),"0")&amp;" HK Equity","PE_RATIO",Database!$H331,Database!$H331),MATCH(Database!$H331,INDEX(BDH(TEXT(VALUE(Database!$A331),"0")&amp;" HK Equity","PE_RATIO",Database!$H331,Database!$H331),0,1),0),2),"run on terminal")</f>
        <v/>
      </c>
      <c r="P331" s="251">
        <f>IF(Database!BH331="","(n/m or not derivable)",Database!BH331)</f>
        <v/>
      </c>
      <c r="Q331" s="58">
        <f>IF(Database!BN331="","",IFERROR(INDEX(BDH(LEFT(Database!BN331,FIND(".",Database!BN331)-1)&amp;" CH Equity","PE_RATIO",Database!$H331,Database!$H331),MATCH(Database!$H331,INDEX(BDH(LEFT(Database!BN331,FIND(".",Database!BN331)-1)&amp;" CH Equity","PE_RATIO",Database!$H331,Database!$H331),0,1),0),2),"run on terminal"))</f>
        <v/>
      </c>
      <c r="R331" s="58">
        <f>IF(Database!BN331="","",IFERROR(INDEX(BDH("HSAHP Index","PX_LAST",Database!$H331,Database!$H331),MATCH(Database!$H331,INDEX(BDH("HSAHP Index","PX_LAST",Database!$H331,Database!$H331),0,1),0),2),"run on terminal"))</f>
        <v/>
      </c>
      <c r="S331" s="58">
        <f>IFERROR(BDP(TEXT(VALUE(Database!$A331),"0")&amp;" HK Equity","PX_TO_SALES_RATIO"),"")</f>
        <v/>
      </c>
      <c r="T331" s="53">
        <f>IF(Database!BN331="","",IFERROR(BDP(LEFT(Database!BN331,FIND(".",Database!BN331)-1)&amp;" CH Equity","CUR_MKT_CAP")*BDP("CNYHKD Curncy","PX_LAST"),"run on terminal"))</f>
        <v/>
      </c>
    </row>
    <row r="332" ht="23" customHeight="1">
      <c r="A332" s="51">
        <f>Database!A332&amp;"  "&amp;Database!B332</f>
        <v/>
      </c>
      <c r="B332" s="43">
        <f>IFERROR(INDEX(BDS(TEXT(VALUE(Database!$A332),"0")&amp;" HK Equity","EQUITY_OFFERINGS","array=t","endcol=1"),MATCH("IPO",BDS(TEXT(VALUE(Database!$A332),"0")&amp;" HK Equity","EQUITY_OFFERINGS","array=t","startcol=2","endcol=2"),0)),"")</f>
        <v/>
      </c>
      <c r="C332" s="260">
        <f>IF($B332="","",IFERROR(BDP($B332&amp;" Action","CP036"),""))</f>
        <v/>
      </c>
      <c r="D332" s="261">
        <f>Database!S332</f>
        <v/>
      </c>
      <c r="E332" s="260">
        <f>IF($B332="","",IFERROR(BDP($B332&amp;" Action","CP037"),""))</f>
        <v/>
      </c>
      <c r="F332" s="261">
        <f>Database!T332</f>
        <v/>
      </c>
      <c r="G332" s="260">
        <f>IF($B332="","",IFERROR(BDP($B332&amp;" Action","GREENSHOE_FACILITY"),""))</f>
        <v/>
      </c>
      <c r="H332" s="260">
        <f>IF($B332="","",IFERROR(BDP($B332&amp;" Action","OFFERING_GREENSHOE_SHARES_EX"),""))</f>
        <v/>
      </c>
      <c r="I332" s="51">
        <f>Database!AE332</f>
        <v/>
      </c>
      <c r="J332" s="58">
        <f>IFERROR(BDP(TEXT(VALUE(Database!$A332),"0")&amp;" HK Equity","PE_RATIO"),"")</f>
        <v/>
      </c>
      <c r="K332" s="43">
        <f>IFERROR(BDP(TEXT(VALUE(Database!$A332),"0")&amp;" HK Equity","A/H_SHARE_CONVERSION"),"")</f>
        <v/>
      </c>
      <c r="L332" s="51">
        <f>IF(Database!BN332="","(none found)",Database!BN332)</f>
        <v/>
      </c>
      <c r="M332" s="53">
        <f>IFERROR(INDEX(BDH(TEXT(VALUE(Database!$A332),"0")&amp;" HK Equity","CUR_MKT_CAP",Database!$H332,Database!$H332),MATCH(Database!$H332,INDEX(BDH(TEXT(VALUE(Database!$A332),"0")&amp;" HK Equity","CUR_MKT_CAP",Database!$H332,Database!$H332),0,1),0),2),"run on terminal")</f>
        <v/>
      </c>
      <c r="N332" s="213">
        <f>Database!Q332</f>
        <v/>
      </c>
      <c r="O332" s="58">
        <f>IFERROR(INDEX(BDH(TEXT(VALUE(Database!$A332),"0")&amp;" HK Equity","PE_RATIO",Database!$H332,Database!$H332),MATCH(Database!$H332,INDEX(BDH(TEXT(VALUE(Database!$A332),"0")&amp;" HK Equity","PE_RATIO",Database!$H332,Database!$H332),0,1),0),2),"run on terminal")</f>
        <v/>
      </c>
      <c r="P332" s="251">
        <f>IF(Database!BH332="","(n/m or not derivable)",Database!BH332)</f>
        <v/>
      </c>
      <c r="Q332" s="58">
        <f>IF(Database!BN332="","",IFERROR(INDEX(BDH(LEFT(Database!BN332,FIND(".",Database!BN332)-1)&amp;" CH Equity","PE_RATIO",Database!$H332,Database!$H332),MATCH(Database!$H332,INDEX(BDH(LEFT(Database!BN332,FIND(".",Database!BN332)-1)&amp;" CH Equity","PE_RATIO",Database!$H332,Database!$H332),0,1),0),2),"run on terminal"))</f>
        <v/>
      </c>
      <c r="R332" s="58">
        <f>IF(Database!BN332="","",IFERROR(INDEX(BDH("HSAHP Index","PX_LAST",Database!$H332,Database!$H332),MATCH(Database!$H332,INDEX(BDH("HSAHP Index","PX_LAST",Database!$H332,Database!$H332),0,1),0),2),"run on terminal"))</f>
        <v/>
      </c>
      <c r="S332" s="58">
        <f>IFERROR(BDP(TEXT(VALUE(Database!$A332),"0")&amp;" HK Equity","PX_TO_SALES_RATIO"),"")</f>
        <v/>
      </c>
      <c r="T332" s="53">
        <f>IF(Database!BN332="","",IFERROR(BDP(LEFT(Database!BN332,FIND(".",Database!BN332)-1)&amp;" CH Equity","CUR_MKT_CAP")*BDP("CNYHKD Curncy","PX_LAST"),"run on terminal"))</f>
        <v/>
      </c>
    </row>
    <row r="333" ht="23" customHeight="1">
      <c r="A333" s="51">
        <f>Database!A333&amp;"  "&amp;Database!B333</f>
        <v/>
      </c>
      <c r="B333" s="43">
        <f>IFERROR(INDEX(BDS(TEXT(VALUE(Database!$A333),"0")&amp;" HK Equity","EQUITY_OFFERINGS","array=t","endcol=1"),MATCH("IPO",BDS(TEXT(VALUE(Database!$A333),"0")&amp;" HK Equity","EQUITY_OFFERINGS","array=t","startcol=2","endcol=2"),0)),"")</f>
        <v/>
      </c>
      <c r="C333" s="260">
        <f>IF($B333="","",IFERROR(BDP($B333&amp;" Action","CP036"),""))</f>
        <v/>
      </c>
      <c r="D333" s="261">
        <f>Database!S333</f>
        <v/>
      </c>
      <c r="E333" s="260">
        <f>IF($B333="","",IFERROR(BDP($B333&amp;" Action","CP037"),""))</f>
        <v/>
      </c>
      <c r="F333" s="261">
        <f>Database!T333</f>
        <v/>
      </c>
      <c r="G333" s="260">
        <f>IF($B333="","",IFERROR(BDP($B333&amp;" Action","GREENSHOE_FACILITY"),""))</f>
        <v/>
      </c>
      <c r="H333" s="260">
        <f>IF($B333="","",IFERROR(BDP($B333&amp;" Action","OFFERING_GREENSHOE_SHARES_EX"),""))</f>
        <v/>
      </c>
      <c r="I333" s="51">
        <f>Database!AE333</f>
        <v/>
      </c>
      <c r="J333" s="58">
        <f>IFERROR(BDP(TEXT(VALUE(Database!$A333),"0")&amp;" HK Equity","PE_RATIO"),"")</f>
        <v/>
      </c>
      <c r="K333" s="43">
        <f>IFERROR(BDP(TEXT(VALUE(Database!$A333),"0")&amp;" HK Equity","A/H_SHARE_CONVERSION"),"")</f>
        <v/>
      </c>
      <c r="L333" s="51">
        <f>IF(Database!BN333="","(none found)",Database!BN333)</f>
        <v/>
      </c>
      <c r="M333" s="53">
        <f>IFERROR(INDEX(BDH(TEXT(VALUE(Database!$A333),"0")&amp;" HK Equity","CUR_MKT_CAP",Database!$H333,Database!$H333),MATCH(Database!$H333,INDEX(BDH(TEXT(VALUE(Database!$A333),"0")&amp;" HK Equity","CUR_MKT_CAP",Database!$H333,Database!$H333),0,1),0),2),"run on terminal")</f>
        <v/>
      </c>
      <c r="N333" s="213">
        <f>Database!Q333</f>
        <v/>
      </c>
      <c r="O333" s="58">
        <f>IFERROR(INDEX(BDH(TEXT(VALUE(Database!$A333),"0")&amp;" HK Equity","PE_RATIO",Database!$H333,Database!$H333),MATCH(Database!$H333,INDEX(BDH(TEXT(VALUE(Database!$A333),"0")&amp;" HK Equity","PE_RATIO",Database!$H333,Database!$H333),0,1),0),2),"run on terminal")</f>
        <v/>
      </c>
      <c r="P333" s="251">
        <f>IF(Database!BH333="","(n/m or not derivable)",Database!BH333)</f>
        <v/>
      </c>
      <c r="Q333" s="58">
        <f>IF(Database!BN333="","",IFERROR(INDEX(BDH(LEFT(Database!BN333,FIND(".",Database!BN333)-1)&amp;" CH Equity","PE_RATIO",Database!$H333,Database!$H333),MATCH(Database!$H333,INDEX(BDH(LEFT(Database!BN333,FIND(".",Database!BN333)-1)&amp;" CH Equity","PE_RATIO",Database!$H333,Database!$H333),0,1),0),2),"run on terminal"))</f>
        <v/>
      </c>
      <c r="R333" s="58">
        <f>IF(Database!BN333="","",IFERROR(INDEX(BDH("HSAHP Index","PX_LAST",Database!$H333,Database!$H333),MATCH(Database!$H333,INDEX(BDH("HSAHP Index","PX_LAST",Database!$H333,Database!$H333),0,1),0),2),"run on terminal"))</f>
        <v/>
      </c>
      <c r="S333" s="58">
        <f>IFERROR(BDP(TEXT(VALUE(Database!$A333),"0")&amp;" HK Equity","PX_TO_SALES_RATIO"),"")</f>
        <v/>
      </c>
      <c r="T333" s="53">
        <f>IF(Database!BN333="","",IFERROR(BDP(LEFT(Database!BN333,FIND(".",Database!BN333)-1)&amp;" CH Equity","CUR_MKT_CAP")*BDP("CNYHKD Curncy","PX_LAST"),"run on terminal"))</f>
        <v/>
      </c>
    </row>
    <row r="334" ht="23" customHeight="1">
      <c r="A334" s="51">
        <f>Database!A334&amp;"  "&amp;Database!B334</f>
        <v/>
      </c>
      <c r="B334" s="43">
        <f>IFERROR(INDEX(BDS(TEXT(VALUE(Database!$A334),"0")&amp;" HK Equity","EQUITY_OFFERINGS","array=t","endcol=1"),MATCH("IPO",BDS(TEXT(VALUE(Database!$A334),"0")&amp;" HK Equity","EQUITY_OFFERINGS","array=t","startcol=2","endcol=2"),0)),"")</f>
        <v/>
      </c>
      <c r="C334" s="260">
        <f>IF($B334="","",IFERROR(BDP($B334&amp;" Action","CP036"),""))</f>
        <v/>
      </c>
      <c r="D334" s="261">
        <f>Database!S334</f>
        <v/>
      </c>
      <c r="E334" s="260">
        <f>IF($B334="","",IFERROR(BDP($B334&amp;" Action","CP037"),""))</f>
        <v/>
      </c>
      <c r="F334" s="261">
        <f>Database!T334</f>
        <v/>
      </c>
      <c r="G334" s="260">
        <f>IF($B334="","",IFERROR(BDP($B334&amp;" Action","GREENSHOE_FACILITY"),""))</f>
        <v/>
      </c>
      <c r="H334" s="260">
        <f>IF($B334="","",IFERROR(BDP($B334&amp;" Action","OFFERING_GREENSHOE_SHARES_EX"),""))</f>
        <v/>
      </c>
      <c r="I334" s="51">
        <f>Database!AE334</f>
        <v/>
      </c>
      <c r="J334" s="58">
        <f>IFERROR(BDP(TEXT(VALUE(Database!$A334),"0")&amp;" HK Equity","PE_RATIO"),"")</f>
        <v/>
      </c>
      <c r="K334" s="43">
        <f>IFERROR(BDP(TEXT(VALUE(Database!$A334),"0")&amp;" HK Equity","A/H_SHARE_CONVERSION"),"")</f>
        <v/>
      </c>
      <c r="L334" s="51">
        <f>IF(Database!BN334="","(none found)",Database!BN334)</f>
        <v/>
      </c>
      <c r="M334" s="53">
        <f>IFERROR(INDEX(BDH(TEXT(VALUE(Database!$A334),"0")&amp;" HK Equity","CUR_MKT_CAP",Database!$H334,Database!$H334),MATCH(Database!$H334,INDEX(BDH(TEXT(VALUE(Database!$A334),"0")&amp;" HK Equity","CUR_MKT_CAP",Database!$H334,Database!$H334),0,1),0),2),"run on terminal")</f>
        <v/>
      </c>
      <c r="N334" s="213">
        <f>Database!Q334</f>
        <v/>
      </c>
      <c r="O334" s="58">
        <f>IFERROR(INDEX(BDH(TEXT(VALUE(Database!$A334),"0")&amp;" HK Equity","PE_RATIO",Database!$H334,Database!$H334),MATCH(Database!$H334,INDEX(BDH(TEXT(VALUE(Database!$A334),"0")&amp;" HK Equity","PE_RATIO",Database!$H334,Database!$H334),0,1),0),2),"run on terminal")</f>
        <v/>
      </c>
      <c r="P334" s="251">
        <f>IF(Database!BH334="","(n/m or not derivable)",Database!BH334)</f>
        <v/>
      </c>
      <c r="Q334" s="58">
        <f>IF(Database!BN334="","",IFERROR(INDEX(BDH(LEFT(Database!BN334,FIND(".",Database!BN334)-1)&amp;" CH Equity","PE_RATIO",Database!$H334,Database!$H334),MATCH(Database!$H334,INDEX(BDH(LEFT(Database!BN334,FIND(".",Database!BN334)-1)&amp;" CH Equity","PE_RATIO",Database!$H334,Database!$H334),0,1),0),2),"run on terminal"))</f>
        <v/>
      </c>
      <c r="R334" s="58">
        <f>IF(Database!BN334="","",IFERROR(INDEX(BDH("HSAHP Index","PX_LAST",Database!$H334,Database!$H334),MATCH(Database!$H334,INDEX(BDH("HSAHP Index","PX_LAST",Database!$H334,Database!$H334),0,1),0),2),"run on terminal"))</f>
        <v/>
      </c>
      <c r="S334" s="58">
        <f>IFERROR(BDP(TEXT(VALUE(Database!$A334),"0")&amp;" HK Equity","PX_TO_SALES_RATIO"),"")</f>
        <v/>
      </c>
      <c r="T334" s="53">
        <f>IF(Database!BN334="","",IFERROR(BDP(LEFT(Database!BN334,FIND(".",Database!BN334)-1)&amp;" CH Equity","CUR_MKT_CAP")*BDP("CNYHKD Curncy","PX_LAST"),"run on terminal"))</f>
        <v/>
      </c>
    </row>
    <row r="335" ht="23" customHeight="1">
      <c r="A335" s="51">
        <f>Database!A335&amp;"  "&amp;Database!B335</f>
        <v/>
      </c>
      <c r="B335" s="43">
        <f>IFERROR(INDEX(BDS(TEXT(VALUE(Database!$A335),"0")&amp;" HK Equity","EQUITY_OFFERINGS","array=t","endcol=1"),MATCH("IPO",BDS(TEXT(VALUE(Database!$A335),"0")&amp;" HK Equity","EQUITY_OFFERINGS","array=t","startcol=2","endcol=2"),0)),"")</f>
        <v/>
      </c>
      <c r="C335" s="260">
        <f>IF($B335="","",IFERROR(BDP($B335&amp;" Action","CP036"),""))</f>
        <v/>
      </c>
      <c r="D335" s="261">
        <f>Database!S335</f>
        <v/>
      </c>
      <c r="E335" s="260">
        <f>IF($B335="","",IFERROR(BDP($B335&amp;" Action","CP037"),""))</f>
        <v/>
      </c>
      <c r="F335" s="261">
        <f>Database!T335</f>
        <v/>
      </c>
      <c r="G335" s="260">
        <f>IF($B335="","",IFERROR(BDP($B335&amp;" Action","GREENSHOE_FACILITY"),""))</f>
        <v/>
      </c>
      <c r="H335" s="260">
        <f>IF($B335="","",IFERROR(BDP($B335&amp;" Action","OFFERING_GREENSHOE_SHARES_EX"),""))</f>
        <v/>
      </c>
      <c r="I335" s="51">
        <f>Database!AE335</f>
        <v/>
      </c>
      <c r="J335" s="58">
        <f>IFERROR(BDP(TEXT(VALUE(Database!$A335),"0")&amp;" HK Equity","PE_RATIO"),"")</f>
        <v/>
      </c>
      <c r="K335" s="43">
        <f>IFERROR(BDP(TEXT(VALUE(Database!$A335),"0")&amp;" HK Equity","A/H_SHARE_CONVERSION"),"")</f>
        <v/>
      </c>
      <c r="L335" s="51">
        <f>IF(Database!BN335="","(none found)",Database!BN335)</f>
        <v/>
      </c>
      <c r="M335" s="53">
        <f>IFERROR(INDEX(BDH(TEXT(VALUE(Database!$A335),"0")&amp;" HK Equity","CUR_MKT_CAP",Database!$H335,Database!$H335),MATCH(Database!$H335,INDEX(BDH(TEXT(VALUE(Database!$A335),"0")&amp;" HK Equity","CUR_MKT_CAP",Database!$H335,Database!$H335),0,1),0),2),"run on terminal")</f>
        <v/>
      </c>
      <c r="N335" s="213">
        <f>Database!Q335</f>
        <v/>
      </c>
      <c r="O335" s="58">
        <f>IFERROR(INDEX(BDH(TEXT(VALUE(Database!$A335),"0")&amp;" HK Equity","PE_RATIO",Database!$H335,Database!$H335),MATCH(Database!$H335,INDEX(BDH(TEXT(VALUE(Database!$A335),"0")&amp;" HK Equity","PE_RATIO",Database!$H335,Database!$H335),0,1),0),2),"run on terminal")</f>
        <v/>
      </c>
      <c r="P335" s="251">
        <f>IF(Database!BH335="","(n/m or not derivable)",Database!BH335)</f>
        <v/>
      </c>
      <c r="Q335" s="58">
        <f>IF(Database!BN335="","",IFERROR(INDEX(BDH(LEFT(Database!BN335,FIND(".",Database!BN335)-1)&amp;" CH Equity","PE_RATIO",Database!$H335,Database!$H335),MATCH(Database!$H335,INDEX(BDH(LEFT(Database!BN335,FIND(".",Database!BN335)-1)&amp;" CH Equity","PE_RATIO",Database!$H335,Database!$H335),0,1),0),2),"run on terminal"))</f>
        <v/>
      </c>
      <c r="R335" s="58">
        <f>IF(Database!BN335="","",IFERROR(INDEX(BDH("HSAHP Index","PX_LAST",Database!$H335,Database!$H335),MATCH(Database!$H335,INDEX(BDH("HSAHP Index","PX_LAST",Database!$H335,Database!$H335),0,1),0),2),"run on terminal"))</f>
        <v/>
      </c>
      <c r="S335" s="58">
        <f>IFERROR(BDP(TEXT(VALUE(Database!$A335),"0")&amp;" HK Equity","PX_TO_SALES_RATIO"),"")</f>
        <v/>
      </c>
      <c r="T335" s="53">
        <f>IF(Database!BN335="","",IFERROR(BDP(LEFT(Database!BN335,FIND(".",Database!BN335)-1)&amp;" CH Equity","CUR_MKT_CAP")*BDP("CNYHKD Curncy","PX_LAST"),"run on terminal"))</f>
        <v/>
      </c>
    </row>
    <row r="336" ht="23" customHeight="1">
      <c r="A336" s="51">
        <f>Database!A336&amp;"  "&amp;Database!B336</f>
        <v/>
      </c>
      <c r="B336" s="43">
        <f>IFERROR(INDEX(BDS(TEXT(VALUE(Database!$A336),"0")&amp;" HK Equity","EQUITY_OFFERINGS","array=t","endcol=1"),MATCH("IPO",BDS(TEXT(VALUE(Database!$A336),"0")&amp;" HK Equity","EQUITY_OFFERINGS","array=t","startcol=2","endcol=2"),0)),"")</f>
        <v/>
      </c>
      <c r="C336" s="260">
        <f>IF($B336="","",IFERROR(BDP($B336&amp;" Action","CP036"),""))</f>
        <v/>
      </c>
      <c r="D336" s="261">
        <f>Database!S336</f>
        <v/>
      </c>
      <c r="E336" s="260">
        <f>IF($B336="","",IFERROR(BDP($B336&amp;" Action","CP037"),""))</f>
        <v/>
      </c>
      <c r="F336" s="261">
        <f>Database!T336</f>
        <v/>
      </c>
      <c r="G336" s="260">
        <f>IF($B336="","",IFERROR(BDP($B336&amp;" Action","GREENSHOE_FACILITY"),""))</f>
        <v/>
      </c>
      <c r="H336" s="260">
        <f>IF($B336="","",IFERROR(BDP($B336&amp;" Action","OFFERING_GREENSHOE_SHARES_EX"),""))</f>
        <v/>
      </c>
      <c r="I336" s="51">
        <f>Database!AE336</f>
        <v/>
      </c>
      <c r="J336" s="58">
        <f>IFERROR(BDP(TEXT(VALUE(Database!$A336),"0")&amp;" HK Equity","PE_RATIO"),"")</f>
        <v/>
      </c>
      <c r="K336" s="43">
        <f>IFERROR(BDP(TEXT(VALUE(Database!$A336),"0")&amp;" HK Equity","A/H_SHARE_CONVERSION"),"")</f>
        <v/>
      </c>
      <c r="L336" s="51">
        <f>IF(Database!BN336="","(none found)",Database!BN336)</f>
        <v/>
      </c>
      <c r="M336" s="53">
        <f>IFERROR(INDEX(BDH(TEXT(VALUE(Database!$A336),"0")&amp;" HK Equity","CUR_MKT_CAP",Database!$H336,Database!$H336),MATCH(Database!$H336,INDEX(BDH(TEXT(VALUE(Database!$A336),"0")&amp;" HK Equity","CUR_MKT_CAP",Database!$H336,Database!$H336),0,1),0),2),"run on terminal")</f>
        <v/>
      </c>
      <c r="N336" s="213">
        <f>Database!Q336</f>
        <v/>
      </c>
      <c r="O336" s="58">
        <f>IFERROR(INDEX(BDH(TEXT(VALUE(Database!$A336),"0")&amp;" HK Equity","PE_RATIO",Database!$H336,Database!$H336),MATCH(Database!$H336,INDEX(BDH(TEXT(VALUE(Database!$A336),"0")&amp;" HK Equity","PE_RATIO",Database!$H336,Database!$H336),0,1),0),2),"run on terminal")</f>
        <v/>
      </c>
      <c r="P336" s="251">
        <f>IF(Database!BH336="","(n/m or not derivable)",Database!BH336)</f>
        <v/>
      </c>
      <c r="Q336" s="58">
        <f>IF(Database!BN336="","",IFERROR(INDEX(BDH(LEFT(Database!BN336,FIND(".",Database!BN336)-1)&amp;" CH Equity","PE_RATIO",Database!$H336,Database!$H336),MATCH(Database!$H336,INDEX(BDH(LEFT(Database!BN336,FIND(".",Database!BN336)-1)&amp;" CH Equity","PE_RATIO",Database!$H336,Database!$H336),0,1),0),2),"run on terminal"))</f>
        <v/>
      </c>
      <c r="R336" s="58">
        <f>IF(Database!BN336="","",IFERROR(INDEX(BDH("HSAHP Index","PX_LAST",Database!$H336,Database!$H336),MATCH(Database!$H336,INDEX(BDH("HSAHP Index","PX_LAST",Database!$H336,Database!$H336),0,1),0),2),"run on terminal"))</f>
        <v/>
      </c>
      <c r="S336" s="58">
        <f>IFERROR(BDP(TEXT(VALUE(Database!$A336),"0")&amp;" HK Equity","PX_TO_SALES_RATIO"),"")</f>
        <v/>
      </c>
      <c r="T336" s="53">
        <f>IF(Database!BN336="","",IFERROR(BDP(LEFT(Database!BN336,FIND(".",Database!BN336)-1)&amp;" CH Equity","CUR_MKT_CAP")*BDP("CNYHKD Curncy","PX_LAST"),"run on terminal"))</f>
        <v/>
      </c>
    </row>
    <row r="337" ht="23" customHeight="1">
      <c r="A337" s="51">
        <f>Database!A337&amp;"  "&amp;Database!B337</f>
        <v/>
      </c>
      <c r="B337" s="43">
        <f>IFERROR(INDEX(BDS(TEXT(VALUE(Database!$A337),"0")&amp;" HK Equity","EQUITY_OFFERINGS","array=t","endcol=1"),MATCH("IPO",BDS(TEXT(VALUE(Database!$A337),"0")&amp;" HK Equity","EQUITY_OFFERINGS","array=t","startcol=2","endcol=2"),0)),"")</f>
        <v/>
      </c>
      <c r="C337" s="260">
        <f>IF($B337="","",IFERROR(BDP($B337&amp;" Action","CP036"),""))</f>
        <v/>
      </c>
      <c r="D337" s="261">
        <f>Database!S337</f>
        <v/>
      </c>
      <c r="E337" s="260">
        <f>IF($B337="","",IFERROR(BDP($B337&amp;" Action","CP037"),""))</f>
        <v/>
      </c>
      <c r="F337" s="261">
        <f>Database!T337</f>
        <v/>
      </c>
      <c r="G337" s="260">
        <f>IF($B337="","",IFERROR(BDP($B337&amp;" Action","GREENSHOE_FACILITY"),""))</f>
        <v/>
      </c>
      <c r="H337" s="260">
        <f>IF($B337="","",IFERROR(BDP($B337&amp;" Action","OFFERING_GREENSHOE_SHARES_EX"),""))</f>
        <v/>
      </c>
      <c r="I337" s="51">
        <f>Database!AE337</f>
        <v/>
      </c>
      <c r="J337" s="58">
        <f>IFERROR(BDP(TEXT(VALUE(Database!$A337),"0")&amp;" HK Equity","PE_RATIO"),"")</f>
        <v/>
      </c>
      <c r="K337" s="43">
        <f>IFERROR(BDP(TEXT(VALUE(Database!$A337),"0")&amp;" HK Equity","A/H_SHARE_CONVERSION"),"")</f>
        <v/>
      </c>
      <c r="L337" s="51">
        <f>IF(Database!BN337="","(none found)",Database!BN337)</f>
        <v/>
      </c>
      <c r="M337" s="53">
        <f>IFERROR(INDEX(BDH(TEXT(VALUE(Database!$A337),"0")&amp;" HK Equity","CUR_MKT_CAP",Database!$H337,Database!$H337),MATCH(Database!$H337,INDEX(BDH(TEXT(VALUE(Database!$A337),"0")&amp;" HK Equity","CUR_MKT_CAP",Database!$H337,Database!$H337),0,1),0),2),"run on terminal")</f>
        <v/>
      </c>
      <c r="N337" s="213">
        <f>Database!Q337</f>
        <v/>
      </c>
      <c r="O337" s="58">
        <f>IFERROR(INDEX(BDH(TEXT(VALUE(Database!$A337),"0")&amp;" HK Equity","PE_RATIO",Database!$H337,Database!$H337),MATCH(Database!$H337,INDEX(BDH(TEXT(VALUE(Database!$A337),"0")&amp;" HK Equity","PE_RATIO",Database!$H337,Database!$H337),0,1),0),2),"run on terminal")</f>
        <v/>
      </c>
      <c r="P337" s="251">
        <f>IF(Database!BH337="","(n/m or not derivable)",Database!BH337)</f>
        <v/>
      </c>
      <c r="Q337" s="58">
        <f>IF(Database!BN337="","",IFERROR(INDEX(BDH(LEFT(Database!BN337,FIND(".",Database!BN337)-1)&amp;" CH Equity","PE_RATIO",Database!$H337,Database!$H337),MATCH(Database!$H337,INDEX(BDH(LEFT(Database!BN337,FIND(".",Database!BN337)-1)&amp;" CH Equity","PE_RATIO",Database!$H337,Database!$H337),0,1),0),2),"run on terminal"))</f>
        <v/>
      </c>
      <c r="R337" s="58">
        <f>IF(Database!BN337="","",IFERROR(INDEX(BDH("HSAHP Index","PX_LAST",Database!$H337,Database!$H337),MATCH(Database!$H337,INDEX(BDH("HSAHP Index","PX_LAST",Database!$H337,Database!$H337),0,1),0),2),"run on terminal"))</f>
        <v/>
      </c>
      <c r="S337" s="58">
        <f>IFERROR(BDP(TEXT(VALUE(Database!$A337),"0")&amp;" HK Equity","PX_TO_SALES_RATIO"),"")</f>
        <v/>
      </c>
      <c r="T337" s="53">
        <f>IF(Database!BN337="","",IFERROR(BDP(LEFT(Database!BN337,FIND(".",Database!BN337)-1)&amp;" CH Equity","CUR_MKT_CAP")*BDP("CNYHKD Curncy","PX_LAST"),"run on terminal"))</f>
        <v/>
      </c>
    </row>
    <row r="338" ht="23" customHeight="1">
      <c r="A338" s="51">
        <f>Database!A338&amp;"  "&amp;Database!B338</f>
        <v/>
      </c>
      <c r="B338" s="43">
        <f>IFERROR(INDEX(BDS(TEXT(VALUE(Database!$A338),"0")&amp;" HK Equity","EQUITY_OFFERINGS","array=t","endcol=1"),MATCH("IPO",BDS(TEXT(VALUE(Database!$A338),"0")&amp;" HK Equity","EQUITY_OFFERINGS","array=t","startcol=2","endcol=2"),0)),"")</f>
        <v/>
      </c>
      <c r="C338" s="260">
        <f>IF($B338="","",IFERROR(BDP($B338&amp;" Action","CP036"),""))</f>
        <v/>
      </c>
      <c r="D338" s="261">
        <f>Database!S338</f>
        <v/>
      </c>
      <c r="E338" s="260">
        <f>IF($B338="","",IFERROR(BDP($B338&amp;" Action","CP037"),""))</f>
        <v/>
      </c>
      <c r="F338" s="261">
        <f>Database!T338</f>
        <v/>
      </c>
      <c r="G338" s="260">
        <f>IF($B338="","",IFERROR(BDP($B338&amp;" Action","GREENSHOE_FACILITY"),""))</f>
        <v/>
      </c>
      <c r="H338" s="260">
        <f>IF($B338="","",IFERROR(BDP($B338&amp;" Action","OFFERING_GREENSHOE_SHARES_EX"),""))</f>
        <v/>
      </c>
      <c r="I338" s="51">
        <f>Database!AE338</f>
        <v/>
      </c>
      <c r="J338" s="58">
        <f>IFERROR(BDP(TEXT(VALUE(Database!$A338),"0")&amp;" HK Equity","PE_RATIO"),"")</f>
        <v/>
      </c>
      <c r="K338" s="43">
        <f>IFERROR(BDP(TEXT(VALUE(Database!$A338),"0")&amp;" HK Equity","A/H_SHARE_CONVERSION"),"")</f>
        <v/>
      </c>
      <c r="L338" s="51">
        <f>IF(Database!BN338="","(none found)",Database!BN338)</f>
        <v/>
      </c>
      <c r="M338" s="53">
        <f>IFERROR(INDEX(BDH(TEXT(VALUE(Database!$A338),"0")&amp;" HK Equity","CUR_MKT_CAP",Database!$H338,Database!$H338),MATCH(Database!$H338,INDEX(BDH(TEXT(VALUE(Database!$A338),"0")&amp;" HK Equity","CUR_MKT_CAP",Database!$H338,Database!$H338),0,1),0),2),"run on terminal")</f>
        <v/>
      </c>
      <c r="N338" s="213">
        <f>Database!Q338</f>
        <v/>
      </c>
      <c r="O338" s="58">
        <f>IFERROR(INDEX(BDH(TEXT(VALUE(Database!$A338),"0")&amp;" HK Equity","PE_RATIO",Database!$H338,Database!$H338),MATCH(Database!$H338,INDEX(BDH(TEXT(VALUE(Database!$A338),"0")&amp;" HK Equity","PE_RATIO",Database!$H338,Database!$H338),0,1),0),2),"run on terminal")</f>
        <v/>
      </c>
      <c r="P338" s="251">
        <f>IF(Database!BH338="","(n/m or not derivable)",Database!BH338)</f>
        <v/>
      </c>
      <c r="Q338" s="58">
        <f>IF(Database!BN338="","",IFERROR(INDEX(BDH(LEFT(Database!BN338,FIND(".",Database!BN338)-1)&amp;" CH Equity","PE_RATIO",Database!$H338,Database!$H338),MATCH(Database!$H338,INDEX(BDH(LEFT(Database!BN338,FIND(".",Database!BN338)-1)&amp;" CH Equity","PE_RATIO",Database!$H338,Database!$H338),0,1),0),2),"run on terminal"))</f>
        <v/>
      </c>
      <c r="R338" s="58">
        <f>IF(Database!BN338="","",IFERROR(INDEX(BDH("HSAHP Index","PX_LAST",Database!$H338,Database!$H338),MATCH(Database!$H338,INDEX(BDH("HSAHP Index","PX_LAST",Database!$H338,Database!$H338),0,1),0),2),"run on terminal"))</f>
        <v/>
      </c>
      <c r="S338" s="58">
        <f>IFERROR(BDP(TEXT(VALUE(Database!$A338),"0")&amp;" HK Equity","PX_TO_SALES_RATIO"),"")</f>
        <v/>
      </c>
      <c r="T338" s="53">
        <f>IF(Database!BN338="","",IFERROR(BDP(LEFT(Database!BN338,FIND(".",Database!BN338)-1)&amp;" CH Equity","CUR_MKT_CAP")*BDP("CNYHKD Curncy","PX_LAST"),"run on terminal"))</f>
        <v/>
      </c>
    </row>
    <row r="339" ht="23" customHeight="1">
      <c r="A339" s="51">
        <f>Database!A339&amp;"  "&amp;Database!B339</f>
        <v/>
      </c>
      <c r="B339" s="43">
        <f>IFERROR(INDEX(BDS(TEXT(VALUE(Database!$A339),"0")&amp;" HK Equity","EQUITY_OFFERINGS","array=t","endcol=1"),MATCH("IPO",BDS(TEXT(VALUE(Database!$A339),"0")&amp;" HK Equity","EQUITY_OFFERINGS","array=t","startcol=2","endcol=2"),0)),"")</f>
        <v/>
      </c>
      <c r="C339" s="260">
        <f>IF($B339="","",IFERROR(BDP($B339&amp;" Action","CP036"),""))</f>
        <v/>
      </c>
      <c r="D339" s="261">
        <f>Database!S339</f>
        <v/>
      </c>
      <c r="E339" s="260">
        <f>IF($B339="","",IFERROR(BDP($B339&amp;" Action","CP037"),""))</f>
        <v/>
      </c>
      <c r="F339" s="261">
        <f>Database!T339</f>
        <v/>
      </c>
      <c r="G339" s="260">
        <f>IF($B339="","",IFERROR(BDP($B339&amp;" Action","GREENSHOE_FACILITY"),""))</f>
        <v/>
      </c>
      <c r="H339" s="260">
        <f>IF($B339="","",IFERROR(BDP($B339&amp;" Action","OFFERING_GREENSHOE_SHARES_EX"),""))</f>
        <v/>
      </c>
      <c r="I339" s="51">
        <f>Database!AE339</f>
        <v/>
      </c>
      <c r="J339" s="58">
        <f>IFERROR(BDP(TEXT(VALUE(Database!$A339),"0")&amp;" HK Equity","PE_RATIO"),"")</f>
        <v/>
      </c>
      <c r="K339" s="43">
        <f>IFERROR(BDP(TEXT(VALUE(Database!$A339),"0")&amp;" HK Equity","A/H_SHARE_CONVERSION"),"")</f>
        <v/>
      </c>
      <c r="L339" s="51">
        <f>IF(Database!BN339="","(none found)",Database!BN339)</f>
        <v/>
      </c>
      <c r="M339" s="53">
        <f>IFERROR(INDEX(BDH(TEXT(VALUE(Database!$A339),"0")&amp;" HK Equity","CUR_MKT_CAP",Database!$H339,Database!$H339),MATCH(Database!$H339,INDEX(BDH(TEXT(VALUE(Database!$A339),"0")&amp;" HK Equity","CUR_MKT_CAP",Database!$H339,Database!$H339),0,1),0),2),"run on terminal")</f>
        <v/>
      </c>
      <c r="N339" s="213">
        <f>Database!Q339</f>
        <v/>
      </c>
      <c r="O339" s="58">
        <f>IFERROR(INDEX(BDH(TEXT(VALUE(Database!$A339),"0")&amp;" HK Equity","PE_RATIO",Database!$H339,Database!$H339),MATCH(Database!$H339,INDEX(BDH(TEXT(VALUE(Database!$A339),"0")&amp;" HK Equity","PE_RATIO",Database!$H339,Database!$H339),0,1),0),2),"run on terminal")</f>
        <v/>
      </c>
      <c r="P339" s="251">
        <f>IF(Database!BH339="","(n/m or not derivable)",Database!BH339)</f>
        <v/>
      </c>
      <c r="Q339" s="58">
        <f>IF(Database!BN339="","",IFERROR(INDEX(BDH(LEFT(Database!BN339,FIND(".",Database!BN339)-1)&amp;" CH Equity","PE_RATIO",Database!$H339,Database!$H339),MATCH(Database!$H339,INDEX(BDH(LEFT(Database!BN339,FIND(".",Database!BN339)-1)&amp;" CH Equity","PE_RATIO",Database!$H339,Database!$H339),0,1),0),2),"run on terminal"))</f>
        <v/>
      </c>
      <c r="R339" s="58">
        <f>IF(Database!BN339="","",IFERROR(INDEX(BDH("HSAHP Index","PX_LAST",Database!$H339,Database!$H339),MATCH(Database!$H339,INDEX(BDH("HSAHP Index","PX_LAST",Database!$H339,Database!$H339),0,1),0),2),"run on terminal"))</f>
        <v/>
      </c>
      <c r="S339" s="58">
        <f>IFERROR(BDP(TEXT(VALUE(Database!$A339),"0")&amp;" HK Equity","PX_TO_SALES_RATIO"),"")</f>
        <v/>
      </c>
      <c r="T339" s="53">
        <f>IF(Database!BN339="","",IFERROR(BDP(LEFT(Database!BN339,FIND(".",Database!BN339)-1)&amp;" CH Equity","CUR_MKT_CAP")*BDP("CNYHKD Curncy","PX_LAST"),"run on terminal"))</f>
        <v/>
      </c>
    </row>
    <row r="340" ht="23" customHeight="1">
      <c r="A340" s="51">
        <f>Database!A340&amp;"  "&amp;Database!B340</f>
        <v/>
      </c>
      <c r="B340" s="43">
        <f>IFERROR(INDEX(BDS(TEXT(VALUE(Database!$A340),"0")&amp;" HK Equity","EQUITY_OFFERINGS","array=t","endcol=1"),MATCH("IPO",BDS(TEXT(VALUE(Database!$A340),"0")&amp;" HK Equity","EQUITY_OFFERINGS","array=t","startcol=2","endcol=2"),0)),"")</f>
        <v/>
      </c>
      <c r="C340" s="260">
        <f>IF($B340="","",IFERROR(BDP($B340&amp;" Action","CP036"),""))</f>
        <v/>
      </c>
      <c r="D340" s="261">
        <f>Database!S340</f>
        <v/>
      </c>
      <c r="E340" s="260">
        <f>IF($B340="","",IFERROR(BDP($B340&amp;" Action","CP037"),""))</f>
        <v/>
      </c>
      <c r="F340" s="261">
        <f>Database!T340</f>
        <v/>
      </c>
      <c r="G340" s="260">
        <f>IF($B340="","",IFERROR(BDP($B340&amp;" Action","GREENSHOE_FACILITY"),""))</f>
        <v/>
      </c>
      <c r="H340" s="260">
        <f>IF($B340="","",IFERROR(BDP($B340&amp;" Action","OFFERING_GREENSHOE_SHARES_EX"),""))</f>
        <v/>
      </c>
      <c r="I340" s="51">
        <f>Database!AE340</f>
        <v/>
      </c>
      <c r="J340" s="58">
        <f>IFERROR(BDP(TEXT(VALUE(Database!$A340),"0")&amp;" HK Equity","PE_RATIO"),"")</f>
        <v/>
      </c>
      <c r="K340" s="43">
        <f>IFERROR(BDP(TEXT(VALUE(Database!$A340),"0")&amp;" HK Equity","A/H_SHARE_CONVERSION"),"")</f>
        <v/>
      </c>
      <c r="L340" s="51">
        <f>IF(Database!BN340="","(none found)",Database!BN340)</f>
        <v/>
      </c>
      <c r="M340" s="53">
        <f>IFERROR(INDEX(BDH(TEXT(VALUE(Database!$A340),"0")&amp;" HK Equity","CUR_MKT_CAP",Database!$H340,Database!$H340),MATCH(Database!$H340,INDEX(BDH(TEXT(VALUE(Database!$A340),"0")&amp;" HK Equity","CUR_MKT_CAP",Database!$H340,Database!$H340),0,1),0),2),"run on terminal")</f>
        <v/>
      </c>
      <c r="N340" s="213">
        <f>Database!Q340</f>
        <v/>
      </c>
      <c r="O340" s="58">
        <f>IFERROR(INDEX(BDH(TEXT(VALUE(Database!$A340),"0")&amp;" HK Equity","PE_RATIO",Database!$H340,Database!$H340),MATCH(Database!$H340,INDEX(BDH(TEXT(VALUE(Database!$A340),"0")&amp;" HK Equity","PE_RATIO",Database!$H340,Database!$H340),0,1),0),2),"run on terminal")</f>
        <v/>
      </c>
      <c r="P340" s="251">
        <f>IF(Database!BH340="","(n/m or not derivable)",Database!BH340)</f>
        <v/>
      </c>
      <c r="Q340" s="58">
        <f>IF(Database!BN340="","",IFERROR(INDEX(BDH(LEFT(Database!BN340,FIND(".",Database!BN340)-1)&amp;" CH Equity","PE_RATIO",Database!$H340,Database!$H340),MATCH(Database!$H340,INDEX(BDH(LEFT(Database!BN340,FIND(".",Database!BN340)-1)&amp;" CH Equity","PE_RATIO",Database!$H340,Database!$H340),0,1),0),2),"run on terminal"))</f>
        <v/>
      </c>
      <c r="R340" s="58">
        <f>IF(Database!BN340="","",IFERROR(INDEX(BDH("HSAHP Index","PX_LAST",Database!$H340,Database!$H340),MATCH(Database!$H340,INDEX(BDH("HSAHP Index","PX_LAST",Database!$H340,Database!$H340),0,1),0),2),"run on terminal"))</f>
        <v/>
      </c>
      <c r="S340" s="58">
        <f>IFERROR(BDP(TEXT(VALUE(Database!$A340),"0")&amp;" HK Equity","PX_TO_SALES_RATIO"),"")</f>
        <v/>
      </c>
      <c r="T340" s="53">
        <f>IF(Database!BN340="","",IFERROR(BDP(LEFT(Database!BN340,FIND(".",Database!BN340)-1)&amp;" CH Equity","CUR_MKT_CAP")*BDP("CNYHKD Curncy","PX_LAST"),"run on terminal"))</f>
        <v/>
      </c>
    </row>
    <row r="341" ht="23" customHeight="1">
      <c r="A341" s="51">
        <f>Database!A341&amp;"  "&amp;Database!B341</f>
        <v/>
      </c>
      <c r="B341" s="43">
        <f>IFERROR(INDEX(BDS(TEXT(VALUE(Database!$A341),"0")&amp;" HK Equity","EQUITY_OFFERINGS","array=t","endcol=1"),MATCH("IPO",BDS(TEXT(VALUE(Database!$A341),"0")&amp;" HK Equity","EQUITY_OFFERINGS","array=t","startcol=2","endcol=2"),0)),"")</f>
        <v/>
      </c>
      <c r="C341" s="260">
        <f>IF($B341="","",IFERROR(BDP($B341&amp;" Action","CP036"),""))</f>
        <v/>
      </c>
      <c r="D341" s="261">
        <f>Database!S341</f>
        <v/>
      </c>
      <c r="E341" s="260">
        <f>IF($B341="","",IFERROR(BDP($B341&amp;" Action","CP037"),""))</f>
        <v/>
      </c>
      <c r="F341" s="261">
        <f>Database!T341</f>
        <v/>
      </c>
      <c r="G341" s="260">
        <f>IF($B341="","",IFERROR(BDP($B341&amp;" Action","GREENSHOE_FACILITY"),""))</f>
        <v/>
      </c>
      <c r="H341" s="260">
        <f>IF($B341="","",IFERROR(BDP($B341&amp;" Action","OFFERING_GREENSHOE_SHARES_EX"),""))</f>
        <v/>
      </c>
      <c r="I341" s="51">
        <f>Database!AE341</f>
        <v/>
      </c>
      <c r="J341" s="58">
        <f>IFERROR(BDP(TEXT(VALUE(Database!$A341),"0")&amp;" HK Equity","PE_RATIO"),"")</f>
        <v/>
      </c>
      <c r="K341" s="43">
        <f>IFERROR(BDP(TEXT(VALUE(Database!$A341),"0")&amp;" HK Equity","A/H_SHARE_CONVERSION"),"")</f>
        <v/>
      </c>
      <c r="L341" s="51">
        <f>IF(Database!BN341="","(none found)",Database!BN341)</f>
        <v/>
      </c>
      <c r="M341" s="53">
        <f>IFERROR(INDEX(BDH(TEXT(VALUE(Database!$A341),"0")&amp;" HK Equity","CUR_MKT_CAP",Database!$H341,Database!$H341),MATCH(Database!$H341,INDEX(BDH(TEXT(VALUE(Database!$A341),"0")&amp;" HK Equity","CUR_MKT_CAP",Database!$H341,Database!$H341),0,1),0),2),"run on terminal")</f>
        <v/>
      </c>
      <c r="N341" s="213">
        <f>Database!Q341</f>
        <v/>
      </c>
      <c r="O341" s="58">
        <f>IFERROR(INDEX(BDH(TEXT(VALUE(Database!$A341),"0")&amp;" HK Equity","PE_RATIO",Database!$H341,Database!$H341),MATCH(Database!$H341,INDEX(BDH(TEXT(VALUE(Database!$A341),"0")&amp;" HK Equity","PE_RATIO",Database!$H341,Database!$H341),0,1),0),2),"run on terminal")</f>
        <v/>
      </c>
      <c r="P341" s="251">
        <f>IF(Database!BH341="","(n/m or not derivable)",Database!BH341)</f>
        <v/>
      </c>
      <c r="Q341" s="58">
        <f>IF(Database!BN341="","",IFERROR(INDEX(BDH(LEFT(Database!BN341,FIND(".",Database!BN341)-1)&amp;" CH Equity","PE_RATIO",Database!$H341,Database!$H341),MATCH(Database!$H341,INDEX(BDH(LEFT(Database!BN341,FIND(".",Database!BN341)-1)&amp;" CH Equity","PE_RATIO",Database!$H341,Database!$H341),0,1),0),2),"run on terminal"))</f>
        <v/>
      </c>
      <c r="R341" s="58">
        <f>IF(Database!BN341="","",IFERROR(INDEX(BDH("HSAHP Index","PX_LAST",Database!$H341,Database!$H341),MATCH(Database!$H341,INDEX(BDH("HSAHP Index","PX_LAST",Database!$H341,Database!$H341),0,1),0),2),"run on terminal"))</f>
        <v/>
      </c>
      <c r="S341" s="58">
        <f>IFERROR(BDP(TEXT(VALUE(Database!$A341),"0")&amp;" HK Equity","PX_TO_SALES_RATIO"),"")</f>
        <v/>
      </c>
      <c r="T341" s="53">
        <f>IF(Database!BN341="","",IFERROR(BDP(LEFT(Database!BN341,FIND(".",Database!BN341)-1)&amp;" CH Equity","CUR_MKT_CAP")*BDP("CNYHKD Curncy","PX_LAST"),"run on terminal"))</f>
        <v/>
      </c>
    </row>
    <row r="342" ht="23" customHeight="1">
      <c r="A342" s="51">
        <f>Database!A342&amp;"  "&amp;Database!B342</f>
        <v/>
      </c>
      <c r="B342" s="43">
        <f>IFERROR(INDEX(BDS(TEXT(VALUE(Database!$A342),"0")&amp;" HK Equity","EQUITY_OFFERINGS","array=t","endcol=1"),MATCH("IPO",BDS(TEXT(VALUE(Database!$A342),"0")&amp;" HK Equity","EQUITY_OFFERINGS","array=t","startcol=2","endcol=2"),0)),"")</f>
        <v/>
      </c>
      <c r="C342" s="260">
        <f>IF($B342="","",IFERROR(BDP($B342&amp;" Action","CP036"),""))</f>
        <v/>
      </c>
      <c r="D342" s="261">
        <f>Database!S342</f>
        <v/>
      </c>
      <c r="E342" s="260">
        <f>IF($B342="","",IFERROR(BDP($B342&amp;" Action","CP037"),""))</f>
        <v/>
      </c>
      <c r="F342" s="261">
        <f>Database!T342</f>
        <v/>
      </c>
      <c r="G342" s="260">
        <f>IF($B342="","",IFERROR(BDP($B342&amp;" Action","GREENSHOE_FACILITY"),""))</f>
        <v/>
      </c>
      <c r="H342" s="260">
        <f>IF($B342="","",IFERROR(BDP($B342&amp;" Action","OFFERING_GREENSHOE_SHARES_EX"),""))</f>
        <v/>
      </c>
      <c r="I342" s="51">
        <f>Database!AE342</f>
        <v/>
      </c>
      <c r="J342" s="58">
        <f>IFERROR(BDP(TEXT(VALUE(Database!$A342),"0")&amp;" HK Equity","PE_RATIO"),"")</f>
        <v/>
      </c>
      <c r="K342" s="43">
        <f>IFERROR(BDP(TEXT(VALUE(Database!$A342),"0")&amp;" HK Equity","A/H_SHARE_CONVERSION"),"")</f>
        <v/>
      </c>
      <c r="L342" s="51">
        <f>IF(Database!BN342="","(none found)",Database!BN342)</f>
        <v/>
      </c>
      <c r="M342" s="53">
        <f>IFERROR(INDEX(BDH(TEXT(VALUE(Database!$A342),"0")&amp;" HK Equity","CUR_MKT_CAP",Database!$H342,Database!$H342),MATCH(Database!$H342,INDEX(BDH(TEXT(VALUE(Database!$A342),"0")&amp;" HK Equity","CUR_MKT_CAP",Database!$H342,Database!$H342),0,1),0),2),"run on terminal")</f>
        <v/>
      </c>
      <c r="N342" s="213">
        <f>Database!Q342</f>
        <v/>
      </c>
      <c r="O342" s="58">
        <f>IFERROR(INDEX(BDH(TEXT(VALUE(Database!$A342),"0")&amp;" HK Equity","PE_RATIO",Database!$H342,Database!$H342),MATCH(Database!$H342,INDEX(BDH(TEXT(VALUE(Database!$A342),"0")&amp;" HK Equity","PE_RATIO",Database!$H342,Database!$H342),0,1),0),2),"run on terminal")</f>
        <v/>
      </c>
      <c r="P342" s="251">
        <f>IF(Database!BH342="","(n/m or not derivable)",Database!BH342)</f>
        <v/>
      </c>
      <c r="Q342" s="58">
        <f>IF(Database!BN342="","",IFERROR(INDEX(BDH(LEFT(Database!BN342,FIND(".",Database!BN342)-1)&amp;" CH Equity","PE_RATIO",Database!$H342,Database!$H342),MATCH(Database!$H342,INDEX(BDH(LEFT(Database!BN342,FIND(".",Database!BN342)-1)&amp;" CH Equity","PE_RATIO",Database!$H342,Database!$H342),0,1),0),2),"run on terminal"))</f>
        <v/>
      </c>
      <c r="R342" s="58">
        <f>IF(Database!BN342="","",IFERROR(INDEX(BDH("HSAHP Index","PX_LAST",Database!$H342,Database!$H342),MATCH(Database!$H342,INDEX(BDH("HSAHP Index","PX_LAST",Database!$H342,Database!$H342),0,1),0),2),"run on terminal"))</f>
        <v/>
      </c>
      <c r="S342" s="58">
        <f>IFERROR(BDP(TEXT(VALUE(Database!$A342),"0")&amp;" HK Equity","PX_TO_SALES_RATIO"),"")</f>
        <v/>
      </c>
      <c r="T342" s="53">
        <f>IF(Database!BN342="","",IFERROR(BDP(LEFT(Database!BN342,FIND(".",Database!BN342)-1)&amp;" CH Equity","CUR_MKT_CAP")*BDP("CNYHKD Curncy","PX_LAST"),"run on terminal"))</f>
        <v/>
      </c>
    </row>
    <row r="343" ht="23" customHeight="1">
      <c r="A343" s="51">
        <f>Database!A343&amp;"  "&amp;Database!B343</f>
        <v/>
      </c>
      <c r="B343" s="43">
        <f>IFERROR(INDEX(BDS(TEXT(VALUE(Database!$A343),"0")&amp;" HK Equity","EQUITY_OFFERINGS","array=t","endcol=1"),MATCH("IPO",BDS(TEXT(VALUE(Database!$A343),"0")&amp;" HK Equity","EQUITY_OFFERINGS","array=t","startcol=2","endcol=2"),0)),"")</f>
        <v/>
      </c>
      <c r="C343" s="260">
        <f>IF($B343="","",IFERROR(BDP($B343&amp;" Action","CP036"),""))</f>
        <v/>
      </c>
      <c r="D343" s="261">
        <f>Database!S343</f>
        <v/>
      </c>
      <c r="E343" s="260">
        <f>IF($B343="","",IFERROR(BDP($B343&amp;" Action","CP037"),""))</f>
        <v/>
      </c>
      <c r="F343" s="261">
        <f>Database!T343</f>
        <v/>
      </c>
      <c r="G343" s="260">
        <f>IF($B343="","",IFERROR(BDP($B343&amp;" Action","GREENSHOE_FACILITY"),""))</f>
        <v/>
      </c>
      <c r="H343" s="260">
        <f>IF($B343="","",IFERROR(BDP($B343&amp;" Action","OFFERING_GREENSHOE_SHARES_EX"),""))</f>
        <v/>
      </c>
      <c r="I343" s="51">
        <f>Database!AE343</f>
        <v/>
      </c>
      <c r="J343" s="58">
        <f>IFERROR(BDP(TEXT(VALUE(Database!$A343),"0")&amp;" HK Equity","PE_RATIO"),"")</f>
        <v/>
      </c>
      <c r="K343" s="43">
        <f>IFERROR(BDP(TEXT(VALUE(Database!$A343),"0")&amp;" HK Equity","A/H_SHARE_CONVERSION"),"")</f>
        <v/>
      </c>
      <c r="L343" s="51">
        <f>IF(Database!BN343="","(none found)",Database!BN343)</f>
        <v/>
      </c>
      <c r="M343" s="53">
        <f>IFERROR(INDEX(BDH(TEXT(VALUE(Database!$A343),"0")&amp;" HK Equity","CUR_MKT_CAP",Database!$H343,Database!$H343),MATCH(Database!$H343,INDEX(BDH(TEXT(VALUE(Database!$A343),"0")&amp;" HK Equity","CUR_MKT_CAP",Database!$H343,Database!$H343),0,1),0),2),"run on terminal")</f>
        <v/>
      </c>
      <c r="N343" s="213">
        <f>Database!Q343</f>
        <v/>
      </c>
      <c r="O343" s="58">
        <f>IFERROR(INDEX(BDH(TEXT(VALUE(Database!$A343),"0")&amp;" HK Equity","PE_RATIO",Database!$H343,Database!$H343),MATCH(Database!$H343,INDEX(BDH(TEXT(VALUE(Database!$A343),"0")&amp;" HK Equity","PE_RATIO",Database!$H343,Database!$H343),0,1),0),2),"run on terminal")</f>
        <v/>
      </c>
      <c r="P343" s="251">
        <f>IF(Database!BH343="","(n/m or not derivable)",Database!BH343)</f>
        <v/>
      </c>
      <c r="Q343" s="58">
        <f>IF(Database!BN343="","",IFERROR(INDEX(BDH(LEFT(Database!BN343,FIND(".",Database!BN343)-1)&amp;" CH Equity","PE_RATIO",Database!$H343,Database!$H343),MATCH(Database!$H343,INDEX(BDH(LEFT(Database!BN343,FIND(".",Database!BN343)-1)&amp;" CH Equity","PE_RATIO",Database!$H343,Database!$H343),0,1),0),2),"run on terminal"))</f>
        <v/>
      </c>
      <c r="R343" s="58">
        <f>IF(Database!BN343="","",IFERROR(INDEX(BDH("HSAHP Index","PX_LAST",Database!$H343,Database!$H343),MATCH(Database!$H343,INDEX(BDH("HSAHP Index","PX_LAST",Database!$H343,Database!$H343),0,1),0),2),"run on terminal"))</f>
        <v/>
      </c>
      <c r="S343" s="58">
        <f>IFERROR(BDP(TEXT(VALUE(Database!$A343),"0")&amp;" HK Equity","PX_TO_SALES_RATIO"),"")</f>
        <v/>
      </c>
      <c r="T343" s="53">
        <f>IF(Database!BN343="","",IFERROR(BDP(LEFT(Database!BN343,FIND(".",Database!BN343)-1)&amp;" CH Equity","CUR_MKT_CAP")*BDP("CNYHKD Curncy","PX_LAST"),"run on terminal"))</f>
        <v/>
      </c>
    </row>
    <row r="344" ht="23" customHeight="1">
      <c r="A344" s="51">
        <f>Database!A344&amp;"  "&amp;Database!B344</f>
        <v/>
      </c>
      <c r="B344" s="43">
        <f>IFERROR(INDEX(BDS(TEXT(VALUE(Database!$A344),"0")&amp;" HK Equity","EQUITY_OFFERINGS","array=t","endcol=1"),MATCH("IPO",BDS(TEXT(VALUE(Database!$A344),"0")&amp;" HK Equity","EQUITY_OFFERINGS","array=t","startcol=2","endcol=2"),0)),"")</f>
        <v/>
      </c>
      <c r="C344" s="260">
        <f>IF($B344="","",IFERROR(BDP($B344&amp;" Action","CP036"),""))</f>
        <v/>
      </c>
      <c r="D344" s="261">
        <f>Database!S344</f>
        <v/>
      </c>
      <c r="E344" s="260">
        <f>IF($B344="","",IFERROR(BDP($B344&amp;" Action","CP037"),""))</f>
        <v/>
      </c>
      <c r="F344" s="261">
        <f>Database!T344</f>
        <v/>
      </c>
      <c r="G344" s="260">
        <f>IF($B344="","",IFERROR(BDP($B344&amp;" Action","GREENSHOE_FACILITY"),""))</f>
        <v/>
      </c>
      <c r="H344" s="260">
        <f>IF($B344="","",IFERROR(BDP($B344&amp;" Action","OFFERING_GREENSHOE_SHARES_EX"),""))</f>
        <v/>
      </c>
      <c r="I344" s="51">
        <f>Database!AE344</f>
        <v/>
      </c>
      <c r="J344" s="58">
        <f>IFERROR(BDP(TEXT(VALUE(Database!$A344),"0")&amp;" HK Equity","PE_RATIO"),"")</f>
        <v/>
      </c>
      <c r="K344" s="43">
        <f>IFERROR(BDP(TEXT(VALUE(Database!$A344),"0")&amp;" HK Equity","A/H_SHARE_CONVERSION"),"")</f>
        <v/>
      </c>
      <c r="L344" s="51">
        <f>IF(Database!BN344="","(none found)",Database!BN344)</f>
        <v/>
      </c>
      <c r="M344" s="53">
        <f>IFERROR(INDEX(BDH(TEXT(VALUE(Database!$A344),"0")&amp;" HK Equity","CUR_MKT_CAP",Database!$H344,Database!$H344),MATCH(Database!$H344,INDEX(BDH(TEXT(VALUE(Database!$A344),"0")&amp;" HK Equity","CUR_MKT_CAP",Database!$H344,Database!$H344),0,1),0),2),"run on terminal")</f>
        <v/>
      </c>
      <c r="N344" s="213">
        <f>Database!Q344</f>
        <v/>
      </c>
      <c r="O344" s="58">
        <f>IFERROR(INDEX(BDH(TEXT(VALUE(Database!$A344),"0")&amp;" HK Equity","PE_RATIO",Database!$H344,Database!$H344),MATCH(Database!$H344,INDEX(BDH(TEXT(VALUE(Database!$A344),"0")&amp;" HK Equity","PE_RATIO",Database!$H344,Database!$H344),0,1),0),2),"run on terminal")</f>
        <v/>
      </c>
      <c r="P344" s="251">
        <f>IF(Database!BH344="","(n/m or not derivable)",Database!BH344)</f>
        <v/>
      </c>
      <c r="Q344" s="58">
        <f>IF(Database!BN344="","",IFERROR(INDEX(BDH(LEFT(Database!BN344,FIND(".",Database!BN344)-1)&amp;" CH Equity","PE_RATIO",Database!$H344,Database!$H344),MATCH(Database!$H344,INDEX(BDH(LEFT(Database!BN344,FIND(".",Database!BN344)-1)&amp;" CH Equity","PE_RATIO",Database!$H344,Database!$H344),0,1),0),2),"run on terminal"))</f>
        <v/>
      </c>
      <c r="R344" s="58">
        <f>IF(Database!BN344="","",IFERROR(INDEX(BDH("HSAHP Index","PX_LAST",Database!$H344,Database!$H344),MATCH(Database!$H344,INDEX(BDH("HSAHP Index","PX_LAST",Database!$H344,Database!$H344),0,1),0),2),"run on terminal"))</f>
        <v/>
      </c>
      <c r="S344" s="58">
        <f>IFERROR(BDP(TEXT(VALUE(Database!$A344),"0")&amp;" HK Equity","PX_TO_SALES_RATIO"),"")</f>
        <v/>
      </c>
      <c r="T344" s="53">
        <f>IF(Database!BN344="","",IFERROR(BDP(LEFT(Database!BN344,FIND(".",Database!BN344)-1)&amp;" CH Equity","CUR_MKT_CAP")*BDP("CNYHKD Curncy","PX_LAST"),"run on terminal"))</f>
        <v/>
      </c>
    </row>
    <row r="345" ht="23" customHeight="1">
      <c r="A345" s="51">
        <f>Database!A345&amp;"  "&amp;Database!B345</f>
        <v/>
      </c>
      <c r="B345" s="43">
        <f>IFERROR(INDEX(BDS(TEXT(VALUE(Database!$A345),"0")&amp;" HK Equity","EQUITY_OFFERINGS","array=t","endcol=1"),MATCH("IPO",BDS(TEXT(VALUE(Database!$A345),"0")&amp;" HK Equity","EQUITY_OFFERINGS","array=t","startcol=2","endcol=2"),0)),"")</f>
        <v/>
      </c>
      <c r="C345" s="260">
        <f>IF($B345="","",IFERROR(BDP($B345&amp;" Action","CP036"),""))</f>
        <v/>
      </c>
      <c r="D345" s="261">
        <f>Database!S345</f>
        <v/>
      </c>
      <c r="E345" s="260">
        <f>IF($B345="","",IFERROR(BDP($B345&amp;" Action","CP037"),""))</f>
        <v/>
      </c>
      <c r="F345" s="261">
        <f>Database!T345</f>
        <v/>
      </c>
      <c r="G345" s="260">
        <f>IF($B345="","",IFERROR(BDP($B345&amp;" Action","GREENSHOE_FACILITY"),""))</f>
        <v/>
      </c>
      <c r="H345" s="260">
        <f>IF($B345="","",IFERROR(BDP($B345&amp;" Action","OFFERING_GREENSHOE_SHARES_EX"),""))</f>
        <v/>
      </c>
      <c r="I345" s="51">
        <f>Database!AE345</f>
        <v/>
      </c>
      <c r="J345" s="58">
        <f>IFERROR(BDP(TEXT(VALUE(Database!$A345),"0")&amp;" HK Equity","PE_RATIO"),"")</f>
        <v/>
      </c>
      <c r="K345" s="43">
        <f>IFERROR(BDP(TEXT(VALUE(Database!$A345),"0")&amp;" HK Equity","A/H_SHARE_CONVERSION"),"")</f>
        <v/>
      </c>
      <c r="L345" s="51">
        <f>IF(Database!BN345="","(none found)",Database!BN345)</f>
        <v/>
      </c>
      <c r="M345" s="53">
        <f>IFERROR(INDEX(BDH(TEXT(VALUE(Database!$A345),"0")&amp;" HK Equity","CUR_MKT_CAP",Database!$H345,Database!$H345),MATCH(Database!$H345,INDEX(BDH(TEXT(VALUE(Database!$A345),"0")&amp;" HK Equity","CUR_MKT_CAP",Database!$H345,Database!$H345),0,1),0),2),"run on terminal")</f>
        <v/>
      </c>
      <c r="N345" s="213">
        <f>Database!Q345</f>
        <v/>
      </c>
      <c r="O345" s="58">
        <f>IFERROR(INDEX(BDH(TEXT(VALUE(Database!$A345),"0")&amp;" HK Equity","PE_RATIO",Database!$H345,Database!$H345),MATCH(Database!$H345,INDEX(BDH(TEXT(VALUE(Database!$A345),"0")&amp;" HK Equity","PE_RATIO",Database!$H345,Database!$H345),0,1),0),2),"run on terminal")</f>
        <v/>
      </c>
      <c r="P345" s="251">
        <f>IF(Database!BH345="","(n/m or not derivable)",Database!BH345)</f>
        <v/>
      </c>
      <c r="Q345" s="58">
        <f>IF(Database!BN345="","",IFERROR(INDEX(BDH(LEFT(Database!BN345,FIND(".",Database!BN345)-1)&amp;" CH Equity","PE_RATIO",Database!$H345,Database!$H345),MATCH(Database!$H345,INDEX(BDH(LEFT(Database!BN345,FIND(".",Database!BN345)-1)&amp;" CH Equity","PE_RATIO",Database!$H345,Database!$H345),0,1),0),2),"run on terminal"))</f>
        <v/>
      </c>
      <c r="R345" s="58">
        <f>IF(Database!BN345="","",IFERROR(INDEX(BDH("HSAHP Index","PX_LAST",Database!$H345,Database!$H345),MATCH(Database!$H345,INDEX(BDH("HSAHP Index","PX_LAST",Database!$H345,Database!$H345),0,1),0),2),"run on terminal"))</f>
        <v/>
      </c>
      <c r="S345" s="58">
        <f>IFERROR(BDP(TEXT(VALUE(Database!$A345),"0")&amp;" HK Equity","PX_TO_SALES_RATIO"),"")</f>
        <v/>
      </c>
      <c r="T345" s="53">
        <f>IF(Database!BN345="","",IFERROR(BDP(LEFT(Database!BN345,FIND(".",Database!BN345)-1)&amp;" CH Equity","CUR_MKT_CAP")*BDP("CNYHKD Curncy","PX_LAST"),"run on terminal"))</f>
        <v/>
      </c>
    </row>
    <row r="346" ht="23" customHeight="1">
      <c r="A346" s="51">
        <f>Database!A346&amp;"  "&amp;Database!B346</f>
        <v/>
      </c>
      <c r="B346" s="43">
        <f>IFERROR(INDEX(BDS(TEXT(VALUE(Database!$A346),"0")&amp;" HK Equity","EQUITY_OFFERINGS","array=t","endcol=1"),MATCH("IPO",BDS(TEXT(VALUE(Database!$A346),"0")&amp;" HK Equity","EQUITY_OFFERINGS","array=t","startcol=2","endcol=2"),0)),"")</f>
        <v/>
      </c>
      <c r="C346" s="260">
        <f>IF($B346="","",IFERROR(BDP($B346&amp;" Action","CP036"),""))</f>
        <v/>
      </c>
      <c r="D346" s="261">
        <f>Database!S346</f>
        <v/>
      </c>
      <c r="E346" s="260">
        <f>IF($B346="","",IFERROR(BDP($B346&amp;" Action","CP037"),""))</f>
        <v/>
      </c>
      <c r="F346" s="261">
        <f>Database!T346</f>
        <v/>
      </c>
      <c r="G346" s="260">
        <f>IF($B346="","",IFERROR(BDP($B346&amp;" Action","GREENSHOE_FACILITY"),""))</f>
        <v/>
      </c>
      <c r="H346" s="260">
        <f>IF($B346="","",IFERROR(BDP($B346&amp;" Action","OFFERING_GREENSHOE_SHARES_EX"),""))</f>
        <v/>
      </c>
      <c r="I346" s="51">
        <f>Database!AE346</f>
        <v/>
      </c>
      <c r="J346" s="58">
        <f>IFERROR(BDP(TEXT(VALUE(Database!$A346),"0")&amp;" HK Equity","PE_RATIO"),"")</f>
        <v/>
      </c>
      <c r="K346" s="43">
        <f>IFERROR(BDP(TEXT(VALUE(Database!$A346),"0")&amp;" HK Equity","A/H_SHARE_CONVERSION"),"")</f>
        <v/>
      </c>
      <c r="L346" s="51">
        <f>IF(Database!BN346="","(none found)",Database!BN346)</f>
        <v/>
      </c>
      <c r="M346" s="53">
        <f>IFERROR(INDEX(BDH(TEXT(VALUE(Database!$A346),"0")&amp;" HK Equity","CUR_MKT_CAP",Database!$H346,Database!$H346),MATCH(Database!$H346,INDEX(BDH(TEXT(VALUE(Database!$A346),"0")&amp;" HK Equity","CUR_MKT_CAP",Database!$H346,Database!$H346),0,1),0),2),"run on terminal")</f>
        <v/>
      </c>
      <c r="N346" s="213">
        <f>Database!Q346</f>
        <v/>
      </c>
      <c r="O346" s="58">
        <f>IFERROR(INDEX(BDH(TEXT(VALUE(Database!$A346),"0")&amp;" HK Equity","PE_RATIO",Database!$H346,Database!$H346),MATCH(Database!$H346,INDEX(BDH(TEXT(VALUE(Database!$A346),"0")&amp;" HK Equity","PE_RATIO",Database!$H346,Database!$H346),0,1),0),2),"run on terminal")</f>
        <v/>
      </c>
      <c r="P346" s="251">
        <f>IF(Database!BH346="","(n/m or not derivable)",Database!BH346)</f>
        <v/>
      </c>
      <c r="Q346" s="58">
        <f>IF(Database!BN346="","",IFERROR(INDEX(BDH(LEFT(Database!BN346,FIND(".",Database!BN346)-1)&amp;" CH Equity","PE_RATIO",Database!$H346,Database!$H346),MATCH(Database!$H346,INDEX(BDH(LEFT(Database!BN346,FIND(".",Database!BN346)-1)&amp;" CH Equity","PE_RATIO",Database!$H346,Database!$H346),0,1),0),2),"run on terminal"))</f>
        <v/>
      </c>
      <c r="R346" s="58">
        <f>IF(Database!BN346="","",IFERROR(INDEX(BDH("HSAHP Index","PX_LAST",Database!$H346,Database!$H346),MATCH(Database!$H346,INDEX(BDH("HSAHP Index","PX_LAST",Database!$H346,Database!$H346),0,1),0),2),"run on terminal"))</f>
        <v/>
      </c>
      <c r="S346" s="58">
        <f>IFERROR(BDP(TEXT(VALUE(Database!$A346),"0")&amp;" HK Equity","PX_TO_SALES_RATIO"),"")</f>
        <v/>
      </c>
      <c r="T346" s="53">
        <f>IF(Database!BN346="","",IFERROR(BDP(LEFT(Database!BN346,FIND(".",Database!BN346)-1)&amp;" CH Equity","CUR_MKT_CAP")*BDP("CNYHKD Curncy","PX_LAST"),"run on terminal"))</f>
        <v/>
      </c>
    </row>
    <row r="347" ht="23" customHeight="1">
      <c r="A347" s="51">
        <f>Database!A347&amp;"  "&amp;Database!B347</f>
        <v/>
      </c>
      <c r="B347" s="43">
        <f>IFERROR(INDEX(BDS(TEXT(VALUE(Database!$A347),"0")&amp;" HK Equity","EQUITY_OFFERINGS","array=t","endcol=1"),MATCH("IPO",BDS(TEXT(VALUE(Database!$A347),"0")&amp;" HK Equity","EQUITY_OFFERINGS","array=t","startcol=2","endcol=2"),0)),"")</f>
        <v/>
      </c>
      <c r="C347" s="260">
        <f>IF($B347="","",IFERROR(BDP($B347&amp;" Action","CP036"),""))</f>
        <v/>
      </c>
      <c r="D347" s="261">
        <f>Database!S347</f>
        <v/>
      </c>
      <c r="E347" s="260">
        <f>IF($B347="","",IFERROR(BDP($B347&amp;" Action","CP037"),""))</f>
        <v/>
      </c>
      <c r="F347" s="261">
        <f>Database!T347</f>
        <v/>
      </c>
      <c r="G347" s="260">
        <f>IF($B347="","",IFERROR(BDP($B347&amp;" Action","GREENSHOE_FACILITY"),""))</f>
        <v/>
      </c>
      <c r="H347" s="260">
        <f>IF($B347="","",IFERROR(BDP($B347&amp;" Action","OFFERING_GREENSHOE_SHARES_EX"),""))</f>
        <v/>
      </c>
      <c r="I347" s="51">
        <f>Database!AE347</f>
        <v/>
      </c>
      <c r="J347" s="58">
        <f>IFERROR(BDP(TEXT(VALUE(Database!$A347),"0")&amp;" HK Equity","PE_RATIO"),"")</f>
        <v/>
      </c>
      <c r="K347" s="43">
        <f>IFERROR(BDP(TEXT(VALUE(Database!$A347),"0")&amp;" HK Equity","A/H_SHARE_CONVERSION"),"")</f>
        <v/>
      </c>
      <c r="L347" s="51">
        <f>IF(Database!BN347="","(none found)",Database!BN347)</f>
        <v/>
      </c>
      <c r="M347" s="53">
        <f>IFERROR(INDEX(BDH(TEXT(VALUE(Database!$A347),"0")&amp;" HK Equity","CUR_MKT_CAP",Database!$H347,Database!$H347),MATCH(Database!$H347,INDEX(BDH(TEXT(VALUE(Database!$A347),"0")&amp;" HK Equity","CUR_MKT_CAP",Database!$H347,Database!$H347),0,1),0),2),"run on terminal")</f>
        <v/>
      </c>
      <c r="N347" s="213">
        <f>Database!Q347</f>
        <v/>
      </c>
      <c r="O347" s="58">
        <f>IFERROR(INDEX(BDH(TEXT(VALUE(Database!$A347),"0")&amp;" HK Equity","PE_RATIO",Database!$H347,Database!$H347),MATCH(Database!$H347,INDEX(BDH(TEXT(VALUE(Database!$A347),"0")&amp;" HK Equity","PE_RATIO",Database!$H347,Database!$H347),0,1),0),2),"run on terminal")</f>
        <v/>
      </c>
      <c r="P347" s="251">
        <f>IF(Database!BH347="","(n/m or not derivable)",Database!BH347)</f>
        <v/>
      </c>
      <c r="Q347" s="58">
        <f>IF(Database!BN347="","",IFERROR(INDEX(BDH(LEFT(Database!BN347,FIND(".",Database!BN347)-1)&amp;" CH Equity","PE_RATIO",Database!$H347,Database!$H347),MATCH(Database!$H347,INDEX(BDH(LEFT(Database!BN347,FIND(".",Database!BN347)-1)&amp;" CH Equity","PE_RATIO",Database!$H347,Database!$H347),0,1),0),2),"run on terminal"))</f>
        <v/>
      </c>
      <c r="R347" s="58">
        <f>IF(Database!BN347="","",IFERROR(INDEX(BDH("HSAHP Index","PX_LAST",Database!$H347,Database!$H347),MATCH(Database!$H347,INDEX(BDH("HSAHP Index","PX_LAST",Database!$H347,Database!$H347),0,1),0),2),"run on terminal"))</f>
        <v/>
      </c>
      <c r="S347" s="58">
        <f>IFERROR(BDP(TEXT(VALUE(Database!$A347),"0")&amp;" HK Equity","PX_TO_SALES_RATIO"),"")</f>
        <v/>
      </c>
      <c r="T347" s="53">
        <f>IF(Database!BN347="","",IFERROR(BDP(LEFT(Database!BN347,FIND(".",Database!BN347)-1)&amp;" CH Equity","CUR_MKT_CAP")*BDP("CNYHKD Curncy","PX_LAST"),"run on terminal"))</f>
        <v/>
      </c>
    </row>
    <row r="348" ht="23" customHeight="1">
      <c r="A348" s="51">
        <f>Database!A348&amp;"  "&amp;Database!B348</f>
        <v/>
      </c>
      <c r="B348" s="43">
        <f>IFERROR(INDEX(BDS(TEXT(VALUE(Database!$A348),"0")&amp;" HK Equity","EQUITY_OFFERINGS","array=t","endcol=1"),MATCH("IPO",BDS(TEXT(VALUE(Database!$A348),"0")&amp;" HK Equity","EQUITY_OFFERINGS","array=t","startcol=2","endcol=2"),0)),"")</f>
        <v/>
      </c>
      <c r="C348" s="260">
        <f>IF($B348="","",IFERROR(BDP($B348&amp;" Action","CP036"),""))</f>
        <v/>
      </c>
      <c r="D348" s="261">
        <f>Database!S348</f>
        <v/>
      </c>
      <c r="E348" s="260">
        <f>IF($B348="","",IFERROR(BDP($B348&amp;" Action","CP037"),""))</f>
        <v/>
      </c>
      <c r="F348" s="261">
        <f>Database!T348</f>
        <v/>
      </c>
      <c r="G348" s="260">
        <f>IF($B348="","",IFERROR(BDP($B348&amp;" Action","GREENSHOE_FACILITY"),""))</f>
        <v/>
      </c>
      <c r="H348" s="260">
        <f>IF($B348="","",IFERROR(BDP($B348&amp;" Action","OFFERING_GREENSHOE_SHARES_EX"),""))</f>
        <v/>
      </c>
      <c r="I348" s="51">
        <f>Database!AE348</f>
        <v/>
      </c>
      <c r="J348" s="58">
        <f>IFERROR(BDP(TEXT(VALUE(Database!$A348),"0")&amp;" HK Equity","PE_RATIO"),"")</f>
        <v/>
      </c>
      <c r="K348" s="43">
        <f>IFERROR(BDP(TEXT(VALUE(Database!$A348),"0")&amp;" HK Equity","A/H_SHARE_CONVERSION"),"")</f>
        <v/>
      </c>
      <c r="L348" s="51">
        <f>IF(Database!BN348="","(none found)",Database!BN348)</f>
        <v/>
      </c>
      <c r="M348" s="53">
        <f>IFERROR(INDEX(BDH(TEXT(VALUE(Database!$A348),"0")&amp;" HK Equity","CUR_MKT_CAP",Database!$H348,Database!$H348),MATCH(Database!$H348,INDEX(BDH(TEXT(VALUE(Database!$A348),"0")&amp;" HK Equity","CUR_MKT_CAP",Database!$H348,Database!$H348),0,1),0),2),"run on terminal")</f>
        <v/>
      </c>
      <c r="N348" s="213">
        <f>Database!Q348</f>
        <v/>
      </c>
      <c r="O348" s="58">
        <f>IFERROR(INDEX(BDH(TEXT(VALUE(Database!$A348),"0")&amp;" HK Equity","PE_RATIO",Database!$H348,Database!$H348),MATCH(Database!$H348,INDEX(BDH(TEXT(VALUE(Database!$A348),"0")&amp;" HK Equity","PE_RATIO",Database!$H348,Database!$H348),0,1),0),2),"run on terminal")</f>
        <v/>
      </c>
      <c r="P348" s="251">
        <f>IF(Database!BH348="","(n/m or not derivable)",Database!BH348)</f>
        <v/>
      </c>
      <c r="Q348" s="58">
        <f>IF(Database!BN348="","",IFERROR(INDEX(BDH(LEFT(Database!BN348,FIND(".",Database!BN348)-1)&amp;" CH Equity","PE_RATIO",Database!$H348,Database!$H348),MATCH(Database!$H348,INDEX(BDH(LEFT(Database!BN348,FIND(".",Database!BN348)-1)&amp;" CH Equity","PE_RATIO",Database!$H348,Database!$H348),0,1),0),2),"run on terminal"))</f>
        <v/>
      </c>
      <c r="R348" s="58">
        <f>IF(Database!BN348="","",IFERROR(INDEX(BDH("HSAHP Index","PX_LAST",Database!$H348,Database!$H348),MATCH(Database!$H348,INDEX(BDH("HSAHP Index","PX_LAST",Database!$H348,Database!$H348),0,1),0),2),"run on terminal"))</f>
        <v/>
      </c>
      <c r="S348" s="58">
        <f>IFERROR(BDP(TEXT(VALUE(Database!$A348),"0")&amp;" HK Equity","PX_TO_SALES_RATIO"),"")</f>
        <v/>
      </c>
      <c r="T348" s="53">
        <f>IF(Database!BN348="","",IFERROR(BDP(LEFT(Database!BN348,FIND(".",Database!BN348)-1)&amp;" CH Equity","CUR_MKT_CAP")*BDP("CNYHKD Curncy","PX_LAST"),"run on terminal"))</f>
        <v/>
      </c>
    </row>
    <row r="349" ht="23" customHeight="1">
      <c r="A349" s="51">
        <f>Database!A349&amp;"  "&amp;Database!B349</f>
        <v/>
      </c>
      <c r="B349" s="43">
        <f>IFERROR(INDEX(BDS(TEXT(VALUE(Database!$A349),"0")&amp;" HK Equity","EQUITY_OFFERINGS","array=t","endcol=1"),MATCH("IPO",BDS(TEXT(VALUE(Database!$A349),"0")&amp;" HK Equity","EQUITY_OFFERINGS","array=t","startcol=2","endcol=2"),0)),"")</f>
        <v/>
      </c>
      <c r="C349" s="260">
        <f>IF($B349="","",IFERROR(BDP($B349&amp;" Action","CP036"),""))</f>
        <v/>
      </c>
      <c r="D349" s="261">
        <f>Database!S349</f>
        <v/>
      </c>
      <c r="E349" s="260">
        <f>IF($B349="","",IFERROR(BDP($B349&amp;" Action","CP037"),""))</f>
        <v/>
      </c>
      <c r="F349" s="261">
        <f>Database!T349</f>
        <v/>
      </c>
      <c r="G349" s="260">
        <f>IF($B349="","",IFERROR(BDP($B349&amp;" Action","GREENSHOE_FACILITY"),""))</f>
        <v/>
      </c>
      <c r="H349" s="260">
        <f>IF($B349="","",IFERROR(BDP($B349&amp;" Action","OFFERING_GREENSHOE_SHARES_EX"),""))</f>
        <v/>
      </c>
      <c r="I349" s="51">
        <f>Database!AE349</f>
        <v/>
      </c>
      <c r="J349" s="58">
        <f>IFERROR(BDP(TEXT(VALUE(Database!$A349),"0")&amp;" HK Equity","PE_RATIO"),"")</f>
        <v/>
      </c>
      <c r="K349" s="43">
        <f>IFERROR(BDP(TEXT(VALUE(Database!$A349),"0")&amp;" HK Equity","A/H_SHARE_CONVERSION"),"")</f>
        <v/>
      </c>
      <c r="L349" s="51">
        <f>IF(Database!BN349="","(none found)",Database!BN349)</f>
        <v/>
      </c>
      <c r="M349" s="53">
        <f>IFERROR(INDEX(BDH(TEXT(VALUE(Database!$A349),"0")&amp;" HK Equity","CUR_MKT_CAP",Database!$H349,Database!$H349),MATCH(Database!$H349,INDEX(BDH(TEXT(VALUE(Database!$A349),"0")&amp;" HK Equity","CUR_MKT_CAP",Database!$H349,Database!$H349),0,1),0),2),"run on terminal")</f>
        <v/>
      </c>
      <c r="N349" s="213">
        <f>Database!Q349</f>
        <v/>
      </c>
      <c r="O349" s="58">
        <f>IFERROR(INDEX(BDH(TEXT(VALUE(Database!$A349),"0")&amp;" HK Equity","PE_RATIO",Database!$H349,Database!$H349),MATCH(Database!$H349,INDEX(BDH(TEXT(VALUE(Database!$A349),"0")&amp;" HK Equity","PE_RATIO",Database!$H349,Database!$H349),0,1),0),2),"run on terminal")</f>
        <v/>
      </c>
      <c r="P349" s="251">
        <f>IF(Database!BH349="","(n/m or not derivable)",Database!BH349)</f>
        <v/>
      </c>
      <c r="Q349" s="58">
        <f>IF(Database!BN349="","",IFERROR(INDEX(BDH(LEFT(Database!BN349,FIND(".",Database!BN349)-1)&amp;" CH Equity","PE_RATIO",Database!$H349,Database!$H349),MATCH(Database!$H349,INDEX(BDH(LEFT(Database!BN349,FIND(".",Database!BN349)-1)&amp;" CH Equity","PE_RATIO",Database!$H349,Database!$H349),0,1),0),2),"run on terminal"))</f>
        <v/>
      </c>
      <c r="R349" s="58">
        <f>IF(Database!BN349="","",IFERROR(INDEX(BDH("HSAHP Index","PX_LAST",Database!$H349,Database!$H349),MATCH(Database!$H349,INDEX(BDH("HSAHP Index","PX_LAST",Database!$H349,Database!$H349),0,1),0),2),"run on terminal"))</f>
        <v/>
      </c>
      <c r="S349" s="58">
        <f>IFERROR(BDP(TEXT(VALUE(Database!$A349),"0")&amp;" HK Equity","PX_TO_SALES_RATIO"),"")</f>
        <v/>
      </c>
      <c r="T349" s="53">
        <f>IF(Database!BN349="","",IFERROR(BDP(LEFT(Database!BN349,FIND(".",Database!BN349)-1)&amp;" CH Equity","CUR_MKT_CAP")*BDP("CNYHKD Curncy","PX_LAST"),"run on terminal"))</f>
        <v/>
      </c>
    </row>
    <row r="350" ht="23" customHeight="1">
      <c r="A350" s="51">
        <f>Database!A350&amp;"  "&amp;Database!B350</f>
        <v/>
      </c>
      <c r="B350" s="43">
        <f>IFERROR(INDEX(BDS(TEXT(VALUE(Database!$A350),"0")&amp;" HK Equity","EQUITY_OFFERINGS","array=t","endcol=1"),MATCH("IPO",BDS(TEXT(VALUE(Database!$A350),"0")&amp;" HK Equity","EQUITY_OFFERINGS","array=t","startcol=2","endcol=2"),0)),"")</f>
        <v/>
      </c>
      <c r="C350" s="260">
        <f>IF($B350="","",IFERROR(BDP($B350&amp;" Action","CP036"),""))</f>
        <v/>
      </c>
      <c r="D350" s="261">
        <f>Database!S350</f>
        <v/>
      </c>
      <c r="E350" s="260">
        <f>IF($B350="","",IFERROR(BDP($B350&amp;" Action","CP037"),""))</f>
        <v/>
      </c>
      <c r="F350" s="261">
        <f>Database!T350</f>
        <v/>
      </c>
      <c r="G350" s="260">
        <f>IF($B350="","",IFERROR(BDP($B350&amp;" Action","GREENSHOE_FACILITY"),""))</f>
        <v/>
      </c>
      <c r="H350" s="260">
        <f>IF($B350="","",IFERROR(BDP($B350&amp;" Action","OFFERING_GREENSHOE_SHARES_EX"),""))</f>
        <v/>
      </c>
      <c r="I350" s="51">
        <f>Database!AE350</f>
        <v/>
      </c>
      <c r="J350" s="58">
        <f>IFERROR(BDP(TEXT(VALUE(Database!$A350),"0")&amp;" HK Equity","PE_RATIO"),"")</f>
        <v/>
      </c>
      <c r="K350" s="43">
        <f>IFERROR(BDP(TEXT(VALUE(Database!$A350),"0")&amp;" HK Equity","A/H_SHARE_CONVERSION"),"")</f>
        <v/>
      </c>
      <c r="L350" s="51">
        <f>IF(Database!BN350="","(none found)",Database!BN350)</f>
        <v/>
      </c>
      <c r="M350" s="53">
        <f>IFERROR(INDEX(BDH(TEXT(VALUE(Database!$A350),"0")&amp;" HK Equity","CUR_MKT_CAP",Database!$H350,Database!$H350),MATCH(Database!$H350,INDEX(BDH(TEXT(VALUE(Database!$A350),"0")&amp;" HK Equity","CUR_MKT_CAP",Database!$H350,Database!$H350),0,1),0),2),"run on terminal")</f>
        <v/>
      </c>
      <c r="N350" s="213">
        <f>Database!Q350</f>
        <v/>
      </c>
      <c r="O350" s="58">
        <f>IFERROR(INDEX(BDH(TEXT(VALUE(Database!$A350),"0")&amp;" HK Equity","PE_RATIO",Database!$H350,Database!$H350),MATCH(Database!$H350,INDEX(BDH(TEXT(VALUE(Database!$A350),"0")&amp;" HK Equity","PE_RATIO",Database!$H350,Database!$H350),0,1),0),2),"run on terminal")</f>
        <v/>
      </c>
      <c r="P350" s="251">
        <f>IF(Database!BH350="","(n/m or not derivable)",Database!BH350)</f>
        <v/>
      </c>
      <c r="Q350" s="58">
        <f>IF(Database!BN350="","",IFERROR(INDEX(BDH(LEFT(Database!BN350,FIND(".",Database!BN350)-1)&amp;" CH Equity","PE_RATIO",Database!$H350,Database!$H350),MATCH(Database!$H350,INDEX(BDH(LEFT(Database!BN350,FIND(".",Database!BN350)-1)&amp;" CH Equity","PE_RATIO",Database!$H350,Database!$H350),0,1),0),2),"run on terminal"))</f>
        <v/>
      </c>
      <c r="R350" s="58">
        <f>IF(Database!BN350="","",IFERROR(INDEX(BDH("HSAHP Index","PX_LAST",Database!$H350,Database!$H350),MATCH(Database!$H350,INDEX(BDH("HSAHP Index","PX_LAST",Database!$H350,Database!$H350),0,1),0),2),"run on terminal"))</f>
        <v/>
      </c>
      <c r="S350" s="58">
        <f>IFERROR(BDP(TEXT(VALUE(Database!$A350),"0")&amp;" HK Equity","PX_TO_SALES_RATIO"),"")</f>
        <v/>
      </c>
      <c r="T350" s="53">
        <f>IF(Database!BN350="","",IFERROR(BDP(LEFT(Database!BN350,FIND(".",Database!BN350)-1)&amp;" CH Equity","CUR_MKT_CAP")*BDP("CNYHKD Curncy","PX_LAST"),"run on terminal"))</f>
        <v/>
      </c>
    </row>
    <row r="351" ht="23" customHeight="1">
      <c r="A351" s="51">
        <f>Database!A351&amp;"  "&amp;Database!B351</f>
        <v/>
      </c>
      <c r="B351" s="43">
        <f>IFERROR(INDEX(BDS(TEXT(VALUE(Database!$A351),"0")&amp;" HK Equity","EQUITY_OFFERINGS","array=t","endcol=1"),MATCH("IPO",BDS(TEXT(VALUE(Database!$A351),"0")&amp;" HK Equity","EQUITY_OFFERINGS","array=t","startcol=2","endcol=2"),0)),"")</f>
        <v/>
      </c>
      <c r="C351" s="260">
        <f>IF($B351="","",IFERROR(BDP($B351&amp;" Action","CP036"),""))</f>
        <v/>
      </c>
      <c r="D351" s="261">
        <f>Database!S351</f>
        <v/>
      </c>
      <c r="E351" s="260">
        <f>IF($B351="","",IFERROR(BDP($B351&amp;" Action","CP037"),""))</f>
        <v/>
      </c>
      <c r="F351" s="261">
        <f>Database!T351</f>
        <v/>
      </c>
      <c r="G351" s="260">
        <f>IF($B351="","",IFERROR(BDP($B351&amp;" Action","GREENSHOE_FACILITY"),""))</f>
        <v/>
      </c>
      <c r="H351" s="260">
        <f>IF($B351="","",IFERROR(BDP($B351&amp;" Action","OFFERING_GREENSHOE_SHARES_EX"),""))</f>
        <v/>
      </c>
      <c r="I351" s="51">
        <f>Database!AE351</f>
        <v/>
      </c>
      <c r="J351" s="58">
        <f>IFERROR(BDP(TEXT(VALUE(Database!$A351),"0")&amp;" HK Equity","PE_RATIO"),"")</f>
        <v/>
      </c>
      <c r="K351" s="43">
        <f>IFERROR(BDP(TEXT(VALUE(Database!$A351),"0")&amp;" HK Equity","A/H_SHARE_CONVERSION"),"")</f>
        <v/>
      </c>
      <c r="L351" s="51">
        <f>IF(Database!BN351="","(none found)",Database!BN351)</f>
        <v/>
      </c>
      <c r="M351" s="53">
        <f>IFERROR(INDEX(BDH(TEXT(VALUE(Database!$A351),"0")&amp;" HK Equity","CUR_MKT_CAP",Database!$H351,Database!$H351),MATCH(Database!$H351,INDEX(BDH(TEXT(VALUE(Database!$A351),"0")&amp;" HK Equity","CUR_MKT_CAP",Database!$H351,Database!$H351),0,1),0),2),"run on terminal")</f>
        <v/>
      </c>
      <c r="N351" s="213">
        <f>Database!Q351</f>
        <v/>
      </c>
      <c r="O351" s="58">
        <f>IFERROR(INDEX(BDH(TEXT(VALUE(Database!$A351),"0")&amp;" HK Equity","PE_RATIO",Database!$H351,Database!$H351),MATCH(Database!$H351,INDEX(BDH(TEXT(VALUE(Database!$A351),"0")&amp;" HK Equity","PE_RATIO",Database!$H351,Database!$H351),0,1),0),2),"run on terminal")</f>
        <v/>
      </c>
      <c r="P351" s="251">
        <f>IF(Database!BH351="","(n/m or not derivable)",Database!BH351)</f>
        <v/>
      </c>
      <c r="Q351" s="58">
        <f>IF(Database!BN351="","",IFERROR(INDEX(BDH(LEFT(Database!BN351,FIND(".",Database!BN351)-1)&amp;" CH Equity","PE_RATIO",Database!$H351,Database!$H351),MATCH(Database!$H351,INDEX(BDH(LEFT(Database!BN351,FIND(".",Database!BN351)-1)&amp;" CH Equity","PE_RATIO",Database!$H351,Database!$H351),0,1),0),2),"run on terminal"))</f>
        <v/>
      </c>
      <c r="R351" s="58">
        <f>IF(Database!BN351="","",IFERROR(INDEX(BDH("HSAHP Index","PX_LAST",Database!$H351,Database!$H351),MATCH(Database!$H351,INDEX(BDH("HSAHP Index","PX_LAST",Database!$H351,Database!$H351),0,1),0),2),"run on terminal"))</f>
        <v/>
      </c>
      <c r="S351" s="58">
        <f>IFERROR(BDP(TEXT(VALUE(Database!$A351),"0")&amp;" HK Equity","PX_TO_SALES_RATIO"),"")</f>
        <v/>
      </c>
      <c r="T351" s="53">
        <f>IF(Database!BN351="","",IFERROR(BDP(LEFT(Database!BN351,FIND(".",Database!BN351)-1)&amp;" CH Equity","CUR_MKT_CAP")*BDP("CNYHKD Curncy","PX_LAST"),"run on terminal"))</f>
        <v/>
      </c>
    </row>
    <row r="352" ht="23" customHeight="1">
      <c r="A352" s="51">
        <f>Database!A352&amp;"  "&amp;Database!B352</f>
        <v/>
      </c>
      <c r="B352" s="43">
        <f>IFERROR(INDEX(BDS(TEXT(VALUE(Database!$A352),"0")&amp;" HK Equity","EQUITY_OFFERINGS","array=t","endcol=1"),MATCH("IPO",BDS(TEXT(VALUE(Database!$A352),"0")&amp;" HK Equity","EQUITY_OFFERINGS","array=t","startcol=2","endcol=2"),0)),"")</f>
        <v/>
      </c>
      <c r="C352" s="260">
        <f>IF($B352="","",IFERROR(BDP($B352&amp;" Action","CP036"),""))</f>
        <v/>
      </c>
      <c r="D352" s="261">
        <f>Database!S352</f>
        <v/>
      </c>
      <c r="E352" s="260">
        <f>IF($B352="","",IFERROR(BDP($B352&amp;" Action","CP037"),""))</f>
        <v/>
      </c>
      <c r="F352" s="261">
        <f>Database!T352</f>
        <v/>
      </c>
      <c r="G352" s="260">
        <f>IF($B352="","",IFERROR(BDP($B352&amp;" Action","GREENSHOE_FACILITY"),""))</f>
        <v/>
      </c>
      <c r="H352" s="260">
        <f>IF($B352="","",IFERROR(BDP($B352&amp;" Action","OFFERING_GREENSHOE_SHARES_EX"),""))</f>
        <v/>
      </c>
      <c r="I352" s="51">
        <f>Database!AE352</f>
        <v/>
      </c>
      <c r="J352" s="58">
        <f>IFERROR(BDP(TEXT(VALUE(Database!$A352),"0")&amp;" HK Equity","PE_RATIO"),"")</f>
        <v/>
      </c>
      <c r="K352" s="43">
        <f>IFERROR(BDP(TEXT(VALUE(Database!$A352),"0")&amp;" HK Equity","A/H_SHARE_CONVERSION"),"")</f>
        <v/>
      </c>
      <c r="L352" s="51">
        <f>IF(Database!BN352="","(none found)",Database!BN352)</f>
        <v/>
      </c>
      <c r="M352" s="53">
        <f>IFERROR(INDEX(BDH(TEXT(VALUE(Database!$A352),"0")&amp;" HK Equity","CUR_MKT_CAP",Database!$H352,Database!$H352),MATCH(Database!$H352,INDEX(BDH(TEXT(VALUE(Database!$A352),"0")&amp;" HK Equity","CUR_MKT_CAP",Database!$H352,Database!$H352),0,1),0),2),"run on terminal")</f>
        <v/>
      </c>
      <c r="N352" s="213">
        <f>Database!Q352</f>
        <v/>
      </c>
      <c r="O352" s="58">
        <f>IFERROR(INDEX(BDH(TEXT(VALUE(Database!$A352),"0")&amp;" HK Equity","PE_RATIO",Database!$H352,Database!$H352),MATCH(Database!$H352,INDEX(BDH(TEXT(VALUE(Database!$A352),"0")&amp;" HK Equity","PE_RATIO",Database!$H352,Database!$H352),0,1),0),2),"run on terminal")</f>
        <v/>
      </c>
      <c r="P352" s="251">
        <f>IF(Database!BH352="","(n/m or not derivable)",Database!BH352)</f>
        <v/>
      </c>
      <c r="Q352" s="58">
        <f>IF(Database!BN352="","",IFERROR(INDEX(BDH(LEFT(Database!BN352,FIND(".",Database!BN352)-1)&amp;" CH Equity","PE_RATIO",Database!$H352,Database!$H352),MATCH(Database!$H352,INDEX(BDH(LEFT(Database!BN352,FIND(".",Database!BN352)-1)&amp;" CH Equity","PE_RATIO",Database!$H352,Database!$H352),0,1),0),2),"run on terminal"))</f>
        <v/>
      </c>
      <c r="R352" s="58">
        <f>IF(Database!BN352="","",IFERROR(INDEX(BDH("HSAHP Index","PX_LAST",Database!$H352,Database!$H352),MATCH(Database!$H352,INDEX(BDH("HSAHP Index","PX_LAST",Database!$H352,Database!$H352),0,1),0),2),"run on terminal"))</f>
        <v/>
      </c>
      <c r="S352" s="58">
        <f>IFERROR(BDP(TEXT(VALUE(Database!$A352),"0")&amp;" HK Equity","PX_TO_SALES_RATIO"),"")</f>
        <v/>
      </c>
      <c r="T352" s="53">
        <f>IF(Database!BN352="","",IFERROR(BDP(LEFT(Database!BN352,FIND(".",Database!BN352)-1)&amp;" CH Equity","CUR_MKT_CAP")*BDP("CNYHKD Curncy","PX_LAST"),"run on terminal"))</f>
        <v/>
      </c>
    </row>
    <row r="353" ht="23" customHeight="1">
      <c r="A353" s="51">
        <f>Database!A353&amp;"  "&amp;Database!B353</f>
        <v/>
      </c>
      <c r="B353" s="43">
        <f>IFERROR(INDEX(BDS(TEXT(VALUE(Database!$A353),"0")&amp;" HK Equity","EQUITY_OFFERINGS","array=t","endcol=1"),MATCH("IPO",BDS(TEXT(VALUE(Database!$A353),"0")&amp;" HK Equity","EQUITY_OFFERINGS","array=t","startcol=2","endcol=2"),0)),"")</f>
        <v/>
      </c>
      <c r="C353" s="260">
        <f>IF($B353="","",IFERROR(BDP($B353&amp;" Action","CP036"),""))</f>
        <v/>
      </c>
      <c r="D353" s="261">
        <f>Database!S353</f>
        <v/>
      </c>
      <c r="E353" s="260">
        <f>IF($B353="","",IFERROR(BDP($B353&amp;" Action","CP037"),""))</f>
        <v/>
      </c>
      <c r="F353" s="261">
        <f>Database!T353</f>
        <v/>
      </c>
      <c r="G353" s="260">
        <f>IF($B353="","",IFERROR(BDP($B353&amp;" Action","GREENSHOE_FACILITY"),""))</f>
        <v/>
      </c>
      <c r="H353" s="260">
        <f>IF($B353="","",IFERROR(BDP($B353&amp;" Action","OFFERING_GREENSHOE_SHARES_EX"),""))</f>
        <v/>
      </c>
      <c r="I353" s="51">
        <f>Database!AE353</f>
        <v/>
      </c>
      <c r="J353" s="58">
        <f>IFERROR(BDP(TEXT(VALUE(Database!$A353),"0")&amp;" HK Equity","PE_RATIO"),"")</f>
        <v/>
      </c>
      <c r="K353" s="43">
        <f>IFERROR(BDP(TEXT(VALUE(Database!$A353),"0")&amp;" HK Equity","A/H_SHARE_CONVERSION"),"")</f>
        <v/>
      </c>
      <c r="L353" s="51">
        <f>IF(Database!BN353="","(none found)",Database!BN353)</f>
        <v/>
      </c>
      <c r="M353" s="53">
        <f>IFERROR(INDEX(BDH(TEXT(VALUE(Database!$A353),"0")&amp;" HK Equity","CUR_MKT_CAP",Database!$H353,Database!$H353),MATCH(Database!$H353,INDEX(BDH(TEXT(VALUE(Database!$A353),"0")&amp;" HK Equity","CUR_MKT_CAP",Database!$H353,Database!$H353),0,1),0),2),"run on terminal")</f>
        <v/>
      </c>
      <c r="N353" s="213">
        <f>Database!Q353</f>
        <v/>
      </c>
      <c r="O353" s="58">
        <f>IFERROR(INDEX(BDH(TEXT(VALUE(Database!$A353),"0")&amp;" HK Equity","PE_RATIO",Database!$H353,Database!$H353),MATCH(Database!$H353,INDEX(BDH(TEXT(VALUE(Database!$A353),"0")&amp;" HK Equity","PE_RATIO",Database!$H353,Database!$H353),0,1),0),2),"run on terminal")</f>
        <v/>
      </c>
      <c r="P353" s="251">
        <f>IF(Database!BH353="","(n/m or not derivable)",Database!BH353)</f>
        <v/>
      </c>
      <c r="Q353" s="58">
        <f>IF(Database!BN353="","",IFERROR(INDEX(BDH(LEFT(Database!BN353,FIND(".",Database!BN353)-1)&amp;" CH Equity","PE_RATIO",Database!$H353,Database!$H353),MATCH(Database!$H353,INDEX(BDH(LEFT(Database!BN353,FIND(".",Database!BN353)-1)&amp;" CH Equity","PE_RATIO",Database!$H353,Database!$H353),0,1),0),2),"run on terminal"))</f>
        <v/>
      </c>
      <c r="R353" s="58">
        <f>IF(Database!BN353="","",IFERROR(INDEX(BDH("HSAHP Index","PX_LAST",Database!$H353,Database!$H353),MATCH(Database!$H353,INDEX(BDH("HSAHP Index","PX_LAST",Database!$H353,Database!$H353),0,1),0),2),"run on terminal"))</f>
        <v/>
      </c>
      <c r="S353" s="58">
        <f>IFERROR(BDP(TEXT(VALUE(Database!$A353),"0")&amp;" HK Equity","PX_TO_SALES_RATIO"),"")</f>
        <v/>
      </c>
      <c r="T353" s="53">
        <f>IF(Database!BN353="","",IFERROR(BDP(LEFT(Database!BN353,FIND(".",Database!BN353)-1)&amp;" CH Equity","CUR_MKT_CAP")*BDP("CNYHKD Curncy","PX_LAST"),"run on terminal"))</f>
        <v/>
      </c>
    </row>
    <row r="354" ht="23" customHeight="1">
      <c r="A354" s="51">
        <f>Database!A354&amp;"  "&amp;Database!B354</f>
        <v/>
      </c>
      <c r="B354" s="43">
        <f>IFERROR(INDEX(BDS(TEXT(VALUE(Database!$A354),"0")&amp;" HK Equity","EQUITY_OFFERINGS","array=t","endcol=1"),MATCH("IPO",BDS(TEXT(VALUE(Database!$A354),"0")&amp;" HK Equity","EQUITY_OFFERINGS","array=t","startcol=2","endcol=2"),0)),"")</f>
        <v/>
      </c>
      <c r="C354" s="260">
        <f>IF($B354="","",IFERROR(BDP($B354&amp;" Action","CP036"),""))</f>
        <v/>
      </c>
      <c r="D354" s="261">
        <f>Database!S354</f>
        <v/>
      </c>
      <c r="E354" s="260">
        <f>IF($B354="","",IFERROR(BDP($B354&amp;" Action","CP037"),""))</f>
        <v/>
      </c>
      <c r="F354" s="261">
        <f>Database!T354</f>
        <v/>
      </c>
      <c r="G354" s="260">
        <f>IF($B354="","",IFERROR(BDP($B354&amp;" Action","GREENSHOE_FACILITY"),""))</f>
        <v/>
      </c>
      <c r="H354" s="260">
        <f>IF($B354="","",IFERROR(BDP($B354&amp;" Action","OFFERING_GREENSHOE_SHARES_EX"),""))</f>
        <v/>
      </c>
      <c r="I354" s="51">
        <f>Database!AE354</f>
        <v/>
      </c>
      <c r="J354" s="58">
        <f>IFERROR(BDP(TEXT(VALUE(Database!$A354),"0")&amp;" HK Equity","PE_RATIO"),"")</f>
        <v/>
      </c>
      <c r="K354" s="43">
        <f>IFERROR(BDP(TEXT(VALUE(Database!$A354),"0")&amp;" HK Equity","A/H_SHARE_CONVERSION"),"")</f>
        <v/>
      </c>
      <c r="L354" s="51">
        <f>IF(Database!BN354="","(none found)",Database!BN354)</f>
        <v/>
      </c>
      <c r="M354" s="53">
        <f>IFERROR(INDEX(BDH(TEXT(VALUE(Database!$A354),"0")&amp;" HK Equity","CUR_MKT_CAP",Database!$H354,Database!$H354),MATCH(Database!$H354,INDEX(BDH(TEXT(VALUE(Database!$A354),"0")&amp;" HK Equity","CUR_MKT_CAP",Database!$H354,Database!$H354),0,1),0),2),"run on terminal")</f>
        <v/>
      </c>
      <c r="N354" s="213">
        <f>Database!Q354</f>
        <v/>
      </c>
      <c r="O354" s="58">
        <f>IFERROR(INDEX(BDH(TEXT(VALUE(Database!$A354),"0")&amp;" HK Equity","PE_RATIO",Database!$H354,Database!$H354),MATCH(Database!$H354,INDEX(BDH(TEXT(VALUE(Database!$A354),"0")&amp;" HK Equity","PE_RATIO",Database!$H354,Database!$H354),0,1),0),2),"run on terminal")</f>
        <v/>
      </c>
      <c r="P354" s="251">
        <f>IF(Database!BH354="","(n/m or not derivable)",Database!BH354)</f>
        <v/>
      </c>
      <c r="Q354" s="58">
        <f>IF(Database!BN354="","",IFERROR(INDEX(BDH(LEFT(Database!BN354,FIND(".",Database!BN354)-1)&amp;" CH Equity","PE_RATIO",Database!$H354,Database!$H354),MATCH(Database!$H354,INDEX(BDH(LEFT(Database!BN354,FIND(".",Database!BN354)-1)&amp;" CH Equity","PE_RATIO",Database!$H354,Database!$H354),0,1),0),2),"run on terminal"))</f>
        <v/>
      </c>
      <c r="R354" s="58">
        <f>IF(Database!BN354="","",IFERROR(INDEX(BDH("HSAHP Index","PX_LAST",Database!$H354,Database!$H354),MATCH(Database!$H354,INDEX(BDH("HSAHP Index","PX_LAST",Database!$H354,Database!$H354),0,1),0),2),"run on terminal"))</f>
        <v/>
      </c>
      <c r="S354" s="58">
        <f>IFERROR(BDP(TEXT(VALUE(Database!$A354),"0")&amp;" HK Equity","PX_TO_SALES_RATIO"),"")</f>
        <v/>
      </c>
      <c r="T354" s="53">
        <f>IF(Database!BN354="","",IFERROR(BDP(LEFT(Database!BN354,FIND(".",Database!BN354)-1)&amp;" CH Equity","CUR_MKT_CAP")*BDP("CNYHKD Curncy","PX_LAST"),"run on terminal"))</f>
        <v/>
      </c>
    </row>
    <row r="355" ht="23" customHeight="1">
      <c r="A355" s="51">
        <f>Database!A355&amp;"  "&amp;Database!B355</f>
        <v/>
      </c>
      <c r="B355" s="43">
        <f>IFERROR(INDEX(BDS(TEXT(VALUE(Database!$A355),"0")&amp;" HK Equity","EQUITY_OFFERINGS","array=t","endcol=1"),MATCH("IPO",BDS(TEXT(VALUE(Database!$A355),"0")&amp;" HK Equity","EQUITY_OFFERINGS","array=t","startcol=2","endcol=2"),0)),"")</f>
        <v/>
      </c>
      <c r="C355" s="260">
        <f>IF($B355="","",IFERROR(BDP($B355&amp;" Action","CP036"),""))</f>
        <v/>
      </c>
      <c r="D355" s="261">
        <f>Database!S355</f>
        <v/>
      </c>
      <c r="E355" s="260">
        <f>IF($B355="","",IFERROR(BDP($B355&amp;" Action","CP037"),""))</f>
        <v/>
      </c>
      <c r="F355" s="261">
        <f>Database!T355</f>
        <v/>
      </c>
      <c r="G355" s="260">
        <f>IF($B355="","",IFERROR(BDP($B355&amp;" Action","GREENSHOE_FACILITY"),""))</f>
        <v/>
      </c>
      <c r="H355" s="260">
        <f>IF($B355="","",IFERROR(BDP($B355&amp;" Action","OFFERING_GREENSHOE_SHARES_EX"),""))</f>
        <v/>
      </c>
      <c r="I355" s="51">
        <f>Database!AE355</f>
        <v/>
      </c>
      <c r="J355" s="58">
        <f>IFERROR(BDP(TEXT(VALUE(Database!$A355),"0")&amp;" HK Equity","PE_RATIO"),"")</f>
        <v/>
      </c>
      <c r="K355" s="43">
        <f>IFERROR(BDP(TEXT(VALUE(Database!$A355),"0")&amp;" HK Equity","A/H_SHARE_CONVERSION"),"")</f>
        <v/>
      </c>
      <c r="L355" s="51">
        <f>IF(Database!BN355="","(none found)",Database!BN355)</f>
        <v/>
      </c>
      <c r="M355" s="53">
        <f>IFERROR(INDEX(BDH(TEXT(VALUE(Database!$A355),"0")&amp;" HK Equity","CUR_MKT_CAP",Database!$H355,Database!$H355),MATCH(Database!$H355,INDEX(BDH(TEXT(VALUE(Database!$A355),"0")&amp;" HK Equity","CUR_MKT_CAP",Database!$H355,Database!$H355),0,1),0),2),"run on terminal")</f>
        <v/>
      </c>
      <c r="N355" s="213">
        <f>Database!Q355</f>
        <v/>
      </c>
      <c r="O355" s="58">
        <f>IFERROR(INDEX(BDH(TEXT(VALUE(Database!$A355),"0")&amp;" HK Equity","PE_RATIO",Database!$H355,Database!$H355),MATCH(Database!$H355,INDEX(BDH(TEXT(VALUE(Database!$A355),"0")&amp;" HK Equity","PE_RATIO",Database!$H355,Database!$H355),0,1),0),2),"run on terminal")</f>
        <v/>
      </c>
      <c r="P355" s="251">
        <f>IF(Database!BH355="","(n/m or not derivable)",Database!BH355)</f>
        <v/>
      </c>
      <c r="Q355" s="58">
        <f>IF(Database!BN355="","",IFERROR(INDEX(BDH(LEFT(Database!BN355,FIND(".",Database!BN355)-1)&amp;" CH Equity","PE_RATIO",Database!$H355,Database!$H355),MATCH(Database!$H355,INDEX(BDH(LEFT(Database!BN355,FIND(".",Database!BN355)-1)&amp;" CH Equity","PE_RATIO",Database!$H355,Database!$H355),0,1),0),2),"run on terminal"))</f>
        <v/>
      </c>
      <c r="R355" s="58">
        <f>IF(Database!BN355="","",IFERROR(INDEX(BDH("HSAHP Index","PX_LAST",Database!$H355,Database!$H355),MATCH(Database!$H355,INDEX(BDH("HSAHP Index","PX_LAST",Database!$H355,Database!$H355),0,1),0),2),"run on terminal"))</f>
        <v/>
      </c>
      <c r="S355" s="58">
        <f>IFERROR(BDP(TEXT(VALUE(Database!$A355),"0")&amp;" HK Equity","PX_TO_SALES_RATIO"),"")</f>
        <v/>
      </c>
      <c r="T355" s="53">
        <f>IF(Database!BN355="","",IFERROR(BDP(LEFT(Database!BN355,FIND(".",Database!BN355)-1)&amp;" CH Equity","CUR_MKT_CAP")*BDP("CNYHKD Curncy","PX_LAST"),"run on terminal"))</f>
        <v/>
      </c>
    </row>
    <row r="356" ht="23" customHeight="1">
      <c r="A356" s="51">
        <f>Database!A356&amp;"  "&amp;Database!B356</f>
        <v/>
      </c>
      <c r="B356" s="43">
        <f>IFERROR(INDEX(BDS(TEXT(VALUE(Database!$A356),"0")&amp;" HK Equity","EQUITY_OFFERINGS","array=t","endcol=1"),MATCH("IPO",BDS(TEXT(VALUE(Database!$A356),"0")&amp;" HK Equity","EQUITY_OFFERINGS","array=t","startcol=2","endcol=2"),0)),"")</f>
        <v/>
      </c>
      <c r="C356" s="260">
        <f>IF($B356="","",IFERROR(BDP($B356&amp;" Action","CP036"),""))</f>
        <v/>
      </c>
      <c r="D356" s="261">
        <f>Database!S356</f>
        <v/>
      </c>
      <c r="E356" s="260">
        <f>IF($B356="","",IFERROR(BDP($B356&amp;" Action","CP037"),""))</f>
        <v/>
      </c>
      <c r="F356" s="261">
        <f>Database!T356</f>
        <v/>
      </c>
      <c r="G356" s="260">
        <f>IF($B356="","",IFERROR(BDP($B356&amp;" Action","GREENSHOE_FACILITY"),""))</f>
        <v/>
      </c>
      <c r="H356" s="260">
        <f>IF($B356="","",IFERROR(BDP($B356&amp;" Action","OFFERING_GREENSHOE_SHARES_EX"),""))</f>
        <v/>
      </c>
      <c r="I356" s="51">
        <f>Database!AE356</f>
        <v/>
      </c>
      <c r="J356" s="58">
        <f>IFERROR(BDP(TEXT(VALUE(Database!$A356),"0")&amp;" HK Equity","PE_RATIO"),"")</f>
        <v/>
      </c>
      <c r="K356" s="43">
        <f>IFERROR(BDP(TEXT(VALUE(Database!$A356),"0")&amp;" HK Equity","A/H_SHARE_CONVERSION"),"")</f>
        <v/>
      </c>
      <c r="L356" s="51">
        <f>IF(Database!BN356="","(none found)",Database!BN356)</f>
        <v/>
      </c>
      <c r="M356" s="53">
        <f>IFERROR(INDEX(BDH(TEXT(VALUE(Database!$A356),"0")&amp;" HK Equity","CUR_MKT_CAP",Database!$H356,Database!$H356),MATCH(Database!$H356,INDEX(BDH(TEXT(VALUE(Database!$A356),"0")&amp;" HK Equity","CUR_MKT_CAP",Database!$H356,Database!$H356),0,1),0),2),"run on terminal")</f>
        <v/>
      </c>
      <c r="N356" s="213">
        <f>Database!Q356</f>
        <v/>
      </c>
      <c r="O356" s="58">
        <f>IFERROR(INDEX(BDH(TEXT(VALUE(Database!$A356),"0")&amp;" HK Equity","PE_RATIO",Database!$H356,Database!$H356),MATCH(Database!$H356,INDEX(BDH(TEXT(VALUE(Database!$A356),"0")&amp;" HK Equity","PE_RATIO",Database!$H356,Database!$H356),0,1),0),2),"run on terminal")</f>
        <v/>
      </c>
      <c r="P356" s="251">
        <f>IF(Database!BH356="","(n/m or not derivable)",Database!BH356)</f>
        <v/>
      </c>
      <c r="Q356" s="58">
        <f>IF(Database!BN356="","",IFERROR(INDEX(BDH(LEFT(Database!BN356,FIND(".",Database!BN356)-1)&amp;" CH Equity","PE_RATIO",Database!$H356,Database!$H356),MATCH(Database!$H356,INDEX(BDH(LEFT(Database!BN356,FIND(".",Database!BN356)-1)&amp;" CH Equity","PE_RATIO",Database!$H356,Database!$H356),0,1),0),2),"run on terminal"))</f>
        <v/>
      </c>
      <c r="R356" s="58">
        <f>IF(Database!BN356="","",IFERROR(INDEX(BDH("HSAHP Index","PX_LAST",Database!$H356,Database!$H356),MATCH(Database!$H356,INDEX(BDH("HSAHP Index","PX_LAST",Database!$H356,Database!$H356),0,1),0),2),"run on terminal"))</f>
        <v/>
      </c>
      <c r="S356" s="58">
        <f>IFERROR(BDP(TEXT(VALUE(Database!$A356),"0")&amp;" HK Equity","PX_TO_SALES_RATIO"),"")</f>
        <v/>
      </c>
      <c r="T356" s="53">
        <f>IF(Database!BN356="","",IFERROR(BDP(LEFT(Database!BN356,FIND(".",Database!BN356)-1)&amp;" CH Equity","CUR_MKT_CAP")*BDP("CNYHKD Curncy","PX_LAST"),"run on terminal"))</f>
        <v/>
      </c>
    </row>
    <row r="357" ht="23" customHeight="1">
      <c r="A357" s="51">
        <f>Database!A357&amp;"  "&amp;Database!B357</f>
        <v/>
      </c>
      <c r="B357" s="43">
        <f>IFERROR(INDEX(BDS(TEXT(VALUE(Database!$A357),"0")&amp;" HK Equity","EQUITY_OFFERINGS","array=t","endcol=1"),MATCH("IPO",BDS(TEXT(VALUE(Database!$A357),"0")&amp;" HK Equity","EQUITY_OFFERINGS","array=t","startcol=2","endcol=2"),0)),"")</f>
        <v/>
      </c>
      <c r="C357" s="260">
        <f>IF($B357="","",IFERROR(BDP($B357&amp;" Action","CP036"),""))</f>
        <v/>
      </c>
      <c r="D357" s="261">
        <f>Database!S357</f>
        <v/>
      </c>
      <c r="E357" s="260">
        <f>IF($B357="","",IFERROR(BDP($B357&amp;" Action","CP037"),""))</f>
        <v/>
      </c>
      <c r="F357" s="261">
        <f>Database!T357</f>
        <v/>
      </c>
      <c r="G357" s="260">
        <f>IF($B357="","",IFERROR(BDP($B357&amp;" Action","GREENSHOE_FACILITY"),""))</f>
        <v/>
      </c>
      <c r="H357" s="260">
        <f>IF($B357="","",IFERROR(BDP($B357&amp;" Action","OFFERING_GREENSHOE_SHARES_EX"),""))</f>
        <v/>
      </c>
      <c r="I357" s="51">
        <f>Database!AE357</f>
        <v/>
      </c>
      <c r="J357" s="58">
        <f>IFERROR(BDP(TEXT(VALUE(Database!$A357),"0")&amp;" HK Equity","PE_RATIO"),"")</f>
        <v/>
      </c>
      <c r="K357" s="43">
        <f>IFERROR(BDP(TEXT(VALUE(Database!$A357),"0")&amp;" HK Equity","A/H_SHARE_CONVERSION"),"")</f>
        <v/>
      </c>
      <c r="L357" s="51">
        <f>IF(Database!BN357="","(none found)",Database!BN357)</f>
        <v/>
      </c>
      <c r="M357" s="53">
        <f>IFERROR(INDEX(BDH(TEXT(VALUE(Database!$A357),"0")&amp;" HK Equity","CUR_MKT_CAP",Database!$H357,Database!$H357),MATCH(Database!$H357,INDEX(BDH(TEXT(VALUE(Database!$A357),"0")&amp;" HK Equity","CUR_MKT_CAP",Database!$H357,Database!$H357),0,1),0),2),"run on terminal")</f>
        <v/>
      </c>
      <c r="N357" s="213">
        <f>Database!Q357</f>
        <v/>
      </c>
      <c r="O357" s="58">
        <f>IFERROR(INDEX(BDH(TEXT(VALUE(Database!$A357),"0")&amp;" HK Equity","PE_RATIO",Database!$H357,Database!$H357),MATCH(Database!$H357,INDEX(BDH(TEXT(VALUE(Database!$A357),"0")&amp;" HK Equity","PE_RATIO",Database!$H357,Database!$H357),0,1),0),2),"run on terminal")</f>
        <v/>
      </c>
      <c r="P357" s="251">
        <f>IF(Database!BH357="","(n/m or not derivable)",Database!BH357)</f>
        <v/>
      </c>
      <c r="Q357" s="58">
        <f>IF(Database!BN357="","",IFERROR(INDEX(BDH(LEFT(Database!BN357,FIND(".",Database!BN357)-1)&amp;" CH Equity","PE_RATIO",Database!$H357,Database!$H357),MATCH(Database!$H357,INDEX(BDH(LEFT(Database!BN357,FIND(".",Database!BN357)-1)&amp;" CH Equity","PE_RATIO",Database!$H357,Database!$H357),0,1),0),2),"run on terminal"))</f>
        <v/>
      </c>
      <c r="R357" s="58">
        <f>IF(Database!BN357="","",IFERROR(INDEX(BDH("HSAHP Index","PX_LAST",Database!$H357,Database!$H357),MATCH(Database!$H357,INDEX(BDH("HSAHP Index","PX_LAST",Database!$H357,Database!$H357),0,1),0),2),"run on terminal"))</f>
        <v/>
      </c>
      <c r="S357" s="58">
        <f>IFERROR(BDP(TEXT(VALUE(Database!$A357),"0")&amp;" HK Equity","PX_TO_SALES_RATIO"),"")</f>
        <v/>
      </c>
      <c r="T357" s="53">
        <f>IF(Database!BN357="","",IFERROR(BDP(LEFT(Database!BN357,FIND(".",Database!BN357)-1)&amp;" CH Equity","CUR_MKT_CAP")*BDP("CNYHKD Curncy","PX_LAST"),"run on terminal"))</f>
        <v/>
      </c>
    </row>
    <row r="358" ht="23" customHeight="1">
      <c r="A358" s="51">
        <f>Database!A358&amp;"  "&amp;Database!B358</f>
        <v/>
      </c>
      <c r="B358" s="43">
        <f>IFERROR(INDEX(BDS(TEXT(VALUE(Database!$A358),"0")&amp;" HK Equity","EQUITY_OFFERINGS","array=t","endcol=1"),MATCH("IPO",BDS(TEXT(VALUE(Database!$A358),"0")&amp;" HK Equity","EQUITY_OFFERINGS","array=t","startcol=2","endcol=2"),0)),"")</f>
        <v/>
      </c>
      <c r="C358" s="260">
        <f>IF($B358="","",IFERROR(BDP($B358&amp;" Action","CP036"),""))</f>
        <v/>
      </c>
      <c r="D358" s="261">
        <f>Database!S358</f>
        <v/>
      </c>
      <c r="E358" s="260">
        <f>IF($B358="","",IFERROR(BDP($B358&amp;" Action","CP037"),""))</f>
        <v/>
      </c>
      <c r="F358" s="261">
        <f>Database!T358</f>
        <v/>
      </c>
      <c r="G358" s="260">
        <f>IF($B358="","",IFERROR(BDP($B358&amp;" Action","GREENSHOE_FACILITY"),""))</f>
        <v/>
      </c>
      <c r="H358" s="260">
        <f>IF($B358="","",IFERROR(BDP($B358&amp;" Action","OFFERING_GREENSHOE_SHARES_EX"),""))</f>
        <v/>
      </c>
      <c r="I358" s="51">
        <f>Database!AE358</f>
        <v/>
      </c>
      <c r="J358" s="58">
        <f>IFERROR(BDP(TEXT(VALUE(Database!$A358),"0")&amp;" HK Equity","PE_RATIO"),"")</f>
        <v/>
      </c>
      <c r="K358" s="43">
        <f>IFERROR(BDP(TEXT(VALUE(Database!$A358),"0")&amp;" HK Equity","A/H_SHARE_CONVERSION"),"")</f>
        <v/>
      </c>
      <c r="L358" s="51">
        <f>IF(Database!BN358="","(none found)",Database!BN358)</f>
        <v/>
      </c>
      <c r="M358" s="53">
        <f>IFERROR(INDEX(BDH(TEXT(VALUE(Database!$A358),"0")&amp;" HK Equity","CUR_MKT_CAP",Database!$H358,Database!$H358),MATCH(Database!$H358,INDEX(BDH(TEXT(VALUE(Database!$A358),"0")&amp;" HK Equity","CUR_MKT_CAP",Database!$H358,Database!$H358),0,1),0),2),"run on terminal")</f>
        <v/>
      </c>
      <c r="N358" s="213">
        <f>Database!Q358</f>
        <v/>
      </c>
      <c r="O358" s="58">
        <f>IFERROR(INDEX(BDH(TEXT(VALUE(Database!$A358),"0")&amp;" HK Equity","PE_RATIO",Database!$H358,Database!$H358),MATCH(Database!$H358,INDEX(BDH(TEXT(VALUE(Database!$A358),"0")&amp;" HK Equity","PE_RATIO",Database!$H358,Database!$H358),0,1),0),2),"run on terminal")</f>
        <v/>
      </c>
      <c r="P358" s="251">
        <f>IF(Database!BH358="","(n/m or not derivable)",Database!BH358)</f>
        <v/>
      </c>
      <c r="Q358" s="58">
        <f>IF(Database!BN358="","",IFERROR(INDEX(BDH(LEFT(Database!BN358,FIND(".",Database!BN358)-1)&amp;" CH Equity","PE_RATIO",Database!$H358,Database!$H358),MATCH(Database!$H358,INDEX(BDH(LEFT(Database!BN358,FIND(".",Database!BN358)-1)&amp;" CH Equity","PE_RATIO",Database!$H358,Database!$H358),0,1),0),2),"run on terminal"))</f>
        <v/>
      </c>
      <c r="R358" s="58">
        <f>IF(Database!BN358="","",IFERROR(INDEX(BDH("HSAHP Index","PX_LAST",Database!$H358,Database!$H358),MATCH(Database!$H358,INDEX(BDH("HSAHP Index","PX_LAST",Database!$H358,Database!$H358),0,1),0),2),"run on terminal"))</f>
        <v/>
      </c>
      <c r="S358" s="58">
        <f>IFERROR(BDP(TEXT(VALUE(Database!$A358),"0")&amp;" HK Equity","PX_TO_SALES_RATIO"),"")</f>
        <v/>
      </c>
      <c r="T358" s="53">
        <f>IF(Database!BN358="","",IFERROR(BDP(LEFT(Database!BN358,FIND(".",Database!BN358)-1)&amp;" CH Equity","CUR_MKT_CAP")*BDP("CNYHKD Curncy","PX_LAST"),"run on terminal"))</f>
        <v/>
      </c>
    </row>
    <row r="359" ht="23" customHeight="1">
      <c r="A359" s="51">
        <f>Database!A359&amp;"  "&amp;Database!B359</f>
        <v/>
      </c>
      <c r="B359" s="43">
        <f>IFERROR(INDEX(BDS(TEXT(VALUE(Database!$A359),"0")&amp;" HK Equity","EQUITY_OFFERINGS","array=t","endcol=1"),MATCH("IPO",BDS(TEXT(VALUE(Database!$A359),"0")&amp;" HK Equity","EQUITY_OFFERINGS","array=t","startcol=2","endcol=2"),0)),"")</f>
        <v/>
      </c>
      <c r="C359" s="260">
        <f>IF($B359="","",IFERROR(BDP($B359&amp;" Action","CP036"),""))</f>
        <v/>
      </c>
      <c r="D359" s="261">
        <f>Database!S359</f>
        <v/>
      </c>
      <c r="E359" s="260">
        <f>IF($B359="","",IFERROR(BDP($B359&amp;" Action","CP037"),""))</f>
        <v/>
      </c>
      <c r="F359" s="261">
        <f>Database!T359</f>
        <v/>
      </c>
      <c r="G359" s="260">
        <f>IF($B359="","",IFERROR(BDP($B359&amp;" Action","GREENSHOE_FACILITY"),""))</f>
        <v/>
      </c>
      <c r="H359" s="260">
        <f>IF($B359="","",IFERROR(BDP($B359&amp;" Action","OFFERING_GREENSHOE_SHARES_EX"),""))</f>
        <v/>
      </c>
      <c r="I359" s="51">
        <f>Database!AE359</f>
        <v/>
      </c>
      <c r="J359" s="58">
        <f>IFERROR(BDP(TEXT(VALUE(Database!$A359),"0")&amp;" HK Equity","PE_RATIO"),"")</f>
        <v/>
      </c>
      <c r="K359" s="43">
        <f>IFERROR(BDP(TEXT(VALUE(Database!$A359),"0")&amp;" HK Equity","A/H_SHARE_CONVERSION"),"")</f>
        <v/>
      </c>
      <c r="L359" s="51">
        <f>IF(Database!BN359="","(none found)",Database!BN359)</f>
        <v/>
      </c>
      <c r="M359" s="53">
        <f>IFERROR(INDEX(BDH(TEXT(VALUE(Database!$A359),"0")&amp;" HK Equity","CUR_MKT_CAP",Database!$H359,Database!$H359),MATCH(Database!$H359,INDEX(BDH(TEXT(VALUE(Database!$A359),"0")&amp;" HK Equity","CUR_MKT_CAP",Database!$H359,Database!$H359),0,1),0),2),"run on terminal")</f>
        <v/>
      </c>
      <c r="N359" s="213">
        <f>Database!Q359</f>
        <v/>
      </c>
      <c r="O359" s="58">
        <f>IFERROR(INDEX(BDH(TEXT(VALUE(Database!$A359),"0")&amp;" HK Equity","PE_RATIO",Database!$H359,Database!$H359),MATCH(Database!$H359,INDEX(BDH(TEXT(VALUE(Database!$A359),"0")&amp;" HK Equity","PE_RATIO",Database!$H359,Database!$H359),0,1),0),2),"run on terminal")</f>
        <v/>
      </c>
      <c r="P359" s="251">
        <f>IF(Database!BH359="","(n/m or not derivable)",Database!BH359)</f>
        <v/>
      </c>
      <c r="Q359" s="58">
        <f>IF(Database!BN359="","",IFERROR(INDEX(BDH(LEFT(Database!BN359,FIND(".",Database!BN359)-1)&amp;" CH Equity","PE_RATIO",Database!$H359,Database!$H359),MATCH(Database!$H359,INDEX(BDH(LEFT(Database!BN359,FIND(".",Database!BN359)-1)&amp;" CH Equity","PE_RATIO",Database!$H359,Database!$H359),0,1),0),2),"run on terminal"))</f>
        <v/>
      </c>
      <c r="R359" s="58">
        <f>IF(Database!BN359="","",IFERROR(INDEX(BDH("HSAHP Index","PX_LAST",Database!$H359,Database!$H359),MATCH(Database!$H359,INDEX(BDH("HSAHP Index","PX_LAST",Database!$H359,Database!$H359),0,1),0),2),"run on terminal"))</f>
        <v/>
      </c>
      <c r="S359" s="58">
        <f>IFERROR(BDP(TEXT(VALUE(Database!$A359),"0")&amp;" HK Equity","PX_TO_SALES_RATIO"),"")</f>
        <v/>
      </c>
      <c r="T359" s="53">
        <f>IF(Database!BN359="","",IFERROR(BDP(LEFT(Database!BN359,FIND(".",Database!BN359)-1)&amp;" CH Equity","CUR_MKT_CAP")*BDP("CNYHKD Curncy","PX_LAST"),"run on terminal"))</f>
        <v/>
      </c>
    </row>
    <row r="360" ht="23" customHeight="1">
      <c r="A360" s="51">
        <f>Database!A360&amp;"  "&amp;Database!B360</f>
        <v/>
      </c>
      <c r="B360" s="43">
        <f>IFERROR(INDEX(BDS(TEXT(VALUE(Database!$A360),"0")&amp;" HK Equity","EQUITY_OFFERINGS","array=t","endcol=1"),MATCH("IPO",BDS(TEXT(VALUE(Database!$A360),"0")&amp;" HK Equity","EQUITY_OFFERINGS","array=t","startcol=2","endcol=2"),0)),"")</f>
        <v/>
      </c>
      <c r="C360" s="260">
        <f>IF($B360="","",IFERROR(BDP($B360&amp;" Action","CP036"),""))</f>
        <v/>
      </c>
      <c r="D360" s="261">
        <f>Database!S360</f>
        <v/>
      </c>
      <c r="E360" s="260">
        <f>IF($B360="","",IFERROR(BDP($B360&amp;" Action","CP037"),""))</f>
        <v/>
      </c>
      <c r="F360" s="261">
        <f>Database!T360</f>
        <v/>
      </c>
      <c r="G360" s="260">
        <f>IF($B360="","",IFERROR(BDP($B360&amp;" Action","GREENSHOE_FACILITY"),""))</f>
        <v/>
      </c>
      <c r="H360" s="260">
        <f>IF($B360="","",IFERROR(BDP($B360&amp;" Action","OFFERING_GREENSHOE_SHARES_EX"),""))</f>
        <v/>
      </c>
      <c r="I360" s="51">
        <f>Database!AE360</f>
        <v/>
      </c>
      <c r="J360" s="58">
        <f>IFERROR(BDP(TEXT(VALUE(Database!$A360),"0")&amp;" HK Equity","PE_RATIO"),"")</f>
        <v/>
      </c>
      <c r="K360" s="43">
        <f>IFERROR(BDP(TEXT(VALUE(Database!$A360),"0")&amp;" HK Equity","A/H_SHARE_CONVERSION"),"")</f>
        <v/>
      </c>
      <c r="L360" s="51">
        <f>IF(Database!BN360="","(none found)",Database!BN360)</f>
        <v/>
      </c>
      <c r="M360" s="53">
        <f>IFERROR(INDEX(BDH(TEXT(VALUE(Database!$A360),"0")&amp;" HK Equity","CUR_MKT_CAP",Database!$H360,Database!$H360),MATCH(Database!$H360,INDEX(BDH(TEXT(VALUE(Database!$A360),"0")&amp;" HK Equity","CUR_MKT_CAP",Database!$H360,Database!$H360),0,1),0),2),"run on terminal")</f>
        <v/>
      </c>
      <c r="N360" s="213">
        <f>Database!Q360</f>
        <v/>
      </c>
      <c r="O360" s="58">
        <f>IFERROR(INDEX(BDH(TEXT(VALUE(Database!$A360),"0")&amp;" HK Equity","PE_RATIO",Database!$H360,Database!$H360),MATCH(Database!$H360,INDEX(BDH(TEXT(VALUE(Database!$A360),"0")&amp;" HK Equity","PE_RATIO",Database!$H360,Database!$H360),0,1),0),2),"run on terminal")</f>
        <v/>
      </c>
      <c r="P360" s="251">
        <f>IF(Database!BH360="","(n/m or not derivable)",Database!BH360)</f>
        <v/>
      </c>
      <c r="Q360" s="58">
        <f>IF(Database!BN360="","",IFERROR(INDEX(BDH(LEFT(Database!BN360,FIND(".",Database!BN360)-1)&amp;" CH Equity","PE_RATIO",Database!$H360,Database!$H360),MATCH(Database!$H360,INDEX(BDH(LEFT(Database!BN360,FIND(".",Database!BN360)-1)&amp;" CH Equity","PE_RATIO",Database!$H360,Database!$H360),0,1),0),2),"run on terminal"))</f>
        <v/>
      </c>
      <c r="R360" s="58">
        <f>IF(Database!BN360="","",IFERROR(INDEX(BDH("HSAHP Index","PX_LAST",Database!$H360,Database!$H360),MATCH(Database!$H360,INDEX(BDH("HSAHP Index","PX_LAST",Database!$H360,Database!$H360),0,1),0),2),"run on terminal"))</f>
        <v/>
      </c>
      <c r="S360" s="58">
        <f>IFERROR(BDP(TEXT(VALUE(Database!$A360),"0")&amp;" HK Equity","PX_TO_SALES_RATIO"),"")</f>
        <v/>
      </c>
      <c r="T360" s="53">
        <f>IF(Database!BN360="","",IFERROR(BDP(LEFT(Database!BN360,FIND(".",Database!BN360)-1)&amp;" CH Equity","CUR_MKT_CAP")*BDP("CNYHKD Curncy","PX_LAST"),"run on terminal"))</f>
        <v/>
      </c>
    </row>
    <row r="361" ht="23" customHeight="1">
      <c r="A361" s="51">
        <f>Database!A361&amp;"  "&amp;Database!B361</f>
        <v/>
      </c>
      <c r="B361" s="43">
        <f>IFERROR(INDEX(BDS(TEXT(VALUE(Database!$A361),"0")&amp;" HK Equity","EQUITY_OFFERINGS","array=t","endcol=1"),MATCH("IPO",BDS(TEXT(VALUE(Database!$A361),"0")&amp;" HK Equity","EQUITY_OFFERINGS","array=t","startcol=2","endcol=2"),0)),"")</f>
        <v/>
      </c>
      <c r="C361" s="260">
        <f>IF($B361="","",IFERROR(BDP($B361&amp;" Action","CP036"),""))</f>
        <v/>
      </c>
      <c r="D361" s="261">
        <f>Database!S361</f>
        <v/>
      </c>
      <c r="E361" s="260">
        <f>IF($B361="","",IFERROR(BDP($B361&amp;" Action","CP037"),""))</f>
        <v/>
      </c>
      <c r="F361" s="261">
        <f>Database!T361</f>
        <v/>
      </c>
      <c r="G361" s="260">
        <f>IF($B361="","",IFERROR(BDP($B361&amp;" Action","GREENSHOE_FACILITY"),""))</f>
        <v/>
      </c>
      <c r="H361" s="260">
        <f>IF($B361="","",IFERROR(BDP($B361&amp;" Action","OFFERING_GREENSHOE_SHARES_EX"),""))</f>
        <v/>
      </c>
      <c r="I361" s="51">
        <f>Database!AE361</f>
        <v/>
      </c>
      <c r="J361" s="58">
        <f>IFERROR(BDP(TEXT(VALUE(Database!$A361),"0")&amp;" HK Equity","PE_RATIO"),"")</f>
        <v/>
      </c>
      <c r="K361" s="43">
        <f>IFERROR(BDP(TEXT(VALUE(Database!$A361),"0")&amp;" HK Equity","A/H_SHARE_CONVERSION"),"")</f>
        <v/>
      </c>
      <c r="L361" s="51">
        <f>IF(Database!BN361="","(none found)",Database!BN361)</f>
        <v/>
      </c>
      <c r="M361" s="53">
        <f>IFERROR(INDEX(BDH(TEXT(VALUE(Database!$A361),"0")&amp;" HK Equity","CUR_MKT_CAP",Database!$H361,Database!$H361),MATCH(Database!$H361,INDEX(BDH(TEXT(VALUE(Database!$A361),"0")&amp;" HK Equity","CUR_MKT_CAP",Database!$H361,Database!$H361),0,1),0),2),"run on terminal")</f>
        <v/>
      </c>
      <c r="N361" s="213">
        <f>Database!Q361</f>
        <v/>
      </c>
      <c r="O361" s="58">
        <f>IFERROR(INDEX(BDH(TEXT(VALUE(Database!$A361),"0")&amp;" HK Equity","PE_RATIO",Database!$H361,Database!$H361),MATCH(Database!$H361,INDEX(BDH(TEXT(VALUE(Database!$A361),"0")&amp;" HK Equity","PE_RATIO",Database!$H361,Database!$H361),0,1),0),2),"run on terminal")</f>
        <v/>
      </c>
      <c r="P361" s="251">
        <f>IF(Database!BH361="","(n/m or not derivable)",Database!BH361)</f>
        <v/>
      </c>
      <c r="Q361" s="58">
        <f>IF(Database!BN361="","",IFERROR(INDEX(BDH(LEFT(Database!BN361,FIND(".",Database!BN361)-1)&amp;" CH Equity","PE_RATIO",Database!$H361,Database!$H361),MATCH(Database!$H361,INDEX(BDH(LEFT(Database!BN361,FIND(".",Database!BN361)-1)&amp;" CH Equity","PE_RATIO",Database!$H361,Database!$H361),0,1),0),2),"run on terminal"))</f>
        <v/>
      </c>
      <c r="R361" s="58">
        <f>IF(Database!BN361="","",IFERROR(INDEX(BDH("HSAHP Index","PX_LAST",Database!$H361,Database!$H361),MATCH(Database!$H361,INDEX(BDH("HSAHP Index","PX_LAST",Database!$H361,Database!$H361),0,1),0),2),"run on terminal"))</f>
        <v/>
      </c>
      <c r="S361" s="58">
        <f>IFERROR(BDP(TEXT(VALUE(Database!$A361),"0")&amp;" HK Equity","PX_TO_SALES_RATIO"),"")</f>
        <v/>
      </c>
      <c r="T361" s="53">
        <f>IF(Database!BN361="","",IFERROR(BDP(LEFT(Database!BN361,FIND(".",Database!BN361)-1)&amp;" CH Equity","CUR_MKT_CAP")*BDP("CNYHKD Curncy","PX_LAST"),"run on terminal"))</f>
        <v/>
      </c>
    </row>
    <row r="362" ht="23" customHeight="1">
      <c r="A362" s="51">
        <f>Database!A362&amp;"  "&amp;Database!B362</f>
        <v/>
      </c>
      <c r="B362" s="43">
        <f>IFERROR(INDEX(BDS(TEXT(VALUE(Database!$A362),"0")&amp;" HK Equity","EQUITY_OFFERINGS","array=t","endcol=1"),MATCH("IPO",BDS(TEXT(VALUE(Database!$A362),"0")&amp;" HK Equity","EQUITY_OFFERINGS","array=t","startcol=2","endcol=2"),0)),"")</f>
        <v/>
      </c>
      <c r="C362" s="260">
        <f>IF($B362="","",IFERROR(BDP($B362&amp;" Action","CP036"),""))</f>
        <v/>
      </c>
      <c r="D362" s="261">
        <f>Database!S362</f>
        <v/>
      </c>
      <c r="E362" s="260">
        <f>IF($B362="","",IFERROR(BDP($B362&amp;" Action","CP037"),""))</f>
        <v/>
      </c>
      <c r="F362" s="261">
        <f>Database!T362</f>
        <v/>
      </c>
      <c r="G362" s="260">
        <f>IF($B362="","",IFERROR(BDP($B362&amp;" Action","GREENSHOE_FACILITY"),""))</f>
        <v/>
      </c>
      <c r="H362" s="260">
        <f>IF($B362="","",IFERROR(BDP($B362&amp;" Action","OFFERING_GREENSHOE_SHARES_EX"),""))</f>
        <v/>
      </c>
      <c r="I362" s="51">
        <f>Database!AE362</f>
        <v/>
      </c>
      <c r="J362" s="58">
        <f>IFERROR(BDP(TEXT(VALUE(Database!$A362),"0")&amp;" HK Equity","PE_RATIO"),"")</f>
        <v/>
      </c>
      <c r="K362" s="43">
        <f>IFERROR(BDP(TEXT(VALUE(Database!$A362),"0")&amp;" HK Equity","A/H_SHARE_CONVERSION"),"")</f>
        <v/>
      </c>
      <c r="L362" s="51">
        <f>IF(Database!BN362="","(none found)",Database!BN362)</f>
        <v/>
      </c>
      <c r="M362" s="53">
        <f>IFERROR(INDEX(BDH(TEXT(VALUE(Database!$A362),"0")&amp;" HK Equity","CUR_MKT_CAP",Database!$H362,Database!$H362),MATCH(Database!$H362,INDEX(BDH(TEXT(VALUE(Database!$A362),"0")&amp;" HK Equity","CUR_MKT_CAP",Database!$H362,Database!$H362),0,1),0),2),"run on terminal")</f>
        <v/>
      </c>
      <c r="N362" s="213">
        <f>Database!Q362</f>
        <v/>
      </c>
      <c r="O362" s="58">
        <f>IFERROR(INDEX(BDH(TEXT(VALUE(Database!$A362),"0")&amp;" HK Equity","PE_RATIO",Database!$H362,Database!$H362),MATCH(Database!$H362,INDEX(BDH(TEXT(VALUE(Database!$A362),"0")&amp;" HK Equity","PE_RATIO",Database!$H362,Database!$H362),0,1),0),2),"run on terminal")</f>
        <v/>
      </c>
      <c r="P362" s="251">
        <f>IF(Database!BH362="","(n/m or not derivable)",Database!BH362)</f>
        <v/>
      </c>
      <c r="Q362" s="58">
        <f>IF(Database!BN362="","",IFERROR(INDEX(BDH(LEFT(Database!BN362,FIND(".",Database!BN362)-1)&amp;" CH Equity","PE_RATIO",Database!$H362,Database!$H362),MATCH(Database!$H362,INDEX(BDH(LEFT(Database!BN362,FIND(".",Database!BN362)-1)&amp;" CH Equity","PE_RATIO",Database!$H362,Database!$H362),0,1),0),2),"run on terminal"))</f>
        <v/>
      </c>
      <c r="R362" s="58">
        <f>IF(Database!BN362="","",IFERROR(INDEX(BDH("HSAHP Index","PX_LAST",Database!$H362,Database!$H362),MATCH(Database!$H362,INDEX(BDH("HSAHP Index","PX_LAST",Database!$H362,Database!$H362),0,1),0),2),"run on terminal"))</f>
        <v/>
      </c>
      <c r="S362" s="58">
        <f>IFERROR(BDP(TEXT(VALUE(Database!$A362),"0")&amp;" HK Equity","PX_TO_SALES_RATIO"),"")</f>
        <v/>
      </c>
      <c r="T362" s="53">
        <f>IF(Database!BN362="","",IFERROR(BDP(LEFT(Database!BN362,FIND(".",Database!BN362)-1)&amp;" CH Equity","CUR_MKT_CAP")*BDP("CNYHKD Curncy","PX_LAST"),"run on terminal"))</f>
        <v/>
      </c>
    </row>
    <row r="363" ht="23" customHeight="1">
      <c r="A363" s="51">
        <f>Database!A363&amp;"  "&amp;Database!B363</f>
        <v/>
      </c>
      <c r="B363" s="43">
        <f>IFERROR(INDEX(BDS(TEXT(VALUE(Database!$A363),"0")&amp;" HK Equity","EQUITY_OFFERINGS","array=t","endcol=1"),MATCH("IPO",BDS(TEXT(VALUE(Database!$A363),"0")&amp;" HK Equity","EQUITY_OFFERINGS","array=t","startcol=2","endcol=2"),0)),"")</f>
        <v/>
      </c>
      <c r="C363" s="260">
        <f>IF($B363="","",IFERROR(BDP($B363&amp;" Action","CP036"),""))</f>
        <v/>
      </c>
      <c r="D363" s="261">
        <f>Database!S363</f>
        <v/>
      </c>
      <c r="E363" s="260">
        <f>IF($B363="","",IFERROR(BDP($B363&amp;" Action","CP037"),""))</f>
        <v/>
      </c>
      <c r="F363" s="261">
        <f>Database!T363</f>
        <v/>
      </c>
      <c r="G363" s="260">
        <f>IF($B363="","",IFERROR(BDP($B363&amp;" Action","GREENSHOE_FACILITY"),""))</f>
        <v/>
      </c>
      <c r="H363" s="260">
        <f>IF($B363="","",IFERROR(BDP($B363&amp;" Action","OFFERING_GREENSHOE_SHARES_EX"),""))</f>
        <v/>
      </c>
      <c r="I363" s="51">
        <f>Database!AE363</f>
        <v/>
      </c>
      <c r="J363" s="58">
        <f>IFERROR(BDP(TEXT(VALUE(Database!$A363),"0")&amp;" HK Equity","PE_RATIO"),"")</f>
        <v/>
      </c>
      <c r="K363" s="43">
        <f>IFERROR(BDP(TEXT(VALUE(Database!$A363),"0")&amp;" HK Equity","A/H_SHARE_CONVERSION"),"")</f>
        <v/>
      </c>
      <c r="L363" s="51">
        <f>IF(Database!BN363="","(none found)",Database!BN363)</f>
        <v/>
      </c>
      <c r="M363" s="53">
        <f>IFERROR(INDEX(BDH(TEXT(VALUE(Database!$A363),"0")&amp;" HK Equity","CUR_MKT_CAP",Database!$H363,Database!$H363),MATCH(Database!$H363,INDEX(BDH(TEXT(VALUE(Database!$A363),"0")&amp;" HK Equity","CUR_MKT_CAP",Database!$H363,Database!$H363),0,1),0),2),"run on terminal")</f>
        <v/>
      </c>
      <c r="N363" s="213">
        <f>Database!Q363</f>
        <v/>
      </c>
      <c r="O363" s="58">
        <f>IFERROR(INDEX(BDH(TEXT(VALUE(Database!$A363),"0")&amp;" HK Equity","PE_RATIO",Database!$H363,Database!$H363),MATCH(Database!$H363,INDEX(BDH(TEXT(VALUE(Database!$A363),"0")&amp;" HK Equity","PE_RATIO",Database!$H363,Database!$H363),0,1),0),2),"run on terminal")</f>
        <v/>
      </c>
      <c r="P363" s="251">
        <f>IF(Database!BH363="","(n/m or not derivable)",Database!BH363)</f>
        <v/>
      </c>
      <c r="Q363" s="58">
        <f>IF(Database!BN363="","",IFERROR(INDEX(BDH(LEFT(Database!BN363,FIND(".",Database!BN363)-1)&amp;" CH Equity","PE_RATIO",Database!$H363,Database!$H363),MATCH(Database!$H363,INDEX(BDH(LEFT(Database!BN363,FIND(".",Database!BN363)-1)&amp;" CH Equity","PE_RATIO",Database!$H363,Database!$H363),0,1),0),2),"run on terminal"))</f>
        <v/>
      </c>
      <c r="R363" s="58">
        <f>IF(Database!BN363="","",IFERROR(INDEX(BDH("HSAHP Index","PX_LAST",Database!$H363,Database!$H363),MATCH(Database!$H363,INDEX(BDH("HSAHP Index","PX_LAST",Database!$H363,Database!$H363),0,1),0),2),"run on terminal"))</f>
        <v/>
      </c>
      <c r="S363" s="58">
        <f>IFERROR(BDP(TEXT(VALUE(Database!$A363),"0")&amp;" HK Equity","PX_TO_SALES_RATIO"),"")</f>
        <v/>
      </c>
      <c r="T363" s="53">
        <f>IF(Database!BN363="","",IFERROR(BDP(LEFT(Database!BN363,FIND(".",Database!BN363)-1)&amp;" CH Equity","CUR_MKT_CAP")*BDP("CNYHKD Curncy","PX_LAST"),"run on terminal"))</f>
        <v/>
      </c>
    </row>
    <row r="364" ht="23" customHeight="1">
      <c r="A364" s="51">
        <f>Database!A364&amp;"  "&amp;Database!B364</f>
        <v/>
      </c>
      <c r="B364" s="43">
        <f>IFERROR(INDEX(BDS(TEXT(VALUE(Database!$A364),"0")&amp;" HK Equity","EQUITY_OFFERINGS","array=t","endcol=1"),MATCH("IPO",BDS(TEXT(VALUE(Database!$A364),"0")&amp;" HK Equity","EQUITY_OFFERINGS","array=t","startcol=2","endcol=2"),0)),"")</f>
        <v/>
      </c>
      <c r="C364" s="260">
        <f>IF($B364="","",IFERROR(BDP($B364&amp;" Action","CP036"),""))</f>
        <v/>
      </c>
      <c r="D364" s="261">
        <f>Database!S364</f>
        <v/>
      </c>
      <c r="E364" s="260">
        <f>IF($B364="","",IFERROR(BDP($B364&amp;" Action","CP037"),""))</f>
        <v/>
      </c>
      <c r="F364" s="261">
        <f>Database!T364</f>
        <v/>
      </c>
      <c r="G364" s="260">
        <f>IF($B364="","",IFERROR(BDP($B364&amp;" Action","GREENSHOE_FACILITY"),""))</f>
        <v/>
      </c>
      <c r="H364" s="260">
        <f>IF($B364="","",IFERROR(BDP($B364&amp;" Action","OFFERING_GREENSHOE_SHARES_EX"),""))</f>
        <v/>
      </c>
      <c r="I364" s="51">
        <f>Database!AE364</f>
        <v/>
      </c>
      <c r="J364" s="58">
        <f>IFERROR(BDP(TEXT(VALUE(Database!$A364),"0")&amp;" HK Equity","PE_RATIO"),"")</f>
        <v/>
      </c>
      <c r="K364" s="43">
        <f>IFERROR(BDP(TEXT(VALUE(Database!$A364),"0")&amp;" HK Equity","A/H_SHARE_CONVERSION"),"")</f>
        <v/>
      </c>
      <c r="L364" s="51">
        <f>IF(Database!BN364="","(none found)",Database!BN364)</f>
        <v/>
      </c>
      <c r="M364" s="53">
        <f>IFERROR(INDEX(BDH(TEXT(VALUE(Database!$A364),"0")&amp;" HK Equity","CUR_MKT_CAP",Database!$H364,Database!$H364),MATCH(Database!$H364,INDEX(BDH(TEXT(VALUE(Database!$A364),"0")&amp;" HK Equity","CUR_MKT_CAP",Database!$H364,Database!$H364),0,1),0),2),"run on terminal")</f>
        <v/>
      </c>
      <c r="N364" s="213">
        <f>Database!Q364</f>
        <v/>
      </c>
      <c r="O364" s="58">
        <f>IFERROR(INDEX(BDH(TEXT(VALUE(Database!$A364),"0")&amp;" HK Equity","PE_RATIO",Database!$H364,Database!$H364),MATCH(Database!$H364,INDEX(BDH(TEXT(VALUE(Database!$A364),"0")&amp;" HK Equity","PE_RATIO",Database!$H364,Database!$H364),0,1),0),2),"run on terminal")</f>
        <v/>
      </c>
      <c r="P364" s="251">
        <f>IF(Database!BH364="","(n/m or not derivable)",Database!BH364)</f>
        <v/>
      </c>
      <c r="Q364" s="58">
        <f>IF(Database!BN364="","",IFERROR(INDEX(BDH(LEFT(Database!BN364,FIND(".",Database!BN364)-1)&amp;" CH Equity","PE_RATIO",Database!$H364,Database!$H364),MATCH(Database!$H364,INDEX(BDH(LEFT(Database!BN364,FIND(".",Database!BN364)-1)&amp;" CH Equity","PE_RATIO",Database!$H364,Database!$H364),0,1),0),2),"run on terminal"))</f>
        <v/>
      </c>
      <c r="R364" s="58">
        <f>IF(Database!BN364="","",IFERROR(INDEX(BDH("HSAHP Index","PX_LAST",Database!$H364,Database!$H364),MATCH(Database!$H364,INDEX(BDH("HSAHP Index","PX_LAST",Database!$H364,Database!$H364),0,1),0),2),"run on terminal"))</f>
        <v/>
      </c>
      <c r="S364" s="58">
        <f>IFERROR(BDP(TEXT(VALUE(Database!$A364),"0")&amp;" HK Equity","PX_TO_SALES_RATIO"),"")</f>
        <v/>
      </c>
      <c r="T364" s="53">
        <f>IF(Database!BN364="","",IFERROR(BDP(LEFT(Database!BN364,FIND(".",Database!BN364)-1)&amp;" CH Equity","CUR_MKT_CAP")*BDP("CNYHKD Curncy","PX_LAST"),"run on terminal"))</f>
        <v/>
      </c>
    </row>
    <row r="365" ht="23" customHeight="1">
      <c r="A365" s="51">
        <f>Database!A365&amp;"  "&amp;Database!B365</f>
        <v/>
      </c>
      <c r="B365" s="43">
        <f>IFERROR(INDEX(BDS(TEXT(VALUE(Database!$A365),"0")&amp;" HK Equity","EQUITY_OFFERINGS","array=t","endcol=1"),MATCH("IPO",BDS(TEXT(VALUE(Database!$A365),"0")&amp;" HK Equity","EQUITY_OFFERINGS","array=t","startcol=2","endcol=2"),0)),"")</f>
        <v/>
      </c>
      <c r="C365" s="260">
        <f>IF($B365="","",IFERROR(BDP($B365&amp;" Action","CP036"),""))</f>
        <v/>
      </c>
      <c r="D365" s="261">
        <f>Database!S365</f>
        <v/>
      </c>
      <c r="E365" s="260">
        <f>IF($B365="","",IFERROR(BDP($B365&amp;" Action","CP037"),""))</f>
        <v/>
      </c>
      <c r="F365" s="261">
        <f>Database!T365</f>
        <v/>
      </c>
      <c r="G365" s="260">
        <f>IF($B365="","",IFERROR(BDP($B365&amp;" Action","GREENSHOE_FACILITY"),""))</f>
        <v/>
      </c>
      <c r="H365" s="260">
        <f>IF($B365="","",IFERROR(BDP($B365&amp;" Action","OFFERING_GREENSHOE_SHARES_EX"),""))</f>
        <v/>
      </c>
      <c r="I365" s="51">
        <f>Database!AE365</f>
        <v/>
      </c>
      <c r="J365" s="58">
        <f>IFERROR(BDP(TEXT(VALUE(Database!$A365),"0")&amp;" HK Equity","PE_RATIO"),"")</f>
        <v/>
      </c>
      <c r="K365" s="43">
        <f>IFERROR(BDP(TEXT(VALUE(Database!$A365),"0")&amp;" HK Equity","A/H_SHARE_CONVERSION"),"")</f>
        <v/>
      </c>
      <c r="L365" s="51">
        <f>IF(Database!BN365="","(none found)",Database!BN365)</f>
        <v/>
      </c>
      <c r="M365" s="53">
        <f>IFERROR(INDEX(BDH(TEXT(VALUE(Database!$A365),"0")&amp;" HK Equity","CUR_MKT_CAP",Database!$H365,Database!$H365),MATCH(Database!$H365,INDEX(BDH(TEXT(VALUE(Database!$A365),"0")&amp;" HK Equity","CUR_MKT_CAP",Database!$H365,Database!$H365),0,1),0),2),"run on terminal")</f>
        <v/>
      </c>
      <c r="N365" s="213">
        <f>Database!Q365</f>
        <v/>
      </c>
      <c r="O365" s="58">
        <f>IFERROR(INDEX(BDH(TEXT(VALUE(Database!$A365),"0")&amp;" HK Equity","PE_RATIO",Database!$H365,Database!$H365),MATCH(Database!$H365,INDEX(BDH(TEXT(VALUE(Database!$A365),"0")&amp;" HK Equity","PE_RATIO",Database!$H365,Database!$H365),0,1),0),2),"run on terminal")</f>
        <v/>
      </c>
      <c r="P365" s="251">
        <f>IF(Database!BH365="","(n/m or not derivable)",Database!BH365)</f>
        <v/>
      </c>
      <c r="Q365" s="58">
        <f>IF(Database!BN365="","",IFERROR(INDEX(BDH(LEFT(Database!BN365,FIND(".",Database!BN365)-1)&amp;" CH Equity","PE_RATIO",Database!$H365,Database!$H365),MATCH(Database!$H365,INDEX(BDH(LEFT(Database!BN365,FIND(".",Database!BN365)-1)&amp;" CH Equity","PE_RATIO",Database!$H365,Database!$H365),0,1),0),2),"run on terminal"))</f>
        <v/>
      </c>
      <c r="R365" s="58">
        <f>IF(Database!BN365="","",IFERROR(INDEX(BDH("HSAHP Index","PX_LAST",Database!$H365,Database!$H365),MATCH(Database!$H365,INDEX(BDH("HSAHP Index","PX_LAST",Database!$H365,Database!$H365),0,1),0),2),"run on terminal"))</f>
        <v/>
      </c>
      <c r="S365" s="58">
        <f>IFERROR(BDP(TEXT(VALUE(Database!$A365),"0")&amp;" HK Equity","PX_TO_SALES_RATIO"),"")</f>
        <v/>
      </c>
      <c r="T365" s="53">
        <f>IF(Database!BN365="","",IFERROR(BDP(LEFT(Database!BN365,FIND(".",Database!BN365)-1)&amp;" CH Equity","CUR_MKT_CAP")*BDP("CNYHKD Curncy","PX_LAST"),"run on terminal"))</f>
        <v/>
      </c>
    </row>
    <row r="366" ht="23" customHeight="1">
      <c r="A366" s="51">
        <f>Database!A366&amp;"  "&amp;Database!B366</f>
        <v/>
      </c>
      <c r="B366" s="43">
        <f>IFERROR(INDEX(BDS(TEXT(VALUE(Database!$A366),"0")&amp;" HK Equity","EQUITY_OFFERINGS","array=t","endcol=1"),MATCH("IPO",BDS(TEXT(VALUE(Database!$A366),"0")&amp;" HK Equity","EQUITY_OFFERINGS","array=t","startcol=2","endcol=2"),0)),"")</f>
        <v/>
      </c>
      <c r="C366" s="260">
        <f>IF($B366="","",IFERROR(BDP($B366&amp;" Action","CP036"),""))</f>
        <v/>
      </c>
      <c r="D366" s="261">
        <f>Database!S366</f>
        <v/>
      </c>
      <c r="E366" s="260">
        <f>IF($B366="","",IFERROR(BDP($B366&amp;" Action","CP037"),""))</f>
        <v/>
      </c>
      <c r="F366" s="261">
        <f>Database!T366</f>
        <v/>
      </c>
      <c r="G366" s="260">
        <f>IF($B366="","",IFERROR(BDP($B366&amp;" Action","GREENSHOE_FACILITY"),""))</f>
        <v/>
      </c>
      <c r="H366" s="260">
        <f>IF($B366="","",IFERROR(BDP($B366&amp;" Action","OFFERING_GREENSHOE_SHARES_EX"),""))</f>
        <v/>
      </c>
      <c r="I366" s="51">
        <f>Database!AE366</f>
        <v/>
      </c>
      <c r="J366" s="58">
        <f>IFERROR(BDP(TEXT(VALUE(Database!$A366),"0")&amp;" HK Equity","PE_RATIO"),"")</f>
        <v/>
      </c>
      <c r="K366" s="43">
        <f>IFERROR(BDP(TEXT(VALUE(Database!$A366),"0")&amp;" HK Equity","A/H_SHARE_CONVERSION"),"")</f>
        <v/>
      </c>
      <c r="L366" s="51">
        <f>IF(Database!BN366="","(none found)",Database!BN366)</f>
        <v/>
      </c>
      <c r="M366" s="53">
        <f>IFERROR(INDEX(BDH(TEXT(VALUE(Database!$A366),"0")&amp;" HK Equity","CUR_MKT_CAP",Database!$H366,Database!$H366),MATCH(Database!$H366,INDEX(BDH(TEXT(VALUE(Database!$A366),"0")&amp;" HK Equity","CUR_MKT_CAP",Database!$H366,Database!$H366),0,1),0),2),"run on terminal")</f>
        <v/>
      </c>
      <c r="N366" s="213">
        <f>Database!Q366</f>
        <v/>
      </c>
      <c r="O366" s="58">
        <f>IFERROR(INDEX(BDH(TEXT(VALUE(Database!$A366),"0")&amp;" HK Equity","PE_RATIO",Database!$H366,Database!$H366),MATCH(Database!$H366,INDEX(BDH(TEXT(VALUE(Database!$A366),"0")&amp;" HK Equity","PE_RATIO",Database!$H366,Database!$H366),0,1),0),2),"run on terminal")</f>
        <v/>
      </c>
      <c r="P366" s="251">
        <f>IF(Database!BH366="","(n/m or not derivable)",Database!BH366)</f>
        <v/>
      </c>
      <c r="Q366" s="58">
        <f>IF(Database!BN366="","",IFERROR(INDEX(BDH(LEFT(Database!BN366,FIND(".",Database!BN366)-1)&amp;" CH Equity","PE_RATIO",Database!$H366,Database!$H366),MATCH(Database!$H366,INDEX(BDH(LEFT(Database!BN366,FIND(".",Database!BN366)-1)&amp;" CH Equity","PE_RATIO",Database!$H366,Database!$H366),0,1),0),2),"run on terminal"))</f>
        <v/>
      </c>
      <c r="R366" s="58">
        <f>IF(Database!BN366="","",IFERROR(INDEX(BDH("HSAHP Index","PX_LAST",Database!$H366,Database!$H366),MATCH(Database!$H366,INDEX(BDH("HSAHP Index","PX_LAST",Database!$H366,Database!$H366),0,1),0),2),"run on terminal"))</f>
        <v/>
      </c>
      <c r="S366" s="58">
        <f>IFERROR(BDP(TEXT(VALUE(Database!$A366),"0")&amp;" HK Equity","PX_TO_SALES_RATIO"),"")</f>
        <v/>
      </c>
      <c r="T366" s="53">
        <f>IF(Database!BN366="","",IFERROR(BDP(LEFT(Database!BN366,FIND(".",Database!BN366)-1)&amp;" CH Equity","CUR_MKT_CAP")*BDP("CNYHKD Curncy","PX_LAST"),"run on terminal"))</f>
        <v/>
      </c>
    </row>
    <row r="367" ht="23" customHeight="1">
      <c r="A367" s="51">
        <f>Database!A367&amp;"  "&amp;Database!B367</f>
        <v/>
      </c>
      <c r="B367" s="43">
        <f>IFERROR(INDEX(BDS(TEXT(VALUE(Database!$A367),"0")&amp;" HK Equity","EQUITY_OFFERINGS","array=t","endcol=1"),MATCH("IPO",BDS(TEXT(VALUE(Database!$A367),"0")&amp;" HK Equity","EQUITY_OFFERINGS","array=t","startcol=2","endcol=2"),0)),"")</f>
        <v/>
      </c>
      <c r="C367" s="260">
        <f>IF($B367="","",IFERROR(BDP($B367&amp;" Action","CP036"),""))</f>
        <v/>
      </c>
      <c r="D367" s="261">
        <f>Database!S367</f>
        <v/>
      </c>
      <c r="E367" s="260">
        <f>IF($B367="","",IFERROR(BDP($B367&amp;" Action","CP037"),""))</f>
        <v/>
      </c>
      <c r="F367" s="261">
        <f>Database!T367</f>
        <v/>
      </c>
      <c r="G367" s="260">
        <f>IF($B367="","",IFERROR(BDP($B367&amp;" Action","GREENSHOE_FACILITY"),""))</f>
        <v/>
      </c>
      <c r="H367" s="260">
        <f>IF($B367="","",IFERROR(BDP($B367&amp;" Action","OFFERING_GREENSHOE_SHARES_EX"),""))</f>
        <v/>
      </c>
      <c r="I367" s="51">
        <f>Database!AE367</f>
        <v/>
      </c>
      <c r="J367" s="58">
        <f>IFERROR(BDP(TEXT(VALUE(Database!$A367),"0")&amp;" HK Equity","PE_RATIO"),"")</f>
        <v/>
      </c>
      <c r="K367" s="43">
        <f>IFERROR(BDP(TEXT(VALUE(Database!$A367),"0")&amp;" HK Equity","A/H_SHARE_CONVERSION"),"")</f>
        <v/>
      </c>
      <c r="L367" s="51">
        <f>IF(Database!BN367="","(none found)",Database!BN367)</f>
        <v/>
      </c>
      <c r="M367" s="53">
        <f>IFERROR(INDEX(BDH(TEXT(VALUE(Database!$A367),"0")&amp;" HK Equity","CUR_MKT_CAP",Database!$H367,Database!$H367),MATCH(Database!$H367,INDEX(BDH(TEXT(VALUE(Database!$A367),"0")&amp;" HK Equity","CUR_MKT_CAP",Database!$H367,Database!$H367),0,1),0),2),"run on terminal")</f>
        <v/>
      </c>
      <c r="N367" s="213">
        <f>Database!Q367</f>
        <v/>
      </c>
      <c r="O367" s="58">
        <f>IFERROR(INDEX(BDH(TEXT(VALUE(Database!$A367),"0")&amp;" HK Equity","PE_RATIO",Database!$H367,Database!$H367),MATCH(Database!$H367,INDEX(BDH(TEXT(VALUE(Database!$A367),"0")&amp;" HK Equity","PE_RATIO",Database!$H367,Database!$H367),0,1),0),2),"run on terminal")</f>
        <v/>
      </c>
      <c r="P367" s="251">
        <f>IF(Database!BH367="","(n/m or not derivable)",Database!BH367)</f>
        <v/>
      </c>
      <c r="Q367" s="58">
        <f>IF(Database!BN367="","",IFERROR(INDEX(BDH(LEFT(Database!BN367,FIND(".",Database!BN367)-1)&amp;" CH Equity","PE_RATIO",Database!$H367,Database!$H367),MATCH(Database!$H367,INDEX(BDH(LEFT(Database!BN367,FIND(".",Database!BN367)-1)&amp;" CH Equity","PE_RATIO",Database!$H367,Database!$H367),0,1),0),2),"run on terminal"))</f>
        <v/>
      </c>
      <c r="R367" s="58">
        <f>IF(Database!BN367="","",IFERROR(INDEX(BDH("HSAHP Index","PX_LAST",Database!$H367,Database!$H367),MATCH(Database!$H367,INDEX(BDH("HSAHP Index","PX_LAST",Database!$H367,Database!$H367),0,1),0),2),"run on terminal"))</f>
        <v/>
      </c>
      <c r="S367" s="58">
        <f>IFERROR(BDP(TEXT(VALUE(Database!$A367),"0")&amp;" HK Equity","PX_TO_SALES_RATIO"),"")</f>
        <v/>
      </c>
      <c r="T367" s="53">
        <f>IF(Database!BN367="","",IFERROR(BDP(LEFT(Database!BN367,FIND(".",Database!BN367)-1)&amp;" CH Equity","CUR_MKT_CAP")*BDP("CNYHKD Curncy","PX_LAST"),"run on terminal"))</f>
        <v/>
      </c>
    </row>
    <row r="368" ht="23" customHeight="1">
      <c r="A368" s="51">
        <f>Database!A368&amp;"  "&amp;Database!B368</f>
        <v/>
      </c>
      <c r="B368" s="43">
        <f>IFERROR(INDEX(BDS(TEXT(VALUE(Database!$A368),"0")&amp;" HK Equity","EQUITY_OFFERINGS","array=t","endcol=1"),MATCH("IPO",BDS(TEXT(VALUE(Database!$A368),"0")&amp;" HK Equity","EQUITY_OFFERINGS","array=t","startcol=2","endcol=2"),0)),"")</f>
        <v/>
      </c>
      <c r="C368" s="260">
        <f>IF($B368="","",IFERROR(BDP($B368&amp;" Action","CP036"),""))</f>
        <v/>
      </c>
      <c r="D368" s="261">
        <f>Database!S368</f>
        <v/>
      </c>
      <c r="E368" s="260">
        <f>IF($B368="","",IFERROR(BDP($B368&amp;" Action","CP037"),""))</f>
        <v/>
      </c>
      <c r="F368" s="261">
        <f>Database!T368</f>
        <v/>
      </c>
      <c r="G368" s="260">
        <f>IF($B368="","",IFERROR(BDP($B368&amp;" Action","GREENSHOE_FACILITY"),""))</f>
        <v/>
      </c>
      <c r="H368" s="260">
        <f>IF($B368="","",IFERROR(BDP($B368&amp;" Action","OFFERING_GREENSHOE_SHARES_EX"),""))</f>
        <v/>
      </c>
      <c r="I368" s="51">
        <f>Database!AE368</f>
        <v/>
      </c>
      <c r="J368" s="58">
        <f>IFERROR(BDP(TEXT(VALUE(Database!$A368),"0")&amp;" HK Equity","PE_RATIO"),"")</f>
        <v/>
      </c>
      <c r="K368" s="43">
        <f>IFERROR(BDP(TEXT(VALUE(Database!$A368),"0")&amp;" HK Equity","A/H_SHARE_CONVERSION"),"")</f>
        <v/>
      </c>
      <c r="L368" s="51">
        <f>IF(Database!BN368="","(none found)",Database!BN368)</f>
        <v/>
      </c>
      <c r="M368" s="53">
        <f>IFERROR(INDEX(BDH(TEXT(VALUE(Database!$A368),"0")&amp;" HK Equity","CUR_MKT_CAP",Database!$H368,Database!$H368),MATCH(Database!$H368,INDEX(BDH(TEXT(VALUE(Database!$A368),"0")&amp;" HK Equity","CUR_MKT_CAP",Database!$H368,Database!$H368),0,1),0),2),"run on terminal")</f>
        <v/>
      </c>
      <c r="N368" s="213">
        <f>Database!Q368</f>
        <v/>
      </c>
      <c r="O368" s="58">
        <f>IFERROR(INDEX(BDH(TEXT(VALUE(Database!$A368),"0")&amp;" HK Equity","PE_RATIO",Database!$H368,Database!$H368),MATCH(Database!$H368,INDEX(BDH(TEXT(VALUE(Database!$A368),"0")&amp;" HK Equity","PE_RATIO",Database!$H368,Database!$H368),0,1),0),2),"run on terminal")</f>
        <v/>
      </c>
      <c r="P368" s="251">
        <f>IF(Database!BH368="","(n/m or not derivable)",Database!BH368)</f>
        <v/>
      </c>
      <c r="Q368" s="58">
        <f>IF(Database!BN368="","",IFERROR(INDEX(BDH(LEFT(Database!BN368,FIND(".",Database!BN368)-1)&amp;" CH Equity","PE_RATIO",Database!$H368,Database!$H368),MATCH(Database!$H368,INDEX(BDH(LEFT(Database!BN368,FIND(".",Database!BN368)-1)&amp;" CH Equity","PE_RATIO",Database!$H368,Database!$H368),0,1),0),2),"run on terminal"))</f>
        <v/>
      </c>
      <c r="R368" s="58">
        <f>IF(Database!BN368="","",IFERROR(INDEX(BDH("HSAHP Index","PX_LAST",Database!$H368,Database!$H368),MATCH(Database!$H368,INDEX(BDH("HSAHP Index","PX_LAST",Database!$H368,Database!$H368),0,1),0),2),"run on terminal"))</f>
        <v/>
      </c>
      <c r="S368" s="58">
        <f>IFERROR(BDP(TEXT(VALUE(Database!$A368),"0")&amp;" HK Equity","PX_TO_SALES_RATIO"),"")</f>
        <v/>
      </c>
      <c r="T368" s="53">
        <f>IF(Database!BN368="","",IFERROR(BDP(LEFT(Database!BN368,FIND(".",Database!BN368)-1)&amp;" CH Equity","CUR_MKT_CAP")*BDP("CNYHKD Curncy","PX_LAST"),"run on terminal"))</f>
        <v/>
      </c>
    </row>
    <row r="369" ht="23" customHeight="1">
      <c r="A369" s="51">
        <f>Database!A369&amp;"  "&amp;Database!B369</f>
        <v/>
      </c>
      <c r="B369" s="43">
        <f>IFERROR(INDEX(BDS(TEXT(VALUE(Database!$A369),"0")&amp;" HK Equity","EQUITY_OFFERINGS","array=t","endcol=1"),MATCH("IPO",BDS(TEXT(VALUE(Database!$A369),"0")&amp;" HK Equity","EQUITY_OFFERINGS","array=t","startcol=2","endcol=2"),0)),"")</f>
        <v/>
      </c>
      <c r="C369" s="260">
        <f>IF($B369="","",IFERROR(BDP($B369&amp;" Action","CP036"),""))</f>
        <v/>
      </c>
      <c r="D369" s="261">
        <f>Database!S369</f>
        <v/>
      </c>
      <c r="E369" s="260">
        <f>IF($B369="","",IFERROR(BDP($B369&amp;" Action","CP037"),""))</f>
        <v/>
      </c>
      <c r="F369" s="261">
        <f>Database!T369</f>
        <v/>
      </c>
      <c r="G369" s="260">
        <f>IF($B369="","",IFERROR(BDP($B369&amp;" Action","GREENSHOE_FACILITY"),""))</f>
        <v/>
      </c>
      <c r="H369" s="260">
        <f>IF($B369="","",IFERROR(BDP($B369&amp;" Action","OFFERING_GREENSHOE_SHARES_EX"),""))</f>
        <v/>
      </c>
      <c r="I369" s="51">
        <f>Database!AE369</f>
        <v/>
      </c>
      <c r="J369" s="58">
        <f>IFERROR(BDP(TEXT(VALUE(Database!$A369),"0")&amp;" HK Equity","PE_RATIO"),"")</f>
        <v/>
      </c>
      <c r="K369" s="43">
        <f>IFERROR(BDP(TEXT(VALUE(Database!$A369),"0")&amp;" HK Equity","A/H_SHARE_CONVERSION"),"")</f>
        <v/>
      </c>
      <c r="L369" s="51">
        <f>IF(Database!BN369="","(none found)",Database!BN369)</f>
        <v/>
      </c>
      <c r="M369" s="53">
        <f>IFERROR(INDEX(BDH(TEXT(VALUE(Database!$A369),"0")&amp;" HK Equity","CUR_MKT_CAP",Database!$H369,Database!$H369),MATCH(Database!$H369,INDEX(BDH(TEXT(VALUE(Database!$A369),"0")&amp;" HK Equity","CUR_MKT_CAP",Database!$H369,Database!$H369),0,1),0),2),"run on terminal")</f>
        <v/>
      </c>
      <c r="N369" s="213">
        <f>Database!Q369</f>
        <v/>
      </c>
      <c r="O369" s="58">
        <f>IFERROR(INDEX(BDH(TEXT(VALUE(Database!$A369),"0")&amp;" HK Equity","PE_RATIO",Database!$H369,Database!$H369),MATCH(Database!$H369,INDEX(BDH(TEXT(VALUE(Database!$A369),"0")&amp;" HK Equity","PE_RATIO",Database!$H369,Database!$H369),0,1),0),2),"run on terminal")</f>
        <v/>
      </c>
      <c r="P369" s="251">
        <f>IF(Database!BH369="","(n/m or not derivable)",Database!BH369)</f>
        <v/>
      </c>
      <c r="Q369" s="58">
        <f>IF(Database!BN369="","",IFERROR(INDEX(BDH(LEFT(Database!BN369,FIND(".",Database!BN369)-1)&amp;" CH Equity","PE_RATIO",Database!$H369,Database!$H369),MATCH(Database!$H369,INDEX(BDH(LEFT(Database!BN369,FIND(".",Database!BN369)-1)&amp;" CH Equity","PE_RATIO",Database!$H369,Database!$H369),0,1),0),2),"run on terminal"))</f>
        <v/>
      </c>
      <c r="R369" s="58">
        <f>IF(Database!BN369="","",IFERROR(INDEX(BDH("HSAHP Index","PX_LAST",Database!$H369,Database!$H369),MATCH(Database!$H369,INDEX(BDH("HSAHP Index","PX_LAST",Database!$H369,Database!$H369),0,1),0),2),"run on terminal"))</f>
        <v/>
      </c>
      <c r="S369" s="58">
        <f>IFERROR(BDP(TEXT(VALUE(Database!$A369),"0")&amp;" HK Equity","PX_TO_SALES_RATIO"),"")</f>
        <v/>
      </c>
      <c r="T369" s="53">
        <f>IF(Database!BN369="","",IFERROR(BDP(LEFT(Database!BN369,FIND(".",Database!BN369)-1)&amp;" CH Equity","CUR_MKT_CAP")*BDP("CNYHKD Curncy","PX_LAST"),"run on terminal"))</f>
        <v/>
      </c>
    </row>
    <row r="370" ht="23" customHeight="1">
      <c r="A370" s="51">
        <f>Database!A370&amp;"  "&amp;Database!B370</f>
        <v/>
      </c>
      <c r="B370" s="43">
        <f>IFERROR(INDEX(BDS(TEXT(VALUE(Database!$A370),"0")&amp;" HK Equity","EQUITY_OFFERINGS","array=t","endcol=1"),MATCH("IPO",BDS(TEXT(VALUE(Database!$A370),"0")&amp;" HK Equity","EQUITY_OFFERINGS","array=t","startcol=2","endcol=2"),0)),"")</f>
        <v/>
      </c>
      <c r="C370" s="260">
        <f>IF($B370="","",IFERROR(BDP($B370&amp;" Action","CP036"),""))</f>
        <v/>
      </c>
      <c r="D370" s="261">
        <f>Database!S370</f>
        <v/>
      </c>
      <c r="E370" s="260">
        <f>IF($B370="","",IFERROR(BDP($B370&amp;" Action","CP037"),""))</f>
        <v/>
      </c>
      <c r="F370" s="261">
        <f>Database!T370</f>
        <v/>
      </c>
      <c r="G370" s="260">
        <f>IF($B370="","",IFERROR(BDP($B370&amp;" Action","GREENSHOE_FACILITY"),""))</f>
        <v/>
      </c>
      <c r="H370" s="260">
        <f>IF($B370="","",IFERROR(BDP($B370&amp;" Action","OFFERING_GREENSHOE_SHARES_EX"),""))</f>
        <v/>
      </c>
      <c r="I370" s="51">
        <f>Database!AE370</f>
        <v/>
      </c>
      <c r="J370" s="58">
        <f>IFERROR(BDP(TEXT(VALUE(Database!$A370),"0")&amp;" HK Equity","PE_RATIO"),"")</f>
        <v/>
      </c>
      <c r="K370" s="43">
        <f>IFERROR(BDP(TEXT(VALUE(Database!$A370),"0")&amp;" HK Equity","A/H_SHARE_CONVERSION"),"")</f>
        <v/>
      </c>
      <c r="L370" s="51">
        <f>IF(Database!BN370="","(none found)",Database!BN370)</f>
        <v/>
      </c>
      <c r="M370" s="53">
        <f>IFERROR(INDEX(BDH(TEXT(VALUE(Database!$A370),"0")&amp;" HK Equity","CUR_MKT_CAP",Database!$H370,Database!$H370),MATCH(Database!$H370,INDEX(BDH(TEXT(VALUE(Database!$A370),"0")&amp;" HK Equity","CUR_MKT_CAP",Database!$H370,Database!$H370),0,1),0),2),"run on terminal")</f>
        <v/>
      </c>
      <c r="N370" s="213">
        <f>Database!Q370</f>
        <v/>
      </c>
      <c r="O370" s="58">
        <f>IFERROR(INDEX(BDH(TEXT(VALUE(Database!$A370),"0")&amp;" HK Equity","PE_RATIO",Database!$H370,Database!$H370),MATCH(Database!$H370,INDEX(BDH(TEXT(VALUE(Database!$A370),"0")&amp;" HK Equity","PE_RATIO",Database!$H370,Database!$H370),0,1),0),2),"run on terminal")</f>
        <v/>
      </c>
      <c r="P370" s="251">
        <f>IF(Database!BH370="","(n/m or not derivable)",Database!BH370)</f>
        <v/>
      </c>
      <c r="Q370" s="58">
        <f>IF(Database!BN370="","",IFERROR(INDEX(BDH(LEFT(Database!BN370,FIND(".",Database!BN370)-1)&amp;" CH Equity","PE_RATIO",Database!$H370,Database!$H370),MATCH(Database!$H370,INDEX(BDH(LEFT(Database!BN370,FIND(".",Database!BN370)-1)&amp;" CH Equity","PE_RATIO",Database!$H370,Database!$H370),0,1),0),2),"run on terminal"))</f>
        <v/>
      </c>
      <c r="R370" s="58">
        <f>IF(Database!BN370="","",IFERROR(INDEX(BDH("HSAHP Index","PX_LAST",Database!$H370,Database!$H370),MATCH(Database!$H370,INDEX(BDH("HSAHP Index","PX_LAST",Database!$H370,Database!$H370),0,1),0),2),"run on terminal"))</f>
        <v/>
      </c>
      <c r="S370" s="58">
        <f>IFERROR(BDP(TEXT(VALUE(Database!$A370),"0")&amp;" HK Equity","PX_TO_SALES_RATIO"),"")</f>
        <v/>
      </c>
      <c r="T370" s="53">
        <f>IF(Database!BN370="","",IFERROR(BDP(LEFT(Database!BN370,FIND(".",Database!BN370)-1)&amp;" CH Equity","CUR_MKT_CAP")*BDP("CNYHKD Curncy","PX_LAST"),"run on terminal"))</f>
        <v/>
      </c>
    </row>
    <row r="371" ht="23" customHeight="1">
      <c r="A371" s="51">
        <f>Database!A371&amp;"  "&amp;Database!B371</f>
        <v/>
      </c>
      <c r="B371" s="43">
        <f>IFERROR(INDEX(BDS(TEXT(VALUE(Database!$A371),"0")&amp;" HK Equity","EQUITY_OFFERINGS","array=t","endcol=1"),MATCH("IPO",BDS(TEXT(VALUE(Database!$A371),"0")&amp;" HK Equity","EQUITY_OFFERINGS","array=t","startcol=2","endcol=2"),0)),"")</f>
        <v/>
      </c>
      <c r="C371" s="260">
        <f>IF($B371="","",IFERROR(BDP($B371&amp;" Action","CP036"),""))</f>
        <v/>
      </c>
      <c r="D371" s="261">
        <f>Database!S371</f>
        <v/>
      </c>
      <c r="E371" s="260">
        <f>IF($B371="","",IFERROR(BDP($B371&amp;" Action","CP037"),""))</f>
        <v/>
      </c>
      <c r="F371" s="261">
        <f>Database!T371</f>
        <v/>
      </c>
      <c r="G371" s="260">
        <f>IF($B371="","",IFERROR(BDP($B371&amp;" Action","GREENSHOE_FACILITY"),""))</f>
        <v/>
      </c>
      <c r="H371" s="260">
        <f>IF($B371="","",IFERROR(BDP($B371&amp;" Action","OFFERING_GREENSHOE_SHARES_EX"),""))</f>
        <v/>
      </c>
      <c r="I371" s="51">
        <f>Database!AE371</f>
        <v/>
      </c>
      <c r="J371" s="58">
        <f>IFERROR(BDP(TEXT(VALUE(Database!$A371),"0")&amp;" HK Equity","PE_RATIO"),"")</f>
        <v/>
      </c>
      <c r="K371" s="43">
        <f>IFERROR(BDP(TEXT(VALUE(Database!$A371),"0")&amp;" HK Equity","A/H_SHARE_CONVERSION"),"")</f>
        <v/>
      </c>
      <c r="L371" s="51">
        <f>IF(Database!BN371="","(none found)",Database!BN371)</f>
        <v/>
      </c>
      <c r="M371" s="53">
        <f>IFERROR(INDEX(BDH(TEXT(VALUE(Database!$A371),"0")&amp;" HK Equity","CUR_MKT_CAP",Database!$H371,Database!$H371),MATCH(Database!$H371,INDEX(BDH(TEXT(VALUE(Database!$A371),"0")&amp;" HK Equity","CUR_MKT_CAP",Database!$H371,Database!$H371),0,1),0),2),"run on terminal")</f>
        <v/>
      </c>
      <c r="N371" s="213">
        <f>Database!Q371</f>
        <v/>
      </c>
      <c r="O371" s="58">
        <f>IFERROR(INDEX(BDH(TEXT(VALUE(Database!$A371),"0")&amp;" HK Equity","PE_RATIO",Database!$H371,Database!$H371),MATCH(Database!$H371,INDEX(BDH(TEXT(VALUE(Database!$A371),"0")&amp;" HK Equity","PE_RATIO",Database!$H371,Database!$H371),0,1),0),2),"run on terminal")</f>
        <v/>
      </c>
      <c r="P371" s="251">
        <f>IF(Database!BH371="","(n/m or not derivable)",Database!BH371)</f>
        <v/>
      </c>
      <c r="Q371" s="58">
        <f>IF(Database!BN371="","",IFERROR(INDEX(BDH(LEFT(Database!BN371,FIND(".",Database!BN371)-1)&amp;" CH Equity","PE_RATIO",Database!$H371,Database!$H371),MATCH(Database!$H371,INDEX(BDH(LEFT(Database!BN371,FIND(".",Database!BN371)-1)&amp;" CH Equity","PE_RATIO",Database!$H371,Database!$H371),0,1),0),2),"run on terminal"))</f>
        <v/>
      </c>
      <c r="R371" s="58">
        <f>IF(Database!BN371="","",IFERROR(INDEX(BDH("HSAHP Index","PX_LAST",Database!$H371,Database!$H371),MATCH(Database!$H371,INDEX(BDH("HSAHP Index","PX_LAST",Database!$H371,Database!$H371),0,1),0),2),"run on terminal"))</f>
        <v/>
      </c>
      <c r="S371" s="58">
        <f>IFERROR(BDP(TEXT(VALUE(Database!$A371),"0")&amp;" HK Equity","PX_TO_SALES_RATIO"),"")</f>
        <v/>
      </c>
      <c r="T371" s="53">
        <f>IF(Database!BN371="","",IFERROR(BDP(LEFT(Database!BN371,FIND(".",Database!BN371)-1)&amp;" CH Equity","CUR_MKT_CAP")*BDP("CNYHKD Curncy","PX_LAST"),"run on terminal"))</f>
        <v/>
      </c>
    </row>
    <row r="372" ht="23" customHeight="1">
      <c r="A372" s="51">
        <f>Database!A372&amp;"  "&amp;Database!B372</f>
        <v/>
      </c>
      <c r="B372" s="43">
        <f>IFERROR(INDEX(BDS(TEXT(VALUE(Database!$A372),"0")&amp;" HK Equity","EQUITY_OFFERINGS","array=t","endcol=1"),MATCH("IPO",BDS(TEXT(VALUE(Database!$A372),"0")&amp;" HK Equity","EQUITY_OFFERINGS","array=t","startcol=2","endcol=2"),0)),"")</f>
        <v/>
      </c>
      <c r="C372" s="260">
        <f>IF($B372="","",IFERROR(BDP($B372&amp;" Action","CP036"),""))</f>
        <v/>
      </c>
      <c r="D372" s="261">
        <f>Database!S372</f>
        <v/>
      </c>
      <c r="E372" s="260">
        <f>IF($B372="","",IFERROR(BDP($B372&amp;" Action","CP037"),""))</f>
        <v/>
      </c>
      <c r="F372" s="261">
        <f>Database!T372</f>
        <v/>
      </c>
      <c r="G372" s="260">
        <f>IF($B372="","",IFERROR(BDP($B372&amp;" Action","GREENSHOE_FACILITY"),""))</f>
        <v/>
      </c>
      <c r="H372" s="260">
        <f>IF($B372="","",IFERROR(BDP($B372&amp;" Action","OFFERING_GREENSHOE_SHARES_EX"),""))</f>
        <v/>
      </c>
      <c r="I372" s="51">
        <f>Database!AE372</f>
        <v/>
      </c>
      <c r="J372" s="58">
        <f>IFERROR(BDP(TEXT(VALUE(Database!$A372),"0")&amp;" HK Equity","PE_RATIO"),"")</f>
        <v/>
      </c>
      <c r="K372" s="43">
        <f>IFERROR(BDP(TEXT(VALUE(Database!$A372),"0")&amp;" HK Equity","A/H_SHARE_CONVERSION"),"")</f>
        <v/>
      </c>
      <c r="L372" s="51">
        <f>IF(Database!BN372="","(none found)",Database!BN372)</f>
        <v/>
      </c>
      <c r="M372" s="53">
        <f>IFERROR(INDEX(BDH(TEXT(VALUE(Database!$A372),"0")&amp;" HK Equity","CUR_MKT_CAP",Database!$H372,Database!$H372),MATCH(Database!$H372,INDEX(BDH(TEXT(VALUE(Database!$A372),"0")&amp;" HK Equity","CUR_MKT_CAP",Database!$H372,Database!$H372),0,1),0),2),"run on terminal")</f>
        <v/>
      </c>
      <c r="N372" s="213">
        <f>Database!Q372</f>
        <v/>
      </c>
      <c r="O372" s="58">
        <f>IFERROR(INDEX(BDH(TEXT(VALUE(Database!$A372),"0")&amp;" HK Equity","PE_RATIO",Database!$H372,Database!$H372),MATCH(Database!$H372,INDEX(BDH(TEXT(VALUE(Database!$A372),"0")&amp;" HK Equity","PE_RATIO",Database!$H372,Database!$H372),0,1),0),2),"run on terminal")</f>
        <v/>
      </c>
      <c r="P372" s="251">
        <f>IF(Database!BH372="","(n/m or not derivable)",Database!BH372)</f>
        <v/>
      </c>
      <c r="Q372" s="58">
        <f>IF(Database!BN372="","",IFERROR(INDEX(BDH(LEFT(Database!BN372,FIND(".",Database!BN372)-1)&amp;" CH Equity","PE_RATIO",Database!$H372,Database!$H372),MATCH(Database!$H372,INDEX(BDH(LEFT(Database!BN372,FIND(".",Database!BN372)-1)&amp;" CH Equity","PE_RATIO",Database!$H372,Database!$H372),0,1),0),2),"run on terminal"))</f>
        <v/>
      </c>
      <c r="R372" s="58">
        <f>IF(Database!BN372="","",IFERROR(INDEX(BDH("HSAHP Index","PX_LAST",Database!$H372,Database!$H372),MATCH(Database!$H372,INDEX(BDH("HSAHP Index","PX_LAST",Database!$H372,Database!$H372),0,1),0),2),"run on terminal"))</f>
        <v/>
      </c>
      <c r="S372" s="58">
        <f>IFERROR(BDP(TEXT(VALUE(Database!$A372),"0")&amp;" HK Equity","PX_TO_SALES_RATIO"),"")</f>
        <v/>
      </c>
      <c r="T372" s="53">
        <f>IF(Database!BN372="","",IFERROR(BDP(LEFT(Database!BN372,FIND(".",Database!BN372)-1)&amp;" CH Equity","CUR_MKT_CAP")*BDP("CNYHKD Curncy","PX_LAST"),"run on terminal"))</f>
        <v/>
      </c>
    </row>
    <row r="373" ht="23" customHeight="1">
      <c r="A373" s="51">
        <f>Database!A373&amp;"  "&amp;Database!B373</f>
        <v/>
      </c>
      <c r="B373" s="43">
        <f>IFERROR(INDEX(BDS(TEXT(VALUE(Database!$A373),"0")&amp;" HK Equity","EQUITY_OFFERINGS","array=t","endcol=1"),MATCH("IPO",BDS(TEXT(VALUE(Database!$A373),"0")&amp;" HK Equity","EQUITY_OFFERINGS","array=t","startcol=2","endcol=2"),0)),"")</f>
        <v/>
      </c>
      <c r="C373" s="260">
        <f>IF($B373="","",IFERROR(BDP($B373&amp;" Action","CP036"),""))</f>
        <v/>
      </c>
      <c r="D373" s="261">
        <f>Database!S373</f>
        <v/>
      </c>
      <c r="E373" s="260">
        <f>IF($B373="","",IFERROR(BDP($B373&amp;" Action","CP037"),""))</f>
        <v/>
      </c>
      <c r="F373" s="261">
        <f>Database!T373</f>
        <v/>
      </c>
      <c r="G373" s="260">
        <f>IF($B373="","",IFERROR(BDP($B373&amp;" Action","GREENSHOE_FACILITY"),""))</f>
        <v/>
      </c>
      <c r="H373" s="260">
        <f>IF($B373="","",IFERROR(BDP($B373&amp;" Action","OFFERING_GREENSHOE_SHARES_EX"),""))</f>
        <v/>
      </c>
      <c r="I373" s="51">
        <f>Database!AE373</f>
        <v/>
      </c>
      <c r="J373" s="58">
        <f>IFERROR(BDP(TEXT(VALUE(Database!$A373),"0")&amp;" HK Equity","PE_RATIO"),"")</f>
        <v/>
      </c>
      <c r="K373" s="43">
        <f>IFERROR(BDP(TEXT(VALUE(Database!$A373),"0")&amp;" HK Equity","A/H_SHARE_CONVERSION"),"")</f>
        <v/>
      </c>
      <c r="L373" s="51">
        <f>IF(Database!BN373="","(none found)",Database!BN373)</f>
        <v/>
      </c>
      <c r="M373" s="53">
        <f>IFERROR(INDEX(BDH(TEXT(VALUE(Database!$A373),"0")&amp;" HK Equity","CUR_MKT_CAP",Database!$H373,Database!$H373),MATCH(Database!$H373,INDEX(BDH(TEXT(VALUE(Database!$A373),"0")&amp;" HK Equity","CUR_MKT_CAP",Database!$H373,Database!$H373),0,1),0),2),"run on terminal")</f>
        <v/>
      </c>
      <c r="N373" s="213">
        <f>Database!Q373</f>
        <v/>
      </c>
      <c r="O373" s="58">
        <f>IFERROR(INDEX(BDH(TEXT(VALUE(Database!$A373),"0")&amp;" HK Equity","PE_RATIO",Database!$H373,Database!$H373),MATCH(Database!$H373,INDEX(BDH(TEXT(VALUE(Database!$A373),"0")&amp;" HK Equity","PE_RATIO",Database!$H373,Database!$H373),0,1),0),2),"run on terminal")</f>
        <v/>
      </c>
      <c r="P373" s="251">
        <f>IF(Database!BH373="","(n/m or not derivable)",Database!BH373)</f>
        <v/>
      </c>
      <c r="Q373" s="58">
        <f>IF(Database!BN373="","",IFERROR(INDEX(BDH(LEFT(Database!BN373,FIND(".",Database!BN373)-1)&amp;" CH Equity","PE_RATIO",Database!$H373,Database!$H373),MATCH(Database!$H373,INDEX(BDH(LEFT(Database!BN373,FIND(".",Database!BN373)-1)&amp;" CH Equity","PE_RATIO",Database!$H373,Database!$H373),0,1),0),2),"run on terminal"))</f>
        <v/>
      </c>
      <c r="R373" s="58">
        <f>IF(Database!BN373="","",IFERROR(INDEX(BDH("HSAHP Index","PX_LAST",Database!$H373,Database!$H373),MATCH(Database!$H373,INDEX(BDH("HSAHP Index","PX_LAST",Database!$H373,Database!$H373),0,1),0),2),"run on terminal"))</f>
        <v/>
      </c>
      <c r="S373" s="58">
        <f>IFERROR(BDP(TEXT(VALUE(Database!$A373),"0")&amp;" HK Equity","PX_TO_SALES_RATIO"),"")</f>
        <v/>
      </c>
      <c r="T373" s="53">
        <f>IF(Database!BN373="","",IFERROR(BDP(LEFT(Database!BN373,FIND(".",Database!BN373)-1)&amp;" CH Equity","CUR_MKT_CAP")*BDP("CNYHKD Curncy","PX_LAST"),"run on terminal"))</f>
        <v/>
      </c>
    </row>
    <row r="374" ht="23" customHeight="1">
      <c r="A374" s="51">
        <f>Database!A374&amp;"  "&amp;Database!B374</f>
        <v/>
      </c>
      <c r="B374" s="43">
        <f>IFERROR(INDEX(BDS(TEXT(VALUE(Database!$A374),"0")&amp;" HK Equity","EQUITY_OFFERINGS","array=t","endcol=1"),MATCH("IPO",BDS(TEXT(VALUE(Database!$A374),"0")&amp;" HK Equity","EQUITY_OFFERINGS","array=t","startcol=2","endcol=2"),0)),"")</f>
        <v/>
      </c>
      <c r="C374" s="260">
        <f>IF($B374="","",IFERROR(BDP($B374&amp;" Action","CP036"),""))</f>
        <v/>
      </c>
      <c r="D374" s="261">
        <f>Database!S374</f>
        <v/>
      </c>
      <c r="E374" s="260">
        <f>IF($B374="","",IFERROR(BDP($B374&amp;" Action","CP037"),""))</f>
        <v/>
      </c>
      <c r="F374" s="261">
        <f>Database!T374</f>
        <v/>
      </c>
      <c r="G374" s="260">
        <f>IF($B374="","",IFERROR(BDP($B374&amp;" Action","GREENSHOE_FACILITY"),""))</f>
        <v/>
      </c>
      <c r="H374" s="260">
        <f>IF($B374="","",IFERROR(BDP($B374&amp;" Action","OFFERING_GREENSHOE_SHARES_EX"),""))</f>
        <v/>
      </c>
      <c r="I374" s="51">
        <f>Database!AE374</f>
        <v/>
      </c>
      <c r="J374" s="58">
        <f>IFERROR(BDP(TEXT(VALUE(Database!$A374),"0")&amp;" HK Equity","PE_RATIO"),"")</f>
        <v/>
      </c>
      <c r="K374" s="43">
        <f>IFERROR(BDP(TEXT(VALUE(Database!$A374),"0")&amp;" HK Equity","A/H_SHARE_CONVERSION"),"")</f>
        <v/>
      </c>
      <c r="L374" s="51">
        <f>IF(Database!BN374="","(none found)",Database!BN374)</f>
        <v/>
      </c>
      <c r="M374" s="53">
        <f>IFERROR(INDEX(BDH(TEXT(VALUE(Database!$A374),"0")&amp;" HK Equity","CUR_MKT_CAP",Database!$H374,Database!$H374),MATCH(Database!$H374,INDEX(BDH(TEXT(VALUE(Database!$A374),"0")&amp;" HK Equity","CUR_MKT_CAP",Database!$H374,Database!$H374),0,1),0),2),"run on terminal")</f>
        <v/>
      </c>
      <c r="N374" s="213">
        <f>Database!Q374</f>
        <v/>
      </c>
      <c r="O374" s="58">
        <f>IFERROR(INDEX(BDH(TEXT(VALUE(Database!$A374),"0")&amp;" HK Equity","PE_RATIO",Database!$H374,Database!$H374),MATCH(Database!$H374,INDEX(BDH(TEXT(VALUE(Database!$A374),"0")&amp;" HK Equity","PE_RATIO",Database!$H374,Database!$H374),0,1),0),2),"run on terminal")</f>
        <v/>
      </c>
      <c r="P374" s="251">
        <f>IF(Database!BH374="","(n/m or not derivable)",Database!BH374)</f>
        <v/>
      </c>
      <c r="Q374" s="58">
        <f>IF(Database!BN374="","",IFERROR(INDEX(BDH(LEFT(Database!BN374,FIND(".",Database!BN374)-1)&amp;" CH Equity","PE_RATIO",Database!$H374,Database!$H374),MATCH(Database!$H374,INDEX(BDH(LEFT(Database!BN374,FIND(".",Database!BN374)-1)&amp;" CH Equity","PE_RATIO",Database!$H374,Database!$H374),0,1),0),2),"run on terminal"))</f>
        <v/>
      </c>
      <c r="R374" s="58">
        <f>IF(Database!BN374="","",IFERROR(INDEX(BDH("HSAHP Index","PX_LAST",Database!$H374,Database!$H374),MATCH(Database!$H374,INDEX(BDH("HSAHP Index","PX_LAST",Database!$H374,Database!$H374),0,1),0),2),"run on terminal"))</f>
        <v/>
      </c>
      <c r="S374" s="58">
        <f>IFERROR(BDP(TEXT(VALUE(Database!$A374),"0")&amp;" HK Equity","PX_TO_SALES_RATIO"),"")</f>
        <v/>
      </c>
      <c r="T374" s="53">
        <f>IF(Database!BN374="","",IFERROR(BDP(LEFT(Database!BN374,FIND(".",Database!BN374)-1)&amp;" CH Equity","CUR_MKT_CAP")*BDP("CNYHKD Curncy","PX_LAST"),"run on terminal"))</f>
        <v/>
      </c>
    </row>
    <row r="375" ht="23" customHeight="1">
      <c r="A375" s="51">
        <f>Database!A375&amp;"  "&amp;Database!B375</f>
        <v/>
      </c>
      <c r="B375" s="43">
        <f>IFERROR(INDEX(BDS(TEXT(VALUE(Database!$A375),"0")&amp;" HK Equity","EQUITY_OFFERINGS","array=t","endcol=1"),MATCH("IPO",BDS(TEXT(VALUE(Database!$A375),"0")&amp;" HK Equity","EQUITY_OFFERINGS","array=t","startcol=2","endcol=2"),0)),"")</f>
        <v/>
      </c>
      <c r="C375" s="260">
        <f>IF($B375="","",IFERROR(BDP($B375&amp;" Action","CP036"),""))</f>
        <v/>
      </c>
      <c r="D375" s="261">
        <f>Database!S375</f>
        <v/>
      </c>
      <c r="E375" s="260">
        <f>IF($B375="","",IFERROR(BDP($B375&amp;" Action","CP037"),""))</f>
        <v/>
      </c>
      <c r="F375" s="261">
        <f>Database!T375</f>
        <v/>
      </c>
      <c r="G375" s="260">
        <f>IF($B375="","",IFERROR(BDP($B375&amp;" Action","GREENSHOE_FACILITY"),""))</f>
        <v/>
      </c>
      <c r="H375" s="260">
        <f>IF($B375="","",IFERROR(BDP($B375&amp;" Action","OFFERING_GREENSHOE_SHARES_EX"),""))</f>
        <v/>
      </c>
      <c r="I375" s="51">
        <f>Database!AE375</f>
        <v/>
      </c>
      <c r="J375" s="58">
        <f>IFERROR(BDP(TEXT(VALUE(Database!$A375),"0")&amp;" HK Equity","PE_RATIO"),"")</f>
        <v/>
      </c>
      <c r="K375" s="43">
        <f>IFERROR(BDP(TEXT(VALUE(Database!$A375),"0")&amp;" HK Equity","A/H_SHARE_CONVERSION"),"")</f>
        <v/>
      </c>
      <c r="L375" s="51">
        <f>IF(Database!BN375="","(none found)",Database!BN375)</f>
        <v/>
      </c>
      <c r="M375" s="53">
        <f>IFERROR(INDEX(BDH(TEXT(VALUE(Database!$A375),"0")&amp;" HK Equity","CUR_MKT_CAP",Database!$H375,Database!$H375),MATCH(Database!$H375,INDEX(BDH(TEXT(VALUE(Database!$A375),"0")&amp;" HK Equity","CUR_MKT_CAP",Database!$H375,Database!$H375),0,1),0),2),"run on terminal")</f>
        <v/>
      </c>
      <c r="N375" s="213">
        <f>Database!Q375</f>
        <v/>
      </c>
      <c r="O375" s="58">
        <f>IFERROR(INDEX(BDH(TEXT(VALUE(Database!$A375),"0")&amp;" HK Equity","PE_RATIO",Database!$H375,Database!$H375),MATCH(Database!$H375,INDEX(BDH(TEXT(VALUE(Database!$A375),"0")&amp;" HK Equity","PE_RATIO",Database!$H375,Database!$H375),0,1),0),2),"run on terminal")</f>
        <v/>
      </c>
      <c r="P375" s="251">
        <f>IF(Database!BH375="","(n/m or not derivable)",Database!BH375)</f>
        <v/>
      </c>
      <c r="Q375" s="58">
        <f>IF(Database!BN375="","",IFERROR(INDEX(BDH(LEFT(Database!BN375,FIND(".",Database!BN375)-1)&amp;" CH Equity","PE_RATIO",Database!$H375,Database!$H375),MATCH(Database!$H375,INDEX(BDH(LEFT(Database!BN375,FIND(".",Database!BN375)-1)&amp;" CH Equity","PE_RATIO",Database!$H375,Database!$H375),0,1),0),2),"run on terminal"))</f>
        <v/>
      </c>
      <c r="R375" s="58">
        <f>IF(Database!BN375="","",IFERROR(INDEX(BDH("HSAHP Index","PX_LAST",Database!$H375,Database!$H375),MATCH(Database!$H375,INDEX(BDH("HSAHP Index","PX_LAST",Database!$H375,Database!$H375),0,1),0),2),"run on terminal"))</f>
        <v/>
      </c>
      <c r="S375" s="58">
        <f>IFERROR(BDP(TEXT(VALUE(Database!$A375),"0")&amp;" HK Equity","PX_TO_SALES_RATIO"),"")</f>
        <v/>
      </c>
      <c r="T375" s="53">
        <f>IF(Database!BN375="","",IFERROR(BDP(LEFT(Database!BN375,FIND(".",Database!BN375)-1)&amp;" CH Equity","CUR_MKT_CAP")*BDP("CNYHKD Curncy","PX_LAST"),"run on terminal"))</f>
        <v/>
      </c>
    </row>
    <row r="376" ht="23" customHeight="1">
      <c r="A376" s="51">
        <f>Database!A376&amp;"  "&amp;Database!B376</f>
        <v/>
      </c>
      <c r="B376" s="43">
        <f>IFERROR(INDEX(BDS(TEXT(VALUE(Database!$A376),"0")&amp;" HK Equity","EQUITY_OFFERINGS","array=t","endcol=1"),MATCH("IPO",BDS(TEXT(VALUE(Database!$A376),"0")&amp;" HK Equity","EQUITY_OFFERINGS","array=t","startcol=2","endcol=2"),0)),"")</f>
        <v/>
      </c>
      <c r="C376" s="260">
        <f>IF($B376="","",IFERROR(BDP($B376&amp;" Action","CP036"),""))</f>
        <v/>
      </c>
      <c r="D376" s="261">
        <f>Database!S376</f>
        <v/>
      </c>
      <c r="E376" s="260">
        <f>IF($B376="","",IFERROR(BDP($B376&amp;" Action","CP037"),""))</f>
        <v/>
      </c>
      <c r="F376" s="261">
        <f>Database!T376</f>
        <v/>
      </c>
      <c r="G376" s="260">
        <f>IF($B376="","",IFERROR(BDP($B376&amp;" Action","GREENSHOE_FACILITY"),""))</f>
        <v/>
      </c>
      <c r="H376" s="260">
        <f>IF($B376="","",IFERROR(BDP($B376&amp;" Action","OFFERING_GREENSHOE_SHARES_EX"),""))</f>
        <v/>
      </c>
      <c r="I376" s="51">
        <f>Database!AE376</f>
        <v/>
      </c>
      <c r="J376" s="58">
        <f>IFERROR(BDP(TEXT(VALUE(Database!$A376),"0")&amp;" HK Equity","PE_RATIO"),"")</f>
        <v/>
      </c>
      <c r="K376" s="43">
        <f>IFERROR(BDP(TEXT(VALUE(Database!$A376),"0")&amp;" HK Equity","A/H_SHARE_CONVERSION"),"")</f>
        <v/>
      </c>
      <c r="L376" s="51">
        <f>IF(Database!BN376="","(none found)",Database!BN376)</f>
        <v/>
      </c>
      <c r="M376" s="53">
        <f>IFERROR(INDEX(BDH(TEXT(VALUE(Database!$A376),"0")&amp;" HK Equity","CUR_MKT_CAP",Database!$H376,Database!$H376),MATCH(Database!$H376,INDEX(BDH(TEXT(VALUE(Database!$A376),"0")&amp;" HK Equity","CUR_MKT_CAP",Database!$H376,Database!$H376),0,1),0),2),"run on terminal")</f>
        <v/>
      </c>
      <c r="N376" s="213">
        <f>Database!Q376</f>
        <v/>
      </c>
      <c r="O376" s="58">
        <f>IFERROR(INDEX(BDH(TEXT(VALUE(Database!$A376),"0")&amp;" HK Equity","PE_RATIO",Database!$H376,Database!$H376),MATCH(Database!$H376,INDEX(BDH(TEXT(VALUE(Database!$A376),"0")&amp;" HK Equity","PE_RATIO",Database!$H376,Database!$H376),0,1),0),2),"run on terminal")</f>
        <v/>
      </c>
      <c r="P376" s="251">
        <f>IF(Database!BH376="","(n/m or not derivable)",Database!BH376)</f>
        <v/>
      </c>
      <c r="Q376" s="58">
        <f>IF(Database!BN376="","",IFERROR(INDEX(BDH(LEFT(Database!BN376,FIND(".",Database!BN376)-1)&amp;" CH Equity","PE_RATIO",Database!$H376,Database!$H376),MATCH(Database!$H376,INDEX(BDH(LEFT(Database!BN376,FIND(".",Database!BN376)-1)&amp;" CH Equity","PE_RATIO",Database!$H376,Database!$H376),0,1),0),2),"run on terminal"))</f>
        <v/>
      </c>
      <c r="R376" s="58">
        <f>IF(Database!BN376="","",IFERROR(INDEX(BDH("HSAHP Index","PX_LAST",Database!$H376,Database!$H376),MATCH(Database!$H376,INDEX(BDH("HSAHP Index","PX_LAST",Database!$H376,Database!$H376),0,1),0),2),"run on terminal"))</f>
        <v/>
      </c>
      <c r="S376" s="58">
        <f>IFERROR(BDP(TEXT(VALUE(Database!$A376),"0")&amp;" HK Equity","PX_TO_SALES_RATIO"),"")</f>
        <v/>
      </c>
      <c r="T376" s="53">
        <f>IF(Database!BN376="","",IFERROR(BDP(LEFT(Database!BN376,FIND(".",Database!BN376)-1)&amp;" CH Equity","CUR_MKT_CAP")*BDP("CNYHKD Curncy","PX_LAST"),"run on terminal"))</f>
        <v/>
      </c>
    </row>
    <row r="377" ht="23" customHeight="1">
      <c r="A377" s="51">
        <f>Database!A377&amp;"  "&amp;Database!B377</f>
        <v/>
      </c>
      <c r="B377" s="43">
        <f>IFERROR(INDEX(BDS(TEXT(VALUE(Database!$A377),"0")&amp;" HK Equity","EQUITY_OFFERINGS","array=t","endcol=1"),MATCH("IPO",BDS(TEXT(VALUE(Database!$A377),"0")&amp;" HK Equity","EQUITY_OFFERINGS","array=t","startcol=2","endcol=2"),0)),"")</f>
        <v/>
      </c>
      <c r="C377" s="260">
        <f>IF($B377="","",IFERROR(BDP($B377&amp;" Action","CP036"),""))</f>
        <v/>
      </c>
      <c r="D377" s="261">
        <f>Database!S377</f>
        <v/>
      </c>
      <c r="E377" s="260">
        <f>IF($B377="","",IFERROR(BDP($B377&amp;" Action","CP037"),""))</f>
        <v/>
      </c>
      <c r="F377" s="261">
        <f>Database!T377</f>
        <v/>
      </c>
      <c r="G377" s="260">
        <f>IF($B377="","",IFERROR(BDP($B377&amp;" Action","GREENSHOE_FACILITY"),""))</f>
        <v/>
      </c>
      <c r="H377" s="260">
        <f>IF($B377="","",IFERROR(BDP($B377&amp;" Action","OFFERING_GREENSHOE_SHARES_EX"),""))</f>
        <v/>
      </c>
      <c r="I377" s="51">
        <f>Database!AE377</f>
        <v/>
      </c>
      <c r="J377" s="58">
        <f>IFERROR(BDP(TEXT(VALUE(Database!$A377),"0")&amp;" HK Equity","PE_RATIO"),"")</f>
        <v/>
      </c>
      <c r="K377" s="43">
        <f>IFERROR(BDP(TEXT(VALUE(Database!$A377),"0")&amp;" HK Equity","A/H_SHARE_CONVERSION"),"")</f>
        <v/>
      </c>
      <c r="L377" s="51">
        <f>IF(Database!BN377="","(none found)",Database!BN377)</f>
        <v/>
      </c>
      <c r="M377" s="53">
        <f>IFERROR(INDEX(BDH(TEXT(VALUE(Database!$A377),"0")&amp;" HK Equity","CUR_MKT_CAP",Database!$H377,Database!$H377),MATCH(Database!$H377,INDEX(BDH(TEXT(VALUE(Database!$A377),"0")&amp;" HK Equity","CUR_MKT_CAP",Database!$H377,Database!$H377),0,1),0),2),"run on terminal")</f>
        <v/>
      </c>
      <c r="N377" s="213">
        <f>Database!Q377</f>
        <v/>
      </c>
      <c r="O377" s="58">
        <f>IFERROR(INDEX(BDH(TEXT(VALUE(Database!$A377),"0")&amp;" HK Equity","PE_RATIO",Database!$H377,Database!$H377),MATCH(Database!$H377,INDEX(BDH(TEXT(VALUE(Database!$A377),"0")&amp;" HK Equity","PE_RATIO",Database!$H377,Database!$H377),0,1),0),2),"run on terminal")</f>
        <v/>
      </c>
      <c r="P377" s="251">
        <f>IF(Database!BH377="","(n/m or not derivable)",Database!BH377)</f>
        <v/>
      </c>
      <c r="Q377" s="58">
        <f>IF(Database!BN377="","",IFERROR(INDEX(BDH(LEFT(Database!BN377,FIND(".",Database!BN377)-1)&amp;" CH Equity","PE_RATIO",Database!$H377,Database!$H377),MATCH(Database!$H377,INDEX(BDH(LEFT(Database!BN377,FIND(".",Database!BN377)-1)&amp;" CH Equity","PE_RATIO",Database!$H377,Database!$H377),0,1),0),2),"run on terminal"))</f>
        <v/>
      </c>
      <c r="R377" s="58">
        <f>IF(Database!BN377="","",IFERROR(INDEX(BDH("HSAHP Index","PX_LAST",Database!$H377,Database!$H377),MATCH(Database!$H377,INDEX(BDH("HSAHP Index","PX_LAST",Database!$H377,Database!$H377),0,1),0),2),"run on terminal"))</f>
        <v/>
      </c>
      <c r="S377" s="58">
        <f>IFERROR(BDP(TEXT(VALUE(Database!$A377),"0")&amp;" HK Equity","PX_TO_SALES_RATIO"),"")</f>
        <v/>
      </c>
      <c r="T377" s="53">
        <f>IF(Database!BN377="","",IFERROR(BDP(LEFT(Database!BN377,FIND(".",Database!BN377)-1)&amp;" CH Equity","CUR_MKT_CAP")*BDP("CNYHKD Curncy","PX_LAST"),"run on terminal"))</f>
        <v/>
      </c>
    </row>
    <row r="378" ht="23" customHeight="1">
      <c r="A378" s="51">
        <f>Database!A378&amp;"  "&amp;Database!B378</f>
        <v/>
      </c>
      <c r="B378" s="43">
        <f>IFERROR(INDEX(BDS(TEXT(VALUE(Database!$A378),"0")&amp;" HK Equity","EQUITY_OFFERINGS","array=t","endcol=1"),MATCH("IPO",BDS(TEXT(VALUE(Database!$A378),"0")&amp;" HK Equity","EQUITY_OFFERINGS","array=t","startcol=2","endcol=2"),0)),"")</f>
        <v/>
      </c>
      <c r="C378" s="260">
        <f>IF($B378="","",IFERROR(BDP($B378&amp;" Action","CP036"),""))</f>
        <v/>
      </c>
      <c r="D378" s="261">
        <f>Database!S378</f>
        <v/>
      </c>
      <c r="E378" s="260">
        <f>IF($B378="","",IFERROR(BDP($B378&amp;" Action","CP037"),""))</f>
        <v/>
      </c>
      <c r="F378" s="261">
        <f>Database!T378</f>
        <v/>
      </c>
      <c r="G378" s="260">
        <f>IF($B378="","",IFERROR(BDP($B378&amp;" Action","GREENSHOE_FACILITY"),""))</f>
        <v/>
      </c>
      <c r="H378" s="260">
        <f>IF($B378="","",IFERROR(BDP($B378&amp;" Action","OFFERING_GREENSHOE_SHARES_EX"),""))</f>
        <v/>
      </c>
      <c r="I378" s="51">
        <f>Database!AE378</f>
        <v/>
      </c>
      <c r="J378" s="58">
        <f>IFERROR(BDP(TEXT(VALUE(Database!$A378),"0")&amp;" HK Equity","PE_RATIO"),"")</f>
        <v/>
      </c>
      <c r="K378" s="43">
        <f>IFERROR(BDP(TEXT(VALUE(Database!$A378),"0")&amp;" HK Equity","A/H_SHARE_CONVERSION"),"")</f>
        <v/>
      </c>
      <c r="L378" s="51">
        <f>IF(Database!BN378="","(none found)",Database!BN378)</f>
        <v/>
      </c>
      <c r="M378" s="53">
        <f>IFERROR(INDEX(BDH(TEXT(VALUE(Database!$A378),"0")&amp;" HK Equity","CUR_MKT_CAP",Database!$H378,Database!$H378),MATCH(Database!$H378,INDEX(BDH(TEXT(VALUE(Database!$A378),"0")&amp;" HK Equity","CUR_MKT_CAP",Database!$H378,Database!$H378),0,1),0),2),"run on terminal")</f>
        <v/>
      </c>
      <c r="N378" s="213">
        <f>Database!Q378</f>
        <v/>
      </c>
      <c r="O378" s="58">
        <f>IFERROR(INDEX(BDH(TEXT(VALUE(Database!$A378),"0")&amp;" HK Equity","PE_RATIO",Database!$H378,Database!$H378),MATCH(Database!$H378,INDEX(BDH(TEXT(VALUE(Database!$A378),"0")&amp;" HK Equity","PE_RATIO",Database!$H378,Database!$H378),0,1),0),2),"run on terminal")</f>
        <v/>
      </c>
      <c r="P378" s="251">
        <f>IF(Database!BH378="","(n/m or not derivable)",Database!BH378)</f>
        <v/>
      </c>
      <c r="Q378" s="58">
        <f>IF(Database!BN378="","",IFERROR(INDEX(BDH(LEFT(Database!BN378,FIND(".",Database!BN378)-1)&amp;" CH Equity","PE_RATIO",Database!$H378,Database!$H378),MATCH(Database!$H378,INDEX(BDH(LEFT(Database!BN378,FIND(".",Database!BN378)-1)&amp;" CH Equity","PE_RATIO",Database!$H378,Database!$H378),0,1),0),2),"run on terminal"))</f>
        <v/>
      </c>
      <c r="R378" s="58">
        <f>IF(Database!BN378="","",IFERROR(INDEX(BDH("HSAHP Index","PX_LAST",Database!$H378,Database!$H378),MATCH(Database!$H378,INDEX(BDH("HSAHP Index","PX_LAST",Database!$H378,Database!$H378),0,1),0),2),"run on terminal"))</f>
        <v/>
      </c>
      <c r="S378" s="58">
        <f>IFERROR(BDP(TEXT(VALUE(Database!$A378),"0")&amp;" HK Equity","PX_TO_SALES_RATIO"),"")</f>
        <v/>
      </c>
      <c r="T378" s="53">
        <f>IF(Database!BN378="","",IFERROR(BDP(LEFT(Database!BN378,FIND(".",Database!BN378)-1)&amp;" CH Equity","CUR_MKT_CAP")*BDP("CNYHKD Curncy","PX_LAST"),"run on terminal"))</f>
        <v/>
      </c>
    </row>
    <row r="379" ht="23" customHeight="1">
      <c r="A379" s="51">
        <f>Database!A379&amp;"  "&amp;Database!B379</f>
        <v/>
      </c>
      <c r="B379" s="43">
        <f>IFERROR(INDEX(BDS(TEXT(VALUE(Database!$A379),"0")&amp;" HK Equity","EQUITY_OFFERINGS","array=t","endcol=1"),MATCH("IPO",BDS(TEXT(VALUE(Database!$A379),"0")&amp;" HK Equity","EQUITY_OFFERINGS","array=t","startcol=2","endcol=2"),0)),"")</f>
        <v/>
      </c>
      <c r="C379" s="260">
        <f>IF($B379="","",IFERROR(BDP($B379&amp;" Action","CP036"),""))</f>
        <v/>
      </c>
      <c r="D379" s="261">
        <f>Database!S379</f>
        <v/>
      </c>
      <c r="E379" s="260">
        <f>IF($B379="","",IFERROR(BDP($B379&amp;" Action","CP037"),""))</f>
        <v/>
      </c>
      <c r="F379" s="261">
        <f>Database!T379</f>
        <v/>
      </c>
      <c r="G379" s="260">
        <f>IF($B379="","",IFERROR(BDP($B379&amp;" Action","GREENSHOE_FACILITY"),""))</f>
        <v/>
      </c>
      <c r="H379" s="260">
        <f>IF($B379="","",IFERROR(BDP($B379&amp;" Action","OFFERING_GREENSHOE_SHARES_EX"),""))</f>
        <v/>
      </c>
      <c r="I379" s="51">
        <f>Database!AE379</f>
        <v/>
      </c>
      <c r="J379" s="58">
        <f>IFERROR(BDP(TEXT(VALUE(Database!$A379),"0")&amp;" HK Equity","PE_RATIO"),"")</f>
        <v/>
      </c>
      <c r="K379" s="43">
        <f>IFERROR(BDP(TEXT(VALUE(Database!$A379),"0")&amp;" HK Equity","A/H_SHARE_CONVERSION"),"")</f>
        <v/>
      </c>
      <c r="L379" s="51">
        <f>IF(Database!BN379="","(none found)",Database!BN379)</f>
        <v/>
      </c>
      <c r="M379" s="53">
        <f>IFERROR(INDEX(BDH(TEXT(VALUE(Database!$A379),"0")&amp;" HK Equity","CUR_MKT_CAP",Database!$H379,Database!$H379),MATCH(Database!$H379,INDEX(BDH(TEXT(VALUE(Database!$A379),"0")&amp;" HK Equity","CUR_MKT_CAP",Database!$H379,Database!$H379),0,1),0),2),"run on terminal")</f>
        <v/>
      </c>
      <c r="N379" s="213">
        <f>Database!Q379</f>
        <v/>
      </c>
      <c r="O379" s="58">
        <f>IFERROR(INDEX(BDH(TEXT(VALUE(Database!$A379),"0")&amp;" HK Equity","PE_RATIO",Database!$H379,Database!$H379),MATCH(Database!$H379,INDEX(BDH(TEXT(VALUE(Database!$A379),"0")&amp;" HK Equity","PE_RATIO",Database!$H379,Database!$H379),0,1),0),2),"run on terminal")</f>
        <v/>
      </c>
      <c r="P379" s="251">
        <f>IF(Database!BH379="","(n/m or not derivable)",Database!BH379)</f>
        <v/>
      </c>
      <c r="Q379" s="58">
        <f>IF(Database!BN379="","",IFERROR(INDEX(BDH(LEFT(Database!BN379,FIND(".",Database!BN379)-1)&amp;" CH Equity","PE_RATIO",Database!$H379,Database!$H379),MATCH(Database!$H379,INDEX(BDH(LEFT(Database!BN379,FIND(".",Database!BN379)-1)&amp;" CH Equity","PE_RATIO",Database!$H379,Database!$H379),0,1),0),2),"run on terminal"))</f>
        <v/>
      </c>
      <c r="R379" s="58">
        <f>IF(Database!BN379="","",IFERROR(INDEX(BDH("HSAHP Index","PX_LAST",Database!$H379,Database!$H379),MATCH(Database!$H379,INDEX(BDH("HSAHP Index","PX_LAST",Database!$H379,Database!$H379),0,1),0),2),"run on terminal"))</f>
        <v/>
      </c>
      <c r="S379" s="58">
        <f>IFERROR(BDP(TEXT(VALUE(Database!$A379),"0")&amp;" HK Equity","PX_TO_SALES_RATIO"),"")</f>
        <v/>
      </c>
      <c r="T379" s="53">
        <f>IF(Database!BN379="","",IFERROR(BDP(LEFT(Database!BN379,FIND(".",Database!BN379)-1)&amp;" CH Equity","CUR_MKT_CAP")*BDP("CNYHKD Curncy","PX_LAST"),"run on terminal"))</f>
        <v/>
      </c>
    </row>
    <row r="380" ht="23" customHeight="1">
      <c r="A380" s="51">
        <f>Database!A380&amp;"  "&amp;Database!B380</f>
        <v/>
      </c>
      <c r="B380" s="43">
        <f>IFERROR(INDEX(BDS(TEXT(VALUE(Database!$A380),"0")&amp;" HK Equity","EQUITY_OFFERINGS","array=t","endcol=1"),MATCH("IPO",BDS(TEXT(VALUE(Database!$A380),"0")&amp;" HK Equity","EQUITY_OFFERINGS","array=t","startcol=2","endcol=2"),0)),"")</f>
        <v/>
      </c>
      <c r="C380" s="260">
        <f>IF($B380="","",IFERROR(BDP($B380&amp;" Action","CP036"),""))</f>
        <v/>
      </c>
      <c r="D380" s="261">
        <f>Database!S380</f>
        <v/>
      </c>
      <c r="E380" s="260">
        <f>IF($B380="","",IFERROR(BDP($B380&amp;" Action","CP037"),""))</f>
        <v/>
      </c>
      <c r="F380" s="261">
        <f>Database!T380</f>
        <v/>
      </c>
      <c r="G380" s="260">
        <f>IF($B380="","",IFERROR(BDP($B380&amp;" Action","GREENSHOE_FACILITY"),""))</f>
        <v/>
      </c>
      <c r="H380" s="260">
        <f>IF($B380="","",IFERROR(BDP($B380&amp;" Action","OFFERING_GREENSHOE_SHARES_EX"),""))</f>
        <v/>
      </c>
      <c r="I380" s="51">
        <f>Database!AE380</f>
        <v/>
      </c>
      <c r="J380" s="58">
        <f>IFERROR(BDP(TEXT(VALUE(Database!$A380),"0")&amp;" HK Equity","PE_RATIO"),"")</f>
        <v/>
      </c>
      <c r="K380" s="43">
        <f>IFERROR(BDP(TEXT(VALUE(Database!$A380),"0")&amp;" HK Equity","A/H_SHARE_CONVERSION"),"")</f>
        <v/>
      </c>
      <c r="L380" s="51">
        <f>IF(Database!BN380="","(none found)",Database!BN380)</f>
        <v/>
      </c>
      <c r="M380" s="53">
        <f>IFERROR(INDEX(BDH(TEXT(VALUE(Database!$A380),"0")&amp;" HK Equity","CUR_MKT_CAP",Database!$H380,Database!$H380),MATCH(Database!$H380,INDEX(BDH(TEXT(VALUE(Database!$A380),"0")&amp;" HK Equity","CUR_MKT_CAP",Database!$H380,Database!$H380),0,1),0),2),"run on terminal")</f>
        <v/>
      </c>
      <c r="N380" s="213">
        <f>Database!Q380</f>
        <v/>
      </c>
      <c r="O380" s="58">
        <f>IFERROR(INDEX(BDH(TEXT(VALUE(Database!$A380),"0")&amp;" HK Equity","PE_RATIO",Database!$H380,Database!$H380),MATCH(Database!$H380,INDEX(BDH(TEXT(VALUE(Database!$A380),"0")&amp;" HK Equity","PE_RATIO",Database!$H380,Database!$H380),0,1),0),2),"run on terminal")</f>
        <v/>
      </c>
      <c r="P380" s="251">
        <f>IF(Database!BH380="","(n/m or not derivable)",Database!BH380)</f>
        <v/>
      </c>
      <c r="Q380" s="58">
        <f>IF(Database!BN380="","",IFERROR(INDEX(BDH(LEFT(Database!BN380,FIND(".",Database!BN380)-1)&amp;" CH Equity","PE_RATIO",Database!$H380,Database!$H380),MATCH(Database!$H380,INDEX(BDH(LEFT(Database!BN380,FIND(".",Database!BN380)-1)&amp;" CH Equity","PE_RATIO",Database!$H380,Database!$H380),0,1),0),2),"run on terminal"))</f>
        <v/>
      </c>
      <c r="R380" s="58">
        <f>IF(Database!BN380="","",IFERROR(INDEX(BDH("HSAHP Index","PX_LAST",Database!$H380,Database!$H380),MATCH(Database!$H380,INDEX(BDH("HSAHP Index","PX_LAST",Database!$H380,Database!$H380),0,1),0),2),"run on terminal"))</f>
        <v/>
      </c>
      <c r="S380" s="58">
        <f>IFERROR(BDP(TEXT(VALUE(Database!$A380),"0")&amp;" HK Equity","PX_TO_SALES_RATIO"),"")</f>
        <v/>
      </c>
      <c r="T380" s="53">
        <f>IF(Database!BN380="","",IFERROR(BDP(LEFT(Database!BN380,FIND(".",Database!BN380)-1)&amp;" CH Equity","CUR_MKT_CAP")*BDP("CNYHKD Curncy","PX_LAST"),"run on terminal"))</f>
        <v/>
      </c>
    </row>
    <row r="381" ht="23" customHeight="1">
      <c r="A381" s="51">
        <f>Database!A381&amp;"  "&amp;Database!B381</f>
        <v/>
      </c>
      <c r="B381" s="43">
        <f>IFERROR(INDEX(BDS(TEXT(VALUE(Database!$A381),"0")&amp;" HK Equity","EQUITY_OFFERINGS","array=t","endcol=1"),MATCH("IPO",BDS(TEXT(VALUE(Database!$A381),"0")&amp;" HK Equity","EQUITY_OFFERINGS","array=t","startcol=2","endcol=2"),0)),"")</f>
        <v/>
      </c>
      <c r="C381" s="260">
        <f>IF($B381="","",IFERROR(BDP($B381&amp;" Action","CP036"),""))</f>
        <v/>
      </c>
      <c r="D381" s="261">
        <f>Database!S381</f>
        <v/>
      </c>
      <c r="E381" s="260">
        <f>IF($B381="","",IFERROR(BDP($B381&amp;" Action","CP037"),""))</f>
        <v/>
      </c>
      <c r="F381" s="261">
        <f>Database!T381</f>
        <v/>
      </c>
      <c r="G381" s="260">
        <f>IF($B381="","",IFERROR(BDP($B381&amp;" Action","GREENSHOE_FACILITY"),""))</f>
        <v/>
      </c>
      <c r="H381" s="260">
        <f>IF($B381="","",IFERROR(BDP($B381&amp;" Action","OFFERING_GREENSHOE_SHARES_EX"),""))</f>
        <v/>
      </c>
      <c r="I381" s="51">
        <f>Database!AE381</f>
        <v/>
      </c>
      <c r="J381" s="58">
        <f>IFERROR(BDP(TEXT(VALUE(Database!$A381),"0")&amp;" HK Equity","PE_RATIO"),"")</f>
        <v/>
      </c>
      <c r="K381" s="43">
        <f>IFERROR(BDP(TEXT(VALUE(Database!$A381),"0")&amp;" HK Equity","A/H_SHARE_CONVERSION"),"")</f>
        <v/>
      </c>
      <c r="L381" s="51">
        <f>IF(Database!BN381="","(none found)",Database!BN381)</f>
        <v/>
      </c>
      <c r="M381" s="53">
        <f>IFERROR(INDEX(BDH(TEXT(VALUE(Database!$A381),"0")&amp;" HK Equity","CUR_MKT_CAP",Database!$H381,Database!$H381),MATCH(Database!$H381,INDEX(BDH(TEXT(VALUE(Database!$A381),"0")&amp;" HK Equity","CUR_MKT_CAP",Database!$H381,Database!$H381),0,1),0),2),"run on terminal")</f>
        <v/>
      </c>
      <c r="N381" s="213">
        <f>Database!Q381</f>
        <v/>
      </c>
      <c r="O381" s="58">
        <f>IFERROR(INDEX(BDH(TEXT(VALUE(Database!$A381),"0")&amp;" HK Equity","PE_RATIO",Database!$H381,Database!$H381),MATCH(Database!$H381,INDEX(BDH(TEXT(VALUE(Database!$A381),"0")&amp;" HK Equity","PE_RATIO",Database!$H381,Database!$H381),0,1),0),2),"run on terminal")</f>
        <v/>
      </c>
      <c r="P381" s="251">
        <f>IF(Database!BH381="","(n/m or not derivable)",Database!BH381)</f>
        <v/>
      </c>
      <c r="Q381" s="58">
        <f>IF(Database!BN381="","",IFERROR(INDEX(BDH(LEFT(Database!BN381,FIND(".",Database!BN381)-1)&amp;" CH Equity","PE_RATIO",Database!$H381,Database!$H381),MATCH(Database!$H381,INDEX(BDH(LEFT(Database!BN381,FIND(".",Database!BN381)-1)&amp;" CH Equity","PE_RATIO",Database!$H381,Database!$H381),0,1),0),2),"run on terminal"))</f>
        <v/>
      </c>
      <c r="R381" s="58">
        <f>IF(Database!BN381="","",IFERROR(INDEX(BDH("HSAHP Index","PX_LAST",Database!$H381,Database!$H381),MATCH(Database!$H381,INDEX(BDH("HSAHP Index","PX_LAST",Database!$H381,Database!$H381),0,1),0),2),"run on terminal"))</f>
        <v/>
      </c>
      <c r="S381" s="58">
        <f>IFERROR(BDP(TEXT(VALUE(Database!$A381),"0")&amp;" HK Equity","PX_TO_SALES_RATIO"),"")</f>
        <v/>
      </c>
      <c r="T381" s="53">
        <f>IF(Database!BN381="","",IFERROR(BDP(LEFT(Database!BN381,FIND(".",Database!BN381)-1)&amp;" CH Equity","CUR_MKT_CAP")*BDP("CNYHKD Curncy","PX_LAST"),"run on terminal"))</f>
        <v/>
      </c>
    </row>
    <row r="382" ht="23" customHeight="1">
      <c r="A382" s="51">
        <f>Database!A382&amp;"  "&amp;Database!B382</f>
        <v/>
      </c>
      <c r="B382" s="43">
        <f>IFERROR(INDEX(BDS(TEXT(VALUE(Database!$A382),"0")&amp;" HK Equity","EQUITY_OFFERINGS","array=t","endcol=1"),MATCH("IPO",BDS(TEXT(VALUE(Database!$A382),"0")&amp;" HK Equity","EQUITY_OFFERINGS","array=t","startcol=2","endcol=2"),0)),"")</f>
        <v/>
      </c>
      <c r="C382" s="260">
        <f>IF($B382="","",IFERROR(BDP($B382&amp;" Action","CP036"),""))</f>
        <v/>
      </c>
      <c r="D382" s="261">
        <f>Database!S382</f>
        <v/>
      </c>
      <c r="E382" s="260">
        <f>IF($B382="","",IFERROR(BDP($B382&amp;" Action","CP037"),""))</f>
        <v/>
      </c>
      <c r="F382" s="261">
        <f>Database!T382</f>
        <v/>
      </c>
      <c r="G382" s="260">
        <f>IF($B382="","",IFERROR(BDP($B382&amp;" Action","GREENSHOE_FACILITY"),""))</f>
        <v/>
      </c>
      <c r="H382" s="260">
        <f>IF($B382="","",IFERROR(BDP($B382&amp;" Action","OFFERING_GREENSHOE_SHARES_EX"),""))</f>
        <v/>
      </c>
      <c r="I382" s="51">
        <f>Database!AE382</f>
        <v/>
      </c>
      <c r="J382" s="58">
        <f>IFERROR(BDP(TEXT(VALUE(Database!$A382),"0")&amp;" HK Equity","PE_RATIO"),"")</f>
        <v/>
      </c>
      <c r="K382" s="43">
        <f>IFERROR(BDP(TEXT(VALUE(Database!$A382),"0")&amp;" HK Equity","A/H_SHARE_CONVERSION"),"")</f>
        <v/>
      </c>
      <c r="L382" s="51">
        <f>IF(Database!BN382="","(none found)",Database!BN382)</f>
        <v/>
      </c>
      <c r="M382" s="53">
        <f>IFERROR(INDEX(BDH(TEXT(VALUE(Database!$A382),"0")&amp;" HK Equity","CUR_MKT_CAP",Database!$H382,Database!$H382),MATCH(Database!$H382,INDEX(BDH(TEXT(VALUE(Database!$A382),"0")&amp;" HK Equity","CUR_MKT_CAP",Database!$H382,Database!$H382),0,1),0),2),"run on terminal")</f>
        <v/>
      </c>
      <c r="N382" s="213">
        <f>Database!Q382</f>
        <v/>
      </c>
      <c r="O382" s="58">
        <f>IFERROR(INDEX(BDH(TEXT(VALUE(Database!$A382),"0")&amp;" HK Equity","PE_RATIO",Database!$H382,Database!$H382),MATCH(Database!$H382,INDEX(BDH(TEXT(VALUE(Database!$A382),"0")&amp;" HK Equity","PE_RATIO",Database!$H382,Database!$H382),0,1),0),2),"run on terminal")</f>
        <v/>
      </c>
      <c r="P382" s="251">
        <f>IF(Database!BH382="","(n/m or not derivable)",Database!BH382)</f>
        <v/>
      </c>
      <c r="Q382" s="58">
        <f>IF(Database!BN382="","",IFERROR(INDEX(BDH(LEFT(Database!BN382,FIND(".",Database!BN382)-1)&amp;" CH Equity","PE_RATIO",Database!$H382,Database!$H382),MATCH(Database!$H382,INDEX(BDH(LEFT(Database!BN382,FIND(".",Database!BN382)-1)&amp;" CH Equity","PE_RATIO",Database!$H382,Database!$H382),0,1),0),2),"run on terminal"))</f>
        <v/>
      </c>
      <c r="R382" s="58">
        <f>IF(Database!BN382="","",IFERROR(INDEX(BDH("HSAHP Index","PX_LAST",Database!$H382,Database!$H382),MATCH(Database!$H382,INDEX(BDH("HSAHP Index","PX_LAST",Database!$H382,Database!$H382),0,1),0),2),"run on terminal"))</f>
        <v/>
      </c>
      <c r="S382" s="58">
        <f>IFERROR(BDP(TEXT(VALUE(Database!$A382),"0")&amp;" HK Equity","PX_TO_SALES_RATIO"),"")</f>
        <v/>
      </c>
      <c r="T382" s="53">
        <f>IF(Database!BN382="","",IFERROR(BDP(LEFT(Database!BN382,FIND(".",Database!BN382)-1)&amp;" CH Equity","CUR_MKT_CAP")*BDP("CNYHKD Curncy","PX_LAST"),"run on terminal"))</f>
        <v/>
      </c>
    </row>
    <row r="383" ht="23" customHeight="1">
      <c r="A383" s="51">
        <f>Database!A383&amp;"  "&amp;Database!B383</f>
        <v/>
      </c>
      <c r="B383" s="43">
        <f>IFERROR(INDEX(BDS(TEXT(VALUE(Database!$A383),"0")&amp;" HK Equity","EQUITY_OFFERINGS","array=t","endcol=1"),MATCH("IPO",BDS(TEXT(VALUE(Database!$A383),"0")&amp;" HK Equity","EQUITY_OFFERINGS","array=t","startcol=2","endcol=2"),0)),"")</f>
        <v/>
      </c>
      <c r="C383" s="260">
        <f>IF($B383="","",IFERROR(BDP($B383&amp;" Action","CP036"),""))</f>
        <v/>
      </c>
      <c r="D383" s="261">
        <f>Database!S383</f>
        <v/>
      </c>
      <c r="E383" s="260">
        <f>IF($B383="","",IFERROR(BDP($B383&amp;" Action","CP037"),""))</f>
        <v/>
      </c>
      <c r="F383" s="261">
        <f>Database!T383</f>
        <v/>
      </c>
      <c r="G383" s="260">
        <f>IF($B383="","",IFERROR(BDP($B383&amp;" Action","GREENSHOE_FACILITY"),""))</f>
        <v/>
      </c>
      <c r="H383" s="260">
        <f>IF($B383="","",IFERROR(BDP($B383&amp;" Action","OFFERING_GREENSHOE_SHARES_EX"),""))</f>
        <v/>
      </c>
      <c r="I383" s="51">
        <f>Database!AE383</f>
        <v/>
      </c>
      <c r="J383" s="58">
        <f>IFERROR(BDP(TEXT(VALUE(Database!$A383),"0")&amp;" HK Equity","PE_RATIO"),"")</f>
        <v/>
      </c>
      <c r="K383" s="43">
        <f>IFERROR(BDP(TEXT(VALUE(Database!$A383),"0")&amp;" HK Equity","A/H_SHARE_CONVERSION"),"")</f>
        <v/>
      </c>
      <c r="L383" s="51">
        <f>IF(Database!BN383="","(none found)",Database!BN383)</f>
        <v/>
      </c>
      <c r="M383" s="53">
        <f>IFERROR(INDEX(BDH(TEXT(VALUE(Database!$A383),"0")&amp;" HK Equity","CUR_MKT_CAP",Database!$H383,Database!$H383),MATCH(Database!$H383,INDEX(BDH(TEXT(VALUE(Database!$A383),"0")&amp;" HK Equity","CUR_MKT_CAP",Database!$H383,Database!$H383),0,1),0),2),"run on terminal")</f>
        <v/>
      </c>
      <c r="N383" s="213">
        <f>Database!Q383</f>
        <v/>
      </c>
      <c r="O383" s="58">
        <f>IFERROR(INDEX(BDH(TEXT(VALUE(Database!$A383),"0")&amp;" HK Equity","PE_RATIO",Database!$H383,Database!$H383),MATCH(Database!$H383,INDEX(BDH(TEXT(VALUE(Database!$A383),"0")&amp;" HK Equity","PE_RATIO",Database!$H383,Database!$H383),0,1),0),2),"run on terminal")</f>
        <v/>
      </c>
      <c r="P383" s="251">
        <f>IF(Database!BH383="","(n/m or not derivable)",Database!BH383)</f>
        <v/>
      </c>
      <c r="Q383" s="58">
        <f>IF(Database!BN383="","",IFERROR(INDEX(BDH(LEFT(Database!BN383,FIND(".",Database!BN383)-1)&amp;" CH Equity","PE_RATIO",Database!$H383,Database!$H383),MATCH(Database!$H383,INDEX(BDH(LEFT(Database!BN383,FIND(".",Database!BN383)-1)&amp;" CH Equity","PE_RATIO",Database!$H383,Database!$H383),0,1),0),2),"run on terminal"))</f>
        <v/>
      </c>
      <c r="R383" s="58">
        <f>IF(Database!BN383="","",IFERROR(INDEX(BDH("HSAHP Index","PX_LAST",Database!$H383,Database!$H383),MATCH(Database!$H383,INDEX(BDH("HSAHP Index","PX_LAST",Database!$H383,Database!$H383),0,1),0),2),"run on terminal"))</f>
        <v/>
      </c>
      <c r="S383" s="58">
        <f>IFERROR(BDP(TEXT(VALUE(Database!$A383),"0")&amp;" HK Equity","PX_TO_SALES_RATIO"),"")</f>
        <v/>
      </c>
      <c r="T383" s="53">
        <f>IF(Database!BN383="","",IFERROR(BDP(LEFT(Database!BN383,FIND(".",Database!BN383)-1)&amp;" CH Equity","CUR_MKT_CAP")*BDP("CNYHKD Curncy","PX_LAST"),"run on terminal"))</f>
        <v/>
      </c>
    </row>
    <row r="384" ht="23" customHeight="1">
      <c r="A384" s="51">
        <f>Database!A384&amp;"  "&amp;Database!B384</f>
        <v/>
      </c>
      <c r="B384" s="43">
        <f>IFERROR(INDEX(BDS(TEXT(VALUE(Database!$A384),"0")&amp;" HK Equity","EQUITY_OFFERINGS","array=t","endcol=1"),MATCH("IPO",BDS(TEXT(VALUE(Database!$A384),"0")&amp;" HK Equity","EQUITY_OFFERINGS","array=t","startcol=2","endcol=2"),0)),"")</f>
        <v/>
      </c>
      <c r="C384" s="260">
        <f>IF($B384="","",IFERROR(BDP($B384&amp;" Action","CP036"),""))</f>
        <v/>
      </c>
      <c r="D384" s="261">
        <f>Database!S384</f>
        <v/>
      </c>
      <c r="E384" s="260">
        <f>IF($B384="","",IFERROR(BDP($B384&amp;" Action","CP037"),""))</f>
        <v/>
      </c>
      <c r="F384" s="261">
        <f>Database!T384</f>
        <v/>
      </c>
      <c r="G384" s="260">
        <f>IF($B384="","",IFERROR(BDP($B384&amp;" Action","GREENSHOE_FACILITY"),""))</f>
        <v/>
      </c>
      <c r="H384" s="260">
        <f>IF($B384="","",IFERROR(BDP($B384&amp;" Action","OFFERING_GREENSHOE_SHARES_EX"),""))</f>
        <v/>
      </c>
      <c r="I384" s="51">
        <f>Database!AE384</f>
        <v/>
      </c>
      <c r="J384" s="58">
        <f>IFERROR(BDP(TEXT(VALUE(Database!$A384),"0")&amp;" HK Equity","PE_RATIO"),"")</f>
        <v/>
      </c>
      <c r="K384" s="43">
        <f>IFERROR(BDP(TEXT(VALUE(Database!$A384),"0")&amp;" HK Equity","A/H_SHARE_CONVERSION"),"")</f>
        <v/>
      </c>
      <c r="L384" s="51">
        <f>IF(Database!BN384="","(none found)",Database!BN384)</f>
        <v/>
      </c>
      <c r="M384" s="53">
        <f>IFERROR(INDEX(BDH(TEXT(VALUE(Database!$A384),"0")&amp;" HK Equity","CUR_MKT_CAP",Database!$H384,Database!$H384),MATCH(Database!$H384,INDEX(BDH(TEXT(VALUE(Database!$A384),"0")&amp;" HK Equity","CUR_MKT_CAP",Database!$H384,Database!$H384),0,1),0),2),"run on terminal")</f>
        <v/>
      </c>
      <c r="N384" s="213">
        <f>Database!Q384</f>
        <v/>
      </c>
      <c r="O384" s="58">
        <f>IFERROR(INDEX(BDH(TEXT(VALUE(Database!$A384),"0")&amp;" HK Equity","PE_RATIO",Database!$H384,Database!$H384),MATCH(Database!$H384,INDEX(BDH(TEXT(VALUE(Database!$A384),"0")&amp;" HK Equity","PE_RATIO",Database!$H384,Database!$H384),0,1),0),2),"run on terminal")</f>
        <v/>
      </c>
      <c r="P384" s="251">
        <f>IF(Database!BH384="","(n/m or not derivable)",Database!BH384)</f>
        <v/>
      </c>
      <c r="Q384" s="58">
        <f>IF(Database!BN384="","",IFERROR(INDEX(BDH(LEFT(Database!BN384,FIND(".",Database!BN384)-1)&amp;" CH Equity","PE_RATIO",Database!$H384,Database!$H384),MATCH(Database!$H384,INDEX(BDH(LEFT(Database!BN384,FIND(".",Database!BN384)-1)&amp;" CH Equity","PE_RATIO",Database!$H384,Database!$H384),0,1),0),2),"run on terminal"))</f>
        <v/>
      </c>
      <c r="R384" s="58">
        <f>IF(Database!BN384="","",IFERROR(INDEX(BDH("HSAHP Index","PX_LAST",Database!$H384,Database!$H384),MATCH(Database!$H384,INDEX(BDH("HSAHP Index","PX_LAST",Database!$H384,Database!$H384),0,1),0),2),"run on terminal"))</f>
        <v/>
      </c>
      <c r="S384" s="58">
        <f>IFERROR(BDP(TEXT(VALUE(Database!$A384),"0")&amp;" HK Equity","PX_TO_SALES_RATIO"),"")</f>
        <v/>
      </c>
      <c r="T384" s="53">
        <f>IF(Database!BN384="","",IFERROR(BDP(LEFT(Database!BN384,FIND(".",Database!BN384)-1)&amp;" CH Equity","CUR_MKT_CAP")*BDP("CNYHKD Curncy","PX_LAST"),"run on terminal"))</f>
        <v/>
      </c>
    </row>
    <row r="385" ht="23" customHeight="1">
      <c r="A385" s="51">
        <f>Database!A385&amp;"  "&amp;Database!B385</f>
        <v/>
      </c>
      <c r="B385" s="43">
        <f>IFERROR(INDEX(BDS(TEXT(VALUE(Database!$A385),"0")&amp;" HK Equity","EQUITY_OFFERINGS","array=t","endcol=1"),MATCH("IPO",BDS(TEXT(VALUE(Database!$A385),"0")&amp;" HK Equity","EQUITY_OFFERINGS","array=t","startcol=2","endcol=2"),0)),"")</f>
        <v/>
      </c>
      <c r="C385" s="260">
        <f>IF($B385="","",IFERROR(BDP($B385&amp;" Action","CP036"),""))</f>
        <v/>
      </c>
      <c r="D385" s="261">
        <f>Database!S385</f>
        <v/>
      </c>
      <c r="E385" s="260">
        <f>IF($B385="","",IFERROR(BDP($B385&amp;" Action","CP037"),""))</f>
        <v/>
      </c>
      <c r="F385" s="261">
        <f>Database!T385</f>
        <v/>
      </c>
      <c r="G385" s="260">
        <f>IF($B385="","",IFERROR(BDP($B385&amp;" Action","GREENSHOE_FACILITY"),""))</f>
        <v/>
      </c>
      <c r="H385" s="260">
        <f>IF($B385="","",IFERROR(BDP($B385&amp;" Action","OFFERING_GREENSHOE_SHARES_EX"),""))</f>
        <v/>
      </c>
      <c r="I385" s="51">
        <f>Database!AE385</f>
        <v/>
      </c>
      <c r="J385" s="58">
        <f>IFERROR(BDP(TEXT(VALUE(Database!$A385),"0")&amp;" HK Equity","PE_RATIO"),"")</f>
        <v/>
      </c>
      <c r="K385" s="43">
        <f>IFERROR(BDP(TEXT(VALUE(Database!$A385),"0")&amp;" HK Equity","A/H_SHARE_CONVERSION"),"")</f>
        <v/>
      </c>
      <c r="L385" s="51">
        <f>IF(Database!BN385="","(none found)",Database!BN385)</f>
        <v/>
      </c>
      <c r="M385" s="53">
        <f>IFERROR(INDEX(BDH(TEXT(VALUE(Database!$A385),"0")&amp;" HK Equity","CUR_MKT_CAP",Database!$H385,Database!$H385),MATCH(Database!$H385,INDEX(BDH(TEXT(VALUE(Database!$A385),"0")&amp;" HK Equity","CUR_MKT_CAP",Database!$H385,Database!$H385),0,1),0),2),"run on terminal")</f>
        <v/>
      </c>
      <c r="N385" s="213">
        <f>Database!Q385</f>
        <v/>
      </c>
      <c r="O385" s="58">
        <f>IFERROR(INDEX(BDH(TEXT(VALUE(Database!$A385),"0")&amp;" HK Equity","PE_RATIO",Database!$H385,Database!$H385),MATCH(Database!$H385,INDEX(BDH(TEXT(VALUE(Database!$A385),"0")&amp;" HK Equity","PE_RATIO",Database!$H385,Database!$H385),0,1),0),2),"run on terminal")</f>
        <v/>
      </c>
      <c r="P385" s="251">
        <f>IF(Database!BH385="","(n/m or not derivable)",Database!BH385)</f>
        <v/>
      </c>
      <c r="Q385" s="58">
        <f>IF(Database!BN385="","",IFERROR(INDEX(BDH(LEFT(Database!BN385,FIND(".",Database!BN385)-1)&amp;" CH Equity","PE_RATIO",Database!$H385,Database!$H385),MATCH(Database!$H385,INDEX(BDH(LEFT(Database!BN385,FIND(".",Database!BN385)-1)&amp;" CH Equity","PE_RATIO",Database!$H385,Database!$H385),0,1),0),2),"run on terminal"))</f>
        <v/>
      </c>
      <c r="R385" s="58">
        <f>IF(Database!BN385="","",IFERROR(INDEX(BDH("HSAHP Index","PX_LAST",Database!$H385,Database!$H385),MATCH(Database!$H385,INDEX(BDH("HSAHP Index","PX_LAST",Database!$H385,Database!$H385),0,1),0),2),"run on terminal"))</f>
        <v/>
      </c>
      <c r="S385" s="58">
        <f>IFERROR(BDP(TEXT(VALUE(Database!$A385),"0")&amp;" HK Equity","PX_TO_SALES_RATIO"),"")</f>
        <v/>
      </c>
      <c r="T385" s="53">
        <f>IF(Database!BN385="","",IFERROR(BDP(LEFT(Database!BN385,FIND(".",Database!BN385)-1)&amp;" CH Equity","CUR_MKT_CAP")*BDP("CNYHKD Curncy","PX_LAST"),"run on terminal"))</f>
        <v/>
      </c>
    </row>
    <row r="386" ht="23" customHeight="1">
      <c r="A386" s="51">
        <f>Database!A386&amp;"  "&amp;Database!B386</f>
        <v/>
      </c>
      <c r="B386" s="43">
        <f>IFERROR(INDEX(BDS(TEXT(VALUE(Database!$A386),"0")&amp;" HK Equity","EQUITY_OFFERINGS","array=t","endcol=1"),MATCH("IPO",BDS(TEXT(VALUE(Database!$A386),"0")&amp;" HK Equity","EQUITY_OFFERINGS","array=t","startcol=2","endcol=2"),0)),"")</f>
        <v/>
      </c>
      <c r="C386" s="260">
        <f>IF($B386="","",IFERROR(BDP($B386&amp;" Action","CP036"),""))</f>
        <v/>
      </c>
      <c r="D386" s="261">
        <f>Database!S386</f>
        <v/>
      </c>
      <c r="E386" s="260">
        <f>IF($B386="","",IFERROR(BDP($B386&amp;" Action","CP037"),""))</f>
        <v/>
      </c>
      <c r="F386" s="261">
        <f>Database!T386</f>
        <v/>
      </c>
      <c r="G386" s="260">
        <f>IF($B386="","",IFERROR(BDP($B386&amp;" Action","GREENSHOE_FACILITY"),""))</f>
        <v/>
      </c>
      <c r="H386" s="260">
        <f>IF($B386="","",IFERROR(BDP($B386&amp;" Action","OFFERING_GREENSHOE_SHARES_EX"),""))</f>
        <v/>
      </c>
      <c r="I386" s="51">
        <f>Database!AE386</f>
        <v/>
      </c>
      <c r="J386" s="58">
        <f>IFERROR(BDP(TEXT(VALUE(Database!$A386),"0")&amp;" HK Equity","PE_RATIO"),"")</f>
        <v/>
      </c>
      <c r="K386" s="43">
        <f>IFERROR(BDP(TEXT(VALUE(Database!$A386),"0")&amp;" HK Equity","A/H_SHARE_CONVERSION"),"")</f>
        <v/>
      </c>
      <c r="L386" s="51">
        <f>IF(Database!BN386="","(none found)",Database!BN386)</f>
        <v/>
      </c>
      <c r="M386" s="53">
        <f>IFERROR(INDEX(BDH(TEXT(VALUE(Database!$A386),"0")&amp;" HK Equity","CUR_MKT_CAP",Database!$H386,Database!$H386),MATCH(Database!$H386,INDEX(BDH(TEXT(VALUE(Database!$A386),"0")&amp;" HK Equity","CUR_MKT_CAP",Database!$H386,Database!$H386),0,1),0),2),"run on terminal")</f>
        <v/>
      </c>
      <c r="N386" s="213">
        <f>Database!Q386</f>
        <v/>
      </c>
      <c r="O386" s="58">
        <f>IFERROR(INDEX(BDH(TEXT(VALUE(Database!$A386),"0")&amp;" HK Equity","PE_RATIO",Database!$H386,Database!$H386),MATCH(Database!$H386,INDEX(BDH(TEXT(VALUE(Database!$A386),"0")&amp;" HK Equity","PE_RATIO",Database!$H386,Database!$H386),0,1),0),2),"run on terminal")</f>
        <v/>
      </c>
      <c r="P386" s="251">
        <f>IF(Database!BH386="","(n/m or not derivable)",Database!BH386)</f>
        <v/>
      </c>
      <c r="Q386" s="58">
        <f>IF(Database!BN386="","",IFERROR(INDEX(BDH(LEFT(Database!BN386,FIND(".",Database!BN386)-1)&amp;" CH Equity","PE_RATIO",Database!$H386,Database!$H386),MATCH(Database!$H386,INDEX(BDH(LEFT(Database!BN386,FIND(".",Database!BN386)-1)&amp;" CH Equity","PE_RATIO",Database!$H386,Database!$H386),0,1),0),2),"run on terminal"))</f>
        <v/>
      </c>
      <c r="R386" s="58">
        <f>IF(Database!BN386="","",IFERROR(INDEX(BDH("HSAHP Index","PX_LAST",Database!$H386,Database!$H386),MATCH(Database!$H386,INDEX(BDH("HSAHP Index","PX_LAST",Database!$H386,Database!$H386),0,1),0),2),"run on terminal"))</f>
        <v/>
      </c>
      <c r="S386" s="58">
        <f>IFERROR(BDP(TEXT(VALUE(Database!$A386),"0")&amp;" HK Equity","PX_TO_SALES_RATIO"),"")</f>
        <v/>
      </c>
      <c r="T386" s="53">
        <f>IF(Database!BN386="","",IFERROR(BDP(LEFT(Database!BN386,FIND(".",Database!BN386)-1)&amp;" CH Equity","CUR_MKT_CAP")*BDP("CNYHKD Curncy","PX_LAST"),"run on terminal"))</f>
        <v/>
      </c>
    </row>
    <row r="387" ht="23" customHeight="1">
      <c r="A387" s="51">
        <f>Database!A387&amp;"  "&amp;Database!B387</f>
        <v/>
      </c>
      <c r="B387" s="43">
        <f>IFERROR(INDEX(BDS(TEXT(VALUE(Database!$A387),"0")&amp;" HK Equity","EQUITY_OFFERINGS","array=t","endcol=1"),MATCH("IPO",BDS(TEXT(VALUE(Database!$A387),"0")&amp;" HK Equity","EQUITY_OFFERINGS","array=t","startcol=2","endcol=2"),0)),"")</f>
        <v/>
      </c>
      <c r="C387" s="260">
        <f>IF($B387="","",IFERROR(BDP($B387&amp;" Action","CP036"),""))</f>
        <v/>
      </c>
      <c r="D387" s="261">
        <f>Database!S387</f>
        <v/>
      </c>
      <c r="E387" s="260">
        <f>IF($B387="","",IFERROR(BDP($B387&amp;" Action","CP037"),""))</f>
        <v/>
      </c>
      <c r="F387" s="261">
        <f>Database!T387</f>
        <v/>
      </c>
      <c r="G387" s="260">
        <f>IF($B387="","",IFERROR(BDP($B387&amp;" Action","GREENSHOE_FACILITY"),""))</f>
        <v/>
      </c>
      <c r="H387" s="260">
        <f>IF($B387="","",IFERROR(BDP($B387&amp;" Action","OFFERING_GREENSHOE_SHARES_EX"),""))</f>
        <v/>
      </c>
      <c r="I387" s="51">
        <f>Database!AE387</f>
        <v/>
      </c>
      <c r="J387" s="58">
        <f>IFERROR(BDP(TEXT(VALUE(Database!$A387),"0")&amp;" HK Equity","PE_RATIO"),"")</f>
        <v/>
      </c>
      <c r="K387" s="43">
        <f>IFERROR(BDP(TEXT(VALUE(Database!$A387),"0")&amp;" HK Equity","A/H_SHARE_CONVERSION"),"")</f>
        <v/>
      </c>
      <c r="L387" s="51">
        <f>IF(Database!BN387="","(none found)",Database!BN387)</f>
        <v/>
      </c>
      <c r="M387" s="53">
        <f>IFERROR(INDEX(BDH(TEXT(VALUE(Database!$A387),"0")&amp;" HK Equity","CUR_MKT_CAP",Database!$H387,Database!$H387),MATCH(Database!$H387,INDEX(BDH(TEXT(VALUE(Database!$A387),"0")&amp;" HK Equity","CUR_MKT_CAP",Database!$H387,Database!$H387),0,1),0),2),"run on terminal")</f>
        <v/>
      </c>
      <c r="N387" s="213">
        <f>Database!Q387</f>
        <v/>
      </c>
      <c r="O387" s="58">
        <f>IFERROR(INDEX(BDH(TEXT(VALUE(Database!$A387),"0")&amp;" HK Equity","PE_RATIO",Database!$H387,Database!$H387),MATCH(Database!$H387,INDEX(BDH(TEXT(VALUE(Database!$A387),"0")&amp;" HK Equity","PE_RATIO",Database!$H387,Database!$H387),0,1),0),2),"run on terminal")</f>
        <v/>
      </c>
      <c r="P387" s="251">
        <f>IF(Database!BH387="","(n/m or not derivable)",Database!BH387)</f>
        <v/>
      </c>
      <c r="Q387" s="58">
        <f>IF(Database!BN387="","",IFERROR(INDEX(BDH(LEFT(Database!BN387,FIND(".",Database!BN387)-1)&amp;" CH Equity","PE_RATIO",Database!$H387,Database!$H387),MATCH(Database!$H387,INDEX(BDH(LEFT(Database!BN387,FIND(".",Database!BN387)-1)&amp;" CH Equity","PE_RATIO",Database!$H387,Database!$H387),0,1),0),2),"run on terminal"))</f>
        <v/>
      </c>
      <c r="R387" s="58">
        <f>IF(Database!BN387="","",IFERROR(INDEX(BDH("HSAHP Index","PX_LAST",Database!$H387,Database!$H387),MATCH(Database!$H387,INDEX(BDH("HSAHP Index","PX_LAST",Database!$H387,Database!$H387),0,1),0),2),"run on terminal"))</f>
        <v/>
      </c>
      <c r="S387" s="58">
        <f>IFERROR(BDP(TEXT(VALUE(Database!$A387),"0")&amp;" HK Equity","PX_TO_SALES_RATIO"),"")</f>
        <v/>
      </c>
      <c r="T387" s="53">
        <f>IF(Database!BN387="","",IFERROR(BDP(LEFT(Database!BN387,FIND(".",Database!BN387)-1)&amp;" CH Equity","CUR_MKT_CAP")*BDP("CNYHKD Curncy","PX_LAST"),"run on terminal"))</f>
        <v/>
      </c>
    </row>
    <row r="388" ht="23" customHeight="1">
      <c r="A388" s="51">
        <f>Database!A388&amp;"  "&amp;Database!B388</f>
        <v/>
      </c>
      <c r="B388" s="43">
        <f>IFERROR(INDEX(BDS(TEXT(VALUE(Database!$A388),"0")&amp;" HK Equity","EQUITY_OFFERINGS","array=t","endcol=1"),MATCH("IPO",BDS(TEXT(VALUE(Database!$A388),"0")&amp;" HK Equity","EQUITY_OFFERINGS","array=t","startcol=2","endcol=2"),0)),"")</f>
        <v/>
      </c>
      <c r="C388" s="260">
        <f>IF($B388="","",IFERROR(BDP($B388&amp;" Action","CP036"),""))</f>
        <v/>
      </c>
      <c r="D388" s="261">
        <f>Database!S388</f>
        <v/>
      </c>
      <c r="E388" s="260">
        <f>IF($B388="","",IFERROR(BDP($B388&amp;" Action","CP037"),""))</f>
        <v/>
      </c>
      <c r="F388" s="261">
        <f>Database!T388</f>
        <v/>
      </c>
      <c r="G388" s="260">
        <f>IF($B388="","",IFERROR(BDP($B388&amp;" Action","GREENSHOE_FACILITY"),""))</f>
        <v/>
      </c>
      <c r="H388" s="260">
        <f>IF($B388="","",IFERROR(BDP($B388&amp;" Action","OFFERING_GREENSHOE_SHARES_EX"),""))</f>
        <v/>
      </c>
      <c r="I388" s="51">
        <f>Database!AE388</f>
        <v/>
      </c>
      <c r="J388" s="58">
        <f>IFERROR(BDP(TEXT(VALUE(Database!$A388),"0")&amp;" HK Equity","PE_RATIO"),"")</f>
        <v/>
      </c>
      <c r="K388" s="43">
        <f>IFERROR(BDP(TEXT(VALUE(Database!$A388),"0")&amp;" HK Equity","A/H_SHARE_CONVERSION"),"")</f>
        <v/>
      </c>
      <c r="L388" s="51">
        <f>IF(Database!BN388="","(none found)",Database!BN388)</f>
        <v/>
      </c>
      <c r="M388" s="53">
        <f>IFERROR(INDEX(BDH(TEXT(VALUE(Database!$A388),"0")&amp;" HK Equity","CUR_MKT_CAP",Database!$H388,Database!$H388),MATCH(Database!$H388,INDEX(BDH(TEXT(VALUE(Database!$A388),"0")&amp;" HK Equity","CUR_MKT_CAP",Database!$H388,Database!$H388),0,1),0),2),"run on terminal")</f>
        <v/>
      </c>
      <c r="N388" s="213">
        <f>Database!Q388</f>
        <v/>
      </c>
      <c r="O388" s="58">
        <f>IFERROR(INDEX(BDH(TEXT(VALUE(Database!$A388),"0")&amp;" HK Equity","PE_RATIO",Database!$H388,Database!$H388),MATCH(Database!$H388,INDEX(BDH(TEXT(VALUE(Database!$A388),"0")&amp;" HK Equity","PE_RATIO",Database!$H388,Database!$H388),0,1),0),2),"run on terminal")</f>
        <v/>
      </c>
      <c r="P388" s="251">
        <f>IF(Database!BH388="","(n/m or not derivable)",Database!BH388)</f>
        <v/>
      </c>
      <c r="Q388" s="58">
        <f>IF(Database!BN388="","",IFERROR(INDEX(BDH(LEFT(Database!BN388,FIND(".",Database!BN388)-1)&amp;" CH Equity","PE_RATIO",Database!$H388,Database!$H388),MATCH(Database!$H388,INDEX(BDH(LEFT(Database!BN388,FIND(".",Database!BN388)-1)&amp;" CH Equity","PE_RATIO",Database!$H388,Database!$H388),0,1),0),2),"run on terminal"))</f>
        <v/>
      </c>
      <c r="R388" s="58">
        <f>IF(Database!BN388="","",IFERROR(INDEX(BDH("HSAHP Index","PX_LAST",Database!$H388,Database!$H388),MATCH(Database!$H388,INDEX(BDH("HSAHP Index","PX_LAST",Database!$H388,Database!$H388),0,1),0),2),"run on terminal"))</f>
        <v/>
      </c>
      <c r="S388" s="58">
        <f>IFERROR(BDP(TEXT(VALUE(Database!$A388),"0")&amp;" HK Equity","PX_TO_SALES_RATIO"),"")</f>
        <v/>
      </c>
      <c r="T388" s="53">
        <f>IF(Database!BN388="","",IFERROR(BDP(LEFT(Database!BN388,FIND(".",Database!BN388)-1)&amp;" CH Equity","CUR_MKT_CAP")*BDP("CNYHKD Curncy","PX_LAST"),"run on terminal"))</f>
        <v/>
      </c>
    </row>
    <row r="389" ht="23" customHeight="1">
      <c r="A389" s="51">
        <f>Database!A389&amp;"  "&amp;Database!B389</f>
        <v/>
      </c>
      <c r="B389" s="43">
        <f>IFERROR(INDEX(BDS(TEXT(VALUE(Database!$A389),"0")&amp;" HK Equity","EQUITY_OFFERINGS","array=t","endcol=1"),MATCH("IPO",BDS(TEXT(VALUE(Database!$A389),"0")&amp;" HK Equity","EQUITY_OFFERINGS","array=t","startcol=2","endcol=2"),0)),"")</f>
        <v/>
      </c>
      <c r="C389" s="260">
        <f>IF($B389="","",IFERROR(BDP($B389&amp;" Action","CP036"),""))</f>
        <v/>
      </c>
      <c r="D389" s="261">
        <f>Database!S389</f>
        <v/>
      </c>
      <c r="E389" s="260">
        <f>IF($B389="","",IFERROR(BDP($B389&amp;" Action","CP037"),""))</f>
        <v/>
      </c>
      <c r="F389" s="261">
        <f>Database!T389</f>
        <v/>
      </c>
      <c r="G389" s="260">
        <f>IF($B389="","",IFERROR(BDP($B389&amp;" Action","GREENSHOE_FACILITY"),""))</f>
        <v/>
      </c>
      <c r="H389" s="260">
        <f>IF($B389="","",IFERROR(BDP($B389&amp;" Action","OFFERING_GREENSHOE_SHARES_EX"),""))</f>
        <v/>
      </c>
      <c r="I389" s="51">
        <f>Database!AE389</f>
        <v/>
      </c>
      <c r="J389" s="58">
        <f>IFERROR(BDP(TEXT(VALUE(Database!$A389),"0")&amp;" HK Equity","PE_RATIO"),"")</f>
        <v/>
      </c>
      <c r="K389" s="43">
        <f>IFERROR(BDP(TEXT(VALUE(Database!$A389),"0")&amp;" HK Equity","A/H_SHARE_CONVERSION"),"")</f>
        <v/>
      </c>
      <c r="L389" s="51">
        <f>IF(Database!BN389="","(none found)",Database!BN389)</f>
        <v/>
      </c>
      <c r="M389" s="53">
        <f>IFERROR(INDEX(BDH(TEXT(VALUE(Database!$A389),"0")&amp;" HK Equity","CUR_MKT_CAP",Database!$H389,Database!$H389),MATCH(Database!$H389,INDEX(BDH(TEXT(VALUE(Database!$A389),"0")&amp;" HK Equity","CUR_MKT_CAP",Database!$H389,Database!$H389),0,1),0),2),"run on terminal")</f>
        <v/>
      </c>
      <c r="N389" s="213">
        <f>Database!Q389</f>
        <v/>
      </c>
      <c r="O389" s="58">
        <f>IFERROR(INDEX(BDH(TEXT(VALUE(Database!$A389),"0")&amp;" HK Equity","PE_RATIO",Database!$H389,Database!$H389),MATCH(Database!$H389,INDEX(BDH(TEXT(VALUE(Database!$A389),"0")&amp;" HK Equity","PE_RATIO",Database!$H389,Database!$H389),0,1),0),2),"run on terminal")</f>
        <v/>
      </c>
      <c r="P389" s="251">
        <f>IF(Database!BH389="","(n/m or not derivable)",Database!BH389)</f>
        <v/>
      </c>
      <c r="Q389" s="58">
        <f>IF(Database!BN389="","",IFERROR(INDEX(BDH(LEFT(Database!BN389,FIND(".",Database!BN389)-1)&amp;" CH Equity","PE_RATIO",Database!$H389,Database!$H389),MATCH(Database!$H389,INDEX(BDH(LEFT(Database!BN389,FIND(".",Database!BN389)-1)&amp;" CH Equity","PE_RATIO",Database!$H389,Database!$H389),0,1),0),2),"run on terminal"))</f>
        <v/>
      </c>
      <c r="R389" s="58">
        <f>IF(Database!BN389="","",IFERROR(INDEX(BDH("HSAHP Index","PX_LAST",Database!$H389,Database!$H389),MATCH(Database!$H389,INDEX(BDH("HSAHP Index","PX_LAST",Database!$H389,Database!$H389),0,1),0),2),"run on terminal"))</f>
        <v/>
      </c>
      <c r="S389" s="58">
        <f>IFERROR(BDP(TEXT(VALUE(Database!$A389),"0")&amp;" HK Equity","PX_TO_SALES_RATIO"),"")</f>
        <v/>
      </c>
      <c r="T389" s="53">
        <f>IF(Database!BN389="","",IFERROR(BDP(LEFT(Database!BN389,FIND(".",Database!BN389)-1)&amp;" CH Equity","CUR_MKT_CAP")*BDP("CNYHKD Curncy","PX_LAST"),"run on terminal"))</f>
        <v/>
      </c>
    </row>
    <row r="390" ht="23" customHeight="1">
      <c r="A390" s="51">
        <f>Database!A390&amp;"  "&amp;Database!B390</f>
        <v/>
      </c>
      <c r="B390" s="43">
        <f>IFERROR(INDEX(BDS(TEXT(VALUE(Database!$A390),"0")&amp;" HK Equity","EQUITY_OFFERINGS","array=t","endcol=1"),MATCH("IPO",BDS(TEXT(VALUE(Database!$A390),"0")&amp;" HK Equity","EQUITY_OFFERINGS","array=t","startcol=2","endcol=2"),0)),"")</f>
        <v/>
      </c>
      <c r="C390" s="260">
        <f>IF($B390="","",IFERROR(BDP($B390&amp;" Action","CP036"),""))</f>
        <v/>
      </c>
      <c r="D390" s="261">
        <f>Database!S390</f>
        <v/>
      </c>
      <c r="E390" s="260">
        <f>IF($B390="","",IFERROR(BDP($B390&amp;" Action","CP037"),""))</f>
        <v/>
      </c>
      <c r="F390" s="261">
        <f>Database!T390</f>
        <v/>
      </c>
      <c r="G390" s="260">
        <f>IF($B390="","",IFERROR(BDP($B390&amp;" Action","GREENSHOE_FACILITY"),""))</f>
        <v/>
      </c>
      <c r="H390" s="260">
        <f>IF($B390="","",IFERROR(BDP($B390&amp;" Action","OFFERING_GREENSHOE_SHARES_EX"),""))</f>
        <v/>
      </c>
      <c r="I390" s="51">
        <f>Database!AE390</f>
        <v/>
      </c>
      <c r="J390" s="58">
        <f>IFERROR(BDP(TEXT(VALUE(Database!$A390),"0")&amp;" HK Equity","PE_RATIO"),"")</f>
        <v/>
      </c>
      <c r="K390" s="43">
        <f>IFERROR(BDP(TEXT(VALUE(Database!$A390),"0")&amp;" HK Equity","A/H_SHARE_CONVERSION"),"")</f>
        <v/>
      </c>
      <c r="L390" s="51">
        <f>IF(Database!BN390="","(none found)",Database!BN390)</f>
        <v/>
      </c>
      <c r="M390" s="53">
        <f>IFERROR(INDEX(BDH(TEXT(VALUE(Database!$A390),"0")&amp;" HK Equity","CUR_MKT_CAP",Database!$H390,Database!$H390),MATCH(Database!$H390,INDEX(BDH(TEXT(VALUE(Database!$A390),"0")&amp;" HK Equity","CUR_MKT_CAP",Database!$H390,Database!$H390),0,1),0),2),"run on terminal")</f>
        <v/>
      </c>
      <c r="N390" s="213">
        <f>Database!Q390</f>
        <v/>
      </c>
      <c r="O390" s="58">
        <f>IFERROR(INDEX(BDH(TEXT(VALUE(Database!$A390),"0")&amp;" HK Equity","PE_RATIO",Database!$H390,Database!$H390),MATCH(Database!$H390,INDEX(BDH(TEXT(VALUE(Database!$A390),"0")&amp;" HK Equity","PE_RATIO",Database!$H390,Database!$H390),0,1),0),2),"run on terminal")</f>
        <v/>
      </c>
      <c r="P390" s="251">
        <f>IF(Database!BH390="","(n/m or not derivable)",Database!BH390)</f>
        <v/>
      </c>
      <c r="Q390" s="58">
        <f>IF(Database!BN390="","",IFERROR(INDEX(BDH(LEFT(Database!BN390,FIND(".",Database!BN390)-1)&amp;" CH Equity","PE_RATIO",Database!$H390,Database!$H390),MATCH(Database!$H390,INDEX(BDH(LEFT(Database!BN390,FIND(".",Database!BN390)-1)&amp;" CH Equity","PE_RATIO",Database!$H390,Database!$H390),0,1),0),2),"run on terminal"))</f>
        <v/>
      </c>
      <c r="R390" s="58">
        <f>IF(Database!BN390="","",IFERROR(INDEX(BDH("HSAHP Index","PX_LAST",Database!$H390,Database!$H390),MATCH(Database!$H390,INDEX(BDH("HSAHP Index","PX_LAST",Database!$H390,Database!$H390),0,1),0),2),"run on terminal"))</f>
        <v/>
      </c>
      <c r="S390" s="58">
        <f>IFERROR(BDP(TEXT(VALUE(Database!$A390),"0")&amp;" HK Equity","PX_TO_SALES_RATIO"),"")</f>
        <v/>
      </c>
      <c r="T390" s="53">
        <f>IF(Database!BN390="","",IFERROR(BDP(LEFT(Database!BN390,FIND(".",Database!BN390)-1)&amp;" CH Equity","CUR_MKT_CAP")*BDP("CNYHKD Curncy","PX_LAST"),"run on terminal"))</f>
        <v/>
      </c>
    </row>
    <row r="391" ht="23" customHeight="1">
      <c r="A391" s="51">
        <f>Database!A391&amp;"  "&amp;Database!B391</f>
        <v/>
      </c>
      <c r="B391" s="43">
        <f>IFERROR(INDEX(BDS(TEXT(VALUE(Database!$A391),"0")&amp;" HK Equity","EQUITY_OFFERINGS","array=t","endcol=1"),MATCH("IPO",BDS(TEXT(VALUE(Database!$A391),"0")&amp;" HK Equity","EQUITY_OFFERINGS","array=t","startcol=2","endcol=2"),0)),"")</f>
        <v/>
      </c>
      <c r="C391" s="260">
        <f>IF($B391="","",IFERROR(BDP($B391&amp;" Action","CP036"),""))</f>
        <v/>
      </c>
      <c r="D391" s="261">
        <f>Database!S391</f>
        <v/>
      </c>
      <c r="E391" s="260">
        <f>IF($B391="","",IFERROR(BDP($B391&amp;" Action","CP037"),""))</f>
        <v/>
      </c>
      <c r="F391" s="261">
        <f>Database!T391</f>
        <v/>
      </c>
      <c r="G391" s="260">
        <f>IF($B391="","",IFERROR(BDP($B391&amp;" Action","GREENSHOE_FACILITY"),""))</f>
        <v/>
      </c>
      <c r="H391" s="260">
        <f>IF($B391="","",IFERROR(BDP($B391&amp;" Action","OFFERING_GREENSHOE_SHARES_EX"),""))</f>
        <v/>
      </c>
      <c r="I391" s="51">
        <f>Database!AE391</f>
        <v/>
      </c>
      <c r="J391" s="58">
        <f>IFERROR(BDP(TEXT(VALUE(Database!$A391),"0")&amp;" HK Equity","PE_RATIO"),"")</f>
        <v/>
      </c>
      <c r="K391" s="43">
        <f>IFERROR(BDP(TEXT(VALUE(Database!$A391),"0")&amp;" HK Equity","A/H_SHARE_CONVERSION"),"")</f>
        <v/>
      </c>
      <c r="L391" s="51">
        <f>IF(Database!BN391="","(none found)",Database!BN391)</f>
        <v/>
      </c>
      <c r="M391" s="53">
        <f>IFERROR(INDEX(BDH(TEXT(VALUE(Database!$A391),"0")&amp;" HK Equity","CUR_MKT_CAP",Database!$H391,Database!$H391),MATCH(Database!$H391,INDEX(BDH(TEXT(VALUE(Database!$A391),"0")&amp;" HK Equity","CUR_MKT_CAP",Database!$H391,Database!$H391),0,1),0),2),"run on terminal")</f>
        <v/>
      </c>
      <c r="N391" s="213">
        <f>Database!Q391</f>
        <v/>
      </c>
      <c r="O391" s="58">
        <f>IFERROR(INDEX(BDH(TEXT(VALUE(Database!$A391),"0")&amp;" HK Equity","PE_RATIO",Database!$H391,Database!$H391),MATCH(Database!$H391,INDEX(BDH(TEXT(VALUE(Database!$A391),"0")&amp;" HK Equity","PE_RATIO",Database!$H391,Database!$H391),0,1),0),2),"run on terminal")</f>
        <v/>
      </c>
      <c r="P391" s="251">
        <f>IF(Database!BH391="","(n/m or not derivable)",Database!BH391)</f>
        <v/>
      </c>
      <c r="Q391" s="58">
        <f>IF(Database!BN391="","",IFERROR(INDEX(BDH(LEFT(Database!BN391,FIND(".",Database!BN391)-1)&amp;" CH Equity","PE_RATIO",Database!$H391,Database!$H391),MATCH(Database!$H391,INDEX(BDH(LEFT(Database!BN391,FIND(".",Database!BN391)-1)&amp;" CH Equity","PE_RATIO",Database!$H391,Database!$H391),0,1),0),2),"run on terminal"))</f>
        <v/>
      </c>
      <c r="R391" s="58">
        <f>IF(Database!BN391="","",IFERROR(INDEX(BDH("HSAHP Index","PX_LAST",Database!$H391,Database!$H391),MATCH(Database!$H391,INDEX(BDH("HSAHP Index","PX_LAST",Database!$H391,Database!$H391),0,1),0),2),"run on terminal"))</f>
        <v/>
      </c>
      <c r="S391" s="58">
        <f>IFERROR(BDP(TEXT(VALUE(Database!$A391),"0")&amp;" HK Equity","PX_TO_SALES_RATIO"),"")</f>
        <v/>
      </c>
      <c r="T391" s="53">
        <f>IF(Database!BN391="","",IFERROR(BDP(LEFT(Database!BN391,FIND(".",Database!BN391)-1)&amp;" CH Equity","CUR_MKT_CAP")*BDP("CNYHKD Curncy","PX_LAST"),"run on terminal"))</f>
        <v/>
      </c>
    </row>
    <row r="392" ht="23" customHeight="1">
      <c r="A392" s="51">
        <f>Database!A392&amp;"  "&amp;Database!B392</f>
        <v/>
      </c>
      <c r="B392" s="43">
        <f>IFERROR(INDEX(BDS(TEXT(VALUE(Database!$A392),"0")&amp;" HK Equity","EQUITY_OFFERINGS","array=t","endcol=1"),MATCH("IPO",BDS(TEXT(VALUE(Database!$A392),"0")&amp;" HK Equity","EQUITY_OFFERINGS","array=t","startcol=2","endcol=2"),0)),"")</f>
        <v/>
      </c>
      <c r="C392" s="260">
        <f>IF($B392="","",IFERROR(BDP($B392&amp;" Action","CP036"),""))</f>
        <v/>
      </c>
      <c r="D392" s="261">
        <f>Database!S392</f>
        <v/>
      </c>
      <c r="E392" s="260">
        <f>IF($B392="","",IFERROR(BDP($B392&amp;" Action","CP037"),""))</f>
        <v/>
      </c>
      <c r="F392" s="261">
        <f>Database!T392</f>
        <v/>
      </c>
      <c r="G392" s="260">
        <f>IF($B392="","",IFERROR(BDP($B392&amp;" Action","GREENSHOE_FACILITY"),""))</f>
        <v/>
      </c>
      <c r="H392" s="260">
        <f>IF($B392="","",IFERROR(BDP($B392&amp;" Action","OFFERING_GREENSHOE_SHARES_EX"),""))</f>
        <v/>
      </c>
      <c r="I392" s="51">
        <f>Database!AE392</f>
        <v/>
      </c>
      <c r="J392" s="58">
        <f>IFERROR(BDP(TEXT(VALUE(Database!$A392),"0")&amp;" HK Equity","PE_RATIO"),"")</f>
        <v/>
      </c>
      <c r="K392" s="43">
        <f>IFERROR(BDP(TEXT(VALUE(Database!$A392),"0")&amp;" HK Equity","A/H_SHARE_CONVERSION"),"")</f>
        <v/>
      </c>
      <c r="L392" s="51">
        <f>IF(Database!BN392="","(none found)",Database!BN392)</f>
        <v/>
      </c>
      <c r="M392" s="53">
        <f>IFERROR(INDEX(BDH(TEXT(VALUE(Database!$A392),"0")&amp;" HK Equity","CUR_MKT_CAP",Database!$H392,Database!$H392),MATCH(Database!$H392,INDEX(BDH(TEXT(VALUE(Database!$A392),"0")&amp;" HK Equity","CUR_MKT_CAP",Database!$H392,Database!$H392),0,1),0),2),"run on terminal")</f>
        <v/>
      </c>
      <c r="N392" s="213">
        <f>Database!Q392</f>
        <v/>
      </c>
      <c r="O392" s="58">
        <f>IFERROR(INDEX(BDH(TEXT(VALUE(Database!$A392),"0")&amp;" HK Equity","PE_RATIO",Database!$H392,Database!$H392),MATCH(Database!$H392,INDEX(BDH(TEXT(VALUE(Database!$A392),"0")&amp;" HK Equity","PE_RATIO",Database!$H392,Database!$H392),0,1),0),2),"run on terminal")</f>
        <v/>
      </c>
      <c r="P392" s="251">
        <f>IF(Database!BH392="","(n/m or not derivable)",Database!BH392)</f>
        <v/>
      </c>
      <c r="Q392" s="58">
        <f>IF(Database!BN392="","",IFERROR(INDEX(BDH(LEFT(Database!BN392,FIND(".",Database!BN392)-1)&amp;" CH Equity","PE_RATIO",Database!$H392,Database!$H392),MATCH(Database!$H392,INDEX(BDH(LEFT(Database!BN392,FIND(".",Database!BN392)-1)&amp;" CH Equity","PE_RATIO",Database!$H392,Database!$H392),0,1),0),2),"run on terminal"))</f>
        <v/>
      </c>
      <c r="R392" s="58">
        <f>IF(Database!BN392="","",IFERROR(INDEX(BDH("HSAHP Index","PX_LAST",Database!$H392,Database!$H392),MATCH(Database!$H392,INDEX(BDH("HSAHP Index","PX_LAST",Database!$H392,Database!$H392),0,1),0),2),"run on terminal"))</f>
        <v/>
      </c>
      <c r="S392" s="58">
        <f>IFERROR(BDP(TEXT(VALUE(Database!$A392),"0")&amp;" HK Equity","PX_TO_SALES_RATIO"),"")</f>
        <v/>
      </c>
      <c r="T392" s="53">
        <f>IF(Database!BN392="","",IFERROR(BDP(LEFT(Database!BN392,FIND(".",Database!BN392)-1)&amp;" CH Equity","CUR_MKT_CAP")*BDP("CNYHKD Curncy","PX_LAST"),"run on terminal"))</f>
        <v/>
      </c>
    </row>
    <row r="393" ht="23" customHeight="1">
      <c r="A393" s="51">
        <f>Database!A393&amp;"  "&amp;Database!B393</f>
        <v/>
      </c>
      <c r="B393" s="43">
        <f>IFERROR(INDEX(BDS(TEXT(VALUE(Database!$A393),"0")&amp;" HK Equity","EQUITY_OFFERINGS","array=t","endcol=1"),MATCH("IPO",BDS(TEXT(VALUE(Database!$A393),"0")&amp;" HK Equity","EQUITY_OFFERINGS","array=t","startcol=2","endcol=2"),0)),"")</f>
        <v/>
      </c>
      <c r="C393" s="260">
        <f>IF($B393="","",IFERROR(BDP($B393&amp;" Action","CP036"),""))</f>
        <v/>
      </c>
      <c r="D393" s="261">
        <f>Database!S393</f>
        <v/>
      </c>
      <c r="E393" s="260">
        <f>IF($B393="","",IFERROR(BDP($B393&amp;" Action","CP037"),""))</f>
        <v/>
      </c>
      <c r="F393" s="261">
        <f>Database!T393</f>
        <v/>
      </c>
      <c r="G393" s="260">
        <f>IF($B393="","",IFERROR(BDP($B393&amp;" Action","GREENSHOE_FACILITY"),""))</f>
        <v/>
      </c>
      <c r="H393" s="260">
        <f>IF($B393="","",IFERROR(BDP($B393&amp;" Action","OFFERING_GREENSHOE_SHARES_EX"),""))</f>
        <v/>
      </c>
      <c r="I393" s="51">
        <f>Database!AE393</f>
        <v/>
      </c>
      <c r="J393" s="58">
        <f>IFERROR(BDP(TEXT(VALUE(Database!$A393),"0")&amp;" HK Equity","PE_RATIO"),"")</f>
        <v/>
      </c>
      <c r="K393" s="43">
        <f>IFERROR(BDP(TEXT(VALUE(Database!$A393),"0")&amp;" HK Equity","A/H_SHARE_CONVERSION"),"")</f>
        <v/>
      </c>
      <c r="L393" s="51">
        <f>IF(Database!BN393="","(none found)",Database!BN393)</f>
        <v/>
      </c>
      <c r="M393" s="53">
        <f>IFERROR(INDEX(BDH(TEXT(VALUE(Database!$A393),"0")&amp;" HK Equity","CUR_MKT_CAP",Database!$H393,Database!$H393),MATCH(Database!$H393,INDEX(BDH(TEXT(VALUE(Database!$A393),"0")&amp;" HK Equity","CUR_MKT_CAP",Database!$H393,Database!$H393),0,1),0),2),"run on terminal")</f>
        <v/>
      </c>
      <c r="N393" s="213">
        <f>Database!Q393</f>
        <v/>
      </c>
      <c r="O393" s="58">
        <f>IFERROR(INDEX(BDH(TEXT(VALUE(Database!$A393),"0")&amp;" HK Equity","PE_RATIO",Database!$H393,Database!$H393),MATCH(Database!$H393,INDEX(BDH(TEXT(VALUE(Database!$A393),"0")&amp;" HK Equity","PE_RATIO",Database!$H393,Database!$H393),0,1),0),2),"run on terminal")</f>
        <v/>
      </c>
      <c r="P393" s="251">
        <f>IF(Database!BH393="","(n/m or not derivable)",Database!BH393)</f>
        <v/>
      </c>
      <c r="Q393" s="58">
        <f>IF(Database!BN393="","",IFERROR(INDEX(BDH(LEFT(Database!BN393,FIND(".",Database!BN393)-1)&amp;" CH Equity","PE_RATIO",Database!$H393,Database!$H393),MATCH(Database!$H393,INDEX(BDH(LEFT(Database!BN393,FIND(".",Database!BN393)-1)&amp;" CH Equity","PE_RATIO",Database!$H393,Database!$H393),0,1),0),2),"run on terminal"))</f>
        <v/>
      </c>
      <c r="R393" s="58">
        <f>IF(Database!BN393="","",IFERROR(INDEX(BDH("HSAHP Index","PX_LAST",Database!$H393,Database!$H393),MATCH(Database!$H393,INDEX(BDH("HSAHP Index","PX_LAST",Database!$H393,Database!$H393),0,1),0),2),"run on terminal"))</f>
        <v/>
      </c>
      <c r="S393" s="58">
        <f>IFERROR(BDP(TEXT(VALUE(Database!$A393),"0")&amp;" HK Equity","PX_TO_SALES_RATIO"),"")</f>
        <v/>
      </c>
      <c r="T393" s="53">
        <f>IF(Database!BN393="","",IFERROR(BDP(LEFT(Database!BN393,FIND(".",Database!BN393)-1)&amp;" CH Equity","CUR_MKT_CAP")*BDP("CNYHKD Curncy","PX_LAST"),"run on terminal"))</f>
        <v/>
      </c>
    </row>
    <row r="394" ht="23" customHeight="1">
      <c r="A394" s="51">
        <f>Database!A394&amp;"  "&amp;Database!B394</f>
        <v/>
      </c>
      <c r="B394" s="43">
        <f>IFERROR(INDEX(BDS(TEXT(VALUE(Database!$A394),"0")&amp;" HK Equity","EQUITY_OFFERINGS","array=t","endcol=1"),MATCH("IPO",BDS(TEXT(VALUE(Database!$A394),"0")&amp;" HK Equity","EQUITY_OFFERINGS","array=t","startcol=2","endcol=2"),0)),"")</f>
        <v/>
      </c>
      <c r="C394" s="260">
        <f>IF($B394="","",IFERROR(BDP($B394&amp;" Action","CP036"),""))</f>
        <v/>
      </c>
      <c r="D394" s="261">
        <f>Database!S394</f>
        <v/>
      </c>
      <c r="E394" s="260">
        <f>IF($B394="","",IFERROR(BDP($B394&amp;" Action","CP037"),""))</f>
        <v/>
      </c>
      <c r="F394" s="261">
        <f>Database!T394</f>
        <v/>
      </c>
      <c r="G394" s="260">
        <f>IF($B394="","",IFERROR(BDP($B394&amp;" Action","GREENSHOE_FACILITY"),""))</f>
        <v/>
      </c>
      <c r="H394" s="260">
        <f>IF($B394="","",IFERROR(BDP($B394&amp;" Action","OFFERING_GREENSHOE_SHARES_EX"),""))</f>
        <v/>
      </c>
      <c r="I394" s="51">
        <f>Database!AE394</f>
        <v/>
      </c>
      <c r="J394" s="58">
        <f>IFERROR(BDP(TEXT(VALUE(Database!$A394),"0")&amp;" HK Equity","PE_RATIO"),"")</f>
        <v/>
      </c>
      <c r="K394" s="43">
        <f>IFERROR(BDP(TEXT(VALUE(Database!$A394),"0")&amp;" HK Equity","A/H_SHARE_CONVERSION"),"")</f>
        <v/>
      </c>
      <c r="L394" s="51">
        <f>IF(Database!BN394="","(none found)",Database!BN394)</f>
        <v/>
      </c>
      <c r="M394" s="53">
        <f>IFERROR(INDEX(BDH(TEXT(VALUE(Database!$A394),"0")&amp;" HK Equity","CUR_MKT_CAP",Database!$H394,Database!$H394),MATCH(Database!$H394,INDEX(BDH(TEXT(VALUE(Database!$A394),"0")&amp;" HK Equity","CUR_MKT_CAP",Database!$H394,Database!$H394),0,1),0),2),"run on terminal")</f>
        <v/>
      </c>
      <c r="N394" s="213">
        <f>Database!Q394</f>
        <v/>
      </c>
      <c r="O394" s="58">
        <f>IFERROR(INDEX(BDH(TEXT(VALUE(Database!$A394),"0")&amp;" HK Equity","PE_RATIO",Database!$H394,Database!$H394),MATCH(Database!$H394,INDEX(BDH(TEXT(VALUE(Database!$A394),"0")&amp;" HK Equity","PE_RATIO",Database!$H394,Database!$H394),0,1),0),2),"run on terminal")</f>
        <v/>
      </c>
      <c r="P394" s="251">
        <f>IF(Database!BH394="","(n/m or not derivable)",Database!BH394)</f>
        <v/>
      </c>
      <c r="Q394" s="58">
        <f>IF(Database!BN394="","",IFERROR(INDEX(BDH(LEFT(Database!BN394,FIND(".",Database!BN394)-1)&amp;" CH Equity","PE_RATIO",Database!$H394,Database!$H394),MATCH(Database!$H394,INDEX(BDH(LEFT(Database!BN394,FIND(".",Database!BN394)-1)&amp;" CH Equity","PE_RATIO",Database!$H394,Database!$H394),0,1),0),2),"run on terminal"))</f>
        <v/>
      </c>
      <c r="R394" s="58">
        <f>IF(Database!BN394="","",IFERROR(INDEX(BDH("HSAHP Index","PX_LAST",Database!$H394,Database!$H394),MATCH(Database!$H394,INDEX(BDH("HSAHP Index","PX_LAST",Database!$H394,Database!$H394),0,1),0),2),"run on terminal"))</f>
        <v/>
      </c>
      <c r="S394" s="58">
        <f>IFERROR(BDP(TEXT(VALUE(Database!$A394),"0")&amp;" HK Equity","PX_TO_SALES_RATIO"),"")</f>
        <v/>
      </c>
      <c r="T394" s="53">
        <f>IF(Database!BN394="","",IFERROR(BDP(LEFT(Database!BN394,FIND(".",Database!BN394)-1)&amp;" CH Equity","CUR_MKT_CAP")*BDP("CNYHKD Curncy","PX_LAST"),"run on terminal"))</f>
        <v/>
      </c>
    </row>
    <row r="395" ht="23" customHeight="1">
      <c r="A395" s="51">
        <f>Database!A395&amp;"  "&amp;Database!B395</f>
        <v/>
      </c>
      <c r="B395" s="43">
        <f>IFERROR(INDEX(BDS(TEXT(VALUE(Database!$A395),"0")&amp;" HK Equity","EQUITY_OFFERINGS","array=t","endcol=1"),MATCH("IPO",BDS(TEXT(VALUE(Database!$A395),"0")&amp;" HK Equity","EQUITY_OFFERINGS","array=t","startcol=2","endcol=2"),0)),"")</f>
        <v/>
      </c>
      <c r="C395" s="260">
        <f>IF($B395="","",IFERROR(BDP($B395&amp;" Action","CP036"),""))</f>
        <v/>
      </c>
      <c r="D395" s="261">
        <f>Database!S395</f>
        <v/>
      </c>
      <c r="E395" s="260">
        <f>IF($B395="","",IFERROR(BDP($B395&amp;" Action","CP037"),""))</f>
        <v/>
      </c>
      <c r="F395" s="261">
        <f>Database!T395</f>
        <v/>
      </c>
      <c r="G395" s="260">
        <f>IF($B395="","",IFERROR(BDP($B395&amp;" Action","GREENSHOE_FACILITY"),""))</f>
        <v/>
      </c>
      <c r="H395" s="260">
        <f>IF($B395="","",IFERROR(BDP($B395&amp;" Action","OFFERING_GREENSHOE_SHARES_EX"),""))</f>
        <v/>
      </c>
      <c r="I395" s="51">
        <f>Database!AE395</f>
        <v/>
      </c>
      <c r="J395" s="58">
        <f>IFERROR(BDP(TEXT(VALUE(Database!$A395),"0")&amp;" HK Equity","PE_RATIO"),"")</f>
        <v/>
      </c>
      <c r="K395" s="43">
        <f>IFERROR(BDP(TEXT(VALUE(Database!$A395),"0")&amp;" HK Equity","A/H_SHARE_CONVERSION"),"")</f>
        <v/>
      </c>
      <c r="L395" s="51">
        <f>IF(Database!BN395="","(none found)",Database!BN395)</f>
        <v/>
      </c>
      <c r="M395" s="53">
        <f>IFERROR(INDEX(BDH(TEXT(VALUE(Database!$A395),"0")&amp;" HK Equity","CUR_MKT_CAP",Database!$H395,Database!$H395),MATCH(Database!$H395,INDEX(BDH(TEXT(VALUE(Database!$A395),"0")&amp;" HK Equity","CUR_MKT_CAP",Database!$H395,Database!$H395),0,1),0),2),"run on terminal")</f>
        <v/>
      </c>
      <c r="N395" s="213">
        <f>Database!Q395</f>
        <v/>
      </c>
      <c r="O395" s="58">
        <f>IFERROR(INDEX(BDH(TEXT(VALUE(Database!$A395),"0")&amp;" HK Equity","PE_RATIO",Database!$H395,Database!$H395),MATCH(Database!$H395,INDEX(BDH(TEXT(VALUE(Database!$A395),"0")&amp;" HK Equity","PE_RATIO",Database!$H395,Database!$H395),0,1),0),2),"run on terminal")</f>
        <v/>
      </c>
      <c r="P395" s="251">
        <f>IF(Database!BH395="","(n/m or not derivable)",Database!BH395)</f>
        <v/>
      </c>
      <c r="Q395" s="58">
        <f>IF(Database!BN395="","",IFERROR(INDEX(BDH(LEFT(Database!BN395,FIND(".",Database!BN395)-1)&amp;" CH Equity","PE_RATIO",Database!$H395,Database!$H395),MATCH(Database!$H395,INDEX(BDH(LEFT(Database!BN395,FIND(".",Database!BN395)-1)&amp;" CH Equity","PE_RATIO",Database!$H395,Database!$H395),0,1),0),2),"run on terminal"))</f>
        <v/>
      </c>
      <c r="R395" s="58">
        <f>IF(Database!BN395="","",IFERROR(INDEX(BDH("HSAHP Index","PX_LAST",Database!$H395,Database!$H395),MATCH(Database!$H395,INDEX(BDH("HSAHP Index","PX_LAST",Database!$H395,Database!$H395),0,1),0),2),"run on terminal"))</f>
        <v/>
      </c>
      <c r="S395" s="58">
        <f>IFERROR(BDP(TEXT(VALUE(Database!$A395),"0")&amp;" HK Equity","PX_TO_SALES_RATIO"),"")</f>
        <v/>
      </c>
      <c r="T395" s="53">
        <f>IF(Database!BN395="","",IFERROR(BDP(LEFT(Database!BN395,FIND(".",Database!BN395)-1)&amp;" CH Equity","CUR_MKT_CAP")*BDP("CNYHKD Curncy","PX_LAST"),"run on terminal"))</f>
        <v/>
      </c>
    </row>
    <row r="396" ht="23" customHeight="1">
      <c r="A396" s="51">
        <f>Database!A396&amp;"  "&amp;Database!B396</f>
        <v/>
      </c>
      <c r="B396" s="43">
        <f>IFERROR(INDEX(BDS(TEXT(VALUE(Database!$A396),"0")&amp;" HK Equity","EQUITY_OFFERINGS","array=t","endcol=1"),MATCH("IPO",BDS(TEXT(VALUE(Database!$A396),"0")&amp;" HK Equity","EQUITY_OFFERINGS","array=t","startcol=2","endcol=2"),0)),"")</f>
        <v/>
      </c>
      <c r="C396" s="260">
        <f>IF($B396="","",IFERROR(BDP($B396&amp;" Action","CP036"),""))</f>
        <v/>
      </c>
      <c r="D396" s="261">
        <f>Database!S396</f>
        <v/>
      </c>
      <c r="E396" s="260">
        <f>IF($B396="","",IFERROR(BDP($B396&amp;" Action","CP037"),""))</f>
        <v/>
      </c>
      <c r="F396" s="261">
        <f>Database!T396</f>
        <v/>
      </c>
      <c r="G396" s="260">
        <f>IF($B396="","",IFERROR(BDP($B396&amp;" Action","GREENSHOE_FACILITY"),""))</f>
        <v/>
      </c>
      <c r="H396" s="260">
        <f>IF($B396="","",IFERROR(BDP($B396&amp;" Action","OFFERING_GREENSHOE_SHARES_EX"),""))</f>
        <v/>
      </c>
      <c r="I396" s="51">
        <f>Database!AE396</f>
        <v/>
      </c>
      <c r="J396" s="58">
        <f>IFERROR(BDP(TEXT(VALUE(Database!$A396),"0")&amp;" HK Equity","PE_RATIO"),"")</f>
        <v/>
      </c>
      <c r="K396" s="43">
        <f>IFERROR(BDP(TEXT(VALUE(Database!$A396),"0")&amp;" HK Equity","A/H_SHARE_CONVERSION"),"")</f>
        <v/>
      </c>
      <c r="L396" s="51">
        <f>IF(Database!BN396="","(none found)",Database!BN396)</f>
        <v/>
      </c>
      <c r="M396" s="53">
        <f>IFERROR(INDEX(BDH(TEXT(VALUE(Database!$A396),"0")&amp;" HK Equity","CUR_MKT_CAP",Database!$H396,Database!$H396),MATCH(Database!$H396,INDEX(BDH(TEXT(VALUE(Database!$A396),"0")&amp;" HK Equity","CUR_MKT_CAP",Database!$H396,Database!$H396),0,1),0),2),"run on terminal")</f>
        <v/>
      </c>
      <c r="N396" s="213">
        <f>Database!Q396</f>
        <v/>
      </c>
      <c r="O396" s="58">
        <f>IFERROR(INDEX(BDH(TEXT(VALUE(Database!$A396),"0")&amp;" HK Equity","PE_RATIO",Database!$H396,Database!$H396),MATCH(Database!$H396,INDEX(BDH(TEXT(VALUE(Database!$A396),"0")&amp;" HK Equity","PE_RATIO",Database!$H396,Database!$H396),0,1),0),2),"run on terminal")</f>
        <v/>
      </c>
      <c r="P396" s="251">
        <f>IF(Database!BH396="","(n/m or not derivable)",Database!BH396)</f>
        <v/>
      </c>
      <c r="Q396" s="58">
        <f>IF(Database!BN396="","",IFERROR(INDEX(BDH(LEFT(Database!BN396,FIND(".",Database!BN396)-1)&amp;" CH Equity","PE_RATIO",Database!$H396,Database!$H396),MATCH(Database!$H396,INDEX(BDH(LEFT(Database!BN396,FIND(".",Database!BN396)-1)&amp;" CH Equity","PE_RATIO",Database!$H396,Database!$H396),0,1),0),2),"run on terminal"))</f>
        <v/>
      </c>
      <c r="R396" s="58">
        <f>IF(Database!BN396="","",IFERROR(INDEX(BDH("HSAHP Index","PX_LAST",Database!$H396,Database!$H396),MATCH(Database!$H396,INDEX(BDH("HSAHP Index","PX_LAST",Database!$H396,Database!$H396),0,1),0),2),"run on terminal"))</f>
        <v/>
      </c>
      <c r="S396" s="58">
        <f>IFERROR(BDP(TEXT(VALUE(Database!$A396),"0")&amp;" HK Equity","PX_TO_SALES_RATIO"),"")</f>
        <v/>
      </c>
      <c r="T396" s="53">
        <f>IF(Database!BN396="","",IFERROR(BDP(LEFT(Database!BN396,FIND(".",Database!BN396)-1)&amp;" CH Equity","CUR_MKT_CAP")*BDP("CNYHKD Curncy","PX_LAST"),"run on terminal"))</f>
        <v/>
      </c>
    </row>
    <row r="397" ht="23" customHeight="1">
      <c r="A397" s="51">
        <f>Database!A397&amp;"  "&amp;Database!B397</f>
        <v/>
      </c>
      <c r="B397" s="43">
        <f>IFERROR(INDEX(BDS(TEXT(VALUE(Database!$A397),"0")&amp;" HK Equity","EQUITY_OFFERINGS","array=t","endcol=1"),MATCH("IPO",BDS(TEXT(VALUE(Database!$A397),"0")&amp;" HK Equity","EQUITY_OFFERINGS","array=t","startcol=2","endcol=2"),0)),"")</f>
        <v/>
      </c>
      <c r="C397" s="260">
        <f>IF($B397="","",IFERROR(BDP($B397&amp;" Action","CP036"),""))</f>
        <v/>
      </c>
      <c r="D397" s="261">
        <f>Database!S397</f>
        <v/>
      </c>
      <c r="E397" s="260">
        <f>IF($B397="","",IFERROR(BDP($B397&amp;" Action","CP037"),""))</f>
        <v/>
      </c>
      <c r="F397" s="261">
        <f>Database!T397</f>
        <v/>
      </c>
      <c r="G397" s="260">
        <f>IF($B397="","",IFERROR(BDP($B397&amp;" Action","GREENSHOE_FACILITY"),""))</f>
        <v/>
      </c>
      <c r="H397" s="260">
        <f>IF($B397="","",IFERROR(BDP($B397&amp;" Action","OFFERING_GREENSHOE_SHARES_EX"),""))</f>
        <v/>
      </c>
      <c r="I397" s="51">
        <f>Database!AE397</f>
        <v/>
      </c>
      <c r="J397" s="58">
        <f>IFERROR(BDP(TEXT(VALUE(Database!$A397),"0")&amp;" HK Equity","PE_RATIO"),"")</f>
        <v/>
      </c>
      <c r="K397" s="43">
        <f>IFERROR(BDP(TEXT(VALUE(Database!$A397),"0")&amp;" HK Equity","A/H_SHARE_CONVERSION"),"")</f>
        <v/>
      </c>
      <c r="L397" s="51">
        <f>IF(Database!BN397="","(none found)",Database!BN397)</f>
        <v/>
      </c>
      <c r="M397" s="53">
        <f>IFERROR(INDEX(BDH(TEXT(VALUE(Database!$A397),"0")&amp;" HK Equity","CUR_MKT_CAP",Database!$H397,Database!$H397),MATCH(Database!$H397,INDEX(BDH(TEXT(VALUE(Database!$A397),"0")&amp;" HK Equity","CUR_MKT_CAP",Database!$H397,Database!$H397),0,1),0),2),"run on terminal")</f>
        <v/>
      </c>
      <c r="N397" s="213">
        <f>Database!Q397</f>
        <v/>
      </c>
      <c r="O397" s="58">
        <f>IFERROR(INDEX(BDH(TEXT(VALUE(Database!$A397),"0")&amp;" HK Equity","PE_RATIO",Database!$H397,Database!$H397),MATCH(Database!$H397,INDEX(BDH(TEXT(VALUE(Database!$A397),"0")&amp;" HK Equity","PE_RATIO",Database!$H397,Database!$H397),0,1),0),2),"run on terminal")</f>
        <v/>
      </c>
      <c r="P397" s="251">
        <f>IF(Database!BH397="","(n/m or not derivable)",Database!BH397)</f>
        <v/>
      </c>
      <c r="Q397" s="58">
        <f>IF(Database!BN397="","",IFERROR(INDEX(BDH(LEFT(Database!BN397,FIND(".",Database!BN397)-1)&amp;" CH Equity","PE_RATIO",Database!$H397,Database!$H397),MATCH(Database!$H397,INDEX(BDH(LEFT(Database!BN397,FIND(".",Database!BN397)-1)&amp;" CH Equity","PE_RATIO",Database!$H397,Database!$H397),0,1),0),2),"run on terminal"))</f>
        <v/>
      </c>
      <c r="R397" s="58">
        <f>IF(Database!BN397="","",IFERROR(INDEX(BDH("HSAHP Index","PX_LAST",Database!$H397,Database!$H397),MATCH(Database!$H397,INDEX(BDH("HSAHP Index","PX_LAST",Database!$H397,Database!$H397),0,1),0),2),"run on terminal"))</f>
        <v/>
      </c>
      <c r="S397" s="58">
        <f>IFERROR(BDP(TEXT(VALUE(Database!$A397),"0")&amp;" HK Equity","PX_TO_SALES_RATIO"),"")</f>
        <v/>
      </c>
      <c r="T397" s="53">
        <f>IF(Database!BN397="","",IFERROR(BDP(LEFT(Database!BN397,FIND(".",Database!BN397)-1)&amp;" CH Equity","CUR_MKT_CAP")*BDP("CNYHKD Curncy","PX_LAST"),"run on terminal"))</f>
        <v/>
      </c>
    </row>
    <row r="398" ht="23" customHeight="1">
      <c r="A398" s="51">
        <f>Database!A398&amp;"  "&amp;Database!B398</f>
        <v/>
      </c>
      <c r="B398" s="43">
        <f>IFERROR(INDEX(BDS(TEXT(VALUE(Database!$A398),"0")&amp;" HK Equity","EQUITY_OFFERINGS","array=t","endcol=1"),MATCH("IPO",BDS(TEXT(VALUE(Database!$A398),"0")&amp;" HK Equity","EQUITY_OFFERINGS","array=t","startcol=2","endcol=2"),0)),"")</f>
        <v/>
      </c>
      <c r="C398" s="260">
        <f>IF($B398="","",IFERROR(BDP($B398&amp;" Action","CP036"),""))</f>
        <v/>
      </c>
      <c r="D398" s="261">
        <f>Database!S398</f>
        <v/>
      </c>
      <c r="E398" s="260">
        <f>IF($B398="","",IFERROR(BDP($B398&amp;" Action","CP037"),""))</f>
        <v/>
      </c>
      <c r="F398" s="261">
        <f>Database!T398</f>
        <v/>
      </c>
      <c r="G398" s="260">
        <f>IF($B398="","",IFERROR(BDP($B398&amp;" Action","GREENSHOE_FACILITY"),""))</f>
        <v/>
      </c>
      <c r="H398" s="260">
        <f>IF($B398="","",IFERROR(BDP($B398&amp;" Action","OFFERING_GREENSHOE_SHARES_EX"),""))</f>
        <v/>
      </c>
      <c r="I398" s="51">
        <f>Database!AE398</f>
        <v/>
      </c>
      <c r="J398" s="58">
        <f>IFERROR(BDP(TEXT(VALUE(Database!$A398),"0")&amp;" HK Equity","PE_RATIO"),"")</f>
        <v/>
      </c>
      <c r="K398" s="43">
        <f>IFERROR(BDP(TEXT(VALUE(Database!$A398),"0")&amp;" HK Equity","A/H_SHARE_CONVERSION"),"")</f>
        <v/>
      </c>
      <c r="L398" s="51">
        <f>IF(Database!BN398="","(none found)",Database!BN398)</f>
        <v/>
      </c>
      <c r="M398" s="53">
        <f>IFERROR(INDEX(BDH(TEXT(VALUE(Database!$A398),"0")&amp;" HK Equity","CUR_MKT_CAP",Database!$H398,Database!$H398),MATCH(Database!$H398,INDEX(BDH(TEXT(VALUE(Database!$A398),"0")&amp;" HK Equity","CUR_MKT_CAP",Database!$H398,Database!$H398),0,1),0),2),"run on terminal")</f>
        <v/>
      </c>
      <c r="N398" s="213">
        <f>Database!Q398</f>
        <v/>
      </c>
      <c r="O398" s="58">
        <f>IFERROR(INDEX(BDH(TEXT(VALUE(Database!$A398),"0")&amp;" HK Equity","PE_RATIO",Database!$H398,Database!$H398),MATCH(Database!$H398,INDEX(BDH(TEXT(VALUE(Database!$A398),"0")&amp;" HK Equity","PE_RATIO",Database!$H398,Database!$H398),0,1),0),2),"run on terminal")</f>
        <v/>
      </c>
      <c r="P398" s="251">
        <f>IF(Database!BH398="","(n/m or not derivable)",Database!BH398)</f>
        <v/>
      </c>
      <c r="Q398" s="58">
        <f>IF(Database!BN398="","",IFERROR(INDEX(BDH(LEFT(Database!BN398,FIND(".",Database!BN398)-1)&amp;" CH Equity","PE_RATIO",Database!$H398,Database!$H398),MATCH(Database!$H398,INDEX(BDH(LEFT(Database!BN398,FIND(".",Database!BN398)-1)&amp;" CH Equity","PE_RATIO",Database!$H398,Database!$H398),0,1),0),2),"run on terminal"))</f>
        <v/>
      </c>
      <c r="R398" s="58">
        <f>IF(Database!BN398="","",IFERROR(INDEX(BDH("HSAHP Index","PX_LAST",Database!$H398,Database!$H398),MATCH(Database!$H398,INDEX(BDH("HSAHP Index","PX_LAST",Database!$H398,Database!$H398),0,1),0),2),"run on terminal"))</f>
        <v/>
      </c>
      <c r="S398" s="58">
        <f>IFERROR(BDP(TEXT(VALUE(Database!$A398),"0")&amp;" HK Equity","PX_TO_SALES_RATIO"),"")</f>
        <v/>
      </c>
      <c r="T398" s="53">
        <f>IF(Database!BN398="","",IFERROR(BDP(LEFT(Database!BN398,FIND(".",Database!BN398)-1)&amp;" CH Equity","CUR_MKT_CAP")*BDP("CNYHKD Curncy","PX_LAST"),"run on terminal"))</f>
        <v/>
      </c>
    </row>
    <row r="399" ht="23" customHeight="1">
      <c r="A399" s="51">
        <f>Database!A399&amp;"  "&amp;Database!B399</f>
        <v/>
      </c>
      <c r="B399" s="43">
        <f>IFERROR(INDEX(BDS(TEXT(VALUE(Database!$A399),"0")&amp;" HK Equity","EQUITY_OFFERINGS","array=t","endcol=1"),MATCH("IPO",BDS(TEXT(VALUE(Database!$A399),"0")&amp;" HK Equity","EQUITY_OFFERINGS","array=t","startcol=2","endcol=2"),0)),"")</f>
        <v/>
      </c>
      <c r="C399" s="260">
        <f>IF($B399="","",IFERROR(BDP($B399&amp;" Action","CP036"),""))</f>
        <v/>
      </c>
      <c r="D399" s="261">
        <f>Database!S399</f>
        <v/>
      </c>
      <c r="E399" s="260">
        <f>IF($B399="","",IFERROR(BDP($B399&amp;" Action","CP037"),""))</f>
        <v/>
      </c>
      <c r="F399" s="261">
        <f>Database!T399</f>
        <v/>
      </c>
      <c r="G399" s="260">
        <f>IF($B399="","",IFERROR(BDP($B399&amp;" Action","GREENSHOE_FACILITY"),""))</f>
        <v/>
      </c>
      <c r="H399" s="260">
        <f>IF($B399="","",IFERROR(BDP($B399&amp;" Action","OFFERING_GREENSHOE_SHARES_EX"),""))</f>
        <v/>
      </c>
      <c r="I399" s="51">
        <f>Database!AE399</f>
        <v/>
      </c>
      <c r="J399" s="58">
        <f>IFERROR(BDP(TEXT(VALUE(Database!$A399),"0")&amp;" HK Equity","PE_RATIO"),"")</f>
        <v/>
      </c>
      <c r="K399" s="43">
        <f>IFERROR(BDP(TEXT(VALUE(Database!$A399),"0")&amp;" HK Equity","A/H_SHARE_CONVERSION"),"")</f>
        <v/>
      </c>
      <c r="L399" s="51">
        <f>IF(Database!BN399="","(none found)",Database!BN399)</f>
        <v/>
      </c>
      <c r="M399" s="53">
        <f>IFERROR(INDEX(BDH(TEXT(VALUE(Database!$A399),"0")&amp;" HK Equity","CUR_MKT_CAP",Database!$H399,Database!$H399),MATCH(Database!$H399,INDEX(BDH(TEXT(VALUE(Database!$A399),"0")&amp;" HK Equity","CUR_MKT_CAP",Database!$H399,Database!$H399),0,1),0),2),"run on terminal")</f>
        <v/>
      </c>
      <c r="N399" s="213">
        <f>Database!Q399</f>
        <v/>
      </c>
      <c r="O399" s="58">
        <f>IFERROR(INDEX(BDH(TEXT(VALUE(Database!$A399),"0")&amp;" HK Equity","PE_RATIO",Database!$H399,Database!$H399),MATCH(Database!$H399,INDEX(BDH(TEXT(VALUE(Database!$A399),"0")&amp;" HK Equity","PE_RATIO",Database!$H399,Database!$H399),0,1),0),2),"run on terminal")</f>
        <v/>
      </c>
      <c r="P399" s="251">
        <f>IF(Database!BH399="","(n/m or not derivable)",Database!BH399)</f>
        <v/>
      </c>
      <c r="Q399" s="58">
        <f>IF(Database!BN399="","",IFERROR(INDEX(BDH(LEFT(Database!BN399,FIND(".",Database!BN399)-1)&amp;" CH Equity","PE_RATIO",Database!$H399,Database!$H399),MATCH(Database!$H399,INDEX(BDH(LEFT(Database!BN399,FIND(".",Database!BN399)-1)&amp;" CH Equity","PE_RATIO",Database!$H399,Database!$H399),0,1),0),2),"run on terminal"))</f>
        <v/>
      </c>
      <c r="R399" s="58">
        <f>IF(Database!BN399="","",IFERROR(INDEX(BDH("HSAHP Index","PX_LAST",Database!$H399,Database!$H399),MATCH(Database!$H399,INDEX(BDH("HSAHP Index","PX_LAST",Database!$H399,Database!$H399),0,1),0),2),"run on terminal"))</f>
        <v/>
      </c>
      <c r="S399" s="58">
        <f>IFERROR(BDP(TEXT(VALUE(Database!$A399),"0")&amp;" HK Equity","PX_TO_SALES_RATIO"),"")</f>
        <v/>
      </c>
      <c r="T399" s="53">
        <f>IF(Database!BN399="","",IFERROR(BDP(LEFT(Database!BN399,FIND(".",Database!BN399)-1)&amp;" CH Equity","CUR_MKT_CAP")*BDP("CNYHKD Curncy","PX_LAST"),"run on terminal"))</f>
        <v/>
      </c>
    </row>
    <row r="400" ht="23" customHeight="1">
      <c r="A400" s="51">
        <f>Database!A400&amp;"  "&amp;Database!B400</f>
        <v/>
      </c>
      <c r="B400" s="43">
        <f>IFERROR(INDEX(BDS(TEXT(VALUE(Database!$A400),"0")&amp;" HK Equity","EQUITY_OFFERINGS","array=t","endcol=1"),MATCH("IPO",BDS(TEXT(VALUE(Database!$A400),"0")&amp;" HK Equity","EQUITY_OFFERINGS","array=t","startcol=2","endcol=2"),0)),"")</f>
        <v/>
      </c>
      <c r="C400" s="260">
        <f>IF($B400="","",IFERROR(BDP($B400&amp;" Action","CP036"),""))</f>
        <v/>
      </c>
      <c r="D400" s="261">
        <f>Database!S400</f>
        <v/>
      </c>
      <c r="E400" s="260">
        <f>IF($B400="","",IFERROR(BDP($B400&amp;" Action","CP037"),""))</f>
        <v/>
      </c>
      <c r="F400" s="261">
        <f>Database!T400</f>
        <v/>
      </c>
      <c r="G400" s="260">
        <f>IF($B400="","",IFERROR(BDP($B400&amp;" Action","GREENSHOE_FACILITY"),""))</f>
        <v/>
      </c>
      <c r="H400" s="260">
        <f>IF($B400="","",IFERROR(BDP($B400&amp;" Action","OFFERING_GREENSHOE_SHARES_EX"),""))</f>
        <v/>
      </c>
      <c r="I400" s="51">
        <f>Database!AE400</f>
        <v/>
      </c>
      <c r="J400" s="58">
        <f>IFERROR(BDP(TEXT(VALUE(Database!$A400),"0")&amp;" HK Equity","PE_RATIO"),"")</f>
        <v/>
      </c>
      <c r="K400" s="43">
        <f>IFERROR(BDP(TEXT(VALUE(Database!$A400),"0")&amp;" HK Equity","A/H_SHARE_CONVERSION"),"")</f>
        <v/>
      </c>
      <c r="L400" s="51">
        <f>IF(Database!BN400="","(none found)",Database!BN400)</f>
        <v/>
      </c>
      <c r="M400" s="53">
        <f>IFERROR(INDEX(BDH(TEXT(VALUE(Database!$A400),"0")&amp;" HK Equity","CUR_MKT_CAP",Database!$H400,Database!$H400),MATCH(Database!$H400,INDEX(BDH(TEXT(VALUE(Database!$A400),"0")&amp;" HK Equity","CUR_MKT_CAP",Database!$H400,Database!$H400),0,1),0),2),"run on terminal")</f>
        <v/>
      </c>
      <c r="N400" s="213">
        <f>Database!Q400</f>
        <v/>
      </c>
      <c r="O400" s="58">
        <f>IFERROR(INDEX(BDH(TEXT(VALUE(Database!$A400),"0")&amp;" HK Equity","PE_RATIO",Database!$H400,Database!$H400),MATCH(Database!$H400,INDEX(BDH(TEXT(VALUE(Database!$A400),"0")&amp;" HK Equity","PE_RATIO",Database!$H400,Database!$H400),0,1),0),2),"run on terminal")</f>
        <v/>
      </c>
      <c r="P400" s="251">
        <f>IF(Database!BH400="","(n/m or not derivable)",Database!BH400)</f>
        <v/>
      </c>
      <c r="Q400" s="58">
        <f>IF(Database!BN400="","",IFERROR(INDEX(BDH(LEFT(Database!BN400,FIND(".",Database!BN400)-1)&amp;" CH Equity","PE_RATIO",Database!$H400,Database!$H400),MATCH(Database!$H400,INDEX(BDH(LEFT(Database!BN400,FIND(".",Database!BN400)-1)&amp;" CH Equity","PE_RATIO",Database!$H400,Database!$H400),0,1),0),2),"run on terminal"))</f>
        <v/>
      </c>
      <c r="R400" s="58">
        <f>IF(Database!BN400="","",IFERROR(INDEX(BDH("HSAHP Index","PX_LAST",Database!$H400,Database!$H400),MATCH(Database!$H400,INDEX(BDH("HSAHP Index","PX_LAST",Database!$H400,Database!$H400),0,1),0),2),"run on terminal"))</f>
        <v/>
      </c>
      <c r="S400" s="58">
        <f>IFERROR(BDP(TEXT(VALUE(Database!$A400),"0")&amp;" HK Equity","PX_TO_SALES_RATIO"),"")</f>
        <v/>
      </c>
      <c r="T400" s="53">
        <f>IF(Database!BN400="","",IFERROR(BDP(LEFT(Database!BN400,FIND(".",Database!BN400)-1)&amp;" CH Equity","CUR_MKT_CAP")*BDP("CNYHKD Curncy","PX_LAST"),"run on terminal"))</f>
        <v/>
      </c>
    </row>
    <row r="401" ht="23" customHeight="1">
      <c r="A401" s="51">
        <f>Database!A401&amp;"  "&amp;Database!B401</f>
        <v/>
      </c>
      <c r="B401" s="43">
        <f>IFERROR(INDEX(BDS(TEXT(VALUE(Database!$A401),"0")&amp;" HK Equity","EQUITY_OFFERINGS","array=t","endcol=1"),MATCH("IPO",BDS(TEXT(VALUE(Database!$A401),"0")&amp;" HK Equity","EQUITY_OFFERINGS","array=t","startcol=2","endcol=2"),0)),"")</f>
        <v/>
      </c>
      <c r="C401" s="260">
        <f>IF($B401="","",IFERROR(BDP($B401&amp;" Action","CP036"),""))</f>
        <v/>
      </c>
      <c r="D401" s="261">
        <f>Database!S401</f>
        <v/>
      </c>
      <c r="E401" s="260">
        <f>IF($B401="","",IFERROR(BDP($B401&amp;" Action","CP037"),""))</f>
        <v/>
      </c>
      <c r="F401" s="261">
        <f>Database!T401</f>
        <v/>
      </c>
      <c r="G401" s="260">
        <f>IF($B401="","",IFERROR(BDP($B401&amp;" Action","GREENSHOE_FACILITY"),""))</f>
        <v/>
      </c>
      <c r="H401" s="260">
        <f>IF($B401="","",IFERROR(BDP($B401&amp;" Action","OFFERING_GREENSHOE_SHARES_EX"),""))</f>
        <v/>
      </c>
      <c r="I401" s="51">
        <f>Database!AE401</f>
        <v/>
      </c>
      <c r="J401" s="58">
        <f>IFERROR(BDP(TEXT(VALUE(Database!$A401),"0")&amp;" HK Equity","PE_RATIO"),"")</f>
        <v/>
      </c>
      <c r="K401" s="43">
        <f>IFERROR(BDP(TEXT(VALUE(Database!$A401),"0")&amp;" HK Equity","A/H_SHARE_CONVERSION"),"")</f>
        <v/>
      </c>
      <c r="L401" s="51">
        <f>IF(Database!BN401="","(none found)",Database!BN401)</f>
        <v/>
      </c>
      <c r="M401" s="53">
        <f>IFERROR(INDEX(BDH(TEXT(VALUE(Database!$A401),"0")&amp;" HK Equity","CUR_MKT_CAP",Database!$H401,Database!$H401),MATCH(Database!$H401,INDEX(BDH(TEXT(VALUE(Database!$A401),"0")&amp;" HK Equity","CUR_MKT_CAP",Database!$H401,Database!$H401),0,1),0),2),"run on terminal")</f>
        <v/>
      </c>
      <c r="N401" s="213">
        <f>Database!Q401</f>
        <v/>
      </c>
      <c r="O401" s="58">
        <f>IFERROR(INDEX(BDH(TEXT(VALUE(Database!$A401),"0")&amp;" HK Equity","PE_RATIO",Database!$H401,Database!$H401),MATCH(Database!$H401,INDEX(BDH(TEXT(VALUE(Database!$A401),"0")&amp;" HK Equity","PE_RATIO",Database!$H401,Database!$H401),0,1),0),2),"run on terminal")</f>
        <v/>
      </c>
      <c r="P401" s="251">
        <f>IF(Database!BH401="","(n/m or not derivable)",Database!BH401)</f>
        <v/>
      </c>
      <c r="Q401" s="58">
        <f>IF(Database!BN401="","",IFERROR(INDEX(BDH(LEFT(Database!BN401,FIND(".",Database!BN401)-1)&amp;" CH Equity","PE_RATIO",Database!$H401,Database!$H401),MATCH(Database!$H401,INDEX(BDH(LEFT(Database!BN401,FIND(".",Database!BN401)-1)&amp;" CH Equity","PE_RATIO",Database!$H401,Database!$H401),0,1),0),2),"run on terminal"))</f>
        <v/>
      </c>
      <c r="R401" s="58">
        <f>IF(Database!BN401="","",IFERROR(INDEX(BDH("HSAHP Index","PX_LAST",Database!$H401,Database!$H401),MATCH(Database!$H401,INDEX(BDH("HSAHP Index","PX_LAST",Database!$H401,Database!$H401),0,1),0),2),"run on terminal"))</f>
        <v/>
      </c>
      <c r="S401" s="58">
        <f>IFERROR(BDP(TEXT(VALUE(Database!$A401),"0")&amp;" HK Equity","PX_TO_SALES_RATIO"),"")</f>
        <v/>
      </c>
      <c r="T401" s="53">
        <f>IF(Database!BN401="","",IFERROR(BDP(LEFT(Database!BN401,FIND(".",Database!BN401)-1)&amp;" CH Equity","CUR_MKT_CAP")*BDP("CNYHKD Curncy","PX_LAST"),"run on terminal"))</f>
        <v/>
      </c>
    </row>
    <row r="402" ht="23" customHeight="1">
      <c r="A402" s="51">
        <f>Database!A402&amp;"  "&amp;Database!B402</f>
        <v/>
      </c>
      <c r="B402" s="43">
        <f>IFERROR(INDEX(BDS(TEXT(VALUE(Database!$A402),"0")&amp;" HK Equity","EQUITY_OFFERINGS","array=t","endcol=1"),MATCH("IPO",BDS(TEXT(VALUE(Database!$A402),"0")&amp;" HK Equity","EQUITY_OFFERINGS","array=t","startcol=2","endcol=2"),0)),"")</f>
        <v/>
      </c>
      <c r="C402" s="260">
        <f>IF($B402="","",IFERROR(BDP($B402&amp;" Action","CP036"),""))</f>
        <v/>
      </c>
      <c r="D402" s="261">
        <f>Database!S402</f>
        <v/>
      </c>
      <c r="E402" s="260">
        <f>IF($B402="","",IFERROR(BDP($B402&amp;" Action","CP037"),""))</f>
        <v/>
      </c>
      <c r="F402" s="261">
        <f>Database!T402</f>
        <v/>
      </c>
      <c r="G402" s="260">
        <f>IF($B402="","",IFERROR(BDP($B402&amp;" Action","GREENSHOE_FACILITY"),""))</f>
        <v/>
      </c>
      <c r="H402" s="260">
        <f>IF($B402="","",IFERROR(BDP($B402&amp;" Action","OFFERING_GREENSHOE_SHARES_EX"),""))</f>
        <v/>
      </c>
      <c r="I402" s="51">
        <f>Database!AE402</f>
        <v/>
      </c>
      <c r="J402" s="58">
        <f>IFERROR(BDP(TEXT(VALUE(Database!$A402),"0")&amp;" HK Equity","PE_RATIO"),"")</f>
        <v/>
      </c>
      <c r="K402" s="43">
        <f>IFERROR(BDP(TEXT(VALUE(Database!$A402),"0")&amp;" HK Equity","A/H_SHARE_CONVERSION"),"")</f>
        <v/>
      </c>
      <c r="L402" s="51">
        <f>IF(Database!BN402="","(none found)",Database!BN402)</f>
        <v/>
      </c>
      <c r="M402" s="53">
        <f>IFERROR(INDEX(BDH(TEXT(VALUE(Database!$A402),"0")&amp;" HK Equity","CUR_MKT_CAP",Database!$H402,Database!$H402),MATCH(Database!$H402,INDEX(BDH(TEXT(VALUE(Database!$A402),"0")&amp;" HK Equity","CUR_MKT_CAP",Database!$H402,Database!$H402),0,1),0),2),"run on terminal")</f>
        <v/>
      </c>
      <c r="N402" s="213">
        <f>Database!Q402</f>
        <v/>
      </c>
      <c r="O402" s="58">
        <f>IFERROR(INDEX(BDH(TEXT(VALUE(Database!$A402),"0")&amp;" HK Equity","PE_RATIO",Database!$H402,Database!$H402),MATCH(Database!$H402,INDEX(BDH(TEXT(VALUE(Database!$A402),"0")&amp;" HK Equity","PE_RATIO",Database!$H402,Database!$H402),0,1),0),2),"run on terminal")</f>
        <v/>
      </c>
      <c r="P402" s="251">
        <f>IF(Database!BH402="","(n/m or not derivable)",Database!BH402)</f>
        <v/>
      </c>
      <c r="Q402" s="58">
        <f>IF(Database!BN402="","",IFERROR(INDEX(BDH(LEFT(Database!BN402,FIND(".",Database!BN402)-1)&amp;" CH Equity","PE_RATIO",Database!$H402,Database!$H402),MATCH(Database!$H402,INDEX(BDH(LEFT(Database!BN402,FIND(".",Database!BN402)-1)&amp;" CH Equity","PE_RATIO",Database!$H402,Database!$H402),0,1),0),2),"run on terminal"))</f>
        <v/>
      </c>
      <c r="R402" s="58">
        <f>IF(Database!BN402="","",IFERROR(INDEX(BDH("HSAHP Index","PX_LAST",Database!$H402,Database!$H402),MATCH(Database!$H402,INDEX(BDH("HSAHP Index","PX_LAST",Database!$H402,Database!$H402),0,1),0),2),"run on terminal"))</f>
        <v/>
      </c>
      <c r="S402" s="58">
        <f>IFERROR(BDP(TEXT(VALUE(Database!$A402),"0")&amp;" HK Equity","PX_TO_SALES_RATIO"),"")</f>
        <v/>
      </c>
      <c r="T402" s="53">
        <f>IF(Database!BN402="","",IFERROR(BDP(LEFT(Database!BN402,FIND(".",Database!BN402)-1)&amp;" CH Equity","CUR_MKT_CAP")*BDP("CNYHKD Curncy","PX_LAST"),"run on terminal"))</f>
        <v/>
      </c>
    </row>
    <row r="403" ht="23" customHeight="1">
      <c r="A403" s="51">
        <f>Database!A403&amp;"  "&amp;Database!B403</f>
        <v/>
      </c>
      <c r="B403" s="43">
        <f>IFERROR(INDEX(BDS(TEXT(VALUE(Database!$A403),"0")&amp;" HK Equity","EQUITY_OFFERINGS","array=t","endcol=1"),MATCH("IPO",BDS(TEXT(VALUE(Database!$A403),"0")&amp;" HK Equity","EQUITY_OFFERINGS","array=t","startcol=2","endcol=2"),0)),"")</f>
        <v/>
      </c>
      <c r="C403" s="260">
        <f>IF($B403="","",IFERROR(BDP($B403&amp;" Action","CP036"),""))</f>
        <v/>
      </c>
      <c r="D403" s="261">
        <f>Database!S403</f>
        <v/>
      </c>
      <c r="E403" s="260">
        <f>IF($B403="","",IFERROR(BDP($B403&amp;" Action","CP037"),""))</f>
        <v/>
      </c>
      <c r="F403" s="261">
        <f>Database!T403</f>
        <v/>
      </c>
      <c r="G403" s="260">
        <f>IF($B403="","",IFERROR(BDP($B403&amp;" Action","GREENSHOE_FACILITY"),""))</f>
        <v/>
      </c>
      <c r="H403" s="260">
        <f>IF($B403="","",IFERROR(BDP($B403&amp;" Action","OFFERING_GREENSHOE_SHARES_EX"),""))</f>
        <v/>
      </c>
      <c r="I403" s="51">
        <f>Database!AE403</f>
        <v/>
      </c>
      <c r="J403" s="58">
        <f>IFERROR(BDP(TEXT(VALUE(Database!$A403),"0")&amp;" HK Equity","PE_RATIO"),"")</f>
        <v/>
      </c>
      <c r="K403" s="43">
        <f>IFERROR(BDP(TEXT(VALUE(Database!$A403),"0")&amp;" HK Equity","A/H_SHARE_CONVERSION"),"")</f>
        <v/>
      </c>
      <c r="L403" s="51">
        <f>IF(Database!BN403="","(none found)",Database!BN403)</f>
        <v/>
      </c>
      <c r="M403" s="53">
        <f>IFERROR(INDEX(BDH(TEXT(VALUE(Database!$A403),"0")&amp;" HK Equity","CUR_MKT_CAP",Database!$H403,Database!$H403),MATCH(Database!$H403,INDEX(BDH(TEXT(VALUE(Database!$A403),"0")&amp;" HK Equity","CUR_MKT_CAP",Database!$H403,Database!$H403),0,1),0),2),"run on terminal")</f>
        <v/>
      </c>
      <c r="N403" s="213">
        <f>Database!Q403</f>
        <v/>
      </c>
      <c r="O403" s="58">
        <f>IFERROR(INDEX(BDH(TEXT(VALUE(Database!$A403),"0")&amp;" HK Equity","PE_RATIO",Database!$H403,Database!$H403),MATCH(Database!$H403,INDEX(BDH(TEXT(VALUE(Database!$A403),"0")&amp;" HK Equity","PE_RATIO",Database!$H403,Database!$H403),0,1),0),2),"run on terminal")</f>
        <v/>
      </c>
      <c r="P403" s="251">
        <f>IF(Database!BH403="","(n/m or not derivable)",Database!BH403)</f>
        <v/>
      </c>
      <c r="Q403" s="58">
        <f>IF(Database!BN403="","",IFERROR(INDEX(BDH(LEFT(Database!BN403,FIND(".",Database!BN403)-1)&amp;" CH Equity","PE_RATIO",Database!$H403,Database!$H403),MATCH(Database!$H403,INDEX(BDH(LEFT(Database!BN403,FIND(".",Database!BN403)-1)&amp;" CH Equity","PE_RATIO",Database!$H403,Database!$H403),0,1),0),2),"run on terminal"))</f>
        <v/>
      </c>
      <c r="R403" s="58">
        <f>IF(Database!BN403="","",IFERROR(INDEX(BDH("HSAHP Index","PX_LAST",Database!$H403,Database!$H403),MATCH(Database!$H403,INDEX(BDH("HSAHP Index","PX_LAST",Database!$H403,Database!$H403),0,1),0),2),"run on terminal"))</f>
        <v/>
      </c>
      <c r="S403" s="58">
        <f>IFERROR(BDP(TEXT(VALUE(Database!$A403),"0")&amp;" HK Equity","PX_TO_SALES_RATIO"),"")</f>
        <v/>
      </c>
      <c r="T403" s="53">
        <f>IF(Database!BN403="","",IFERROR(BDP(LEFT(Database!BN403,FIND(".",Database!BN403)-1)&amp;" CH Equity","CUR_MKT_CAP")*BDP("CNYHKD Curncy","PX_LAST"),"run on terminal"))</f>
        <v/>
      </c>
    </row>
    <row r="404" ht="23" customHeight="1">
      <c r="A404" s="51">
        <f>Database!A404&amp;"  "&amp;Database!B404</f>
        <v/>
      </c>
      <c r="B404" s="43">
        <f>IFERROR(INDEX(BDS(TEXT(VALUE(Database!$A404),"0")&amp;" HK Equity","EQUITY_OFFERINGS","array=t","endcol=1"),MATCH("IPO",BDS(TEXT(VALUE(Database!$A404),"0")&amp;" HK Equity","EQUITY_OFFERINGS","array=t","startcol=2","endcol=2"),0)),"")</f>
        <v/>
      </c>
      <c r="C404" s="260">
        <f>IF($B404="","",IFERROR(BDP($B404&amp;" Action","CP036"),""))</f>
        <v/>
      </c>
      <c r="D404" s="261">
        <f>Database!S404</f>
        <v/>
      </c>
      <c r="E404" s="260">
        <f>IF($B404="","",IFERROR(BDP($B404&amp;" Action","CP037"),""))</f>
        <v/>
      </c>
      <c r="F404" s="261">
        <f>Database!T404</f>
        <v/>
      </c>
      <c r="G404" s="260">
        <f>IF($B404="","",IFERROR(BDP($B404&amp;" Action","GREENSHOE_FACILITY"),""))</f>
        <v/>
      </c>
      <c r="H404" s="260">
        <f>IF($B404="","",IFERROR(BDP($B404&amp;" Action","OFFERING_GREENSHOE_SHARES_EX"),""))</f>
        <v/>
      </c>
      <c r="I404" s="51">
        <f>Database!AE404</f>
        <v/>
      </c>
      <c r="J404" s="58">
        <f>IFERROR(BDP(TEXT(VALUE(Database!$A404),"0")&amp;" HK Equity","PE_RATIO"),"")</f>
        <v/>
      </c>
      <c r="K404" s="43">
        <f>IFERROR(BDP(TEXT(VALUE(Database!$A404),"0")&amp;" HK Equity","A/H_SHARE_CONVERSION"),"")</f>
        <v/>
      </c>
      <c r="L404" s="51">
        <f>IF(Database!BN404="","(none found)",Database!BN404)</f>
        <v/>
      </c>
      <c r="M404" s="53">
        <f>IFERROR(INDEX(BDH(TEXT(VALUE(Database!$A404),"0")&amp;" HK Equity","CUR_MKT_CAP",Database!$H404,Database!$H404),MATCH(Database!$H404,INDEX(BDH(TEXT(VALUE(Database!$A404),"0")&amp;" HK Equity","CUR_MKT_CAP",Database!$H404,Database!$H404),0,1),0),2),"run on terminal")</f>
        <v/>
      </c>
      <c r="N404" s="213">
        <f>Database!Q404</f>
        <v/>
      </c>
      <c r="O404" s="58">
        <f>IFERROR(INDEX(BDH(TEXT(VALUE(Database!$A404),"0")&amp;" HK Equity","PE_RATIO",Database!$H404,Database!$H404),MATCH(Database!$H404,INDEX(BDH(TEXT(VALUE(Database!$A404),"0")&amp;" HK Equity","PE_RATIO",Database!$H404,Database!$H404),0,1),0),2),"run on terminal")</f>
        <v/>
      </c>
      <c r="P404" s="251">
        <f>IF(Database!BH404="","(n/m or not derivable)",Database!BH404)</f>
        <v/>
      </c>
      <c r="Q404" s="58">
        <f>IF(Database!BN404="","",IFERROR(INDEX(BDH(LEFT(Database!BN404,FIND(".",Database!BN404)-1)&amp;" CH Equity","PE_RATIO",Database!$H404,Database!$H404),MATCH(Database!$H404,INDEX(BDH(LEFT(Database!BN404,FIND(".",Database!BN404)-1)&amp;" CH Equity","PE_RATIO",Database!$H404,Database!$H404),0,1),0),2),"run on terminal"))</f>
        <v/>
      </c>
      <c r="R404" s="58">
        <f>IF(Database!BN404="","",IFERROR(INDEX(BDH("HSAHP Index","PX_LAST",Database!$H404,Database!$H404),MATCH(Database!$H404,INDEX(BDH("HSAHP Index","PX_LAST",Database!$H404,Database!$H404),0,1),0),2),"run on terminal"))</f>
        <v/>
      </c>
      <c r="S404" s="58">
        <f>IFERROR(BDP(TEXT(VALUE(Database!$A404),"0")&amp;" HK Equity","PX_TO_SALES_RATIO"),"")</f>
        <v/>
      </c>
      <c r="T404" s="53">
        <f>IF(Database!BN404="","",IFERROR(BDP(LEFT(Database!BN404,FIND(".",Database!BN404)-1)&amp;" CH Equity","CUR_MKT_CAP")*BDP("CNYHKD Curncy","PX_LAST"),"run on terminal"))</f>
        <v/>
      </c>
    </row>
    <row r="405" ht="23" customHeight="1">
      <c r="A405" s="51">
        <f>Database!A405&amp;"  "&amp;Database!B405</f>
        <v/>
      </c>
      <c r="B405" s="43">
        <f>IFERROR(INDEX(BDS(TEXT(VALUE(Database!$A405),"0")&amp;" HK Equity","EQUITY_OFFERINGS","array=t","endcol=1"),MATCH("IPO",BDS(TEXT(VALUE(Database!$A405),"0")&amp;" HK Equity","EQUITY_OFFERINGS","array=t","startcol=2","endcol=2"),0)),"")</f>
        <v/>
      </c>
      <c r="C405" s="260">
        <f>IF($B405="","",IFERROR(BDP($B405&amp;" Action","CP036"),""))</f>
        <v/>
      </c>
      <c r="D405" s="261">
        <f>Database!S405</f>
        <v/>
      </c>
      <c r="E405" s="260">
        <f>IF($B405="","",IFERROR(BDP($B405&amp;" Action","CP037"),""))</f>
        <v/>
      </c>
      <c r="F405" s="261">
        <f>Database!T405</f>
        <v/>
      </c>
      <c r="G405" s="260">
        <f>IF($B405="","",IFERROR(BDP($B405&amp;" Action","GREENSHOE_FACILITY"),""))</f>
        <v/>
      </c>
      <c r="H405" s="260">
        <f>IF($B405="","",IFERROR(BDP($B405&amp;" Action","OFFERING_GREENSHOE_SHARES_EX"),""))</f>
        <v/>
      </c>
      <c r="I405" s="51">
        <f>Database!AE405</f>
        <v/>
      </c>
      <c r="J405" s="58">
        <f>IFERROR(BDP(TEXT(VALUE(Database!$A405),"0")&amp;" HK Equity","PE_RATIO"),"")</f>
        <v/>
      </c>
      <c r="K405" s="43">
        <f>IFERROR(BDP(TEXT(VALUE(Database!$A405),"0")&amp;" HK Equity","A/H_SHARE_CONVERSION"),"")</f>
        <v/>
      </c>
      <c r="L405" s="51">
        <f>IF(Database!BN405="","(none found)",Database!BN405)</f>
        <v/>
      </c>
      <c r="M405" s="53">
        <f>IFERROR(INDEX(BDH(TEXT(VALUE(Database!$A405),"0")&amp;" HK Equity","CUR_MKT_CAP",Database!$H405,Database!$H405),MATCH(Database!$H405,INDEX(BDH(TEXT(VALUE(Database!$A405),"0")&amp;" HK Equity","CUR_MKT_CAP",Database!$H405,Database!$H405),0,1),0),2),"run on terminal")</f>
        <v/>
      </c>
      <c r="N405" s="213">
        <f>Database!Q405</f>
        <v/>
      </c>
      <c r="O405" s="58">
        <f>IFERROR(INDEX(BDH(TEXT(VALUE(Database!$A405),"0")&amp;" HK Equity","PE_RATIO",Database!$H405,Database!$H405),MATCH(Database!$H405,INDEX(BDH(TEXT(VALUE(Database!$A405),"0")&amp;" HK Equity","PE_RATIO",Database!$H405,Database!$H405),0,1),0),2),"run on terminal")</f>
        <v/>
      </c>
      <c r="P405" s="251">
        <f>IF(Database!BH405="","(n/m or not derivable)",Database!BH405)</f>
        <v/>
      </c>
      <c r="Q405" s="58">
        <f>IF(Database!BN405="","",IFERROR(INDEX(BDH(LEFT(Database!BN405,FIND(".",Database!BN405)-1)&amp;" CH Equity","PE_RATIO",Database!$H405,Database!$H405),MATCH(Database!$H405,INDEX(BDH(LEFT(Database!BN405,FIND(".",Database!BN405)-1)&amp;" CH Equity","PE_RATIO",Database!$H405,Database!$H405),0,1),0),2),"run on terminal"))</f>
        <v/>
      </c>
      <c r="R405" s="58">
        <f>IF(Database!BN405="","",IFERROR(INDEX(BDH("HSAHP Index","PX_LAST",Database!$H405,Database!$H405),MATCH(Database!$H405,INDEX(BDH("HSAHP Index","PX_LAST",Database!$H405,Database!$H405),0,1),0),2),"run on terminal"))</f>
        <v/>
      </c>
      <c r="S405" s="58">
        <f>IFERROR(BDP(TEXT(VALUE(Database!$A405),"0")&amp;" HK Equity","PX_TO_SALES_RATIO"),"")</f>
        <v/>
      </c>
      <c r="T405" s="53">
        <f>IF(Database!BN405="","",IFERROR(BDP(LEFT(Database!BN405,FIND(".",Database!BN405)-1)&amp;" CH Equity","CUR_MKT_CAP")*BDP("CNYHKD Curncy","PX_LAST"),"run on terminal"))</f>
        <v/>
      </c>
    </row>
    <row r="406" ht="23" customHeight="1">
      <c r="A406" s="51">
        <f>Database!A406&amp;"  "&amp;Database!B406</f>
        <v/>
      </c>
      <c r="B406" s="43">
        <f>IFERROR(INDEX(BDS(TEXT(VALUE(Database!$A406),"0")&amp;" HK Equity","EQUITY_OFFERINGS","array=t","endcol=1"),MATCH("IPO",BDS(TEXT(VALUE(Database!$A406),"0")&amp;" HK Equity","EQUITY_OFFERINGS","array=t","startcol=2","endcol=2"),0)),"")</f>
        <v/>
      </c>
      <c r="C406" s="260">
        <f>IF($B406="","",IFERROR(BDP($B406&amp;" Action","CP036"),""))</f>
        <v/>
      </c>
      <c r="D406" s="261">
        <f>Database!S406</f>
        <v/>
      </c>
      <c r="E406" s="260">
        <f>IF($B406="","",IFERROR(BDP($B406&amp;" Action","CP037"),""))</f>
        <v/>
      </c>
      <c r="F406" s="261">
        <f>Database!T406</f>
        <v/>
      </c>
      <c r="G406" s="260">
        <f>IF($B406="","",IFERROR(BDP($B406&amp;" Action","GREENSHOE_FACILITY"),""))</f>
        <v/>
      </c>
      <c r="H406" s="260">
        <f>IF($B406="","",IFERROR(BDP($B406&amp;" Action","OFFERING_GREENSHOE_SHARES_EX"),""))</f>
        <v/>
      </c>
      <c r="I406" s="51">
        <f>Database!AE406</f>
        <v/>
      </c>
      <c r="J406" s="58">
        <f>IFERROR(BDP(TEXT(VALUE(Database!$A406),"0")&amp;" HK Equity","PE_RATIO"),"")</f>
        <v/>
      </c>
      <c r="K406" s="43">
        <f>IFERROR(BDP(TEXT(VALUE(Database!$A406),"0")&amp;" HK Equity","A/H_SHARE_CONVERSION"),"")</f>
        <v/>
      </c>
      <c r="L406" s="51">
        <f>IF(Database!BN406="","(none found)",Database!BN406)</f>
        <v/>
      </c>
      <c r="M406" s="53">
        <f>IFERROR(INDEX(BDH(TEXT(VALUE(Database!$A406),"0")&amp;" HK Equity","CUR_MKT_CAP",Database!$H406,Database!$H406),MATCH(Database!$H406,INDEX(BDH(TEXT(VALUE(Database!$A406),"0")&amp;" HK Equity","CUR_MKT_CAP",Database!$H406,Database!$H406),0,1),0),2),"run on terminal")</f>
        <v/>
      </c>
      <c r="N406" s="213">
        <f>Database!Q406</f>
        <v/>
      </c>
      <c r="O406" s="58">
        <f>IFERROR(INDEX(BDH(TEXT(VALUE(Database!$A406),"0")&amp;" HK Equity","PE_RATIO",Database!$H406,Database!$H406),MATCH(Database!$H406,INDEX(BDH(TEXT(VALUE(Database!$A406),"0")&amp;" HK Equity","PE_RATIO",Database!$H406,Database!$H406),0,1),0),2),"run on terminal")</f>
        <v/>
      </c>
      <c r="P406" s="251">
        <f>IF(Database!BH406="","(n/m or not derivable)",Database!BH406)</f>
        <v/>
      </c>
      <c r="Q406" s="58">
        <f>IF(Database!BN406="","",IFERROR(INDEX(BDH(LEFT(Database!BN406,FIND(".",Database!BN406)-1)&amp;" CH Equity","PE_RATIO",Database!$H406,Database!$H406),MATCH(Database!$H406,INDEX(BDH(LEFT(Database!BN406,FIND(".",Database!BN406)-1)&amp;" CH Equity","PE_RATIO",Database!$H406,Database!$H406),0,1),0),2),"run on terminal"))</f>
        <v/>
      </c>
      <c r="R406" s="58">
        <f>IF(Database!BN406="","",IFERROR(INDEX(BDH("HSAHP Index","PX_LAST",Database!$H406,Database!$H406),MATCH(Database!$H406,INDEX(BDH("HSAHP Index","PX_LAST",Database!$H406,Database!$H406),0,1),0),2),"run on terminal"))</f>
        <v/>
      </c>
      <c r="S406" s="58">
        <f>IFERROR(BDP(TEXT(VALUE(Database!$A406),"0")&amp;" HK Equity","PX_TO_SALES_RATIO"),"")</f>
        <v/>
      </c>
      <c r="T406" s="53">
        <f>IF(Database!BN406="","",IFERROR(BDP(LEFT(Database!BN406,FIND(".",Database!BN406)-1)&amp;" CH Equity","CUR_MKT_CAP")*BDP("CNYHKD Curncy","PX_LAST"),"run on terminal"))</f>
        <v/>
      </c>
    </row>
    <row r="407" ht="23" customHeight="1">
      <c r="A407" s="51">
        <f>Database!A407&amp;"  "&amp;Database!B407</f>
        <v/>
      </c>
      <c r="B407" s="43">
        <f>IFERROR(INDEX(BDS(TEXT(VALUE(Database!$A407),"0")&amp;" HK Equity","EQUITY_OFFERINGS","array=t","endcol=1"),MATCH("IPO",BDS(TEXT(VALUE(Database!$A407),"0")&amp;" HK Equity","EQUITY_OFFERINGS","array=t","startcol=2","endcol=2"),0)),"")</f>
        <v/>
      </c>
      <c r="C407" s="260">
        <f>IF($B407="","",IFERROR(BDP($B407&amp;" Action","CP036"),""))</f>
        <v/>
      </c>
      <c r="D407" s="261">
        <f>Database!S407</f>
        <v/>
      </c>
      <c r="E407" s="260">
        <f>IF($B407="","",IFERROR(BDP($B407&amp;" Action","CP037"),""))</f>
        <v/>
      </c>
      <c r="F407" s="261">
        <f>Database!T407</f>
        <v/>
      </c>
      <c r="G407" s="260">
        <f>IF($B407="","",IFERROR(BDP($B407&amp;" Action","GREENSHOE_FACILITY"),""))</f>
        <v/>
      </c>
      <c r="H407" s="260">
        <f>IF($B407="","",IFERROR(BDP($B407&amp;" Action","OFFERING_GREENSHOE_SHARES_EX"),""))</f>
        <v/>
      </c>
      <c r="I407" s="51">
        <f>Database!AE407</f>
        <v/>
      </c>
      <c r="J407" s="58">
        <f>IFERROR(BDP(TEXT(VALUE(Database!$A407),"0")&amp;" HK Equity","PE_RATIO"),"")</f>
        <v/>
      </c>
      <c r="K407" s="43">
        <f>IFERROR(BDP(TEXT(VALUE(Database!$A407),"0")&amp;" HK Equity","A/H_SHARE_CONVERSION"),"")</f>
        <v/>
      </c>
      <c r="L407" s="51">
        <f>IF(Database!BN407="","(none found)",Database!BN407)</f>
        <v/>
      </c>
      <c r="M407" s="53">
        <f>IFERROR(INDEX(BDH(TEXT(VALUE(Database!$A407),"0")&amp;" HK Equity","CUR_MKT_CAP",Database!$H407,Database!$H407),MATCH(Database!$H407,INDEX(BDH(TEXT(VALUE(Database!$A407),"0")&amp;" HK Equity","CUR_MKT_CAP",Database!$H407,Database!$H407),0,1),0),2),"run on terminal")</f>
        <v/>
      </c>
      <c r="N407" s="213">
        <f>Database!Q407</f>
        <v/>
      </c>
      <c r="O407" s="58">
        <f>IFERROR(INDEX(BDH(TEXT(VALUE(Database!$A407),"0")&amp;" HK Equity","PE_RATIO",Database!$H407,Database!$H407),MATCH(Database!$H407,INDEX(BDH(TEXT(VALUE(Database!$A407),"0")&amp;" HK Equity","PE_RATIO",Database!$H407,Database!$H407),0,1),0),2),"run on terminal")</f>
        <v/>
      </c>
      <c r="P407" s="251">
        <f>IF(Database!BH407="","(n/m or not derivable)",Database!BH407)</f>
        <v/>
      </c>
      <c r="Q407" s="58">
        <f>IF(Database!BN407="","",IFERROR(INDEX(BDH(LEFT(Database!BN407,FIND(".",Database!BN407)-1)&amp;" CH Equity","PE_RATIO",Database!$H407,Database!$H407),MATCH(Database!$H407,INDEX(BDH(LEFT(Database!BN407,FIND(".",Database!BN407)-1)&amp;" CH Equity","PE_RATIO",Database!$H407,Database!$H407),0,1),0),2),"run on terminal"))</f>
        <v/>
      </c>
      <c r="R407" s="58">
        <f>IF(Database!BN407="","",IFERROR(INDEX(BDH("HSAHP Index","PX_LAST",Database!$H407,Database!$H407),MATCH(Database!$H407,INDEX(BDH("HSAHP Index","PX_LAST",Database!$H407,Database!$H407),0,1),0),2),"run on terminal"))</f>
        <v/>
      </c>
      <c r="S407" s="58">
        <f>IFERROR(BDP(TEXT(VALUE(Database!$A407),"0")&amp;" HK Equity","PX_TO_SALES_RATIO"),"")</f>
        <v/>
      </c>
      <c r="T407" s="53">
        <f>IF(Database!BN407="","",IFERROR(BDP(LEFT(Database!BN407,FIND(".",Database!BN407)-1)&amp;" CH Equity","CUR_MKT_CAP")*BDP("CNYHKD Curncy","PX_LAST"),"run on terminal"))</f>
        <v/>
      </c>
    </row>
    <row r="408" ht="23" customHeight="1">
      <c r="A408" s="51">
        <f>Database!A408&amp;"  "&amp;Database!B408</f>
        <v/>
      </c>
      <c r="B408" s="43">
        <f>IFERROR(INDEX(BDS(TEXT(VALUE(Database!$A408),"0")&amp;" HK Equity","EQUITY_OFFERINGS","array=t","endcol=1"),MATCH("IPO",BDS(TEXT(VALUE(Database!$A408),"0")&amp;" HK Equity","EQUITY_OFFERINGS","array=t","startcol=2","endcol=2"),0)),"")</f>
        <v/>
      </c>
      <c r="C408" s="260">
        <f>IF($B408="","",IFERROR(BDP($B408&amp;" Action","CP036"),""))</f>
        <v/>
      </c>
      <c r="D408" s="261">
        <f>Database!S408</f>
        <v/>
      </c>
      <c r="E408" s="260">
        <f>IF($B408="","",IFERROR(BDP($B408&amp;" Action","CP037"),""))</f>
        <v/>
      </c>
      <c r="F408" s="261">
        <f>Database!T408</f>
        <v/>
      </c>
      <c r="G408" s="260">
        <f>IF($B408="","",IFERROR(BDP($B408&amp;" Action","GREENSHOE_FACILITY"),""))</f>
        <v/>
      </c>
      <c r="H408" s="260">
        <f>IF($B408="","",IFERROR(BDP($B408&amp;" Action","OFFERING_GREENSHOE_SHARES_EX"),""))</f>
        <v/>
      </c>
      <c r="I408" s="51">
        <f>Database!AE408</f>
        <v/>
      </c>
      <c r="J408" s="58">
        <f>IFERROR(BDP(TEXT(VALUE(Database!$A408),"0")&amp;" HK Equity","PE_RATIO"),"")</f>
        <v/>
      </c>
      <c r="K408" s="43">
        <f>IFERROR(BDP(TEXT(VALUE(Database!$A408),"0")&amp;" HK Equity","A/H_SHARE_CONVERSION"),"")</f>
        <v/>
      </c>
      <c r="L408" s="51">
        <f>IF(Database!BN408="","(none found)",Database!BN408)</f>
        <v/>
      </c>
      <c r="M408" s="53">
        <f>IFERROR(INDEX(BDH(TEXT(VALUE(Database!$A408),"0")&amp;" HK Equity","CUR_MKT_CAP",Database!$H408,Database!$H408),MATCH(Database!$H408,INDEX(BDH(TEXT(VALUE(Database!$A408),"0")&amp;" HK Equity","CUR_MKT_CAP",Database!$H408,Database!$H408),0,1),0),2),"run on terminal")</f>
        <v/>
      </c>
      <c r="N408" s="213">
        <f>Database!Q408</f>
        <v/>
      </c>
      <c r="O408" s="58">
        <f>IFERROR(INDEX(BDH(TEXT(VALUE(Database!$A408),"0")&amp;" HK Equity","PE_RATIO",Database!$H408,Database!$H408),MATCH(Database!$H408,INDEX(BDH(TEXT(VALUE(Database!$A408),"0")&amp;" HK Equity","PE_RATIO",Database!$H408,Database!$H408),0,1),0),2),"run on terminal")</f>
        <v/>
      </c>
      <c r="P408" s="251">
        <f>IF(Database!BH408="","(n/m or not derivable)",Database!BH408)</f>
        <v/>
      </c>
      <c r="Q408" s="58">
        <f>IF(Database!BN408="","",IFERROR(INDEX(BDH(LEFT(Database!BN408,FIND(".",Database!BN408)-1)&amp;" CH Equity","PE_RATIO",Database!$H408,Database!$H408),MATCH(Database!$H408,INDEX(BDH(LEFT(Database!BN408,FIND(".",Database!BN408)-1)&amp;" CH Equity","PE_RATIO",Database!$H408,Database!$H408),0,1),0),2),"run on terminal"))</f>
        <v/>
      </c>
      <c r="R408" s="58">
        <f>IF(Database!BN408="","",IFERROR(INDEX(BDH("HSAHP Index","PX_LAST",Database!$H408,Database!$H408),MATCH(Database!$H408,INDEX(BDH("HSAHP Index","PX_LAST",Database!$H408,Database!$H408),0,1),0),2),"run on terminal"))</f>
        <v/>
      </c>
      <c r="S408" s="58">
        <f>IFERROR(BDP(TEXT(VALUE(Database!$A408),"0")&amp;" HK Equity","PX_TO_SALES_RATIO"),"")</f>
        <v/>
      </c>
      <c r="T408" s="53">
        <f>IF(Database!BN408="","",IFERROR(BDP(LEFT(Database!BN408,FIND(".",Database!BN408)-1)&amp;" CH Equity","CUR_MKT_CAP")*BDP("CNYHKD Curncy","PX_LAST"),"run on terminal"))</f>
        <v/>
      </c>
    </row>
    <row r="409" ht="23" customHeight="1">
      <c r="A409" s="51">
        <f>Database!A409&amp;"  "&amp;Database!B409</f>
        <v/>
      </c>
      <c r="B409" s="43">
        <f>IFERROR(INDEX(BDS(TEXT(VALUE(Database!$A409),"0")&amp;" HK Equity","EQUITY_OFFERINGS","array=t","endcol=1"),MATCH("IPO",BDS(TEXT(VALUE(Database!$A409),"0")&amp;" HK Equity","EQUITY_OFFERINGS","array=t","startcol=2","endcol=2"),0)),"")</f>
        <v/>
      </c>
      <c r="C409" s="260">
        <f>IF($B409="","",IFERROR(BDP($B409&amp;" Action","CP036"),""))</f>
        <v/>
      </c>
      <c r="D409" s="261">
        <f>Database!S409</f>
        <v/>
      </c>
      <c r="E409" s="260">
        <f>IF($B409="","",IFERROR(BDP($B409&amp;" Action","CP037"),""))</f>
        <v/>
      </c>
      <c r="F409" s="261">
        <f>Database!T409</f>
        <v/>
      </c>
      <c r="G409" s="260">
        <f>IF($B409="","",IFERROR(BDP($B409&amp;" Action","GREENSHOE_FACILITY"),""))</f>
        <v/>
      </c>
      <c r="H409" s="260">
        <f>IF($B409="","",IFERROR(BDP($B409&amp;" Action","OFFERING_GREENSHOE_SHARES_EX"),""))</f>
        <v/>
      </c>
      <c r="I409" s="51">
        <f>Database!AE409</f>
        <v/>
      </c>
      <c r="J409" s="58">
        <f>IFERROR(BDP(TEXT(VALUE(Database!$A409),"0")&amp;" HK Equity","PE_RATIO"),"")</f>
        <v/>
      </c>
      <c r="K409" s="43">
        <f>IFERROR(BDP(TEXT(VALUE(Database!$A409),"0")&amp;" HK Equity","A/H_SHARE_CONVERSION"),"")</f>
        <v/>
      </c>
      <c r="L409" s="51">
        <f>IF(Database!BN409="","(none found)",Database!BN409)</f>
        <v/>
      </c>
      <c r="M409" s="53">
        <f>IFERROR(INDEX(BDH(TEXT(VALUE(Database!$A409),"0")&amp;" HK Equity","CUR_MKT_CAP",Database!$H409,Database!$H409),MATCH(Database!$H409,INDEX(BDH(TEXT(VALUE(Database!$A409),"0")&amp;" HK Equity","CUR_MKT_CAP",Database!$H409,Database!$H409),0,1),0),2),"run on terminal")</f>
        <v/>
      </c>
      <c r="N409" s="213">
        <f>Database!Q409</f>
        <v/>
      </c>
      <c r="O409" s="58">
        <f>IFERROR(INDEX(BDH(TEXT(VALUE(Database!$A409),"0")&amp;" HK Equity","PE_RATIO",Database!$H409,Database!$H409),MATCH(Database!$H409,INDEX(BDH(TEXT(VALUE(Database!$A409),"0")&amp;" HK Equity","PE_RATIO",Database!$H409,Database!$H409),0,1),0),2),"run on terminal")</f>
        <v/>
      </c>
      <c r="P409" s="251">
        <f>IF(Database!BH409="","(n/m or not derivable)",Database!BH409)</f>
        <v/>
      </c>
      <c r="Q409" s="58">
        <f>IF(Database!BN409="","",IFERROR(INDEX(BDH(LEFT(Database!BN409,FIND(".",Database!BN409)-1)&amp;" CH Equity","PE_RATIO",Database!$H409,Database!$H409),MATCH(Database!$H409,INDEX(BDH(LEFT(Database!BN409,FIND(".",Database!BN409)-1)&amp;" CH Equity","PE_RATIO",Database!$H409,Database!$H409),0,1),0),2),"run on terminal"))</f>
        <v/>
      </c>
      <c r="R409" s="58">
        <f>IF(Database!BN409="","",IFERROR(INDEX(BDH("HSAHP Index","PX_LAST",Database!$H409,Database!$H409),MATCH(Database!$H409,INDEX(BDH("HSAHP Index","PX_LAST",Database!$H409,Database!$H409),0,1),0),2),"run on terminal"))</f>
        <v/>
      </c>
      <c r="S409" s="58">
        <f>IFERROR(BDP(TEXT(VALUE(Database!$A409),"0")&amp;" HK Equity","PX_TO_SALES_RATIO"),"")</f>
        <v/>
      </c>
      <c r="T409" s="53">
        <f>IF(Database!BN409="","",IFERROR(BDP(LEFT(Database!BN409,FIND(".",Database!BN409)-1)&amp;" CH Equity","CUR_MKT_CAP")*BDP("CNYHKD Curncy","PX_LAST"),"run on terminal"))</f>
        <v/>
      </c>
    </row>
    <row r="410" ht="23" customHeight="1">
      <c r="A410" s="51">
        <f>Database!A410&amp;"  "&amp;Database!B410</f>
        <v/>
      </c>
      <c r="B410" s="43">
        <f>IFERROR(INDEX(BDS(TEXT(VALUE(Database!$A410),"0")&amp;" HK Equity","EQUITY_OFFERINGS","array=t","endcol=1"),MATCH("IPO",BDS(TEXT(VALUE(Database!$A410),"0")&amp;" HK Equity","EQUITY_OFFERINGS","array=t","startcol=2","endcol=2"),0)),"")</f>
        <v/>
      </c>
      <c r="C410" s="260">
        <f>IF($B410="","",IFERROR(BDP($B410&amp;" Action","CP036"),""))</f>
        <v/>
      </c>
      <c r="D410" s="261">
        <f>Database!S410</f>
        <v/>
      </c>
      <c r="E410" s="260">
        <f>IF($B410="","",IFERROR(BDP($B410&amp;" Action","CP037"),""))</f>
        <v/>
      </c>
      <c r="F410" s="261">
        <f>Database!T410</f>
        <v/>
      </c>
      <c r="G410" s="260">
        <f>IF($B410="","",IFERROR(BDP($B410&amp;" Action","GREENSHOE_FACILITY"),""))</f>
        <v/>
      </c>
      <c r="H410" s="260">
        <f>IF($B410="","",IFERROR(BDP($B410&amp;" Action","OFFERING_GREENSHOE_SHARES_EX"),""))</f>
        <v/>
      </c>
      <c r="I410" s="51">
        <f>Database!AE410</f>
        <v/>
      </c>
      <c r="J410" s="58">
        <f>IFERROR(BDP(TEXT(VALUE(Database!$A410),"0")&amp;" HK Equity","PE_RATIO"),"")</f>
        <v/>
      </c>
      <c r="K410" s="43">
        <f>IFERROR(BDP(TEXT(VALUE(Database!$A410),"0")&amp;" HK Equity","A/H_SHARE_CONVERSION"),"")</f>
        <v/>
      </c>
      <c r="L410" s="51">
        <f>IF(Database!BN410="","(none found)",Database!BN410)</f>
        <v/>
      </c>
      <c r="M410" s="53">
        <f>IFERROR(INDEX(BDH(TEXT(VALUE(Database!$A410),"0")&amp;" HK Equity","CUR_MKT_CAP",Database!$H410,Database!$H410),MATCH(Database!$H410,INDEX(BDH(TEXT(VALUE(Database!$A410),"0")&amp;" HK Equity","CUR_MKT_CAP",Database!$H410,Database!$H410),0,1),0),2),"run on terminal")</f>
        <v/>
      </c>
      <c r="N410" s="213">
        <f>Database!Q410</f>
        <v/>
      </c>
      <c r="O410" s="58">
        <f>IFERROR(INDEX(BDH(TEXT(VALUE(Database!$A410),"0")&amp;" HK Equity","PE_RATIO",Database!$H410,Database!$H410),MATCH(Database!$H410,INDEX(BDH(TEXT(VALUE(Database!$A410),"0")&amp;" HK Equity","PE_RATIO",Database!$H410,Database!$H410),0,1),0),2),"run on terminal")</f>
        <v/>
      </c>
      <c r="P410" s="251">
        <f>IF(Database!BH410="","(n/m or not derivable)",Database!BH410)</f>
        <v/>
      </c>
      <c r="Q410" s="58">
        <f>IF(Database!BN410="","",IFERROR(INDEX(BDH(LEFT(Database!BN410,FIND(".",Database!BN410)-1)&amp;" CH Equity","PE_RATIO",Database!$H410,Database!$H410),MATCH(Database!$H410,INDEX(BDH(LEFT(Database!BN410,FIND(".",Database!BN410)-1)&amp;" CH Equity","PE_RATIO",Database!$H410,Database!$H410),0,1),0),2),"run on terminal"))</f>
        <v/>
      </c>
      <c r="R410" s="58">
        <f>IF(Database!BN410="","",IFERROR(INDEX(BDH("HSAHP Index","PX_LAST",Database!$H410,Database!$H410),MATCH(Database!$H410,INDEX(BDH("HSAHP Index","PX_LAST",Database!$H410,Database!$H410),0,1),0),2),"run on terminal"))</f>
        <v/>
      </c>
      <c r="S410" s="58">
        <f>IFERROR(BDP(TEXT(VALUE(Database!$A410),"0")&amp;" HK Equity","PX_TO_SALES_RATIO"),"")</f>
        <v/>
      </c>
      <c r="T410" s="53">
        <f>IF(Database!BN410="","",IFERROR(BDP(LEFT(Database!BN410,FIND(".",Database!BN410)-1)&amp;" CH Equity","CUR_MKT_CAP")*BDP("CNYHKD Curncy","PX_LAST"),"run on terminal"))</f>
        <v/>
      </c>
    </row>
    <row r="411" ht="23" customHeight="1">
      <c r="A411" s="51">
        <f>Database!A411&amp;"  "&amp;Database!B411</f>
        <v/>
      </c>
      <c r="B411" s="43">
        <f>IFERROR(INDEX(BDS(TEXT(VALUE(Database!$A411),"0")&amp;" HK Equity","EQUITY_OFFERINGS","array=t","endcol=1"),MATCH("IPO",BDS(TEXT(VALUE(Database!$A411),"0")&amp;" HK Equity","EQUITY_OFFERINGS","array=t","startcol=2","endcol=2"),0)),"")</f>
        <v/>
      </c>
      <c r="C411" s="260">
        <f>IF($B411="","",IFERROR(BDP($B411&amp;" Action","CP036"),""))</f>
        <v/>
      </c>
      <c r="D411" s="261">
        <f>Database!S411</f>
        <v/>
      </c>
      <c r="E411" s="260">
        <f>IF($B411="","",IFERROR(BDP($B411&amp;" Action","CP037"),""))</f>
        <v/>
      </c>
      <c r="F411" s="261">
        <f>Database!T411</f>
        <v/>
      </c>
      <c r="G411" s="260">
        <f>IF($B411="","",IFERROR(BDP($B411&amp;" Action","GREENSHOE_FACILITY"),""))</f>
        <v/>
      </c>
      <c r="H411" s="260">
        <f>IF($B411="","",IFERROR(BDP($B411&amp;" Action","OFFERING_GREENSHOE_SHARES_EX"),""))</f>
        <v/>
      </c>
      <c r="I411" s="51">
        <f>Database!AE411</f>
        <v/>
      </c>
      <c r="J411" s="58">
        <f>IFERROR(BDP(TEXT(VALUE(Database!$A411),"0")&amp;" HK Equity","PE_RATIO"),"")</f>
        <v/>
      </c>
      <c r="K411" s="43">
        <f>IFERROR(BDP(TEXT(VALUE(Database!$A411),"0")&amp;" HK Equity","A/H_SHARE_CONVERSION"),"")</f>
        <v/>
      </c>
      <c r="L411" s="51">
        <f>IF(Database!BN411="","(none found)",Database!BN411)</f>
        <v/>
      </c>
      <c r="M411" s="53">
        <f>IFERROR(INDEX(BDH(TEXT(VALUE(Database!$A411),"0")&amp;" HK Equity","CUR_MKT_CAP",Database!$H411,Database!$H411),MATCH(Database!$H411,INDEX(BDH(TEXT(VALUE(Database!$A411),"0")&amp;" HK Equity","CUR_MKT_CAP",Database!$H411,Database!$H411),0,1),0),2),"run on terminal")</f>
        <v/>
      </c>
      <c r="N411" s="213">
        <f>Database!Q411</f>
        <v/>
      </c>
      <c r="O411" s="58">
        <f>IFERROR(INDEX(BDH(TEXT(VALUE(Database!$A411),"0")&amp;" HK Equity","PE_RATIO",Database!$H411,Database!$H411),MATCH(Database!$H411,INDEX(BDH(TEXT(VALUE(Database!$A411),"0")&amp;" HK Equity","PE_RATIO",Database!$H411,Database!$H411),0,1),0),2),"run on terminal")</f>
        <v/>
      </c>
      <c r="P411" s="251">
        <f>IF(Database!BH411="","(n/m or not derivable)",Database!BH411)</f>
        <v/>
      </c>
      <c r="Q411" s="58">
        <f>IF(Database!BN411="","",IFERROR(INDEX(BDH(LEFT(Database!BN411,FIND(".",Database!BN411)-1)&amp;" CH Equity","PE_RATIO",Database!$H411,Database!$H411),MATCH(Database!$H411,INDEX(BDH(LEFT(Database!BN411,FIND(".",Database!BN411)-1)&amp;" CH Equity","PE_RATIO",Database!$H411,Database!$H411),0,1),0),2),"run on terminal"))</f>
        <v/>
      </c>
      <c r="R411" s="58">
        <f>IF(Database!BN411="","",IFERROR(INDEX(BDH("HSAHP Index","PX_LAST",Database!$H411,Database!$H411),MATCH(Database!$H411,INDEX(BDH("HSAHP Index","PX_LAST",Database!$H411,Database!$H411),0,1),0),2),"run on terminal"))</f>
        <v/>
      </c>
      <c r="S411" s="58">
        <f>IFERROR(BDP(TEXT(VALUE(Database!$A411),"0")&amp;" HK Equity","PX_TO_SALES_RATIO"),"")</f>
        <v/>
      </c>
      <c r="T411" s="53">
        <f>IF(Database!BN411="","",IFERROR(BDP(LEFT(Database!BN411,FIND(".",Database!BN411)-1)&amp;" CH Equity","CUR_MKT_CAP")*BDP("CNYHKD Curncy","PX_LAST"),"run on terminal"))</f>
        <v/>
      </c>
    </row>
    <row r="412" ht="23" customHeight="1">
      <c r="A412" s="51">
        <f>Database!A412&amp;"  "&amp;Database!B412</f>
        <v/>
      </c>
      <c r="B412" s="43">
        <f>IFERROR(INDEX(BDS(TEXT(VALUE(Database!$A412),"0")&amp;" HK Equity","EQUITY_OFFERINGS","array=t","endcol=1"),MATCH("IPO",BDS(TEXT(VALUE(Database!$A412),"0")&amp;" HK Equity","EQUITY_OFFERINGS","array=t","startcol=2","endcol=2"),0)),"")</f>
        <v/>
      </c>
      <c r="C412" s="260">
        <f>IF($B412="","",IFERROR(BDP($B412&amp;" Action","CP036"),""))</f>
        <v/>
      </c>
      <c r="D412" s="261">
        <f>Database!S412</f>
        <v/>
      </c>
      <c r="E412" s="260">
        <f>IF($B412="","",IFERROR(BDP($B412&amp;" Action","CP037"),""))</f>
        <v/>
      </c>
      <c r="F412" s="261">
        <f>Database!T412</f>
        <v/>
      </c>
      <c r="G412" s="260">
        <f>IF($B412="","",IFERROR(BDP($B412&amp;" Action","GREENSHOE_FACILITY"),""))</f>
        <v/>
      </c>
      <c r="H412" s="260">
        <f>IF($B412="","",IFERROR(BDP($B412&amp;" Action","OFFERING_GREENSHOE_SHARES_EX"),""))</f>
        <v/>
      </c>
      <c r="I412" s="51">
        <f>Database!AE412</f>
        <v/>
      </c>
      <c r="J412" s="58">
        <f>IFERROR(BDP(TEXT(VALUE(Database!$A412),"0")&amp;" HK Equity","PE_RATIO"),"")</f>
        <v/>
      </c>
      <c r="K412" s="43">
        <f>IFERROR(BDP(TEXT(VALUE(Database!$A412),"0")&amp;" HK Equity","A/H_SHARE_CONVERSION"),"")</f>
        <v/>
      </c>
      <c r="L412" s="51">
        <f>IF(Database!BN412="","(none found)",Database!BN412)</f>
        <v/>
      </c>
      <c r="M412" s="53">
        <f>IFERROR(INDEX(BDH(TEXT(VALUE(Database!$A412),"0")&amp;" HK Equity","CUR_MKT_CAP",Database!$H412,Database!$H412),MATCH(Database!$H412,INDEX(BDH(TEXT(VALUE(Database!$A412),"0")&amp;" HK Equity","CUR_MKT_CAP",Database!$H412,Database!$H412),0,1),0),2),"run on terminal")</f>
        <v/>
      </c>
      <c r="N412" s="213">
        <f>Database!Q412</f>
        <v/>
      </c>
      <c r="O412" s="58">
        <f>IFERROR(INDEX(BDH(TEXT(VALUE(Database!$A412),"0")&amp;" HK Equity","PE_RATIO",Database!$H412,Database!$H412),MATCH(Database!$H412,INDEX(BDH(TEXT(VALUE(Database!$A412),"0")&amp;" HK Equity","PE_RATIO",Database!$H412,Database!$H412),0,1),0),2),"run on terminal")</f>
        <v/>
      </c>
      <c r="P412" s="251">
        <f>IF(Database!BH412="","(n/m or not derivable)",Database!BH412)</f>
        <v/>
      </c>
      <c r="Q412" s="58">
        <f>IF(Database!BN412="","",IFERROR(INDEX(BDH(LEFT(Database!BN412,FIND(".",Database!BN412)-1)&amp;" CH Equity","PE_RATIO",Database!$H412,Database!$H412),MATCH(Database!$H412,INDEX(BDH(LEFT(Database!BN412,FIND(".",Database!BN412)-1)&amp;" CH Equity","PE_RATIO",Database!$H412,Database!$H412),0,1),0),2),"run on terminal"))</f>
        <v/>
      </c>
      <c r="R412" s="58">
        <f>IF(Database!BN412="","",IFERROR(INDEX(BDH("HSAHP Index","PX_LAST",Database!$H412,Database!$H412),MATCH(Database!$H412,INDEX(BDH("HSAHP Index","PX_LAST",Database!$H412,Database!$H412),0,1),0),2),"run on terminal"))</f>
        <v/>
      </c>
      <c r="S412" s="58">
        <f>IFERROR(BDP(TEXT(VALUE(Database!$A412),"0")&amp;" HK Equity","PX_TO_SALES_RATIO"),"")</f>
        <v/>
      </c>
      <c r="T412" s="53">
        <f>IF(Database!BN412="","",IFERROR(BDP(LEFT(Database!BN412,FIND(".",Database!BN412)-1)&amp;" CH Equity","CUR_MKT_CAP")*BDP("CNYHKD Curncy","PX_LAST"),"run on terminal"))</f>
        <v/>
      </c>
    </row>
    <row r="413" ht="23" customHeight="1">
      <c r="A413" s="51">
        <f>Database!A413&amp;"  "&amp;Database!B413</f>
        <v/>
      </c>
      <c r="B413" s="43">
        <f>IFERROR(INDEX(BDS(TEXT(VALUE(Database!$A413),"0")&amp;" HK Equity","EQUITY_OFFERINGS","array=t","endcol=1"),MATCH("IPO",BDS(TEXT(VALUE(Database!$A413),"0")&amp;" HK Equity","EQUITY_OFFERINGS","array=t","startcol=2","endcol=2"),0)),"")</f>
        <v/>
      </c>
      <c r="C413" s="260">
        <f>IF($B413="","",IFERROR(BDP($B413&amp;" Action","CP036"),""))</f>
        <v/>
      </c>
      <c r="D413" s="261">
        <f>Database!S413</f>
        <v/>
      </c>
      <c r="E413" s="260">
        <f>IF($B413="","",IFERROR(BDP($B413&amp;" Action","CP037"),""))</f>
        <v/>
      </c>
      <c r="F413" s="261">
        <f>Database!T413</f>
        <v/>
      </c>
      <c r="G413" s="260">
        <f>IF($B413="","",IFERROR(BDP($B413&amp;" Action","GREENSHOE_FACILITY"),""))</f>
        <v/>
      </c>
      <c r="H413" s="260">
        <f>IF($B413="","",IFERROR(BDP($B413&amp;" Action","OFFERING_GREENSHOE_SHARES_EX"),""))</f>
        <v/>
      </c>
      <c r="I413" s="51">
        <f>Database!AE413</f>
        <v/>
      </c>
      <c r="J413" s="58">
        <f>IFERROR(BDP(TEXT(VALUE(Database!$A413),"0")&amp;" HK Equity","PE_RATIO"),"")</f>
        <v/>
      </c>
      <c r="K413" s="43">
        <f>IFERROR(BDP(TEXT(VALUE(Database!$A413),"0")&amp;" HK Equity","A/H_SHARE_CONVERSION"),"")</f>
        <v/>
      </c>
      <c r="L413" s="51">
        <f>IF(Database!BN413="","(none found)",Database!BN413)</f>
        <v/>
      </c>
      <c r="M413" s="53">
        <f>IFERROR(INDEX(BDH(TEXT(VALUE(Database!$A413),"0")&amp;" HK Equity","CUR_MKT_CAP",Database!$H413,Database!$H413),MATCH(Database!$H413,INDEX(BDH(TEXT(VALUE(Database!$A413),"0")&amp;" HK Equity","CUR_MKT_CAP",Database!$H413,Database!$H413),0,1),0),2),"run on terminal")</f>
        <v/>
      </c>
      <c r="N413" s="213">
        <f>Database!Q413</f>
        <v/>
      </c>
      <c r="O413" s="58">
        <f>IFERROR(INDEX(BDH(TEXT(VALUE(Database!$A413),"0")&amp;" HK Equity","PE_RATIO",Database!$H413,Database!$H413),MATCH(Database!$H413,INDEX(BDH(TEXT(VALUE(Database!$A413),"0")&amp;" HK Equity","PE_RATIO",Database!$H413,Database!$H413),0,1),0),2),"run on terminal")</f>
        <v/>
      </c>
      <c r="P413" s="251">
        <f>IF(Database!BH413="","(n/m or not derivable)",Database!BH413)</f>
        <v/>
      </c>
      <c r="Q413" s="58">
        <f>IF(Database!BN413="","",IFERROR(INDEX(BDH(LEFT(Database!BN413,FIND(".",Database!BN413)-1)&amp;" CH Equity","PE_RATIO",Database!$H413,Database!$H413),MATCH(Database!$H413,INDEX(BDH(LEFT(Database!BN413,FIND(".",Database!BN413)-1)&amp;" CH Equity","PE_RATIO",Database!$H413,Database!$H413),0,1),0),2),"run on terminal"))</f>
        <v/>
      </c>
      <c r="R413" s="58">
        <f>IF(Database!BN413="","",IFERROR(INDEX(BDH("HSAHP Index","PX_LAST",Database!$H413,Database!$H413),MATCH(Database!$H413,INDEX(BDH("HSAHP Index","PX_LAST",Database!$H413,Database!$H413),0,1),0),2),"run on terminal"))</f>
        <v/>
      </c>
      <c r="S413" s="58">
        <f>IFERROR(BDP(TEXT(VALUE(Database!$A413),"0")&amp;" HK Equity","PX_TO_SALES_RATIO"),"")</f>
        <v/>
      </c>
      <c r="T413" s="53">
        <f>IF(Database!BN413="","",IFERROR(BDP(LEFT(Database!BN413,FIND(".",Database!BN413)-1)&amp;" CH Equity","CUR_MKT_CAP")*BDP("CNYHKD Curncy","PX_LAST"),"run on terminal"))</f>
        <v/>
      </c>
    </row>
    <row r="414" ht="23" customHeight="1">
      <c r="A414" s="51">
        <f>Database!A414&amp;"  "&amp;Database!B414</f>
        <v/>
      </c>
      <c r="B414" s="43">
        <f>IFERROR(INDEX(BDS(TEXT(VALUE(Database!$A414),"0")&amp;" HK Equity","EQUITY_OFFERINGS","array=t","endcol=1"),MATCH("IPO",BDS(TEXT(VALUE(Database!$A414),"0")&amp;" HK Equity","EQUITY_OFFERINGS","array=t","startcol=2","endcol=2"),0)),"")</f>
        <v/>
      </c>
      <c r="C414" s="260">
        <f>IF($B414="","",IFERROR(BDP($B414&amp;" Action","CP036"),""))</f>
        <v/>
      </c>
      <c r="D414" s="261">
        <f>Database!S414</f>
        <v/>
      </c>
      <c r="E414" s="260">
        <f>IF($B414="","",IFERROR(BDP($B414&amp;" Action","CP037"),""))</f>
        <v/>
      </c>
      <c r="F414" s="261">
        <f>Database!T414</f>
        <v/>
      </c>
      <c r="G414" s="260">
        <f>IF($B414="","",IFERROR(BDP($B414&amp;" Action","GREENSHOE_FACILITY"),""))</f>
        <v/>
      </c>
      <c r="H414" s="260">
        <f>IF($B414="","",IFERROR(BDP($B414&amp;" Action","OFFERING_GREENSHOE_SHARES_EX"),""))</f>
        <v/>
      </c>
      <c r="I414" s="51">
        <f>Database!AE414</f>
        <v/>
      </c>
      <c r="J414" s="58">
        <f>IFERROR(BDP(TEXT(VALUE(Database!$A414),"0")&amp;" HK Equity","PE_RATIO"),"")</f>
        <v/>
      </c>
      <c r="K414" s="43">
        <f>IFERROR(BDP(TEXT(VALUE(Database!$A414),"0")&amp;" HK Equity","A/H_SHARE_CONVERSION"),"")</f>
        <v/>
      </c>
      <c r="L414" s="51">
        <f>IF(Database!BN414="","(none found)",Database!BN414)</f>
        <v/>
      </c>
      <c r="M414" s="53">
        <f>IFERROR(INDEX(BDH(TEXT(VALUE(Database!$A414),"0")&amp;" HK Equity","CUR_MKT_CAP",Database!$H414,Database!$H414),MATCH(Database!$H414,INDEX(BDH(TEXT(VALUE(Database!$A414),"0")&amp;" HK Equity","CUR_MKT_CAP",Database!$H414,Database!$H414),0,1),0),2),"run on terminal")</f>
        <v/>
      </c>
      <c r="N414" s="213">
        <f>Database!Q414</f>
        <v/>
      </c>
      <c r="O414" s="58">
        <f>IFERROR(INDEX(BDH(TEXT(VALUE(Database!$A414),"0")&amp;" HK Equity","PE_RATIO",Database!$H414,Database!$H414),MATCH(Database!$H414,INDEX(BDH(TEXT(VALUE(Database!$A414),"0")&amp;" HK Equity","PE_RATIO",Database!$H414,Database!$H414),0,1),0),2),"run on terminal")</f>
        <v/>
      </c>
      <c r="P414" s="251">
        <f>IF(Database!BH414="","(n/m or not derivable)",Database!BH414)</f>
        <v/>
      </c>
      <c r="Q414" s="58">
        <f>IF(Database!BN414="","",IFERROR(INDEX(BDH(LEFT(Database!BN414,FIND(".",Database!BN414)-1)&amp;" CH Equity","PE_RATIO",Database!$H414,Database!$H414),MATCH(Database!$H414,INDEX(BDH(LEFT(Database!BN414,FIND(".",Database!BN414)-1)&amp;" CH Equity","PE_RATIO",Database!$H414,Database!$H414),0,1),0),2),"run on terminal"))</f>
        <v/>
      </c>
      <c r="R414" s="58">
        <f>IF(Database!BN414="","",IFERROR(INDEX(BDH("HSAHP Index","PX_LAST",Database!$H414,Database!$H414),MATCH(Database!$H414,INDEX(BDH("HSAHP Index","PX_LAST",Database!$H414,Database!$H414),0,1),0),2),"run on terminal"))</f>
        <v/>
      </c>
      <c r="S414" s="58">
        <f>IFERROR(BDP(TEXT(VALUE(Database!$A414),"0")&amp;" HK Equity","PX_TO_SALES_RATIO"),"")</f>
        <v/>
      </c>
      <c r="T414" s="53">
        <f>IF(Database!BN414="","",IFERROR(BDP(LEFT(Database!BN414,FIND(".",Database!BN414)-1)&amp;" CH Equity","CUR_MKT_CAP")*BDP("CNYHKD Curncy","PX_LAST"),"run on terminal"))</f>
        <v/>
      </c>
    </row>
    <row r="415" ht="23" customHeight="1">
      <c r="A415" s="51">
        <f>Database!A415&amp;"  "&amp;Database!B415</f>
        <v/>
      </c>
      <c r="B415" s="43">
        <f>IFERROR(INDEX(BDS(TEXT(VALUE(Database!$A415),"0")&amp;" HK Equity","EQUITY_OFFERINGS","array=t","endcol=1"),MATCH("IPO",BDS(TEXT(VALUE(Database!$A415),"0")&amp;" HK Equity","EQUITY_OFFERINGS","array=t","startcol=2","endcol=2"),0)),"")</f>
        <v/>
      </c>
      <c r="C415" s="260">
        <f>IF($B415="","",IFERROR(BDP($B415&amp;" Action","CP036"),""))</f>
        <v/>
      </c>
      <c r="D415" s="261">
        <f>Database!S415</f>
        <v/>
      </c>
      <c r="E415" s="260">
        <f>IF($B415="","",IFERROR(BDP($B415&amp;" Action","CP037"),""))</f>
        <v/>
      </c>
      <c r="F415" s="261">
        <f>Database!T415</f>
        <v/>
      </c>
      <c r="G415" s="260">
        <f>IF($B415="","",IFERROR(BDP($B415&amp;" Action","GREENSHOE_FACILITY"),""))</f>
        <v/>
      </c>
      <c r="H415" s="260">
        <f>IF($B415="","",IFERROR(BDP($B415&amp;" Action","OFFERING_GREENSHOE_SHARES_EX"),""))</f>
        <v/>
      </c>
      <c r="I415" s="51">
        <f>Database!AE415</f>
        <v/>
      </c>
      <c r="J415" s="58">
        <f>IFERROR(BDP(TEXT(VALUE(Database!$A415),"0")&amp;" HK Equity","PE_RATIO"),"")</f>
        <v/>
      </c>
      <c r="K415" s="43">
        <f>IFERROR(BDP(TEXT(VALUE(Database!$A415),"0")&amp;" HK Equity","A/H_SHARE_CONVERSION"),"")</f>
        <v/>
      </c>
      <c r="L415" s="51">
        <f>IF(Database!BN415="","(none found)",Database!BN415)</f>
        <v/>
      </c>
      <c r="M415" s="53">
        <f>IFERROR(INDEX(BDH(TEXT(VALUE(Database!$A415),"0")&amp;" HK Equity","CUR_MKT_CAP",Database!$H415,Database!$H415),MATCH(Database!$H415,INDEX(BDH(TEXT(VALUE(Database!$A415),"0")&amp;" HK Equity","CUR_MKT_CAP",Database!$H415,Database!$H415),0,1),0),2),"run on terminal")</f>
        <v/>
      </c>
      <c r="N415" s="213">
        <f>Database!Q415</f>
        <v/>
      </c>
      <c r="O415" s="58">
        <f>IFERROR(INDEX(BDH(TEXT(VALUE(Database!$A415),"0")&amp;" HK Equity","PE_RATIO",Database!$H415,Database!$H415),MATCH(Database!$H415,INDEX(BDH(TEXT(VALUE(Database!$A415),"0")&amp;" HK Equity","PE_RATIO",Database!$H415,Database!$H415),0,1),0),2),"run on terminal")</f>
        <v/>
      </c>
      <c r="P415" s="251">
        <f>IF(Database!BH415="","(n/m or not derivable)",Database!BH415)</f>
        <v/>
      </c>
      <c r="Q415" s="58">
        <f>IF(Database!BN415="","",IFERROR(INDEX(BDH(LEFT(Database!BN415,FIND(".",Database!BN415)-1)&amp;" CH Equity","PE_RATIO",Database!$H415,Database!$H415),MATCH(Database!$H415,INDEX(BDH(LEFT(Database!BN415,FIND(".",Database!BN415)-1)&amp;" CH Equity","PE_RATIO",Database!$H415,Database!$H415),0,1),0),2),"run on terminal"))</f>
        <v/>
      </c>
      <c r="R415" s="58">
        <f>IF(Database!BN415="","",IFERROR(INDEX(BDH("HSAHP Index","PX_LAST",Database!$H415,Database!$H415),MATCH(Database!$H415,INDEX(BDH("HSAHP Index","PX_LAST",Database!$H415,Database!$H415),0,1),0),2),"run on terminal"))</f>
        <v/>
      </c>
      <c r="S415" s="58">
        <f>IFERROR(BDP(TEXT(VALUE(Database!$A415),"0")&amp;" HK Equity","PX_TO_SALES_RATIO"),"")</f>
        <v/>
      </c>
      <c r="T415" s="53">
        <f>IF(Database!BN415="","",IFERROR(BDP(LEFT(Database!BN415,FIND(".",Database!BN415)-1)&amp;" CH Equity","CUR_MKT_CAP")*BDP("CNYHKD Curncy","PX_LAST"),"run on terminal"))</f>
        <v/>
      </c>
    </row>
    <row r="416" ht="23" customHeight="1">
      <c r="A416" s="51">
        <f>Database!A416&amp;"  "&amp;Database!B416</f>
        <v/>
      </c>
      <c r="B416" s="43">
        <f>IFERROR(INDEX(BDS(TEXT(VALUE(Database!$A416),"0")&amp;" HK Equity","EQUITY_OFFERINGS","array=t","endcol=1"),MATCH("IPO",BDS(TEXT(VALUE(Database!$A416),"0")&amp;" HK Equity","EQUITY_OFFERINGS","array=t","startcol=2","endcol=2"),0)),"")</f>
        <v/>
      </c>
      <c r="C416" s="260">
        <f>IF($B416="","",IFERROR(BDP($B416&amp;" Action","CP036"),""))</f>
        <v/>
      </c>
      <c r="D416" s="261">
        <f>Database!S416</f>
        <v/>
      </c>
      <c r="E416" s="260">
        <f>IF($B416="","",IFERROR(BDP($B416&amp;" Action","CP037"),""))</f>
        <v/>
      </c>
      <c r="F416" s="261">
        <f>Database!T416</f>
        <v/>
      </c>
      <c r="G416" s="260">
        <f>IF($B416="","",IFERROR(BDP($B416&amp;" Action","GREENSHOE_FACILITY"),""))</f>
        <v/>
      </c>
      <c r="H416" s="260">
        <f>IF($B416="","",IFERROR(BDP($B416&amp;" Action","OFFERING_GREENSHOE_SHARES_EX"),""))</f>
        <v/>
      </c>
      <c r="I416" s="51">
        <f>Database!AE416</f>
        <v/>
      </c>
      <c r="J416" s="58">
        <f>IFERROR(BDP(TEXT(VALUE(Database!$A416),"0")&amp;" HK Equity","PE_RATIO"),"")</f>
        <v/>
      </c>
      <c r="K416" s="43">
        <f>IFERROR(BDP(TEXT(VALUE(Database!$A416),"0")&amp;" HK Equity","A/H_SHARE_CONVERSION"),"")</f>
        <v/>
      </c>
      <c r="L416" s="51">
        <f>IF(Database!BN416="","(none found)",Database!BN416)</f>
        <v/>
      </c>
      <c r="M416" s="53">
        <f>IFERROR(INDEX(BDH(TEXT(VALUE(Database!$A416),"0")&amp;" HK Equity","CUR_MKT_CAP",Database!$H416,Database!$H416),MATCH(Database!$H416,INDEX(BDH(TEXT(VALUE(Database!$A416),"0")&amp;" HK Equity","CUR_MKT_CAP",Database!$H416,Database!$H416),0,1),0),2),"run on terminal")</f>
        <v/>
      </c>
      <c r="N416" s="213">
        <f>Database!Q416</f>
        <v/>
      </c>
      <c r="O416" s="58">
        <f>IFERROR(INDEX(BDH(TEXT(VALUE(Database!$A416),"0")&amp;" HK Equity","PE_RATIO",Database!$H416,Database!$H416),MATCH(Database!$H416,INDEX(BDH(TEXT(VALUE(Database!$A416),"0")&amp;" HK Equity","PE_RATIO",Database!$H416,Database!$H416),0,1),0),2),"run on terminal")</f>
        <v/>
      </c>
      <c r="P416" s="251">
        <f>IF(Database!BH416="","(n/m or not derivable)",Database!BH416)</f>
        <v/>
      </c>
      <c r="Q416" s="58">
        <f>IF(Database!BN416="","",IFERROR(INDEX(BDH(LEFT(Database!BN416,FIND(".",Database!BN416)-1)&amp;" CH Equity","PE_RATIO",Database!$H416,Database!$H416),MATCH(Database!$H416,INDEX(BDH(LEFT(Database!BN416,FIND(".",Database!BN416)-1)&amp;" CH Equity","PE_RATIO",Database!$H416,Database!$H416),0,1),0),2),"run on terminal"))</f>
        <v/>
      </c>
      <c r="R416" s="58">
        <f>IF(Database!BN416="","",IFERROR(INDEX(BDH("HSAHP Index","PX_LAST",Database!$H416,Database!$H416),MATCH(Database!$H416,INDEX(BDH("HSAHP Index","PX_LAST",Database!$H416,Database!$H416),0,1),0),2),"run on terminal"))</f>
        <v/>
      </c>
      <c r="S416" s="58">
        <f>IFERROR(BDP(TEXT(VALUE(Database!$A416),"0")&amp;" HK Equity","PX_TO_SALES_RATIO"),"")</f>
        <v/>
      </c>
      <c r="T416" s="53">
        <f>IF(Database!BN416="","",IFERROR(BDP(LEFT(Database!BN416,FIND(".",Database!BN416)-1)&amp;" CH Equity","CUR_MKT_CAP")*BDP("CNYHKD Curncy","PX_LAST"),"run on terminal"))</f>
        <v/>
      </c>
    </row>
    <row r="417" ht="23" customHeight="1">
      <c r="A417" s="51">
        <f>Database!A417&amp;"  "&amp;Database!B417</f>
        <v/>
      </c>
      <c r="B417" s="43">
        <f>IFERROR(INDEX(BDS(TEXT(VALUE(Database!$A417),"0")&amp;" HK Equity","EQUITY_OFFERINGS","array=t","endcol=1"),MATCH("IPO",BDS(TEXT(VALUE(Database!$A417),"0")&amp;" HK Equity","EQUITY_OFFERINGS","array=t","startcol=2","endcol=2"),0)),"")</f>
        <v/>
      </c>
      <c r="C417" s="260">
        <f>IF($B417="","",IFERROR(BDP($B417&amp;" Action","CP036"),""))</f>
        <v/>
      </c>
      <c r="D417" s="261">
        <f>Database!S417</f>
        <v/>
      </c>
      <c r="E417" s="260">
        <f>IF($B417="","",IFERROR(BDP($B417&amp;" Action","CP037"),""))</f>
        <v/>
      </c>
      <c r="F417" s="261">
        <f>Database!T417</f>
        <v/>
      </c>
      <c r="G417" s="260">
        <f>IF($B417="","",IFERROR(BDP($B417&amp;" Action","GREENSHOE_FACILITY"),""))</f>
        <v/>
      </c>
      <c r="H417" s="260">
        <f>IF($B417="","",IFERROR(BDP($B417&amp;" Action","OFFERING_GREENSHOE_SHARES_EX"),""))</f>
        <v/>
      </c>
      <c r="I417" s="51">
        <f>Database!AE417</f>
        <v/>
      </c>
      <c r="J417" s="58">
        <f>IFERROR(BDP(TEXT(VALUE(Database!$A417),"0")&amp;" HK Equity","PE_RATIO"),"")</f>
        <v/>
      </c>
      <c r="K417" s="43">
        <f>IFERROR(BDP(TEXT(VALUE(Database!$A417),"0")&amp;" HK Equity","A/H_SHARE_CONVERSION"),"")</f>
        <v/>
      </c>
      <c r="L417" s="51">
        <f>IF(Database!BN417="","(none found)",Database!BN417)</f>
        <v/>
      </c>
      <c r="M417" s="53">
        <f>IFERROR(INDEX(BDH(TEXT(VALUE(Database!$A417),"0")&amp;" HK Equity","CUR_MKT_CAP",Database!$H417,Database!$H417),MATCH(Database!$H417,INDEX(BDH(TEXT(VALUE(Database!$A417),"0")&amp;" HK Equity","CUR_MKT_CAP",Database!$H417,Database!$H417),0,1),0),2),"run on terminal")</f>
        <v/>
      </c>
      <c r="N417" s="213">
        <f>Database!Q417</f>
        <v/>
      </c>
      <c r="O417" s="58">
        <f>IFERROR(INDEX(BDH(TEXT(VALUE(Database!$A417),"0")&amp;" HK Equity","PE_RATIO",Database!$H417,Database!$H417),MATCH(Database!$H417,INDEX(BDH(TEXT(VALUE(Database!$A417),"0")&amp;" HK Equity","PE_RATIO",Database!$H417,Database!$H417),0,1),0),2),"run on terminal")</f>
        <v/>
      </c>
      <c r="P417" s="251">
        <f>IF(Database!BH417="","(n/m or not derivable)",Database!BH417)</f>
        <v/>
      </c>
      <c r="Q417" s="58">
        <f>IF(Database!BN417="","",IFERROR(INDEX(BDH(LEFT(Database!BN417,FIND(".",Database!BN417)-1)&amp;" CH Equity","PE_RATIO",Database!$H417,Database!$H417),MATCH(Database!$H417,INDEX(BDH(LEFT(Database!BN417,FIND(".",Database!BN417)-1)&amp;" CH Equity","PE_RATIO",Database!$H417,Database!$H417),0,1),0),2),"run on terminal"))</f>
        <v/>
      </c>
      <c r="R417" s="58">
        <f>IF(Database!BN417="","",IFERROR(INDEX(BDH("HSAHP Index","PX_LAST",Database!$H417,Database!$H417),MATCH(Database!$H417,INDEX(BDH("HSAHP Index","PX_LAST",Database!$H417,Database!$H417),0,1),0),2),"run on terminal"))</f>
        <v/>
      </c>
      <c r="S417" s="58">
        <f>IFERROR(BDP(TEXT(VALUE(Database!$A417),"0")&amp;" HK Equity","PX_TO_SALES_RATIO"),"")</f>
        <v/>
      </c>
      <c r="T417" s="53">
        <f>IF(Database!BN417="","",IFERROR(BDP(LEFT(Database!BN417,FIND(".",Database!BN417)-1)&amp;" CH Equity","CUR_MKT_CAP")*BDP("CNYHKD Curncy","PX_LAST"),"run on terminal"))</f>
        <v/>
      </c>
    </row>
    <row r="418" ht="23" customHeight="1">
      <c r="A418" s="51">
        <f>Database!A418&amp;"  "&amp;Database!B418</f>
        <v/>
      </c>
      <c r="B418" s="43">
        <f>IFERROR(INDEX(BDS(TEXT(VALUE(Database!$A418),"0")&amp;" HK Equity","EQUITY_OFFERINGS","array=t","endcol=1"),MATCH("IPO",BDS(TEXT(VALUE(Database!$A418),"0")&amp;" HK Equity","EQUITY_OFFERINGS","array=t","startcol=2","endcol=2"),0)),"")</f>
        <v/>
      </c>
      <c r="C418" s="260">
        <f>IF($B418="","",IFERROR(BDP($B418&amp;" Action","CP036"),""))</f>
        <v/>
      </c>
      <c r="D418" s="261">
        <f>Database!S418</f>
        <v/>
      </c>
      <c r="E418" s="260">
        <f>IF($B418="","",IFERROR(BDP($B418&amp;" Action","CP037"),""))</f>
        <v/>
      </c>
      <c r="F418" s="261">
        <f>Database!T418</f>
        <v/>
      </c>
      <c r="G418" s="260">
        <f>IF($B418="","",IFERROR(BDP($B418&amp;" Action","GREENSHOE_FACILITY"),""))</f>
        <v/>
      </c>
      <c r="H418" s="260">
        <f>IF($B418="","",IFERROR(BDP($B418&amp;" Action","OFFERING_GREENSHOE_SHARES_EX"),""))</f>
        <v/>
      </c>
      <c r="I418" s="51">
        <f>Database!AE418</f>
        <v/>
      </c>
      <c r="J418" s="58">
        <f>IFERROR(BDP(TEXT(VALUE(Database!$A418),"0")&amp;" HK Equity","PE_RATIO"),"")</f>
        <v/>
      </c>
      <c r="K418" s="43">
        <f>IFERROR(BDP(TEXT(VALUE(Database!$A418),"0")&amp;" HK Equity","A/H_SHARE_CONVERSION"),"")</f>
        <v/>
      </c>
      <c r="L418" s="51">
        <f>IF(Database!BN418="","(none found)",Database!BN418)</f>
        <v/>
      </c>
      <c r="M418" s="53">
        <f>IFERROR(INDEX(BDH(TEXT(VALUE(Database!$A418),"0")&amp;" HK Equity","CUR_MKT_CAP",Database!$H418,Database!$H418),MATCH(Database!$H418,INDEX(BDH(TEXT(VALUE(Database!$A418),"0")&amp;" HK Equity","CUR_MKT_CAP",Database!$H418,Database!$H418),0,1),0),2),"run on terminal")</f>
        <v/>
      </c>
      <c r="N418" s="213">
        <f>Database!Q418</f>
        <v/>
      </c>
      <c r="O418" s="58">
        <f>IFERROR(INDEX(BDH(TEXT(VALUE(Database!$A418),"0")&amp;" HK Equity","PE_RATIO",Database!$H418,Database!$H418),MATCH(Database!$H418,INDEX(BDH(TEXT(VALUE(Database!$A418),"0")&amp;" HK Equity","PE_RATIO",Database!$H418,Database!$H418),0,1),0),2),"run on terminal")</f>
        <v/>
      </c>
      <c r="P418" s="251">
        <f>IF(Database!BH418="","(n/m or not derivable)",Database!BH418)</f>
        <v/>
      </c>
      <c r="Q418" s="58">
        <f>IF(Database!BN418="","",IFERROR(INDEX(BDH(LEFT(Database!BN418,FIND(".",Database!BN418)-1)&amp;" CH Equity","PE_RATIO",Database!$H418,Database!$H418),MATCH(Database!$H418,INDEX(BDH(LEFT(Database!BN418,FIND(".",Database!BN418)-1)&amp;" CH Equity","PE_RATIO",Database!$H418,Database!$H418),0,1),0),2),"run on terminal"))</f>
        <v/>
      </c>
      <c r="R418" s="58">
        <f>IF(Database!BN418="","",IFERROR(INDEX(BDH("HSAHP Index","PX_LAST",Database!$H418,Database!$H418),MATCH(Database!$H418,INDEX(BDH("HSAHP Index","PX_LAST",Database!$H418,Database!$H418),0,1),0),2),"run on terminal"))</f>
        <v/>
      </c>
      <c r="S418" s="58">
        <f>IFERROR(BDP(TEXT(VALUE(Database!$A418),"0")&amp;" HK Equity","PX_TO_SALES_RATIO"),"")</f>
        <v/>
      </c>
      <c r="T418" s="53">
        <f>IF(Database!BN418="","",IFERROR(BDP(LEFT(Database!BN418,FIND(".",Database!BN418)-1)&amp;" CH Equity","CUR_MKT_CAP")*BDP("CNYHKD Curncy","PX_LAST"),"run on terminal"))</f>
        <v/>
      </c>
    </row>
    <row r="419" ht="23" customHeight="1">
      <c r="A419" s="51">
        <f>Database!A419&amp;"  "&amp;Database!B419</f>
        <v/>
      </c>
      <c r="B419" s="43">
        <f>IFERROR(INDEX(BDS(TEXT(VALUE(Database!$A419),"0")&amp;" HK Equity","EQUITY_OFFERINGS","array=t","endcol=1"),MATCH("IPO",BDS(TEXT(VALUE(Database!$A419),"0")&amp;" HK Equity","EQUITY_OFFERINGS","array=t","startcol=2","endcol=2"),0)),"")</f>
        <v/>
      </c>
      <c r="C419" s="260">
        <f>IF($B419="","",IFERROR(BDP($B419&amp;" Action","CP036"),""))</f>
        <v/>
      </c>
      <c r="D419" s="261">
        <f>Database!S419</f>
        <v/>
      </c>
      <c r="E419" s="260">
        <f>IF($B419="","",IFERROR(BDP($B419&amp;" Action","CP037"),""))</f>
        <v/>
      </c>
      <c r="F419" s="261">
        <f>Database!T419</f>
        <v/>
      </c>
      <c r="G419" s="260">
        <f>IF($B419="","",IFERROR(BDP($B419&amp;" Action","GREENSHOE_FACILITY"),""))</f>
        <v/>
      </c>
      <c r="H419" s="260">
        <f>IF($B419="","",IFERROR(BDP($B419&amp;" Action","OFFERING_GREENSHOE_SHARES_EX"),""))</f>
        <v/>
      </c>
      <c r="I419" s="51">
        <f>Database!AE419</f>
        <v/>
      </c>
      <c r="J419" s="58">
        <f>IFERROR(BDP(TEXT(VALUE(Database!$A419),"0")&amp;" HK Equity","PE_RATIO"),"")</f>
        <v/>
      </c>
      <c r="K419" s="43">
        <f>IFERROR(BDP(TEXT(VALUE(Database!$A419),"0")&amp;" HK Equity","A/H_SHARE_CONVERSION"),"")</f>
        <v/>
      </c>
      <c r="L419" s="51">
        <f>IF(Database!BN419="","(none found)",Database!BN419)</f>
        <v/>
      </c>
      <c r="M419" s="53">
        <f>IFERROR(INDEX(BDH(TEXT(VALUE(Database!$A419),"0")&amp;" HK Equity","CUR_MKT_CAP",Database!$H419,Database!$H419),MATCH(Database!$H419,INDEX(BDH(TEXT(VALUE(Database!$A419),"0")&amp;" HK Equity","CUR_MKT_CAP",Database!$H419,Database!$H419),0,1),0),2),"run on terminal")</f>
        <v/>
      </c>
      <c r="N419" s="213">
        <f>Database!Q419</f>
        <v/>
      </c>
      <c r="O419" s="58">
        <f>IFERROR(INDEX(BDH(TEXT(VALUE(Database!$A419),"0")&amp;" HK Equity","PE_RATIO",Database!$H419,Database!$H419),MATCH(Database!$H419,INDEX(BDH(TEXT(VALUE(Database!$A419),"0")&amp;" HK Equity","PE_RATIO",Database!$H419,Database!$H419),0,1),0),2),"run on terminal")</f>
        <v/>
      </c>
      <c r="P419" s="251">
        <f>IF(Database!BH419="","(n/m or not derivable)",Database!BH419)</f>
        <v/>
      </c>
      <c r="Q419" s="58">
        <f>IF(Database!BN419="","",IFERROR(INDEX(BDH(LEFT(Database!BN419,FIND(".",Database!BN419)-1)&amp;" CH Equity","PE_RATIO",Database!$H419,Database!$H419),MATCH(Database!$H419,INDEX(BDH(LEFT(Database!BN419,FIND(".",Database!BN419)-1)&amp;" CH Equity","PE_RATIO",Database!$H419,Database!$H419),0,1),0),2),"run on terminal"))</f>
        <v/>
      </c>
      <c r="R419" s="58">
        <f>IF(Database!BN419="","",IFERROR(INDEX(BDH("HSAHP Index","PX_LAST",Database!$H419,Database!$H419),MATCH(Database!$H419,INDEX(BDH("HSAHP Index","PX_LAST",Database!$H419,Database!$H419),0,1),0),2),"run on terminal"))</f>
        <v/>
      </c>
      <c r="S419" s="58">
        <f>IFERROR(BDP(TEXT(VALUE(Database!$A419),"0")&amp;" HK Equity","PX_TO_SALES_RATIO"),"")</f>
        <v/>
      </c>
      <c r="T419" s="53">
        <f>IF(Database!BN419="","",IFERROR(BDP(LEFT(Database!BN419,FIND(".",Database!BN419)-1)&amp;" CH Equity","CUR_MKT_CAP")*BDP("CNYHKD Curncy","PX_LAST"),"run on terminal"))</f>
        <v/>
      </c>
    </row>
    <row r="420" ht="23" customHeight="1">
      <c r="A420" s="51">
        <f>Database!A420&amp;"  "&amp;Database!B420</f>
        <v/>
      </c>
      <c r="B420" s="43">
        <f>IFERROR(INDEX(BDS(TEXT(VALUE(Database!$A420),"0")&amp;" HK Equity","EQUITY_OFFERINGS","array=t","endcol=1"),MATCH("IPO",BDS(TEXT(VALUE(Database!$A420),"0")&amp;" HK Equity","EQUITY_OFFERINGS","array=t","startcol=2","endcol=2"),0)),"")</f>
        <v/>
      </c>
      <c r="C420" s="260">
        <f>IF($B420="","",IFERROR(BDP($B420&amp;" Action","CP036"),""))</f>
        <v/>
      </c>
      <c r="D420" s="261">
        <f>Database!S420</f>
        <v/>
      </c>
      <c r="E420" s="260">
        <f>IF($B420="","",IFERROR(BDP($B420&amp;" Action","CP037"),""))</f>
        <v/>
      </c>
      <c r="F420" s="261">
        <f>Database!T420</f>
        <v/>
      </c>
      <c r="G420" s="260">
        <f>IF($B420="","",IFERROR(BDP($B420&amp;" Action","GREENSHOE_FACILITY"),""))</f>
        <v/>
      </c>
      <c r="H420" s="260">
        <f>IF($B420="","",IFERROR(BDP($B420&amp;" Action","OFFERING_GREENSHOE_SHARES_EX"),""))</f>
        <v/>
      </c>
      <c r="I420" s="51">
        <f>Database!AE420</f>
        <v/>
      </c>
      <c r="J420" s="58">
        <f>IFERROR(BDP(TEXT(VALUE(Database!$A420),"0")&amp;" HK Equity","PE_RATIO"),"")</f>
        <v/>
      </c>
      <c r="K420" s="43">
        <f>IFERROR(BDP(TEXT(VALUE(Database!$A420),"0")&amp;" HK Equity","A/H_SHARE_CONVERSION"),"")</f>
        <v/>
      </c>
      <c r="L420" s="51">
        <f>IF(Database!BN420="","(none found)",Database!BN420)</f>
        <v/>
      </c>
      <c r="M420" s="53">
        <f>IFERROR(INDEX(BDH(TEXT(VALUE(Database!$A420),"0")&amp;" HK Equity","CUR_MKT_CAP",Database!$H420,Database!$H420),MATCH(Database!$H420,INDEX(BDH(TEXT(VALUE(Database!$A420),"0")&amp;" HK Equity","CUR_MKT_CAP",Database!$H420,Database!$H420),0,1),0),2),"run on terminal")</f>
        <v/>
      </c>
      <c r="N420" s="213">
        <f>Database!Q420</f>
        <v/>
      </c>
      <c r="O420" s="58">
        <f>IFERROR(INDEX(BDH(TEXT(VALUE(Database!$A420),"0")&amp;" HK Equity","PE_RATIO",Database!$H420,Database!$H420),MATCH(Database!$H420,INDEX(BDH(TEXT(VALUE(Database!$A420),"0")&amp;" HK Equity","PE_RATIO",Database!$H420,Database!$H420),0,1),0),2),"run on terminal")</f>
        <v/>
      </c>
      <c r="P420" s="251">
        <f>IF(Database!BH420="","(n/m or not derivable)",Database!BH420)</f>
        <v/>
      </c>
      <c r="Q420" s="58">
        <f>IF(Database!BN420="","",IFERROR(INDEX(BDH(LEFT(Database!BN420,FIND(".",Database!BN420)-1)&amp;" CH Equity","PE_RATIO",Database!$H420,Database!$H420),MATCH(Database!$H420,INDEX(BDH(LEFT(Database!BN420,FIND(".",Database!BN420)-1)&amp;" CH Equity","PE_RATIO",Database!$H420,Database!$H420),0,1),0),2),"run on terminal"))</f>
        <v/>
      </c>
      <c r="R420" s="58">
        <f>IF(Database!BN420="","",IFERROR(INDEX(BDH("HSAHP Index","PX_LAST",Database!$H420,Database!$H420),MATCH(Database!$H420,INDEX(BDH("HSAHP Index","PX_LAST",Database!$H420,Database!$H420),0,1),0),2),"run on terminal"))</f>
        <v/>
      </c>
      <c r="S420" s="58">
        <f>IFERROR(BDP(TEXT(VALUE(Database!$A420),"0")&amp;" HK Equity","PX_TO_SALES_RATIO"),"")</f>
        <v/>
      </c>
      <c r="T420" s="53">
        <f>IF(Database!BN420="","",IFERROR(BDP(LEFT(Database!BN420,FIND(".",Database!BN420)-1)&amp;" CH Equity","CUR_MKT_CAP")*BDP("CNYHKD Curncy","PX_LAST"),"run on terminal"))</f>
        <v/>
      </c>
    </row>
    <row r="421" ht="23" customHeight="1">
      <c r="A421" s="51">
        <f>Database!A421&amp;"  "&amp;Database!B421</f>
        <v/>
      </c>
      <c r="B421" s="43">
        <f>IFERROR(INDEX(BDS(TEXT(VALUE(Database!$A421),"0")&amp;" HK Equity","EQUITY_OFFERINGS","array=t","endcol=1"),MATCH("IPO",BDS(TEXT(VALUE(Database!$A421),"0")&amp;" HK Equity","EQUITY_OFFERINGS","array=t","startcol=2","endcol=2"),0)),"")</f>
        <v/>
      </c>
      <c r="C421" s="260">
        <f>IF($B421="","",IFERROR(BDP($B421&amp;" Action","CP036"),""))</f>
        <v/>
      </c>
      <c r="D421" s="261">
        <f>Database!S421</f>
        <v/>
      </c>
      <c r="E421" s="260">
        <f>IF($B421="","",IFERROR(BDP($B421&amp;" Action","CP037"),""))</f>
        <v/>
      </c>
      <c r="F421" s="261">
        <f>Database!T421</f>
        <v/>
      </c>
      <c r="G421" s="260">
        <f>IF($B421="","",IFERROR(BDP($B421&amp;" Action","GREENSHOE_FACILITY"),""))</f>
        <v/>
      </c>
      <c r="H421" s="260">
        <f>IF($B421="","",IFERROR(BDP($B421&amp;" Action","OFFERING_GREENSHOE_SHARES_EX"),""))</f>
        <v/>
      </c>
      <c r="I421" s="51">
        <f>Database!AE421</f>
        <v/>
      </c>
      <c r="J421" s="58">
        <f>IFERROR(BDP(TEXT(VALUE(Database!$A421),"0")&amp;" HK Equity","PE_RATIO"),"")</f>
        <v/>
      </c>
      <c r="K421" s="43">
        <f>IFERROR(BDP(TEXT(VALUE(Database!$A421),"0")&amp;" HK Equity","A/H_SHARE_CONVERSION"),"")</f>
        <v/>
      </c>
      <c r="L421" s="51">
        <f>IF(Database!BN421="","(none found)",Database!BN421)</f>
        <v/>
      </c>
      <c r="M421" s="53">
        <f>IFERROR(INDEX(BDH(TEXT(VALUE(Database!$A421),"0")&amp;" HK Equity","CUR_MKT_CAP",Database!$H421,Database!$H421),MATCH(Database!$H421,INDEX(BDH(TEXT(VALUE(Database!$A421),"0")&amp;" HK Equity","CUR_MKT_CAP",Database!$H421,Database!$H421),0,1),0),2),"run on terminal")</f>
        <v/>
      </c>
      <c r="N421" s="213">
        <f>Database!Q421</f>
        <v/>
      </c>
      <c r="O421" s="58">
        <f>IFERROR(INDEX(BDH(TEXT(VALUE(Database!$A421),"0")&amp;" HK Equity","PE_RATIO",Database!$H421,Database!$H421),MATCH(Database!$H421,INDEX(BDH(TEXT(VALUE(Database!$A421),"0")&amp;" HK Equity","PE_RATIO",Database!$H421,Database!$H421),0,1),0),2),"run on terminal")</f>
        <v/>
      </c>
      <c r="P421" s="251">
        <f>IF(Database!BH421="","(n/m or not derivable)",Database!BH421)</f>
        <v/>
      </c>
      <c r="Q421" s="58">
        <f>IF(Database!BN421="","",IFERROR(INDEX(BDH(LEFT(Database!BN421,FIND(".",Database!BN421)-1)&amp;" CH Equity","PE_RATIO",Database!$H421,Database!$H421),MATCH(Database!$H421,INDEX(BDH(LEFT(Database!BN421,FIND(".",Database!BN421)-1)&amp;" CH Equity","PE_RATIO",Database!$H421,Database!$H421),0,1),0),2),"run on terminal"))</f>
        <v/>
      </c>
      <c r="R421" s="58">
        <f>IF(Database!BN421="","",IFERROR(INDEX(BDH("HSAHP Index","PX_LAST",Database!$H421,Database!$H421),MATCH(Database!$H421,INDEX(BDH("HSAHP Index","PX_LAST",Database!$H421,Database!$H421),0,1),0),2),"run on terminal"))</f>
        <v/>
      </c>
      <c r="S421" s="58">
        <f>IFERROR(BDP(TEXT(VALUE(Database!$A421),"0")&amp;" HK Equity","PX_TO_SALES_RATIO"),"")</f>
        <v/>
      </c>
      <c r="T421" s="53">
        <f>IF(Database!BN421="","",IFERROR(BDP(LEFT(Database!BN421,FIND(".",Database!BN421)-1)&amp;" CH Equity","CUR_MKT_CAP")*BDP("CNYHKD Curncy","PX_LAST"),"run on terminal"))</f>
        <v/>
      </c>
    </row>
    <row r="422" ht="23" customHeight="1">
      <c r="A422" s="51">
        <f>Database!A422&amp;"  "&amp;Database!B422</f>
        <v/>
      </c>
      <c r="B422" s="43">
        <f>IFERROR(INDEX(BDS(TEXT(VALUE(Database!$A422),"0")&amp;" HK Equity","EQUITY_OFFERINGS","array=t","endcol=1"),MATCH("IPO",BDS(TEXT(VALUE(Database!$A422),"0")&amp;" HK Equity","EQUITY_OFFERINGS","array=t","startcol=2","endcol=2"),0)),"")</f>
        <v/>
      </c>
      <c r="C422" s="260">
        <f>IF($B422="","",IFERROR(BDP($B422&amp;" Action","CP036"),""))</f>
        <v/>
      </c>
      <c r="D422" s="261">
        <f>Database!S422</f>
        <v/>
      </c>
      <c r="E422" s="260">
        <f>IF($B422="","",IFERROR(BDP($B422&amp;" Action","CP037"),""))</f>
        <v/>
      </c>
      <c r="F422" s="261">
        <f>Database!T422</f>
        <v/>
      </c>
      <c r="G422" s="260">
        <f>IF($B422="","",IFERROR(BDP($B422&amp;" Action","GREENSHOE_FACILITY"),""))</f>
        <v/>
      </c>
      <c r="H422" s="260">
        <f>IF($B422="","",IFERROR(BDP($B422&amp;" Action","OFFERING_GREENSHOE_SHARES_EX"),""))</f>
        <v/>
      </c>
      <c r="I422" s="51">
        <f>Database!AE422</f>
        <v/>
      </c>
      <c r="J422" s="58">
        <f>IFERROR(BDP(TEXT(VALUE(Database!$A422),"0")&amp;" HK Equity","PE_RATIO"),"")</f>
        <v/>
      </c>
      <c r="K422" s="43">
        <f>IFERROR(BDP(TEXT(VALUE(Database!$A422),"0")&amp;" HK Equity","A/H_SHARE_CONVERSION"),"")</f>
        <v/>
      </c>
      <c r="L422" s="51">
        <f>IF(Database!BN422="","(none found)",Database!BN422)</f>
        <v/>
      </c>
      <c r="M422" s="53">
        <f>IFERROR(INDEX(BDH(TEXT(VALUE(Database!$A422),"0")&amp;" HK Equity","CUR_MKT_CAP",Database!$H422,Database!$H422),MATCH(Database!$H422,INDEX(BDH(TEXT(VALUE(Database!$A422),"0")&amp;" HK Equity","CUR_MKT_CAP",Database!$H422,Database!$H422),0,1),0),2),"run on terminal")</f>
        <v/>
      </c>
      <c r="N422" s="213">
        <f>Database!Q422</f>
        <v/>
      </c>
      <c r="O422" s="58">
        <f>IFERROR(INDEX(BDH(TEXT(VALUE(Database!$A422),"0")&amp;" HK Equity","PE_RATIO",Database!$H422,Database!$H422),MATCH(Database!$H422,INDEX(BDH(TEXT(VALUE(Database!$A422),"0")&amp;" HK Equity","PE_RATIO",Database!$H422,Database!$H422),0,1),0),2),"run on terminal")</f>
        <v/>
      </c>
      <c r="P422" s="251">
        <f>IF(Database!BH422="","(n/m or not derivable)",Database!BH422)</f>
        <v/>
      </c>
      <c r="Q422" s="58">
        <f>IF(Database!BN422="","",IFERROR(INDEX(BDH(LEFT(Database!BN422,FIND(".",Database!BN422)-1)&amp;" CH Equity","PE_RATIO",Database!$H422,Database!$H422),MATCH(Database!$H422,INDEX(BDH(LEFT(Database!BN422,FIND(".",Database!BN422)-1)&amp;" CH Equity","PE_RATIO",Database!$H422,Database!$H422),0,1),0),2),"run on terminal"))</f>
        <v/>
      </c>
      <c r="R422" s="58">
        <f>IF(Database!BN422="","",IFERROR(INDEX(BDH("HSAHP Index","PX_LAST",Database!$H422,Database!$H422),MATCH(Database!$H422,INDEX(BDH("HSAHP Index","PX_LAST",Database!$H422,Database!$H422),0,1),0),2),"run on terminal"))</f>
        <v/>
      </c>
      <c r="S422" s="58">
        <f>IFERROR(BDP(TEXT(VALUE(Database!$A422),"0")&amp;" HK Equity","PX_TO_SALES_RATIO"),"")</f>
        <v/>
      </c>
      <c r="T422" s="53">
        <f>IF(Database!BN422="","",IFERROR(BDP(LEFT(Database!BN422,FIND(".",Database!BN422)-1)&amp;" CH Equity","CUR_MKT_CAP")*BDP("CNYHKD Curncy","PX_LAST"),"run on terminal"))</f>
        <v/>
      </c>
    </row>
    <row r="423" ht="23" customHeight="1">
      <c r="A423" s="51">
        <f>Database!A423&amp;"  "&amp;Database!B423</f>
        <v/>
      </c>
      <c r="B423" s="43">
        <f>IFERROR(INDEX(BDS(TEXT(VALUE(Database!$A423),"0")&amp;" HK Equity","EQUITY_OFFERINGS","array=t","endcol=1"),MATCH("IPO",BDS(TEXT(VALUE(Database!$A423),"0")&amp;" HK Equity","EQUITY_OFFERINGS","array=t","startcol=2","endcol=2"),0)),"")</f>
        <v/>
      </c>
      <c r="C423" s="260">
        <f>IF($B423="","",IFERROR(BDP($B423&amp;" Action","CP036"),""))</f>
        <v/>
      </c>
      <c r="D423" s="261">
        <f>Database!S423</f>
        <v/>
      </c>
      <c r="E423" s="260">
        <f>IF($B423="","",IFERROR(BDP($B423&amp;" Action","CP037"),""))</f>
        <v/>
      </c>
      <c r="F423" s="261">
        <f>Database!T423</f>
        <v/>
      </c>
      <c r="G423" s="260">
        <f>IF($B423="","",IFERROR(BDP($B423&amp;" Action","GREENSHOE_FACILITY"),""))</f>
        <v/>
      </c>
      <c r="H423" s="260">
        <f>IF($B423="","",IFERROR(BDP($B423&amp;" Action","OFFERING_GREENSHOE_SHARES_EX"),""))</f>
        <v/>
      </c>
      <c r="I423" s="51">
        <f>Database!AE423</f>
        <v/>
      </c>
      <c r="J423" s="58">
        <f>IFERROR(BDP(TEXT(VALUE(Database!$A423),"0")&amp;" HK Equity","PE_RATIO"),"")</f>
        <v/>
      </c>
      <c r="K423" s="43">
        <f>IFERROR(BDP(TEXT(VALUE(Database!$A423),"0")&amp;" HK Equity","A/H_SHARE_CONVERSION"),"")</f>
        <v/>
      </c>
      <c r="L423" s="51">
        <f>IF(Database!BN423="","(none found)",Database!BN423)</f>
        <v/>
      </c>
      <c r="M423" s="53">
        <f>IFERROR(INDEX(BDH(TEXT(VALUE(Database!$A423),"0")&amp;" HK Equity","CUR_MKT_CAP",Database!$H423,Database!$H423),MATCH(Database!$H423,INDEX(BDH(TEXT(VALUE(Database!$A423),"0")&amp;" HK Equity","CUR_MKT_CAP",Database!$H423,Database!$H423),0,1),0),2),"run on terminal")</f>
        <v/>
      </c>
      <c r="N423" s="213">
        <f>Database!Q423</f>
        <v/>
      </c>
      <c r="O423" s="58">
        <f>IFERROR(INDEX(BDH(TEXT(VALUE(Database!$A423),"0")&amp;" HK Equity","PE_RATIO",Database!$H423,Database!$H423),MATCH(Database!$H423,INDEX(BDH(TEXT(VALUE(Database!$A423),"0")&amp;" HK Equity","PE_RATIO",Database!$H423,Database!$H423),0,1),0),2),"run on terminal")</f>
        <v/>
      </c>
      <c r="P423" s="251">
        <f>IF(Database!BH423="","(n/m or not derivable)",Database!BH423)</f>
        <v/>
      </c>
      <c r="Q423" s="58">
        <f>IF(Database!BN423="","",IFERROR(INDEX(BDH(LEFT(Database!BN423,FIND(".",Database!BN423)-1)&amp;" CH Equity","PE_RATIO",Database!$H423,Database!$H423),MATCH(Database!$H423,INDEX(BDH(LEFT(Database!BN423,FIND(".",Database!BN423)-1)&amp;" CH Equity","PE_RATIO",Database!$H423,Database!$H423),0,1),0),2),"run on terminal"))</f>
        <v/>
      </c>
      <c r="R423" s="58">
        <f>IF(Database!BN423="","",IFERROR(INDEX(BDH("HSAHP Index","PX_LAST",Database!$H423,Database!$H423),MATCH(Database!$H423,INDEX(BDH("HSAHP Index","PX_LAST",Database!$H423,Database!$H423),0,1),0),2),"run on terminal"))</f>
        <v/>
      </c>
      <c r="S423" s="58">
        <f>IFERROR(BDP(TEXT(VALUE(Database!$A423),"0")&amp;" HK Equity","PX_TO_SALES_RATIO"),"")</f>
        <v/>
      </c>
      <c r="T423" s="53">
        <f>IF(Database!BN423="","",IFERROR(BDP(LEFT(Database!BN423,FIND(".",Database!BN423)-1)&amp;" CH Equity","CUR_MKT_CAP")*BDP("CNYHKD Curncy","PX_LAST"),"run on terminal"))</f>
        <v/>
      </c>
    </row>
    <row r="424" ht="23" customHeight="1">
      <c r="A424" s="51">
        <f>Database!A424&amp;"  "&amp;Database!B424</f>
        <v/>
      </c>
      <c r="B424" s="43">
        <f>IFERROR(INDEX(BDS(TEXT(VALUE(Database!$A424),"0")&amp;" HK Equity","EQUITY_OFFERINGS","array=t","endcol=1"),MATCH("IPO",BDS(TEXT(VALUE(Database!$A424),"0")&amp;" HK Equity","EQUITY_OFFERINGS","array=t","startcol=2","endcol=2"),0)),"")</f>
        <v/>
      </c>
      <c r="C424" s="260">
        <f>IF($B424="","",IFERROR(BDP($B424&amp;" Action","CP036"),""))</f>
        <v/>
      </c>
      <c r="D424" s="261">
        <f>Database!S424</f>
        <v/>
      </c>
      <c r="E424" s="260">
        <f>IF($B424="","",IFERROR(BDP($B424&amp;" Action","CP037"),""))</f>
        <v/>
      </c>
      <c r="F424" s="261">
        <f>Database!T424</f>
        <v/>
      </c>
      <c r="G424" s="260">
        <f>IF($B424="","",IFERROR(BDP($B424&amp;" Action","GREENSHOE_FACILITY"),""))</f>
        <v/>
      </c>
      <c r="H424" s="260">
        <f>IF($B424="","",IFERROR(BDP($B424&amp;" Action","OFFERING_GREENSHOE_SHARES_EX"),""))</f>
        <v/>
      </c>
      <c r="I424" s="51">
        <f>Database!AE424</f>
        <v/>
      </c>
      <c r="J424" s="58">
        <f>IFERROR(BDP(TEXT(VALUE(Database!$A424),"0")&amp;" HK Equity","PE_RATIO"),"")</f>
        <v/>
      </c>
      <c r="K424" s="43">
        <f>IFERROR(BDP(TEXT(VALUE(Database!$A424),"0")&amp;" HK Equity","A/H_SHARE_CONVERSION"),"")</f>
        <v/>
      </c>
      <c r="L424" s="51">
        <f>IF(Database!BN424="","(none found)",Database!BN424)</f>
        <v/>
      </c>
      <c r="M424" s="53">
        <f>IFERROR(INDEX(BDH(TEXT(VALUE(Database!$A424),"0")&amp;" HK Equity","CUR_MKT_CAP",Database!$H424,Database!$H424),MATCH(Database!$H424,INDEX(BDH(TEXT(VALUE(Database!$A424),"0")&amp;" HK Equity","CUR_MKT_CAP",Database!$H424,Database!$H424),0,1),0),2),"run on terminal")</f>
        <v/>
      </c>
      <c r="N424" s="213">
        <f>Database!Q424</f>
        <v/>
      </c>
      <c r="O424" s="58">
        <f>IFERROR(INDEX(BDH(TEXT(VALUE(Database!$A424),"0")&amp;" HK Equity","PE_RATIO",Database!$H424,Database!$H424),MATCH(Database!$H424,INDEX(BDH(TEXT(VALUE(Database!$A424),"0")&amp;" HK Equity","PE_RATIO",Database!$H424,Database!$H424),0,1),0),2),"run on terminal")</f>
        <v/>
      </c>
      <c r="P424" s="251">
        <f>IF(Database!BH424="","(n/m or not derivable)",Database!BH424)</f>
        <v/>
      </c>
      <c r="Q424" s="58">
        <f>IF(Database!BN424="","",IFERROR(INDEX(BDH(LEFT(Database!BN424,FIND(".",Database!BN424)-1)&amp;" CH Equity","PE_RATIO",Database!$H424,Database!$H424),MATCH(Database!$H424,INDEX(BDH(LEFT(Database!BN424,FIND(".",Database!BN424)-1)&amp;" CH Equity","PE_RATIO",Database!$H424,Database!$H424),0,1),0),2),"run on terminal"))</f>
        <v/>
      </c>
      <c r="R424" s="58">
        <f>IF(Database!BN424="","",IFERROR(INDEX(BDH("HSAHP Index","PX_LAST",Database!$H424,Database!$H424),MATCH(Database!$H424,INDEX(BDH("HSAHP Index","PX_LAST",Database!$H424,Database!$H424),0,1),0),2),"run on terminal"))</f>
        <v/>
      </c>
      <c r="S424" s="58">
        <f>IFERROR(BDP(TEXT(VALUE(Database!$A424),"0")&amp;" HK Equity","PX_TO_SALES_RATIO"),"")</f>
        <v/>
      </c>
      <c r="T424" s="53">
        <f>IF(Database!BN424="","",IFERROR(BDP(LEFT(Database!BN424,FIND(".",Database!BN424)-1)&amp;" CH Equity","CUR_MKT_CAP")*BDP("CNYHKD Curncy","PX_LAST"),"run on terminal"))</f>
        <v/>
      </c>
    </row>
    <row r="425" ht="23" customHeight="1">
      <c r="A425" s="51">
        <f>Database!A425&amp;"  "&amp;Database!B425</f>
        <v/>
      </c>
      <c r="B425" s="43">
        <f>IFERROR(INDEX(BDS(TEXT(VALUE(Database!$A425),"0")&amp;" HK Equity","EQUITY_OFFERINGS","array=t","endcol=1"),MATCH("IPO",BDS(TEXT(VALUE(Database!$A425),"0")&amp;" HK Equity","EQUITY_OFFERINGS","array=t","startcol=2","endcol=2"),0)),"")</f>
        <v/>
      </c>
      <c r="C425" s="260">
        <f>IF($B425="","",IFERROR(BDP($B425&amp;" Action","CP036"),""))</f>
        <v/>
      </c>
      <c r="D425" s="261">
        <f>Database!S425</f>
        <v/>
      </c>
      <c r="E425" s="260">
        <f>IF($B425="","",IFERROR(BDP($B425&amp;" Action","CP037"),""))</f>
        <v/>
      </c>
      <c r="F425" s="261">
        <f>Database!T425</f>
        <v/>
      </c>
      <c r="G425" s="260">
        <f>IF($B425="","",IFERROR(BDP($B425&amp;" Action","GREENSHOE_FACILITY"),""))</f>
        <v/>
      </c>
      <c r="H425" s="260">
        <f>IF($B425="","",IFERROR(BDP($B425&amp;" Action","OFFERING_GREENSHOE_SHARES_EX"),""))</f>
        <v/>
      </c>
      <c r="I425" s="51">
        <f>Database!AE425</f>
        <v/>
      </c>
      <c r="J425" s="58">
        <f>IFERROR(BDP(TEXT(VALUE(Database!$A425),"0")&amp;" HK Equity","PE_RATIO"),"")</f>
        <v/>
      </c>
      <c r="K425" s="43">
        <f>IFERROR(BDP(TEXT(VALUE(Database!$A425),"0")&amp;" HK Equity","A/H_SHARE_CONVERSION"),"")</f>
        <v/>
      </c>
      <c r="L425" s="51">
        <f>IF(Database!BN425="","(none found)",Database!BN425)</f>
        <v/>
      </c>
      <c r="M425" s="53">
        <f>IFERROR(INDEX(BDH(TEXT(VALUE(Database!$A425),"0")&amp;" HK Equity","CUR_MKT_CAP",Database!$H425,Database!$H425),MATCH(Database!$H425,INDEX(BDH(TEXT(VALUE(Database!$A425),"0")&amp;" HK Equity","CUR_MKT_CAP",Database!$H425,Database!$H425),0,1),0),2),"run on terminal")</f>
        <v/>
      </c>
      <c r="N425" s="213">
        <f>Database!Q425</f>
        <v/>
      </c>
      <c r="O425" s="58">
        <f>IFERROR(INDEX(BDH(TEXT(VALUE(Database!$A425),"0")&amp;" HK Equity","PE_RATIO",Database!$H425,Database!$H425),MATCH(Database!$H425,INDEX(BDH(TEXT(VALUE(Database!$A425),"0")&amp;" HK Equity","PE_RATIO",Database!$H425,Database!$H425),0,1),0),2),"run on terminal")</f>
        <v/>
      </c>
      <c r="P425" s="251">
        <f>IF(Database!BH425="","(n/m or not derivable)",Database!BH425)</f>
        <v/>
      </c>
      <c r="Q425" s="58">
        <f>IF(Database!BN425="","",IFERROR(INDEX(BDH(LEFT(Database!BN425,FIND(".",Database!BN425)-1)&amp;" CH Equity","PE_RATIO",Database!$H425,Database!$H425),MATCH(Database!$H425,INDEX(BDH(LEFT(Database!BN425,FIND(".",Database!BN425)-1)&amp;" CH Equity","PE_RATIO",Database!$H425,Database!$H425),0,1),0),2),"run on terminal"))</f>
        <v/>
      </c>
      <c r="R425" s="58">
        <f>IF(Database!BN425="","",IFERROR(INDEX(BDH("HSAHP Index","PX_LAST",Database!$H425,Database!$H425),MATCH(Database!$H425,INDEX(BDH("HSAHP Index","PX_LAST",Database!$H425,Database!$H425),0,1),0),2),"run on terminal"))</f>
        <v/>
      </c>
      <c r="S425" s="58">
        <f>IFERROR(BDP(TEXT(VALUE(Database!$A425),"0")&amp;" HK Equity","PX_TO_SALES_RATIO"),"")</f>
        <v/>
      </c>
      <c r="T425" s="53">
        <f>IF(Database!BN425="","",IFERROR(BDP(LEFT(Database!BN425,FIND(".",Database!BN425)-1)&amp;" CH Equity","CUR_MKT_CAP")*BDP("CNYHKD Curncy","PX_LAST"),"run on terminal"))</f>
        <v/>
      </c>
    </row>
    <row r="426" ht="23" customHeight="1">
      <c r="A426" s="51">
        <f>Database!A426&amp;"  "&amp;Database!B426</f>
        <v/>
      </c>
      <c r="B426" s="43">
        <f>IFERROR(INDEX(BDS(TEXT(VALUE(Database!$A426),"0")&amp;" HK Equity","EQUITY_OFFERINGS","array=t","endcol=1"),MATCH("IPO",BDS(TEXT(VALUE(Database!$A426),"0")&amp;" HK Equity","EQUITY_OFFERINGS","array=t","startcol=2","endcol=2"),0)),"")</f>
        <v/>
      </c>
      <c r="C426" s="260">
        <f>IF($B426="","",IFERROR(BDP($B426&amp;" Action","CP036"),""))</f>
        <v/>
      </c>
      <c r="D426" s="261">
        <f>Database!S426</f>
        <v/>
      </c>
      <c r="E426" s="260">
        <f>IF($B426="","",IFERROR(BDP($B426&amp;" Action","CP037"),""))</f>
        <v/>
      </c>
      <c r="F426" s="261">
        <f>Database!T426</f>
        <v/>
      </c>
      <c r="G426" s="260">
        <f>IF($B426="","",IFERROR(BDP($B426&amp;" Action","GREENSHOE_FACILITY"),""))</f>
        <v/>
      </c>
      <c r="H426" s="260">
        <f>IF($B426="","",IFERROR(BDP($B426&amp;" Action","OFFERING_GREENSHOE_SHARES_EX"),""))</f>
        <v/>
      </c>
      <c r="I426" s="51">
        <f>Database!AE426</f>
        <v/>
      </c>
      <c r="J426" s="58">
        <f>IFERROR(BDP(TEXT(VALUE(Database!$A426),"0")&amp;" HK Equity","PE_RATIO"),"")</f>
        <v/>
      </c>
      <c r="K426" s="43">
        <f>IFERROR(BDP(TEXT(VALUE(Database!$A426),"0")&amp;" HK Equity","A/H_SHARE_CONVERSION"),"")</f>
        <v/>
      </c>
      <c r="L426" s="51">
        <f>IF(Database!BN426="","(none found)",Database!BN426)</f>
        <v/>
      </c>
      <c r="M426" s="53">
        <f>IFERROR(INDEX(BDH(TEXT(VALUE(Database!$A426),"0")&amp;" HK Equity","CUR_MKT_CAP",Database!$H426,Database!$H426),MATCH(Database!$H426,INDEX(BDH(TEXT(VALUE(Database!$A426),"0")&amp;" HK Equity","CUR_MKT_CAP",Database!$H426,Database!$H426),0,1),0),2),"run on terminal")</f>
        <v/>
      </c>
      <c r="N426" s="213">
        <f>Database!Q426</f>
        <v/>
      </c>
      <c r="O426" s="58">
        <f>IFERROR(INDEX(BDH(TEXT(VALUE(Database!$A426),"0")&amp;" HK Equity","PE_RATIO",Database!$H426,Database!$H426),MATCH(Database!$H426,INDEX(BDH(TEXT(VALUE(Database!$A426),"0")&amp;" HK Equity","PE_RATIO",Database!$H426,Database!$H426),0,1),0),2),"run on terminal")</f>
        <v/>
      </c>
      <c r="P426" s="251">
        <f>IF(Database!BH426="","(n/m or not derivable)",Database!BH426)</f>
        <v/>
      </c>
      <c r="Q426" s="58">
        <f>IF(Database!BN426="","",IFERROR(INDEX(BDH(LEFT(Database!BN426,FIND(".",Database!BN426)-1)&amp;" CH Equity","PE_RATIO",Database!$H426,Database!$H426),MATCH(Database!$H426,INDEX(BDH(LEFT(Database!BN426,FIND(".",Database!BN426)-1)&amp;" CH Equity","PE_RATIO",Database!$H426,Database!$H426),0,1),0),2),"run on terminal"))</f>
        <v/>
      </c>
      <c r="R426" s="58">
        <f>IF(Database!BN426="","",IFERROR(INDEX(BDH("HSAHP Index","PX_LAST",Database!$H426,Database!$H426),MATCH(Database!$H426,INDEX(BDH("HSAHP Index","PX_LAST",Database!$H426,Database!$H426),0,1),0),2),"run on terminal"))</f>
        <v/>
      </c>
      <c r="S426" s="58">
        <f>IFERROR(BDP(TEXT(VALUE(Database!$A426),"0")&amp;" HK Equity","PX_TO_SALES_RATIO"),"")</f>
        <v/>
      </c>
      <c r="T426" s="53">
        <f>IF(Database!BN426="","",IFERROR(BDP(LEFT(Database!BN426,FIND(".",Database!BN426)-1)&amp;" CH Equity","CUR_MKT_CAP")*BDP("CNYHKD Curncy","PX_LAST"),"run on terminal"))</f>
        <v/>
      </c>
    </row>
    <row r="427" ht="23" customHeight="1">
      <c r="A427" s="51">
        <f>Database!A427&amp;"  "&amp;Database!B427</f>
        <v/>
      </c>
      <c r="B427" s="43">
        <f>IFERROR(INDEX(BDS(TEXT(VALUE(Database!$A427),"0")&amp;" HK Equity","EQUITY_OFFERINGS","array=t","endcol=1"),MATCH("IPO",BDS(TEXT(VALUE(Database!$A427),"0")&amp;" HK Equity","EQUITY_OFFERINGS","array=t","startcol=2","endcol=2"),0)),"")</f>
        <v/>
      </c>
      <c r="C427" s="260">
        <f>IF($B427="","",IFERROR(BDP($B427&amp;" Action","CP036"),""))</f>
        <v/>
      </c>
      <c r="D427" s="261">
        <f>Database!S427</f>
        <v/>
      </c>
      <c r="E427" s="260">
        <f>IF($B427="","",IFERROR(BDP($B427&amp;" Action","CP037"),""))</f>
        <v/>
      </c>
      <c r="F427" s="261">
        <f>Database!T427</f>
        <v/>
      </c>
      <c r="G427" s="260">
        <f>IF($B427="","",IFERROR(BDP($B427&amp;" Action","GREENSHOE_FACILITY"),""))</f>
        <v/>
      </c>
      <c r="H427" s="260">
        <f>IF($B427="","",IFERROR(BDP($B427&amp;" Action","OFFERING_GREENSHOE_SHARES_EX"),""))</f>
        <v/>
      </c>
      <c r="I427" s="51">
        <f>Database!AE427</f>
        <v/>
      </c>
      <c r="J427" s="58">
        <f>IFERROR(BDP(TEXT(VALUE(Database!$A427),"0")&amp;" HK Equity","PE_RATIO"),"")</f>
        <v/>
      </c>
      <c r="K427" s="43">
        <f>IFERROR(BDP(TEXT(VALUE(Database!$A427),"0")&amp;" HK Equity","A/H_SHARE_CONVERSION"),"")</f>
        <v/>
      </c>
      <c r="L427" s="51">
        <f>IF(Database!BN427="","(none found)",Database!BN427)</f>
        <v/>
      </c>
      <c r="M427" s="53">
        <f>IFERROR(INDEX(BDH(TEXT(VALUE(Database!$A427),"0")&amp;" HK Equity","CUR_MKT_CAP",Database!$H427,Database!$H427),MATCH(Database!$H427,INDEX(BDH(TEXT(VALUE(Database!$A427),"0")&amp;" HK Equity","CUR_MKT_CAP",Database!$H427,Database!$H427),0,1),0),2),"run on terminal")</f>
        <v/>
      </c>
      <c r="N427" s="213">
        <f>Database!Q427</f>
        <v/>
      </c>
      <c r="O427" s="58">
        <f>IFERROR(INDEX(BDH(TEXT(VALUE(Database!$A427),"0")&amp;" HK Equity","PE_RATIO",Database!$H427,Database!$H427),MATCH(Database!$H427,INDEX(BDH(TEXT(VALUE(Database!$A427),"0")&amp;" HK Equity","PE_RATIO",Database!$H427,Database!$H427),0,1),0),2),"run on terminal")</f>
        <v/>
      </c>
      <c r="P427" s="251">
        <f>IF(Database!BH427="","(n/m or not derivable)",Database!BH427)</f>
        <v/>
      </c>
      <c r="Q427" s="58">
        <f>IF(Database!BN427="","",IFERROR(INDEX(BDH(LEFT(Database!BN427,FIND(".",Database!BN427)-1)&amp;" CH Equity","PE_RATIO",Database!$H427,Database!$H427),MATCH(Database!$H427,INDEX(BDH(LEFT(Database!BN427,FIND(".",Database!BN427)-1)&amp;" CH Equity","PE_RATIO",Database!$H427,Database!$H427),0,1),0),2),"run on terminal"))</f>
        <v/>
      </c>
      <c r="R427" s="58">
        <f>IF(Database!BN427="","",IFERROR(INDEX(BDH("HSAHP Index","PX_LAST",Database!$H427,Database!$H427),MATCH(Database!$H427,INDEX(BDH("HSAHP Index","PX_LAST",Database!$H427,Database!$H427),0,1),0),2),"run on terminal"))</f>
        <v/>
      </c>
      <c r="S427" s="58">
        <f>IFERROR(BDP(TEXT(VALUE(Database!$A427),"0")&amp;" HK Equity","PX_TO_SALES_RATIO"),"")</f>
        <v/>
      </c>
      <c r="T427" s="53">
        <f>IF(Database!BN427="","",IFERROR(BDP(LEFT(Database!BN427,FIND(".",Database!BN427)-1)&amp;" CH Equity","CUR_MKT_CAP")*BDP("CNYHKD Curncy","PX_LAST"),"run on terminal"))</f>
        <v/>
      </c>
    </row>
    <row r="428" ht="23" customHeight="1">
      <c r="A428" s="51">
        <f>Database!A428&amp;"  "&amp;Database!B428</f>
        <v/>
      </c>
      <c r="B428" s="43">
        <f>IFERROR(INDEX(BDS(TEXT(VALUE(Database!$A428),"0")&amp;" HK Equity","EQUITY_OFFERINGS","array=t","endcol=1"),MATCH("IPO",BDS(TEXT(VALUE(Database!$A428),"0")&amp;" HK Equity","EQUITY_OFFERINGS","array=t","startcol=2","endcol=2"),0)),"")</f>
        <v/>
      </c>
      <c r="C428" s="260">
        <f>IF($B428="","",IFERROR(BDP($B428&amp;" Action","CP036"),""))</f>
        <v/>
      </c>
      <c r="D428" s="261">
        <f>Database!S428</f>
        <v/>
      </c>
      <c r="E428" s="260">
        <f>IF($B428="","",IFERROR(BDP($B428&amp;" Action","CP037"),""))</f>
        <v/>
      </c>
      <c r="F428" s="261">
        <f>Database!T428</f>
        <v/>
      </c>
      <c r="G428" s="260">
        <f>IF($B428="","",IFERROR(BDP($B428&amp;" Action","GREENSHOE_FACILITY"),""))</f>
        <v/>
      </c>
      <c r="H428" s="260">
        <f>IF($B428="","",IFERROR(BDP($B428&amp;" Action","OFFERING_GREENSHOE_SHARES_EX"),""))</f>
        <v/>
      </c>
      <c r="I428" s="51">
        <f>Database!AE428</f>
        <v/>
      </c>
      <c r="J428" s="58">
        <f>IFERROR(BDP(TEXT(VALUE(Database!$A428),"0")&amp;" HK Equity","PE_RATIO"),"")</f>
        <v/>
      </c>
      <c r="K428" s="43">
        <f>IFERROR(BDP(TEXT(VALUE(Database!$A428),"0")&amp;" HK Equity","A/H_SHARE_CONVERSION"),"")</f>
        <v/>
      </c>
      <c r="L428" s="51">
        <f>IF(Database!BN428="","(none found)",Database!BN428)</f>
        <v/>
      </c>
      <c r="M428" s="53">
        <f>IFERROR(INDEX(BDH(TEXT(VALUE(Database!$A428),"0")&amp;" HK Equity","CUR_MKT_CAP",Database!$H428,Database!$H428),MATCH(Database!$H428,INDEX(BDH(TEXT(VALUE(Database!$A428),"0")&amp;" HK Equity","CUR_MKT_CAP",Database!$H428,Database!$H428),0,1),0),2),"run on terminal")</f>
        <v/>
      </c>
      <c r="N428" s="213">
        <f>Database!Q428</f>
        <v/>
      </c>
      <c r="O428" s="58">
        <f>IFERROR(INDEX(BDH(TEXT(VALUE(Database!$A428),"0")&amp;" HK Equity","PE_RATIO",Database!$H428,Database!$H428),MATCH(Database!$H428,INDEX(BDH(TEXT(VALUE(Database!$A428),"0")&amp;" HK Equity","PE_RATIO",Database!$H428,Database!$H428),0,1),0),2),"run on terminal")</f>
        <v/>
      </c>
      <c r="P428" s="251">
        <f>IF(Database!BH428="","(n/m or not derivable)",Database!BH428)</f>
        <v/>
      </c>
      <c r="Q428" s="58">
        <f>IF(Database!BN428="","",IFERROR(INDEX(BDH(LEFT(Database!BN428,FIND(".",Database!BN428)-1)&amp;" CH Equity","PE_RATIO",Database!$H428,Database!$H428),MATCH(Database!$H428,INDEX(BDH(LEFT(Database!BN428,FIND(".",Database!BN428)-1)&amp;" CH Equity","PE_RATIO",Database!$H428,Database!$H428),0,1),0),2),"run on terminal"))</f>
        <v/>
      </c>
      <c r="R428" s="58">
        <f>IF(Database!BN428="","",IFERROR(INDEX(BDH("HSAHP Index","PX_LAST",Database!$H428,Database!$H428),MATCH(Database!$H428,INDEX(BDH("HSAHP Index","PX_LAST",Database!$H428,Database!$H428),0,1),0),2),"run on terminal"))</f>
        <v/>
      </c>
      <c r="S428" s="58">
        <f>IFERROR(BDP(TEXT(VALUE(Database!$A428),"0")&amp;" HK Equity","PX_TO_SALES_RATIO"),"")</f>
        <v/>
      </c>
      <c r="T428" s="53">
        <f>IF(Database!BN428="","",IFERROR(BDP(LEFT(Database!BN428,FIND(".",Database!BN428)-1)&amp;" CH Equity","CUR_MKT_CAP")*BDP("CNYHKD Curncy","PX_LAST"),"run on terminal"))</f>
        <v/>
      </c>
    </row>
    <row r="429" ht="23" customHeight="1">
      <c r="A429" s="51">
        <f>Database!A429&amp;"  "&amp;Database!B429</f>
        <v/>
      </c>
      <c r="B429" s="43">
        <f>IFERROR(INDEX(BDS(TEXT(VALUE(Database!$A429),"0")&amp;" HK Equity","EQUITY_OFFERINGS","array=t","endcol=1"),MATCH("IPO",BDS(TEXT(VALUE(Database!$A429),"0")&amp;" HK Equity","EQUITY_OFFERINGS","array=t","startcol=2","endcol=2"),0)),"")</f>
        <v/>
      </c>
      <c r="C429" s="260">
        <f>IF($B429="","",IFERROR(BDP($B429&amp;" Action","CP036"),""))</f>
        <v/>
      </c>
      <c r="D429" s="261">
        <f>Database!S429</f>
        <v/>
      </c>
      <c r="E429" s="260">
        <f>IF($B429="","",IFERROR(BDP($B429&amp;" Action","CP037"),""))</f>
        <v/>
      </c>
      <c r="F429" s="261">
        <f>Database!T429</f>
        <v/>
      </c>
      <c r="G429" s="260">
        <f>IF($B429="","",IFERROR(BDP($B429&amp;" Action","GREENSHOE_FACILITY"),""))</f>
        <v/>
      </c>
      <c r="H429" s="260">
        <f>IF($B429="","",IFERROR(BDP($B429&amp;" Action","OFFERING_GREENSHOE_SHARES_EX"),""))</f>
        <v/>
      </c>
      <c r="I429" s="51">
        <f>Database!AE429</f>
        <v/>
      </c>
      <c r="J429" s="58">
        <f>IFERROR(BDP(TEXT(VALUE(Database!$A429),"0")&amp;" HK Equity","PE_RATIO"),"")</f>
        <v/>
      </c>
      <c r="K429" s="43">
        <f>IFERROR(BDP(TEXT(VALUE(Database!$A429),"0")&amp;" HK Equity","A/H_SHARE_CONVERSION"),"")</f>
        <v/>
      </c>
      <c r="L429" s="51">
        <f>IF(Database!BN429="","(none found)",Database!BN429)</f>
        <v/>
      </c>
      <c r="M429" s="53">
        <f>IFERROR(INDEX(BDH(TEXT(VALUE(Database!$A429),"0")&amp;" HK Equity","CUR_MKT_CAP",Database!$H429,Database!$H429),MATCH(Database!$H429,INDEX(BDH(TEXT(VALUE(Database!$A429),"0")&amp;" HK Equity","CUR_MKT_CAP",Database!$H429,Database!$H429),0,1),0),2),"run on terminal")</f>
        <v/>
      </c>
      <c r="N429" s="213">
        <f>Database!Q429</f>
        <v/>
      </c>
      <c r="O429" s="58">
        <f>IFERROR(INDEX(BDH(TEXT(VALUE(Database!$A429),"0")&amp;" HK Equity","PE_RATIO",Database!$H429,Database!$H429),MATCH(Database!$H429,INDEX(BDH(TEXT(VALUE(Database!$A429),"0")&amp;" HK Equity","PE_RATIO",Database!$H429,Database!$H429),0,1),0),2),"run on terminal")</f>
        <v/>
      </c>
      <c r="P429" s="251">
        <f>IF(Database!BH429="","(n/m or not derivable)",Database!BH429)</f>
        <v/>
      </c>
      <c r="Q429" s="58">
        <f>IF(Database!BN429="","",IFERROR(INDEX(BDH(LEFT(Database!BN429,FIND(".",Database!BN429)-1)&amp;" CH Equity","PE_RATIO",Database!$H429,Database!$H429),MATCH(Database!$H429,INDEX(BDH(LEFT(Database!BN429,FIND(".",Database!BN429)-1)&amp;" CH Equity","PE_RATIO",Database!$H429,Database!$H429),0,1),0),2),"run on terminal"))</f>
        <v/>
      </c>
      <c r="R429" s="58">
        <f>IF(Database!BN429="","",IFERROR(INDEX(BDH("HSAHP Index","PX_LAST",Database!$H429,Database!$H429),MATCH(Database!$H429,INDEX(BDH("HSAHP Index","PX_LAST",Database!$H429,Database!$H429),0,1),0),2),"run on terminal"))</f>
        <v/>
      </c>
      <c r="S429" s="58">
        <f>IFERROR(BDP(TEXT(VALUE(Database!$A429),"0")&amp;" HK Equity","PX_TO_SALES_RATIO"),"")</f>
        <v/>
      </c>
      <c r="T429" s="53">
        <f>IF(Database!BN429="","",IFERROR(BDP(LEFT(Database!BN429,FIND(".",Database!BN429)-1)&amp;" CH Equity","CUR_MKT_CAP")*BDP("CNYHKD Curncy","PX_LAST"),"run on terminal"))</f>
        <v/>
      </c>
    </row>
    <row r="430" ht="23" customHeight="1">
      <c r="A430" s="51">
        <f>Database!A430&amp;"  "&amp;Database!B430</f>
        <v/>
      </c>
      <c r="B430" s="43">
        <f>IFERROR(INDEX(BDS(TEXT(VALUE(Database!$A430),"0")&amp;" HK Equity","EQUITY_OFFERINGS","array=t","endcol=1"),MATCH("IPO",BDS(TEXT(VALUE(Database!$A430),"0")&amp;" HK Equity","EQUITY_OFFERINGS","array=t","startcol=2","endcol=2"),0)),"")</f>
        <v/>
      </c>
      <c r="C430" s="260">
        <f>IF($B430="","",IFERROR(BDP($B430&amp;" Action","CP036"),""))</f>
        <v/>
      </c>
      <c r="D430" s="261">
        <f>Database!S430</f>
        <v/>
      </c>
      <c r="E430" s="260">
        <f>IF($B430="","",IFERROR(BDP($B430&amp;" Action","CP037"),""))</f>
        <v/>
      </c>
      <c r="F430" s="261">
        <f>Database!T430</f>
        <v/>
      </c>
      <c r="G430" s="260">
        <f>IF($B430="","",IFERROR(BDP($B430&amp;" Action","GREENSHOE_FACILITY"),""))</f>
        <v/>
      </c>
      <c r="H430" s="260">
        <f>IF($B430="","",IFERROR(BDP($B430&amp;" Action","OFFERING_GREENSHOE_SHARES_EX"),""))</f>
        <v/>
      </c>
      <c r="I430" s="51">
        <f>Database!AE430</f>
        <v/>
      </c>
      <c r="J430" s="58">
        <f>IFERROR(BDP(TEXT(VALUE(Database!$A430),"0")&amp;" HK Equity","PE_RATIO"),"")</f>
        <v/>
      </c>
      <c r="K430" s="43">
        <f>IFERROR(BDP(TEXT(VALUE(Database!$A430),"0")&amp;" HK Equity","A/H_SHARE_CONVERSION"),"")</f>
        <v/>
      </c>
      <c r="L430" s="51">
        <f>IF(Database!BN430="","(none found)",Database!BN430)</f>
        <v/>
      </c>
      <c r="M430" s="53">
        <f>IFERROR(INDEX(BDH(TEXT(VALUE(Database!$A430),"0")&amp;" HK Equity","CUR_MKT_CAP",Database!$H430,Database!$H430),MATCH(Database!$H430,INDEX(BDH(TEXT(VALUE(Database!$A430),"0")&amp;" HK Equity","CUR_MKT_CAP",Database!$H430,Database!$H430),0,1),0),2),"run on terminal")</f>
        <v/>
      </c>
      <c r="N430" s="213">
        <f>Database!Q430</f>
        <v/>
      </c>
      <c r="O430" s="58">
        <f>IFERROR(INDEX(BDH(TEXT(VALUE(Database!$A430),"0")&amp;" HK Equity","PE_RATIO",Database!$H430,Database!$H430),MATCH(Database!$H430,INDEX(BDH(TEXT(VALUE(Database!$A430),"0")&amp;" HK Equity","PE_RATIO",Database!$H430,Database!$H430),0,1),0),2),"run on terminal")</f>
        <v/>
      </c>
      <c r="P430" s="251">
        <f>IF(Database!BH430="","(n/m or not derivable)",Database!BH430)</f>
        <v/>
      </c>
      <c r="Q430" s="58">
        <f>IF(Database!BN430="","",IFERROR(INDEX(BDH(LEFT(Database!BN430,FIND(".",Database!BN430)-1)&amp;" CH Equity","PE_RATIO",Database!$H430,Database!$H430),MATCH(Database!$H430,INDEX(BDH(LEFT(Database!BN430,FIND(".",Database!BN430)-1)&amp;" CH Equity","PE_RATIO",Database!$H430,Database!$H430),0,1),0),2),"run on terminal"))</f>
        <v/>
      </c>
      <c r="R430" s="58">
        <f>IF(Database!BN430="","",IFERROR(INDEX(BDH("HSAHP Index","PX_LAST",Database!$H430,Database!$H430),MATCH(Database!$H430,INDEX(BDH("HSAHP Index","PX_LAST",Database!$H430,Database!$H430),0,1),0),2),"run on terminal"))</f>
        <v/>
      </c>
      <c r="S430" s="58">
        <f>IFERROR(BDP(TEXT(VALUE(Database!$A430),"0")&amp;" HK Equity","PX_TO_SALES_RATIO"),"")</f>
        <v/>
      </c>
      <c r="T430" s="53">
        <f>IF(Database!BN430="","",IFERROR(BDP(LEFT(Database!BN430,FIND(".",Database!BN430)-1)&amp;" CH Equity","CUR_MKT_CAP")*BDP("CNYHKD Curncy","PX_LAST"),"run on terminal"))</f>
        <v/>
      </c>
    </row>
    <row r="431" ht="23" customHeight="1">
      <c r="A431" s="51">
        <f>Database!A431&amp;"  "&amp;Database!B431</f>
        <v/>
      </c>
      <c r="B431" s="43">
        <f>IFERROR(INDEX(BDS(TEXT(VALUE(Database!$A431),"0")&amp;" HK Equity","EQUITY_OFFERINGS","array=t","endcol=1"),MATCH("IPO",BDS(TEXT(VALUE(Database!$A431),"0")&amp;" HK Equity","EQUITY_OFFERINGS","array=t","startcol=2","endcol=2"),0)),"")</f>
        <v/>
      </c>
      <c r="C431" s="260">
        <f>IF($B431="","",IFERROR(BDP($B431&amp;" Action","CP036"),""))</f>
        <v/>
      </c>
      <c r="D431" s="261">
        <f>Database!S431</f>
        <v/>
      </c>
      <c r="E431" s="260">
        <f>IF($B431="","",IFERROR(BDP($B431&amp;" Action","CP037"),""))</f>
        <v/>
      </c>
      <c r="F431" s="261">
        <f>Database!T431</f>
        <v/>
      </c>
      <c r="G431" s="260">
        <f>IF($B431="","",IFERROR(BDP($B431&amp;" Action","GREENSHOE_FACILITY"),""))</f>
        <v/>
      </c>
      <c r="H431" s="260">
        <f>IF($B431="","",IFERROR(BDP($B431&amp;" Action","OFFERING_GREENSHOE_SHARES_EX"),""))</f>
        <v/>
      </c>
      <c r="I431" s="51">
        <f>Database!AE431</f>
        <v/>
      </c>
      <c r="J431" s="58">
        <f>IFERROR(BDP(TEXT(VALUE(Database!$A431),"0")&amp;" HK Equity","PE_RATIO"),"")</f>
        <v/>
      </c>
      <c r="K431" s="43">
        <f>IFERROR(BDP(TEXT(VALUE(Database!$A431),"0")&amp;" HK Equity","A/H_SHARE_CONVERSION"),"")</f>
        <v/>
      </c>
      <c r="L431" s="51">
        <f>IF(Database!BN431="","(none found)",Database!BN431)</f>
        <v/>
      </c>
      <c r="M431" s="53">
        <f>IFERROR(INDEX(BDH(TEXT(VALUE(Database!$A431),"0")&amp;" HK Equity","CUR_MKT_CAP",Database!$H431,Database!$H431),MATCH(Database!$H431,INDEX(BDH(TEXT(VALUE(Database!$A431),"0")&amp;" HK Equity","CUR_MKT_CAP",Database!$H431,Database!$H431),0,1),0),2),"run on terminal")</f>
        <v/>
      </c>
      <c r="N431" s="213">
        <f>Database!Q431</f>
        <v/>
      </c>
      <c r="O431" s="58">
        <f>IFERROR(INDEX(BDH(TEXT(VALUE(Database!$A431),"0")&amp;" HK Equity","PE_RATIO",Database!$H431,Database!$H431),MATCH(Database!$H431,INDEX(BDH(TEXT(VALUE(Database!$A431),"0")&amp;" HK Equity","PE_RATIO",Database!$H431,Database!$H431),0,1),0),2),"run on terminal")</f>
        <v/>
      </c>
      <c r="P431" s="251">
        <f>IF(Database!BH431="","(n/m or not derivable)",Database!BH431)</f>
        <v/>
      </c>
      <c r="Q431" s="58">
        <f>IF(Database!BN431="","",IFERROR(INDEX(BDH(LEFT(Database!BN431,FIND(".",Database!BN431)-1)&amp;" CH Equity","PE_RATIO",Database!$H431,Database!$H431),MATCH(Database!$H431,INDEX(BDH(LEFT(Database!BN431,FIND(".",Database!BN431)-1)&amp;" CH Equity","PE_RATIO",Database!$H431,Database!$H431),0,1),0),2),"run on terminal"))</f>
        <v/>
      </c>
      <c r="R431" s="58">
        <f>IF(Database!BN431="","",IFERROR(INDEX(BDH("HSAHP Index","PX_LAST",Database!$H431,Database!$H431),MATCH(Database!$H431,INDEX(BDH("HSAHP Index","PX_LAST",Database!$H431,Database!$H431),0,1),0),2),"run on terminal"))</f>
        <v/>
      </c>
      <c r="S431" s="58">
        <f>IFERROR(BDP(TEXT(VALUE(Database!$A431),"0")&amp;" HK Equity","PX_TO_SALES_RATIO"),"")</f>
        <v/>
      </c>
      <c r="T431" s="53">
        <f>IF(Database!BN431="","",IFERROR(BDP(LEFT(Database!BN431,FIND(".",Database!BN431)-1)&amp;" CH Equity","CUR_MKT_CAP")*BDP("CNYHKD Curncy","PX_LAST"),"run on terminal"))</f>
        <v/>
      </c>
    </row>
    <row r="432" ht="23" customHeight="1">
      <c r="A432" s="51">
        <f>Database!A432&amp;"  "&amp;Database!B432</f>
        <v/>
      </c>
      <c r="B432" s="43">
        <f>IFERROR(INDEX(BDS(TEXT(VALUE(Database!$A432),"0")&amp;" HK Equity","EQUITY_OFFERINGS","array=t","endcol=1"),MATCH("IPO",BDS(TEXT(VALUE(Database!$A432),"0")&amp;" HK Equity","EQUITY_OFFERINGS","array=t","startcol=2","endcol=2"),0)),"")</f>
        <v/>
      </c>
      <c r="C432" s="260">
        <f>IF($B432="","",IFERROR(BDP($B432&amp;" Action","CP036"),""))</f>
        <v/>
      </c>
      <c r="D432" s="261">
        <f>Database!S432</f>
        <v/>
      </c>
      <c r="E432" s="260">
        <f>IF($B432="","",IFERROR(BDP($B432&amp;" Action","CP037"),""))</f>
        <v/>
      </c>
      <c r="F432" s="261">
        <f>Database!T432</f>
        <v/>
      </c>
      <c r="G432" s="260">
        <f>IF($B432="","",IFERROR(BDP($B432&amp;" Action","GREENSHOE_FACILITY"),""))</f>
        <v/>
      </c>
      <c r="H432" s="260">
        <f>IF($B432="","",IFERROR(BDP($B432&amp;" Action","OFFERING_GREENSHOE_SHARES_EX"),""))</f>
        <v/>
      </c>
      <c r="I432" s="51">
        <f>Database!AE432</f>
        <v/>
      </c>
      <c r="J432" s="58">
        <f>IFERROR(BDP(TEXT(VALUE(Database!$A432),"0")&amp;" HK Equity","PE_RATIO"),"")</f>
        <v/>
      </c>
      <c r="K432" s="43">
        <f>IFERROR(BDP(TEXT(VALUE(Database!$A432),"0")&amp;" HK Equity","A/H_SHARE_CONVERSION"),"")</f>
        <v/>
      </c>
      <c r="L432" s="51">
        <f>IF(Database!BN432="","(none found)",Database!BN432)</f>
        <v/>
      </c>
      <c r="M432" s="53">
        <f>IFERROR(INDEX(BDH(TEXT(VALUE(Database!$A432),"0")&amp;" HK Equity","CUR_MKT_CAP",Database!$H432,Database!$H432),MATCH(Database!$H432,INDEX(BDH(TEXT(VALUE(Database!$A432),"0")&amp;" HK Equity","CUR_MKT_CAP",Database!$H432,Database!$H432),0,1),0),2),"run on terminal")</f>
        <v/>
      </c>
      <c r="N432" s="213">
        <f>Database!Q432</f>
        <v/>
      </c>
      <c r="O432" s="58">
        <f>IFERROR(INDEX(BDH(TEXT(VALUE(Database!$A432),"0")&amp;" HK Equity","PE_RATIO",Database!$H432,Database!$H432),MATCH(Database!$H432,INDEX(BDH(TEXT(VALUE(Database!$A432),"0")&amp;" HK Equity","PE_RATIO",Database!$H432,Database!$H432),0,1),0),2),"run on terminal")</f>
        <v/>
      </c>
      <c r="P432" s="251">
        <f>IF(Database!BH432="","(n/m or not derivable)",Database!BH432)</f>
        <v/>
      </c>
      <c r="Q432" s="58">
        <f>IF(Database!BN432="","",IFERROR(INDEX(BDH(LEFT(Database!BN432,FIND(".",Database!BN432)-1)&amp;" CH Equity","PE_RATIO",Database!$H432,Database!$H432),MATCH(Database!$H432,INDEX(BDH(LEFT(Database!BN432,FIND(".",Database!BN432)-1)&amp;" CH Equity","PE_RATIO",Database!$H432,Database!$H432),0,1),0),2),"run on terminal"))</f>
        <v/>
      </c>
      <c r="R432" s="58">
        <f>IF(Database!BN432="","",IFERROR(INDEX(BDH("HSAHP Index","PX_LAST",Database!$H432,Database!$H432),MATCH(Database!$H432,INDEX(BDH("HSAHP Index","PX_LAST",Database!$H432,Database!$H432),0,1),0),2),"run on terminal"))</f>
        <v/>
      </c>
      <c r="S432" s="58">
        <f>IFERROR(BDP(TEXT(VALUE(Database!$A432),"0")&amp;" HK Equity","PX_TO_SALES_RATIO"),"")</f>
        <v/>
      </c>
      <c r="T432" s="53">
        <f>IF(Database!BN432="","",IFERROR(BDP(LEFT(Database!BN432,FIND(".",Database!BN432)-1)&amp;" CH Equity","CUR_MKT_CAP")*BDP("CNYHKD Curncy","PX_LAST"),"run on terminal"))</f>
        <v/>
      </c>
    </row>
    <row r="433" ht="23" customHeight="1">
      <c r="A433" s="51">
        <f>Database!A433&amp;"  "&amp;Database!B433</f>
        <v/>
      </c>
      <c r="B433" s="43">
        <f>IFERROR(INDEX(BDS(TEXT(VALUE(Database!$A433),"0")&amp;" HK Equity","EQUITY_OFFERINGS","array=t","endcol=1"),MATCH("IPO",BDS(TEXT(VALUE(Database!$A433),"0")&amp;" HK Equity","EQUITY_OFFERINGS","array=t","startcol=2","endcol=2"),0)),"")</f>
        <v/>
      </c>
      <c r="C433" s="260">
        <f>IF($B433="","",IFERROR(BDP($B433&amp;" Action","CP036"),""))</f>
        <v/>
      </c>
      <c r="D433" s="261">
        <f>Database!S433</f>
        <v/>
      </c>
      <c r="E433" s="260">
        <f>IF($B433="","",IFERROR(BDP($B433&amp;" Action","CP037"),""))</f>
        <v/>
      </c>
      <c r="F433" s="261">
        <f>Database!T433</f>
        <v/>
      </c>
      <c r="G433" s="260">
        <f>IF($B433="","",IFERROR(BDP($B433&amp;" Action","GREENSHOE_FACILITY"),""))</f>
        <v/>
      </c>
      <c r="H433" s="260">
        <f>IF($B433="","",IFERROR(BDP($B433&amp;" Action","OFFERING_GREENSHOE_SHARES_EX"),""))</f>
        <v/>
      </c>
      <c r="I433" s="51">
        <f>Database!AE433</f>
        <v/>
      </c>
      <c r="J433" s="58">
        <f>IFERROR(BDP(TEXT(VALUE(Database!$A433),"0")&amp;" HK Equity","PE_RATIO"),"")</f>
        <v/>
      </c>
      <c r="K433" s="43">
        <f>IFERROR(BDP(TEXT(VALUE(Database!$A433),"0")&amp;" HK Equity","A/H_SHARE_CONVERSION"),"")</f>
        <v/>
      </c>
      <c r="L433" s="51">
        <f>IF(Database!BN433="","(none found)",Database!BN433)</f>
        <v/>
      </c>
      <c r="M433" s="53">
        <f>IFERROR(INDEX(BDH(TEXT(VALUE(Database!$A433),"0")&amp;" HK Equity","CUR_MKT_CAP",Database!$H433,Database!$H433),MATCH(Database!$H433,INDEX(BDH(TEXT(VALUE(Database!$A433),"0")&amp;" HK Equity","CUR_MKT_CAP",Database!$H433,Database!$H433),0,1),0),2),"run on terminal")</f>
        <v/>
      </c>
      <c r="N433" s="213">
        <f>Database!Q433</f>
        <v/>
      </c>
      <c r="O433" s="58">
        <f>IFERROR(INDEX(BDH(TEXT(VALUE(Database!$A433),"0")&amp;" HK Equity","PE_RATIO",Database!$H433,Database!$H433),MATCH(Database!$H433,INDEX(BDH(TEXT(VALUE(Database!$A433),"0")&amp;" HK Equity","PE_RATIO",Database!$H433,Database!$H433),0,1),0),2),"run on terminal")</f>
        <v/>
      </c>
      <c r="P433" s="251">
        <f>IF(Database!BH433="","(n/m or not derivable)",Database!BH433)</f>
        <v/>
      </c>
      <c r="Q433" s="58">
        <f>IF(Database!BN433="","",IFERROR(INDEX(BDH(LEFT(Database!BN433,FIND(".",Database!BN433)-1)&amp;" CH Equity","PE_RATIO",Database!$H433,Database!$H433),MATCH(Database!$H433,INDEX(BDH(LEFT(Database!BN433,FIND(".",Database!BN433)-1)&amp;" CH Equity","PE_RATIO",Database!$H433,Database!$H433),0,1),0),2),"run on terminal"))</f>
        <v/>
      </c>
      <c r="R433" s="58">
        <f>IF(Database!BN433="","",IFERROR(INDEX(BDH("HSAHP Index","PX_LAST",Database!$H433,Database!$H433),MATCH(Database!$H433,INDEX(BDH("HSAHP Index","PX_LAST",Database!$H433,Database!$H433),0,1),0),2),"run on terminal"))</f>
        <v/>
      </c>
      <c r="S433" s="58">
        <f>IFERROR(BDP(TEXT(VALUE(Database!$A433),"0")&amp;" HK Equity","PX_TO_SALES_RATIO"),"")</f>
        <v/>
      </c>
      <c r="T433" s="53">
        <f>IF(Database!BN433="","",IFERROR(BDP(LEFT(Database!BN433,FIND(".",Database!BN433)-1)&amp;" CH Equity","CUR_MKT_CAP")*BDP("CNYHKD Curncy","PX_LAST"),"run on terminal"))</f>
        <v/>
      </c>
    </row>
    <row r="434" ht="23" customHeight="1">
      <c r="A434" s="51">
        <f>Database!A434&amp;"  "&amp;Database!B434</f>
        <v/>
      </c>
      <c r="B434" s="43">
        <f>IFERROR(INDEX(BDS(TEXT(VALUE(Database!$A434),"0")&amp;" HK Equity","EQUITY_OFFERINGS","array=t","endcol=1"),MATCH("IPO",BDS(TEXT(VALUE(Database!$A434),"0")&amp;" HK Equity","EQUITY_OFFERINGS","array=t","startcol=2","endcol=2"),0)),"")</f>
        <v/>
      </c>
      <c r="C434" s="260">
        <f>IF($B434="","",IFERROR(BDP($B434&amp;" Action","CP036"),""))</f>
        <v/>
      </c>
      <c r="D434" s="261">
        <f>Database!S434</f>
        <v/>
      </c>
      <c r="E434" s="260">
        <f>IF($B434="","",IFERROR(BDP($B434&amp;" Action","CP037"),""))</f>
        <v/>
      </c>
      <c r="F434" s="261">
        <f>Database!T434</f>
        <v/>
      </c>
      <c r="G434" s="260">
        <f>IF($B434="","",IFERROR(BDP($B434&amp;" Action","GREENSHOE_FACILITY"),""))</f>
        <v/>
      </c>
      <c r="H434" s="260">
        <f>IF($B434="","",IFERROR(BDP($B434&amp;" Action","OFFERING_GREENSHOE_SHARES_EX"),""))</f>
        <v/>
      </c>
      <c r="I434" s="51">
        <f>Database!AE434</f>
        <v/>
      </c>
      <c r="J434" s="58">
        <f>IFERROR(BDP(TEXT(VALUE(Database!$A434),"0")&amp;" HK Equity","PE_RATIO"),"")</f>
        <v/>
      </c>
      <c r="K434" s="43">
        <f>IFERROR(BDP(TEXT(VALUE(Database!$A434),"0")&amp;" HK Equity","A/H_SHARE_CONVERSION"),"")</f>
        <v/>
      </c>
      <c r="L434" s="51">
        <f>IF(Database!BN434="","(none found)",Database!BN434)</f>
        <v/>
      </c>
      <c r="M434" s="53">
        <f>IFERROR(INDEX(BDH(TEXT(VALUE(Database!$A434),"0")&amp;" HK Equity","CUR_MKT_CAP",Database!$H434,Database!$H434),MATCH(Database!$H434,INDEX(BDH(TEXT(VALUE(Database!$A434),"0")&amp;" HK Equity","CUR_MKT_CAP",Database!$H434,Database!$H434),0,1),0),2),"run on terminal")</f>
        <v/>
      </c>
      <c r="N434" s="213">
        <f>Database!Q434</f>
        <v/>
      </c>
      <c r="O434" s="58">
        <f>IFERROR(INDEX(BDH(TEXT(VALUE(Database!$A434),"0")&amp;" HK Equity","PE_RATIO",Database!$H434,Database!$H434),MATCH(Database!$H434,INDEX(BDH(TEXT(VALUE(Database!$A434),"0")&amp;" HK Equity","PE_RATIO",Database!$H434,Database!$H434),0,1),0),2),"run on terminal")</f>
        <v/>
      </c>
      <c r="P434" s="251">
        <f>IF(Database!BH434="","(n/m or not derivable)",Database!BH434)</f>
        <v/>
      </c>
      <c r="Q434" s="58">
        <f>IF(Database!BN434="","",IFERROR(INDEX(BDH(LEFT(Database!BN434,FIND(".",Database!BN434)-1)&amp;" CH Equity","PE_RATIO",Database!$H434,Database!$H434),MATCH(Database!$H434,INDEX(BDH(LEFT(Database!BN434,FIND(".",Database!BN434)-1)&amp;" CH Equity","PE_RATIO",Database!$H434,Database!$H434),0,1),0),2),"run on terminal"))</f>
        <v/>
      </c>
      <c r="R434" s="58">
        <f>IF(Database!BN434="","",IFERROR(INDEX(BDH("HSAHP Index","PX_LAST",Database!$H434,Database!$H434),MATCH(Database!$H434,INDEX(BDH("HSAHP Index","PX_LAST",Database!$H434,Database!$H434),0,1),0),2),"run on terminal"))</f>
        <v/>
      </c>
      <c r="S434" s="58">
        <f>IFERROR(BDP(TEXT(VALUE(Database!$A434),"0")&amp;" HK Equity","PX_TO_SALES_RATIO"),"")</f>
        <v/>
      </c>
      <c r="T434" s="53">
        <f>IF(Database!BN434="","",IFERROR(BDP(LEFT(Database!BN434,FIND(".",Database!BN434)-1)&amp;" CH Equity","CUR_MKT_CAP")*BDP("CNYHKD Curncy","PX_LAST"),"run on terminal"))</f>
        <v/>
      </c>
    </row>
    <row r="435" ht="23" customHeight="1">
      <c r="A435" s="51">
        <f>Database!A435&amp;"  "&amp;Database!B435</f>
        <v/>
      </c>
      <c r="B435" s="43">
        <f>IFERROR(INDEX(BDS(TEXT(VALUE(Database!$A435),"0")&amp;" HK Equity","EQUITY_OFFERINGS","array=t","endcol=1"),MATCH("IPO",BDS(TEXT(VALUE(Database!$A435),"0")&amp;" HK Equity","EQUITY_OFFERINGS","array=t","startcol=2","endcol=2"),0)),"")</f>
        <v/>
      </c>
      <c r="C435" s="260">
        <f>IF($B435="","",IFERROR(BDP($B435&amp;" Action","CP036"),""))</f>
        <v/>
      </c>
      <c r="D435" s="261">
        <f>Database!S435</f>
        <v/>
      </c>
      <c r="E435" s="260">
        <f>IF($B435="","",IFERROR(BDP($B435&amp;" Action","CP037"),""))</f>
        <v/>
      </c>
      <c r="F435" s="261">
        <f>Database!T435</f>
        <v/>
      </c>
      <c r="G435" s="260">
        <f>IF($B435="","",IFERROR(BDP($B435&amp;" Action","GREENSHOE_FACILITY"),""))</f>
        <v/>
      </c>
      <c r="H435" s="260">
        <f>IF($B435="","",IFERROR(BDP($B435&amp;" Action","OFFERING_GREENSHOE_SHARES_EX"),""))</f>
        <v/>
      </c>
      <c r="I435" s="51">
        <f>Database!AE435</f>
        <v/>
      </c>
      <c r="J435" s="58">
        <f>IFERROR(BDP(TEXT(VALUE(Database!$A435),"0")&amp;" HK Equity","PE_RATIO"),"")</f>
        <v/>
      </c>
      <c r="K435" s="43">
        <f>IFERROR(BDP(TEXT(VALUE(Database!$A435),"0")&amp;" HK Equity","A/H_SHARE_CONVERSION"),"")</f>
        <v/>
      </c>
      <c r="L435" s="51">
        <f>IF(Database!BN435="","(none found)",Database!BN435)</f>
        <v/>
      </c>
      <c r="M435" s="53">
        <f>IFERROR(INDEX(BDH(TEXT(VALUE(Database!$A435),"0")&amp;" HK Equity","CUR_MKT_CAP",Database!$H435,Database!$H435),MATCH(Database!$H435,INDEX(BDH(TEXT(VALUE(Database!$A435),"0")&amp;" HK Equity","CUR_MKT_CAP",Database!$H435,Database!$H435),0,1),0),2),"run on terminal")</f>
        <v/>
      </c>
      <c r="N435" s="213">
        <f>Database!Q435</f>
        <v/>
      </c>
      <c r="O435" s="58">
        <f>IFERROR(INDEX(BDH(TEXT(VALUE(Database!$A435),"0")&amp;" HK Equity","PE_RATIO",Database!$H435,Database!$H435),MATCH(Database!$H435,INDEX(BDH(TEXT(VALUE(Database!$A435),"0")&amp;" HK Equity","PE_RATIO",Database!$H435,Database!$H435),0,1),0),2),"run on terminal")</f>
        <v/>
      </c>
      <c r="P435" s="251">
        <f>IF(Database!BH435="","(n/m or not derivable)",Database!BH435)</f>
        <v/>
      </c>
      <c r="Q435" s="58">
        <f>IF(Database!BN435="","",IFERROR(INDEX(BDH(LEFT(Database!BN435,FIND(".",Database!BN435)-1)&amp;" CH Equity","PE_RATIO",Database!$H435,Database!$H435),MATCH(Database!$H435,INDEX(BDH(LEFT(Database!BN435,FIND(".",Database!BN435)-1)&amp;" CH Equity","PE_RATIO",Database!$H435,Database!$H435),0,1),0),2),"run on terminal"))</f>
        <v/>
      </c>
      <c r="R435" s="58">
        <f>IF(Database!BN435="","",IFERROR(INDEX(BDH("HSAHP Index","PX_LAST",Database!$H435,Database!$H435),MATCH(Database!$H435,INDEX(BDH("HSAHP Index","PX_LAST",Database!$H435,Database!$H435),0,1),0),2),"run on terminal"))</f>
        <v/>
      </c>
      <c r="S435" s="58">
        <f>IFERROR(BDP(TEXT(VALUE(Database!$A435),"0")&amp;" HK Equity","PX_TO_SALES_RATIO"),"")</f>
        <v/>
      </c>
      <c r="T435" s="53">
        <f>IF(Database!BN435="","",IFERROR(BDP(LEFT(Database!BN435,FIND(".",Database!BN435)-1)&amp;" CH Equity","CUR_MKT_CAP")*BDP("CNYHKD Curncy","PX_LAST"),"run on terminal"))</f>
        <v/>
      </c>
    </row>
    <row r="436" ht="23" customHeight="1">
      <c r="A436" s="51">
        <f>Database!A436&amp;"  "&amp;Database!B436</f>
        <v/>
      </c>
      <c r="B436" s="43">
        <f>IFERROR(INDEX(BDS(TEXT(VALUE(Database!$A436),"0")&amp;" HK Equity","EQUITY_OFFERINGS","array=t","endcol=1"),MATCH("IPO",BDS(TEXT(VALUE(Database!$A436),"0")&amp;" HK Equity","EQUITY_OFFERINGS","array=t","startcol=2","endcol=2"),0)),"")</f>
        <v/>
      </c>
      <c r="C436" s="260">
        <f>IF($B436="","",IFERROR(BDP($B436&amp;" Action","CP036"),""))</f>
        <v/>
      </c>
      <c r="D436" s="261">
        <f>Database!S436</f>
        <v/>
      </c>
      <c r="E436" s="260">
        <f>IF($B436="","",IFERROR(BDP($B436&amp;" Action","CP037"),""))</f>
        <v/>
      </c>
      <c r="F436" s="261">
        <f>Database!T436</f>
        <v/>
      </c>
      <c r="G436" s="260">
        <f>IF($B436="","",IFERROR(BDP($B436&amp;" Action","GREENSHOE_FACILITY"),""))</f>
        <v/>
      </c>
      <c r="H436" s="260">
        <f>IF($B436="","",IFERROR(BDP($B436&amp;" Action","OFFERING_GREENSHOE_SHARES_EX"),""))</f>
        <v/>
      </c>
      <c r="I436" s="51">
        <f>Database!AE436</f>
        <v/>
      </c>
      <c r="J436" s="58">
        <f>IFERROR(BDP(TEXT(VALUE(Database!$A436),"0")&amp;" HK Equity","PE_RATIO"),"")</f>
        <v/>
      </c>
      <c r="K436" s="43">
        <f>IFERROR(BDP(TEXT(VALUE(Database!$A436),"0")&amp;" HK Equity","A/H_SHARE_CONVERSION"),"")</f>
        <v/>
      </c>
      <c r="L436" s="51">
        <f>IF(Database!BN436="","(none found)",Database!BN436)</f>
        <v/>
      </c>
      <c r="M436" s="53">
        <f>IFERROR(INDEX(BDH(TEXT(VALUE(Database!$A436),"0")&amp;" HK Equity","CUR_MKT_CAP",Database!$H436,Database!$H436),MATCH(Database!$H436,INDEX(BDH(TEXT(VALUE(Database!$A436),"0")&amp;" HK Equity","CUR_MKT_CAP",Database!$H436,Database!$H436),0,1),0),2),"run on terminal")</f>
        <v/>
      </c>
      <c r="N436" s="213">
        <f>Database!Q436</f>
        <v/>
      </c>
      <c r="O436" s="58">
        <f>IFERROR(INDEX(BDH(TEXT(VALUE(Database!$A436),"0")&amp;" HK Equity","PE_RATIO",Database!$H436,Database!$H436),MATCH(Database!$H436,INDEX(BDH(TEXT(VALUE(Database!$A436),"0")&amp;" HK Equity","PE_RATIO",Database!$H436,Database!$H436),0,1),0),2),"run on terminal")</f>
        <v/>
      </c>
      <c r="P436" s="251">
        <f>IF(Database!BH436="","(n/m or not derivable)",Database!BH436)</f>
        <v/>
      </c>
      <c r="Q436" s="58">
        <f>IF(Database!BN436="","",IFERROR(INDEX(BDH(LEFT(Database!BN436,FIND(".",Database!BN436)-1)&amp;" CH Equity","PE_RATIO",Database!$H436,Database!$H436),MATCH(Database!$H436,INDEX(BDH(LEFT(Database!BN436,FIND(".",Database!BN436)-1)&amp;" CH Equity","PE_RATIO",Database!$H436,Database!$H436),0,1),0),2),"run on terminal"))</f>
        <v/>
      </c>
      <c r="R436" s="58">
        <f>IF(Database!BN436="","",IFERROR(INDEX(BDH("HSAHP Index","PX_LAST",Database!$H436,Database!$H436),MATCH(Database!$H436,INDEX(BDH("HSAHP Index","PX_LAST",Database!$H436,Database!$H436),0,1),0),2),"run on terminal"))</f>
        <v/>
      </c>
      <c r="S436" s="58">
        <f>IFERROR(BDP(TEXT(VALUE(Database!$A436),"0")&amp;" HK Equity","PX_TO_SALES_RATIO"),"")</f>
        <v/>
      </c>
      <c r="T436" s="53">
        <f>IF(Database!BN436="","",IFERROR(BDP(LEFT(Database!BN436,FIND(".",Database!BN436)-1)&amp;" CH Equity","CUR_MKT_CAP")*BDP("CNYHKD Curncy","PX_LAST"),"run on terminal"))</f>
        <v/>
      </c>
    </row>
    <row r="437" ht="23" customHeight="1">
      <c r="A437" s="51">
        <f>Database!A437&amp;"  "&amp;Database!B437</f>
        <v/>
      </c>
      <c r="B437" s="43">
        <f>IFERROR(INDEX(BDS(TEXT(VALUE(Database!$A437),"0")&amp;" HK Equity","EQUITY_OFFERINGS","array=t","endcol=1"),MATCH("IPO",BDS(TEXT(VALUE(Database!$A437),"0")&amp;" HK Equity","EQUITY_OFFERINGS","array=t","startcol=2","endcol=2"),0)),"")</f>
        <v/>
      </c>
      <c r="C437" s="260">
        <f>IF($B437="","",IFERROR(BDP($B437&amp;" Action","CP036"),""))</f>
        <v/>
      </c>
      <c r="D437" s="261">
        <f>Database!S437</f>
        <v/>
      </c>
      <c r="E437" s="260">
        <f>IF($B437="","",IFERROR(BDP($B437&amp;" Action","CP037"),""))</f>
        <v/>
      </c>
      <c r="F437" s="261">
        <f>Database!T437</f>
        <v/>
      </c>
      <c r="G437" s="260">
        <f>IF($B437="","",IFERROR(BDP($B437&amp;" Action","GREENSHOE_FACILITY"),""))</f>
        <v/>
      </c>
      <c r="H437" s="260">
        <f>IF($B437="","",IFERROR(BDP($B437&amp;" Action","OFFERING_GREENSHOE_SHARES_EX"),""))</f>
        <v/>
      </c>
      <c r="I437" s="51">
        <f>Database!AE437</f>
        <v/>
      </c>
      <c r="J437" s="58">
        <f>IFERROR(BDP(TEXT(VALUE(Database!$A437),"0")&amp;" HK Equity","PE_RATIO"),"")</f>
        <v/>
      </c>
      <c r="K437" s="43">
        <f>IFERROR(BDP(TEXT(VALUE(Database!$A437),"0")&amp;" HK Equity","A/H_SHARE_CONVERSION"),"")</f>
        <v/>
      </c>
      <c r="L437" s="51">
        <f>IF(Database!BN437="","(none found)",Database!BN437)</f>
        <v/>
      </c>
      <c r="M437" s="53">
        <f>IFERROR(INDEX(BDH(TEXT(VALUE(Database!$A437),"0")&amp;" HK Equity","CUR_MKT_CAP",Database!$H437,Database!$H437),MATCH(Database!$H437,INDEX(BDH(TEXT(VALUE(Database!$A437),"0")&amp;" HK Equity","CUR_MKT_CAP",Database!$H437,Database!$H437),0,1),0),2),"run on terminal")</f>
        <v/>
      </c>
      <c r="N437" s="213">
        <f>Database!Q437</f>
        <v/>
      </c>
      <c r="O437" s="58">
        <f>IFERROR(INDEX(BDH(TEXT(VALUE(Database!$A437),"0")&amp;" HK Equity","PE_RATIO",Database!$H437,Database!$H437),MATCH(Database!$H437,INDEX(BDH(TEXT(VALUE(Database!$A437),"0")&amp;" HK Equity","PE_RATIO",Database!$H437,Database!$H437),0,1),0),2),"run on terminal")</f>
        <v/>
      </c>
      <c r="P437" s="251">
        <f>IF(Database!BH437="","(n/m or not derivable)",Database!BH437)</f>
        <v/>
      </c>
      <c r="Q437" s="58">
        <f>IF(Database!BN437="","",IFERROR(INDEX(BDH(LEFT(Database!BN437,FIND(".",Database!BN437)-1)&amp;" CH Equity","PE_RATIO",Database!$H437,Database!$H437),MATCH(Database!$H437,INDEX(BDH(LEFT(Database!BN437,FIND(".",Database!BN437)-1)&amp;" CH Equity","PE_RATIO",Database!$H437,Database!$H437),0,1),0),2),"run on terminal"))</f>
        <v/>
      </c>
      <c r="R437" s="58">
        <f>IF(Database!BN437="","",IFERROR(INDEX(BDH("HSAHP Index","PX_LAST",Database!$H437,Database!$H437),MATCH(Database!$H437,INDEX(BDH("HSAHP Index","PX_LAST",Database!$H437,Database!$H437),0,1),0),2),"run on terminal"))</f>
        <v/>
      </c>
      <c r="S437" s="58">
        <f>IFERROR(BDP(TEXT(VALUE(Database!$A437),"0")&amp;" HK Equity","PX_TO_SALES_RATIO"),"")</f>
        <v/>
      </c>
      <c r="T437" s="53">
        <f>IF(Database!BN437="","",IFERROR(BDP(LEFT(Database!BN437,FIND(".",Database!BN437)-1)&amp;" CH Equity","CUR_MKT_CAP")*BDP("CNYHKD Curncy","PX_LAST"),"run on terminal"))</f>
        <v/>
      </c>
    </row>
    <row r="438" ht="23" customHeight="1">
      <c r="A438" s="51">
        <f>Database!A438&amp;"  "&amp;Database!B438</f>
        <v/>
      </c>
      <c r="B438" s="43">
        <f>IFERROR(INDEX(BDS(TEXT(VALUE(Database!$A438),"0")&amp;" HK Equity","EQUITY_OFFERINGS","array=t","endcol=1"),MATCH("IPO",BDS(TEXT(VALUE(Database!$A438),"0")&amp;" HK Equity","EQUITY_OFFERINGS","array=t","startcol=2","endcol=2"),0)),"")</f>
        <v/>
      </c>
      <c r="C438" s="260">
        <f>IF($B438="","",IFERROR(BDP($B438&amp;" Action","CP036"),""))</f>
        <v/>
      </c>
      <c r="D438" s="261">
        <f>Database!S438</f>
        <v/>
      </c>
      <c r="E438" s="260">
        <f>IF($B438="","",IFERROR(BDP($B438&amp;" Action","CP037"),""))</f>
        <v/>
      </c>
      <c r="F438" s="261">
        <f>Database!T438</f>
        <v/>
      </c>
      <c r="G438" s="260">
        <f>IF($B438="","",IFERROR(BDP($B438&amp;" Action","GREENSHOE_FACILITY"),""))</f>
        <v/>
      </c>
      <c r="H438" s="260">
        <f>IF($B438="","",IFERROR(BDP($B438&amp;" Action","OFFERING_GREENSHOE_SHARES_EX"),""))</f>
        <v/>
      </c>
      <c r="I438" s="51">
        <f>Database!AE438</f>
        <v/>
      </c>
      <c r="J438" s="58">
        <f>IFERROR(BDP(TEXT(VALUE(Database!$A438),"0")&amp;" HK Equity","PE_RATIO"),"")</f>
        <v/>
      </c>
      <c r="K438" s="43">
        <f>IFERROR(BDP(TEXT(VALUE(Database!$A438),"0")&amp;" HK Equity","A/H_SHARE_CONVERSION"),"")</f>
        <v/>
      </c>
      <c r="L438" s="51">
        <f>IF(Database!BN438="","(none found)",Database!BN438)</f>
        <v/>
      </c>
      <c r="M438" s="53">
        <f>IFERROR(INDEX(BDH(TEXT(VALUE(Database!$A438),"0")&amp;" HK Equity","CUR_MKT_CAP",Database!$H438,Database!$H438),MATCH(Database!$H438,INDEX(BDH(TEXT(VALUE(Database!$A438),"0")&amp;" HK Equity","CUR_MKT_CAP",Database!$H438,Database!$H438),0,1),0),2),"run on terminal")</f>
        <v/>
      </c>
      <c r="N438" s="213">
        <f>Database!Q438</f>
        <v/>
      </c>
      <c r="O438" s="58">
        <f>IFERROR(INDEX(BDH(TEXT(VALUE(Database!$A438),"0")&amp;" HK Equity","PE_RATIO",Database!$H438,Database!$H438),MATCH(Database!$H438,INDEX(BDH(TEXT(VALUE(Database!$A438),"0")&amp;" HK Equity","PE_RATIO",Database!$H438,Database!$H438),0,1),0),2),"run on terminal")</f>
        <v/>
      </c>
      <c r="P438" s="251">
        <f>IF(Database!BH438="","(n/m or not derivable)",Database!BH438)</f>
        <v/>
      </c>
      <c r="Q438" s="58">
        <f>IF(Database!BN438="","",IFERROR(INDEX(BDH(LEFT(Database!BN438,FIND(".",Database!BN438)-1)&amp;" CH Equity","PE_RATIO",Database!$H438,Database!$H438),MATCH(Database!$H438,INDEX(BDH(LEFT(Database!BN438,FIND(".",Database!BN438)-1)&amp;" CH Equity","PE_RATIO",Database!$H438,Database!$H438),0,1),0),2),"run on terminal"))</f>
        <v/>
      </c>
      <c r="R438" s="58">
        <f>IF(Database!BN438="","",IFERROR(INDEX(BDH("HSAHP Index","PX_LAST",Database!$H438,Database!$H438),MATCH(Database!$H438,INDEX(BDH("HSAHP Index","PX_LAST",Database!$H438,Database!$H438),0,1),0),2),"run on terminal"))</f>
        <v/>
      </c>
      <c r="S438" s="58">
        <f>IFERROR(BDP(TEXT(VALUE(Database!$A438),"0")&amp;" HK Equity","PX_TO_SALES_RATIO"),"")</f>
        <v/>
      </c>
      <c r="T438" s="53">
        <f>IF(Database!BN438="","",IFERROR(BDP(LEFT(Database!BN438,FIND(".",Database!BN438)-1)&amp;" CH Equity","CUR_MKT_CAP")*BDP("CNYHKD Curncy","PX_LAST"),"run on terminal"))</f>
        <v/>
      </c>
    </row>
    <row r="439" ht="23" customHeight="1">
      <c r="A439" s="51">
        <f>Database!A439&amp;"  "&amp;Database!B439</f>
        <v/>
      </c>
      <c r="B439" s="43">
        <f>IFERROR(INDEX(BDS(TEXT(VALUE(Database!$A439),"0")&amp;" HK Equity","EQUITY_OFFERINGS","array=t","endcol=1"),MATCH("IPO",BDS(TEXT(VALUE(Database!$A439),"0")&amp;" HK Equity","EQUITY_OFFERINGS","array=t","startcol=2","endcol=2"),0)),"")</f>
        <v/>
      </c>
      <c r="C439" s="260">
        <f>IF($B439="","",IFERROR(BDP($B439&amp;" Action","CP036"),""))</f>
        <v/>
      </c>
      <c r="D439" s="261">
        <f>Database!S439</f>
        <v/>
      </c>
      <c r="E439" s="260">
        <f>IF($B439="","",IFERROR(BDP($B439&amp;" Action","CP037"),""))</f>
        <v/>
      </c>
      <c r="F439" s="261">
        <f>Database!T439</f>
        <v/>
      </c>
      <c r="G439" s="260">
        <f>IF($B439="","",IFERROR(BDP($B439&amp;" Action","GREENSHOE_FACILITY"),""))</f>
        <v/>
      </c>
      <c r="H439" s="260">
        <f>IF($B439="","",IFERROR(BDP($B439&amp;" Action","OFFERING_GREENSHOE_SHARES_EX"),""))</f>
        <v/>
      </c>
      <c r="I439" s="51">
        <f>Database!AE439</f>
        <v/>
      </c>
      <c r="J439" s="58">
        <f>IFERROR(BDP(TEXT(VALUE(Database!$A439),"0")&amp;" HK Equity","PE_RATIO"),"")</f>
        <v/>
      </c>
      <c r="K439" s="43">
        <f>IFERROR(BDP(TEXT(VALUE(Database!$A439),"0")&amp;" HK Equity","A/H_SHARE_CONVERSION"),"")</f>
        <v/>
      </c>
      <c r="L439" s="51">
        <f>IF(Database!BN439="","(none found)",Database!BN439)</f>
        <v/>
      </c>
      <c r="M439" s="53">
        <f>IFERROR(INDEX(BDH(TEXT(VALUE(Database!$A439),"0")&amp;" HK Equity","CUR_MKT_CAP",Database!$H439,Database!$H439),MATCH(Database!$H439,INDEX(BDH(TEXT(VALUE(Database!$A439),"0")&amp;" HK Equity","CUR_MKT_CAP",Database!$H439,Database!$H439),0,1),0),2),"run on terminal")</f>
        <v/>
      </c>
      <c r="N439" s="213">
        <f>Database!Q439</f>
        <v/>
      </c>
      <c r="O439" s="58">
        <f>IFERROR(INDEX(BDH(TEXT(VALUE(Database!$A439),"0")&amp;" HK Equity","PE_RATIO",Database!$H439,Database!$H439),MATCH(Database!$H439,INDEX(BDH(TEXT(VALUE(Database!$A439),"0")&amp;" HK Equity","PE_RATIO",Database!$H439,Database!$H439),0,1),0),2),"run on terminal")</f>
        <v/>
      </c>
      <c r="P439" s="251">
        <f>IF(Database!BH439="","(n/m or not derivable)",Database!BH439)</f>
        <v/>
      </c>
      <c r="Q439" s="58">
        <f>IF(Database!BN439="","",IFERROR(INDEX(BDH(LEFT(Database!BN439,FIND(".",Database!BN439)-1)&amp;" CH Equity","PE_RATIO",Database!$H439,Database!$H439),MATCH(Database!$H439,INDEX(BDH(LEFT(Database!BN439,FIND(".",Database!BN439)-1)&amp;" CH Equity","PE_RATIO",Database!$H439,Database!$H439),0,1),0),2),"run on terminal"))</f>
        <v/>
      </c>
      <c r="R439" s="58">
        <f>IF(Database!BN439="","",IFERROR(INDEX(BDH("HSAHP Index","PX_LAST",Database!$H439,Database!$H439),MATCH(Database!$H439,INDEX(BDH("HSAHP Index","PX_LAST",Database!$H439,Database!$H439),0,1),0),2),"run on terminal"))</f>
        <v/>
      </c>
      <c r="S439" s="58">
        <f>IFERROR(BDP(TEXT(VALUE(Database!$A439),"0")&amp;" HK Equity","PX_TO_SALES_RATIO"),"")</f>
        <v/>
      </c>
      <c r="T439" s="53">
        <f>IF(Database!BN439="","",IFERROR(BDP(LEFT(Database!BN439,FIND(".",Database!BN439)-1)&amp;" CH Equity","CUR_MKT_CAP")*BDP("CNYHKD Curncy","PX_LAST"),"run on terminal"))</f>
        <v/>
      </c>
    </row>
    <row r="440" ht="23" customHeight="1">
      <c r="A440" s="51">
        <f>Database!A440&amp;"  "&amp;Database!B440</f>
        <v/>
      </c>
      <c r="B440" s="43">
        <f>IFERROR(INDEX(BDS(TEXT(VALUE(Database!$A440),"0")&amp;" HK Equity","EQUITY_OFFERINGS","array=t","endcol=1"),MATCH("IPO",BDS(TEXT(VALUE(Database!$A440),"0")&amp;" HK Equity","EQUITY_OFFERINGS","array=t","startcol=2","endcol=2"),0)),"")</f>
        <v/>
      </c>
      <c r="C440" s="260">
        <f>IF($B440="","",IFERROR(BDP($B440&amp;" Action","CP036"),""))</f>
        <v/>
      </c>
      <c r="D440" s="261">
        <f>Database!S440</f>
        <v/>
      </c>
      <c r="E440" s="260">
        <f>IF($B440="","",IFERROR(BDP($B440&amp;" Action","CP037"),""))</f>
        <v/>
      </c>
      <c r="F440" s="261">
        <f>Database!T440</f>
        <v/>
      </c>
      <c r="G440" s="260">
        <f>IF($B440="","",IFERROR(BDP($B440&amp;" Action","GREENSHOE_FACILITY"),""))</f>
        <v/>
      </c>
      <c r="H440" s="260">
        <f>IF($B440="","",IFERROR(BDP($B440&amp;" Action","OFFERING_GREENSHOE_SHARES_EX"),""))</f>
        <v/>
      </c>
      <c r="I440" s="51">
        <f>Database!AE440</f>
        <v/>
      </c>
      <c r="J440" s="58">
        <f>IFERROR(BDP(TEXT(VALUE(Database!$A440),"0")&amp;" HK Equity","PE_RATIO"),"")</f>
        <v/>
      </c>
      <c r="K440" s="43">
        <f>IFERROR(BDP(TEXT(VALUE(Database!$A440),"0")&amp;" HK Equity","A/H_SHARE_CONVERSION"),"")</f>
        <v/>
      </c>
      <c r="L440" s="51">
        <f>IF(Database!BN440="","(none found)",Database!BN440)</f>
        <v/>
      </c>
      <c r="M440" s="53">
        <f>IFERROR(INDEX(BDH(TEXT(VALUE(Database!$A440),"0")&amp;" HK Equity","CUR_MKT_CAP",Database!$H440,Database!$H440),MATCH(Database!$H440,INDEX(BDH(TEXT(VALUE(Database!$A440),"0")&amp;" HK Equity","CUR_MKT_CAP",Database!$H440,Database!$H440),0,1),0),2),"run on terminal")</f>
        <v/>
      </c>
      <c r="N440" s="213">
        <f>Database!Q440</f>
        <v/>
      </c>
      <c r="O440" s="58">
        <f>IFERROR(INDEX(BDH(TEXT(VALUE(Database!$A440),"0")&amp;" HK Equity","PE_RATIO",Database!$H440,Database!$H440),MATCH(Database!$H440,INDEX(BDH(TEXT(VALUE(Database!$A440),"0")&amp;" HK Equity","PE_RATIO",Database!$H440,Database!$H440),0,1),0),2),"run on terminal")</f>
        <v/>
      </c>
      <c r="P440" s="251">
        <f>IF(Database!BH440="","(n/m or not derivable)",Database!BH440)</f>
        <v/>
      </c>
      <c r="Q440" s="58">
        <f>IF(Database!BN440="","",IFERROR(INDEX(BDH(LEFT(Database!BN440,FIND(".",Database!BN440)-1)&amp;" CH Equity","PE_RATIO",Database!$H440,Database!$H440),MATCH(Database!$H440,INDEX(BDH(LEFT(Database!BN440,FIND(".",Database!BN440)-1)&amp;" CH Equity","PE_RATIO",Database!$H440,Database!$H440),0,1),0),2),"run on terminal"))</f>
        <v/>
      </c>
      <c r="R440" s="58">
        <f>IF(Database!BN440="","",IFERROR(INDEX(BDH("HSAHP Index","PX_LAST",Database!$H440,Database!$H440),MATCH(Database!$H440,INDEX(BDH("HSAHP Index","PX_LAST",Database!$H440,Database!$H440),0,1),0),2),"run on terminal"))</f>
        <v/>
      </c>
      <c r="S440" s="58">
        <f>IFERROR(BDP(TEXT(VALUE(Database!$A440),"0")&amp;" HK Equity","PX_TO_SALES_RATIO"),"")</f>
        <v/>
      </c>
      <c r="T440" s="53">
        <f>IF(Database!BN440="","",IFERROR(BDP(LEFT(Database!BN440,FIND(".",Database!BN440)-1)&amp;" CH Equity","CUR_MKT_CAP")*BDP("CNYHKD Curncy","PX_LAST"),"run on terminal"))</f>
        <v/>
      </c>
    </row>
    <row r="441" ht="23" customHeight="1">
      <c r="A441" s="51">
        <f>Database!A441&amp;"  "&amp;Database!B441</f>
        <v/>
      </c>
      <c r="B441" s="43">
        <f>IFERROR(INDEX(BDS(TEXT(VALUE(Database!$A441),"0")&amp;" HK Equity","EQUITY_OFFERINGS","array=t","endcol=1"),MATCH("IPO",BDS(TEXT(VALUE(Database!$A441),"0")&amp;" HK Equity","EQUITY_OFFERINGS","array=t","startcol=2","endcol=2"),0)),"")</f>
        <v/>
      </c>
      <c r="C441" s="260">
        <f>IF($B441="","",IFERROR(BDP($B441&amp;" Action","CP036"),""))</f>
        <v/>
      </c>
      <c r="D441" s="261">
        <f>Database!S441</f>
        <v/>
      </c>
      <c r="E441" s="260">
        <f>IF($B441="","",IFERROR(BDP($B441&amp;" Action","CP037"),""))</f>
        <v/>
      </c>
      <c r="F441" s="261">
        <f>Database!T441</f>
        <v/>
      </c>
      <c r="G441" s="260">
        <f>IF($B441="","",IFERROR(BDP($B441&amp;" Action","GREENSHOE_FACILITY"),""))</f>
        <v/>
      </c>
      <c r="H441" s="260">
        <f>IF($B441="","",IFERROR(BDP($B441&amp;" Action","OFFERING_GREENSHOE_SHARES_EX"),""))</f>
        <v/>
      </c>
      <c r="I441" s="51">
        <f>Database!AE441</f>
        <v/>
      </c>
      <c r="J441" s="58">
        <f>IFERROR(BDP(TEXT(VALUE(Database!$A441),"0")&amp;" HK Equity","PE_RATIO"),"")</f>
        <v/>
      </c>
      <c r="K441" s="43">
        <f>IFERROR(BDP(TEXT(VALUE(Database!$A441),"0")&amp;" HK Equity","A/H_SHARE_CONVERSION"),"")</f>
        <v/>
      </c>
      <c r="L441" s="51">
        <f>IF(Database!BN441="","(none found)",Database!BN441)</f>
        <v/>
      </c>
      <c r="M441" s="53">
        <f>IFERROR(INDEX(BDH(TEXT(VALUE(Database!$A441),"0")&amp;" HK Equity","CUR_MKT_CAP",Database!$H441,Database!$H441),MATCH(Database!$H441,INDEX(BDH(TEXT(VALUE(Database!$A441),"0")&amp;" HK Equity","CUR_MKT_CAP",Database!$H441,Database!$H441),0,1),0),2),"run on terminal")</f>
        <v/>
      </c>
      <c r="N441" s="213">
        <f>Database!Q441</f>
        <v/>
      </c>
      <c r="O441" s="58">
        <f>IFERROR(INDEX(BDH(TEXT(VALUE(Database!$A441),"0")&amp;" HK Equity","PE_RATIO",Database!$H441,Database!$H441),MATCH(Database!$H441,INDEX(BDH(TEXT(VALUE(Database!$A441),"0")&amp;" HK Equity","PE_RATIO",Database!$H441,Database!$H441),0,1),0),2),"run on terminal")</f>
        <v/>
      </c>
      <c r="P441" s="251">
        <f>IF(Database!BH441="","(n/m or not derivable)",Database!BH441)</f>
        <v/>
      </c>
      <c r="Q441" s="58">
        <f>IF(Database!BN441="","",IFERROR(INDEX(BDH(LEFT(Database!BN441,FIND(".",Database!BN441)-1)&amp;" CH Equity","PE_RATIO",Database!$H441,Database!$H441),MATCH(Database!$H441,INDEX(BDH(LEFT(Database!BN441,FIND(".",Database!BN441)-1)&amp;" CH Equity","PE_RATIO",Database!$H441,Database!$H441),0,1),0),2),"run on terminal"))</f>
        <v/>
      </c>
      <c r="R441" s="58">
        <f>IF(Database!BN441="","",IFERROR(INDEX(BDH("HSAHP Index","PX_LAST",Database!$H441,Database!$H441),MATCH(Database!$H441,INDEX(BDH("HSAHP Index","PX_LAST",Database!$H441,Database!$H441),0,1),0),2),"run on terminal"))</f>
        <v/>
      </c>
      <c r="S441" s="58">
        <f>IFERROR(BDP(TEXT(VALUE(Database!$A441),"0")&amp;" HK Equity","PX_TO_SALES_RATIO"),"")</f>
        <v/>
      </c>
      <c r="T441" s="53">
        <f>IF(Database!BN441="","",IFERROR(BDP(LEFT(Database!BN441,FIND(".",Database!BN441)-1)&amp;" CH Equity","CUR_MKT_CAP")*BDP("CNYHKD Curncy","PX_LAST"),"run on terminal"))</f>
        <v/>
      </c>
    </row>
    <row r="442" ht="23" customHeight="1">
      <c r="A442" s="51">
        <f>Database!A442&amp;"  "&amp;Database!B442</f>
        <v/>
      </c>
      <c r="B442" s="43">
        <f>IFERROR(INDEX(BDS(TEXT(VALUE(Database!$A442),"0")&amp;" HK Equity","EQUITY_OFFERINGS","array=t","endcol=1"),MATCH("IPO",BDS(TEXT(VALUE(Database!$A442),"0")&amp;" HK Equity","EQUITY_OFFERINGS","array=t","startcol=2","endcol=2"),0)),"")</f>
        <v/>
      </c>
      <c r="C442" s="260">
        <f>IF($B442="","",IFERROR(BDP($B442&amp;" Action","CP036"),""))</f>
        <v/>
      </c>
      <c r="D442" s="261">
        <f>Database!S442</f>
        <v/>
      </c>
      <c r="E442" s="260">
        <f>IF($B442="","",IFERROR(BDP($B442&amp;" Action","CP037"),""))</f>
        <v/>
      </c>
      <c r="F442" s="261">
        <f>Database!T442</f>
        <v/>
      </c>
      <c r="G442" s="260">
        <f>IF($B442="","",IFERROR(BDP($B442&amp;" Action","GREENSHOE_FACILITY"),""))</f>
        <v/>
      </c>
      <c r="H442" s="260">
        <f>IF($B442="","",IFERROR(BDP($B442&amp;" Action","OFFERING_GREENSHOE_SHARES_EX"),""))</f>
        <v/>
      </c>
      <c r="I442" s="51">
        <f>Database!AE442</f>
        <v/>
      </c>
      <c r="J442" s="58">
        <f>IFERROR(BDP(TEXT(VALUE(Database!$A442),"0")&amp;" HK Equity","PE_RATIO"),"")</f>
        <v/>
      </c>
      <c r="K442" s="43">
        <f>IFERROR(BDP(TEXT(VALUE(Database!$A442),"0")&amp;" HK Equity","A/H_SHARE_CONVERSION"),"")</f>
        <v/>
      </c>
      <c r="L442" s="51">
        <f>IF(Database!BN442="","(none found)",Database!BN442)</f>
        <v/>
      </c>
      <c r="M442" s="53">
        <f>IFERROR(INDEX(BDH(TEXT(VALUE(Database!$A442),"0")&amp;" HK Equity","CUR_MKT_CAP",Database!$H442,Database!$H442),MATCH(Database!$H442,INDEX(BDH(TEXT(VALUE(Database!$A442),"0")&amp;" HK Equity","CUR_MKT_CAP",Database!$H442,Database!$H442),0,1),0),2),"run on terminal")</f>
        <v/>
      </c>
      <c r="N442" s="213">
        <f>Database!Q442</f>
        <v/>
      </c>
      <c r="O442" s="58">
        <f>IFERROR(INDEX(BDH(TEXT(VALUE(Database!$A442),"0")&amp;" HK Equity","PE_RATIO",Database!$H442,Database!$H442),MATCH(Database!$H442,INDEX(BDH(TEXT(VALUE(Database!$A442),"0")&amp;" HK Equity","PE_RATIO",Database!$H442,Database!$H442),0,1),0),2),"run on terminal")</f>
        <v/>
      </c>
      <c r="P442" s="251">
        <f>IF(Database!BH442="","(n/m or not derivable)",Database!BH442)</f>
        <v/>
      </c>
      <c r="Q442" s="58">
        <f>IF(Database!BN442="","",IFERROR(INDEX(BDH(LEFT(Database!BN442,FIND(".",Database!BN442)-1)&amp;" CH Equity","PE_RATIO",Database!$H442,Database!$H442),MATCH(Database!$H442,INDEX(BDH(LEFT(Database!BN442,FIND(".",Database!BN442)-1)&amp;" CH Equity","PE_RATIO",Database!$H442,Database!$H442),0,1),0),2),"run on terminal"))</f>
        <v/>
      </c>
      <c r="R442" s="58">
        <f>IF(Database!BN442="","",IFERROR(INDEX(BDH("HSAHP Index","PX_LAST",Database!$H442,Database!$H442),MATCH(Database!$H442,INDEX(BDH("HSAHP Index","PX_LAST",Database!$H442,Database!$H442),0,1),0),2),"run on terminal"))</f>
        <v/>
      </c>
      <c r="S442" s="58">
        <f>IFERROR(BDP(TEXT(VALUE(Database!$A442),"0")&amp;" HK Equity","PX_TO_SALES_RATIO"),"")</f>
        <v/>
      </c>
      <c r="T442" s="53">
        <f>IF(Database!BN442="","",IFERROR(BDP(LEFT(Database!BN442,FIND(".",Database!BN442)-1)&amp;" CH Equity","CUR_MKT_CAP")*BDP("CNYHKD Curncy","PX_LAST"),"run on terminal"))</f>
        <v/>
      </c>
    </row>
    <row r="443" ht="23" customHeight="1">
      <c r="A443" s="51">
        <f>Database!A443&amp;"  "&amp;Database!B443</f>
        <v/>
      </c>
      <c r="B443" s="43">
        <f>IFERROR(INDEX(BDS(TEXT(VALUE(Database!$A443),"0")&amp;" HK Equity","EQUITY_OFFERINGS","array=t","endcol=1"),MATCH("IPO",BDS(TEXT(VALUE(Database!$A443),"0")&amp;" HK Equity","EQUITY_OFFERINGS","array=t","startcol=2","endcol=2"),0)),"")</f>
        <v/>
      </c>
      <c r="C443" s="260">
        <f>IF($B443="","",IFERROR(BDP($B443&amp;" Action","CP036"),""))</f>
        <v/>
      </c>
      <c r="D443" s="261">
        <f>Database!S443</f>
        <v/>
      </c>
      <c r="E443" s="260">
        <f>IF($B443="","",IFERROR(BDP($B443&amp;" Action","CP037"),""))</f>
        <v/>
      </c>
      <c r="F443" s="261">
        <f>Database!T443</f>
        <v/>
      </c>
      <c r="G443" s="260">
        <f>IF($B443="","",IFERROR(BDP($B443&amp;" Action","GREENSHOE_FACILITY"),""))</f>
        <v/>
      </c>
      <c r="H443" s="260">
        <f>IF($B443="","",IFERROR(BDP($B443&amp;" Action","OFFERING_GREENSHOE_SHARES_EX"),""))</f>
        <v/>
      </c>
      <c r="I443" s="51">
        <f>Database!AE443</f>
        <v/>
      </c>
      <c r="J443" s="58">
        <f>IFERROR(BDP(TEXT(VALUE(Database!$A443),"0")&amp;" HK Equity","PE_RATIO"),"")</f>
        <v/>
      </c>
      <c r="K443" s="43">
        <f>IFERROR(BDP(TEXT(VALUE(Database!$A443),"0")&amp;" HK Equity","A/H_SHARE_CONVERSION"),"")</f>
        <v/>
      </c>
      <c r="L443" s="51">
        <f>IF(Database!BN443="","(none found)",Database!BN443)</f>
        <v/>
      </c>
      <c r="M443" s="53">
        <f>IFERROR(INDEX(BDH(TEXT(VALUE(Database!$A443),"0")&amp;" HK Equity","CUR_MKT_CAP",Database!$H443,Database!$H443),MATCH(Database!$H443,INDEX(BDH(TEXT(VALUE(Database!$A443),"0")&amp;" HK Equity","CUR_MKT_CAP",Database!$H443,Database!$H443),0,1),0),2),"run on terminal")</f>
        <v/>
      </c>
      <c r="N443" s="213">
        <f>Database!Q443</f>
        <v/>
      </c>
      <c r="O443" s="58">
        <f>IFERROR(INDEX(BDH(TEXT(VALUE(Database!$A443),"0")&amp;" HK Equity","PE_RATIO",Database!$H443,Database!$H443),MATCH(Database!$H443,INDEX(BDH(TEXT(VALUE(Database!$A443),"0")&amp;" HK Equity","PE_RATIO",Database!$H443,Database!$H443),0,1),0),2),"run on terminal")</f>
        <v/>
      </c>
      <c r="P443" s="251">
        <f>IF(Database!BH443="","(n/m or not derivable)",Database!BH443)</f>
        <v/>
      </c>
      <c r="Q443" s="58">
        <f>IF(Database!BN443="","",IFERROR(INDEX(BDH(LEFT(Database!BN443,FIND(".",Database!BN443)-1)&amp;" CH Equity","PE_RATIO",Database!$H443,Database!$H443),MATCH(Database!$H443,INDEX(BDH(LEFT(Database!BN443,FIND(".",Database!BN443)-1)&amp;" CH Equity","PE_RATIO",Database!$H443,Database!$H443),0,1),0),2),"run on terminal"))</f>
        <v/>
      </c>
      <c r="R443" s="58">
        <f>IF(Database!BN443="","",IFERROR(INDEX(BDH("HSAHP Index","PX_LAST",Database!$H443,Database!$H443),MATCH(Database!$H443,INDEX(BDH("HSAHP Index","PX_LAST",Database!$H443,Database!$H443),0,1),0),2),"run on terminal"))</f>
        <v/>
      </c>
      <c r="S443" s="58">
        <f>IFERROR(BDP(TEXT(VALUE(Database!$A443),"0")&amp;" HK Equity","PX_TO_SALES_RATIO"),"")</f>
        <v/>
      </c>
      <c r="T443" s="53">
        <f>IF(Database!BN443="","",IFERROR(BDP(LEFT(Database!BN443,FIND(".",Database!BN443)-1)&amp;" CH Equity","CUR_MKT_CAP")*BDP("CNYHKD Curncy","PX_LAST"),"run on terminal"))</f>
        <v/>
      </c>
    </row>
    <row r="444" ht="23" customHeight="1">
      <c r="A444" s="51">
        <f>Database!A444&amp;"  "&amp;Database!B444</f>
        <v/>
      </c>
      <c r="B444" s="43">
        <f>IFERROR(INDEX(BDS(TEXT(VALUE(Database!$A444),"0")&amp;" HK Equity","EQUITY_OFFERINGS","array=t","endcol=1"),MATCH("IPO",BDS(TEXT(VALUE(Database!$A444),"0")&amp;" HK Equity","EQUITY_OFFERINGS","array=t","startcol=2","endcol=2"),0)),"")</f>
        <v/>
      </c>
      <c r="C444" s="260">
        <f>IF($B444="","",IFERROR(BDP($B444&amp;" Action","CP036"),""))</f>
        <v/>
      </c>
      <c r="D444" s="261">
        <f>Database!S444</f>
        <v/>
      </c>
      <c r="E444" s="260">
        <f>IF($B444="","",IFERROR(BDP($B444&amp;" Action","CP037"),""))</f>
        <v/>
      </c>
      <c r="F444" s="261">
        <f>Database!T444</f>
        <v/>
      </c>
      <c r="G444" s="260">
        <f>IF($B444="","",IFERROR(BDP($B444&amp;" Action","GREENSHOE_FACILITY"),""))</f>
        <v/>
      </c>
      <c r="H444" s="260">
        <f>IF($B444="","",IFERROR(BDP($B444&amp;" Action","OFFERING_GREENSHOE_SHARES_EX"),""))</f>
        <v/>
      </c>
      <c r="I444" s="51">
        <f>Database!AE444</f>
        <v/>
      </c>
      <c r="J444" s="58">
        <f>IFERROR(BDP(TEXT(VALUE(Database!$A444),"0")&amp;" HK Equity","PE_RATIO"),"")</f>
        <v/>
      </c>
      <c r="K444" s="43">
        <f>IFERROR(BDP(TEXT(VALUE(Database!$A444),"0")&amp;" HK Equity","A/H_SHARE_CONVERSION"),"")</f>
        <v/>
      </c>
      <c r="L444" s="51">
        <f>IF(Database!BN444="","(none found)",Database!BN444)</f>
        <v/>
      </c>
      <c r="M444" s="53">
        <f>IFERROR(INDEX(BDH(TEXT(VALUE(Database!$A444),"0")&amp;" HK Equity","CUR_MKT_CAP",Database!$H444,Database!$H444),MATCH(Database!$H444,INDEX(BDH(TEXT(VALUE(Database!$A444),"0")&amp;" HK Equity","CUR_MKT_CAP",Database!$H444,Database!$H444),0,1),0),2),"run on terminal")</f>
        <v/>
      </c>
      <c r="N444" s="213">
        <f>Database!Q444</f>
        <v/>
      </c>
      <c r="O444" s="58">
        <f>IFERROR(INDEX(BDH(TEXT(VALUE(Database!$A444),"0")&amp;" HK Equity","PE_RATIO",Database!$H444,Database!$H444),MATCH(Database!$H444,INDEX(BDH(TEXT(VALUE(Database!$A444),"0")&amp;" HK Equity","PE_RATIO",Database!$H444,Database!$H444),0,1),0),2),"run on terminal")</f>
        <v/>
      </c>
      <c r="P444" s="251">
        <f>IF(Database!BH444="","(n/m or not derivable)",Database!BH444)</f>
        <v/>
      </c>
      <c r="Q444" s="58">
        <f>IF(Database!BN444="","",IFERROR(INDEX(BDH(LEFT(Database!BN444,FIND(".",Database!BN444)-1)&amp;" CH Equity","PE_RATIO",Database!$H444,Database!$H444),MATCH(Database!$H444,INDEX(BDH(LEFT(Database!BN444,FIND(".",Database!BN444)-1)&amp;" CH Equity","PE_RATIO",Database!$H444,Database!$H444),0,1),0),2),"run on terminal"))</f>
        <v/>
      </c>
      <c r="R444" s="58">
        <f>IF(Database!BN444="","",IFERROR(INDEX(BDH("HSAHP Index","PX_LAST",Database!$H444,Database!$H444),MATCH(Database!$H444,INDEX(BDH("HSAHP Index","PX_LAST",Database!$H444,Database!$H444),0,1),0),2),"run on terminal"))</f>
        <v/>
      </c>
      <c r="S444" s="58">
        <f>IFERROR(BDP(TEXT(VALUE(Database!$A444),"0")&amp;" HK Equity","PX_TO_SALES_RATIO"),"")</f>
        <v/>
      </c>
      <c r="T444" s="53">
        <f>IF(Database!BN444="","",IFERROR(BDP(LEFT(Database!BN444,FIND(".",Database!BN444)-1)&amp;" CH Equity","CUR_MKT_CAP")*BDP("CNYHKD Curncy","PX_LAST"),"run on terminal"))</f>
        <v/>
      </c>
    </row>
    <row r="445" ht="23" customHeight="1">
      <c r="A445" s="51">
        <f>Database!A445&amp;"  "&amp;Database!B445</f>
        <v/>
      </c>
      <c r="B445" s="43">
        <f>IFERROR(INDEX(BDS(TEXT(VALUE(Database!$A445),"0")&amp;" HK Equity","EQUITY_OFFERINGS","array=t","endcol=1"),MATCH("IPO",BDS(TEXT(VALUE(Database!$A445),"0")&amp;" HK Equity","EQUITY_OFFERINGS","array=t","startcol=2","endcol=2"),0)),"")</f>
        <v/>
      </c>
      <c r="C445" s="260">
        <f>IF($B445="","",IFERROR(BDP($B445&amp;" Action","CP036"),""))</f>
        <v/>
      </c>
      <c r="D445" s="261">
        <f>Database!S445</f>
        <v/>
      </c>
      <c r="E445" s="260">
        <f>IF($B445="","",IFERROR(BDP($B445&amp;" Action","CP037"),""))</f>
        <v/>
      </c>
      <c r="F445" s="261">
        <f>Database!T445</f>
        <v/>
      </c>
      <c r="G445" s="260">
        <f>IF($B445="","",IFERROR(BDP($B445&amp;" Action","GREENSHOE_FACILITY"),""))</f>
        <v/>
      </c>
      <c r="H445" s="260">
        <f>IF($B445="","",IFERROR(BDP($B445&amp;" Action","OFFERING_GREENSHOE_SHARES_EX"),""))</f>
        <v/>
      </c>
      <c r="I445" s="51">
        <f>Database!AE445</f>
        <v/>
      </c>
      <c r="J445" s="58">
        <f>IFERROR(BDP(TEXT(VALUE(Database!$A445),"0")&amp;" HK Equity","PE_RATIO"),"")</f>
        <v/>
      </c>
      <c r="K445" s="43">
        <f>IFERROR(BDP(TEXT(VALUE(Database!$A445),"0")&amp;" HK Equity","A/H_SHARE_CONVERSION"),"")</f>
        <v/>
      </c>
      <c r="L445" s="51">
        <f>IF(Database!BN445="","(none found)",Database!BN445)</f>
        <v/>
      </c>
      <c r="M445" s="53">
        <f>IFERROR(INDEX(BDH(TEXT(VALUE(Database!$A445),"0")&amp;" HK Equity","CUR_MKT_CAP",Database!$H445,Database!$H445),MATCH(Database!$H445,INDEX(BDH(TEXT(VALUE(Database!$A445),"0")&amp;" HK Equity","CUR_MKT_CAP",Database!$H445,Database!$H445),0,1),0),2),"run on terminal")</f>
        <v/>
      </c>
      <c r="N445" s="213">
        <f>Database!Q445</f>
        <v/>
      </c>
      <c r="O445" s="58">
        <f>IFERROR(INDEX(BDH(TEXT(VALUE(Database!$A445),"0")&amp;" HK Equity","PE_RATIO",Database!$H445,Database!$H445),MATCH(Database!$H445,INDEX(BDH(TEXT(VALUE(Database!$A445),"0")&amp;" HK Equity","PE_RATIO",Database!$H445,Database!$H445),0,1),0),2),"run on terminal")</f>
        <v/>
      </c>
      <c r="P445" s="251">
        <f>IF(Database!BH445="","(n/m or not derivable)",Database!BH445)</f>
        <v/>
      </c>
      <c r="Q445" s="58">
        <f>IF(Database!BN445="","",IFERROR(INDEX(BDH(LEFT(Database!BN445,FIND(".",Database!BN445)-1)&amp;" CH Equity","PE_RATIO",Database!$H445,Database!$H445),MATCH(Database!$H445,INDEX(BDH(LEFT(Database!BN445,FIND(".",Database!BN445)-1)&amp;" CH Equity","PE_RATIO",Database!$H445,Database!$H445),0,1),0),2),"run on terminal"))</f>
        <v/>
      </c>
      <c r="R445" s="58">
        <f>IF(Database!BN445="","",IFERROR(INDEX(BDH("HSAHP Index","PX_LAST",Database!$H445,Database!$H445),MATCH(Database!$H445,INDEX(BDH("HSAHP Index","PX_LAST",Database!$H445,Database!$H445),0,1),0),2),"run on terminal"))</f>
        <v/>
      </c>
      <c r="S445" s="58">
        <f>IFERROR(BDP(TEXT(VALUE(Database!$A445),"0")&amp;" HK Equity","PX_TO_SALES_RATIO"),"")</f>
        <v/>
      </c>
      <c r="T445" s="53">
        <f>IF(Database!BN445="","",IFERROR(BDP(LEFT(Database!BN445,FIND(".",Database!BN445)-1)&amp;" CH Equity","CUR_MKT_CAP")*BDP("CNYHKD Curncy","PX_LAST"),"run on terminal"))</f>
        <v/>
      </c>
    </row>
    <row r="446" ht="23" customHeight="1">
      <c r="A446" s="51">
        <f>Database!A446&amp;"  "&amp;Database!B446</f>
        <v/>
      </c>
      <c r="B446" s="43">
        <f>IFERROR(INDEX(BDS(TEXT(VALUE(Database!$A446),"0")&amp;" HK Equity","EQUITY_OFFERINGS","array=t","endcol=1"),MATCH("IPO",BDS(TEXT(VALUE(Database!$A446),"0")&amp;" HK Equity","EQUITY_OFFERINGS","array=t","startcol=2","endcol=2"),0)),"")</f>
        <v/>
      </c>
      <c r="C446" s="260">
        <f>IF($B446="","",IFERROR(BDP($B446&amp;" Action","CP036"),""))</f>
        <v/>
      </c>
      <c r="D446" s="261">
        <f>Database!S446</f>
        <v/>
      </c>
      <c r="E446" s="260">
        <f>IF($B446="","",IFERROR(BDP($B446&amp;" Action","CP037"),""))</f>
        <v/>
      </c>
      <c r="F446" s="261">
        <f>Database!T446</f>
        <v/>
      </c>
      <c r="G446" s="260">
        <f>IF($B446="","",IFERROR(BDP($B446&amp;" Action","GREENSHOE_FACILITY"),""))</f>
        <v/>
      </c>
      <c r="H446" s="260">
        <f>IF($B446="","",IFERROR(BDP($B446&amp;" Action","OFFERING_GREENSHOE_SHARES_EX"),""))</f>
        <v/>
      </c>
      <c r="I446" s="51">
        <f>Database!AE446</f>
        <v/>
      </c>
      <c r="J446" s="58">
        <f>IFERROR(BDP(TEXT(VALUE(Database!$A446),"0")&amp;" HK Equity","PE_RATIO"),"")</f>
        <v/>
      </c>
      <c r="K446" s="43">
        <f>IFERROR(BDP(TEXT(VALUE(Database!$A446),"0")&amp;" HK Equity","A/H_SHARE_CONVERSION"),"")</f>
        <v/>
      </c>
      <c r="L446" s="51">
        <f>IF(Database!BN446="","(none found)",Database!BN446)</f>
        <v/>
      </c>
      <c r="M446" s="53">
        <f>IFERROR(INDEX(BDH(TEXT(VALUE(Database!$A446),"0")&amp;" HK Equity","CUR_MKT_CAP",Database!$H446,Database!$H446),MATCH(Database!$H446,INDEX(BDH(TEXT(VALUE(Database!$A446),"0")&amp;" HK Equity","CUR_MKT_CAP",Database!$H446,Database!$H446),0,1),0),2),"run on terminal")</f>
        <v/>
      </c>
      <c r="N446" s="213">
        <f>Database!Q446</f>
        <v/>
      </c>
      <c r="O446" s="58">
        <f>IFERROR(INDEX(BDH(TEXT(VALUE(Database!$A446),"0")&amp;" HK Equity","PE_RATIO",Database!$H446,Database!$H446),MATCH(Database!$H446,INDEX(BDH(TEXT(VALUE(Database!$A446),"0")&amp;" HK Equity","PE_RATIO",Database!$H446,Database!$H446),0,1),0),2),"run on terminal")</f>
        <v/>
      </c>
      <c r="P446" s="251">
        <f>IF(Database!BH446="","(n/m or not derivable)",Database!BH446)</f>
        <v/>
      </c>
      <c r="Q446" s="58">
        <f>IF(Database!BN446="","",IFERROR(INDEX(BDH(LEFT(Database!BN446,FIND(".",Database!BN446)-1)&amp;" CH Equity","PE_RATIO",Database!$H446,Database!$H446),MATCH(Database!$H446,INDEX(BDH(LEFT(Database!BN446,FIND(".",Database!BN446)-1)&amp;" CH Equity","PE_RATIO",Database!$H446,Database!$H446),0,1),0),2),"run on terminal"))</f>
        <v/>
      </c>
      <c r="R446" s="58">
        <f>IF(Database!BN446="","",IFERROR(INDEX(BDH("HSAHP Index","PX_LAST",Database!$H446,Database!$H446),MATCH(Database!$H446,INDEX(BDH("HSAHP Index","PX_LAST",Database!$H446,Database!$H446),0,1),0),2),"run on terminal"))</f>
        <v/>
      </c>
      <c r="S446" s="58">
        <f>IFERROR(BDP(TEXT(VALUE(Database!$A446),"0")&amp;" HK Equity","PX_TO_SALES_RATIO"),"")</f>
        <v/>
      </c>
      <c r="T446" s="53">
        <f>IF(Database!BN446="","",IFERROR(BDP(LEFT(Database!BN446,FIND(".",Database!BN446)-1)&amp;" CH Equity","CUR_MKT_CAP")*BDP("CNYHKD Curncy","PX_LAST"),"run on terminal"))</f>
        <v/>
      </c>
    </row>
    <row r="447" ht="23" customHeight="1">
      <c r="A447" s="51">
        <f>Database!A447&amp;"  "&amp;Database!B447</f>
        <v/>
      </c>
      <c r="B447" s="43">
        <f>IFERROR(INDEX(BDS(TEXT(VALUE(Database!$A447),"0")&amp;" HK Equity","EQUITY_OFFERINGS","array=t","endcol=1"),MATCH("IPO",BDS(TEXT(VALUE(Database!$A447),"0")&amp;" HK Equity","EQUITY_OFFERINGS","array=t","startcol=2","endcol=2"),0)),"")</f>
        <v/>
      </c>
      <c r="C447" s="260">
        <f>IF($B447="","",IFERROR(BDP($B447&amp;" Action","CP036"),""))</f>
        <v/>
      </c>
      <c r="D447" s="261">
        <f>Database!S447</f>
        <v/>
      </c>
      <c r="E447" s="260">
        <f>IF($B447="","",IFERROR(BDP($B447&amp;" Action","CP037"),""))</f>
        <v/>
      </c>
      <c r="F447" s="261">
        <f>Database!T447</f>
        <v/>
      </c>
      <c r="G447" s="260">
        <f>IF($B447="","",IFERROR(BDP($B447&amp;" Action","GREENSHOE_FACILITY"),""))</f>
        <v/>
      </c>
      <c r="H447" s="260">
        <f>IF($B447="","",IFERROR(BDP($B447&amp;" Action","OFFERING_GREENSHOE_SHARES_EX"),""))</f>
        <v/>
      </c>
      <c r="I447" s="51">
        <f>Database!AE447</f>
        <v/>
      </c>
      <c r="J447" s="58">
        <f>IFERROR(BDP(TEXT(VALUE(Database!$A447),"0")&amp;" HK Equity","PE_RATIO"),"")</f>
        <v/>
      </c>
      <c r="K447" s="43">
        <f>IFERROR(BDP(TEXT(VALUE(Database!$A447),"0")&amp;" HK Equity","A/H_SHARE_CONVERSION"),"")</f>
        <v/>
      </c>
      <c r="L447" s="51">
        <f>IF(Database!BN447="","(none found)",Database!BN447)</f>
        <v/>
      </c>
      <c r="M447" s="53">
        <f>IFERROR(INDEX(BDH(TEXT(VALUE(Database!$A447),"0")&amp;" HK Equity","CUR_MKT_CAP",Database!$H447,Database!$H447),MATCH(Database!$H447,INDEX(BDH(TEXT(VALUE(Database!$A447),"0")&amp;" HK Equity","CUR_MKT_CAP",Database!$H447,Database!$H447),0,1),0),2),"run on terminal")</f>
        <v/>
      </c>
      <c r="N447" s="213">
        <f>Database!Q447</f>
        <v/>
      </c>
      <c r="O447" s="58">
        <f>IFERROR(INDEX(BDH(TEXT(VALUE(Database!$A447),"0")&amp;" HK Equity","PE_RATIO",Database!$H447,Database!$H447),MATCH(Database!$H447,INDEX(BDH(TEXT(VALUE(Database!$A447),"0")&amp;" HK Equity","PE_RATIO",Database!$H447,Database!$H447),0,1),0),2),"run on terminal")</f>
        <v/>
      </c>
      <c r="P447" s="251">
        <f>IF(Database!BH447="","(n/m or not derivable)",Database!BH447)</f>
        <v/>
      </c>
      <c r="Q447" s="58">
        <f>IF(Database!BN447="","",IFERROR(INDEX(BDH(LEFT(Database!BN447,FIND(".",Database!BN447)-1)&amp;" CH Equity","PE_RATIO",Database!$H447,Database!$H447),MATCH(Database!$H447,INDEX(BDH(LEFT(Database!BN447,FIND(".",Database!BN447)-1)&amp;" CH Equity","PE_RATIO",Database!$H447,Database!$H447),0,1),0),2),"run on terminal"))</f>
        <v/>
      </c>
      <c r="R447" s="58">
        <f>IF(Database!BN447="","",IFERROR(INDEX(BDH("HSAHP Index","PX_LAST",Database!$H447,Database!$H447),MATCH(Database!$H447,INDEX(BDH("HSAHP Index","PX_LAST",Database!$H447,Database!$H447),0,1),0),2),"run on terminal"))</f>
        <v/>
      </c>
      <c r="S447" s="58">
        <f>IFERROR(BDP(TEXT(VALUE(Database!$A447),"0")&amp;" HK Equity","PX_TO_SALES_RATIO"),"")</f>
        <v/>
      </c>
      <c r="T447" s="53">
        <f>IF(Database!BN447="","",IFERROR(BDP(LEFT(Database!BN447,FIND(".",Database!BN447)-1)&amp;" CH Equity","CUR_MKT_CAP")*BDP("CNYHKD Curncy","PX_LAST"),"run on terminal"))</f>
        <v/>
      </c>
    </row>
    <row r="448" ht="23" customHeight="1">
      <c r="A448" s="51">
        <f>Database!A448&amp;"  "&amp;Database!B448</f>
        <v/>
      </c>
      <c r="B448" s="43">
        <f>IFERROR(INDEX(BDS(TEXT(VALUE(Database!$A448),"0")&amp;" HK Equity","EQUITY_OFFERINGS","array=t","endcol=1"),MATCH("IPO",BDS(TEXT(VALUE(Database!$A448),"0")&amp;" HK Equity","EQUITY_OFFERINGS","array=t","startcol=2","endcol=2"),0)),"")</f>
        <v/>
      </c>
      <c r="C448" s="260">
        <f>IF($B448="","",IFERROR(BDP($B448&amp;" Action","CP036"),""))</f>
        <v/>
      </c>
      <c r="D448" s="261">
        <f>Database!S448</f>
        <v/>
      </c>
      <c r="E448" s="260">
        <f>IF($B448="","",IFERROR(BDP($B448&amp;" Action","CP037"),""))</f>
        <v/>
      </c>
      <c r="F448" s="261">
        <f>Database!T448</f>
        <v/>
      </c>
      <c r="G448" s="260">
        <f>IF($B448="","",IFERROR(BDP($B448&amp;" Action","GREENSHOE_FACILITY"),""))</f>
        <v/>
      </c>
      <c r="H448" s="260">
        <f>IF($B448="","",IFERROR(BDP($B448&amp;" Action","OFFERING_GREENSHOE_SHARES_EX"),""))</f>
        <v/>
      </c>
      <c r="I448" s="51">
        <f>Database!AE448</f>
        <v/>
      </c>
      <c r="J448" s="58">
        <f>IFERROR(BDP(TEXT(VALUE(Database!$A448),"0")&amp;" HK Equity","PE_RATIO"),"")</f>
        <v/>
      </c>
      <c r="K448" s="43">
        <f>IFERROR(BDP(TEXT(VALUE(Database!$A448),"0")&amp;" HK Equity","A/H_SHARE_CONVERSION"),"")</f>
        <v/>
      </c>
      <c r="L448" s="51">
        <f>IF(Database!BN448="","(none found)",Database!BN448)</f>
        <v/>
      </c>
      <c r="M448" s="53">
        <f>IFERROR(INDEX(BDH(TEXT(VALUE(Database!$A448),"0")&amp;" HK Equity","CUR_MKT_CAP",Database!$H448,Database!$H448),MATCH(Database!$H448,INDEX(BDH(TEXT(VALUE(Database!$A448),"0")&amp;" HK Equity","CUR_MKT_CAP",Database!$H448,Database!$H448),0,1),0),2),"run on terminal")</f>
        <v/>
      </c>
      <c r="N448" s="213">
        <f>Database!Q448</f>
        <v/>
      </c>
      <c r="O448" s="58">
        <f>IFERROR(INDEX(BDH(TEXT(VALUE(Database!$A448),"0")&amp;" HK Equity","PE_RATIO",Database!$H448,Database!$H448),MATCH(Database!$H448,INDEX(BDH(TEXT(VALUE(Database!$A448),"0")&amp;" HK Equity","PE_RATIO",Database!$H448,Database!$H448),0,1),0),2),"run on terminal")</f>
        <v/>
      </c>
      <c r="P448" s="251">
        <f>IF(Database!BH448="","(n/m or not derivable)",Database!BH448)</f>
        <v/>
      </c>
      <c r="Q448" s="58">
        <f>IF(Database!BN448="","",IFERROR(INDEX(BDH(LEFT(Database!BN448,FIND(".",Database!BN448)-1)&amp;" CH Equity","PE_RATIO",Database!$H448,Database!$H448),MATCH(Database!$H448,INDEX(BDH(LEFT(Database!BN448,FIND(".",Database!BN448)-1)&amp;" CH Equity","PE_RATIO",Database!$H448,Database!$H448),0,1),0),2),"run on terminal"))</f>
        <v/>
      </c>
      <c r="R448" s="58">
        <f>IF(Database!BN448="","",IFERROR(INDEX(BDH("HSAHP Index","PX_LAST",Database!$H448,Database!$H448),MATCH(Database!$H448,INDEX(BDH("HSAHP Index","PX_LAST",Database!$H448,Database!$H448),0,1),0),2),"run on terminal"))</f>
        <v/>
      </c>
      <c r="S448" s="58">
        <f>IFERROR(BDP(TEXT(VALUE(Database!$A448),"0")&amp;" HK Equity","PX_TO_SALES_RATIO"),"")</f>
        <v/>
      </c>
      <c r="T448" s="53">
        <f>IF(Database!BN448="","",IFERROR(BDP(LEFT(Database!BN448,FIND(".",Database!BN448)-1)&amp;" CH Equity","CUR_MKT_CAP")*BDP("CNYHKD Curncy","PX_LAST"),"run on terminal"))</f>
        <v/>
      </c>
    </row>
    <row r="449" ht="23" customHeight="1">
      <c r="A449" s="51">
        <f>Database!A449&amp;"  "&amp;Database!B449</f>
        <v/>
      </c>
      <c r="B449" s="43">
        <f>IFERROR(INDEX(BDS(TEXT(VALUE(Database!$A449),"0")&amp;" HK Equity","EQUITY_OFFERINGS","array=t","endcol=1"),MATCH("IPO",BDS(TEXT(VALUE(Database!$A449),"0")&amp;" HK Equity","EQUITY_OFFERINGS","array=t","startcol=2","endcol=2"),0)),"")</f>
        <v/>
      </c>
      <c r="C449" s="260">
        <f>IF($B449="","",IFERROR(BDP($B449&amp;" Action","CP036"),""))</f>
        <v/>
      </c>
      <c r="D449" s="261">
        <f>Database!S449</f>
        <v/>
      </c>
      <c r="E449" s="260">
        <f>IF($B449="","",IFERROR(BDP($B449&amp;" Action","CP037"),""))</f>
        <v/>
      </c>
      <c r="F449" s="261">
        <f>Database!T449</f>
        <v/>
      </c>
      <c r="G449" s="260">
        <f>IF($B449="","",IFERROR(BDP($B449&amp;" Action","GREENSHOE_FACILITY"),""))</f>
        <v/>
      </c>
      <c r="H449" s="260">
        <f>IF($B449="","",IFERROR(BDP($B449&amp;" Action","OFFERING_GREENSHOE_SHARES_EX"),""))</f>
        <v/>
      </c>
      <c r="I449" s="51">
        <f>Database!AE449</f>
        <v/>
      </c>
      <c r="J449" s="58">
        <f>IFERROR(BDP(TEXT(VALUE(Database!$A449),"0")&amp;" HK Equity","PE_RATIO"),"")</f>
        <v/>
      </c>
      <c r="K449" s="43">
        <f>IFERROR(BDP(TEXT(VALUE(Database!$A449),"0")&amp;" HK Equity","A/H_SHARE_CONVERSION"),"")</f>
        <v/>
      </c>
      <c r="L449" s="51">
        <f>IF(Database!BN449="","(none found)",Database!BN449)</f>
        <v/>
      </c>
      <c r="M449" s="53">
        <f>IFERROR(INDEX(BDH(TEXT(VALUE(Database!$A449),"0")&amp;" HK Equity","CUR_MKT_CAP",Database!$H449,Database!$H449),MATCH(Database!$H449,INDEX(BDH(TEXT(VALUE(Database!$A449),"0")&amp;" HK Equity","CUR_MKT_CAP",Database!$H449,Database!$H449),0,1),0),2),"run on terminal")</f>
        <v/>
      </c>
      <c r="N449" s="213">
        <f>Database!Q449</f>
        <v/>
      </c>
      <c r="O449" s="58">
        <f>IFERROR(INDEX(BDH(TEXT(VALUE(Database!$A449),"0")&amp;" HK Equity","PE_RATIO",Database!$H449,Database!$H449),MATCH(Database!$H449,INDEX(BDH(TEXT(VALUE(Database!$A449),"0")&amp;" HK Equity","PE_RATIO",Database!$H449,Database!$H449),0,1),0),2),"run on terminal")</f>
        <v/>
      </c>
      <c r="P449" s="251">
        <f>IF(Database!BH449="","(n/m or not derivable)",Database!BH449)</f>
        <v/>
      </c>
      <c r="Q449" s="58">
        <f>IF(Database!BN449="","",IFERROR(INDEX(BDH(LEFT(Database!BN449,FIND(".",Database!BN449)-1)&amp;" CH Equity","PE_RATIO",Database!$H449,Database!$H449),MATCH(Database!$H449,INDEX(BDH(LEFT(Database!BN449,FIND(".",Database!BN449)-1)&amp;" CH Equity","PE_RATIO",Database!$H449,Database!$H449),0,1),0),2),"run on terminal"))</f>
        <v/>
      </c>
      <c r="R449" s="58">
        <f>IF(Database!BN449="","",IFERROR(INDEX(BDH("HSAHP Index","PX_LAST",Database!$H449,Database!$H449),MATCH(Database!$H449,INDEX(BDH("HSAHP Index","PX_LAST",Database!$H449,Database!$H449),0,1),0),2),"run on terminal"))</f>
        <v/>
      </c>
      <c r="S449" s="58">
        <f>IFERROR(BDP(TEXT(VALUE(Database!$A449),"0")&amp;" HK Equity","PX_TO_SALES_RATIO"),"")</f>
        <v/>
      </c>
      <c r="T449" s="53">
        <f>IF(Database!BN449="","",IFERROR(BDP(LEFT(Database!BN449,FIND(".",Database!BN449)-1)&amp;" CH Equity","CUR_MKT_CAP")*BDP("CNYHKD Curncy","PX_LAST"),"run on terminal"))</f>
        <v/>
      </c>
    </row>
    <row r="450" ht="23" customHeight="1">
      <c r="A450" s="51">
        <f>Database!A450&amp;"  "&amp;Database!B450</f>
        <v/>
      </c>
      <c r="B450" s="43">
        <f>IFERROR(INDEX(BDS(TEXT(VALUE(Database!$A450),"0")&amp;" HK Equity","EQUITY_OFFERINGS","array=t","endcol=1"),MATCH("IPO",BDS(TEXT(VALUE(Database!$A450),"0")&amp;" HK Equity","EQUITY_OFFERINGS","array=t","startcol=2","endcol=2"),0)),"")</f>
        <v/>
      </c>
      <c r="C450" s="260">
        <f>IF($B450="","",IFERROR(BDP($B450&amp;" Action","CP036"),""))</f>
        <v/>
      </c>
      <c r="D450" s="261">
        <f>Database!S450</f>
        <v/>
      </c>
      <c r="E450" s="260">
        <f>IF($B450="","",IFERROR(BDP($B450&amp;" Action","CP037"),""))</f>
        <v/>
      </c>
      <c r="F450" s="261">
        <f>Database!T450</f>
        <v/>
      </c>
      <c r="G450" s="260">
        <f>IF($B450="","",IFERROR(BDP($B450&amp;" Action","GREENSHOE_FACILITY"),""))</f>
        <v/>
      </c>
      <c r="H450" s="260">
        <f>IF($B450="","",IFERROR(BDP($B450&amp;" Action","OFFERING_GREENSHOE_SHARES_EX"),""))</f>
        <v/>
      </c>
      <c r="I450" s="51">
        <f>Database!AE450</f>
        <v/>
      </c>
      <c r="J450" s="58">
        <f>IFERROR(BDP(TEXT(VALUE(Database!$A450),"0")&amp;" HK Equity","PE_RATIO"),"")</f>
        <v/>
      </c>
      <c r="K450" s="43">
        <f>IFERROR(BDP(TEXT(VALUE(Database!$A450),"0")&amp;" HK Equity","A/H_SHARE_CONVERSION"),"")</f>
        <v/>
      </c>
      <c r="L450" s="51">
        <f>IF(Database!BN450="","(none found)",Database!BN450)</f>
        <v/>
      </c>
      <c r="M450" s="53">
        <f>IFERROR(INDEX(BDH(TEXT(VALUE(Database!$A450),"0")&amp;" HK Equity","CUR_MKT_CAP",Database!$H450,Database!$H450),MATCH(Database!$H450,INDEX(BDH(TEXT(VALUE(Database!$A450),"0")&amp;" HK Equity","CUR_MKT_CAP",Database!$H450,Database!$H450),0,1),0),2),"run on terminal")</f>
        <v/>
      </c>
      <c r="N450" s="213">
        <f>Database!Q450</f>
        <v/>
      </c>
      <c r="O450" s="58">
        <f>IFERROR(INDEX(BDH(TEXT(VALUE(Database!$A450),"0")&amp;" HK Equity","PE_RATIO",Database!$H450,Database!$H450),MATCH(Database!$H450,INDEX(BDH(TEXT(VALUE(Database!$A450),"0")&amp;" HK Equity","PE_RATIO",Database!$H450,Database!$H450),0,1),0),2),"run on terminal")</f>
        <v/>
      </c>
      <c r="P450" s="251">
        <f>IF(Database!BH450="","(n/m or not derivable)",Database!BH450)</f>
        <v/>
      </c>
      <c r="Q450" s="58">
        <f>IF(Database!BN450="","",IFERROR(INDEX(BDH(LEFT(Database!BN450,FIND(".",Database!BN450)-1)&amp;" CH Equity","PE_RATIO",Database!$H450,Database!$H450),MATCH(Database!$H450,INDEX(BDH(LEFT(Database!BN450,FIND(".",Database!BN450)-1)&amp;" CH Equity","PE_RATIO",Database!$H450,Database!$H450),0,1),0),2),"run on terminal"))</f>
        <v/>
      </c>
      <c r="R450" s="58">
        <f>IF(Database!BN450="","",IFERROR(INDEX(BDH("HSAHP Index","PX_LAST",Database!$H450,Database!$H450),MATCH(Database!$H450,INDEX(BDH("HSAHP Index","PX_LAST",Database!$H450,Database!$H450),0,1),0),2),"run on terminal"))</f>
        <v/>
      </c>
      <c r="S450" s="58">
        <f>IFERROR(BDP(TEXT(VALUE(Database!$A450),"0")&amp;" HK Equity","PX_TO_SALES_RATIO"),"")</f>
        <v/>
      </c>
      <c r="T450" s="53">
        <f>IF(Database!BN450="","",IFERROR(BDP(LEFT(Database!BN450,FIND(".",Database!BN450)-1)&amp;" CH Equity","CUR_MKT_CAP")*BDP("CNYHKD Curncy","PX_LAST"),"run on terminal"))</f>
        <v/>
      </c>
    </row>
    <row r="451" ht="23" customHeight="1">
      <c r="A451" s="51">
        <f>Database!A451&amp;"  "&amp;Database!B451</f>
        <v/>
      </c>
      <c r="B451" s="43">
        <f>IFERROR(INDEX(BDS(TEXT(VALUE(Database!$A451),"0")&amp;" HK Equity","EQUITY_OFFERINGS","array=t","endcol=1"),MATCH("IPO",BDS(TEXT(VALUE(Database!$A451),"0")&amp;" HK Equity","EQUITY_OFFERINGS","array=t","startcol=2","endcol=2"),0)),"")</f>
        <v/>
      </c>
      <c r="C451" s="260">
        <f>IF($B451="","",IFERROR(BDP($B451&amp;" Action","CP036"),""))</f>
        <v/>
      </c>
      <c r="D451" s="261">
        <f>Database!S451</f>
        <v/>
      </c>
      <c r="E451" s="260">
        <f>IF($B451="","",IFERROR(BDP($B451&amp;" Action","CP037"),""))</f>
        <v/>
      </c>
      <c r="F451" s="261">
        <f>Database!T451</f>
        <v/>
      </c>
      <c r="G451" s="260">
        <f>IF($B451="","",IFERROR(BDP($B451&amp;" Action","GREENSHOE_FACILITY"),""))</f>
        <v/>
      </c>
      <c r="H451" s="260">
        <f>IF($B451="","",IFERROR(BDP($B451&amp;" Action","OFFERING_GREENSHOE_SHARES_EX"),""))</f>
        <v/>
      </c>
      <c r="I451" s="51">
        <f>Database!AE451</f>
        <v/>
      </c>
      <c r="J451" s="58">
        <f>IFERROR(BDP(TEXT(VALUE(Database!$A451),"0")&amp;" HK Equity","PE_RATIO"),"")</f>
        <v/>
      </c>
      <c r="K451" s="43">
        <f>IFERROR(BDP(TEXT(VALUE(Database!$A451),"0")&amp;" HK Equity","A/H_SHARE_CONVERSION"),"")</f>
        <v/>
      </c>
      <c r="L451" s="51">
        <f>IF(Database!BN451="","(none found)",Database!BN451)</f>
        <v/>
      </c>
      <c r="M451" s="53">
        <f>IFERROR(INDEX(BDH(TEXT(VALUE(Database!$A451),"0")&amp;" HK Equity","CUR_MKT_CAP",Database!$H451,Database!$H451),MATCH(Database!$H451,INDEX(BDH(TEXT(VALUE(Database!$A451),"0")&amp;" HK Equity","CUR_MKT_CAP",Database!$H451,Database!$H451),0,1),0),2),"run on terminal")</f>
        <v/>
      </c>
      <c r="N451" s="213">
        <f>Database!Q451</f>
        <v/>
      </c>
      <c r="O451" s="58">
        <f>IFERROR(INDEX(BDH(TEXT(VALUE(Database!$A451),"0")&amp;" HK Equity","PE_RATIO",Database!$H451,Database!$H451),MATCH(Database!$H451,INDEX(BDH(TEXT(VALUE(Database!$A451),"0")&amp;" HK Equity","PE_RATIO",Database!$H451,Database!$H451),0,1),0),2),"run on terminal")</f>
        <v/>
      </c>
      <c r="P451" s="251">
        <f>IF(Database!BH451="","(n/m or not derivable)",Database!BH451)</f>
        <v/>
      </c>
      <c r="Q451" s="58">
        <f>IF(Database!BN451="","",IFERROR(INDEX(BDH(LEFT(Database!BN451,FIND(".",Database!BN451)-1)&amp;" CH Equity","PE_RATIO",Database!$H451,Database!$H451),MATCH(Database!$H451,INDEX(BDH(LEFT(Database!BN451,FIND(".",Database!BN451)-1)&amp;" CH Equity","PE_RATIO",Database!$H451,Database!$H451),0,1),0),2),"run on terminal"))</f>
        <v/>
      </c>
      <c r="R451" s="58">
        <f>IF(Database!BN451="","",IFERROR(INDEX(BDH("HSAHP Index","PX_LAST",Database!$H451,Database!$H451),MATCH(Database!$H451,INDEX(BDH("HSAHP Index","PX_LAST",Database!$H451,Database!$H451),0,1),0),2),"run on terminal"))</f>
        <v/>
      </c>
      <c r="S451" s="58">
        <f>IFERROR(BDP(TEXT(VALUE(Database!$A451),"0")&amp;" HK Equity","PX_TO_SALES_RATIO"),"")</f>
        <v/>
      </c>
      <c r="T451" s="53">
        <f>IF(Database!BN451="","",IFERROR(BDP(LEFT(Database!BN451,FIND(".",Database!BN451)-1)&amp;" CH Equity","CUR_MKT_CAP")*BDP("CNYHKD Curncy","PX_LAST"),"run on terminal"))</f>
        <v/>
      </c>
    </row>
    <row r="452" ht="23" customHeight="1">
      <c r="A452" s="51">
        <f>Database!A452&amp;"  "&amp;Database!B452</f>
        <v/>
      </c>
      <c r="B452" s="43">
        <f>IFERROR(INDEX(BDS(TEXT(VALUE(Database!$A452),"0")&amp;" HK Equity","EQUITY_OFFERINGS","array=t","endcol=1"),MATCH("IPO",BDS(TEXT(VALUE(Database!$A452),"0")&amp;" HK Equity","EQUITY_OFFERINGS","array=t","startcol=2","endcol=2"),0)),"")</f>
        <v/>
      </c>
      <c r="C452" s="260">
        <f>IF($B452="","",IFERROR(BDP($B452&amp;" Action","CP036"),""))</f>
        <v/>
      </c>
      <c r="D452" s="261">
        <f>Database!S452</f>
        <v/>
      </c>
      <c r="E452" s="260">
        <f>IF($B452="","",IFERROR(BDP($B452&amp;" Action","CP037"),""))</f>
        <v/>
      </c>
      <c r="F452" s="261">
        <f>Database!T452</f>
        <v/>
      </c>
      <c r="G452" s="260">
        <f>IF($B452="","",IFERROR(BDP($B452&amp;" Action","GREENSHOE_FACILITY"),""))</f>
        <v/>
      </c>
      <c r="H452" s="260">
        <f>IF($B452="","",IFERROR(BDP($B452&amp;" Action","OFFERING_GREENSHOE_SHARES_EX"),""))</f>
        <v/>
      </c>
      <c r="I452" s="51">
        <f>Database!AE452</f>
        <v/>
      </c>
      <c r="J452" s="58">
        <f>IFERROR(BDP(TEXT(VALUE(Database!$A452),"0")&amp;" HK Equity","PE_RATIO"),"")</f>
        <v/>
      </c>
      <c r="K452" s="43">
        <f>IFERROR(BDP(TEXT(VALUE(Database!$A452),"0")&amp;" HK Equity","A/H_SHARE_CONVERSION"),"")</f>
        <v/>
      </c>
      <c r="L452" s="51">
        <f>IF(Database!BN452="","(none found)",Database!BN452)</f>
        <v/>
      </c>
      <c r="M452" s="53">
        <f>IFERROR(INDEX(BDH(TEXT(VALUE(Database!$A452),"0")&amp;" HK Equity","CUR_MKT_CAP",Database!$H452,Database!$H452),MATCH(Database!$H452,INDEX(BDH(TEXT(VALUE(Database!$A452),"0")&amp;" HK Equity","CUR_MKT_CAP",Database!$H452,Database!$H452),0,1),0),2),"run on terminal")</f>
        <v/>
      </c>
      <c r="N452" s="213">
        <f>Database!Q452</f>
        <v/>
      </c>
      <c r="O452" s="58">
        <f>IFERROR(INDEX(BDH(TEXT(VALUE(Database!$A452),"0")&amp;" HK Equity","PE_RATIO",Database!$H452,Database!$H452),MATCH(Database!$H452,INDEX(BDH(TEXT(VALUE(Database!$A452),"0")&amp;" HK Equity","PE_RATIO",Database!$H452,Database!$H452),0,1),0),2),"run on terminal")</f>
        <v/>
      </c>
      <c r="P452" s="251">
        <f>IF(Database!BH452="","(n/m or not derivable)",Database!BH452)</f>
        <v/>
      </c>
      <c r="Q452" s="58">
        <f>IF(Database!BN452="","",IFERROR(INDEX(BDH(LEFT(Database!BN452,FIND(".",Database!BN452)-1)&amp;" CH Equity","PE_RATIO",Database!$H452,Database!$H452),MATCH(Database!$H452,INDEX(BDH(LEFT(Database!BN452,FIND(".",Database!BN452)-1)&amp;" CH Equity","PE_RATIO",Database!$H452,Database!$H452),0,1),0),2),"run on terminal"))</f>
        <v/>
      </c>
      <c r="R452" s="58">
        <f>IF(Database!BN452="","",IFERROR(INDEX(BDH("HSAHP Index","PX_LAST",Database!$H452,Database!$H452),MATCH(Database!$H452,INDEX(BDH("HSAHP Index","PX_LAST",Database!$H452,Database!$H452),0,1),0),2),"run on terminal"))</f>
        <v/>
      </c>
      <c r="S452" s="58">
        <f>IFERROR(BDP(TEXT(VALUE(Database!$A452),"0")&amp;" HK Equity","PX_TO_SALES_RATIO"),"")</f>
        <v/>
      </c>
      <c r="T452" s="53">
        <f>IF(Database!BN452="","",IFERROR(BDP(LEFT(Database!BN452,FIND(".",Database!BN452)-1)&amp;" CH Equity","CUR_MKT_CAP")*BDP("CNYHKD Curncy","PX_LAST"),"run on terminal"))</f>
        <v/>
      </c>
    </row>
    <row r="453" ht="23" customHeight="1">
      <c r="A453" s="51">
        <f>Database!A453&amp;"  "&amp;Database!B453</f>
        <v/>
      </c>
      <c r="B453" s="43">
        <f>IFERROR(INDEX(BDS(TEXT(VALUE(Database!$A453),"0")&amp;" HK Equity","EQUITY_OFFERINGS","array=t","endcol=1"),MATCH("IPO",BDS(TEXT(VALUE(Database!$A453),"0")&amp;" HK Equity","EQUITY_OFFERINGS","array=t","startcol=2","endcol=2"),0)),"")</f>
        <v/>
      </c>
      <c r="C453" s="260">
        <f>IF($B453="","",IFERROR(BDP($B453&amp;" Action","CP036"),""))</f>
        <v/>
      </c>
      <c r="D453" s="261">
        <f>Database!S453</f>
        <v/>
      </c>
      <c r="E453" s="260">
        <f>IF($B453="","",IFERROR(BDP($B453&amp;" Action","CP037"),""))</f>
        <v/>
      </c>
      <c r="F453" s="261">
        <f>Database!T453</f>
        <v/>
      </c>
      <c r="G453" s="260">
        <f>IF($B453="","",IFERROR(BDP($B453&amp;" Action","GREENSHOE_FACILITY"),""))</f>
        <v/>
      </c>
      <c r="H453" s="260">
        <f>IF($B453="","",IFERROR(BDP($B453&amp;" Action","OFFERING_GREENSHOE_SHARES_EX"),""))</f>
        <v/>
      </c>
      <c r="I453" s="51">
        <f>Database!AE453</f>
        <v/>
      </c>
      <c r="J453" s="58">
        <f>IFERROR(BDP(TEXT(VALUE(Database!$A453),"0")&amp;" HK Equity","PE_RATIO"),"")</f>
        <v/>
      </c>
      <c r="K453" s="43">
        <f>IFERROR(BDP(TEXT(VALUE(Database!$A453),"0")&amp;" HK Equity","A/H_SHARE_CONVERSION"),"")</f>
        <v/>
      </c>
      <c r="L453" s="51">
        <f>IF(Database!BN453="","(none found)",Database!BN453)</f>
        <v/>
      </c>
      <c r="M453" s="53">
        <f>IFERROR(INDEX(BDH(TEXT(VALUE(Database!$A453),"0")&amp;" HK Equity","CUR_MKT_CAP",Database!$H453,Database!$H453),MATCH(Database!$H453,INDEX(BDH(TEXT(VALUE(Database!$A453),"0")&amp;" HK Equity","CUR_MKT_CAP",Database!$H453,Database!$H453),0,1),0),2),"run on terminal")</f>
        <v/>
      </c>
      <c r="N453" s="213">
        <f>Database!Q453</f>
        <v/>
      </c>
      <c r="O453" s="58">
        <f>IFERROR(INDEX(BDH(TEXT(VALUE(Database!$A453),"0")&amp;" HK Equity","PE_RATIO",Database!$H453,Database!$H453),MATCH(Database!$H453,INDEX(BDH(TEXT(VALUE(Database!$A453),"0")&amp;" HK Equity","PE_RATIO",Database!$H453,Database!$H453),0,1),0),2),"run on terminal")</f>
        <v/>
      </c>
      <c r="P453" s="251">
        <f>IF(Database!BH453="","(n/m or not derivable)",Database!BH453)</f>
        <v/>
      </c>
      <c r="Q453" s="58">
        <f>IF(Database!BN453="","",IFERROR(INDEX(BDH(LEFT(Database!BN453,FIND(".",Database!BN453)-1)&amp;" CH Equity","PE_RATIO",Database!$H453,Database!$H453),MATCH(Database!$H453,INDEX(BDH(LEFT(Database!BN453,FIND(".",Database!BN453)-1)&amp;" CH Equity","PE_RATIO",Database!$H453,Database!$H453),0,1),0),2),"run on terminal"))</f>
        <v/>
      </c>
      <c r="R453" s="58">
        <f>IF(Database!BN453="","",IFERROR(INDEX(BDH("HSAHP Index","PX_LAST",Database!$H453,Database!$H453),MATCH(Database!$H453,INDEX(BDH("HSAHP Index","PX_LAST",Database!$H453,Database!$H453),0,1),0),2),"run on terminal"))</f>
        <v/>
      </c>
      <c r="S453" s="58">
        <f>IFERROR(BDP(TEXT(VALUE(Database!$A453),"0")&amp;" HK Equity","PX_TO_SALES_RATIO"),"")</f>
        <v/>
      </c>
      <c r="T453" s="53">
        <f>IF(Database!BN453="","",IFERROR(BDP(LEFT(Database!BN453,FIND(".",Database!BN453)-1)&amp;" CH Equity","CUR_MKT_CAP")*BDP("CNYHKD Curncy","PX_LAST"),"run on terminal"))</f>
        <v/>
      </c>
    </row>
    <row r="454" ht="23" customHeight="1">
      <c r="A454" s="51">
        <f>Database!A454&amp;"  "&amp;Database!B454</f>
        <v/>
      </c>
      <c r="B454" s="43">
        <f>IFERROR(INDEX(BDS(TEXT(VALUE(Database!$A454),"0")&amp;" HK Equity","EQUITY_OFFERINGS","array=t","endcol=1"),MATCH("IPO",BDS(TEXT(VALUE(Database!$A454),"0")&amp;" HK Equity","EQUITY_OFFERINGS","array=t","startcol=2","endcol=2"),0)),"")</f>
        <v/>
      </c>
      <c r="C454" s="260">
        <f>IF($B454="","",IFERROR(BDP($B454&amp;" Action","CP036"),""))</f>
        <v/>
      </c>
      <c r="D454" s="261">
        <f>Database!S454</f>
        <v/>
      </c>
      <c r="E454" s="260">
        <f>IF($B454="","",IFERROR(BDP($B454&amp;" Action","CP037"),""))</f>
        <v/>
      </c>
      <c r="F454" s="261">
        <f>Database!T454</f>
        <v/>
      </c>
      <c r="G454" s="260">
        <f>IF($B454="","",IFERROR(BDP($B454&amp;" Action","GREENSHOE_FACILITY"),""))</f>
        <v/>
      </c>
      <c r="H454" s="260">
        <f>IF($B454="","",IFERROR(BDP($B454&amp;" Action","OFFERING_GREENSHOE_SHARES_EX"),""))</f>
        <v/>
      </c>
      <c r="I454" s="51">
        <f>Database!AE454</f>
        <v/>
      </c>
      <c r="J454" s="58">
        <f>IFERROR(BDP(TEXT(VALUE(Database!$A454),"0")&amp;" HK Equity","PE_RATIO"),"")</f>
        <v/>
      </c>
      <c r="K454" s="43">
        <f>IFERROR(BDP(TEXT(VALUE(Database!$A454),"0")&amp;" HK Equity","A/H_SHARE_CONVERSION"),"")</f>
        <v/>
      </c>
      <c r="L454" s="51">
        <f>IF(Database!BN454="","(none found)",Database!BN454)</f>
        <v/>
      </c>
      <c r="M454" s="53">
        <f>IFERROR(INDEX(BDH(TEXT(VALUE(Database!$A454),"0")&amp;" HK Equity","CUR_MKT_CAP",Database!$H454,Database!$H454),MATCH(Database!$H454,INDEX(BDH(TEXT(VALUE(Database!$A454),"0")&amp;" HK Equity","CUR_MKT_CAP",Database!$H454,Database!$H454),0,1),0),2),"run on terminal")</f>
        <v/>
      </c>
      <c r="N454" s="213">
        <f>Database!Q454</f>
        <v/>
      </c>
      <c r="O454" s="58">
        <f>IFERROR(INDEX(BDH(TEXT(VALUE(Database!$A454),"0")&amp;" HK Equity","PE_RATIO",Database!$H454,Database!$H454),MATCH(Database!$H454,INDEX(BDH(TEXT(VALUE(Database!$A454),"0")&amp;" HK Equity","PE_RATIO",Database!$H454,Database!$H454),0,1),0),2),"run on terminal")</f>
        <v/>
      </c>
      <c r="P454" s="251">
        <f>IF(Database!BH454="","(n/m or not derivable)",Database!BH454)</f>
        <v/>
      </c>
      <c r="Q454" s="58">
        <f>IF(Database!BN454="","",IFERROR(INDEX(BDH(LEFT(Database!BN454,FIND(".",Database!BN454)-1)&amp;" CH Equity","PE_RATIO",Database!$H454,Database!$H454),MATCH(Database!$H454,INDEX(BDH(LEFT(Database!BN454,FIND(".",Database!BN454)-1)&amp;" CH Equity","PE_RATIO",Database!$H454,Database!$H454),0,1),0),2),"run on terminal"))</f>
        <v/>
      </c>
      <c r="R454" s="58">
        <f>IF(Database!BN454="","",IFERROR(INDEX(BDH("HSAHP Index","PX_LAST",Database!$H454,Database!$H454),MATCH(Database!$H454,INDEX(BDH("HSAHP Index","PX_LAST",Database!$H454,Database!$H454),0,1),0),2),"run on terminal"))</f>
        <v/>
      </c>
      <c r="S454" s="58">
        <f>IFERROR(BDP(TEXT(VALUE(Database!$A454),"0")&amp;" HK Equity","PX_TO_SALES_RATIO"),"")</f>
        <v/>
      </c>
      <c r="T454" s="53">
        <f>IF(Database!BN454="","",IFERROR(BDP(LEFT(Database!BN454,FIND(".",Database!BN454)-1)&amp;" CH Equity","CUR_MKT_CAP")*BDP("CNYHKD Curncy","PX_LAST"),"run on terminal"))</f>
        <v/>
      </c>
    </row>
    <row r="455" ht="23" customHeight="1">
      <c r="A455" s="51">
        <f>Database!A455&amp;"  "&amp;Database!B455</f>
        <v/>
      </c>
      <c r="B455" s="43">
        <f>IFERROR(INDEX(BDS(TEXT(VALUE(Database!$A455),"0")&amp;" HK Equity","EQUITY_OFFERINGS","array=t","endcol=1"),MATCH("IPO",BDS(TEXT(VALUE(Database!$A455),"0")&amp;" HK Equity","EQUITY_OFFERINGS","array=t","startcol=2","endcol=2"),0)),"")</f>
        <v/>
      </c>
      <c r="C455" s="260">
        <f>IF($B455="","",IFERROR(BDP($B455&amp;" Action","CP036"),""))</f>
        <v/>
      </c>
      <c r="D455" s="261">
        <f>Database!S455</f>
        <v/>
      </c>
      <c r="E455" s="260">
        <f>IF($B455="","",IFERROR(BDP($B455&amp;" Action","CP037"),""))</f>
        <v/>
      </c>
      <c r="F455" s="261">
        <f>Database!T455</f>
        <v/>
      </c>
      <c r="G455" s="260">
        <f>IF($B455="","",IFERROR(BDP($B455&amp;" Action","GREENSHOE_FACILITY"),""))</f>
        <v/>
      </c>
      <c r="H455" s="260">
        <f>IF($B455="","",IFERROR(BDP($B455&amp;" Action","OFFERING_GREENSHOE_SHARES_EX"),""))</f>
        <v/>
      </c>
      <c r="I455" s="51">
        <f>Database!AE455</f>
        <v/>
      </c>
      <c r="J455" s="58">
        <f>IFERROR(BDP(TEXT(VALUE(Database!$A455),"0")&amp;" HK Equity","PE_RATIO"),"")</f>
        <v/>
      </c>
      <c r="K455" s="43">
        <f>IFERROR(BDP(TEXT(VALUE(Database!$A455),"0")&amp;" HK Equity","A/H_SHARE_CONVERSION"),"")</f>
        <v/>
      </c>
      <c r="L455" s="51">
        <f>IF(Database!BN455="","(none found)",Database!BN455)</f>
        <v/>
      </c>
      <c r="M455" s="53">
        <f>IFERROR(INDEX(BDH(TEXT(VALUE(Database!$A455),"0")&amp;" HK Equity","CUR_MKT_CAP",Database!$H455,Database!$H455),MATCH(Database!$H455,INDEX(BDH(TEXT(VALUE(Database!$A455),"0")&amp;" HK Equity","CUR_MKT_CAP",Database!$H455,Database!$H455),0,1),0),2),"run on terminal")</f>
        <v/>
      </c>
      <c r="N455" s="213">
        <f>Database!Q455</f>
        <v/>
      </c>
      <c r="O455" s="58">
        <f>IFERROR(INDEX(BDH(TEXT(VALUE(Database!$A455),"0")&amp;" HK Equity","PE_RATIO",Database!$H455,Database!$H455),MATCH(Database!$H455,INDEX(BDH(TEXT(VALUE(Database!$A455),"0")&amp;" HK Equity","PE_RATIO",Database!$H455,Database!$H455),0,1),0),2),"run on terminal")</f>
        <v/>
      </c>
      <c r="P455" s="251">
        <f>IF(Database!BH455="","(n/m or not derivable)",Database!BH455)</f>
        <v/>
      </c>
      <c r="Q455" s="58">
        <f>IF(Database!BN455="","",IFERROR(INDEX(BDH(LEFT(Database!BN455,FIND(".",Database!BN455)-1)&amp;" CH Equity","PE_RATIO",Database!$H455,Database!$H455),MATCH(Database!$H455,INDEX(BDH(LEFT(Database!BN455,FIND(".",Database!BN455)-1)&amp;" CH Equity","PE_RATIO",Database!$H455,Database!$H455),0,1),0),2),"run on terminal"))</f>
        <v/>
      </c>
      <c r="R455" s="58">
        <f>IF(Database!BN455="","",IFERROR(INDEX(BDH("HSAHP Index","PX_LAST",Database!$H455,Database!$H455),MATCH(Database!$H455,INDEX(BDH("HSAHP Index","PX_LAST",Database!$H455,Database!$H455),0,1),0),2),"run on terminal"))</f>
        <v/>
      </c>
      <c r="S455" s="58">
        <f>IFERROR(BDP(TEXT(VALUE(Database!$A455),"0")&amp;" HK Equity","PX_TO_SALES_RATIO"),"")</f>
        <v/>
      </c>
      <c r="T455" s="53">
        <f>IF(Database!BN455="","",IFERROR(BDP(LEFT(Database!BN455,FIND(".",Database!BN455)-1)&amp;" CH Equity","CUR_MKT_CAP")*BDP("CNYHKD Curncy","PX_LAST"),"run on terminal"))</f>
        <v/>
      </c>
    </row>
    <row r="456" ht="23" customHeight="1">
      <c r="A456" s="51">
        <f>Database!A456&amp;"  "&amp;Database!B456</f>
        <v/>
      </c>
      <c r="B456" s="43">
        <f>IFERROR(INDEX(BDS(TEXT(VALUE(Database!$A456),"0")&amp;" HK Equity","EQUITY_OFFERINGS","array=t","endcol=1"),MATCH("IPO",BDS(TEXT(VALUE(Database!$A456),"0")&amp;" HK Equity","EQUITY_OFFERINGS","array=t","startcol=2","endcol=2"),0)),"")</f>
        <v/>
      </c>
      <c r="C456" s="260">
        <f>IF($B456="","",IFERROR(BDP($B456&amp;" Action","CP036"),""))</f>
        <v/>
      </c>
      <c r="D456" s="261">
        <f>Database!S456</f>
        <v/>
      </c>
      <c r="E456" s="260">
        <f>IF($B456="","",IFERROR(BDP($B456&amp;" Action","CP037"),""))</f>
        <v/>
      </c>
      <c r="F456" s="261">
        <f>Database!T456</f>
        <v/>
      </c>
      <c r="G456" s="260">
        <f>IF($B456="","",IFERROR(BDP($B456&amp;" Action","GREENSHOE_FACILITY"),""))</f>
        <v/>
      </c>
      <c r="H456" s="260">
        <f>IF($B456="","",IFERROR(BDP($B456&amp;" Action","OFFERING_GREENSHOE_SHARES_EX"),""))</f>
        <v/>
      </c>
      <c r="I456" s="51">
        <f>Database!AE456</f>
        <v/>
      </c>
      <c r="J456" s="58">
        <f>IFERROR(BDP(TEXT(VALUE(Database!$A456),"0")&amp;" HK Equity","PE_RATIO"),"")</f>
        <v/>
      </c>
      <c r="K456" s="43">
        <f>IFERROR(BDP(TEXT(VALUE(Database!$A456),"0")&amp;" HK Equity","A/H_SHARE_CONVERSION"),"")</f>
        <v/>
      </c>
      <c r="L456" s="51">
        <f>IF(Database!BN456="","(none found)",Database!BN456)</f>
        <v/>
      </c>
      <c r="M456" s="53">
        <f>IFERROR(INDEX(BDH(TEXT(VALUE(Database!$A456),"0")&amp;" HK Equity","CUR_MKT_CAP",Database!$H456,Database!$H456),MATCH(Database!$H456,INDEX(BDH(TEXT(VALUE(Database!$A456),"0")&amp;" HK Equity","CUR_MKT_CAP",Database!$H456,Database!$H456),0,1),0),2),"run on terminal")</f>
        <v/>
      </c>
      <c r="N456" s="213">
        <f>Database!Q456</f>
        <v/>
      </c>
      <c r="O456" s="58">
        <f>IFERROR(INDEX(BDH(TEXT(VALUE(Database!$A456),"0")&amp;" HK Equity","PE_RATIO",Database!$H456,Database!$H456),MATCH(Database!$H456,INDEX(BDH(TEXT(VALUE(Database!$A456),"0")&amp;" HK Equity","PE_RATIO",Database!$H456,Database!$H456),0,1),0),2),"run on terminal")</f>
        <v/>
      </c>
      <c r="P456" s="251">
        <f>IF(Database!BH456="","(n/m or not derivable)",Database!BH456)</f>
        <v/>
      </c>
      <c r="Q456" s="58">
        <f>IF(Database!BN456="","",IFERROR(INDEX(BDH(LEFT(Database!BN456,FIND(".",Database!BN456)-1)&amp;" CH Equity","PE_RATIO",Database!$H456,Database!$H456),MATCH(Database!$H456,INDEX(BDH(LEFT(Database!BN456,FIND(".",Database!BN456)-1)&amp;" CH Equity","PE_RATIO",Database!$H456,Database!$H456),0,1),0),2),"run on terminal"))</f>
        <v/>
      </c>
      <c r="R456" s="58">
        <f>IF(Database!BN456="","",IFERROR(INDEX(BDH("HSAHP Index","PX_LAST",Database!$H456,Database!$H456),MATCH(Database!$H456,INDEX(BDH("HSAHP Index","PX_LAST",Database!$H456,Database!$H456),0,1),0),2),"run on terminal"))</f>
        <v/>
      </c>
      <c r="S456" s="58">
        <f>IFERROR(BDP(TEXT(VALUE(Database!$A456),"0")&amp;" HK Equity","PX_TO_SALES_RATIO"),"")</f>
        <v/>
      </c>
      <c r="T456" s="53">
        <f>IF(Database!BN456="","",IFERROR(BDP(LEFT(Database!BN456,FIND(".",Database!BN456)-1)&amp;" CH Equity","CUR_MKT_CAP")*BDP("CNYHKD Curncy","PX_LAST"),"run on terminal"))</f>
        <v/>
      </c>
    </row>
    <row r="457" ht="23" customHeight="1">
      <c r="A457" s="51">
        <f>Database!A457&amp;"  "&amp;Database!B457</f>
        <v/>
      </c>
      <c r="B457" s="43">
        <f>IFERROR(INDEX(BDS(TEXT(VALUE(Database!$A457),"0")&amp;" HK Equity","EQUITY_OFFERINGS","array=t","endcol=1"),MATCH("IPO",BDS(TEXT(VALUE(Database!$A457),"0")&amp;" HK Equity","EQUITY_OFFERINGS","array=t","startcol=2","endcol=2"),0)),"")</f>
        <v/>
      </c>
      <c r="C457" s="260">
        <f>IF($B457="","",IFERROR(BDP($B457&amp;" Action","CP036"),""))</f>
        <v/>
      </c>
      <c r="D457" s="261">
        <f>Database!S457</f>
        <v/>
      </c>
      <c r="E457" s="260">
        <f>IF($B457="","",IFERROR(BDP($B457&amp;" Action","CP037"),""))</f>
        <v/>
      </c>
      <c r="F457" s="261">
        <f>Database!T457</f>
        <v/>
      </c>
      <c r="G457" s="260">
        <f>IF($B457="","",IFERROR(BDP($B457&amp;" Action","GREENSHOE_FACILITY"),""))</f>
        <v/>
      </c>
      <c r="H457" s="260">
        <f>IF($B457="","",IFERROR(BDP($B457&amp;" Action","OFFERING_GREENSHOE_SHARES_EX"),""))</f>
        <v/>
      </c>
      <c r="I457" s="51">
        <f>Database!AE457</f>
        <v/>
      </c>
      <c r="J457" s="58">
        <f>IFERROR(BDP(TEXT(VALUE(Database!$A457),"0")&amp;" HK Equity","PE_RATIO"),"")</f>
        <v/>
      </c>
      <c r="K457" s="43">
        <f>IFERROR(BDP(TEXT(VALUE(Database!$A457),"0")&amp;" HK Equity","A/H_SHARE_CONVERSION"),"")</f>
        <v/>
      </c>
      <c r="L457" s="51">
        <f>IF(Database!BN457="","(none found)",Database!BN457)</f>
        <v/>
      </c>
      <c r="M457" s="53">
        <f>IFERROR(INDEX(BDH(TEXT(VALUE(Database!$A457),"0")&amp;" HK Equity","CUR_MKT_CAP",Database!$H457,Database!$H457),MATCH(Database!$H457,INDEX(BDH(TEXT(VALUE(Database!$A457),"0")&amp;" HK Equity","CUR_MKT_CAP",Database!$H457,Database!$H457),0,1),0),2),"run on terminal")</f>
        <v/>
      </c>
      <c r="N457" s="213">
        <f>Database!Q457</f>
        <v/>
      </c>
      <c r="O457" s="58">
        <f>IFERROR(INDEX(BDH(TEXT(VALUE(Database!$A457),"0")&amp;" HK Equity","PE_RATIO",Database!$H457,Database!$H457),MATCH(Database!$H457,INDEX(BDH(TEXT(VALUE(Database!$A457),"0")&amp;" HK Equity","PE_RATIO",Database!$H457,Database!$H457),0,1),0),2),"run on terminal")</f>
        <v/>
      </c>
      <c r="P457" s="251">
        <f>IF(Database!BH457="","(n/m or not derivable)",Database!BH457)</f>
        <v/>
      </c>
      <c r="Q457" s="58">
        <f>IF(Database!BN457="","",IFERROR(INDEX(BDH(LEFT(Database!BN457,FIND(".",Database!BN457)-1)&amp;" CH Equity","PE_RATIO",Database!$H457,Database!$H457),MATCH(Database!$H457,INDEX(BDH(LEFT(Database!BN457,FIND(".",Database!BN457)-1)&amp;" CH Equity","PE_RATIO",Database!$H457,Database!$H457),0,1),0),2),"run on terminal"))</f>
        <v/>
      </c>
      <c r="R457" s="58">
        <f>IF(Database!BN457="","",IFERROR(INDEX(BDH("HSAHP Index","PX_LAST",Database!$H457,Database!$H457),MATCH(Database!$H457,INDEX(BDH("HSAHP Index","PX_LAST",Database!$H457,Database!$H457),0,1),0),2),"run on terminal"))</f>
        <v/>
      </c>
      <c r="S457" s="58">
        <f>IFERROR(BDP(TEXT(VALUE(Database!$A457),"0")&amp;" HK Equity","PX_TO_SALES_RATIO"),"")</f>
        <v/>
      </c>
      <c r="T457" s="53">
        <f>IF(Database!BN457="","",IFERROR(BDP(LEFT(Database!BN457,FIND(".",Database!BN457)-1)&amp;" CH Equity","CUR_MKT_CAP")*BDP("CNYHKD Curncy","PX_LAST"),"run on terminal"))</f>
        <v/>
      </c>
    </row>
    <row r="458" ht="23" customHeight="1">
      <c r="A458" s="51">
        <f>Database!A458&amp;"  "&amp;Database!B458</f>
        <v/>
      </c>
      <c r="B458" s="43">
        <f>IFERROR(INDEX(BDS(TEXT(VALUE(Database!$A458),"0")&amp;" HK Equity","EQUITY_OFFERINGS","array=t","endcol=1"),MATCH("IPO",BDS(TEXT(VALUE(Database!$A458),"0")&amp;" HK Equity","EQUITY_OFFERINGS","array=t","startcol=2","endcol=2"),0)),"")</f>
        <v/>
      </c>
      <c r="C458" s="260">
        <f>IF($B458="","",IFERROR(BDP($B458&amp;" Action","CP036"),""))</f>
        <v/>
      </c>
      <c r="D458" s="261">
        <f>Database!S458</f>
        <v/>
      </c>
      <c r="E458" s="260">
        <f>IF($B458="","",IFERROR(BDP($B458&amp;" Action","CP037"),""))</f>
        <v/>
      </c>
      <c r="F458" s="261">
        <f>Database!T458</f>
        <v/>
      </c>
      <c r="G458" s="260">
        <f>IF($B458="","",IFERROR(BDP($B458&amp;" Action","GREENSHOE_FACILITY"),""))</f>
        <v/>
      </c>
      <c r="H458" s="260">
        <f>IF($B458="","",IFERROR(BDP($B458&amp;" Action","OFFERING_GREENSHOE_SHARES_EX"),""))</f>
        <v/>
      </c>
      <c r="I458" s="51">
        <f>Database!AE458</f>
        <v/>
      </c>
      <c r="J458" s="58">
        <f>IFERROR(BDP(TEXT(VALUE(Database!$A458),"0")&amp;" HK Equity","PE_RATIO"),"")</f>
        <v/>
      </c>
      <c r="K458" s="43">
        <f>IFERROR(BDP(TEXT(VALUE(Database!$A458),"0")&amp;" HK Equity","A/H_SHARE_CONVERSION"),"")</f>
        <v/>
      </c>
      <c r="L458" s="51">
        <f>IF(Database!BN458="","(none found)",Database!BN458)</f>
        <v/>
      </c>
      <c r="M458" s="53">
        <f>IFERROR(INDEX(BDH(TEXT(VALUE(Database!$A458),"0")&amp;" HK Equity","CUR_MKT_CAP",Database!$H458,Database!$H458),MATCH(Database!$H458,INDEX(BDH(TEXT(VALUE(Database!$A458),"0")&amp;" HK Equity","CUR_MKT_CAP",Database!$H458,Database!$H458),0,1),0),2),"run on terminal")</f>
        <v/>
      </c>
      <c r="N458" s="213">
        <f>Database!Q458</f>
        <v/>
      </c>
      <c r="O458" s="58">
        <f>IFERROR(INDEX(BDH(TEXT(VALUE(Database!$A458),"0")&amp;" HK Equity","PE_RATIO",Database!$H458,Database!$H458),MATCH(Database!$H458,INDEX(BDH(TEXT(VALUE(Database!$A458),"0")&amp;" HK Equity","PE_RATIO",Database!$H458,Database!$H458),0,1),0),2),"run on terminal")</f>
        <v/>
      </c>
      <c r="P458" s="251">
        <f>IF(Database!BH458="","(n/m or not derivable)",Database!BH458)</f>
        <v/>
      </c>
      <c r="Q458" s="58">
        <f>IF(Database!BN458="","",IFERROR(INDEX(BDH(LEFT(Database!BN458,FIND(".",Database!BN458)-1)&amp;" CH Equity","PE_RATIO",Database!$H458,Database!$H458),MATCH(Database!$H458,INDEX(BDH(LEFT(Database!BN458,FIND(".",Database!BN458)-1)&amp;" CH Equity","PE_RATIO",Database!$H458,Database!$H458),0,1),0),2),"run on terminal"))</f>
        <v/>
      </c>
      <c r="R458" s="58">
        <f>IF(Database!BN458="","",IFERROR(INDEX(BDH("HSAHP Index","PX_LAST",Database!$H458,Database!$H458),MATCH(Database!$H458,INDEX(BDH("HSAHP Index","PX_LAST",Database!$H458,Database!$H458),0,1),0),2),"run on terminal"))</f>
        <v/>
      </c>
      <c r="S458" s="58">
        <f>IFERROR(BDP(TEXT(VALUE(Database!$A458),"0")&amp;" HK Equity","PX_TO_SALES_RATIO"),"")</f>
        <v/>
      </c>
      <c r="T458" s="53">
        <f>IF(Database!BN458="","",IFERROR(BDP(LEFT(Database!BN458,FIND(".",Database!BN458)-1)&amp;" CH Equity","CUR_MKT_CAP")*BDP("CNYHKD Curncy","PX_LAST"),"run on terminal"))</f>
        <v/>
      </c>
    </row>
    <row r="459" ht="23" customHeight="1">
      <c r="A459" s="51">
        <f>Database!A459&amp;"  "&amp;Database!B459</f>
        <v/>
      </c>
      <c r="B459" s="43">
        <f>IFERROR(INDEX(BDS(TEXT(VALUE(Database!$A459),"0")&amp;" HK Equity","EQUITY_OFFERINGS","array=t","endcol=1"),MATCH("IPO",BDS(TEXT(VALUE(Database!$A459),"0")&amp;" HK Equity","EQUITY_OFFERINGS","array=t","startcol=2","endcol=2"),0)),"")</f>
        <v/>
      </c>
      <c r="C459" s="260">
        <f>IF($B459="","",IFERROR(BDP($B459&amp;" Action","CP036"),""))</f>
        <v/>
      </c>
      <c r="D459" s="261">
        <f>Database!S459</f>
        <v/>
      </c>
      <c r="E459" s="260">
        <f>IF($B459="","",IFERROR(BDP($B459&amp;" Action","CP037"),""))</f>
        <v/>
      </c>
      <c r="F459" s="261">
        <f>Database!T459</f>
        <v/>
      </c>
      <c r="G459" s="260">
        <f>IF($B459="","",IFERROR(BDP($B459&amp;" Action","GREENSHOE_FACILITY"),""))</f>
        <v/>
      </c>
      <c r="H459" s="260">
        <f>IF($B459="","",IFERROR(BDP($B459&amp;" Action","OFFERING_GREENSHOE_SHARES_EX"),""))</f>
        <v/>
      </c>
      <c r="I459" s="51">
        <f>Database!AE459</f>
        <v/>
      </c>
      <c r="J459" s="58">
        <f>IFERROR(BDP(TEXT(VALUE(Database!$A459),"0")&amp;" HK Equity","PE_RATIO"),"")</f>
        <v/>
      </c>
      <c r="K459" s="43">
        <f>IFERROR(BDP(TEXT(VALUE(Database!$A459),"0")&amp;" HK Equity","A/H_SHARE_CONVERSION"),"")</f>
        <v/>
      </c>
      <c r="L459" s="51">
        <f>IF(Database!BN459="","(none found)",Database!BN459)</f>
        <v/>
      </c>
      <c r="M459" s="53">
        <f>IFERROR(INDEX(BDH(TEXT(VALUE(Database!$A459),"0")&amp;" HK Equity","CUR_MKT_CAP",Database!$H459,Database!$H459),MATCH(Database!$H459,INDEX(BDH(TEXT(VALUE(Database!$A459),"0")&amp;" HK Equity","CUR_MKT_CAP",Database!$H459,Database!$H459),0,1),0),2),"run on terminal")</f>
        <v/>
      </c>
      <c r="N459" s="213">
        <f>Database!Q459</f>
        <v/>
      </c>
      <c r="O459" s="58">
        <f>IFERROR(INDEX(BDH(TEXT(VALUE(Database!$A459),"0")&amp;" HK Equity","PE_RATIO",Database!$H459,Database!$H459),MATCH(Database!$H459,INDEX(BDH(TEXT(VALUE(Database!$A459),"0")&amp;" HK Equity","PE_RATIO",Database!$H459,Database!$H459),0,1),0),2),"run on terminal")</f>
        <v/>
      </c>
      <c r="P459" s="251">
        <f>IF(Database!BH459="","(n/m or not derivable)",Database!BH459)</f>
        <v/>
      </c>
      <c r="Q459" s="58">
        <f>IF(Database!BN459="","",IFERROR(INDEX(BDH(LEFT(Database!BN459,FIND(".",Database!BN459)-1)&amp;" CH Equity","PE_RATIO",Database!$H459,Database!$H459),MATCH(Database!$H459,INDEX(BDH(LEFT(Database!BN459,FIND(".",Database!BN459)-1)&amp;" CH Equity","PE_RATIO",Database!$H459,Database!$H459),0,1),0),2),"run on terminal"))</f>
        <v/>
      </c>
      <c r="R459" s="58">
        <f>IF(Database!BN459="","",IFERROR(INDEX(BDH("HSAHP Index","PX_LAST",Database!$H459,Database!$H459),MATCH(Database!$H459,INDEX(BDH("HSAHP Index","PX_LAST",Database!$H459,Database!$H459),0,1),0),2),"run on terminal"))</f>
        <v/>
      </c>
      <c r="S459" s="58">
        <f>IFERROR(BDP(TEXT(VALUE(Database!$A459),"0")&amp;" HK Equity","PX_TO_SALES_RATIO"),"")</f>
        <v/>
      </c>
      <c r="T459" s="53">
        <f>IF(Database!BN459="","",IFERROR(BDP(LEFT(Database!BN459,FIND(".",Database!BN459)-1)&amp;" CH Equity","CUR_MKT_CAP")*BDP("CNYHKD Curncy","PX_LAST"),"run on terminal"))</f>
        <v/>
      </c>
    </row>
    <row r="460" ht="23" customHeight="1">
      <c r="A460" s="51">
        <f>Database!A460&amp;"  "&amp;Database!B460</f>
        <v/>
      </c>
      <c r="B460" s="43">
        <f>IFERROR(INDEX(BDS(TEXT(VALUE(Database!$A460),"0")&amp;" HK Equity","EQUITY_OFFERINGS","array=t","endcol=1"),MATCH("IPO",BDS(TEXT(VALUE(Database!$A460),"0")&amp;" HK Equity","EQUITY_OFFERINGS","array=t","startcol=2","endcol=2"),0)),"")</f>
        <v/>
      </c>
      <c r="C460" s="260">
        <f>IF($B460="","",IFERROR(BDP($B460&amp;" Action","CP036"),""))</f>
        <v/>
      </c>
      <c r="D460" s="261">
        <f>Database!S460</f>
        <v/>
      </c>
      <c r="E460" s="260">
        <f>IF($B460="","",IFERROR(BDP($B460&amp;" Action","CP037"),""))</f>
        <v/>
      </c>
      <c r="F460" s="261">
        <f>Database!T460</f>
        <v/>
      </c>
      <c r="G460" s="260">
        <f>IF($B460="","",IFERROR(BDP($B460&amp;" Action","GREENSHOE_FACILITY"),""))</f>
        <v/>
      </c>
      <c r="H460" s="260">
        <f>IF($B460="","",IFERROR(BDP($B460&amp;" Action","OFFERING_GREENSHOE_SHARES_EX"),""))</f>
        <v/>
      </c>
      <c r="I460" s="51">
        <f>Database!AE460</f>
        <v/>
      </c>
      <c r="J460" s="58">
        <f>IFERROR(BDP(TEXT(VALUE(Database!$A460),"0")&amp;" HK Equity","PE_RATIO"),"")</f>
        <v/>
      </c>
      <c r="K460" s="43">
        <f>IFERROR(BDP(TEXT(VALUE(Database!$A460),"0")&amp;" HK Equity","A/H_SHARE_CONVERSION"),"")</f>
        <v/>
      </c>
      <c r="L460" s="51">
        <f>IF(Database!BN460="","(none found)",Database!BN460)</f>
        <v/>
      </c>
      <c r="M460" s="53">
        <f>IFERROR(INDEX(BDH(TEXT(VALUE(Database!$A460),"0")&amp;" HK Equity","CUR_MKT_CAP",Database!$H460,Database!$H460),MATCH(Database!$H460,INDEX(BDH(TEXT(VALUE(Database!$A460),"0")&amp;" HK Equity","CUR_MKT_CAP",Database!$H460,Database!$H460),0,1),0),2),"run on terminal")</f>
        <v/>
      </c>
      <c r="N460" s="213">
        <f>Database!Q460</f>
        <v/>
      </c>
      <c r="O460" s="58">
        <f>IFERROR(INDEX(BDH(TEXT(VALUE(Database!$A460),"0")&amp;" HK Equity","PE_RATIO",Database!$H460,Database!$H460),MATCH(Database!$H460,INDEX(BDH(TEXT(VALUE(Database!$A460),"0")&amp;" HK Equity","PE_RATIO",Database!$H460,Database!$H460),0,1),0),2),"run on terminal")</f>
        <v/>
      </c>
      <c r="P460" s="251">
        <f>IF(Database!BH460="","(n/m or not derivable)",Database!BH460)</f>
        <v/>
      </c>
      <c r="Q460" s="58">
        <f>IF(Database!BN460="","",IFERROR(INDEX(BDH(LEFT(Database!BN460,FIND(".",Database!BN460)-1)&amp;" CH Equity","PE_RATIO",Database!$H460,Database!$H460),MATCH(Database!$H460,INDEX(BDH(LEFT(Database!BN460,FIND(".",Database!BN460)-1)&amp;" CH Equity","PE_RATIO",Database!$H460,Database!$H460),0,1),0),2),"run on terminal"))</f>
        <v/>
      </c>
      <c r="R460" s="58">
        <f>IF(Database!BN460="","",IFERROR(INDEX(BDH("HSAHP Index","PX_LAST",Database!$H460,Database!$H460),MATCH(Database!$H460,INDEX(BDH("HSAHP Index","PX_LAST",Database!$H460,Database!$H460),0,1),0),2),"run on terminal"))</f>
        <v/>
      </c>
      <c r="S460" s="58">
        <f>IFERROR(BDP(TEXT(VALUE(Database!$A460),"0")&amp;" HK Equity","PX_TO_SALES_RATIO"),"")</f>
        <v/>
      </c>
      <c r="T460" s="53">
        <f>IF(Database!BN460="","",IFERROR(BDP(LEFT(Database!BN460,FIND(".",Database!BN460)-1)&amp;" CH Equity","CUR_MKT_CAP")*BDP("CNYHKD Curncy","PX_LAST"),"run on terminal"))</f>
        <v/>
      </c>
    </row>
    <row r="461" ht="23" customHeight="1">
      <c r="A461" s="51">
        <f>Database!A461&amp;"  "&amp;Database!B461</f>
        <v/>
      </c>
      <c r="B461" s="43">
        <f>IFERROR(INDEX(BDS(TEXT(VALUE(Database!$A461),"0")&amp;" HK Equity","EQUITY_OFFERINGS","array=t","endcol=1"),MATCH("IPO",BDS(TEXT(VALUE(Database!$A461),"0")&amp;" HK Equity","EQUITY_OFFERINGS","array=t","startcol=2","endcol=2"),0)),"")</f>
        <v/>
      </c>
      <c r="C461" s="260">
        <f>IF($B461="","",IFERROR(BDP($B461&amp;" Action","CP036"),""))</f>
        <v/>
      </c>
      <c r="D461" s="261">
        <f>Database!S461</f>
        <v/>
      </c>
      <c r="E461" s="260">
        <f>IF($B461="","",IFERROR(BDP($B461&amp;" Action","CP037"),""))</f>
        <v/>
      </c>
      <c r="F461" s="261">
        <f>Database!T461</f>
        <v/>
      </c>
      <c r="G461" s="260">
        <f>IF($B461="","",IFERROR(BDP($B461&amp;" Action","GREENSHOE_FACILITY"),""))</f>
        <v/>
      </c>
      <c r="H461" s="260">
        <f>IF($B461="","",IFERROR(BDP($B461&amp;" Action","OFFERING_GREENSHOE_SHARES_EX"),""))</f>
        <v/>
      </c>
      <c r="I461" s="51">
        <f>Database!AE461</f>
        <v/>
      </c>
      <c r="J461" s="58">
        <f>IFERROR(BDP(TEXT(VALUE(Database!$A461),"0")&amp;" HK Equity","PE_RATIO"),"")</f>
        <v/>
      </c>
      <c r="K461" s="43">
        <f>IFERROR(BDP(TEXT(VALUE(Database!$A461),"0")&amp;" HK Equity","A/H_SHARE_CONVERSION"),"")</f>
        <v/>
      </c>
      <c r="L461" s="51">
        <f>IF(Database!BN461="","(none found)",Database!BN461)</f>
        <v/>
      </c>
      <c r="M461" s="53">
        <f>IFERROR(INDEX(BDH(TEXT(VALUE(Database!$A461),"0")&amp;" HK Equity","CUR_MKT_CAP",Database!$H461,Database!$H461),MATCH(Database!$H461,INDEX(BDH(TEXT(VALUE(Database!$A461),"0")&amp;" HK Equity","CUR_MKT_CAP",Database!$H461,Database!$H461),0,1),0),2),"run on terminal")</f>
        <v/>
      </c>
      <c r="N461" s="213">
        <f>Database!Q461</f>
        <v/>
      </c>
      <c r="O461" s="58">
        <f>IFERROR(INDEX(BDH(TEXT(VALUE(Database!$A461),"0")&amp;" HK Equity","PE_RATIO",Database!$H461,Database!$H461),MATCH(Database!$H461,INDEX(BDH(TEXT(VALUE(Database!$A461),"0")&amp;" HK Equity","PE_RATIO",Database!$H461,Database!$H461),0,1),0),2),"run on terminal")</f>
        <v/>
      </c>
      <c r="P461" s="251">
        <f>IF(Database!BH461="","(n/m or not derivable)",Database!BH461)</f>
        <v/>
      </c>
      <c r="Q461" s="58">
        <f>IF(Database!BN461="","",IFERROR(INDEX(BDH(LEFT(Database!BN461,FIND(".",Database!BN461)-1)&amp;" CH Equity","PE_RATIO",Database!$H461,Database!$H461),MATCH(Database!$H461,INDEX(BDH(LEFT(Database!BN461,FIND(".",Database!BN461)-1)&amp;" CH Equity","PE_RATIO",Database!$H461,Database!$H461),0,1),0),2),"run on terminal"))</f>
        <v/>
      </c>
      <c r="R461" s="58">
        <f>IF(Database!BN461="","",IFERROR(INDEX(BDH("HSAHP Index","PX_LAST",Database!$H461,Database!$H461),MATCH(Database!$H461,INDEX(BDH("HSAHP Index","PX_LAST",Database!$H461,Database!$H461),0,1),0),2),"run on terminal"))</f>
        <v/>
      </c>
      <c r="S461" s="58">
        <f>IFERROR(BDP(TEXT(VALUE(Database!$A461),"0")&amp;" HK Equity","PX_TO_SALES_RATIO"),"")</f>
        <v/>
      </c>
      <c r="T461" s="53">
        <f>IF(Database!BN461="","",IFERROR(BDP(LEFT(Database!BN461,FIND(".",Database!BN461)-1)&amp;" CH Equity","CUR_MKT_CAP")*BDP("CNYHKD Curncy","PX_LAST"),"run on terminal"))</f>
        <v/>
      </c>
    </row>
    <row r="462" ht="23" customHeight="1">
      <c r="A462" s="51">
        <f>Database!A462&amp;"  "&amp;Database!B462</f>
        <v/>
      </c>
      <c r="B462" s="43">
        <f>IFERROR(INDEX(BDS(TEXT(VALUE(Database!$A462),"0")&amp;" HK Equity","EQUITY_OFFERINGS","array=t","endcol=1"),MATCH("IPO",BDS(TEXT(VALUE(Database!$A462),"0")&amp;" HK Equity","EQUITY_OFFERINGS","array=t","startcol=2","endcol=2"),0)),"")</f>
        <v/>
      </c>
      <c r="C462" s="260">
        <f>IF($B462="","",IFERROR(BDP($B462&amp;" Action","CP036"),""))</f>
        <v/>
      </c>
      <c r="D462" s="261">
        <f>Database!S462</f>
        <v/>
      </c>
      <c r="E462" s="260">
        <f>IF($B462="","",IFERROR(BDP($B462&amp;" Action","CP037"),""))</f>
        <v/>
      </c>
      <c r="F462" s="261">
        <f>Database!T462</f>
        <v/>
      </c>
      <c r="G462" s="260">
        <f>IF($B462="","",IFERROR(BDP($B462&amp;" Action","GREENSHOE_FACILITY"),""))</f>
        <v/>
      </c>
      <c r="H462" s="260">
        <f>IF($B462="","",IFERROR(BDP($B462&amp;" Action","OFFERING_GREENSHOE_SHARES_EX"),""))</f>
        <v/>
      </c>
      <c r="I462" s="51">
        <f>Database!AE462</f>
        <v/>
      </c>
      <c r="J462" s="58">
        <f>IFERROR(BDP(TEXT(VALUE(Database!$A462),"0")&amp;" HK Equity","PE_RATIO"),"")</f>
        <v/>
      </c>
      <c r="K462" s="43">
        <f>IFERROR(BDP(TEXT(VALUE(Database!$A462),"0")&amp;" HK Equity","A/H_SHARE_CONVERSION"),"")</f>
        <v/>
      </c>
      <c r="L462" s="51">
        <f>IF(Database!BN462="","(none found)",Database!BN462)</f>
        <v/>
      </c>
      <c r="M462" s="53">
        <f>IFERROR(INDEX(BDH(TEXT(VALUE(Database!$A462),"0")&amp;" HK Equity","CUR_MKT_CAP",Database!$H462,Database!$H462),MATCH(Database!$H462,INDEX(BDH(TEXT(VALUE(Database!$A462),"0")&amp;" HK Equity","CUR_MKT_CAP",Database!$H462,Database!$H462),0,1),0),2),"run on terminal")</f>
        <v/>
      </c>
      <c r="N462" s="213">
        <f>Database!Q462</f>
        <v/>
      </c>
      <c r="O462" s="58">
        <f>IFERROR(INDEX(BDH(TEXT(VALUE(Database!$A462),"0")&amp;" HK Equity","PE_RATIO",Database!$H462,Database!$H462),MATCH(Database!$H462,INDEX(BDH(TEXT(VALUE(Database!$A462),"0")&amp;" HK Equity","PE_RATIO",Database!$H462,Database!$H462),0,1),0),2),"run on terminal")</f>
        <v/>
      </c>
      <c r="P462" s="251">
        <f>IF(Database!BH462="","(n/m or not derivable)",Database!BH462)</f>
        <v/>
      </c>
      <c r="Q462" s="58">
        <f>IF(Database!BN462="","",IFERROR(INDEX(BDH(LEFT(Database!BN462,FIND(".",Database!BN462)-1)&amp;" CH Equity","PE_RATIO",Database!$H462,Database!$H462),MATCH(Database!$H462,INDEX(BDH(LEFT(Database!BN462,FIND(".",Database!BN462)-1)&amp;" CH Equity","PE_RATIO",Database!$H462,Database!$H462),0,1),0),2),"run on terminal"))</f>
        <v/>
      </c>
      <c r="R462" s="58">
        <f>IF(Database!BN462="","",IFERROR(INDEX(BDH("HSAHP Index","PX_LAST",Database!$H462,Database!$H462),MATCH(Database!$H462,INDEX(BDH("HSAHP Index","PX_LAST",Database!$H462,Database!$H462),0,1),0),2),"run on terminal"))</f>
        <v/>
      </c>
      <c r="S462" s="58">
        <f>IFERROR(BDP(TEXT(VALUE(Database!$A462),"0")&amp;" HK Equity","PX_TO_SALES_RATIO"),"")</f>
        <v/>
      </c>
      <c r="T462" s="53">
        <f>IF(Database!BN462="","",IFERROR(BDP(LEFT(Database!BN462,FIND(".",Database!BN462)-1)&amp;" CH Equity","CUR_MKT_CAP")*BDP("CNYHKD Curncy","PX_LAST"),"run on terminal"))</f>
        <v/>
      </c>
    </row>
    <row r="463" ht="23" customHeight="1">
      <c r="A463" s="51">
        <f>Database!A463&amp;"  "&amp;Database!B463</f>
        <v/>
      </c>
      <c r="B463" s="43">
        <f>IFERROR(INDEX(BDS(TEXT(VALUE(Database!$A463),"0")&amp;" HK Equity","EQUITY_OFFERINGS","array=t","endcol=1"),MATCH("IPO",BDS(TEXT(VALUE(Database!$A463),"0")&amp;" HK Equity","EQUITY_OFFERINGS","array=t","startcol=2","endcol=2"),0)),"")</f>
        <v/>
      </c>
      <c r="C463" s="260">
        <f>IF($B463="","",IFERROR(BDP($B463&amp;" Action","CP036"),""))</f>
        <v/>
      </c>
      <c r="D463" s="261">
        <f>Database!S463</f>
        <v/>
      </c>
      <c r="E463" s="260">
        <f>IF($B463="","",IFERROR(BDP($B463&amp;" Action","CP037"),""))</f>
        <v/>
      </c>
      <c r="F463" s="261">
        <f>Database!T463</f>
        <v/>
      </c>
      <c r="G463" s="260">
        <f>IF($B463="","",IFERROR(BDP($B463&amp;" Action","GREENSHOE_FACILITY"),""))</f>
        <v/>
      </c>
      <c r="H463" s="260">
        <f>IF($B463="","",IFERROR(BDP($B463&amp;" Action","OFFERING_GREENSHOE_SHARES_EX"),""))</f>
        <v/>
      </c>
      <c r="I463" s="51">
        <f>Database!AE463</f>
        <v/>
      </c>
      <c r="J463" s="58">
        <f>IFERROR(BDP(TEXT(VALUE(Database!$A463),"0")&amp;" HK Equity","PE_RATIO"),"")</f>
        <v/>
      </c>
      <c r="K463" s="43">
        <f>IFERROR(BDP(TEXT(VALUE(Database!$A463),"0")&amp;" HK Equity","A/H_SHARE_CONVERSION"),"")</f>
        <v/>
      </c>
      <c r="L463" s="51">
        <f>IF(Database!BN463="","(none found)",Database!BN463)</f>
        <v/>
      </c>
      <c r="M463" s="53">
        <f>IFERROR(INDEX(BDH(TEXT(VALUE(Database!$A463),"0")&amp;" HK Equity","CUR_MKT_CAP",Database!$H463,Database!$H463),MATCH(Database!$H463,INDEX(BDH(TEXT(VALUE(Database!$A463),"0")&amp;" HK Equity","CUR_MKT_CAP",Database!$H463,Database!$H463),0,1),0),2),"run on terminal")</f>
        <v/>
      </c>
      <c r="N463" s="213">
        <f>Database!Q463</f>
        <v/>
      </c>
      <c r="O463" s="58">
        <f>IFERROR(INDEX(BDH(TEXT(VALUE(Database!$A463),"0")&amp;" HK Equity","PE_RATIO",Database!$H463,Database!$H463),MATCH(Database!$H463,INDEX(BDH(TEXT(VALUE(Database!$A463),"0")&amp;" HK Equity","PE_RATIO",Database!$H463,Database!$H463),0,1),0),2),"run on terminal")</f>
        <v/>
      </c>
      <c r="P463" s="251">
        <f>IF(Database!BH463="","(n/m or not derivable)",Database!BH463)</f>
        <v/>
      </c>
      <c r="Q463" s="58">
        <f>IF(Database!BN463="","",IFERROR(INDEX(BDH(LEFT(Database!BN463,FIND(".",Database!BN463)-1)&amp;" CH Equity","PE_RATIO",Database!$H463,Database!$H463),MATCH(Database!$H463,INDEX(BDH(LEFT(Database!BN463,FIND(".",Database!BN463)-1)&amp;" CH Equity","PE_RATIO",Database!$H463,Database!$H463),0,1),0),2),"run on terminal"))</f>
        <v/>
      </c>
      <c r="R463" s="58">
        <f>IF(Database!BN463="","",IFERROR(INDEX(BDH("HSAHP Index","PX_LAST",Database!$H463,Database!$H463),MATCH(Database!$H463,INDEX(BDH("HSAHP Index","PX_LAST",Database!$H463,Database!$H463),0,1),0),2),"run on terminal"))</f>
        <v/>
      </c>
      <c r="S463" s="58">
        <f>IFERROR(BDP(TEXT(VALUE(Database!$A463),"0")&amp;" HK Equity","PX_TO_SALES_RATIO"),"")</f>
        <v/>
      </c>
      <c r="T463" s="53">
        <f>IF(Database!BN463="","",IFERROR(BDP(LEFT(Database!BN463,FIND(".",Database!BN463)-1)&amp;" CH Equity","CUR_MKT_CAP")*BDP("CNYHKD Curncy","PX_LAST"),"run on terminal"))</f>
        <v/>
      </c>
    </row>
    <row r="464" ht="23" customHeight="1">
      <c r="A464" s="51">
        <f>Database!A464&amp;"  "&amp;Database!B464</f>
        <v/>
      </c>
      <c r="B464" s="43">
        <f>IFERROR(INDEX(BDS(TEXT(VALUE(Database!$A464),"0")&amp;" HK Equity","EQUITY_OFFERINGS","array=t","endcol=1"),MATCH("IPO",BDS(TEXT(VALUE(Database!$A464),"0")&amp;" HK Equity","EQUITY_OFFERINGS","array=t","startcol=2","endcol=2"),0)),"")</f>
        <v/>
      </c>
      <c r="C464" s="260">
        <f>IF($B464="","",IFERROR(BDP($B464&amp;" Action","CP036"),""))</f>
        <v/>
      </c>
      <c r="D464" s="261">
        <f>Database!S464</f>
        <v/>
      </c>
      <c r="E464" s="260">
        <f>IF($B464="","",IFERROR(BDP($B464&amp;" Action","CP037"),""))</f>
        <v/>
      </c>
      <c r="F464" s="261">
        <f>Database!T464</f>
        <v/>
      </c>
      <c r="G464" s="260">
        <f>IF($B464="","",IFERROR(BDP($B464&amp;" Action","GREENSHOE_FACILITY"),""))</f>
        <v/>
      </c>
      <c r="H464" s="260">
        <f>IF($B464="","",IFERROR(BDP($B464&amp;" Action","OFFERING_GREENSHOE_SHARES_EX"),""))</f>
        <v/>
      </c>
      <c r="I464" s="51">
        <f>Database!AE464</f>
        <v/>
      </c>
      <c r="J464" s="58">
        <f>IFERROR(BDP(TEXT(VALUE(Database!$A464),"0")&amp;" HK Equity","PE_RATIO"),"")</f>
        <v/>
      </c>
      <c r="K464" s="43">
        <f>IFERROR(BDP(TEXT(VALUE(Database!$A464),"0")&amp;" HK Equity","A/H_SHARE_CONVERSION"),"")</f>
        <v/>
      </c>
      <c r="L464" s="51">
        <f>IF(Database!BN464="","(none found)",Database!BN464)</f>
        <v/>
      </c>
      <c r="M464" s="53">
        <f>IFERROR(INDEX(BDH(TEXT(VALUE(Database!$A464),"0")&amp;" HK Equity","CUR_MKT_CAP",Database!$H464,Database!$H464),MATCH(Database!$H464,INDEX(BDH(TEXT(VALUE(Database!$A464),"0")&amp;" HK Equity","CUR_MKT_CAP",Database!$H464,Database!$H464),0,1),0),2),"run on terminal")</f>
        <v/>
      </c>
      <c r="N464" s="213">
        <f>Database!Q464</f>
        <v/>
      </c>
      <c r="O464" s="58">
        <f>IFERROR(INDEX(BDH(TEXT(VALUE(Database!$A464),"0")&amp;" HK Equity","PE_RATIO",Database!$H464,Database!$H464),MATCH(Database!$H464,INDEX(BDH(TEXT(VALUE(Database!$A464),"0")&amp;" HK Equity","PE_RATIO",Database!$H464,Database!$H464),0,1),0),2),"run on terminal")</f>
        <v/>
      </c>
      <c r="P464" s="251">
        <f>IF(Database!BH464="","(n/m or not derivable)",Database!BH464)</f>
        <v/>
      </c>
      <c r="Q464" s="58">
        <f>IF(Database!BN464="","",IFERROR(INDEX(BDH(LEFT(Database!BN464,FIND(".",Database!BN464)-1)&amp;" CH Equity","PE_RATIO",Database!$H464,Database!$H464),MATCH(Database!$H464,INDEX(BDH(LEFT(Database!BN464,FIND(".",Database!BN464)-1)&amp;" CH Equity","PE_RATIO",Database!$H464,Database!$H464),0,1),0),2),"run on terminal"))</f>
        <v/>
      </c>
      <c r="R464" s="58">
        <f>IF(Database!BN464="","",IFERROR(INDEX(BDH("HSAHP Index","PX_LAST",Database!$H464,Database!$H464),MATCH(Database!$H464,INDEX(BDH("HSAHP Index","PX_LAST",Database!$H464,Database!$H464),0,1),0),2),"run on terminal"))</f>
        <v/>
      </c>
      <c r="S464" s="58">
        <f>IFERROR(BDP(TEXT(VALUE(Database!$A464),"0")&amp;" HK Equity","PX_TO_SALES_RATIO"),"")</f>
        <v/>
      </c>
      <c r="T464" s="53">
        <f>IF(Database!BN464="","",IFERROR(BDP(LEFT(Database!BN464,FIND(".",Database!BN464)-1)&amp;" CH Equity","CUR_MKT_CAP")*BDP("CNYHKD Curncy","PX_LAST"),"run on terminal"))</f>
        <v/>
      </c>
    </row>
    <row r="465" ht="23" customHeight="1">
      <c r="A465" s="51">
        <f>Database!A465&amp;"  "&amp;Database!B465</f>
        <v/>
      </c>
      <c r="B465" s="43">
        <f>IFERROR(INDEX(BDS(TEXT(VALUE(Database!$A465),"0")&amp;" HK Equity","EQUITY_OFFERINGS","array=t","endcol=1"),MATCH("IPO",BDS(TEXT(VALUE(Database!$A465),"0")&amp;" HK Equity","EQUITY_OFFERINGS","array=t","startcol=2","endcol=2"),0)),"")</f>
        <v/>
      </c>
      <c r="C465" s="260">
        <f>IF($B465="","",IFERROR(BDP($B465&amp;" Action","CP036"),""))</f>
        <v/>
      </c>
      <c r="D465" s="261">
        <f>Database!S465</f>
        <v/>
      </c>
      <c r="E465" s="260">
        <f>IF($B465="","",IFERROR(BDP($B465&amp;" Action","CP037"),""))</f>
        <v/>
      </c>
      <c r="F465" s="261">
        <f>Database!T465</f>
        <v/>
      </c>
      <c r="G465" s="260">
        <f>IF($B465="","",IFERROR(BDP($B465&amp;" Action","GREENSHOE_FACILITY"),""))</f>
        <v/>
      </c>
      <c r="H465" s="260">
        <f>IF($B465="","",IFERROR(BDP($B465&amp;" Action","OFFERING_GREENSHOE_SHARES_EX"),""))</f>
        <v/>
      </c>
      <c r="I465" s="51">
        <f>Database!AE465</f>
        <v/>
      </c>
      <c r="J465" s="58">
        <f>IFERROR(BDP(TEXT(VALUE(Database!$A465),"0")&amp;" HK Equity","PE_RATIO"),"")</f>
        <v/>
      </c>
      <c r="K465" s="43">
        <f>IFERROR(BDP(TEXT(VALUE(Database!$A465),"0")&amp;" HK Equity","A/H_SHARE_CONVERSION"),"")</f>
        <v/>
      </c>
      <c r="L465" s="51">
        <f>IF(Database!BN465="","(none found)",Database!BN465)</f>
        <v/>
      </c>
      <c r="M465" s="53">
        <f>IFERROR(INDEX(BDH(TEXT(VALUE(Database!$A465),"0")&amp;" HK Equity","CUR_MKT_CAP",Database!$H465,Database!$H465),MATCH(Database!$H465,INDEX(BDH(TEXT(VALUE(Database!$A465),"0")&amp;" HK Equity","CUR_MKT_CAP",Database!$H465,Database!$H465),0,1),0),2),"run on terminal")</f>
        <v/>
      </c>
      <c r="N465" s="213">
        <f>Database!Q465</f>
        <v/>
      </c>
      <c r="O465" s="58">
        <f>IFERROR(INDEX(BDH(TEXT(VALUE(Database!$A465),"0")&amp;" HK Equity","PE_RATIO",Database!$H465,Database!$H465),MATCH(Database!$H465,INDEX(BDH(TEXT(VALUE(Database!$A465),"0")&amp;" HK Equity","PE_RATIO",Database!$H465,Database!$H465),0,1),0),2),"run on terminal")</f>
        <v/>
      </c>
      <c r="P465" s="251">
        <f>IF(Database!BH465="","(n/m or not derivable)",Database!BH465)</f>
        <v/>
      </c>
      <c r="Q465" s="58">
        <f>IF(Database!BN465="","",IFERROR(INDEX(BDH(LEFT(Database!BN465,FIND(".",Database!BN465)-1)&amp;" CH Equity","PE_RATIO",Database!$H465,Database!$H465),MATCH(Database!$H465,INDEX(BDH(LEFT(Database!BN465,FIND(".",Database!BN465)-1)&amp;" CH Equity","PE_RATIO",Database!$H465,Database!$H465),0,1),0),2),"run on terminal"))</f>
        <v/>
      </c>
      <c r="R465" s="58">
        <f>IF(Database!BN465="","",IFERROR(INDEX(BDH("HSAHP Index","PX_LAST",Database!$H465,Database!$H465),MATCH(Database!$H465,INDEX(BDH("HSAHP Index","PX_LAST",Database!$H465,Database!$H465),0,1),0),2),"run on terminal"))</f>
        <v/>
      </c>
      <c r="S465" s="58">
        <f>IFERROR(BDP(TEXT(VALUE(Database!$A465),"0")&amp;" HK Equity","PX_TO_SALES_RATIO"),"")</f>
        <v/>
      </c>
      <c r="T465" s="53">
        <f>IF(Database!BN465="","",IFERROR(BDP(LEFT(Database!BN465,FIND(".",Database!BN465)-1)&amp;" CH Equity","CUR_MKT_CAP")*BDP("CNYHKD Curncy","PX_LAST"),"run on terminal"))</f>
        <v/>
      </c>
    </row>
    <row r="466" ht="23" customHeight="1">
      <c r="A466" s="51">
        <f>Database!A466&amp;"  "&amp;Database!B466</f>
        <v/>
      </c>
      <c r="B466" s="43">
        <f>IFERROR(INDEX(BDS(TEXT(VALUE(Database!$A466),"0")&amp;" HK Equity","EQUITY_OFFERINGS","array=t","endcol=1"),MATCH("IPO",BDS(TEXT(VALUE(Database!$A466),"0")&amp;" HK Equity","EQUITY_OFFERINGS","array=t","startcol=2","endcol=2"),0)),"")</f>
        <v/>
      </c>
      <c r="C466" s="260">
        <f>IF($B466="","",IFERROR(BDP($B466&amp;" Action","CP036"),""))</f>
        <v/>
      </c>
      <c r="D466" s="261">
        <f>Database!S466</f>
        <v/>
      </c>
      <c r="E466" s="260">
        <f>IF($B466="","",IFERROR(BDP($B466&amp;" Action","CP037"),""))</f>
        <v/>
      </c>
      <c r="F466" s="261">
        <f>Database!T466</f>
        <v/>
      </c>
      <c r="G466" s="260">
        <f>IF($B466="","",IFERROR(BDP($B466&amp;" Action","GREENSHOE_FACILITY"),""))</f>
        <v/>
      </c>
      <c r="H466" s="260">
        <f>IF($B466="","",IFERROR(BDP($B466&amp;" Action","OFFERING_GREENSHOE_SHARES_EX"),""))</f>
        <v/>
      </c>
      <c r="I466" s="51">
        <f>Database!AE466</f>
        <v/>
      </c>
      <c r="J466" s="58">
        <f>IFERROR(BDP(TEXT(VALUE(Database!$A466),"0")&amp;" HK Equity","PE_RATIO"),"")</f>
        <v/>
      </c>
      <c r="K466" s="43">
        <f>IFERROR(BDP(TEXT(VALUE(Database!$A466),"0")&amp;" HK Equity","A/H_SHARE_CONVERSION"),"")</f>
        <v/>
      </c>
      <c r="L466" s="51">
        <f>IF(Database!BN466="","(none found)",Database!BN466)</f>
        <v/>
      </c>
      <c r="M466" s="53">
        <f>IFERROR(INDEX(BDH(TEXT(VALUE(Database!$A466),"0")&amp;" HK Equity","CUR_MKT_CAP",Database!$H466,Database!$H466),MATCH(Database!$H466,INDEX(BDH(TEXT(VALUE(Database!$A466),"0")&amp;" HK Equity","CUR_MKT_CAP",Database!$H466,Database!$H466),0,1),0),2),"run on terminal")</f>
        <v/>
      </c>
      <c r="N466" s="213">
        <f>Database!Q466</f>
        <v/>
      </c>
      <c r="O466" s="58">
        <f>IFERROR(INDEX(BDH(TEXT(VALUE(Database!$A466),"0")&amp;" HK Equity","PE_RATIO",Database!$H466,Database!$H466),MATCH(Database!$H466,INDEX(BDH(TEXT(VALUE(Database!$A466),"0")&amp;" HK Equity","PE_RATIO",Database!$H466,Database!$H466),0,1),0),2),"run on terminal")</f>
        <v/>
      </c>
      <c r="P466" s="251">
        <f>IF(Database!BH466="","(n/m or not derivable)",Database!BH466)</f>
        <v/>
      </c>
      <c r="Q466" s="58">
        <f>IF(Database!BN466="","",IFERROR(INDEX(BDH(LEFT(Database!BN466,FIND(".",Database!BN466)-1)&amp;" CH Equity","PE_RATIO",Database!$H466,Database!$H466),MATCH(Database!$H466,INDEX(BDH(LEFT(Database!BN466,FIND(".",Database!BN466)-1)&amp;" CH Equity","PE_RATIO",Database!$H466,Database!$H466),0,1),0),2),"run on terminal"))</f>
        <v/>
      </c>
      <c r="R466" s="58">
        <f>IF(Database!BN466="","",IFERROR(INDEX(BDH("HSAHP Index","PX_LAST",Database!$H466,Database!$H466),MATCH(Database!$H466,INDEX(BDH("HSAHP Index","PX_LAST",Database!$H466,Database!$H466),0,1),0),2),"run on terminal"))</f>
        <v/>
      </c>
      <c r="S466" s="58">
        <f>IFERROR(BDP(TEXT(VALUE(Database!$A466),"0")&amp;" HK Equity","PX_TO_SALES_RATIO"),"")</f>
        <v/>
      </c>
      <c r="T466" s="53">
        <f>IF(Database!BN466="","",IFERROR(BDP(LEFT(Database!BN466,FIND(".",Database!BN466)-1)&amp;" CH Equity","CUR_MKT_CAP")*BDP("CNYHKD Curncy","PX_LAST"),"run on terminal"))</f>
        <v/>
      </c>
    </row>
    <row r="467" ht="23" customHeight="1">
      <c r="A467" s="51">
        <f>Database!A467&amp;"  "&amp;Database!B467</f>
        <v/>
      </c>
      <c r="B467" s="43">
        <f>IFERROR(INDEX(BDS(TEXT(VALUE(Database!$A467),"0")&amp;" HK Equity","EQUITY_OFFERINGS","array=t","endcol=1"),MATCH("IPO",BDS(TEXT(VALUE(Database!$A467),"0")&amp;" HK Equity","EQUITY_OFFERINGS","array=t","startcol=2","endcol=2"),0)),"")</f>
        <v/>
      </c>
      <c r="C467" s="260">
        <f>IF($B467="","",IFERROR(BDP($B467&amp;" Action","CP036"),""))</f>
        <v/>
      </c>
      <c r="D467" s="261">
        <f>Database!S467</f>
        <v/>
      </c>
      <c r="E467" s="260">
        <f>IF($B467="","",IFERROR(BDP($B467&amp;" Action","CP037"),""))</f>
        <v/>
      </c>
      <c r="F467" s="261">
        <f>Database!T467</f>
        <v/>
      </c>
      <c r="G467" s="260">
        <f>IF($B467="","",IFERROR(BDP($B467&amp;" Action","GREENSHOE_FACILITY"),""))</f>
        <v/>
      </c>
      <c r="H467" s="260">
        <f>IF($B467="","",IFERROR(BDP($B467&amp;" Action","OFFERING_GREENSHOE_SHARES_EX"),""))</f>
        <v/>
      </c>
      <c r="I467" s="51">
        <f>Database!AE467</f>
        <v/>
      </c>
      <c r="J467" s="58">
        <f>IFERROR(BDP(TEXT(VALUE(Database!$A467),"0")&amp;" HK Equity","PE_RATIO"),"")</f>
        <v/>
      </c>
      <c r="K467" s="43">
        <f>IFERROR(BDP(TEXT(VALUE(Database!$A467),"0")&amp;" HK Equity","A/H_SHARE_CONVERSION"),"")</f>
        <v/>
      </c>
      <c r="L467" s="51">
        <f>IF(Database!BN467="","(none found)",Database!BN467)</f>
        <v/>
      </c>
      <c r="M467" s="53">
        <f>IFERROR(INDEX(BDH(TEXT(VALUE(Database!$A467),"0")&amp;" HK Equity","CUR_MKT_CAP",Database!$H467,Database!$H467),MATCH(Database!$H467,INDEX(BDH(TEXT(VALUE(Database!$A467),"0")&amp;" HK Equity","CUR_MKT_CAP",Database!$H467,Database!$H467),0,1),0),2),"run on terminal")</f>
        <v/>
      </c>
      <c r="N467" s="213">
        <f>Database!Q467</f>
        <v/>
      </c>
      <c r="O467" s="58">
        <f>IFERROR(INDEX(BDH(TEXT(VALUE(Database!$A467),"0")&amp;" HK Equity","PE_RATIO",Database!$H467,Database!$H467),MATCH(Database!$H467,INDEX(BDH(TEXT(VALUE(Database!$A467),"0")&amp;" HK Equity","PE_RATIO",Database!$H467,Database!$H467),0,1),0),2),"run on terminal")</f>
        <v/>
      </c>
      <c r="P467" s="251">
        <f>IF(Database!BH467="","(n/m or not derivable)",Database!BH467)</f>
        <v/>
      </c>
      <c r="Q467" s="58">
        <f>IF(Database!BN467="","",IFERROR(INDEX(BDH(LEFT(Database!BN467,FIND(".",Database!BN467)-1)&amp;" CH Equity","PE_RATIO",Database!$H467,Database!$H467),MATCH(Database!$H467,INDEX(BDH(LEFT(Database!BN467,FIND(".",Database!BN467)-1)&amp;" CH Equity","PE_RATIO",Database!$H467,Database!$H467),0,1),0),2),"run on terminal"))</f>
        <v/>
      </c>
      <c r="R467" s="58">
        <f>IF(Database!BN467="","",IFERROR(INDEX(BDH("HSAHP Index","PX_LAST",Database!$H467,Database!$H467),MATCH(Database!$H467,INDEX(BDH("HSAHP Index","PX_LAST",Database!$H467,Database!$H467),0,1),0),2),"run on terminal"))</f>
        <v/>
      </c>
      <c r="S467" s="58">
        <f>IFERROR(BDP(TEXT(VALUE(Database!$A467),"0")&amp;" HK Equity","PX_TO_SALES_RATIO"),"")</f>
        <v/>
      </c>
      <c r="T467" s="53">
        <f>IF(Database!BN467="","",IFERROR(BDP(LEFT(Database!BN467,FIND(".",Database!BN467)-1)&amp;" CH Equity","CUR_MKT_CAP")*BDP("CNYHKD Curncy","PX_LAST"),"run on terminal"))</f>
        <v/>
      </c>
    </row>
    <row r="468" ht="23" customHeight="1">
      <c r="A468" s="51">
        <f>Database!A468&amp;"  "&amp;Database!B468</f>
        <v/>
      </c>
      <c r="B468" s="43">
        <f>IFERROR(INDEX(BDS(TEXT(VALUE(Database!$A468),"0")&amp;" HK Equity","EQUITY_OFFERINGS","array=t","endcol=1"),MATCH("IPO",BDS(TEXT(VALUE(Database!$A468),"0")&amp;" HK Equity","EQUITY_OFFERINGS","array=t","startcol=2","endcol=2"),0)),"")</f>
        <v/>
      </c>
      <c r="C468" s="260">
        <f>IF($B468="","",IFERROR(BDP($B468&amp;" Action","CP036"),""))</f>
        <v/>
      </c>
      <c r="D468" s="261">
        <f>Database!S468</f>
        <v/>
      </c>
      <c r="E468" s="260">
        <f>IF($B468="","",IFERROR(BDP($B468&amp;" Action","CP037"),""))</f>
        <v/>
      </c>
      <c r="F468" s="261">
        <f>Database!T468</f>
        <v/>
      </c>
      <c r="G468" s="260">
        <f>IF($B468="","",IFERROR(BDP($B468&amp;" Action","GREENSHOE_FACILITY"),""))</f>
        <v/>
      </c>
      <c r="H468" s="260">
        <f>IF($B468="","",IFERROR(BDP($B468&amp;" Action","OFFERING_GREENSHOE_SHARES_EX"),""))</f>
        <v/>
      </c>
      <c r="I468" s="51">
        <f>Database!AE468</f>
        <v/>
      </c>
      <c r="J468" s="58">
        <f>IFERROR(BDP(TEXT(VALUE(Database!$A468),"0")&amp;" HK Equity","PE_RATIO"),"")</f>
        <v/>
      </c>
      <c r="K468" s="43">
        <f>IFERROR(BDP(TEXT(VALUE(Database!$A468),"0")&amp;" HK Equity","A/H_SHARE_CONVERSION"),"")</f>
        <v/>
      </c>
      <c r="L468" s="51">
        <f>IF(Database!BN468="","(none found)",Database!BN468)</f>
        <v/>
      </c>
      <c r="M468" s="53">
        <f>IFERROR(INDEX(BDH(TEXT(VALUE(Database!$A468),"0")&amp;" HK Equity","CUR_MKT_CAP",Database!$H468,Database!$H468),MATCH(Database!$H468,INDEX(BDH(TEXT(VALUE(Database!$A468),"0")&amp;" HK Equity","CUR_MKT_CAP",Database!$H468,Database!$H468),0,1),0),2),"run on terminal")</f>
        <v/>
      </c>
      <c r="N468" s="213">
        <f>Database!Q468</f>
        <v/>
      </c>
      <c r="O468" s="58">
        <f>IFERROR(INDEX(BDH(TEXT(VALUE(Database!$A468),"0")&amp;" HK Equity","PE_RATIO",Database!$H468,Database!$H468),MATCH(Database!$H468,INDEX(BDH(TEXT(VALUE(Database!$A468),"0")&amp;" HK Equity","PE_RATIO",Database!$H468,Database!$H468),0,1),0),2),"run on terminal")</f>
        <v/>
      </c>
      <c r="P468" s="251">
        <f>IF(Database!BH468="","(n/m or not derivable)",Database!BH468)</f>
        <v/>
      </c>
      <c r="Q468" s="58">
        <f>IF(Database!BN468="","",IFERROR(INDEX(BDH(LEFT(Database!BN468,FIND(".",Database!BN468)-1)&amp;" CH Equity","PE_RATIO",Database!$H468,Database!$H468),MATCH(Database!$H468,INDEX(BDH(LEFT(Database!BN468,FIND(".",Database!BN468)-1)&amp;" CH Equity","PE_RATIO",Database!$H468,Database!$H468),0,1),0),2),"run on terminal"))</f>
        <v/>
      </c>
      <c r="R468" s="58">
        <f>IF(Database!BN468="","",IFERROR(INDEX(BDH("HSAHP Index","PX_LAST",Database!$H468,Database!$H468),MATCH(Database!$H468,INDEX(BDH("HSAHP Index","PX_LAST",Database!$H468,Database!$H468),0,1),0),2),"run on terminal"))</f>
        <v/>
      </c>
      <c r="S468" s="58">
        <f>IFERROR(BDP(TEXT(VALUE(Database!$A468),"0")&amp;" HK Equity","PX_TO_SALES_RATIO"),"")</f>
        <v/>
      </c>
      <c r="T468" s="53">
        <f>IF(Database!BN468="","",IFERROR(BDP(LEFT(Database!BN468,FIND(".",Database!BN468)-1)&amp;" CH Equity","CUR_MKT_CAP")*BDP("CNYHKD Curncy","PX_LAST"),"run on terminal"))</f>
        <v/>
      </c>
    </row>
    <row r="469" ht="23" customHeight="1">
      <c r="A469" s="51">
        <f>Database!A469&amp;"  "&amp;Database!B469</f>
        <v/>
      </c>
      <c r="B469" s="43">
        <f>IFERROR(INDEX(BDS(TEXT(VALUE(Database!$A469),"0")&amp;" HK Equity","EQUITY_OFFERINGS","array=t","endcol=1"),MATCH("IPO",BDS(TEXT(VALUE(Database!$A469),"0")&amp;" HK Equity","EQUITY_OFFERINGS","array=t","startcol=2","endcol=2"),0)),"")</f>
        <v/>
      </c>
      <c r="C469" s="260">
        <f>IF($B469="","",IFERROR(BDP($B469&amp;" Action","CP036"),""))</f>
        <v/>
      </c>
      <c r="D469" s="261">
        <f>Database!S469</f>
        <v/>
      </c>
      <c r="E469" s="260">
        <f>IF($B469="","",IFERROR(BDP($B469&amp;" Action","CP037"),""))</f>
        <v/>
      </c>
      <c r="F469" s="261">
        <f>Database!T469</f>
        <v/>
      </c>
      <c r="G469" s="260">
        <f>IF($B469="","",IFERROR(BDP($B469&amp;" Action","GREENSHOE_FACILITY"),""))</f>
        <v/>
      </c>
      <c r="H469" s="260">
        <f>IF($B469="","",IFERROR(BDP($B469&amp;" Action","OFFERING_GREENSHOE_SHARES_EX"),""))</f>
        <v/>
      </c>
      <c r="I469" s="51">
        <f>Database!AE469</f>
        <v/>
      </c>
      <c r="J469" s="58">
        <f>IFERROR(BDP(TEXT(VALUE(Database!$A469),"0")&amp;" HK Equity","PE_RATIO"),"")</f>
        <v/>
      </c>
      <c r="K469" s="43">
        <f>IFERROR(BDP(TEXT(VALUE(Database!$A469),"0")&amp;" HK Equity","A/H_SHARE_CONVERSION"),"")</f>
        <v/>
      </c>
      <c r="L469" s="51">
        <f>IF(Database!BN469="","(none found)",Database!BN469)</f>
        <v/>
      </c>
      <c r="M469" s="53">
        <f>IFERROR(INDEX(BDH(TEXT(VALUE(Database!$A469),"0")&amp;" HK Equity","CUR_MKT_CAP",Database!$H469,Database!$H469),MATCH(Database!$H469,INDEX(BDH(TEXT(VALUE(Database!$A469),"0")&amp;" HK Equity","CUR_MKT_CAP",Database!$H469,Database!$H469),0,1),0),2),"run on terminal")</f>
        <v/>
      </c>
      <c r="N469" s="213">
        <f>Database!Q469</f>
        <v/>
      </c>
      <c r="O469" s="58">
        <f>IFERROR(INDEX(BDH(TEXT(VALUE(Database!$A469),"0")&amp;" HK Equity","PE_RATIO",Database!$H469,Database!$H469),MATCH(Database!$H469,INDEX(BDH(TEXT(VALUE(Database!$A469),"0")&amp;" HK Equity","PE_RATIO",Database!$H469,Database!$H469),0,1),0),2),"run on terminal")</f>
        <v/>
      </c>
      <c r="P469" s="251">
        <f>IF(Database!BH469="","(n/m or not derivable)",Database!BH469)</f>
        <v/>
      </c>
      <c r="Q469" s="58">
        <f>IF(Database!BN469="","",IFERROR(INDEX(BDH(LEFT(Database!BN469,FIND(".",Database!BN469)-1)&amp;" CH Equity","PE_RATIO",Database!$H469,Database!$H469),MATCH(Database!$H469,INDEX(BDH(LEFT(Database!BN469,FIND(".",Database!BN469)-1)&amp;" CH Equity","PE_RATIO",Database!$H469,Database!$H469),0,1),0),2),"run on terminal"))</f>
        <v/>
      </c>
      <c r="R469" s="58">
        <f>IF(Database!BN469="","",IFERROR(INDEX(BDH("HSAHP Index","PX_LAST",Database!$H469,Database!$H469),MATCH(Database!$H469,INDEX(BDH("HSAHP Index","PX_LAST",Database!$H469,Database!$H469),0,1),0),2),"run on terminal"))</f>
        <v/>
      </c>
      <c r="S469" s="58">
        <f>IFERROR(BDP(TEXT(VALUE(Database!$A469),"0")&amp;" HK Equity","PX_TO_SALES_RATIO"),"")</f>
        <v/>
      </c>
      <c r="T469" s="53">
        <f>IF(Database!BN469="","",IFERROR(BDP(LEFT(Database!BN469,FIND(".",Database!BN469)-1)&amp;" CH Equity","CUR_MKT_CAP")*BDP("CNYHKD Curncy","PX_LAST"),"run on terminal"))</f>
        <v/>
      </c>
    </row>
    <row r="470" ht="23" customHeight="1">
      <c r="A470" s="51">
        <f>Database!A470&amp;"  "&amp;Database!B470</f>
        <v/>
      </c>
      <c r="B470" s="43">
        <f>IFERROR(INDEX(BDS(TEXT(VALUE(Database!$A470),"0")&amp;" HK Equity","EQUITY_OFFERINGS","array=t","endcol=1"),MATCH("IPO",BDS(TEXT(VALUE(Database!$A470),"0")&amp;" HK Equity","EQUITY_OFFERINGS","array=t","startcol=2","endcol=2"),0)),"")</f>
        <v/>
      </c>
      <c r="C470" s="260">
        <f>IF($B470="","",IFERROR(BDP($B470&amp;" Action","CP036"),""))</f>
        <v/>
      </c>
      <c r="D470" s="261">
        <f>Database!S470</f>
        <v/>
      </c>
      <c r="E470" s="260">
        <f>IF($B470="","",IFERROR(BDP($B470&amp;" Action","CP037"),""))</f>
        <v/>
      </c>
      <c r="F470" s="261">
        <f>Database!T470</f>
        <v/>
      </c>
      <c r="G470" s="260">
        <f>IF($B470="","",IFERROR(BDP($B470&amp;" Action","GREENSHOE_FACILITY"),""))</f>
        <v/>
      </c>
      <c r="H470" s="260">
        <f>IF($B470="","",IFERROR(BDP($B470&amp;" Action","OFFERING_GREENSHOE_SHARES_EX"),""))</f>
        <v/>
      </c>
      <c r="I470" s="51">
        <f>Database!AE470</f>
        <v/>
      </c>
      <c r="J470" s="58">
        <f>IFERROR(BDP(TEXT(VALUE(Database!$A470),"0")&amp;" HK Equity","PE_RATIO"),"")</f>
        <v/>
      </c>
      <c r="K470" s="43">
        <f>IFERROR(BDP(TEXT(VALUE(Database!$A470),"0")&amp;" HK Equity","A/H_SHARE_CONVERSION"),"")</f>
        <v/>
      </c>
      <c r="L470" s="51">
        <f>IF(Database!BN470="","(none found)",Database!BN470)</f>
        <v/>
      </c>
      <c r="M470" s="53">
        <f>IFERROR(INDEX(BDH(TEXT(VALUE(Database!$A470),"0")&amp;" HK Equity","CUR_MKT_CAP",Database!$H470,Database!$H470),MATCH(Database!$H470,INDEX(BDH(TEXT(VALUE(Database!$A470),"0")&amp;" HK Equity","CUR_MKT_CAP",Database!$H470,Database!$H470),0,1),0),2),"run on terminal")</f>
        <v/>
      </c>
      <c r="N470" s="213">
        <f>Database!Q470</f>
        <v/>
      </c>
      <c r="O470" s="58">
        <f>IFERROR(INDEX(BDH(TEXT(VALUE(Database!$A470),"0")&amp;" HK Equity","PE_RATIO",Database!$H470,Database!$H470),MATCH(Database!$H470,INDEX(BDH(TEXT(VALUE(Database!$A470),"0")&amp;" HK Equity","PE_RATIO",Database!$H470,Database!$H470),0,1),0),2),"run on terminal")</f>
        <v/>
      </c>
      <c r="P470" s="251">
        <f>IF(Database!BH470="","(n/m or not derivable)",Database!BH470)</f>
        <v/>
      </c>
      <c r="Q470" s="58">
        <f>IF(Database!BN470="","",IFERROR(INDEX(BDH(LEFT(Database!BN470,FIND(".",Database!BN470)-1)&amp;" CH Equity","PE_RATIO",Database!$H470,Database!$H470),MATCH(Database!$H470,INDEX(BDH(LEFT(Database!BN470,FIND(".",Database!BN470)-1)&amp;" CH Equity","PE_RATIO",Database!$H470,Database!$H470),0,1),0),2),"run on terminal"))</f>
        <v/>
      </c>
      <c r="R470" s="58">
        <f>IF(Database!BN470="","",IFERROR(INDEX(BDH("HSAHP Index","PX_LAST",Database!$H470,Database!$H470),MATCH(Database!$H470,INDEX(BDH("HSAHP Index","PX_LAST",Database!$H470,Database!$H470),0,1),0),2),"run on terminal"))</f>
        <v/>
      </c>
      <c r="S470" s="58">
        <f>IFERROR(BDP(TEXT(VALUE(Database!$A470),"0")&amp;" HK Equity","PX_TO_SALES_RATIO"),"")</f>
        <v/>
      </c>
      <c r="T470" s="53">
        <f>IF(Database!BN470="","",IFERROR(BDP(LEFT(Database!BN470,FIND(".",Database!BN470)-1)&amp;" CH Equity","CUR_MKT_CAP")*BDP("CNYHKD Curncy","PX_LAST"),"run on terminal"))</f>
        <v/>
      </c>
    </row>
    <row r="471" ht="23" customHeight="1">
      <c r="A471" s="51">
        <f>Database!A471&amp;"  "&amp;Database!B471</f>
        <v/>
      </c>
      <c r="B471" s="43">
        <f>IFERROR(INDEX(BDS(TEXT(VALUE(Database!$A471),"0")&amp;" HK Equity","EQUITY_OFFERINGS","array=t","endcol=1"),MATCH("IPO",BDS(TEXT(VALUE(Database!$A471),"0")&amp;" HK Equity","EQUITY_OFFERINGS","array=t","startcol=2","endcol=2"),0)),"")</f>
        <v/>
      </c>
      <c r="C471" s="260">
        <f>IF($B471="","",IFERROR(BDP($B471&amp;" Action","CP036"),""))</f>
        <v/>
      </c>
      <c r="D471" s="261">
        <f>Database!S471</f>
        <v/>
      </c>
      <c r="E471" s="260">
        <f>IF($B471="","",IFERROR(BDP($B471&amp;" Action","CP037"),""))</f>
        <v/>
      </c>
      <c r="F471" s="261">
        <f>Database!T471</f>
        <v/>
      </c>
      <c r="G471" s="260">
        <f>IF($B471="","",IFERROR(BDP($B471&amp;" Action","GREENSHOE_FACILITY"),""))</f>
        <v/>
      </c>
      <c r="H471" s="260">
        <f>IF($B471="","",IFERROR(BDP($B471&amp;" Action","OFFERING_GREENSHOE_SHARES_EX"),""))</f>
        <v/>
      </c>
      <c r="I471" s="51">
        <f>Database!AE471</f>
        <v/>
      </c>
      <c r="J471" s="58">
        <f>IFERROR(BDP(TEXT(VALUE(Database!$A471),"0")&amp;" HK Equity","PE_RATIO"),"")</f>
        <v/>
      </c>
      <c r="K471" s="43">
        <f>IFERROR(BDP(TEXT(VALUE(Database!$A471),"0")&amp;" HK Equity","A/H_SHARE_CONVERSION"),"")</f>
        <v/>
      </c>
      <c r="L471" s="51">
        <f>IF(Database!BN471="","(none found)",Database!BN471)</f>
        <v/>
      </c>
      <c r="M471" s="53">
        <f>IFERROR(INDEX(BDH(TEXT(VALUE(Database!$A471),"0")&amp;" HK Equity","CUR_MKT_CAP",Database!$H471,Database!$H471),MATCH(Database!$H471,INDEX(BDH(TEXT(VALUE(Database!$A471),"0")&amp;" HK Equity","CUR_MKT_CAP",Database!$H471,Database!$H471),0,1),0),2),"run on terminal")</f>
        <v/>
      </c>
      <c r="N471" s="213">
        <f>Database!Q471</f>
        <v/>
      </c>
      <c r="O471" s="58">
        <f>IFERROR(INDEX(BDH(TEXT(VALUE(Database!$A471),"0")&amp;" HK Equity","PE_RATIO",Database!$H471,Database!$H471),MATCH(Database!$H471,INDEX(BDH(TEXT(VALUE(Database!$A471),"0")&amp;" HK Equity","PE_RATIO",Database!$H471,Database!$H471),0,1),0),2),"run on terminal")</f>
        <v/>
      </c>
      <c r="P471" s="251">
        <f>IF(Database!BH471="","(n/m or not derivable)",Database!BH471)</f>
        <v/>
      </c>
      <c r="Q471" s="58">
        <f>IF(Database!BN471="","",IFERROR(INDEX(BDH(LEFT(Database!BN471,FIND(".",Database!BN471)-1)&amp;" CH Equity","PE_RATIO",Database!$H471,Database!$H471),MATCH(Database!$H471,INDEX(BDH(LEFT(Database!BN471,FIND(".",Database!BN471)-1)&amp;" CH Equity","PE_RATIO",Database!$H471,Database!$H471),0,1),0),2),"run on terminal"))</f>
        <v/>
      </c>
      <c r="R471" s="58">
        <f>IF(Database!BN471="","",IFERROR(INDEX(BDH("HSAHP Index","PX_LAST",Database!$H471,Database!$H471),MATCH(Database!$H471,INDEX(BDH("HSAHP Index","PX_LAST",Database!$H471,Database!$H471),0,1),0),2),"run on terminal"))</f>
        <v/>
      </c>
      <c r="S471" s="58">
        <f>IFERROR(BDP(TEXT(VALUE(Database!$A471),"0")&amp;" HK Equity","PX_TO_SALES_RATIO"),"")</f>
        <v/>
      </c>
      <c r="T471" s="53">
        <f>IF(Database!BN471="","",IFERROR(BDP(LEFT(Database!BN471,FIND(".",Database!BN471)-1)&amp;" CH Equity","CUR_MKT_CAP")*BDP("CNYHKD Curncy","PX_LAST"),"run on terminal"))</f>
        <v/>
      </c>
    </row>
    <row r="472" ht="23" customHeight="1">
      <c r="A472" s="51">
        <f>Database!A472&amp;"  "&amp;Database!B472</f>
        <v/>
      </c>
      <c r="B472" s="43">
        <f>IFERROR(INDEX(BDS(TEXT(VALUE(Database!$A472),"0")&amp;" HK Equity","EQUITY_OFFERINGS","array=t","endcol=1"),MATCH("IPO",BDS(TEXT(VALUE(Database!$A472),"0")&amp;" HK Equity","EQUITY_OFFERINGS","array=t","startcol=2","endcol=2"),0)),"")</f>
        <v/>
      </c>
      <c r="C472" s="260">
        <f>IF($B472="","",IFERROR(BDP($B472&amp;" Action","CP036"),""))</f>
        <v/>
      </c>
      <c r="D472" s="261">
        <f>Database!S472</f>
        <v/>
      </c>
      <c r="E472" s="260">
        <f>IF($B472="","",IFERROR(BDP($B472&amp;" Action","CP037"),""))</f>
        <v/>
      </c>
      <c r="F472" s="261">
        <f>Database!T472</f>
        <v/>
      </c>
      <c r="G472" s="260">
        <f>IF($B472="","",IFERROR(BDP($B472&amp;" Action","GREENSHOE_FACILITY"),""))</f>
        <v/>
      </c>
      <c r="H472" s="260">
        <f>IF($B472="","",IFERROR(BDP($B472&amp;" Action","OFFERING_GREENSHOE_SHARES_EX"),""))</f>
        <v/>
      </c>
      <c r="I472" s="51">
        <f>Database!AE472</f>
        <v/>
      </c>
      <c r="J472" s="58">
        <f>IFERROR(BDP(TEXT(VALUE(Database!$A472),"0")&amp;" HK Equity","PE_RATIO"),"")</f>
        <v/>
      </c>
      <c r="K472" s="43">
        <f>IFERROR(BDP(TEXT(VALUE(Database!$A472),"0")&amp;" HK Equity","A/H_SHARE_CONVERSION"),"")</f>
        <v/>
      </c>
      <c r="L472" s="51">
        <f>IF(Database!BN472="","(none found)",Database!BN472)</f>
        <v/>
      </c>
      <c r="M472" s="53">
        <f>IFERROR(INDEX(BDH(TEXT(VALUE(Database!$A472),"0")&amp;" HK Equity","CUR_MKT_CAP",Database!$H472,Database!$H472),MATCH(Database!$H472,INDEX(BDH(TEXT(VALUE(Database!$A472),"0")&amp;" HK Equity","CUR_MKT_CAP",Database!$H472,Database!$H472),0,1),0),2),"run on terminal")</f>
        <v/>
      </c>
      <c r="N472" s="213">
        <f>Database!Q472</f>
        <v/>
      </c>
      <c r="O472" s="58">
        <f>IFERROR(INDEX(BDH(TEXT(VALUE(Database!$A472),"0")&amp;" HK Equity","PE_RATIO",Database!$H472,Database!$H472),MATCH(Database!$H472,INDEX(BDH(TEXT(VALUE(Database!$A472),"0")&amp;" HK Equity","PE_RATIO",Database!$H472,Database!$H472),0,1),0),2),"run on terminal")</f>
        <v/>
      </c>
      <c r="P472" s="251">
        <f>IF(Database!BH472="","(n/m or not derivable)",Database!BH472)</f>
        <v/>
      </c>
      <c r="Q472" s="58">
        <f>IF(Database!BN472="","",IFERROR(INDEX(BDH(LEFT(Database!BN472,FIND(".",Database!BN472)-1)&amp;" CH Equity","PE_RATIO",Database!$H472,Database!$H472),MATCH(Database!$H472,INDEX(BDH(LEFT(Database!BN472,FIND(".",Database!BN472)-1)&amp;" CH Equity","PE_RATIO",Database!$H472,Database!$H472),0,1),0),2),"run on terminal"))</f>
        <v/>
      </c>
      <c r="R472" s="58">
        <f>IF(Database!BN472="","",IFERROR(INDEX(BDH("HSAHP Index","PX_LAST",Database!$H472,Database!$H472),MATCH(Database!$H472,INDEX(BDH("HSAHP Index","PX_LAST",Database!$H472,Database!$H472),0,1),0),2),"run on terminal"))</f>
        <v/>
      </c>
      <c r="S472" s="58">
        <f>IFERROR(BDP(TEXT(VALUE(Database!$A472),"0")&amp;" HK Equity","PX_TO_SALES_RATIO"),"")</f>
        <v/>
      </c>
      <c r="T472" s="53">
        <f>IF(Database!BN472="","",IFERROR(BDP(LEFT(Database!BN472,FIND(".",Database!BN472)-1)&amp;" CH Equity","CUR_MKT_CAP")*BDP("CNYHKD Curncy","PX_LAST"),"run on terminal"))</f>
        <v/>
      </c>
    </row>
    <row r="473" ht="23" customHeight="1">
      <c r="A473" s="51">
        <f>Database!A473&amp;"  "&amp;Database!B473</f>
        <v/>
      </c>
      <c r="B473" s="43">
        <f>IFERROR(INDEX(BDS(TEXT(VALUE(Database!$A473),"0")&amp;" HK Equity","EQUITY_OFFERINGS","array=t","endcol=1"),MATCH("IPO",BDS(TEXT(VALUE(Database!$A473),"0")&amp;" HK Equity","EQUITY_OFFERINGS","array=t","startcol=2","endcol=2"),0)),"")</f>
        <v/>
      </c>
      <c r="C473" s="260">
        <f>IF($B473="","",IFERROR(BDP($B473&amp;" Action","CP036"),""))</f>
        <v/>
      </c>
      <c r="D473" s="261">
        <f>Database!S473</f>
        <v/>
      </c>
      <c r="E473" s="260">
        <f>IF($B473="","",IFERROR(BDP($B473&amp;" Action","CP037"),""))</f>
        <v/>
      </c>
      <c r="F473" s="261">
        <f>Database!T473</f>
        <v/>
      </c>
      <c r="G473" s="260">
        <f>IF($B473="","",IFERROR(BDP($B473&amp;" Action","GREENSHOE_FACILITY"),""))</f>
        <v/>
      </c>
      <c r="H473" s="260">
        <f>IF($B473="","",IFERROR(BDP($B473&amp;" Action","OFFERING_GREENSHOE_SHARES_EX"),""))</f>
        <v/>
      </c>
      <c r="I473" s="51">
        <f>Database!AE473</f>
        <v/>
      </c>
      <c r="J473" s="58">
        <f>IFERROR(BDP(TEXT(VALUE(Database!$A473),"0")&amp;" HK Equity","PE_RATIO"),"")</f>
        <v/>
      </c>
      <c r="K473" s="43">
        <f>IFERROR(BDP(TEXT(VALUE(Database!$A473),"0")&amp;" HK Equity","A/H_SHARE_CONVERSION"),"")</f>
        <v/>
      </c>
      <c r="L473" s="51">
        <f>IF(Database!BN473="","(none found)",Database!BN473)</f>
        <v/>
      </c>
      <c r="M473" s="53">
        <f>IFERROR(INDEX(BDH(TEXT(VALUE(Database!$A473),"0")&amp;" HK Equity","CUR_MKT_CAP",Database!$H473,Database!$H473),MATCH(Database!$H473,INDEX(BDH(TEXT(VALUE(Database!$A473),"0")&amp;" HK Equity","CUR_MKT_CAP",Database!$H473,Database!$H473),0,1),0),2),"run on terminal")</f>
        <v/>
      </c>
      <c r="N473" s="213">
        <f>Database!Q473</f>
        <v/>
      </c>
      <c r="O473" s="58">
        <f>IFERROR(INDEX(BDH(TEXT(VALUE(Database!$A473),"0")&amp;" HK Equity","PE_RATIO",Database!$H473,Database!$H473),MATCH(Database!$H473,INDEX(BDH(TEXT(VALUE(Database!$A473),"0")&amp;" HK Equity","PE_RATIO",Database!$H473,Database!$H473),0,1),0),2),"run on terminal")</f>
        <v/>
      </c>
      <c r="P473" s="251">
        <f>IF(Database!BH473="","(n/m or not derivable)",Database!BH473)</f>
        <v/>
      </c>
      <c r="Q473" s="58">
        <f>IF(Database!BN473="","",IFERROR(INDEX(BDH(LEFT(Database!BN473,FIND(".",Database!BN473)-1)&amp;" CH Equity","PE_RATIO",Database!$H473,Database!$H473),MATCH(Database!$H473,INDEX(BDH(LEFT(Database!BN473,FIND(".",Database!BN473)-1)&amp;" CH Equity","PE_RATIO",Database!$H473,Database!$H473),0,1),0),2),"run on terminal"))</f>
        <v/>
      </c>
      <c r="R473" s="58">
        <f>IF(Database!BN473="","",IFERROR(INDEX(BDH("HSAHP Index","PX_LAST",Database!$H473,Database!$H473),MATCH(Database!$H473,INDEX(BDH("HSAHP Index","PX_LAST",Database!$H473,Database!$H473),0,1),0),2),"run on terminal"))</f>
        <v/>
      </c>
      <c r="S473" s="58">
        <f>IFERROR(BDP(TEXT(VALUE(Database!$A473),"0")&amp;" HK Equity","PX_TO_SALES_RATIO"),"")</f>
        <v/>
      </c>
      <c r="T473" s="53">
        <f>IF(Database!BN473="","",IFERROR(BDP(LEFT(Database!BN473,FIND(".",Database!BN473)-1)&amp;" CH Equity","CUR_MKT_CAP")*BDP("CNYHKD Curncy","PX_LAST"),"run on terminal"))</f>
        <v/>
      </c>
    </row>
    <row r="474" ht="23" customHeight="1">
      <c r="A474" s="51">
        <f>Database!A474&amp;"  "&amp;Database!B474</f>
        <v/>
      </c>
      <c r="B474" s="43">
        <f>IFERROR(INDEX(BDS(TEXT(VALUE(Database!$A474),"0")&amp;" HK Equity","EQUITY_OFFERINGS","array=t","endcol=1"),MATCH("IPO",BDS(TEXT(VALUE(Database!$A474),"0")&amp;" HK Equity","EQUITY_OFFERINGS","array=t","startcol=2","endcol=2"),0)),"")</f>
        <v/>
      </c>
      <c r="C474" s="260">
        <f>IF($B474="","",IFERROR(BDP($B474&amp;" Action","CP036"),""))</f>
        <v/>
      </c>
      <c r="D474" s="261">
        <f>Database!S474</f>
        <v/>
      </c>
      <c r="E474" s="260">
        <f>IF($B474="","",IFERROR(BDP($B474&amp;" Action","CP037"),""))</f>
        <v/>
      </c>
      <c r="F474" s="261">
        <f>Database!T474</f>
        <v/>
      </c>
      <c r="G474" s="260">
        <f>IF($B474="","",IFERROR(BDP($B474&amp;" Action","GREENSHOE_FACILITY"),""))</f>
        <v/>
      </c>
      <c r="H474" s="260">
        <f>IF($B474="","",IFERROR(BDP($B474&amp;" Action","OFFERING_GREENSHOE_SHARES_EX"),""))</f>
        <v/>
      </c>
      <c r="I474" s="51">
        <f>Database!AE474</f>
        <v/>
      </c>
      <c r="J474" s="58">
        <f>IFERROR(BDP(TEXT(VALUE(Database!$A474),"0")&amp;" HK Equity","PE_RATIO"),"")</f>
        <v/>
      </c>
      <c r="K474" s="43">
        <f>IFERROR(BDP(TEXT(VALUE(Database!$A474),"0")&amp;" HK Equity","A/H_SHARE_CONVERSION"),"")</f>
        <v/>
      </c>
      <c r="L474" s="51">
        <f>IF(Database!BN474="","(none found)",Database!BN474)</f>
        <v/>
      </c>
      <c r="M474" s="53">
        <f>IFERROR(INDEX(BDH(TEXT(VALUE(Database!$A474),"0")&amp;" HK Equity","CUR_MKT_CAP",Database!$H474,Database!$H474),MATCH(Database!$H474,INDEX(BDH(TEXT(VALUE(Database!$A474),"0")&amp;" HK Equity","CUR_MKT_CAP",Database!$H474,Database!$H474),0,1),0),2),"run on terminal")</f>
        <v/>
      </c>
      <c r="N474" s="213">
        <f>Database!Q474</f>
        <v/>
      </c>
      <c r="O474" s="58">
        <f>IFERROR(INDEX(BDH(TEXT(VALUE(Database!$A474),"0")&amp;" HK Equity","PE_RATIO",Database!$H474,Database!$H474),MATCH(Database!$H474,INDEX(BDH(TEXT(VALUE(Database!$A474),"0")&amp;" HK Equity","PE_RATIO",Database!$H474,Database!$H474),0,1),0),2),"run on terminal")</f>
        <v/>
      </c>
      <c r="P474" s="251">
        <f>IF(Database!BH474="","(n/m or not derivable)",Database!BH474)</f>
        <v/>
      </c>
      <c r="Q474" s="58">
        <f>IF(Database!BN474="","",IFERROR(INDEX(BDH(LEFT(Database!BN474,FIND(".",Database!BN474)-1)&amp;" CH Equity","PE_RATIO",Database!$H474,Database!$H474),MATCH(Database!$H474,INDEX(BDH(LEFT(Database!BN474,FIND(".",Database!BN474)-1)&amp;" CH Equity","PE_RATIO",Database!$H474,Database!$H474),0,1),0),2),"run on terminal"))</f>
        <v/>
      </c>
      <c r="R474" s="58">
        <f>IF(Database!BN474="","",IFERROR(INDEX(BDH("HSAHP Index","PX_LAST",Database!$H474,Database!$H474),MATCH(Database!$H474,INDEX(BDH("HSAHP Index","PX_LAST",Database!$H474,Database!$H474),0,1),0),2),"run on terminal"))</f>
        <v/>
      </c>
      <c r="S474" s="58">
        <f>IFERROR(BDP(TEXT(VALUE(Database!$A474),"0")&amp;" HK Equity","PX_TO_SALES_RATIO"),"")</f>
        <v/>
      </c>
      <c r="T474" s="53">
        <f>IF(Database!BN474="","",IFERROR(BDP(LEFT(Database!BN474,FIND(".",Database!BN474)-1)&amp;" CH Equity","CUR_MKT_CAP")*BDP("CNYHKD Curncy","PX_LAST"),"run on terminal"))</f>
        <v/>
      </c>
    </row>
    <row r="475" ht="23" customHeight="1">
      <c r="A475" s="51">
        <f>Database!A475&amp;"  "&amp;Database!B475</f>
        <v/>
      </c>
      <c r="B475" s="43">
        <f>IFERROR(INDEX(BDS(TEXT(VALUE(Database!$A475),"0")&amp;" HK Equity","EQUITY_OFFERINGS","array=t","endcol=1"),MATCH("IPO",BDS(TEXT(VALUE(Database!$A475),"0")&amp;" HK Equity","EQUITY_OFFERINGS","array=t","startcol=2","endcol=2"),0)),"")</f>
        <v/>
      </c>
      <c r="C475" s="260">
        <f>IF($B475="","",IFERROR(BDP($B475&amp;" Action","CP036"),""))</f>
        <v/>
      </c>
      <c r="D475" s="261">
        <f>Database!S475</f>
        <v/>
      </c>
      <c r="E475" s="260">
        <f>IF($B475="","",IFERROR(BDP($B475&amp;" Action","CP037"),""))</f>
        <v/>
      </c>
      <c r="F475" s="261">
        <f>Database!T475</f>
        <v/>
      </c>
      <c r="G475" s="260">
        <f>IF($B475="","",IFERROR(BDP($B475&amp;" Action","GREENSHOE_FACILITY"),""))</f>
        <v/>
      </c>
      <c r="H475" s="260">
        <f>IF($B475="","",IFERROR(BDP($B475&amp;" Action","OFFERING_GREENSHOE_SHARES_EX"),""))</f>
        <v/>
      </c>
      <c r="I475" s="51">
        <f>Database!AE475</f>
        <v/>
      </c>
      <c r="J475" s="58">
        <f>IFERROR(BDP(TEXT(VALUE(Database!$A475),"0")&amp;" HK Equity","PE_RATIO"),"")</f>
        <v/>
      </c>
      <c r="K475" s="43">
        <f>IFERROR(BDP(TEXT(VALUE(Database!$A475),"0")&amp;" HK Equity","A/H_SHARE_CONVERSION"),"")</f>
        <v/>
      </c>
      <c r="L475" s="51">
        <f>IF(Database!BN475="","(none found)",Database!BN475)</f>
        <v/>
      </c>
      <c r="M475" s="53">
        <f>IFERROR(INDEX(BDH(TEXT(VALUE(Database!$A475),"0")&amp;" HK Equity","CUR_MKT_CAP",Database!$H475,Database!$H475),MATCH(Database!$H475,INDEX(BDH(TEXT(VALUE(Database!$A475),"0")&amp;" HK Equity","CUR_MKT_CAP",Database!$H475,Database!$H475),0,1),0),2),"run on terminal")</f>
        <v/>
      </c>
      <c r="N475" s="213">
        <f>Database!Q475</f>
        <v/>
      </c>
      <c r="O475" s="58">
        <f>IFERROR(INDEX(BDH(TEXT(VALUE(Database!$A475),"0")&amp;" HK Equity","PE_RATIO",Database!$H475,Database!$H475),MATCH(Database!$H475,INDEX(BDH(TEXT(VALUE(Database!$A475),"0")&amp;" HK Equity","PE_RATIO",Database!$H475,Database!$H475),0,1),0),2),"run on terminal")</f>
        <v/>
      </c>
      <c r="P475" s="251">
        <f>IF(Database!BH475="","(n/m or not derivable)",Database!BH475)</f>
        <v/>
      </c>
      <c r="Q475" s="58">
        <f>IF(Database!BN475="","",IFERROR(INDEX(BDH(LEFT(Database!BN475,FIND(".",Database!BN475)-1)&amp;" CH Equity","PE_RATIO",Database!$H475,Database!$H475),MATCH(Database!$H475,INDEX(BDH(LEFT(Database!BN475,FIND(".",Database!BN475)-1)&amp;" CH Equity","PE_RATIO",Database!$H475,Database!$H475),0,1),0),2),"run on terminal"))</f>
        <v/>
      </c>
      <c r="R475" s="58">
        <f>IF(Database!BN475="","",IFERROR(INDEX(BDH("HSAHP Index","PX_LAST",Database!$H475,Database!$H475),MATCH(Database!$H475,INDEX(BDH("HSAHP Index","PX_LAST",Database!$H475,Database!$H475),0,1),0),2),"run on terminal"))</f>
        <v/>
      </c>
      <c r="S475" s="58">
        <f>IFERROR(BDP(TEXT(VALUE(Database!$A475),"0")&amp;" HK Equity","PX_TO_SALES_RATIO"),"")</f>
        <v/>
      </c>
      <c r="T475" s="53">
        <f>IF(Database!BN475="","",IFERROR(BDP(LEFT(Database!BN475,FIND(".",Database!BN475)-1)&amp;" CH Equity","CUR_MKT_CAP")*BDP("CNYHKD Curncy","PX_LAST"),"run on terminal"))</f>
        <v/>
      </c>
    </row>
    <row r="476" ht="23" customHeight="1">
      <c r="A476" s="51">
        <f>Database!A476&amp;"  "&amp;Database!B476</f>
        <v/>
      </c>
      <c r="B476" s="43">
        <f>IFERROR(INDEX(BDS(TEXT(VALUE(Database!$A476),"0")&amp;" HK Equity","EQUITY_OFFERINGS","array=t","endcol=1"),MATCH("IPO",BDS(TEXT(VALUE(Database!$A476),"0")&amp;" HK Equity","EQUITY_OFFERINGS","array=t","startcol=2","endcol=2"),0)),"")</f>
        <v/>
      </c>
      <c r="C476" s="260">
        <f>IF($B476="","",IFERROR(BDP($B476&amp;" Action","CP036"),""))</f>
        <v/>
      </c>
      <c r="D476" s="261">
        <f>Database!S476</f>
        <v/>
      </c>
      <c r="E476" s="260">
        <f>IF($B476="","",IFERROR(BDP($B476&amp;" Action","CP037"),""))</f>
        <v/>
      </c>
      <c r="F476" s="261">
        <f>Database!T476</f>
        <v/>
      </c>
      <c r="G476" s="260">
        <f>IF($B476="","",IFERROR(BDP($B476&amp;" Action","GREENSHOE_FACILITY"),""))</f>
        <v/>
      </c>
      <c r="H476" s="260">
        <f>IF($B476="","",IFERROR(BDP($B476&amp;" Action","OFFERING_GREENSHOE_SHARES_EX"),""))</f>
        <v/>
      </c>
      <c r="I476" s="51">
        <f>Database!AE476</f>
        <v/>
      </c>
      <c r="J476" s="58">
        <f>IFERROR(BDP(TEXT(VALUE(Database!$A476),"0")&amp;" HK Equity","PE_RATIO"),"")</f>
        <v/>
      </c>
      <c r="K476" s="43">
        <f>IFERROR(BDP(TEXT(VALUE(Database!$A476),"0")&amp;" HK Equity","A/H_SHARE_CONVERSION"),"")</f>
        <v/>
      </c>
      <c r="L476" s="51">
        <f>IF(Database!BN476="","(none found)",Database!BN476)</f>
        <v/>
      </c>
      <c r="M476" s="53">
        <f>IFERROR(INDEX(BDH(TEXT(VALUE(Database!$A476),"0")&amp;" HK Equity","CUR_MKT_CAP",Database!$H476,Database!$H476),MATCH(Database!$H476,INDEX(BDH(TEXT(VALUE(Database!$A476),"0")&amp;" HK Equity","CUR_MKT_CAP",Database!$H476,Database!$H476),0,1),0),2),"run on terminal")</f>
        <v/>
      </c>
      <c r="N476" s="213">
        <f>Database!Q476</f>
        <v/>
      </c>
      <c r="O476" s="58">
        <f>IFERROR(INDEX(BDH(TEXT(VALUE(Database!$A476),"0")&amp;" HK Equity","PE_RATIO",Database!$H476,Database!$H476),MATCH(Database!$H476,INDEX(BDH(TEXT(VALUE(Database!$A476),"0")&amp;" HK Equity","PE_RATIO",Database!$H476,Database!$H476),0,1),0),2),"run on terminal")</f>
        <v/>
      </c>
      <c r="P476" s="251">
        <f>IF(Database!BH476="","(n/m or not derivable)",Database!BH476)</f>
        <v/>
      </c>
      <c r="Q476" s="58">
        <f>IF(Database!BN476="","",IFERROR(INDEX(BDH(LEFT(Database!BN476,FIND(".",Database!BN476)-1)&amp;" CH Equity","PE_RATIO",Database!$H476,Database!$H476),MATCH(Database!$H476,INDEX(BDH(LEFT(Database!BN476,FIND(".",Database!BN476)-1)&amp;" CH Equity","PE_RATIO",Database!$H476,Database!$H476),0,1),0),2),"run on terminal"))</f>
        <v/>
      </c>
      <c r="R476" s="58">
        <f>IF(Database!BN476="","",IFERROR(INDEX(BDH("HSAHP Index","PX_LAST",Database!$H476,Database!$H476),MATCH(Database!$H476,INDEX(BDH("HSAHP Index","PX_LAST",Database!$H476,Database!$H476),0,1),0),2),"run on terminal"))</f>
        <v/>
      </c>
      <c r="S476" s="58">
        <f>IFERROR(BDP(TEXT(VALUE(Database!$A476),"0")&amp;" HK Equity","PX_TO_SALES_RATIO"),"")</f>
        <v/>
      </c>
      <c r="T476" s="53">
        <f>IF(Database!BN476="","",IFERROR(BDP(LEFT(Database!BN476,FIND(".",Database!BN476)-1)&amp;" CH Equity","CUR_MKT_CAP")*BDP("CNYHKD Curncy","PX_LAST"),"run on terminal"))</f>
        <v/>
      </c>
    </row>
    <row r="477" ht="23" customHeight="1">
      <c r="A477" s="51">
        <f>Database!A477&amp;"  "&amp;Database!B477</f>
        <v/>
      </c>
      <c r="B477" s="43">
        <f>IFERROR(INDEX(BDS(TEXT(VALUE(Database!$A477),"0")&amp;" HK Equity","EQUITY_OFFERINGS","array=t","endcol=1"),MATCH("IPO",BDS(TEXT(VALUE(Database!$A477),"0")&amp;" HK Equity","EQUITY_OFFERINGS","array=t","startcol=2","endcol=2"),0)),"")</f>
        <v/>
      </c>
      <c r="C477" s="260">
        <f>IF($B477="","",IFERROR(BDP($B477&amp;" Action","CP036"),""))</f>
        <v/>
      </c>
      <c r="D477" s="261">
        <f>Database!S477</f>
        <v/>
      </c>
      <c r="E477" s="260">
        <f>IF($B477="","",IFERROR(BDP($B477&amp;" Action","CP037"),""))</f>
        <v/>
      </c>
      <c r="F477" s="261">
        <f>Database!T477</f>
        <v/>
      </c>
      <c r="G477" s="260">
        <f>IF($B477="","",IFERROR(BDP($B477&amp;" Action","GREENSHOE_FACILITY"),""))</f>
        <v/>
      </c>
      <c r="H477" s="260">
        <f>IF($B477="","",IFERROR(BDP($B477&amp;" Action","OFFERING_GREENSHOE_SHARES_EX"),""))</f>
        <v/>
      </c>
      <c r="I477" s="51">
        <f>Database!AE477</f>
        <v/>
      </c>
      <c r="J477" s="58">
        <f>IFERROR(BDP(TEXT(VALUE(Database!$A477),"0")&amp;" HK Equity","PE_RATIO"),"")</f>
        <v/>
      </c>
      <c r="K477" s="43">
        <f>IFERROR(BDP(TEXT(VALUE(Database!$A477),"0")&amp;" HK Equity","A/H_SHARE_CONVERSION"),"")</f>
        <v/>
      </c>
      <c r="L477" s="51">
        <f>IF(Database!BN477="","(none found)",Database!BN477)</f>
        <v/>
      </c>
      <c r="M477" s="53">
        <f>IFERROR(INDEX(BDH(TEXT(VALUE(Database!$A477),"0")&amp;" HK Equity","CUR_MKT_CAP",Database!$H477,Database!$H477),MATCH(Database!$H477,INDEX(BDH(TEXT(VALUE(Database!$A477),"0")&amp;" HK Equity","CUR_MKT_CAP",Database!$H477,Database!$H477),0,1),0),2),"run on terminal")</f>
        <v/>
      </c>
      <c r="N477" s="213">
        <f>Database!Q477</f>
        <v/>
      </c>
      <c r="O477" s="58">
        <f>IFERROR(INDEX(BDH(TEXT(VALUE(Database!$A477),"0")&amp;" HK Equity","PE_RATIO",Database!$H477,Database!$H477),MATCH(Database!$H477,INDEX(BDH(TEXT(VALUE(Database!$A477),"0")&amp;" HK Equity","PE_RATIO",Database!$H477,Database!$H477),0,1),0),2),"run on terminal")</f>
        <v/>
      </c>
      <c r="P477" s="251">
        <f>IF(Database!BH477="","(n/m or not derivable)",Database!BH477)</f>
        <v/>
      </c>
      <c r="Q477" s="58">
        <f>IF(Database!BN477="","",IFERROR(INDEX(BDH(LEFT(Database!BN477,FIND(".",Database!BN477)-1)&amp;" CH Equity","PE_RATIO",Database!$H477,Database!$H477),MATCH(Database!$H477,INDEX(BDH(LEFT(Database!BN477,FIND(".",Database!BN477)-1)&amp;" CH Equity","PE_RATIO",Database!$H477,Database!$H477),0,1),0),2),"run on terminal"))</f>
        <v/>
      </c>
      <c r="R477" s="58">
        <f>IF(Database!BN477="","",IFERROR(INDEX(BDH("HSAHP Index","PX_LAST",Database!$H477,Database!$H477),MATCH(Database!$H477,INDEX(BDH("HSAHP Index","PX_LAST",Database!$H477,Database!$H477),0,1),0),2),"run on terminal"))</f>
        <v/>
      </c>
      <c r="S477" s="58">
        <f>IFERROR(BDP(TEXT(VALUE(Database!$A477),"0")&amp;" HK Equity","PX_TO_SALES_RATIO"),"")</f>
        <v/>
      </c>
      <c r="T477" s="53">
        <f>IF(Database!BN477="","",IFERROR(BDP(LEFT(Database!BN477,FIND(".",Database!BN477)-1)&amp;" CH Equity","CUR_MKT_CAP")*BDP("CNYHKD Curncy","PX_LAST"),"run on terminal"))</f>
        <v/>
      </c>
    </row>
    <row r="478" ht="23" customHeight="1">
      <c r="A478" s="51">
        <f>Database!A478&amp;"  "&amp;Database!B478</f>
        <v/>
      </c>
      <c r="B478" s="43">
        <f>IFERROR(INDEX(BDS(TEXT(VALUE(Database!$A478),"0")&amp;" HK Equity","EQUITY_OFFERINGS","array=t","endcol=1"),MATCH("IPO",BDS(TEXT(VALUE(Database!$A478),"0")&amp;" HK Equity","EQUITY_OFFERINGS","array=t","startcol=2","endcol=2"),0)),"")</f>
        <v/>
      </c>
      <c r="C478" s="260">
        <f>IF($B478="","",IFERROR(BDP($B478&amp;" Action","CP036"),""))</f>
        <v/>
      </c>
      <c r="D478" s="261">
        <f>Database!S478</f>
        <v/>
      </c>
      <c r="E478" s="260">
        <f>IF($B478="","",IFERROR(BDP($B478&amp;" Action","CP037"),""))</f>
        <v/>
      </c>
      <c r="F478" s="261">
        <f>Database!T478</f>
        <v/>
      </c>
      <c r="G478" s="260">
        <f>IF($B478="","",IFERROR(BDP($B478&amp;" Action","GREENSHOE_FACILITY"),""))</f>
        <v/>
      </c>
      <c r="H478" s="260">
        <f>IF($B478="","",IFERROR(BDP($B478&amp;" Action","OFFERING_GREENSHOE_SHARES_EX"),""))</f>
        <v/>
      </c>
      <c r="I478" s="51">
        <f>Database!AE478</f>
        <v/>
      </c>
      <c r="J478" s="58">
        <f>IFERROR(BDP(TEXT(VALUE(Database!$A478),"0")&amp;" HK Equity","PE_RATIO"),"")</f>
        <v/>
      </c>
      <c r="K478" s="43">
        <f>IFERROR(BDP(TEXT(VALUE(Database!$A478),"0")&amp;" HK Equity","A/H_SHARE_CONVERSION"),"")</f>
        <v/>
      </c>
      <c r="L478" s="51">
        <f>IF(Database!BN478="","(none found)",Database!BN478)</f>
        <v/>
      </c>
      <c r="M478" s="53">
        <f>IFERROR(INDEX(BDH(TEXT(VALUE(Database!$A478),"0")&amp;" HK Equity","CUR_MKT_CAP",Database!$H478,Database!$H478),MATCH(Database!$H478,INDEX(BDH(TEXT(VALUE(Database!$A478),"0")&amp;" HK Equity","CUR_MKT_CAP",Database!$H478,Database!$H478),0,1),0),2),"run on terminal")</f>
        <v/>
      </c>
      <c r="N478" s="213">
        <f>Database!Q478</f>
        <v/>
      </c>
      <c r="O478" s="58">
        <f>IFERROR(INDEX(BDH(TEXT(VALUE(Database!$A478),"0")&amp;" HK Equity","PE_RATIO",Database!$H478,Database!$H478),MATCH(Database!$H478,INDEX(BDH(TEXT(VALUE(Database!$A478),"0")&amp;" HK Equity","PE_RATIO",Database!$H478,Database!$H478),0,1),0),2),"run on terminal")</f>
        <v/>
      </c>
      <c r="P478" s="251">
        <f>IF(Database!BH478="","(n/m or not derivable)",Database!BH478)</f>
        <v/>
      </c>
      <c r="Q478" s="58">
        <f>IF(Database!BN478="","",IFERROR(INDEX(BDH(LEFT(Database!BN478,FIND(".",Database!BN478)-1)&amp;" CH Equity","PE_RATIO",Database!$H478,Database!$H478),MATCH(Database!$H478,INDEX(BDH(LEFT(Database!BN478,FIND(".",Database!BN478)-1)&amp;" CH Equity","PE_RATIO",Database!$H478,Database!$H478),0,1),0),2),"run on terminal"))</f>
        <v/>
      </c>
      <c r="R478" s="58">
        <f>IF(Database!BN478="","",IFERROR(INDEX(BDH("HSAHP Index","PX_LAST",Database!$H478,Database!$H478),MATCH(Database!$H478,INDEX(BDH("HSAHP Index","PX_LAST",Database!$H478,Database!$H478),0,1),0),2),"run on terminal"))</f>
        <v/>
      </c>
      <c r="S478" s="58">
        <f>IFERROR(BDP(TEXT(VALUE(Database!$A478),"0")&amp;" HK Equity","PX_TO_SALES_RATIO"),"")</f>
        <v/>
      </c>
      <c r="T478" s="53">
        <f>IF(Database!BN478="","",IFERROR(BDP(LEFT(Database!BN478,FIND(".",Database!BN478)-1)&amp;" CH Equity","CUR_MKT_CAP")*BDP("CNYHKD Curncy","PX_LAST"),"run on terminal"))</f>
        <v/>
      </c>
    </row>
    <row r="479" ht="23" customHeight="1">
      <c r="A479" s="51">
        <f>Database!A479&amp;"  "&amp;Database!B479</f>
        <v/>
      </c>
      <c r="B479" s="43">
        <f>IFERROR(INDEX(BDS(TEXT(VALUE(Database!$A479),"0")&amp;" HK Equity","EQUITY_OFFERINGS","array=t","endcol=1"),MATCH("IPO",BDS(TEXT(VALUE(Database!$A479),"0")&amp;" HK Equity","EQUITY_OFFERINGS","array=t","startcol=2","endcol=2"),0)),"")</f>
        <v/>
      </c>
      <c r="C479" s="260">
        <f>IF($B479="","",IFERROR(BDP($B479&amp;" Action","CP036"),""))</f>
        <v/>
      </c>
      <c r="D479" s="261">
        <f>Database!S479</f>
        <v/>
      </c>
      <c r="E479" s="260">
        <f>IF($B479="","",IFERROR(BDP($B479&amp;" Action","CP037"),""))</f>
        <v/>
      </c>
      <c r="F479" s="261">
        <f>Database!T479</f>
        <v/>
      </c>
      <c r="G479" s="260">
        <f>IF($B479="","",IFERROR(BDP($B479&amp;" Action","GREENSHOE_FACILITY"),""))</f>
        <v/>
      </c>
      <c r="H479" s="260">
        <f>IF($B479="","",IFERROR(BDP($B479&amp;" Action","OFFERING_GREENSHOE_SHARES_EX"),""))</f>
        <v/>
      </c>
      <c r="I479" s="51">
        <f>Database!AE479</f>
        <v/>
      </c>
      <c r="J479" s="58">
        <f>IFERROR(BDP(TEXT(VALUE(Database!$A479),"0")&amp;" HK Equity","PE_RATIO"),"")</f>
        <v/>
      </c>
      <c r="K479" s="43">
        <f>IFERROR(BDP(TEXT(VALUE(Database!$A479),"0")&amp;" HK Equity","A/H_SHARE_CONVERSION"),"")</f>
        <v/>
      </c>
      <c r="L479" s="51">
        <f>IF(Database!BN479="","(none found)",Database!BN479)</f>
        <v/>
      </c>
      <c r="M479" s="53">
        <f>IFERROR(INDEX(BDH(TEXT(VALUE(Database!$A479),"0")&amp;" HK Equity","CUR_MKT_CAP",Database!$H479,Database!$H479),MATCH(Database!$H479,INDEX(BDH(TEXT(VALUE(Database!$A479),"0")&amp;" HK Equity","CUR_MKT_CAP",Database!$H479,Database!$H479),0,1),0),2),"run on terminal")</f>
        <v/>
      </c>
      <c r="N479" s="213">
        <f>Database!Q479</f>
        <v/>
      </c>
      <c r="O479" s="58">
        <f>IFERROR(INDEX(BDH(TEXT(VALUE(Database!$A479),"0")&amp;" HK Equity","PE_RATIO",Database!$H479,Database!$H479),MATCH(Database!$H479,INDEX(BDH(TEXT(VALUE(Database!$A479),"0")&amp;" HK Equity","PE_RATIO",Database!$H479,Database!$H479),0,1),0),2),"run on terminal")</f>
        <v/>
      </c>
      <c r="P479" s="251">
        <f>IF(Database!BH479="","(n/m or not derivable)",Database!BH479)</f>
        <v/>
      </c>
      <c r="Q479" s="58">
        <f>IF(Database!BN479="","",IFERROR(INDEX(BDH(LEFT(Database!BN479,FIND(".",Database!BN479)-1)&amp;" CH Equity","PE_RATIO",Database!$H479,Database!$H479),MATCH(Database!$H479,INDEX(BDH(LEFT(Database!BN479,FIND(".",Database!BN479)-1)&amp;" CH Equity","PE_RATIO",Database!$H479,Database!$H479),0,1),0),2),"run on terminal"))</f>
        <v/>
      </c>
      <c r="R479" s="58">
        <f>IF(Database!BN479="","",IFERROR(INDEX(BDH("HSAHP Index","PX_LAST",Database!$H479,Database!$H479),MATCH(Database!$H479,INDEX(BDH("HSAHP Index","PX_LAST",Database!$H479,Database!$H479),0,1),0),2),"run on terminal"))</f>
        <v/>
      </c>
      <c r="S479" s="58">
        <f>IFERROR(BDP(TEXT(VALUE(Database!$A479),"0")&amp;" HK Equity","PX_TO_SALES_RATIO"),"")</f>
        <v/>
      </c>
      <c r="T479" s="53">
        <f>IF(Database!BN479="","",IFERROR(BDP(LEFT(Database!BN479,FIND(".",Database!BN479)-1)&amp;" CH Equity","CUR_MKT_CAP")*BDP("CNYHKD Curncy","PX_LAST"),"run on terminal"))</f>
        <v/>
      </c>
    </row>
    <row r="480" ht="23" customHeight="1">
      <c r="A480" s="51">
        <f>Database!A480&amp;"  "&amp;Database!B480</f>
        <v/>
      </c>
      <c r="B480" s="43">
        <f>IFERROR(INDEX(BDS(TEXT(VALUE(Database!$A480),"0")&amp;" HK Equity","EQUITY_OFFERINGS","array=t","endcol=1"),MATCH("IPO",BDS(TEXT(VALUE(Database!$A480),"0")&amp;" HK Equity","EQUITY_OFFERINGS","array=t","startcol=2","endcol=2"),0)),"")</f>
        <v/>
      </c>
      <c r="C480" s="260">
        <f>IF($B480="","",IFERROR(BDP($B480&amp;" Action","CP036"),""))</f>
        <v/>
      </c>
      <c r="D480" s="261">
        <f>Database!S480</f>
        <v/>
      </c>
      <c r="E480" s="260">
        <f>IF($B480="","",IFERROR(BDP($B480&amp;" Action","CP037"),""))</f>
        <v/>
      </c>
      <c r="F480" s="261">
        <f>Database!T480</f>
        <v/>
      </c>
      <c r="G480" s="260">
        <f>IF($B480="","",IFERROR(BDP($B480&amp;" Action","GREENSHOE_FACILITY"),""))</f>
        <v/>
      </c>
      <c r="H480" s="260">
        <f>IF($B480="","",IFERROR(BDP($B480&amp;" Action","OFFERING_GREENSHOE_SHARES_EX"),""))</f>
        <v/>
      </c>
      <c r="I480" s="51">
        <f>Database!AE480</f>
        <v/>
      </c>
      <c r="J480" s="58">
        <f>IFERROR(BDP(TEXT(VALUE(Database!$A480),"0")&amp;" HK Equity","PE_RATIO"),"")</f>
        <v/>
      </c>
      <c r="K480" s="43">
        <f>IFERROR(BDP(TEXT(VALUE(Database!$A480),"0")&amp;" HK Equity","A/H_SHARE_CONVERSION"),"")</f>
        <v/>
      </c>
      <c r="L480" s="51">
        <f>IF(Database!BN480="","(none found)",Database!BN480)</f>
        <v/>
      </c>
      <c r="M480" s="53">
        <f>IFERROR(INDEX(BDH(TEXT(VALUE(Database!$A480),"0")&amp;" HK Equity","CUR_MKT_CAP",Database!$H480,Database!$H480),MATCH(Database!$H480,INDEX(BDH(TEXT(VALUE(Database!$A480),"0")&amp;" HK Equity","CUR_MKT_CAP",Database!$H480,Database!$H480),0,1),0),2),"run on terminal")</f>
        <v/>
      </c>
      <c r="N480" s="213">
        <f>Database!Q480</f>
        <v/>
      </c>
      <c r="O480" s="58">
        <f>IFERROR(INDEX(BDH(TEXT(VALUE(Database!$A480),"0")&amp;" HK Equity","PE_RATIO",Database!$H480,Database!$H480),MATCH(Database!$H480,INDEX(BDH(TEXT(VALUE(Database!$A480),"0")&amp;" HK Equity","PE_RATIO",Database!$H480,Database!$H480),0,1),0),2),"run on terminal")</f>
        <v/>
      </c>
      <c r="P480" s="251">
        <f>IF(Database!BH480="","(n/m or not derivable)",Database!BH480)</f>
        <v/>
      </c>
      <c r="Q480" s="58">
        <f>IF(Database!BN480="","",IFERROR(INDEX(BDH(LEFT(Database!BN480,FIND(".",Database!BN480)-1)&amp;" CH Equity","PE_RATIO",Database!$H480,Database!$H480),MATCH(Database!$H480,INDEX(BDH(LEFT(Database!BN480,FIND(".",Database!BN480)-1)&amp;" CH Equity","PE_RATIO",Database!$H480,Database!$H480),0,1),0),2),"run on terminal"))</f>
        <v/>
      </c>
      <c r="R480" s="58">
        <f>IF(Database!BN480="","",IFERROR(INDEX(BDH("HSAHP Index","PX_LAST",Database!$H480,Database!$H480),MATCH(Database!$H480,INDEX(BDH("HSAHP Index","PX_LAST",Database!$H480,Database!$H480),0,1),0),2),"run on terminal"))</f>
        <v/>
      </c>
      <c r="S480" s="58">
        <f>IFERROR(BDP(TEXT(VALUE(Database!$A480),"0")&amp;" HK Equity","PX_TO_SALES_RATIO"),"")</f>
        <v/>
      </c>
      <c r="T480" s="53">
        <f>IF(Database!BN480="","",IFERROR(BDP(LEFT(Database!BN480,FIND(".",Database!BN480)-1)&amp;" CH Equity","CUR_MKT_CAP")*BDP("CNYHKD Curncy","PX_LAST"),"run on terminal"))</f>
        <v/>
      </c>
    </row>
    <row r="481" ht="23" customHeight="1">
      <c r="A481" s="51">
        <f>Database!A481&amp;"  "&amp;Database!B481</f>
        <v/>
      </c>
      <c r="B481" s="43">
        <f>IFERROR(INDEX(BDS(TEXT(VALUE(Database!$A481),"0")&amp;" HK Equity","EQUITY_OFFERINGS","array=t","endcol=1"),MATCH("IPO",BDS(TEXT(VALUE(Database!$A481),"0")&amp;" HK Equity","EQUITY_OFFERINGS","array=t","startcol=2","endcol=2"),0)),"")</f>
        <v/>
      </c>
      <c r="C481" s="260">
        <f>IF($B481="","",IFERROR(BDP($B481&amp;" Action","CP036"),""))</f>
        <v/>
      </c>
      <c r="D481" s="261">
        <f>Database!S481</f>
        <v/>
      </c>
      <c r="E481" s="260">
        <f>IF($B481="","",IFERROR(BDP($B481&amp;" Action","CP037"),""))</f>
        <v/>
      </c>
      <c r="F481" s="261">
        <f>Database!T481</f>
        <v/>
      </c>
      <c r="G481" s="260">
        <f>IF($B481="","",IFERROR(BDP($B481&amp;" Action","GREENSHOE_FACILITY"),""))</f>
        <v/>
      </c>
      <c r="H481" s="260">
        <f>IF($B481="","",IFERROR(BDP($B481&amp;" Action","OFFERING_GREENSHOE_SHARES_EX"),""))</f>
        <v/>
      </c>
      <c r="I481" s="51">
        <f>Database!AE481</f>
        <v/>
      </c>
      <c r="J481" s="58">
        <f>IFERROR(BDP(TEXT(VALUE(Database!$A481),"0")&amp;" HK Equity","PE_RATIO"),"")</f>
        <v/>
      </c>
      <c r="K481" s="43">
        <f>IFERROR(BDP(TEXT(VALUE(Database!$A481),"0")&amp;" HK Equity","A/H_SHARE_CONVERSION"),"")</f>
        <v/>
      </c>
      <c r="L481" s="51">
        <f>IF(Database!BN481="","(none found)",Database!BN481)</f>
        <v/>
      </c>
      <c r="M481" s="53">
        <f>IFERROR(INDEX(BDH(TEXT(VALUE(Database!$A481),"0")&amp;" HK Equity","CUR_MKT_CAP",Database!$H481,Database!$H481),MATCH(Database!$H481,INDEX(BDH(TEXT(VALUE(Database!$A481),"0")&amp;" HK Equity","CUR_MKT_CAP",Database!$H481,Database!$H481),0,1),0),2),"run on terminal")</f>
        <v/>
      </c>
      <c r="N481" s="213">
        <f>Database!Q481</f>
        <v/>
      </c>
      <c r="O481" s="58">
        <f>IFERROR(INDEX(BDH(TEXT(VALUE(Database!$A481),"0")&amp;" HK Equity","PE_RATIO",Database!$H481,Database!$H481),MATCH(Database!$H481,INDEX(BDH(TEXT(VALUE(Database!$A481),"0")&amp;" HK Equity","PE_RATIO",Database!$H481,Database!$H481),0,1),0),2),"run on terminal")</f>
        <v/>
      </c>
      <c r="P481" s="251">
        <f>IF(Database!BH481="","(n/m or not derivable)",Database!BH481)</f>
        <v/>
      </c>
      <c r="Q481" s="58">
        <f>IF(Database!BN481="","",IFERROR(INDEX(BDH(LEFT(Database!BN481,FIND(".",Database!BN481)-1)&amp;" CH Equity","PE_RATIO",Database!$H481,Database!$H481),MATCH(Database!$H481,INDEX(BDH(LEFT(Database!BN481,FIND(".",Database!BN481)-1)&amp;" CH Equity","PE_RATIO",Database!$H481,Database!$H481),0,1),0),2),"run on terminal"))</f>
        <v/>
      </c>
      <c r="R481" s="58">
        <f>IF(Database!BN481="","",IFERROR(INDEX(BDH("HSAHP Index","PX_LAST",Database!$H481,Database!$H481),MATCH(Database!$H481,INDEX(BDH("HSAHP Index","PX_LAST",Database!$H481,Database!$H481),0,1),0),2),"run on terminal"))</f>
        <v/>
      </c>
      <c r="S481" s="58">
        <f>IFERROR(BDP(TEXT(VALUE(Database!$A481),"0")&amp;" HK Equity","PX_TO_SALES_RATIO"),"")</f>
        <v/>
      </c>
      <c r="T481" s="53">
        <f>IF(Database!BN481="","",IFERROR(BDP(LEFT(Database!BN481,FIND(".",Database!BN481)-1)&amp;" CH Equity","CUR_MKT_CAP")*BDP("CNYHKD Curncy","PX_LAST"),"run on terminal"))</f>
        <v/>
      </c>
    </row>
    <row r="482" ht="23" customHeight="1">
      <c r="A482" s="51">
        <f>Database!A482&amp;"  "&amp;Database!B482</f>
        <v/>
      </c>
      <c r="B482" s="43">
        <f>IFERROR(INDEX(BDS(TEXT(VALUE(Database!$A482),"0")&amp;" HK Equity","EQUITY_OFFERINGS","array=t","endcol=1"),MATCH("IPO",BDS(TEXT(VALUE(Database!$A482),"0")&amp;" HK Equity","EQUITY_OFFERINGS","array=t","startcol=2","endcol=2"),0)),"")</f>
        <v/>
      </c>
      <c r="C482" s="260">
        <f>IF($B482="","",IFERROR(BDP($B482&amp;" Action","CP036"),""))</f>
        <v/>
      </c>
      <c r="D482" s="261">
        <f>Database!S482</f>
        <v/>
      </c>
      <c r="E482" s="260">
        <f>IF($B482="","",IFERROR(BDP($B482&amp;" Action","CP037"),""))</f>
        <v/>
      </c>
      <c r="F482" s="261">
        <f>Database!T482</f>
        <v/>
      </c>
      <c r="G482" s="260">
        <f>IF($B482="","",IFERROR(BDP($B482&amp;" Action","GREENSHOE_FACILITY"),""))</f>
        <v/>
      </c>
      <c r="H482" s="260">
        <f>IF($B482="","",IFERROR(BDP($B482&amp;" Action","OFFERING_GREENSHOE_SHARES_EX"),""))</f>
        <v/>
      </c>
      <c r="I482" s="51">
        <f>Database!AE482</f>
        <v/>
      </c>
      <c r="J482" s="58">
        <f>IFERROR(BDP(TEXT(VALUE(Database!$A482),"0")&amp;" HK Equity","PE_RATIO"),"")</f>
        <v/>
      </c>
      <c r="K482" s="43">
        <f>IFERROR(BDP(TEXT(VALUE(Database!$A482),"0")&amp;" HK Equity","A/H_SHARE_CONVERSION"),"")</f>
        <v/>
      </c>
      <c r="L482" s="51">
        <f>IF(Database!BN482="","(none found)",Database!BN482)</f>
        <v/>
      </c>
      <c r="M482" s="53">
        <f>IFERROR(INDEX(BDH(TEXT(VALUE(Database!$A482),"0")&amp;" HK Equity","CUR_MKT_CAP",Database!$H482,Database!$H482),MATCH(Database!$H482,INDEX(BDH(TEXT(VALUE(Database!$A482),"0")&amp;" HK Equity","CUR_MKT_CAP",Database!$H482,Database!$H482),0,1),0),2),"run on terminal")</f>
        <v/>
      </c>
      <c r="N482" s="213">
        <f>Database!Q482</f>
        <v/>
      </c>
      <c r="O482" s="58">
        <f>IFERROR(INDEX(BDH(TEXT(VALUE(Database!$A482),"0")&amp;" HK Equity","PE_RATIO",Database!$H482,Database!$H482),MATCH(Database!$H482,INDEX(BDH(TEXT(VALUE(Database!$A482),"0")&amp;" HK Equity","PE_RATIO",Database!$H482,Database!$H482),0,1),0),2),"run on terminal")</f>
        <v/>
      </c>
      <c r="P482" s="251">
        <f>IF(Database!BH482="","(n/m or not derivable)",Database!BH482)</f>
        <v/>
      </c>
      <c r="Q482" s="58">
        <f>IF(Database!BN482="","",IFERROR(INDEX(BDH(LEFT(Database!BN482,FIND(".",Database!BN482)-1)&amp;" CH Equity","PE_RATIO",Database!$H482,Database!$H482),MATCH(Database!$H482,INDEX(BDH(LEFT(Database!BN482,FIND(".",Database!BN482)-1)&amp;" CH Equity","PE_RATIO",Database!$H482,Database!$H482),0,1),0),2),"run on terminal"))</f>
        <v/>
      </c>
      <c r="R482" s="58">
        <f>IF(Database!BN482="","",IFERROR(INDEX(BDH("HSAHP Index","PX_LAST",Database!$H482,Database!$H482),MATCH(Database!$H482,INDEX(BDH("HSAHP Index","PX_LAST",Database!$H482,Database!$H482),0,1),0),2),"run on terminal"))</f>
        <v/>
      </c>
      <c r="S482" s="58">
        <f>IFERROR(BDP(TEXT(VALUE(Database!$A482),"0")&amp;" HK Equity","PX_TO_SALES_RATIO"),"")</f>
        <v/>
      </c>
      <c r="T482" s="53">
        <f>IF(Database!BN482="","",IFERROR(BDP(LEFT(Database!BN482,FIND(".",Database!BN482)-1)&amp;" CH Equity","CUR_MKT_CAP")*BDP("CNYHKD Curncy","PX_LAST"),"run on terminal"))</f>
        <v/>
      </c>
    </row>
    <row r="483" ht="23" customHeight="1">
      <c r="A483" s="51">
        <f>Database!A483&amp;"  "&amp;Database!B483</f>
        <v/>
      </c>
      <c r="B483" s="43">
        <f>IFERROR(INDEX(BDS(TEXT(VALUE(Database!$A483),"0")&amp;" HK Equity","EQUITY_OFFERINGS","array=t","endcol=1"),MATCH("IPO",BDS(TEXT(VALUE(Database!$A483),"0")&amp;" HK Equity","EQUITY_OFFERINGS","array=t","startcol=2","endcol=2"),0)),"")</f>
        <v/>
      </c>
      <c r="C483" s="260">
        <f>IF($B483="","",IFERROR(BDP($B483&amp;" Action","CP036"),""))</f>
        <v/>
      </c>
      <c r="D483" s="261">
        <f>Database!S483</f>
        <v/>
      </c>
      <c r="E483" s="260">
        <f>IF($B483="","",IFERROR(BDP($B483&amp;" Action","CP037"),""))</f>
        <v/>
      </c>
      <c r="F483" s="261">
        <f>Database!T483</f>
        <v/>
      </c>
      <c r="G483" s="260">
        <f>IF($B483="","",IFERROR(BDP($B483&amp;" Action","GREENSHOE_FACILITY"),""))</f>
        <v/>
      </c>
      <c r="H483" s="260">
        <f>IF($B483="","",IFERROR(BDP($B483&amp;" Action","OFFERING_GREENSHOE_SHARES_EX"),""))</f>
        <v/>
      </c>
      <c r="I483" s="51">
        <f>Database!AE483</f>
        <v/>
      </c>
      <c r="J483" s="58">
        <f>IFERROR(BDP(TEXT(VALUE(Database!$A483),"0")&amp;" HK Equity","PE_RATIO"),"")</f>
        <v/>
      </c>
      <c r="K483" s="43">
        <f>IFERROR(BDP(TEXT(VALUE(Database!$A483),"0")&amp;" HK Equity","A/H_SHARE_CONVERSION"),"")</f>
        <v/>
      </c>
      <c r="L483" s="51">
        <f>IF(Database!BN483="","(none found)",Database!BN483)</f>
        <v/>
      </c>
      <c r="M483" s="53">
        <f>IFERROR(INDEX(BDH(TEXT(VALUE(Database!$A483),"0")&amp;" HK Equity","CUR_MKT_CAP",Database!$H483,Database!$H483),MATCH(Database!$H483,INDEX(BDH(TEXT(VALUE(Database!$A483),"0")&amp;" HK Equity","CUR_MKT_CAP",Database!$H483,Database!$H483),0,1),0),2),"run on terminal")</f>
        <v/>
      </c>
      <c r="N483" s="213">
        <f>Database!Q483</f>
        <v/>
      </c>
      <c r="O483" s="58">
        <f>IFERROR(INDEX(BDH(TEXT(VALUE(Database!$A483),"0")&amp;" HK Equity","PE_RATIO",Database!$H483,Database!$H483),MATCH(Database!$H483,INDEX(BDH(TEXT(VALUE(Database!$A483),"0")&amp;" HK Equity","PE_RATIO",Database!$H483,Database!$H483),0,1),0),2),"run on terminal")</f>
        <v/>
      </c>
      <c r="P483" s="251">
        <f>IF(Database!BH483="","(n/m or not derivable)",Database!BH483)</f>
        <v/>
      </c>
      <c r="Q483" s="58">
        <f>IF(Database!BN483="","",IFERROR(INDEX(BDH(LEFT(Database!BN483,FIND(".",Database!BN483)-1)&amp;" CH Equity","PE_RATIO",Database!$H483,Database!$H483),MATCH(Database!$H483,INDEX(BDH(LEFT(Database!BN483,FIND(".",Database!BN483)-1)&amp;" CH Equity","PE_RATIO",Database!$H483,Database!$H483),0,1),0),2),"run on terminal"))</f>
        <v/>
      </c>
      <c r="R483" s="58">
        <f>IF(Database!BN483="","",IFERROR(INDEX(BDH("HSAHP Index","PX_LAST",Database!$H483,Database!$H483),MATCH(Database!$H483,INDEX(BDH("HSAHP Index","PX_LAST",Database!$H483,Database!$H483),0,1),0),2),"run on terminal"))</f>
        <v/>
      </c>
      <c r="S483" s="58">
        <f>IFERROR(BDP(TEXT(VALUE(Database!$A483),"0")&amp;" HK Equity","PX_TO_SALES_RATIO"),"")</f>
        <v/>
      </c>
      <c r="T483" s="53">
        <f>IF(Database!BN483="","",IFERROR(BDP(LEFT(Database!BN483,FIND(".",Database!BN483)-1)&amp;" CH Equity","CUR_MKT_CAP")*BDP("CNYHKD Curncy","PX_LAST"),"run on terminal"))</f>
        <v/>
      </c>
    </row>
    <row r="484" ht="23" customHeight="1">
      <c r="A484" s="51">
        <f>Database!A484&amp;"  "&amp;Database!B484</f>
        <v/>
      </c>
      <c r="B484" s="43">
        <f>IFERROR(INDEX(BDS(TEXT(VALUE(Database!$A484),"0")&amp;" HK Equity","EQUITY_OFFERINGS","array=t","endcol=1"),MATCH("IPO",BDS(TEXT(VALUE(Database!$A484),"0")&amp;" HK Equity","EQUITY_OFFERINGS","array=t","startcol=2","endcol=2"),0)),"")</f>
        <v/>
      </c>
      <c r="C484" s="260">
        <f>IF($B484="","",IFERROR(BDP($B484&amp;" Action","CP036"),""))</f>
        <v/>
      </c>
      <c r="D484" s="261">
        <f>Database!S484</f>
        <v/>
      </c>
      <c r="E484" s="260">
        <f>IF($B484="","",IFERROR(BDP($B484&amp;" Action","CP037"),""))</f>
        <v/>
      </c>
      <c r="F484" s="261">
        <f>Database!T484</f>
        <v/>
      </c>
      <c r="G484" s="260">
        <f>IF($B484="","",IFERROR(BDP($B484&amp;" Action","GREENSHOE_FACILITY"),""))</f>
        <v/>
      </c>
      <c r="H484" s="260">
        <f>IF($B484="","",IFERROR(BDP($B484&amp;" Action","OFFERING_GREENSHOE_SHARES_EX"),""))</f>
        <v/>
      </c>
      <c r="I484" s="51">
        <f>Database!AE484</f>
        <v/>
      </c>
      <c r="J484" s="58">
        <f>IFERROR(BDP(TEXT(VALUE(Database!$A484),"0")&amp;" HK Equity","PE_RATIO"),"")</f>
        <v/>
      </c>
      <c r="K484" s="43">
        <f>IFERROR(BDP(TEXT(VALUE(Database!$A484),"0")&amp;" HK Equity","A/H_SHARE_CONVERSION"),"")</f>
        <v/>
      </c>
      <c r="L484" s="51">
        <f>IF(Database!BN484="","(none found)",Database!BN484)</f>
        <v/>
      </c>
      <c r="M484" s="53">
        <f>IFERROR(INDEX(BDH(TEXT(VALUE(Database!$A484),"0")&amp;" HK Equity","CUR_MKT_CAP",Database!$H484,Database!$H484),MATCH(Database!$H484,INDEX(BDH(TEXT(VALUE(Database!$A484),"0")&amp;" HK Equity","CUR_MKT_CAP",Database!$H484,Database!$H484),0,1),0),2),"run on terminal")</f>
        <v/>
      </c>
      <c r="N484" s="213">
        <f>Database!Q484</f>
        <v/>
      </c>
      <c r="O484" s="58">
        <f>IFERROR(INDEX(BDH(TEXT(VALUE(Database!$A484),"0")&amp;" HK Equity","PE_RATIO",Database!$H484,Database!$H484),MATCH(Database!$H484,INDEX(BDH(TEXT(VALUE(Database!$A484),"0")&amp;" HK Equity","PE_RATIO",Database!$H484,Database!$H484),0,1),0),2),"run on terminal")</f>
        <v/>
      </c>
      <c r="P484" s="251">
        <f>IF(Database!BH484="","(n/m or not derivable)",Database!BH484)</f>
        <v/>
      </c>
      <c r="Q484" s="58">
        <f>IF(Database!BN484="","",IFERROR(INDEX(BDH(LEFT(Database!BN484,FIND(".",Database!BN484)-1)&amp;" CH Equity","PE_RATIO",Database!$H484,Database!$H484),MATCH(Database!$H484,INDEX(BDH(LEFT(Database!BN484,FIND(".",Database!BN484)-1)&amp;" CH Equity","PE_RATIO",Database!$H484,Database!$H484),0,1),0),2),"run on terminal"))</f>
        <v/>
      </c>
      <c r="R484" s="58">
        <f>IF(Database!BN484="","",IFERROR(INDEX(BDH("HSAHP Index","PX_LAST",Database!$H484,Database!$H484),MATCH(Database!$H484,INDEX(BDH("HSAHP Index","PX_LAST",Database!$H484,Database!$H484),0,1),0),2),"run on terminal"))</f>
        <v/>
      </c>
      <c r="S484" s="58">
        <f>IFERROR(BDP(TEXT(VALUE(Database!$A484),"0")&amp;" HK Equity","PX_TO_SALES_RATIO"),"")</f>
        <v/>
      </c>
      <c r="T484" s="53">
        <f>IF(Database!BN484="","",IFERROR(BDP(LEFT(Database!BN484,FIND(".",Database!BN484)-1)&amp;" CH Equity","CUR_MKT_CAP")*BDP("CNYHKD Curncy","PX_LAST"),"run on terminal"))</f>
        <v/>
      </c>
    </row>
    <row r="485" ht="23" customHeight="1">
      <c r="A485" s="51">
        <f>Database!A485&amp;"  "&amp;Database!B485</f>
        <v/>
      </c>
      <c r="B485" s="43">
        <f>IFERROR(INDEX(BDS(TEXT(VALUE(Database!$A485),"0")&amp;" HK Equity","EQUITY_OFFERINGS","array=t","endcol=1"),MATCH("IPO",BDS(TEXT(VALUE(Database!$A485),"0")&amp;" HK Equity","EQUITY_OFFERINGS","array=t","startcol=2","endcol=2"),0)),"")</f>
        <v/>
      </c>
      <c r="C485" s="260">
        <f>IF($B485="","",IFERROR(BDP($B485&amp;" Action","CP036"),""))</f>
        <v/>
      </c>
      <c r="D485" s="261">
        <f>Database!S485</f>
        <v/>
      </c>
      <c r="E485" s="260">
        <f>IF($B485="","",IFERROR(BDP($B485&amp;" Action","CP037"),""))</f>
        <v/>
      </c>
      <c r="F485" s="261">
        <f>Database!T485</f>
        <v/>
      </c>
      <c r="G485" s="260">
        <f>IF($B485="","",IFERROR(BDP($B485&amp;" Action","GREENSHOE_FACILITY"),""))</f>
        <v/>
      </c>
      <c r="H485" s="260">
        <f>IF($B485="","",IFERROR(BDP($B485&amp;" Action","OFFERING_GREENSHOE_SHARES_EX"),""))</f>
        <v/>
      </c>
      <c r="I485" s="51">
        <f>Database!AE485</f>
        <v/>
      </c>
      <c r="J485" s="58">
        <f>IFERROR(BDP(TEXT(VALUE(Database!$A485),"0")&amp;" HK Equity","PE_RATIO"),"")</f>
        <v/>
      </c>
      <c r="K485" s="43">
        <f>IFERROR(BDP(TEXT(VALUE(Database!$A485),"0")&amp;" HK Equity","A/H_SHARE_CONVERSION"),"")</f>
        <v/>
      </c>
      <c r="L485" s="51">
        <f>IF(Database!BN485="","(none found)",Database!BN485)</f>
        <v/>
      </c>
      <c r="M485" s="53">
        <f>IFERROR(INDEX(BDH(TEXT(VALUE(Database!$A485),"0")&amp;" HK Equity","CUR_MKT_CAP",Database!$H485,Database!$H485),MATCH(Database!$H485,INDEX(BDH(TEXT(VALUE(Database!$A485),"0")&amp;" HK Equity","CUR_MKT_CAP",Database!$H485,Database!$H485),0,1),0),2),"run on terminal")</f>
        <v/>
      </c>
      <c r="N485" s="213">
        <f>Database!Q485</f>
        <v/>
      </c>
      <c r="O485" s="58">
        <f>IFERROR(INDEX(BDH(TEXT(VALUE(Database!$A485),"0")&amp;" HK Equity","PE_RATIO",Database!$H485,Database!$H485),MATCH(Database!$H485,INDEX(BDH(TEXT(VALUE(Database!$A485),"0")&amp;" HK Equity","PE_RATIO",Database!$H485,Database!$H485),0,1),0),2),"run on terminal")</f>
        <v/>
      </c>
      <c r="P485" s="251">
        <f>IF(Database!BH485="","(n/m or not derivable)",Database!BH485)</f>
        <v/>
      </c>
      <c r="Q485" s="58">
        <f>IF(Database!BN485="","",IFERROR(INDEX(BDH(LEFT(Database!BN485,FIND(".",Database!BN485)-1)&amp;" CH Equity","PE_RATIO",Database!$H485,Database!$H485),MATCH(Database!$H485,INDEX(BDH(LEFT(Database!BN485,FIND(".",Database!BN485)-1)&amp;" CH Equity","PE_RATIO",Database!$H485,Database!$H485),0,1),0),2),"run on terminal"))</f>
        <v/>
      </c>
      <c r="R485" s="58">
        <f>IF(Database!BN485="","",IFERROR(INDEX(BDH("HSAHP Index","PX_LAST",Database!$H485,Database!$H485),MATCH(Database!$H485,INDEX(BDH("HSAHP Index","PX_LAST",Database!$H485,Database!$H485),0,1),0),2),"run on terminal"))</f>
        <v/>
      </c>
      <c r="S485" s="58">
        <f>IFERROR(BDP(TEXT(VALUE(Database!$A485),"0")&amp;" HK Equity","PX_TO_SALES_RATIO"),"")</f>
        <v/>
      </c>
      <c r="T485" s="53">
        <f>IF(Database!BN485="","",IFERROR(BDP(LEFT(Database!BN485,FIND(".",Database!BN485)-1)&amp;" CH Equity","CUR_MKT_CAP")*BDP("CNYHKD Curncy","PX_LAST"),"run on terminal"))</f>
        <v/>
      </c>
    </row>
    <row r="486" ht="23" customHeight="1">
      <c r="A486" s="51">
        <f>Database!A486&amp;"  "&amp;Database!B486</f>
        <v/>
      </c>
      <c r="B486" s="43">
        <f>IFERROR(INDEX(BDS(TEXT(VALUE(Database!$A486),"0")&amp;" HK Equity","EQUITY_OFFERINGS","array=t","endcol=1"),MATCH("IPO",BDS(TEXT(VALUE(Database!$A486),"0")&amp;" HK Equity","EQUITY_OFFERINGS","array=t","startcol=2","endcol=2"),0)),"")</f>
        <v/>
      </c>
      <c r="C486" s="260">
        <f>IF($B486="","",IFERROR(BDP($B486&amp;" Action","CP036"),""))</f>
        <v/>
      </c>
      <c r="D486" s="261">
        <f>Database!S486</f>
        <v/>
      </c>
      <c r="E486" s="260">
        <f>IF($B486="","",IFERROR(BDP($B486&amp;" Action","CP037"),""))</f>
        <v/>
      </c>
      <c r="F486" s="261">
        <f>Database!T486</f>
        <v/>
      </c>
      <c r="G486" s="260">
        <f>IF($B486="","",IFERROR(BDP($B486&amp;" Action","GREENSHOE_FACILITY"),""))</f>
        <v/>
      </c>
      <c r="H486" s="260">
        <f>IF($B486="","",IFERROR(BDP($B486&amp;" Action","OFFERING_GREENSHOE_SHARES_EX"),""))</f>
        <v/>
      </c>
      <c r="I486" s="51">
        <f>Database!AE486</f>
        <v/>
      </c>
      <c r="J486" s="58">
        <f>IFERROR(BDP(TEXT(VALUE(Database!$A486),"0")&amp;" HK Equity","PE_RATIO"),"")</f>
        <v/>
      </c>
      <c r="K486" s="43">
        <f>IFERROR(BDP(TEXT(VALUE(Database!$A486),"0")&amp;" HK Equity","A/H_SHARE_CONVERSION"),"")</f>
        <v/>
      </c>
      <c r="L486" s="51">
        <f>IF(Database!BN486="","(none found)",Database!BN486)</f>
        <v/>
      </c>
      <c r="M486" s="53">
        <f>IFERROR(INDEX(BDH(TEXT(VALUE(Database!$A486),"0")&amp;" HK Equity","CUR_MKT_CAP",Database!$H486,Database!$H486),MATCH(Database!$H486,INDEX(BDH(TEXT(VALUE(Database!$A486),"0")&amp;" HK Equity","CUR_MKT_CAP",Database!$H486,Database!$H486),0,1),0),2),"run on terminal")</f>
        <v/>
      </c>
      <c r="N486" s="213">
        <f>Database!Q486</f>
        <v/>
      </c>
      <c r="O486" s="58">
        <f>IFERROR(INDEX(BDH(TEXT(VALUE(Database!$A486),"0")&amp;" HK Equity","PE_RATIO",Database!$H486,Database!$H486),MATCH(Database!$H486,INDEX(BDH(TEXT(VALUE(Database!$A486),"0")&amp;" HK Equity","PE_RATIO",Database!$H486,Database!$H486),0,1),0),2),"run on terminal")</f>
        <v/>
      </c>
      <c r="P486" s="251">
        <f>IF(Database!BH486="","(n/m or not derivable)",Database!BH486)</f>
        <v/>
      </c>
      <c r="Q486" s="58">
        <f>IF(Database!BN486="","",IFERROR(INDEX(BDH(LEFT(Database!BN486,FIND(".",Database!BN486)-1)&amp;" CH Equity","PE_RATIO",Database!$H486,Database!$H486),MATCH(Database!$H486,INDEX(BDH(LEFT(Database!BN486,FIND(".",Database!BN486)-1)&amp;" CH Equity","PE_RATIO",Database!$H486,Database!$H486),0,1),0),2),"run on terminal"))</f>
        <v/>
      </c>
      <c r="R486" s="58">
        <f>IF(Database!BN486="","",IFERROR(INDEX(BDH("HSAHP Index","PX_LAST",Database!$H486,Database!$H486),MATCH(Database!$H486,INDEX(BDH("HSAHP Index","PX_LAST",Database!$H486,Database!$H486),0,1),0),2),"run on terminal"))</f>
        <v/>
      </c>
      <c r="S486" s="58">
        <f>IFERROR(BDP(TEXT(VALUE(Database!$A486),"0")&amp;" HK Equity","PX_TO_SALES_RATIO"),"")</f>
        <v/>
      </c>
      <c r="T486" s="53">
        <f>IF(Database!BN486="","",IFERROR(BDP(LEFT(Database!BN486,FIND(".",Database!BN486)-1)&amp;" CH Equity","CUR_MKT_CAP")*BDP("CNYHKD Curncy","PX_LAST"),"run on terminal"))</f>
        <v/>
      </c>
    </row>
    <row r="487" ht="23" customHeight="1">
      <c r="A487" s="51">
        <f>Database!A487&amp;"  "&amp;Database!B487</f>
        <v/>
      </c>
      <c r="B487" s="43">
        <f>IFERROR(INDEX(BDS(TEXT(VALUE(Database!$A487),"0")&amp;" HK Equity","EQUITY_OFFERINGS","array=t","endcol=1"),MATCH("IPO",BDS(TEXT(VALUE(Database!$A487),"0")&amp;" HK Equity","EQUITY_OFFERINGS","array=t","startcol=2","endcol=2"),0)),"")</f>
        <v/>
      </c>
      <c r="C487" s="260">
        <f>IF($B487="","",IFERROR(BDP($B487&amp;" Action","CP036"),""))</f>
        <v/>
      </c>
      <c r="D487" s="261">
        <f>Database!S487</f>
        <v/>
      </c>
      <c r="E487" s="260">
        <f>IF($B487="","",IFERROR(BDP($B487&amp;" Action","CP037"),""))</f>
        <v/>
      </c>
      <c r="F487" s="261">
        <f>Database!T487</f>
        <v/>
      </c>
      <c r="G487" s="260">
        <f>IF($B487="","",IFERROR(BDP($B487&amp;" Action","GREENSHOE_FACILITY"),""))</f>
        <v/>
      </c>
      <c r="H487" s="260">
        <f>IF($B487="","",IFERROR(BDP($B487&amp;" Action","OFFERING_GREENSHOE_SHARES_EX"),""))</f>
        <v/>
      </c>
      <c r="I487" s="51">
        <f>Database!AE487</f>
        <v/>
      </c>
      <c r="J487" s="58">
        <f>IFERROR(BDP(TEXT(VALUE(Database!$A487),"0")&amp;" HK Equity","PE_RATIO"),"")</f>
        <v/>
      </c>
      <c r="K487" s="43">
        <f>IFERROR(BDP(TEXT(VALUE(Database!$A487),"0")&amp;" HK Equity","A/H_SHARE_CONVERSION"),"")</f>
        <v/>
      </c>
      <c r="L487" s="51">
        <f>IF(Database!BN487="","(none found)",Database!BN487)</f>
        <v/>
      </c>
      <c r="M487" s="53">
        <f>IFERROR(INDEX(BDH(TEXT(VALUE(Database!$A487),"0")&amp;" HK Equity","CUR_MKT_CAP",Database!$H487,Database!$H487),MATCH(Database!$H487,INDEX(BDH(TEXT(VALUE(Database!$A487),"0")&amp;" HK Equity","CUR_MKT_CAP",Database!$H487,Database!$H487),0,1),0),2),"run on terminal")</f>
        <v/>
      </c>
      <c r="N487" s="213">
        <f>Database!Q487</f>
        <v/>
      </c>
      <c r="O487" s="58">
        <f>IFERROR(INDEX(BDH(TEXT(VALUE(Database!$A487),"0")&amp;" HK Equity","PE_RATIO",Database!$H487,Database!$H487),MATCH(Database!$H487,INDEX(BDH(TEXT(VALUE(Database!$A487),"0")&amp;" HK Equity","PE_RATIO",Database!$H487,Database!$H487),0,1),0),2),"run on terminal")</f>
        <v/>
      </c>
      <c r="P487" s="251">
        <f>IF(Database!BH487="","(n/m or not derivable)",Database!BH487)</f>
        <v/>
      </c>
      <c r="Q487" s="58">
        <f>IF(Database!BN487="","",IFERROR(INDEX(BDH(LEFT(Database!BN487,FIND(".",Database!BN487)-1)&amp;" CH Equity","PE_RATIO",Database!$H487,Database!$H487),MATCH(Database!$H487,INDEX(BDH(LEFT(Database!BN487,FIND(".",Database!BN487)-1)&amp;" CH Equity","PE_RATIO",Database!$H487,Database!$H487),0,1),0),2),"run on terminal"))</f>
        <v/>
      </c>
      <c r="R487" s="58">
        <f>IF(Database!BN487="","",IFERROR(INDEX(BDH("HSAHP Index","PX_LAST",Database!$H487,Database!$H487),MATCH(Database!$H487,INDEX(BDH("HSAHP Index","PX_LAST",Database!$H487,Database!$H487),0,1),0),2),"run on terminal"))</f>
        <v/>
      </c>
      <c r="S487" s="58">
        <f>IFERROR(BDP(TEXT(VALUE(Database!$A487),"0")&amp;" HK Equity","PX_TO_SALES_RATIO"),"")</f>
        <v/>
      </c>
      <c r="T487" s="53">
        <f>IF(Database!BN487="","",IFERROR(BDP(LEFT(Database!BN487,FIND(".",Database!BN487)-1)&amp;" CH Equity","CUR_MKT_CAP")*BDP("CNYHKD Curncy","PX_LAST"),"run on terminal"))</f>
        <v/>
      </c>
    </row>
    <row r="488" ht="23" customHeight="1">
      <c r="A488" s="51">
        <f>Database!A488&amp;"  "&amp;Database!B488</f>
        <v/>
      </c>
      <c r="B488" s="43">
        <f>IFERROR(INDEX(BDS(TEXT(VALUE(Database!$A488),"0")&amp;" HK Equity","EQUITY_OFFERINGS","array=t","endcol=1"),MATCH("IPO",BDS(TEXT(VALUE(Database!$A488),"0")&amp;" HK Equity","EQUITY_OFFERINGS","array=t","startcol=2","endcol=2"),0)),"")</f>
        <v/>
      </c>
      <c r="C488" s="260">
        <f>IF($B488="","",IFERROR(BDP($B488&amp;" Action","CP036"),""))</f>
        <v/>
      </c>
      <c r="D488" s="261">
        <f>Database!S488</f>
        <v/>
      </c>
      <c r="E488" s="260">
        <f>IF($B488="","",IFERROR(BDP($B488&amp;" Action","CP037"),""))</f>
        <v/>
      </c>
      <c r="F488" s="261">
        <f>Database!T488</f>
        <v/>
      </c>
      <c r="G488" s="260">
        <f>IF($B488="","",IFERROR(BDP($B488&amp;" Action","GREENSHOE_FACILITY"),""))</f>
        <v/>
      </c>
      <c r="H488" s="260">
        <f>IF($B488="","",IFERROR(BDP($B488&amp;" Action","OFFERING_GREENSHOE_SHARES_EX"),""))</f>
        <v/>
      </c>
      <c r="I488" s="51">
        <f>Database!AE488</f>
        <v/>
      </c>
      <c r="J488" s="58">
        <f>IFERROR(BDP(TEXT(VALUE(Database!$A488),"0")&amp;" HK Equity","PE_RATIO"),"")</f>
        <v/>
      </c>
      <c r="K488" s="43">
        <f>IFERROR(BDP(TEXT(VALUE(Database!$A488),"0")&amp;" HK Equity","A/H_SHARE_CONVERSION"),"")</f>
        <v/>
      </c>
      <c r="L488" s="51">
        <f>IF(Database!BN488="","(none found)",Database!BN488)</f>
        <v/>
      </c>
      <c r="M488" s="53">
        <f>IFERROR(INDEX(BDH(TEXT(VALUE(Database!$A488),"0")&amp;" HK Equity","CUR_MKT_CAP",Database!$H488,Database!$H488),MATCH(Database!$H488,INDEX(BDH(TEXT(VALUE(Database!$A488),"0")&amp;" HK Equity","CUR_MKT_CAP",Database!$H488,Database!$H488),0,1),0),2),"run on terminal")</f>
        <v/>
      </c>
      <c r="N488" s="213">
        <f>Database!Q488</f>
        <v/>
      </c>
      <c r="O488" s="58">
        <f>IFERROR(INDEX(BDH(TEXT(VALUE(Database!$A488),"0")&amp;" HK Equity","PE_RATIO",Database!$H488,Database!$H488),MATCH(Database!$H488,INDEX(BDH(TEXT(VALUE(Database!$A488),"0")&amp;" HK Equity","PE_RATIO",Database!$H488,Database!$H488),0,1),0),2),"run on terminal")</f>
        <v/>
      </c>
      <c r="P488" s="251">
        <f>IF(Database!BH488="","(n/m or not derivable)",Database!BH488)</f>
        <v/>
      </c>
      <c r="Q488" s="58">
        <f>IF(Database!BN488="","",IFERROR(INDEX(BDH(LEFT(Database!BN488,FIND(".",Database!BN488)-1)&amp;" CH Equity","PE_RATIO",Database!$H488,Database!$H488),MATCH(Database!$H488,INDEX(BDH(LEFT(Database!BN488,FIND(".",Database!BN488)-1)&amp;" CH Equity","PE_RATIO",Database!$H488,Database!$H488),0,1),0),2),"run on terminal"))</f>
        <v/>
      </c>
      <c r="R488" s="58">
        <f>IF(Database!BN488="","",IFERROR(INDEX(BDH("HSAHP Index","PX_LAST",Database!$H488,Database!$H488),MATCH(Database!$H488,INDEX(BDH("HSAHP Index","PX_LAST",Database!$H488,Database!$H488),0,1),0),2),"run on terminal"))</f>
        <v/>
      </c>
      <c r="S488" s="58">
        <f>IFERROR(BDP(TEXT(VALUE(Database!$A488),"0")&amp;" HK Equity","PX_TO_SALES_RATIO"),"")</f>
        <v/>
      </c>
      <c r="T488" s="53">
        <f>IF(Database!BN488="","",IFERROR(BDP(LEFT(Database!BN488,FIND(".",Database!BN488)-1)&amp;" CH Equity","CUR_MKT_CAP")*BDP("CNYHKD Curncy","PX_LAST"),"run on terminal"))</f>
        <v/>
      </c>
    </row>
    <row r="489" ht="23" customHeight="1">
      <c r="A489" s="51">
        <f>Database!A489&amp;"  "&amp;Database!B489</f>
        <v/>
      </c>
      <c r="B489" s="43">
        <f>IFERROR(INDEX(BDS(TEXT(VALUE(Database!$A489),"0")&amp;" HK Equity","EQUITY_OFFERINGS","array=t","endcol=1"),MATCH("IPO",BDS(TEXT(VALUE(Database!$A489),"0")&amp;" HK Equity","EQUITY_OFFERINGS","array=t","startcol=2","endcol=2"),0)),"")</f>
        <v/>
      </c>
      <c r="C489" s="260">
        <f>IF($B489="","",IFERROR(BDP($B489&amp;" Action","CP036"),""))</f>
        <v/>
      </c>
      <c r="D489" s="261">
        <f>Database!S489</f>
        <v/>
      </c>
      <c r="E489" s="260">
        <f>IF($B489="","",IFERROR(BDP($B489&amp;" Action","CP037"),""))</f>
        <v/>
      </c>
      <c r="F489" s="261">
        <f>Database!T489</f>
        <v/>
      </c>
      <c r="G489" s="260">
        <f>IF($B489="","",IFERROR(BDP($B489&amp;" Action","GREENSHOE_FACILITY"),""))</f>
        <v/>
      </c>
      <c r="H489" s="260">
        <f>IF($B489="","",IFERROR(BDP($B489&amp;" Action","OFFERING_GREENSHOE_SHARES_EX"),""))</f>
        <v/>
      </c>
      <c r="I489" s="51">
        <f>Database!AE489</f>
        <v/>
      </c>
      <c r="J489" s="58">
        <f>IFERROR(BDP(TEXT(VALUE(Database!$A489),"0")&amp;" HK Equity","PE_RATIO"),"")</f>
        <v/>
      </c>
      <c r="K489" s="43">
        <f>IFERROR(BDP(TEXT(VALUE(Database!$A489),"0")&amp;" HK Equity","A/H_SHARE_CONVERSION"),"")</f>
        <v/>
      </c>
      <c r="L489" s="51">
        <f>IF(Database!BN489="","(none found)",Database!BN489)</f>
        <v/>
      </c>
      <c r="M489" s="53">
        <f>IFERROR(INDEX(BDH(TEXT(VALUE(Database!$A489),"0")&amp;" HK Equity","CUR_MKT_CAP",Database!$H489,Database!$H489),MATCH(Database!$H489,INDEX(BDH(TEXT(VALUE(Database!$A489),"0")&amp;" HK Equity","CUR_MKT_CAP",Database!$H489,Database!$H489),0,1),0),2),"run on terminal")</f>
        <v/>
      </c>
      <c r="N489" s="213">
        <f>Database!Q489</f>
        <v/>
      </c>
      <c r="O489" s="58">
        <f>IFERROR(INDEX(BDH(TEXT(VALUE(Database!$A489),"0")&amp;" HK Equity","PE_RATIO",Database!$H489,Database!$H489),MATCH(Database!$H489,INDEX(BDH(TEXT(VALUE(Database!$A489),"0")&amp;" HK Equity","PE_RATIO",Database!$H489,Database!$H489),0,1),0),2),"run on terminal")</f>
        <v/>
      </c>
      <c r="P489" s="251">
        <f>IF(Database!BH489="","(n/m or not derivable)",Database!BH489)</f>
        <v/>
      </c>
      <c r="Q489" s="58">
        <f>IF(Database!BN489="","",IFERROR(INDEX(BDH(LEFT(Database!BN489,FIND(".",Database!BN489)-1)&amp;" CH Equity","PE_RATIO",Database!$H489,Database!$H489),MATCH(Database!$H489,INDEX(BDH(LEFT(Database!BN489,FIND(".",Database!BN489)-1)&amp;" CH Equity","PE_RATIO",Database!$H489,Database!$H489),0,1),0),2),"run on terminal"))</f>
        <v/>
      </c>
      <c r="R489" s="58">
        <f>IF(Database!BN489="","",IFERROR(INDEX(BDH("HSAHP Index","PX_LAST",Database!$H489,Database!$H489),MATCH(Database!$H489,INDEX(BDH("HSAHP Index","PX_LAST",Database!$H489,Database!$H489),0,1),0),2),"run on terminal"))</f>
        <v/>
      </c>
      <c r="S489" s="58">
        <f>IFERROR(BDP(TEXT(VALUE(Database!$A489),"0")&amp;" HK Equity","PX_TO_SALES_RATIO"),"")</f>
        <v/>
      </c>
      <c r="T489" s="53">
        <f>IF(Database!BN489="","",IFERROR(BDP(LEFT(Database!BN489,FIND(".",Database!BN489)-1)&amp;" CH Equity","CUR_MKT_CAP")*BDP("CNYHKD Curncy","PX_LAST"),"run on terminal"))</f>
        <v/>
      </c>
    </row>
    <row r="490" ht="23" customHeight="1">
      <c r="A490" s="51">
        <f>Database!A490&amp;"  "&amp;Database!B490</f>
        <v/>
      </c>
      <c r="B490" s="43">
        <f>IFERROR(INDEX(BDS(TEXT(VALUE(Database!$A490),"0")&amp;" HK Equity","EQUITY_OFFERINGS","array=t","endcol=1"),MATCH("IPO",BDS(TEXT(VALUE(Database!$A490),"0")&amp;" HK Equity","EQUITY_OFFERINGS","array=t","startcol=2","endcol=2"),0)),"")</f>
        <v/>
      </c>
      <c r="C490" s="260">
        <f>IF($B490="","",IFERROR(BDP($B490&amp;" Action","CP036"),""))</f>
        <v/>
      </c>
      <c r="D490" s="261">
        <f>Database!S490</f>
        <v/>
      </c>
      <c r="E490" s="260">
        <f>IF($B490="","",IFERROR(BDP($B490&amp;" Action","CP037"),""))</f>
        <v/>
      </c>
      <c r="F490" s="261">
        <f>Database!T490</f>
        <v/>
      </c>
      <c r="G490" s="260">
        <f>IF($B490="","",IFERROR(BDP($B490&amp;" Action","GREENSHOE_FACILITY"),""))</f>
        <v/>
      </c>
      <c r="H490" s="260">
        <f>IF($B490="","",IFERROR(BDP($B490&amp;" Action","OFFERING_GREENSHOE_SHARES_EX"),""))</f>
        <v/>
      </c>
      <c r="I490" s="51">
        <f>Database!AE490</f>
        <v/>
      </c>
      <c r="J490" s="58">
        <f>IFERROR(BDP(TEXT(VALUE(Database!$A490),"0")&amp;" HK Equity","PE_RATIO"),"")</f>
        <v/>
      </c>
      <c r="K490" s="43">
        <f>IFERROR(BDP(TEXT(VALUE(Database!$A490),"0")&amp;" HK Equity","A/H_SHARE_CONVERSION"),"")</f>
        <v/>
      </c>
      <c r="L490" s="51">
        <f>IF(Database!BN490="","(none found)",Database!BN490)</f>
        <v/>
      </c>
      <c r="M490" s="53">
        <f>IFERROR(INDEX(BDH(TEXT(VALUE(Database!$A490),"0")&amp;" HK Equity","CUR_MKT_CAP",Database!$H490,Database!$H490),MATCH(Database!$H490,INDEX(BDH(TEXT(VALUE(Database!$A490),"0")&amp;" HK Equity","CUR_MKT_CAP",Database!$H490,Database!$H490),0,1),0),2),"run on terminal")</f>
        <v/>
      </c>
      <c r="N490" s="213">
        <f>Database!Q490</f>
        <v/>
      </c>
      <c r="O490" s="58">
        <f>IFERROR(INDEX(BDH(TEXT(VALUE(Database!$A490),"0")&amp;" HK Equity","PE_RATIO",Database!$H490,Database!$H490),MATCH(Database!$H490,INDEX(BDH(TEXT(VALUE(Database!$A490),"0")&amp;" HK Equity","PE_RATIO",Database!$H490,Database!$H490),0,1),0),2),"run on terminal")</f>
        <v/>
      </c>
      <c r="P490" s="251">
        <f>IF(Database!BH490="","(n/m or not derivable)",Database!BH490)</f>
        <v/>
      </c>
      <c r="Q490" s="58">
        <f>IF(Database!BN490="","",IFERROR(INDEX(BDH(LEFT(Database!BN490,FIND(".",Database!BN490)-1)&amp;" CH Equity","PE_RATIO",Database!$H490,Database!$H490),MATCH(Database!$H490,INDEX(BDH(LEFT(Database!BN490,FIND(".",Database!BN490)-1)&amp;" CH Equity","PE_RATIO",Database!$H490,Database!$H490),0,1),0),2),"run on terminal"))</f>
        <v/>
      </c>
      <c r="R490" s="58">
        <f>IF(Database!BN490="","",IFERROR(INDEX(BDH("HSAHP Index","PX_LAST",Database!$H490,Database!$H490),MATCH(Database!$H490,INDEX(BDH("HSAHP Index","PX_LAST",Database!$H490,Database!$H490),0,1),0),2),"run on terminal"))</f>
        <v/>
      </c>
      <c r="S490" s="58">
        <f>IFERROR(BDP(TEXT(VALUE(Database!$A490),"0")&amp;" HK Equity","PX_TO_SALES_RATIO"),"")</f>
        <v/>
      </c>
      <c r="T490" s="53">
        <f>IF(Database!BN490="","",IFERROR(BDP(LEFT(Database!BN490,FIND(".",Database!BN490)-1)&amp;" CH Equity","CUR_MKT_CAP")*BDP("CNYHKD Curncy","PX_LAST"),"run on terminal"))</f>
        <v/>
      </c>
    </row>
    <row r="491" ht="23" customHeight="1">
      <c r="A491" s="51">
        <f>Database!A491&amp;"  "&amp;Database!B491</f>
        <v/>
      </c>
      <c r="B491" s="43">
        <f>IFERROR(INDEX(BDS(TEXT(VALUE(Database!$A491),"0")&amp;" HK Equity","EQUITY_OFFERINGS","array=t","endcol=1"),MATCH("IPO",BDS(TEXT(VALUE(Database!$A491),"0")&amp;" HK Equity","EQUITY_OFFERINGS","array=t","startcol=2","endcol=2"),0)),"")</f>
        <v/>
      </c>
      <c r="C491" s="260">
        <f>IF($B491="","",IFERROR(BDP($B491&amp;" Action","CP036"),""))</f>
        <v/>
      </c>
      <c r="D491" s="261">
        <f>Database!S491</f>
        <v/>
      </c>
      <c r="E491" s="260">
        <f>IF($B491="","",IFERROR(BDP($B491&amp;" Action","CP037"),""))</f>
        <v/>
      </c>
      <c r="F491" s="261">
        <f>Database!T491</f>
        <v/>
      </c>
      <c r="G491" s="260">
        <f>IF($B491="","",IFERROR(BDP($B491&amp;" Action","GREENSHOE_FACILITY"),""))</f>
        <v/>
      </c>
      <c r="H491" s="260">
        <f>IF($B491="","",IFERROR(BDP($B491&amp;" Action","OFFERING_GREENSHOE_SHARES_EX"),""))</f>
        <v/>
      </c>
      <c r="I491" s="51">
        <f>Database!AE491</f>
        <v/>
      </c>
      <c r="J491" s="58">
        <f>IFERROR(BDP(TEXT(VALUE(Database!$A491),"0")&amp;" HK Equity","PE_RATIO"),"")</f>
        <v/>
      </c>
      <c r="K491" s="43">
        <f>IFERROR(BDP(TEXT(VALUE(Database!$A491),"0")&amp;" HK Equity","A/H_SHARE_CONVERSION"),"")</f>
        <v/>
      </c>
      <c r="L491" s="51">
        <f>IF(Database!BN491="","(none found)",Database!BN491)</f>
        <v/>
      </c>
      <c r="M491" s="53">
        <f>IFERROR(INDEX(BDH(TEXT(VALUE(Database!$A491),"0")&amp;" HK Equity","CUR_MKT_CAP",Database!$H491,Database!$H491),MATCH(Database!$H491,INDEX(BDH(TEXT(VALUE(Database!$A491),"0")&amp;" HK Equity","CUR_MKT_CAP",Database!$H491,Database!$H491),0,1),0),2),"run on terminal")</f>
        <v/>
      </c>
      <c r="N491" s="213">
        <f>Database!Q491</f>
        <v/>
      </c>
      <c r="O491" s="58">
        <f>IFERROR(INDEX(BDH(TEXT(VALUE(Database!$A491),"0")&amp;" HK Equity","PE_RATIO",Database!$H491,Database!$H491),MATCH(Database!$H491,INDEX(BDH(TEXT(VALUE(Database!$A491),"0")&amp;" HK Equity","PE_RATIO",Database!$H491,Database!$H491),0,1),0),2),"run on terminal")</f>
        <v/>
      </c>
      <c r="P491" s="251">
        <f>IF(Database!BH491="","(n/m or not derivable)",Database!BH491)</f>
        <v/>
      </c>
      <c r="Q491" s="58">
        <f>IF(Database!BN491="","",IFERROR(INDEX(BDH(LEFT(Database!BN491,FIND(".",Database!BN491)-1)&amp;" CH Equity","PE_RATIO",Database!$H491,Database!$H491),MATCH(Database!$H491,INDEX(BDH(LEFT(Database!BN491,FIND(".",Database!BN491)-1)&amp;" CH Equity","PE_RATIO",Database!$H491,Database!$H491),0,1),0),2),"run on terminal"))</f>
        <v/>
      </c>
      <c r="R491" s="58">
        <f>IF(Database!BN491="","",IFERROR(INDEX(BDH("HSAHP Index","PX_LAST",Database!$H491,Database!$H491),MATCH(Database!$H491,INDEX(BDH("HSAHP Index","PX_LAST",Database!$H491,Database!$H491),0,1),0),2),"run on terminal"))</f>
        <v/>
      </c>
      <c r="S491" s="58">
        <f>IFERROR(BDP(TEXT(VALUE(Database!$A491),"0")&amp;" HK Equity","PX_TO_SALES_RATIO"),"")</f>
        <v/>
      </c>
      <c r="T491" s="53">
        <f>IF(Database!BN491="","",IFERROR(BDP(LEFT(Database!BN491,FIND(".",Database!BN491)-1)&amp;" CH Equity","CUR_MKT_CAP")*BDP("CNYHKD Curncy","PX_LAST"),"run on terminal"))</f>
        <v/>
      </c>
    </row>
    <row r="492" ht="23" customHeight="1">
      <c r="A492" s="51">
        <f>Database!A492&amp;"  "&amp;Database!B492</f>
        <v/>
      </c>
      <c r="B492" s="43">
        <f>IFERROR(INDEX(BDS(TEXT(VALUE(Database!$A492),"0")&amp;" HK Equity","EQUITY_OFFERINGS","array=t","endcol=1"),MATCH("IPO",BDS(TEXT(VALUE(Database!$A492),"0")&amp;" HK Equity","EQUITY_OFFERINGS","array=t","startcol=2","endcol=2"),0)),"")</f>
        <v/>
      </c>
      <c r="C492" s="260">
        <f>IF($B492="","",IFERROR(BDP($B492&amp;" Action","CP036"),""))</f>
        <v/>
      </c>
      <c r="D492" s="261">
        <f>Database!S492</f>
        <v/>
      </c>
      <c r="E492" s="260">
        <f>IF($B492="","",IFERROR(BDP($B492&amp;" Action","CP037"),""))</f>
        <v/>
      </c>
      <c r="F492" s="261">
        <f>Database!T492</f>
        <v/>
      </c>
      <c r="G492" s="260">
        <f>IF($B492="","",IFERROR(BDP($B492&amp;" Action","GREENSHOE_FACILITY"),""))</f>
        <v/>
      </c>
      <c r="H492" s="260">
        <f>IF($B492="","",IFERROR(BDP($B492&amp;" Action","OFFERING_GREENSHOE_SHARES_EX"),""))</f>
        <v/>
      </c>
      <c r="I492" s="51">
        <f>Database!AE492</f>
        <v/>
      </c>
      <c r="J492" s="58">
        <f>IFERROR(BDP(TEXT(VALUE(Database!$A492),"0")&amp;" HK Equity","PE_RATIO"),"")</f>
        <v/>
      </c>
      <c r="K492" s="43">
        <f>IFERROR(BDP(TEXT(VALUE(Database!$A492),"0")&amp;" HK Equity","A/H_SHARE_CONVERSION"),"")</f>
        <v/>
      </c>
      <c r="L492" s="51">
        <f>IF(Database!BN492="","(none found)",Database!BN492)</f>
        <v/>
      </c>
      <c r="M492" s="53">
        <f>IFERROR(INDEX(BDH(TEXT(VALUE(Database!$A492),"0")&amp;" HK Equity","CUR_MKT_CAP",Database!$H492,Database!$H492),MATCH(Database!$H492,INDEX(BDH(TEXT(VALUE(Database!$A492),"0")&amp;" HK Equity","CUR_MKT_CAP",Database!$H492,Database!$H492),0,1),0),2),"run on terminal")</f>
        <v/>
      </c>
      <c r="N492" s="213">
        <f>Database!Q492</f>
        <v/>
      </c>
      <c r="O492" s="58">
        <f>IFERROR(INDEX(BDH(TEXT(VALUE(Database!$A492),"0")&amp;" HK Equity","PE_RATIO",Database!$H492,Database!$H492),MATCH(Database!$H492,INDEX(BDH(TEXT(VALUE(Database!$A492),"0")&amp;" HK Equity","PE_RATIO",Database!$H492,Database!$H492),0,1),0),2),"run on terminal")</f>
        <v/>
      </c>
      <c r="P492" s="251">
        <f>IF(Database!BH492="","(n/m or not derivable)",Database!BH492)</f>
        <v/>
      </c>
      <c r="Q492" s="58">
        <f>IF(Database!BN492="","",IFERROR(INDEX(BDH(LEFT(Database!BN492,FIND(".",Database!BN492)-1)&amp;" CH Equity","PE_RATIO",Database!$H492,Database!$H492),MATCH(Database!$H492,INDEX(BDH(LEFT(Database!BN492,FIND(".",Database!BN492)-1)&amp;" CH Equity","PE_RATIO",Database!$H492,Database!$H492),0,1),0),2),"run on terminal"))</f>
        <v/>
      </c>
      <c r="R492" s="58">
        <f>IF(Database!BN492="","",IFERROR(INDEX(BDH("HSAHP Index","PX_LAST",Database!$H492,Database!$H492),MATCH(Database!$H492,INDEX(BDH("HSAHP Index","PX_LAST",Database!$H492,Database!$H492),0,1),0),2),"run on terminal"))</f>
        <v/>
      </c>
      <c r="S492" s="58">
        <f>IFERROR(BDP(TEXT(VALUE(Database!$A492),"0")&amp;" HK Equity","PX_TO_SALES_RATIO"),"")</f>
        <v/>
      </c>
      <c r="T492" s="53">
        <f>IF(Database!BN492="","",IFERROR(BDP(LEFT(Database!BN492,FIND(".",Database!BN492)-1)&amp;" CH Equity","CUR_MKT_CAP")*BDP("CNYHKD Curncy","PX_LAST"),"run on terminal"))</f>
        <v/>
      </c>
    </row>
    <row r="493" ht="23" customHeight="1">
      <c r="A493" s="51">
        <f>Database!A493&amp;"  "&amp;Database!B493</f>
        <v/>
      </c>
      <c r="B493" s="43">
        <f>IFERROR(INDEX(BDS(TEXT(VALUE(Database!$A493),"0")&amp;" HK Equity","EQUITY_OFFERINGS","array=t","endcol=1"),MATCH("IPO",BDS(TEXT(VALUE(Database!$A493),"0")&amp;" HK Equity","EQUITY_OFFERINGS","array=t","startcol=2","endcol=2"),0)),"")</f>
        <v/>
      </c>
      <c r="C493" s="260">
        <f>IF($B493="","",IFERROR(BDP($B493&amp;" Action","CP036"),""))</f>
        <v/>
      </c>
      <c r="D493" s="261">
        <f>Database!S493</f>
        <v/>
      </c>
      <c r="E493" s="260">
        <f>IF($B493="","",IFERROR(BDP($B493&amp;" Action","CP037"),""))</f>
        <v/>
      </c>
      <c r="F493" s="261">
        <f>Database!T493</f>
        <v/>
      </c>
      <c r="G493" s="260">
        <f>IF($B493="","",IFERROR(BDP($B493&amp;" Action","GREENSHOE_FACILITY"),""))</f>
        <v/>
      </c>
      <c r="H493" s="260">
        <f>IF($B493="","",IFERROR(BDP($B493&amp;" Action","OFFERING_GREENSHOE_SHARES_EX"),""))</f>
        <v/>
      </c>
      <c r="I493" s="51">
        <f>Database!AE493</f>
        <v/>
      </c>
      <c r="J493" s="58">
        <f>IFERROR(BDP(TEXT(VALUE(Database!$A493),"0")&amp;" HK Equity","PE_RATIO"),"")</f>
        <v/>
      </c>
      <c r="K493" s="43">
        <f>IFERROR(BDP(TEXT(VALUE(Database!$A493),"0")&amp;" HK Equity","A/H_SHARE_CONVERSION"),"")</f>
        <v/>
      </c>
      <c r="L493" s="51">
        <f>IF(Database!BN493="","(none found)",Database!BN493)</f>
        <v/>
      </c>
      <c r="M493" s="53">
        <f>IFERROR(INDEX(BDH(TEXT(VALUE(Database!$A493),"0")&amp;" HK Equity","CUR_MKT_CAP",Database!$H493,Database!$H493),MATCH(Database!$H493,INDEX(BDH(TEXT(VALUE(Database!$A493),"0")&amp;" HK Equity","CUR_MKT_CAP",Database!$H493,Database!$H493),0,1),0),2),"run on terminal")</f>
        <v/>
      </c>
      <c r="N493" s="213">
        <f>Database!Q493</f>
        <v/>
      </c>
      <c r="O493" s="58">
        <f>IFERROR(INDEX(BDH(TEXT(VALUE(Database!$A493),"0")&amp;" HK Equity","PE_RATIO",Database!$H493,Database!$H493),MATCH(Database!$H493,INDEX(BDH(TEXT(VALUE(Database!$A493),"0")&amp;" HK Equity","PE_RATIO",Database!$H493,Database!$H493),0,1),0),2),"run on terminal")</f>
        <v/>
      </c>
      <c r="P493" s="251">
        <f>IF(Database!BH493="","(n/m or not derivable)",Database!BH493)</f>
        <v/>
      </c>
      <c r="Q493" s="58">
        <f>IF(Database!BN493="","",IFERROR(INDEX(BDH(LEFT(Database!BN493,FIND(".",Database!BN493)-1)&amp;" CH Equity","PE_RATIO",Database!$H493,Database!$H493),MATCH(Database!$H493,INDEX(BDH(LEFT(Database!BN493,FIND(".",Database!BN493)-1)&amp;" CH Equity","PE_RATIO",Database!$H493,Database!$H493),0,1),0),2),"run on terminal"))</f>
        <v/>
      </c>
      <c r="R493" s="58">
        <f>IF(Database!BN493="","",IFERROR(INDEX(BDH("HSAHP Index","PX_LAST",Database!$H493,Database!$H493),MATCH(Database!$H493,INDEX(BDH("HSAHP Index","PX_LAST",Database!$H493,Database!$H493),0,1),0),2),"run on terminal"))</f>
        <v/>
      </c>
      <c r="S493" s="58">
        <f>IFERROR(BDP(TEXT(VALUE(Database!$A493),"0")&amp;" HK Equity","PX_TO_SALES_RATIO"),"")</f>
        <v/>
      </c>
      <c r="T493" s="53">
        <f>IF(Database!BN493="","",IFERROR(BDP(LEFT(Database!BN493,FIND(".",Database!BN493)-1)&amp;" CH Equity","CUR_MKT_CAP")*BDP("CNYHKD Curncy","PX_LAST"),"run on terminal"))</f>
        <v/>
      </c>
    </row>
    <row r="494" ht="23" customHeight="1">
      <c r="A494" s="51">
        <f>Database!A494&amp;"  "&amp;Database!B494</f>
        <v/>
      </c>
      <c r="B494" s="43">
        <f>IFERROR(INDEX(BDS(TEXT(VALUE(Database!$A494),"0")&amp;" HK Equity","EQUITY_OFFERINGS","array=t","endcol=1"),MATCH("IPO",BDS(TEXT(VALUE(Database!$A494),"0")&amp;" HK Equity","EQUITY_OFFERINGS","array=t","startcol=2","endcol=2"),0)),"")</f>
        <v/>
      </c>
      <c r="C494" s="260">
        <f>IF($B494="","",IFERROR(BDP($B494&amp;" Action","CP036"),""))</f>
        <v/>
      </c>
      <c r="D494" s="261">
        <f>Database!S494</f>
        <v/>
      </c>
      <c r="E494" s="260">
        <f>IF($B494="","",IFERROR(BDP($B494&amp;" Action","CP037"),""))</f>
        <v/>
      </c>
      <c r="F494" s="261">
        <f>Database!T494</f>
        <v/>
      </c>
      <c r="G494" s="260">
        <f>IF($B494="","",IFERROR(BDP($B494&amp;" Action","GREENSHOE_FACILITY"),""))</f>
        <v/>
      </c>
      <c r="H494" s="260">
        <f>IF($B494="","",IFERROR(BDP($B494&amp;" Action","OFFERING_GREENSHOE_SHARES_EX"),""))</f>
        <v/>
      </c>
      <c r="I494" s="51">
        <f>Database!AE494</f>
        <v/>
      </c>
      <c r="J494" s="58">
        <f>IFERROR(BDP(TEXT(VALUE(Database!$A494),"0")&amp;" HK Equity","PE_RATIO"),"")</f>
        <v/>
      </c>
      <c r="K494" s="43">
        <f>IFERROR(BDP(TEXT(VALUE(Database!$A494),"0")&amp;" HK Equity","A/H_SHARE_CONVERSION"),"")</f>
        <v/>
      </c>
      <c r="L494" s="51">
        <f>IF(Database!BN494="","(none found)",Database!BN494)</f>
        <v/>
      </c>
      <c r="M494" s="53">
        <f>IFERROR(INDEX(BDH(TEXT(VALUE(Database!$A494),"0")&amp;" HK Equity","CUR_MKT_CAP",Database!$H494,Database!$H494),MATCH(Database!$H494,INDEX(BDH(TEXT(VALUE(Database!$A494),"0")&amp;" HK Equity","CUR_MKT_CAP",Database!$H494,Database!$H494),0,1),0),2),"run on terminal")</f>
        <v/>
      </c>
      <c r="N494" s="213">
        <f>Database!Q494</f>
        <v/>
      </c>
      <c r="O494" s="58">
        <f>IFERROR(INDEX(BDH(TEXT(VALUE(Database!$A494),"0")&amp;" HK Equity","PE_RATIO",Database!$H494,Database!$H494),MATCH(Database!$H494,INDEX(BDH(TEXT(VALUE(Database!$A494),"0")&amp;" HK Equity","PE_RATIO",Database!$H494,Database!$H494),0,1),0),2),"run on terminal")</f>
        <v/>
      </c>
      <c r="P494" s="251">
        <f>IF(Database!BH494="","(n/m or not derivable)",Database!BH494)</f>
        <v/>
      </c>
      <c r="Q494" s="58">
        <f>IF(Database!BN494="","",IFERROR(INDEX(BDH(LEFT(Database!BN494,FIND(".",Database!BN494)-1)&amp;" CH Equity","PE_RATIO",Database!$H494,Database!$H494),MATCH(Database!$H494,INDEX(BDH(LEFT(Database!BN494,FIND(".",Database!BN494)-1)&amp;" CH Equity","PE_RATIO",Database!$H494,Database!$H494),0,1),0),2),"run on terminal"))</f>
        <v/>
      </c>
      <c r="R494" s="58">
        <f>IF(Database!BN494="","",IFERROR(INDEX(BDH("HSAHP Index","PX_LAST",Database!$H494,Database!$H494),MATCH(Database!$H494,INDEX(BDH("HSAHP Index","PX_LAST",Database!$H494,Database!$H494),0,1),0),2),"run on terminal"))</f>
        <v/>
      </c>
      <c r="S494" s="58">
        <f>IFERROR(BDP(TEXT(VALUE(Database!$A494),"0")&amp;" HK Equity","PX_TO_SALES_RATIO"),"")</f>
        <v/>
      </c>
      <c r="T494" s="53">
        <f>IF(Database!BN494="","",IFERROR(BDP(LEFT(Database!BN494,FIND(".",Database!BN494)-1)&amp;" CH Equity","CUR_MKT_CAP")*BDP("CNYHKD Curncy","PX_LAST"),"run on terminal"))</f>
        <v/>
      </c>
    </row>
    <row r="495" ht="23" customHeight="1">
      <c r="A495" s="51">
        <f>Database!A495&amp;"  "&amp;Database!B495</f>
        <v/>
      </c>
      <c r="B495" s="43">
        <f>IFERROR(INDEX(BDS(TEXT(VALUE(Database!$A495),"0")&amp;" HK Equity","EQUITY_OFFERINGS","array=t","endcol=1"),MATCH("IPO",BDS(TEXT(VALUE(Database!$A495),"0")&amp;" HK Equity","EQUITY_OFFERINGS","array=t","startcol=2","endcol=2"),0)),"")</f>
        <v/>
      </c>
      <c r="C495" s="260">
        <f>IF($B495="","",IFERROR(BDP($B495&amp;" Action","CP036"),""))</f>
        <v/>
      </c>
      <c r="D495" s="261">
        <f>Database!S495</f>
        <v/>
      </c>
      <c r="E495" s="260">
        <f>IF($B495="","",IFERROR(BDP($B495&amp;" Action","CP037"),""))</f>
        <v/>
      </c>
      <c r="F495" s="261">
        <f>Database!T495</f>
        <v/>
      </c>
      <c r="G495" s="260">
        <f>IF($B495="","",IFERROR(BDP($B495&amp;" Action","GREENSHOE_FACILITY"),""))</f>
        <v/>
      </c>
      <c r="H495" s="260">
        <f>IF($B495="","",IFERROR(BDP($B495&amp;" Action","OFFERING_GREENSHOE_SHARES_EX"),""))</f>
        <v/>
      </c>
      <c r="I495" s="51">
        <f>Database!AE495</f>
        <v/>
      </c>
      <c r="J495" s="58">
        <f>IFERROR(BDP(TEXT(VALUE(Database!$A495),"0")&amp;" HK Equity","PE_RATIO"),"")</f>
        <v/>
      </c>
      <c r="K495" s="43">
        <f>IFERROR(BDP(TEXT(VALUE(Database!$A495),"0")&amp;" HK Equity","A/H_SHARE_CONVERSION"),"")</f>
        <v/>
      </c>
      <c r="L495" s="51">
        <f>IF(Database!BN495="","(none found)",Database!BN495)</f>
        <v/>
      </c>
      <c r="M495" s="53">
        <f>IFERROR(INDEX(BDH(TEXT(VALUE(Database!$A495),"0")&amp;" HK Equity","CUR_MKT_CAP",Database!$H495,Database!$H495),MATCH(Database!$H495,INDEX(BDH(TEXT(VALUE(Database!$A495),"0")&amp;" HK Equity","CUR_MKT_CAP",Database!$H495,Database!$H495),0,1),0),2),"run on terminal")</f>
        <v/>
      </c>
      <c r="N495" s="213">
        <f>Database!Q495</f>
        <v/>
      </c>
      <c r="O495" s="58">
        <f>IFERROR(INDEX(BDH(TEXT(VALUE(Database!$A495),"0")&amp;" HK Equity","PE_RATIO",Database!$H495,Database!$H495),MATCH(Database!$H495,INDEX(BDH(TEXT(VALUE(Database!$A495),"0")&amp;" HK Equity","PE_RATIO",Database!$H495,Database!$H495),0,1),0),2),"run on terminal")</f>
        <v/>
      </c>
      <c r="P495" s="251">
        <f>IF(Database!BH495="","(n/m or not derivable)",Database!BH495)</f>
        <v/>
      </c>
      <c r="Q495" s="58">
        <f>IF(Database!BN495="","",IFERROR(INDEX(BDH(LEFT(Database!BN495,FIND(".",Database!BN495)-1)&amp;" CH Equity","PE_RATIO",Database!$H495,Database!$H495),MATCH(Database!$H495,INDEX(BDH(LEFT(Database!BN495,FIND(".",Database!BN495)-1)&amp;" CH Equity","PE_RATIO",Database!$H495,Database!$H495),0,1),0),2),"run on terminal"))</f>
        <v/>
      </c>
      <c r="R495" s="58">
        <f>IF(Database!BN495="","",IFERROR(INDEX(BDH("HSAHP Index","PX_LAST",Database!$H495,Database!$H495),MATCH(Database!$H495,INDEX(BDH("HSAHP Index","PX_LAST",Database!$H495,Database!$H495),0,1),0),2),"run on terminal"))</f>
        <v/>
      </c>
      <c r="S495" s="58">
        <f>IFERROR(BDP(TEXT(VALUE(Database!$A495),"0")&amp;" HK Equity","PX_TO_SALES_RATIO"),"")</f>
        <v/>
      </c>
      <c r="T495" s="53">
        <f>IF(Database!BN495="","",IFERROR(BDP(LEFT(Database!BN495,FIND(".",Database!BN495)-1)&amp;" CH Equity","CUR_MKT_CAP")*BDP("CNYHKD Curncy","PX_LAST"),"run on terminal"))</f>
        <v/>
      </c>
    </row>
    <row r="496" ht="23" customHeight="1">
      <c r="A496" s="51">
        <f>Database!A496&amp;"  "&amp;Database!B496</f>
        <v/>
      </c>
      <c r="B496" s="43">
        <f>IFERROR(INDEX(BDS(TEXT(VALUE(Database!$A496),"0")&amp;" HK Equity","EQUITY_OFFERINGS","array=t","endcol=1"),MATCH("IPO",BDS(TEXT(VALUE(Database!$A496),"0")&amp;" HK Equity","EQUITY_OFFERINGS","array=t","startcol=2","endcol=2"),0)),"")</f>
        <v/>
      </c>
      <c r="C496" s="260">
        <f>IF($B496="","",IFERROR(BDP($B496&amp;" Action","CP036"),""))</f>
        <v/>
      </c>
      <c r="D496" s="261">
        <f>Database!S496</f>
        <v/>
      </c>
      <c r="E496" s="260">
        <f>IF($B496="","",IFERROR(BDP($B496&amp;" Action","CP037"),""))</f>
        <v/>
      </c>
      <c r="F496" s="261">
        <f>Database!T496</f>
        <v/>
      </c>
      <c r="G496" s="260">
        <f>IF($B496="","",IFERROR(BDP($B496&amp;" Action","GREENSHOE_FACILITY"),""))</f>
        <v/>
      </c>
      <c r="H496" s="260">
        <f>IF($B496="","",IFERROR(BDP($B496&amp;" Action","OFFERING_GREENSHOE_SHARES_EX"),""))</f>
        <v/>
      </c>
      <c r="I496" s="51">
        <f>Database!AE496</f>
        <v/>
      </c>
      <c r="J496" s="58">
        <f>IFERROR(BDP(TEXT(VALUE(Database!$A496),"0")&amp;" HK Equity","PE_RATIO"),"")</f>
        <v/>
      </c>
      <c r="K496" s="43">
        <f>IFERROR(BDP(TEXT(VALUE(Database!$A496),"0")&amp;" HK Equity","A/H_SHARE_CONVERSION"),"")</f>
        <v/>
      </c>
      <c r="L496" s="51">
        <f>IF(Database!BN496="","(none found)",Database!BN496)</f>
        <v/>
      </c>
      <c r="M496" s="53">
        <f>IFERROR(INDEX(BDH(TEXT(VALUE(Database!$A496),"0")&amp;" HK Equity","CUR_MKT_CAP",Database!$H496,Database!$H496),MATCH(Database!$H496,INDEX(BDH(TEXT(VALUE(Database!$A496),"0")&amp;" HK Equity","CUR_MKT_CAP",Database!$H496,Database!$H496),0,1),0),2),"run on terminal")</f>
        <v/>
      </c>
      <c r="N496" s="213">
        <f>Database!Q496</f>
        <v/>
      </c>
      <c r="O496" s="58">
        <f>IFERROR(INDEX(BDH(TEXT(VALUE(Database!$A496),"0")&amp;" HK Equity","PE_RATIO",Database!$H496,Database!$H496),MATCH(Database!$H496,INDEX(BDH(TEXT(VALUE(Database!$A496),"0")&amp;" HK Equity","PE_RATIO",Database!$H496,Database!$H496),0,1),0),2),"run on terminal")</f>
        <v/>
      </c>
      <c r="P496" s="251">
        <f>IF(Database!BH496="","(n/m or not derivable)",Database!BH496)</f>
        <v/>
      </c>
      <c r="Q496" s="58">
        <f>IF(Database!BN496="","",IFERROR(INDEX(BDH(LEFT(Database!BN496,FIND(".",Database!BN496)-1)&amp;" CH Equity","PE_RATIO",Database!$H496,Database!$H496),MATCH(Database!$H496,INDEX(BDH(LEFT(Database!BN496,FIND(".",Database!BN496)-1)&amp;" CH Equity","PE_RATIO",Database!$H496,Database!$H496),0,1),0),2),"run on terminal"))</f>
        <v/>
      </c>
      <c r="R496" s="58">
        <f>IF(Database!BN496="","",IFERROR(INDEX(BDH("HSAHP Index","PX_LAST",Database!$H496,Database!$H496),MATCH(Database!$H496,INDEX(BDH("HSAHP Index","PX_LAST",Database!$H496,Database!$H496),0,1),0),2),"run on terminal"))</f>
        <v/>
      </c>
      <c r="S496" s="58">
        <f>IFERROR(BDP(TEXT(VALUE(Database!$A496),"0")&amp;" HK Equity","PX_TO_SALES_RATIO"),"")</f>
        <v/>
      </c>
      <c r="T496" s="53">
        <f>IF(Database!BN496="","",IFERROR(BDP(LEFT(Database!BN496,FIND(".",Database!BN496)-1)&amp;" CH Equity","CUR_MKT_CAP")*BDP("CNYHKD Curncy","PX_LAST"),"run on terminal"))</f>
        <v/>
      </c>
    </row>
    <row r="497" ht="23" customHeight="1">
      <c r="A497" s="51">
        <f>Database!A497&amp;"  "&amp;Database!B497</f>
        <v/>
      </c>
      <c r="B497" s="43">
        <f>IFERROR(INDEX(BDS(TEXT(VALUE(Database!$A497),"0")&amp;" HK Equity","EQUITY_OFFERINGS","array=t","endcol=1"),MATCH("IPO",BDS(TEXT(VALUE(Database!$A497),"0")&amp;" HK Equity","EQUITY_OFFERINGS","array=t","startcol=2","endcol=2"),0)),"")</f>
        <v/>
      </c>
      <c r="C497" s="260">
        <f>IF($B497="","",IFERROR(BDP($B497&amp;" Action","CP036"),""))</f>
        <v/>
      </c>
      <c r="D497" s="261">
        <f>Database!S497</f>
        <v/>
      </c>
      <c r="E497" s="260">
        <f>IF($B497="","",IFERROR(BDP($B497&amp;" Action","CP037"),""))</f>
        <v/>
      </c>
      <c r="F497" s="261">
        <f>Database!T497</f>
        <v/>
      </c>
      <c r="G497" s="260">
        <f>IF($B497="","",IFERROR(BDP($B497&amp;" Action","GREENSHOE_FACILITY"),""))</f>
        <v/>
      </c>
      <c r="H497" s="260">
        <f>IF($B497="","",IFERROR(BDP($B497&amp;" Action","OFFERING_GREENSHOE_SHARES_EX"),""))</f>
        <v/>
      </c>
      <c r="I497" s="51">
        <f>Database!AE497</f>
        <v/>
      </c>
      <c r="J497" s="58">
        <f>IFERROR(BDP(TEXT(VALUE(Database!$A497),"0")&amp;" HK Equity","PE_RATIO"),"")</f>
        <v/>
      </c>
      <c r="K497" s="43">
        <f>IFERROR(BDP(TEXT(VALUE(Database!$A497),"0")&amp;" HK Equity","A/H_SHARE_CONVERSION"),"")</f>
        <v/>
      </c>
      <c r="L497" s="51">
        <f>IF(Database!BN497="","(none found)",Database!BN497)</f>
        <v/>
      </c>
      <c r="M497" s="53">
        <f>IFERROR(INDEX(BDH(TEXT(VALUE(Database!$A497),"0")&amp;" HK Equity","CUR_MKT_CAP",Database!$H497,Database!$H497),MATCH(Database!$H497,INDEX(BDH(TEXT(VALUE(Database!$A497),"0")&amp;" HK Equity","CUR_MKT_CAP",Database!$H497,Database!$H497),0,1),0),2),"run on terminal")</f>
        <v/>
      </c>
      <c r="N497" s="213">
        <f>Database!Q497</f>
        <v/>
      </c>
      <c r="O497" s="58">
        <f>IFERROR(INDEX(BDH(TEXT(VALUE(Database!$A497),"0")&amp;" HK Equity","PE_RATIO",Database!$H497,Database!$H497),MATCH(Database!$H497,INDEX(BDH(TEXT(VALUE(Database!$A497),"0")&amp;" HK Equity","PE_RATIO",Database!$H497,Database!$H497),0,1),0),2),"run on terminal")</f>
        <v/>
      </c>
      <c r="P497" s="251">
        <f>IF(Database!BH497="","(n/m or not derivable)",Database!BH497)</f>
        <v/>
      </c>
      <c r="Q497" s="58">
        <f>IF(Database!BN497="","",IFERROR(INDEX(BDH(LEFT(Database!BN497,FIND(".",Database!BN497)-1)&amp;" CH Equity","PE_RATIO",Database!$H497,Database!$H497),MATCH(Database!$H497,INDEX(BDH(LEFT(Database!BN497,FIND(".",Database!BN497)-1)&amp;" CH Equity","PE_RATIO",Database!$H497,Database!$H497),0,1),0),2),"run on terminal"))</f>
        <v/>
      </c>
      <c r="R497" s="58">
        <f>IF(Database!BN497="","",IFERROR(INDEX(BDH("HSAHP Index","PX_LAST",Database!$H497,Database!$H497),MATCH(Database!$H497,INDEX(BDH("HSAHP Index","PX_LAST",Database!$H497,Database!$H497),0,1),0),2),"run on terminal"))</f>
        <v/>
      </c>
      <c r="S497" s="58">
        <f>IFERROR(BDP(TEXT(VALUE(Database!$A497),"0")&amp;" HK Equity","PX_TO_SALES_RATIO"),"")</f>
        <v/>
      </c>
      <c r="T497" s="53">
        <f>IF(Database!BN497="","",IFERROR(BDP(LEFT(Database!BN497,FIND(".",Database!BN497)-1)&amp;" CH Equity","CUR_MKT_CAP")*BDP("CNYHKD Curncy","PX_LAST"),"run on terminal"))</f>
        <v/>
      </c>
    </row>
    <row r="498" ht="23" customHeight="1">
      <c r="A498" s="51">
        <f>Database!A498&amp;"  "&amp;Database!B498</f>
        <v/>
      </c>
      <c r="B498" s="43">
        <f>IFERROR(INDEX(BDS(TEXT(VALUE(Database!$A498),"0")&amp;" HK Equity","EQUITY_OFFERINGS","array=t","endcol=1"),MATCH("IPO",BDS(TEXT(VALUE(Database!$A498),"0")&amp;" HK Equity","EQUITY_OFFERINGS","array=t","startcol=2","endcol=2"),0)),"")</f>
        <v/>
      </c>
      <c r="C498" s="260">
        <f>IF($B498="","",IFERROR(BDP($B498&amp;" Action","CP036"),""))</f>
        <v/>
      </c>
      <c r="D498" s="261">
        <f>Database!S498</f>
        <v/>
      </c>
      <c r="E498" s="260">
        <f>IF($B498="","",IFERROR(BDP($B498&amp;" Action","CP037"),""))</f>
        <v/>
      </c>
      <c r="F498" s="261">
        <f>Database!T498</f>
        <v/>
      </c>
      <c r="G498" s="260">
        <f>IF($B498="","",IFERROR(BDP($B498&amp;" Action","GREENSHOE_FACILITY"),""))</f>
        <v/>
      </c>
      <c r="H498" s="260">
        <f>IF($B498="","",IFERROR(BDP($B498&amp;" Action","OFFERING_GREENSHOE_SHARES_EX"),""))</f>
        <v/>
      </c>
      <c r="I498" s="51">
        <f>Database!AE498</f>
        <v/>
      </c>
      <c r="J498" s="58">
        <f>IFERROR(BDP(TEXT(VALUE(Database!$A498),"0")&amp;" HK Equity","PE_RATIO"),"")</f>
        <v/>
      </c>
      <c r="K498" s="43">
        <f>IFERROR(BDP(TEXT(VALUE(Database!$A498),"0")&amp;" HK Equity","A/H_SHARE_CONVERSION"),"")</f>
        <v/>
      </c>
      <c r="L498" s="51">
        <f>IF(Database!BN498="","(none found)",Database!BN498)</f>
        <v/>
      </c>
      <c r="M498" s="53">
        <f>IFERROR(INDEX(BDH(TEXT(VALUE(Database!$A498),"0")&amp;" HK Equity","CUR_MKT_CAP",Database!$H498,Database!$H498),MATCH(Database!$H498,INDEX(BDH(TEXT(VALUE(Database!$A498),"0")&amp;" HK Equity","CUR_MKT_CAP",Database!$H498,Database!$H498),0,1),0),2),"run on terminal")</f>
        <v/>
      </c>
      <c r="N498" s="213">
        <f>Database!Q498</f>
        <v/>
      </c>
      <c r="O498" s="58">
        <f>IFERROR(INDEX(BDH(TEXT(VALUE(Database!$A498),"0")&amp;" HK Equity","PE_RATIO",Database!$H498,Database!$H498),MATCH(Database!$H498,INDEX(BDH(TEXT(VALUE(Database!$A498),"0")&amp;" HK Equity","PE_RATIO",Database!$H498,Database!$H498),0,1),0),2),"run on terminal")</f>
        <v/>
      </c>
      <c r="P498" s="251">
        <f>IF(Database!BH498="","(n/m or not derivable)",Database!BH498)</f>
        <v/>
      </c>
      <c r="Q498" s="58">
        <f>IF(Database!BN498="","",IFERROR(INDEX(BDH(LEFT(Database!BN498,FIND(".",Database!BN498)-1)&amp;" CH Equity","PE_RATIO",Database!$H498,Database!$H498),MATCH(Database!$H498,INDEX(BDH(LEFT(Database!BN498,FIND(".",Database!BN498)-1)&amp;" CH Equity","PE_RATIO",Database!$H498,Database!$H498),0,1),0),2),"run on terminal"))</f>
        <v/>
      </c>
      <c r="R498" s="58">
        <f>IF(Database!BN498="","",IFERROR(INDEX(BDH("HSAHP Index","PX_LAST",Database!$H498,Database!$H498),MATCH(Database!$H498,INDEX(BDH("HSAHP Index","PX_LAST",Database!$H498,Database!$H498),0,1),0),2),"run on terminal"))</f>
        <v/>
      </c>
      <c r="S498" s="58">
        <f>IFERROR(BDP(TEXT(VALUE(Database!$A498),"0")&amp;" HK Equity","PX_TO_SALES_RATIO"),"")</f>
        <v/>
      </c>
      <c r="T498" s="53">
        <f>IF(Database!BN498="","",IFERROR(BDP(LEFT(Database!BN498,FIND(".",Database!BN498)-1)&amp;" CH Equity","CUR_MKT_CAP")*BDP("CNYHKD Curncy","PX_LAST"),"run on terminal"))</f>
        <v/>
      </c>
    </row>
    <row r="499" ht="23" customHeight="1">
      <c r="A499" s="51">
        <f>Database!A499&amp;"  "&amp;Database!B499</f>
        <v/>
      </c>
      <c r="B499" s="43">
        <f>IFERROR(INDEX(BDS(TEXT(VALUE(Database!$A499),"0")&amp;" HK Equity","EQUITY_OFFERINGS","array=t","endcol=1"),MATCH("IPO",BDS(TEXT(VALUE(Database!$A499),"0")&amp;" HK Equity","EQUITY_OFFERINGS","array=t","startcol=2","endcol=2"),0)),"")</f>
        <v/>
      </c>
      <c r="C499" s="260">
        <f>IF($B499="","",IFERROR(BDP($B499&amp;" Action","CP036"),""))</f>
        <v/>
      </c>
      <c r="D499" s="261">
        <f>Database!S499</f>
        <v/>
      </c>
      <c r="E499" s="260">
        <f>IF($B499="","",IFERROR(BDP($B499&amp;" Action","CP037"),""))</f>
        <v/>
      </c>
      <c r="F499" s="261">
        <f>Database!T499</f>
        <v/>
      </c>
      <c r="G499" s="260">
        <f>IF($B499="","",IFERROR(BDP($B499&amp;" Action","GREENSHOE_FACILITY"),""))</f>
        <v/>
      </c>
      <c r="H499" s="260">
        <f>IF($B499="","",IFERROR(BDP($B499&amp;" Action","OFFERING_GREENSHOE_SHARES_EX"),""))</f>
        <v/>
      </c>
      <c r="I499" s="51">
        <f>Database!AE499</f>
        <v/>
      </c>
      <c r="J499" s="58">
        <f>IFERROR(BDP(TEXT(VALUE(Database!$A499),"0")&amp;" HK Equity","PE_RATIO"),"")</f>
        <v/>
      </c>
      <c r="K499" s="43">
        <f>IFERROR(BDP(TEXT(VALUE(Database!$A499),"0")&amp;" HK Equity","A/H_SHARE_CONVERSION"),"")</f>
        <v/>
      </c>
      <c r="L499" s="51">
        <f>IF(Database!BN499="","(none found)",Database!BN499)</f>
        <v/>
      </c>
      <c r="M499" s="53">
        <f>IFERROR(INDEX(BDH(TEXT(VALUE(Database!$A499),"0")&amp;" HK Equity","CUR_MKT_CAP",Database!$H499,Database!$H499),MATCH(Database!$H499,INDEX(BDH(TEXT(VALUE(Database!$A499),"0")&amp;" HK Equity","CUR_MKT_CAP",Database!$H499,Database!$H499),0,1),0),2),"run on terminal")</f>
        <v/>
      </c>
      <c r="N499" s="213">
        <f>Database!Q499</f>
        <v/>
      </c>
      <c r="O499" s="58">
        <f>IFERROR(INDEX(BDH(TEXT(VALUE(Database!$A499),"0")&amp;" HK Equity","PE_RATIO",Database!$H499,Database!$H499),MATCH(Database!$H499,INDEX(BDH(TEXT(VALUE(Database!$A499),"0")&amp;" HK Equity","PE_RATIO",Database!$H499,Database!$H499),0,1),0),2),"run on terminal")</f>
        <v/>
      </c>
      <c r="P499" s="251">
        <f>IF(Database!BH499="","(n/m or not derivable)",Database!BH499)</f>
        <v/>
      </c>
      <c r="Q499" s="58">
        <f>IF(Database!BN499="","",IFERROR(INDEX(BDH(LEFT(Database!BN499,FIND(".",Database!BN499)-1)&amp;" CH Equity","PE_RATIO",Database!$H499,Database!$H499),MATCH(Database!$H499,INDEX(BDH(LEFT(Database!BN499,FIND(".",Database!BN499)-1)&amp;" CH Equity","PE_RATIO",Database!$H499,Database!$H499),0,1),0),2),"run on terminal"))</f>
        <v/>
      </c>
      <c r="R499" s="58">
        <f>IF(Database!BN499="","",IFERROR(INDEX(BDH("HSAHP Index","PX_LAST",Database!$H499,Database!$H499),MATCH(Database!$H499,INDEX(BDH("HSAHP Index","PX_LAST",Database!$H499,Database!$H499),0,1),0),2),"run on terminal"))</f>
        <v/>
      </c>
      <c r="S499" s="58">
        <f>IFERROR(BDP(TEXT(VALUE(Database!$A499),"0")&amp;" HK Equity","PX_TO_SALES_RATIO"),"")</f>
        <v/>
      </c>
      <c r="T499" s="53">
        <f>IF(Database!BN499="","",IFERROR(BDP(LEFT(Database!BN499,FIND(".",Database!BN499)-1)&amp;" CH Equity","CUR_MKT_CAP")*BDP("CNYHKD Curncy","PX_LAST"),"run on terminal"))</f>
        <v/>
      </c>
    </row>
    <row r="500" ht="23" customHeight="1">
      <c r="A500" s="51">
        <f>Database!A500&amp;"  "&amp;Database!B500</f>
        <v/>
      </c>
      <c r="B500" s="43">
        <f>IFERROR(INDEX(BDS(TEXT(VALUE(Database!$A500),"0")&amp;" HK Equity","EQUITY_OFFERINGS","array=t","endcol=1"),MATCH("IPO",BDS(TEXT(VALUE(Database!$A500),"0")&amp;" HK Equity","EQUITY_OFFERINGS","array=t","startcol=2","endcol=2"),0)),"")</f>
        <v/>
      </c>
      <c r="C500" s="260">
        <f>IF($B500="","",IFERROR(BDP($B500&amp;" Action","CP036"),""))</f>
        <v/>
      </c>
      <c r="D500" s="261">
        <f>Database!S500</f>
        <v/>
      </c>
      <c r="E500" s="260">
        <f>IF($B500="","",IFERROR(BDP($B500&amp;" Action","CP037"),""))</f>
        <v/>
      </c>
      <c r="F500" s="261">
        <f>Database!T500</f>
        <v/>
      </c>
      <c r="G500" s="260">
        <f>IF($B500="","",IFERROR(BDP($B500&amp;" Action","GREENSHOE_FACILITY"),""))</f>
        <v/>
      </c>
      <c r="H500" s="260">
        <f>IF($B500="","",IFERROR(BDP($B500&amp;" Action","OFFERING_GREENSHOE_SHARES_EX"),""))</f>
        <v/>
      </c>
      <c r="I500" s="51">
        <f>Database!AE500</f>
        <v/>
      </c>
      <c r="J500" s="58">
        <f>IFERROR(BDP(TEXT(VALUE(Database!$A500),"0")&amp;" HK Equity","PE_RATIO"),"")</f>
        <v/>
      </c>
      <c r="K500" s="43">
        <f>IFERROR(BDP(TEXT(VALUE(Database!$A500),"0")&amp;" HK Equity","A/H_SHARE_CONVERSION"),"")</f>
        <v/>
      </c>
      <c r="L500" s="51">
        <f>IF(Database!BN500="","(none found)",Database!BN500)</f>
        <v/>
      </c>
      <c r="M500" s="53">
        <f>IFERROR(INDEX(BDH(TEXT(VALUE(Database!$A500),"0")&amp;" HK Equity","CUR_MKT_CAP",Database!$H500,Database!$H500),MATCH(Database!$H500,INDEX(BDH(TEXT(VALUE(Database!$A500),"0")&amp;" HK Equity","CUR_MKT_CAP",Database!$H500,Database!$H500),0,1),0),2),"run on terminal")</f>
        <v/>
      </c>
      <c r="N500" s="213">
        <f>Database!Q500</f>
        <v/>
      </c>
      <c r="O500" s="58">
        <f>IFERROR(INDEX(BDH(TEXT(VALUE(Database!$A500),"0")&amp;" HK Equity","PE_RATIO",Database!$H500,Database!$H500),MATCH(Database!$H500,INDEX(BDH(TEXT(VALUE(Database!$A500),"0")&amp;" HK Equity","PE_RATIO",Database!$H500,Database!$H500),0,1),0),2),"run on terminal")</f>
        <v/>
      </c>
      <c r="P500" s="251">
        <f>IF(Database!BH500="","(n/m or not derivable)",Database!BH500)</f>
        <v/>
      </c>
      <c r="Q500" s="58">
        <f>IF(Database!BN500="","",IFERROR(INDEX(BDH(LEFT(Database!BN500,FIND(".",Database!BN500)-1)&amp;" CH Equity","PE_RATIO",Database!$H500,Database!$H500),MATCH(Database!$H500,INDEX(BDH(LEFT(Database!BN500,FIND(".",Database!BN500)-1)&amp;" CH Equity","PE_RATIO",Database!$H500,Database!$H500),0,1),0),2),"run on terminal"))</f>
        <v/>
      </c>
      <c r="R500" s="58">
        <f>IF(Database!BN500="","",IFERROR(INDEX(BDH("HSAHP Index","PX_LAST",Database!$H500,Database!$H500),MATCH(Database!$H500,INDEX(BDH("HSAHP Index","PX_LAST",Database!$H500,Database!$H500),0,1),0),2),"run on terminal"))</f>
        <v/>
      </c>
      <c r="S500" s="58">
        <f>IFERROR(BDP(TEXT(VALUE(Database!$A500),"0")&amp;" HK Equity","PX_TO_SALES_RATIO"),"")</f>
        <v/>
      </c>
      <c r="T500" s="53">
        <f>IF(Database!BN500="","",IFERROR(BDP(LEFT(Database!BN500,FIND(".",Database!BN500)-1)&amp;" CH Equity","CUR_MKT_CAP")*BDP("CNYHKD Curncy","PX_LAST"),"run on terminal"))</f>
        <v/>
      </c>
    </row>
    <row r="501" ht="23" customHeight="1">
      <c r="A501" s="51">
        <f>Database!A501&amp;"  "&amp;Database!B501</f>
        <v/>
      </c>
      <c r="B501" s="43">
        <f>IFERROR(INDEX(BDS(TEXT(VALUE(Database!$A501),"0")&amp;" HK Equity","EQUITY_OFFERINGS","array=t","endcol=1"),MATCH("IPO",BDS(TEXT(VALUE(Database!$A501),"0")&amp;" HK Equity","EQUITY_OFFERINGS","array=t","startcol=2","endcol=2"),0)),"")</f>
        <v/>
      </c>
      <c r="C501" s="260">
        <f>IF($B501="","",IFERROR(BDP($B501&amp;" Action","CP036"),""))</f>
        <v/>
      </c>
      <c r="D501" s="261">
        <f>Database!S501</f>
        <v/>
      </c>
      <c r="E501" s="260">
        <f>IF($B501="","",IFERROR(BDP($B501&amp;" Action","CP037"),""))</f>
        <v/>
      </c>
      <c r="F501" s="261">
        <f>Database!T501</f>
        <v/>
      </c>
      <c r="G501" s="260">
        <f>IF($B501="","",IFERROR(BDP($B501&amp;" Action","GREENSHOE_FACILITY"),""))</f>
        <v/>
      </c>
      <c r="H501" s="260">
        <f>IF($B501="","",IFERROR(BDP($B501&amp;" Action","OFFERING_GREENSHOE_SHARES_EX"),""))</f>
        <v/>
      </c>
      <c r="I501" s="51">
        <f>Database!AE501</f>
        <v/>
      </c>
      <c r="J501" s="58">
        <f>IFERROR(BDP(TEXT(VALUE(Database!$A501),"0")&amp;" HK Equity","PE_RATIO"),"")</f>
        <v/>
      </c>
      <c r="K501" s="43">
        <f>IFERROR(BDP(TEXT(VALUE(Database!$A501),"0")&amp;" HK Equity","A/H_SHARE_CONVERSION"),"")</f>
        <v/>
      </c>
      <c r="L501" s="51">
        <f>IF(Database!BN501="","(none found)",Database!BN501)</f>
        <v/>
      </c>
      <c r="M501" s="53">
        <f>IFERROR(INDEX(BDH(TEXT(VALUE(Database!$A501),"0")&amp;" HK Equity","CUR_MKT_CAP",Database!$H501,Database!$H501),MATCH(Database!$H501,INDEX(BDH(TEXT(VALUE(Database!$A501),"0")&amp;" HK Equity","CUR_MKT_CAP",Database!$H501,Database!$H501),0,1),0),2),"run on terminal")</f>
        <v/>
      </c>
      <c r="N501" s="213">
        <f>Database!Q501</f>
        <v/>
      </c>
      <c r="O501" s="58">
        <f>IFERROR(INDEX(BDH(TEXT(VALUE(Database!$A501),"0")&amp;" HK Equity","PE_RATIO",Database!$H501,Database!$H501),MATCH(Database!$H501,INDEX(BDH(TEXT(VALUE(Database!$A501),"0")&amp;" HK Equity","PE_RATIO",Database!$H501,Database!$H501),0,1),0),2),"run on terminal")</f>
        <v/>
      </c>
      <c r="P501" s="251">
        <f>IF(Database!BH501="","(n/m or not derivable)",Database!BH501)</f>
        <v/>
      </c>
      <c r="Q501" s="58">
        <f>IF(Database!BN501="","",IFERROR(INDEX(BDH(LEFT(Database!BN501,FIND(".",Database!BN501)-1)&amp;" CH Equity","PE_RATIO",Database!$H501,Database!$H501),MATCH(Database!$H501,INDEX(BDH(LEFT(Database!BN501,FIND(".",Database!BN501)-1)&amp;" CH Equity","PE_RATIO",Database!$H501,Database!$H501),0,1),0),2),"run on terminal"))</f>
        <v/>
      </c>
      <c r="R501" s="58">
        <f>IF(Database!BN501="","",IFERROR(INDEX(BDH("HSAHP Index","PX_LAST",Database!$H501,Database!$H501),MATCH(Database!$H501,INDEX(BDH("HSAHP Index","PX_LAST",Database!$H501,Database!$H501),0,1),0),2),"run on terminal"))</f>
        <v/>
      </c>
      <c r="S501" s="58">
        <f>IFERROR(BDP(TEXT(VALUE(Database!$A501),"0")&amp;" HK Equity","PX_TO_SALES_RATIO"),"")</f>
        <v/>
      </c>
      <c r="T501" s="53">
        <f>IF(Database!BN501="","",IFERROR(BDP(LEFT(Database!BN501,FIND(".",Database!BN501)-1)&amp;" CH Equity","CUR_MKT_CAP")*BDP("CNYHKD Curncy","PX_LAST"),"run on terminal"))</f>
        <v/>
      </c>
    </row>
    <row r="502" ht="23" customHeight="1">
      <c r="A502" s="51">
        <f>Database!A502&amp;"  "&amp;Database!B502</f>
        <v/>
      </c>
      <c r="B502" s="43">
        <f>IFERROR(INDEX(BDS(TEXT(VALUE(Database!$A502),"0")&amp;" HK Equity","EQUITY_OFFERINGS","array=t","endcol=1"),MATCH("IPO",BDS(TEXT(VALUE(Database!$A502),"0")&amp;" HK Equity","EQUITY_OFFERINGS","array=t","startcol=2","endcol=2"),0)),"")</f>
        <v/>
      </c>
      <c r="C502" s="260">
        <f>IF($B502="","",IFERROR(BDP($B502&amp;" Action","CP036"),""))</f>
        <v/>
      </c>
      <c r="D502" s="261">
        <f>Database!S502</f>
        <v/>
      </c>
      <c r="E502" s="260">
        <f>IF($B502="","",IFERROR(BDP($B502&amp;" Action","CP037"),""))</f>
        <v/>
      </c>
      <c r="F502" s="261">
        <f>Database!T502</f>
        <v/>
      </c>
      <c r="G502" s="260">
        <f>IF($B502="","",IFERROR(BDP($B502&amp;" Action","GREENSHOE_FACILITY"),""))</f>
        <v/>
      </c>
      <c r="H502" s="260">
        <f>IF($B502="","",IFERROR(BDP($B502&amp;" Action","OFFERING_GREENSHOE_SHARES_EX"),""))</f>
        <v/>
      </c>
      <c r="I502" s="51">
        <f>Database!AE502</f>
        <v/>
      </c>
      <c r="J502" s="58">
        <f>IFERROR(BDP(TEXT(VALUE(Database!$A502),"0")&amp;" HK Equity","PE_RATIO"),"")</f>
        <v/>
      </c>
      <c r="K502" s="43">
        <f>IFERROR(BDP(TEXT(VALUE(Database!$A502),"0")&amp;" HK Equity","A/H_SHARE_CONVERSION"),"")</f>
        <v/>
      </c>
      <c r="L502" s="51">
        <f>IF(Database!BN502="","(none found)",Database!BN502)</f>
        <v/>
      </c>
      <c r="M502" s="53">
        <f>IFERROR(INDEX(BDH(TEXT(VALUE(Database!$A502),"0")&amp;" HK Equity","CUR_MKT_CAP",Database!$H502,Database!$H502),MATCH(Database!$H502,INDEX(BDH(TEXT(VALUE(Database!$A502),"0")&amp;" HK Equity","CUR_MKT_CAP",Database!$H502,Database!$H502),0,1),0),2),"run on terminal")</f>
        <v/>
      </c>
      <c r="N502" s="213">
        <f>Database!Q502</f>
        <v/>
      </c>
      <c r="O502" s="58">
        <f>IFERROR(INDEX(BDH(TEXT(VALUE(Database!$A502),"0")&amp;" HK Equity","PE_RATIO",Database!$H502,Database!$H502),MATCH(Database!$H502,INDEX(BDH(TEXT(VALUE(Database!$A502),"0")&amp;" HK Equity","PE_RATIO",Database!$H502,Database!$H502),0,1),0),2),"run on terminal")</f>
        <v/>
      </c>
      <c r="P502" s="251">
        <f>IF(Database!BH502="","(n/m or not derivable)",Database!BH502)</f>
        <v/>
      </c>
      <c r="Q502" s="58">
        <f>IF(Database!BN502="","",IFERROR(INDEX(BDH(LEFT(Database!BN502,FIND(".",Database!BN502)-1)&amp;" CH Equity","PE_RATIO",Database!$H502,Database!$H502),MATCH(Database!$H502,INDEX(BDH(LEFT(Database!BN502,FIND(".",Database!BN502)-1)&amp;" CH Equity","PE_RATIO",Database!$H502,Database!$H502),0,1),0),2),"run on terminal"))</f>
        <v/>
      </c>
      <c r="R502" s="58">
        <f>IF(Database!BN502="","",IFERROR(INDEX(BDH("HSAHP Index","PX_LAST",Database!$H502,Database!$H502),MATCH(Database!$H502,INDEX(BDH("HSAHP Index","PX_LAST",Database!$H502,Database!$H502),0,1),0),2),"run on terminal"))</f>
        <v/>
      </c>
      <c r="S502" s="58">
        <f>IFERROR(BDP(TEXT(VALUE(Database!$A502),"0")&amp;" HK Equity","PX_TO_SALES_RATIO"),"")</f>
        <v/>
      </c>
      <c r="T502" s="53">
        <f>IF(Database!BN502="","",IFERROR(BDP(LEFT(Database!BN502,FIND(".",Database!BN502)-1)&amp;" CH Equity","CUR_MKT_CAP")*BDP("CNYHKD Curncy","PX_LAST"),"run on terminal"))</f>
        <v/>
      </c>
    </row>
    <row r="503" ht="23" customHeight="1">
      <c r="A503" s="51">
        <f>Database!A503&amp;"  "&amp;Database!B503</f>
        <v/>
      </c>
      <c r="B503" s="43">
        <f>IFERROR(INDEX(BDS(TEXT(VALUE(Database!$A503),"0")&amp;" HK Equity","EQUITY_OFFERINGS","array=t","endcol=1"),MATCH("IPO",BDS(TEXT(VALUE(Database!$A503),"0")&amp;" HK Equity","EQUITY_OFFERINGS","array=t","startcol=2","endcol=2"),0)),"")</f>
        <v/>
      </c>
      <c r="C503" s="260">
        <f>IF($B503="","",IFERROR(BDP($B503&amp;" Action","CP036"),""))</f>
        <v/>
      </c>
      <c r="D503" s="261">
        <f>Database!S503</f>
        <v/>
      </c>
      <c r="E503" s="260">
        <f>IF($B503="","",IFERROR(BDP($B503&amp;" Action","CP037"),""))</f>
        <v/>
      </c>
      <c r="F503" s="261">
        <f>Database!T503</f>
        <v/>
      </c>
      <c r="G503" s="260">
        <f>IF($B503="","",IFERROR(BDP($B503&amp;" Action","GREENSHOE_FACILITY"),""))</f>
        <v/>
      </c>
      <c r="H503" s="260">
        <f>IF($B503="","",IFERROR(BDP($B503&amp;" Action","OFFERING_GREENSHOE_SHARES_EX"),""))</f>
        <v/>
      </c>
      <c r="I503" s="51">
        <f>Database!AE503</f>
        <v/>
      </c>
      <c r="J503" s="58">
        <f>IFERROR(BDP(TEXT(VALUE(Database!$A503),"0")&amp;" HK Equity","PE_RATIO"),"")</f>
        <v/>
      </c>
      <c r="K503" s="43">
        <f>IFERROR(BDP(TEXT(VALUE(Database!$A503),"0")&amp;" HK Equity","A/H_SHARE_CONVERSION"),"")</f>
        <v/>
      </c>
      <c r="L503" s="51">
        <f>IF(Database!BN503="","(none found)",Database!BN503)</f>
        <v/>
      </c>
      <c r="M503" s="53">
        <f>IFERROR(INDEX(BDH(TEXT(VALUE(Database!$A503),"0")&amp;" HK Equity","CUR_MKT_CAP",Database!$H503,Database!$H503),MATCH(Database!$H503,INDEX(BDH(TEXT(VALUE(Database!$A503),"0")&amp;" HK Equity","CUR_MKT_CAP",Database!$H503,Database!$H503),0,1),0),2),"run on terminal")</f>
        <v/>
      </c>
      <c r="N503" s="213">
        <f>Database!Q503</f>
        <v/>
      </c>
      <c r="O503" s="58">
        <f>IFERROR(INDEX(BDH(TEXT(VALUE(Database!$A503),"0")&amp;" HK Equity","PE_RATIO",Database!$H503,Database!$H503),MATCH(Database!$H503,INDEX(BDH(TEXT(VALUE(Database!$A503),"0")&amp;" HK Equity","PE_RATIO",Database!$H503,Database!$H503),0,1),0),2),"run on terminal")</f>
        <v/>
      </c>
      <c r="P503" s="251">
        <f>IF(Database!BH503="","(n/m or not derivable)",Database!BH503)</f>
        <v/>
      </c>
      <c r="Q503" s="58">
        <f>IF(Database!BN503="","",IFERROR(INDEX(BDH(LEFT(Database!BN503,FIND(".",Database!BN503)-1)&amp;" CH Equity","PE_RATIO",Database!$H503,Database!$H503),MATCH(Database!$H503,INDEX(BDH(LEFT(Database!BN503,FIND(".",Database!BN503)-1)&amp;" CH Equity","PE_RATIO",Database!$H503,Database!$H503),0,1),0),2),"run on terminal"))</f>
        <v/>
      </c>
      <c r="R503" s="58">
        <f>IF(Database!BN503="","",IFERROR(INDEX(BDH("HSAHP Index","PX_LAST",Database!$H503,Database!$H503),MATCH(Database!$H503,INDEX(BDH("HSAHP Index","PX_LAST",Database!$H503,Database!$H503),0,1),0),2),"run on terminal"))</f>
        <v/>
      </c>
      <c r="S503" s="58">
        <f>IFERROR(BDP(TEXT(VALUE(Database!$A503),"0")&amp;" HK Equity","PX_TO_SALES_RATIO"),"")</f>
        <v/>
      </c>
      <c r="T503" s="53">
        <f>IF(Database!BN503="","",IFERROR(BDP(LEFT(Database!BN503,FIND(".",Database!BN503)-1)&amp;" CH Equity","CUR_MKT_CAP")*BDP("CNYHKD Curncy","PX_LAST"),"run on terminal"))</f>
        <v/>
      </c>
    </row>
    <row r="504" ht="23" customHeight="1">
      <c r="A504" s="51">
        <f>Database!A504&amp;"  "&amp;Database!B504</f>
        <v/>
      </c>
      <c r="B504" s="43">
        <f>IFERROR(INDEX(BDS(TEXT(VALUE(Database!$A504),"0")&amp;" HK Equity","EQUITY_OFFERINGS","array=t","endcol=1"),MATCH("IPO",BDS(TEXT(VALUE(Database!$A504),"0")&amp;" HK Equity","EQUITY_OFFERINGS","array=t","startcol=2","endcol=2"),0)),"")</f>
        <v/>
      </c>
      <c r="C504" s="260">
        <f>IF($B504="","",IFERROR(BDP($B504&amp;" Action","CP036"),""))</f>
        <v/>
      </c>
      <c r="D504" s="261">
        <f>Database!S504</f>
        <v/>
      </c>
      <c r="E504" s="260">
        <f>IF($B504="","",IFERROR(BDP($B504&amp;" Action","CP037"),""))</f>
        <v/>
      </c>
      <c r="F504" s="261">
        <f>Database!T504</f>
        <v/>
      </c>
      <c r="G504" s="260">
        <f>IF($B504="","",IFERROR(BDP($B504&amp;" Action","GREENSHOE_FACILITY"),""))</f>
        <v/>
      </c>
      <c r="H504" s="260">
        <f>IF($B504="","",IFERROR(BDP($B504&amp;" Action","OFFERING_GREENSHOE_SHARES_EX"),""))</f>
        <v/>
      </c>
      <c r="I504" s="51">
        <f>Database!AE504</f>
        <v/>
      </c>
      <c r="J504" s="58">
        <f>IFERROR(BDP(TEXT(VALUE(Database!$A504),"0")&amp;" HK Equity","PE_RATIO"),"")</f>
        <v/>
      </c>
      <c r="K504" s="43">
        <f>IFERROR(BDP(TEXT(VALUE(Database!$A504),"0")&amp;" HK Equity","A/H_SHARE_CONVERSION"),"")</f>
        <v/>
      </c>
      <c r="L504" s="51">
        <f>IF(Database!BN504="","(none found)",Database!BN504)</f>
        <v/>
      </c>
      <c r="M504" s="53">
        <f>IFERROR(INDEX(BDH(TEXT(VALUE(Database!$A504),"0")&amp;" HK Equity","CUR_MKT_CAP",Database!$H504,Database!$H504),MATCH(Database!$H504,INDEX(BDH(TEXT(VALUE(Database!$A504),"0")&amp;" HK Equity","CUR_MKT_CAP",Database!$H504,Database!$H504),0,1),0),2),"run on terminal")</f>
        <v/>
      </c>
      <c r="N504" s="213">
        <f>Database!Q504</f>
        <v/>
      </c>
      <c r="O504" s="58">
        <f>IFERROR(INDEX(BDH(TEXT(VALUE(Database!$A504),"0")&amp;" HK Equity","PE_RATIO",Database!$H504,Database!$H504),MATCH(Database!$H504,INDEX(BDH(TEXT(VALUE(Database!$A504),"0")&amp;" HK Equity","PE_RATIO",Database!$H504,Database!$H504),0,1),0),2),"run on terminal")</f>
        <v/>
      </c>
      <c r="P504" s="251">
        <f>IF(Database!BH504="","(n/m or not derivable)",Database!BH504)</f>
        <v/>
      </c>
      <c r="Q504" s="58">
        <f>IF(Database!BN504="","",IFERROR(INDEX(BDH(LEFT(Database!BN504,FIND(".",Database!BN504)-1)&amp;" CH Equity","PE_RATIO",Database!$H504,Database!$H504),MATCH(Database!$H504,INDEX(BDH(LEFT(Database!BN504,FIND(".",Database!BN504)-1)&amp;" CH Equity","PE_RATIO",Database!$H504,Database!$H504),0,1),0),2),"run on terminal"))</f>
        <v/>
      </c>
      <c r="R504" s="58">
        <f>IF(Database!BN504="","",IFERROR(INDEX(BDH("HSAHP Index","PX_LAST",Database!$H504,Database!$H504),MATCH(Database!$H504,INDEX(BDH("HSAHP Index","PX_LAST",Database!$H504,Database!$H504),0,1),0),2),"run on terminal"))</f>
        <v/>
      </c>
      <c r="S504" s="58">
        <f>IFERROR(BDP(TEXT(VALUE(Database!$A504),"0")&amp;" HK Equity","PX_TO_SALES_RATIO"),"")</f>
        <v/>
      </c>
      <c r="T504" s="53">
        <f>IF(Database!BN504="","",IFERROR(BDP(LEFT(Database!BN504,FIND(".",Database!BN504)-1)&amp;" CH Equity","CUR_MKT_CAP")*BDP("CNYHKD Curncy","PX_LAST"),"run on terminal"))</f>
        <v/>
      </c>
    </row>
    <row r="505" ht="23" customHeight="1">
      <c r="A505" s="51">
        <f>Database!A505&amp;"  "&amp;Database!B505</f>
        <v/>
      </c>
      <c r="B505" s="43">
        <f>IFERROR(INDEX(BDS(TEXT(VALUE(Database!$A505),"0")&amp;" HK Equity","EQUITY_OFFERINGS","array=t","endcol=1"),MATCH("IPO",BDS(TEXT(VALUE(Database!$A505),"0")&amp;" HK Equity","EQUITY_OFFERINGS","array=t","startcol=2","endcol=2"),0)),"")</f>
        <v/>
      </c>
      <c r="C505" s="260">
        <f>IF($B505="","",IFERROR(BDP($B505&amp;" Action","CP036"),""))</f>
        <v/>
      </c>
      <c r="D505" s="261">
        <f>Database!S505</f>
        <v/>
      </c>
      <c r="E505" s="260">
        <f>IF($B505="","",IFERROR(BDP($B505&amp;" Action","CP037"),""))</f>
        <v/>
      </c>
      <c r="F505" s="261">
        <f>Database!T505</f>
        <v/>
      </c>
      <c r="G505" s="260">
        <f>IF($B505="","",IFERROR(BDP($B505&amp;" Action","GREENSHOE_FACILITY"),""))</f>
        <v/>
      </c>
      <c r="H505" s="260">
        <f>IF($B505="","",IFERROR(BDP($B505&amp;" Action","OFFERING_GREENSHOE_SHARES_EX"),""))</f>
        <v/>
      </c>
      <c r="I505" s="51">
        <f>Database!AE505</f>
        <v/>
      </c>
      <c r="J505" s="58">
        <f>IFERROR(BDP(TEXT(VALUE(Database!$A505),"0")&amp;" HK Equity","PE_RATIO"),"")</f>
        <v/>
      </c>
      <c r="K505" s="43">
        <f>IFERROR(BDP(TEXT(VALUE(Database!$A505),"0")&amp;" HK Equity","A/H_SHARE_CONVERSION"),"")</f>
        <v/>
      </c>
      <c r="L505" s="51">
        <f>IF(Database!BN505="","(none found)",Database!BN505)</f>
        <v/>
      </c>
      <c r="M505" s="53">
        <f>IFERROR(INDEX(BDH(TEXT(VALUE(Database!$A505),"0")&amp;" HK Equity","CUR_MKT_CAP",Database!$H505,Database!$H505),MATCH(Database!$H505,INDEX(BDH(TEXT(VALUE(Database!$A505),"0")&amp;" HK Equity","CUR_MKT_CAP",Database!$H505,Database!$H505),0,1),0),2),"run on terminal")</f>
        <v/>
      </c>
      <c r="N505" s="213">
        <f>Database!Q505</f>
        <v/>
      </c>
      <c r="O505" s="58">
        <f>IFERROR(INDEX(BDH(TEXT(VALUE(Database!$A505),"0")&amp;" HK Equity","PE_RATIO",Database!$H505,Database!$H505),MATCH(Database!$H505,INDEX(BDH(TEXT(VALUE(Database!$A505),"0")&amp;" HK Equity","PE_RATIO",Database!$H505,Database!$H505),0,1),0),2),"run on terminal")</f>
        <v/>
      </c>
      <c r="P505" s="251">
        <f>IF(Database!BH505="","(n/m or not derivable)",Database!BH505)</f>
        <v/>
      </c>
      <c r="Q505" s="58">
        <f>IF(Database!BN505="","",IFERROR(INDEX(BDH(LEFT(Database!BN505,FIND(".",Database!BN505)-1)&amp;" CH Equity","PE_RATIO",Database!$H505,Database!$H505),MATCH(Database!$H505,INDEX(BDH(LEFT(Database!BN505,FIND(".",Database!BN505)-1)&amp;" CH Equity","PE_RATIO",Database!$H505,Database!$H505),0,1),0),2),"run on terminal"))</f>
        <v/>
      </c>
      <c r="R505" s="58">
        <f>IF(Database!BN505="","",IFERROR(INDEX(BDH("HSAHP Index","PX_LAST",Database!$H505,Database!$H505),MATCH(Database!$H505,INDEX(BDH("HSAHP Index","PX_LAST",Database!$H505,Database!$H505),0,1),0),2),"run on terminal"))</f>
        <v/>
      </c>
      <c r="S505" s="58">
        <f>IFERROR(BDP(TEXT(VALUE(Database!$A505),"0")&amp;" HK Equity","PX_TO_SALES_RATIO"),"")</f>
        <v/>
      </c>
      <c r="T505" s="53">
        <f>IF(Database!BN505="","",IFERROR(BDP(LEFT(Database!BN505,FIND(".",Database!BN505)-1)&amp;" CH Equity","CUR_MKT_CAP")*BDP("CNYHKD Curncy","PX_LAST"),"run on terminal"))</f>
        <v/>
      </c>
    </row>
    <row r="506" ht="23" customHeight="1">
      <c r="A506" s="51">
        <f>Database!A506&amp;"  "&amp;Database!B506</f>
        <v/>
      </c>
      <c r="B506" s="43">
        <f>IFERROR(INDEX(BDS(TEXT(VALUE(Database!$A506),"0")&amp;" HK Equity","EQUITY_OFFERINGS","array=t","endcol=1"),MATCH("IPO",BDS(TEXT(VALUE(Database!$A506),"0")&amp;" HK Equity","EQUITY_OFFERINGS","array=t","startcol=2","endcol=2"),0)),"")</f>
        <v/>
      </c>
      <c r="C506" s="260">
        <f>IF($B506="","",IFERROR(BDP($B506&amp;" Action","CP036"),""))</f>
        <v/>
      </c>
      <c r="D506" s="261">
        <f>Database!S506</f>
        <v/>
      </c>
      <c r="E506" s="260">
        <f>IF($B506="","",IFERROR(BDP($B506&amp;" Action","CP037"),""))</f>
        <v/>
      </c>
      <c r="F506" s="261">
        <f>Database!T506</f>
        <v/>
      </c>
      <c r="G506" s="260">
        <f>IF($B506="","",IFERROR(BDP($B506&amp;" Action","GREENSHOE_FACILITY"),""))</f>
        <v/>
      </c>
      <c r="H506" s="260">
        <f>IF($B506="","",IFERROR(BDP($B506&amp;" Action","OFFERING_GREENSHOE_SHARES_EX"),""))</f>
        <v/>
      </c>
      <c r="I506" s="51">
        <f>Database!AE506</f>
        <v/>
      </c>
      <c r="J506" s="58">
        <f>IFERROR(BDP(TEXT(VALUE(Database!$A506),"0")&amp;" HK Equity","PE_RATIO"),"")</f>
        <v/>
      </c>
      <c r="K506" s="43">
        <f>IFERROR(BDP(TEXT(VALUE(Database!$A506),"0")&amp;" HK Equity","A/H_SHARE_CONVERSION"),"")</f>
        <v/>
      </c>
      <c r="L506" s="51">
        <f>IF(Database!BN506="","(none found)",Database!BN506)</f>
        <v/>
      </c>
      <c r="M506" s="53">
        <f>IFERROR(INDEX(BDH(TEXT(VALUE(Database!$A506),"0")&amp;" HK Equity","CUR_MKT_CAP",Database!$H506,Database!$H506),MATCH(Database!$H506,INDEX(BDH(TEXT(VALUE(Database!$A506),"0")&amp;" HK Equity","CUR_MKT_CAP",Database!$H506,Database!$H506),0,1),0),2),"run on terminal")</f>
        <v/>
      </c>
      <c r="N506" s="213">
        <f>Database!Q506</f>
        <v/>
      </c>
      <c r="O506" s="58">
        <f>IFERROR(INDEX(BDH(TEXT(VALUE(Database!$A506),"0")&amp;" HK Equity","PE_RATIO",Database!$H506,Database!$H506),MATCH(Database!$H506,INDEX(BDH(TEXT(VALUE(Database!$A506),"0")&amp;" HK Equity","PE_RATIO",Database!$H506,Database!$H506),0,1),0),2),"run on terminal")</f>
        <v/>
      </c>
      <c r="P506" s="251">
        <f>IF(Database!BH506="","(n/m or not derivable)",Database!BH506)</f>
        <v/>
      </c>
      <c r="Q506" s="58">
        <f>IF(Database!BN506="","",IFERROR(INDEX(BDH(LEFT(Database!BN506,FIND(".",Database!BN506)-1)&amp;" CH Equity","PE_RATIO",Database!$H506,Database!$H506),MATCH(Database!$H506,INDEX(BDH(LEFT(Database!BN506,FIND(".",Database!BN506)-1)&amp;" CH Equity","PE_RATIO",Database!$H506,Database!$H506),0,1),0),2),"run on terminal"))</f>
        <v/>
      </c>
      <c r="R506" s="58">
        <f>IF(Database!BN506="","",IFERROR(INDEX(BDH("HSAHP Index","PX_LAST",Database!$H506,Database!$H506),MATCH(Database!$H506,INDEX(BDH("HSAHP Index","PX_LAST",Database!$H506,Database!$H506),0,1),0),2),"run on terminal"))</f>
        <v/>
      </c>
      <c r="S506" s="58">
        <f>IFERROR(BDP(TEXT(VALUE(Database!$A506),"0")&amp;" HK Equity","PX_TO_SALES_RATIO"),"")</f>
        <v/>
      </c>
      <c r="T506" s="53">
        <f>IF(Database!BN506="","",IFERROR(BDP(LEFT(Database!BN506,FIND(".",Database!BN506)-1)&amp;" CH Equity","CUR_MKT_CAP")*BDP("CNYHKD Curncy","PX_LAST"),"run on terminal"))</f>
        <v/>
      </c>
    </row>
    <row r="507" ht="23" customHeight="1">
      <c r="A507" s="51">
        <f>Database!A507&amp;"  "&amp;Database!B507</f>
        <v/>
      </c>
      <c r="B507" s="43">
        <f>IFERROR(INDEX(BDS(TEXT(VALUE(Database!$A507),"0")&amp;" HK Equity","EQUITY_OFFERINGS","array=t","endcol=1"),MATCH("IPO",BDS(TEXT(VALUE(Database!$A507),"0")&amp;" HK Equity","EQUITY_OFFERINGS","array=t","startcol=2","endcol=2"),0)),"")</f>
        <v/>
      </c>
      <c r="C507" s="260">
        <f>IF($B507="","",IFERROR(BDP($B507&amp;" Action","CP036"),""))</f>
        <v/>
      </c>
      <c r="D507" s="261">
        <f>Database!S507</f>
        <v/>
      </c>
      <c r="E507" s="260">
        <f>IF($B507="","",IFERROR(BDP($B507&amp;" Action","CP037"),""))</f>
        <v/>
      </c>
      <c r="F507" s="261">
        <f>Database!T507</f>
        <v/>
      </c>
      <c r="G507" s="260">
        <f>IF($B507="","",IFERROR(BDP($B507&amp;" Action","GREENSHOE_FACILITY"),""))</f>
        <v/>
      </c>
      <c r="H507" s="260">
        <f>IF($B507="","",IFERROR(BDP($B507&amp;" Action","OFFERING_GREENSHOE_SHARES_EX"),""))</f>
        <v/>
      </c>
      <c r="I507" s="51">
        <f>Database!AE507</f>
        <v/>
      </c>
      <c r="J507" s="58">
        <f>IFERROR(BDP(TEXT(VALUE(Database!$A507),"0")&amp;" HK Equity","PE_RATIO"),"")</f>
        <v/>
      </c>
      <c r="K507" s="43">
        <f>IFERROR(BDP(TEXT(VALUE(Database!$A507),"0")&amp;" HK Equity","A/H_SHARE_CONVERSION"),"")</f>
        <v/>
      </c>
      <c r="L507" s="51">
        <f>IF(Database!BN507="","(none found)",Database!BN507)</f>
        <v/>
      </c>
      <c r="M507" s="53">
        <f>IFERROR(INDEX(BDH(TEXT(VALUE(Database!$A507),"0")&amp;" HK Equity","CUR_MKT_CAP",Database!$H507,Database!$H507),MATCH(Database!$H507,INDEX(BDH(TEXT(VALUE(Database!$A507),"0")&amp;" HK Equity","CUR_MKT_CAP",Database!$H507,Database!$H507),0,1),0),2),"run on terminal")</f>
        <v/>
      </c>
      <c r="N507" s="213">
        <f>Database!Q507</f>
        <v/>
      </c>
      <c r="O507" s="58">
        <f>IFERROR(INDEX(BDH(TEXT(VALUE(Database!$A507),"0")&amp;" HK Equity","PE_RATIO",Database!$H507,Database!$H507),MATCH(Database!$H507,INDEX(BDH(TEXT(VALUE(Database!$A507),"0")&amp;" HK Equity","PE_RATIO",Database!$H507,Database!$H507),0,1),0),2),"run on terminal")</f>
        <v/>
      </c>
      <c r="P507" s="251">
        <f>IF(Database!BH507="","(n/m or not derivable)",Database!BH507)</f>
        <v/>
      </c>
      <c r="Q507" s="58">
        <f>IF(Database!BN507="","",IFERROR(INDEX(BDH(LEFT(Database!BN507,FIND(".",Database!BN507)-1)&amp;" CH Equity","PE_RATIO",Database!$H507,Database!$H507),MATCH(Database!$H507,INDEX(BDH(LEFT(Database!BN507,FIND(".",Database!BN507)-1)&amp;" CH Equity","PE_RATIO",Database!$H507,Database!$H507),0,1),0),2),"run on terminal"))</f>
        <v/>
      </c>
      <c r="R507" s="58">
        <f>IF(Database!BN507="","",IFERROR(INDEX(BDH("HSAHP Index","PX_LAST",Database!$H507,Database!$H507),MATCH(Database!$H507,INDEX(BDH("HSAHP Index","PX_LAST",Database!$H507,Database!$H507),0,1),0),2),"run on terminal"))</f>
        <v/>
      </c>
      <c r="S507" s="58">
        <f>IFERROR(BDP(TEXT(VALUE(Database!$A507),"0")&amp;" HK Equity","PX_TO_SALES_RATIO"),"")</f>
        <v/>
      </c>
      <c r="T507" s="53">
        <f>IF(Database!BN507="","",IFERROR(BDP(LEFT(Database!BN507,FIND(".",Database!BN507)-1)&amp;" CH Equity","CUR_MKT_CAP")*BDP("CNYHKD Curncy","PX_LAST"),"run on terminal"))</f>
        <v/>
      </c>
    </row>
    <row r="508" ht="23" customHeight="1">
      <c r="A508" s="51">
        <f>Database!A508&amp;"  "&amp;Database!B508</f>
        <v/>
      </c>
      <c r="B508" s="43">
        <f>IFERROR(INDEX(BDS(TEXT(VALUE(Database!$A508),"0")&amp;" HK Equity","EQUITY_OFFERINGS","array=t","endcol=1"),MATCH("IPO",BDS(TEXT(VALUE(Database!$A508),"0")&amp;" HK Equity","EQUITY_OFFERINGS","array=t","startcol=2","endcol=2"),0)),"")</f>
        <v/>
      </c>
      <c r="C508" s="260">
        <f>IF($B508="","",IFERROR(BDP($B508&amp;" Action","CP036"),""))</f>
        <v/>
      </c>
      <c r="D508" s="261">
        <f>Database!S508</f>
        <v/>
      </c>
      <c r="E508" s="260">
        <f>IF($B508="","",IFERROR(BDP($B508&amp;" Action","CP037"),""))</f>
        <v/>
      </c>
      <c r="F508" s="261">
        <f>Database!T508</f>
        <v/>
      </c>
      <c r="G508" s="260">
        <f>IF($B508="","",IFERROR(BDP($B508&amp;" Action","GREENSHOE_FACILITY"),""))</f>
        <v/>
      </c>
      <c r="H508" s="260">
        <f>IF($B508="","",IFERROR(BDP($B508&amp;" Action","OFFERING_GREENSHOE_SHARES_EX"),""))</f>
        <v/>
      </c>
      <c r="I508" s="51">
        <f>Database!AE508</f>
        <v/>
      </c>
      <c r="J508" s="58">
        <f>IFERROR(BDP(TEXT(VALUE(Database!$A508),"0")&amp;" HK Equity","PE_RATIO"),"")</f>
        <v/>
      </c>
      <c r="K508" s="43">
        <f>IFERROR(BDP(TEXT(VALUE(Database!$A508),"0")&amp;" HK Equity","A/H_SHARE_CONVERSION"),"")</f>
        <v/>
      </c>
      <c r="L508" s="51">
        <f>IF(Database!BN508="","(none found)",Database!BN508)</f>
        <v/>
      </c>
      <c r="M508" s="53">
        <f>IFERROR(INDEX(BDH(TEXT(VALUE(Database!$A508),"0")&amp;" HK Equity","CUR_MKT_CAP",Database!$H508,Database!$H508),MATCH(Database!$H508,INDEX(BDH(TEXT(VALUE(Database!$A508),"0")&amp;" HK Equity","CUR_MKT_CAP",Database!$H508,Database!$H508),0,1),0),2),"run on terminal")</f>
        <v/>
      </c>
      <c r="N508" s="213">
        <f>Database!Q508</f>
        <v/>
      </c>
      <c r="O508" s="58">
        <f>IFERROR(INDEX(BDH(TEXT(VALUE(Database!$A508),"0")&amp;" HK Equity","PE_RATIO",Database!$H508,Database!$H508),MATCH(Database!$H508,INDEX(BDH(TEXT(VALUE(Database!$A508),"0")&amp;" HK Equity","PE_RATIO",Database!$H508,Database!$H508),0,1),0),2),"run on terminal")</f>
        <v/>
      </c>
      <c r="P508" s="251">
        <f>IF(Database!BH508="","(n/m or not derivable)",Database!BH508)</f>
        <v/>
      </c>
      <c r="Q508" s="58">
        <f>IF(Database!BN508="","",IFERROR(INDEX(BDH(LEFT(Database!BN508,FIND(".",Database!BN508)-1)&amp;" CH Equity","PE_RATIO",Database!$H508,Database!$H508),MATCH(Database!$H508,INDEX(BDH(LEFT(Database!BN508,FIND(".",Database!BN508)-1)&amp;" CH Equity","PE_RATIO",Database!$H508,Database!$H508),0,1),0),2),"run on terminal"))</f>
        <v/>
      </c>
      <c r="R508" s="58">
        <f>IF(Database!BN508="","",IFERROR(INDEX(BDH("HSAHP Index","PX_LAST",Database!$H508,Database!$H508),MATCH(Database!$H508,INDEX(BDH("HSAHP Index","PX_LAST",Database!$H508,Database!$H508),0,1),0),2),"run on terminal"))</f>
        <v/>
      </c>
      <c r="S508" s="58">
        <f>IFERROR(BDP(TEXT(VALUE(Database!$A508),"0")&amp;" HK Equity","PX_TO_SALES_RATIO"),"")</f>
        <v/>
      </c>
      <c r="T508" s="53">
        <f>IF(Database!BN508="","",IFERROR(BDP(LEFT(Database!BN508,FIND(".",Database!BN508)-1)&amp;" CH Equity","CUR_MKT_CAP")*BDP("CNYHKD Curncy","PX_LAST"),"run on terminal"))</f>
        <v/>
      </c>
    </row>
    <row r="509" ht="23" customHeight="1">
      <c r="A509" s="51">
        <f>Database!A509&amp;"  "&amp;Database!B509</f>
        <v/>
      </c>
      <c r="B509" s="43">
        <f>IFERROR(INDEX(BDS(TEXT(VALUE(Database!$A509),"0")&amp;" HK Equity","EQUITY_OFFERINGS","array=t","endcol=1"),MATCH("IPO",BDS(TEXT(VALUE(Database!$A509),"0")&amp;" HK Equity","EQUITY_OFFERINGS","array=t","startcol=2","endcol=2"),0)),"")</f>
        <v/>
      </c>
      <c r="C509" s="260">
        <f>IF($B509="","",IFERROR(BDP($B509&amp;" Action","CP036"),""))</f>
        <v/>
      </c>
      <c r="D509" s="261">
        <f>Database!S509</f>
        <v/>
      </c>
      <c r="E509" s="260">
        <f>IF($B509="","",IFERROR(BDP($B509&amp;" Action","CP037"),""))</f>
        <v/>
      </c>
      <c r="F509" s="261">
        <f>Database!T509</f>
        <v/>
      </c>
      <c r="G509" s="260">
        <f>IF($B509="","",IFERROR(BDP($B509&amp;" Action","GREENSHOE_FACILITY"),""))</f>
        <v/>
      </c>
      <c r="H509" s="260">
        <f>IF($B509="","",IFERROR(BDP($B509&amp;" Action","OFFERING_GREENSHOE_SHARES_EX"),""))</f>
        <v/>
      </c>
      <c r="I509" s="51">
        <f>Database!AE509</f>
        <v/>
      </c>
      <c r="J509" s="58">
        <f>IFERROR(BDP(TEXT(VALUE(Database!$A509),"0")&amp;" HK Equity","PE_RATIO"),"")</f>
        <v/>
      </c>
      <c r="K509" s="43">
        <f>IFERROR(BDP(TEXT(VALUE(Database!$A509),"0")&amp;" HK Equity","A/H_SHARE_CONVERSION"),"")</f>
        <v/>
      </c>
      <c r="L509" s="51">
        <f>IF(Database!BN509="","(none found)",Database!BN509)</f>
        <v/>
      </c>
      <c r="M509" s="53">
        <f>IFERROR(INDEX(BDH(TEXT(VALUE(Database!$A509),"0")&amp;" HK Equity","CUR_MKT_CAP",Database!$H509,Database!$H509),MATCH(Database!$H509,INDEX(BDH(TEXT(VALUE(Database!$A509),"0")&amp;" HK Equity","CUR_MKT_CAP",Database!$H509,Database!$H509),0,1),0),2),"run on terminal")</f>
        <v/>
      </c>
      <c r="N509" s="213">
        <f>Database!Q509</f>
        <v/>
      </c>
      <c r="O509" s="58">
        <f>IFERROR(INDEX(BDH(TEXT(VALUE(Database!$A509),"0")&amp;" HK Equity","PE_RATIO",Database!$H509,Database!$H509),MATCH(Database!$H509,INDEX(BDH(TEXT(VALUE(Database!$A509),"0")&amp;" HK Equity","PE_RATIO",Database!$H509,Database!$H509),0,1),0),2),"run on terminal")</f>
        <v/>
      </c>
      <c r="P509" s="251">
        <f>IF(Database!BH509="","(n/m or not derivable)",Database!BH509)</f>
        <v/>
      </c>
      <c r="Q509" s="58">
        <f>IF(Database!BN509="","",IFERROR(INDEX(BDH(LEFT(Database!BN509,FIND(".",Database!BN509)-1)&amp;" CH Equity","PE_RATIO",Database!$H509,Database!$H509),MATCH(Database!$H509,INDEX(BDH(LEFT(Database!BN509,FIND(".",Database!BN509)-1)&amp;" CH Equity","PE_RATIO",Database!$H509,Database!$H509),0,1),0),2),"run on terminal"))</f>
        <v/>
      </c>
      <c r="R509" s="58">
        <f>IF(Database!BN509="","",IFERROR(INDEX(BDH("HSAHP Index","PX_LAST",Database!$H509,Database!$H509),MATCH(Database!$H509,INDEX(BDH("HSAHP Index","PX_LAST",Database!$H509,Database!$H509),0,1),0),2),"run on terminal"))</f>
        <v/>
      </c>
      <c r="S509" s="58">
        <f>IFERROR(BDP(TEXT(VALUE(Database!$A509),"0")&amp;" HK Equity","PX_TO_SALES_RATIO"),"")</f>
        <v/>
      </c>
      <c r="T509" s="53">
        <f>IF(Database!BN509="","",IFERROR(BDP(LEFT(Database!BN509,FIND(".",Database!BN509)-1)&amp;" CH Equity","CUR_MKT_CAP")*BDP("CNYHKD Curncy","PX_LAST"),"run on terminal"))</f>
        <v/>
      </c>
    </row>
    <row r="510" ht="23" customHeight="1">
      <c r="A510" s="51">
        <f>Database!A510&amp;"  "&amp;Database!B510</f>
        <v/>
      </c>
      <c r="B510" s="43">
        <f>IFERROR(INDEX(BDS(TEXT(VALUE(Database!$A510),"0")&amp;" HK Equity","EQUITY_OFFERINGS","array=t","endcol=1"),MATCH("IPO",BDS(TEXT(VALUE(Database!$A510),"0")&amp;" HK Equity","EQUITY_OFFERINGS","array=t","startcol=2","endcol=2"),0)),"")</f>
        <v/>
      </c>
      <c r="C510" s="260">
        <f>IF($B510="","",IFERROR(BDP($B510&amp;" Action","CP036"),""))</f>
        <v/>
      </c>
      <c r="D510" s="261">
        <f>Database!S510</f>
        <v/>
      </c>
      <c r="E510" s="260">
        <f>IF($B510="","",IFERROR(BDP($B510&amp;" Action","CP037"),""))</f>
        <v/>
      </c>
      <c r="F510" s="261">
        <f>Database!T510</f>
        <v/>
      </c>
      <c r="G510" s="260">
        <f>IF($B510="","",IFERROR(BDP($B510&amp;" Action","GREENSHOE_FACILITY"),""))</f>
        <v/>
      </c>
      <c r="H510" s="260">
        <f>IF($B510="","",IFERROR(BDP($B510&amp;" Action","OFFERING_GREENSHOE_SHARES_EX"),""))</f>
        <v/>
      </c>
      <c r="I510" s="51">
        <f>Database!AE510</f>
        <v/>
      </c>
      <c r="J510" s="58">
        <f>IFERROR(BDP(TEXT(VALUE(Database!$A510),"0")&amp;" HK Equity","PE_RATIO"),"")</f>
        <v/>
      </c>
      <c r="K510" s="43">
        <f>IFERROR(BDP(TEXT(VALUE(Database!$A510),"0")&amp;" HK Equity","A/H_SHARE_CONVERSION"),"")</f>
        <v/>
      </c>
      <c r="L510" s="51">
        <f>IF(Database!BN510="","(none found)",Database!BN510)</f>
        <v/>
      </c>
      <c r="M510" s="53">
        <f>IFERROR(INDEX(BDH(TEXT(VALUE(Database!$A510),"0")&amp;" HK Equity","CUR_MKT_CAP",Database!$H510,Database!$H510),MATCH(Database!$H510,INDEX(BDH(TEXT(VALUE(Database!$A510),"0")&amp;" HK Equity","CUR_MKT_CAP",Database!$H510,Database!$H510),0,1),0),2),"run on terminal")</f>
        <v/>
      </c>
      <c r="N510" s="213">
        <f>Database!Q510</f>
        <v/>
      </c>
      <c r="O510" s="58">
        <f>IFERROR(INDEX(BDH(TEXT(VALUE(Database!$A510),"0")&amp;" HK Equity","PE_RATIO",Database!$H510,Database!$H510),MATCH(Database!$H510,INDEX(BDH(TEXT(VALUE(Database!$A510),"0")&amp;" HK Equity","PE_RATIO",Database!$H510,Database!$H510),0,1),0),2),"run on terminal")</f>
        <v/>
      </c>
      <c r="P510" s="251">
        <f>IF(Database!BH510="","(n/m or not derivable)",Database!BH510)</f>
        <v/>
      </c>
      <c r="Q510" s="58">
        <f>IF(Database!BN510="","",IFERROR(INDEX(BDH(LEFT(Database!BN510,FIND(".",Database!BN510)-1)&amp;" CH Equity","PE_RATIO",Database!$H510,Database!$H510),MATCH(Database!$H510,INDEX(BDH(LEFT(Database!BN510,FIND(".",Database!BN510)-1)&amp;" CH Equity","PE_RATIO",Database!$H510,Database!$H510),0,1),0),2),"run on terminal"))</f>
        <v/>
      </c>
      <c r="R510" s="58">
        <f>IF(Database!BN510="","",IFERROR(INDEX(BDH("HSAHP Index","PX_LAST",Database!$H510,Database!$H510),MATCH(Database!$H510,INDEX(BDH("HSAHP Index","PX_LAST",Database!$H510,Database!$H510),0,1),0),2),"run on terminal"))</f>
        <v/>
      </c>
      <c r="S510" s="58">
        <f>IFERROR(BDP(TEXT(VALUE(Database!$A510),"0")&amp;" HK Equity","PX_TO_SALES_RATIO"),"")</f>
        <v/>
      </c>
      <c r="T510" s="53">
        <f>IF(Database!BN510="","",IFERROR(BDP(LEFT(Database!BN510,FIND(".",Database!BN510)-1)&amp;" CH Equity","CUR_MKT_CAP")*BDP("CNYHKD Curncy","PX_LAST"),"run on terminal"))</f>
        <v/>
      </c>
    </row>
    <row r="511" ht="23" customHeight="1">
      <c r="A511" s="51">
        <f>Database!A511&amp;"  "&amp;Database!B511</f>
        <v/>
      </c>
      <c r="B511" s="43">
        <f>IFERROR(INDEX(BDS(TEXT(VALUE(Database!$A511),"0")&amp;" HK Equity","EQUITY_OFFERINGS","array=t","endcol=1"),MATCH("IPO",BDS(TEXT(VALUE(Database!$A511),"0")&amp;" HK Equity","EQUITY_OFFERINGS","array=t","startcol=2","endcol=2"),0)),"")</f>
        <v/>
      </c>
      <c r="C511" s="260">
        <f>IF($B511="","",IFERROR(BDP($B511&amp;" Action","CP036"),""))</f>
        <v/>
      </c>
      <c r="D511" s="261">
        <f>Database!S511</f>
        <v/>
      </c>
      <c r="E511" s="260">
        <f>IF($B511="","",IFERROR(BDP($B511&amp;" Action","CP037"),""))</f>
        <v/>
      </c>
      <c r="F511" s="261">
        <f>Database!T511</f>
        <v/>
      </c>
      <c r="G511" s="260">
        <f>IF($B511="","",IFERROR(BDP($B511&amp;" Action","GREENSHOE_FACILITY"),""))</f>
        <v/>
      </c>
      <c r="H511" s="260">
        <f>IF($B511="","",IFERROR(BDP($B511&amp;" Action","OFFERING_GREENSHOE_SHARES_EX"),""))</f>
        <v/>
      </c>
      <c r="I511" s="51">
        <f>Database!AE511</f>
        <v/>
      </c>
      <c r="J511" s="58">
        <f>IFERROR(BDP(TEXT(VALUE(Database!$A511),"0")&amp;" HK Equity","PE_RATIO"),"")</f>
        <v/>
      </c>
      <c r="K511" s="43">
        <f>IFERROR(BDP(TEXT(VALUE(Database!$A511),"0")&amp;" HK Equity","A/H_SHARE_CONVERSION"),"")</f>
        <v/>
      </c>
      <c r="L511" s="51">
        <f>IF(Database!BN511="","(none found)",Database!BN511)</f>
        <v/>
      </c>
      <c r="M511" s="53">
        <f>IFERROR(INDEX(BDH(TEXT(VALUE(Database!$A511),"0")&amp;" HK Equity","CUR_MKT_CAP",Database!$H511,Database!$H511),MATCH(Database!$H511,INDEX(BDH(TEXT(VALUE(Database!$A511),"0")&amp;" HK Equity","CUR_MKT_CAP",Database!$H511,Database!$H511),0,1),0),2),"run on terminal")</f>
        <v/>
      </c>
      <c r="N511" s="213">
        <f>Database!Q511</f>
        <v/>
      </c>
      <c r="O511" s="58">
        <f>IFERROR(INDEX(BDH(TEXT(VALUE(Database!$A511),"0")&amp;" HK Equity","PE_RATIO",Database!$H511,Database!$H511),MATCH(Database!$H511,INDEX(BDH(TEXT(VALUE(Database!$A511),"0")&amp;" HK Equity","PE_RATIO",Database!$H511,Database!$H511),0,1),0),2),"run on terminal")</f>
        <v/>
      </c>
      <c r="P511" s="251">
        <f>IF(Database!BH511="","(n/m or not derivable)",Database!BH511)</f>
        <v/>
      </c>
      <c r="Q511" s="58">
        <f>IF(Database!BN511="","",IFERROR(INDEX(BDH(LEFT(Database!BN511,FIND(".",Database!BN511)-1)&amp;" CH Equity","PE_RATIO",Database!$H511,Database!$H511),MATCH(Database!$H511,INDEX(BDH(LEFT(Database!BN511,FIND(".",Database!BN511)-1)&amp;" CH Equity","PE_RATIO",Database!$H511,Database!$H511),0,1),0),2),"run on terminal"))</f>
        <v/>
      </c>
      <c r="R511" s="58">
        <f>IF(Database!BN511="","",IFERROR(INDEX(BDH("HSAHP Index","PX_LAST",Database!$H511,Database!$H511),MATCH(Database!$H511,INDEX(BDH("HSAHP Index","PX_LAST",Database!$H511,Database!$H511),0,1),0),2),"run on terminal"))</f>
        <v/>
      </c>
      <c r="S511" s="58">
        <f>IFERROR(BDP(TEXT(VALUE(Database!$A511),"0")&amp;" HK Equity","PX_TO_SALES_RATIO"),"")</f>
        <v/>
      </c>
      <c r="T511" s="53">
        <f>IF(Database!BN511="","",IFERROR(BDP(LEFT(Database!BN511,FIND(".",Database!BN511)-1)&amp;" CH Equity","CUR_MKT_CAP")*BDP("CNYHKD Curncy","PX_LAST"),"run on terminal"))</f>
        <v/>
      </c>
    </row>
    <row r="512" ht="23" customHeight="1">
      <c r="A512" s="51">
        <f>Database!A512&amp;"  "&amp;Database!B512</f>
        <v/>
      </c>
      <c r="B512" s="43">
        <f>IFERROR(INDEX(BDS(TEXT(VALUE(Database!$A512),"0")&amp;" HK Equity","EQUITY_OFFERINGS","array=t","endcol=1"),MATCH("IPO",BDS(TEXT(VALUE(Database!$A512),"0")&amp;" HK Equity","EQUITY_OFFERINGS","array=t","startcol=2","endcol=2"),0)),"")</f>
        <v/>
      </c>
      <c r="C512" s="260">
        <f>IF($B512="","",IFERROR(BDP($B512&amp;" Action","CP036"),""))</f>
        <v/>
      </c>
      <c r="D512" s="261">
        <f>Database!S512</f>
        <v/>
      </c>
      <c r="E512" s="260">
        <f>IF($B512="","",IFERROR(BDP($B512&amp;" Action","CP037"),""))</f>
        <v/>
      </c>
      <c r="F512" s="261">
        <f>Database!T512</f>
        <v/>
      </c>
      <c r="G512" s="260">
        <f>IF($B512="","",IFERROR(BDP($B512&amp;" Action","GREENSHOE_FACILITY"),""))</f>
        <v/>
      </c>
      <c r="H512" s="260">
        <f>IF($B512="","",IFERROR(BDP($B512&amp;" Action","OFFERING_GREENSHOE_SHARES_EX"),""))</f>
        <v/>
      </c>
      <c r="I512" s="51">
        <f>Database!AE512</f>
        <v/>
      </c>
      <c r="J512" s="58">
        <f>IFERROR(BDP(TEXT(VALUE(Database!$A512),"0")&amp;" HK Equity","PE_RATIO"),"")</f>
        <v/>
      </c>
      <c r="K512" s="43">
        <f>IFERROR(BDP(TEXT(VALUE(Database!$A512),"0")&amp;" HK Equity","A/H_SHARE_CONVERSION"),"")</f>
        <v/>
      </c>
      <c r="L512" s="51">
        <f>IF(Database!BN512="","(none found)",Database!BN512)</f>
        <v/>
      </c>
      <c r="M512" s="53">
        <f>IFERROR(INDEX(BDH(TEXT(VALUE(Database!$A512),"0")&amp;" HK Equity","CUR_MKT_CAP",Database!$H512,Database!$H512),MATCH(Database!$H512,INDEX(BDH(TEXT(VALUE(Database!$A512),"0")&amp;" HK Equity","CUR_MKT_CAP",Database!$H512,Database!$H512),0,1),0),2),"run on terminal")</f>
        <v/>
      </c>
      <c r="N512" s="213">
        <f>Database!Q512</f>
        <v/>
      </c>
      <c r="O512" s="58">
        <f>IFERROR(INDEX(BDH(TEXT(VALUE(Database!$A512),"0")&amp;" HK Equity","PE_RATIO",Database!$H512,Database!$H512),MATCH(Database!$H512,INDEX(BDH(TEXT(VALUE(Database!$A512),"0")&amp;" HK Equity","PE_RATIO",Database!$H512,Database!$H512),0,1),0),2),"run on terminal")</f>
        <v/>
      </c>
      <c r="P512" s="251">
        <f>IF(Database!BH512="","(n/m or not derivable)",Database!BH512)</f>
        <v/>
      </c>
      <c r="Q512" s="58">
        <f>IF(Database!BN512="","",IFERROR(INDEX(BDH(LEFT(Database!BN512,FIND(".",Database!BN512)-1)&amp;" CH Equity","PE_RATIO",Database!$H512,Database!$H512),MATCH(Database!$H512,INDEX(BDH(LEFT(Database!BN512,FIND(".",Database!BN512)-1)&amp;" CH Equity","PE_RATIO",Database!$H512,Database!$H512),0,1),0),2),"run on terminal"))</f>
        <v/>
      </c>
      <c r="R512" s="58">
        <f>IF(Database!BN512="","",IFERROR(INDEX(BDH("HSAHP Index","PX_LAST",Database!$H512,Database!$H512),MATCH(Database!$H512,INDEX(BDH("HSAHP Index","PX_LAST",Database!$H512,Database!$H512),0,1),0),2),"run on terminal"))</f>
        <v/>
      </c>
      <c r="S512" s="58">
        <f>IFERROR(BDP(TEXT(VALUE(Database!$A512),"0")&amp;" HK Equity","PX_TO_SALES_RATIO"),"")</f>
        <v/>
      </c>
      <c r="T512" s="53">
        <f>IF(Database!BN512="","",IFERROR(BDP(LEFT(Database!BN512,FIND(".",Database!BN512)-1)&amp;" CH Equity","CUR_MKT_CAP")*BDP("CNYHKD Curncy","PX_LAST"),"run on terminal"))</f>
        <v/>
      </c>
    </row>
    <row r="513" ht="23" customHeight="1">
      <c r="A513" s="51">
        <f>Database!A513&amp;"  "&amp;Database!B513</f>
        <v/>
      </c>
      <c r="B513" s="43">
        <f>IFERROR(INDEX(BDS(TEXT(VALUE(Database!$A513),"0")&amp;" HK Equity","EQUITY_OFFERINGS","array=t","endcol=1"),MATCH("IPO",BDS(TEXT(VALUE(Database!$A513),"0")&amp;" HK Equity","EQUITY_OFFERINGS","array=t","startcol=2","endcol=2"),0)),"")</f>
        <v/>
      </c>
      <c r="C513" s="260">
        <f>IF($B513="","",IFERROR(BDP($B513&amp;" Action","CP036"),""))</f>
        <v/>
      </c>
      <c r="D513" s="261">
        <f>Database!S513</f>
        <v/>
      </c>
      <c r="E513" s="260">
        <f>IF($B513="","",IFERROR(BDP($B513&amp;" Action","CP037"),""))</f>
        <v/>
      </c>
      <c r="F513" s="261">
        <f>Database!T513</f>
        <v/>
      </c>
      <c r="G513" s="260">
        <f>IF($B513="","",IFERROR(BDP($B513&amp;" Action","GREENSHOE_FACILITY"),""))</f>
        <v/>
      </c>
      <c r="H513" s="260">
        <f>IF($B513="","",IFERROR(BDP($B513&amp;" Action","OFFERING_GREENSHOE_SHARES_EX"),""))</f>
        <v/>
      </c>
      <c r="I513" s="51">
        <f>Database!AE513</f>
        <v/>
      </c>
      <c r="J513" s="58">
        <f>IFERROR(BDP(TEXT(VALUE(Database!$A513),"0")&amp;" HK Equity","PE_RATIO"),"")</f>
        <v/>
      </c>
      <c r="K513" s="43">
        <f>IFERROR(BDP(TEXT(VALUE(Database!$A513),"0")&amp;" HK Equity","A/H_SHARE_CONVERSION"),"")</f>
        <v/>
      </c>
      <c r="L513" s="51">
        <f>IF(Database!BN513="","(none found)",Database!BN513)</f>
        <v/>
      </c>
      <c r="M513" s="53">
        <f>IFERROR(INDEX(BDH(TEXT(VALUE(Database!$A513),"0")&amp;" HK Equity","CUR_MKT_CAP",Database!$H513,Database!$H513),MATCH(Database!$H513,INDEX(BDH(TEXT(VALUE(Database!$A513),"0")&amp;" HK Equity","CUR_MKT_CAP",Database!$H513,Database!$H513),0,1),0),2),"run on terminal")</f>
        <v/>
      </c>
      <c r="N513" s="213">
        <f>Database!Q513</f>
        <v/>
      </c>
      <c r="O513" s="58">
        <f>IFERROR(INDEX(BDH(TEXT(VALUE(Database!$A513),"0")&amp;" HK Equity","PE_RATIO",Database!$H513,Database!$H513),MATCH(Database!$H513,INDEX(BDH(TEXT(VALUE(Database!$A513),"0")&amp;" HK Equity","PE_RATIO",Database!$H513,Database!$H513),0,1),0),2),"run on terminal")</f>
        <v/>
      </c>
      <c r="P513" s="251">
        <f>IF(Database!BH513="","(n/m or not derivable)",Database!BH513)</f>
        <v/>
      </c>
      <c r="Q513" s="58">
        <f>IF(Database!BN513="","",IFERROR(INDEX(BDH(LEFT(Database!BN513,FIND(".",Database!BN513)-1)&amp;" CH Equity","PE_RATIO",Database!$H513,Database!$H513),MATCH(Database!$H513,INDEX(BDH(LEFT(Database!BN513,FIND(".",Database!BN513)-1)&amp;" CH Equity","PE_RATIO",Database!$H513,Database!$H513),0,1),0),2),"run on terminal"))</f>
        <v/>
      </c>
      <c r="R513" s="58">
        <f>IF(Database!BN513="","",IFERROR(INDEX(BDH("HSAHP Index","PX_LAST",Database!$H513,Database!$H513),MATCH(Database!$H513,INDEX(BDH("HSAHP Index","PX_LAST",Database!$H513,Database!$H513),0,1),0),2),"run on terminal"))</f>
        <v/>
      </c>
      <c r="S513" s="58">
        <f>IFERROR(BDP(TEXT(VALUE(Database!$A513),"0")&amp;" HK Equity","PX_TO_SALES_RATIO"),"")</f>
        <v/>
      </c>
      <c r="T513" s="53">
        <f>IF(Database!BN513="","",IFERROR(BDP(LEFT(Database!BN513,FIND(".",Database!BN513)-1)&amp;" CH Equity","CUR_MKT_CAP")*BDP("CNYHKD Curncy","PX_LAST"),"run on terminal"))</f>
        <v/>
      </c>
    </row>
    <row r="514" ht="23" customHeight="1">
      <c r="A514" s="51">
        <f>Database!A514&amp;"  "&amp;Database!B514</f>
        <v/>
      </c>
      <c r="B514" s="43">
        <f>IFERROR(INDEX(BDS(TEXT(VALUE(Database!$A514),"0")&amp;" HK Equity","EQUITY_OFFERINGS","array=t","endcol=1"),MATCH("IPO",BDS(TEXT(VALUE(Database!$A514),"0")&amp;" HK Equity","EQUITY_OFFERINGS","array=t","startcol=2","endcol=2"),0)),"")</f>
        <v/>
      </c>
      <c r="C514" s="260">
        <f>IF($B514="","",IFERROR(BDP($B514&amp;" Action","CP036"),""))</f>
        <v/>
      </c>
      <c r="D514" s="261">
        <f>Database!S514</f>
        <v/>
      </c>
      <c r="E514" s="260">
        <f>IF($B514="","",IFERROR(BDP($B514&amp;" Action","CP037"),""))</f>
        <v/>
      </c>
      <c r="F514" s="261">
        <f>Database!T514</f>
        <v/>
      </c>
      <c r="G514" s="260">
        <f>IF($B514="","",IFERROR(BDP($B514&amp;" Action","GREENSHOE_FACILITY"),""))</f>
        <v/>
      </c>
      <c r="H514" s="260">
        <f>IF($B514="","",IFERROR(BDP($B514&amp;" Action","OFFERING_GREENSHOE_SHARES_EX"),""))</f>
        <v/>
      </c>
      <c r="I514" s="51">
        <f>Database!AE514</f>
        <v/>
      </c>
      <c r="J514" s="58">
        <f>IFERROR(BDP(TEXT(VALUE(Database!$A514),"0")&amp;" HK Equity","PE_RATIO"),"")</f>
        <v/>
      </c>
      <c r="K514" s="43">
        <f>IFERROR(BDP(TEXT(VALUE(Database!$A514),"0")&amp;" HK Equity","A/H_SHARE_CONVERSION"),"")</f>
        <v/>
      </c>
      <c r="L514" s="51">
        <f>IF(Database!BN514="","(none found)",Database!BN514)</f>
        <v/>
      </c>
      <c r="M514" s="53">
        <f>IFERROR(INDEX(BDH(TEXT(VALUE(Database!$A514),"0")&amp;" HK Equity","CUR_MKT_CAP",Database!$H514,Database!$H514),MATCH(Database!$H514,INDEX(BDH(TEXT(VALUE(Database!$A514),"0")&amp;" HK Equity","CUR_MKT_CAP",Database!$H514,Database!$H514),0,1),0),2),"run on terminal")</f>
        <v/>
      </c>
      <c r="N514" s="213">
        <f>Database!Q514</f>
        <v/>
      </c>
      <c r="O514" s="58">
        <f>IFERROR(INDEX(BDH(TEXT(VALUE(Database!$A514),"0")&amp;" HK Equity","PE_RATIO",Database!$H514,Database!$H514),MATCH(Database!$H514,INDEX(BDH(TEXT(VALUE(Database!$A514),"0")&amp;" HK Equity","PE_RATIO",Database!$H514,Database!$H514),0,1),0),2),"run on terminal")</f>
        <v/>
      </c>
      <c r="P514" s="251">
        <f>IF(Database!BH514="","(n/m or not derivable)",Database!BH514)</f>
        <v/>
      </c>
      <c r="Q514" s="58">
        <f>IF(Database!BN514="","",IFERROR(INDEX(BDH(LEFT(Database!BN514,FIND(".",Database!BN514)-1)&amp;" CH Equity","PE_RATIO",Database!$H514,Database!$H514),MATCH(Database!$H514,INDEX(BDH(LEFT(Database!BN514,FIND(".",Database!BN514)-1)&amp;" CH Equity","PE_RATIO",Database!$H514,Database!$H514),0,1),0),2),"run on terminal"))</f>
        <v/>
      </c>
      <c r="R514" s="58">
        <f>IF(Database!BN514="","",IFERROR(INDEX(BDH("HSAHP Index","PX_LAST",Database!$H514,Database!$H514),MATCH(Database!$H514,INDEX(BDH("HSAHP Index","PX_LAST",Database!$H514,Database!$H514),0,1),0),2),"run on terminal"))</f>
        <v/>
      </c>
      <c r="S514" s="58">
        <f>IFERROR(BDP(TEXT(VALUE(Database!$A514),"0")&amp;" HK Equity","PX_TO_SALES_RATIO"),"")</f>
        <v/>
      </c>
      <c r="T514" s="53">
        <f>IF(Database!BN514="","",IFERROR(BDP(LEFT(Database!BN514,FIND(".",Database!BN514)-1)&amp;" CH Equity","CUR_MKT_CAP")*BDP("CNYHKD Curncy","PX_LAST"),"run on terminal"))</f>
        <v/>
      </c>
    </row>
    <row r="515" ht="23" customHeight="1">
      <c r="A515" s="51">
        <f>Database!A515&amp;"  "&amp;Database!B515</f>
        <v/>
      </c>
      <c r="B515" s="43">
        <f>IFERROR(INDEX(BDS(TEXT(VALUE(Database!$A515),"0")&amp;" HK Equity","EQUITY_OFFERINGS","array=t","endcol=1"),MATCH("IPO",BDS(TEXT(VALUE(Database!$A515),"0")&amp;" HK Equity","EQUITY_OFFERINGS","array=t","startcol=2","endcol=2"),0)),"")</f>
        <v/>
      </c>
      <c r="C515" s="260">
        <f>IF($B515="","",IFERROR(BDP($B515&amp;" Action","CP036"),""))</f>
        <v/>
      </c>
      <c r="D515" s="261">
        <f>Database!S515</f>
        <v/>
      </c>
      <c r="E515" s="260">
        <f>IF($B515="","",IFERROR(BDP($B515&amp;" Action","CP037"),""))</f>
        <v/>
      </c>
      <c r="F515" s="261">
        <f>Database!T515</f>
        <v/>
      </c>
      <c r="G515" s="260">
        <f>IF($B515="","",IFERROR(BDP($B515&amp;" Action","GREENSHOE_FACILITY"),""))</f>
        <v/>
      </c>
      <c r="H515" s="260">
        <f>IF($B515="","",IFERROR(BDP($B515&amp;" Action","OFFERING_GREENSHOE_SHARES_EX"),""))</f>
        <v/>
      </c>
      <c r="I515" s="51">
        <f>Database!AE515</f>
        <v/>
      </c>
      <c r="J515" s="58">
        <f>IFERROR(BDP(TEXT(VALUE(Database!$A515),"0")&amp;" HK Equity","PE_RATIO"),"")</f>
        <v/>
      </c>
      <c r="K515" s="43">
        <f>IFERROR(BDP(TEXT(VALUE(Database!$A515),"0")&amp;" HK Equity","A/H_SHARE_CONVERSION"),"")</f>
        <v/>
      </c>
      <c r="L515" s="51">
        <f>IF(Database!BN515="","(none found)",Database!BN515)</f>
        <v/>
      </c>
      <c r="M515" s="53">
        <f>IFERROR(INDEX(BDH(TEXT(VALUE(Database!$A515),"0")&amp;" HK Equity","CUR_MKT_CAP",Database!$H515,Database!$H515),MATCH(Database!$H515,INDEX(BDH(TEXT(VALUE(Database!$A515),"0")&amp;" HK Equity","CUR_MKT_CAP",Database!$H515,Database!$H515),0,1),0),2),"run on terminal")</f>
        <v/>
      </c>
      <c r="N515" s="213">
        <f>Database!Q515</f>
        <v/>
      </c>
      <c r="O515" s="58">
        <f>IFERROR(INDEX(BDH(TEXT(VALUE(Database!$A515),"0")&amp;" HK Equity","PE_RATIO",Database!$H515,Database!$H515),MATCH(Database!$H515,INDEX(BDH(TEXT(VALUE(Database!$A515),"0")&amp;" HK Equity","PE_RATIO",Database!$H515,Database!$H515),0,1),0),2),"run on terminal")</f>
        <v/>
      </c>
      <c r="P515" s="251">
        <f>IF(Database!BH515="","(n/m or not derivable)",Database!BH515)</f>
        <v/>
      </c>
      <c r="Q515" s="58">
        <f>IF(Database!BN515="","",IFERROR(INDEX(BDH(LEFT(Database!BN515,FIND(".",Database!BN515)-1)&amp;" CH Equity","PE_RATIO",Database!$H515,Database!$H515),MATCH(Database!$H515,INDEX(BDH(LEFT(Database!BN515,FIND(".",Database!BN515)-1)&amp;" CH Equity","PE_RATIO",Database!$H515,Database!$H515),0,1),0),2),"run on terminal"))</f>
        <v/>
      </c>
      <c r="R515" s="58">
        <f>IF(Database!BN515="","",IFERROR(INDEX(BDH("HSAHP Index","PX_LAST",Database!$H515,Database!$H515),MATCH(Database!$H515,INDEX(BDH("HSAHP Index","PX_LAST",Database!$H515,Database!$H515),0,1),0),2),"run on terminal"))</f>
        <v/>
      </c>
      <c r="S515" s="58">
        <f>IFERROR(BDP(TEXT(VALUE(Database!$A515),"0")&amp;" HK Equity","PX_TO_SALES_RATIO"),"")</f>
        <v/>
      </c>
      <c r="T515" s="53">
        <f>IF(Database!BN515="","",IFERROR(BDP(LEFT(Database!BN515,FIND(".",Database!BN515)-1)&amp;" CH Equity","CUR_MKT_CAP")*BDP("CNYHKD Curncy","PX_LAST"),"run on terminal"))</f>
        <v/>
      </c>
    </row>
    <row r="516" ht="23" customHeight="1">
      <c r="A516" s="51">
        <f>Database!A516&amp;"  "&amp;Database!B516</f>
        <v/>
      </c>
      <c r="B516" s="43">
        <f>IFERROR(INDEX(BDS(TEXT(VALUE(Database!$A516),"0")&amp;" HK Equity","EQUITY_OFFERINGS","array=t","endcol=1"),MATCH("IPO",BDS(TEXT(VALUE(Database!$A516),"0")&amp;" HK Equity","EQUITY_OFFERINGS","array=t","startcol=2","endcol=2"),0)),"")</f>
        <v/>
      </c>
      <c r="C516" s="260">
        <f>IF($B516="","",IFERROR(BDP($B516&amp;" Action","CP036"),""))</f>
        <v/>
      </c>
      <c r="D516" s="261">
        <f>Database!S516</f>
        <v/>
      </c>
      <c r="E516" s="260">
        <f>IF($B516="","",IFERROR(BDP($B516&amp;" Action","CP037"),""))</f>
        <v/>
      </c>
      <c r="F516" s="261">
        <f>Database!T516</f>
        <v/>
      </c>
      <c r="G516" s="260">
        <f>IF($B516="","",IFERROR(BDP($B516&amp;" Action","GREENSHOE_FACILITY"),""))</f>
        <v/>
      </c>
      <c r="H516" s="260">
        <f>IF($B516="","",IFERROR(BDP($B516&amp;" Action","OFFERING_GREENSHOE_SHARES_EX"),""))</f>
        <v/>
      </c>
      <c r="I516" s="51">
        <f>Database!AE516</f>
        <v/>
      </c>
      <c r="J516" s="58">
        <f>IFERROR(BDP(TEXT(VALUE(Database!$A516),"0")&amp;" HK Equity","PE_RATIO"),"")</f>
        <v/>
      </c>
      <c r="K516" s="43">
        <f>IFERROR(BDP(TEXT(VALUE(Database!$A516),"0")&amp;" HK Equity","A/H_SHARE_CONVERSION"),"")</f>
        <v/>
      </c>
      <c r="L516" s="51">
        <f>IF(Database!BN516="","(none found)",Database!BN516)</f>
        <v/>
      </c>
      <c r="M516" s="53">
        <f>IFERROR(INDEX(BDH(TEXT(VALUE(Database!$A516),"0")&amp;" HK Equity","CUR_MKT_CAP",Database!$H516,Database!$H516),MATCH(Database!$H516,INDEX(BDH(TEXT(VALUE(Database!$A516),"0")&amp;" HK Equity","CUR_MKT_CAP",Database!$H516,Database!$H516),0,1),0),2),"run on terminal")</f>
        <v/>
      </c>
      <c r="N516" s="213">
        <f>Database!Q516</f>
        <v/>
      </c>
      <c r="O516" s="58">
        <f>IFERROR(INDEX(BDH(TEXT(VALUE(Database!$A516),"0")&amp;" HK Equity","PE_RATIO",Database!$H516,Database!$H516),MATCH(Database!$H516,INDEX(BDH(TEXT(VALUE(Database!$A516),"0")&amp;" HK Equity","PE_RATIO",Database!$H516,Database!$H516),0,1),0),2),"run on terminal")</f>
        <v/>
      </c>
      <c r="P516" s="251">
        <f>IF(Database!BH516="","(n/m or not derivable)",Database!BH516)</f>
        <v/>
      </c>
      <c r="Q516" s="58">
        <f>IF(Database!BN516="","",IFERROR(INDEX(BDH(LEFT(Database!BN516,FIND(".",Database!BN516)-1)&amp;" CH Equity","PE_RATIO",Database!$H516,Database!$H516),MATCH(Database!$H516,INDEX(BDH(LEFT(Database!BN516,FIND(".",Database!BN516)-1)&amp;" CH Equity","PE_RATIO",Database!$H516,Database!$H516),0,1),0),2),"run on terminal"))</f>
        <v/>
      </c>
      <c r="R516" s="58">
        <f>IF(Database!BN516="","",IFERROR(INDEX(BDH("HSAHP Index","PX_LAST",Database!$H516,Database!$H516),MATCH(Database!$H516,INDEX(BDH("HSAHP Index","PX_LAST",Database!$H516,Database!$H516),0,1),0),2),"run on terminal"))</f>
        <v/>
      </c>
      <c r="S516" s="58">
        <f>IFERROR(BDP(TEXT(VALUE(Database!$A516),"0")&amp;" HK Equity","PX_TO_SALES_RATIO"),"")</f>
        <v/>
      </c>
      <c r="T516" s="53">
        <f>IF(Database!BN516="","",IFERROR(BDP(LEFT(Database!BN516,FIND(".",Database!BN516)-1)&amp;" CH Equity","CUR_MKT_CAP")*BDP("CNYHKD Curncy","PX_LAST"),"run on terminal"))</f>
        <v/>
      </c>
    </row>
    <row r="517" ht="23" customHeight="1">
      <c r="A517" s="51">
        <f>Database!A517&amp;"  "&amp;Database!B517</f>
        <v/>
      </c>
      <c r="B517" s="43">
        <f>IFERROR(INDEX(BDS(TEXT(VALUE(Database!$A517),"0")&amp;" HK Equity","EQUITY_OFFERINGS","array=t","endcol=1"),MATCH("IPO",BDS(TEXT(VALUE(Database!$A517),"0")&amp;" HK Equity","EQUITY_OFFERINGS","array=t","startcol=2","endcol=2"),0)),"")</f>
        <v/>
      </c>
      <c r="C517" s="260">
        <f>IF($B517="","",IFERROR(BDP($B517&amp;" Action","CP036"),""))</f>
        <v/>
      </c>
      <c r="D517" s="261">
        <f>Database!S517</f>
        <v/>
      </c>
      <c r="E517" s="260">
        <f>IF($B517="","",IFERROR(BDP($B517&amp;" Action","CP037"),""))</f>
        <v/>
      </c>
      <c r="F517" s="261">
        <f>Database!T517</f>
        <v/>
      </c>
      <c r="G517" s="260">
        <f>IF($B517="","",IFERROR(BDP($B517&amp;" Action","GREENSHOE_FACILITY"),""))</f>
        <v/>
      </c>
      <c r="H517" s="260">
        <f>IF($B517="","",IFERROR(BDP($B517&amp;" Action","OFFERING_GREENSHOE_SHARES_EX"),""))</f>
        <v/>
      </c>
      <c r="I517" s="51">
        <f>Database!AE517</f>
        <v/>
      </c>
      <c r="J517" s="58">
        <f>IFERROR(BDP(TEXT(VALUE(Database!$A517),"0")&amp;" HK Equity","PE_RATIO"),"")</f>
        <v/>
      </c>
      <c r="K517" s="43">
        <f>IFERROR(BDP(TEXT(VALUE(Database!$A517),"0")&amp;" HK Equity","A/H_SHARE_CONVERSION"),"")</f>
        <v/>
      </c>
      <c r="L517" s="51">
        <f>IF(Database!BN517="","(none found)",Database!BN517)</f>
        <v/>
      </c>
      <c r="M517" s="53">
        <f>IFERROR(INDEX(BDH(TEXT(VALUE(Database!$A517),"0")&amp;" HK Equity","CUR_MKT_CAP",Database!$H517,Database!$H517),MATCH(Database!$H517,INDEX(BDH(TEXT(VALUE(Database!$A517),"0")&amp;" HK Equity","CUR_MKT_CAP",Database!$H517,Database!$H517),0,1),0),2),"run on terminal")</f>
        <v/>
      </c>
      <c r="N517" s="213">
        <f>Database!Q517</f>
        <v/>
      </c>
      <c r="O517" s="58">
        <f>IFERROR(INDEX(BDH(TEXT(VALUE(Database!$A517),"0")&amp;" HK Equity","PE_RATIO",Database!$H517,Database!$H517),MATCH(Database!$H517,INDEX(BDH(TEXT(VALUE(Database!$A517),"0")&amp;" HK Equity","PE_RATIO",Database!$H517,Database!$H517),0,1),0),2),"run on terminal")</f>
        <v/>
      </c>
      <c r="P517" s="251">
        <f>IF(Database!BH517="","(n/m or not derivable)",Database!BH517)</f>
        <v/>
      </c>
      <c r="Q517" s="58">
        <f>IF(Database!BN517="","",IFERROR(INDEX(BDH(LEFT(Database!BN517,FIND(".",Database!BN517)-1)&amp;" CH Equity","PE_RATIO",Database!$H517,Database!$H517),MATCH(Database!$H517,INDEX(BDH(LEFT(Database!BN517,FIND(".",Database!BN517)-1)&amp;" CH Equity","PE_RATIO",Database!$H517,Database!$H517),0,1),0),2),"run on terminal"))</f>
        <v/>
      </c>
      <c r="R517" s="58">
        <f>IF(Database!BN517="","",IFERROR(INDEX(BDH("HSAHP Index","PX_LAST",Database!$H517,Database!$H517),MATCH(Database!$H517,INDEX(BDH("HSAHP Index","PX_LAST",Database!$H517,Database!$H517),0,1),0),2),"run on terminal"))</f>
        <v/>
      </c>
      <c r="S517" s="58">
        <f>IFERROR(BDP(TEXT(VALUE(Database!$A517),"0")&amp;" HK Equity","PX_TO_SALES_RATIO"),"")</f>
        <v/>
      </c>
      <c r="T517" s="53">
        <f>IF(Database!BN517="","",IFERROR(BDP(LEFT(Database!BN517,FIND(".",Database!BN517)-1)&amp;" CH Equity","CUR_MKT_CAP")*BDP("CNYHKD Curncy","PX_LAST"),"run on terminal"))</f>
        <v/>
      </c>
    </row>
    <row r="518" ht="23" customHeight="1">
      <c r="A518" s="51">
        <f>Database!A518&amp;"  "&amp;Database!B518</f>
        <v/>
      </c>
      <c r="B518" s="43">
        <f>IFERROR(INDEX(BDS(TEXT(VALUE(Database!$A518),"0")&amp;" HK Equity","EQUITY_OFFERINGS","array=t","endcol=1"),MATCH("IPO",BDS(TEXT(VALUE(Database!$A518),"0")&amp;" HK Equity","EQUITY_OFFERINGS","array=t","startcol=2","endcol=2"),0)),"")</f>
        <v/>
      </c>
      <c r="C518" s="260">
        <f>IF($B518="","",IFERROR(BDP($B518&amp;" Action","CP036"),""))</f>
        <v/>
      </c>
      <c r="D518" s="261">
        <f>Database!S518</f>
        <v/>
      </c>
      <c r="E518" s="260">
        <f>IF($B518="","",IFERROR(BDP($B518&amp;" Action","CP037"),""))</f>
        <v/>
      </c>
      <c r="F518" s="261">
        <f>Database!T518</f>
        <v/>
      </c>
      <c r="G518" s="260">
        <f>IF($B518="","",IFERROR(BDP($B518&amp;" Action","GREENSHOE_FACILITY"),""))</f>
        <v/>
      </c>
      <c r="H518" s="260">
        <f>IF($B518="","",IFERROR(BDP($B518&amp;" Action","OFFERING_GREENSHOE_SHARES_EX"),""))</f>
        <v/>
      </c>
      <c r="I518" s="51">
        <f>Database!AE518</f>
        <v/>
      </c>
      <c r="J518" s="58">
        <f>IFERROR(BDP(TEXT(VALUE(Database!$A518),"0")&amp;" HK Equity","PE_RATIO"),"")</f>
        <v/>
      </c>
      <c r="K518" s="43">
        <f>IFERROR(BDP(TEXT(VALUE(Database!$A518),"0")&amp;" HK Equity","A/H_SHARE_CONVERSION"),"")</f>
        <v/>
      </c>
      <c r="L518" s="51">
        <f>IF(Database!BN518="","(none found)",Database!BN518)</f>
        <v/>
      </c>
      <c r="M518" s="53">
        <f>IFERROR(INDEX(BDH(TEXT(VALUE(Database!$A518),"0")&amp;" HK Equity","CUR_MKT_CAP",Database!$H518,Database!$H518),MATCH(Database!$H518,INDEX(BDH(TEXT(VALUE(Database!$A518),"0")&amp;" HK Equity","CUR_MKT_CAP",Database!$H518,Database!$H518),0,1),0),2),"run on terminal")</f>
        <v/>
      </c>
      <c r="N518" s="213">
        <f>Database!Q518</f>
        <v/>
      </c>
      <c r="O518" s="58">
        <f>IFERROR(INDEX(BDH(TEXT(VALUE(Database!$A518),"0")&amp;" HK Equity","PE_RATIO",Database!$H518,Database!$H518),MATCH(Database!$H518,INDEX(BDH(TEXT(VALUE(Database!$A518),"0")&amp;" HK Equity","PE_RATIO",Database!$H518,Database!$H518),0,1),0),2),"run on terminal")</f>
        <v/>
      </c>
      <c r="P518" s="251">
        <f>IF(Database!BH518="","(n/m or not derivable)",Database!BH518)</f>
        <v/>
      </c>
      <c r="Q518" s="58">
        <f>IF(Database!BN518="","",IFERROR(INDEX(BDH(LEFT(Database!BN518,FIND(".",Database!BN518)-1)&amp;" CH Equity","PE_RATIO",Database!$H518,Database!$H518),MATCH(Database!$H518,INDEX(BDH(LEFT(Database!BN518,FIND(".",Database!BN518)-1)&amp;" CH Equity","PE_RATIO",Database!$H518,Database!$H518),0,1),0),2),"run on terminal"))</f>
        <v/>
      </c>
      <c r="R518" s="58">
        <f>IF(Database!BN518="","",IFERROR(INDEX(BDH("HSAHP Index","PX_LAST",Database!$H518,Database!$H518),MATCH(Database!$H518,INDEX(BDH("HSAHP Index","PX_LAST",Database!$H518,Database!$H518),0,1),0),2),"run on terminal"))</f>
        <v/>
      </c>
      <c r="S518" s="58">
        <f>IFERROR(BDP(TEXT(VALUE(Database!$A518),"0")&amp;" HK Equity","PX_TO_SALES_RATIO"),"")</f>
        <v/>
      </c>
      <c r="T518" s="53">
        <f>IF(Database!BN518="","",IFERROR(BDP(LEFT(Database!BN518,FIND(".",Database!BN518)-1)&amp;" CH Equity","CUR_MKT_CAP")*BDP("CNYHKD Curncy","PX_LAST"),"run on terminal"))</f>
        <v/>
      </c>
    </row>
    <row r="519" ht="23" customHeight="1">
      <c r="A519" s="51">
        <f>Database!A519&amp;"  "&amp;Database!B519</f>
        <v/>
      </c>
      <c r="B519" s="43">
        <f>IFERROR(INDEX(BDS(TEXT(VALUE(Database!$A519),"0")&amp;" HK Equity","EQUITY_OFFERINGS","array=t","endcol=1"),MATCH("IPO",BDS(TEXT(VALUE(Database!$A519),"0")&amp;" HK Equity","EQUITY_OFFERINGS","array=t","startcol=2","endcol=2"),0)),"")</f>
        <v/>
      </c>
      <c r="C519" s="260">
        <f>IF($B519="","",IFERROR(BDP($B519&amp;" Action","CP036"),""))</f>
        <v/>
      </c>
      <c r="D519" s="261">
        <f>Database!S519</f>
        <v/>
      </c>
      <c r="E519" s="260">
        <f>IF($B519="","",IFERROR(BDP($B519&amp;" Action","CP037"),""))</f>
        <v/>
      </c>
      <c r="F519" s="261">
        <f>Database!T519</f>
        <v/>
      </c>
      <c r="G519" s="260">
        <f>IF($B519="","",IFERROR(BDP($B519&amp;" Action","GREENSHOE_FACILITY"),""))</f>
        <v/>
      </c>
      <c r="H519" s="260">
        <f>IF($B519="","",IFERROR(BDP($B519&amp;" Action","OFFERING_GREENSHOE_SHARES_EX"),""))</f>
        <v/>
      </c>
      <c r="I519" s="51">
        <f>Database!AE519</f>
        <v/>
      </c>
      <c r="J519" s="58">
        <f>IFERROR(BDP(TEXT(VALUE(Database!$A519),"0")&amp;" HK Equity","PE_RATIO"),"")</f>
        <v/>
      </c>
      <c r="K519" s="43">
        <f>IFERROR(BDP(TEXT(VALUE(Database!$A519),"0")&amp;" HK Equity","A/H_SHARE_CONVERSION"),"")</f>
        <v/>
      </c>
      <c r="L519" s="51">
        <f>IF(Database!BN519="","(none found)",Database!BN519)</f>
        <v/>
      </c>
      <c r="M519" s="53">
        <f>IFERROR(INDEX(BDH(TEXT(VALUE(Database!$A519),"0")&amp;" HK Equity","CUR_MKT_CAP",Database!$H519,Database!$H519),MATCH(Database!$H519,INDEX(BDH(TEXT(VALUE(Database!$A519),"0")&amp;" HK Equity","CUR_MKT_CAP",Database!$H519,Database!$H519),0,1),0),2),"run on terminal")</f>
        <v/>
      </c>
      <c r="N519" s="213">
        <f>Database!Q519</f>
        <v/>
      </c>
      <c r="O519" s="58">
        <f>IFERROR(INDEX(BDH(TEXT(VALUE(Database!$A519),"0")&amp;" HK Equity","PE_RATIO",Database!$H519,Database!$H519),MATCH(Database!$H519,INDEX(BDH(TEXT(VALUE(Database!$A519),"0")&amp;" HK Equity","PE_RATIO",Database!$H519,Database!$H519),0,1),0),2),"run on terminal")</f>
        <v/>
      </c>
      <c r="P519" s="251">
        <f>IF(Database!BH519="","(n/m or not derivable)",Database!BH519)</f>
        <v/>
      </c>
      <c r="Q519" s="58">
        <f>IF(Database!BN519="","",IFERROR(INDEX(BDH(LEFT(Database!BN519,FIND(".",Database!BN519)-1)&amp;" CH Equity","PE_RATIO",Database!$H519,Database!$H519),MATCH(Database!$H519,INDEX(BDH(LEFT(Database!BN519,FIND(".",Database!BN519)-1)&amp;" CH Equity","PE_RATIO",Database!$H519,Database!$H519),0,1),0),2),"run on terminal"))</f>
        <v/>
      </c>
      <c r="R519" s="58">
        <f>IF(Database!BN519="","",IFERROR(INDEX(BDH("HSAHP Index","PX_LAST",Database!$H519,Database!$H519),MATCH(Database!$H519,INDEX(BDH("HSAHP Index","PX_LAST",Database!$H519,Database!$H519),0,1),0),2),"run on terminal"))</f>
        <v/>
      </c>
      <c r="S519" s="58">
        <f>IFERROR(BDP(TEXT(VALUE(Database!$A519),"0")&amp;" HK Equity","PX_TO_SALES_RATIO"),"")</f>
        <v/>
      </c>
      <c r="T519" s="53">
        <f>IF(Database!BN519="","",IFERROR(BDP(LEFT(Database!BN519,FIND(".",Database!BN519)-1)&amp;" CH Equity","CUR_MKT_CAP")*BDP("CNYHKD Curncy","PX_LAST"),"run on terminal"))</f>
        <v/>
      </c>
    </row>
    <row r="520" ht="23" customHeight="1">
      <c r="A520" s="51">
        <f>Database!A520&amp;"  "&amp;Database!B520</f>
        <v/>
      </c>
      <c r="B520" s="43">
        <f>IFERROR(INDEX(BDS(TEXT(VALUE(Database!$A520),"0")&amp;" HK Equity","EQUITY_OFFERINGS","array=t","endcol=1"),MATCH("IPO",BDS(TEXT(VALUE(Database!$A520),"0")&amp;" HK Equity","EQUITY_OFFERINGS","array=t","startcol=2","endcol=2"),0)),"")</f>
        <v/>
      </c>
      <c r="C520" s="260">
        <f>IF($B520="","",IFERROR(BDP($B520&amp;" Action","CP036"),""))</f>
        <v/>
      </c>
      <c r="D520" s="261">
        <f>Database!S520</f>
        <v/>
      </c>
      <c r="E520" s="260">
        <f>IF($B520="","",IFERROR(BDP($B520&amp;" Action","CP037"),""))</f>
        <v/>
      </c>
      <c r="F520" s="261">
        <f>Database!T520</f>
        <v/>
      </c>
      <c r="G520" s="260">
        <f>IF($B520="","",IFERROR(BDP($B520&amp;" Action","GREENSHOE_FACILITY"),""))</f>
        <v/>
      </c>
      <c r="H520" s="260">
        <f>IF($B520="","",IFERROR(BDP($B520&amp;" Action","OFFERING_GREENSHOE_SHARES_EX"),""))</f>
        <v/>
      </c>
      <c r="I520" s="51">
        <f>Database!AE520</f>
        <v/>
      </c>
      <c r="J520" s="58">
        <f>IFERROR(BDP(TEXT(VALUE(Database!$A520),"0")&amp;" HK Equity","PE_RATIO"),"")</f>
        <v/>
      </c>
      <c r="K520" s="43">
        <f>IFERROR(BDP(TEXT(VALUE(Database!$A520),"0")&amp;" HK Equity","A/H_SHARE_CONVERSION"),"")</f>
        <v/>
      </c>
      <c r="L520" s="51">
        <f>IF(Database!BN520="","(none found)",Database!BN520)</f>
        <v/>
      </c>
      <c r="M520" s="53">
        <f>IFERROR(INDEX(BDH(TEXT(VALUE(Database!$A520),"0")&amp;" HK Equity","CUR_MKT_CAP",Database!$H520,Database!$H520),MATCH(Database!$H520,INDEX(BDH(TEXT(VALUE(Database!$A520),"0")&amp;" HK Equity","CUR_MKT_CAP",Database!$H520,Database!$H520),0,1),0),2),"run on terminal")</f>
        <v/>
      </c>
      <c r="N520" s="213">
        <f>Database!Q520</f>
        <v/>
      </c>
      <c r="O520" s="58">
        <f>IFERROR(INDEX(BDH(TEXT(VALUE(Database!$A520),"0")&amp;" HK Equity","PE_RATIO",Database!$H520,Database!$H520),MATCH(Database!$H520,INDEX(BDH(TEXT(VALUE(Database!$A520),"0")&amp;" HK Equity","PE_RATIO",Database!$H520,Database!$H520),0,1),0),2),"run on terminal")</f>
        <v/>
      </c>
      <c r="P520" s="251">
        <f>IF(Database!BH520="","(n/m or not derivable)",Database!BH520)</f>
        <v/>
      </c>
      <c r="Q520" s="58">
        <f>IF(Database!BN520="","",IFERROR(INDEX(BDH(LEFT(Database!BN520,FIND(".",Database!BN520)-1)&amp;" CH Equity","PE_RATIO",Database!$H520,Database!$H520),MATCH(Database!$H520,INDEX(BDH(LEFT(Database!BN520,FIND(".",Database!BN520)-1)&amp;" CH Equity","PE_RATIO",Database!$H520,Database!$H520),0,1),0),2),"run on terminal"))</f>
        <v/>
      </c>
      <c r="R520" s="58">
        <f>IF(Database!BN520="","",IFERROR(INDEX(BDH("HSAHP Index","PX_LAST",Database!$H520,Database!$H520),MATCH(Database!$H520,INDEX(BDH("HSAHP Index","PX_LAST",Database!$H520,Database!$H520),0,1),0),2),"run on terminal"))</f>
        <v/>
      </c>
      <c r="S520" s="58">
        <f>IFERROR(BDP(TEXT(VALUE(Database!$A520),"0")&amp;" HK Equity","PX_TO_SALES_RATIO"),"")</f>
        <v/>
      </c>
      <c r="T520" s="53">
        <f>IF(Database!BN520="","",IFERROR(BDP(LEFT(Database!BN520,FIND(".",Database!BN520)-1)&amp;" CH Equity","CUR_MKT_CAP")*BDP("CNYHKD Curncy","PX_LAST"),"run on terminal"))</f>
        <v/>
      </c>
    </row>
    <row r="521" ht="23" customHeight="1">
      <c r="A521" s="51">
        <f>Database!A521&amp;"  "&amp;Database!B521</f>
        <v/>
      </c>
      <c r="B521" s="43">
        <f>IFERROR(INDEX(BDS(TEXT(VALUE(Database!$A521),"0")&amp;" HK Equity","EQUITY_OFFERINGS","array=t","endcol=1"),MATCH("IPO",BDS(TEXT(VALUE(Database!$A521),"0")&amp;" HK Equity","EQUITY_OFFERINGS","array=t","startcol=2","endcol=2"),0)),"")</f>
        <v/>
      </c>
      <c r="C521" s="260">
        <f>IF($B521="","",IFERROR(BDP($B521&amp;" Action","CP036"),""))</f>
        <v/>
      </c>
      <c r="D521" s="261">
        <f>Database!S521</f>
        <v/>
      </c>
      <c r="E521" s="260">
        <f>IF($B521="","",IFERROR(BDP($B521&amp;" Action","CP037"),""))</f>
        <v/>
      </c>
      <c r="F521" s="261">
        <f>Database!T521</f>
        <v/>
      </c>
      <c r="G521" s="260">
        <f>IF($B521="","",IFERROR(BDP($B521&amp;" Action","GREENSHOE_FACILITY"),""))</f>
        <v/>
      </c>
      <c r="H521" s="260">
        <f>IF($B521="","",IFERROR(BDP($B521&amp;" Action","OFFERING_GREENSHOE_SHARES_EX"),""))</f>
        <v/>
      </c>
      <c r="I521" s="51">
        <f>Database!AE521</f>
        <v/>
      </c>
      <c r="J521" s="58">
        <f>IFERROR(BDP(TEXT(VALUE(Database!$A521),"0")&amp;" HK Equity","PE_RATIO"),"")</f>
        <v/>
      </c>
      <c r="K521" s="43">
        <f>IFERROR(BDP(TEXT(VALUE(Database!$A521),"0")&amp;" HK Equity","A/H_SHARE_CONVERSION"),"")</f>
        <v/>
      </c>
      <c r="L521" s="51">
        <f>IF(Database!BN521="","(none found)",Database!BN521)</f>
        <v/>
      </c>
      <c r="M521" s="53">
        <f>IFERROR(INDEX(BDH(TEXT(VALUE(Database!$A521),"0")&amp;" HK Equity","CUR_MKT_CAP",Database!$H521,Database!$H521),MATCH(Database!$H521,INDEX(BDH(TEXT(VALUE(Database!$A521),"0")&amp;" HK Equity","CUR_MKT_CAP",Database!$H521,Database!$H521),0,1),0),2),"run on terminal")</f>
        <v/>
      </c>
      <c r="N521" s="213">
        <f>Database!Q521</f>
        <v/>
      </c>
      <c r="O521" s="58">
        <f>IFERROR(INDEX(BDH(TEXT(VALUE(Database!$A521),"0")&amp;" HK Equity","PE_RATIO",Database!$H521,Database!$H521),MATCH(Database!$H521,INDEX(BDH(TEXT(VALUE(Database!$A521),"0")&amp;" HK Equity","PE_RATIO",Database!$H521,Database!$H521),0,1),0),2),"run on terminal")</f>
        <v/>
      </c>
      <c r="P521" s="251">
        <f>IF(Database!BH521="","(n/m or not derivable)",Database!BH521)</f>
        <v/>
      </c>
      <c r="Q521" s="58">
        <f>IF(Database!BN521="","",IFERROR(INDEX(BDH(LEFT(Database!BN521,FIND(".",Database!BN521)-1)&amp;" CH Equity","PE_RATIO",Database!$H521,Database!$H521),MATCH(Database!$H521,INDEX(BDH(LEFT(Database!BN521,FIND(".",Database!BN521)-1)&amp;" CH Equity","PE_RATIO",Database!$H521,Database!$H521),0,1),0),2),"run on terminal"))</f>
        <v/>
      </c>
      <c r="R521" s="58">
        <f>IF(Database!BN521="","",IFERROR(INDEX(BDH("HSAHP Index","PX_LAST",Database!$H521,Database!$H521),MATCH(Database!$H521,INDEX(BDH("HSAHP Index","PX_LAST",Database!$H521,Database!$H521),0,1),0),2),"run on terminal"))</f>
        <v/>
      </c>
      <c r="S521" s="58">
        <f>IFERROR(BDP(TEXT(VALUE(Database!$A521),"0")&amp;" HK Equity","PX_TO_SALES_RATIO"),"")</f>
        <v/>
      </c>
      <c r="T521" s="53">
        <f>IF(Database!BN521="","",IFERROR(BDP(LEFT(Database!BN521,FIND(".",Database!BN521)-1)&amp;" CH Equity","CUR_MKT_CAP")*BDP("CNYHKD Curncy","PX_LAST"),"run on terminal"))</f>
        <v/>
      </c>
    </row>
    <row r="522" ht="23" customHeight="1">
      <c r="A522" s="51">
        <f>Database!A522&amp;"  "&amp;Database!B522</f>
        <v/>
      </c>
      <c r="B522" s="43">
        <f>IFERROR(INDEX(BDS(TEXT(VALUE(Database!$A522),"0")&amp;" HK Equity","EQUITY_OFFERINGS","array=t","endcol=1"),MATCH("IPO",BDS(TEXT(VALUE(Database!$A522),"0")&amp;" HK Equity","EQUITY_OFFERINGS","array=t","startcol=2","endcol=2"),0)),"")</f>
        <v/>
      </c>
      <c r="C522" s="260">
        <f>IF($B522="","",IFERROR(BDP($B522&amp;" Action","CP036"),""))</f>
        <v/>
      </c>
      <c r="D522" s="261">
        <f>Database!S522</f>
        <v/>
      </c>
      <c r="E522" s="260">
        <f>IF($B522="","",IFERROR(BDP($B522&amp;" Action","CP037"),""))</f>
        <v/>
      </c>
      <c r="F522" s="261">
        <f>Database!T522</f>
        <v/>
      </c>
      <c r="G522" s="260">
        <f>IF($B522="","",IFERROR(BDP($B522&amp;" Action","GREENSHOE_FACILITY"),""))</f>
        <v/>
      </c>
      <c r="H522" s="260">
        <f>IF($B522="","",IFERROR(BDP($B522&amp;" Action","OFFERING_GREENSHOE_SHARES_EX"),""))</f>
        <v/>
      </c>
      <c r="I522" s="51">
        <f>Database!AE522</f>
        <v/>
      </c>
      <c r="J522" s="58">
        <f>IFERROR(BDP(TEXT(VALUE(Database!$A522),"0")&amp;" HK Equity","PE_RATIO"),"")</f>
        <v/>
      </c>
      <c r="K522" s="43">
        <f>IFERROR(BDP(TEXT(VALUE(Database!$A522),"0")&amp;" HK Equity","A/H_SHARE_CONVERSION"),"")</f>
        <v/>
      </c>
      <c r="L522" s="51">
        <f>IF(Database!BN522="","(none found)",Database!BN522)</f>
        <v/>
      </c>
      <c r="M522" s="53">
        <f>IFERROR(INDEX(BDH(TEXT(VALUE(Database!$A522),"0")&amp;" HK Equity","CUR_MKT_CAP",Database!$H522,Database!$H522),MATCH(Database!$H522,INDEX(BDH(TEXT(VALUE(Database!$A522),"0")&amp;" HK Equity","CUR_MKT_CAP",Database!$H522,Database!$H522),0,1),0),2),"run on terminal")</f>
        <v/>
      </c>
      <c r="N522" s="213">
        <f>Database!Q522</f>
        <v/>
      </c>
      <c r="O522" s="58">
        <f>IFERROR(INDEX(BDH(TEXT(VALUE(Database!$A522),"0")&amp;" HK Equity","PE_RATIO",Database!$H522,Database!$H522),MATCH(Database!$H522,INDEX(BDH(TEXT(VALUE(Database!$A522),"0")&amp;" HK Equity","PE_RATIO",Database!$H522,Database!$H522),0,1),0),2),"run on terminal")</f>
        <v/>
      </c>
      <c r="P522" s="251">
        <f>IF(Database!BH522="","(n/m or not derivable)",Database!BH522)</f>
        <v/>
      </c>
      <c r="Q522" s="58">
        <f>IF(Database!BN522="","",IFERROR(INDEX(BDH(LEFT(Database!BN522,FIND(".",Database!BN522)-1)&amp;" CH Equity","PE_RATIO",Database!$H522,Database!$H522),MATCH(Database!$H522,INDEX(BDH(LEFT(Database!BN522,FIND(".",Database!BN522)-1)&amp;" CH Equity","PE_RATIO",Database!$H522,Database!$H522),0,1),0),2),"run on terminal"))</f>
        <v/>
      </c>
      <c r="R522" s="58">
        <f>IF(Database!BN522="","",IFERROR(INDEX(BDH("HSAHP Index","PX_LAST",Database!$H522,Database!$H522),MATCH(Database!$H522,INDEX(BDH("HSAHP Index","PX_LAST",Database!$H522,Database!$H522),0,1),0),2),"run on terminal"))</f>
        <v/>
      </c>
      <c r="S522" s="58">
        <f>IFERROR(BDP(TEXT(VALUE(Database!$A522),"0")&amp;" HK Equity","PX_TO_SALES_RATIO"),"")</f>
        <v/>
      </c>
      <c r="T522" s="53">
        <f>IF(Database!BN522="","",IFERROR(BDP(LEFT(Database!BN522,FIND(".",Database!BN522)-1)&amp;" CH Equity","CUR_MKT_CAP")*BDP("CNYHKD Curncy","PX_LAST"),"run on terminal"))</f>
        <v/>
      </c>
    </row>
    <row r="523" ht="23" customHeight="1">
      <c r="A523" s="51">
        <f>Database!A523&amp;"  "&amp;Database!B523</f>
        <v/>
      </c>
      <c r="B523" s="43">
        <f>IFERROR(INDEX(BDS(TEXT(VALUE(Database!$A523),"0")&amp;" HK Equity","EQUITY_OFFERINGS","array=t","endcol=1"),MATCH("IPO",BDS(TEXT(VALUE(Database!$A523),"0")&amp;" HK Equity","EQUITY_OFFERINGS","array=t","startcol=2","endcol=2"),0)),"")</f>
        <v/>
      </c>
      <c r="C523" s="260">
        <f>IF($B523="","",IFERROR(BDP($B523&amp;" Action","CP036"),""))</f>
        <v/>
      </c>
      <c r="D523" s="261">
        <f>Database!S523</f>
        <v/>
      </c>
      <c r="E523" s="260">
        <f>IF($B523="","",IFERROR(BDP($B523&amp;" Action","CP037"),""))</f>
        <v/>
      </c>
      <c r="F523" s="261">
        <f>Database!T523</f>
        <v/>
      </c>
      <c r="G523" s="260">
        <f>IF($B523="","",IFERROR(BDP($B523&amp;" Action","GREENSHOE_FACILITY"),""))</f>
        <v/>
      </c>
      <c r="H523" s="260">
        <f>IF($B523="","",IFERROR(BDP($B523&amp;" Action","OFFERING_GREENSHOE_SHARES_EX"),""))</f>
        <v/>
      </c>
      <c r="I523" s="51">
        <f>Database!AE523</f>
        <v/>
      </c>
      <c r="J523" s="58">
        <f>IFERROR(BDP(TEXT(VALUE(Database!$A523),"0")&amp;" HK Equity","PE_RATIO"),"")</f>
        <v/>
      </c>
      <c r="K523" s="43">
        <f>IFERROR(BDP(TEXT(VALUE(Database!$A523),"0")&amp;" HK Equity","A/H_SHARE_CONVERSION"),"")</f>
        <v/>
      </c>
      <c r="L523" s="51">
        <f>IF(Database!BN523="","(none found)",Database!BN523)</f>
        <v/>
      </c>
      <c r="M523" s="53">
        <f>IFERROR(INDEX(BDH(TEXT(VALUE(Database!$A523),"0")&amp;" HK Equity","CUR_MKT_CAP",Database!$H523,Database!$H523),MATCH(Database!$H523,INDEX(BDH(TEXT(VALUE(Database!$A523),"0")&amp;" HK Equity","CUR_MKT_CAP",Database!$H523,Database!$H523),0,1),0),2),"run on terminal")</f>
        <v/>
      </c>
      <c r="N523" s="213">
        <f>Database!Q523</f>
        <v/>
      </c>
      <c r="O523" s="58">
        <f>IFERROR(INDEX(BDH(TEXT(VALUE(Database!$A523),"0")&amp;" HK Equity","PE_RATIO",Database!$H523,Database!$H523),MATCH(Database!$H523,INDEX(BDH(TEXT(VALUE(Database!$A523),"0")&amp;" HK Equity","PE_RATIO",Database!$H523,Database!$H523),0,1),0),2),"run on terminal")</f>
        <v/>
      </c>
      <c r="P523" s="251">
        <f>IF(Database!BH523="","(n/m or not derivable)",Database!BH523)</f>
        <v/>
      </c>
      <c r="Q523" s="58">
        <f>IF(Database!BN523="","",IFERROR(INDEX(BDH(LEFT(Database!BN523,FIND(".",Database!BN523)-1)&amp;" CH Equity","PE_RATIO",Database!$H523,Database!$H523),MATCH(Database!$H523,INDEX(BDH(LEFT(Database!BN523,FIND(".",Database!BN523)-1)&amp;" CH Equity","PE_RATIO",Database!$H523,Database!$H523),0,1),0),2),"run on terminal"))</f>
        <v/>
      </c>
      <c r="R523" s="58">
        <f>IF(Database!BN523="","",IFERROR(INDEX(BDH("HSAHP Index","PX_LAST",Database!$H523,Database!$H523),MATCH(Database!$H523,INDEX(BDH("HSAHP Index","PX_LAST",Database!$H523,Database!$H523),0,1),0),2),"run on terminal"))</f>
        <v/>
      </c>
      <c r="S523" s="58">
        <f>IFERROR(BDP(TEXT(VALUE(Database!$A523),"0")&amp;" HK Equity","PX_TO_SALES_RATIO"),"")</f>
        <v/>
      </c>
      <c r="T523" s="53">
        <f>IF(Database!BN523="","",IFERROR(BDP(LEFT(Database!BN523,FIND(".",Database!BN523)-1)&amp;" CH Equity","CUR_MKT_CAP")*BDP("CNYHKD Curncy","PX_LAST"),"run on terminal"))</f>
        <v/>
      </c>
    </row>
    <row r="524" ht="23" customHeight="1">
      <c r="A524" s="51">
        <f>Database!A524&amp;"  "&amp;Database!B524</f>
        <v/>
      </c>
      <c r="B524" s="43">
        <f>IFERROR(INDEX(BDS(TEXT(VALUE(Database!$A524),"0")&amp;" HK Equity","EQUITY_OFFERINGS","array=t","endcol=1"),MATCH("IPO",BDS(TEXT(VALUE(Database!$A524),"0")&amp;" HK Equity","EQUITY_OFFERINGS","array=t","startcol=2","endcol=2"),0)),"")</f>
        <v/>
      </c>
      <c r="C524" s="260">
        <f>IF($B524="","",IFERROR(BDP($B524&amp;" Action","CP036"),""))</f>
        <v/>
      </c>
      <c r="D524" s="261">
        <f>Database!S524</f>
        <v/>
      </c>
      <c r="E524" s="260">
        <f>IF($B524="","",IFERROR(BDP($B524&amp;" Action","CP037"),""))</f>
        <v/>
      </c>
      <c r="F524" s="261">
        <f>Database!T524</f>
        <v/>
      </c>
      <c r="G524" s="260">
        <f>IF($B524="","",IFERROR(BDP($B524&amp;" Action","GREENSHOE_FACILITY"),""))</f>
        <v/>
      </c>
      <c r="H524" s="260">
        <f>IF($B524="","",IFERROR(BDP($B524&amp;" Action","OFFERING_GREENSHOE_SHARES_EX"),""))</f>
        <v/>
      </c>
      <c r="I524" s="51">
        <f>Database!AE524</f>
        <v/>
      </c>
      <c r="J524" s="58">
        <f>IFERROR(BDP(TEXT(VALUE(Database!$A524),"0")&amp;" HK Equity","PE_RATIO"),"")</f>
        <v/>
      </c>
      <c r="K524" s="43">
        <f>IFERROR(BDP(TEXT(VALUE(Database!$A524),"0")&amp;" HK Equity","A/H_SHARE_CONVERSION"),"")</f>
        <v/>
      </c>
      <c r="L524" s="51">
        <f>IF(Database!BN524="","(none found)",Database!BN524)</f>
        <v/>
      </c>
      <c r="M524" s="53">
        <f>IFERROR(INDEX(BDH(TEXT(VALUE(Database!$A524),"0")&amp;" HK Equity","CUR_MKT_CAP",Database!$H524,Database!$H524),MATCH(Database!$H524,INDEX(BDH(TEXT(VALUE(Database!$A524),"0")&amp;" HK Equity","CUR_MKT_CAP",Database!$H524,Database!$H524),0,1),0),2),"run on terminal")</f>
        <v/>
      </c>
      <c r="N524" s="213">
        <f>Database!Q524</f>
        <v/>
      </c>
      <c r="O524" s="58">
        <f>IFERROR(INDEX(BDH(TEXT(VALUE(Database!$A524),"0")&amp;" HK Equity","PE_RATIO",Database!$H524,Database!$H524),MATCH(Database!$H524,INDEX(BDH(TEXT(VALUE(Database!$A524),"0")&amp;" HK Equity","PE_RATIO",Database!$H524,Database!$H524),0,1),0),2),"run on terminal")</f>
        <v/>
      </c>
      <c r="P524" s="251">
        <f>IF(Database!BH524="","(n/m or not derivable)",Database!BH524)</f>
        <v/>
      </c>
      <c r="Q524" s="58">
        <f>IF(Database!BN524="","",IFERROR(INDEX(BDH(LEFT(Database!BN524,FIND(".",Database!BN524)-1)&amp;" CH Equity","PE_RATIO",Database!$H524,Database!$H524),MATCH(Database!$H524,INDEX(BDH(LEFT(Database!BN524,FIND(".",Database!BN524)-1)&amp;" CH Equity","PE_RATIO",Database!$H524,Database!$H524),0,1),0),2),"run on terminal"))</f>
        <v/>
      </c>
      <c r="R524" s="58">
        <f>IF(Database!BN524="","",IFERROR(INDEX(BDH("HSAHP Index","PX_LAST",Database!$H524,Database!$H524),MATCH(Database!$H524,INDEX(BDH("HSAHP Index","PX_LAST",Database!$H524,Database!$H524),0,1),0),2),"run on terminal"))</f>
        <v/>
      </c>
      <c r="S524" s="58">
        <f>IFERROR(BDP(TEXT(VALUE(Database!$A524),"0")&amp;" HK Equity","PX_TO_SALES_RATIO"),"")</f>
        <v/>
      </c>
      <c r="T524" s="53">
        <f>IF(Database!BN524="","",IFERROR(BDP(LEFT(Database!BN524,FIND(".",Database!BN524)-1)&amp;" CH Equity","CUR_MKT_CAP")*BDP("CNYHKD Curncy","PX_LAST"),"run on terminal"))</f>
        <v/>
      </c>
    </row>
    <row r="525" ht="23" customHeight="1">
      <c r="A525" s="51">
        <f>Database!A525&amp;"  "&amp;Database!B525</f>
        <v/>
      </c>
      <c r="B525" s="43">
        <f>IFERROR(INDEX(BDS(TEXT(VALUE(Database!$A525),"0")&amp;" HK Equity","EQUITY_OFFERINGS","array=t","endcol=1"),MATCH("IPO",BDS(TEXT(VALUE(Database!$A525),"0")&amp;" HK Equity","EQUITY_OFFERINGS","array=t","startcol=2","endcol=2"),0)),"")</f>
        <v/>
      </c>
      <c r="C525" s="260">
        <f>IF($B525="","",IFERROR(BDP($B525&amp;" Action","CP036"),""))</f>
        <v/>
      </c>
      <c r="D525" s="261">
        <f>Database!S525</f>
        <v/>
      </c>
      <c r="E525" s="260">
        <f>IF($B525="","",IFERROR(BDP($B525&amp;" Action","CP037"),""))</f>
        <v/>
      </c>
      <c r="F525" s="261">
        <f>Database!T525</f>
        <v/>
      </c>
      <c r="G525" s="260">
        <f>IF($B525="","",IFERROR(BDP($B525&amp;" Action","GREENSHOE_FACILITY"),""))</f>
        <v/>
      </c>
      <c r="H525" s="260">
        <f>IF($B525="","",IFERROR(BDP($B525&amp;" Action","OFFERING_GREENSHOE_SHARES_EX"),""))</f>
        <v/>
      </c>
      <c r="I525" s="51">
        <f>Database!AE525</f>
        <v/>
      </c>
      <c r="J525" s="58">
        <f>IFERROR(BDP(TEXT(VALUE(Database!$A525),"0")&amp;" HK Equity","PE_RATIO"),"")</f>
        <v/>
      </c>
      <c r="K525" s="43">
        <f>IFERROR(BDP(TEXT(VALUE(Database!$A525),"0")&amp;" HK Equity","A/H_SHARE_CONVERSION"),"")</f>
        <v/>
      </c>
      <c r="L525" s="51">
        <f>IF(Database!BN525="","(none found)",Database!BN525)</f>
        <v/>
      </c>
      <c r="M525" s="53">
        <f>IFERROR(INDEX(BDH(TEXT(VALUE(Database!$A525),"0")&amp;" HK Equity","CUR_MKT_CAP",Database!$H525,Database!$H525),MATCH(Database!$H525,INDEX(BDH(TEXT(VALUE(Database!$A525),"0")&amp;" HK Equity","CUR_MKT_CAP",Database!$H525,Database!$H525),0,1),0),2),"run on terminal")</f>
        <v/>
      </c>
      <c r="N525" s="213">
        <f>Database!Q525</f>
        <v/>
      </c>
      <c r="O525" s="58">
        <f>IFERROR(INDEX(BDH(TEXT(VALUE(Database!$A525),"0")&amp;" HK Equity","PE_RATIO",Database!$H525,Database!$H525),MATCH(Database!$H525,INDEX(BDH(TEXT(VALUE(Database!$A525),"0")&amp;" HK Equity","PE_RATIO",Database!$H525,Database!$H525),0,1),0),2),"run on terminal")</f>
        <v/>
      </c>
      <c r="P525" s="251">
        <f>IF(Database!BH525="","(n/m or not derivable)",Database!BH525)</f>
        <v/>
      </c>
      <c r="Q525" s="58">
        <f>IF(Database!BN525="","",IFERROR(INDEX(BDH(LEFT(Database!BN525,FIND(".",Database!BN525)-1)&amp;" CH Equity","PE_RATIO",Database!$H525,Database!$H525),MATCH(Database!$H525,INDEX(BDH(LEFT(Database!BN525,FIND(".",Database!BN525)-1)&amp;" CH Equity","PE_RATIO",Database!$H525,Database!$H525),0,1),0),2),"run on terminal"))</f>
        <v/>
      </c>
      <c r="R525" s="58">
        <f>IF(Database!BN525="","",IFERROR(INDEX(BDH("HSAHP Index","PX_LAST",Database!$H525,Database!$H525),MATCH(Database!$H525,INDEX(BDH("HSAHP Index","PX_LAST",Database!$H525,Database!$H525),0,1),0),2),"run on terminal"))</f>
        <v/>
      </c>
      <c r="S525" s="58">
        <f>IFERROR(BDP(TEXT(VALUE(Database!$A525),"0")&amp;" HK Equity","PX_TO_SALES_RATIO"),"")</f>
        <v/>
      </c>
      <c r="T525" s="53">
        <f>IF(Database!BN525="","",IFERROR(BDP(LEFT(Database!BN525,FIND(".",Database!BN525)-1)&amp;" CH Equity","CUR_MKT_CAP")*BDP("CNYHKD Curncy","PX_LAST"),"run on terminal"))</f>
        <v/>
      </c>
    </row>
    <row r="526" ht="23" customHeight="1">
      <c r="A526" s="51">
        <f>Database!A526&amp;"  "&amp;Database!B526</f>
        <v/>
      </c>
      <c r="B526" s="43">
        <f>IFERROR(INDEX(BDS(TEXT(VALUE(Database!$A526),"0")&amp;" HK Equity","EQUITY_OFFERINGS","array=t","endcol=1"),MATCH("IPO",BDS(TEXT(VALUE(Database!$A526),"0")&amp;" HK Equity","EQUITY_OFFERINGS","array=t","startcol=2","endcol=2"),0)),"")</f>
        <v/>
      </c>
      <c r="C526" s="260">
        <f>IF($B526="","",IFERROR(BDP($B526&amp;" Action","CP036"),""))</f>
        <v/>
      </c>
      <c r="D526" s="261">
        <f>Database!S526</f>
        <v/>
      </c>
      <c r="E526" s="260">
        <f>IF($B526="","",IFERROR(BDP($B526&amp;" Action","CP037"),""))</f>
        <v/>
      </c>
      <c r="F526" s="261">
        <f>Database!T526</f>
        <v/>
      </c>
      <c r="G526" s="260">
        <f>IF($B526="","",IFERROR(BDP($B526&amp;" Action","GREENSHOE_FACILITY"),""))</f>
        <v/>
      </c>
      <c r="H526" s="260">
        <f>IF($B526="","",IFERROR(BDP($B526&amp;" Action","OFFERING_GREENSHOE_SHARES_EX"),""))</f>
        <v/>
      </c>
      <c r="I526" s="51">
        <f>Database!AE526</f>
        <v/>
      </c>
      <c r="J526" s="58">
        <f>IFERROR(BDP(TEXT(VALUE(Database!$A526),"0")&amp;" HK Equity","PE_RATIO"),"")</f>
        <v/>
      </c>
      <c r="K526" s="43">
        <f>IFERROR(BDP(TEXT(VALUE(Database!$A526),"0")&amp;" HK Equity","A/H_SHARE_CONVERSION"),"")</f>
        <v/>
      </c>
      <c r="L526" s="51">
        <f>IF(Database!BN526="","(none found)",Database!BN526)</f>
        <v/>
      </c>
      <c r="M526" s="53">
        <f>IFERROR(INDEX(BDH(TEXT(VALUE(Database!$A526),"0")&amp;" HK Equity","CUR_MKT_CAP",Database!$H526,Database!$H526),MATCH(Database!$H526,INDEX(BDH(TEXT(VALUE(Database!$A526),"0")&amp;" HK Equity","CUR_MKT_CAP",Database!$H526,Database!$H526),0,1),0),2),"run on terminal")</f>
        <v/>
      </c>
      <c r="N526" s="213">
        <f>Database!Q526</f>
        <v/>
      </c>
      <c r="O526" s="58">
        <f>IFERROR(INDEX(BDH(TEXT(VALUE(Database!$A526),"0")&amp;" HK Equity","PE_RATIO",Database!$H526,Database!$H526),MATCH(Database!$H526,INDEX(BDH(TEXT(VALUE(Database!$A526),"0")&amp;" HK Equity","PE_RATIO",Database!$H526,Database!$H526),0,1),0),2),"run on terminal")</f>
        <v/>
      </c>
      <c r="P526" s="251">
        <f>IF(Database!BH526="","(n/m or not derivable)",Database!BH526)</f>
        <v/>
      </c>
      <c r="Q526" s="58">
        <f>IF(Database!BN526="","",IFERROR(INDEX(BDH(LEFT(Database!BN526,FIND(".",Database!BN526)-1)&amp;" CH Equity","PE_RATIO",Database!$H526,Database!$H526),MATCH(Database!$H526,INDEX(BDH(LEFT(Database!BN526,FIND(".",Database!BN526)-1)&amp;" CH Equity","PE_RATIO",Database!$H526,Database!$H526),0,1),0),2),"run on terminal"))</f>
        <v/>
      </c>
      <c r="R526" s="58">
        <f>IF(Database!BN526="","",IFERROR(INDEX(BDH("HSAHP Index","PX_LAST",Database!$H526,Database!$H526),MATCH(Database!$H526,INDEX(BDH("HSAHP Index","PX_LAST",Database!$H526,Database!$H526),0,1),0),2),"run on terminal"))</f>
        <v/>
      </c>
      <c r="S526" s="58">
        <f>IFERROR(BDP(TEXT(VALUE(Database!$A526),"0")&amp;" HK Equity","PX_TO_SALES_RATIO"),"")</f>
        <v/>
      </c>
      <c r="T526" s="53">
        <f>IF(Database!BN526="","",IFERROR(BDP(LEFT(Database!BN526,FIND(".",Database!BN526)-1)&amp;" CH Equity","CUR_MKT_CAP")*BDP("CNYHKD Curncy","PX_LAST"),"run on terminal"))</f>
        <v/>
      </c>
    </row>
    <row r="527" ht="23" customHeight="1">
      <c r="A527" s="51">
        <f>Database!A527&amp;"  "&amp;Database!B527</f>
        <v/>
      </c>
      <c r="B527" s="43">
        <f>IFERROR(INDEX(BDS(TEXT(VALUE(Database!$A527),"0")&amp;" HK Equity","EQUITY_OFFERINGS","array=t","endcol=1"),MATCH("IPO",BDS(TEXT(VALUE(Database!$A527),"0")&amp;" HK Equity","EQUITY_OFFERINGS","array=t","startcol=2","endcol=2"),0)),"")</f>
        <v/>
      </c>
      <c r="C527" s="260">
        <f>IF($B527="","",IFERROR(BDP($B527&amp;" Action","CP036"),""))</f>
        <v/>
      </c>
      <c r="D527" s="261">
        <f>Database!S527</f>
        <v/>
      </c>
      <c r="E527" s="260">
        <f>IF($B527="","",IFERROR(BDP($B527&amp;" Action","CP037"),""))</f>
        <v/>
      </c>
      <c r="F527" s="261">
        <f>Database!T527</f>
        <v/>
      </c>
      <c r="G527" s="260">
        <f>IF($B527="","",IFERROR(BDP($B527&amp;" Action","GREENSHOE_FACILITY"),""))</f>
        <v/>
      </c>
      <c r="H527" s="260">
        <f>IF($B527="","",IFERROR(BDP($B527&amp;" Action","OFFERING_GREENSHOE_SHARES_EX"),""))</f>
        <v/>
      </c>
      <c r="I527" s="51">
        <f>Database!AE527</f>
        <v/>
      </c>
      <c r="J527" s="58">
        <f>IFERROR(BDP(TEXT(VALUE(Database!$A527),"0")&amp;" HK Equity","PE_RATIO"),"")</f>
        <v/>
      </c>
      <c r="K527" s="43">
        <f>IFERROR(BDP(TEXT(VALUE(Database!$A527),"0")&amp;" HK Equity","A/H_SHARE_CONVERSION"),"")</f>
        <v/>
      </c>
      <c r="L527" s="51">
        <f>IF(Database!BN527="","(none found)",Database!BN527)</f>
        <v/>
      </c>
      <c r="M527" s="53">
        <f>IFERROR(INDEX(BDH(TEXT(VALUE(Database!$A527),"0")&amp;" HK Equity","CUR_MKT_CAP",Database!$H527,Database!$H527),MATCH(Database!$H527,INDEX(BDH(TEXT(VALUE(Database!$A527),"0")&amp;" HK Equity","CUR_MKT_CAP",Database!$H527,Database!$H527),0,1),0),2),"run on terminal")</f>
        <v/>
      </c>
      <c r="N527" s="213">
        <f>Database!Q527</f>
        <v/>
      </c>
      <c r="O527" s="58">
        <f>IFERROR(INDEX(BDH(TEXT(VALUE(Database!$A527),"0")&amp;" HK Equity","PE_RATIO",Database!$H527,Database!$H527),MATCH(Database!$H527,INDEX(BDH(TEXT(VALUE(Database!$A527),"0")&amp;" HK Equity","PE_RATIO",Database!$H527,Database!$H527),0,1),0),2),"run on terminal")</f>
        <v/>
      </c>
      <c r="P527" s="251">
        <f>IF(Database!BH527="","(n/m or not derivable)",Database!BH527)</f>
        <v/>
      </c>
      <c r="Q527" s="58">
        <f>IF(Database!BN527="","",IFERROR(INDEX(BDH(LEFT(Database!BN527,FIND(".",Database!BN527)-1)&amp;" CH Equity","PE_RATIO",Database!$H527,Database!$H527),MATCH(Database!$H527,INDEX(BDH(LEFT(Database!BN527,FIND(".",Database!BN527)-1)&amp;" CH Equity","PE_RATIO",Database!$H527,Database!$H527),0,1),0),2),"run on terminal"))</f>
        <v/>
      </c>
      <c r="R527" s="58">
        <f>IF(Database!BN527="","",IFERROR(INDEX(BDH("HSAHP Index","PX_LAST",Database!$H527,Database!$H527),MATCH(Database!$H527,INDEX(BDH("HSAHP Index","PX_LAST",Database!$H527,Database!$H527),0,1),0),2),"run on terminal"))</f>
        <v/>
      </c>
      <c r="S527" s="58">
        <f>IFERROR(BDP(TEXT(VALUE(Database!$A527),"0")&amp;" HK Equity","PX_TO_SALES_RATIO"),"")</f>
        <v/>
      </c>
      <c r="T527" s="53">
        <f>IF(Database!BN527="","",IFERROR(BDP(LEFT(Database!BN527,FIND(".",Database!BN527)-1)&amp;" CH Equity","CUR_MKT_CAP")*BDP("CNYHKD Curncy","PX_LAST"),"run on terminal"))</f>
        <v/>
      </c>
    </row>
    <row r="528" ht="23" customHeight="1">
      <c r="A528" s="51">
        <f>Database!A528&amp;"  "&amp;Database!B528</f>
        <v/>
      </c>
      <c r="B528" s="43">
        <f>IFERROR(INDEX(BDS(TEXT(VALUE(Database!$A528),"0")&amp;" HK Equity","EQUITY_OFFERINGS","array=t","endcol=1"),MATCH("IPO",BDS(TEXT(VALUE(Database!$A528),"0")&amp;" HK Equity","EQUITY_OFFERINGS","array=t","startcol=2","endcol=2"),0)),"")</f>
        <v/>
      </c>
      <c r="C528" s="260">
        <f>IF($B528="","",IFERROR(BDP($B528&amp;" Action","CP036"),""))</f>
        <v/>
      </c>
      <c r="D528" s="261">
        <f>Database!S528</f>
        <v/>
      </c>
      <c r="E528" s="260">
        <f>IF($B528="","",IFERROR(BDP($B528&amp;" Action","CP037"),""))</f>
        <v/>
      </c>
      <c r="F528" s="261">
        <f>Database!T528</f>
        <v/>
      </c>
      <c r="G528" s="260">
        <f>IF($B528="","",IFERROR(BDP($B528&amp;" Action","GREENSHOE_FACILITY"),""))</f>
        <v/>
      </c>
      <c r="H528" s="260">
        <f>IF($B528="","",IFERROR(BDP($B528&amp;" Action","OFFERING_GREENSHOE_SHARES_EX"),""))</f>
        <v/>
      </c>
      <c r="I528" s="51">
        <f>Database!AE528</f>
        <v/>
      </c>
      <c r="J528" s="58">
        <f>IFERROR(BDP(TEXT(VALUE(Database!$A528),"0")&amp;" HK Equity","PE_RATIO"),"")</f>
        <v/>
      </c>
      <c r="K528" s="43">
        <f>IFERROR(BDP(TEXT(VALUE(Database!$A528),"0")&amp;" HK Equity","A/H_SHARE_CONVERSION"),"")</f>
        <v/>
      </c>
      <c r="L528" s="51">
        <f>IF(Database!BN528="","(none found)",Database!BN528)</f>
        <v/>
      </c>
      <c r="M528" s="53">
        <f>IFERROR(INDEX(BDH(TEXT(VALUE(Database!$A528),"0")&amp;" HK Equity","CUR_MKT_CAP",Database!$H528,Database!$H528),MATCH(Database!$H528,INDEX(BDH(TEXT(VALUE(Database!$A528),"0")&amp;" HK Equity","CUR_MKT_CAP",Database!$H528,Database!$H528),0,1),0),2),"run on terminal")</f>
        <v/>
      </c>
      <c r="N528" s="213">
        <f>Database!Q528</f>
        <v/>
      </c>
      <c r="O528" s="58">
        <f>IFERROR(INDEX(BDH(TEXT(VALUE(Database!$A528),"0")&amp;" HK Equity","PE_RATIO",Database!$H528,Database!$H528),MATCH(Database!$H528,INDEX(BDH(TEXT(VALUE(Database!$A528),"0")&amp;" HK Equity","PE_RATIO",Database!$H528,Database!$H528),0,1),0),2),"run on terminal")</f>
        <v/>
      </c>
      <c r="P528" s="251">
        <f>IF(Database!BH528="","(n/m or not derivable)",Database!BH528)</f>
        <v/>
      </c>
      <c r="Q528" s="58">
        <f>IF(Database!BN528="","",IFERROR(INDEX(BDH(LEFT(Database!BN528,FIND(".",Database!BN528)-1)&amp;" CH Equity","PE_RATIO",Database!$H528,Database!$H528),MATCH(Database!$H528,INDEX(BDH(LEFT(Database!BN528,FIND(".",Database!BN528)-1)&amp;" CH Equity","PE_RATIO",Database!$H528,Database!$H528),0,1),0),2),"run on terminal"))</f>
        <v/>
      </c>
      <c r="R528" s="58">
        <f>IF(Database!BN528="","",IFERROR(INDEX(BDH("HSAHP Index","PX_LAST",Database!$H528,Database!$H528),MATCH(Database!$H528,INDEX(BDH("HSAHP Index","PX_LAST",Database!$H528,Database!$H528),0,1),0),2),"run on terminal"))</f>
        <v/>
      </c>
      <c r="S528" s="58">
        <f>IFERROR(BDP(TEXT(VALUE(Database!$A528),"0")&amp;" HK Equity","PX_TO_SALES_RATIO"),"")</f>
        <v/>
      </c>
      <c r="T528" s="53">
        <f>IF(Database!BN528="","",IFERROR(BDP(LEFT(Database!BN528,FIND(".",Database!BN528)-1)&amp;" CH Equity","CUR_MKT_CAP")*BDP("CNYHKD Curncy","PX_LAST"),"run on terminal"))</f>
        <v/>
      </c>
    </row>
    <row r="529" ht="23" customHeight="1"/>
    <row r="530" ht="23" customHeight="1">
      <c r="A530" s="105" t="inlineStr">
        <is>
          <t>Orange = Bloomberg and the scraped value differ by more than 25%.</t>
        </is>
      </c>
    </row>
  </sheetData>
  <mergeCells count="1">
    <mergeCell ref="A2:L2"/>
  </mergeCells>
  <conditionalFormatting sqref="C5:C528">
    <cfRule type="expression" priority="1" dxfId="3">
      <formula>AND(ISNUMBER(C5),ISNUMBER(D5),ABS(C5-D5)&gt;0.25*ABS(D5))</formula>
    </cfRule>
  </conditionalFormatting>
  <conditionalFormatting sqref="E5:E528">
    <cfRule type="expression" priority="2" dxfId="3">
      <formula>AND(ISNUMBER(E5),ISNUMBER(F5),ABS(E5-F5)&gt;0.25*ABS(F5))</formula>
    </cfRule>
  </conditionalFormatting>
  <conditionalFormatting sqref="M5:M528">
    <cfRule type="expression" priority="3" dxfId="3">
      <formula>AND(ISNUMBER(M5),ISNUMBER(N5),ABS(M5-N5)&gt;0.25*ABS(N5))</formula>
    </cfRule>
  </conditionalFormatting>
  <conditionalFormatting sqref="O5:O528">
    <cfRule type="expression" priority="4" dxfId="3">
      <formula>AND(ISNUMBER(O5),ISNUMBER(P5),ABS(O5-P5)&gt;0.25*ABS(P5))</formula>
    </cfRule>
  </conditionalFormatting>
  <printOptions horizontalCentered="1"/>
  <pageMargins left="0.75" right="0.75" top="1" bottom="1" header="0.5" footer="0.5"/>
  <pageSetup orientation="landscape" paperSize="8" fitToHeight="0" fitToWidth="1"/>
  <legacyDrawing xmlns:r="http://schemas.openxmlformats.org/officeDocument/2006/relationships" r:id="anysvml"/>
</worksheet>
</file>

<file path=xl/worksheets/sheet13.xml><?xml version="1.0" encoding="utf-8"?>
<worksheet xmlns="http://schemas.openxmlformats.org/spreadsheetml/2006/main">
  <sheetPr>
    <tabColor rgb="00BFBFBF"/>
    <outlinePr summaryBelow="1" summaryRight="1"/>
    <pageSetUpPr fitToPage="1"/>
  </sheetPr>
  <dimension ref="A1:H166"/>
  <sheetViews>
    <sheetView showGridLines="0" zoomScale="95" workbookViewId="0">
      <pane ySplit="4" topLeftCell="A5" activePane="bottomLeft" state="frozen"/>
      <selection pane="bottomLeft" activeCell="A1" sqref="A1"/>
    </sheetView>
  </sheetViews>
  <sheetFormatPr baseColWidth="8" defaultRowHeight="15"/>
  <cols>
    <col width="8" customWidth="1" min="1" max="1"/>
    <col width="24" customWidth="1" min="2" max="2"/>
    <col width="15" customWidth="1" min="3" max="3"/>
    <col width="15" customWidth="1" min="4" max="4"/>
    <col width="17" customWidth="1" min="5" max="5"/>
    <col width="17" customWidth="1" min="6" max="6"/>
    <col width="26" customWidth="1" min="7" max="7"/>
    <col width="78" customWidth="1" min="8" max="8"/>
  </cols>
  <sheetData>
    <row r="1" ht="30" customHeight="1">
      <c r="A1" s="35" t="inlineStr">
        <is>
          <t>VERIFY ON THE TERMINAL</t>
        </is>
      </c>
    </row>
    <row r="2" ht="34" customHeight="1">
      <c r="A2" s="36" t="inlineStr">
        <is>
          <t>Values the audits changed, each with a Bloomberg call beside it. Open on Bloomberg and Verdict reads MATCH or CHECK; off the terminal the cells read 'run on terminal'.</t>
        </is>
      </c>
    </row>
    <row r="3"/>
    <row r="4">
      <c r="A4" s="241" t="inlineStr">
        <is>
          <t>A. LISTING DATE AND DAY-1 CLOSE (93 deals whose stored date was the allotment day)</t>
        </is>
      </c>
    </row>
    <row r="5" ht="30" customHeight="1">
      <c r="A5" s="45" t="inlineStr">
        <is>
          <t>Code</t>
        </is>
      </c>
      <c r="B5" s="45" t="inlineStr">
        <is>
          <t>Name</t>
        </is>
      </c>
      <c r="C5" s="45" t="inlineStr">
        <is>
          <t>Our listing date</t>
        </is>
      </c>
      <c r="D5" s="45" t="inlineStr">
        <is>
          <t>Our day-1 close</t>
        </is>
      </c>
      <c r="E5" s="45" t="inlineStr">
        <is>
          <t>Our day-1 %</t>
        </is>
      </c>
      <c r="F5" s="45" t="inlineStr">
        <is>
          <t>BBG close that day</t>
        </is>
      </c>
      <c r="G5" s="45" t="inlineStr">
        <is>
          <t>VERDICT</t>
        </is>
      </c>
      <c r="H5" s="45" t="inlineStr">
        <is>
          <t>What we relied on</t>
        </is>
      </c>
    </row>
    <row r="6" ht="23" customHeight="1">
      <c r="A6" s="258" t="inlineStr">
        <is>
          <t>9608</t>
        </is>
      </c>
      <c r="B6" s="51" t="inlineStr">
        <is>
          <t>SUNDY SERVICE</t>
        </is>
      </c>
      <c r="C6" s="259" t="n">
        <v>44214</v>
      </c>
      <c r="D6" s="262" t="n">
        <v>0.16</v>
      </c>
      <c r="E6" s="246" t="n">
        <v>-36</v>
      </c>
      <c r="F6" s="85">
        <f>IFERROR(INDEX(BDH(TEXT(VALUE($A6),"0")&amp;" HK Equity","PX_LAST",$C6,$C6),MATCH($C6,INDEX(BDH(TEXT(VALUE($A6),"0")&amp;" HK Equity","PX_LAST",$C6,$C6),0,1),0),2),"run on terminal")</f>
        <v/>
      </c>
      <c r="G6" s="43">
        <f>IF(NOT(ISNUMBER($F6)),"run on terminal",IF(ABS($F6/($D6)-1)&lt;0.005,"MATCH","CHECK: BBG "&amp;TEXT($F6,"0.000")))</f>
        <v/>
      </c>
      <c r="H6" s="247" t="inlineStr">
        <is>
          <t>AAStocks listing date (was 2021-01-16); close from the local session list</t>
        </is>
      </c>
    </row>
    <row r="7" ht="23" customHeight="1">
      <c r="A7" s="258" t="inlineStr">
        <is>
          <t>2170</t>
        </is>
      </c>
      <c r="B7" s="51" t="inlineStr">
        <is>
          <t>BASECARE-B</t>
        </is>
      </c>
      <c r="C7" s="259" t="n">
        <v>44235</v>
      </c>
      <c r="D7" s="262" t="n">
        <v>27.699</v>
      </c>
      <c r="E7" s="246" t="n">
        <v>1.24</v>
      </c>
      <c r="F7" s="85">
        <f>IFERROR(INDEX(BDH(TEXT(VALUE($A7),"0")&amp;" HK Equity","PX_LAST",$C7,$C7),MATCH($C7,INDEX(BDH(TEXT(VALUE($A7),"0")&amp;" HK Equity","PX_LAST",$C7,$C7),0,1),0),2),"run on terminal")</f>
        <v/>
      </c>
      <c r="G7" s="43">
        <f>IF(NOT(ISNUMBER($F7)),"run on terminal",IF(ABS($F7/($D7)-1)&lt;0.005,"MATCH","CHECK: BBG "&amp;TEXT($F7,"0.000")))</f>
        <v/>
      </c>
      <c r="H7" s="247" t="inlineStr">
        <is>
          <t>AAStocks listing date (was 2021-02-06); close from the local session list</t>
        </is>
      </c>
    </row>
    <row r="8" ht="23" customHeight="1">
      <c r="A8" s="258" t="inlineStr">
        <is>
          <t>2518</t>
        </is>
      </c>
      <c r="B8" s="51" t="inlineStr">
        <is>
          <t>AUTOHOME-S</t>
        </is>
      </c>
      <c r="C8" s="259" t="n">
        <v>44270</v>
      </c>
      <c r="D8" s="262" t="n">
        <v>180.002</v>
      </c>
      <c r="E8" s="246" t="n">
        <v>2.1</v>
      </c>
      <c r="F8" s="85">
        <f>IFERROR(INDEX(BDH(TEXT(VALUE($A8),"0")&amp;" HK Equity","PX_LAST",$C8,$C8),MATCH($C8,INDEX(BDH(TEXT(VALUE($A8),"0")&amp;" HK Equity","PX_LAST",$C8,$C8),0,1),0),2),"run on terminal")</f>
        <v/>
      </c>
      <c r="G8" s="43">
        <f>IF(NOT(ISNUMBER($F8)),"run on terminal",IF(ABS($F8/($D8)-1)&lt;0.005,"MATCH","CHECK: BBG "&amp;TEXT($F8,"0.000")))</f>
        <v/>
      </c>
      <c r="H8" s="247" t="inlineStr">
        <is>
          <t>AAStocks listing date (was 2021-03-13); close from the local session list</t>
        </is>
      </c>
    </row>
    <row r="9" ht="23" customHeight="1">
      <c r="A9" s="258" t="inlineStr">
        <is>
          <t>9626</t>
        </is>
      </c>
      <c r="B9" s="51" t="inlineStr">
        <is>
          <t>BILIBILI-SW</t>
        </is>
      </c>
      <c r="C9" s="259" t="n">
        <v>44284</v>
      </c>
      <c r="D9" s="262" t="n">
        <v>800.001</v>
      </c>
      <c r="E9" s="246" t="n">
        <v>-0.99</v>
      </c>
      <c r="F9" s="85">
        <f>IFERROR(INDEX(BDH(TEXT(VALUE($A9),"0")&amp;" HK Equity","PX_LAST",$C9,$C9),MATCH($C9,INDEX(BDH(TEXT(VALUE($A9),"0")&amp;" HK Equity","PX_LAST",$C9,$C9),0,1),0),2),"run on terminal")</f>
        <v/>
      </c>
      <c r="G9" s="43">
        <f>IF(NOT(ISNUMBER($F9)),"run on terminal",IF(ABS($F9/($D9)-1)&lt;0.005,"MATCH","CHECK: BBG "&amp;TEXT($F9,"0.000")))</f>
        <v/>
      </c>
      <c r="H9" s="247" t="inlineStr">
        <is>
          <t>AAStocks listing date (was 2021-03-27); close from the local session list</t>
        </is>
      </c>
    </row>
    <row r="10" ht="23" customHeight="1">
      <c r="A10" s="258" t="inlineStr">
        <is>
          <t>9961</t>
        </is>
      </c>
      <c r="B10" s="51" t="inlineStr">
        <is>
          <t>TRIP.COM-S</t>
        </is>
      </c>
      <c r="C10" s="259" t="n">
        <v>44305</v>
      </c>
      <c r="D10" s="262" t="n">
        <v>280.194</v>
      </c>
      <c r="E10" s="246" t="n">
        <v>4.55</v>
      </c>
      <c r="F10" s="85">
        <f>IFERROR(INDEX(BDH(TEXT(VALUE($A10),"0")&amp;" HK Equity","PX_LAST",$C10,$C10),MATCH($C10,INDEX(BDH(TEXT(VALUE($A10),"0")&amp;" HK Equity","PX_LAST",$C10,$C10),0,1),0),2),"run on terminal")</f>
        <v/>
      </c>
      <c r="G10" s="43">
        <f>IF(NOT(ISNUMBER($F10)),"run on terminal",IF(ABS($F10/($D10)-1)&lt;0.005,"MATCH","CHECK: BBG "&amp;TEXT($F10,"0.000")))</f>
        <v/>
      </c>
      <c r="H10" s="247" t="inlineStr">
        <is>
          <t>AAStocks listing date (was 2021-04-17); close from the local session list</t>
        </is>
      </c>
    </row>
    <row r="11" ht="23" customHeight="1">
      <c r="A11" s="258" t="inlineStr">
        <is>
          <t>2191</t>
        </is>
      </c>
      <c r="B11" s="51" t="inlineStr">
        <is>
          <t>SF REIT</t>
        </is>
      </c>
      <c r="C11" s="259" t="n">
        <v>44333</v>
      </c>
      <c r="D11" s="262" t="n">
        <v>4.16</v>
      </c>
      <c r="E11" s="246" t="n">
        <v>-16.47</v>
      </c>
      <c r="F11" s="85">
        <f>IFERROR(INDEX(BDH(TEXT(VALUE($A11),"0")&amp;" HK Equity","PX_LAST",$C11,$C11),MATCH($C11,INDEX(BDH(TEXT(VALUE($A11),"0")&amp;" HK Equity","PX_LAST",$C11,$C11),0,1),0),2),"run on terminal")</f>
        <v/>
      </c>
      <c r="G11" s="43">
        <f>IF(NOT(ISNUMBER($F11)),"run on terminal",IF(ABS($F11/($D11)-1)&lt;0.005,"MATCH","CHECK: BBG "&amp;TEXT($F11,"0.000")))</f>
        <v/>
      </c>
      <c r="H11" s="247" t="inlineStr">
        <is>
          <t>AAStocks listing date (was 2021-05-15); close from the local session list</t>
        </is>
      </c>
    </row>
    <row r="12" ht="23" customHeight="1">
      <c r="A12" s="258" t="inlineStr">
        <is>
          <t>9982</t>
        </is>
      </c>
      <c r="B12" s="51" t="inlineStr">
        <is>
          <t>CENTRALCHINA MT</t>
        </is>
      </c>
      <c r="C12" s="259" t="n">
        <v>44347</v>
      </c>
      <c r="D12" s="262" t="n">
        <v>2.64</v>
      </c>
      <c r="E12" s="246" t="n">
        <v>-12</v>
      </c>
      <c r="F12" s="85">
        <f>IFERROR(INDEX(BDH(TEXT(VALUE($A12),"0")&amp;" HK Equity","PX_LAST",$C12,$C12),MATCH($C12,INDEX(BDH(TEXT(VALUE($A12),"0")&amp;" HK Equity","PX_LAST",$C12,$C12),0,1),0),2),"run on terminal")</f>
        <v/>
      </c>
      <c r="G12" s="43">
        <f>IF(NOT(ISNUMBER($F12)),"run on terminal",IF(ABS($F12/($D12)-1)&lt;0.005,"MATCH","CHECK: BBG "&amp;TEXT($F12,"0.000")))</f>
        <v/>
      </c>
      <c r="H12" s="247" t="inlineStr">
        <is>
          <t>AAStocks listing date (was 2021-05-29); close from the local session list</t>
        </is>
      </c>
    </row>
    <row r="13" ht="23" customHeight="1">
      <c r="A13" s="258" t="inlineStr">
        <is>
          <t>2155</t>
        </is>
      </c>
      <c r="B13" s="51" t="inlineStr">
        <is>
          <t>MORIMATSU INTL</t>
        </is>
      </c>
      <c r="C13" s="259" t="n">
        <v>44375</v>
      </c>
      <c r="D13" s="262" t="n">
        <v>8.9</v>
      </c>
      <c r="E13" s="246" t="n">
        <v>258.87</v>
      </c>
      <c r="F13" s="85">
        <f>IFERROR(INDEX(BDH(TEXT(VALUE($A13),"0")&amp;" HK Equity","PX_LAST",$C13,$C13),MATCH($C13,INDEX(BDH(TEXT(VALUE($A13),"0")&amp;" HK Equity","PX_LAST",$C13,$C13),0,1),0),2),"run on terminal")</f>
        <v/>
      </c>
      <c r="G13" s="43">
        <f>IF(NOT(ISNUMBER($F13)),"run on terminal",IF(ABS($F13/($D13)-1)&lt;0.005,"MATCH","CHECK: BBG "&amp;TEXT($F13,"0.000")))</f>
        <v/>
      </c>
      <c r="H13" s="247" t="inlineStr">
        <is>
          <t>AAStocks listing date (was 2021-06-26); close from the local session list</t>
        </is>
      </c>
    </row>
    <row r="14" ht="23" customHeight="1">
      <c r="A14" s="258" t="inlineStr">
        <is>
          <t>6626</t>
        </is>
      </c>
      <c r="B14" s="51" t="inlineStr">
        <is>
          <t>YUEXIU SERVICES</t>
        </is>
      </c>
      <c r="C14" s="259" t="n">
        <v>44375</v>
      </c>
      <c r="D14" s="262" t="n">
        <v>4.88</v>
      </c>
      <c r="E14" s="246" t="n">
        <v>0</v>
      </c>
      <c r="F14" s="85">
        <f>IFERROR(INDEX(BDH(TEXT(VALUE($A14),"0")&amp;" HK Equity","PX_LAST",$C14,$C14),MATCH($C14,INDEX(BDH(TEXT(VALUE($A14),"0")&amp;" HK Equity","PX_LAST",$C14,$C14),0,1),0),2),"run on terminal")</f>
        <v/>
      </c>
      <c r="G14" s="43">
        <f>IF(NOT(ISNUMBER($F14)),"run on terminal",IF(ABS($F14/($D14)-1)&lt;0.005,"MATCH","CHECK: BBG "&amp;TEXT($F14,"0.000")))</f>
        <v/>
      </c>
      <c r="H14" s="247" t="inlineStr">
        <is>
          <t>AAStocks listing date (was 2021-06-26); close from the local session list</t>
        </is>
      </c>
    </row>
    <row r="15" ht="23" customHeight="1">
      <c r="A15" s="258" t="inlineStr">
        <is>
          <t>0606</t>
        </is>
      </c>
      <c r="B15" s="51" t="inlineStr">
        <is>
          <t>SCE CM</t>
        </is>
      </c>
      <c r="C15" s="259" t="n">
        <v>44379</v>
      </c>
      <c r="D15" s="262" t="n">
        <v>4</v>
      </c>
      <c r="E15" s="246" t="n">
        <v>8.109999999999999</v>
      </c>
      <c r="F15" s="85">
        <f>IFERROR(INDEX(BDH(TEXT(VALUE($A15),"0")&amp;" HK Equity","PX_LAST",$C15,$C15),MATCH($C15,INDEX(BDH(TEXT(VALUE($A15),"0")&amp;" HK Equity","PX_LAST",$C15,$C15),0,1),0),2),"run on terminal")</f>
        <v/>
      </c>
      <c r="G15" s="43">
        <f>IF(NOT(ISNUMBER($F15)),"run on terminal",IF(ABS($F15/($D15)-1)&lt;0.005,"MATCH","CHECK: BBG "&amp;TEXT($F15,"0.000")))</f>
        <v/>
      </c>
      <c r="H15" s="247" t="inlineStr">
        <is>
          <t>AAStocks listing date (was 2021-07-01); close from the local session list</t>
        </is>
      </c>
    </row>
    <row r="16" ht="23" customHeight="1">
      <c r="A16" s="258" t="inlineStr">
        <is>
          <t>2190</t>
        </is>
      </c>
      <c r="B16" s="51" t="inlineStr">
        <is>
          <t>ZYLOXTB-B</t>
        </is>
      </c>
      <c r="C16" s="259" t="n">
        <v>44382</v>
      </c>
      <c r="D16" s="262" t="n">
        <v>60.002</v>
      </c>
      <c r="E16" s="246" t="n">
        <v>40.52</v>
      </c>
      <c r="F16" s="85">
        <f>IFERROR(INDEX(BDH(TEXT(VALUE($A16),"0")&amp;" HK Equity","PX_LAST",$C16,$C16),MATCH($C16,INDEX(BDH(TEXT(VALUE($A16),"0")&amp;" HK Equity","PX_LAST",$C16,$C16),0,1),0),2),"run on terminal")</f>
        <v/>
      </c>
      <c r="G16" s="43">
        <f>IF(NOT(ISNUMBER($F16)),"run on terminal",IF(ABS($F16/($D16)-1)&lt;0.005,"MATCH","CHECK: BBG "&amp;TEXT($F16,"0.000")))</f>
        <v/>
      </c>
      <c r="H16" s="247" t="inlineStr">
        <is>
          <t>AAStocks listing date (was 2021-07-03); close from the local session list</t>
        </is>
      </c>
    </row>
    <row r="17" ht="23" customHeight="1">
      <c r="A17" s="258" t="inlineStr">
        <is>
          <t>2165</t>
        </is>
      </c>
      <c r="B17" s="51" t="inlineStr">
        <is>
          <t>LING YUE SER GP</t>
        </is>
      </c>
      <c r="C17" s="259" t="n">
        <v>44389</v>
      </c>
      <c r="D17" s="262" t="n">
        <v>4.19</v>
      </c>
      <c r="E17" s="246" t="n">
        <v>0</v>
      </c>
      <c r="F17" s="85">
        <f>IFERROR(INDEX(BDH(TEXT(VALUE($A17),"0")&amp;" HK Equity","PX_LAST",$C17,$C17),MATCH($C17,INDEX(BDH(TEXT(VALUE($A17),"0")&amp;" HK Equity","PX_LAST",$C17,$C17),0,1),0),2),"run on terminal")</f>
        <v/>
      </c>
      <c r="G17" s="43">
        <f>IF(NOT(ISNUMBER($F17)),"run on terminal",IF(ABS($F17/($D17)-1)&lt;0.005,"MATCH","CHECK: BBG "&amp;TEXT($F17,"0.000")))</f>
        <v/>
      </c>
      <c r="H17" s="247" t="inlineStr">
        <is>
          <t>AAStocks listing date (was 2021-07-10); close from the local session list</t>
        </is>
      </c>
    </row>
    <row r="18" ht="23" customHeight="1">
      <c r="A18" s="258" t="inlineStr">
        <is>
          <t>2177</t>
        </is>
      </c>
      <c r="B18" s="51" t="inlineStr">
        <is>
          <t>UNQ HOLDINGS</t>
        </is>
      </c>
      <c r="C18" s="259" t="n">
        <v>44389</v>
      </c>
      <c r="D18" s="262" t="n">
        <v>9.039999999999999</v>
      </c>
      <c r="E18" s="246" t="n">
        <v>-23.78</v>
      </c>
      <c r="F18" s="85">
        <f>IFERROR(INDEX(BDH(TEXT(VALUE($A18),"0")&amp;" HK Equity","PX_LAST",$C18,$C18),MATCH($C18,INDEX(BDH(TEXT(VALUE($A18),"0")&amp;" HK Equity","PX_LAST",$C18,$C18),0,1),0),2),"run on terminal")</f>
        <v/>
      </c>
      <c r="G18" s="43">
        <f>IF(NOT(ISNUMBER($F18)),"run on terminal",IF(ABS($F18/($D18)-1)&lt;0.005,"MATCH","CHECK: BBG "&amp;TEXT($F18,"0.000")))</f>
        <v/>
      </c>
      <c r="H18" s="247" t="inlineStr">
        <is>
          <t>AAStocks listing date (was 2021-07-10); close from the local session list</t>
        </is>
      </c>
    </row>
    <row r="19" ht="23" customHeight="1">
      <c r="A19" s="258" t="inlineStr">
        <is>
          <t>6611</t>
        </is>
      </c>
      <c r="B19" s="51" t="inlineStr">
        <is>
          <t>SANXUN GROUP</t>
        </is>
      </c>
      <c r="C19" s="259" t="n">
        <v>44396</v>
      </c>
      <c r="D19" s="262" t="n">
        <v>4.75</v>
      </c>
      <c r="E19" s="246" t="n">
        <v>0</v>
      </c>
      <c r="F19" s="85">
        <f>IFERROR(INDEX(BDH(TEXT(VALUE($A19),"0")&amp;" HK Equity","PX_LAST",$C19,$C19),MATCH($C19,INDEX(BDH(TEXT(VALUE($A19),"0")&amp;" HK Equity","PX_LAST",$C19,$C19),0,1),0),2),"run on terminal")</f>
        <v/>
      </c>
      <c r="G19" s="43">
        <f>IF(NOT(ISNUMBER($F19)),"run on terminal",IF(ABS($F19/($D19)-1)&lt;0.005,"MATCH","CHECK: BBG "&amp;TEXT($F19,"0.000")))</f>
        <v/>
      </c>
      <c r="H19" s="247" t="inlineStr">
        <is>
          <t>AAStocks listing date (was 2021-07-17); close from the local session list</t>
        </is>
      </c>
    </row>
    <row r="20" ht="23" customHeight="1">
      <c r="A20" s="258" t="inlineStr">
        <is>
          <t>2378</t>
        </is>
      </c>
      <c r="B20" s="51" t="inlineStr">
        <is>
          <t>PRU</t>
        </is>
      </c>
      <c r="C20" s="259" t="n">
        <v>44473</v>
      </c>
      <c r="D20" s="262" t="n">
        <v>150.602</v>
      </c>
      <c r="E20" s="246" t="n">
        <v>4.73</v>
      </c>
      <c r="F20" s="85">
        <f>IFERROR(INDEX(BDH(TEXT(VALUE($A20),"0")&amp;" HK Equity","PX_LAST",$C20,$C20),MATCH($C20,INDEX(BDH(TEXT(VALUE($A20),"0")&amp;" HK Equity","PX_LAST",$C20,$C20),0,1),0),2),"run on terminal")</f>
        <v/>
      </c>
      <c r="G20" s="43">
        <f>IF(NOT(ISNUMBER($F20)),"run on terminal",IF(ABS($F20/($D20)-1)&lt;0.005,"MATCH","CHECK: BBG "&amp;TEXT($F20,"0.000")))</f>
        <v/>
      </c>
      <c r="H20" s="247" t="inlineStr">
        <is>
          <t>AAStocks listing date (was 2021-10-01); close from the local session list</t>
        </is>
      </c>
    </row>
    <row r="21" ht="23" customHeight="1">
      <c r="A21" s="258" t="inlineStr">
        <is>
          <t>2256</t>
        </is>
      </c>
      <c r="B21" s="51" t="inlineStr">
        <is>
          <t>ABBISKO-B</t>
        </is>
      </c>
      <c r="C21" s="259" t="n">
        <v>44484</v>
      </c>
      <c r="D21" s="262" t="n">
        <v>12.4</v>
      </c>
      <c r="E21" s="246" t="n">
        <v>-0.48</v>
      </c>
      <c r="F21" s="85">
        <f>IFERROR(INDEX(BDH(TEXT(VALUE($A21),"0")&amp;" HK Equity","PX_LAST",$C21,$C21),MATCH($C21,INDEX(BDH(TEXT(VALUE($A21),"0")&amp;" HK Equity","PX_LAST",$C21,$C21),0,1),0),2),"run on terminal")</f>
        <v/>
      </c>
      <c r="G21" s="43">
        <f>IF(NOT(ISNUMBER($F21)),"run on terminal",IF(ABS($F21/($D21)-1)&lt;0.005,"MATCH","CHECK: BBG "&amp;TEXT($F21,"0.000")))</f>
        <v/>
      </c>
      <c r="H21" s="247" t="inlineStr">
        <is>
          <t>AAStocks listing date (was 2021-10-13); close from the local session list</t>
        </is>
      </c>
    </row>
    <row r="22" ht="23" customHeight="1">
      <c r="A22" s="258" t="inlineStr">
        <is>
          <t>1948</t>
        </is>
      </c>
      <c r="B22" s="51" t="inlineStr">
        <is>
          <t>UJU HOLDING</t>
        </is>
      </c>
      <c r="C22" s="259" t="n">
        <v>44508</v>
      </c>
      <c r="D22" s="262" t="n">
        <v>6.4</v>
      </c>
      <c r="E22" s="246" t="n">
        <v>-4.48</v>
      </c>
      <c r="F22" s="85">
        <f>IFERROR(INDEX(BDH(TEXT(VALUE($A22),"0")&amp;" HK Equity","PX_LAST",$C22,$C22),MATCH($C22,INDEX(BDH(TEXT(VALUE($A22),"0")&amp;" HK Equity","PX_LAST",$C22,$C22),0,1),0),2),"run on terminal")</f>
        <v/>
      </c>
      <c r="G22" s="43">
        <f>IF(NOT(ISNUMBER($F22)),"run on terminal",IF(ABS($F22/($D22)-1)&lt;0.005,"MATCH","CHECK: BBG "&amp;TEXT($F22,"0.000")))</f>
        <v/>
      </c>
      <c r="H22" s="247" t="inlineStr">
        <is>
          <t>AAStocks listing date (was 2021-11-06); close from the local session list</t>
        </is>
      </c>
    </row>
    <row r="23" ht="23" customHeight="1">
      <c r="A23" s="258" t="inlineStr">
        <is>
          <t>2279</t>
        </is>
      </c>
      <c r="B23" s="51" t="inlineStr">
        <is>
          <t>YONGHE MEDICAL</t>
        </is>
      </c>
      <c r="C23" s="259" t="n">
        <v>44543</v>
      </c>
      <c r="D23" s="262" t="n">
        <v>16.599</v>
      </c>
      <c r="E23" s="246" t="n">
        <v>5.06</v>
      </c>
      <c r="F23" s="85">
        <f>IFERROR(INDEX(BDH(TEXT(VALUE($A23),"0")&amp;" HK Equity","PX_LAST",$C23,$C23),MATCH($C23,INDEX(BDH(TEXT(VALUE($A23),"0")&amp;" HK Equity","PX_LAST",$C23,$C23),0,1),0),2),"run on terminal")</f>
        <v/>
      </c>
      <c r="G23" s="43">
        <f>IF(NOT(ISNUMBER($F23)),"run on terminal",IF(ABS($F23/($D23)-1)&lt;0.005,"MATCH","CHECK: BBG "&amp;TEXT($F23,"0.000")))</f>
        <v/>
      </c>
      <c r="H23" s="247" t="inlineStr">
        <is>
          <t>AAStocks listing date (was 2021-12-11); close from the local session list</t>
        </is>
      </c>
    </row>
    <row r="24" ht="23" customHeight="1">
      <c r="A24" s="258" t="inlineStr">
        <is>
          <t>2250</t>
        </is>
      </c>
      <c r="B24" s="51" t="inlineStr">
        <is>
          <t>SEMK HOLDINGS</t>
        </is>
      </c>
      <c r="C24" s="259" t="n">
        <v>44578</v>
      </c>
      <c r="D24" s="262" t="n">
        <v>2.39</v>
      </c>
      <c r="E24" s="246" t="n">
        <v>16.59</v>
      </c>
      <c r="F24" s="85">
        <f>IFERROR(INDEX(BDH(TEXT(VALUE($A24),"0")&amp;" HK Equity","PX_LAST",$C24,$C24),MATCH($C24,INDEX(BDH(TEXT(VALUE($A24),"0")&amp;" HK Equity","PX_LAST",$C24,$C24),0,1),0),2),"run on terminal")</f>
        <v/>
      </c>
      <c r="G24" s="43">
        <f>IF(NOT(ISNUMBER($F24)),"run on terminal",IF(ABS($F24/($D24)-1)&lt;0.005,"MATCH","CHECK: BBG "&amp;TEXT($F24,"0.000")))</f>
        <v/>
      </c>
      <c r="H24" s="247" t="inlineStr">
        <is>
          <t>AAStocks listing date (was 2022-01-15); close from the local session list</t>
        </is>
      </c>
    </row>
    <row r="25" ht="23" customHeight="1">
      <c r="A25" s="258" t="inlineStr">
        <is>
          <t>2237</t>
        </is>
      </c>
      <c r="B25" s="51" t="inlineStr">
        <is>
          <t>CHINA GRAPHITE</t>
        </is>
      </c>
      <c r="C25" s="259" t="n">
        <v>44760</v>
      </c>
      <c r="D25" s="262" t="n">
        <v>0.79</v>
      </c>
      <c r="E25" s="246" t="n">
        <v>143.08</v>
      </c>
      <c r="F25" s="85">
        <f>IFERROR(INDEX(BDH(TEXT(VALUE($A25),"0")&amp;" HK Equity","PX_LAST",$C25,$C25),MATCH($C25,INDEX(BDH(TEXT(VALUE($A25),"0")&amp;" HK Equity","PX_LAST",$C25,$C25),0,1),0),2),"run on terminal")</f>
        <v/>
      </c>
      <c r="G25" s="43">
        <f>IF(NOT(ISNUMBER($F25)),"run on terminal",IF(ABS($F25/($D25)-1)&lt;0.005,"MATCH","CHECK: BBG "&amp;TEXT($F25,"0.000")))</f>
        <v/>
      </c>
      <c r="H25" s="247" t="inlineStr">
        <is>
          <t>AAStocks listing date (was 2022-07-16); close from the local session list</t>
        </is>
      </c>
    </row>
    <row r="26" ht="23" customHeight="1">
      <c r="A26" s="258" t="inlineStr">
        <is>
          <t>2350</t>
        </is>
      </c>
      <c r="B26" s="51" t="inlineStr">
        <is>
          <t>MTT GROUP</t>
        </is>
      </c>
      <c r="C26" s="259" t="n">
        <v>44830</v>
      </c>
      <c r="D26" s="262" t="n">
        <v>0.62</v>
      </c>
      <c r="E26" s="246" t="n">
        <v>-27.06</v>
      </c>
      <c r="F26" s="85">
        <f>IFERROR(INDEX(BDH(TEXT(VALUE($A26),"0")&amp;" HK Equity","PX_LAST",$C26,$C26),MATCH($C26,INDEX(BDH(TEXT(VALUE($A26),"0")&amp;" HK Equity","PX_LAST",$C26,$C26),0,1),0),2),"run on terminal")</f>
        <v/>
      </c>
      <c r="G26" s="43">
        <f>IF(NOT(ISNUMBER($F26)),"run on terminal",IF(ABS($F26/($D26/1.246)-1)&lt;0.005,"MATCH","CHECK: BBG "&amp;TEXT($F26,"0.000")))</f>
        <v/>
      </c>
      <c r="H26" s="247" t="inlineStr">
        <is>
          <t>AAStocks listing date (was 2022-09-24); close from the local session list; Bloomberg basis = raw / 1.246</t>
        </is>
      </c>
    </row>
    <row r="27" ht="23" customHeight="1">
      <c r="A27" s="258" t="inlineStr">
        <is>
          <t>9877</t>
        </is>
      </c>
      <c r="B27" s="51" t="inlineStr">
        <is>
          <t>JENSCARE-B</t>
        </is>
      </c>
      <c r="C27" s="259" t="n">
        <v>44844</v>
      </c>
      <c r="D27" s="262" t="n">
        <v>28.25</v>
      </c>
      <c r="E27" s="246" t="n">
        <v>1.62</v>
      </c>
      <c r="F27" s="85">
        <f>IFERROR(INDEX(BDH(TEXT(VALUE($A27),"0")&amp;" HK Equity","PX_LAST",$C27,$C27),MATCH($C27,INDEX(BDH(TEXT(VALUE($A27),"0")&amp;" HK Equity","PX_LAST",$C27,$C27),0,1),0),2),"run on terminal")</f>
        <v/>
      </c>
      <c r="G27" s="43">
        <f>IF(NOT(ISNUMBER($F27)),"run on terminal",IF(ABS($F27/($D27)-1)&lt;0.005,"MATCH","CHECK: BBG "&amp;TEXT($F27,"0.000")))</f>
        <v/>
      </c>
      <c r="H27" s="247" t="inlineStr">
        <is>
          <t>AAStocks listing date (was 2022-10-08); close from the local session list</t>
        </is>
      </c>
    </row>
    <row r="28" ht="23" customHeight="1">
      <c r="A28" s="258" t="inlineStr">
        <is>
          <t>1489</t>
        </is>
      </c>
      <c r="B28" s="51" t="inlineStr">
        <is>
          <t>GC CONSTRUCTION</t>
        </is>
      </c>
      <c r="C28" s="259" t="n">
        <v>44844</v>
      </c>
      <c r="D28" s="262" t="n">
        <v>0.55</v>
      </c>
      <c r="E28" s="246" t="n">
        <v>10</v>
      </c>
      <c r="F28" s="85">
        <f>IFERROR(INDEX(BDH(TEXT(VALUE($A28),"0")&amp;" HK Equity","PX_LAST",$C28,$C28),MATCH($C28,INDEX(BDH(TEXT(VALUE($A28),"0")&amp;" HK Equity","PX_LAST",$C28,$C28),0,1),0),2),"run on terminal")</f>
        <v/>
      </c>
      <c r="G28" s="43">
        <f>IF(NOT(ISNUMBER($F28)),"run on terminal",IF(ABS($F28/($D28)-1)&lt;0.005,"MATCH","CHECK: BBG "&amp;TEXT($F28,"0.000")))</f>
        <v/>
      </c>
      <c r="H28" s="247" t="inlineStr">
        <is>
          <t>AAStocks listing date (was 2022-10-08); close from the local session list</t>
        </is>
      </c>
    </row>
    <row r="29" ht="23" customHeight="1">
      <c r="A29" s="258" t="inlineStr">
        <is>
          <t>2422</t>
        </is>
      </c>
      <c r="B29" s="51" t="inlineStr">
        <is>
          <t>REGO INTERACT</t>
        </is>
      </c>
      <c r="C29" s="259" t="n">
        <v>44851</v>
      </c>
      <c r="D29" s="262" t="n">
        <v>1.35</v>
      </c>
      <c r="E29" s="246" t="n">
        <v>110.94</v>
      </c>
      <c r="F29" s="85">
        <f>IFERROR(INDEX(BDH(TEXT(VALUE($A29),"0")&amp;" HK Equity","PX_LAST",$C29,$C29),MATCH($C29,INDEX(BDH(TEXT(VALUE($A29),"0")&amp;" HK Equity","PX_LAST",$C29,$C29),0,1),0),2),"run on terminal")</f>
        <v/>
      </c>
      <c r="G29" s="43">
        <f>IF(NOT(ISNUMBER($F29)),"run on terminal",IF(ABS($F29/($D29/1.1936)-1)&lt;0.005,"MATCH","CHECK: BBG "&amp;TEXT($F29,"0.000")))</f>
        <v/>
      </c>
      <c r="H29" s="247" t="inlineStr">
        <is>
          <t>AAStocks listing date (was 2022-10-15); close from the local session list; Bloomberg basis = raw / 1.1936</t>
        </is>
      </c>
    </row>
    <row r="30" ht="23" customHeight="1">
      <c r="A30" s="258" t="inlineStr">
        <is>
          <t>2407</t>
        </is>
      </c>
      <c r="B30" s="51" t="inlineStr">
        <is>
          <t>GAUSH MEDITECH</t>
        </is>
      </c>
      <c r="C30" s="259" t="n">
        <v>44907</v>
      </c>
      <c r="D30" s="262" t="n">
        <v>51.4</v>
      </c>
      <c r="E30" s="246" t="n">
        <v>0</v>
      </c>
      <c r="F30" s="85">
        <f>IFERROR(INDEX(BDH(TEXT(VALUE($A30),"0")&amp;" HK Equity","PX_LAST",$C30,$C30),MATCH($C30,INDEX(BDH(TEXT(VALUE($A30),"0")&amp;" HK Equity","PX_LAST",$C30,$C30),0,1),0),2),"run on terminal")</f>
        <v/>
      </c>
      <c r="G30" s="43">
        <f>IF(NOT(ISNUMBER($F30)),"run on terminal",IF(ABS($F30/($D30)-1)&lt;0.005,"MATCH","CHECK: BBG "&amp;TEXT($F30,"0.000")))</f>
        <v/>
      </c>
      <c r="H30" s="247" t="inlineStr">
        <is>
          <t>AAStocks listing date (was 2022-12-10); close from the local session list</t>
        </is>
      </c>
    </row>
    <row r="31" ht="23" customHeight="1">
      <c r="A31" s="258" t="inlineStr">
        <is>
          <t>2440</t>
        </is>
      </c>
      <c r="B31" s="51" t="inlineStr">
        <is>
          <t>HOWKINGTECH</t>
        </is>
      </c>
      <c r="C31" s="259" t="n">
        <v>44907</v>
      </c>
      <c r="D31" s="262" t="n">
        <v>2</v>
      </c>
      <c r="E31" s="246" t="n">
        <v>-26.74</v>
      </c>
      <c r="F31" s="85">
        <f>IFERROR(INDEX(BDH(TEXT(VALUE($A31),"0")&amp;" HK Equity","PX_LAST",$C31,$C31),MATCH($C31,INDEX(BDH(TEXT(VALUE($A31),"0")&amp;" HK Equity","PX_LAST",$C31,$C31),0,1),0),2),"run on terminal")</f>
        <v/>
      </c>
      <c r="G31" s="43">
        <f>IF(NOT(ISNUMBER($F31)),"run on terminal",IF(ABS($F31/($D31/1.22414)-1)&lt;0.005,"MATCH","CHECK: BBG "&amp;TEXT($F31,"0.000")))</f>
        <v/>
      </c>
      <c r="H31" s="247" t="inlineStr">
        <is>
          <t>AAStocks listing date (was 2022-12-10); close from the local session list; Bloomberg basis = raw / 1.22414</t>
        </is>
      </c>
    </row>
    <row r="32" ht="23" customHeight="1">
      <c r="A32" s="258" t="inlineStr">
        <is>
          <t>2469</t>
        </is>
      </c>
      <c r="B32" s="51" t="inlineStr">
        <is>
          <t>FENBI</t>
        </is>
      </c>
      <c r="C32" s="259" t="n">
        <v>44935</v>
      </c>
      <c r="D32" s="262" t="n">
        <v>11.1</v>
      </c>
      <c r="E32" s="246" t="n">
        <v>12.12</v>
      </c>
      <c r="F32" s="85">
        <f>IFERROR(INDEX(BDH(TEXT(VALUE($A32),"0")&amp;" HK Equity","PX_LAST",$C32,$C32),MATCH($C32,INDEX(BDH(TEXT(VALUE($A32),"0")&amp;" HK Equity","PX_LAST",$C32,$C32),0,1),0),2),"run on terminal")</f>
        <v/>
      </c>
      <c r="G32" s="43">
        <f>IF(NOT(ISNUMBER($F32)),"run on terminal",IF(ABS($F32/($D32)-1)&lt;0.005,"MATCH","CHECK: BBG "&amp;TEXT($F32,"0.000")))</f>
        <v/>
      </c>
      <c r="H32" s="247" t="inlineStr">
        <is>
          <t>AAStocks listing date (was 2023-01-07); close from the local session list</t>
        </is>
      </c>
    </row>
    <row r="33" ht="23" customHeight="1">
      <c r="A33" s="258" t="inlineStr">
        <is>
          <t>2411</t>
        </is>
      </c>
      <c r="B33" s="51" t="inlineStr">
        <is>
          <t>PAGODA GP</t>
        </is>
      </c>
      <c r="C33" s="259" t="n">
        <v>44942</v>
      </c>
      <c r="D33" s="262" t="n">
        <v>6</v>
      </c>
      <c r="E33" s="246" t="n">
        <v>7.14</v>
      </c>
      <c r="F33" s="85">
        <f>IFERROR(INDEX(BDH(TEXT(VALUE($A33),"0")&amp;" HK Equity","PX_LAST",$C33,$C33),MATCH($C33,INDEX(BDH(TEXT(VALUE($A33),"0")&amp;" HK Equity","PX_LAST",$C33,$C33),0,1),0),2),"run on terminal")</f>
        <v/>
      </c>
      <c r="G33" s="43">
        <f>IF(NOT(ISNUMBER($F33)),"run on terminal",IF(ABS($F33/($D33)-1)&lt;0.005,"MATCH","CHECK: BBG "&amp;TEXT($F33,"0.000")))</f>
        <v/>
      </c>
      <c r="H33" s="247" t="inlineStr">
        <is>
          <t>AAStocks listing date (was 2023-01-14); close from the local session list</t>
        </is>
      </c>
    </row>
    <row r="34" ht="23" customHeight="1">
      <c r="A34" s="258" t="inlineStr">
        <is>
          <t>2373</t>
        </is>
      </c>
      <c r="B34" s="51" t="inlineStr">
        <is>
          <t>BEAUTYFARM MED</t>
        </is>
      </c>
      <c r="C34" s="259" t="n">
        <v>44942</v>
      </c>
      <c r="D34" s="262" t="n">
        <v>29.65</v>
      </c>
      <c r="E34" s="246" t="n">
        <v>53.47</v>
      </c>
      <c r="F34" s="85">
        <f>IFERROR(INDEX(BDH(TEXT(VALUE($A34),"0")&amp;" HK Equity","PX_LAST",$C34,$C34),MATCH($C34,INDEX(BDH(TEXT(VALUE($A34),"0")&amp;" HK Equity","PX_LAST",$C34,$C34),0,1),0),2),"run on terminal")</f>
        <v/>
      </c>
      <c r="G34" s="43">
        <f>IF(NOT(ISNUMBER($F34)),"run on terminal",IF(ABS($F34/($D34)-1)&lt;0.005,"MATCH","CHECK: BBG "&amp;TEXT($F34,"0.000")))</f>
        <v/>
      </c>
      <c r="H34" s="247" t="inlineStr">
        <is>
          <t>AAStocks listing date (was 2023-01-14); close from the local session list</t>
        </is>
      </c>
    </row>
    <row r="35" ht="23" customHeight="1">
      <c r="A35" s="258" t="inlineStr">
        <is>
          <t>2458</t>
        </is>
      </c>
      <c r="B35" s="51" t="inlineStr">
        <is>
          <t>GALA TECH HOLD</t>
        </is>
      </c>
      <c r="C35" s="259" t="n">
        <v>44942</v>
      </c>
      <c r="D35" s="262" t="n">
        <v>5.75</v>
      </c>
      <c r="E35" s="246" t="n">
        <v>-11.54</v>
      </c>
      <c r="F35" s="85">
        <f>IFERROR(INDEX(BDH(TEXT(VALUE($A35),"0")&amp;" HK Equity","PX_LAST",$C35,$C35),MATCH($C35,INDEX(BDH(TEXT(VALUE($A35),"0")&amp;" HK Equity","PX_LAST",$C35,$C35),0,1),0),2),"run on terminal")</f>
        <v/>
      </c>
      <c r="G35" s="43">
        <f>IF(NOT(ISNUMBER($F35)),"run on terminal",IF(ABS($F35/($D35)-1)&lt;0.005,"MATCH","CHECK: BBG "&amp;TEXT($F35,"0.000")))</f>
        <v/>
      </c>
      <c r="H35" s="247" t="inlineStr">
        <is>
          <t>AAStocks listing date (was 2023-01-14); close from the local session list</t>
        </is>
      </c>
    </row>
    <row r="36" ht="23" customHeight="1">
      <c r="A36" s="258" t="inlineStr">
        <is>
          <t>2480</t>
        </is>
      </c>
      <c r="B36" s="51" t="inlineStr">
        <is>
          <t>LUZHU BIOTECH-B</t>
        </is>
      </c>
      <c r="C36" s="259" t="n">
        <v>45054</v>
      </c>
      <c r="D36" s="262" t="n">
        <v>21.999</v>
      </c>
      <c r="E36" s="246" t="n">
        <v>-32.93</v>
      </c>
      <c r="F36" s="85">
        <f>IFERROR(INDEX(BDH(TEXT(VALUE($A36),"0")&amp;" HK Equity","PX_LAST",$C36,$C36),MATCH($C36,INDEX(BDH(TEXT(VALUE($A36),"0")&amp;" HK Equity","PX_LAST",$C36,$C36),0,1),0),2),"run on terminal")</f>
        <v/>
      </c>
      <c r="G36" s="43">
        <f>IF(NOT(ISNUMBER($F36)),"run on terminal",IF(ABS($F36/($D36)-1)&lt;0.005,"MATCH","CHECK: BBG "&amp;TEXT($F36,"0.000")))</f>
        <v/>
      </c>
      <c r="H36" s="247" t="inlineStr">
        <is>
          <t>AAStocks listing date (was 2023-05-06); close from the local session list</t>
        </is>
      </c>
    </row>
    <row r="37" ht="23" customHeight="1">
      <c r="A37" s="258" t="inlineStr">
        <is>
          <t>2487</t>
        </is>
      </c>
      <c r="B37" s="51" t="inlineStr">
        <is>
          <t>CUTIA-B</t>
        </is>
      </c>
      <c r="C37" s="259" t="n">
        <v>45089</v>
      </c>
      <c r="D37" s="262" t="n">
        <v>21.951</v>
      </c>
      <c r="E37" s="246" t="n">
        <v>0.46</v>
      </c>
      <c r="F37" s="85">
        <f>IFERROR(INDEX(BDH(TEXT(VALUE($A37),"0")&amp;" HK Equity","PX_LAST",$C37,$C37),MATCH($C37,INDEX(BDH(TEXT(VALUE($A37),"0")&amp;" HK Equity","PX_LAST",$C37,$C37),0,1),0),2),"run on terminal")</f>
        <v/>
      </c>
      <c r="G37" s="43">
        <f>IF(NOT(ISNUMBER($F37)),"run on terminal",IF(ABS($F37/($D37)-1)&lt;0.005,"MATCH","CHECK: BBG "&amp;TEXT($F37,"0.000")))</f>
        <v/>
      </c>
      <c r="H37" s="247" t="inlineStr">
        <is>
          <t>AAStocks listing date (was 2023-06-10); close from the local session list</t>
        </is>
      </c>
    </row>
    <row r="38" ht="23" customHeight="1">
      <c r="A38" s="258" t="inlineStr">
        <is>
          <t>2481</t>
        </is>
      </c>
      <c r="B38" s="51" t="inlineStr">
        <is>
          <t>WISE LIVING TEC</t>
        </is>
      </c>
      <c r="C38" s="259" t="n">
        <v>45117</v>
      </c>
      <c r="D38" s="262" t="n">
        <v>3.6</v>
      </c>
      <c r="E38" s="246" t="n">
        <v>0</v>
      </c>
      <c r="F38" s="85">
        <f>IFERROR(INDEX(BDH(TEXT(VALUE($A38),"0")&amp;" HK Equity","PX_LAST",$C38,$C38),MATCH($C38,INDEX(BDH(TEXT(VALUE($A38),"0")&amp;" HK Equity","PX_LAST",$C38,$C38),0,1),0),2),"run on terminal")</f>
        <v/>
      </c>
      <c r="G38" s="43">
        <f>IF(NOT(ISNUMBER($F38)),"run on terminal",IF(ABS($F38/($D38)-1)&lt;0.005,"MATCH","CHECK: BBG "&amp;TEXT($F38,"0.000")))</f>
        <v/>
      </c>
      <c r="H38" s="247" t="inlineStr">
        <is>
          <t>AAStocks listing date (was 2023-07-08); close from the local session list</t>
        </is>
      </c>
    </row>
    <row r="39" ht="23" customHeight="1">
      <c r="A39" s="258" t="inlineStr">
        <is>
          <t>1284</t>
        </is>
      </c>
      <c r="B39" s="51" t="inlineStr">
        <is>
          <t>NEW MEDIA LAB</t>
        </is>
      </c>
      <c r="C39" s="259" t="n">
        <v>45125</v>
      </c>
      <c r="D39" s="262" t="n">
        <v>0.93</v>
      </c>
      <c r="E39" s="246" t="n">
        <v>1.09</v>
      </c>
      <c r="F39" s="85">
        <f>IFERROR(INDEX(BDH(TEXT(VALUE($A39),"0")&amp;" HK Equity","PX_LAST",$C39,$C39),MATCH($C39,INDEX(BDH(TEXT(VALUE($A39),"0")&amp;" HK Equity","PX_LAST",$C39,$C39),0,1),0),2),"run on terminal")</f>
        <v/>
      </c>
      <c r="G39" s="43">
        <f>IF(NOT(ISNUMBER($F39)),"run on terminal",IF(ABS($F39/($D39)-1)&lt;0.005,"MATCH","CHECK: BBG "&amp;TEXT($F39,"0.000")))</f>
        <v/>
      </c>
      <c r="H39" s="247" t="inlineStr">
        <is>
          <t>AAStocks listing date (was 2023-07-15); close from the local session list</t>
        </is>
      </c>
    </row>
    <row r="40" ht="23" customHeight="1">
      <c r="A40" s="258" t="inlineStr">
        <is>
          <t>2496</t>
        </is>
      </c>
      <c r="B40" s="51" t="inlineStr">
        <is>
          <t>YZYBIO-B</t>
        </is>
      </c>
      <c r="C40" s="259" t="n">
        <v>45194</v>
      </c>
      <c r="D40" s="262" t="n">
        <v>16</v>
      </c>
      <c r="E40" s="246" t="n">
        <v>0</v>
      </c>
      <c r="F40" s="85">
        <f>IFERROR(INDEX(BDH(TEXT(VALUE($A40),"0")&amp;" HK Equity","PX_LAST",$C40,$C40),MATCH($C40,INDEX(BDH(TEXT(VALUE($A40),"0")&amp;" HK Equity","PX_LAST",$C40,$C40),0,1),0),2),"run on terminal")</f>
        <v/>
      </c>
      <c r="G40" s="43">
        <f>IF(NOT(ISNUMBER($F40)),"run on terminal",IF(ABS($F40/($D40)-1)&lt;0.005,"MATCH","CHECK: BBG "&amp;TEXT($F40,"0.000")))</f>
        <v/>
      </c>
      <c r="H40" s="247" t="inlineStr">
        <is>
          <t>AAStocks listing date (was 2023-09-23); close from the local session list</t>
        </is>
      </c>
    </row>
    <row r="41" ht="23" customHeight="1">
      <c r="A41" s="258" t="inlineStr">
        <is>
          <t>2490</t>
        </is>
      </c>
      <c r="B41" s="51" t="inlineStr">
        <is>
          <t>LC LOGISTICS</t>
        </is>
      </c>
      <c r="C41" s="259" t="n">
        <v>45194</v>
      </c>
      <c r="D41" s="262" t="n">
        <v>5.1</v>
      </c>
      <c r="E41" s="246" t="n">
        <v>-0.58</v>
      </c>
      <c r="F41" s="85">
        <f>IFERROR(INDEX(BDH(TEXT(VALUE($A41),"0")&amp;" HK Equity","PX_LAST",$C41,$C41),MATCH($C41,INDEX(BDH(TEXT(VALUE($A41),"0")&amp;" HK Equity","PX_LAST",$C41,$C41),0,1),0),2),"run on terminal")</f>
        <v/>
      </c>
      <c r="G41" s="43">
        <f>IF(NOT(ISNUMBER($F41)),"run on terminal",IF(ABS($F41/($D41/2.0)-1)&lt;0.005,"MATCH","CHECK: BBG "&amp;TEXT($F41,"0.000")))</f>
        <v/>
      </c>
      <c r="H41" s="247" t="inlineStr">
        <is>
          <t>AAStocks listing date (was 2023-09-23); close from the local session list; Bloomberg basis = raw / 2</t>
        </is>
      </c>
    </row>
    <row r="42" ht="23" customHeight="1">
      <c r="A42" s="258" t="inlineStr">
        <is>
          <t>0666</t>
        </is>
      </c>
      <c r="B42" s="51" t="inlineStr">
        <is>
          <t>REPT BATTERO</t>
        </is>
      </c>
      <c r="C42" s="259" t="n">
        <v>45278</v>
      </c>
      <c r="D42" s="262" t="n">
        <v>18.779</v>
      </c>
      <c r="E42" s="246" t="n">
        <v>2.62</v>
      </c>
      <c r="F42" s="85">
        <f>IFERROR(INDEX(BDH(TEXT(VALUE($A42),"0")&amp;" HK Equity","PX_LAST",$C42,$C42),MATCH($C42,INDEX(BDH(TEXT(VALUE($A42),"0")&amp;" HK Equity","PX_LAST",$C42,$C42),0,1),0),2),"run on terminal")</f>
        <v/>
      </c>
      <c r="G42" s="43">
        <f>IF(NOT(ISNUMBER($F42)),"run on terminal",IF(ABS($F42/($D42)-1)&lt;0.005,"MATCH","CHECK: BBG "&amp;TEXT($F42,"0.000")))</f>
        <v/>
      </c>
      <c r="H42" s="247" t="inlineStr">
        <is>
          <t>AAStocks listing date (was 2023-12-16); close from the local session list</t>
        </is>
      </c>
    </row>
    <row r="43" ht="23" customHeight="1">
      <c r="A43" s="258" t="inlineStr">
        <is>
          <t>2556</t>
        </is>
      </c>
      <c r="B43" s="51" t="inlineStr">
        <is>
          <t>MARKETINGFORCE</t>
        </is>
      </c>
      <c r="C43" s="259" t="n">
        <v>45428</v>
      </c>
      <c r="D43" s="262" t="n">
        <v>51.649</v>
      </c>
      <c r="E43" s="246" t="n">
        <v>18.46</v>
      </c>
      <c r="F43" s="85">
        <f>IFERROR(INDEX(BDH(TEXT(VALUE($A43),"0")&amp;" HK Equity","PX_LAST",$C43,$C43),MATCH($C43,INDEX(BDH(TEXT(VALUE($A43),"0")&amp;" HK Equity","PX_LAST",$C43,$C43),0,1),0),2),"run on terminal")</f>
        <v/>
      </c>
      <c r="G43" s="43">
        <f>IF(NOT(ISNUMBER($F43)),"run on terminal",IF(ABS($F43/($D43)-1)&lt;0.005,"MATCH","CHECK: BBG "&amp;TEXT($F43,"0.000")))</f>
        <v/>
      </c>
      <c r="H43" s="247" t="inlineStr">
        <is>
          <t>AAStocks listing date (was 2024-05-15); close from the local session list</t>
        </is>
      </c>
    </row>
    <row r="44" ht="23" customHeight="1">
      <c r="A44" s="258" t="inlineStr">
        <is>
          <t>0917</t>
        </is>
      </c>
      <c r="B44" s="51" t="inlineStr">
        <is>
          <t>QUNABOX GROUP</t>
        </is>
      </c>
      <c r="C44" s="259" t="n">
        <v>45439</v>
      </c>
      <c r="D44" s="262" t="n">
        <v>35</v>
      </c>
      <c r="E44" s="246" t="n">
        <v>40</v>
      </c>
      <c r="F44" s="85">
        <f>IFERROR(INDEX(BDH(TEXT(VALUE($A44),"0")&amp;" HK Equity","PX_LAST",$C44,$C44),MATCH($C44,INDEX(BDH(TEXT(VALUE($A44),"0")&amp;" HK Equity","PX_LAST",$C44,$C44),0,1),0),2),"run on terminal")</f>
        <v/>
      </c>
      <c r="G44" s="43">
        <f>IF(NOT(ISNUMBER($F44)),"run on terminal",IF(ABS($F44/($D44)-1)&lt;0.005,"MATCH","CHECK: BBG "&amp;TEXT($F44,"0.000")))</f>
        <v/>
      </c>
      <c r="H44" s="247" t="inlineStr">
        <is>
          <t>AAStocks listing date (was 2024-05-25); close from the local session list</t>
        </is>
      </c>
    </row>
    <row r="45" ht="23" customHeight="1">
      <c r="A45" s="258" t="inlineStr">
        <is>
          <t>2531</t>
        </is>
      </c>
      <c r="B45" s="51" t="inlineStr">
        <is>
          <t>CARLINK TECH</t>
        </is>
      </c>
      <c r="C45" s="259" t="n">
        <v>45488</v>
      </c>
      <c r="D45" s="262" t="n">
        <v>4.8</v>
      </c>
      <c r="E45" s="246" t="n">
        <v>2.13</v>
      </c>
      <c r="F45" s="85">
        <f>IFERROR(INDEX(BDH(TEXT(VALUE($A45),"0")&amp;" HK Equity","PX_LAST",$C45,$C45),MATCH($C45,INDEX(BDH(TEXT(VALUE($A45),"0")&amp;" HK Equity","PX_LAST",$C45,$C45),0,1),0),2),"run on terminal")</f>
        <v/>
      </c>
      <c r="G45" s="43">
        <f>IF(NOT(ISNUMBER($F45)),"run on terminal",IF(ABS($F45/($D45)-1)&lt;0.005,"MATCH","CHECK: BBG "&amp;TEXT($F45,"0.000")))</f>
        <v/>
      </c>
      <c r="H45" s="247" t="inlineStr">
        <is>
          <t>AAStocks listing date (was 2024-07-13); close from the local session list</t>
        </is>
      </c>
    </row>
    <row r="46" ht="23" customHeight="1">
      <c r="A46" s="258" t="inlineStr">
        <is>
          <t>2549</t>
        </is>
      </c>
      <c r="B46" s="51" t="inlineStr">
        <is>
          <t>CAROTE LTD</t>
        </is>
      </c>
      <c r="C46" s="259" t="n">
        <v>45567</v>
      </c>
      <c r="D46" s="262" t="n">
        <v>9.15</v>
      </c>
      <c r="E46" s="246" t="n">
        <v>58.3</v>
      </c>
      <c r="F46" s="85">
        <f>IFERROR(INDEX(BDH(TEXT(VALUE($A46),"0")&amp;" HK Equity","PX_LAST",$C46,$C46),MATCH($C46,INDEX(BDH(TEXT(VALUE($A46),"0")&amp;" HK Equity","PX_LAST",$C46,$C46),0,1),0),2),"run on terminal")</f>
        <v/>
      </c>
      <c r="G46" s="43">
        <f>IF(NOT(ISNUMBER($F46)),"run on terminal",IF(ABS($F46/($D46)-1)&lt;0.005,"MATCH","CHECK: BBG "&amp;TEXT($F46,"0.000")))</f>
        <v/>
      </c>
      <c r="H46" s="247" t="inlineStr">
        <is>
          <t>AAStocks listing date (was 2024-10-01); close from the local session list</t>
        </is>
      </c>
    </row>
    <row r="47" ht="23" customHeight="1">
      <c r="A47" s="258" t="inlineStr">
        <is>
          <t>2432</t>
        </is>
      </c>
      <c r="B47" s="51" t="inlineStr">
        <is>
          <t>DOBOT</t>
        </is>
      </c>
      <c r="C47" s="259" t="n">
        <v>45649</v>
      </c>
      <c r="D47" s="262" t="n">
        <v>18.939</v>
      </c>
      <c r="E47" s="246" t="n">
        <v>0.74</v>
      </c>
      <c r="F47" s="85">
        <f>IFERROR(INDEX(BDH(TEXT(VALUE($A47),"0")&amp;" HK Equity","PX_LAST",$C47,$C47),MATCH($C47,INDEX(BDH(TEXT(VALUE($A47),"0")&amp;" HK Equity","PX_LAST",$C47,$C47),0,1),0),2),"run on terminal")</f>
        <v/>
      </c>
      <c r="G47" s="43">
        <f>IF(NOT(ISNUMBER($F47)),"run on terminal",IF(ABS($F47/($D47)-1)&lt;0.005,"MATCH","CHECK: BBG "&amp;TEXT($F47,"0.000")))</f>
        <v/>
      </c>
      <c r="H47" s="247" t="inlineStr">
        <is>
          <t>AAStocks listing date (was 2024-12-21); close from the local session list</t>
        </is>
      </c>
    </row>
    <row r="48" ht="23" customHeight="1">
      <c r="A48" s="258" t="inlineStr">
        <is>
          <t>2431</t>
        </is>
      </c>
      <c r="B48" s="51" t="inlineStr">
        <is>
          <t>MINIEYE</t>
        </is>
      </c>
      <c r="C48" s="259" t="n">
        <v>45653</v>
      </c>
      <c r="D48" s="262" t="n">
        <v>19.4</v>
      </c>
      <c r="E48" s="246" t="n">
        <v>14.12</v>
      </c>
      <c r="F48" s="85">
        <f>IFERROR(INDEX(BDH(TEXT(VALUE($A48),"0")&amp;" HK Equity","PX_LAST",$C48,$C48),MATCH($C48,INDEX(BDH(TEXT(VALUE($A48),"0")&amp;" HK Equity","PX_LAST",$C48,$C48),0,1),0),2),"run on terminal")</f>
        <v/>
      </c>
      <c r="G48" s="43">
        <f>IF(NOT(ISNUMBER($F48)),"run on terminal",IF(ABS($F48/($D48)-1)&lt;0.005,"MATCH","CHECK: BBG "&amp;TEXT($F48,"0.000")))</f>
        <v/>
      </c>
      <c r="H48" s="247" t="inlineStr">
        <is>
          <t>AAStocks listing date (was 2024-12-25); close from the local session list</t>
        </is>
      </c>
    </row>
    <row r="49" ht="23" customHeight="1">
      <c r="A49" s="258" t="inlineStr">
        <is>
          <t>2587</t>
        </is>
      </c>
      <c r="B49" s="51" t="inlineStr">
        <is>
          <t>HEALTHYWAY INC</t>
        </is>
      </c>
      <c r="C49" s="259" t="n">
        <v>45656</v>
      </c>
      <c r="D49" s="262" t="n">
        <v>10.66</v>
      </c>
      <c r="E49" s="246" t="n">
        <v>36.67</v>
      </c>
      <c r="F49" s="85">
        <f>IFERROR(INDEX(BDH(TEXT(VALUE($A49),"0")&amp;" HK Equity","PX_LAST",$C49,$C49),MATCH($C49,INDEX(BDH(TEXT(VALUE($A49),"0")&amp;" HK Equity","PX_LAST",$C49,$C49),0,1),0),2),"run on terminal")</f>
        <v/>
      </c>
      <c r="G49" s="43">
        <f>IF(NOT(ISNUMBER($F49)),"run on terminal",IF(ABS($F49/($D49)-1)&lt;0.005,"MATCH","CHECK: BBG "&amp;TEXT($F49,"0.000")))</f>
        <v/>
      </c>
      <c r="H49" s="247" t="inlineStr">
        <is>
          <t>AAStocks listing date (was 2024-12-28); close from the local session list</t>
        </is>
      </c>
    </row>
    <row r="50" ht="23" customHeight="1">
      <c r="A50" s="258" t="inlineStr">
        <is>
          <t>2577</t>
        </is>
      </c>
      <c r="B50" s="51" t="inlineStr">
        <is>
          <t>INNOSCIENCE</t>
        </is>
      </c>
      <c r="C50" s="259" t="n">
        <v>45656</v>
      </c>
      <c r="D50" s="262" t="n">
        <v>30.999</v>
      </c>
      <c r="E50" s="246" t="n">
        <v>0.45</v>
      </c>
      <c r="F50" s="85">
        <f>IFERROR(INDEX(BDH(TEXT(VALUE($A50),"0")&amp;" HK Equity","PX_LAST",$C50,$C50),MATCH($C50,INDEX(BDH(TEXT(VALUE($A50),"0")&amp;" HK Equity","PX_LAST",$C50,$C50),0,1),0),2),"run on terminal")</f>
        <v/>
      </c>
      <c r="G50" s="43">
        <f>IF(NOT(ISNUMBER($F50)),"run on terminal",IF(ABS($F50/($D50)-1)&lt;0.005,"MATCH","CHECK: BBG "&amp;TEXT($F50,"0.000")))</f>
        <v/>
      </c>
      <c r="H50" s="247" t="inlineStr">
        <is>
          <t>AAStocks listing date (was 2024-12-28); close from the local session list</t>
        </is>
      </c>
    </row>
    <row r="51" ht="23" customHeight="1">
      <c r="A51" s="258" t="inlineStr">
        <is>
          <t>2506</t>
        </is>
      </c>
      <c r="B51" s="51" t="inlineStr">
        <is>
          <t>XUNFEIHEALTH</t>
        </is>
      </c>
      <c r="C51" s="259" t="n">
        <v>45656</v>
      </c>
      <c r="D51" s="262" t="n">
        <v>86.998</v>
      </c>
      <c r="E51" s="246" t="n">
        <v>5.07</v>
      </c>
      <c r="F51" s="85">
        <f>IFERROR(INDEX(BDH(TEXT(VALUE($A51),"0")&amp;" HK Equity","PX_LAST",$C51,$C51),MATCH($C51,INDEX(BDH(TEXT(VALUE($A51),"0")&amp;" HK Equity","PX_LAST",$C51,$C51),0,1),0),2),"run on terminal")</f>
        <v/>
      </c>
      <c r="G51" s="43">
        <f>IF(NOT(ISNUMBER($F51)),"run on terminal",IF(ABS($F51/($D51)-1)&lt;0.005,"MATCH","CHECK: BBG "&amp;TEXT($F51,"0.000")))</f>
        <v/>
      </c>
      <c r="H51" s="247" t="inlineStr">
        <is>
          <t>AAStocks listing date (was 2024-12-28); close from the local session list</t>
        </is>
      </c>
    </row>
    <row r="52" ht="23" customHeight="1">
      <c r="A52" s="258" t="inlineStr">
        <is>
          <t>2596</t>
        </is>
      </c>
      <c r="B52" s="51" t="inlineStr">
        <is>
          <t>YIBIN BANK</t>
        </is>
      </c>
      <c r="C52" s="259" t="n">
        <v>45670</v>
      </c>
      <c r="D52" s="262" t="n">
        <v>2.61</v>
      </c>
      <c r="E52" s="246" t="n">
        <v>0.77</v>
      </c>
      <c r="F52" s="85">
        <f>IFERROR(INDEX(BDH(TEXT(VALUE($A52),"0")&amp;" HK Equity","PX_LAST",$C52,$C52),MATCH($C52,INDEX(BDH(TEXT(VALUE($A52),"0")&amp;" HK Equity","PX_LAST",$C52,$C52),0,1),0),2),"run on terminal")</f>
        <v/>
      </c>
      <c r="G52" s="43">
        <f>IF(NOT(ISNUMBER($F52)),"run on terminal",IF(ABS($F52/($D52)-1)&lt;0.005,"MATCH","CHECK: BBG "&amp;TEXT($F52,"0.000")))</f>
        <v/>
      </c>
      <c r="H52" s="247" t="inlineStr">
        <is>
          <t>AAStocks listing date (was 2025-01-11); close from the local session list</t>
        </is>
      </c>
    </row>
    <row r="53" ht="23" customHeight="1">
      <c r="A53" s="258" t="inlineStr">
        <is>
          <t>2097</t>
        </is>
      </c>
      <c r="B53" s="51" t="inlineStr">
        <is>
          <t>MIXUE GROUP</t>
        </is>
      </c>
      <c r="C53" s="259" t="n">
        <v>45719</v>
      </c>
      <c r="D53" s="262" t="n">
        <v>290</v>
      </c>
      <c r="E53" s="246" t="n">
        <v>43.21</v>
      </c>
      <c r="F53" s="85">
        <f>IFERROR(INDEX(BDH(TEXT(VALUE($A53),"0")&amp;" HK Equity","PX_LAST",$C53,$C53),MATCH($C53,INDEX(BDH(TEXT(VALUE($A53),"0")&amp;" HK Equity","PX_LAST",$C53,$C53),0,1),0),2),"run on terminal")</f>
        <v/>
      </c>
      <c r="G53" s="43">
        <f>IF(NOT(ISNUMBER($F53)),"run on terminal",IF(ABS($F53/($D53)-1)&lt;0.005,"MATCH","CHECK: BBG "&amp;TEXT($F53,"0.000")))</f>
        <v/>
      </c>
      <c r="H53" s="247" t="inlineStr">
        <is>
          <t>AAStocks listing date (was 2025-03-01); close from the local session list</t>
        </is>
      </c>
    </row>
    <row r="54" ht="23" customHeight="1">
      <c r="A54" s="258" t="inlineStr">
        <is>
          <t>6693</t>
        </is>
      </c>
      <c r="B54" s="51" t="inlineStr">
        <is>
          <t>CHIFENG GOLD</t>
        </is>
      </c>
      <c r="C54" s="259" t="n">
        <v>45726</v>
      </c>
      <c r="D54" s="262" t="n">
        <v>13.72</v>
      </c>
      <c r="E54" s="246" t="n">
        <v>0</v>
      </c>
      <c r="F54" s="85">
        <f>IFERROR(INDEX(BDH(TEXT(VALUE($A54),"0")&amp;" HK Equity","PX_LAST",$C54,$C54),MATCH($C54,INDEX(BDH(TEXT(VALUE($A54),"0")&amp;" HK Equity","PX_LAST",$C54,$C54),0,1),0),2),"run on terminal")</f>
        <v/>
      </c>
      <c r="G54" s="43">
        <f>IF(NOT(ISNUMBER($F54)),"run on terminal",IF(ABS($F54/($D54)-1)&lt;0.005,"MATCH","CHECK: BBG "&amp;TEXT($F54,"0.000")))</f>
        <v/>
      </c>
      <c r="H54" s="247" t="inlineStr">
        <is>
          <t>AAStocks listing date (was 2025-03-08); close from the local session list</t>
        </is>
      </c>
    </row>
    <row r="55" ht="23" customHeight="1">
      <c r="A55" s="258" t="inlineStr">
        <is>
          <t>2625</t>
        </is>
      </c>
      <c r="B55" s="51" t="inlineStr">
        <is>
          <t>JIANGSU HORIZON</t>
        </is>
      </c>
      <c r="C55" s="259" t="n">
        <v>45747</v>
      </c>
      <c r="D55" s="262" t="n">
        <v>2.5</v>
      </c>
      <c r="E55" s="246" t="n">
        <v>0</v>
      </c>
      <c r="F55" s="85">
        <f>IFERROR(INDEX(BDH(TEXT(VALUE($A55),"0")&amp;" HK Equity","PX_LAST",$C55,$C55),MATCH($C55,INDEX(BDH(TEXT(VALUE($A55),"0")&amp;" HK Equity","PX_LAST",$C55,$C55),0,1),0),2),"run on terminal")</f>
        <v/>
      </c>
      <c r="G55" s="43">
        <f>IF(NOT(ISNUMBER($F55)),"run on terminal",IF(ABS($F55/($D55)-1)&lt;0.005,"MATCH","CHECK: BBG "&amp;TEXT($F55,"0.000")))</f>
        <v/>
      </c>
      <c r="H55" s="247" t="inlineStr">
        <is>
          <t>AAStocks listing date (was 2025-03-29); close from the local session list</t>
        </is>
      </c>
    </row>
    <row r="56" ht="23" customHeight="1">
      <c r="A56" s="258" t="inlineStr">
        <is>
          <t>3677</t>
        </is>
      </c>
      <c r="B56" s="51" t="inlineStr">
        <is>
          <t>ZENERGY</t>
        </is>
      </c>
      <c r="C56" s="259" t="n">
        <v>45761</v>
      </c>
      <c r="D56" s="262" t="n">
        <v>8.390000000000001</v>
      </c>
      <c r="E56" s="246" t="n">
        <v>1.45</v>
      </c>
      <c r="F56" s="85">
        <f>IFERROR(INDEX(BDH(TEXT(VALUE($A56),"0")&amp;" HK Equity","PX_LAST",$C56,$C56),MATCH($C56,INDEX(BDH(TEXT(VALUE($A56),"0")&amp;" HK Equity","PX_LAST",$C56,$C56),0,1),0),2),"run on terminal")</f>
        <v/>
      </c>
      <c r="G56" s="43">
        <f>IF(NOT(ISNUMBER($F56)),"run on terminal",IF(ABS($F56/($D56)-1)&lt;0.005,"MATCH","CHECK: BBG "&amp;TEXT($F56,"0.000")))</f>
        <v/>
      </c>
      <c r="H56" s="247" t="inlineStr">
        <is>
          <t>AAStocks listing date (was 2025-04-12); close from the local session list</t>
        </is>
      </c>
    </row>
    <row r="57" ht="23" customHeight="1">
      <c r="A57" s="258" t="inlineStr">
        <is>
          <t>2609</t>
        </is>
      </c>
      <c r="B57" s="51" t="inlineStr">
        <is>
          <t>BAYZED HEALTH</t>
        </is>
      </c>
      <c r="C57" s="259" t="n">
        <v>45831</v>
      </c>
      <c r="D57" s="262" t="n">
        <v>6</v>
      </c>
      <c r="E57" s="246" t="n">
        <v>42.18</v>
      </c>
      <c r="F57" s="85">
        <f>IFERROR(INDEX(BDH(TEXT(VALUE($A57),"0")&amp;" HK Equity","PX_LAST",$C57,$C57),MATCH($C57,INDEX(BDH(TEXT(VALUE($A57),"0")&amp;" HK Equity","PX_LAST",$C57,$C57),0,1),0),2),"run on terminal")</f>
        <v/>
      </c>
      <c r="G57" s="43">
        <f>IF(NOT(ISNUMBER($F57)),"run on terminal",IF(ABS($F57/($D57)-1)&lt;0.005,"MATCH","CHECK: BBG "&amp;TEXT($F57,"0.000")))</f>
        <v/>
      </c>
      <c r="H57" s="247" t="inlineStr">
        <is>
          <t>AAStocks listing date (was 2025-06-21); close from the local session list</t>
        </is>
      </c>
    </row>
    <row r="58" ht="23" customHeight="1">
      <c r="A58" s="258" t="inlineStr">
        <is>
          <t>2050</t>
        </is>
      </c>
      <c r="B58" s="51" t="inlineStr">
        <is>
          <t>SANHUA</t>
        </is>
      </c>
      <c r="C58" s="259" t="n">
        <v>45831</v>
      </c>
      <c r="D58" s="262" t="n">
        <v>22.501</v>
      </c>
      <c r="E58" s="246" t="n">
        <v>-0.13</v>
      </c>
      <c r="F58" s="85">
        <f>IFERROR(INDEX(BDH(TEXT(VALUE($A58),"0")&amp;" HK Equity","PX_LAST",$C58,$C58),MATCH($C58,INDEX(BDH(TEXT(VALUE($A58),"0")&amp;" HK Equity","PX_LAST",$C58,$C58),0,1),0),2),"run on terminal")</f>
        <v/>
      </c>
      <c r="G58" s="43">
        <f>IF(NOT(ISNUMBER($F58)),"run on terminal",IF(ABS($F58/($D58)-1)&lt;0.005,"MATCH","CHECK: BBG "&amp;TEXT($F58,"0.000")))</f>
        <v/>
      </c>
      <c r="H58" s="247" t="inlineStr">
        <is>
          <t>AAStocks listing date (was 2025-06-21); close from the local session list</t>
        </is>
      </c>
    </row>
    <row r="59" ht="23" customHeight="1">
      <c r="A59" s="258" t="inlineStr">
        <is>
          <t>2617</t>
        </is>
      </c>
      <c r="B59" s="51" t="inlineStr">
        <is>
          <t>TRANSTHERA-B</t>
        </is>
      </c>
      <c r="C59" s="259" t="n">
        <v>45831</v>
      </c>
      <c r="D59" s="262" t="n">
        <v>23.5</v>
      </c>
      <c r="E59" s="246" t="n">
        <v>78.70999999999999</v>
      </c>
      <c r="F59" s="85">
        <f>IFERROR(INDEX(BDH(TEXT(VALUE($A59),"0")&amp;" HK Equity","PX_LAST",$C59,$C59),MATCH($C59,INDEX(BDH(TEXT(VALUE($A59),"0")&amp;" HK Equity","PX_LAST",$C59,$C59),0,1),0),2),"run on terminal")</f>
        <v/>
      </c>
      <c r="G59" s="43">
        <f>IF(NOT(ISNUMBER($F59)),"run on terminal",IF(ABS($F59/($D59)-1)&lt;0.005,"MATCH","CHECK: BBG "&amp;TEXT($F59,"0.000")))</f>
        <v/>
      </c>
      <c r="H59" s="247" t="inlineStr">
        <is>
          <t>AAStocks listing date (was 2025-06-21); close from the local session list</t>
        </is>
      </c>
    </row>
    <row r="60" ht="23" customHeight="1">
      <c r="A60" s="258" t="inlineStr">
        <is>
          <t>6883</t>
        </is>
      </c>
      <c r="B60" s="51" t="inlineStr">
        <is>
          <t>ETERNAL BEAUTY</t>
        </is>
      </c>
      <c r="C60" s="259" t="n">
        <v>45834</v>
      </c>
      <c r="D60" s="262" t="n">
        <v>2.4</v>
      </c>
      <c r="E60" s="246" t="n">
        <v>-16.67</v>
      </c>
      <c r="F60" s="85">
        <f>IFERROR(INDEX(BDH(TEXT(VALUE($A60),"0")&amp;" HK Equity","PX_LAST",$C60,$C60),MATCH($C60,INDEX(BDH(TEXT(VALUE($A60),"0")&amp;" HK Equity","PX_LAST",$C60,$C60),0,1),0),2),"run on terminal")</f>
        <v/>
      </c>
      <c r="G60" s="43">
        <f>IF(NOT(ISNUMBER($F60)),"run on terminal",IF(ABS($F60/($D60)-1)&lt;0.005,"MATCH","CHECK: BBG "&amp;TEXT($F60,"0.000")))</f>
        <v/>
      </c>
      <c r="H60" s="247" t="inlineStr">
        <is>
          <t>AAStocks listing date (was 2025-06-27); close from the local session list</t>
        </is>
      </c>
    </row>
    <row r="61" ht="23" customHeight="1">
      <c r="A61" s="258" t="inlineStr">
        <is>
          <t>9678</t>
        </is>
      </c>
      <c r="B61" s="51" t="inlineStr">
        <is>
          <t>UNISOUND</t>
        </is>
      </c>
      <c r="C61" s="259" t="n">
        <v>45838</v>
      </c>
      <c r="D61" s="262" t="n">
        <v>296.409</v>
      </c>
      <c r="E61" s="246" t="n">
        <v>44.59</v>
      </c>
      <c r="F61" s="85">
        <f>IFERROR(INDEX(BDH(TEXT(VALUE($A61),"0")&amp;" HK Equity","PX_LAST",$C61,$C61),MATCH($C61,INDEX(BDH(TEXT(VALUE($A61),"0")&amp;" HK Equity","PX_LAST",$C61,$C61),0,1),0),2),"run on terminal")</f>
        <v/>
      </c>
      <c r="G61" s="43">
        <f>IF(NOT(ISNUMBER($F61)),"run on terminal",IF(ABS($F61/($D61)-1)&lt;0.005,"MATCH","CHECK: BBG "&amp;TEXT($F61,"0.000")))</f>
        <v/>
      </c>
      <c r="H61" s="247" t="inlineStr">
        <is>
          <t>AAStocks listing date (was 2025-06-28); close from the local session list</t>
        </is>
      </c>
    </row>
    <row r="62" ht="23" customHeight="1">
      <c r="A62" s="258" t="inlineStr">
        <is>
          <t>3880</t>
        </is>
      </c>
      <c r="B62" s="51" t="inlineStr">
        <is>
          <t>MEDTIDE</t>
        </is>
      </c>
      <c r="C62" s="259" t="n">
        <v>45838</v>
      </c>
      <c r="D62" s="262" t="n">
        <v>30.799</v>
      </c>
      <c r="E62" s="246" t="n">
        <v>0.65</v>
      </c>
      <c r="F62" s="85">
        <f>IFERROR(INDEX(BDH(TEXT(VALUE($A62),"0")&amp;" HK Equity","PX_LAST",$C62,$C62),MATCH($C62,INDEX(BDH(TEXT(VALUE($A62),"0")&amp;" HK Equity","PX_LAST",$C62,$C62),0,1),0),2),"run on terminal")</f>
        <v/>
      </c>
      <c r="G62" s="43">
        <f>IF(NOT(ISNUMBER($F62)),"run on terminal",IF(ABS($F62/($D62)-1)&lt;0.005,"MATCH","CHECK: BBG "&amp;TEXT($F62,"0.000")))</f>
        <v/>
      </c>
      <c r="H62" s="247" t="inlineStr">
        <is>
          <t>AAStocks listing date (was 2025-06-28); close from the local session list</t>
        </is>
      </c>
    </row>
    <row r="63" ht="23" customHeight="1">
      <c r="A63" s="258" t="inlineStr">
        <is>
          <t>6603</t>
        </is>
      </c>
      <c r="B63" s="51" t="inlineStr">
        <is>
          <t>IFBH</t>
        </is>
      </c>
      <c r="C63" s="259" t="n">
        <v>45838</v>
      </c>
      <c r="D63" s="262" t="n">
        <v>39.501</v>
      </c>
      <c r="E63" s="246" t="n">
        <v>42.09</v>
      </c>
      <c r="F63" s="85">
        <f>IFERROR(INDEX(BDH(TEXT(VALUE($A63),"0")&amp;" HK Equity","PX_LAST",$C63,$C63),MATCH($C63,INDEX(BDH(TEXT(VALUE($A63),"0")&amp;" HK Equity","PX_LAST",$C63,$C63),0,1),0),2),"run on terminal")</f>
        <v/>
      </c>
      <c r="G63" s="43">
        <f>IF(NOT(ISNUMBER($F63)),"run on terminal",IF(ABS($F63/($D63)-1)&lt;0.005,"MATCH","CHECK: BBG "&amp;TEXT($F63,"0.000")))</f>
        <v/>
      </c>
      <c r="H63" s="247" t="inlineStr">
        <is>
          <t>AAStocks listing date (was 2025-06-28); close from the local session list</t>
        </is>
      </c>
    </row>
    <row r="64" ht="23" customHeight="1">
      <c r="A64" s="258" t="inlineStr">
        <is>
          <t>1828</t>
        </is>
      </c>
      <c r="B64" s="51" t="inlineStr">
        <is>
          <t>FWD</t>
        </is>
      </c>
      <c r="C64" s="259" t="n">
        <v>45845</v>
      </c>
      <c r="D64" s="262" t="n">
        <v>38.399</v>
      </c>
      <c r="E64" s="246" t="n">
        <v>1.05</v>
      </c>
      <c r="F64" s="85">
        <f>IFERROR(INDEX(BDH(TEXT(VALUE($A64),"0")&amp;" HK Equity","PX_LAST",$C64,$C64),MATCH($C64,INDEX(BDH(TEXT(VALUE($A64),"0")&amp;" HK Equity","PX_LAST",$C64,$C64),0,1),0),2),"run on terminal")</f>
        <v/>
      </c>
      <c r="G64" s="43">
        <f>IF(NOT(ISNUMBER($F64)),"run on terminal",IF(ABS($F64/($D64)-1)&lt;0.005,"MATCH","CHECK: BBG "&amp;TEXT($F64,"0.000")))</f>
        <v/>
      </c>
      <c r="H64" s="247" t="inlineStr">
        <is>
          <t>AAStocks listing date (was 2025-07-05); close from the local session list</t>
        </is>
      </c>
    </row>
    <row r="65" ht="23" customHeight="1">
      <c r="A65" s="258" t="inlineStr">
        <is>
          <t>2627</t>
        </is>
      </c>
      <c r="B65" s="51" t="inlineStr">
        <is>
          <t>AB&amp;B BIO-TECH-B</t>
        </is>
      </c>
      <c r="C65" s="259" t="n">
        <v>45880</v>
      </c>
      <c r="D65" s="262" t="n">
        <v>33.279</v>
      </c>
      <c r="E65" s="246" t="n">
        <v>157.98</v>
      </c>
      <c r="F65" s="85">
        <f>IFERROR(INDEX(BDH(TEXT(VALUE($A65),"0")&amp;" HK Equity","PX_LAST",$C65,$C65),MATCH($C65,INDEX(BDH(TEXT(VALUE($A65),"0")&amp;" HK Equity","PX_LAST",$C65,$C65),0,1),0),2),"run on terminal")</f>
        <v/>
      </c>
      <c r="G65" s="43">
        <f>IF(NOT(ISNUMBER($F65)),"run on terminal",IF(ABS($F65/($D65)-1)&lt;0.005,"MATCH","CHECK: BBG "&amp;TEXT($F65,"0.000")))</f>
        <v/>
      </c>
      <c r="H65" s="247" t="inlineStr">
        <is>
          <t>AAStocks listing date (was 2025-08-09); close from the local session list</t>
        </is>
      </c>
    </row>
    <row r="66" ht="23" customHeight="1">
      <c r="A66" s="258" t="inlineStr">
        <is>
          <t>2652</t>
        </is>
      </c>
      <c r="B66" s="51" t="inlineStr">
        <is>
          <t>CF PHARMTECH</t>
        </is>
      </c>
      <c r="C66" s="259" t="n">
        <v>45938</v>
      </c>
      <c r="D66" s="262" t="n">
        <v>38.5</v>
      </c>
      <c r="E66" s="246" t="n">
        <v>161.02</v>
      </c>
      <c r="F66" s="85">
        <f>IFERROR(INDEX(BDH(TEXT(VALUE($A66),"0")&amp;" HK Equity","PX_LAST",$C66,$C66),MATCH($C66,INDEX(BDH(TEXT(VALUE($A66),"0")&amp;" HK Equity","PX_LAST",$C66,$C66),0,1),0),2),"run on terminal")</f>
        <v/>
      </c>
      <c r="G66" s="43">
        <f>IF(NOT(ISNUMBER($F66)),"run on terminal",IF(ABS($F66/($D66)-1)&lt;0.005,"MATCH","CHECK: BBG "&amp;TEXT($F66,"0.000")))</f>
        <v/>
      </c>
      <c r="H66" s="247" t="inlineStr">
        <is>
          <t>AAStocks listing date (was 2025-10-07); close from the local session list</t>
        </is>
      </c>
    </row>
    <row r="67" ht="23" customHeight="1">
      <c r="A67" s="258" t="inlineStr">
        <is>
          <t>2637</t>
        </is>
      </c>
      <c r="B67" s="51" t="inlineStr">
        <is>
          <t>HAIXI PHARMA</t>
        </is>
      </c>
      <c r="C67" s="259" t="n">
        <v>45950</v>
      </c>
      <c r="D67" s="262" t="n">
        <v>104.198</v>
      </c>
      <c r="E67" s="246" t="n">
        <v>20.6</v>
      </c>
      <c r="F67" s="85">
        <f>IFERROR(INDEX(BDH(TEXT(VALUE($A67),"0")&amp;" HK Equity","PX_LAST",$C67,$C67),MATCH($C67,INDEX(BDH(TEXT(VALUE($A67),"0")&amp;" HK Equity","PX_LAST",$C67,$C67),0,1),0),2),"run on terminal")</f>
        <v/>
      </c>
      <c r="G67" s="43">
        <f>IF(NOT(ISNUMBER($F67)),"run on terminal",IF(ABS($F67/($D67)-1)&lt;0.005,"MATCH","CHECK: BBG "&amp;TEXT($F67,"0.000")))</f>
        <v/>
      </c>
      <c r="H67" s="247" t="inlineStr">
        <is>
          <t>AAStocks listing date (was 2025-10-18); close from the local session list</t>
        </is>
      </c>
    </row>
    <row r="68" ht="23" customHeight="1">
      <c r="A68" s="258" t="inlineStr">
        <is>
          <t>2718</t>
        </is>
      </c>
      <c r="B68" s="51" t="inlineStr">
        <is>
          <t>MININGLAMP-W</t>
        </is>
      </c>
      <c r="C68" s="259" t="n">
        <v>45964</v>
      </c>
      <c r="D68" s="262" t="n">
        <v>290.601</v>
      </c>
      <c r="E68" s="246" t="n">
        <v>106.1</v>
      </c>
      <c r="F68" s="85">
        <f>IFERROR(INDEX(BDH(TEXT(VALUE($A68),"0")&amp;" HK Equity","PX_LAST",$C68,$C68),MATCH($C68,INDEX(BDH(TEXT(VALUE($A68),"0")&amp;" HK Equity","PX_LAST",$C68,$C68),0,1),0),2),"run on terminal")</f>
        <v/>
      </c>
      <c r="G68" s="43">
        <f>IF(NOT(ISNUMBER($F68)),"run on terminal",IF(ABS($F68/($D68)-1)&lt;0.005,"MATCH","CHECK: BBG "&amp;TEXT($F68,"0.000")))</f>
        <v/>
      </c>
      <c r="H68" s="247" t="inlineStr">
        <is>
          <t>AAStocks listing date (was 2025-11-01); close from the local session list</t>
        </is>
      </c>
    </row>
    <row r="69" ht="23" customHeight="1">
      <c r="A69" s="258" t="inlineStr">
        <is>
          <t>2698</t>
        </is>
      </c>
      <c r="B69" s="51" t="inlineStr">
        <is>
          <t>SOFTCARE</t>
        </is>
      </c>
      <c r="C69" s="259" t="n">
        <v>45971</v>
      </c>
      <c r="D69" s="262" t="n">
        <v>32.999</v>
      </c>
      <c r="E69" s="246" t="n">
        <v>25.95</v>
      </c>
      <c r="F69" s="85">
        <f>IFERROR(INDEX(BDH(TEXT(VALUE($A69),"0")&amp;" HK Equity","PX_LAST",$C69,$C69),MATCH($C69,INDEX(BDH(TEXT(VALUE($A69),"0")&amp;" HK Equity","PX_LAST",$C69,$C69),0,1),0),2),"run on terminal")</f>
        <v/>
      </c>
      <c r="G69" s="43">
        <f>IF(NOT(ISNUMBER($F69)),"run on terminal",IF(ABS($F69/($D69)-1)&lt;0.005,"MATCH","CHECK: BBG "&amp;TEXT($F69,"0.000")))</f>
        <v/>
      </c>
      <c r="H69" s="247" t="inlineStr">
        <is>
          <t>AAStocks listing date (was 2025-11-08); close from the local session list</t>
        </is>
      </c>
    </row>
    <row r="70" ht="23" customHeight="1">
      <c r="A70" s="258" t="inlineStr">
        <is>
          <t>2788</t>
        </is>
      </c>
      <c r="B70" s="51" t="inlineStr">
        <is>
          <t>CHUANGXIN IND</t>
        </is>
      </c>
      <c r="C70" s="259" t="n">
        <v>45985</v>
      </c>
      <c r="D70" s="262" t="n">
        <v>14.59</v>
      </c>
      <c r="E70" s="246" t="n">
        <v>32.76</v>
      </c>
      <c r="F70" s="85">
        <f>IFERROR(INDEX(BDH(TEXT(VALUE($A70),"0")&amp;" HK Equity","PX_LAST",$C70,$C70),MATCH($C70,INDEX(BDH(TEXT(VALUE($A70),"0")&amp;" HK Equity","PX_LAST",$C70,$C70),0,1),0),2),"run on terminal")</f>
        <v/>
      </c>
      <c r="G70" s="43">
        <f>IF(NOT(ISNUMBER($F70)),"run on terminal",IF(ABS($F70/($D70)-1)&lt;0.005,"MATCH","CHECK: BBG "&amp;TEXT($F70,"0.000")))</f>
        <v/>
      </c>
      <c r="H70" s="247" t="inlineStr">
        <is>
          <t>AAStocks listing date (was 2025-11-22); close from the local session list</t>
        </is>
      </c>
    </row>
    <row r="71" ht="23" customHeight="1">
      <c r="A71" s="258" t="inlineStr">
        <is>
          <t>2676</t>
        </is>
      </c>
      <c r="B71" s="51" t="inlineStr">
        <is>
          <t>NOVOSENSE</t>
        </is>
      </c>
      <c r="C71" s="259" t="n">
        <v>45999</v>
      </c>
      <c r="D71" s="262" t="n">
        <v>111</v>
      </c>
      <c r="E71" s="246" t="n">
        <v>-4.31</v>
      </c>
      <c r="F71" s="85">
        <f>IFERROR(INDEX(BDH(TEXT(VALUE($A71),"0")&amp;" HK Equity","PX_LAST",$C71,$C71),MATCH($C71,INDEX(BDH(TEXT(VALUE($A71),"0")&amp;" HK Equity","PX_LAST",$C71,$C71),0,1),0),2),"run on terminal")</f>
        <v/>
      </c>
      <c r="G71" s="43">
        <f>IF(NOT(ISNUMBER($F71)),"run on terminal",IF(ABS($F71/($D71)-1)&lt;0.005,"MATCH","CHECK: BBG "&amp;TEXT($F71,"0.000")))</f>
        <v/>
      </c>
      <c r="H71" s="247" t="inlineStr">
        <is>
          <t>AAStocks listing date (was 2025-12-06); close from the local session list</t>
        </is>
      </c>
    </row>
    <row r="72" ht="23" customHeight="1">
      <c r="A72" s="258" t="inlineStr">
        <is>
          <t>2687</t>
        </is>
      </c>
      <c r="B72" s="51" t="inlineStr">
        <is>
          <t>ABLE DIGITAL</t>
        </is>
      </c>
      <c r="C72" s="259" t="n">
        <v>45999</v>
      </c>
      <c r="D72" s="262" t="n">
        <v>126.401</v>
      </c>
      <c r="E72" s="246" t="n">
        <v>87.26000000000001</v>
      </c>
      <c r="F72" s="85">
        <f>IFERROR(INDEX(BDH(TEXT(VALUE($A72),"0")&amp;" HK Equity","PX_LAST",$C72,$C72),MATCH($C72,INDEX(BDH(TEXT(VALUE($A72),"0")&amp;" HK Equity","PX_LAST",$C72,$C72),0,1),0),2),"run on terminal")</f>
        <v/>
      </c>
      <c r="G72" s="43">
        <f>IF(NOT(ISNUMBER($F72)),"run on terminal",IF(ABS($F72/($D72)-1)&lt;0.005,"MATCH","CHECK: BBG "&amp;TEXT($F72,"0.000")))</f>
        <v/>
      </c>
      <c r="H72" s="247" t="inlineStr">
        <is>
          <t>AAStocks listing date (was 2025-12-06); close from the local session list</t>
        </is>
      </c>
    </row>
    <row r="73" ht="23" customHeight="1">
      <c r="A73" s="258" t="inlineStr">
        <is>
          <t>2695</t>
        </is>
      </c>
      <c r="B73" s="51" t="inlineStr">
        <is>
          <t>IMPRESSION DHP</t>
        </is>
      </c>
      <c r="C73" s="259" t="n">
        <v>46013</v>
      </c>
      <c r="D73" s="262" t="n">
        <v>2.33</v>
      </c>
      <c r="E73" s="246" t="n">
        <v>-35.28</v>
      </c>
      <c r="F73" s="85">
        <f>IFERROR(INDEX(BDH(TEXT(VALUE($A73),"0")&amp;" HK Equity","PX_LAST",$C73,$C73),MATCH($C73,INDEX(BDH(TEXT(VALUE($A73),"0")&amp;" HK Equity","PX_LAST",$C73,$C73),0,1),0),2),"run on terminal")</f>
        <v/>
      </c>
      <c r="G73" s="43">
        <f>IF(NOT(ISNUMBER($F73)),"run on terminal",IF(ABS($F73/($D73)-1)&lt;0.005,"MATCH","CHECK: BBG "&amp;TEXT($F73,"0.000")))</f>
        <v/>
      </c>
      <c r="H73" s="247" t="inlineStr">
        <is>
          <t>AAStocks listing date (was 2025-12-20); close from the local session list</t>
        </is>
      </c>
    </row>
    <row r="74" ht="23" customHeight="1">
      <c r="A74" s="258" t="inlineStr">
        <is>
          <t>2396</t>
        </is>
      </c>
      <c r="B74" s="51" t="inlineStr">
        <is>
          <t>B&amp;K CORP-B</t>
        </is>
      </c>
      <c r="C74" s="259" t="n">
        <v>46013</v>
      </c>
      <c r="D74" s="262" t="n">
        <v>27</v>
      </c>
      <c r="E74" s="246" t="n">
        <v>-29.32</v>
      </c>
      <c r="F74" s="85">
        <f>IFERROR(INDEX(BDH(TEXT(VALUE($A74),"0")&amp;" HK Equity","PX_LAST",$C74,$C74),MATCH($C74,INDEX(BDH(TEXT(VALUE($A74),"0")&amp;" HK Equity","PX_LAST",$C74,$C74),0,1),0),2),"run on terminal")</f>
        <v/>
      </c>
      <c r="G74" s="43">
        <f>IF(NOT(ISNUMBER($F74)),"run on terminal",IF(ABS($F74/($D74)-1)&lt;0.005,"MATCH","CHECK: BBG "&amp;TEXT($F74,"0.000")))</f>
        <v/>
      </c>
      <c r="H74" s="247" t="inlineStr">
        <is>
          <t>AAStocks listing date (was 2025-12-20); close from the local session list</t>
        </is>
      </c>
    </row>
    <row r="75" ht="23" customHeight="1">
      <c r="A75" s="258" t="inlineStr">
        <is>
          <t>2581</t>
        </is>
      </c>
      <c r="B75" s="51" t="inlineStr">
        <is>
          <t>BENQ HOLDING</t>
        </is>
      </c>
      <c r="C75" s="259" t="n">
        <v>46013</v>
      </c>
      <c r="D75" s="262" t="n">
        <v>4.72</v>
      </c>
      <c r="E75" s="246" t="n">
        <v>-49.46</v>
      </c>
      <c r="F75" s="85">
        <f>IFERROR(INDEX(BDH(TEXT(VALUE($A75),"0")&amp;" HK Equity","PX_LAST",$C75,$C75),MATCH($C75,INDEX(BDH(TEXT(VALUE($A75),"0")&amp;" HK Equity","PX_LAST",$C75,$C75),0,1),0),2),"run on terminal")</f>
        <v/>
      </c>
      <c r="G75" s="43">
        <f>IF(NOT(ISNUMBER($F75)),"run on terminal",IF(ABS($F75/($D75)-1)&lt;0.005,"MATCH","CHECK: BBG "&amp;TEXT($F75,"0.000")))</f>
        <v/>
      </c>
      <c r="H75" s="247" t="inlineStr">
        <is>
          <t>AAStocks listing date (was 2025-12-20); close from the local session list</t>
        </is>
      </c>
    </row>
    <row r="76" ht="23" customHeight="1">
      <c r="A76" s="258" t="inlineStr">
        <is>
          <t>2691</t>
        </is>
      </c>
      <c r="B76" s="51" t="inlineStr">
        <is>
          <t>NANHUA FUTURES</t>
        </is>
      </c>
      <c r="C76" s="259" t="n">
        <v>46013</v>
      </c>
      <c r="D76" s="262" t="n">
        <v>9.1</v>
      </c>
      <c r="E76" s="246" t="n">
        <v>-24.17</v>
      </c>
      <c r="F76" s="85">
        <f>IFERROR(INDEX(BDH(TEXT(VALUE($A76),"0")&amp;" HK Equity","PX_LAST",$C76,$C76),MATCH($C76,INDEX(BDH(TEXT(VALUE($A76),"0")&amp;" HK Equity","PX_LAST",$C76,$C76),0,1),0),2),"run on terminal")</f>
        <v/>
      </c>
      <c r="G76" s="43">
        <f>IF(NOT(ISNUMBER($F76)),"run on terminal",IF(ABS($F76/($D76/1.45)-1)&lt;0.005,"MATCH","CHECK: BBG "&amp;TEXT($F76,"0.000")))</f>
        <v/>
      </c>
      <c r="H76" s="247" t="inlineStr">
        <is>
          <t>AAStocks listing date (was 2025-12-20); close from the local session list; Bloomberg basis = raw / 1.45</t>
        </is>
      </c>
    </row>
    <row r="77" ht="23" customHeight="1">
      <c r="A77" s="258" t="inlineStr">
        <is>
          <t>6082</t>
        </is>
      </c>
      <c r="B77" s="51" t="inlineStr">
        <is>
          <t>BIREN TECH</t>
        </is>
      </c>
      <c r="C77" s="259" t="n">
        <v>46024</v>
      </c>
      <c r="D77" s="262" t="n">
        <v>34.461</v>
      </c>
      <c r="E77" s="246" t="n">
        <v>75.81999999999999</v>
      </c>
      <c r="F77" s="85">
        <f>IFERROR(INDEX(BDH(TEXT(VALUE($A77),"0")&amp;" HK Equity","PX_LAST",$C77,$C77),MATCH($C77,INDEX(BDH(TEXT(VALUE($A77),"0")&amp;" HK Equity","PX_LAST",$C77,$C77),0,1),0),2),"run on terminal")</f>
        <v/>
      </c>
      <c r="G77" s="43">
        <f>IF(NOT(ISNUMBER($F77)),"run on terminal",IF(ABS($F77/($D77)-1)&lt;0.005,"MATCH","CHECK: BBG "&amp;TEXT($F77,"0.000")))</f>
        <v/>
      </c>
      <c r="H77" s="247" t="inlineStr">
        <is>
          <t>AAStocks listing date (was 2026-01-01); close from the local session list</t>
        </is>
      </c>
    </row>
    <row r="78" ht="23" customHeight="1">
      <c r="A78" s="258" t="inlineStr">
        <is>
          <t>0501</t>
        </is>
      </c>
      <c r="B78" s="51" t="inlineStr">
        <is>
          <t>OMNIVISION</t>
        </is>
      </c>
      <c r="C78" s="259" t="n">
        <v>46034</v>
      </c>
      <c r="D78" s="262" t="n">
        <v>121.799</v>
      </c>
      <c r="E78" s="246" t="n">
        <v>16.22</v>
      </c>
      <c r="F78" s="85">
        <f>IFERROR(INDEX(BDH(TEXT(VALUE($A78),"0")&amp;" HK Equity","PX_LAST",$C78,$C78),MATCH($C78,INDEX(BDH(TEXT(VALUE($A78),"0")&amp;" HK Equity","PX_LAST",$C78,$C78),0,1),0),2),"run on terminal")</f>
        <v/>
      </c>
      <c r="G78" s="43">
        <f>IF(NOT(ISNUMBER($F78)),"run on terminal",IF(ABS($F78/($D78)-1)&lt;0.005,"MATCH","CHECK: BBG "&amp;TEXT($F78,"0.000")))</f>
        <v/>
      </c>
      <c r="H78" s="247" t="inlineStr">
        <is>
          <t>AAStocks listing date (was 2026-01-10); close from the local session list</t>
        </is>
      </c>
    </row>
    <row r="79" ht="23" customHeight="1">
      <c r="A79" s="258" t="inlineStr">
        <is>
          <t>6809</t>
        </is>
      </c>
      <c r="B79" s="51" t="inlineStr">
        <is>
          <t>MONTAGE TECH</t>
        </is>
      </c>
      <c r="C79" s="259" t="n">
        <v>46062</v>
      </c>
      <c r="D79" s="262" t="n">
        <v>175</v>
      </c>
      <c r="E79" s="246" t="n">
        <v>63.72</v>
      </c>
      <c r="F79" s="85">
        <f>IFERROR(INDEX(BDH(TEXT(VALUE($A79),"0")&amp;" HK Equity","PX_LAST",$C79,$C79),MATCH($C79,INDEX(BDH(TEXT(VALUE($A79),"0")&amp;" HK Equity","PX_LAST",$C79,$C79),0,1),0),2),"run on terminal")</f>
        <v/>
      </c>
      <c r="G79" s="43">
        <f>IF(NOT(ISNUMBER($F79)),"run on terminal",IF(ABS($F79/($D79)-1)&lt;0.005,"MATCH","CHECK: BBG "&amp;TEXT($F79,"0.000")))</f>
        <v/>
      </c>
      <c r="H79" s="247" t="inlineStr">
        <is>
          <t>AAStocks listing date (was 2026-02-07); close from the local session list</t>
        </is>
      </c>
    </row>
    <row r="80" ht="23" customHeight="1">
      <c r="A80" s="258" t="inlineStr">
        <is>
          <t>2715</t>
        </is>
      </c>
      <c r="B80" s="51" t="inlineStr">
        <is>
          <t>ESTUN</t>
        </is>
      </c>
      <c r="C80" s="259" t="n">
        <v>46090</v>
      </c>
      <c r="D80" s="262" t="n">
        <v>12.899</v>
      </c>
      <c r="E80" s="246" t="n">
        <v>-16.02</v>
      </c>
      <c r="F80" s="85">
        <f>IFERROR(INDEX(BDH(TEXT(VALUE($A80),"0")&amp;" HK Equity","PX_LAST",$C80,$C80),MATCH($C80,INDEX(BDH(TEXT(VALUE($A80),"0")&amp;" HK Equity","PX_LAST",$C80,$C80),0,1),0),2),"run on terminal")</f>
        <v/>
      </c>
      <c r="G80" s="43">
        <f>IF(NOT(ISNUMBER($F80)),"run on terminal",IF(ABS($F80/($D80)-1)&lt;0.005,"MATCH","CHECK: BBG "&amp;TEXT($F80,"0.000")))</f>
        <v/>
      </c>
      <c r="H80" s="247" t="inlineStr">
        <is>
          <t>AAStocks listing date (was 2026-03-07); close from the local session list</t>
        </is>
      </c>
    </row>
    <row r="81" ht="23" customHeight="1">
      <c r="A81" s="258" t="inlineStr">
        <is>
          <t>2649</t>
        </is>
      </c>
      <c r="B81" s="51" t="inlineStr">
        <is>
          <t>ALSCO POOLING</t>
        </is>
      </c>
      <c r="C81" s="259" t="n">
        <v>46090</v>
      </c>
      <c r="D81" s="262" t="n">
        <v>6.2</v>
      </c>
      <c r="E81" s="246" t="n">
        <v>-43.64</v>
      </c>
      <c r="F81" s="85">
        <f>IFERROR(INDEX(BDH(TEXT(VALUE($A81),"0")&amp;" HK Equity","PX_LAST",$C81,$C81),MATCH($C81,INDEX(BDH(TEXT(VALUE($A81),"0")&amp;" HK Equity","PX_LAST",$C81,$C81),0,1),0),2),"run on terminal")</f>
        <v/>
      </c>
      <c r="G81" s="43">
        <f>IF(NOT(ISNUMBER($F81)),"run on terminal",IF(ABS($F81/($D81)-1)&lt;0.005,"MATCH","CHECK: BBG "&amp;TEXT($F81,"0.000")))</f>
        <v/>
      </c>
      <c r="H81" s="247" t="inlineStr">
        <is>
          <t>AAStocks listing date (was 2026-03-07); close from the local session list</t>
        </is>
      </c>
    </row>
    <row r="82" ht="23" customHeight="1">
      <c r="A82" s="258" t="inlineStr">
        <is>
          <t>2692</t>
        </is>
      </c>
      <c r="B82" s="51" t="inlineStr">
        <is>
          <t>ZHAOWEI</t>
        </is>
      </c>
      <c r="C82" s="259" t="n">
        <v>46090</v>
      </c>
      <c r="D82" s="262" t="n">
        <v>72.998</v>
      </c>
      <c r="E82" s="246" t="n">
        <v>2.41</v>
      </c>
      <c r="F82" s="85">
        <f>IFERROR(INDEX(BDH(TEXT(VALUE($A82),"0")&amp;" HK Equity","PX_LAST",$C82,$C82),MATCH($C82,INDEX(BDH(TEXT(VALUE($A82),"0")&amp;" HK Equity","PX_LAST",$C82,$C82),0,1),0),2),"run on terminal")</f>
        <v/>
      </c>
      <c r="G82" s="43">
        <f>IF(NOT(ISNUMBER($F82)),"run on terminal",IF(ABS($F82/($D82)-1)&lt;0.005,"MATCH","CHECK: BBG "&amp;TEXT($F82,"0.000")))</f>
        <v/>
      </c>
      <c r="H82" s="247" t="inlineStr">
        <is>
          <t>AAStocks listing date (was 2026-03-07); close from the local session list</t>
        </is>
      </c>
    </row>
    <row r="83" ht="23" customHeight="1">
      <c r="A83" s="258" t="inlineStr">
        <is>
          <t>2701</t>
        </is>
      </c>
      <c r="B83" s="51" t="inlineStr">
        <is>
          <t>NSING TECH</t>
        </is>
      </c>
      <c r="C83" s="259" t="n">
        <v>46104</v>
      </c>
      <c r="D83" s="262" t="n">
        <v>11.25</v>
      </c>
      <c r="E83" s="246" t="n">
        <v>4.17</v>
      </c>
      <c r="F83" s="85">
        <f>IFERROR(INDEX(BDH(TEXT(VALUE($A83),"0")&amp;" HK Equity","PX_LAST",$C83,$C83),MATCH($C83,INDEX(BDH(TEXT(VALUE($A83),"0")&amp;" HK Equity","PX_LAST",$C83,$C83),0,1),0),2),"run on terminal")</f>
        <v/>
      </c>
      <c r="G83" s="43">
        <f>IF(NOT(ISNUMBER($F83)),"run on terminal",IF(ABS($F83/($D83)-1)&lt;0.005,"MATCH","CHECK: BBG "&amp;TEXT($F83,"0.000")))</f>
        <v/>
      </c>
      <c r="H83" s="247" t="inlineStr">
        <is>
          <t>AAStocks listing date (was 2026-03-21); close from the local session list</t>
        </is>
      </c>
    </row>
    <row r="84" ht="23" customHeight="1">
      <c r="A84" s="258" t="inlineStr">
        <is>
          <t>3355</t>
        </is>
      </c>
      <c r="B84" s="51" t="inlineStr">
        <is>
          <t>FS.COM</t>
        </is>
      </c>
      <c r="C84" s="259" t="n">
        <v>46104</v>
      </c>
      <c r="D84" s="262" t="n">
        <v>47.199</v>
      </c>
      <c r="E84" s="246" t="n">
        <v>13.46</v>
      </c>
      <c r="F84" s="85">
        <f>IFERROR(INDEX(BDH(TEXT(VALUE($A84),"0")&amp;" HK Equity","PX_LAST",$C84,$C84),MATCH($C84,INDEX(BDH(TEXT(VALUE($A84),"0")&amp;" HK Equity","PX_LAST",$C84,$C84),0,1),0),2),"run on terminal")</f>
        <v/>
      </c>
      <c r="G84" s="43">
        <f>IF(NOT(ISNUMBER($F84)),"run on terminal",IF(ABS($F84/($D84)-1)&lt;0.005,"MATCH","CHECK: BBG "&amp;TEXT($F84,"0.000")))</f>
        <v/>
      </c>
      <c r="H84" s="247" t="inlineStr">
        <is>
          <t>AAStocks listing date (was 2026-03-21); close from the local session list</t>
        </is>
      </c>
    </row>
    <row r="85" ht="23" customHeight="1">
      <c r="A85" s="258" t="inlineStr">
        <is>
          <t>2726</t>
        </is>
      </c>
      <c r="B85" s="51" t="inlineStr">
        <is>
          <t>EPIWORLD</t>
        </is>
      </c>
      <c r="C85" s="259" t="n">
        <v>46111</v>
      </c>
      <c r="D85" s="262" t="n">
        <v>102.997</v>
      </c>
      <c r="E85" s="246" t="n">
        <v>35.06</v>
      </c>
      <c r="F85" s="85">
        <f>IFERROR(INDEX(BDH(TEXT(VALUE($A85),"0")&amp;" HK Equity","PX_LAST",$C85,$C85),MATCH($C85,INDEX(BDH(TEXT(VALUE($A85),"0")&amp;" HK Equity","PX_LAST",$C85,$C85),0,1),0),2),"run on terminal")</f>
        <v/>
      </c>
      <c r="G85" s="43">
        <f>IF(NOT(ISNUMBER($F85)),"run on terminal",IF(ABS($F85/($D85)-1)&lt;0.005,"MATCH","CHECK: BBG "&amp;TEXT($F85,"0.000")))</f>
        <v/>
      </c>
      <c r="H85" s="247" t="inlineStr">
        <is>
          <t>AAStocks listing date (was 2026-03-28); close from the local session list</t>
        </is>
      </c>
    </row>
    <row r="86" ht="23" customHeight="1">
      <c r="A86" s="258" t="inlineStr">
        <is>
          <t>2526</t>
        </is>
      </c>
      <c r="B86" s="51" t="inlineStr">
        <is>
          <t>DIAGENS-B</t>
        </is>
      </c>
      <c r="C86" s="259" t="n">
        <v>46111</v>
      </c>
      <c r="D86" s="262" t="n">
        <v>209.603</v>
      </c>
      <c r="E86" s="246" t="n">
        <v>111.72</v>
      </c>
      <c r="F86" s="85">
        <f>IFERROR(INDEX(BDH(TEXT(VALUE($A86),"0")&amp;" HK Equity","PX_LAST",$C86,$C86),MATCH($C86,INDEX(BDH(TEXT(VALUE($A86),"0")&amp;" HK Equity","PX_LAST",$C86,$C86),0,1),0),2),"run on terminal")</f>
        <v/>
      </c>
      <c r="G86" s="43">
        <f>IF(NOT(ISNUMBER($F86)),"run on terminal",IF(ABS($F86/($D86)-1)&lt;0.005,"MATCH","CHECK: BBG "&amp;TEXT($F86,"0.000")))</f>
        <v/>
      </c>
      <c r="H86" s="247" t="inlineStr">
        <is>
          <t>AAStocks listing date (was 2026-03-28); close from the local session list</t>
        </is>
      </c>
    </row>
    <row r="87" ht="23" customHeight="1">
      <c r="A87" s="258" t="inlineStr">
        <is>
          <t>6636</t>
        </is>
      </c>
      <c r="B87" s="51" t="inlineStr">
        <is>
          <t>EXTREME VISION</t>
        </is>
      </c>
      <c r="C87" s="259" t="n">
        <v>46111</v>
      </c>
      <c r="D87" s="262" t="n">
        <v>100</v>
      </c>
      <c r="E87" s="246" t="n">
        <v>150</v>
      </c>
      <c r="F87" s="85">
        <f>IFERROR(INDEX(BDH(TEXT(VALUE($A87),"0")&amp;" HK Equity","PX_LAST",$C87,$C87),MATCH($C87,INDEX(BDH(TEXT(VALUE($A87),"0")&amp;" HK Equity","PX_LAST",$C87,$C87),0,1),0),2),"run on terminal")</f>
        <v/>
      </c>
      <c r="G87" s="43">
        <f>IF(NOT(ISNUMBER($F87)),"run on terminal",IF(ABS($F87/($D87)-1)&lt;0.005,"MATCH","CHECK: BBG "&amp;TEXT($F87,"0.000")))</f>
        <v/>
      </c>
      <c r="H87" s="247" t="inlineStr">
        <is>
          <t>AAStocks listing date (was 2026-03-28); close from the local session list</t>
        </is>
      </c>
    </row>
    <row r="88" ht="23" customHeight="1">
      <c r="A88" s="258" t="inlineStr">
        <is>
          <t>1021</t>
        </is>
      </c>
      <c r="B88" s="51" t="inlineStr">
        <is>
          <t>HUAYAN ROBOTICS</t>
        </is>
      </c>
      <c r="C88" s="259" t="n">
        <v>46111</v>
      </c>
      <c r="D88" s="262" t="n">
        <v>18.401</v>
      </c>
      <c r="E88" s="246" t="n">
        <v>8.24</v>
      </c>
      <c r="F88" s="85">
        <f>IFERROR(INDEX(BDH(TEXT(VALUE($A88),"0")&amp;" HK Equity","PX_LAST",$C88,$C88),MATCH($C88,INDEX(BDH(TEXT(VALUE($A88),"0")&amp;" HK Equity","PX_LAST",$C88,$C88),0,1),0),2),"run on terminal")</f>
        <v/>
      </c>
      <c r="G88" s="43">
        <f>IF(NOT(ISNUMBER($F88)),"run on terminal",IF(ABS($F88/($D88)-1)&lt;0.005,"MATCH","CHECK: BBG "&amp;TEXT($F88,"0.000")))</f>
        <v/>
      </c>
      <c r="H88" s="247" t="inlineStr">
        <is>
          <t>AAStocks listing date (was 2026-03-28); close from the local session list</t>
        </is>
      </c>
    </row>
    <row r="89" ht="23" customHeight="1">
      <c r="A89" s="258" t="inlineStr">
        <is>
          <t>1236</t>
        </is>
      </c>
      <c r="B89" s="51" t="inlineStr">
        <is>
          <t>LDROBOT</t>
        </is>
      </c>
      <c r="C89" s="259" t="n">
        <v>46153</v>
      </c>
      <c r="D89" s="262" t="n">
        <v>60.001</v>
      </c>
      <c r="E89" s="246" t="n">
        <v>127.62</v>
      </c>
      <c r="F89" s="85">
        <f>IFERROR(INDEX(BDH(TEXT(VALUE($A89),"0")&amp;" HK Equity","PX_LAST",$C89,$C89),MATCH($C89,INDEX(BDH(TEXT(VALUE($A89),"0")&amp;" HK Equity","PX_LAST",$C89,$C89),0,1),0),2),"run on terminal")</f>
        <v/>
      </c>
      <c r="G89" s="43">
        <f>IF(NOT(ISNUMBER($F89)),"run on terminal",IF(ABS($F89/($D89)-1)&lt;0.005,"MATCH","CHECK: BBG "&amp;TEXT($F89,"0.000")))</f>
        <v/>
      </c>
      <c r="H89" s="247" t="inlineStr">
        <is>
          <t>AAStocks listing date (was 2026-05-09); close from the local session list</t>
        </is>
      </c>
    </row>
    <row r="90" ht="23" customHeight="1">
      <c r="A90" s="258" t="inlineStr">
        <is>
          <t>6871</t>
        </is>
      </c>
      <c r="B90" s="51" t="inlineStr">
        <is>
          <t>ROBOTPHOENIX</t>
        </is>
      </c>
      <c r="C90" s="259" t="n">
        <v>46160</v>
      </c>
      <c r="D90" s="262" t="n">
        <v>53.75</v>
      </c>
      <c r="E90" s="246" t="n">
        <v>76.23</v>
      </c>
      <c r="F90" s="85">
        <f>IFERROR(INDEX(BDH(TEXT(VALUE($A90),"0")&amp;" HK Equity","PX_LAST",$C90,$C90),MATCH($C90,INDEX(BDH(TEXT(VALUE($A90),"0")&amp;" HK Equity","PX_LAST",$C90,$C90),0,1),0),2),"run on terminal")</f>
        <v/>
      </c>
      <c r="G90" s="43">
        <f>IF(NOT(ISNUMBER($F90)),"run on terminal",IF(ABS($F90/($D90)-1)&lt;0.005,"MATCH","CHECK: BBG "&amp;TEXT($F90,"0.000")))</f>
        <v/>
      </c>
      <c r="H90" s="247" t="inlineStr">
        <is>
          <t>AAStocks listing date (was 2026-05-16); close from the local session list</t>
        </is>
      </c>
    </row>
    <row r="91" ht="23" customHeight="1">
      <c r="A91" s="258" t="inlineStr">
        <is>
          <t>6658</t>
        </is>
      </c>
      <c r="B91" s="51" t="inlineStr">
        <is>
          <t>LIULIUMEI</t>
        </is>
      </c>
      <c r="C91" s="259" t="n">
        <v>46188</v>
      </c>
      <c r="D91" s="262" t="n">
        <v>127.999</v>
      </c>
      <c r="E91" s="246" t="n">
        <v>193.71</v>
      </c>
      <c r="F91" s="85">
        <f>IFERROR(INDEX(BDH(TEXT(VALUE($A91),"0")&amp;" HK Equity","PX_LAST",$C91,$C91),MATCH($C91,INDEX(BDH(TEXT(VALUE($A91),"0")&amp;" HK Equity","PX_LAST",$C91,$C91),0,1),0),2),"run on terminal")</f>
        <v/>
      </c>
      <c r="G91" s="43">
        <f>IF(NOT(ISNUMBER($F91)),"run on terminal",IF(ABS($F91/($D91)-1)&lt;0.005,"MATCH","CHECK: BBG "&amp;TEXT($F91,"0.000")))</f>
        <v/>
      </c>
      <c r="H91" s="247" t="inlineStr">
        <is>
          <t>AAStocks listing date (was 2026-06-13); close from the local session list</t>
        </is>
      </c>
    </row>
    <row r="92" ht="23" customHeight="1">
      <c r="A92" s="258" t="inlineStr">
        <is>
          <t>1392</t>
        </is>
      </c>
      <c r="B92" s="51" t="inlineStr">
        <is>
          <t>HQVT</t>
        </is>
      </c>
      <c r="C92" s="259" t="n">
        <v>46195</v>
      </c>
      <c r="D92" s="262" t="n">
        <v>26.7</v>
      </c>
      <c r="E92" s="246" t="n">
        <v>270.83</v>
      </c>
      <c r="F92" s="85">
        <f>IFERROR(INDEX(BDH(TEXT(VALUE($A92),"0")&amp;" HK Equity","PX_LAST",$C92,$C92),MATCH($C92,INDEX(BDH(TEXT(VALUE($A92),"0")&amp;" HK Equity","PX_LAST",$C92,$C92),0,1),0),2),"run on terminal")</f>
        <v/>
      </c>
      <c r="G92" s="43">
        <f>IF(NOT(ISNUMBER($F92)),"run on terminal",IF(ABS($F92/($D92)-1)&lt;0.005,"MATCH","CHECK: BBG "&amp;TEXT($F92,"0.000")))</f>
        <v/>
      </c>
      <c r="H92" s="247" t="inlineStr">
        <is>
          <t>AAStocks listing date (was 2026-06-19); close from the local session list</t>
        </is>
      </c>
    </row>
    <row r="93" ht="23" customHeight="1">
      <c r="A93" s="258" t="inlineStr">
        <is>
          <t>2672</t>
        </is>
      </c>
      <c r="B93" s="51" t="inlineStr">
        <is>
          <t>BAIGE DIGITAL</t>
        </is>
      </c>
      <c r="C93" s="259" t="n">
        <v>46202</v>
      </c>
      <c r="D93" s="262" t="n">
        <v>73</v>
      </c>
      <c r="E93" s="246" t="n">
        <v>367.95</v>
      </c>
      <c r="F93" s="85">
        <f>IFERROR(INDEX(BDH(TEXT(VALUE($A93),"0")&amp;" HK Equity","PX_LAST",$C93,$C93),MATCH($C93,INDEX(BDH(TEXT(VALUE($A93),"0")&amp;" HK Equity","PX_LAST",$C93,$C93),0,1),0),2),"run on terminal")</f>
        <v/>
      </c>
      <c r="G93" s="43">
        <f>IF(NOT(ISNUMBER($F93)),"run on terminal",IF(ABS($F93/($D93)-1)&lt;0.005,"MATCH","CHECK: BBG "&amp;TEXT($F93,"0.000")))</f>
        <v/>
      </c>
      <c r="H93" s="247" t="inlineStr">
        <is>
          <t>AAStocks listing date (was 2026-06-27); close from the local session list</t>
        </is>
      </c>
    </row>
    <row r="94" ht="23" customHeight="1">
      <c r="A94" s="258" t="inlineStr">
        <is>
          <t>1191</t>
        </is>
      </c>
      <c r="B94" s="51" t="inlineStr">
        <is>
          <t>CREALIGHTS</t>
        </is>
      </c>
      <c r="C94" s="259" t="n">
        <v>46202</v>
      </c>
      <c r="D94" s="262" t="n">
        <v>165.004</v>
      </c>
      <c r="E94" s="246" t="n">
        <v>44.74</v>
      </c>
      <c r="F94" s="85">
        <f>IFERROR(INDEX(BDH(TEXT(VALUE($A94),"0")&amp;" HK Equity","PX_LAST",$C94,$C94),MATCH($C94,INDEX(BDH(TEXT(VALUE($A94),"0")&amp;" HK Equity","PX_LAST",$C94,$C94),0,1),0),2),"run on terminal")</f>
        <v/>
      </c>
      <c r="G94" s="43">
        <f>IF(NOT(ISNUMBER($F94)),"run on terminal",IF(ABS($F94/($D94)-1)&lt;0.005,"MATCH","CHECK: BBG "&amp;TEXT($F94,"0.000")))</f>
        <v/>
      </c>
      <c r="H94" s="247" t="inlineStr">
        <is>
          <t>AAStocks listing date (was 2026-06-27); close from the local session list</t>
        </is>
      </c>
    </row>
    <row r="95" ht="23" customHeight="1">
      <c r="A95" s="258" t="inlineStr">
        <is>
          <t>9637</t>
        </is>
      </c>
      <c r="B95" s="51" t="inlineStr">
        <is>
          <t>ALEBUND-B</t>
        </is>
      </c>
      <c r="C95" s="259" t="n">
        <v>46202</v>
      </c>
      <c r="D95" s="262" t="n">
        <v>46</v>
      </c>
      <c r="E95" s="246" t="n">
        <v>103.54</v>
      </c>
      <c r="F95" s="85">
        <f>IFERROR(INDEX(BDH(TEXT(VALUE($A95),"0")&amp;" HK Equity","PX_LAST",$C95,$C95),MATCH($C95,INDEX(BDH(TEXT(VALUE($A95),"0")&amp;" HK Equity","PX_LAST",$C95,$C95),0,1),0),2),"run on terminal")</f>
        <v/>
      </c>
      <c r="G95" s="43">
        <f>IF(NOT(ISNUMBER($F95)),"run on terminal",IF(ABS($F95/($D95)-1)&lt;0.005,"MATCH","CHECK: BBG "&amp;TEXT($F95,"0.000")))</f>
        <v/>
      </c>
      <c r="H95" s="247" t="inlineStr">
        <is>
          <t>AAStocks listing date (was 2026-06-27); close from the local session list</t>
        </is>
      </c>
    </row>
    <row r="96" ht="23" customHeight="1">
      <c r="A96" s="258" t="inlineStr">
        <is>
          <t>0668</t>
        </is>
      </c>
      <c r="B96" s="51" t="inlineStr">
        <is>
          <t>ANKER</t>
        </is>
      </c>
      <c r="C96" s="259" t="n">
        <v>46205</v>
      </c>
      <c r="D96" s="262" t="n">
        <v>114.903</v>
      </c>
      <c r="E96" s="246" t="n">
        <v>15.69</v>
      </c>
      <c r="F96" s="85">
        <f>IFERROR(INDEX(BDH(TEXT(VALUE($A96),"0")&amp;" HK Equity","PX_LAST",$C96,$C96),MATCH($C96,INDEX(BDH(TEXT(VALUE($A96),"0")&amp;" HK Equity","PX_LAST",$C96,$C96),0,1),0),2),"run on terminal")</f>
        <v/>
      </c>
      <c r="G96" s="43">
        <f>IF(NOT(ISNUMBER($F96)),"run on terminal",IF(ABS($F96/($D96)-1)&lt;0.005,"MATCH","CHECK: BBG "&amp;TEXT($F96,"0.000")))</f>
        <v/>
      </c>
      <c r="H96" s="247" t="inlineStr">
        <is>
          <t>AAStocks listing date (was 2026-07-01); close from the local session list</t>
        </is>
      </c>
    </row>
    <row r="97" ht="23" customHeight="1">
      <c r="A97" s="258" t="inlineStr">
        <is>
          <t>2041</t>
        </is>
      </c>
      <c r="B97" s="51" t="inlineStr">
        <is>
          <t>MEDCAPTAIN</t>
        </is>
      </c>
      <c r="C97" s="259" t="n">
        <v>46272</v>
      </c>
      <c r="D97" s="262" t="n">
        <v>8.800000000000001</v>
      </c>
      <c r="E97" s="246" t="n">
        <v>-42.93</v>
      </c>
      <c r="F97" s="85">
        <f>IFERROR(INDEX(BDH(TEXT(VALUE($A97),"0")&amp;" HK Equity","PX_LAST",$C97,$C97),MATCH($C97,INDEX(BDH(TEXT(VALUE($A97),"0")&amp;" HK Equity","PX_LAST",$C97,$C97),0,1),0),2),"run on terminal")</f>
        <v/>
      </c>
      <c r="G97" s="43">
        <f>IF(NOT(ISNUMBER($F97)),"run on terminal",IF(ABS($F97/($D97)-1)&lt;0.005,"MATCH","CHECK: BBG "&amp;TEXT($F97,"0.000")))</f>
        <v/>
      </c>
      <c r="H97" s="247" t="inlineStr">
        <is>
          <t>AAStocks listing date (was 2026-09-05); close from the local session list</t>
        </is>
      </c>
    </row>
    <row r="98" ht="23" customHeight="1">
      <c r="A98" s="258" t="inlineStr">
        <is>
          <t>6727</t>
        </is>
      </c>
      <c r="B98" s="51" t="inlineStr">
        <is>
          <t>TRANSWARP</t>
        </is>
      </c>
      <c r="C98" s="259" t="n">
        <v>46286</v>
      </c>
      <c r="D98" s="262" t="n">
        <v>44.502</v>
      </c>
      <c r="E98" s="246" t="n">
        <v>-9.18</v>
      </c>
      <c r="F98" s="85">
        <f>IFERROR(INDEX(BDH(TEXT(VALUE($A98),"0")&amp;" HK Equity","PX_LAST",$C98,$C98),MATCH($C98,INDEX(BDH(TEXT(VALUE($A98),"0")&amp;" HK Equity","PX_LAST",$C98,$C98),0,1),0),2),"run on terminal")</f>
        <v/>
      </c>
      <c r="G98" s="43">
        <f>IF(NOT(ISNUMBER($F98)),"run on terminal",IF(ABS($F98/($D98)-1)&lt;0.005,"MATCH","CHECK: BBG "&amp;TEXT($F98,"0.000")))</f>
        <v/>
      </c>
      <c r="H98" s="247" t="inlineStr">
        <is>
          <t>AAStocks listing date (was 2026-09-19); close from the local session list</t>
        </is>
      </c>
    </row>
    <row r="99" ht="23" customHeight="1"/>
    <row r="100" ht="23" customHeight="1">
      <c r="A100" s="241" t="inlineStr">
        <is>
          <t>B. OFFER PRICE (11 deals ruled against the filing parse)</t>
        </is>
      </c>
    </row>
    <row r="101" ht="30" customHeight="1">
      <c r="A101" s="45" t="inlineStr">
        <is>
          <t>Code</t>
        </is>
      </c>
      <c r="B101" s="45" t="inlineStr">
        <is>
          <t>Name</t>
        </is>
      </c>
      <c r="C101" s="45" t="inlineStr">
        <is>
          <t>Our offer price</t>
        </is>
      </c>
      <c r="D101" s="45" t="inlineStr"/>
      <c r="E101" s="45" t="inlineStr"/>
      <c r="F101" s="45" t="inlineStr">
        <is>
          <t>BBG offer price</t>
        </is>
      </c>
      <c r="G101" s="45" t="inlineStr">
        <is>
          <t>VERDICT</t>
        </is>
      </c>
      <c r="H101" s="45" t="inlineStr">
        <is>
          <t>What we relied on</t>
        </is>
      </c>
    </row>
    <row r="102" ht="23" customHeight="1">
      <c r="A102" s="258" t="inlineStr">
        <is>
          <t>2672</t>
        </is>
      </c>
      <c r="B102" s="51" t="inlineStr">
        <is>
          <t>BAIGE DIGITAL</t>
        </is>
      </c>
      <c r="C102" s="262" t="n">
        <v>15.6</v>
      </c>
      <c r="F102" s="247" t="inlineStr">
        <is>
          <t>no BDP field; check the DES IPO screen</t>
        </is>
      </c>
      <c r="G102" s="43">
        <f>IF(ISNUMBER($F102),IF(ABS($F102/$C102-1)&lt;0.005,"MATCH","CHECK"),"see section A: day-1 close matches Bloomberg at this price")</f>
        <v/>
      </c>
      <c r="H102" s="247" t="inlineStr">
        <is>
          <t xml:space="preserve">OFFER PRICE: 10jqka 2026-06-29 + ifeng: 发行价15.6港元, 收报73港元 首日+367.95%, 全球发售3334.44万股, 募资总额5.2亿港元. The parse's 54,382,183 was the LISTING EXPENSES line </t>
        </is>
      </c>
    </row>
    <row r="103" ht="23" customHeight="1">
      <c r="A103" s="258" t="inlineStr">
        <is>
          <t>2525</t>
        </is>
      </c>
      <c r="B103" s="51" t="inlineStr">
        <is>
          <t>HESAI-W</t>
        </is>
      </c>
      <c r="C103" s="262" t="n">
        <v>212.8</v>
      </c>
      <c r="F103" s="247" t="inlineStr">
        <is>
          <t>no BDP field; check the DES IPO screen</t>
        </is>
      </c>
      <c r="G103" s="43">
        <f>IF(ISNUMBER($F103),IF(ABS($F103/$C103-1)&lt;0.005,"MATCH","CHECK"),"see section A: day-1 close matches Bloomberg at this price")</f>
        <v/>
      </c>
      <c r="H103" s="247" t="inlineStr">
        <is>
          <t>OFFER PRICE: STCN + HKEX allotment 2025-09-15 (2025091501458.pdf): 发行价212.80港元, 收报234港元 +9.96%, 19,550,000 offer shares incl. fully-exercised offer-si</t>
        </is>
      </c>
    </row>
    <row r="104" ht="23" customHeight="1">
      <c r="A104" s="258" t="inlineStr">
        <is>
          <t>2026</t>
        </is>
      </c>
      <c r="B104" s="51" t="inlineStr">
        <is>
          <t>PONY-W</t>
        </is>
      </c>
      <c r="C104" s="262" t="n">
        <v>139</v>
      </c>
      <c r="F104" s="247" t="inlineStr">
        <is>
          <t>no BDP field; check the DES IPO screen</t>
        </is>
      </c>
      <c r="G104" s="43">
        <f>IF(ISNUMBER($F104),IF(ABS($F104/$C104-1)&lt;0.005,"MATCH","CHECK"),"see section A: day-1 close matches Bloomberg at this price")</f>
        <v/>
      </c>
      <c r="H104" s="247" t="inlineStr">
        <is>
          <t>OFFER PRICE: Sina 2025-11-04 pricing + 2025-11-06 debut: 每股139.00港元 (22.8% below the HK$180 max), 收报126.10港元 -9.28%, 48,249,000 shares incl. full offe</t>
        </is>
      </c>
    </row>
    <row r="105" ht="23" customHeight="1">
      <c r="A105" s="258" t="inlineStr">
        <is>
          <t>6656</t>
        </is>
      </c>
      <c r="B105" s="51" t="inlineStr">
        <is>
          <t>SIGENERGY</t>
        </is>
      </c>
      <c r="C105" s="262" t="n">
        <v>324.2</v>
      </c>
      <c r="F105" s="247" t="inlineStr">
        <is>
          <t>no BDP field; check the DES IPO screen</t>
        </is>
      </c>
      <c r="G105" s="43">
        <f>IF(ISNUMBER($F105),IF(ABS($F105/$C105-1)&lt;0.005,"MATCH","CHECK"),"see section A: day-1 close matches Bloomberg at this price")</f>
        <v/>
      </c>
      <c r="H105" s="247" t="inlineStr">
        <is>
          <t>OFFER PRICE: AAStocks debut report: opened HK$581 (+79.2%) from listing price HK$324.20, closed HK$659.5 +103.4%; 13,573,900 H shares, gross ≈HK$4.4bn</t>
        </is>
      </c>
    </row>
    <row r="106" ht="23" customHeight="1">
      <c r="A106" s="258" t="inlineStr">
        <is>
          <t>9630</t>
        </is>
      </c>
      <c r="B106" s="51" t="inlineStr">
        <is>
          <t>CFMEE</t>
        </is>
      </c>
      <c r="C106" s="262" t="n">
        <v>252.73</v>
      </c>
      <c r="F106" s="247" t="inlineStr">
        <is>
          <t>no BDP field; check the DES IPO screen</t>
        </is>
      </c>
      <c r="G106" s="43">
        <f>IF(ISNUMBER($F106),IF(ABS($F106/$C106-1)&lt;0.005,"MATCH","CHECK"),"see section A: day-1 close matches Bloomberg at this price")</f>
        <v/>
      </c>
      <c r="H106" s="247" t="inlineStr">
        <is>
          <t>OFFER PRICE: Sina 2026-06-26: 发行价252.73港元 (top of range), 收报515.00港元 +103.77%, 发行1283.865万股, 募资总额32.45亿港元. NOT the midday 445.8 snapshot.</t>
        </is>
      </c>
    </row>
    <row r="107" ht="23" customHeight="1">
      <c r="A107" s="258" t="inlineStr">
        <is>
          <t>6090</t>
        </is>
      </c>
      <c r="B107" s="51" t="inlineStr">
        <is>
          <t>BUTONG GROUP</t>
        </is>
      </c>
      <c r="C107" s="262" t="n">
        <v>71.2</v>
      </c>
      <c r="F107" s="247" t="inlineStr">
        <is>
          <t>no BDP field; check the DES IPO screen</t>
        </is>
      </c>
      <c r="G107" s="43">
        <f>IF(ISNUMBER($F107),IF(ABS($F107/$C107-1)&lt;0.005,"MATCH","CHECK"),"see section A: day-1 close matches Bloomberg at this price")</f>
        <v/>
      </c>
      <c r="H107" s="247" t="inlineStr">
        <is>
          <t>OFFER PRICE: Sina 2025-09-23: 发售价每股71.20港元 (top of the 62.01-71.20 range), 收报102.50港元 +43.96%, 全球发售1098.09万股.</t>
        </is>
      </c>
    </row>
    <row r="108" ht="23" customHeight="1">
      <c r="A108" s="258" t="inlineStr">
        <is>
          <t>3223</t>
        </is>
      </c>
      <c r="B108" s="51" t="inlineStr">
        <is>
          <t>INGENIC</t>
        </is>
      </c>
      <c r="C108" s="262" t="n">
        <v>100</v>
      </c>
      <c r="F108" s="247" t="inlineStr">
        <is>
          <t>no BDP field; check the DES IPO screen</t>
        </is>
      </c>
      <c r="G108" s="43">
        <f>IF(ISNUMBER($F108),IF(ABS($F108/$C108-1)&lt;0.005,"MATCH","CHECK"),"see section A: day-1 close matches Bloomberg at this price")</f>
        <v/>
      </c>
      <c r="H108" s="247" t="inlineStr">
        <is>
          <t>Ingenic FY2025 A-share AR (300223.SZ, 2026-03-28): revenue RMB4,741m, attributable NI RMB376m; x1.10 to HKD. Listed 2026-08-25; trailing basis for th</t>
        </is>
      </c>
    </row>
    <row r="109" ht="23" customHeight="1">
      <c r="A109" s="258" t="inlineStr">
        <is>
          <t>9615</t>
        </is>
      </c>
      <c r="B109" s="51" t="inlineStr">
        <is>
          <t>MECH-MIND ROBOT</t>
        </is>
      </c>
      <c r="C109" s="262" t="n">
        <v>101.7</v>
      </c>
      <c r="F109" s="247" t="inlineStr">
        <is>
          <t>no BDP field; check the DES IPO screen</t>
        </is>
      </c>
      <c r="G109" s="43">
        <f>IF(ISNUMBER($F109),IF(ABS($F109/$C109-1)&lt;0.005,"MATCH","CHECK"),"see section A: day-1 close matches Bloomberg at this price")</f>
        <v/>
      </c>
      <c r="H109" s="247" t="inlineStr">
        <is>
          <t>HKEX allotment results 2026-08-31 (2026083102433.pdf): final offer price HK$101.70 = the CAP (range HK$95.30-101.70, 'Offer Price adjustment exercised</t>
        </is>
      </c>
    </row>
    <row r="110" ht="23" customHeight="1">
      <c r="A110" s="258" t="inlineStr">
        <is>
          <t>0625</t>
        </is>
      </c>
      <c r="B110" s="51" t="inlineStr">
        <is>
          <t>SHEIN-W</t>
        </is>
      </c>
      <c r="C110" s="262" t="n">
        <v>48.56</v>
      </c>
      <c r="F110" s="247" t="inlineStr">
        <is>
          <t>no BDP field; check the DES IPO screen</t>
        </is>
      </c>
      <c r="G110" s="43">
        <f>IF(ISNUMBER($F110),IF(ABS($F110/$C110-1)&lt;0.005,"MATCH","CHECK"),"see section A: day-1 close matches Bloomberg at this price")</f>
        <v/>
      </c>
      <c r="H110" s="247" t="inlineStr">
        <is>
          <t>HKEX allotment results 2026-08-31 (2026083102409.pdf): final offer price HK$48.56 against a HK$47.60-49.50 range (max HK$49.50); priced 1.9% below th</t>
        </is>
      </c>
    </row>
    <row r="111" ht="23" customHeight="1">
      <c r="A111" s="258" t="inlineStr">
        <is>
          <t>2392</t>
        </is>
      </c>
      <c r="B111" s="51" t="inlineStr">
        <is>
          <t>XUANWU CLOUD</t>
        </is>
      </c>
      <c r="C111" s="262" t="n">
        <v>6.24</v>
      </c>
      <c r="F111" s="247" t="inlineStr">
        <is>
          <t>no BDP field; check the DES IPO screen</t>
        </is>
      </c>
      <c r="G111" s="43">
        <f>IF(ISNUMBER($F111),IF(ABS($F111/$C111-1)&lt;0.005,"MATCH","CHECK"),"see section A: day-1 close matches Bloomberg at this price")</f>
        <v/>
      </c>
      <c r="H111" s="247" t="inlineStr">
        <is>
          <t xml:space="preserve">filing parse returned 6.91 = EXACTLY the stated Maximum Offer Price (the known bad-anchor line, wrong 6/6 in the v20 price research). AAStocks prints </t>
        </is>
      </c>
    </row>
    <row r="112" ht="23" customHeight="1">
      <c r="A112" s="258" t="inlineStr">
        <is>
          <t>9877</t>
        </is>
      </c>
      <c r="B112" s="51" t="inlineStr">
        <is>
          <t>JENSCARE-B</t>
        </is>
      </c>
      <c r="C112" s="262" t="n">
        <v>27.8</v>
      </c>
      <c r="F112" s="247" t="inlineStr">
        <is>
          <t>no BDP field; check the DES IPO screen</t>
        </is>
      </c>
      <c r="G112" s="43">
        <f>IF(ISNUMBER($F112),IF(ABS($F112/$C112-1)&lt;0.005,"MATCH","CHECK"),"see section A: day-1 close matches Bloomberg at this price")</f>
        <v/>
      </c>
      <c r="H112" s="247" t="inlineStr">
        <is>
          <t>filing parse returned 28.80 = EXACTLY the stated Maximum Offer Price. AAStocks prints 27.80, and the ingested day-1 (+1.62%) matches 28.25/27.80-1 exa</t>
        </is>
      </c>
    </row>
    <row r="113" ht="23" customHeight="1"/>
    <row r="114" ht="23" customHeight="1">
      <c r="A114" s="241" t="inlineStr">
        <is>
          <t>C. CORPORATE ACTIONS (32 deals; our day-1 close / cumulative factor should equal Bloomberg's adjusted print)</t>
        </is>
      </c>
    </row>
    <row r="115" ht="30" customHeight="1">
      <c r="A115" s="45" t="inlineStr">
        <is>
          <t>Code</t>
        </is>
      </c>
      <c r="B115" s="45" t="inlineStr">
        <is>
          <t>Name</t>
        </is>
      </c>
      <c r="C115" s="45" t="inlineStr">
        <is>
          <t>Listing date</t>
        </is>
      </c>
      <c r="D115" s="45" t="inlineStr">
        <is>
          <t>Our day-1 close</t>
        </is>
      </c>
      <c r="E115" s="45" t="inlineStr">
        <is>
          <t>÷ factor = expected</t>
        </is>
      </c>
      <c r="F115" s="45" t="inlineStr">
        <is>
          <t>BBG close that day</t>
        </is>
      </c>
      <c r="G115" s="45" t="inlineStr">
        <is>
          <t>VERDICT</t>
        </is>
      </c>
      <c r="H115" s="45" t="inlineStr">
        <is>
          <t>Action applied</t>
        </is>
      </c>
    </row>
    <row r="116" ht="23" customHeight="1">
      <c r="A116" s="258" t="inlineStr">
        <is>
          <t>1413</t>
        </is>
      </c>
      <c r="B116" s="51" t="inlineStr">
        <is>
          <t>KWONG LUEN ENG</t>
        </is>
      </c>
      <c r="C116" s="259" t="n">
        <v>44266</v>
      </c>
      <c r="D116" s="262" t="n">
        <v>0.42</v>
      </c>
      <c r="E116" s="85">
        <f>IFERROR($D116/0.2,"")</f>
        <v/>
      </c>
      <c r="F116" s="85">
        <f>IFERROR(INDEX(BDH(TEXT(VALUE($A116),"0")&amp;" HK Equity","PX_LAST",$C116,$C116),MATCH($C116,INDEX(BDH(TEXT(VALUE($A116),"0")&amp;" HK Equity","PX_LAST",$C116,$C116),0,1),0),2),"run on terminal")</f>
        <v/>
      </c>
      <c r="G116" s="43">
        <f>IF(NOT(ISNUMBER($F116)),"run on terminal",IF(ABS($F116/$E116-1)&lt;0.02,"MATCH","CHECK: BBG "&amp;TEXT($F116,"0.000")))</f>
        <v/>
      </c>
      <c r="H116" s="247" t="inlineStr">
        <is>
          <t>2025-12-16 x0.2 (Bloomberg basis x0.2)</t>
        </is>
      </c>
    </row>
    <row r="117" ht="23" customHeight="1">
      <c r="A117" s="258" t="inlineStr">
        <is>
          <t>1855</t>
        </is>
      </c>
      <c r="B117" s="51" t="inlineStr">
        <is>
          <t>ZONBONG ENVIRO</t>
        </is>
      </c>
      <c r="C117" s="259" t="n">
        <v>44202</v>
      </c>
      <c r="D117" s="262" t="n">
        <v>2.05</v>
      </c>
      <c r="E117" s="85">
        <f>IFERROR($D117/3.0,"")</f>
        <v/>
      </c>
      <c r="F117" s="85">
        <f>IFERROR(INDEX(BDH(TEXT(VALUE($A117),"0")&amp;" HK Equity","PX_LAST",$C117,$C117),MATCH($C117,INDEX(BDH(TEXT(VALUE($A117),"0")&amp;" HK Equity","PX_LAST",$C117,$C117),0,1),0),2),"run on terminal")</f>
        <v/>
      </c>
      <c r="G117" s="43">
        <f>IF(NOT(ISNUMBER($F117)),"run on terminal",IF(ABS($F117/$E117-1)&lt;0.02,"MATCH","CHECK: BBG "&amp;TEXT($F117,"0.000")))</f>
        <v/>
      </c>
      <c r="H117" s="247" t="inlineStr">
        <is>
          <t>2024-08-01 x3 (Bloomberg basis x3)</t>
        </is>
      </c>
    </row>
    <row r="118" ht="23" customHeight="1">
      <c r="A118" s="258" t="inlineStr">
        <is>
          <t>2147</t>
        </is>
      </c>
      <c r="B118" s="51" t="inlineStr">
        <is>
          <t>ZHENGWEI GROUP</t>
        </is>
      </c>
      <c r="C118" s="259" t="n">
        <v>44939</v>
      </c>
      <c r="D118" s="262" t="n">
        <v>0.5600000000000001</v>
      </c>
      <c r="E118" s="85">
        <f>IFERROR($D118/0.05,"")</f>
        <v/>
      </c>
      <c r="F118" s="85">
        <f>IFERROR(INDEX(BDH(TEXT(VALUE($A118),"0")&amp;" HK Equity","PX_LAST",$C118,$C118),MATCH($C118,INDEX(BDH(TEXT(VALUE($A118),"0")&amp;" HK Equity","PX_LAST",$C118,$C118),0,1),0),2),"run on terminal")</f>
        <v/>
      </c>
      <c r="G118" s="43">
        <f>IF(NOT(ISNUMBER($F118)),"run on terminal",IF(ABS($F118/$E118-1)&lt;0.02,"MATCH","CHECK: BBG "&amp;TEXT($F118,"0.000")))</f>
        <v/>
      </c>
      <c r="H118" s="247" t="inlineStr">
        <is>
          <t>2025-12-30 x0.05 (Bloomberg basis x0.05)</t>
        </is>
      </c>
    </row>
    <row r="119" ht="23" customHeight="1">
      <c r="A119" s="258" t="inlineStr">
        <is>
          <t>2160</t>
        </is>
      </c>
      <c r="B119" s="51" t="inlineStr">
        <is>
          <t>CARDIOFLOW-B</t>
        </is>
      </c>
      <c r="C119" s="259" t="n">
        <v>44231</v>
      </c>
      <c r="D119" s="262" t="n">
        <v>18.82</v>
      </c>
      <c r="E119" s="85">
        <f>IFERROR($D119/0.2,"")</f>
        <v/>
      </c>
      <c r="F119" s="85">
        <f>IFERROR(INDEX(BDH(TEXT(VALUE($A119),"0")&amp;" HK Equity","PX_LAST",$C119,$C119),MATCH($C119,INDEX(BDH(TEXT(VALUE($A119),"0")&amp;" HK Equity","PX_LAST",$C119,$C119),0,1),0),2),"run on terminal")</f>
        <v/>
      </c>
      <c r="G119" s="43">
        <f>IF(NOT(ISNUMBER($F119)),"run on terminal",IF(ABS($F119/$E119-1)&lt;0.02,"MATCH","CHECK: BBG "&amp;TEXT($F119,"0.000")))</f>
        <v/>
      </c>
      <c r="H119" s="247" t="inlineStr">
        <is>
          <t>2026-02-24 x0.2 (Bloomberg basis x0.2)</t>
        </is>
      </c>
    </row>
    <row r="120" ht="23" customHeight="1">
      <c r="A120" s="258" t="inlineStr">
        <is>
          <t>2195</t>
        </is>
      </c>
      <c r="B120" s="51" t="inlineStr">
        <is>
          <t>UNITY ENT</t>
        </is>
      </c>
      <c r="C120" s="259" t="n">
        <v>44286</v>
      </c>
      <c r="D120" s="262" t="n">
        <v>0.33</v>
      </c>
      <c r="E120" s="85">
        <f>IFERROR($D120/0.1,"")</f>
        <v/>
      </c>
      <c r="F120" s="85">
        <f>IFERROR(INDEX(BDH(TEXT(VALUE($A120),"0")&amp;" HK Equity","PX_LAST",$C120,$C120),MATCH($C120,INDEX(BDH(TEXT(VALUE($A120),"0")&amp;" HK Equity","PX_LAST",$C120,$C120),0,1),0),2),"run on terminal")</f>
        <v/>
      </c>
      <c r="G120" s="43">
        <f>IF(NOT(ISNUMBER($F120)),"run on terminal",IF(ABS($F120/$E120-1)&lt;0.02,"MATCH","CHECK: BBG "&amp;TEXT($F120,"0.000")))</f>
        <v/>
      </c>
      <c r="H120" s="247" t="inlineStr">
        <is>
          <t>2025-10-30 x0.1 (Bloomberg basis x0.1)</t>
        </is>
      </c>
    </row>
    <row r="121" ht="23" customHeight="1">
      <c r="A121" s="258" t="inlineStr">
        <is>
          <t>2246</t>
        </is>
      </c>
      <c r="B121" s="51" t="inlineStr">
        <is>
          <t>GOGOX</t>
        </is>
      </c>
      <c r="C121" s="259" t="n">
        <v>44736</v>
      </c>
      <c r="D121" s="262" t="n">
        <v>16.721</v>
      </c>
      <c r="E121" s="85">
        <f>IFERROR($D121/0.1,"")</f>
        <v/>
      </c>
      <c r="F121" s="85">
        <f>IFERROR(INDEX(BDH(TEXT(VALUE($A121),"0")&amp;" HK Equity","PX_LAST",$C121,$C121),MATCH($C121,INDEX(BDH(TEXT(VALUE($A121),"0")&amp;" HK Equity","PX_LAST",$C121,$C121),0,1),0),2),"run on terminal")</f>
        <v/>
      </c>
      <c r="G121" s="43">
        <f>IF(NOT(ISNUMBER($F121)),"run on terminal",IF(ABS($F121/$E121-1)&lt;0.02,"MATCH","CHECK: BBG "&amp;TEXT($F121,"0.000")))</f>
        <v/>
      </c>
      <c r="H121" s="247" t="inlineStr">
        <is>
          <t>2025-04-25 x0.1 (Bloomberg basis x0.1)</t>
        </is>
      </c>
    </row>
    <row r="122" ht="23" customHeight="1">
      <c r="A122" s="258" t="inlineStr">
        <is>
          <t>2350</t>
        </is>
      </c>
      <c r="B122" s="51" t="inlineStr">
        <is>
          <t>MTT GROUP</t>
        </is>
      </c>
      <c r="C122" s="259" t="n">
        <v>44830</v>
      </c>
      <c r="D122" s="262" t="n">
        <v>0.62</v>
      </c>
      <c r="E122" s="85">
        <f>IFERROR($D122/1.246,"")</f>
        <v/>
      </c>
      <c r="F122" s="85">
        <f>IFERROR(INDEX(BDH(TEXT(VALUE($A122),"0")&amp;" HK Equity","PX_LAST",$C122,$C122),MATCH($C122,INDEX(BDH(TEXT(VALUE($A122),"0")&amp;" HK Equity","PX_LAST",$C122,$C122),0,1),0),2),"run on terminal")</f>
        <v/>
      </c>
      <c r="G122" s="43">
        <f>IF(NOT(ISNUMBER($F122)),"run on terminal",IF(ABS($F122/$E122-1)&lt;0.02,"MATCH","CHECK: BBG "&amp;TEXT($F122,"0.000")))</f>
        <v/>
      </c>
      <c r="H122" s="247" t="inlineStr">
        <is>
          <t>2026-06-15 rights 2-for-5 @ HK$0.275 (BBG-only x1.246) (Bloomberg basis x1.246)</t>
        </is>
      </c>
    </row>
    <row r="123" ht="23" customHeight="1">
      <c r="A123" s="258" t="inlineStr">
        <is>
          <t>2402</t>
        </is>
      </c>
      <c r="B123" s="51" t="inlineStr">
        <is>
          <t>SINOHYTEC</t>
        </is>
      </c>
      <c r="C123" s="259" t="n">
        <v>44938</v>
      </c>
      <c r="D123" s="262" t="n">
        <v>60</v>
      </c>
      <c r="E123" s="85">
        <f>IFERROR($D123/1.9599999999999997,"")</f>
        <v/>
      </c>
      <c r="F123" s="85">
        <f>IFERROR(INDEX(BDH(TEXT(VALUE($A123),"0")&amp;" HK Equity","PX_LAST",$C123,$C123),MATCH($C123,INDEX(BDH(TEXT(VALUE($A123),"0")&amp;" HK Equity","PX_LAST",$C123,$C123),0,1),0),2),"run on terminal")</f>
        <v/>
      </c>
      <c r="G123" s="43">
        <f>IF(NOT(ISNUMBER($F123)),"run on terminal",IF(ABS($F123/$E123-1)&lt;0.02,"MATCH","CHECK: BBG "&amp;TEXT($F123,"0.000")))</f>
        <v/>
      </c>
      <c r="H123" s="247" t="inlineStr">
        <is>
          <t>2023-06-21 x1.4; 2024-07-04 x1.4 (Bloomberg basis x1.96)</t>
        </is>
      </c>
    </row>
    <row r="124" ht="23" customHeight="1">
      <c r="A124" s="258" t="inlineStr">
        <is>
          <t>2422</t>
        </is>
      </c>
      <c r="B124" s="51" t="inlineStr">
        <is>
          <t>REGO INTERACT</t>
        </is>
      </c>
      <c r="C124" s="259" t="n">
        <v>44851</v>
      </c>
      <c r="D124" s="262" t="n">
        <v>1.35</v>
      </c>
      <c r="E124" s="85">
        <f>IFERROR($D124/1.1936,"")</f>
        <v/>
      </c>
      <c r="F124" s="85">
        <f>IFERROR(INDEX(BDH(TEXT(VALUE($A124),"0")&amp;" HK Equity","PX_LAST",$C124,$C124),MATCH($C124,INDEX(BDH(TEXT(VALUE($A124),"0")&amp;" HK Equity","PX_LAST",$C124,$C124),0,1),0),2),"run on terminal")</f>
        <v/>
      </c>
      <c r="G124" s="43">
        <f>IF(NOT(ISNUMBER($F124)),"run on terminal",IF(ABS($F124/$E124-1)&lt;0.02,"MATCH","CHECK: BBG "&amp;TEXT($F124,"0.000")))</f>
        <v/>
      </c>
      <c r="H124" s="247" t="inlineStr">
        <is>
          <t>2022-11 UNVERIFIED entitlement-class adjustment (BBG-only x1.1936) (Bloomberg basis x1.1936)</t>
        </is>
      </c>
    </row>
    <row r="125" ht="23" customHeight="1">
      <c r="A125" s="258" t="inlineStr">
        <is>
          <t>2440</t>
        </is>
      </c>
      <c r="B125" s="51" t="inlineStr">
        <is>
          <t>HOWKINGTECH</t>
        </is>
      </c>
      <c r="C125" s="259" t="n">
        <v>44907</v>
      </c>
      <c r="D125" s="262" t="n">
        <v>2</v>
      </c>
      <c r="E125" s="85">
        <f>IFERROR($D125/1.22414,"")</f>
        <v/>
      </c>
      <c r="F125" s="85">
        <f>IFERROR(INDEX(BDH(TEXT(VALUE($A125),"0")&amp;" HK Equity","PX_LAST",$C125,$C125),MATCH($C125,INDEX(BDH(TEXT(VALUE($A125),"0")&amp;" HK Equity","PX_LAST",$C125,$C125),0,1),0),2),"run on terminal")</f>
        <v/>
      </c>
      <c r="G125" s="43">
        <f>IF(NOT(ISNUMBER($F125)),"run on terminal",IF(ABS($F125/$E125-1)&lt;0.02,"MATCH","CHECK: BBG "&amp;TEXT($F125,"0.000")))</f>
        <v/>
      </c>
      <c r="H125" s="247" t="inlineStr">
        <is>
          <t>2025-06-24 rights 1-for-2 @ HK$1.262 (now MemeStrategy) (BBG-only x1.22414) (Bloomberg basis x1.22414)</t>
        </is>
      </c>
    </row>
    <row r="126" ht="23" customHeight="1">
      <c r="A126" s="258" t="inlineStr">
        <is>
          <t>2459</t>
        </is>
      </c>
      <c r="B126" s="51" t="inlineStr">
        <is>
          <t>SANERGY GROUP</t>
        </is>
      </c>
      <c r="C126" s="259" t="n">
        <v>44943</v>
      </c>
      <c r="D126" s="262" t="n">
        <v>1.78</v>
      </c>
      <c r="E126" s="85">
        <f>IFERROR($D126/0.1195431,"")</f>
        <v/>
      </c>
      <c r="F126" s="85">
        <f>IFERROR(INDEX(BDH(TEXT(VALUE($A126),"0")&amp;" HK Equity","PX_LAST",$C126,$C126),MATCH($C126,INDEX(BDH(TEXT(VALUE($A126),"0")&amp;" HK Equity","PX_LAST",$C126,$C126),0,1),0),2),"run on terminal")</f>
        <v/>
      </c>
      <c r="G126" s="43">
        <f>IF(NOT(ISNUMBER($F126)),"run on terminal",IF(ABS($F126/$E126-1)&lt;0.02,"MATCH","CHECK: BBG "&amp;TEXT($F126,"0.000")))</f>
        <v/>
      </c>
      <c r="H126" s="247" t="inlineStr">
        <is>
          <t>2026-05-14 x0.1; 2025-07-16 rights 1-for-2 @ HK$0.08 (pre-consolidation) (BBG-only x1.19543) (Bloomberg basis x0.119543)</t>
        </is>
      </c>
    </row>
    <row r="127" ht="23" customHeight="1">
      <c r="A127" s="258" t="inlineStr">
        <is>
          <t>2473</t>
        </is>
      </c>
      <c r="B127" s="51" t="inlineStr">
        <is>
          <t>XXF</t>
        </is>
      </c>
      <c r="C127" s="259" t="n">
        <v>45239</v>
      </c>
      <c r="D127" s="262" t="n">
        <v>1.64</v>
      </c>
      <c r="E127" s="85">
        <f>IFERROR($D127/3.0,"")</f>
        <v/>
      </c>
      <c r="F127" s="85">
        <f>IFERROR(INDEX(BDH(TEXT(VALUE($A127),"0")&amp;" HK Equity","PX_LAST",$C127,$C127),MATCH($C127,INDEX(BDH(TEXT(VALUE($A127),"0")&amp;" HK Equity","PX_LAST",$C127,$C127),0,1),0),2),"run on terminal")</f>
        <v/>
      </c>
      <c r="G127" s="43">
        <f>IF(NOT(ISNUMBER($F127)),"run on terminal",IF(ABS($F127/$E127-1)&lt;0.02,"MATCH","CHECK: BBG "&amp;TEXT($F127,"0.000")))</f>
        <v/>
      </c>
      <c r="H127" s="247" t="inlineStr">
        <is>
          <t>2024-12-06 x3 (Bloomberg basis x3)</t>
        </is>
      </c>
    </row>
    <row r="128" ht="23" customHeight="1">
      <c r="A128" s="258" t="inlineStr">
        <is>
          <t>2477</t>
        </is>
      </c>
      <c r="B128" s="51" t="inlineStr">
        <is>
          <t>WELLCELL HOLD</t>
        </is>
      </c>
      <c r="C128" s="259" t="n">
        <v>45303</v>
      </c>
      <c r="D128" s="262" t="n">
        <v>2.64</v>
      </c>
      <c r="E128" s="85">
        <f>IFERROR($D128/8.0,"")</f>
        <v/>
      </c>
      <c r="F128" s="85">
        <f>IFERROR(INDEX(BDH(TEXT(VALUE($A128),"0")&amp;" HK Equity","PX_LAST",$C128,$C128),MATCH($C128,INDEX(BDH(TEXT(VALUE($A128),"0")&amp;" HK Equity","PX_LAST",$C128,$C128),0,1),0),2),"run on terminal")</f>
        <v/>
      </c>
      <c r="G128" s="43">
        <f>IF(NOT(ISNUMBER($F128)),"run on terminal",IF(ABS($F128/$E128-1)&lt;0.02,"MATCH","CHECK: BBG "&amp;TEXT($F128,"0.000")))</f>
        <v/>
      </c>
      <c r="H128" s="247" t="inlineStr">
        <is>
          <t>2025-03-31 x2; 2026-04-21 x4 (Bloomberg basis x8)</t>
        </is>
      </c>
    </row>
    <row r="129" ht="23" customHeight="1">
      <c r="A129" s="258" t="inlineStr">
        <is>
          <t>2490</t>
        </is>
      </c>
      <c r="B129" s="51" t="inlineStr">
        <is>
          <t>LC LOGISTICS</t>
        </is>
      </c>
      <c r="C129" s="259" t="n">
        <v>45194</v>
      </c>
      <c r="D129" s="262" t="n">
        <v>5.1</v>
      </c>
      <c r="E129" s="85">
        <f>IFERROR($D129/2.0,"")</f>
        <v/>
      </c>
      <c r="F129" s="85">
        <f>IFERROR(INDEX(BDH(TEXT(VALUE($A129),"0")&amp;" HK Equity","PX_LAST",$C129,$C129),MATCH($C129,INDEX(BDH(TEXT(VALUE($A129),"0")&amp;" HK Equity","PX_LAST",$C129,$C129),0,1),0),2),"run on terminal")</f>
        <v/>
      </c>
      <c r="G129" s="43">
        <f>IF(NOT(ISNUMBER($F129)),"run on terminal",IF(ABS($F129/$E129-1)&lt;0.02,"MATCH","CHECK: BBG "&amp;TEXT($F129,"0.000")))</f>
        <v/>
      </c>
      <c r="H129" s="247" t="inlineStr">
        <is>
          <t>2025-07-28 x2 (Bloomberg basis x2)</t>
        </is>
      </c>
    </row>
    <row r="130" ht="23" customHeight="1">
      <c r="A130" s="258" t="inlineStr">
        <is>
          <t>2525</t>
        </is>
      </c>
      <c r="B130" s="51" t="inlineStr">
        <is>
          <t>HESAI-W</t>
        </is>
      </c>
      <c r="C130" s="259" t="n">
        <v>45916</v>
      </c>
      <c r="D130" s="262" t="n">
        <v>233.995</v>
      </c>
      <c r="E130" s="85">
        <f>IFERROR($D130/8.0,"")</f>
        <v/>
      </c>
      <c r="F130" s="85">
        <f>IFERROR(INDEX(BDH(TEXT(VALUE($A130),"0")&amp;" HK Equity","PX_LAST",$C130,$C130),MATCH($C130,INDEX(BDH(TEXT(VALUE($A130),"0")&amp;" HK Equity","PX_LAST",$C130,$C130),0,1),0),2),"run on terminal")</f>
        <v/>
      </c>
      <c r="G130" s="43">
        <f>IF(NOT(ISNUMBER($F130)),"run on terminal",IF(ABS($F130/$E130-1)&lt;0.02,"MATCH","CHECK: BBG "&amp;TEXT($F130,"0.000")))</f>
        <v/>
      </c>
      <c r="H130" s="247" t="inlineStr">
        <is>
          <t>2026-07-10 x8 (Bloomberg basis x8)</t>
        </is>
      </c>
    </row>
    <row r="131" ht="23" customHeight="1">
      <c r="A131" s="258" t="inlineStr">
        <is>
          <t>2635</t>
        </is>
      </c>
      <c r="B131" s="51" t="inlineStr">
        <is>
          <t>NUOBIKAN</t>
        </is>
      </c>
      <c r="C131" s="259" t="n">
        <v>46014</v>
      </c>
      <c r="D131" s="262" t="n">
        <v>371</v>
      </c>
      <c r="E131" s="85">
        <f>IFERROR($D131/10.0,"")</f>
        <v/>
      </c>
      <c r="F131" s="85">
        <f>IFERROR(INDEX(BDH(TEXT(VALUE($A131),"0")&amp;" HK Equity","PX_LAST",$C131,$C131),MATCH($C131,INDEX(BDH(TEXT(VALUE($A131),"0")&amp;" HK Equity","PX_LAST",$C131,$C131),0,1),0),2),"run on terminal")</f>
        <v/>
      </c>
      <c r="G131" s="43">
        <f>IF(NOT(ISNUMBER($F131)),"run on terminal",IF(ABS($F131/$E131-1)&lt;0.02,"MATCH","CHECK: BBG "&amp;TEXT($F131,"0.000")))</f>
        <v/>
      </c>
      <c r="H131" s="247" t="inlineStr">
        <is>
          <t>2026-03-11 x10 (Bloomberg basis x10)</t>
        </is>
      </c>
    </row>
    <row r="132" ht="23" customHeight="1">
      <c r="A132" s="258" t="inlineStr">
        <is>
          <t>2650</t>
        </is>
      </c>
      <c r="B132" s="51" t="inlineStr">
        <is>
          <t>ZHIDA TECH</t>
        </is>
      </c>
      <c r="C132" s="259" t="n">
        <v>45940</v>
      </c>
      <c r="D132" s="262" t="n">
        <v>195.5</v>
      </c>
      <c r="E132" s="85">
        <f>IFERROR($D132/5.0,"")</f>
        <v/>
      </c>
      <c r="F132" s="85">
        <f>IFERROR(INDEX(BDH(TEXT(VALUE($A132),"0")&amp;" HK Equity","PX_LAST",$C132,$C132),MATCH($C132,INDEX(BDH(TEXT(VALUE($A132),"0")&amp;" HK Equity","PX_LAST",$C132,$C132),0,1),0),2),"run on terminal")</f>
        <v/>
      </c>
      <c r="G132" s="43">
        <f>IF(NOT(ISNUMBER($F132)),"run on terminal",IF(ABS($F132/$E132-1)&lt;0.02,"MATCH","CHECK: BBG "&amp;TEXT($F132,"0.000")))</f>
        <v/>
      </c>
      <c r="H132" s="247" t="inlineStr">
        <is>
          <t>2026-03-03 x5 (Bloomberg basis x5)</t>
        </is>
      </c>
    </row>
    <row r="133" ht="23" customHeight="1">
      <c r="A133" s="258" t="inlineStr">
        <is>
          <t>2651</t>
        </is>
      </c>
      <c r="B133" s="51" t="inlineStr">
        <is>
          <t>DAZHONG DENTAL</t>
        </is>
      </c>
      <c r="C133" s="259" t="n">
        <v>45847</v>
      </c>
      <c r="D133" s="262" t="n">
        <v>20.7</v>
      </c>
      <c r="E133" s="85">
        <f>IFERROR($D133/1.2,"")</f>
        <v/>
      </c>
      <c r="F133" s="85">
        <f>IFERROR(INDEX(BDH(TEXT(VALUE($A133),"0")&amp;" HK Equity","PX_LAST",$C133,$C133),MATCH($C133,INDEX(BDH(TEXT(VALUE($A133),"0")&amp;" HK Equity","PX_LAST",$C133,$C133),0,1),0),2),"run on terminal")</f>
        <v/>
      </c>
      <c r="G133" s="43">
        <f>IF(NOT(ISNUMBER($F133)),"run on terminal",IF(ABS($F133/$E133-1)&lt;0.02,"MATCH","CHECK: BBG "&amp;TEXT($F133,"0.000")))</f>
        <v/>
      </c>
      <c r="H133" s="247" t="inlineStr">
        <is>
          <t>2026-09-18 x1.2 (Bloomberg basis x1.2)</t>
        </is>
      </c>
    </row>
    <row r="134" ht="23" customHeight="1">
      <c r="A134" s="258" t="inlineStr">
        <is>
          <t>2670</t>
        </is>
      </c>
      <c r="B134" s="51" t="inlineStr">
        <is>
          <t>YUNJI</t>
        </is>
      </c>
      <c r="C134" s="259" t="n">
        <v>45946</v>
      </c>
      <c r="D134" s="262" t="n">
        <v>120.504</v>
      </c>
      <c r="E134" s="85">
        <f>IFERROR($D134/10.0,"")</f>
        <v/>
      </c>
      <c r="F134" s="85">
        <f>IFERROR(INDEX(BDH(TEXT(VALUE($A134),"0")&amp;" HK Equity","PX_LAST",$C134,$C134),MATCH($C134,INDEX(BDH(TEXT(VALUE($A134),"0")&amp;" HK Equity","PX_LAST",$C134,$C134),0,1),0),2),"run on terminal")</f>
        <v/>
      </c>
      <c r="G134" s="43">
        <f>IF(NOT(ISNUMBER($F134)),"run on terminal",IF(ABS($F134/$E134-1)&lt;0.02,"MATCH","CHECK: BBG "&amp;TEXT($F134,"0.000")))</f>
        <v/>
      </c>
      <c r="H134" s="247" t="inlineStr">
        <is>
          <t>2026-09-23 x10 (Bloomberg basis x10)</t>
        </is>
      </c>
    </row>
    <row r="135" ht="23" customHeight="1">
      <c r="A135" s="258" t="inlineStr">
        <is>
          <t>2691</t>
        </is>
      </c>
      <c r="B135" s="51" t="inlineStr">
        <is>
          <t>NANHUA FUTURES</t>
        </is>
      </c>
      <c r="C135" s="259" t="n">
        <v>46013</v>
      </c>
      <c r="D135" s="262" t="n">
        <v>9.1</v>
      </c>
      <c r="E135" s="85">
        <f>IFERROR($D135/1.45,"")</f>
        <v/>
      </c>
      <c r="F135" s="85">
        <f>IFERROR(INDEX(BDH(TEXT(VALUE($A135),"0")&amp;" HK Equity","PX_LAST",$C135,$C135),MATCH($C135,INDEX(BDH(TEXT(VALUE($A135),"0")&amp;" HK Equity","PX_LAST",$C135,$C135),0,1),0),2),"run on terminal")</f>
        <v/>
      </c>
      <c r="G135" s="43">
        <f>IF(NOT(ISNUMBER($F135)),"run on terminal",IF(ABS($F135/$E135-1)&lt;0.02,"MATCH","CHECK: BBG "&amp;TEXT($F135,"0.000")))</f>
        <v/>
      </c>
      <c r="H135" s="247" t="inlineStr">
        <is>
          <t>2026-06-17 x1.45 (Bloomberg basis x1.45)</t>
        </is>
      </c>
    </row>
    <row r="136" ht="23" customHeight="1">
      <c r="A136" s="258" t="inlineStr">
        <is>
          <t>2768</t>
        </is>
      </c>
      <c r="B136" s="51" t="inlineStr">
        <is>
          <t>GON TECHNOLOGY</t>
        </is>
      </c>
      <c r="C136" s="259" t="n">
        <v>46057</v>
      </c>
      <c r="D136" s="262" t="n">
        <v>40.162</v>
      </c>
      <c r="E136" s="85">
        <f>IFERROR($D136/1.48,"")</f>
        <v/>
      </c>
      <c r="F136" s="85">
        <f>IFERROR(INDEX(BDH(TEXT(VALUE($A136),"0")&amp;" HK Equity","PX_LAST",$C136,$C136),MATCH($C136,INDEX(BDH(TEXT(VALUE($A136),"0")&amp;" HK Equity","PX_LAST",$C136,$C136),0,1),0),2),"run on terminal")</f>
        <v/>
      </c>
      <c r="G136" s="43">
        <f>IF(NOT(ISNUMBER($F136)),"run on terminal",IF(ABS($F136/$E136-1)&lt;0.02,"MATCH","CHECK: BBG "&amp;TEXT($F136,"0.000")))</f>
        <v/>
      </c>
      <c r="H136" s="247" t="inlineStr">
        <is>
          <t>2026-06-17 x1.48 (Bloomberg basis x1.48)</t>
        </is>
      </c>
    </row>
    <row r="137" ht="23" customHeight="1">
      <c r="A137" s="258" t="inlineStr">
        <is>
          <t>3296</t>
        </is>
      </c>
      <c r="B137" s="51" t="inlineStr">
        <is>
          <t>HUAQIN</t>
        </is>
      </c>
      <c r="C137" s="259" t="n">
        <v>46135</v>
      </c>
      <c r="D137" s="262" t="n">
        <v>88.003</v>
      </c>
      <c r="E137" s="85">
        <f>IFERROR($D137/1.4,"")</f>
        <v/>
      </c>
      <c r="F137" s="85">
        <f>IFERROR(INDEX(BDH(TEXT(VALUE($A137),"0")&amp;" HK Equity","PX_LAST",$C137,$C137),MATCH($C137,INDEX(BDH(TEXT(VALUE($A137),"0")&amp;" HK Equity","PX_LAST",$C137,$C137),0,1),0),2),"run on terminal")</f>
        <v/>
      </c>
      <c r="G137" s="43">
        <f>IF(NOT(ISNUMBER($F137)),"run on terminal",IF(ABS($F137/$E137-1)&lt;0.02,"MATCH","CHECK: BBG "&amp;TEXT($F137,"0.000")))</f>
        <v/>
      </c>
      <c r="H137" s="247" t="inlineStr">
        <is>
          <t>2026-05-22 x1.4 (Bloomberg basis x1.4)</t>
        </is>
      </c>
    </row>
    <row r="138" ht="23" customHeight="1">
      <c r="A138" s="258" t="inlineStr">
        <is>
          <t>3881</t>
        </is>
      </c>
      <c r="B138" s="51" t="inlineStr">
        <is>
          <t>CIDI</t>
        </is>
      </c>
      <c r="C138" s="259" t="n">
        <v>46010</v>
      </c>
      <c r="D138" s="262" t="n">
        <v>226.995</v>
      </c>
      <c r="E138" s="85">
        <f>IFERROR($D138/10.0,"")</f>
        <v/>
      </c>
      <c r="F138" s="85">
        <f>IFERROR(INDEX(BDH(TEXT(VALUE($A138),"0")&amp;" HK Equity","PX_LAST",$C138,$C138),MATCH($C138,INDEX(BDH(TEXT(VALUE($A138),"0")&amp;" HK Equity","PX_LAST",$C138,$C138),0,1),0),2),"run on terminal")</f>
        <v/>
      </c>
      <c r="G138" s="43">
        <f>IF(NOT(ISNUMBER($F138)),"run on terminal",IF(ABS($F138/$E138-1)&lt;0.02,"MATCH","CHECK: BBG "&amp;TEXT($F138,"0.000")))</f>
        <v/>
      </c>
      <c r="H138" s="247" t="inlineStr">
        <is>
          <t>2026-03-02 x10 (Bloomberg basis x10)</t>
        </is>
      </c>
    </row>
    <row r="139" ht="23" customHeight="1">
      <c r="A139" s="258" t="inlineStr">
        <is>
          <t>6127</t>
        </is>
      </c>
      <c r="B139" s="51" t="inlineStr">
        <is>
          <t>JOINN</t>
        </is>
      </c>
      <c r="C139" s="259" t="n">
        <v>44253</v>
      </c>
      <c r="D139" s="262" t="n">
        <v>137.999</v>
      </c>
      <c r="E139" s="85">
        <f>IFERROR($D139/2.7439999999999993,"")</f>
        <v/>
      </c>
      <c r="F139" s="85">
        <f>IFERROR(INDEX(BDH(TEXT(VALUE($A139),"0")&amp;" HK Equity","PX_LAST",$C139,$C139),MATCH($C139,INDEX(BDH(TEXT(VALUE($A139),"0")&amp;" HK Equity","PX_LAST",$C139,$C139),0,1),0),2),"run on terminal")</f>
        <v/>
      </c>
      <c r="G139" s="43">
        <f>IF(NOT(ISNUMBER($F139)),"run on terminal",IF(ABS($F139/$E139-1)&lt;0.02,"MATCH","CHECK: BBG "&amp;TEXT($F139,"0.000")))</f>
        <v/>
      </c>
      <c r="H139" s="247" t="inlineStr">
        <is>
          <t>2021-06-23 x1.4; 2022-07-28 x1.4; 2023-06-20 x1.4 (Bloomberg basis x2.744)</t>
        </is>
      </c>
    </row>
    <row r="140" ht="23" customHeight="1">
      <c r="A140" s="258" t="inlineStr">
        <is>
          <t>6610</t>
        </is>
      </c>
      <c r="B140" s="51" t="inlineStr">
        <is>
          <t>FLOWING CLOUD</t>
        </is>
      </c>
      <c r="C140" s="259" t="n">
        <v>44852</v>
      </c>
      <c r="D140" s="262" t="n">
        <v>2.12</v>
      </c>
      <c r="E140" s="85">
        <f>IFERROR($D140/0.05,"")</f>
        <v/>
      </c>
      <c r="F140" s="85">
        <f>IFERROR(INDEX(BDH(TEXT(VALUE($A140),"0")&amp;" HK Equity","PX_LAST",$C140,$C140),MATCH($C140,INDEX(BDH(TEXT(VALUE($A140),"0")&amp;" HK Equity","PX_LAST",$C140,$C140),0,1),0),2),"run on terminal")</f>
        <v/>
      </c>
      <c r="G140" s="43">
        <f>IF(NOT(ISNUMBER($F140)),"run on terminal",IF(ABS($F140/$E140-1)&lt;0.02,"MATCH","CHECK: BBG "&amp;TEXT($F140,"0.000")))</f>
        <v/>
      </c>
      <c r="H140" s="247" t="inlineStr">
        <is>
          <t>2025-12-05 x0.05 (Bloomberg basis x0.05)</t>
        </is>
      </c>
    </row>
    <row r="141" ht="23" customHeight="1">
      <c r="A141" s="258" t="inlineStr">
        <is>
          <t>6680</t>
        </is>
      </c>
      <c r="B141" s="51" t="inlineStr">
        <is>
          <t>JLMAG</t>
        </is>
      </c>
      <c r="C141" s="259" t="n">
        <v>44575</v>
      </c>
      <c r="D141" s="262" t="n">
        <v>28.199</v>
      </c>
      <c r="E141" s="85">
        <f>IFERROR($D141/1.6,"")</f>
        <v/>
      </c>
      <c r="F141" s="85">
        <f>IFERROR(INDEX(BDH(TEXT(VALUE($A141),"0")&amp;" HK Equity","PX_LAST",$C141,$C141),MATCH($C141,INDEX(BDH(TEXT(VALUE($A141),"0")&amp;" HK Equity","PX_LAST",$C141,$C141),0,1),0),2),"run on terminal")</f>
        <v/>
      </c>
      <c r="G141" s="43">
        <f>IF(NOT(ISNUMBER($F141)),"run on terminal",IF(ABS($F141/$E141-1)&lt;0.02,"MATCH","CHECK: BBG "&amp;TEXT($F141,"0.000")))</f>
        <v/>
      </c>
      <c r="H141" s="247" t="inlineStr">
        <is>
          <t>2023-06-26 x1.6 (Bloomberg basis x1.6)</t>
        </is>
      </c>
    </row>
    <row r="142" ht="23" customHeight="1">
      <c r="A142" s="258" t="inlineStr">
        <is>
          <t>6686</t>
        </is>
      </c>
      <c r="B142" s="51" t="inlineStr">
        <is>
          <t>NOAH HOLDINGS-S</t>
        </is>
      </c>
      <c r="C142" s="259" t="n">
        <v>44755</v>
      </c>
      <c r="D142" s="262" t="n">
        <v>279.006</v>
      </c>
      <c r="E142" s="85">
        <f>IFERROR($D142/10.0,"")</f>
        <v/>
      </c>
      <c r="F142" s="85">
        <f>IFERROR(INDEX(BDH(TEXT(VALUE($A142),"0")&amp;" HK Equity","PX_LAST",$C142,$C142),MATCH($C142,INDEX(BDH(TEXT(VALUE($A142),"0")&amp;" HK Equity","PX_LAST",$C142,$C142),0,1),0),2),"run on terminal")</f>
        <v/>
      </c>
      <c r="G142" s="43">
        <f>IF(NOT(ISNUMBER($F142)),"run on terminal",IF(ABS($F142/$E142-1)&lt;0.02,"MATCH","CHECK: BBG "&amp;TEXT($F142,"0.000")))</f>
        <v/>
      </c>
      <c r="H142" s="247" t="inlineStr">
        <is>
          <t>2023-10-30 x10 (Bloomberg basis x10)</t>
        </is>
      </c>
    </row>
    <row r="143" ht="23" customHeight="1">
      <c r="A143" s="258" t="inlineStr">
        <is>
          <t>6696</t>
        </is>
      </c>
      <c r="B143" s="51" t="inlineStr">
        <is>
          <t>MANY IDEA CLOUD</t>
        </is>
      </c>
      <c r="C143" s="259" t="n">
        <v>44874</v>
      </c>
      <c r="D143" s="262" t="n">
        <v>2</v>
      </c>
      <c r="E143" s="85">
        <f>IFERROR($D143/0.06211222837500001,"")</f>
        <v/>
      </c>
      <c r="F143" s="85">
        <f>IFERROR(INDEX(BDH(TEXT(VALUE($A143),"0")&amp;" HK Equity","PX_LAST",$C143,$C143),MATCH($C143,INDEX(BDH(TEXT(VALUE($A143),"0")&amp;" HK Equity","PX_LAST",$C143,$C143),0,1),0),2),"run on terminal")</f>
        <v/>
      </c>
      <c r="G143" s="43">
        <f>IF(NOT(ISNUMBER($F143)),"run on terminal",IF(ABS($F143/$E143-1)&lt;0.02,"MATCH","CHECK: BBG "&amp;TEXT($F143,"0.000")))</f>
        <v/>
      </c>
      <c r="H143" s="247" t="inlineStr">
        <is>
          <t>2025-02-12 x0.05; 2024-03-12 open offer 1-for-2 @ HK$0.15 (BBG-only x1.13235); 2025-11-26 rights 6-for-1 @ HK$0.4753 (post-consolidation) (BBG-only x1.09705) (Bloomberg basis x0.0621122)</t>
        </is>
      </c>
    </row>
    <row r="144" ht="23" customHeight="1">
      <c r="A144" s="258" t="inlineStr">
        <is>
          <t>6821</t>
        </is>
      </c>
      <c r="B144" s="51" t="inlineStr">
        <is>
          <t>ASYMCHEM</t>
        </is>
      </c>
      <c r="C144" s="259" t="n">
        <v>44540</v>
      </c>
      <c r="D144" s="262" t="n">
        <v>369.997</v>
      </c>
      <c r="E144" s="85">
        <f>IFERROR($D144/1.4,"")</f>
        <v/>
      </c>
      <c r="F144" s="85">
        <f>IFERROR(INDEX(BDH(TEXT(VALUE($A144),"0")&amp;" HK Equity","PX_LAST",$C144,$C144),MATCH($C144,INDEX(BDH(TEXT(VALUE($A144),"0")&amp;" HK Equity","PX_LAST",$C144,$C144),0,1),0),2),"run on terminal")</f>
        <v/>
      </c>
      <c r="G144" s="43">
        <f>IF(NOT(ISNUMBER($F144)),"run on terminal",IF(ABS($F144/$E144-1)&lt;0.02,"MATCH","CHECK: BBG "&amp;TEXT($F144,"0.000")))</f>
        <v/>
      </c>
      <c r="H144" s="247" t="inlineStr">
        <is>
          <t>2022-07-11 x1.4 (Bloomberg basis x1.4)</t>
        </is>
      </c>
    </row>
    <row r="145" ht="23" customHeight="1">
      <c r="A145" s="258" t="inlineStr">
        <is>
          <t>6911</t>
        </is>
      </c>
      <c r="B145" s="51" t="inlineStr">
        <is>
          <t>LANCANG TEA</t>
        </is>
      </c>
      <c r="C145" s="259" t="n">
        <v>45282</v>
      </c>
      <c r="D145" s="262" t="n">
        <v>8.699999999999999</v>
      </c>
      <c r="E145" s="85">
        <f>IFERROR($D145/1.5,"")</f>
        <v/>
      </c>
      <c r="F145" s="85">
        <f>IFERROR(INDEX(BDH(TEXT(VALUE($A145),"0")&amp;" HK Equity","PX_LAST",$C145,$C145),MATCH($C145,INDEX(BDH(TEXT(VALUE($A145),"0")&amp;" HK Equity","PX_LAST",$C145,$C145),0,1),0),2),"run on terminal")</f>
        <v/>
      </c>
      <c r="G145" s="43">
        <f>IF(NOT(ISNUMBER($F145)),"run on terminal",IF(ABS($F145/$E145-1)&lt;0.02,"MATCH","CHECK: BBG "&amp;TEXT($F145,"0.000")))</f>
        <v/>
      </c>
      <c r="H145" s="247" t="inlineStr">
        <is>
          <t>2024-06-11 x1.5 (Bloomberg basis x1.5)</t>
        </is>
      </c>
    </row>
    <row r="146" ht="23" customHeight="1">
      <c r="A146" s="258" t="inlineStr">
        <is>
          <t>9903</t>
        </is>
      </c>
      <c r="B146" s="51" t="inlineStr">
        <is>
          <t>ILUVATAR COREX</t>
        </is>
      </c>
      <c r="C146" s="259" t="n">
        <v>46030</v>
      </c>
      <c r="D146" s="262" t="n">
        <v>156.804</v>
      </c>
      <c r="E146" s="85">
        <f>IFERROR($D146/3.0,"")</f>
        <v/>
      </c>
      <c r="F146" s="85">
        <f>IFERROR(INDEX(BDH(TEXT(VALUE($A146),"0")&amp;" HK Equity","PX_LAST",$C146,$C146),MATCH($C146,INDEX(BDH(TEXT(VALUE($A146),"0")&amp;" HK Equity","PX_LAST",$C146,$C146),0,1),0),2),"run on terminal")</f>
        <v/>
      </c>
      <c r="G146" s="43">
        <f>IF(NOT(ISNUMBER($F146)),"run on terminal",IF(ABS($F146/$E146-1)&lt;0.02,"MATCH","CHECK: BBG "&amp;TEXT($F146,"0.000")))</f>
        <v/>
      </c>
      <c r="H146" s="247" t="inlineStr">
        <is>
          <t>2026-09-15 x3 (Bloomberg basis x3)</t>
        </is>
      </c>
    </row>
    <row r="147" ht="23" customHeight="1">
      <c r="A147" s="258" t="inlineStr">
        <is>
          <t>9980</t>
        </is>
      </c>
      <c r="B147" s="51" t="inlineStr">
        <is>
          <t>EASTROC</t>
        </is>
      </c>
      <c r="C147" s="259" t="n">
        <v>46056</v>
      </c>
      <c r="D147" s="262" t="n">
        <v>251.794</v>
      </c>
      <c r="E147" s="85">
        <f>IFERROR($D147/1.3,"")</f>
        <v/>
      </c>
      <c r="F147" s="85">
        <f>IFERROR(INDEX(BDH(TEXT(VALUE($A147),"0")&amp;" HK Equity","PX_LAST",$C147,$C147),MATCH($C147,INDEX(BDH(TEXT(VALUE($A147),"0")&amp;" HK Equity","PX_LAST",$C147,$C147),0,1),0),2),"run on terminal")</f>
        <v/>
      </c>
      <c r="G147" s="43">
        <f>IF(NOT(ISNUMBER($F147)),"run on terminal",IF(ABS($F147/$E147-1)&lt;0.02,"MATCH","CHECK: BBG "&amp;TEXT($F147,"0.000")))</f>
        <v/>
      </c>
      <c r="H147" s="247" t="inlineStr">
        <is>
          <t>2026-05-05 x1.3 (Bloomberg basis x1.3)</t>
        </is>
      </c>
    </row>
    <row r="148" ht="23" customHeight="1"/>
    <row r="149" ht="23" customHeight="1">
      <c r="A149" s="241" t="inlineStr">
        <is>
          <t>D. DEAL SIZE (16 deals whose stated gross was below net proceeds)</t>
        </is>
      </c>
    </row>
    <row r="150" ht="30" customHeight="1">
      <c r="A150" s="45" t="inlineStr">
        <is>
          <t>Code</t>
        </is>
      </c>
      <c r="B150" s="45" t="inlineStr">
        <is>
          <t>Name</t>
        </is>
      </c>
      <c r="C150" s="45" t="inlineStr">
        <is>
          <t>Our deal size (HK$m)</t>
        </is>
      </c>
      <c r="D150" s="45" t="inlineStr">
        <is>
          <t>Basis</t>
        </is>
      </c>
      <c r="E150" s="45" t="inlineStr"/>
      <c r="F150" s="45" t="inlineStr">
        <is>
          <t>BBG offering size</t>
        </is>
      </c>
      <c r="G150" s="45" t="inlineStr">
        <is>
          <t>VERDICT</t>
        </is>
      </c>
      <c r="H150" s="45" t="inlineStr">
        <is>
          <t>What we relied on</t>
        </is>
      </c>
    </row>
    <row r="151" ht="23" customHeight="1">
      <c r="A151" s="258" t="inlineStr">
        <is>
          <t>2209</t>
        </is>
      </c>
      <c r="B151" s="51" t="inlineStr">
        <is>
          <t>YESASIA HLDGS</t>
        </is>
      </c>
      <c r="C151" s="213" t="n">
        <v>91</v>
      </c>
      <c r="D151" s="247" t="inlineStr">
        <is>
          <t>net proceeds</t>
        </is>
      </c>
      <c r="F151" s="247" t="inlineStr">
        <is>
          <t>no BDP field; check CACS</t>
        </is>
      </c>
      <c r="G151" s="43" t="inlineStr">
        <is>
          <t>"check on CACS; rebuilt as shares x price or net proceeds"</t>
        </is>
      </c>
      <c r="H151" s="247" t="inlineStr">
        <is>
          <t>stated gross HK$4.5m rejected, below the net proceeds of HK$91.0m</t>
        </is>
      </c>
    </row>
    <row r="152" ht="23" customHeight="1">
      <c r="A152" s="258" t="inlineStr">
        <is>
          <t>2235</t>
        </is>
      </c>
      <c r="B152" s="51" t="inlineStr">
        <is>
          <t>MICROTECH MED-B</t>
        </is>
      </c>
      <c r="C152" s="213" t="n">
        <v>1937.6</v>
      </c>
      <c r="D152" s="247" t="inlineStr">
        <is>
          <t>gross (price x shares)</t>
        </is>
      </c>
      <c r="F152" s="247" t="inlineStr">
        <is>
          <t>no BDP field; check CACS</t>
        </is>
      </c>
      <c r="G152" s="43" t="inlineStr">
        <is>
          <t>"check on CACS; rebuilt as shares x price or net proceeds"</t>
        </is>
      </c>
      <c r="H152" s="247" t="inlineStr">
        <is>
          <t>stated gross HK$75.7m rejected, below the net proceeds of HK$1,815.1m</t>
        </is>
      </c>
    </row>
    <row r="153" ht="23" customHeight="1">
      <c r="A153" s="258" t="inlineStr">
        <is>
          <t>2185</t>
        </is>
      </c>
      <c r="B153" s="51" t="inlineStr">
        <is>
          <t>BIOHEART-B</t>
        </is>
      </c>
      <c r="C153" s="213" t="n">
        <v>508.7</v>
      </c>
      <c r="D153" s="247" t="inlineStr">
        <is>
          <t>gross (price x shares)</t>
        </is>
      </c>
      <c r="F153" s="247" t="inlineStr">
        <is>
          <t>no BDP field; check CACS</t>
        </is>
      </c>
      <c r="G153" s="43" t="inlineStr">
        <is>
          <t>"check on CACS; rebuilt as shares x price or net proceeds"</t>
        </is>
      </c>
      <c r="H153" s="247" t="inlineStr">
        <is>
          <t>stated gross HK$26.5m rejected, below the net proceeds of HK$441.7m</t>
        </is>
      </c>
    </row>
    <row r="154" ht="23" customHeight="1">
      <c r="A154" s="258" t="inlineStr">
        <is>
          <t>2157</t>
        </is>
      </c>
      <c r="B154" s="51" t="inlineStr">
        <is>
          <t>LEPU BIO-B</t>
        </is>
      </c>
      <c r="C154" s="213" t="n">
        <v>904.6</v>
      </c>
      <c r="D154" s="247" t="inlineStr">
        <is>
          <t>gross (price x shares)</t>
        </is>
      </c>
      <c r="F154" s="247" t="inlineStr">
        <is>
          <t>no BDP field; check CACS</t>
        </is>
      </c>
      <c r="G154" s="43" t="inlineStr">
        <is>
          <t>"check on CACS; rebuilt as shares x price or net proceeds"</t>
        </is>
      </c>
      <c r="H154" s="247" t="inlineStr">
        <is>
          <t>stated gross HK$36.2m rejected, below the net proceeds of HK$804.2m</t>
        </is>
      </c>
    </row>
    <row r="155" ht="23" customHeight="1">
      <c r="A155" s="258" t="inlineStr">
        <is>
          <t>2179</t>
        </is>
      </c>
      <c r="B155" s="51" t="inlineStr">
        <is>
          <t>RECBIO-B</t>
        </is>
      </c>
      <c r="C155" s="213" t="n">
        <v>672.4</v>
      </c>
      <c r="D155" s="247" t="inlineStr">
        <is>
          <t>net proceeds</t>
        </is>
      </c>
      <c r="F155" s="247" t="inlineStr">
        <is>
          <t>no BDP field; check CACS</t>
        </is>
      </c>
      <c r="G155" s="43" t="inlineStr">
        <is>
          <t>"check on CACS; rebuilt as shares x price or net proceeds"</t>
        </is>
      </c>
      <c r="H155" s="247" t="inlineStr">
        <is>
          <t>stated gross HK$32.5m rejected, below the net proceeds of HK$672.4m</t>
        </is>
      </c>
    </row>
    <row r="156" ht="23" customHeight="1">
      <c r="A156" s="258" t="inlineStr">
        <is>
          <t>2315</t>
        </is>
      </c>
      <c r="B156" s="51" t="inlineStr">
        <is>
          <t>BIOCYTOGEN-B</t>
        </is>
      </c>
      <c r="C156" s="213" t="n">
        <v>548.7</v>
      </c>
      <c r="D156" s="247" t="inlineStr">
        <is>
          <t>gross (price x shares)</t>
        </is>
      </c>
      <c r="F156" s="247" t="inlineStr">
        <is>
          <t>no BDP field; check CACS</t>
        </is>
      </c>
      <c r="G156" s="43" t="inlineStr">
        <is>
          <t>"check on CACS; rebuilt as shares x price or net proceeds"</t>
        </is>
      </c>
      <c r="H156" s="247" t="inlineStr">
        <is>
          <t>stated gross HK$16.9m rejected, below the net proceeds of HK$471.1m</t>
        </is>
      </c>
    </row>
    <row r="157" ht="23" customHeight="1">
      <c r="A157" s="258" t="inlineStr">
        <is>
          <t>6979</t>
        </is>
      </c>
      <c r="B157" s="51" t="inlineStr">
        <is>
          <t>ZJLD</t>
        </is>
      </c>
      <c r="C157" s="213" t="n">
        <v>5309.4</v>
      </c>
      <c r="D157" s="247" t="inlineStr">
        <is>
          <t>gross (price x shares)</t>
        </is>
      </c>
      <c r="F157" s="247" t="inlineStr">
        <is>
          <t>no BDP field; check CACS</t>
        </is>
      </c>
      <c r="G157" s="43" t="inlineStr">
        <is>
          <t>"check on CACS; rebuilt as shares x price or net proceeds"</t>
        </is>
      </c>
      <c r="H157" s="247" t="inlineStr">
        <is>
          <t>stated gross HK$795.0m rejected, below the net proceeds of HK$4,990.0m</t>
        </is>
      </c>
    </row>
    <row r="158" ht="23" customHeight="1">
      <c r="A158" s="258" t="inlineStr">
        <is>
          <t>2415</t>
        </is>
      </c>
      <c r="B158" s="51" t="inlineStr">
        <is>
          <t>MEDSCI</t>
        </is>
      </c>
      <c r="C158" s="213" t="n">
        <v>607.8</v>
      </c>
      <c r="D158" s="247" t="inlineStr">
        <is>
          <t>gross (price x shares)</t>
        </is>
      </c>
      <c r="F158" s="247" t="inlineStr">
        <is>
          <t>no BDP field; check CACS</t>
        </is>
      </c>
      <c r="G158" s="43" t="inlineStr">
        <is>
          <t>"check on CACS; rebuilt as shares x price or net proceeds"</t>
        </is>
      </c>
      <c r="H158" s="247" t="inlineStr">
        <is>
          <t>stated gross HK$18.2m rejected, below the net proceeds of HK$538.2m</t>
        </is>
      </c>
    </row>
    <row r="159" ht="23" customHeight="1">
      <c r="A159" s="258" t="inlineStr">
        <is>
          <t>2487</t>
        </is>
      </c>
      <c r="B159" s="51" t="inlineStr">
        <is>
          <t>CUTIA-B</t>
        </is>
      </c>
      <c r="C159" s="213" t="n">
        <v>465</v>
      </c>
      <c r="D159" s="247" t="inlineStr">
        <is>
          <t>gross (price x shares)</t>
        </is>
      </c>
      <c r="F159" s="247" t="inlineStr">
        <is>
          <t>no BDP field; check CACS</t>
        </is>
      </c>
      <c r="G159" s="43" t="inlineStr">
        <is>
          <t>"check on CACS; rebuilt as shares x price or net proceeds"</t>
        </is>
      </c>
      <c r="H159" s="247" t="inlineStr">
        <is>
          <t>stated gross HK$23.9m rejected, below the net proceeds of HK$392.7m</t>
        </is>
      </c>
    </row>
    <row r="160" ht="23" customHeight="1">
      <c r="A160" s="258" t="inlineStr">
        <is>
          <t>6990</t>
        </is>
      </c>
      <c r="B160" s="51" t="inlineStr">
        <is>
          <t>SKB BIO-B</t>
        </is>
      </c>
      <c r="C160" s="213" t="n">
        <v>1360.2</v>
      </c>
      <c r="D160" s="247" t="inlineStr">
        <is>
          <t>gross (price x shares)</t>
        </is>
      </c>
      <c r="F160" s="247" t="inlineStr">
        <is>
          <t>no BDP field; check CACS</t>
        </is>
      </c>
      <c r="G160" s="43" t="inlineStr">
        <is>
          <t>"check on CACS; rebuilt as shares x price or net proceeds"</t>
        </is>
      </c>
      <c r="H160" s="247" t="inlineStr">
        <is>
          <t>stated gross HK$54.5m rejected, below the net proceeds of HK$1,258.9m</t>
        </is>
      </c>
    </row>
    <row r="161" ht="23" customHeight="1">
      <c r="A161" s="258" t="inlineStr">
        <is>
          <t>2490</t>
        </is>
      </c>
      <c r="B161" s="51" t="inlineStr">
        <is>
          <t>LC LOGISTICS</t>
        </is>
      </c>
      <c r="C161" s="213" t="n">
        <v>145.6</v>
      </c>
      <c r="D161" s="247" t="inlineStr">
        <is>
          <t>gross (price x shares)</t>
        </is>
      </c>
      <c r="F161" s="247" t="inlineStr">
        <is>
          <t>no BDP field; check CACS</t>
        </is>
      </c>
      <c r="G161" s="43" t="inlineStr">
        <is>
          <t>"check on CACS; rebuilt as shares x price or net proceeds"</t>
        </is>
      </c>
      <c r="H161" s="247" t="inlineStr">
        <is>
          <t>stated gross HK$5.9m rejected, below the net proceeds of HK$83.5m</t>
        </is>
      </c>
    </row>
    <row r="162" ht="23" customHeight="1">
      <c r="A162" s="258" t="inlineStr">
        <is>
          <t>9686</t>
        </is>
      </c>
      <c r="B162" s="51" t="inlineStr">
        <is>
          <t>NEUSOFT XIKANG</t>
        </is>
      </c>
      <c r="C162" s="213" t="n">
        <v>636.9</v>
      </c>
      <c r="D162" s="247" t="inlineStr">
        <is>
          <t>gross (price x shares)</t>
        </is>
      </c>
      <c r="F162" s="247" t="inlineStr">
        <is>
          <t>no BDP field; check CACS</t>
        </is>
      </c>
      <c r="G162" s="43" t="inlineStr">
        <is>
          <t>"check on CACS; rebuilt as shares x price or net proceeds"</t>
        </is>
      </c>
      <c r="H162" s="247" t="inlineStr">
        <is>
          <t>stated gross HK$21.6m rejected, below the net proceeds of HK$554.5m</t>
        </is>
      </c>
    </row>
    <row r="163" ht="23" customHeight="1">
      <c r="A163" s="258" t="inlineStr">
        <is>
          <t>9890</t>
        </is>
      </c>
      <c r="B163" s="51" t="inlineStr">
        <is>
          <t>ZX INC</t>
        </is>
      </c>
      <c r="C163" s="213" t="n">
        <v>265.7</v>
      </c>
      <c r="D163" s="247" t="inlineStr">
        <is>
          <t>gross (price x shares)</t>
        </is>
      </c>
      <c r="F163" s="247" t="inlineStr">
        <is>
          <t>no BDP field; check CACS</t>
        </is>
      </c>
      <c r="G163" s="43" t="inlineStr">
        <is>
          <t>"check on CACS; rebuilt as shares x price or net proceeds"</t>
        </is>
      </c>
      <c r="H163" s="247" t="inlineStr">
        <is>
          <t>stated gross HK$29.5m rejected, below the net proceeds of HK$138.1m</t>
        </is>
      </c>
    </row>
    <row r="164" ht="23" customHeight="1">
      <c r="A164" s="258" t="inlineStr">
        <is>
          <t>2451</t>
        </is>
      </c>
      <c r="B164" s="51" t="inlineStr">
        <is>
          <t>LUYUAN GP HLDG</t>
        </is>
      </c>
      <c r="C164" s="213" t="n">
        <v>786.1</v>
      </c>
      <c r="D164" s="247" t="inlineStr">
        <is>
          <t>gross (price x shares)</t>
        </is>
      </c>
      <c r="F164" s="247" t="inlineStr">
        <is>
          <t>no BDP field; check CACS</t>
        </is>
      </c>
      <c r="G164" s="43" t="inlineStr">
        <is>
          <t>"check on CACS; rebuilt as shares x price or net proceeds"</t>
        </is>
      </c>
      <c r="H164" s="247" t="inlineStr">
        <is>
          <t>stated gross HK$31.5m rejected, below the net proceeds of HK$706.4m</t>
        </is>
      </c>
    </row>
    <row r="165" ht="23" customHeight="1">
      <c r="A165" s="258" t="inlineStr">
        <is>
          <t>2517</t>
        </is>
      </c>
      <c r="B165" s="51" t="inlineStr">
        <is>
          <t>GUOQUAN</t>
        </is>
      </c>
      <c r="C165" s="213" t="n">
        <v>411.4</v>
      </c>
      <c r="D165" s="247" t="inlineStr">
        <is>
          <t>gross (price x shares)</t>
        </is>
      </c>
      <c r="F165" s="247" t="inlineStr">
        <is>
          <t>no BDP field; check CACS</t>
        </is>
      </c>
      <c r="G165" s="43" t="inlineStr">
        <is>
          <t>"check on CACS; rebuilt as shares x price or net proceeds"</t>
        </is>
      </c>
      <c r="H165" s="247" t="inlineStr">
        <is>
          <t>stated gross HK$16.5m rejected, below the net proceeds of HK$356.5m</t>
        </is>
      </c>
    </row>
    <row r="166" ht="23" customHeight="1">
      <c r="A166" s="258" t="inlineStr">
        <is>
          <t>1111</t>
        </is>
      </c>
      <c r="B166" s="51" t="inlineStr">
        <is>
          <t>HUASHI GROUP</t>
        </is>
      </c>
      <c r="C166" s="213" t="n">
        <v>130</v>
      </c>
      <c r="D166" s="247" t="inlineStr">
        <is>
          <t>gross (price x shares)</t>
        </is>
      </c>
      <c r="F166" s="247" t="inlineStr">
        <is>
          <t>no BDP field; check CACS</t>
        </is>
      </c>
      <c r="G166" s="43" t="inlineStr">
        <is>
          <t>"check on CACS; rebuilt as shares x price or net proceeds"</t>
        </is>
      </c>
      <c r="H166" s="247" t="inlineStr">
        <is>
          <t>stated gross HK$7.8m rejected, below the net proceeds of HK$72.1m</t>
        </is>
      </c>
    </row>
  </sheetData>
  <mergeCells count="1">
    <mergeCell ref="A2:H2"/>
  </mergeCells>
  <printOptions horizontalCentered="1"/>
  <pageMargins left="0.75" right="0.75" top="1" bottom="1" header="0.5" footer="0.5"/>
  <pageSetup orientation="landscape" paperSize="8" fitToHeight="0" fitToWidth="1"/>
</worksheet>
</file>

<file path=xl/worksheets/sheet14.xml><?xml version="1.0" encoding="utf-8"?>
<worksheet xmlns="http://schemas.openxmlformats.org/spreadsheetml/2006/main">
  <sheetPr>
    <tabColor rgb="00BFBFBF"/>
    <outlinePr summaryBelow="1" summaryRight="1"/>
    <pageSetUpPr fitToPage="1"/>
  </sheetPr>
  <dimension ref="A1:G19"/>
  <sheetViews>
    <sheetView showGridLines="0" zoomScale="95" workbookViewId="0">
      <selection activeCell="A1" sqref="A1"/>
    </sheetView>
  </sheetViews>
  <sheetFormatPr baseColWidth="8" defaultRowHeight="15"/>
  <cols>
    <col width="8" customWidth="1" min="1" max="1"/>
    <col width="24" customWidth="1" min="2" max="2"/>
    <col width="20" customWidth="1" min="3" max="3"/>
    <col width="12" customWidth="1" min="4" max="4"/>
    <col width="12" customWidth="1" min="5" max="5"/>
    <col width="10" customWidth="1" min="6" max="6"/>
    <col width="9" customWidth="1" min="7" max="7"/>
  </cols>
  <sheetData>
    <row r="1" ht="30" customHeight="1">
      <c r="A1" s="35" t="inlineStr">
        <is>
          <t>BOOK VS HKEX OFFICIAL STATISTICS</t>
        </is>
      </c>
    </row>
    <row r="2" ht="34" customHeight="1">
      <c r="A2" s="36" t="inlineStr">
        <is>
          <t>Book counts are IPOs with a public offer; official totals also include listings by introduction and transfers, so Delta should be small and positive.</t>
        </is>
      </c>
    </row>
    <row r="3"/>
    <row r="4" ht="30" customHeight="1">
      <c r="A4" s="45" t="inlineStr">
        <is>
          <t>Year</t>
        </is>
      </c>
      <c r="B4" s="45" t="inlineStr">
        <is>
          <t>Deals in book</t>
        </is>
      </c>
      <c r="C4" s="45" t="inlineStr">
        <is>
          <t>Official new listings</t>
        </is>
      </c>
      <c r="D4" s="45" t="inlineStr">
        <is>
          <t>Delta</t>
        </is>
      </c>
      <c r="E4" s="45" t="inlineStr">
        <is>
          <t>Book proceeds HK$bn</t>
        </is>
      </c>
      <c r="F4" s="45" t="inlineStr">
        <is>
          <t>Official IPO funds HK$bn</t>
        </is>
      </c>
      <c r="G4" s="45" t="inlineStr">
        <is>
          <t>Diff %</t>
        </is>
      </c>
    </row>
    <row r="5">
      <c r="A5" s="257" t="inlineStr">
        <is>
          <t>2021</t>
        </is>
      </c>
      <c r="B5" s="88">
        <f>COUNTIFS(Database!$H$5:$H$528,"&gt;="&amp;DATE(2021,1,1),Database!$H$5:$H$528,"&lt;="&amp;DATE(2021,12,31))</f>
        <v/>
      </c>
      <c r="C5" s="263" t="n"/>
      <c r="D5" s="88">
        <f>IF(C5="","n/a",C5-B5)</f>
        <v/>
      </c>
      <c r="E5" s="60">
        <f>SUMIFS(Database!$I$5:$I$528,Database!$H$5:$H$528,"&gt;="&amp;DATE(2021,1,1),Database!$H$5:$H$528,"&lt;="&amp;DATE(2021,12,31))/1000</f>
        <v/>
      </c>
      <c r="F5" s="264" t="n">
        <v>331.3</v>
      </c>
      <c r="G5" s="89">
        <f>IF(OR(F5="",E5=0),"n/a",F5/E5-1)</f>
        <v/>
      </c>
    </row>
    <row r="6">
      <c r="A6" s="257" t="inlineStr">
        <is>
          <t>2022</t>
        </is>
      </c>
      <c r="B6" s="88">
        <f>COUNTIFS(Database!$H$5:$H$528,"&gt;="&amp;DATE(2022,1,1),Database!$H$5:$H$528,"&lt;="&amp;DATE(2022,12,31))</f>
        <v/>
      </c>
      <c r="C6" s="243" t="n">
        <v>90</v>
      </c>
      <c r="D6" s="88">
        <f>IF(C6="","n/a",C6-B6)</f>
        <v/>
      </c>
      <c r="E6" s="60">
        <f>SUMIFS(Database!$I$5:$I$528,Database!$H$5:$H$528,"&gt;="&amp;DATE(2022,1,1),Database!$H$5:$H$528,"&lt;="&amp;DATE(2022,12,31))/1000</f>
        <v/>
      </c>
      <c r="F6" s="264" t="n">
        <v>104.6</v>
      </c>
      <c r="G6" s="89">
        <f>IF(OR(F6="",E6=0),"n/a",F6/E6-1)</f>
        <v/>
      </c>
    </row>
    <row r="7">
      <c r="A7" s="257" t="inlineStr">
        <is>
          <t>2023</t>
        </is>
      </c>
      <c r="B7" s="88">
        <f>COUNTIFS(Database!$H$5:$H$528,"&gt;="&amp;DATE(2023,1,1),Database!$H$5:$H$528,"&lt;="&amp;DATE(2023,12,31))</f>
        <v/>
      </c>
      <c r="C7" s="243" t="n">
        <v>73</v>
      </c>
      <c r="D7" s="88">
        <f>IF(C7="","n/a",C7-B7)</f>
        <v/>
      </c>
      <c r="E7" s="60">
        <f>SUMIFS(Database!$I$5:$I$528,Database!$H$5:$H$528,"&gt;="&amp;DATE(2023,1,1),Database!$H$5:$H$528,"&lt;="&amp;DATE(2023,12,31))/1000</f>
        <v/>
      </c>
      <c r="F7" s="264" t="n">
        <v>46.3</v>
      </c>
      <c r="G7" s="89">
        <f>IF(OR(F7="",E7=0),"n/a",F7/E7-1)</f>
        <v/>
      </c>
    </row>
    <row r="8">
      <c r="A8" s="257" t="inlineStr">
        <is>
          <t>2024</t>
        </is>
      </c>
      <c r="B8" s="88">
        <f>COUNTIFS(Database!$H$5:$H$528,"&gt;="&amp;DATE(2024,1,1),Database!$H$5:$H$528,"&lt;="&amp;DATE(2024,12,31))</f>
        <v/>
      </c>
      <c r="C8" s="243" t="n">
        <v>71</v>
      </c>
      <c r="D8" s="88">
        <f>IF(C8="","n/a",C8-B8)</f>
        <v/>
      </c>
      <c r="E8" s="60">
        <f>SUMIFS(Database!$I$5:$I$528,Database!$H$5:$H$528,"&gt;="&amp;DATE(2024,1,1),Database!$H$5:$H$528,"&lt;="&amp;DATE(2024,12,31))/1000</f>
        <v/>
      </c>
      <c r="F8" s="264" t="n">
        <v>87.5</v>
      </c>
      <c r="G8" s="89">
        <f>IF(OR(F8="",E8=0),"n/a",F8/E8-1)</f>
        <v/>
      </c>
    </row>
    <row r="9">
      <c r="A9" s="257" t="inlineStr">
        <is>
          <t>2025</t>
        </is>
      </c>
      <c r="B9" s="88">
        <f>COUNTIFS(Database!$H$5:$H$528,"&gt;="&amp;DATE(2025,1,1),Database!$H$5:$H$528,"&lt;="&amp;DATE(2025,12,31))</f>
        <v/>
      </c>
      <c r="C9" s="263" t="n"/>
      <c r="D9" s="88">
        <f>IF(C9="","n/a",C9-B9)</f>
        <v/>
      </c>
      <c r="E9" s="60">
        <f>SUMIFS(Database!$I$5:$I$528,Database!$H$5:$H$528,"&gt;="&amp;DATE(2025,1,1),Database!$H$5:$H$528,"&lt;="&amp;DATE(2025,12,31))/1000</f>
        <v/>
      </c>
      <c r="F9" s="265" t="n"/>
      <c r="G9" s="89">
        <f>IF(OR(F9="",E9=0),"n/a",F9/E9-1)</f>
        <v/>
      </c>
    </row>
    <row r="10">
      <c r="A10" s="257" t="inlineStr">
        <is>
          <t>2026</t>
        </is>
      </c>
      <c r="B10" s="88">
        <f>COUNTIFS(Database!$H$5:$H$528,"&gt;="&amp;DATE(2026,1,1),Database!$H$5:$H$528,"&lt;="&amp;DATE(2026,12,31))</f>
        <v/>
      </c>
      <c r="C10" s="263" t="n"/>
      <c r="D10" s="88">
        <f>IF(C10="","n/a",C10-B10)</f>
        <v/>
      </c>
      <c r="E10" s="60">
        <f>SUMIFS(Database!$I$5:$I$528,Database!$H$5:$H$528,"&gt;="&amp;DATE(2026,1,1),Database!$H$5:$H$528,"&lt;="&amp;DATE(2026,12,31))/1000</f>
        <v/>
      </c>
      <c r="F10" s="265" t="n"/>
      <c r="G10" s="89">
        <f>IF(OR(F10="",E10=0),"n/a",F10/E10-1)</f>
        <v/>
      </c>
    </row>
    <row r="11"/>
    <row r="12">
      <c r="A12" s="241" t="inlineStr">
        <is>
          <t>LANDMARK SPOT-CHECKS</t>
        </is>
      </c>
    </row>
    <row r="13" ht="30" customHeight="1">
      <c r="A13" s="45" t="inlineStr">
        <is>
          <t>Code</t>
        </is>
      </c>
      <c r="B13" s="45" t="inlineStr">
        <is>
          <t>Name</t>
        </is>
      </c>
      <c r="C13" s="45" t="inlineStr">
        <is>
          <t>Field</t>
        </is>
      </c>
      <c r="D13" s="45" t="inlineStr">
        <is>
          <t>Official</t>
        </is>
      </c>
      <c r="E13" s="45" t="inlineStr">
        <is>
          <t>In book</t>
        </is>
      </c>
      <c r="F13" s="45" t="inlineStr">
        <is>
          <t>Check</t>
        </is>
      </c>
    </row>
    <row r="14">
      <c r="A14" s="258" t="inlineStr">
        <is>
          <t>1024</t>
        </is>
      </c>
      <c r="B14" s="51" t="inlineStr">
        <is>
          <t>Kuaishou</t>
        </is>
      </c>
      <c r="C14" s="51" t="inlineStr">
        <is>
          <t>final_price</t>
        </is>
      </c>
      <c r="D14" s="262" t="n">
        <v>115</v>
      </c>
      <c r="E14" s="85">
        <f>INDEX(Database!$M$5:$M$528,MATCH("1024",Database!$A$5:$A$528,0))</f>
        <v/>
      </c>
      <c r="F14" s="43">
        <f>IF(E14="","MISSING",IF(ABS(E14-D14)/D14&lt;0.02,"OK","CHECK"))</f>
        <v/>
      </c>
    </row>
    <row r="15">
      <c r="A15" s="258" t="inlineStr">
        <is>
          <t>3750</t>
        </is>
      </c>
      <c r="B15" s="51" t="inlineStr">
        <is>
          <t>CATL (H)</t>
        </is>
      </c>
      <c r="C15" s="51" t="inlineStr">
        <is>
          <t>final_price</t>
        </is>
      </c>
      <c r="D15" s="262" t="n">
        <v>263</v>
      </c>
      <c r="E15" s="85">
        <f>INDEX(Database!$M$5:$M$528,MATCH("3750",Database!$A$5:$A$528,0))</f>
        <v/>
      </c>
      <c r="F15" s="43">
        <f>IF(E15="","MISSING",IF(ABS(E15-D15)/D15&lt;0.02,"OK","CHECK"))</f>
        <v/>
      </c>
    </row>
    <row r="16">
      <c r="A16" s="258" t="inlineStr">
        <is>
          <t>0300</t>
        </is>
      </c>
      <c r="B16" s="51" t="inlineStr">
        <is>
          <t>Midea Group (H)</t>
        </is>
      </c>
      <c r="C16" s="51" t="inlineStr">
        <is>
          <t>final_price</t>
        </is>
      </c>
      <c r="D16" s="262" t="n">
        <v>54.8</v>
      </c>
      <c r="E16" s="85">
        <f>INDEX(Database!$M$5:$M$528,MATCH("0300",Database!$A$5:$A$528,0))</f>
        <v/>
      </c>
      <c r="F16" s="43">
        <f>IF(E16="","MISSING",IF(ABS(E16-D16)/D16&lt;0.02,"OK","CHECK"))</f>
        <v/>
      </c>
    </row>
    <row r="17">
      <c r="A17" s="258" t="inlineStr">
        <is>
          <t>9660</t>
        </is>
      </c>
      <c r="B17" s="51" t="inlineStr">
        <is>
          <t>Horizon Robotics</t>
        </is>
      </c>
      <c r="C17" s="51" t="inlineStr">
        <is>
          <t>final_price</t>
        </is>
      </c>
      <c r="D17" s="262" t="n">
        <v>3.99</v>
      </c>
      <c r="E17" s="85">
        <f>INDEX(Database!$M$5:$M$528,MATCH("9660",Database!$A$5:$A$528,0))</f>
        <v/>
      </c>
      <c r="F17" s="43">
        <f>IF(E17="","MISSING",IF(ABS(E17-D17)/D17&lt;0.02,"OK","CHECK"))</f>
        <v/>
      </c>
    </row>
    <row r="18">
      <c r="A18" s="258" t="inlineStr">
        <is>
          <t>2097</t>
        </is>
      </c>
      <c r="B18" s="51" t="inlineStr">
        <is>
          <t>Mixue Group</t>
        </is>
      </c>
      <c r="C18" s="51" t="inlineStr">
        <is>
          <t>final_price</t>
        </is>
      </c>
      <c r="D18" s="262" t="n">
        <v>202.5</v>
      </c>
      <c r="E18" s="85">
        <f>INDEX(Database!$M$5:$M$528,MATCH("2097",Database!$A$5:$A$528,0))</f>
        <v/>
      </c>
      <c r="F18" s="43">
        <f>IF(E18="","MISSING",IF(ABS(E18-D18)/D18&lt;0.02,"OK","CHECK"))</f>
        <v/>
      </c>
    </row>
    <row r="19">
      <c r="A19" s="258" t="inlineStr">
        <is>
          <t>9696</t>
        </is>
      </c>
      <c r="B19" s="51" t="inlineStr">
        <is>
          <t>Tianqi Lithium (H)</t>
        </is>
      </c>
      <c r="C19" s="51" t="inlineStr">
        <is>
          <t>final_price</t>
        </is>
      </c>
      <c r="D19" s="262" t="n">
        <v>82</v>
      </c>
      <c r="E19" s="85">
        <f>INDEX(Database!$M$5:$M$528,MATCH("9696",Database!$A$5:$A$528,0))</f>
        <v/>
      </c>
      <c r="F19" s="43">
        <f>IF(E19="","MISSING",IF(ABS(E19-D19)/D19&lt;0.02,"OK","CHECK"))</f>
        <v/>
      </c>
    </row>
  </sheetData>
  <mergeCells count="1">
    <mergeCell ref="A2:G2"/>
  </mergeCells>
  <conditionalFormatting sqref="F14">
    <cfRule type="expression" priority="1" dxfId="3">
      <formula>$F14="CHECK"</formula>
    </cfRule>
  </conditionalFormatting>
  <conditionalFormatting sqref="F15">
    <cfRule type="expression" priority="2" dxfId="3">
      <formula>$F15="CHECK"</formula>
    </cfRule>
  </conditionalFormatting>
  <conditionalFormatting sqref="F16">
    <cfRule type="expression" priority="3" dxfId="3">
      <formula>$F16="CHECK"</formula>
    </cfRule>
  </conditionalFormatting>
  <conditionalFormatting sqref="F17">
    <cfRule type="expression" priority="4" dxfId="3">
      <formula>$F17="CHECK"</formula>
    </cfRule>
  </conditionalFormatting>
  <conditionalFormatting sqref="F18">
    <cfRule type="expression" priority="5" dxfId="3">
      <formula>$F18="CHECK"</formula>
    </cfRule>
  </conditionalFormatting>
  <conditionalFormatting sqref="F19">
    <cfRule type="expression" priority="6" dxfId="3">
      <formula>$F19="CHECK"</formula>
    </cfRule>
  </conditionalFormatting>
  <printOptions horizontalCentered="1"/>
  <pageMargins left="0.75" right="0.75" top="1" bottom="1" header="0.5" footer="0.5"/>
  <pageSetup orientation="landscape" paperSize="8" fitToHeight="0" fitToWidth="1"/>
</worksheet>
</file>

<file path=xl/worksheets/sheet15.xml><?xml version="1.0" encoding="utf-8"?>
<worksheet xmlns="http://schemas.openxmlformats.org/spreadsheetml/2006/main">
  <sheetPr>
    <tabColor rgb="00BFBFBF"/>
    <outlinePr summaryBelow="1" summaryRight="1"/>
    <pageSetUpPr fitToPage="1"/>
  </sheetPr>
  <dimension ref="A1:BC528"/>
  <sheetViews>
    <sheetView showGridLines="0" zoomScale="95"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5" customWidth="1" min="2" max="2"/>
    <col width="18" customWidth="1" min="3" max="3"/>
    <col width="30"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34" customWidth="1" min="22" max="22"/>
    <col width="25" customWidth="1" min="23" max="23"/>
    <col width="15" customWidth="1" min="24" max="24"/>
    <col width="15" customWidth="1" min="25" max="25"/>
    <col width="30"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42"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 width="15" customWidth="1" min="55" max="55"/>
  </cols>
  <sheetData>
    <row r="1">
      <c r="A1" t="inlineStr">
        <is>
          <t>Live CNYHKD</t>
        </is>
      </c>
      <c r="B1">
        <f>IFERROR(BDP("CNYHKD Curncy","PX_LAST"),"")</f>
        <v/>
      </c>
      <c r="C1" t="inlineStr">
        <is>
          <t>No manual or hard-coded FX is substituted into Bloomberg ratios.</t>
        </is>
      </c>
    </row>
    <row r="2" ht="30" customHeight="1">
      <c r="A2" t="inlineStr">
        <is>
          <t>QUOTE INPUTS / sector helper; Bloomberg fields LAST_UPDATE_DT, LAST_UPDATE and CHG_PCT_1D await a desk test.</t>
        </is>
      </c>
    </row>
    <row r="3"/>
    <row r="4" ht="48" customHeight="1">
      <c r="A4" s="7" t="inlineStr">
        <is>
          <t>H code</t>
        </is>
      </c>
      <c r="B4" s="7" t="inlineStr">
        <is>
          <t>Name</t>
        </is>
      </c>
      <c r="C4" s="7" t="inlineStr">
        <is>
          <t>Sector</t>
        </is>
      </c>
      <c r="D4" s="7" t="inlineStr">
        <is>
          <t>Subsector</t>
        </is>
      </c>
      <c r="E4" s="7" t="inlineStr">
        <is>
          <t>IPO date</t>
        </is>
      </c>
      <c r="F4" s="7" t="inlineStr">
        <is>
          <t>Offer HKD</t>
        </is>
      </c>
      <c r="G4" s="7" t="inlineStr">
        <is>
          <t>Snapshot H</t>
        </is>
      </c>
      <c r="H4" s="7" t="inlineStr">
        <is>
          <t>Snapshot H date</t>
        </is>
      </c>
      <c r="I4" s="7" t="inlineStr">
        <is>
          <t>A code</t>
        </is>
      </c>
      <c r="J4" s="7" t="inlineStr">
        <is>
          <t>Pair row</t>
        </is>
      </c>
      <c r="K4" s="7" t="inlineStr">
        <is>
          <t>BBG H PX_LAST</t>
        </is>
      </c>
      <c r="L4" s="7" t="inlineStr">
        <is>
          <t>BBG daily change</t>
        </is>
      </c>
      <c r="M4" s="7" t="inlineStr">
        <is>
          <t>BBG quote date</t>
        </is>
      </c>
      <c r="N4" s="7" t="inlineStr">
        <is>
          <t>BBG quote time</t>
        </is>
      </c>
      <c r="O4" s="7" t="inlineStr">
        <is>
          <t>Effective H</t>
        </is>
      </c>
      <c r="P4" s="7" t="inlineStr">
        <is>
          <t>Source</t>
        </is>
      </c>
      <c r="Q4" s="7" t="inlineStr">
        <is>
          <t>Effective daily change</t>
        </is>
      </c>
      <c r="R4" s="7" t="inlineStr">
        <is>
          <t>Include</t>
        </is>
      </c>
      <c r="S4" s="7" t="inlineStr">
        <is>
          <t>View sequence</t>
        </is>
      </c>
      <c r="T4" s="7" t="inlineStr">
        <is>
          <t>Offer-unit price factor</t>
        </is>
      </c>
      <c r="U4" s="7" t="inlineStr">
        <is>
          <t>Effective H quote date</t>
        </is>
      </c>
      <c r="V4" s="7" t="inlineStr">
        <is>
          <t>Pair</t>
        </is>
      </c>
      <c r="W4" s="7" t="inlineStr">
        <is>
          <t>Name</t>
        </is>
      </c>
      <c r="X4" s="7" t="inlineStr">
        <is>
          <t>H code</t>
        </is>
      </c>
      <c r="Y4" s="7" t="inlineStr">
        <is>
          <t>A code</t>
        </is>
      </c>
      <c r="Z4" s="7" t="inlineStr">
        <is>
          <t>Subsector</t>
        </is>
      </c>
      <c r="AA4" s="7" t="inlineStr">
        <is>
          <t>IPO date</t>
        </is>
      </c>
      <c r="AB4" s="7" t="inlineStr">
        <is>
          <t>Snapshot H</t>
        </is>
      </c>
      <c r="AC4" s="7" t="inlineStr">
        <is>
          <t>Snapshot A</t>
        </is>
      </c>
      <c r="AD4" s="7" t="inlineStr">
        <is>
          <t>Snapshot FX</t>
        </is>
      </c>
      <c r="AE4" s="7" t="inlineStr">
        <is>
          <t>Snapshot H date</t>
        </is>
      </c>
      <c r="AF4" s="7" t="inlineStr">
        <is>
          <t>Snapshot A date</t>
        </is>
      </c>
      <c r="AG4" s="7" t="inlineStr">
        <is>
          <t>Snapshot FX date</t>
        </is>
      </c>
      <c r="AH4" s="7" t="inlineStr">
        <is>
          <t>BBG A price</t>
        </is>
      </c>
      <c r="AI4" s="7" t="inlineStr">
        <is>
          <t>BBG H price</t>
        </is>
      </c>
      <c r="AJ4" s="7" t="inlineStr">
        <is>
          <t>BBG FX</t>
        </is>
      </c>
      <c r="AK4" s="7" t="inlineStr">
        <is>
          <t>BBG A date</t>
        </is>
      </c>
      <c r="AL4" s="7" t="inlineStr">
        <is>
          <t>BBG A time</t>
        </is>
      </c>
      <c r="AM4" s="7" t="inlineStr">
        <is>
          <t>Pair source</t>
        </is>
      </c>
      <c r="AN4" s="7" t="inlineStr">
        <is>
          <t>Effective H</t>
        </is>
      </c>
      <c r="AO4" s="7" t="inlineStr">
        <is>
          <t>Effective A</t>
        </is>
      </c>
      <c r="AP4" s="7" t="inlineStr">
        <is>
          <t>Effective FX</t>
        </is>
      </c>
      <c r="AQ4" s="7" t="inlineStr">
        <is>
          <t>A premium</t>
        </is>
      </c>
      <c r="AR4" s="7" t="inlineStr">
        <is>
          <t>History column</t>
        </is>
      </c>
      <c r="AS4" s="7" t="inlineStr">
        <is>
          <t>Class check</t>
        </is>
      </c>
      <c r="AT4" s="7" t="n"/>
      <c r="AU4" s="7" t="n"/>
      <c r="AV4" s="7" t="n"/>
      <c r="AW4" s="7" t="inlineStr">
        <is>
          <t>AH include</t>
        </is>
      </c>
      <c r="AX4" s="7" t="inlineStr">
        <is>
          <t>AH sequence</t>
        </is>
      </c>
      <c r="AY4" s="7" t="inlineStr">
        <is>
          <t>Effective AH H</t>
        </is>
      </c>
      <c r="AZ4" s="7" t="inlineStr">
        <is>
          <t>AH H source</t>
        </is>
      </c>
      <c r="BA4" s="7" t="inlineStr">
        <is>
          <t>AH H quote date</t>
        </is>
      </c>
      <c r="BB4" s="7" t="inlineStr">
        <is>
          <t>AH H offer factor</t>
        </is>
      </c>
      <c r="BC4" s="7" t="n"/>
    </row>
    <row r="5">
      <c r="A5" s="31" t="inlineStr">
        <is>
          <t>6802</t>
        </is>
      </c>
      <c r="B5" s="15" t="inlineStr">
        <is>
          <t>CAMSENSE</t>
        </is>
      </c>
      <c r="C5" s="15" t="inlineStr">
        <is>
          <t>Tech/AI</t>
        </is>
      </c>
      <c r="D5" s="15" t="inlineStr">
        <is>
          <t>Robotics &amp; autonomous driving</t>
        </is>
      </c>
      <c r="E5" s="34" t="n">
        <v>46295</v>
      </c>
      <c r="F5" s="15" t="n">
        <v>58.85</v>
      </c>
      <c r="G5" s="15" t="n">
        <v>113</v>
      </c>
      <c r="H5" s="34" t="n">
        <v>46297</v>
      </c>
      <c r="I5" s="31" t="n"/>
      <c r="J5" s="15" t="n">
        <v>0</v>
      </c>
      <c r="K5" s="15">
        <f>IF(AND(AH!$M$5="Snapshot",'IPO Live'!$M$5="Snapshot"),"",IFERROR(BDP(TEXT(VALUE($A5),"0")&amp;" HK Equity","PX_LAST"),""))</f>
        <v/>
      </c>
      <c r="L5" s="15">
        <f>IF(AND(AH!$M$5="Snapshot",'IPO Live'!$M$5="Snapshot"),"",IFERROR(BDP(TEXT(VALUE($A5),"0")&amp;" HK Equity","CHG_PCT_1D")/100,""))</f>
        <v/>
      </c>
      <c r="M5" s="15">
        <f>IF(AND(AH!$M$5="Snapshot",'IPO Live'!$M$5="Snapshot"),"",IFERROR(BDP(TEXT(VALUE($A5),"0")&amp;" HK Equity","LAST_UPDATE_DT"),""))</f>
        <v/>
      </c>
      <c r="N5" s="15">
        <f>IF(AND(AH!$M$5="Snapshot",'IPO Live'!$M$5="Snapshot"),"",IFERROR(BDP(TEXT(VALUE($A5),"0")&amp;" HK Equity","LAST_UPDATE"),""))</f>
        <v/>
      </c>
      <c r="O5" s="15">
        <f>IF('IPO Live'!$M$5="Snapshot",IF(ISNUMBER(G5),G5,"unavailable"),IF(AND(ISNUMBER(K5),N(K5)&gt;0),K5,IF('IPO Live'!$M$5="Auto",IF(ISNUMBER(G5),G5,"unavailable"),"unavailable")))</f>
        <v/>
      </c>
      <c r="P5" s="15">
        <f>IF(AND('IPO Live'!$M$5&lt;&gt;"Snapshot",ISNUMBER(K5),N(K5)&gt;0),"Bloomberg",IF(AND('IPO Live'!$M$5&lt;&gt;"Bloomberg",ISNUMBER(G5)),"Snapshot","Unavailable"))</f>
        <v/>
      </c>
      <c r="Q5" s="33">
        <f>IF(AND(P5="Bloomberg",ISNUMBER(L5)),L5,"unavailable")</f>
        <v/>
      </c>
      <c r="R5" s="15">
        <f>IF(OR('IPO Live'!$B$5="All",'IPO Live'!$B$5=C5,AND('IPO Live'!$B$5="A/H only",J5&gt;0)),1,0)</f>
        <v/>
      </c>
      <c r="S5" s="15">
        <f>IF(R5=1,COUNTIF($R$5:R5,1),"")</f>
        <v/>
      </c>
      <c r="T5">
        <f>1</f>
        <v/>
      </c>
      <c r="U5">
        <f>IF($P5="Bloomberg",$M5,$H5)</f>
        <v/>
      </c>
      <c r="V5" s="15" t="inlineStr">
        <is>
          <t>6127 | JOINN</t>
        </is>
      </c>
      <c r="W5" s="15" t="inlineStr">
        <is>
          <t>JOINN</t>
        </is>
      </c>
      <c r="X5" s="31" t="inlineStr">
        <is>
          <t>6127</t>
        </is>
      </c>
      <c r="Y5" s="31" t="inlineStr">
        <is>
          <t>603127.SS</t>
        </is>
      </c>
      <c r="Z5" s="15" t="inlineStr">
        <is>
          <t>CXO / pharma services</t>
        </is>
      </c>
      <c r="AA5" s="34" t="n">
        <v>44253</v>
      </c>
      <c r="AB5" s="15" t="n">
        <v>30.42</v>
      </c>
      <c r="AC5" s="15" t="n">
        <v>49.3</v>
      </c>
      <c r="AD5" s="15" t="n">
        <v>1.170220971107483</v>
      </c>
      <c r="AE5" s="34" t="n">
        <v>46297</v>
      </c>
      <c r="AF5" s="34" t="n">
        <v>46295</v>
      </c>
      <c r="AG5" s="34" t="n">
        <v>46297</v>
      </c>
      <c r="AH5" s="15">
        <f>IF(AND(AH!$M$5="Snapshot",'IPO Live'!$M$5="Snapshot"),"",IFERROR(BDP(LEFT($Y5,FIND(".",$Y5)-1)&amp;" CH Equity","PX_LAST"),""))</f>
        <v/>
      </c>
      <c r="AI5" s="15">
        <f>$K$280</f>
        <v/>
      </c>
      <c r="AJ5" s="15">
        <f>$B$1</f>
        <v/>
      </c>
      <c r="AK5" s="34">
        <f>IF(AND(AH!$M$5="Snapshot",'IPO Live'!$M$5="Snapshot"),"",IFERROR(BDP(LEFT($Y5,FIND(".",$Y5)-1)&amp;" CH Equity","LAST_UPDATE_DT"),""))</f>
        <v/>
      </c>
      <c r="AL5" s="15">
        <f>IF(AND(AH!$M$5="Snapshot",'IPO Live'!$M$5="Snapshot"),"",IFERROR(BDP(LEFT($Y5,FIND(".",$Y5)-1)&amp;" CH Equity","LAST_UPDATE"),""))</f>
        <v/>
      </c>
      <c r="AM5" s="15">
        <f>IF(AND(AH!$M$5&lt;&gt;"Snapshot",ISNUMBER(AH5),N(AH5)&gt;0,ISNUMBER(AI5),N(AI5)&gt;0,ISNUMBER(AJ5),N(AJ5)&gt;0),"Bloomberg",IF(AH!$M$5="Bloomberg","Unavailable",IF(AND(ISNUMBER(AB5),ISNUMBER(AC5),ISNUMBER(AD5)),"Snapshot","Unavailable")))</f>
        <v/>
      </c>
      <c r="AN5" s="15">
        <f>IF(AM5="Bloomberg",AI5,IF(AM5="Snapshot",AB5,"unavailable"))</f>
        <v/>
      </c>
      <c r="AO5" s="15">
        <f>IF(AM5="Bloomberg",AH5,IF(AM5="Snapshot",AC5,"unavailable"))</f>
        <v/>
      </c>
      <c r="AP5" s="15">
        <f>IF(AM5="Bloomberg",AJ5,IF(AM5="Snapshot",AD5,"unavailable"))</f>
        <v/>
      </c>
      <c r="AQ5" s="33">
        <f>IFERROR(IF(AND(ISNUMBER(AN5),N(AN5)&gt;0,ISNUMBER(AO5),N(AO5)&gt;0,ISNUMBER(AP5),N(AP5)&gt;0),AO5*AP5/AN5-1,"unavailable"),"unavailable")</f>
        <v/>
      </c>
      <c r="AR5" s="15" t="n">
        <v>1</v>
      </c>
      <c r="AS5" s="15" t="inlineStr">
        <is>
          <t>One raw share per class; confirm class conversion for adjusted structures</t>
        </is>
      </c>
      <c r="AT5" s="31" t="inlineStr">
        <is>
          <t>603127</t>
        </is>
      </c>
      <c r="AV5" s="15" t="inlineStr">
        <is>
          <t>All</t>
        </is>
      </c>
      <c r="AW5">
        <f>IF(AND(J5&gt;0,OR(AH!$I$5="All",AH!$I$5="A/H only",AH!$I$5=C5)),1,0)</f>
        <v/>
      </c>
      <c r="AX5">
        <f>IF(AW5=1,COUNTIF($AW$5:AW5,1),"")</f>
        <v/>
      </c>
      <c r="AY5">
        <f>IF(AH!$M$5="Snapshot",IF(ISNUMBER(G5),G5,"unavailable"),IF(AND(ISNUMBER(K5),N(K5)&gt;0),K5,IF(AH!$M$5="Auto",IF(ISNUMBER(G5),G5,"unavailable"),"unavailable")))</f>
        <v/>
      </c>
      <c r="AZ5">
        <f>IF(AND(AH!$M$5&lt;&gt;"Snapshot",ISNUMBER(K5),N(K5)&gt;0),"Bloomberg",IF(AND(AH!$M$5&lt;&gt;"Bloomberg",ISNUMBER(G5)),"Snapshot","Unavailable"))</f>
        <v/>
      </c>
      <c r="BA5">
        <f>IF(AZ5="Bloomberg",M5,H5)</f>
        <v/>
      </c>
      <c r="BB5">
        <f>1</f>
        <v/>
      </c>
      <c r="BC5" s="15" t="n">
        <v>138</v>
      </c>
    </row>
    <row r="6">
      <c r="A6" s="31" t="inlineStr">
        <is>
          <t>3228</t>
        </is>
      </c>
      <c r="B6" s="15" t="inlineStr">
        <is>
          <t>KINWONG</t>
        </is>
      </c>
      <c r="C6" s="15" t="inlineStr">
        <is>
          <t>Tech/AI</t>
        </is>
      </c>
      <c r="D6" s="15" t="inlineStr">
        <is>
          <t>Smart hardware / consumer electronics</t>
        </is>
      </c>
      <c r="E6" s="34" t="n">
        <v>46294</v>
      </c>
      <c r="F6" s="15" t="n">
        <v>69.88</v>
      </c>
      <c r="G6" s="15" t="n">
        <v>74.40000000000001</v>
      </c>
      <c r="H6" s="34" t="n">
        <v>46297</v>
      </c>
      <c r="I6" s="31" t="n"/>
      <c r="J6" s="15" t="n">
        <v>0</v>
      </c>
      <c r="K6" s="15">
        <f>IF(AND(AH!$M$5="Snapshot",'IPO Live'!$M$5="Snapshot"),"",IFERROR(BDP(TEXT(VALUE($A6),"0")&amp;" HK Equity","PX_LAST"),""))</f>
        <v/>
      </c>
      <c r="L6" s="15">
        <f>IF(AND(AH!$M$5="Snapshot",'IPO Live'!$M$5="Snapshot"),"",IFERROR(BDP(TEXT(VALUE($A6),"0")&amp;" HK Equity","CHG_PCT_1D")/100,""))</f>
        <v/>
      </c>
      <c r="M6" s="15">
        <f>IF(AND(AH!$M$5="Snapshot",'IPO Live'!$M$5="Snapshot"),"",IFERROR(BDP(TEXT(VALUE($A6),"0")&amp;" HK Equity","LAST_UPDATE_DT"),""))</f>
        <v/>
      </c>
      <c r="N6" s="15">
        <f>IF(AND(AH!$M$5="Snapshot",'IPO Live'!$M$5="Snapshot"),"",IFERROR(BDP(TEXT(VALUE($A6),"0")&amp;" HK Equity","LAST_UPDATE"),""))</f>
        <v/>
      </c>
      <c r="O6" s="15">
        <f>IF('IPO Live'!$M$5="Snapshot",IF(ISNUMBER(G6),G6,"unavailable"),IF(AND(ISNUMBER(K6),N(K6)&gt;0),K6,IF('IPO Live'!$M$5="Auto",IF(ISNUMBER(G6),G6,"unavailable"),"unavailable")))</f>
        <v/>
      </c>
      <c r="P6" s="15">
        <f>IF(AND('IPO Live'!$M$5&lt;&gt;"Snapshot",ISNUMBER(K6),N(K6)&gt;0),"Bloomberg",IF(AND('IPO Live'!$M$5&lt;&gt;"Bloomberg",ISNUMBER(G6)),"Snapshot","Unavailable"))</f>
        <v/>
      </c>
      <c r="Q6" s="33">
        <f>IF(AND(P6="Bloomberg",ISNUMBER(L6)),L6,"unavailable")</f>
        <v/>
      </c>
      <c r="R6" s="15">
        <f>IF(OR('IPO Live'!$B$5="All",'IPO Live'!$B$5=C6,AND('IPO Live'!$B$5="A/H only",J6&gt;0)),1,0)</f>
        <v/>
      </c>
      <c r="S6" s="15">
        <f>IF(R6=1,COUNTIF($R$5:R6,1),"")</f>
        <v/>
      </c>
      <c r="T6">
        <f>1</f>
        <v/>
      </c>
      <c r="U6">
        <f>IF($P6="Bloomberg",$M6,$H6)</f>
        <v/>
      </c>
      <c r="V6" s="15" t="inlineStr">
        <is>
          <t>6821 | ASYMCHEM</t>
        </is>
      </c>
      <c r="W6" s="15" t="inlineStr">
        <is>
          <t>ASYMCHEM</t>
        </is>
      </c>
      <c r="X6" s="31" t="inlineStr">
        <is>
          <t>6821</t>
        </is>
      </c>
      <c r="Y6" s="31" t="inlineStr">
        <is>
          <t>002821.SZ</t>
        </is>
      </c>
      <c r="Z6" s="15" t="inlineStr">
        <is>
          <t>CXO / pharma services</t>
        </is>
      </c>
      <c r="AA6" s="34" t="n">
        <v>44540</v>
      </c>
      <c r="AB6" s="15" t="n">
        <v>166.6</v>
      </c>
      <c r="AC6" s="15" t="n">
        <v>188.62</v>
      </c>
      <c r="AD6" s="15" t="n">
        <v>1.170220971107483</v>
      </c>
      <c r="AE6" s="34" t="n">
        <v>46297</v>
      </c>
      <c r="AF6" s="34" t="n">
        <v>46295</v>
      </c>
      <c r="AG6" s="34" t="n">
        <v>46297</v>
      </c>
      <c r="AH6" s="15">
        <f>IF(AND(AH!$M$5="Snapshot",'IPO Live'!$M$5="Snapshot"),"",IFERROR(BDP(LEFT($Y6,FIND(".",$Y6)-1)&amp;" CH Equity","PX_LAST"),""))</f>
        <v/>
      </c>
      <c r="AI6" s="15">
        <f>$K$260</f>
        <v/>
      </c>
      <c r="AJ6" s="15">
        <f>$B$1</f>
        <v/>
      </c>
      <c r="AK6" s="34">
        <f>IF(AND(AH!$M$5="Snapshot",'IPO Live'!$M$5="Snapshot"),"",IFERROR(BDP(LEFT($Y6,FIND(".",$Y6)-1)&amp;" CH Equity","LAST_UPDATE_DT"),""))</f>
        <v/>
      </c>
      <c r="AL6" s="15">
        <f>IF(AND(AH!$M$5="Snapshot",'IPO Live'!$M$5="Snapshot"),"",IFERROR(BDP(LEFT($Y6,FIND(".",$Y6)-1)&amp;" CH Equity","LAST_UPDATE"),""))</f>
        <v/>
      </c>
      <c r="AM6" s="15">
        <f>IF(AND(AH!$M$5&lt;&gt;"Snapshot",ISNUMBER(AH6),N(AH6)&gt;0,ISNUMBER(AI6),N(AI6)&gt;0,ISNUMBER(AJ6),N(AJ6)&gt;0),"Bloomberg",IF(AH!$M$5="Bloomberg","Unavailable",IF(AND(ISNUMBER(AB6),ISNUMBER(AC6),ISNUMBER(AD6)),"Snapshot","Unavailable")))</f>
        <v/>
      </c>
      <c r="AN6" s="15">
        <f>IF(AM6="Bloomberg",AI6,IF(AM6="Snapshot",AB6,"unavailable"))</f>
        <v/>
      </c>
      <c r="AO6" s="15">
        <f>IF(AM6="Bloomberg",AH6,IF(AM6="Snapshot",AC6,"unavailable"))</f>
        <v/>
      </c>
      <c r="AP6" s="15">
        <f>IF(AM6="Bloomberg",AJ6,IF(AM6="Snapshot",AD6,"unavailable"))</f>
        <v/>
      </c>
      <c r="AQ6" s="33">
        <f>IFERROR(IF(AND(ISNUMBER(AN6),N(AN6)&gt;0,ISNUMBER(AO6),N(AO6)&gt;0,ISNUMBER(AP6),N(AP6)&gt;0),AO6*AP6/AN6-1,"unavailable"),"unavailable")</f>
        <v/>
      </c>
      <c r="AR6" s="15" t="n">
        <v>4</v>
      </c>
      <c r="AS6" s="15" t="inlineStr">
        <is>
          <t>One raw share per class; confirm class conversion for adjusted structures</t>
        </is>
      </c>
      <c r="AT6" s="31" t="inlineStr">
        <is>
          <t>002821</t>
        </is>
      </c>
      <c r="AV6" s="15" t="inlineStr">
        <is>
          <t>A/H only</t>
        </is>
      </c>
      <c r="AW6">
        <f>IF(AND(J6&gt;0,OR(AH!$I$5="All",AH!$I$5="A/H only",AH!$I$5=C6)),1,0)</f>
        <v/>
      </c>
      <c r="AX6">
        <f>IF(AW6=1,COUNTIF($AW$5:AW6,1),"")</f>
        <v/>
      </c>
      <c r="AY6">
        <f>IF(AH!$M$5="Snapshot",IF(ISNUMBER(G6),G6,"unavailable"),IF(AND(ISNUMBER(K6),N(K6)&gt;0),K6,IF(AH!$M$5="Auto",IF(ISNUMBER(G6),G6,"unavailable"),"unavailable")))</f>
        <v/>
      </c>
      <c r="AZ6">
        <f>IF(AND(AH!$M$5&lt;&gt;"Snapshot",ISNUMBER(K6),N(K6)&gt;0),"Bloomberg",IF(AND(AH!$M$5&lt;&gt;"Bloomberg",ISNUMBER(G6)),"Snapshot","Unavailable"))</f>
        <v/>
      </c>
      <c r="BA6">
        <f>IF(AZ6="Bloomberg",M6,H6)</f>
        <v/>
      </c>
      <c r="BB6">
        <f>1</f>
        <v/>
      </c>
      <c r="BC6" s="15" t="n">
        <v>370</v>
      </c>
    </row>
    <row r="7">
      <c r="A7" s="31" t="inlineStr">
        <is>
          <t>3757</t>
        </is>
      </c>
      <c r="B7" s="15" t="inlineStr">
        <is>
          <t>ROBOTECHNIK</t>
        </is>
      </c>
      <c r="C7" s="15" t="inlineStr">
        <is>
          <t>Tech/AI</t>
        </is>
      </c>
      <c r="D7" s="15" t="inlineStr">
        <is>
          <t>Robotics &amp; autonomous driving</t>
        </is>
      </c>
      <c r="E7" s="34" t="n">
        <v>46294</v>
      </c>
      <c r="F7" s="15" t="n">
        <v>436</v>
      </c>
      <c r="G7" s="15" t="n">
        <v>397.4</v>
      </c>
      <c r="H7" s="34" t="n">
        <v>46297</v>
      </c>
      <c r="I7" s="31" t="n"/>
      <c r="J7" s="15" t="n">
        <v>0</v>
      </c>
      <c r="K7" s="15">
        <f>IF(AND(AH!$M$5="Snapshot",'IPO Live'!$M$5="Snapshot"),"",IFERROR(BDP(TEXT(VALUE($A7),"0")&amp;" HK Equity","PX_LAST"),""))</f>
        <v/>
      </c>
      <c r="L7" s="15">
        <f>IF(AND(AH!$M$5="Snapshot",'IPO Live'!$M$5="Snapshot"),"",IFERROR(BDP(TEXT(VALUE($A7),"0")&amp;" HK Equity","CHG_PCT_1D")/100,""))</f>
        <v/>
      </c>
      <c r="M7" s="15">
        <f>IF(AND(AH!$M$5="Snapshot",'IPO Live'!$M$5="Snapshot"),"",IFERROR(BDP(TEXT(VALUE($A7),"0")&amp;" HK Equity","LAST_UPDATE_DT"),""))</f>
        <v/>
      </c>
      <c r="N7" s="15">
        <f>IF(AND(AH!$M$5="Snapshot",'IPO Live'!$M$5="Snapshot"),"",IFERROR(BDP(TEXT(VALUE($A7),"0")&amp;" HK Equity","LAST_UPDATE"),""))</f>
        <v/>
      </c>
      <c r="O7" s="15">
        <f>IF('IPO Live'!$M$5="Snapshot",IF(ISNUMBER(G7),G7,"unavailable"),IF(AND(ISNUMBER(K7),N(K7)&gt;0),K7,IF('IPO Live'!$M$5="Auto",IF(ISNUMBER(G7),G7,"unavailable"),"unavailable")))</f>
        <v/>
      </c>
      <c r="P7" s="15">
        <f>IF(AND('IPO Live'!$M$5&lt;&gt;"Snapshot",ISNUMBER(K7),N(K7)&gt;0),"Bloomberg",IF(AND('IPO Live'!$M$5&lt;&gt;"Bloomberg",ISNUMBER(G7)),"Snapshot","Unavailable"))</f>
        <v/>
      </c>
      <c r="Q7" s="33">
        <f>IF(AND(P7="Bloomberg",ISNUMBER(L7)),L7,"unavailable")</f>
        <v/>
      </c>
      <c r="R7" s="15">
        <f>IF(OR('IPO Live'!$B$5="All",'IPO Live'!$B$5=C7,AND('IPO Live'!$B$5="A/H only",J7&gt;0)),1,0)</f>
        <v/>
      </c>
      <c r="S7" s="15">
        <f>IF(R7=1,COUNTIF($R$5:R7,1),"")</f>
        <v/>
      </c>
      <c r="T7">
        <f>1</f>
        <v/>
      </c>
      <c r="U7">
        <f>IF($P7="Bloomberg",$M7,$H7)</f>
        <v/>
      </c>
      <c r="V7" s="15" t="inlineStr">
        <is>
          <t>6680 | JLMAG</t>
        </is>
      </c>
      <c r="W7" s="15" t="inlineStr">
        <is>
          <t>JLMAG</t>
        </is>
      </c>
      <c r="X7" s="31" t="inlineStr">
        <is>
          <t>6680</t>
        </is>
      </c>
      <c r="Y7" s="31" t="inlineStr">
        <is>
          <t>300748.SZ</t>
        </is>
      </c>
      <c r="Z7" s="15" t="inlineStr">
        <is>
          <t>Capital goods / machinery</t>
        </is>
      </c>
      <c r="AA7" s="34" t="n">
        <v>44575</v>
      </c>
      <c r="AB7" s="15" t="n">
        <v>14.8</v>
      </c>
      <c r="AC7" s="15" t="n">
        <v>24.11</v>
      </c>
      <c r="AD7" s="15" t="n">
        <v>1.170220971107483</v>
      </c>
      <c r="AE7" s="34" t="n">
        <v>46297</v>
      </c>
      <c r="AF7" s="34" t="n">
        <v>46295</v>
      </c>
      <c r="AG7" s="34" t="n">
        <v>46297</v>
      </c>
      <c r="AH7" s="15">
        <f>IF(AND(AH!$M$5="Snapshot",'IPO Live'!$M$5="Snapshot"),"",IFERROR(BDP(LEFT($Y7,FIND(".",$Y7)-1)&amp;" CH Equity","PX_LAST"),""))</f>
        <v/>
      </c>
      <c r="AI7" s="15">
        <f>$K$436</f>
        <v/>
      </c>
      <c r="AJ7" s="15">
        <f>$B$1</f>
        <v/>
      </c>
      <c r="AK7" s="34">
        <f>IF(AND(AH!$M$5="Snapshot",'IPO Live'!$M$5="Snapshot"),"",IFERROR(BDP(LEFT($Y7,FIND(".",$Y7)-1)&amp;" CH Equity","LAST_UPDATE_DT"),""))</f>
        <v/>
      </c>
      <c r="AL7" s="15">
        <f>IF(AND(AH!$M$5="Snapshot",'IPO Live'!$M$5="Snapshot"),"",IFERROR(BDP(LEFT($Y7,FIND(".",$Y7)-1)&amp;" CH Equity","LAST_UPDATE"),""))</f>
        <v/>
      </c>
      <c r="AM7" s="15">
        <f>IF(AND(AH!$M$5&lt;&gt;"Snapshot",ISNUMBER(AH7),N(AH7)&gt;0,ISNUMBER(AI7),N(AI7)&gt;0,ISNUMBER(AJ7),N(AJ7)&gt;0),"Bloomberg",IF(AH!$M$5="Bloomberg","Unavailable",IF(AND(ISNUMBER(AB7),ISNUMBER(AC7),ISNUMBER(AD7)),"Snapshot","Unavailable")))</f>
        <v/>
      </c>
      <c r="AN7" s="15">
        <f>IF(AM7="Bloomberg",AI7,IF(AM7="Snapshot",AB7,"unavailable"))</f>
        <v/>
      </c>
      <c r="AO7" s="15">
        <f>IF(AM7="Bloomberg",AH7,IF(AM7="Snapshot",AC7,"unavailable"))</f>
        <v/>
      </c>
      <c r="AP7" s="15">
        <f>IF(AM7="Bloomberg",AJ7,IF(AM7="Snapshot",AD7,"unavailable"))</f>
        <v/>
      </c>
      <c r="AQ7" s="33">
        <f>IFERROR(IF(AND(ISNUMBER(AN7),N(AN7)&gt;0,ISNUMBER(AO7),N(AO7)&gt;0,ISNUMBER(AP7),N(AP7)&gt;0),AO7*AP7/AN7-1,"unavailable"),"unavailable")</f>
        <v/>
      </c>
      <c r="AR7" s="15" t="n">
        <v>7</v>
      </c>
      <c r="AS7" s="15" t="inlineStr">
        <is>
          <t>One raw share per class; confirm class conversion for adjusted structures</t>
        </is>
      </c>
      <c r="AT7" s="31" t="inlineStr">
        <is>
          <t>300748</t>
        </is>
      </c>
      <c r="AV7" s="15" t="inlineStr">
        <is>
          <t>Tech/AI</t>
        </is>
      </c>
      <c r="AW7">
        <f>IF(AND(J7&gt;0,OR(AH!$I$5="All",AH!$I$5="A/H only",AH!$I$5=C7)),1,0)</f>
        <v/>
      </c>
      <c r="AX7">
        <f>IF(AW7=1,COUNTIF($AW$5:AW7,1),"")</f>
        <v/>
      </c>
      <c r="AY7">
        <f>IF(AH!$M$5="Snapshot",IF(ISNUMBER(G7),G7,"unavailable"),IF(AND(ISNUMBER(K7),N(K7)&gt;0),K7,IF(AH!$M$5="Auto",IF(ISNUMBER(G7),G7,"unavailable"),"unavailable")))</f>
        <v/>
      </c>
      <c r="AZ7">
        <f>IF(AND(AH!$M$5&lt;&gt;"Snapshot",ISNUMBER(K7),N(K7)&gt;0),"Bloomberg",IF(AND(AH!$M$5&lt;&gt;"Bloomberg",ISNUMBER(G7)),"Snapshot","Unavailable"))</f>
        <v/>
      </c>
      <c r="BA7">
        <f>IF(AZ7="Bloomberg",M7,H7)</f>
        <v/>
      </c>
      <c r="BB7">
        <f>1</f>
        <v/>
      </c>
      <c r="BC7" s="15" t="n">
        <v>28.2</v>
      </c>
    </row>
    <row r="8">
      <c r="A8" s="31" t="inlineStr">
        <is>
          <t>6731</t>
        </is>
      </c>
      <c r="B8" s="15" t="inlineStr">
        <is>
          <t>DIRECT DRIVE</t>
        </is>
      </c>
      <c r="C8" s="15" t="inlineStr">
        <is>
          <t>Tech/AI</t>
        </is>
      </c>
      <c r="D8" s="15" t="inlineStr">
        <is>
          <t>Robotics &amp; autonomous driving</t>
        </is>
      </c>
      <c r="E8" s="34" t="n">
        <v>46294</v>
      </c>
      <c r="F8" s="15" t="n">
        <v>21.6</v>
      </c>
      <c r="G8" s="15" t="n">
        <v>24.5</v>
      </c>
      <c r="H8" s="34" t="n">
        <v>46297</v>
      </c>
      <c r="I8" s="31" t="n"/>
      <c r="J8" s="15" t="n">
        <v>0</v>
      </c>
      <c r="K8" s="15">
        <f>IF(AND(AH!$M$5="Snapshot",'IPO Live'!$M$5="Snapshot"),"",IFERROR(BDP(TEXT(VALUE($A8),"0")&amp;" HK Equity","PX_LAST"),""))</f>
        <v/>
      </c>
      <c r="L8" s="15">
        <f>IF(AND(AH!$M$5="Snapshot",'IPO Live'!$M$5="Snapshot"),"",IFERROR(BDP(TEXT(VALUE($A8),"0")&amp;" HK Equity","CHG_PCT_1D")/100,""))</f>
        <v/>
      </c>
      <c r="M8" s="15">
        <f>IF(AND(AH!$M$5="Snapshot",'IPO Live'!$M$5="Snapshot"),"",IFERROR(BDP(TEXT(VALUE($A8),"0")&amp;" HK Equity","LAST_UPDATE_DT"),""))</f>
        <v/>
      </c>
      <c r="N8" s="15">
        <f>IF(AND(AH!$M$5="Snapshot",'IPO Live'!$M$5="Snapshot"),"",IFERROR(BDP(TEXT(VALUE($A8),"0")&amp;" HK Equity","LAST_UPDATE"),""))</f>
        <v/>
      </c>
      <c r="O8" s="15">
        <f>IF('IPO Live'!$M$5="Snapshot",IF(ISNUMBER(G8),G8,"unavailable"),IF(AND(ISNUMBER(K8),N(K8)&gt;0),K8,IF('IPO Live'!$M$5="Auto",IF(ISNUMBER(G8),G8,"unavailable"),"unavailable")))</f>
        <v/>
      </c>
      <c r="P8" s="15">
        <f>IF(AND('IPO Live'!$M$5&lt;&gt;"Snapshot",ISNUMBER(K8),N(K8)&gt;0),"Bloomberg",IF(AND('IPO Live'!$M$5&lt;&gt;"Bloomberg",ISNUMBER(G8)),"Snapshot","Unavailable"))</f>
        <v/>
      </c>
      <c r="Q8" s="33">
        <f>IF(AND(P8="Bloomberg",ISNUMBER(L8)),L8,"unavailable")</f>
        <v/>
      </c>
      <c r="R8" s="15">
        <f>IF(OR('IPO Live'!$B$5="All",'IPO Live'!$B$5=C8,AND('IPO Live'!$B$5="A/H only",J8&gt;0)),1,0)</f>
        <v/>
      </c>
      <c r="S8" s="15">
        <f>IF(R8=1,COUNTIF($R$5:R8,1),"")</f>
        <v/>
      </c>
      <c r="T8">
        <f>1</f>
        <v/>
      </c>
      <c r="U8">
        <f>IF($P8="Bloomberg",$M8,$H8)</f>
        <v/>
      </c>
      <c r="V8" s="15" t="inlineStr">
        <is>
          <t>9696 | TIANQI LITHIUM</t>
        </is>
      </c>
      <c r="W8" s="15" t="inlineStr">
        <is>
          <t>TIANQI LITHIUM</t>
        </is>
      </c>
      <c r="X8" s="31" t="inlineStr">
        <is>
          <t>9696</t>
        </is>
      </c>
      <c r="Y8" s="31" t="inlineStr">
        <is>
          <t>002466.SZ</t>
        </is>
      </c>
      <c r="Z8" s="15" t="inlineStr">
        <is>
          <t>Mining / metals</t>
        </is>
      </c>
      <c r="AA8" s="34" t="n">
        <v>44755</v>
      </c>
      <c r="AB8" s="15" t="n">
        <v>28.2</v>
      </c>
      <c r="AC8" s="15" t="n">
        <v>40.25</v>
      </c>
      <c r="AD8" s="15" t="n">
        <v>1.170220971107483</v>
      </c>
      <c r="AE8" s="34" t="n">
        <v>46297</v>
      </c>
      <c r="AF8" s="34" t="n">
        <v>46295</v>
      </c>
      <c r="AG8" s="34" t="n">
        <v>46297</v>
      </c>
      <c r="AH8" s="15">
        <f>IF(AND(AH!$M$5="Snapshot",'IPO Live'!$M$5="Snapshot"),"",IFERROR(BDP(LEFT($Y8,FIND(".",$Y8)-1)&amp;" CH Equity","PX_LAST"),""))</f>
        <v/>
      </c>
      <c r="AI8" s="15">
        <f>$K$478</f>
        <v/>
      </c>
      <c r="AJ8" s="15">
        <f>$B$1</f>
        <v/>
      </c>
      <c r="AK8" s="34">
        <f>IF(AND(AH!$M$5="Snapshot",'IPO Live'!$M$5="Snapshot"),"",IFERROR(BDP(LEFT($Y8,FIND(".",$Y8)-1)&amp;" CH Equity","LAST_UPDATE_DT"),""))</f>
        <v/>
      </c>
      <c r="AL8" s="15">
        <f>IF(AND(AH!$M$5="Snapshot",'IPO Live'!$M$5="Snapshot"),"",IFERROR(BDP(LEFT($Y8,FIND(".",$Y8)-1)&amp;" CH Equity","LAST_UPDATE"),""))</f>
        <v/>
      </c>
      <c r="AM8" s="15">
        <f>IF(AND(AH!$M$5&lt;&gt;"Snapshot",ISNUMBER(AH8),N(AH8)&gt;0,ISNUMBER(AI8),N(AI8)&gt;0,ISNUMBER(AJ8),N(AJ8)&gt;0),"Bloomberg",IF(AH!$M$5="Bloomberg","Unavailable",IF(AND(ISNUMBER(AB8),ISNUMBER(AC8),ISNUMBER(AD8)),"Snapshot","Unavailable")))</f>
        <v/>
      </c>
      <c r="AN8" s="15">
        <f>IF(AM8="Bloomberg",AI8,IF(AM8="Snapshot",AB8,"unavailable"))</f>
        <v/>
      </c>
      <c r="AO8" s="15">
        <f>IF(AM8="Bloomberg",AH8,IF(AM8="Snapshot",AC8,"unavailable"))</f>
        <v/>
      </c>
      <c r="AP8" s="15">
        <f>IF(AM8="Bloomberg",AJ8,IF(AM8="Snapshot",AD8,"unavailable"))</f>
        <v/>
      </c>
      <c r="AQ8" s="33">
        <f>IFERROR(IF(AND(ISNUMBER(AN8),N(AN8)&gt;0,ISNUMBER(AO8),N(AO8)&gt;0,ISNUMBER(AP8),N(AP8)&gt;0),AO8*AP8/AN8-1,"unavailable"),"unavailable")</f>
        <v/>
      </c>
      <c r="AR8" s="15" t="n">
        <v>10</v>
      </c>
      <c r="AS8" s="15" t="inlineStr">
        <is>
          <t>One raw share per class; confirm class conversion for adjusted structures</t>
        </is>
      </c>
      <c r="AT8" s="31" t="inlineStr">
        <is>
          <t>002466</t>
        </is>
      </c>
      <c r="AV8" s="15" t="inlineStr">
        <is>
          <t>Healthcare</t>
        </is>
      </c>
      <c r="AW8">
        <f>IF(AND(J8&gt;0,OR(AH!$I$5="All",AH!$I$5="A/H only",AH!$I$5=C8)),1,0)</f>
        <v/>
      </c>
      <c r="AX8">
        <f>IF(AW8=1,COUNTIF($AW$5:AW8,1),"")</f>
        <v/>
      </c>
      <c r="AY8">
        <f>IF(AH!$M$5="Snapshot",IF(ISNUMBER(G8),G8,"unavailable"),IF(AND(ISNUMBER(K8),N(K8)&gt;0),K8,IF(AH!$M$5="Auto",IF(ISNUMBER(G8),G8,"unavailable"),"unavailable")))</f>
        <v/>
      </c>
      <c r="AZ8">
        <f>IF(AND(AH!$M$5&lt;&gt;"Snapshot",ISNUMBER(K8),N(K8)&gt;0),"Bloomberg",IF(AND(AH!$M$5&lt;&gt;"Bloomberg",ISNUMBER(G8)),"Snapshot","Unavailable"))</f>
        <v/>
      </c>
      <c r="BA8">
        <f>IF(AZ8="Bloomberg",M8,H8)</f>
        <v/>
      </c>
      <c r="BB8">
        <f>1</f>
        <v/>
      </c>
      <c r="BC8" s="15" t="n">
        <v>82</v>
      </c>
    </row>
    <row r="9">
      <c r="A9" s="31" t="inlineStr">
        <is>
          <t>9856</t>
        </is>
      </c>
      <c r="B9" s="15" t="inlineStr">
        <is>
          <t>LIGENT</t>
        </is>
      </c>
      <c r="C9" s="15" t="inlineStr">
        <is>
          <t>Tech/AI</t>
        </is>
      </c>
      <c r="D9" s="15" t="inlineStr">
        <is>
          <t>Smart hardware / consumer electronics</t>
        </is>
      </c>
      <c r="E9" s="34" t="n">
        <v>46287</v>
      </c>
      <c r="F9" s="15" t="n">
        <v>32.96</v>
      </c>
      <c r="G9" s="15" t="n">
        <v>33.02</v>
      </c>
      <c r="H9" s="34" t="n">
        <v>46297</v>
      </c>
      <c r="I9" s="31" t="n"/>
      <c r="J9" s="15" t="n">
        <v>0</v>
      </c>
      <c r="K9" s="15">
        <f>IF(AND(AH!$M$5="Snapshot",'IPO Live'!$M$5="Snapshot"),"",IFERROR(BDP(TEXT(VALUE($A9),"0")&amp;" HK Equity","PX_LAST"),""))</f>
        <v/>
      </c>
      <c r="L9" s="15">
        <f>IF(AND(AH!$M$5="Snapshot",'IPO Live'!$M$5="Snapshot"),"",IFERROR(BDP(TEXT(VALUE($A9),"0")&amp;" HK Equity","CHG_PCT_1D")/100,""))</f>
        <v/>
      </c>
      <c r="M9" s="15">
        <f>IF(AND(AH!$M$5="Snapshot",'IPO Live'!$M$5="Snapshot"),"",IFERROR(BDP(TEXT(VALUE($A9),"0")&amp;" HK Equity","LAST_UPDATE_DT"),""))</f>
        <v/>
      </c>
      <c r="N9" s="15">
        <f>IF(AND(AH!$M$5="Snapshot",'IPO Live'!$M$5="Snapshot"),"",IFERROR(BDP(TEXT(VALUE($A9),"0")&amp;" HK Equity","LAST_UPDATE"),""))</f>
        <v/>
      </c>
      <c r="O9" s="15">
        <f>IF('IPO Live'!$M$5="Snapshot",IF(ISNUMBER(G9),G9,"unavailable"),IF(AND(ISNUMBER(K9),N(K9)&gt;0),K9,IF('IPO Live'!$M$5="Auto",IF(ISNUMBER(G9),G9,"unavailable"),"unavailable")))</f>
        <v/>
      </c>
      <c r="P9" s="15">
        <f>IF(AND('IPO Live'!$M$5&lt;&gt;"Snapshot",ISNUMBER(K9),N(K9)&gt;0),"Bloomberg",IF(AND('IPO Live'!$M$5&lt;&gt;"Bloomberg",ISNUMBER(G9)),"Snapshot","Unavailable"))</f>
        <v/>
      </c>
      <c r="Q9" s="33">
        <f>IF(AND(P9="Bloomberg",ISNUMBER(L9)),L9,"unavailable")</f>
        <v/>
      </c>
      <c r="R9" s="15">
        <f>IF(OR('IPO Live'!$B$5="All",'IPO Live'!$B$5=C9,AND('IPO Live'!$B$5="A/H only",J9&gt;0)),1,0)</f>
        <v/>
      </c>
      <c r="S9" s="15">
        <f>IF(R9=1,COUNTIF($R$5:R9,1),"")</f>
        <v/>
      </c>
      <c r="T9">
        <f>1</f>
        <v/>
      </c>
      <c r="U9">
        <f>IF($P9="Bloomberg",$M9,$H9)</f>
        <v/>
      </c>
      <c r="V9" s="15" t="inlineStr">
        <is>
          <t>1880 | CTG DUTY-FREE</t>
        </is>
      </c>
      <c r="W9" s="15" t="inlineStr">
        <is>
          <t>CTG DUTY-FREE</t>
        </is>
      </c>
      <c r="X9" s="31" t="inlineStr">
        <is>
          <t>1880</t>
        </is>
      </c>
      <c r="Y9" s="31" t="inlineStr">
        <is>
          <t>601888.SS</t>
        </is>
      </c>
      <c r="Z9" s="15" t="inlineStr">
        <is>
          <t>Retail / distribution</t>
        </is>
      </c>
      <c r="AA9" s="34" t="n">
        <v>44798</v>
      </c>
      <c r="AB9" s="15" t="n">
        <v>45.86</v>
      </c>
      <c r="AC9" s="15" t="n">
        <v>51.44</v>
      </c>
      <c r="AD9" s="15" t="n">
        <v>1.170220971107483</v>
      </c>
      <c r="AE9" s="34" t="n">
        <v>46297</v>
      </c>
      <c r="AF9" s="34" t="n">
        <v>46295</v>
      </c>
      <c r="AG9" s="34" t="n">
        <v>46297</v>
      </c>
      <c r="AH9" s="15">
        <f>IF(AND(AH!$M$5="Snapshot",'IPO Live'!$M$5="Snapshot"),"",IFERROR(BDP(LEFT($Y9,FIND(".",$Y9)-1)&amp;" CH Equity","PX_LAST"),""))</f>
        <v/>
      </c>
      <c r="AI9" s="15">
        <f>$K$358</f>
        <v/>
      </c>
      <c r="AJ9" s="15">
        <f>$B$1</f>
        <v/>
      </c>
      <c r="AK9" s="34">
        <f>IF(AND(AH!$M$5="Snapshot",'IPO Live'!$M$5="Snapshot"),"",IFERROR(BDP(LEFT($Y9,FIND(".",$Y9)-1)&amp;" CH Equity","LAST_UPDATE_DT"),""))</f>
        <v/>
      </c>
      <c r="AL9" s="15">
        <f>IF(AND(AH!$M$5="Snapshot",'IPO Live'!$M$5="Snapshot"),"",IFERROR(BDP(LEFT($Y9,FIND(".",$Y9)-1)&amp;" CH Equity","LAST_UPDATE"),""))</f>
        <v/>
      </c>
      <c r="AM9" s="15">
        <f>IF(AND(AH!$M$5&lt;&gt;"Snapshot",ISNUMBER(AH9),N(AH9)&gt;0,ISNUMBER(AI9),N(AI9)&gt;0,ISNUMBER(AJ9),N(AJ9)&gt;0),"Bloomberg",IF(AH!$M$5="Bloomberg","Unavailable",IF(AND(ISNUMBER(AB9),ISNUMBER(AC9),ISNUMBER(AD9)),"Snapshot","Unavailable")))</f>
        <v/>
      </c>
      <c r="AN9" s="15">
        <f>IF(AM9="Bloomberg",AI9,IF(AM9="Snapshot",AB9,"unavailable"))</f>
        <v/>
      </c>
      <c r="AO9" s="15">
        <f>IF(AM9="Bloomberg",AH9,IF(AM9="Snapshot",AC9,"unavailable"))</f>
        <v/>
      </c>
      <c r="AP9" s="15">
        <f>IF(AM9="Bloomberg",AJ9,IF(AM9="Snapshot",AD9,"unavailable"))</f>
        <v/>
      </c>
      <c r="AQ9" s="33">
        <f>IFERROR(IF(AND(ISNUMBER(AN9),N(AN9)&gt;0,ISNUMBER(AO9),N(AO9)&gt;0,ISNUMBER(AP9),N(AP9)&gt;0),AO9*AP9/AN9-1,"unavailable"),"unavailable")</f>
        <v/>
      </c>
      <c r="AR9" s="15" t="n">
        <v>13</v>
      </c>
      <c r="AS9" s="15" t="inlineStr">
        <is>
          <t>One raw share per class; confirm class conversion for adjusted structures</t>
        </is>
      </c>
      <c r="AT9" s="31" t="inlineStr">
        <is>
          <t>601888</t>
        </is>
      </c>
      <c r="AV9" s="15" t="inlineStr">
        <is>
          <t>Consumer</t>
        </is>
      </c>
      <c r="AW9">
        <f>IF(AND(J9&gt;0,OR(AH!$I$5="All",AH!$I$5="A/H only",AH!$I$5=C9)),1,0)</f>
        <v/>
      </c>
      <c r="AX9">
        <f>IF(AW9=1,COUNTIF($AW$5:AW9,1),"")</f>
        <v/>
      </c>
      <c r="AY9">
        <f>IF(AH!$M$5="Snapshot",IF(ISNUMBER(G9),G9,"unavailable"),IF(AND(ISNUMBER(K9),N(K9)&gt;0),K9,IF(AH!$M$5="Auto",IF(ISNUMBER(G9),G9,"unavailable"),"unavailable")))</f>
        <v/>
      </c>
      <c r="AZ9">
        <f>IF(AND(AH!$M$5&lt;&gt;"Snapshot",ISNUMBER(K9),N(K9)&gt;0),"Bloomberg",IF(AND(AH!$M$5&lt;&gt;"Bloomberg",ISNUMBER(G9)),"Snapshot","Unavailable"))</f>
        <v/>
      </c>
      <c r="BA9">
        <f>IF(AZ9="Bloomberg",M9,H9)</f>
        <v/>
      </c>
      <c r="BB9">
        <f>1</f>
        <v/>
      </c>
      <c r="BC9" s="15" t="n">
        <v>158</v>
      </c>
    </row>
    <row r="10">
      <c r="A10" s="31" t="inlineStr">
        <is>
          <t>6727</t>
        </is>
      </c>
      <c r="B10" s="15" t="inlineStr">
        <is>
          <t>TRANSWARP</t>
        </is>
      </c>
      <c r="C10" s="15" t="inlineStr">
        <is>
          <t>Tech/AI</t>
        </is>
      </c>
      <c r="D10" s="15" t="inlineStr">
        <is>
          <t>SaaS / enterprise software</t>
        </is>
      </c>
      <c r="E10" s="34" t="n">
        <v>46286</v>
      </c>
      <c r="F10" s="15" t="n">
        <v>49</v>
      </c>
      <c r="G10" s="15" t="n">
        <v>31.82</v>
      </c>
      <c r="H10" s="34" t="n">
        <v>46297</v>
      </c>
      <c r="I10" s="31" t="n"/>
      <c r="J10" s="15" t="n">
        <v>0</v>
      </c>
      <c r="K10" s="15">
        <f>IF(AND(AH!$M$5="Snapshot",'IPO Live'!$M$5="Snapshot"),"",IFERROR(BDP(TEXT(VALUE($A10),"0")&amp;" HK Equity","PX_LAST"),""))</f>
        <v/>
      </c>
      <c r="L10" s="15">
        <f>IF(AND(AH!$M$5="Snapshot",'IPO Live'!$M$5="Snapshot"),"",IFERROR(BDP(TEXT(VALUE($A10),"0")&amp;" HK Equity","CHG_PCT_1D")/100,""))</f>
        <v/>
      </c>
      <c r="M10" s="15">
        <f>IF(AND(AH!$M$5="Snapshot",'IPO Live'!$M$5="Snapshot"),"",IFERROR(BDP(TEXT(VALUE($A10),"0")&amp;" HK Equity","LAST_UPDATE_DT"),""))</f>
        <v/>
      </c>
      <c r="N10" s="15">
        <f>IF(AND(AH!$M$5="Snapshot",'IPO Live'!$M$5="Snapshot"),"",IFERROR(BDP(TEXT(VALUE($A10),"0")&amp;" HK Equity","LAST_UPDATE"),""))</f>
        <v/>
      </c>
      <c r="O10" s="15">
        <f>IF('IPO Live'!$M$5="Snapshot",IF(ISNUMBER(G10),G10,"unavailable"),IF(AND(ISNUMBER(K10),N(K10)&gt;0),K10,IF('IPO Live'!$M$5="Auto",IF(ISNUMBER(G10),G10,"unavailable"),"unavailable")))</f>
        <v/>
      </c>
      <c r="P10" s="15">
        <f>IF(AND('IPO Live'!$M$5&lt;&gt;"Snapshot",ISNUMBER(K10),N(K10)&gt;0),"Bloomberg",IF(AND('IPO Live'!$M$5&lt;&gt;"Bloomberg",ISNUMBER(G10)),"Snapshot","Unavailable"))</f>
        <v/>
      </c>
      <c r="Q10" s="33">
        <f>IF(AND(P10="Bloomberg",ISNUMBER(L10)),L10,"unavailable")</f>
        <v/>
      </c>
      <c r="R10" s="15">
        <f>IF(OR('IPO Live'!$B$5="All",'IPO Live'!$B$5=C10,AND('IPO Live'!$B$5="A/H only",J10&gt;0)),1,0)</f>
        <v/>
      </c>
      <c r="S10" s="15">
        <f>IF(R10=1,COUNTIF($R$5:R10,1),"")</f>
        <v/>
      </c>
      <c r="T10">
        <f>1</f>
        <v/>
      </c>
      <c r="U10">
        <f>IF($P10="Bloomberg",$M10,$H10)</f>
        <v/>
      </c>
      <c r="V10" s="15" t="inlineStr">
        <is>
          <t>2315 | BIOCYTOGEN-B</t>
        </is>
      </c>
      <c r="W10" s="15" t="inlineStr">
        <is>
          <t>BIOCYTOGEN-B</t>
        </is>
      </c>
      <c r="X10" s="31" t="inlineStr">
        <is>
          <t>2315</t>
        </is>
      </c>
      <c r="Y10" s="31" t="inlineStr">
        <is>
          <t>688796.SS</t>
        </is>
      </c>
      <c r="Z10" s="15" t="inlineStr">
        <is>
          <t>Biotech pre-revenue (18A)</t>
        </is>
      </c>
      <c r="AA10" s="34" t="n">
        <v>44805</v>
      </c>
      <c r="AB10" s="15" t="n">
        <v>67.45</v>
      </c>
      <c r="AC10" s="15" t="n">
        <v>126.77</v>
      </c>
      <c r="AD10" s="15" t="n">
        <v>1.170220971107483</v>
      </c>
      <c r="AE10" s="34" t="n">
        <v>46297</v>
      </c>
      <c r="AF10" s="34" t="n">
        <v>46295</v>
      </c>
      <c r="AG10" s="34" t="n">
        <v>46297</v>
      </c>
      <c r="AH10" s="15">
        <f>IF(AND(AH!$M$5="Snapshot",'IPO Live'!$M$5="Snapshot"),"",IFERROR(BDP(LEFT($Y10,FIND(".",$Y10)-1)&amp;" CH Equity","PX_LAST"),""))</f>
        <v/>
      </c>
      <c r="AI10" s="15">
        <f>$K$243</f>
        <v/>
      </c>
      <c r="AJ10" s="15">
        <f>$B$1</f>
        <v/>
      </c>
      <c r="AK10" s="34">
        <f>IF(AND(AH!$M$5="Snapshot",'IPO Live'!$M$5="Snapshot"),"",IFERROR(BDP(LEFT($Y10,FIND(".",$Y10)-1)&amp;" CH Equity","LAST_UPDATE_DT"),""))</f>
        <v/>
      </c>
      <c r="AL10" s="15">
        <f>IF(AND(AH!$M$5="Snapshot",'IPO Live'!$M$5="Snapshot"),"",IFERROR(BDP(LEFT($Y10,FIND(".",$Y10)-1)&amp;" CH Equity","LAST_UPDATE"),""))</f>
        <v/>
      </c>
      <c r="AM10" s="15">
        <f>IF(AND(AH!$M$5&lt;&gt;"Snapshot",ISNUMBER(AH10),N(AH10)&gt;0,ISNUMBER(AI10),N(AI10)&gt;0,ISNUMBER(AJ10),N(AJ10)&gt;0),"Bloomberg",IF(AH!$M$5="Bloomberg","Unavailable",IF(AND(ISNUMBER(AB10),ISNUMBER(AC10),ISNUMBER(AD10)),"Snapshot","Unavailable")))</f>
        <v/>
      </c>
      <c r="AN10" s="15">
        <f>IF(AM10="Bloomberg",AI10,IF(AM10="Snapshot",AB10,"unavailable"))</f>
        <v/>
      </c>
      <c r="AO10" s="15">
        <f>IF(AM10="Bloomberg",AH10,IF(AM10="Snapshot",AC10,"unavailable"))</f>
        <v/>
      </c>
      <c r="AP10" s="15">
        <f>IF(AM10="Bloomberg",AJ10,IF(AM10="Snapshot",AD10,"unavailable"))</f>
        <v/>
      </c>
      <c r="AQ10" s="33">
        <f>IFERROR(IF(AND(ISNUMBER(AN10),N(AN10)&gt;0,ISNUMBER(AO10),N(AO10)&gt;0,ISNUMBER(AP10),N(AP10)&gt;0),AO10*AP10/AN10-1,"unavailable"),"unavailable")</f>
        <v/>
      </c>
      <c r="AR10" s="15" t="n">
        <v>16</v>
      </c>
      <c r="AS10" s="15" t="inlineStr">
        <is>
          <t>One raw share per class; confirm class conversion for adjusted structures</t>
        </is>
      </c>
      <c r="AT10" s="31" t="inlineStr">
        <is>
          <t>688796</t>
        </is>
      </c>
      <c r="AV10" s="15" t="inlineStr">
        <is>
          <t>Financials</t>
        </is>
      </c>
      <c r="AW10">
        <f>IF(AND(J10&gt;0,OR(AH!$I$5="All",AH!$I$5="A/H only",AH!$I$5=C10)),1,0)</f>
        <v/>
      </c>
      <c r="AX10">
        <f>IF(AW10=1,COUNTIF($AW$5:AW10,1),"")</f>
        <v/>
      </c>
      <c r="AY10">
        <f>IF(AH!$M$5="Snapshot",IF(ISNUMBER(G10),G10,"unavailable"),IF(AND(ISNUMBER(K10),N(K10)&gt;0),K10,IF(AH!$M$5="Auto",IF(ISNUMBER(G10),G10,"unavailable"),"unavailable")))</f>
        <v/>
      </c>
      <c r="AZ10">
        <f>IF(AND(AH!$M$5&lt;&gt;"Snapshot",ISNUMBER(K10),N(K10)&gt;0),"Bloomberg",IF(AND(AH!$M$5&lt;&gt;"Bloomberg",ISNUMBER(G10)),"Snapshot","Unavailable"))</f>
        <v/>
      </c>
      <c r="BA10">
        <f>IF(AZ10="Bloomberg",M10,H10)</f>
        <v/>
      </c>
      <c r="BB10">
        <f>1</f>
        <v/>
      </c>
      <c r="BC10" s="15" t="n">
        <v>26</v>
      </c>
    </row>
    <row r="11">
      <c r="A11" s="31" t="inlineStr">
        <is>
          <t>3231</t>
        </is>
      </c>
      <c r="B11" s="15" t="inlineStr">
        <is>
          <t>EXCELLAND ROBOT</t>
        </is>
      </c>
      <c r="C11" s="15" t="inlineStr">
        <is>
          <t>Tech/AI</t>
        </is>
      </c>
      <c r="D11" s="15" t="inlineStr">
        <is>
          <t>Robotics &amp; autonomous driving</t>
        </is>
      </c>
      <c r="E11" s="34" t="n">
        <v>46274</v>
      </c>
      <c r="F11" s="15" t="n">
        <v>14.45</v>
      </c>
      <c r="G11" s="15" t="n">
        <v>36.4</v>
      </c>
      <c r="H11" s="34" t="n">
        <v>46297</v>
      </c>
      <c r="I11" s="31" t="n"/>
      <c r="J11" s="15" t="n">
        <v>0</v>
      </c>
      <c r="K11" s="15">
        <f>IF(AND(AH!$M$5="Snapshot",'IPO Live'!$M$5="Snapshot"),"",IFERROR(BDP(TEXT(VALUE($A11),"0")&amp;" HK Equity","PX_LAST"),""))</f>
        <v/>
      </c>
      <c r="L11" s="15">
        <f>IF(AND(AH!$M$5="Snapshot",'IPO Live'!$M$5="Snapshot"),"",IFERROR(BDP(TEXT(VALUE($A11),"0")&amp;" HK Equity","CHG_PCT_1D")/100,""))</f>
        <v/>
      </c>
      <c r="M11" s="15">
        <f>IF(AND(AH!$M$5="Snapshot",'IPO Live'!$M$5="Snapshot"),"",IFERROR(BDP(TEXT(VALUE($A11),"0")&amp;" HK Equity","LAST_UPDATE_DT"),""))</f>
        <v/>
      </c>
      <c r="N11" s="15">
        <f>IF(AND(AH!$M$5="Snapshot",'IPO Live'!$M$5="Snapshot"),"",IFERROR(BDP(TEXT(VALUE($A11),"0")&amp;" HK Equity","LAST_UPDATE"),""))</f>
        <v/>
      </c>
      <c r="O11" s="15">
        <f>IF('IPO Live'!$M$5="Snapshot",IF(ISNUMBER(G11),G11,"unavailable"),IF(AND(ISNUMBER(K11),N(K11)&gt;0),K11,IF('IPO Live'!$M$5="Auto",IF(ISNUMBER(G11),G11,"unavailable"),"unavailable")))</f>
        <v/>
      </c>
      <c r="P11" s="15">
        <f>IF(AND('IPO Live'!$M$5&lt;&gt;"Snapshot",ISNUMBER(K11),N(K11)&gt;0),"Bloomberg",IF(AND('IPO Live'!$M$5&lt;&gt;"Bloomberg",ISNUMBER(G11)),"Snapshot","Unavailable"))</f>
        <v/>
      </c>
      <c r="Q11" s="33">
        <f>IF(AND(P11="Bloomberg",ISNUMBER(L11)),L11,"unavailable")</f>
        <v/>
      </c>
      <c r="R11" s="15">
        <f>IF(OR('IPO Live'!$B$5="All",'IPO Live'!$B$5=C11,AND('IPO Live'!$B$5="A/H only",J11&gt;0)),1,0)</f>
        <v/>
      </c>
      <c r="S11" s="15">
        <f>IF(R11=1,COUNTIF($R$5:R11,1),"")</f>
        <v/>
      </c>
      <c r="T11">
        <f>1</f>
        <v/>
      </c>
      <c r="U11">
        <f>IF($P11="Bloomberg",$M11,$H11)</f>
        <v/>
      </c>
      <c r="V11" s="15" t="inlineStr">
        <is>
          <t>2402 | SINOHYTEC</t>
        </is>
      </c>
      <c r="W11" s="15" t="inlineStr">
        <is>
          <t>SINOHYTEC</t>
        </is>
      </c>
      <c r="X11" s="31" t="inlineStr">
        <is>
          <t>2402</t>
        </is>
      </c>
      <c r="Y11" s="31" t="inlineStr">
        <is>
          <t>688339.SS</t>
        </is>
      </c>
      <c r="Z11" s="15" t="inlineStr">
        <is>
          <t>Batteries / energy storage</t>
        </is>
      </c>
      <c r="AA11" s="34" t="n">
        <v>44938</v>
      </c>
      <c r="AB11" s="15" t="n">
        <v>9.994999999999999</v>
      </c>
      <c r="AC11" s="15" t="n">
        <v>20.42</v>
      </c>
      <c r="AD11" s="15" t="n">
        <v>1.170220971107483</v>
      </c>
      <c r="AE11" s="34" t="n">
        <v>46297</v>
      </c>
      <c r="AF11" s="34" t="n">
        <v>46295</v>
      </c>
      <c r="AG11" s="34" t="n">
        <v>46297</v>
      </c>
      <c r="AH11" s="15">
        <f>IF(AND(AH!$M$5="Snapshot",'IPO Live'!$M$5="Snapshot"),"",IFERROR(BDP(LEFT($Y11,FIND(".",$Y11)-1)&amp;" CH Equity","PX_LAST"),""))</f>
        <v/>
      </c>
      <c r="AI11" s="15">
        <f>$K$430</f>
        <v/>
      </c>
      <c r="AJ11" s="15">
        <f>$B$1</f>
        <v/>
      </c>
      <c r="AK11" s="34">
        <f>IF(AND(AH!$M$5="Snapshot",'IPO Live'!$M$5="Snapshot"),"",IFERROR(BDP(LEFT($Y11,FIND(".",$Y11)-1)&amp;" CH Equity","LAST_UPDATE_DT"),""))</f>
        <v/>
      </c>
      <c r="AL11" s="15">
        <f>IF(AND(AH!$M$5="Snapshot",'IPO Live'!$M$5="Snapshot"),"",IFERROR(BDP(LEFT($Y11,FIND(".",$Y11)-1)&amp;" CH Equity","LAST_UPDATE"),""))</f>
        <v/>
      </c>
      <c r="AM11" s="15">
        <f>IF(AND(AH!$M$5&lt;&gt;"Snapshot",ISNUMBER(AH11),N(AH11)&gt;0,ISNUMBER(AI11),N(AI11)&gt;0,ISNUMBER(AJ11),N(AJ11)&gt;0),"Bloomberg",IF(AH!$M$5="Bloomberg","Unavailable",IF(AND(ISNUMBER(AB11),ISNUMBER(AC11),ISNUMBER(AD11)),"Snapshot","Unavailable")))</f>
        <v/>
      </c>
      <c r="AN11" s="15">
        <f>IF(AM11="Bloomberg",AI11,IF(AM11="Snapshot",AB11,"unavailable"))</f>
        <v/>
      </c>
      <c r="AO11" s="15">
        <f>IF(AM11="Bloomberg",AH11,IF(AM11="Snapshot",AC11,"unavailable"))</f>
        <v/>
      </c>
      <c r="AP11" s="15">
        <f>IF(AM11="Bloomberg",AJ11,IF(AM11="Snapshot",AD11,"unavailable"))</f>
        <v/>
      </c>
      <c r="AQ11" s="33">
        <f>IFERROR(IF(AND(ISNUMBER(AN11),N(AN11)&gt;0,ISNUMBER(AO11),N(AO11)&gt;0,ISNUMBER(AP11),N(AP11)&gt;0),AO11*AP11/AN11-1,"unavailable"),"unavailable")</f>
        <v/>
      </c>
      <c r="AR11" s="15" t="n">
        <v>19</v>
      </c>
      <c r="AS11" s="15" t="inlineStr">
        <is>
          <t>One raw share per class; confirm class conversion for adjusted structures</t>
        </is>
      </c>
      <c r="AT11" s="31" t="inlineStr">
        <is>
          <t>688339</t>
        </is>
      </c>
      <c r="AV11" s="15" t="inlineStr">
        <is>
          <t>Industrials</t>
        </is>
      </c>
      <c r="AW11">
        <f>IF(AND(J11&gt;0,OR(AH!$I$5="All",AH!$I$5="A/H only",AH!$I$5=C11)),1,0)</f>
        <v/>
      </c>
      <c r="AX11">
        <f>IF(AW11=1,COUNTIF($AW$5:AW11,1),"")</f>
        <v/>
      </c>
      <c r="AY11">
        <f>IF(AH!$M$5="Snapshot",IF(ISNUMBER(G11),G11,"unavailable"),IF(AND(ISNUMBER(K11),N(K11)&gt;0),K11,IF(AH!$M$5="Auto",IF(ISNUMBER(G11),G11,"unavailable"),"unavailable")))</f>
        <v/>
      </c>
      <c r="AZ11">
        <f>IF(AND(AH!$M$5&lt;&gt;"Snapshot",ISNUMBER(K11),N(K11)&gt;0),"Bloomberg",IF(AND(AH!$M$5&lt;&gt;"Bloomberg",ISNUMBER(G11)),"Snapshot","Unavailable"))</f>
        <v/>
      </c>
      <c r="BA11">
        <f>IF(AZ11="Bloomberg",M11,H11)</f>
        <v/>
      </c>
      <c r="BB11">
        <f>1</f>
        <v/>
      </c>
      <c r="BC11" s="15" t="n">
        <v>60</v>
      </c>
    </row>
    <row r="12">
      <c r="A12" s="31" t="inlineStr">
        <is>
          <t>9976</t>
        </is>
      </c>
      <c r="B12" s="15" t="inlineStr">
        <is>
          <t>LONGSYS</t>
        </is>
      </c>
      <c r="C12" s="15" t="inlineStr">
        <is>
          <t>Tech/AI</t>
        </is>
      </c>
      <c r="D12" s="15" t="inlineStr">
        <is>
          <t>Smart hardware / consumer electronics</t>
        </is>
      </c>
      <c r="E12" s="34" t="n">
        <v>46273</v>
      </c>
      <c r="F12" s="15" t="n">
        <v>236</v>
      </c>
      <c r="G12" s="15" t="n">
        <v>196.6</v>
      </c>
      <c r="H12" s="34" t="n">
        <v>46297</v>
      </c>
      <c r="I12" s="31" t="n"/>
      <c r="J12" s="15" t="n">
        <v>0</v>
      </c>
      <c r="K12" s="15">
        <f>IF(AND(AH!$M$5="Snapshot",'IPO Live'!$M$5="Snapshot"),"",IFERROR(BDP(TEXT(VALUE($A12),"0")&amp;" HK Equity","PX_LAST"),""))</f>
        <v/>
      </c>
      <c r="L12" s="15">
        <f>IF(AND(AH!$M$5="Snapshot",'IPO Live'!$M$5="Snapshot"),"",IFERROR(BDP(TEXT(VALUE($A12),"0")&amp;" HK Equity","CHG_PCT_1D")/100,""))</f>
        <v/>
      </c>
      <c r="M12" s="15">
        <f>IF(AND(AH!$M$5="Snapshot",'IPO Live'!$M$5="Snapshot"),"",IFERROR(BDP(TEXT(VALUE($A12),"0")&amp;" HK Equity","LAST_UPDATE_DT"),""))</f>
        <v/>
      </c>
      <c r="N12" s="15">
        <f>IF(AND(AH!$M$5="Snapshot",'IPO Live'!$M$5="Snapshot"),"",IFERROR(BDP(TEXT(VALUE($A12),"0")&amp;" HK Equity","LAST_UPDATE"),""))</f>
        <v/>
      </c>
      <c r="O12" s="15">
        <f>IF('IPO Live'!$M$5="Snapshot",IF(ISNUMBER(G12),G12,"unavailable"),IF(AND(ISNUMBER(K12),N(K12)&gt;0),K12,IF('IPO Live'!$M$5="Auto",IF(ISNUMBER(G12),G12,"unavailable"),"unavailable")))</f>
        <v/>
      </c>
      <c r="P12" s="15">
        <f>IF(AND('IPO Live'!$M$5&lt;&gt;"Snapshot",ISNUMBER(K12),N(K12)&gt;0),"Bloomberg",IF(AND('IPO Live'!$M$5&lt;&gt;"Bloomberg",ISNUMBER(G12)),"Snapshot","Unavailable"))</f>
        <v/>
      </c>
      <c r="Q12" s="33">
        <f>IF(AND(P12="Bloomberg",ISNUMBER(L12)),L12,"unavailable")</f>
        <v/>
      </c>
      <c r="R12" s="15">
        <f>IF(OR('IPO Live'!$B$5="All",'IPO Live'!$B$5=C12,AND('IPO Live'!$B$5="A/H only",J12&gt;0)),1,0)</f>
        <v/>
      </c>
      <c r="S12" s="15">
        <f>IF(R12=1,COUNTIF($R$5:R12,1),"")</f>
        <v/>
      </c>
      <c r="T12">
        <f>1</f>
        <v/>
      </c>
      <c r="U12">
        <f>IF($P12="Bloomberg",$M12,$H12)</f>
        <v/>
      </c>
      <c r="V12" s="15" t="inlineStr">
        <is>
          <t>0300 | MIDEA GROUP</t>
        </is>
      </c>
      <c r="W12" s="15" t="inlineStr">
        <is>
          <t>MIDEA GROUP</t>
        </is>
      </c>
      <c r="X12" s="31" t="inlineStr">
        <is>
          <t>0300</t>
        </is>
      </c>
      <c r="Y12" s="31" t="inlineStr">
        <is>
          <t>000333.SZ</t>
        </is>
      </c>
      <c r="Z12" s="15" t="inlineStr">
        <is>
          <t>Smart hardware / consumer electronics</t>
        </is>
      </c>
      <c r="AA12" s="34" t="n">
        <v>45552</v>
      </c>
      <c r="AB12" s="15" t="n">
        <v>91.15000000000001</v>
      </c>
      <c r="AC12" s="15" t="n">
        <v>80.09999999999999</v>
      </c>
      <c r="AD12" s="15" t="n">
        <v>1.170220971107483</v>
      </c>
      <c r="AE12" s="34" t="n">
        <v>46297</v>
      </c>
      <c r="AF12" s="34" t="n">
        <v>46295</v>
      </c>
      <c r="AG12" s="34" t="n">
        <v>46297</v>
      </c>
      <c r="AH12" s="15">
        <f>IF(AND(AH!$M$5="Snapshot",'IPO Live'!$M$5="Snapshot"),"",IFERROR(BDP(LEFT($Y12,FIND(".",$Y12)-1)&amp;" CH Equity","PX_LAST"),""))</f>
        <v/>
      </c>
      <c r="AI12" s="15">
        <f>$K$114</f>
        <v/>
      </c>
      <c r="AJ12" s="15">
        <f>$B$1</f>
        <v/>
      </c>
      <c r="AK12" s="34">
        <f>IF(AND(AH!$M$5="Snapshot",'IPO Live'!$M$5="Snapshot"),"",IFERROR(BDP(LEFT($Y12,FIND(".",$Y12)-1)&amp;" CH Equity","LAST_UPDATE_DT"),""))</f>
        <v/>
      </c>
      <c r="AL12" s="15">
        <f>IF(AND(AH!$M$5="Snapshot",'IPO Live'!$M$5="Snapshot"),"",IFERROR(BDP(LEFT($Y12,FIND(".",$Y12)-1)&amp;" CH Equity","LAST_UPDATE"),""))</f>
        <v/>
      </c>
      <c r="AM12" s="15">
        <f>IF(AND(AH!$M$5&lt;&gt;"Snapshot",ISNUMBER(AH12),N(AH12)&gt;0,ISNUMBER(AI12),N(AI12)&gt;0,ISNUMBER(AJ12),N(AJ12)&gt;0),"Bloomberg",IF(AH!$M$5="Bloomberg","Unavailable",IF(AND(ISNUMBER(AB12),ISNUMBER(AC12),ISNUMBER(AD12)),"Snapshot","Unavailable")))</f>
        <v/>
      </c>
      <c r="AN12" s="15">
        <f>IF(AM12="Bloomberg",AI12,IF(AM12="Snapshot",AB12,"unavailable"))</f>
        <v/>
      </c>
      <c r="AO12" s="15">
        <f>IF(AM12="Bloomberg",AH12,IF(AM12="Snapshot",AC12,"unavailable"))</f>
        <v/>
      </c>
      <c r="AP12" s="15">
        <f>IF(AM12="Bloomberg",AJ12,IF(AM12="Snapshot",AD12,"unavailable"))</f>
        <v/>
      </c>
      <c r="AQ12" s="33">
        <f>IFERROR(IF(AND(ISNUMBER(AN12),N(AN12)&gt;0,ISNUMBER(AO12),N(AO12)&gt;0,ISNUMBER(AP12),N(AP12)&gt;0),AO12*AP12/AN12-1,"unavailable"),"unavailable")</f>
        <v/>
      </c>
      <c r="AR12" s="15" t="n">
        <v>22</v>
      </c>
      <c r="AS12" s="15" t="inlineStr">
        <is>
          <t>One raw share per class; confirm class conversion for adjusted structures</t>
        </is>
      </c>
      <c r="AT12" s="31" t="inlineStr">
        <is>
          <t>000333</t>
        </is>
      </c>
      <c r="AV12" s="15" t="inlineStr">
        <is>
          <t>Materials/Energy</t>
        </is>
      </c>
      <c r="AW12">
        <f>IF(AND(J12&gt;0,OR(AH!$I$5="All",AH!$I$5="A/H only",AH!$I$5=C12)),1,0)</f>
        <v/>
      </c>
      <c r="AX12">
        <f>IF(AW12=1,COUNTIF($AW$5:AW12,1),"")</f>
        <v/>
      </c>
      <c r="AY12">
        <f>IF(AH!$M$5="Snapshot",IF(ISNUMBER(G12),G12,"unavailable"),IF(AND(ISNUMBER(K12),N(K12)&gt;0),K12,IF(AH!$M$5="Auto",IF(ISNUMBER(G12),G12,"unavailable"),"unavailable")))</f>
        <v/>
      </c>
      <c r="AZ12">
        <f>IF(AND(AH!$M$5&lt;&gt;"Snapshot",ISNUMBER(K12),N(K12)&gt;0),"Bloomberg",IF(AND(AH!$M$5&lt;&gt;"Bloomberg",ISNUMBER(G12)),"Snapshot","Unavailable"))</f>
        <v/>
      </c>
      <c r="BA12">
        <f>IF(AZ12="Bloomberg",M12,H12)</f>
        <v/>
      </c>
      <c r="BB12">
        <f>1</f>
        <v/>
      </c>
      <c r="BC12" s="15" t="n">
        <v>59.1</v>
      </c>
    </row>
    <row r="13">
      <c r="A13" s="31" t="inlineStr">
        <is>
          <t>9615</t>
        </is>
      </c>
      <c r="B13" s="15" t="inlineStr">
        <is>
          <t>MECH-MIND ROBOT</t>
        </is>
      </c>
      <c r="C13" s="15" t="inlineStr">
        <is>
          <t>Tech/AI</t>
        </is>
      </c>
      <c r="D13" s="15" t="inlineStr">
        <is>
          <t>Robotics &amp; autonomous driving</t>
        </is>
      </c>
      <c r="E13" s="34" t="n">
        <v>46266</v>
      </c>
      <c r="F13" s="15" t="n">
        <v>101.7</v>
      </c>
      <c r="G13" s="15" t="n">
        <v>79</v>
      </c>
      <c r="H13" s="34" t="n">
        <v>46297</v>
      </c>
      <c r="I13" s="31" t="n"/>
      <c r="J13" s="15" t="n">
        <v>0</v>
      </c>
      <c r="K13" s="15">
        <f>IF(AND(AH!$M$5="Snapshot",'IPO Live'!$M$5="Snapshot"),"",IFERROR(BDP(TEXT(VALUE($A13),"0")&amp;" HK Equity","PX_LAST"),""))</f>
        <v/>
      </c>
      <c r="L13" s="15">
        <f>IF(AND(AH!$M$5="Snapshot",'IPO Live'!$M$5="Snapshot"),"",IFERROR(BDP(TEXT(VALUE($A13),"0")&amp;" HK Equity","CHG_PCT_1D")/100,""))</f>
        <v/>
      </c>
      <c r="M13" s="15">
        <f>IF(AND(AH!$M$5="Snapshot",'IPO Live'!$M$5="Snapshot"),"",IFERROR(BDP(TEXT(VALUE($A13),"0")&amp;" HK Equity","LAST_UPDATE_DT"),""))</f>
        <v/>
      </c>
      <c r="N13" s="15">
        <f>IF(AND(AH!$M$5="Snapshot",'IPO Live'!$M$5="Snapshot"),"",IFERROR(BDP(TEXT(VALUE($A13),"0")&amp;" HK Equity","LAST_UPDATE"),""))</f>
        <v/>
      </c>
      <c r="O13" s="15">
        <f>IF('IPO Live'!$M$5="Snapshot",IF(ISNUMBER(G13),G13,"unavailable"),IF(AND(ISNUMBER(K13),N(K13)&gt;0),K13,IF('IPO Live'!$M$5="Auto",IF(ISNUMBER(G13),G13,"unavailable"),"unavailable")))</f>
        <v/>
      </c>
      <c r="P13" s="15">
        <f>IF(AND('IPO Live'!$M$5&lt;&gt;"Snapshot",ISNUMBER(K13),N(K13)&gt;0),"Bloomberg",IF(AND('IPO Live'!$M$5&lt;&gt;"Bloomberg",ISNUMBER(G13)),"Snapshot","Unavailable"))</f>
        <v/>
      </c>
      <c r="Q13" s="33">
        <f>IF(AND(P13="Bloomberg",ISNUMBER(L13)),L13,"unavailable")</f>
        <v/>
      </c>
      <c r="R13" s="15">
        <f>IF(OR('IPO Live'!$B$5="All",'IPO Live'!$B$5=C13,AND('IPO Live'!$B$5="A/H only",J13&gt;0)),1,0)</f>
        <v/>
      </c>
      <c r="S13" s="15">
        <f>IF(R13=1,COUNTIF($R$5:R13,1),"")</f>
        <v/>
      </c>
      <c r="T13">
        <f>1</f>
        <v/>
      </c>
      <c r="U13">
        <f>IF($P13="Bloomberg",$M13,$H13)</f>
        <v/>
      </c>
      <c r="V13" s="15" t="inlineStr">
        <is>
          <t>2465 | LOPAL TECH</t>
        </is>
      </c>
      <c r="W13" s="15" t="inlineStr">
        <is>
          <t>LOPAL TECH</t>
        </is>
      </c>
      <c r="X13" s="31" t="inlineStr">
        <is>
          <t>2465</t>
        </is>
      </c>
      <c r="Y13" s="31" t="inlineStr">
        <is>
          <t>603906.SS</t>
        </is>
      </c>
      <c r="Z13" s="15" t="inlineStr">
        <is>
          <t>Batteries / energy storage</t>
        </is>
      </c>
      <c r="AA13" s="34" t="n">
        <v>45595</v>
      </c>
      <c r="AB13" s="15" t="n">
        <v>9.029999999999999</v>
      </c>
      <c r="AC13" s="15" t="n">
        <v>19.04</v>
      </c>
      <c r="AD13" s="15" t="n">
        <v>1.170220971107483</v>
      </c>
      <c r="AE13" s="34" t="n">
        <v>46297</v>
      </c>
      <c r="AF13" s="34" t="n">
        <v>46295</v>
      </c>
      <c r="AG13" s="34" t="n">
        <v>46297</v>
      </c>
      <c r="AH13" s="15">
        <f>IF(AND(AH!$M$5="Snapshot",'IPO Live'!$M$5="Snapshot"),"",IFERROR(BDP(LEFT($Y13,FIND(".",$Y13)-1)&amp;" CH Equity","PX_LAST"),""))</f>
        <v/>
      </c>
      <c r="AI13" s="15">
        <f>$K$410</f>
        <v/>
      </c>
      <c r="AJ13" s="15">
        <f>$B$1</f>
        <v/>
      </c>
      <c r="AK13" s="34">
        <f>IF(AND(AH!$M$5="Snapshot",'IPO Live'!$M$5="Snapshot"),"",IFERROR(BDP(LEFT($Y13,FIND(".",$Y13)-1)&amp;" CH Equity","LAST_UPDATE_DT"),""))</f>
        <v/>
      </c>
      <c r="AL13" s="15">
        <f>IF(AND(AH!$M$5="Snapshot",'IPO Live'!$M$5="Snapshot"),"",IFERROR(BDP(LEFT($Y13,FIND(".",$Y13)-1)&amp;" CH Equity","LAST_UPDATE"),""))</f>
        <v/>
      </c>
      <c r="AM13" s="15">
        <f>IF(AND(AH!$M$5&lt;&gt;"Snapshot",ISNUMBER(AH13),N(AH13)&gt;0,ISNUMBER(AI13),N(AI13)&gt;0,ISNUMBER(AJ13),N(AJ13)&gt;0),"Bloomberg",IF(AH!$M$5="Bloomberg","Unavailable",IF(AND(ISNUMBER(AB13),ISNUMBER(AC13),ISNUMBER(AD13)),"Snapshot","Unavailable")))</f>
        <v/>
      </c>
      <c r="AN13" s="15">
        <f>IF(AM13="Bloomberg",AI13,IF(AM13="Snapshot",AB13,"unavailable"))</f>
        <v/>
      </c>
      <c r="AO13" s="15">
        <f>IF(AM13="Bloomberg",AH13,IF(AM13="Snapshot",AC13,"unavailable"))</f>
        <v/>
      </c>
      <c r="AP13" s="15">
        <f>IF(AM13="Bloomberg",AJ13,IF(AM13="Snapshot",AD13,"unavailable"))</f>
        <v/>
      </c>
      <c r="AQ13" s="33">
        <f>IFERROR(IF(AND(ISNUMBER(AN13),N(AN13)&gt;0,ISNUMBER(AO13),N(AO13)&gt;0,ISNUMBER(AP13),N(AP13)&gt;0),AO13*AP13/AN13-1,"unavailable"),"unavailable")</f>
        <v/>
      </c>
      <c r="AR13" s="15" t="n">
        <v>25</v>
      </c>
      <c r="AS13" s="15" t="inlineStr">
        <is>
          <t>One raw share per class; confirm class conversion for adjusted structures</t>
        </is>
      </c>
      <c r="AT13" s="31" t="inlineStr">
        <is>
          <t>603906</t>
        </is>
      </c>
      <c r="AV13" s="15" t="inlineStr">
        <is>
          <t>Real Estate</t>
        </is>
      </c>
      <c r="AW13">
        <f>IF(AND(J13&gt;0,OR(AH!$I$5="All",AH!$I$5="A/H only",AH!$I$5=C13)),1,0)</f>
        <v/>
      </c>
      <c r="AX13">
        <f>IF(AW13=1,COUNTIF($AW$5:AW13,1),"")</f>
        <v/>
      </c>
      <c r="AY13">
        <f>IF(AH!$M$5="Snapshot",IF(ISNUMBER(G13),G13,"unavailable"),IF(AND(ISNUMBER(K13),N(K13)&gt;0),K13,IF(AH!$M$5="Auto",IF(ISNUMBER(G13),G13,"unavailable"),"unavailable")))</f>
        <v/>
      </c>
      <c r="AZ13">
        <f>IF(AND(AH!$M$5&lt;&gt;"Snapshot",ISNUMBER(K13),N(K13)&gt;0),"Bloomberg",IF(AND(AH!$M$5&lt;&gt;"Bloomberg",ISNUMBER(G13)),"Snapshot","Unavailable"))</f>
        <v/>
      </c>
      <c r="BA13">
        <f>IF(AZ13="Bloomberg",M13,H13)</f>
        <v/>
      </c>
      <c r="BB13">
        <f>1</f>
        <v/>
      </c>
      <c r="BC13" s="15" t="n">
        <v>4.75</v>
      </c>
    </row>
    <row r="14">
      <c r="A14" s="31" t="inlineStr">
        <is>
          <t>3223</t>
        </is>
      </c>
      <c r="B14" s="15" t="inlineStr">
        <is>
          <t>INGENIC</t>
        </is>
      </c>
      <c r="C14" s="15" t="inlineStr">
        <is>
          <t>Tech/AI</t>
        </is>
      </c>
      <c r="D14" s="15" t="inlineStr">
        <is>
          <t>Other / diversified semiconductors</t>
        </is>
      </c>
      <c r="E14" s="34" t="n">
        <v>46259</v>
      </c>
      <c r="F14" s="15" t="n">
        <v>100</v>
      </c>
      <c r="G14" s="15" t="n">
        <v>89</v>
      </c>
      <c r="H14" s="34" t="n">
        <v>46297</v>
      </c>
      <c r="I14" s="31" t="inlineStr">
        <is>
          <t>300223.SZ</t>
        </is>
      </c>
      <c r="J14" s="15" t="n">
        <v>66</v>
      </c>
      <c r="K14" s="15">
        <f>IF(AND(AH!$M$5="Snapshot",'IPO Live'!$M$5="Snapshot"),"",IFERROR(BDP(TEXT(VALUE($A14),"0")&amp;" HK Equity","PX_LAST"),""))</f>
        <v/>
      </c>
      <c r="L14" s="15">
        <f>IF(AND(AH!$M$5="Snapshot",'IPO Live'!$M$5="Snapshot"),"",IFERROR(BDP(TEXT(VALUE($A14),"0")&amp;" HK Equity","CHG_PCT_1D")/100,""))</f>
        <v/>
      </c>
      <c r="M14" s="15">
        <f>IF(AND(AH!$M$5="Snapshot",'IPO Live'!$M$5="Snapshot"),"",IFERROR(BDP(TEXT(VALUE($A14),"0")&amp;" HK Equity","LAST_UPDATE_DT"),""))</f>
        <v/>
      </c>
      <c r="N14" s="15">
        <f>IF(AND(AH!$M$5="Snapshot",'IPO Live'!$M$5="Snapshot"),"",IFERROR(BDP(TEXT(VALUE($A14),"0")&amp;" HK Equity","LAST_UPDATE"),""))</f>
        <v/>
      </c>
      <c r="O14" s="15">
        <f>IF('IPO Live'!$M$5="Snapshot",IF(ISNUMBER(G14),G14,"unavailable"),IF(AND(ISNUMBER(K14),N(K14)&gt;0),K14,IF('IPO Live'!$M$5="Auto",IF(ISNUMBER(G14),G14,"unavailable"),"unavailable")))</f>
        <v/>
      </c>
      <c r="P14" s="15">
        <f>IF(AND('IPO Live'!$M$5&lt;&gt;"Snapshot",ISNUMBER(K14),N(K14)&gt;0),"Bloomberg",IF(AND('IPO Live'!$M$5&lt;&gt;"Bloomberg",ISNUMBER(G14)),"Snapshot","Unavailable"))</f>
        <v/>
      </c>
      <c r="Q14" s="33">
        <f>IF(AND(P14="Bloomberg",ISNUMBER(L14)),L14,"unavailable")</f>
        <v/>
      </c>
      <c r="R14" s="15">
        <f>IF(OR('IPO Live'!$B$5="All",'IPO Live'!$B$5=C14,AND('IPO Live'!$B$5="A/H only",J14&gt;0)),1,0)</f>
        <v/>
      </c>
      <c r="S14" s="15">
        <f>IF(R14=1,COUNTIF($R$5:R14,1),"")</f>
        <v/>
      </c>
      <c r="T14">
        <f>1</f>
        <v/>
      </c>
      <c r="U14">
        <f>IF($P14="Bloomberg",$M14,$H14)</f>
        <v/>
      </c>
      <c r="V14" s="15" t="inlineStr">
        <is>
          <t>6936 | SF HOLDING</t>
        </is>
      </c>
      <c r="W14" s="15" t="inlineStr">
        <is>
          <t>SF HOLDING</t>
        </is>
      </c>
      <c r="X14" s="31" t="inlineStr">
        <is>
          <t>6936</t>
        </is>
      </c>
      <c r="Y14" s="31" t="inlineStr">
        <is>
          <t>002352.SZ</t>
        </is>
      </c>
      <c r="Z14" s="15" t="inlineStr">
        <is>
          <t>Logistics</t>
        </is>
      </c>
      <c r="AA14" s="34" t="n">
        <v>45623</v>
      </c>
      <c r="AB14" s="15" t="n">
        <v>28.56</v>
      </c>
      <c r="AC14" s="15" t="n">
        <v>30.67</v>
      </c>
      <c r="AD14" s="15" t="n">
        <v>1.170220971107483</v>
      </c>
      <c r="AE14" s="34" t="n">
        <v>46297</v>
      </c>
      <c r="AF14" s="34" t="n">
        <v>46295</v>
      </c>
      <c r="AG14" s="34" t="n">
        <v>46297</v>
      </c>
      <c r="AH14" s="15">
        <f>IF(AND(AH!$M$5="Snapshot",'IPO Live'!$M$5="Snapshot"),"",IFERROR(BDP(LEFT($Y14,FIND(".",$Y14)-1)&amp;" CH Equity","PX_LAST"),""))</f>
        <v/>
      </c>
      <c r="AI14" s="15">
        <f>$K$407</f>
        <v/>
      </c>
      <c r="AJ14" s="15">
        <f>$B$1</f>
        <v/>
      </c>
      <c r="AK14" s="34">
        <f>IF(AND(AH!$M$5="Snapshot",'IPO Live'!$M$5="Snapshot"),"",IFERROR(BDP(LEFT($Y14,FIND(".",$Y14)-1)&amp;" CH Equity","LAST_UPDATE_DT"),""))</f>
        <v/>
      </c>
      <c r="AL14" s="15">
        <f>IF(AND(AH!$M$5="Snapshot",'IPO Live'!$M$5="Snapshot"),"",IFERROR(BDP(LEFT($Y14,FIND(".",$Y14)-1)&amp;" CH Equity","LAST_UPDATE"),""))</f>
        <v/>
      </c>
      <c r="AM14" s="15">
        <f>IF(AND(AH!$M$5&lt;&gt;"Snapshot",ISNUMBER(AH14),N(AH14)&gt;0,ISNUMBER(AI14),N(AI14)&gt;0,ISNUMBER(AJ14),N(AJ14)&gt;0),"Bloomberg",IF(AH!$M$5="Bloomberg","Unavailable",IF(AND(ISNUMBER(AB14),ISNUMBER(AC14),ISNUMBER(AD14)),"Snapshot","Unavailable")))</f>
        <v/>
      </c>
      <c r="AN14" s="15">
        <f>IF(AM14="Bloomberg",AI14,IF(AM14="Snapshot",AB14,"unavailable"))</f>
        <v/>
      </c>
      <c r="AO14" s="15">
        <f>IF(AM14="Bloomberg",AH14,IF(AM14="Snapshot",AC14,"unavailable"))</f>
        <v/>
      </c>
      <c r="AP14" s="15">
        <f>IF(AM14="Bloomberg",AJ14,IF(AM14="Snapshot",AD14,"unavailable"))</f>
        <v/>
      </c>
      <c r="AQ14" s="33">
        <f>IFERROR(IF(AND(ISNUMBER(AN14),N(AN14)&gt;0,ISNUMBER(AO14),N(AO14)&gt;0,ISNUMBER(AP14),N(AP14)&gt;0),AO14*AP14/AN14-1,"unavailable"),"unavailable")</f>
        <v/>
      </c>
      <c r="AR14" s="15" t="n">
        <v>28</v>
      </c>
      <c r="AS14" s="15" t="inlineStr">
        <is>
          <t>One raw share per class; confirm class conversion for adjusted structures</t>
        </is>
      </c>
      <c r="AT14" s="31" t="inlineStr">
        <is>
          <t>002352</t>
        </is>
      </c>
      <c r="AV14" s="15" t="inlineStr">
        <is>
          <t>TMT-other</t>
        </is>
      </c>
      <c r="AW14">
        <f>IF(AND(J14&gt;0,OR(AH!$I$5="All",AH!$I$5="A/H only",AH!$I$5=C14)),1,0)</f>
        <v/>
      </c>
      <c r="AX14">
        <f>IF(AW14=1,COUNTIF($AW$5:AW14,1),"")</f>
        <v/>
      </c>
      <c r="AY14">
        <f>IF(AH!$M$5="Snapshot",IF(ISNUMBER(G14),G14,"unavailable"),IF(AND(ISNUMBER(K14),N(K14)&gt;0),K14,IF(AH!$M$5="Auto",IF(ISNUMBER(G14),G14,"unavailable"),"unavailable")))</f>
        <v/>
      </c>
      <c r="AZ14">
        <f>IF(AND(AH!$M$5&lt;&gt;"Snapshot",ISNUMBER(K14),N(K14)&gt;0),"Bloomberg",IF(AND(AH!$M$5&lt;&gt;"Bloomberg",ISNUMBER(G14)),"Snapshot","Unavailable"))</f>
        <v/>
      </c>
      <c r="BA14">
        <f>IF(AZ14="Bloomberg",M14,H14)</f>
        <v/>
      </c>
      <c r="BB14">
        <f>1</f>
        <v/>
      </c>
      <c r="BC14" s="15" t="n">
        <v>34.3</v>
      </c>
    </row>
    <row r="15">
      <c r="A15" s="31" t="inlineStr">
        <is>
          <t>3308</t>
        </is>
      </c>
      <c r="B15" s="15" t="inlineStr">
        <is>
          <t>ZJ INNOLIGHT</t>
        </is>
      </c>
      <c r="C15" s="15" t="inlineStr">
        <is>
          <t>Tech/AI</t>
        </is>
      </c>
      <c r="D15" s="15" t="inlineStr">
        <is>
          <t>Smart hardware / consumer electronics</t>
        </is>
      </c>
      <c r="E15" s="34" t="n">
        <v>46233</v>
      </c>
      <c r="F15" s="15" t="n">
        <v>980</v>
      </c>
      <c r="G15" s="15" t="n">
        <v>1072</v>
      </c>
      <c r="H15" s="34" t="n">
        <v>46297</v>
      </c>
      <c r="I15" s="31" t="inlineStr">
        <is>
          <t>300308.SZ</t>
        </is>
      </c>
      <c r="J15" s="15" t="n">
        <v>65</v>
      </c>
      <c r="K15" s="15">
        <f>IF(AND(AH!$M$5="Snapshot",'IPO Live'!$M$5="Snapshot"),"",IFERROR(BDP(TEXT(VALUE($A15),"0")&amp;" HK Equity","PX_LAST"),""))</f>
        <v/>
      </c>
      <c r="L15" s="15">
        <f>IF(AND(AH!$M$5="Snapshot",'IPO Live'!$M$5="Snapshot"),"",IFERROR(BDP(TEXT(VALUE($A15),"0")&amp;" HK Equity","CHG_PCT_1D")/100,""))</f>
        <v/>
      </c>
      <c r="M15" s="15">
        <f>IF(AND(AH!$M$5="Snapshot",'IPO Live'!$M$5="Snapshot"),"",IFERROR(BDP(TEXT(VALUE($A15),"0")&amp;" HK Equity","LAST_UPDATE_DT"),""))</f>
        <v/>
      </c>
      <c r="N15" s="15">
        <f>IF(AND(AH!$M$5="Snapshot",'IPO Live'!$M$5="Snapshot"),"",IFERROR(BDP(TEXT(VALUE($A15),"0")&amp;" HK Equity","LAST_UPDATE"),""))</f>
        <v/>
      </c>
      <c r="O15" s="15">
        <f>IF('IPO Live'!$M$5="Snapshot",IF(ISNUMBER(G15),G15,"unavailable"),IF(AND(ISNUMBER(K15),N(K15)&gt;0),K15,IF('IPO Live'!$M$5="Auto",IF(ISNUMBER(G15),G15,"unavailable"),"unavailable")))</f>
        <v/>
      </c>
      <c r="P15" s="15">
        <f>IF(AND('IPO Live'!$M$5&lt;&gt;"Snapshot",ISNUMBER(K15),N(K15)&gt;0),"Bloomberg",IF(AND('IPO Live'!$M$5&lt;&gt;"Bloomberg",ISNUMBER(G15)),"Snapshot","Unavailable"))</f>
        <v/>
      </c>
      <c r="Q15" s="33">
        <f>IF(AND(P15="Bloomberg",ISNUMBER(L15)),L15,"unavailable")</f>
        <v/>
      </c>
      <c r="R15" s="15">
        <f>IF(OR('IPO Live'!$B$5="All",'IPO Live'!$B$5=C15,AND('IPO Live'!$B$5="A/H only",J15&gt;0)),1,0)</f>
        <v/>
      </c>
      <c r="S15" s="15">
        <f>IF(R15=1,COUNTIF($R$5:R15,1),"")</f>
        <v/>
      </c>
      <c r="T15">
        <f>1</f>
        <v/>
      </c>
      <c r="U15">
        <f>IF($P15="Bloomberg",$M15,$H15)</f>
        <v/>
      </c>
      <c r="V15" s="15" t="inlineStr">
        <is>
          <t>6693 | CHIFENG GOLD</t>
        </is>
      </c>
      <c r="W15" s="15" t="inlineStr">
        <is>
          <t>CHIFENG GOLD</t>
        </is>
      </c>
      <c r="X15" s="31" t="inlineStr">
        <is>
          <t>6693</t>
        </is>
      </c>
      <c r="Y15" s="31" t="inlineStr">
        <is>
          <t>600988.SS</t>
        </is>
      </c>
      <c r="Z15" s="15" t="inlineStr">
        <is>
          <t>Mining / metals</t>
        </is>
      </c>
      <c r="AA15" s="34" t="n">
        <v>45726</v>
      </c>
      <c r="AB15" s="15" t="n">
        <v>35.38</v>
      </c>
      <c r="AC15" s="15" t="n">
        <v>39.56</v>
      </c>
      <c r="AD15" s="15" t="n">
        <v>1.170220971107483</v>
      </c>
      <c r="AE15" s="34" t="n">
        <v>46297</v>
      </c>
      <c r="AF15" s="34" t="n">
        <v>46295</v>
      </c>
      <c r="AG15" s="34" t="n">
        <v>46297</v>
      </c>
      <c r="AH15" s="15">
        <f>IF(AND(AH!$M$5="Snapshot",'IPO Live'!$M$5="Snapshot"),"",IFERROR(BDP(LEFT($Y15,FIND(".",$Y15)-1)&amp;" CH Equity","PX_LAST"),""))</f>
        <v/>
      </c>
      <c r="AI15" s="15">
        <f>$K$463</f>
        <v/>
      </c>
      <c r="AJ15" s="15">
        <f>$B$1</f>
        <v/>
      </c>
      <c r="AK15" s="34">
        <f>IF(AND(AH!$M$5="Snapshot",'IPO Live'!$M$5="Snapshot"),"",IFERROR(BDP(LEFT($Y15,FIND(".",$Y15)-1)&amp;" CH Equity","LAST_UPDATE_DT"),""))</f>
        <v/>
      </c>
      <c r="AL15" s="15">
        <f>IF(AND(AH!$M$5="Snapshot",'IPO Live'!$M$5="Snapshot"),"",IFERROR(BDP(LEFT($Y15,FIND(".",$Y15)-1)&amp;" CH Equity","LAST_UPDATE"),""))</f>
        <v/>
      </c>
      <c r="AM15" s="15">
        <f>IF(AND(AH!$M$5&lt;&gt;"Snapshot",ISNUMBER(AH15),N(AH15)&gt;0,ISNUMBER(AI15),N(AI15)&gt;0,ISNUMBER(AJ15),N(AJ15)&gt;0),"Bloomberg",IF(AH!$M$5="Bloomberg","Unavailable",IF(AND(ISNUMBER(AB15),ISNUMBER(AC15),ISNUMBER(AD15)),"Snapshot","Unavailable")))</f>
        <v/>
      </c>
      <c r="AN15" s="15">
        <f>IF(AM15="Bloomberg",AI15,IF(AM15="Snapshot",AB15,"unavailable"))</f>
        <v/>
      </c>
      <c r="AO15" s="15">
        <f>IF(AM15="Bloomberg",AH15,IF(AM15="Snapshot",AC15,"unavailable"))</f>
        <v/>
      </c>
      <c r="AP15" s="15">
        <f>IF(AM15="Bloomberg",AJ15,IF(AM15="Snapshot",AD15,"unavailable"))</f>
        <v/>
      </c>
      <c r="AQ15" s="33">
        <f>IFERROR(IF(AND(ISNUMBER(AN15),N(AN15)&gt;0,ISNUMBER(AO15),N(AO15)&gt;0,ISNUMBER(AP15),N(AP15)&gt;0),AO15*AP15/AN15-1,"unavailable"),"unavailable")</f>
        <v/>
      </c>
      <c r="AR15" s="15" t="n">
        <v>31</v>
      </c>
      <c r="AS15" s="15" t="inlineStr">
        <is>
          <t>One raw share per class; confirm class conversion for adjusted structures</t>
        </is>
      </c>
      <c r="AT15" s="31" t="inlineStr">
        <is>
          <t>600988</t>
        </is>
      </c>
      <c r="AV15" s="15" t="inlineStr">
        <is>
          <t>Other</t>
        </is>
      </c>
      <c r="AW15">
        <f>IF(AND(J15&gt;0,OR(AH!$I$5="All",AH!$I$5="A/H only",AH!$I$5=C15)),1,0)</f>
        <v/>
      </c>
      <c r="AX15">
        <f>IF(AW15=1,COUNTIF($AW$5:AW15,1),"")</f>
        <v/>
      </c>
      <c r="AY15">
        <f>IF(AH!$M$5="Snapshot",IF(ISNUMBER(G15),G15,"unavailable"),IF(AND(ISNUMBER(K15),N(K15)&gt;0),K15,IF(AH!$M$5="Auto",IF(ISNUMBER(G15),G15,"unavailable"),"unavailable")))</f>
        <v/>
      </c>
      <c r="AZ15">
        <f>IF(AND(AH!$M$5&lt;&gt;"Snapshot",ISNUMBER(K15),N(K15)&gt;0),"Bloomberg",IF(AND(AH!$M$5&lt;&gt;"Bloomberg",ISNUMBER(G15)),"Snapshot","Unavailable"))</f>
        <v/>
      </c>
      <c r="BA15">
        <f>IF(AZ15="Bloomberg",M15,H15)</f>
        <v/>
      </c>
      <c r="BB15">
        <f>1</f>
        <v/>
      </c>
      <c r="BC15" s="15" t="n">
        <v>13.72</v>
      </c>
    </row>
    <row r="16">
      <c r="A16" s="31" t="inlineStr">
        <is>
          <t>2249</t>
        </is>
      </c>
      <c r="B16" s="15" t="inlineStr">
        <is>
          <t>NEXCHIP</t>
        </is>
      </c>
      <c r="C16" s="15" t="inlineStr">
        <is>
          <t>Tech/AI</t>
        </is>
      </c>
      <c r="D16" s="15" t="inlineStr">
        <is>
          <t>Semiconductor foundry</t>
        </is>
      </c>
      <c r="E16" s="34" t="n">
        <v>46213</v>
      </c>
      <c r="F16" s="15" t="n">
        <v>32.3</v>
      </c>
      <c r="G16" s="15" t="n">
        <v>25.74</v>
      </c>
      <c r="H16" s="34" t="n">
        <v>46297</v>
      </c>
      <c r="I16" s="31" t="inlineStr">
        <is>
          <t>688249.SS</t>
        </is>
      </c>
      <c r="J16" s="15" t="n">
        <v>64</v>
      </c>
      <c r="K16" s="15">
        <f>IF(AND(AH!$M$5="Snapshot",'IPO Live'!$M$5="Snapshot"),"",IFERROR(BDP(TEXT(VALUE($A16),"0")&amp;" HK Equity","PX_LAST"),""))</f>
        <v/>
      </c>
      <c r="L16" s="15">
        <f>IF(AND(AH!$M$5="Snapshot",'IPO Live'!$M$5="Snapshot"),"",IFERROR(BDP(TEXT(VALUE($A16),"0")&amp;" HK Equity","CHG_PCT_1D")/100,""))</f>
        <v/>
      </c>
      <c r="M16" s="15">
        <f>IF(AND(AH!$M$5="Snapshot",'IPO Live'!$M$5="Snapshot"),"",IFERROR(BDP(TEXT(VALUE($A16),"0")&amp;" HK Equity","LAST_UPDATE_DT"),""))</f>
        <v/>
      </c>
      <c r="N16" s="15">
        <f>IF(AND(AH!$M$5="Snapshot",'IPO Live'!$M$5="Snapshot"),"",IFERROR(BDP(TEXT(VALUE($A16),"0")&amp;" HK Equity","LAST_UPDATE"),""))</f>
        <v/>
      </c>
      <c r="O16" s="15">
        <f>IF('IPO Live'!$M$5="Snapshot",IF(ISNUMBER(G16),G16,"unavailable"),IF(AND(ISNUMBER(K16),N(K16)&gt;0),K16,IF('IPO Live'!$M$5="Auto",IF(ISNUMBER(G16),G16,"unavailable"),"unavailable")))</f>
        <v/>
      </c>
      <c r="P16" s="15">
        <f>IF(AND('IPO Live'!$M$5&lt;&gt;"Snapshot",ISNUMBER(K16),N(K16)&gt;0),"Bloomberg",IF(AND('IPO Live'!$M$5&lt;&gt;"Bloomberg",ISNUMBER(G16)),"Snapshot","Unavailable"))</f>
        <v/>
      </c>
      <c r="Q16" s="33">
        <f>IF(AND(P16="Bloomberg",ISNUMBER(L16)),L16,"unavailable")</f>
        <v/>
      </c>
      <c r="R16" s="15">
        <f>IF(OR('IPO Live'!$B$5="All",'IPO Live'!$B$5=C16,AND('IPO Live'!$B$5="A/H only",J16&gt;0)),1,0)</f>
        <v/>
      </c>
      <c r="S16" s="15">
        <f>IF(R16=1,COUNTIF($R$5:R16,1),"")</f>
        <v/>
      </c>
      <c r="T16">
        <f>1</f>
        <v/>
      </c>
      <c r="U16">
        <f>IF($P16="Bloomberg",$M16,$H16)</f>
        <v/>
      </c>
      <c r="V16" s="15" t="inlineStr">
        <is>
          <t>2865 | DRINDA</t>
        </is>
      </c>
      <c r="W16" s="15" t="inlineStr">
        <is>
          <t>DRINDA</t>
        </is>
      </c>
      <c r="X16" s="31" t="inlineStr">
        <is>
          <t>2865</t>
        </is>
      </c>
      <c r="Y16" s="31" t="inlineStr">
        <is>
          <t>002865.SZ</t>
        </is>
      </c>
      <c r="Z16" s="15" t="inlineStr">
        <is>
          <t>Solar / wind supply chain</t>
        </is>
      </c>
      <c r="AA16" s="34" t="n">
        <v>45785</v>
      </c>
      <c r="AB16" s="15" t="n">
        <v>11.39</v>
      </c>
      <c r="AC16" s="15" t="n">
        <v>36.44</v>
      </c>
      <c r="AD16" s="15" t="n">
        <v>1.170220971107483</v>
      </c>
      <c r="AE16" s="34" t="n">
        <v>46297</v>
      </c>
      <c r="AF16" s="34" t="n">
        <v>46295</v>
      </c>
      <c r="AG16" s="34" t="n">
        <v>46297</v>
      </c>
      <c r="AH16" s="15">
        <f>IF(AND(AH!$M$5="Snapshot",'IPO Live'!$M$5="Snapshot"),"",IFERROR(BDP(LEFT($Y16,FIND(".",$Y16)-1)&amp;" CH Equity","PX_LAST"),""))</f>
        <v/>
      </c>
      <c r="AI16" s="15">
        <f>$K$401</f>
        <v/>
      </c>
      <c r="AJ16" s="15">
        <f>$B$1</f>
        <v/>
      </c>
      <c r="AK16" s="34">
        <f>IF(AND(AH!$M$5="Snapshot",'IPO Live'!$M$5="Snapshot"),"",IFERROR(BDP(LEFT($Y16,FIND(".",$Y16)-1)&amp;" CH Equity","LAST_UPDATE_DT"),""))</f>
        <v/>
      </c>
      <c r="AL16" s="15">
        <f>IF(AND(AH!$M$5="Snapshot",'IPO Live'!$M$5="Snapshot"),"",IFERROR(BDP(LEFT($Y16,FIND(".",$Y16)-1)&amp;" CH Equity","LAST_UPDATE"),""))</f>
        <v/>
      </c>
      <c r="AM16" s="15">
        <f>IF(AND(AH!$M$5&lt;&gt;"Snapshot",ISNUMBER(AH16),N(AH16)&gt;0,ISNUMBER(AI16),N(AI16)&gt;0,ISNUMBER(AJ16),N(AJ16)&gt;0),"Bloomberg",IF(AH!$M$5="Bloomberg","Unavailable",IF(AND(ISNUMBER(AB16),ISNUMBER(AC16),ISNUMBER(AD16)),"Snapshot","Unavailable")))</f>
        <v/>
      </c>
      <c r="AN16" s="15">
        <f>IF(AM16="Bloomberg",AI16,IF(AM16="Snapshot",AB16,"unavailable"))</f>
        <v/>
      </c>
      <c r="AO16" s="15">
        <f>IF(AM16="Bloomberg",AH16,IF(AM16="Snapshot",AC16,"unavailable"))</f>
        <v/>
      </c>
      <c r="AP16" s="15">
        <f>IF(AM16="Bloomberg",AJ16,IF(AM16="Snapshot",AD16,"unavailable"))</f>
        <v/>
      </c>
      <c r="AQ16" s="33">
        <f>IFERROR(IF(AND(ISNUMBER(AN16),N(AN16)&gt;0,ISNUMBER(AO16),N(AO16)&gt;0,ISNUMBER(AP16),N(AP16)&gt;0),AO16*AP16/AN16-1,"unavailable"),"unavailable")</f>
        <v/>
      </c>
      <c r="AR16" s="15" t="n">
        <v>34</v>
      </c>
      <c r="AS16" s="15" t="inlineStr">
        <is>
          <t>One raw share per class; confirm class conversion for adjusted structures</t>
        </is>
      </c>
      <c r="AT16" s="31" t="inlineStr">
        <is>
          <t>002865</t>
        </is>
      </c>
      <c r="AW16">
        <f>IF(AND(J16&gt;0,OR(AH!$I$5="All",AH!$I$5="A/H only",AH!$I$5=C16)),1,0)</f>
        <v/>
      </c>
      <c r="AX16">
        <f>IF(AW16=1,COUNTIF($AW$5:AW16,1),"")</f>
        <v/>
      </c>
      <c r="AY16">
        <f>IF(AH!$M$5="Snapshot",IF(ISNUMBER(G16),G16,"unavailable"),IF(AND(ISNUMBER(K16),N(K16)&gt;0),K16,IF(AH!$M$5="Auto",IF(ISNUMBER(G16),G16,"unavailable"),"unavailable")))</f>
        <v/>
      </c>
      <c r="AZ16">
        <f>IF(AND(AH!$M$5&lt;&gt;"Snapshot",ISNUMBER(K16),N(K16)&gt;0),"Bloomberg",IF(AND(AH!$M$5&lt;&gt;"Bloomberg",ISNUMBER(G16)),"Snapshot","Unavailable"))</f>
        <v/>
      </c>
      <c r="BA16">
        <f>IF(AZ16="Bloomberg",M16,H16)</f>
        <v/>
      </c>
      <c r="BB16">
        <f>1</f>
        <v/>
      </c>
      <c r="BC16" s="15" t="n">
        <v>26.6</v>
      </c>
    </row>
    <row r="17">
      <c r="A17" s="31" t="inlineStr">
        <is>
          <t>1770</t>
        </is>
      </c>
      <c r="B17" s="15" t="inlineStr">
        <is>
          <t>DKE</t>
        </is>
      </c>
      <c r="C17" s="15" t="inlineStr">
        <is>
          <t>Tech/AI</t>
        </is>
      </c>
      <c r="D17" s="15" t="inlineStr">
        <is>
          <t>Smart hardware / consumer electronics</t>
        </is>
      </c>
      <c r="E17" s="34" t="n">
        <v>46212</v>
      </c>
      <c r="F17" s="15" t="n">
        <v>78.64</v>
      </c>
      <c r="G17" s="15" t="n">
        <v>74</v>
      </c>
      <c r="H17" s="34" t="n">
        <v>46297</v>
      </c>
      <c r="I17" s="31" t="n"/>
      <c r="J17" s="15" t="n">
        <v>0</v>
      </c>
      <c r="K17" s="15">
        <f>IF(AND(AH!$M$5="Snapshot",'IPO Live'!$M$5="Snapshot"),"",IFERROR(BDP(TEXT(VALUE($A17),"0")&amp;" HK Equity","PX_LAST"),""))</f>
        <v/>
      </c>
      <c r="L17" s="15">
        <f>IF(AND(AH!$M$5="Snapshot",'IPO Live'!$M$5="Snapshot"),"",IFERROR(BDP(TEXT(VALUE($A17),"0")&amp;" HK Equity","CHG_PCT_1D")/100,""))</f>
        <v/>
      </c>
      <c r="M17" s="15">
        <f>IF(AND(AH!$M$5="Snapshot",'IPO Live'!$M$5="Snapshot"),"",IFERROR(BDP(TEXT(VALUE($A17),"0")&amp;" HK Equity","LAST_UPDATE_DT"),""))</f>
        <v/>
      </c>
      <c r="N17" s="15">
        <f>IF(AND(AH!$M$5="Snapshot",'IPO Live'!$M$5="Snapshot"),"",IFERROR(BDP(TEXT(VALUE($A17),"0")&amp;" HK Equity","LAST_UPDATE"),""))</f>
        <v/>
      </c>
      <c r="O17" s="15">
        <f>IF('IPO Live'!$M$5="Snapshot",IF(ISNUMBER(G17),G17,"unavailable"),IF(AND(ISNUMBER(K17),N(K17)&gt;0),K17,IF('IPO Live'!$M$5="Auto",IF(ISNUMBER(G17),G17,"unavailable"),"unavailable")))</f>
        <v/>
      </c>
      <c r="P17" s="15">
        <f>IF(AND('IPO Live'!$M$5&lt;&gt;"Snapshot",ISNUMBER(K17),N(K17)&gt;0),"Bloomberg",IF(AND('IPO Live'!$M$5&lt;&gt;"Bloomberg",ISNUMBER(G17)),"Snapshot","Unavailable"))</f>
        <v/>
      </c>
      <c r="Q17" s="33">
        <f>IF(AND(P17="Bloomberg",ISNUMBER(L17)),L17,"unavailable")</f>
        <v/>
      </c>
      <c r="R17" s="15">
        <f>IF(OR('IPO Live'!$B$5="All",'IPO Live'!$B$5=C17,AND('IPO Live'!$B$5="A/H only",J17&gt;0)),1,0)</f>
        <v/>
      </c>
      <c r="S17" s="15">
        <f>IF(R17=1,COUNTIF($R$5:R17,1),"")</f>
        <v/>
      </c>
      <c r="T17">
        <f>1</f>
        <v/>
      </c>
      <c r="U17">
        <f>IF($P17="Bloomberg",$M17,$H17)</f>
        <v/>
      </c>
      <c r="V17" s="15" t="inlineStr">
        <is>
          <t>3750 | CATL</t>
        </is>
      </c>
      <c r="W17" s="15" t="inlineStr">
        <is>
          <t>CATL</t>
        </is>
      </c>
      <c r="X17" s="31" t="inlineStr">
        <is>
          <t>3750</t>
        </is>
      </c>
      <c r="Y17" s="31" t="inlineStr">
        <is>
          <t>300750.SZ</t>
        </is>
      </c>
      <c r="Z17" s="15" t="inlineStr">
        <is>
          <t>Batteries / energy storage</t>
        </is>
      </c>
      <c r="AA17" s="34" t="n">
        <v>45797</v>
      </c>
      <c r="AB17" s="15" t="n">
        <v>476.8</v>
      </c>
      <c r="AC17" s="15" t="n">
        <v>291.11</v>
      </c>
      <c r="AD17" s="15" t="n">
        <v>1.170220971107483</v>
      </c>
      <c r="AE17" s="34" t="n">
        <v>46297</v>
      </c>
      <c r="AF17" s="34" t="n">
        <v>46295</v>
      </c>
      <c r="AG17" s="34" t="n">
        <v>46297</v>
      </c>
      <c r="AH17" s="15">
        <f>IF(AND(AH!$M$5="Snapshot",'IPO Live'!$M$5="Snapshot"),"",IFERROR(BDP(LEFT($Y17,FIND(".",$Y17)-1)&amp;" CH Equity","PX_LAST"),""))</f>
        <v/>
      </c>
      <c r="AI17" s="15">
        <f>$K$400</f>
        <v/>
      </c>
      <c r="AJ17" s="15">
        <f>$B$1</f>
        <v/>
      </c>
      <c r="AK17" s="34">
        <f>IF(AND(AH!$M$5="Snapshot",'IPO Live'!$M$5="Snapshot"),"",IFERROR(BDP(LEFT($Y17,FIND(".",$Y17)-1)&amp;" CH Equity","LAST_UPDATE_DT"),""))</f>
        <v/>
      </c>
      <c r="AL17" s="15">
        <f>IF(AND(AH!$M$5="Snapshot",'IPO Live'!$M$5="Snapshot"),"",IFERROR(BDP(LEFT($Y17,FIND(".",$Y17)-1)&amp;" CH Equity","LAST_UPDATE"),""))</f>
        <v/>
      </c>
      <c r="AM17" s="15">
        <f>IF(AND(AH!$M$5&lt;&gt;"Snapshot",ISNUMBER(AH17),N(AH17)&gt;0,ISNUMBER(AI17),N(AI17)&gt;0,ISNUMBER(AJ17),N(AJ17)&gt;0),"Bloomberg",IF(AH!$M$5="Bloomberg","Unavailable",IF(AND(ISNUMBER(AB17),ISNUMBER(AC17),ISNUMBER(AD17)),"Snapshot","Unavailable")))</f>
        <v/>
      </c>
      <c r="AN17" s="15">
        <f>IF(AM17="Bloomberg",AI17,IF(AM17="Snapshot",AB17,"unavailable"))</f>
        <v/>
      </c>
      <c r="AO17" s="15">
        <f>IF(AM17="Bloomberg",AH17,IF(AM17="Snapshot",AC17,"unavailable"))</f>
        <v/>
      </c>
      <c r="AP17" s="15">
        <f>IF(AM17="Bloomberg",AJ17,IF(AM17="Snapshot",AD17,"unavailable"))</f>
        <v/>
      </c>
      <c r="AQ17" s="33">
        <f>IFERROR(IF(AND(ISNUMBER(AN17),N(AN17)&gt;0,ISNUMBER(AO17),N(AO17)&gt;0,ISNUMBER(AP17),N(AP17)&gt;0),AO17*AP17/AN17-1,"unavailable"),"unavailable")</f>
        <v/>
      </c>
      <c r="AR17" s="15" t="n">
        <v>37</v>
      </c>
      <c r="AS17" s="15" t="inlineStr">
        <is>
          <t>One raw share per class; confirm class conversion for adjusted structures</t>
        </is>
      </c>
      <c r="AT17" s="31" t="inlineStr">
        <is>
          <t>300750</t>
        </is>
      </c>
      <c r="AW17">
        <f>IF(AND(J17&gt;0,OR(AH!$I$5="All",AH!$I$5="A/H only",AH!$I$5=C17)),1,0)</f>
        <v/>
      </c>
      <c r="AX17">
        <f>IF(AW17=1,COUNTIF($AW$5:AW17,1),"")</f>
        <v/>
      </c>
      <c r="AY17">
        <f>IF(AH!$M$5="Snapshot",IF(ISNUMBER(G17),G17,"unavailable"),IF(AND(ISNUMBER(K17),N(K17)&gt;0),K17,IF(AH!$M$5="Auto",IF(ISNUMBER(G17),G17,"unavailable"),"unavailable")))</f>
        <v/>
      </c>
      <c r="AZ17">
        <f>IF(AND(AH!$M$5&lt;&gt;"Snapshot",ISNUMBER(K17),N(K17)&gt;0),"Bloomberg",IF(AND(AH!$M$5&lt;&gt;"Bloomberg",ISNUMBER(G17)),"Snapshot","Unavailable"))</f>
        <v/>
      </c>
      <c r="BA17">
        <f>IF(AZ17="Bloomberg",M17,H17)</f>
        <v/>
      </c>
      <c r="BB17">
        <f>1</f>
        <v/>
      </c>
      <c r="BC17" s="15" t="n">
        <v>306.2</v>
      </c>
    </row>
    <row r="18">
      <c r="A18" s="31" t="inlineStr">
        <is>
          <t>3752</t>
        </is>
      </c>
      <c r="B18" s="15" t="inlineStr">
        <is>
          <t>ROKAE ROBOTICS</t>
        </is>
      </c>
      <c r="C18" s="15" t="inlineStr">
        <is>
          <t>Tech/AI</t>
        </is>
      </c>
      <c r="D18" s="15" t="inlineStr">
        <is>
          <t>Robotics &amp; autonomous driving</t>
        </is>
      </c>
      <c r="E18" s="34" t="n">
        <v>46212</v>
      </c>
      <c r="F18" s="15" t="n">
        <v>38</v>
      </c>
      <c r="G18" s="15" t="n">
        <v>52.35</v>
      </c>
      <c r="H18" s="34" t="n">
        <v>46297</v>
      </c>
      <c r="I18" s="31" t="n"/>
      <c r="J18" s="15" t="n">
        <v>0</v>
      </c>
      <c r="K18" s="15">
        <f>IF(AND(AH!$M$5="Snapshot",'IPO Live'!$M$5="Snapshot"),"",IFERROR(BDP(TEXT(VALUE($A18),"0")&amp;" HK Equity","PX_LAST"),""))</f>
        <v/>
      </c>
      <c r="L18" s="15">
        <f>IF(AND(AH!$M$5="Snapshot",'IPO Live'!$M$5="Snapshot"),"",IFERROR(BDP(TEXT(VALUE($A18),"0")&amp;" HK Equity","CHG_PCT_1D")/100,""))</f>
        <v/>
      </c>
      <c r="M18" s="15">
        <f>IF(AND(AH!$M$5="Snapshot",'IPO Live'!$M$5="Snapshot"),"",IFERROR(BDP(TEXT(VALUE($A18),"0")&amp;" HK Equity","LAST_UPDATE_DT"),""))</f>
        <v/>
      </c>
      <c r="N18" s="15">
        <f>IF(AND(AH!$M$5="Snapshot",'IPO Live'!$M$5="Snapshot"),"",IFERROR(BDP(TEXT(VALUE($A18),"0")&amp;" HK Equity","LAST_UPDATE"),""))</f>
        <v/>
      </c>
      <c r="O18" s="15">
        <f>IF('IPO Live'!$M$5="Snapshot",IF(ISNUMBER(G18),G18,"unavailable"),IF(AND(ISNUMBER(K18),N(K18)&gt;0),K18,IF('IPO Live'!$M$5="Auto",IF(ISNUMBER(G18),G18,"unavailable"),"unavailable")))</f>
        <v/>
      </c>
      <c r="P18" s="15">
        <f>IF(AND('IPO Live'!$M$5&lt;&gt;"Snapshot",ISNUMBER(K18),N(K18)&gt;0),"Bloomberg",IF(AND('IPO Live'!$M$5&lt;&gt;"Bloomberg",ISNUMBER(G18)),"Snapshot","Unavailable"))</f>
        <v/>
      </c>
      <c r="Q18" s="33">
        <f>IF(AND(P18="Bloomberg",ISNUMBER(L18)),L18,"unavailable")</f>
        <v/>
      </c>
      <c r="R18" s="15">
        <f>IF(OR('IPO Live'!$B$5="All",'IPO Live'!$B$5=C18,AND('IPO Live'!$B$5="A/H only",J18&gt;0)),1,0)</f>
        <v/>
      </c>
      <c r="S18" s="15">
        <f>IF(R18=1,COUNTIF($R$5:R18,1),"")</f>
        <v/>
      </c>
      <c r="T18">
        <f>1</f>
        <v/>
      </c>
      <c r="U18">
        <f>IF($P18="Bloomberg",$M18,$H18)</f>
        <v/>
      </c>
      <c r="V18" s="15" t="inlineStr">
        <is>
          <t>1276 | HENGRUI PHARMA</t>
        </is>
      </c>
      <c r="W18" s="15" t="inlineStr">
        <is>
          <t>HENGRUI PHARMA</t>
        </is>
      </c>
      <c r="X18" s="31" t="inlineStr">
        <is>
          <t>1276</t>
        </is>
      </c>
      <c r="Y18" s="31" t="inlineStr">
        <is>
          <t>600276.SS</t>
        </is>
      </c>
      <c r="Z18" s="15" t="inlineStr">
        <is>
          <t>Biopharma commercial</t>
        </is>
      </c>
      <c r="AA18" s="34" t="n">
        <v>45800</v>
      </c>
      <c r="AB18" s="15" t="n">
        <v>49.66</v>
      </c>
      <c r="AC18" s="15" t="n">
        <v>47.2</v>
      </c>
      <c r="AD18" s="15" t="n">
        <v>1.170220971107483</v>
      </c>
      <c r="AE18" s="34" t="n">
        <v>46297</v>
      </c>
      <c r="AF18" s="34" t="n">
        <v>46295</v>
      </c>
      <c r="AG18" s="34" t="n">
        <v>46297</v>
      </c>
      <c r="AH18" s="15">
        <f>IF(AND(AH!$M$5="Snapshot",'IPO Live'!$M$5="Snapshot"),"",IFERROR(BDP(LEFT($Y18,FIND(".",$Y18)-1)&amp;" CH Equity","PX_LAST"),""))</f>
        <v/>
      </c>
      <c r="AI18" s="15">
        <f>$K$203</f>
        <v/>
      </c>
      <c r="AJ18" s="15">
        <f>$B$1</f>
        <v/>
      </c>
      <c r="AK18" s="34">
        <f>IF(AND(AH!$M$5="Snapshot",'IPO Live'!$M$5="Snapshot"),"",IFERROR(BDP(LEFT($Y18,FIND(".",$Y18)-1)&amp;" CH Equity","LAST_UPDATE_DT"),""))</f>
        <v/>
      </c>
      <c r="AL18" s="15">
        <f>IF(AND(AH!$M$5="Snapshot",'IPO Live'!$M$5="Snapshot"),"",IFERROR(BDP(LEFT($Y18,FIND(".",$Y18)-1)&amp;" CH Equity","LAST_UPDATE"),""))</f>
        <v/>
      </c>
      <c r="AM18" s="15">
        <f>IF(AND(AH!$M$5&lt;&gt;"Snapshot",ISNUMBER(AH18),N(AH18)&gt;0,ISNUMBER(AI18),N(AI18)&gt;0,ISNUMBER(AJ18),N(AJ18)&gt;0),"Bloomberg",IF(AH!$M$5="Bloomberg","Unavailable",IF(AND(ISNUMBER(AB18),ISNUMBER(AC18),ISNUMBER(AD18)),"Snapshot","Unavailable")))</f>
        <v/>
      </c>
      <c r="AN18" s="15">
        <f>IF(AM18="Bloomberg",AI18,IF(AM18="Snapshot",AB18,"unavailable"))</f>
        <v/>
      </c>
      <c r="AO18" s="15">
        <f>IF(AM18="Bloomberg",AH18,IF(AM18="Snapshot",AC18,"unavailable"))</f>
        <v/>
      </c>
      <c r="AP18" s="15">
        <f>IF(AM18="Bloomberg",AJ18,IF(AM18="Snapshot",AD18,"unavailable"))</f>
        <v/>
      </c>
      <c r="AQ18" s="33">
        <f>IFERROR(IF(AND(ISNUMBER(AN18),N(AN18)&gt;0,ISNUMBER(AO18),N(AO18)&gt;0,ISNUMBER(AP18),N(AP18)&gt;0),AO18*AP18/AN18-1,"unavailable"),"unavailable")</f>
        <v/>
      </c>
      <c r="AR18" s="15" t="n">
        <v>40</v>
      </c>
      <c r="AS18" s="15" t="inlineStr">
        <is>
          <t>One raw share per class; confirm class conversion for adjusted structures</t>
        </is>
      </c>
      <c r="AT18" s="31" t="inlineStr">
        <is>
          <t>600276</t>
        </is>
      </c>
      <c r="AW18">
        <f>IF(AND(J18&gt;0,OR(AH!$I$5="All",AH!$I$5="A/H only",AH!$I$5=C18)),1,0)</f>
        <v/>
      </c>
      <c r="AX18">
        <f>IF(AW18=1,COUNTIF($AW$5:AW18,1),"")</f>
        <v/>
      </c>
      <c r="AY18">
        <f>IF(AH!$M$5="Snapshot",IF(ISNUMBER(G18),G18,"unavailable"),IF(AND(ISNUMBER(K18),N(K18)&gt;0),K18,IF(AH!$M$5="Auto",IF(ISNUMBER(G18),G18,"unavailable"),"unavailable")))</f>
        <v/>
      </c>
      <c r="AZ18">
        <f>IF(AND(AH!$M$5&lt;&gt;"Snapshot",ISNUMBER(K18),N(K18)&gt;0),"Bloomberg",IF(AND(AH!$M$5&lt;&gt;"Bloomberg",ISNUMBER(G18)),"Snapshot","Unavailable"))</f>
        <v/>
      </c>
      <c r="BA18">
        <f>IF(AZ18="Bloomberg",M18,H18)</f>
        <v/>
      </c>
      <c r="BB18">
        <f>1</f>
        <v/>
      </c>
      <c r="BC18" s="15" t="n">
        <v>55.15</v>
      </c>
    </row>
    <row r="19">
      <c r="A19" s="31" t="inlineStr">
        <is>
          <t>2475</t>
        </is>
      </c>
      <c r="B19" s="15" t="inlineStr">
        <is>
          <t>LUXSHARE ICT</t>
        </is>
      </c>
      <c r="C19" s="15" t="inlineStr">
        <is>
          <t>Tech/AI</t>
        </is>
      </c>
      <c r="D19" s="15" t="inlineStr">
        <is>
          <t>Smart hardware / consumer electronics</t>
        </is>
      </c>
      <c r="E19" s="34" t="n">
        <v>46212</v>
      </c>
      <c r="F19" s="15" t="n">
        <v>63.28</v>
      </c>
      <c r="G19" s="15" t="n">
        <v>52.95</v>
      </c>
      <c r="H19" s="34" t="n">
        <v>46297</v>
      </c>
      <c r="I19" s="31" t="inlineStr">
        <is>
          <t>002475.SZ</t>
        </is>
      </c>
      <c r="J19" s="15" t="n">
        <v>60</v>
      </c>
      <c r="K19" s="15">
        <f>IF(AND(AH!$M$5="Snapshot",'IPO Live'!$M$5="Snapshot"),"",IFERROR(BDP(TEXT(VALUE($A19),"0")&amp;" HK Equity","PX_LAST"),""))</f>
        <v/>
      </c>
      <c r="L19" s="15">
        <f>IF(AND(AH!$M$5="Snapshot",'IPO Live'!$M$5="Snapshot"),"",IFERROR(BDP(TEXT(VALUE($A19),"0")&amp;" HK Equity","CHG_PCT_1D")/100,""))</f>
        <v/>
      </c>
      <c r="M19" s="15">
        <f>IF(AND(AH!$M$5="Snapshot",'IPO Live'!$M$5="Snapshot"),"",IFERROR(BDP(TEXT(VALUE($A19),"0")&amp;" HK Equity","LAST_UPDATE_DT"),""))</f>
        <v/>
      </c>
      <c r="N19" s="15">
        <f>IF(AND(AH!$M$5="Snapshot",'IPO Live'!$M$5="Snapshot"),"",IFERROR(BDP(TEXT(VALUE($A19),"0")&amp;" HK Equity","LAST_UPDATE"),""))</f>
        <v/>
      </c>
      <c r="O19" s="15">
        <f>IF('IPO Live'!$M$5="Snapshot",IF(ISNUMBER(G19),G19,"unavailable"),IF(AND(ISNUMBER(K19),N(K19)&gt;0),K19,IF('IPO Live'!$M$5="Auto",IF(ISNUMBER(G19),G19,"unavailable"),"unavailable")))</f>
        <v/>
      </c>
      <c r="P19" s="15">
        <f>IF(AND('IPO Live'!$M$5&lt;&gt;"Snapshot",ISNUMBER(K19),N(K19)&gt;0),"Bloomberg",IF(AND('IPO Live'!$M$5&lt;&gt;"Bloomberg",ISNUMBER(G19)),"Snapshot","Unavailable"))</f>
        <v/>
      </c>
      <c r="Q19" s="33">
        <f>IF(AND(P19="Bloomberg",ISNUMBER(L19)),L19,"unavailable")</f>
        <v/>
      </c>
      <c r="R19" s="15">
        <f>IF(OR('IPO Live'!$B$5="All",'IPO Live'!$B$5=C19,AND('IPO Live'!$B$5="A/H only",J19&gt;0)),1,0)</f>
        <v/>
      </c>
      <c r="S19" s="15">
        <f>IF(R19=1,COUNTIF($R$5:R19,1),"")</f>
        <v/>
      </c>
      <c r="T19">
        <f>1</f>
        <v/>
      </c>
      <c r="U19">
        <f>IF($P19="Bloomberg",$M19,$H19)</f>
        <v/>
      </c>
      <c r="V19" s="15" t="inlineStr">
        <is>
          <t>2603 | JIHONG CO</t>
        </is>
      </c>
      <c r="W19" s="15" t="inlineStr">
        <is>
          <t>JIHONG CO</t>
        </is>
      </c>
      <c r="X19" s="31" t="inlineStr">
        <is>
          <t>2603</t>
        </is>
      </c>
      <c r="Y19" s="31" t="inlineStr">
        <is>
          <t>002803.SZ</t>
        </is>
      </c>
      <c r="Z19" s="15" t="inlineStr">
        <is>
          <t>Internet platform / e-commerce</t>
        </is>
      </c>
      <c r="AA19" s="34" t="n">
        <v>45804</v>
      </c>
      <c r="AB19" s="15" t="n">
        <v>11.93</v>
      </c>
      <c r="AC19" s="15" t="n">
        <v>20.24</v>
      </c>
      <c r="AD19" s="15" t="n">
        <v>1.170220971107483</v>
      </c>
      <c r="AE19" s="34" t="n">
        <v>46297</v>
      </c>
      <c r="AF19" s="34" t="n">
        <v>46295</v>
      </c>
      <c r="AG19" s="34" t="n">
        <v>46297</v>
      </c>
      <c r="AH19" s="15">
        <f>IF(AND(AH!$M$5="Snapshot",'IPO Live'!$M$5="Snapshot"),"",IFERROR(BDP(LEFT($Y19,FIND(".",$Y19)-1)&amp;" CH Equity","PX_LAST"),""))</f>
        <v/>
      </c>
      <c r="AI19" s="15">
        <f>$K$105</f>
        <v/>
      </c>
      <c r="AJ19" s="15">
        <f>$B$1</f>
        <v/>
      </c>
      <c r="AK19" s="34">
        <f>IF(AND(AH!$M$5="Snapshot",'IPO Live'!$M$5="Snapshot"),"",IFERROR(BDP(LEFT($Y19,FIND(".",$Y19)-1)&amp;" CH Equity","LAST_UPDATE_DT"),""))</f>
        <v/>
      </c>
      <c r="AL19" s="15">
        <f>IF(AND(AH!$M$5="Snapshot",'IPO Live'!$M$5="Snapshot"),"",IFERROR(BDP(LEFT($Y19,FIND(".",$Y19)-1)&amp;" CH Equity","LAST_UPDATE"),""))</f>
        <v/>
      </c>
      <c r="AM19" s="15">
        <f>IF(AND(AH!$M$5&lt;&gt;"Snapshot",ISNUMBER(AH19),N(AH19)&gt;0,ISNUMBER(AI19),N(AI19)&gt;0,ISNUMBER(AJ19),N(AJ19)&gt;0),"Bloomberg",IF(AH!$M$5="Bloomberg","Unavailable",IF(AND(ISNUMBER(AB19),ISNUMBER(AC19),ISNUMBER(AD19)),"Snapshot","Unavailable")))</f>
        <v/>
      </c>
      <c r="AN19" s="15">
        <f>IF(AM19="Bloomberg",AI19,IF(AM19="Snapshot",AB19,"unavailable"))</f>
        <v/>
      </c>
      <c r="AO19" s="15">
        <f>IF(AM19="Bloomberg",AH19,IF(AM19="Snapshot",AC19,"unavailable"))</f>
        <v/>
      </c>
      <c r="AP19" s="15">
        <f>IF(AM19="Bloomberg",AJ19,IF(AM19="Snapshot",AD19,"unavailable"))</f>
        <v/>
      </c>
      <c r="AQ19" s="33">
        <f>IFERROR(IF(AND(ISNUMBER(AN19),N(AN19)&gt;0,ISNUMBER(AO19),N(AO19)&gt;0,ISNUMBER(AP19),N(AP19)&gt;0),AO19*AP19/AN19-1,"unavailable"),"unavailable")</f>
        <v/>
      </c>
      <c r="AR19" s="15" t="n">
        <v>43</v>
      </c>
      <c r="AS19" s="15" t="inlineStr">
        <is>
          <t>One raw share per class; confirm class conversion for adjusted structures</t>
        </is>
      </c>
      <c r="AT19" s="31" t="inlineStr">
        <is>
          <t>002803</t>
        </is>
      </c>
      <c r="AW19">
        <f>IF(AND(J19&gt;0,OR(AH!$I$5="All",AH!$I$5="A/H only",AH!$I$5=C19)),1,0)</f>
        <v/>
      </c>
      <c r="AX19">
        <f>IF(AW19=1,COUNTIF($AW$5:AW19,1),"")</f>
        <v/>
      </c>
      <c r="AY19">
        <f>IF(AH!$M$5="Snapshot",IF(ISNUMBER(G19),G19,"unavailable"),IF(AND(ISNUMBER(K19),N(K19)&gt;0),K19,IF(AH!$M$5="Auto",IF(ISNUMBER(G19),G19,"unavailable"),"unavailable")))</f>
        <v/>
      </c>
      <c r="AZ19">
        <f>IF(AND(AH!$M$5&lt;&gt;"Snapshot",ISNUMBER(K19),N(K19)&gt;0),"Bloomberg",IF(AND(AH!$M$5&lt;&gt;"Bloomberg",ISNUMBER(G19)),"Snapshot","Unavailable"))</f>
        <v/>
      </c>
      <c r="BA19">
        <f>IF(AZ19="Bloomberg",M19,H19)</f>
        <v/>
      </c>
      <c r="BB19">
        <f>1</f>
        <v/>
      </c>
      <c r="BC19" s="15" t="n">
        <v>10.68</v>
      </c>
    </row>
    <row r="20">
      <c r="A20" s="31" t="inlineStr">
        <is>
          <t>6951</t>
        </is>
      </c>
      <c r="B20" s="15" t="inlineStr">
        <is>
          <t>CCTC</t>
        </is>
      </c>
      <c r="C20" s="15" t="inlineStr">
        <is>
          <t>Tech/AI</t>
        </is>
      </c>
      <c r="D20" s="15" t="inlineStr">
        <is>
          <t>Smart hardware / consumer electronics</t>
        </is>
      </c>
      <c r="E20" s="34" t="n">
        <v>46212</v>
      </c>
      <c r="F20" s="15" t="n">
        <v>100.3</v>
      </c>
      <c r="G20" s="15" t="n">
        <v>124.1</v>
      </c>
      <c r="H20" s="34" t="n">
        <v>46297</v>
      </c>
      <c r="I20" s="31" t="inlineStr">
        <is>
          <t>300408.SZ</t>
        </is>
      </c>
      <c r="J20" s="15" t="n">
        <v>61</v>
      </c>
      <c r="K20" s="15">
        <f>IF(AND(AH!$M$5="Snapshot",'IPO Live'!$M$5="Snapshot"),"",IFERROR(BDP(TEXT(VALUE($A20),"0")&amp;" HK Equity","PX_LAST"),""))</f>
        <v/>
      </c>
      <c r="L20" s="15">
        <f>IF(AND(AH!$M$5="Snapshot",'IPO Live'!$M$5="Snapshot"),"",IFERROR(BDP(TEXT(VALUE($A20),"0")&amp;" HK Equity","CHG_PCT_1D")/100,""))</f>
        <v/>
      </c>
      <c r="M20" s="15">
        <f>IF(AND(AH!$M$5="Snapshot",'IPO Live'!$M$5="Snapshot"),"",IFERROR(BDP(TEXT(VALUE($A20),"0")&amp;" HK Equity","LAST_UPDATE_DT"),""))</f>
        <v/>
      </c>
      <c r="N20" s="15">
        <f>IF(AND(AH!$M$5="Snapshot",'IPO Live'!$M$5="Snapshot"),"",IFERROR(BDP(TEXT(VALUE($A20),"0")&amp;" HK Equity","LAST_UPDATE"),""))</f>
        <v/>
      </c>
      <c r="O20" s="15">
        <f>IF('IPO Live'!$M$5="Snapshot",IF(ISNUMBER(G20),G20,"unavailable"),IF(AND(ISNUMBER(K20),N(K20)&gt;0),K20,IF('IPO Live'!$M$5="Auto",IF(ISNUMBER(G20),G20,"unavailable"),"unavailable")))</f>
        <v/>
      </c>
      <c r="P20" s="15">
        <f>IF(AND('IPO Live'!$M$5&lt;&gt;"Snapshot",ISNUMBER(K20),N(K20)&gt;0),"Bloomberg",IF(AND('IPO Live'!$M$5&lt;&gt;"Bloomberg",ISNUMBER(G20)),"Snapshot","Unavailable"))</f>
        <v/>
      </c>
      <c r="Q20" s="33">
        <f>IF(AND(P20="Bloomberg",ISNUMBER(L20)),L20,"unavailable")</f>
        <v/>
      </c>
      <c r="R20" s="15">
        <f>IF(OR('IPO Live'!$B$5="All",'IPO Live'!$B$5=C20,AND('IPO Live'!$B$5="A/H only",J20&gt;0)),1,0)</f>
        <v/>
      </c>
      <c r="S20" s="15">
        <f>IF(R20=1,COUNTIF($R$5:R20,1),"")</f>
        <v/>
      </c>
      <c r="T20">
        <f>1</f>
        <v/>
      </c>
      <c r="U20">
        <f>IF($P20="Bloomberg",$M20,$H20)</f>
        <v/>
      </c>
      <c r="V20" s="15" t="inlineStr">
        <is>
          <t>3288 | HAITIAN FLAV</t>
        </is>
      </c>
      <c r="W20" s="15" t="inlineStr">
        <is>
          <t>HAITIAN FLAV</t>
        </is>
      </c>
      <c r="X20" s="31" t="inlineStr">
        <is>
          <t>3288</t>
        </is>
      </c>
      <c r="Y20" s="31" t="inlineStr">
        <is>
          <t>603288.SS</t>
        </is>
      </c>
      <c r="Z20" s="15" t="inlineStr">
        <is>
          <t>Beverages / packaged food</t>
        </is>
      </c>
      <c r="AA20" s="34" t="n">
        <v>45827</v>
      </c>
      <c r="AB20" s="15" t="n">
        <v>25.28</v>
      </c>
      <c r="AC20" s="15" t="n">
        <v>33.17</v>
      </c>
      <c r="AD20" s="15" t="n">
        <v>1.170220971107483</v>
      </c>
      <c r="AE20" s="34" t="n">
        <v>46297</v>
      </c>
      <c r="AF20" s="34" t="n">
        <v>46295</v>
      </c>
      <c r="AG20" s="34" t="n">
        <v>46297</v>
      </c>
      <c r="AH20" s="15">
        <f>IF(AND(AH!$M$5="Snapshot",'IPO Live'!$M$5="Snapshot"),"",IFERROR(BDP(LEFT($Y20,FIND(".",$Y20)-1)&amp;" CH Equity","PX_LAST"),""))</f>
        <v/>
      </c>
      <c r="AI20" s="15">
        <f>$K$316</f>
        <v/>
      </c>
      <c r="AJ20" s="15">
        <f>$B$1</f>
        <v/>
      </c>
      <c r="AK20" s="34">
        <f>IF(AND(AH!$M$5="Snapshot",'IPO Live'!$M$5="Snapshot"),"",IFERROR(BDP(LEFT($Y20,FIND(".",$Y20)-1)&amp;" CH Equity","LAST_UPDATE_DT"),""))</f>
        <v/>
      </c>
      <c r="AL20" s="15">
        <f>IF(AND(AH!$M$5="Snapshot",'IPO Live'!$M$5="Snapshot"),"",IFERROR(BDP(LEFT($Y20,FIND(".",$Y20)-1)&amp;" CH Equity","LAST_UPDATE"),""))</f>
        <v/>
      </c>
      <c r="AM20" s="15">
        <f>IF(AND(AH!$M$5&lt;&gt;"Snapshot",ISNUMBER(AH20),N(AH20)&gt;0,ISNUMBER(AI20),N(AI20)&gt;0,ISNUMBER(AJ20),N(AJ20)&gt;0),"Bloomberg",IF(AH!$M$5="Bloomberg","Unavailable",IF(AND(ISNUMBER(AB20),ISNUMBER(AC20),ISNUMBER(AD20)),"Snapshot","Unavailable")))</f>
        <v/>
      </c>
      <c r="AN20" s="15">
        <f>IF(AM20="Bloomberg",AI20,IF(AM20="Snapshot",AB20,"unavailable"))</f>
        <v/>
      </c>
      <c r="AO20" s="15">
        <f>IF(AM20="Bloomberg",AH20,IF(AM20="Snapshot",AC20,"unavailable"))</f>
        <v/>
      </c>
      <c r="AP20" s="15">
        <f>IF(AM20="Bloomberg",AJ20,IF(AM20="Snapshot",AD20,"unavailable"))</f>
        <v/>
      </c>
      <c r="AQ20" s="33">
        <f>IFERROR(IF(AND(ISNUMBER(AN20),N(AN20)&gt;0,ISNUMBER(AO20),N(AO20)&gt;0,ISNUMBER(AP20),N(AP20)&gt;0),AO20*AP20/AN20-1,"unavailable"),"unavailable")</f>
        <v/>
      </c>
      <c r="AR20" s="15" t="n">
        <v>46</v>
      </c>
      <c r="AS20" s="15" t="inlineStr">
        <is>
          <t>One raw share per class; confirm class conversion for adjusted structures</t>
        </is>
      </c>
      <c r="AT20" s="31" t="inlineStr">
        <is>
          <t>603288</t>
        </is>
      </c>
      <c r="AW20">
        <f>IF(AND(J20&gt;0,OR(AH!$I$5="All",AH!$I$5="A/H only",AH!$I$5=C20)),1,0)</f>
        <v/>
      </c>
      <c r="AX20">
        <f>IF(AW20=1,COUNTIF($AW$5:AW20,1),"")</f>
        <v/>
      </c>
      <c r="AY20">
        <f>IF(AH!$M$5="Snapshot",IF(ISNUMBER(G20),G20,"unavailable"),IF(AND(ISNUMBER(K20),N(K20)&gt;0),K20,IF(AH!$M$5="Auto",IF(ISNUMBER(G20),G20,"unavailable"),"unavailable")))</f>
        <v/>
      </c>
      <c r="AZ20">
        <f>IF(AND(AH!$M$5&lt;&gt;"Snapshot",ISNUMBER(K20),N(K20)&gt;0),"Bloomberg",IF(AND(AH!$M$5&lt;&gt;"Bloomberg",ISNUMBER(G20)),"Snapshot","Unavailable"))</f>
        <v/>
      </c>
      <c r="BA20">
        <f>IF(AZ20="Bloomberg",M20,H20)</f>
        <v/>
      </c>
      <c r="BB20">
        <f>1</f>
        <v/>
      </c>
      <c r="BC20" s="15" t="n">
        <v>36.5</v>
      </c>
    </row>
    <row r="21">
      <c r="A21" s="31" t="inlineStr">
        <is>
          <t>1377</t>
        </is>
      </c>
      <c r="B21" s="15" t="inlineStr">
        <is>
          <t>DTECH</t>
        </is>
      </c>
      <c r="C21" s="15" t="inlineStr">
        <is>
          <t>Tech/AI</t>
        </is>
      </c>
      <c r="D21" s="15" t="inlineStr">
        <is>
          <t>Smart hardware / consumer electronics</t>
        </is>
      </c>
      <c r="E21" s="34" t="n">
        <v>46212</v>
      </c>
      <c r="F21" s="15" t="n">
        <v>380</v>
      </c>
      <c r="G21" s="15" t="n">
        <v>260.6</v>
      </c>
      <c r="H21" s="34" t="n">
        <v>46297</v>
      </c>
      <c r="I21" s="31" t="inlineStr">
        <is>
          <t>301377.SZ</t>
        </is>
      </c>
      <c r="J21" s="15" t="n">
        <v>62</v>
      </c>
      <c r="K21" s="15">
        <f>IF(AND(AH!$M$5="Snapshot",'IPO Live'!$M$5="Snapshot"),"",IFERROR(BDP(TEXT(VALUE($A21),"0")&amp;" HK Equity","PX_LAST"),""))</f>
        <v/>
      </c>
      <c r="L21" s="15">
        <f>IF(AND(AH!$M$5="Snapshot",'IPO Live'!$M$5="Snapshot"),"",IFERROR(BDP(TEXT(VALUE($A21),"0")&amp;" HK Equity","CHG_PCT_1D")/100,""))</f>
        <v/>
      </c>
      <c r="M21" s="15">
        <f>IF(AND(AH!$M$5="Snapshot",'IPO Live'!$M$5="Snapshot"),"",IFERROR(BDP(TEXT(VALUE($A21),"0")&amp;" HK Equity","LAST_UPDATE_DT"),""))</f>
        <v/>
      </c>
      <c r="N21" s="15">
        <f>IF(AND(AH!$M$5="Snapshot",'IPO Live'!$M$5="Snapshot"),"",IFERROR(BDP(TEXT(VALUE($A21),"0")&amp;" HK Equity","LAST_UPDATE"),""))</f>
        <v/>
      </c>
      <c r="O21" s="15">
        <f>IF('IPO Live'!$M$5="Snapshot",IF(ISNUMBER(G21),G21,"unavailable"),IF(AND(ISNUMBER(K21),N(K21)&gt;0),K21,IF('IPO Live'!$M$5="Auto",IF(ISNUMBER(G21),G21,"unavailable"),"unavailable")))</f>
        <v/>
      </c>
      <c r="P21" s="15">
        <f>IF(AND('IPO Live'!$M$5&lt;&gt;"Snapshot",ISNUMBER(K21),N(K21)&gt;0),"Bloomberg",IF(AND('IPO Live'!$M$5&lt;&gt;"Bloomberg",ISNUMBER(G21)),"Snapshot","Unavailable"))</f>
        <v/>
      </c>
      <c r="Q21" s="33">
        <f>IF(AND(P21="Bloomberg",ISNUMBER(L21)),L21,"unavailable")</f>
        <v/>
      </c>
      <c r="R21" s="15">
        <f>IF(OR('IPO Live'!$B$5="All",'IPO Live'!$B$5=C21,AND('IPO Live'!$B$5="A/H only",J21&gt;0)),1,0)</f>
        <v/>
      </c>
      <c r="S21" s="15">
        <f>IF(R21=1,COUNTIF($R$5:R21,1),"")</f>
        <v/>
      </c>
      <c r="T21">
        <f>1</f>
        <v/>
      </c>
      <c r="U21">
        <f>IF($P21="Bloomberg",$M21,$H21)</f>
        <v/>
      </c>
      <c r="V21" s="15" t="inlineStr">
        <is>
          <t>2050 | SANHUA</t>
        </is>
      </c>
      <c r="W21" s="15" t="inlineStr">
        <is>
          <t>SANHUA</t>
        </is>
      </c>
      <c r="X21" s="31" t="inlineStr">
        <is>
          <t>2050</t>
        </is>
      </c>
      <c r="Y21" s="31" t="inlineStr">
        <is>
          <t>002050.SZ</t>
        </is>
      </c>
      <c r="Z21" s="15" t="inlineStr">
        <is>
          <t>Auto parts / supply chain</t>
        </is>
      </c>
      <c r="AA21" s="34" t="n">
        <v>45831</v>
      </c>
      <c r="AB21" s="15" t="n">
        <v>24.16</v>
      </c>
      <c r="AC21" s="15" t="n">
        <v>35.71</v>
      </c>
      <c r="AD21" s="15" t="n">
        <v>1.170220971107483</v>
      </c>
      <c r="AE21" s="34" t="n">
        <v>46297</v>
      </c>
      <c r="AF21" s="34" t="n">
        <v>46295</v>
      </c>
      <c r="AG21" s="34" t="n">
        <v>46297</v>
      </c>
      <c r="AH21" s="15">
        <f>IF(AND(AH!$M$5="Snapshot",'IPO Live'!$M$5="Snapshot"),"",IFERROR(BDP(LEFT($Y21,FIND(".",$Y21)-1)&amp;" CH Equity","PX_LAST"),""))</f>
        <v/>
      </c>
      <c r="AI21" s="15">
        <f>$K$315</f>
        <v/>
      </c>
      <c r="AJ21" s="15">
        <f>$B$1</f>
        <v/>
      </c>
      <c r="AK21" s="34">
        <f>IF(AND(AH!$M$5="Snapshot",'IPO Live'!$M$5="Snapshot"),"",IFERROR(BDP(LEFT($Y21,FIND(".",$Y21)-1)&amp;" CH Equity","LAST_UPDATE_DT"),""))</f>
        <v/>
      </c>
      <c r="AL21" s="15">
        <f>IF(AND(AH!$M$5="Snapshot",'IPO Live'!$M$5="Snapshot"),"",IFERROR(BDP(LEFT($Y21,FIND(".",$Y21)-1)&amp;" CH Equity","LAST_UPDATE"),""))</f>
        <v/>
      </c>
      <c r="AM21" s="15">
        <f>IF(AND(AH!$M$5&lt;&gt;"Snapshot",ISNUMBER(AH21),N(AH21)&gt;0,ISNUMBER(AI21),N(AI21)&gt;0,ISNUMBER(AJ21),N(AJ21)&gt;0),"Bloomberg",IF(AH!$M$5="Bloomberg","Unavailable",IF(AND(ISNUMBER(AB21),ISNUMBER(AC21),ISNUMBER(AD21)),"Snapshot","Unavailable")))</f>
        <v/>
      </c>
      <c r="AN21" s="15">
        <f>IF(AM21="Bloomberg",AI21,IF(AM21="Snapshot",AB21,"unavailable"))</f>
        <v/>
      </c>
      <c r="AO21" s="15">
        <f>IF(AM21="Bloomberg",AH21,IF(AM21="Snapshot",AC21,"unavailable"))</f>
        <v/>
      </c>
      <c r="AP21" s="15">
        <f>IF(AM21="Bloomberg",AJ21,IF(AM21="Snapshot",AD21,"unavailable"))</f>
        <v/>
      </c>
      <c r="AQ21" s="33">
        <f>IFERROR(IF(AND(ISNUMBER(AN21),N(AN21)&gt;0,ISNUMBER(AO21),N(AO21)&gt;0,ISNUMBER(AP21),N(AP21)&gt;0),AO21*AP21/AN21-1,"unavailable"),"unavailable")</f>
        <v/>
      </c>
      <c r="AR21" s="15" t="n">
        <v>49</v>
      </c>
      <c r="AS21" s="15" t="inlineStr">
        <is>
          <t>One raw share per class; confirm class conversion for adjusted structures</t>
        </is>
      </c>
      <c r="AT21" s="31" t="inlineStr">
        <is>
          <t>002050</t>
        </is>
      </c>
      <c r="AW21">
        <f>IF(AND(J21&gt;0,OR(AH!$I$5="All",AH!$I$5="A/H only",AH!$I$5=C21)),1,0)</f>
        <v/>
      </c>
      <c r="AX21">
        <f>IF(AW21=1,COUNTIF($AW$5:AW21,1),"")</f>
        <v/>
      </c>
      <c r="AY21">
        <f>IF(AH!$M$5="Snapshot",IF(ISNUMBER(G21),G21,"unavailable"),IF(AND(ISNUMBER(K21),N(K21)&gt;0),K21,IF(AH!$M$5="Auto",IF(ISNUMBER(G21),G21,"unavailable"),"unavailable")))</f>
        <v/>
      </c>
      <c r="AZ21">
        <f>IF(AND(AH!$M$5&lt;&gt;"Snapshot",ISNUMBER(K21),N(K21)&gt;0),"Bloomberg",IF(AND(AH!$M$5&lt;&gt;"Bloomberg",ISNUMBER(G21)),"Snapshot","Unavailable"))</f>
        <v/>
      </c>
      <c r="BA21">
        <f>IF(AZ21="Bloomberg",M21,H21)</f>
        <v/>
      </c>
      <c r="BB21">
        <f>1</f>
        <v/>
      </c>
      <c r="BC21" s="15" t="n">
        <v>22.5</v>
      </c>
    </row>
    <row r="22">
      <c r="A22" s="31" t="inlineStr">
        <is>
          <t>7656</t>
        </is>
      </c>
      <c r="B22" s="15" t="inlineStr">
        <is>
          <t>RECONOVA</t>
        </is>
      </c>
      <c r="C22" s="15" t="inlineStr">
        <is>
          <t>Tech/AI</t>
        </is>
      </c>
      <c r="D22" s="15" t="inlineStr">
        <is>
          <t>AI application / agent software</t>
        </is>
      </c>
      <c r="E22" s="34" t="n">
        <v>46211</v>
      </c>
      <c r="F22" s="15" t="n">
        <v>21.66</v>
      </c>
      <c r="G22" s="15" t="n">
        <v>14.9</v>
      </c>
      <c r="H22" s="34" t="n">
        <v>46297</v>
      </c>
      <c r="I22" s="31" t="n"/>
      <c r="J22" s="15" t="n">
        <v>0</v>
      </c>
      <c r="K22" s="15">
        <f>IF(AND(AH!$M$5="Snapshot",'IPO Live'!$M$5="Snapshot"),"",IFERROR(BDP(TEXT(VALUE($A22),"0")&amp;" HK Equity","PX_LAST"),""))</f>
        <v/>
      </c>
      <c r="L22" s="15">
        <f>IF(AND(AH!$M$5="Snapshot",'IPO Live'!$M$5="Snapshot"),"",IFERROR(BDP(TEXT(VALUE($A22),"0")&amp;" HK Equity","CHG_PCT_1D")/100,""))</f>
        <v/>
      </c>
      <c r="M22" s="15">
        <f>IF(AND(AH!$M$5="Snapshot",'IPO Live'!$M$5="Snapshot"),"",IFERROR(BDP(TEXT(VALUE($A22),"0")&amp;" HK Equity","LAST_UPDATE_DT"),""))</f>
        <v/>
      </c>
      <c r="N22" s="15">
        <f>IF(AND(AH!$M$5="Snapshot",'IPO Live'!$M$5="Snapshot"),"",IFERROR(BDP(TEXT(VALUE($A22),"0")&amp;" HK Equity","LAST_UPDATE"),""))</f>
        <v/>
      </c>
      <c r="O22" s="15">
        <f>IF('IPO Live'!$M$5="Snapshot",IF(ISNUMBER(G22),G22,"unavailable"),IF(AND(ISNUMBER(K22),N(K22)&gt;0),K22,IF('IPO Live'!$M$5="Auto",IF(ISNUMBER(G22),G22,"unavailable"),"unavailable")))</f>
        <v/>
      </c>
      <c r="P22" s="15">
        <f>IF(AND('IPO Live'!$M$5&lt;&gt;"Snapshot",ISNUMBER(K22),N(K22)&gt;0),"Bloomberg",IF(AND('IPO Live'!$M$5&lt;&gt;"Bloomberg",ISNUMBER(G22)),"Snapshot","Unavailable"))</f>
        <v/>
      </c>
      <c r="Q22" s="33">
        <f>IF(AND(P22="Bloomberg",ISNUMBER(L22)),L22,"unavailable")</f>
        <v/>
      </c>
      <c r="R22" s="15">
        <f>IF(OR('IPO Live'!$B$5="All",'IPO Live'!$B$5=C22,AND('IPO Live'!$B$5="A/H only",J22&gt;0)),1,0)</f>
        <v/>
      </c>
      <c r="S22" s="15">
        <f>IF(R22=1,COUNTIF($R$5:R22,1),"")</f>
        <v/>
      </c>
      <c r="T22">
        <f>1</f>
        <v/>
      </c>
      <c r="U22">
        <f>IF($P22="Bloomberg",$M22,$H22)</f>
        <v/>
      </c>
      <c r="V22" s="15" t="inlineStr">
        <is>
          <t>2648 | ANJOY FOOD</t>
        </is>
      </c>
      <c r="W22" s="15" t="inlineStr">
        <is>
          <t>ANJOY FOOD</t>
        </is>
      </c>
      <c r="X22" s="31" t="inlineStr">
        <is>
          <t>2648</t>
        </is>
      </c>
      <c r="Y22" s="31" t="inlineStr">
        <is>
          <t>603345.SS</t>
        </is>
      </c>
      <c r="Z22" s="15" t="inlineStr">
        <is>
          <t>Beverages / packaged food</t>
        </is>
      </c>
      <c r="AA22" s="34" t="n">
        <v>45842</v>
      </c>
      <c r="AB22" s="15" t="n">
        <v>60.65</v>
      </c>
      <c r="AC22" s="15" t="n">
        <v>79.40000000000001</v>
      </c>
      <c r="AD22" s="15" t="n">
        <v>1.170220971107483</v>
      </c>
      <c r="AE22" s="34" t="n">
        <v>46297</v>
      </c>
      <c r="AF22" s="34" t="n">
        <v>46295</v>
      </c>
      <c r="AG22" s="34" t="n">
        <v>46297</v>
      </c>
      <c r="AH22" s="15">
        <f>IF(AND(AH!$M$5="Snapshot",'IPO Live'!$M$5="Snapshot"),"",IFERROR(BDP(LEFT($Y22,FIND(".",$Y22)-1)&amp;" CH Equity","PX_LAST"),""))</f>
        <v/>
      </c>
      <c r="AI22" s="15">
        <f>$K$311</f>
        <v/>
      </c>
      <c r="AJ22" s="15">
        <f>$B$1</f>
        <v/>
      </c>
      <c r="AK22" s="34">
        <f>IF(AND(AH!$M$5="Snapshot",'IPO Live'!$M$5="Snapshot"),"",IFERROR(BDP(LEFT($Y22,FIND(".",$Y22)-1)&amp;" CH Equity","LAST_UPDATE_DT"),""))</f>
        <v/>
      </c>
      <c r="AL22" s="15">
        <f>IF(AND(AH!$M$5="Snapshot",'IPO Live'!$M$5="Snapshot"),"",IFERROR(BDP(LEFT($Y22,FIND(".",$Y22)-1)&amp;" CH Equity","LAST_UPDATE"),""))</f>
        <v/>
      </c>
      <c r="AM22" s="15">
        <f>IF(AND(AH!$M$5&lt;&gt;"Snapshot",ISNUMBER(AH22),N(AH22)&gt;0,ISNUMBER(AI22),N(AI22)&gt;0,ISNUMBER(AJ22),N(AJ22)&gt;0),"Bloomberg",IF(AH!$M$5="Bloomberg","Unavailable",IF(AND(ISNUMBER(AB22),ISNUMBER(AC22),ISNUMBER(AD22)),"Snapshot","Unavailable")))</f>
        <v/>
      </c>
      <c r="AN22" s="15">
        <f>IF(AM22="Bloomberg",AI22,IF(AM22="Snapshot",AB22,"unavailable"))</f>
        <v/>
      </c>
      <c r="AO22" s="15">
        <f>IF(AM22="Bloomberg",AH22,IF(AM22="Snapshot",AC22,"unavailable"))</f>
        <v/>
      </c>
      <c r="AP22" s="15">
        <f>IF(AM22="Bloomberg",AJ22,IF(AM22="Snapshot",AD22,"unavailable"))</f>
        <v/>
      </c>
      <c r="AQ22" s="33">
        <f>IFERROR(IF(AND(ISNUMBER(AN22),N(AN22)&gt;0,ISNUMBER(AO22),N(AO22)&gt;0,ISNUMBER(AP22),N(AP22)&gt;0),AO22*AP22/AN22-1,"unavailable"),"unavailable")</f>
        <v/>
      </c>
      <c r="AR22" s="15" t="n">
        <v>52</v>
      </c>
      <c r="AS22" s="15" t="inlineStr">
        <is>
          <t>One raw share per class; confirm class conversion for adjusted structures</t>
        </is>
      </c>
      <c r="AT22" s="31" t="inlineStr">
        <is>
          <t>603345</t>
        </is>
      </c>
      <c r="AW22">
        <f>IF(AND(J22&gt;0,OR(AH!$I$5="All",AH!$I$5="A/H only",AH!$I$5=C22)),1,0)</f>
        <v/>
      </c>
      <c r="AX22">
        <f>IF(AW22=1,COUNTIF($AW$5:AW22,1),"")</f>
        <v/>
      </c>
      <c r="AY22">
        <f>IF(AH!$M$5="Snapshot",IF(ISNUMBER(G22),G22,"unavailable"),IF(AND(ISNUMBER(K22),N(K22)&gt;0),K22,IF(AH!$M$5="Auto",IF(ISNUMBER(G22),G22,"unavailable"),"unavailable")))</f>
        <v/>
      </c>
      <c r="AZ22">
        <f>IF(AND(AH!$M$5&lt;&gt;"Snapshot",ISNUMBER(K22),N(K22)&gt;0),"Bloomberg",IF(AND(AH!$M$5&lt;&gt;"Bloomberg",ISNUMBER(G22)),"Snapshot","Unavailable"))</f>
        <v/>
      </c>
      <c r="BA22">
        <f>IF(AZ22="Bloomberg",M22,H22)</f>
        <v/>
      </c>
      <c r="BB22">
        <f>1</f>
        <v/>
      </c>
      <c r="BC22" s="15" t="n">
        <v>57</v>
      </c>
    </row>
    <row r="23">
      <c r="A23" s="31" t="inlineStr">
        <is>
          <t>9971</t>
        </is>
      </c>
      <c r="B23" s="15" t="inlineStr">
        <is>
          <t>BASICSEMI</t>
        </is>
      </c>
      <c r="C23" s="15" t="inlineStr">
        <is>
          <t>Tech/AI</t>
        </is>
      </c>
      <c r="D23" s="15" t="inlineStr">
        <is>
          <t>Analog / power semiconductors</t>
        </is>
      </c>
      <c r="E23" s="34" t="n">
        <v>46211</v>
      </c>
      <c r="F23" s="15" t="n">
        <v>31.62</v>
      </c>
      <c r="G23" s="15" t="n">
        <v>40</v>
      </c>
      <c r="H23" s="34" t="n">
        <v>46297</v>
      </c>
      <c r="I23" s="31" t="n"/>
      <c r="J23" s="15" t="n">
        <v>0</v>
      </c>
      <c r="K23" s="15">
        <f>IF(AND(AH!$M$5="Snapshot",'IPO Live'!$M$5="Snapshot"),"",IFERROR(BDP(TEXT(VALUE($A23),"0")&amp;" HK Equity","PX_LAST"),""))</f>
        <v/>
      </c>
      <c r="L23" s="15">
        <f>IF(AND(AH!$M$5="Snapshot",'IPO Live'!$M$5="Snapshot"),"",IFERROR(BDP(TEXT(VALUE($A23),"0")&amp;" HK Equity","CHG_PCT_1D")/100,""))</f>
        <v/>
      </c>
      <c r="M23" s="15">
        <f>IF(AND(AH!$M$5="Snapshot",'IPO Live'!$M$5="Snapshot"),"",IFERROR(BDP(TEXT(VALUE($A23),"0")&amp;" HK Equity","LAST_UPDATE_DT"),""))</f>
        <v/>
      </c>
      <c r="N23" s="15">
        <f>IF(AND(AH!$M$5="Snapshot",'IPO Live'!$M$5="Snapshot"),"",IFERROR(BDP(TEXT(VALUE($A23),"0")&amp;" HK Equity","LAST_UPDATE"),""))</f>
        <v/>
      </c>
      <c r="O23" s="15">
        <f>IF('IPO Live'!$M$5="Snapshot",IF(ISNUMBER(G23),G23,"unavailable"),IF(AND(ISNUMBER(K23),N(K23)&gt;0),K23,IF('IPO Live'!$M$5="Auto",IF(ISNUMBER(G23),G23,"unavailable"),"unavailable")))</f>
        <v/>
      </c>
      <c r="P23" s="15">
        <f>IF(AND('IPO Live'!$M$5&lt;&gt;"Snapshot",ISNUMBER(K23),N(K23)&gt;0),"Bloomberg",IF(AND('IPO Live'!$M$5&lt;&gt;"Bloomberg",ISNUMBER(G23)),"Snapshot","Unavailable"))</f>
        <v/>
      </c>
      <c r="Q23" s="33">
        <f>IF(AND(P23="Bloomberg",ISNUMBER(L23)),L23,"unavailable")</f>
        <v/>
      </c>
      <c r="R23" s="15">
        <f>IF(OR('IPO Live'!$B$5="All",'IPO Live'!$B$5=C23,AND('IPO Live'!$B$5="A/H only",J23&gt;0)),1,0)</f>
        <v/>
      </c>
      <c r="S23" s="15">
        <f>IF(R23=1,COUNTIF($R$5:R23,1),"")</f>
        <v/>
      </c>
      <c r="T23">
        <f>1</f>
        <v/>
      </c>
      <c r="U23">
        <f>IF($P23="Bloomberg",$M23,$H23)</f>
        <v/>
      </c>
      <c r="V23" s="15" t="inlineStr">
        <is>
          <t>1304 | FORTIOR</t>
        </is>
      </c>
      <c r="W23" s="15" t="inlineStr">
        <is>
          <t>FORTIOR</t>
        </is>
      </c>
      <c r="X23" s="31" t="inlineStr">
        <is>
          <t>1304</t>
        </is>
      </c>
      <c r="Y23" s="31" t="inlineStr">
        <is>
          <t>688279.SS</t>
        </is>
      </c>
      <c r="Z23" s="15" t="inlineStr">
        <is>
          <t>Analog / power semiconductors</t>
        </is>
      </c>
      <c r="AA23" s="34" t="n">
        <v>45847</v>
      </c>
      <c r="AB23" s="15" t="n">
        <v>118.9</v>
      </c>
      <c r="AC23" s="15" t="n">
        <v>199.31</v>
      </c>
      <c r="AD23" s="15" t="n">
        <v>1.170220971107483</v>
      </c>
      <c r="AE23" s="34" t="n">
        <v>46297</v>
      </c>
      <c r="AF23" s="34" t="n">
        <v>46295</v>
      </c>
      <c r="AG23" s="34" t="n">
        <v>46297</v>
      </c>
      <c r="AH23" s="15">
        <f>IF(AND(AH!$M$5="Snapshot",'IPO Live'!$M$5="Snapshot"),"",IFERROR(BDP(LEFT($Y23,FIND(".",$Y23)-1)&amp;" CH Equity","PX_LAST"),""))</f>
        <v/>
      </c>
      <c r="AI23" s="15">
        <f>$K$97</f>
        <v/>
      </c>
      <c r="AJ23" s="15">
        <f>$B$1</f>
        <v/>
      </c>
      <c r="AK23" s="34">
        <f>IF(AND(AH!$M$5="Snapshot",'IPO Live'!$M$5="Snapshot"),"",IFERROR(BDP(LEFT($Y23,FIND(".",$Y23)-1)&amp;" CH Equity","LAST_UPDATE_DT"),""))</f>
        <v/>
      </c>
      <c r="AL23" s="15">
        <f>IF(AND(AH!$M$5="Snapshot",'IPO Live'!$M$5="Snapshot"),"",IFERROR(BDP(LEFT($Y23,FIND(".",$Y23)-1)&amp;" CH Equity","LAST_UPDATE"),""))</f>
        <v/>
      </c>
      <c r="AM23" s="15">
        <f>IF(AND(AH!$M$5&lt;&gt;"Snapshot",ISNUMBER(AH23),N(AH23)&gt;0,ISNUMBER(AI23),N(AI23)&gt;0,ISNUMBER(AJ23),N(AJ23)&gt;0),"Bloomberg",IF(AH!$M$5="Bloomberg","Unavailable",IF(AND(ISNUMBER(AB23),ISNUMBER(AC23),ISNUMBER(AD23)),"Snapshot","Unavailable")))</f>
        <v/>
      </c>
      <c r="AN23" s="15">
        <f>IF(AM23="Bloomberg",AI23,IF(AM23="Snapshot",AB23,"unavailable"))</f>
        <v/>
      </c>
      <c r="AO23" s="15">
        <f>IF(AM23="Bloomberg",AH23,IF(AM23="Snapshot",AC23,"unavailable"))</f>
        <v/>
      </c>
      <c r="AP23" s="15">
        <f>IF(AM23="Bloomberg",AJ23,IF(AM23="Snapshot",AD23,"unavailable"))</f>
        <v/>
      </c>
      <c r="AQ23" s="33">
        <f>IFERROR(IF(AND(ISNUMBER(AN23),N(AN23)&gt;0,ISNUMBER(AO23),N(AO23)&gt;0,ISNUMBER(AP23),N(AP23)&gt;0),AO23*AP23/AN23-1,"unavailable"),"unavailable")</f>
        <v/>
      </c>
      <c r="AR23" s="15" t="n">
        <v>55</v>
      </c>
      <c r="AS23" s="15" t="inlineStr">
        <is>
          <t>One raw share per class; confirm class conversion for adjusted structures</t>
        </is>
      </c>
      <c r="AT23" s="31" t="inlineStr">
        <is>
          <t>688279</t>
        </is>
      </c>
      <c r="AW23">
        <f>IF(AND(J23&gt;0,OR(AH!$I$5="All",AH!$I$5="A/H only",AH!$I$5=C23)),1,0)</f>
        <v/>
      </c>
      <c r="AX23">
        <f>IF(AW23=1,COUNTIF($AW$5:AW23,1),"")</f>
        <v/>
      </c>
      <c r="AY23">
        <f>IF(AH!$M$5="Snapshot",IF(ISNUMBER(G23),G23,"unavailable"),IF(AND(ISNUMBER(K23),N(K23)&gt;0),K23,IF(AH!$M$5="Auto",IF(ISNUMBER(G23),G23,"unavailable"),"unavailable")))</f>
        <v/>
      </c>
      <c r="AZ23">
        <f>IF(AND(AH!$M$5&lt;&gt;"Snapshot",ISNUMBER(K23),N(K23)&gt;0),"Bloomberg",IF(AND(AH!$M$5&lt;&gt;"Bloomberg",ISNUMBER(G23)),"Snapshot","Unavailable"))</f>
        <v/>
      </c>
      <c r="BA23">
        <f>IF(AZ23="Bloomberg",M23,H23)</f>
        <v/>
      </c>
      <c r="BB23">
        <f>1</f>
        <v/>
      </c>
      <c r="BC23" s="15" t="n">
        <v>139.8</v>
      </c>
    </row>
    <row r="24">
      <c r="A24" s="31" t="inlineStr">
        <is>
          <t>6880</t>
        </is>
      </c>
      <c r="B24" s="15" t="inlineStr">
        <is>
          <t>MOMENTA-W</t>
        </is>
      </c>
      <c r="C24" s="15" t="inlineStr">
        <is>
          <t>Tech/AI</t>
        </is>
      </c>
      <c r="D24" s="15" t="inlineStr">
        <is>
          <t>Robotics &amp; autonomous driving</t>
        </is>
      </c>
      <c r="E24" s="34" t="n">
        <v>46211</v>
      </c>
      <c r="F24" s="15" t="n">
        <v>295.6</v>
      </c>
      <c r="G24" s="15" t="n">
        <v>159.8</v>
      </c>
      <c r="H24" s="34" t="n">
        <v>46297</v>
      </c>
      <c r="I24" s="31" t="n"/>
      <c r="J24" s="15" t="n">
        <v>0</v>
      </c>
      <c r="K24" s="15">
        <f>IF(AND(AH!$M$5="Snapshot",'IPO Live'!$M$5="Snapshot"),"",IFERROR(BDP(TEXT(VALUE($A24),"0")&amp;" HK Equity","PX_LAST"),""))</f>
        <v/>
      </c>
      <c r="L24" s="15">
        <f>IF(AND(AH!$M$5="Snapshot",'IPO Live'!$M$5="Snapshot"),"",IFERROR(BDP(TEXT(VALUE($A24),"0")&amp;" HK Equity","CHG_PCT_1D")/100,""))</f>
        <v/>
      </c>
      <c r="M24" s="15">
        <f>IF(AND(AH!$M$5="Snapshot",'IPO Live'!$M$5="Snapshot"),"",IFERROR(BDP(TEXT(VALUE($A24),"0")&amp;" HK Equity","LAST_UPDATE_DT"),""))</f>
        <v/>
      </c>
      <c r="N24" s="15">
        <f>IF(AND(AH!$M$5="Snapshot",'IPO Live'!$M$5="Snapshot"),"",IFERROR(BDP(TEXT(VALUE($A24),"0")&amp;" HK Equity","LAST_UPDATE"),""))</f>
        <v/>
      </c>
      <c r="O24" s="15">
        <f>IF('IPO Live'!$M$5="Snapshot",IF(ISNUMBER(G24),G24,"unavailable"),IF(AND(ISNUMBER(K24),N(K24)&gt;0),K24,IF('IPO Live'!$M$5="Auto",IF(ISNUMBER(G24),G24,"unavailable"),"unavailable")))</f>
        <v/>
      </c>
      <c r="P24" s="15">
        <f>IF(AND('IPO Live'!$M$5&lt;&gt;"Snapshot",ISNUMBER(K24),N(K24)&gt;0),"Bloomberg",IF(AND('IPO Live'!$M$5&lt;&gt;"Bloomberg",ISNUMBER(G24)),"Snapshot","Unavailable"))</f>
        <v/>
      </c>
      <c r="Q24" s="33">
        <f>IF(AND(P24="Bloomberg",ISNUMBER(L24)),L24,"unavailable")</f>
        <v/>
      </c>
      <c r="R24" s="15">
        <f>IF(OR('IPO Live'!$B$5="All",'IPO Live'!$B$5=C24,AND('IPO Live'!$B$5="A/H only",J24&gt;0)),1,0)</f>
        <v/>
      </c>
      <c r="S24" s="15">
        <f>IF(R24=1,COUNTIF($R$5:R24,1),"")</f>
        <v/>
      </c>
      <c r="T24">
        <f>1</f>
        <v/>
      </c>
      <c r="U24">
        <f>IF($P24="Bloomberg",$M24,$H24)</f>
        <v/>
      </c>
      <c r="V24" s="15" t="inlineStr">
        <is>
          <t>6613 | LENS</t>
        </is>
      </c>
      <c r="W24" s="15" t="inlineStr">
        <is>
          <t>LENS</t>
        </is>
      </c>
      <c r="X24" s="31" t="inlineStr">
        <is>
          <t>6613</t>
        </is>
      </c>
      <c r="Y24" s="31" t="inlineStr">
        <is>
          <t>300433.SZ</t>
        </is>
      </c>
      <c r="Z24" s="15" t="inlineStr">
        <is>
          <t>Smart hardware / consumer electronics</t>
        </is>
      </c>
      <c r="AA24" s="34" t="n">
        <v>45847</v>
      </c>
      <c r="AB24" s="15" t="n">
        <v>21.36</v>
      </c>
      <c r="AC24" s="15" t="n">
        <v>32.31</v>
      </c>
      <c r="AD24" s="15" t="n">
        <v>1.170220971107483</v>
      </c>
      <c r="AE24" s="34" t="n">
        <v>46297</v>
      </c>
      <c r="AF24" s="34" t="n">
        <v>46295</v>
      </c>
      <c r="AG24" s="34" t="n">
        <v>46297</v>
      </c>
      <c r="AH24" s="15">
        <f>IF(AND(AH!$M$5="Snapshot",'IPO Live'!$M$5="Snapshot"),"",IFERROR(BDP(LEFT($Y24,FIND(".",$Y24)-1)&amp;" CH Equity","PX_LAST"),""))</f>
        <v/>
      </c>
      <c r="AI24" s="15">
        <f>$K$98</f>
        <v/>
      </c>
      <c r="AJ24" s="15">
        <f>$B$1</f>
        <v/>
      </c>
      <c r="AK24" s="34">
        <f>IF(AND(AH!$M$5="Snapshot",'IPO Live'!$M$5="Snapshot"),"",IFERROR(BDP(LEFT($Y24,FIND(".",$Y24)-1)&amp;" CH Equity","LAST_UPDATE_DT"),""))</f>
        <v/>
      </c>
      <c r="AL24" s="15">
        <f>IF(AND(AH!$M$5="Snapshot",'IPO Live'!$M$5="Snapshot"),"",IFERROR(BDP(LEFT($Y24,FIND(".",$Y24)-1)&amp;" CH Equity","LAST_UPDATE"),""))</f>
        <v/>
      </c>
      <c r="AM24" s="15">
        <f>IF(AND(AH!$M$5&lt;&gt;"Snapshot",ISNUMBER(AH24),N(AH24)&gt;0,ISNUMBER(AI24),N(AI24)&gt;0,ISNUMBER(AJ24),N(AJ24)&gt;0),"Bloomberg",IF(AH!$M$5="Bloomberg","Unavailable",IF(AND(ISNUMBER(AB24),ISNUMBER(AC24),ISNUMBER(AD24)),"Snapshot","Unavailable")))</f>
        <v/>
      </c>
      <c r="AN24" s="15">
        <f>IF(AM24="Bloomberg",AI24,IF(AM24="Snapshot",AB24,"unavailable"))</f>
        <v/>
      </c>
      <c r="AO24" s="15">
        <f>IF(AM24="Bloomberg",AH24,IF(AM24="Snapshot",AC24,"unavailable"))</f>
        <v/>
      </c>
      <c r="AP24" s="15">
        <f>IF(AM24="Bloomberg",AJ24,IF(AM24="Snapshot",AD24,"unavailable"))</f>
        <v/>
      </c>
      <c r="AQ24" s="33">
        <f>IFERROR(IF(AND(ISNUMBER(AN24),N(AN24)&gt;0,ISNUMBER(AO24),N(AO24)&gt;0,ISNUMBER(AP24),N(AP24)&gt;0),AO24*AP24/AN24-1,"unavailable"),"unavailable")</f>
        <v/>
      </c>
      <c r="AR24" s="15" t="n">
        <v>58</v>
      </c>
      <c r="AS24" s="15" t="inlineStr">
        <is>
          <t>One raw share per class; confirm class conversion for adjusted structures</t>
        </is>
      </c>
      <c r="AT24" s="31" t="inlineStr">
        <is>
          <t>300433</t>
        </is>
      </c>
      <c r="AW24">
        <f>IF(AND(J24&gt;0,OR(AH!$I$5="All",AH!$I$5="A/H only",AH!$I$5=C24)),1,0)</f>
        <v/>
      </c>
      <c r="AX24">
        <f>IF(AW24=1,COUNTIF($AW$5:AW24,1),"")</f>
        <v/>
      </c>
      <c r="AY24">
        <f>IF(AH!$M$5="Snapshot",IF(ISNUMBER(G24),G24,"unavailable"),IF(AND(ISNUMBER(K24),N(K24)&gt;0),K24,IF(AH!$M$5="Auto",IF(ISNUMBER(G24),G24,"unavailable"),"unavailable")))</f>
        <v/>
      </c>
      <c r="AZ24">
        <f>IF(AND(AH!$M$5&lt;&gt;"Snapshot",ISNUMBER(K24),N(K24)&gt;0),"Bloomberg",IF(AND(AH!$M$5&lt;&gt;"Bloomberg",ISNUMBER(G24)),"Snapshot","Unavailable"))</f>
        <v/>
      </c>
      <c r="BA24">
        <f>IF(AZ24="Bloomberg",M24,H24)</f>
        <v/>
      </c>
      <c r="BB24">
        <f>1</f>
        <v/>
      </c>
      <c r="BC24" s="15" t="n">
        <v>19.84</v>
      </c>
    </row>
    <row r="25">
      <c r="A25" s="31" t="inlineStr">
        <is>
          <t>7687</t>
        </is>
      </c>
      <c r="B25" s="15" t="inlineStr">
        <is>
          <t>EACON</t>
        </is>
      </c>
      <c r="C25" s="15" t="inlineStr">
        <is>
          <t>Tech/AI</t>
        </is>
      </c>
      <c r="D25" s="15" t="inlineStr">
        <is>
          <t>Robotics &amp; autonomous driving</t>
        </is>
      </c>
      <c r="E25" s="34" t="n">
        <v>46211</v>
      </c>
      <c r="F25" s="15" t="n">
        <v>87.92</v>
      </c>
      <c r="G25" s="15" t="n">
        <v>67</v>
      </c>
      <c r="H25" s="34" t="n">
        <v>46297</v>
      </c>
      <c r="I25" s="31" t="n"/>
      <c r="J25" s="15" t="n">
        <v>0</v>
      </c>
      <c r="K25" s="15">
        <f>IF(AND(AH!$M$5="Snapshot",'IPO Live'!$M$5="Snapshot"),"",IFERROR(BDP(TEXT(VALUE($A25),"0")&amp;" HK Equity","PX_LAST"),""))</f>
        <v/>
      </c>
      <c r="L25" s="15">
        <f>IF(AND(AH!$M$5="Snapshot",'IPO Live'!$M$5="Snapshot"),"",IFERROR(BDP(TEXT(VALUE($A25),"0")&amp;" HK Equity","CHG_PCT_1D")/100,""))</f>
        <v/>
      </c>
      <c r="M25" s="15">
        <f>IF(AND(AH!$M$5="Snapshot",'IPO Live'!$M$5="Snapshot"),"",IFERROR(BDP(TEXT(VALUE($A25),"0")&amp;" HK Equity","LAST_UPDATE_DT"),""))</f>
        <v/>
      </c>
      <c r="N25" s="15">
        <f>IF(AND(AH!$M$5="Snapshot",'IPO Live'!$M$5="Snapshot"),"",IFERROR(BDP(TEXT(VALUE($A25),"0")&amp;" HK Equity","LAST_UPDATE"),""))</f>
        <v/>
      </c>
      <c r="O25" s="15">
        <f>IF('IPO Live'!$M$5="Snapshot",IF(ISNUMBER(G25),G25,"unavailable"),IF(AND(ISNUMBER(K25),N(K25)&gt;0),K25,IF('IPO Live'!$M$5="Auto",IF(ISNUMBER(G25),G25,"unavailable"),"unavailable")))</f>
        <v/>
      </c>
      <c r="P25" s="15">
        <f>IF(AND('IPO Live'!$M$5&lt;&gt;"Snapshot",ISNUMBER(K25),N(K25)&gt;0),"Bloomberg",IF(AND('IPO Live'!$M$5&lt;&gt;"Bloomberg",ISNUMBER(G25)),"Snapshot","Unavailable"))</f>
        <v/>
      </c>
      <c r="Q25" s="33">
        <f>IF(AND(P25="Bloomberg",ISNUMBER(L25)),L25,"unavailable")</f>
        <v/>
      </c>
      <c r="R25" s="15">
        <f>IF(OR('IPO Live'!$B$5="All",'IPO Live'!$B$5=C25,AND('IPO Live'!$B$5="A/H only",J25&gt;0)),1,0)</f>
        <v/>
      </c>
      <c r="S25" s="15">
        <f>IF(R25=1,COUNTIF($R$5:R25,1),"")</f>
        <v/>
      </c>
      <c r="T25">
        <f>1</f>
        <v/>
      </c>
      <c r="U25">
        <f>IF($P25="Bloomberg",$M25,$H25)</f>
        <v/>
      </c>
      <c r="V25" s="15" t="inlineStr">
        <is>
          <t>2631 | SICC</t>
        </is>
      </c>
      <c r="W25" s="15" t="inlineStr">
        <is>
          <t>SICC</t>
        </is>
      </c>
      <c r="X25" s="31" t="inlineStr">
        <is>
          <t>2631</t>
        </is>
      </c>
      <c r="Y25" s="31" t="inlineStr">
        <is>
          <t>688234.SS</t>
        </is>
      </c>
      <c r="Z25" s="15" t="inlineStr">
        <is>
          <t>Semiconductor equipment / materials</t>
        </is>
      </c>
      <c r="AA25" s="34" t="n">
        <v>45889</v>
      </c>
      <c r="AB25" s="15" t="n">
        <v>68.59999999999999</v>
      </c>
      <c r="AC25" s="15" t="n">
        <v>104.39</v>
      </c>
      <c r="AD25" s="15" t="n">
        <v>1.170220971107483</v>
      </c>
      <c r="AE25" s="34" t="n">
        <v>46297</v>
      </c>
      <c r="AF25" s="34" t="n">
        <v>46295</v>
      </c>
      <c r="AG25" s="34" t="n">
        <v>46297</v>
      </c>
      <c r="AH25" s="15">
        <f>IF(AND(AH!$M$5="Snapshot",'IPO Live'!$M$5="Snapshot"),"",IFERROR(BDP(LEFT($Y25,FIND(".",$Y25)-1)&amp;" CH Equity","PX_LAST"),""))</f>
        <v/>
      </c>
      <c r="AI25" s="15">
        <f>$K$94</f>
        <v/>
      </c>
      <c r="AJ25" s="15">
        <f>$B$1</f>
        <v/>
      </c>
      <c r="AK25" s="34">
        <f>IF(AND(AH!$M$5="Snapshot",'IPO Live'!$M$5="Snapshot"),"",IFERROR(BDP(LEFT($Y25,FIND(".",$Y25)-1)&amp;" CH Equity","LAST_UPDATE_DT"),""))</f>
        <v/>
      </c>
      <c r="AL25" s="15">
        <f>IF(AND(AH!$M$5="Snapshot",'IPO Live'!$M$5="Snapshot"),"",IFERROR(BDP(LEFT($Y25,FIND(".",$Y25)-1)&amp;" CH Equity","LAST_UPDATE"),""))</f>
        <v/>
      </c>
      <c r="AM25" s="15">
        <f>IF(AND(AH!$M$5&lt;&gt;"Snapshot",ISNUMBER(AH25),N(AH25)&gt;0,ISNUMBER(AI25),N(AI25)&gt;0,ISNUMBER(AJ25),N(AJ25)&gt;0),"Bloomberg",IF(AH!$M$5="Bloomberg","Unavailable",IF(AND(ISNUMBER(AB25),ISNUMBER(AC25),ISNUMBER(AD25)),"Snapshot","Unavailable")))</f>
        <v/>
      </c>
      <c r="AN25" s="15">
        <f>IF(AM25="Bloomberg",AI25,IF(AM25="Snapshot",AB25,"unavailable"))</f>
        <v/>
      </c>
      <c r="AO25" s="15">
        <f>IF(AM25="Bloomberg",AH25,IF(AM25="Snapshot",AC25,"unavailable"))</f>
        <v/>
      </c>
      <c r="AP25" s="15">
        <f>IF(AM25="Bloomberg",AJ25,IF(AM25="Snapshot",AD25,"unavailable"))</f>
        <v/>
      </c>
      <c r="AQ25" s="33">
        <f>IFERROR(IF(AND(ISNUMBER(AN25),N(AN25)&gt;0,ISNUMBER(AO25),N(AO25)&gt;0,ISNUMBER(AP25),N(AP25)&gt;0),AO25*AP25/AN25-1,"unavailable"),"unavailable")</f>
        <v/>
      </c>
      <c r="AR25" s="15" t="n">
        <v>61</v>
      </c>
      <c r="AS25" s="15" t="inlineStr">
        <is>
          <t>One raw share per class; confirm class conversion for adjusted structures</t>
        </is>
      </c>
      <c r="AT25" s="31" t="inlineStr">
        <is>
          <t>688234</t>
        </is>
      </c>
      <c r="AW25">
        <f>IF(AND(J25&gt;0,OR(AH!$I$5="All",AH!$I$5="A/H only",AH!$I$5=C25)),1,0)</f>
        <v/>
      </c>
      <c r="AX25">
        <f>IF(AW25=1,COUNTIF($AW$5:AW25,1),"")</f>
        <v/>
      </c>
      <c r="AY25">
        <f>IF(AH!$M$5="Snapshot",IF(ISNUMBER(G25),G25,"unavailable"),IF(AND(ISNUMBER(K25),N(K25)&gt;0),K25,IF(AH!$M$5="Auto",IF(ISNUMBER(G25),G25,"unavailable"),"unavailable")))</f>
        <v/>
      </c>
      <c r="AZ25">
        <f>IF(AND(AH!$M$5&lt;&gt;"Snapshot",ISNUMBER(K25),N(K25)&gt;0),"Bloomberg",IF(AND(AH!$M$5&lt;&gt;"Bloomberg",ISNUMBER(G25)),"Snapshot","Unavailable"))</f>
        <v/>
      </c>
      <c r="BA25">
        <f>IF(AZ25="Bloomberg",M25,H25)</f>
        <v/>
      </c>
      <c r="BB25">
        <f>1</f>
        <v/>
      </c>
      <c r="BC25" s="15" t="n">
        <v>45.54</v>
      </c>
    </row>
    <row r="26">
      <c r="A26" s="31" t="inlineStr">
        <is>
          <t>0668</t>
        </is>
      </c>
      <c r="B26" s="15" t="inlineStr">
        <is>
          <t>ANKER</t>
        </is>
      </c>
      <c r="C26" s="15" t="inlineStr">
        <is>
          <t>Tech/AI</t>
        </is>
      </c>
      <c r="D26" s="15" t="inlineStr">
        <is>
          <t>Smart hardware / consumer electronics</t>
        </is>
      </c>
      <c r="E26" s="34" t="n">
        <v>46205</v>
      </c>
      <c r="F26" s="15" t="n">
        <v>99.31999999999999</v>
      </c>
      <c r="G26" s="15" t="n">
        <v>114</v>
      </c>
      <c r="H26" s="34" t="n">
        <v>46297</v>
      </c>
      <c r="I26" s="31" t="inlineStr">
        <is>
          <t>300866.SZ</t>
        </is>
      </c>
      <c r="J26" s="15" t="n">
        <v>58</v>
      </c>
      <c r="K26" s="15">
        <f>IF(AND(AH!$M$5="Snapshot",'IPO Live'!$M$5="Snapshot"),"",IFERROR(BDP(TEXT(VALUE($A26),"0")&amp;" HK Equity","PX_LAST"),""))</f>
        <v/>
      </c>
      <c r="L26" s="15">
        <f>IF(AND(AH!$M$5="Snapshot",'IPO Live'!$M$5="Snapshot"),"",IFERROR(BDP(TEXT(VALUE($A26),"0")&amp;" HK Equity","CHG_PCT_1D")/100,""))</f>
        <v/>
      </c>
      <c r="M26" s="15">
        <f>IF(AND(AH!$M$5="Snapshot",'IPO Live'!$M$5="Snapshot"),"",IFERROR(BDP(TEXT(VALUE($A26),"0")&amp;" HK Equity","LAST_UPDATE_DT"),""))</f>
        <v/>
      </c>
      <c r="N26" s="15">
        <f>IF(AND(AH!$M$5="Snapshot",'IPO Live'!$M$5="Snapshot"),"",IFERROR(BDP(TEXT(VALUE($A26),"0")&amp;" HK Equity","LAST_UPDATE"),""))</f>
        <v/>
      </c>
      <c r="O26" s="15">
        <f>IF('IPO Live'!$M$5="Snapshot",IF(ISNUMBER(G26),G26,"unavailable"),IF(AND(ISNUMBER(K26),N(K26)&gt;0),K26,IF('IPO Live'!$M$5="Auto",IF(ISNUMBER(G26),G26,"unavailable"),"unavailable")))</f>
        <v/>
      </c>
      <c r="P26" s="15">
        <f>IF(AND('IPO Live'!$M$5&lt;&gt;"Snapshot",ISNUMBER(K26),N(K26)&gt;0),"Bloomberg",IF(AND('IPO Live'!$M$5&lt;&gt;"Bloomberg",ISNUMBER(G26)),"Snapshot","Unavailable"))</f>
        <v/>
      </c>
      <c r="Q26" s="33">
        <f>IF(AND(P26="Bloomberg",ISNUMBER(L26)),L26,"unavailable")</f>
        <v/>
      </c>
      <c r="R26" s="15">
        <f>IF(OR('IPO Live'!$B$5="All",'IPO Live'!$B$5=C26,AND('IPO Live'!$B$5="A/H only",J26&gt;0)),1,0)</f>
        <v/>
      </c>
      <c r="S26" s="15">
        <f>IF(R26=1,COUNTIF($R$5:R26,1),"")</f>
        <v/>
      </c>
      <c r="T26">
        <f>1</f>
        <v/>
      </c>
      <c r="U26">
        <f>IF($P26="Bloomberg",$M26,$H26)</f>
        <v/>
      </c>
      <c r="V26" s="15" t="inlineStr">
        <is>
          <t>0638 | FIBOCOM</t>
        </is>
      </c>
      <c r="W26" s="15" t="inlineStr">
        <is>
          <t>FIBOCOM</t>
        </is>
      </c>
      <c r="X26" s="31" t="inlineStr">
        <is>
          <t>0638</t>
        </is>
      </c>
      <c r="Y26" s="31" t="inlineStr">
        <is>
          <t>300638.SZ</t>
        </is>
      </c>
      <c r="Z26" s="15" t="inlineStr">
        <is>
          <t>Smart hardware / consumer electronics</t>
        </is>
      </c>
      <c r="AA26" s="34" t="n">
        <v>45952</v>
      </c>
      <c r="AB26" s="15" t="n">
        <v>6.81</v>
      </c>
      <c r="AC26" s="15" t="n">
        <v>19.72</v>
      </c>
      <c r="AD26" s="15" t="n">
        <v>1.170220971107483</v>
      </c>
      <c r="AE26" s="34" t="n">
        <v>46297</v>
      </c>
      <c r="AF26" s="34" t="n">
        <v>46295</v>
      </c>
      <c r="AG26" s="34" t="n">
        <v>46297</v>
      </c>
      <c r="AH26" s="15">
        <f>IF(AND(AH!$M$5="Snapshot",'IPO Live'!$M$5="Snapshot"),"",IFERROR(BDP(LEFT($Y26,FIND(".",$Y26)-1)&amp;" CH Equity","PX_LAST"),""))</f>
        <v/>
      </c>
      <c r="AI26" s="15">
        <f>$K$88</f>
        <v/>
      </c>
      <c r="AJ26" s="15">
        <f>$B$1</f>
        <v/>
      </c>
      <c r="AK26" s="34">
        <f>IF(AND(AH!$M$5="Snapshot",'IPO Live'!$M$5="Snapshot"),"",IFERROR(BDP(LEFT($Y26,FIND(".",$Y26)-1)&amp;" CH Equity","LAST_UPDATE_DT"),""))</f>
        <v/>
      </c>
      <c r="AL26" s="15">
        <f>IF(AND(AH!$M$5="Snapshot",'IPO Live'!$M$5="Snapshot"),"",IFERROR(BDP(LEFT($Y26,FIND(".",$Y26)-1)&amp;" CH Equity","LAST_UPDATE"),""))</f>
        <v/>
      </c>
      <c r="AM26" s="15">
        <f>IF(AND(AH!$M$5&lt;&gt;"Snapshot",ISNUMBER(AH26),N(AH26)&gt;0,ISNUMBER(AI26),N(AI26)&gt;0,ISNUMBER(AJ26),N(AJ26)&gt;0),"Bloomberg",IF(AH!$M$5="Bloomberg","Unavailable",IF(AND(ISNUMBER(AB26),ISNUMBER(AC26),ISNUMBER(AD26)),"Snapshot","Unavailable")))</f>
        <v/>
      </c>
      <c r="AN26" s="15">
        <f>IF(AM26="Bloomberg",AI26,IF(AM26="Snapshot",AB26,"unavailable"))</f>
        <v/>
      </c>
      <c r="AO26" s="15">
        <f>IF(AM26="Bloomberg",AH26,IF(AM26="Snapshot",AC26,"unavailable"))</f>
        <v/>
      </c>
      <c r="AP26" s="15">
        <f>IF(AM26="Bloomberg",AJ26,IF(AM26="Snapshot",AD26,"unavailable"))</f>
        <v/>
      </c>
      <c r="AQ26" s="33">
        <f>IFERROR(IF(AND(ISNUMBER(AN26),N(AN26)&gt;0,ISNUMBER(AO26),N(AO26)&gt;0,ISNUMBER(AP26),N(AP26)&gt;0),AO26*AP26/AN26-1,"unavailable"),"unavailable")</f>
        <v/>
      </c>
      <c r="AR26" s="15" t="n">
        <v>64</v>
      </c>
      <c r="AS26" s="15" t="inlineStr">
        <is>
          <t>One raw share per class; confirm class conversion for adjusted structures</t>
        </is>
      </c>
      <c r="AT26" s="31" t="inlineStr">
        <is>
          <t>300638</t>
        </is>
      </c>
      <c r="AW26">
        <f>IF(AND(J26&gt;0,OR(AH!$I$5="All",AH!$I$5="A/H only",AH!$I$5=C26)),1,0)</f>
        <v/>
      </c>
      <c r="AX26">
        <f>IF(AW26=1,COUNTIF($AW$5:AW26,1),"")</f>
        <v/>
      </c>
      <c r="AY26">
        <f>IF(AH!$M$5="Snapshot",IF(ISNUMBER(G26),G26,"unavailable"),IF(AND(ISNUMBER(K26),N(K26)&gt;0),K26,IF(AH!$M$5="Auto",IF(ISNUMBER(G26),G26,"unavailable"),"unavailable")))</f>
        <v/>
      </c>
      <c r="AZ26">
        <f>IF(AND(AH!$M$5&lt;&gt;"Snapshot",ISNUMBER(K26),N(K26)&gt;0),"Bloomberg",IF(AND(AH!$M$5&lt;&gt;"Bloomberg",ISNUMBER(G26)),"Snapshot","Unavailable"))</f>
        <v/>
      </c>
      <c r="BA26">
        <f>IF(AZ26="Bloomberg",M26,H26)</f>
        <v/>
      </c>
      <c r="BB26">
        <f>1</f>
        <v/>
      </c>
      <c r="BC26" s="15" t="n">
        <v>18.98</v>
      </c>
    </row>
    <row r="27">
      <c r="A27" s="31" t="inlineStr">
        <is>
          <t>1191</t>
        </is>
      </c>
      <c r="B27" s="15" t="inlineStr">
        <is>
          <t>CREALIGHTS</t>
        </is>
      </c>
      <c r="C27" s="15" t="inlineStr">
        <is>
          <t>Tech/AI</t>
        </is>
      </c>
      <c r="D27" s="15" t="inlineStr">
        <is>
          <t>Smart hardware / consumer electronics</t>
        </is>
      </c>
      <c r="E27" s="34" t="n">
        <v>46202</v>
      </c>
      <c r="F27" s="15" t="n">
        <v>114</v>
      </c>
      <c r="G27" s="15" t="n">
        <v>128.3</v>
      </c>
      <c r="H27" s="34" t="n">
        <v>46297</v>
      </c>
      <c r="I27" s="31" t="n"/>
      <c r="J27" s="15" t="n">
        <v>0</v>
      </c>
      <c r="K27" s="15">
        <f>IF(AND(AH!$M$5="Snapshot",'IPO Live'!$M$5="Snapshot"),"",IFERROR(BDP(TEXT(VALUE($A27),"0")&amp;" HK Equity","PX_LAST"),""))</f>
        <v/>
      </c>
      <c r="L27" s="15">
        <f>IF(AND(AH!$M$5="Snapshot",'IPO Live'!$M$5="Snapshot"),"",IFERROR(BDP(TEXT(VALUE($A27),"0")&amp;" HK Equity","CHG_PCT_1D")/100,""))</f>
        <v/>
      </c>
      <c r="M27" s="15">
        <f>IF(AND(AH!$M$5="Snapshot",'IPO Live'!$M$5="Snapshot"),"",IFERROR(BDP(TEXT(VALUE($A27),"0")&amp;" HK Equity","LAST_UPDATE_DT"),""))</f>
        <v/>
      </c>
      <c r="N27" s="15">
        <f>IF(AND(AH!$M$5="Snapshot",'IPO Live'!$M$5="Snapshot"),"",IFERROR(BDP(TEXT(VALUE($A27),"0")&amp;" HK Equity","LAST_UPDATE"),""))</f>
        <v/>
      </c>
      <c r="O27" s="15">
        <f>IF('IPO Live'!$M$5="Snapshot",IF(ISNUMBER(G27),G27,"unavailable"),IF(AND(ISNUMBER(K27),N(K27)&gt;0),K27,IF('IPO Live'!$M$5="Auto",IF(ISNUMBER(G27),G27,"unavailable"),"unavailable")))</f>
        <v/>
      </c>
      <c r="P27" s="15">
        <f>IF(AND('IPO Live'!$M$5&lt;&gt;"Snapshot",ISNUMBER(K27),N(K27)&gt;0),"Bloomberg",IF(AND('IPO Live'!$M$5&lt;&gt;"Bloomberg",ISNUMBER(G27)),"Snapshot","Unavailable"))</f>
        <v/>
      </c>
      <c r="Q27" s="33">
        <f>IF(AND(P27="Bloomberg",ISNUMBER(L27)),L27,"unavailable")</f>
        <v/>
      </c>
      <c r="R27" s="15">
        <f>IF(OR('IPO Live'!$B$5="All",'IPO Live'!$B$5=C27,AND('IPO Live'!$B$5="A/H only",J27&gt;0)),1,0)</f>
        <v/>
      </c>
      <c r="S27" s="15">
        <f>IF(R27=1,COUNTIF($R$5:R27,1),"")</f>
        <v/>
      </c>
      <c r="T27">
        <f>1</f>
        <v/>
      </c>
      <c r="U27">
        <f>IF($P27="Bloomberg",$M27,$H27)</f>
        <v/>
      </c>
      <c r="V27" s="15" t="inlineStr">
        <is>
          <t>6031 | SANY HEAVY IND</t>
        </is>
      </c>
      <c r="W27" s="15" t="inlineStr">
        <is>
          <t>SANY HEAVY IND</t>
        </is>
      </c>
      <c r="X27" s="31" t="inlineStr">
        <is>
          <t>6031</t>
        </is>
      </c>
      <c r="Y27" s="31" t="inlineStr">
        <is>
          <t>600031.SS</t>
        </is>
      </c>
      <c r="Z27" s="15" t="inlineStr">
        <is>
          <t>Capital goods / machinery</t>
        </is>
      </c>
      <c r="AA27" s="34" t="n">
        <v>45958</v>
      </c>
      <c r="AB27" s="15" t="n">
        <v>16.98</v>
      </c>
      <c r="AC27" s="15" t="n">
        <v>17.49</v>
      </c>
      <c r="AD27" s="15" t="n">
        <v>1.170220971107483</v>
      </c>
      <c r="AE27" s="34" t="n">
        <v>46297</v>
      </c>
      <c r="AF27" s="34" t="n">
        <v>46295</v>
      </c>
      <c r="AG27" s="34" t="n">
        <v>46297</v>
      </c>
      <c r="AH27" s="15">
        <f>IF(AND(AH!$M$5="Snapshot",'IPO Live'!$M$5="Snapshot"),"",IFERROR(BDP(LEFT($Y27,FIND(".",$Y27)-1)&amp;" CH Equity","PX_LAST"),""))</f>
        <v/>
      </c>
      <c r="AI27" s="15">
        <f>$K$398</f>
        <v/>
      </c>
      <c r="AJ27" s="15">
        <f>$B$1</f>
        <v/>
      </c>
      <c r="AK27" s="34">
        <f>IF(AND(AH!$M$5="Snapshot",'IPO Live'!$M$5="Snapshot"),"",IFERROR(BDP(LEFT($Y27,FIND(".",$Y27)-1)&amp;" CH Equity","LAST_UPDATE_DT"),""))</f>
        <v/>
      </c>
      <c r="AL27" s="15">
        <f>IF(AND(AH!$M$5="Snapshot",'IPO Live'!$M$5="Snapshot"),"",IFERROR(BDP(LEFT($Y27,FIND(".",$Y27)-1)&amp;" CH Equity","LAST_UPDATE"),""))</f>
        <v/>
      </c>
      <c r="AM27" s="15">
        <f>IF(AND(AH!$M$5&lt;&gt;"Snapshot",ISNUMBER(AH27),N(AH27)&gt;0,ISNUMBER(AI27),N(AI27)&gt;0,ISNUMBER(AJ27),N(AJ27)&gt;0),"Bloomberg",IF(AH!$M$5="Bloomberg","Unavailable",IF(AND(ISNUMBER(AB27),ISNUMBER(AC27),ISNUMBER(AD27)),"Snapshot","Unavailable")))</f>
        <v/>
      </c>
      <c r="AN27" s="15">
        <f>IF(AM27="Bloomberg",AI27,IF(AM27="Snapshot",AB27,"unavailable"))</f>
        <v/>
      </c>
      <c r="AO27" s="15">
        <f>IF(AM27="Bloomberg",AH27,IF(AM27="Snapshot",AC27,"unavailable"))</f>
        <v/>
      </c>
      <c r="AP27" s="15">
        <f>IF(AM27="Bloomberg",AJ27,IF(AM27="Snapshot",AD27,"unavailable"))</f>
        <v/>
      </c>
      <c r="AQ27" s="33">
        <f>IFERROR(IF(AND(ISNUMBER(AN27),N(AN27)&gt;0,ISNUMBER(AO27),N(AO27)&gt;0,ISNUMBER(AP27),N(AP27)&gt;0),AO27*AP27/AN27-1,"unavailable"),"unavailable")</f>
        <v/>
      </c>
      <c r="AR27" s="15" t="n">
        <v>67</v>
      </c>
      <c r="AS27" s="15" t="inlineStr">
        <is>
          <t>One raw share per class; confirm class conversion for adjusted structures</t>
        </is>
      </c>
      <c r="AT27" s="31" t="inlineStr">
        <is>
          <t>600031</t>
        </is>
      </c>
      <c r="AW27">
        <f>IF(AND(J27&gt;0,OR(AH!$I$5="All",AH!$I$5="A/H only",AH!$I$5=C27)),1,0)</f>
        <v/>
      </c>
      <c r="AX27">
        <f>IF(AW27=1,COUNTIF($AW$5:AW27,1),"")</f>
        <v/>
      </c>
      <c r="AY27">
        <f>IF(AH!$M$5="Snapshot",IF(ISNUMBER(G27),G27,"unavailable"),IF(AND(ISNUMBER(K27),N(K27)&gt;0),K27,IF(AH!$M$5="Auto",IF(ISNUMBER(G27),G27,"unavailable"),"unavailable")))</f>
        <v/>
      </c>
      <c r="AZ27">
        <f>IF(AND(AH!$M$5&lt;&gt;"Snapshot",ISNUMBER(K27),N(K27)&gt;0),"Bloomberg",IF(AND(AH!$M$5&lt;&gt;"Bloomberg",ISNUMBER(G27)),"Snapshot","Unavailable"))</f>
        <v/>
      </c>
      <c r="BA27">
        <f>IF(AZ27="Bloomberg",M27,H27)</f>
        <v/>
      </c>
      <c r="BB27">
        <f>1</f>
        <v/>
      </c>
      <c r="BC27" s="15" t="n">
        <v>21.9</v>
      </c>
    </row>
    <row r="28">
      <c r="A28" s="31" t="inlineStr">
        <is>
          <t>2272</t>
        </is>
      </c>
      <c r="B28" s="15" t="inlineStr">
        <is>
          <t>KEYTOP PARKING</t>
        </is>
      </c>
      <c r="C28" s="15" t="inlineStr">
        <is>
          <t>Tech/AI</t>
        </is>
      </c>
      <c r="D28" s="15" t="inlineStr">
        <is>
          <t>SaaS / enterprise software</t>
        </is>
      </c>
      <c r="E28" s="34" t="n">
        <v>46199</v>
      </c>
      <c r="F28" s="15" t="n">
        <v>39.55</v>
      </c>
      <c r="G28" s="15" t="n">
        <v>56.3</v>
      </c>
      <c r="H28" s="34" t="n">
        <v>46297</v>
      </c>
      <c r="I28" s="31" t="n"/>
      <c r="J28" s="15" t="n">
        <v>0</v>
      </c>
      <c r="K28" s="15">
        <f>IF(AND(AH!$M$5="Snapshot",'IPO Live'!$M$5="Snapshot"),"",IFERROR(BDP(TEXT(VALUE($A28),"0")&amp;" HK Equity","PX_LAST"),""))</f>
        <v/>
      </c>
      <c r="L28" s="15">
        <f>IF(AND(AH!$M$5="Snapshot",'IPO Live'!$M$5="Snapshot"),"",IFERROR(BDP(TEXT(VALUE($A28),"0")&amp;" HK Equity","CHG_PCT_1D")/100,""))</f>
        <v/>
      </c>
      <c r="M28" s="15">
        <f>IF(AND(AH!$M$5="Snapshot",'IPO Live'!$M$5="Snapshot"),"",IFERROR(BDP(TEXT(VALUE($A28),"0")&amp;" HK Equity","LAST_UPDATE_DT"),""))</f>
        <v/>
      </c>
      <c r="N28" s="15">
        <f>IF(AND(AH!$M$5="Snapshot",'IPO Live'!$M$5="Snapshot"),"",IFERROR(BDP(TEXT(VALUE($A28),"0")&amp;" HK Equity","LAST_UPDATE"),""))</f>
        <v/>
      </c>
      <c r="O28" s="15">
        <f>IF('IPO Live'!$M$5="Snapshot",IF(ISNUMBER(G28),G28,"unavailable"),IF(AND(ISNUMBER(K28),N(K28)&gt;0),K28,IF('IPO Live'!$M$5="Auto",IF(ISNUMBER(G28),G28,"unavailable"),"unavailable")))</f>
        <v/>
      </c>
      <c r="P28" s="15">
        <f>IF(AND('IPO Live'!$M$5&lt;&gt;"Snapshot",ISNUMBER(K28),N(K28)&gt;0),"Bloomberg",IF(AND('IPO Live'!$M$5&lt;&gt;"Bloomberg",ISNUMBER(G28)),"Snapshot","Unavailable"))</f>
        <v/>
      </c>
      <c r="Q28" s="33">
        <f>IF(AND(P28="Bloomberg",ISNUMBER(L28)),L28,"unavailable")</f>
        <v/>
      </c>
      <c r="R28" s="15">
        <f>IF(OR('IPO Live'!$B$5="All",'IPO Live'!$B$5=C28,AND('IPO Live'!$B$5="A/H only",J28&gt;0)),1,0)</f>
        <v/>
      </c>
      <c r="S28" s="15">
        <f>IF(R28=1,COUNTIF($R$5:R28,1),"")</f>
        <v/>
      </c>
      <c r="T28">
        <f>1</f>
        <v/>
      </c>
      <c r="U28">
        <f>IF($P28="Bloomberg",$M28,$H28)</f>
        <v/>
      </c>
      <c r="V28" s="15" t="inlineStr">
        <is>
          <t>6166 | CIG</t>
        </is>
      </c>
      <c r="W28" s="15" t="inlineStr">
        <is>
          <t>CIG</t>
        </is>
      </c>
      <c r="X28" s="31" t="inlineStr">
        <is>
          <t>6166</t>
        </is>
      </c>
      <c r="Y28" s="31" t="inlineStr">
        <is>
          <t>603083.SS</t>
        </is>
      </c>
      <c r="Z28" s="15" t="inlineStr">
        <is>
          <t>Smart hardware / consumer electronics</t>
        </is>
      </c>
      <c r="AA28" s="34" t="n">
        <v>45958</v>
      </c>
      <c r="AB28" s="15" t="n">
        <v>112.8</v>
      </c>
      <c r="AC28" s="15" t="n">
        <v>205.45</v>
      </c>
      <c r="AD28" s="15" t="n">
        <v>1.170220971107483</v>
      </c>
      <c r="AE28" s="34" t="n">
        <v>46297</v>
      </c>
      <c r="AF28" s="34" t="n">
        <v>46295</v>
      </c>
      <c r="AG28" s="34" t="n">
        <v>46297</v>
      </c>
      <c r="AH28" s="15">
        <f>IF(AND(AH!$M$5="Snapshot",'IPO Live'!$M$5="Snapshot"),"",IFERROR(BDP(LEFT($Y28,FIND(".",$Y28)-1)&amp;" CH Equity","PX_LAST"),""))</f>
        <v/>
      </c>
      <c r="AI28" s="15">
        <f>$K$87</f>
        <v/>
      </c>
      <c r="AJ28" s="15">
        <f>$B$1</f>
        <v/>
      </c>
      <c r="AK28" s="34">
        <f>IF(AND(AH!$M$5="Snapshot",'IPO Live'!$M$5="Snapshot"),"",IFERROR(BDP(LEFT($Y28,FIND(".",$Y28)-1)&amp;" CH Equity","LAST_UPDATE_DT"),""))</f>
        <v/>
      </c>
      <c r="AL28" s="15">
        <f>IF(AND(AH!$M$5="Snapshot",'IPO Live'!$M$5="Snapshot"),"",IFERROR(BDP(LEFT($Y28,FIND(".",$Y28)-1)&amp;" CH Equity","LAST_UPDATE"),""))</f>
        <v/>
      </c>
      <c r="AM28" s="15">
        <f>IF(AND(AH!$M$5&lt;&gt;"Snapshot",ISNUMBER(AH28),N(AH28)&gt;0,ISNUMBER(AI28),N(AI28)&gt;0,ISNUMBER(AJ28),N(AJ28)&gt;0),"Bloomberg",IF(AH!$M$5="Bloomberg","Unavailable",IF(AND(ISNUMBER(AB28),ISNUMBER(AC28),ISNUMBER(AD28)),"Snapshot","Unavailable")))</f>
        <v/>
      </c>
      <c r="AN28" s="15">
        <f>IF(AM28="Bloomberg",AI28,IF(AM28="Snapshot",AB28,"unavailable"))</f>
        <v/>
      </c>
      <c r="AO28" s="15">
        <f>IF(AM28="Bloomberg",AH28,IF(AM28="Snapshot",AC28,"unavailable"))</f>
        <v/>
      </c>
      <c r="AP28" s="15">
        <f>IF(AM28="Bloomberg",AJ28,IF(AM28="Snapshot",AD28,"unavailable"))</f>
        <v/>
      </c>
      <c r="AQ28" s="33">
        <f>IFERROR(IF(AND(ISNUMBER(AN28),N(AN28)&gt;0,ISNUMBER(AO28),N(AO28)&gt;0,ISNUMBER(AP28),N(AP28)&gt;0),AO28*AP28/AN28-1,"unavailable"),"unavailable")</f>
        <v/>
      </c>
      <c r="AR28" s="15" t="n">
        <v>70</v>
      </c>
      <c r="AS28" s="15" t="inlineStr">
        <is>
          <t>One raw share per class; confirm class conversion for adjusted structures</t>
        </is>
      </c>
      <c r="AT28" s="31" t="inlineStr">
        <is>
          <t>603083</t>
        </is>
      </c>
      <c r="AW28">
        <f>IF(AND(J28&gt;0,OR(AH!$I$5="All",AH!$I$5="A/H only",AH!$I$5=C28)),1,0)</f>
        <v/>
      </c>
      <c r="AX28">
        <f>IF(AW28=1,COUNTIF($AW$5:AW28,1),"")</f>
        <v/>
      </c>
      <c r="AY28">
        <f>IF(AH!$M$5="Snapshot",IF(ISNUMBER(G28),G28,"unavailable"),IF(AND(ISNUMBER(K28),N(K28)&gt;0),K28,IF(AH!$M$5="Auto",IF(ISNUMBER(G28),G28,"unavailable"),"unavailable")))</f>
        <v/>
      </c>
      <c r="AZ28">
        <f>IF(AND(AH!$M$5&lt;&gt;"Snapshot",ISNUMBER(K28),N(K28)&gt;0),"Bloomberg",IF(AND(AH!$M$5&lt;&gt;"Bloomberg",ISNUMBER(G28)),"Snapshot","Unavailable"))</f>
        <v/>
      </c>
      <c r="BA28">
        <f>IF(AZ28="Bloomberg",M28,H28)</f>
        <v/>
      </c>
      <c r="BB28">
        <f>1</f>
        <v/>
      </c>
      <c r="BC28" s="15" t="n">
        <v>92.2</v>
      </c>
    </row>
    <row r="29">
      <c r="A29" s="31" t="inlineStr">
        <is>
          <t>1956</t>
        </is>
      </c>
      <c r="B29" s="15" t="inlineStr">
        <is>
          <t>WENGE AI</t>
        </is>
      </c>
      <c r="C29" s="15" t="inlineStr">
        <is>
          <t>Tech/AI</t>
        </is>
      </c>
      <c r="D29" s="15" t="inlineStr">
        <is>
          <t>AI application / agent software</t>
        </is>
      </c>
      <c r="E29" s="34" t="n">
        <v>46199</v>
      </c>
      <c r="F29" s="15" t="n">
        <v>60.7</v>
      </c>
      <c r="G29" s="15" t="n">
        <v>68.55</v>
      </c>
      <c r="H29" s="34" t="n">
        <v>46297</v>
      </c>
      <c r="I29" s="31" t="n"/>
      <c r="J29" s="15" t="n">
        <v>0</v>
      </c>
      <c r="K29" s="15">
        <f>IF(AND(AH!$M$5="Snapshot",'IPO Live'!$M$5="Snapshot"),"",IFERROR(BDP(TEXT(VALUE($A29),"0")&amp;" HK Equity","PX_LAST"),""))</f>
        <v/>
      </c>
      <c r="L29" s="15">
        <f>IF(AND(AH!$M$5="Snapshot",'IPO Live'!$M$5="Snapshot"),"",IFERROR(BDP(TEXT(VALUE($A29),"0")&amp;" HK Equity","CHG_PCT_1D")/100,""))</f>
        <v/>
      </c>
      <c r="M29" s="15">
        <f>IF(AND(AH!$M$5="Snapshot",'IPO Live'!$M$5="Snapshot"),"",IFERROR(BDP(TEXT(VALUE($A29),"0")&amp;" HK Equity","LAST_UPDATE_DT"),""))</f>
        <v/>
      </c>
      <c r="N29" s="15">
        <f>IF(AND(AH!$M$5="Snapshot",'IPO Live'!$M$5="Snapshot"),"",IFERROR(BDP(TEXT(VALUE($A29),"0")&amp;" HK Equity","LAST_UPDATE"),""))</f>
        <v/>
      </c>
      <c r="O29" s="15">
        <f>IF('IPO Live'!$M$5="Snapshot",IF(ISNUMBER(G29),G29,"unavailable"),IF(AND(ISNUMBER(K29),N(K29)&gt;0),K29,IF('IPO Live'!$M$5="Auto",IF(ISNUMBER(G29),G29,"unavailable"),"unavailable")))</f>
        <v/>
      </c>
      <c r="P29" s="15">
        <f>IF(AND('IPO Live'!$M$5&lt;&gt;"Snapshot",ISNUMBER(K29),N(K29)&gt;0),"Bloomberg",IF(AND('IPO Live'!$M$5&lt;&gt;"Bloomberg",ISNUMBER(G29)),"Snapshot","Unavailable"))</f>
        <v/>
      </c>
      <c r="Q29" s="33">
        <f>IF(AND(P29="Bloomberg",ISNUMBER(L29)),L29,"unavailable")</f>
        <v/>
      </c>
      <c r="R29" s="15">
        <f>IF(OR('IPO Live'!$B$5="All",'IPO Live'!$B$5=C29,AND('IPO Live'!$B$5="A/H only",J29&gt;0)),1,0)</f>
        <v/>
      </c>
      <c r="S29" s="15">
        <f>IF(R29=1,COUNTIF($R$5:R29,1),"")</f>
        <v/>
      </c>
      <c r="T29">
        <f>1</f>
        <v/>
      </c>
      <c r="U29">
        <f>IF($P29="Bloomberg",$M29,$H29)</f>
        <v/>
      </c>
      <c r="V29" s="15" t="inlineStr">
        <is>
          <t>9927 | SERES</t>
        </is>
      </c>
      <c r="W29" s="15" t="inlineStr">
        <is>
          <t>SERES</t>
        </is>
      </c>
      <c r="X29" s="31" t="inlineStr">
        <is>
          <t>9927</t>
        </is>
      </c>
      <c r="Y29" s="31" t="inlineStr">
        <is>
          <t>601127.SS</t>
        </is>
      </c>
      <c r="Z29" s="15" t="inlineStr">
        <is>
          <t>Autos (NEV OEM)</t>
        </is>
      </c>
      <c r="AA29" s="34" t="n">
        <v>45966</v>
      </c>
      <c r="AB29" s="15" t="n">
        <v>37.34</v>
      </c>
      <c r="AC29" s="15" t="n">
        <v>46.94</v>
      </c>
      <c r="AD29" s="15" t="n">
        <v>1.170220971107483</v>
      </c>
      <c r="AE29" s="34" t="n">
        <v>46297</v>
      </c>
      <c r="AF29" s="34" t="n">
        <v>46295</v>
      </c>
      <c r="AG29" s="34" t="n">
        <v>46297</v>
      </c>
      <c r="AH29" s="15">
        <f>IF(AND(AH!$M$5="Snapshot",'IPO Live'!$M$5="Snapshot"),"",IFERROR(BDP(LEFT($Y29,FIND(".",$Y29)-1)&amp;" CH Equity","PX_LAST"),""))</f>
        <v/>
      </c>
      <c r="AI29" s="15">
        <f>$K$304</f>
        <v/>
      </c>
      <c r="AJ29" s="15">
        <f>$B$1</f>
        <v/>
      </c>
      <c r="AK29" s="34">
        <f>IF(AND(AH!$M$5="Snapshot",'IPO Live'!$M$5="Snapshot"),"",IFERROR(BDP(LEFT($Y29,FIND(".",$Y29)-1)&amp;" CH Equity","LAST_UPDATE_DT"),""))</f>
        <v/>
      </c>
      <c r="AL29" s="15">
        <f>IF(AND(AH!$M$5="Snapshot",'IPO Live'!$M$5="Snapshot"),"",IFERROR(BDP(LEFT($Y29,FIND(".",$Y29)-1)&amp;" CH Equity","LAST_UPDATE"),""))</f>
        <v/>
      </c>
      <c r="AM29" s="15">
        <f>IF(AND(AH!$M$5&lt;&gt;"Snapshot",ISNUMBER(AH29),N(AH29)&gt;0,ISNUMBER(AI29),N(AI29)&gt;0,ISNUMBER(AJ29),N(AJ29)&gt;0),"Bloomberg",IF(AH!$M$5="Bloomberg","Unavailable",IF(AND(ISNUMBER(AB29),ISNUMBER(AC29),ISNUMBER(AD29)),"Snapshot","Unavailable")))</f>
        <v/>
      </c>
      <c r="AN29" s="15">
        <f>IF(AM29="Bloomberg",AI29,IF(AM29="Snapshot",AB29,"unavailable"))</f>
        <v/>
      </c>
      <c r="AO29" s="15">
        <f>IF(AM29="Bloomberg",AH29,IF(AM29="Snapshot",AC29,"unavailable"))</f>
        <v/>
      </c>
      <c r="AP29" s="15">
        <f>IF(AM29="Bloomberg",AJ29,IF(AM29="Snapshot",AD29,"unavailable"))</f>
        <v/>
      </c>
      <c r="AQ29" s="33">
        <f>IFERROR(IF(AND(ISNUMBER(AN29),N(AN29)&gt;0,ISNUMBER(AO29),N(AO29)&gt;0,ISNUMBER(AP29),N(AP29)&gt;0),AO29*AP29/AN29-1,"unavailable"),"unavailable")</f>
        <v/>
      </c>
      <c r="AR29" s="15" t="n">
        <v>73</v>
      </c>
      <c r="AS29" s="15" t="inlineStr">
        <is>
          <t>One raw share per class; confirm class conversion for adjusted structures</t>
        </is>
      </c>
      <c r="AT29" s="31" t="inlineStr">
        <is>
          <t>601127</t>
        </is>
      </c>
      <c r="AW29">
        <f>IF(AND(J29&gt;0,OR(AH!$I$5="All",AH!$I$5="A/H only",AH!$I$5=C29)),1,0)</f>
        <v/>
      </c>
      <c r="AX29">
        <f>IF(AW29=1,COUNTIF($AW$5:AW29,1),"")</f>
        <v/>
      </c>
      <c r="AY29">
        <f>IF(AH!$M$5="Snapshot",IF(ISNUMBER(G29),G29,"unavailable"),IF(AND(ISNUMBER(K29),N(K29)&gt;0),K29,IF(AH!$M$5="Auto",IF(ISNUMBER(G29),G29,"unavailable"),"unavailable")))</f>
        <v/>
      </c>
      <c r="AZ29">
        <f>IF(AND(AH!$M$5&lt;&gt;"Snapshot",ISNUMBER(K29),N(K29)&gt;0),"Bloomberg",IF(AND(AH!$M$5&lt;&gt;"Bloomberg",ISNUMBER(G29)),"Snapshot","Unavailable"))</f>
        <v/>
      </c>
      <c r="BA29">
        <f>IF(AZ29="Bloomberg",M29,H29)</f>
        <v/>
      </c>
      <c r="BB29">
        <f>1</f>
        <v/>
      </c>
      <c r="BC29" s="15" t="n">
        <v>131.5</v>
      </c>
    </row>
    <row r="30">
      <c r="A30" s="31" t="inlineStr">
        <is>
          <t>3661</t>
        </is>
      </c>
      <c r="B30" s="15" t="inlineStr">
        <is>
          <t>SG MICRO</t>
        </is>
      </c>
      <c r="C30" s="15" t="inlineStr">
        <is>
          <t>Tech/AI</t>
        </is>
      </c>
      <c r="D30" s="15" t="inlineStr">
        <is>
          <t>Analog / power semiconductors</t>
        </is>
      </c>
      <c r="E30" s="34" t="n">
        <v>46199</v>
      </c>
      <c r="F30" s="15" t="n">
        <v>85.2</v>
      </c>
      <c r="G30" s="15" t="n">
        <v>83.84999999999999</v>
      </c>
      <c r="H30" s="34" t="n">
        <v>46297</v>
      </c>
      <c r="I30" s="31" t="inlineStr">
        <is>
          <t>300661.SZ</t>
        </is>
      </c>
      <c r="J30" s="15" t="n">
        <v>55</v>
      </c>
      <c r="K30" s="15">
        <f>IF(AND(AH!$M$5="Snapshot",'IPO Live'!$M$5="Snapshot"),"",IFERROR(BDP(TEXT(VALUE($A30),"0")&amp;" HK Equity","PX_LAST"),""))</f>
        <v/>
      </c>
      <c r="L30" s="15">
        <f>IF(AND(AH!$M$5="Snapshot",'IPO Live'!$M$5="Snapshot"),"",IFERROR(BDP(TEXT(VALUE($A30),"0")&amp;" HK Equity","CHG_PCT_1D")/100,""))</f>
        <v/>
      </c>
      <c r="M30" s="15">
        <f>IF(AND(AH!$M$5="Snapshot",'IPO Live'!$M$5="Snapshot"),"",IFERROR(BDP(TEXT(VALUE($A30),"0")&amp;" HK Equity","LAST_UPDATE_DT"),""))</f>
        <v/>
      </c>
      <c r="N30" s="15">
        <f>IF(AND(AH!$M$5="Snapshot",'IPO Live'!$M$5="Snapshot"),"",IFERROR(BDP(TEXT(VALUE($A30),"0")&amp;" HK Equity","LAST_UPDATE"),""))</f>
        <v/>
      </c>
      <c r="O30" s="15">
        <f>IF('IPO Live'!$M$5="Snapshot",IF(ISNUMBER(G30),G30,"unavailable"),IF(AND(ISNUMBER(K30),N(K30)&gt;0),K30,IF('IPO Live'!$M$5="Auto",IF(ISNUMBER(G30),G30,"unavailable"),"unavailable")))</f>
        <v/>
      </c>
      <c r="P30" s="15">
        <f>IF(AND('IPO Live'!$M$5&lt;&gt;"Snapshot",ISNUMBER(K30),N(K30)&gt;0),"Bloomberg",IF(AND('IPO Live'!$M$5&lt;&gt;"Bloomberg",ISNUMBER(G30)),"Snapshot","Unavailable"))</f>
        <v/>
      </c>
      <c r="Q30" s="33">
        <f>IF(AND(P30="Bloomberg",ISNUMBER(L30)),L30,"unavailable")</f>
        <v/>
      </c>
      <c r="R30" s="15">
        <f>IF(OR('IPO Live'!$B$5="All",'IPO Live'!$B$5=C30,AND('IPO Live'!$B$5="A/H only",J30&gt;0)),1,0)</f>
        <v/>
      </c>
      <c r="S30" s="15">
        <f>IF(R30=1,COUNTIF($R$5:R30,1),"")</f>
        <v/>
      </c>
      <c r="T30">
        <f>1</f>
        <v/>
      </c>
      <c r="U30">
        <f>IF($P30="Bloomberg",$M30,$H30)</f>
        <v/>
      </c>
      <c r="V30" s="15" t="inlineStr">
        <is>
          <t>0699 | JOYSON ELEC</t>
        </is>
      </c>
      <c r="W30" s="15" t="inlineStr">
        <is>
          <t>JOYSON ELEC</t>
        </is>
      </c>
      <c r="X30" s="31" t="inlineStr">
        <is>
          <t>0699</t>
        </is>
      </c>
      <c r="Y30" s="31" t="inlineStr">
        <is>
          <t>600699.SS</t>
        </is>
      </c>
      <c r="Z30" s="15" t="inlineStr">
        <is>
          <t>Auto parts / supply chain</t>
        </is>
      </c>
      <c r="AA30" s="34" t="n">
        <v>45967</v>
      </c>
      <c r="AB30" s="15" t="n">
        <v>12.19</v>
      </c>
      <c r="AC30" s="15" t="n">
        <v>23.46</v>
      </c>
      <c r="AD30" s="15" t="n">
        <v>1.170220971107483</v>
      </c>
      <c r="AE30" s="34" t="n">
        <v>46297</v>
      </c>
      <c r="AF30" s="34" t="n">
        <v>46295</v>
      </c>
      <c r="AG30" s="34" t="n">
        <v>46297</v>
      </c>
      <c r="AH30" s="15">
        <f>IF(AND(AH!$M$5="Snapshot",'IPO Live'!$M$5="Snapshot"),"",IFERROR(BDP(LEFT($Y30,FIND(".",$Y30)-1)&amp;" CH Equity","PX_LAST"),""))</f>
        <v/>
      </c>
      <c r="AI30" s="15">
        <f>$K$303</f>
        <v/>
      </c>
      <c r="AJ30" s="15">
        <f>$B$1</f>
        <v/>
      </c>
      <c r="AK30" s="34">
        <f>IF(AND(AH!$M$5="Snapshot",'IPO Live'!$M$5="Snapshot"),"",IFERROR(BDP(LEFT($Y30,FIND(".",$Y30)-1)&amp;" CH Equity","LAST_UPDATE_DT"),""))</f>
        <v/>
      </c>
      <c r="AL30" s="15">
        <f>IF(AND(AH!$M$5="Snapshot",'IPO Live'!$M$5="Snapshot"),"",IFERROR(BDP(LEFT($Y30,FIND(".",$Y30)-1)&amp;" CH Equity","LAST_UPDATE"),""))</f>
        <v/>
      </c>
      <c r="AM30" s="15">
        <f>IF(AND(AH!$M$5&lt;&gt;"Snapshot",ISNUMBER(AH30),N(AH30)&gt;0,ISNUMBER(AI30),N(AI30)&gt;0,ISNUMBER(AJ30),N(AJ30)&gt;0),"Bloomberg",IF(AH!$M$5="Bloomberg","Unavailable",IF(AND(ISNUMBER(AB30),ISNUMBER(AC30),ISNUMBER(AD30)),"Snapshot","Unavailable")))</f>
        <v/>
      </c>
      <c r="AN30" s="15">
        <f>IF(AM30="Bloomberg",AI30,IF(AM30="Snapshot",AB30,"unavailable"))</f>
        <v/>
      </c>
      <c r="AO30" s="15">
        <f>IF(AM30="Bloomberg",AH30,IF(AM30="Snapshot",AC30,"unavailable"))</f>
        <v/>
      </c>
      <c r="AP30" s="15">
        <f>IF(AM30="Bloomberg",AJ30,IF(AM30="Snapshot",AD30,"unavailable"))</f>
        <v/>
      </c>
      <c r="AQ30" s="33">
        <f>IFERROR(IF(AND(ISNUMBER(AN30),N(AN30)&gt;0,ISNUMBER(AO30),N(AO30)&gt;0,ISNUMBER(AP30),N(AP30)&gt;0),AO30*AP30/AN30-1,"unavailable"),"unavailable")</f>
        <v/>
      </c>
      <c r="AR30" s="15" t="n">
        <v>76</v>
      </c>
      <c r="AS30" s="15" t="inlineStr">
        <is>
          <t>One raw share per class; confirm class conversion for adjusted structures</t>
        </is>
      </c>
      <c r="AT30" s="31" t="inlineStr">
        <is>
          <t>600699</t>
        </is>
      </c>
      <c r="AW30">
        <f>IF(AND(J30&gt;0,OR(AH!$I$5="All",AH!$I$5="A/H only",AH!$I$5=C30)),1,0)</f>
        <v/>
      </c>
      <c r="AX30">
        <f>IF(AW30=1,COUNTIF($AW$5:AW30,1),"")</f>
        <v/>
      </c>
      <c r="AY30">
        <f>IF(AH!$M$5="Snapshot",IF(ISNUMBER(G30),G30,"unavailable"),IF(AND(ISNUMBER(K30),N(K30)&gt;0),K30,IF(AH!$M$5="Auto",IF(ISNUMBER(G30),G30,"unavailable"),"unavailable")))</f>
        <v/>
      </c>
      <c r="AZ30">
        <f>IF(AND(AH!$M$5&lt;&gt;"Snapshot",ISNUMBER(K30),N(K30)&gt;0),"Bloomberg",IF(AND(AH!$M$5&lt;&gt;"Bloomberg",ISNUMBER(G30)),"Snapshot","Unavailable"))</f>
        <v/>
      </c>
      <c r="BA30">
        <f>IF(AZ30="Bloomberg",M30,H30)</f>
        <v/>
      </c>
      <c r="BB30">
        <f>1</f>
        <v/>
      </c>
      <c r="BC30" s="15" t="n">
        <v>20.24</v>
      </c>
    </row>
    <row r="31">
      <c r="A31" s="31" t="inlineStr">
        <is>
          <t>1688</t>
        </is>
      </c>
      <c r="B31" s="15" t="inlineStr">
        <is>
          <t>LINGYI ITECH</t>
        </is>
      </c>
      <c r="C31" s="15" t="inlineStr">
        <is>
          <t>Tech/AI</t>
        </is>
      </c>
      <c r="D31" s="15" t="inlineStr">
        <is>
          <t>Smart hardware / consumer electronics</t>
        </is>
      </c>
      <c r="E31" s="34" t="n">
        <v>46199</v>
      </c>
      <c r="F31" s="15" t="n">
        <v>10.18</v>
      </c>
      <c r="G31" s="15" t="n">
        <v>5.47</v>
      </c>
      <c r="H31" s="34" t="n">
        <v>46297</v>
      </c>
      <c r="I31" s="31" t="inlineStr">
        <is>
          <t>002600.SZ</t>
        </is>
      </c>
      <c r="J31" s="15" t="n">
        <v>56</v>
      </c>
      <c r="K31" s="15">
        <f>IF(AND(AH!$M$5="Snapshot",'IPO Live'!$M$5="Snapshot"),"",IFERROR(BDP(TEXT(VALUE($A31),"0")&amp;" HK Equity","PX_LAST"),""))</f>
        <v/>
      </c>
      <c r="L31" s="15">
        <f>IF(AND(AH!$M$5="Snapshot",'IPO Live'!$M$5="Snapshot"),"",IFERROR(BDP(TEXT(VALUE($A31),"0")&amp;" HK Equity","CHG_PCT_1D")/100,""))</f>
        <v/>
      </c>
      <c r="M31" s="15">
        <f>IF(AND(AH!$M$5="Snapshot",'IPO Live'!$M$5="Snapshot"),"",IFERROR(BDP(TEXT(VALUE($A31),"0")&amp;" HK Equity","LAST_UPDATE_DT"),""))</f>
        <v/>
      </c>
      <c r="N31" s="15">
        <f>IF(AND(AH!$M$5="Snapshot",'IPO Live'!$M$5="Snapshot"),"",IFERROR(BDP(TEXT(VALUE($A31),"0")&amp;" HK Equity","LAST_UPDATE"),""))</f>
        <v/>
      </c>
      <c r="O31" s="15">
        <f>IF('IPO Live'!$M$5="Snapshot",IF(ISNUMBER(G31),G31,"unavailable"),IF(AND(ISNUMBER(K31),N(K31)&gt;0),K31,IF('IPO Live'!$M$5="Auto",IF(ISNUMBER(G31),G31,"unavailable"),"unavailable")))</f>
        <v/>
      </c>
      <c r="P31" s="15">
        <f>IF(AND('IPO Live'!$M$5&lt;&gt;"Snapshot",ISNUMBER(K31),N(K31)&gt;0),"Bloomberg",IF(AND('IPO Live'!$M$5&lt;&gt;"Bloomberg",ISNUMBER(G31)),"Snapshot","Unavailable"))</f>
        <v/>
      </c>
      <c r="Q31" s="33">
        <f>IF(AND(P31="Bloomberg",ISNUMBER(L31)),L31,"unavailable")</f>
        <v/>
      </c>
      <c r="R31" s="15">
        <f>IF(OR('IPO Live'!$B$5="All",'IPO Live'!$B$5=C31,AND('IPO Live'!$B$5="A/H only",J31&gt;0)),1,0)</f>
        <v/>
      </c>
      <c r="S31" s="15">
        <f>IF(R31=1,COUNTIF($R$5:R31,1),"")</f>
        <v/>
      </c>
      <c r="T31">
        <f>1</f>
        <v/>
      </c>
      <c r="U31">
        <f>IF($P31="Bloomberg",$M31,$H31)</f>
        <v/>
      </c>
      <c r="V31" s="15" t="inlineStr">
        <is>
          <t>2579 | CNGR</t>
        </is>
      </c>
      <c r="W31" s="15" t="inlineStr">
        <is>
          <t>CNGR</t>
        </is>
      </c>
      <c r="X31" s="31" t="inlineStr">
        <is>
          <t>2579</t>
        </is>
      </c>
      <c r="Y31" s="31" t="inlineStr">
        <is>
          <t>300919.SZ</t>
        </is>
      </c>
      <c r="Z31" s="15" t="inlineStr">
        <is>
          <t>Batteries / energy storage</t>
        </is>
      </c>
      <c r="AA31" s="34" t="n">
        <v>45978</v>
      </c>
      <c r="AB31" s="15" t="n">
        <v>20.7</v>
      </c>
      <c r="AC31" s="15" t="n">
        <v>37.24</v>
      </c>
      <c r="AD31" s="15" t="n">
        <v>1.170220971107483</v>
      </c>
      <c r="AE31" s="34" t="n">
        <v>46297</v>
      </c>
      <c r="AF31" s="34" t="n">
        <v>46295</v>
      </c>
      <c r="AG31" s="34" t="n">
        <v>46297</v>
      </c>
      <c r="AH31" s="15">
        <f>IF(AND(AH!$M$5="Snapshot",'IPO Live'!$M$5="Snapshot"),"",IFERROR(BDP(LEFT($Y31,FIND(".",$Y31)-1)&amp;" CH Equity","PX_LAST"),""))</f>
        <v/>
      </c>
      <c r="AI31" s="15">
        <f>$K$397</f>
        <v/>
      </c>
      <c r="AJ31" s="15">
        <f>$B$1</f>
        <v/>
      </c>
      <c r="AK31" s="34">
        <f>IF(AND(AH!$M$5="Snapshot",'IPO Live'!$M$5="Snapshot"),"",IFERROR(BDP(LEFT($Y31,FIND(".",$Y31)-1)&amp;" CH Equity","LAST_UPDATE_DT"),""))</f>
        <v/>
      </c>
      <c r="AL31" s="15">
        <f>IF(AND(AH!$M$5="Snapshot",'IPO Live'!$M$5="Snapshot"),"",IFERROR(BDP(LEFT($Y31,FIND(".",$Y31)-1)&amp;" CH Equity","LAST_UPDATE"),""))</f>
        <v/>
      </c>
      <c r="AM31" s="15">
        <f>IF(AND(AH!$M$5&lt;&gt;"Snapshot",ISNUMBER(AH31),N(AH31)&gt;0,ISNUMBER(AI31),N(AI31)&gt;0,ISNUMBER(AJ31),N(AJ31)&gt;0),"Bloomberg",IF(AH!$M$5="Bloomberg","Unavailable",IF(AND(ISNUMBER(AB31),ISNUMBER(AC31),ISNUMBER(AD31)),"Snapshot","Unavailable")))</f>
        <v/>
      </c>
      <c r="AN31" s="15">
        <f>IF(AM31="Bloomberg",AI31,IF(AM31="Snapshot",AB31,"unavailable"))</f>
        <v/>
      </c>
      <c r="AO31" s="15">
        <f>IF(AM31="Bloomberg",AH31,IF(AM31="Snapshot",AC31,"unavailable"))</f>
        <v/>
      </c>
      <c r="AP31" s="15">
        <f>IF(AM31="Bloomberg",AJ31,IF(AM31="Snapshot",AD31,"unavailable"))</f>
        <v/>
      </c>
      <c r="AQ31" s="33">
        <f>IFERROR(IF(AND(ISNUMBER(AN31),N(AN31)&gt;0,ISNUMBER(AO31),N(AO31)&gt;0,ISNUMBER(AP31),N(AP31)&gt;0),AO31*AP31/AN31-1,"unavailable"),"unavailable")</f>
        <v/>
      </c>
      <c r="AR31" s="15" t="n">
        <v>79</v>
      </c>
      <c r="AS31" s="15" t="inlineStr">
        <is>
          <t>One raw share per class; confirm class conversion for adjusted structures</t>
        </is>
      </c>
      <c r="AT31" s="31" t="inlineStr">
        <is>
          <t>300919</t>
        </is>
      </c>
      <c r="AW31">
        <f>IF(AND(J31&gt;0,OR(AH!$I$5="All",AH!$I$5="A/H only",AH!$I$5=C31)),1,0)</f>
        <v/>
      </c>
      <c r="AX31">
        <f>IF(AW31=1,COUNTIF($AW$5:AW31,1),"")</f>
        <v/>
      </c>
      <c r="AY31">
        <f>IF(AH!$M$5="Snapshot",IF(ISNUMBER(G31),G31,"unavailable"),IF(AND(ISNUMBER(K31),N(K31)&gt;0),K31,IF(AH!$M$5="Auto",IF(ISNUMBER(G31),G31,"unavailable"),"unavailable")))</f>
        <v/>
      </c>
      <c r="AZ31">
        <f>IF(AND(AH!$M$5&lt;&gt;"Snapshot",ISNUMBER(K31),N(K31)&gt;0),"Bloomberg",IF(AND(AH!$M$5&lt;&gt;"Bloomberg",ISNUMBER(G31)),"Snapshot","Unavailable"))</f>
        <v/>
      </c>
      <c r="BA31">
        <f>IF(AZ31="Bloomberg",M31,H31)</f>
        <v/>
      </c>
      <c r="BB31">
        <f>1</f>
        <v/>
      </c>
      <c r="BC31" s="15" t="n">
        <v>33.96</v>
      </c>
    </row>
    <row r="32">
      <c r="A32" s="31" t="inlineStr">
        <is>
          <t>9630</t>
        </is>
      </c>
      <c r="B32" s="15" t="inlineStr">
        <is>
          <t>CFMEE</t>
        </is>
      </c>
      <c r="C32" s="15" t="inlineStr">
        <is>
          <t>Tech/AI</t>
        </is>
      </c>
      <c r="D32" s="15" t="inlineStr">
        <is>
          <t>Semiconductor equipment / materials</t>
        </is>
      </c>
      <c r="E32" s="34" t="n">
        <v>46199</v>
      </c>
      <c r="F32" s="15" t="n">
        <v>252.73</v>
      </c>
      <c r="G32" s="15" t="n">
        <v>320</v>
      </c>
      <c r="H32" s="34" t="n">
        <v>46297</v>
      </c>
      <c r="I32" s="31" t="inlineStr">
        <is>
          <t>688630.SS</t>
        </is>
      </c>
      <c r="J32" s="15" t="n">
        <v>57</v>
      </c>
      <c r="K32" s="15">
        <f>IF(AND(AH!$M$5="Snapshot",'IPO Live'!$M$5="Snapshot"),"",IFERROR(BDP(TEXT(VALUE($A32),"0")&amp;" HK Equity","PX_LAST"),""))</f>
        <v/>
      </c>
      <c r="L32" s="15">
        <f>IF(AND(AH!$M$5="Snapshot",'IPO Live'!$M$5="Snapshot"),"",IFERROR(BDP(TEXT(VALUE($A32),"0")&amp;" HK Equity","CHG_PCT_1D")/100,""))</f>
        <v/>
      </c>
      <c r="M32" s="15">
        <f>IF(AND(AH!$M$5="Snapshot",'IPO Live'!$M$5="Snapshot"),"",IFERROR(BDP(TEXT(VALUE($A32),"0")&amp;" HK Equity","LAST_UPDATE_DT"),""))</f>
        <v/>
      </c>
      <c r="N32" s="15">
        <f>IF(AND(AH!$M$5="Snapshot",'IPO Live'!$M$5="Snapshot"),"",IFERROR(BDP(TEXT(VALUE($A32),"0")&amp;" HK Equity","LAST_UPDATE"),""))</f>
        <v/>
      </c>
      <c r="O32" s="15">
        <f>IF('IPO Live'!$M$5="Snapshot",IF(ISNUMBER(G32),G32,"unavailable"),IF(AND(ISNUMBER(K32),N(K32)&gt;0),K32,IF('IPO Live'!$M$5="Auto",IF(ISNUMBER(G32),G32,"unavailable"),"unavailable")))</f>
        <v/>
      </c>
      <c r="P32" s="15">
        <f>IF(AND('IPO Live'!$M$5&lt;&gt;"Snapshot",ISNUMBER(K32),N(K32)&gt;0),"Bloomberg",IF(AND('IPO Live'!$M$5&lt;&gt;"Bloomberg",ISNUMBER(G32)),"Snapshot","Unavailable"))</f>
        <v/>
      </c>
      <c r="Q32" s="33">
        <f>IF(AND(P32="Bloomberg",ISNUMBER(L32)),L32,"unavailable")</f>
        <v/>
      </c>
      <c r="R32" s="15">
        <f>IF(OR('IPO Live'!$B$5="All",'IPO Live'!$B$5=C32,AND('IPO Live'!$B$5="A/H only",J32&gt;0)),1,0)</f>
        <v/>
      </c>
      <c r="S32" s="15">
        <f>IF(R32=1,COUNTIF($R$5:R32,1),"")</f>
        <v/>
      </c>
      <c r="T32">
        <f>1</f>
        <v/>
      </c>
      <c r="U32">
        <f>IF($P32="Bloomberg",$M32,$H32)</f>
        <v/>
      </c>
      <c r="V32" s="15" t="inlineStr">
        <is>
          <t>2676 | NOVOSENSE</t>
        </is>
      </c>
      <c r="W32" s="15" t="inlineStr">
        <is>
          <t>NOVOSENSE</t>
        </is>
      </c>
      <c r="X32" s="31" t="inlineStr">
        <is>
          <t>2676</t>
        </is>
      </c>
      <c r="Y32" s="31" t="inlineStr">
        <is>
          <t>688052.SS</t>
        </is>
      </c>
      <c r="Z32" s="15" t="inlineStr">
        <is>
          <t>Analog / power semiconductors</t>
        </is>
      </c>
      <c r="AA32" s="34" t="n">
        <v>45999</v>
      </c>
      <c r="AB32" s="15" t="n">
        <v>170</v>
      </c>
      <c r="AC32" s="15" t="n">
        <v>236.32</v>
      </c>
      <c r="AD32" s="15" t="n">
        <v>1.170220971107483</v>
      </c>
      <c r="AE32" s="34" t="n">
        <v>46297</v>
      </c>
      <c r="AF32" s="34" t="n">
        <v>46295</v>
      </c>
      <c r="AG32" s="34" t="n">
        <v>46297</v>
      </c>
      <c r="AH32" s="15">
        <f>IF(AND(AH!$M$5="Snapshot",'IPO Live'!$M$5="Snapshot"),"",IFERROR(BDP(LEFT($Y32,FIND(".",$Y32)-1)&amp;" CH Equity","PX_LAST"),""))</f>
        <v/>
      </c>
      <c r="AI32" s="15">
        <f>$K$80</f>
        <v/>
      </c>
      <c r="AJ32" s="15">
        <f>$B$1</f>
        <v/>
      </c>
      <c r="AK32" s="34">
        <f>IF(AND(AH!$M$5="Snapshot",'IPO Live'!$M$5="Snapshot"),"",IFERROR(BDP(LEFT($Y32,FIND(".",$Y32)-1)&amp;" CH Equity","LAST_UPDATE_DT"),""))</f>
        <v/>
      </c>
      <c r="AL32" s="15">
        <f>IF(AND(AH!$M$5="Snapshot",'IPO Live'!$M$5="Snapshot"),"",IFERROR(BDP(LEFT($Y32,FIND(".",$Y32)-1)&amp;" CH Equity","LAST_UPDATE"),""))</f>
        <v/>
      </c>
      <c r="AM32" s="15">
        <f>IF(AND(AH!$M$5&lt;&gt;"Snapshot",ISNUMBER(AH32),N(AH32)&gt;0,ISNUMBER(AI32),N(AI32)&gt;0,ISNUMBER(AJ32),N(AJ32)&gt;0),"Bloomberg",IF(AH!$M$5="Bloomberg","Unavailable",IF(AND(ISNUMBER(AB32),ISNUMBER(AC32),ISNUMBER(AD32)),"Snapshot","Unavailable")))</f>
        <v/>
      </c>
      <c r="AN32" s="15">
        <f>IF(AM32="Bloomberg",AI32,IF(AM32="Snapshot",AB32,"unavailable"))</f>
        <v/>
      </c>
      <c r="AO32" s="15">
        <f>IF(AM32="Bloomberg",AH32,IF(AM32="Snapshot",AC32,"unavailable"))</f>
        <v/>
      </c>
      <c r="AP32" s="15">
        <f>IF(AM32="Bloomberg",AJ32,IF(AM32="Snapshot",AD32,"unavailable"))</f>
        <v/>
      </c>
      <c r="AQ32" s="33">
        <f>IFERROR(IF(AND(ISNUMBER(AN32),N(AN32)&gt;0,ISNUMBER(AO32),N(AO32)&gt;0,ISNUMBER(AP32),N(AP32)&gt;0),AO32*AP32/AN32-1,"unavailable"),"unavailable")</f>
        <v/>
      </c>
      <c r="AR32" s="15" t="n">
        <v>82</v>
      </c>
      <c r="AS32" s="15" t="inlineStr">
        <is>
          <t>One raw share per class; confirm class conversion for adjusted structures</t>
        </is>
      </c>
      <c r="AT32" s="31" t="inlineStr">
        <is>
          <t>688052</t>
        </is>
      </c>
      <c r="AW32">
        <f>IF(AND(J32&gt;0,OR(AH!$I$5="All",AH!$I$5="A/H only",AH!$I$5=C32)),1,0)</f>
        <v/>
      </c>
      <c r="AX32">
        <f>IF(AW32=1,COUNTIF($AW$5:AW32,1),"")</f>
        <v/>
      </c>
      <c r="AY32">
        <f>IF(AH!$M$5="Snapshot",IF(ISNUMBER(G32),G32,"unavailable"),IF(AND(ISNUMBER(K32),N(K32)&gt;0),K32,IF(AH!$M$5="Auto",IF(ISNUMBER(G32),G32,"unavailable"),"unavailable")))</f>
        <v/>
      </c>
      <c r="AZ32">
        <f>IF(AND(AH!$M$5&lt;&gt;"Snapshot",ISNUMBER(K32),N(K32)&gt;0),"Bloomberg",IF(AND(AH!$M$5&lt;&gt;"Bloomberg",ISNUMBER(G32)),"Snapshot","Unavailable"))</f>
        <v/>
      </c>
      <c r="BA32">
        <f>IF(AZ32="Bloomberg",M32,H32)</f>
        <v/>
      </c>
      <c r="BB32">
        <f>1</f>
        <v/>
      </c>
      <c r="BC32" s="15" t="n">
        <v>111</v>
      </c>
    </row>
    <row r="33">
      <c r="A33" s="31" t="inlineStr">
        <is>
          <t>6106</t>
        </is>
      </c>
      <c r="B33" s="15" t="inlineStr">
        <is>
          <t>SEER TECH</t>
        </is>
      </c>
      <c r="C33" s="15" t="inlineStr">
        <is>
          <t>Tech/AI</t>
        </is>
      </c>
      <c r="D33" s="15" t="inlineStr">
        <is>
          <t>Robotics &amp; autonomous driving</t>
        </is>
      </c>
      <c r="E33" s="34" t="n">
        <v>46197</v>
      </c>
      <c r="F33" s="15" t="n">
        <v>101.6</v>
      </c>
      <c r="G33" s="15" t="n">
        <v>59.15</v>
      </c>
      <c r="H33" s="34" t="n">
        <v>46297</v>
      </c>
      <c r="I33" s="31" t="n"/>
      <c r="J33" s="15" t="n">
        <v>0</v>
      </c>
      <c r="K33" s="15">
        <f>IF(AND(AH!$M$5="Snapshot",'IPO Live'!$M$5="Snapshot"),"",IFERROR(BDP(TEXT(VALUE($A33),"0")&amp;" HK Equity","PX_LAST"),""))</f>
        <v/>
      </c>
      <c r="L33" s="15">
        <f>IF(AND(AH!$M$5="Snapshot",'IPO Live'!$M$5="Snapshot"),"",IFERROR(BDP(TEXT(VALUE($A33),"0")&amp;" HK Equity","CHG_PCT_1D")/100,""))</f>
        <v/>
      </c>
      <c r="M33" s="15">
        <f>IF(AND(AH!$M$5="Snapshot",'IPO Live'!$M$5="Snapshot"),"",IFERROR(BDP(TEXT(VALUE($A33),"0")&amp;" HK Equity","LAST_UPDATE_DT"),""))</f>
        <v/>
      </c>
      <c r="N33" s="15">
        <f>IF(AND(AH!$M$5="Snapshot",'IPO Live'!$M$5="Snapshot"),"",IFERROR(BDP(TEXT(VALUE($A33),"0")&amp;" HK Equity","LAST_UPDATE"),""))</f>
        <v/>
      </c>
      <c r="O33" s="15">
        <f>IF('IPO Live'!$M$5="Snapshot",IF(ISNUMBER(G33),G33,"unavailable"),IF(AND(ISNUMBER(K33),N(K33)&gt;0),K33,IF('IPO Live'!$M$5="Auto",IF(ISNUMBER(G33),G33,"unavailable"),"unavailable")))</f>
        <v/>
      </c>
      <c r="P33" s="15">
        <f>IF(AND('IPO Live'!$M$5&lt;&gt;"Snapshot",ISNUMBER(K33),N(K33)&gt;0),"Bloomberg",IF(AND('IPO Live'!$M$5&lt;&gt;"Bloomberg",ISNUMBER(G33)),"Snapshot","Unavailable"))</f>
        <v/>
      </c>
      <c r="Q33" s="33">
        <f>IF(AND(P33="Bloomberg",ISNUMBER(L33)),L33,"unavailable")</f>
        <v/>
      </c>
      <c r="R33" s="15">
        <f>IF(OR('IPO Live'!$B$5="All",'IPO Live'!$B$5=C33,AND('IPO Live'!$B$5="A/H only",J33&gt;0)),1,0)</f>
        <v/>
      </c>
      <c r="S33" s="15">
        <f>IF(R33=1,COUNTIF($R$5:R33,1),"")</f>
        <v/>
      </c>
      <c r="T33">
        <f>1</f>
        <v/>
      </c>
      <c r="U33">
        <f>IF($P33="Bloomberg",$M33,$H33)</f>
        <v/>
      </c>
      <c r="V33" s="15" t="inlineStr">
        <is>
          <t>2691 | NANHUA FUTURES</t>
        </is>
      </c>
      <c r="W33" s="15" t="inlineStr">
        <is>
          <t>NANHUA FUTURES</t>
        </is>
      </c>
      <c r="X33" s="31" t="inlineStr">
        <is>
          <t>2691</t>
        </is>
      </c>
      <c r="Y33" s="31" t="inlineStr">
        <is>
          <t>603093.SS</t>
        </is>
      </c>
      <c r="Z33" s="15" t="inlineStr">
        <is>
          <t>Brokers / asset management</t>
        </is>
      </c>
      <c r="AA33" s="34" t="n">
        <v>46013</v>
      </c>
      <c r="AB33" s="15" t="n">
        <v>5.88</v>
      </c>
      <c r="AC33" s="15" t="n">
        <v>13.16</v>
      </c>
      <c r="AD33" s="15" t="n">
        <v>1.170220971107483</v>
      </c>
      <c r="AE33" s="34" t="n">
        <v>46297</v>
      </c>
      <c r="AF33" s="34" t="n">
        <v>46295</v>
      </c>
      <c r="AG33" s="34" t="n">
        <v>46297</v>
      </c>
      <c r="AH33" s="15">
        <f>IF(AND(AH!$M$5="Snapshot",'IPO Live'!$M$5="Snapshot"),"",IFERROR(BDP(LEFT($Y33,FIND(".",$Y33)-1)&amp;" CH Equity","PX_LAST"),""))</f>
        <v/>
      </c>
      <c r="AI33" s="15">
        <f>$K$374</f>
        <v/>
      </c>
      <c r="AJ33" s="15">
        <f>$B$1</f>
        <v/>
      </c>
      <c r="AK33" s="34">
        <f>IF(AND(AH!$M$5="Snapshot",'IPO Live'!$M$5="Snapshot"),"",IFERROR(BDP(LEFT($Y33,FIND(".",$Y33)-1)&amp;" CH Equity","LAST_UPDATE_DT"),""))</f>
        <v/>
      </c>
      <c r="AL33" s="15">
        <f>IF(AND(AH!$M$5="Snapshot",'IPO Live'!$M$5="Snapshot"),"",IFERROR(BDP(LEFT($Y33,FIND(".",$Y33)-1)&amp;" CH Equity","LAST_UPDATE"),""))</f>
        <v/>
      </c>
      <c r="AM33" s="15">
        <f>IF(AND(AH!$M$5&lt;&gt;"Snapshot",ISNUMBER(AH33),N(AH33)&gt;0,ISNUMBER(AI33),N(AI33)&gt;0,ISNUMBER(AJ33),N(AJ33)&gt;0),"Bloomberg",IF(AH!$M$5="Bloomberg","Unavailable",IF(AND(ISNUMBER(AB33),ISNUMBER(AC33),ISNUMBER(AD33)),"Snapshot","Unavailable")))</f>
        <v/>
      </c>
      <c r="AN33" s="15">
        <f>IF(AM33="Bloomberg",AI33,IF(AM33="Snapshot",AB33,"unavailable"))</f>
        <v/>
      </c>
      <c r="AO33" s="15">
        <f>IF(AM33="Bloomberg",AH33,IF(AM33="Snapshot",AC33,"unavailable"))</f>
        <v/>
      </c>
      <c r="AP33" s="15">
        <f>IF(AM33="Bloomberg",AJ33,IF(AM33="Snapshot",AD33,"unavailable"))</f>
        <v/>
      </c>
      <c r="AQ33" s="33">
        <f>IFERROR(IF(AND(ISNUMBER(AN33),N(AN33)&gt;0,ISNUMBER(AO33),N(AO33)&gt;0,ISNUMBER(AP33),N(AP33)&gt;0),AO33*AP33/AN33-1,"unavailable"),"unavailable")</f>
        <v/>
      </c>
      <c r="AR33" s="15" t="n">
        <v>85</v>
      </c>
      <c r="AS33" s="15" t="inlineStr">
        <is>
          <t>One raw share per class; confirm class conversion for adjusted structures</t>
        </is>
      </c>
      <c r="AT33" s="31" t="inlineStr">
        <is>
          <t>603093</t>
        </is>
      </c>
      <c r="AW33">
        <f>IF(AND(J33&gt;0,OR(AH!$I$5="All",AH!$I$5="A/H only",AH!$I$5=C33)),1,0)</f>
        <v/>
      </c>
      <c r="AX33">
        <f>IF(AW33=1,COUNTIF($AW$5:AW33,1),"")</f>
        <v/>
      </c>
      <c r="AY33">
        <f>IF(AH!$M$5="Snapshot",IF(ISNUMBER(G33),G33,"unavailable"),IF(AND(ISNUMBER(K33),N(K33)&gt;0),K33,IF(AH!$M$5="Auto",IF(ISNUMBER(G33),G33,"unavailable"),"unavailable")))</f>
        <v/>
      </c>
      <c r="AZ33">
        <f>IF(AND(AH!$M$5&lt;&gt;"Snapshot",ISNUMBER(K33),N(K33)&gt;0),"Bloomberg",IF(AND(AH!$M$5&lt;&gt;"Bloomberg",ISNUMBER(G33)),"Snapshot","Unavailable"))</f>
        <v/>
      </c>
      <c r="BA33">
        <f>IF(AZ33="Bloomberg",M33,H33)</f>
        <v/>
      </c>
      <c r="BB33">
        <f>1</f>
        <v/>
      </c>
      <c r="BC33" s="15" t="n">
        <v>9.1</v>
      </c>
    </row>
    <row r="34">
      <c r="A34" s="31" t="inlineStr">
        <is>
          <t>1392</t>
        </is>
      </c>
      <c r="B34" s="15" t="inlineStr">
        <is>
          <t>HQVT</t>
        </is>
      </c>
      <c r="C34" s="15" t="inlineStr">
        <is>
          <t>Tech/AI</t>
        </is>
      </c>
      <c r="D34" s="15" t="inlineStr">
        <is>
          <t>AI application / agent software</t>
        </is>
      </c>
      <c r="E34" s="34" t="n">
        <v>46195</v>
      </c>
      <c r="F34" s="15" t="n">
        <v>7.2</v>
      </c>
      <c r="G34" s="15" t="n">
        <v>22.62</v>
      </c>
      <c r="H34" s="34" t="n">
        <v>46297</v>
      </c>
      <c r="I34" s="31" t="n"/>
      <c r="J34" s="15" t="n">
        <v>0</v>
      </c>
      <c r="K34" s="15">
        <f>IF(AND(AH!$M$5="Snapshot",'IPO Live'!$M$5="Snapshot"),"",IFERROR(BDP(TEXT(VALUE($A34),"0")&amp;" HK Equity","PX_LAST"),""))</f>
        <v/>
      </c>
      <c r="L34" s="15">
        <f>IF(AND(AH!$M$5="Snapshot",'IPO Live'!$M$5="Snapshot"),"",IFERROR(BDP(TEXT(VALUE($A34),"0")&amp;" HK Equity","CHG_PCT_1D")/100,""))</f>
        <v/>
      </c>
      <c r="M34" s="15">
        <f>IF(AND(AH!$M$5="Snapshot",'IPO Live'!$M$5="Snapshot"),"",IFERROR(BDP(TEXT(VALUE($A34),"0")&amp;" HK Equity","LAST_UPDATE_DT"),""))</f>
        <v/>
      </c>
      <c r="N34" s="15">
        <f>IF(AND(AH!$M$5="Snapshot",'IPO Live'!$M$5="Snapshot"),"",IFERROR(BDP(TEXT(VALUE($A34),"0")&amp;" HK Equity","LAST_UPDATE"),""))</f>
        <v/>
      </c>
      <c r="O34" s="15">
        <f>IF('IPO Live'!$M$5="Snapshot",IF(ISNUMBER(G34),G34,"unavailable"),IF(AND(ISNUMBER(K34),N(K34)&gt;0),K34,IF('IPO Live'!$M$5="Auto",IF(ISNUMBER(G34),G34,"unavailable"),"unavailable")))</f>
        <v/>
      </c>
      <c r="P34" s="15">
        <f>IF(AND('IPO Live'!$M$5&lt;&gt;"Snapshot",ISNUMBER(K34),N(K34)&gt;0),"Bloomberg",IF(AND('IPO Live'!$M$5&lt;&gt;"Bloomberg",ISNUMBER(G34)),"Snapshot","Unavailable"))</f>
        <v/>
      </c>
      <c r="Q34" s="33">
        <f>IF(AND(P34="Bloomberg",ISNUMBER(L34)),L34,"unavailable")</f>
        <v/>
      </c>
      <c r="R34" s="15">
        <f>IF(OR('IPO Live'!$B$5="All",'IPO Live'!$B$5=C34,AND('IPO Live'!$B$5="A/H only",J34&gt;0)),1,0)</f>
        <v/>
      </c>
      <c r="S34" s="15">
        <f>IF(R34=1,COUNTIF($R$5:R34,1),"")</f>
        <v/>
      </c>
      <c r="T34">
        <f>1</f>
        <v/>
      </c>
      <c r="U34">
        <f>IF($P34="Bloomberg",$M34,$H34)</f>
        <v/>
      </c>
      <c r="V34" s="15" t="inlineStr">
        <is>
          <t>0501 | OMNIVISION</t>
        </is>
      </c>
      <c r="W34" s="15" t="inlineStr">
        <is>
          <t>OMNIVISION</t>
        </is>
      </c>
      <c r="X34" s="31" t="inlineStr">
        <is>
          <t>0501</t>
        </is>
      </c>
      <c r="Y34" s="31" t="inlineStr">
        <is>
          <t>603501.SS</t>
        </is>
      </c>
      <c r="Z34" s="15" t="inlineStr">
        <is>
          <t>Image / display semiconductors</t>
        </is>
      </c>
      <c r="AA34" s="34" t="n">
        <v>46034</v>
      </c>
      <c r="AB34" s="15" t="n">
        <v>70.15000000000001</v>
      </c>
      <c r="AC34" s="15" t="n">
        <v>82.20999999999999</v>
      </c>
      <c r="AD34" s="15" t="n">
        <v>1.170220971107483</v>
      </c>
      <c r="AE34" s="34" t="n">
        <v>46297</v>
      </c>
      <c r="AF34" s="34" t="n">
        <v>46295</v>
      </c>
      <c r="AG34" s="34" t="n">
        <v>46297</v>
      </c>
      <c r="AH34" s="15">
        <f>IF(AND(AH!$M$5="Snapshot",'IPO Live'!$M$5="Snapshot"),"",IFERROR(BDP(LEFT($Y34,FIND(".",$Y34)-1)&amp;" CH Equity","PX_LAST"),""))</f>
        <v/>
      </c>
      <c r="AI34" s="15">
        <f>$K$65</f>
        <v/>
      </c>
      <c r="AJ34" s="15">
        <f>$B$1</f>
        <v/>
      </c>
      <c r="AK34" s="34">
        <f>IF(AND(AH!$M$5="Snapshot",'IPO Live'!$M$5="Snapshot"),"",IFERROR(BDP(LEFT($Y34,FIND(".",$Y34)-1)&amp;" CH Equity","LAST_UPDATE_DT"),""))</f>
        <v/>
      </c>
      <c r="AL34" s="15">
        <f>IF(AND(AH!$M$5="Snapshot",'IPO Live'!$M$5="Snapshot"),"",IFERROR(BDP(LEFT($Y34,FIND(".",$Y34)-1)&amp;" CH Equity","LAST_UPDATE"),""))</f>
        <v/>
      </c>
      <c r="AM34" s="15">
        <f>IF(AND(AH!$M$5&lt;&gt;"Snapshot",ISNUMBER(AH34),N(AH34)&gt;0,ISNUMBER(AI34),N(AI34)&gt;0,ISNUMBER(AJ34),N(AJ34)&gt;0),"Bloomberg",IF(AH!$M$5="Bloomberg","Unavailable",IF(AND(ISNUMBER(AB34),ISNUMBER(AC34),ISNUMBER(AD34)),"Snapshot","Unavailable")))</f>
        <v/>
      </c>
      <c r="AN34" s="15">
        <f>IF(AM34="Bloomberg",AI34,IF(AM34="Snapshot",AB34,"unavailable"))</f>
        <v/>
      </c>
      <c r="AO34" s="15">
        <f>IF(AM34="Bloomberg",AH34,IF(AM34="Snapshot",AC34,"unavailable"))</f>
        <v/>
      </c>
      <c r="AP34" s="15">
        <f>IF(AM34="Bloomberg",AJ34,IF(AM34="Snapshot",AD34,"unavailable"))</f>
        <v/>
      </c>
      <c r="AQ34" s="33">
        <f>IFERROR(IF(AND(ISNUMBER(AN34),N(AN34)&gt;0,ISNUMBER(AO34),N(AO34)&gt;0,ISNUMBER(AP34),N(AP34)&gt;0),AO34*AP34/AN34-1,"unavailable"),"unavailable")</f>
        <v/>
      </c>
      <c r="AR34" s="15" t="n">
        <v>88</v>
      </c>
      <c r="AS34" s="15" t="inlineStr">
        <is>
          <t>One raw share per class; confirm class conversion for adjusted structures</t>
        </is>
      </c>
      <c r="AT34" s="31" t="inlineStr">
        <is>
          <t>603501</t>
        </is>
      </c>
      <c r="AW34">
        <f>IF(AND(J34&gt;0,OR(AH!$I$5="All",AH!$I$5="A/H only",AH!$I$5=C34)),1,0)</f>
        <v/>
      </c>
      <c r="AX34">
        <f>IF(AW34=1,COUNTIF($AW$5:AW34,1),"")</f>
        <v/>
      </c>
      <c r="AY34">
        <f>IF(AH!$M$5="Snapshot",IF(ISNUMBER(G34),G34,"unavailable"),IF(AND(ISNUMBER(K34),N(K34)&gt;0),K34,IF(AH!$M$5="Auto",IF(ISNUMBER(G34),G34,"unavailable"),"unavailable")))</f>
        <v/>
      </c>
      <c r="AZ34">
        <f>IF(AND(AH!$M$5&lt;&gt;"Snapshot",ISNUMBER(K34),N(K34)&gt;0),"Bloomberg",IF(AND(AH!$M$5&lt;&gt;"Bloomberg",ISNUMBER(G34)),"Snapshot","Unavailable"))</f>
        <v/>
      </c>
      <c r="BA34">
        <f>IF(AZ34="Bloomberg",M34,H34)</f>
        <v/>
      </c>
      <c r="BB34">
        <f>1</f>
        <v/>
      </c>
      <c r="BC34" s="15" t="n">
        <v>121.8</v>
      </c>
    </row>
    <row r="35">
      <c r="A35" s="31" t="inlineStr">
        <is>
          <t>6675</t>
        </is>
      </c>
      <c r="B35" s="15" t="inlineStr">
        <is>
          <t>SENASIC</t>
        </is>
      </c>
      <c r="C35" s="15" t="inlineStr">
        <is>
          <t>Tech/AI</t>
        </is>
      </c>
      <c r="D35" s="15" t="inlineStr">
        <is>
          <t>Other / diversified semiconductors</t>
        </is>
      </c>
      <c r="E35" s="34" t="n">
        <v>46190</v>
      </c>
      <c r="F35" s="15" t="n">
        <v>18.36</v>
      </c>
      <c r="G35" s="15" t="n">
        <v>24</v>
      </c>
      <c r="H35" s="34" t="n">
        <v>46297</v>
      </c>
      <c r="I35" s="31" t="n"/>
      <c r="J35" s="15" t="n">
        <v>0</v>
      </c>
      <c r="K35" s="15">
        <f>IF(AND(AH!$M$5="Snapshot",'IPO Live'!$M$5="Snapshot"),"",IFERROR(BDP(TEXT(VALUE($A35),"0")&amp;" HK Equity","PX_LAST"),""))</f>
        <v/>
      </c>
      <c r="L35" s="15">
        <f>IF(AND(AH!$M$5="Snapshot",'IPO Live'!$M$5="Snapshot"),"",IFERROR(BDP(TEXT(VALUE($A35),"0")&amp;" HK Equity","CHG_PCT_1D")/100,""))</f>
        <v/>
      </c>
      <c r="M35" s="15">
        <f>IF(AND(AH!$M$5="Snapshot",'IPO Live'!$M$5="Snapshot"),"",IFERROR(BDP(TEXT(VALUE($A35),"0")&amp;" HK Equity","LAST_UPDATE_DT"),""))</f>
        <v/>
      </c>
      <c r="N35" s="15">
        <f>IF(AND(AH!$M$5="Snapshot",'IPO Live'!$M$5="Snapshot"),"",IFERROR(BDP(TEXT(VALUE($A35),"0")&amp;" HK Equity","LAST_UPDATE"),""))</f>
        <v/>
      </c>
      <c r="O35" s="15">
        <f>IF('IPO Live'!$M$5="Snapshot",IF(ISNUMBER(G35),G35,"unavailable"),IF(AND(ISNUMBER(K35),N(K35)&gt;0),K35,IF('IPO Live'!$M$5="Auto",IF(ISNUMBER(G35),G35,"unavailable"),"unavailable")))</f>
        <v/>
      </c>
      <c r="P35" s="15">
        <f>IF(AND('IPO Live'!$M$5&lt;&gt;"Snapshot",ISNUMBER(K35),N(K35)&gt;0),"Bloomberg",IF(AND('IPO Live'!$M$5&lt;&gt;"Bloomberg",ISNUMBER(G35)),"Snapshot","Unavailable"))</f>
        <v/>
      </c>
      <c r="Q35" s="33">
        <f>IF(AND(P35="Bloomberg",ISNUMBER(L35)),L35,"unavailable")</f>
        <v/>
      </c>
      <c r="R35" s="15">
        <f>IF(OR('IPO Live'!$B$5="All",'IPO Live'!$B$5=C35,AND('IPO Live'!$B$5="A/H only",J35&gt;0)),1,0)</f>
        <v/>
      </c>
      <c r="S35" s="15">
        <f>IF(R35=1,COUNTIF($R$5:R35,1),"")</f>
        <v/>
      </c>
      <c r="T35">
        <f>1</f>
        <v/>
      </c>
      <c r="U35">
        <f>IF($P35="Bloomberg",$M35,$H35)</f>
        <v/>
      </c>
      <c r="V35" s="15" t="inlineStr">
        <is>
          <t>3986 | GIGADEVICE</t>
        </is>
      </c>
      <c r="W35" s="15" t="inlineStr">
        <is>
          <t>GIGADEVICE</t>
        </is>
      </c>
      <c r="X35" s="31" t="inlineStr">
        <is>
          <t>3986</t>
        </is>
      </c>
      <c r="Y35" s="31" t="inlineStr">
        <is>
          <t>603986.SS</t>
        </is>
      </c>
      <c r="Z35" s="15" t="inlineStr">
        <is>
          <t>Memory / interface semiconductors</t>
        </is>
      </c>
      <c r="AA35" s="34" t="n">
        <v>46035</v>
      </c>
      <c r="AB35" s="15" t="n">
        <v>454.8</v>
      </c>
      <c r="AC35" s="15" t="n">
        <v>353.9</v>
      </c>
      <c r="AD35" s="15" t="n">
        <v>1.170220971107483</v>
      </c>
      <c r="AE35" s="34" t="n">
        <v>46297</v>
      </c>
      <c r="AF35" s="34" t="n">
        <v>46295</v>
      </c>
      <c r="AG35" s="34" t="n">
        <v>46297</v>
      </c>
      <c r="AH35" s="15">
        <f>IF(AND(AH!$M$5="Snapshot",'IPO Live'!$M$5="Snapshot"),"",IFERROR(BDP(LEFT($Y35,FIND(".",$Y35)-1)&amp;" CH Equity","PX_LAST"),""))</f>
        <v/>
      </c>
      <c r="AI35" s="15">
        <f>$K$64</f>
        <v/>
      </c>
      <c r="AJ35" s="15">
        <f>$B$1</f>
        <v/>
      </c>
      <c r="AK35" s="34">
        <f>IF(AND(AH!$M$5="Snapshot",'IPO Live'!$M$5="Snapshot"),"",IFERROR(BDP(LEFT($Y35,FIND(".",$Y35)-1)&amp;" CH Equity","LAST_UPDATE_DT"),""))</f>
        <v/>
      </c>
      <c r="AL35" s="15">
        <f>IF(AND(AH!$M$5="Snapshot",'IPO Live'!$M$5="Snapshot"),"",IFERROR(BDP(LEFT($Y35,FIND(".",$Y35)-1)&amp;" CH Equity","LAST_UPDATE"),""))</f>
        <v/>
      </c>
      <c r="AM35" s="15">
        <f>IF(AND(AH!$M$5&lt;&gt;"Snapshot",ISNUMBER(AH35),N(AH35)&gt;0,ISNUMBER(AI35),N(AI35)&gt;0,ISNUMBER(AJ35),N(AJ35)&gt;0),"Bloomberg",IF(AH!$M$5="Bloomberg","Unavailable",IF(AND(ISNUMBER(AB35),ISNUMBER(AC35),ISNUMBER(AD35)),"Snapshot","Unavailable")))</f>
        <v/>
      </c>
      <c r="AN35" s="15">
        <f>IF(AM35="Bloomberg",AI35,IF(AM35="Snapshot",AB35,"unavailable"))</f>
        <v/>
      </c>
      <c r="AO35" s="15">
        <f>IF(AM35="Bloomberg",AH35,IF(AM35="Snapshot",AC35,"unavailable"))</f>
        <v/>
      </c>
      <c r="AP35" s="15">
        <f>IF(AM35="Bloomberg",AJ35,IF(AM35="Snapshot",AD35,"unavailable"))</f>
        <v/>
      </c>
      <c r="AQ35" s="33">
        <f>IFERROR(IF(AND(ISNUMBER(AN35),N(AN35)&gt;0,ISNUMBER(AO35),N(AO35)&gt;0,ISNUMBER(AP35),N(AP35)&gt;0),AO35*AP35/AN35-1,"unavailable"),"unavailable")</f>
        <v/>
      </c>
      <c r="AR35" s="15" t="n">
        <v>91</v>
      </c>
      <c r="AS35" s="15" t="inlineStr">
        <is>
          <t>One raw share per class; confirm class conversion for adjusted structures</t>
        </is>
      </c>
      <c r="AT35" s="31" t="inlineStr">
        <is>
          <t>603986</t>
        </is>
      </c>
      <c r="AW35">
        <f>IF(AND(J35&gt;0,OR(AH!$I$5="All",AH!$I$5="A/H only",AH!$I$5=C35)),1,0)</f>
        <v/>
      </c>
      <c r="AX35">
        <f>IF(AW35=1,COUNTIF($AW$5:AW35,1),"")</f>
        <v/>
      </c>
      <c r="AY35">
        <f>IF(AH!$M$5="Snapshot",IF(ISNUMBER(G35),G35,"unavailable"),IF(AND(ISNUMBER(K35),N(K35)&gt;0),K35,IF(AH!$M$5="Auto",IF(ISNUMBER(G35),G35,"unavailable"),"unavailable")))</f>
        <v/>
      </c>
      <c r="AZ35">
        <f>IF(AND(AH!$M$5&lt;&gt;"Snapshot",ISNUMBER(K35),N(K35)&gt;0),"Bloomberg",IF(AND(AH!$M$5&lt;&gt;"Bloomberg",ISNUMBER(G35)),"Snapshot","Unavailable"))</f>
        <v/>
      </c>
      <c r="BA35">
        <f>IF(AZ35="Bloomberg",M35,H35)</f>
        <v/>
      </c>
      <c r="BB35">
        <f>1</f>
        <v/>
      </c>
      <c r="BC35" s="15" t="n">
        <v>222.8</v>
      </c>
    </row>
    <row r="36">
      <c r="A36" s="31" t="inlineStr">
        <is>
          <t>3388</t>
        </is>
      </c>
      <c r="B36" s="15" t="inlineStr">
        <is>
          <t>CREALITY</t>
        </is>
      </c>
      <c r="C36" s="15" t="inlineStr">
        <is>
          <t>Tech/AI</t>
        </is>
      </c>
      <c r="D36" s="15" t="inlineStr">
        <is>
          <t>Smart hardware / consumer electronics</t>
        </is>
      </c>
      <c r="E36" s="34" t="n">
        <v>46171</v>
      </c>
      <c r="F36" s="15" t="n">
        <v>18.8</v>
      </c>
      <c r="G36" s="15" t="n">
        <v>27</v>
      </c>
      <c r="H36" s="34" t="n">
        <v>46297</v>
      </c>
      <c r="I36" s="31" t="n"/>
      <c r="J36" s="15" t="n">
        <v>0</v>
      </c>
      <c r="K36" s="15">
        <f>IF(AND(AH!$M$5="Snapshot",'IPO Live'!$M$5="Snapshot"),"",IFERROR(BDP(TEXT(VALUE($A36),"0")&amp;" HK Equity","PX_LAST"),""))</f>
        <v/>
      </c>
      <c r="L36" s="15">
        <f>IF(AND(AH!$M$5="Snapshot",'IPO Live'!$M$5="Snapshot"),"",IFERROR(BDP(TEXT(VALUE($A36),"0")&amp;" HK Equity","CHG_PCT_1D")/100,""))</f>
        <v/>
      </c>
      <c r="M36" s="15">
        <f>IF(AND(AH!$M$5="Snapshot",'IPO Live'!$M$5="Snapshot"),"",IFERROR(BDP(TEXT(VALUE($A36),"0")&amp;" HK Equity","LAST_UPDATE_DT"),""))</f>
        <v/>
      </c>
      <c r="N36" s="15">
        <f>IF(AND(AH!$M$5="Snapshot",'IPO Live'!$M$5="Snapshot"),"",IFERROR(BDP(TEXT(VALUE($A36),"0")&amp;" HK Equity","LAST_UPDATE"),""))</f>
        <v/>
      </c>
      <c r="O36" s="15">
        <f>IF('IPO Live'!$M$5="Snapshot",IF(ISNUMBER(G36),G36,"unavailable"),IF(AND(ISNUMBER(K36),N(K36)&gt;0),K36,IF('IPO Live'!$M$5="Auto",IF(ISNUMBER(G36),G36,"unavailable"),"unavailable")))</f>
        <v/>
      </c>
      <c r="P36" s="15">
        <f>IF(AND('IPO Live'!$M$5&lt;&gt;"Snapshot",ISNUMBER(K36),N(K36)&gt;0),"Bloomberg",IF(AND('IPO Live'!$M$5&lt;&gt;"Bloomberg",ISNUMBER(G36)),"Snapshot","Unavailable"))</f>
        <v/>
      </c>
      <c r="Q36" s="33">
        <f>IF(AND(P36="Bloomberg",ISNUMBER(L36)),L36,"unavailable")</f>
        <v/>
      </c>
      <c r="R36" s="15">
        <f>IF(OR('IPO Live'!$B$5="All",'IPO Live'!$B$5=C36,AND('IPO Live'!$B$5="A/H only",J36&gt;0)),1,0)</f>
        <v/>
      </c>
      <c r="S36" s="15">
        <f>IF(R36=1,COUNTIF($R$5:R36,1),"")</f>
        <v/>
      </c>
      <c r="T36">
        <f>1</f>
        <v/>
      </c>
      <c r="U36">
        <f>IF($P36="Bloomberg",$M36,$H36)</f>
        <v/>
      </c>
      <c r="V36" s="15" t="inlineStr">
        <is>
          <t>9611 | LONGCHEER</t>
        </is>
      </c>
      <c r="W36" s="15" t="inlineStr">
        <is>
          <t>LONGCHEER</t>
        </is>
      </c>
      <c r="X36" s="31" t="inlineStr">
        <is>
          <t>9611</t>
        </is>
      </c>
      <c r="Y36" s="31" t="inlineStr">
        <is>
          <t>603341.SS</t>
        </is>
      </c>
      <c r="Z36" s="15" t="inlineStr">
        <is>
          <t>Smart hardware / consumer electronics</t>
        </is>
      </c>
      <c r="AA36" s="34" t="n">
        <v>46044</v>
      </c>
      <c r="AB36" s="15" t="n">
        <v>20.16</v>
      </c>
      <c r="AC36" s="15" t="n">
        <v>35.21</v>
      </c>
      <c r="AD36" s="15" t="n">
        <v>1.170220971107483</v>
      </c>
      <c r="AE36" s="34" t="n">
        <v>46297</v>
      </c>
      <c r="AF36" s="34" t="n">
        <v>46295</v>
      </c>
      <c r="AG36" s="34" t="n">
        <v>46297</v>
      </c>
      <c r="AH36" s="15">
        <f>IF(AND(AH!$M$5="Snapshot",'IPO Live'!$M$5="Snapshot"),"",IFERROR(BDP(LEFT($Y36,FIND(".",$Y36)-1)&amp;" CH Equity","PX_LAST"),""))</f>
        <v/>
      </c>
      <c r="AI36" s="15">
        <f>$K$63</f>
        <v/>
      </c>
      <c r="AJ36" s="15">
        <f>$B$1</f>
        <v/>
      </c>
      <c r="AK36" s="34">
        <f>IF(AND(AH!$M$5="Snapshot",'IPO Live'!$M$5="Snapshot"),"",IFERROR(BDP(LEFT($Y36,FIND(".",$Y36)-1)&amp;" CH Equity","LAST_UPDATE_DT"),""))</f>
        <v/>
      </c>
      <c r="AL36" s="15">
        <f>IF(AND(AH!$M$5="Snapshot",'IPO Live'!$M$5="Snapshot"),"",IFERROR(BDP(LEFT($Y36,FIND(".",$Y36)-1)&amp;" CH Equity","LAST_UPDATE"),""))</f>
        <v/>
      </c>
      <c r="AM36" s="15">
        <f>IF(AND(AH!$M$5&lt;&gt;"Snapshot",ISNUMBER(AH36),N(AH36)&gt;0,ISNUMBER(AI36),N(AI36)&gt;0,ISNUMBER(AJ36),N(AJ36)&gt;0),"Bloomberg",IF(AH!$M$5="Bloomberg","Unavailable",IF(AND(ISNUMBER(AB36),ISNUMBER(AC36),ISNUMBER(AD36)),"Snapshot","Unavailable")))</f>
        <v/>
      </c>
      <c r="AN36" s="15">
        <f>IF(AM36="Bloomberg",AI36,IF(AM36="Snapshot",AB36,"unavailable"))</f>
        <v/>
      </c>
      <c r="AO36" s="15">
        <f>IF(AM36="Bloomberg",AH36,IF(AM36="Snapshot",AC36,"unavailable"))</f>
        <v/>
      </c>
      <c r="AP36" s="15">
        <f>IF(AM36="Bloomberg",AJ36,IF(AM36="Snapshot",AD36,"unavailable"))</f>
        <v/>
      </c>
      <c r="AQ36" s="33">
        <f>IFERROR(IF(AND(ISNUMBER(AN36),N(AN36)&gt;0,ISNUMBER(AO36),N(AO36)&gt;0,ISNUMBER(AP36),N(AP36)&gt;0),AO36*AP36/AN36-1,"unavailable"),"unavailable")</f>
        <v/>
      </c>
      <c r="AR36" s="15" t="n">
        <v>94</v>
      </c>
      <c r="AS36" s="15" t="inlineStr">
        <is>
          <t>One raw share per class; confirm class conversion for adjusted structures</t>
        </is>
      </c>
      <c r="AT36" s="31" t="inlineStr">
        <is>
          <t>603341</t>
        </is>
      </c>
      <c r="AW36">
        <f>IF(AND(J36&gt;0,OR(AH!$I$5="All",AH!$I$5="A/H only",AH!$I$5=C36)),1,0)</f>
        <v/>
      </c>
      <c r="AX36">
        <f>IF(AW36=1,COUNTIF($AW$5:AW36,1),"")</f>
        <v/>
      </c>
      <c r="AY36">
        <f>IF(AH!$M$5="Snapshot",IF(ISNUMBER(G36),G36,"unavailable"),IF(AND(ISNUMBER(K36),N(K36)&gt;0),K36,IF(AH!$M$5="Auto",IF(ISNUMBER(G36),G36,"unavailable"),"unavailable")))</f>
        <v/>
      </c>
      <c r="AZ36">
        <f>IF(AND(AH!$M$5&lt;&gt;"Snapshot",ISNUMBER(K36),N(K36)&gt;0),"Bloomberg",IF(AND(AH!$M$5&lt;&gt;"Bloomberg",ISNUMBER(G36)),"Snapshot","Unavailable"))</f>
        <v/>
      </c>
      <c r="BA36">
        <f>IF(AZ36="Bloomberg",M36,H36)</f>
        <v/>
      </c>
      <c r="BB36">
        <f>1</f>
        <v/>
      </c>
      <c r="BC36" s="15" t="n">
        <v>32.1</v>
      </c>
    </row>
    <row r="37">
      <c r="A37" s="31" t="inlineStr">
        <is>
          <t>3310</t>
        </is>
      </c>
      <c r="B37" s="15" t="inlineStr">
        <is>
          <t>VIEWTRIX TECH</t>
        </is>
      </c>
      <c r="C37" s="15" t="inlineStr">
        <is>
          <t>Tech/AI</t>
        </is>
      </c>
      <c r="D37" s="15" t="inlineStr">
        <is>
          <t>Image / display semiconductors</t>
        </is>
      </c>
      <c r="E37" s="34" t="n">
        <v>46169</v>
      </c>
      <c r="F37" s="15" t="n">
        <v>20.81</v>
      </c>
      <c r="G37" s="15" t="n">
        <v>25.16</v>
      </c>
      <c r="H37" s="34" t="n">
        <v>46297</v>
      </c>
      <c r="I37" s="31" t="n"/>
      <c r="J37" s="15" t="n">
        <v>0</v>
      </c>
      <c r="K37" s="15">
        <f>IF(AND(AH!$M$5="Snapshot",'IPO Live'!$M$5="Snapshot"),"",IFERROR(BDP(TEXT(VALUE($A37),"0")&amp;" HK Equity","PX_LAST"),""))</f>
        <v/>
      </c>
      <c r="L37" s="15">
        <f>IF(AND(AH!$M$5="Snapshot",'IPO Live'!$M$5="Snapshot"),"",IFERROR(BDP(TEXT(VALUE($A37),"0")&amp;" HK Equity","CHG_PCT_1D")/100,""))</f>
        <v/>
      </c>
      <c r="M37" s="15">
        <f>IF(AND(AH!$M$5="Snapshot",'IPO Live'!$M$5="Snapshot"),"",IFERROR(BDP(TEXT(VALUE($A37),"0")&amp;" HK Equity","LAST_UPDATE_DT"),""))</f>
        <v/>
      </c>
      <c r="N37" s="15">
        <f>IF(AND(AH!$M$5="Snapshot",'IPO Live'!$M$5="Snapshot"),"",IFERROR(BDP(TEXT(VALUE($A37),"0")&amp;" HK Equity","LAST_UPDATE"),""))</f>
        <v/>
      </c>
      <c r="O37" s="15">
        <f>IF('IPO Live'!$M$5="Snapshot",IF(ISNUMBER(G37),G37,"unavailable"),IF(AND(ISNUMBER(K37),N(K37)&gt;0),K37,IF('IPO Live'!$M$5="Auto",IF(ISNUMBER(G37),G37,"unavailable"),"unavailable")))</f>
        <v/>
      </c>
      <c r="P37" s="15">
        <f>IF(AND('IPO Live'!$M$5&lt;&gt;"Snapshot",ISNUMBER(K37),N(K37)&gt;0),"Bloomberg",IF(AND('IPO Live'!$M$5&lt;&gt;"Bloomberg",ISNUMBER(G37)),"Snapshot","Unavailable"))</f>
        <v/>
      </c>
      <c r="Q37" s="33">
        <f>IF(AND(P37="Bloomberg",ISNUMBER(L37)),L37,"unavailable")</f>
        <v/>
      </c>
      <c r="R37" s="15">
        <f>IF(OR('IPO Live'!$B$5="All",'IPO Live'!$B$5=C37,AND('IPO Live'!$B$5="A/H only",J37&gt;0)),1,0)</f>
        <v/>
      </c>
      <c r="S37" s="15">
        <f>IF(R37=1,COUNTIF($R$5:R37,1),"")</f>
        <v/>
      </c>
      <c r="T37">
        <f>1</f>
        <v/>
      </c>
      <c r="U37">
        <f>IF($P37="Bloomberg",$M37,$H37)</f>
        <v/>
      </c>
      <c r="V37" s="15" t="inlineStr">
        <is>
          <t>9980 | EASTROC</t>
        </is>
      </c>
      <c r="W37" s="15" t="inlineStr">
        <is>
          <t>EASTROC</t>
        </is>
      </c>
      <c r="X37" s="31" t="inlineStr">
        <is>
          <t>9980</t>
        </is>
      </c>
      <c r="Y37" s="31" t="inlineStr">
        <is>
          <t>605499.SS</t>
        </is>
      </c>
      <c r="Z37" s="15" t="inlineStr">
        <is>
          <t>Beverages / packaged food</t>
        </is>
      </c>
      <c r="AA37" s="34" t="n">
        <v>46056</v>
      </c>
      <c r="AB37" s="15" t="n">
        <v>94</v>
      </c>
      <c r="AC37" s="15" t="n">
        <v>112.25</v>
      </c>
      <c r="AD37" s="15" t="n">
        <v>1.170220971107483</v>
      </c>
      <c r="AE37" s="34" t="n">
        <v>46297</v>
      </c>
      <c r="AF37" s="34" t="n">
        <v>46295</v>
      </c>
      <c r="AG37" s="34" t="n">
        <v>46297</v>
      </c>
      <c r="AH37" s="15">
        <f>IF(AND(AH!$M$5="Snapshot",'IPO Live'!$M$5="Snapshot"),"",IFERROR(BDP(LEFT($Y37,FIND(".",$Y37)-1)&amp;" CH Equity","PX_LAST"),""))</f>
        <v/>
      </c>
      <c r="AI37" s="15">
        <f>$K$298</f>
        <v/>
      </c>
      <c r="AJ37" s="15">
        <f>$B$1</f>
        <v/>
      </c>
      <c r="AK37" s="34">
        <f>IF(AND(AH!$M$5="Snapshot",'IPO Live'!$M$5="Snapshot"),"",IFERROR(BDP(LEFT($Y37,FIND(".",$Y37)-1)&amp;" CH Equity","LAST_UPDATE_DT"),""))</f>
        <v/>
      </c>
      <c r="AL37" s="15">
        <f>IF(AND(AH!$M$5="Snapshot",'IPO Live'!$M$5="Snapshot"),"",IFERROR(BDP(LEFT($Y37,FIND(".",$Y37)-1)&amp;" CH Equity","LAST_UPDATE"),""))</f>
        <v/>
      </c>
      <c r="AM37" s="15">
        <f>IF(AND(AH!$M$5&lt;&gt;"Snapshot",ISNUMBER(AH37),N(AH37)&gt;0,ISNUMBER(AI37),N(AI37)&gt;0,ISNUMBER(AJ37),N(AJ37)&gt;0),"Bloomberg",IF(AH!$M$5="Bloomberg","Unavailable",IF(AND(ISNUMBER(AB37),ISNUMBER(AC37),ISNUMBER(AD37)),"Snapshot","Unavailable")))</f>
        <v/>
      </c>
      <c r="AN37" s="15">
        <f>IF(AM37="Bloomberg",AI37,IF(AM37="Snapshot",AB37,"unavailable"))</f>
        <v/>
      </c>
      <c r="AO37" s="15">
        <f>IF(AM37="Bloomberg",AH37,IF(AM37="Snapshot",AC37,"unavailable"))</f>
        <v/>
      </c>
      <c r="AP37" s="15">
        <f>IF(AM37="Bloomberg",AJ37,IF(AM37="Snapshot",AD37,"unavailable"))</f>
        <v/>
      </c>
      <c r="AQ37" s="33">
        <f>IFERROR(IF(AND(ISNUMBER(AN37),N(AN37)&gt;0,ISNUMBER(AO37),N(AO37)&gt;0,ISNUMBER(AP37),N(AP37)&gt;0),AO37*AP37/AN37-1,"unavailable"),"unavailable")</f>
        <v/>
      </c>
      <c r="AR37" s="15" t="n">
        <v>97</v>
      </c>
      <c r="AS37" s="15" t="inlineStr">
        <is>
          <t>One raw share per class; confirm class conversion for adjusted structures</t>
        </is>
      </c>
      <c r="AT37" s="31" t="inlineStr">
        <is>
          <t>605499</t>
        </is>
      </c>
      <c r="AW37">
        <f>IF(AND(J37&gt;0,OR(AH!$I$5="All",AH!$I$5="A/H only",AH!$I$5=C37)),1,0)</f>
        <v/>
      </c>
      <c r="AX37">
        <f>IF(AW37=1,COUNTIF($AW$5:AW37,1),"")</f>
        <v/>
      </c>
      <c r="AY37">
        <f>IF(AH!$M$5="Snapshot",IF(ISNUMBER(G37),G37,"unavailable"),IF(AND(ISNUMBER(K37),N(K37)&gt;0),K37,IF(AH!$M$5="Auto",IF(ISNUMBER(G37),G37,"unavailable"),"unavailable")))</f>
        <v/>
      </c>
      <c r="AZ37">
        <f>IF(AND(AH!$M$5&lt;&gt;"Snapshot",ISNUMBER(K37),N(K37)&gt;0),"Bloomberg",IF(AND(AH!$M$5&lt;&gt;"Bloomberg",ISNUMBER(G37)),"Snapshot","Unavailable"))</f>
        <v/>
      </c>
      <c r="BA37">
        <f>IF(AZ37="Bloomberg",M37,H37)</f>
        <v/>
      </c>
      <c r="BB37">
        <f>1</f>
        <v/>
      </c>
      <c r="BC37" s="15" t="n">
        <v>251.8</v>
      </c>
    </row>
    <row r="38">
      <c r="A38" s="31" t="inlineStr">
        <is>
          <t>2723</t>
        </is>
      </c>
      <c r="B38" s="15" t="inlineStr">
        <is>
          <t>DEEPZERO</t>
        </is>
      </c>
      <c r="C38" s="15" t="inlineStr">
        <is>
          <t>Tech/AI</t>
        </is>
      </c>
      <c r="D38" s="15" t="inlineStr">
        <is>
          <t>AI application / agent software</t>
        </is>
      </c>
      <c r="E38" s="34" t="n">
        <v>46169</v>
      </c>
      <c r="F38" s="15" t="n">
        <v>55.5</v>
      </c>
      <c r="G38" s="15" t="n">
        <v>696.5</v>
      </c>
      <c r="H38" s="34" t="n">
        <v>46297</v>
      </c>
      <c r="I38" s="31" t="n"/>
      <c r="J38" s="15" t="n">
        <v>0</v>
      </c>
      <c r="K38" s="15">
        <f>IF(AND(AH!$M$5="Snapshot",'IPO Live'!$M$5="Snapshot"),"",IFERROR(BDP(TEXT(VALUE($A38),"0")&amp;" HK Equity","PX_LAST"),""))</f>
        <v/>
      </c>
      <c r="L38" s="15">
        <f>IF(AND(AH!$M$5="Snapshot",'IPO Live'!$M$5="Snapshot"),"",IFERROR(BDP(TEXT(VALUE($A38),"0")&amp;" HK Equity","CHG_PCT_1D")/100,""))</f>
        <v/>
      </c>
      <c r="M38" s="15">
        <f>IF(AND(AH!$M$5="Snapshot",'IPO Live'!$M$5="Snapshot"),"",IFERROR(BDP(TEXT(VALUE($A38),"0")&amp;" HK Equity","LAST_UPDATE_DT"),""))</f>
        <v/>
      </c>
      <c r="N38" s="15">
        <f>IF(AND(AH!$M$5="Snapshot",'IPO Live'!$M$5="Snapshot"),"",IFERROR(BDP(TEXT(VALUE($A38),"0")&amp;" HK Equity","LAST_UPDATE"),""))</f>
        <v/>
      </c>
      <c r="O38" s="15">
        <f>IF('IPO Live'!$M$5="Snapshot",IF(ISNUMBER(G38),G38,"unavailable"),IF(AND(ISNUMBER(K38),N(K38)&gt;0),K38,IF('IPO Live'!$M$5="Auto",IF(ISNUMBER(G38),G38,"unavailable"),"unavailable")))</f>
        <v/>
      </c>
      <c r="P38" s="15">
        <f>IF(AND('IPO Live'!$M$5&lt;&gt;"Snapshot",ISNUMBER(K38),N(K38)&gt;0),"Bloomberg",IF(AND('IPO Live'!$M$5&lt;&gt;"Bloomberg",ISNUMBER(G38)),"Snapshot","Unavailable"))</f>
        <v/>
      </c>
      <c r="Q38" s="33">
        <f>IF(AND(P38="Bloomberg",ISNUMBER(L38)),L38,"unavailable")</f>
        <v/>
      </c>
      <c r="R38" s="15">
        <f>IF(OR('IPO Live'!$B$5="All",'IPO Live'!$B$5=C38,AND('IPO Live'!$B$5="A/H only",J38&gt;0)),1,0)</f>
        <v/>
      </c>
      <c r="S38" s="15">
        <f>IF(R38=1,COUNTIF($R$5:R38,1),"")</f>
        <v/>
      </c>
      <c r="T38">
        <f>1</f>
        <v/>
      </c>
      <c r="U38">
        <f>IF($P38="Bloomberg",$M38,$H38)</f>
        <v/>
      </c>
      <c r="V38" s="15" t="inlineStr">
        <is>
          <t>2768 | GON TECHNOLOGY</t>
        </is>
      </c>
      <c r="W38" s="15" t="inlineStr">
        <is>
          <t>GON TECHNOLOGY</t>
        </is>
      </c>
      <c r="X38" s="31" t="inlineStr">
        <is>
          <t>2768</t>
        </is>
      </c>
      <c r="Y38" s="31" t="inlineStr">
        <is>
          <t>002768.SZ</t>
        </is>
      </c>
      <c r="Z38" s="15" t="inlineStr">
        <is>
          <t>Smart hardware / consumer electronics</t>
        </is>
      </c>
      <c r="AA38" s="34" t="n">
        <v>46057</v>
      </c>
      <c r="AB38" s="15" t="n">
        <v>37.66</v>
      </c>
      <c r="AC38" s="15" t="n">
        <v>69.81</v>
      </c>
      <c r="AD38" s="15" t="n">
        <v>1.170220971107483</v>
      </c>
      <c r="AE38" s="34" t="n">
        <v>46297</v>
      </c>
      <c r="AF38" s="34" t="n">
        <v>46295</v>
      </c>
      <c r="AG38" s="34" t="n">
        <v>46297</v>
      </c>
      <c r="AH38" s="15">
        <f>IF(AND(AH!$M$5="Snapshot",'IPO Live'!$M$5="Snapshot"),"",IFERROR(BDP(LEFT($Y38,FIND(".",$Y38)-1)&amp;" CH Equity","PX_LAST"),""))</f>
        <v/>
      </c>
      <c r="AI38" s="15">
        <f>$K$62</f>
        <v/>
      </c>
      <c r="AJ38" s="15">
        <f>$B$1</f>
        <v/>
      </c>
      <c r="AK38" s="34">
        <f>IF(AND(AH!$M$5="Snapshot",'IPO Live'!$M$5="Snapshot"),"",IFERROR(BDP(LEFT($Y38,FIND(".",$Y38)-1)&amp;" CH Equity","LAST_UPDATE_DT"),""))</f>
        <v/>
      </c>
      <c r="AL38" s="15">
        <f>IF(AND(AH!$M$5="Snapshot",'IPO Live'!$M$5="Snapshot"),"",IFERROR(BDP(LEFT($Y38,FIND(".",$Y38)-1)&amp;" CH Equity","LAST_UPDATE"),""))</f>
        <v/>
      </c>
      <c r="AM38" s="15">
        <f>IF(AND(AH!$M$5&lt;&gt;"Snapshot",ISNUMBER(AH38),N(AH38)&gt;0,ISNUMBER(AI38),N(AI38)&gt;0,ISNUMBER(AJ38),N(AJ38)&gt;0),"Bloomberg",IF(AH!$M$5="Bloomberg","Unavailable",IF(AND(ISNUMBER(AB38),ISNUMBER(AC38),ISNUMBER(AD38)),"Snapshot","Unavailable")))</f>
        <v/>
      </c>
      <c r="AN38" s="15">
        <f>IF(AM38="Bloomberg",AI38,IF(AM38="Snapshot",AB38,"unavailable"))</f>
        <v/>
      </c>
      <c r="AO38" s="15">
        <f>IF(AM38="Bloomberg",AH38,IF(AM38="Snapshot",AC38,"unavailable"))</f>
        <v/>
      </c>
      <c r="AP38" s="15">
        <f>IF(AM38="Bloomberg",AJ38,IF(AM38="Snapshot",AD38,"unavailable"))</f>
        <v/>
      </c>
      <c r="AQ38" s="33">
        <f>IFERROR(IF(AND(ISNUMBER(AN38),N(AN38)&gt;0,ISNUMBER(AO38),N(AO38)&gt;0,ISNUMBER(AP38),N(AP38)&gt;0),AO38*AP38/AN38-1,"unavailable"),"unavailable")</f>
        <v/>
      </c>
      <c r="AR38" s="15" t="n">
        <v>100</v>
      </c>
      <c r="AS38" s="15" t="inlineStr">
        <is>
          <t>One raw share per class; confirm class conversion for adjusted structures</t>
        </is>
      </c>
      <c r="AT38" s="31" t="inlineStr">
        <is>
          <t>002768</t>
        </is>
      </c>
      <c r="AW38">
        <f>IF(AND(J38&gt;0,OR(AH!$I$5="All",AH!$I$5="A/H only",AH!$I$5=C38)),1,0)</f>
        <v/>
      </c>
      <c r="AX38">
        <f>IF(AW38=1,COUNTIF($AW$5:AW38,1),"")</f>
        <v/>
      </c>
      <c r="AY38">
        <f>IF(AH!$M$5="Snapshot",IF(ISNUMBER(G38),G38,"unavailable"),IF(AND(ISNUMBER(K38),N(K38)&gt;0),K38,IF(AH!$M$5="Auto",IF(ISNUMBER(G38),G38,"unavailable"),"unavailable")))</f>
        <v/>
      </c>
      <c r="AZ38">
        <f>IF(AND(AH!$M$5&lt;&gt;"Snapshot",ISNUMBER(K38),N(K38)&gt;0),"Bloomberg",IF(AND(AH!$M$5&lt;&gt;"Bloomberg",ISNUMBER(G38)),"Snapshot","Unavailable"))</f>
        <v/>
      </c>
      <c r="BA38">
        <f>IF(AZ38="Bloomberg",M38,H38)</f>
        <v/>
      </c>
      <c r="BB38">
        <f>1</f>
        <v/>
      </c>
      <c r="BC38" s="15" t="n">
        <v>40.16</v>
      </c>
    </row>
    <row r="39">
      <c r="A39" s="31" t="inlineStr">
        <is>
          <t>0901</t>
        </is>
      </c>
      <c r="B39" s="15" t="inlineStr">
        <is>
          <t>SDMC</t>
        </is>
      </c>
      <c r="C39" s="15" t="inlineStr">
        <is>
          <t>Tech/AI</t>
        </is>
      </c>
      <c r="D39" s="15" t="inlineStr">
        <is>
          <t>Smart hardware / consumer electronics</t>
        </is>
      </c>
      <c r="E39" s="34" t="n">
        <v>46169</v>
      </c>
      <c r="F39" s="15" t="n">
        <v>32.8</v>
      </c>
      <c r="G39" s="15" t="n">
        <v>58.8</v>
      </c>
      <c r="H39" s="34" t="n">
        <v>46297</v>
      </c>
      <c r="I39" s="31" t="n"/>
      <c r="J39" s="15" t="n">
        <v>0</v>
      </c>
      <c r="K39" s="15">
        <f>IF(AND(AH!$M$5="Snapshot",'IPO Live'!$M$5="Snapshot"),"",IFERROR(BDP(TEXT(VALUE($A39),"0")&amp;" HK Equity","PX_LAST"),""))</f>
        <v/>
      </c>
      <c r="L39" s="15">
        <f>IF(AND(AH!$M$5="Snapshot",'IPO Live'!$M$5="Snapshot"),"",IFERROR(BDP(TEXT(VALUE($A39),"0")&amp;" HK Equity","CHG_PCT_1D")/100,""))</f>
        <v/>
      </c>
      <c r="M39" s="15">
        <f>IF(AND(AH!$M$5="Snapshot",'IPO Live'!$M$5="Snapshot"),"",IFERROR(BDP(TEXT(VALUE($A39),"0")&amp;" HK Equity","LAST_UPDATE_DT"),""))</f>
        <v/>
      </c>
      <c r="N39" s="15">
        <f>IF(AND(AH!$M$5="Snapshot",'IPO Live'!$M$5="Snapshot"),"",IFERROR(BDP(TEXT(VALUE($A39),"0")&amp;" HK Equity","LAST_UPDATE"),""))</f>
        <v/>
      </c>
      <c r="O39" s="15">
        <f>IF('IPO Live'!$M$5="Snapshot",IF(ISNUMBER(G39),G39,"unavailable"),IF(AND(ISNUMBER(K39),N(K39)&gt;0),K39,IF('IPO Live'!$M$5="Auto",IF(ISNUMBER(G39),G39,"unavailable"),"unavailable")))</f>
        <v/>
      </c>
      <c r="P39" s="15">
        <f>IF(AND('IPO Live'!$M$5&lt;&gt;"Snapshot",ISNUMBER(K39),N(K39)&gt;0),"Bloomberg",IF(AND('IPO Live'!$M$5&lt;&gt;"Bloomberg",ISNUMBER(G39)),"Snapshot","Unavailable"))</f>
        <v/>
      </c>
      <c r="Q39" s="33">
        <f>IF(AND(P39="Bloomberg",ISNUMBER(L39)),L39,"unavailable")</f>
        <v/>
      </c>
      <c r="R39" s="15">
        <f>IF(OR('IPO Live'!$B$5="All",'IPO Live'!$B$5=C39,AND('IPO Live'!$B$5="A/H only",J39&gt;0)),1,0)</f>
        <v/>
      </c>
      <c r="S39" s="15">
        <f>IF(R39=1,COUNTIF($R$5:R39,1),"")</f>
        <v/>
      </c>
      <c r="T39">
        <f>1</f>
        <v/>
      </c>
      <c r="U39">
        <f>IF($P39="Bloomberg",$M39,$H39)</f>
        <v/>
      </c>
      <c r="V39" s="15" t="inlineStr">
        <is>
          <t>3200 | HANS CNC</t>
        </is>
      </c>
      <c r="W39" s="15" t="inlineStr">
        <is>
          <t>HANS CNC</t>
        </is>
      </c>
      <c r="X39" s="31" t="inlineStr">
        <is>
          <t>3200</t>
        </is>
      </c>
      <c r="Y39" s="31" t="inlineStr">
        <is>
          <t>301200.SZ</t>
        </is>
      </c>
      <c r="Z39" s="15" t="inlineStr">
        <is>
          <t>Capital goods / machinery</t>
        </is>
      </c>
      <c r="AA39" s="34" t="n">
        <v>46059</v>
      </c>
      <c r="AB39" s="15" t="n">
        <v>94</v>
      </c>
      <c r="AC39" s="15" t="n">
        <v>224.79</v>
      </c>
      <c r="AD39" s="15" t="n">
        <v>1.170220971107483</v>
      </c>
      <c r="AE39" s="34" t="n">
        <v>46297</v>
      </c>
      <c r="AF39" s="34" t="n">
        <v>46295</v>
      </c>
      <c r="AG39" s="34" t="n">
        <v>46297</v>
      </c>
      <c r="AH39" s="15">
        <f>IF(AND(AH!$M$5="Snapshot",'IPO Live'!$M$5="Snapshot"),"",IFERROR(BDP(LEFT($Y39,FIND(".",$Y39)-1)&amp;" CH Equity","PX_LAST"),""))</f>
        <v/>
      </c>
      <c r="AI39" s="15">
        <f>$K$394</f>
        <v/>
      </c>
      <c r="AJ39" s="15">
        <f>$B$1</f>
        <v/>
      </c>
      <c r="AK39" s="34">
        <f>IF(AND(AH!$M$5="Snapshot",'IPO Live'!$M$5="Snapshot"),"",IFERROR(BDP(LEFT($Y39,FIND(".",$Y39)-1)&amp;" CH Equity","LAST_UPDATE_DT"),""))</f>
        <v/>
      </c>
      <c r="AL39" s="15">
        <f>IF(AND(AH!$M$5="Snapshot",'IPO Live'!$M$5="Snapshot"),"",IFERROR(BDP(LEFT($Y39,FIND(".",$Y39)-1)&amp;" CH Equity","LAST_UPDATE"),""))</f>
        <v/>
      </c>
      <c r="AM39" s="15">
        <f>IF(AND(AH!$M$5&lt;&gt;"Snapshot",ISNUMBER(AH39),N(AH39)&gt;0,ISNUMBER(AI39),N(AI39)&gt;0,ISNUMBER(AJ39),N(AJ39)&gt;0),"Bloomberg",IF(AH!$M$5="Bloomberg","Unavailable",IF(AND(ISNUMBER(AB39),ISNUMBER(AC39),ISNUMBER(AD39)),"Snapshot","Unavailable")))</f>
        <v/>
      </c>
      <c r="AN39" s="15">
        <f>IF(AM39="Bloomberg",AI39,IF(AM39="Snapshot",AB39,"unavailable"))</f>
        <v/>
      </c>
      <c r="AO39" s="15">
        <f>IF(AM39="Bloomberg",AH39,IF(AM39="Snapshot",AC39,"unavailable"))</f>
        <v/>
      </c>
      <c r="AP39" s="15">
        <f>IF(AM39="Bloomberg",AJ39,IF(AM39="Snapshot",AD39,"unavailable"))</f>
        <v/>
      </c>
      <c r="AQ39" s="33">
        <f>IFERROR(IF(AND(ISNUMBER(AN39),N(AN39)&gt;0,ISNUMBER(AO39),N(AO39)&gt;0,ISNUMBER(AP39),N(AP39)&gt;0),AO39*AP39/AN39-1,"unavailable"),"unavailable")</f>
        <v/>
      </c>
      <c r="AR39" s="15" t="n">
        <v>103</v>
      </c>
      <c r="AS39" s="15" t="inlineStr">
        <is>
          <t>One raw share per class; confirm class conversion for adjusted structures</t>
        </is>
      </c>
      <c r="AT39" s="31" t="inlineStr">
        <is>
          <t>301200</t>
        </is>
      </c>
      <c r="AW39">
        <f>IF(AND(J39&gt;0,OR(AH!$I$5="All",AH!$I$5="A/H only",AH!$I$5=C39)),1,0)</f>
        <v/>
      </c>
      <c r="AX39">
        <f>IF(AW39=1,COUNTIF($AW$5:AW39,1),"")</f>
        <v/>
      </c>
      <c r="AY39">
        <f>IF(AH!$M$5="Snapshot",IF(ISNUMBER(G39),G39,"unavailable"),IF(AND(ISNUMBER(K39),N(K39)&gt;0),K39,IF(AH!$M$5="Auto",IF(ISNUMBER(G39),G39,"unavailable"),"unavailable")))</f>
        <v/>
      </c>
      <c r="AZ39">
        <f>IF(AND(AH!$M$5&lt;&gt;"Snapshot",ISNUMBER(K39),N(K39)&gt;0),"Bloomberg",IF(AND(AH!$M$5&lt;&gt;"Bloomberg",ISNUMBER(G39)),"Snapshot","Unavailable"))</f>
        <v/>
      </c>
      <c r="BA39">
        <f>IF(AZ39="Bloomberg",M39,H39)</f>
        <v/>
      </c>
      <c r="BB39">
        <f>1</f>
        <v/>
      </c>
      <c r="BC39" s="15" t="n">
        <v>110</v>
      </c>
    </row>
    <row r="40">
      <c r="A40" s="31" t="inlineStr">
        <is>
          <t>1511</t>
        </is>
      </c>
      <c r="B40" s="15" t="inlineStr">
        <is>
          <t>UISEE TECH</t>
        </is>
      </c>
      <c r="C40" s="15" t="inlineStr">
        <is>
          <t>Tech/AI</t>
        </is>
      </c>
      <c r="D40" s="15" t="inlineStr">
        <is>
          <t>Robotics &amp; autonomous driving</t>
        </is>
      </c>
      <c r="E40" s="34" t="n">
        <v>46162</v>
      </c>
      <c r="F40" s="15" t="n">
        <v>60.3</v>
      </c>
      <c r="G40" s="15" t="n">
        <v>51</v>
      </c>
      <c r="H40" s="34" t="n">
        <v>46297</v>
      </c>
      <c r="I40" s="31" t="n"/>
      <c r="J40" s="15" t="n">
        <v>0</v>
      </c>
      <c r="K40" s="15">
        <f>IF(AND(AH!$M$5="Snapshot",'IPO Live'!$M$5="Snapshot"),"",IFERROR(BDP(TEXT(VALUE($A40),"0")&amp;" HK Equity","PX_LAST"),""))</f>
        <v/>
      </c>
      <c r="L40" s="15">
        <f>IF(AND(AH!$M$5="Snapshot",'IPO Live'!$M$5="Snapshot"),"",IFERROR(BDP(TEXT(VALUE($A40),"0")&amp;" HK Equity","CHG_PCT_1D")/100,""))</f>
        <v/>
      </c>
      <c r="M40" s="15">
        <f>IF(AND(AH!$M$5="Snapshot",'IPO Live'!$M$5="Snapshot"),"",IFERROR(BDP(TEXT(VALUE($A40),"0")&amp;" HK Equity","LAST_UPDATE_DT"),""))</f>
        <v/>
      </c>
      <c r="N40" s="15">
        <f>IF(AND(AH!$M$5="Snapshot",'IPO Live'!$M$5="Snapshot"),"",IFERROR(BDP(TEXT(VALUE($A40),"0")&amp;" HK Equity","LAST_UPDATE"),""))</f>
        <v/>
      </c>
      <c r="O40" s="15">
        <f>IF('IPO Live'!$M$5="Snapshot",IF(ISNUMBER(G40),G40,"unavailable"),IF(AND(ISNUMBER(K40),N(K40)&gt;0),K40,IF('IPO Live'!$M$5="Auto",IF(ISNUMBER(G40),G40,"unavailable"),"unavailable")))</f>
        <v/>
      </c>
      <c r="P40" s="15">
        <f>IF(AND('IPO Live'!$M$5&lt;&gt;"Snapshot",ISNUMBER(K40),N(K40)&gt;0),"Bloomberg",IF(AND('IPO Live'!$M$5&lt;&gt;"Bloomberg",ISNUMBER(G40)),"Snapshot","Unavailable"))</f>
        <v/>
      </c>
      <c r="Q40" s="33">
        <f>IF(AND(P40="Bloomberg",ISNUMBER(L40)),L40,"unavailable")</f>
        <v/>
      </c>
      <c r="R40" s="15">
        <f>IF(OR('IPO Live'!$B$5="All",'IPO Live'!$B$5=C40,AND('IPO Live'!$B$5="A/H only",J40&gt;0)),1,0)</f>
        <v/>
      </c>
      <c r="S40" s="15">
        <f>IF(R40=1,COUNTIF($R$5:R40,1),"")</f>
        <v/>
      </c>
      <c r="T40">
        <f>1</f>
        <v/>
      </c>
      <c r="U40">
        <f>IF($P40="Bloomberg",$M40,$H40)</f>
        <v/>
      </c>
      <c r="V40" s="15" t="inlineStr">
        <is>
          <t>2714 | MUYUAN</t>
        </is>
      </c>
      <c r="W40" s="15" t="inlineStr">
        <is>
          <t>MUYUAN</t>
        </is>
      </c>
      <c r="X40" s="31" t="inlineStr">
        <is>
          <t>2714</t>
        </is>
      </c>
      <c r="Y40" s="31" t="inlineStr">
        <is>
          <t>002714.SZ</t>
        </is>
      </c>
      <c r="Z40" s="15" t="inlineStr">
        <is>
          <t>Beverages / packaged food</t>
        </is>
      </c>
      <c r="AA40" s="34" t="n">
        <v>46059</v>
      </c>
      <c r="AB40" s="15" t="n">
        <v>36.78</v>
      </c>
      <c r="AC40" s="15" t="n">
        <v>42.45</v>
      </c>
      <c r="AD40" s="15" t="n">
        <v>1.170220971107483</v>
      </c>
      <c r="AE40" s="34" t="n">
        <v>46297</v>
      </c>
      <c r="AF40" s="34" t="n">
        <v>46295</v>
      </c>
      <c r="AG40" s="34" t="n">
        <v>46297</v>
      </c>
      <c r="AH40" s="15">
        <f>IF(AND(AH!$M$5="Snapshot",'IPO Live'!$M$5="Snapshot"),"",IFERROR(BDP(LEFT($Y40,FIND(".",$Y40)-1)&amp;" CH Equity","PX_LAST"),""))</f>
        <v/>
      </c>
      <c r="AI40" s="15">
        <f>$K$297</f>
        <v/>
      </c>
      <c r="AJ40" s="15">
        <f>$B$1</f>
        <v/>
      </c>
      <c r="AK40" s="34">
        <f>IF(AND(AH!$M$5="Snapshot",'IPO Live'!$M$5="Snapshot"),"",IFERROR(BDP(LEFT($Y40,FIND(".",$Y40)-1)&amp;" CH Equity","LAST_UPDATE_DT"),""))</f>
        <v/>
      </c>
      <c r="AL40" s="15">
        <f>IF(AND(AH!$M$5="Snapshot",'IPO Live'!$M$5="Snapshot"),"",IFERROR(BDP(LEFT($Y40,FIND(".",$Y40)-1)&amp;" CH Equity","LAST_UPDATE"),""))</f>
        <v/>
      </c>
      <c r="AM40" s="15">
        <f>IF(AND(AH!$M$5&lt;&gt;"Snapshot",ISNUMBER(AH40),N(AH40)&gt;0,ISNUMBER(AI40),N(AI40)&gt;0,ISNUMBER(AJ40),N(AJ40)&gt;0),"Bloomberg",IF(AH!$M$5="Bloomberg","Unavailable",IF(AND(ISNUMBER(AB40),ISNUMBER(AC40),ISNUMBER(AD40)),"Snapshot","Unavailable")))</f>
        <v/>
      </c>
      <c r="AN40" s="15">
        <f>IF(AM40="Bloomberg",AI40,IF(AM40="Snapshot",AB40,"unavailable"))</f>
        <v/>
      </c>
      <c r="AO40" s="15">
        <f>IF(AM40="Bloomberg",AH40,IF(AM40="Snapshot",AC40,"unavailable"))</f>
        <v/>
      </c>
      <c r="AP40" s="15">
        <f>IF(AM40="Bloomberg",AJ40,IF(AM40="Snapshot",AD40,"unavailable"))</f>
        <v/>
      </c>
      <c r="AQ40" s="33">
        <f>IFERROR(IF(AND(ISNUMBER(AN40),N(AN40)&gt;0,ISNUMBER(AO40),N(AO40)&gt;0,ISNUMBER(AP40),N(AP40)&gt;0),AO40*AP40/AN40-1,"unavailable"),"unavailable")</f>
        <v/>
      </c>
      <c r="AR40" s="15" t="n">
        <v>106</v>
      </c>
      <c r="AS40" s="15" t="inlineStr">
        <is>
          <t>One raw share per class; confirm class conversion for adjusted structures</t>
        </is>
      </c>
      <c r="AT40" s="31" t="inlineStr">
        <is>
          <t>002714</t>
        </is>
      </c>
      <c r="AW40">
        <f>IF(AND(J40&gt;0,OR(AH!$I$5="All",AH!$I$5="A/H only",AH!$I$5=C40)),1,0)</f>
        <v/>
      </c>
      <c r="AX40">
        <f>IF(AW40=1,COUNTIF($AW$5:AW40,1),"")</f>
        <v/>
      </c>
      <c r="AY40">
        <f>IF(AH!$M$5="Snapshot",IF(ISNUMBER(G40),G40,"unavailable"),IF(AND(ISNUMBER(K40),N(K40)&gt;0),K40,IF(AH!$M$5="Auto",IF(ISNUMBER(G40),G40,"unavailable"),"unavailable")))</f>
        <v/>
      </c>
      <c r="AZ40">
        <f>IF(AND(AH!$M$5&lt;&gt;"Snapshot",ISNUMBER(K40),N(K40)&gt;0),"Bloomberg",IF(AND(AH!$M$5&lt;&gt;"Bloomberg",ISNUMBER(G40)),"Snapshot","Unavailable"))</f>
        <v/>
      </c>
      <c r="BA40">
        <f>IF(AZ40="Bloomberg",M40,H40)</f>
        <v/>
      </c>
      <c r="BB40">
        <f>1</f>
        <v/>
      </c>
      <c r="BC40" s="15" t="n">
        <v>40.52</v>
      </c>
    </row>
    <row r="41">
      <c r="A41" s="31" t="inlineStr">
        <is>
          <t>6871</t>
        </is>
      </c>
      <c r="B41" s="15" t="inlineStr">
        <is>
          <t>ROBOTPHOENIX</t>
        </is>
      </c>
      <c r="C41" s="15" t="inlineStr">
        <is>
          <t>Tech/AI</t>
        </is>
      </c>
      <c r="D41" s="15" t="inlineStr">
        <is>
          <t>Robotics &amp; autonomous driving</t>
        </is>
      </c>
      <c r="E41" s="34" t="n">
        <v>46160</v>
      </c>
      <c r="F41" s="15" t="n">
        <v>30.5</v>
      </c>
      <c r="G41" s="15" t="n">
        <v>28.72</v>
      </c>
      <c r="H41" s="34" t="n">
        <v>46297</v>
      </c>
      <c r="I41" s="31" t="n"/>
      <c r="J41" s="15" t="n">
        <v>0</v>
      </c>
      <c r="K41" s="15">
        <f>IF(AND(AH!$M$5="Snapshot",'IPO Live'!$M$5="Snapshot"),"",IFERROR(BDP(TEXT(VALUE($A41),"0")&amp;" HK Equity","PX_LAST"),""))</f>
        <v/>
      </c>
      <c r="L41" s="15">
        <f>IF(AND(AH!$M$5="Snapshot",'IPO Live'!$M$5="Snapshot"),"",IFERROR(BDP(TEXT(VALUE($A41),"0")&amp;" HK Equity","CHG_PCT_1D")/100,""))</f>
        <v/>
      </c>
      <c r="M41" s="15">
        <f>IF(AND(AH!$M$5="Snapshot",'IPO Live'!$M$5="Snapshot"),"",IFERROR(BDP(TEXT(VALUE($A41),"0")&amp;" HK Equity","LAST_UPDATE_DT"),""))</f>
        <v/>
      </c>
      <c r="N41" s="15">
        <f>IF(AND(AH!$M$5="Snapshot",'IPO Live'!$M$5="Snapshot"),"",IFERROR(BDP(TEXT(VALUE($A41),"0")&amp;" HK Equity","LAST_UPDATE"),""))</f>
        <v/>
      </c>
      <c r="O41" s="15">
        <f>IF('IPO Live'!$M$5="Snapshot",IF(ISNUMBER(G41),G41,"unavailable"),IF(AND(ISNUMBER(K41),N(K41)&gt;0),K41,IF('IPO Live'!$M$5="Auto",IF(ISNUMBER(G41),G41,"unavailable"),"unavailable")))</f>
        <v/>
      </c>
      <c r="P41" s="15">
        <f>IF(AND('IPO Live'!$M$5&lt;&gt;"Snapshot",ISNUMBER(K41),N(K41)&gt;0),"Bloomberg",IF(AND('IPO Live'!$M$5&lt;&gt;"Bloomberg",ISNUMBER(G41)),"Snapshot","Unavailable"))</f>
        <v/>
      </c>
      <c r="Q41" s="33">
        <f>IF(AND(P41="Bloomberg",ISNUMBER(L41)),L41,"unavailable")</f>
        <v/>
      </c>
      <c r="R41" s="15">
        <f>IF(OR('IPO Live'!$B$5="All",'IPO Live'!$B$5=C41,AND('IPO Live'!$B$5="A/H only",J41&gt;0)),1,0)</f>
        <v/>
      </c>
      <c r="S41" s="15">
        <f>IF(R41=1,COUNTIF($R$5:R41,1),"")</f>
        <v/>
      </c>
      <c r="T41">
        <f>1</f>
        <v/>
      </c>
      <c r="U41">
        <f>IF($P41="Bloomberg",$M41,$H41)</f>
        <v/>
      </c>
      <c r="V41" s="15" t="inlineStr">
        <is>
          <t>6809 | MONTAGE TECH</t>
        </is>
      </c>
      <c r="W41" s="15" t="inlineStr">
        <is>
          <t>MONTAGE TECH</t>
        </is>
      </c>
      <c r="X41" s="31" t="inlineStr">
        <is>
          <t>6809</t>
        </is>
      </c>
      <c r="Y41" s="31" t="inlineStr">
        <is>
          <t>688008.SS</t>
        </is>
      </c>
      <c r="Z41" s="15" t="inlineStr">
        <is>
          <t>Memory / interface semiconductors</t>
        </is>
      </c>
      <c r="AA41" s="34" t="n">
        <v>46062</v>
      </c>
      <c r="AB41" s="15" t="n">
        <v>289.6</v>
      </c>
      <c r="AC41" s="15" t="n">
        <v>202.31</v>
      </c>
      <c r="AD41" s="15" t="n">
        <v>1.170220971107483</v>
      </c>
      <c r="AE41" s="34" t="n">
        <v>46297</v>
      </c>
      <c r="AF41" s="34" t="n">
        <v>46295</v>
      </c>
      <c r="AG41" s="34" t="n">
        <v>46297</v>
      </c>
      <c r="AH41" s="15">
        <f>IF(AND(AH!$M$5="Snapshot",'IPO Live'!$M$5="Snapshot"),"",IFERROR(BDP(LEFT($Y41,FIND(".",$Y41)-1)&amp;" CH Equity","PX_LAST"),""))</f>
        <v/>
      </c>
      <c r="AI41" s="15">
        <f>$K$61</f>
        <v/>
      </c>
      <c r="AJ41" s="15">
        <f>$B$1</f>
        <v/>
      </c>
      <c r="AK41" s="34">
        <f>IF(AND(AH!$M$5="Snapshot",'IPO Live'!$M$5="Snapshot"),"",IFERROR(BDP(LEFT($Y41,FIND(".",$Y41)-1)&amp;" CH Equity","LAST_UPDATE_DT"),""))</f>
        <v/>
      </c>
      <c r="AL41" s="15">
        <f>IF(AND(AH!$M$5="Snapshot",'IPO Live'!$M$5="Snapshot"),"",IFERROR(BDP(LEFT($Y41,FIND(".",$Y41)-1)&amp;" CH Equity","LAST_UPDATE"),""))</f>
        <v/>
      </c>
      <c r="AM41" s="15">
        <f>IF(AND(AH!$M$5&lt;&gt;"Snapshot",ISNUMBER(AH41),N(AH41)&gt;0,ISNUMBER(AI41),N(AI41)&gt;0,ISNUMBER(AJ41),N(AJ41)&gt;0),"Bloomberg",IF(AH!$M$5="Bloomberg","Unavailable",IF(AND(ISNUMBER(AB41),ISNUMBER(AC41),ISNUMBER(AD41)),"Snapshot","Unavailable")))</f>
        <v/>
      </c>
      <c r="AN41" s="15">
        <f>IF(AM41="Bloomberg",AI41,IF(AM41="Snapshot",AB41,"unavailable"))</f>
        <v/>
      </c>
      <c r="AO41" s="15">
        <f>IF(AM41="Bloomberg",AH41,IF(AM41="Snapshot",AC41,"unavailable"))</f>
        <v/>
      </c>
      <c r="AP41" s="15">
        <f>IF(AM41="Bloomberg",AJ41,IF(AM41="Snapshot",AD41,"unavailable"))</f>
        <v/>
      </c>
      <c r="AQ41" s="33">
        <f>IFERROR(IF(AND(ISNUMBER(AN41),N(AN41)&gt;0,ISNUMBER(AO41),N(AO41)&gt;0,ISNUMBER(AP41),N(AP41)&gt;0),AO41*AP41/AN41-1,"unavailable"),"unavailable")</f>
        <v/>
      </c>
      <c r="AR41" s="15" t="n">
        <v>109</v>
      </c>
      <c r="AS41" s="15" t="inlineStr">
        <is>
          <t>One raw share per class; confirm class conversion for adjusted structures</t>
        </is>
      </c>
      <c r="AT41" s="31" t="inlineStr">
        <is>
          <t>688008</t>
        </is>
      </c>
      <c r="AW41">
        <f>IF(AND(J41&gt;0,OR(AH!$I$5="All",AH!$I$5="A/H only",AH!$I$5=C41)),1,0)</f>
        <v/>
      </c>
      <c r="AX41">
        <f>IF(AW41=1,COUNTIF($AW$5:AW41,1),"")</f>
        <v/>
      </c>
      <c r="AY41">
        <f>IF(AH!$M$5="Snapshot",IF(ISNUMBER(G41),G41,"unavailable"),IF(AND(ISNUMBER(K41),N(K41)&gt;0),K41,IF(AH!$M$5="Auto",IF(ISNUMBER(G41),G41,"unavailable"),"unavailable")))</f>
        <v/>
      </c>
      <c r="AZ41">
        <f>IF(AND(AH!$M$5&lt;&gt;"Snapshot",ISNUMBER(K41),N(K41)&gt;0),"Bloomberg",IF(AND(AH!$M$5&lt;&gt;"Bloomberg",ISNUMBER(G41)),"Snapshot","Unavailable"))</f>
        <v/>
      </c>
      <c r="BA41">
        <f>IF(AZ41="Bloomberg",M41,H41)</f>
        <v/>
      </c>
      <c r="BB41">
        <f>1</f>
        <v/>
      </c>
      <c r="BC41" s="15" t="n">
        <v>175</v>
      </c>
    </row>
    <row r="42">
      <c r="A42" s="31" t="inlineStr">
        <is>
          <t>1236</t>
        </is>
      </c>
      <c r="B42" s="15" t="inlineStr">
        <is>
          <t>LDROBOT</t>
        </is>
      </c>
      <c r="C42" s="15" t="inlineStr">
        <is>
          <t>Tech/AI</t>
        </is>
      </c>
      <c r="D42" s="15" t="inlineStr">
        <is>
          <t>Robotics &amp; autonomous driving</t>
        </is>
      </c>
      <c r="E42" s="34" t="n">
        <v>46153</v>
      </c>
      <c r="F42" s="15" t="n">
        <v>26.36</v>
      </c>
      <c r="G42" s="15" t="n">
        <v>23.9</v>
      </c>
      <c r="H42" s="34" t="n">
        <v>46297</v>
      </c>
      <c r="I42" s="31" t="n"/>
      <c r="J42" s="15" t="n">
        <v>0</v>
      </c>
      <c r="K42" s="15">
        <f>IF(AND(AH!$M$5="Snapshot",'IPO Live'!$M$5="Snapshot"),"",IFERROR(BDP(TEXT(VALUE($A42),"0")&amp;" HK Equity","PX_LAST"),""))</f>
        <v/>
      </c>
      <c r="L42" s="15">
        <f>IF(AND(AH!$M$5="Snapshot",'IPO Live'!$M$5="Snapshot"),"",IFERROR(BDP(TEXT(VALUE($A42),"0")&amp;" HK Equity","CHG_PCT_1D")/100,""))</f>
        <v/>
      </c>
      <c r="M42" s="15">
        <f>IF(AND(AH!$M$5="Snapshot",'IPO Live'!$M$5="Snapshot"),"",IFERROR(BDP(TEXT(VALUE($A42),"0")&amp;" HK Equity","LAST_UPDATE_DT"),""))</f>
        <v/>
      </c>
      <c r="N42" s="15">
        <f>IF(AND(AH!$M$5="Snapshot",'IPO Live'!$M$5="Snapshot"),"",IFERROR(BDP(TEXT(VALUE($A42),"0")&amp;" HK Equity","LAST_UPDATE"),""))</f>
        <v/>
      </c>
      <c r="O42" s="15">
        <f>IF('IPO Live'!$M$5="Snapshot",IF(ISNUMBER(G42),G42,"unavailable"),IF(AND(ISNUMBER(K42),N(K42)&gt;0),K42,IF('IPO Live'!$M$5="Auto",IF(ISNUMBER(G42),G42,"unavailable"),"unavailable")))</f>
        <v/>
      </c>
      <c r="P42" s="15">
        <f>IF(AND('IPO Live'!$M$5&lt;&gt;"Snapshot",ISNUMBER(K42),N(K42)&gt;0),"Bloomberg",IF(AND('IPO Live'!$M$5&lt;&gt;"Bloomberg",ISNUMBER(G42)),"Snapshot","Unavailable"))</f>
        <v/>
      </c>
      <c r="Q42" s="33">
        <f>IF(AND(P42="Bloomberg",ISNUMBER(L42)),L42,"unavailable")</f>
        <v/>
      </c>
      <c r="R42" s="15">
        <f>IF(OR('IPO Live'!$B$5="All",'IPO Live'!$B$5=C42,AND('IPO Live'!$B$5="A/H only",J42&gt;0)),1,0)</f>
        <v/>
      </c>
      <c r="S42" s="15">
        <f>IF(R42=1,COUNTIF($R$5:R42,1),"")</f>
        <v/>
      </c>
      <c r="T42">
        <f>1</f>
        <v/>
      </c>
      <c r="U42">
        <f>IF($P42="Bloomberg",$M42,$H42)</f>
        <v/>
      </c>
      <c r="V42" s="15" t="inlineStr">
        <is>
          <t>0470 | WUXI LEAD</t>
        </is>
      </c>
      <c r="W42" s="15" t="inlineStr">
        <is>
          <t>WUXI LEAD</t>
        </is>
      </c>
      <c r="X42" s="31" t="inlineStr">
        <is>
          <t>0470</t>
        </is>
      </c>
      <c r="Y42" s="31" t="inlineStr">
        <is>
          <t>300450.SZ</t>
        </is>
      </c>
      <c r="Z42" s="15" t="inlineStr">
        <is>
          <t>Capital goods / machinery</t>
        </is>
      </c>
      <c r="AA42" s="34" t="n">
        <v>46064</v>
      </c>
      <c r="AB42" s="15" t="n">
        <v>27.4</v>
      </c>
      <c r="AC42" s="15" t="n">
        <v>34.94</v>
      </c>
      <c r="AD42" s="15" t="n">
        <v>1.170220971107483</v>
      </c>
      <c r="AE42" s="34" t="n">
        <v>46297</v>
      </c>
      <c r="AF42" s="34" t="n">
        <v>46295</v>
      </c>
      <c r="AG42" s="34" t="n">
        <v>46297</v>
      </c>
      <c r="AH42" s="15">
        <f>IF(AND(AH!$M$5="Snapshot",'IPO Live'!$M$5="Snapshot"),"",IFERROR(BDP(LEFT($Y42,FIND(".",$Y42)-1)&amp;" CH Equity","PX_LAST"),""))</f>
        <v/>
      </c>
      <c r="AI42" s="15">
        <f>$K$393</f>
        <v/>
      </c>
      <c r="AJ42" s="15">
        <f>$B$1</f>
        <v/>
      </c>
      <c r="AK42" s="34">
        <f>IF(AND(AH!$M$5="Snapshot",'IPO Live'!$M$5="Snapshot"),"",IFERROR(BDP(LEFT($Y42,FIND(".",$Y42)-1)&amp;" CH Equity","LAST_UPDATE_DT"),""))</f>
        <v/>
      </c>
      <c r="AL42" s="15">
        <f>IF(AND(AH!$M$5="Snapshot",'IPO Live'!$M$5="Snapshot"),"",IFERROR(BDP(LEFT($Y42,FIND(".",$Y42)-1)&amp;" CH Equity","LAST_UPDATE"),""))</f>
        <v/>
      </c>
      <c r="AM42" s="15">
        <f>IF(AND(AH!$M$5&lt;&gt;"Snapshot",ISNUMBER(AH42),N(AH42)&gt;0,ISNUMBER(AI42),N(AI42)&gt;0,ISNUMBER(AJ42),N(AJ42)&gt;0),"Bloomberg",IF(AH!$M$5="Bloomberg","Unavailable",IF(AND(ISNUMBER(AB42),ISNUMBER(AC42),ISNUMBER(AD42)),"Snapshot","Unavailable")))</f>
        <v/>
      </c>
      <c r="AN42" s="15">
        <f>IF(AM42="Bloomberg",AI42,IF(AM42="Snapshot",AB42,"unavailable"))</f>
        <v/>
      </c>
      <c r="AO42" s="15">
        <f>IF(AM42="Bloomberg",AH42,IF(AM42="Snapshot",AC42,"unavailable"))</f>
        <v/>
      </c>
      <c r="AP42" s="15">
        <f>IF(AM42="Bloomberg",AJ42,IF(AM42="Snapshot",AD42,"unavailable"))</f>
        <v/>
      </c>
      <c r="AQ42" s="33">
        <f>IFERROR(IF(AND(ISNUMBER(AN42),N(AN42)&gt;0,ISNUMBER(AO42),N(AO42)&gt;0,ISNUMBER(AP42),N(AP42)&gt;0),AO42*AP42/AN42-1,"unavailable"),"unavailable")</f>
        <v/>
      </c>
      <c r="AR42" s="15" t="n">
        <v>112</v>
      </c>
      <c r="AS42" s="15" t="inlineStr">
        <is>
          <t>One raw share per class; confirm class conversion for adjusted structures</t>
        </is>
      </c>
      <c r="AT42" s="31" t="inlineStr">
        <is>
          <t>300450</t>
        </is>
      </c>
      <c r="AW42">
        <f>IF(AND(J42&gt;0,OR(AH!$I$5="All",AH!$I$5="A/H only",AH!$I$5=C42)),1,0)</f>
        <v/>
      </c>
      <c r="AX42">
        <f>IF(AW42=1,COUNTIF($AW$5:AW42,1),"")</f>
        <v/>
      </c>
      <c r="AY42">
        <f>IF(AH!$M$5="Snapshot",IF(ISNUMBER(G42),G42,"unavailable"),IF(AND(ISNUMBER(K42),N(K42)&gt;0),K42,IF(AH!$M$5="Auto",IF(ISNUMBER(G42),G42,"unavailable"),"unavailable")))</f>
        <v/>
      </c>
      <c r="AZ42">
        <f>IF(AND(AH!$M$5&lt;&gt;"Snapshot",ISNUMBER(K42),N(K42)&gt;0),"Bloomberg",IF(AND(AH!$M$5&lt;&gt;"Bloomberg",ISNUMBER(G42)),"Snapshot","Unavailable"))</f>
        <v/>
      </c>
      <c r="BA42">
        <f>IF(AZ42="Bloomberg",M42,H42)</f>
        <v/>
      </c>
      <c r="BB42">
        <f>1</f>
        <v/>
      </c>
      <c r="BC42" s="15" t="n">
        <v>45.8</v>
      </c>
    </row>
    <row r="43">
      <c r="A43" s="31" t="inlineStr">
        <is>
          <t>6810</t>
        </is>
      </c>
      <c r="B43" s="15" t="inlineStr">
        <is>
          <t>SUNMI TECH-W</t>
        </is>
      </c>
      <c r="C43" s="15" t="inlineStr">
        <is>
          <t>Tech/AI</t>
        </is>
      </c>
      <c r="D43" s="15" t="inlineStr">
        <is>
          <t>Smart hardware / consumer electronics</t>
        </is>
      </c>
      <c r="E43" s="34" t="n">
        <v>46141</v>
      </c>
      <c r="F43" s="15" t="n">
        <v>24.86</v>
      </c>
      <c r="G43" s="15" t="n">
        <v>48.12</v>
      </c>
      <c r="H43" s="34" t="n">
        <v>46297</v>
      </c>
      <c r="I43" s="31" t="n"/>
      <c r="J43" s="15" t="n">
        <v>0</v>
      </c>
      <c r="K43" s="15">
        <f>IF(AND(AH!$M$5="Snapshot",'IPO Live'!$M$5="Snapshot"),"",IFERROR(BDP(TEXT(VALUE($A43),"0")&amp;" HK Equity","PX_LAST"),""))</f>
        <v/>
      </c>
      <c r="L43" s="15">
        <f>IF(AND(AH!$M$5="Snapshot",'IPO Live'!$M$5="Snapshot"),"",IFERROR(BDP(TEXT(VALUE($A43),"0")&amp;" HK Equity","CHG_PCT_1D")/100,""))</f>
        <v/>
      </c>
      <c r="M43" s="15">
        <f>IF(AND(AH!$M$5="Snapshot",'IPO Live'!$M$5="Snapshot"),"",IFERROR(BDP(TEXT(VALUE($A43),"0")&amp;" HK Equity","LAST_UPDATE_DT"),""))</f>
        <v/>
      </c>
      <c r="N43" s="15">
        <f>IF(AND(AH!$M$5="Snapshot",'IPO Live'!$M$5="Snapshot"),"",IFERROR(BDP(TEXT(VALUE($A43),"0")&amp;" HK Equity","LAST_UPDATE"),""))</f>
        <v/>
      </c>
      <c r="O43" s="15">
        <f>IF('IPO Live'!$M$5="Snapshot",IF(ISNUMBER(G43),G43,"unavailable"),IF(AND(ISNUMBER(K43),N(K43)&gt;0),K43,IF('IPO Live'!$M$5="Auto",IF(ISNUMBER(G43),G43,"unavailable"),"unavailable")))</f>
        <v/>
      </c>
      <c r="P43" s="15">
        <f>IF(AND('IPO Live'!$M$5&lt;&gt;"Snapshot",ISNUMBER(K43),N(K43)&gt;0),"Bloomberg",IF(AND('IPO Live'!$M$5&lt;&gt;"Bloomberg",ISNUMBER(G43)),"Snapshot","Unavailable"))</f>
        <v/>
      </c>
      <c r="Q43" s="33">
        <f>IF(AND(P43="Bloomberg",ISNUMBER(L43)),L43,"unavailable")</f>
        <v/>
      </c>
      <c r="R43" s="15">
        <f>IF(OR('IPO Live'!$B$5="All",'IPO Live'!$B$5=C43,AND('IPO Live'!$B$5="A/H only",J43&gt;0)),1,0)</f>
        <v/>
      </c>
      <c r="S43" s="15">
        <f>IF(R43=1,COUNTIF($R$5:R43,1),"")</f>
        <v/>
      </c>
      <c r="T43">
        <f>1</f>
        <v/>
      </c>
      <c r="U43">
        <f>IF($P43="Bloomberg",$M43,$H43)</f>
        <v/>
      </c>
      <c r="V43" s="15" t="inlineStr">
        <is>
          <t>9981 | WOER</t>
        </is>
      </c>
      <c r="W43" s="15" t="inlineStr">
        <is>
          <t>WOER</t>
        </is>
      </c>
      <c r="X43" s="31" t="inlineStr">
        <is>
          <t>9981</t>
        </is>
      </c>
      <c r="Y43" s="31" t="inlineStr">
        <is>
          <t>002130.SZ</t>
        </is>
      </c>
      <c r="Z43" s="15" t="inlineStr">
        <is>
          <t>Chemicals</t>
        </is>
      </c>
      <c r="AA43" s="34" t="n">
        <v>46066</v>
      </c>
      <c r="AB43" s="15" t="n">
        <v>8.1</v>
      </c>
      <c r="AC43" s="15" t="n">
        <v>15.71</v>
      </c>
      <c r="AD43" s="15" t="n">
        <v>1.170220971107483</v>
      </c>
      <c r="AE43" s="34" t="n">
        <v>46297</v>
      </c>
      <c r="AF43" s="34" t="n">
        <v>46295</v>
      </c>
      <c r="AG43" s="34" t="n">
        <v>46297</v>
      </c>
      <c r="AH43" s="15">
        <f>IF(AND(AH!$M$5="Snapshot",'IPO Live'!$M$5="Snapshot"),"",IFERROR(BDP(LEFT($Y43,FIND(".",$Y43)-1)&amp;" CH Equity","PX_LAST"),""))</f>
        <v/>
      </c>
      <c r="AI43" s="15">
        <f>$K$453</f>
        <v/>
      </c>
      <c r="AJ43" s="15">
        <f>$B$1</f>
        <v/>
      </c>
      <c r="AK43" s="34">
        <f>IF(AND(AH!$M$5="Snapshot",'IPO Live'!$M$5="Snapshot"),"",IFERROR(BDP(LEFT($Y43,FIND(".",$Y43)-1)&amp;" CH Equity","LAST_UPDATE_DT"),""))</f>
        <v/>
      </c>
      <c r="AL43" s="15">
        <f>IF(AND(AH!$M$5="Snapshot",'IPO Live'!$M$5="Snapshot"),"",IFERROR(BDP(LEFT($Y43,FIND(".",$Y43)-1)&amp;" CH Equity","LAST_UPDATE"),""))</f>
        <v/>
      </c>
      <c r="AM43" s="15">
        <f>IF(AND(AH!$M$5&lt;&gt;"Snapshot",ISNUMBER(AH43),N(AH43)&gt;0,ISNUMBER(AI43),N(AI43)&gt;0,ISNUMBER(AJ43),N(AJ43)&gt;0),"Bloomberg",IF(AH!$M$5="Bloomberg","Unavailable",IF(AND(ISNUMBER(AB43),ISNUMBER(AC43),ISNUMBER(AD43)),"Snapshot","Unavailable")))</f>
        <v/>
      </c>
      <c r="AN43" s="15">
        <f>IF(AM43="Bloomberg",AI43,IF(AM43="Snapshot",AB43,"unavailable"))</f>
        <v/>
      </c>
      <c r="AO43" s="15">
        <f>IF(AM43="Bloomberg",AH43,IF(AM43="Snapshot",AC43,"unavailable"))</f>
        <v/>
      </c>
      <c r="AP43" s="15">
        <f>IF(AM43="Bloomberg",AJ43,IF(AM43="Snapshot",AD43,"unavailable"))</f>
        <v/>
      </c>
      <c r="AQ43" s="33">
        <f>IFERROR(IF(AND(ISNUMBER(AN43),N(AN43)&gt;0,ISNUMBER(AO43),N(AO43)&gt;0,ISNUMBER(AP43),N(AP43)&gt;0),AO43*AP43/AN43-1,"unavailable"),"unavailable")</f>
        <v/>
      </c>
      <c r="AR43" s="15" t="n">
        <v>115</v>
      </c>
      <c r="AS43" s="15" t="inlineStr">
        <is>
          <t>One raw share per class; confirm class conversion for adjusted structures</t>
        </is>
      </c>
      <c r="AT43" s="31" t="inlineStr">
        <is>
          <t>002130</t>
        </is>
      </c>
      <c r="AW43">
        <f>IF(AND(J43&gt;0,OR(AH!$I$5="All",AH!$I$5="A/H only",AH!$I$5=C43)),1,0)</f>
        <v/>
      </c>
      <c r="AX43">
        <f>IF(AW43=1,COUNTIF($AW$5:AW43,1),"")</f>
        <v/>
      </c>
      <c r="AY43">
        <f>IF(AH!$M$5="Snapshot",IF(ISNUMBER(G43),G43,"unavailable"),IF(AND(ISNUMBER(K43),N(K43)&gt;0),K43,IF(AH!$M$5="Auto",IF(ISNUMBER(G43),G43,"unavailable"),"unavailable")))</f>
        <v/>
      </c>
      <c r="AZ43">
        <f>IF(AND(AH!$M$5&lt;&gt;"Snapshot",ISNUMBER(K43),N(K43)&gt;0),"Bloomberg",IF(AND(AH!$M$5&lt;&gt;"Bloomberg",ISNUMBER(G43)),"Snapshot","Unavailable"))</f>
        <v/>
      </c>
      <c r="BA43">
        <f>IF(AZ43="Bloomberg",M43,H43)</f>
        <v/>
      </c>
      <c r="BB43">
        <f>1</f>
        <v/>
      </c>
      <c r="BC43" s="15" t="n">
        <v>20.68</v>
      </c>
    </row>
    <row r="44">
      <c r="A44" s="31" t="inlineStr">
        <is>
          <t>1879</t>
        </is>
      </c>
      <c r="B44" s="15" t="inlineStr">
        <is>
          <t>XIZHI TECH-P</t>
        </is>
      </c>
      <c r="C44" s="15" t="inlineStr">
        <is>
          <t>Tech/AI</t>
        </is>
      </c>
      <c r="D44" s="15" t="inlineStr">
        <is>
          <t>AI application / agent software</t>
        </is>
      </c>
      <c r="E44" s="34" t="n">
        <v>46140</v>
      </c>
      <c r="F44" s="15" t="n">
        <v>183.2</v>
      </c>
      <c r="G44" s="15" t="n">
        <v>280</v>
      </c>
      <c r="H44" s="34" t="n">
        <v>46297</v>
      </c>
      <c r="I44" s="31" t="n"/>
      <c r="J44" s="15" t="n">
        <v>0</v>
      </c>
      <c r="K44" s="15">
        <f>IF(AND(AH!$M$5="Snapshot",'IPO Live'!$M$5="Snapshot"),"",IFERROR(BDP(TEXT(VALUE($A44),"0")&amp;" HK Equity","PX_LAST"),""))</f>
        <v/>
      </c>
      <c r="L44" s="15">
        <f>IF(AND(AH!$M$5="Snapshot",'IPO Live'!$M$5="Snapshot"),"",IFERROR(BDP(TEXT(VALUE($A44),"0")&amp;" HK Equity","CHG_PCT_1D")/100,""))</f>
        <v/>
      </c>
      <c r="M44" s="15">
        <f>IF(AND(AH!$M$5="Snapshot",'IPO Live'!$M$5="Snapshot"),"",IFERROR(BDP(TEXT(VALUE($A44),"0")&amp;" HK Equity","LAST_UPDATE_DT"),""))</f>
        <v/>
      </c>
      <c r="N44" s="15">
        <f>IF(AND(AH!$M$5="Snapshot",'IPO Live'!$M$5="Snapshot"),"",IFERROR(BDP(TEXT(VALUE($A44),"0")&amp;" HK Equity","LAST_UPDATE"),""))</f>
        <v/>
      </c>
      <c r="O44" s="15">
        <f>IF('IPO Live'!$M$5="Snapshot",IF(ISNUMBER(G44),G44,"unavailable"),IF(AND(ISNUMBER(K44),N(K44)&gt;0),K44,IF('IPO Live'!$M$5="Auto",IF(ISNUMBER(G44),G44,"unavailable"),"unavailable")))</f>
        <v/>
      </c>
      <c r="P44" s="15">
        <f>IF(AND('IPO Live'!$M$5&lt;&gt;"Snapshot",ISNUMBER(K44),N(K44)&gt;0),"Bloomberg",IF(AND('IPO Live'!$M$5&lt;&gt;"Bloomberg",ISNUMBER(G44)),"Snapshot","Unavailable"))</f>
        <v/>
      </c>
      <c r="Q44" s="33">
        <f>IF(AND(P44="Bloomberg",ISNUMBER(L44)),L44,"unavailable")</f>
        <v/>
      </c>
      <c r="R44" s="15">
        <f>IF(OR('IPO Live'!$B$5="All",'IPO Live'!$B$5=C44,AND('IPO Live'!$B$5="A/H only",J44&gt;0)),1,0)</f>
        <v/>
      </c>
      <c r="S44" s="15">
        <f>IF(R44=1,COUNTIF($R$5:R44,1),"")</f>
        <v/>
      </c>
      <c r="T44">
        <f>1</f>
        <v/>
      </c>
      <c r="U44">
        <f>IF($P44="Bloomberg",$M44,$H44)</f>
        <v/>
      </c>
      <c r="V44" s="15" t="inlineStr">
        <is>
          <t>2715 | ESTUN</t>
        </is>
      </c>
      <c r="W44" s="15" t="inlineStr">
        <is>
          <t>ESTUN</t>
        </is>
      </c>
      <c r="X44" s="31" t="inlineStr">
        <is>
          <t>2715</t>
        </is>
      </c>
      <c r="Y44" s="31" t="inlineStr">
        <is>
          <t>002747.SZ</t>
        </is>
      </c>
      <c r="Z44" s="15" t="inlineStr">
        <is>
          <t>Robotics &amp; autonomous driving</t>
        </is>
      </c>
      <c r="AA44" s="34" t="n">
        <v>46090</v>
      </c>
      <c r="AB44" s="15" t="n">
        <v>14.09</v>
      </c>
      <c r="AC44" s="15" t="n">
        <v>28.22</v>
      </c>
      <c r="AD44" s="15" t="n">
        <v>1.170220971107483</v>
      </c>
      <c r="AE44" s="34" t="n">
        <v>46297</v>
      </c>
      <c r="AF44" s="34" t="n">
        <v>46295</v>
      </c>
      <c r="AG44" s="34" t="n">
        <v>46297</v>
      </c>
      <c r="AH44" s="15">
        <f>IF(AND(AH!$M$5="Snapshot",'IPO Live'!$M$5="Snapshot"),"",IFERROR(BDP(LEFT($Y44,FIND(".",$Y44)-1)&amp;" CH Equity","PX_LAST"),""))</f>
        <v/>
      </c>
      <c r="AI44" s="15">
        <f>$K$58</f>
        <v/>
      </c>
      <c r="AJ44" s="15">
        <f>$B$1</f>
        <v/>
      </c>
      <c r="AK44" s="34">
        <f>IF(AND(AH!$M$5="Snapshot",'IPO Live'!$M$5="Snapshot"),"",IFERROR(BDP(LEFT($Y44,FIND(".",$Y44)-1)&amp;" CH Equity","LAST_UPDATE_DT"),""))</f>
        <v/>
      </c>
      <c r="AL44" s="15">
        <f>IF(AND(AH!$M$5="Snapshot",'IPO Live'!$M$5="Snapshot"),"",IFERROR(BDP(LEFT($Y44,FIND(".",$Y44)-1)&amp;" CH Equity","LAST_UPDATE"),""))</f>
        <v/>
      </c>
      <c r="AM44" s="15">
        <f>IF(AND(AH!$M$5&lt;&gt;"Snapshot",ISNUMBER(AH44),N(AH44)&gt;0,ISNUMBER(AI44),N(AI44)&gt;0,ISNUMBER(AJ44),N(AJ44)&gt;0),"Bloomberg",IF(AH!$M$5="Bloomberg","Unavailable",IF(AND(ISNUMBER(AB44),ISNUMBER(AC44),ISNUMBER(AD44)),"Snapshot","Unavailable")))</f>
        <v/>
      </c>
      <c r="AN44" s="15">
        <f>IF(AM44="Bloomberg",AI44,IF(AM44="Snapshot",AB44,"unavailable"))</f>
        <v/>
      </c>
      <c r="AO44" s="15">
        <f>IF(AM44="Bloomberg",AH44,IF(AM44="Snapshot",AC44,"unavailable"))</f>
        <v/>
      </c>
      <c r="AP44" s="15">
        <f>IF(AM44="Bloomberg",AJ44,IF(AM44="Snapshot",AD44,"unavailable"))</f>
        <v/>
      </c>
      <c r="AQ44" s="33">
        <f>IFERROR(IF(AND(ISNUMBER(AN44),N(AN44)&gt;0,ISNUMBER(AO44),N(AO44)&gt;0,ISNUMBER(AP44),N(AP44)&gt;0),AO44*AP44/AN44-1,"unavailable"),"unavailable")</f>
        <v/>
      </c>
      <c r="AR44" s="15" t="n">
        <v>118</v>
      </c>
      <c r="AS44" s="15" t="inlineStr">
        <is>
          <t>One raw share per class; confirm class conversion for adjusted structures</t>
        </is>
      </c>
      <c r="AT44" s="31" t="inlineStr">
        <is>
          <t>002747</t>
        </is>
      </c>
      <c r="AW44">
        <f>IF(AND(J44&gt;0,OR(AH!$I$5="All",AH!$I$5="A/H only",AH!$I$5=C44)),1,0)</f>
        <v/>
      </c>
      <c r="AX44">
        <f>IF(AW44=1,COUNTIF($AW$5:AW44,1),"")</f>
        <v/>
      </c>
      <c r="AY44">
        <f>IF(AH!$M$5="Snapshot",IF(ISNUMBER(G44),G44,"unavailable"),IF(AND(ISNUMBER(K44),N(K44)&gt;0),K44,IF(AH!$M$5="Auto",IF(ISNUMBER(G44),G44,"unavailable"),"unavailable")))</f>
        <v/>
      </c>
      <c r="AZ44">
        <f>IF(AND(AH!$M$5&lt;&gt;"Snapshot",ISNUMBER(K44),N(K44)&gt;0),"Bloomberg",IF(AND(AH!$M$5&lt;&gt;"Bloomberg",ISNUMBER(G44)),"Snapshot","Unavailable"))</f>
        <v/>
      </c>
      <c r="BA44">
        <f>IF(AZ44="Bloomberg",M44,H44)</f>
        <v/>
      </c>
      <c r="BB44">
        <f>1</f>
        <v/>
      </c>
      <c r="BC44" s="15" t="n">
        <v>12.9</v>
      </c>
    </row>
    <row r="45">
      <c r="A45" s="31" t="inlineStr">
        <is>
          <t>3296</t>
        </is>
      </c>
      <c r="B45" s="15" t="inlineStr">
        <is>
          <t>HUAQIN</t>
        </is>
      </c>
      <c r="C45" s="15" t="inlineStr">
        <is>
          <t>Tech/AI</t>
        </is>
      </c>
      <c r="D45" s="15" t="inlineStr">
        <is>
          <t>Smart hardware / consumer electronics</t>
        </is>
      </c>
      <c r="E45" s="34" t="n">
        <v>46135</v>
      </c>
      <c r="F45" s="15" t="n">
        <v>77.7</v>
      </c>
      <c r="G45" s="15" t="n">
        <v>92.47</v>
      </c>
      <c r="H45" s="34" t="n">
        <v>46297</v>
      </c>
      <c r="I45" s="31" t="inlineStr">
        <is>
          <t>603296.SS</t>
        </is>
      </c>
      <c r="J45" s="15" t="n">
        <v>50</v>
      </c>
      <c r="K45" s="15">
        <f>IF(AND(AH!$M$5="Snapshot",'IPO Live'!$M$5="Snapshot"),"",IFERROR(BDP(TEXT(VALUE($A45),"0")&amp;" HK Equity","PX_LAST"),""))</f>
        <v/>
      </c>
      <c r="L45" s="15">
        <f>IF(AND(AH!$M$5="Snapshot",'IPO Live'!$M$5="Snapshot"),"",IFERROR(BDP(TEXT(VALUE($A45),"0")&amp;" HK Equity","CHG_PCT_1D")/100,""))</f>
        <v/>
      </c>
      <c r="M45" s="15">
        <f>IF(AND(AH!$M$5="Snapshot",'IPO Live'!$M$5="Snapshot"),"",IFERROR(BDP(TEXT(VALUE($A45),"0")&amp;" HK Equity","LAST_UPDATE_DT"),""))</f>
        <v/>
      </c>
      <c r="N45" s="15">
        <f>IF(AND(AH!$M$5="Snapshot",'IPO Live'!$M$5="Snapshot"),"",IFERROR(BDP(TEXT(VALUE($A45),"0")&amp;" HK Equity","LAST_UPDATE"),""))</f>
        <v/>
      </c>
      <c r="O45" s="15">
        <f>IF('IPO Live'!$M$5="Snapshot",IF(ISNUMBER(G45),G45,"unavailable"),IF(AND(ISNUMBER(K45),N(K45)&gt;0),K45,IF('IPO Live'!$M$5="Auto",IF(ISNUMBER(G45),G45,"unavailable"),"unavailable")))</f>
        <v/>
      </c>
      <c r="P45" s="15">
        <f>IF(AND('IPO Live'!$M$5&lt;&gt;"Snapshot",ISNUMBER(K45),N(K45)&gt;0),"Bloomberg",IF(AND('IPO Live'!$M$5&lt;&gt;"Bloomberg",ISNUMBER(G45)),"Snapshot","Unavailable"))</f>
        <v/>
      </c>
      <c r="Q45" s="33">
        <f>IF(AND(P45="Bloomberg",ISNUMBER(L45)),L45,"unavailable")</f>
        <v/>
      </c>
      <c r="R45" s="15">
        <f>IF(OR('IPO Live'!$B$5="All",'IPO Live'!$B$5=C45,AND('IPO Live'!$B$5="A/H only",J45&gt;0)),1,0)</f>
        <v/>
      </c>
      <c r="S45" s="15">
        <f>IF(R45=1,COUNTIF($R$5:R45,1),"")</f>
        <v/>
      </c>
      <c r="T45">
        <f>IF(ISNUMBER($U45),IF($U45&gt;=DATEVALUE("2026-05-22"),1.4,1),"unavailable")</f>
        <v/>
      </c>
      <c r="U45">
        <f>IF($P45="Bloomberg",$M45,$H45)</f>
        <v/>
      </c>
      <c r="V45" s="15" t="inlineStr">
        <is>
          <t>2692 | ZHAOWEI</t>
        </is>
      </c>
      <c r="W45" s="15" t="inlineStr">
        <is>
          <t>ZHAOWEI</t>
        </is>
      </c>
      <c r="X45" s="31" t="inlineStr">
        <is>
          <t>2692</t>
        </is>
      </c>
      <c r="Y45" s="31" t="inlineStr">
        <is>
          <t>003021.SZ</t>
        </is>
      </c>
      <c r="Z45" s="15" t="inlineStr">
        <is>
          <t>Capital goods / machinery</t>
        </is>
      </c>
      <c r="AA45" s="34" t="n">
        <v>46090</v>
      </c>
      <c r="AB45" s="15" t="n">
        <v>37.54</v>
      </c>
      <c r="AC45" s="15" t="n">
        <v>70.25</v>
      </c>
      <c r="AD45" s="15" t="n">
        <v>1.170220971107483</v>
      </c>
      <c r="AE45" s="34" t="n">
        <v>46297</v>
      </c>
      <c r="AF45" s="34" t="n">
        <v>46295</v>
      </c>
      <c r="AG45" s="34" t="n">
        <v>46297</v>
      </c>
      <c r="AH45" s="15">
        <f>IF(AND(AH!$M$5="Snapshot",'IPO Live'!$M$5="Snapshot"),"",IFERROR(BDP(LEFT($Y45,FIND(".",$Y45)-1)&amp;" CH Equity","PX_LAST"),""))</f>
        <v/>
      </c>
      <c r="AI45" s="15">
        <f>$K$392</f>
        <v/>
      </c>
      <c r="AJ45" s="15">
        <f>$B$1</f>
        <v/>
      </c>
      <c r="AK45" s="34">
        <f>IF(AND(AH!$M$5="Snapshot",'IPO Live'!$M$5="Snapshot"),"",IFERROR(BDP(LEFT($Y45,FIND(".",$Y45)-1)&amp;" CH Equity","LAST_UPDATE_DT"),""))</f>
        <v/>
      </c>
      <c r="AL45" s="15">
        <f>IF(AND(AH!$M$5="Snapshot",'IPO Live'!$M$5="Snapshot"),"",IFERROR(BDP(LEFT($Y45,FIND(".",$Y45)-1)&amp;" CH Equity","LAST_UPDATE"),""))</f>
        <v/>
      </c>
      <c r="AM45" s="15">
        <f>IF(AND(AH!$M$5&lt;&gt;"Snapshot",ISNUMBER(AH45),N(AH45)&gt;0,ISNUMBER(AI45),N(AI45)&gt;0,ISNUMBER(AJ45),N(AJ45)&gt;0),"Bloomberg",IF(AH!$M$5="Bloomberg","Unavailable",IF(AND(ISNUMBER(AB45),ISNUMBER(AC45),ISNUMBER(AD45)),"Snapshot","Unavailable")))</f>
        <v/>
      </c>
      <c r="AN45" s="15">
        <f>IF(AM45="Bloomberg",AI45,IF(AM45="Snapshot",AB45,"unavailable"))</f>
        <v/>
      </c>
      <c r="AO45" s="15">
        <f>IF(AM45="Bloomberg",AH45,IF(AM45="Snapshot",AC45,"unavailable"))</f>
        <v/>
      </c>
      <c r="AP45" s="15">
        <f>IF(AM45="Bloomberg",AJ45,IF(AM45="Snapshot",AD45,"unavailable"))</f>
        <v/>
      </c>
      <c r="AQ45" s="33">
        <f>IFERROR(IF(AND(ISNUMBER(AN45),N(AN45)&gt;0,ISNUMBER(AO45),N(AO45)&gt;0,ISNUMBER(AP45),N(AP45)&gt;0),AO45*AP45/AN45-1,"unavailable"),"unavailable")</f>
        <v/>
      </c>
      <c r="AR45" s="15" t="n">
        <v>121</v>
      </c>
      <c r="AS45" s="15" t="inlineStr">
        <is>
          <t>One raw share per class; confirm class conversion for adjusted structures</t>
        </is>
      </c>
      <c r="AT45" s="31" t="inlineStr">
        <is>
          <t>003021</t>
        </is>
      </c>
      <c r="AW45">
        <f>IF(AND(J45&gt;0,OR(AH!$I$5="All",AH!$I$5="A/H only",AH!$I$5=C45)),1,0)</f>
        <v/>
      </c>
      <c r="AX45">
        <f>IF(AW45=1,COUNTIF($AW$5:AW45,1),"")</f>
        <v/>
      </c>
      <c r="AY45">
        <f>IF(AH!$M$5="Snapshot",IF(ISNUMBER(G45),G45,"unavailable"),IF(AND(ISNUMBER(K45),N(K45)&gt;0),K45,IF(AH!$M$5="Auto",IF(ISNUMBER(G45),G45,"unavailable"),"unavailable")))</f>
        <v/>
      </c>
      <c r="AZ45">
        <f>IF(AND(AH!$M$5&lt;&gt;"Snapshot",ISNUMBER(K45),N(K45)&gt;0),"Bloomberg",IF(AND(AH!$M$5&lt;&gt;"Bloomberg",ISNUMBER(G45)),"Snapshot","Unavailable"))</f>
        <v/>
      </c>
      <c r="BA45">
        <f>IF(AZ45="Bloomberg",M45,H45)</f>
        <v/>
      </c>
      <c r="BB45">
        <f>IF(ISNUMBER($BA45),IF($BA45&gt;=DATEVALUE("2026-05-22"),1.4,1),"unavailable")</f>
        <v/>
      </c>
      <c r="BC45" s="15" t="n">
        <v>73</v>
      </c>
    </row>
    <row r="46">
      <c r="A46" s="31" t="inlineStr">
        <is>
          <t>2476</t>
        </is>
      </c>
      <c r="B46" s="15" t="inlineStr">
        <is>
          <t>VGT</t>
        </is>
      </c>
      <c r="C46" s="15" t="inlineStr">
        <is>
          <t>Tech/AI</t>
        </is>
      </c>
      <c r="D46" s="15" t="inlineStr">
        <is>
          <t>Smart hardware / consumer electronics</t>
        </is>
      </c>
      <c r="E46" s="34" t="n">
        <v>46133</v>
      </c>
      <c r="F46" s="15" t="n">
        <v>209.88</v>
      </c>
      <c r="G46" s="15" t="n">
        <v>195.1</v>
      </c>
      <c r="H46" s="34" t="n">
        <v>46297</v>
      </c>
      <c r="I46" s="31" t="inlineStr">
        <is>
          <t>300476.SZ</t>
        </is>
      </c>
      <c r="J46" s="15" t="n">
        <v>49</v>
      </c>
      <c r="K46" s="15">
        <f>IF(AND(AH!$M$5="Snapshot",'IPO Live'!$M$5="Snapshot"),"",IFERROR(BDP(TEXT(VALUE($A46),"0")&amp;" HK Equity","PX_LAST"),""))</f>
        <v/>
      </c>
      <c r="L46" s="15">
        <f>IF(AND(AH!$M$5="Snapshot",'IPO Live'!$M$5="Snapshot"),"",IFERROR(BDP(TEXT(VALUE($A46),"0")&amp;" HK Equity","CHG_PCT_1D")/100,""))</f>
        <v/>
      </c>
      <c r="M46" s="15">
        <f>IF(AND(AH!$M$5="Snapshot",'IPO Live'!$M$5="Snapshot"),"",IFERROR(BDP(TEXT(VALUE($A46),"0")&amp;" HK Equity","LAST_UPDATE_DT"),""))</f>
        <v/>
      </c>
      <c r="N46" s="15">
        <f>IF(AND(AH!$M$5="Snapshot",'IPO Live'!$M$5="Snapshot"),"",IFERROR(BDP(TEXT(VALUE($A46),"0")&amp;" HK Equity","LAST_UPDATE"),""))</f>
        <v/>
      </c>
      <c r="O46" s="15">
        <f>IF('IPO Live'!$M$5="Snapshot",IF(ISNUMBER(G46),G46,"unavailable"),IF(AND(ISNUMBER(K46),N(K46)&gt;0),K46,IF('IPO Live'!$M$5="Auto",IF(ISNUMBER(G46),G46,"unavailable"),"unavailable")))</f>
        <v/>
      </c>
      <c r="P46" s="15">
        <f>IF(AND('IPO Live'!$M$5&lt;&gt;"Snapshot",ISNUMBER(K46),N(K46)&gt;0),"Bloomberg",IF(AND('IPO Live'!$M$5&lt;&gt;"Bloomberg",ISNUMBER(G46)),"Snapshot","Unavailable"))</f>
        <v/>
      </c>
      <c r="Q46" s="33">
        <f>IF(AND(P46="Bloomberg",ISNUMBER(L46)),L46,"unavailable")</f>
        <v/>
      </c>
      <c r="R46" s="15">
        <f>IF(OR('IPO Live'!$B$5="All",'IPO Live'!$B$5=C46,AND('IPO Live'!$B$5="A/H only",J46&gt;0)),1,0)</f>
        <v/>
      </c>
      <c r="S46" s="15">
        <f>IF(R46=1,COUNTIF($R$5:R46,1),"")</f>
        <v/>
      </c>
      <c r="T46">
        <f>1</f>
        <v/>
      </c>
      <c r="U46">
        <f>IF($P46="Bloomberg",$M46,$H46)</f>
        <v/>
      </c>
      <c r="V46" s="15" t="inlineStr">
        <is>
          <t>3268 | MEIG</t>
        </is>
      </c>
      <c r="W46" s="15" t="inlineStr">
        <is>
          <t>MEIG</t>
        </is>
      </c>
      <c r="X46" s="31" t="inlineStr">
        <is>
          <t>3268</t>
        </is>
      </c>
      <c r="Y46" s="31" t="inlineStr">
        <is>
          <t>002881.SZ</t>
        </is>
      </c>
      <c r="Z46" s="15" t="inlineStr">
        <is>
          <t>Smart hardware / consumer electronics</t>
        </is>
      </c>
      <c r="AA46" s="34" t="n">
        <v>46091</v>
      </c>
      <c r="AB46" s="15" t="n">
        <v>17.5</v>
      </c>
      <c r="AC46" s="15" t="n">
        <v>42.41</v>
      </c>
      <c r="AD46" s="15" t="n">
        <v>1.170220971107483</v>
      </c>
      <c r="AE46" s="34" t="n">
        <v>46297</v>
      </c>
      <c r="AF46" s="34" t="n">
        <v>46295</v>
      </c>
      <c r="AG46" s="34" t="n">
        <v>46297</v>
      </c>
      <c r="AH46" s="15">
        <f>IF(AND(AH!$M$5="Snapshot",'IPO Live'!$M$5="Snapshot"),"",IFERROR(BDP(LEFT($Y46,FIND(".",$Y46)-1)&amp;" CH Equity","PX_LAST"),""))</f>
        <v/>
      </c>
      <c r="AI46" s="15">
        <f>$K$57</f>
        <v/>
      </c>
      <c r="AJ46" s="15">
        <f>$B$1</f>
        <v/>
      </c>
      <c r="AK46" s="34">
        <f>IF(AND(AH!$M$5="Snapshot",'IPO Live'!$M$5="Snapshot"),"",IFERROR(BDP(LEFT($Y46,FIND(".",$Y46)-1)&amp;" CH Equity","LAST_UPDATE_DT"),""))</f>
        <v/>
      </c>
      <c r="AL46" s="15">
        <f>IF(AND(AH!$M$5="Snapshot",'IPO Live'!$M$5="Snapshot"),"",IFERROR(BDP(LEFT($Y46,FIND(".",$Y46)-1)&amp;" CH Equity","LAST_UPDATE"),""))</f>
        <v/>
      </c>
      <c r="AM46" s="15">
        <f>IF(AND(AH!$M$5&lt;&gt;"Snapshot",ISNUMBER(AH46),N(AH46)&gt;0,ISNUMBER(AI46),N(AI46)&gt;0,ISNUMBER(AJ46),N(AJ46)&gt;0),"Bloomberg",IF(AH!$M$5="Bloomberg","Unavailable",IF(AND(ISNUMBER(AB46),ISNUMBER(AC46),ISNUMBER(AD46)),"Snapshot","Unavailable")))</f>
        <v/>
      </c>
      <c r="AN46" s="15">
        <f>IF(AM46="Bloomberg",AI46,IF(AM46="Snapshot",AB46,"unavailable"))</f>
        <v/>
      </c>
      <c r="AO46" s="15">
        <f>IF(AM46="Bloomberg",AH46,IF(AM46="Snapshot",AC46,"unavailable"))</f>
        <v/>
      </c>
      <c r="AP46" s="15">
        <f>IF(AM46="Bloomberg",AJ46,IF(AM46="Snapshot",AD46,"unavailable"))</f>
        <v/>
      </c>
      <c r="AQ46" s="33">
        <f>IFERROR(IF(AND(ISNUMBER(AN46),N(AN46)&gt;0,ISNUMBER(AO46),N(AO46)&gt;0,ISNUMBER(AP46),N(AP46)&gt;0),AO46*AP46/AN46-1,"unavailable"),"unavailable")</f>
        <v/>
      </c>
      <c r="AR46" s="15" t="n">
        <v>124</v>
      </c>
      <c r="AS46" s="15" t="inlineStr">
        <is>
          <t>One raw share per class; confirm class conversion for adjusted structures</t>
        </is>
      </c>
      <c r="AT46" s="31" t="inlineStr">
        <is>
          <t>002881</t>
        </is>
      </c>
      <c r="AW46">
        <f>IF(AND(J46&gt;0,OR(AH!$I$5="All",AH!$I$5="A/H only",AH!$I$5=C46)),1,0)</f>
        <v/>
      </c>
      <c r="AX46">
        <f>IF(AW46=1,COUNTIF($AW$5:AW46,1),"")</f>
        <v/>
      </c>
      <c r="AY46">
        <f>IF(AH!$M$5="Snapshot",IF(ISNUMBER(G46),G46,"unavailable"),IF(AND(ISNUMBER(K46),N(K46)&gt;0),K46,IF(AH!$M$5="Auto",IF(ISNUMBER(G46),G46,"unavailable"),"unavailable")))</f>
        <v/>
      </c>
      <c r="AZ46">
        <f>IF(AND(AH!$M$5&lt;&gt;"Snapshot",ISNUMBER(K46),N(K46)&gt;0),"Bloomberg",IF(AND(AH!$M$5&lt;&gt;"Bloomberg",ISNUMBER(G46)),"Snapshot","Unavailable"))</f>
        <v/>
      </c>
      <c r="BA46">
        <f>IF(AZ46="Bloomberg",M46,H46)</f>
        <v/>
      </c>
      <c r="BB46">
        <f>1</f>
        <v/>
      </c>
      <c r="BC46" s="15" t="n">
        <v>29.3</v>
      </c>
    </row>
    <row r="47">
      <c r="A47" s="31" t="inlineStr">
        <is>
          <t>0068</t>
        </is>
      </c>
      <c r="B47" s="15" t="inlineStr">
        <is>
          <t>MANYCORE TECH</t>
        </is>
      </c>
      <c r="C47" s="15" t="inlineStr">
        <is>
          <t>Tech/AI</t>
        </is>
      </c>
      <c r="D47" s="15" t="inlineStr">
        <is>
          <t>SaaS / enterprise software</t>
        </is>
      </c>
      <c r="E47" s="34" t="n">
        <v>46129</v>
      </c>
      <c r="F47" s="15" t="n">
        <v>7.62</v>
      </c>
      <c r="G47" s="15" t="n">
        <v>7.13</v>
      </c>
      <c r="H47" s="34" t="n">
        <v>46297</v>
      </c>
      <c r="I47" s="31" t="n"/>
      <c r="J47" s="15" t="n">
        <v>0</v>
      </c>
      <c r="K47" s="15">
        <f>IF(AND(AH!$M$5="Snapshot",'IPO Live'!$M$5="Snapshot"),"",IFERROR(BDP(TEXT(VALUE($A47),"0")&amp;" HK Equity","PX_LAST"),""))</f>
        <v/>
      </c>
      <c r="L47" s="15">
        <f>IF(AND(AH!$M$5="Snapshot",'IPO Live'!$M$5="Snapshot"),"",IFERROR(BDP(TEXT(VALUE($A47),"0")&amp;" HK Equity","CHG_PCT_1D")/100,""))</f>
        <v/>
      </c>
      <c r="M47" s="15">
        <f>IF(AND(AH!$M$5="Snapshot",'IPO Live'!$M$5="Snapshot"),"",IFERROR(BDP(TEXT(VALUE($A47),"0")&amp;" HK Equity","LAST_UPDATE_DT"),""))</f>
        <v/>
      </c>
      <c r="N47" s="15">
        <f>IF(AND(AH!$M$5="Snapshot",'IPO Live'!$M$5="Snapshot"),"",IFERROR(BDP(TEXT(VALUE($A47),"0")&amp;" HK Equity","LAST_UPDATE"),""))</f>
        <v/>
      </c>
      <c r="O47" s="15">
        <f>IF('IPO Live'!$M$5="Snapshot",IF(ISNUMBER(G47),G47,"unavailable"),IF(AND(ISNUMBER(K47),N(K47)&gt;0),K47,IF('IPO Live'!$M$5="Auto",IF(ISNUMBER(G47),G47,"unavailable"),"unavailable")))</f>
        <v/>
      </c>
      <c r="P47" s="15">
        <f>IF(AND('IPO Live'!$M$5&lt;&gt;"Snapshot",ISNUMBER(K47),N(K47)&gt;0),"Bloomberg",IF(AND('IPO Live'!$M$5&lt;&gt;"Bloomberg",ISNUMBER(G47)),"Snapshot","Unavailable"))</f>
        <v/>
      </c>
      <c r="Q47" s="33">
        <f>IF(AND(P47="Bloomberg",ISNUMBER(L47)),L47,"unavailable")</f>
        <v/>
      </c>
      <c r="R47" s="15">
        <f>IF(OR('IPO Live'!$B$5="All",'IPO Live'!$B$5=C47,AND('IPO Live'!$B$5="A/H only",J47&gt;0)),1,0)</f>
        <v/>
      </c>
      <c r="S47" s="15">
        <f>IF(R47=1,COUNTIF($R$5:R47,1),"")</f>
        <v/>
      </c>
      <c r="T47">
        <f>1</f>
        <v/>
      </c>
      <c r="U47">
        <f>IF($P47="Bloomberg",$M47,$H47)</f>
        <v/>
      </c>
      <c r="V47" s="15" t="inlineStr">
        <is>
          <t>1989 | DELTON</t>
        </is>
      </c>
      <c r="W47" s="15" t="inlineStr">
        <is>
          <t>DELTON</t>
        </is>
      </c>
      <c r="X47" s="31" t="inlineStr">
        <is>
          <t>1989</t>
        </is>
      </c>
      <c r="Y47" s="31" t="inlineStr">
        <is>
          <t>001389.SZ</t>
        </is>
      </c>
      <c r="Z47" s="15" t="inlineStr">
        <is>
          <t>Smart hardware / consumer electronics</t>
        </is>
      </c>
      <c r="AA47" s="34" t="n">
        <v>46101</v>
      </c>
      <c r="AB47" s="15" t="n">
        <v>118.1</v>
      </c>
      <c r="AC47" s="15" t="n">
        <v>176.66</v>
      </c>
      <c r="AD47" s="15" t="n">
        <v>1.170220971107483</v>
      </c>
      <c r="AE47" s="34" t="n">
        <v>46297</v>
      </c>
      <c r="AF47" s="34" t="n">
        <v>46295</v>
      </c>
      <c r="AG47" s="34" t="n">
        <v>46297</v>
      </c>
      <c r="AH47" s="15">
        <f>IF(AND(AH!$M$5="Snapshot",'IPO Live'!$M$5="Snapshot"),"",IFERROR(BDP(LEFT($Y47,FIND(".",$Y47)-1)&amp;" CH Equity","PX_LAST"),""))</f>
        <v/>
      </c>
      <c r="AI47" s="15">
        <f>$K$56</f>
        <v/>
      </c>
      <c r="AJ47" s="15">
        <f>$B$1</f>
        <v/>
      </c>
      <c r="AK47" s="34">
        <f>IF(AND(AH!$M$5="Snapshot",'IPO Live'!$M$5="Snapshot"),"",IFERROR(BDP(LEFT($Y47,FIND(".",$Y47)-1)&amp;" CH Equity","LAST_UPDATE_DT"),""))</f>
        <v/>
      </c>
      <c r="AL47" s="15">
        <f>IF(AND(AH!$M$5="Snapshot",'IPO Live'!$M$5="Snapshot"),"",IFERROR(BDP(LEFT($Y47,FIND(".",$Y47)-1)&amp;" CH Equity","LAST_UPDATE"),""))</f>
        <v/>
      </c>
      <c r="AM47" s="15">
        <f>IF(AND(AH!$M$5&lt;&gt;"Snapshot",ISNUMBER(AH47),N(AH47)&gt;0,ISNUMBER(AI47),N(AI47)&gt;0,ISNUMBER(AJ47),N(AJ47)&gt;0),"Bloomberg",IF(AH!$M$5="Bloomberg","Unavailable",IF(AND(ISNUMBER(AB47),ISNUMBER(AC47),ISNUMBER(AD47)),"Snapshot","Unavailable")))</f>
        <v/>
      </c>
      <c r="AN47" s="15">
        <f>IF(AM47="Bloomberg",AI47,IF(AM47="Snapshot",AB47,"unavailable"))</f>
        <v/>
      </c>
      <c r="AO47" s="15">
        <f>IF(AM47="Bloomberg",AH47,IF(AM47="Snapshot",AC47,"unavailable"))</f>
        <v/>
      </c>
      <c r="AP47" s="15">
        <f>IF(AM47="Bloomberg",AJ47,IF(AM47="Snapshot",AD47,"unavailable"))</f>
        <v/>
      </c>
      <c r="AQ47" s="33">
        <f>IFERROR(IF(AND(ISNUMBER(AN47),N(AN47)&gt;0,ISNUMBER(AO47),N(AO47)&gt;0,ISNUMBER(AP47),N(AP47)&gt;0),AO47*AP47/AN47-1,"unavailable"),"unavailable")</f>
        <v/>
      </c>
      <c r="AR47" s="15" t="n">
        <v>127</v>
      </c>
      <c r="AS47" s="15" t="inlineStr">
        <is>
          <t>One raw share per class; confirm class conversion for adjusted structures</t>
        </is>
      </c>
      <c r="AT47" s="31" t="inlineStr">
        <is>
          <t>001389</t>
        </is>
      </c>
      <c r="AW47">
        <f>IF(AND(J47&gt;0,OR(AH!$I$5="All",AH!$I$5="A/H only",AH!$I$5=C47)),1,0)</f>
        <v/>
      </c>
      <c r="AX47">
        <f>IF(AW47=1,COUNTIF($AW$5:AW47,1),"")</f>
        <v/>
      </c>
      <c r="AY47">
        <f>IF(AH!$M$5="Snapshot",IF(ISNUMBER(G47),G47,"unavailable"),IF(AND(ISNUMBER(K47),N(K47)&gt;0),K47,IF(AH!$M$5="Auto",IF(ISNUMBER(G47),G47,"unavailable"),"unavailable")))</f>
        <v/>
      </c>
      <c r="AZ47">
        <f>IF(AND(AH!$M$5&lt;&gt;"Snapshot",ISNUMBER(K47),N(K47)&gt;0),"Bloomberg",IF(AND(AH!$M$5&lt;&gt;"Bloomberg",ISNUMBER(G47)),"Snapshot","Unavailable"))</f>
        <v/>
      </c>
      <c r="BA47">
        <f>IF(AZ47="Bloomberg",M47,H47)</f>
        <v/>
      </c>
      <c r="BB47">
        <f>1</f>
        <v/>
      </c>
      <c r="BC47" s="15" t="n">
        <v>96</v>
      </c>
    </row>
    <row r="48">
      <c r="A48" s="31" t="inlineStr">
        <is>
          <t>3277</t>
        </is>
      </c>
      <c r="B48" s="15" t="inlineStr">
        <is>
          <t>GPIXEL</t>
        </is>
      </c>
      <c r="C48" s="15" t="inlineStr">
        <is>
          <t>Tech/AI</t>
        </is>
      </c>
      <c r="D48" s="15" t="inlineStr">
        <is>
          <t>Image / display semiconductors</t>
        </is>
      </c>
      <c r="E48" s="34" t="n">
        <v>46129</v>
      </c>
      <c r="F48" s="15" t="n">
        <v>39.88</v>
      </c>
      <c r="G48" s="15" t="n">
        <v>71</v>
      </c>
      <c r="H48" s="34" t="n">
        <v>46297</v>
      </c>
      <c r="I48" s="31" t="n"/>
      <c r="J48" s="15" t="n">
        <v>0</v>
      </c>
      <c r="K48" s="15">
        <f>IF(AND(AH!$M$5="Snapshot",'IPO Live'!$M$5="Snapshot"),"",IFERROR(BDP(TEXT(VALUE($A48),"0")&amp;" HK Equity","PX_LAST"),""))</f>
        <v/>
      </c>
      <c r="L48" s="15">
        <f>IF(AND(AH!$M$5="Snapshot",'IPO Live'!$M$5="Snapshot"),"",IFERROR(BDP(TEXT(VALUE($A48),"0")&amp;" HK Equity","CHG_PCT_1D")/100,""))</f>
        <v/>
      </c>
      <c r="M48" s="15">
        <f>IF(AND(AH!$M$5="Snapshot",'IPO Live'!$M$5="Snapshot"),"",IFERROR(BDP(TEXT(VALUE($A48),"0")&amp;" HK Equity","LAST_UPDATE_DT"),""))</f>
        <v/>
      </c>
      <c r="N48" s="15">
        <f>IF(AND(AH!$M$5="Snapshot",'IPO Live'!$M$5="Snapshot"),"",IFERROR(BDP(TEXT(VALUE($A48),"0")&amp;" HK Equity","LAST_UPDATE"),""))</f>
        <v/>
      </c>
      <c r="O48" s="15">
        <f>IF('IPO Live'!$M$5="Snapshot",IF(ISNUMBER(G48),G48,"unavailable"),IF(AND(ISNUMBER(K48),N(K48)&gt;0),K48,IF('IPO Live'!$M$5="Auto",IF(ISNUMBER(G48),G48,"unavailable"),"unavailable")))</f>
        <v/>
      </c>
      <c r="P48" s="15">
        <f>IF(AND('IPO Live'!$M$5&lt;&gt;"Snapshot",ISNUMBER(K48),N(K48)&gt;0),"Bloomberg",IF(AND('IPO Live'!$M$5&lt;&gt;"Bloomberg",ISNUMBER(G48)),"Snapshot","Unavailable"))</f>
        <v/>
      </c>
      <c r="Q48" s="33">
        <f>IF(AND(P48="Bloomberg",ISNUMBER(L48)),L48,"unavailable")</f>
        <v/>
      </c>
      <c r="R48" s="15">
        <f>IF(OR('IPO Live'!$B$5="All",'IPO Live'!$B$5=C48,AND('IPO Live'!$B$5="A/H only",J48&gt;0)),1,0)</f>
        <v/>
      </c>
      <c r="S48" s="15">
        <f>IF(R48=1,COUNTIF($R$5:R48,1),"")</f>
        <v/>
      </c>
      <c r="T48">
        <f>1</f>
        <v/>
      </c>
      <c r="U48">
        <f>IF($P48="Bloomberg",$M48,$H48)</f>
        <v/>
      </c>
      <c r="V48" s="15" t="inlineStr">
        <is>
          <t>2701 | NSING TECH</t>
        </is>
      </c>
      <c r="W48" s="15" t="inlineStr">
        <is>
          <t>NSING TECH</t>
        </is>
      </c>
      <c r="X48" s="31" t="inlineStr">
        <is>
          <t>2701</t>
        </is>
      </c>
      <c r="Y48" s="31" t="inlineStr">
        <is>
          <t>300077.SZ</t>
        </is>
      </c>
      <c r="Z48" s="15" t="inlineStr">
        <is>
          <t>Other / diversified semiconductors</t>
        </is>
      </c>
      <c r="AA48" s="34" t="n">
        <v>46104</v>
      </c>
      <c r="AB48" s="15" t="n">
        <v>7.765</v>
      </c>
      <c r="AC48" s="15" t="n">
        <v>20.86</v>
      </c>
      <c r="AD48" s="15" t="n">
        <v>1.170220971107483</v>
      </c>
      <c r="AE48" s="34" t="n">
        <v>46297</v>
      </c>
      <c r="AF48" s="34" t="n">
        <v>46295</v>
      </c>
      <c r="AG48" s="34" t="n">
        <v>46297</v>
      </c>
      <c r="AH48" s="15">
        <f>IF(AND(AH!$M$5="Snapshot",'IPO Live'!$M$5="Snapshot"),"",IFERROR(BDP(LEFT($Y48,FIND(".",$Y48)-1)&amp;" CH Equity","PX_LAST"),""))</f>
        <v/>
      </c>
      <c r="AI48" s="15">
        <f>$K$54</f>
        <v/>
      </c>
      <c r="AJ48" s="15">
        <f>$B$1</f>
        <v/>
      </c>
      <c r="AK48" s="34">
        <f>IF(AND(AH!$M$5="Snapshot",'IPO Live'!$M$5="Snapshot"),"",IFERROR(BDP(LEFT($Y48,FIND(".",$Y48)-1)&amp;" CH Equity","LAST_UPDATE_DT"),""))</f>
        <v/>
      </c>
      <c r="AL48" s="15">
        <f>IF(AND(AH!$M$5="Snapshot",'IPO Live'!$M$5="Snapshot"),"",IFERROR(BDP(LEFT($Y48,FIND(".",$Y48)-1)&amp;" CH Equity","LAST_UPDATE"),""))</f>
        <v/>
      </c>
      <c r="AM48" s="15">
        <f>IF(AND(AH!$M$5&lt;&gt;"Snapshot",ISNUMBER(AH48),N(AH48)&gt;0,ISNUMBER(AI48),N(AI48)&gt;0,ISNUMBER(AJ48),N(AJ48)&gt;0),"Bloomberg",IF(AH!$M$5="Bloomberg","Unavailable",IF(AND(ISNUMBER(AB48),ISNUMBER(AC48),ISNUMBER(AD48)),"Snapshot","Unavailable")))</f>
        <v/>
      </c>
      <c r="AN48" s="15">
        <f>IF(AM48="Bloomberg",AI48,IF(AM48="Snapshot",AB48,"unavailable"))</f>
        <v/>
      </c>
      <c r="AO48" s="15">
        <f>IF(AM48="Bloomberg",AH48,IF(AM48="Snapshot",AC48,"unavailable"))</f>
        <v/>
      </c>
      <c r="AP48" s="15">
        <f>IF(AM48="Bloomberg",AJ48,IF(AM48="Snapshot",AD48,"unavailable"))</f>
        <v/>
      </c>
      <c r="AQ48" s="33">
        <f>IFERROR(IF(AND(ISNUMBER(AN48),N(AN48)&gt;0,ISNUMBER(AO48),N(AO48)&gt;0,ISNUMBER(AP48),N(AP48)&gt;0),AO48*AP48/AN48-1,"unavailable"),"unavailable")</f>
        <v/>
      </c>
      <c r="AR48" s="15" t="n">
        <v>130</v>
      </c>
      <c r="AS48" s="15" t="inlineStr">
        <is>
          <t>One raw share per class; confirm class conversion for adjusted structures</t>
        </is>
      </c>
      <c r="AT48" s="31" t="inlineStr">
        <is>
          <t>300077</t>
        </is>
      </c>
      <c r="AW48">
        <f>IF(AND(J48&gt;0,OR(AH!$I$5="All",AH!$I$5="A/H only",AH!$I$5=C48)),1,0)</f>
        <v/>
      </c>
      <c r="AX48">
        <f>IF(AW48=1,COUNTIF($AW$5:AW48,1),"")</f>
        <v/>
      </c>
      <c r="AY48">
        <f>IF(AH!$M$5="Snapshot",IF(ISNUMBER(G48),G48,"unavailable"),IF(AND(ISNUMBER(K48),N(K48)&gt;0),K48,IF(AH!$M$5="Auto",IF(ISNUMBER(G48),G48,"unavailable"),"unavailable")))</f>
        <v/>
      </c>
      <c r="AZ48">
        <f>IF(AND(AH!$M$5&lt;&gt;"Snapshot",ISNUMBER(K48),N(K48)&gt;0),"Bloomberg",IF(AND(AH!$M$5&lt;&gt;"Bloomberg",ISNUMBER(G48)),"Snapshot","Unavailable"))</f>
        <v/>
      </c>
      <c r="BA48">
        <f>IF(AZ48="Bloomberg",M48,H48)</f>
        <v/>
      </c>
      <c r="BB48">
        <f>1</f>
        <v/>
      </c>
      <c r="BC48" s="15" t="n">
        <v>11.25</v>
      </c>
    </row>
    <row r="49">
      <c r="A49" s="31" t="inlineStr">
        <is>
          <t>3625</t>
        </is>
      </c>
      <c r="B49" s="15" t="inlineStr">
        <is>
          <t>FOURSEMI</t>
        </is>
      </c>
      <c r="C49" s="15" t="inlineStr">
        <is>
          <t>Tech/AI</t>
        </is>
      </c>
      <c r="D49" s="15" t="inlineStr">
        <is>
          <t>Other / diversified semiconductors</t>
        </is>
      </c>
      <c r="E49" s="34" t="n">
        <v>46112</v>
      </c>
      <c r="F49" s="15" t="n">
        <v>40</v>
      </c>
      <c r="G49" s="15" t="n">
        <v>48.5</v>
      </c>
      <c r="H49" s="34" t="n">
        <v>46297</v>
      </c>
      <c r="I49" s="31" t="n"/>
      <c r="J49" s="15" t="n">
        <v>0</v>
      </c>
      <c r="K49" s="15">
        <f>IF(AND(AH!$M$5="Snapshot",'IPO Live'!$M$5="Snapshot"),"",IFERROR(BDP(TEXT(VALUE($A49),"0")&amp;" HK Equity","PX_LAST"),""))</f>
        <v/>
      </c>
      <c r="L49" s="15">
        <f>IF(AND(AH!$M$5="Snapshot",'IPO Live'!$M$5="Snapshot"),"",IFERROR(BDP(TEXT(VALUE($A49),"0")&amp;" HK Equity","CHG_PCT_1D")/100,""))</f>
        <v/>
      </c>
      <c r="M49" s="15">
        <f>IF(AND(AH!$M$5="Snapshot",'IPO Live'!$M$5="Snapshot"),"",IFERROR(BDP(TEXT(VALUE($A49),"0")&amp;" HK Equity","LAST_UPDATE_DT"),""))</f>
        <v/>
      </c>
      <c r="N49" s="15">
        <f>IF(AND(AH!$M$5="Snapshot",'IPO Live'!$M$5="Snapshot"),"",IFERROR(BDP(TEXT(VALUE($A49),"0")&amp;" HK Equity","LAST_UPDATE"),""))</f>
        <v/>
      </c>
      <c r="O49" s="15">
        <f>IF('IPO Live'!$M$5="Snapshot",IF(ISNUMBER(G49),G49,"unavailable"),IF(AND(ISNUMBER(K49),N(K49)&gt;0),K49,IF('IPO Live'!$M$5="Auto",IF(ISNUMBER(G49),G49,"unavailable"),"unavailable")))</f>
        <v/>
      </c>
      <c r="P49" s="15">
        <f>IF(AND('IPO Live'!$M$5&lt;&gt;"Snapshot",ISNUMBER(K49),N(K49)&gt;0),"Bloomberg",IF(AND('IPO Live'!$M$5&lt;&gt;"Bloomberg",ISNUMBER(G49)),"Snapshot","Unavailable"))</f>
        <v/>
      </c>
      <c r="Q49" s="33">
        <f>IF(AND(P49="Bloomberg",ISNUMBER(L49)),L49,"unavailable")</f>
        <v/>
      </c>
      <c r="R49" s="15">
        <f>IF(OR('IPO Live'!$B$5="All",'IPO Live'!$B$5=C49,AND('IPO Live'!$B$5="A/H only",J49&gt;0)),1,0)</f>
        <v/>
      </c>
      <c r="S49" s="15">
        <f>IF(R49=1,COUNTIF($R$5:R49,1),"")</f>
        <v/>
      </c>
      <c r="T49">
        <f>1</f>
        <v/>
      </c>
      <c r="U49">
        <f>IF($P49="Bloomberg",$M49,$H49)</f>
        <v/>
      </c>
      <c r="V49" s="15" t="inlineStr">
        <is>
          <t>2476 | VGT</t>
        </is>
      </c>
      <c r="W49" s="15" t="inlineStr">
        <is>
          <t>VGT</t>
        </is>
      </c>
      <c r="X49" s="31" t="inlineStr">
        <is>
          <t>2476</t>
        </is>
      </c>
      <c r="Y49" s="31" t="inlineStr">
        <is>
          <t>300476.SZ</t>
        </is>
      </c>
      <c r="Z49" s="15" t="inlineStr">
        <is>
          <t>Smart hardware / consumer electronics</t>
        </is>
      </c>
      <c r="AA49" s="34" t="n">
        <v>46133</v>
      </c>
      <c r="AB49" s="15" t="n">
        <v>195.1</v>
      </c>
      <c r="AC49" s="15" t="n">
        <v>210.3</v>
      </c>
      <c r="AD49" s="15" t="n">
        <v>1.170220971107483</v>
      </c>
      <c r="AE49" s="34" t="n">
        <v>46297</v>
      </c>
      <c r="AF49" s="34" t="n">
        <v>46295</v>
      </c>
      <c r="AG49" s="34" t="n">
        <v>46297</v>
      </c>
      <c r="AH49" s="15">
        <f>IF(AND(AH!$M$5="Snapshot",'IPO Live'!$M$5="Snapshot"),"",IFERROR(BDP(LEFT($Y49,FIND(".",$Y49)-1)&amp;" CH Equity","PX_LAST"),""))</f>
        <v/>
      </c>
      <c r="AI49" s="15">
        <f>$K$46</f>
        <v/>
      </c>
      <c r="AJ49" s="15">
        <f>$B$1</f>
        <v/>
      </c>
      <c r="AK49" s="34">
        <f>IF(AND(AH!$M$5="Snapshot",'IPO Live'!$M$5="Snapshot"),"",IFERROR(BDP(LEFT($Y49,FIND(".",$Y49)-1)&amp;" CH Equity","LAST_UPDATE_DT"),""))</f>
        <v/>
      </c>
      <c r="AL49" s="15">
        <f>IF(AND(AH!$M$5="Snapshot",'IPO Live'!$M$5="Snapshot"),"",IFERROR(BDP(LEFT($Y49,FIND(".",$Y49)-1)&amp;" CH Equity","LAST_UPDATE"),""))</f>
        <v/>
      </c>
      <c r="AM49" s="15">
        <f>IF(AND(AH!$M$5&lt;&gt;"Snapshot",ISNUMBER(AH49),N(AH49)&gt;0,ISNUMBER(AI49),N(AI49)&gt;0,ISNUMBER(AJ49),N(AJ49)&gt;0),"Bloomberg",IF(AH!$M$5="Bloomberg","Unavailable",IF(AND(ISNUMBER(AB49),ISNUMBER(AC49),ISNUMBER(AD49)),"Snapshot","Unavailable")))</f>
        <v/>
      </c>
      <c r="AN49" s="15">
        <f>IF(AM49="Bloomberg",AI49,IF(AM49="Snapshot",AB49,"unavailable"))</f>
        <v/>
      </c>
      <c r="AO49" s="15">
        <f>IF(AM49="Bloomberg",AH49,IF(AM49="Snapshot",AC49,"unavailable"))</f>
        <v/>
      </c>
      <c r="AP49" s="15">
        <f>IF(AM49="Bloomberg",AJ49,IF(AM49="Snapshot",AD49,"unavailable"))</f>
        <v/>
      </c>
      <c r="AQ49" s="33">
        <f>IFERROR(IF(AND(ISNUMBER(AN49),N(AN49)&gt;0,ISNUMBER(AO49),N(AO49)&gt;0,ISNUMBER(AP49),N(AP49)&gt;0),AO49*AP49/AN49-1,"unavailable"),"unavailable")</f>
        <v/>
      </c>
      <c r="AR49" s="15" t="n">
        <v>133</v>
      </c>
      <c r="AS49" s="15" t="inlineStr">
        <is>
          <t>One raw share per class; confirm class conversion for adjusted structures</t>
        </is>
      </c>
      <c r="AT49" s="31" t="inlineStr">
        <is>
          <t>300476</t>
        </is>
      </c>
      <c r="AW49">
        <f>IF(AND(J49&gt;0,OR(AH!$I$5="All",AH!$I$5="A/H only",AH!$I$5=C49)),1,0)</f>
        <v/>
      </c>
      <c r="AX49">
        <f>IF(AW49=1,COUNTIF($AW$5:AW49,1),"")</f>
        <v/>
      </c>
      <c r="AY49">
        <f>IF(AH!$M$5="Snapshot",IF(ISNUMBER(G49),G49,"unavailable"),IF(AND(ISNUMBER(K49),N(K49)&gt;0),K49,IF(AH!$M$5="Auto",IF(ISNUMBER(G49),G49,"unavailable"),"unavailable")))</f>
        <v/>
      </c>
      <c r="AZ49">
        <f>IF(AND(AH!$M$5&lt;&gt;"Snapshot",ISNUMBER(K49),N(K49)&gt;0),"Bloomberg",IF(AND(AH!$M$5&lt;&gt;"Bloomberg",ISNUMBER(G49)),"Snapshot","Unavailable"))</f>
        <v/>
      </c>
      <c r="BA49">
        <f>IF(AZ49="Bloomberg",M49,H49)</f>
        <v/>
      </c>
      <c r="BB49">
        <f>1</f>
        <v/>
      </c>
      <c r="BC49" s="15" t="n">
        <v>315</v>
      </c>
    </row>
    <row r="50">
      <c r="A50" s="31" t="inlineStr">
        <is>
          <t>2726</t>
        </is>
      </c>
      <c r="B50" s="15" t="inlineStr">
        <is>
          <t>EPIWORLD</t>
        </is>
      </c>
      <c r="C50" s="15" t="inlineStr">
        <is>
          <t>Tech/AI</t>
        </is>
      </c>
      <c r="D50" s="15" t="inlineStr">
        <is>
          <t>Semiconductor equipment / materials</t>
        </is>
      </c>
      <c r="E50" s="34" t="n">
        <v>46111</v>
      </c>
      <c r="F50" s="15" t="n">
        <v>76.26000000000001</v>
      </c>
      <c r="G50" s="15" t="n">
        <v>93.55</v>
      </c>
      <c r="H50" s="34" t="n">
        <v>46297</v>
      </c>
      <c r="I50" s="31" t="n"/>
      <c r="J50" s="15" t="n">
        <v>0</v>
      </c>
      <c r="K50" s="15">
        <f>IF(AND(AH!$M$5="Snapshot",'IPO Live'!$M$5="Snapshot"),"",IFERROR(BDP(TEXT(VALUE($A50),"0")&amp;" HK Equity","PX_LAST"),""))</f>
        <v/>
      </c>
      <c r="L50" s="15">
        <f>IF(AND(AH!$M$5="Snapshot",'IPO Live'!$M$5="Snapshot"),"",IFERROR(BDP(TEXT(VALUE($A50),"0")&amp;" HK Equity","CHG_PCT_1D")/100,""))</f>
        <v/>
      </c>
      <c r="M50" s="15">
        <f>IF(AND(AH!$M$5="Snapshot",'IPO Live'!$M$5="Snapshot"),"",IFERROR(BDP(TEXT(VALUE($A50),"0")&amp;" HK Equity","LAST_UPDATE_DT"),""))</f>
        <v/>
      </c>
      <c r="N50" s="15">
        <f>IF(AND(AH!$M$5="Snapshot",'IPO Live'!$M$5="Snapshot"),"",IFERROR(BDP(TEXT(VALUE($A50),"0")&amp;" HK Equity","LAST_UPDATE"),""))</f>
        <v/>
      </c>
      <c r="O50" s="15">
        <f>IF('IPO Live'!$M$5="Snapshot",IF(ISNUMBER(G50),G50,"unavailable"),IF(AND(ISNUMBER(K50),N(K50)&gt;0),K50,IF('IPO Live'!$M$5="Auto",IF(ISNUMBER(G50),G50,"unavailable"),"unavailable")))</f>
        <v/>
      </c>
      <c r="P50" s="15">
        <f>IF(AND('IPO Live'!$M$5&lt;&gt;"Snapshot",ISNUMBER(K50),N(K50)&gt;0),"Bloomberg",IF(AND('IPO Live'!$M$5&lt;&gt;"Bloomberg",ISNUMBER(G50)),"Snapshot","Unavailable"))</f>
        <v/>
      </c>
      <c r="Q50" s="33">
        <f>IF(AND(P50="Bloomberg",ISNUMBER(L50)),L50,"unavailable")</f>
        <v/>
      </c>
      <c r="R50" s="15">
        <f>IF(OR('IPO Live'!$B$5="All",'IPO Live'!$B$5=C50,AND('IPO Live'!$B$5="A/H only",J50&gt;0)),1,0)</f>
        <v/>
      </c>
      <c r="S50" s="15">
        <f>IF(R50=1,COUNTIF($R$5:R50,1),"")</f>
        <v/>
      </c>
      <c r="T50">
        <f>1</f>
        <v/>
      </c>
      <c r="U50">
        <f>IF($P50="Bloomberg",$M50,$H50)</f>
        <v/>
      </c>
      <c r="V50" s="15" t="inlineStr">
        <is>
          <t>3296 | HUAQIN</t>
        </is>
      </c>
      <c r="W50" s="15" t="inlineStr">
        <is>
          <t>HUAQIN</t>
        </is>
      </c>
      <c r="X50" s="31" t="inlineStr">
        <is>
          <t>3296</t>
        </is>
      </c>
      <c r="Y50" s="31" t="inlineStr">
        <is>
          <t>603296.SS</t>
        </is>
      </c>
      <c r="Z50" s="15" t="inlineStr">
        <is>
          <t>Smart hardware / consumer electronics</t>
        </is>
      </c>
      <c r="AA50" s="34" t="n">
        <v>46135</v>
      </c>
      <c r="AB50" s="15" t="n">
        <v>66.05</v>
      </c>
      <c r="AC50" s="15" t="n">
        <v>74.48999999999999</v>
      </c>
      <c r="AD50" s="15" t="n">
        <v>1.170220971107483</v>
      </c>
      <c r="AE50" s="34" t="n">
        <v>46297</v>
      </c>
      <c r="AF50" s="34" t="n">
        <v>46295</v>
      </c>
      <c r="AG50" s="34" t="n">
        <v>46297</v>
      </c>
      <c r="AH50" s="15">
        <f>IF(AND(AH!$M$5="Snapshot",'IPO Live'!$M$5="Snapshot"),"",IFERROR(BDP(LEFT($Y50,FIND(".",$Y50)-1)&amp;" CH Equity","PX_LAST"),""))</f>
        <v/>
      </c>
      <c r="AI50" s="15">
        <f>$K$45</f>
        <v/>
      </c>
      <c r="AJ50" s="15">
        <f>$B$1</f>
        <v/>
      </c>
      <c r="AK50" s="34">
        <f>IF(AND(AH!$M$5="Snapshot",'IPO Live'!$M$5="Snapshot"),"",IFERROR(BDP(LEFT($Y50,FIND(".",$Y50)-1)&amp;" CH Equity","LAST_UPDATE_DT"),""))</f>
        <v/>
      </c>
      <c r="AL50" s="15">
        <f>IF(AND(AH!$M$5="Snapshot",'IPO Live'!$M$5="Snapshot"),"",IFERROR(BDP(LEFT($Y50,FIND(".",$Y50)-1)&amp;" CH Equity","LAST_UPDATE"),""))</f>
        <v/>
      </c>
      <c r="AM50" s="15">
        <f>IF(AND(AH!$M$5&lt;&gt;"Snapshot",ISNUMBER(AH50),N(AH50)&gt;0,ISNUMBER(AI50),N(AI50)&gt;0,ISNUMBER(AJ50),N(AJ50)&gt;0),"Bloomberg",IF(AH!$M$5="Bloomberg","Unavailable",IF(AND(ISNUMBER(AB50),ISNUMBER(AC50),ISNUMBER(AD50)),"Snapshot","Unavailable")))</f>
        <v/>
      </c>
      <c r="AN50" s="15">
        <f>IF(AM50="Bloomberg",AI50,IF(AM50="Snapshot",AB50,"unavailable"))</f>
        <v/>
      </c>
      <c r="AO50" s="15">
        <f>IF(AM50="Bloomberg",AH50,IF(AM50="Snapshot",AC50,"unavailable"))</f>
        <v/>
      </c>
      <c r="AP50" s="15">
        <f>IF(AM50="Bloomberg",AJ50,IF(AM50="Snapshot",AD50,"unavailable"))</f>
        <v/>
      </c>
      <c r="AQ50" s="33">
        <f>IFERROR(IF(AND(ISNUMBER(AN50),N(AN50)&gt;0,ISNUMBER(AO50),N(AO50)&gt;0,ISNUMBER(AP50),N(AP50)&gt;0),AO50*AP50/AN50-1,"unavailable"),"unavailable")</f>
        <v/>
      </c>
      <c r="AR50" s="15" t="n">
        <v>136</v>
      </c>
      <c r="AS50" s="15" t="inlineStr">
        <is>
          <t>First-month share ratio needs review</t>
        </is>
      </c>
      <c r="AT50" s="31" t="inlineStr">
        <is>
          <t>603296</t>
        </is>
      </c>
      <c r="AW50">
        <f>IF(AND(J50&gt;0,OR(AH!$I$5="All",AH!$I$5="A/H only",AH!$I$5=C50)),1,0)</f>
        <v/>
      </c>
      <c r="AX50">
        <f>IF(AW50=1,COUNTIF($AW$5:AW50,1),"")</f>
        <v/>
      </c>
      <c r="AY50">
        <f>IF(AH!$M$5="Snapshot",IF(ISNUMBER(G50),G50,"unavailable"),IF(AND(ISNUMBER(K50),N(K50)&gt;0),K50,IF(AH!$M$5="Auto",IF(ISNUMBER(G50),G50,"unavailable"),"unavailable")))</f>
        <v/>
      </c>
      <c r="AZ50">
        <f>IF(AND(AH!$M$5&lt;&gt;"Snapshot",ISNUMBER(K50),N(K50)&gt;0),"Bloomberg",IF(AND(AH!$M$5&lt;&gt;"Bloomberg",ISNUMBER(G50)),"Snapshot","Unavailable"))</f>
        <v/>
      </c>
      <c r="BA50">
        <f>IF(AZ50="Bloomberg",M50,H50)</f>
        <v/>
      </c>
      <c r="BB50">
        <f>1</f>
        <v/>
      </c>
      <c r="BC50" s="15" t="n">
        <v>88</v>
      </c>
    </row>
    <row r="51">
      <c r="A51" s="31" t="inlineStr">
        <is>
          <t>6636</t>
        </is>
      </c>
      <c r="B51" s="15" t="inlineStr">
        <is>
          <t>EXTREME VISION</t>
        </is>
      </c>
      <c r="C51" s="15" t="inlineStr">
        <is>
          <t>Tech/AI</t>
        </is>
      </c>
      <c r="D51" s="15" t="inlineStr">
        <is>
          <t>AI application / agent software</t>
        </is>
      </c>
      <c r="E51" s="34" t="n">
        <v>46111</v>
      </c>
      <c r="F51" s="15" t="n">
        <v>40</v>
      </c>
      <c r="G51" s="15" t="n">
        <v>71</v>
      </c>
      <c r="H51" s="34" t="n">
        <v>46297</v>
      </c>
      <c r="I51" s="31" t="n"/>
      <c r="J51" s="15" t="n">
        <v>0</v>
      </c>
      <c r="K51" s="15">
        <f>IF(AND(AH!$M$5="Snapshot",'IPO Live'!$M$5="Snapshot"),"",IFERROR(BDP(TEXT(VALUE($A51),"0")&amp;" HK Equity","PX_LAST"),""))</f>
        <v/>
      </c>
      <c r="L51" s="15">
        <f>IF(AND(AH!$M$5="Snapshot",'IPO Live'!$M$5="Snapshot"),"",IFERROR(BDP(TEXT(VALUE($A51),"0")&amp;" HK Equity","CHG_PCT_1D")/100,""))</f>
        <v/>
      </c>
      <c r="M51" s="15">
        <f>IF(AND(AH!$M$5="Snapshot",'IPO Live'!$M$5="Snapshot"),"",IFERROR(BDP(TEXT(VALUE($A51),"0")&amp;" HK Equity","LAST_UPDATE_DT"),""))</f>
        <v/>
      </c>
      <c r="N51" s="15">
        <f>IF(AND(AH!$M$5="Snapshot",'IPO Live'!$M$5="Snapshot"),"",IFERROR(BDP(TEXT(VALUE($A51),"0")&amp;" HK Equity","LAST_UPDATE"),""))</f>
        <v/>
      </c>
      <c r="O51" s="15">
        <f>IF('IPO Live'!$M$5="Snapshot",IF(ISNUMBER(G51),G51,"unavailable"),IF(AND(ISNUMBER(K51),N(K51)&gt;0),K51,IF('IPO Live'!$M$5="Auto",IF(ISNUMBER(G51),G51,"unavailable"),"unavailable")))</f>
        <v/>
      </c>
      <c r="P51" s="15">
        <f>IF(AND('IPO Live'!$M$5&lt;&gt;"Snapshot",ISNUMBER(K51),N(K51)&gt;0),"Bloomberg",IF(AND('IPO Live'!$M$5&lt;&gt;"Bloomberg",ISNUMBER(G51)),"Snapshot","Unavailable"))</f>
        <v/>
      </c>
      <c r="Q51" s="33">
        <f>IF(AND(P51="Bloomberg",ISNUMBER(L51)),L51,"unavailable")</f>
        <v/>
      </c>
      <c r="R51" s="15">
        <f>IF(OR('IPO Live'!$B$5="All",'IPO Live'!$B$5=C51,AND('IPO Live'!$B$5="A/H only",J51&gt;0)),1,0)</f>
        <v/>
      </c>
      <c r="S51" s="15">
        <f>IF(R51=1,COUNTIF($R$5:R51,1),"")</f>
        <v/>
      </c>
      <c r="T51">
        <f>1</f>
        <v/>
      </c>
      <c r="U51">
        <f>IF($P51="Bloomberg",$M51,$H51)</f>
        <v/>
      </c>
      <c r="V51" s="15" t="inlineStr">
        <is>
          <t>2493 | MABWELL-B</t>
        </is>
      </c>
      <c r="W51" s="15" t="inlineStr">
        <is>
          <t>MABWELL-B</t>
        </is>
      </c>
      <c r="X51" s="31" t="inlineStr">
        <is>
          <t>2493</t>
        </is>
      </c>
      <c r="Y51" s="31" t="inlineStr">
        <is>
          <t>688062.SS</t>
        </is>
      </c>
      <c r="Z51" s="15" t="inlineStr">
        <is>
          <t>Biotech pre-revenue (18A)</t>
        </is>
      </c>
      <c r="AA51" s="34" t="n">
        <v>46140</v>
      </c>
      <c r="AB51" s="15" t="n">
        <v>20.88</v>
      </c>
      <c r="AC51" s="15" t="n">
        <v>27.04</v>
      </c>
      <c r="AD51" s="15" t="n">
        <v>1.170220971107483</v>
      </c>
      <c r="AE51" s="34" t="n">
        <v>46297</v>
      </c>
      <c r="AF51" s="34" t="n">
        <v>46295</v>
      </c>
      <c r="AG51" s="34" t="n">
        <v>46297</v>
      </c>
      <c r="AH51" s="15">
        <f>IF(AND(AH!$M$5="Snapshot",'IPO Live'!$M$5="Snapshot"),"",IFERROR(BDP(LEFT($Y51,FIND(".",$Y51)-1)&amp;" CH Equity","PX_LAST"),""))</f>
        <v/>
      </c>
      <c r="AI51" s="15">
        <f>$K$178</f>
        <v/>
      </c>
      <c r="AJ51" s="15">
        <f>$B$1</f>
        <v/>
      </c>
      <c r="AK51" s="34">
        <f>IF(AND(AH!$M$5="Snapshot",'IPO Live'!$M$5="Snapshot"),"",IFERROR(BDP(LEFT($Y51,FIND(".",$Y51)-1)&amp;" CH Equity","LAST_UPDATE_DT"),""))</f>
        <v/>
      </c>
      <c r="AL51" s="15">
        <f>IF(AND(AH!$M$5="Snapshot",'IPO Live'!$M$5="Snapshot"),"",IFERROR(BDP(LEFT($Y51,FIND(".",$Y51)-1)&amp;" CH Equity","LAST_UPDATE"),""))</f>
        <v/>
      </c>
      <c r="AM51" s="15">
        <f>IF(AND(AH!$M$5&lt;&gt;"Snapshot",ISNUMBER(AH51),N(AH51)&gt;0,ISNUMBER(AI51),N(AI51)&gt;0,ISNUMBER(AJ51),N(AJ51)&gt;0),"Bloomberg",IF(AH!$M$5="Bloomberg","Unavailable",IF(AND(ISNUMBER(AB51),ISNUMBER(AC51),ISNUMBER(AD51)),"Snapshot","Unavailable")))</f>
        <v/>
      </c>
      <c r="AN51" s="15">
        <f>IF(AM51="Bloomberg",AI51,IF(AM51="Snapshot",AB51,"unavailable"))</f>
        <v/>
      </c>
      <c r="AO51" s="15">
        <f>IF(AM51="Bloomberg",AH51,IF(AM51="Snapshot",AC51,"unavailable"))</f>
        <v/>
      </c>
      <c r="AP51" s="15">
        <f>IF(AM51="Bloomberg",AJ51,IF(AM51="Snapshot",AD51,"unavailable"))</f>
        <v/>
      </c>
      <c r="AQ51" s="33">
        <f>IFERROR(IF(AND(ISNUMBER(AN51),N(AN51)&gt;0,ISNUMBER(AO51),N(AO51)&gt;0,ISNUMBER(AP51),N(AP51)&gt;0),AO51*AP51/AN51-1,"unavailable"),"unavailable")</f>
        <v/>
      </c>
      <c r="AR51" s="15" t="n">
        <v>139</v>
      </c>
      <c r="AS51" s="15" t="inlineStr">
        <is>
          <t>One raw share per class; confirm class conversion for adjusted structures</t>
        </is>
      </c>
      <c r="AT51" s="31" t="inlineStr">
        <is>
          <t>688062</t>
        </is>
      </c>
      <c r="AW51">
        <f>IF(AND(J51&gt;0,OR(AH!$I$5="All",AH!$I$5="A/H only",AH!$I$5=C51)),1,0)</f>
        <v/>
      </c>
      <c r="AX51">
        <f>IF(AW51=1,COUNTIF($AW$5:AW51,1),"")</f>
        <v/>
      </c>
      <c r="AY51">
        <f>IF(AH!$M$5="Snapshot",IF(ISNUMBER(G51),G51,"unavailable"),IF(AND(ISNUMBER(K51),N(K51)&gt;0),K51,IF(AH!$M$5="Auto",IF(ISNUMBER(G51),G51,"unavailable"),"unavailable")))</f>
        <v/>
      </c>
      <c r="AZ51">
        <f>IF(AND(AH!$M$5&lt;&gt;"Snapshot",ISNUMBER(K51),N(K51)&gt;0),"Bloomberg",IF(AND(AH!$M$5&lt;&gt;"Bloomberg",ISNUMBER(G51)),"Snapshot","Unavailable"))</f>
        <v/>
      </c>
      <c r="BA51">
        <f>IF(AZ51="Bloomberg",M51,H51)</f>
        <v/>
      </c>
      <c r="BB51">
        <f>1</f>
        <v/>
      </c>
      <c r="BC51" s="15" t="n">
        <v>27.8</v>
      </c>
    </row>
    <row r="52">
      <c r="A52" s="31" t="inlineStr">
        <is>
          <t>1021</t>
        </is>
      </c>
      <c r="B52" s="15" t="inlineStr">
        <is>
          <t>HUAYAN ROBOTICS</t>
        </is>
      </c>
      <c r="C52" s="15" t="inlineStr">
        <is>
          <t>Tech/AI</t>
        </is>
      </c>
      <c r="D52" s="15" t="inlineStr">
        <is>
          <t>Robotics &amp; autonomous driving</t>
        </is>
      </c>
      <c r="E52" s="34" t="n">
        <v>46111</v>
      </c>
      <c r="F52" s="15" t="n">
        <v>17</v>
      </c>
      <c r="G52" s="15" t="n">
        <v>7.965</v>
      </c>
      <c r="H52" s="34" t="n">
        <v>46297</v>
      </c>
      <c r="I52" s="31" t="n"/>
      <c r="J52" s="15" t="n">
        <v>0</v>
      </c>
      <c r="K52" s="15">
        <f>IF(AND(AH!$M$5="Snapshot",'IPO Live'!$M$5="Snapshot"),"",IFERROR(BDP(TEXT(VALUE($A52),"0")&amp;" HK Equity","PX_LAST"),""))</f>
        <v/>
      </c>
      <c r="L52" s="15">
        <f>IF(AND(AH!$M$5="Snapshot",'IPO Live'!$M$5="Snapshot"),"",IFERROR(BDP(TEXT(VALUE($A52),"0")&amp;" HK Equity","CHG_PCT_1D")/100,""))</f>
        <v/>
      </c>
      <c r="M52" s="15">
        <f>IF(AND(AH!$M$5="Snapshot",'IPO Live'!$M$5="Snapshot"),"",IFERROR(BDP(TEXT(VALUE($A52),"0")&amp;" HK Equity","LAST_UPDATE_DT"),""))</f>
        <v/>
      </c>
      <c r="N52" s="15">
        <f>IF(AND(AH!$M$5="Snapshot",'IPO Live'!$M$5="Snapshot"),"",IFERROR(BDP(TEXT(VALUE($A52),"0")&amp;" HK Equity","LAST_UPDATE"),""))</f>
        <v/>
      </c>
      <c r="O52" s="15">
        <f>IF('IPO Live'!$M$5="Snapshot",IF(ISNUMBER(G52),G52,"unavailable"),IF(AND(ISNUMBER(K52),N(K52)&gt;0),K52,IF('IPO Live'!$M$5="Auto",IF(ISNUMBER(G52),G52,"unavailable"),"unavailable")))</f>
        <v/>
      </c>
      <c r="P52" s="15">
        <f>IF(AND('IPO Live'!$M$5&lt;&gt;"Snapshot",ISNUMBER(K52),N(K52)&gt;0),"Bloomberg",IF(AND('IPO Live'!$M$5&lt;&gt;"Bloomberg",ISNUMBER(G52)),"Snapshot","Unavailable"))</f>
        <v/>
      </c>
      <c r="Q52" s="33">
        <f>IF(AND(P52="Bloomberg",ISNUMBER(L52)),L52,"unavailable")</f>
        <v/>
      </c>
      <c r="R52" s="15">
        <f>IF(OR('IPO Live'!$B$5="All",'IPO Live'!$B$5=C52,AND('IPO Live'!$B$5="A/H only",J52&gt;0)),1,0)</f>
        <v/>
      </c>
      <c r="S52" s="15">
        <f>IF(R52=1,COUNTIF($R$5:R52,1),"")</f>
        <v/>
      </c>
      <c r="T52">
        <f>1</f>
        <v/>
      </c>
      <c r="U52">
        <f>IF($P52="Bloomberg",$M52,$H52)</f>
        <v/>
      </c>
      <c r="V52" s="15" t="inlineStr">
        <is>
          <t>1187 | COFOE MEDICAL</t>
        </is>
      </c>
      <c r="W52" s="15" t="inlineStr">
        <is>
          <t>COFOE MEDICAL</t>
        </is>
      </c>
      <c r="X52" s="31" t="inlineStr">
        <is>
          <t>1187</t>
        </is>
      </c>
      <c r="Y52" s="31" t="inlineStr">
        <is>
          <t>301087.SZ</t>
        </is>
      </c>
      <c r="Z52" s="15" t="inlineStr">
        <is>
          <t>Medical devices</t>
        </is>
      </c>
      <c r="AA52" s="34" t="n">
        <v>46148</v>
      </c>
      <c r="AB52" s="15" t="n">
        <v>28.12</v>
      </c>
      <c r="AC52" s="15" t="n">
        <v>52.1</v>
      </c>
      <c r="AD52" s="15" t="n">
        <v>1.170220971107483</v>
      </c>
      <c r="AE52" s="34" t="n">
        <v>46297</v>
      </c>
      <c r="AF52" s="34" t="n">
        <v>46295</v>
      </c>
      <c r="AG52" s="34" t="n">
        <v>46297</v>
      </c>
      <c r="AH52" s="15">
        <f>IF(AND(AH!$M$5="Snapshot",'IPO Live'!$M$5="Snapshot"),"",IFERROR(BDP(LEFT($Y52,FIND(".",$Y52)-1)&amp;" CH Equity","PX_LAST"),""))</f>
        <v/>
      </c>
      <c r="AI52" s="15">
        <f>$K$176</f>
        <v/>
      </c>
      <c r="AJ52" s="15">
        <f>$B$1</f>
        <v/>
      </c>
      <c r="AK52" s="34">
        <f>IF(AND(AH!$M$5="Snapshot",'IPO Live'!$M$5="Snapshot"),"",IFERROR(BDP(LEFT($Y52,FIND(".",$Y52)-1)&amp;" CH Equity","LAST_UPDATE_DT"),""))</f>
        <v/>
      </c>
      <c r="AL52" s="15">
        <f>IF(AND(AH!$M$5="Snapshot",'IPO Live'!$M$5="Snapshot"),"",IFERROR(BDP(LEFT($Y52,FIND(".",$Y52)-1)&amp;" CH Equity","LAST_UPDATE"),""))</f>
        <v/>
      </c>
      <c r="AM52" s="15">
        <f>IF(AND(AH!$M$5&lt;&gt;"Snapshot",ISNUMBER(AH52),N(AH52)&gt;0,ISNUMBER(AI52),N(AI52)&gt;0,ISNUMBER(AJ52),N(AJ52)&gt;0),"Bloomberg",IF(AH!$M$5="Bloomberg","Unavailable",IF(AND(ISNUMBER(AB52),ISNUMBER(AC52),ISNUMBER(AD52)),"Snapshot","Unavailable")))</f>
        <v/>
      </c>
      <c r="AN52" s="15">
        <f>IF(AM52="Bloomberg",AI52,IF(AM52="Snapshot",AB52,"unavailable"))</f>
        <v/>
      </c>
      <c r="AO52" s="15">
        <f>IF(AM52="Bloomberg",AH52,IF(AM52="Snapshot",AC52,"unavailable"))</f>
        <v/>
      </c>
      <c r="AP52" s="15">
        <f>IF(AM52="Bloomberg",AJ52,IF(AM52="Snapshot",AD52,"unavailable"))</f>
        <v/>
      </c>
      <c r="AQ52" s="33">
        <f>IFERROR(IF(AND(ISNUMBER(AN52),N(AN52)&gt;0,ISNUMBER(AO52),N(AO52)&gt;0,ISNUMBER(AP52),N(AP52)&gt;0),AO52*AP52/AN52-1,"unavailable"),"unavailable")</f>
        <v/>
      </c>
      <c r="AR52" s="15" t="n">
        <v>142</v>
      </c>
      <c r="AS52" s="15" t="inlineStr">
        <is>
          <t>One raw share per class; confirm class conversion for adjusted structures</t>
        </is>
      </c>
      <c r="AT52" s="31" t="inlineStr">
        <is>
          <t>301087</t>
        </is>
      </c>
      <c r="AW52">
        <f>IF(AND(J52&gt;0,OR(AH!$I$5="All",AH!$I$5="A/H only",AH!$I$5=C52)),1,0)</f>
        <v/>
      </c>
      <c r="AX52">
        <f>IF(AW52=1,COUNTIF($AW$5:AW52,1),"")</f>
        <v/>
      </c>
      <c r="AY52">
        <f>IF(AH!$M$5="Snapshot",IF(ISNUMBER(G52),G52,"unavailable"),IF(AND(ISNUMBER(K52),N(K52)&gt;0),K52,IF(AH!$M$5="Auto",IF(ISNUMBER(G52),G52,"unavailable"),"unavailable")))</f>
        <v/>
      </c>
      <c r="AZ52">
        <f>IF(AND(AH!$M$5&lt;&gt;"Snapshot",ISNUMBER(K52),N(K52)&gt;0),"Bloomberg",IF(AND(AH!$M$5&lt;&gt;"Bloomberg",ISNUMBER(G52)),"Snapshot","Unavailable"))</f>
        <v/>
      </c>
      <c r="BA52">
        <f>IF(AZ52="Bloomberg",M52,H52)</f>
        <v/>
      </c>
      <c r="BB52">
        <f>1</f>
        <v/>
      </c>
      <c r="BC52" s="15" t="n">
        <v>38.9</v>
      </c>
    </row>
    <row r="53">
      <c r="A53" s="31" t="inlineStr">
        <is>
          <t>2729</t>
        </is>
      </c>
      <c r="B53" s="15" t="inlineStr">
        <is>
          <t>GALAXIS TECH</t>
        </is>
      </c>
      <c r="C53" s="15" t="inlineStr">
        <is>
          <t>Tech/AI</t>
        </is>
      </c>
      <c r="D53" s="15" t="inlineStr">
        <is>
          <t>Robotics &amp; autonomous driving</t>
        </is>
      </c>
      <c r="E53" s="34" t="n">
        <v>46105</v>
      </c>
      <c r="F53" s="15" t="n">
        <v>16.66</v>
      </c>
      <c r="G53" s="15" t="n">
        <v>20.44</v>
      </c>
      <c r="H53" s="34" t="n">
        <v>46297</v>
      </c>
      <c r="I53" s="31" t="n"/>
      <c r="J53" s="15" t="n">
        <v>0</v>
      </c>
      <c r="K53" s="15">
        <f>IF(AND(AH!$M$5="Snapshot",'IPO Live'!$M$5="Snapshot"),"",IFERROR(BDP(TEXT(VALUE($A53),"0")&amp;" HK Equity","PX_LAST"),""))</f>
        <v/>
      </c>
      <c r="L53" s="15">
        <f>IF(AND(AH!$M$5="Snapshot",'IPO Live'!$M$5="Snapshot"),"",IFERROR(BDP(TEXT(VALUE($A53),"0")&amp;" HK Equity","CHG_PCT_1D")/100,""))</f>
        <v/>
      </c>
      <c r="M53" s="15">
        <f>IF(AND(AH!$M$5="Snapshot",'IPO Live'!$M$5="Snapshot"),"",IFERROR(BDP(TEXT(VALUE($A53),"0")&amp;" HK Equity","LAST_UPDATE_DT"),""))</f>
        <v/>
      </c>
      <c r="N53" s="15">
        <f>IF(AND(AH!$M$5="Snapshot",'IPO Live'!$M$5="Snapshot"),"",IFERROR(BDP(TEXT(VALUE($A53),"0")&amp;" HK Equity","LAST_UPDATE"),""))</f>
        <v/>
      </c>
      <c r="O53" s="15">
        <f>IF('IPO Live'!$M$5="Snapshot",IF(ISNUMBER(G53),G53,"unavailable"),IF(AND(ISNUMBER(K53),N(K53)&gt;0),K53,IF('IPO Live'!$M$5="Auto",IF(ISNUMBER(G53),G53,"unavailable"),"unavailable")))</f>
        <v/>
      </c>
      <c r="P53" s="15">
        <f>IF(AND('IPO Live'!$M$5&lt;&gt;"Snapshot",ISNUMBER(K53),N(K53)&gt;0),"Bloomberg",IF(AND('IPO Live'!$M$5&lt;&gt;"Bloomberg",ISNUMBER(G53)),"Snapshot","Unavailable"))</f>
        <v/>
      </c>
      <c r="Q53" s="33">
        <f>IF(AND(P53="Bloomberg",ISNUMBER(L53)),L53,"unavailable")</f>
        <v/>
      </c>
      <c r="R53" s="15">
        <f>IF(OR('IPO Live'!$B$5="All",'IPO Live'!$B$5=C53,AND('IPO Live'!$B$5="A/H only",J53&gt;0)),1,0)</f>
        <v/>
      </c>
      <c r="S53" s="15">
        <f>IF(R53=1,COUNTIF($R$5:R53,1),"")</f>
        <v/>
      </c>
      <c r="T53">
        <f>1</f>
        <v/>
      </c>
      <c r="U53">
        <f>IF($P53="Bloomberg",$M53,$H53)</f>
        <v/>
      </c>
      <c r="V53" s="15" t="inlineStr">
        <is>
          <t>1081 | DAJIN</t>
        </is>
      </c>
      <c r="W53" s="15" t="inlineStr">
        <is>
          <t>DAJIN</t>
        </is>
      </c>
      <c r="X53" s="31" t="inlineStr">
        <is>
          <t>1081</t>
        </is>
      </c>
      <c r="Y53" s="31" t="inlineStr">
        <is>
          <t>002487.SZ</t>
        </is>
      </c>
      <c r="Z53" s="15" t="inlineStr">
        <is>
          <t>Solar / wind supply chain</t>
        </is>
      </c>
      <c r="AA53" s="34" t="n">
        <v>46178</v>
      </c>
      <c r="AB53" s="15" t="n">
        <v>31.86</v>
      </c>
      <c r="AC53" s="15" t="n">
        <v>46.29</v>
      </c>
      <c r="AD53" s="15" t="n">
        <v>1.170220971107483</v>
      </c>
      <c r="AE53" s="34" t="n">
        <v>46297</v>
      </c>
      <c r="AF53" s="34" t="n">
        <v>46295</v>
      </c>
      <c r="AG53" s="34" t="n">
        <v>46297</v>
      </c>
      <c r="AH53" s="15">
        <f>IF(AND(AH!$M$5="Snapshot",'IPO Live'!$M$5="Snapshot"),"",IFERROR(BDP(LEFT($Y53,FIND(".",$Y53)-1)&amp;" CH Equity","PX_LAST"),""))</f>
        <v/>
      </c>
      <c r="AI53" s="15">
        <f>$K$388</f>
        <v/>
      </c>
      <c r="AJ53" s="15">
        <f>$B$1</f>
        <v/>
      </c>
      <c r="AK53" s="34">
        <f>IF(AND(AH!$M$5="Snapshot",'IPO Live'!$M$5="Snapshot"),"",IFERROR(BDP(LEFT($Y53,FIND(".",$Y53)-1)&amp;" CH Equity","LAST_UPDATE_DT"),""))</f>
        <v/>
      </c>
      <c r="AL53" s="15">
        <f>IF(AND(AH!$M$5="Snapshot",'IPO Live'!$M$5="Snapshot"),"",IFERROR(BDP(LEFT($Y53,FIND(".",$Y53)-1)&amp;" CH Equity","LAST_UPDATE"),""))</f>
        <v/>
      </c>
      <c r="AM53" s="15">
        <f>IF(AND(AH!$M$5&lt;&gt;"Snapshot",ISNUMBER(AH53),N(AH53)&gt;0,ISNUMBER(AI53),N(AI53)&gt;0,ISNUMBER(AJ53),N(AJ53)&gt;0),"Bloomberg",IF(AH!$M$5="Bloomberg","Unavailable",IF(AND(ISNUMBER(AB53),ISNUMBER(AC53),ISNUMBER(AD53)),"Snapshot","Unavailable")))</f>
        <v/>
      </c>
      <c r="AN53" s="15">
        <f>IF(AM53="Bloomberg",AI53,IF(AM53="Snapshot",AB53,"unavailable"))</f>
        <v/>
      </c>
      <c r="AO53" s="15">
        <f>IF(AM53="Bloomberg",AH53,IF(AM53="Snapshot",AC53,"unavailable"))</f>
        <v/>
      </c>
      <c r="AP53" s="15">
        <f>IF(AM53="Bloomberg",AJ53,IF(AM53="Snapshot",AD53,"unavailable"))</f>
        <v/>
      </c>
      <c r="AQ53" s="33">
        <f>IFERROR(IF(AND(ISNUMBER(AN53),N(AN53)&gt;0,ISNUMBER(AO53),N(AO53)&gt;0,ISNUMBER(AP53),N(AP53)&gt;0),AO53*AP53/AN53-1,"unavailable"),"unavailable")</f>
        <v/>
      </c>
      <c r="AR53" s="15" t="n">
        <v>145</v>
      </c>
      <c r="AS53" s="15" t="inlineStr">
        <is>
          <t>One raw share per class; confirm class conversion for adjusted structures</t>
        </is>
      </c>
      <c r="AT53" s="31" t="inlineStr">
        <is>
          <t>002487</t>
        </is>
      </c>
      <c r="AW53">
        <f>IF(AND(J53&gt;0,OR(AH!$I$5="All",AH!$I$5="A/H only",AH!$I$5=C53)),1,0)</f>
        <v/>
      </c>
      <c r="AX53">
        <f>IF(AW53=1,COUNTIF($AW$5:AW53,1),"")</f>
        <v/>
      </c>
      <c r="AY53">
        <f>IF(AH!$M$5="Snapshot",IF(ISNUMBER(G53),G53,"unavailable"),IF(AND(ISNUMBER(K53),N(K53)&gt;0),K53,IF(AH!$M$5="Auto",IF(ISNUMBER(G53),G53,"unavailable"),"unavailable")))</f>
        <v/>
      </c>
      <c r="AZ53">
        <f>IF(AND(AH!$M$5&lt;&gt;"Snapshot",ISNUMBER(K53),N(K53)&gt;0),"Bloomberg",IF(AND(AH!$M$5&lt;&gt;"Bloomberg",ISNUMBER(G53)),"Snapshot","Unavailable"))</f>
        <v/>
      </c>
      <c r="BA53">
        <f>IF(AZ53="Bloomberg",M53,H53)</f>
        <v/>
      </c>
      <c r="BB53">
        <f>1</f>
        <v/>
      </c>
      <c r="BC53" s="15" t="n">
        <v>66.40000000000001</v>
      </c>
    </row>
    <row r="54">
      <c r="A54" s="31" t="inlineStr">
        <is>
          <t>2701</t>
        </is>
      </c>
      <c r="B54" s="15" t="inlineStr">
        <is>
          <t>NSING TECH</t>
        </is>
      </c>
      <c r="C54" s="15" t="inlineStr">
        <is>
          <t>Tech/AI</t>
        </is>
      </c>
      <c r="D54" s="15" t="inlineStr">
        <is>
          <t>Other / diversified semiconductors</t>
        </is>
      </c>
      <c r="E54" s="34" t="n">
        <v>46104</v>
      </c>
      <c r="F54" s="15" t="n">
        <v>10.8</v>
      </c>
      <c r="G54" s="15" t="n">
        <v>7.765</v>
      </c>
      <c r="H54" s="34" t="n">
        <v>46297</v>
      </c>
      <c r="I54" s="31" t="inlineStr">
        <is>
          <t>300077.SZ</t>
        </is>
      </c>
      <c r="J54" s="15" t="n">
        <v>48</v>
      </c>
      <c r="K54" s="15">
        <f>IF(AND(AH!$M$5="Snapshot",'IPO Live'!$M$5="Snapshot"),"",IFERROR(BDP(TEXT(VALUE($A54),"0")&amp;" HK Equity","PX_LAST"),""))</f>
        <v/>
      </c>
      <c r="L54" s="15">
        <f>IF(AND(AH!$M$5="Snapshot",'IPO Live'!$M$5="Snapshot"),"",IFERROR(BDP(TEXT(VALUE($A54),"0")&amp;" HK Equity","CHG_PCT_1D")/100,""))</f>
        <v/>
      </c>
      <c r="M54" s="15">
        <f>IF(AND(AH!$M$5="Snapshot",'IPO Live'!$M$5="Snapshot"),"",IFERROR(BDP(TEXT(VALUE($A54),"0")&amp;" HK Equity","LAST_UPDATE_DT"),""))</f>
        <v/>
      </c>
      <c r="N54" s="15">
        <f>IF(AND(AH!$M$5="Snapshot",'IPO Live'!$M$5="Snapshot"),"",IFERROR(BDP(TEXT(VALUE($A54),"0")&amp;" HK Equity","LAST_UPDATE"),""))</f>
        <v/>
      </c>
      <c r="O54" s="15">
        <f>IF('IPO Live'!$M$5="Snapshot",IF(ISNUMBER(G54),G54,"unavailable"),IF(AND(ISNUMBER(K54),N(K54)&gt;0),K54,IF('IPO Live'!$M$5="Auto",IF(ISNUMBER(G54),G54,"unavailable"),"unavailable")))</f>
        <v/>
      </c>
      <c r="P54" s="15">
        <f>IF(AND('IPO Live'!$M$5&lt;&gt;"Snapshot",ISNUMBER(K54),N(K54)&gt;0),"Bloomberg",IF(AND('IPO Live'!$M$5&lt;&gt;"Bloomberg",ISNUMBER(G54)),"Snapshot","Unavailable"))</f>
        <v/>
      </c>
      <c r="Q54" s="33">
        <f>IF(AND(P54="Bloomberg",ISNUMBER(L54)),L54,"unavailable")</f>
        <v/>
      </c>
      <c r="R54" s="15">
        <f>IF(OR('IPO Live'!$B$5="All",'IPO Live'!$B$5=C54,AND('IPO Live'!$B$5="A/H only",J54&gt;0)),1,0)</f>
        <v/>
      </c>
      <c r="S54" s="15">
        <f>IF(R54=1,COUNTIF($R$5:R54,1),"")</f>
        <v/>
      </c>
      <c r="T54">
        <f>1</f>
        <v/>
      </c>
      <c r="U54">
        <f>IF($P54="Bloomberg",$M54,$H54)</f>
        <v/>
      </c>
      <c r="V54" s="15" t="inlineStr">
        <is>
          <t>6067 | SENIOR MATERIAL</t>
        </is>
      </c>
      <c r="W54" s="15" t="inlineStr">
        <is>
          <t>SENIOR MATERIAL</t>
        </is>
      </c>
      <c r="X54" s="31" t="inlineStr">
        <is>
          <t>6067</t>
        </is>
      </c>
      <c r="Y54" s="31" t="inlineStr">
        <is>
          <t>300568.SZ</t>
        </is>
      </c>
      <c r="Z54" s="15" t="inlineStr">
        <is>
          <t>Batteries / energy storage</t>
        </is>
      </c>
      <c r="AA54" s="34" t="n">
        <v>46196</v>
      </c>
      <c r="AB54" s="15" t="n">
        <v>6.965</v>
      </c>
      <c r="AC54" s="15" t="n">
        <v>15.74</v>
      </c>
      <c r="AD54" s="15" t="n">
        <v>1.170220971107483</v>
      </c>
      <c r="AE54" s="34" t="n">
        <v>46297</v>
      </c>
      <c r="AF54" s="34" t="n">
        <v>46295</v>
      </c>
      <c r="AG54" s="34" t="n">
        <v>46297</v>
      </c>
      <c r="AH54" s="15">
        <f>IF(AND(AH!$M$5="Snapshot",'IPO Live'!$M$5="Snapshot"),"",IFERROR(BDP(LEFT($Y54,FIND(".",$Y54)-1)&amp;" CH Equity","PX_LAST"),""))</f>
        <v/>
      </c>
      <c r="AI54" s="15">
        <f>$K$387</f>
        <v/>
      </c>
      <c r="AJ54" s="15">
        <f>$B$1</f>
        <v/>
      </c>
      <c r="AK54" s="34">
        <f>IF(AND(AH!$M$5="Snapshot",'IPO Live'!$M$5="Snapshot"),"",IFERROR(BDP(LEFT($Y54,FIND(".",$Y54)-1)&amp;" CH Equity","LAST_UPDATE_DT"),""))</f>
        <v/>
      </c>
      <c r="AL54" s="15">
        <f>IF(AND(AH!$M$5="Snapshot",'IPO Live'!$M$5="Snapshot"),"",IFERROR(BDP(LEFT($Y54,FIND(".",$Y54)-1)&amp;" CH Equity","LAST_UPDATE"),""))</f>
        <v/>
      </c>
      <c r="AM54" s="15">
        <f>IF(AND(AH!$M$5&lt;&gt;"Snapshot",ISNUMBER(AH54),N(AH54)&gt;0,ISNUMBER(AI54),N(AI54)&gt;0,ISNUMBER(AJ54),N(AJ54)&gt;0),"Bloomberg",IF(AH!$M$5="Bloomberg","Unavailable",IF(AND(ISNUMBER(AB54),ISNUMBER(AC54),ISNUMBER(AD54)),"Snapshot","Unavailable")))</f>
        <v/>
      </c>
      <c r="AN54" s="15">
        <f>IF(AM54="Bloomberg",AI54,IF(AM54="Snapshot",AB54,"unavailable"))</f>
        <v/>
      </c>
      <c r="AO54" s="15">
        <f>IF(AM54="Bloomberg",AH54,IF(AM54="Snapshot",AC54,"unavailable"))</f>
        <v/>
      </c>
      <c r="AP54" s="15">
        <f>IF(AM54="Bloomberg",AJ54,IF(AM54="Snapshot",AD54,"unavailable"))</f>
        <v/>
      </c>
      <c r="AQ54" s="33">
        <f>IFERROR(IF(AND(ISNUMBER(AN54),N(AN54)&gt;0,ISNUMBER(AO54),N(AO54)&gt;0,ISNUMBER(AP54),N(AP54)&gt;0),AO54*AP54/AN54-1,"unavailable"),"unavailable")</f>
        <v/>
      </c>
      <c r="AR54" s="15" t="n">
        <v>148</v>
      </c>
      <c r="AS54" s="15" t="inlineStr">
        <is>
          <t>One raw share per class; confirm class conversion for adjusted structures</t>
        </is>
      </c>
      <c r="AT54" s="31" t="inlineStr">
        <is>
          <t>300568</t>
        </is>
      </c>
      <c r="AW54">
        <f>IF(AND(J54&gt;0,OR(AH!$I$5="All",AH!$I$5="A/H only",AH!$I$5=C54)),1,0)</f>
        <v/>
      </c>
      <c r="AX54">
        <f>IF(AW54=1,COUNTIF($AW$5:AW54,1),"")</f>
        <v/>
      </c>
      <c r="AY54">
        <f>IF(AH!$M$5="Snapshot",IF(ISNUMBER(G54),G54,"unavailable"),IF(AND(ISNUMBER(K54),N(K54)&gt;0),K54,IF(AH!$M$5="Auto",IF(ISNUMBER(G54),G54,"unavailable"),"unavailable")))</f>
        <v/>
      </c>
      <c r="AZ54">
        <f>IF(AND(AH!$M$5&lt;&gt;"Snapshot",ISNUMBER(K54),N(K54)&gt;0),"Bloomberg",IF(AND(AH!$M$5&lt;&gt;"Bloomberg",ISNUMBER(G54)),"Snapshot","Unavailable"))</f>
        <v/>
      </c>
      <c r="BA54">
        <f>IF(AZ54="Bloomberg",M54,H54)</f>
        <v/>
      </c>
      <c r="BB54">
        <f>1</f>
        <v/>
      </c>
      <c r="BC54" s="15" t="n">
        <v>11</v>
      </c>
    </row>
    <row r="55">
      <c r="A55" s="31" t="inlineStr">
        <is>
          <t>3355</t>
        </is>
      </c>
      <c r="B55" s="15" t="inlineStr">
        <is>
          <t>FS.COM</t>
        </is>
      </c>
      <c r="C55" s="15" t="inlineStr">
        <is>
          <t>Tech/AI</t>
        </is>
      </c>
      <c r="D55" s="15" t="inlineStr">
        <is>
          <t>Smart hardware / consumer electronics</t>
        </is>
      </c>
      <c r="E55" s="34" t="n">
        <v>46104</v>
      </c>
      <c r="F55" s="15" t="n">
        <v>41.6</v>
      </c>
      <c r="G55" s="15" t="n">
        <v>37</v>
      </c>
      <c r="H55" s="34" t="n">
        <v>46297</v>
      </c>
      <c r="I55" s="31" t="n"/>
      <c r="J55" s="15" t="n">
        <v>0</v>
      </c>
      <c r="K55" s="15">
        <f>IF(AND(AH!$M$5="Snapshot",'IPO Live'!$M$5="Snapshot"),"",IFERROR(BDP(TEXT(VALUE($A55),"0")&amp;" HK Equity","PX_LAST"),""))</f>
        <v/>
      </c>
      <c r="L55" s="15">
        <f>IF(AND(AH!$M$5="Snapshot",'IPO Live'!$M$5="Snapshot"),"",IFERROR(BDP(TEXT(VALUE($A55),"0")&amp;" HK Equity","CHG_PCT_1D")/100,""))</f>
        <v/>
      </c>
      <c r="M55" s="15">
        <f>IF(AND(AH!$M$5="Snapshot",'IPO Live'!$M$5="Snapshot"),"",IFERROR(BDP(TEXT(VALUE($A55),"0")&amp;" HK Equity","LAST_UPDATE_DT"),""))</f>
        <v/>
      </c>
      <c r="N55" s="15">
        <f>IF(AND(AH!$M$5="Snapshot",'IPO Live'!$M$5="Snapshot"),"",IFERROR(BDP(TEXT(VALUE($A55),"0")&amp;" HK Equity","LAST_UPDATE"),""))</f>
        <v/>
      </c>
      <c r="O55" s="15">
        <f>IF('IPO Live'!$M$5="Snapshot",IF(ISNUMBER(G55),G55,"unavailable"),IF(AND(ISNUMBER(K55),N(K55)&gt;0),K55,IF('IPO Live'!$M$5="Auto",IF(ISNUMBER(G55),G55,"unavailable"),"unavailable")))</f>
        <v/>
      </c>
      <c r="P55" s="15">
        <f>IF(AND('IPO Live'!$M$5&lt;&gt;"Snapshot",ISNUMBER(K55),N(K55)&gt;0),"Bloomberg",IF(AND('IPO Live'!$M$5&lt;&gt;"Bloomberg",ISNUMBER(G55)),"Snapshot","Unavailable"))</f>
        <v/>
      </c>
      <c r="Q55" s="33">
        <f>IF(AND(P55="Bloomberg",ISNUMBER(L55)),L55,"unavailable")</f>
        <v/>
      </c>
      <c r="R55" s="15">
        <f>IF(OR('IPO Live'!$B$5="All",'IPO Live'!$B$5=C55,AND('IPO Live'!$B$5="A/H only",J55&gt;0)),1,0)</f>
        <v/>
      </c>
      <c r="S55" s="15">
        <f>IF(R55=1,COUNTIF($R$5:R55,1),"")</f>
        <v/>
      </c>
      <c r="T55">
        <f>1</f>
        <v/>
      </c>
      <c r="U55">
        <f>IF($P55="Bloomberg",$M55,$H55)</f>
        <v/>
      </c>
      <c r="V55" s="15" t="inlineStr">
        <is>
          <t>3661 | SG MICRO</t>
        </is>
      </c>
      <c r="W55" s="15" t="inlineStr">
        <is>
          <t>SG MICRO</t>
        </is>
      </c>
      <c r="X55" s="31" t="inlineStr">
        <is>
          <t>3661</t>
        </is>
      </c>
      <c r="Y55" s="31" t="inlineStr">
        <is>
          <t>300661.SZ</t>
        </is>
      </c>
      <c r="Z55" s="15" t="inlineStr">
        <is>
          <t>Analog / power semiconductors</t>
        </is>
      </c>
      <c r="AA55" s="34" t="n">
        <v>46199</v>
      </c>
      <c r="AB55" s="15" t="n">
        <v>83.84999999999999</v>
      </c>
      <c r="AC55" s="15" t="n">
        <v>110.21</v>
      </c>
      <c r="AD55" s="15" t="n">
        <v>1.170220971107483</v>
      </c>
      <c r="AE55" s="34" t="n">
        <v>46297</v>
      </c>
      <c r="AF55" s="34" t="n">
        <v>46295</v>
      </c>
      <c r="AG55" s="34" t="n">
        <v>46297</v>
      </c>
      <c r="AH55" s="15">
        <f>IF(AND(AH!$M$5="Snapshot",'IPO Live'!$M$5="Snapshot"),"",IFERROR(BDP(LEFT($Y55,FIND(".",$Y55)-1)&amp;" CH Equity","PX_LAST"),""))</f>
        <v/>
      </c>
      <c r="AI55" s="15">
        <f>$K$30</f>
        <v/>
      </c>
      <c r="AJ55" s="15">
        <f>$B$1</f>
        <v/>
      </c>
      <c r="AK55" s="34">
        <f>IF(AND(AH!$M$5="Snapshot",'IPO Live'!$M$5="Snapshot"),"",IFERROR(BDP(LEFT($Y55,FIND(".",$Y55)-1)&amp;" CH Equity","LAST_UPDATE_DT"),""))</f>
        <v/>
      </c>
      <c r="AL55" s="15">
        <f>IF(AND(AH!$M$5="Snapshot",'IPO Live'!$M$5="Snapshot"),"",IFERROR(BDP(LEFT($Y55,FIND(".",$Y55)-1)&amp;" CH Equity","LAST_UPDATE"),""))</f>
        <v/>
      </c>
      <c r="AM55" s="15">
        <f>IF(AND(AH!$M$5&lt;&gt;"Snapshot",ISNUMBER(AH55),N(AH55)&gt;0,ISNUMBER(AI55),N(AI55)&gt;0,ISNUMBER(AJ55),N(AJ55)&gt;0),"Bloomberg",IF(AH!$M$5="Bloomberg","Unavailable",IF(AND(ISNUMBER(AB55),ISNUMBER(AC55),ISNUMBER(AD55)),"Snapshot","Unavailable")))</f>
        <v/>
      </c>
      <c r="AN55" s="15">
        <f>IF(AM55="Bloomberg",AI55,IF(AM55="Snapshot",AB55,"unavailable"))</f>
        <v/>
      </c>
      <c r="AO55" s="15">
        <f>IF(AM55="Bloomberg",AH55,IF(AM55="Snapshot",AC55,"unavailable"))</f>
        <v/>
      </c>
      <c r="AP55" s="15">
        <f>IF(AM55="Bloomberg",AJ55,IF(AM55="Snapshot",AD55,"unavailable"))</f>
        <v/>
      </c>
      <c r="AQ55" s="33">
        <f>IFERROR(IF(AND(ISNUMBER(AN55),N(AN55)&gt;0,ISNUMBER(AO55),N(AO55)&gt;0,ISNUMBER(AP55),N(AP55)&gt;0),AO55*AP55/AN55-1,"unavailable"),"unavailable")</f>
        <v/>
      </c>
      <c r="AR55" s="15" t="n">
        <v>151</v>
      </c>
      <c r="AS55" s="15" t="inlineStr">
        <is>
          <t>One raw share per class; confirm class conversion for adjusted structures</t>
        </is>
      </c>
      <c r="AT55" s="31" t="inlineStr">
        <is>
          <t>300661</t>
        </is>
      </c>
      <c r="AW55">
        <f>IF(AND(J55&gt;0,OR(AH!$I$5="All",AH!$I$5="A/H only",AH!$I$5=C55)),1,0)</f>
        <v/>
      </c>
      <c r="AX55">
        <f>IF(AW55=1,COUNTIF($AW$5:AW55,1),"")</f>
        <v/>
      </c>
      <c r="AY55">
        <f>IF(AH!$M$5="Snapshot",IF(ISNUMBER(G55),G55,"unavailable"),IF(AND(ISNUMBER(K55),N(K55)&gt;0),K55,IF(AH!$M$5="Auto",IF(ISNUMBER(G55),G55,"unavailable"),"unavailable")))</f>
        <v/>
      </c>
      <c r="AZ55">
        <f>IF(AND(AH!$M$5&lt;&gt;"Snapshot",ISNUMBER(K55),N(K55)&gt;0),"Bloomberg",IF(AND(AH!$M$5&lt;&gt;"Bloomberg",ISNUMBER(G55)),"Snapshot","Unavailable"))</f>
        <v/>
      </c>
      <c r="BA55">
        <f>IF(AZ55="Bloomberg",M55,H55)</f>
        <v/>
      </c>
      <c r="BB55">
        <f>1</f>
        <v/>
      </c>
      <c r="BC55" s="15" t="n">
        <v>125.3</v>
      </c>
    </row>
    <row r="56">
      <c r="A56" s="31" t="inlineStr">
        <is>
          <t>1989</t>
        </is>
      </c>
      <c r="B56" s="15" t="inlineStr">
        <is>
          <t>DELTON</t>
        </is>
      </c>
      <c r="C56" s="15" t="inlineStr">
        <is>
          <t>Tech/AI</t>
        </is>
      </c>
      <c r="D56" s="15" t="inlineStr">
        <is>
          <t>Smart hardware / consumer electronics</t>
        </is>
      </c>
      <c r="E56" s="34" t="n">
        <v>46101</v>
      </c>
      <c r="F56" s="15" t="n">
        <v>71.88</v>
      </c>
      <c r="G56" s="15" t="n">
        <v>118.1</v>
      </c>
      <c r="H56" s="34" t="n">
        <v>46297</v>
      </c>
      <c r="I56" s="31" t="inlineStr">
        <is>
          <t>001389.SZ</t>
        </is>
      </c>
      <c r="J56" s="15" t="n">
        <v>47</v>
      </c>
      <c r="K56" s="15">
        <f>IF(AND(AH!$M$5="Snapshot",'IPO Live'!$M$5="Snapshot"),"",IFERROR(BDP(TEXT(VALUE($A56),"0")&amp;" HK Equity","PX_LAST"),""))</f>
        <v/>
      </c>
      <c r="L56" s="15">
        <f>IF(AND(AH!$M$5="Snapshot",'IPO Live'!$M$5="Snapshot"),"",IFERROR(BDP(TEXT(VALUE($A56),"0")&amp;" HK Equity","CHG_PCT_1D")/100,""))</f>
        <v/>
      </c>
      <c r="M56" s="15">
        <f>IF(AND(AH!$M$5="Snapshot",'IPO Live'!$M$5="Snapshot"),"",IFERROR(BDP(TEXT(VALUE($A56),"0")&amp;" HK Equity","LAST_UPDATE_DT"),""))</f>
        <v/>
      </c>
      <c r="N56" s="15">
        <f>IF(AND(AH!$M$5="Snapshot",'IPO Live'!$M$5="Snapshot"),"",IFERROR(BDP(TEXT(VALUE($A56),"0")&amp;" HK Equity","LAST_UPDATE"),""))</f>
        <v/>
      </c>
      <c r="O56" s="15">
        <f>IF('IPO Live'!$M$5="Snapshot",IF(ISNUMBER(G56),G56,"unavailable"),IF(AND(ISNUMBER(K56),N(K56)&gt;0),K56,IF('IPO Live'!$M$5="Auto",IF(ISNUMBER(G56),G56,"unavailable"),"unavailable")))</f>
        <v/>
      </c>
      <c r="P56" s="15">
        <f>IF(AND('IPO Live'!$M$5&lt;&gt;"Snapshot",ISNUMBER(K56),N(K56)&gt;0),"Bloomberg",IF(AND('IPO Live'!$M$5&lt;&gt;"Bloomberg",ISNUMBER(G56)),"Snapshot","Unavailable"))</f>
        <v/>
      </c>
      <c r="Q56" s="33">
        <f>IF(AND(P56="Bloomberg",ISNUMBER(L56)),L56,"unavailable")</f>
        <v/>
      </c>
      <c r="R56" s="15">
        <f>IF(OR('IPO Live'!$B$5="All",'IPO Live'!$B$5=C56,AND('IPO Live'!$B$5="A/H only",J56&gt;0)),1,0)</f>
        <v/>
      </c>
      <c r="S56" s="15">
        <f>IF(R56=1,COUNTIF($R$5:R56,1),"")</f>
        <v/>
      </c>
      <c r="T56">
        <f>1</f>
        <v/>
      </c>
      <c r="U56">
        <f>IF($P56="Bloomberg",$M56,$H56)</f>
        <v/>
      </c>
      <c r="V56" s="15" t="inlineStr">
        <is>
          <t>1688 | LINGYI ITECH</t>
        </is>
      </c>
      <c r="W56" s="15" t="inlineStr">
        <is>
          <t>LINGYI ITECH</t>
        </is>
      </c>
      <c r="X56" s="31" t="inlineStr">
        <is>
          <t>1688</t>
        </is>
      </c>
      <c r="Y56" s="31" t="inlineStr">
        <is>
          <t>002600.SZ</t>
        </is>
      </c>
      <c r="Z56" s="15" t="inlineStr">
        <is>
          <t>Smart hardware / consumer electronics</t>
        </is>
      </c>
      <c r="AA56" s="34" t="n">
        <v>46199</v>
      </c>
      <c r="AB56" s="15" t="n">
        <v>5.47</v>
      </c>
      <c r="AC56" s="15" t="n">
        <v>11.88</v>
      </c>
      <c r="AD56" s="15" t="n">
        <v>1.170220971107483</v>
      </c>
      <c r="AE56" s="34" t="n">
        <v>46297</v>
      </c>
      <c r="AF56" s="34" t="n">
        <v>46295</v>
      </c>
      <c r="AG56" s="34" t="n">
        <v>46297</v>
      </c>
      <c r="AH56" s="15">
        <f>IF(AND(AH!$M$5="Snapshot",'IPO Live'!$M$5="Snapshot"),"",IFERROR(BDP(LEFT($Y56,FIND(".",$Y56)-1)&amp;" CH Equity","PX_LAST"),""))</f>
        <v/>
      </c>
      <c r="AI56" s="15">
        <f>$K$31</f>
        <v/>
      </c>
      <c r="AJ56" s="15">
        <f>$B$1</f>
        <v/>
      </c>
      <c r="AK56" s="34">
        <f>IF(AND(AH!$M$5="Snapshot",'IPO Live'!$M$5="Snapshot"),"",IFERROR(BDP(LEFT($Y56,FIND(".",$Y56)-1)&amp;" CH Equity","LAST_UPDATE_DT"),""))</f>
        <v/>
      </c>
      <c r="AL56" s="15">
        <f>IF(AND(AH!$M$5="Snapshot",'IPO Live'!$M$5="Snapshot"),"",IFERROR(BDP(LEFT($Y56,FIND(".",$Y56)-1)&amp;" CH Equity","LAST_UPDATE"),""))</f>
        <v/>
      </c>
      <c r="AM56" s="15">
        <f>IF(AND(AH!$M$5&lt;&gt;"Snapshot",ISNUMBER(AH56),N(AH56)&gt;0,ISNUMBER(AI56),N(AI56)&gt;0,ISNUMBER(AJ56),N(AJ56)&gt;0),"Bloomberg",IF(AH!$M$5="Bloomberg","Unavailable",IF(AND(ISNUMBER(AB56),ISNUMBER(AC56),ISNUMBER(AD56)),"Snapshot","Unavailable")))</f>
        <v/>
      </c>
      <c r="AN56" s="15">
        <f>IF(AM56="Bloomberg",AI56,IF(AM56="Snapshot",AB56,"unavailable"))</f>
        <v/>
      </c>
      <c r="AO56" s="15">
        <f>IF(AM56="Bloomberg",AH56,IF(AM56="Snapshot",AC56,"unavailable"))</f>
        <v/>
      </c>
      <c r="AP56" s="15">
        <f>IF(AM56="Bloomberg",AJ56,IF(AM56="Snapshot",AD56,"unavailable"))</f>
        <v/>
      </c>
      <c r="AQ56" s="33">
        <f>IFERROR(IF(AND(ISNUMBER(AN56),N(AN56)&gt;0,ISNUMBER(AO56),N(AO56)&gt;0,ISNUMBER(AP56),N(AP56)&gt;0),AO56*AP56/AN56-1,"unavailable"),"unavailable")</f>
        <v/>
      </c>
      <c r="AR56" s="15" t="n">
        <v>154</v>
      </c>
      <c r="AS56" s="15" t="inlineStr">
        <is>
          <t>One raw share per class; confirm class conversion for adjusted structures</t>
        </is>
      </c>
      <c r="AT56" s="31" t="inlineStr">
        <is>
          <t>002600</t>
        </is>
      </c>
      <c r="AW56">
        <f>IF(AND(J56&gt;0,OR(AH!$I$5="All",AH!$I$5="A/H only",AH!$I$5=C56)),1,0)</f>
        <v/>
      </c>
      <c r="AX56">
        <f>IF(AW56=1,COUNTIF($AW$5:AW56,1),"")</f>
        <v/>
      </c>
      <c r="AY56">
        <f>IF(AH!$M$5="Snapshot",IF(ISNUMBER(G56),G56,"unavailable"),IF(AND(ISNUMBER(K56),N(K56)&gt;0),K56,IF(AH!$M$5="Auto",IF(ISNUMBER(G56),G56,"unavailable"),"unavailable")))</f>
        <v/>
      </c>
      <c r="AZ56">
        <f>IF(AND(AH!$M$5&lt;&gt;"Snapshot",ISNUMBER(K56),N(K56)&gt;0),"Bloomberg",IF(AND(AH!$M$5&lt;&gt;"Bloomberg",ISNUMBER(G56)),"Snapshot","Unavailable"))</f>
        <v/>
      </c>
      <c r="BA56">
        <f>IF(AZ56="Bloomberg",M56,H56)</f>
        <v/>
      </c>
      <c r="BB56">
        <f>1</f>
        <v/>
      </c>
      <c r="BC56" s="15" t="n">
        <v>9.710000000000001</v>
      </c>
    </row>
    <row r="57">
      <c r="A57" s="31" t="inlineStr">
        <is>
          <t>3268</t>
        </is>
      </c>
      <c r="B57" s="15" t="inlineStr">
        <is>
          <t>MEIG</t>
        </is>
      </c>
      <c r="C57" s="15" t="inlineStr">
        <is>
          <t>Tech/AI</t>
        </is>
      </c>
      <c r="D57" s="15" t="inlineStr">
        <is>
          <t>Smart hardware / consumer electronics</t>
        </is>
      </c>
      <c r="E57" s="34" t="n">
        <v>46091</v>
      </c>
      <c r="F57" s="15" t="n">
        <v>28.86</v>
      </c>
      <c r="G57" s="15" t="n">
        <v>17.5</v>
      </c>
      <c r="H57" s="34" t="n">
        <v>46297</v>
      </c>
      <c r="I57" s="31" t="inlineStr">
        <is>
          <t>002881.SZ</t>
        </is>
      </c>
      <c r="J57" s="15" t="n">
        <v>46</v>
      </c>
      <c r="K57" s="15">
        <f>IF(AND(AH!$M$5="Snapshot",'IPO Live'!$M$5="Snapshot"),"",IFERROR(BDP(TEXT(VALUE($A57),"0")&amp;" HK Equity","PX_LAST"),""))</f>
        <v/>
      </c>
      <c r="L57" s="15">
        <f>IF(AND(AH!$M$5="Snapshot",'IPO Live'!$M$5="Snapshot"),"",IFERROR(BDP(TEXT(VALUE($A57),"0")&amp;" HK Equity","CHG_PCT_1D")/100,""))</f>
        <v/>
      </c>
      <c r="M57" s="15">
        <f>IF(AND(AH!$M$5="Snapshot",'IPO Live'!$M$5="Snapshot"),"",IFERROR(BDP(TEXT(VALUE($A57),"0")&amp;" HK Equity","LAST_UPDATE_DT"),""))</f>
        <v/>
      </c>
      <c r="N57" s="15">
        <f>IF(AND(AH!$M$5="Snapshot",'IPO Live'!$M$5="Snapshot"),"",IFERROR(BDP(TEXT(VALUE($A57),"0")&amp;" HK Equity","LAST_UPDATE"),""))</f>
        <v/>
      </c>
      <c r="O57" s="15">
        <f>IF('IPO Live'!$M$5="Snapshot",IF(ISNUMBER(G57),G57,"unavailable"),IF(AND(ISNUMBER(K57),N(K57)&gt;0),K57,IF('IPO Live'!$M$5="Auto",IF(ISNUMBER(G57),G57,"unavailable"),"unavailable")))</f>
        <v/>
      </c>
      <c r="P57" s="15">
        <f>IF(AND('IPO Live'!$M$5&lt;&gt;"Snapshot",ISNUMBER(K57),N(K57)&gt;0),"Bloomberg",IF(AND('IPO Live'!$M$5&lt;&gt;"Bloomberg",ISNUMBER(G57)),"Snapshot","Unavailable"))</f>
        <v/>
      </c>
      <c r="Q57" s="33">
        <f>IF(AND(P57="Bloomberg",ISNUMBER(L57)),L57,"unavailable")</f>
        <v/>
      </c>
      <c r="R57" s="15">
        <f>IF(OR('IPO Live'!$B$5="All",'IPO Live'!$B$5=C57,AND('IPO Live'!$B$5="A/H only",J57&gt;0)),1,0)</f>
        <v/>
      </c>
      <c r="S57" s="15">
        <f>IF(R57=1,COUNTIF($R$5:R57,1),"")</f>
        <v/>
      </c>
      <c r="T57">
        <f>1</f>
        <v/>
      </c>
      <c r="U57">
        <f>IF($P57="Bloomberg",$M57,$H57)</f>
        <v/>
      </c>
      <c r="V57" s="15" t="inlineStr">
        <is>
          <t>9630 | CFMEE</t>
        </is>
      </c>
      <c r="W57" s="15" t="inlineStr">
        <is>
          <t>CFMEE</t>
        </is>
      </c>
      <c r="X57" s="31" t="inlineStr">
        <is>
          <t>9630</t>
        </is>
      </c>
      <c r="Y57" s="31" t="inlineStr">
        <is>
          <t>688630.SS</t>
        </is>
      </c>
      <c r="Z57" s="15" t="inlineStr">
        <is>
          <t>Semiconductor equipment / materials</t>
        </is>
      </c>
      <c r="AA57" s="34" t="n">
        <v>46199</v>
      </c>
      <c r="AB57" s="15" t="n">
        <v>320</v>
      </c>
      <c r="AC57" s="15" t="n">
        <v>388.68</v>
      </c>
      <c r="AD57" s="15" t="n">
        <v>1.170220971107483</v>
      </c>
      <c r="AE57" s="34" t="n">
        <v>46297</v>
      </c>
      <c r="AF57" s="34" t="n">
        <v>46295</v>
      </c>
      <c r="AG57" s="34" t="n">
        <v>46297</v>
      </c>
      <c r="AH57" s="15">
        <f>IF(AND(AH!$M$5="Snapshot",'IPO Live'!$M$5="Snapshot"),"",IFERROR(BDP(LEFT($Y57,FIND(".",$Y57)-1)&amp;" CH Equity","PX_LAST"),""))</f>
        <v/>
      </c>
      <c r="AI57" s="15">
        <f>$K$32</f>
        <v/>
      </c>
      <c r="AJ57" s="15">
        <f>$B$1</f>
        <v/>
      </c>
      <c r="AK57" s="34">
        <f>IF(AND(AH!$M$5="Snapshot",'IPO Live'!$M$5="Snapshot"),"",IFERROR(BDP(LEFT($Y57,FIND(".",$Y57)-1)&amp;" CH Equity","LAST_UPDATE_DT"),""))</f>
        <v/>
      </c>
      <c r="AL57" s="15">
        <f>IF(AND(AH!$M$5="Snapshot",'IPO Live'!$M$5="Snapshot"),"",IFERROR(BDP(LEFT($Y57,FIND(".",$Y57)-1)&amp;" CH Equity","LAST_UPDATE"),""))</f>
        <v/>
      </c>
      <c r="AM57" s="15">
        <f>IF(AND(AH!$M$5&lt;&gt;"Snapshot",ISNUMBER(AH57),N(AH57)&gt;0,ISNUMBER(AI57),N(AI57)&gt;0,ISNUMBER(AJ57),N(AJ57)&gt;0),"Bloomberg",IF(AH!$M$5="Bloomberg","Unavailable",IF(AND(ISNUMBER(AB57),ISNUMBER(AC57),ISNUMBER(AD57)),"Snapshot","Unavailable")))</f>
        <v/>
      </c>
      <c r="AN57" s="15">
        <f>IF(AM57="Bloomberg",AI57,IF(AM57="Snapshot",AB57,"unavailable"))</f>
        <v/>
      </c>
      <c r="AO57" s="15">
        <f>IF(AM57="Bloomberg",AH57,IF(AM57="Snapshot",AC57,"unavailable"))</f>
        <v/>
      </c>
      <c r="AP57" s="15">
        <f>IF(AM57="Bloomberg",AJ57,IF(AM57="Snapshot",AD57,"unavailable"))</f>
        <v/>
      </c>
      <c r="AQ57" s="33">
        <f>IFERROR(IF(AND(ISNUMBER(AN57),N(AN57)&gt;0,ISNUMBER(AO57),N(AO57)&gt;0,ISNUMBER(AP57),N(AP57)&gt;0),AO57*AP57/AN57-1,"unavailable"),"unavailable")</f>
        <v/>
      </c>
      <c r="AR57" s="15" t="n">
        <v>157</v>
      </c>
      <c r="AS57" s="15" t="inlineStr">
        <is>
          <t>One raw share per class; confirm class conversion for adjusted structures</t>
        </is>
      </c>
      <c r="AT57" s="31" t="inlineStr">
        <is>
          <t>688630</t>
        </is>
      </c>
      <c r="AW57">
        <f>IF(AND(J57&gt;0,OR(AH!$I$5="All",AH!$I$5="A/H only",AH!$I$5=C57)),1,0)</f>
        <v/>
      </c>
      <c r="AX57">
        <f>IF(AW57=1,COUNTIF($AW$5:AW57,1),"")</f>
        <v/>
      </c>
      <c r="AY57">
        <f>IF(AH!$M$5="Snapshot",IF(ISNUMBER(G57),G57,"unavailable"),IF(AND(ISNUMBER(K57),N(K57)&gt;0),K57,IF(AH!$M$5="Auto",IF(ISNUMBER(G57),G57,"unavailable"),"unavailable")))</f>
        <v/>
      </c>
      <c r="AZ57">
        <f>IF(AND(AH!$M$5&lt;&gt;"Snapshot",ISNUMBER(K57),N(K57)&gt;0),"Bloomberg",IF(AND(AH!$M$5&lt;&gt;"Bloomberg",ISNUMBER(G57)),"Snapshot","Unavailable"))</f>
        <v/>
      </c>
      <c r="BA57">
        <f>IF(AZ57="Bloomberg",M57,H57)</f>
        <v/>
      </c>
      <c r="BB57">
        <f>1</f>
        <v/>
      </c>
      <c r="BC57" s="15" t="n">
        <v>515</v>
      </c>
    </row>
    <row r="58">
      <c r="A58" s="31" t="inlineStr">
        <is>
          <t>2715</t>
        </is>
      </c>
      <c r="B58" s="15" t="inlineStr">
        <is>
          <t>ESTUN</t>
        </is>
      </c>
      <c r="C58" s="15" t="inlineStr">
        <is>
          <t>Tech/AI</t>
        </is>
      </c>
      <c r="D58" s="15" t="inlineStr">
        <is>
          <t>Robotics &amp; autonomous driving</t>
        </is>
      </c>
      <c r="E58" s="34" t="n">
        <v>46090</v>
      </c>
      <c r="F58" s="15" t="n">
        <v>15.36</v>
      </c>
      <c r="G58" s="15" t="n">
        <v>14.09</v>
      </c>
      <c r="H58" s="34" t="n">
        <v>46297</v>
      </c>
      <c r="I58" s="31" t="inlineStr">
        <is>
          <t>002747.SZ</t>
        </is>
      </c>
      <c r="J58" s="15" t="n">
        <v>44</v>
      </c>
      <c r="K58" s="15">
        <f>IF(AND(AH!$M$5="Snapshot",'IPO Live'!$M$5="Snapshot"),"",IFERROR(BDP(TEXT(VALUE($A58),"0")&amp;" HK Equity","PX_LAST"),""))</f>
        <v/>
      </c>
      <c r="L58" s="15">
        <f>IF(AND(AH!$M$5="Snapshot",'IPO Live'!$M$5="Snapshot"),"",IFERROR(BDP(TEXT(VALUE($A58),"0")&amp;" HK Equity","CHG_PCT_1D")/100,""))</f>
        <v/>
      </c>
      <c r="M58" s="15">
        <f>IF(AND(AH!$M$5="Snapshot",'IPO Live'!$M$5="Snapshot"),"",IFERROR(BDP(TEXT(VALUE($A58),"0")&amp;" HK Equity","LAST_UPDATE_DT"),""))</f>
        <v/>
      </c>
      <c r="N58" s="15">
        <f>IF(AND(AH!$M$5="Snapshot",'IPO Live'!$M$5="Snapshot"),"",IFERROR(BDP(TEXT(VALUE($A58),"0")&amp;" HK Equity","LAST_UPDATE"),""))</f>
        <v/>
      </c>
      <c r="O58" s="15">
        <f>IF('IPO Live'!$M$5="Snapshot",IF(ISNUMBER(G58),G58,"unavailable"),IF(AND(ISNUMBER(K58),N(K58)&gt;0),K58,IF('IPO Live'!$M$5="Auto",IF(ISNUMBER(G58),G58,"unavailable"),"unavailable")))</f>
        <v/>
      </c>
      <c r="P58" s="15">
        <f>IF(AND('IPO Live'!$M$5&lt;&gt;"Snapshot",ISNUMBER(K58),N(K58)&gt;0),"Bloomberg",IF(AND('IPO Live'!$M$5&lt;&gt;"Bloomberg",ISNUMBER(G58)),"Snapshot","Unavailable"))</f>
        <v/>
      </c>
      <c r="Q58" s="33">
        <f>IF(AND(P58="Bloomberg",ISNUMBER(L58)),L58,"unavailable")</f>
        <v/>
      </c>
      <c r="R58" s="15">
        <f>IF(OR('IPO Live'!$B$5="All",'IPO Live'!$B$5=C58,AND('IPO Live'!$B$5="A/H only",J58&gt;0)),1,0)</f>
        <v/>
      </c>
      <c r="S58" s="15">
        <f>IF(R58=1,COUNTIF($R$5:R58,1),"")</f>
        <v/>
      </c>
      <c r="T58">
        <f>1</f>
        <v/>
      </c>
      <c r="U58">
        <f>IF($P58="Bloomberg",$M58,$H58)</f>
        <v/>
      </c>
      <c r="V58" s="15" t="inlineStr">
        <is>
          <t>0668 | ANKER</t>
        </is>
      </c>
      <c r="W58" s="15" t="inlineStr">
        <is>
          <t>ANKER</t>
        </is>
      </c>
      <c r="X58" s="31" t="inlineStr">
        <is>
          <t>0668</t>
        </is>
      </c>
      <c r="Y58" s="31" t="inlineStr">
        <is>
          <t>300866.SZ</t>
        </is>
      </c>
      <c r="Z58" s="15" t="inlineStr">
        <is>
          <t>Smart hardware / consumer electronics</t>
        </is>
      </c>
      <c r="AA58" s="34" t="n">
        <v>46205</v>
      </c>
      <c r="AB58" s="15" t="n">
        <v>114</v>
      </c>
      <c r="AC58" s="15" t="n">
        <v>124.63</v>
      </c>
      <c r="AD58" s="15" t="n">
        <v>1.170220971107483</v>
      </c>
      <c r="AE58" s="34" t="n">
        <v>46297</v>
      </c>
      <c r="AF58" s="34" t="n">
        <v>46295</v>
      </c>
      <c r="AG58" s="34" t="n">
        <v>46297</v>
      </c>
      <c r="AH58" s="15">
        <f>IF(AND(AH!$M$5="Snapshot",'IPO Live'!$M$5="Snapshot"),"",IFERROR(BDP(LEFT($Y58,FIND(".",$Y58)-1)&amp;" CH Equity","PX_LAST"),""))</f>
        <v/>
      </c>
      <c r="AI58" s="15">
        <f>$K$26</f>
        <v/>
      </c>
      <c r="AJ58" s="15">
        <f>$B$1</f>
        <v/>
      </c>
      <c r="AK58" s="34">
        <f>IF(AND(AH!$M$5="Snapshot",'IPO Live'!$M$5="Snapshot"),"",IFERROR(BDP(LEFT($Y58,FIND(".",$Y58)-1)&amp;" CH Equity","LAST_UPDATE_DT"),""))</f>
        <v/>
      </c>
      <c r="AL58" s="15">
        <f>IF(AND(AH!$M$5="Snapshot",'IPO Live'!$M$5="Snapshot"),"",IFERROR(BDP(LEFT($Y58,FIND(".",$Y58)-1)&amp;" CH Equity","LAST_UPDATE"),""))</f>
        <v/>
      </c>
      <c r="AM58" s="15">
        <f>IF(AND(AH!$M$5&lt;&gt;"Snapshot",ISNUMBER(AH58),N(AH58)&gt;0,ISNUMBER(AI58),N(AI58)&gt;0,ISNUMBER(AJ58),N(AJ58)&gt;0),"Bloomberg",IF(AH!$M$5="Bloomberg","Unavailable",IF(AND(ISNUMBER(AB58),ISNUMBER(AC58),ISNUMBER(AD58)),"Snapshot","Unavailable")))</f>
        <v/>
      </c>
      <c r="AN58" s="15">
        <f>IF(AM58="Bloomberg",AI58,IF(AM58="Snapshot",AB58,"unavailable"))</f>
        <v/>
      </c>
      <c r="AO58" s="15">
        <f>IF(AM58="Bloomberg",AH58,IF(AM58="Snapshot",AC58,"unavailable"))</f>
        <v/>
      </c>
      <c r="AP58" s="15">
        <f>IF(AM58="Bloomberg",AJ58,IF(AM58="Snapshot",AD58,"unavailable"))</f>
        <v/>
      </c>
      <c r="AQ58" s="33">
        <f>IFERROR(IF(AND(ISNUMBER(AN58),N(AN58)&gt;0,ISNUMBER(AO58),N(AO58)&gt;0,ISNUMBER(AP58),N(AP58)&gt;0),AO58*AP58/AN58-1,"unavailable"),"unavailable")</f>
        <v/>
      </c>
      <c r="AR58" s="15" t="n">
        <v>160</v>
      </c>
      <c r="AS58" s="15" t="inlineStr">
        <is>
          <t>One raw share per class; confirm class conversion for adjusted structures</t>
        </is>
      </c>
      <c r="AT58" s="31" t="inlineStr">
        <is>
          <t>300866</t>
        </is>
      </c>
      <c r="AW58">
        <f>IF(AND(J58&gt;0,OR(AH!$I$5="All",AH!$I$5="A/H only",AH!$I$5=C58)),1,0)</f>
        <v/>
      </c>
      <c r="AX58">
        <f>IF(AW58=1,COUNTIF($AW$5:AW58,1),"")</f>
        <v/>
      </c>
      <c r="AY58">
        <f>IF(AH!$M$5="Snapshot",IF(ISNUMBER(G58),G58,"unavailable"),IF(AND(ISNUMBER(K58),N(K58)&gt;0),K58,IF(AH!$M$5="Auto",IF(ISNUMBER(G58),G58,"unavailable"),"unavailable")))</f>
        <v/>
      </c>
      <c r="AZ58">
        <f>IF(AND(AH!$M$5&lt;&gt;"Snapshot",ISNUMBER(K58),N(K58)&gt;0),"Bloomberg",IF(AND(AH!$M$5&lt;&gt;"Bloomberg",ISNUMBER(G58)),"Snapshot","Unavailable"))</f>
        <v/>
      </c>
      <c r="BA58">
        <f>IF(AZ58="Bloomberg",M58,H58)</f>
        <v/>
      </c>
      <c r="BB58">
        <f>1</f>
        <v/>
      </c>
      <c r="BC58" s="15" t="n">
        <v>114.9</v>
      </c>
    </row>
    <row r="59">
      <c r="A59" s="31" t="inlineStr">
        <is>
          <t>2706</t>
        </is>
      </c>
      <c r="B59" s="15" t="inlineStr">
        <is>
          <t>HAIZHI TECH GP</t>
        </is>
      </c>
      <c r="C59" s="15" t="inlineStr">
        <is>
          <t>Tech/AI</t>
        </is>
      </c>
      <c r="D59" s="15" t="inlineStr">
        <is>
          <t>AI application / agent software</t>
        </is>
      </c>
      <c r="E59" s="34" t="n">
        <v>46066</v>
      </c>
      <c r="F59" s="15" t="n">
        <v>27.06</v>
      </c>
      <c r="G59" s="15" t="n">
        <v>38.82</v>
      </c>
      <c r="H59" s="34" t="n">
        <v>46297</v>
      </c>
      <c r="I59" s="31" t="n"/>
      <c r="J59" s="15" t="n">
        <v>0</v>
      </c>
      <c r="K59" s="15">
        <f>IF(AND(AH!$M$5="Snapshot",'IPO Live'!$M$5="Snapshot"),"",IFERROR(BDP(TEXT(VALUE($A59),"0")&amp;" HK Equity","PX_LAST"),""))</f>
        <v/>
      </c>
      <c r="L59" s="15">
        <f>IF(AND(AH!$M$5="Snapshot",'IPO Live'!$M$5="Snapshot"),"",IFERROR(BDP(TEXT(VALUE($A59),"0")&amp;" HK Equity","CHG_PCT_1D")/100,""))</f>
        <v/>
      </c>
      <c r="M59" s="15">
        <f>IF(AND(AH!$M$5="Snapshot",'IPO Live'!$M$5="Snapshot"),"",IFERROR(BDP(TEXT(VALUE($A59),"0")&amp;" HK Equity","LAST_UPDATE_DT"),""))</f>
        <v/>
      </c>
      <c r="N59" s="15">
        <f>IF(AND(AH!$M$5="Snapshot",'IPO Live'!$M$5="Snapshot"),"",IFERROR(BDP(TEXT(VALUE($A59),"0")&amp;" HK Equity","LAST_UPDATE"),""))</f>
        <v/>
      </c>
      <c r="O59" s="15">
        <f>IF('IPO Live'!$M$5="Snapshot",IF(ISNUMBER(G59),G59,"unavailable"),IF(AND(ISNUMBER(K59),N(K59)&gt;0),K59,IF('IPO Live'!$M$5="Auto",IF(ISNUMBER(G59),G59,"unavailable"),"unavailable")))</f>
        <v/>
      </c>
      <c r="P59" s="15">
        <f>IF(AND('IPO Live'!$M$5&lt;&gt;"Snapshot",ISNUMBER(K59),N(K59)&gt;0),"Bloomberg",IF(AND('IPO Live'!$M$5&lt;&gt;"Bloomberg",ISNUMBER(G59)),"Snapshot","Unavailable"))</f>
        <v/>
      </c>
      <c r="Q59" s="33">
        <f>IF(AND(P59="Bloomberg",ISNUMBER(L59)),L59,"unavailable")</f>
        <v/>
      </c>
      <c r="R59" s="15">
        <f>IF(OR('IPO Live'!$B$5="All",'IPO Live'!$B$5=C59,AND('IPO Live'!$B$5="A/H only",J59&gt;0)),1,0)</f>
        <v/>
      </c>
      <c r="S59" s="15">
        <f>IF(R59=1,COUNTIF($R$5:R59,1),"")</f>
        <v/>
      </c>
      <c r="T59">
        <f>1</f>
        <v/>
      </c>
      <c r="U59">
        <f>IF($P59="Bloomberg",$M59,$H59)</f>
        <v/>
      </c>
      <c r="V59" s="15" t="inlineStr">
        <is>
          <t>0537 | RIGOL</t>
        </is>
      </c>
      <c r="W59" s="15" t="inlineStr">
        <is>
          <t>RIGOL</t>
        </is>
      </c>
      <c r="X59" s="31" t="inlineStr">
        <is>
          <t>0537</t>
        </is>
      </c>
      <c r="Y59" s="31" t="inlineStr">
        <is>
          <t>688337.SS</t>
        </is>
      </c>
      <c r="Z59" s="15" t="inlineStr">
        <is>
          <t>Capital goods / machinery</t>
        </is>
      </c>
      <c r="AA59" s="34" t="n">
        <v>46212</v>
      </c>
      <c r="AB59" s="15" t="n">
        <v>23.82</v>
      </c>
      <c r="AC59" s="15" t="n">
        <v>47.8</v>
      </c>
      <c r="AD59" s="15" t="n">
        <v>1.170220971107483</v>
      </c>
      <c r="AE59" s="34" t="n">
        <v>46297</v>
      </c>
      <c r="AF59" s="34" t="n">
        <v>46295</v>
      </c>
      <c r="AG59" s="34" t="n">
        <v>46297</v>
      </c>
      <c r="AH59" s="15">
        <f>IF(AND(AH!$M$5="Snapshot",'IPO Live'!$M$5="Snapshot"),"",IFERROR(BDP(LEFT($Y59,FIND(".",$Y59)-1)&amp;" CH Equity","PX_LAST"),""))</f>
        <v/>
      </c>
      <c r="AI59" s="15">
        <f>$K$385</f>
        <v/>
      </c>
      <c r="AJ59" s="15">
        <f>$B$1</f>
        <v/>
      </c>
      <c r="AK59" s="34">
        <f>IF(AND(AH!$M$5="Snapshot",'IPO Live'!$M$5="Snapshot"),"",IFERROR(BDP(LEFT($Y59,FIND(".",$Y59)-1)&amp;" CH Equity","LAST_UPDATE_DT"),""))</f>
        <v/>
      </c>
      <c r="AL59" s="15">
        <f>IF(AND(AH!$M$5="Snapshot",'IPO Live'!$M$5="Snapshot"),"",IFERROR(BDP(LEFT($Y59,FIND(".",$Y59)-1)&amp;" CH Equity","LAST_UPDATE"),""))</f>
        <v/>
      </c>
      <c r="AM59" s="15">
        <f>IF(AND(AH!$M$5&lt;&gt;"Snapshot",ISNUMBER(AH59),N(AH59)&gt;0,ISNUMBER(AI59),N(AI59)&gt;0,ISNUMBER(AJ59),N(AJ59)&gt;0),"Bloomberg",IF(AH!$M$5="Bloomberg","Unavailable",IF(AND(ISNUMBER(AB59),ISNUMBER(AC59),ISNUMBER(AD59)),"Snapshot","Unavailable")))</f>
        <v/>
      </c>
      <c r="AN59" s="15">
        <f>IF(AM59="Bloomberg",AI59,IF(AM59="Snapshot",AB59,"unavailable"))</f>
        <v/>
      </c>
      <c r="AO59" s="15">
        <f>IF(AM59="Bloomberg",AH59,IF(AM59="Snapshot",AC59,"unavailable"))</f>
        <v/>
      </c>
      <c r="AP59" s="15">
        <f>IF(AM59="Bloomberg",AJ59,IF(AM59="Snapshot",AD59,"unavailable"))</f>
        <v/>
      </c>
      <c r="AQ59" s="33">
        <f>IFERROR(IF(AND(ISNUMBER(AN59),N(AN59)&gt;0,ISNUMBER(AO59),N(AO59)&gt;0,ISNUMBER(AP59),N(AP59)&gt;0),AO59*AP59/AN59-1,"unavailable"),"unavailable")</f>
        <v/>
      </c>
      <c r="AR59" s="15" t="n">
        <v>163</v>
      </c>
      <c r="AS59" s="15" t="inlineStr">
        <is>
          <t>One raw share per class; confirm class conversion for adjusted structures</t>
        </is>
      </c>
      <c r="AT59" s="31" t="inlineStr">
        <is>
          <t>688337</t>
        </is>
      </c>
      <c r="AW59">
        <f>IF(AND(J59&gt;0,OR(AH!$I$5="All",AH!$I$5="A/H only",AH!$I$5=C59)),1,0)</f>
        <v/>
      </c>
      <c r="AX59">
        <f>IF(AW59=1,COUNTIF($AW$5:AW59,1),"")</f>
        <v/>
      </c>
      <c r="AY59">
        <f>IF(AH!$M$5="Snapshot",IF(ISNUMBER(G59),G59,"unavailable"),IF(AND(ISNUMBER(K59),N(K59)&gt;0),K59,IF(AH!$M$5="Auto",IF(ISNUMBER(G59),G59,"unavailable"),"unavailable")))</f>
        <v/>
      </c>
      <c r="AZ59">
        <f>IF(AND(AH!$M$5&lt;&gt;"Snapshot",ISNUMBER(K59),N(K59)&gt;0),"Bloomberg",IF(AND(AH!$M$5&lt;&gt;"Bloomberg",ISNUMBER(G59)),"Snapshot","Unavailable"))</f>
        <v/>
      </c>
      <c r="BA59">
        <f>IF(AZ59="Bloomberg",M59,H59)</f>
        <v/>
      </c>
      <c r="BB59">
        <f>1</f>
        <v/>
      </c>
      <c r="BC59" s="15" t="n">
        <v>28.8</v>
      </c>
    </row>
    <row r="60">
      <c r="A60" s="31" t="inlineStr">
        <is>
          <t>0600</t>
        </is>
      </c>
      <c r="B60" s="15" t="inlineStr">
        <is>
          <t>AXERA</t>
        </is>
      </c>
      <c r="C60" s="15" t="inlineStr">
        <is>
          <t>Tech/AI</t>
        </is>
      </c>
      <c r="D60" s="15" t="inlineStr">
        <is>
          <t>Compute / AI semiconductors</t>
        </is>
      </c>
      <c r="E60" s="34" t="n">
        <v>46063</v>
      </c>
      <c r="F60" s="15" t="n">
        <v>28.2</v>
      </c>
      <c r="G60" s="15" t="n">
        <v>21.4</v>
      </c>
      <c r="H60" s="34" t="n">
        <v>46297</v>
      </c>
      <c r="I60" s="31" t="n"/>
      <c r="J60" s="15" t="n">
        <v>0</v>
      </c>
      <c r="K60" s="15">
        <f>IF(AND(AH!$M$5="Snapshot",'IPO Live'!$M$5="Snapshot"),"",IFERROR(BDP(TEXT(VALUE($A60),"0")&amp;" HK Equity","PX_LAST"),""))</f>
        <v/>
      </c>
      <c r="L60" s="15">
        <f>IF(AND(AH!$M$5="Snapshot",'IPO Live'!$M$5="Snapshot"),"",IFERROR(BDP(TEXT(VALUE($A60),"0")&amp;" HK Equity","CHG_PCT_1D")/100,""))</f>
        <v/>
      </c>
      <c r="M60" s="15">
        <f>IF(AND(AH!$M$5="Snapshot",'IPO Live'!$M$5="Snapshot"),"",IFERROR(BDP(TEXT(VALUE($A60),"0")&amp;" HK Equity","LAST_UPDATE_DT"),""))</f>
        <v/>
      </c>
      <c r="N60" s="15">
        <f>IF(AND(AH!$M$5="Snapshot",'IPO Live'!$M$5="Snapshot"),"",IFERROR(BDP(TEXT(VALUE($A60),"0")&amp;" HK Equity","LAST_UPDATE"),""))</f>
        <v/>
      </c>
      <c r="O60" s="15">
        <f>IF('IPO Live'!$M$5="Snapshot",IF(ISNUMBER(G60),G60,"unavailable"),IF(AND(ISNUMBER(K60),N(K60)&gt;0),K60,IF('IPO Live'!$M$5="Auto",IF(ISNUMBER(G60),G60,"unavailable"),"unavailable")))</f>
        <v/>
      </c>
      <c r="P60" s="15">
        <f>IF(AND('IPO Live'!$M$5&lt;&gt;"Snapshot",ISNUMBER(K60),N(K60)&gt;0),"Bloomberg",IF(AND('IPO Live'!$M$5&lt;&gt;"Bloomberg",ISNUMBER(G60)),"Snapshot","Unavailable"))</f>
        <v/>
      </c>
      <c r="Q60" s="33">
        <f>IF(AND(P60="Bloomberg",ISNUMBER(L60)),L60,"unavailable")</f>
        <v/>
      </c>
      <c r="R60" s="15">
        <f>IF(OR('IPO Live'!$B$5="All",'IPO Live'!$B$5=C60,AND('IPO Live'!$B$5="A/H only",J60&gt;0)),1,0)</f>
        <v/>
      </c>
      <c r="S60" s="15">
        <f>IF(R60=1,COUNTIF($R$5:R60,1),"")</f>
        <v/>
      </c>
      <c r="T60">
        <f>1</f>
        <v/>
      </c>
      <c r="U60">
        <f>IF($P60="Bloomberg",$M60,$H60)</f>
        <v/>
      </c>
      <c r="V60" s="15" t="inlineStr">
        <is>
          <t>2475 | LUXSHARE ICT</t>
        </is>
      </c>
      <c r="W60" s="15" t="inlineStr">
        <is>
          <t>LUXSHARE ICT</t>
        </is>
      </c>
      <c r="X60" s="31" t="inlineStr">
        <is>
          <t>2475</t>
        </is>
      </c>
      <c r="Y60" s="31" t="inlineStr">
        <is>
          <t>002475.SZ</t>
        </is>
      </c>
      <c r="Z60" s="15" t="inlineStr">
        <is>
          <t>Smart hardware / consumer electronics</t>
        </is>
      </c>
      <c r="AA60" s="34" t="n">
        <v>46212</v>
      </c>
      <c r="AB60" s="15" t="n">
        <v>52.95</v>
      </c>
      <c r="AC60" s="15" t="n">
        <v>49.43</v>
      </c>
      <c r="AD60" s="15" t="n">
        <v>1.170220971107483</v>
      </c>
      <c r="AE60" s="34" t="n">
        <v>46297</v>
      </c>
      <c r="AF60" s="34" t="n">
        <v>46295</v>
      </c>
      <c r="AG60" s="34" t="n">
        <v>46297</v>
      </c>
      <c r="AH60" s="15">
        <f>IF(AND(AH!$M$5="Snapshot",'IPO Live'!$M$5="Snapshot"),"",IFERROR(BDP(LEFT($Y60,FIND(".",$Y60)-1)&amp;" CH Equity","PX_LAST"),""))</f>
        <v/>
      </c>
      <c r="AI60" s="15">
        <f>$K$19</f>
        <v/>
      </c>
      <c r="AJ60" s="15">
        <f>$B$1</f>
        <v/>
      </c>
      <c r="AK60" s="34">
        <f>IF(AND(AH!$M$5="Snapshot",'IPO Live'!$M$5="Snapshot"),"",IFERROR(BDP(LEFT($Y60,FIND(".",$Y60)-1)&amp;" CH Equity","LAST_UPDATE_DT"),""))</f>
        <v/>
      </c>
      <c r="AL60" s="15">
        <f>IF(AND(AH!$M$5="Snapshot",'IPO Live'!$M$5="Snapshot"),"",IFERROR(BDP(LEFT($Y60,FIND(".",$Y60)-1)&amp;" CH Equity","LAST_UPDATE"),""))</f>
        <v/>
      </c>
      <c r="AM60" s="15">
        <f>IF(AND(AH!$M$5&lt;&gt;"Snapshot",ISNUMBER(AH60),N(AH60)&gt;0,ISNUMBER(AI60),N(AI60)&gt;0,ISNUMBER(AJ60),N(AJ60)&gt;0),"Bloomberg",IF(AH!$M$5="Bloomberg","Unavailable",IF(AND(ISNUMBER(AB60),ISNUMBER(AC60),ISNUMBER(AD60)),"Snapshot","Unavailable")))</f>
        <v/>
      </c>
      <c r="AN60" s="15">
        <f>IF(AM60="Bloomberg",AI60,IF(AM60="Snapshot",AB60,"unavailable"))</f>
        <v/>
      </c>
      <c r="AO60" s="15">
        <f>IF(AM60="Bloomberg",AH60,IF(AM60="Snapshot",AC60,"unavailable"))</f>
        <v/>
      </c>
      <c r="AP60" s="15">
        <f>IF(AM60="Bloomberg",AJ60,IF(AM60="Snapshot",AD60,"unavailable"))</f>
        <v/>
      </c>
      <c r="AQ60" s="33">
        <f>IFERROR(IF(AND(ISNUMBER(AN60),N(AN60)&gt;0,ISNUMBER(AO60),N(AO60)&gt;0,ISNUMBER(AP60),N(AP60)&gt;0),AO60*AP60/AN60-1,"unavailable"),"unavailable")</f>
        <v/>
      </c>
      <c r="AR60" s="15" t="n">
        <v>166</v>
      </c>
      <c r="AS60" s="15" t="inlineStr">
        <is>
          <t>One raw share per class; confirm class conversion for adjusted structures</t>
        </is>
      </c>
      <c r="AT60" s="31" t="inlineStr">
        <is>
          <t>002475</t>
        </is>
      </c>
      <c r="AW60">
        <f>IF(AND(J60&gt;0,OR(AH!$I$5="All",AH!$I$5="A/H only",AH!$I$5=C60)),1,0)</f>
        <v/>
      </c>
      <c r="AX60">
        <f>IF(AW60=1,COUNTIF($AW$5:AW60,1),"")</f>
        <v/>
      </c>
      <c r="AY60">
        <f>IF(AH!$M$5="Snapshot",IF(ISNUMBER(G60),G60,"unavailable"),IF(AND(ISNUMBER(K60),N(K60)&gt;0),K60,IF(AH!$M$5="Auto",IF(ISNUMBER(G60),G60,"unavailable"),"unavailable")))</f>
        <v/>
      </c>
      <c r="AZ60">
        <f>IF(AND(AH!$M$5&lt;&gt;"Snapshot",ISNUMBER(K60),N(K60)&gt;0),"Bloomberg",IF(AND(AH!$M$5&lt;&gt;"Bloomberg",ISNUMBER(G60)),"Snapshot","Unavailable"))</f>
        <v/>
      </c>
      <c r="BA60">
        <f>IF(AZ60="Bloomberg",M60,H60)</f>
        <v/>
      </c>
      <c r="BB60">
        <f>1</f>
        <v/>
      </c>
      <c r="BC60" s="15" t="n">
        <v>62.3</v>
      </c>
    </row>
    <row r="61">
      <c r="A61" s="31" t="inlineStr">
        <is>
          <t>6809</t>
        </is>
      </c>
      <c r="B61" s="15" t="inlineStr">
        <is>
          <t>MONTAGE TECH</t>
        </is>
      </c>
      <c r="C61" s="15" t="inlineStr">
        <is>
          <t>Tech/AI</t>
        </is>
      </c>
      <c r="D61" s="15" t="inlineStr">
        <is>
          <t>Memory / interface semiconductors</t>
        </is>
      </c>
      <c r="E61" s="34" t="n">
        <v>46062</v>
      </c>
      <c r="F61" s="15" t="n">
        <v>106.89</v>
      </c>
      <c r="G61" s="15" t="n">
        <v>289.6</v>
      </c>
      <c r="H61" s="34" t="n">
        <v>46297</v>
      </c>
      <c r="I61" s="31" t="inlineStr">
        <is>
          <t>688008.SS</t>
        </is>
      </c>
      <c r="J61" s="15" t="n">
        <v>41</v>
      </c>
      <c r="K61" s="15">
        <f>IF(AND(AH!$M$5="Snapshot",'IPO Live'!$M$5="Snapshot"),"",IFERROR(BDP(TEXT(VALUE($A61),"0")&amp;" HK Equity","PX_LAST"),""))</f>
        <v/>
      </c>
      <c r="L61" s="15">
        <f>IF(AND(AH!$M$5="Snapshot",'IPO Live'!$M$5="Snapshot"),"",IFERROR(BDP(TEXT(VALUE($A61),"0")&amp;" HK Equity","CHG_PCT_1D")/100,""))</f>
        <v/>
      </c>
      <c r="M61" s="15">
        <f>IF(AND(AH!$M$5="Snapshot",'IPO Live'!$M$5="Snapshot"),"",IFERROR(BDP(TEXT(VALUE($A61),"0")&amp;" HK Equity","LAST_UPDATE_DT"),""))</f>
        <v/>
      </c>
      <c r="N61" s="15">
        <f>IF(AND(AH!$M$5="Snapshot",'IPO Live'!$M$5="Snapshot"),"",IFERROR(BDP(TEXT(VALUE($A61),"0")&amp;" HK Equity","LAST_UPDATE"),""))</f>
        <v/>
      </c>
      <c r="O61" s="15">
        <f>IF('IPO Live'!$M$5="Snapshot",IF(ISNUMBER(G61),G61,"unavailable"),IF(AND(ISNUMBER(K61),N(K61)&gt;0),K61,IF('IPO Live'!$M$5="Auto",IF(ISNUMBER(G61),G61,"unavailable"),"unavailable")))</f>
        <v/>
      </c>
      <c r="P61" s="15">
        <f>IF(AND('IPO Live'!$M$5&lt;&gt;"Snapshot",ISNUMBER(K61),N(K61)&gt;0),"Bloomberg",IF(AND('IPO Live'!$M$5&lt;&gt;"Bloomberg",ISNUMBER(G61)),"Snapshot","Unavailable"))</f>
        <v/>
      </c>
      <c r="Q61" s="33">
        <f>IF(AND(P61="Bloomberg",ISNUMBER(L61)),L61,"unavailable")</f>
        <v/>
      </c>
      <c r="R61" s="15">
        <f>IF(OR('IPO Live'!$B$5="All",'IPO Live'!$B$5=C61,AND('IPO Live'!$B$5="A/H only",J61&gt;0)),1,0)</f>
        <v/>
      </c>
      <c r="S61" s="15">
        <f>IF(R61=1,COUNTIF($R$5:R61,1),"")</f>
        <v/>
      </c>
      <c r="T61">
        <f>1</f>
        <v/>
      </c>
      <c r="U61">
        <f>IF($P61="Bloomberg",$M61,$H61)</f>
        <v/>
      </c>
      <c r="V61" s="15" t="inlineStr">
        <is>
          <t>6951 | CCTC</t>
        </is>
      </c>
      <c r="W61" s="15" t="inlineStr">
        <is>
          <t>CCTC</t>
        </is>
      </c>
      <c r="X61" s="31" t="inlineStr">
        <is>
          <t>6951</t>
        </is>
      </c>
      <c r="Y61" s="31" t="inlineStr">
        <is>
          <t>300408.SZ</t>
        </is>
      </c>
      <c r="Z61" s="15" t="inlineStr">
        <is>
          <t>Smart hardware / consumer electronics</t>
        </is>
      </c>
      <c r="AA61" s="34" t="n">
        <v>46212</v>
      </c>
      <c r="AB61" s="15" t="n">
        <v>124.1</v>
      </c>
      <c r="AC61" s="15" t="n">
        <v>117.33</v>
      </c>
      <c r="AD61" s="15" t="n">
        <v>1.170220971107483</v>
      </c>
      <c r="AE61" s="34" t="n">
        <v>46297</v>
      </c>
      <c r="AF61" s="34" t="n">
        <v>46295</v>
      </c>
      <c r="AG61" s="34" t="n">
        <v>46297</v>
      </c>
      <c r="AH61" s="15">
        <f>IF(AND(AH!$M$5="Snapshot",'IPO Live'!$M$5="Snapshot"),"",IFERROR(BDP(LEFT($Y61,FIND(".",$Y61)-1)&amp;" CH Equity","PX_LAST"),""))</f>
        <v/>
      </c>
      <c r="AI61" s="15">
        <f>$K$20</f>
        <v/>
      </c>
      <c r="AJ61" s="15">
        <f>$B$1</f>
        <v/>
      </c>
      <c r="AK61" s="34">
        <f>IF(AND(AH!$M$5="Snapshot",'IPO Live'!$M$5="Snapshot"),"",IFERROR(BDP(LEFT($Y61,FIND(".",$Y61)-1)&amp;" CH Equity","LAST_UPDATE_DT"),""))</f>
        <v/>
      </c>
      <c r="AL61" s="15">
        <f>IF(AND(AH!$M$5="Snapshot",'IPO Live'!$M$5="Snapshot"),"",IFERROR(BDP(LEFT($Y61,FIND(".",$Y61)-1)&amp;" CH Equity","LAST_UPDATE"),""))</f>
        <v/>
      </c>
      <c r="AM61" s="15">
        <f>IF(AND(AH!$M$5&lt;&gt;"Snapshot",ISNUMBER(AH61),N(AH61)&gt;0,ISNUMBER(AI61),N(AI61)&gt;0,ISNUMBER(AJ61),N(AJ61)&gt;0),"Bloomberg",IF(AH!$M$5="Bloomberg","Unavailable",IF(AND(ISNUMBER(AB61),ISNUMBER(AC61),ISNUMBER(AD61)),"Snapshot","Unavailable")))</f>
        <v/>
      </c>
      <c r="AN61" s="15">
        <f>IF(AM61="Bloomberg",AI61,IF(AM61="Snapshot",AB61,"unavailable"))</f>
        <v/>
      </c>
      <c r="AO61" s="15">
        <f>IF(AM61="Bloomberg",AH61,IF(AM61="Snapshot",AC61,"unavailable"))</f>
        <v/>
      </c>
      <c r="AP61" s="15">
        <f>IF(AM61="Bloomberg",AJ61,IF(AM61="Snapshot",AD61,"unavailable"))</f>
        <v/>
      </c>
      <c r="AQ61" s="33">
        <f>IFERROR(IF(AND(ISNUMBER(AN61),N(AN61)&gt;0,ISNUMBER(AO61),N(AO61)&gt;0,ISNUMBER(AP61),N(AP61)&gt;0),AO61*AP61/AN61-1,"unavailable"),"unavailable")</f>
        <v/>
      </c>
      <c r="AR61" s="15" t="n">
        <v>169</v>
      </c>
      <c r="AS61" s="15" t="inlineStr">
        <is>
          <t>One raw share per class; confirm class conversion for adjusted structures</t>
        </is>
      </c>
      <c r="AT61" s="31" t="inlineStr">
        <is>
          <t>300408</t>
        </is>
      </c>
      <c r="AW61">
        <f>IF(AND(J61&gt;0,OR(AH!$I$5="All",AH!$I$5="A/H only",AH!$I$5=C61)),1,0)</f>
        <v/>
      </c>
      <c r="AX61">
        <f>IF(AW61=1,COUNTIF($AW$5:AW61,1),"")</f>
        <v/>
      </c>
      <c r="AY61">
        <f>IF(AH!$M$5="Snapshot",IF(ISNUMBER(G61),G61,"unavailable"),IF(AND(ISNUMBER(K61),N(K61)&gt;0),K61,IF(AH!$M$5="Auto",IF(ISNUMBER(G61),G61,"unavailable"),"unavailable")))</f>
        <v/>
      </c>
      <c r="AZ61">
        <f>IF(AND(AH!$M$5&lt;&gt;"Snapshot",ISNUMBER(K61),N(K61)&gt;0),"Bloomberg",IF(AND(AH!$M$5&lt;&gt;"Bloomberg",ISNUMBER(G61)),"Snapshot","Unavailable"))</f>
        <v/>
      </c>
      <c r="BA61">
        <f>IF(AZ61="Bloomberg",M61,H61)</f>
        <v/>
      </c>
      <c r="BB61">
        <f>1</f>
        <v/>
      </c>
      <c r="BC61" s="15" t="n">
        <v>105</v>
      </c>
    </row>
    <row r="62">
      <c r="A62" s="31" t="inlineStr">
        <is>
          <t>2768</t>
        </is>
      </c>
      <c r="B62" s="15" t="inlineStr">
        <is>
          <t>GON TECHNOLOGY</t>
        </is>
      </c>
      <c r="C62" s="15" t="inlineStr">
        <is>
          <t>Tech/AI</t>
        </is>
      </c>
      <c r="D62" s="15" t="inlineStr">
        <is>
          <t>Smart hardware / consumer electronics</t>
        </is>
      </c>
      <c r="E62" s="34" t="n">
        <v>46057</v>
      </c>
      <c r="F62" s="15" t="n">
        <v>36</v>
      </c>
      <c r="G62" s="15" t="n">
        <v>55.7368</v>
      </c>
      <c r="H62" s="34" t="n">
        <v>46297</v>
      </c>
      <c r="I62" s="31" t="inlineStr">
        <is>
          <t>002768.SZ</t>
        </is>
      </c>
      <c r="J62" s="15" t="n">
        <v>38</v>
      </c>
      <c r="K62" s="15">
        <f>IF(AND(AH!$M$5="Snapshot",'IPO Live'!$M$5="Snapshot"),"",IFERROR(BDP(TEXT(VALUE($A62),"0")&amp;" HK Equity","PX_LAST"),""))</f>
        <v/>
      </c>
      <c r="L62" s="15">
        <f>IF(AND(AH!$M$5="Snapshot",'IPO Live'!$M$5="Snapshot"),"",IFERROR(BDP(TEXT(VALUE($A62),"0")&amp;" HK Equity","CHG_PCT_1D")/100,""))</f>
        <v/>
      </c>
      <c r="M62" s="15">
        <f>IF(AND(AH!$M$5="Snapshot",'IPO Live'!$M$5="Snapshot"),"",IFERROR(BDP(TEXT(VALUE($A62),"0")&amp;" HK Equity","LAST_UPDATE_DT"),""))</f>
        <v/>
      </c>
      <c r="N62" s="15">
        <f>IF(AND(AH!$M$5="Snapshot",'IPO Live'!$M$5="Snapshot"),"",IFERROR(BDP(TEXT(VALUE($A62),"0")&amp;" HK Equity","LAST_UPDATE"),""))</f>
        <v/>
      </c>
      <c r="O62" s="15">
        <f>IF('IPO Live'!$M$5="Snapshot",IF(ISNUMBER(G62),G62,"unavailable"),IF(AND(ISNUMBER(K62),N(K62)&gt;0),K62,IF('IPO Live'!$M$5="Auto",IF(ISNUMBER(G62),G62,"unavailable"),"unavailable")))</f>
        <v/>
      </c>
      <c r="P62" s="15">
        <f>IF(AND('IPO Live'!$M$5&lt;&gt;"Snapshot",ISNUMBER(K62),N(K62)&gt;0),"Bloomberg",IF(AND('IPO Live'!$M$5&lt;&gt;"Bloomberg",ISNUMBER(G62)),"Snapshot","Unavailable"))</f>
        <v/>
      </c>
      <c r="Q62" s="33">
        <f>IF(AND(P62="Bloomberg",ISNUMBER(L62)),L62,"unavailable")</f>
        <v/>
      </c>
      <c r="R62" s="15">
        <f>IF(OR('IPO Live'!$B$5="All",'IPO Live'!$B$5=C62,AND('IPO Live'!$B$5="A/H only",J62&gt;0)),1,0)</f>
        <v/>
      </c>
      <c r="S62" s="15">
        <f>IF(R62=1,COUNTIF($R$5:R62,1),"")</f>
        <v/>
      </c>
      <c r="T62">
        <f>IF(ISNUMBER($U62),IF($U62&gt;=DATEVALUE("2026-06-17"),1.48,1),"unavailable")</f>
        <v/>
      </c>
      <c r="U62">
        <f>IF($P62="Bloomberg",$M62,$H62)</f>
        <v/>
      </c>
      <c r="V62" s="15" t="inlineStr">
        <is>
          <t>1377 | DTECH</t>
        </is>
      </c>
      <c r="W62" s="15" t="inlineStr">
        <is>
          <t>DTECH</t>
        </is>
      </c>
      <c r="X62" s="31" t="inlineStr">
        <is>
          <t>1377</t>
        </is>
      </c>
      <c r="Y62" s="31" t="inlineStr">
        <is>
          <t>301377.SZ</t>
        </is>
      </c>
      <c r="Z62" s="15" t="inlineStr">
        <is>
          <t>Smart hardware / consumer electronics</t>
        </is>
      </c>
      <c r="AA62" s="34" t="n">
        <v>46212</v>
      </c>
      <c r="AB62" s="15" t="n">
        <v>260.6</v>
      </c>
      <c r="AC62" s="15" t="n">
        <v>341</v>
      </c>
      <c r="AD62" s="15" t="n">
        <v>1.170220971107483</v>
      </c>
      <c r="AE62" s="34" t="n">
        <v>46297</v>
      </c>
      <c r="AF62" s="34" t="n">
        <v>46295</v>
      </c>
      <c r="AG62" s="34" t="n">
        <v>46297</v>
      </c>
      <c r="AH62" s="15">
        <f>IF(AND(AH!$M$5="Snapshot",'IPO Live'!$M$5="Snapshot"),"",IFERROR(BDP(LEFT($Y62,FIND(".",$Y62)-1)&amp;" CH Equity","PX_LAST"),""))</f>
        <v/>
      </c>
      <c r="AI62" s="15">
        <f>$K$21</f>
        <v/>
      </c>
      <c r="AJ62" s="15">
        <f>$B$1</f>
        <v/>
      </c>
      <c r="AK62" s="34">
        <f>IF(AND(AH!$M$5="Snapshot",'IPO Live'!$M$5="Snapshot"),"",IFERROR(BDP(LEFT($Y62,FIND(".",$Y62)-1)&amp;" CH Equity","LAST_UPDATE_DT"),""))</f>
        <v/>
      </c>
      <c r="AL62" s="15">
        <f>IF(AND(AH!$M$5="Snapshot",'IPO Live'!$M$5="Snapshot"),"",IFERROR(BDP(LEFT($Y62,FIND(".",$Y62)-1)&amp;" CH Equity","LAST_UPDATE"),""))</f>
        <v/>
      </c>
      <c r="AM62" s="15">
        <f>IF(AND(AH!$M$5&lt;&gt;"Snapshot",ISNUMBER(AH62),N(AH62)&gt;0,ISNUMBER(AI62),N(AI62)&gt;0,ISNUMBER(AJ62),N(AJ62)&gt;0),"Bloomberg",IF(AH!$M$5="Bloomberg","Unavailable",IF(AND(ISNUMBER(AB62),ISNUMBER(AC62),ISNUMBER(AD62)),"Snapshot","Unavailable")))</f>
        <v/>
      </c>
      <c r="AN62" s="15">
        <f>IF(AM62="Bloomberg",AI62,IF(AM62="Snapshot",AB62,"unavailable"))</f>
        <v/>
      </c>
      <c r="AO62" s="15">
        <f>IF(AM62="Bloomberg",AH62,IF(AM62="Snapshot",AC62,"unavailable"))</f>
        <v/>
      </c>
      <c r="AP62" s="15">
        <f>IF(AM62="Bloomberg",AJ62,IF(AM62="Snapshot",AD62,"unavailable"))</f>
        <v/>
      </c>
      <c r="AQ62" s="33">
        <f>IFERROR(IF(AND(ISNUMBER(AN62),N(AN62)&gt;0,ISNUMBER(AO62),N(AO62)&gt;0,ISNUMBER(AP62),N(AP62)&gt;0),AO62*AP62/AN62-1,"unavailable"),"unavailable")</f>
        <v/>
      </c>
      <c r="AR62" s="15" t="n">
        <v>172</v>
      </c>
      <c r="AS62" s="15" t="inlineStr">
        <is>
          <t>One raw share per class; confirm class conversion for adjusted structures</t>
        </is>
      </c>
      <c r="AT62" s="31" t="inlineStr">
        <is>
          <t>301377</t>
        </is>
      </c>
      <c r="AW62">
        <f>IF(AND(J62&gt;0,OR(AH!$I$5="All",AH!$I$5="A/H only",AH!$I$5=C62)),1,0)</f>
        <v/>
      </c>
      <c r="AX62">
        <f>IF(AW62=1,COUNTIF($AW$5:AW62,1),"")</f>
        <v/>
      </c>
      <c r="AY62">
        <f>IF(AH!$M$5="Snapshot",IF(ISNUMBER(G62),G62,"unavailable"),IF(AND(ISNUMBER(K62),N(K62)&gt;0),K62,IF(AH!$M$5="Auto",IF(ISNUMBER(G62),G62,"unavailable"),"unavailable")))</f>
        <v/>
      </c>
      <c r="AZ62">
        <f>IF(AND(AH!$M$5&lt;&gt;"Snapshot",ISNUMBER(K62),N(K62)&gt;0),"Bloomberg",IF(AND(AH!$M$5&lt;&gt;"Bloomberg",ISNUMBER(G62)),"Snapshot","Unavailable"))</f>
        <v/>
      </c>
      <c r="BA62">
        <f>IF(AZ62="Bloomberg",M62,H62)</f>
        <v/>
      </c>
      <c r="BB62">
        <f>IF(ISNUMBER($BA62),IF($BA62&gt;=DATEVALUE("2026-06-17"),1.48,1),"unavailable")</f>
        <v/>
      </c>
      <c r="BC62" s="15" t="n">
        <v>373.2</v>
      </c>
    </row>
    <row r="63">
      <c r="A63" s="31" t="inlineStr">
        <is>
          <t>9611</t>
        </is>
      </c>
      <c r="B63" s="15" t="inlineStr">
        <is>
          <t>LONGCHEER</t>
        </is>
      </c>
      <c r="C63" s="15" t="inlineStr">
        <is>
          <t>Tech/AI</t>
        </is>
      </c>
      <c r="D63" s="15" t="inlineStr">
        <is>
          <t>Smart hardware / consumer electronics</t>
        </is>
      </c>
      <c r="E63" s="34" t="n">
        <v>46044</v>
      </c>
      <c r="F63" s="15" t="n">
        <v>31</v>
      </c>
      <c r="G63" s="15" t="n">
        <v>20.16</v>
      </c>
      <c r="H63" s="34" t="n">
        <v>46297</v>
      </c>
      <c r="I63" s="31" t="inlineStr">
        <is>
          <t>603341.SS</t>
        </is>
      </c>
      <c r="J63" s="15" t="n">
        <v>36</v>
      </c>
      <c r="K63" s="15">
        <f>IF(AND(AH!$M$5="Snapshot",'IPO Live'!$M$5="Snapshot"),"",IFERROR(BDP(TEXT(VALUE($A63),"0")&amp;" HK Equity","PX_LAST"),""))</f>
        <v/>
      </c>
      <c r="L63" s="15">
        <f>IF(AND(AH!$M$5="Snapshot",'IPO Live'!$M$5="Snapshot"),"",IFERROR(BDP(TEXT(VALUE($A63),"0")&amp;" HK Equity","CHG_PCT_1D")/100,""))</f>
        <v/>
      </c>
      <c r="M63" s="15">
        <f>IF(AND(AH!$M$5="Snapshot",'IPO Live'!$M$5="Snapshot"),"",IFERROR(BDP(TEXT(VALUE($A63),"0")&amp;" HK Equity","LAST_UPDATE_DT"),""))</f>
        <v/>
      </c>
      <c r="N63" s="15">
        <f>IF(AND(AH!$M$5="Snapshot",'IPO Live'!$M$5="Snapshot"),"",IFERROR(BDP(TEXT(VALUE($A63),"0")&amp;" HK Equity","LAST_UPDATE"),""))</f>
        <v/>
      </c>
      <c r="O63" s="15">
        <f>IF('IPO Live'!$M$5="Snapshot",IF(ISNUMBER(G63),G63,"unavailable"),IF(AND(ISNUMBER(K63),N(K63)&gt;0),K63,IF('IPO Live'!$M$5="Auto",IF(ISNUMBER(G63),G63,"unavailable"),"unavailable")))</f>
        <v/>
      </c>
      <c r="P63" s="15">
        <f>IF(AND('IPO Live'!$M$5&lt;&gt;"Snapshot",ISNUMBER(K63),N(K63)&gt;0),"Bloomberg",IF(AND('IPO Live'!$M$5&lt;&gt;"Bloomberg",ISNUMBER(G63)),"Snapshot","Unavailable"))</f>
        <v/>
      </c>
      <c r="Q63" s="33">
        <f>IF(AND(P63="Bloomberg",ISNUMBER(L63)),L63,"unavailable")</f>
        <v/>
      </c>
      <c r="R63" s="15">
        <f>IF(OR('IPO Live'!$B$5="All",'IPO Live'!$B$5=C63,AND('IPO Live'!$B$5="A/H only",J63&gt;0)),1,0)</f>
        <v/>
      </c>
      <c r="S63" s="15">
        <f>IF(R63=1,COUNTIF($R$5:R63,1),"")</f>
        <v/>
      </c>
      <c r="T63">
        <f>1</f>
        <v/>
      </c>
      <c r="U63">
        <f>IF($P63="Bloomberg",$M63,$H63)</f>
        <v/>
      </c>
      <c r="V63" s="15" t="inlineStr">
        <is>
          <t>6745 | BEFAR GROUP</t>
        </is>
      </c>
      <c r="W63" s="15" t="inlineStr">
        <is>
          <t>BEFAR GROUP</t>
        </is>
      </c>
      <c r="X63" s="31" t="inlineStr">
        <is>
          <t>6745</t>
        </is>
      </c>
      <c r="Y63" s="31" t="inlineStr">
        <is>
          <t>601678.SS</t>
        </is>
      </c>
      <c r="Z63" s="15" t="inlineStr">
        <is>
          <t>Chemicals</t>
        </is>
      </c>
      <c r="AA63" s="34" t="n">
        <v>46213</v>
      </c>
      <c r="AB63" s="15" t="n">
        <v>2.8</v>
      </c>
      <c r="AC63" s="15" t="n">
        <v>5.68</v>
      </c>
      <c r="AD63" s="15" t="n">
        <v>1.170220971107483</v>
      </c>
      <c r="AE63" s="34" t="n">
        <v>46297</v>
      </c>
      <c r="AF63" s="34" t="n">
        <v>46295</v>
      </c>
      <c r="AG63" s="34" t="n">
        <v>46297</v>
      </c>
      <c r="AH63" s="15">
        <f>IF(AND(AH!$M$5="Snapshot",'IPO Live'!$M$5="Snapshot"),"",IFERROR(BDP(LEFT($Y63,FIND(".",$Y63)-1)&amp;" CH Equity","PX_LAST"),""))</f>
        <v/>
      </c>
      <c r="AI63" s="15">
        <f>$K$450</f>
        <v/>
      </c>
      <c r="AJ63" s="15">
        <f>$B$1</f>
        <v/>
      </c>
      <c r="AK63" s="34">
        <f>IF(AND(AH!$M$5="Snapshot",'IPO Live'!$M$5="Snapshot"),"",IFERROR(BDP(LEFT($Y63,FIND(".",$Y63)-1)&amp;" CH Equity","LAST_UPDATE_DT"),""))</f>
        <v/>
      </c>
      <c r="AL63" s="15">
        <f>IF(AND(AH!$M$5="Snapshot",'IPO Live'!$M$5="Snapshot"),"",IFERROR(BDP(LEFT($Y63,FIND(".",$Y63)-1)&amp;" CH Equity","LAST_UPDATE"),""))</f>
        <v/>
      </c>
      <c r="AM63" s="15">
        <f>IF(AND(AH!$M$5&lt;&gt;"Snapshot",ISNUMBER(AH63),N(AH63)&gt;0,ISNUMBER(AI63),N(AI63)&gt;0,ISNUMBER(AJ63),N(AJ63)&gt;0),"Bloomberg",IF(AH!$M$5="Bloomberg","Unavailable",IF(AND(ISNUMBER(AB63),ISNUMBER(AC63),ISNUMBER(AD63)),"Snapshot","Unavailable")))</f>
        <v/>
      </c>
      <c r="AN63" s="15">
        <f>IF(AM63="Bloomberg",AI63,IF(AM63="Snapshot",AB63,"unavailable"))</f>
        <v/>
      </c>
      <c r="AO63" s="15">
        <f>IF(AM63="Bloomberg",AH63,IF(AM63="Snapshot",AC63,"unavailable"))</f>
        <v/>
      </c>
      <c r="AP63" s="15">
        <f>IF(AM63="Bloomberg",AJ63,IF(AM63="Snapshot",AD63,"unavailable"))</f>
        <v/>
      </c>
      <c r="AQ63" s="33">
        <f>IFERROR(IF(AND(ISNUMBER(AN63),N(AN63)&gt;0,ISNUMBER(AO63),N(AO63)&gt;0,ISNUMBER(AP63),N(AP63)&gt;0),AO63*AP63/AN63-1,"unavailable"),"unavailable")</f>
        <v/>
      </c>
      <c r="AR63" s="15" t="n">
        <v>175</v>
      </c>
      <c r="AS63" s="15" t="inlineStr">
        <is>
          <t>One raw share per class; confirm class conversion for adjusted structures</t>
        </is>
      </c>
      <c r="AT63" s="31" t="inlineStr">
        <is>
          <t>601678</t>
        </is>
      </c>
      <c r="AW63">
        <f>IF(AND(J63&gt;0,OR(AH!$I$5="All",AH!$I$5="A/H only",AH!$I$5=C63)),1,0)</f>
        <v/>
      </c>
      <c r="AX63">
        <f>IF(AW63=1,COUNTIF($AW$5:AW63,1),"")</f>
        <v/>
      </c>
      <c r="AY63">
        <f>IF(AH!$M$5="Snapshot",IF(ISNUMBER(G63),G63,"unavailable"),IF(AND(ISNUMBER(K63),N(K63)&gt;0),K63,IF(AH!$M$5="Auto",IF(ISNUMBER(G63),G63,"unavailable"),"unavailable")))</f>
        <v/>
      </c>
      <c r="AZ63">
        <f>IF(AND(AH!$M$5&lt;&gt;"Snapshot",ISNUMBER(K63),N(K63)&gt;0),"Bloomberg",IF(AND(AH!$M$5&lt;&gt;"Bloomberg",ISNUMBER(G63)),"Snapshot","Unavailable"))</f>
        <v/>
      </c>
      <c r="BA63">
        <f>IF(AZ63="Bloomberg",M63,H63)</f>
        <v/>
      </c>
      <c r="BB63">
        <f>1</f>
        <v/>
      </c>
      <c r="BC63" s="15" t="n">
        <v>2.83</v>
      </c>
    </row>
    <row r="64">
      <c r="A64" s="31" t="inlineStr">
        <is>
          <t>3986</t>
        </is>
      </c>
      <c r="B64" s="15" t="inlineStr">
        <is>
          <t>GIGADEVICE</t>
        </is>
      </c>
      <c r="C64" s="15" t="inlineStr">
        <is>
          <t>Tech/AI</t>
        </is>
      </c>
      <c r="D64" s="15" t="inlineStr">
        <is>
          <t>Memory / interface semiconductors</t>
        </is>
      </c>
      <c r="E64" s="34" t="n">
        <v>46035</v>
      </c>
      <c r="F64" s="15" t="n">
        <v>162</v>
      </c>
      <c r="G64" s="15" t="n">
        <v>454.8</v>
      </c>
      <c r="H64" s="34" t="n">
        <v>46297</v>
      </c>
      <c r="I64" s="31" t="inlineStr">
        <is>
          <t>603986.SS</t>
        </is>
      </c>
      <c r="J64" s="15" t="n">
        <v>35</v>
      </c>
      <c r="K64" s="15">
        <f>IF(AND(AH!$M$5="Snapshot",'IPO Live'!$M$5="Snapshot"),"",IFERROR(BDP(TEXT(VALUE($A64),"0")&amp;" HK Equity","PX_LAST"),""))</f>
        <v/>
      </c>
      <c r="L64" s="15">
        <f>IF(AND(AH!$M$5="Snapshot",'IPO Live'!$M$5="Snapshot"),"",IFERROR(BDP(TEXT(VALUE($A64),"0")&amp;" HK Equity","CHG_PCT_1D")/100,""))</f>
        <v/>
      </c>
      <c r="M64" s="15">
        <f>IF(AND(AH!$M$5="Snapshot",'IPO Live'!$M$5="Snapshot"),"",IFERROR(BDP(TEXT(VALUE($A64),"0")&amp;" HK Equity","LAST_UPDATE_DT"),""))</f>
        <v/>
      </c>
      <c r="N64" s="15">
        <f>IF(AND(AH!$M$5="Snapshot",'IPO Live'!$M$5="Snapshot"),"",IFERROR(BDP(TEXT(VALUE($A64),"0")&amp;" HK Equity","LAST_UPDATE"),""))</f>
        <v/>
      </c>
      <c r="O64" s="15">
        <f>IF('IPO Live'!$M$5="Snapshot",IF(ISNUMBER(G64),G64,"unavailable"),IF(AND(ISNUMBER(K64),N(K64)&gt;0),K64,IF('IPO Live'!$M$5="Auto",IF(ISNUMBER(G64),G64,"unavailable"),"unavailable")))</f>
        <v/>
      </c>
      <c r="P64" s="15">
        <f>IF(AND('IPO Live'!$M$5&lt;&gt;"Snapshot",ISNUMBER(K64),N(K64)&gt;0),"Bloomberg",IF(AND('IPO Live'!$M$5&lt;&gt;"Bloomberg",ISNUMBER(G64)),"Snapshot","Unavailable"))</f>
        <v/>
      </c>
      <c r="Q64" s="33">
        <f>IF(AND(P64="Bloomberg",ISNUMBER(L64)),L64,"unavailable")</f>
        <v/>
      </c>
      <c r="R64" s="15">
        <f>IF(OR('IPO Live'!$B$5="All",'IPO Live'!$B$5=C64,AND('IPO Live'!$B$5="A/H only",J64&gt;0)),1,0)</f>
        <v/>
      </c>
      <c r="S64" s="15">
        <f>IF(R64=1,COUNTIF($R$5:R64,1),"")</f>
        <v/>
      </c>
      <c r="T64">
        <f>1</f>
        <v/>
      </c>
      <c r="U64">
        <f>IF($P64="Bloomberg",$M64,$H64)</f>
        <v/>
      </c>
      <c r="V64" s="15" t="inlineStr">
        <is>
          <t>2249 | NEXCHIP</t>
        </is>
      </c>
      <c r="W64" s="15" t="inlineStr">
        <is>
          <t>NEXCHIP</t>
        </is>
      </c>
      <c r="X64" s="31" t="inlineStr">
        <is>
          <t>2249</t>
        </is>
      </c>
      <c r="Y64" s="31" t="inlineStr">
        <is>
          <t>688249.SS</t>
        </is>
      </c>
      <c r="Z64" s="15" t="inlineStr">
        <is>
          <t>Semiconductor foundry</t>
        </is>
      </c>
      <c r="AA64" s="34" t="n">
        <v>46213</v>
      </c>
      <c r="AB64" s="15" t="n">
        <v>25.74</v>
      </c>
      <c r="AC64" s="15" t="n">
        <v>32.81</v>
      </c>
      <c r="AD64" s="15" t="n">
        <v>1.170220971107483</v>
      </c>
      <c r="AE64" s="34" t="n">
        <v>46297</v>
      </c>
      <c r="AF64" s="34" t="n">
        <v>46295</v>
      </c>
      <c r="AG64" s="34" t="n">
        <v>46297</v>
      </c>
      <c r="AH64" s="15">
        <f>IF(AND(AH!$M$5="Snapshot",'IPO Live'!$M$5="Snapshot"),"",IFERROR(BDP(LEFT($Y64,FIND(".",$Y64)-1)&amp;" CH Equity","PX_LAST"),""))</f>
        <v/>
      </c>
      <c r="AI64" s="15">
        <f>$K$16</f>
        <v/>
      </c>
      <c r="AJ64" s="15">
        <f>$B$1</f>
        <v/>
      </c>
      <c r="AK64" s="34">
        <f>IF(AND(AH!$M$5="Snapshot",'IPO Live'!$M$5="Snapshot"),"",IFERROR(BDP(LEFT($Y64,FIND(".",$Y64)-1)&amp;" CH Equity","LAST_UPDATE_DT"),""))</f>
        <v/>
      </c>
      <c r="AL64" s="15">
        <f>IF(AND(AH!$M$5="Snapshot",'IPO Live'!$M$5="Snapshot"),"",IFERROR(BDP(LEFT($Y64,FIND(".",$Y64)-1)&amp;" CH Equity","LAST_UPDATE"),""))</f>
        <v/>
      </c>
      <c r="AM64" s="15">
        <f>IF(AND(AH!$M$5&lt;&gt;"Snapshot",ISNUMBER(AH64),N(AH64)&gt;0,ISNUMBER(AI64),N(AI64)&gt;0,ISNUMBER(AJ64),N(AJ64)&gt;0),"Bloomberg",IF(AH!$M$5="Bloomberg","Unavailable",IF(AND(ISNUMBER(AB64),ISNUMBER(AC64),ISNUMBER(AD64)),"Snapshot","Unavailable")))</f>
        <v/>
      </c>
      <c r="AN64" s="15">
        <f>IF(AM64="Bloomberg",AI64,IF(AM64="Snapshot",AB64,"unavailable"))</f>
        <v/>
      </c>
      <c r="AO64" s="15">
        <f>IF(AM64="Bloomberg",AH64,IF(AM64="Snapshot",AC64,"unavailable"))</f>
        <v/>
      </c>
      <c r="AP64" s="15">
        <f>IF(AM64="Bloomberg",AJ64,IF(AM64="Snapshot",AD64,"unavailable"))</f>
        <v/>
      </c>
      <c r="AQ64" s="33">
        <f>IFERROR(IF(AND(ISNUMBER(AN64),N(AN64)&gt;0,ISNUMBER(AO64),N(AO64)&gt;0,ISNUMBER(AP64),N(AP64)&gt;0),AO64*AP64/AN64-1,"unavailable"),"unavailable")</f>
        <v/>
      </c>
      <c r="AR64" s="15" t="n">
        <v>178</v>
      </c>
      <c r="AS64" s="15" t="inlineStr">
        <is>
          <t>One raw share per class; confirm class conversion for adjusted structures</t>
        </is>
      </c>
      <c r="AT64" s="31" t="inlineStr">
        <is>
          <t>688249</t>
        </is>
      </c>
      <c r="AW64">
        <f>IF(AND(J64&gt;0,OR(AH!$I$5="All",AH!$I$5="A/H only",AH!$I$5=C64)),1,0)</f>
        <v/>
      </c>
      <c r="AX64">
        <f>IF(AW64=1,COUNTIF($AW$5:AW64,1),"")</f>
        <v/>
      </c>
      <c r="AY64">
        <f>IF(AH!$M$5="Snapshot",IF(ISNUMBER(G64),G64,"unavailable"),IF(AND(ISNUMBER(K64),N(K64)&gt;0),K64,IF(AH!$M$5="Auto",IF(ISNUMBER(G64),G64,"unavailable"),"unavailable")))</f>
        <v/>
      </c>
      <c r="AZ64">
        <f>IF(AND(AH!$M$5&lt;&gt;"Snapshot",ISNUMBER(K64),N(K64)&gt;0),"Bloomberg",IF(AND(AH!$M$5&lt;&gt;"Bloomberg",ISNUMBER(G64)),"Snapshot","Unavailable"))</f>
        <v/>
      </c>
      <c r="BA64">
        <f>IF(AZ64="Bloomberg",M64,H64)</f>
        <v/>
      </c>
      <c r="BB64">
        <f>1</f>
        <v/>
      </c>
      <c r="BC64" s="15" t="n">
        <v>32.3</v>
      </c>
    </row>
    <row r="65">
      <c r="A65" s="31" t="inlineStr">
        <is>
          <t>0501</t>
        </is>
      </c>
      <c r="B65" s="15" t="inlineStr">
        <is>
          <t>OMNIVISION</t>
        </is>
      </c>
      <c r="C65" s="15" t="inlineStr">
        <is>
          <t>Tech/AI</t>
        </is>
      </c>
      <c r="D65" s="15" t="inlineStr">
        <is>
          <t>Image / display semiconductors</t>
        </is>
      </c>
      <c r="E65" s="34" t="n">
        <v>46034</v>
      </c>
      <c r="F65" s="15" t="n">
        <v>104.8</v>
      </c>
      <c r="G65" s="15" t="n">
        <v>70.15000000000001</v>
      </c>
      <c r="H65" s="34" t="n">
        <v>46297</v>
      </c>
      <c r="I65" s="31" t="inlineStr">
        <is>
          <t>603501.SS</t>
        </is>
      </c>
      <c r="J65" s="15" t="n">
        <v>34</v>
      </c>
      <c r="K65" s="15">
        <f>IF(AND(AH!$M$5="Snapshot",'IPO Live'!$M$5="Snapshot"),"",IFERROR(BDP(TEXT(VALUE($A65),"0")&amp;" HK Equity","PX_LAST"),""))</f>
        <v/>
      </c>
      <c r="L65" s="15">
        <f>IF(AND(AH!$M$5="Snapshot",'IPO Live'!$M$5="Snapshot"),"",IFERROR(BDP(TEXT(VALUE($A65),"0")&amp;" HK Equity","CHG_PCT_1D")/100,""))</f>
        <v/>
      </c>
      <c r="M65" s="15">
        <f>IF(AND(AH!$M$5="Snapshot",'IPO Live'!$M$5="Snapshot"),"",IFERROR(BDP(TEXT(VALUE($A65),"0")&amp;" HK Equity","LAST_UPDATE_DT"),""))</f>
        <v/>
      </c>
      <c r="N65" s="15">
        <f>IF(AND(AH!$M$5="Snapshot",'IPO Live'!$M$5="Snapshot"),"",IFERROR(BDP(TEXT(VALUE($A65),"0")&amp;" HK Equity","LAST_UPDATE"),""))</f>
        <v/>
      </c>
      <c r="O65" s="15">
        <f>IF('IPO Live'!$M$5="Snapshot",IF(ISNUMBER(G65),G65,"unavailable"),IF(AND(ISNUMBER(K65),N(K65)&gt;0),K65,IF('IPO Live'!$M$5="Auto",IF(ISNUMBER(G65),G65,"unavailable"),"unavailable")))</f>
        <v/>
      </c>
      <c r="P65" s="15">
        <f>IF(AND('IPO Live'!$M$5&lt;&gt;"Snapshot",ISNUMBER(K65),N(K65)&gt;0),"Bloomberg",IF(AND('IPO Live'!$M$5&lt;&gt;"Bloomberg",ISNUMBER(G65)),"Snapshot","Unavailable"))</f>
        <v/>
      </c>
      <c r="Q65" s="33">
        <f>IF(AND(P65="Bloomberg",ISNUMBER(L65)),L65,"unavailable")</f>
        <v/>
      </c>
      <c r="R65" s="15">
        <f>IF(OR('IPO Live'!$B$5="All",'IPO Live'!$B$5=C65,AND('IPO Live'!$B$5="A/H only",J65&gt;0)),1,0)</f>
        <v/>
      </c>
      <c r="S65" s="15">
        <f>IF(R65=1,COUNTIF($R$5:R65,1),"")</f>
        <v/>
      </c>
      <c r="T65">
        <f>1</f>
        <v/>
      </c>
      <c r="U65">
        <f>IF($P65="Bloomberg",$M65,$H65)</f>
        <v/>
      </c>
      <c r="V65" s="15" t="inlineStr">
        <is>
          <t>3308 | ZJ INNOLIGHT</t>
        </is>
      </c>
      <c r="W65" s="15" t="inlineStr">
        <is>
          <t>ZJ INNOLIGHT</t>
        </is>
      </c>
      <c r="X65" s="31" t="inlineStr">
        <is>
          <t>3308</t>
        </is>
      </c>
      <c r="Y65" s="31" t="inlineStr">
        <is>
          <t>300308.SZ</t>
        </is>
      </c>
      <c r="Z65" s="15" t="inlineStr">
        <is>
          <t>Smart hardware / consumer electronics</t>
        </is>
      </c>
      <c r="AA65" s="34" t="n">
        <v>46233</v>
      </c>
      <c r="AB65" s="15" t="n">
        <v>1072</v>
      </c>
      <c r="AC65" s="15" t="n">
        <v>808.4400000000001</v>
      </c>
      <c r="AD65" s="15" t="n">
        <v>1.170220971107483</v>
      </c>
      <c r="AE65" s="34" t="n">
        <v>46297</v>
      </c>
      <c r="AF65" s="34" t="n">
        <v>46295</v>
      </c>
      <c r="AG65" s="34" t="n">
        <v>46297</v>
      </c>
      <c r="AH65" s="15">
        <f>IF(AND(AH!$M$5="Snapshot",'IPO Live'!$M$5="Snapshot"),"",IFERROR(BDP(LEFT($Y65,FIND(".",$Y65)-1)&amp;" CH Equity","PX_LAST"),""))</f>
        <v/>
      </c>
      <c r="AI65" s="15">
        <f>$K$15</f>
        <v/>
      </c>
      <c r="AJ65" s="15">
        <f>$B$1</f>
        <v/>
      </c>
      <c r="AK65" s="34">
        <f>IF(AND(AH!$M$5="Snapshot",'IPO Live'!$M$5="Snapshot"),"",IFERROR(BDP(LEFT($Y65,FIND(".",$Y65)-1)&amp;" CH Equity","LAST_UPDATE_DT"),""))</f>
        <v/>
      </c>
      <c r="AL65" s="15">
        <f>IF(AND(AH!$M$5="Snapshot",'IPO Live'!$M$5="Snapshot"),"",IFERROR(BDP(LEFT($Y65,FIND(".",$Y65)-1)&amp;" CH Equity","LAST_UPDATE"),""))</f>
        <v/>
      </c>
      <c r="AM65" s="15">
        <f>IF(AND(AH!$M$5&lt;&gt;"Snapshot",ISNUMBER(AH65),N(AH65)&gt;0,ISNUMBER(AI65),N(AI65)&gt;0,ISNUMBER(AJ65),N(AJ65)&gt;0),"Bloomberg",IF(AH!$M$5="Bloomberg","Unavailable",IF(AND(ISNUMBER(AB65),ISNUMBER(AC65),ISNUMBER(AD65)),"Snapshot","Unavailable")))</f>
        <v/>
      </c>
      <c r="AN65" s="15">
        <f>IF(AM65="Bloomberg",AI65,IF(AM65="Snapshot",AB65,"unavailable"))</f>
        <v/>
      </c>
      <c r="AO65" s="15">
        <f>IF(AM65="Bloomberg",AH65,IF(AM65="Snapshot",AC65,"unavailable"))</f>
        <v/>
      </c>
      <c r="AP65" s="15">
        <f>IF(AM65="Bloomberg",AJ65,IF(AM65="Snapshot",AD65,"unavailable"))</f>
        <v/>
      </c>
      <c r="AQ65" s="33">
        <f>IFERROR(IF(AND(ISNUMBER(AN65),N(AN65)&gt;0,ISNUMBER(AO65),N(AO65)&gt;0,ISNUMBER(AP65),N(AP65)&gt;0),AO65*AP65/AN65-1,"unavailable"),"unavailable")</f>
        <v/>
      </c>
      <c r="AR65" s="15" t="n">
        <v>181</v>
      </c>
      <c r="AS65" s="15" t="inlineStr">
        <is>
          <t>One raw share per class; confirm class conversion for adjusted structures</t>
        </is>
      </c>
      <c r="AT65" s="31" t="inlineStr">
        <is>
          <t>300308</t>
        </is>
      </c>
      <c r="AW65">
        <f>IF(AND(J65&gt;0,OR(AH!$I$5="All",AH!$I$5="A/H only",AH!$I$5=C65)),1,0)</f>
        <v/>
      </c>
      <c r="AX65">
        <f>IF(AW65=1,COUNTIF($AW$5:AW65,1),"")</f>
        <v/>
      </c>
      <c r="AY65">
        <f>IF(AH!$M$5="Snapshot",IF(ISNUMBER(G65),G65,"unavailable"),IF(AND(ISNUMBER(K65),N(K65)&gt;0),K65,IF(AH!$M$5="Auto",IF(ISNUMBER(G65),G65,"unavailable"),"unavailable")))</f>
        <v/>
      </c>
      <c r="AZ65">
        <f>IF(AND(AH!$M$5&lt;&gt;"Snapshot",ISNUMBER(K65),N(K65)&gt;0),"Bloomberg",IF(AND(AH!$M$5&lt;&gt;"Bloomberg",ISNUMBER(G65)),"Snapshot","Unavailable"))</f>
        <v/>
      </c>
      <c r="BA65">
        <f>IF(AZ65="Bloomberg",M65,H65)</f>
        <v/>
      </c>
      <c r="BB65">
        <f>1</f>
        <v/>
      </c>
      <c r="BC65" s="15" t="n">
        <v>960</v>
      </c>
    </row>
    <row r="66">
      <c r="A66" s="31" t="inlineStr">
        <is>
          <t>0100</t>
        </is>
      </c>
      <c r="B66" s="15" t="inlineStr">
        <is>
          <t>MINIMAX-WP</t>
        </is>
      </c>
      <c r="C66" s="15" t="inlineStr">
        <is>
          <t>Tech/AI</t>
        </is>
      </c>
      <c r="D66" s="15" t="inlineStr">
        <is>
          <t>LLM / foundation model</t>
        </is>
      </c>
      <c r="E66" s="34" t="n">
        <v>46031</v>
      </c>
      <c r="F66" s="15" t="n">
        <v>165</v>
      </c>
      <c r="G66" s="15" t="n">
        <v>242.8</v>
      </c>
      <c r="H66" s="34" t="n">
        <v>46297</v>
      </c>
      <c r="I66" s="31" t="n"/>
      <c r="J66" s="15" t="n">
        <v>0</v>
      </c>
      <c r="K66" s="15">
        <f>IF(AND(AH!$M$5="Snapshot",'IPO Live'!$M$5="Snapshot"),"",IFERROR(BDP(TEXT(VALUE($A66),"0")&amp;" HK Equity","PX_LAST"),""))</f>
        <v/>
      </c>
      <c r="L66" s="15">
        <f>IF(AND(AH!$M$5="Snapshot",'IPO Live'!$M$5="Snapshot"),"",IFERROR(BDP(TEXT(VALUE($A66),"0")&amp;" HK Equity","CHG_PCT_1D")/100,""))</f>
        <v/>
      </c>
      <c r="M66" s="15">
        <f>IF(AND(AH!$M$5="Snapshot",'IPO Live'!$M$5="Snapshot"),"",IFERROR(BDP(TEXT(VALUE($A66),"0")&amp;" HK Equity","LAST_UPDATE_DT"),""))</f>
        <v/>
      </c>
      <c r="N66" s="15">
        <f>IF(AND(AH!$M$5="Snapshot",'IPO Live'!$M$5="Snapshot"),"",IFERROR(BDP(TEXT(VALUE($A66),"0")&amp;" HK Equity","LAST_UPDATE"),""))</f>
        <v/>
      </c>
      <c r="O66" s="15">
        <f>IF('IPO Live'!$M$5="Snapshot",IF(ISNUMBER(G66),G66,"unavailable"),IF(AND(ISNUMBER(K66),N(K66)&gt;0),K66,IF('IPO Live'!$M$5="Auto",IF(ISNUMBER(G66),G66,"unavailable"),"unavailable")))</f>
        <v/>
      </c>
      <c r="P66" s="15">
        <f>IF(AND('IPO Live'!$M$5&lt;&gt;"Snapshot",ISNUMBER(K66),N(K66)&gt;0),"Bloomberg",IF(AND('IPO Live'!$M$5&lt;&gt;"Bloomberg",ISNUMBER(G66)),"Snapshot","Unavailable"))</f>
        <v/>
      </c>
      <c r="Q66" s="33">
        <f>IF(AND(P66="Bloomberg",ISNUMBER(L66)),L66,"unavailable")</f>
        <v/>
      </c>
      <c r="R66" s="15">
        <f>IF(OR('IPO Live'!$B$5="All",'IPO Live'!$B$5=C66,AND('IPO Live'!$B$5="A/H only",J66&gt;0)),1,0)</f>
        <v/>
      </c>
      <c r="S66" s="15">
        <f>IF(R66=1,COUNTIF($R$5:R66,1),"")</f>
        <v/>
      </c>
      <c r="T66">
        <f>1</f>
        <v/>
      </c>
      <c r="U66">
        <f>IF($P66="Bloomberg",$M66,$H66)</f>
        <v/>
      </c>
      <c r="V66" s="15" t="inlineStr">
        <is>
          <t>3223 | INGENIC</t>
        </is>
      </c>
      <c r="W66" s="15" t="inlineStr">
        <is>
          <t>INGENIC</t>
        </is>
      </c>
      <c r="X66" s="31" t="inlineStr">
        <is>
          <t>3223</t>
        </is>
      </c>
      <c r="Y66" s="31" t="inlineStr">
        <is>
          <t>300223.SZ</t>
        </is>
      </c>
      <c r="Z66" s="15" t="inlineStr">
        <is>
          <t>Other / diversified semiconductors</t>
        </is>
      </c>
      <c r="AA66" s="34" t="n">
        <v>46259</v>
      </c>
      <c r="AB66" s="15" t="n">
        <v>89</v>
      </c>
      <c r="AC66" s="15" t="n">
        <v>129.15</v>
      </c>
      <c r="AD66" s="15" t="n">
        <v>1.170220971107483</v>
      </c>
      <c r="AE66" s="34" t="n">
        <v>46297</v>
      </c>
      <c r="AF66" s="34" t="n">
        <v>46295</v>
      </c>
      <c r="AG66" s="34" t="n">
        <v>46297</v>
      </c>
      <c r="AH66" s="15">
        <f>IF(AND(AH!$M$5="Snapshot",'IPO Live'!$M$5="Snapshot"),"",IFERROR(BDP(LEFT($Y66,FIND(".",$Y66)-1)&amp;" CH Equity","PX_LAST"),""))</f>
        <v/>
      </c>
      <c r="AI66" s="15">
        <f>$K$14</f>
        <v/>
      </c>
      <c r="AJ66" s="15">
        <f>$B$1</f>
        <v/>
      </c>
      <c r="AK66" s="34">
        <f>IF(AND(AH!$M$5="Snapshot",'IPO Live'!$M$5="Snapshot"),"",IFERROR(BDP(LEFT($Y66,FIND(".",$Y66)-1)&amp;" CH Equity","LAST_UPDATE_DT"),""))</f>
        <v/>
      </c>
      <c r="AL66" s="15">
        <f>IF(AND(AH!$M$5="Snapshot",'IPO Live'!$M$5="Snapshot"),"",IFERROR(BDP(LEFT($Y66,FIND(".",$Y66)-1)&amp;" CH Equity","LAST_UPDATE"),""))</f>
        <v/>
      </c>
      <c r="AM66" s="15">
        <f>IF(AND(AH!$M$5&lt;&gt;"Snapshot",ISNUMBER(AH66),N(AH66)&gt;0,ISNUMBER(AI66),N(AI66)&gt;0,ISNUMBER(AJ66),N(AJ66)&gt;0),"Bloomberg",IF(AH!$M$5="Bloomberg","Unavailable",IF(AND(ISNUMBER(AB66),ISNUMBER(AC66),ISNUMBER(AD66)),"Snapshot","Unavailable")))</f>
        <v/>
      </c>
      <c r="AN66" s="15">
        <f>IF(AM66="Bloomberg",AI66,IF(AM66="Snapshot",AB66,"unavailable"))</f>
        <v/>
      </c>
      <c r="AO66" s="15">
        <f>IF(AM66="Bloomberg",AH66,IF(AM66="Snapshot",AC66,"unavailable"))</f>
        <v/>
      </c>
      <c r="AP66" s="15">
        <f>IF(AM66="Bloomberg",AJ66,IF(AM66="Snapshot",AD66,"unavailable"))</f>
        <v/>
      </c>
      <c r="AQ66" s="33">
        <f>IFERROR(IF(AND(ISNUMBER(AN66),N(AN66)&gt;0,ISNUMBER(AO66),N(AO66)&gt;0,ISNUMBER(AP66),N(AP66)&gt;0),AO66*AP66/AN66-1,"unavailable"),"unavailable")</f>
        <v/>
      </c>
      <c r="AR66" s="15" t="n">
        <v>184</v>
      </c>
      <c r="AS66" s="15" t="inlineStr">
        <is>
          <t>One raw share per class; confirm class conversion for adjusted structures</t>
        </is>
      </c>
      <c r="AT66" s="31" t="inlineStr">
        <is>
          <t>300223</t>
        </is>
      </c>
      <c r="AW66">
        <f>IF(AND(J66&gt;0,OR(AH!$I$5="All",AH!$I$5="A/H only",AH!$I$5=C66)),1,0)</f>
        <v/>
      </c>
      <c r="AX66">
        <f>IF(AW66=1,COUNTIF($AW$5:AW66,1),"")</f>
        <v/>
      </c>
      <c r="AY66">
        <f>IF(AH!$M$5="Snapshot",IF(ISNUMBER(G66),G66,"unavailable"),IF(AND(ISNUMBER(K66),N(K66)&gt;0),K66,IF(AH!$M$5="Auto",IF(ISNUMBER(G66),G66,"unavailable"),"unavailable")))</f>
        <v/>
      </c>
      <c r="AZ66">
        <f>IF(AND(AH!$M$5&lt;&gt;"Snapshot",ISNUMBER(K66),N(K66)&gt;0),"Bloomberg",IF(AND(AH!$M$5&lt;&gt;"Bloomberg",ISNUMBER(G66)),"Snapshot","Unavailable"))</f>
        <v/>
      </c>
      <c r="BA66">
        <f>IF(AZ66="Bloomberg",M66,H66)</f>
        <v/>
      </c>
      <c r="BB66">
        <f>1</f>
        <v/>
      </c>
      <c r="BC66" s="15" t="n">
        <v>100</v>
      </c>
    </row>
    <row r="67">
      <c r="A67" s="31" t="inlineStr">
        <is>
          <t>2513</t>
        </is>
      </c>
      <c r="B67" s="15" t="inlineStr">
        <is>
          <t>KNOWLEDGE ATLAS</t>
        </is>
      </c>
      <c r="C67" s="15" t="inlineStr">
        <is>
          <t>Tech/AI</t>
        </is>
      </c>
      <c r="D67" s="15" t="inlineStr">
        <is>
          <t>LLM / foundation model</t>
        </is>
      </c>
      <c r="E67" s="34" t="n">
        <v>46030</v>
      </c>
      <c r="F67" s="15" t="n">
        <v>116.2</v>
      </c>
      <c r="G67" s="15" t="n">
        <v>626.5</v>
      </c>
      <c r="H67" s="34" t="n">
        <v>46297</v>
      </c>
      <c r="I67" s="31" t="n"/>
      <c r="J67" s="15" t="n">
        <v>0</v>
      </c>
      <c r="K67" s="15">
        <f>IF(AND(AH!$M$5="Snapshot",'IPO Live'!$M$5="Snapshot"),"",IFERROR(BDP(TEXT(VALUE($A67),"0")&amp;" HK Equity","PX_LAST"),""))</f>
        <v/>
      </c>
      <c r="L67" s="15">
        <f>IF(AND(AH!$M$5="Snapshot",'IPO Live'!$M$5="Snapshot"),"",IFERROR(BDP(TEXT(VALUE($A67),"0")&amp;" HK Equity","CHG_PCT_1D")/100,""))</f>
        <v/>
      </c>
      <c r="M67" s="15">
        <f>IF(AND(AH!$M$5="Snapshot",'IPO Live'!$M$5="Snapshot"),"",IFERROR(BDP(TEXT(VALUE($A67),"0")&amp;" HK Equity","LAST_UPDATE_DT"),""))</f>
        <v/>
      </c>
      <c r="N67" s="15">
        <f>IF(AND(AH!$M$5="Snapshot",'IPO Live'!$M$5="Snapshot"),"",IFERROR(BDP(TEXT(VALUE($A67),"0")&amp;" HK Equity","LAST_UPDATE"),""))</f>
        <v/>
      </c>
      <c r="O67" s="15">
        <f>IF('IPO Live'!$M$5="Snapshot",IF(ISNUMBER(G67),G67,"unavailable"),IF(AND(ISNUMBER(K67),N(K67)&gt;0),K67,IF('IPO Live'!$M$5="Auto",IF(ISNUMBER(G67),G67,"unavailable"),"unavailable")))</f>
        <v/>
      </c>
      <c r="P67" s="15">
        <f>IF(AND('IPO Live'!$M$5&lt;&gt;"Snapshot",ISNUMBER(K67),N(K67)&gt;0),"Bloomberg",IF(AND('IPO Live'!$M$5&lt;&gt;"Bloomberg",ISNUMBER(G67)),"Snapshot","Unavailable"))</f>
        <v/>
      </c>
      <c r="Q67" s="33">
        <f>IF(AND(P67="Bloomberg",ISNUMBER(L67)),L67,"unavailable")</f>
        <v/>
      </c>
      <c r="R67" s="15">
        <f>IF(OR('IPO Live'!$B$5="All",'IPO Live'!$B$5=C67,AND('IPO Live'!$B$5="A/H only",J67&gt;0)),1,0)</f>
        <v/>
      </c>
      <c r="S67" s="15">
        <f>IF(R67=1,COUNTIF($R$5:R67,1),"")</f>
        <v/>
      </c>
      <c r="T67">
        <f>1</f>
        <v/>
      </c>
      <c r="U67">
        <f>IF($P67="Bloomberg",$M67,$H67)</f>
        <v/>
      </c>
      <c r="AW67">
        <f>IF(AND(J67&gt;0,OR(AH!$I$5="All",AH!$I$5="A/H only",AH!$I$5=C67)),1,0)</f>
        <v/>
      </c>
      <c r="AX67">
        <f>IF(AW67=1,COUNTIF($AW$5:AW67,1),"")</f>
        <v/>
      </c>
      <c r="AY67">
        <f>IF(AH!$M$5="Snapshot",IF(ISNUMBER(G67),G67,"unavailable"),IF(AND(ISNUMBER(K67),N(K67)&gt;0),K67,IF(AH!$M$5="Auto",IF(ISNUMBER(G67),G67,"unavailable"),"unavailable")))</f>
        <v/>
      </c>
      <c r="AZ67">
        <f>IF(AND(AH!$M$5&lt;&gt;"Snapshot",ISNUMBER(K67),N(K67)&gt;0),"Bloomberg",IF(AND(AH!$M$5&lt;&gt;"Bloomberg",ISNUMBER(G67)),"Snapshot","Unavailable"))</f>
        <v/>
      </c>
      <c r="BA67">
        <f>IF(AZ67="Bloomberg",M67,H67)</f>
        <v/>
      </c>
      <c r="BB67">
        <f>1</f>
        <v/>
      </c>
    </row>
    <row r="68">
      <c r="A68" s="31" t="inlineStr">
        <is>
          <t>9903</t>
        </is>
      </c>
      <c r="B68" s="15" t="inlineStr">
        <is>
          <t>ILUVATAR COREX</t>
        </is>
      </c>
      <c r="C68" s="15" t="inlineStr">
        <is>
          <t>Tech/AI</t>
        </is>
      </c>
      <c r="D68" s="15" t="inlineStr">
        <is>
          <t>Compute / AI semiconductors</t>
        </is>
      </c>
      <c r="E68" s="34" t="n">
        <v>46030</v>
      </c>
      <c r="F68" s="15" t="n">
        <v>144.6</v>
      </c>
      <c r="G68" s="15" t="n">
        <v>297</v>
      </c>
      <c r="H68" s="34" t="n">
        <v>46297</v>
      </c>
      <c r="I68" s="31" t="n"/>
      <c r="J68" s="15" t="n">
        <v>0</v>
      </c>
      <c r="K68" s="15">
        <f>IF(AND(AH!$M$5="Snapshot",'IPO Live'!$M$5="Snapshot"),"",IFERROR(BDP(TEXT(VALUE($A68),"0")&amp;" HK Equity","PX_LAST"),""))</f>
        <v/>
      </c>
      <c r="L68" s="15">
        <f>IF(AND(AH!$M$5="Snapshot",'IPO Live'!$M$5="Snapshot"),"",IFERROR(BDP(TEXT(VALUE($A68),"0")&amp;" HK Equity","CHG_PCT_1D")/100,""))</f>
        <v/>
      </c>
      <c r="M68" s="15">
        <f>IF(AND(AH!$M$5="Snapshot",'IPO Live'!$M$5="Snapshot"),"",IFERROR(BDP(TEXT(VALUE($A68),"0")&amp;" HK Equity","LAST_UPDATE_DT"),""))</f>
        <v/>
      </c>
      <c r="N68" s="15">
        <f>IF(AND(AH!$M$5="Snapshot",'IPO Live'!$M$5="Snapshot"),"",IFERROR(BDP(TEXT(VALUE($A68),"0")&amp;" HK Equity","LAST_UPDATE"),""))</f>
        <v/>
      </c>
      <c r="O68" s="15">
        <f>IF('IPO Live'!$M$5="Snapshot",IF(ISNUMBER(G68),G68,"unavailable"),IF(AND(ISNUMBER(K68),N(K68)&gt;0),K68,IF('IPO Live'!$M$5="Auto",IF(ISNUMBER(G68),G68,"unavailable"),"unavailable")))</f>
        <v/>
      </c>
      <c r="P68" s="15">
        <f>IF(AND('IPO Live'!$M$5&lt;&gt;"Snapshot",ISNUMBER(K68),N(K68)&gt;0),"Bloomberg",IF(AND('IPO Live'!$M$5&lt;&gt;"Bloomberg",ISNUMBER(G68)),"Snapshot","Unavailable"))</f>
        <v/>
      </c>
      <c r="Q68" s="33">
        <f>IF(AND(P68="Bloomberg",ISNUMBER(L68)),L68,"unavailable")</f>
        <v/>
      </c>
      <c r="R68" s="15">
        <f>IF(OR('IPO Live'!$B$5="All",'IPO Live'!$B$5=C68,AND('IPO Live'!$B$5="A/H only",J68&gt;0)),1,0)</f>
        <v/>
      </c>
      <c r="S68" s="15">
        <f>IF(R68=1,COUNTIF($R$5:R68,1),"")</f>
        <v/>
      </c>
      <c r="T68">
        <f>IF(ISNUMBER($U68),IF($U68&gt;=DATEVALUE("2026-09-15"),3.0,1),"unavailable")</f>
        <v/>
      </c>
      <c r="U68">
        <f>IF($P68="Bloomberg",$M68,$H68)</f>
        <v/>
      </c>
      <c r="AW68">
        <f>IF(AND(J68&gt;0,OR(AH!$I$5="All",AH!$I$5="A/H only",AH!$I$5=C68)),1,0)</f>
        <v/>
      </c>
      <c r="AX68">
        <f>IF(AW68=1,COUNTIF($AW$5:AW68,1),"")</f>
        <v/>
      </c>
      <c r="AY68">
        <f>IF(AH!$M$5="Snapshot",IF(ISNUMBER(G68),G68,"unavailable"),IF(AND(ISNUMBER(K68),N(K68)&gt;0),K68,IF(AH!$M$5="Auto",IF(ISNUMBER(G68),G68,"unavailable"),"unavailable")))</f>
        <v/>
      </c>
      <c r="AZ68">
        <f>IF(AND(AH!$M$5&lt;&gt;"Snapshot",ISNUMBER(K68),N(K68)&gt;0),"Bloomberg",IF(AND(AH!$M$5&lt;&gt;"Bloomberg",ISNUMBER(G68)),"Snapshot","Unavailable"))</f>
        <v/>
      </c>
      <c r="BA68">
        <f>IF(AZ68="Bloomberg",M68,H68)</f>
        <v/>
      </c>
      <c r="BB68">
        <f>IF(ISNUMBER($BA68),IF($BA68&gt;=DATEVALUE("2026-09-15"),3.0,1),"unavailable")</f>
        <v/>
      </c>
    </row>
    <row r="69">
      <c r="A69" s="31" t="inlineStr">
        <is>
          <t>6082</t>
        </is>
      </c>
      <c r="B69" s="15" t="inlineStr">
        <is>
          <t>BIREN TECH</t>
        </is>
      </c>
      <c r="C69" s="15" t="inlineStr">
        <is>
          <t>Tech/AI</t>
        </is>
      </c>
      <c r="D69" s="15" t="inlineStr">
        <is>
          <t>Compute / AI semiconductors</t>
        </is>
      </c>
      <c r="E69" s="34" t="n">
        <v>46024</v>
      </c>
      <c r="F69" s="15" t="n">
        <v>19.6</v>
      </c>
      <c r="G69" s="15" t="n">
        <v>35.9</v>
      </c>
      <c r="H69" s="34" t="n">
        <v>46297</v>
      </c>
      <c r="I69" s="31" t="n"/>
      <c r="J69" s="15" t="n">
        <v>0</v>
      </c>
      <c r="K69" s="15">
        <f>IF(AND(AH!$M$5="Snapshot",'IPO Live'!$M$5="Snapshot"),"",IFERROR(BDP(TEXT(VALUE($A69),"0")&amp;" HK Equity","PX_LAST"),""))</f>
        <v/>
      </c>
      <c r="L69" s="15">
        <f>IF(AND(AH!$M$5="Snapshot",'IPO Live'!$M$5="Snapshot"),"",IFERROR(BDP(TEXT(VALUE($A69),"0")&amp;" HK Equity","CHG_PCT_1D")/100,""))</f>
        <v/>
      </c>
      <c r="M69" s="15">
        <f>IF(AND(AH!$M$5="Snapshot",'IPO Live'!$M$5="Snapshot"),"",IFERROR(BDP(TEXT(VALUE($A69),"0")&amp;" HK Equity","LAST_UPDATE_DT"),""))</f>
        <v/>
      </c>
      <c r="N69" s="15">
        <f>IF(AND(AH!$M$5="Snapshot",'IPO Live'!$M$5="Snapshot"),"",IFERROR(BDP(TEXT(VALUE($A69),"0")&amp;" HK Equity","LAST_UPDATE"),""))</f>
        <v/>
      </c>
      <c r="O69" s="15">
        <f>IF('IPO Live'!$M$5="Snapshot",IF(ISNUMBER(G69),G69,"unavailable"),IF(AND(ISNUMBER(K69),N(K69)&gt;0),K69,IF('IPO Live'!$M$5="Auto",IF(ISNUMBER(G69),G69,"unavailable"),"unavailable")))</f>
        <v/>
      </c>
      <c r="P69" s="15">
        <f>IF(AND('IPO Live'!$M$5&lt;&gt;"Snapshot",ISNUMBER(K69),N(K69)&gt;0),"Bloomberg",IF(AND('IPO Live'!$M$5&lt;&gt;"Bloomberg",ISNUMBER(G69)),"Snapshot","Unavailable"))</f>
        <v/>
      </c>
      <c r="Q69" s="33">
        <f>IF(AND(P69="Bloomberg",ISNUMBER(L69)),L69,"unavailable")</f>
        <v/>
      </c>
      <c r="R69" s="15">
        <f>IF(OR('IPO Live'!$B$5="All",'IPO Live'!$B$5=C69,AND('IPO Live'!$B$5="A/H only",J69&gt;0)),1,0)</f>
        <v/>
      </c>
      <c r="S69" s="15">
        <f>IF(R69=1,COUNTIF($R$5:R69,1),"")</f>
        <v/>
      </c>
      <c r="T69">
        <f>1</f>
        <v/>
      </c>
      <c r="U69">
        <f>IF($P69="Bloomberg",$M69,$H69)</f>
        <v/>
      </c>
      <c r="AW69">
        <f>IF(AND(J69&gt;0,OR(AH!$I$5="All",AH!$I$5="A/H only",AH!$I$5=C69)),1,0)</f>
        <v/>
      </c>
      <c r="AX69">
        <f>IF(AW69=1,COUNTIF($AW$5:AW69,1),"")</f>
        <v/>
      </c>
      <c r="AY69">
        <f>IF(AH!$M$5="Snapshot",IF(ISNUMBER(G69),G69,"unavailable"),IF(AND(ISNUMBER(K69),N(K69)&gt;0),K69,IF(AH!$M$5="Auto",IF(ISNUMBER(G69),G69,"unavailable"),"unavailable")))</f>
        <v/>
      </c>
      <c r="AZ69">
        <f>IF(AND(AH!$M$5&lt;&gt;"Snapshot",ISNUMBER(K69),N(K69)&gt;0),"Bloomberg",IF(AND(AH!$M$5&lt;&gt;"Bloomberg",ISNUMBER(G69)),"Snapshot","Unavailable"))</f>
        <v/>
      </c>
      <c r="BA69">
        <f>IF(AZ69="Bloomberg",M69,H69)</f>
        <v/>
      </c>
      <c r="BB69">
        <f>1</f>
        <v/>
      </c>
    </row>
    <row r="70">
      <c r="A70" s="31" t="inlineStr">
        <is>
          <t>3317</t>
        </is>
      </c>
      <c r="B70" s="15" t="inlineStr">
        <is>
          <t>XUNCE</t>
        </is>
      </c>
      <c r="C70" s="15" t="inlineStr">
        <is>
          <t>Tech/AI</t>
        </is>
      </c>
      <c r="D70" s="15" t="inlineStr">
        <is>
          <t>SaaS / enterprise software</t>
        </is>
      </c>
      <c r="E70" s="34" t="n">
        <v>46021</v>
      </c>
      <c r="F70" s="15" t="n">
        <v>48</v>
      </c>
      <c r="G70" s="15" t="n">
        <v>91.95</v>
      </c>
      <c r="H70" s="34" t="n">
        <v>46297</v>
      </c>
      <c r="I70" s="31" t="n"/>
      <c r="J70" s="15" t="n">
        <v>0</v>
      </c>
      <c r="K70" s="15">
        <f>IF(AND(AH!$M$5="Snapshot",'IPO Live'!$M$5="Snapshot"),"",IFERROR(BDP(TEXT(VALUE($A70),"0")&amp;" HK Equity","PX_LAST"),""))</f>
        <v/>
      </c>
      <c r="L70" s="15">
        <f>IF(AND(AH!$M$5="Snapshot",'IPO Live'!$M$5="Snapshot"),"",IFERROR(BDP(TEXT(VALUE($A70),"0")&amp;" HK Equity","CHG_PCT_1D")/100,""))</f>
        <v/>
      </c>
      <c r="M70" s="15">
        <f>IF(AND(AH!$M$5="Snapshot",'IPO Live'!$M$5="Snapshot"),"",IFERROR(BDP(TEXT(VALUE($A70),"0")&amp;" HK Equity","LAST_UPDATE_DT"),""))</f>
        <v/>
      </c>
      <c r="N70" s="15">
        <f>IF(AND(AH!$M$5="Snapshot",'IPO Live'!$M$5="Snapshot"),"",IFERROR(BDP(TEXT(VALUE($A70),"0")&amp;" HK Equity","LAST_UPDATE"),""))</f>
        <v/>
      </c>
      <c r="O70" s="15">
        <f>IF('IPO Live'!$M$5="Snapshot",IF(ISNUMBER(G70),G70,"unavailable"),IF(AND(ISNUMBER(K70),N(K70)&gt;0),K70,IF('IPO Live'!$M$5="Auto",IF(ISNUMBER(G70),G70,"unavailable"),"unavailable")))</f>
        <v/>
      </c>
      <c r="P70" s="15">
        <f>IF(AND('IPO Live'!$M$5&lt;&gt;"Snapshot",ISNUMBER(K70),N(K70)&gt;0),"Bloomberg",IF(AND('IPO Live'!$M$5&lt;&gt;"Bloomberg",ISNUMBER(G70)),"Snapshot","Unavailable"))</f>
        <v/>
      </c>
      <c r="Q70" s="33">
        <f>IF(AND(P70="Bloomberg",ISNUMBER(L70)),L70,"unavailable")</f>
        <v/>
      </c>
      <c r="R70" s="15">
        <f>IF(OR('IPO Live'!$B$5="All",'IPO Live'!$B$5=C70,AND('IPO Live'!$B$5="A/H only",J70&gt;0)),1,0)</f>
        <v/>
      </c>
      <c r="S70" s="15">
        <f>IF(R70=1,COUNTIF($R$5:R70,1),"")</f>
        <v/>
      </c>
      <c r="T70">
        <f>1</f>
        <v/>
      </c>
      <c r="U70">
        <f>IF($P70="Bloomberg",$M70,$H70)</f>
        <v/>
      </c>
      <c r="AW70">
        <f>IF(AND(J70&gt;0,OR(AH!$I$5="All",AH!$I$5="A/H only",AH!$I$5=C70)),1,0)</f>
        <v/>
      </c>
      <c r="AX70">
        <f>IF(AW70=1,COUNTIF($AW$5:AW70,1),"")</f>
        <v/>
      </c>
      <c r="AY70">
        <f>IF(AH!$M$5="Snapshot",IF(ISNUMBER(G70),G70,"unavailable"),IF(AND(ISNUMBER(K70),N(K70)&gt;0),K70,IF(AH!$M$5="Auto",IF(ISNUMBER(G70),G70,"unavailable"),"unavailable")))</f>
        <v/>
      </c>
      <c r="AZ70">
        <f>IF(AND(AH!$M$5&lt;&gt;"Snapshot",ISNUMBER(K70),N(K70)&gt;0),"Bloomberg",IF(AND(AH!$M$5&lt;&gt;"Bloomberg",ISNUMBER(G70)),"Snapshot","Unavailable"))</f>
        <v/>
      </c>
      <c r="BA70">
        <f>IF(AZ70="Bloomberg",M70,H70)</f>
        <v/>
      </c>
      <c r="BB70">
        <f>1</f>
        <v/>
      </c>
    </row>
    <row r="71">
      <c r="A71" s="31" t="inlineStr">
        <is>
          <t>3696</t>
        </is>
      </c>
      <c r="B71" s="15" t="inlineStr">
        <is>
          <t>INSILICO</t>
        </is>
      </c>
      <c r="C71" s="15" t="inlineStr">
        <is>
          <t>Tech/AI</t>
        </is>
      </c>
      <c r="D71" s="15" t="inlineStr">
        <is>
          <t>AI application / agent software</t>
        </is>
      </c>
      <c r="E71" s="34" t="n">
        <v>46021</v>
      </c>
      <c r="F71" s="15" t="n">
        <v>24.05</v>
      </c>
      <c r="G71" s="15" t="n">
        <v>57.6</v>
      </c>
      <c r="H71" s="34" t="n">
        <v>46297</v>
      </c>
      <c r="I71" s="31" t="n"/>
      <c r="J71" s="15" t="n">
        <v>0</v>
      </c>
      <c r="K71" s="15">
        <f>IF(AND(AH!$M$5="Snapshot",'IPO Live'!$M$5="Snapshot"),"",IFERROR(BDP(TEXT(VALUE($A71),"0")&amp;" HK Equity","PX_LAST"),""))</f>
        <v/>
      </c>
      <c r="L71" s="15">
        <f>IF(AND(AH!$M$5="Snapshot",'IPO Live'!$M$5="Snapshot"),"",IFERROR(BDP(TEXT(VALUE($A71),"0")&amp;" HK Equity","CHG_PCT_1D")/100,""))</f>
        <v/>
      </c>
      <c r="M71" s="15">
        <f>IF(AND(AH!$M$5="Snapshot",'IPO Live'!$M$5="Snapshot"),"",IFERROR(BDP(TEXT(VALUE($A71),"0")&amp;" HK Equity","LAST_UPDATE_DT"),""))</f>
        <v/>
      </c>
      <c r="N71" s="15">
        <f>IF(AND(AH!$M$5="Snapshot",'IPO Live'!$M$5="Snapshot"),"",IFERROR(BDP(TEXT(VALUE($A71),"0")&amp;" HK Equity","LAST_UPDATE"),""))</f>
        <v/>
      </c>
      <c r="O71" s="15">
        <f>IF('IPO Live'!$M$5="Snapshot",IF(ISNUMBER(G71),G71,"unavailable"),IF(AND(ISNUMBER(K71),N(K71)&gt;0),K71,IF('IPO Live'!$M$5="Auto",IF(ISNUMBER(G71),G71,"unavailable"),"unavailable")))</f>
        <v/>
      </c>
      <c r="P71" s="15">
        <f>IF(AND('IPO Live'!$M$5&lt;&gt;"Snapshot",ISNUMBER(K71),N(K71)&gt;0),"Bloomberg",IF(AND('IPO Live'!$M$5&lt;&gt;"Bloomberg",ISNUMBER(G71)),"Snapshot","Unavailable"))</f>
        <v/>
      </c>
      <c r="Q71" s="33">
        <f>IF(AND(P71="Bloomberg",ISNUMBER(L71)),L71,"unavailable")</f>
        <v/>
      </c>
      <c r="R71" s="15">
        <f>IF(OR('IPO Live'!$B$5="All",'IPO Live'!$B$5=C71,AND('IPO Live'!$B$5="A/H only",J71&gt;0)),1,0)</f>
        <v/>
      </c>
      <c r="S71" s="15">
        <f>IF(R71=1,COUNTIF($R$5:R71,1),"")</f>
        <v/>
      </c>
      <c r="T71">
        <f>1</f>
        <v/>
      </c>
      <c r="U71">
        <f>IF($P71="Bloomberg",$M71,$H71)</f>
        <v/>
      </c>
      <c r="AW71">
        <f>IF(AND(J71&gt;0,OR(AH!$I$5="All",AH!$I$5="A/H only",AH!$I$5=C71)),1,0)</f>
        <v/>
      </c>
      <c r="AX71">
        <f>IF(AW71=1,COUNTIF($AW$5:AW71,1),"")</f>
        <v/>
      </c>
      <c r="AY71">
        <f>IF(AH!$M$5="Snapshot",IF(ISNUMBER(G71),G71,"unavailable"),IF(AND(ISNUMBER(K71),N(K71)&gt;0),K71,IF(AH!$M$5="Auto",IF(ISNUMBER(G71),G71,"unavailable"),"unavailable")))</f>
        <v/>
      </c>
      <c r="AZ71">
        <f>IF(AND(AH!$M$5&lt;&gt;"Snapshot",ISNUMBER(K71),N(K71)&gt;0),"Bloomberg",IF(AND(AH!$M$5&lt;&gt;"Bloomberg",ISNUMBER(G71)),"Snapshot","Unavailable"))</f>
        <v/>
      </c>
      <c r="BA71">
        <f>IF(AZ71="Bloomberg",M71,H71)</f>
        <v/>
      </c>
      <c r="BB71">
        <f>1</f>
        <v/>
      </c>
    </row>
    <row r="72">
      <c r="A72" s="31" t="inlineStr">
        <is>
          <t>6651</t>
        </is>
      </c>
      <c r="B72" s="15" t="inlineStr">
        <is>
          <t>51WORLD</t>
        </is>
      </c>
      <c r="C72" s="15" t="inlineStr">
        <is>
          <t>Tech/AI</t>
        </is>
      </c>
      <c r="D72" s="15" t="inlineStr">
        <is>
          <t>SaaS / enterprise software</t>
        </is>
      </c>
      <c r="E72" s="34" t="n">
        <v>46021</v>
      </c>
      <c r="F72" s="15" t="n">
        <v>30.5</v>
      </c>
      <c r="G72" s="15" t="n">
        <v>52.95</v>
      </c>
      <c r="H72" s="34" t="n">
        <v>46297</v>
      </c>
      <c r="I72" s="31" t="n"/>
      <c r="J72" s="15" t="n">
        <v>0</v>
      </c>
      <c r="K72" s="15">
        <f>IF(AND(AH!$M$5="Snapshot",'IPO Live'!$M$5="Snapshot"),"",IFERROR(BDP(TEXT(VALUE($A72),"0")&amp;" HK Equity","PX_LAST"),""))</f>
        <v/>
      </c>
      <c r="L72" s="15">
        <f>IF(AND(AH!$M$5="Snapshot",'IPO Live'!$M$5="Snapshot"),"",IFERROR(BDP(TEXT(VALUE($A72),"0")&amp;" HK Equity","CHG_PCT_1D")/100,""))</f>
        <v/>
      </c>
      <c r="M72" s="15">
        <f>IF(AND(AH!$M$5="Snapshot",'IPO Live'!$M$5="Snapshot"),"",IFERROR(BDP(TEXT(VALUE($A72),"0")&amp;" HK Equity","LAST_UPDATE_DT"),""))</f>
        <v/>
      </c>
      <c r="N72" s="15">
        <f>IF(AND(AH!$M$5="Snapshot",'IPO Live'!$M$5="Snapshot"),"",IFERROR(BDP(TEXT(VALUE($A72),"0")&amp;" HK Equity","LAST_UPDATE"),""))</f>
        <v/>
      </c>
      <c r="O72" s="15">
        <f>IF('IPO Live'!$M$5="Snapshot",IF(ISNUMBER(G72),G72,"unavailable"),IF(AND(ISNUMBER(K72),N(K72)&gt;0),K72,IF('IPO Live'!$M$5="Auto",IF(ISNUMBER(G72),G72,"unavailable"),"unavailable")))</f>
        <v/>
      </c>
      <c r="P72" s="15">
        <f>IF(AND('IPO Live'!$M$5&lt;&gt;"Snapshot",ISNUMBER(K72),N(K72)&gt;0),"Bloomberg",IF(AND('IPO Live'!$M$5&lt;&gt;"Bloomberg",ISNUMBER(G72)),"Snapshot","Unavailable"))</f>
        <v/>
      </c>
      <c r="Q72" s="33">
        <f>IF(AND(P72="Bloomberg",ISNUMBER(L72)),L72,"unavailable")</f>
        <v/>
      </c>
      <c r="R72" s="15">
        <f>IF(OR('IPO Live'!$B$5="All",'IPO Live'!$B$5=C72,AND('IPO Live'!$B$5="A/H only",J72&gt;0)),1,0)</f>
        <v/>
      </c>
      <c r="S72" s="15">
        <f>IF(R72=1,COUNTIF($R$5:R72,1),"")</f>
        <v/>
      </c>
      <c r="T72">
        <f>1</f>
        <v/>
      </c>
      <c r="U72">
        <f>IF($P72="Bloomberg",$M72,$H72)</f>
        <v/>
      </c>
      <c r="AW72">
        <f>IF(AND(J72&gt;0,OR(AH!$I$5="All",AH!$I$5="A/H only",AH!$I$5=C72)),1,0)</f>
        <v/>
      </c>
      <c r="AX72">
        <f>IF(AW72=1,COUNTIF($AW$5:AW72,1),"")</f>
        <v/>
      </c>
      <c r="AY72">
        <f>IF(AH!$M$5="Snapshot",IF(ISNUMBER(G72),G72,"unavailable"),IF(AND(ISNUMBER(K72),N(K72)&gt;0),K72,IF(AH!$M$5="Auto",IF(ISNUMBER(G72),G72,"unavailable"),"unavailable")))</f>
        <v/>
      </c>
      <c r="AZ72">
        <f>IF(AND(AH!$M$5&lt;&gt;"Snapshot",ISNUMBER(K72),N(K72)&gt;0),"Bloomberg",IF(AND(AH!$M$5&lt;&gt;"Bloomberg",ISNUMBER(G72)),"Snapshot","Unavailable"))</f>
        <v/>
      </c>
      <c r="BA72">
        <f>IF(AZ72="Bloomberg",M72,H72)</f>
        <v/>
      </c>
      <c r="BB72">
        <f>1</f>
        <v/>
      </c>
    </row>
    <row r="73">
      <c r="A73" s="31" t="inlineStr">
        <is>
          <t>6600</t>
        </is>
      </c>
      <c r="B73" s="15" t="inlineStr">
        <is>
          <t>ONEROBOTICS</t>
        </is>
      </c>
      <c r="C73" s="15" t="inlineStr">
        <is>
          <t>Tech/AI</t>
        </is>
      </c>
      <c r="D73" s="15" t="inlineStr">
        <is>
          <t>Robotics &amp; autonomous driving</t>
        </is>
      </c>
      <c r="E73" s="34" t="n">
        <v>46021</v>
      </c>
      <c r="F73" s="15" t="n">
        <v>73.8</v>
      </c>
      <c r="G73" s="15" t="n">
        <v>45</v>
      </c>
      <c r="H73" s="34" t="n">
        <v>46297</v>
      </c>
      <c r="I73" s="31" t="n"/>
      <c r="J73" s="15" t="n">
        <v>0</v>
      </c>
      <c r="K73" s="15">
        <f>IF(AND(AH!$M$5="Snapshot",'IPO Live'!$M$5="Snapshot"),"",IFERROR(BDP(TEXT(VALUE($A73),"0")&amp;" HK Equity","PX_LAST"),""))</f>
        <v/>
      </c>
      <c r="L73" s="15">
        <f>IF(AND(AH!$M$5="Snapshot",'IPO Live'!$M$5="Snapshot"),"",IFERROR(BDP(TEXT(VALUE($A73),"0")&amp;" HK Equity","CHG_PCT_1D")/100,""))</f>
        <v/>
      </c>
      <c r="M73" s="15">
        <f>IF(AND(AH!$M$5="Snapshot",'IPO Live'!$M$5="Snapshot"),"",IFERROR(BDP(TEXT(VALUE($A73),"0")&amp;" HK Equity","LAST_UPDATE_DT"),""))</f>
        <v/>
      </c>
      <c r="N73" s="15">
        <f>IF(AND(AH!$M$5="Snapshot",'IPO Live'!$M$5="Snapshot"),"",IFERROR(BDP(TEXT(VALUE($A73),"0")&amp;" HK Equity","LAST_UPDATE"),""))</f>
        <v/>
      </c>
      <c r="O73" s="15">
        <f>IF('IPO Live'!$M$5="Snapshot",IF(ISNUMBER(G73),G73,"unavailable"),IF(AND(ISNUMBER(K73),N(K73)&gt;0),K73,IF('IPO Live'!$M$5="Auto",IF(ISNUMBER(G73),G73,"unavailable"),"unavailable")))</f>
        <v/>
      </c>
      <c r="P73" s="15">
        <f>IF(AND('IPO Live'!$M$5&lt;&gt;"Snapshot",ISNUMBER(K73),N(K73)&gt;0),"Bloomberg",IF(AND('IPO Live'!$M$5&lt;&gt;"Bloomberg",ISNUMBER(G73)),"Snapshot","Unavailable"))</f>
        <v/>
      </c>
      <c r="Q73" s="33">
        <f>IF(AND(P73="Bloomberg",ISNUMBER(L73)),L73,"unavailable")</f>
        <v/>
      </c>
      <c r="R73" s="15">
        <f>IF(OR('IPO Live'!$B$5="All",'IPO Live'!$B$5=C73,AND('IPO Live'!$B$5="A/H only",J73&gt;0)),1,0)</f>
        <v/>
      </c>
      <c r="S73" s="15">
        <f>IF(R73=1,COUNTIF($R$5:R73,1),"")</f>
        <v/>
      </c>
      <c r="T73">
        <f>1</f>
        <v/>
      </c>
      <c r="U73">
        <f>IF($P73="Bloomberg",$M73,$H73)</f>
        <v/>
      </c>
      <c r="AW73">
        <f>IF(AND(J73&gt;0,OR(AH!$I$5="All",AH!$I$5="A/H only",AH!$I$5=C73)),1,0)</f>
        <v/>
      </c>
      <c r="AX73">
        <f>IF(AW73=1,COUNTIF($AW$5:AW73,1),"")</f>
        <v/>
      </c>
      <c r="AY73">
        <f>IF(AH!$M$5="Snapshot",IF(ISNUMBER(G73),G73,"unavailable"),IF(AND(ISNUMBER(K73),N(K73)&gt;0),K73,IF(AH!$M$5="Auto",IF(ISNUMBER(G73),G73,"unavailable"),"unavailable")))</f>
        <v/>
      </c>
      <c r="AZ73">
        <f>IF(AND(AH!$M$5&lt;&gt;"Snapshot",ISNUMBER(K73),N(K73)&gt;0),"Bloomberg",IF(AND(AH!$M$5&lt;&gt;"Bloomberg",ISNUMBER(G73)),"Snapshot","Unavailable"))</f>
        <v/>
      </c>
      <c r="BA73">
        <f>IF(AZ73="Bloomberg",M73,H73)</f>
        <v/>
      </c>
      <c r="BB73">
        <f>1</f>
        <v/>
      </c>
    </row>
    <row r="74">
      <c r="A74" s="31" t="inlineStr">
        <is>
          <t>2635</t>
        </is>
      </c>
      <c r="B74" s="15" t="inlineStr">
        <is>
          <t>NUOBIKAN</t>
        </is>
      </c>
      <c r="C74" s="15" t="inlineStr">
        <is>
          <t>Tech/AI</t>
        </is>
      </c>
      <c r="D74" s="15" t="inlineStr">
        <is>
          <t>SaaS / enterprise software</t>
        </is>
      </c>
      <c r="E74" s="34" t="n">
        <v>46014</v>
      </c>
      <c r="F74" s="15" t="n">
        <v>80</v>
      </c>
      <c r="G74" s="15" t="n">
        <v>90.7</v>
      </c>
      <c r="H74" s="34" t="n">
        <v>46297</v>
      </c>
      <c r="I74" s="31" t="n"/>
      <c r="J74" s="15" t="n">
        <v>0</v>
      </c>
      <c r="K74" s="15">
        <f>IF(AND(AH!$M$5="Snapshot",'IPO Live'!$M$5="Snapshot"),"",IFERROR(BDP(TEXT(VALUE($A74),"0")&amp;" HK Equity","PX_LAST"),""))</f>
        <v/>
      </c>
      <c r="L74" s="15">
        <f>IF(AND(AH!$M$5="Snapshot",'IPO Live'!$M$5="Snapshot"),"",IFERROR(BDP(TEXT(VALUE($A74),"0")&amp;" HK Equity","CHG_PCT_1D")/100,""))</f>
        <v/>
      </c>
      <c r="M74" s="15">
        <f>IF(AND(AH!$M$5="Snapshot",'IPO Live'!$M$5="Snapshot"),"",IFERROR(BDP(TEXT(VALUE($A74),"0")&amp;" HK Equity","LAST_UPDATE_DT"),""))</f>
        <v/>
      </c>
      <c r="N74" s="15">
        <f>IF(AND(AH!$M$5="Snapshot",'IPO Live'!$M$5="Snapshot"),"",IFERROR(BDP(TEXT(VALUE($A74),"0")&amp;" HK Equity","LAST_UPDATE"),""))</f>
        <v/>
      </c>
      <c r="O74" s="15">
        <f>IF('IPO Live'!$M$5="Snapshot",IF(ISNUMBER(G74),G74,"unavailable"),IF(AND(ISNUMBER(K74),N(K74)&gt;0),K74,IF('IPO Live'!$M$5="Auto",IF(ISNUMBER(G74),G74,"unavailable"),"unavailable")))</f>
        <v/>
      </c>
      <c r="P74" s="15">
        <f>IF(AND('IPO Live'!$M$5&lt;&gt;"Snapshot",ISNUMBER(K74),N(K74)&gt;0),"Bloomberg",IF(AND('IPO Live'!$M$5&lt;&gt;"Bloomberg",ISNUMBER(G74)),"Snapshot","Unavailable"))</f>
        <v/>
      </c>
      <c r="Q74" s="33">
        <f>IF(AND(P74="Bloomberg",ISNUMBER(L74)),L74,"unavailable")</f>
        <v/>
      </c>
      <c r="R74" s="15">
        <f>IF(OR('IPO Live'!$B$5="All",'IPO Live'!$B$5=C74,AND('IPO Live'!$B$5="A/H only",J74&gt;0)),1,0)</f>
        <v/>
      </c>
      <c r="S74" s="15">
        <f>IF(R74=1,COUNTIF($R$5:R74,1),"")</f>
        <v/>
      </c>
      <c r="T74">
        <f>IF(ISNUMBER($U74),IF($U74&gt;=DATEVALUE("2026-03-11"),10.0,1),"unavailable")</f>
        <v/>
      </c>
      <c r="U74">
        <f>IF($P74="Bloomberg",$M74,$H74)</f>
        <v/>
      </c>
      <c r="AW74">
        <f>IF(AND(J74&gt;0,OR(AH!$I$5="All",AH!$I$5="A/H only",AH!$I$5=C74)),1,0)</f>
        <v/>
      </c>
      <c r="AX74">
        <f>IF(AW74=1,COUNTIF($AW$5:AW74,1),"")</f>
        <v/>
      </c>
      <c r="AY74">
        <f>IF(AH!$M$5="Snapshot",IF(ISNUMBER(G74),G74,"unavailable"),IF(AND(ISNUMBER(K74),N(K74)&gt;0),K74,IF(AH!$M$5="Auto",IF(ISNUMBER(G74),G74,"unavailable"),"unavailable")))</f>
        <v/>
      </c>
      <c r="AZ74">
        <f>IF(AND(AH!$M$5&lt;&gt;"Snapshot",ISNUMBER(K74),N(K74)&gt;0),"Bloomberg",IF(AND(AH!$M$5&lt;&gt;"Bloomberg",ISNUMBER(G74)),"Snapshot","Unavailable"))</f>
        <v/>
      </c>
      <c r="BA74">
        <f>IF(AZ74="Bloomberg",M74,H74)</f>
        <v/>
      </c>
      <c r="BB74">
        <f>IF(ISNUMBER($BA74),IF($BA74&gt;=DATEVALUE("2026-03-11"),10.0,1),"unavailable")</f>
        <v/>
      </c>
    </row>
    <row r="75">
      <c r="A75" s="31" t="inlineStr">
        <is>
          <t>2581</t>
        </is>
      </c>
      <c r="B75" s="15" t="inlineStr">
        <is>
          <t>BENQ HOLDING</t>
        </is>
      </c>
      <c r="C75" s="15" t="inlineStr">
        <is>
          <t>Tech/AI</t>
        </is>
      </c>
      <c r="D75" s="15" t="inlineStr">
        <is>
          <t>Smart hardware / consumer electronics</t>
        </is>
      </c>
      <c r="E75" s="34" t="n">
        <v>46013</v>
      </c>
      <c r="F75" s="15" t="n">
        <v>9.34</v>
      </c>
      <c r="G75" s="15" t="n">
        <v>2.7</v>
      </c>
      <c r="H75" s="34" t="n">
        <v>46297</v>
      </c>
      <c r="I75" s="31" t="n"/>
      <c r="J75" s="15" t="n">
        <v>0</v>
      </c>
      <c r="K75" s="15">
        <f>IF(AND(AH!$M$5="Snapshot",'IPO Live'!$M$5="Snapshot"),"",IFERROR(BDP(TEXT(VALUE($A75),"0")&amp;" HK Equity","PX_LAST"),""))</f>
        <v/>
      </c>
      <c r="L75" s="15">
        <f>IF(AND(AH!$M$5="Snapshot",'IPO Live'!$M$5="Snapshot"),"",IFERROR(BDP(TEXT(VALUE($A75),"0")&amp;" HK Equity","CHG_PCT_1D")/100,""))</f>
        <v/>
      </c>
      <c r="M75" s="15">
        <f>IF(AND(AH!$M$5="Snapshot",'IPO Live'!$M$5="Snapshot"),"",IFERROR(BDP(TEXT(VALUE($A75),"0")&amp;" HK Equity","LAST_UPDATE_DT"),""))</f>
        <v/>
      </c>
      <c r="N75" s="15">
        <f>IF(AND(AH!$M$5="Snapshot",'IPO Live'!$M$5="Snapshot"),"",IFERROR(BDP(TEXT(VALUE($A75),"0")&amp;" HK Equity","LAST_UPDATE"),""))</f>
        <v/>
      </c>
      <c r="O75" s="15">
        <f>IF('IPO Live'!$M$5="Snapshot",IF(ISNUMBER(G75),G75,"unavailable"),IF(AND(ISNUMBER(K75),N(K75)&gt;0),K75,IF('IPO Live'!$M$5="Auto",IF(ISNUMBER(G75),G75,"unavailable"),"unavailable")))</f>
        <v/>
      </c>
      <c r="P75" s="15">
        <f>IF(AND('IPO Live'!$M$5&lt;&gt;"Snapshot",ISNUMBER(K75),N(K75)&gt;0),"Bloomberg",IF(AND('IPO Live'!$M$5&lt;&gt;"Bloomberg",ISNUMBER(G75)),"Snapshot","Unavailable"))</f>
        <v/>
      </c>
      <c r="Q75" s="33">
        <f>IF(AND(P75="Bloomberg",ISNUMBER(L75)),L75,"unavailable")</f>
        <v/>
      </c>
      <c r="R75" s="15">
        <f>IF(OR('IPO Live'!$B$5="All",'IPO Live'!$B$5=C75,AND('IPO Live'!$B$5="A/H only",J75&gt;0)),1,0)</f>
        <v/>
      </c>
      <c r="S75" s="15">
        <f>IF(R75=1,COUNTIF($R$5:R75,1),"")</f>
        <v/>
      </c>
      <c r="T75">
        <f>1</f>
        <v/>
      </c>
      <c r="U75">
        <f>IF($P75="Bloomberg",$M75,$H75)</f>
        <v/>
      </c>
      <c r="AW75">
        <f>IF(AND(J75&gt;0,OR(AH!$I$5="All",AH!$I$5="A/H only",AH!$I$5=C75)),1,0)</f>
        <v/>
      </c>
      <c r="AX75">
        <f>IF(AW75=1,COUNTIF($AW$5:AW75,1),"")</f>
        <v/>
      </c>
      <c r="AY75">
        <f>IF(AH!$M$5="Snapshot",IF(ISNUMBER(G75),G75,"unavailable"),IF(AND(ISNUMBER(K75),N(K75)&gt;0),K75,IF(AH!$M$5="Auto",IF(ISNUMBER(G75),G75,"unavailable"),"unavailable")))</f>
        <v/>
      </c>
      <c r="AZ75">
        <f>IF(AND(AH!$M$5&lt;&gt;"Snapshot",ISNUMBER(K75),N(K75)&gt;0),"Bloomberg",IF(AND(AH!$M$5&lt;&gt;"Bloomberg",ISNUMBER(G75)),"Snapshot","Unavailable"))</f>
        <v/>
      </c>
      <c r="BA75">
        <f>IF(AZ75="Bloomberg",M75,H75)</f>
        <v/>
      </c>
      <c r="BB75">
        <f>1</f>
        <v/>
      </c>
    </row>
    <row r="76">
      <c r="A76" s="31" t="inlineStr">
        <is>
          <t>3881</t>
        </is>
      </c>
      <c r="B76" s="15" t="inlineStr">
        <is>
          <t>CIDI</t>
        </is>
      </c>
      <c r="C76" s="15" t="inlineStr">
        <is>
          <t>Tech/AI</t>
        </is>
      </c>
      <c r="D76" s="15" t="inlineStr">
        <is>
          <t>Robotics &amp; autonomous driving</t>
        </is>
      </c>
      <c r="E76" s="34" t="n">
        <v>46010</v>
      </c>
      <c r="F76" s="15" t="n">
        <v>263</v>
      </c>
      <c r="G76" s="15" t="n">
        <v>197.8</v>
      </c>
      <c r="H76" s="34" t="n">
        <v>46297</v>
      </c>
      <c r="I76" s="31" t="n"/>
      <c r="J76" s="15" t="n">
        <v>0</v>
      </c>
      <c r="K76" s="15">
        <f>IF(AND(AH!$M$5="Snapshot",'IPO Live'!$M$5="Snapshot"),"",IFERROR(BDP(TEXT(VALUE($A76),"0")&amp;" HK Equity","PX_LAST"),""))</f>
        <v/>
      </c>
      <c r="L76" s="15">
        <f>IF(AND(AH!$M$5="Snapshot",'IPO Live'!$M$5="Snapshot"),"",IFERROR(BDP(TEXT(VALUE($A76),"0")&amp;" HK Equity","CHG_PCT_1D")/100,""))</f>
        <v/>
      </c>
      <c r="M76" s="15">
        <f>IF(AND(AH!$M$5="Snapshot",'IPO Live'!$M$5="Snapshot"),"",IFERROR(BDP(TEXT(VALUE($A76),"0")&amp;" HK Equity","LAST_UPDATE_DT"),""))</f>
        <v/>
      </c>
      <c r="N76" s="15">
        <f>IF(AND(AH!$M$5="Snapshot",'IPO Live'!$M$5="Snapshot"),"",IFERROR(BDP(TEXT(VALUE($A76),"0")&amp;" HK Equity","LAST_UPDATE"),""))</f>
        <v/>
      </c>
      <c r="O76" s="15">
        <f>IF('IPO Live'!$M$5="Snapshot",IF(ISNUMBER(G76),G76,"unavailable"),IF(AND(ISNUMBER(K76),N(K76)&gt;0),K76,IF('IPO Live'!$M$5="Auto",IF(ISNUMBER(G76),G76,"unavailable"),"unavailable")))</f>
        <v/>
      </c>
      <c r="P76" s="15">
        <f>IF(AND('IPO Live'!$M$5&lt;&gt;"Snapshot",ISNUMBER(K76),N(K76)&gt;0),"Bloomberg",IF(AND('IPO Live'!$M$5&lt;&gt;"Bloomberg",ISNUMBER(G76)),"Snapshot","Unavailable"))</f>
        <v/>
      </c>
      <c r="Q76" s="33">
        <f>IF(AND(P76="Bloomberg",ISNUMBER(L76)),L76,"unavailable")</f>
        <v/>
      </c>
      <c r="R76" s="15">
        <f>IF(OR('IPO Live'!$B$5="All",'IPO Live'!$B$5=C76,AND('IPO Live'!$B$5="A/H only",J76&gt;0)),1,0)</f>
        <v/>
      </c>
      <c r="S76" s="15">
        <f>IF(R76=1,COUNTIF($R$5:R76,1),"")</f>
        <v/>
      </c>
      <c r="T76">
        <f>IF(ISNUMBER($U76),IF($U76&gt;=DATEVALUE("2026-03-02"),10.0,1),"unavailable")</f>
        <v/>
      </c>
      <c r="U76">
        <f>IF($P76="Bloomberg",$M76,$H76)</f>
        <v/>
      </c>
      <c r="AW76">
        <f>IF(AND(J76&gt;0,OR(AH!$I$5="All",AH!$I$5="A/H only",AH!$I$5=C76)),1,0)</f>
        <v/>
      </c>
      <c r="AX76">
        <f>IF(AW76=1,COUNTIF($AW$5:AW76,1),"")</f>
        <v/>
      </c>
      <c r="AY76">
        <f>IF(AH!$M$5="Snapshot",IF(ISNUMBER(G76),G76,"unavailable"),IF(AND(ISNUMBER(K76),N(K76)&gt;0),K76,IF(AH!$M$5="Auto",IF(ISNUMBER(G76),G76,"unavailable"),"unavailable")))</f>
        <v/>
      </c>
      <c r="AZ76">
        <f>IF(AND(AH!$M$5&lt;&gt;"Snapshot",ISNUMBER(K76),N(K76)&gt;0),"Bloomberg",IF(AND(AH!$M$5&lt;&gt;"Bloomberg",ISNUMBER(G76)),"Snapshot","Unavailable"))</f>
        <v/>
      </c>
      <c r="BA76">
        <f>IF(AZ76="Bloomberg",M76,H76)</f>
        <v/>
      </c>
      <c r="BB76">
        <f>IF(ISNUMBER($BA76),IF($BA76&gt;=DATEVALUE("2026-03-02"),10.0,1),"unavailable")</f>
        <v/>
      </c>
    </row>
    <row r="77">
      <c r="A77" s="31" t="inlineStr">
        <is>
          <t>3887</t>
        </is>
      </c>
      <c r="B77" s="15" t="inlineStr">
        <is>
          <t>HASHKEY HLDGS</t>
        </is>
      </c>
      <c r="C77" s="15" t="inlineStr">
        <is>
          <t>Tech/AI</t>
        </is>
      </c>
      <c r="D77" s="15" t="inlineStr">
        <is>
          <t>Fintech platform</t>
        </is>
      </c>
      <c r="E77" s="34" t="n">
        <v>46008</v>
      </c>
      <c r="F77" s="15" t="n">
        <v>6.68</v>
      </c>
      <c r="G77" s="15" t="n">
        <v>2.225</v>
      </c>
      <c r="H77" s="34" t="n">
        <v>46297</v>
      </c>
      <c r="I77" s="31" t="n"/>
      <c r="J77" s="15" t="n">
        <v>0</v>
      </c>
      <c r="K77" s="15">
        <f>IF(AND(AH!$M$5="Snapshot",'IPO Live'!$M$5="Snapshot"),"",IFERROR(BDP(TEXT(VALUE($A77),"0")&amp;" HK Equity","PX_LAST"),""))</f>
        <v/>
      </c>
      <c r="L77" s="15">
        <f>IF(AND(AH!$M$5="Snapshot",'IPO Live'!$M$5="Snapshot"),"",IFERROR(BDP(TEXT(VALUE($A77),"0")&amp;" HK Equity","CHG_PCT_1D")/100,""))</f>
        <v/>
      </c>
      <c r="M77" s="15">
        <f>IF(AND(AH!$M$5="Snapshot",'IPO Live'!$M$5="Snapshot"),"",IFERROR(BDP(TEXT(VALUE($A77),"0")&amp;" HK Equity","LAST_UPDATE_DT"),""))</f>
        <v/>
      </c>
      <c r="N77" s="15">
        <f>IF(AND(AH!$M$5="Snapshot",'IPO Live'!$M$5="Snapshot"),"",IFERROR(BDP(TEXT(VALUE($A77),"0")&amp;" HK Equity","LAST_UPDATE"),""))</f>
        <v/>
      </c>
      <c r="O77" s="15">
        <f>IF('IPO Live'!$M$5="Snapshot",IF(ISNUMBER(G77),G77,"unavailable"),IF(AND(ISNUMBER(K77),N(K77)&gt;0),K77,IF('IPO Live'!$M$5="Auto",IF(ISNUMBER(G77),G77,"unavailable"),"unavailable")))</f>
        <v/>
      </c>
      <c r="P77" s="15">
        <f>IF(AND('IPO Live'!$M$5&lt;&gt;"Snapshot",ISNUMBER(K77),N(K77)&gt;0),"Bloomberg",IF(AND('IPO Live'!$M$5&lt;&gt;"Bloomberg",ISNUMBER(G77)),"Snapshot","Unavailable"))</f>
        <v/>
      </c>
      <c r="Q77" s="33">
        <f>IF(AND(P77="Bloomberg",ISNUMBER(L77)),L77,"unavailable")</f>
        <v/>
      </c>
      <c r="R77" s="15">
        <f>IF(OR('IPO Live'!$B$5="All",'IPO Live'!$B$5=C77,AND('IPO Live'!$B$5="A/H only",J77&gt;0)),1,0)</f>
        <v/>
      </c>
      <c r="S77" s="15">
        <f>IF(R77=1,COUNTIF($R$5:R77,1),"")</f>
        <v/>
      </c>
      <c r="T77">
        <f>1</f>
        <v/>
      </c>
      <c r="U77">
        <f>IF($P77="Bloomberg",$M77,$H77)</f>
        <v/>
      </c>
      <c r="AW77">
        <f>IF(AND(J77&gt;0,OR(AH!$I$5="All",AH!$I$5="A/H only",AH!$I$5=C77)),1,0)</f>
        <v/>
      </c>
      <c r="AX77">
        <f>IF(AW77=1,COUNTIF($AW$5:AW77,1),"")</f>
        <v/>
      </c>
      <c r="AY77">
        <f>IF(AH!$M$5="Snapshot",IF(ISNUMBER(G77),G77,"unavailable"),IF(AND(ISNUMBER(K77),N(K77)&gt;0),K77,IF(AH!$M$5="Auto",IF(ISNUMBER(G77),G77,"unavailable"),"unavailable")))</f>
        <v/>
      </c>
      <c r="AZ77">
        <f>IF(AND(AH!$M$5&lt;&gt;"Snapshot",ISNUMBER(K77),N(K77)&gt;0),"Bloomberg",IF(AND(AH!$M$5&lt;&gt;"Bloomberg",ISNUMBER(G77)),"Snapshot","Unavailable"))</f>
        <v/>
      </c>
      <c r="BA77">
        <f>IF(AZ77="Bloomberg",M77,H77)</f>
        <v/>
      </c>
      <c r="BB77">
        <f>1</f>
        <v/>
      </c>
    </row>
    <row r="78">
      <c r="A78" s="31" t="inlineStr">
        <is>
          <t>2655</t>
        </is>
      </c>
      <c r="B78" s="15" t="inlineStr">
        <is>
          <t>GUOXIA TECH</t>
        </is>
      </c>
      <c r="C78" s="15" t="inlineStr">
        <is>
          <t>Tech/AI</t>
        </is>
      </c>
      <c r="D78" s="15" t="inlineStr">
        <is>
          <t>SaaS / enterprise software</t>
        </is>
      </c>
      <c r="E78" s="34" t="n">
        <v>46007</v>
      </c>
      <c r="F78" s="15" t="n">
        <v>20.1</v>
      </c>
      <c r="G78" s="15" t="n">
        <v>14.43</v>
      </c>
      <c r="H78" s="34" t="n">
        <v>46297</v>
      </c>
      <c r="I78" s="31" t="n"/>
      <c r="J78" s="15" t="n">
        <v>0</v>
      </c>
      <c r="K78" s="15">
        <f>IF(AND(AH!$M$5="Snapshot",'IPO Live'!$M$5="Snapshot"),"",IFERROR(BDP(TEXT(VALUE($A78),"0")&amp;" HK Equity","PX_LAST"),""))</f>
        <v/>
      </c>
      <c r="L78" s="15">
        <f>IF(AND(AH!$M$5="Snapshot",'IPO Live'!$M$5="Snapshot"),"",IFERROR(BDP(TEXT(VALUE($A78),"0")&amp;" HK Equity","CHG_PCT_1D")/100,""))</f>
        <v/>
      </c>
      <c r="M78" s="15">
        <f>IF(AND(AH!$M$5="Snapshot",'IPO Live'!$M$5="Snapshot"),"",IFERROR(BDP(TEXT(VALUE($A78),"0")&amp;" HK Equity","LAST_UPDATE_DT"),""))</f>
        <v/>
      </c>
      <c r="N78" s="15">
        <f>IF(AND(AH!$M$5="Snapshot",'IPO Live'!$M$5="Snapshot"),"",IFERROR(BDP(TEXT(VALUE($A78),"0")&amp;" HK Equity","LAST_UPDATE"),""))</f>
        <v/>
      </c>
      <c r="O78" s="15">
        <f>IF('IPO Live'!$M$5="Snapshot",IF(ISNUMBER(G78),G78,"unavailable"),IF(AND(ISNUMBER(K78),N(K78)&gt;0),K78,IF('IPO Live'!$M$5="Auto",IF(ISNUMBER(G78),G78,"unavailable"),"unavailable")))</f>
        <v/>
      </c>
      <c r="P78" s="15">
        <f>IF(AND('IPO Live'!$M$5&lt;&gt;"Snapshot",ISNUMBER(K78),N(K78)&gt;0),"Bloomberg",IF(AND('IPO Live'!$M$5&lt;&gt;"Bloomberg",ISNUMBER(G78)),"Snapshot","Unavailable"))</f>
        <v/>
      </c>
      <c r="Q78" s="33">
        <f>IF(AND(P78="Bloomberg",ISNUMBER(L78)),L78,"unavailable")</f>
        <v/>
      </c>
      <c r="R78" s="15">
        <f>IF(OR('IPO Live'!$B$5="All",'IPO Live'!$B$5=C78,AND('IPO Live'!$B$5="A/H only",J78&gt;0)),1,0)</f>
        <v/>
      </c>
      <c r="S78" s="15">
        <f>IF(R78=1,COUNTIF($R$5:R78,1),"")</f>
        <v/>
      </c>
      <c r="T78">
        <f>1</f>
        <v/>
      </c>
      <c r="U78">
        <f>IF($P78="Bloomberg",$M78,$H78)</f>
        <v/>
      </c>
      <c r="AW78">
        <f>IF(AND(J78&gt;0,OR(AH!$I$5="All",AH!$I$5="A/H only",AH!$I$5=C78)),1,0)</f>
        <v/>
      </c>
      <c r="AX78">
        <f>IF(AW78=1,COUNTIF($AW$5:AW78,1),"")</f>
        <v/>
      </c>
      <c r="AY78">
        <f>IF(AH!$M$5="Snapshot",IF(ISNUMBER(G78),G78,"unavailable"),IF(AND(ISNUMBER(K78),N(K78)&gt;0),K78,IF(AH!$M$5="Auto",IF(ISNUMBER(G78),G78,"unavailable"),"unavailable")))</f>
        <v/>
      </c>
      <c r="AZ78">
        <f>IF(AND(AH!$M$5&lt;&gt;"Snapshot",ISNUMBER(K78),N(K78)&gt;0),"Bloomberg",IF(AND(AH!$M$5&lt;&gt;"Bloomberg",ISNUMBER(G78)),"Snapshot","Unavailable"))</f>
        <v/>
      </c>
      <c r="BA78">
        <f>IF(AZ78="Bloomberg",M78,H78)</f>
        <v/>
      </c>
      <c r="BB78">
        <f>1</f>
        <v/>
      </c>
    </row>
    <row r="79">
      <c r="A79" s="31" t="inlineStr">
        <is>
          <t>7618</t>
        </is>
      </c>
      <c r="B79" s="15" t="inlineStr">
        <is>
          <t>JD INDUSTRIALS</t>
        </is>
      </c>
      <c r="C79" s="15" t="inlineStr">
        <is>
          <t>Tech/AI</t>
        </is>
      </c>
      <c r="D79" s="15" t="inlineStr">
        <is>
          <t>Internet platform / e-commerce</t>
        </is>
      </c>
      <c r="E79" s="34" t="n">
        <v>46002</v>
      </c>
      <c r="F79" s="15" t="n">
        <v>14.1</v>
      </c>
      <c r="G79" s="15" t="n">
        <v>12.63</v>
      </c>
      <c r="H79" s="34" t="n">
        <v>46297</v>
      </c>
      <c r="I79" s="31" t="n"/>
      <c r="J79" s="15" t="n">
        <v>0</v>
      </c>
      <c r="K79" s="15">
        <f>IF(AND(AH!$M$5="Snapshot",'IPO Live'!$M$5="Snapshot"),"",IFERROR(BDP(TEXT(VALUE($A79),"0")&amp;" HK Equity","PX_LAST"),""))</f>
        <v/>
      </c>
      <c r="L79" s="15">
        <f>IF(AND(AH!$M$5="Snapshot",'IPO Live'!$M$5="Snapshot"),"",IFERROR(BDP(TEXT(VALUE($A79),"0")&amp;" HK Equity","CHG_PCT_1D")/100,""))</f>
        <v/>
      </c>
      <c r="M79" s="15">
        <f>IF(AND(AH!$M$5="Snapshot",'IPO Live'!$M$5="Snapshot"),"",IFERROR(BDP(TEXT(VALUE($A79),"0")&amp;" HK Equity","LAST_UPDATE_DT"),""))</f>
        <v/>
      </c>
      <c r="N79" s="15">
        <f>IF(AND(AH!$M$5="Snapshot",'IPO Live'!$M$5="Snapshot"),"",IFERROR(BDP(TEXT(VALUE($A79),"0")&amp;" HK Equity","LAST_UPDATE"),""))</f>
        <v/>
      </c>
      <c r="O79" s="15">
        <f>IF('IPO Live'!$M$5="Snapshot",IF(ISNUMBER(G79),G79,"unavailable"),IF(AND(ISNUMBER(K79),N(K79)&gt;0),K79,IF('IPO Live'!$M$5="Auto",IF(ISNUMBER(G79),G79,"unavailable"),"unavailable")))</f>
        <v/>
      </c>
      <c r="P79" s="15">
        <f>IF(AND('IPO Live'!$M$5&lt;&gt;"Snapshot",ISNUMBER(K79),N(K79)&gt;0),"Bloomberg",IF(AND('IPO Live'!$M$5&lt;&gt;"Bloomberg",ISNUMBER(G79)),"Snapshot","Unavailable"))</f>
        <v/>
      </c>
      <c r="Q79" s="33">
        <f>IF(AND(P79="Bloomberg",ISNUMBER(L79)),L79,"unavailable")</f>
        <v/>
      </c>
      <c r="R79" s="15">
        <f>IF(OR('IPO Live'!$B$5="All",'IPO Live'!$B$5=C79,AND('IPO Live'!$B$5="A/H only",J79&gt;0)),1,0)</f>
        <v/>
      </c>
      <c r="S79" s="15">
        <f>IF(R79=1,COUNTIF($R$5:R79,1),"")</f>
        <v/>
      </c>
      <c r="T79">
        <f>1</f>
        <v/>
      </c>
      <c r="U79">
        <f>IF($P79="Bloomberg",$M79,$H79)</f>
        <v/>
      </c>
      <c r="AW79">
        <f>IF(AND(J79&gt;0,OR(AH!$I$5="All",AH!$I$5="A/H only",AH!$I$5=C79)),1,0)</f>
        <v/>
      </c>
      <c r="AX79">
        <f>IF(AW79=1,COUNTIF($AW$5:AW79,1),"")</f>
        <v/>
      </c>
      <c r="AY79">
        <f>IF(AH!$M$5="Snapshot",IF(ISNUMBER(G79),G79,"unavailable"),IF(AND(ISNUMBER(K79),N(K79)&gt;0),K79,IF(AH!$M$5="Auto",IF(ISNUMBER(G79),G79,"unavailable"),"unavailable")))</f>
        <v/>
      </c>
      <c r="AZ79">
        <f>IF(AND(AH!$M$5&lt;&gt;"Snapshot",ISNUMBER(K79),N(K79)&gt;0),"Bloomberg",IF(AND(AH!$M$5&lt;&gt;"Bloomberg",ISNUMBER(G79)),"Snapshot","Unavailable"))</f>
        <v/>
      </c>
      <c r="BA79">
        <f>IF(AZ79="Bloomberg",M79,H79)</f>
        <v/>
      </c>
      <c r="BB79">
        <f>1</f>
        <v/>
      </c>
    </row>
    <row r="80">
      <c r="A80" s="31" t="inlineStr">
        <is>
          <t>2676</t>
        </is>
      </c>
      <c r="B80" s="15" t="inlineStr">
        <is>
          <t>NOVOSENSE</t>
        </is>
      </c>
      <c r="C80" s="15" t="inlineStr">
        <is>
          <t>Tech/AI</t>
        </is>
      </c>
      <c r="D80" s="15" t="inlineStr">
        <is>
          <t>Analog / power semiconductors</t>
        </is>
      </c>
      <c r="E80" s="34" t="n">
        <v>45999</v>
      </c>
      <c r="F80" s="15" t="n">
        <v>116</v>
      </c>
      <c r="G80" s="15" t="n">
        <v>170</v>
      </c>
      <c r="H80" s="34" t="n">
        <v>46297</v>
      </c>
      <c r="I80" s="31" t="inlineStr">
        <is>
          <t>688052.SS</t>
        </is>
      </c>
      <c r="J80" s="15" t="n">
        <v>32</v>
      </c>
      <c r="K80" s="15">
        <f>IF(AND(AH!$M$5="Snapshot",'IPO Live'!$M$5="Snapshot"),"",IFERROR(BDP(TEXT(VALUE($A80),"0")&amp;" HK Equity","PX_LAST"),""))</f>
        <v/>
      </c>
      <c r="L80" s="15">
        <f>IF(AND(AH!$M$5="Snapshot",'IPO Live'!$M$5="Snapshot"),"",IFERROR(BDP(TEXT(VALUE($A80),"0")&amp;" HK Equity","CHG_PCT_1D")/100,""))</f>
        <v/>
      </c>
      <c r="M80" s="15">
        <f>IF(AND(AH!$M$5="Snapshot",'IPO Live'!$M$5="Snapshot"),"",IFERROR(BDP(TEXT(VALUE($A80),"0")&amp;" HK Equity","LAST_UPDATE_DT"),""))</f>
        <v/>
      </c>
      <c r="N80" s="15">
        <f>IF(AND(AH!$M$5="Snapshot",'IPO Live'!$M$5="Snapshot"),"",IFERROR(BDP(TEXT(VALUE($A80),"0")&amp;" HK Equity","LAST_UPDATE"),""))</f>
        <v/>
      </c>
      <c r="O80" s="15">
        <f>IF('IPO Live'!$M$5="Snapshot",IF(ISNUMBER(G80),G80,"unavailable"),IF(AND(ISNUMBER(K80),N(K80)&gt;0),K80,IF('IPO Live'!$M$5="Auto",IF(ISNUMBER(G80),G80,"unavailable"),"unavailable")))</f>
        <v/>
      </c>
      <c r="P80" s="15">
        <f>IF(AND('IPO Live'!$M$5&lt;&gt;"Snapshot",ISNUMBER(K80),N(K80)&gt;0),"Bloomberg",IF(AND('IPO Live'!$M$5&lt;&gt;"Bloomberg",ISNUMBER(G80)),"Snapshot","Unavailable"))</f>
        <v/>
      </c>
      <c r="Q80" s="33">
        <f>IF(AND(P80="Bloomberg",ISNUMBER(L80)),L80,"unavailable")</f>
        <v/>
      </c>
      <c r="R80" s="15">
        <f>IF(OR('IPO Live'!$B$5="All",'IPO Live'!$B$5=C80,AND('IPO Live'!$B$5="A/H only",J80&gt;0)),1,0)</f>
        <v/>
      </c>
      <c r="S80" s="15">
        <f>IF(R80=1,COUNTIF($R$5:R80,1),"")</f>
        <v/>
      </c>
      <c r="T80">
        <f>1</f>
        <v/>
      </c>
      <c r="U80">
        <f>IF($P80="Bloomberg",$M80,$H80)</f>
        <v/>
      </c>
      <c r="AW80">
        <f>IF(AND(J80&gt;0,OR(AH!$I$5="All",AH!$I$5="A/H only",AH!$I$5=C80)),1,0)</f>
        <v/>
      </c>
      <c r="AX80">
        <f>IF(AW80=1,COUNTIF($AW$5:AW80,1),"")</f>
        <v/>
      </c>
      <c r="AY80">
        <f>IF(AH!$M$5="Snapshot",IF(ISNUMBER(G80),G80,"unavailable"),IF(AND(ISNUMBER(K80),N(K80)&gt;0),K80,IF(AH!$M$5="Auto",IF(ISNUMBER(G80),G80,"unavailable"),"unavailable")))</f>
        <v/>
      </c>
      <c r="AZ80">
        <f>IF(AND(AH!$M$5&lt;&gt;"Snapshot",ISNUMBER(K80),N(K80)&gt;0),"Bloomberg",IF(AND(AH!$M$5&lt;&gt;"Bloomberg",ISNUMBER(G80)),"Snapshot","Unavailable"))</f>
        <v/>
      </c>
      <c r="BA80">
        <f>IF(AZ80="Bloomberg",M80,H80)</f>
        <v/>
      </c>
      <c r="BB80">
        <f>1</f>
        <v/>
      </c>
    </row>
    <row r="81">
      <c r="A81" s="31" t="inlineStr">
        <is>
          <t>2687</t>
        </is>
      </c>
      <c r="B81" s="15" t="inlineStr">
        <is>
          <t>ABLE DIGITAL</t>
        </is>
      </c>
      <c r="C81" s="15" t="inlineStr">
        <is>
          <t>Tech/AI</t>
        </is>
      </c>
      <c r="D81" s="15" t="inlineStr">
        <is>
          <t>SaaS / enterprise software</t>
        </is>
      </c>
      <c r="E81" s="34" t="n">
        <v>45999</v>
      </c>
      <c r="F81" s="15" t="n">
        <v>67.5</v>
      </c>
      <c r="G81" s="15" t="n">
        <v>263.2</v>
      </c>
      <c r="H81" s="34" t="n">
        <v>46297</v>
      </c>
      <c r="I81" s="31" t="n"/>
      <c r="J81" s="15" t="n">
        <v>0</v>
      </c>
      <c r="K81" s="15">
        <f>IF(AND(AH!$M$5="Snapshot",'IPO Live'!$M$5="Snapshot"),"",IFERROR(BDP(TEXT(VALUE($A81),"0")&amp;" HK Equity","PX_LAST"),""))</f>
        <v/>
      </c>
      <c r="L81" s="15">
        <f>IF(AND(AH!$M$5="Snapshot",'IPO Live'!$M$5="Snapshot"),"",IFERROR(BDP(TEXT(VALUE($A81),"0")&amp;" HK Equity","CHG_PCT_1D")/100,""))</f>
        <v/>
      </c>
      <c r="M81" s="15">
        <f>IF(AND(AH!$M$5="Snapshot",'IPO Live'!$M$5="Snapshot"),"",IFERROR(BDP(TEXT(VALUE($A81),"0")&amp;" HK Equity","LAST_UPDATE_DT"),""))</f>
        <v/>
      </c>
      <c r="N81" s="15">
        <f>IF(AND(AH!$M$5="Snapshot",'IPO Live'!$M$5="Snapshot"),"",IFERROR(BDP(TEXT(VALUE($A81),"0")&amp;" HK Equity","LAST_UPDATE"),""))</f>
        <v/>
      </c>
      <c r="O81" s="15">
        <f>IF('IPO Live'!$M$5="Snapshot",IF(ISNUMBER(G81),G81,"unavailable"),IF(AND(ISNUMBER(K81),N(K81)&gt;0),K81,IF('IPO Live'!$M$5="Auto",IF(ISNUMBER(G81),G81,"unavailable"),"unavailable")))</f>
        <v/>
      </c>
      <c r="P81" s="15">
        <f>IF(AND('IPO Live'!$M$5&lt;&gt;"Snapshot",ISNUMBER(K81),N(K81)&gt;0),"Bloomberg",IF(AND('IPO Live'!$M$5&lt;&gt;"Bloomberg",ISNUMBER(G81)),"Snapshot","Unavailable"))</f>
        <v/>
      </c>
      <c r="Q81" s="33">
        <f>IF(AND(P81="Bloomberg",ISNUMBER(L81)),L81,"unavailable")</f>
        <v/>
      </c>
      <c r="R81" s="15">
        <f>IF(OR('IPO Live'!$B$5="All",'IPO Live'!$B$5=C81,AND('IPO Live'!$B$5="A/H only",J81&gt;0)),1,0)</f>
        <v/>
      </c>
      <c r="S81" s="15">
        <f>IF(R81=1,COUNTIF($R$5:R81,1),"")</f>
        <v/>
      </c>
      <c r="T81">
        <f>1</f>
        <v/>
      </c>
      <c r="U81">
        <f>IF($P81="Bloomberg",$M81,$H81)</f>
        <v/>
      </c>
      <c r="AW81">
        <f>IF(AND(J81&gt;0,OR(AH!$I$5="All",AH!$I$5="A/H only",AH!$I$5=C81)),1,0)</f>
        <v/>
      </c>
      <c r="AX81">
        <f>IF(AW81=1,COUNTIF($AW$5:AW81,1),"")</f>
        <v/>
      </c>
      <c r="AY81">
        <f>IF(AH!$M$5="Snapshot",IF(ISNUMBER(G81),G81,"unavailable"),IF(AND(ISNUMBER(K81),N(K81)&gt;0),K81,IF(AH!$M$5="Auto",IF(ISNUMBER(G81),G81,"unavailable"),"unavailable")))</f>
        <v/>
      </c>
      <c r="AZ81">
        <f>IF(AND(AH!$M$5&lt;&gt;"Snapshot",ISNUMBER(K81),N(K81)&gt;0),"Bloomberg",IF(AND(AH!$M$5&lt;&gt;"Bloomberg",ISNUMBER(G81)),"Snapshot","Unavailable"))</f>
        <v/>
      </c>
      <c r="BA81">
        <f>IF(AZ81="Bloomberg",M81,H81)</f>
        <v/>
      </c>
      <c r="BB81">
        <f>1</f>
        <v/>
      </c>
    </row>
    <row r="82">
      <c r="A82" s="31" t="inlineStr">
        <is>
          <t>2658</t>
        </is>
      </c>
      <c r="B82" s="15" t="inlineStr">
        <is>
          <t>TIANYU SEMI</t>
        </is>
      </c>
      <c r="C82" s="15" t="inlineStr">
        <is>
          <t>Tech/AI</t>
        </is>
      </c>
      <c r="D82" s="15" t="inlineStr">
        <is>
          <t>Semiconductor equipment / materials</t>
        </is>
      </c>
      <c r="E82" s="34" t="n">
        <v>45996</v>
      </c>
      <c r="F82" s="15" t="n">
        <v>58</v>
      </c>
      <c r="G82" s="15" t="n">
        <v>49.5</v>
      </c>
      <c r="H82" s="34" t="n">
        <v>46297</v>
      </c>
      <c r="I82" s="31" t="n"/>
      <c r="J82" s="15" t="n">
        <v>0</v>
      </c>
      <c r="K82" s="15">
        <f>IF(AND(AH!$M$5="Snapshot",'IPO Live'!$M$5="Snapshot"),"",IFERROR(BDP(TEXT(VALUE($A82),"0")&amp;" HK Equity","PX_LAST"),""))</f>
        <v/>
      </c>
      <c r="L82" s="15">
        <f>IF(AND(AH!$M$5="Snapshot",'IPO Live'!$M$5="Snapshot"),"",IFERROR(BDP(TEXT(VALUE($A82),"0")&amp;" HK Equity","CHG_PCT_1D")/100,""))</f>
        <v/>
      </c>
      <c r="M82" s="15">
        <f>IF(AND(AH!$M$5="Snapshot",'IPO Live'!$M$5="Snapshot"),"",IFERROR(BDP(TEXT(VALUE($A82),"0")&amp;" HK Equity","LAST_UPDATE_DT"),""))</f>
        <v/>
      </c>
      <c r="N82" s="15">
        <f>IF(AND(AH!$M$5="Snapshot",'IPO Live'!$M$5="Snapshot"),"",IFERROR(BDP(TEXT(VALUE($A82),"0")&amp;" HK Equity","LAST_UPDATE"),""))</f>
        <v/>
      </c>
      <c r="O82" s="15">
        <f>IF('IPO Live'!$M$5="Snapshot",IF(ISNUMBER(G82),G82,"unavailable"),IF(AND(ISNUMBER(K82),N(K82)&gt;0),K82,IF('IPO Live'!$M$5="Auto",IF(ISNUMBER(G82),G82,"unavailable"),"unavailable")))</f>
        <v/>
      </c>
      <c r="P82" s="15">
        <f>IF(AND('IPO Live'!$M$5&lt;&gt;"Snapshot",ISNUMBER(K82),N(K82)&gt;0),"Bloomberg",IF(AND('IPO Live'!$M$5&lt;&gt;"Bloomberg",ISNUMBER(G82)),"Snapshot","Unavailable"))</f>
        <v/>
      </c>
      <c r="Q82" s="33">
        <f>IF(AND(P82="Bloomberg",ISNUMBER(L82)),L82,"unavailable")</f>
        <v/>
      </c>
      <c r="R82" s="15">
        <f>IF(OR('IPO Live'!$B$5="All",'IPO Live'!$B$5=C82,AND('IPO Live'!$B$5="A/H only",J82&gt;0)),1,0)</f>
        <v/>
      </c>
      <c r="S82" s="15">
        <f>IF(R82=1,COUNTIF($R$5:R82,1),"")</f>
        <v/>
      </c>
      <c r="T82">
        <f>1</f>
        <v/>
      </c>
      <c r="U82">
        <f>IF($P82="Bloomberg",$M82,$H82)</f>
        <v/>
      </c>
      <c r="AW82">
        <f>IF(AND(J82&gt;0,OR(AH!$I$5="All",AH!$I$5="A/H only",AH!$I$5=C82)),1,0)</f>
        <v/>
      </c>
      <c r="AX82">
        <f>IF(AW82=1,COUNTIF($AW$5:AW82,1),"")</f>
        <v/>
      </c>
      <c r="AY82">
        <f>IF(AH!$M$5="Snapshot",IF(ISNUMBER(G82),G82,"unavailable"),IF(AND(ISNUMBER(K82),N(K82)&gt;0),K82,IF(AH!$M$5="Auto",IF(ISNUMBER(G82),G82,"unavailable"),"unavailable")))</f>
        <v/>
      </c>
      <c r="AZ82">
        <f>IF(AND(AH!$M$5&lt;&gt;"Snapshot",ISNUMBER(K82),N(K82)&gt;0),"Bloomberg",IF(AND(AH!$M$5&lt;&gt;"Bloomberg",ISNUMBER(G82)),"Snapshot","Unavailable"))</f>
        <v/>
      </c>
      <c r="BA82">
        <f>IF(AZ82="Bloomberg",M82,H82)</f>
        <v/>
      </c>
      <c r="BB82">
        <f>1</f>
        <v/>
      </c>
    </row>
    <row r="83">
      <c r="A83" s="31" t="inlineStr">
        <is>
          <t>2685</t>
        </is>
      </c>
      <c r="B83" s="15" t="inlineStr">
        <is>
          <t>QUANTGROUP</t>
        </is>
      </c>
      <c r="C83" s="15" t="inlineStr">
        <is>
          <t>Tech/AI</t>
        </is>
      </c>
      <c r="D83" s="15" t="inlineStr">
        <is>
          <t>Internet platform / e-commerce</t>
        </is>
      </c>
      <c r="E83" s="34" t="n">
        <v>45988</v>
      </c>
      <c r="F83" s="15" t="n">
        <v>9.800000000000001</v>
      </c>
      <c r="G83" s="15" t="n">
        <v>3.8</v>
      </c>
      <c r="H83" s="34" t="n">
        <v>46297</v>
      </c>
      <c r="I83" s="31" t="n"/>
      <c r="J83" s="15" t="n">
        <v>0</v>
      </c>
      <c r="K83" s="15">
        <f>IF(AND(AH!$M$5="Snapshot",'IPO Live'!$M$5="Snapshot"),"",IFERROR(BDP(TEXT(VALUE($A83),"0")&amp;" HK Equity","PX_LAST"),""))</f>
        <v/>
      </c>
      <c r="L83" s="15">
        <f>IF(AND(AH!$M$5="Snapshot",'IPO Live'!$M$5="Snapshot"),"",IFERROR(BDP(TEXT(VALUE($A83),"0")&amp;" HK Equity","CHG_PCT_1D")/100,""))</f>
        <v/>
      </c>
      <c r="M83" s="15">
        <f>IF(AND(AH!$M$5="Snapshot",'IPO Live'!$M$5="Snapshot"),"",IFERROR(BDP(TEXT(VALUE($A83),"0")&amp;" HK Equity","LAST_UPDATE_DT"),""))</f>
        <v/>
      </c>
      <c r="N83" s="15">
        <f>IF(AND(AH!$M$5="Snapshot",'IPO Live'!$M$5="Snapshot"),"",IFERROR(BDP(TEXT(VALUE($A83),"0")&amp;" HK Equity","LAST_UPDATE"),""))</f>
        <v/>
      </c>
      <c r="O83" s="15">
        <f>IF('IPO Live'!$M$5="Snapshot",IF(ISNUMBER(G83),G83,"unavailable"),IF(AND(ISNUMBER(K83),N(K83)&gt;0),K83,IF('IPO Live'!$M$5="Auto",IF(ISNUMBER(G83),G83,"unavailable"),"unavailable")))</f>
        <v/>
      </c>
      <c r="P83" s="15">
        <f>IF(AND('IPO Live'!$M$5&lt;&gt;"Snapshot",ISNUMBER(K83),N(K83)&gt;0),"Bloomberg",IF(AND('IPO Live'!$M$5&lt;&gt;"Bloomberg",ISNUMBER(G83)),"Snapshot","Unavailable"))</f>
        <v/>
      </c>
      <c r="Q83" s="33">
        <f>IF(AND(P83="Bloomberg",ISNUMBER(L83)),L83,"unavailable")</f>
        <v/>
      </c>
      <c r="R83" s="15">
        <f>IF(OR('IPO Live'!$B$5="All",'IPO Live'!$B$5=C83,AND('IPO Live'!$B$5="A/H only",J83&gt;0)),1,0)</f>
        <v/>
      </c>
      <c r="S83" s="15">
        <f>IF(R83=1,COUNTIF($R$5:R83,1),"")</f>
        <v/>
      </c>
      <c r="T83">
        <f>1</f>
        <v/>
      </c>
      <c r="U83">
        <f>IF($P83="Bloomberg",$M83,$H83)</f>
        <v/>
      </c>
      <c r="AW83">
        <f>IF(AND(J83&gt;0,OR(AH!$I$5="All",AH!$I$5="A/H only",AH!$I$5=C83)),1,0)</f>
        <v/>
      </c>
      <c r="AX83">
        <f>IF(AW83=1,COUNTIF($AW$5:AW83,1),"")</f>
        <v/>
      </c>
      <c r="AY83">
        <f>IF(AH!$M$5="Snapshot",IF(ISNUMBER(G83),G83,"unavailable"),IF(AND(ISNUMBER(K83),N(K83)&gt;0),K83,IF(AH!$M$5="Auto",IF(ISNUMBER(G83),G83,"unavailable"),"unavailable")))</f>
        <v/>
      </c>
      <c r="AZ83">
        <f>IF(AND(AH!$M$5&lt;&gt;"Snapshot",ISNUMBER(K83),N(K83)&gt;0),"Bloomberg",IF(AND(AH!$M$5&lt;&gt;"Bloomberg",ISNUMBER(G83)),"Snapshot","Unavailable"))</f>
        <v/>
      </c>
      <c r="BA83">
        <f>IF(AZ83="Bloomberg",M83,H83)</f>
        <v/>
      </c>
      <c r="BB83">
        <f>1</f>
        <v/>
      </c>
    </row>
    <row r="84">
      <c r="A84" s="31" t="inlineStr">
        <is>
          <t>2026</t>
        </is>
      </c>
      <c r="B84" s="15" t="inlineStr">
        <is>
          <t>PONY-W</t>
        </is>
      </c>
      <c r="C84" s="15" t="inlineStr">
        <is>
          <t>Tech/AI</t>
        </is>
      </c>
      <c r="D84" s="15" t="inlineStr">
        <is>
          <t>Robotics &amp; autonomous driving</t>
        </is>
      </c>
      <c r="E84" s="34" t="n">
        <v>45967</v>
      </c>
      <c r="F84" s="15" t="n">
        <v>139</v>
      </c>
      <c r="G84" s="15" t="n">
        <v>46.92</v>
      </c>
      <c r="H84" s="34" t="n">
        <v>46297</v>
      </c>
      <c r="I84" s="31" t="n"/>
      <c r="J84" s="15" t="n">
        <v>0</v>
      </c>
      <c r="K84" s="15">
        <f>IF(AND(AH!$M$5="Snapshot",'IPO Live'!$M$5="Snapshot"),"",IFERROR(BDP(TEXT(VALUE($A84),"0")&amp;" HK Equity","PX_LAST"),""))</f>
        <v/>
      </c>
      <c r="L84" s="15">
        <f>IF(AND(AH!$M$5="Snapshot",'IPO Live'!$M$5="Snapshot"),"",IFERROR(BDP(TEXT(VALUE($A84),"0")&amp;" HK Equity","CHG_PCT_1D")/100,""))</f>
        <v/>
      </c>
      <c r="M84" s="15">
        <f>IF(AND(AH!$M$5="Snapshot",'IPO Live'!$M$5="Snapshot"),"",IFERROR(BDP(TEXT(VALUE($A84),"0")&amp;" HK Equity","LAST_UPDATE_DT"),""))</f>
        <v/>
      </c>
      <c r="N84" s="15">
        <f>IF(AND(AH!$M$5="Snapshot",'IPO Live'!$M$5="Snapshot"),"",IFERROR(BDP(TEXT(VALUE($A84),"0")&amp;" HK Equity","LAST_UPDATE"),""))</f>
        <v/>
      </c>
      <c r="O84" s="15">
        <f>IF('IPO Live'!$M$5="Snapshot",IF(ISNUMBER(G84),G84,"unavailable"),IF(AND(ISNUMBER(K84),N(K84)&gt;0),K84,IF('IPO Live'!$M$5="Auto",IF(ISNUMBER(G84),G84,"unavailable"),"unavailable")))</f>
        <v/>
      </c>
      <c r="P84" s="15">
        <f>IF(AND('IPO Live'!$M$5&lt;&gt;"Snapshot",ISNUMBER(K84),N(K84)&gt;0),"Bloomberg",IF(AND('IPO Live'!$M$5&lt;&gt;"Bloomberg",ISNUMBER(G84)),"Snapshot","Unavailable"))</f>
        <v/>
      </c>
      <c r="Q84" s="33">
        <f>IF(AND(P84="Bloomberg",ISNUMBER(L84)),L84,"unavailable")</f>
        <v/>
      </c>
      <c r="R84" s="15">
        <f>IF(OR('IPO Live'!$B$5="All",'IPO Live'!$B$5=C84,AND('IPO Live'!$B$5="A/H only",J84&gt;0)),1,0)</f>
        <v/>
      </c>
      <c r="S84" s="15">
        <f>IF(R84=1,COUNTIF($R$5:R84,1),"")</f>
        <v/>
      </c>
      <c r="T84">
        <f>1</f>
        <v/>
      </c>
      <c r="U84">
        <f>IF($P84="Bloomberg",$M84,$H84)</f>
        <v/>
      </c>
      <c r="AW84">
        <f>IF(AND(J84&gt;0,OR(AH!$I$5="All",AH!$I$5="A/H only",AH!$I$5=C84)),1,0)</f>
        <v/>
      </c>
      <c r="AX84">
        <f>IF(AW84=1,COUNTIF($AW$5:AW84,1),"")</f>
        <v/>
      </c>
      <c r="AY84">
        <f>IF(AH!$M$5="Snapshot",IF(ISNUMBER(G84),G84,"unavailable"),IF(AND(ISNUMBER(K84),N(K84)&gt;0),K84,IF(AH!$M$5="Auto",IF(ISNUMBER(G84),G84,"unavailable"),"unavailable")))</f>
        <v/>
      </c>
      <c r="AZ84">
        <f>IF(AND(AH!$M$5&lt;&gt;"Snapshot",ISNUMBER(K84),N(K84)&gt;0),"Bloomberg",IF(AND(AH!$M$5&lt;&gt;"Bloomberg",ISNUMBER(G84)),"Snapshot","Unavailable"))</f>
        <v/>
      </c>
      <c r="BA84">
        <f>IF(AZ84="Bloomberg",M84,H84)</f>
        <v/>
      </c>
      <c r="BB84">
        <f>1</f>
        <v/>
      </c>
    </row>
    <row r="85">
      <c r="A85" s="31" t="inlineStr">
        <is>
          <t>2718</t>
        </is>
      </c>
      <c r="B85" s="15" t="inlineStr">
        <is>
          <t>MININGLAMP-W</t>
        </is>
      </c>
      <c r="C85" s="15" t="inlineStr">
        <is>
          <t>Tech/AI</t>
        </is>
      </c>
      <c r="D85" s="15" t="inlineStr">
        <is>
          <t>AI application / agent software</t>
        </is>
      </c>
      <c r="E85" s="34" t="n">
        <v>45964</v>
      </c>
      <c r="F85" s="15" t="n">
        <v>141</v>
      </c>
      <c r="G85" s="15" t="n">
        <v>35</v>
      </c>
      <c r="H85" s="34" t="n">
        <v>46297</v>
      </c>
      <c r="I85" s="31" t="n"/>
      <c r="J85" s="15" t="n">
        <v>0</v>
      </c>
      <c r="K85" s="15">
        <f>IF(AND(AH!$M$5="Snapshot",'IPO Live'!$M$5="Snapshot"),"",IFERROR(BDP(TEXT(VALUE($A85),"0")&amp;" HK Equity","PX_LAST"),""))</f>
        <v/>
      </c>
      <c r="L85" s="15">
        <f>IF(AND(AH!$M$5="Snapshot",'IPO Live'!$M$5="Snapshot"),"",IFERROR(BDP(TEXT(VALUE($A85),"0")&amp;" HK Equity","CHG_PCT_1D")/100,""))</f>
        <v/>
      </c>
      <c r="M85" s="15">
        <f>IF(AND(AH!$M$5="Snapshot",'IPO Live'!$M$5="Snapshot"),"",IFERROR(BDP(TEXT(VALUE($A85),"0")&amp;" HK Equity","LAST_UPDATE_DT"),""))</f>
        <v/>
      </c>
      <c r="N85" s="15">
        <f>IF(AND(AH!$M$5="Snapshot",'IPO Live'!$M$5="Snapshot"),"",IFERROR(BDP(TEXT(VALUE($A85),"0")&amp;" HK Equity","LAST_UPDATE"),""))</f>
        <v/>
      </c>
      <c r="O85" s="15">
        <f>IF('IPO Live'!$M$5="Snapshot",IF(ISNUMBER(G85),G85,"unavailable"),IF(AND(ISNUMBER(K85),N(K85)&gt;0),K85,IF('IPO Live'!$M$5="Auto",IF(ISNUMBER(G85),G85,"unavailable"),"unavailable")))</f>
        <v/>
      </c>
      <c r="P85" s="15">
        <f>IF(AND('IPO Live'!$M$5&lt;&gt;"Snapshot",ISNUMBER(K85),N(K85)&gt;0),"Bloomberg",IF(AND('IPO Live'!$M$5&lt;&gt;"Bloomberg",ISNUMBER(G85)),"Snapshot","Unavailable"))</f>
        <v/>
      </c>
      <c r="Q85" s="33">
        <f>IF(AND(P85="Bloomberg",ISNUMBER(L85)),L85,"unavailable")</f>
        <v/>
      </c>
      <c r="R85" s="15">
        <f>IF(OR('IPO Live'!$B$5="All",'IPO Live'!$B$5=C85,AND('IPO Live'!$B$5="A/H only",J85&gt;0)),1,0)</f>
        <v/>
      </c>
      <c r="S85" s="15">
        <f>IF(R85=1,COUNTIF($R$5:R85,1),"")</f>
        <v/>
      </c>
      <c r="T85">
        <f>1</f>
        <v/>
      </c>
      <c r="U85">
        <f>IF($P85="Bloomberg",$M85,$H85)</f>
        <v/>
      </c>
      <c r="AW85">
        <f>IF(AND(J85&gt;0,OR(AH!$I$5="All",AH!$I$5="A/H only",AH!$I$5=C85)),1,0)</f>
        <v/>
      </c>
      <c r="AX85">
        <f>IF(AW85=1,COUNTIF($AW$5:AW85,1),"")</f>
        <v/>
      </c>
      <c r="AY85">
        <f>IF(AH!$M$5="Snapshot",IF(ISNUMBER(G85),G85,"unavailable"),IF(AND(ISNUMBER(K85),N(K85)&gt;0),K85,IF(AH!$M$5="Auto",IF(ISNUMBER(G85),G85,"unavailable"),"unavailable")))</f>
        <v/>
      </c>
      <c r="AZ85">
        <f>IF(AND(AH!$M$5&lt;&gt;"Snapshot",ISNUMBER(K85),N(K85)&gt;0),"Bloomberg",IF(AND(AH!$M$5&lt;&gt;"Bloomberg",ISNUMBER(G85)),"Snapshot","Unavailable"))</f>
        <v/>
      </c>
      <c r="BA85">
        <f>IF(AZ85="Bloomberg",M85,H85)</f>
        <v/>
      </c>
      <c r="BB85">
        <f>1</f>
        <v/>
      </c>
    </row>
    <row r="86">
      <c r="A86" s="31" t="inlineStr">
        <is>
          <t>1384</t>
        </is>
      </c>
      <c r="B86" s="15" t="inlineStr">
        <is>
          <t>DEEPEXI TECH</t>
        </is>
      </c>
      <c r="C86" s="15" t="inlineStr">
        <is>
          <t>Tech/AI</t>
        </is>
      </c>
      <c r="D86" s="15" t="inlineStr">
        <is>
          <t>AI application / agent software</t>
        </is>
      </c>
      <c r="E86" s="34" t="n">
        <v>45958</v>
      </c>
      <c r="F86" s="15" t="n">
        <v>26.66</v>
      </c>
      <c r="G86" s="15" t="n">
        <v>22.32</v>
      </c>
      <c r="H86" s="34" t="n">
        <v>46297</v>
      </c>
      <c r="I86" s="31" t="n"/>
      <c r="J86" s="15" t="n">
        <v>0</v>
      </c>
      <c r="K86" s="15">
        <f>IF(AND(AH!$M$5="Snapshot",'IPO Live'!$M$5="Snapshot"),"",IFERROR(BDP(TEXT(VALUE($A86),"0")&amp;" HK Equity","PX_LAST"),""))</f>
        <v/>
      </c>
      <c r="L86" s="15">
        <f>IF(AND(AH!$M$5="Snapshot",'IPO Live'!$M$5="Snapshot"),"",IFERROR(BDP(TEXT(VALUE($A86),"0")&amp;" HK Equity","CHG_PCT_1D")/100,""))</f>
        <v/>
      </c>
      <c r="M86" s="15">
        <f>IF(AND(AH!$M$5="Snapshot",'IPO Live'!$M$5="Snapshot"),"",IFERROR(BDP(TEXT(VALUE($A86),"0")&amp;" HK Equity","LAST_UPDATE_DT"),""))</f>
        <v/>
      </c>
      <c r="N86" s="15">
        <f>IF(AND(AH!$M$5="Snapshot",'IPO Live'!$M$5="Snapshot"),"",IFERROR(BDP(TEXT(VALUE($A86),"0")&amp;" HK Equity","LAST_UPDATE"),""))</f>
        <v/>
      </c>
      <c r="O86" s="15">
        <f>IF('IPO Live'!$M$5="Snapshot",IF(ISNUMBER(G86),G86,"unavailable"),IF(AND(ISNUMBER(K86),N(K86)&gt;0),K86,IF('IPO Live'!$M$5="Auto",IF(ISNUMBER(G86),G86,"unavailable"),"unavailable")))</f>
        <v/>
      </c>
      <c r="P86" s="15">
        <f>IF(AND('IPO Live'!$M$5&lt;&gt;"Snapshot",ISNUMBER(K86),N(K86)&gt;0),"Bloomberg",IF(AND('IPO Live'!$M$5&lt;&gt;"Bloomberg",ISNUMBER(G86)),"Snapshot","Unavailable"))</f>
        <v/>
      </c>
      <c r="Q86" s="33">
        <f>IF(AND(P86="Bloomberg",ISNUMBER(L86)),L86,"unavailable")</f>
        <v/>
      </c>
      <c r="R86" s="15">
        <f>IF(OR('IPO Live'!$B$5="All",'IPO Live'!$B$5=C86,AND('IPO Live'!$B$5="A/H only",J86&gt;0)),1,0)</f>
        <v/>
      </c>
      <c r="S86" s="15">
        <f>IF(R86=1,COUNTIF($R$5:R86,1),"")</f>
        <v/>
      </c>
      <c r="T86">
        <f>1</f>
        <v/>
      </c>
      <c r="U86">
        <f>IF($P86="Bloomberg",$M86,$H86)</f>
        <v/>
      </c>
      <c r="AW86">
        <f>IF(AND(J86&gt;0,OR(AH!$I$5="All",AH!$I$5="A/H only",AH!$I$5=C86)),1,0)</f>
        <v/>
      </c>
      <c r="AX86">
        <f>IF(AW86=1,COUNTIF($AW$5:AW86,1),"")</f>
        <v/>
      </c>
      <c r="AY86">
        <f>IF(AH!$M$5="Snapshot",IF(ISNUMBER(G86),G86,"unavailable"),IF(AND(ISNUMBER(K86),N(K86)&gt;0),K86,IF(AH!$M$5="Auto",IF(ISNUMBER(G86),G86,"unavailable"),"unavailable")))</f>
        <v/>
      </c>
      <c r="AZ86">
        <f>IF(AND(AH!$M$5&lt;&gt;"Snapshot",ISNUMBER(K86),N(K86)&gt;0),"Bloomberg",IF(AND(AH!$M$5&lt;&gt;"Bloomberg",ISNUMBER(G86)),"Snapshot","Unavailable"))</f>
        <v/>
      </c>
      <c r="BA86">
        <f>IF(AZ86="Bloomberg",M86,H86)</f>
        <v/>
      </c>
      <c r="BB86">
        <f>1</f>
        <v/>
      </c>
    </row>
    <row r="87">
      <c r="A87" s="31" t="inlineStr">
        <is>
          <t>6166</t>
        </is>
      </c>
      <c r="B87" s="15" t="inlineStr">
        <is>
          <t>CIG</t>
        </is>
      </c>
      <c r="C87" s="15" t="inlineStr">
        <is>
          <t>Tech/AI</t>
        </is>
      </c>
      <c r="D87" s="15" t="inlineStr">
        <is>
          <t>Smart hardware / consumer electronics</t>
        </is>
      </c>
      <c r="E87" s="34" t="n">
        <v>45958</v>
      </c>
      <c r="F87" s="15" t="n">
        <v>68.88</v>
      </c>
      <c r="G87" s="15" t="n">
        <v>112.8</v>
      </c>
      <c r="H87" s="34" t="n">
        <v>46297</v>
      </c>
      <c r="I87" s="31" t="inlineStr">
        <is>
          <t>603083.SS</t>
        </is>
      </c>
      <c r="J87" s="15" t="n">
        <v>28</v>
      </c>
      <c r="K87" s="15">
        <f>IF(AND(AH!$M$5="Snapshot",'IPO Live'!$M$5="Snapshot"),"",IFERROR(BDP(TEXT(VALUE($A87),"0")&amp;" HK Equity","PX_LAST"),""))</f>
        <v/>
      </c>
      <c r="L87" s="15">
        <f>IF(AND(AH!$M$5="Snapshot",'IPO Live'!$M$5="Snapshot"),"",IFERROR(BDP(TEXT(VALUE($A87),"0")&amp;" HK Equity","CHG_PCT_1D")/100,""))</f>
        <v/>
      </c>
      <c r="M87" s="15">
        <f>IF(AND(AH!$M$5="Snapshot",'IPO Live'!$M$5="Snapshot"),"",IFERROR(BDP(TEXT(VALUE($A87),"0")&amp;" HK Equity","LAST_UPDATE_DT"),""))</f>
        <v/>
      </c>
      <c r="N87" s="15">
        <f>IF(AND(AH!$M$5="Snapshot",'IPO Live'!$M$5="Snapshot"),"",IFERROR(BDP(TEXT(VALUE($A87),"0")&amp;" HK Equity","LAST_UPDATE"),""))</f>
        <v/>
      </c>
      <c r="O87" s="15">
        <f>IF('IPO Live'!$M$5="Snapshot",IF(ISNUMBER(G87),G87,"unavailable"),IF(AND(ISNUMBER(K87),N(K87)&gt;0),K87,IF('IPO Live'!$M$5="Auto",IF(ISNUMBER(G87),G87,"unavailable"),"unavailable")))</f>
        <v/>
      </c>
      <c r="P87" s="15">
        <f>IF(AND('IPO Live'!$M$5&lt;&gt;"Snapshot",ISNUMBER(K87),N(K87)&gt;0),"Bloomberg",IF(AND('IPO Live'!$M$5&lt;&gt;"Bloomberg",ISNUMBER(G87)),"Snapshot","Unavailable"))</f>
        <v/>
      </c>
      <c r="Q87" s="33">
        <f>IF(AND(P87="Bloomberg",ISNUMBER(L87)),L87,"unavailable")</f>
        <v/>
      </c>
      <c r="R87" s="15">
        <f>IF(OR('IPO Live'!$B$5="All",'IPO Live'!$B$5=C87,AND('IPO Live'!$B$5="A/H only",J87&gt;0)),1,0)</f>
        <v/>
      </c>
      <c r="S87" s="15">
        <f>IF(R87=1,COUNTIF($R$5:R87,1),"")</f>
        <v/>
      </c>
      <c r="T87">
        <f>1</f>
        <v/>
      </c>
      <c r="U87">
        <f>IF($P87="Bloomberg",$M87,$H87)</f>
        <v/>
      </c>
      <c r="AW87">
        <f>IF(AND(J87&gt;0,OR(AH!$I$5="All",AH!$I$5="A/H only",AH!$I$5=C87)),1,0)</f>
        <v/>
      </c>
      <c r="AX87">
        <f>IF(AW87=1,COUNTIF($AW$5:AW87,1),"")</f>
        <v/>
      </c>
      <c r="AY87">
        <f>IF(AH!$M$5="Snapshot",IF(ISNUMBER(G87),G87,"unavailable"),IF(AND(ISNUMBER(K87),N(K87)&gt;0),K87,IF(AH!$M$5="Auto",IF(ISNUMBER(G87),G87,"unavailable"),"unavailable")))</f>
        <v/>
      </c>
      <c r="AZ87">
        <f>IF(AND(AH!$M$5&lt;&gt;"Snapshot",ISNUMBER(K87),N(K87)&gt;0),"Bloomberg",IF(AND(AH!$M$5&lt;&gt;"Bloomberg",ISNUMBER(G87)),"Snapshot","Unavailable"))</f>
        <v/>
      </c>
      <c r="BA87">
        <f>IF(AZ87="Bloomberg",M87,H87)</f>
        <v/>
      </c>
      <c r="BB87">
        <f>1</f>
        <v/>
      </c>
    </row>
    <row r="88">
      <c r="A88" s="31" t="inlineStr">
        <is>
          <t>0638</t>
        </is>
      </c>
      <c r="B88" s="15" t="inlineStr">
        <is>
          <t>FIBOCOM</t>
        </is>
      </c>
      <c r="C88" s="15" t="inlineStr">
        <is>
          <t>Tech/AI</t>
        </is>
      </c>
      <c r="D88" s="15" t="inlineStr">
        <is>
          <t>Smart hardware / consumer electronics</t>
        </is>
      </c>
      <c r="E88" s="34" t="n">
        <v>45952</v>
      </c>
      <c r="F88" s="15" t="n">
        <v>21.5</v>
      </c>
      <c r="G88" s="15" t="n">
        <v>6.81</v>
      </c>
      <c r="H88" s="34" t="n">
        <v>46297</v>
      </c>
      <c r="I88" s="31" t="inlineStr">
        <is>
          <t>300638.SZ</t>
        </is>
      </c>
      <c r="J88" s="15" t="n">
        <v>26</v>
      </c>
      <c r="K88" s="15">
        <f>IF(AND(AH!$M$5="Snapshot",'IPO Live'!$M$5="Snapshot"),"",IFERROR(BDP(TEXT(VALUE($A88),"0")&amp;" HK Equity","PX_LAST"),""))</f>
        <v/>
      </c>
      <c r="L88" s="15">
        <f>IF(AND(AH!$M$5="Snapshot",'IPO Live'!$M$5="Snapshot"),"",IFERROR(BDP(TEXT(VALUE($A88),"0")&amp;" HK Equity","CHG_PCT_1D")/100,""))</f>
        <v/>
      </c>
      <c r="M88" s="15">
        <f>IF(AND(AH!$M$5="Snapshot",'IPO Live'!$M$5="Snapshot"),"",IFERROR(BDP(TEXT(VALUE($A88),"0")&amp;" HK Equity","LAST_UPDATE_DT"),""))</f>
        <v/>
      </c>
      <c r="N88" s="15">
        <f>IF(AND(AH!$M$5="Snapshot",'IPO Live'!$M$5="Snapshot"),"",IFERROR(BDP(TEXT(VALUE($A88),"0")&amp;" HK Equity","LAST_UPDATE"),""))</f>
        <v/>
      </c>
      <c r="O88" s="15">
        <f>IF('IPO Live'!$M$5="Snapshot",IF(ISNUMBER(G88),G88,"unavailable"),IF(AND(ISNUMBER(K88),N(K88)&gt;0),K88,IF('IPO Live'!$M$5="Auto",IF(ISNUMBER(G88),G88,"unavailable"),"unavailable")))</f>
        <v/>
      </c>
      <c r="P88" s="15">
        <f>IF(AND('IPO Live'!$M$5&lt;&gt;"Snapshot",ISNUMBER(K88),N(K88)&gt;0),"Bloomberg",IF(AND('IPO Live'!$M$5&lt;&gt;"Bloomberg",ISNUMBER(G88)),"Snapshot","Unavailable"))</f>
        <v/>
      </c>
      <c r="Q88" s="33">
        <f>IF(AND(P88="Bloomberg",ISNUMBER(L88)),L88,"unavailable")</f>
        <v/>
      </c>
      <c r="R88" s="15">
        <f>IF(OR('IPO Live'!$B$5="All",'IPO Live'!$B$5=C88,AND('IPO Live'!$B$5="A/H only",J88&gt;0)),1,0)</f>
        <v/>
      </c>
      <c r="S88" s="15">
        <f>IF(R88=1,COUNTIF($R$5:R88,1),"")</f>
        <v/>
      </c>
      <c r="T88">
        <f>1</f>
        <v/>
      </c>
      <c r="U88">
        <f>IF($P88="Bloomberg",$M88,$H88)</f>
        <v/>
      </c>
      <c r="AW88">
        <f>IF(AND(J88&gt;0,OR(AH!$I$5="All",AH!$I$5="A/H only",AH!$I$5=C88)),1,0)</f>
        <v/>
      </c>
      <c r="AX88">
        <f>IF(AW88=1,COUNTIF($AW$5:AW88,1),"")</f>
        <v/>
      </c>
      <c r="AY88">
        <f>IF(AH!$M$5="Snapshot",IF(ISNUMBER(G88),G88,"unavailable"),IF(AND(ISNUMBER(K88),N(K88)&gt;0),K88,IF(AH!$M$5="Auto",IF(ISNUMBER(G88),G88,"unavailable"),"unavailable")))</f>
        <v/>
      </c>
      <c r="AZ88">
        <f>IF(AND(AH!$M$5&lt;&gt;"Snapshot",ISNUMBER(K88),N(K88)&gt;0),"Bloomberg",IF(AND(AH!$M$5&lt;&gt;"Bloomberg",ISNUMBER(G88)),"Snapshot","Unavailable"))</f>
        <v/>
      </c>
      <c r="BA88">
        <f>IF(AZ88="Bloomberg",M88,H88)</f>
        <v/>
      </c>
      <c r="BB88">
        <f>1</f>
        <v/>
      </c>
    </row>
    <row r="89">
      <c r="A89" s="31" t="inlineStr">
        <is>
          <t>6687</t>
        </is>
      </c>
      <c r="B89" s="15" t="inlineStr">
        <is>
          <t>JST GROUP</t>
        </is>
      </c>
      <c r="C89" s="15" t="inlineStr">
        <is>
          <t>Tech/AI</t>
        </is>
      </c>
      <c r="D89" s="15" t="inlineStr">
        <is>
          <t>SaaS / enterprise software</t>
        </is>
      </c>
      <c r="E89" s="34" t="n">
        <v>45951</v>
      </c>
      <c r="F89" s="15" t="n">
        <v>30.6</v>
      </c>
      <c r="G89" s="15" t="n">
        <v>12.61</v>
      </c>
      <c r="H89" s="34" t="n">
        <v>46297</v>
      </c>
      <c r="I89" s="31" t="n"/>
      <c r="J89" s="15" t="n">
        <v>0</v>
      </c>
      <c r="K89" s="15">
        <f>IF(AND(AH!$M$5="Snapshot",'IPO Live'!$M$5="Snapshot"),"",IFERROR(BDP(TEXT(VALUE($A89),"0")&amp;" HK Equity","PX_LAST"),""))</f>
        <v/>
      </c>
      <c r="L89" s="15">
        <f>IF(AND(AH!$M$5="Snapshot",'IPO Live'!$M$5="Snapshot"),"",IFERROR(BDP(TEXT(VALUE($A89),"0")&amp;" HK Equity","CHG_PCT_1D")/100,""))</f>
        <v/>
      </c>
      <c r="M89" s="15">
        <f>IF(AND(AH!$M$5="Snapshot",'IPO Live'!$M$5="Snapshot"),"",IFERROR(BDP(TEXT(VALUE($A89),"0")&amp;" HK Equity","LAST_UPDATE_DT"),""))</f>
        <v/>
      </c>
      <c r="N89" s="15">
        <f>IF(AND(AH!$M$5="Snapshot",'IPO Live'!$M$5="Snapshot"),"",IFERROR(BDP(TEXT(VALUE($A89),"0")&amp;" HK Equity","LAST_UPDATE"),""))</f>
        <v/>
      </c>
      <c r="O89" s="15">
        <f>IF('IPO Live'!$M$5="Snapshot",IF(ISNUMBER(G89),G89,"unavailable"),IF(AND(ISNUMBER(K89),N(K89)&gt;0),K89,IF('IPO Live'!$M$5="Auto",IF(ISNUMBER(G89),G89,"unavailable"),"unavailable")))</f>
        <v/>
      </c>
      <c r="P89" s="15">
        <f>IF(AND('IPO Live'!$M$5&lt;&gt;"Snapshot",ISNUMBER(K89),N(K89)&gt;0),"Bloomberg",IF(AND('IPO Live'!$M$5&lt;&gt;"Bloomberg",ISNUMBER(G89)),"Snapshot","Unavailable"))</f>
        <v/>
      </c>
      <c r="Q89" s="33">
        <f>IF(AND(P89="Bloomberg",ISNUMBER(L89)),L89,"unavailable")</f>
        <v/>
      </c>
      <c r="R89" s="15">
        <f>IF(OR('IPO Live'!$B$5="All",'IPO Live'!$B$5=C89,AND('IPO Live'!$B$5="A/H only",J89&gt;0)),1,0)</f>
        <v/>
      </c>
      <c r="S89" s="15">
        <f>IF(R89=1,COUNTIF($R$5:R89,1),"")</f>
        <v/>
      </c>
      <c r="T89">
        <f>1</f>
        <v/>
      </c>
      <c r="U89">
        <f>IF($P89="Bloomberg",$M89,$H89)</f>
        <v/>
      </c>
      <c r="AW89">
        <f>IF(AND(J89&gt;0,OR(AH!$I$5="All",AH!$I$5="A/H only",AH!$I$5=C89)),1,0)</f>
        <v/>
      </c>
      <c r="AX89">
        <f>IF(AW89=1,COUNTIF($AW$5:AW89,1),"")</f>
        <v/>
      </c>
      <c r="AY89">
        <f>IF(AH!$M$5="Snapshot",IF(ISNUMBER(G89),G89,"unavailable"),IF(AND(ISNUMBER(K89),N(K89)&gt;0),K89,IF(AH!$M$5="Auto",IF(ISNUMBER(G89),G89,"unavailable"),"unavailable")))</f>
        <v/>
      </c>
      <c r="AZ89">
        <f>IF(AND(AH!$M$5&lt;&gt;"Snapshot",ISNUMBER(K89),N(K89)&gt;0),"Bloomberg",IF(AND(AH!$M$5&lt;&gt;"Bloomberg",ISNUMBER(G89)),"Snapshot","Unavailable"))</f>
        <v/>
      </c>
      <c r="BA89">
        <f>IF(AZ89="Bloomberg",M89,H89)</f>
        <v/>
      </c>
      <c r="BB89">
        <f>1</f>
        <v/>
      </c>
    </row>
    <row r="90">
      <c r="A90" s="31" t="inlineStr">
        <is>
          <t>2670</t>
        </is>
      </c>
      <c r="B90" s="15" t="inlineStr">
        <is>
          <t>YUNJI</t>
        </is>
      </c>
      <c r="C90" s="15" t="inlineStr">
        <is>
          <t>Tech/AI</t>
        </is>
      </c>
      <c r="D90" s="15" t="inlineStr">
        <is>
          <t>Robotics &amp; autonomous driving</t>
        </is>
      </c>
      <c r="E90" s="34" t="n">
        <v>45946</v>
      </c>
      <c r="F90" s="15" t="n">
        <v>95.59999999999999</v>
      </c>
      <c r="G90" s="15" t="n">
        <v>59.45</v>
      </c>
      <c r="H90" s="34" t="n">
        <v>46297</v>
      </c>
      <c r="I90" s="31" t="n"/>
      <c r="J90" s="15" t="n">
        <v>0</v>
      </c>
      <c r="K90" s="15">
        <f>IF(AND(AH!$M$5="Snapshot",'IPO Live'!$M$5="Snapshot"),"",IFERROR(BDP(TEXT(VALUE($A90),"0")&amp;" HK Equity","PX_LAST"),""))</f>
        <v/>
      </c>
      <c r="L90" s="15">
        <f>IF(AND(AH!$M$5="Snapshot",'IPO Live'!$M$5="Snapshot"),"",IFERROR(BDP(TEXT(VALUE($A90),"0")&amp;" HK Equity","CHG_PCT_1D")/100,""))</f>
        <v/>
      </c>
      <c r="M90" s="15">
        <f>IF(AND(AH!$M$5="Snapshot",'IPO Live'!$M$5="Snapshot"),"",IFERROR(BDP(TEXT(VALUE($A90),"0")&amp;" HK Equity","LAST_UPDATE_DT"),""))</f>
        <v/>
      </c>
      <c r="N90" s="15">
        <f>IF(AND(AH!$M$5="Snapshot",'IPO Live'!$M$5="Snapshot"),"",IFERROR(BDP(TEXT(VALUE($A90),"0")&amp;" HK Equity","LAST_UPDATE"),""))</f>
        <v/>
      </c>
      <c r="O90" s="15">
        <f>IF('IPO Live'!$M$5="Snapshot",IF(ISNUMBER(G90),G90,"unavailable"),IF(AND(ISNUMBER(K90),N(K90)&gt;0),K90,IF('IPO Live'!$M$5="Auto",IF(ISNUMBER(G90),G90,"unavailable"),"unavailable")))</f>
        <v/>
      </c>
      <c r="P90" s="15">
        <f>IF(AND('IPO Live'!$M$5&lt;&gt;"Snapshot",ISNUMBER(K90),N(K90)&gt;0),"Bloomberg",IF(AND('IPO Live'!$M$5&lt;&gt;"Bloomberg",ISNUMBER(G90)),"Snapshot","Unavailable"))</f>
        <v/>
      </c>
      <c r="Q90" s="33">
        <f>IF(AND(P90="Bloomberg",ISNUMBER(L90)),L90,"unavailable")</f>
        <v/>
      </c>
      <c r="R90" s="15">
        <f>IF(OR('IPO Live'!$B$5="All",'IPO Live'!$B$5=C90,AND('IPO Live'!$B$5="A/H only",J90&gt;0)),1,0)</f>
        <v/>
      </c>
      <c r="S90" s="15">
        <f>IF(R90=1,COUNTIF($R$5:R90,1),"")</f>
        <v/>
      </c>
      <c r="T90">
        <f>IF(ISNUMBER($U90),IF($U90&gt;=DATEVALUE("2026-09-23"),10.0,1),"unavailable")</f>
        <v/>
      </c>
      <c r="U90">
        <f>IF($P90="Bloomberg",$M90,$H90)</f>
        <v/>
      </c>
      <c r="AW90">
        <f>IF(AND(J90&gt;0,OR(AH!$I$5="All",AH!$I$5="A/H only",AH!$I$5=C90)),1,0)</f>
        <v/>
      </c>
      <c r="AX90">
        <f>IF(AW90=1,COUNTIF($AW$5:AW90,1),"")</f>
        <v/>
      </c>
      <c r="AY90">
        <f>IF(AH!$M$5="Snapshot",IF(ISNUMBER(G90),G90,"unavailable"),IF(AND(ISNUMBER(K90),N(K90)&gt;0),K90,IF(AH!$M$5="Auto",IF(ISNUMBER(G90),G90,"unavailable"),"unavailable")))</f>
        <v/>
      </c>
      <c r="AZ90">
        <f>IF(AND(AH!$M$5&lt;&gt;"Snapshot",ISNUMBER(K90),N(K90)&gt;0),"Bloomberg",IF(AND(AH!$M$5&lt;&gt;"Bloomberg",ISNUMBER(G90)),"Snapshot","Unavailable"))</f>
        <v/>
      </c>
      <c r="BA90">
        <f>IF(AZ90="Bloomberg",M90,H90)</f>
        <v/>
      </c>
      <c r="BB90">
        <f>IF(ISNUMBER($BA90),IF($BA90&gt;=DATEVALUE("2026-09-23"),10.0,1),"unavailable")</f>
        <v/>
      </c>
    </row>
    <row r="91">
      <c r="A91" s="31" t="inlineStr">
        <is>
          <t>2525</t>
        </is>
      </c>
      <c r="B91" s="15" t="inlineStr">
        <is>
          <t>HESAI-W</t>
        </is>
      </c>
      <c r="C91" s="15" t="inlineStr">
        <is>
          <t>Tech/AI</t>
        </is>
      </c>
      <c r="D91" s="15" t="inlineStr">
        <is>
          <t>Robotics &amp; autonomous driving</t>
        </is>
      </c>
      <c r="E91" s="34" t="n">
        <v>45916</v>
      </c>
      <c r="F91" s="15" t="n">
        <v>212.8</v>
      </c>
      <c r="G91" s="15" t="n">
        <v>122.72</v>
      </c>
      <c r="H91" s="34" t="n">
        <v>46297</v>
      </c>
      <c r="I91" s="31" t="n"/>
      <c r="J91" s="15" t="n">
        <v>0</v>
      </c>
      <c r="K91" s="15">
        <f>IF(AND(AH!$M$5="Snapshot",'IPO Live'!$M$5="Snapshot"),"",IFERROR(BDP(TEXT(VALUE($A91),"0")&amp;" HK Equity","PX_LAST"),""))</f>
        <v/>
      </c>
      <c r="L91" s="15">
        <f>IF(AND(AH!$M$5="Snapshot",'IPO Live'!$M$5="Snapshot"),"",IFERROR(BDP(TEXT(VALUE($A91),"0")&amp;" HK Equity","CHG_PCT_1D")/100,""))</f>
        <v/>
      </c>
      <c r="M91" s="15">
        <f>IF(AND(AH!$M$5="Snapshot",'IPO Live'!$M$5="Snapshot"),"",IFERROR(BDP(TEXT(VALUE($A91),"0")&amp;" HK Equity","LAST_UPDATE_DT"),""))</f>
        <v/>
      </c>
      <c r="N91" s="15">
        <f>IF(AND(AH!$M$5="Snapshot",'IPO Live'!$M$5="Snapshot"),"",IFERROR(BDP(TEXT(VALUE($A91),"0")&amp;" HK Equity","LAST_UPDATE"),""))</f>
        <v/>
      </c>
      <c r="O91" s="15">
        <f>IF('IPO Live'!$M$5="Snapshot",IF(ISNUMBER(G91),G91,"unavailable"),IF(AND(ISNUMBER(K91),N(K91)&gt;0),K91,IF('IPO Live'!$M$5="Auto",IF(ISNUMBER(G91),G91,"unavailable"),"unavailable")))</f>
        <v/>
      </c>
      <c r="P91" s="15">
        <f>IF(AND('IPO Live'!$M$5&lt;&gt;"Snapshot",ISNUMBER(K91),N(K91)&gt;0),"Bloomberg",IF(AND('IPO Live'!$M$5&lt;&gt;"Bloomberg",ISNUMBER(G91)),"Snapshot","Unavailable"))</f>
        <v/>
      </c>
      <c r="Q91" s="33">
        <f>IF(AND(P91="Bloomberg",ISNUMBER(L91)),L91,"unavailable")</f>
        <v/>
      </c>
      <c r="R91" s="15">
        <f>IF(OR('IPO Live'!$B$5="All",'IPO Live'!$B$5=C91,AND('IPO Live'!$B$5="A/H only",J91&gt;0)),1,0)</f>
        <v/>
      </c>
      <c r="S91" s="15">
        <f>IF(R91=1,COUNTIF($R$5:R91,1),"")</f>
        <v/>
      </c>
      <c r="T91">
        <f>IF(ISNUMBER($U91),IF($U91&gt;=DATEVALUE("2026-07-10"),8.0,1),"unavailable")</f>
        <v/>
      </c>
      <c r="U91">
        <f>IF($P91="Bloomberg",$M91,$H91)</f>
        <v/>
      </c>
      <c r="AW91">
        <f>IF(AND(J91&gt;0,OR(AH!$I$5="All",AH!$I$5="A/H only",AH!$I$5=C91)),1,0)</f>
        <v/>
      </c>
      <c r="AX91">
        <f>IF(AW91=1,COUNTIF($AW$5:AW91,1),"")</f>
        <v/>
      </c>
      <c r="AY91">
        <f>IF(AH!$M$5="Snapshot",IF(ISNUMBER(G91),G91,"unavailable"),IF(AND(ISNUMBER(K91),N(K91)&gt;0),K91,IF(AH!$M$5="Auto",IF(ISNUMBER(G91),G91,"unavailable"),"unavailable")))</f>
        <v/>
      </c>
      <c r="AZ91">
        <f>IF(AND(AH!$M$5&lt;&gt;"Snapshot",ISNUMBER(K91),N(K91)&gt;0),"Bloomberg",IF(AND(AH!$M$5&lt;&gt;"Bloomberg",ISNUMBER(G91)),"Snapshot","Unavailable"))</f>
        <v/>
      </c>
      <c r="BA91">
        <f>IF(AZ91="Bloomberg",M91,H91)</f>
        <v/>
      </c>
      <c r="BB91">
        <f>IF(ISNUMBER($BA91),IF($BA91&gt;=DATEVALUE("2026-07-10"),8.0,1),"unavailable")</f>
        <v/>
      </c>
    </row>
    <row r="92">
      <c r="A92" s="31" t="inlineStr">
        <is>
          <t>2543</t>
        </is>
      </c>
      <c r="B92" s="15" t="inlineStr">
        <is>
          <t>DAHON TECH</t>
        </is>
      </c>
      <c r="C92" s="15" t="inlineStr">
        <is>
          <t>Tech/AI</t>
        </is>
      </c>
      <c r="D92" s="15" t="inlineStr">
        <is>
          <t>Smart hardware / consumer electronics</t>
        </is>
      </c>
      <c r="E92" s="34" t="n">
        <v>45909</v>
      </c>
      <c r="F92" s="15" t="n">
        <v>49.5</v>
      </c>
      <c r="G92" s="15" t="n">
        <v>34</v>
      </c>
      <c r="H92" s="34" t="n">
        <v>46297</v>
      </c>
      <c r="I92" s="31" t="n"/>
      <c r="J92" s="15" t="n">
        <v>0</v>
      </c>
      <c r="K92" s="15">
        <f>IF(AND(AH!$M$5="Snapshot",'IPO Live'!$M$5="Snapshot"),"",IFERROR(BDP(TEXT(VALUE($A92),"0")&amp;" HK Equity","PX_LAST"),""))</f>
        <v/>
      </c>
      <c r="L92" s="15">
        <f>IF(AND(AH!$M$5="Snapshot",'IPO Live'!$M$5="Snapshot"),"",IFERROR(BDP(TEXT(VALUE($A92),"0")&amp;" HK Equity","CHG_PCT_1D")/100,""))</f>
        <v/>
      </c>
      <c r="M92" s="15">
        <f>IF(AND(AH!$M$5="Snapshot",'IPO Live'!$M$5="Snapshot"),"",IFERROR(BDP(TEXT(VALUE($A92),"0")&amp;" HK Equity","LAST_UPDATE_DT"),""))</f>
        <v/>
      </c>
      <c r="N92" s="15">
        <f>IF(AND(AH!$M$5="Snapshot",'IPO Live'!$M$5="Snapshot"),"",IFERROR(BDP(TEXT(VALUE($A92),"0")&amp;" HK Equity","LAST_UPDATE"),""))</f>
        <v/>
      </c>
      <c r="O92" s="15">
        <f>IF('IPO Live'!$M$5="Snapshot",IF(ISNUMBER(G92),G92,"unavailable"),IF(AND(ISNUMBER(K92),N(K92)&gt;0),K92,IF('IPO Live'!$M$5="Auto",IF(ISNUMBER(G92),G92,"unavailable"),"unavailable")))</f>
        <v/>
      </c>
      <c r="P92" s="15">
        <f>IF(AND('IPO Live'!$M$5&lt;&gt;"Snapshot",ISNUMBER(K92),N(K92)&gt;0),"Bloomberg",IF(AND('IPO Live'!$M$5&lt;&gt;"Bloomberg",ISNUMBER(G92)),"Snapshot","Unavailable"))</f>
        <v/>
      </c>
      <c r="Q92" s="33">
        <f>IF(AND(P92="Bloomberg",ISNUMBER(L92)),L92,"unavailable")</f>
        <v/>
      </c>
      <c r="R92" s="15">
        <f>IF(OR('IPO Live'!$B$5="All",'IPO Live'!$B$5=C92,AND('IPO Live'!$B$5="A/H only",J92&gt;0)),1,0)</f>
        <v/>
      </c>
      <c r="S92" s="15">
        <f>IF(R92=1,COUNTIF($R$5:R92,1),"")</f>
        <v/>
      </c>
      <c r="T92">
        <f>1</f>
        <v/>
      </c>
      <c r="U92">
        <f>IF($P92="Bloomberg",$M92,$H92)</f>
        <v/>
      </c>
      <c r="AW92">
        <f>IF(AND(J92&gt;0,OR(AH!$I$5="All",AH!$I$5="A/H only",AH!$I$5=C92)),1,0)</f>
        <v/>
      </c>
      <c r="AX92">
        <f>IF(AW92=1,COUNTIF($AW$5:AW92,1),"")</f>
        <v/>
      </c>
      <c r="AY92">
        <f>IF(AH!$M$5="Snapshot",IF(ISNUMBER(G92),G92,"unavailable"),IF(AND(ISNUMBER(K92),N(K92)&gt;0),K92,IF(AH!$M$5="Auto",IF(ISNUMBER(G92),G92,"unavailable"),"unavailable")))</f>
        <v/>
      </c>
      <c r="AZ92">
        <f>IF(AND(AH!$M$5&lt;&gt;"Snapshot",ISNUMBER(K92),N(K92)&gt;0),"Bloomberg",IF(AND(AH!$M$5&lt;&gt;"Bloomberg",ISNUMBER(G92)),"Snapshot","Unavailable"))</f>
        <v/>
      </c>
      <c r="BA92">
        <f>IF(AZ92="Bloomberg",M92,H92)</f>
        <v/>
      </c>
      <c r="BB92">
        <f>1</f>
        <v/>
      </c>
    </row>
    <row r="93">
      <c r="A93" s="31" t="inlineStr">
        <is>
          <t>2580</t>
        </is>
      </c>
      <c r="B93" s="15" t="inlineStr">
        <is>
          <t>AUX ELECTRIC</t>
        </is>
      </c>
      <c r="C93" s="15" t="inlineStr">
        <is>
          <t>Tech/AI</t>
        </is>
      </c>
      <c r="D93" s="15" t="inlineStr">
        <is>
          <t>Smart hardware / consumer electronics</t>
        </is>
      </c>
      <c r="E93" s="34" t="n">
        <v>45902</v>
      </c>
      <c r="F93" s="15" t="n">
        <v>17.42</v>
      </c>
      <c r="G93" s="15" t="n">
        <v>8.425000000000001</v>
      </c>
      <c r="H93" s="34" t="n">
        <v>46297</v>
      </c>
      <c r="I93" s="31" t="n"/>
      <c r="J93" s="15" t="n">
        <v>0</v>
      </c>
      <c r="K93" s="15">
        <f>IF(AND(AH!$M$5="Snapshot",'IPO Live'!$M$5="Snapshot"),"",IFERROR(BDP(TEXT(VALUE($A93),"0")&amp;" HK Equity","PX_LAST"),""))</f>
        <v/>
      </c>
      <c r="L93" s="15">
        <f>IF(AND(AH!$M$5="Snapshot",'IPO Live'!$M$5="Snapshot"),"",IFERROR(BDP(TEXT(VALUE($A93),"0")&amp;" HK Equity","CHG_PCT_1D")/100,""))</f>
        <v/>
      </c>
      <c r="M93" s="15">
        <f>IF(AND(AH!$M$5="Snapshot",'IPO Live'!$M$5="Snapshot"),"",IFERROR(BDP(TEXT(VALUE($A93),"0")&amp;" HK Equity","LAST_UPDATE_DT"),""))</f>
        <v/>
      </c>
      <c r="N93" s="15">
        <f>IF(AND(AH!$M$5="Snapshot",'IPO Live'!$M$5="Snapshot"),"",IFERROR(BDP(TEXT(VALUE($A93),"0")&amp;" HK Equity","LAST_UPDATE"),""))</f>
        <v/>
      </c>
      <c r="O93" s="15">
        <f>IF('IPO Live'!$M$5="Snapshot",IF(ISNUMBER(G93),G93,"unavailable"),IF(AND(ISNUMBER(K93),N(K93)&gt;0),K93,IF('IPO Live'!$M$5="Auto",IF(ISNUMBER(G93),G93,"unavailable"),"unavailable")))</f>
        <v/>
      </c>
      <c r="P93" s="15">
        <f>IF(AND('IPO Live'!$M$5&lt;&gt;"Snapshot",ISNUMBER(K93),N(K93)&gt;0),"Bloomberg",IF(AND('IPO Live'!$M$5&lt;&gt;"Bloomberg",ISNUMBER(G93)),"Snapshot","Unavailable"))</f>
        <v/>
      </c>
      <c r="Q93" s="33">
        <f>IF(AND(P93="Bloomberg",ISNUMBER(L93)),L93,"unavailable")</f>
        <v/>
      </c>
      <c r="R93" s="15">
        <f>IF(OR('IPO Live'!$B$5="All",'IPO Live'!$B$5=C93,AND('IPO Live'!$B$5="A/H only",J93&gt;0)),1,0)</f>
        <v/>
      </c>
      <c r="S93" s="15">
        <f>IF(R93=1,COUNTIF($R$5:R93,1),"")</f>
        <v/>
      </c>
      <c r="T93">
        <f>1</f>
        <v/>
      </c>
      <c r="U93">
        <f>IF($P93="Bloomberg",$M93,$H93)</f>
        <v/>
      </c>
      <c r="AW93">
        <f>IF(AND(J93&gt;0,OR(AH!$I$5="All",AH!$I$5="A/H only",AH!$I$5=C93)),1,0)</f>
        <v/>
      </c>
      <c r="AX93">
        <f>IF(AW93=1,COUNTIF($AW$5:AW93,1),"")</f>
        <v/>
      </c>
      <c r="AY93">
        <f>IF(AH!$M$5="Snapshot",IF(ISNUMBER(G93),G93,"unavailable"),IF(AND(ISNUMBER(K93),N(K93)&gt;0),K93,IF(AH!$M$5="Auto",IF(ISNUMBER(G93),G93,"unavailable"),"unavailable")))</f>
        <v/>
      </c>
      <c r="AZ93">
        <f>IF(AND(AH!$M$5&lt;&gt;"Snapshot",ISNUMBER(K93),N(K93)&gt;0),"Bloomberg",IF(AND(AH!$M$5&lt;&gt;"Bloomberg",ISNUMBER(G93)),"Snapshot","Unavailable"))</f>
        <v/>
      </c>
      <c r="BA93">
        <f>IF(AZ93="Bloomberg",M93,H93)</f>
        <v/>
      </c>
      <c r="BB93">
        <f>1</f>
        <v/>
      </c>
    </row>
    <row r="94">
      <c r="A94" s="31" t="inlineStr">
        <is>
          <t>2631</t>
        </is>
      </c>
      <c r="B94" s="15" t="inlineStr">
        <is>
          <t>SICC</t>
        </is>
      </c>
      <c r="C94" s="15" t="inlineStr">
        <is>
          <t>Tech/AI</t>
        </is>
      </c>
      <c r="D94" s="15" t="inlineStr">
        <is>
          <t>Semiconductor equipment / materials</t>
        </is>
      </c>
      <c r="E94" s="34" t="n">
        <v>45889</v>
      </c>
      <c r="F94" s="15" t="n">
        <v>42.8</v>
      </c>
      <c r="G94" s="15" t="n">
        <v>68.59999999999999</v>
      </c>
      <c r="H94" s="34" t="n">
        <v>46297</v>
      </c>
      <c r="I94" s="31" t="inlineStr">
        <is>
          <t>688234.SS</t>
        </is>
      </c>
      <c r="J94" s="15" t="n">
        <v>25</v>
      </c>
      <c r="K94" s="15">
        <f>IF(AND(AH!$M$5="Snapshot",'IPO Live'!$M$5="Snapshot"),"",IFERROR(BDP(TEXT(VALUE($A94),"0")&amp;" HK Equity","PX_LAST"),""))</f>
        <v/>
      </c>
      <c r="L94" s="15">
        <f>IF(AND(AH!$M$5="Snapshot",'IPO Live'!$M$5="Snapshot"),"",IFERROR(BDP(TEXT(VALUE($A94),"0")&amp;" HK Equity","CHG_PCT_1D")/100,""))</f>
        <v/>
      </c>
      <c r="M94" s="15">
        <f>IF(AND(AH!$M$5="Snapshot",'IPO Live'!$M$5="Snapshot"),"",IFERROR(BDP(TEXT(VALUE($A94),"0")&amp;" HK Equity","LAST_UPDATE_DT"),""))</f>
        <v/>
      </c>
      <c r="N94" s="15">
        <f>IF(AND(AH!$M$5="Snapshot",'IPO Live'!$M$5="Snapshot"),"",IFERROR(BDP(TEXT(VALUE($A94),"0")&amp;" HK Equity","LAST_UPDATE"),""))</f>
        <v/>
      </c>
      <c r="O94" s="15">
        <f>IF('IPO Live'!$M$5="Snapshot",IF(ISNUMBER(G94),G94,"unavailable"),IF(AND(ISNUMBER(K94),N(K94)&gt;0),K94,IF('IPO Live'!$M$5="Auto",IF(ISNUMBER(G94),G94,"unavailable"),"unavailable")))</f>
        <v/>
      </c>
      <c r="P94" s="15">
        <f>IF(AND('IPO Live'!$M$5&lt;&gt;"Snapshot",ISNUMBER(K94),N(K94)&gt;0),"Bloomberg",IF(AND('IPO Live'!$M$5&lt;&gt;"Bloomberg",ISNUMBER(G94)),"Snapshot","Unavailable"))</f>
        <v/>
      </c>
      <c r="Q94" s="33">
        <f>IF(AND(P94="Bloomberg",ISNUMBER(L94)),L94,"unavailable")</f>
        <v/>
      </c>
      <c r="R94" s="15">
        <f>IF(OR('IPO Live'!$B$5="All",'IPO Live'!$B$5=C94,AND('IPO Live'!$B$5="A/H only",J94&gt;0)),1,0)</f>
        <v/>
      </c>
      <c r="S94" s="15">
        <f>IF(R94=1,COUNTIF($R$5:R94,1),"")</f>
        <v/>
      </c>
      <c r="T94">
        <f>1</f>
        <v/>
      </c>
      <c r="U94">
        <f>IF($P94="Bloomberg",$M94,$H94)</f>
        <v/>
      </c>
      <c r="AW94">
        <f>IF(AND(J94&gt;0,OR(AH!$I$5="All",AH!$I$5="A/H only",AH!$I$5=C94)),1,0)</f>
        <v/>
      </c>
      <c r="AX94">
        <f>IF(AW94=1,COUNTIF($AW$5:AW94,1),"")</f>
        <v/>
      </c>
      <c r="AY94">
        <f>IF(AH!$M$5="Snapshot",IF(ISNUMBER(G94),G94,"unavailable"),IF(AND(ISNUMBER(K94),N(K94)&gt;0),K94,IF(AH!$M$5="Auto",IF(ISNUMBER(G94),G94,"unavailable"),"unavailable")))</f>
        <v/>
      </c>
      <c r="AZ94">
        <f>IF(AND(AH!$M$5&lt;&gt;"Snapshot",ISNUMBER(K94),N(K94)&gt;0),"Bloomberg",IF(AND(AH!$M$5&lt;&gt;"Bloomberg",ISNUMBER(G94)),"Snapshot","Unavailable"))</f>
        <v/>
      </c>
      <c r="BA94">
        <f>IF(AZ94="Bloomberg",M94,H94)</f>
        <v/>
      </c>
      <c r="BB94">
        <f>1</f>
        <v/>
      </c>
    </row>
    <row r="95">
      <c r="A95" s="31" t="inlineStr">
        <is>
          <t>2590</t>
        </is>
      </c>
      <c r="B95" s="15" t="inlineStr">
        <is>
          <t>GEEKPLUS-W</t>
        </is>
      </c>
      <c r="C95" s="15" t="inlineStr">
        <is>
          <t>Tech/AI</t>
        </is>
      </c>
      <c r="D95" s="15" t="inlineStr">
        <is>
          <t>Robotics &amp; autonomous driving</t>
        </is>
      </c>
      <c r="E95" s="34" t="n">
        <v>45847</v>
      </c>
      <c r="F95" s="15" t="n">
        <v>16.8</v>
      </c>
      <c r="G95" s="15" t="n">
        <v>7.33</v>
      </c>
      <c r="H95" s="34" t="n">
        <v>46297</v>
      </c>
      <c r="I95" s="31" t="n"/>
      <c r="J95" s="15" t="n">
        <v>0</v>
      </c>
      <c r="K95" s="15">
        <f>IF(AND(AH!$M$5="Snapshot",'IPO Live'!$M$5="Snapshot"),"",IFERROR(BDP(TEXT(VALUE($A95),"0")&amp;" HK Equity","PX_LAST"),""))</f>
        <v/>
      </c>
      <c r="L95" s="15">
        <f>IF(AND(AH!$M$5="Snapshot",'IPO Live'!$M$5="Snapshot"),"",IFERROR(BDP(TEXT(VALUE($A95),"0")&amp;" HK Equity","CHG_PCT_1D")/100,""))</f>
        <v/>
      </c>
      <c r="M95" s="15">
        <f>IF(AND(AH!$M$5="Snapshot",'IPO Live'!$M$5="Snapshot"),"",IFERROR(BDP(TEXT(VALUE($A95),"0")&amp;" HK Equity","LAST_UPDATE_DT"),""))</f>
        <v/>
      </c>
      <c r="N95" s="15">
        <f>IF(AND(AH!$M$5="Snapshot",'IPO Live'!$M$5="Snapshot"),"",IFERROR(BDP(TEXT(VALUE($A95),"0")&amp;" HK Equity","LAST_UPDATE"),""))</f>
        <v/>
      </c>
      <c r="O95" s="15">
        <f>IF('IPO Live'!$M$5="Snapshot",IF(ISNUMBER(G95),G95,"unavailable"),IF(AND(ISNUMBER(K95),N(K95)&gt;0),K95,IF('IPO Live'!$M$5="Auto",IF(ISNUMBER(G95),G95,"unavailable"),"unavailable")))</f>
        <v/>
      </c>
      <c r="P95" s="15">
        <f>IF(AND('IPO Live'!$M$5&lt;&gt;"Snapshot",ISNUMBER(K95),N(K95)&gt;0),"Bloomberg",IF(AND('IPO Live'!$M$5&lt;&gt;"Bloomberg",ISNUMBER(G95)),"Snapshot","Unavailable"))</f>
        <v/>
      </c>
      <c r="Q95" s="33">
        <f>IF(AND(P95="Bloomberg",ISNUMBER(L95)),L95,"unavailable")</f>
        <v/>
      </c>
      <c r="R95" s="15">
        <f>IF(OR('IPO Live'!$B$5="All",'IPO Live'!$B$5=C95,AND('IPO Live'!$B$5="A/H only",J95&gt;0)),1,0)</f>
        <v/>
      </c>
      <c r="S95" s="15">
        <f>IF(R95=1,COUNTIF($R$5:R95,1),"")</f>
        <v/>
      </c>
      <c r="T95">
        <f>1</f>
        <v/>
      </c>
      <c r="U95">
        <f>IF($P95="Bloomberg",$M95,$H95)</f>
        <v/>
      </c>
      <c r="AW95">
        <f>IF(AND(J95&gt;0,OR(AH!$I$5="All",AH!$I$5="A/H only",AH!$I$5=C95)),1,0)</f>
        <v/>
      </c>
      <c r="AX95">
        <f>IF(AW95=1,COUNTIF($AW$5:AW95,1),"")</f>
        <v/>
      </c>
      <c r="AY95">
        <f>IF(AH!$M$5="Snapshot",IF(ISNUMBER(G95),G95,"unavailable"),IF(AND(ISNUMBER(K95),N(K95)&gt;0),K95,IF(AH!$M$5="Auto",IF(ISNUMBER(G95),G95,"unavailable"),"unavailable")))</f>
        <v/>
      </c>
      <c r="AZ95">
        <f>IF(AND(AH!$M$5&lt;&gt;"Snapshot",ISNUMBER(K95),N(K95)&gt;0),"Bloomberg",IF(AND(AH!$M$5&lt;&gt;"Bloomberg",ISNUMBER(G95)),"Snapshot","Unavailable"))</f>
        <v/>
      </c>
      <c r="BA95">
        <f>IF(AZ95="Bloomberg",M95,H95)</f>
        <v/>
      </c>
      <c r="BB95">
        <f>1</f>
        <v/>
      </c>
    </row>
    <row r="96">
      <c r="A96" s="31" t="inlineStr">
        <is>
          <t>2597</t>
        </is>
      </c>
      <c r="B96" s="15" t="inlineStr">
        <is>
          <t>XUNZHONG</t>
        </is>
      </c>
      <c r="C96" s="15" t="inlineStr">
        <is>
          <t>Tech/AI</t>
        </is>
      </c>
      <c r="D96" s="15" t="inlineStr">
        <is>
          <t>SaaS / enterprise software</t>
        </is>
      </c>
      <c r="E96" s="34" t="n">
        <v>45847</v>
      </c>
      <c r="F96" s="15" t="n">
        <v>13.55</v>
      </c>
      <c r="G96" s="15" t="n">
        <v>35.1</v>
      </c>
      <c r="H96" s="34" t="n">
        <v>46297</v>
      </c>
      <c r="I96" s="31" t="n"/>
      <c r="J96" s="15" t="n">
        <v>0</v>
      </c>
      <c r="K96" s="15">
        <f>IF(AND(AH!$M$5="Snapshot",'IPO Live'!$M$5="Snapshot"),"",IFERROR(BDP(TEXT(VALUE($A96),"0")&amp;" HK Equity","PX_LAST"),""))</f>
        <v/>
      </c>
      <c r="L96" s="15">
        <f>IF(AND(AH!$M$5="Snapshot",'IPO Live'!$M$5="Snapshot"),"",IFERROR(BDP(TEXT(VALUE($A96),"0")&amp;" HK Equity","CHG_PCT_1D")/100,""))</f>
        <v/>
      </c>
      <c r="M96" s="15">
        <f>IF(AND(AH!$M$5="Snapshot",'IPO Live'!$M$5="Snapshot"),"",IFERROR(BDP(TEXT(VALUE($A96),"0")&amp;" HK Equity","LAST_UPDATE_DT"),""))</f>
        <v/>
      </c>
      <c r="N96" s="15">
        <f>IF(AND(AH!$M$5="Snapshot",'IPO Live'!$M$5="Snapshot"),"",IFERROR(BDP(TEXT(VALUE($A96),"0")&amp;" HK Equity","LAST_UPDATE"),""))</f>
        <v/>
      </c>
      <c r="O96" s="15">
        <f>IF('IPO Live'!$M$5="Snapshot",IF(ISNUMBER(G96),G96,"unavailable"),IF(AND(ISNUMBER(K96),N(K96)&gt;0),K96,IF('IPO Live'!$M$5="Auto",IF(ISNUMBER(G96),G96,"unavailable"),"unavailable")))</f>
        <v/>
      </c>
      <c r="P96" s="15">
        <f>IF(AND('IPO Live'!$M$5&lt;&gt;"Snapshot",ISNUMBER(K96),N(K96)&gt;0),"Bloomberg",IF(AND('IPO Live'!$M$5&lt;&gt;"Bloomberg",ISNUMBER(G96)),"Snapshot","Unavailable"))</f>
        <v/>
      </c>
      <c r="Q96" s="33">
        <f>IF(AND(P96="Bloomberg",ISNUMBER(L96)),L96,"unavailable")</f>
        <v/>
      </c>
      <c r="R96" s="15">
        <f>IF(OR('IPO Live'!$B$5="All",'IPO Live'!$B$5=C96,AND('IPO Live'!$B$5="A/H only",J96&gt;0)),1,0)</f>
        <v/>
      </c>
      <c r="S96" s="15">
        <f>IF(R96=1,COUNTIF($R$5:R96,1),"")</f>
        <v/>
      </c>
      <c r="T96">
        <f>1</f>
        <v/>
      </c>
      <c r="U96">
        <f>IF($P96="Bloomberg",$M96,$H96)</f>
        <v/>
      </c>
      <c r="AW96">
        <f>IF(AND(J96&gt;0,OR(AH!$I$5="All",AH!$I$5="A/H only",AH!$I$5=C96)),1,0)</f>
        <v/>
      </c>
      <c r="AX96">
        <f>IF(AW96=1,COUNTIF($AW$5:AW96,1),"")</f>
        <v/>
      </c>
      <c r="AY96">
        <f>IF(AH!$M$5="Snapshot",IF(ISNUMBER(G96),G96,"unavailable"),IF(AND(ISNUMBER(K96),N(K96)&gt;0),K96,IF(AH!$M$5="Auto",IF(ISNUMBER(G96),G96,"unavailable"),"unavailable")))</f>
        <v/>
      </c>
      <c r="AZ96">
        <f>IF(AND(AH!$M$5&lt;&gt;"Snapshot",ISNUMBER(K96),N(K96)&gt;0),"Bloomberg",IF(AND(AH!$M$5&lt;&gt;"Bloomberg",ISNUMBER(G96)),"Snapshot","Unavailable"))</f>
        <v/>
      </c>
      <c r="BA96">
        <f>IF(AZ96="Bloomberg",M96,H96)</f>
        <v/>
      </c>
      <c r="BB96">
        <f>1</f>
        <v/>
      </c>
    </row>
    <row r="97">
      <c r="A97" s="31" t="inlineStr">
        <is>
          <t>1304</t>
        </is>
      </c>
      <c r="B97" s="15" t="inlineStr">
        <is>
          <t>FORTIOR</t>
        </is>
      </c>
      <c r="C97" s="15" t="inlineStr">
        <is>
          <t>Tech/AI</t>
        </is>
      </c>
      <c r="D97" s="15" t="inlineStr">
        <is>
          <t>Analog / power semiconductors</t>
        </is>
      </c>
      <c r="E97" s="34" t="n">
        <v>45847</v>
      </c>
      <c r="F97" s="15" t="n">
        <v>120.5</v>
      </c>
      <c r="G97" s="15" t="n">
        <v>118.9</v>
      </c>
      <c r="H97" s="34" t="n">
        <v>46297</v>
      </c>
      <c r="I97" s="31" t="inlineStr">
        <is>
          <t>688279.SS</t>
        </is>
      </c>
      <c r="J97" s="15" t="n">
        <v>23</v>
      </c>
      <c r="K97" s="15">
        <f>IF(AND(AH!$M$5="Snapshot",'IPO Live'!$M$5="Snapshot"),"",IFERROR(BDP(TEXT(VALUE($A97),"0")&amp;" HK Equity","PX_LAST"),""))</f>
        <v/>
      </c>
      <c r="L97" s="15">
        <f>IF(AND(AH!$M$5="Snapshot",'IPO Live'!$M$5="Snapshot"),"",IFERROR(BDP(TEXT(VALUE($A97),"0")&amp;" HK Equity","CHG_PCT_1D")/100,""))</f>
        <v/>
      </c>
      <c r="M97" s="15">
        <f>IF(AND(AH!$M$5="Snapshot",'IPO Live'!$M$5="Snapshot"),"",IFERROR(BDP(TEXT(VALUE($A97),"0")&amp;" HK Equity","LAST_UPDATE_DT"),""))</f>
        <v/>
      </c>
      <c r="N97" s="15">
        <f>IF(AND(AH!$M$5="Snapshot",'IPO Live'!$M$5="Snapshot"),"",IFERROR(BDP(TEXT(VALUE($A97),"0")&amp;" HK Equity","LAST_UPDATE"),""))</f>
        <v/>
      </c>
      <c r="O97" s="15">
        <f>IF('IPO Live'!$M$5="Snapshot",IF(ISNUMBER(G97),G97,"unavailable"),IF(AND(ISNUMBER(K97),N(K97)&gt;0),K97,IF('IPO Live'!$M$5="Auto",IF(ISNUMBER(G97),G97,"unavailable"),"unavailable")))</f>
        <v/>
      </c>
      <c r="P97" s="15">
        <f>IF(AND('IPO Live'!$M$5&lt;&gt;"Snapshot",ISNUMBER(K97),N(K97)&gt;0),"Bloomberg",IF(AND('IPO Live'!$M$5&lt;&gt;"Bloomberg",ISNUMBER(G97)),"Snapshot","Unavailable"))</f>
        <v/>
      </c>
      <c r="Q97" s="33">
        <f>IF(AND(P97="Bloomberg",ISNUMBER(L97)),L97,"unavailable")</f>
        <v/>
      </c>
      <c r="R97" s="15">
        <f>IF(OR('IPO Live'!$B$5="All",'IPO Live'!$B$5=C97,AND('IPO Live'!$B$5="A/H only",J97&gt;0)),1,0)</f>
        <v/>
      </c>
      <c r="S97" s="15">
        <f>IF(R97=1,COUNTIF($R$5:R97,1),"")</f>
        <v/>
      </c>
      <c r="T97">
        <f>1</f>
        <v/>
      </c>
      <c r="U97">
        <f>IF($P97="Bloomberg",$M97,$H97)</f>
        <v/>
      </c>
      <c r="AW97">
        <f>IF(AND(J97&gt;0,OR(AH!$I$5="All",AH!$I$5="A/H only",AH!$I$5=C97)),1,0)</f>
        <v/>
      </c>
      <c r="AX97">
        <f>IF(AW97=1,COUNTIF($AW$5:AW97,1),"")</f>
        <v/>
      </c>
      <c r="AY97">
        <f>IF(AH!$M$5="Snapshot",IF(ISNUMBER(G97),G97,"unavailable"),IF(AND(ISNUMBER(K97),N(K97)&gt;0),K97,IF(AH!$M$5="Auto",IF(ISNUMBER(G97),G97,"unavailable"),"unavailable")))</f>
        <v/>
      </c>
      <c r="AZ97">
        <f>IF(AND(AH!$M$5&lt;&gt;"Snapshot",ISNUMBER(K97),N(K97)&gt;0),"Bloomberg",IF(AND(AH!$M$5&lt;&gt;"Bloomberg",ISNUMBER(G97)),"Snapshot","Unavailable"))</f>
        <v/>
      </c>
      <c r="BA97">
        <f>IF(AZ97="Bloomberg",M97,H97)</f>
        <v/>
      </c>
      <c r="BB97">
        <f>1</f>
        <v/>
      </c>
    </row>
    <row r="98">
      <c r="A98" s="31" t="inlineStr">
        <is>
          <t>6613</t>
        </is>
      </c>
      <c r="B98" s="15" t="inlineStr">
        <is>
          <t>LENS</t>
        </is>
      </c>
      <c r="C98" s="15" t="inlineStr">
        <is>
          <t>Tech/AI</t>
        </is>
      </c>
      <c r="D98" s="15" t="inlineStr">
        <is>
          <t>Smart hardware / consumer electronics</t>
        </is>
      </c>
      <c r="E98" s="34" t="n">
        <v>45847</v>
      </c>
      <c r="F98" s="15" t="n">
        <v>18.18</v>
      </c>
      <c r="G98" s="15" t="n">
        <v>21.36</v>
      </c>
      <c r="H98" s="34" t="n">
        <v>46297</v>
      </c>
      <c r="I98" s="31" t="inlineStr">
        <is>
          <t>300433.SZ</t>
        </is>
      </c>
      <c r="J98" s="15" t="n">
        <v>24</v>
      </c>
      <c r="K98" s="15">
        <f>IF(AND(AH!$M$5="Snapshot",'IPO Live'!$M$5="Snapshot"),"",IFERROR(BDP(TEXT(VALUE($A98),"0")&amp;" HK Equity","PX_LAST"),""))</f>
        <v/>
      </c>
      <c r="L98" s="15">
        <f>IF(AND(AH!$M$5="Snapshot",'IPO Live'!$M$5="Snapshot"),"",IFERROR(BDP(TEXT(VALUE($A98),"0")&amp;" HK Equity","CHG_PCT_1D")/100,""))</f>
        <v/>
      </c>
      <c r="M98" s="15">
        <f>IF(AND(AH!$M$5="Snapshot",'IPO Live'!$M$5="Snapshot"),"",IFERROR(BDP(TEXT(VALUE($A98),"0")&amp;" HK Equity","LAST_UPDATE_DT"),""))</f>
        <v/>
      </c>
      <c r="N98" s="15">
        <f>IF(AND(AH!$M$5="Snapshot",'IPO Live'!$M$5="Snapshot"),"",IFERROR(BDP(TEXT(VALUE($A98),"0")&amp;" HK Equity","LAST_UPDATE"),""))</f>
        <v/>
      </c>
      <c r="O98" s="15">
        <f>IF('IPO Live'!$M$5="Snapshot",IF(ISNUMBER(G98),G98,"unavailable"),IF(AND(ISNUMBER(K98),N(K98)&gt;0),K98,IF('IPO Live'!$M$5="Auto",IF(ISNUMBER(G98),G98,"unavailable"),"unavailable")))</f>
        <v/>
      </c>
      <c r="P98" s="15">
        <f>IF(AND('IPO Live'!$M$5&lt;&gt;"Snapshot",ISNUMBER(K98),N(K98)&gt;0),"Bloomberg",IF(AND('IPO Live'!$M$5&lt;&gt;"Bloomberg",ISNUMBER(G98)),"Snapshot","Unavailable"))</f>
        <v/>
      </c>
      <c r="Q98" s="33">
        <f>IF(AND(P98="Bloomberg",ISNUMBER(L98)),L98,"unavailable")</f>
        <v/>
      </c>
      <c r="R98" s="15">
        <f>IF(OR('IPO Live'!$B$5="All",'IPO Live'!$B$5=C98,AND('IPO Live'!$B$5="A/H only",J98&gt;0)),1,0)</f>
        <v/>
      </c>
      <c r="S98" s="15">
        <f>IF(R98=1,COUNTIF($R$5:R98,1),"")</f>
        <v/>
      </c>
      <c r="T98">
        <f>1</f>
        <v/>
      </c>
      <c r="U98">
        <f>IF($P98="Bloomberg",$M98,$H98)</f>
        <v/>
      </c>
      <c r="AW98">
        <f>IF(AND(J98&gt;0,OR(AH!$I$5="All",AH!$I$5="A/H only",AH!$I$5=C98)),1,0)</f>
        <v/>
      </c>
      <c r="AX98">
        <f>IF(AW98=1,COUNTIF($AW$5:AW98,1),"")</f>
        <v/>
      </c>
      <c r="AY98">
        <f>IF(AH!$M$5="Snapshot",IF(ISNUMBER(G98),G98,"unavailable"),IF(AND(ISNUMBER(K98),N(K98)&gt;0),K98,IF(AH!$M$5="Auto",IF(ISNUMBER(G98),G98,"unavailable"),"unavailable")))</f>
        <v/>
      </c>
      <c r="AZ98">
        <f>IF(AND(AH!$M$5&lt;&gt;"Snapshot",ISNUMBER(K98),N(K98)&gt;0),"Bloomberg",IF(AND(AH!$M$5&lt;&gt;"Bloomberg",ISNUMBER(G98)),"Snapshot","Unavailable"))</f>
        <v/>
      </c>
      <c r="BA98">
        <f>IF(AZ98="Bloomberg",M98,H98)</f>
        <v/>
      </c>
      <c r="BB98">
        <f>1</f>
        <v/>
      </c>
    </row>
    <row r="99">
      <c r="A99" s="31" t="inlineStr">
        <is>
          <t>2076</t>
        </is>
      </c>
      <c r="B99" s="15" t="inlineStr">
        <is>
          <t>BOSS ZHIPIN-W</t>
        </is>
      </c>
      <c r="C99" s="15" t="inlineStr">
        <is>
          <t>Tech/AI</t>
        </is>
      </c>
      <c r="D99" s="15" t="inlineStr">
        <is>
          <t>Internet platform / e-commerce</t>
        </is>
      </c>
      <c r="E99" s="34" t="n">
        <v>45842</v>
      </c>
      <c r="F99" s="15" t="n">
        <v>66</v>
      </c>
      <c r="G99" s="15" t="n">
        <v>57.5</v>
      </c>
      <c r="H99" s="34" t="n">
        <v>46297</v>
      </c>
      <c r="I99" s="31" t="n"/>
      <c r="J99" s="15" t="n">
        <v>0</v>
      </c>
      <c r="K99" s="15">
        <f>IF(AND(AH!$M$5="Snapshot",'IPO Live'!$M$5="Snapshot"),"",IFERROR(BDP(TEXT(VALUE($A99),"0")&amp;" HK Equity","PX_LAST"),""))</f>
        <v/>
      </c>
      <c r="L99" s="15">
        <f>IF(AND(AH!$M$5="Snapshot",'IPO Live'!$M$5="Snapshot"),"",IFERROR(BDP(TEXT(VALUE($A99),"0")&amp;" HK Equity","CHG_PCT_1D")/100,""))</f>
        <v/>
      </c>
      <c r="M99" s="15">
        <f>IF(AND(AH!$M$5="Snapshot",'IPO Live'!$M$5="Snapshot"),"",IFERROR(BDP(TEXT(VALUE($A99),"0")&amp;" HK Equity","LAST_UPDATE_DT"),""))</f>
        <v/>
      </c>
      <c r="N99" s="15">
        <f>IF(AND(AH!$M$5="Snapshot",'IPO Live'!$M$5="Snapshot"),"",IFERROR(BDP(TEXT(VALUE($A99),"0")&amp;" HK Equity","LAST_UPDATE"),""))</f>
        <v/>
      </c>
      <c r="O99" s="15">
        <f>IF('IPO Live'!$M$5="Snapshot",IF(ISNUMBER(G99),G99,"unavailable"),IF(AND(ISNUMBER(K99),N(K99)&gt;0),K99,IF('IPO Live'!$M$5="Auto",IF(ISNUMBER(G99),G99,"unavailable"),"unavailable")))</f>
        <v/>
      </c>
      <c r="P99" s="15">
        <f>IF(AND('IPO Live'!$M$5&lt;&gt;"Snapshot",ISNUMBER(K99),N(K99)&gt;0),"Bloomberg",IF(AND('IPO Live'!$M$5&lt;&gt;"Bloomberg",ISNUMBER(G99)),"Snapshot","Unavailable"))</f>
        <v/>
      </c>
      <c r="Q99" s="33">
        <f>IF(AND(P99="Bloomberg",ISNUMBER(L99)),L99,"unavailable")</f>
        <v/>
      </c>
      <c r="R99" s="15">
        <f>IF(OR('IPO Live'!$B$5="All",'IPO Live'!$B$5=C99,AND('IPO Live'!$B$5="A/H only",J99&gt;0)),1,0)</f>
        <v/>
      </c>
      <c r="S99" s="15">
        <f>IF(R99=1,COUNTIF($R$5:R99,1),"")</f>
        <v/>
      </c>
      <c r="T99">
        <f>1</f>
        <v/>
      </c>
      <c r="U99">
        <f>IF($P99="Bloomberg",$M99,$H99)</f>
        <v/>
      </c>
      <c r="AW99">
        <f>IF(AND(J99&gt;0,OR(AH!$I$5="All",AH!$I$5="A/H only",AH!$I$5=C99)),1,0)</f>
        <v/>
      </c>
      <c r="AX99">
        <f>IF(AW99=1,COUNTIF($AW$5:AW99,1),"")</f>
        <v/>
      </c>
      <c r="AY99">
        <f>IF(AH!$M$5="Snapshot",IF(ISNUMBER(G99),G99,"unavailable"),IF(AND(ISNUMBER(K99),N(K99)&gt;0),K99,IF(AH!$M$5="Auto",IF(ISNUMBER(G99),G99,"unavailable"),"unavailable")))</f>
        <v/>
      </c>
      <c r="AZ99">
        <f>IF(AND(AH!$M$5&lt;&gt;"Snapshot",ISNUMBER(K99),N(K99)&gt;0),"Bloomberg",IF(AND(AH!$M$5&lt;&gt;"Bloomberg",ISNUMBER(G99)),"Snapshot","Unavailable"))</f>
        <v/>
      </c>
      <c r="BA99">
        <f>IF(AZ99="Bloomberg",M99,H99)</f>
        <v/>
      </c>
      <c r="BB99">
        <f>1</f>
        <v/>
      </c>
    </row>
    <row r="100">
      <c r="A100" s="31" t="inlineStr">
        <is>
          <t>9678</t>
        </is>
      </c>
      <c r="B100" s="15" t="inlineStr">
        <is>
          <t>UNISOUND</t>
        </is>
      </c>
      <c r="C100" s="15" t="inlineStr">
        <is>
          <t>Tech/AI</t>
        </is>
      </c>
      <c r="D100" s="15" t="inlineStr">
        <is>
          <t>AI application / agent software</t>
        </is>
      </c>
      <c r="E100" s="34" t="n">
        <v>45838</v>
      </c>
      <c r="F100" s="15" t="n">
        <v>205</v>
      </c>
      <c r="G100" s="15" t="n">
        <v>66.90000000000001</v>
      </c>
      <c r="H100" s="34" t="n">
        <v>46297</v>
      </c>
      <c r="I100" s="31" t="n"/>
      <c r="J100" s="15" t="n">
        <v>0</v>
      </c>
      <c r="K100" s="15">
        <f>IF(AND(AH!$M$5="Snapshot",'IPO Live'!$M$5="Snapshot"),"",IFERROR(BDP(TEXT(VALUE($A100),"0")&amp;" HK Equity","PX_LAST"),""))</f>
        <v/>
      </c>
      <c r="L100" s="15">
        <f>IF(AND(AH!$M$5="Snapshot",'IPO Live'!$M$5="Snapshot"),"",IFERROR(BDP(TEXT(VALUE($A100),"0")&amp;" HK Equity","CHG_PCT_1D")/100,""))</f>
        <v/>
      </c>
      <c r="M100" s="15">
        <f>IF(AND(AH!$M$5="Snapshot",'IPO Live'!$M$5="Snapshot"),"",IFERROR(BDP(TEXT(VALUE($A100),"0")&amp;" HK Equity","LAST_UPDATE_DT"),""))</f>
        <v/>
      </c>
      <c r="N100" s="15">
        <f>IF(AND(AH!$M$5="Snapshot",'IPO Live'!$M$5="Snapshot"),"",IFERROR(BDP(TEXT(VALUE($A100),"0")&amp;" HK Equity","LAST_UPDATE"),""))</f>
        <v/>
      </c>
      <c r="O100" s="15">
        <f>IF('IPO Live'!$M$5="Snapshot",IF(ISNUMBER(G100),G100,"unavailable"),IF(AND(ISNUMBER(K100),N(K100)&gt;0),K100,IF('IPO Live'!$M$5="Auto",IF(ISNUMBER(G100),G100,"unavailable"),"unavailable")))</f>
        <v/>
      </c>
      <c r="P100" s="15">
        <f>IF(AND('IPO Live'!$M$5&lt;&gt;"Snapshot",ISNUMBER(K100),N(K100)&gt;0),"Bloomberg",IF(AND('IPO Live'!$M$5&lt;&gt;"Bloomberg",ISNUMBER(G100)),"Snapshot","Unavailable"))</f>
        <v/>
      </c>
      <c r="Q100" s="33">
        <f>IF(AND(P100="Bloomberg",ISNUMBER(L100)),L100,"unavailable")</f>
        <v/>
      </c>
      <c r="R100" s="15">
        <f>IF(OR('IPO Live'!$B$5="All",'IPO Live'!$B$5=C100,AND('IPO Live'!$B$5="A/H only",J100&gt;0)),1,0)</f>
        <v/>
      </c>
      <c r="S100" s="15">
        <f>IF(R100=1,COUNTIF($R$5:R100,1),"")</f>
        <v/>
      </c>
      <c r="T100">
        <f>1</f>
        <v/>
      </c>
      <c r="U100">
        <f>IF($P100="Bloomberg",$M100,$H100)</f>
        <v/>
      </c>
      <c r="AW100">
        <f>IF(AND(J100&gt;0,OR(AH!$I$5="All",AH!$I$5="A/H only",AH!$I$5=C100)),1,0)</f>
        <v/>
      </c>
      <c r="AX100">
        <f>IF(AW100=1,COUNTIF($AW$5:AW100,1),"")</f>
        <v/>
      </c>
      <c r="AY100">
        <f>IF(AH!$M$5="Snapshot",IF(ISNUMBER(G100),G100,"unavailable"),IF(AND(ISNUMBER(K100),N(K100)&gt;0),K100,IF(AH!$M$5="Auto",IF(ISNUMBER(G100),G100,"unavailable"),"unavailable")))</f>
        <v/>
      </c>
      <c r="AZ100">
        <f>IF(AND(AH!$M$5&lt;&gt;"Snapshot",ISNUMBER(K100),N(K100)&gt;0),"Bloomberg",IF(AND(AH!$M$5&lt;&gt;"Bloomberg",ISNUMBER(G100)),"Snapshot","Unavailable"))</f>
        <v/>
      </c>
      <c r="BA100">
        <f>IF(AZ100="Bloomberg",M100,H100)</f>
        <v/>
      </c>
      <c r="BB100">
        <f>1</f>
        <v/>
      </c>
    </row>
    <row r="101">
      <c r="A101" s="31" t="inlineStr">
        <is>
          <t>2619</t>
        </is>
      </c>
      <c r="B101" s="15" t="inlineStr">
        <is>
          <t>XJ ELECTRICS</t>
        </is>
      </c>
      <c r="C101" s="15" t="inlineStr">
        <is>
          <t>Tech/AI</t>
        </is>
      </c>
      <c r="D101" s="15" t="inlineStr">
        <is>
          <t>Smart hardware / consumer electronics</t>
        </is>
      </c>
      <c r="E101" s="34" t="n">
        <v>45833</v>
      </c>
      <c r="F101" s="15" t="n">
        <v>2.86</v>
      </c>
      <c r="G101" s="15" t="n">
        <v>1.145</v>
      </c>
      <c r="H101" s="34" t="n">
        <v>46297</v>
      </c>
      <c r="I101" s="31" t="n"/>
      <c r="J101" s="15" t="n">
        <v>0</v>
      </c>
      <c r="K101" s="15">
        <f>IF(AND(AH!$M$5="Snapshot",'IPO Live'!$M$5="Snapshot"),"",IFERROR(BDP(TEXT(VALUE($A101),"0")&amp;" HK Equity","PX_LAST"),""))</f>
        <v/>
      </c>
      <c r="L101" s="15">
        <f>IF(AND(AH!$M$5="Snapshot",'IPO Live'!$M$5="Snapshot"),"",IFERROR(BDP(TEXT(VALUE($A101),"0")&amp;" HK Equity","CHG_PCT_1D")/100,""))</f>
        <v/>
      </c>
      <c r="M101" s="15">
        <f>IF(AND(AH!$M$5="Snapshot",'IPO Live'!$M$5="Snapshot"),"",IFERROR(BDP(TEXT(VALUE($A101),"0")&amp;" HK Equity","LAST_UPDATE_DT"),""))</f>
        <v/>
      </c>
      <c r="N101" s="15">
        <f>IF(AND(AH!$M$5="Snapshot",'IPO Live'!$M$5="Snapshot"),"",IFERROR(BDP(TEXT(VALUE($A101),"0")&amp;" HK Equity","LAST_UPDATE"),""))</f>
        <v/>
      </c>
      <c r="O101" s="15">
        <f>IF('IPO Live'!$M$5="Snapshot",IF(ISNUMBER(G101),G101,"unavailable"),IF(AND(ISNUMBER(K101),N(K101)&gt;0),K101,IF('IPO Live'!$M$5="Auto",IF(ISNUMBER(G101),G101,"unavailable"),"unavailable")))</f>
        <v/>
      </c>
      <c r="P101" s="15">
        <f>IF(AND('IPO Live'!$M$5&lt;&gt;"Snapshot",ISNUMBER(K101),N(K101)&gt;0),"Bloomberg",IF(AND('IPO Live'!$M$5&lt;&gt;"Bloomberg",ISNUMBER(G101)),"Snapshot","Unavailable"))</f>
        <v/>
      </c>
      <c r="Q101" s="33">
        <f>IF(AND(P101="Bloomberg",ISNUMBER(L101)),L101,"unavailable")</f>
        <v/>
      </c>
      <c r="R101" s="15">
        <f>IF(OR('IPO Live'!$B$5="All",'IPO Live'!$B$5=C101,AND('IPO Live'!$B$5="A/H only",J101&gt;0)),1,0)</f>
        <v/>
      </c>
      <c r="S101" s="15">
        <f>IF(R101=1,COUNTIF($R$5:R101,1),"")</f>
        <v/>
      </c>
      <c r="T101">
        <f>1</f>
        <v/>
      </c>
      <c r="U101">
        <f>IF($P101="Bloomberg",$M101,$H101)</f>
        <v/>
      </c>
      <c r="AW101">
        <f>IF(AND(J101&gt;0,OR(AH!$I$5="All",AH!$I$5="A/H only",AH!$I$5=C101)),1,0)</f>
        <v/>
      </c>
      <c r="AX101">
        <f>IF(AW101=1,COUNTIF($AW$5:AW101,1),"")</f>
        <v/>
      </c>
      <c r="AY101">
        <f>IF(AH!$M$5="Snapshot",IF(ISNUMBER(G101),G101,"unavailable"),IF(AND(ISNUMBER(K101),N(K101)&gt;0),K101,IF(AH!$M$5="Auto",IF(ISNUMBER(G101),G101,"unavailable"),"unavailable")))</f>
        <v/>
      </c>
      <c r="AZ101">
        <f>IF(AND(AH!$M$5&lt;&gt;"Snapshot",ISNUMBER(K101),N(K101)&gt;0),"Bloomberg",IF(AND(AH!$M$5&lt;&gt;"Bloomberg",ISNUMBER(G101)),"Snapshot","Unavailable"))</f>
        <v/>
      </c>
      <c r="BA101">
        <f>IF(AZ101="Bloomberg",M101,H101)</f>
        <v/>
      </c>
      <c r="BB101">
        <f>1</f>
        <v/>
      </c>
    </row>
    <row r="102">
      <c r="A102" s="31" t="inlineStr">
        <is>
          <t>2643</t>
        </is>
      </c>
      <c r="B102" s="15" t="inlineStr">
        <is>
          <t>CAOCAO INC</t>
        </is>
      </c>
      <c r="C102" s="15" t="inlineStr">
        <is>
          <t>Tech/AI</t>
        </is>
      </c>
      <c r="D102" s="15" t="inlineStr">
        <is>
          <t>Internet platform / e-commerce</t>
        </is>
      </c>
      <c r="E102" s="34" t="n">
        <v>45833</v>
      </c>
      <c r="F102" s="15" t="n">
        <v>41.94</v>
      </c>
      <c r="G102" s="15" t="n">
        <v>11.74</v>
      </c>
      <c r="H102" s="34" t="n">
        <v>46297</v>
      </c>
      <c r="I102" s="31" t="n"/>
      <c r="J102" s="15" t="n">
        <v>0</v>
      </c>
      <c r="K102" s="15">
        <f>IF(AND(AH!$M$5="Snapshot",'IPO Live'!$M$5="Snapshot"),"",IFERROR(BDP(TEXT(VALUE($A102),"0")&amp;" HK Equity","PX_LAST"),""))</f>
        <v/>
      </c>
      <c r="L102" s="15">
        <f>IF(AND(AH!$M$5="Snapshot",'IPO Live'!$M$5="Snapshot"),"",IFERROR(BDP(TEXT(VALUE($A102),"0")&amp;" HK Equity","CHG_PCT_1D")/100,""))</f>
        <v/>
      </c>
      <c r="M102" s="15">
        <f>IF(AND(AH!$M$5="Snapshot",'IPO Live'!$M$5="Snapshot"),"",IFERROR(BDP(TEXT(VALUE($A102),"0")&amp;" HK Equity","LAST_UPDATE_DT"),""))</f>
        <v/>
      </c>
      <c r="N102" s="15">
        <f>IF(AND(AH!$M$5="Snapshot",'IPO Live'!$M$5="Snapshot"),"",IFERROR(BDP(TEXT(VALUE($A102),"0")&amp;" HK Equity","LAST_UPDATE"),""))</f>
        <v/>
      </c>
      <c r="O102" s="15">
        <f>IF('IPO Live'!$M$5="Snapshot",IF(ISNUMBER(G102),G102,"unavailable"),IF(AND(ISNUMBER(K102),N(K102)&gt;0),K102,IF('IPO Live'!$M$5="Auto",IF(ISNUMBER(G102),G102,"unavailable"),"unavailable")))</f>
        <v/>
      </c>
      <c r="P102" s="15">
        <f>IF(AND('IPO Live'!$M$5&lt;&gt;"Snapshot",ISNUMBER(K102),N(K102)&gt;0),"Bloomberg",IF(AND('IPO Live'!$M$5&lt;&gt;"Bloomberg",ISNUMBER(G102)),"Snapshot","Unavailable"))</f>
        <v/>
      </c>
      <c r="Q102" s="33">
        <f>IF(AND(P102="Bloomberg",ISNUMBER(L102)),L102,"unavailable")</f>
        <v/>
      </c>
      <c r="R102" s="15">
        <f>IF(OR('IPO Live'!$B$5="All",'IPO Live'!$B$5=C102,AND('IPO Live'!$B$5="A/H only",J102&gt;0)),1,0)</f>
        <v/>
      </c>
      <c r="S102" s="15">
        <f>IF(R102=1,COUNTIF($R$5:R102,1),"")</f>
        <v/>
      </c>
      <c r="T102">
        <f>1</f>
        <v/>
      </c>
      <c r="U102">
        <f>IF($P102="Bloomberg",$M102,$H102)</f>
        <v/>
      </c>
      <c r="AW102">
        <f>IF(AND(J102&gt;0,OR(AH!$I$5="All",AH!$I$5="A/H only",AH!$I$5=C102)),1,0)</f>
        <v/>
      </c>
      <c r="AX102">
        <f>IF(AW102=1,COUNTIF($AW$5:AW102,1),"")</f>
        <v/>
      </c>
      <c r="AY102">
        <f>IF(AH!$M$5="Snapshot",IF(ISNUMBER(G102),G102,"unavailable"),IF(AND(ISNUMBER(K102),N(K102)&gt;0),K102,IF(AH!$M$5="Auto",IF(ISNUMBER(G102),G102,"unavailable"),"unavailable")))</f>
        <v/>
      </c>
      <c r="AZ102">
        <f>IF(AND(AH!$M$5&lt;&gt;"Snapshot",ISNUMBER(K102),N(K102)&gt;0),"Bloomberg",IF(AND(AH!$M$5&lt;&gt;"Bloomberg",ISNUMBER(G102)),"Snapshot","Unavailable"))</f>
        <v/>
      </c>
      <c r="BA102">
        <f>IF(AZ102="Bloomberg",M102,H102)</f>
        <v/>
      </c>
      <c r="BB102">
        <f>1</f>
        <v/>
      </c>
    </row>
    <row r="103">
      <c r="A103" s="31" t="inlineStr">
        <is>
          <t>9881</t>
        </is>
      </c>
      <c r="B103" s="15" t="inlineStr">
        <is>
          <t>RONGTA TECH</t>
        </is>
      </c>
      <c r="C103" s="15" t="inlineStr">
        <is>
          <t>Tech/AI</t>
        </is>
      </c>
      <c r="D103" s="15" t="inlineStr">
        <is>
          <t>Smart hardware / consumer electronics</t>
        </is>
      </c>
      <c r="E103" s="34" t="n">
        <v>45818</v>
      </c>
      <c r="F103" s="15" t="n">
        <v>10</v>
      </c>
      <c r="G103" s="15" t="n">
        <v>17.7</v>
      </c>
      <c r="H103" s="34" t="n">
        <v>46112</v>
      </c>
      <c r="I103" s="31" t="n"/>
      <c r="J103" s="15" t="n">
        <v>0</v>
      </c>
      <c r="K103" s="15">
        <f>IF(AND(AH!$M$5="Snapshot",'IPO Live'!$M$5="Snapshot"),"",IFERROR(BDP(TEXT(VALUE($A103),"0")&amp;" HK Equity","PX_LAST"),""))</f>
        <v/>
      </c>
      <c r="L103" s="15">
        <f>IF(AND(AH!$M$5="Snapshot",'IPO Live'!$M$5="Snapshot"),"",IFERROR(BDP(TEXT(VALUE($A103),"0")&amp;" HK Equity","CHG_PCT_1D")/100,""))</f>
        <v/>
      </c>
      <c r="M103" s="15">
        <f>IF(AND(AH!$M$5="Snapshot",'IPO Live'!$M$5="Snapshot"),"",IFERROR(BDP(TEXT(VALUE($A103),"0")&amp;" HK Equity","LAST_UPDATE_DT"),""))</f>
        <v/>
      </c>
      <c r="N103" s="15">
        <f>IF(AND(AH!$M$5="Snapshot",'IPO Live'!$M$5="Snapshot"),"",IFERROR(BDP(TEXT(VALUE($A103),"0")&amp;" HK Equity","LAST_UPDATE"),""))</f>
        <v/>
      </c>
      <c r="O103" s="15">
        <f>IF('IPO Live'!$M$5="Snapshot",IF(ISNUMBER(G103),G103,"unavailable"),IF(AND(ISNUMBER(K103),N(K103)&gt;0),K103,IF('IPO Live'!$M$5="Auto",IF(ISNUMBER(G103),G103,"unavailable"),"unavailable")))</f>
        <v/>
      </c>
      <c r="P103" s="15">
        <f>IF(AND('IPO Live'!$M$5&lt;&gt;"Snapshot",ISNUMBER(K103),N(K103)&gt;0),"Bloomberg",IF(AND('IPO Live'!$M$5&lt;&gt;"Bloomberg",ISNUMBER(G103)),"Snapshot","Unavailable"))</f>
        <v/>
      </c>
      <c r="Q103" s="33">
        <f>IF(AND(P103="Bloomberg",ISNUMBER(L103)),L103,"unavailable")</f>
        <v/>
      </c>
      <c r="R103" s="15">
        <f>IF(OR('IPO Live'!$B$5="All",'IPO Live'!$B$5=C103,AND('IPO Live'!$B$5="A/H only",J103&gt;0)),1,0)</f>
        <v/>
      </c>
      <c r="S103" s="15">
        <f>IF(R103=1,COUNTIF($R$5:R103,1),"")</f>
        <v/>
      </c>
      <c r="T103">
        <f>1</f>
        <v/>
      </c>
      <c r="U103">
        <f>IF($P103="Bloomberg",$M103,$H103)</f>
        <v/>
      </c>
      <c r="AW103">
        <f>IF(AND(J103&gt;0,OR(AH!$I$5="All",AH!$I$5="A/H only",AH!$I$5=C103)),1,0)</f>
        <v/>
      </c>
      <c r="AX103">
        <f>IF(AW103=1,COUNTIF($AW$5:AW103,1),"")</f>
        <v/>
      </c>
      <c r="AY103">
        <f>IF(AH!$M$5="Snapshot",IF(ISNUMBER(G103),G103,"unavailable"),IF(AND(ISNUMBER(K103),N(K103)&gt;0),K103,IF(AH!$M$5="Auto",IF(ISNUMBER(G103),G103,"unavailable"),"unavailable")))</f>
        <v/>
      </c>
      <c r="AZ103">
        <f>IF(AND(AH!$M$5&lt;&gt;"Snapshot",ISNUMBER(K103),N(K103)&gt;0),"Bloomberg",IF(AND(AH!$M$5&lt;&gt;"Bloomberg",ISNUMBER(G103)),"Snapshot","Unavailable"))</f>
        <v/>
      </c>
      <c r="BA103">
        <f>IF(AZ103="Bloomberg",M103,H103)</f>
        <v/>
      </c>
      <c r="BB103">
        <f>1</f>
        <v/>
      </c>
    </row>
    <row r="104">
      <c r="A104" s="31" t="inlineStr">
        <is>
          <t>2605</t>
        </is>
      </c>
      <c r="B104" s="15" t="inlineStr">
        <is>
          <t>METALIGHT</t>
        </is>
      </c>
      <c r="C104" s="15" t="inlineStr">
        <is>
          <t>Tech/AI</t>
        </is>
      </c>
      <c r="D104" s="15" t="inlineStr">
        <is>
          <t>Internet platform / e-commerce</t>
        </is>
      </c>
      <c r="E104" s="34" t="n">
        <v>45818</v>
      </c>
      <c r="F104" s="15" t="n">
        <v>9.75</v>
      </c>
      <c r="G104" s="15" t="n">
        <v>1.15</v>
      </c>
      <c r="H104" s="34" t="n">
        <v>46297</v>
      </c>
      <c r="I104" s="31" t="n"/>
      <c r="J104" s="15" t="n">
        <v>0</v>
      </c>
      <c r="K104" s="15">
        <f>IF(AND(AH!$M$5="Snapshot",'IPO Live'!$M$5="Snapshot"),"",IFERROR(BDP(TEXT(VALUE($A104),"0")&amp;" HK Equity","PX_LAST"),""))</f>
        <v/>
      </c>
      <c r="L104" s="15">
        <f>IF(AND(AH!$M$5="Snapshot",'IPO Live'!$M$5="Snapshot"),"",IFERROR(BDP(TEXT(VALUE($A104),"0")&amp;" HK Equity","CHG_PCT_1D")/100,""))</f>
        <v/>
      </c>
      <c r="M104" s="15">
        <f>IF(AND(AH!$M$5="Snapshot",'IPO Live'!$M$5="Snapshot"),"",IFERROR(BDP(TEXT(VALUE($A104),"0")&amp;" HK Equity","LAST_UPDATE_DT"),""))</f>
        <v/>
      </c>
      <c r="N104" s="15">
        <f>IF(AND(AH!$M$5="Snapshot",'IPO Live'!$M$5="Snapshot"),"",IFERROR(BDP(TEXT(VALUE($A104),"0")&amp;" HK Equity","LAST_UPDATE"),""))</f>
        <v/>
      </c>
      <c r="O104" s="15">
        <f>IF('IPO Live'!$M$5="Snapshot",IF(ISNUMBER(G104),G104,"unavailable"),IF(AND(ISNUMBER(K104),N(K104)&gt;0),K104,IF('IPO Live'!$M$5="Auto",IF(ISNUMBER(G104),G104,"unavailable"),"unavailable")))</f>
        <v/>
      </c>
      <c r="P104" s="15">
        <f>IF(AND('IPO Live'!$M$5&lt;&gt;"Snapshot",ISNUMBER(K104),N(K104)&gt;0),"Bloomberg",IF(AND('IPO Live'!$M$5&lt;&gt;"Bloomberg",ISNUMBER(G104)),"Snapshot","Unavailable"))</f>
        <v/>
      </c>
      <c r="Q104" s="33">
        <f>IF(AND(P104="Bloomberg",ISNUMBER(L104)),L104,"unavailable")</f>
        <v/>
      </c>
      <c r="R104" s="15">
        <f>IF(OR('IPO Live'!$B$5="All",'IPO Live'!$B$5=C104,AND('IPO Live'!$B$5="A/H only",J104&gt;0)),1,0)</f>
        <v/>
      </c>
      <c r="S104" s="15">
        <f>IF(R104=1,COUNTIF($R$5:R104,1),"")</f>
        <v/>
      </c>
      <c r="T104">
        <f>1</f>
        <v/>
      </c>
      <c r="U104">
        <f>IF($P104="Bloomberg",$M104,$H104)</f>
        <v/>
      </c>
      <c r="AW104">
        <f>IF(AND(J104&gt;0,OR(AH!$I$5="All",AH!$I$5="A/H only",AH!$I$5=C104)),1,0)</f>
        <v/>
      </c>
      <c r="AX104">
        <f>IF(AW104=1,COUNTIF($AW$5:AW104,1),"")</f>
        <v/>
      </c>
      <c r="AY104">
        <f>IF(AH!$M$5="Snapshot",IF(ISNUMBER(G104),G104,"unavailable"),IF(AND(ISNUMBER(K104),N(K104)&gt;0),K104,IF(AH!$M$5="Auto",IF(ISNUMBER(G104),G104,"unavailable"),"unavailable")))</f>
        <v/>
      </c>
      <c r="AZ104">
        <f>IF(AND(AH!$M$5&lt;&gt;"Snapshot",ISNUMBER(K104),N(K104)&gt;0),"Bloomberg",IF(AND(AH!$M$5&lt;&gt;"Bloomberg",ISNUMBER(G104)),"Snapshot","Unavailable"))</f>
        <v/>
      </c>
      <c r="BA104">
        <f>IF(AZ104="Bloomberg",M104,H104)</f>
        <v/>
      </c>
      <c r="BB104">
        <f>1</f>
        <v/>
      </c>
    </row>
    <row r="105">
      <c r="A105" s="31" t="inlineStr">
        <is>
          <t>2603</t>
        </is>
      </c>
      <c r="B105" s="15" t="inlineStr">
        <is>
          <t>JIHONG CO</t>
        </is>
      </c>
      <c r="C105" s="15" t="inlineStr">
        <is>
          <t>Tech/AI</t>
        </is>
      </c>
      <c r="D105" s="15" t="inlineStr">
        <is>
          <t>Internet platform / e-commerce</t>
        </is>
      </c>
      <c r="E105" s="34" t="n">
        <v>45804</v>
      </c>
      <c r="F105" s="15" t="n">
        <v>7.68</v>
      </c>
      <c r="G105" s="15" t="n">
        <v>11.93</v>
      </c>
      <c r="H105" s="34" t="n">
        <v>46297</v>
      </c>
      <c r="I105" s="31" t="inlineStr">
        <is>
          <t>002803.SZ</t>
        </is>
      </c>
      <c r="J105" s="15" t="n">
        <v>19</v>
      </c>
      <c r="K105" s="15">
        <f>IF(AND(AH!$M$5="Snapshot",'IPO Live'!$M$5="Snapshot"),"",IFERROR(BDP(TEXT(VALUE($A105),"0")&amp;" HK Equity","PX_LAST"),""))</f>
        <v/>
      </c>
      <c r="L105" s="15">
        <f>IF(AND(AH!$M$5="Snapshot",'IPO Live'!$M$5="Snapshot"),"",IFERROR(BDP(TEXT(VALUE($A105),"0")&amp;" HK Equity","CHG_PCT_1D")/100,""))</f>
        <v/>
      </c>
      <c r="M105" s="15">
        <f>IF(AND(AH!$M$5="Snapshot",'IPO Live'!$M$5="Snapshot"),"",IFERROR(BDP(TEXT(VALUE($A105),"0")&amp;" HK Equity","LAST_UPDATE_DT"),""))</f>
        <v/>
      </c>
      <c r="N105" s="15">
        <f>IF(AND(AH!$M$5="Snapshot",'IPO Live'!$M$5="Snapshot"),"",IFERROR(BDP(TEXT(VALUE($A105),"0")&amp;" HK Equity","LAST_UPDATE"),""))</f>
        <v/>
      </c>
      <c r="O105" s="15">
        <f>IF('IPO Live'!$M$5="Snapshot",IF(ISNUMBER(G105),G105,"unavailable"),IF(AND(ISNUMBER(K105),N(K105)&gt;0),K105,IF('IPO Live'!$M$5="Auto",IF(ISNUMBER(G105),G105,"unavailable"),"unavailable")))</f>
        <v/>
      </c>
      <c r="P105" s="15">
        <f>IF(AND('IPO Live'!$M$5&lt;&gt;"Snapshot",ISNUMBER(K105),N(K105)&gt;0),"Bloomberg",IF(AND('IPO Live'!$M$5&lt;&gt;"Bloomberg",ISNUMBER(G105)),"Snapshot","Unavailable"))</f>
        <v/>
      </c>
      <c r="Q105" s="33">
        <f>IF(AND(P105="Bloomberg",ISNUMBER(L105)),L105,"unavailable")</f>
        <v/>
      </c>
      <c r="R105" s="15">
        <f>IF(OR('IPO Live'!$B$5="All",'IPO Live'!$B$5=C105,AND('IPO Live'!$B$5="A/H only",J105&gt;0)),1,0)</f>
        <v/>
      </c>
      <c r="S105" s="15">
        <f>IF(R105=1,COUNTIF($R$5:R105,1),"")</f>
        <v/>
      </c>
      <c r="T105">
        <f>1</f>
        <v/>
      </c>
      <c r="U105">
        <f>IF($P105="Bloomberg",$M105,$H105)</f>
        <v/>
      </c>
      <c r="AW105">
        <f>IF(AND(J105&gt;0,OR(AH!$I$5="All",AH!$I$5="A/H only",AH!$I$5=C105)),1,0)</f>
        <v/>
      </c>
      <c r="AX105">
        <f>IF(AW105=1,COUNTIF($AW$5:AW105,1),"")</f>
        <v/>
      </c>
      <c r="AY105">
        <f>IF(AH!$M$5="Snapshot",IF(ISNUMBER(G105),G105,"unavailable"),IF(AND(ISNUMBER(K105),N(K105)&gt;0),K105,IF(AH!$M$5="Auto",IF(ISNUMBER(G105),G105,"unavailable"),"unavailable")))</f>
        <v/>
      </c>
      <c r="AZ105">
        <f>IF(AND(AH!$M$5&lt;&gt;"Snapshot",ISNUMBER(K105),N(K105)&gt;0),"Bloomberg",IF(AND(AH!$M$5&lt;&gt;"Bloomberg",ISNUMBER(G105)),"Snapshot","Unavailable"))</f>
        <v/>
      </c>
      <c r="BA105">
        <f>IF(AZ105="Bloomberg",M105,H105)</f>
        <v/>
      </c>
      <c r="BB105">
        <f>1</f>
        <v/>
      </c>
    </row>
    <row r="106">
      <c r="A106" s="31" t="inlineStr">
        <is>
          <t>2577</t>
        </is>
      </c>
      <c r="B106" s="15" t="inlineStr">
        <is>
          <t>INNOSCIENCE</t>
        </is>
      </c>
      <c r="C106" s="15" t="inlineStr">
        <is>
          <t>Tech/AI</t>
        </is>
      </c>
      <c r="D106" s="15" t="inlineStr">
        <is>
          <t>Analog / power semiconductors</t>
        </is>
      </c>
      <c r="E106" s="34" t="n">
        <v>45656</v>
      </c>
      <c r="F106" s="15" t="n">
        <v>30.86</v>
      </c>
      <c r="G106" s="15" t="n">
        <v>38.72</v>
      </c>
      <c r="H106" s="34" t="n">
        <v>46297</v>
      </c>
      <c r="I106" s="31" t="n"/>
      <c r="J106" s="15" t="n">
        <v>0</v>
      </c>
      <c r="K106" s="15">
        <f>IF(AND(AH!$M$5="Snapshot",'IPO Live'!$M$5="Snapshot"),"",IFERROR(BDP(TEXT(VALUE($A106),"0")&amp;" HK Equity","PX_LAST"),""))</f>
        <v/>
      </c>
      <c r="L106" s="15">
        <f>IF(AND(AH!$M$5="Snapshot",'IPO Live'!$M$5="Snapshot"),"",IFERROR(BDP(TEXT(VALUE($A106),"0")&amp;" HK Equity","CHG_PCT_1D")/100,""))</f>
        <v/>
      </c>
      <c r="M106" s="15">
        <f>IF(AND(AH!$M$5="Snapshot",'IPO Live'!$M$5="Snapshot"),"",IFERROR(BDP(TEXT(VALUE($A106),"0")&amp;" HK Equity","LAST_UPDATE_DT"),""))</f>
        <v/>
      </c>
      <c r="N106" s="15">
        <f>IF(AND(AH!$M$5="Snapshot",'IPO Live'!$M$5="Snapshot"),"",IFERROR(BDP(TEXT(VALUE($A106),"0")&amp;" HK Equity","LAST_UPDATE"),""))</f>
        <v/>
      </c>
      <c r="O106" s="15">
        <f>IF('IPO Live'!$M$5="Snapshot",IF(ISNUMBER(G106),G106,"unavailable"),IF(AND(ISNUMBER(K106),N(K106)&gt;0),K106,IF('IPO Live'!$M$5="Auto",IF(ISNUMBER(G106),G106,"unavailable"),"unavailable")))</f>
        <v/>
      </c>
      <c r="P106" s="15">
        <f>IF(AND('IPO Live'!$M$5&lt;&gt;"Snapshot",ISNUMBER(K106),N(K106)&gt;0),"Bloomberg",IF(AND('IPO Live'!$M$5&lt;&gt;"Bloomberg",ISNUMBER(G106)),"Snapshot","Unavailable"))</f>
        <v/>
      </c>
      <c r="Q106" s="33">
        <f>IF(AND(P106="Bloomberg",ISNUMBER(L106)),L106,"unavailable")</f>
        <v/>
      </c>
      <c r="R106" s="15">
        <f>IF(OR('IPO Live'!$B$5="All",'IPO Live'!$B$5=C106,AND('IPO Live'!$B$5="A/H only",J106&gt;0)),1,0)</f>
        <v/>
      </c>
      <c r="S106" s="15">
        <f>IF(R106=1,COUNTIF($R$5:R106,1),"")</f>
        <v/>
      </c>
      <c r="T106">
        <f>1</f>
        <v/>
      </c>
      <c r="U106">
        <f>IF($P106="Bloomberg",$M106,$H106)</f>
        <v/>
      </c>
      <c r="AW106">
        <f>IF(AND(J106&gt;0,OR(AH!$I$5="All",AH!$I$5="A/H only",AH!$I$5=C106)),1,0)</f>
        <v/>
      </c>
      <c r="AX106">
        <f>IF(AW106=1,COUNTIF($AW$5:AW106,1),"")</f>
        <v/>
      </c>
      <c r="AY106">
        <f>IF(AH!$M$5="Snapshot",IF(ISNUMBER(G106),G106,"unavailable"),IF(AND(ISNUMBER(K106),N(K106)&gt;0),K106,IF(AH!$M$5="Auto",IF(ISNUMBER(G106),G106,"unavailable"),"unavailable")))</f>
        <v/>
      </c>
      <c r="AZ106">
        <f>IF(AND(AH!$M$5&lt;&gt;"Snapshot",ISNUMBER(K106),N(K106)&gt;0),"Bloomberg",IF(AND(AH!$M$5&lt;&gt;"Bloomberg",ISNUMBER(G106)),"Snapshot","Unavailable"))</f>
        <v/>
      </c>
      <c r="BA106">
        <f>IF(AZ106="Bloomberg",M106,H106)</f>
        <v/>
      </c>
      <c r="BB106">
        <f>1</f>
        <v/>
      </c>
    </row>
    <row r="107">
      <c r="A107" s="31" t="inlineStr">
        <is>
          <t>2431</t>
        </is>
      </c>
      <c r="B107" s="15" t="inlineStr">
        <is>
          <t>MINIEYE</t>
        </is>
      </c>
      <c r="C107" s="15" t="inlineStr">
        <is>
          <t>Tech/AI</t>
        </is>
      </c>
      <c r="D107" s="15" t="inlineStr">
        <is>
          <t>Robotics &amp; autonomous driving</t>
        </is>
      </c>
      <c r="E107" s="34" t="n">
        <v>45653</v>
      </c>
      <c r="F107" s="15" t="n">
        <v>17</v>
      </c>
      <c r="G107" s="15" t="n">
        <v>1.89</v>
      </c>
      <c r="H107" s="34" t="n">
        <v>46297</v>
      </c>
      <c r="I107" s="31" t="n"/>
      <c r="J107" s="15" t="n">
        <v>0</v>
      </c>
      <c r="K107" s="15">
        <f>IF(AND(AH!$M$5="Snapshot",'IPO Live'!$M$5="Snapshot"),"",IFERROR(BDP(TEXT(VALUE($A107),"0")&amp;" HK Equity","PX_LAST"),""))</f>
        <v/>
      </c>
      <c r="L107" s="15">
        <f>IF(AND(AH!$M$5="Snapshot",'IPO Live'!$M$5="Snapshot"),"",IFERROR(BDP(TEXT(VALUE($A107),"0")&amp;" HK Equity","CHG_PCT_1D")/100,""))</f>
        <v/>
      </c>
      <c r="M107" s="15">
        <f>IF(AND(AH!$M$5="Snapshot",'IPO Live'!$M$5="Snapshot"),"",IFERROR(BDP(TEXT(VALUE($A107),"0")&amp;" HK Equity","LAST_UPDATE_DT"),""))</f>
        <v/>
      </c>
      <c r="N107" s="15">
        <f>IF(AND(AH!$M$5="Snapshot",'IPO Live'!$M$5="Snapshot"),"",IFERROR(BDP(TEXT(VALUE($A107),"0")&amp;" HK Equity","LAST_UPDATE"),""))</f>
        <v/>
      </c>
      <c r="O107" s="15">
        <f>IF('IPO Live'!$M$5="Snapshot",IF(ISNUMBER(G107),G107,"unavailable"),IF(AND(ISNUMBER(K107),N(K107)&gt;0),K107,IF('IPO Live'!$M$5="Auto",IF(ISNUMBER(G107),G107,"unavailable"),"unavailable")))</f>
        <v/>
      </c>
      <c r="P107" s="15">
        <f>IF(AND('IPO Live'!$M$5&lt;&gt;"Snapshot",ISNUMBER(K107),N(K107)&gt;0),"Bloomberg",IF(AND('IPO Live'!$M$5&lt;&gt;"Bloomberg",ISNUMBER(G107)),"Snapshot","Unavailable"))</f>
        <v/>
      </c>
      <c r="Q107" s="33">
        <f>IF(AND(P107="Bloomberg",ISNUMBER(L107)),L107,"unavailable")</f>
        <v/>
      </c>
      <c r="R107" s="15">
        <f>IF(OR('IPO Live'!$B$5="All",'IPO Live'!$B$5=C107,AND('IPO Live'!$B$5="A/H only",J107&gt;0)),1,0)</f>
        <v/>
      </c>
      <c r="S107" s="15">
        <f>IF(R107=1,COUNTIF($R$5:R107,1),"")</f>
        <v/>
      </c>
      <c r="T107">
        <f>1</f>
        <v/>
      </c>
      <c r="U107">
        <f>IF($P107="Bloomberg",$M107,$H107)</f>
        <v/>
      </c>
      <c r="AW107">
        <f>IF(AND(J107&gt;0,OR(AH!$I$5="All",AH!$I$5="A/H only",AH!$I$5=C107)),1,0)</f>
        <v/>
      </c>
      <c r="AX107">
        <f>IF(AW107=1,COUNTIF($AW$5:AW107,1),"")</f>
        <v/>
      </c>
      <c r="AY107">
        <f>IF(AH!$M$5="Snapshot",IF(ISNUMBER(G107),G107,"unavailable"),IF(AND(ISNUMBER(K107),N(K107)&gt;0),K107,IF(AH!$M$5="Auto",IF(ISNUMBER(G107),G107,"unavailable"),"unavailable")))</f>
        <v/>
      </c>
      <c r="AZ107">
        <f>IF(AND(AH!$M$5&lt;&gt;"Snapshot",ISNUMBER(K107),N(K107)&gt;0),"Bloomberg",IF(AND(AH!$M$5&lt;&gt;"Bloomberg",ISNUMBER(G107)),"Snapshot","Unavailable"))</f>
        <v/>
      </c>
      <c r="BA107">
        <f>IF(AZ107="Bloomberg",M107,H107)</f>
        <v/>
      </c>
      <c r="BB107">
        <f>1</f>
        <v/>
      </c>
    </row>
    <row r="108">
      <c r="A108" s="31" t="inlineStr">
        <is>
          <t>2432</t>
        </is>
      </c>
      <c r="B108" s="15" t="inlineStr">
        <is>
          <t>DOBOT</t>
        </is>
      </c>
      <c r="C108" s="15" t="inlineStr">
        <is>
          <t>Tech/AI</t>
        </is>
      </c>
      <c r="D108" s="15" t="inlineStr">
        <is>
          <t>Robotics &amp; autonomous driving</t>
        </is>
      </c>
      <c r="E108" s="34" t="n">
        <v>45649</v>
      </c>
      <c r="F108" s="15" t="n">
        <v>18.8</v>
      </c>
      <c r="G108" s="15" t="n">
        <v>20.86</v>
      </c>
      <c r="H108" s="34" t="n">
        <v>46297</v>
      </c>
      <c r="I108" s="31" t="n"/>
      <c r="J108" s="15" t="n">
        <v>0</v>
      </c>
      <c r="K108" s="15">
        <f>IF(AND(AH!$M$5="Snapshot",'IPO Live'!$M$5="Snapshot"),"",IFERROR(BDP(TEXT(VALUE($A108),"0")&amp;" HK Equity","PX_LAST"),""))</f>
        <v/>
      </c>
      <c r="L108" s="15">
        <f>IF(AND(AH!$M$5="Snapshot",'IPO Live'!$M$5="Snapshot"),"",IFERROR(BDP(TEXT(VALUE($A108),"0")&amp;" HK Equity","CHG_PCT_1D")/100,""))</f>
        <v/>
      </c>
      <c r="M108" s="15">
        <f>IF(AND(AH!$M$5="Snapshot",'IPO Live'!$M$5="Snapshot"),"",IFERROR(BDP(TEXT(VALUE($A108),"0")&amp;" HK Equity","LAST_UPDATE_DT"),""))</f>
        <v/>
      </c>
      <c r="N108" s="15">
        <f>IF(AND(AH!$M$5="Snapshot",'IPO Live'!$M$5="Snapshot"),"",IFERROR(BDP(TEXT(VALUE($A108),"0")&amp;" HK Equity","LAST_UPDATE"),""))</f>
        <v/>
      </c>
      <c r="O108" s="15">
        <f>IF('IPO Live'!$M$5="Snapshot",IF(ISNUMBER(G108),G108,"unavailable"),IF(AND(ISNUMBER(K108),N(K108)&gt;0),K108,IF('IPO Live'!$M$5="Auto",IF(ISNUMBER(G108),G108,"unavailable"),"unavailable")))</f>
        <v/>
      </c>
      <c r="P108" s="15">
        <f>IF(AND('IPO Live'!$M$5&lt;&gt;"Snapshot",ISNUMBER(K108),N(K108)&gt;0),"Bloomberg",IF(AND('IPO Live'!$M$5&lt;&gt;"Bloomberg",ISNUMBER(G108)),"Snapshot","Unavailable"))</f>
        <v/>
      </c>
      <c r="Q108" s="33">
        <f>IF(AND(P108="Bloomberg",ISNUMBER(L108)),L108,"unavailable")</f>
        <v/>
      </c>
      <c r="R108" s="15">
        <f>IF(OR('IPO Live'!$B$5="All",'IPO Live'!$B$5=C108,AND('IPO Live'!$B$5="A/H only",J108&gt;0)),1,0)</f>
        <v/>
      </c>
      <c r="S108" s="15">
        <f>IF(R108=1,COUNTIF($R$5:R108,1),"")</f>
        <v/>
      </c>
      <c r="T108">
        <f>1</f>
        <v/>
      </c>
      <c r="U108">
        <f>IF($P108="Bloomberg",$M108,$H108)</f>
        <v/>
      </c>
      <c r="AW108">
        <f>IF(AND(J108&gt;0,OR(AH!$I$5="All",AH!$I$5="A/H only",AH!$I$5=C108)),1,0)</f>
        <v/>
      </c>
      <c r="AX108">
        <f>IF(AW108=1,COUNTIF($AW$5:AW108,1),"")</f>
        <v/>
      </c>
      <c r="AY108">
        <f>IF(AH!$M$5="Snapshot",IF(ISNUMBER(G108),G108,"unavailable"),IF(AND(ISNUMBER(K108),N(K108)&gt;0),K108,IF(AH!$M$5="Auto",IF(ISNUMBER(G108),G108,"unavailable"),"unavailable")))</f>
        <v/>
      </c>
      <c r="AZ108">
        <f>IF(AND(AH!$M$5&lt;&gt;"Snapshot",ISNUMBER(K108),N(K108)&gt;0),"Bloomberg",IF(AND(AH!$M$5&lt;&gt;"Bloomberg",ISNUMBER(G108)),"Snapshot","Unavailable"))</f>
        <v/>
      </c>
      <c r="BA108">
        <f>IF(AZ108="Bloomberg",M108,H108)</f>
        <v/>
      </c>
      <c r="BB108">
        <f>1</f>
        <v/>
      </c>
    </row>
    <row r="109">
      <c r="A109" s="31" t="inlineStr">
        <is>
          <t>2586</t>
        </is>
      </c>
      <c r="B109" s="15" t="inlineStr">
        <is>
          <t>DMALL</t>
        </is>
      </c>
      <c r="C109" s="15" t="inlineStr">
        <is>
          <t>Tech/AI</t>
        </is>
      </c>
      <c r="D109" s="15" t="inlineStr">
        <is>
          <t>SaaS / enterprise software</t>
        </is>
      </c>
      <c r="E109" s="34" t="n">
        <v>45632</v>
      </c>
      <c r="F109" s="15" t="n">
        <v>30.21</v>
      </c>
      <c r="G109" s="15" t="n">
        <v>9.02</v>
      </c>
      <c r="H109" s="34" t="n">
        <v>46297</v>
      </c>
      <c r="I109" s="31" t="n"/>
      <c r="J109" s="15" t="n">
        <v>0</v>
      </c>
      <c r="K109" s="15">
        <f>IF(AND(AH!$M$5="Snapshot",'IPO Live'!$M$5="Snapshot"),"",IFERROR(BDP(TEXT(VALUE($A109),"0")&amp;" HK Equity","PX_LAST"),""))</f>
        <v/>
      </c>
      <c r="L109" s="15">
        <f>IF(AND(AH!$M$5="Snapshot",'IPO Live'!$M$5="Snapshot"),"",IFERROR(BDP(TEXT(VALUE($A109),"0")&amp;" HK Equity","CHG_PCT_1D")/100,""))</f>
        <v/>
      </c>
      <c r="M109" s="15">
        <f>IF(AND(AH!$M$5="Snapshot",'IPO Live'!$M$5="Snapshot"),"",IFERROR(BDP(TEXT(VALUE($A109),"0")&amp;" HK Equity","LAST_UPDATE_DT"),""))</f>
        <v/>
      </c>
      <c r="N109" s="15">
        <f>IF(AND(AH!$M$5="Snapshot",'IPO Live'!$M$5="Snapshot"),"",IFERROR(BDP(TEXT(VALUE($A109),"0")&amp;" HK Equity","LAST_UPDATE"),""))</f>
        <v/>
      </c>
      <c r="O109" s="15">
        <f>IF('IPO Live'!$M$5="Snapshot",IF(ISNUMBER(G109),G109,"unavailable"),IF(AND(ISNUMBER(K109),N(K109)&gt;0),K109,IF('IPO Live'!$M$5="Auto",IF(ISNUMBER(G109),G109,"unavailable"),"unavailable")))</f>
        <v/>
      </c>
      <c r="P109" s="15">
        <f>IF(AND('IPO Live'!$M$5&lt;&gt;"Snapshot",ISNUMBER(K109),N(K109)&gt;0),"Bloomberg",IF(AND('IPO Live'!$M$5&lt;&gt;"Bloomberg",ISNUMBER(G109)),"Snapshot","Unavailable"))</f>
        <v/>
      </c>
      <c r="Q109" s="33">
        <f>IF(AND(P109="Bloomberg",ISNUMBER(L109)),L109,"unavailable")</f>
        <v/>
      </c>
      <c r="R109" s="15">
        <f>IF(OR('IPO Live'!$B$5="All",'IPO Live'!$B$5=C109,AND('IPO Live'!$B$5="A/H only",J109&gt;0)),1,0)</f>
        <v/>
      </c>
      <c r="S109" s="15">
        <f>IF(R109=1,COUNTIF($R$5:R109,1),"")</f>
        <v/>
      </c>
      <c r="T109">
        <f>1</f>
        <v/>
      </c>
      <c r="U109">
        <f>IF($P109="Bloomberg",$M109,$H109)</f>
        <v/>
      </c>
      <c r="AW109">
        <f>IF(AND(J109&gt;0,OR(AH!$I$5="All",AH!$I$5="A/H only",AH!$I$5=C109)),1,0)</f>
        <v/>
      </c>
      <c r="AX109">
        <f>IF(AW109=1,COUNTIF($AW$5:AW109,1),"")</f>
        <v/>
      </c>
      <c r="AY109">
        <f>IF(AH!$M$5="Snapshot",IF(ISNUMBER(G109),G109,"unavailable"),IF(AND(ISNUMBER(K109),N(K109)&gt;0),K109,IF(AH!$M$5="Auto",IF(ISNUMBER(G109),G109,"unavailable"),"unavailable")))</f>
        <v/>
      </c>
      <c r="AZ109">
        <f>IF(AND(AH!$M$5&lt;&gt;"Snapshot",ISNUMBER(K109),N(K109)&gt;0),"Bloomberg",IF(AND(AH!$M$5&lt;&gt;"Bloomberg",ISNUMBER(G109)),"Snapshot","Unavailable"))</f>
        <v/>
      </c>
      <c r="BA109">
        <f>IF(AZ109="Bloomberg",M109,H109)</f>
        <v/>
      </c>
      <c r="BB109">
        <f>1</f>
        <v/>
      </c>
    </row>
    <row r="110">
      <c r="A110" s="31" t="inlineStr">
        <is>
          <t>2551</t>
        </is>
      </c>
      <c r="B110" s="15" t="inlineStr">
        <is>
          <t>APT ELECTRONICS</t>
        </is>
      </c>
      <c r="C110" s="15" t="inlineStr">
        <is>
          <t>Tech/AI</t>
        </is>
      </c>
      <c r="D110" s="15" t="inlineStr">
        <is>
          <t>Image / display semiconductors</t>
        </is>
      </c>
      <c r="E110" s="34" t="n">
        <v>45604</v>
      </c>
      <c r="F110" s="15" t="n">
        <v>3.61</v>
      </c>
      <c r="G110" s="15" t="n">
        <v>1.53</v>
      </c>
      <c r="H110" s="34" t="n">
        <v>46297</v>
      </c>
      <c r="I110" s="31" t="n"/>
      <c r="J110" s="15" t="n">
        <v>0</v>
      </c>
      <c r="K110" s="15">
        <f>IF(AND(AH!$M$5="Snapshot",'IPO Live'!$M$5="Snapshot"),"",IFERROR(BDP(TEXT(VALUE($A110),"0")&amp;" HK Equity","PX_LAST"),""))</f>
        <v/>
      </c>
      <c r="L110" s="15">
        <f>IF(AND(AH!$M$5="Snapshot",'IPO Live'!$M$5="Snapshot"),"",IFERROR(BDP(TEXT(VALUE($A110),"0")&amp;" HK Equity","CHG_PCT_1D")/100,""))</f>
        <v/>
      </c>
      <c r="M110" s="15">
        <f>IF(AND(AH!$M$5="Snapshot",'IPO Live'!$M$5="Snapshot"),"",IFERROR(BDP(TEXT(VALUE($A110),"0")&amp;" HK Equity","LAST_UPDATE_DT"),""))</f>
        <v/>
      </c>
      <c r="N110" s="15">
        <f>IF(AND(AH!$M$5="Snapshot",'IPO Live'!$M$5="Snapshot"),"",IFERROR(BDP(TEXT(VALUE($A110),"0")&amp;" HK Equity","LAST_UPDATE"),""))</f>
        <v/>
      </c>
      <c r="O110" s="15">
        <f>IF('IPO Live'!$M$5="Snapshot",IF(ISNUMBER(G110),G110,"unavailable"),IF(AND(ISNUMBER(K110),N(K110)&gt;0),K110,IF('IPO Live'!$M$5="Auto",IF(ISNUMBER(G110),G110,"unavailable"),"unavailable")))</f>
        <v/>
      </c>
      <c r="P110" s="15">
        <f>IF(AND('IPO Live'!$M$5&lt;&gt;"Snapshot",ISNUMBER(K110),N(K110)&gt;0),"Bloomberg",IF(AND('IPO Live'!$M$5&lt;&gt;"Bloomberg",ISNUMBER(G110)),"Snapshot","Unavailable"))</f>
        <v/>
      </c>
      <c r="Q110" s="33">
        <f>IF(AND(P110="Bloomberg",ISNUMBER(L110)),L110,"unavailable")</f>
        <v/>
      </c>
      <c r="R110" s="15">
        <f>IF(OR('IPO Live'!$B$5="All",'IPO Live'!$B$5=C110,AND('IPO Live'!$B$5="A/H only",J110&gt;0)),1,0)</f>
        <v/>
      </c>
      <c r="S110" s="15">
        <f>IF(R110=1,COUNTIF($R$5:R110,1),"")</f>
        <v/>
      </c>
      <c r="T110">
        <f>1</f>
        <v/>
      </c>
      <c r="U110">
        <f>IF($P110="Bloomberg",$M110,$H110)</f>
        <v/>
      </c>
      <c r="AW110">
        <f>IF(AND(J110&gt;0,OR(AH!$I$5="All",AH!$I$5="A/H only",AH!$I$5=C110)),1,0)</f>
        <v/>
      </c>
      <c r="AX110">
        <f>IF(AW110=1,COUNTIF($AW$5:AW110,1),"")</f>
        <v/>
      </c>
      <c r="AY110">
        <f>IF(AH!$M$5="Snapshot",IF(ISNUMBER(G110),G110,"unavailable"),IF(AND(ISNUMBER(K110),N(K110)&gt;0),K110,IF(AH!$M$5="Auto",IF(ISNUMBER(G110),G110,"unavailable"),"unavailable")))</f>
        <v/>
      </c>
      <c r="AZ110">
        <f>IF(AND(AH!$M$5&lt;&gt;"Snapshot",ISNUMBER(K110),N(K110)&gt;0),"Bloomberg",IF(AND(AH!$M$5&lt;&gt;"Bloomberg",ISNUMBER(G110)),"Snapshot","Unavailable"))</f>
        <v/>
      </c>
      <c r="BA110">
        <f>IF(AZ110="Bloomberg",M110,H110)</f>
        <v/>
      </c>
      <c r="BB110">
        <f>1</f>
        <v/>
      </c>
    </row>
    <row r="111">
      <c r="A111" s="31" t="inlineStr">
        <is>
          <t>9660</t>
        </is>
      </c>
      <c r="B111" s="15" t="inlineStr">
        <is>
          <t>HORIZONROBOT-W</t>
        </is>
      </c>
      <c r="C111" s="15" t="inlineStr">
        <is>
          <t>Tech/AI</t>
        </is>
      </c>
      <c r="D111" s="15" t="inlineStr">
        <is>
          <t>Compute / AI semiconductors</t>
        </is>
      </c>
      <c r="E111" s="34" t="n">
        <v>45589</v>
      </c>
      <c r="F111" s="15" t="n">
        <v>3.99</v>
      </c>
      <c r="G111" s="15" t="n">
        <v>4.05</v>
      </c>
      <c r="H111" s="34" t="n">
        <v>46297</v>
      </c>
      <c r="I111" s="31" t="n"/>
      <c r="J111" s="15" t="n">
        <v>0</v>
      </c>
      <c r="K111" s="15">
        <f>IF(AND(AH!$M$5="Snapshot",'IPO Live'!$M$5="Snapshot"),"",IFERROR(BDP(TEXT(VALUE($A111),"0")&amp;" HK Equity","PX_LAST"),""))</f>
        <v/>
      </c>
      <c r="L111" s="15">
        <f>IF(AND(AH!$M$5="Snapshot",'IPO Live'!$M$5="Snapshot"),"",IFERROR(BDP(TEXT(VALUE($A111),"0")&amp;" HK Equity","CHG_PCT_1D")/100,""))</f>
        <v/>
      </c>
      <c r="M111" s="15">
        <f>IF(AND(AH!$M$5="Snapshot",'IPO Live'!$M$5="Snapshot"),"",IFERROR(BDP(TEXT(VALUE($A111),"0")&amp;" HK Equity","LAST_UPDATE_DT"),""))</f>
        <v/>
      </c>
      <c r="N111" s="15">
        <f>IF(AND(AH!$M$5="Snapshot",'IPO Live'!$M$5="Snapshot"),"",IFERROR(BDP(TEXT(VALUE($A111),"0")&amp;" HK Equity","LAST_UPDATE"),""))</f>
        <v/>
      </c>
      <c r="O111" s="15">
        <f>IF('IPO Live'!$M$5="Snapshot",IF(ISNUMBER(G111),G111,"unavailable"),IF(AND(ISNUMBER(K111),N(K111)&gt;0),K111,IF('IPO Live'!$M$5="Auto",IF(ISNUMBER(G111),G111,"unavailable"),"unavailable")))</f>
        <v/>
      </c>
      <c r="P111" s="15">
        <f>IF(AND('IPO Live'!$M$5&lt;&gt;"Snapshot",ISNUMBER(K111),N(K111)&gt;0),"Bloomberg",IF(AND('IPO Live'!$M$5&lt;&gt;"Bloomberg",ISNUMBER(G111)),"Snapshot","Unavailable"))</f>
        <v/>
      </c>
      <c r="Q111" s="33">
        <f>IF(AND(P111="Bloomberg",ISNUMBER(L111)),L111,"unavailable")</f>
        <v/>
      </c>
      <c r="R111" s="15">
        <f>IF(OR('IPO Live'!$B$5="All",'IPO Live'!$B$5=C111,AND('IPO Live'!$B$5="A/H only",J111&gt;0)),1,0)</f>
        <v/>
      </c>
      <c r="S111" s="15">
        <f>IF(R111=1,COUNTIF($R$5:R111,1),"")</f>
        <v/>
      </c>
      <c r="T111">
        <f>1</f>
        <v/>
      </c>
      <c r="U111">
        <f>IF($P111="Bloomberg",$M111,$H111)</f>
        <v/>
      </c>
      <c r="AW111">
        <f>IF(AND(J111&gt;0,OR(AH!$I$5="All",AH!$I$5="A/H only",AH!$I$5=C111)),1,0)</f>
        <v/>
      </c>
      <c r="AX111">
        <f>IF(AW111=1,COUNTIF($AW$5:AW111,1),"")</f>
        <v/>
      </c>
      <c r="AY111">
        <f>IF(AH!$M$5="Snapshot",IF(ISNUMBER(G111),G111,"unavailable"),IF(AND(ISNUMBER(K111),N(K111)&gt;0),K111,IF(AH!$M$5="Auto",IF(ISNUMBER(G111),G111,"unavailable"),"unavailable")))</f>
        <v/>
      </c>
      <c r="AZ111">
        <f>IF(AND(AH!$M$5&lt;&gt;"Snapshot",ISNUMBER(K111),N(K111)&gt;0),"Bloomberg",IF(AND(AH!$M$5&lt;&gt;"Bloomberg",ISNUMBER(G111)),"Snapshot","Unavailable"))</f>
        <v/>
      </c>
      <c r="BA111">
        <f>IF(AZ111="Bloomberg",M111,H111)</f>
        <v/>
      </c>
      <c r="BB111">
        <f>1</f>
        <v/>
      </c>
    </row>
    <row r="112">
      <c r="A112" s="31" t="inlineStr">
        <is>
          <t>2567</t>
        </is>
      </c>
      <c r="B112" s="15" t="inlineStr">
        <is>
          <t>QINIU</t>
        </is>
      </c>
      <c r="C112" s="15" t="inlineStr">
        <is>
          <t>Tech/AI</t>
        </is>
      </c>
      <c r="D112" s="15" t="inlineStr">
        <is>
          <t>Data center / cloud infra</t>
        </is>
      </c>
      <c r="E112" s="34" t="n">
        <v>45581</v>
      </c>
      <c r="F112" s="15" t="n">
        <v>2.75</v>
      </c>
      <c r="G112" s="15" t="n">
        <v>0.36</v>
      </c>
      <c r="H112" s="34" t="n">
        <v>46297</v>
      </c>
      <c r="I112" s="31" t="n"/>
      <c r="J112" s="15" t="n">
        <v>0</v>
      </c>
      <c r="K112" s="15">
        <f>IF(AND(AH!$M$5="Snapshot",'IPO Live'!$M$5="Snapshot"),"",IFERROR(BDP(TEXT(VALUE($A112),"0")&amp;" HK Equity","PX_LAST"),""))</f>
        <v/>
      </c>
      <c r="L112" s="15">
        <f>IF(AND(AH!$M$5="Snapshot",'IPO Live'!$M$5="Snapshot"),"",IFERROR(BDP(TEXT(VALUE($A112),"0")&amp;" HK Equity","CHG_PCT_1D")/100,""))</f>
        <v/>
      </c>
      <c r="M112" s="15">
        <f>IF(AND(AH!$M$5="Snapshot",'IPO Live'!$M$5="Snapshot"),"",IFERROR(BDP(TEXT(VALUE($A112),"0")&amp;" HK Equity","LAST_UPDATE_DT"),""))</f>
        <v/>
      </c>
      <c r="N112" s="15">
        <f>IF(AND(AH!$M$5="Snapshot",'IPO Live'!$M$5="Snapshot"),"",IFERROR(BDP(TEXT(VALUE($A112),"0")&amp;" HK Equity","LAST_UPDATE"),""))</f>
        <v/>
      </c>
      <c r="O112" s="15">
        <f>IF('IPO Live'!$M$5="Snapshot",IF(ISNUMBER(G112),G112,"unavailable"),IF(AND(ISNUMBER(K112),N(K112)&gt;0),K112,IF('IPO Live'!$M$5="Auto",IF(ISNUMBER(G112),G112,"unavailable"),"unavailable")))</f>
        <v/>
      </c>
      <c r="P112" s="15">
        <f>IF(AND('IPO Live'!$M$5&lt;&gt;"Snapshot",ISNUMBER(K112),N(K112)&gt;0),"Bloomberg",IF(AND('IPO Live'!$M$5&lt;&gt;"Bloomberg",ISNUMBER(G112)),"Snapshot","Unavailable"))</f>
        <v/>
      </c>
      <c r="Q112" s="33">
        <f>IF(AND(P112="Bloomberg",ISNUMBER(L112)),L112,"unavailable")</f>
        <v/>
      </c>
      <c r="R112" s="15">
        <f>IF(OR('IPO Live'!$B$5="All",'IPO Live'!$B$5=C112,AND('IPO Live'!$B$5="A/H only",J112&gt;0)),1,0)</f>
        <v/>
      </c>
      <c r="S112" s="15">
        <f>IF(R112=1,COUNTIF($R$5:R112,1),"")</f>
        <v/>
      </c>
      <c r="T112">
        <f>1</f>
        <v/>
      </c>
      <c r="U112">
        <f>IF($P112="Bloomberg",$M112,$H112)</f>
        <v/>
      </c>
      <c r="AW112">
        <f>IF(AND(J112&gt;0,OR(AH!$I$5="All",AH!$I$5="A/H only",AH!$I$5=C112)),1,0)</f>
        <v/>
      </c>
      <c r="AX112">
        <f>IF(AW112=1,COUNTIF($AW$5:AW112,1),"")</f>
        <v/>
      </c>
      <c r="AY112">
        <f>IF(AH!$M$5="Snapshot",IF(ISNUMBER(G112),G112,"unavailable"),IF(AND(ISNUMBER(K112),N(K112)&gt;0),K112,IF(AH!$M$5="Auto",IF(ISNUMBER(G112),G112,"unavailable"),"unavailable")))</f>
        <v/>
      </c>
      <c r="AZ112">
        <f>IF(AND(AH!$M$5&lt;&gt;"Snapshot",ISNUMBER(K112),N(K112)&gt;0),"Bloomberg",IF(AND(AH!$M$5&lt;&gt;"Bloomberg",ISNUMBER(G112)),"Snapshot","Unavailable"))</f>
        <v/>
      </c>
      <c r="BA112">
        <f>IF(AZ112="Bloomberg",M112,H112)</f>
        <v/>
      </c>
      <c r="BB112">
        <f>1</f>
        <v/>
      </c>
    </row>
    <row r="113">
      <c r="A113" s="31" t="inlineStr">
        <is>
          <t>2576</t>
        </is>
      </c>
      <c r="B113" s="15" t="inlineStr">
        <is>
          <t>TAIMEI TECH</t>
        </is>
      </c>
      <c r="C113" s="15" t="inlineStr">
        <is>
          <t>Tech/AI</t>
        </is>
      </c>
      <c r="D113" s="15" t="inlineStr">
        <is>
          <t>SaaS / enterprise software</t>
        </is>
      </c>
      <c r="E113" s="34" t="n">
        <v>45573</v>
      </c>
      <c r="F113" s="15" t="n">
        <v>13</v>
      </c>
      <c r="G113" s="15" t="n">
        <v>4.75</v>
      </c>
      <c r="H113" s="34" t="n">
        <v>46297</v>
      </c>
      <c r="I113" s="31" t="n"/>
      <c r="J113" s="15" t="n">
        <v>0</v>
      </c>
      <c r="K113" s="15">
        <f>IF(AND(AH!$M$5="Snapshot",'IPO Live'!$M$5="Snapshot"),"",IFERROR(BDP(TEXT(VALUE($A113),"0")&amp;" HK Equity","PX_LAST"),""))</f>
        <v/>
      </c>
      <c r="L113" s="15">
        <f>IF(AND(AH!$M$5="Snapshot",'IPO Live'!$M$5="Snapshot"),"",IFERROR(BDP(TEXT(VALUE($A113),"0")&amp;" HK Equity","CHG_PCT_1D")/100,""))</f>
        <v/>
      </c>
      <c r="M113" s="15">
        <f>IF(AND(AH!$M$5="Snapshot",'IPO Live'!$M$5="Snapshot"),"",IFERROR(BDP(TEXT(VALUE($A113),"0")&amp;" HK Equity","LAST_UPDATE_DT"),""))</f>
        <v/>
      </c>
      <c r="N113" s="15">
        <f>IF(AND(AH!$M$5="Snapshot",'IPO Live'!$M$5="Snapshot"),"",IFERROR(BDP(TEXT(VALUE($A113),"0")&amp;" HK Equity","LAST_UPDATE"),""))</f>
        <v/>
      </c>
      <c r="O113" s="15">
        <f>IF('IPO Live'!$M$5="Snapshot",IF(ISNUMBER(G113),G113,"unavailable"),IF(AND(ISNUMBER(K113),N(K113)&gt;0),K113,IF('IPO Live'!$M$5="Auto",IF(ISNUMBER(G113),G113,"unavailable"),"unavailable")))</f>
        <v/>
      </c>
      <c r="P113" s="15">
        <f>IF(AND('IPO Live'!$M$5&lt;&gt;"Snapshot",ISNUMBER(K113),N(K113)&gt;0),"Bloomberg",IF(AND('IPO Live'!$M$5&lt;&gt;"Bloomberg",ISNUMBER(G113)),"Snapshot","Unavailable"))</f>
        <v/>
      </c>
      <c r="Q113" s="33">
        <f>IF(AND(P113="Bloomberg",ISNUMBER(L113)),L113,"unavailable")</f>
        <v/>
      </c>
      <c r="R113" s="15">
        <f>IF(OR('IPO Live'!$B$5="All",'IPO Live'!$B$5=C113,AND('IPO Live'!$B$5="A/H only",J113&gt;0)),1,0)</f>
        <v/>
      </c>
      <c r="S113" s="15">
        <f>IF(R113=1,COUNTIF($R$5:R113,1),"")</f>
        <v/>
      </c>
      <c r="T113">
        <f>1</f>
        <v/>
      </c>
      <c r="U113">
        <f>IF($P113="Bloomberg",$M113,$H113)</f>
        <v/>
      </c>
      <c r="AW113">
        <f>IF(AND(J113&gt;0,OR(AH!$I$5="All",AH!$I$5="A/H only",AH!$I$5=C113)),1,0)</f>
        <v/>
      </c>
      <c r="AX113">
        <f>IF(AW113=1,COUNTIF($AW$5:AW113,1),"")</f>
        <v/>
      </c>
      <c r="AY113">
        <f>IF(AH!$M$5="Snapshot",IF(ISNUMBER(G113),G113,"unavailable"),IF(AND(ISNUMBER(K113),N(K113)&gt;0),K113,IF(AH!$M$5="Auto",IF(ISNUMBER(G113),G113,"unavailable"),"unavailable")))</f>
        <v/>
      </c>
      <c r="AZ113">
        <f>IF(AND(AH!$M$5&lt;&gt;"Snapshot",ISNUMBER(K113),N(K113)&gt;0),"Bloomberg",IF(AND(AH!$M$5&lt;&gt;"Bloomberg",ISNUMBER(G113)),"Snapshot","Unavailable"))</f>
        <v/>
      </c>
      <c r="BA113">
        <f>IF(AZ113="Bloomberg",M113,H113)</f>
        <v/>
      </c>
      <c r="BB113">
        <f>1</f>
        <v/>
      </c>
    </row>
    <row r="114">
      <c r="A114" s="31" t="inlineStr">
        <is>
          <t>0300</t>
        </is>
      </c>
      <c r="B114" s="15" t="inlineStr">
        <is>
          <t>MIDEA GROUP</t>
        </is>
      </c>
      <c r="C114" s="15" t="inlineStr">
        <is>
          <t>Tech/AI</t>
        </is>
      </c>
      <c r="D114" s="15" t="inlineStr">
        <is>
          <t>Smart hardware / consumer electronics</t>
        </is>
      </c>
      <c r="E114" s="34" t="n">
        <v>45552</v>
      </c>
      <c r="F114" s="15" t="n">
        <v>54.8</v>
      </c>
      <c r="G114" s="15" t="n">
        <v>91.15000000000001</v>
      </c>
      <c r="H114" s="34" t="n">
        <v>46297</v>
      </c>
      <c r="I114" s="31" t="inlineStr">
        <is>
          <t>000333.SZ</t>
        </is>
      </c>
      <c r="J114" s="15" t="n">
        <v>12</v>
      </c>
      <c r="K114" s="15">
        <f>IF(AND(AH!$M$5="Snapshot",'IPO Live'!$M$5="Snapshot"),"",IFERROR(BDP(TEXT(VALUE($A114),"0")&amp;" HK Equity","PX_LAST"),""))</f>
        <v/>
      </c>
      <c r="L114" s="15">
        <f>IF(AND(AH!$M$5="Snapshot",'IPO Live'!$M$5="Snapshot"),"",IFERROR(BDP(TEXT(VALUE($A114),"0")&amp;" HK Equity","CHG_PCT_1D")/100,""))</f>
        <v/>
      </c>
      <c r="M114" s="15">
        <f>IF(AND(AH!$M$5="Snapshot",'IPO Live'!$M$5="Snapshot"),"",IFERROR(BDP(TEXT(VALUE($A114),"0")&amp;" HK Equity","LAST_UPDATE_DT"),""))</f>
        <v/>
      </c>
      <c r="N114" s="15">
        <f>IF(AND(AH!$M$5="Snapshot",'IPO Live'!$M$5="Snapshot"),"",IFERROR(BDP(TEXT(VALUE($A114),"0")&amp;" HK Equity","LAST_UPDATE"),""))</f>
        <v/>
      </c>
      <c r="O114" s="15">
        <f>IF('IPO Live'!$M$5="Snapshot",IF(ISNUMBER(G114),G114,"unavailable"),IF(AND(ISNUMBER(K114),N(K114)&gt;0),K114,IF('IPO Live'!$M$5="Auto",IF(ISNUMBER(G114),G114,"unavailable"),"unavailable")))</f>
        <v/>
      </c>
      <c r="P114" s="15">
        <f>IF(AND('IPO Live'!$M$5&lt;&gt;"Snapshot",ISNUMBER(K114),N(K114)&gt;0),"Bloomberg",IF(AND('IPO Live'!$M$5&lt;&gt;"Bloomberg",ISNUMBER(G114)),"Snapshot","Unavailable"))</f>
        <v/>
      </c>
      <c r="Q114" s="33">
        <f>IF(AND(P114="Bloomberg",ISNUMBER(L114)),L114,"unavailable")</f>
        <v/>
      </c>
      <c r="R114" s="15">
        <f>IF(OR('IPO Live'!$B$5="All",'IPO Live'!$B$5=C114,AND('IPO Live'!$B$5="A/H only",J114&gt;0)),1,0)</f>
        <v/>
      </c>
      <c r="S114" s="15">
        <f>IF(R114=1,COUNTIF($R$5:R114,1),"")</f>
        <v/>
      </c>
      <c r="T114">
        <f>1</f>
        <v/>
      </c>
      <c r="U114">
        <f>IF($P114="Bloomberg",$M114,$H114)</f>
        <v/>
      </c>
      <c r="AW114">
        <f>IF(AND(J114&gt;0,OR(AH!$I$5="All",AH!$I$5="A/H only",AH!$I$5=C114)),1,0)</f>
        <v/>
      </c>
      <c r="AX114">
        <f>IF(AW114=1,COUNTIF($AW$5:AW114,1),"")</f>
        <v/>
      </c>
      <c r="AY114">
        <f>IF(AH!$M$5="Snapshot",IF(ISNUMBER(G114),G114,"unavailable"),IF(AND(ISNUMBER(K114),N(K114)&gt;0),K114,IF(AH!$M$5="Auto",IF(ISNUMBER(G114),G114,"unavailable"),"unavailable")))</f>
        <v/>
      </c>
      <c r="AZ114">
        <f>IF(AND(AH!$M$5&lt;&gt;"Snapshot",ISNUMBER(K114),N(K114)&gt;0),"Bloomberg",IF(AND(AH!$M$5&lt;&gt;"Bloomberg",ISNUMBER(G114)),"Snapshot","Unavailable"))</f>
        <v/>
      </c>
      <c r="BA114">
        <f>IF(AZ114="Bloomberg",M114,H114)</f>
        <v/>
      </c>
      <c r="BB114">
        <f>1</f>
        <v/>
      </c>
    </row>
    <row r="115">
      <c r="A115" s="31" t="inlineStr">
        <is>
          <t>2533</t>
        </is>
      </c>
      <c r="B115" s="15" t="inlineStr">
        <is>
          <t>BLACK SESAME</t>
        </is>
      </c>
      <c r="C115" s="15" t="inlineStr">
        <is>
          <t>Tech/AI</t>
        </is>
      </c>
      <c r="D115" s="15" t="inlineStr">
        <is>
          <t>Compute / AI semiconductors</t>
        </is>
      </c>
      <c r="E115" s="34" t="n">
        <v>45512</v>
      </c>
      <c r="F115" s="15" t="n">
        <v>28</v>
      </c>
      <c r="G115" s="15" t="n">
        <v>9.56</v>
      </c>
      <c r="H115" s="34" t="n">
        <v>46297</v>
      </c>
      <c r="I115" s="31" t="n"/>
      <c r="J115" s="15" t="n">
        <v>0</v>
      </c>
      <c r="K115" s="15">
        <f>IF(AND(AH!$M$5="Snapshot",'IPO Live'!$M$5="Snapshot"),"",IFERROR(BDP(TEXT(VALUE($A115),"0")&amp;" HK Equity","PX_LAST"),""))</f>
        <v/>
      </c>
      <c r="L115" s="15">
        <f>IF(AND(AH!$M$5="Snapshot",'IPO Live'!$M$5="Snapshot"),"",IFERROR(BDP(TEXT(VALUE($A115),"0")&amp;" HK Equity","CHG_PCT_1D")/100,""))</f>
        <v/>
      </c>
      <c r="M115" s="15">
        <f>IF(AND(AH!$M$5="Snapshot",'IPO Live'!$M$5="Snapshot"),"",IFERROR(BDP(TEXT(VALUE($A115),"0")&amp;" HK Equity","LAST_UPDATE_DT"),""))</f>
        <v/>
      </c>
      <c r="N115" s="15">
        <f>IF(AND(AH!$M$5="Snapshot",'IPO Live'!$M$5="Snapshot"),"",IFERROR(BDP(TEXT(VALUE($A115),"0")&amp;" HK Equity","LAST_UPDATE"),""))</f>
        <v/>
      </c>
      <c r="O115" s="15">
        <f>IF('IPO Live'!$M$5="Snapshot",IF(ISNUMBER(G115),G115,"unavailable"),IF(AND(ISNUMBER(K115),N(K115)&gt;0),K115,IF('IPO Live'!$M$5="Auto",IF(ISNUMBER(G115),G115,"unavailable"),"unavailable")))</f>
        <v/>
      </c>
      <c r="P115" s="15">
        <f>IF(AND('IPO Live'!$M$5&lt;&gt;"Snapshot",ISNUMBER(K115),N(K115)&gt;0),"Bloomberg",IF(AND('IPO Live'!$M$5&lt;&gt;"Bloomberg",ISNUMBER(G115)),"Snapshot","Unavailable"))</f>
        <v/>
      </c>
      <c r="Q115" s="33">
        <f>IF(AND(P115="Bloomberg",ISNUMBER(L115)),L115,"unavailable")</f>
        <v/>
      </c>
      <c r="R115" s="15">
        <f>IF(OR('IPO Live'!$B$5="All",'IPO Live'!$B$5=C115,AND('IPO Live'!$B$5="A/H only",J115&gt;0)),1,0)</f>
        <v/>
      </c>
      <c r="S115" s="15">
        <f>IF(R115=1,COUNTIF($R$5:R115,1),"")</f>
        <v/>
      </c>
      <c r="T115">
        <f>1</f>
        <v/>
      </c>
      <c r="U115">
        <f>IF($P115="Bloomberg",$M115,$H115)</f>
        <v/>
      </c>
      <c r="AW115">
        <f>IF(AND(J115&gt;0,OR(AH!$I$5="All",AH!$I$5="A/H only",AH!$I$5=C115)),1,0)</f>
        <v/>
      </c>
      <c r="AX115">
        <f>IF(AW115=1,COUNTIF($AW$5:AW115,1),"")</f>
        <v/>
      </c>
      <c r="AY115">
        <f>IF(AH!$M$5="Snapshot",IF(ISNUMBER(G115),G115,"unavailable"),IF(AND(ISNUMBER(K115),N(K115)&gt;0),K115,IF(AH!$M$5="Auto",IF(ISNUMBER(G115),G115,"unavailable"),"unavailable")))</f>
        <v/>
      </c>
      <c r="AZ115">
        <f>IF(AND(AH!$M$5&lt;&gt;"Snapshot",ISNUMBER(K115),N(K115)&gt;0),"Bloomberg",IF(AND(AH!$M$5&lt;&gt;"Bloomberg",ISNUMBER(G115)),"Snapshot","Unavailable"))</f>
        <v/>
      </c>
      <c r="BA115">
        <f>IF(AZ115="Bloomberg",M115,H115)</f>
        <v/>
      </c>
      <c r="BB115">
        <f>1</f>
        <v/>
      </c>
    </row>
    <row r="116">
      <c r="A116" s="31" t="inlineStr">
        <is>
          <t>9680</t>
        </is>
      </c>
      <c r="B116" s="15" t="inlineStr">
        <is>
          <t>CHENQI TECH</t>
        </is>
      </c>
      <c r="C116" s="15" t="inlineStr">
        <is>
          <t>Tech/AI</t>
        </is>
      </c>
      <c r="D116" s="15" t="inlineStr">
        <is>
          <t>Internet platform / e-commerce</t>
        </is>
      </c>
      <c r="E116" s="34" t="n">
        <v>45483</v>
      </c>
      <c r="F116" s="15" t="n">
        <v>35</v>
      </c>
      <c r="G116" s="15" t="n">
        <v>7.695</v>
      </c>
      <c r="H116" s="34" t="n">
        <v>46297</v>
      </c>
      <c r="I116" s="31" t="n"/>
      <c r="J116" s="15" t="n">
        <v>0</v>
      </c>
      <c r="K116" s="15">
        <f>IF(AND(AH!$M$5="Snapshot",'IPO Live'!$M$5="Snapshot"),"",IFERROR(BDP(TEXT(VALUE($A116),"0")&amp;" HK Equity","PX_LAST"),""))</f>
        <v/>
      </c>
      <c r="L116" s="15">
        <f>IF(AND(AH!$M$5="Snapshot",'IPO Live'!$M$5="Snapshot"),"",IFERROR(BDP(TEXT(VALUE($A116),"0")&amp;" HK Equity","CHG_PCT_1D")/100,""))</f>
        <v/>
      </c>
      <c r="M116" s="15">
        <f>IF(AND(AH!$M$5="Snapshot",'IPO Live'!$M$5="Snapshot"),"",IFERROR(BDP(TEXT(VALUE($A116),"0")&amp;" HK Equity","LAST_UPDATE_DT"),""))</f>
        <v/>
      </c>
      <c r="N116" s="15">
        <f>IF(AND(AH!$M$5="Snapshot",'IPO Live'!$M$5="Snapshot"),"",IFERROR(BDP(TEXT(VALUE($A116),"0")&amp;" HK Equity","LAST_UPDATE"),""))</f>
        <v/>
      </c>
      <c r="O116" s="15">
        <f>IF('IPO Live'!$M$5="Snapshot",IF(ISNUMBER(G116),G116,"unavailable"),IF(AND(ISNUMBER(K116),N(K116)&gt;0),K116,IF('IPO Live'!$M$5="Auto",IF(ISNUMBER(G116),G116,"unavailable"),"unavailable")))</f>
        <v/>
      </c>
      <c r="P116" s="15">
        <f>IF(AND('IPO Live'!$M$5&lt;&gt;"Snapshot",ISNUMBER(K116),N(K116)&gt;0),"Bloomberg",IF(AND('IPO Live'!$M$5&lt;&gt;"Bloomberg",ISNUMBER(G116)),"Snapshot","Unavailable"))</f>
        <v/>
      </c>
      <c r="Q116" s="33">
        <f>IF(AND(P116="Bloomberg",ISNUMBER(L116)),L116,"unavailable")</f>
        <v/>
      </c>
      <c r="R116" s="15">
        <f>IF(OR('IPO Live'!$B$5="All",'IPO Live'!$B$5=C116,AND('IPO Live'!$B$5="A/H only",J116&gt;0)),1,0)</f>
        <v/>
      </c>
      <c r="S116" s="15">
        <f>IF(R116=1,COUNTIF($R$5:R116,1),"")</f>
        <v/>
      </c>
      <c r="T116">
        <f>1</f>
        <v/>
      </c>
      <c r="U116">
        <f>IF($P116="Bloomberg",$M116,$H116)</f>
        <v/>
      </c>
      <c r="AW116">
        <f>IF(AND(J116&gt;0,OR(AH!$I$5="All",AH!$I$5="A/H only",AH!$I$5=C116)),1,0)</f>
        <v/>
      </c>
      <c r="AX116">
        <f>IF(AW116=1,COUNTIF($AW$5:AW116,1),"")</f>
        <v/>
      </c>
      <c r="AY116">
        <f>IF(AH!$M$5="Snapshot",IF(ISNUMBER(G116),G116,"unavailable"),IF(AND(ISNUMBER(K116),N(K116)&gt;0),K116,IF(AH!$M$5="Auto",IF(ISNUMBER(G116),G116,"unavailable"),"unavailable")))</f>
        <v/>
      </c>
      <c r="AZ116">
        <f>IF(AND(AH!$M$5&lt;&gt;"Snapshot",ISNUMBER(K116),N(K116)&gt;0),"Bloomberg",IF(AND(AH!$M$5&lt;&gt;"Bloomberg",ISNUMBER(G116)),"Snapshot","Unavailable"))</f>
        <v/>
      </c>
      <c r="BA116">
        <f>IF(AZ116="Bloomberg",M116,H116)</f>
        <v/>
      </c>
      <c r="BB116">
        <f>1</f>
        <v/>
      </c>
    </row>
    <row r="117">
      <c r="A117" s="31" t="inlineStr">
        <is>
          <t>6657</t>
        </is>
      </c>
      <c r="B117" s="15" t="inlineStr">
        <is>
          <t>BAIWANG CO</t>
        </is>
      </c>
      <c r="C117" s="15" t="inlineStr">
        <is>
          <t>Tech/AI</t>
        </is>
      </c>
      <c r="D117" s="15" t="inlineStr">
        <is>
          <t>SaaS / enterprise software</t>
        </is>
      </c>
      <c r="E117" s="34" t="n">
        <v>45482</v>
      </c>
      <c r="F117" s="15" t="n">
        <v>36</v>
      </c>
      <c r="G117" s="15" t="n">
        <v>14.72</v>
      </c>
      <c r="H117" s="34" t="n">
        <v>46297</v>
      </c>
      <c r="I117" s="31" t="n"/>
      <c r="J117" s="15" t="n">
        <v>0</v>
      </c>
      <c r="K117" s="15">
        <f>IF(AND(AH!$M$5="Snapshot",'IPO Live'!$M$5="Snapshot"),"",IFERROR(BDP(TEXT(VALUE($A117),"0")&amp;" HK Equity","PX_LAST"),""))</f>
        <v/>
      </c>
      <c r="L117" s="15">
        <f>IF(AND(AH!$M$5="Snapshot",'IPO Live'!$M$5="Snapshot"),"",IFERROR(BDP(TEXT(VALUE($A117),"0")&amp;" HK Equity","CHG_PCT_1D")/100,""))</f>
        <v/>
      </c>
      <c r="M117" s="15">
        <f>IF(AND(AH!$M$5="Snapshot",'IPO Live'!$M$5="Snapshot"),"",IFERROR(BDP(TEXT(VALUE($A117),"0")&amp;" HK Equity","LAST_UPDATE_DT"),""))</f>
        <v/>
      </c>
      <c r="N117" s="15">
        <f>IF(AND(AH!$M$5="Snapshot",'IPO Live'!$M$5="Snapshot"),"",IFERROR(BDP(TEXT(VALUE($A117),"0")&amp;" HK Equity","LAST_UPDATE"),""))</f>
        <v/>
      </c>
      <c r="O117" s="15">
        <f>IF('IPO Live'!$M$5="Snapshot",IF(ISNUMBER(G117),G117,"unavailable"),IF(AND(ISNUMBER(K117),N(K117)&gt;0),K117,IF('IPO Live'!$M$5="Auto",IF(ISNUMBER(G117),G117,"unavailable"),"unavailable")))</f>
        <v/>
      </c>
      <c r="P117" s="15">
        <f>IF(AND('IPO Live'!$M$5&lt;&gt;"Snapshot",ISNUMBER(K117),N(K117)&gt;0),"Bloomberg",IF(AND('IPO Live'!$M$5&lt;&gt;"Bloomberg",ISNUMBER(G117)),"Snapshot","Unavailable"))</f>
        <v/>
      </c>
      <c r="Q117" s="33">
        <f>IF(AND(P117="Bloomberg",ISNUMBER(L117)),L117,"unavailable")</f>
        <v/>
      </c>
      <c r="R117" s="15">
        <f>IF(OR('IPO Live'!$B$5="All",'IPO Live'!$B$5=C117,AND('IPO Live'!$B$5="A/H only",J117&gt;0)),1,0)</f>
        <v/>
      </c>
      <c r="S117" s="15">
        <f>IF(R117=1,COUNTIF($R$5:R117,1),"")</f>
        <v/>
      </c>
      <c r="T117">
        <f>1</f>
        <v/>
      </c>
      <c r="U117">
        <f>IF($P117="Bloomberg",$M117,$H117)</f>
        <v/>
      </c>
      <c r="AW117">
        <f>IF(AND(J117&gt;0,OR(AH!$I$5="All",AH!$I$5="A/H only",AH!$I$5=C117)),1,0)</f>
        <v/>
      </c>
      <c r="AX117">
        <f>IF(AW117=1,COUNTIF($AW$5:AW117,1),"")</f>
        <v/>
      </c>
      <c r="AY117">
        <f>IF(AH!$M$5="Snapshot",IF(ISNUMBER(G117),G117,"unavailable"),IF(AND(ISNUMBER(K117),N(K117)&gt;0),K117,IF(AH!$M$5="Auto",IF(ISNUMBER(G117),G117,"unavailable"),"unavailable")))</f>
        <v/>
      </c>
      <c r="AZ117">
        <f>IF(AND(AH!$M$5&lt;&gt;"Snapshot",ISNUMBER(K117),N(K117)&gt;0),"Bloomberg",IF(AND(AH!$M$5&lt;&gt;"Bloomberg",ISNUMBER(G117)),"Snapshot","Unavailable"))</f>
        <v/>
      </c>
      <c r="BA117">
        <f>IF(AZ117="Bloomberg",M117,H117)</f>
        <v/>
      </c>
      <c r="BB117">
        <f>1</f>
        <v/>
      </c>
    </row>
    <row r="118">
      <c r="A118" s="31" t="inlineStr">
        <is>
          <t>2559</t>
        </is>
      </c>
      <c r="B118" s="15" t="inlineStr">
        <is>
          <t>DIDA INC</t>
        </is>
      </c>
      <c r="C118" s="15" t="inlineStr">
        <is>
          <t>Tech/AI</t>
        </is>
      </c>
      <c r="D118" s="15" t="inlineStr">
        <is>
          <t>Internet platform / e-commerce</t>
        </is>
      </c>
      <c r="E118" s="34" t="n">
        <v>45471</v>
      </c>
      <c r="F118" s="15" t="n">
        <v>6</v>
      </c>
      <c r="G118" s="15" t="n">
        <v>1.16</v>
      </c>
      <c r="H118" s="34" t="n">
        <v>46297</v>
      </c>
      <c r="I118" s="31" t="n"/>
      <c r="J118" s="15" t="n">
        <v>0</v>
      </c>
      <c r="K118" s="15">
        <f>IF(AND(AH!$M$5="Snapshot",'IPO Live'!$M$5="Snapshot"),"",IFERROR(BDP(TEXT(VALUE($A118),"0")&amp;" HK Equity","PX_LAST"),""))</f>
        <v/>
      </c>
      <c r="L118" s="15">
        <f>IF(AND(AH!$M$5="Snapshot",'IPO Live'!$M$5="Snapshot"),"",IFERROR(BDP(TEXT(VALUE($A118),"0")&amp;" HK Equity","CHG_PCT_1D")/100,""))</f>
        <v/>
      </c>
      <c r="M118" s="15">
        <f>IF(AND(AH!$M$5="Snapshot",'IPO Live'!$M$5="Snapshot"),"",IFERROR(BDP(TEXT(VALUE($A118),"0")&amp;" HK Equity","LAST_UPDATE_DT"),""))</f>
        <v/>
      </c>
      <c r="N118" s="15">
        <f>IF(AND(AH!$M$5="Snapshot",'IPO Live'!$M$5="Snapshot"),"",IFERROR(BDP(TEXT(VALUE($A118),"0")&amp;" HK Equity","LAST_UPDATE"),""))</f>
        <v/>
      </c>
      <c r="O118" s="15">
        <f>IF('IPO Live'!$M$5="Snapshot",IF(ISNUMBER(G118),G118,"unavailable"),IF(AND(ISNUMBER(K118),N(K118)&gt;0),K118,IF('IPO Live'!$M$5="Auto",IF(ISNUMBER(G118),G118,"unavailable"),"unavailable")))</f>
        <v/>
      </c>
      <c r="P118" s="15">
        <f>IF(AND('IPO Live'!$M$5&lt;&gt;"Snapshot",ISNUMBER(K118),N(K118)&gt;0),"Bloomberg",IF(AND('IPO Live'!$M$5&lt;&gt;"Bloomberg",ISNUMBER(G118)),"Snapshot","Unavailable"))</f>
        <v/>
      </c>
      <c r="Q118" s="33">
        <f>IF(AND(P118="Bloomberg",ISNUMBER(L118)),L118,"unavailable")</f>
        <v/>
      </c>
      <c r="R118" s="15">
        <f>IF(OR('IPO Live'!$B$5="All",'IPO Live'!$B$5=C118,AND('IPO Live'!$B$5="A/H only",J118&gt;0)),1,0)</f>
        <v/>
      </c>
      <c r="S118" s="15">
        <f>IF(R118=1,COUNTIF($R$5:R118,1),"")</f>
        <v/>
      </c>
      <c r="T118">
        <f>1</f>
        <v/>
      </c>
      <c r="U118">
        <f>IF($P118="Bloomberg",$M118,$H118)</f>
        <v/>
      </c>
      <c r="AW118">
        <f>IF(AND(J118&gt;0,OR(AH!$I$5="All",AH!$I$5="A/H only",AH!$I$5=C118)),1,0)</f>
        <v/>
      </c>
      <c r="AX118">
        <f>IF(AW118=1,COUNTIF($AW$5:AW118,1),"")</f>
        <v/>
      </c>
      <c r="AY118">
        <f>IF(AH!$M$5="Snapshot",IF(ISNUMBER(G118),G118,"unavailable"),IF(AND(ISNUMBER(K118),N(K118)&gt;0),K118,IF(AH!$M$5="Auto",IF(ISNUMBER(G118),G118,"unavailable"),"unavailable")))</f>
        <v/>
      </c>
      <c r="AZ118">
        <f>IF(AND(AH!$M$5&lt;&gt;"Snapshot",ISNUMBER(K118),N(K118)&gt;0),"Bloomberg",IF(AND(AH!$M$5&lt;&gt;"Bloomberg",ISNUMBER(G118)),"Snapshot","Unavailable"))</f>
        <v/>
      </c>
      <c r="BA118">
        <f>IF(AZ118="Bloomberg",M118,H118)</f>
        <v/>
      </c>
      <c r="BB118">
        <f>1</f>
        <v/>
      </c>
    </row>
    <row r="119">
      <c r="A119" s="31" t="inlineStr">
        <is>
          <t>2479</t>
        </is>
      </c>
      <c r="B119" s="15" t="inlineStr">
        <is>
          <t>TIANJUDIHE</t>
        </is>
      </c>
      <c r="C119" s="15" t="inlineStr">
        <is>
          <t>Tech/AI</t>
        </is>
      </c>
      <c r="D119" s="15" t="inlineStr">
        <is>
          <t>SaaS / enterprise software</t>
        </is>
      </c>
      <c r="E119" s="34" t="n">
        <v>45471</v>
      </c>
      <c r="F119" s="15" t="n">
        <v>83.33</v>
      </c>
      <c r="G119" s="15" t="n">
        <v>65</v>
      </c>
      <c r="H119" s="34" t="n">
        <v>45747</v>
      </c>
      <c r="I119" s="31" t="n"/>
      <c r="J119" s="15" t="n">
        <v>0</v>
      </c>
      <c r="K119" s="15">
        <f>IF(AND(AH!$M$5="Snapshot",'IPO Live'!$M$5="Snapshot"),"",IFERROR(BDP(TEXT(VALUE($A119),"0")&amp;" HK Equity","PX_LAST"),""))</f>
        <v/>
      </c>
      <c r="L119" s="15">
        <f>IF(AND(AH!$M$5="Snapshot",'IPO Live'!$M$5="Snapshot"),"",IFERROR(BDP(TEXT(VALUE($A119),"0")&amp;" HK Equity","CHG_PCT_1D")/100,""))</f>
        <v/>
      </c>
      <c r="M119" s="15">
        <f>IF(AND(AH!$M$5="Snapshot",'IPO Live'!$M$5="Snapshot"),"",IFERROR(BDP(TEXT(VALUE($A119),"0")&amp;" HK Equity","LAST_UPDATE_DT"),""))</f>
        <v/>
      </c>
      <c r="N119" s="15">
        <f>IF(AND(AH!$M$5="Snapshot",'IPO Live'!$M$5="Snapshot"),"",IFERROR(BDP(TEXT(VALUE($A119),"0")&amp;" HK Equity","LAST_UPDATE"),""))</f>
        <v/>
      </c>
      <c r="O119" s="15">
        <f>IF('IPO Live'!$M$5="Snapshot",IF(ISNUMBER(G119),G119,"unavailable"),IF(AND(ISNUMBER(K119),N(K119)&gt;0),K119,IF('IPO Live'!$M$5="Auto",IF(ISNUMBER(G119),G119,"unavailable"),"unavailable")))</f>
        <v/>
      </c>
      <c r="P119" s="15">
        <f>IF(AND('IPO Live'!$M$5&lt;&gt;"Snapshot",ISNUMBER(K119),N(K119)&gt;0),"Bloomberg",IF(AND('IPO Live'!$M$5&lt;&gt;"Bloomberg",ISNUMBER(G119)),"Snapshot","Unavailable"))</f>
        <v/>
      </c>
      <c r="Q119" s="33">
        <f>IF(AND(P119="Bloomberg",ISNUMBER(L119)),L119,"unavailable")</f>
        <v/>
      </c>
      <c r="R119" s="15">
        <f>IF(OR('IPO Live'!$B$5="All",'IPO Live'!$B$5=C119,AND('IPO Live'!$B$5="A/H only",J119&gt;0)),1,0)</f>
        <v/>
      </c>
      <c r="S119" s="15">
        <f>IF(R119=1,COUNTIF($R$5:R119,1),"")</f>
        <v/>
      </c>
      <c r="T119">
        <f>1</f>
        <v/>
      </c>
      <c r="U119">
        <f>IF($P119="Bloomberg",$M119,$H119)</f>
        <v/>
      </c>
      <c r="AW119">
        <f>IF(AND(J119&gt;0,OR(AH!$I$5="All",AH!$I$5="A/H only",AH!$I$5=C119)),1,0)</f>
        <v/>
      </c>
      <c r="AX119">
        <f>IF(AW119=1,COUNTIF($AW$5:AW119,1),"")</f>
        <v/>
      </c>
      <c r="AY119">
        <f>IF(AH!$M$5="Snapshot",IF(ISNUMBER(G119),G119,"unavailable"),IF(AND(ISNUMBER(K119),N(K119)&gt;0),K119,IF(AH!$M$5="Auto",IF(ISNUMBER(G119),G119,"unavailable"),"unavailable")))</f>
        <v/>
      </c>
      <c r="AZ119">
        <f>IF(AND(AH!$M$5&lt;&gt;"Snapshot",ISNUMBER(K119),N(K119)&gt;0),"Bloomberg",IF(AND(AH!$M$5&lt;&gt;"Bloomberg",ISNUMBER(G119)),"Snapshot","Unavailable"))</f>
        <v/>
      </c>
      <c r="BA119">
        <f>IF(AZ119="Bloomberg",M119,H119)</f>
        <v/>
      </c>
      <c r="BB119">
        <f>1</f>
        <v/>
      </c>
    </row>
    <row r="120">
      <c r="A120" s="31" t="inlineStr">
        <is>
          <t>2512</t>
        </is>
      </c>
      <c r="B120" s="15" t="inlineStr">
        <is>
          <t>CLOUD FACTORY</t>
        </is>
      </c>
      <c r="C120" s="15" t="inlineStr">
        <is>
          <t>Tech/AI</t>
        </is>
      </c>
      <c r="D120" s="15" t="inlineStr">
        <is>
          <t>Data center / cloud infra</t>
        </is>
      </c>
      <c r="E120" s="34" t="n">
        <v>45457</v>
      </c>
      <c r="F120" s="15" t="n">
        <v>4.6</v>
      </c>
      <c r="G120" s="15" t="n">
        <v>2.695</v>
      </c>
      <c r="H120" s="34" t="n">
        <v>46297</v>
      </c>
      <c r="I120" s="31" t="n"/>
      <c r="J120" s="15" t="n">
        <v>0</v>
      </c>
      <c r="K120" s="15">
        <f>IF(AND(AH!$M$5="Snapshot",'IPO Live'!$M$5="Snapshot"),"",IFERROR(BDP(TEXT(VALUE($A120),"0")&amp;" HK Equity","PX_LAST"),""))</f>
        <v/>
      </c>
      <c r="L120" s="15">
        <f>IF(AND(AH!$M$5="Snapshot",'IPO Live'!$M$5="Snapshot"),"",IFERROR(BDP(TEXT(VALUE($A120),"0")&amp;" HK Equity","CHG_PCT_1D")/100,""))</f>
        <v/>
      </c>
      <c r="M120" s="15">
        <f>IF(AND(AH!$M$5="Snapshot",'IPO Live'!$M$5="Snapshot"),"",IFERROR(BDP(TEXT(VALUE($A120),"0")&amp;" HK Equity","LAST_UPDATE_DT"),""))</f>
        <v/>
      </c>
      <c r="N120" s="15">
        <f>IF(AND(AH!$M$5="Snapshot",'IPO Live'!$M$5="Snapshot"),"",IFERROR(BDP(TEXT(VALUE($A120),"0")&amp;" HK Equity","LAST_UPDATE"),""))</f>
        <v/>
      </c>
      <c r="O120" s="15">
        <f>IF('IPO Live'!$M$5="Snapshot",IF(ISNUMBER(G120),G120,"unavailable"),IF(AND(ISNUMBER(K120),N(K120)&gt;0),K120,IF('IPO Live'!$M$5="Auto",IF(ISNUMBER(G120),G120,"unavailable"),"unavailable")))</f>
        <v/>
      </c>
      <c r="P120" s="15">
        <f>IF(AND('IPO Live'!$M$5&lt;&gt;"Snapshot",ISNUMBER(K120),N(K120)&gt;0),"Bloomberg",IF(AND('IPO Live'!$M$5&lt;&gt;"Bloomberg",ISNUMBER(G120)),"Snapshot","Unavailable"))</f>
        <v/>
      </c>
      <c r="Q120" s="33">
        <f>IF(AND(P120="Bloomberg",ISNUMBER(L120)),L120,"unavailable")</f>
        <v/>
      </c>
      <c r="R120" s="15">
        <f>IF(OR('IPO Live'!$B$5="All",'IPO Live'!$B$5=C120,AND('IPO Live'!$B$5="A/H only",J120&gt;0)),1,0)</f>
        <v/>
      </c>
      <c r="S120" s="15">
        <f>IF(R120=1,COUNTIF($R$5:R120,1),"")</f>
        <v/>
      </c>
      <c r="T120">
        <f>1</f>
        <v/>
      </c>
      <c r="U120">
        <f>IF($P120="Bloomberg",$M120,$H120)</f>
        <v/>
      </c>
      <c r="AW120">
        <f>IF(AND(J120&gt;0,OR(AH!$I$5="All",AH!$I$5="A/H only",AH!$I$5=C120)),1,0)</f>
        <v/>
      </c>
      <c r="AX120">
        <f>IF(AW120=1,COUNTIF($AW$5:AW120,1),"")</f>
        <v/>
      </c>
      <c r="AY120">
        <f>IF(AH!$M$5="Snapshot",IF(ISNUMBER(G120),G120,"unavailable"),IF(AND(ISNUMBER(K120),N(K120)&gt;0),K120,IF(AH!$M$5="Auto",IF(ISNUMBER(G120),G120,"unavailable"),"unavailable")))</f>
        <v/>
      </c>
      <c r="AZ120">
        <f>IF(AND(AH!$M$5&lt;&gt;"Snapshot",ISNUMBER(K120),N(K120)&gt;0),"Bloomberg",IF(AND(AH!$M$5&lt;&gt;"Bloomberg",ISNUMBER(G120)),"Snapshot","Unavailable"))</f>
        <v/>
      </c>
      <c r="BA120">
        <f>IF(AZ120="Bloomberg",M120,H120)</f>
        <v/>
      </c>
      <c r="BB120">
        <f>1</f>
        <v/>
      </c>
    </row>
    <row r="121">
      <c r="A121" s="31" t="inlineStr">
        <is>
          <t>2228</t>
        </is>
      </c>
      <c r="B121" s="15" t="inlineStr">
        <is>
          <t>QUANTUMPH-P</t>
        </is>
      </c>
      <c r="C121" s="15" t="inlineStr">
        <is>
          <t>Tech/AI</t>
        </is>
      </c>
      <c r="D121" s="15" t="inlineStr">
        <is>
          <t>AI application / agent software</t>
        </is>
      </c>
      <c r="E121" s="34" t="n">
        <v>45456</v>
      </c>
      <c r="F121" s="15" t="n">
        <v>5.28</v>
      </c>
      <c r="G121" s="15" t="n">
        <v>7.945</v>
      </c>
      <c r="H121" s="34" t="n">
        <v>46297</v>
      </c>
      <c r="I121" s="31" t="n"/>
      <c r="J121" s="15" t="n">
        <v>0</v>
      </c>
      <c r="K121" s="15">
        <f>IF(AND(AH!$M$5="Snapshot",'IPO Live'!$M$5="Snapshot"),"",IFERROR(BDP(TEXT(VALUE($A121),"0")&amp;" HK Equity","PX_LAST"),""))</f>
        <v/>
      </c>
      <c r="L121" s="15">
        <f>IF(AND(AH!$M$5="Snapshot",'IPO Live'!$M$5="Snapshot"),"",IFERROR(BDP(TEXT(VALUE($A121),"0")&amp;" HK Equity","CHG_PCT_1D")/100,""))</f>
        <v/>
      </c>
      <c r="M121" s="15">
        <f>IF(AND(AH!$M$5="Snapshot",'IPO Live'!$M$5="Snapshot"),"",IFERROR(BDP(TEXT(VALUE($A121),"0")&amp;" HK Equity","LAST_UPDATE_DT"),""))</f>
        <v/>
      </c>
      <c r="N121" s="15">
        <f>IF(AND(AH!$M$5="Snapshot",'IPO Live'!$M$5="Snapshot"),"",IFERROR(BDP(TEXT(VALUE($A121),"0")&amp;" HK Equity","LAST_UPDATE"),""))</f>
        <v/>
      </c>
      <c r="O121" s="15">
        <f>IF('IPO Live'!$M$5="Snapshot",IF(ISNUMBER(G121),G121,"unavailable"),IF(AND(ISNUMBER(K121),N(K121)&gt;0),K121,IF('IPO Live'!$M$5="Auto",IF(ISNUMBER(G121),G121,"unavailable"),"unavailable")))</f>
        <v/>
      </c>
      <c r="P121" s="15">
        <f>IF(AND('IPO Live'!$M$5&lt;&gt;"Snapshot",ISNUMBER(K121),N(K121)&gt;0),"Bloomberg",IF(AND('IPO Live'!$M$5&lt;&gt;"Bloomberg",ISNUMBER(G121)),"Snapshot","Unavailable"))</f>
        <v/>
      </c>
      <c r="Q121" s="33">
        <f>IF(AND(P121="Bloomberg",ISNUMBER(L121)),L121,"unavailable")</f>
        <v/>
      </c>
      <c r="R121" s="15">
        <f>IF(OR('IPO Live'!$B$5="All",'IPO Live'!$B$5=C121,AND('IPO Live'!$B$5="A/H only",J121&gt;0)),1,0)</f>
        <v/>
      </c>
      <c r="S121" s="15">
        <f>IF(R121=1,COUNTIF($R$5:R121,1),"")</f>
        <v/>
      </c>
      <c r="T121">
        <f>1</f>
        <v/>
      </c>
      <c r="U121">
        <f>IF($P121="Bloomberg",$M121,$H121)</f>
        <v/>
      </c>
      <c r="AW121">
        <f>IF(AND(J121&gt;0,OR(AH!$I$5="All",AH!$I$5="A/H only",AH!$I$5=C121)),1,0)</f>
        <v/>
      </c>
      <c r="AX121">
        <f>IF(AW121=1,COUNTIF($AW$5:AW121,1),"")</f>
        <v/>
      </c>
      <c r="AY121">
        <f>IF(AH!$M$5="Snapshot",IF(ISNUMBER(G121),G121,"unavailable"),IF(AND(ISNUMBER(K121),N(K121)&gt;0),K121,IF(AH!$M$5="Auto",IF(ISNUMBER(G121),G121,"unavailable"),"unavailable")))</f>
        <v/>
      </c>
      <c r="AZ121">
        <f>IF(AND(AH!$M$5&lt;&gt;"Snapshot",ISNUMBER(K121),N(K121)&gt;0),"Bloomberg",IF(AND(AH!$M$5&lt;&gt;"Bloomberg",ISNUMBER(G121)),"Snapshot","Unavailable"))</f>
        <v/>
      </c>
      <c r="BA121">
        <f>IF(AZ121="Bloomberg",M121,H121)</f>
        <v/>
      </c>
      <c r="BB121">
        <f>1</f>
        <v/>
      </c>
    </row>
    <row r="122">
      <c r="A122" s="31" t="inlineStr">
        <is>
          <t>2550</t>
        </is>
      </c>
      <c r="B122" s="15" t="inlineStr">
        <is>
          <t>EASOU TECH</t>
        </is>
      </c>
      <c r="C122" s="15" t="inlineStr">
        <is>
          <t>Tech/AI</t>
        </is>
      </c>
      <c r="D122" s="15" t="inlineStr">
        <is>
          <t>Internet platform / e-commerce</t>
        </is>
      </c>
      <c r="E122" s="34" t="n">
        <v>45450</v>
      </c>
      <c r="F122" s="15" t="n">
        <v>5.8</v>
      </c>
      <c r="G122" s="15" t="n">
        <v>2.1</v>
      </c>
      <c r="H122" s="34" t="n">
        <v>46297</v>
      </c>
      <c r="I122" s="31" t="n"/>
      <c r="J122" s="15" t="n">
        <v>0</v>
      </c>
      <c r="K122" s="15">
        <f>IF(AND(AH!$M$5="Snapshot",'IPO Live'!$M$5="Snapshot"),"",IFERROR(BDP(TEXT(VALUE($A122),"0")&amp;" HK Equity","PX_LAST"),""))</f>
        <v/>
      </c>
      <c r="L122" s="15">
        <f>IF(AND(AH!$M$5="Snapshot",'IPO Live'!$M$5="Snapshot"),"",IFERROR(BDP(TEXT(VALUE($A122),"0")&amp;" HK Equity","CHG_PCT_1D")/100,""))</f>
        <v/>
      </c>
      <c r="M122" s="15">
        <f>IF(AND(AH!$M$5="Snapshot",'IPO Live'!$M$5="Snapshot"),"",IFERROR(BDP(TEXT(VALUE($A122),"0")&amp;" HK Equity","LAST_UPDATE_DT"),""))</f>
        <v/>
      </c>
      <c r="N122" s="15">
        <f>IF(AND(AH!$M$5="Snapshot",'IPO Live'!$M$5="Snapshot"),"",IFERROR(BDP(TEXT(VALUE($A122),"0")&amp;" HK Equity","LAST_UPDATE"),""))</f>
        <v/>
      </c>
      <c r="O122" s="15">
        <f>IF('IPO Live'!$M$5="Snapshot",IF(ISNUMBER(G122),G122,"unavailable"),IF(AND(ISNUMBER(K122),N(K122)&gt;0),K122,IF('IPO Live'!$M$5="Auto",IF(ISNUMBER(G122),G122,"unavailable"),"unavailable")))</f>
        <v/>
      </c>
      <c r="P122" s="15">
        <f>IF(AND('IPO Live'!$M$5&lt;&gt;"Snapshot",ISNUMBER(K122),N(K122)&gt;0),"Bloomberg",IF(AND('IPO Live'!$M$5&lt;&gt;"Bloomberg",ISNUMBER(G122)),"Snapshot","Unavailable"))</f>
        <v/>
      </c>
      <c r="Q122" s="33">
        <f>IF(AND(P122="Bloomberg",ISNUMBER(L122)),L122,"unavailable")</f>
        <v/>
      </c>
      <c r="R122" s="15">
        <f>IF(OR('IPO Live'!$B$5="All",'IPO Live'!$B$5=C122,AND('IPO Live'!$B$5="A/H only",J122&gt;0)),1,0)</f>
        <v/>
      </c>
      <c r="S122" s="15">
        <f>IF(R122=1,COUNTIF($R$5:R122,1),"")</f>
        <v/>
      </c>
      <c r="T122">
        <f>1</f>
        <v/>
      </c>
      <c r="U122">
        <f>IF($P122="Bloomberg",$M122,$H122)</f>
        <v/>
      </c>
      <c r="AW122">
        <f>IF(AND(J122&gt;0,OR(AH!$I$5="All",AH!$I$5="A/H only",AH!$I$5=C122)),1,0)</f>
        <v/>
      </c>
      <c r="AX122">
        <f>IF(AW122=1,COUNTIF($AW$5:AW122,1),"")</f>
        <v/>
      </c>
      <c r="AY122">
        <f>IF(AH!$M$5="Snapshot",IF(ISNUMBER(G122),G122,"unavailable"),IF(AND(ISNUMBER(K122),N(K122)&gt;0),K122,IF(AH!$M$5="Auto",IF(ISNUMBER(G122),G122,"unavailable"),"unavailable")))</f>
        <v/>
      </c>
      <c r="AZ122">
        <f>IF(AND(AH!$M$5&lt;&gt;"Snapshot",ISNUMBER(K122),N(K122)&gt;0),"Bloomberg",IF(AND(AH!$M$5&lt;&gt;"Bloomberg",ISNUMBER(G122)),"Snapshot","Unavailable"))</f>
        <v/>
      </c>
      <c r="BA122">
        <f>IF(AZ122="Bloomberg",M122,H122)</f>
        <v/>
      </c>
      <c r="BB122">
        <f>1</f>
        <v/>
      </c>
    </row>
    <row r="123">
      <c r="A123" s="31" t="inlineStr">
        <is>
          <t>2556</t>
        </is>
      </c>
      <c r="B123" s="15" t="inlineStr">
        <is>
          <t>MARKETINGFORCE</t>
        </is>
      </c>
      <c r="C123" s="15" t="inlineStr">
        <is>
          <t>Tech/AI</t>
        </is>
      </c>
      <c r="D123" s="15" t="inlineStr">
        <is>
          <t>SaaS / enterprise software</t>
        </is>
      </c>
      <c r="E123" s="34" t="n">
        <v>45428</v>
      </c>
      <c r="F123" s="15" t="n">
        <v>43.6</v>
      </c>
      <c r="G123" s="15" t="n">
        <v>51.65</v>
      </c>
      <c r="H123" s="34" t="n">
        <v>46297</v>
      </c>
      <c r="I123" s="31" t="n"/>
      <c r="J123" s="15" t="n">
        <v>0</v>
      </c>
      <c r="K123" s="15">
        <f>IF(AND(AH!$M$5="Snapshot",'IPO Live'!$M$5="Snapshot"),"",IFERROR(BDP(TEXT(VALUE($A123),"0")&amp;" HK Equity","PX_LAST"),""))</f>
        <v/>
      </c>
      <c r="L123" s="15">
        <f>IF(AND(AH!$M$5="Snapshot",'IPO Live'!$M$5="Snapshot"),"",IFERROR(BDP(TEXT(VALUE($A123),"0")&amp;" HK Equity","CHG_PCT_1D")/100,""))</f>
        <v/>
      </c>
      <c r="M123" s="15">
        <f>IF(AND(AH!$M$5="Snapshot",'IPO Live'!$M$5="Snapshot"),"",IFERROR(BDP(TEXT(VALUE($A123),"0")&amp;" HK Equity","LAST_UPDATE_DT"),""))</f>
        <v/>
      </c>
      <c r="N123" s="15">
        <f>IF(AND(AH!$M$5="Snapshot",'IPO Live'!$M$5="Snapshot"),"",IFERROR(BDP(TEXT(VALUE($A123),"0")&amp;" HK Equity","LAST_UPDATE"),""))</f>
        <v/>
      </c>
      <c r="O123" s="15">
        <f>IF('IPO Live'!$M$5="Snapshot",IF(ISNUMBER(G123),G123,"unavailable"),IF(AND(ISNUMBER(K123),N(K123)&gt;0),K123,IF('IPO Live'!$M$5="Auto",IF(ISNUMBER(G123),G123,"unavailable"),"unavailable")))</f>
        <v/>
      </c>
      <c r="P123" s="15">
        <f>IF(AND('IPO Live'!$M$5&lt;&gt;"Snapshot",ISNUMBER(K123),N(K123)&gt;0),"Bloomberg",IF(AND('IPO Live'!$M$5&lt;&gt;"Bloomberg",ISNUMBER(G123)),"Snapshot","Unavailable"))</f>
        <v/>
      </c>
      <c r="Q123" s="33">
        <f>IF(AND(P123="Bloomberg",ISNUMBER(L123)),L123,"unavailable")</f>
        <v/>
      </c>
      <c r="R123" s="15">
        <f>IF(OR('IPO Live'!$B$5="All",'IPO Live'!$B$5=C123,AND('IPO Live'!$B$5="A/H only",J123&gt;0)),1,0)</f>
        <v/>
      </c>
      <c r="S123" s="15">
        <f>IF(R123=1,COUNTIF($R$5:R123,1),"")</f>
        <v/>
      </c>
      <c r="T123">
        <f>1</f>
        <v/>
      </c>
      <c r="U123">
        <f>IF($P123="Bloomberg",$M123,$H123)</f>
        <v/>
      </c>
      <c r="AW123">
        <f>IF(AND(J123&gt;0,OR(AH!$I$5="All",AH!$I$5="A/H only",AH!$I$5=C123)),1,0)</f>
        <v/>
      </c>
      <c r="AX123">
        <f>IF(AW123=1,COUNTIF($AW$5:AW123,1),"")</f>
        <v/>
      </c>
      <c r="AY123">
        <f>IF(AH!$M$5="Snapshot",IF(ISNUMBER(G123),G123,"unavailable"),IF(AND(ISNUMBER(K123),N(K123)&gt;0),K123,IF(AH!$M$5="Auto",IF(ISNUMBER(G123),G123,"unavailable"),"unavailable")))</f>
        <v/>
      </c>
      <c r="AZ123">
        <f>IF(AND(AH!$M$5&lt;&gt;"Snapshot",ISNUMBER(K123),N(K123)&gt;0),"Bloomberg",IF(AND(AH!$M$5&lt;&gt;"Bloomberg",ISNUMBER(G123)),"Snapshot","Unavailable"))</f>
        <v/>
      </c>
      <c r="BA123">
        <f>IF(AZ123="Bloomberg",M123,H123)</f>
        <v/>
      </c>
      <c r="BB123">
        <f>1</f>
        <v/>
      </c>
    </row>
    <row r="124">
      <c r="A124" s="31" t="inlineStr">
        <is>
          <t>2438</t>
        </is>
      </c>
      <c r="B124" s="15" t="inlineStr">
        <is>
          <t>MOBVOI</t>
        </is>
      </c>
      <c r="C124" s="15" t="inlineStr">
        <is>
          <t>Tech/AI</t>
        </is>
      </c>
      <c r="D124" s="15" t="inlineStr">
        <is>
          <t>AI application / agent software</t>
        </is>
      </c>
      <c r="E124" s="34" t="n">
        <v>45406</v>
      </c>
      <c r="F124" s="15" t="n">
        <v>3.8</v>
      </c>
      <c r="G124" s="15" t="n">
        <v>0.295</v>
      </c>
      <c r="H124" s="34" t="n">
        <v>46297</v>
      </c>
      <c r="I124" s="31" t="n"/>
      <c r="J124" s="15" t="n">
        <v>0</v>
      </c>
      <c r="K124" s="15">
        <f>IF(AND(AH!$M$5="Snapshot",'IPO Live'!$M$5="Snapshot"),"",IFERROR(BDP(TEXT(VALUE($A124),"0")&amp;" HK Equity","PX_LAST"),""))</f>
        <v/>
      </c>
      <c r="L124" s="15">
        <f>IF(AND(AH!$M$5="Snapshot",'IPO Live'!$M$5="Snapshot"),"",IFERROR(BDP(TEXT(VALUE($A124),"0")&amp;" HK Equity","CHG_PCT_1D")/100,""))</f>
        <v/>
      </c>
      <c r="M124" s="15">
        <f>IF(AND(AH!$M$5="Snapshot",'IPO Live'!$M$5="Snapshot"),"",IFERROR(BDP(TEXT(VALUE($A124),"0")&amp;" HK Equity","LAST_UPDATE_DT"),""))</f>
        <v/>
      </c>
      <c r="N124" s="15">
        <f>IF(AND(AH!$M$5="Snapshot",'IPO Live'!$M$5="Snapshot"),"",IFERROR(BDP(TEXT(VALUE($A124),"0")&amp;" HK Equity","LAST_UPDATE"),""))</f>
        <v/>
      </c>
      <c r="O124" s="15">
        <f>IF('IPO Live'!$M$5="Snapshot",IF(ISNUMBER(G124),G124,"unavailable"),IF(AND(ISNUMBER(K124),N(K124)&gt;0),K124,IF('IPO Live'!$M$5="Auto",IF(ISNUMBER(G124),G124,"unavailable"),"unavailable")))</f>
        <v/>
      </c>
      <c r="P124" s="15">
        <f>IF(AND('IPO Live'!$M$5&lt;&gt;"Snapshot",ISNUMBER(K124),N(K124)&gt;0),"Bloomberg",IF(AND('IPO Live'!$M$5&lt;&gt;"Bloomberg",ISNUMBER(G124)),"Snapshot","Unavailable"))</f>
        <v/>
      </c>
      <c r="Q124" s="33">
        <f>IF(AND(P124="Bloomberg",ISNUMBER(L124)),L124,"unavailable")</f>
        <v/>
      </c>
      <c r="R124" s="15">
        <f>IF(OR('IPO Live'!$B$5="All",'IPO Live'!$B$5=C124,AND('IPO Live'!$B$5="A/H only",J124&gt;0)),1,0)</f>
        <v/>
      </c>
      <c r="S124" s="15">
        <f>IF(R124=1,COUNTIF($R$5:R124,1),"")</f>
        <v/>
      </c>
      <c r="T124">
        <f>1</f>
        <v/>
      </c>
      <c r="U124">
        <f>IF($P124="Bloomberg",$M124,$H124)</f>
        <v/>
      </c>
      <c r="AW124">
        <f>IF(AND(J124&gt;0,OR(AH!$I$5="All",AH!$I$5="A/H only",AH!$I$5=C124)),1,0)</f>
        <v/>
      </c>
      <c r="AX124">
        <f>IF(AW124=1,COUNTIF($AW$5:AW124,1),"")</f>
        <v/>
      </c>
      <c r="AY124">
        <f>IF(AH!$M$5="Snapshot",IF(ISNUMBER(G124),G124,"unavailable"),IF(AND(ISNUMBER(K124),N(K124)&gt;0),K124,IF(AH!$M$5="Auto",IF(ISNUMBER(G124),G124,"unavailable"),"unavailable")))</f>
        <v/>
      </c>
      <c r="AZ124">
        <f>IF(AND(AH!$M$5&lt;&gt;"Snapshot",ISNUMBER(K124),N(K124)&gt;0),"Bloomberg",IF(AND(AH!$M$5&lt;&gt;"Bloomberg",ISNUMBER(G124)),"Snapshot","Unavailable"))</f>
        <v/>
      </c>
      <c r="BA124">
        <f>IF(AZ124="Bloomberg",M124,H124)</f>
        <v/>
      </c>
      <c r="BB124">
        <f>1</f>
        <v/>
      </c>
    </row>
    <row r="125">
      <c r="A125" s="31" t="inlineStr">
        <is>
          <t>2598</t>
        </is>
      </c>
      <c r="B125" s="15" t="inlineStr">
        <is>
          <t>LIANLIAN</t>
        </is>
      </c>
      <c r="C125" s="15" t="inlineStr">
        <is>
          <t>Tech/AI</t>
        </is>
      </c>
      <c r="D125" s="15" t="inlineStr">
        <is>
          <t>Fintech platform</t>
        </is>
      </c>
      <c r="E125" s="34" t="n">
        <v>45379</v>
      </c>
      <c r="F125" s="15" t="n">
        <v>10.22</v>
      </c>
      <c r="G125" s="15" t="n">
        <v>3.335</v>
      </c>
      <c r="H125" s="34" t="n">
        <v>46297</v>
      </c>
      <c r="I125" s="31" t="n"/>
      <c r="J125" s="15" t="n">
        <v>0</v>
      </c>
      <c r="K125" s="15">
        <f>IF(AND(AH!$M$5="Snapshot",'IPO Live'!$M$5="Snapshot"),"",IFERROR(BDP(TEXT(VALUE($A125),"0")&amp;" HK Equity","PX_LAST"),""))</f>
        <v/>
      </c>
      <c r="L125" s="15">
        <f>IF(AND(AH!$M$5="Snapshot",'IPO Live'!$M$5="Snapshot"),"",IFERROR(BDP(TEXT(VALUE($A125),"0")&amp;" HK Equity","CHG_PCT_1D")/100,""))</f>
        <v/>
      </c>
      <c r="M125" s="15">
        <f>IF(AND(AH!$M$5="Snapshot",'IPO Live'!$M$5="Snapshot"),"",IFERROR(BDP(TEXT(VALUE($A125),"0")&amp;" HK Equity","LAST_UPDATE_DT"),""))</f>
        <v/>
      </c>
      <c r="N125" s="15">
        <f>IF(AND(AH!$M$5="Snapshot",'IPO Live'!$M$5="Snapshot"),"",IFERROR(BDP(TEXT(VALUE($A125),"0")&amp;" HK Equity","LAST_UPDATE"),""))</f>
        <v/>
      </c>
      <c r="O125" s="15">
        <f>IF('IPO Live'!$M$5="Snapshot",IF(ISNUMBER(G125),G125,"unavailable"),IF(AND(ISNUMBER(K125),N(K125)&gt;0),K125,IF('IPO Live'!$M$5="Auto",IF(ISNUMBER(G125),G125,"unavailable"),"unavailable")))</f>
        <v/>
      </c>
      <c r="P125" s="15">
        <f>IF(AND('IPO Live'!$M$5&lt;&gt;"Snapshot",ISNUMBER(K125),N(K125)&gt;0),"Bloomberg",IF(AND('IPO Live'!$M$5&lt;&gt;"Bloomberg",ISNUMBER(G125)),"Snapshot","Unavailable"))</f>
        <v/>
      </c>
      <c r="Q125" s="33">
        <f>IF(AND(P125="Bloomberg",ISNUMBER(L125)),L125,"unavailable")</f>
        <v/>
      </c>
      <c r="R125" s="15">
        <f>IF(OR('IPO Live'!$B$5="All",'IPO Live'!$B$5=C125,AND('IPO Live'!$B$5="A/H only",J125&gt;0)),1,0)</f>
        <v/>
      </c>
      <c r="S125" s="15">
        <f>IF(R125=1,COUNTIF($R$5:R125,1),"")</f>
        <v/>
      </c>
      <c r="T125">
        <f>1</f>
        <v/>
      </c>
      <c r="U125">
        <f>IF($P125="Bloomberg",$M125,$H125)</f>
        <v/>
      </c>
      <c r="AW125">
        <f>IF(AND(J125&gt;0,OR(AH!$I$5="All",AH!$I$5="A/H only",AH!$I$5=C125)),1,0)</f>
        <v/>
      </c>
      <c r="AX125">
        <f>IF(AW125=1,COUNTIF($AW$5:AW125,1),"")</f>
        <v/>
      </c>
      <c r="AY125">
        <f>IF(AH!$M$5="Snapshot",IF(ISNUMBER(G125),G125,"unavailable"),IF(AND(ISNUMBER(K125),N(K125)&gt;0),K125,IF(AH!$M$5="Auto",IF(ISNUMBER(G125),G125,"unavailable"),"unavailable")))</f>
        <v/>
      </c>
      <c r="AZ125">
        <f>IF(AND(AH!$M$5&lt;&gt;"Snapshot",ISNUMBER(K125),N(K125)&gt;0),"Bloomberg",IF(AND(AH!$M$5&lt;&gt;"Bloomberg",ISNUMBER(G125)),"Snapshot","Unavailable"))</f>
        <v/>
      </c>
      <c r="BA125">
        <f>IF(AZ125="Bloomberg",M125,H125)</f>
        <v/>
      </c>
      <c r="BB125">
        <f>1</f>
        <v/>
      </c>
    </row>
    <row r="126">
      <c r="A126" s="31" t="inlineStr">
        <is>
          <t>6959</t>
        </is>
      </c>
      <c r="B126" s="15" t="inlineStr">
        <is>
          <t>CHANGJIU HLDGS</t>
        </is>
      </c>
      <c r="C126" s="15" t="inlineStr">
        <is>
          <t>Tech/AI</t>
        </is>
      </c>
      <c r="D126" s="15" t="inlineStr">
        <is>
          <t>SaaS / enterprise software</t>
        </is>
      </c>
      <c r="E126" s="34" t="n">
        <v>45300</v>
      </c>
      <c r="F126" s="15" t="n">
        <v>5.95</v>
      </c>
      <c r="G126" s="15" t="n">
        <v>2.85</v>
      </c>
      <c r="H126" s="34" t="n">
        <v>46297</v>
      </c>
      <c r="I126" s="31" t="n"/>
      <c r="J126" s="15" t="n">
        <v>0</v>
      </c>
      <c r="K126" s="15">
        <f>IF(AND(AH!$M$5="Snapshot",'IPO Live'!$M$5="Snapshot"),"",IFERROR(BDP(TEXT(VALUE($A126),"0")&amp;" HK Equity","PX_LAST"),""))</f>
        <v/>
      </c>
      <c r="L126" s="15">
        <f>IF(AND(AH!$M$5="Snapshot",'IPO Live'!$M$5="Snapshot"),"",IFERROR(BDP(TEXT(VALUE($A126),"0")&amp;" HK Equity","CHG_PCT_1D")/100,""))</f>
        <v/>
      </c>
      <c r="M126" s="15">
        <f>IF(AND(AH!$M$5="Snapshot",'IPO Live'!$M$5="Snapshot"),"",IFERROR(BDP(TEXT(VALUE($A126),"0")&amp;" HK Equity","LAST_UPDATE_DT"),""))</f>
        <v/>
      </c>
      <c r="N126" s="15">
        <f>IF(AND(AH!$M$5="Snapshot",'IPO Live'!$M$5="Snapshot"),"",IFERROR(BDP(TEXT(VALUE($A126),"0")&amp;" HK Equity","LAST_UPDATE"),""))</f>
        <v/>
      </c>
      <c r="O126" s="15">
        <f>IF('IPO Live'!$M$5="Snapshot",IF(ISNUMBER(G126),G126,"unavailable"),IF(AND(ISNUMBER(K126),N(K126)&gt;0),K126,IF('IPO Live'!$M$5="Auto",IF(ISNUMBER(G126),G126,"unavailable"),"unavailable")))</f>
        <v/>
      </c>
      <c r="P126" s="15">
        <f>IF(AND('IPO Live'!$M$5&lt;&gt;"Snapshot",ISNUMBER(K126),N(K126)&gt;0),"Bloomberg",IF(AND('IPO Live'!$M$5&lt;&gt;"Bloomberg",ISNUMBER(G126)),"Snapshot","Unavailable"))</f>
        <v/>
      </c>
      <c r="Q126" s="33">
        <f>IF(AND(P126="Bloomberg",ISNUMBER(L126)),L126,"unavailable")</f>
        <v/>
      </c>
      <c r="R126" s="15">
        <f>IF(OR('IPO Live'!$B$5="All",'IPO Live'!$B$5=C126,AND('IPO Live'!$B$5="A/H only",J126&gt;0)),1,0)</f>
        <v/>
      </c>
      <c r="S126" s="15">
        <f>IF(R126=1,COUNTIF($R$5:R126,1),"")</f>
        <v/>
      </c>
      <c r="T126">
        <f>1</f>
        <v/>
      </c>
      <c r="U126">
        <f>IF($P126="Bloomberg",$M126,$H126)</f>
        <v/>
      </c>
      <c r="AW126">
        <f>IF(AND(J126&gt;0,OR(AH!$I$5="All",AH!$I$5="A/H only",AH!$I$5=C126)),1,0)</f>
        <v/>
      </c>
      <c r="AX126">
        <f>IF(AW126=1,COUNTIF($AW$5:AW126,1),"")</f>
        <v/>
      </c>
      <c r="AY126">
        <f>IF(AH!$M$5="Snapshot",IF(ISNUMBER(G126),G126,"unavailable"),IF(AND(ISNUMBER(K126),N(K126)&gt;0),K126,IF(AH!$M$5="Auto",IF(ISNUMBER(G126),G126,"unavailable"),"unavailable")))</f>
        <v/>
      </c>
      <c r="AZ126">
        <f>IF(AND(AH!$M$5&lt;&gt;"Snapshot",ISNUMBER(K126),N(K126)&gt;0),"Bloomberg",IF(AND(AH!$M$5&lt;&gt;"Bloomberg",ISNUMBER(G126)),"Snapshot","Unavailable"))</f>
        <v/>
      </c>
      <c r="BA126">
        <f>IF(AZ126="Bloomberg",M126,H126)</f>
        <v/>
      </c>
      <c r="BB126">
        <f>1</f>
        <v/>
      </c>
    </row>
    <row r="127">
      <c r="A127" s="31" t="inlineStr">
        <is>
          <t>2498</t>
        </is>
      </c>
      <c r="B127" s="15" t="inlineStr">
        <is>
          <t>ROBOSENSE</t>
        </is>
      </c>
      <c r="C127" s="15" t="inlineStr">
        <is>
          <t>Tech/AI</t>
        </is>
      </c>
      <c r="D127" s="15" t="inlineStr">
        <is>
          <t>Robotics &amp; autonomous driving</t>
        </is>
      </c>
      <c r="E127" s="34" t="n">
        <v>45296</v>
      </c>
      <c r="F127" s="15" t="n">
        <v>43</v>
      </c>
      <c r="G127" s="15" t="n">
        <v>16.09</v>
      </c>
      <c r="H127" s="34" t="n">
        <v>46297</v>
      </c>
      <c r="I127" s="31" t="n"/>
      <c r="J127" s="15" t="n">
        <v>0</v>
      </c>
      <c r="K127" s="15">
        <f>IF(AND(AH!$M$5="Snapshot",'IPO Live'!$M$5="Snapshot"),"",IFERROR(BDP(TEXT(VALUE($A127),"0")&amp;" HK Equity","PX_LAST"),""))</f>
        <v/>
      </c>
      <c r="L127" s="15">
        <f>IF(AND(AH!$M$5="Snapshot",'IPO Live'!$M$5="Snapshot"),"",IFERROR(BDP(TEXT(VALUE($A127),"0")&amp;" HK Equity","CHG_PCT_1D")/100,""))</f>
        <v/>
      </c>
      <c r="M127" s="15">
        <f>IF(AND(AH!$M$5="Snapshot",'IPO Live'!$M$5="Snapshot"),"",IFERROR(BDP(TEXT(VALUE($A127),"0")&amp;" HK Equity","LAST_UPDATE_DT"),""))</f>
        <v/>
      </c>
      <c r="N127" s="15">
        <f>IF(AND(AH!$M$5="Snapshot",'IPO Live'!$M$5="Snapshot"),"",IFERROR(BDP(TEXT(VALUE($A127),"0")&amp;" HK Equity","LAST_UPDATE"),""))</f>
        <v/>
      </c>
      <c r="O127" s="15">
        <f>IF('IPO Live'!$M$5="Snapshot",IF(ISNUMBER(G127),G127,"unavailable"),IF(AND(ISNUMBER(K127),N(K127)&gt;0),K127,IF('IPO Live'!$M$5="Auto",IF(ISNUMBER(G127),G127,"unavailable"),"unavailable")))</f>
        <v/>
      </c>
      <c r="P127" s="15">
        <f>IF(AND('IPO Live'!$M$5&lt;&gt;"Snapshot",ISNUMBER(K127),N(K127)&gt;0),"Bloomberg",IF(AND('IPO Live'!$M$5&lt;&gt;"Bloomberg",ISNUMBER(G127)),"Snapshot","Unavailable"))</f>
        <v/>
      </c>
      <c r="Q127" s="33">
        <f>IF(AND(P127="Bloomberg",ISNUMBER(L127)),L127,"unavailable")</f>
        <v/>
      </c>
      <c r="R127" s="15">
        <f>IF(OR('IPO Live'!$B$5="All",'IPO Live'!$B$5=C127,AND('IPO Live'!$B$5="A/H only",J127&gt;0)),1,0)</f>
        <v/>
      </c>
      <c r="S127" s="15">
        <f>IF(R127=1,COUNTIF($R$5:R127,1),"")</f>
        <v/>
      </c>
      <c r="T127">
        <f>1</f>
        <v/>
      </c>
      <c r="U127">
        <f>IF($P127="Bloomberg",$M127,$H127)</f>
        <v/>
      </c>
      <c r="AW127">
        <f>IF(AND(J127&gt;0,OR(AH!$I$5="All",AH!$I$5="A/H only",AH!$I$5=C127)),1,0)</f>
        <v/>
      </c>
      <c r="AX127">
        <f>IF(AW127=1,COUNTIF($AW$5:AW127,1),"")</f>
        <v/>
      </c>
      <c r="AY127">
        <f>IF(AH!$M$5="Snapshot",IF(ISNUMBER(G127),G127,"unavailable"),IF(AND(ISNUMBER(K127),N(K127)&gt;0),K127,IF(AH!$M$5="Auto",IF(ISNUMBER(G127),G127,"unavailable"),"unavailable")))</f>
        <v/>
      </c>
      <c r="AZ127">
        <f>IF(AND(AH!$M$5&lt;&gt;"Snapshot",ISNUMBER(K127),N(K127)&gt;0),"Bloomberg",IF(AND(AH!$M$5&lt;&gt;"Bloomberg",ISNUMBER(G127)),"Snapshot","Unavailable"))</f>
        <v/>
      </c>
      <c r="BA127">
        <f>IF(AZ127="Bloomberg",M127,H127)</f>
        <v/>
      </c>
      <c r="BB127">
        <f>1</f>
        <v/>
      </c>
    </row>
    <row r="128">
      <c r="A128" s="31" t="inlineStr">
        <is>
          <t>9880</t>
        </is>
      </c>
      <c r="B128" s="15" t="inlineStr">
        <is>
          <t>UBTECH ROBOTICS</t>
        </is>
      </c>
      <c r="C128" s="15" t="inlineStr">
        <is>
          <t>Tech/AI</t>
        </is>
      </c>
      <c r="D128" s="15" t="inlineStr">
        <is>
          <t>Robotics &amp; autonomous driving</t>
        </is>
      </c>
      <c r="E128" s="34" t="n">
        <v>45289</v>
      </c>
      <c r="F128" s="15" t="n">
        <v>90</v>
      </c>
      <c r="G128" s="15" t="n">
        <v>73.5</v>
      </c>
      <c r="H128" s="34" t="n">
        <v>46297</v>
      </c>
      <c r="I128" s="31" t="n"/>
      <c r="J128" s="15" t="n">
        <v>0</v>
      </c>
      <c r="K128" s="15">
        <f>IF(AND(AH!$M$5="Snapshot",'IPO Live'!$M$5="Snapshot"),"",IFERROR(BDP(TEXT(VALUE($A128),"0")&amp;" HK Equity","PX_LAST"),""))</f>
        <v/>
      </c>
      <c r="L128" s="15">
        <f>IF(AND(AH!$M$5="Snapshot",'IPO Live'!$M$5="Snapshot"),"",IFERROR(BDP(TEXT(VALUE($A128),"0")&amp;" HK Equity","CHG_PCT_1D")/100,""))</f>
        <v/>
      </c>
      <c r="M128" s="15">
        <f>IF(AND(AH!$M$5="Snapshot",'IPO Live'!$M$5="Snapshot"),"",IFERROR(BDP(TEXT(VALUE($A128),"0")&amp;" HK Equity","LAST_UPDATE_DT"),""))</f>
        <v/>
      </c>
      <c r="N128" s="15">
        <f>IF(AND(AH!$M$5="Snapshot",'IPO Live'!$M$5="Snapshot"),"",IFERROR(BDP(TEXT(VALUE($A128),"0")&amp;" HK Equity","LAST_UPDATE"),""))</f>
        <v/>
      </c>
      <c r="O128" s="15">
        <f>IF('IPO Live'!$M$5="Snapshot",IF(ISNUMBER(G128),G128,"unavailable"),IF(AND(ISNUMBER(K128),N(K128)&gt;0),K128,IF('IPO Live'!$M$5="Auto",IF(ISNUMBER(G128),G128,"unavailable"),"unavailable")))</f>
        <v/>
      </c>
      <c r="P128" s="15">
        <f>IF(AND('IPO Live'!$M$5&lt;&gt;"Snapshot",ISNUMBER(K128),N(K128)&gt;0),"Bloomberg",IF(AND('IPO Live'!$M$5&lt;&gt;"Bloomberg",ISNUMBER(G128)),"Snapshot","Unavailable"))</f>
        <v/>
      </c>
      <c r="Q128" s="33">
        <f>IF(AND(P128="Bloomberg",ISNUMBER(L128)),L128,"unavailable")</f>
        <v/>
      </c>
      <c r="R128" s="15">
        <f>IF(OR('IPO Live'!$B$5="All",'IPO Live'!$B$5=C128,AND('IPO Live'!$B$5="A/H only",J128&gt;0)),1,0)</f>
        <v/>
      </c>
      <c r="S128" s="15">
        <f>IF(R128=1,COUNTIF($R$5:R128,1),"")</f>
        <v/>
      </c>
      <c r="T128">
        <f>1</f>
        <v/>
      </c>
      <c r="U128">
        <f>IF($P128="Bloomberg",$M128,$H128)</f>
        <v/>
      </c>
      <c r="AW128">
        <f>IF(AND(J128&gt;0,OR(AH!$I$5="All",AH!$I$5="A/H only",AH!$I$5=C128)),1,0)</f>
        <v/>
      </c>
      <c r="AX128">
        <f>IF(AW128=1,COUNTIF($AW$5:AW128,1),"")</f>
        <v/>
      </c>
      <c r="AY128">
        <f>IF(AH!$M$5="Snapshot",IF(ISNUMBER(G128),G128,"unavailable"),IF(AND(ISNUMBER(K128),N(K128)&gt;0),K128,IF(AH!$M$5="Auto",IF(ISNUMBER(G128),G128,"unavailable"),"unavailable")))</f>
        <v/>
      </c>
      <c r="AZ128">
        <f>IF(AND(AH!$M$5&lt;&gt;"Snapshot",ISNUMBER(K128),N(K128)&gt;0),"Bloomberg",IF(AND(AH!$M$5&lt;&gt;"Bloomberg",ISNUMBER(G128)),"Snapshot","Unavailable"))</f>
        <v/>
      </c>
      <c r="BA128">
        <f>IF(AZ128="Bloomberg",M128,H128)</f>
        <v/>
      </c>
      <c r="BB128">
        <f>1</f>
        <v/>
      </c>
    </row>
    <row r="129">
      <c r="A129" s="31" t="inlineStr">
        <is>
          <t>2149</t>
        </is>
      </c>
      <c r="B129" s="15" t="inlineStr">
        <is>
          <t>BATELAB</t>
        </is>
      </c>
      <c r="C129" s="15" t="inlineStr">
        <is>
          <t>Tech/AI</t>
        </is>
      </c>
      <c r="D129" s="15" t="inlineStr">
        <is>
          <t>Analog / power semiconductors</t>
        </is>
      </c>
      <c r="E129" s="34" t="n">
        <v>45288</v>
      </c>
      <c r="F129" s="15" t="n">
        <v>27.47</v>
      </c>
      <c r="G129" s="15" t="n">
        <v>33.9</v>
      </c>
      <c r="H129" s="34" t="n">
        <v>46297</v>
      </c>
      <c r="I129" s="31" t="n"/>
      <c r="J129" s="15" t="n">
        <v>0</v>
      </c>
      <c r="K129" s="15">
        <f>IF(AND(AH!$M$5="Snapshot",'IPO Live'!$M$5="Snapshot"),"",IFERROR(BDP(TEXT(VALUE($A129),"0")&amp;" HK Equity","PX_LAST"),""))</f>
        <v/>
      </c>
      <c r="L129" s="15">
        <f>IF(AND(AH!$M$5="Snapshot",'IPO Live'!$M$5="Snapshot"),"",IFERROR(BDP(TEXT(VALUE($A129),"0")&amp;" HK Equity","CHG_PCT_1D")/100,""))</f>
        <v/>
      </c>
      <c r="M129" s="15">
        <f>IF(AND(AH!$M$5="Snapshot",'IPO Live'!$M$5="Snapshot"),"",IFERROR(BDP(TEXT(VALUE($A129),"0")&amp;" HK Equity","LAST_UPDATE_DT"),""))</f>
        <v/>
      </c>
      <c r="N129" s="15">
        <f>IF(AND(AH!$M$5="Snapshot",'IPO Live'!$M$5="Snapshot"),"",IFERROR(BDP(TEXT(VALUE($A129),"0")&amp;" HK Equity","LAST_UPDATE"),""))</f>
        <v/>
      </c>
      <c r="O129" s="15">
        <f>IF('IPO Live'!$M$5="Snapshot",IF(ISNUMBER(G129),G129,"unavailable"),IF(AND(ISNUMBER(K129),N(K129)&gt;0),K129,IF('IPO Live'!$M$5="Auto",IF(ISNUMBER(G129),G129,"unavailable"),"unavailable")))</f>
        <v/>
      </c>
      <c r="P129" s="15">
        <f>IF(AND('IPO Live'!$M$5&lt;&gt;"Snapshot",ISNUMBER(K129),N(K129)&gt;0),"Bloomberg",IF(AND('IPO Live'!$M$5&lt;&gt;"Bloomberg",ISNUMBER(G129)),"Snapshot","Unavailable"))</f>
        <v/>
      </c>
      <c r="Q129" s="33">
        <f>IF(AND(P129="Bloomberg",ISNUMBER(L129)),L129,"unavailable")</f>
        <v/>
      </c>
      <c r="R129" s="15">
        <f>IF(OR('IPO Live'!$B$5="All",'IPO Live'!$B$5=C129,AND('IPO Live'!$B$5="A/H only",J129&gt;0)),1,0)</f>
        <v/>
      </c>
      <c r="S129" s="15">
        <f>IF(R129=1,COUNTIF($R$5:R129,1),"")</f>
        <v/>
      </c>
      <c r="T129">
        <f>1</f>
        <v/>
      </c>
      <c r="U129">
        <f>IF($P129="Bloomberg",$M129,$H129)</f>
        <v/>
      </c>
      <c r="AW129">
        <f>IF(AND(J129&gt;0,OR(AH!$I$5="All",AH!$I$5="A/H only",AH!$I$5=C129)),1,0)</f>
        <v/>
      </c>
      <c r="AX129">
        <f>IF(AW129=1,COUNTIF($AW$5:AW129,1),"")</f>
        <v/>
      </c>
      <c r="AY129">
        <f>IF(AH!$M$5="Snapshot",IF(ISNUMBER(G129),G129,"unavailable"),IF(AND(ISNUMBER(K129),N(K129)&gt;0),K129,IF(AH!$M$5="Auto",IF(ISNUMBER(G129),G129,"unavailable"),"unavailable")))</f>
        <v/>
      </c>
      <c r="AZ129">
        <f>IF(AND(AH!$M$5&lt;&gt;"Snapshot",ISNUMBER(K129),N(K129)&gt;0),"Bloomberg",IF(AND(AH!$M$5&lt;&gt;"Bloomberg",ISNUMBER(G129)),"Snapshot","Unavailable"))</f>
        <v/>
      </c>
      <c r="BA129">
        <f>IF(AZ129="Bloomberg",M129,H129)</f>
        <v/>
      </c>
      <c r="BB129">
        <f>1</f>
        <v/>
      </c>
    </row>
    <row r="130">
      <c r="A130" s="31" t="inlineStr">
        <is>
          <t>1274</t>
        </is>
      </c>
      <c r="B130" s="15" t="inlineStr">
        <is>
          <t>IMOTIONAUTOTECH</t>
        </is>
      </c>
      <c r="C130" s="15" t="inlineStr">
        <is>
          <t>Tech/AI</t>
        </is>
      </c>
      <c r="D130" s="15" t="inlineStr">
        <is>
          <t>Robotics &amp; autonomous driving</t>
        </is>
      </c>
      <c r="E130" s="34" t="n">
        <v>45280</v>
      </c>
      <c r="F130" s="15" t="n">
        <v>29.65</v>
      </c>
      <c r="G130" s="15" t="n">
        <v>1.875</v>
      </c>
      <c r="H130" s="34" t="n">
        <v>46297</v>
      </c>
      <c r="I130" s="31" t="n"/>
      <c r="J130" s="15" t="n">
        <v>0</v>
      </c>
      <c r="K130" s="15">
        <f>IF(AND(AH!$M$5="Snapshot",'IPO Live'!$M$5="Snapshot"),"",IFERROR(BDP(TEXT(VALUE($A130),"0")&amp;" HK Equity","PX_LAST"),""))</f>
        <v/>
      </c>
      <c r="L130" s="15">
        <f>IF(AND(AH!$M$5="Snapshot",'IPO Live'!$M$5="Snapshot"),"",IFERROR(BDP(TEXT(VALUE($A130),"0")&amp;" HK Equity","CHG_PCT_1D")/100,""))</f>
        <v/>
      </c>
      <c r="M130" s="15">
        <f>IF(AND(AH!$M$5="Snapshot",'IPO Live'!$M$5="Snapshot"),"",IFERROR(BDP(TEXT(VALUE($A130),"0")&amp;" HK Equity","LAST_UPDATE_DT"),""))</f>
        <v/>
      </c>
      <c r="N130" s="15">
        <f>IF(AND(AH!$M$5="Snapshot",'IPO Live'!$M$5="Snapshot"),"",IFERROR(BDP(TEXT(VALUE($A130),"0")&amp;" HK Equity","LAST_UPDATE"),""))</f>
        <v/>
      </c>
      <c r="O130" s="15">
        <f>IF('IPO Live'!$M$5="Snapshot",IF(ISNUMBER(G130),G130,"unavailable"),IF(AND(ISNUMBER(K130),N(K130)&gt;0),K130,IF('IPO Live'!$M$5="Auto",IF(ISNUMBER(G130),G130,"unavailable"),"unavailable")))</f>
        <v/>
      </c>
      <c r="P130" s="15">
        <f>IF(AND('IPO Live'!$M$5&lt;&gt;"Snapshot",ISNUMBER(K130),N(K130)&gt;0),"Bloomberg",IF(AND('IPO Live'!$M$5&lt;&gt;"Bloomberg",ISNUMBER(G130)),"Snapshot","Unavailable"))</f>
        <v/>
      </c>
      <c r="Q130" s="33">
        <f>IF(AND(P130="Bloomberg",ISNUMBER(L130)),L130,"unavailable")</f>
        <v/>
      </c>
      <c r="R130" s="15">
        <f>IF(OR('IPO Live'!$B$5="All",'IPO Live'!$B$5=C130,AND('IPO Live'!$B$5="A/H only",J130&gt;0)),1,0)</f>
        <v/>
      </c>
      <c r="S130" s="15">
        <f>IF(R130=1,COUNTIF($R$5:R130,1),"")</f>
        <v/>
      </c>
      <c r="T130">
        <f>1</f>
        <v/>
      </c>
      <c r="U130">
        <f>IF($P130="Bloomberg",$M130,$H130)</f>
        <v/>
      </c>
      <c r="AW130">
        <f>IF(AND(J130&gt;0,OR(AH!$I$5="All",AH!$I$5="A/H only",AH!$I$5=C130)),1,0)</f>
        <v/>
      </c>
      <c r="AX130">
        <f>IF(AW130=1,COUNTIF($AW$5:AW130,1),"")</f>
        <v/>
      </c>
      <c r="AY130">
        <f>IF(AH!$M$5="Snapshot",IF(ISNUMBER(G130),G130,"unavailable"),IF(AND(ISNUMBER(K130),N(K130)&gt;0),K130,IF(AH!$M$5="Auto",IF(ISNUMBER(G130),G130,"unavailable"),"unavailable")))</f>
        <v/>
      </c>
      <c r="AZ130">
        <f>IF(AND(AH!$M$5&lt;&gt;"Snapshot",ISNUMBER(K130),N(K130)&gt;0),"Bloomberg",IF(AND(AH!$M$5&lt;&gt;"Bloomberg",ISNUMBER(G130)),"Snapshot","Unavailable"))</f>
        <v/>
      </c>
      <c r="BA130">
        <f>IF(AZ130="Bloomberg",M130,H130)</f>
        <v/>
      </c>
      <c r="BB130">
        <f>1</f>
        <v/>
      </c>
    </row>
    <row r="131">
      <c r="A131" s="31" t="inlineStr">
        <is>
          <t>2483</t>
        </is>
      </c>
      <c r="B131" s="15" t="inlineStr">
        <is>
          <t>K CASH</t>
        </is>
      </c>
      <c r="C131" s="15" t="inlineStr">
        <is>
          <t>Tech/AI</t>
        </is>
      </c>
      <c r="D131" s="15" t="inlineStr">
        <is>
          <t>Fintech platform</t>
        </is>
      </c>
      <c r="E131" s="34" t="n">
        <v>45265</v>
      </c>
      <c r="F131" s="15" t="n">
        <v>1.8</v>
      </c>
      <c r="G131" s="15" t="n">
        <v>1.8</v>
      </c>
      <c r="H131" s="34" t="n">
        <v>46297</v>
      </c>
      <c r="I131" s="31" t="n"/>
      <c r="J131" s="15" t="n">
        <v>0</v>
      </c>
      <c r="K131" s="15">
        <f>IF(AND(AH!$M$5="Snapshot",'IPO Live'!$M$5="Snapshot"),"",IFERROR(BDP(TEXT(VALUE($A131),"0")&amp;" HK Equity","PX_LAST"),""))</f>
        <v/>
      </c>
      <c r="L131" s="15">
        <f>IF(AND(AH!$M$5="Snapshot",'IPO Live'!$M$5="Snapshot"),"",IFERROR(BDP(TEXT(VALUE($A131),"0")&amp;" HK Equity","CHG_PCT_1D")/100,""))</f>
        <v/>
      </c>
      <c r="M131" s="15">
        <f>IF(AND(AH!$M$5="Snapshot",'IPO Live'!$M$5="Snapshot"),"",IFERROR(BDP(TEXT(VALUE($A131),"0")&amp;" HK Equity","LAST_UPDATE_DT"),""))</f>
        <v/>
      </c>
      <c r="N131" s="15">
        <f>IF(AND(AH!$M$5="Snapshot",'IPO Live'!$M$5="Snapshot"),"",IFERROR(BDP(TEXT(VALUE($A131),"0")&amp;" HK Equity","LAST_UPDATE"),""))</f>
        <v/>
      </c>
      <c r="O131" s="15">
        <f>IF('IPO Live'!$M$5="Snapshot",IF(ISNUMBER(G131),G131,"unavailable"),IF(AND(ISNUMBER(K131),N(K131)&gt;0),K131,IF('IPO Live'!$M$5="Auto",IF(ISNUMBER(G131),G131,"unavailable"),"unavailable")))</f>
        <v/>
      </c>
      <c r="P131" s="15">
        <f>IF(AND('IPO Live'!$M$5&lt;&gt;"Snapshot",ISNUMBER(K131),N(K131)&gt;0),"Bloomberg",IF(AND('IPO Live'!$M$5&lt;&gt;"Bloomberg",ISNUMBER(G131)),"Snapshot","Unavailable"))</f>
        <v/>
      </c>
      <c r="Q131" s="33">
        <f>IF(AND(P131="Bloomberg",ISNUMBER(L131)),L131,"unavailable")</f>
        <v/>
      </c>
      <c r="R131" s="15">
        <f>IF(OR('IPO Live'!$B$5="All",'IPO Live'!$B$5=C131,AND('IPO Live'!$B$5="A/H only",J131&gt;0)),1,0)</f>
        <v/>
      </c>
      <c r="S131" s="15">
        <f>IF(R131=1,COUNTIF($R$5:R131,1),"")</f>
        <v/>
      </c>
      <c r="T131">
        <f>1</f>
        <v/>
      </c>
      <c r="U131">
        <f>IF($P131="Bloomberg",$M131,$H131)</f>
        <v/>
      </c>
      <c r="AW131">
        <f>IF(AND(J131&gt;0,OR(AH!$I$5="All",AH!$I$5="A/H only",AH!$I$5=C131)),1,0)</f>
        <v/>
      </c>
      <c r="AX131">
        <f>IF(AW131=1,COUNTIF($AW$5:AW131,1),"")</f>
        <v/>
      </c>
      <c r="AY131">
        <f>IF(AH!$M$5="Snapshot",IF(ISNUMBER(G131),G131,"unavailable"),IF(AND(ISNUMBER(K131),N(K131)&gt;0),K131,IF(AH!$M$5="Auto",IF(ISNUMBER(G131),G131,"unavailable"),"unavailable")))</f>
        <v/>
      </c>
      <c r="AZ131">
        <f>IF(AND(AH!$M$5&lt;&gt;"Snapshot",ISNUMBER(K131),N(K131)&gt;0),"Bloomberg",IF(AND(AH!$M$5&lt;&gt;"Bloomberg",ISNUMBER(G131)),"Snapshot","Unavailable"))</f>
        <v/>
      </c>
      <c r="BA131">
        <f>IF(AZ131="Bloomberg",M131,H131)</f>
        <v/>
      </c>
      <c r="BB131">
        <f>1</f>
        <v/>
      </c>
    </row>
    <row r="132">
      <c r="A132" s="31" t="inlineStr">
        <is>
          <t>2501</t>
        </is>
      </c>
      <c r="B132" s="15" t="inlineStr">
        <is>
          <t>MAIYUE TECH</t>
        </is>
      </c>
      <c r="C132" s="15" t="inlineStr">
        <is>
          <t>Tech/AI</t>
        </is>
      </c>
      <c r="D132" s="15" t="inlineStr">
        <is>
          <t>AI application / agent software</t>
        </is>
      </c>
      <c r="E132" s="34" t="n">
        <v>45210</v>
      </c>
      <c r="F132" s="15" t="n">
        <v>1.18</v>
      </c>
      <c r="G132" s="15" t="n">
        <v>1.77</v>
      </c>
      <c r="H132" s="34" t="n">
        <v>46297</v>
      </c>
      <c r="I132" s="31" t="n"/>
      <c r="J132" s="15" t="n">
        <v>0</v>
      </c>
      <c r="K132" s="15">
        <f>IF(AND(AH!$M$5="Snapshot",'IPO Live'!$M$5="Snapshot"),"",IFERROR(BDP(TEXT(VALUE($A132),"0")&amp;" HK Equity","PX_LAST"),""))</f>
        <v/>
      </c>
      <c r="L132" s="15">
        <f>IF(AND(AH!$M$5="Snapshot",'IPO Live'!$M$5="Snapshot"),"",IFERROR(BDP(TEXT(VALUE($A132),"0")&amp;" HK Equity","CHG_PCT_1D")/100,""))</f>
        <v/>
      </c>
      <c r="M132" s="15">
        <f>IF(AND(AH!$M$5="Snapshot",'IPO Live'!$M$5="Snapshot"),"",IFERROR(BDP(TEXT(VALUE($A132),"0")&amp;" HK Equity","LAST_UPDATE_DT"),""))</f>
        <v/>
      </c>
      <c r="N132" s="15">
        <f>IF(AND(AH!$M$5="Snapshot",'IPO Live'!$M$5="Snapshot"),"",IFERROR(BDP(TEXT(VALUE($A132),"0")&amp;" HK Equity","LAST_UPDATE"),""))</f>
        <v/>
      </c>
      <c r="O132" s="15">
        <f>IF('IPO Live'!$M$5="Snapshot",IF(ISNUMBER(G132),G132,"unavailable"),IF(AND(ISNUMBER(K132),N(K132)&gt;0),K132,IF('IPO Live'!$M$5="Auto",IF(ISNUMBER(G132),G132,"unavailable"),"unavailable")))</f>
        <v/>
      </c>
      <c r="P132" s="15">
        <f>IF(AND('IPO Live'!$M$5&lt;&gt;"Snapshot",ISNUMBER(K132),N(K132)&gt;0),"Bloomberg",IF(AND('IPO Live'!$M$5&lt;&gt;"Bloomberg",ISNUMBER(G132)),"Snapshot","Unavailable"))</f>
        <v/>
      </c>
      <c r="Q132" s="33">
        <f>IF(AND(P132="Bloomberg",ISNUMBER(L132)),L132,"unavailable")</f>
        <v/>
      </c>
      <c r="R132" s="15">
        <f>IF(OR('IPO Live'!$B$5="All",'IPO Live'!$B$5=C132,AND('IPO Live'!$B$5="A/H only",J132&gt;0)),1,0)</f>
        <v/>
      </c>
      <c r="S132" s="15">
        <f>IF(R132=1,COUNTIF($R$5:R132,1),"")</f>
        <v/>
      </c>
      <c r="T132">
        <f>1</f>
        <v/>
      </c>
      <c r="U132">
        <f>IF($P132="Bloomberg",$M132,$H132)</f>
        <v/>
      </c>
      <c r="AW132">
        <f>IF(AND(J132&gt;0,OR(AH!$I$5="All",AH!$I$5="A/H only",AH!$I$5=C132)),1,0)</f>
        <v/>
      </c>
      <c r="AX132">
        <f>IF(AW132=1,COUNTIF($AW$5:AW132,1),"")</f>
        <v/>
      </c>
      <c r="AY132">
        <f>IF(AH!$M$5="Snapshot",IF(ISNUMBER(G132),G132,"unavailable"),IF(AND(ISNUMBER(K132),N(K132)&gt;0),K132,IF(AH!$M$5="Auto",IF(ISNUMBER(G132),G132,"unavailable"),"unavailable")))</f>
        <v/>
      </c>
      <c r="AZ132">
        <f>IF(AND(AH!$M$5&lt;&gt;"Snapshot",ISNUMBER(K132),N(K132)&gt;0),"Bloomberg",IF(AND(AH!$M$5&lt;&gt;"Bloomberg",ISNUMBER(G132)),"Snapshot","Unavailable"))</f>
        <v/>
      </c>
      <c r="BA132">
        <f>IF(AZ132="Bloomberg",M132,H132)</f>
        <v/>
      </c>
      <c r="BB132">
        <f>1</f>
        <v/>
      </c>
    </row>
    <row r="133">
      <c r="A133" s="31" t="inlineStr">
        <is>
          <t>6682</t>
        </is>
      </c>
      <c r="B133" s="15" t="inlineStr">
        <is>
          <t>FOURTH PARADIGM</t>
        </is>
      </c>
      <c r="C133" s="15" t="inlineStr">
        <is>
          <t>Tech/AI</t>
        </is>
      </c>
      <c r="D133" s="15" t="inlineStr">
        <is>
          <t>AI application / agent software</t>
        </is>
      </c>
      <c r="E133" s="34" t="n">
        <v>45197</v>
      </c>
      <c r="F133" s="15" t="n">
        <v>55.6</v>
      </c>
      <c r="G133" s="15" t="n">
        <v>25.92</v>
      </c>
      <c r="H133" s="34" t="n">
        <v>46297</v>
      </c>
      <c r="I133" s="31" t="n"/>
      <c r="J133" s="15" t="n">
        <v>0</v>
      </c>
      <c r="K133" s="15">
        <f>IF(AND(AH!$M$5="Snapshot",'IPO Live'!$M$5="Snapshot"),"",IFERROR(BDP(TEXT(VALUE($A133),"0")&amp;" HK Equity","PX_LAST"),""))</f>
        <v/>
      </c>
      <c r="L133" s="15">
        <f>IF(AND(AH!$M$5="Snapshot",'IPO Live'!$M$5="Snapshot"),"",IFERROR(BDP(TEXT(VALUE($A133),"0")&amp;" HK Equity","CHG_PCT_1D")/100,""))</f>
        <v/>
      </c>
      <c r="M133" s="15">
        <f>IF(AND(AH!$M$5="Snapshot",'IPO Live'!$M$5="Snapshot"),"",IFERROR(BDP(TEXT(VALUE($A133),"0")&amp;" HK Equity","LAST_UPDATE_DT"),""))</f>
        <v/>
      </c>
      <c r="N133" s="15">
        <f>IF(AND(AH!$M$5="Snapshot",'IPO Live'!$M$5="Snapshot"),"",IFERROR(BDP(TEXT(VALUE($A133),"0")&amp;" HK Equity","LAST_UPDATE"),""))</f>
        <v/>
      </c>
      <c r="O133" s="15">
        <f>IF('IPO Live'!$M$5="Snapshot",IF(ISNUMBER(G133),G133,"unavailable"),IF(AND(ISNUMBER(K133),N(K133)&gt;0),K133,IF('IPO Live'!$M$5="Auto",IF(ISNUMBER(G133),G133,"unavailable"),"unavailable")))</f>
        <v/>
      </c>
      <c r="P133" s="15">
        <f>IF(AND('IPO Live'!$M$5&lt;&gt;"Snapshot",ISNUMBER(K133),N(K133)&gt;0),"Bloomberg",IF(AND('IPO Live'!$M$5&lt;&gt;"Bloomberg",ISNUMBER(G133)),"Snapshot","Unavailable"))</f>
        <v/>
      </c>
      <c r="Q133" s="33">
        <f>IF(AND(P133="Bloomberg",ISNUMBER(L133)),L133,"unavailable")</f>
        <v/>
      </c>
      <c r="R133" s="15">
        <f>IF(OR('IPO Live'!$B$5="All",'IPO Live'!$B$5=C133,AND('IPO Live'!$B$5="A/H only",J133&gt;0)),1,0)</f>
        <v/>
      </c>
      <c r="S133" s="15">
        <f>IF(R133=1,COUNTIF($R$5:R133,1),"")</f>
        <v/>
      </c>
      <c r="T133">
        <f>1</f>
        <v/>
      </c>
      <c r="U133">
        <f>IF($P133="Bloomberg",$M133,$H133)</f>
        <v/>
      </c>
      <c r="AW133">
        <f>IF(AND(J133&gt;0,OR(AH!$I$5="All",AH!$I$5="A/H only",AH!$I$5=C133)),1,0)</f>
        <v/>
      </c>
      <c r="AX133">
        <f>IF(AW133=1,COUNTIF($AW$5:AW133,1),"")</f>
        <v/>
      </c>
      <c r="AY133">
        <f>IF(AH!$M$5="Snapshot",IF(ISNUMBER(G133),G133,"unavailable"),IF(AND(ISNUMBER(K133),N(K133)&gt;0),K133,IF(AH!$M$5="Auto",IF(ISNUMBER(G133),G133,"unavailable"),"unavailable")))</f>
        <v/>
      </c>
      <c r="AZ133">
        <f>IF(AND(AH!$M$5&lt;&gt;"Snapshot",ISNUMBER(K133),N(K133)&gt;0),"Bloomberg",IF(AND(AH!$M$5&lt;&gt;"Bloomberg",ISNUMBER(G133)),"Snapshot","Unavailable"))</f>
        <v/>
      </c>
      <c r="BA133">
        <f>IF(AZ133="Bloomberg",M133,H133)</f>
        <v/>
      </c>
      <c r="BB133">
        <f>1</f>
        <v/>
      </c>
    </row>
    <row r="134">
      <c r="A134" s="31" t="inlineStr">
        <is>
          <t>9690</t>
        </is>
      </c>
      <c r="B134" s="15" t="inlineStr">
        <is>
          <t>TUHU-W</t>
        </is>
      </c>
      <c r="C134" s="15" t="inlineStr">
        <is>
          <t>Tech/AI</t>
        </is>
      </c>
      <c r="D134" s="15" t="inlineStr">
        <is>
          <t>Internet platform / e-commerce</t>
        </is>
      </c>
      <c r="E134" s="34" t="n">
        <v>45195</v>
      </c>
      <c r="F134" s="15" t="n">
        <v>28</v>
      </c>
      <c r="G134" s="15" t="n">
        <v>11.62</v>
      </c>
      <c r="H134" s="34" t="n">
        <v>46297</v>
      </c>
      <c r="I134" s="31" t="n"/>
      <c r="J134" s="15" t="n">
        <v>0</v>
      </c>
      <c r="K134" s="15">
        <f>IF(AND(AH!$M$5="Snapshot",'IPO Live'!$M$5="Snapshot"),"",IFERROR(BDP(TEXT(VALUE($A134),"0")&amp;" HK Equity","PX_LAST"),""))</f>
        <v/>
      </c>
      <c r="L134" s="15">
        <f>IF(AND(AH!$M$5="Snapshot",'IPO Live'!$M$5="Snapshot"),"",IFERROR(BDP(TEXT(VALUE($A134),"0")&amp;" HK Equity","CHG_PCT_1D")/100,""))</f>
        <v/>
      </c>
      <c r="M134" s="15">
        <f>IF(AND(AH!$M$5="Snapshot",'IPO Live'!$M$5="Snapshot"),"",IFERROR(BDP(TEXT(VALUE($A134),"0")&amp;" HK Equity","LAST_UPDATE_DT"),""))</f>
        <v/>
      </c>
      <c r="N134" s="15">
        <f>IF(AND(AH!$M$5="Snapshot",'IPO Live'!$M$5="Snapshot"),"",IFERROR(BDP(TEXT(VALUE($A134),"0")&amp;" HK Equity","LAST_UPDATE"),""))</f>
        <v/>
      </c>
      <c r="O134" s="15">
        <f>IF('IPO Live'!$M$5="Snapshot",IF(ISNUMBER(G134),G134,"unavailable"),IF(AND(ISNUMBER(K134),N(K134)&gt;0),K134,IF('IPO Live'!$M$5="Auto",IF(ISNUMBER(G134),G134,"unavailable"),"unavailable")))</f>
        <v/>
      </c>
      <c r="P134" s="15">
        <f>IF(AND('IPO Live'!$M$5&lt;&gt;"Snapshot",ISNUMBER(K134),N(K134)&gt;0),"Bloomberg",IF(AND('IPO Live'!$M$5&lt;&gt;"Bloomberg",ISNUMBER(G134)),"Snapshot","Unavailable"))</f>
        <v/>
      </c>
      <c r="Q134" s="33">
        <f>IF(AND(P134="Bloomberg",ISNUMBER(L134)),L134,"unavailable")</f>
        <v/>
      </c>
      <c r="R134" s="15">
        <f>IF(OR('IPO Live'!$B$5="All",'IPO Live'!$B$5=C134,AND('IPO Live'!$B$5="A/H only",J134&gt;0)),1,0)</f>
        <v/>
      </c>
      <c r="S134" s="15">
        <f>IF(R134=1,COUNTIF($R$5:R134,1),"")</f>
        <v/>
      </c>
      <c r="T134">
        <f>1</f>
        <v/>
      </c>
      <c r="U134">
        <f>IF($P134="Bloomberg",$M134,$H134)</f>
        <v/>
      </c>
      <c r="AW134">
        <f>IF(AND(J134&gt;0,OR(AH!$I$5="All",AH!$I$5="A/H only",AH!$I$5=C134)),1,0)</f>
        <v/>
      </c>
      <c r="AX134">
        <f>IF(AW134=1,COUNTIF($AW$5:AW134,1),"")</f>
        <v/>
      </c>
      <c r="AY134">
        <f>IF(AH!$M$5="Snapshot",IF(ISNUMBER(G134),G134,"unavailable"),IF(AND(ISNUMBER(K134),N(K134)&gt;0),K134,IF(AH!$M$5="Auto",IF(ISNUMBER(G134),G134,"unavailable"),"unavailable")))</f>
        <v/>
      </c>
      <c r="AZ134">
        <f>IF(AND(AH!$M$5&lt;&gt;"Snapshot",ISNUMBER(K134),N(K134)&gt;0),"Bloomberg",IF(AND(AH!$M$5&lt;&gt;"Bloomberg",ISNUMBER(G134)),"Snapshot","Unavailable"))</f>
        <v/>
      </c>
      <c r="BA134">
        <f>IF(AZ134="Bloomberg",M134,H134)</f>
        <v/>
      </c>
      <c r="BB134">
        <f>1</f>
        <v/>
      </c>
    </row>
    <row r="135">
      <c r="A135" s="31" t="inlineStr">
        <is>
          <t>3650</t>
        </is>
      </c>
      <c r="B135" s="15" t="inlineStr">
        <is>
          <t>KEEP</t>
        </is>
      </c>
      <c r="C135" s="15" t="inlineStr">
        <is>
          <t>Tech/AI</t>
        </is>
      </c>
      <c r="D135" s="15" t="inlineStr">
        <is>
          <t>Internet platform / e-commerce</t>
        </is>
      </c>
      <c r="E135" s="34" t="n">
        <v>45119</v>
      </c>
      <c r="F135" s="15" t="n">
        <v>28.92</v>
      </c>
      <c r="G135" s="15" t="n">
        <v>1.405</v>
      </c>
      <c r="H135" s="34" t="n">
        <v>46297</v>
      </c>
      <c r="I135" s="31" t="n"/>
      <c r="J135" s="15" t="n">
        <v>0</v>
      </c>
      <c r="K135" s="15">
        <f>IF(AND(AH!$M$5="Snapshot",'IPO Live'!$M$5="Snapshot"),"",IFERROR(BDP(TEXT(VALUE($A135),"0")&amp;" HK Equity","PX_LAST"),""))</f>
        <v/>
      </c>
      <c r="L135" s="15">
        <f>IF(AND(AH!$M$5="Snapshot",'IPO Live'!$M$5="Snapshot"),"",IFERROR(BDP(TEXT(VALUE($A135),"0")&amp;" HK Equity","CHG_PCT_1D")/100,""))</f>
        <v/>
      </c>
      <c r="M135" s="15">
        <f>IF(AND(AH!$M$5="Snapshot",'IPO Live'!$M$5="Snapshot"),"",IFERROR(BDP(TEXT(VALUE($A135),"0")&amp;" HK Equity","LAST_UPDATE_DT"),""))</f>
        <v/>
      </c>
      <c r="N135" s="15">
        <f>IF(AND(AH!$M$5="Snapshot",'IPO Live'!$M$5="Snapshot"),"",IFERROR(BDP(TEXT(VALUE($A135),"0")&amp;" HK Equity","LAST_UPDATE"),""))</f>
        <v/>
      </c>
      <c r="O135" s="15">
        <f>IF('IPO Live'!$M$5="Snapshot",IF(ISNUMBER(G135),G135,"unavailable"),IF(AND(ISNUMBER(K135),N(K135)&gt;0),K135,IF('IPO Live'!$M$5="Auto",IF(ISNUMBER(G135),G135,"unavailable"),"unavailable")))</f>
        <v/>
      </c>
      <c r="P135" s="15">
        <f>IF(AND('IPO Live'!$M$5&lt;&gt;"Snapshot",ISNUMBER(K135),N(K135)&gt;0),"Bloomberg",IF(AND('IPO Live'!$M$5&lt;&gt;"Bloomberg",ISNUMBER(G135)),"Snapshot","Unavailable"))</f>
        <v/>
      </c>
      <c r="Q135" s="33">
        <f>IF(AND(P135="Bloomberg",ISNUMBER(L135)),L135,"unavailable")</f>
        <v/>
      </c>
      <c r="R135" s="15">
        <f>IF(OR('IPO Live'!$B$5="All",'IPO Live'!$B$5=C135,AND('IPO Live'!$B$5="A/H only",J135&gt;0)),1,0)</f>
        <v/>
      </c>
      <c r="S135" s="15">
        <f>IF(R135=1,COUNTIF($R$5:R135,1),"")</f>
        <v/>
      </c>
      <c r="T135">
        <f>1</f>
        <v/>
      </c>
      <c r="U135">
        <f>IF($P135="Bloomberg",$M135,$H135)</f>
        <v/>
      </c>
      <c r="AW135">
        <f>IF(AND(J135&gt;0,OR(AH!$I$5="All",AH!$I$5="A/H only",AH!$I$5=C135)),1,0)</f>
        <v/>
      </c>
      <c r="AX135">
        <f>IF(AW135=1,COUNTIF($AW$5:AW135,1),"")</f>
        <v/>
      </c>
      <c r="AY135">
        <f>IF(AH!$M$5="Snapshot",IF(ISNUMBER(G135),G135,"unavailable"),IF(AND(ISNUMBER(K135),N(K135)&gt;0),K135,IF(AH!$M$5="Auto",IF(ISNUMBER(G135),G135,"unavailable"),"unavailable")))</f>
        <v/>
      </c>
      <c r="AZ135">
        <f>IF(AND(AH!$M$5&lt;&gt;"Snapshot",ISNUMBER(K135),N(K135)&gt;0),"Bloomberg",IF(AND(AH!$M$5&lt;&gt;"Bloomberg",ISNUMBER(G135)),"Snapshot","Unavailable"))</f>
        <v/>
      </c>
      <c r="BA135">
        <f>IF(AZ135="Bloomberg",M135,H135)</f>
        <v/>
      </c>
      <c r="BB135">
        <f>1</f>
        <v/>
      </c>
    </row>
    <row r="136">
      <c r="A136" s="31" t="inlineStr">
        <is>
          <t>2416</t>
        </is>
      </c>
      <c r="B136" s="15" t="inlineStr">
        <is>
          <t>EDIANYUN</t>
        </is>
      </c>
      <c r="C136" s="15" t="inlineStr">
        <is>
          <t>Tech/AI</t>
        </is>
      </c>
      <c r="D136" s="15" t="inlineStr">
        <is>
          <t>SaaS / enterprise software</t>
        </is>
      </c>
      <c r="E136" s="34" t="n">
        <v>45071</v>
      </c>
      <c r="F136" s="15" t="n">
        <v>10.19</v>
      </c>
      <c r="G136" s="15" t="n">
        <v>2.87</v>
      </c>
      <c r="H136" s="34" t="n">
        <v>46297</v>
      </c>
      <c r="I136" s="31" t="n"/>
      <c r="J136" s="15" t="n">
        <v>0</v>
      </c>
      <c r="K136" s="15">
        <f>IF(AND(AH!$M$5="Snapshot",'IPO Live'!$M$5="Snapshot"),"",IFERROR(BDP(TEXT(VALUE($A136),"0")&amp;" HK Equity","PX_LAST"),""))</f>
        <v/>
      </c>
      <c r="L136" s="15">
        <f>IF(AND(AH!$M$5="Snapshot",'IPO Live'!$M$5="Snapshot"),"",IFERROR(BDP(TEXT(VALUE($A136),"0")&amp;" HK Equity","CHG_PCT_1D")/100,""))</f>
        <v/>
      </c>
      <c r="M136" s="15">
        <f>IF(AND(AH!$M$5="Snapshot",'IPO Live'!$M$5="Snapshot"),"",IFERROR(BDP(TEXT(VALUE($A136),"0")&amp;" HK Equity","LAST_UPDATE_DT"),""))</f>
        <v/>
      </c>
      <c r="N136" s="15">
        <f>IF(AND(AH!$M$5="Snapshot",'IPO Live'!$M$5="Snapshot"),"",IFERROR(BDP(TEXT(VALUE($A136),"0")&amp;" HK Equity","LAST_UPDATE"),""))</f>
        <v/>
      </c>
      <c r="O136" s="15">
        <f>IF('IPO Live'!$M$5="Snapshot",IF(ISNUMBER(G136),G136,"unavailable"),IF(AND(ISNUMBER(K136),N(K136)&gt;0),K136,IF('IPO Live'!$M$5="Auto",IF(ISNUMBER(G136),G136,"unavailable"),"unavailable")))</f>
        <v/>
      </c>
      <c r="P136" s="15">
        <f>IF(AND('IPO Live'!$M$5&lt;&gt;"Snapshot",ISNUMBER(K136),N(K136)&gt;0),"Bloomberg",IF(AND('IPO Live'!$M$5&lt;&gt;"Bloomberg",ISNUMBER(G136)),"Snapshot","Unavailable"))</f>
        <v/>
      </c>
      <c r="Q136" s="33">
        <f>IF(AND(P136="Bloomberg",ISNUMBER(L136)),L136,"unavailable")</f>
        <v/>
      </c>
      <c r="R136" s="15">
        <f>IF(OR('IPO Live'!$B$5="All",'IPO Live'!$B$5=C136,AND('IPO Live'!$B$5="A/H only",J136&gt;0)),1,0)</f>
        <v/>
      </c>
      <c r="S136" s="15">
        <f>IF(R136=1,COUNTIF($R$5:R136,1),"")</f>
        <v/>
      </c>
      <c r="T136">
        <f>1</f>
        <v/>
      </c>
      <c r="U136">
        <f>IF($P136="Bloomberg",$M136,$H136)</f>
        <v/>
      </c>
      <c r="AW136">
        <f>IF(AND(J136&gt;0,OR(AH!$I$5="All",AH!$I$5="A/H only",AH!$I$5=C136)),1,0)</f>
        <v/>
      </c>
      <c r="AX136">
        <f>IF(AW136=1,COUNTIF($AW$5:AW136,1),"")</f>
        <v/>
      </c>
      <c r="AY136">
        <f>IF(AH!$M$5="Snapshot",IF(ISNUMBER(G136),G136,"unavailable"),IF(AND(ISNUMBER(K136),N(K136)&gt;0),K136,IF(AH!$M$5="Auto",IF(ISNUMBER(G136),G136,"unavailable"),"unavailable")))</f>
        <v/>
      </c>
      <c r="AZ136">
        <f>IF(AND(AH!$M$5&lt;&gt;"Snapshot",ISNUMBER(K136),N(K136)&gt;0),"Bloomberg",IF(AND(AH!$M$5&lt;&gt;"Bloomberg",ISNUMBER(G136)),"Snapshot","Unavailable"))</f>
        <v/>
      </c>
      <c r="BA136">
        <f>IF(AZ136="Bloomberg",M136,H136)</f>
        <v/>
      </c>
      <c r="BB136">
        <f>1</f>
        <v/>
      </c>
    </row>
    <row r="137">
      <c r="A137" s="31" t="inlineStr">
        <is>
          <t>9669</t>
        </is>
      </c>
      <c r="B137" s="15" t="inlineStr">
        <is>
          <t>BEISEN HOLDING</t>
        </is>
      </c>
      <c r="C137" s="15" t="inlineStr">
        <is>
          <t>Tech/AI</t>
        </is>
      </c>
      <c r="D137" s="15" t="inlineStr">
        <is>
          <t>SaaS / enterprise software</t>
        </is>
      </c>
      <c r="E137" s="34" t="n">
        <v>45029</v>
      </c>
      <c r="F137" s="15" t="n">
        <v>29.7</v>
      </c>
      <c r="G137" s="15" t="n">
        <v>3.18</v>
      </c>
      <c r="H137" s="34" t="n">
        <v>46297</v>
      </c>
      <c r="I137" s="31" t="n"/>
      <c r="J137" s="15" t="n">
        <v>0</v>
      </c>
      <c r="K137" s="15">
        <f>IF(AND(AH!$M$5="Snapshot",'IPO Live'!$M$5="Snapshot"),"",IFERROR(BDP(TEXT(VALUE($A137),"0")&amp;" HK Equity","PX_LAST"),""))</f>
        <v/>
      </c>
      <c r="L137" s="15">
        <f>IF(AND(AH!$M$5="Snapshot",'IPO Live'!$M$5="Snapshot"),"",IFERROR(BDP(TEXT(VALUE($A137),"0")&amp;" HK Equity","CHG_PCT_1D")/100,""))</f>
        <v/>
      </c>
      <c r="M137" s="15">
        <f>IF(AND(AH!$M$5="Snapshot",'IPO Live'!$M$5="Snapshot"),"",IFERROR(BDP(TEXT(VALUE($A137),"0")&amp;" HK Equity","LAST_UPDATE_DT"),""))</f>
        <v/>
      </c>
      <c r="N137" s="15">
        <f>IF(AND(AH!$M$5="Snapshot",'IPO Live'!$M$5="Snapshot"),"",IFERROR(BDP(TEXT(VALUE($A137),"0")&amp;" HK Equity","LAST_UPDATE"),""))</f>
        <v/>
      </c>
      <c r="O137" s="15">
        <f>IF('IPO Live'!$M$5="Snapshot",IF(ISNUMBER(G137),G137,"unavailable"),IF(AND(ISNUMBER(K137),N(K137)&gt;0),K137,IF('IPO Live'!$M$5="Auto",IF(ISNUMBER(G137),G137,"unavailable"),"unavailable")))</f>
        <v/>
      </c>
      <c r="P137" s="15">
        <f>IF(AND('IPO Live'!$M$5&lt;&gt;"Snapshot",ISNUMBER(K137),N(K137)&gt;0),"Bloomberg",IF(AND('IPO Live'!$M$5&lt;&gt;"Bloomberg",ISNUMBER(G137)),"Snapshot","Unavailable"))</f>
        <v/>
      </c>
      <c r="Q137" s="33">
        <f>IF(AND(P137="Bloomberg",ISNUMBER(L137)),L137,"unavailable")</f>
        <v/>
      </c>
      <c r="R137" s="15">
        <f>IF(OR('IPO Live'!$B$5="All",'IPO Live'!$B$5=C137,AND('IPO Live'!$B$5="A/H only",J137&gt;0)),1,0)</f>
        <v/>
      </c>
      <c r="S137" s="15">
        <f>IF(R137=1,COUNTIF($R$5:R137,1),"")</f>
        <v/>
      </c>
      <c r="T137">
        <f>1</f>
        <v/>
      </c>
      <c r="U137">
        <f>IF($P137="Bloomberg",$M137,$H137)</f>
        <v/>
      </c>
      <c r="AW137">
        <f>IF(AND(J137&gt;0,OR(AH!$I$5="All",AH!$I$5="A/H only",AH!$I$5=C137)),1,0)</f>
        <v/>
      </c>
      <c r="AX137">
        <f>IF(AW137=1,COUNTIF($AW$5:AW137,1),"")</f>
        <v/>
      </c>
      <c r="AY137">
        <f>IF(AH!$M$5="Snapshot",IF(ISNUMBER(G137),G137,"unavailable"),IF(AND(ISNUMBER(K137),N(K137)&gt;0),K137,IF(AH!$M$5="Auto",IF(ISNUMBER(G137),G137,"unavailable"),"unavailable")))</f>
        <v/>
      </c>
      <c r="AZ137">
        <f>IF(AND(AH!$M$5&lt;&gt;"Snapshot",ISNUMBER(K137),N(K137)&gt;0),"Bloomberg",IF(AND(AH!$M$5&lt;&gt;"Bloomberg",ISNUMBER(G137)),"Snapshot","Unavailable"))</f>
        <v/>
      </c>
      <c r="BA137">
        <f>IF(AZ137="Bloomberg",M137,H137)</f>
        <v/>
      </c>
      <c r="BB137">
        <f>1</f>
        <v/>
      </c>
    </row>
    <row r="138">
      <c r="A138" s="31" t="inlineStr">
        <is>
          <t>2458</t>
        </is>
      </c>
      <c r="B138" s="15" t="inlineStr">
        <is>
          <t>GALA TECH HOLD</t>
        </is>
      </c>
      <c r="C138" s="15" t="inlineStr">
        <is>
          <t>Tech/AI</t>
        </is>
      </c>
      <c r="D138" s="15" t="inlineStr">
        <is>
          <t>Fintech platform</t>
        </is>
      </c>
      <c r="E138" s="34" t="n">
        <v>44942</v>
      </c>
      <c r="F138" s="15" t="n">
        <v>6.5</v>
      </c>
      <c r="G138" s="15" t="n">
        <v>6.5</v>
      </c>
      <c r="H138" s="34" t="n">
        <v>46297</v>
      </c>
      <c r="I138" s="31" t="n"/>
      <c r="J138" s="15" t="n">
        <v>0</v>
      </c>
      <c r="K138" s="15">
        <f>IF(AND(AH!$M$5="Snapshot",'IPO Live'!$M$5="Snapshot"),"",IFERROR(BDP(TEXT(VALUE($A138),"0")&amp;" HK Equity","PX_LAST"),""))</f>
        <v/>
      </c>
      <c r="L138" s="15">
        <f>IF(AND(AH!$M$5="Snapshot",'IPO Live'!$M$5="Snapshot"),"",IFERROR(BDP(TEXT(VALUE($A138),"0")&amp;" HK Equity","CHG_PCT_1D")/100,""))</f>
        <v/>
      </c>
      <c r="M138" s="15">
        <f>IF(AND(AH!$M$5="Snapshot",'IPO Live'!$M$5="Snapshot"),"",IFERROR(BDP(TEXT(VALUE($A138),"0")&amp;" HK Equity","LAST_UPDATE_DT"),""))</f>
        <v/>
      </c>
      <c r="N138" s="15">
        <f>IF(AND(AH!$M$5="Snapshot",'IPO Live'!$M$5="Snapshot"),"",IFERROR(BDP(TEXT(VALUE($A138),"0")&amp;" HK Equity","LAST_UPDATE"),""))</f>
        <v/>
      </c>
      <c r="O138" s="15">
        <f>IF('IPO Live'!$M$5="Snapshot",IF(ISNUMBER(G138),G138,"unavailable"),IF(AND(ISNUMBER(K138),N(K138)&gt;0),K138,IF('IPO Live'!$M$5="Auto",IF(ISNUMBER(G138),G138,"unavailable"),"unavailable")))</f>
        <v/>
      </c>
      <c r="P138" s="15">
        <f>IF(AND('IPO Live'!$M$5&lt;&gt;"Snapshot",ISNUMBER(K138),N(K138)&gt;0),"Bloomberg",IF(AND('IPO Live'!$M$5&lt;&gt;"Bloomberg",ISNUMBER(G138)),"Snapshot","Unavailable"))</f>
        <v/>
      </c>
      <c r="Q138" s="33">
        <f>IF(AND(P138="Bloomberg",ISNUMBER(L138)),L138,"unavailable")</f>
        <v/>
      </c>
      <c r="R138" s="15">
        <f>IF(OR('IPO Live'!$B$5="All",'IPO Live'!$B$5=C138,AND('IPO Live'!$B$5="A/H only",J138&gt;0)),1,0)</f>
        <v/>
      </c>
      <c r="S138" s="15">
        <f>IF(R138=1,COUNTIF($R$5:R138,1),"")</f>
        <v/>
      </c>
      <c r="T138">
        <f>1</f>
        <v/>
      </c>
      <c r="U138">
        <f>IF($P138="Bloomberg",$M138,$H138)</f>
        <v/>
      </c>
      <c r="AW138">
        <f>IF(AND(J138&gt;0,OR(AH!$I$5="All",AH!$I$5="A/H only",AH!$I$5=C138)),1,0)</f>
        <v/>
      </c>
      <c r="AX138">
        <f>IF(AW138=1,COUNTIF($AW$5:AW138,1),"")</f>
        <v/>
      </c>
      <c r="AY138">
        <f>IF(AH!$M$5="Snapshot",IF(ISNUMBER(G138),G138,"unavailable"),IF(AND(ISNUMBER(K138),N(K138)&gt;0),K138,IF(AH!$M$5="Auto",IF(ISNUMBER(G138),G138,"unavailable"),"unavailable")))</f>
        <v/>
      </c>
      <c r="AZ138">
        <f>IF(AND(AH!$M$5&lt;&gt;"Snapshot",ISNUMBER(K138),N(K138)&gt;0),"Bloomberg",IF(AND(AH!$M$5&lt;&gt;"Bloomberg",ISNUMBER(G138)),"Snapshot","Unavailable"))</f>
        <v/>
      </c>
      <c r="BA138">
        <f>IF(AZ138="Bloomberg",M138,H138)</f>
        <v/>
      </c>
      <c r="BB138">
        <f>1</f>
        <v/>
      </c>
    </row>
    <row r="139">
      <c r="A139" s="31" t="inlineStr">
        <is>
          <t>2440</t>
        </is>
      </c>
      <c r="B139" s="15" t="inlineStr">
        <is>
          <t>HOWKINGTECH</t>
        </is>
      </c>
      <c r="C139" s="15" t="inlineStr">
        <is>
          <t>Tech/AI</t>
        </is>
      </c>
      <c r="D139" s="15" t="inlineStr">
        <is>
          <t>SaaS / enterprise software</t>
        </is>
      </c>
      <c r="E139" s="34" t="n">
        <v>44907</v>
      </c>
      <c r="F139" s="15" t="n">
        <v>2.73</v>
      </c>
      <c r="G139" s="15" t="n">
        <v>0.82</v>
      </c>
      <c r="H139" s="34" t="n">
        <v>46297</v>
      </c>
      <c r="I139" s="31" t="n"/>
      <c r="J139" s="15" t="n">
        <v>0</v>
      </c>
      <c r="K139" s="15">
        <f>IF(AND(AH!$M$5="Snapshot",'IPO Live'!$M$5="Snapshot"),"",IFERROR(BDP(TEXT(VALUE($A139),"0")&amp;" HK Equity","PX_LAST"),""))</f>
        <v/>
      </c>
      <c r="L139" s="15">
        <f>IF(AND(AH!$M$5="Snapshot",'IPO Live'!$M$5="Snapshot"),"",IFERROR(BDP(TEXT(VALUE($A139),"0")&amp;" HK Equity","CHG_PCT_1D")/100,""))</f>
        <v/>
      </c>
      <c r="M139" s="15">
        <f>IF(AND(AH!$M$5="Snapshot",'IPO Live'!$M$5="Snapshot"),"",IFERROR(BDP(TEXT(VALUE($A139),"0")&amp;" HK Equity","LAST_UPDATE_DT"),""))</f>
        <v/>
      </c>
      <c r="N139" s="15">
        <f>IF(AND(AH!$M$5="Snapshot",'IPO Live'!$M$5="Snapshot"),"",IFERROR(BDP(TEXT(VALUE($A139),"0")&amp;" HK Equity","LAST_UPDATE"),""))</f>
        <v/>
      </c>
      <c r="O139" s="15">
        <f>IF('IPO Live'!$M$5="Snapshot",IF(ISNUMBER(G139),G139,"unavailable"),IF(AND(ISNUMBER(K139),N(K139)&gt;0),K139,IF('IPO Live'!$M$5="Auto",IF(ISNUMBER(G139),G139,"unavailable"),"unavailable")))</f>
        <v/>
      </c>
      <c r="P139" s="15">
        <f>IF(AND('IPO Live'!$M$5&lt;&gt;"Snapshot",ISNUMBER(K139),N(K139)&gt;0),"Bloomberg",IF(AND('IPO Live'!$M$5&lt;&gt;"Bloomberg",ISNUMBER(G139)),"Snapshot","Unavailable"))</f>
        <v/>
      </c>
      <c r="Q139" s="33">
        <f>IF(AND(P139="Bloomberg",ISNUMBER(L139)),L139,"unavailable")</f>
        <v/>
      </c>
      <c r="R139" s="15">
        <f>IF(OR('IPO Live'!$B$5="All",'IPO Live'!$B$5=C139,AND('IPO Live'!$B$5="A/H only",J139&gt;0)),1,0)</f>
        <v/>
      </c>
      <c r="S139" s="15">
        <f>IF(R139=1,COUNTIF($R$5:R139,1),"")</f>
        <v/>
      </c>
      <c r="T139">
        <f>1</f>
        <v/>
      </c>
      <c r="U139">
        <f>IF($P139="Bloomberg",$M139,$H139)</f>
        <v/>
      </c>
      <c r="AW139">
        <f>IF(AND(J139&gt;0,OR(AH!$I$5="All",AH!$I$5="A/H only",AH!$I$5=C139)),1,0)</f>
        <v/>
      </c>
      <c r="AX139">
        <f>IF(AW139=1,COUNTIF($AW$5:AW139,1),"")</f>
        <v/>
      </c>
      <c r="AY139">
        <f>IF(AH!$M$5="Snapshot",IF(ISNUMBER(G139),G139,"unavailable"),IF(AND(ISNUMBER(K139),N(K139)&gt;0),K139,IF(AH!$M$5="Auto",IF(ISNUMBER(G139),G139,"unavailable"),"unavailable")))</f>
        <v/>
      </c>
      <c r="AZ139">
        <f>IF(AND(AH!$M$5&lt;&gt;"Snapshot",ISNUMBER(K139),N(K139)&gt;0),"Bloomberg",IF(AND(AH!$M$5&lt;&gt;"Bloomberg",ISNUMBER(G139)),"Snapshot","Unavailable"))</f>
        <v/>
      </c>
      <c r="BA139">
        <f>IF(AZ139="Bloomberg",M139,H139)</f>
        <v/>
      </c>
      <c r="BB139">
        <f>1</f>
        <v/>
      </c>
    </row>
    <row r="140">
      <c r="A140" s="31" t="inlineStr">
        <is>
          <t>3660</t>
        </is>
      </c>
      <c r="B140" s="15" t="inlineStr">
        <is>
          <t>360 DIGITECH-S</t>
        </is>
      </c>
      <c r="C140" s="15" t="inlineStr">
        <is>
          <t>Tech/AI</t>
        </is>
      </c>
      <c r="D140" s="15" t="inlineStr">
        <is>
          <t>Fintech platform</t>
        </is>
      </c>
      <c r="E140" s="34" t="n">
        <v>44894</v>
      </c>
      <c r="F140" s="15" t="n">
        <v>50.03</v>
      </c>
      <c r="G140" s="15" t="n">
        <v>25.8</v>
      </c>
      <c r="H140" s="34" t="n">
        <v>46297</v>
      </c>
      <c r="I140" s="31" t="n"/>
      <c r="J140" s="15" t="n">
        <v>0</v>
      </c>
      <c r="K140" s="15">
        <f>IF(AND(AH!$M$5="Snapshot",'IPO Live'!$M$5="Snapshot"),"",IFERROR(BDP(TEXT(VALUE($A140),"0")&amp;" HK Equity","PX_LAST"),""))</f>
        <v/>
      </c>
      <c r="L140" s="15">
        <f>IF(AND(AH!$M$5="Snapshot",'IPO Live'!$M$5="Snapshot"),"",IFERROR(BDP(TEXT(VALUE($A140),"0")&amp;" HK Equity","CHG_PCT_1D")/100,""))</f>
        <v/>
      </c>
      <c r="M140" s="15">
        <f>IF(AND(AH!$M$5="Snapshot",'IPO Live'!$M$5="Snapshot"),"",IFERROR(BDP(TEXT(VALUE($A140),"0")&amp;" HK Equity","LAST_UPDATE_DT"),""))</f>
        <v/>
      </c>
      <c r="N140" s="15">
        <f>IF(AND(AH!$M$5="Snapshot",'IPO Live'!$M$5="Snapshot"),"",IFERROR(BDP(TEXT(VALUE($A140),"0")&amp;" HK Equity","LAST_UPDATE"),""))</f>
        <v/>
      </c>
      <c r="O140" s="15">
        <f>IF('IPO Live'!$M$5="Snapshot",IF(ISNUMBER(G140),G140,"unavailable"),IF(AND(ISNUMBER(K140),N(K140)&gt;0),K140,IF('IPO Live'!$M$5="Auto",IF(ISNUMBER(G140),G140,"unavailable"),"unavailable")))</f>
        <v/>
      </c>
      <c r="P140" s="15">
        <f>IF(AND('IPO Live'!$M$5&lt;&gt;"Snapshot",ISNUMBER(K140),N(K140)&gt;0),"Bloomberg",IF(AND('IPO Live'!$M$5&lt;&gt;"Bloomberg",ISNUMBER(G140)),"Snapshot","Unavailable"))</f>
        <v/>
      </c>
      <c r="Q140" s="33">
        <f>IF(AND(P140="Bloomberg",ISNUMBER(L140)),L140,"unavailable")</f>
        <v/>
      </c>
      <c r="R140" s="15">
        <f>IF(OR('IPO Live'!$B$5="All",'IPO Live'!$B$5=C140,AND('IPO Live'!$B$5="A/H only",J140&gt;0)),1,0)</f>
        <v/>
      </c>
      <c r="S140" s="15">
        <f>IF(R140=1,COUNTIF($R$5:R140,1),"")</f>
        <v/>
      </c>
      <c r="T140">
        <f>1</f>
        <v/>
      </c>
      <c r="U140">
        <f>IF($P140="Bloomberg",$M140,$H140)</f>
        <v/>
      </c>
      <c r="AW140">
        <f>IF(AND(J140&gt;0,OR(AH!$I$5="All",AH!$I$5="A/H only",AH!$I$5=C140)),1,0)</f>
        <v/>
      </c>
      <c r="AX140">
        <f>IF(AW140=1,COUNTIF($AW$5:AW140,1),"")</f>
        <v/>
      </c>
      <c r="AY140">
        <f>IF(AH!$M$5="Snapshot",IF(ISNUMBER(G140),G140,"unavailable"),IF(AND(ISNUMBER(K140),N(K140)&gt;0),K140,IF(AH!$M$5="Auto",IF(ISNUMBER(G140),G140,"unavailable"),"unavailable")))</f>
        <v/>
      </c>
      <c r="AZ140">
        <f>IF(AND(AH!$M$5&lt;&gt;"Snapshot",ISNUMBER(K140),N(K140)&gt;0),"Bloomberg",IF(AND(AH!$M$5&lt;&gt;"Bloomberg",ISNUMBER(G140)),"Snapshot","Unavailable"))</f>
        <v/>
      </c>
      <c r="BA140">
        <f>IF(AZ140="Bloomberg",M140,H140)</f>
        <v/>
      </c>
      <c r="BB140">
        <f>1</f>
        <v/>
      </c>
    </row>
    <row r="141">
      <c r="A141" s="31" t="inlineStr">
        <is>
          <t>2436</t>
        </is>
      </c>
      <c r="B141" s="15" t="inlineStr">
        <is>
          <t>LX TECHNOLOGY</t>
        </is>
      </c>
      <c r="C141" s="15" t="inlineStr">
        <is>
          <t>Tech/AI</t>
        </is>
      </c>
      <c r="D141" s="15" t="inlineStr">
        <is>
          <t>SaaS / enterprise software</t>
        </is>
      </c>
      <c r="E141" s="34" t="n">
        <v>44889</v>
      </c>
      <c r="F141" s="15" t="n">
        <v>7.6</v>
      </c>
      <c r="G141" s="15" t="n">
        <v>16.23</v>
      </c>
      <c r="H141" s="34" t="n">
        <v>46297</v>
      </c>
      <c r="I141" s="31" t="n"/>
      <c r="J141" s="15" t="n">
        <v>0</v>
      </c>
      <c r="K141" s="15">
        <f>IF(AND(AH!$M$5="Snapshot",'IPO Live'!$M$5="Snapshot"),"",IFERROR(BDP(TEXT(VALUE($A141),"0")&amp;" HK Equity","PX_LAST"),""))</f>
        <v/>
      </c>
      <c r="L141" s="15">
        <f>IF(AND(AH!$M$5="Snapshot",'IPO Live'!$M$5="Snapshot"),"",IFERROR(BDP(TEXT(VALUE($A141),"0")&amp;" HK Equity","CHG_PCT_1D")/100,""))</f>
        <v/>
      </c>
      <c r="M141" s="15">
        <f>IF(AND(AH!$M$5="Snapshot",'IPO Live'!$M$5="Snapshot"),"",IFERROR(BDP(TEXT(VALUE($A141),"0")&amp;" HK Equity","LAST_UPDATE_DT"),""))</f>
        <v/>
      </c>
      <c r="N141" s="15">
        <f>IF(AND(AH!$M$5="Snapshot",'IPO Live'!$M$5="Snapshot"),"",IFERROR(BDP(TEXT(VALUE($A141),"0")&amp;" HK Equity","LAST_UPDATE"),""))</f>
        <v/>
      </c>
      <c r="O141" s="15">
        <f>IF('IPO Live'!$M$5="Snapshot",IF(ISNUMBER(G141),G141,"unavailable"),IF(AND(ISNUMBER(K141),N(K141)&gt;0),K141,IF('IPO Live'!$M$5="Auto",IF(ISNUMBER(G141),G141,"unavailable"),"unavailable")))</f>
        <v/>
      </c>
      <c r="P141" s="15">
        <f>IF(AND('IPO Live'!$M$5&lt;&gt;"Snapshot",ISNUMBER(K141),N(K141)&gt;0),"Bloomberg",IF(AND('IPO Live'!$M$5&lt;&gt;"Bloomberg",ISNUMBER(G141)),"Snapshot","Unavailable"))</f>
        <v/>
      </c>
      <c r="Q141" s="33">
        <f>IF(AND(P141="Bloomberg",ISNUMBER(L141)),L141,"unavailable")</f>
        <v/>
      </c>
      <c r="R141" s="15">
        <f>IF(OR('IPO Live'!$B$5="All",'IPO Live'!$B$5=C141,AND('IPO Live'!$B$5="A/H only",J141&gt;0)),1,0)</f>
        <v/>
      </c>
      <c r="S141" s="15">
        <f>IF(R141=1,COUNTIF($R$5:R141,1),"")</f>
        <v/>
      </c>
      <c r="T141">
        <f>1</f>
        <v/>
      </c>
      <c r="U141">
        <f>IF($P141="Bloomberg",$M141,$H141)</f>
        <v/>
      </c>
      <c r="AW141">
        <f>IF(AND(J141&gt;0,OR(AH!$I$5="All",AH!$I$5="A/H only",AH!$I$5=C141)),1,0)</f>
        <v/>
      </c>
      <c r="AX141">
        <f>IF(AW141=1,COUNTIF($AW$5:AW141,1),"")</f>
        <v/>
      </c>
      <c r="AY141">
        <f>IF(AH!$M$5="Snapshot",IF(ISNUMBER(G141),G141,"unavailable"),IF(AND(ISNUMBER(K141),N(K141)&gt;0),K141,IF(AH!$M$5="Auto",IF(ISNUMBER(G141),G141,"unavailable"),"unavailable")))</f>
        <v/>
      </c>
      <c r="AZ141">
        <f>IF(AND(AH!$M$5&lt;&gt;"Snapshot",ISNUMBER(K141),N(K141)&gt;0),"Bloomberg",IF(AND(AH!$M$5&lt;&gt;"Bloomberg",ISNUMBER(G141)),"Snapshot","Unavailable"))</f>
        <v/>
      </c>
      <c r="BA141">
        <f>IF(AZ141="Bloomberg",M141,H141)</f>
        <v/>
      </c>
      <c r="BB141">
        <f>1</f>
        <v/>
      </c>
    </row>
    <row r="142">
      <c r="A142" s="31" t="inlineStr">
        <is>
          <t>2420</t>
        </is>
      </c>
      <c r="B142" s="15" t="inlineStr">
        <is>
          <t>ZIBUYU</t>
        </is>
      </c>
      <c r="C142" s="15" t="inlineStr">
        <is>
          <t>Tech/AI</t>
        </is>
      </c>
      <c r="D142" s="15" t="inlineStr">
        <is>
          <t>Internet platform / e-commerce</t>
        </is>
      </c>
      <c r="E142" s="34" t="n">
        <v>44876</v>
      </c>
      <c r="F142" s="15" t="n">
        <v>7.86</v>
      </c>
      <c r="G142" s="15" t="n">
        <v>5.895</v>
      </c>
      <c r="H142" s="34" t="n">
        <v>46297</v>
      </c>
      <c r="I142" s="31" t="n"/>
      <c r="J142" s="15" t="n">
        <v>0</v>
      </c>
      <c r="K142" s="15">
        <f>IF(AND(AH!$M$5="Snapshot",'IPO Live'!$M$5="Snapshot"),"",IFERROR(BDP(TEXT(VALUE($A142),"0")&amp;" HK Equity","PX_LAST"),""))</f>
        <v/>
      </c>
      <c r="L142" s="15">
        <f>IF(AND(AH!$M$5="Snapshot",'IPO Live'!$M$5="Snapshot"),"",IFERROR(BDP(TEXT(VALUE($A142),"0")&amp;" HK Equity","CHG_PCT_1D")/100,""))</f>
        <v/>
      </c>
      <c r="M142" s="15">
        <f>IF(AND(AH!$M$5="Snapshot",'IPO Live'!$M$5="Snapshot"),"",IFERROR(BDP(TEXT(VALUE($A142),"0")&amp;" HK Equity","LAST_UPDATE_DT"),""))</f>
        <v/>
      </c>
      <c r="N142" s="15">
        <f>IF(AND(AH!$M$5="Snapshot",'IPO Live'!$M$5="Snapshot"),"",IFERROR(BDP(TEXT(VALUE($A142),"0")&amp;" HK Equity","LAST_UPDATE"),""))</f>
        <v/>
      </c>
      <c r="O142" s="15">
        <f>IF('IPO Live'!$M$5="Snapshot",IF(ISNUMBER(G142),G142,"unavailable"),IF(AND(ISNUMBER(K142),N(K142)&gt;0),K142,IF('IPO Live'!$M$5="Auto",IF(ISNUMBER(G142),G142,"unavailable"),"unavailable")))</f>
        <v/>
      </c>
      <c r="P142" s="15">
        <f>IF(AND('IPO Live'!$M$5&lt;&gt;"Snapshot",ISNUMBER(K142),N(K142)&gt;0),"Bloomberg",IF(AND('IPO Live'!$M$5&lt;&gt;"Bloomberg",ISNUMBER(G142)),"Snapshot","Unavailable"))</f>
        <v/>
      </c>
      <c r="Q142" s="33">
        <f>IF(AND(P142="Bloomberg",ISNUMBER(L142)),L142,"unavailable")</f>
        <v/>
      </c>
      <c r="R142" s="15">
        <f>IF(OR('IPO Live'!$B$5="All",'IPO Live'!$B$5=C142,AND('IPO Live'!$B$5="A/H only",J142&gt;0)),1,0)</f>
        <v/>
      </c>
      <c r="S142" s="15">
        <f>IF(R142=1,COUNTIF($R$5:R142,1),"")</f>
        <v/>
      </c>
      <c r="T142">
        <f>1</f>
        <v/>
      </c>
      <c r="U142">
        <f>IF($P142="Bloomberg",$M142,$H142)</f>
        <v/>
      </c>
      <c r="AW142">
        <f>IF(AND(J142&gt;0,OR(AH!$I$5="All",AH!$I$5="A/H only",AH!$I$5=C142)),1,0)</f>
        <v/>
      </c>
      <c r="AX142">
        <f>IF(AW142=1,COUNTIF($AW$5:AW142,1),"")</f>
        <v/>
      </c>
      <c r="AY142">
        <f>IF(AH!$M$5="Snapshot",IF(ISNUMBER(G142),G142,"unavailable"),IF(AND(ISNUMBER(K142),N(K142)&gt;0),K142,IF(AH!$M$5="Auto",IF(ISNUMBER(G142),G142,"unavailable"),"unavailable")))</f>
        <v/>
      </c>
      <c r="AZ142">
        <f>IF(AND(AH!$M$5&lt;&gt;"Snapshot",ISNUMBER(K142),N(K142)&gt;0),"Bloomberg",IF(AND(AH!$M$5&lt;&gt;"Bloomberg",ISNUMBER(G142)),"Snapshot","Unavailable"))</f>
        <v/>
      </c>
      <c r="BA142">
        <f>IF(AZ142="Bloomberg",M142,H142)</f>
        <v/>
      </c>
      <c r="BB142">
        <f>1</f>
        <v/>
      </c>
    </row>
    <row r="143">
      <c r="A143" s="31" t="inlineStr">
        <is>
          <t>1204</t>
        </is>
      </c>
      <c r="B143" s="15" t="inlineStr">
        <is>
          <t>BOARDWARE INTEL</t>
        </is>
      </c>
      <c r="C143" s="15" t="inlineStr">
        <is>
          <t>Tech/AI</t>
        </is>
      </c>
      <c r="D143" s="15" t="inlineStr">
        <is>
          <t>SaaS / enterprise software</t>
        </is>
      </c>
      <c r="E143" s="34" t="n">
        <v>44757</v>
      </c>
      <c r="F143" s="15" t="n">
        <v>1.08</v>
      </c>
      <c r="G143" s="15" t="n">
        <v>1.7</v>
      </c>
      <c r="H143" s="34" t="n">
        <v>46297</v>
      </c>
      <c r="I143" s="31" t="n"/>
      <c r="J143" s="15" t="n">
        <v>0</v>
      </c>
      <c r="K143" s="15">
        <f>IF(AND(AH!$M$5="Snapshot",'IPO Live'!$M$5="Snapshot"),"",IFERROR(BDP(TEXT(VALUE($A143),"0")&amp;" HK Equity","PX_LAST"),""))</f>
        <v/>
      </c>
      <c r="L143" s="15">
        <f>IF(AND(AH!$M$5="Snapshot",'IPO Live'!$M$5="Snapshot"),"",IFERROR(BDP(TEXT(VALUE($A143),"0")&amp;" HK Equity","CHG_PCT_1D")/100,""))</f>
        <v/>
      </c>
      <c r="M143" s="15">
        <f>IF(AND(AH!$M$5="Snapshot",'IPO Live'!$M$5="Snapshot"),"",IFERROR(BDP(TEXT(VALUE($A143),"0")&amp;" HK Equity","LAST_UPDATE_DT"),""))</f>
        <v/>
      </c>
      <c r="N143" s="15">
        <f>IF(AND(AH!$M$5="Snapshot",'IPO Live'!$M$5="Snapshot"),"",IFERROR(BDP(TEXT(VALUE($A143),"0")&amp;" HK Equity","LAST_UPDATE"),""))</f>
        <v/>
      </c>
      <c r="O143" s="15">
        <f>IF('IPO Live'!$M$5="Snapshot",IF(ISNUMBER(G143),G143,"unavailable"),IF(AND(ISNUMBER(K143),N(K143)&gt;0),K143,IF('IPO Live'!$M$5="Auto",IF(ISNUMBER(G143),G143,"unavailable"),"unavailable")))</f>
        <v/>
      </c>
      <c r="P143" s="15">
        <f>IF(AND('IPO Live'!$M$5&lt;&gt;"Snapshot",ISNUMBER(K143),N(K143)&gt;0),"Bloomberg",IF(AND('IPO Live'!$M$5&lt;&gt;"Bloomberg",ISNUMBER(G143)),"Snapshot","Unavailable"))</f>
        <v/>
      </c>
      <c r="Q143" s="33">
        <f>IF(AND(P143="Bloomberg",ISNUMBER(L143)),L143,"unavailable")</f>
        <v/>
      </c>
      <c r="R143" s="15">
        <f>IF(OR('IPO Live'!$B$5="All",'IPO Live'!$B$5=C143,AND('IPO Live'!$B$5="A/H only",J143&gt;0)),1,0)</f>
        <v/>
      </c>
      <c r="S143" s="15">
        <f>IF(R143=1,COUNTIF($R$5:R143,1),"")</f>
        <v/>
      </c>
      <c r="T143">
        <f>1</f>
        <v/>
      </c>
      <c r="U143">
        <f>IF($P143="Bloomberg",$M143,$H143)</f>
        <v/>
      </c>
      <c r="AW143">
        <f>IF(AND(J143&gt;0,OR(AH!$I$5="All",AH!$I$5="A/H only",AH!$I$5=C143)),1,0)</f>
        <v/>
      </c>
      <c r="AX143">
        <f>IF(AW143=1,COUNTIF($AW$5:AW143,1),"")</f>
        <v/>
      </c>
      <c r="AY143">
        <f>IF(AH!$M$5="Snapshot",IF(ISNUMBER(G143),G143,"unavailable"),IF(AND(ISNUMBER(K143),N(K143)&gt;0),K143,IF(AH!$M$5="Auto",IF(ISNUMBER(G143),G143,"unavailable"),"unavailable")))</f>
        <v/>
      </c>
      <c r="AZ143">
        <f>IF(AND(AH!$M$5&lt;&gt;"Snapshot",ISNUMBER(K143),N(K143)&gt;0),"Bloomberg",IF(AND(AH!$M$5&lt;&gt;"Bloomberg",ISNUMBER(G143)),"Snapshot","Unavailable"))</f>
        <v/>
      </c>
      <c r="BA143">
        <f>IF(AZ143="Bloomberg",M143,H143)</f>
        <v/>
      </c>
      <c r="BB143">
        <f>1</f>
        <v/>
      </c>
    </row>
    <row r="144">
      <c r="A144" s="31" t="inlineStr">
        <is>
          <t>2385</t>
        </is>
      </c>
      <c r="B144" s="15" t="inlineStr">
        <is>
          <t>READBOY</t>
        </is>
      </c>
      <c r="C144" s="15" t="inlineStr">
        <is>
          <t>Tech/AI</t>
        </is>
      </c>
      <c r="D144" s="15" t="inlineStr">
        <is>
          <t>Smart hardware / consumer electronics</t>
        </is>
      </c>
      <c r="E144" s="34" t="n">
        <v>44754</v>
      </c>
      <c r="F144" s="15" t="n">
        <v>7.6</v>
      </c>
      <c r="G144" s="15" t="n">
        <v>4.575</v>
      </c>
      <c r="H144" s="34" t="n">
        <v>46297</v>
      </c>
      <c r="I144" s="31" t="n"/>
      <c r="J144" s="15" t="n">
        <v>0</v>
      </c>
      <c r="K144" s="15">
        <f>IF(AND(AH!$M$5="Snapshot",'IPO Live'!$M$5="Snapshot"),"",IFERROR(BDP(TEXT(VALUE($A144),"0")&amp;" HK Equity","PX_LAST"),""))</f>
        <v/>
      </c>
      <c r="L144" s="15">
        <f>IF(AND(AH!$M$5="Snapshot",'IPO Live'!$M$5="Snapshot"),"",IFERROR(BDP(TEXT(VALUE($A144),"0")&amp;" HK Equity","CHG_PCT_1D")/100,""))</f>
        <v/>
      </c>
      <c r="M144" s="15">
        <f>IF(AND(AH!$M$5="Snapshot",'IPO Live'!$M$5="Snapshot"),"",IFERROR(BDP(TEXT(VALUE($A144),"0")&amp;" HK Equity","LAST_UPDATE_DT"),""))</f>
        <v/>
      </c>
      <c r="N144" s="15">
        <f>IF(AND(AH!$M$5="Snapshot",'IPO Live'!$M$5="Snapshot"),"",IFERROR(BDP(TEXT(VALUE($A144),"0")&amp;" HK Equity","LAST_UPDATE"),""))</f>
        <v/>
      </c>
      <c r="O144" s="15">
        <f>IF('IPO Live'!$M$5="Snapshot",IF(ISNUMBER(G144),G144,"unavailable"),IF(AND(ISNUMBER(K144),N(K144)&gt;0),K144,IF('IPO Live'!$M$5="Auto",IF(ISNUMBER(G144),G144,"unavailable"),"unavailable")))</f>
        <v/>
      </c>
      <c r="P144" s="15">
        <f>IF(AND('IPO Live'!$M$5&lt;&gt;"Snapshot",ISNUMBER(K144),N(K144)&gt;0),"Bloomberg",IF(AND('IPO Live'!$M$5&lt;&gt;"Bloomberg",ISNUMBER(G144)),"Snapshot","Unavailable"))</f>
        <v/>
      </c>
      <c r="Q144" s="33">
        <f>IF(AND(P144="Bloomberg",ISNUMBER(L144)),L144,"unavailable")</f>
        <v/>
      </c>
      <c r="R144" s="15">
        <f>IF(OR('IPO Live'!$B$5="All",'IPO Live'!$B$5=C144,AND('IPO Live'!$B$5="A/H only",J144&gt;0)),1,0)</f>
        <v/>
      </c>
      <c r="S144" s="15">
        <f>IF(R144=1,COUNTIF($R$5:R144,1),"")</f>
        <v/>
      </c>
      <c r="T144">
        <f>1</f>
        <v/>
      </c>
      <c r="U144">
        <f>IF($P144="Bloomberg",$M144,$H144)</f>
        <v/>
      </c>
      <c r="AW144">
        <f>IF(AND(J144&gt;0,OR(AH!$I$5="All",AH!$I$5="A/H only",AH!$I$5=C144)),1,0)</f>
        <v/>
      </c>
      <c r="AX144">
        <f>IF(AW144=1,COUNTIF($AW$5:AW144,1),"")</f>
        <v/>
      </c>
      <c r="AY144">
        <f>IF(AH!$M$5="Snapshot",IF(ISNUMBER(G144),G144,"unavailable"),IF(AND(ISNUMBER(K144),N(K144)&gt;0),K144,IF(AH!$M$5="Auto",IF(ISNUMBER(G144),G144,"unavailable"),"unavailable")))</f>
        <v/>
      </c>
      <c r="AZ144">
        <f>IF(AND(AH!$M$5&lt;&gt;"Snapshot",ISNUMBER(K144),N(K144)&gt;0),"Bloomberg",IF(AND(AH!$M$5&lt;&gt;"Bloomberg",ISNUMBER(G144)),"Snapshot","Unavailable"))</f>
        <v/>
      </c>
      <c r="BA144">
        <f>IF(AZ144="Bloomberg",M144,H144)</f>
        <v/>
      </c>
      <c r="BB144">
        <f>1</f>
        <v/>
      </c>
    </row>
    <row r="145">
      <c r="A145" s="31" t="inlineStr">
        <is>
          <t>2392</t>
        </is>
      </c>
      <c r="B145" s="15" t="inlineStr">
        <is>
          <t>XUANWU CLOUD</t>
        </is>
      </c>
      <c r="C145" s="15" t="inlineStr">
        <is>
          <t>Tech/AI</t>
        </is>
      </c>
      <c r="D145" s="15" t="inlineStr">
        <is>
          <t>SaaS / enterprise software</t>
        </is>
      </c>
      <c r="E145" s="34" t="n">
        <v>44750</v>
      </c>
      <c r="F145" s="15" t="n">
        <v>6.24</v>
      </c>
      <c r="G145" s="15" t="n">
        <v>0.99</v>
      </c>
      <c r="H145" s="34" t="n">
        <v>46297</v>
      </c>
      <c r="I145" s="31" t="n"/>
      <c r="J145" s="15" t="n">
        <v>0</v>
      </c>
      <c r="K145" s="15">
        <f>IF(AND(AH!$M$5="Snapshot",'IPO Live'!$M$5="Snapshot"),"",IFERROR(BDP(TEXT(VALUE($A145),"0")&amp;" HK Equity","PX_LAST"),""))</f>
        <v/>
      </c>
      <c r="L145" s="15">
        <f>IF(AND(AH!$M$5="Snapshot",'IPO Live'!$M$5="Snapshot"),"",IFERROR(BDP(TEXT(VALUE($A145),"0")&amp;" HK Equity","CHG_PCT_1D")/100,""))</f>
        <v/>
      </c>
      <c r="M145" s="15">
        <f>IF(AND(AH!$M$5="Snapshot",'IPO Live'!$M$5="Snapshot"),"",IFERROR(BDP(TEXT(VALUE($A145),"0")&amp;" HK Equity","LAST_UPDATE_DT"),""))</f>
        <v/>
      </c>
      <c r="N145" s="15">
        <f>IF(AND(AH!$M$5="Snapshot",'IPO Live'!$M$5="Snapshot"),"",IFERROR(BDP(TEXT(VALUE($A145),"0")&amp;" HK Equity","LAST_UPDATE"),""))</f>
        <v/>
      </c>
      <c r="O145" s="15">
        <f>IF('IPO Live'!$M$5="Snapshot",IF(ISNUMBER(G145),G145,"unavailable"),IF(AND(ISNUMBER(K145),N(K145)&gt;0),K145,IF('IPO Live'!$M$5="Auto",IF(ISNUMBER(G145),G145,"unavailable"),"unavailable")))</f>
        <v/>
      </c>
      <c r="P145" s="15">
        <f>IF(AND('IPO Live'!$M$5&lt;&gt;"Snapshot",ISNUMBER(K145),N(K145)&gt;0),"Bloomberg",IF(AND('IPO Live'!$M$5&lt;&gt;"Bloomberg",ISNUMBER(G145)),"Snapshot","Unavailable"))</f>
        <v/>
      </c>
      <c r="Q145" s="33">
        <f>IF(AND(P145="Bloomberg",ISNUMBER(L145)),L145,"unavailable")</f>
        <v/>
      </c>
      <c r="R145" s="15">
        <f>IF(OR('IPO Live'!$B$5="All",'IPO Live'!$B$5=C145,AND('IPO Live'!$B$5="A/H only",J145&gt;0)),1,0)</f>
        <v/>
      </c>
      <c r="S145" s="15">
        <f>IF(R145=1,COUNTIF($R$5:R145,1),"")</f>
        <v/>
      </c>
      <c r="T145">
        <f>1</f>
        <v/>
      </c>
      <c r="U145">
        <f>IF($P145="Bloomberg",$M145,$H145)</f>
        <v/>
      </c>
      <c r="AW145">
        <f>IF(AND(J145&gt;0,OR(AH!$I$5="All",AH!$I$5="A/H only",AH!$I$5=C145)),1,0)</f>
        <v/>
      </c>
      <c r="AX145">
        <f>IF(AW145=1,COUNTIF($AW$5:AW145,1),"")</f>
        <v/>
      </c>
      <c r="AY145">
        <f>IF(AH!$M$5="Snapshot",IF(ISNUMBER(G145),G145,"unavailable"),IF(AND(ISNUMBER(K145),N(K145)&gt;0),K145,IF(AH!$M$5="Auto",IF(ISNUMBER(G145),G145,"unavailable"),"unavailable")))</f>
        <v/>
      </c>
      <c r="AZ145">
        <f>IF(AND(AH!$M$5&lt;&gt;"Snapshot",ISNUMBER(K145),N(K145)&gt;0),"Bloomberg",IF(AND(AH!$M$5&lt;&gt;"Bloomberg",ISNUMBER(G145)),"Snapshot","Unavailable"))</f>
        <v/>
      </c>
      <c r="BA145">
        <f>IF(AZ145="Bloomberg",M145,H145)</f>
        <v/>
      </c>
      <c r="BB145">
        <f>1</f>
        <v/>
      </c>
    </row>
    <row r="146">
      <c r="A146" s="31" t="inlineStr">
        <is>
          <t>2391</t>
        </is>
      </c>
      <c r="B146" s="15" t="inlineStr">
        <is>
          <t>TUYA-W</t>
        </is>
      </c>
      <c r="C146" s="15" t="inlineStr">
        <is>
          <t>Tech/AI</t>
        </is>
      </c>
      <c r="D146" s="15" t="inlineStr">
        <is>
          <t>SaaS / enterprise software</t>
        </is>
      </c>
      <c r="E146" s="34" t="n">
        <v>44747</v>
      </c>
      <c r="F146" s="15" t="n">
        <v>19.3</v>
      </c>
      <c r="G146" s="15" t="n">
        <v>13.02</v>
      </c>
      <c r="H146" s="34" t="n">
        <v>46297</v>
      </c>
      <c r="I146" s="31" t="n"/>
      <c r="J146" s="15" t="n">
        <v>0</v>
      </c>
      <c r="K146" s="15">
        <f>IF(AND(AH!$M$5="Snapshot",'IPO Live'!$M$5="Snapshot"),"",IFERROR(BDP(TEXT(VALUE($A146),"0")&amp;" HK Equity","PX_LAST"),""))</f>
        <v/>
      </c>
      <c r="L146" s="15">
        <f>IF(AND(AH!$M$5="Snapshot",'IPO Live'!$M$5="Snapshot"),"",IFERROR(BDP(TEXT(VALUE($A146),"0")&amp;" HK Equity","CHG_PCT_1D")/100,""))</f>
        <v/>
      </c>
      <c r="M146" s="15">
        <f>IF(AND(AH!$M$5="Snapshot",'IPO Live'!$M$5="Snapshot"),"",IFERROR(BDP(TEXT(VALUE($A146),"0")&amp;" HK Equity","LAST_UPDATE_DT"),""))</f>
        <v/>
      </c>
      <c r="N146" s="15">
        <f>IF(AND(AH!$M$5="Snapshot",'IPO Live'!$M$5="Snapshot"),"",IFERROR(BDP(TEXT(VALUE($A146),"0")&amp;" HK Equity","LAST_UPDATE"),""))</f>
        <v/>
      </c>
      <c r="O146" s="15">
        <f>IF('IPO Live'!$M$5="Snapshot",IF(ISNUMBER(G146),G146,"unavailable"),IF(AND(ISNUMBER(K146),N(K146)&gt;0),K146,IF('IPO Live'!$M$5="Auto",IF(ISNUMBER(G146),G146,"unavailable"),"unavailable")))</f>
        <v/>
      </c>
      <c r="P146" s="15">
        <f>IF(AND('IPO Live'!$M$5&lt;&gt;"Snapshot",ISNUMBER(K146),N(K146)&gt;0),"Bloomberg",IF(AND('IPO Live'!$M$5&lt;&gt;"Bloomberg",ISNUMBER(G146)),"Snapshot","Unavailable"))</f>
        <v/>
      </c>
      <c r="Q146" s="33">
        <f>IF(AND(P146="Bloomberg",ISNUMBER(L146)),L146,"unavailable")</f>
        <v/>
      </c>
      <c r="R146" s="15">
        <f>IF(OR('IPO Live'!$B$5="All",'IPO Live'!$B$5=C146,AND('IPO Live'!$B$5="A/H only",J146&gt;0)),1,0)</f>
        <v/>
      </c>
      <c r="S146" s="15">
        <f>IF(R146=1,COUNTIF($R$5:R146,1),"")</f>
        <v/>
      </c>
      <c r="T146">
        <f>1</f>
        <v/>
      </c>
      <c r="U146">
        <f>IF($P146="Bloomberg",$M146,$H146)</f>
        <v/>
      </c>
      <c r="AW146">
        <f>IF(AND(J146&gt;0,OR(AH!$I$5="All",AH!$I$5="A/H only",AH!$I$5=C146)),1,0)</f>
        <v/>
      </c>
      <c r="AX146">
        <f>IF(AW146=1,COUNTIF($AW$5:AW146,1),"")</f>
        <v/>
      </c>
      <c r="AY146">
        <f>IF(AH!$M$5="Snapshot",IF(ISNUMBER(G146),G146,"unavailable"),IF(AND(ISNUMBER(K146),N(K146)&gt;0),K146,IF(AH!$M$5="Auto",IF(ISNUMBER(G146),G146,"unavailable"),"unavailable")))</f>
        <v/>
      </c>
      <c r="AZ146">
        <f>IF(AND(AH!$M$5&lt;&gt;"Snapshot",ISNUMBER(K146),N(K146)&gt;0),"Bloomberg",IF(AND(AH!$M$5&lt;&gt;"Bloomberg",ISNUMBER(G146)),"Snapshot","Unavailable"))</f>
        <v/>
      </c>
      <c r="BA146">
        <f>IF(AZ146="Bloomberg",M146,H146)</f>
        <v/>
      </c>
      <c r="BB146">
        <f>1</f>
        <v/>
      </c>
    </row>
    <row r="147">
      <c r="A147" s="31" t="inlineStr">
        <is>
          <t>2167</t>
        </is>
      </c>
      <c r="B147" s="15" t="inlineStr">
        <is>
          <t>TI CLOUD</t>
        </is>
      </c>
      <c r="C147" s="15" t="inlineStr">
        <is>
          <t>Tech/AI</t>
        </is>
      </c>
      <c r="D147" s="15" t="inlineStr">
        <is>
          <t>SaaS / enterprise software</t>
        </is>
      </c>
      <c r="E147" s="34" t="n">
        <v>44742</v>
      </c>
      <c r="F147" s="15" t="n">
        <v>12.85</v>
      </c>
      <c r="G147" s="15" t="n">
        <v>4.4</v>
      </c>
      <c r="H147" s="34" t="n">
        <v>46297</v>
      </c>
      <c r="I147" s="31" t="n"/>
      <c r="J147" s="15" t="n">
        <v>0</v>
      </c>
      <c r="K147" s="15">
        <f>IF(AND(AH!$M$5="Snapshot",'IPO Live'!$M$5="Snapshot"),"",IFERROR(BDP(TEXT(VALUE($A147),"0")&amp;" HK Equity","PX_LAST"),""))</f>
        <v/>
      </c>
      <c r="L147" s="15">
        <f>IF(AND(AH!$M$5="Snapshot",'IPO Live'!$M$5="Snapshot"),"",IFERROR(BDP(TEXT(VALUE($A147),"0")&amp;" HK Equity","CHG_PCT_1D")/100,""))</f>
        <v/>
      </c>
      <c r="M147" s="15">
        <f>IF(AND(AH!$M$5="Snapshot",'IPO Live'!$M$5="Snapshot"),"",IFERROR(BDP(TEXT(VALUE($A147),"0")&amp;" HK Equity","LAST_UPDATE_DT"),""))</f>
        <v/>
      </c>
      <c r="N147" s="15">
        <f>IF(AND(AH!$M$5="Snapshot",'IPO Live'!$M$5="Snapshot"),"",IFERROR(BDP(TEXT(VALUE($A147),"0")&amp;" HK Equity","LAST_UPDATE"),""))</f>
        <v/>
      </c>
      <c r="O147" s="15">
        <f>IF('IPO Live'!$M$5="Snapshot",IF(ISNUMBER(G147),G147,"unavailable"),IF(AND(ISNUMBER(K147),N(K147)&gt;0),K147,IF('IPO Live'!$M$5="Auto",IF(ISNUMBER(G147),G147,"unavailable"),"unavailable")))</f>
        <v/>
      </c>
      <c r="P147" s="15">
        <f>IF(AND('IPO Live'!$M$5&lt;&gt;"Snapshot",ISNUMBER(K147),N(K147)&gt;0),"Bloomberg",IF(AND('IPO Live'!$M$5&lt;&gt;"Bloomberg",ISNUMBER(G147)),"Snapshot","Unavailable"))</f>
        <v/>
      </c>
      <c r="Q147" s="33">
        <f>IF(AND(P147="Bloomberg",ISNUMBER(L147)),L147,"unavailable")</f>
        <v/>
      </c>
      <c r="R147" s="15">
        <f>IF(OR('IPO Live'!$B$5="All",'IPO Live'!$B$5=C147,AND('IPO Live'!$B$5="A/H only",J147&gt;0)),1,0)</f>
        <v/>
      </c>
      <c r="S147" s="15">
        <f>IF(R147=1,COUNTIF($R$5:R147,1),"")</f>
        <v/>
      </c>
      <c r="T147">
        <f>1</f>
        <v/>
      </c>
      <c r="U147">
        <f>IF($P147="Bloomberg",$M147,$H147)</f>
        <v/>
      </c>
      <c r="AW147">
        <f>IF(AND(J147&gt;0,OR(AH!$I$5="All",AH!$I$5="A/H only",AH!$I$5=C147)),1,0)</f>
        <v/>
      </c>
      <c r="AX147">
        <f>IF(AW147=1,COUNTIF($AW$5:AW147,1),"")</f>
        <v/>
      </c>
      <c r="AY147">
        <f>IF(AH!$M$5="Snapshot",IF(ISNUMBER(G147),G147,"unavailable"),IF(AND(ISNUMBER(K147),N(K147)&gt;0),K147,IF(AH!$M$5="Auto",IF(ISNUMBER(G147),G147,"unavailable"),"unavailable")))</f>
        <v/>
      </c>
      <c r="AZ147">
        <f>IF(AND(AH!$M$5&lt;&gt;"Snapshot",ISNUMBER(K147),N(K147)&gt;0),"Bloomberg",IF(AND(AH!$M$5&lt;&gt;"Bloomberg",ISNUMBER(G147)),"Snapshot","Unavailable"))</f>
        <v/>
      </c>
      <c r="BA147">
        <f>IF(AZ147="Bloomberg",M147,H147)</f>
        <v/>
      </c>
      <c r="BB147">
        <f>1</f>
        <v/>
      </c>
    </row>
    <row r="148">
      <c r="A148" s="31" t="inlineStr">
        <is>
          <t>2390</t>
        </is>
      </c>
      <c r="B148" s="15" t="inlineStr">
        <is>
          <t>ZHIHU-W</t>
        </is>
      </c>
      <c r="C148" s="15" t="inlineStr">
        <is>
          <t>Tech/AI</t>
        </is>
      </c>
      <c r="D148" s="15" t="inlineStr">
        <is>
          <t>Internet platform / e-commerce</t>
        </is>
      </c>
      <c r="E148" s="34" t="n">
        <v>44673</v>
      </c>
      <c r="F148" s="15" t="n">
        <v>32.06</v>
      </c>
      <c r="G148" s="15" t="n">
        <v>9.1</v>
      </c>
      <c r="H148" s="34" t="n">
        <v>46297</v>
      </c>
      <c r="I148" s="31" t="n"/>
      <c r="J148" s="15" t="n">
        <v>0</v>
      </c>
      <c r="K148" s="15">
        <f>IF(AND(AH!$M$5="Snapshot",'IPO Live'!$M$5="Snapshot"),"",IFERROR(BDP(TEXT(VALUE($A148),"0")&amp;" HK Equity","PX_LAST"),""))</f>
        <v/>
      </c>
      <c r="L148" s="15">
        <f>IF(AND(AH!$M$5="Snapshot",'IPO Live'!$M$5="Snapshot"),"",IFERROR(BDP(TEXT(VALUE($A148),"0")&amp;" HK Equity","CHG_PCT_1D")/100,""))</f>
        <v/>
      </c>
      <c r="M148" s="15">
        <f>IF(AND(AH!$M$5="Snapshot",'IPO Live'!$M$5="Snapshot"),"",IFERROR(BDP(TEXT(VALUE($A148),"0")&amp;" HK Equity","LAST_UPDATE_DT"),""))</f>
        <v/>
      </c>
      <c r="N148" s="15">
        <f>IF(AND(AH!$M$5="Snapshot",'IPO Live'!$M$5="Snapshot"),"",IFERROR(BDP(TEXT(VALUE($A148),"0")&amp;" HK Equity","LAST_UPDATE"),""))</f>
        <v/>
      </c>
      <c r="O148" s="15">
        <f>IF('IPO Live'!$M$5="Snapshot",IF(ISNUMBER(G148),G148,"unavailable"),IF(AND(ISNUMBER(K148),N(K148)&gt;0),K148,IF('IPO Live'!$M$5="Auto",IF(ISNUMBER(G148),G148,"unavailable"),"unavailable")))</f>
        <v/>
      </c>
      <c r="P148" s="15">
        <f>IF(AND('IPO Live'!$M$5&lt;&gt;"Snapshot",ISNUMBER(K148),N(K148)&gt;0),"Bloomberg",IF(AND('IPO Live'!$M$5&lt;&gt;"Bloomberg",ISNUMBER(G148)),"Snapshot","Unavailable"))</f>
        <v/>
      </c>
      <c r="Q148" s="33">
        <f>IF(AND(P148="Bloomberg",ISNUMBER(L148)),L148,"unavailable")</f>
        <v/>
      </c>
      <c r="R148" s="15">
        <f>IF(OR('IPO Live'!$B$5="All",'IPO Live'!$B$5=C148,AND('IPO Live'!$B$5="A/H only",J148&gt;0)),1,0)</f>
        <v/>
      </c>
      <c r="S148" s="15">
        <f>IF(R148=1,COUNTIF($R$5:R148,1),"")</f>
        <v/>
      </c>
      <c r="T148">
        <f>1</f>
        <v/>
      </c>
      <c r="U148">
        <f>IF($P148="Bloomberg",$M148,$H148)</f>
        <v/>
      </c>
      <c r="AW148">
        <f>IF(AND(J148&gt;0,OR(AH!$I$5="All",AH!$I$5="A/H only",AH!$I$5=C148)),1,0)</f>
        <v/>
      </c>
      <c r="AX148">
        <f>IF(AW148=1,COUNTIF($AW$5:AW148,1),"")</f>
        <v/>
      </c>
      <c r="AY148">
        <f>IF(AH!$M$5="Snapshot",IF(ISNUMBER(G148),G148,"unavailable"),IF(AND(ISNUMBER(K148),N(K148)&gt;0),K148,IF(AH!$M$5="Auto",IF(ISNUMBER(G148),G148,"unavailable"),"unavailable")))</f>
        <v/>
      </c>
      <c r="AZ148">
        <f>IF(AND(AH!$M$5&lt;&gt;"Snapshot",ISNUMBER(K148),N(K148)&gt;0),"Bloomberg",IF(AND(AH!$M$5&lt;&gt;"Bloomberg",ISNUMBER(G148)),"Snapshot","Unavailable"))</f>
        <v/>
      </c>
      <c r="BA148">
        <f>IF(AZ148="Bloomberg",M148,H148)</f>
        <v/>
      </c>
      <c r="BB148">
        <f>1</f>
        <v/>
      </c>
    </row>
    <row r="149">
      <c r="A149" s="31" t="inlineStr">
        <is>
          <t>9878</t>
        </is>
      </c>
      <c r="B149" s="15" t="inlineStr">
        <is>
          <t>HUITONGDA NET</t>
        </is>
      </c>
      <c r="C149" s="15" t="inlineStr">
        <is>
          <t>Tech/AI</t>
        </is>
      </c>
      <c r="D149" s="15" t="inlineStr">
        <is>
          <t>Internet platform / e-commerce</t>
        </is>
      </c>
      <c r="E149" s="34" t="n">
        <v>44610</v>
      </c>
      <c r="F149" s="15" t="n">
        <v>43</v>
      </c>
      <c r="G149" s="15" t="n">
        <v>6.85</v>
      </c>
      <c r="H149" s="34" t="n">
        <v>46297</v>
      </c>
      <c r="I149" s="31" t="n"/>
      <c r="J149" s="15" t="n">
        <v>0</v>
      </c>
      <c r="K149" s="15">
        <f>IF(AND(AH!$M$5="Snapshot",'IPO Live'!$M$5="Snapshot"),"",IFERROR(BDP(TEXT(VALUE($A149),"0")&amp;" HK Equity","PX_LAST"),""))</f>
        <v/>
      </c>
      <c r="L149" s="15">
        <f>IF(AND(AH!$M$5="Snapshot",'IPO Live'!$M$5="Snapshot"),"",IFERROR(BDP(TEXT(VALUE($A149),"0")&amp;" HK Equity","CHG_PCT_1D")/100,""))</f>
        <v/>
      </c>
      <c r="M149" s="15">
        <f>IF(AND(AH!$M$5="Snapshot",'IPO Live'!$M$5="Snapshot"),"",IFERROR(BDP(TEXT(VALUE($A149),"0")&amp;" HK Equity","LAST_UPDATE_DT"),""))</f>
        <v/>
      </c>
      <c r="N149" s="15">
        <f>IF(AND(AH!$M$5="Snapshot",'IPO Live'!$M$5="Snapshot"),"",IFERROR(BDP(TEXT(VALUE($A149),"0")&amp;" HK Equity","LAST_UPDATE"),""))</f>
        <v/>
      </c>
      <c r="O149" s="15">
        <f>IF('IPO Live'!$M$5="Snapshot",IF(ISNUMBER(G149),G149,"unavailable"),IF(AND(ISNUMBER(K149),N(K149)&gt;0),K149,IF('IPO Live'!$M$5="Auto",IF(ISNUMBER(G149),G149,"unavailable"),"unavailable")))</f>
        <v/>
      </c>
      <c r="P149" s="15">
        <f>IF(AND('IPO Live'!$M$5&lt;&gt;"Snapshot",ISNUMBER(K149),N(K149)&gt;0),"Bloomberg",IF(AND('IPO Live'!$M$5&lt;&gt;"Bloomberg",ISNUMBER(G149)),"Snapshot","Unavailable"))</f>
        <v/>
      </c>
      <c r="Q149" s="33">
        <f>IF(AND(P149="Bloomberg",ISNUMBER(L149)),L149,"unavailable")</f>
        <v/>
      </c>
      <c r="R149" s="15">
        <f>IF(OR('IPO Live'!$B$5="All",'IPO Live'!$B$5=C149,AND('IPO Live'!$B$5="A/H only",J149&gt;0)),1,0)</f>
        <v/>
      </c>
      <c r="S149" s="15">
        <f>IF(R149=1,COUNTIF($R$5:R149,1),"")</f>
        <v/>
      </c>
      <c r="T149">
        <f>1</f>
        <v/>
      </c>
      <c r="U149">
        <f>IF($P149="Bloomberg",$M149,$H149)</f>
        <v/>
      </c>
      <c r="AW149">
        <f>IF(AND(J149&gt;0,OR(AH!$I$5="All",AH!$I$5="A/H only",AH!$I$5=C149)),1,0)</f>
        <v/>
      </c>
      <c r="AX149">
        <f>IF(AW149=1,COUNTIF($AW$5:AW149,1),"")</f>
        <v/>
      </c>
      <c r="AY149">
        <f>IF(AH!$M$5="Snapshot",IF(ISNUMBER(G149),G149,"unavailable"),IF(AND(ISNUMBER(K149),N(K149)&gt;0),K149,IF(AH!$M$5="Auto",IF(ISNUMBER(G149),G149,"unavailable"),"unavailable")))</f>
        <v/>
      </c>
      <c r="AZ149">
        <f>IF(AND(AH!$M$5&lt;&gt;"Snapshot",ISNUMBER(K149),N(K149)&gt;0),"Bloomberg",IF(AND(AH!$M$5&lt;&gt;"Bloomberg",ISNUMBER(G149)),"Snapshot","Unavailable"))</f>
        <v/>
      </c>
      <c r="BA149">
        <f>IF(AZ149="Bloomberg",M149,H149)</f>
        <v/>
      </c>
      <c r="BB149">
        <f>1</f>
        <v/>
      </c>
    </row>
    <row r="150">
      <c r="A150" s="31" t="inlineStr">
        <is>
          <t>2121</t>
        </is>
      </c>
      <c r="B150" s="15" t="inlineStr">
        <is>
          <t>AINNOVATION</t>
        </is>
      </c>
      <c r="C150" s="15" t="inlineStr">
        <is>
          <t>Tech/AI</t>
        </is>
      </c>
      <c r="D150" s="15" t="inlineStr">
        <is>
          <t>AI application / agent software</t>
        </is>
      </c>
      <c r="E150" s="34" t="n">
        <v>44588</v>
      </c>
      <c r="F150" s="15" t="n">
        <v>26.3</v>
      </c>
      <c r="G150" s="15" t="n">
        <v>3.11</v>
      </c>
      <c r="H150" s="34" t="n">
        <v>46297</v>
      </c>
      <c r="I150" s="31" t="n"/>
      <c r="J150" s="15" t="n">
        <v>0</v>
      </c>
      <c r="K150" s="15">
        <f>IF(AND(AH!$M$5="Snapshot",'IPO Live'!$M$5="Snapshot"),"",IFERROR(BDP(TEXT(VALUE($A150),"0")&amp;" HK Equity","PX_LAST"),""))</f>
        <v/>
      </c>
      <c r="L150" s="15">
        <f>IF(AND(AH!$M$5="Snapshot",'IPO Live'!$M$5="Snapshot"),"",IFERROR(BDP(TEXT(VALUE($A150),"0")&amp;" HK Equity","CHG_PCT_1D")/100,""))</f>
        <v/>
      </c>
      <c r="M150" s="15">
        <f>IF(AND(AH!$M$5="Snapshot",'IPO Live'!$M$5="Snapshot"),"",IFERROR(BDP(TEXT(VALUE($A150),"0")&amp;" HK Equity","LAST_UPDATE_DT"),""))</f>
        <v/>
      </c>
      <c r="N150" s="15">
        <f>IF(AND(AH!$M$5="Snapshot",'IPO Live'!$M$5="Snapshot"),"",IFERROR(BDP(TEXT(VALUE($A150),"0")&amp;" HK Equity","LAST_UPDATE"),""))</f>
        <v/>
      </c>
      <c r="O150" s="15">
        <f>IF('IPO Live'!$M$5="Snapshot",IF(ISNUMBER(G150),G150,"unavailable"),IF(AND(ISNUMBER(K150),N(K150)&gt;0),K150,IF('IPO Live'!$M$5="Auto",IF(ISNUMBER(G150),G150,"unavailable"),"unavailable")))</f>
        <v/>
      </c>
      <c r="P150" s="15">
        <f>IF(AND('IPO Live'!$M$5&lt;&gt;"Snapshot",ISNUMBER(K150),N(K150)&gt;0),"Bloomberg",IF(AND('IPO Live'!$M$5&lt;&gt;"Bloomberg",ISNUMBER(G150)),"Snapshot","Unavailable"))</f>
        <v/>
      </c>
      <c r="Q150" s="33">
        <f>IF(AND(P150="Bloomberg",ISNUMBER(L150)),L150,"unavailable")</f>
        <v/>
      </c>
      <c r="R150" s="15">
        <f>IF(OR('IPO Live'!$B$5="All",'IPO Live'!$B$5=C150,AND('IPO Live'!$B$5="A/H only",J150&gt;0)),1,0)</f>
        <v/>
      </c>
      <c r="S150" s="15">
        <f>IF(R150=1,COUNTIF($R$5:R150,1),"")</f>
        <v/>
      </c>
      <c r="T150">
        <f>1</f>
        <v/>
      </c>
      <c r="U150">
        <f>IF($P150="Bloomberg",$M150,$H150)</f>
        <v/>
      </c>
      <c r="AW150">
        <f>IF(AND(J150&gt;0,OR(AH!$I$5="All",AH!$I$5="A/H only",AH!$I$5=C150)),1,0)</f>
        <v/>
      </c>
      <c r="AX150">
        <f>IF(AW150=1,COUNTIF($AW$5:AW150,1),"")</f>
        <v/>
      </c>
      <c r="AY150">
        <f>IF(AH!$M$5="Snapshot",IF(ISNUMBER(G150),G150,"unavailable"),IF(AND(ISNUMBER(K150),N(K150)&gt;0),K150,IF(AH!$M$5="Auto",IF(ISNUMBER(G150),G150,"unavailable"),"unavailable")))</f>
        <v/>
      </c>
      <c r="AZ150">
        <f>IF(AND(AH!$M$5&lt;&gt;"Snapshot",ISNUMBER(K150),N(K150)&gt;0),"Bloomberg",IF(AND(AH!$M$5&lt;&gt;"Bloomberg",ISNUMBER(G150)),"Snapshot","Unavailable"))</f>
        <v/>
      </c>
      <c r="BA150">
        <f>IF(AZ150="Bloomberg",M150,H150)</f>
        <v/>
      </c>
      <c r="BB150">
        <f>1</f>
        <v/>
      </c>
    </row>
    <row r="151">
      <c r="A151" s="31" t="inlineStr">
        <is>
          <t>0020</t>
        </is>
      </c>
      <c r="B151" s="15" t="inlineStr">
        <is>
          <t>SENSETIME-W</t>
        </is>
      </c>
      <c r="C151" s="15" t="inlineStr">
        <is>
          <t>Tech/AI</t>
        </is>
      </c>
      <c r="D151" s="15" t="inlineStr">
        <is>
          <t>AI application / agent software</t>
        </is>
      </c>
      <c r="E151" s="34" t="n">
        <v>44560</v>
      </c>
      <c r="F151" s="15" t="n">
        <v>3.85</v>
      </c>
      <c r="G151" s="15" t="n">
        <v>1.195</v>
      </c>
      <c r="H151" s="34" t="n">
        <v>46297</v>
      </c>
      <c r="I151" s="31" t="n"/>
      <c r="J151" s="15" t="n">
        <v>0</v>
      </c>
      <c r="K151" s="15">
        <f>IF(AND(AH!$M$5="Snapshot",'IPO Live'!$M$5="Snapshot"),"",IFERROR(BDP(TEXT(VALUE($A151),"0")&amp;" HK Equity","PX_LAST"),""))</f>
        <v/>
      </c>
      <c r="L151" s="15">
        <f>IF(AND(AH!$M$5="Snapshot",'IPO Live'!$M$5="Snapshot"),"",IFERROR(BDP(TEXT(VALUE($A151),"0")&amp;" HK Equity","CHG_PCT_1D")/100,""))</f>
        <v/>
      </c>
      <c r="M151" s="15">
        <f>IF(AND(AH!$M$5="Snapshot",'IPO Live'!$M$5="Snapshot"),"",IFERROR(BDP(TEXT(VALUE($A151),"0")&amp;" HK Equity","LAST_UPDATE_DT"),""))</f>
        <v/>
      </c>
      <c r="N151" s="15">
        <f>IF(AND(AH!$M$5="Snapshot",'IPO Live'!$M$5="Snapshot"),"",IFERROR(BDP(TEXT(VALUE($A151),"0")&amp;" HK Equity","LAST_UPDATE"),""))</f>
        <v/>
      </c>
      <c r="O151" s="15">
        <f>IF('IPO Live'!$M$5="Snapshot",IF(ISNUMBER(G151),G151,"unavailable"),IF(AND(ISNUMBER(K151),N(K151)&gt;0),K151,IF('IPO Live'!$M$5="Auto",IF(ISNUMBER(G151),G151,"unavailable"),"unavailable")))</f>
        <v/>
      </c>
      <c r="P151" s="15">
        <f>IF(AND('IPO Live'!$M$5&lt;&gt;"Snapshot",ISNUMBER(K151),N(K151)&gt;0),"Bloomberg",IF(AND('IPO Live'!$M$5&lt;&gt;"Bloomberg",ISNUMBER(G151)),"Snapshot","Unavailable"))</f>
        <v/>
      </c>
      <c r="Q151" s="33">
        <f>IF(AND(P151="Bloomberg",ISNUMBER(L151)),L151,"unavailable")</f>
        <v/>
      </c>
      <c r="R151" s="15">
        <f>IF(OR('IPO Live'!$B$5="All",'IPO Live'!$B$5=C151,AND('IPO Live'!$B$5="A/H only",J151&gt;0)),1,0)</f>
        <v/>
      </c>
      <c r="S151" s="15">
        <f>IF(R151=1,COUNTIF($R$5:R151,1),"")</f>
        <v/>
      </c>
      <c r="T151">
        <f>1</f>
        <v/>
      </c>
      <c r="U151">
        <f>IF($P151="Bloomberg",$M151,$H151)</f>
        <v/>
      </c>
      <c r="AW151">
        <f>IF(AND(J151&gt;0,OR(AH!$I$5="All",AH!$I$5="A/H only",AH!$I$5=C151)),1,0)</f>
        <v/>
      </c>
      <c r="AX151">
        <f>IF(AW151=1,COUNTIF($AW$5:AW151,1),"")</f>
        <v/>
      </c>
      <c r="AY151">
        <f>IF(AH!$M$5="Snapshot",IF(ISNUMBER(G151),G151,"unavailable"),IF(AND(ISNUMBER(K151),N(K151)&gt;0),K151,IF(AH!$M$5="Auto",IF(ISNUMBER(G151),G151,"unavailable"),"unavailable")))</f>
        <v/>
      </c>
      <c r="AZ151">
        <f>IF(AND(AH!$M$5&lt;&gt;"Snapshot",ISNUMBER(K151),N(K151)&gt;0),"Bloomberg",IF(AND(AH!$M$5&lt;&gt;"Bloomberg",ISNUMBER(G151)),"Snapshot","Unavailable"))</f>
        <v/>
      </c>
      <c r="BA151">
        <f>IF(AZ151="Bloomberg",M151,H151)</f>
        <v/>
      </c>
      <c r="BB151">
        <f>1</f>
        <v/>
      </c>
    </row>
    <row r="152">
      <c r="A152" s="31" t="inlineStr">
        <is>
          <t>9898</t>
        </is>
      </c>
      <c r="B152" s="15" t="inlineStr">
        <is>
          <t>WB-SW</t>
        </is>
      </c>
      <c r="C152" s="15" t="inlineStr">
        <is>
          <t>Tech/AI</t>
        </is>
      </c>
      <c r="D152" s="15" t="inlineStr">
        <is>
          <t>Internet platform / e-commerce</t>
        </is>
      </c>
      <c r="E152" s="34" t="n">
        <v>44538</v>
      </c>
      <c r="F152" s="15" t="n">
        <v>272.8</v>
      </c>
      <c r="G152" s="15" t="n">
        <v>49.68</v>
      </c>
      <c r="H152" s="34" t="n">
        <v>46297</v>
      </c>
      <c r="I152" s="31" t="n"/>
      <c r="J152" s="15" t="n">
        <v>0</v>
      </c>
      <c r="K152" s="15">
        <f>IF(AND(AH!$M$5="Snapshot",'IPO Live'!$M$5="Snapshot"),"",IFERROR(BDP(TEXT(VALUE($A152),"0")&amp;" HK Equity","PX_LAST"),""))</f>
        <v/>
      </c>
      <c r="L152" s="15">
        <f>IF(AND(AH!$M$5="Snapshot",'IPO Live'!$M$5="Snapshot"),"",IFERROR(BDP(TEXT(VALUE($A152),"0")&amp;" HK Equity","CHG_PCT_1D")/100,""))</f>
        <v/>
      </c>
      <c r="M152" s="15">
        <f>IF(AND(AH!$M$5="Snapshot",'IPO Live'!$M$5="Snapshot"),"",IFERROR(BDP(TEXT(VALUE($A152),"0")&amp;" HK Equity","LAST_UPDATE_DT"),""))</f>
        <v/>
      </c>
      <c r="N152" s="15">
        <f>IF(AND(AH!$M$5="Snapshot",'IPO Live'!$M$5="Snapshot"),"",IFERROR(BDP(TEXT(VALUE($A152),"0")&amp;" HK Equity","LAST_UPDATE"),""))</f>
        <v/>
      </c>
      <c r="O152" s="15">
        <f>IF('IPO Live'!$M$5="Snapshot",IF(ISNUMBER(G152),G152,"unavailable"),IF(AND(ISNUMBER(K152),N(K152)&gt;0),K152,IF('IPO Live'!$M$5="Auto",IF(ISNUMBER(G152),G152,"unavailable"),"unavailable")))</f>
        <v/>
      </c>
      <c r="P152" s="15">
        <f>IF(AND('IPO Live'!$M$5&lt;&gt;"Snapshot",ISNUMBER(K152),N(K152)&gt;0),"Bloomberg",IF(AND('IPO Live'!$M$5&lt;&gt;"Bloomberg",ISNUMBER(G152)),"Snapshot","Unavailable"))</f>
        <v/>
      </c>
      <c r="Q152" s="33">
        <f>IF(AND(P152="Bloomberg",ISNUMBER(L152)),L152,"unavailable")</f>
        <v/>
      </c>
      <c r="R152" s="15">
        <f>IF(OR('IPO Live'!$B$5="All",'IPO Live'!$B$5=C152,AND('IPO Live'!$B$5="A/H only",J152&gt;0)),1,0)</f>
        <v/>
      </c>
      <c r="S152" s="15">
        <f>IF(R152=1,COUNTIF($R$5:R152,1),"")</f>
        <v/>
      </c>
      <c r="T152">
        <f>1</f>
        <v/>
      </c>
      <c r="U152">
        <f>IF($P152="Bloomberg",$M152,$H152)</f>
        <v/>
      </c>
      <c r="AW152">
        <f>IF(AND(J152&gt;0,OR(AH!$I$5="All",AH!$I$5="A/H only",AH!$I$5=C152)),1,0)</f>
        <v/>
      </c>
      <c r="AX152">
        <f>IF(AW152=1,COUNTIF($AW$5:AW152,1),"")</f>
        <v/>
      </c>
      <c r="AY152">
        <f>IF(AH!$M$5="Snapshot",IF(ISNUMBER(G152),G152,"unavailable"),IF(AND(ISNUMBER(K152),N(K152)&gt;0),K152,IF(AH!$M$5="Auto",IF(ISNUMBER(G152),G152,"unavailable"),"unavailable")))</f>
        <v/>
      </c>
      <c r="AZ152">
        <f>IF(AND(AH!$M$5&lt;&gt;"Snapshot",ISNUMBER(K152),N(K152)&gt;0),"Bloomberg",IF(AND(AH!$M$5&lt;&gt;"Bloomberg",ISNUMBER(G152)),"Snapshot","Unavailable"))</f>
        <v/>
      </c>
      <c r="BA152">
        <f>IF(AZ152="Bloomberg",M152,H152)</f>
        <v/>
      </c>
      <c r="BB152">
        <f>1</f>
        <v/>
      </c>
    </row>
    <row r="153">
      <c r="A153" s="31" t="inlineStr">
        <is>
          <t>9899</t>
        </is>
      </c>
      <c r="B153" s="15" t="inlineStr">
        <is>
          <t>CLOUD VILLAGE</t>
        </is>
      </c>
      <c r="C153" s="15" t="inlineStr">
        <is>
          <t>Tech/AI</t>
        </is>
      </c>
      <c r="D153" s="15" t="inlineStr">
        <is>
          <t>Internet platform / e-commerce</t>
        </is>
      </c>
      <c r="E153" s="34" t="n">
        <v>44532</v>
      </c>
      <c r="F153" s="15" t="n">
        <v>205</v>
      </c>
      <c r="G153" s="15" t="n">
        <v>83.45</v>
      </c>
      <c r="H153" s="34" t="n">
        <v>46297</v>
      </c>
      <c r="I153" s="31" t="n"/>
      <c r="J153" s="15" t="n">
        <v>0</v>
      </c>
      <c r="K153" s="15">
        <f>IF(AND(AH!$M$5="Snapshot",'IPO Live'!$M$5="Snapshot"),"",IFERROR(BDP(TEXT(VALUE($A153),"0")&amp;" HK Equity","PX_LAST"),""))</f>
        <v/>
      </c>
      <c r="L153" s="15">
        <f>IF(AND(AH!$M$5="Snapshot",'IPO Live'!$M$5="Snapshot"),"",IFERROR(BDP(TEXT(VALUE($A153),"0")&amp;" HK Equity","CHG_PCT_1D")/100,""))</f>
        <v/>
      </c>
      <c r="M153" s="15">
        <f>IF(AND(AH!$M$5="Snapshot",'IPO Live'!$M$5="Snapshot"),"",IFERROR(BDP(TEXT(VALUE($A153),"0")&amp;" HK Equity","LAST_UPDATE_DT"),""))</f>
        <v/>
      </c>
      <c r="N153" s="15">
        <f>IF(AND(AH!$M$5="Snapshot",'IPO Live'!$M$5="Snapshot"),"",IFERROR(BDP(TEXT(VALUE($A153),"0")&amp;" HK Equity","LAST_UPDATE"),""))</f>
        <v/>
      </c>
      <c r="O153" s="15">
        <f>IF('IPO Live'!$M$5="Snapshot",IF(ISNUMBER(G153),G153,"unavailable"),IF(AND(ISNUMBER(K153),N(K153)&gt;0),K153,IF('IPO Live'!$M$5="Auto",IF(ISNUMBER(G153),G153,"unavailable"),"unavailable")))</f>
        <v/>
      </c>
      <c r="P153" s="15">
        <f>IF(AND('IPO Live'!$M$5&lt;&gt;"Snapshot",ISNUMBER(K153),N(K153)&gt;0),"Bloomberg",IF(AND('IPO Live'!$M$5&lt;&gt;"Bloomberg",ISNUMBER(G153)),"Snapshot","Unavailable"))</f>
        <v/>
      </c>
      <c r="Q153" s="33">
        <f>IF(AND(P153="Bloomberg",ISNUMBER(L153)),L153,"unavailable")</f>
        <v/>
      </c>
      <c r="R153" s="15">
        <f>IF(OR('IPO Live'!$B$5="All",'IPO Live'!$B$5=C153,AND('IPO Live'!$B$5="A/H only",J153&gt;0)),1,0)</f>
        <v/>
      </c>
      <c r="S153" s="15">
        <f>IF(R153=1,COUNTIF($R$5:R153,1),"")</f>
        <v/>
      </c>
      <c r="T153">
        <f>1</f>
        <v/>
      </c>
      <c r="U153">
        <f>IF($P153="Bloomberg",$M153,$H153)</f>
        <v/>
      </c>
      <c r="AW153">
        <f>IF(AND(J153&gt;0,OR(AH!$I$5="All",AH!$I$5="A/H only",AH!$I$5=C153)),1,0)</f>
        <v/>
      </c>
      <c r="AX153">
        <f>IF(AW153=1,COUNTIF($AW$5:AW153,1),"")</f>
        <v/>
      </c>
      <c r="AY153">
        <f>IF(AH!$M$5="Snapshot",IF(ISNUMBER(G153),G153,"unavailable"),IF(AND(ISNUMBER(K153),N(K153)&gt;0),K153,IF(AH!$M$5="Auto",IF(ISNUMBER(G153),G153,"unavailable"),"unavailable")))</f>
        <v/>
      </c>
      <c r="AZ153">
        <f>IF(AND(AH!$M$5&lt;&gt;"Snapshot",ISNUMBER(K153),N(K153)&gt;0),"Bloomberg",IF(AND(AH!$M$5&lt;&gt;"Bloomberg",ISNUMBER(G153)),"Snapshot","Unavailable"))</f>
        <v/>
      </c>
      <c r="BA153">
        <f>IF(AZ153="Bloomberg",M153,H153)</f>
        <v/>
      </c>
      <c r="BB153">
        <f>1</f>
        <v/>
      </c>
    </row>
    <row r="154">
      <c r="A154" s="31" t="inlineStr">
        <is>
          <t>2177</t>
        </is>
      </c>
      <c r="B154" s="15" t="inlineStr">
        <is>
          <t>UNQ HOLDINGS</t>
        </is>
      </c>
      <c r="C154" s="15" t="inlineStr">
        <is>
          <t>Tech/AI</t>
        </is>
      </c>
      <c r="D154" s="15" t="inlineStr">
        <is>
          <t>Internet platform / e-commerce</t>
        </is>
      </c>
      <c r="E154" s="34" t="n">
        <v>44389</v>
      </c>
      <c r="F154" s="15" t="n">
        <v>11.86</v>
      </c>
      <c r="G154" s="15" t="n">
        <v>2.35</v>
      </c>
      <c r="H154" s="34" t="n">
        <v>46297</v>
      </c>
      <c r="I154" s="31" t="n"/>
      <c r="J154" s="15" t="n">
        <v>0</v>
      </c>
      <c r="K154" s="15">
        <f>IF(AND(AH!$M$5="Snapshot",'IPO Live'!$M$5="Snapshot"),"",IFERROR(BDP(TEXT(VALUE($A154),"0")&amp;" HK Equity","PX_LAST"),""))</f>
        <v/>
      </c>
      <c r="L154" s="15">
        <f>IF(AND(AH!$M$5="Snapshot",'IPO Live'!$M$5="Snapshot"),"",IFERROR(BDP(TEXT(VALUE($A154),"0")&amp;" HK Equity","CHG_PCT_1D")/100,""))</f>
        <v/>
      </c>
      <c r="M154" s="15">
        <f>IF(AND(AH!$M$5="Snapshot",'IPO Live'!$M$5="Snapshot"),"",IFERROR(BDP(TEXT(VALUE($A154),"0")&amp;" HK Equity","LAST_UPDATE_DT"),""))</f>
        <v/>
      </c>
      <c r="N154" s="15">
        <f>IF(AND(AH!$M$5="Snapshot",'IPO Live'!$M$5="Snapshot"),"",IFERROR(BDP(TEXT(VALUE($A154),"0")&amp;" HK Equity","LAST_UPDATE"),""))</f>
        <v/>
      </c>
      <c r="O154" s="15">
        <f>IF('IPO Live'!$M$5="Snapshot",IF(ISNUMBER(G154),G154,"unavailable"),IF(AND(ISNUMBER(K154),N(K154)&gt;0),K154,IF('IPO Live'!$M$5="Auto",IF(ISNUMBER(G154),G154,"unavailable"),"unavailable")))</f>
        <v/>
      </c>
      <c r="P154" s="15">
        <f>IF(AND('IPO Live'!$M$5&lt;&gt;"Snapshot",ISNUMBER(K154),N(K154)&gt;0),"Bloomberg",IF(AND('IPO Live'!$M$5&lt;&gt;"Bloomberg",ISNUMBER(G154)),"Snapshot","Unavailable"))</f>
        <v/>
      </c>
      <c r="Q154" s="33">
        <f>IF(AND(P154="Bloomberg",ISNUMBER(L154)),L154,"unavailable")</f>
        <v/>
      </c>
      <c r="R154" s="15">
        <f>IF(OR('IPO Live'!$B$5="All",'IPO Live'!$B$5=C154,AND('IPO Live'!$B$5="A/H only",J154&gt;0)),1,0)</f>
        <v/>
      </c>
      <c r="S154" s="15">
        <f>IF(R154=1,COUNTIF($R$5:R154,1),"")</f>
        <v/>
      </c>
      <c r="T154">
        <f>1</f>
        <v/>
      </c>
      <c r="U154">
        <f>IF($P154="Bloomberg",$M154,$H154)</f>
        <v/>
      </c>
      <c r="AW154">
        <f>IF(AND(J154&gt;0,OR(AH!$I$5="All",AH!$I$5="A/H only",AH!$I$5=C154)),1,0)</f>
        <v/>
      </c>
      <c r="AX154">
        <f>IF(AW154=1,COUNTIF($AW$5:AW154,1),"")</f>
        <v/>
      </c>
      <c r="AY154">
        <f>IF(AH!$M$5="Snapshot",IF(ISNUMBER(G154),G154,"unavailable"),IF(AND(ISNUMBER(K154),N(K154)&gt;0),K154,IF(AH!$M$5="Auto",IF(ISNUMBER(G154),G154,"unavailable"),"unavailable")))</f>
        <v/>
      </c>
      <c r="AZ154">
        <f>IF(AND(AH!$M$5&lt;&gt;"Snapshot",ISNUMBER(K154),N(K154)&gt;0),"Bloomberg",IF(AND(AH!$M$5&lt;&gt;"Bloomberg",ISNUMBER(G154)),"Snapshot","Unavailable"))</f>
        <v/>
      </c>
      <c r="BA154">
        <f>IF(AZ154="Bloomberg",M154,H154)</f>
        <v/>
      </c>
      <c r="BB154">
        <f>1</f>
        <v/>
      </c>
    </row>
    <row r="155">
      <c r="A155" s="31" t="inlineStr">
        <is>
          <t>2209</t>
        </is>
      </c>
      <c r="B155" s="15" t="inlineStr">
        <is>
          <t>YESASIA HLDGS</t>
        </is>
      </c>
      <c r="C155" s="15" t="inlineStr">
        <is>
          <t>Tech/AI</t>
        </is>
      </c>
      <c r="D155" s="15" t="inlineStr">
        <is>
          <t>Internet platform / e-commerce</t>
        </is>
      </c>
      <c r="E155" s="34" t="n">
        <v>44386</v>
      </c>
      <c r="F155" s="15" t="n">
        <v>3.28</v>
      </c>
      <c r="G155" s="15" t="n">
        <v>3.175</v>
      </c>
      <c r="H155" s="34" t="n">
        <v>46297</v>
      </c>
      <c r="I155" s="31" t="n"/>
      <c r="J155" s="15" t="n">
        <v>0</v>
      </c>
      <c r="K155" s="15">
        <f>IF(AND(AH!$M$5="Snapshot",'IPO Live'!$M$5="Snapshot"),"",IFERROR(BDP(TEXT(VALUE($A155),"0")&amp;" HK Equity","PX_LAST"),""))</f>
        <v/>
      </c>
      <c r="L155" s="15">
        <f>IF(AND(AH!$M$5="Snapshot",'IPO Live'!$M$5="Snapshot"),"",IFERROR(BDP(TEXT(VALUE($A155),"0")&amp;" HK Equity","CHG_PCT_1D")/100,""))</f>
        <v/>
      </c>
      <c r="M155" s="15">
        <f>IF(AND(AH!$M$5="Snapshot",'IPO Live'!$M$5="Snapshot"),"",IFERROR(BDP(TEXT(VALUE($A155),"0")&amp;" HK Equity","LAST_UPDATE_DT"),""))</f>
        <v/>
      </c>
      <c r="N155" s="15">
        <f>IF(AND(AH!$M$5="Snapshot",'IPO Live'!$M$5="Snapshot"),"",IFERROR(BDP(TEXT(VALUE($A155),"0")&amp;" HK Equity","LAST_UPDATE"),""))</f>
        <v/>
      </c>
      <c r="O155" s="15">
        <f>IF('IPO Live'!$M$5="Snapshot",IF(ISNUMBER(G155),G155,"unavailable"),IF(AND(ISNUMBER(K155),N(K155)&gt;0),K155,IF('IPO Live'!$M$5="Auto",IF(ISNUMBER(G155),G155,"unavailable"),"unavailable")))</f>
        <v/>
      </c>
      <c r="P155" s="15">
        <f>IF(AND('IPO Live'!$M$5&lt;&gt;"Snapshot",ISNUMBER(K155),N(K155)&gt;0),"Bloomberg",IF(AND('IPO Live'!$M$5&lt;&gt;"Bloomberg",ISNUMBER(G155)),"Snapshot","Unavailable"))</f>
        <v/>
      </c>
      <c r="Q155" s="33">
        <f>IF(AND(P155="Bloomberg",ISNUMBER(L155)),L155,"unavailable")</f>
        <v/>
      </c>
      <c r="R155" s="15">
        <f>IF(OR('IPO Live'!$B$5="All",'IPO Live'!$B$5=C155,AND('IPO Live'!$B$5="A/H only",J155&gt;0)),1,0)</f>
        <v/>
      </c>
      <c r="S155" s="15">
        <f>IF(R155=1,COUNTIF($R$5:R155,1),"")</f>
        <v/>
      </c>
      <c r="T155">
        <f>1</f>
        <v/>
      </c>
      <c r="U155">
        <f>IF($P155="Bloomberg",$M155,$H155)</f>
        <v/>
      </c>
      <c r="AW155">
        <f>IF(AND(J155&gt;0,OR(AH!$I$5="All",AH!$I$5="A/H only",AH!$I$5=C155)),1,0)</f>
        <v/>
      </c>
      <c r="AX155">
        <f>IF(AW155=1,COUNTIF($AW$5:AW155,1),"")</f>
        <v/>
      </c>
      <c r="AY155">
        <f>IF(AH!$M$5="Snapshot",IF(ISNUMBER(G155),G155,"unavailable"),IF(AND(ISNUMBER(K155),N(K155)&gt;0),K155,IF(AH!$M$5="Auto",IF(ISNUMBER(G155),G155,"unavailable"),"unavailable")))</f>
        <v/>
      </c>
      <c r="AZ155">
        <f>IF(AND(AH!$M$5&lt;&gt;"Snapshot",ISNUMBER(K155),N(K155)&gt;0),"Bloomberg",IF(AND(AH!$M$5&lt;&gt;"Bloomberg",ISNUMBER(G155)),"Snapshot","Unavailable"))</f>
        <v/>
      </c>
      <c r="BA155">
        <f>IF(AZ155="Bloomberg",M155,H155)</f>
        <v/>
      </c>
      <c r="BB155">
        <f>1</f>
        <v/>
      </c>
    </row>
    <row r="156">
      <c r="A156" s="31" t="inlineStr">
        <is>
          <t>9961</t>
        </is>
      </c>
      <c r="B156" s="15" t="inlineStr">
        <is>
          <t>TRIP.COM-S</t>
        </is>
      </c>
      <c r="C156" s="15" t="inlineStr">
        <is>
          <t>Tech/AI</t>
        </is>
      </c>
      <c r="D156" s="15" t="inlineStr">
        <is>
          <t>Internet platform / e-commerce</t>
        </is>
      </c>
      <c r="E156" s="34" t="n">
        <v>44305</v>
      </c>
      <c r="F156" s="15" t="n">
        <v>268</v>
      </c>
      <c r="G156" s="15" t="n">
        <v>302.4</v>
      </c>
      <c r="H156" s="34" t="n">
        <v>46297</v>
      </c>
      <c r="I156" s="31" t="n"/>
      <c r="J156" s="15" t="n">
        <v>0</v>
      </c>
      <c r="K156" s="15">
        <f>IF(AND(AH!$M$5="Snapshot",'IPO Live'!$M$5="Snapshot"),"",IFERROR(BDP(TEXT(VALUE($A156),"0")&amp;" HK Equity","PX_LAST"),""))</f>
        <v/>
      </c>
      <c r="L156" s="15">
        <f>IF(AND(AH!$M$5="Snapshot",'IPO Live'!$M$5="Snapshot"),"",IFERROR(BDP(TEXT(VALUE($A156),"0")&amp;" HK Equity","CHG_PCT_1D")/100,""))</f>
        <v/>
      </c>
      <c r="M156" s="15">
        <f>IF(AND(AH!$M$5="Snapshot",'IPO Live'!$M$5="Snapshot"),"",IFERROR(BDP(TEXT(VALUE($A156),"0")&amp;" HK Equity","LAST_UPDATE_DT"),""))</f>
        <v/>
      </c>
      <c r="N156" s="15">
        <f>IF(AND(AH!$M$5="Snapshot",'IPO Live'!$M$5="Snapshot"),"",IFERROR(BDP(TEXT(VALUE($A156),"0")&amp;" HK Equity","LAST_UPDATE"),""))</f>
        <v/>
      </c>
      <c r="O156" s="15">
        <f>IF('IPO Live'!$M$5="Snapshot",IF(ISNUMBER(G156),G156,"unavailable"),IF(AND(ISNUMBER(K156),N(K156)&gt;0),K156,IF('IPO Live'!$M$5="Auto",IF(ISNUMBER(G156),G156,"unavailable"),"unavailable")))</f>
        <v/>
      </c>
      <c r="P156" s="15">
        <f>IF(AND('IPO Live'!$M$5&lt;&gt;"Snapshot",ISNUMBER(K156),N(K156)&gt;0),"Bloomberg",IF(AND('IPO Live'!$M$5&lt;&gt;"Bloomberg",ISNUMBER(G156)),"Snapshot","Unavailable"))</f>
        <v/>
      </c>
      <c r="Q156" s="33">
        <f>IF(AND(P156="Bloomberg",ISNUMBER(L156)),L156,"unavailable")</f>
        <v/>
      </c>
      <c r="R156" s="15">
        <f>IF(OR('IPO Live'!$B$5="All",'IPO Live'!$B$5=C156,AND('IPO Live'!$B$5="A/H only",J156&gt;0)),1,0)</f>
        <v/>
      </c>
      <c r="S156" s="15">
        <f>IF(R156=1,COUNTIF($R$5:R156,1),"")</f>
        <v/>
      </c>
      <c r="T156">
        <f>1</f>
        <v/>
      </c>
      <c r="U156">
        <f>IF($P156="Bloomberg",$M156,$H156)</f>
        <v/>
      </c>
      <c r="AW156">
        <f>IF(AND(J156&gt;0,OR(AH!$I$5="All",AH!$I$5="A/H only",AH!$I$5=C156)),1,0)</f>
        <v/>
      </c>
      <c r="AX156">
        <f>IF(AW156=1,COUNTIF($AW$5:AW156,1),"")</f>
        <v/>
      </c>
      <c r="AY156">
        <f>IF(AH!$M$5="Snapshot",IF(ISNUMBER(G156),G156,"unavailable"),IF(AND(ISNUMBER(K156),N(K156)&gt;0),K156,IF(AH!$M$5="Auto",IF(ISNUMBER(G156),G156,"unavailable"),"unavailable")))</f>
        <v/>
      </c>
      <c r="AZ156">
        <f>IF(AND(AH!$M$5&lt;&gt;"Snapshot",ISNUMBER(K156),N(K156)&gt;0),"Bloomberg",IF(AND(AH!$M$5&lt;&gt;"Bloomberg",ISNUMBER(G156)),"Snapshot","Unavailable"))</f>
        <v/>
      </c>
      <c r="BA156">
        <f>IF(AZ156="Bloomberg",M156,H156)</f>
        <v/>
      </c>
      <c r="BB156">
        <f>1</f>
        <v/>
      </c>
    </row>
    <row r="157">
      <c r="A157" s="31" t="inlineStr">
        <is>
          <t>9959</t>
        </is>
      </c>
      <c r="B157" s="15" t="inlineStr">
        <is>
          <t>LINKLOGIS–W</t>
        </is>
      </c>
      <c r="C157" s="15" t="inlineStr">
        <is>
          <t>Tech/AI</t>
        </is>
      </c>
      <c r="D157" s="15" t="inlineStr">
        <is>
          <t>Fintech platform</t>
        </is>
      </c>
      <c r="E157" s="34" t="n">
        <v>44295</v>
      </c>
      <c r="F157" s="15" t="n">
        <v>17.58</v>
      </c>
      <c r="G157" s="15" t="n">
        <v>2.23</v>
      </c>
      <c r="H157" s="34" t="n">
        <v>46297</v>
      </c>
      <c r="I157" s="31" t="n"/>
      <c r="J157" s="15" t="n">
        <v>0</v>
      </c>
      <c r="K157" s="15">
        <f>IF(AND(AH!$M$5="Snapshot",'IPO Live'!$M$5="Snapshot"),"",IFERROR(BDP(TEXT(VALUE($A157),"0")&amp;" HK Equity","PX_LAST"),""))</f>
        <v/>
      </c>
      <c r="L157" s="15">
        <f>IF(AND(AH!$M$5="Snapshot",'IPO Live'!$M$5="Snapshot"),"",IFERROR(BDP(TEXT(VALUE($A157),"0")&amp;" HK Equity","CHG_PCT_1D")/100,""))</f>
        <v/>
      </c>
      <c r="M157" s="15">
        <f>IF(AND(AH!$M$5="Snapshot",'IPO Live'!$M$5="Snapshot"),"",IFERROR(BDP(TEXT(VALUE($A157),"0")&amp;" HK Equity","LAST_UPDATE_DT"),""))</f>
        <v/>
      </c>
      <c r="N157" s="15">
        <f>IF(AND(AH!$M$5="Snapshot",'IPO Live'!$M$5="Snapshot"),"",IFERROR(BDP(TEXT(VALUE($A157),"0")&amp;" HK Equity","LAST_UPDATE"),""))</f>
        <v/>
      </c>
      <c r="O157" s="15">
        <f>IF('IPO Live'!$M$5="Snapshot",IF(ISNUMBER(G157),G157,"unavailable"),IF(AND(ISNUMBER(K157),N(K157)&gt;0),K157,IF('IPO Live'!$M$5="Auto",IF(ISNUMBER(G157),G157,"unavailable"),"unavailable")))</f>
        <v/>
      </c>
      <c r="P157" s="15">
        <f>IF(AND('IPO Live'!$M$5&lt;&gt;"Snapshot",ISNUMBER(K157),N(K157)&gt;0),"Bloomberg",IF(AND('IPO Live'!$M$5&lt;&gt;"Bloomberg",ISNUMBER(G157)),"Snapshot","Unavailable"))</f>
        <v/>
      </c>
      <c r="Q157" s="33">
        <f>IF(AND(P157="Bloomberg",ISNUMBER(L157)),L157,"unavailable")</f>
        <v/>
      </c>
      <c r="R157" s="15">
        <f>IF(OR('IPO Live'!$B$5="All",'IPO Live'!$B$5=C157,AND('IPO Live'!$B$5="A/H only",J157&gt;0)),1,0)</f>
        <v/>
      </c>
      <c r="S157" s="15">
        <f>IF(R157=1,COUNTIF($R$5:R157,1),"")</f>
        <v/>
      </c>
      <c r="T157">
        <f>1</f>
        <v/>
      </c>
      <c r="U157">
        <f>IF($P157="Bloomberg",$M157,$H157)</f>
        <v/>
      </c>
      <c r="AW157">
        <f>IF(AND(J157&gt;0,OR(AH!$I$5="All",AH!$I$5="A/H only",AH!$I$5=C157)),1,0)</f>
        <v/>
      </c>
      <c r="AX157">
        <f>IF(AW157=1,COUNTIF($AW$5:AW157,1),"")</f>
        <v/>
      </c>
      <c r="AY157">
        <f>IF(AH!$M$5="Snapshot",IF(ISNUMBER(G157),G157,"unavailable"),IF(AND(ISNUMBER(K157),N(K157)&gt;0),K157,IF(AH!$M$5="Auto",IF(ISNUMBER(G157),G157,"unavailable"),"unavailable")))</f>
        <v/>
      </c>
      <c r="AZ157">
        <f>IF(AND(AH!$M$5&lt;&gt;"Snapshot",ISNUMBER(K157),N(K157)&gt;0),"Bloomberg",IF(AND(AH!$M$5&lt;&gt;"Bloomberg",ISNUMBER(G157)),"Snapshot","Unavailable"))</f>
        <v/>
      </c>
      <c r="BA157">
        <f>IF(AZ157="Bloomberg",M157,H157)</f>
        <v/>
      </c>
      <c r="BB157">
        <f>1</f>
        <v/>
      </c>
    </row>
    <row r="158">
      <c r="A158" s="31" t="inlineStr">
        <is>
          <t>6939</t>
        </is>
      </c>
      <c r="B158" s="15" t="inlineStr">
        <is>
          <t>MEGAIN</t>
        </is>
      </c>
      <c r="C158" s="15" t="inlineStr">
        <is>
          <t>Tech/AI</t>
        </is>
      </c>
      <c r="D158" s="15" t="inlineStr">
        <is>
          <t>Other / diversified semiconductors</t>
        </is>
      </c>
      <c r="E158" s="34" t="n">
        <v>44286</v>
      </c>
      <c r="F158" s="15" t="n">
        <v>1.26</v>
      </c>
      <c r="G158" s="15" t="n">
        <v>1.19</v>
      </c>
      <c r="H158" s="34" t="n">
        <v>46297</v>
      </c>
      <c r="I158" s="31" t="n"/>
      <c r="J158" s="15" t="n">
        <v>0</v>
      </c>
      <c r="K158" s="15">
        <f>IF(AND(AH!$M$5="Snapshot",'IPO Live'!$M$5="Snapshot"),"",IFERROR(BDP(TEXT(VALUE($A158),"0")&amp;" HK Equity","PX_LAST"),""))</f>
        <v/>
      </c>
      <c r="L158" s="15">
        <f>IF(AND(AH!$M$5="Snapshot",'IPO Live'!$M$5="Snapshot"),"",IFERROR(BDP(TEXT(VALUE($A158),"0")&amp;" HK Equity","CHG_PCT_1D")/100,""))</f>
        <v/>
      </c>
      <c r="M158" s="15">
        <f>IF(AND(AH!$M$5="Snapshot",'IPO Live'!$M$5="Snapshot"),"",IFERROR(BDP(TEXT(VALUE($A158),"0")&amp;" HK Equity","LAST_UPDATE_DT"),""))</f>
        <v/>
      </c>
      <c r="N158" s="15">
        <f>IF(AND(AH!$M$5="Snapshot",'IPO Live'!$M$5="Snapshot"),"",IFERROR(BDP(TEXT(VALUE($A158),"0")&amp;" HK Equity","LAST_UPDATE"),""))</f>
        <v/>
      </c>
      <c r="O158" s="15">
        <f>IF('IPO Live'!$M$5="Snapshot",IF(ISNUMBER(G158),G158,"unavailable"),IF(AND(ISNUMBER(K158),N(K158)&gt;0),K158,IF('IPO Live'!$M$5="Auto",IF(ISNUMBER(G158),G158,"unavailable"),"unavailable")))</f>
        <v/>
      </c>
      <c r="P158" s="15">
        <f>IF(AND('IPO Live'!$M$5&lt;&gt;"Snapshot",ISNUMBER(K158),N(K158)&gt;0),"Bloomberg",IF(AND('IPO Live'!$M$5&lt;&gt;"Bloomberg",ISNUMBER(G158)),"Snapshot","Unavailable"))</f>
        <v/>
      </c>
      <c r="Q158" s="33">
        <f>IF(AND(P158="Bloomberg",ISNUMBER(L158)),L158,"unavailable")</f>
        <v/>
      </c>
      <c r="R158" s="15">
        <f>IF(OR('IPO Live'!$B$5="All",'IPO Live'!$B$5=C158,AND('IPO Live'!$B$5="A/H only",J158&gt;0)),1,0)</f>
        <v/>
      </c>
      <c r="S158" s="15">
        <f>IF(R158=1,COUNTIF($R$5:R158,1),"")</f>
        <v/>
      </c>
      <c r="T158">
        <f>1</f>
        <v/>
      </c>
      <c r="U158">
        <f>IF($P158="Bloomberg",$M158,$H158)</f>
        <v/>
      </c>
      <c r="AW158">
        <f>IF(AND(J158&gt;0,OR(AH!$I$5="All",AH!$I$5="A/H only",AH!$I$5=C158)),1,0)</f>
        <v/>
      </c>
      <c r="AX158">
        <f>IF(AW158=1,COUNTIF($AW$5:AW158,1),"")</f>
        <v/>
      </c>
      <c r="AY158">
        <f>IF(AH!$M$5="Snapshot",IF(ISNUMBER(G158),G158,"unavailable"),IF(AND(ISNUMBER(K158),N(K158)&gt;0),K158,IF(AH!$M$5="Auto",IF(ISNUMBER(G158),G158,"unavailable"),"unavailable")))</f>
        <v/>
      </c>
      <c r="AZ158">
        <f>IF(AND(AH!$M$5&lt;&gt;"Snapshot",ISNUMBER(K158),N(K158)&gt;0),"Bloomberg",IF(AND(AH!$M$5&lt;&gt;"Bloomberg",ISNUMBER(G158)),"Snapshot","Unavailable"))</f>
        <v/>
      </c>
      <c r="BA158">
        <f>IF(AZ158="Bloomberg",M158,H158)</f>
        <v/>
      </c>
      <c r="BB158">
        <f>1</f>
        <v/>
      </c>
    </row>
    <row r="159">
      <c r="A159" s="31" t="inlineStr">
        <is>
          <t>6608</t>
        </is>
      </c>
      <c r="B159" s="15" t="inlineStr">
        <is>
          <t>BAIRONG-W</t>
        </is>
      </c>
      <c r="C159" s="15" t="inlineStr">
        <is>
          <t>Tech/AI</t>
        </is>
      </c>
      <c r="D159" s="15" t="inlineStr">
        <is>
          <t>Fintech platform</t>
        </is>
      </c>
      <c r="E159" s="34" t="n">
        <v>44286</v>
      </c>
      <c r="F159" s="15" t="n">
        <v>31.8</v>
      </c>
      <c r="G159" s="15" t="n">
        <v>5.075</v>
      </c>
      <c r="H159" s="34" t="n">
        <v>46297</v>
      </c>
      <c r="I159" s="31" t="n"/>
      <c r="J159" s="15" t="n">
        <v>0</v>
      </c>
      <c r="K159" s="15">
        <f>IF(AND(AH!$M$5="Snapshot",'IPO Live'!$M$5="Snapshot"),"",IFERROR(BDP(TEXT(VALUE($A159),"0")&amp;" HK Equity","PX_LAST"),""))</f>
        <v/>
      </c>
      <c r="L159" s="15">
        <f>IF(AND(AH!$M$5="Snapshot",'IPO Live'!$M$5="Snapshot"),"",IFERROR(BDP(TEXT(VALUE($A159),"0")&amp;" HK Equity","CHG_PCT_1D")/100,""))</f>
        <v/>
      </c>
      <c r="M159" s="15">
        <f>IF(AND(AH!$M$5="Snapshot",'IPO Live'!$M$5="Snapshot"),"",IFERROR(BDP(TEXT(VALUE($A159),"0")&amp;" HK Equity","LAST_UPDATE_DT"),""))</f>
        <v/>
      </c>
      <c r="N159" s="15">
        <f>IF(AND(AH!$M$5="Snapshot",'IPO Live'!$M$5="Snapshot"),"",IFERROR(BDP(TEXT(VALUE($A159),"0")&amp;" HK Equity","LAST_UPDATE"),""))</f>
        <v/>
      </c>
      <c r="O159" s="15">
        <f>IF('IPO Live'!$M$5="Snapshot",IF(ISNUMBER(G159),G159,"unavailable"),IF(AND(ISNUMBER(K159),N(K159)&gt;0),K159,IF('IPO Live'!$M$5="Auto",IF(ISNUMBER(G159),G159,"unavailable"),"unavailable")))</f>
        <v/>
      </c>
      <c r="P159" s="15">
        <f>IF(AND('IPO Live'!$M$5&lt;&gt;"Snapshot",ISNUMBER(K159),N(K159)&gt;0),"Bloomberg",IF(AND('IPO Live'!$M$5&lt;&gt;"Bloomberg",ISNUMBER(G159)),"Snapshot","Unavailable"))</f>
        <v/>
      </c>
      <c r="Q159" s="33">
        <f>IF(AND(P159="Bloomberg",ISNUMBER(L159)),L159,"unavailable")</f>
        <v/>
      </c>
      <c r="R159" s="15">
        <f>IF(OR('IPO Live'!$B$5="All",'IPO Live'!$B$5=C159,AND('IPO Live'!$B$5="A/H only",J159&gt;0)),1,0)</f>
        <v/>
      </c>
      <c r="S159" s="15">
        <f>IF(R159=1,COUNTIF($R$5:R159,1),"")</f>
        <v/>
      </c>
      <c r="T159">
        <f>1</f>
        <v/>
      </c>
      <c r="U159">
        <f>IF($P159="Bloomberg",$M159,$H159)</f>
        <v/>
      </c>
      <c r="AW159">
        <f>IF(AND(J159&gt;0,OR(AH!$I$5="All",AH!$I$5="A/H only",AH!$I$5=C159)),1,0)</f>
        <v/>
      </c>
      <c r="AX159">
        <f>IF(AW159=1,COUNTIF($AW$5:AW159,1),"")</f>
        <v/>
      </c>
      <c r="AY159">
        <f>IF(AH!$M$5="Snapshot",IF(ISNUMBER(G159),G159,"unavailable"),IF(AND(ISNUMBER(K159),N(K159)&gt;0),K159,IF(AH!$M$5="Auto",IF(ISNUMBER(G159),G159,"unavailable"),"unavailable")))</f>
        <v/>
      </c>
      <c r="AZ159">
        <f>IF(AND(AH!$M$5&lt;&gt;"Snapshot",ISNUMBER(K159),N(K159)&gt;0),"Bloomberg",IF(AND(AH!$M$5&lt;&gt;"Bloomberg",ISNUMBER(G159)),"Snapshot","Unavailable"))</f>
        <v/>
      </c>
      <c r="BA159">
        <f>IF(AZ159="Bloomberg",M159,H159)</f>
        <v/>
      </c>
      <c r="BB159">
        <f>1</f>
        <v/>
      </c>
    </row>
    <row r="160">
      <c r="A160" s="31" t="inlineStr">
        <is>
          <t>9626</t>
        </is>
      </c>
      <c r="B160" s="15" t="inlineStr">
        <is>
          <t>BILIBILI-SW</t>
        </is>
      </c>
      <c r="C160" s="15" t="inlineStr">
        <is>
          <t>Tech/AI</t>
        </is>
      </c>
      <c r="D160" s="15" t="inlineStr">
        <is>
          <t>Internet platform / e-commerce</t>
        </is>
      </c>
      <c r="E160" s="34" t="n">
        <v>44284</v>
      </c>
      <c r="F160" s="15" t="n">
        <v>808</v>
      </c>
      <c r="G160" s="15" t="n">
        <v>114</v>
      </c>
      <c r="H160" s="34" t="n">
        <v>46297</v>
      </c>
      <c r="I160" s="31" t="n"/>
      <c r="J160" s="15" t="n">
        <v>0</v>
      </c>
      <c r="K160" s="15">
        <f>IF(AND(AH!$M$5="Snapshot",'IPO Live'!$M$5="Snapshot"),"",IFERROR(BDP(TEXT(VALUE($A160),"0")&amp;" HK Equity","PX_LAST"),""))</f>
        <v/>
      </c>
      <c r="L160" s="15">
        <f>IF(AND(AH!$M$5="Snapshot",'IPO Live'!$M$5="Snapshot"),"",IFERROR(BDP(TEXT(VALUE($A160),"0")&amp;" HK Equity","CHG_PCT_1D")/100,""))</f>
        <v/>
      </c>
      <c r="M160" s="15">
        <f>IF(AND(AH!$M$5="Snapshot",'IPO Live'!$M$5="Snapshot"),"",IFERROR(BDP(TEXT(VALUE($A160),"0")&amp;" HK Equity","LAST_UPDATE_DT"),""))</f>
        <v/>
      </c>
      <c r="N160" s="15">
        <f>IF(AND(AH!$M$5="Snapshot",'IPO Live'!$M$5="Snapshot"),"",IFERROR(BDP(TEXT(VALUE($A160),"0")&amp;" HK Equity","LAST_UPDATE"),""))</f>
        <v/>
      </c>
      <c r="O160" s="15">
        <f>IF('IPO Live'!$M$5="Snapshot",IF(ISNUMBER(G160),G160,"unavailable"),IF(AND(ISNUMBER(K160),N(K160)&gt;0),K160,IF('IPO Live'!$M$5="Auto",IF(ISNUMBER(G160),G160,"unavailable"),"unavailable")))</f>
        <v/>
      </c>
      <c r="P160" s="15">
        <f>IF(AND('IPO Live'!$M$5&lt;&gt;"Snapshot",ISNUMBER(K160),N(K160)&gt;0),"Bloomberg",IF(AND('IPO Live'!$M$5&lt;&gt;"Bloomberg",ISNUMBER(G160)),"Snapshot","Unavailable"))</f>
        <v/>
      </c>
      <c r="Q160" s="33">
        <f>IF(AND(P160="Bloomberg",ISNUMBER(L160)),L160,"unavailable")</f>
        <v/>
      </c>
      <c r="R160" s="15">
        <f>IF(OR('IPO Live'!$B$5="All",'IPO Live'!$B$5=C160,AND('IPO Live'!$B$5="A/H only",J160&gt;0)),1,0)</f>
        <v/>
      </c>
      <c r="S160" s="15">
        <f>IF(R160=1,COUNTIF($R$5:R160,1),"")</f>
        <v/>
      </c>
      <c r="T160">
        <f>1</f>
        <v/>
      </c>
      <c r="U160">
        <f>IF($P160="Bloomberg",$M160,$H160)</f>
        <v/>
      </c>
      <c r="AW160">
        <f>IF(AND(J160&gt;0,OR(AH!$I$5="All",AH!$I$5="A/H only",AH!$I$5=C160)),1,0)</f>
        <v/>
      </c>
      <c r="AX160">
        <f>IF(AW160=1,COUNTIF($AW$5:AW160,1),"")</f>
        <v/>
      </c>
      <c r="AY160">
        <f>IF(AH!$M$5="Snapshot",IF(ISNUMBER(G160),G160,"unavailable"),IF(AND(ISNUMBER(K160),N(K160)&gt;0),K160,IF(AH!$M$5="Auto",IF(ISNUMBER(G160),G160,"unavailable"),"unavailable")))</f>
        <v/>
      </c>
      <c r="AZ160">
        <f>IF(AND(AH!$M$5&lt;&gt;"Snapshot",ISNUMBER(K160),N(K160)&gt;0),"Bloomberg",IF(AND(AH!$M$5&lt;&gt;"Bloomberg",ISNUMBER(G160)),"Snapshot","Unavailable"))</f>
        <v/>
      </c>
      <c r="BA160">
        <f>IF(AZ160="Bloomberg",M160,H160)</f>
        <v/>
      </c>
      <c r="BB160">
        <f>1</f>
        <v/>
      </c>
    </row>
    <row r="161">
      <c r="A161" s="31" t="inlineStr">
        <is>
          <t>9888</t>
        </is>
      </c>
      <c r="B161" s="15" t="inlineStr">
        <is>
          <t>BIDU-SW</t>
        </is>
      </c>
      <c r="C161" s="15" t="inlineStr">
        <is>
          <t>Tech/AI</t>
        </is>
      </c>
      <c r="D161" s="15" t="inlineStr">
        <is>
          <t>Internet platform / e-commerce</t>
        </is>
      </c>
      <c r="E161" s="34" t="n">
        <v>44278</v>
      </c>
      <c r="F161" s="15" t="n">
        <v>252</v>
      </c>
      <c r="G161" s="15" t="n">
        <v>83.2</v>
      </c>
      <c r="H161" s="34" t="n">
        <v>46297</v>
      </c>
      <c r="I161" s="31" t="n"/>
      <c r="J161" s="15" t="n">
        <v>0</v>
      </c>
      <c r="K161" s="15">
        <f>IF(AND(AH!$M$5="Snapshot",'IPO Live'!$M$5="Snapshot"),"",IFERROR(BDP(TEXT(VALUE($A161),"0")&amp;" HK Equity","PX_LAST"),""))</f>
        <v/>
      </c>
      <c r="L161" s="15">
        <f>IF(AND(AH!$M$5="Snapshot",'IPO Live'!$M$5="Snapshot"),"",IFERROR(BDP(TEXT(VALUE($A161),"0")&amp;" HK Equity","CHG_PCT_1D")/100,""))</f>
        <v/>
      </c>
      <c r="M161" s="15">
        <f>IF(AND(AH!$M$5="Snapshot",'IPO Live'!$M$5="Snapshot"),"",IFERROR(BDP(TEXT(VALUE($A161),"0")&amp;" HK Equity","LAST_UPDATE_DT"),""))</f>
        <v/>
      </c>
      <c r="N161" s="15">
        <f>IF(AND(AH!$M$5="Snapshot",'IPO Live'!$M$5="Snapshot"),"",IFERROR(BDP(TEXT(VALUE($A161),"0")&amp;" HK Equity","LAST_UPDATE"),""))</f>
        <v/>
      </c>
      <c r="O161" s="15">
        <f>IF('IPO Live'!$M$5="Snapshot",IF(ISNUMBER(G161),G161,"unavailable"),IF(AND(ISNUMBER(K161),N(K161)&gt;0),K161,IF('IPO Live'!$M$5="Auto",IF(ISNUMBER(G161),G161,"unavailable"),"unavailable")))</f>
        <v/>
      </c>
      <c r="P161" s="15">
        <f>IF(AND('IPO Live'!$M$5&lt;&gt;"Snapshot",ISNUMBER(K161),N(K161)&gt;0),"Bloomberg",IF(AND('IPO Live'!$M$5&lt;&gt;"Bloomberg",ISNUMBER(G161)),"Snapshot","Unavailable"))</f>
        <v/>
      </c>
      <c r="Q161" s="33">
        <f>IF(AND(P161="Bloomberg",ISNUMBER(L161)),L161,"unavailable")</f>
        <v/>
      </c>
      <c r="R161" s="15">
        <f>IF(OR('IPO Live'!$B$5="All",'IPO Live'!$B$5=C161,AND('IPO Live'!$B$5="A/H only",J161&gt;0)),1,0)</f>
        <v/>
      </c>
      <c r="S161" s="15">
        <f>IF(R161=1,COUNTIF($R$5:R161,1),"")</f>
        <v/>
      </c>
      <c r="T161">
        <f>1</f>
        <v/>
      </c>
      <c r="U161">
        <f>IF($P161="Bloomberg",$M161,$H161)</f>
        <v/>
      </c>
      <c r="AW161">
        <f>IF(AND(J161&gt;0,OR(AH!$I$5="All",AH!$I$5="A/H only",AH!$I$5=C161)),1,0)</f>
        <v/>
      </c>
      <c r="AX161">
        <f>IF(AW161=1,COUNTIF($AW$5:AW161,1),"")</f>
        <v/>
      </c>
      <c r="AY161">
        <f>IF(AH!$M$5="Snapshot",IF(ISNUMBER(G161),G161,"unavailable"),IF(AND(ISNUMBER(K161),N(K161)&gt;0),K161,IF(AH!$M$5="Auto",IF(ISNUMBER(G161),G161,"unavailable"),"unavailable")))</f>
        <v/>
      </c>
      <c r="AZ161">
        <f>IF(AND(AH!$M$5&lt;&gt;"Snapshot",ISNUMBER(K161),N(K161)&gt;0),"Bloomberg",IF(AND(AH!$M$5&lt;&gt;"Bloomberg",ISNUMBER(G161)),"Snapshot","Unavailable"))</f>
        <v/>
      </c>
      <c r="BA161">
        <f>IF(AZ161="Bloomberg",M161,H161)</f>
        <v/>
      </c>
      <c r="BB161">
        <f>1</f>
        <v/>
      </c>
    </row>
    <row r="162">
      <c r="A162" s="31" t="inlineStr">
        <is>
          <t>2518</t>
        </is>
      </c>
      <c r="B162" s="15" t="inlineStr">
        <is>
          <t>AUTOHOME-S</t>
        </is>
      </c>
      <c r="C162" s="15" t="inlineStr">
        <is>
          <t>Tech/AI</t>
        </is>
      </c>
      <c r="D162" s="15" t="inlineStr">
        <is>
          <t>Internet platform / e-commerce</t>
        </is>
      </c>
      <c r="E162" s="34" t="n">
        <v>44270</v>
      </c>
      <c r="F162" s="15" t="n">
        <v>176.3</v>
      </c>
      <c r="G162" s="15" t="n">
        <v>41.4</v>
      </c>
      <c r="H162" s="34" t="n">
        <v>46297</v>
      </c>
      <c r="I162" s="31" t="n"/>
      <c r="J162" s="15" t="n">
        <v>0</v>
      </c>
      <c r="K162" s="15">
        <f>IF(AND(AH!$M$5="Snapshot",'IPO Live'!$M$5="Snapshot"),"",IFERROR(BDP(TEXT(VALUE($A162),"0")&amp;" HK Equity","PX_LAST"),""))</f>
        <v/>
      </c>
      <c r="L162" s="15">
        <f>IF(AND(AH!$M$5="Snapshot",'IPO Live'!$M$5="Snapshot"),"",IFERROR(BDP(TEXT(VALUE($A162),"0")&amp;" HK Equity","CHG_PCT_1D")/100,""))</f>
        <v/>
      </c>
      <c r="M162" s="15">
        <f>IF(AND(AH!$M$5="Snapshot",'IPO Live'!$M$5="Snapshot"),"",IFERROR(BDP(TEXT(VALUE($A162),"0")&amp;" HK Equity","LAST_UPDATE_DT"),""))</f>
        <v/>
      </c>
      <c r="N162" s="15">
        <f>IF(AND(AH!$M$5="Snapshot",'IPO Live'!$M$5="Snapshot"),"",IFERROR(BDP(TEXT(VALUE($A162),"0")&amp;" HK Equity","LAST_UPDATE"),""))</f>
        <v/>
      </c>
      <c r="O162" s="15">
        <f>IF('IPO Live'!$M$5="Snapshot",IF(ISNUMBER(G162),G162,"unavailable"),IF(AND(ISNUMBER(K162),N(K162)&gt;0),K162,IF('IPO Live'!$M$5="Auto",IF(ISNUMBER(G162),G162,"unavailable"),"unavailable")))</f>
        <v/>
      </c>
      <c r="P162" s="15">
        <f>IF(AND('IPO Live'!$M$5&lt;&gt;"Snapshot",ISNUMBER(K162),N(K162)&gt;0),"Bloomberg",IF(AND('IPO Live'!$M$5&lt;&gt;"Bloomberg",ISNUMBER(G162)),"Snapshot","Unavailable"))</f>
        <v/>
      </c>
      <c r="Q162" s="33">
        <f>IF(AND(P162="Bloomberg",ISNUMBER(L162)),L162,"unavailable")</f>
        <v/>
      </c>
      <c r="R162" s="15">
        <f>IF(OR('IPO Live'!$B$5="All",'IPO Live'!$B$5=C162,AND('IPO Live'!$B$5="A/H only",J162&gt;0)),1,0)</f>
        <v/>
      </c>
      <c r="S162" s="15">
        <f>IF(R162=1,COUNTIF($R$5:R162,1),"")</f>
        <v/>
      </c>
      <c r="T162">
        <f>1</f>
        <v/>
      </c>
      <c r="U162">
        <f>IF($P162="Bloomberg",$M162,$H162)</f>
        <v/>
      </c>
      <c r="AW162">
        <f>IF(AND(J162&gt;0,OR(AH!$I$5="All",AH!$I$5="A/H only",AH!$I$5=C162)),1,0)</f>
        <v/>
      </c>
      <c r="AX162">
        <f>IF(AW162=1,COUNTIF($AW$5:AW162,1),"")</f>
        <v/>
      </c>
      <c r="AY162">
        <f>IF(AH!$M$5="Snapshot",IF(ISNUMBER(G162),G162,"unavailable"),IF(AND(ISNUMBER(K162),N(K162)&gt;0),K162,IF(AH!$M$5="Auto",IF(ISNUMBER(G162),G162,"unavailable"),"unavailable")))</f>
        <v/>
      </c>
      <c r="AZ162">
        <f>IF(AND(AH!$M$5&lt;&gt;"Snapshot",ISNUMBER(K162),N(K162)&gt;0),"Bloomberg",IF(AND(AH!$M$5&lt;&gt;"Bloomberg",ISNUMBER(G162)),"Snapshot","Unavailable"))</f>
        <v/>
      </c>
      <c r="BA162">
        <f>IF(AZ162="Bloomberg",M162,H162)</f>
        <v/>
      </c>
      <c r="BB162">
        <f>1</f>
        <v/>
      </c>
    </row>
    <row r="163">
      <c r="A163" s="31" t="inlineStr">
        <is>
          <t>1473</t>
        </is>
      </c>
      <c r="B163" s="15" t="inlineStr">
        <is>
          <t>PANGAEA CONNECT</t>
        </is>
      </c>
      <c r="C163" s="15" t="inlineStr">
        <is>
          <t>Tech/AI</t>
        </is>
      </c>
      <c r="D163" s="15" t="inlineStr">
        <is>
          <t>SaaS / enterprise software</t>
        </is>
      </c>
      <c r="E163" s="34" t="n">
        <v>44246</v>
      </c>
      <c r="F163" s="15" t="n">
        <v>0.5600000000000001</v>
      </c>
      <c r="G163" s="15" t="n">
        <v>1.49</v>
      </c>
      <c r="H163" s="34" t="n">
        <v>46297</v>
      </c>
      <c r="I163" s="31" t="n"/>
      <c r="J163" s="15" t="n">
        <v>0</v>
      </c>
      <c r="K163" s="15">
        <f>IF(AND(AH!$M$5="Snapshot",'IPO Live'!$M$5="Snapshot"),"",IFERROR(BDP(TEXT(VALUE($A163),"0")&amp;" HK Equity","PX_LAST"),""))</f>
        <v/>
      </c>
      <c r="L163" s="15">
        <f>IF(AND(AH!$M$5="Snapshot",'IPO Live'!$M$5="Snapshot"),"",IFERROR(BDP(TEXT(VALUE($A163),"0")&amp;" HK Equity","CHG_PCT_1D")/100,""))</f>
        <v/>
      </c>
      <c r="M163" s="15">
        <f>IF(AND(AH!$M$5="Snapshot",'IPO Live'!$M$5="Snapshot"),"",IFERROR(BDP(TEXT(VALUE($A163),"0")&amp;" HK Equity","LAST_UPDATE_DT"),""))</f>
        <v/>
      </c>
      <c r="N163" s="15">
        <f>IF(AND(AH!$M$5="Snapshot",'IPO Live'!$M$5="Snapshot"),"",IFERROR(BDP(TEXT(VALUE($A163),"0")&amp;" HK Equity","LAST_UPDATE"),""))</f>
        <v/>
      </c>
      <c r="O163" s="15">
        <f>IF('IPO Live'!$M$5="Snapshot",IF(ISNUMBER(G163),G163,"unavailable"),IF(AND(ISNUMBER(K163),N(K163)&gt;0),K163,IF('IPO Live'!$M$5="Auto",IF(ISNUMBER(G163),G163,"unavailable"),"unavailable")))</f>
        <v/>
      </c>
      <c r="P163" s="15">
        <f>IF(AND('IPO Live'!$M$5&lt;&gt;"Snapshot",ISNUMBER(K163),N(K163)&gt;0),"Bloomberg",IF(AND('IPO Live'!$M$5&lt;&gt;"Bloomberg",ISNUMBER(G163)),"Snapshot","Unavailable"))</f>
        <v/>
      </c>
      <c r="Q163" s="33">
        <f>IF(AND(P163="Bloomberg",ISNUMBER(L163)),L163,"unavailable")</f>
        <v/>
      </c>
      <c r="R163" s="15">
        <f>IF(OR('IPO Live'!$B$5="All",'IPO Live'!$B$5=C163,AND('IPO Live'!$B$5="A/H only",J163&gt;0)),1,0)</f>
        <v/>
      </c>
      <c r="S163" s="15">
        <f>IF(R163=1,COUNTIF($R$5:R163,1),"")</f>
        <v/>
      </c>
      <c r="T163">
        <f>1</f>
        <v/>
      </c>
      <c r="U163">
        <f>IF($P163="Bloomberg",$M163,$H163)</f>
        <v/>
      </c>
      <c r="AW163">
        <f>IF(AND(J163&gt;0,OR(AH!$I$5="All",AH!$I$5="A/H only",AH!$I$5=C163)),1,0)</f>
        <v/>
      </c>
      <c r="AX163">
        <f>IF(AW163=1,COUNTIF($AW$5:AW163,1),"")</f>
        <v/>
      </c>
      <c r="AY163">
        <f>IF(AH!$M$5="Snapshot",IF(ISNUMBER(G163),G163,"unavailable"),IF(AND(ISNUMBER(K163),N(K163)&gt;0),K163,IF(AH!$M$5="Auto",IF(ISNUMBER(G163),G163,"unavailable"),"unavailable")))</f>
        <v/>
      </c>
      <c r="AZ163">
        <f>IF(AND(AH!$M$5&lt;&gt;"Snapshot",ISNUMBER(K163),N(K163)&gt;0),"Bloomberg",IF(AND(AH!$M$5&lt;&gt;"Bloomberg",ISNUMBER(G163)),"Snapshot","Unavailable"))</f>
        <v/>
      </c>
      <c r="BA163">
        <f>IF(AZ163="Bloomberg",M163,H163)</f>
        <v/>
      </c>
      <c r="BB163">
        <f>1</f>
        <v/>
      </c>
    </row>
    <row r="164">
      <c r="A164" s="31" t="inlineStr">
        <is>
          <t>1024</t>
        </is>
      </c>
      <c r="B164" s="15" t="inlineStr">
        <is>
          <t>KUAISHOU-W</t>
        </is>
      </c>
      <c r="C164" s="15" t="inlineStr">
        <is>
          <t>Tech/AI</t>
        </is>
      </c>
      <c r="D164" s="15" t="inlineStr">
        <is>
          <t>Internet platform / e-commerce</t>
        </is>
      </c>
      <c r="E164" s="34" t="n">
        <v>44232</v>
      </c>
      <c r="F164" s="15" t="n">
        <v>115</v>
      </c>
      <c r="G164" s="15" t="n">
        <v>29.58</v>
      </c>
      <c r="H164" s="34" t="n">
        <v>46297</v>
      </c>
      <c r="I164" s="31" t="n"/>
      <c r="J164" s="15" t="n">
        <v>0</v>
      </c>
      <c r="K164" s="15">
        <f>IF(AND(AH!$M$5="Snapshot",'IPO Live'!$M$5="Snapshot"),"",IFERROR(BDP(TEXT(VALUE($A164),"0")&amp;" HK Equity","PX_LAST"),""))</f>
        <v/>
      </c>
      <c r="L164" s="15">
        <f>IF(AND(AH!$M$5="Snapshot",'IPO Live'!$M$5="Snapshot"),"",IFERROR(BDP(TEXT(VALUE($A164),"0")&amp;" HK Equity","CHG_PCT_1D")/100,""))</f>
        <v/>
      </c>
      <c r="M164" s="15">
        <f>IF(AND(AH!$M$5="Snapshot",'IPO Live'!$M$5="Snapshot"),"",IFERROR(BDP(TEXT(VALUE($A164),"0")&amp;" HK Equity","LAST_UPDATE_DT"),""))</f>
        <v/>
      </c>
      <c r="N164" s="15">
        <f>IF(AND(AH!$M$5="Snapshot",'IPO Live'!$M$5="Snapshot"),"",IFERROR(BDP(TEXT(VALUE($A164),"0")&amp;" HK Equity","LAST_UPDATE"),""))</f>
        <v/>
      </c>
      <c r="O164" s="15">
        <f>IF('IPO Live'!$M$5="Snapshot",IF(ISNUMBER(G164),G164,"unavailable"),IF(AND(ISNUMBER(K164),N(K164)&gt;0),K164,IF('IPO Live'!$M$5="Auto",IF(ISNUMBER(G164),G164,"unavailable"),"unavailable")))</f>
        <v/>
      </c>
      <c r="P164" s="15">
        <f>IF(AND('IPO Live'!$M$5&lt;&gt;"Snapshot",ISNUMBER(K164),N(K164)&gt;0),"Bloomberg",IF(AND('IPO Live'!$M$5&lt;&gt;"Bloomberg",ISNUMBER(G164)),"Snapshot","Unavailable"))</f>
        <v/>
      </c>
      <c r="Q164" s="33">
        <f>IF(AND(P164="Bloomberg",ISNUMBER(L164)),L164,"unavailable")</f>
        <v/>
      </c>
      <c r="R164" s="15">
        <f>IF(OR('IPO Live'!$B$5="All",'IPO Live'!$B$5=C164,AND('IPO Live'!$B$5="A/H only",J164&gt;0)),1,0)</f>
        <v/>
      </c>
      <c r="S164" s="15">
        <f>IF(R164=1,COUNTIF($R$5:R164,1),"")</f>
        <v/>
      </c>
      <c r="T164">
        <f>1</f>
        <v/>
      </c>
      <c r="U164">
        <f>IF($P164="Bloomberg",$M164,$H164)</f>
        <v/>
      </c>
      <c r="AW164">
        <f>IF(AND(J164&gt;0,OR(AH!$I$5="All",AH!$I$5="A/H only",AH!$I$5=C164)),1,0)</f>
        <v/>
      </c>
      <c r="AX164">
        <f>IF(AW164=1,COUNTIF($AW$5:AW164,1),"")</f>
        <v/>
      </c>
      <c r="AY164">
        <f>IF(AH!$M$5="Snapshot",IF(ISNUMBER(G164),G164,"unavailable"),IF(AND(ISNUMBER(K164),N(K164)&gt;0),K164,IF(AH!$M$5="Auto",IF(ISNUMBER(G164),G164,"unavailable"),"unavailable")))</f>
        <v/>
      </c>
      <c r="AZ164">
        <f>IF(AND(AH!$M$5&lt;&gt;"Snapshot",ISNUMBER(K164),N(K164)&gt;0),"Bloomberg",IF(AND(AH!$M$5&lt;&gt;"Bloomberg",ISNUMBER(G164)),"Snapshot","Unavailable"))</f>
        <v/>
      </c>
      <c r="BA164">
        <f>IF(AZ164="Bloomberg",M164,H164)</f>
        <v/>
      </c>
      <c r="BB164">
        <f>1</f>
        <v/>
      </c>
    </row>
    <row r="165">
      <c r="A165" s="31" t="inlineStr">
        <is>
          <t>2041</t>
        </is>
      </c>
      <c r="B165" s="15" t="inlineStr">
        <is>
          <t>MEDCAPTAIN</t>
        </is>
      </c>
      <c r="C165" s="15" t="inlineStr">
        <is>
          <t>Healthcare</t>
        </is>
      </c>
      <c r="D165" s="15" t="inlineStr">
        <is>
          <t>Medical devices</t>
        </is>
      </c>
      <c r="E165" s="34" t="n">
        <v>46272</v>
      </c>
      <c r="F165" s="15" t="n">
        <v>15.42</v>
      </c>
      <c r="G165" s="15" t="n">
        <v>7.04</v>
      </c>
      <c r="H165" s="34" t="n">
        <v>46297</v>
      </c>
      <c r="I165" s="31" t="n"/>
      <c r="J165" s="15" t="n">
        <v>0</v>
      </c>
      <c r="K165" s="15">
        <f>IF(AND(AH!$M$5="Snapshot",'IPO Live'!$M$5="Snapshot"),"",IFERROR(BDP(TEXT(VALUE($A165),"0")&amp;" HK Equity","PX_LAST"),""))</f>
        <v/>
      </c>
      <c r="L165" s="15">
        <f>IF(AND(AH!$M$5="Snapshot",'IPO Live'!$M$5="Snapshot"),"",IFERROR(BDP(TEXT(VALUE($A165),"0")&amp;" HK Equity","CHG_PCT_1D")/100,""))</f>
        <v/>
      </c>
      <c r="M165" s="15">
        <f>IF(AND(AH!$M$5="Snapshot",'IPO Live'!$M$5="Snapshot"),"",IFERROR(BDP(TEXT(VALUE($A165),"0")&amp;" HK Equity","LAST_UPDATE_DT"),""))</f>
        <v/>
      </c>
      <c r="N165" s="15">
        <f>IF(AND(AH!$M$5="Snapshot",'IPO Live'!$M$5="Snapshot"),"",IFERROR(BDP(TEXT(VALUE($A165),"0")&amp;" HK Equity","LAST_UPDATE"),""))</f>
        <v/>
      </c>
      <c r="O165" s="15">
        <f>IF('IPO Live'!$M$5="Snapshot",IF(ISNUMBER(G165),G165,"unavailable"),IF(AND(ISNUMBER(K165),N(K165)&gt;0),K165,IF('IPO Live'!$M$5="Auto",IF(ISNUMBER(G165),G165,"unavailable"),"unavailable")))</f>
        <v/>
      </c>
      <c r="P165" s="15">
        <f>IF(AND('IPO Live'!$M$5&lt;&gt;"Snapshot",ISNUMBER(K165),N(K165)&gt;0),"Bloomberg",IF(AND('IPO Live'!$M$5&lt;&gt;"Bloomberg",ISNUMBER(G165)),"Snapshot","Unavailable"))</f>
        <v/>
      </c>
      <c r="Q165" s="33">
        <f>IF(AND(P165="Bloomberg",ISNUMBER(L165)),L165,"unavailable")</f>
        <v/>
      </c>
      <c r="R165" s="15">
        <f>IF(OR('IPO Live'!$B$5="All",'IPO Live'!$B$5=C165,AND('IPO Live'!$B$5="A/H only",J165&gt;0)),1,0)</f>
        <v/>
      </c>
      <c r="S165" s="15">
        <f>IF(R165=1,COUNTIF($R$5:R165,1),"")</f>
        <v/>
      </c>
      <c r="T165">
        <f>1</f>
        <v/>
      </c>
      <c r="U165">
        <f>IF($P165="Bloomberg",$M165,$H165)</f>
        <v/>
      </c>
      <c r="AW165">
        <f>IF(AND(J165&gt;0,OR(AH!$I$5="All",AH!$I$5="A/H only",AH!$I$5=C165)),1,0)</f>
        <v/>
      </c>
      <c r="AX165">
        <f>IF(AW165=1,COUNTIF($AW$5:AW165,1),"")</f>
        <v/>
      </c>
      <c r="AY165">
        <f>IF(AH!$M$5="Snapshot",IF(ISNUMBER(G165),G165,"unavailable"),IF(AND(ISNUMBER(K165),N(K165)&gt;0),K165,IF(AH!$M$5="Auto",IF(ISNUMBER(G165),G165,"unavailable"),"unavailable")))</f>
        <v/>
      </c>
      <c r="AZ165">
        <f>IF(AND(AH!$M$5&lt;&gt;"Snapshot",ISNUMBER(K165),N(K165)&gt;0),"Bloomberg",IF(AND(AH!$M$5&lt;&gt;"Bloomberg",ISNUMBER(G165)),"Snapshot","Unavailable"))</f>
        <v/>
      </c>
      <c r="BA165">
        <f>IF(AZ165="Bloomberg",M165,H165)</f>
        <v/>
      </c>
      <c r="BB165">
        <f>1</f>
        <v/>
      </c>
    </row>
    <row r="166">
      <c r="A166" s="31" t="inlineStr">
        <is>
          <t>2667</t>
        </is>
      </c>
      <c r="B166" s="15" t="inlineStr">
        <is>
          <t>TONGRENTANGCARE</t>
        </is>
      </c>
      <c r="C166" s="15" t="inlineStr">
        <is>
          <t>Healthcare</t>
        </is>
      </c>
      <c r="D166" s="15" t="inlineStr">
        <is>
          <t>TCM</t>
        </is>
      </c>
      <c r="E166" s="34" t="n">
        <v>46210</v>
      </c>
      <c r="F166" s="15" t="n">
        <v>5.5</v>
      </c>
      <c r="G166" s="15" t="n">
        <v>2.23</v>
      </c>
      <c r="H166" s="34" t="n">
        <v>46297</v>
      </c>
      <c r="I166" s="31" t="n"/>
      <c r="J166" s="15" t="n">
        <v>0</v>
      </c>
      <c r="K166" s="15">
        <f>IF(AND(AH!$M$5="Snapshot",'IPO Live'!$M$5="Snapshot"),"",IFERROR(BDP(TEXT(VALUE($A166),"0")&amp;" HK Equity","PX_LAST"),""))</f>
        <v/>
      </c>
      <c r="L166" s="15">
        <f>IF(AND(AH!$M$5="Snapshot",'IPO Live'!$M$5="Snapshot"),"",IFERROR(BDP(TEXT(VALUE($A166),"0")&amp;" HK Equity","CHG_PCT_1D")/100,""))</f>
        <v/>
      </c>
      <c r="M166" s="15">
        <f>IF(AND(AH!$M$5="Snapshot",'IPO Live'!$M$5="Snapshot"),"",IFERROR(BDP(TEXT(VALUE($A166),"0")&amp;" HK Equity","LAST_UPDATE_DT"),""))</f>
        <v/>
      </c>
      <c r="N166" s="15">
        <f>IF(AND(AH!$M$5="Snapshot",'IPO Live'!$M$5="Snapshot"),"",IFERROR(BDP(TEXT(VALUE($A166),"0")&amp;" HK Equity","LAST_UPDATE"),""))</f>
        <v/>
      </c>
      <c r="O166" s="15">
        <f>IF('IPO Live'!$M$5="Snapshot",IF(ISNUMBER(G166),G166,"unavailable"),IF(AND(ISNUMBER(K166),N(K166)&gt;0),K166,IF('IPO Live'!$M$5="Auto",IF(ISNUMBER(G166),G166,"unavailable"),"unavailable")))</f>
        <v/>
      </c>
      <c r="P166" s="15">
        <f>IF(AND('IPO Live'!$M$5&lt;&gt;"Snapshot",ISNUMBER(K166),N(K166)&gt;0),"Bloomberg",IF(AND('IPO Live'!$M$5&lt;&gt;"Bloomberg",ISNUMBER(G166)),"Snapshot","Unavailable"))</f>
        <v/>
      </c>
      <c r="Q166" s="33">
        <f>IF(AND(P166="Bloomberg",ISNUMBER(L166)),L166,"unavailable")</f>
        <v/>
      </c>
      <c r="R166" s="15">
        <f>IF(OR('IPO Live'!$B$5="All",'IPO Live'!$B$5=C166,AND('IPO Live'!$B$5="A/H only",J166&gt;0)),1,0)</f>
        <v/>
      </c>
      <c r="S166" s="15">
        <f>IF(R166=1,COUNTIF($R$5:R166,1),"")</f>
        <v/>
      </c>
      <c r="T166">
        <f>1</f>
        <v/>
      </c>
      <c r="U166">
        <f>IF($P166="Bloomberg",$M166,$H166)</f>
        <v/>
      </c>
      <c r="AW166">
        <f>IF(AND(J166&gt;0,OR(AH!$I$5="All",AH!$I$5="A/H only",AH!$I$5=C166)),1,0)</f>
        <v/>
      </c>
      <c r="AX166">
        <f>IF(AW166=1,COUNTIF($AW$5:AW166,1),"")</f>
        <v/>
      </c>
      <c r="AY166">
        <f>IF(AH!$M$5="Snapshot",IF(ISNUMBER(G166),G166,"unavailable"),IF(AND(ISNUMBER(K166),N(K166)&gt;0),K166,IF(AH!$M$5="Auto",IF(ISNUMBER(G166),G166,"unavailable"),"unavailable")))</f>
        <v/>
      </c>
      <c r="AZ166">
        <f>IF(AND(AH!$M$5&lt;&gt;"Snapshot",ISNUMBER(K166),N(K166)&gt;0),"Bloomberg",IF(AND(AH!$M$5&lt;&gt;"Bloomberg",ISNUMBER(G166)),"Snapshot","Unavailable"))</f>
        <v/>
      </c>
      <c r="BA166">
        <f>IF(AZ166="Bloomberg",M166,H166)</f>
        <v/>
      </c>
      <c r="BB166">
        <f>1</f>
        <v/>
      </c>
    </row>
    <row r="167">
      <c r="A167" s="31" t="inlineStr">
        <is>
          <t>2697</t>
        </is>
      </c>
      <c r="B167" s="15" t="inlineStr">
        <is>
          <t>TH MEDICAL-B</t>
        </is>
      </c>
      <c r="C167" s="15" t="inlineStr">
        <is>
          <t>Healthcare</t>
        </is>
      </c>
      <c r="D167" s="15" t="inlineStr">
        <is>
          <t>Medical devices</t>
        </is>
      </c>
      <c r="E167" s="34" t="n">
        <v>46203</v>
      </c>
      <c r="F167" s="15" t="n">
        <v>126.2</v>
      </c>
      <c r="G167" s="15" t="n">
        <v>279.6</v>
      </c>
      <c r="H167" s="34" t="n">
        <v>46297</v>
      </c>
      <c r="I167" s="31" t="n"/>
      <c r="J167" s="15" t="n">
        <v>0</v>
      </c>
      <c r="K167" s="15">
        <f>IF(AND(AH!$M$5="Snapshot",'IPO Live'!$M$5="Snapshot"),"",IFERROR(BDP(TEXT(VALUE($A167),"0")&amp;" HK Equity","PX_LAST"),""))</f>
        <v/>
      </c>
      <c r="L167" s="15">
        <f>IF(AND(AH!$M$5="Snapshot",'IPO Live'!$M$5="Snapshot"),"",IFERROR(BDP(TEXT(VALUE($A167),"0")&amp;" HK Equity","CHG_PCT_1D")/100,""))</f>
        <v/>
      </c>
      <c r="M167" s="15">
        <f>IF(AND(AH!$M$5="Snapshot",'IPO Live'!$M$5="Snapshot"),"",IFERROR(BDP(TEXT(VALUE($A167),"0")&amp;" HK Equity","LAST_UPDATE_DT"),""))</f>
        <v/>
      </c>
      <c r="N167" s="15">
        <f>IF(AND(AH!$M$5="Snapshot",'IPO Live'!$M$5="Snapshot"),"",IFERROR(BDP(TEXT(VALUE($A167),"0")&amp;" HK Equity","LAST_UPDATE"),""))</f>
        <v/>
      </c>
      <c r="O167" s="15">
        <f>IF('IPO Live'!$M$5="Snapshot",IF(ISNUMBER(G167),G167,"unavailable"),IF(AND(ISNUMBER(K167),N(K167)&gt;0),K167,IF('IPO Live'!$M$5="Auto",IF(ISNUMBER(G167),G167,"unavailable"),"unavailable")))</f>
        <v/>
      </c>
      <c r="P167" s="15">
        <f>IF(AND('IPO Live'!$M$5&lt;&gt;"Snapshot",ISNUMBER(K167),N(K167)&gt;0),"Bloomberg",IF(AND('IPO Live'!$M$5&lt;&gt;"Bloomberg",ISNUMBER(G167)),"Snapshot","Unavailable"))</f>
        <v/>
      </c>
      <c r="Q167" s="33">
        <f>IF(AND(P167="Bloomberg",ISNUMBER(L167)),L167,"unavailable")</f>
        <v/>
      </c>
      <c r="R167" s="15">
        <f>IF(OR('IPO Live'!$B$5="All",'IPO Live'!$B$5=C167,AND('IPO Live'!$B$5="A/H only",J167&gt;0)),1,0)</f>
        <v/>
      </c>
      <c r="S167" s="15">
        <f>IF(R167=1,COUNTIF($R$5:R167,1),"")</f>
        <v/>
      </c>
      <c r="T167">
        <f>1</f>
        <v/>
      </c>
      <c r="U167">
        <f>IF($P167="Bloomberg",$M167,$H167)</f>
        <v/>
      </c>
      <c r="AW167">
        <f>IF(AND(J167&gt;0,OR(AH!$I$5="All",AH!$I$5="A/H only",AH!$I$5=C167)),1,0)</f>
        <v/>
      </c>
      <c r="AX167">
        <f>IF(AW167=1,COUNTIF($AW$5:AW167,1),"")</f>
        <v/>
      </c>
      <c r="AY167">
        <f>IF(AH!$M$5="Snapshot",IF(ISNUMBER(G167),G167,"unavailable"),IF(AND(ISNUMBER(K167),N(K167)&gt;0),K167,IF(AH!$M$5="Auto",IF(ISNUMBER(G167),G167,"unavailable"),"unavailable")))</f>
        <v/>
      </c>
      <c r="AZ167">
        <f>IF(AND(AH!$M$5&lt;&gt;"Snapshot",ISNUMBER(K167),N(K167)&gt;0),"Bloomberg",IF(AND(AH!$M$5&lt;&gt;"Bloomberg",ISNUMBER(G167)),"Snapshot","Unavailable"))</f>
        <v/>
      </c>
      <c r="BA167">
        <f>IF(AZ167="Bloomberg",M167,H167)</f>
        <v/>
      </c>
      <c r="BB167">
        <f>1</f>
        <v/>
      </c>
    </row>
    <row r="168">
      <c r="A168" s="31" t="inlineStr">
        <is>
          <t>6915</t>
        </is>
      </c>
      <c r="B168" s="15" t="inlineStr">
        <is>
          <t>JIANGXI BIO</t>
        </is>
      </c>
      <c r="C168" s="15" t="inlineStr">
        <is>
          <t>Healthcare</t>
        </is>
      </c>
      <c r="D168" s="15" t="inlineStr">
        <is>
          <t>Biopharma commercial</t>
        </is>
      </c>
      <c r="E168" s="34" t="n">
        <v>46203</v>
      </c>
      <c r="F168" s="15" t="n">
        <v>11.2</v>
      </c>
      <c r="G168" s="15" t="n">
        <v>11.3</v>
      </c>
      <c r="H168" s="34" t="n">
        <v>46297</v>
      </c>
      <c r="I168" s="31" t="n"/>
      <c r="J168" s="15" t="n">
        <v>0</v>
      </c>
      <c r="K168" s="15">
        <f>IF(AND(AH!$M$5="Snapshot",'IPO Live'!$M$5="Snapshot"),"",IFERROR(BDP(TEXT(VALUE($A168),"0")&amp;" HK Equity","PX_LAST"),""))</f>
        <v/>
      </c>
      <c r="L168" s="15">
        <f>IF(AND(AH!$M$5="Snapshot",'IPO Live'!$M$5="Snapshot"),"",IFERROR(BDP(TEXT(VALUE($A168),"0")&amp;" HK Equity","CHG_PCT_1D")/100,""))</f>
        <v/>
      </c>
      <c r="M168" s="15">
        <f>IF(AND(AH!$M$5="Snapshot",'IPO Live'!$M$5="Snapshot"),"",IFERROR(BDP(TEXT(VALUE($A168),"0")&amp;" HK Equity","LAST_UPDATE_DT"),""))</f>
        <v/>
      </c>
      <c r="N168" s="15">
        <f>IF(AND(AH!$M$5="Snapshot",'IPO Live'!$M$5="Snapshot"),"",IFERROR(BDP(TEXT(VALUE($A168),"0")&amp;" HK Equity","LAST_UPDATE"),""))</f>
        <v/>
      </c>
      <c r="O168" s="15">
        <f>IF('IPO Live'!$M$5="Snapshot",IF(ISNUMBER(G168),G168,"unavailable"),IF(AND(ISNUMBER(K168),N(K168)&gt;0),K168,IF('IPO Live'!$M$5="Auto",IF(ISNUMBER(G168),G168,"unavailable"),"unavailable")))</f>
        <v/>
      </c>
      <c r="P168" s="15">
        <f>IF(AND('IPO Live'!$M$5&lt;&gt;"Snapshot",ISNUMBER(K168),N(K168)&gt;0),"Bloomberg",IF(AND('IPO Live'!$M$5&lt;&gt;"Bloomberg",ISNUMBER(G168)),"Snapshot","Unavailable"))</f>
        <v/>
      </c>
      <c r="Q168" s="33">
        <f>IF(AND(P168="Bloomberg",ISNUMBER(L168)),L168,"unavailable")</f>
        <v/>
      </c>
      <c r="R168" s="15">
        <f>IF(OR('IPO Live'!$B$5="All",'IPO Live'!$B$5=C168,AND('IPO Live'!$B$5="A/H only",J168&gt;0)),1,0)</f>
        <v/>
      </c>
      <c r="S168" s="15">
        <f>IF(R168=1,COUNTIF($R$5:R168,1),"")</f>
        <v/>
      </c>
      <c r="T168">
        <f>1</f>
        <v/>
      </c>
      <c r="U168">
        <f>IF($P168="Bloomberg",$M168,$H168)</f>
        <v/>
      </c>
      <c r="AW168">
        <f>IF(AND(J168&gt;0,OR(AH!$I$5="All",AH!$I$5="A/H only",AH!$I$5=C168)),1,0)</f>
        <v/>
      </c>
      <c r="AX168">
        <f>IF(AW168=1,COUNTIF($AW$5:AW168,1),"")</f>
        <v/>
      </c>
      <c r="AY168">
        <f>IF(AH!$M$5="Snapshot",IF(ISNUMBER(G168),G168,"unavailable"),IF(AND(ISNUMBER(K168),N(K168)&gt;0),K168,IF(AH!$M$5="Auto",IF(ISNUMBER(G168),G168,"unavailable"),"unavailable")))</f>
        <v/>
      </c>
      <c r="AZ168">
        <f>IF(AND(AH!$M$5&lt;&gt;"Snapshot",ISNUMBER(K168),N(K168)&gt;0),"Bloomberg",IF(AND(AH!$M$5&lt;&gt;"Bloomberg",ISNUMBER(G168)),"Snapshot","Unavailable"))</f>
        <v/>
      </c>
      <c r="BA168">
        <f>IF(AZ168="Bloomberg",M168,H168)</f>
        <v/>
      </c>
      <c r="BB168">
        <f>1</f>
        <v/>
      </c>
    </row>
    <row r="169">
      <c r="A169" s="31" t="inlineStr">
        <is>
          <t>9637</t>
        </is>
      </c>
      <c r="B169" s="15" t="inlineStr">
        <is>
          <t>ALEBUND-B</t>
        </is>
      </c>
      <c r="C169" s="15" t="inlineStr">
        <is>
          <t>Healthcare</t>
        </is>
      </c>
      <c r="D169" s="15" t="inlineStr">
        <is>
          <t>Biotech pre-revenue (18A)</t>
        </is>
      </c>
      <c r="E169" s="34" t="n">
        <v>46202</v>
      </c>
      <c r="F169" s="15" t="n">
        <v>22.6</v>
      </c>
      <c r="G169" s="15" t="n">
        <v>25.4</v>
      </c>
      <c r="H169" s="34" t="n">
        <v>46297</v>
      </c>
      <c r="I169" s="31" t="n"/>
      <c r="J169" s="15" t="n">
        <v>0</v>
      </c>
      <c r="K169" s="15">
        <f>IF(AND(AH!$M$5="Snapshot",'IPO Live'!$M$5="Snapshot"),"",IFERROR(BDP(TEXT(VALUE($A169),"0")&amp;" HK Equity","PX_LAST"),""))</f>
        <v/>
      </c>
      <c r="L169" s="15">
        <f>IF(AND(AH!$M$5="Snapshot",'IPO Live'!$M$5="Snapshot"),"",IFERROR(BDP(TEXT(VALUE($A169),"0")&amp;" HK Equity","CHG_PCT_1D")/100,""))</f>
        <v/>
      </c>
      <c r="M169" s="15">
        <f>IF(AND(AH!$M$5="Snapshot",'IPO Live'!$M$5="Snapshot"),"",IFERROR(BDP(TEXT(VALUE($A169),"0")&amp;" HK Equity","LAST_UPDATE_DT"),""))</f>
        <v/>
      </c>
      <c r="N169" s="15">
        <f>IF(AND(AH!$M$5="Snapshot",'IPO Live'!$M$5="Snapshot"),"",IFERROR(BDP(TEXT(VALUE($A169),"0")&amp;" HK Equity","LAST_UPDATE"),""))</f>
        <v/>
      </c>
      <c r="O169" s="15">
        <f>IF('IPO Live'!$M$5="Snapshot",IF(ISNUMBER(G169),G169,"unavailable"),IF(AND(ISNUMBER(K169),N(K169)&gt;0),K169,IF('IPO Live'!$M$5="Auto",IF(ISNUMBER(G169),G169,"unavailable"),"unavailable")))</f>
        <v/>
      </c>
      <c r="P169" s="15">
        <f>IF(AND('IPO Live'!$M$5&lt;&gt;"Snapshot",ISNUMBER(K169),N(K169)&gt;0),"Bloomberg",IF(AND('IPO Live'!$M$5&lt;&gt;"Bloomberg",ISNUMBER(G169)),"Snapshot","Unavailable"))</f>
        <v/>
      </c>
      <c r="Q169" s="33">
        <f>IF(AND(P169="Bloomberg",ISNUMBER(L169)),L169,"unavailable")</f>
        <v/>
      </c>
      <c r="R169" s="15">
        <f>IF(OR('IPO Live'!$B$5="All",'IPO Live'!$B$5=C169,AND('IPO Live'!$B$5="A/H only",J169&gt;0)),1,0)</f>
        <v/>
      </c>
      <c r="S169" s="15">
        <f>IF(R169=1,COUNTIF($R$5:R169,1),"")</f>
        <v/>
      </c>
      <c r="T169">
        <f>1</f>
        <v/>
      </c>
      <c r="U169">
        <f>IF($P169="Bloomberg",$M169,$H169)</f>
        <v/>
      </c>
      <c r="AW169">
        <f>IF(AND(J169&gt;0,OR(AH!$I$5="All",AH!$I$5="A/H only",AH!$I$5=C169)),1,0)</f>
        <v/>
      </c>
      <c r="AX169">
        <f>IF(AW169=1,COUNTIF($AW$5:AW169,1),"")</f>
        <v/>
      </c>
      <c r="AY169">
        <f>IF(AH!$M$5="Snapshot",IF(ISNUMBER(G169),G169,"unavailable"),IF(AND(ISNUMBER(K169),N(K169)&gt;0),K169,IF(AH!$M$5="Auto",IF(ISNUMBER(G169),G169,"unavailable"),"unavailable")))</f>
        <v/>
      </c>
      <c r="AZ169">
        <f>IF(AND(AH!$M$5&lt;&gt;"Snapshot",ISNUMBER(K169),N(K169)&gt;0),"Bloomberg",IF(AND(AH!$M$5&lt;&gt;"Bloomberg",ISNUMBER(G169)),"Snapshot","Unavailable"))</f>
        <v/>
      </c>
      <c r="BA169">
        <f>IF(AZ169="Bloomberg",M169,H169)</f>
        <v/>
      </c>
      <c r="BB169">
        <f>1</f>
        <v/>
      </c>
    </row>
    <row r="170">
      <c r="A170" s="31" t="inlineStr">
        <is>
          <t>2335</t>
        </is>
      </c>
      <c r="B170" s="15" t="inlineStr">
        <is>
          <t>MICOT PHARMA-B</t>
        </is>
      </c>
      <c r="C170" s="15" t="inlineStr">
        <is>
          <t>Healthcare</t>
        </is>
      </c>
      <c r="D170" s="15" t="inlineStr">
        <is>
          <t>Biotech pre-revenue (18A)</t>
        </is>
      </c>
      <c r="E170" s="34" t="n">
        <v>46197</v>
      </c>
      <c r="F170" s="15" t="n">
        <v>18.2</v>
      </c>
      <c r="G170" s="15" t="n">
        <v>21.78</v>
      </c>
      <c r="H170" s="34" t="n">
        <v>46297</v>
      </c>
      <c r="I170" s="31" t="n"/>
      <c r="J170" s="15" t="n">
        <v>0</v>
      </c>
      <c r="K170" s="15">
        <f>IF(AND(AH!$M$5="Snapshot",'IPO Live'!$M$5="Snapshot"),"",IFERROR(BDP(TEXT(VALUE($A170),"0")&amp;" HK Equity","PX_LAST"),""))</f>
        <v/>
      </c>
      <c r="L170" s="15">
        <f>IF(AND(AH!$M$5="Snapshot",'IPO Live'!$M$5="Snapshot"),"",IFERROR(BDP(TEXT(VALUE($A170),"0")&amp;" HK Equity","CHG_PCT_1D")/100,""))</f>
        <v/>
      </c>
      <c r="M170" s="15">
        <f>IF(AND(AH!$M$5="Snapshot",'IPO Live'!$M$5="Snapshot"),"",IFERROR(BDP(TEXT(VALUE($A170),"0")&amp;" HK Equity","LAST_UPDATE_DT"),""))</f>
        <v/>
      </c>
      <c r="N170" s="15">
        <f>IF(AND(AH!$M$5="Snapshot",'IPO Live'!$M$5="Snapshot"),"",IFERROR(BDP(TEXT(VALUE($A170),"0")&amp;" HK Equity","LAST_UPDATE"),""))</f>
        <v/>
      </c>
      <c r="O170" s="15">
        <f>IF('IPO Live'!$M$5="Snapshot",IF(ISNUMBER(G170),G170,"unavailable"),IF(AND(ISNUMBER(K170),N(K170)&gt;0),K170,IF('IPO Live'!$M$5="Auto",IF(ISNUMBER(G170),G170,"unavailable"),"unavailable")))</f>
        <v/>
      </c>
      <c r="P170" s="15">
        <f>IF(AND('IPO Live'!$M$5&lt;&gt;"Snapshot",ISNUMBER(K170),N(K170)&gt;0),"Bloomberg",IF(AND('IPO Live'!$M$5&lt;&gt;"Bloomberg",ISNUMBER(G170)),"Snapshot","Unavailable"))</f>
        <v/>
      </c>
      <c r="Q170" s="33">
        <f>IF(AND(P170="Bloomberg",ISNUMBER(L170)),L170,"unavailable")</f>
        <v/>
      </c>
      <c r="R170" s="15">
        <f>IF(OR('IPO Live'!$B$5="All",'IPO Live'!$B$5=C170,AND('IPO Live'!$B$5="A/H only",J170&gt;0)),1,0)</f>
        <v/>
      </c>
      <c r="S170" s="15">
        <f>IF(R170=1,COUNTIF($R$5:R170,1),"")</f>
        <v/>
      </c>
      <c r="T170">
        <f>1</f>
        <v/>
      </c>
      <c r="U170">
        <f>IF($P170="Bloomberg",$M170,$H170)</f>
        <v/>
      </c>
      <c r="AW170">
        <f>IF(AND(J170&gt;0,OR(AH!$I$5="All",AH!$I$5="A/H only",AH!$I$5=C170)),1,0)</f>
        <v/>
      </c>
      <c r="AX170">
        <f>IF(AW170=1,COUNTIF($AW$5:AW170,1),"")</f>
        <v/>
      </c>
      <c r="AY170">
        <f>IF(AH!$M$5="Snapshot",IF(ISNUMBER(G170),G170,"unavailable"),IF(AND(ISNUMBER(K170),N(K170)&gt;0),K170,IF(AH!$M$5="Auto",IF(ISNUMBER(G170),G170,"unavailable"),"unavailable")))</f>
        <v/>
      </c>
      <c r="AZ170">
        <f>IF(AND(AH!$M$5&lt;&gt;"Snapshot",ISNUMBER(K170),N(K170)&gt;0),"Bloomberg",IF(AND(AH!$M$5&lt;&gt;"Bloomberg",ISNUMBER(G170)),"Snapshot","Unavailable"))</f>
        <v/>
      </c>
      <c r="BA170">
        <f>IF(AZ170="Bloomberg",M170,H170)</f>
        <v/>
      </c>
      <c r="BB170">
        <f>1</f>
        <v/>
      </c>
    </row>
    <row r="171">
      <c r="A171" s="31" t="inlineStr">
        <is>
          <t>6132</t>
        </is>
      </c>
      <c r="B171" s="15" t="inlineStr">
        <is>
          <t>HJ SCIENCE-B</t>
        </is>
      </c>
      <c r="C171" s="15" t="inlineStr">
        <is>
          <t>Healthcare</t>
        </is>
      </c>
      <c r="D171" s="15" t="inlineStr">
        <is>
          <t>Biotech pre-revenue (18A)</t>
        </is>
      </c>
      <c r="E171" s="34" t="n">
        <v>46196</v>
      </c>
      <c r="F171" s="15" t="n">
        <v>81.8</v>
      </c>
      <c r="G171" s="15" t="n">
        <v>35.78</v>
      </c>
      <c r="H171" s="34" t="n">
        <v>46297</v>
      </c>
      <c r="I171" s="31" t="n"/>
      <c r="J171" s="15" t="n">
        <v>0</v>
      </c>
      <c r="K171" s="15">
        <f>IF(AND(AH!$M$5="Snapshot",'IPO Live'!$M$5="Snapshot"),"",IFERROR(BDP(TEXT(VALUE($A171),"0")&amp;" HK Equity","PX_LAST"),""))</f>
        <v/>
      </c>
      <c r="L171" s="15">
        <f>IF(AND(AH!$M$5="Snapshot",'IPO Live'!$M$5="Snapshot"),"",IFERROR(BDP(TEXT(VALUE($A171),"0")&amp;" HK Equity","CHG_PCT_1D")/100,""))</f>
        <v/>
      </c>
      <c r="M171" s="15">
        <f>IF(AND(AH!$M$5="Snapshot",'IPO Live'!$M$5="Snapshot"),"",IFERROR(BDP(TEXT(VALUE($A171),"0")&amp;" HK Equity","LAST_UPDATE_DT"),""))</f>
        <v/>
      </c>
      <c r="N171" s="15">
        <f>IF(AND(AH!$M$5="Snapshot",'IPO Live'!$M$5="Snapshot"),"",IFERROR(BDP(TEXT(VALUE($A171),"0")&amp;" HK Equity","LAST_UPDATE"),""))</f>
        <v/>
      </c>
      <c r="O171" s="15">
        <f>IF('IPO Live'!$M$5="Snapshot",IF(ISNUMBER(G171),G171,"unavailable"),IF(AND(ISNUMBER(K171),N(K171)&gt;0),K171,IF('IPO Live'!$M$5="Auto",IF(ISNUMBER(G171),G171,"unavailable"),"unavailable")))</f>
        <v/>
      </c>
      <c r="P171" s="15">
        <f>IF(AND('IPO Live'!$M$5&lt;&gt;"Snapshot",ISNUMBER(K171),N(K171)&gt;0),"Bloomberg",IF(AND('IPO Live'!$M$5&lt;&gt;"Bloomberg",ISNUMBER(G171)),"Snapshot","Unavailable"))</f>
        <v/>
      </c>
      <c r="Q171" s="33">
        <f>IF(AND(P171="Bloomberg",ISNUMBER(L171)),L171,"unavailable")</f>
        <v/>
      </c>
      <c r="R171" s="15">
        <f>IF(OR('IPO Live'!$B$5="All",'IPO Live'!$B$5=C171,AND('IPO Live'!$B$5="A/H only",J171&gt;0)),1,0)</f>
        <v/>
      </c>
      <c r="S171" s="15">
        <f>IF(R171=1,COUNTIF($R$5:R171,1),"")</f>
        <v/>
      </c>
      <c r="T171">
        <f>1</f>
        <v/>
      </c>
      <c r="U171">
        <f>IF($P171="Bloomberg",$M171,$H171)</f>
        <v/>
      </c>
      <c r="AW171">
        <f>IF(AND(J171&gt;0,OR(AH!$I$5="All",AH!$I$5="A/H only",AH!$I$5=C171)),1,0)</f>
        <v/>
      </c>
      <c r="AX171">
        <f>IF(AW171=1,COUNTIF($AW$5:AW171,1),"")</f>
        <v/>
      </c>
      <c r="AY171">
        <f>IF(AH!$M$5="Snapshot",IF(ISNUMBER(G171),G171,"unavailable"),IF(AND(ISNUMBER(K171),N(K171)&gt;0),K171,IF(AH!$M$5="Auto",IF(ISNUMBER(G171),G171,"unavailable"),"unavailable")))</f>
        <v/>
      </c>
      <c r="AZ171">
        <f>IF(AND(AH!$M$5&lt;&gt;"Snapshot",ISNUMBER(K171),N(K171)&gt;0),"Bloomberg",IF(AND(AH!$M$5&lt;&gt;"Bloomberg",ISNUMBER(G171)),"Snapshot","Unavailable"))</f>
        <v/>
      </c>
      <c r="BA171">
        <f>IF(AZ171="Bloomberg",M171,H171)</f>
        <v/>
      </c>
      <c r="BB171">
        <f>1</f>
        <v/>
      </c>
    </row>
    <row r="172">
      <c r="A172" s="31" t="inlineStr">
        <is>
          <t>1779</t>
        </is>
      </c>
      <c r="B172" s="15" t="inlineStr">
        <is>
          <t>LONGBIO-B</t>
        </is>
      </c>
      <c r="C172" s="15" t="inlineStr">
        <is>
          <t>Healthcare</t>
        </is>
      </c>
      <c r="D172" s="15" t="inlineStr">
        <is>
          <t>Biotech pre-revenue (18A)</t>
        </is>
      </c>
      <c r="E172" s="34" t="n">
        <v>46178</v>
      </c>
      <c r="F172" s="15" t="n">
        <v>96.06</v>
      </c>
      <c r="G172" s="15" t="n">
        <v>101.7</v>
      </c>
      <c r="H172" s="34" t="n">
        <v>46297</v>
      </c>
      <c r="I172" s="31" t="n"/>
      <c r="J172" s="15" t="n">
        <v>0</v>
      </c>
      <c r="K172" s="15">
        <f>IF(AND(AH!$M$5="Snapshot",'IPO Live'!$M$5="Snapshot"),"",IFERROR(BDP(TEXT(VALUE($A172),"0")&amp;" HK Equity","PX_LAST"),""))</f>
        <v/>
      </c>
      <c r="L172" s="15">
        <f>IF(AND(AH!$M$5="Snapshot",'IPO Live'!$M$5="Snapshot"),"",IFERROR(BDP(TEXT(VALUE($A172),"0")&amp;" HK Equity","CHG_PCT_1D")/100,""))</f>
        <v/>
      </c>
      <c r="M172" s="15">
        <f>IF(AND(AH!$M$5="Snapshot",'IPO Live'!$M$5="Snapshot"),"",IFERROR(BDP(TEXT(VALUE($A172),"0")&amp;" HK Equity","LAST_UPDATE_DT"),""))</f>
        <v/>
      </c>
      <c r="N172" s="15">
        <f>IF(AND(AH!$M$5="Snapshot",'IPO Live'!$M$5="Snapshot"),"",IFERROR(BDP(TEXT(VALUE($A172),"0")&amp;" HK Equity","LAST_UPDATE"),""))</f>
        <v/>
      </c>
      <c r="O172" s="15">
        <f>IF('IPO Live'!$M$5="Snapshot",IF(ISNUMBER(G172),G172,"unavailable"),IF(AND(ISNUMBER(K172),N(K172)&gt;0),K172,IF('IPO Live'!$M$5="Auto",IF(ISNUMBER(G172),G172,"unavailable"),"unavailable")))</f>
        <v/>
      </c>
      <c r="P172" s="15">
        <f>IF(AND('IPO Live'!$M$5&lt;&gt;"Snapshot",ISNUMBER(K172),N(K172)&gt;0),"Bloomberg",IF(AND('IPO Live'!$M$5&lt;&gt;"Bloomberg",ISNUMBER(G172)),"Snapshot","Unavailable"))</f>
        <v/>
      </c>
      <c r="Q172" s="33">
        <f>IF(AND(P172="Bloomberg",ISNUMBER(L172)),L172,"unavailable")</f>
        <v/>
      </c>
      <c r="R172" s="15">
        <f>IF(OR('IPO Live'!$B$5="All",'IPO Live'!$B$5=C172,AND('IPO Live'!$B$5="A/H only",J172&gt;0)),1,0)</f>
        <v/>
      </c>
      <c r="S172" s="15">
        <f>IF(R172=1,COUNTIF($R$5:R172,1),"")</f>
        <v/>
      </c>
      <c r="T172">
        <f>1</f>
        <v/>
      </c>
      <c r="U172">
        <f>IF($P172="Bloomberg",$M172,$H172)</f>
        <v/>
      </c>
      <c r="AW172">
        <f>IF(AND(J172&gt;0,OR(AH!$I$5="All",AH!$I$5="A/H only",AH!$I$5=C172)),1,0)</f>
        <v/>
      </c>
      <c r="AX172">
        <f>IF(AW172=1,COUNTIF($AW$5:AW172,1),"")</f>
        <v/>
      </c>
      <c r="AY172">
        <f>IF(AH!$M$5="Snapshot",IF(ISNUMBER(G172),G172,"unavailable"),IF(AND(ISNUMBER(K172),N(K172)&gt;0),K172,IF(AH!$M$5="Auto",IF(ISNUMBER(G172),G172,"unavailable"),"unavailable")))</f>
        <v/>
      </c>
      <c r="AZ172">
        <f>IF(AND(AH!$M$5&lt;&gt;"Snapshot",ISNUMBER(K172),N(K172)&gt;0),"Bloomberg",IF(AND(AH!$M$5&lt;&gt;"Bloomberg",ISNUMBER(G172)),"Snapshot","Unavailable"))</f>
        <v/>
      </c>
      <c r="BA172">
        <f>IF(AZ172="Bloomberg",M172,H172)</f>
        <v/>
      </c>
      <c r="BB172">
        <f>1</f>
        <v/>
      </c>
    </row>
    <row r="173">
      <c r="A173" s="31" t="inlineStr">
        <is>
          <t>6872</t>
        </is>
      </c>
      <c r="B173" s="15" t="inlineStr">
        <is>
          <t>TENNOR THERAP-B</t>
        </is>
      </c>
      <c r="C173" s="15" t="inlineStr">
        <is>
          <t>Healthcare</t>
        </is>
      </c>
      <c r="D173" s="15" t="inlineStr">
        <is>
          <t>Biotech pre-revenue (18A)</t>
        </is>
      </c>
      <c r="E173" s="34" t="n">
        <v>46164</v>
      </c>
      <c r="F173" s="15" t="n">
        <v>75.7</v>
      </c>
      <c r="G173" s="15" t="n">
        <v>112.1</v>
      </c>
      <c r="H173" s="34" t="n">
        <v>46297</v>
      </c>
      <c r="I173" s="31" t="n"/>
      <c r="J173" s="15" t="n">
        <v>0</v>
      </c>
      <c r="K173" s="15">
        <f>IF(AND(AH!$M$5="Snapshot",'IPO Live'!$M$5="Snapshot"),"",IFERROR(BDP(TEXT(VALUE($A173),"0")&amp;" HK Equity","PX_LAST"),""))</f>
        <v/>
      </c>
      <c r="L173" s="15">
        <f>IF(AND(AH!$M$5="Snapshot",'IPO Live'!$M$5="Snapshot"),"",IFERROR(BDP(TEXT(VALUE($A173),"0")&amp;" HK Equity","CHG_PCT_1D")/100,""))</f>
        <v/>
      </c>
      <c r="M173" s="15">
        <f>IF(AND(AH!$M$5="Snapshot",'IPO Live'!$M$5="Snapshot"),"",IFERROR(BDP(TEXT(VALUE($A173),"0")&amp;" HK Equity","LAST_UPDATE_DT"),""))</f>
        <v/>
      </c>
      <c r="N173" s="15">
        <f>IF(AND(AH!$M$5="Snapshot",'IPO Live'!$M$5="Snapshot"),"",IFERROR(BDP(TEXT(VALUE($A173),"0")&amp;" HK Equity","LAST_UPDATE"),""))</f>
        <v/>
      </c>
      <c r="O173" s="15">
        <f>IF('IPO Live'!$M$5="Snapshot",IF(ISNUMBER(G173),G173,"unavailable"),IF(AND(ISNUMBER(K173),N(K173)&gt;0),K173,IF('IPO Live'!$M$5="Auto",IF(ISNUMBER(G173),G173,"unavailable"),"unavailable")))</f>
        <v/>
      </c>
      <c r="P173" s="15">
        <f>IF(AND('IPO Live'!$M$5&lt;&gt;"Snapshot",ISNUMBER(K173),N(K173)&gt;0),"Bloomberg",IF(AND('IPO Live'!$M$5&lt;&gt;"Bloomberg",ISNUMBER(G173)),"Snapshot","Unavailable"))</f>
        <v/>
      </c>
      <c r="Q173" s="33">
        <f>IF(AND(P173="Bloomberg",ISNUMBER(L173)),L173,"unavailable")</f>
        <v/>
      </c>
      <c r="R173" s="15">
        <f>IF(OR('IPO Live'!$B$5="All",'IPO Live'!$B$5=C173,AND('IPO Live'!$B$5="A/H only",J173&gt;0)),1,0)</f>
        <v/>
      </c>
      <c r="S173" s="15">
        <f>IF(R173=1,COUNTIF($R$5:R173,1),"")</f>
        <v/>
      </c>
      <c r="T173">
        <f>1</f>
        <v/>
      </c>
      <c r="U173">
        <f>IF($P173="Bloomberg",$M173,$H173)</f>
        <v/>
      </c>
      <c r="AW173">
        <f>IF(AND(J173&gt;0,OR(AH!$I$5="All",AH!$I$5="A/H only",AH!$I$5=C173)),1,0)</f>
        <v/>
      </c>
      <c r="AX173">
        <f>IF(AW173=1,COUNTIF($AW$5:AW173,1),"")</f>
        <v/>
      </c>
      <c r="AY173">
        <f>IF(AH!$M$5="Snapshot",IF(ISNUMBER(G173),G173,"unavailable"),IF(AND(ISNUMBER(K173),N(K173)&gt;0),K173,IF(AH!$M$5="Auto",IF(ISNUMBER(G173),G173,"unavailable"),"unavailable")))</f>
        <v/>
      </c>
      <c r="AZ173">
        <f>IF(AND(AH!$M$5&lt;&gt;"Snapshot",ISNUMBER(K173),N(K173)&gt;0),"Bloomberg",IF(AND(AH!$M$5&lt;&gt;"Bloomberg",ISNUMBER(G173)),"Snapshot","Unavailable"))</f>
        <v/>
      </c>
      <c r="BA173">
        <f>IF(AZ173="Bloomberg",M173,H173)</f>
        <v/>
      </c>
      <c r="BB173">
        <f>1</f>
        <v/>
      </c>
    </row>
    <row r="174">
      <c r="A174" s="31" t="inlineStr">
        <is>
          <t>7630</t>
        </is>
      </c>
      <c r="B174" s="15" t="inlineStr">
        <is>
          <t>IMPACT THERAP-B</t>
        </is>
      </c>
      <c r="C174" s="15" t="inlineStr">
        <is>
          <t>Healthcare</t>
        </is>
      </c>
      <c r="D174" s="15" t="inlineStr">
        <is>
          <t>Biotech pre-revenue (18A)</t>
        </is>
      </c>
      <c r="E174" s="34" t="n">
        <v>46155</v>
      </c>
      <c r="F174" s="15" t="n">
        <v>20.1</v>
      </c>
      <c r="G174" s="15" t="n">
        <v>14.21</v>
      </c>
      <c r="H174" s="34" t="n">
        <v>46297</v>
      </c>
      <c r="I174" s="31" t="n"/>
      <c r="J174" s="15" t="n">
        <v>0</v>
      </c>
      <c r="K174" s="15">
        <f>IF(AND(AH!$M$5="Snapshot",'IPO Live'!$M$5="Snapshot"),"",IFERROR(BDP(TEXT(VALUE($A174),"0")&amp;" HK Equity","PX_LAST"),""))</f>
        <v/>
      </c>
      <c r="L174" s="15">
        <f>IF(AND(AH!$M$5="Snapshot",'IPO Live'!$M$5="Snapshot"),"",IFERROR(BDP(TEXT(VALUE($A174),"0")&amp;" HK Equity","CHG_PCT_1D")/100,""))</f>
        <v/>
      </c>
      <c r="M174" s="15">
        <f>IF(AND(AH!$M$5="Snapshot",'IPO Live'!$M$5="Snapshot"),"",IFERROR(BDP(TEXT(VALUE($A174),"0")&amp;" HK Equity","LAST_UPDATE_DT"),""))</f>
        <v/>
      </c>
      <c r="N174" s="15">
        <f>IF(AND(AH!$M$5="Snapshot",'IPO Live'!$M$5="Snapshot"),"",IFERROR(BDP(TEXT(VALUE($A174),"0")&amp;" HK Equity","LAST_UPDATE"),""))</f>
        <v/>
      </c>
      <c r="O174" s="15">
        <f>IF('IPO Live'!$M$5="Snapshot",IF(ISNUMBER(G174),G174,"unavailable"),IF(AND(ISNUMBER(K174),N(K174)&gt;0),K174,IF('IPO Live'!$M$5="Auto",IF(ISNUMBER(G174),G174,"unavailable"),"unavailable")))</f>
        <v/>
      </c>
      <c r="P174" s="15">
        <f>IF(AND('IPO Live'!$M$5&lt;&gt;"Snapshot",ISNUMBER(K174),N(K174)&gt;0),"Bloomberg",IF(AND('IPO Live'!$M$5&lt;&gt;"Bloomberg",ISNUMBER(G174)),"Snapshot","Unavailable"))</f>
        <v/>
      </c>
      <c r="Q174" s="33">
        <f>IF(AND(P174="Bloomberg",ISNUMBER(L174)),L174,"unavailable")</f>
        <v/>
      </c>
      <c r="R174" s="15">
        <f>IF(OR('IPO Live'!$B$5="All",'IPO Live'!$B$5=C174,AND('IPO Live'!$B$5="A/H only",J174&gt;0)),1,0)</f>
        <v/>
      </c>
      <c r="S174" s="15">
        <f>IF(R174=1,COUNTIF($R$5:R174,1),"")</f>
        <v/>
      </c>
      <c r="T174">
        <f>1</f>
        <v/>
      </c>
      <c r="U174">
        <f>IF($P174="Bloomberg",$M174,$H174)</f>
        <v/>
      </c>
      <c r="AW174">
        <f>IF(AND(J174&gt;0,OR(AH!$I$5="All",AH!$I$5="A/H only",AH!$I$5=C174)),1,0)</f>
        <v/>
      </c>
      <c r="AX174">
        <f>IF(AW174=1,COUNTIF($AW$5:AW174,1),"")</f>
        <v/>
      </c>
      <c r="AY174">
        <f>IF(AH!$M$5="Snapshot",IF(ISNUMBER(G174),G174,"unavailable"),IF(AND(ISNUMBER(K174),N(K174)&gt;0),K174,IF(AH!$M$5="Auto",IF(ISNUMBER(G174),G174,"unavailable"),"unavailable")))</f>
        <v/>
      </c>
      <c r="AZ174">
        <f>IF(AND(AH!$M$5&lt;&gt;"Snapshot",ISNUMBER(K174),N(K174)&gt;0),"Bloomberg",IF(AND(AH!$M$5&lt;&gt;"Bloomberg",ISNUMBER(G174)),"Snapshot","Unavailable"))</f>
        <v/>
      </c>
      <c r="BA174">
        <f>IF(AZ174="Bloomberg",M174,H174)</f>
        <v/>
      </c>
      <c r="BB174">
        <f>1</f>
        <v/>
      </c>
    </row>
    <row r="175">
      <c r="A175" s="31" t="inlineStr">
        <is>
          <t>7666</t>
        </is>
      </c>
      <c r="B175" s="15" t="inlineStr">
        <is>
          <t>METIS TECHBIO-P</t>
        </is>
      </c>
      <c r="C175" s="15" t="inlineStr">
        <is>
          <t>Healthcare</t>
        </is>
      </c>
      <c r="D175" s="15" t="inlineStr">
        <is>
          <t>Biotech pre-revenue (18A)</t>
        </is>
      </c>
      <c r="E175" s="34" t="n">
        <v>46155</v>
      </c>
      <c r="F175" s="15" t="n">
        <v>10.5</v>
      </c>
      <c r="G175" s="15" t="n">
        <v>18.52</v>
      </c>
      <c r="H175" s="34" t="n">
        <v>46297</v>
      </c>
      <c r="I175" s="31" t="n"/>
      <c r="J175" s="15" t="n">
        <v>0</v>
      </c>
      <c r="K175" s="15">
        <f>IF(AND(AH!$M$5="Snapshot",'IPO Live'!$M$5="Snapshot"),"",IFERROR(BDP(TEXT(VALUE($A175),"0")&amp;" HK Equity","PX_LAST"),""))</f>
        <v/>
      </c>
      <c r="L175" s="15">
        <f>IF(AND(AH!$M$5="Snapshot",'IPO Live'!$M$5="Snapshot"),"",IFERROR(BDP(TEXT(VALUE($A175),"0")&amp;" HK Equity","CHG_PCT_1D")/100,""))</f>
        <v/>
      </c>
      <c r="M175" s="15">
        <f>IF(AND(AH!$M$5="Snapshot",'IPO Live'!$M$5="Snapshot"),"",IFERROR(BDP(TEXT(VALUE($A175),"0")&amp;" HK Equity","LAST_UPDATE_DT"),""))</f>
        <v/>
      </c>
      <c r="N175" s="15">
        <f>IF(AND(AH!$M$5="Snapshot",'IPO Live'!$M$5="Snapshot"),"",IFERROR(BDP(TEXT(VALUE($A175),"0")&amp;" HK Equity","LAST_UPDATE"),""))</f>
        <v/>
      </c>
      <c r="O175" s="15">
        <f>IF('IPO Live'!$M$5="Snapshot",IF(ISNUMBER(G175),G175,"unavailable"),IF(AND(ISNUMBER(K175),N(K175)&gt;0),K175,IF('IPO Live'!$M$5="Auto",IF(ISNUMBER(G175),G175,"unavailable"),"unavailable")))</f>
        <v/>
      </c>
      <c r="P175" s="15">
        <f>IF(AND('IPO Live'!$M$5&lt;&gt;"Snapshot",ISNUMBER(K175),N(K175)&gt;0),"Bloomberg",IF(AND('IPO Live'!$M$5&lt;&gt;"Bloomberg",ISNUMBER(G175)),"Snapshot","Unavailable"))</f>
        <v/>
      </c>
      <c r="Q175" s="33">
        <f>IF(AND(P175="Bloomberg",ISNUMBER(L175)),L175,"unavailable")</f>
        <v/>
      </c>
      <c r="R175" s="15">
        <f>IF(OR('IPO Live'!$B$5="All",'IPO Live'!$B$5=C175,AND('IPO Live'!$B$5="A/H only",J175&gt;0)),1,0)</f>
        <v/>
      </c>
      <c r="S175" s="15">
        <f>IF(R175=1,COUNTIF($R$5:R175,1),"")</f>
        <v/>
      </c>
      <c r="T175">
        <f>1</f>
        <v/>
      </c>
      <c r="U175">
        <f>IF($P175="Bloomberg",$M175,$H175)</f>
        <v/>
      </c>
      <c r="AW175">
        <f>IF(AND(J175&gt;0,OR(AH!$I$5="All",AH!$I$5="A/H only",AH!$I$5=C175)),1,0)</f>
        <v/>
      </c>
      <c r="AX175">
        <f>IF(AW175=1,COUNTIF($AW$5:AW175,1),"")</f>
        <v/>
      </c>
      <c r="AY175">
        <f>IF(AH!$M$5="Snapshot",IF(ISNUMBER(G175),G175,"unavailable"),IF(AND(ISNUMBER(K175),N(K175)&gt;0),K175,IF(AH!$M$5="Auto",IF(ISNUMBER(G175),G175,"unavailable"),"unavailable")))</f>
        <v/>
      </c>
      <c r="AZ175">
        <f>IF(AND(AH!$M$5&lt;&gt;"Snapshot",ISNUMBER(K175),N(K175)&gt;0),"Bloomberg",IF(AND(AH!$M$5&lt;&gt;"Bloomberg",ISNUMBER(G175)),"Snapshot","Unavailable"))</f>
        <v/>
      </c>
      <c r="BA175">
        <f>IF(AZ175="Bloomberg",M175,H175)</f>
        <v/>
      </c>
      <c r="BB175">
        <f>1</f>
        <v/>
      </c>
    </row>
    <row r="176">
      <c r="A176" s="31" t="inlineStr">
        <is>
          <t>1187</t>
        </is>
      </c>
      <c r="B176" s="15" t="inlineStr">
        <is>
          <t>COFOE MEDICAL</t>
        </is>
      </c>
      <c r="C176" s="15" t="inlineStr">
        <is>
          <t>Healthcare</t>
        </is>
      </c>
      <c r="D176" s="15" t="inlineStr">
        <is>
          <t>Medical devices</t>
        </is>
      </c>
      <c r="E176" s="34" t="n">
        <v>46148</v>
      </c>
      <c r="F176" s="15" t="n">
        <v>39.33</v>
      </c>
      <c r="G176" s="15" t="n">
        <v>28.12</v>
      </c>
      <c r="H176" s="34" t="n">
        <v>46297</v>
      </c>
      <c r="I176" s="31" t="inlineStr">
        <is>
          <t>301087.SZ</t>
        </is>
      </c>
      <c r="J176" s="15" t="n">
        <v>52</v>
      </c>
      <c r="K176" s="15">
        <f>IF(AND(AH!$M$5="Snapshot",'IPO Live'!$M$5="Snapshot"),"",IFERROR(BDP(TEXT(VALUE($A176),"0")&amp;" HK Equity","PX_LAST"),""))</f>
        <v/>
      </c>
      <c r="L176" s="15">
        <f>IF(AND(AH!$M$5="Snapshot",'IPO Live'!$M$5="Snapshot"),"",IFERROR(BDP(TEXT(VALUE($A176),"0")&amp;" HK Equity","CHG_PCT_1D")/100,""))</f>
        <v/>
      </c>
      <c r="M176" s="15">
        <f>IF(AND(AH!$M$5="Snapshot",'IPO Live'!$M$5="Snapshot"),"",IFERROR(BDP(TEXT(VALUE($A176),"0")&amp;" HK Equity","LAST_UPDATE_DT"),""))</f>
        <v/>
      </c>
      <c r="N176" s="15">
        <f>IF(AND(AH!$M$5="Snapshot",'IPO Live'!$M$5="Snapshot"),"",IFERROR(BDP(TEXT(VALUE($A176),"0")&amp;" HK Equity","LAST_UPDATE"),""))</f>
        <v/>
      </c>
      <c r="O176" s="15">
        <f>IF('IPO Live'!$M$5="Snapshot",IF(ISNUMBER(G176),G176,"unavailable"),IF(AND(ISNUMBER(K176),N(K176)&gt;0),K176,IF('IPO Live'!$M$5="Auto",IF(ISNUMBER(G176),G176,"unavailable"),"unavailable")))</f>
        <v/>
      </c>
      <c r="P176" s="15">
        <f>IF(AND('IPO Live'!$M$5&lt;&gt;"Snapshot",ISNUMBER(K176),N(K176)&gt;0),"Bloomberg",IF(AND('IPO Live'!$M$5&lt;&gt;"Bloomberg",ISNUMBER(G176)),"Snapshot","Unavailable"))</f>
        <v/>
      </c>
      <c r="Q176" s="33">
        <f>IF(AND(P176="Bloomberg",ISNUMBER(L176)),L176,"unavailable")</f>
        <v/>
      </c>
      <c r="R176" s="15">
        <f>IF(OR('IPO Live'!$B$5="All",'IPO Live'!$B$5=C176,AND('IPO Live'!$B$5="A/H only",J176&gt;0)),1,0)</f>
        <v/>
      </c>
      <c r="S176" s="15">
        <f>IF(R176=1,COUNTIF($R$5:R176,1),"")</f>
        <v/>
      </c>
      <c r="T176">
        <f>1</f>
        <v/>
      </c>
      <c r="U176">
        <f>IF($P176="Bloomberg",$M176,$H176)</f>
        <v/>
      </c>
      <c r="AW176">
        <f>IF(AND(J176&gt;0,OR(AH!$I$5="All",AH!$I$5="A/H only",AH!$I$5=C176)),1,0)</f>
        <v/>
      </c>
      <c r="AX176">
        <f>IF(AW176=1,COUNTIF($AW$5:AW176,1),"")</f>
        <v/>
      </c>
      <c r="AY176">
        <f>IF(AH!$M$5="Snapshot",IF(ISNUMBER(G176),G176,"unavailable"),IF(AND(ISNUMBER(K176),N(K176)&gt;0),K176,IF(AH!$M$5="Auto",IF(ISNUMBER(G176),G176,"unavailable"),"unavailable")))</f>
        <v/>
      </c>
      <c r="AZ176">
        <f>IF(AND(AH!$M$5&lt;&gt;"Snapshot",ISNUMBER(K176),N(K176)&gt;0),"Bloomberg",IF(AND(AH!$M$5&lt;&gt;"Bloomberg",ISNUMBER(G176)),"Snapshot","Unavailable"))</f>
        <v/>
      </c>
      <c r="BA176">
        <f>IF(AZ176="Bloomberg",M176,H176)</f>
        <v/>
      </c>
      <c r="BB176">
        <f>1</f>
        <v/>
      </c>
    </row>
    <row r="177">
      <c r="A177" s="31" t="inlineStr">
        <is>
          <t>1609</t>
        </is>
      </c>
      <c r="B177" s="15" t="inlineStr">
        <is>
          <t>STAR SPORTS MED</t>
        </is>
      </c>
      <c r="C177" s="15" t="inlineStr">
        <is>
          <t>Healthcare</t>
        </is>
      </c>
      <c r="D177" s="15" t="inlineStr">
        <is>
          <t>Medical devices</t>
        </is>
      </c>
      <c r="E177" s="34" t="n">
        <v>46147</v>
      </c>
      <c r="F177" s="15" t="n">
        <v>98.5</v>
      </c>
      <c r="G177" s="15" t="n">
        <v>79.8</v>
      </c>
      <c r="H177" s="34" t="n">
        <v>46297</v>
      </c>
      <c r="I177" s="31" t="n"/>
      <c r="J177" s="15" t="n">
        <v>0</v>
      </c>
      <c r="K177" s="15">
        <f>IF(AND(AH!$M$5="Snapshot",'IPO Live'!$M$5="Snapshot"),"",IFERROR(BDP(TEXT(VALUE($A177),"0")&amp;" HK Equity","PX_LAST"),""))</f>
        <v/>
      </c>
      <c r="L177" s="15">
        <f>IF(AND(AH!$M$5="Snapshot",'IPO Live'!$M$5="Snapshot"),"",IFERROR(BDP(TEXT(VALUE($A177),"0")&amp;" HK Equity","CHG_PCT_1D")/100,""))</f>
        <v/>
      </c>
      <c r="M177" s="15">
        <f>IF(AND(AH!$M$5="Snapshot",'IPO Live'!$M$5="Snapshot"),"",IFERROR(BDP(TEXT(VALUE($A177),"0")&amp;" HK Equity","LAST_UPDATE_DT"),""))</f>
        <v/>
      </c>
      <c r="N177" s="15">
        <f>IF(AND(AH!$M$5="Snapshot",'IPO Live'!$M$5="Snapshot"),"",IFERROR(BDP(TEXT(VALUE($A177),"0")&amp;" HK Equity","LAST_UPDATE"),""))</f>
        <v/>
      </c>
      <c r="O177" s="15">
        <f>IF('IPO Live'!$M$5="Snapshot",IF(ISNUMBER(G177),G177,"unavailable"),IF(AND(ISNUMBER(K177),N(K177)&gt;0),K177,IF('IPO Live'!$M$5="Auto",IF(ISNUMBER(G177),G177,"unavailable"),"unavailable")))</f>
        <v/>
      </c>
      <c r="P177" s="15">
        <f>IF(AND('IPO Live'!$M$5&lt;&gt;"Snapshot",ISNUMBER(K177),N(K177)&gt;0),"Bloomberg",IF(AND('IPO Live'!$M$5&lt;&gt;"Bloomberg",ISNUMBER(G177)),"Snapshot","Unavailable"))</f>
        <v/>
      </c>
      <c r="Q177" s="33">
        <f>IF(AND(P177="Bloomberg",ISNUMBER(L177)),L177,"unavailable")</f>
        <v/>
      </c>
      <c r="R177" s="15">
        <f>IF(OR('IPO Live'!$B$5="All",'IPO Live'!$B$5=C177,AND('IPO Live'!$B$5="A/H only",J177&gt;0)),1,0)</f>
        <v/>
      </c>
      <c r="S177" s="15">
        <f>IF(R177=1,COUNTIF($R$5:R177,1),"")</f>
        <v/>
      </c>
      <c r="T177">
        <f>1</f>
        <v/>
      </c>
      <c r="U177">
        <f>IF($P177="Bloomberg",$M177,$H177)</f>
        <v/>
      </c>
      <c r="AW177">
        <f>IF(AND(J177&gt;0,OR(AH!$I$5="All",AH!$I$5="A/H only",AH!$I$5=C177)),1,0)</f>
        <v/>
      </c>
      <c r="AX177">
        <f>IF(AW177=1,COUNTIF($AW$5:AW177,1),"")</f>
        <v/>
      </c>
      <c r="AY177">
        <f>IF(AH!$M$5="Snapshot",IF(ISNUMBER(G177),G177,"unavailable"),IF(AND(ISNUMBER(K177),N(K177)&gt;0),K177,IF(AH!$M$5="Auto",IF(ISNUMBER(G177),G177,"unavailable"),"unavailable")))</f>
        <v/>
      </c>
      <c r="AZ177">
        <f>IF(AND(AH!$M$5&lt;&gt;"Snapshot",ISNUMBER(K177),N(K177)&gt;0),"Bloomberg",IF(AND(AH!$M$5&lt;&gt;"Bloomberg",ISNUMBER(G177)),"Snapshot","Unavailable"))</f>
        <v/>
      </c>
      <c r="BA177">
        <f>IF(AZ177="Bloomberg",M177,H177)</f>
        <v/>
      </c>
      <c r="BB177">
        <f>1</f>
        <v/>
      </c>
    </row>
    <row r="178">
      <c r="A178" s="31" t="inlineStr">
        <is>
          <t>2493</t>
        </is>
      </c>
      <c r="B178" s="15" t="inlineStr">
        <is>
          <t>MABWELL-B</t>
        </is>
      </c>
      <c r="C178" s="15" t="inlineStr">
        <is>
          <t>Healthcare</t>
        </is>
      </c>
      <c r="D178" s="15" t="inlineStr">
        <is>
          <t>Biotech pre-revenue (18A)</t>
        </is>
      </c>
      <c r="E178" s="34" t="n">
        <v>46140</v>
      </c>
      <c r="F178" s="15" t="n">
        <v>27.64</v>
      </c>
      <c r="G178" s="15" t="n">
        <v>20.88</v>
      </c>
      <c r="H178" s="34" t="n">
        <v>46297</v>
      </c>
      <c r="I178" s="31" t="inlineStr">
        <is>
          <t>688062.SS</t>
        </is>
      </c>
      <c r="J178" s="15" t="n">
        <v>51</v>
      </c>
      <c r="K178" s="15">
        <f>IF(AND(AH!$M$5="Snapshot",'IPO Live'!$M$5="Snapshot"),"",IFERROR(BDP(TEXT(VALUE($A178),"0")&amp;" HK Equity","PX_LAST"),""))</f>
        <v/>
      </c>
      <c r="L178" s="15">
        <f>IF(AND(AH!$M$5="Snapshot",'IPO Live'!$M$5="Snapshot"),"",IFERROR(BDP(TEXT(VALUE($A178),"0")&amp;" HK Equity","CHG_PCT_1D")/100,""))</f>
        <v/>
      </c>
      <c r="M178" s="15">
        <f>IF(AND(AH!$M$5="Snapshot",'IPO Live'!$M$5="Snapshot"),"",IFERROR(BDP(TEXT(VALUE($A178),"0")&amp;" HK Equity","LAST_UPDATE_DT"),""))</f>
        <v/>
      </c>
      <c r="N178" s="15">
        <f>IF(AND(AH!$M$5="Snapshot",'IPO Live'!$M$5="Snapshot"),"",IFERROR(BDP(TEXT(VALUE($A178),"0")&amp;" HK Equity","LAST_UPDATE"),""))</f>
        <v/>
      </c>
      <c r="O178" s="15">
        <f>IF('IPO Live'!$M$5="Snapshot",IF(ISNUMBER(G178),G178,"unavailable"),IF(AND(ISNUMBER(K178),N(K178)&gt;0),K178,IF('IPO Live'!$M$5="Auto",IF(ISNUMBER(G178),G178,"unavailable"),"unavailable")))</f>
        <v/>
      </c>
      <c r="P178" s="15">
        <f>IF(AND('IPO Live'!$M$5&lt;&gt;"Snapshot",ISNUMBER(K178),N(K178)&gt;0),"Bloomberg",IF(AND('IPO Live'!$M$5&lt;&gt;"Bloomberg",ISNUMBER(G178)),"Snapshot","Unavailable"))</f>
        <v/>
      </c>
      <c r="Q178" s="33">
        <f>IF(AND(P178="Bloomberg",ISNUMBER(L178)),L178,"unavailable")</f>
        <v/>
      </c>
      <c r="R178" s="15">
        <f>IF(OR('IPO Live'!$B$5="All",'IPO Live'!$B$5=C178,AND('IPO Live'!$B$5="A/H only",J178&gt;0)),1,0)</f>
        <v/>
      </c>
      <c r="S178" s="15">
        <f>IF(R178=1,COUNTIF($R$5:R178,1),"")</f>
        <v/>
      </c>
      <c r="T178">
        <f>1</f>
        <v/>
      </c>
      <c r="U178">
        <f>IF($P178="Bloomberg",$M178,$H178)</f>
        <v/>
      </c>
      <c r="AW178">
        <f>IF(AND(J178&gt;0,OR(AH!$I$5="All",AH!$I$5="A/H only",AH!$I$5=C178)),1,0)</f>
        <v/>
      </c>
      <c r="AX178">
        <f>IF(AW178=1,COUNTIF($AW$5:AW178,1),"")</f>
        <v/>
      </c>
      <c r="AY178">
        <f>IF(AH!$M$5="Snapshot",IF(ISNUMBER(G178),G178,"unavailable"),IF(AND(ISNUMBER(K178),N(K178)&gt;0),K178,IF(AH!$M$5="Auto",IF(ISNUMBER(G178),G178,"unavailable"),"unavailable")))</f>
        <v/>
      </c>
      <c r="AZ178">
        <f>IF(AND(AH!$M$5&lt;&gt;"Snapshot",ISNUMBER(K178),N(K178)&gt;0),"Bloomberg",IF(AND(AH!$M$5&lt;&gt;"Bloomberg",ISNUMBER(G178)),"Snapshot","Unavailable"))</f>
        <v/>
      </c>
      <c r="BA178">
        <f>IF(AZ178="Bloomberg",M178,H178)</f>
        <v/>
      </c>
      <c r="BB178">
        <f>1</f>
        <v/>
      </c>
    </row>
    <row r="179">
      <c r="A179" s="31" t="inlineStr">
        <is>
          <t>2526</t>
        </is>
      </c>
      <c r="B179" s="15" t="inlineStr">
        <is>
          <t>DIAGENS-B</t>
        </is>
      </c>
      <c r="C179" s="15" t="inlineStr">
        <is>
          <t>Healthcare</t>
        </is>
      </c>
      <c r="D179" s="15" t="inlineStr">
        <is>
          <t>Medical devices</t>
        </is>
      </c>
      <c r="E179" s="34" t="n">
        <v>46111</v>
      </c>
      <c r="F179" s="15" t="n">
        <v>99</v>
      </c>
      <c r="G179" s="15" t="n">
        <v>245</v>
      </c>
      <c r="H179" s="34" t="n">
        <v>46297</v>
      </c>
      <c r="I179" s="31" t="n"/>
      <c r="J179" s="15" t="n">
        <v>0</v>
      </c>
      <c r="K179" s="15">
        <f>IF(AND(AH!$M$5="Snapshot",'IPO Live'!$M$5="Snapshot"),"",IFERROR(BDP(TEXT(VALUE($A179),"0")&amp;" HK Equity","PX_LAST"),""))</f>
        <v/>
      </c>
      <c r="L179" s="15">
        <f>IF(AND(AH!$M$5="Snapshot",'IPO Live'!$M$5="Snapshot"),"",IFERROR(BDP(TEXT(VALUE($A179),"0")&amp;" HK Equity","CHG_PCT_1D")/100,""))</f>
        <v/>
      </c>
      <c r="M179" s="15">
        <f>IF(AND(AH!$M$5="Snapshot",'IPO Live'!$M$5="Snapshot"),"",IFERROR(BDP(TEXT(VALUE($A179),"0")&amp;" HK Equity","LAST_UPDATE_DT"),""))</f>
        <v/>
      </c>
      <c r="N179" s="15">
        <f>IF(AND(AH!$M$5="Snapshot",'IPO Live'!$M$5="Snapshot"),"",IFERROR(BDP(TEXT(VALUE($A179),"0")&amp;" HK Equity","LAST_UPDATE"),""))</f>
        <v/>
      </c>
      <c r="O179" s="15">
        <f>IF('IPO Live'!$M$5="Snapshot",IF(ISNUMBER(G179),G179,"unavailable"),IF(AND(ISNUMBER(K179),N(K179)&gt;0),K179,IF('IPO Live'!$M$5="Auto",IF(ISNUMBER(G179),G179,"unavailable"),"unavailable")))</f>
        <v/>
      </c>
      <c r="P179" s="15">
        <f>IF(AND('IPO Live'!$M$5&lt;&gt;"Snapshot",ISNUMBER(K179),N(K179)&gt;0),"Bloomberg",IF(AND('IPO Live'!$M$5&lt;&gt;"Bloomberg",ISNUMBER(G179)),"Snapshot","Unavailable"))</f>
        <v/>
      </c>
      <c r="Q179" s="33">
        <f>IF(AND(P179="Bloomberg",ISNUMBER(L179)),L179,"unavailable")</f>
        <v/>
      </c>
      <c r="R179" s="15">
        <f>IF(OR('IPO Live'!$B$5="All",'IPO Live'!$B$5=C179,AND('IPO Live'!$B$5="A/H only",J179&gt;0)),1,0)</f>
        <v/>
      </c>
      <c r="S179" s="15">
        <f>IF(R179=1,COUNTIF($R$5:R179,1),"")</f>
        <v/>
      </c>
      <c r="T179">
        <f>1</f>
        <v/>
      </c>
      <c r="U179">
        <f>IF($P179="Bloomberg",$M179,$H179)</f>
        <v/>
      </c>
      <c r="AW179">
        <f>IF(AND(J179&gt;0,OR(AH!$I$5="All",AH!$I$5="A/H only",AH!$I$5=C179)),1,0)</f>
        <v/>
      </c>
      <c r="AX179">
        <f>IF(AW179=1,COUNTIF($AW$5:AW179,1),"")</f>
        <v/>
      </c>
      <c r="AY179">
        <f>IF(AH!$M$5="Snapshot",IF(ISNUMBER(G179),G179,"unavailable"),IF(AND(ISNUMBER(K179),N(K179)&gt;0),K179,IF(AH!$M$5="Auto",IF(ISNUMBER(G179),G179,"unavailable"),"unavailable")))</f>
        <v/>
      </c>
      <c r="AZ179">
        <f>IF(AND(AH!$M$5&lt;&gt;"Snapshot",ISNUMBER(K179),N(K179)&gt;0),"Bloomberg",IF(AND(AH!$M$5&lt;&gt;"Bloomberg",ISNUMBER(G179)),"Snapshot","Unavailable"))</f>
        <v/>
      </c>
      <c r="BA179">
        <f>IF(AZ179="Bloomberg",M179,H179)</f>
        <v/>
      </c>
      <c r="BB179">
        <f>1</f>
        <v/>
      </c>
    </row>
    <row r="180">
      <c r="A180" s="31" t="inlineStr">
        <is>
          <t>2677</t>
        </is>
      </c>
      <c r="B180" s="15" t="inlineStr">
        <is>
          <t>DISTINCT HEALTH</t>
        </is>
      </c>
      <c r="C180" s="15" t="inlineStr">
        <is>
          <t>Healthcare</t>
        </is>
      </c>
      <c r="D180" s="15" t="inlineStr">
        <is>
          <t>Digital health</t>
        </is>
      </c>
      <c r="E180" s="34" t="n">
        <v>46059</v>
      </c>
      <c r="F180" s="15" t="n">
        <v>59.9</v>
      </c>
      <c r="G180" s="15" t="n">
        <v>22.78</v>
      </c>
      <c r="H180" s="34" t="n">
        <v>46297</v>
      </c>
      <c r="I180" s="31" t="n"/>
      <c r="J180" s="15" t="n">
        <v>0</v>
      </c>
      <c r="K180" s="15">
        <f>IF(AND(AH!$M$5="Snapshot",'IPO Live'!$M$5="Snapshot"),"",IFERROR(BDP(TEXT(VALUE($A180),"0")&amp;" HK Equity","PX_LAST"),""))</f>
        <v/>
      </c>
      <c r="L180" s="15">
        <f>IF(AND(AH!$M$5="Snapshot",'IPO Live'!$M$5="Snapshot"),"",IFERROR(BDP(TEXT(VALUE($A180),"0")&amp;" HK Equity","CHG_PCT_1D")/100,""))</f>
        <v/>
      </c>
      <c r="M180" s="15">
        <f>IF(AND(AH!$M$5="Snapshot",'IPO Live'!$M$5="Snapshot"),"",IFERROR(BDP(TEXT(VALUE($A180),"0")&amp;" HK Equity","LAST_UPDATE_DT"),""))</f>
        <v/>
      </c>
      <c r="N180" s="15">
        <f>IF(AND(AH!$M$5="Snapshot",'IPO Live'!$M$5="Snapshot"),"",IFERROR(BDP(TEXT(VALUE($A180),"0")&amp;" HK Equity","LAST_UPDATE"),""))</f>
        <v/>
      </c>
      <c r="O180" s="15">
        <f>IF('IPO Live'!$M$5="Snapshot",IF(ISNUMBER(G180),G180,"unavailable"),IF(AND(ISNUMBER(K180),N(K180)&gt;0),K180,IF('IPO Live'!$M$5="Auto",IF(ISNUMBER(G180),G180,"unavailable"),"unavailable")))</f>
        <v/>
      </c>
      <c r="P180" s="15">
        <f>IF(AND('IPO Live'!$M$5&lt;&gt;"Snapshot",ISNUMBER(K180),N(K180)&gt;0),"Bloomberg",IF(AND('IPO Live'!$M$5&lt;&gt;"Bloomberg",ISNUMBER(G180)),"Snapshot","Unavailable"))</f>
        <v/>
      </c>
      <c r="Q180" s="33">
        <f>IF(AND(P180="Bloomberg",ISNUMBER(L180)),L180,"unavailable")</f>
        <v/>
      </c>
      <c r="R180" s="15">
        <f>IF(OR('IPO Live'!$B$5="All",'IPO Live'!$B$5=C180,AND('IPO Live'!$B$5="A/H only",J180&gt;0)),1,0)</f>
        <v/>
      </c>
      <c r="S180" s="15">
        <f>IF(R180=1,COUNTIF($R$5:R180,1),"")</f>
        <v/>
      </c>
      <c r="T180">
        <f>1</f>
        <v/>
      </c>
      <c r="U180">
        <f>IF($P180="Bloomberg",$M180,$H180)</f>
        <v/>
      </c>
      <c r="AW180">
        <f>IF(AND(J180&gt;0,OR(AH!$I$5="All",AH!$I$5="A/H only",AH!$I$5=C180)),1,0)</f>
        <v/>
      </c>
      <c r="AX180">
        <f>IF(AW180=1,COUNTIF($AW$5:AW180,1),"")</f>
        <v/>
      </c>
      <c r="AY180">
        <f>IF(AH!$M$5="Snapshot",IF(ISNUMBER(G180),G180,"unavailable"),IF(AND(ISNUMBER(K180),N(K180)&gt;0),K180,IF(AH!$M$5="Auto",IF(ISNUMBER(G180),G180,"unavailable"),"unavailable")))</f>
        <v/>
      </c>
      <c r="AZ180">
        <f>IF(AND(AH!$M$5&lt;&gt;"Snapshot",ISNUMBER(K180),N(K180)&gt;0),"Bloomberg",IF(AND(AH!$M$5&lt;&gt;"Bloomberg",ISNUMBER(G180)),"Snapshot","Unavailable"))</f>
        <v/>
      </c>
      <c r="BA180">
        <f>IF(AZ180="Bloomberg",M180,H180)</f>
        <v/>
      </c>
      <c r="BB180">
        <f>1</f>
        <v/>
      </c>
    </row>
    <row r="181">
      <c r="A181" s="31" t="inlineStr">
        <is>
          <t>6938</t>
        </is>
      </c>
      <c r="B181" s="15" t="inlineStr">
        <is>
          <t>RIBOLIFE-B</t>
        </is>
      </c>
      <c r="C181" s="15" t="inlineStr">
        <is>
          <t>Healthcare</t>
        </is>
      </c>
      <c r="D181" s="15" t="inlineStr">
        <is>
          <t>Biotech pre-revenue (18A)</t>
        </is>
      </c>
      <c r="E181" s="34" t="n">
        <v>46031</v>
      </c>
      <c r="F181" s="15" t="n">
        <v>57.97</v>
      </c>
      <c r="G181" s="15" t="n">
        <v>54.3</v>
      </c>
      <c r="H181" s="34" t="n">
        <v>46297</v>
      </c>
      <c r="I181" s="31" t="n"/>
      <c r="J181" s="15" t="n">
        <v>0</v>
      </c>
      <c r="K181" s="15">
        <f>IF(AND(AH!$M$5="Snapshot",'IPO Live'!$M$5="Snapshot"),"",IFERROR(BDP(TEXT(VALUE($A181),"0")&amp;" HK Equity","PX_LAST"),""))</f>
        <v/>
      </c>
      <c r="L181" s="15">
        <f>IF(AND(AH!$M$5="Snapshot",'IPO Live'!$M$5="Snapshot"),"",IFERROR(BDP(TEXT(VALUE($A181),"0")&amp;" HK Equity","CHG_PCT_1D")/100,""))</f>
        <v/>
      </c>
      <c r="M181" s="15">
        <f>IF(AND(AH!$M$5="Snapshot",'IPO Live'!$M$5="Snapshot"),"",IFERROR(BDP(TEXT(VALUE($A181),"0")&amp;" HK Equity","LAST_UPDATE_DT"),""))</f>
        <v/>
      </c>
      <c r="N181" s="15">
        <f>IF(AND(AH!$M$5="Snapshot",'IPO Live'!$M$5="Snapshot"),"",IFERROR(BDP(TEXT(VALUE($A181),"0")&amp;" HK Equity","LAST_UPDATE"),""))</f>
        <v/>
      </c>
      <c r="O181" s="15">
        <f>IF('IPO Live'!$M$5="Snapshot",IF(ISNUMBER(G181),G181,"unavailable"),IF(AND(ISNUMBER(K181),N(K181)&gt;0),K181,IF('IPO Live'!$M$5="Auto",IF(ISNUMBER(G181),G181,"unavailable"),"unavailable")))</f>
        <v/>
      </c>
      <c r="P181" s="15">
        <f>IF(AND('IPO Live'!$M$5&lt;&gt;"Snapshot",ISNUMBER(K181),N(K181)&gt;0),"Bloomberg",IF(AND('IPO Live'!$M$5&lt;&gt;"Bloomberg",ISNUMBER(G181)),"Snapshot","Unavailable"))</f>
        <v/>
      </c>
      <c r="Q181" s="33">
        <f>IF(AND(P181="Bloomberg",ISNUMBER(L181)),L181,"unavailable")</f>
        <v/>
      </c>
      <c r="R181" s="15">
        <f>IF(OR('IPO Live'!$B$5="All",'IPO Live'!$B$5=C181,AND('IPO Live'!$B$5="A/H only",J181&gt;0)),1,0)</f>
        <v/>
      </c>
      <c r="S181" s="15">
        <f>IF(R181=1,COUNTIF($R$5:R181,1),"")</f>
        <v/>
      </c>
      <c r="T181">
        <f>1</f>
        <v/>
      </c>
      <c r="U181">
        <f>IF($P181="Bloomberg",$M181,$H181)</f>
        <v/>
      </c>
      <c r="AW181">
        <f>IF(AND(J181&gt;0,OR(AH!$I$5="All",AH!$I$5="A/H only",AH!$I$5=C181)),1,0)</f>
        <v/>
      </c>
      <c r="AX181">
        <f>IF(AW181=1,COUNTIF($AW$5:AW181,1),"")</f>
        <v/>
      </c>
      <c r="AY181">
        <f>IF(AH!$M$5="Snapshot",IF(ISNUMBER(G181),G181,"unavailable"),IF(AND(ISNUMBER(K181),N(K181)&gt;0),K181,IF(AH!$M$5="Auto",IF(ISNUMBER(G181),G181,"unavailable"),"unavailable")))</f>
        <v/>
      </c>
      <c r="AZ181">
        <f>IF(AND(AH!$M$5&lt;&gt;"Snapshot",ISNUMBER(K181),N(K181)&gt;0),"Bloomberg",IF(AND(AH!$M$5&lt;&gt;"Bloomberg",ISNUMBER(G181)),"Snapshot","Unavailable"))</f>
        <v/>
      </c>
      <c r="BA181">
        <f>IF(AZ181="Bloomberg",M181,H181)</f>
        <v/>
      </c>
      <c r="BB181">
        <f>1</f>
        <v/>
      </c>
    </row>
    <row r="182">
      <c r="A182" s="31" t="inlineStr">
        <is>
          <t>2675</t>
        </is>
      </c>
      <c r="B182" s="15" t="inlineStr">
        <is>
          <t>EDGE MEDICAL-B</t>
        </is>
      </c>
      <c r="C182" s="15" t="inlineStr">
        <is>
          <t>Healthcare</t>
        </is>
      </c>
      <c r="D182" s="15" t="inlineStr">
        <is>
          <t>Medical devices</t>
        </is>
      </c>
      <c r="E182" s="34" t="n">
        <v>46030</v>
      </c>
      <c r="F182" s="15" t="n">
        <v>43.24</v>
      </c>
      <c r="G182" s="15" t="n">
        <v>34.46</v>
      </c>
      <c r="H182" s="34" t="n">
        <v>46297</v>
      </c>
      <c r="I182" s="31" t="n"/>
      <c r="J182" s="15" t="n">
        <v>0</v>
      </c>
      <c r="K182" s="15">
        <f>IF(AND(AH!$M$5="Snapshot",'IPO Live'!$M$5="Snapshot"),"",IFERROR(BDP(TEXT(VALUE($A182),"0")&amp;" HK Equity","PX_LAST"),""))</f>
        <v/>
      </c>
      <c r="L182" s="15">
        <f>IF(AND(AH!$M$5="Snapshot",'IPO Live'!$M$5="Snapshot"),"",IFERROR(BDP(TEXT(VALUE($A182),"0")&amp;" HK Equity","CHG_PCT_1D")/100,""))</f>
        <v/>
      </c>
      <c r="M182" s="15">
        <f>IF(AND(AH!$M$5="Snapshot",'IPO Live'!$M$5="Snapshot"),"",IFERROR(BDP(TEXT(VALUE($A182),"0")&amp;" HK Equity","LAST_UPDATE_DT"),""))</f>
        <v/>
      </c>
      <c r="N182" s="15">
        <f>IF(AND(AH!$M$5="Snapshot",'IPO Live'!$M$5="Snapshot"),"",IFERROR(BDP(TEXT(VALUE($A182),"0")&amp;" HK Equity","LAST_UPDATE"),""))</f>
        <v/>
      </c>
      <c r="O182" s="15">
        <f>IF('IPO Live'!$M$5="Snapshot",IF(ISNUMBER(G182),G182,"unavailable"),IF(AND(ISNUMBER(K182),N(K182)&gt;0),K182,IF('IPO Live'!$M$5="Auto",IF(ISNUMBER(G182),G182,"unavailable"),"unavailable")))</f>
        <v/>
      </c>
      <c r="P182" s="15">
        <f>IF(AND('IPO Live'!$M$5&lt;&gt;"Snapshot",ISNUMBER(K182),N(K182)&gt;0),"Bloomberg",IF(AND('IPO Live'!$M$5&lt;&gt;"Bloomberg",ISNUMBER(G182)),"Snapshot","Unavailable"))</f>
        <v/>
      </c>
      <c r="Q182" s="33">
        <f>IF(AND(P182="Bloomberg",ISNUMBER(L182)),L182,"unavailable")</f>
        <v/>
      </c>
      <c r="R182" s="15">
        <f>IF(OR('IPO Live'!$B$5="All",'IPO Live'!$B$5=C182,AND('IPO Live'!$B$5="A/H only",J182&gt;0)),1,0)</f>
        <v/>
      </c>
      <c r="S182" s="15">
        <f>IF(R182=1,COUNTIF($R$5:R182,1),"")</f>
        <v/>
      </c>
      <c r="T182">
        <f>1</f>
        <v/>
      </c>
      <c r="U182">
        <f>IF($P182="Bloomberg",$M182,$H182)</f>
        <v/>
      </c>
      <c r="AW182">
        <f>IF(AND(J182&gt;0,OR(AH!$I$5="All",AH!$I$5="A/H only",AH!$I$5=C182)),1,0)</f>
        <v/>
      </c>
      <c r="AX182">
        <f>IF(AW182=1,COUNTIF($AW$5:AW182,1),"")</f>
        <v/>
      </c>
      <c r="AY182">
        <f>IF(AH!$M$5="Snapshot",IF(ISNUMBER(G182),G182,"unavailable"),IF(AND(ISNUMBER(K182),N(K182)&gt;0),K182,IF(AH!$M$5="Auto",IF(ISNUMBER(G182),G182,"unavailable"),"unavailable")))</f>
        <v/>
      </c>
      <c r="AZ182">
        <f>IF(AND(AH!$M$5&lt;&gt;"Snapshot",ISNUMBER(K182),N(K182)&gt;0),"Bloomberg",IF(AND(AH!$M$5&lt;&gt;"Bloomberg",ISNUMBER(G182)),"Snapshot","Unavailable"))</f>
        <v/>
      </c>
      <c r="BA182">
        <f>IF(AZ182="Bloomberg",M182,H182)</f>
        <v/>
      </c>
      <c r="BB182">
        <f>1</f>
        <v/>
      </c>
    </row>
    <row r="183">
      <c r="A183" s="31" t="inlineStr">
        <is>
          <t>3378</t>
        </is>
      </c>
      <c r="B183" s="15" t="inlineStr">
        <is>
          <t>HANXBIO-B</t>
        </is>
      </c>
      <c r="C183" s="15" t="inlineStr">
        <is>
          <t>Healthcare</t>
        </is>
      </c>
      <c r="D183" s="15" t="inlineStr">
        <is>
          <t>Biotech pre-revenue (18A)</t>
        </is>
      </c>
      <c r="E183" s="34" t="n">
        <v>46014</v>
      </c>
      <c r="F183" s="15" t="n">
        <v>32</v>
      </c>
      <c r="G183" s="15" t="n">
        <v>28.88</v>
      </c>
      <c r="H183" s="34" t="n">
        <v>46297</v>
      </c>
      <c r="I183" s="31" t="n"/>
      <c r="J183" s="15" t="n">
        <v>0</v>
      </c>
      <c r="K183" s="15">
        <f>IF(AND(AH!$M$5="Snapshot",'IPO Live'!$M$5="Snapshot"),"",IFERROR(BDP(TEXT(VALUE($A183),"0")&amp;" HK Equity","PX_LAST"),""))</f>
        <v/>
      </c>
      <c r="L183" s="15">
        <f>IF(AND(AH!$M$5="Snapshot",'IPO Live'!$M$5="Snapshot"),"",IFERROR(BDP(TEXT(VALUE($A183),"0")&amp;" HK Equity","CHG_PCT_1D")/100,""))</f>
        <v/>
      </c>
      <c r="M183" s="15">
        <f>IF(AND(AH!$M$5="Snapshot",'IPO Live'!$M$5="Snapshot"),"",IFERROR(BDP(TEXT(VALUE($A183),"0")&amp;" HK Equity","LAST_UPDATE_DT"),""))</f>
        <v/>
      </c>
      <c r="N183" s="15">
        <f>IF(AND(AH!$M$5="Snapshot",'IPO Live'!$M$5="Snapshot"),"",IFERROR(BDP(TEXT(VALUE($A183),"0")&amp;" HK Equity","LAST_UPDATE"),""))</f>
        <v/>
      </c>
      <c r="O183" s="15">
        <f>IF('IPO Live'!$M$5="Snapshot",IF(ISNUMBER(G183),G183,"unavailable"),IF(AND(ISNUMBER(K183),N(K183)&gt;0),K183,IF('IPO Live'!$M$5="Auto",IF(ISNUMBER(G183),G183,"unavailable"),"unavailable")))</f>
        <v/>
      </c>
      <c r="P183" s="15">
        <f>IF(AND('IPO Live'!$M$5&lt;&gt;"Snapshot",ISNUMBER(K183),N(K183)&gt;0),"Bloomberg",IF(AND('IPO Live'!$M$5&lt;&gt;"Bloomberg",ISNUMBER(G183)),"Snapshot","Unavailable"))</f>
        <v/>
      </c>
      <c r="Q183" s="33">
        <f>IF(AND(P183="Bloomberg",ISNUMBER(L183)),L183,"unavailable")</f>
        <v/>
      </c>
      <c r="R183" s="15">
        <f>IF(OR('IPO Live'!$B$5="All",'IPO Live'!$B$5=C183,AND('IPO Live'!$B$5="A/H only",J183&gt;0)),1,0)</f>
        <v/>
      </c>
      <c r="S183" s="15">
        <f>IF(R183=1,COUNTIF($R$5:R183,1),"")</f>
        <v/>
      </c>
      <c r="T183">
        <f>1</f>
        <v/>
      </c>
      <c r="U183">
        <f>IF($P183="Bloomberg",$M183,$H183)</f>
        <v/>
      </c>
      <c r="AW183">
        <f>IF(AND(J183&gt;0,OR(AH!$I$5="All",AH!$I$5="A/H only",AH!$I$5=C183)),1,0)</f>
        <v/>
      </c>
      <c r="AX183">
        <f>IF(AW183=1,COUNTIF($AW$5:AW183,1),"")</f>
        <v/>
      </c>
      <c r="AY183">
        <f>IF(AH!$M$5="Snapshot",IF(ISNUMBER(G183),G183,"unavailable"),IF(AND(ISNUMBER(K183),N(K183)&gt;0),K183,IF(AH!$M$5="Auto",IF(ISNUMBER(G183),G183,"unavailable"),"unavailable")))</f>
        <v/>
      </c>
      <c r="AZ183">
        <f>IF(AND(AH!$M$5&lt;&gt;"Snapshot",ISNUMBER(K183),N(K183)&gt;0),"Bloomberg",IF(AND(AH!$M$5&lt;&gt;"Bloomberg",ISNUMBER(G183)),"Snapshot","Unavailable"))</f>
        <v/>
      </c>
      <c r="BA183">
        <f>IF(AZ183="Bloomberg",M183,H183)</f>
        <v/>
      </c>
      <c r="BB183">
        <f>1</f>
        <v/>
      </c>
    </row>
    <row r="184">
      <c r="A184" s="31" t="inlineStr">
        <is>
          <t>2396</t>
        </is>
      </c>
      <c r="B184" s="15" t="inlineStr">
        <is>
          <t>B&amp;K CORP-B</t>
        </is>
      </c>
      <c r="C184" s="15" t="inlineStr">
        <is>
          <t>Healthcare</t>
        </is>
      </c>
      <c r="D184" s="15" t="inlineStr">
        <is>
          <t>Biotech pre-revenue (18A)</t>
        </is>
      </c>
      <c r="E184" s="34" t="n">
        <v>46013</v>
      </c>
      <c r="F184" s="15" t="n">
        <v>38.2</v>
      </c>
      <c r="G184" s="15" t="n">
        <v>4.17</v>
      </c>
      <c r="H184" s="34" t="n">
        <v>46297</v>
      </c>
      <c r="I184" s="31" t="n"/>
      <c r="J184" s="15" t="n">
        <v>0</v>
      </c>
      <c r="K184" s="15">
        <f>IF(AND(AH!$M$5="Snapshot",'IPO Live'!$M$5="Snapshot"),"",IFERROR(BDP(TEXT(VALUE($A184),"0")&amp;" HK Equity","PX_LAST"),""))</f>
        <v/>
      </c>
      <c r="L184" s="15">
        <f>IF(AND(AH!$M$5="Snapshot",'IPO Live'!$M$5="Snapshot"),"",IFERROR(BDP(TEXT(VALUE($A184),"0")&amp;" HK Equity","CHG_PCT_1D")/100,""))</f>
        <v/>
      </c>
      <c r="M184" s="15">
        <f>IF(AND(AH!$M$5="Snapshot",'IPO Live'!$M$5="Snapshot"),"",IFERROR(BDP(TEXT(VALUE($A184),"0")&amp;" HK Equity","LAST_UPDATE_DT"),""))</f>
        <v/>
      </c>
      <c r="N184" s="15">
        <f>IF(AND(AH!$M$5="Snapshot",'IPO Live'!$M$5="Snapshot"),"",IFERROR(BDP(TEXT(VALUE($A184),"0")&amp;" HK Equity","LAST_UPDATE"),""))</f>
        <v/>
      </c>
      <c r="O184" s="15">
        <f>IF('IPO Live'!$M$5="Snapshot",IF(ISNUMBER(G184),G184,"unavailable"),IF(AND(ISNUMBER(K184),N(K184)&gt;0),K184,IF('IPO Live'!$M$5="Auto",IF(ISNUMBER(G184),G184,"unavailable"),"unavailable")))</f>
        <v/>
      </c>
      <c r="P184" s="15">
        <f>IF(AND('IPO Live'!$M$5&lt;&gt;"Snapshot",ISNUMBER(K184),N(K184)&gt;0),"Bloomberg",IF(AND('IPO Live'!$M$5&lt;&gt;"Bloomberg",ISNUMBER(G184)),"Snapshot","Unavailable"))</f>
        <v/>
      </c>
      <c r="Q184" s="33">
        <f>IF(AND(P184="Bloomberg",ISNUMBER(L184)),L184,"unavailable")</f>
        <v/>
      </c>
      <c r="R184" s="15">
        <f>IF(OR('IPO Live'!$B$5="All",'IPO Live'!$B$5=C184,AND('IPO Live'!$B$5="A/H only",J184&gt;0)),1,0)</f>
        <v/>
      </c>
      <c r="S184" s="15">
        <f>IF(R184=1,COUNTIF($R$5:R184,1),"")</f>
        <v/>
      </c>
      <c r="T184">
        <f>1</f>
        <v/>
      </c>
      <c r="U184">
        <f>IF($P184="Bloomberg",$M184,$H184)</f>
        <v/>
      </c>
      <c r="AW184">
        <f>IF(AND(J184&gt;0,OR(AH!$I$5="All",AH!$I$5="A/H only",AH!$I$5=C184)),1,0)</f>
        <v/>
      </c>
      <c r="AX184">
        <f>IF(AW184=1,COUNTIF($AW$5:AW184,1),"")</f>
        <v/>
      </c>
      <c r="AY184">
        <f>IF(AH!$M$5="Snapshot",IF(ISNUMBER(G184),G184,"unavailable"),IF(AND(ISNUMBER(K184),N(K184)&gt;0),K184,IF(AH!$M$5="Auto",IF(ISNUMBER(G184),G184,"unavailable"),"unavailable")))</f>
        <v/>
      </c>
      <c r="AZ184">
        <f>IF(AND(AH!$M$5&lt;&gt;"Snapshot",ISNUMBER(K184),N(K184)&gt;0),"Bloomberg",IF(AND(AH!$M$5&lt;&gt;"Bloomberg",ISNUMBER(G184)),"Snapshot","Unavailable"))</f>
        <v/>
      </c>
      <c r="BA184">
        <f>IF(AZ184="Bloomberg",M184,H184)</f>
        <v/>
      </c>
      <c r="BB184">
        <f>1</f>
        <v/>
      </c>
    </row>
    <row r="185">
      <c r="A185" s="31" t="inlineStr">
        <is>
          <t>2659</t>
        </is>
      </c>
      <c r="B185" s="15" t="inlineStr">
        <is>
          <t>BAO PHARMA-B</t>
        </is>
      </c>
      <c r="C185" s="15" t="inlineStr">
        <is>
          <t>Healthcare</t>
        </is>
      </c>
      <c r="D185" s="15" t="inlineStr">
        <is>
          <t>Biotech pre-revenue (18A)</t>
        </is>
      </c>
      <c r="E185" s="34" t="n">
        <v>46001</v>
      </c>
      <c r="F185" s="15" t="n">
        <v>26.38</v>
      </c>
      <c r="G185" s="15" t="n">
        <v>12.08</v>
      </c>
      <c r="H185" s="34" t="n">
        <v>46297</v>
      </c>
      <c r="I185" s="31" t="n"/>
      <c r="J185" s="15" t="n">
        <v>0</v>
      </c>
      <c r="K185" s="15">
        <f>IF(AND(AH!$M$5="Snapshot",'IPO Live'!$M$5="Snapshot"),"",IFERROR(BDP(TEXT(VALUE($A185),"0")&amp;" HK Equity","PX_LAST"),""))</f>
        <v/>
      </c>
      <c r="L185" s="15">
        <f>IF(AND(AH!$M$5="Snapshot",'IPO Live'!$M$5="Snapshot"),"",IFERROR(BDP(TEXT(VALUE($A185),"0")&amp;" HK Equity","CHG_PCT_1D")/100,""))</f>
        <v/>
      </c>
      <c r="M185" s="15">
        <f>IF(AND(AH!$M$5="Snapshot",'IPO Live'!$M$5="Snapshot"),"",IFERROR(BDP(TEXT(VALUE($A185),"0")&amp;" HK Equity","LAST_UPDATE_DT"),""))</f>
        <v/>
      </c>
      <c r="N185" s="15">
        <f>IF(AND(AH!$M$5="Snapshot",'IPO Live'!$M$5="Snapshot"),"",IFERROR(BDP(TEXT(VALUE($A185),"0")&amp;" HK Equity","LAST_UPDATE"),""))</f>
        <v/>
      </c>
      <c r="O185" s="15">
        <f>IF('IPO Live'!$M$5="Snapshot",IF(ISNUMBER(G185),G185,"unavailable"),IF(AND(ISNUMBER(K185),N(K185)&gt;0),K185,IF('IPO Live'!$M$5="Auto",IF(ISNUMBER(G185),G185,"unavailable"),"unavailable")))</f>
        <v/>
      </c>
      <c r="P185" s="15">
        <f>IF(AND('IPO Live'!$M$5&lt;&gt;"Snapshot",ISNUMBER(K185),N(K185)&gt;0),"Bloomberg",IF(AND('IPO Live'!$M$5&lt;&gt;"Bloomberg",ISNUMBER(G185)),"Snapshot","Unavailable"))</f>
        <v/>
      </c>
      <c r="Q185" s="33">
        <f>IF(AND(P185="Bloomberg",ISNUMBER(L185)),L185,"unavailable")</f>
        <v/>
      </c>
      <c r="R185" s="15">
        <f>IF(OR('IPO Live'!$B$5="All",'IPO Live'!$B$5=C185,AND('IPO Live'!$B$5="A/H only",J185&gt;0)),1,0)</f>
        <v/>
      </c>
      <c r="S185" s="15">
        <f>IF(R185=1,COUNTIF($R$5:R185,1),"")</f>
        <v/>
      </c>
      <c r="T185">
        <f>1</f>
        <v/>
      </c>
      <c r="U185">
        <f>IF($P185="Bloomberg",$M185,$H185)</f>
        <v/>
      </c>
      <c r="AW185">
        <f>IF(AND(J185&gt;0,OR(AH!$I$5="All",AH!$I$5="A/H only",AH!$I$5=C185)),1,0)</f>
        <v/>
      </c>
      <c r="AX185">
        <f>IF(AW185=1,COUNTIF($AW$5:AW185,1),"")</f>
        <v/>
      </c>
      <c r="AY185">
        <f>IF(AH!$M$5="Snapshot",IF(ISNUMBER(G185),G185,"unavailable"),IF(AND(ISNUMBER(K185),N(K185)&gt;0),K185,IF(AH!$M$5="Auto",IF(ISNUMBER(G185),G185,"unavailable"),"unavailable")))</f>
        <v/>
      </c>
      <c r="AZ185">
        <f>IF(AND(AH!$M$5&lt;&gt;"Snapshot",ISNUMBER(K185),N(K185)&gt;0),"Bloomberg",IF(AND(AH!$M$5&lt;&gt;"Bloomberg",ISNUMBER(G185)),"Snapshot","Unavailable"))</f>
        <v/>
      </c>
      <c r="BA185">
        <f>IF(AZ185="Bloomberg",M185,H185)</f>
        <v/>
      </c>
      <c r="BB185">
        <f>1</f>
        <v/>
      </c>
    </row>
    <row r="186">
      <c r="A186" s="31" t="inlineStr">
        <is>
          <t>2630</t>
        </is>
      </c>
      <c r="B186" s="15" t="inlineStr">
        <is>
          <t>VIGONVITA-B</t>
        </is>
      </c>
      <c r="C186" s="15" t="inlineStr">
        <is>
          <t>Healthcare</t>
        </is>
      </c>
      <c r="D186" s="15" t="inlineStr">
        <is>
          <t>Biotech pre-revenue (18A)</t>
        </is>
      </c>
      <c r="E186" s="34" t="n">
        <v>45967</v>
      </c>
      <c r="F186" s="15" t="n">
        <v>33.37</v>
      </c>
      <c r="G186" s="15" t="n">
        <v>81.2</v>
      </c>
      <c r="H186" s="34" t="n">
        <v>46297</v>
      </c>
      <c r="I186" s="31" t="n"/>
      <c r="J186" s="15" t="n">
        <v>0</v>
      </c>
      <c r="K186" s="15">
        <f>IF(AND(AH!$M$5="Snapshot",'IPO Live'!$M$5="Snapshot"),"",IFERROR(BDP(TEXT(VALUE($A186),"0")&amp;" HK Equity","PX_LAST"),""))</f>
        <v/>
      </c>
      <c r="L186" s="15">
        <f>IF(AND(AH!$M$5="Snapshot",'IPO Live'!$M$5="Snapshot"),"",IFERROR(BDP(TEXT(VALUE($A186),"0")&amp;" HK Equity","CHG_PCT_1D")/100,""))</f>
        <v/>
      </c>
      <c r="M186" s="15">
        <f>IF(AND(AH!$M$5="Snapshot",'IPO Live'!$M$5="Snapshot"),"",IFERROR(BDP(TEXT(VALUE($A186),"0")&amp;" HK Equity","LAST_UPDATE_DT"),""))</f>
        <v/>
      </c>
      <c r="N186" s="15">
        <f>IF(AND(AH!$M$5="Snapshot",'IPO Live'!$M$5="Snapshot"),"",IFERROR(BDP(TEXT(VALUE($A186),"0")&amp;" HK Equity","LAST_UPDATE"),""))</f>
        <v/>
      </c>
      <c r="O186" s="15">
        <f>IF('IPO Live'!$M$5="Snapshot",IF(ISNUMBER(G186),G186,"unavailable"),IF(AND(ISNUMBER(K186),N(K186)&gt;0),K186,IF('IPO Live'!$M$5="Auto",IF(ISNUMBER(G186),G186,"unavailable"),"unavailable")))</f>
        <v/>
      </c>
      <c r="P186" s="15">
        <f>IF(AND('IPO Live'!$M$5&lt;&gt;"Snapshot",ISNUMBER(K186),N(K186)&gt;0),"Bloomberg",IF(AND('IPO Live'!$M$5&lt;&gt;"Bloomberg",ISNUMBER(G186)),"Snapshot","Unavailable"))</f>
        <v/>
      </c>
      <c r="Q186" s="33">
        <f>IF(AND(P186="Bloomberg",ISNUMBER(L186)),L186,"unavailable")</f>
        <v/>
      </c>
      <c r="R186" s="15">
        <f>IF(OR('IPO Live'!$B$5="All",'IPO Live'!$B$5=C186,AND('IPO Live'!$B$5="A/H only",J186&gt;0)),1,0)</f>
        <v/>
      </c>
      <c r="S186" s="15">
        <f>IF(R186=1,COUNTIF($R$5:R186,1),"")</f>
        <v/>
      </c>
      <c r="T186">
        <f>1</f>
        <v/>
      </c>
      <c r="U186">
        <f>IF($P186="Bloomberg",$M186,$H186)</f>
        <v/>
      </c>
      <c r="AW186">
        <f>IF(AND(J186&gt;0,OR(AH!$I$5="All",AH!$I$5="A/H only",AH!$I$5=C186)),1,0)</f>
        <v/>
      </c>
      <c r="AX186">
        <f>IF(AW186=1,COUNTIF($AW$5:AW186,1),"")</f>
        <v/>
      </c>
      <c r="AY186">
        <f>IF(AH!$M$5="Snapshot",IF(ISNUMBER(G186),G186,"unavailable"),IF(AND(ISNUMBER(K186),N(K186)&gt;0),K186,IF(AH!$M$5="Auto",IF(ISNUMBER(G186),G186,"unavailable"),"unavailable")))</f>
        <v/>
      </c>
      <c r="AZ186">
        <f>IF(AND(AH!$M$5&lt;&gt;"Snapshot",ISNUMBER(K186),N(K186)&gt;0),"Bloomberg",IF(AND(AH!$M$5&lt;&gt;"Bloomberg",ISNUMBER(G186)),"Snapshot","Unavailable"))</f>
        <v/>
      </c>
      <c r="BA186">
        <f>IF(AZ186="Bloomberg",M186,H186)</f>
        <v/>
      </c>
      <c r="BB186">
        <f>1</f>
        <v/>
      </c>
    </row>
    <row r="187">
      <c r="A187" s="31" t="inlineStr">
        <is>
          <t>2637</t>
        </is>
      </c>
      <c r="B187" s="15" t="inlineStr">
        <is>
          <t>HAIXI PHARMA</t>
        </is>
      </c>
      <c r="C187" s="15" t="inlineStr">
        <is>
          <t>Healthcare</t>
        </is>
      </c>
      <c r="D187" s="15" t="inlineStr">
        <is>
          <t>Biopharma commercial</t>
        </is>
      </c>
      <c r="E187" s="34" t="n">
        <v>45950</v>
      </c>
      <c r="F187" s="15" t="n">
        <v>86.40000000000001</v>
      </c>
      <c r="G187" s="15" t="n">
        <v>163</v>
      </c>
      <c r="H187" s="34" t="n">
        <v>46297</v>
      </c>
      <c r="I187" s="31" t="n"/>
      <c r="J187" s="15" t="n">
        <v>0</v>
      </c>
      <c r="K187" s="15">
        <f>IF(AND(AH!$M$5="Snapshot",'IPO Live'!$M$5="Snapshot"),"",IFERROR(BDP(TEXT(VALUE($A187),"0")&amp;" HK Equity","PX_LAST"),""))</f>
        <v/>
      </c>
      <c r="L187" s="15">
        <f>IF(AND(AH!$M$5="Snapshot",'IPO Live'!$M$5="Snapshot"),"",IFERROR(BDP(TEXT(VALUE($A187),"0")&amp;" HK Equity","CHG_PCT_1D")/100,""))</f>
        <v/>
      </c>
      <c r="M187" s="15">
        <f>IF(AND(AH!$M$5="Snapshot",'IPO Live'!$M$5="Snapshot"),"",IFERROR(BDP(TEXT(VALUE($A187),"0")&amp;" HK Equity","LAST_UPDATE_DT"),""))</f>
        <v/>
      </c>
      <c r="N187" s="15">
        <f>IF(AND(AH!$M$5="Snapshot",'IPO Live'!$M$5="Snapshot"),"",IFERROR(BDP(TEXT(VALUE($A187),"0")&amp;" HK Equity","LAST_UPDATE"),""))</f>
        <v/>
      </c>
      <c r="O187" s="15">
        <f>IF('IPO Live'!$M$5="Snapshot",IF(ISNUMBER(G187),G187,"unavailable"),IF(AND(ISNUMBER(K187),N(K187)&gt;0),K187,IF('IPO Live'!$M$5="Auto",IF(ISNUMBER(G187),G187,"unavailable"),"unavailable")))</f>
        <v/>
      </c>
      <c r="P187" s="15">
        <f>IF(AND('IPO Live'!$M$5&lt;&gt;"Snapshot",ISNUMBER(K187),N(K187)&gt;0),"Bloomberg",IF(AND('IPO Live'!$M$5&lt;&gt;"Bloomberg",ISNUMBER(G187)),"Snapshot","Unavailable"))</f>
        <v/>
      </c>
      <c r="Q187" s="33">
        <f>IF(AND(P187="Bloomberg",ISNUMBER(L187)),L187,"unavailable")</f>
        <v/>
      </c>
      <c r="R187" s="15">
        <f>IF(OR('IPO Live'!$B$5="All",'IPO Live'!$B$5=C187,AND('IPO Live'!$B$5="A/H only",J187&gt;0)),1,0)</f>
        <v/>
      </c>
      <c r="S187" s="15">
        <f>IF(R187=1,COUNTIF($R$5:R187,1),"")</f>
        <v/>
      </c>
      <c r="T187">
        <f>1</f>
        <v/>
      </c>
      <c r="U187">
        <f>IF($P187="Bloomberg",$M187,$H187)</f>
        <v/>
      </c>
      <c r="AW187">
        <f>IF(AND(J187&gt;0,OR(AH!$I$5="All",AH!$I$5="A/H only",AH!$I$5=C187)),1,0)</f>
        <v/>
      </c>
      <c r="AX187">
        <f>IF(AW187=1,COUNTIF($AW$5:AW187,1),"")</f>
        <v/>
      </c>
      <c r="AY187">
        <f>IF(AH!$M$5="Snapshot",IF(ISNUMBER(G187),G187,"unavailable"),IF(AND(ISNUMBER(K187),N(K187)&gt;0),K187,IF(AH!$M$5="Auto",IF(ISNUMBER(G187),G187,"unavailable"),"unavailable")))</f>
        <v/>
      </c>
      <c r="AZ187">
        <f>IF(AND(AH!$M$5&lt;&gt;"Snapshot",ISNUMBER(K187),N(K187)&gt;0),"Bloomberg",IF(AND(AH!$M$5&lt;&gt;"Bloomberg",ISNUMBER(G187)),"Snapshot","Unavailable"))</f>
        <v/>
      </c>
      <c r="BA187">
        <f>IF(AZ187="Bloomberg",M187,H187)</f>
        <v/>
      </c>
      <c r="BB187">
        <f>1</f>
        <v/>
      </c>
    </row>
    <row r="188">
      <c r="A188" s="31" t="inlineStr">
        <is>
          <t>2575</t>
        </is>
      </c>
      <c r="B188" s="15" t="inlineStr">
        <is>
          <t>XUANZHUBIO-B</t>
        </is>
      </c>
      <c r="C188" s="15" t="inlineStr">
        <is>
          <t>Healthcare</t>
        </is>
      </c>
      <c r="D188" s="15" t="inlineStr">
        <is>
          <t>Biotech pre-revenue (18A)</t>
        </is>
      </c>
      <c r="E188" s="34" t="n">
        <v>45945</v>
      </c>
      <c r="F188" s="15" t="n">
        <v>11.6</v>
      </c>
      <c r="G188" s="15" t="n">
        <v>8.775</v>
      </c>
      <c r="H188" s="34" t="n">
        <v>46297</v>
      </c>
      <c r="I188" s="31" t="n"/>
      <c r="J188" s="15" t="n">
        <v>0</v>
      </c>
      <c r="K188" s="15">
        <f>IF(AND(AH!$M$5="Snapshot",'IPO Live'!$M$5="Snapshot"),"",IFERROR(BDP(TEXT(VALUE($A188),"0")&amp;" HK Equity","PX_LAST"),""))</f>
        <v/>
      </c>
      <c r="L188" s="15">
        <f>IF(AND(AH!$M$5="Snapshot",'IPO Live'!$M$5="Snapshot"),"",IFERROR(BDP(TEXT(VALUE($A188),"0")&amp;" HK Equity","CHG_PCT_1D")/100,""))</f>
        <v/>
      </c>
      <c r="M188" s="15">
        <f>IF(AND(AH!$M$5="Snapshot",'IPO Live'!$M$5="Snapshot"),"",IFERROR(BDP(TEXT(VALUE($A188),"0")&amp;" HK Equity","LAST_UPDATE_DT"),""))</f>
        <v/>
      </c>
      <c r="N188" s="15">
        <f>IF(AND(AH!$M$5="Snapshot",'IPO Live'!$M$5="Snapshot"),"",IFERROR(BDP(TEXT(VALUE($A188),"0")&amp;" HK Equity","LAST_UPDATE"),""))</f>
        <v/>
      </c>
      <c r="O188" s="15">
        <f>IF('IPO Live'!$M$5="Snapshot",IF(ISNUMBER(G188),G188,"unavailable"),IF(AND(ISNUMBER(K188),N(K188)&gt;0),K188,IF('IPO Live'!$M$5="Auto",IF(ISNUMBER(G188),G188,"unavailable"),"unavailable")))</f>
        <v/>
      </c>
      <c r="P188" s="15">
        <f>IF(AND('IPO Live'!$M$5&lt;&gt;"Snapshot",ISNUMBER(K188),N(K188)&gt;0),"Bloomberg",IF(AND('IPO Live'!$M$5&lt;&gt;"Bloomberg",ISNUMBER(G188)),"Snapshot","Unavailable"))</f>
        <v/>
      </c>
      <c r="Q188" s="33">
        <f>IF(AND(P188="Bloomberg",ISNUMBER(L188)),L188,"unavailable")</f>
        <v/>
      </c>
      <c r="R188" s="15">
        <f>IF(OR('IPO Live'!$B$5="All",'IPO Live'!$B$5=C188,AND('IPO Live'!$B$5="A/H only",J188&gt;0)),1,0)</f>
        <v/>
      </c>
      <c r="S188" s="15">
        <f>IF(R188=1,COUNTIF($R$5:R188,1),"")</f>
        <v/>
      </c>
      <c r="T188">
        <f>1</f>
        <v/>
      </c>
      <c r="U188">
        <f>IF($P188="Bloomberg",$M188,$H188)</f>
        <v/>
      </c>
      <c r="AW188">
        <f>IF(AND(J188&gt;0,OR(AH!$I$5="All",AH!$I$5="A/H only",AH!$I$5=C188)),1,0)</f>
        <v/>
      </c>
      <c r="AX188">
        <f>IF(AW188=1,COUNTIF($AW$5:AW188,1),"")</f>
        <v/>
      </c>
      <c r="AY188">
        <f>IF(AH!$M$5="Snapshot",IF(ISNUMBER(G188),G188,"unavailable"),IF(AND(ISNUMBER(K188),N(K188)&gt;0),K188,IF(AH!$M$5="Auto",IF(ISNUMBER(G188),G188,"unavailable"),"unavailable")))</f>
        <v/>
      </c>
      <c r="AZ188">
        <f>IF(AND(AH!$M$5&lt;&gt;"Snapshot",ISNUMBER(K188),N(K188)&gt;0),"Bloomberg",IF(AND(AH!$M$5&lt;&gt;"Bloomberg",ISNUMBER(G188)),"Snapshot","Unavailable"))</f>
        <v/>
      </c>
      <c r="BA188">
        <f>IF(AZ188="Bloomberg",M188,H188)</f>
        <v/>
      </c>
      <c r="BB188">
        <f>1</f>
        <v/>
      </c>
    </row>
    <row r="189">
      <c r="A189" s="31" t="inlineStr">
        <is>
          <t>2652</t>
        </is>
      </c>
      <c r="B189" s="15" t="inlineStr">
        <is>
          <t>CF PHARMTECH</t>
        </is>
      </c>
      <c r="C189" s="15" t="inlineStr">
        <is>
          <t>Healthcare</t>
        </is>
      </c>
      <c r="D189" s="15" t="inlineStr">
        <is>
          <t>Biopharma commercial</t>
        </is>
      </c>
      <c r="E189" s="34" t="n">
        <v>45938</v>
      </c>
      <c r="F189" s="15" t="n">
        <v>14.75</v>
      </c>
      <c r="G189" s="15" t="n">
        <v>6.85</v>
      </c>
      <c r="H189" s="34" t="n">
        <v>46297</v>
      </c>
      <c r="I189" s="31" t="n"/>
      <c r="J189" s="15" t="n">
        <v>0</v>
      </c>
      <c r="K189" s="15">
        <f>IF(AND(AH!$M$5="Snapshot",'IPO Live'!$M$5="Snapshot"),"",IFERROR(BDP(TEXT(VALUE($A189),"0")&amp;" HK Equity","PX_LAST"),""))</f>
        <v/>
      </c>
      <c r="L189" s="15">
        <f>IF(AND(AH!$M$5="Snapshot",'IPO Live'!$M$5="Snapshot"),"",IFERROR(BDP(TEXT(VALUE($A189),"0")&amp;" HK Equity","CHG_PCT_1D")/100,""))</f>
        <v/>
      </c>
      <c r="M189" s="15">
        <f>IF(AND(AH!$M$5="Snapshot",'IPO Live'!$M$5="Snapshot"),"",IFERROR(BDP(TEXT(VALUE($A189),"0")&amp;" HK Equity","LAST_UPDATE_DT"),""))</f>
        <v/>
      </c>
      <c r="N189" s="15">
        <f>IF(AND(AH!$M$5="Snapshot",'IPO Live'!$M$5="Snapshot"),"",IFERROR(BDP(TEXT(VALUE($A189),"0")&amp;" HK Equity","LAST_UPDATE"),""))</f>
        <v/>
      </c>
      <c r="O189" s="15">
        <f>IF('IPO Live'!$M$5="Snapshot",IF(ISNUMBER(G189),G189,"unavailable"),IF(AND(ISNUMBER(K189),N(K189)&gt;0),K189,IF('IPO Live'!$M$5="Auto",IF(ISNUMBER(G189),G189,"unavailable"),"unavailable")))</f>
        <v/>
      </c>
      <c r="P189" s="15">
        <f>IF(AND('IPO Live'!$M$5&lt;&gt;"Snapshot",ISNUMBER(K189),N(K189)&gt;0),"Bloomberg",IF(AND('IPO Live'!$M$5&lt;&gt;"Bloomberg",ISNUMBER(G189)),"Snapshot","Unavailable"))</f>
        <v/>
      </c>
      <c r="Q189" s="33">
        <f>IF(AND(P189="Bloomberg",ISNUMBER(L189)),L189,"unavailable")</f>
        <v/>
      </c>
      <c r="R189" s="15">
        <f>IF(OR('IPO Live'!$B$5="All",'IPO Live'!$B$5=C189,AND('IPO Live'!$B$5="A/H only",J189&gt;0)),1,0)</f>
        <v/>
      </c>
      <c r="S189" s="15">
        <f>IF(R189=1,COUNTIF($R$5:R189,1),"")</f>
        <v/>
      </c>
      <c r="T189">
        <f>1</f>
        <v/>
      </c>
      <c r="U189">
        <f>IF($P189="Bloomberg",$M189,$H189)</f>
        <v/>
      </c>
      <c r="AW189">
        <f>IF(AND(J189&gt;0,OR(AH!$I$5="All",AH!$I$5="A/H only",AH!$I$5=C189)),1,0)</f>
        <v/>
      </c>
      <c r="AX189">
        <f>IF(AW189=1,COUNTIF($AW$5:AW189,1),"")</f>
        <v/>
      </c>
      <c r="AY189">
        <f>IF(AH!$M$5="Snapshot",IF(ISNUMBER(G189),G189,"unavailable"),IF(AND(ISNUMBER(K189),N(K189)&gt;0),K189,IF(AH!$M$5="Auto",IF(ISNUMBER(G189),G189,"unavailable"),"unavailable")))</f>
        <v/>
      </c>
      <c r="AZ189">
        <f>IF(AND(AH!$M$5&lt;&gt;"Snapshot",ISNUMBER(K189),N(K189)&gt;0),"Bloomberg",IF(AND(AH!$M$5&lt;&gt;"Bloomberg",ISNUMBER(G189)),"Snapshot","Unavailable"))</f>
        <v/>
      </c>
      <c r="BA189">
        <f>IF(AZ189="Bloomberg",M189,H189)</f>
        <v/>
      </c>
      <c r="BB189">
        <f>1</f>
        <v/>
      </c>
    </row>
    <row r="190">
      <c r="A190" s="31" t="inlineStr">
        <is>
          <t>2595</t>
        </is>
      </c>
      <c r="B190" s="15" t="inlineStr">
        <is>
          <t>GENFLEET-B</t>
        </is>
      </c>
      <c r="C190" s="15" t="inlineStr">
        <is>
          <t>Healthcare</t>
        </is>
      </c>
      <c r="D190" s="15" t="inlineStr">
        <is>
          <t>Biotech pre-revenue (18A)</t>
        </is>
      </c>
      <c r="E190" s="34" t="n">
        <v>45919</v>
      </c>
      <c r="F190" s="15" t="n">
        <v>20.39</v>
      </c>
      <c r="G190" s="15" t="n">
        <v>31.94</v>
      </c>
      <c r="H190" s="34" t="n">
        <v>46297</v>
      </c>
      <c r="I190" s="31" t="n"/>
      <c r="J190" s="15" t="n">
        <v>0</v>
      </c>
      <c r="K190" s="15">
        <f>IF(AND(AH!$M$5="Snapshot",'IPO Live'!$M$5="Snapshot"),"",IFERROR(BDP(TEXT(VALUE($A190),"0")&amp;" HK Equity","PX_LAST"),""))</f>
        <v/>
      </c>
      <c r="L190" s="15">
        <f>IF(AND(AH!$M$5="Snapshot",'IPO Live'!$M$5="Snapshot"),"",IFERROR(BDP(TEXT(VALUE($A190),"0")&amp;" HK Equity","CHG_PCT_1D")/100,""))</f>
        <v/>
      </c>
      <c r="M190" s="15">
        <f>IF(AND(AH!$M$5="Snapshot",'IPO Live'!$M$5="Snapshot"),"",IFERROR(BDP(TEXT(VALUE($A190),"0")&amp;" HK Equity","LAST_UPDATE_DT"),""))</f>
        <v/>
      </c>
      <c r="N190" s="15">
        <f>IF(AND(AH!$M$5="Snapshot",'IPO Live'!$M$5="Snapshot"),"",IFERROR(BDP(TEXT(VALUE($A190),"0")&amp;" HK Equity","LAST_UPDATE"),""))</f>
        <v/>
      </c>
      <c r="O190" s="15">
        <f>IF('IPO Live'!$M$5="Snapshot",IF(ISNUMBER(G190),G190,"unavailable"),IF(AND(ISNUMBER(K190),N(K190)&gt;0),K190,IF('IPO Live'!$M$5="Auto",IF(ISNUMBER(G190),G190,"unavailable"),"unavailable")))</f>
        <v/>
      </c>
      <c r="P190" s="15">
        <f>IF(AND('IPO Live'!$M$5&lt;&gt;"Snapshot",ISNUMBER(K190),N(K190)&gt;0),"Bloomberg",IF(AND('IPO Live'!$M$5&lt;&gt;"Bloomberg",ISNUMBER(G190)),"Snapshot","Unavailable"))</f>
        <v/>
      </c>
      <c r="Q190" s="33">
        <f>IF(AND(P190="Bloomberg",ISNUMBER(L190)),L190,"unavailable")</f>
        <v/>
      </c>
      <c r="R190" s="15">
        <f>IF(OR('IPO Live'!$B$5="All",'IPO Live'!$B$5=C190,AND('IPO Live'!$B$5="A/H only",J190&gt;0)),1,0)</f>
        <v/>
      </c>
      <c r="S190" s="15">
        <f>IF(R190=1,COUNTIF($R$5:R190,1),"")</f>
        <v/>
      </c>
      <c r="T190">
        <f>1</f>
        <v/>
      </c>
      <c r="U190">
        <f>IF($P190="Bloomberg",$M190,$H190)</f>
        <v/>
      </c>
      <c r="AW190">
        <f>IF(AND(J190&gt;0,OR(AH!$I$5="All",AH!$I$5="A/H only",AH!$I$5=C190)),1,0)</f>
        <v/>
      </c>
      <c r="AX190">
        <f>IF(AW190=1,COUNTIF($AW$5:AW190,1),"")</f>
        <v/>
      </c>
      <c r="AY190">
        <f>IF(AH!$M$5="Snapshot",IF(ISNUMBER(G190),G190,"unavailable"),IF(AND(ISNUMBER(K190),N(K190)&gt;0),K190,IF(AH!$M$5="Auto",IF(ISNUMBER(G190),G190,"unavailable"),"unavailable")))</f>
        <v/>
      </c>
      <c r="AZ190">
        <f>IF(AND(AH!$M$5&lt;&gt;"Snapshot",ISNUMBER(K190),N(K190)&gt;0),"Bloomberg",IF(AND(AH!$M$5&lt;&gt;"Bloomberg",ISNUMBER(G190)),"Snapshot","Unavailable"))</f>
        <v/>
      </c>
      <c r="BA190">
        <f>IF(AZ190="Bloomberg",M190,H190)</f>
        <v/>
      </c>
      <c r="BB190">
        <f>1</f>
        <v/>
      </c>
    </row>
    <row r="191">
      <c r="A191" s="31" t="inlineStr">
        <is>
          <t>2656</t>
        </is>
      </c>
      <c r="B191" s="15" t="inlineStr">
        <is>
          <t>160 HEALTH</t>
        </is>
      </c>
      <c r="C191" s="15" t="inlineStr">
        <is>
          <t>Healthcare</t>
        </is>
      </c>
      <c r="D191" s="15" t="inlineStr">
        <is>
          <t>Digital health</t>
        </is>
      </c>
      <c r="E191" s="34" t="n">
        <v>45917</v>
      </c>
      <c r="F191" s="15" t="n">
        <v>11.89</v>
      </c>
      <c r="G191" s="15" t="n">
        <v>3.74</v>
      </c>
      <c r="H191" s="34" t="n">
        <v>46297</v>
      </c>
      <c r="I191" s="31" t="n"/>
      <c r="J191" s="15" t="n">
        <v>0</v>
      </c>
      <c r="K191" s="15">
        <f>IF(AND(AH!$M$5="Snapshot",'IPO Live'!$M$5="Snapshot"),"",IFERROR(BDP(TEXT(VALUE($A191),"0")&amp;" HK Equity","PX_LAST"),""))</f>
        <v/>
      </c>
      <c r="L191" s="15">
        <f>IF(AND(AH!$M$5="Snapshot",'IPO Live'!$M$5="Snapshot"),"",IFERROR(BDP(TEXT(VALUE($A191),"0")&amp;" HK Equity","CHG_PCT_1D")/100,""))</f>
        <v/>
      </c>
      <c r="M191" s="15">
        <f>IF(AND(AH!$M$5="Snapshot",'IPO Live'!$M$5="Snapshot"),"",IFERROR(BDP(TEXT(VALUE($A191),"0")&amp;" HK Equity","LAST_UPDATE_DT"),""))</f>
        <v/>
      </c>
      <c r="N191" s="15">
        <f>IF(AND(AH!$M$5="Snapshot",'IPO Live'!$M$5="Snapshot"),"",IFERROR(BDP(TEXT(VALUE($A191),"0")&amp;" HK Equity","LAST_UPDATE"),""))</f>
        <v/>
      </c>
      <c r="O191" s="15">
        <f>IF('IPO Live'!$M$5="Snapshot",IF(ISNUMBER(G191),G191,"unavailable"),IF(AND(ISNUMBER(K191),N(K191)&gt;0),K191,IF('IPO Live'!$M$5="Auto",IF(ISNUMBER(G191),G191,"unavailable"),"unavailable")))</f>
        <v/>
      </c>
      <c r="P191" s="15">
        <f>IF(AND('IPO Live'!$M$5&lt;&gt;"Snapshot",ISNUMBER(K191),N(K191)&gt;0),"Bloomberg",IF(AND('IPO Live'!$M$5&lt;&gt;"Bloomberg",ISNUMBER(G191)),"Snapshot","Unavailable"))</f>
        <v/>
      </c>
      <c r="Q191" s="33">
        <f>IF(AND(P191="Bloomberg",ISNUMBER(L191)),L191,"unavailable")</f>
        <v/>
      </c>
      <c r="R191" s="15">
        <f>IF(OR('IPO Live'!$B$5="All",'IPO Live'!$B$5=C191,AND('IPO Live'!$B$5="A/H only",J191&gt;0)),1,0)</f>
        <v/>
      </c>
      <c r="S191" s="15">
        <f>IF(R191=1,COUNTIF($R$5:R191,1),"")</f>
        <v/>
      </c>
      <c r="T191">
        <f>1</f>
        <v/>
      </c>
      <c r="U191">
        <f>IF($P191="Bloomberg",$M191,$H191)</f>
        <v/>
      </c>
      <c r="AW191">
        <f>IF(AND(J191&gt;0,OR(AH!$I$5="All",AH!$I$5="A/H only",AH!$I$5=C191)),1,0)</f>
        <v/>
      </c>
      <c r="AX191">
        <f>IF(AW191=1,COUNTIF($AW$5:AW191,1),"")</f>
        <v/>
      </c>
      <c r="AY191">
        <f>IF(AH!$M$5="Snapshot",IF(ISNUMBER(G191),G191,"unavailable"),IF(AND(ISNUMBER(K191),N(K191)&gt;0),K191,IF(AH!$M$5="Auto",IF(ISNUMBER(G191),G191,"unavailable"),"unavailable")))</f>
        <v/>
      </c>
      <c r="AZ191">
        <f>IF(AND(AH!$M$5&lt;&gt;"Snapshot",ISNUMBER(K191),N(K191)&gt;0),"Bloomberg",IF(AND(AH!$M$5&lt;&gt;"Bloomberg",ISNUMBER(G191)),"Snapshot","Unavailable"))</f>
        <v/>
      </c>
      <c r="BA191">
        <f>IF(AZ191="Bloomberg",M191,H191)</f>
        <v/>
      </c>
      <c r="BB191">
        <f>1</f>
        <v/>
      </c>
    </row>
    <row r="192">
      <c r="A192" s="31" t="inlineStr">
        <is>
          <t>2591</t>
        </is>
      </c>
      <c r="B192" s="15" t="inlineStr">
        <is>
          <t>INNOGEN-B</t>
        </is>
      </c>
      <c r="C192" s="15" t="inlineStr">
        <is>
          <t>Healthcare</t>
        </is>
      </c>
      <c r="D192" s="15" t="inlineStr">
        <is>
          <t>Biotech pre-revenue (18A)</t>
        </is>
      </c>
      <c r="E192" s="34" t="n">
        <v>45884</v>
      </c>
      <c r="F192" s="15" t="n">
        <v>18.68</v>
      </c>
      <c r="G192" s="15" t="n">
        <v>3.73</v>
      </c>
      <c r="H192" s="34" t="n">
        <v>46297</v>
      </c>
      <c r="I192" s="31" t="n"/>
      <c r="J192" s="15" t="n">
        <v>0</v>
      </c>
      <c r="K192" s="15">
        <f>IF(AND(AH!$M$5="Snapshot",'IPO Live'!$M$5="Snapshot"),"",IFERROR(BDP(TEXT(VALUE($A192),"0")&amp;" HK Equity","PX_LAST"),""))</f>
        <v/>
      </c>
      <c r="L192" s="15">
        <f>IF(AND(AH!$M$5="Snapshot",'IPO Live'!$M$5="Snapshot"),"",IFERROR(BDP(TEXT(VALUE($A192),"0")&amp;" HK Equity","CHG_PCT_1D")/100,""))</f>
        <v/>
      </c>
      <c r="M192" s="15">
        <f>IF(AND(AH!$M$5="Snapshot",'IPO Live'!$M$5="Snapshot"),"",IFERROR(BDP(TEXT(VALUE($A192),"0")&amp;" HK Equity","LAST_UPDATE_DT"),""))</f>
        <v/>
      </c>
      <c r="N192" s="15">
        <f>IF(AND(AH!$M$5="Snapshot",'IPO Live'!$M$5="Snapshot"),"",IFERROR(BDP(TEXT(VALUE($A192),"0")&amp;" HK Equity","LAST_UPDATE"),""))</f>
        <v/>
      </c>
      <c r="O192" s="15">
        <f>IF('IPO Live'!$M$5="Snapshot",IF(ISNUMBER(G192),G192,"unavailable"),IF(AND(ISNUMBER(K192),N(K192)&gt;0),K192,IF('IPO Live'!$M$5="Auto",IF(ISNUMBER(G192),G192,"unavailable"),"unavailable")))</f>
        <v/>
      </c>
      <c r="P192" s="15">
        <f>IF(AND('IPO Live'!$M$5&lt;&gt;"Snapshot",ISNUMBER(K192),N(K192)&gt;0),"Bloomberg",IF(AND('IPO Live'!$M$5&lt;&gt;"Bloomberg",ISNUMBER(G192)),"Snapshot","Unavailable"))</f>
        <v/>
      </c>
      <c r="Q192" s="33">
        <f>IF(AND(P192="Bloomberg",ISNUMBER(L192)),L192,"unavailable")</f>
        <v/>
      </c>
      <c r="R192" s="15">
        <f>IF(OR('IPO Live'!$B$5="All",'IPO Live'!$B$5=C192,AND('IPO Live'!$B$5="A/H only",J192&gt;0)),1,0)</f>
        <v/>
      </c>
      <c r="S192" s="15">
        <f>IF(R192=1,COUNTIF($R$5:R192,1),"")</f>
        <v/>
      </c>
      <c r="T192">
        <f>1</f>
        <v/>
      </c>
      <c r="U192">
        <f>IF($P192="Bloomberg",$M192,$H192)</f>
        <v/>
      </c>
      <c r="AW192">
        <f>IF(AND(J192&gt;0,OR(AH!$I$5="All",AH!$I$5="A/H only",AH!$I$5=C192)),1,0)</f>
        <v/>
      </c>
      <c r="AX192">
        <f>IF(AW192=1,COUNTIF($AW$5:AW192,1),"")</f>
        <v/>
      </c>
      <c r="AY192">
        <f>IF(AH!$M$5="Snapshot",IF(ISNUMBER(G192),G192,"unavailable"),IF(AND(ISNUMBER(K192),N(K192)&gt;0),K192,IF(AH!$M$5="Auto",IF(ISNUMBER(G192),G192,"unavailable"),"unavailable")))</f>
        <v/>
      </c>
      <c r="AZ192">
        <f>IF(AND(AH!$M$5&lt;&gt;"Snapshot",ISNUMBER(K192),N(K192)&gt;0),"Bloomberg",IF(AND(AH!$M$5&lt;&gt;"Bloomberg",ISNUMBER(G192)),"Snapshot","Unavailable"))</f>
        <v/>
      </c>
      <c r="BA192">
        <f>IF(AZ192="Bloomberg",M192,H192)</f>
        <v/>
      </c>
      <c r="BB192">
        <f>1</f>
        <v/>
      </c>
    </row>
    <row r="193">
      <c r="A193" s="31" t="inlineStr">
        <is>
          <t>2627</t>
        </is>
      </c>
      <c r="B193" s="15" t="inlineStr">
        <is>
          <t>AB&amp;B BIO-TECH-B</t>
        </is>
      </c>
      <c r="C193" s="15" t="inlineStr">
        <is>
          <t>Healthcare</t>
        </is>
      </c>
      <c r="D193" s="15" t="inlineStr">
        <is>
          <t>Biotech pre-revenue (18A)</t>
        </is>
      </c>
      <c r="E193" s="34" t="n">
        <v>45880</v>
      </c>
      <c r="F193" s="15" t="n">
        <v>12.9</v>
      </c>
      <c r="G193" s="15" t="n">
        <v>29.32</v>
      </c>
      <c r="H193" s="34" t="n">
        <v>46112</v>
      </c>
      <c r="I193" s="31" t="n"/>
      <c r="J193" s="15" t="n">
        <v>0</v>
      </c>
      <c r="K193" s="15">
        <f>IF(AND(AH!$M$5="Snapshot",'IPO Live'!$M$5="Snapshot"),"",IFERROR(BDP(TEXT(VALUE($A193),"0")&amp;" HK Equity","PX_LAST"),""))</f>
        <v/>
      </c>
      <c r="L193" s="15">
        <f>IF(AND(AH!$M$5="Snapshot",'IPO Live'!$M$5="Snapshot"),"",IFERROR(BDP(TEXT(VALUE($A193),"0")&amp;" HK Equity","CHG_PCT_1D")/100,""))</f>
        <v/>
      </c>
      <c r="M193" s="15">
        <f>IF(AND(AH!$M$5="Snapshot",'IPO Live'!$M$5="Snapshot"),"",IFERROR(BDP(TEXT(VALUE($A193),"0")&amp;" HK Equity","LAST_UPDATE_DT"),""))</f>
        <v/>
      </c>
      <c r="N193" s="15">
        <f>IF(AND(AH!$M$5="Snapshot",'IPO Live'!$M$5="Snapshot"),"",IFERROR(BDP(TEXT(VALUE($A193),"0")&amp;" HK Equity","LAST_UPDATE"),""))</f>
        <v/>
      </c>
      <c r="O193" s="15">
        <f>IF('IPO Live'!$M$5="Snapshot",IF(ISNUMBER(G193),G193,"unavailable"),IF(AND(ISNUMBER(K193),N(K193)&gt;0),K193,IF('IPO Live'!$M$5="Auto",IF(ISNUMBER(G193),G193,"unavailable"),"unavailable")))</f>
        <v/>
      </c>
      <c r="P193" s="15">
        <f>IF(AND('IPO Live'!$M$5&lt;&gt;"Snapshot",ISNUMBER(K193),N(K193)&gt;0),"Bloomberg",IF(AND('IPO Live'!$M$5&lt;&gt;"Bloomberg",ISNUMBER(G193)),"Snapshot","Unavailable"))</f>
        <v/>
      </c>
      <c r="Q193" s="33">
        <f>IF(AND(P193="Bloomberg",ISNUMBER(L193)),L193,"unavailable")</f>
        <v/>
      </c>
      <c r="R193" s="15">
        <f>IF(OR('IPO Live'!$B$5="All",'IPO Live'!$B$5=C193,AND('IPO Live'!$B$5="A/H only",J193&gt;0)),1,0)</f>
        <v/>
      </c>
      <c r="S193" s="15">
        <f>IF(R193=1,COUNTIF($R$5:R193,1),"")</f>
        <v/>
      </c>
      <c r="T193">
        <f>1</f>
        <v/>
      </c>
      <c r="U193">
        <f>IF($P193="Bloomberg",$M193,$H193)</f>
        <v/>
      </c>
      <c r="AW193">
        <f>IF(AND(J193&gt;0,OR(AH!$I$5="All",AH!$I$5="A/H only",AH!$I$5=C193)),1,0)</f>
        <v/>
      </c>
      <c r="AX193">
        <f>IF(AW193=1,COUNTIF($AW$5:AW193,1),"")</f>
        <v/>
      </c>
      <c r="AY193">
        <f>IF(AH!$M$5="Snapshot",IF(ISNUMBER(G193),G193,"unavailable"),IF(AND(ISNUMBER(K193),N(K193)&gt;0),K193,IF(AH!$M$5="Auto",IF(ISNUMBER(G193),G193,"unavailable"),"unavailable")))</f>
        <v/>
      </c>
      <c r="AZ193">
        <f>IF(AND(AH!$M$5&lt;&gt;"Snapshot",ISNUMBER(K193),N(K193)&gt;0),"Bloomberg",IF(AND(AH!$M$5&lt;&gt;"Bloomberg",ISNUMBER(G193)),"Snapshot","Unavailable"))</f>
        <v/>
      </c>
      <c r="BA193">
        <f>IF(AZ193="Bloomberg",M193,H193)</f>
        <v/>
      </c>
      <c r="BB193">
        <f>1</f>
        <v/>
      </c>
    </row>
    <row r="194">
      <c r="A194" s="31" t="inlineStr">
        <is>
          <t>9887</t>
        </is>
      </c>
      <c r="B194" s="15" t="inlineStr">
        <is>
          <t>LEADS BIOLABS-B</t>
        </is>
      </c>
      <c r="C194" s="15" t="inlineStr">
        <is>
          <t>Healthcare</t>
        </is>
      </c>
      <c r="D194" s="15" t="inlineStr">
        <is>
          <t>Biotech pre-revenue (18A)</t>
        </is>
      </c>
      <c r="E194" s="34" t="n">
        <v>45863</v>
      </c>
      <c r="F194" s="15" t="n">
        <v>35</v>
      </c>
      <c r="G194" s="15" t="n">
        <v>50.45</v>
      </c>
      <c r="H194" s="34" t="n">
        <v>46297</v>
      </c>
      <c r="I194" s="31" t="n"/>
      <c r="J194" s="15" t="n">
        <v>0</v>
      </c>
      <c r="K194" s="15">
        <f>IF(AND(AH!$M$5="Snapshot",'IPO Live'!$M$5="Snapshot"),"",IFERROR(BDP(TEXT(VALUE($A194),"0")&amp;" HK Equity","PX_LAST"),""))</f>
        <v/>
      </c>
      <c r="L194" s="15">
        <f>IF(AND(AH!$M$5="Snapshot",'IPO Live'!$M$5="Snapshot"),"",IFERROR(BDP(TEXT(VALUE($A194),"0")&amp;" HK Equity","CHG_PCT_1D")/100,""))</f>
        <v/>
      </c>
      <c r="M194" s="15">
        <f>IF(AND(AH!$M$5="Snapshot",'IPO Live'!$M$5="Snapshot"),"",IFERROR(BDP(TEXT(VALUE($A194),"0")&amp;" HK Equity","LAST_UPDATE_DT"),""))</f>
        <v/>
      </c>
      <c r="N194" s="15">
        <f>IF(AND(AH!$M$5="Snapshot",'IPO Live'!$M$5="Snapshot"),"",IFERROR(BDP(TEXT(VALUE($A194),"0")&amp;" HK Equity","LAST_UPDATE"),""))</f>
        <v/>
      </c>
      <c r="O194" s="15">
        <f>IF('IPO Live'!$M$5="Snapshot",IF(ISNUMBER(G194),G194,"unavailable"),IF(AND(ISNUMBER(K194),N(K194)&gt;0),K194,IF('IPO Live'!$M$5="Auto",IF(ISNUMBER(G194),G194,"unavailable"),"unavailable")))</f>
        <v/>
      </c>
      <c r="P194" s="15">
        <f>IF(AND('IPO Live'!$M$5&lt;&gt;"Snapshot",ISNUMBER(K194),N(K194)&gt;0),"Bloomberg",IF(AND('IPO Live'!$M$5&lt;&gt;"Bloomberg",ISNUMBER(G194)),"Snapshot","Unavailable"))</f>
        <v/>
      </c>
      <c r="Q194" s="33">
        <f>IF(AND(P194="Bloomberg",ISNUMBER(L194)),L194,"unavailable")</f>
        <v/>
      </c>
      <c r="R194" s="15">
        <f>IF(OR('IPO Live'!$B$5="All",'IPO Live'!$B$5=C194,AND('IPO Live'!$B$5="A/H only",J194&gt;0)),1,0)</f>
        <v/>
      </c>
      <c r="S194" s="15">
        <f>IF(R194=1,COUNTIF($R$5:R194,1),"")</f>
        <v/>
      </c>
      <c r="T194">
        <f>1</f>
        <v/>
      </c>
      <c r="U194">
        <f>IF($P194="Bloomberg",$M194,$H194)</f>
        <v/>
      </c>
      <c r="AW194">
        <f>IF(AND(J194&gt;0,OR(AH!$I$5="All",AH!$I$5="A/H only",AH!$I$5=C194)),1,0)</f>
        <v/>
      </c>
      <c r="AX194">
        <f>IF(AW194=1,COUNTIF($AW$5:AW194,1),"")</f>
        <v/>
      </c>
      <c r="AY194">
        <f>IF(AH!$M$5="Snapshot",IF(ISNUMBER(G194),G194,"unavailable"),IF(AND(ISNUMBER(K194),N(K194)&gt;0),K194,IF(AH!$M$5="Auto",IF(ISNUMBER(G194),G194,"unavailable"),"unavailable")))</f>
        <v/>
      </c>
      <c r="AZ194">
        <f>IF(AND(AH!$M$5&lt;&gt;"Snapshot",ISNUMBER(K194),N(K194)&gt;0),"Bloomberg",IF(AND(AH!$M$5&lt;&gt;"Bloomberg",ISNUMBER(G194)),"Snapshot","Unavailable"))</f>
        <v/>
      </c>
      <c r="BA194">
        <f>IF(AZ194="Bloomberg",M194,H194)</f>
        <v/>
      </c>
      <c r="BB194">
        <f>1</f>
        <v/>
      </c>
    </row>
    <row r="195">
      <c r="A195" s="31" t="inlineStr">
        <is>
          <t>2651</t>
        </is>
      </c>
      <c r="B195" s="15" t="inlineStr">
        <is>
          <t>DAZHONG DENTAL</t>
        </is>
      </c>
      <c r="C195" s="15" t="inlineStr">
        <is>
          <t>Healthcare</t>
        </is>
      </c>
      <c r="D195" s="15" t="inlineStr">
        <is>
          <t>Hospitals / clinics</t>
        </is>
      </c>
      <c r="E195" s="34" t="n">
        <v>45847</v>
      </c>
      <c r="F195" s="15" t="n">
        <v>20</v>
      </c>
      <c r="G195" s="15" t="n">
        <v>34.8</v>
      </c>
      <c r="H195" s="34" t="n">
        <v>46297</v>
      </c>
      <c r="I195" s="31" t="n"/>
      <c r="J195" s="15" t="n">
        <v>0</v>
      </c>
      <c r="K195" s="15">
        <f>IF(AND(AH!$M$5="Snapshot",'IPO Live'!$M$5="Snapshot"),"",IFERROR(BDP(TEXT(VALUE($A195),"0")&amp;" HK Equity","PX_LAST"),""))</f>
        <v/>
      </c>
      <c r="L195" s="15">
        <f>IF(AND(AH!$M$5="Snapshot",'IPO Live'!$M$5="Snapshot"),"",IFERROR(BDP(TEXT(VALUE($A195),"0")&amp;" HK Equity","CHG_PCT_1D")/100,""))</f>
        <v/>
      </c>
      <c r="M195" s="15">
        <f>IF(AND(AH!$M$5="Snapshot",'IPO Live'!$M$5="Snapshot"),"",IFERROR(BDP(TEXT(VALUE($A195),"0")&amp;" HK Equity","LAST_UPDATE_DT"),""))</f>
        <v/>
      </c>
      <c r="N195" s="15">
        <f>IF(AND(AH!$M$5="Snapshot",'IPO Live'!$M$5="Snapshot"),"",IFERROR(BDP(TEXT(VALUE($A195),"0")&amp;" HK Equity","LAST_UPDATE"),""))</f>
        <v/>
      </c>
      <c r="O195" s="15">
        <f>IF('IPO Live'!$M$5="Snapshot",IF(ISNUMBER(G195),G195,"unavailable"),IF(AND(ISNUMBER(K195),N(K195)&gt;0),K195,IF('IPO Live'!$M$5="Auto",IF(ISNUMBER(G195),G195,"unavailable"),"unavailable")))</f>
        <v/>
      </c>
      <c r="P195" s="15">
        <f>IF(AND('IPO Live'!$M$5&lt;&gt;"Snapshot",ISNUMBER(K195),N(K195)&gt;0),"Bloomberg",IF(AND('IPO Live'!$M$5&lt;&gt;"Bloomberg",ISNUMBER(G195)),"Snapshot","Unavailable"))</f>
        <v/>
      </c>
      <c r="Q195" s="33">
        <f>IF(AND(P195="Bloomberg",ISNUMBER(L195)),L195,"unavailable")</f>
        <v/>
      </c>
      <c r="R195" s="15">
        <f>IF(OR('IPO Live'!$B$5="All",'IPO Live'!$B$5=C195,AND('IPO Live'!$B$5="A/H only",J195&gt;0)),1,0)</f>
        <v/>
      </c>
      <c r="S195" s="15">
        <f>IF(R195=1,COUNTIF($R$5:R195,1),"")</f>
        <v/>
      </c>
      <c r="T195">
        <f>IF(ISNUMBER($U195),IF($U195&gt;=DATEVALUE("2026-09-18"),1.2,1),"unavailable")</f>
        <v/>
      </c>
      <c r="U195">
        <f>IF($P195="Bloomberg",$M195,$H195)</f>
        <v/>
      </c>
      <c r="AW195">
        <f>IF(AND(J195&gt;0,OR(AH!$I$5="All",AH!$I$5="A/H only",AH!$I$5=C195)),1,0)</f>
        <v/>
      </c>
      <c r="AX195">
        <f>IF(AW195=1,COUNTIF($AW$5:AW195,1),"")</f>
        <v/>
      </c>
      <c r="AY195">
        <f>IF(AH!$M$5="Snapshot",IF(ISNUMBER(G195),G195,"unavailable"),IF(AND(ISNUMBER(K195),N(K195)&gt;0),K195,IF(AH!$M$5="Auto",IF(ISNUMBER(G195),G195,"unavailable"),"unavailable")))</f>
        <v/>
      </c>
      <c r="AZ195">
        <f>IF(AND(AH!$M$5&lt;&gt;"Snapshot",ISNUMBER(K195),N(K195)&gt;0),"Bloomberg",IF(AND(AH!$M$5&lt;&gt;"Bloomberg",ISNUMBER(G195)),"Snapshot","Unavailable"))</f>
        <v/>
      </c>
      <c r="BA195">
        <f>IF(AZ195="Bloomberg",M195,H195)</f>
        <v/>
      </c>
      <c r="BB195">
        <f>IF(ISNUMBER($BA195),IF($BA195&gt;=DATEVALUE("2026-09-18"),1.2,1),"unavailable")</f>
        <v/>
      </c>
    </row>
    <row r="196">
      <c r="A196" s="31" t="inlineStr">
        <is>
          <t>2592</t>
        </is>
      </c>
      <c r="B196" s="15" t="inlineStr">
        <is>
          <t>CLOUDBREAK-B</t>
        </is>
      </c>
      <c r="C196" s="15" t="inlineStr">
        <is>
          <t>Healthcare</t>
        </is>
      </c>
      <c r="D196" s="15" t="inlineStr">
        <is>
          <t>Biotech pre-revenue (18A)</t>
        </is>
      </c>
      <c r="E196" s="34" t="n">
        <v>45841</v>
      </c>
      <c r="F196" s="15" t="n">
        <v>10.1</v>
      </c>
      <c r="G196" s="15" t="n">
        <v>1.19</v>
      </c>
      <c r="H196" s="34" t="n">
        <v>46274</v>
      </c>
      <c r="I196" s="31" t="n"/>
      <c r="J196" s="15" t="n">
        <v>0</v>
      </c>
      <c r="K196" s="15">
        <f>IF(AND(AH!$M$5="Snapshot",'IPO Live'!$M$5="Snapshot"),"",IFERROR(BDP(TEXT(VALUE($A196),"0")&amp;" HK Equity","PX_LAST"),""))</f>
        <v/>
      </c>
      <c r="L196" s="15">
        <f>IF(AND(AH!$M$5="Snapshot",'IPO Live'!$M$5="Snapshot"),"",IFERROR(BDP(TEXT(VALUE($A196),"0")&amp;" HK Equity","CHG_PCT_1D")/100,""))</f>
        <v/>
      </c>
      <c r="M196" s="15">
        <f>IF(AND(AH!$M$5="Snapshot",'IPO Live'!$M$5="Snapshot"),"",IFERROR(BDP(TEXT(VALUE($A196),"0")&amp;" HK Equity","LAST_UPDATE_DT"),""))</f>
        <v/>
      </c>
      <c r="N196" s="15">
        <f>IF(AND(AH!$M$5="Snapshot",'IPO Live'!$M$5="Snapshot"),"",IFERROR(BDP(TEXT(VALUE($A196),"0")&amp;" HK Equity","LAST_UPDATE"),""))</f>
        <v/>
      </c>
      <c r="O196" s="15">
        <f>IF('IPO Live'!$M$5="Snapshot",IF(ISNUMBER(G196),G196,"unavailable"),IF(AND(ISNUMBER(K196),N(K196)&gt;0),K196,IF('IPO Live'!$M$5="Auto",IF(ISNUMBER(G196),G196,"unavailable"),"unavailable")))</f>
        <v/>
      </c>
      <c r="P196" s="15">
        <f>IF(AND('IPO Live'!$M$5&lt;&gt;"Snapshot",ISNUMBER(K196),N(K196)&gt;0),"Bloomberg",IF(AND('IPO Live'!$M$5&lt;&gt;"Bloomberg",ISNUMBER(G196)),"Snapshot","Unavailable"))</f>
        <v/>
      </c>
      <c r="Q196" s="33">
        <f>IF(AND(P196="Bloomberg",ISNUMBER(L196)),L196,"unavailable")</f>
        <v/>
      </c>
      <c r="R196" s="15">
        <f>IF(OR('IPO Live'!$B$5="All",'IPO Live'!$B$5=C196,AND('IPO Live'!$B$5="A/H only",J196&gt;0)),1,0)</f>
        <v/>
      </c>
      <c r="S196" s="15">
        <f>IF(R196=1,COUNTIF($R$5:R196,1),"")</f>
        <v/>
      </c>
      <c r="T196">
        <f>1</f>
        <v/>
      </c>
      <c r="U196">
        <f>IF($P196="Bloomberg",$M196,$H196)</f>
        <v/>
      </c>
      <c r="AW196">
        <f>IF(AND(J196&gt;0,OR(AH!$I$5="All",AH!$I$5="A/H only",AH!$I$5=C196)),1,0)</f>
        <v/>
      </c>
      <c r="AX196">
        <f>IF(AW196=1,COUNTIF($AW$5:AW196,1),"")</f>
        <v/>
      </c>
      <c r="AY196">
        <f>IF(AH!$M$5="Snapshot",IF(ISNUMBER(G196),G196,"unavailable"),IF(AND(ISNUMBER(K196),N(K196)&gt;0),K196,IF(AH!$M$5="Auto",IF(ISNUMBER(G196),G196,"unavailable"),"unavailable")))</f>
        <v/>
      </c>
      <c r="AZ196">
        <f>IF(AND(AH!$M$5&lt;&gt;"Snapshot",ISNUMBER(K196),N(K196)&gt;0),"Bloomberg",IF(AND(AH!$M$5&lt;&gt;"Bloomberg",ISNUMBER(G196)),"Snapshot","Unavailable"))</f>
        <v/>
      </c>
      <c r="BA196">
        <f>IF(AZ196="Bloomberg",M196,H196)</f>
        <v/>
      </c>
      <c r="BB196">
        <f>1</f>
        <v/>
      </c>
    </row>
    <row r="197">
      <c r="A197" s="31" t="inlineStr">
        <is>
          <t>3880</t>
        </is>
      </c>
      <c r="B197" s="15" t="inlineStr">
        <is>
          <t>MEDTIDE</t>
        </is>
      </c>
      <c r="C197" s="15" t="inlineStr">
        <is>
          <t>Healthcare</t>
        </is>
      </c>
      <c r="D197" s="15" t="inlineStr">
        <is>
          <t>CXO / pharma services</t>
        </is>
      </c>
      <c r="E197" s="34" t="n">
        <v>45838</v>
      </c>
      <c r="F197" s="15" t="n">
        <v>30.6</v>
      </c>
      <c r="G197" s="15" t="n">
        <v>21.18</v>
      </c>
      <c r="H197" s="34" t="n">
        <v>46297</v>
      </c>
      <c r="I197" s="31" t="n"/>
      <c r="J197" s="15" t="n">
        <v>0</v>
      </c>
      <c r="K197" s="15">
        <f>IF(AND(AH!$M$5="Snapshot",'IPO Live'!$M$5="Snapshot"),"",IFERROR(BDP(TEXT(VALUE($A197),"0")&amp;" HK Equity","PX_LAST"),""))</f>
        <v/>
      </c>
      <c r="L197" s="15">
        <f>IF(AND(AH!$M$5="Snapshot",'IPO Live'!$M$5="Snapshot"),"",IFERROR(BDP(TEXT(VALUE($A197),"0")&amp;" HK Equity","CHG_PCT_1D")/100,""))</f>
        <v/>
      </c>
      <c r="M197" s="15">
        <f>IF(AND(AH!$M$5="Snapshot",'IPO Live'!$M$5="Snapshot"),"",IFERROR(BDP(TEXT(VALUE($A197),"0")&amp;" HK Equity","LAST_UPDATE_DT"),""))</f>
        <v/>
      </c>
      <c r="N197" s="15">
        <f>IF(AND(AH!$M$5="Snapshot",'IPO Live'!$M$5="Snapshot"),"",IFERROR(BDP(TEXT(VALUE($A197),"0")&amp;" HK Equity","LAST_UPDATE"),""))</f>
        <v/>
      </c>
      <c r="O197" s="15">
        <f>IF('IPO Live'!$M$5="Snapshot",IF(ISNUMBER(G197),G197,"unavailable"),IF(AND(ISNUMBER(K197),N(K197)&gt;0),K197,IF('IPO Live'!$M$5="Auto",IF(ISNUMBER(G197),G197,"unavailable"),"unavailable")))</f>
        <v/>
      </c>
      <c r="P197" s="15">
        <f>IF(AND('IPO Live'!$M$5&lt;&gt;"Snapshot",ISNUMBER(K197),N(K197)&gt;0),"Bloomberg",IF(AND('IPO Live'!$M$5&lt;&gt;"Bloomberg",ISNUMBER(G197)),"Snapshot","Unavailable"))</f>
        <v/>
      </c>
      <c r="Q197" s="33">
        <f>IF(AND(P197="Bloomberg",ISNUMBER(L197)),L197,"unavailable")</f>
        <v/>
      </c>
      <c r="R197" s="15">
        <f>IF(OR('IPO Live'!$B$5="All",'IPO Live'!$B$5=C197,AND('IPO Live'!$B$5="A/H only",J197&gt;0)),1,0)</f>
        <v/>
      </c>
      <c r="S197" s="15">
        <f>IF(R197=1,COUNTIF($R$5:R197,1),"")</f>
        <v/>
      </c>
      <c r="T197">
        <f>1</f>
        <v/>
      </c>
      <c r="U197">
        <f>IF($P197="Bloomberg",$M197,$H197)</f>
        <v/>
      </c>
      <c r="AW197">
        <f>IF(AND(J197&gt;0,OR(AH!$I$5="All",AH!$I$5="A/H only",AH!$I$5=C197)),1,0)</f>
        <v/>
      </c>
      <c r="AX197">
        <f>IF(AW197=1,COUNTIF($AW$5:AW197,1),"")</f>
        <v/>
      </c>
      <c r="AY197">
        <f>IF(AH!$M$5="Snapshot",IF(ISNUMBER(G197),G197,"unavailable"),IF(AND(ISNUMBER(K197),N(K197)&gt;0),K197,IF(AH!$M$5="Auto",IF(ISNUMBER(G197),G197,"unavailable"),"unavailable")))</f>
        <v/>
      </c>
      <c r="AZ197">
        <f>IF(AND(AH!$M$5&lt;&gt;"Snapshot",ISNUMBER(K197),N(K197)&gt;0),"Bloomberg",IF(AND(AH!$M$5&lt;&gt;"Bloomberg",ISNUMBER(G197)),"Snapshot","Unavailable"))</f>
        <v/>
      </c>
      <c r="BA197">
        <f>IF(AZ197="Bloomberg",M197,H197)</f>
        <v/>
      </c>
      <c r="BB197">
        <f>1</f>
        <v/>
      </c>
    </row>
    <row r="198">
      <c r="A198" s="31" t="inlineStr">
        <is>
          <t>2508</t>
        </is>
      </c>
      <c r="B198" s="15" t="inlineStr">
        <is>
          <t>SAINT BELLA</t>
        </is>
      </c>
      <c r="C198" s="15" t="inlineStr">
        <is>
          <t>Healthcare</t>
        </is>
      </c>
      <c r="D198" s="15" t="inlineStr">
        <is>
          <t>Hospitals / clinics</t>
        </is>
      </c>
      <c r="E198" s="34" t="n">
        <v>45834</v>
      </c>
      <c r="F198" s="15" t="n">
        <v>6.58</v>
      </c>
      <c r="G198" s="15" t="n">
        <v>2.64</v>
      </c>
      <c r="H198" s="34" t="n">
        <v>46297</v>
      </c>
      <c r="I198" s="31" t="n"/>
      <c r="J198" s="15" t="n">
        <v>0</v>
      </c>
      <c r="K198" s="15">
        <f>IF(AND(AH!$M$5="Snapshot",'IPO Live'!$M$5="Snapshot"),"",IFERROR(BDP(TEXT(VALUE($A198),"0")&amp;" HK Equity","PX_LAST"),""))</f>
        <v/>
      </c>
      <c r="L198" s="15">
        <f>IF(AND(AH!$M$5="Snapshot",'IPO Live'!$M$5="Snapshot"),"",IFERROR(BDP(TEXT(VALUE($A198),"0")&amp;" HK Equity","CHG_PCT_1D")/100,""))</f>
        <v/>
      </c>
      <c r="M198" s="15">
        <f>IF(AND(AH!$M$5="Snapshot",'IPO Live'!$M$5="Snapshot"),"",IFERROR(BDP(TEXT(VALUE($A198),"0")&amp;" HK Equity","LAST_UPDATE_DT"),""))</f>
        <v/>
      </c>
      <c r="N198" s="15">
        <f>IF(AND(AH!$M$5="Snapshot",'IPO Live'!$M$5="Snapshot"),"",IFERROR(BDP(TEXT(VALUE($A198),"0")&amp;" HK Equity","LAST_UPDATE"),""))</f>
        <v/>
      </c>
      <c r="O198" s="15">
        <f>IF('IPO Live'!$M$5="Snapshot",IF(ISNUMBER(G198),G198,"unavailable"),IF(AND(ISNUMBER(K198),N(K198)&gt;0),K198,IF('IPO Live'!$M$5="Auto",IF(ISNUMBER(G198),G198,"unavailable"),"unavailable")))</f>
        <v/>
      </c>
      <c r="P198" s="15">
        <f>IF(AND('IPO Live'!$M$5&lt;&gt;"Snapshot",ISNUMBER(K198),N(K198)&gt;0),"Bloomberg",IF(AND('IPO Live'!$M$5&lt;&gt;"Bloomberg",ISNUMBER(G198)),"Snapshot","Unavailable"))</f>
        <v/>
      </c>
      <c r="Q198" s="33">
        <f>IF(AND(P198="Bloomberg",ISNUMBER(L198)),L198,"unavailable")</f>
        <v/>
      </c>
      <c r="R198" s="15">
        <f>IF(OR('IPO Live'!$B$5="All",'IPO Live'!$B$5=C198,AND('IPO Live'!$B$5="A/H only",J198&gt;0)),1,0)</f>
        <v/>
      </c>
      <c r="S198" s="15">
        <f>IF(R198=1,COUNTIF($R$5:R198,1),"")</f>
        <v/>
      </c>
      <c r="T198">
        <f>1</f>
        <v/>
      </c>
      <c r="U198">
        <f>IF($P198="Bloomberg",$M198,$H198)</f>
        <v/>
      </c>
      <c r="AW198">
        <f>IF(AND(J198&gt;0,OR(AH!$I$5="All",AH!$I$5="A/H only",AH!$I$5=C198)),1,0)</f>
        <v/>
      </c>
      <c r="AX198">
        <f>IF(AW198=1,COUNTIF($AW$5:AW198,1),"")</f>
        <v/>
      </c>
      <c r="AY198">
        <f>IF(AH!$M$5="Snapshot",IF(ISNUMBER(G198),G198,"unavailable"),IF(AND(ISNUMBER(K198),N(K198)&gt;0),K198,IF(AH!$M$5="Auto",IF(ISNUMBER(G198),G198,"unavailable"),"unavailable")))</f>
        <v/>
      </c>
      <c r="AZ198">
        <f>IF(AND(AH!$M$5&lt;&gt;"Snapshot",ISNUMBER(K198),N(K198)&gt;0),"Bloomberg",IF(AND(AH!$M$5&lt;&gt;"Bloomberg",ISNUMBER(G198)),"Snapshot","Unavailable"))</f>
        <v/>
      </c>
      <c r="BA198">
        <f>IF(AZ198="Bloomberg",M198,H198)</f>
        <v/>
      </c>
      <c r="BB198">
        <f>1</f>
        <v/>
      </c>
    </row>
    <row r="199">
      <c r="A199" s="31" t="inlineStr">
        <is>
          <t>2609</t>
        </is>
      </c>
      <c r="B199" s="15" t="inlineStr">
        <is>
          <t>BAYZED HEALTH</t>
        </is>
      </c>
      <c r="C199" s="15" t="inlineStr">
        <is>
          <t>Healthcare</t>
        </is>
      </c>
      <c r="D199" s="15" t="inlineStr">
        <is>
          <t>Digital health</t>
        </is>
      </c>
      <c r="E199" s="34" t="n">
        <v>45831</v>
      </c>
      <c r="F199" s="15" t="n">
        <v>4.22</v>
      </c>
      <c r="G199" s="15" t="n">
        <v>3.04</v>
      </c>
      <c r="H199" s="34" t="n">
        <v>46297</v>
      </c>
      <c r="I199" s="31" t="n"/>
      <c r="J199" s="15" t="n">
        <v>0</v>
      </c>
      <c r="K199" s="15">
        <f>IF(AND(AH!$M$5="Snapshot",'IPO Live'!$M$5="Snapshot"),"",IFERROR(BDP(TEXT(VALUE($A199),"0")&amp;" HK Equity","PX_LAST"),""))</f>
        <v/>
      </c>
      <c r="L199" s="15">
        <f>IF(AND(AH!$M$5="Snapshot",'IPO Live'!$M$5="Snapshot"),"",IFERROR(BDP(TEXT(VALUE($A199),"0")&amp;" HK Equity","CHG_PCT_1D")/100,""))</f>
        <v/>
      </c>
      <c r="M199" s="15">
        <f>IF(AND(AH!$M$5="Snapshot",'IPO Live'!$M$5="Snapshot"),"",IFERROR(BDP(TEXT(VALUE($A199),"0")&amp;" HK Equity","LAST_UPDATE_DT"),""))</f>
        <v/>
      </c>
      <c r="N199" s="15">
        <f>IF(AND(AH!$M$5="Snapshot",'IPO Live'!$M$5="Snapshot"),"",IFERROR(BDP(TEXT(VALUE($A199),"0")&amp;" HK Equity","LAST_UPDATE"),""))</f>
        <v/>
      </c>
      <c r="O199" s="15">
        <f>IF('IPO Live'!$M$5="Snapshot",IF(ISNUMBER(G199),G199,"unavailable"),IF(AND(ISNUMBER(K199),N(K199)&gt;0),K199,IF('IPO Live'!$M$5="Auto",IF(ISNUMBER(G199),G199,"unavailable"),"unavailable")))</f>
        <v/>
      </c>
      <c r="P199" s="15">
        <f>IF(AND('IPO Live'!$M$5&lt;&gt;"Snapshot",ISNUMBER(K199),N(K199)&gt;0),"Bloomberg",IF(AND('IPO Live'!$M$5&lt;&gt;"Bloomberg",ISNUMBER(G199)),"Snapshot","Unavailable"))</f>
        <v/>
      </c>
      <c r="Q199" s="33">
        <f>IF(AND(P199="Bloomberg",ISNUMBER(L199)),L199,"unavailable")</f>
        <v/>
      </c>
      <c r="R199" s="15">
        <f>IF(OR('IPO Live'!$B$5="All",'IPO Live'!$B$5=C199,AND('IPO Live'!$B$5="A/H only",J199&gt;0)),1,0)</f>
        <v/>
      </c>
      <c r="S199" s="15">
        <f>IF(R199=1,COUNTIF($R$5:R199,1),"")</f>
        <v/>
      </c>
      <c r="T199">
        <f>1</f>
        <v/>
      </c>
      <c r="U199">
        <f>IF($P199="Bloomberg",$M199,$H199)</f>
        <v/>
      </c>
      <c r="AW199">
        <f>IF(AND(J199&gt;0,OR(AH!$I$5="All",AH!$I$5="A/H only",AH!$I$5=C199)),1,0)</f>
        <v/>
      </c>
      <c r="AX199">
        <f>IF(AW199=1,COUNTIF($AW$5:AW199,1),"")</f>
        <v/>
      </c>
      <c r="AY199">
        <f>IF(AH!$M$5="Snapshot",IF(ISNUMBER(G199),G199,"unavailable"),IF(AND(ISNUMBER(K199),N(K199)&gt;0),K199,IF(AH!$M$5="Auto",IF(ISNUMBER(G199),G199,"unavailable"),"unavailable")))</f>
        <v/>
      </c>
      <c r="AZ199">
        <f>IF(AND(AH!$M$5&lt;&gt;"Snapshot",ISNUMBER(K199),N(K199)&gt;0),"Bloomberg",IF(AND(AH!$M$5&lt;&gt;"Bloomberg",ISNUMBER(G199)),"Snapshot","Unavailable"))</f>
        <v/>
      </c>
      <c r="BA199">
        <f>IF(AZ199="Bloomberg",M199,H199)</f>
        <v/>
      </c>
      <c r="BB199">
        <f>1</f>
        <v/>
      </c>
    </row>
    <row r="200">
      <c r="A200" s="31" t="inlineStr">
        <is>
          <t>2617</t>
        </is>
      </c>
      <c r="B200" s="15" t="inlineStr">
        <is>
          <t>TRANSTHERA-B</t>
        </is>
      </c>
      <c r="C200" s="15" t="inlineStr">
        <is>
          <t>Healthcare</t>
        </is>
      </c>
      <c r="D200" s="15" t="inlineStr">
        <is>
          <t>Biotech pre-revenue (18A)</t>
        </is>
      </c>
      <c r="E200" s="34" t="n">
        <v>45831</v>
      </c>
      <c r="F200" s="15" t="n">
        <v>13.15</v>
      </c>
      <c r="G200" s="15" t="n">
        <v>10.72</v>
      </c>
      <c r="H200" s="34" t="n">
        <v>46297</v>
      </c>
      <c r="I200" s="31" t="n"/>
      <c r="J200" s="15" t="n">
        <v>0</v>
      </c>
      <c r="K200" s="15">
        <f>IF(AND(AH!$M$5="Snapshot",'IPO Live'!$M$5="Snapshot"),"",IFERROR(BDP(TEXT(VALUE($A200),"0")&amp;" HK Equity","PX_LAST"),""))</f>
        <v/>
      </c>
      <c r="L200" s="15">
        <f>IF(AND(AH!$M$5="Snapshot",'IPO Live'!$M$5="Snapshot"),"",IFERROR(BDP(TEXT(VALUE($A200),"0")&amp;" HK Equity","CHG_PCT_1D")/100,""))</f>
        <v/>
      </c>
      <c r="M200" s="15">
        <f>IF(AND(AH!$M$5="Snapshot",'IPO Live'!$M$5="Snapshot"),"",IFERROR(BDP(TEXT(VALUE($A200),"0")&amp;" HK Equity","LAST_UPDATE_DT"),""))</f>
        <v/>
      </c>
      <c r="N200" s="15">
        <f>IF(AND(AH!$M$5="Snapshot",'IPO Live'!$M$5="Snapshot"),"",IFERROR(BDP(TEXT(VALUE($A200),"0")&amp;" HK Equity","LAST_UPDATE"),""))</f>
        <v/>
      </c>
      <c r="O200" s="15">
        <f>IF('IPO Live'!$M$5="Snapshot",IF(ISNUMBER(G200),G200,"unavailable"),IF(AND(ISNUMBER(K200),N(K200)&gt;0),K200,IF('IPO Live'!$M$5="Auto",IF(ISNUMBER(G200),G200,"unavailable"),"unavailable")))</f>
        <v/>
      </c>
      <c r="P200" s="15">
        <f>IF(AND('IPO Live'!$M$5&lt;&gt;"Snapshot",ISNUMBER(K200),N(K200)&gt;0),"Bloomberg",IF(AND('IPO Live'!$M$5&lt;&gt;"Bloomberg",ISNUMBER(G200)),"Snapshot","Unavailable"))</f>
        <v/>
      </c>
      <c r="Q200" s="33">
        <f>IF(AND(P200="Bloomberg",ISNUMBER(L200)),L200,"unavailable")</f>
        <v/>
      </c>
      <c r="R200" s="15">
        <f>IF(OR('IPO Live'!$B$5="All",'IPO Live'!$B$5=C200,AND('IPO Live'!$B$5="A/H only",J200&gt;0)),1,0)</f>
        <v/>
      </c>
      <c r="S200" s="15">
        <f>IF(R200=1,COUNTIF($R$5:R200,1),"")</f>
        <v/>
      </c>
      <c r="T200">
        <f>1</f>
        <v/>
      </c>
      <c r="U200">
        <f>IF($P200="Bloomberg",$M200,$H200)</f>
        <v/>
      </c>
      <c r="AW200">
        <f>IF(AND(J200&gt;0,OR(AH!$I$5="All",AH!$I$5="A/H only",AH!$I$5=C200)),1,0)</f>
        <v/>
      </c>
      <c r="AX200">
        <f>IF(AW200=1,COUNTIF($AW$5:AW200,1),"")</f>
        <v/>
      </c>
      <c r="AY200">
        <f>IF(AH!$M$5="Snapshot",IF(ISNUMBER(G200),G200,"unavailable"),IF(AND(ISNUMBER(K200),N(K200)&gt;0),K200,IF(AH!$M$5="Auto",IF(ISNUMBER(G200),G200,"unavailable"),"unavailable")))</f>
        <v/>
      </c>
      <c r="AZ200">
        <f>IF(AND(AH!$M$5&lt;&gt;"Snapshot",ISNUMBER(K200),N(K200)&gt;0),"Bloomberg",IF(AND(AH!$M$5&lt;&gt;"Bloomberg",ISNUMBER(G200)),"Snapshot","Unavailable"))</f>
        <v/>
      </c>
      <c r="BA200">
        <f>IF(AZ200="Bloomberg",M200,H200)</f>
        <v/>
      </c>
      <c r="BB200">
        <f>1</f>
        <v/>
      </c>
    </row>
    <row r="201">
      <c r="A201" s="31" t="inlineStr">
        <is>
          <t>2565</t>
        </is>
      </c>
      <c r="B201" s="15" t="inlineStr">
        <is>
          <t>PEGBIO CO-B</t>
        </is>
      </c>
      <c r="C201" s="15" t="inlineStr">
        <is>
          <t>Healthcare</t>
        </is>
      </c>
      <c r="D201" s="15" t="inlineStr">
        <is>
          <t>Biotech pre-revenue (18A)</t>
        </is>
      </c>
      <c r="E201" s="34" t="n">
        <v>45804</v>
      </c>
      <c r="F201" s="15" t="n">
        <v>15.6</v>
      </c>
      <c r="G201" s="15" t="n">
        <v>4.84</v>
      </c>
      <c r="H201" s="34" t="n">
        <v>46297</v>
      </c>
      <c r="I201" s="31" t="n"/>
      <c r="J201" s="15" t="n">
        <v>0</v>
      </c>
      <c r="K201" s="15">
        <f>IF(AND(AH!$M$5="Snapshot",'IPO Live'!$M$5="Snapshot"),"",IFERROR(BDP(TEXT(VALUE($A201),"0")&amp;" HK Equity","PX_LAST"),""))</f>
        <v/>
      </c>
      <c r="L201" s="15">
        <f>IF(AND(AH!$M$5="Snapshot",'IPO Live'!$M$5="Snapshot"),"",IFERROR(BDP(TEXT(VALUE($A201),"0")&amp;" HK Equity","CHG_PCT_1D")/100,""))</f>
        <v/>
      </c>
      <c r="M201" s="15">
        <f>IF(AND(AH!$M$5="Snapshot",'IPO Live'!$M$5="Snapshot"),"",IFERROR(BDP(TEXT(VALUE($A201),"0")&amp;" HK Equity","LAST_UPDATE_DT"),""))</f>
        <v/>
      </c>
      <c r="N201" s="15">
        <f>IF(AND(AH!$M$5="Snapshot",'IPO Live'!$M$5="Snapshot"),"",IFERROR(BDP(TEXT(VALUE($A201),"0")&amp;" HK Equity","LAST_UPDATE"),""))</f>
        <v/>
      </c>
      <c r="O201" s="15">
        <f>IF('IPO Live'!$M$5="Snapshot",IF(ISNUMBER(G201),G201,"unavailable"),IF(AND(ISNUMBER(K201),N(K201)&gt;0),K201,IF('IPO Live'!$M$5="Auto",IF(ISNUMBER(G201),G201,"unavailable"),"unavailable")))</f>
        <v/>
      </c>
      <c r="P201" s="15">
        <f>IF(AND('IPO Live'!$M$5&lt;&gt;"Snapshot",ISNUMBER(K201),N(K201)&gt;0),"Bloomberg",IF(AND('IPO Live'!$M$5&lt;&gt;"Bloomberg",ISNUMBER(G201)),"Snapshot","Unavailable"))</f>
        <v/>
      </c>
      <c r="Q201" s="33">
        <f>IF(AND(P201="Bloomberg",ISNUMBER(L201)),L201,"unavailable")</f>
        <v/>
      </c>
      <c r="R201" s="15">
        <f>IF(OR('IPO Live'!$B$5="All",'IPO Live'!$B$5=C201,AND('IPO Live'!$B$5="A/H only",J201&gt;0)),1,0)</f>
        <v/>
      </c>
      <c r="S201" s="15">
        <f>IF(R201=1,COUNTIF($R$5:R201,1),"")</f>
        <v/>
      </c>
      <c r="T201">
        <f>1</f>
        <v/>
      </c>
      <c r="U201">
        <f>IF($P201="Bloomberg",$M201,$H201)</f>
        <v/>
      </c>
      <c r="AW201">
        <f>IF(AND(J201&gt;0,OR(AH!$I$5="All",AH!$I$5="A/H only",AH!$I$5=C201)),1,0)</f>
        <v/>
      </c>
      <c r="AX201">
        <f>IF(AW201=1,COUNTIF($AW$5:AW201,1),"")</f>
        <v/>
      </c>
      <c r="AY201">
        <f>IF(AH!$M$5="Snapshot",IF(ISNUMBER(G201),G201,"unavailable"),IF(AND(ISNUMBER(K201),N(K201)&gt;0),K201,IF(AH!$M$5="Auto",IF(ISNUMBER(G201),G201,"unavailable"),"unavailable")))</f>
        <v/>
      </c>
      <c r="AZ201">
        <f>IF(AND(AH!$M$5&lt;&gt;"Snapshot",ISNUMBER(K201),N(K201)&gt;0),"Bloomberg",IF(AND(AH!$M$5&lt;&gt;"Bloomberg",ISNUMBER(G201)),"Snapshot","Unavailable"))</f>
        <v/>
      </c>
      <c r="BA201">
        <f>IF(AZ201="Bloomberg",M201,H201)</f>
        <v/>
      </c>
      <c r="BB201">
        <f>1</f>
        <v/>
      </c>
    </row>
    <row r="202">
      <c r="A202" s="31" t="inlineStr">
        <is>
          <t>2629</t>
        </is>
      </c>
      <c r="B202" s="15" t="inlineStr">
        <is>
          <t>MIRXES-B</t>
        </is>
      </c>
      <c r="C202" s="15" t="inlineStr">
        <is>
          <t>Healthcare</t>
        </is>
      </c>
      <c r="D202" s="15" t="inlineStr">
        <is>
          <t>Biotech pre-revenue (18A)</t>
        </is>
      </c>
      <c r="E202" s="34" t="n">
        <v>45800</v>
      </c>
      <c r="F202" s="15" t="n">
        <v>23.3</v>
      </c>
      <c r="G202" s="15" t="n">
        <v>12.41</v>
      </c>
      <c r="H202" s="34" t="n">
        <v>46112</v>
      </c>
      <c r="I202" s="31" t="n"/>
      <c r="J202" s="15" t="n">
        <v>0</v>
      </c>
      <c r="K202" s="15">
        <f>IF(AND(AH!$M$5="Snapshot",'IPO Live'!$M$5="Snapshot"),"",IFERROR(BDP(TEXT(VALUE($A202),"0")&amp;" HK Equity","PX_LAST"),""))</f>
        <v/>
      </c>
      <c r="L202" s="15">
        <f>IF(AND(AH!$M$5="Snapshot",'IPO Live'!$M$5="Snapshot"),"",IFERROR(BDP(TEXT(VALUE($A202),"0")&amp;" HK Equity","CHG_PCT_1D")/100,""))</f>
        <v/>
      </c>
      <c r="M202" s="15">
        <f>IF(AND(AH!$M$5="Snapshot",'IPO Live'!$M$5="Snapshot"),"",IFERROR(BDP(TEXT(VALUE($A202),"0")&amp;" HK Equity","LAST_UPDATE_DT"),""))</f>
        <v/>
      </c>
      <c r="N202" s="15">
        <f>IF(AND(AH!$M$5="Snapshot",'IPO Live'!$M$5="Snapshot"),"",IFERROR(BDP(TEXT(VALUE($A202),"0")&amp;" HK Equity","LAST_UPDATE"),""))</f>
        <v/>
      </c>
      <c r="O202" s="15">
        <f>IF('IPO Live'!$M$5="Snapshot",IF(ISNUMBER(G202),G202,"unavailable"),IF(AND(ISNUMBER(K202),N(K202)&gt;0),K202,IF('IPO Live'!$M$5="Auto",IF(ISNUMBER(G202),G202,"unavailable"),"unavailable")))</f>
        <v/>
      </c>
      <c r="P202" s="15">
        <f>IF(AND('IPO Live'!$M$5&lt;&gt;"Snapshot",ISNUMBER(K202),N(K202)&gt;0),"Bloomberg",IF(AND('IPO Live'!$M$5&lt;&gt;"Bloomberg",ISNUMBER(G202)),"Snapshot","Unavailable"))</f>
        <v/>
      </c>
      <c r="Q202" s="33">
        <f>IF(AND(P202="Bloomberg",ISNUMBER(L202)),L202,"unavailable")</f>
        <v/>
      </c>
      <c r="R202" s="15">
        <f>IF(OR('IPO Live'!$B$5="All",'IPO Live'!$B$5=C202,AND('IPO Live'!$B$5="A/H only",J202&gt;0)),1,0)</f>
        <v/>
      </c>
      <c r="S202" s="15">
        <f>IF(R202=1,COUNTIF($R$5:R202,1),"")</f>
        <v/>
      </c>
      <c r="T202">
        <f>1</f>
        <v/>
      </c>
      <c r="U202">
        <f>IF($P202="Bloomberg",$M202,$H202)</f>
        <v/>
      </c>
      <c r="AW202">
        <f>IF(AND(J202&gt;0,OR(AH!$I$5="All",AH!$I$5="A/H only",AH!$I$5=C202)),1,0)</f>
        <v/>
      </c>
      <c r="AX202">
        <f>IF(AW202=1,COUNTIF($AW$5:AW202,1),"")</f>
        <v/>
      </c>
      <c r="AY202">
        <f>IF(AH!$M$5="Snapshot",IF(ISNUMBER(G202),G202,"unavailable"),IF(AND(ISNUMBER(K202),N(K202)&gt;0),K202,IF(AH!$M$5="Auto",IF(ISNUMBER(G202),G202,"unavailable"),"unavailable")))</f>
        <v/>
      </c>
      <c r="AZ202">
        <f>IF(AND(AH!$M$5&lt;&gt;"Snapshot",ISNUMBER(K202),N(K202)&gt;0),"Bloomberg",IF(AND(AH!$M$5&lt;&gt;"Bloomberg",ISNUMBER(G202)),"Snapshot","Unavailable"))</f>
        <v/>
      </c>
      <c r="BA202">
        <f>IF(AZ202="Bloomberg",M202,H202)</f>
        <v/>
      </c>
      <c r="BB202">
        <f>1</f>
        <v/>
      </c>
    </row>
    <row r="203">
      <c r="A203" s="31" t="inlineStr">
        <is>
          <t>1276</t>
        </is>
      </c>
      <c r="B203" s="15" t="inlineStr">
        <is>
          <t>HENGRUI PHARMA</t>
        </is>
      </c>
      <c r="C203" s="15" t="inlineStr">
        <is>
          <t>Healthcare</t>
        </is>
      </c>
      <c r="D203" s="15" t="inlineStr">
        <is>
          <t>Biopharma commercial</t>
        </is>
      </c>
      <c r="E203" s="34" t="n">
        <v>45800</v>
      </c>
      <c r="F203" s="15" t="n">
        <v>44.05</v>
      </c>
      <c r="G203" s="15" t="n">
        <v>49.66</v>
      </c>
      <c r="H203" s="34" t="n">
        <v>46297</v>
      </c>
      <c r="I203" s="31" t="inlineStr">
        <is>
          <t>600276.SS</t>
        </is>
      </c>
      <c r="J203" s="15" t="n">
        <v>18</v>
      </c>
      <c r="K203" s="15">
        <f>IF(AND(AH!$M$5="Snapshot",'IPO Live'!$M$5="Snapshot"),"",IFERROR(BDP(TEXT(VALUE($A203),"0")&amp;" HK Equity","PX_LAST"),""))</f>
        <v/>
      </c>
      <c r="L203" s="15">
        <f>IF(AND(AH!$M$5="Snapshot",'IPO Live'!$M$5="Snapshot"),"",IFERROR(BDP(TEXT(VALUE($A203),"0")&amp;" HK Equity","CHG_PCT_1D")/100,""))</f>
        <v/>
      </c>
      <c r="M203" s="15">
        <f>IF(AND(AH!$M$5="Snapshot",'IPO Live'!$M$5="Snapshot"),"",IFERROR(BDP(TEXT(VALUE($A203),"0")&amp;" HK Equity","LAST_UPDATE_DT"),""))</f>
        <v/>
      </c>
      <c r="N203" s="15">
        <f>IF(AND(AH!$M$5="Snapshot",'IPO Live'!$M$5="Snapshot"),"",IFERROR(BDP(TEXT(VALUE($A203),"0")&amp;" HK Equity","LAST_UPDATE"),""))</f>
        <v/>
      </c>
      <c r="O203" s="15">
        <f>IF('IPO Live'!$M$5="Snapshot",IF(ISNUMBER(G203),G203,"unavailable"),IF(AND(ISNUMBER(K203),N(K203)&gt;0),K203,IF('IPO Live'!$M$5="Auto",IF(ISNUMBER(G203),G203,"unavailable"),"unavailable")))</f>
        <v/>
      </c>
      <c r="P203" s="15">
        <f>IF(AND('IPO Live'!$M$5&lt;&gt;"Snapshot",ISNUMBER(K203),N(K203)&gt;0),"Bloomberg",IF(AND('IPO Live'!$M$5&lt;&gt;"Bloomberg",ISNUMBER(G203)),"Snapshot","Unavailable"))</f>
        <v/>
      </c>
      <c r="Q203" s="33">
        <f>IF(AND(P203="Bloomberg",ISNUMBER(L203)),L203,"unavailable")</f>
        <v/>
      </c>
      <c r="R203" s="15">
        <f>IF(OR('IPO Live'!$B$5="All",'IPO Live'!$B$5=C203,AND('IPO Live'!$B$5="A/H only",J203&gt;0)),1,0)</f>
        <v/>
      </c>
      <c r="S203" s="15">
        <f>IF(R203=1,COUNTIF($R$5:R203,1),"")</f>
        <v/>
      </c>
      <c r="T203">
        <f>1</f>
        <v/>
      </c>
      <c r="U203">
        <f>IF($P203="Bloomberg",$M203,$H203)</f>
        <v/>
      </c>
      <c r="AW203">
        <f>IF(AND(J203&gt;0,OR(AH!$I$5="All",AH!$I$5="A/H only",AH!$I$5=C203)),1,0)</f>
        <v/>
      </c>
      <c r="AX203">
        <f>IF(AW203=1,COUNTIF($AW$5:AW203,1),"")</f>
        <v/>
      </c>
      <c r="AY203">
        <f>IF(AH!$M$5="Snapshot",IF(ISNUMBER(G203),G203,"unavailable"),IF(AND(ISNUMBER(K203),N(K203)&gt;0),K203,IF(AH!$M$5="Auto",IF(ISNUMBER(G203),G203,"unavailable"),"unavailable")))</f>
        <v/>
      </c>
      <c r="AZ203">
        <f>IF(AND(AH!$M$5&lt;&gt;"Snapshot",ISNUMBER(K203),N(K203)&gt;0),"Bloomberg",IF(AND(AH!$M$5&lt;&gt;"Bloomberg",ISNUMBER(G203)),"Snapshot","Unavailable"))</f>
        <v/>
      </c>
      <c r="BA203">
        <f>IF(AZ203="Bloomberg",M203,H203)</f>
        <v/>
      </c>
      <c r="BB203">
        <f>1</f>
        <v/>
      </c>
    </row>
    <row r="204">
      <c r="A204" s="31" t="inlineStr">
        <is>
          <t>9606</t>
        </is>
      </c>
      <c r="B204" s="15" t="inlineStr">
        <is>
          <t>DUALITYBIO-B</t>
        </is>
      </c>
      <c r="C204" s="15" t="inlineStr">
        <is>
          <t>Healthcare</t>
        </is>
      </c>
      <c r="D204" s="15" t="inlineStr">
        <is>
          <t>Biotech pre-revenue (18A)</t>
        </is>
      </c>
      <c r="E204" s="34" t="n">
        <v>45762</v>
      </c>
      <c r="F204" s="15" t="n">
        <v>94.59999999999999</v>
      </c>
      <c r="G204" s="15" t="n">
        <v>195.7</v>
      </c>
      <c r="H204" s="34" t="n">
        <v>46297</v>
      </c>
      <c r="I204" s="31" t="n"/>
      <c r="J204" s="15" t="n">
        <v>0</v>
      </c>
      <c r="K204" s="15">
        <f>IF(AND(AH!$M$5="Snapshot",'IPO Live'!$M$5="Snapshot"),"",IFERROR(BDP(TEXT(VALUE($A204),"0")&amp;" HK Equity","PX_LAST"),""))</f>
        <v/>
      </c>
      <c r="L204" s="15">
        <f>IF(AND(AH!$M$5="Snapshot",'IPO Live'!$M$5="Snapshot"),"",IFERROR(BDP(TEXT(VALUE($A204),"0")&amp;" HK Equity","CHG_PCT_1D")/100,""))</f>
        <v/>
      </c>
      <c r="M204" s="15">
        <f>IF(AND(AH!$M$5="Snapshot",'IPO Live'!$M$5="Snapshot"),"",IFERROR(BDP(TEXT(VALUE($A204),"0")&amp;" HK Equity","LAST_UPDATE_DT"),""))</f>
        <v/>
      </c>
      <c r="N204" s="15">
        <f>IF(AND(AH!$M$5="Snapshot",'IPO Live'!$M$5="Snapshot"),"",IFERROR(BDP(TEXT(VALUE($A204),"0")&amp;" HK Equity","LAST_UPDATE"),""))</f>
        <v/>
      </c>
      <c r="O204" s="15">
        <f>IF('IPO Live'!$M$5="Snapshot",IF(ISNUMBER(G204),G204,"unavailable"),IF(AND(ISNUMBER(K204),N(K204)&gt;0),K204,IF('IPO Live'!$M$5="Auto",IF(ISNUMBER(G204),G204,"unavailable"),"unavailable")))</f>
        <v/>
      </c>
      <c r="P204" s="15">
        <f>IF(AND('IPO Live'!$M$5&lt;&gt;"Snapshot",ISNUMBER(K204),N(K204)&gt;0),"Bloomberg",IF(AND('IPO Live'!$M$5&lt;&gt;"Bloomberg",ISNUMBER(G204)),"Snapshot","Unavailable"))</f>
        <v/>
      </c>
      <c r="Q204" s="33">
        <f>IF(AND(P204="Bloomberg",ISNUMBER(L204)),L204,"unavailable")</f>
        <v/>
      </c>
      <c r="R204" s="15">
        <f>IF(OR('IPO Live'!$B$5="All",'IPO Live'!$B$5=C204,AND('IPO Live'!$B$5="A/H only",J204&gt;0)),1,0)</f>
        <v/>
      </c>
      <c r="S204" s="15">
        <f>IF(R204=1,COUNTIF($R$5:R204,1),"")</f>
        <v/>
      </c>
      <c r="T204">
        <f>1</f>
        <v/>
      </c>
      <c r="U204">
        <f>IF($P204="Bloomberg",$M204,$H204)</f>
        <v/>
      </c>
      <c r="AW204">
        <f>IF(AND(J204&gt;0,OR(AH!$I$5="All",AH!$I$5="A/H only",AH!$I$5=C204)),1,0)</f>
        <v/>
      </c>
      <c r="AX204">
        <f>IF(AW204=1,COUNTIF($AW$5:AW204,1),"")</f>
        <v/>
      </c>
      <c r="AY204">
        <f>IF(AH!$M$5="Snapshot",IF(ISNUMBER(G204),G204,"unavailable"),IF(AND(ISNUMBER(K204),N(K204)&gt;0),K204,IF(AH!$M$5="Auto",IF(ISNUMBER(G204),G204,"unavailable"),"unavailable")))</f>
        <v/>
      </c>
      <c r="AZ204">
        <f>IF(AND(AH!$M$5&lt;&gt;"Snapshot",ISNUMBER(K204),N(K204)&gt;0),"Bloomberg",IF(AND(AH!$M$5&lt;&gt;"Bloomberg",ISNUMBER(G204)),"Snapshot","Unavailable"))</f>
        <v/>
      </c>
      <c r="BA204">
        <f>IF(AZ204="Bloomberg",M204,H204)</f>
        <v/>
      </c>
      <c r="BB204">
        <f>1</f>
        <v/>
      </c>
    </row>
    <row r="205">
      <c r="A205" s="31" t="inlineStr">
        <is>
          <t>2561</t>
        </is>
      </c>
      <c r="B205" s="15" t="inlineStr">
        <is>
          <t>VISEN PHARMA-B</t>
        </is>
      </c>
      <c r="C205" s="15" t="inlineStr">
        <is>
          <t>Healthcare</t>
        </is>
      </c>
      <c r="D205" s="15" t="inlineStr">
        <is>
          <t>Biotech pre-revenue (18A)</t>
        </is>
      </c>
      <c r="E205" s="34" t="n">
        <v>45737</v>
      </c>
      <c r="F205" s="15" t="n">
        <v>68.8</v>
      </c>
      <c r="G205" s="15" t="n">
        <v>18.5</v>
      </c>
      <c r="H205" s="34" t="n">
        <v>46297</v>
      </c>
      <c r="I205" s="31" t="n"/>
      <c r="J205" s="15" t="n">
        <v>0</v>
      </c>
      <c r="K205" s="15">
        <f>IF(AND(AH!$M$5="Snapshot",'IPO Live'!$M$5="Snapshot"),"",IFERROR(BDP(TEXT(VALUE($A205),"0")&amp;" HK Equity","PX_LAST"),""))</f>
        <v/>
      </c>
      <c r="L205" s="15">
        <f>IF(AND(AH!$M$5="Snapshot",'IPO Live'!$M$5="Snapshot"),"",IFERROR(BDP(TEXT(VALUE($A205),"0")&amp;" HK Equity","CHG_PCT_1D")/100,""))</f>
        <v/>
      </c>
      <c r="M205" s="15">
        <f>IF(AND(AH!$M$5="Snapshot",'IPO Live'!$M$5="Snapshot"),"",IFERROR(BDP(TEXT(VALUE($A205),"0")&amp;" HK Equity","LAST_UPDATE_DT"),""))</f>
        <v/>
      </c>
      <c r="N205" s="15">
        <f>IF(AND(AH!$M$5="Snapshot",'IPO Live'!$M$5="Snapshot"),"",IFERROR(BDP(TEXT(VALUE($A205),"0")&amp;" HK Equity","LAST_UPDATE"),""))</f>
        <v/>
      </c>
      <c r="O205" s="15">
        <f>IF('IPO Live'!$M$5="Snapshot",IF(ISNUMBER(G205),G205,"unavailable"),IF(AND(ISNUMBER(K205),N(K205)&gt;0),K205,IF('IPO Live'!$M$5="Auto",IF(ISNUMBER(G205),G205,"unavailable"),"unavailable")))</f>
        <v/>
      </c>
      <c r="P205" s="15">
        <f>IF(AND('IPO Live'!$M$5&lt;&gt;"Snapshot",ISNUMBER(K205),N(K205)&gt;0),"Bloomberg",IF(AND('IPO Live'!$M$5&lt;&gt;"Bloomberg",ISNUMBER(G205)),"Snapshot","Unavailable"))</f>
        <v/>
      </c>
      <c r="Q205" s="33">
        <f>IF(AND(P205="Bloomberg",ISNUMBER(L205)),L205,"unavailable")</f>
        <v/>
      </c>
      <c r="R205" s="15">
        <f>IF(OR('IPO Live'!$B$5="All",'IPO Live'!$B$5=C205,AND('IPO Live'!$B$5="A/H only",J205&gt;0)),1,0)</f>
        <v/>
      </c>
      <c r="S205" s="15">
        <f>IF(R205=1,COUNTIF($R$5:R205,1),"")</f>
        <v/>
      </c>
      <c r="T205">
        <f>1</f>
        <v/>
      </c>
      <c r="U205">
        <f>IF($P205="Bloomberg",$M205,$H205)</f>
        <v/>
      </c>
      <c r="AW205">
        <f>IF(AND(J205&gt;0,OR(AH!$I$5="All",AH!$I$5="A/H only",AH!$I$5=C205)),1,0)</f>
        <v/>
      </c>
      <c r="AX205">
        <f>IF(AW205=1,COUNTIF($AW$5:AW205,1),"")</f>
        <v/>
      </c>
      <c r="AY205">
        <f>IF(AH!$M$5="Snapshot",IF(ISNUMBER(G205),G205,"unavailable"),IF(AND(ISNUMBER(K205),N(K205)&gt;0),K205,IF(AH!$M$5="Auto",IF(ISNUMBER(G205),G205,"unavailable"),"unavailable")))</f>
        <v/>
      </c>
      <c r="AZ205">
        <f>IF(AND(AH!$M$5&lt;&gt;"Snapshot",ISNUMBER(K205),N(K205)&gt;0),"Bloomberg",IF(AND(AH!$M$5&lt;&gt;"Bloomberg",ISNUMBER(G205)),"Snapshot","Unavailable"))</f>
        <v/>
      </c>
      <c r="BA205">
        <f>IF(AZ205="Bloomberg",M205,H205)</f>
        <v/>
      </c>
      <c r="BB205">
        <f>1</f>
        <v/>
      </c>
    </row>
    <row r="206">
      <c r="A206" s="31" t="inlineStr">
        <is>
          <t>6681</t>
        </is>
      </c>
      <c r="B206" s="15" t="inlineStr">
        <is>
          <t>BRAINAURORA-B</t>
        </is>
      </c>
      <c r="C206" s="15" t="inlineStr">
        <is>
          <t>Healthcare</t>
        </is>
      </c>
      <c r="D206" s="15" t="inlineStr">
        <is>
          <t>Medical devices</t>
        </is>
      </c>
      <c r="E206" s="34" t="n">
        <v>45665</v>
      </c>
      <c r="F206" s="15" t="n">
        <v>3.22</v>
      </c>
      <c r="G206" s="15" t="n">
        <v>1.085</v>
      </c>
      <c r="H206" s="34" t="n">
        <v>46297</v>
      </c>
      <c r="I206" s="31" t="n"/>
      <c r="J206" s="15" t="n">
        <v>0</v>
      </c>
      <c r="K206" s="15">
        <f>IF(AND(AH!$M$5="Snapshot",'IPO Live'!$M$5="Snapshot"),"",IFERROR(BDP(TEXT(VALUE($A206),"0")&amp;" HK Equity","PX_LAST"),""))</f>
        <v/>
      </c>
      <c r="L206" s="15">
        <f>IF(AND(AH!$M$5="Snapshot",'IPO Live'!$M$5="Snapshot"),"",IFERROR(BDP(TEXT(VALUE($A206),"0")&amp;" HK Equity","CHG_PCT_1D")/100,""))</f>
        <v/>
      </c>
      <c r="M206" s="15">
        <f>IF(AND(AH!$M$5="Snapshot",'IPO Live'!$M$5="Snapshot"),"",IFERROR(BDP(TEXT(VALUE($A206),"0")&amp;" HK Equity","LAST_UPDATE_DT"),""))</f>
        <v/>
      </c>
      <c r="N206" s="15">
        <f>IF(AND(AH!$M$5="Snapshot",'IPO Live'!$M$5="Snapshot"),"",IFERROR(BDP(TEXT(VALUE($A206),"0")&amp;" HK Equity","LAST_UPDATE"),""))</f>
        <v/>
      </c>
      <c r="O206" s="15">
        <f>IF('IPO Live'!$M$5="Snapshot",IF(ISNUMBER(G206),G206,"unavailable"),IF(AND(ISNUMBER(K206),N(K206)&gt;0),K206,IF('IPO Live'!$M$5="Auto",IF(ISNUMBER(G206),G206,"unavailable"),"unavailable")))</f>
        <v/>
      </c>
      <c r="P206" s="15">
        <f>IF(AND('IPO Live'!$M$5&lt;&gt;"Snapshot",ISNUMBER(K206),N(K206)&gt;0),"Bloomberg",IF(AND('IPO Live'!$M$5&lt;&gt;"Bloomberg",ISNUMBER(G206)),"Snapshot","Unavailable"))</f>
        <v/>
      </c>
      <c r="Q206" s="33">
        <f>IF(AND(P206="Bloomberg",ISNUMBER(L206)),L206,"unavailable")</f>
        <v/>
      </c>
      <c r="R206" s="15">
        <f>IF(OR('IPO Live'!$B$5="All",'IPO Live'!$B$5=C206,AND('IPO Live'!$B$5="A/H only",J206&gt;0)),1,0)</f>
        <v/>
      </c>
      <c r="S206" s="15">
        <f>IF(R206=1,COUNTIF($R$5:R206,1),"")</f>
        <v/>
      </c>
      <c r="T206">
        <f>1</f>
        <v/>
      </c>
      <c r="U206">
        <f>IF($P206="Bloomberg",$M206,$H206)</f>
        <v/>
      </c>
      <c r="AW206">
        <f>IF(AND(J206&gt;0,OR(AH!$I$5="All",AH!$I$5="A/H only",AH!$I$5=C206)),1,0)</f>
        <v/>
      </c>
      <c r="AX206">
        <f>IF(AW206=1,COUNTIF($AW$5:AW206,1),"")</f>
        <v/>
      </c>
      <c r="AY206">
        <f>IF(AH!$M$5="Snapshot",IF(ISNUMBER(G206),G206,"unavailable"),IF(AND(ISNUMBER(K206),N(K206)&gt;0),K206,IF(AH!$M$5="Auto",IF(ISNUMBER(G206),G206,"unavailable"),"unavailable")))</f>
        <v/>
      </c>
      <c r="AZ206">
        <f>IF(AND(AH!$M$5&lt;&gt;"Snapshot",ISNUMBER(K206),N(K206)&gt;0),"Bloomberg",IF(AND(AH!$M$5&lt;&gt;"Bloomberg",ISNUMBER(G206)),"Snapshot","Unavailable"))</f>
        <v/>
      </c>
      <c r="BA206">
        <f>IF(AZ206="Bloomberg",M206,H206)</f>
        <v/>
      </c>
      <c r="BB206">
        <f>1</f>
        <v/>
      </c>
    </row>
    <row r="207">
      <c r="A207" s="31" t="inlineStr">
        <is>
          <t>2587</t>
        </is>
      </c>
      <c r="B207" s="15" t="inlineStr">
        <is>
          <t>HEALTHYWAY INC</t>
        </is>
      </c>
      <c r="C207" s="15" t="inlineStr">
        <is>
          <t>Healthcare</t>
        </is>
      </c>
      <c r="D207" s="15" t="inlineStr">
        <is>
          <t>Digital health</t>
        </is>
      </c>
      <c r="E207" s="34" t="n">
        <v>45656</v>
      </c>
      <c r="F207" s="15" t="n">
        <v>7.8</v>
      </c>
      <c r="G207" s="15" t="n">
        <v>0.66</v>
      </c>
      <c r="H207" s="34" t="n">
        <v>46297</v>
      </c>
      <c r="I207" s="31" t="n"/>
      <c r="J207" s="15" t="n">
        <v>0</v>
      </c>
      <c r="K207" s="15">
        <f>IF(AND(AH!$M$5="Snapshot",'IPO Live'!$M$5="Snapshot"),"",IFERROR(BDP(TEXT(VALUE($A207),"0")&amp;" HK Equity","PX_LAST"),""))</f>
        <v/>
      </c>
      <c r="L207" s="15">
        <f>IF(AND(AH!$M$5="Snapshot",'IPO Live'!$M$5="Snapshot"),"",IFERROR(BDP(TEXT(VALUE($A207),"0")&amp;" HK Equity","CHG_PCT_1D")/100,""))</f>
        <v/>
      </c>
      <c r="M207" s="15">
        <f>IF(AND(AH!$M$5="Snapshot",'IPO Live'!$M$5="Snapshot"),"",IFERROR(BDP(TEXT(VALUE($A207),"0")&amp;" HK Equity","LAST_UPDATE_DT"),""))</f>
        <v/>
      </c>
      <c r="N207" s="15">
        <f>IF(AND(AH!$M$5="Snapshot",'IPO Live'!$M$5="Snapshot"),"",IFERROR(BDP(TEXT(VALUE($A207),"0")&amp;" HK Equity","LAST_UPDATE"),""))</f>
        <v/>
      </c>
      <c r="O207" s="15">
        <f>IF('IPO Live'!$M$5="Snapshot",IF(ISNUMBER(G207),G207,"unavailable"),IF(AND(ISNUMBER(K207),N(K207)&gt;0),K207,IF('IPO Live'!$M$5="Auto",IF(ISNUMBER(G207),G207,"unavailable"),"unavailable")))</f>
        <v/>
      </c>
      <c r="P207" s="15">
        <f>IF(AND('IPO Live'!$M$5&lt;&gt;"Snapshot",ISNUMBER(K207),N(K207)&gt;0),"Bloomberg",IF(AND('IPO Live'!$M$5&lt;&gt;"Bloomberg",ISNUMBER(G207)),"Snapshot","Unavailable"))</f>
        <v/>
      </c>
      <c r="Q207" s="33">
        <f>IF(AND(P207="Bloomberg",ISNUMBER(L207)),L207,"unavailable")</f>
        <v/>
      </c>
      <c r="R207" s="15">
        <f>IF(OR('IPO Live'!$B$5="All",'IPO Live'!$B$5=C207,AND('IPO Live'!$B$5="A/H only",J207&gt;0)),1,0)</f>
        <v/>
      </c>
      <c r="S207" s="15">
        <f>IF(R207=1,COUNTIF($R$5:R207,1),"")</f>
        <v/>
      </c>
      <c r="T207">
        <f>1</f>
        <v/>
      </c>
      <c r="U207">
        <f>IF($P207="Bloomberg",$M207,$H207)</f>
        <v/>
      </c>
      <c r="AW207">
        <f>IF(AND(J207&gt;0,OR(AH!$I$5="All",AH!$I$5="A/H only",AH!$I$5=C207)),1,0)</f>
        <v/>
      </c>
      <c r="AX207">
        <f>IF(AW207=1,COUNTIF($AW$5:AW207,1),"")</f>
        <v/>
      </c>
      <c r="AY207">
        <f>IF(AH!$M$5="Snapshot",IF(ISNUMBER(G207),G207,"unavailable"),IF(AND(ISNUMBER(K207),N(K207)&gt;0),K207,IF(AH!$M$5="Auto",IF(ISNUMBER(G207),G207,"unavailable"),"unavailable")))</f>
        <v/>
      </c>
      <c r="AZ207">
        <f>IF(AND(AH!$M$5&lt;&gt;"Snapshot",ISNUMBER(K207),N(K207)&gt;0),"Bloomberg",IF(AND(AH!$M$5&lt;&gt;"Bloomberg",ISNUMBER(G207)),"Snapshot","Unavailable"))</f>
        <v/>
      </c>
      <c r="BA207">
        <f>IF(AZ207="Bloomberg",M207,H207)</f>
        <v/>
      </c>
      <c r="BB207">
        <f>1</f>
        <v/>
      </c>
    </row>
    <row r="208">
      <c r="A208" s="31" t="inlineStr">
        <is>
          <t>2506</t>
        </is>
      </c>
      <c r="B208" s="15" t="inlineStr">
        <is>
          <t>XUNFEIHEALTH</t>
        </is>
      </c>
      <c r="C208" s="15" t="inlineStr">
        <is>
          <t>Healthcare</t>
        </is>
      </c>
      <c r="D208" s="15" t="inlineStr">
        <is>
          <t>Digital health</t>
        </is>
      </c>
      <c r="E208" s="34" t="n">
        <v>45656</v>
      </c>
      <c r="F208" s="15" t="n">
        <v>82.8</v>
      </c>
      <c r="G208" s="15" t="n">
        <v>63.65</v>
      </c>
      <c r="H208" s="34" t="n">
        <v>46297</v>
      </c>
      <c r="I208" s="31" t="n"/>
      <c r="J208" s="15" t="n">
        <v>0</v>
      </c>
      <c r="K208" s="15">
        <f>IF(AND(AH!$M$5="Snapshot",'IPO Live'!$M$5="Snapshot"),"",IFERROR(BDP(TEXT(VALUE($A208),"0")&amp;" HK Equity","PX_LAST"),""))</f>
        <v/>
      </c>
      <c r="L208" s="15">
        <f>IF(AND(AH!$M$5="Snapshot",'IPO Live'!$M$5="Snapshot"),"",IFERROR(BDP(TEXT(VALUE($A208),"0")&amp;" HK Equity","CHG_PCT_1D")/100,""))</f>
        <v/>
      </c>
      <c r="M208" s="15">
        <f>IF(AND(AH!$M$5="Snapshot",'IPO Live'!$M$5="Snapshot"),"",IFERROR(BDP(TEXT(VALUE($A208),"0")&amp;" HK Equity","LAST_UPDATE_DT"),""))</f>
        <v/>
      </c>
      <c r="N208" s="15">
        <f>IF(AND(AH!$M$5="Snapshot",'IPO Live'!$M$5="Snapshot"),"",IFERROR(BDP(TEXT(VALUE($A208),"0")&amp;" HK Equity","LAST_UPDATE"),""))</f>
        <v/>
      </c>
      <c r="O208" s="15">
        <f>IF('IPO Live'!$M$5="Snapshot",IF(ISNUMBER(G208),G208,"unavailable"),IF(AND(ISNUMBER(K208),N(K208)&gt;0),K208,IF('IPO Live'!$M$5="Auto",IF(ISNUMBER(G208),G208,"unavailable"),"unavailable")))</f>
        <v/>
      </c>
      <c r="P208" s="15">
        <f>IF(AND('IPO Live'!$M$5&lt;&gt;"Snapshot",ISNUMBER(K208),N(K208)&gt;0),"Bloomberg",IF(AND('IPO Live'!$M$5&lt;&gt;"Bloomberg",ISNUMBER(G208)),"Snapshot","Unavailable"))</f>
        <v/>
      </c>
      <c r="Q208" s="33">
        <f>IF(AND(P208="Bloomberg",ISNUMBER(L208)),L208,"unavailable")</f>
        <v/>
      </c>
      <c r="R208" s="15">
        <f>IF(OR('IPO Live'!$B$5="All",'IPO Live'!$B$5=C208,AND('IPO Live'!$B$5="A/H only",J208&gt;0)),1,0)</f>
        <v/>
      </c>
      <c r="S208" s="15">
        <f>IF(R208=1,COUNTIF($R$5:R208,1),"")</f>
        <v/>
      </c>
      <c r="T208">
        <f>1</f>
        <v/>
      </c>
      <c r="U208">
        <f>IF($P208="Bloomberg",$M208,$H208)</f>
        <v/>
      </c>
      <c r="AW208">
        <f>IF(AND(J208&gt;0,OR(AH!$I$5="All",AH!$I$5="A/H only",AH!$I$5=C208)),1,0)</f>
        <v/>
      </c>
      <c r="AX208">
        <f>IF(AW208=1,COUNTIF($AW$5:AW208,1),"")</f>
        <v/>
      </c>
      <c r="AY208">
        <f>IF(AH!$M$5="Snapshot",IF(ISNUMBER(G208),G208,"unavailable"),IF(AND(ISNUMBER(K208),N(K208)&gt;0),K208,IF(AH!$M$5="Auto",IF(ISNUMBER(G208),G208,"unavailable"),"unavailable")))</f>
        <v/>
      </c>
      <c r="AZ208">
        <f>IF(AND(AH!$M$5&lt;&gt;"Snapshot",ISNUMBER(K208),N(K208)&gt;0),"Bloomberg",IF(AND(AH!$M$5&lt;&gt;"Bloomberg",ISNUMBER(G208)),"Snapshot","Unavailable"))</f>
        <v/>
      </c>
      <c r="BA208">
        <f>IF(AZ208="Bloomberg",M208,H208)</f>
        <v/>
      </c>
      <c r="BB208">
        <f>1</f>
        <v/>
      </c>
    </row>
    <row r="209">
      <c r="A209" s="31" t="inlineStr">
        <is>
          <t>2593</t>
        </is>
      </c>
      <c r="B209" s="15" t="inlineStr">
        <is>
          <t>HERBS GROUP</t>
        </is>
      </c>
      <c r="C209" s="15" t="inlineStr">
        <is>
          <t>Healthcare</t>
        </is>
      </c>
      <c r="D209" s="15" t="inlineStr">
        <is>
          <t>TCM</t>
        </is>
      </c>
      <c r="E209" s="34" t="n">
        <v>45645</v>
      </c>
      <c r="F209" s="15" t="n">
        <v>3.75</v>
      </c>
      <c r="G209" s="15" t="n">
        <v>1.09</v>
      </c>
      <c r="H209" s="34" t="n">
        <v>46297</v>
      </c>
      <c r="I209" s="31" t="n"/>
      <c r="J209" s="15" t="n">
        <v>0</v>
      </c>
      <c r="K209" s="15">
        <f>IF(AND(AH!$M$5="Snapshot",'IPO Live'!$M$5="Snapshot"),"",IFERROR(BDP(TEXT(VALUE($A209),"0")&amp;" HK Equity","PX_LAST"),""))</f>
        <v/>
      </c>
      <c r="L209" s="15">
        <f>IF(AND(AH!$M$5="Snapshot",'IPO Live'!$M$5="Snapshot"),"",IFERROR(BDP(TEXT(VALUE($A209),"0")&amp;" HK Equity","CHG_PCT_1D")/100,""))</f>
        <v/>
      </c>
      <c r="M209" s="15">
        <f>IF(AND(AH!$M$5="Snapshot",'IPO Live'!$M$5="Snapshot"),"",IFERROR(BDP(TEXT(VALUE($A209),"0")&amp;" HK Equity","LAST_UPDATE_DT"),""))</f>
        <v/>
      </c>
      <c r="N209" s="15">
        <f>IF(AND(AH!$M$5="Snapshot",'IPO Live'!$M$5="Snapshot"),"",IFERROR(BDP(TEXT(VALUE($A209),"0")&amp;" HK Equity","LAST_UPDATE"),""))</f>
        <v/>
      </c>
      <c r="O209" s="15">
        <f>IF('IPO Live'!$M$5="Snapshot",IF(ISNUMBER(G209),G209,"unavailable"),IF(AND(ISNUMBER(K209),N(K209)&gt;0),K209,IF('IPO Live'!$M$5="Auto",IF(ISNUMBER(G209),G209,"unavailable"),"unavailable")))</f>
        <v/>
      </c>
      <c r="P209" s="15">
        <f>IF(AND('IPO Live'!$M$5&lt;&gt;"Snapshot",ISNUMBER(K209),N(K209)&gt;0),"Bloomberg",IF(AND('IPO Live'!$M$5&lt;&gt;"Bloomberg",ISNUMBER(G209)),"Snapshot","Unavailable"))</f>
        <v/>
      </c>
      <c r="Q209" s="33">
        <f>IF(AND(P209="Bloomberg",ISNUMBER(L209)),L209,"unavailable")</f>
        <v/>
      </c>
      <c r="R209" s="15">
        <f>IF(OR('IPO Live'!$B$5="All",'IPO Live'!$B$5=C209,AND('IPO Live'!$B$5="A/H only",J209&gt;0)),1,0)</f>
        <v/>
      </c>
      <c r="S209" s="15">
        <f>IF(R209=1,COUNTIF($R$5:R209,1),"")</f>
        <v/>
      </c>
      <c r="T209">
        <f>1</f>
        <v/>
      </c>
      <c r="U209">
        <f>IF($P209="Bloomberg",$M209,$H209)</f>
        <v/>
      </c>
      <c r="AW209">
        <f>IF(AND(J209&gt;0,OR(AH!$I$5="All",AH!$I$5="A/H only",AH!$I$5=C209)),1,0)</f>
        <v/>
      </c>
      <c r="AX209">
        <f>IF(AW209=1,COUNTIF($AW$5:AW209,1),"")</f>
        <v/>
      </c>
      <c r="AY209">
        <f>IF(AH!$M$5="Snapshot",IF(ISNUMBER(G209),G209,"unavailable"),IF(AND(ISNUMBER(K209),N(K209)&gt;0),K209,IF(AH!$M$5="Auto",IF(ISNUMBER(G209),G209,"unavailable"),"unavailable")))</f>
        <v/>
      </c>
      <c r="AZ209">
        <f>IF(AND(AH!$M$5&lt;&gt;"Snapshot",ISNUMBER(K209),N(K209)&gt;0),"Bloomberg",IF(AND(AH!$M$5&lt;&gt;"Bloomberg",ISNUMBER(G209)),"Snapshot","Unavailable"))</f>
        <v/>
      </c>
      <c r="BA209">
        <f>IF(AZ209="Bloomberg",M209,H209)</f>
        <v/>
      </c>
      <c r="BB209">
        <f>1</f>
        <v/>
      </c>
    </row>
    <row r="210">
      <c r="A210" s="31" t="inlineStr">
        <is>
          <t>2566</t>
        </is>
      </c>
      <c r="B210" s="15" t="inlineStr">
        <is>
          <t>JIUYUAN GENE</t>
        </is>
      </c>
      <c r="C210" s="15" t="inlineStr">
        <is>
          <t>Healthcare</t>
        </is>
      </c>
      <c r="D210" s="15" t="inlineStr">
        <is>
          <t>Biopharma commercial</t>
        </is>
      </c>
      <c r="E210" s="34" t="n">
        <v>45624</v>
      </c>
      <c r="F210" s="15" t="n">
        <v>12.42</v>
      </c>
      <c r="G210" s="15" t="n">
        <v>5.78</v>
      </c>
      <c r="H210" s="34" t="n">
        <v>46297</v>
      </c>
      <c r="I210" s="31" t="n"/>
      <c r="J210" s="15" t="n">
        <v>0</v>
      </c>
      <c r="K210" s="15">
        <f>IF(AND(AH!$M$5="Snapshot",'IPO Live'!$M$5="Snapshot"),"",IFERROR(BDP(TEXT(VALUE($A210),"0")&amp;" HK Equity","PX_LAST"),""))</f>
        <v/>
      </c>
      <c r="L210" s="15">
        <f>IF(AND(AH!$M$5="Snapshot",'IPO Live'!$M$5="Snapshot"),"",IFERROR(BDP(TEXT(VALUE($A210),"0")&amp;" HK Equity","CHG_PCT_1D")/100,""))</f>
        <v/>
      </c>
      <c r="M210" s="15">
        <f>IF(AND(AH!$M$5="Snapshot",'IPO Live'!$M$5="Snapshot"),"",IFERROR(BDP(TEXT(VALUE($A210),"0")&amp;" HK Equity","LAST_UPDATE_DT"),""))</f>
        <v/>
      </c>
      <c r="N210" s="15">
        <f>IF(AND(AH!$M$5="Snapshot",'IPO Live'!$M$5="Snapshot"),"",IFERROR(BDP(TEXT(VALUE($A210),"0")&amp;" HK Equity","LAST_UPDATE"),""))</f>
        <v/>
      </c>
      <c r="O210" s="15">
        <f>IF('IPO Live'!$M$5="Snapshot",IF(ISNUMBER(G210),G210,"unavailable"),IF(AND(ISNUMBER(K210),N(K210)&gt;0),K210,IF('IPO Live'!$M$5="Auto",IF(ISNUMBER(G210),G210,"unavailable"),"unavailable")))</f>
        <v/>
      </c>
      <c r="P210" s="15">
        <f>IF(AND('IPO Live'!$M$5&lt;&gt;"Snapshot",ISNUMBER(K210),N(K210)&gt;0),"Bloomberg",IF(AND('IPO Live'!$M$5&lt;&gt;"Bloomberg",ISNUMBER(G210)),"Snapshot","Unavailable"))</f>
        <v/>
      </c>
      <c r="Q210" s="33">
        <f>IF(AND(P210="Bloomberg",ISNUMBER(L210)),L210,"unavailable")</f>
        <v/>
      </c>
      <c r="R210" s="15">
        <f>IF(OR('IPO Live'!$B$5="All",'IPO Live'!$B$5=C210,AND('IPO Live'!$B$5="A/H only",J210&gt;0)),1,0)</f>
        <v/>
      </c>
      <c r="S210" s="15">
        <f>IF(R210=1,COUNTIF($R$5:R210,1),"")</f>
        <v/>
      </c>
      <c r="T210">
        <f>1</f>
        <v/>
      </c>
      <c r="U210">
        <f>IF($P210="Bloomberg",$M210,$H210)</f>
        <v/>
      </c>
      <c r="AW210">
        <f>IF(AND(J210&gt;0,OR(AH!$I$5="All",AH!$I$5="A/H only",AH!$I$5=C210)),1,0)</f>
        <v/>
      </c>
      <c r="AX210">
        <f>IF(AW210=1,COUNTIF($AW$5:AW210,1),"")</f>
        <v/>
      </c>
      <c r="AY210">
        <f>IF(AH!$M$5="Snapshot",IF(ISNUMBER(G210),G210,"unavailable"),IF(AND(ISNUMBER(K210),N(K210)&gt;0),K210,IF(AH!$M$5="Auto",IF(ISNUMBER(G210),G210,"unavailable"),"unavailable")))</f>
        <v/>
      </c>
      <c r="AZ210">
        <f>IF(AND(AH!$M$5&lt;&gt;"Snapshot",ISNUMBER(K210),N(K210)&gt;0),"Bloomberg",IF(AND(AH!$M$5&lt;&gt;"Bloomberg",ISNUMBER(G210)),"Snapshot","Unavailable"))</f>
        <v/>
      </c>
      <c r="BA210">
        <f>IF(AZ210="Bloomberg",M210,H210)</f>
        <v/>
      </c>
      <c r="BB210">
        <f>1</f>
        <v/>
      </c>
    </row>
    <row r="211">
      <c r="A211" s="31" t="inlineStr">
        <is>
          <t>2563</t>
        </is>
      </c>
      <c r="B211" s="15" t="inlineStr">
        <is>
          <t>BIOSTAR PHARM-B</t>
        </is>
      </c>
      <c r="C211" s="15" t="inlineStr">
        <is>
          <t>Healthcare</t>
        </is>
      </c>
      <c r="D211" s="15" t="inlineStr">
        <is>
          <t>Biotech pre-revenue (18A)</t>
        </is>
      </c>
      <c r="E211" s="34" t="n">
        <v>45596</v>
      </c>
      <c r="F211" s="15" t="n">
        <v>16</v>
      </c>
      <c r="G211" s="15" t="n">
        <v>4.83</v>
      </c>
      <c r="H211" s="34" t="n">
        <v>46297</v>
      </c>
      <c r="I211" s="31" t="n"/>
      <c r="J211" s="15" t="n">
        <v>0</v>
      </c>
      <c r="K211" s="15">
        <f>IF(AND(AH!$M$5="Snapshot",'IPO Live'!$M$5="Snapshot"),"",IFERROR(BDP(TEXT(VALUE($A211),"0")&amp;" HK Equity","PX_LAST"),""))</f>
        <v/>
      </c>
      <c r="L211" s="15">
        <f>IF(AND(AH!$M$5="Snapshot",'IPO Live'!$M$5="Snapshot"),"",IFERROR(BDP(TEXT(VALUE($A211),"0")&amp;" HK Equity","CHG_PCT_1D")/100,""))</f>
        <v/>
      </c>
      <c r="M211" s="15">
        <f>IF(AND(AH!$M$5="Snapshot",'IPO Live'!$M$5="Snapshot"),"",IFERROR(BDP(TEXT(VALUE($A211),"0")&amp;" HK Equity","LAST_UPDATE_DT"),""))</f>
        <v/>
      </c>
      <c r="N211" s="15">
        <f>IF(AND(AH!$M$5="Snapshot",'IPO Live'!$M$5="Snapshot"),"",IFERROR(BDP(TEXT(VALUE($A211),"0")&amp;" HK Equity","LAST_UPDATE"),""))</f>
        <v/>
      </c>
      <c r="O211" s="15">
        <f>IF('IPO Live'!$M$5="Snapshot",IF(ISNUMBER(G211),G211,"unavailable"),IF(AND(ISNUMBER(K211),N(K211)&gt;0),K211,IF('IPO Live'!$M$5="Auto",IF(ISNUMBER(G211),G211,"unavailable"),"unavailable")))</f>
        <v/>
      </c>
      <c r="P211" s="15">
        <f>IF(AND('IPO Live'!$M$5&lt;&gt;"Snapshot",ISNUMBER(K211),N(K211)&gt;0),"Bloomberg",IF(AND('IPO Live'!$M$5&lt;&gt;"Bloomberg",ISNUMBER(G211)),"Snapshot","Unavailable"))</f>
        <v/>
      </c>
      <c r="Q211" s="33">
        <f>IF(AND(P211="Bloomberg",ISNUMBER(L211)),L211,"unavailable")</f>
        <v/>
      </c>
      <c r="R211" s="15">
        <f>IF(OR('IPO Live'!$B$5="All",'IPO Live'!$B$5=C211,AND('IPO Live'!$B$5="A/H only",J211&gt;0)),1,0)</f>
        <v/>
      </c>
      <c r="S211" s="15">
        <f>IF(R211=1,COUNTIF($R$5:R211,1),"")</f>
        <v/>
      </c>
      <c r="T211">
        <f>1</f>
        <v/>
      </c>
      <c r="U211">
        <f>IF($P211="Bloomberg",$M211,$H211)</f>
        <v/>
      </c>
      <c r="AW211">
        <f>IF(AND(J211&gt;0,OR(AH!$I$5="All",AH!$I$5="A/H only",AH!$I$5=C211)),1,0)</f>
        <v/>
      </c>
      <c r="AX211">
        <f>IF(AW211=1,COUNTIF($AW$5:AW211,1),"")</f>
        <v/>
      </c>
      <c r="AY211">
        <f>IF(AH!$M$5="Snapshot",IF(ISNUMBER(G211),G211,"unavailable"),IF(AND(ISNUMBER(K211),N(K211)&gt;0),K211,IF(AH!$M$5="Auto",IF(ISNUMBER(G211),G211,"unavailable"),"unavailable")))</f>
        <v/>
      </c>
      <c r="AZ211">
        <f>IF(AND(AH!$M$5&lt;&gt;"Snapshot",ISNUMBER(K211),N(K211)&gt;0),"Bloomberg",IF(AND(AH!$M$5&lt;&gt;"Bloomberg",ISNUMBER(G211)),"Snapshot","Unavailable"))</f>
        <v/>
      </c>
      <c r="BA211">
        <f>IF(AZ211="Bloomberg",M211,H211)</f>
        <v/>
      </c>
      <c r="BB211">
        <f>1</f>
        <v/>
      </c>
    </row>
    <row r="212">
      <c r="A212" s="31" t="inlineStr">
        <is>
          <t>2410</t>
        </is>
      </c>
      <c r="B212" s="15" t="inlineStr">
        <is>
          <t>TYK MEDICINES-B</t>
        </is>
      </c>
      <c r="C212" s="15" t="inlineStr">
        <is>
          <t>Healthcare</t>
        </is>
      </c>
      <c r="D212" s="15" t="inlineStr">
        <is>
          <t>Biotech pre-revenue (18A)</t>
        </is>
      </c>
      <c r="E212" s="34" t="n">
        <v>45524</v>
      </c>
      <c r="F212" s="15" t="n">
        <v>12.1</v>
      </c>
      <c r="G212" s="15" t="n">
        <v>4.3</v>
      </c>
      <c r="H212" s="34" t="n">
        <v>46297</v>
      </c>
      <c r="I212" s="31" t="n"/>
      <c r="J212" s="15" t="n">
        <v>0</v>
      </c>
      <c r="K212" s="15">
        <f>IF(AND(AH!$M$5="Snapshot",'IPO Live'!$M$5="Snapshot"),"",IFERROR(BDP(TEXT(VALUE($A212),"0")&amp;" HK Equity","PX_LAST"),""))</f>
        <v/>
      </c>
      <c r="L212" s="15">
        <f>IF(AND(AH!$M$5="Snapshot",'IPO Live'!$M$5="Snapshot"),"",IFERROR(BDP(TEXT(VALUE($A212),"0")&amp;" HK Equity","CHG_PCT_1D")/100,""))</f>
        <v/>
      </c>
      <c r="M212" s="15">
        <f>IF(AND(AH!$M$5="Snapshot",'IPO Live'!$M$5="Snapshot"),"",IFERROR(BDP(TEXT(VALUE($A212),"0")&amp;" HK Equity","LAST_UPDATE_DT"),""))</f>
        <v/>
      </c>
      <c r="N212" s="15">
        <f>IF(AND(AH!$M$5="Snapshot",'IPO Live'!$M$5="Snapshot"),"",IFERROR(BDP(TEXT(VALUE($A212),"0")&amp;" HK Equity","LAST_UPDATE"),""))</f>
        <v/>
      </c>
      <c r="O212" s="15">
        <f>IF('IPO Live'!$M$5="Snapshot",IF(ISNUMBER(G212),G212,"unavailable"),IF(AND(ISNUMBER(K212),N(K212)&gt;0),K212,IF('IPO Live'!$M$5="Auto",IF(ISNUMBER(G212),G212,"unavailable"),"unavailable")))</f>
        <v/>
      </c>
      <c r="P212" s="15">
        <f>IF(AND('IPO Live'!$M$5&lt;&gt;"Snapshot",ISNUMBER(K212),N(K212)&gt;0),"Bloomberg",IF(AND('IPO Live'!$M$5&lt;&gt;"Bloomberg",ISNUMBER(G212)),"Snapshot","Unavailable"))</f>
        <v/>
      </c>
      <c r="Q212" s="33">
        <f>IF(AND(P212="Bloomberg",ISNUMBER(L212)),L212,"unavailable")</f>
        <v/>
      </c>
      <c r="R212" s="15">
        <f>IF(OR('IPO Live'!$B$5="All",'IPO Live'!$B$5=C212,AND('IPO Live'!$B$5="A/H only",J212&gt;0)),1,0)</f>
        <v/>
      </c>
      <c r="S212" s="15">
        <f>IF(R212=1,COUNTIF($R$5:R212,1),"")</f>
        <v/>
      </c>
      <c r="T212">
        <f>1</f>
        <v/>
      </c>
      <c r="U212">
        <f>IF($P212="Bloomberg",$M212,$H212)</f>
        <v/>
      </c>
      <c r="AW212">
        <f>IF(AND(J212&gt;0,OR(AH!$I$5="All",AH!$I$5="A/H only",AH!$I$5=C212)),1,0)</f>
        <v/>
      </c>
      <c r="AX212">
        <f>IF(AW212=1,COUNTIF($AW$5:AW212,1),"")</f>
        <v/>
      </c>
      <c r="AY212">
        <f>IF(AH!$M$5="Snapshot",IF(ISNUMBER(G212),G212,"unavailable"),IF(AND(ISNUMBER(K212),N(K212)&gt;0),K212,IF(AH!$M$5="Auto",IF(ISNUMBER(G212),G212,"unavailable"),"unavailable")))</f>
        <v/>
      </c>
      <c r="AZ212">
        <f>IF(AND(AH!$M$5&lt;&gt;"Snapshot",ISNUMBER(K212),N(K212)&gt;0),"Bloomberg",IF(AND(AH!$M$5&lt;&gt;"Bloomberg",ISNUMBER(G212)),"Snapshot","Unavailable"))</f>
        <v/>
      </c>
      <c r="BA212">
        <f>IF(AZ212="Bloomberg",M212,H212)</f>
        <v/>
      </c>
      <c r="BB212">
        <f>1</f>
        <v/>
      </c>
    </row>
    <row r="213">
      <c r="A213" s="31" t="inlineStr">
        <is>
          <t>6086</t>
        </is>
      </c>
      <c r="B213" s="15" t="inlineStr">
        <is>
          <t>FANGZHOU JIANKE</t>
        </is>
      </c>
      <c r="C213" s="15" t="inlineStr">
        <is>
          <t>Healthcare</t>
        </is>
      </c>
      <c r="D213" s="15" t="inlineStr">
        <is>
          <t>Digital health</t>
        </is>
      </c>
      <c r="E213" s="34" t="n">
        <v>45482</v>
      </c>
      <c r="F213" s="15" t="n">
        <v>8.18</v>
      </c>
      <c r="G213" s="15" t="n">
        <v>0.86</v>
      </c>
      <c r="H213" s="34" t="n">
        <v>46297</v>
      </c>
      <c r="I213" s="31" t="n"/>
      <c r="J213" s="15" t="n">
        <v>0</v>
      </c>
      <c r="K213" s="15">
        <f>IF(AND(AH!$M$5="Snapshot",'IPO Live'!$M$5="Snapshot"),"",IFERROR(BDP(TEXT(VALUE($A213),"0")&amp;" HK Equity","PX_LAST"),""))</f>
        <v/>
      </c>
      <c r="L213" s="15">
        <f>IF(AND(AH!$M$5="Snapshot",'IPO Live'!$M$5="Snapshot"),"",IFERROR(BDP(TEXT(VALUE($A213),"0")&amp;" HK Equity","CHG_PCT_1D")/100,""))</f>
        <v/>
      </c>
      <c r="M213" s="15">
        <f>IF(AND(AH!$M$5="Snapshot",'IPO Live'!$M$5="Snapshot"),"",IFERROR(BDP(TEXT(VALUE($A213),"0")&amp;" HK Equity","LAST_UPDATE_DT"),""))</f>
        <v/>
      </c>
      <c r="N213" s="15">
        <f>IF(AND(AH!$M$5="Snapshot",'IPO Live'!$M$5="Snapshot"),"",IFERROR(BDP(TEXT(VALUE($A213),"0")&amp;" HK Equity","LAST_UPDATE"),""))</f>
        <v/>
      </c>
      <c r="O213" s="15">
        <f>IF('IPO Live'!$M$5="Snapshot",IF(ISNUMBER(G213),G213,"unavailable"),IF(AND(ISNUMBER(K213),N(K213)&gt;0),K213,IF('IPO Live'!$M$5="Auto",IF(ISNUMBER(G213),G213,"unavailable"),"unavailable")))</f>
        <v/>
      </c>
      <c r="P213" s="15">
        <f>IF(AND('IPO Live'!$M$5&lt;&gt;"Snapshot",ISNUMBER(K213),N(K213)&gt;0),"Bloomberg",IF(AND('IPO Live'!$M$5&lt;&gt;"Bloomberg",ISNUMBER(G213)),"Snapshot","Unavailable"))</f>
        <v/>
      </c>
      <c r="Q213" s="33">
        <f>IF(AND(P213="Bloomberg",ISNUMBER(L213)),L213,"unavailable")</f>
        <v/>
      </c>
      <c r="R213" s="15">
        <f>IF(OR('IPO Live'!$B$5="All",'IPO Live'!$B$5=C213,AND('IPO Live'!$B$5="A/H only",J213&gt;0)),1,0)</f>
        <v/>
      </c>
      <c r="S213" s="15">
        <f>IF(R213=1,COUNTIF($R$5:R213,1),"")</f>
        <v/>
      </c>
      <c r="T213">
        <f>1</f>
        <v/>
      </c>
      <c r="U213">
        <f>IF($P213="Bloomberg",$M213,$H213)</f>
        <v/>
      </c>
      <c r="AW213">
        <f>IF(AND(J213&gt;0,OR(AH!$I$5="All",AH!$I$5="A/H only",AH!$I$5=C213)),1,0)</f>
        <v/>
      </c>
      <c r="AX213">
        <f>IF(AW213=1,COUNTIF($AW$5:AW213,1),"")</f>
        <v/>
      </c>
      <c r="AY213">
        <f>IF(AH!$M$5="Snapshot",IF(ISNUMBER(G213),G213,"unavailable"),IF(AND(ISNUMBER(K213),N(K213)&gt;0),K213,IF(AH!$M$5="Auto",IF(ISNUMBER(G213),G213,"unavailable"),"unavailable")))</f>
        <v/>
      </c>
      <c r="AZ213">
        <f>IF(AND(AH!$M$5&lt;&gt;"Snapshot",ISNUMBER(K213),N(K213)&gt;0),"Bloomberg",IF(AND(AH!$M$5&lt;&gt;"Bloomberg",ISNUMBER(G213)),"Snapshot","Unavailable"))</f>
        <v/>
      </c>
      <c r="BA213">
        <f>IF(AZ213="Bloomberg",M213,H213)</f>
        <v/>
      </c>
      <c r="BB213">
        <f>1</f>
        <v/>
      </c>
    </row>
    <row r="214">
      <c r="A214" s="31" t="inlineStr">
        <is>
          <t>2522</t>
        </is>
      </c>
      <c r="B214" s="15" t="inlineStr">
        <is>
          <t>RIMAG GROUP</t>
        </is>
      </c>
      <c r="C214" s="15" t="inlineStr">
        <is>
          <t>Healthcare</t>
        </is>
      </c>
      <c r="D214" s="15" t="inlineStr">
        <is>
          <t>Hospitals / clinics</t>
        </is>
      </c>
      <c r="E214" s="34" t="n">
        <v>45450</v>
      </c>
      <c r="F214" s="15" t="n">
        <v>14.98</v>
      </c>
      <c r="G214" s="15" t="n">
        <v>5.105</v>
      </c>
      <c r="H214" s="34" t="n">
        <v>46297</v>
      </c>
      <c r="I214" s="31" t="n"/>
      <c r="J214" s="15" t="n">
        <v>0</v>
      </c>
      <c r="K214" s="15">
        <f>IF(AND(AH!$M$5="Snapshot",'IPO Live'!$M$5="Snapshot"),"",IFERROR(BDP(TEXT(VALUE($A214),"0")&amp;" HK Equity","PX_LAST"),""))</f>
        <v/>
      </c>
      <c r="L214" s="15">
        <f>IF(AND(AH!$M$5="Snapshot",'IPO Live'!$M$5="Snapshot"),"",IFERROR(BDP(TEXT(VALUE($A214),"0")&amp;" HK Equity","CHG_PCT_1D")/100,""))</f>
        <v/>
      </c>
      <c r="M214" s="15">
        <f>IF(AND(AH!$M$5="Snapshot",'IPO Live'!$M$5="Snapshot"),"",IFERROR(BDP(TEXT(VALUE($A214),"0")&amp;" HK Equity","LAST_UPDATE_DT"),""))</f>
        <v/>
      </c>
      <c r="N214" s="15">
        <f>IF(AND(AH!$M$5="Snapshot",'IPO Live'!$M$5="Snapshot"),"",IFERROR(BDP(TEXT(VALUE($A214),"0")&amp;" HK Equity","LAST_UPDATE"),""))</f>
        <v/>
      </c>
      <c r="O214" s="15">
        <f>IF('IPO Live'!$M$5="Snapshot",IF(ISNUMBER(G214),G214,"unavailable"),IF(AND(ISNUMBER(K214),N(K214)&gt;0),K214,IF('IPO Live'!$M$5="Auto",IF(ISNUMBER(G214),G214,"unavailable"),"unavailable")))</f>
        <v/>
      </c>
      <c r="P214" s="15">
        <f>IF(AND('IPO Live'!$M$5&lt;&gt;"Snapshot",ISNUMBER(K214),N(K214)&gt;0),"Bloomberg",IF(AND('IPO Live'!$M$5&lt;&gt;"Bloomberg",ISNUMBER(G214)),"Snapshot","Unavailable"))</f>
        <v/>
      </c>
      <c r="Q214" s="33">
        <f>IF(AND(P214="Bloomberg",ISNUMBER(L214)),L214,"unavailable")</f>
        <v/>
      </c>
      <c r="R214" s="15">
        <f>IF(OR('IPO Live'!$B$5="All",'IPO Live'!$B$5=C214,AND('IPO Live'!$B$5="A/H only",J214&gt;0)),1,0)</f>
        <v/>
      </c>
      <c r="S214" s="15">
        <f>IF(R214=1,COUNTIF($R$5:R214,1),"")</f>
        <v/>
      </c>
      <c r="T214">
        <f>1</f>
        <v/>
      </c>
      <c r="U214">
        <f>IF($P214="Bloomberg",$M214,$H214)</f>
        <v/>
      </c>
      <c r="AW214">
        <f>IF(AND(J214&gt;0,OR(AH!$I$5="All",AH!$I$5="A/H only",AH!$I$5=C214)),1,0)</f>
        <v/>
      </c>
      <c r="AX214">
        <f>IF(AW214=1,COUNTIF($AW$5:AW214,1),"")</f>
        <v/>
      </c>
      <c r="AY214">
        <f>IF(AH!$M$5="Snapshot",IF(ISNUMBER(G214),G214,"unavailable"),IF(AND(ISNUMBER(K214),N(K214)&gt;0),K214,IF(AH!$M$5="Auto",IF(ISNUMBER(G214),G214,"unavailable"),"unavailable")))</f>
        <v/>
      </c>
      <c r="AZ214">
        <f>IF(AND(AH!$M$5&lt;&gt;"Snapshot",ISNUMBER(K214),N(K214)&gt;0),"Bloomberg",IF(AND(AH!$M$5&lt;&gt;"Bloomberg",ISNUMBER(G214)),"Snapshot","Unavailable"))</f>
        <v/>
      </c>
      <c r="BA214">
        <f>IF(AZ214="Bloomberg",M214,H214)</f>
        <v/>
      </c>
      <c r="BB214">
        <f>1</f>
        <v/>
      </c>
    </row>
    <row r="215">
      <c r="A215" s="31" t="inlineStr">
        <is>
          <t>2898</t>
        </is>
      </c>
      <c r="B215" s="15" t="inlineStr">
        <is>
          <t>SUNHO BIO-B</t>
        </is>
      </c>
      <c r="C215" s="15" t="inlineStr">
        <is>
          <t>Healthcare</t>
        </is>
      </c>
      <c r="D215" s="15" t="inlineStr">
        <is>
          <t>Biotech pre-revenue (18A)</t>
        </is>
      </c>
      <c r="E215" s="34" t="n">
        <v>45436</v>
      </c>
      <c r="F215" s="15" t="n">
        <v>13.5</v>
      </c>
      <c r="G215" s="15" t="n">
        <v>6.39</v>
      </c>
      <c r="H215" s="34" t="n">
        <v>46112</v>
      </c>
      <c r="I215" s="31" t="n"/>
      <c r="J215" s="15" t="n">
        <v>0</v>
      </c>
      <c r="K215" s="15">
        <f>IF(AND(AH!$M$5="Snapshot",'IPO Live'!$M$5="Snapshot"),"",IFERROR(BDP(TEXT(VALUE($A215),"0")&amp;" HK Equity","PX_LAST"),""))</f>
        <v/>
      </c>
      <c r="L215" s="15">
        <f>IF(AND(AH!$M$5="Snapshot",'IPO Live'!$M$5="Snapshot"),"",IFERROR(BDP(TEXT(VALUE($A215),"0")&amp;" HK Equity","CHG_PCT_1D")/100,""))</f>
        <v/>
      </c>
      <c r="M215" s="15">
        <f>IF(AND(AH!$M$5="Snapshot",'IPO Live'!$M$5="Snapshot"),"",IFERROR(BDP(TEXT(VALUE($A215),"0")&amp;" HK Equity","LAST_UPDATE_DT"),""))</f>
        <v/>
      </c>
      <c r="N215" s="15">
        <f>IF(AND(AH!$M$5="Snapshot",'IPO Live'!$M$5="Snapshot"),"",IFERROR(BDP(TEXT(VALUE($A215),"0")&amp;" HK Equity","LAST_UPDATE"),""))</f>
        <v/>
      </c>
      <c r="O215" s="15">
        <f>IF('IPO Live'!$M$5="Snapshot",IF(ISNUMBER(G215),G215,"unavailable"),IF(AND(ISNUMBER(K215),N(K215)&gt;0),K215,IF('IPO Live'!$M$5="Auto",IF(ISNUMBER(G215),G215,"unavailable"),"unavailable")))</f>
        <v/>
      </c>
      <c r="P215" s="15">
        <f>IF(AND('IPO Live'!$M$5&lt;&gt;"Snapshot",ISNUMBER(K215),N(K215)&gt;0),"Bloomberg",IF(AND('IPO Live'!$M$5&lt;&gt;"Bloomberg",ISNUMBER(G215)),"Snapshot","Unavailable"))</f>
        <v/>
      </c>
      <c r="Q215" s="33">
        <f>IF(AND(P215="Bloomberg",ISNUMBER(L215)),L215,"unavailable")</f>
        <v/>
      </c>
      <c r="R215" s="15">
        <f>IF(OR('IPO Live'!$B$5="All",'IPO Live'!$B$5=C215,AND('IPO Live'!$B$5="A/H only",J215&gt;0)),1,0)</f>
        <v/>
      </c>
      <c r="S215" s="15">
        <f>IF(R215=1,COUNTIF($R$5:R215,1),"")</f>
        <v/>
      </c>
      <c r="T215">
        <f>1</f>
        <v/>
      </c>
      <c r="U215">
        <f>IF($P215="Bloomberg",$M215,$H215)</f>
        <v/>
      </c>
      <c r="AW215">
        <f>IF(AND(J215&gt;0,OR(AH!$I$5="All",AH!$I$5="A/H only",AH!$I$5=C215)),1,0)</f>
        <v/>
      </c>
      <c r="AX215">
        <f>IF(AW215=1,COUNTIF($AW$5:AW215,1),"")</f>
        <v/>
      </c>
      <c r="AY215">
        <f>IF(AH!$M$5="Snapshot",IF(ISNUMBER(G215),G215,"unavailable"),IF(AND(ISNUMBER(K215),N(K215)&gt;0),K215,IF(AH!$M$5="Auto",IF(ISNUMBER(G215),G215,"unavailable"),"unavailable")))</f>
        <v/>
      </c>
      <c r="AZ215">
        <f>IF(AND(AH!$M$5&lt;&gt;"Snapshot",ISNUMBER(K215),N(K215)&gt;0),"Bloomberg",IF(AND(AH!$M$5&lt;&gt;"Bloomberg",ISNUMBER(G215)),"Snapshot","Unavailable"))</f>
        <v/>
      </c>
      <c r="BA215">
        <f>IF(AZ215="Bloomberg",M215,H215)</f>
        <v/>
      </c>
      <c r="BB215">
        <f>1</f>
        <v/>
      </c>
    </row>
    <row r="216">
      <c r="A216" s="31" t="inlineStr">
        <is>
          <t>2509</t>
        </is>
      </c>
      <c r="B216" s="15" t="inlineStr">
        <is>
          <t>QYUNS-B</t>
        </is>
      </c>
      <c r="C216" s="15" t="inlineStr">
        <is>
          <t>Healthcare</t>
        </is>
      </c>
      <c r="D216" s="15" t="inlineStr">
        <is>
          <t>Biotech pre-revenue (18A)</t>
        </is>
      </c>
      <c r="E216" s="34" t="n">
        <v>45371</v>
      </c>
      <c r="F216" s="15" t="n">
        <v>19.8</v>
      </c>
      <c r="G216" s="15" t="n">
        <v>17</v>
      </c>
      <c r="H216" s="34" t="n">
        <v>46297</v>
      </c>
      <c r="I216" s="31" t="n"/>
      <c r="J216" s="15" t="n">
        <v>0</v>
      </c>
      <c r="K216" s="15">
        <f>IF(AND(AH!$M$5="Snapshot",'IPO Live'!$M$5="Snapshot"),"",IFERROR(BDP(TEXT(VALUE($A216),"0")&amp;" HK Equity","PX_LAST"),""))</f>
        <v/>
      </c>
      <c r="L216" s="15">
        <f>IF(AND(AH!$M$5="Snapshot",'IPO Live'!$M$5="Snapshot"),"",IFERROR(BDP(TEXT(VALUE($A216),"0")&amp;" HK Equity","CHG_PCT_1D")/100,""))</f>
        <v/>
      </c>
      <c r="M216" s="15">
        <f>IF(AND(AH!$M$5="Snapshot",'IPO Live'!$M$5="Snapshot"),"",IFERROR(BDP(TEXT(VALUE($A216),"0")&amp;" HK Equity","LAST_UPDATE_DT"),""))</f>
        <v/>
      </c>
      <c r="N216" s="15">
        <f>IF(AND(AH!$M$5="Snapshot",'IPO Live'!$M$5="Snapshot"),"",IFERROR(BDP(TEXT(VALUE($A216),"0")&amp;" HK Equity","LAST_UPDATE"),""))</f>
        <v/>
      </c>
      <c r="O216" s="15">
        <f>IF('IPO Live'!$M$5="Snapshot",IF(ISNUMBER(G216),G216,"unavailable"),IF(AND(ISNUMBER(K216),N(K216)&gt;0),K216,IF('IPO Live'!$M$5="Auto",IF(ISNUMBER(G216),G216,"unavailable"),"unavailable")))</f>
        <v/>
      </c>
      <c r="P216" s="15">
        <f>IF(AND('IPO Live'!$M$5&lt;&gt;"Snapshot",ISNUMBER(K216),N(K216)&gt;0),"Bloomberg",IF(AND('IPO Live'!$M$5&lt;&gt;"Bloomberg",ISNUMBER(G216)),"Snapshot","Unavailable"))</f>
        <v/>
      </c>
      <c r="Q216" s="33">
        <f>IF(AND(P216="Bloomberg",ISNUMBER(L216)),L216,"unavailable")</f>
        <v/>
      </c>
      <c r="R216" s="15">
        <f>IF(OR('IPO Live'!$B$5="All",'IPO Live'!$B$5=C216,AND('IPO Live'!$B$5="A/H only",J216&gt;0)),1,0)</f>
        <v/>
      </c>
      <c r="S216" s="15">
        <f>IF(R216=1,COUNTIF($R$5:R216,1),"")</f>
        <v/>
      </c>
      <c r="T216">
        <f>1</f>
        <v/>
      </c>
      <c r="U216">
        <f>IF($P216="Bloomberg",$M216,$H216)</f>
        <v/>
      </c>
      <c r="AW216">
        <f>IF(AND(J216&gt;0,OR(AH!$I$5="All",AH!$I$5="A/H only",AH!$I$5=C216)),1,0)</f>
        <v/>
      </c>
      <c r="AX216">
        <f>IF(AW216=1,COUNTIF($AW$5:AW216,1),"")</f>
        <v/>
      </c>
      <c r="AY216">
        <f>IF(AH!$M$5="Snapshot",IF(ISNUMBER(G216),G216,"unavailable"),IF(AND(ISNUMBER(K216),N(K216)&gt;0),K216,IF(AH!$M$5="Auto",IF(ISNUMBER(G216),G216,"unavailable"),"unavailable")))</f>
        <v/>
      </c>
      <c r="AZ216">
        <f>IF(AND(AH!$M$5&lt;&gt;"Snapshot",ISNUMBER(K216),N(K216)&gt;0),"Bloomberg",IF(AND(AH!$M$5&lt;&gt;"Bloomberg",ISNUMBER(G216)),"Snapshot","Unavailable"))</f>
        <v/>
      </c>
      <c r="BA216">
        <f>IF(AZ216="Bloomberg",M216,H216)</f>
        <v/>
      </c>
      <c r="BB216">
        <f>1</f>
        <v/>
      </c>
    </row>
    <row r="217">
      <c r="A217" s="31" t="inlineStr">
        <is>
          <t>2477</t>
        </is>
      </c>
      <c r="B217" s="15" t="inlineStr">
        <is>
          <t>WELLCELL HOLD</t>
        </is>
      </c>
      <c r="C217" s="15" t="inlineStr">
        <is>
          <t>Healthcare</t>
        </is>
      </c>
      <c r="D217" s="15" t="inlineStr">
        <is>
          <t>Biopharma commercial</t>
        </is>
      </c>
      <c r="E217" s="34" t="n">
        <v>45303</v>
      </c>
      <c r="F217" s="15" t="n">
        <v>1</v>
      </c>
      <c r="G217" s="15" t="n">
        <v>1.6</v>
      </c>
      <c r="H217" s="34" t="n">
        <v>46297</v>
      </c>
      <c r="I217" s="31" t="n"/>
      <c r="J217" s="15" t="n">
        <v>0</v>
      </c>
      <c r="K217" s="15">
        <f>IF(AND(AH!$M$5="Snapshot",'IPO Live'!$M$5="Snapshot"),"",IFERROR(BDP(TEXT(VALUE($A217),"0")&amp;" HK Equity","PX_LAST"),""))</f>
        <v/>
      </c>
      <c r="L217" s="15">
        <f>IF(AND(AH!$M$5="Snapshot",'IPO Live'!$M$5="Snapshot"),"",IFERROR(BDP(TEXT(VALUE($A217),"0")&amp;" HK Equity","CHG_PCT_1D")/100,""))</f>
        <v/>
      </c>
      <c r="M217" s="15">
        <f>IF(AND(AH!$M$5="Snapshot",'IPO Live'!$M$5="Snapshot"),"",IFERROR(BDP(TEXT(VALUE($A217),"0")&amp;" HK Equity","LAST_UPDATE_DT"),""))</f>
        <v/>
      </c>
      <c r="N217" s="15">
        <f>IF(AND(AH!$M$5="Snapshot",'IPO Live'!$M$5="Snapshot"),"",IFERROR(BDP(TEXT(VALUE($A217),"0")&amp;" HK Equity","LAST_UPDATE"),""))</f>
        <v/>
      </c>
      <c r="O217" s="15">
        <f>IF('IPO Live'!$M$5="Snapshot",IF(ISNUMBER(G217),G217,"unavailable"),IF(AND(ISNUMBER(K217),N(K217)&gt;0),K217,IF('IPO Live'!$M$5="Auto",IF(ISNUMBER(G217),G217,"unavailable"),"unavailable")))</f>
        <v/>
      </c>
      <c r="P217" s="15">
        <f>IF(AND('IPO Live'!$M$5&lt;&gt;"Snapshot",ISNUMBER(K217),N(K217)&gt;0),"Bloomberg",IF(AND('IPO Live'!$M$5&lt;&gt;"Bloomberg",ISNUMBER(G217)),"Snapshot","Unavailable"))</f>
        <v/>
      </c>
      <c r="Q217" s="33">
        <f>IF(AND(P217="Bloomberg",ISNUMBER(L217)),L217,"unavailable")</f>
        <v/>
      </c>
      <c r="R217" s="15">
        <f>IF(OR('IPO Live'!$B$5="All",'IPO Live'!$B$5=C217,AND('IPO Live'!$B$5="A/H only",J217&gt;0)),1,0)</f>
        <v/>
      </c>
      <c r="S217" s="15">
        <f>IF(R217=1,COUNTIF($R$5:R217,1),"")</f>
        <v/>
      </c>
      <c r="T217">
        <f>IF(ISNUMBER($U217),IF($U217&gt;=DATEVALUE("2025-03-31"),2.0,1)*IF($U217&gt;=DATEVALUE("2026-04-21"),4.0,1),"unavailable")</f>
        <v/>
      </c>
      <c r="U217">
        <f>IF($P217="Bloomberg",$M217,$H217)</f>
        <v/>
      </c>
      <c r="AW217">
        <f>IF(AND(J217&gt;0,OR(AH!$I$5="All",AH!$I$5="A/H only",AH!$I$5=C217)),1,0)</f>
        <v/>
      </c>
      <c r="AX217">
        <f>IF(AW217=1,COUNTIF($AW$5:AW217,1),"")</f>
        <v/>
      </c>
      <c r="AY217">
        <f>IF(AH!$M$5="Snapshot",IF(ISNUMBER(G217),G217,"unavailable"),IF(AND(ISNUMBER(K217),N(K217)&gt;0),K217,IF(AH!$M$5="Auto",IF(ISNUMBER(G217),G217,"unavailable"),"unavailable")))</f>
        <v/>
      </c>
      <c r="AZ217">
        <f>IF(AND(AH!$M$5&lt;&gt;"Snapshot",ISNUMBER(K217),N(K217)&gt;0),"Bloomberg",IF(AND(AH!$M$5&lt;&gt;"Bloomberg",ISNUMBER(G217)),"Snapshot","Unavailable"))</f>
        <v/>
      </c>
      <c r="BA217">
        <f>IF(AZ217="Bloomberg",M217,H217)</f>
        <v/>
      </c>
      <c r="BB217">
        <f>IF(ISNUMBER($BA217),IF($BA217&gt;=DATEVALUE("2025-03-31"),2.0,1)*IF($BA217&gt;=DATEVALUE("2026-04-21"),4.0,1),"unavailable")</f>
        <v/>
      </c>
    </row>
    <row r="218">
      <c r="A218" s="31" t="inlineStr">
        <is>
          <t>2453</t>
        </is>
      </c>
      <c r="B218" s="15" t="inlineStr">
        <is>
          <t>CONCORD HC GP</t>
        </is>
      </c>
      <c r="C218" s="15" t="inlineStr">
        <is>
          <t>Healthcare</t>
        </is>
      </c>
      <c r="D218" s="15" t="inlineStr">
        <is>
          <t>Hospitals / clinics</t>
        </is>
      </c>
      <c r="E218" s="34" t="n">
        <v>45300</v>
      </c>
      <c r="F218" s="15" t="n">
        <v>14.28</v>
      </c>
      <c r="G218" s="15" t="n">
        <v>0.7</v>
      </c>
      <c r="H218" s="34" t="n">
        <v>46297</v>
      </c>
      <c r="I218" s="31" t="n"/>
      <c r="J218" s="15" t="n">
        <v>0</v>
      </c>
      <c r="K218" s="15">
        <f>IF(AND(AH!$M$5="Snapshot",'IPO Live'!$M$5="Snapshot"),"",IFERROR(BDP(TEXT(VALUE($A218),"0")&amp;" HK Equity","PX_LAST"),""))</f>
        <v/>
      </c>
      <c r="L218" s="15">
        <f>IF(AND(AH!$M$5="Snapshot",'IPO Live'!$M$5="Snapshot"),"",IFERROR(BDP(TEXT(VALUE($A218),"0")&amp;" HK Equity","CHG_PCT_1D")/100,""))</f>
        <v/>
      </c>
      <c r="M218" s="15">
        <f>IF(AND(AH!$M$5="Snapshot",'IPO Live'!$M$5="Snapshot"),"",IFERROR(BDP(TEXT(VALUE($A218),"0")&amp;" HK Equity","LAST_UPDATE_DT"),""))</f>
        <v/>
      </c>
      <c r="N218" s="15">
        <f>IF(AND(AH!$M$5="Snapshot",'IPO Live'!$M$5="Snapshot"),"",IFERROR(BDP(TEXT(VALUE($A218),"0")&amp;" HK Equity","LAST_UPDATE"),""))</f>
        <v/>
      </c>
      <c r="O218" s="15">
        <f>IF('IPO Live'!$M$5="Snapshot",IF(ISNUMBER(G218),G218,"unavailable"),IF(AND(ISNUMBER(K218),N(K218)&gt;0),K218,IF('IPO Live'!$M$5="Auto",IF(ISNUMBER(G218),G218,"unavailable"),"unavailable")))</f>
        <v/>
      </c>
      <c r="P218" s="15">
        <f>IF(AND('IPO Live'!$M$5&lt;&gt;"Snapshot",ISNUMBER(K218),N(K218)&gt;0),"Bloomberg",IF(AND('IPO Live'!$M$5&lt;&gt;"Bloomberg",ISNUMBER(G218)),"Snapshot","Unavailable"))</f>
        <v/>
      </c>
      <c r="Q218" s="33">
        <f>IF(AND(P218="Bloomberg",ISNUMBER(L218)),L218,"unavailable")</f>
        <v/>
      </c>
      <c r="R218" s="15">
        <f>IF(OR('IPO Live'!$B$5="All",'IPO Live'!$B$5=C218,AND('IPO Live'!$B$5="A/H only",J218&gt;0)),1,0)</f>
        <v/>
      </c>
      <c r="S218" s="15">
        <f>IF(R218=1,COUNTIF($R$5:R218,1),"")</f>
        <v/>
      </c>
      <c r="T218">
        <f>1</f>
        <v/>
      </c>
      <c r="U218">
        <f>IF($P218="Bloomberg",$M218,$H218)</f>
        <v/>
      </c>
      <c r="AW218">
        <f>IF(AND(J218&gt;0,OR(AH!$I$5="All",AH!$I$5="A/H only",AH!$I$5=C218)),1,0)</f>
        <v/>
      </c>
      <c r="AX218">
        <f>IF(AW218=1,COUNTIF($AW$5:AW218,1),"")</f>
        <v/>
      </c>
      <c r="AY218">
        <f>IF(AH!$M$5="Snapshot",IF(ISNUMBER(G218),G218,"unavailable"),IF(AND(ISNUMBER(K218),N(K218)&gt;0),K218,IF(AH!$M$5="Auto",IF(ISNUMBER(G218),G218,"unavailable"),"unavailable")))</f>
        <v/>
      </c>
      <c r="AZ218">
        <f>IF(AND(AH!$M$5&lt;&gt;"Snapshot",ISNUMBER(K218),N(K218)&gt;0),"Bloomberg",IF(AND(AH!$M$5&lt;&gt;"Bloomberg",ISNUMBER(G218)),"Snapshot","Unavailable"))</f>
        <v/>
      </c>
      <c r="BA218">
        <f>IF(AZ218="Bloomberg",M218,H218)</f>
        <v/>
      </c>
      <c r="BB218">
        <f>1</f>
        <v/>
      </c>
    </row>
    <row r="219">
      <c r="A219" s="31" t="inlineStr">
        <is>
          <t>2511</t>
        </is>
      </c>
      <c r="B219" s="15" t="inlineStr">
        <is>
          <t>HIGHTIDE-B</t>
        </is>
      </c>
      <c r="C219" s="15" t="inlineStr">
        <is>
          <t>Healthcare</t>
        </is>
      </c>
      <c r="D219" s="15" t="inlineStr">
        <is>
          <t>Biotech pre-revenue (18A)</t>
        </is>
      </c>
      <c r="E219" s="34" t="n">
        <v>45282</v>
      </c>
      <c r="F219" s="15" t="n">
        <v>11.5</v>
      </c>
      <c r="G219" s="15" t="n">
        <v>3.5</v>
      </c>
      <c r="H219" s="34" t="n">
        <v>46297</v>
      </c>
      <c r="I219" s="31" t="n"/>
      <c r="J219" s="15" t="n">
        <v>0</v>
      </c>
      <c r="K219" s="15">
        <f>IF(AND(AH!$M$5="Snapshot",'IPO Live'!$M$5="Snapshot"),"",IFERROR(BDP(TEXT(VALUE($A219),"0")&amp;" HK Equity","PX_LAST"),""))</f>
        <v/>
      </c>
      <c r="L219" s="15">
        <f>IF(AND(AH!$M$5="Snapshot",'IPO Live'!$M$5="Snapshot"),"",IFERROR(BDP(TEXT(VALUE($A219),"0")&amp;" HK Equity","CHG_PCT_1D")/100,""))</f>
        <v/>
      </c>
      <c r="M219" s="15">
        <f>IF(AND(AH!$M$5="Snapshot",'IPO Live'!$M$5="Snapshot"),"",IFERROR(BDP(TEXT(VALUE($A219),"0")&amp;" HK Equity","LAST_UPDATE_DT"),""))</f>
        <v/>
      </c>
      <c r="N219" s="15">
        <f>IF(AND(AH!$M$5="Snapshot",'IPO Live'!$M$5="Snapshot"),"",IFERROR(BDP(TEXT(VALUE($A219),"0")&amp;" HK Equity","LAST_UPDATE"),""))</f>
        <v/>
      </c>
      <c r="O219" s="15">
        <f>IF('IPO Live'!$M$5="Snapshot",IF(ISNUMBER(G219),G219,"unavailable"),IF(AND(ISNUMBER(K219),N(K219)&gt;0),K219,IF('IPO Live'!$M$5="Auto",IF(ISNUMBER(G219),G219,"unavailable"),"unavailable")))</f>
        <v/>
      </c>
      <c r="P219" s="15">
        <f>IF(AND('IPO Live'!$M$5&lt;&gt;"Snapshot",ISNUMBER(K219),N(K219)&gt;0),"Bloomberg",IF(AND('IPO Live'!$M$5&lt;&gt;"Bloomberg",ISNUMBER(G219)),"Snapshot","Unavailable"))</f>
        <v/>
      </c>
      <c r="Q219" s="33">
        <f>IF(AND(P219="Bloomberg",ISNUMBER(L219)),L219,"unavailable")</f>
        <v/>
      </c>
      <c r="R219" s="15">
        <f>IF(OR('IPO Live'!$B$5="All",'IPO Live'!$B$5=C219,AND('IPO Live'!$B$5="A/H only",J219&gt;0)),1,0)</f>
        <v/>
      </c>
      <c r="S219" s="15">
        <f>IF(R219=1,COUNTIF($R$5:R219,1),"")</f>
        <v/>
      </c>
      <c r="T219">
        <f>1</f>
        <v/>
      </c>
      <c r="U219">
        <f>IF($P219="Bloomberg",$M219,$H219)</f>
        <v/>
      </c>
      <c r="AW219">
        <f>IF(AND(J219&gt;0,OR(AH!$I$5="All",AH!$I$5="A/H only",AH!$I$5=C219)),1,0)</f>
        <v/>
      </c>
      <c r="AX219">
        <f>IF(AW219=1,COUNTIF($AW$5:AW219,1),"")</f>
        <v/>
      </c>
      <c r="AY219">
        <f>IF(AH!$M$5="Snapshot",IF(ISNUMBER(G219),G219,"unavailable"),IF(AND(ISNUMBER(K219),N(K219)&gt;0),K219,IF(AH!$M$5="Auto",IF(ISNUMBER(G219),G219,"unavailable"),"unavailable")))</f>
        <v/>
      </c>
      <c r="AZ219">
        <f>IF(AND(AH!$M$5&lt;&gt;"Snapshot",ISNUMBER(K219),N(K219)&gt;0),"Bloomberg",IF(AND(AH!$M$5&lt;&gt;"Bloomberg",ISNUMBER(G219)),"Snapshot","Unavailable"))</f>
        <v/>
      </c>
      <c r="BA219">
        <f>IF(AZ219="Bloomberg",M219,H219)</f>
        <v/>
      </c>
      <c r="BB219">
        <f>1</f>
        <v/>
      </c>
    </row>
    <row r="220">
      <c r="A220" s="31" t="inlineStr">
        <is>
          <t>2268</t>
        </is>
      </c>
      <c r="B220" s="15" t="inlineStr">
        <is>
          <t>WUXI XDC</t>
        </is>
      </c>
      <c r="C220" s="15" t="inlineStr">
        <is>
          <t>Healthcare</t>
        </is>
      </c>
      <c r="D220" s="15" t="inlineStr">
        <is>
          <t>CXO / pharma services</t>
        </is>
      </c>
      <c r="E220" s="34" t="n">
        <v>45247</v>
      </c>
      <c r="F220" s="15" t="n">
        <v>20.6</v>
      </c>
      <c r="G220" s="15" t="n">
        <v>80.59999999999999</v>
      </c>
      <c r="H220" s="34" t="n">
        <v>46297</v>
      </c>
      <c r="I220" s="31" t="n"/>
      <c r="J220" s="15" t="n">
        <v>0</v>
      </c>
      <c r="K220" s="15">
        <f>IF(AND(AH!$M$5="Snapshot",'IPO Live'!$M$5="Snapshot"),"",IFERROR(BDP(TEXT(VALUE($A220),"0")&amp;" HK Equity","PX_LAST"),""))</f>
        <v/>
      </c>
      <c r="L220" s="15">
        <f>IF(AND(AH!$M$5="Snapshot",'IPO Live'!$M$5="Snapshot"),"",IFERROR(BDP(TEXT(VALUE($A220),"0")&amp;" HK Equity","CHG_PCT_1D")/100,""))</f>
        <v/>
      </c>
      <c r="M220" s="15">
        <f>IF(AND(AH!$M$5="Snapshot",'IPO Live'!$M$5="Snapshot"),"",IFERROR(BDP(TEXT(VALUE($A220),"0")&amp;" HK Equity","LAST_UPDATE_DT"),""))</f>
        <v/>
      </c>
      <c r="N220" s="15">
        <f>IF(AND(AH!$M$5="Snapshot",'IPO Live'!$M$5="Snapshot"),"",IFERROR(BDP(TEXT(VALUE($A220),"0")&amp;" HK Equity","LAST_UPDATE"),""))</f>
        <v/>
      </c>
      <c r="O220" s="15">
        <f>IF('IPO Live'!$M$5="Snapshot",IF(ISNUMBER(G220),G220,"unavailable"),IF(AND(ISNUMBER(K220),N(K220)&gt;0),K220,IF('IPO Live'!$M$5="Auto",IF(ISNUMBER(G220),G220,"unavailable"),"unavailable")))</f>
        <v/>
      </c>
      <c r="P220" s="15">
        <f>IF(AND('IPO Live'!$M$5&lt;&gt;"Snapshot",ISNUMBER(K220),N(K220)&gt;0),"Bloomberg",IF(AND('IPO Live'!$M$5&lt;&gt;"Bloomberg",ISNUMBER(G220)),"Snapshot","Unavailable"))</f>
        <v/>
      </c>
      <c r="Q220" s="33">
        <f>IF(AND(P220="Bloomberg",ISNUMBER(L220)),L220,"unavailable")</f>
        <v/>
      </c>
      <c r="R220" s="15">
        <f>IF(OR('IPO Live'!$B$5="All",'IPO Live'!$B$5=C220,AND('IPO Live'!$B$5="A/H only",J220&gt;0)),1,0)</f>
        <v/>
      </c>
      <c r="S220" s="15">
        <f>IF(R220=1,COUNTIF($R$5:R220,1),"")</f>
        <v/>
      </c>
      <c r="T220">
        <f>1</f>
        <v/>
      </c>
      <c r="U220">
        <f>IF($P220="Bloomberg",$M220,$H220)</f>
        <v/>
      </c>
      <c r="AW220">
        <f>IF(AND(J220&gt;0,OR(AH!$I$5="All",AH!$I$5="A/H only",AH!$I$5=C220)),1,0)</f>
        <v/>
      </c>
      <c r="AX220">
        <f>IF(AW220=1,COUNTIF($AW$5:AW220,1),"")</f>
        <v/>
      </c>
      <c r="AY220">
        <f>IF(AH!$M$5="Snapshot",IF(ISNUMBER(G220),G220,"unavailable"),IF(AND(ISNUMBER(K220),N(K220)&gt;0),K220,IF(AH!$M$5="Auto",IF(ISNUMBER(G220),G220,"unavailable"),"unavailable")))</f>
        <v/>
      </c>
      <c r="AZ220">
        <f>IF(AND(AH!$M$5&lt;&gt;"Snapshot",ISNUMBER(K220),N(K220)&gt;0),"Bloomberg",IF(AND(AH!$M$5&lt;&gt;"Bloomberg",ISNUMBER(G220)),"Snapshot","Unavailable"))</f>
        <v/>
      </c>
      <c r="BA220">
        <f>IF(AZ220="Bloomberg",M220,H220)</f>
        <v/>
      </c>
      <c r="BB220">
        <f>1</f>
        <v/>
      </c>
    </row>
    <row r="221">
      <c r="A221" s="31" t="inlineStr">
        <is>
          <t>9686</t>
        </is>
      </c>
      <c r="B221" s="15" t="inlineStr">
        <is>
          <t>NEUSOFT XIKANG</t>
        </is>
      </c>
      <c r="C221" s="15" t="inlineStr">
        <is>
          <t>Healthcare</t>
        </is>
      </c>
      <c r="D221" s="15" t="inlineStr">
        <is>
          <t>Digital health</t>
        </is>
      </c>
      <c r="E221" s="34" t="n">
        <v>45197</v>
      </c>
      <c r="F221" s="15" t="n">
        <v>4.76</v>
      </c>
      <c r="G221" s="15" t="n">
        <v>0.99</v>
      </c>
      <c r="H221" s="34" t="n">
        <v>46297</v>
      </c>
      <c r="I221" s="31" t="n"/>
      <c r="J221" s="15" t="n">
        <v>0</v>
      </c>
      <c r="K221" s="15">
        <f>IF(AND(AH!$M$5="Snapshot",'IPO Live'!$M$5="Snapshot"),"",IFERROR(BDP(TEXT(VALUE($A221),"0")&amp;" HK Equity","PX_LAST"),""))</f>
        <v/>
      </c>
      <c r="L221" s="15">
        <f>IF(AND(AH!$M$5="Snapshot",'IPO Live'!$M$5="Snapshot"),"",IFERROR(BDP(TEXT(VALUE($A221),"0")&amp;" HK Equity","CHG_PCT_1D")/100,""))</f>
        <v/>
      </c>
      <c r="M221" s="15">
        <f>IF(AND(AH!$M$5="Snapshot",'IPO Live'!$M$5="Snapshot"),"",IFERROR(BDP(TEXT(VALUE($A221),"0")&amp;" HK Equity","LAST_UPDATE_DT"),""))</f>
        <v/>
      </c>
      <c r="N221" s="15">
        <f>IF(AND(AH!$M$5="Snapshot",'IPO Live'!$M$5="Snapshot"),"",IFERROR(BDP(TEXT(VALUE($A221),"0")&amp;" HK Equity","LAST_UPDATE"),""))</f>
        <v/>
      </c>
      <c r="O221" s="15">
        <f>IF('IPO Live'!$M$5="Snapshot",IF(ISNUMBER(G221),G221,"unavailable"),IF(AND(ISNUMBER(K221),N(K221)&gt;0),K221,IF('IPO Live'!$M$5="Auto",IF(ISNUMBER(G221),G221,"unavailable"),"unavailable")))</f>
        <v/>
      </c>
      <c r="P221" s="15">
        <f>IF(AND('IPO Live'!$M$5&lt;&gt;"Snapshot",ISNUMBER(K221),N(K221)&gt;0),"Bloomberg",IF(AND('IPO Live'!$M$5&lt;&gt;"Bloomberg",ISNUMBER(G221)),"Snapshot","Unavailable"))</f>
        <v/>
      </c>
      <c r="Q221" s="33">
        <f>IF(AND(P221="Bloomberg",ISNUMBER(L221)),L221,"unavailable")</f>
        <v/>
      </c>
      <c r="R221" s="15">
        <f>IF(OR('IPO Live'!$B$5="All",'IPO Live'!$B$5=C221,AND('IPO Live'!$B$5="A/H only",J221&gt;0)),1,0)</f>
        <v/>
      </c>
      <c r="S221" s="15">
        <f>IF(R221=1,COUNTIF($R$5:R221,1),"")</f>
        <v/>
      </c>
      <c r="T221">
        <f>1</f>
        <v/>
      </c>
      <c r="U221">
        <f>IF($P221="Bloomberg",$M221,$H221)</f>
        <v/>
      </c>
      <c r="AW221">
        <f>IF(AND(J221&gt;0,OR(AH!$I$5="All",AH!$I$5="A/H only",AH!$I$5=C221)),1,0)</f>
        <v/>
      </c>
      <c r="AX221">
        <f>IF(AW221=1,COUNTIF($AW$5:AW221,1),"")</f>
        <v/>
      </c>
      <c r="AY221">
        <f>IF(AH!$M$5="Snapshot",IF(ISNUMBER(G221),G221,"unavailable"),IF(AND(ISNUMBER(K221),N(K221)&gt;0),K221,IF(AH!$M$5="Auto",IF(ISNUMBER(G221),G221,"unavailable"),"unavailable")))</f>
        <v/>
      </c>
      <c r="AZ221">
        <f>IF(AND(AH!$M$5&lt;&gt;"Snapshot",ISNUMBER(K221),N(K221)&gt;0),"Bloomberg",IF(AND(AH!$M$5&lt;&gt;"Bloomberg",ISNUMBER(G221)),"Snapshot","Unavailable"))</f>
        <v/>
      </c>
      <c r="BA221">
        <f>IF(AZ221="Bloomberg",M221,H221)</f>
        <v/>
      </c>
      <c r="BB221">
        <f>1</f>
        <v/>
      </c>
    </row>
    <row r="222">
      <c r="A222" s="31" t="inlineStr">
        <is>
          <t>2496</t>
        </is>
      </c>
      <c r="B222" s="15" t="inlineStr">
        <is>
          <t>YZYBIO-B</t>
        </is>
      </c>
      <c r="C222" s="15" t="inlineStr">
        <is>
          <t>Healthcare</t>
        </is>
      </c>
      <c r="D222" s="15" t="inlineStr">
        <is>
          <t>Biotech pre-revenue (18A)</t>
        </is>
      </c>
      <c r="E222" s="34" t="n">
        <v>45194</v>
      </c>
      <c r="F222" s="15" t="n">
        <v>16</v>
      </c>
      <c r="G222" s="15" t="n">
        <v>3.19</v>
      </c>
      <c r="H222" s="34" t="n">
        <v>46297</v>
      </c>
      <c r="I222" s="31" t="n"/>
      <c r="J222" s="15" t="n">
        <v>0</v>
      </c>
      <c r="K222" s="15">
        <f>IF(AND(AH!$M$5="Snapshot",'IPO Live'!$M$5="Snapshot"),"",IFERROR(BDP(TEXT(VALUE($A222),"0")&amp;" HK Equity","PX_LAST"),""))</f>
        <v/>
      </c>
      <c r="L222" s="15">
        <f>IF(AND(AH!$M$5="Snapshot",'IPO Live'!$M$5="Snapshot"),"",IFERROR(BDP(TEXT(VALUE($A222),"0")&amp;" HK Equity","CHG_PCT_1D")/100,""))</f>
        <v/>
      </c>
      <c r="M222" s="15">
        <f>IF(AND(AH!$M$5="Snapshot",'IPO Live'!$M$5="Snapshot"),"",IFERROR(BDP(TEXT(VALUE($A222),"0")&amp;" HK Equity","LAST_UPDATE_DT"),""))</f>
        <v/>
      </c>
      <c r="N222" s="15">
        <f>IF(AND(AH!$M$5="Snapshot",'IPO Live'!$M$5="Snapshot"),"",IFERROR(BDP(TEXT(VALUE($A222),"0")&amp;" HK Equity","LAST_UPDATE"),""))</f>
        <v/>
      </c>
      <c r="O222" s="15">
        <f>IF('IPO Live'!$M$5="Snapshot",IF(ISNUMBER(G222),G222,"unavailable"),IF(AND(ISNUMBER(K222),N(K222)&gt;0),K222,IF('IPO Live'!$M$5="Auto",IF(ISNUMBER(G222),G222,"unavailable"),"unavailable")))</f>
        <v/>
      </c>
      <c r="P222" s="15">
        <f>IF(AND('IPO Live'!$M$5&lt;&gt;"Snapshot",ISNUMBER(K222),N(K222)&gt;0),"Bloomberg",IF(AND('IPO Live'!$M$5&lt;&gt;"Bloomberg",ISNUMBER(G222)),"Snapshot","Unavailable"))</f>
        <v/>
      </c>
      <c r="Q222" s="33">
        <f>IF(AND(P222="Bloomberg",ISNUMBER(L222)),L222,"unavailable")</f>
        <v/>
      </c>
      <c r="R222" s="15">
        <f>IF(OR('IPO Live'!$B$5="All",'IPO Live'!$B$5=C222,AND('IPO Live'!$B$5="A/H only",J222&gt;0)),1,0)</f>
        <v/>
      </c>
      <c r="S222" s="15">
        <f>IF(R222=1,COUNTIF($R$5:R222,1),"")</f>
        <v/>
      </c>
      <c r="T222">
        <f>1</f>
        <v/>
      </c>
      <c r="U222">
        <f>IF($P222="Bloomberg",$M222,$H222)</f>
        <v/>
      </c>
      <c r="AW222">
        <f>IF(AND(J222&gt;0,OR(AH!$I$5="All",AH!$I$5="A/H only",AH!$I$5=C222)),1,0)</f>
        <v/>
      </c>
      <c r="AX222">
        <f>IF(AW222=1,COUNTIF($AW$5:AW222,1),"")</f>
        <v/>
      </c>
      <c r="AY222">
        <f>IF(AH!$M$5="Snapshot",IF(ISNUMBER(G222),G222,"unavailable"),IF(AND(ISNUMBER(K222),N(K222)&gt;0),K222,IF(AH!$M$5="Auto",IF(ISNUMBER(G222),G222,"unavailable"),"unavailable")))</f>
        <v/>
      </c>
      <c r="AZ222">
        <f>IF(AND(AH!$M$5&lt;&gt;"Snapshot",ISNUMBER(K222),N(K222)&gt;0),"Bloomberg",IF(AND(AH!$M$5&lt;&gt;"Bloomberg",ISNUMBER(G222)),"Snapshot","Unavailable"))</f>
        <v/>
      </c>
      <c r="BA222">
        <f>IF(AZ222="Bloomberg",M222,H222)</f>
        <v/>
      </c>
      <c r="BB222">
        <f>1</f>
        <v/>
      </c>
    </row>
    <row r="223">
      <c r="A223" s="31" t="inlineStr">
        <is>
          <t>1541</t>
        </is>
      </c>
      <c r="B223" s="15" t="inlineStr">
        <is>
          <t>IMMUNEONCO-B</t>
        </is>
      </c>
      <c r="C223" s="15" t="inlineStr">
        <is>
          <t>Healthcare</t>
        </is>
      </c>
      <c r="D223" s="15" t="inlineStr">
        <is>
          <t>Biotech pre-revenue (18A)</t>
        </is>
      </c>
      <c r="E223" s="34" t="n">
        <v>45174</v>
      </c>
      <c r="F223" s="15" t="n">
        <v>18.6</v>
      </c>
      <c r="G223" s="15" t="n">
        <v>3.38</v>
      </c>
      <c r="H223" s="34" t="n">
        <v>46297</v>
      </c>
      <c r="I223" s="31" t="n"/>
      <c r="J223" s="15" t="n">
        <v>0</v>
      </c>
      <c r="K223" s="15">
        <f>IF(AND(AH!$M$5="Snapshot",'IPO Live'!$M$5="Snapshot"),"",IFERROR(BDP(TEXT(VALUE($A223),"0")&amp;" HK Equity","PX_LAST"),""))</f>
        <v/>
      </c>
      <c r="L223" s="15">
        <f>IF(AND(AH!$M$5="Snapshot",'IPO Live'!$M$5="Snapshot"),"",IFERROR(BDP(TEXT(VALUE($A223),"0")&amp;" HK Equity","CHG_PCT_1D")/100,""))</f>
        <v/>
      </c>
      <c r="M223" s="15">
        <f>IF(AND(AH!$M$5="Snapshot",'IPO Live'!$M$5="Snapshot"),"",IFERROR(BDP(TEXT(VALUE($A223),"0")&amp;" HK Equity","LAST_UPDATE_DT"),""))</f>
        <v/>
      </c>
      <c r="N223" s="15">
        <f>IF(AND(AH!$M$5="Snapshot",'IPO Live'!$M$5="Snapshot"),"",IFERROR(BDP(TEXT(VALUE($A223),"0")&amp;" HK Equity","LAST_UPDATE"),""))</f>
        <v/>
      </c>
      <c r="O223" s="15">
        <f>IF('IPO Live'!$M$5="Snapshot",IF(ISNUMBER(G223),G223,"unavailable"),IF(AND(ISNUMBER(K223),N(K223)&gt;0),K223,IF('IPO Live'!$M$5="Auto",IF(ISNUMBER(G223),G223,"unavailable"),"unavailable")))</f>
        <v/>
      </c>
      <c r="P223" s="15">
        <f>IF(AND('IPO Live'!$M$5&lt;&gt;"Snapshot",ISNUMBER(K223),N(K223)&gt;0),"Bloomberg",IF(AND('IPO Live'!$M$5&lt;&gt;"Bloomberg",ISNUMBER(G223)),"Snapshot","Unavailable"))</f>
        <v/>
      </c>
      <c r="Q223" s="33">
        <f>IF(AND(P223="Bloomberg",ISNUMBER(L223)),L223,"unavailable")</f>
        <v/>
      </c>
      <c r="R223" s="15">
        <f>IF(OR('IPO Live'!$B$5="All",'IPO Live'!$B$5=C223,AND('IPO Live'!$B$5="A/H only",J223&gt;0)),1,0)</f>
        <v/>
      </c>
      <c r="S223" s="15">
        <f>IF(R223=1,COUNTIF($R$5:R223,1),"")</f>
        <v/>
      </c>
      <c r="T223">
        <f>1</f>
        <v/>
      </c>
      <c r="U223">
        <f>IF($P223="Bloomberg",$M223,$H223)</f>
        <v/>
      </c>
      <c r="AW223">
        <f>IF(AND(J223&gt;0,OR(AH!$I$5="All",AH!$I$5="A/H only",AH!$I$5=C223)),1,0)</f>
        <v/>
      </c>
      <c r="AX223">
        <f>IF(AW223=1,COUNTIF($AW$5:AW223,1),"")</f>
        <v/>
      </c>
      <c r="AY223">
        <f>IF(AH!$M$5="Snapshot",IF(ISNUMBER(G223),G223,"unavailable"),IF(AND(ISNUMBER(K223),N(K223)&gt;0),K223,IF(AH!$M$5="Auto",IF(ISNUMBER(G223),G223,"unavailable"),"unavailable")))</f>
        <v/>
      </c>
      <c r="AZ223">
        <f>IF(AND(AH!$M$5&lt;&gt;"Snapshot",ISNUMBER(K223),N(K223)&gt;0),"Bloomberg",IF(AND(AH!$M$5&lt;&gt;"Bloomberg",ISNUMBER(G223)),"Snapshot","Unavailable"))</f>
        <v/>
      </c>
      <c r="BA223">
        <f>IF(AZ223="Bloomberg",M223,H223)</f>
        <v/>
      </c>
      <c r="BB223">
        <f>1</f>
        <v/>
      </c>
    </row>
    <row r="224">
      <c r="A224" s="31" t="inlineStr">
        <is>
          <t>6990</t>
        </is>
      </c>
      <c r="B224" s="15" t="inlineStr">
        <is>
          <t>SKB BIO-B</t>
        </is>
      </c>
      <c r="C224" s="15" t="inlineStr">
        <is>
          <t>Healthcare</t>
        </is>
      </c>
      <c r="D224" s="15" t="inlineStr">
        <is>
          <t>Biotech pre-revenue (18A)</t>
        </is>
      </c>
      <c r="E224" s="34" t="n">
        <v>45118</v>
      </c>
      <c r="F224" s="15" t="n">
        <v>60.6</v>
      </c>
      <c r="G224" s="15" t="n">
        <v>472.2</v>
      </c>
      <c r="H224" s="34" t="n">
        <v>46297</v>
      </c>
      <c r="I224" s="31" t="n"/>
      <c r="J224" s="15" t="n">
        <v>0</v>
      </c>
      <c r="K224" s="15">
        <f>IF(AND(AH!$M$5="Snapshot",'IPO Live'!$M$5="Snapshot"),"",IFERROR(BDP(TEXT(VALUE($A224),"0")&amp;" HK Equity","PX_LAST"),""))</f>
        <v/>
      </c>
      <c r="L224" s="15">
        <f>IF(AND(AH!$M$5="Snapshot",'IPO Live'!$M$5="Snapshot"),"",IFERROR(BDP(TEXT(VALUE($A224),"0")&amp;" HK Equity","CHG_PCT_1D")/100,""))</f>
        <v/>
      </c>
      <c r="M224" s="15">
        <f>IF(AND(AH!$M$5="Snapshot",'IPO Live'!$M$5="Snapshot"),"",IFERROR(BDP(TEXT(VALUE($A224),"0")&amp;" HK Equity","LAST_UPDATE_DT"),""))</f>
        <v/>
      </c>
      <c r="N224" s="15">
        <f>IF(AND(AH!$M$5="Snapshot",'IPO Live'!$M$5="Snapshot"),"",IFERROR(BDP(TEXT(VALUE($A224),"0")&amp;" HK Equity","LAST_UPDATE"),""))</f>
        <v/>
      </c>
      <c r="O224" s="15">
        <f>IF('IPO Live'!$M$5="Snapshot",IF(ISNUMBER(G224),G224,"unavailable"),IF(AND(ISNUMBER(K224),N(K224)&gt;0),K224,IF('IPO Live'!$M$5="Auto",IF(ISNUMBER(G224),G224,"unavailable"),"unavailable")))</f>
        <v/>
      </c>
      <c r="P224" s="15">
        <f>IF(AND('IPO Live'!$M$5&lt;&gt;"Snapshot",ISNUMBER(K224),N(K224)&gt;0),"Bloomberg",IF(AND('IPO Live'!$M$5&lt;&gt;"Bloomberg",ISNUMBER(G224)),"Snapshot","Unavailable"))</f>
        <v/>
      </c>
      <c r="Q224" s="33">
        <f>IF(AND(P224="Bloomberg",ISNUMBER(L224)),L224,"unavailable")</f>
        <v/>
      </c>
      <c r="R224" s="15">
        <f>IF(OR('IPO Live'!$B$5="All",'IPO Live'!$B$5=C224,AND('IPO Live'!$B$5="A/H only",J224&gt;0)),1,0)</f>
        <v/>
      </c>
      <c r="S224" s="15">
        <f>IF(R224=1,COUNTIF($R$5:R224,1),"")</f>
        <v/>
      </c>
      <c r="T224">
        <f>1</f>
        <v/>
      </c>
      <c r="U224">
        <f>IF($P224="Bloomberg",$M224,$H224)</f>
        <v/>
      </c>
      <c r="AW224">
        <f>IF(AND(J224&gt;0,OR(AH!$I$5="All",AH!$I$5="A/H only",AH!$I$5=C224)),1,0)</f>
        <v/>
      </c>
      <c r="AX224">
        <f>IF(AW224=1,COUNTIF($AW$5:AW224,1),"")</f>
        <v/>
      </c>
      <c r="AY224">
        <f>IF(AH!$M$5="Snapshot",IF(ISNUMBER(G224),G224,"unavailable"),IF(AND(ISNUMBER(K224),N(K224)&gt;0),K224,IF(AH!$M$5="Auto",IF(ISNUMBER(G224),G224,"unavailable"),"unavailable")))</f>
        <v/>
      </c>
      <c r="AZ224">
        <f>IF(AND(AH!$M$5&lt;&gt;"Snapshot",ISNUMBER(K224),N(K224)&gt;0),"Bloomberg",IF(AND(AH!$M$5&lt;&gt;"Bloomberg",ISNUMBER(G224)),"Snapshot","Unavailable"))</f>
        <v/>
      </c>
      <c r="BA224">
        <f>IF(AZ224="Bloomberg",M224,H224)</f>
        <v/>
      </c>
      <c r="BB224">
        <f>1</f>
        <v/>
      </c>
    </row>
    <row r="225">
      <c r="A225" s="31" t="inlineStr">
        <is>
          <t>9860</t>
        </is>
      </c>
      <c r="B225" s="15" t="inlineStr">
        <is>
          <t>ADICON HOLDINGS</t>
        </is>
      </c>
      <c r="C225" s="15" t="inlineStr">
        <is>
          <t>Healthcare</t>
        </is>
      </c>
      <c r="D225" s="15" t="inlineStr">
        <is>
          <t>CXO / pharma services</t>
        </is>
      </c>
      <c r="E225" s="34" t="n">
        <v>45107</v>
      </c>
      <c r="F225" s="15" t="n">
        <v>12.32</v>
      </c>
      <c r="G225" s="15" t="n">
        <v>4.8</v>
      </c>
      <c r="H225" s="34" t="n">
        <v>46297</v>
      </c>
      <c r="I225" s="31" t="n"/>
      <c r="J225" s="15" t="n">
        <v>0</v>
      </c>
      <c r="K225" s="15">
        <f>IF(AND(AH!$M$5="Snapshot",'IPO Live'!$M$5="Snapshot"),"",IFERROR(BDP(TEXT(VALUE($A225),"0")&amp;" HK Equity","PX_LAST"),""))</f>
        <v/>
      </c>
      <c r="L225" s="15">
        <f>IF(AND(AH!$M$5="Snapshot",'IPO Live'!$M$5="Snapshot"),"",IFERROR(BDP(TEXT(VALUE($A225),"0")&amp;" HK Equity","CHG_PCT_1D")/100,""))</f>
        <v/>
      </c>
      <c r="M225" s="15">
        <f>IF(AND(AH!$M$5="Snapshot",'IPO Live'!$M$5="Snapshot"),"",IFERROR(BDP(TEXT(VALUE($A225),"0")&amp;" HK Equity","LAST_UPDATE_DT"),""))</f>
        <v/>
      </c>
      <c r="N225" s="15">
        <f>IF(AND(AH!$M$5="Snapshot",'IPO Live'!$M$5="Snapshot"),"",IFERROR(BDP(TEXT(VALUE($A225),"0")&amp;" HK Equity","LAST_UPDATE"),""))</f>
        <v/>
      </c>
      <c r="O225" s="15">
        <f>IF('IPO Live'!$M$5="Snapshot",IF(ISNUMBER(G225),G225,"unavailable"),IF(AND(ISNUMBER(K225),N(K225)&gt;0),K225,IF('IPO Live'!$M$5="Auto",IF(ISNUMBER(G225),G225,"unavailable"),"unavailable")))</f>
        <v/>
      </c>
      <c r="P225" s="15">
        <f>IF(AND('IPO Live'!$M$5&lt;&gt;"Snapshot",ISNUMBER(K225),N(K225)&gt;0),"Bloomberg",IF(AND('IPO Live'!$M$5&lt;&gt;"Bloomberg",ISNUMBER(G225)),"Snapshot","Unavailable"))</f>
        <v/>
      </c>
      <c r="Q225" s="33">
        <f>IF(AND(P225="Bloomberg",ISNUMBER(L225)),L225,"unavailable")</f>
        <v/>
      </c>
      <c r="R225" s="15">
        <f>IF(OR('IPO Live'!$B$5="All",'IPO Live'!$B$5=C225,AND('IPO Live'!$B$5="A/H only",J225&gt;0)),1,0)</f>
        <v/>
      </c>
      <c r="S225" s="15">
        <f>IF(R225=1,COUNTIF($R$5:R225,1),"")</f>
        <v/>
      </c>
      <c r="T225">
        <f>1</f>
        <v/>
      </c>
      <c r="U225">
        <f>IF($P225="Bloomberg",$M225,$H225)</f>
        <v/>
      </c>
      <c r="AW225">
        <f>IF(AND(J225&gt;0,OR(AH!$I$5="All",AH!$I$5="A/H only",AH!$I$5=C225)),1,0)</f>
        <v/>
      </c>
      <c r="AX225">
        <f>IF(AW225=1,COUNTIF($AW$5:AW225,1),"")</f>
        <v/>
      </c>
      <c r="AY225">
        <f>IF(AH!$M$5="Snapshot",IF(ISNUMBER(G225),G225,"unavailable"),IF(AND(ISNUMBER(K225),N(K225)&gt;0),K225,IF(AH!$M$5="Auto",IF(ISNUMBER(G225),G225,"unavailable"),"unavailable")))</f>
        <v/>
      </c>
      <c r="AZ225">
        <f>IF(AND(AH!$M$5&lt;&gt;"Snapshot",ISNUMBER(K225),N(K225)&gt;0),"Bloomberg",IF(AND(AH!$M$5&lt;&gt;"Bloomberg",ISNUMBER(G225)),"Snapshot","Unavailable"))</f>
        <v/>
      </c>
      <c r="BA225">
        <f>IF(AZ225="Bloomberg",M225,H225)</f>
        <v/>
      </c>
      <c r="BB225">
        <f>1</f>
        <v/>
      </c>
    </row>
    <row r="226">
      <c r="A226" s="31" t="inlineStr">
        <is>
          <t>2105</t>
        </is>
      </c>
      <c r="B226" s="15" t="inlineStr">
        <is>
          <t>LAEKNA-B</t>
        </is>
      </c>
      <c r="C226" s="15" t="inlineStr">
        <is>
          <t>Healthcare</t>
        </is>
      </c>
      <c r="D226" s="15" t="inlineStr">
        <is>
          <t>Biotech pre-revenue (18A)</t>
        </is>
      </c>
      <c r="E226" s="34" t="n">
        <v>45106</v>
      </c>
      <c r="F226" s="15" t="n">
        <v>12.41</v>
      </c>
      <c r="G226" s="15" t="n">
        <v>8.75</v>
      </c>
      <c r="H226" s="34" t="n">
        <v>46297</v>
      </c>
      <c r="I226" s="31" t="n"/>
      <c r="J226" s="15" t="n">
        <v>0</v>
      </c>
      <c r="K226" s="15">
        <f>IF(AND(AH!$M$5="Snapshot",'IPO Live'!$M$5="Snapshot"),"",IFERROR(BDP(TEXT(VALUE($A226),"0")&amp;" HK Equity","PX_LAST"),""))</f>
        <v/>
      </c>
      <c r="L226" s="15">
        <f>IF(AND(AH!$M$5="Snapshot",'IPO Live'!$M$5="Snapshot"),"",IFERROR(BDP(TEXT(VALUE($A226),"0")&amp;" HK Equity","CHG_PCT_1D")/100,""))</f>
        <v/>
      </c>
      <c r="M226" s="15">
        <f>IF(AND(AH!$M$5="Snapshot",'IPO Live'!$M$5="Snapshot"),"",IFERROR(BDP(TEXT(VALUE($A226),"0")&amp;" HK Equity","LAST_UPDATE_DT"),""))</f>
        <v/>
      </c>
      <c r="N226" s="15">
        <f>IF(AND(AH!$M$5="Snapshot",'IPO Live'!$M$5="Snapshot"),"",IFERROR(BDP(TEXT(VALUE($A226),"0")&amp;" HK Equity","LAST_UPDATE"),""))</f>
        <v/>
      </c>
      <c r="O226" s="15">
        <f>IF('IPO Live'!$M$5="Snapshot",IF(ISNUMBER(G226),G226,"unavailable"),IF(AND(ISNUMBER(K226),N(K226)&gt;0),K226,IF('IPO Live'!$M$5="Auto",IF(ISNUMBER(G226),G226,"unavailable"),"unavailable")))</f>
        <v/>
      </c>
      <c r="P226" s="15">
        <f>IF(AND('IPO Live'!$M$5&lt;&gt;"Snapshot",ISNUMBER(K226),N(K226)&gt;0),"Bloomberg",IF(AND('IPO Live'!$M$5&lt;&gt;"Bloomberg",ISNUMBER(G226)),"Snapshot","Unavailable"))</f>
        <v/>
      </c>
      <c r="Q226" s="33">
        <f>IF(AND(P226="Bloomberg",ISNUMBER(L226)),L226,"unavailable")</f>
        <v/>
      </c>
      <c r="R226" s="15">
        <f>IF(OR('IPO Live'!$B$5="All",'IPO Live'!$B$5=C226,AND('IPO Live'!$B$5="A/H only",J226&gt;0)),1,0)</f>
        <v/>
      </c>
      <c r="S226" s="15">
        <f>IF(R226=1,COUNTIF($R$5:R226,1),"")</f>
        <v/>
      </c>
      <c r="T226">
        <f>1</f>
        <v/>
      </c>
      <c r="U226">
        <f>IF($P226="Bloomberg",$M226,$H226)</f>
        <v/>
      </c>
      <c r="AW226">
        <f>IF(AND(J226&gt;0,OR(AH!$I$5="All",AH!$I$5="A/H only",AH!$I$5=C226)),1,0)</f>
        <v/>
      </c>
      <c r="AX226">
        <f>IF(AW226=1,COUNTIF($AW$5:AW226,1),"")</f>
        <v/>
      </c>
      <c r="AY226">
        <f>IF(AH!$M$5="Snapshot",IF(ISNUMBER(G226),G226,"unavailable"),IF(AND(ISNUMBER(K226),N(K226)&gt;0),K226,IF(AH!$M$5="Auto",IF(ISNUMBER(G226),G226,"unavailable"),"unavailable")))</f>
        <v/>
      </c>
      <c r="AZ226">
        <f>IF(AND(AH!$M$5&lt;&gt;"Snapshot",ISNUMBER(K226),N(K226)&gt;0),"Bloomberg",IF(AND(AH!$M$5&lt;&gt;"Bloomberg",ISNUMBER(G226)),"Snapshot","Unavailable"))</f>
        <v/>
      </c>
      <c r="BA226">
        <f>IF(AZ226="Bloomberg",M226,H226)</f>
        <v/>
      </c>
      <c r="BB226">
        <f>1</f>
        <v/>
      </c>
    </row>
    <row r="227">
      <c r="A227" s="31" t="inlineStr">
        <is>
          <t>9885</t>
        </is>
      </c>
      <c r="B227" s="15" t="inlineStr">
        <is>
          <t>YSB</t>
        </is>
      </c>
      <c r="C227" s="15" t="inlineStr">
        <is>
          <t>Healthcare</t>
        </is>
      </c>
      <c r="D227" s="15" t="inlineStr">
        <is>
          <t>Digital health</t>
        </is>
      </c>
      <c r="E227" s="34" t="n">
        <v>45105</v>
      </c>
      <c r="F227" s="15" t="n">
        <v>20</v>
      </c>
      <c r="G227" s="15" t="n">
        <v>3.465</v>
      </c>
      <c r="H227" s="34" t="n">
        <v>46297</v>
      </c>
      <c r="I227" s="31" t="n"/>
      <c r="J227" s="15" t="n">
        <v>0</v>
      </c>
      <c r="K227" s="15">
        <f>IF(AND(AH!$M$5="Snapshot",'IPO Live'!$M$5="Snapshot"),"",IFERROR(BDP(TEXT(VALUE($A227),"0")&amp;" HK Equity","PX_LAST"),""))</f>
        <v/>
      </c>
      <c r="L227" s="15">
        <f>IF(AND(AH!$M$5="Snapshot",'IPO Live'!$M$5="Snapshot"),"",IFERROR(BDP(TEXT(VALUE($A227),"0")&amp;" HK Equity","CHG_PCT_1D")/100,""))</f>
        <v/>
      </c>
      <c r="M227" s="15">
        <f>IF(AND(AH!$M$5="Snapshot",'IPO Live'!$M$5="Snapshot"),"",IFERROR(BDP(TEXT(VALUE($A227),"0")&amp;" HK Equity","LAST_UPDATE_DT"),""))</f>
        <v/>
      </c>
      <c r="N227" s="15">
        <f>IF(AND(AH!$M$5="Snapshot",'IPO Live'!$M$5="Snapshot"),"",IFERROR(BDP(TEXT(VALUE($A227),"0")&amp;" HK Equity","LAST_UPDATE"),""))</f>
        <v/>
      </c>
      <c r="O227" s="15">
        <f>IF('IPO Live'!$M$5="Snapshot",IF(ISNUMBER(G227),G227,"unavailable"),IF(AND(ISNUMBER(K227),N(K227)&gt;0),K227,IF('IPO Live'!$M$5="Auto",IF(ISNUMBER(G227),G227,"unavailable"),"unavailable")))</f>
        <v/>
      </c>
      <c r="P227" s="15">
        <f>IF(AND('IPO Live'!$M$5&lt;&gt;"Snapshot",ISNUMBER(K227),N(K227)&gt;0),"Bloomberg",IF(AND('IPO Live'!$M$5&lt;&gt;"Bloomberg",ISNUMBER(G227)),"Snapshot","Unavailable"))</f>
        <v/>
      </c>
      <c r="Q227" s="33">
        <f>IF(AND(P227="Bloomberg",ISNUMBER(L227)),L227,"unavailable")</f>
        <v/>
      </c>
      <c r="R227" s="15">
        <f>IF(OR('IPO Live'!$B$5="All",'IPO Live'!$B$5=C227,AND('IPO Live'!$B$5="A/H only",J227&gt;0)),1,0)</f>
        <v/>
      </c>
      <c r="S227" s="15">
        <f>IF(R227=1,COUNTIF($R$5:R227,1),"")</f>
        <v/>
      </c>
      <c r="T227">
        <f>1</f>
        <v/>
      </c>
      <c r="U227">
        <f>IF($P227="Bloomberg",$M227,$H227)</f>
        <v/>
      </c>
      <c r="AW227">
        <f>IF(AND(J227&gt;0,OR(AH!$I$5="All",AH!$I$5="A/H only",AH!$I$5=C227)),1,0)</f>
        <v/>
      </c>
      <c r="AX227">
        <f>IF(AW227=1,COUNTIF($AW$5:AW227,1),"")</f>
        <v/>
      </c>
      <c r="AY227">
        <f>IF(AH!$M$5="Snapshot",IF(ISNUMBER(G227),G227,"unavailable"),IF(AND(ISNUMBER(K227),N(K227)&gt;0),K227,IF(AH!$M$5="Auto",IF(ISNUMBER(G227),G227,"unavailable"),"unavailable")))</f>
        <v/>
      </c>
      <c r="AZ227">
        <f>IF(AND(AH!$M$5&lt;&gt;"Snapshot",ISNUMBER(K227),N(K227)&gt;0),"Bloomberg",IF(AND(AH!$M$5&lt;&gt;"Bloomberg",ISNUMBER(G227)),"Snapshot","Unavailable"))</f>
        <v/>
      </c>
      <c r="BA227">
        <f>IF(AZ227="Bloomberg",M227,H227)</f>
        <v/>
      </c>
      <c r="BB227">
        <f>1</f>
        <v/>
      </c>
    </row>
    <row r="228">
      <c r="A228" s="31" t="inlineStr">
        <is>
          <t>2487</t>
        </is>
      </c>
      <c r="B228" s="15" t="inlineStr">
        <is>
          <t>CUTIA-B</t>
        </is>
      </c>
      <c r="C228" s="15" t="inlineStr">
        <is>
          <t>Healthcare</t>
        </is>
      </c>
      <c r="D228" s="15" t="inlineStr">
        <is>
          <t>Biotech pre-revenue (18A)</t>
        </is>
      </c>
      <c r="E228" s="34" t="n">
        <v>45089</v>
      </c>
      <c r="F228" s="15" t="n">
        <v>21.85</v>
      </c>
      <c r="G228" s="15" t="n">
        <v>1.03</v>
      </c>
      <c r="H228" s="34" t="n">
        <v>46297</v>
      </c>
      <c r="I228" s="31" t="n"/>
      <c r="J228" s="15" t="n">
        <v>0</v>
      </c>
      <c r="K228" s="15">
        <f>IF(AND(AH!$M$5="Snapshot",'IPO Live'!$M$5="Snapshot"),"",IFERROR(BDP(TEXT(VALUE($A228),"0")&amp;" HK Equity","PX_LAST"),""))</f>
        <v/>
      </c>
      <c r="L228" s="15">
        <f>IF(AND(AH!$M$5="Snapshot",'IPO Live'!$M$5="Snapshot"),"",IFERROR(BDP(TEXT(VALUE($A228),"0")&amp;" HK Equity","CHG_PCT_1D")/100,""))</f>
        <v/>
      </c>
      <c r="M228" s="15">
        <f>IF(AND(AH!$M$5="Snapshot",'IPO Live'!$M$5="Snapshot"),"",IFERROR(BDP(TEXT(VALUE($A228),"0")&amp;" HK Equity","LAST_UPDATE_DT"),""))</f>
        <v/>
      </c>
      <c r="N228" s="15">
        <f>IF(AND(AH!$M$5="Snapshot",'IPO Live'!$M$5="Snapshot"),"",IFERROR(BDP(TEXT(VALUE($A228),"0")&amp;" HK Equity","LAST_UPDATE"),""))</f>
        <v/>
      </c>
      <c r="O228" s="15">
        <f>IF('IPO Live'!$M$5="Snapshot",IF(ISNUMBER(G228),G228,"unavailable"),IF(AND(ISNUMBER(K228),N(K228)&gt;0),K228,IF('IPO Live'!$M$5="Auto",IF(ISNUMBER(G228),G228,"unavailable"),"unavailable")))</f>
        <v/>
      </c>
      <c r="P228" s="15">
        <f>IF(AND('IPO Live'!$M$5&lt;&gt;"Snapshot",ISNUMBER(K228),N(K228)&gt;0),"Bloomberg",IF(AND('IPO Live'!$M$5&lt;&gt;"Bloomberg",ISNUMBER(G228)),"Snapshot","Unavailable"))</f>
        <v/>
      </c>
      <c r="Q228" s="33">
        <f>IF(AND(P228="Bloomberg",ISNUMBER(L228)),L228,"unavailable")</f>
        <v/>
      </c>
      <c r="R228" s="15">
        <f>IF(OR('IPO Live'!$B$5="All",'IPO Live'!$B$5=C228,AND('IPO Live'!$B$5="A/H only",J228&gt;0)),1,0)</f>
        <v/>
      </c>
      <c r="S228" s="15">
        <f>IF(R228=1,COUNTIF($R$5:R228,1),"")</f>
        <v/>
      </c>
      <c r="T228">
        <f>1</f>
        <v/>
      </c>
      <c r="U228">
        <f>IF($P228="Bloomberg",$M228,$H228)</f>
        <v/>
      </c>
      <c r="AW228">
        <f>IF(AND(J228&gt;0,OR(AH!$I$5="All",AH!$I$5="A/H only",AH!$I$5=C228)),1,0)</f>
        <v/>
      </c>
      <c r="AX228">
        <f>IF(AW228=1,COUNTIF($AW$5:AW228,1),"")</f>
        <v/>
      </c>
      <c r="AY228">
        <f>IF(AH!$M$5="Snapshot",IF(ISNUMBER(G228),G228,"unavailable"),IF(AND(ISNUMBER(K228),N(K228)&gt;0),K228,IF(AH!$M$5="Auto",IF(ISNUMBER(G228),G228,"unavailable"),"unavailable")))</f>
        <v/>
      </c>
      <c r="AZ228">
        <f>IF(AND(AH!$M$5&lt;&gt;"Snapshot",ISNUMBER(K228),N(K228)&gt;0),"Bloomberg",IF(AND(AH!$M$5&lt;&gt;"Bloomberg",ISNUMBER(G228)),"Snapshot","Unavailable"))</f>
        <v/>
      </c>
      <c r="BA228">
        <f>IF(AZ228="Bloomberg",M228,H228)</f>
        <v/>
      </c>
      <c r="BB228">
        <f>1</f>
        <v/>
      </c>
    </row>
    <row r="229">
      <c r="A229" s="31" t="inlineStr">
        <is>
          <t>2480</t>
        </is>
      </c>
      <c r="B229" s="15" t="inlineStr">
        <is>
          <t>LUZHU BIOTECH-B</t>
        </is>
      </c>
      <c r="C229" s="15" t="inlineStr">
        <is>
          <t>Healthcare</t>
        </is>
      </c>
      <c r="D229" s="15" t="inlineStr">
        <is>
          <t>Biotech pre-revenue (18A)</t>
        </is>
      </c>
      <c r="E229" s="34" t="n">
        <v>45054</v>
      </c>
      <c r="F229" s="15" t="n">
        <v>32.8</v>
      </c>
      <c r="G229" s="15" t="n">
        <v>13.4</v>
      </c>
      <c r="H229" s="34" t="n">
        <v>46297</v>
      </c>
      <c r="I229" s="31" t="n"/>
      <c r="J229" s="15" t="n">
        <v>0</v>
      </c>
      <c r="K229" s="15">
        <f>IF(AND(AH!$M$5="Snapshot",'IPO Live'!$M$5="Snapshot"),"",IFERROR(BDP(TEXT(VALUE($A229),"0")&amp;" HK Equity","PX_LAST"),""))</f>
        <v/>
      </c>
      <c r="L229" s="15">
        <f>IF(AND(AH!$M$5="Snapshot",'IPO Live'!$M$5="Snapshot"),"",IFERROR(BDP(TEXT(VALUE($A229),"0")&amp;" HK Equity","CHG_PCT_1D")/100,""))</f>
        <v/>
      </c>
      <c r="M229" s="15">
        <f>IF(AND(AH!$M$5="Snapshot",'IPO Live'!$M$5="Snapshot"),"",IFERROR(BDP(TEXT(VALUE($A229),"0")&amp;" HK Equity","LAST_UPDATE_DT"),""))</f>
        <v/>
      </c>
      <c r="N229" s="15">
        <f>IF(AND(AH!$M$5="Snapshot",'IPO Live'!$M$5="Snapshot"),"",IFERROR(BDP(TEXT(VALUE($A229),"0")&amp;" HK Equity","LAST_UPDATE"),""))</f>
        <v/>
      </c>
      <c r="O229" s="15">
        <f>IF('IPO Live'!$M$5="Snapshot",IF(ISNUMBER(G229),G229,"unavailable"),IF(AND(ISNUMBER(K229),N(K229)&gt;0),K229,IF('IPO Live'!$M$5="Auto",IF(ISNUMBER(G229),G229,"unavailable"),"unavailable")))</f>
        <v/>
      </c>
      <c r="P229" s="15">
        <f>IF(AND('IPO Live'!$M$5&lt;&gt;"Snapshot",ISNUMBER(K229),N(K229)&gt;0),"Bloomberg",IF(AND('IPO Live'!$M$5&lt;&gt;"Bloomberg",ISNUMBER(G229)),"Snapshot","Unavailable"))</f>
        <v/>
      </c>
      <c r="Q229" s="33">
        <f>IF(AND(P229="Bloomberg",ISNUMBER(L229)),L229,"unavailable")</f>
        <v/>
      </c>
      <c r="R229" s="15">
        <f>IF(OR('IPO Live'!$B$5="All",'IPO Live'!$B$5=C229,AND('IPO Live'!$B$5="A/H only",J229&gt;0)),1,0)</f>
        <v/>
      </c>
      <c r="S229" s="15">
        <f>IF(R229=1,COUNTIF($R$5:R229,1),"")</f>
        <v/>
      </c>
      <c r="T229">
        <f>1</f>
        <v/>
      </c>
      <c r="U229">
        <f>IF($P229="Bloomberg",$M229,$H229)</f>
        <v/>
      </c>
      <c r="AW229">
        <f>IF(AND(J229&gt;0,OR(AH!$I$5="All",AH!$I$5="A/H only",AH!$I$5=C229)),1,0)</f>
        <v/>
      </c>
      <c r="AX229">
        <f>IF(AW229=1,COUNTIF($AW$5:AW229,1),"")</f>
        <v/>
      </c>
      <c r="AY229">
        <f>IF(AH!$M$5="Snapshot",IF(ISNUMBER(G229),G229,"unavailable"),IF(AND(ISNUMBER(K229),N(K229)&gt;0),K229,IF(AH!$M$5="Auto",IF(ISNUMBER(G229),G229,"unavailable"),"unavailable")))</f>
        <v/>
      </c>
      <c r="AZ229">
        <f>IF(AND(AH!$M$5&lt;&gt;"Snapshot",ISNUMBER(K229),N(K229)&gt;0),"Bloomberg",IF(AND(AH!$M$5&lt;&gt;"Bloomberg",ISNUMBER(G229)),"Snapshot","Unavailable"))</f>
        <v/>
      </c>
      <c r="BA229">
        <f>IF(AZ229="Bloomberg",M229,H229)</f>
        <v/>
      </c>
      <c r="BB229">
        <f>1</f>
        <v/>
      </c>
    </row>
    <row r="230">
      <c r="A230" s="31" t="inlineStr">
        <is>
          <t>2415</t>
        </is>
      </c>
      <c r="B230" s="15" t="inlineStr">
        <is>
          <t>MEDSCI</t>
        </is>
      </c>
      <c r="C230" s="15" t="inlineStr">
        <is>
          <t>Healthcare</t>
        </is>
      </c>
      <c r="D230" s="15" t="inlineStr">
        <is>
          <t>CXO / pharma services</t>
        </is>
      </c>
      <c r="E230" s="34" t="n">
        <v>45043</v>
      </c>
      <c r="F230" s="15" t="n">
        <v>9.1</v>
      </c>
      <c r="G230" s="15" t="n">
        <v>0.85</v>
      </c>
      <c r="H230" s="34" t="n">
        <v>46297</v>
      </c>
      <c r="I230" s="31" t="n"/>
      <c r="J230" s="15" t="n">
        <v>0</v>
      </c>
      <c r="K230" s="15">
        <f>IF(AND(AH!$M$5="Snapshot",'IPO Live'!$M$5="Snapshot"),"",IFERROR(BDP(TEXT(VALUE($A230),"0")&amp;" HK Equity","PX_LAST"),""))</f>
        <v/>
      </c>
      <c r="L230" s="15">
        <f>IF(AND(AH!$M$5="Snapshot",'IPO Live'!$M$5="Snapshot"),"",IFERROR(BDP(TEXT(VALUE($A230),"0")&amp;" HK Equity","CHG_PCT_1D")/100,""))</f>
        <v/>
      </c>
      <c r="M230" s="15">
        <f>IF(AND(AH!$M$5="Snapshot",'IPO Live'!$M$5="Snapshot"),"",IFERROR(BDP(TEXT(VALUE($A230),"0")&amp;" HK Equity","LAST_UPDATE_DT"),""))</f>
        <v/>
      </c>
      <c r="N230" s="15">
        <f>IF(AND(AH!$M$5="Snapshot",'IPO Live'!$M$5="Snapshot"),"",IFERROR(BDP(TEXT(VALUE($A230),"0")&amp;" HK Equity","LAST_UPDATE"),""))</f>
        <v/>
      </c>
      <c r="O230" s="15">
        <f>IF('IPO Live'!$M$5="Snapshot",IF(ISNUMBER(G230),G230,"unavailable"),IF(AND(ISNUMBER(K230),N(K230)&gt;0),K230,IF('IPO Live'!$M$5="Auto",IF(ISNUMBER(G230),G230,"unavailable"),"unavailable")))</f>
        <v/>
      </c>
      <c r="P230" s="15">
        <f>IF(AND('IPO Live'!$M$5&lt;&gt;"Snapshot",ISNUMBER(K230),N(K230)&gt;0),"Bloomberg",IF(AND('IPO Live'!$M$5&lt;&gt;"Bloomberg",ISNUMBER(G230)),"Snapshot","Unavailable"))</f>
        <v/>
      </c>
      <c r="Q230" s="33">
        <f>IF(AND(P230="Bloomberg",ISNUMBER(L230)),L230,"unavailable")</f>
        <v/>
      </c>
      <c r="R230" s="15">
        <f>IF(OR('IPO Live'!$B$5="All",'IPO Live'!$B$5=C230,AND('IPO Live'!$B$5="A/H only",J230&gt;0)),1,0)</f>
        <v/>
      </c>
      <c r="S230" s="15">
        <f>IF(R230=1,COUNTIF($R$5:R230,1),"")</f>
        <v/>
      </c>
      <c r="T230">
        <f>1</f>
        <v/>
      </c>
      <c r="U230">
        <f>IF($P230="Bloomberg",$M230,$H230)</f>
        <v/>
      </c>
      <c r="AW230">
        <f>IF(AND(J230&gt;0,OR(AH!$I$5="All",AH!$I$5="A/H only",AH!$I$5=C230)),1,0)</f>
        <v/>
      </c>
      <c r="AX230">
        <f>IF(AW230=1,COUNTIF($AW$5:AW230,1),"")</f>
        <v/>
      </c>
      <c r="AY230">
        <f>IF(AH!$M$5="Snapshot",IF(ISNUMBER(G230),G230,"unavailable"),IF(AND(ISNUMBER(K230),N(K230)&gt;0),K230,IF(AH!$M$5="Auto",IF(ISNUMBER(G230),G230,"unavailable"),"unavailable")))</f>
        <v/>
      </c>
      <c r="AZ230">
        <f>IF(AND(AH!$M$5&lt;&gt;"Snapshot",ISNUMBER(K230),N(K230)&gt;0),"Bloomberg",IF(AND(AH!$M$5&lt;&gt;"Bloomberg",ISNUMBER(G230)),"Snapshot","Unavailable"))</f>
        <v/>
      </c>
      <c r="BA230">
        <f>IF(AZ230="Bloomberg",M230,H230)</f>
        <v/>
      </c>
      <c r="BB230">
        <f>1</f>
        <v/>
      </c>
    </row>
    <row r="231">
      <c r="A231" s="31" t="inlineStr">
        <is>
          <t>6922</t>
        </is>
      </c>
      <c r="B231" s="15" t="inlineStr">
        <is>
          <t>CRYOFOCUS-B</t>
        </is>
      </c>
      <c r="C231" s="15" t="inlineStr">
        <is>
          <t>Healthcare</t>
        </is>
      </c>
      <c r="D231" s="15" t="inlineStr">
        <is>
          <t>Medical devices</t>
        </is>
      </c>
      <c r="E231" s="34" t="n">
        <v>44925</v>
      </c>
      <c r="F231" s="15" t="n">
        <v>18.9</v>
      </c>
      <c r="G231" s="15" t="n">
        <v>3.03</v>
      </c>
      <c r="H231" s="34" t="n">
        <v>46297</v>
      </c>
      <c r="I231" s="31" t="n"/>
      <c r="J231" s="15" t="n">
        <v>0</v>
      </c>
      <c r="K231" s="15">
        <f>IF(AND(AH!$M$5="Snapshot",'IPO Live'!$M$5="Snapshot"),"",IFERROR(BDP(TEXT(VALUE($A231),"0")&amp;" HK Equity","PX_LAST"),""))</f>
        <v/>
      </c>
      <c r="L231" s="15">
        <f>IF(AND(AH!$M$5="Snapshot",'IPO Live'!$M$5="Snapshot"),"",IFERROR(BDP(TEXT(VALUE($A231),"0")&amp;" HK Equity","CHG_PCT_1D")/100,""))</f>
        <v/>
      </c>
      <c r="M231" s="15">
        <f>IF(AND(AH!$M$5="Snapshot",'IPO Live'!$M$5="Snapshot"),"",IFERROR(BDP(TEXT(VALUE($A231),"0")&amp;" HK Equity","LAST_UPDATE_DT"),""))</f>
        <v/>
      </c>
      <c r="N231" s="15">
        <f>IF(AND(AH!$M$5="Snapshot",'IPO Live'!$M$5="Snapshot"),"",IFERROR(BDP(TEXT(VALUE($A231),"0")&amp;" HK Equity","LAST_UPDATE"),""))</f>
        <v/>
      </c>
      <c r="O231" s="15">
        <f>IF('IPO Live'!$M$5="Snapshot",IF(ISNUMBER(G231),G231,"unavailable"),IF(AND(ISNUMBER(K231),N(K231)&gt;0),K231,IF('IPO Live'!$M$5="Auto",IF(ISNUMBER(G231),G231,"unavailable"),"unavailable")))</f>
        <v/>
      </c>
      <c r="P231" s="15">
        <f>IF(AND('IPO Live'!$M$5&lt;&gt;"Snapshot",ISNUMBER(K231),N(K231)&gt;0),"Bloomberg",IF(AND('IPO Live'!$M$5&lt;&gt;"Bloomberg",ISNUMBER(G231)),"Snapshot","Unavailable"))</f>
        <v/>
      </c>
      <c r="Q231" s="33">
        <f>IF(AND(P231="Bloomberg",ISNUMBER(L231)),L231,"unavailable")</f>
        <v/>
      </c>
      <c r="R231" s="15">
        <f>IF(OR('IPO Live'!$B$5="All",'IPO Live'!$B$5=C231,AND('IPO Live'!$B$5="A/H only",J231&gt;0)),1,0)</f>
        <v/>
      </c>
      <c r="S231" s="15">
        <f>IF(R231=1,COUNTIF($R$5:R231,1),"")</f>
        <v/>
      </c>
      <c r="T231">
        <f>1</f>
        <v/>
      </c>
      <c r="U231">
        <f>IF($P231="Bloomberg",$M231,$H231)</f>
        <v/>
      </c>
      <c r="AW231">
        <f>IF(AND(J231&gt;0,OR(AH!$I$5="All",AH!$I$5="A/H only",AH!$I$5=C231)),1,0)</f>
        <v/>
      </c>
      <c r="AX231">
        <f>IF(AW231=1,COUNTIF($AW$5:AW231,1),"")</f>
        <v/>
      </c>
      <c r="AY231">
        <f>IF(AH!$M$5="Snapshot",IF(ISNUMBER(G231),G231,"unavailable"),IF(AND(ISNUMBER(K231),N(K231)&gt;0),K231,IF(AH!$M$5="Auto",IF(ISNUMBER(G231),G231,"unavailable"),"unavailable")))</f>
        <v/>
      </c>
      <c r="AZ231">
        <f>IF(AND(AH!$M$5&lt;&gt;"Snapshot",ISNUMBER(K231),N(K231)&gt;0),"Bloomberg",IF(AND(AH!$M$5&lt;&gt;"Bloomberg",ISNUMBER(G231)),"Snapshot","Unavailable"))</f>
        <v/>
      </c>
      <c r="BA231">
        <f>IF(AZ231="Bloomberg",M231,H231)</f>
        <v/>
      </c>
      <c r="BB231">
        <f>1</f>
        <v/>
      </c>
    </row>
    <row r="232">
      <c r="A232" s="31" t="inlineStr">
        <is>
          <t>6955</t>
        </is>
      </c>
      <c r="B232" s="15" t="inlineStr">
        <is>
          <t>BOAN BIOTECH-B</t>
        </is>
      </c>
      <c r="C232" s="15" t="inlineStr">
        <is>
          <t>Healthcare</t>
        </is>
      </c>
      <c r="D232" s="15" t="inlineStr">
        <is>
          <t>Biotech pre-revenue (18A)</t>
        </is>
      </c>
      <c r="E232" s="34" t="n">
        <v>44925</v>
      </c>
      <c r="F232" s="15" t="n">
        <v>19.8</v>
      </c>
      <c r="G232" s="15" t="n">
        <v>3.03</v>
      </c>
      <c r="H232" s="34" t="n">
        <v>46297</v>
      </c>
      <c r="I232" s="31" t="n"/>
      <c r="J232" s="15" t="n">
        <v>0</v>
      </c>
      <c r="K232" s="15">
        <f>IF(AND(AH!$M$5="Snapshot",'IPO Live'!$M$5="Snapshot"),"",IFERROR(BDP(TEXT(VALUE($A232),"0")&amp;" HK Equity","PX_LAST"),""))</f>
        <v/>
      </c>
      <c r="L232" s="15">
        <f>IF(AND(AH!$M$5="Snapshot",'IPO Live'!$M$5="Snapshot"),"",IFERROR(BDP(TEXT(VALUE($A232),"0")&amp;" HK Equity","CHG_PCT_1D")/100,""))</f>
        <v/>
      </c>
      <c r="M232" s="15">
        <f>IF(AND(AH!$M$5="Snapshot",'IPO Live'!$M$5="Snapshot"),"",IFERROR(BDP(TEXT(VALUE($A232),"0")&amp;" HK Equity","LAST_UPDATE_DT"),""))</f>
        <v/>
      </c>
      <c r="N232" s="15">
        <f>IF(AND(AH!$M$5="Snapshot",'IPO Live'!$M$5="Snapshot"),"",IFERROR(BDP(TEXT(VALUE($A232),"0")&amp;" HK Equity","LAST_UPDATE"),""))</f>
        <v/>
      </c>
      <c r="O232" s="15">
        <f>IF('IPO Live'!$M$5="Snapshot",IF(ISNUMBER(G232),G232,"unavailable"),IF(AND(ISNUMBER(K232),N(K232)&gt;0),K232,IF('IPO Live'!$M$5="Auto",IF(ISNUMBER(G232),G232,"unavailable"),"unavailable")))</f>
        <v/>
      </c>
      <c r="P232" s="15">
        <f>IF(AND('IPO Live'!$M$5&lt;&gt;"Snapshot",ISNUMBER(K232),N(K232)&gt;0),"Bloomberg",IF(AND('IPO Live'!$M$5&lt;&gt;"Bloomberg",ISNUMBER(G232)),"Snapshot","Unavailable"))</f>
        <v/>
      </c>
      <c r="Q232" s="33">
        <f>IF(AND(P232="Bloomberg",ISNUMBER(L232)),L232,"unavailable")</f>
        <v/>
      </c>
      <c r="R232" s="15">
        <f>IF(OR('IPO Live'!$B$5="All",'IPO Live'!$B$5=C232,AND('IPO Live'!$B$5="A/H only",J232&gt;0)),1,0)</f>
        <v/>
      </c>
      <c r="S232" s="15">
        <f>IF(R232=1,COUNTIF($R$5:R232,1),"")</f>
        <v/>
      </c>
      <c r="T232">
        <f>1</f>
        <v/>
      </c>
      <c r="U232">
        <f>IF($P232="Bloomberg",$M232,$H232)</f>
        <v/>
      </c>
      <c r="AW232">
        <f>IF(AND(J232&gt;0,OR(AH!$I$5="All",AH!$I$5="A/H only",AH!$I$5=C232)),1,0)</f>
        <v/>
      </c>
      <c r="AX232">
        <f>IF(AW232=1,COUNTIF($AW$5:AW232,1),"")</f>
        <v/>
      </c>
      <c r="AY232">
        <f>IF(AH!$M$5="Snapshot",IF(ISNUMBER(G232),G232,"unavailable"),IF(AND(ISNUMBER(K232),N(K232)&gt;0),K232,IF(AH!$M$5="Auto",IF(ISNUMBER(G232),G232,"unavailable"),"unavailable")))</f>
        <v/>
      </c>
      <c r="AZ232">
        <f>IF(AND(AH!$M$5&lt;&gt;"Snapshot",ISNUMBER(K232),N(K232)&gt;0),"Bloomberg",IF(AND(AH!$M$5&lt;&gt;"Bloomberg",ISNUMBER(G232)),"Snapshot","Unavailable"))</f>
        <v/>
      </c>
      <c r="BA232">
        <f>IF(AZ232="Bloomberg",M232,H232)</f>
        <v/>
      </c>
      <c r="BB232">
        <f>1</f>
        <v/>
      </c>
    </row>
    <row r="233">
      <c r="A233" s="31" t="inlineStr">
        <is>
          <t>2427</t>
        </is>
      </c>
      <c r="B233" s="15" t="inlineStr">
        <is>
          <t>GUANZE MEDICAL</t>
        </is>
      </c>
      <c r="C233" s="15" t="inlineStr">
        <is>
          <t>Healthcare</t>
        </is>
      </c>
      <c r="D233" s="15" t="inlineStr">
        <is>
          <t>Medical devices</t>
        </is>
      </c>
      <c r="E233" s="34" t="n">
        <v>44924</v>
      </c>
      <c r="F233" s="15" t="n">
        <v>0.53</v>
      </c>
      <c r="G233" s="15" t="n">
        <v>2.815</v>
      </c>
      <c r="H233" s="34" t="n">
        <v>46297</v>
      </c>
      <c r="I233" s="31" t="n"/>
      <c r="J233" s="15" t="n">
        <v>0</v>
      </c>
      <c r="K233" s="15">
        <f>IF(AND(AH!$M$5="Snapshot",'IPO Live'!$M$5="Snapshot"),"",IFERROR(BDP(TEXT(VALUE($A233),"0")&amp;" HK Equity","PX_LAST"),""))</f>
        <v/>
      </c>
      <c r="L233" s="15">
        <f>IF(AND(AH!$M$5="Snapshot",'IPO Live'!$M$5="Snapshot"),"",IFERROR(BDP(TEXT(VALUE($A233),"0")&amp;" HK Equity","CHG_PCT_1D")/100,""))</f>
        <v/>
      </c>
      <c r="M233" s="15">
        <f>IF(AND(AH!$M$5="Snapshot",'IPO Live'!$M$5="Snapshot"),"",IFERROR(BDP(TEXT(VALUE($A233),"0")&amp;" HK Equity","LAST_UPDATE_DT"),""))</f>
        <v/>
      </c>
      <c r="N233" s="15">
        <f>IF(AND(AH!$M$5="Snapshot",'IPO Live'!$M$5="Snapshot"),"",IFERROR(BDP(TEXT(VALUE($A233),"0")&amp;" HK Equity","LAST_UPDATE"),""))</f>
        <v/>
      </c>
      <c r="O233" s="15">
        <f>IF('IPO Live'!$M$5="Snapshot",IF(ISNUMBER(G233),G233,"unavailable"),IF(AND(ISNUMBER(K233),N(K233)&gt;0),K233,IF('IPO Live'!$M$5="Auto",IF(ISNUMBER(G233),G233,"unavailable"),"unavailable")))</f>
        <v/>
      </c>
      <c r="P233" s="15">
        <f>IF(AND('IPO Live'!$M$5&lt;&gt;"Snapshot",ISNUMBER(K233),N(K233)&gt;0),"Bloomberg",IF(AND('IPO Live'!$M$5&lt;&gt;"Bloomberg",ISNUMBER(G233)),"Snapshot","Unavailable"))</f>
        <v/>
      </c>
      <c r="Q233" s="33">
        <f>IF(AND(P233="Bloomberg",ISNUMBER(L233)),L233,"unavailable")</f>
        <v/>
      </c>
      <c r="R233" s="15">
        <f>IF(OR('IPO Live'!$B$5="All",'IPO Live'!$B$5=C233,AND('IPO Live'!$B$5="A/H only",J233&gt;0)),1,0)</f>
        <v/>
      </c>
      <c r="S233" s="15">
        <f>IF(R233=1,COUNTIF($R$5:R233,1),"")</f>
        <v/>
      </c>
      <c r="T233">
        <f>1</f>
        <v/>
      </c>
      <c r="U233">
        <f>IF($P233="Bloomberg",$M233,$H233)</f>
        <v/>
      </c>
      <c r="AW233">
        <f>IF(AND(J233&gt;0,OR(AH!$I$5="All",AH!$I$5="A/H only",AH!$I$5=C233)),1,0)</f>
        <v/>
      </c>
      <c r="AX233">
        <f>IF(AW233=1,COUNTIF($AW$5:AW233,1),"")</f>
        <v/>
      </c>
      <c r="AY233">
        <f>IF(AH!$M$5="Snapshot",IF(ISNUMBER(G233),G233,"unavailable"),IF(AND(ISNUMBER(K233),N(K233)&gt;0),K233,IF(AH!$M$5="Auto",IF(ISNUMBER(G233),G233,"unavailable"),"unavailable")))</f>
        <v/>
      </c>
      <c r="AZ233">
        <f>IF(AND(AH!$M$5&lt;&gt;"Snapshot",ISNUMBER(K233),N(K233)&gt;0),"Bloomberg",IF(AND(AH!$M$5&lt;&gt;"Bloomberg",ISNUMBER(G233)),"Snapshot","Unavailable"))</f>
        <v/>
      </c>
      <c r="BA233">
        <f>IF(AZ233="Bloomberg",M233,H233)</f>
        <v/>
      </c>
      <c r="BB233">
        <f>1</f>
        <v/>
      </c>
    </row>
    <row r="234">
      <c r="A234" s="31" t="inlineStr">
        <is>
          <t>0314</t>
        </is>
      </c>
      <c r="B234" s="15" t="inlineStr">
        <is>
          <t>SIPAI HEALTH</t>
        </is>
      </c>
      <c r="C234" s="15" t="inlineStr">
        <is>
          <t>Healthcare</t>
        </is>
      </c>
      <c r="D234" s="15" t="inlineStr">
        <is>
          <t>Digital health</t>
        </is>
      </c>
      <c r="E234" s="34" t="n">
        <v>44918</v>
      </c>
      <c r="F234" s="15" t="n">
        <v>18.6</v>
      </c>
      <c r="G234" s="15" t="n">
        <v>1.53</v>
      </c>
      <c r="H234" s="34" t="n">
        <v>46297</v>
      </c>
      <c r="I234" s="31" t="n"/>
      <c r="J234" s="15" t="n">
        <v>0</v>
      </c>
      <c r="K234" s="15">
        <f>IF(AND(AH!$M$5="Snapshot",'IPO Live'!$M$5="Snapshot"),"",IFERROR(BDP(TEXT(VALUE($A234),"0")&amp;" HK Equity","PX_LAST"),""))</f>
        <v/>
      </c>
      <c r="L234" s="15">
        <f>IF(AND(AH!$M$5="Snapshot",'IPO Live'!$M$5="Snapshot"),"",IFERROR(BDP(TEXT(VALUE($A234),"0")&amp;" HK Equity","CHG_PCT_1D")/100,""))</f>
        <v/>
      </c>
      <c r="M234" s="15">
        <f>IF(AND(AH!$M$5="Snapshot",'IPO Live'!$M$5="Snapshot"),"",IFERROR(BDP(TEXT(VALUE($A234),"0")&amp;" HK Equity","LAST_UPDATE_DT"),""))</f>
        <v/>
      </c>
      <c r="N234" s="15">
        <f>IF(AND(AH!$M$5="Snapshot",'IPO Live'!$M$5="Snapshot"),"",IFERROR(BDP(TEXT(VALUE($A234),"0")&amp;" HK Equity","LAST_UPDATE"),""))</f>
        <v/>
      </c>
      <c r="O234" s="15">
        <f>IF('IPO Live'!$M$5="Snapshot",IF(ISNUMBER(G234),G234,"unavailable"),IF(AND(ISNUMBER(K234),N(K234)&gt;0),K234,IF('IPO Live'!$M$5="Auto",IF(ISNUMBER(G234),G234,"unavailable"),"unavailable")))</f>
        <v/>
      </c>
      <c r="P234" s="15">
        <f>IF(AND('IPO Live'!$M$5&lt;&gt;"Snapshot",ISNUMBER(K234),N(K234)&gt;0),"Bloomberg",IF(AND('IPO Live'!$M$5&lt;&gt;"Bloomberg",ISNUMBER(G234)),"Snapshot","Unavailable"))</f>
        <v/>
      </c>
      <c r="Q234" s="33">
        <f>IF(AND(P234="Bloomberg",ISNUMBER(L234)),L234,"unavailable")</f>
        <v/>
      </c>
      <c r="R234" s="15">
        <f>IF(OR('IPO Live'!$B$5="All",'IPO Live'!$B$5=C234,AND('IPO Live'!$B$5="A/H only",J234&gt;0)),1,0)</f>
        <v/>
      </c>
      <c r="S234" s="15">
        <f>IF(R234=1,COUNTIF($R$5:R234,1),"")</f>
        <v/>
      </c>
      <c r="T234">
        <f>1</f>
        <v/>
      </c>
      <c r="U234">
        <f>IF($P234="Bloomberg",$M234,$H234)</f>
        <v/>
      </c>
      <c r="AW234">
        <f>IF(AND(J234&gt;0,OR(AH!$I$5="All",AH!$I$5="A/H only",AH!$I$5=C234)),1,0)</f>
        <v/>
      </c>
      <c r="AX234">
        <f>IF(AW234=1,COUNTIF($AW$5:AW234,1),"")</f>
        <v/>
      </c>
      <c r="AY234">
        <f>IF(AH!$M$5="Snapshot",IF(ISNUMBER(G234),G234,"unavailable"),IF(AND(ISNUMBER(K234),N(K234)&gt;0),K234,IF(AH!$M$5="Auto",IF(ISNUMBER(G234),G234,"unavailable"),"unavailable")))</f>
        <v/>
      </c>
      <c r="AZ234">
        <f>IF(AND(AH!$M$5&lt;&gt;"Snapshot",ISNUMBER(K234),N(K234)&gt;0),"Bloomberg",IF(AND(AH!$M$5&lt;&gt;"Bloomberg",ISNUMBER(G234)),"Snapshot","Unavailable"))</f>
        <v/>
      </c>
      <c r="BA234">
        <f>IF(AZ234="Bloomberg",M234,H234)</f>
        <v/>
      </c>
      <c r="BB234">
        <f>1</f>
        <v/>
      </c>
    </row>
    <row r="235">
      <c r="A235" s="31" t="inlineStr">
        <is>
          <t>6929</t>
        </is>
      </c>
      <c r="B235" s="15" t="inlineStr">
        <is>
          <t>ORBUSNEICH</t>
        </is>
      </c>
      <c r="C235" s="15" t="inlineStr">
        <is>
          <t>Healthcare</t>
        </is>
      </c>
      <c r="D235" s="15" t="inlineStr">
        <is>
          <t>Medical devices</t>
        </is>
      </c>
      <c r="E235" s="34" t="n">
        <v>44918</v>
      </c>
      <c r="F235" s="15" t="n">
        <v>8.800000000000001</v>
      </c>
      <c r="G235" s="15" t="n">
        <v>3.77</v>
      </c>
      <c r="H235" s="34" t="n">
        <v>46297</v>
      </c>
      <c r="I235" s="31" t="n"/>
      <c r="J235" s="15" t="n">
        <v>0</v>
      </c>
      <c r="K235" s="15">
        <f>IF(AND(AH!$M$5="Snapshot",'IPO Live'!$M$5="Snapshot"),"",IFERROR(BDP(TEXT(VALUE($A235),"0")&amp;" HK Equity","PX_LAST"),""))</f>
        <v/>
      </c>
      <c r="L235" s="15">
        <f>IF(AND(AH!$M$5="Snapshot",'IPO Live'!$M$5="Snapshot"),"",IFERROR(BDP(TEXT(VALUE($A235),"0")&amp;" HK Equity","CHG_PCT_1D")/100,""))</f>
        <v/>
      </c>
      <c r="M235" s="15">
        <f>IF(AND(AH!$M$5="Snapshot",'IPO Live'!$M$5="Snapshot"),"",IFERROR(BDP(TEXT(VALUE($A235),"0")&amp;" HK Equity","LAST_UPDATE_DT"),""))</f>
        <v/>
      </c>
      <c r="N235" s="15">
        <f>IF(AND(AH!$M$5="Snapshot",'IPO Live'!$M$5="Snapshot"),"",IFERROR(BDP(TEXT(VALUE($A235),"0")&amp;" HK Equity","LAST_UPDATE"),""))</f>
        <v/>
      </c>
      <c r="O235" s="15">
        <f>IF('IPO Live'!$M$5="Snapshot",IF(ISNUMBER(G235),G235,"unavailable"),IF(AND(ISNUMBER(K235),N(K235)&gt;0),K235,IF('IPO Live'!$M$5="Auto",IF(ISNUMBER(G235),G235,"unavailable"),"unavailable")))</f>
        <v/>
      </c>
      <c r="P235" s="15">
        <f>IF(AND('IPO Live'!$M$5&lt;&gt;"Snapshot",ISNUMBER(K235),N(K235)&gt;0),"Bloomberg",IF(AND('IPO Live'!$M$5&lt;&gt;"Bloomberg",ISNUMBER(G235)),"Snapshot","Unavailable"))</f>
        <v/>
      </c>
      <c r="Q235" s="33">
        <f>IF(AND(P235="Bloomberg",ISNUMBER(L235)),L235,"unavailable")</f>
        <v/>
      </c>
      <c r="R235" s="15">
        <f>IF(OR('IPO Live'!$B$5="All",'IPO Live'!$B$5=C235,AND('IPO Live'!$B$5="A/H only",J235&gt;0)),1,0)</f>
        <v/>
      </c>
      <c r="S235" s="15">
        <f>IF(R235=1,COUNTIF($R$5:R235,1),"")</f>
        <v/>
      </c>
      <c r="T235">
        <f>1</f>
        <v/>
      </c>
      <c r="U235">
        <f>IF($P235="Bloomberg",$M235,$H235)</f>
        <v/>
      </c>
      <c r="AW235">
        <f>IF(AND(J235&gt;0,OR(AH!$I$5="All",AH!$I$5="A/H only",AH!$I$5=C235)),1,0)</f>
        <v/>
      </c>
      <c r="AX235">
        <f>IF(AW235=1,COUNTIF($AW$5:AW235,1),"")</f>
        <v/>
      </c>
      <c r="AY235">
        <f>IF(AH!$M$5="Snapshot",IF(ISNUMBER(G235),G235,"unavailable"),IF(AND(ISNUMBER(K235),N(K235)&gt;0),K235,IF(AH!$M$5="Auto",IF(ISNUMBER(G235),G235,"unavailable"),"unavailable")))</f>
        <v/>
      </c>
      <c r="AZ235">
        <f>IF(AND(AH!$M$5&lt;&gt;"Snapshot",ISNUMBER(K235),N(K235)&gt;0),"Bloomberg",IF(AND(AH!$M$5&lt;&gt;"Bloomberg",ISNUMBER(G235)),"Snapshot","Unavailable"))</f>
        <v/>
      </c>
      <c r="BA235">
        <f>IF(AZ235="Bloomberg",M235,H235)</f>
        <v/>
      </c>
      <c r="BB235">
        <f>1</f>
        <v/>
      </c>
    </row>
    <row r="236">
      <c r="A236" s="31" t="inlineStr">
        <is>
          <t>1244</t>
        </is>
      </c>
      <c r="B236" s="15" t="inlineStr">
        <is>
          <t>3D MEDICINES-B</t>
        </is>
      </c>
      <c r="C236" s="15" t="inlineStr">
        <is>
          <t>Healthcare</t>
        </is>
      </c>
      <c r="D236" s="15" t="inlineStr">
        <is>
          <t>Biotech pre-revenue (18A)</t>
        </is>
      </c>
      <c r="E236" s="34" t="n">
        <v>44910</v>
      </c>
      <c r="F236" s="15" t="n">
        <v>24.98</v>
      </c>
      <c r="G236" s="15" t="n">
        <v>2.79</v>
      </c>
      <c r="H236" s="34" t="n">
        <v>46297</v>
      </c>
      <c r="I236" s="31" t="n"/>
      <c r="J236" s="15" t="n">
        <v>0</v>
      </c>
      <c r="K236" s="15">
        <f>IF(AND(AH!$M$5="Snapshot",'IPO Live'!$M$5="Snapshot"),"",IFERROR(BDP(TEXT(VALUE($A236),"0")&amp;" HK Equity","PX_LAST"),""))</f>
        <v/>
      </c>
      <c r="L236" s="15">
        <f>IF(AND(AH!$M$5="Snapshot",'IPO Live'!$M$5="Snapshot"),"",IFERROR(BDP(TEXT(VALUE($A236),"0")&amp;" HK Equity","CHG_PCT_1D")/100,""))</f>
        <v/>
      </c>
      <c r="M236" s="15">
        <f>IF(AND(AH!$M$5="Snapshot",'IPO Live'!$M$5="Snapshot"),"",IFERROR(BDP(TEXT(VALUE($A236),"0")&amp;" HK Equity","LAST_UPDATE_DT"),""))</f>
        <v/>
      </c>
      <c r="N236" s="15">
        <f>IF(AND(AH!$M$5="Snapshot",'IPO Live'!$M$5="Snapshot"),"",IFERROR(BDP(TEXT(VALUE($A236),"0")&amp;" HK Equity","LAST_UPDATE"),""))</f>
        <v/>
      </c>
      <c r="O236" s="15">
        <f>IF('IPO Live'!$M$5="Snapshot",IF(ISNUMBER(G236),G236,"unavailable"),IF(AND(ISNUMBER(K236),N(K236)&gt;0),K236,IF('IPO Live'!$M$5="Auto",IF(ISNUMBER(G236),G236,"unavailable"),"unavailable")))</f>
        <v/>
      </c>
      <c r="P236" s="15">
        <f>IF(AND('IPO Live'!$M$5&lt;&gt;"Snapshot",ISNUMBER(K236),N(K236)&gt;0),"Bloomberg",IF(AND('IPO Live'!$M$5&lt;&gt;"Bloomberg",ISNUMBER(G236)),"Snapshot","Unavailable"))</f>
        <v/>
      </c>
      <c r="Q236" s="33">
        <f>IF(AND(P236="Bloomberg",ISNUMBER(L236)),L236,"unavailable")</f>
        <v/>
      </c>
      <c r="R236" s="15">
        <f>IF(OR('IPO Live'!$B$5="All",'IPO Live'!$B$5=C236,AND('IPO Live'!$B$5="A/H only",J236&gt;0)),1,0)</f>
        <v/>
      </c>
      <c r="S236" s="15">
        <f>IF(R236=1,COUNTIF($R$5:R236,1),"")</f>
        <v/>
      </c>
      <c r="T236">
        <f>1</f>
        <v/>
      </c>
      <c r="U236">
        <f>IF($P236="Bloomberg",$M236,$H236)</f>
        <v/>
      </c>
      <c r="AW236">
        <f>IF(AND(J236&gt;0,OR(AH!$I$5="All",AH!$I$5="A/H only",AH!$I$5=C236)),1,0)</f>
        <v/>
      </c>
      <c r="AX236">
        <f>IF(AW236=1,COUNTIF($AW$5:AW236,1),"")</f>
        <v/>
      </c>
      <c r="AY236">
        <f>IF(AH!$M$5="Snapshot",IF(ISNUMBER(G236),G236,"unavailable"),IF(AND(ISNUMBER(K236),N(K236)&gt;0),K236,IF(AH!$M$5="Auto",IF(ISNUMBER(G236),G236,"unavailable"),"unavailable")))</f>
        <v/>
      </c>
      <c r="AZ236">
        <f>IF(AND(AH!$M$5&lt;&gt;"Snapshot",ISNUMBER(K236),N(K236)&gt;0),"Bloomberg",IF(AND(AH!$M$5&lt;&gt;"Bloomberg",ISNUMBER(G236)),"Snapshot","Unavailable"))</f>
        <v/>
      </c>
      <c r="BA236">
        <f>IF(AZ236="Bloomberg",M236,H236)</f>
        <v/>
      </c>
      <c r="BB236">
        <f>1</f>
        <v/>
      </c>
    </row>
    <row r="237">
      <c r="A237" s="31" t="inlineStr">
        <is>
          <t>1947</t>
        </is>
      </c>
      <c r="B237" s="15" t="inlineStr">
        <is>
          <t>MEIHAO GROUP</t>
        </is>
      </c>
      <c r="C237" s="15" t="inlineStr">
        <is>
          <t>Healthcare</t>
        </is>
      </c>
      <c r="D237" s="15" t="inlineStr">
        <is>
          <t>Hospitals / clinics</t>
        </is>
      </c>
      <c r="E237" s="34" t="n">
        <v>44909</v>
      </c>
      <c r="F237" s="15" t="n">
        <v>0.84</v>
      </c>
      <c r="G237" s="15" t="n">
        <v>0.54</v>
      </c>
      <c r="H237" s="34" t="n">
        <v>46297</v>
      </c>
      <c r="I237" s="31" t="n"/>
      <c r="J237" s="15" t="n">
        <v>0</v>
      </c>
      <c r="K237" s="15">
        <f>IF(AND(AH!$M$5="Snapshot",'IPO Live'!$M$5="Snapshot"),"",IFERROR(BDP(TEXT(VALUE($A237),"0")&amp;" HK Equity","PX_LAST"),""))</f>
        <v/>
      </c>
      <c r="L237" s="15">
        <f>IF(AND(AH!$M$5="Snapshot",'IPO Live'!$M$5="Snapshot"),"",IFERROR(BDP(TEXT(VALUE($A237),"0")&amp;" HK Equity","CHG_PCT_1D")/100,""))</f>
        <v/>
      </c>
      <c r="M237" s="15">
        <f>IF(AND(AH!$M$5="Snapshot",'IPO Live'!$M$5="Snapshot"),"",IFERROR(BDP(TEXT(VALUE($A237),"0")&amp;" HK Equity","LAST_UPDATE_DT"),""))</f>
        <v/>
      </c>
      <c r="N237" s="15">
        <f>IF(AND(AH!$M$5="Snapshot",'IPO Live'!$M$5="Snapshot"),"",IFERROR(BDP(TEXT(VALUE($A237),"0")&amp;" HK Equity","LAST_UPDATE"),""))</f>
        <v/>
      </c>
      <c r="O237" s="15">
        <f>IF('IPO Live'!$M$5="Snapshot",IF(ISNUMBER(G237),G237,"unavailable"),IF(AND(ISNUMBER(K237),N(K237)&gt;0),K237,IF('IPO Live'!$M$5="Auto",IF(ISNUMBER(G237),G237,"unavailable"),"unavailable")))</f>
        <v/>
      </c>
      <c r="P237" s="15">
        <f>IF(AND('IPO Live'!$M$5&lt;&gt;"Snapshot",ISNUMBER(K237),N(K237)&gt;0),"Bloomberg",IF(AND('IPO Live'!$M$5&lt;&gt;"Bloomberg",ISNUMBER(G237)),"Snapshot","Unavailable"))</f>
        <v/>
      </c>
      <c r="Q237" s="33">
        <f>IF(AND(P237="Bloomberg",ISNUMBER(L237)),L237,"unavailable")</f>
        <v/>
      </c>
      <c r="R237" s="15">
        <f>IF(OR('IPO Live'!$B$5="All",'IPO Live'!$B$5=C237,AND('IPO Live'!$B$5="A/H only",J237&gt;0)),1,0)</f>
        <v/>
      </c>
      <c r="S237" s="15">
        <f>IF(R237=1,COUNTIF($R$5:R237,1),"")</f>
        <v/>
      </c>
      <c r="T237">
        <f>1</f>
        <v/>
      </c>
      <c r="U237">
        <f>IF($P237="Bloomberg",$M237,$H237)</f>
        <v/>
      </c>
      <c r="AW237">
        <f>IF(AND(J237&gt;0,OR(AH!$I$5="All",AH!$I$5="A/H only",AH!$I$5=C237)),1,0)</f>
        <v/>
      </c>
      <c r="AX237">
        <f>IF(AW237=1,COUNTIF($AW$5:AW237,1),"")</f>
        <v/>
      </c>
      <c r="AY237">
        <f>IF(AH!$M$5="Snapshot",IF(ISNUMBER(G237),G237,"unavailable"),IF(AND(ISNUMBER(K237),N(K237)&gt;0),K237,IF(AH!$M$5="Auto",IF(ISNUMBER(G237),G237,"unavailable"),"unavailable")))</f>
        <v/>
      </c>
      <c r="AZ237">
        <f>IF(AND(AH!$M$5&lt;&gt;"Snapshot",ISNUMBER(K237),N(K237)&gt;0),"Bloomberg",IF(AND(AH!$M$5&lt;&gt;"Bloomberg",ISNUMBER(G237)),"Snapshot","Unavailable"))</f>
        <v/>
      </c>
      <c r="BA237">
        <f>IF(AZ237="Bloomberg",M237,H237)</f>
        <v/>
      </c>
      <c r="BB237">
        <f>1</f>
        <v/>
      </c>
    </row>
    <row r="238">
      <c r="A238" s="31" t="inlineStr">
        <is>
          <t>2407</t>
        </is>
      </c>
      <c r="B238" s="15" t="inlineStr">
        <is>
          <t>GAUSH MEDITECH</t>
        </is>
      </c>
      <c r="C238" s="15" t="inlineStr">
        <is>
          <t>Healthcare</t>
        </is>
      </c>
      <c r="D238" s="15" t="inlineStr">
        <is>
          <t>Medical devices</t>
        </is>
      </c>
      <c r="E238" s="34" t="n">
        <v>44907</v>
      </c>
      <c r="F238" s="15" t="n">
        <v>51.4</v>
      </c>
      <c r="G238" s="15" t="n">
        <v>4.495</v>
      </c>
      <c r="H238" s="34" t="n">
        <v>46297</v>
      </c>
      <c r="I238" s="31" t="n"/>
      <c r="J238" s="15" t="n">
        <v>0</v>
      </c>
      <c r="K238" s="15">
        <f>IF(AND(AH!$M$5="Snapshot",'IPO Live'!$M$5="Snapshot"),"",IFERROR(BDP(TEXT(VALUE($A238),"0")&amp;" HK Equity","PX_LAST"),""))</f>
        <v/>
      </c>
      <c r="L238" s="15">
        <f>IF(AND(AH!$M$5="Snapshot",'IPO Live'!$M$5="Snapshot"),"",IFERROR(BDP(TEXT(VALUE($A238),"0")&amp;" HK Equity","CHG_PCT_1D")/100,""))</f>
        <v/>
      </c>
      <c r="M238" s="15">
        <f>IF(AND(AH!$M$5="Snapshot",'IPO Live'!$M$5="Snapshot"),"",IFERROR(BDP(TEXT(VALUE($A238),"0")&amp;" HK Equity","LAST_UPDATE_DT"),""))</f>
        <v/>
      </c>
      <c r="N238" s="15">
        <f>IF(AND(AH!$M$5="Snapshot",'IPO Live'!$M$5="Snapshot"),"",IFERROR(BDP(TEXT(VALUE($A238),"0")&amp;" HK Equity","LAST_UPDATE"),""))</f>
        <v/>
      </c>
      <c r="O238" s="15">
        <f>IF('IPO Live'!$M$5="Snapshot",IF(ISNUMBER(G238),G238,"unavailable"),IF(AND(ISNUMBER(K238),N(K238)&gt;0),K238,IF('IPO Live'!$M$5="Auto",IF(ISNUMBER(G238),G238,"unavailable"),"unavailable")))</f>
        <v/>
      </c>
      <c r="P238" s="15">
        <f>IF(AND('IPO Live'!$M$5&lt;&gt;"Snapshot",ISNUMBER(K238),N(K238)&gt;0),"Bloomberg",IF(AND('IPO Live'!$M$5&lt;&gt;"Bloomberg",ISNUMBER(G238)),"Snapshot","Unavailable"))</f>
        <v/>
      </c>
      <c r="Q238" s="33">
        <f>IF(AND(P238="Bloomberg",ISNUMBER(L238)),L238,"unavailable")</f>
        <v/>
      </c>
      <c r="R238" s="15">
        <f>IF(OR('IPO Live'!$B$5="All",'IPO Live'!$B$5=C238,AND('IPO Live'!$B$5="A/H only",J238&gt;0)),1,0)</f>
        <v/>
      </c>
      <c r="S238" s="15">
        <f>IF(R238=1,COUNTIF($R$5:R238,1),"")</f>
        <v/>
      </c>
      <c r="T238">
        <f>1</f>
        <v/>
      </c>
      <c r="U238">
        <f>IF($P238="Bloomberg",$M238,$H238)</f>
        <v/>
      </c>
      <c r="AW238">
        <f>IF(AND(J238&gt;0,OR(AH!$I$5="All",AH!$I$5="A/H only",AH!$I$5=C238)),1,0)</f>
        <v/>
      </c>
      <c r="AX238">
        <f>IF(AW238=1,COUNTIF($AW$5:AW238,1),"")</f>
        <v/>
      </c>
      <c r="AY238">
        <f>IF(AH!$M$5="Snapshot",IF(ISNUMBER(G238),G238,"unavailable"),IF(AND(ISNUMBER(K238),N(K238)&gt;0),K238,IF(AH!$M$5="Auto",IF(ISNUMBER(G238),G238,"unavailable"),"unavailable")))</f>
        <v/>
      </c>
      <c r="AZ238">
        <f>IF(AND(AH!$M$5&lt;&gt;"Snapshot",ISNUMBER(K238),N(K238)&gt;0),"Bloomberg",IF(AND(AH!$M$5&lt;&gt;"Bloomberg",ISNUMBER(G238)),"Snapshot","Unavailable"))</f>
        <v/>
      </c>
      <c r="BA238">
        <f>IF(AZ238="Bloomberg",M238,H238)</f>
        <v/>
      </c>
      <c r="BB238">
        <f>1</f>
        <v/>
      </c>
    </row>
    <row r="239">
      <c r="A239" s="31" t="inlineStr">
        <is>
          <t>2291</t>
        </is>
      </c>
      <c r="B239" s="15" t="inlineStr">
        <is>
          <t>SCIENTECH</t>
        </is>
      </c>
      <c r="C239" s="15" t="inlineStr">
        <is>
          <t>Healthcare</t>
        </is>
      </c>
      <c r="D239" s="15" t="inlineStr">
        <is>
          <t>Medical devices</t>
        </is>
      </c>
      <c r="E239" s="34" t="n">
        <v>44873</v>
      </c>
      <c r="F239" s="15" t="n">
        <v>29.15</v>
      </c>
      <c r="G239" s="15" t="n">
        <v>12.61</v>
      </c>
      <c r="H239" s="34" t="n">
        <v>46297</v>
      </c>
      <c r="I239" s="31" t="n"/>
      <c r="J239" s="15" t="n">
        <v>0</v>
      </c>
      <c r="K239" s="15">
        <f>IF(AND(AH!$M$5="Snapshot",'IPO Live'!$M$5="Snapshot"),"",IFERROR(BDP(TEXT(VALUE($A239),"0")&amp;" HK Equity","PX_LAST"),""))</f>
        <v/>
      </c>
      <c r="L239" s="15">
        <f>IF(AND(AH!$M$5="Snapshot",'IPO Live'!$M$5="Snapshot"),"",IFERROR(BDP(TEXT(VALUE($A239),"0")&amp;" HK Equity","CHG_PCT_1D")/100,""))</f>
        <v/>
      </c>
      <c r="M239" s="15">
        <f>IF(AND(AH!$M$5="Snapshot",'IPO Live'!$M$5="Snapshot"),"",IFERROR(BDP(TEXT(VALUE($A239),"0")&amp;" HK Equity","LAST_UPDATE_DT"),""))</f>
        <v/>
      </c>
      <c r="N239" s="15">
        <f>IF(AND(AH!$M$5="Snapshot",'IPO Live'!$M$5="Snapshot"),"",IFERROR(BDP(TEXT(VALUE($A239),"0")&amp;" HK Equity","LAST_UPDATE"),""))</f>
        <v/>
      </c>
      <c r="O239" s="15">
        <f>IF('IPO Live'!$M$5="Snapshot",IF(ISNUMBER(G239),G239,"unavailable"),IF(AND(ISNUMBER(K239),N(K239)&gt;0),K239,IF('IPO Live'!$M$5="Auto",IF(ISNUMBER(G239),G239,"unavailable"),"unavailable")))</f>
        <v/>
      </c>
      <c r="P239" s="15">
        <f>IF(AND('IPO Live'!$M$5&lt;&gt;"Snapshot",ISNUMBER(K239),N(K239)&gt;0),"Bloomberg",IF(AND('IPO Live'!$M$5&lt;&gt;"Bloomberg",ISNUMBER(G239)),"Snapshot","Unavailable"))</f>
        <v/>
      </c>
      <c r="Q239" s="33">
        <f>IF(AND(P239="Bloomberg",ISNUMBER(L239)),L239,"unavailable")</f>
        <v/>
      </c>
      <c r="R239" s="15">
        <f>IF(OR('IPO Live'!$B$5="All",'IPO Live'!$B$5=C239,AND('IPO Live'!$B$5="A/H only",J239&gt;0)),1,0)</f>
        <v/>
      </c>
      <c r="S239" s="15">
        <f>IF(R239=1,COUNTIF($R$5:R239,1),"")</f>
        <v/>
      </c>
      <c r="T239">
        <f>1</f>
        <v/>
      </c>
      <c r="U239">
        <f>IF($P239="Bloomberg",$M239,$H239)</f>
        <v/>
      </c>
      <c r="AW239">
        <f>IF(AND(J239&gt;0,OR(AH!$I$5="All",AH!$I$5="A/H only",AH!$I$5=C239)),1,0)</f>
        <v/>
      </c>
      <c r="AX239">
        <f>IF(AW239=1,COUNTIF($AW$5:AW239,1),"")</f>
        <v/>
      </c>
      <c r="AY239">
        <f>IF(AH!$M$5="Snapshot",IF(ISNUMBER(G239),G239,"unavailable"),IF(AND(ISNUMBER(K239),N(K239)&gt;0),K239,IF(AH!$M$5="Auto",IF(ISNUMBER(G239),G239,"unavailable"),"unavailable")))</f>
        <v/>
      </c>
      <c r="AZ239">
        <f>IF(AND(AH!$M$5&lt;&gt;"Snapshot",ISNUMBER(K239),N(K239)&gt;0),"Bloomberg",IF(AND(AH!$M$5&lt;&gt;"Bloomberg",ISNUMBER(G239)),"Snapshot","Unavailable"))</f>
        <v/>
      </c>
      <c r="BA239">
        <f>IF(AZ239="Bloomberg",M239,H239)</f>
        <v/>
      </c>
      <c r="BB239">
        <f>1</f>
        <v/>
      </c>
    </row>
    <row r="240">
      <c r="A240" s="31" t="inlineStr">
        <is>
          <t>9877</t>
        </is>
      </c>
      <c r="B240" s="15" t="inlineStr">
        <is>
          <t>JENSCARE-B</t>
        </is>
      </c>
      <c r="C240" s="15" t="inlineStr">
        <is>
          <t>Healthcare</t>
        </is>
      </c>
      <c r="D240" s="15" t="inlineStr">
        <is>
          <t>Medical devices</t>
        </is>
      </c>
      <c r="E240" s="34" t="n">
        <v>44844</v>
      </c>
      <c r="F240" s="15" t="n">
        <v>27.8</v>
      </c>
      <c r="G240" s="15" t="n">
        <v>7.395</v>
      </c>
      <c r="H240" s="34" t="n">
        <v>46297</v>
      </c>
      <c r="I240" s="31" t="n"/>
      <c r="J240" s="15" t="n">
        <v>0</v>
      </c>
      <c r="K240" s="15">
        <f>IF(AND(AH!$M$5="Snapshot",'IPO Live'!$M$5="Snapshot"),"",IFERROR(BDP(TEXT(VALUE($A240),"0")&amp;" HK Equity","PX_LAST"),""))</f>
        <v/>
      </c>
      <c r="L240" s="15">
        <f>IF(AND(AH!$M$5="Snapshot",'IPO Live'!$M$5="Snapshot"),"",IFERROR(BDP(TEXT(VALUE($A240),"0")&amp;" HK Equity","CHG_PCT_1D")/100,""))</f>
        <v/>
      </c>
      <c r="M240" s="15">
        <f>IF(AND(AH!$M$5="Snapshot",'IPO Live'!$M$5="Snapshot"),"",IFERROR(BDP(TEXT(VALUE($A240),"0")&amp;" HK Equity","LAST_UPDATE_DT"),""))</f>
        <v/>
      </c>
      <c r="N240" s="15">
        <f>IF(AND(AH!$M$5="Snapshot",'IPO Live'!$M$5="Snapshot"),"",IFERROR(BDP(TEXT(VALUE($A240),"0")&amp;" HK Equity","LAST_UPDATE"),""))</f>
        <v/>
      </c>
      <c r="O240" s="15">
        <f>IF('IPO Live'!$M$5="Snapshot",IF(ISNUMBER(G240),G240,"unavailable"),IF(AND(ISNUMBER(K240),N(K240)&gt;0),K240,IF('IPO Live'!$M$5="Auto",IF(ISNUMBER(G240),G240,"unavailable"),"unavailable")))</f>
        <v/>
      </c>
      <c r="P240" s="15">
        <f>IF(AND('IPO Live'!$M$5&lt;&gt;"Snapshot",ISNUMBER(K240),N(K240)&gt;0),"Bloomberg",IF(AND('IPO Live'!$M$5&lt;&gt;"Bloomberg",ISNUMBER(G240)),"Snapshot","Unavailable"))</f>
        <v/>
      </c>
      <c r="Q240" s="33">
        <f>IF(AND(P240="Bloomberg",ISNUMBER(L240)),L240,"unavailable")</f>
        <v/>
      </c>
      <c r="R240" s="15">
        <f>IF(OR('IPO Live'!$B$5="All",'IPO Live'!$B$5=C240,AND('IPO Live'!$B$5="A/H only",J240&gt;0)),1,0)</f>
        <v/>
      </c>
      <c r="S240" s="15">
        <f>IF(R240=1,COUNTIF($R$5:R240,1),"")</f>
        <v/>
      </c>
      <c r="T240">
        <f>1</f>
        <v/>
      </c>
      <c r="U240">
        <f>IF($P240="Bloomberg",$M240,$H240)</f>
        <v/>
      </c>
      <c r="AW240">
        <f>IF(AND(J240&gt;0,OR(AH!$I$5="All",AH!$I$5="A/H only",AH!$I$5=C240)),1,0)</f>
        <v/>
      </c>
      <c r="AX240">
        <f>IF(AW240=1,COUNTIF($AW$5:AW240,1),"")</f>
        <v/>
      </c>
      <c r="AY240">
        <f>IF(AH!$M$5="Snapshot",IF(ISNUMBER(G240),G240,"unavailable"),IF(AND(ISNUMBER(K240),N(K240)&gt;0),K240,IF(AH!$M$5="Auto",IF(ISNUMBER(G240),G240,"unavailable"),"unavailable")))</f>
        <v/>
      </c>
      <c r="AZ240">
        <f>IF(AND(AH!$M$5&lt;&gt;"Snapshot",ISNUMBER(K240),N(K240)&gt;0),"Bloomberg",IF(AND(AH!$M$5&lt;&gt;"Bloomberg",ISNUMBER(G240)),"Snapshot","Unavailable"))</f>
        <v/>
      </c>
      <c r="BA240">
        <f>IF(AZ240="Bloomberg",M240,H240)</f>
        <v/>
      </c>
      <c r="BB240">
        <f>1</f>
        <v/>
      </c>
    </row>
    <row r="241">
      <c r="A241" s="31" t="inlineStr">
        <is>
          <t>6660</t>
        </is>
      </c>
      <c r="B241" s="15" t="inlineStr">
        <is>
          <t>AIM VACCINE</t>
        </is>
      </c>
      <c r="C241" s="15" t="inlineStr">
        <is>
          <t>Healthcare</t>
        </is>
      </c>
      <c r="D241" s="15" t="inlineStr">
        <is>
          <t>Biopharma commercial</t>
        </is>
      </c>
      <c r="E241" s="34" t="n">
        <v>44840</v>
      </c>
      <c r="F241" s="15" t="n">
        <v>16.16</v>
      </c>
      <c r="G241" s="15" t="n">
        <v>1.68</v>
      </c>
      <c r="H241" s="34" t="n">
        <v>46297</v>
      </c>
      <c r="I241" s="31" t="n"/>
      <c r="J241" s="15" t="n">
        <v>0</v>
      </c>
      <c r="K241" s="15">
        <f>IF(AND(AH!$M$5="Snapshot",'IPO Live'!$M$5="Snapshot"),"",IFERROR(BDP(TEXT(VALUE($A241),"0")&amp;" HK Equity","PX_LAST"),""))</f>
        <v/>
      </c>
      <c r="L241" s="15">
        <f>IF(AND(AH!$M$5="Snapshot",'IPO Live'!$M$5="Snapshot"),"",IFERROR(BDP(TEXT(VALUE($A241),"0")&amp;" HK Equity","CHG_PCT_1D")/100,""))</f>
        <v/>
      </c>
      <c r="M241" s="15">
        <f>IF(AND(AH!$M$5="Snapshot",'IPO Live'!$M$5="Snapshot"),"",IFERROR(BDP(TEXT(VALUE($A241),"0")&amp;" HK Equity","LAST_UPDATE_DT"),""))</f>
        <v/>
      </c>
      <c r="N241" s="15">
        <f>IF(AND(AH!$M$5="Snapshot",'IPO Live'!$M$5="Snapshot"),"",IFERROR(BDP(TEXT(VALUE($A241),"0")&amp;" HK Equity","LAST_UPDATE"),""))</f>
        <v/>
      </c>
      <c r="O241" s="15">
        <f>IF('IPO Live'!$M$5="Snapshot",IF(ISNUMBER(G241),G241,"unavailable"),IF(AND(ISNUMBER(K241),N(K241)&gt;0),K241,IF('IPO Live'!$M$5="Auto",IF(ISNUMBER(G241),G241,"unavailable"),"unavailable")))</f>
        <v/>
      </c>
      <c r="P241" s="15">
        <f>IF(AND('IPO Live'!$M$5&lt;&gt;"Snapshot",ISNUMBER(K241),N(K241)&gt;0),"Bloomberg",IF(AND('IPO Live'!$M$5&lt;&gt;"Bloomberg",ISNUMBER(G241)),"Snapshot","Unavailable"))</f>
        <v/>
      </c>
      <c r="Q241" s="33">
        <f>IF(AND(P241="Bloomberg",ISNUMBER(L241)),L241,"unavailable")</f>
        <v/>
      </c>
      <c r="R241" s="15">
        <f>IF(OR('IPO Live'!$B$5="All",'IPO Live'!$B$5=C241,AND('IPO Live'!$B$5="A/H only",J241&gt;0)),1,0)</f>
        <v/>
      </c>
      <c r="S241" s="15">
        <f>IF(R241=1,COUNTIF($R$5:R241,1),"")</f>
        <v/>
      </c>
      <c r="T241">
        <f>1</f>
        <v/>
      </c>
      <c r="U241">
        <f>IF($P241="Bloomberg",$M241,$H241)</f>
        <v/>
      </c>
      <c r="AW241">
        <f>IF(AND(J241&gt;0,OR(AH!$I$5="All",AH!$I$5="A/H only",AH!$I$5=C241)),1,0)</f>
        <v/>
      </c>
      <c r="AX241">
        <f>IF(AW241=1,COUNTIF($AW$5:AW241,1),"")</f>
        <v/>
      </c>
      <c r="AY241">
        <f>IF(AH!$M$5="Snapshot",IF(ISNUMBER(G241),G241,"unavailable"),IF(AND(ISNUMBER(K241),N(K241)&gt;0),K241,IF(AH!$M$5="Auto",IF(ISNUMBER(G241),G241,"unavailable"),"unavailable")))</f>
        <v/>
      </c>
      <c r="AZ241">
        <f>IF(AND(AH!$M$5&lt;&gt;"Snapshot",ISNUMBER(K241),N(K241)&gt;0),"Bloomberg",IF(AND(AH!$M$5&lt;&gt;"Bloomberg",ISNUMBER(G241)),"Snapshot","Unavailable"))</f>
        <v/>
      </c>
      <c r="BA241">
        <f>IF(AZ241="Bloomberg",M241,H241)</f>
        <v/>
      </c>
      <c r="BB241">
        <f>1</f>
        <v/>
      </c>
    </row>
    <row r="242">
      <c r="A242" s="31" t="inlineStr">
        <is>
          <t>9886</t>
        </is>
      </c>
      <c r="B242" s="15" t="inlineStr">
        <is>
          <t>DINGDANG HEALTH</t>
        </is>
      </c>
      <c r="C242" s="15" t="inlineStr">
        <is>
          <t>Healthcare</t>
        </is>
      </c>
      <c r="D242" s="15" t="inlineStr">
        <is>
          <t>Digital health</t>
        </is>
      </c>
      <c r="E242" s="34" t="n">
        <v>44818</v>
      </c>
      <c r="F242" s="15" t="n">
        <v>12</v>
      </c>
      <c r="G242" s="15" t="n">
        <v>0.8</v>
      </c>
      <c r="H242" s="34" t="n">
        <v>46297</v>
      </c>
      <c r="I242" s="31" t="n"/>
      <c r="J242" s="15" t="n">
        <v>0</v>
      </c>
      <c r="K242" s="15">
        <f>IF(AND(AH!$M$5="Snapshot",'IPO Live'!$M$5="Snapshot"),"",IFERROR(BDP(TEXT(VALUE($A242),"0")&amp;" HK Equity","PX_LAST"),""))</f>
        <v/>
      </c>
      <c r="L242" s="15">
        <f>IF(AND(AH!$M$5="Snapshot",'IPO Live'!$M$5="Snapshot"),"",IFERROR(BDP(TEXT(VALUE($A242),"0")&amp;" HK Equity","CHG_PCT_1D")/100,""))</f>
        <v/>
      </c>
      <c r="M242" s="15">
        <f>IF(AND(AH!$M$5="Snapshot",'IPO Live'!$M$5="Snapshot"),"",IFERROR(BDP(TEXT(VALUE($A242),"0")&amp;" HK Equity","LAST_UPDATE_DT"),""))</f>
        <v/>
      </c>
      <c r="N242" s="15">
        <f>IF(AND(AH!$M$5="Snapshot",'IPO Live'!$M$5="Snapshot"),"",IFERROR(BDP(TEXT(VALUE($A242),"0")&amp;" HK Equity","LAST_UPDATE"),""))</f>
        <v/>
      </c>
      <c r="O242" s="15">
        <f>IF('IPO Live'!$M$5="Snapshot",IF(ISNUMBER(G242),G242,"unavailable"),IF(AND(ISNUMBER(K242),N(K242)&gt;0),K242,IF('IPO Live'!$M$5="Auto",IF(ISNUMBER(G242),G242,"unavailable"),"unavailable")))</f>
        <v/>
      </c>
      <c r="P242" s="15">
        <f>IF(AND('IPO Live'!$M$5&lt;&gt;"Snapshot",ISNUMBER(K242),N(K242)&gt;0),"Bloomberg",IF(AND('IPO Live'!$M$5&lt;&gt;"Bloomberg",ISNUMBER(G242)),"Snapshot","Unavailable"))</f>
        <v/>
      </c>
      <c r="Q242" s="33">
        <f>IF(AND(P242="Bloomberg",ISNUMBER(L242)),L242,"unavailable")</f>
        <v/>
      </c>
      <c r="R242" s="15">
        <f>IF(OR('IPO Live'!$B$5="All",'IPO Live'!$B$5=C242,AND('IPO Live'!$B$5="A/H only",J242&gt;0)),1,0)</f>
        <v/>
      </c>
      <c r="S242" s="15">
        <f>IF(R242=1,COUNTIF($R$5:R242,1),"")</f>
        <v/>
      </c>
      <c r="T242">
        <f>1</f>
        <v/>
      </c>
      <c r="U242">
        <f>IF($P242="Bloomberg",$M242,$H242)</f>
        <v/>
      </c>
      <c r="AW242">
        <f>IF(AND(J242&gt;0,OR(AH!$I$5="All",AH!$I$5="A/H only",AH!$I$5=C242)),1,0)</f>
        <v/>
      </c>
      <c r="AX242">
        <f>IF(AW242=1,COUNTIF($AW$5:AW242,1),"")</f>
        <v/>
      </c>
      <c r="AY242">
        <f>IF(AH!$M$5="Snapshot",IF(ISNUMBER(G242),G242,"unavailable"),IF(AND(ISNUMBER(K242),N(K242)&gt;0),K242,IF(AH!$M$5="Auto",IF(ISNUMBER(G242),G242,"unavailable"),"unavailable")))</f>
        <v/>
      </c>
      <c r="AZ242">
        <f>IF(AND(AH!$M$5&lt;&gt;"Snapshot",ISNUMBER(K242),N(K242)&gt;0),"Bloomberg",IF(AND(AH!$M$5&lt;&gt;"Bloomberg",ISNUMBER(G242)),"Snapshot","Unavailable"))</f>
        <v/>
      </c>
      <c r="BA242">
        <f>IF(AZ242="Bloomberg",M242,H242)</f>
        <v/>
      </c>
      <c r="BB242">
        <f>1</f>
        <v/>
      </c>
    </row>
    <row r="243">
      <c r="A243" s="31" t="inlineStr">
        <is>
          <t>2315</t>
        </is>
      </c>
      <c r="B243" s="15" t="inlineStr">
        <is>
          <t>BIOCYTOGEN-B</t>
        </is>
      </c>
      <c r="C243" s="15" t="inlineStr">
        <is>
          <t>Healthcare</t>
        </is>
      </c>
      <c r="D243" s="15" t="inlineStr">
        <is>
          <t>Biotech pre-revenue (18A)</t>
        </is>
      </c>
      <c r="E243" s="34" t="n">
        <v>44805</v>
      </c>
      <c r="F243" s="15" t="n">
        <v>25.22</v>
      </c>
      <c r="G243" s="15" t="n">
        <v>67.45</v>
      </c>
      <c r="H243" s="34" t="n">
        <v>46297</v>
      </c>
      <c r="I243" s="31" t="inlineStr">
        <is>
          <t>688796.SS</t>
        </is>
      </c>
      <c r="J243" s="15" t="n">
        <v>10</v>
      </c>
      <c r="K243" s="15">
        <f>IF(AND(AH!$M$5="Snapshot",'IPO Live'!$M$5="Snapshot"),"",IFERROR(BDP(TEXT(VALUE($A243),"0")&amp;" HK Equity","PX_LAST"),""))</f>
        <v/>
      </c>
      <c r="L243" s="15">
        <f>IF(AND(AH!$M$5="Snapshot",'IPO Live'!$M$5="Snapshot"),"",IFERROR(BDP(TEXT(VALUE($A243),"0")&amp;" HK Equity","CHG_PCT_1D")/100,""))</f>
        <v/>
      </c>
      <c r="M243" s="15">
        <f>IF(AND(AH!$M$5="Snapshot",'IPO Live'!$M$5="Snapshot"),"",IFERROR(BDP(TEXT(VALUE($A243),"0")&amp;" HK Equity","LAST_UPDATE_DT"),""))</f>
        <v/>
      </c>
      <c r="N243" s="15">
        <f>IF(AND(AH!$M$5="Snapshot",'IPO Live'!$M$5="Snapshot"),"",IFERROR(BDP(TEXT(VALUE($A243),"0")&amp;" HK Equity","LAST_UPDATE"),""))</f>
        <v/>
      </c>
      <c r="O243" s="15">
        <f>IF('IPO Live'!$M$5="Snapshot",IF(ISNUMBER(G243),G243,"unavailable"),IF(AND(ISNUMBER(K243),N(K243)&gt;0),K243,IF('IPO Live'!$M$5="Auto",IF(ISNUMBER(G243),G243,"unavailable"),"unavailable")))</f>
        <v/>
      </c>
      <c r="P243" s="15">
        <f>IF(AND('IPO Live'!$M$5&lt;&gt;"Snapshot",ISNUMBER(K243),N(K243)&gt;0),"Bloomberg",IF(AND('IPO Live'!$M$5&lt;&gt;"Bloomberg",ISNUMBER(G243)),"Snapshot","Unavailable"))</f>
        <v/>
      </c>
      <c r="Q243" s="33">
        <f>IF(AND(P243="Bloomberg",ISNUMBER(L243)),L243,"unavailable")</f>
        <v/>
      </c>
      <c r="R243" s="15">
        <f>IF(OR('IPO Live'!$B$5="All",'IPO Live'!$B$5=C243,AND('IPO Live'!$B$5="A/H only",J243&gt;0)),1,0)</f>
        <v/>
      </c>
      <c r="S243" s="15">
        <f>IF(R243=1,COUNTIF($R$5:R243,1),"")</f>
        <v/>
      </c>
      <c r="T243">
        <f>1</f>
        <v/>
      </c>
      <c r="U243">
        <f>IF($P243="Bloomberg",$M243,$H243)</f>
        <v/>
      </c>
      <c r="AW243">
        <f>IF(AND(J243&gt;0,OR(AH!$I$5="All",AH!$I$5="A/H only",AH!$I$5=C243)),1,0)</f>
        <v/>
      </c>
      <c r="AX243">
        <f>IF(AW243=1,COUNTIF($AW$5:AW243,1),"")</f>
        <v/>
      </c>
      <c r="AY243">
        <f>IF(AH!$M$5="Snapshot",IF(ISNUMBER(G243),G243,"unavailable"),IF(AND(ISNUMBER(K243),N(K243)&gt;0),K243,IF(AH!$M$5="Auto",IF(ISNUMBER(G243),G243,"unavailable"),"unavailable")))</f>
        <v/>
      </c>
      <c r="AZ243">
        <f>IF(AND(AH!$M$5&lt;&gt;"Snapshot",ISNUMBER(K243),N(K243)&gt;0),"Bloomberg",IF(AND(AH!$M$5&lt;&gt;"Bloomberg",ISNUMBER(G243)),"Snapshot","Unavailable"))</f>
        <v/>
      </c>
      <c r="BA243">
        <f>IF(AZ243="Bloomberg",M243,H243)</f>
        <v/>
      </c>
      <c r="BB243">
        <f>1</f>
        <v/>
      </c>
    </row>
    <row r="244">
      <c r="A244" s="31" t="inlineStr">
        <is>
          <t>2172</t>
        </is>
      </c>
      <c r="B244" s="15" t="inlineStr">
        <is>
          <t>MICROPORT NEURO</t>
        </is>
      </c>
      <c r="C244" s="15" t="inlineStr">
        <is>
          <t>Healthcare</t>
        </is>
      </c>
      <c r="D244" s="15" t="inlineStr">
        <is>
          <t>Medical devices</t>
        </is>
      </c>
      <c r="E244" s="34" t="n">
        <v>44757</v>
      </c>
      <c r="F244" s="15" t="n">
        <v>24.64</v>
      </c>
      <c r="G244" s="15" t="n">
        <v>8.055</v>
      </c>
      <c r="H244" s="34" t="n">
        <v>46265</v>
      </c>
      <c r="I244" s="31" t="n"/>
      <c r="J244" s="15" t="n">
        <v>0</v>
      </c>
      <c r="K244" s="15">
        <f>IF(AND(AH!$M$5="Snapshot",'IPO Live'!$M$5="Snapshot"),"",IFERROR(BDP(TEXT(VALUE($A244),"0")&amp;" HK Equity","PX_LAST"),""))</f>
        <v/>
      </c>
      <c r="L244" s="15">
        <f>IF(AND(AH!$M$5="Snapshot",'IPO Live'!$M$5="Snapshot"),"",IFERROR(BDP(TEXT(VALUE($A244),"0")&amp;" HK Equity","CHG_PCT_1D")/100,""))</f>
        <v/>
      </c>
      <c r="M244" s="15">
        <f>IF(AND(AH!$M$5="Snapshot",'IPO Live'!$M$5="Snapshot"),"",IFERROR(BDP(TEXT(VALUE($A244),"0")&amp;" HK Equity","LAST_UPDATE_DT"),""))</f>
        <v/>
      </c>
      <c r="N244" s="15">
        <f>IF(AND(AH!$M$5="Snapshot",'IPO Live'!$M$5="Snapshot"),"",IFERROR(BDP(TEXT(VALUE($A244),"0")&amp;" HK Equity","LAST_UPDATE"),""))</f>
        <v/>
      </c>
      <c r="O244" s="15">
        <f>IF('IPO Live'!$M$5="Snapshot",IF(ISNUMBER(G244),G244,"unavailable"),IF(AND(ISNUMBER(K244),N(K244)&gt;0),K244,IF('IPO Live'!$M$5="Auto",IF(ISNUMBER(G244),G244,"unavailable"),"unavailable")))</f>
        <v/>
      </c>
      <c r="P244" s="15">
        <f>IF(AND('IPO Live'!$M$5&lt;&gt;"Snapshot",ISNUMBER(K244),N(K244)&gt;0),"Bloomberg",IF(AND('IPO Live'!$M$5&lt;&gt;"Bloomberg",ISNUMBER(G244)),"Snapshot","Unavailable"))</f>
        <v/>
      </c>
      <c r="Q244" s="33">
        <f>IF(AND(P244="Bloomberg",ISNUMBER(L244)),L244,"unavailable")</f>
        <v/>
      </c>
      <c r="R244" s="15">
        <f>IF(OR('IPO Live'!$B$5="All",'IPO Live'!$B$5=C244,AND('IPO Live'!$B$5="A/H only",J244&gt;0)),1,0)</f>
        <v/>
      </c>
      <c r="S244" s="15">
        <f>IF(R244=1,COUNTIF($R$5:R244,1),"")</f>
        <v/>
      </c>
      <c r="T244">
        <f>1</f>
        <v/>
      </c>
      <c r="U244">
        <f>IF($P244="Bloomberg",$M244,$H244)</f>
        <v/>
      </c>
      <c r="AW244">
        <f>IF(AND(J244&gt;0,OR(AH!$I$5="All",AH!$I$5="A/H only",AH!$I$5=C244)),1,0)</f>
        <v/>
      </c>
      <c r="AX244">
        <f>IF(AW244=1,COUNTIF($AW$5:AW244,1),"")</f>
        <v/>
      </c>
      <c r="AY244">
        <f>IF(AH!$M$5="Snapshot",IF(ISNUMBER(G244),G244,"unavailable"),IF(AND(ISNUMBER(K244),N(K244)&gt;0),K244,IF(AH!$M$5="Auto",IF(ISNUMBER(G244),G244,"unavailable"),"unavailable")))</f>
        <v/>
      </c>
      <c r="AZ244">
        <f>IF(AND(AH!$M$5&lt;&gt;"Snapshot",ISNUMBER(K244),N(K244)&gt;0),"Bloomberg",IF(AND(AH!$M$5&lt;&gt;"Bloomberg",ISNUMBER(G244)),"Snapshot","Unavailable"))</f>
        <v/>
      </c>
      <c r="BA244">
        <f>IF(AZ244="Bloomberg",M244,H244)</f>
        <v/>
      </c>
      <c r="BB244">
        <f>1</f>
        <v/>
      </c>
    </row>
    <row r="245">
      <c r="A245" s="31" t="inlineStr">
        <is>
          <t>2361</t>
        </is>
      </c>
      <c r="B245" s="15" t="inlineStr">
        <is>
          <t>SINOHEALTH HLDG</t>
        </is>
      </c>
      <c r="C245" s="15" t="inlineStr">
        <is>
          <t>Healthcare</t>
        </is>
      </c>
      <c r="D245" s="15" t="inlineStr">
        <is>
          <t>Digital health</t>
        </is>
      </c>
      <c r="E245" s="34" t="n">
        <v>44754</v>
      </c>
      <c r="F245" s="15" t="n">
        <v>5.36</v>
      </c>
      <c r="G245" s="15" t="n">
        <v>4.08</v>
      </c>
      <c r="H245" s="34" t="n">
        <v>46297</v>
      </c>
      <c r="I245" s="31" t="n"/>
      <c r="J245" s="15" t="n">
        <v>0</v>
      </c>
      <c r="K245" s="15">
        <f>IF(AND(AH!$M$5="Snapshot",'IPO Live'!$M$5="Snapshot"),"",IFERROR(BDP(TEXT(VALUE($A245),"0")&amp;" HK Equity","PX_LAST"),""))</f>
        <v/>
      </c>
      <c r="L245" s="15">
        <f>IF(AND(AH!$M$5="Snapshot",'IPO Live'!$M$5="Snapshot"),"",IFERROR(BDP(TEXT(VALUE($A245),"0")&amp;" HK Equity","CHG_PCT_1D")/100,""))</f>
        <v/>
      </c>
      <c r="M245" s="15">
        <f>IF(AND(AH!$M$5="Snapshot",'IPO Live'!$M$5="Snapshot"),"",IFERROR(BDP(TEXT(VALUE($A245),"0")&amp;" HK Equity","LAST_UPDATE_DT"),""))</f>
        <v/>
      </c>
      <c r="N245" s="15">
        <f>IF(AND(AH!$M$5="Snapshot",'IPO Live'!$M$5="Snapshot"),"",IFERROR(BDP(TEXT(VALUE($A245),"0")&amp;" HK Equity","LAST_UPDATE"),""))</f>
        <v/>
      </c>
      <c r="O245" s="15">
        <f>IF('IPO Live'!$M$5="Snapshot",IF(ISNUMBER(G245),G245,"unavailable"),IF(AND(ISNUMBER(K245),N(K245)&gt;0),K245,IF('IPO Live'!$M$5="Auto",IF(ISNUMBER(G245),G245,"unavailable"),"unavailable")))</f>
        <v/>
      </c>
      <c r="P245" s="15">
        <f>IF(AND('IPO Live'!$M$5&lt;&gt;"Snapshot",ISNUMBER(K245),N(K245)&gt;0),"Bloomberg",IF(AND('IPO Live'!$M$5&lt;&gt;"Bloomberg",ISNUMBER(G245)),"Snapshot","Unavailable"))</f>
        <v/>
      </c>
      <c r="Q245" s="33">
        <f>IF(AND(P245="Bloomberg",ISNUMBER(L245)),L245,"unavailable")</f>
        <v/>
      </c>
      <c r="R245" s="15">
        <f>IF(OR('IPO Live'!$B$5="All",'IPO Live'!$B$5=C245,AND('IPO Live'!$B$5="A/H only",J245&gt;0)),1,0)</f>
        <v/>
      </c>
      <c r="S245" s="15">
        <f>IF(R245=1,COUNTIF($R$5:R245,1),"")</f>
        <v/>
      </c>
      <c r="T245">
        <f>1</f>
        <v/>
      </c>
      <c r="U245">
        <f>IF($P245="Bloomberg",$M245,$H245)</f>
        <v/>
      </c>
      <c r="AW245">
        <f>IF(AND(J245&gt;0,OR(AH!$I$5="All",AH!$I$5="A/H only",AH!$I$5=C245)),1,0)</f>
        <v/>
      </c>
      <c r="AX245">
        <f>IF(AW245=1,COUNTIF($AW$5:AW245,1),"")</f>
        <v/>
      </c>
      <c r="AY245">
        <f>IF(AH!$M$5="Snapshot",IF(ISNUMBER(G245),G245,"unavailable"),IF(AND(ISNUMBER(K245),N(K245)&gt;0),K245,IF(AH!$M$5="Auto",IF(ISNUMBER(G245),G245,"unavailable"),"unavailable")))</f>
        <v/>
      </c>
      <c r="AZ245">
        <f>IF(AND(AH!$M$5&lt;&gt;"Snapshot",ISNUMBER(K245),N(K245)&gt;0),"Bloomberg",IF(AND(AH!$M$5&lt;&gt;"Bloomberg",ISNUMBER(G245)),"Snapshot","Unavailable"))</f>
        <v/>
      </c>
      <c r="BA245">
        <f>IF(AZ245="Bloomberg",M245,H245)</f>
        <v/>
      </c>
      <c r="BB245">
        <f>1</f>
        <v/>
      </c>
    </row>
    <row r="246">
      <c r="A246" s="31" t="inlineStr">
        <is>
          <t>2297</t>
        </is>
      </c>
      <c r="B246" s="15" t="inlineStr">
        <is>
          <t>RAINMED-B</t>
        </is>
      </c>
      <c r="C246" s="15" t="inlineStr">
        <is>
          <t>Healthcare</t>
        </is>
      </c>
      <c r="D246" s="15" t="inlineStr">
        <is>
          <t>Medical devices</t>
        </is>
      </c>
      <c r="E246" s="34" t="n">
        <v>44750</v>
      </c>
      <c r="F246" s="15" t="n">
        <v>6.24</v>
      </c>
      <c r="G246" s="15" t="n">
        <v>0.155</v>
      </c>
      <c r="H246" s="34" t="n">
        <v>46297</v>
      </c>
      <c r="I246" s="31" t="n"/>
      <c r="J246" s="15" t="n">
        <v>0</v>
      </c>
      <c r="K246" s="15">
        <f>IF(AND(AH!$M$5="Snapshot",'IPO Live'!$M$5="Snapshot"),"",IFERROR(BDP(TEXT(VALUE($A246),"0")&amp;" HK Equity","PX_LAST"),""))</f>
        <v/>
      </c>
      <c r="L246" s="15">
        <f>IF(AND(AH!$M$5="Snapshot",'IPO Live'!$M$5="Snapshot"),"",IFERROR(BDP(TEXT(VALUE($A246),"0")&amp;" HK Equity","CHG_PCT_1D")/100,""))</f>
        <v/>
      </c>
      <c r="M246" s="15">
        <f>IF(AND(AH!$M$5="Snapshot",'IPO Live'!$M$5="Snapshot"),"",IFERROR(BDP(TEXT(VALUE($A246),"0")&amp;" HK Equity","LAST_UPDATE_DT"),""))</f>
        <v/>
      </c>
      <c r="N246" s="15">
        <f>IF(AND(AH!$M$5="Snapshot",'IPO Live'!$M$5="Snapshot"),"",IFERROR(BDP(TEXT(VALUE($A246),"0")&amp;" HK Equity","LAST_UPDATE"),""))</f>
        <v/>
      </c>
      <c r="O246" s="15">
        <f>IF('IPO Live'!$M$5="Snapshot",IF(ISNUMBER(G246),G246,"unavailable"),IF(AND(ISNUMBER(K246),N(K246)&gt;0),K246,IF('IPO Live'!$M$5="Auto",IF(ISNUMBER(G246),G246,"unavailable"),"unavailable")))</f>
        <v/>
      </c>
      <c r="P246" s="15">
        <f>IF(AND('IPO Live'!$M$5&lt;&gt;"Snapshot",ISNUMBER(K246),N(K246)&gt;0),"Bloomberg",IF(AND('IPO Live'!$M$5&lt;&gt;"Bloomberg",ISNUMBER(G246)),"Snapshot","Unavailable"))</f>
        <v/>
      </c>
      <c r="Q246" s="33">
        <f>IF(AND(P246="Bloomberg",ISNUMBER(L246)),L246,"unavailable")</f>
        <v/>
      </c>
      <c r="R246" s="15">
        <f>IF(OR('IPO Live'!$B$5="All",'IPO Live'!$B$5=C246,AND('IPO Live'!$B$5="A/H only",J246&gt;0)),1,0)</f>
        <v/>
      </c>
      <c r="S246" s="15">
        <f>IF(R246=1,COUNTIF($R$5:R246,1),"")</f>
        <v/>
      </c>
      <c r="T246">
        <f>1</f>
        <v/>
      </c>
      <c r="U246">
        <f>IF($P246="Bloomberg",$M246,$H246)</f>
        <v/>
      </c>
      <c r="AW246">
        <f>IF(AND(J246&gt;0,OR(AH!$I$5="All",AH!$I$5="A/H only",AH!$I$5=C246)),1,0)</f>
        <v/>
      </c>
      <c r="AX246">
        <f>IF(AW246=1,COUNTIF($AW$5:AW246,1),"")</f>
        <v/>
      </c>
      <c r="AY246">
        <f>IF(AH!$M$5="Snapshot",IF(ISNUMBER(G246),G246,"unavailable"),IF(AND(ISNUMBER(K246),N(K246)&gt;0),K246,IF(AH!$M$5="Auto",IF(ISNUMBER(G246),G246,"unavailable"),"unavailable")))</f>
        <v/>
      </c>
      <c r="AZ246">
        <f>IF(AND(AH!$M$5&lt;&gt;"Snapshot",ISNUMBER(K246),N(K246)&gt;0),"Bloomberg",IF(AND(AH!$M$5&lt;&gt;"Bloomberg",ISNUMBER(G246)),"Snapshot","Unavailable"))</f>
        <v/>
      </c>
      <c r="BA246">
        <f>IF(AZ246="Bloomberg",M246,H246)</f>
        <v/>
      </c>
      <c r="BB246">
        <f>1</f>
        <v/>
      </c>
    </row>
    <row r="247">
      <c r="A247" s="31" t="inlineStr">
        <is>
          <t>9955</t>
        </is>
      </c>
      <c r="B247" s="15" t="inlineStr">
        <is>
          <t>CLOUDR</t>
        </is>
      </c>
      <c r="C247" s="15" t="inlineStr">
        <is>
          <t>Healthcare</t>
        </is>
      </c>
      <c r="D247" s="15" t="inlineStr">
        <is>
          <t>Digital health</t>
        </is>
      </c>
      <c r="E247" s="34" t="n">
        <v>44748</v>
      </c>
      <c r="F247" s="15" t="n">
        <v>30.5</v>
      </c>
      <c r="G247" s="15" t="n">
        <v>0.47</v>
      </c>
      <c r="H247" s="34" t="n">
        <v>46297</v>
      </c>
      <c r="I247" s="31" t="n"/>
      <c r="J247" s="15" t="n">
        <v>0</v>
      </c>
      <c r="K247" s="15">
        <f>IF(AND(AH!$M$5="Snapshot",'IPO Live'!$M$5="Snapshot"),"",IFERROR(BDP(TEXT(VALUE($A247),"0")&amp;" HK Equity","PX_LAST"),""))</f>
        <v/>
      </c>
      <c r="L247" s="15">
        <f>IF(AND(AH!$M$5="Snapshot",'IPO Live'!$M$5="Snapshot"),"",IFERROR(BDP(TEXT(VALUE($A247),"0")&amp;" HK Equity","CHG_PCT_1D")/100,""))</f>
        <v/>
      </c>
      <c r="M247" s="15">
        <f>IF(AND(AH!$M$5="Snapshot",'IPO Live'!$M$5="Snapshot"),"",IFERROR(BDP(TEXT(VALUE($A247),"0")&amp;" HK Equity","LAST_UPDATE_DT"),""))</f>
        <v/>
      </c>
      <c r="N247" s="15">
        <f>IF(AND(AH!$M$5="Snapshot",'IPO Live'!$M$5="Snapshot"),"",IFERROR(BDP(TEXT(VALUE($A247),"0")&amp;" HK Equity","LAST_UPDATE"),""))</f>
        <v/>
      </c>
      <c r="O247" s="15">
        <f>IF('IPO Live'!$M$5="Snapshot",IF(ISNUMBER(G247),G247,"unavailable"),IF(AND(ISNUMBER(K247),N(K247)&gt;0),K247,IF('IPO Live'!$M$5="Auto",IF(ISNUMBER(G247),G247,"unavailable"),"unavailable")))</f>
        <v/>
      </c>
      <c r="P247" s="15">
        <f>IF(AND('IPO Live'!$M$5&lt;&gt;"Snapshot",ISNUMBER(K247),N(K247)&gt;0),"Bloomberg",IF(AND('IPO Live'!$M$5&lt;&gt;"Bloomberg",ISNUMBER(G247)),"Snapshot","Unavailable"))</f>
        <v/>
      </c>
      <c r="Q247" s="33">
        <f>IF(AND(P247="Bloomberg",ISNUMBER(L247)),L247,"unavailable")</f>
        <v/>
      </c>
      <c r="R247" s="15">
        <f>IF(OR('IPO Live'!$B$5="All",'IPO Live'!$B$5=C247,AND('IPO Live'!$B$5="A/H only",J247&gt;0)),1,0)</f>
        <v/>
      </c>
      <c r="S247" s="15">
        <f>IF(R247=1,COUNTIF($R$5:R247,1),"")</f>
        <v/>
      </c>
      <c r="T247">
        <f>1</f>
        <v/>
      </c>
      <c r="U247">
        <f>IF($P247="Bloomberg",$M247,$H247)</f>
        <v/>
      </c>
      <c r="AW247">
        <f>IF(AND(J247&gt;0,OR(AH!$I$5="All",AH!$I$5="A/H only",AH!$I$5=C247)),1,0)</f>
        <v/>
      </c>
      <c r="AX247">
        <f>IF(AW247=1,COUNTIF($AW$5:AW247,1),"")</f>
        <v/>
      </c>
      <c r="AY247">
        <f>IF(AH!$M$5="Snapshot",IF(ISNUMBER(G247),G247,"unavailable"),IF(AND(ISNUMBER(K247),N(K247)&gt;0),K247,IF(AH!$M$5="Auto",IF(ISNUMBER(G247),G247,"unavailable"),"unavailable")))</f>
        <v/>
      </c>
      <c r="AZ247">
        <f>IF(AND(AH!$M$5&lt;&gt;"Snapshot",ISNUMBER(K247),N(K247)&gt;0),"Bloomberg",IF(AND(AH!$M$5&lt;&gt;"Bloomberg",ISNUMBER(G247)),"Snapshot","Unavailable"))</f>
        <v/>
      </c>
      <c r="BA247">
        <f>IF(AZ247="Bloomberg",M247,H247)</f>
        <v/>
      </c>
      <c r="BB247">
        <f>1</f>
        <v/>
      </c>
    </row>
    <row r="248">
      <c r="A248" s="31" t="inlineStr">
        <is>
          <t>6667</t>
        </is>
      </c>
      <c r="B248" s="15" t="inlineStr">
        <is>
          <t>MEGA GENOMICS</t>
        </is>
      </c>
      <c r="C248" s="15" t="inlineStr">
        <is>
          <t>Healthcare</t>
        </is>
      </c>
      <c r="D248" s="15" t="inlineStr">
        <is>
          <t>CXO / pharma services</t>
        </is>
      </c>
      <c r="E248" s="34" t="n">
        <v>44734</v>
      </c>
      <c r="F248" s="15" t="n">
        <v>18</v>
      </c>
      <c r="G248" s="15" t="n">
        <v>7.05</v>
      </c>
      <c r="H248" s="34" t="n">
        <v>46297</v>
      </c>
      <c r="I248" s="31" t="n"/>
      <c r="J248" s="15" t="n">
        <v>0</v>
      </c>
      <c r="K248" s="15">
        <f>IF(AND(AH!$M$5="Snapshot",'IPO Live'!$M$5="Snapshot"),"",IFERROR(BDP(TEXT(VALUE($A248),"0")&amp;" HK Equity","PX_LAST"),""))</f>
        <v/>
      </c>
      <c r="L248" s="15">
        <f>IF(AND(AH!$M$5="Snapshot",'IPO Live'!$M$5="Snapshot"),"",IFERROR(BDP(TEXT(VALUE($A248),"0")&amp;" HK Equity","CHG_PCT_1D")/100,""))</f>
        <v/>
      </c>
      <c r="M248" s="15">
        <f>IF(AND(AH!$M$5="Snapshot",'IPO Live'!$M$5="Snapshot"),"",IFERROR(BDP(TEXT(VALUE($A248),"0")&amp;" HK Equity","LAST_UPDATE_DT"),""))</f>
        <v/>
      </c>
      <c r="N248" s="15">
        <f>IF(AND(AH!$M$5="Snapshot",'IPO Live'!$M$5="Snapshot"),"",IFERROR(BDP(TEXT(VALUE($A248),"0")&amp;" HK Equity","LAST_UPDATE"),""))</f>
        <v/>
      </c>
      <c r="O248" s="15">
        <f>IF('IPO Live'!$M$5="Snapshot",IF(ISNUMBER(G248),G248,"unavailable"),IF(AND(ISNUMBER(K248),N(K248)&gt;0),K248,IF('IPO Live'!$M$5="Auto",IF(ISNUMBER(G248),G248,"unavailable"),"unavailable")))</f>
        <v/>
      </c>
      <c r="P248" s="15">
        <f>IF(AND('IPO Live'!$M$5&lt;&gt;"Snapshot",ISNUMBER(K248),N(K248)&gt;0),"Bloomberg",IF(AND('IPO Live'!$M$5&lt;&gt;"Bloomberg",ISNUMBER(G248)),"Snapshot","Unavailable"))</f>
        <v/>
      </c>
      <c r="Q248" s="33">
        <f>IF(AND(P248="Bloomberg",ISNUMBER(L248)),L248,"unavailable")</f>
        <v/>
      </c>
      <c r="R248" s="15">
        <f>IF(OR('IPO Live'!$B$5="All",'IPO Live'!$B$5=C248,AND('IPO Live'!$B$5="A/H only",J248&gt;0)),1,0)</f>
        <v/>
      </c>
      <c r="S248" s="15">
        <f>IF(R248=1,COUNTIF($R$5:R248,1),"")</f>
        <v/>
      </c>
      <c r="T248">
        <f>1</f>
        <v/>
      </c>
      <c r="U248">
        <f>IF($P248="Bloomberg",$M248,$H248)</f>
        <v/>
      </c>
      <c r="AW248">
        <f>IF(AND(J248&gt;0,OR(AH!$I$5="All",AH!$I$5="A/H only",AH!$I$5=C248)),1,0)</f>
        <v/>
      </c>
      <c r="AX248">
        <f>IF(AW248=1,COUNTIF($AW$5:AW248,1),"")</f>
        <v/>
      </c>
      <c r="AY248">
        <f>IF(AH!$M$5="Snapshot",IF(ISNUMBER(G248),G248,"unavailable"),IF(AND(ISNUMBER(K248),N(K248)&gt;0),K248,IF(AH!$M$5="Auto",IF(ISNUMBER(G248),G248,"unavailable"),"unavailable")))</f>
        <v/>
      </c>
      <c r="AZ248">
        <f>IF(AND(AH!$M$5&lt;&gt;"Snapshot",ISNUMBER(K248),N(K248)&gt;0),"Bloomberg",IF(AND(AH!$M$5&lt;&gt;"Bloomberg",ISNUMBER(G248)),"Snapshot","Unavailable"))</f>
        <v/>
      </c>
      <c r="BA248">
        <f>IF(AZ248="Bloomberg",M248,H248)</f>
        <v/>
      </c>
      <c r="BB248">
        <f>1</f>
        <v/>
      </c>
    </row>
    <row r="249">
      <c r="A249" s="31" t="inlineStr">
        <is>
          <t>2325</t>
        </is>
      </c>
      <c r="B249" s="15" t="inlineStr">
        <is>
          <t>YUNKANG GROUP</t>
        </is>
      </c>
      <c r="C249" s="15" t="inlineStr">
        <is>
          <t>Healthcare</t>
        </is>
      </c>
      <c r="D249" s="15" t="inlineStr">
        <is>
          <t>CXO / pharma services</t>
        </is>
      </c>
      <c r="E249" s="34" t="n">
        <v>44699</v>
      </c>
      <c r="F249" s="15" t="n">
        <v>7.89</v>
      </c>
      <c r="G249" s="15" t="n">
        <v>0.465</v>
      </c>
      <c r="H249" s="34" t="n">
        <v>46297</v>
      </c>
      <c r="I249" s="31" t="n"/>
      <c r="J249" s="15" t="n">
        <v>0</v>
      </c>
      <c r="K249" s="15">
        <f>IF(AND(AH!$M$5="Snapshot",'IPO Live'!$M$5="Snapshot"),"",IFERROR(BDP(TEXT(VALUE($A249),"0")&amp;" HK Equity","PX_LAST"),""))</f>
        <v/>
      </c>
      <c r="L249" s="15">
        <f>IF(AND(AH!$M$5="Snapshot",'IPO Live'!$M$5="Snapshot"),"",IFERROR(BDP(TEXT(VALUE($A249),"0")&amp;" HK Equity","CHG_PCT_1D")/100,""))</f>
        <v/>
      </c>
      <c r="M249" s="15">
        <f>IF(AND(AH!$M$5="Snapshot",'IPO Live'!$M$5="Snapshot"),"",IFERROR(BDP(TEXT(VALUE($A249),"0")&amp;" HK Equity","LAST_UPDATE_DT"),""))</f>
        <v/>
      </c>
      <c r="N249" s="15">
        <f>IF(AND(AH!$M$5="Snapshot",'IPO Live'!$M$5="Snapshot"),"",IFERROR(BDP(TEXT(VALUE($A249),"0")&amp;" HK Equity","LAST_UPDATE"),""))</f>
        <v/>
      </c>
      <c r="O249" s="15">
        <f>IF('IPO Live'!$M$5="Snapshot",IF(ISNUMBER(G249),G249,"unavailable"),IF(AND(ISNUMBER(K249),N(K249)&gt;0),K249,IF('IPO Live'!$M$5="Auto",IF(ISNUMBER(G249),G249,"unavailable"),"unavailable")))</f>
        <v/>
      </c>
      <c r="P249" s="15">
        <f>IF(AND('IPO Live'!$M$5&lt;&gt;"Snapshot",ISNUMBER(K249),N(K249)&gt;0),"Bloomberg",IF(AND('IPO Live'!$M$5&lt;&gt;"Bloomberg",ISNUMBER(G249)),"Snapshot","Unavailable"))</f>
        <v/>
      </c>
      <c r="Q249" s="33">
        <f>IF(AND(P249="Bloomberg",ISNUMBER(L249)),L249,"unavailable")</f>
        <v/>
      </c>
      <c r="R249" s="15">
        <f>IF(OR('IPO Live'!$B$5="All",'IPO Live'!$B$5=C249,AND('IPO Live'!$B$5="A/H only",J249&gt;0)),1,0)</f>
        <v/>
      </c>
      <c r="S249" s="15">
        <f>IF(R249=1,COUNTIF($R$5:R249,1),"")</f>
        <v/>
      </c>
      <c r="T249">
        <f>1</f>
        <v/>
      </c>
      <c r="U249">
        <f>IF($P249="Bloomberg",$M249,$H249)</f>
        <v/>
      </c>
      <c r="AW249">
        <f>IF(AND(J249&gt;0,OR(AH!$I$5="All",AH!$I$5="A/H only",AH!$I$5=C249)),1,0)</f>
        <v/>
      </c>
      <c r="AX249">
        <f>IF(AW249=1,COUNTIF($AW$5:AW249,1),"")</f>
        <v/>
      </c>
      <c r="AY249">
        <f>IF(AH!$M$5="Snapshot",IF(ISNUMBER(G249),G249,"unavailable"),IF(AND(ISNUMBER(K249),N(K249)&gt;0),K249,IF(AH!$M$5="Auto",IF(ISNUMBER(G249),G249,"unavailable"),"unavailable")))</f>
        <v/>
      </c>
      <c r="AZ249">
        <f>IF(AND(AH!$M$5&lt;&gt;"Snapshot",ISNUMBER(K249),N(K249)&gt;0),"Bloomberg",IF(AND(AH!$M$5&lt;&gt;"Bloomberg",ISNUMBER(G249)),"Snapshot","Unavailable"))</f>
        <v/>
      </c>
      <c r="BA249">
        <f>IF(AZ249="Bloomberg",M249,H249)</f>
        <v/>
      </c>
      <c r="BB249">
        <f>1</f>
        <v/>
      </c>
    </row>
    <row r="250">
      <c r="A250" s="31" t="inlineStr">
        <is>
          <t>2179</t>
        </is>
      </c>
      <c r="B250" s="15" t="inlineStr">
        <is>
          <t>RECBIO-B</t>
        </is>
      </c>
      <c r="C250" s="15" t="inlineStr">
        <is>
          <t>Healthcare</t>
        </is>
      </c>
      <c r="D250" s="15" t="inlineStr">
        <is>
          <t>Biotech pre-revenue (18A)</t>
        </is>
      </c>
      <c r="E250" s="34" t="n">
        <v>44651</v>
      </c>
      <c r="F250" s="15" t="n">
        <v>24.8</v>
      </c>
      <c r="G250" s="15" t="n">
        <v>4.405</v>
      </c>
      <c r="H250" s="34" t="n">
        <v>46297</v>
      </c>
      <c r="I250" s="31" t="n"/>
      <c r="J250" s="15" t="n">
        <v>0</v>
      </c>
      <c r="K250" s="15">
        <f>IF(AND(AH!$M$5="Snapshot",'IPO Live'!$M$5="Snapshot"),"",IFERROR(BDP(TEXT(VALUE($A250),"0")&amp;" HK Equity","PX_LAST"),""))</f>
        <v/>
      </c>
      <c r="L250" s="15">
        <f>IF(AND(AH!$M$5="Snapshot",'IPO Live'!$M$5="Snapshot"),"",IFERROR(BDP(TEXT(VALUE($A250),"0")&amp;" HK Equity","CHG_PCT_1D")/100,""))</f>
        <v/>
      </c>
      <c r="M250" s="15">
        <f>IF(AND(AH!$M$5="Snapshot",'IPO Live'!$M$5="Snapshot"),"",IFERROR(BDP(TEXT(VALUE($A250),"0")&amp;" HK Equity","LAST_UPDATE_DT"),""))</f>
        <v/>
      </c>
      <c r="N250" s="15">
        <f>IF(AND(AH!$M$5="Snapshot",'IPO Live'!$M$5="Snapshot"),"",IFERROR(BDP(TEXT(VALUE($A250),"0")&amp;" HK Equity","LAST_UPDATE"),""))</f>
        <v/>
      </c>
      <c r="O250" s="15">
        <f>IF('IPO Live'!$M$5="Snapshot",IF(ISNUMBER(G250),G250,"unavailable"),IF(AND(ISNUMBER(K250),N(K250)&gt;0),K250,IF('IPO Live'!$M$5="Auto",IF(ISNUMBER(G250),G250,"unavailable"),"unavailable")))</f>
        <v/>
      </c>
      <c r="P250" s="15">
        <f>IF(AND('IPO Live'!$M$5&lt;&gt;"Snapshot",ISNUMBER(K250),N(K250)&gt;0),"Bloomberg",IF(AND('IPO Live'!$M$5&lt;&gt;"Bloomberg",ISNUMBER(G250)),"Snapshot","Unavailable"))</f>
        <v/>
      </c>
      <c r="Q250" s="33">
        <f>IF(AND(P250="Bloomberg",ISNUMBER(L250)),L250,"unavailable")</f>
        <v/>
      </c>
      <c r="R250" s="15">
        <f>IF(OR('IPO Live'!$B$5="All",'IPO Live'!$B$5=C250,AND('IPO Live'!$B$5="A/H only",J250&gt;0)),1,0)</f>
        <v/>
      </c>
      <c r="S250" s="15">
        <f>IF(R250=1,COUNTIF($R$5:R250,1),"")</f>
        <v/>
      </c>
      <c r="T250">
        <f>1</f>
        <v/>
      </c>
      <c r="U250">
        <f>IF($P250="Bloomberg",$M250,$H250)</f>
        <v/>
      </c>
      <c r="AW250">
        <f>IF(AND(J250&gt;0,OR(AH!$I$5="All",AH!$I$5="A/H only",AH!$I$5=C250)),1,0)</f>
        <v/>
      </c>
      <c r="AX250">
        <f>IF(AW250=1,COUNTIF($AW$5:AW250,1),"")</f>
        <v/>
      </c>
      <c r="AY250">
        <f>IF(AH!$M$5="Snapshot",IF(ISNUMBER(G250),G250,"unavailable"),IF(AND(ISNUMBER(K250),N(K250)&gt;0),K250,IF(AH!$M$5="Auto",IF(ISNUMBER(G250),G250,"unavailable"),"unavailable")))</f>
        <v/>
      </c>
      <c r="AZ250">
        <f>IF(AND(AH!$M$5&lt;&gt;"Snapshot",ISNUMBER(K250),N(K250)&gt;0),"Bloomberg",IF(AND(AH!$M$5&lt;&gt;"Bloomberg",ISNUMBER(G250)),"Snapshot","Unavailable"))</f>
        <v/>
      </c>
      <c r="BA250">
        <f>IF(AZ250="Bloomberg",M250,H250)</f>
        <v/>
      </c>
      <c r="BB250">
        <f>1</f>
        <v/>
      </c>
    </row>
    <row r="251">
      <c r="A251" s="31" t="inlineStr">
        <is>
          <t>6639</t>
        </is>
      </c>
      <c r="B251" s="15" t="inlineStr">
        <is>
          <t>ARRAIL GROUP</t>
        </is>
      </c>
      <c r="C251" s="15" t="inlineStr">
        <is>
          <t>Healthcare</t>
        </is>
      </c>
      <c r="D251" s="15" t="inlineStr">
        <is>
          <t>Hospitals / clinics</t>
        </is>
      </c>
      <c r="E251" s="34" t="n">
        <v>44642</v>
      </c>
      <c r="F251" s="15" t="n">
        <v>14.62</v>
      </c>
      <c r="G251" s="15" t="n">
        <v>1.83</v>
      </c>
      <c r="H251" s="34" t="n">
        <v>45989</v>
      </c>
      <c r="I251" s="31" t="n"/>
      <c r="J251" s="15" t="n">
        <v>0</v>
      </c>
      <c r="K251" s="15">
        <f>IF(AND(AH!$M$5="Snapshot",'IPO Live'!$M$5="Snapshot"),"",IFERROR(BDP(TEXT(VALUE($A251),"0")&amp;" HK Equity","PX_LAST"),""))</f>
        <v/>
      </c>
      <c r="L251" s="15">
        <f>IF(AND(AH!$M$5="Snapshot",'IPO Live'!$M$5="Snapshot"),"",IFERROR(BDP(TEXT(VALUE($A251),"0")&amp;" HK Equity","CHG_PCT_1D")/100,""))</f>
        <v/>
      </c>
      <c r="M251" s="15">
        <f>IF(AND(AH!$M$5="Snapshot",'IPO Live'!$M$5="Snapshot"),"",IFERROR(BDP(TEXT(VALUE($A251),"0")&amp;" HK Equity","LAST_UPDATE_DT"),""))</f>
        <v/>
      </c>
      <c r="N251" s="15">
        <f>IF(AND(AH!$M$5="Snapshot",'IPO Live'!$M$5="Snapshot"),"",IFERROR(BDP(TEXT(VALUE($A251),"0")&amp;" HK Equity","LAST_UPDATE"),""))</f>
        <v/>
      </c>
      <c r="O251" s="15">
        <f>IF('IPO Live'!$M$5="Snapshot",IF(ISNUMBER(G251),G251,"unavailable"),IF(AND(ISNUMBER(K251),N(K251)&gt;0),K251,IF('IPO Live'!$M$5="Auto",IF(ISNUMBER(G251),G251,"unavailable"),"unavailable")))</f>
        <v/>
      </c>
      <c r="P251" s="15">
        <f>IF(AND('IPO Live'!$M$5&lt;&gt;"Snapshot",ISNUMBER(K251),N(K251)&gt;0),"Bloomberg",IF(AND('IPO Live'!$M$5&lt;&gt;"Bloomberg",ISNUMBER(G251)),"Snapshot","Unavailable"))</f>
        <v/>
      </c>
      <c r="Q251" s="33">
        <f>IF(AND(P251="Bloomberg",ISNUMBER(L251)),L251,"unavailable")</f>
        <v/>
      </c>
      <c r="R251" s="15">
        <f>IF(OR('IPO Live'!$B$5="All",'IPO Live'!$B$5=C251,AND('IPO Live'!$B$5="A/H only",J251&gt;0)),1,0)</f>
        <v/>
      </c>
      <c r="S251" s="15">
        <f>IF(R251=1,COUNTIF($R$5:R251,1),"")</f>
        <v/>
      </c>
      <c r="T251">
        <f>1</f>
        <v/>
      </c>
      <c r="U251">
        <f>IF($P251="Bloomberg",$M251,$H251)</f>
        <v/>
      </c>
      <c r="AW251">
        <f>IF(AND(J251&gt;0,OR(AH!$I$5="All",AH!$I$5="A/H only",AH!$I$5=C251)),1,0)</f>
        <v/>
      </c>
      <c r="AX251">
        <f>IF(AW251=1,COUNTIF($AW$5:AW251,1),"")</f>
        <v/>
      </c>
      <c r="AY251">
        <f>IF(AH!$M$5="Snapshot",IF(ISNUMBER(G251),G251,"unavailable"),IF(AND(ISNUMBER(K251),N(K251)&gt;0),K251,IF(AH!$M$5="Auto",IF(ISNUMBER(G251),G251,"unavailable"),"unavailable")))</f>
        <v/>
      </c>
      <c r="AZ251">
        <f>IF(AND(AH!$M$5&lt;&gt;"Snapshot",ISNUMBER(K251),N(K251)&gt;0),"Bloomberg",IF(AND(AH!$M$5&lt;&gt;"Bloomberg",ISNUMBER(G251)),"Snapshot","Unavailable"))</f>
        <v/>
      </c>
      <c r="BA251">
        <f>IF(AZ251="Bloomberg",M251,H251)</f>
        <v/>
      </c>
      <c r="BB251">
        <f>1</f>
        <v/>
      </c>
    </row>
    <row r="252">
      <c r="A252" s="31" t="inlineStr">
        <is>
          <t>2157</t>
        </is>
      </c>
      <c r="B252" s="15" t="inlineStr">
        <is>
          <t>LEPU BIO-B</t>
        </is>
      </c>
      <c r="C252" s="15" t="inlineStr">
        <is>
          <t>Healthcare</t>
        </is>
      </c>
      <c r="D252" s="15" t="inlineStr">
        <is>
          <t>Biotech pre-revenue (18A)</t>
        </is>
      </c>
      <c r="E252" s="34" t="n">
        <v>44615</v>
      </c>
      <c r="F252" s="15" t="n">
        <v>7.13</v>
      </c>
      <c r="G252" s="15" t="n">
        <v>4.045</v>
      </c>
      <c r="H252" s="34" t="n">
        <v>46297</v>
      </c>
      <c r="I252" s="31" t="n"/>
      <c r="J252" s="15" t="n">
        <v>0</v>
      </c>
      <c r="K252" s="15">
        <f>IF(AND(AH!$M$5="Snapshot",'IPO Live'!$M$5="Snapshot"),"",IFERROR(BDP(TEXT(VALUE($A252),"0")&amp;" HK Equity","PX_LAST"),""))</f>
        <v/>
      </c>
      <c r="L252" s="15">
        <f>IF(AND(AH!$M$5="Snapshot",'IPO Live'!$M$5="Snapshot"),"",IFERROR(BDP(TEXT(VALUE($A252),"0")&amp;" HK Equity","CHG_PCT_1D")/100,""))</f>
        <v/>
      </c>
      <c r="M252" s="15">
        <f>IF(AND(AH!$M$5="Snapshot",'IPO Live'!$M$5="Snapshot"),"",IFERROR(BDP(TEXT(VALUE($A252),"0")&amp;" HK Equity","LAST_UPDATE_DT"),""))</f>
        <v/>
      </c>
      <c r="N252" s="15">
        <f>IF(AND(AH!$M$5="Snapshot",'IPO Live'!$M$5="Snapshot"),"",IFERROR(BDP(TEXT(VALUE($A252),"0")&amp;" HK Equity","LAST_UPDATE"),""))</f>
        <v/>
      </c>
      <c r="O252" s="15">
        <f>IF('IPO Live'!$M$5="Snapshot",IF(ISNUMBER(G252),G252,"unavailable"),IF(AND(ISNUMBER(K252),N(K252)&gt;0),K252,IF('IPO Live'!$M$5="Auto",IF(ISNUMBER(G252),G252,"unavailable"),"unavailable")))</f>
        <v/>
      </c>
      <c r="P252" s="15">
        <f>IF(AND('IPO Live'!$M$5&lt;&gt;"Snapshot",ISNUMBER(K252),N(K252)&gt;0),"Bloomberg",IF(AND('IPO Live'!$M$5&lt;&gt;"Bloomberg",ISNUMBER(G252)),"Snapshot","Unavailable"))</f>
        <v/>
      </c>
      <c r="Q252" s="33">
        <f>IF(AND(P252="Bloomberg",ISNUMBER(L252)),L252,"unavailable")</f>
        <v/>
      </c>
      <c r="R252" s="15">
        <f>IF(OR('IPO Live'!$B$5="All",'IPO Live'!$B$5=C252,AND('IPO Live'!$B$5="A/H only",J252&gt;0)),1,0)</f>
        <v/>
      </c>
      <c r="S252" s="15">
        <f>IF(R252=1,COUNTIF($R$5:R252,1),"")</f>
        <v/>
      </c>
      <c r="T252">
        <f>1</f>
        <v/>
      </c>
      <c r="U252">
        <f>IF($P252="Bloomberg",$M252,$H252)</f>
        <v/>
      </c>
      <c r="AW252">
        <f>IF(AND(J252&gt;0,OR(AH!$I$5="All",AH!$I$5="A/H only",AH!$I$5=C252)),1,0)</f>
        <v/>
      </c>
      <c r="AX252">
        <f>IF(AW252=1,COUNTIF($AW$5:AW252,1),"")</f>
        <v/>
      </c>
      <c r="AY252">
        <f>IF(AH!$M$5="Snapshot",IF(ISNUMBER(G252),G252,"unavailable"),IF(AND(ISNUMBER(K252),N(K252)&gt;0),K252,IF(AH!$M$5="Auto",IF(ISNUMBER(G252),G252,"unavailable"),"unavailable")))</f>
        <v/>
      </c>
      <c r="AZ252">
        <f>IF(AND(AH!$M$5&lt;&gt;"Snapshot",ISNUMBER(K252),N(K252)&gt;0),"Bloomberg",IF(AND(AH!$M$5&lt;&gt;"Bloomberg",ISNUMBER(G252)),"Snapshot","Unavailable"))</f>
        <v/>
      </c>
      <c r="BA252">
        <f>IF(AZ252="Bloomberg",M252,H252)</f>
        <v/>
      </c>
      <c r="BB252">
        <f>1</f>
        <v/>
      </c>
    </row>
    <row r="253">
      <c r="A253" s="31" t="inlineStr">
        <is>
          <t>1406</t>
        </is>
      </c>
      <c r="B253" s="15" t="inlineStr">
        <is>
          <t>CLARITY MEDICAL</t>
        </is>
      </c>
      <c r="C253" s="15" t="inlineStr">
        <is>
          <t>Healthcare</t>
        </is>
      </c>
      <c r="D253" s="15" t="inlineStr">
        <is>
          <t>Hospitals / clinics</t>
        </is>
      </c>
      <c r="E253" s="34" t="n">
        <v>44610</v>
      </c>
      <c r="F253" s="15" t="n">
        <v>1.6</v>
      </c>
      <c r="G253" s="15" t="n">
        <v>0.355</v>
      </c>
      <c r="H253" s="34" t="n">
        <v>45761</v>
      </c>
      <c r="I253" s="31" t="n"/>
      <c r="J253" s="15" t="n">
        <v>0</v>
      </c>
      <c r="K253" s="15">
        <f>IF(AND(AH!$M$5="Snapshot",'IPO Live'!$M$5="Snapshot"),"",IFERROR(BDP(TEXT(VALUE($A253),"0")&amp;" HK Equity","PX_LAST"),""))</f>
        <v/>
      </c>
      <c r="L253" s="15">
        <f>IF(AND(AH!$M$5="Snapshot",'IPO Live'!$M$5="Snapshot"),"",IFERROR(BDP(TEXT(VALUE($A253),"0")&amp;" HK Equity","CHG_PCT_1D")/100,""))</f>
        <v/>
      </c>
      <c r="M253" s="15">
        <f>IF(AND(AH!$M$5="Snapshot",'IPO Live'!$M$5="Snapshot"),"",IFERROR(BDP(TEXT(VALUE($A253),"0")&amp;" HK Equity","LAST_UPDATE_DT"),""))</f>
        <v/>
      </c>
      <c r="N253" s="15">
        <f>IF(AND(AH!$M$5="Snapshot",'IPO Live'!$M$5="Snapshot"),"",IFERROR(BDP(TEXT(VALUE($A253),"0")&amp;" HK Equity","LAST_UPDATE"),""))</f>
        <v/>
      </c>
      <c r="O253" s="15">
        <f>IF('IPO Live'!$M$5="Snapshot",IF(ISNUMBER(G253),G253,"unavailable"),IF(AND(ISNUMBER(K253),N(K253)&gt;0),K253,IF('IPO Live'!$M$5="Auto",IF(ISNUMBER(G253),G253,"unavailable"),"unavailable")))</f>
        <v/>
      </c>
      <c r="P253" s="15">
        <f>IF(AND('IPO Live'!$M$5&lt;&gt;"Snapshot",ISNUMBER(K253),N(K253)&gt;0),"Bloomberg",IF(AND('IPO Live'!$M$5&lt;&gt;"Bloomberg",ISNUMBER(G253)),"Snapshot","Unavailable"))</f>
        <v/>
      </c>
      <c r="Q253" s="33">
        <f>IF(AND(P253="Bloomberg",ISNUMBER(L253)),L253,"unavailable")</f>
        <v/>
      </c>
      <c r="R253" s="15">
        <f>IF(OR('IPO Live'!$B$5="All",'IPO Live'!$B$5=C253,AND('IPO Live'!$B$5="A/H only",J253&gt;0)),1,0)</f>
        <v/>
      </c>
      <c r="S253" s="15">
        <f>IF(R253=1,COUNTIF($R$5:R253,1),"")</f>
        <v/>
      </c>
      <c r="T253">
        <f>1</f>
        <v/>
      </c>
      <c r="U253">
        <f>IF($P253="Bloomberg",$M253,$H253)</f>
        <v/>
      </c>
      <c r="AW253">
        <f>IF(AND(J253&gt;0,OR(AH!$I$5="All",AH!$I$5="A/H only",AH!$I$5=C253)),1,0)</f>
        <v/>
      </c>
      <c r="AX253">
        <f>IF(AW253=1,COUNTIF($AW$5:AW253,1),"")</f>
        <v/>
      </c>
      <c r="AY253">
        <f>IF(AH!$M$5="Snapshot",IF(ISNUMBER(G253),G253,"unavailable"),IF(AND(ISNUMBER(K253),N(K253)&gt;0),K253,IF(AH!$M$5="Auto",IF(ISNUMBER(G253),G253,"unavailable"),"unavailable")))</f>
        <v/>
      </c>
      <c r="AZ253">
        <f>IF(AND(AH!$M$5&lt;&gt;"Snapshot",ISNUMBER(K253),N(K253)&gt;0),"Bloomberg",IF(AND(AH!$M$5&lt;&gt;"Bloomberg",ISNUMBER(G253)),"Snapshot","Unavailable"))</f>
        <v/>
      </c>
      <c r="BA253">
        <f>IF(AZ253="Bloomberg",M253,H253)</f>
        <v/>
      </c>
      <c r="BB253">
        <f>1</f>
        <v/>
      </c>
    </row>
    <row r="254">
      <c r="A254" s="31" t="inlineStr">
        <is>
          <t>2257</t>
        </is>
      </c>
      <c r="B254" s="15" t="inlineStr">
        <is>
          <t>SIRNAOMICS-B</t>
        </is>
      </c>
      <c r="C254" s="15" t="inlineStr">
        <is>
          <t>Healthcare</t>
        </is>
      </c>
      <c r="D254" s="15" t="inlineStr">
        <is>
          <t>Biotech pre-revenue (18A)</t>
        </is>
      </c>
      <c r="E254" s="34" t="n">
        <v>44560</v>
      </c>
      <c r="F254" s="15" t="n">
        <v>65.90000000000001</v>
      </c>
      <c r="G254" s="15" t="n">
        <v>3.745</v>
      </c>
      <c r="H254" s="34" t="n">
        <v>46297</v>
      </c>
      <c r="I254" s="31" t="n"/>
      <c r="J254" s="15" t="n">
        <v>0</v>
      </c>
      <c r="K254" s="15">
        <f>IF(AND(AH!$M$5="Snapshot",'IPO Live'!$M$5="Snapshot"),"",IFERROR(BDP(TEXT(VALUE($A254),"0")&amp;" HK Equity","PX_LAST"),""))</f>
        <v/>
      </c>
      <c r="L254" s="15">
        <f>IF(AND(AH!$M$5="Snapshot",'IPO Live'!$M$5="Snapshot"),"",IFERROR(BDP(TEXT(VALUE($A254),"0")&amp;" HK Equity","CHG_PCT_1D")/100,""))</f>
        <v/>
      </c>
      <c r="M254" s="15">
        <f>IF(AND(AH!$M$5="Snapshot",'IPO Live'!$M$5="Snapshot"),"",IFERROR(BDP(TEXT(VALUE($A254),"0")&amp;" HK Equity","LAST_UPDATE_DT"),""))</f>
        <v/>
      </c>
      <c r="N254" s="15">
        <f>IF(AND(AH!$M$5="Snapshot",'IPO Live'!$M$5="Snapshot"),"",IFERROR(BDP(TEXT(VALUE($A254),"0")&amp;" HK Equity","LAST_UPDATE"),""))</f>
        <v/>
      </c>
      <c r="O254" s="15">
        <f>IF('IPO Live'!$M$5="Snapshot",IF(ISNUMBER(G254),G254,"unavailable"),IF(AND(ISNUMBER(K254),N(K254)&gt;0),K254,IF('IPO Live'!$M$5="Auto",IF(ISNUMBER(G254),G254,"unavailable"),"unavailable")))</f>
        <v/>
      </c>
      <c r="P254" s="15">
        <f>IF(AND('IPO Live'!$M$5&lt;&gt;"Snapshot",ISNUMBER(K254),N(K254)&gt;0),"Bloomberg",IF(AND('IPO Live'!$M$5&lt;&gt;"Bloomberg",ISNUMBER(G254)),"Snapshot","Unavailable"))</f>
        <v/>
      </c>
      <c r="Q254" s="33">
        <f>IF(AND(P254="Bloomberg",ISNUMBER(L254)),L254,"unavailable")</f>
        <v/>
      </c>
      <c r="R254" s="15">
        <f>IF(OR('IPO Live'!$B$5="All",'IPO Live'!$B$5=C254,AND('IPO Live'!$B$5="A/H only",J254&gt;0)),1,0)</f>
        <v/>
      </c>
      <c r="S254" s="15">
        <f>IF(R254=1,COUNTIF($R$5:R254,1),"")</f>
        <v/>
      </c>
      <c r="T254">
        <f>1</f>
        <v/>
      </c>
      <c r="U254">
        <f>IF($P254="Bloomberg",$M254,$H254)</f>
        <v/>
      </c>
      <c r="AW254">
        <f>IF(AND(J254&gt;0,OR(AH!$I$5="All",AH!$I$5="A/H only",AH!$I$5=C254)),1,0)</f>
        <v/>
      </c>
      <c r="AX254">
        <f>IF(AW254=1,COUNTIF($AW$5:AW254,1),"")</f>
        <v/>
      </c>
      <c r="AY254">
        <f>IF(AH!$M$5="Snapshot",IF(ISNUMBER(G254),G254,"unavailable"),IF(AND(ISNUMBER(K254),N(K254)&gt;0),K254,IF(AH!$M$5="Auto",IF(ISNUMBER(G254),G254,"unavailable"),"unavailable")))</f>
        <v/>
      </c>
      <c r="AZ254">
        <f>IF(AND(AH!$M$5&lt;&gt;"Snapshot",ISNUMBER(K254),N(K254)&gt;0),"Bloomberg",IF(AND(AH!$M$5&lt;&gt;"Bloomberg",ISNUMBER(G254)),"Snapshot","Unavailable"))</f>
        <v/>
      </c>
      <c r="BA254">
        <f>IF(AZ254="Bloomberg",M254,H254)</f>
        <v/>
      </c>
      <c r="BB254">
        <f>1</f>
        <v/>
      </c>
    </row>
    <row r="255">
      <c r="A255" s="31" t="inlineStr">
        <is>
          <t>2185</t>
        </is>
      </c>
      <c r="B255" s="15" t="inlineStr">
        <is>
          <t>BIOHEART-B</t>
        </is>
      </c>
      <c r="C255" s="15" t="inlineStr">
        <is>
          <t>Healthcare</t>
        </is>
      </c>
      <c r="D255" s="15" t="inlineStr">
        <is>
          <t>Medical devices</t>
        </is>
      </c>
      <c r="E255" s="34" t="n">
        <v>44553</v>
      </c>
      <c r="F255" s="15" t="n">
        <v>21.25</v>
      </c>
      <c r="G255" s="15" t="n">
        <v>1.43</v>
      </c>
      <c r="H255" s="34" t="n">
        <v>46297</v>
      </c>
      <c r="I255" s="31" t="n"/>
      <c r="J255" s="15" t="n">
        <v>0</v>
      </c>
      <c r="K255" s="15">
        <f>IF(AND(AH!$M$5="Snapshot",'IPO Live'!$M$5="Snapshot"),"",IFERROR(BDP(TEXT(VALUE($A255),"0")&amp;" HK Equity","PX_LAST"),""))</f>
        <v/>
      </c>
      <c r="L255" s="15">
        <f>IF(AND(AH!$M$5="Snapshot",'IPO Live'!$M$5="Snapshot"),"",IFERROR(BDP(TEXT(VALUE($A255),"0")&amp;" HK Equity","CHG_PCT_1D")/100,""))</f>
        <v/>
      </c>
      <c r="M255" s="15">
        <f>IF(AND(AH!$M$5="Snapshot",'IPO Live'!$M$5="Snapshot"),"",IFERROR(BDP(TEXT(VALUE($A255),"0")&amp;" HK Equity","LAST_UPDATE_DT"),""))</f>
        <v/>
      </c>
      <c r="N255" s="15">
        <f>IF(AND(AH!$M$5="Snapshot",'IPO Live'!$M$5="Snapshot"),"",IFERROR(BDP(TEXT(VALUE($A255),"0")&amp;" HK Equity","LAST_UPDATE"),""))</f>
        <v/>
      </c>
      <c r="O255" s="15">
        <f>IF('IPO Live'!$M$5="Snapshot",IF(ISNUMBER(G255),G255,"unavailable"),IF(AND(ISNUMBER(K255),N(K255)&gt;0),K255,IF('IPO Live'!$M$5="Auto",IF(ISNUMBER(G255),G255,"unavailable"),"unavailable")))</f>
        <v/>
      </c>
      <c r="P255" s="15">
        <f>IF(AND('IPO Live'!$M$5&lt;&gt;"Snapshot",ISNUMBER(K255),N(K255)&gt;0),"Bloomberg",IF(AND('IPO Live'!$M$5&lt;&gt;"Bloomberg",ISNUMBER(G255)),"Snapshot","Unavailable"))</f>
        <v/>
      </c>
      <c r="Q255" s="33">
        <f>IF(AND(P255="Bloomberg",ISNUMBER(L255)),L255,"unavailable")</f>
        <v/>
      </c>
      <c r="R255" s="15">
        <f>IF(OR('IPO Live'!$B$5="All",'IPO Live'!$B$5=C255,AND('IPO Live'!$B$5="A/H only",J255&gt;0)),1,0)</f>
        <v/>
      </c>
      <c r="S255" s="15">
        <f>IF(R255=1,COUNTIF($R$5:R255,1),"")</f>
        <v/>
      </c>
      <c r="T255">
        <f>1</f>
        <v/>
      </c>
      <c r="U255">
        <f>IF($P255="Bloomberg",$M255,$H255)</f>
        <v/>
      </c>
      <c r="AW255">
        <f>IF(AND(J255&gt;0,OR(AH!$I$5="All",AH!$I$5="A/H only",AH!$I$5=C255)),1,0)</f>
        <v/>
      </c>
      <c r="AX255">
        <f>IF(AW255=1,COUNTIF($AW$5:AW255,1),"")</f>
        <v/>
      </c>
      <c r="AY255">
        <f>IF(AH!$M$5="Snapshot",IF(ISNUMBER(G255),G255,"unavailable"),IF(AND(ISNUMBER(K255),N(K255)&gt;0),K255,IF(AH!$M$5="Auto",IF(ISNUMBER(G255),G255,"unavailable"),"unavailable")))</f>
        <v/>
      </c>
      <c r="AZ255">
        <f>IF(AND(AH!$M$5&lt;&gt;"Snapshot",ISNUMBER(K255),N(K255)&gt;0),"Bloomberg",IF(AND(AH!$M$5&lt;&gt;"Bloomberg",ISNUMBER(G255)),"Snapshot","Unavailable"))</f>
        <v/>
      </c>
      <c r="BA255">
        <f>IF(AZ255="Bloomberg",M255,H255)</f>
        <v/>
      </c>
      <c r="BB255">
        <f>1</f>
        <v/>
      </c>
    </row>
    <row r="256">
      <c r="A256" s="31" t="inlineStr">
        <is>
          <t>2276</t>
        </is>
      </c>
      <c r="B256" s="15" t="inlineStr">
        <is>
          <t>CONANT OPTICAL</t>
        </is>
      </c>
      <c r="C256" s="15" t="inlineStr">
        <is>
          <t>Healthcare</t>
        </is>
      </c>
      <c r="D256" s="15" t="inlineStr">
        <is>
          <t>Medical devices</t>
        </is>
      </c>
      <c r="E256" s="34" t="n">
        <v>44546</v>
      </c>
      <c r="F256" s="15" t="n">
        <v>4.46</v>
      </c>
      <c r="G256" s="15" t="n">
        <v>35.64</v>
      </c>
      <c r="H256" s="34" t="n">
        <v>46297</v>
      </c>
      <c r="I256" s="31" t="n"/>
      <c r="J256" s="15" t="n">
        <v>0</v>
      </c>
      <c r="K256" s="15">
        <f>IF(AND(AH!$M$5="Snapshot",'IPO Live'!$M$5="Snapshot"),"",IFERROR(BDP(TEXT(VALUE($A256),"0")&amp;" HK Equity","PX_LAST"),""))</f>
        <v/>
      </c>
      <c r="L256" s="15">
        <f>IF(AND(AH!$M$5="Snapshot",'IPO Live'!$M$5="Snapshot"),"",IFERROR(BDP(TEXT(VALUE($A256),"0")&amp;" HK Equity","CHG_PCT_1D")/100,""))</f>
        <v/>
      </c>
      <c r="M256" s="15">
        <f>IF(AND(AH!$M$5="Snapshot",'IPO Live'!$M$5="Snapshot"),"",IFERROR(BDP(TEXT(VALUE($A256),"0")&amp;" HK Equity","LAST_UPDATE_DT"),""))</f>
        <v/>
      </c>
      <c r="N256" s="15">
        <f>IF(AND(AH!$M$5="Snapshot",'IPO Live'!$M$5="Snapshot"),"",IFERROR(BDP(TEXT(VALUE($A256),"0")&amp;" HK Equity","LAST_UPDATE"),""))</f>
        <v/>
      </c>
      <c r="O256" s="15">
        <f>IF('IPO Live'!$M$5="Snapshot",IF(ISNUMBER(G256),G256,"unavailable"),IF(AND(ISNUMBER(K256),N(K256)&gt;0),K256,IF('IPO Live'!$M$5="Auto",IF(ISNUMBER(G256),G256,"unavailable"),"unavailable")))</f>
        <v/>
      </c>
      <c r="P256" s="15">
        <f>IF(AND('IPO Live'!$M$5&lt;&gt;"Snapshot",ISNUMBER(K256),N(K256)&gt;0),"Bloomberg",IF(AND('IPO Live'!$M$5&lt;&gt;"Bloomberg",ISNUMBER(G256)),"Snapshot","Unavailable"))</f>
        <v/>
      </c>
      <c r="Q256" s="33">
        <f>IF(AND(P256="Bloomberg",ISNUMBER(L256)),L256,"unavailable")</f>
        <v/>
      </c>
      <c r="R256" s="15">
        <f>IF(OR('IPO Live'!$B$5="All",'IPO Live'!$B$5=C256,AND('IPO Live'!$B$5="A/H only",J256&gt;0)),1,0)</f>
        <v/>
      </c>
      <c r="S256" s="15">
        <f>IF(R256=1,COUNTIF($R$5:R256,1),"")</f>
        <v/>
      </c>
      <c r="T256">
        <f>1</f>
        <v/>
      </c>
      <c r="U256">
        <f>IF($P256="Bloomberg",$M256,$H256)</f>
        <v/>
      </c>
      <c r="AW256">
        <f>IF(AND(J256&gt;0,OR(AH!$I$5="All",AH!$I$5="A/H only",AH!$I$5=C256)),1,0)</f>
        <v/>
      </c>
      <c r="AX256">
        <f>IF(AW256=1,COUNTIF($AW$5:AW256,1),"")</f>
        <v/>
      </c>
      <c r="AY256">
        <f>IF(AH!$M$5="Snapshot",IF(ISNUMBER(G256),G256,"unavailable"),IF(AND(ISNUMBER(K256),N(K256)&gt;0),K256,IF(AH!$M$5="Auto",IF(ISNUMBER(G256),G256,"unavailable"),"unavailable")))</f>
        <v/>
      </c>
      <c r="AZ256">
        <f>IF(AND(AH!$M$5&lt;&gt;"Snapshot",ISNUMBER(K256),N(K256)&gt;0),"Bloomberg",IF(AND(AH!$M$5&lt;&gt;"Bloomberg",ISNUMBER(G256)),"Snapshot","Unavailable"))</f>
        <v/>
      </c>
      <c r="BA256">
        <f>IF(AZ256="Bloomberg",M256,H256)</f>
        <v/>
      </c>
      <c r="BB256">
        <f>1</f>
        <v/>
      </c>
    </row>
    <row r="257">
      <c r="A257" s="31" t="inlineStr">
        <is>
          <t>2279</t>
        </is>
      </c>
      <c r="B257" s="15" t="inlineStr">
        <is>
          <t>YONGHE MEDICAL</t>
        </is>
      </c>
      <c r="C257" s="15" t="inlineStr">
        <is>
          <t>Healthcare</t>
        </is>
      </c>
      <c r="D257" s="15" t="inlineStr">
        <is>
          <t>Hospitals / clinics</t>
        </is>
      </c>
      <c r="E257" s="34" t="n">
        <v>44543</v>
      </c>
      <c r="F257" s="15" t="n">
        <v>15.8</v>
      </c>
      <c r="G257" s="15" t="n">
        <v>2.01</v>
      </c>
      <c r="H257" s="34" t="n">
        <v>46297</v>
      </c>
      <c r="I257" s="31" t="n"/>
      <c r="J257" s="15" t="n">
        <v>0</v>
      </c>
      <c r="K257" s="15">
        <f>IF(AND(AH!$M$5="Snapshot",'IPO Live'!$M$5="Snapshot"),"",IFERROR(BDP(TEXT(VALUE($A257),"0")&amp;" HK Equity","PX_LAST"),""))</f>
        <v/>
      </c>
      <c r="L257" s="15">
        <f>IF(AND(AH!$M$5="Snapshot",'IPO Live'!$M$5="Snapshot"),"",IFERROR(BDP(TEXT(VALUE($A257),"0")&amp;" HK Equity","CHG_PCT_1D")/100,""))</f>
        <v/>
      </c>
      <c r="M257" s="15">
        <f>IF(AND(AH!$M$5="Snapshot",'IPO Live'!$M$5="Snapshot"),"",IFERROR(BDP(TEXT(VALUE($A257),"0")&amp;" HK Equity","LAST_UPDATE_DT"),""))</f>
        <v/>
      </c>
      <c r="N257" s="15">
        <f>IF(AND(AH!$M$5="Snapshot",'IPO Live'!$M$5="Snapshot"),"",IFERROR(BDP(TEXT(VALUE($A257),"0")&amp;" HK Equity","LAST_UPDATE"),""))</f>
        <v/>
      </c>
      <c r="O257" s="15">
        <f>IF('IPO Live'!$M$5="Snapshot",IF(ISNUMBER(G257),G257,"unavailable"),IF(AND(ISNUMBER(K257),N(K257)&gt;0),K257,IF('IPO Live'!$M$5="Auto",IF(ISNUMBER(G257),G257,"unavailable"),"unavailable")))</f>
        <v/>
      </c>
      <c r="P257" s="15">
        <f>IF(AND('IPO Live'!$M$5&lt;&gt;"Snapshot",ISNUMBER(K257),N(K257)&gt;0),"Bloomberg",IF(AND('IPO Live'!$M$5&lt;&gt;"Bloomberg",ISNUMBER(G257)),"Snapshot","Unavailable"))</f>
        <v/>
      </c>
      <c r="Q257" s="33">
        <f>IF(AND(P257="Bloomberg",ISNUMBER(L257)),L257,"unavailable")</f>
        <v/>
      </c>
      <c r="R257" s="15">
        <f>IF(OR('IPO Live'!$B$5="All",'IPO Live'!$B$5=C257,AND('IPO Live'!$B$5="A/H only",J257&gt;0)),1,0)</f>
        <v/>
      </c>
      <c r="S257" s="15">
        <f>IF(R257=1,COUNTIF($R$5:R257,1),"")</f>
        <v/>
      </c>
      <c r="T257">
        <f>1</f>
        <v/>
      </c>
      <c r="U257">
        <f>IF($P257="Bloomberg",$M257,$H257)</f>
        <v/>
      </c>
      <c r="AW257">
        <f>IF(AND(J257&gt;0,OR(AH!$I$5="All",AH!$I$5="A/H only",AH!$I$5=C257)),1,0)</f>
        <v/>
      </c>
      <c r="AX257">
        <f>IF(AW257=1,COUNTIF($AW$5:AW257,1),"")</f>
        <v/>
      </c>
      <c r="AY257">
        <f>IF(AH!$M$5="Snapshot",IF(ISNUMBER(G257),G257,"unavailable"),IF(AND(ISNUMBER(K257),N(K257)&gt;0),K257,IF(AH!$M$5="Auto",IF(ISNUMBER(G257),G257,"unavailable"),"unavailable")))</f>
        <v/>
      </c>
      <c r="AZ257">
        <f>IF(AND(AH!$M$5&lt;&gt;"Snapshot",ISNUMBER(K257),N(K257)&gt;0),"Bloomberg",IF(AND(AH!$M$5&lt;&gt;"Bloomberg",ISNUMBER(G257)),"Snapshot","Unavailable"))</f>
        <v/>
      </c>
      <c r="BA257">
        <f>IF(AZ257="Bloomberg",M257,H257)</f>
        <v/>
      </c>
      <c r="BB257">
        <f>1</f>
        <v/>
      </c>
    </row>
    <row r="258">
      <c r="A258" s="31" t="inlineStr">
        <is>
          <t>1228</t>
        </is>
      </c>
      <c r="B258" s="15" t="inlineStr">
        <is>
          <t>CANBRIDGE-B</t>
        </is>
      </c>
      <c r="C258" s="15" t="inlineStr">
        <is>
          <t>Healthcare</t>
        </is>
      </c>
      <c r="D258" s="15" t="inlineStr">
        <is>
          <t>Biotech pre-revenue (18A)</t>
        </is>
      </c>
      <c r="E258" s="34" t="n">
        <v>44540</v>
      </c>
      <c r="F258" s="15" t="n">
        <v>12.18</v>
      </c>
      <c r="G258" s="15" t="n">
        <v>2.05</v>
      </c>
      <c r="H258" s="34" t="n">
        <v>46297</v>
      </c>
      <c r="I258" s="31" t="n"/>
      <c r="J258" s="15" t="n">
        <v>0</v>
      </c>
      <c r="K258" s="15">
        <f>IF(AND(AH!$M$5="Snapshot",'IPO Live'!$M$5="Snapshot"),"",IFERROR(BDP(TEXT(VALUE($A258),"0")&amp;" HK Equity","PX_LAST"),""))</f>
        <v/>
      </c>
      <c r="L258" s="15">
        <f>IF(AND(AH!$M$5="Snapshot",'IPO Live'!$M$5="Snapshot"),"",IFERROR(BDP(TEXT(VALUE($A258),"0")&amp;" HK Equity","CHG_PCT_1D")/100,""))</f>
        <v/>
      </c>
      <c r="M258" s="15">
        <f>IF(AND(AH!$M$5="Snapshot",'IPO Live'!$M$5="Snapshot"),"",IFERROR(BDP(TEXT(VALUE($A258),"0")&amp;" HK Equity","LAST_UPDATE_DT"),""))</f>
        <v/>
      </c>
      <c r="N258" s="15">
        <f>IF(AND(AH!$M$5="Snapshot",'IPO Live'!$M$5="Snapshot"),"",IFERROR(BDP(TEXT(VALUE($A258),"0")&amp;" HK Equity","LAST_UPDATE"),""))</f>
        <v/>
      </c>
      <c r="O258" s="15">
        <f>IF('IPO Live'!$M$5="Snapshot",IF(ISNUMBER(G258),G258,"unavailable"),IF(AND(ISNUMBER(K258),N(K258)&gt;0),K258,IF('IPO Live'!$M$5="Auto",IF(ISNUMBER(G258),G258,"unavailable"),"unavailable")))</f>
        <v/>
      </c>
      <c r="P258" s="15">
        <f>IF(AND('IPO Live'!$M$5&lt;&gt;"Snapshot",ISNUMBER(K258),N(K258)&gt;0),"Bloomberg",IF(AND('IPO Live'!$M$5&lt;&gt;"Bloomberg",ISNUMBER(G258)),"Snapshot","Unavailable"))</f>
        <v/>
      </c>
      <c r="Q258" s="33">
        <f>IF(AND(P258="Bloomberg",ISNUMBER(L258)),L258,"unavailable")</f>
        <v/>
      </c>
      <c r="R258" s="15">
        <f>IF(OR('IPO Live'!$B$5="All",'IPO Live'!$B$5=C258,AND('IPO Live'!$B$5="A/H only",J258&gt;0)),1,0)</f>
        <v/>
      </c>
      <c r="S258" s="15">
        <f>IF(R258=1,COUNTIF($R$5:R258,1),"")</f>
        <v/>
      </c>
      <c r="T258">
        <f>1</f>
        <v/>
      </c>
      <c r="U258">
        <f>IF($P258="Bloomberg",$M258,$H258)</f>
        <v/>
      </c>
      <c r="AW258">
        <f>IF(AND(J258&gt;0,OR(AH!$I$5="All",AH!$I$5="A/H only",AH!$I$5=C258)),1,0)</f>
        <v/>
      </c>
      <c r="AX258">
        <f>IF(AW258=1,COUNTIF($AW$5:AW258,1),"")</f>
        <v/>
      </c>
      <c r="AY258">
        <f>IF(AH!$M$5="Snapshot",IF(ISNUMBER(G258),G258,"unavailable"),IF(AND(ISNUMBER(K258),N(K258)&gt;0),K258,IF(AH!$M$5="Auto",IF(ISNUMBER(G258),G258,"unavailable"),"unavailable")))</f>
        <v/>
      </c>
      <c r="AZ258">
        <f>IF(AND(AH!$M$5&lt;&gt;"Snapshot",ISNUMBER(K258),N(K258)&gt;0),"Bloomberg",IF(AND(AH!$M$5&lt;&gt;"Bloomberg",ISNUMBER(G258)),"Snapshot","Unavailable"))</f>
        <v/>
      </c>
      <c r="BA258">
        <f>IF(AZ258="Bloomberg",M258,H258)</f>
        <v/>
      </c>
      <c r="BB258">
        <f>1</f>
        <v/>
      </c>
    </row>
    <row r="259">
      <c r="A259" s="31" t="inlineStr">
        <is>
          <t>2273</t>
        </is>
      </c>
      <c r="B259" s="15" t="inlineStr">
        <is>
          <t>GUSHENGTANG</t>
        </is>
      </c>
      <c r="C259" s="15" t="inlineStr">
        <is>
          <t>Healthcare</t>
        </is>
      </c>
      <c r="D259" s="15" t="inlineStr">
        <is>
          <t>TCM</t>
        </is>
      </c>
      <c r="E259" s="34" t="n">
        <v>44540</v>
      </c>
      <c r="F259" s="15" t="n">
        <v>29</v>
      </c>
      <c r="G259" s="15" t="n">
        <v>26.14</v>
      </c>
      <c r="H259" s="34" t="n">
        <v>46297</v>
      </c>
      <c r="I259" s="31" t="n"/>
      <c r="J259" s="15" t="n">
        <v>0</v>
      </c>
      <c r="K259" s="15">
        <f>IF(AND(AH!$M$5="Snapshot",'IPO Live'!$M$5="Snapshot"),"",IFERROR(BDP(TEXT(VALUE($A259),"0")&amp;" HK Equity","PX_LAST"),""))</f>
        <v/>
      </c>
      <c r="L259" s="15">
        <f>IF(AND(AH!$M$5="Snapshot",'IPO Live'!$M$5="Snapshot"),"",IFERROR(BDP(TEXT(VALUE($A259),"0")&amp;" HK Equity","CHG_PCT_1D")/100,""))</f>
        <v/>
      </c>
      <c r="M259" s="15">
        <f>IF(AND(AH!$M$5="Snapshot",'IPO Live'!$M$5="Snapshot"),"",IFERROR(BDP(TEXT(VALUE($A259),"0")&amp;" HK Equity","LAST_UPDATE_DT"),""))</f>
        <v/>
      </c>
      <c r="N259" s="15">
        <f>IF(AND(AH!$M$5="Snapshot",'IPO Live'!$M$5="Snapshot"),"",IFERROR(BDP(TEXT(VALUE($A259),"0")&amp;" HK Equity","LAST_UPDATE"),""))</f>
        <v/>
      </c>
      <c r="O259" s="15">
        <f>IF('IPO Live'!$M$5="Snapshot",IF(ISNUMBER(G259),G259,"unavailable"),IF(AND(ISNUMBER(K259),N(K259)&gt;0),K259,IF('IPO Live'!$M$5="Auto",IF(ISNUMBER(G259),G259,"unavailable"),"unavailable")))</f>
        <v/>
      </c>
      <c r="P259" s="15">
        <f>IF(AND('IPO Live'!$M$5&lt;&gt;"Snapshot",ISNUMBER(K259),N(K259)&gt;0),"Bloomberg",IF(AND('IPO Live'!$M$5&lt;&gt;"Bloomberg",ISNUMBER(G259)),"Snapshot","Unavailable"))</f>
        <v/>
      </c>
      <c r="Q259" s="33">
        <f>IF(AND(P259="Bloomberg",ISNUMBER(L259)),L259,"unavailable")</f>
        <v/>
      </c>
      <c r="R259" s="15">
        <f>IF(OR('IPO Live'!$B$5="All",'IPO Live'!$B$5=C259,AND('IPO Live'!$B$5="A/H only",J259&gt;0)),1,0)</f>
        <v/>
      </c>
      <c r="S259" s="15">
        <f>IF(R259=1,COUNTIF($R$5:R259,1),"")</f>
        <v/>
      </c>
      <c r="T259">
        <f>1</f>
        <v/>
      </c>
      <c r="U259">
        <f>IF($P259="Bloomberg",$M259,$H259)</f>
        <v/>
      </c>
      <c r="AW259">
        <f>IF(AND(J259&gt;0,OR(AH!$I$5="All",AH!$I$5="A/H only",AH!$I$5=C259)),1,0)</f>
        <v/>
      </c>
      <c r="AX259">
        <f>IF(AW259=1,COUNTIF($AW$5:AW259,1),"")</f>
        <v/>
      </c>
      <c r="AY259">
        <f>IF(AH!$M$5="Snapshot",IF(ISNUMBER(G259),G259,"unavailable"),IF(AND(ISNUMBER(K259),N(K259)&gt;0),K259,IF(AH!$M$5="Auto",IF(ISNUMBER(G259),G259,"unavailable"),"unavailable")))</f>
        <v/>
      </c>
      <c r="AZ259">
        <f>IF(AND(AH!$M$5&lt;&gt;"Snapshot",ISNUMBER(K259),N(K259)&gt;0),"Bloomberg",IF(AND(AH!$M$5&lt;&gt;"Bloomberg",ISNUMBER(G259)),"Snapshot","Unavailable"))</f>
        <v/>
      </c>
      <c r="BA259">
        <f>IF(AZ259="Bloomberg",M259,H259)</f>
        <v/>
      </c>
      <c r="BB259">
        <f>1</f>
        <v/>
      </c>
    </row>
    <row r="260">
      <c r="A260" s="31" t="inlineStr">
        <is>
          <t>6821</t>
        </is>
      </c>
      <c r="B260" s="15" t="inlineStr">
        <is>
          <t>ASYMCHEM</t>
        </is>
      </c>
      <c r="C260" s="15" t="inlineStr">
        <is>
          <t>Healthcare</t>
        </is>
      </c>
      <c r="D260" s="15" t="inlineStr">
        <is>
          <t>CXO / pharma services</t>
        </is>
      </c>
      <c r="E260" s="34" t="n">
        <v>44540</v>
      </c>
      <c r="F260" s="15" t="n">
        <v>388</v>
      </c>
      <c r="G260" s="15" t="n">
        <v>233.24</v>
      </c>
      <c r="H260" s="34" t="n">
        <v>46297</v>
      </c>
      <c r="I260" s="31" t="inlineStr">
        <is>
          <t>002821.SZ</t>
        </is>
      </c>
      <c r="J260" s="15" t="n">
        <v>6</v>
      </c>
      <c r="K260" s="15">
        <f>IF(AND(AH!$M$5="Snapshot",'IPO Live'!$M$5="Snapshot"),"",IFERROR(BDP(TEXT(VALUE($A260),"0")&amp;" HK Equity","PX_LAST"),""))</f>
        <v/>
      </c>
      <c r="L260" s="15">
        <f>IF(AND(AH!$M$5="Snapshot",'IPO Live'!$M$5="Snapshot"),"",IFERROR(BDP(TEXT(VALUE($A260),"0")&amp;" HK Equity","CHG_PCT_1D")/100,""))</f>
        <v/>
      </c>
      <c r="M260" s="15">
        <f>IF(AND(AH!$M$5="Snapshot",'IPO Live'!$M$5="Snapshot"),"",IFERROR(BDP(TEXT(VALUE($A260),"0")&amp;" HK Equity","LAST_UPDATE_DT"),""))</f>
        <v/>
      </c>
      <c r="N260" s="15">
        <f>IF(AND(AH!$M$5="Snapshot",'IPO Live'!$M$5="Snapshot"),"",IFERROR(BDP(TEXT(VALUE($A260),"0")&amp;" HK Equity","LAST_UPDATE"),""))</f>
        <v/>
      </c>
      <c r="O260" s="15">
        <f>IF('IPO Live'!$M$5="Snapshot",IF(ISNUMBER(G260),G260,"unavailable"),IF(AND(ISNUMBER(K260),N(K260)&gt;0),K260,IF('IPO Live'!$M$5="Auto",IF(ISNUMBER(G260),G260,"unavailable"),"unavailable")))</f>
        <v/>
      </c>
      <c r="P260" s="15">
        <f>IF(AND('IPO Live'!$M$5&lt;&gt;"Snapshot",ISNUMBER(K260),N(K260)&gt;0),"Bloomberg",IF(AND('IPO Live'!$M$5&lt;&gt;"Bloomberg",ISNUMBER(G260)),"Snapshot","Unavailable"))</f>
        <v/>
      </c>
      <c r="Q260" s="33">
        <f>IF(AND(P260="Bloomberg",ISNUMBER(L260)),L260,"unavailable")</f>
        <v/>
      </c>
      <c r="R260" s="15">
        <f>IF(OR('IPO Live'!$B$5="All",'IPO Live'!$B$5=C260,AND('IPO Live'!$B$5="A/H only",J260&gt;0)),1,0)</f>
        <v/>
      </c>
      <c r="S260" s="15">
        <f>IF(R260=1,COUNTIF($R$5:R260,1),"")</f>
        <v/>
      </c>
      <c r="T260">
        <f>IF(ISNUMBER($U260),IF($U260&gt;=DATEVALUE("2022-07-11"),1.4,1),"unavailable")</f>
        <v/>
      </c>
      <c r="U260">
        <f>IF($P260="Bloomberg",$M260,$H260)</f>
        <v/>
      </c>
      <c r="AW260">
        <f>IF(AND(J260&gt;0,OR(AH!$I$5="All",AH!$I$5="A/H only",AH!$I$5=C260)),1,0)</f>
        <v/>
      </c>
      <c r="AX260">
        <f>IF(AW260=1,COUNTIF($AW$5:AW260,1),"")</f>
        <v/>
      </c>
      <c r="AY260">
        <f>IF(AH!$M$5="Snapshot",IF(ISNUMBER(G260),G260,"unavailable"),IF(AND(ISNUMBER(K260),N(K260)&gt;0),K260,IF(AH!$M$5="Auto",IF(ISNUMBER(G260),G260,"unavailable"),"unavailable")))</f>
        <v/>
      </c>
      <c r="AZ260">
        <f>IF(AND(AH!$M$5&lt;&gt;"Snapshot",ISNUMBER(K260),N(K260)&gt;0),"Bloomberg",IF(AND(AH!$M$5&lt;&gt;"Bloomberg",ISNUMBER(G260)),"Snapshot","Unavailable"))</f>
        <v/>
      </c>
      <c r="BA260">
        <f>IF(AZ260="Bloomberg",M260,H260)</f>
        <v/>
      </c>
      <c r="BB260">
        <f>IF(ISNUMBER($BA260),IF($BA260&gt;=DATEVALUE("2022-07-11"),1.4,1),"unavailable")</f>
        <v/>
      </c>
    </row>
    <row r="261">
      <c r="A261" s="31" t="inlineStr">
        <is>
          <t>2251</t>
        </is>
      </c>
      <c r="B261" s="15" t="inlineStr">
        <is>
          <t>AIRDOC-B</t>
        </is>
      </c>
      <c r="C261" s="15" t="inlineStr">
        <is>
          <t>Healthcare</t>
        </is>
      </c>
      <c r="D261" s="15" t="inlineStr">
        <is>
          <t>Digital health</t>
        </is>
      </c>
      <c r="E261" s="34" t="n">
        <v>44505</v>
      </c>
      <c r="F261" s="15" t="n">
        <v>75.09999999999999</v>
      </c>
      <c r="G261" s="15" t="n">
        <v>9.199999999999999</v>
      </c>
      <c r="H261" s="34" t="n">
        <v>46297</v>
      </c>
      <c r="I261" s="31" t="n"/>
      <c r="J261" s="15" t="n">
        <v>0</v>
      </c>
      <c r="K261" s="15">
        <f>IF(AND(AH!$M$5="Snapshot",'IPO Live'!$M$5="Snapshot"),"",IFERROR(BDP(TEXT(VALUE($A261),"0")&amp;" HK Equity","PX_LAST"),""))</f>
        <v/>
      </c>
      <c r="L261" s="15">
        <f>IF(AND(AH!$M$5="Snapshot",'IPO Live'!$M$5="Snapshot"),"",IFERROR(BDP(TEXT(VALUE($A261),"0")&amp;" HK Equity","CHG_PCT_1D")/100,""))</f>
        <v/>
      </c>
      <c r="M261" s="15">
        <f>IF(AND(AH!$M$5="Snapshot",'IPO Live'!$M$5="Snapshot"),"",IFERROR(BDP(TEXT(VALUE($A261),"0")&amp;" HK Equity","LAST_UPDATE_DT"),""))</f>
        <v/>
      </c>
      <c r="N261" s="15">
        <f>IF(AND(AH!$M$5="Snapshot",'IPO Live'!$M$5="Snapshot"),"",IFERROR(BDP(TEXT(VALUE($A261),"0")&amp;" HK Equity","LAST_UPDATE"),""))</f>
        <v/>
      </c>
      <c r="O261" s="15">
        <f>IF('IPO Live'!$M$5="Snapshot",IF(ISNUMBER(G261),G261,"unavailable"),IF(AND(ISNUMBER(K261),N(K261)&gt;0),K261,IF('IPO Live'!$M$5="Auto",IF(ISNUMBER(G261),G261,"unavailable"),"unavailable")))</f>
        <v/>
      </c>
      <c r="P261" s="15">
        <f>IF(AND('IPO Live'!$M$5&lt;&gt;"Snapshot",ISNUMBER(K261),N(K261)&gt;0),"Bloomberg",IF(AND('IPO Live'!$M$5&lt;&gt;"Bloomberg",ISNUMBER(G261)),"Snapshot","Unavailable"))</f>
        <v/>
      </c>
      <c r="Q261" s="33">
        <f>IF(AND(P261="Bloomberg",ISNUMBER(L261)),L261,"unavailable")</f>
        <v/>
      </c>
      <c r="R261" s="15">
        <f>IF(OR('IPO Live'!$B$5="All",'IPO Live'!$B$5=C261,AND('IPO Live'!$B$5="A/H only",J261&gt;0)),1,0)</f>
        <v/>
      </c>
      <c r="S261" s="15">
        <f>IF(R261=1,COUNTIF($R$5:R261,1),"")</f>
        <v/>
      </c>
      <c r="T261">
        <f>1</f>
        <v/>
      </c>
      <c r="U261">
        <f>IF($P261="Bloomberg",$M261,$H261)</f>
        <v/>
      </c>
      <c r="AW261">
        <f>IF(AND(J261&gt;0,OR(AH!$I$5="All",AH!$I$5="A/H only",AH!$I$5=C261)),1,0)</f>
        <v/>
      </c>
      <c r="AX261">
        <f>IF(AW261=1,COUNTIF($AW$5:AW261,1),"")</f>
        <v/>
      </c>
      <c r="AY261">
        <f>IF(AH!$M$5="Snapshot",IF(ISNUMBER(G261),G261,"unavailable"),IF(AND(ISNUMBER(K261),N(K261)&gt;0),K261,IF(AH!$M$5="Auto",IF(ISNUMBER(G261),G261,"unavailable"),"unavailable")))</f>
        <v/>
      </c>
      <c r="AZ261">
        <f>IF(AND(AH!$M$5&lt;&gt;"Snapshot",ISNUMBER(K261),N(K261)&gt;0),"Bloomberg",IF(AND(AH!$M$5&lt;&gt;"Bloomberg",ISNUMBER(G261)),"Snapshot","Unavailable"))</f>
        <v/>
      </c>
      <c r="BA261">
        <f>IF(AZ261="Bloomberg",M261,H261)</f>
        <v/>
      </c>
      <c r="BB261">
        <f>1</f>
        <v/>
      </c>
    </row>
    <row r="262">
      <c r="A262" s="31" t="inlineStr">
        <is>
          <t>2197</t>
        </is>
      </c>
      <c r="B262" s="15" t="inlineStr">
        <is>
          <t>CLOVER BIO-B</t>
        </is>
      </c>
      <c r="C262" s="15" t="inlineStr">
        <is>
          <t>Healthcare</t>
        </is>
      </c>
      <c r="D262" s="15" t="inlineStr">
        <is>
          <t>Biotech pre-revenue (18A)</t>
        </is>
      </c>
      <c r="E262" s="34" t="n">
        <v>44505</v>
      </c>
      <c r="F262" s="15" t="n">
        <v>13.38</v>
      </c>
      <c r="G262" s="15" t="n">
        <v>1.785</v>
      </c>
      <c r="H262" s="34" t="n">
        <v>46297</v>
      </c>
      <c r="I262" s="31" t="n"/>
      <c r="J262" s="15" t="n">
        <v>0</v>
      </c>
      <c r="K262" s="15">
        <f>IF(AND(AH!$M$5="Snapshot",'IPO Live'!$M$5="Snapshot"),"",IFERROR(BDP(TEXT(VALUE($A262),"0")&amp;" HK Equity","PX_LAST"),""))</f>
        <v/>
      </c>
      <c r="L262" s="15">
        <f>IF(AND(AH!$M$5="Snapshot",'IPO Live'!$M$5="Snapshot"),"",IFERROR(BDP(TEXT(VALUE($A262),"0")&amp;" HK Equity","CHG_PCT_1D")/100,""))</f>
        <v/>
      </c>
      <c r="M262" s="15">
        <f>IF(AND(AH!$M$5="Snapshot",'IPO Live'!$M$5="Snapshot"),"",IFERROR(BDP(TEXT(VALUE($A262),"0")&amp;" HK Equity","LAST_UPDATE_DT"),""))</f>
        <v/>
      </c>
      <c r="N262" s="15">
        <f>IF(AND(AH!$M$5="Snapshot",'IPO Live'!$M$5="Snapshot"),"",IFERROR(BDP(TEXT(VALUE($A262),"0")&amp;" HK Equity","LAST_UPDATE"),""))</f>
        <v/>
      </c>
      <c r="O262" s="15">
        <f>IF('IPO Live'!$M$5="Snapshot",IF(ISNUMBER(G262),G262,"unavailable"),IF(AND(ISNUMBER(K262),N(K262)&gt;0),K262,IF('IPO Live'!$M$5="Auto",IF(ISNUMBER(G262),G262,"unavailable"),"unavailable")))</f>
        <v/>
      </c>
      <c r="P262" s="15">
        <f>IF(AND('IPO Live'!$M$5&lt;&gt;"Snapshot",ISNUMBER(K262),N(K262)&gt;0),"Bloomberg",IF(AND('IPO Live'!$M$5&lt;&gt;"Bloomberg",ISNUMBER(G262)),"Snapshot","Unavailable"))</f>
        <v/>
      </c>
      <c r="Q262" s="33">
        <f>IF(AND(P262="Bloomberg",ISNUMBER(L262)),L262,"unavailable")</f>
        <v/>
      </c>
      <c r="R262" s="15">
        <f>IF(OR('IPO Live'!$B$5="All",'IPO Live'!$B$5=C262,AND('IPO Live'!$B$5="A/H only",J262&gt;0)),1,0)</f>
        <v/>
      </c>
      <c r="S262" s="15">
        <f>IF(R262=1,COUNTIF($R$5:R262,1),"")</f>
        <v/>
      </c>
      <c r="T262">
        <f>1</f>
        <v/>
      </c>
      <c r="U262">
        <f>IF($P262="Bloomberg",$M262,$H262)</f>
        <v/>
      </c>
      <c r="AW262">
        <f>IF(AND(J262&gt;0,OR(AH!$I$5="All",AH!$I$5="A/H only",AH!$I$5=C262)),1,0)</f>
        <v/>
      </c>
      <c r="AX262">
        <f>IF(AW262=1,COUNTIF($AW$5:AW262,1),"")</f>
        <v/>
      </c>
      <c r="AY262">
        <f>IF(AH!$M$5="Snapshot",IF(ISNUMBER(G262),G262,"unavailable"),IF(AND(ISNUMBER(K262),N(K262)&gt;0),K262,IF(AH!$M$5="Auto",IF(ISNUMBER(G262),G262,"unavailable"),"unavailable")))</f>
        <v/>
      </c>
      <c r="AZ262">
        <f>IF(AND(AH!$M$5&lt;&gt;"Snapshot",ISNUMBER(K262),N(K262)&gt;0),"Bloomberg",IF(AND(AH!$M$5&lt;&gt;"Bloomberg",ISNUMBER(G262)),"Snapshot","Unavailable"))</f>
        <v/>
      </c>
      <c r="BA262">
        <f>IF(AZ262="Bloomberg",M262,H262)</f>
        <v/>
      </c>
      <c r="BB262">
        <f>1</f>
        <v/>
      </c>
    </row>
    <row r="263">
      <c r="A263" s="31" t="inlineStr">
        <is>
          <t>2252</t>
        </is>
      </c>
      <c r="B263" s="15" t="inlineStr">
        <is>
          <t>MEDBOT-B</t>
        </is>
      </c>
      <c r="C263" s="15" t="inlineStr">
        <is>
          <t>Healthcare</t>
        </is>
      </c>
      <c r="D263" s="15" t="inlineStr">
        <is>
          <t>Medical devices</t>
        </is>
      </c>
      <c r="E263" s="34" t="n">
        <v>44502</v>
      </c>
      <c r="F263" s="15" t="n">
        <v>43.2</v>
      </c>
      <c r="G263" s="15" t="n">
        <v>21.18</v>
      </c>
      <c r="H263" s="34" t="n">
        <v>46265</v>
      </c>
      <c r="I263" s="31" t="n"/>
      <c r="J263" s="15" t="n">
        <v>0</v>
      </c>
      <c r="K263" s="15">
        <f>IF(AND(AH!$M$5="Snapshot",'IPO Live'!$M$5="Snapshot"),"",IFERROR(BDP(TEXT(VALUE($A263),"0")&amp;" HK Equity","PX_LAST"),""))</f>
        <v/>
      </c>
      <c r="L263" s="15">
        <f>IF(AND(AH!$M$5="Snapshot",'IPO Live'!$M$5="Snapshot"),"",IFERROR(BDP(TEXT(VALUE($A263),"0")&amp;" HK Equity","CHG_PCT_1D")/100,""))</f>
        <v/>
      </c>
      <c r="M263" s="15">
        <f>IF(AND(AH!$M$5="Snapshot",'IPO Live'!$M$5="Snapshot"),"",IFERROR(BDP(TEXT(VALUE($A263),"0")&amp;" HK Equity","LAST_UPDATE_DT"),""))</f>
        <v/>
      </c>
      <c r="N263" s="15">
        <f>IF(AND(AH!$M$5="Snapshot",'IPO Live'!$M$5="Snapshot"),"",IFERROR(BDP(TEXT(VALUE($A263),"0")&amp;" HK Equity","LAST_UPDATE"),""))</f>
        <v/>
      </c>
      <c r="O263" s="15">
        <f>IF('IPO Live'!$M$5="Snapshot",IF(ISNUMBER(G263),G263,"unavailable"),IF(AND(ISNUMBER(K263),N(K263)&gt;0),K263,IF('IPO Live'!$M$5="Auto",IF(ISNUMBER(G263),G263,"unavailable"),"unavailable")))</f>
        <v/>
      </c>
      <c r="P263" s="15">
        <f>IF(AND('IPO Live'!$M$5&lt;&gt;"Snapshot",ISNUMBER(K263),N(K263)&gt;0),"Bloomberg",IF(AND('IPO Live'!$M$5&lt;&gt;"Bloomberg",ISNUMBER(G263)),"Snapshot","Unavailable"))</f>
        <v/>
      </c>
      <c r="Q263" s="33">
        <f>IF(AND(P263="Bloomberg",ISNUMBER(L263)),L263,"unavailable")</f>
        <v/>
      </c>
      <c r="R263" s="15">
        <f>IF(OR('IPO Live'!$B$5="All",'IPO Live'!$B$5=C263,AND('IPO Live'!$B$5="A/H only",J263&gt;0)),1,0)</f>
        <v/>
      </c>
      <c r="S263" s="15">
        <f>IF(R263=1,COUNTIF($R$5:R263,1),"")</f>
        <v/>
      </c>
      <c r="T263">
        <f>1</f>
        <v/>
      </c>
      <c r="U263">
        <f>IF($P263="Bloomberg",$M263,$H263)</f>
        <v/>
      </c>
      <c r="AW263">
        <f>IF(AND(J263&gt;0,OR(AH!$I$5="All",AH!$I$5="A/H only",AH!$I$5=C263)),1,0)</f>
        <v/>
      </c>
      <c r="AX263">
        <f>IF(AW263=1,COUNTIF($AW$5:AW263,1),"")</f>
        <v/>
      </c>
      <c r="AY263">
        <f>IF(AH!$M$5="Snapshot",IF(ISNUMBER(G263),G263,"unavailable"),IF(AND(ISNUMBER(K263),N(K263)&gt;0),K263,IF(AH!$M$5="Auto",IF(ISNUMBER(G263),G263,"unavailable"),"unavailable")))</f>
        <v/>
      </c>
      <c r="AZ263">
        <f>IF(AND(AH!$M$5&lt;&gt;"Snapshot",ISNUMBER(K263),N(K263)&gt;0),"Bloomberg",IF(AND(AH!$M$5&lt;&gt;"Bloomberg",ISNUMBER(G263)),"Snapshot","Unavailable"))</f>
        <v/>
      </c>
      <c r="BA263">
        <f>IF(AZ263="Bloomberg",M263,H263)</f>
        <v/>
      </c>
      <c r="BB263">
        <f>1</f>
        <v/>
      </c>
    </row>
    <row r="264">
      <c r="A264" s="31" t="inlineStr">
        <is>
          <t>2235</t>
        </is>
      </c>
      <c r="B264" s="15" t="inlineStr">
        <is>
          <t>MICROTECH MED-B</t>
        </is>
      </c>
      <c r="C264" s="15" t="inlineStr">
        <is>
          <t>Healthcare</t>
        </is>
      </c>
      <c r="D264" s="15" t="inlineStr">
        <is>
          <t>Medical devices</t>
        </is>
      </c>
      <c r="E264" s="34" t="n">
        <v>44488</v>
      </c>
      <c r="F264" s="15" t="n">
        <v>30.5</v>
      </c>
      <c r="G264" s="15" t="n">
        <v>6.945</v>
      </c>
      <c r="H264" s="34" t="n">
        <v>46297</v>
      </c>
      <c r="I264" s="31" t="n"/>
      <c r="J264" s="15" t="n">
        <v>0</v>
      </c>
      <c r="K264" s="15">
        <f>IF(AND(AH!$M$5="Snapshot",'IPO Live'!$M$5="Snapshot"),"",IFERROR(BDP(TEXT(VALUE($A264),"0")&amp;" HK Equity","PX_LAST"),""))</f>
        <v/>
      </c>
      <c r="L264" s="15">
        <f>IF(AND(AH!$M$5="Snapshot",'IPO Live'!$M$5="Snapshot"),"",IFERROR(BDP(TEXT(VALUE($A264),"0")&amp;" HK Equity","CHG_PCT_1D")/100,""))</f>
        <v/>
      </c>
      <c r="M264" s="15">
        <f>IF(AND(AH!$M$5="Snapshot",'IPO Live'!$M$5="Snapshot"),"",IFERROR(BDP(TEXT(VALUE($A264),"0")&amp;" HK Equity","LAST_UPDATE_DT"),""))</f>
        <v/>
      </c>
      <c r="N264" s="15">
        <f>IF(AND(AH!$M$5="Snapshot",'IPO Live'!$M$5="Snapshot"),"",IFERROR(BDP(TEXT(VALUE($A264),"0")&amp;" HK Equity","LAST_UPDATE"),""))</f>
        <v/>
      </c>
      <c r="O264" s="15">
        <f>IF('IPO Live'!$M$5="Snapshot",IF(ISNUMBER(G264),G264,"unavailable"),IF(AND(ISNUMBER(K264),N(K264)&gt;0),K264,IF('IPO Live'!$M$5="Auto",IF(ISNUMBER(G264),G264,"unavailable"),"unavailable")))</f>
        <v/>
      </c>
      <c r="P264" s="15">
        <f>IF(AND('IPO Live'!$M$5&lt;&gt;"Snapshot",ISNUMBER(K264),N(K264)&gt;0),"Bloomberg",IF(AND('IPO Live'!$M$5&lt;&gt;"Bloomberg",ISNUMBER(G264)),"Snapshot","Unavailable"))</f>
        <v/>
      </c>
      <c r="Q264" s="33">
        <f>IF(AND(P264="Bloomberg",ISNUMBER(L264)),L264,"unavailable")</f>
        <v/>
      </c>
      <c r="R264" s="15">
        <f>IF(OR('IPO Live'!$B$5="All",'IPO Live'!$B$5=C264,AND('IPO Live'!$B$5="A/H only",J264&gt;0)),1,0)</f>
        <v/>
      </c>
      <c r="S264" s="15">
        <f>IF(R264=1,COUNTIF($R$5:R264,1),"")</f>
        <v/>
      </c>
      <c r="T264">
        <f>1</f>
        <v/>
      </c>
      <c r="U264">
        <f>IF($P264="Bloomberg",$M264,$H264)</f>
        <v/>
      </c>
      <c r="AW264">
        <f>IF(AND(J264&gt;0,OR(AH!$I$5="All",AH!$I$5="A/H only",AH!$I$5=C264)),1,0)</f>
        <v/>
      </c>
      <c r="AX264">
        <f>IF(AW264=1,COUNTIF($AW$5:AW264,1),"")</f>
        <v/>
      </c>
      <c r="AY264">
        <f>IF(AH!$M$5="Snapshot",IF(ISNUMBER(G264),G264,"unavailable"),IF(AND(ISNUMBER(K264),N(K264)&gt;0),K264,IF(AH!$M$5="Auto",IF(ISNUMBER(G264),G264,"unavailable"),"unavailable")))</f>
        <v/>
      </c>
      <c r="AZ264">
        <f>IF(AND(AH!$M$5&lt;&gt;"Snapshot",ISNUMBER(K264),N(K264)&gt;0),"Bloomberg",IF(AND(AH!$M$5&lt;&gt;"Bloomberg",ISNUMBER(G264)),"Snapshot","Unavailable"))</f>
        <v/>
      </c>
      <c r="BA264">
        <f>IF(AZ264="Bloomberg",M264,H264)</f>
        <v/>
      </c>
      <c r="BB264">
        <f>1</f>
        <v/>
      </c>
    </row>
    <row r="265">
      <c r="A265" s="31" t="inlineStr">
        <is>
          <t>2256</t>
        </is>
      </c>
      <c r="B265" s="15" t="inlineStr">
        <is>
          <t>ABBISKO-B</t>
        </is>
      </c>
      <c r="C265" s="15" t="inlineStr">
        <is>
          <t>Healthcare</t>
        </is>
      </c>
      <c r="D265" s="15" t="inlineStr">
        <is>
          <t>Biotech pre-revenue (18A)</t>
        </is>
      </c>
      <c r="E265" s="34" t="n">
        <v>44484</v>
      </c>
      <c r="F265" s="15" t="n">
        <v>12.46</v>
      </c>
      <c r="G265" s="15" t="n">
        <v>8.75</v>
      </c>
      <c r="H265" s="34" t="n">
        <v>46297</v>
      </c>
      <c r="I265" s="31" t="n"/>
      <c r="J265" s="15" t="n">
        <v>0</v>
      </c>
      <c r="K265" s="15">
        <f>IF(AND(AH!$M$5="Snapshot",'IPO Live'!$M$5="Snapshot"),"",IFERROR(BDP(TEXT(VALUE($A265),"0")&amp;" HK Equity","PX_LAST"),""))</f>
        <v/>
      </c>
      <c r="L265" s="15">
        <f>IF(AND(AH!$M$5="Snapshot",'IPO Live'!$M$5="Snapshot"),"",IFERROR(BDP(TEXT(VALUE($A265),"0")&amp;" HK Equity","CHG_PCT_1D")/100,""))</f>
        <v/>
      </c>
      <c r="M265" s="15">
        <f>IF(AND(AH!$M$5="Snapshot",'IPO Live'!$M$5="Snapshot"),"",IFERROR(BDP(TEXT(VALUE($A265),"0")&amp;" HK Equity","LAST_UPDATE_DT"),""))</f>
        <v/>
      </c>
      <c r="N265" s="15">
        <f>IF(AND(AH!$M$5="Snapshot",'IPO Live'!$M$5="Snapshot"),"",IFERROR(BDP(TEXT(VALUE($A265),"0")&amp;" HK Equity","LAST_UPDATE"),""))</f>
        <v/>
      </c>
      <c r="O265" s="15">
        <f>IF('IPO Live'!$M$5="Snapshot",IF(ISNUMBER(G265),G265,"unavailable"),IF(AND(ISNUMBER(K265),N(K265)&gt;0),K265,IF('IPO Live'!$M$5="Auto",IF(ISNUMBER(G265),G265,"unavailable"),"unavailable")))</f>
        <v/>
      </c>
      <c r="P265" s="15">
        <f>IF(AND('IPO Live'!$M$5&lt;&gt;"Snapshot",ISNUMBER(K265),N(K265)&gt;0),"Bloomberg",IF(AND('IPO Live'!$M$5&lt;&gt;"Bloomberg",ISNUMBER(G265)),"Snapshot","Unavailable"))</f>
        <v/>
      </c>
      <c r="Q265" s="33">
        <f>IF(AND(P265="Bloomberg",ISNUMBER(L265)),L265,"unavailable")</f>
        <v/>
      </c>
      <c r="R265" s="15">
        <f>IF(OR('IPO Live'!$B$5="All",'IPO Live'!$B$5=C265,AND('IPO Live'!$B$5="A/H only",J265&gt;0)),1,0)</f>
        <v/>
      </c>
      <c r="S265" s="15">
        <f>IF(R265=1,COUNTIF($R$5:R265,1),"")</f>
        <v/>
      </c>
      <c r="T265">
        <f>1</f>
        <v/>
      </c>
      <c r="U265">
        <f>IF($P265="Bloomberg",$M265,$H265)</f>
        <v/>
      </c>
      <c r="AW265">
        <f>IF(AND(J265&gt;0,OR(AH!$I$5="All",AH!$I$5="A/H only",AH!$I$5=C265)),1,0)</f>
        <v/>
      </c>
      <c r="AX265">
        <f>IF(AW265=1,COUNTIF($AW$5:AW265,1),"")</f>
        <v/>
      </c>
      <c r="AY265">
        <f>IF(AH!$M$5="Snapshot",IF(ISNUMBER(G265),G265,"unavailable"),IF(AND(ISNUMBER(K265),N(K265)&gt;0),K265,IF(AH!$M$5="Auto",IF(ISNUMBER(G265),G265,"unavailable"),"unavailable")))</f>
        <v/>
      </c>
      <c r="AZ265">
        <f>IF(AND(AH!$M$5&lt;&gt;"Snapshot",ISNUMBER(K265),N(K265)&gt;0),"Bloomberg",IF(AND(AH!$M$5&lt;&gt;"Bloomberg",ISNUMBER(G265)),"Snapshot","Unavailable"))</f>
        <v/>
      </c>
      <c r="BA265">
        <f>IF(AZ265="Bloomberg",M265,H265)</f>
        <v/>
      </c>
      <c r="BB265">
        <f>1</f>
        <v/>
      </c>
    </row>
    <row r="266">
      <c r="A266" s="31" t="inlineStr">
        <is>
          <t>6628</t>
        </is>
      </c>
      <c r="B266" s="15" t="inlineStr">
        <is>
          <t>TRANSCENTA-B</t>
        </is>
      </c>
      <c r="C266" s="15" t="inlineStr">
        <is>
          <t>Healthcare</t>
        </is>
      </c>
      <c r="D266" s="15" t="inlineStr">
        <is>
          <t>Biotech pre-revenue (18A)</t>
        </is>
      </c>
      <c r="E266" s="34" t="n">
        <v>44468</v>
      </c>
      <c r="F266" s="15" t="n">
        <v>16</v>
      </c>
      <c r="G266" s="15" t="n">
        <v>0.9</v>
      </c>
      <c r="H266" s="34" t="n">
        <v>46297</v>
      </c>
      <c r="I266" s="31" t="n"/>
      <c r="J266" s="15" t="n">
        <v>0</v>
      </c>
      <c r="K266" s="15">
        <f>IF(AND(AH!$M$5="Snapshot",'IPO Live'!$M$5="Snapshot"),"",IFERROR(BDP(TEXT(VALUE($A266),"0")&amp;" HK Equity","PX_LAST"),""))</f>
        <v/>
      </c>
      <c r="L266" s="15">
        <f>IF(AND(AH!$M$5="Snapshot",'IPO Live'!$M$5="Snapshot"),"",IFERROR(BDP(TEXT(VALUE($A266),"0")&amp;" HK Equity","CHG_PCT_1D")/100,""))</f>
        <v/>
      </c>
      <c r="M266" s="15">
        <f>IF(AND(AH!$M$5="Snapshot",'IPO Live'!$M$5="Snapshot"),"",IFERROR(BDP(TEXT(VALUE($A266),"0")&amp;" HK Equity","LAST_UPDATE_DT"),""))</f>
        <v/>
      </c>
      <c r="N266" s="15">
        <f>IF(AND(AH!$M$5="Snapshot",'IPO Live'!$M$5="Snapshot"),"",IFERROR(BDP(TEXT(VALUE($A266),"0")&amp;" HK Equity","LAST_UPDATE"),""))</f>
        <v/>
      </c>
      <c r="O266" s="15">
        <f>IF('IPO Live'!$M$5="Snapshot",IF(ISNUMBER(G266),G266,"unavailable"),IF(AND(ISNUMBER(K266),N(K266)&gt;0),K266,IF('IPO Live'!$M$5="Auto",IF(ISNUMBER(G266),G266,"unavailable"),"unavailable")))</f>
        <v/>
      </c>
      <c r="P266" s="15">
        <f>IF(AND('IPO Live'!$M$5&lt;&gt;"Snapshot",ISNUMBER(K266),N(K266)&gt;0),"Bloomberg",IF(AND('IPO Live'!$M$5&lt;&gt;"Bloomberg",ISNUMBER(G266)),"Snapshot","Unavailable"))</f>
        <v/>
      </c>
      <c r="Q266" s="33">
        <f>IF(AND(P266="Bloomberg",ISNUMBER(L266)),L266,"unavailable")</f>
        <v/>
      </c>
      <c r="R266" s="15">
        <f>IF(OR('IPO Live'!$B$5="All",'IPO Live'!$B$5=C266,AND('IPO Live'!$B$5="A/H only",J266&gt;0)),1,0)</f>
        <v/>
      </c>
      <c r="S266" s="15">
        <f>IF(R266=1,COUNTIF($R$5:R266,1),"")</f>
        <v/>
      </c>
      <c r="T266">
        <f>1</f>
        <v/>
      </c>
      <c r="U266">
        <f>IF($P266="Bloomberg",$M266,$H266)</f>
        <v/>
      </c>
      <c r="AW266">
        <f>IF(AND(J266&gt;0,OR(AH!$I$5="All",AH!$I$5="A/H only",AH!$I$5=C266)),1,0)</f>
        <v/>
      </c>
      <c r="AX266">
        <f>IF(AW266=1,COUNTIF($AW$5:AW266,1),"")</f>
        <v/>
      </c>
      <c r="AY266">
        <f>IF(AH!$M$5="Snapshot",IF(ISNUMBER(G266),G266,"unavailable"),IF(AND(ISNUMBER(K266),N(K266)&gt;0),K266,IF(AH!$M$5="Auto",IF(ISNUMBER(G266),G266,"unavailable"),"unavailable")))</f>
        <v/>
      </c>
      <c r="AZ266">
        <f>IF(AND(AH!$M$5&lt;&gt;"Snapshot",ISNUMBER(K266),N(K266)&gt;0),"Bloomberg",IF(AND(AH!$M$5&lt;&gt;"Bloomberg",ISNUMBER(G266)),"Snapshot","Unavailable"))</f>
        <v/>
      </c>
      <c r="BA266">
        <f>IF(AZ266="Bloomberg",M266,H266)</f>
        <v/>
      </c>
      <c r="BB266">
        <f>1</f>
        <v/>
      </c>
    </row>
    <row r="267">
      <c r="A267" s="31" t="inlineStr">
        <is>
          <t>2216</t>
        </is>
      </c>
      <c r="B267" s="15" t="inlineStr">
        <is>
          <t>BRONCUS-B</t>
        </is>
      </c>
      <c r="C267" s="15" t="inlineStr">
        <is>
          <t>Healthcare</t>
        </is>
      </c>
      <c r="D267" s="15" t="inlineStr">
        <is>
          <t>Medical devices</t>
        </is>
      </c>
      <c r="E267" s="34" t="n">
        <v>44463</v>
      </c>
      <c r="F267" s="15" t="n">
        <v>18.7</v>
      </c>
      <c r="G267" s="15" t="n">
        <v>0.745</v>
      </c>
      <c r="H267" s="34" t="n">
        <v>46297</v>
      </c>
      <c r="I267" s="31" t="n"/>
      <c r="J267" s="15" t="n">
        <v>0</v>
      </c>
      <c r="K267" s="15">
        <f>IF(AND(AH!$M$5="Snapshot",'IPO Live'!$M$5="Snapshot"),"",IFERROR(BDP(TEXT(VALUE($A267),"0")&amp;" HK Equity","PX_LAST"),""))</f>
        <v/>
      </c>
      <c r="L267" s="15">
        <f>IF(AND(AH!$M$5="Snapshot",'IPO Live'!$M$5="Snapshot"),"",IFERROR(BDP(TEXT(VALUE($A267),"0")&amp;" HK Equity","CHG_PCT_1D")/100,""))</f>
        <v/>
      </c>
      <c r="M267" s="15">
        <f>IF(AND(AH!$M$5="Snapshot",'IPO Live'!$M$5="Snapshot"),"",IFERROR(BDP(TEXT(VALUE($A267),"0")&amp;" HK Equity","LAST_UPDATE_DT"),""))</f>
        <v/>
      </c>
      <c r="N267" s="15">
        <f>IF(AND(AH!$M$5="Snapshot",'IPO Live'!$M$5="Snapshot"),"",IFERROR(BDP(TEXT(VALUE($A267),"0")&amp;" HK Equity","LAST_UPDATE"),""))</f>
        <v/>
      </c>
      <c r="O267" s="15">
        <f>IF('IPO Live'!$M$5="Snapshot",IF(ISNUMBER(G267),G267,"unavailable"),IF(AND(ISNUMBER(K267),N(K267)&gt;0),K267,IF('IPO Live'!$M$5="Auto",IF(ISNUMBER(G267),G267,"unavailable"),"unavailable")))</f>
        <v/>
      </c>
      <c r="P267" s="15">
        <f>IF(AND('IPO Live'!$M$5&lt;&gt;"Snapshot",ISNUMBER(K267),N(K267)&gt;0),"Bloomberg",IF(AND('IPO Live'!$M$5&lt;&gt;"Bloomberg",ISNUMBER(G267)),"Snapshot","Unavailable"))</f>
        <v/>
      </c>
      <c r="Q267" s="33">
        <f>IF(AND(P267="Bloomberg",ISNUMBER(L267)),L267,"unavailable")</f>
        <v/>
      </c>
      <c r="R267" s="15">
        <f>IF(OR('IPO Live'!$B$5="All",'IPO Live'!$B$5=C267,AND('IPO Live'!$B$5="A/H only",J267&gt;0)),1,0)</f>
        <v/>
      </c>
      <c r="S267" s="15">
        <f>IF(R267=1,COUNTIF($R$5:R267,1),"")</f>
        <v/>
      </c>
      <c r="T267">
        <f>1</f>
        <v/>
      </c>
      <c r="U267">
        <f>IF($P267="Bloomberg",$M267,$H267)</f>
        <v/>
      </c>
      <c r="AW267">
        <f>IF(AND(J267&gt;0,OR(AH!$I$5="All",AH!$I$5="A/H only",AH!$I$5=C267)),1,0)</f>
        <v/>
      </c>
      <c r="AX267">
        <f>IF(AW267=1,COUNTIF($AW$5:AW267,1),"")</f>
        <v/>
      </c>
      <c r="AY267">
        <f>IF(AH!$M$5="Snapshot",IF(ISNUMBER(G267),G267,"unavailable"),IF(AND(ISNUMBER(K267),N(K267)&gt;0),K267,IF(AH!$M$5="Auto",IF(ISNUMBER(G267),G267,"unavailable"),"unavailable")))</f>
        <v/>
      </c>
      <c r="AZ267">
        <f>IF(AND(AH!$M$5&lt;&gt;"Snapshot",ISNUMBER(K267),N(K267)&gt;0),"Bloomberg",IF(AND(AH!$M$5&lt;&gt;"Bloomberg",ISNUMBER(G267)),"Snapshot","Unavailable"))</f>
        <v/>
      </c>
      <c r="BA267">
        <f>IF(AZ267="Bloomberg",M267,H267)</f>
        <v/>
      </c>
      <c r="BB267">
        <f>1</f>
        <v/>
      </c>
    </row>
    <row r="268">
      <c r="A268" s="31" t="inlineStr">
        <is>
          <t>6669</t>
        </is>
      </c>
      <c r="B268" s="15" t="inlineStr">
        <is>
          <t>ACOTEC-B</t>
        </is>
      </c>
      <c r="C268" s="15" t="inlineStr">
        <is>
          <t>Healthcare</t>
        </is>
      </c>
      <c r="D268" s="15" t="inlineStr">
        <is>
          <t>Medical devices</t>
        </is>
      </c>
      <c r="E268" s="34" t="n">
        <v>44432</v>
      </c>
      <c r="F268" s="15" t="n">
        <v>23.8</v>
      </c>
      <c r="G268" s="15" t="n">
        <v>6.045</v>
      </c>
      <c r="H268" s="34" t="n">
        <v>46297</v>
      </c>
      <c r="I268" s="31" t="n"/>
      <c r="J268" s="15" t="n">
        <v>0</v>
      </c>
      <c r="K268" s="15">
        <f>IF(AND(AH!$M$5="Snapshot",'IPO Live'!$M$5="Snapshot"),"",IFERROR(BDP(TEXT(VALUE($A268),"0")&amp;" HK Equity","PX_LAST"),""))</f>
        <v/>
      </c>
      <c r="L268" s="15">
        <f>IF(AND(AH!$M$5="Snapshot",'IPO Live'!$M$5="Snapshot"),"",IFERROR(BDP(TEXT(VALUE($A268),"0")&amp;" HK Equity","CHG_PCT_1D")/100,""))</f>
        <v/>
      </c>
      <c r="M268" s="15">
        <f>IF(AND(AH!$M$5="Snapshot",'IPO Live'!$M$5="Snapshot"),"",IFERROR(BDP(TEXT(VALUE($A268),"0")&amp;" HK Equity","LAST_UPDATE_DT"),""))</f>
        <v/>
      </c>
      <c r="N268" s="15">
        <f>IF(AND(AH!$M$5="Snapshot",'IPO Live'!$M$5="Snapshot"),"",IFERROR(BDP(TEXT(VALUE($A268),"0")&amp;" HK Equity","LAST_UPDATE"),""))</f>
        <v/>
      </c>
      <c r="O268" s="15">
        <f>IF('IPO Live'!$M$5="Snapshot",IF(ISNUMBER(G268),G268,"unavailable"),IF(AND(ISNUMBER(K268),N(K268)&gt;0),K268,IF('IPO Live'!$M$5="Auto",IF(ISNUMBER(G268),G268,"unavailable"),"unavailable")))</f>
        <v/>
      </c>
      <c r="P268" s="15">
        <f>IF(AND('IPO Live'!$M$5&lt;&gt;"Snapshot",ISNUMBER(K268),N(K268)&gt;0),"Bloomberg",IF(AND('IPO Live'!$M$5&lt;&gt;"Bloomberg",ISNUMBER(G268)),"Snapshot","Unavailable"))</f>
        <v/>
      </c>
      <c r="Q268" s="33">
        <f>IF(AND(P268="Bloomberg",ISNUMBER(L268)),L268,"unavailable")</f>
        <v/>
      </c>
      <c r="R268" s="15">
        <f>IF(OR('IPO Live'!$B$5="All",'IPO Live'!$B$5=C268,AND('IPO Live'!$B$5="A/H only",J268&gt;0)),1,0)</f>
        <v/>
      </c>
      <c r="S268" s="15">
        <f>IF(R268=1,COUNTIF($R$5:R268,1),"")</f>
        <v/>
      </c>
      <c r="T268">
        <f>1</f>
        <v/>
      </c>
      <c r="U268">
        <f>IF($P268="Bloomberg",$M268,$H268)</f>
        <v/>
      </c>
      <c r="AW268">
        <f>IF(AND(J268&gt;0,OR(AH!$I$5="All",AH!$I$5="A/H only",AH!$I$5=C268)),1,0)</f>
        <v/>
      </c>
      <c r="AX268">
        <f>IF(AW268=1,COUNTIF($AW$5:AW268,1),"")</f>
        <v/>
      </c>
      <c r="AY268">
        <f>IF(AH!$M$5="Snapshot",IF(ISNUMBER(G268),G268,"unavailable"),IF(AND(ISNUMBER(K268),N(K268)&gt;0),K268,IF(AH!$M$5="Auto",IF(ISNUMBER(G268),G268,"unavailable"),"unavailable")))</f>
        <v/>
      </c>
      <c r="AZ268">
        <f>IF(AND(AH!$M$5&lt;&gt;"Snapshot",ISNUMBER(K268),N(K268)&gt;0),"Bloomberg",IF(AND(AH!$M$5&lt;&gt;"Bloomberg",ISNUMBER(G268)),"Snapshot","Unavailable"))</f>
        <v/>
      </c>
      <c r="BA268">
        <f>IF(AZ268="Bloomberg",M268,H268)</f>
        <v/>
      </c>
      <c r="BB268">
        <f>1</f>
        <v/>
      </c>
    </row>
    <row r="269">
      <c r="A269" s="31" t="inlineStr">
        <is>
          <t>6609</t>
        </is>
      </c>
      <c r="B269" s="15" t="inlineStr">
        <is>
          <t>HEARTCARE-B</t>
        </is>
      </c>
      <c r="C269" s="15" t="inlineStr">
        <is>
          <t>Healthcare</t>
        </is>
      </c>
      <c r="D269" s="15" t="inlineStr">
        <is>
          <t>Medical devices</t>
        </is>
      </c>
      <c r="E269" s="34" t="n">
        <v>44428</v>
      </c>
      <c r="F269" s="15" t="n">
        <v>171</v>
      </c>
      <c r="G269" s="15" t="n">
        <v>53.15</v>
      </c>
      <c r="H269" s="34" t="n">
        <v>46297</v>
      </c>
      <c r="I269" s="31" t="n"/>
      <c r="J269" s="15" t="n">
        <v>0</v>
      </c>
      <c r="K269" s="15">
        <f>IF(AND(AH!$M$5="Snapshot",'IPO Live'!$M$5="Snapshot"),"",IFERROR(BDP(TEXT(VALUE($A269),"0")&amp;" HK Equity","PX_LAST"),""))</f>
        <v/>
      </c>
      <c r="L269" s="15">
        <f>IF(AND(AH!$M$5="Snapshot",'IPO Live'!$M$5="Snapshot"),"",IFERROR(BDP(TEXT(VALUE($A269),"0")&amp;" HK Equity","CHG_PCT_1D")/100,""))</f>
        <v/>
      </c>
      <c r="M269" s="15">
        <f>IF(AND(AH!$M$5="Snapshot",'IPO Live'!$M$5="Snapshot"),"",IFERROR(BDP(TEXT(VALUE($A269),"0")&amp;" HK Equity","LAST_UPDATE_DT"),""))</f>
        <v/>
      </c>
      <c r="N269" s="15">
        <f>IF(AND(AH!$M$5="Snapshot",'IPO Live'!$M$5="Snapshot"),"",IFERROR(BDP(TEXT(VALUE($A269),"0")&amp;" HK Equity","LAST_UPDATE"),""))</f>
        <v/>
      </c>
      <c r="O269" s="15">
        <f>IF('IPO Live'!$M$5="Snapshot",IF(ISNUMBER(G269),G269,"unavailable"),IF(AND(ISNUMBER(K269),N(K269)&gt;0),K269,IF('IPO Live'!$M$5="Auto",IF(ISNUMBER(G269),G269,"unavailable"),"unavailable")))</f>
        <v/>
      </c>
      <c r="P269" s="15">
        <f>IF(AND('IPO Live'!$M$5&lt;&gt;"Snapshot",ISNUMBER(K269),N(K269)&gt;0),"Bloomberg",IF(AND('IPO Live'!$M$5&lt;&gt;"Bloomberg",ISNUMBER(G269)),"Snapshot","Unavailable"))</f>
        <v/>
      </c>
      <c r="Q269" s="33">
        <f>IF(AND(P269="Bloomberg",ISNUMBER(L269)),L269,"unavailable")</f>
        <v/>
      </c>
      <c r="R269" s="15">
        <f>IF(OR('IPO Live'!$B$5="All",'IPO Live'!$B$5=C269,AND('IPO Live'!$B$5="A/H only",J269&gt;0)),1,0)</f>
        <v/>
      </c>
      <c r="S269" s="15">
        <f>IF(R269=1,COUNTIF($R$5:R269,1),"")</f>
        <v/>
      </c>
      <c r="T269">
        <f>1</f>
        <v/>
      </c>
      <c r="U269">
        <f>IF($P269="Bloomberg",$M269,$H269)</f>
        <v/>
      </c>
      <c r="AW269">
        <f>IF(AND(J269&gt;0,OR(AH!$I$5="All",AH!$I$5="A/H only",AH!$I$5=C269)),1,0)</f>
        <v/>
      </c>
      <c r="AX269">
        <f>IF(AW269=1,COUNTIF($AW$5:AW269,1),"")</f>
        <v/>
      </c>
      <c r="AY269">
        <f>IF(AH!$M$5="Snapshot",IF(ISNUMBER(G269),G269,"unavailable"),IF(AND(ISNUMBER(K269),N(K269)&gt;0),K269,IF(AH!$M$5="Auto",IF(ISNUMBER(G269),G269,"unavailable"),"unavailable")))</f>
        <v/>
      </c>
      <c r="AZ269">
        <f>IF(AND(AH!$M$5&lt;&gt;"Snapshot",ISNUMBER(K269),N(K269)&gt;0),"Bloomberg",IF(AND(AH!$M$5&lt;&gt;"Bloomberg",ISNUMBER(G269)),"Snapshot","Unavailable"))</f>
        <v/>
      </c>
      <c r="BA269">
        <f>IF(AZ269="Bloomberg",M269,H269)</f>
        <v/>
      </c>
      <c r="BB269">
        <f>1</f>
        <v/>
      </c>
    </row>
    <row r="270">
      <c r="A270" s="31" t="inlineStr">
        <is>
          <t>9960</t>
        </is>
      </c>
      <c r="B270" s="15" t="inlineStr">
        <is>
          <t>KINDSTAR GLOBAL</t>
        </is>
      </c>
      <c r="C270" s="15" t="inlineStr">
        <is>
          <t>Healthcare</t>
        </is>
      </c>
      <c r="D270" s="15" t="inlineStr">
        <is>
          <t>CXO / pharma services</t>
        </is>
      </c>
      <c r="E270" s="34" t="n">
        <v>44393</v>
      </c>
      <c r="F270" s="15" t="n">
        <v>9.779999999999999</v>
      </c>
      <c r="G270" s="15" t="n">
        <v>0.9</v>
      </c>
      <c r="H270" s="34" t="n">
        <v>46297</v>
      </c>
      <c r="I270" s="31" t="n"/>
      <c r="J270" s="15" t="n">
        <v>0</v>
      </c>
      <c r="K270" s="15">
        <f>IF(AND(AH!$M$5="Snapshot",'IPO Live'!$M$5="Snapshot"),"",IFERROR(BDP(TEXT(VALUE($A270),"0")&amp;" HK Equity","PX_LAST"),""))</f>
        <v/>
      </c>
      <c r="L270" s="15">
        <f>IF(AND(AH!$M$5="Snapshot",'IPO Live'!$M$5="Snapshot"),"",IFERROR(BDP(TEXT(VALUE($A270),"0")&amp;" HK Equity","CHG_PCT_1D")/100,""))</f>
        <v/>
      </c>
      <c r="M270" s="15">
        <f>IF(AND(AH!$M$5="Snapshot",'IPO Live'!$M$5="Snapshot"),"",IFERROR(BDP(TEXT(VALUE($A270),"0")&amp;" HK Equity","LAST_UPDATE_DT"),""))</f>
        <v/>
      </c>
      <c r="N270" s="15">
        <f>IF(AND(AH!$M$5="Snapshot",'IPO Live'!$M$5="Snapshot"),"",IFERROR(BDP(TEXT(VALUE($A270),"0")&amp;" HK Equity","LAST_UPDATE"),""))</f>
        <v/>
      </c>
      <c r="O270" s="15">
        <f>IF('IPO Live'!$M$5="Snapshot",IF(ISNUMBER(G270),G270,"unavailable"),IF(AND(ISNUMBER(K270),N(K270)&gt;0),K270,IF('IPO Live'!$M$5="Auto",IF(ISNUMBER(G270),G270,"unavailable"),"unavailable")))</f>
        <v/>
      </c>
      <c r="P270" s="15">
        <f>IF(AND('IPO Live'!$M$5&lt;&gt;"Snapshot",ISNUMBER(K270),N(K270)&gt;0),"Bloomberg",IF(AND('IPO Live'!$M$5&lt;&gt;"Bloomberg",ISNUMBER(G270)),"Snapshot","Unavailable"))</f>
        <v/>
      </c>
      <c r="Q270" s="33">
        <f>IF(AND(P270="Bloomberg",ISNUMBER(L270)),L270,"unavailable")</f>
        <v/>
      </c>
      <c r="R270" s="15">
        <f>IF(OR('IPO Live'!$B$5="All",'IPO Live'!$B$5=C270,AND('IPO Live'!$B$5="A/H only",J270&gt;0)),1,0)</f>
        <v/>
      </c>
      <c r="S270" s="15">
        <f>IF(R270=1,COUNTIF($R$5:R270,1),"")</f>
        <v/>
      </c>
      <c r="T270">
        <f>1</f>
        <v/>
      </c>
      <c r="U270">
        <f>IF($P270="Bloomberg",$M270,$H270)</f>
        <v/>
      </c>
      <c r="AW270">
        <f>IF(AND(J270&gt;0,OR(AH!$I$5="All",AH!$I$5="A/H only",AH!$I$5=C270)),1,0)</f>
        <v/>
      </c>
      <c r="AX270">
        <f>IF(AW270=1,COUNTIF($AW$5:AW270,1),"")</f>
        <v/>
      </c>
      <c r="AY270">
        <f>IF(AH!$M$5="Snapshot",IF(ISNUMBER(G270),G270,"unavailable"),IF(AND(ISNUMBER(K270),N(K270)&gt;0),K270,IF(AH!$M$5="Auto",IF(ISNUMBER(G270),G270,"unavailable"),"unavailable")))</f>
        <v/>
      </c>
      <c r="AZ270">
        <f>IF(AND(AH!$M$5&lt;&gt;"Snapshot",ISNUMBER(K270),N(K270)&gt;0),"Bloomberg",IF(AND(AH!$M$5&lt;&gt;"Bloomberg",ISNUMBER(G270)),"Snapshot","Unavailable"))</f>
        <v/>
      </c>
      <c r="BA270">
        <f>IF(AZ270="Bloomberg",M270,H270)</f>
        <v/>
      </c>
      <c r="BB270">
        <f>1</f>
        <v/>
      </c>
    </row>
    <row r="271">
      <c r="A271" s="31" t="inlineStr">
        <is>
          <t>2192</t>
        </is>
      </c>
      <c r="B271" s="15" t="inlineStr">
        <is>
          <t>MEDLIVE</t>
        </is>
      </c>
      <c r="C271" s="15" t="inlineStr">
        <is>
          <t>Healthcare</t>
        </is>
      </c>
      <c r="D271" s="15" t="inlineStr">
        <is>
          <t>Digital health</t>
        </is>
      </c>
      <c r="E271" s="34" t="n">
        <v>44392</v>
      </c>
      <c r="F271" s="15" t="n">
        <v>27.2</v>
      </c>
      <c r="G271" s="15" t="n">
        <v>6.43</v>
      </c>
      <c r="H271" s="34" t="n">
        <v>46297</v>
      </c>
      <c r="I271" s="31" t="n"/>
      <c r="J271" s="15" t="n">
        <v>0</v>
      </c>
      <c r="K271" s="15">
        <f>IF(AND(AH!$M$5="Snapshot",'IPO Live'!$M$5="Snapshot"),"",IFERROR(BDP(TEXT(VALUE($A271),"0")&amp;" HK Equity","PX_LAST"),""))</f>
        <v/>
      </c>
      <c r="L271" s="15">
        <f>IF(AND(AH!$M$5="Snapshot",'IPO Live'!$M$5="Snapshot"),"",IFERROR(BDP(TEXT(VALUE($A271),"0")&amp;" HK Equity","CHG_PCT_1D")/100,""))</f>
        <v/>
      </c>
      <c r="M271" s="15">
        <f>IF(AND(AH!$M$5="Snapshot",'IPO Live'!$M$5="Snapshot"),"",IFERROR(BDP(TEXT(VALUE($A271),"0")&amp;" HK Equity","LAST_UPDATE_DT"),""))</f>
        <v/>
      </c>
      <c r="N271" s="15">
        <f>IF(AND(AH!$M$5="Snapshot",'IPO Live'!$M$5="Snapshot"),"",IFERROR(BDP(TEXT(VALUE($A271),"0")&amp;" HK Equity","LAST_UPDATE"),""))</f>
        <v/>
      </c>
      <c r="O271" s="15">
        <f>IF('IPO Live'!$M$5="Snapshot",IF(ISNUMBER(G271),G271,"unavailable"),IF(AND(ISNUMBER(K271),N(K271)&gt;0),K271,IF('IPO Live'!$M$5="Auto",IF(ISNUMBER(G271),G271,"unavailable"),"unavailable")))</f>
        <v/>
      </c>
      <c r="P271" s="15">
        <f>IF(AND('IPO Live'!$M$5&lt;&gt;"Snapshot",ISNUMBER(K271),N(K271)&gt;0),"Bloomberg",IF(AND('IPO Live'!$M$5&lt;&gt;"Bloomberg",ISNUMBER(G271)),"Snapshot","Unavailable"))</f>
        <v/>
      </c>
      <c r="Q271" s="33">
        <f>IF(AND(P271="Bloomberg",ISNUMBER(L271)),L271,"unavailable")</f>
        <v/>
      </c>
      <c r="R271" s="15">
        <f>IF(OR('IPO Live'!$B$5="All",'IPO Live'!$B$5=C271,AND('IPO Live'!$B$5="A/H only",J271&gt;0)),1,0)</f>
        <v/>
      </c>
      <c r="S271" s="15">
        <f>IF(R271=1,COUNTIF($R$5:R271,1),"")</f>
        <v/>
      </c>
      <c r="T271">
        <f>1</f>
        <v/>
      </c>
      <c r="U271">
        <f>IF($P271="Bloomberg",$M271,$H271)</f>
        <v/>
      </c>
      <c r="AW271">
        <f>IF(AND(J271&gt;0,OR(AH!$I$5="All",AH!$I$5="A/H only",AH!$I$5=C271)),1,0)</f>
        <v/>
      </c>
      <c r="AX271">
        <f>IF(AW271=1,COUNTIF($AW$5:AW271,1),"")</f>
        <v/>
      </c>
      <c r="AY271">
        <f>IF(AH!$M$5="Snapshot",IF(ISNUMBER(G271),G271,"unavailable"),IF(AND(ISNUMBER(K271),N(K271)&gt;0),K271,IF(AH!$M$5="Auto",IF(ISNUMBER(G271),G271,"unavailable"),"unavailable")))</f>
        <v/>
      </c>
      <c r="AZ271">
        <f>IF(AND(AH!$M$5&lt;&gt;"Snapshot",ISNUMBER(K271),N(K271)&gt;0),"Bloomberg",IF(AND(AH!$M$5&lt;&gt;"Bloomberg",ISNUMBER(G271)),"Snapshot","Unavailable"))</f>
        <v/>
      </c>
      <c r="BA271">
        <f>IF(AZ271="Bloomberg",M271,H271)</f>
        <v/>
      </c>
      <c r="BB271">
        <f>1</f>
        <v/>
      </c>
    </row>
    <row r="272">
      <c r="A272" s="31" t="inlineStr">
        <is>
          <t>2137</t>
        </is>
      </c>
      <c r="B272" s="15" t="inlineStr">
        <is>
          <t>BRII - B</t>
        </is>
      </c>
      <c r="C272" s="15" t="inlineStr">
        <is>
          <t>Healthcare</t>
        </is>
      </c>
      <c r="D272" s="15" t="inlineStr">
        <is>
          <t>Biotech pre-revenue (18A)</t>
        </is>
      </c>
      <c r="E272" s="34" t="n">
        <v>44390</v>
      </c>
      <c r="F272" s="15" t="n">
        <v>22.25</v>
      </c>
      <c r="G272" s="15" t="n">
        <v>0.86</v>
      </c>
      <c r="H272" s="34" t="n">
        <v>46297</v>
      </c>
      <c r="I272" s="31" t="n"/>
      <c r="J272" s="15" t="n">
        <v>0</v>
      </c>
      <c r="K272" s="15">
        <f>IF(AND(AH!$M$5="Snapshot",'IPO Live'!$M$5="Snapshot"),"",IFERROR(BDP(TEXT(VALUE($A272),"0")&amp;" HK Equity","PX_LAST"),""))</f>
        <v/>
      </c>
      <c r="L272" s="15">
        <f>IF(AND(AH!$M$5="Snapshot",'IPO Live'!$M$5="Snapshot"),"",IFERROR(BDP(TEXT(VALUE($A272),"0")&amp;" HK Equity","CHG_PCT_1D")/100,""))</f>
        <v/>
      </c>
      <c r="M272" s="15">
        <f>IF(AND(AH!$M$5="Snapshot",'IPO Live'!$M$5="Snapshot"),"",IFERROR(BDP(TEXT(VALUE($A272),"0")&amp;" HK Equity","LAST_UPDATE_DT"),""))</f>
        <v/>
      </c>
      <c r="N272" s="15">
        <f>IF(AND(AH!$M$5="Snapshot",'IPO Live'!$M$5="Snapshot"),"",IFERROR(BDP(TEXT(VALUE($A272),"0")&amp;" HK Equity","LAST_UPDATE"),""))</f>
        <v/>
      </c>
      <c r="O272" s="15">
        <f>IF('IPO Live'!$M$5="Snapshot",IF(ISNUMBER(G272),G272,"unavailable"),IF(AND(ISNUMBER(K272),N(K272)&gt;0),K272,IF('IPO Live'!$M$5="Auto",IF(ISNUMBER(G272),G272,"unavailable"),"unavailable")))</f>
        <v/>
      </c>
      <c r="P272" s="15">
        <f>IF(AND('IPO Live'!$M$5&lt;&gt;"Snapshot",ISNUMBER(K272),N(K272)&gt;0),"Bloomberg",IF(AND('IPO Live'!$M$5&lt;&gt;"Bloomberg",ISNUMBER(G272)),"Snapshot","Unavailable"))</f>
        <v/>
      </c>
      <c r="Q272" s="33">
        <f>IF(AND(P272="Bloomberg",ISNUMBER(L272)),L272,"unavailable")</f>
        <v/>
      </c>
      <c r="R272" s="15">
        <f>IF(OR('IPO Live'!$B$5="All",'IPO Live'!$B$5=C272,AND('IPO Live'!$B$5="A/H only",J272&gt;0)),1,0)</f>
        <v/>
      </c>
      <c r="S272" s="15">
        <f>IF(R272=1,COUNTIF($R$5:R272,1),"")</f>
        <v/>
      </c>
      <c r="T272">
        <f>1</f>
        <v/>
      </c>
      <c r="U272">
        <f>IF($P272="Bloomberg",$M272,$H272)</f>
        <v/>
      </c>
      <c r="AW272">
        <f>IF(AND(J272&gt;0,OR(AH!$I$5="All",AH!$I$5="A/H only",AH!$I$5=C272)),1,0)</f>
        <v/>
      </c>
      <c r="AX272">
        <f>IF(AW272=1,COUNTIF($AW$5:AW272,1),"")</f>
        <v/>
      </c>
      <c r="AY272">
        <f>IF(AH!$M$5="Snapshot",IF(ISNUMBER(G272),G272,"unavailable"),IF(AND(ISNUMBER(K272),N(K272)&gt;0),K272,IF(AH!$M$5="Auto",IF(ISNUMBER(G272),G272,"unavailable"),"unavailable")))</f>
        <v/>
      </c>
      <c r="AZ272">
        <f>IF(AND(AH!$M$5&lt;&gt;"Snapshot",ISNUMBER(K272),N(K272)&gt;0),"Bloomberg",IF(AND(AH!$M$5&lt;&gt;"Bloomberg",ISNUMBER(G272)),"Snapshot","Unavailable"))</f>
        <v/>
      </c>
      <c r="BA272">
        <f>IF(AZ272="Bloomberg",M272,H272)</f>
        <v/>
      </c>
      <c r="BB272">
        <f>1</f>
        <v/>
      </c>
    </row>
    <row r="273">
      <c r="A273" s="31" t="inlineStr">
        <is>
          <t>2162</t>
        </is>
      </c>
      <c r="B273" s="15" t="inlineStr">
        <is>
          <t>KEYMED BIO-B</t>
        </is>
      </c>
      <c r="C273" s="15" t="inlineStr">
        <is>
          <t>Healthcare</t>
        </is>
      </c>
      <c r="D273" s="15" t="inlineStr">
        <is>
          <t>Biotech pre-revenue (18A)</t>
        </is>
      </c>
      <c r="E273" s="34" t="n">
        <v>44385</v>
      </c>
      <c r="F273" s="15" t="n">
        <v>53.3</v>
      </c>
      <c r="G273" s="15" t="n">
        <v>78.84999999999999</v>
      </c>
      <c r="H273" s="34" t="n">
        <v>46297</v>
      </c>
      <c r="I273" s="31" t="n"/>
      <c r="J273" s="15" t="n">
        <v>0</v>
      </c>
      <c r="K273" s="15">
        <f>IF(AND(AH!$M$5="Snapshot",'IPO Live'!$M$5="Snapshot"),"",IFERROR(BDP(TEXT(VALUE($A273),"0")&amp;" HK Equity","PX_LAST"),""))</f>
        <v/>
      </c>
      <c r="L273" s="15">
        <f>IF(AND(AH!$M$5="Snapshot",'IPO Live'!$M$5="Snapshot"),"",IFERROR(BDP(TEXT(VALUE($A273),"0")&amp;" HK Equity","CHG_PCT_1D")/100,""))</f>
        <v/>
      </c>
      <c r="M273" s="15">
        <f>IF(AND(AH!$M$5="Snapshot",'IPO Live'!$M$5="Snapshot"),"",IFERROR(BDP(TEXT(VALUE($A273),"0")&amp;" HK Equity","LAST_UPDATE_DT"),""))</f>
        <v/>
      </c>
      <c r="N273" s="15">
        <f>IF(AND(AH!$M$5="Snapshot",'IPO Live'!$M$5="Snapshot"),"",IFERROR(BDP(TEXT(VALUE($A273),"0")&amp;" HK Equity","LAST_UPDATE"),""))</f>
        <v/>
      </c>
      <c r="O273" s="15">
        <f>IF('IPO Live'!$M$5="Snapshot",IF(ISNUMBER(G273),G273,"unavailable"),IF(AND(ISNUMBER(K273),N(K273)&gt;0),K273,IF('IPO Live'!$M$5="Auto",IF(ISNUMBER(G273),G273,"unavailable"),"unavailable")))</f>
        <v/>
      </c>
      <c r="P273" s="15">
        <f>IF(AND('IPO Live'!$M$5&lt;&gt;"Snapshot",ISNUMBER(K273),N(K273)&gt;0),"Bloomberg",IF(AND('IPO Live'!$M$5&lt;&gt;"Bloomberg",ISNUMBER(G273)),"Snapshot","Unavailable"))</f>
        <v/>
      </c>
      <c r="Q273" s="33">
        <f>IF(AND(P273="Bloomberg",ISNUMBER(L273)),L273,"unavailable")</f>
        <v/>
      </c>
      <c r="R273" s="15">
        <f>IF(OR('IPO Live'!$B$5="All",'IPO Live'!$B$5=C273,AND('IPO Live'!$B$5="A/H only",J273&gt;0)),1,0)</f>
        <v/>
      </c>
      <c r="S273" s="15">
        <f>IF(R273=1,COUNTIF($R$5:R273,1),"")</f>
        <v/>
      </c>
      <c r="T273">
        <f>1</f>
        <v/>
      </c>
      <c r="U273">
        <f>IF($P273="Bloomberg",$M273,$H273)</f>
        <v/>
      </c>
      <c r="AW273">
        <f>IF(AND(J273&gt;0,OR(AH!$I$5="All",AH!$I$5="A/H only",AH!$I$5=C273)),1,0)</f>
        <v/>
      </c>
      <c r="AX273">
        <f>IF(AW273=1,COUNTIF($AW$5:AW273,1),"")</f>
        <v/>
      </c>
      <c r="AY273">
        <f>IF(AH!$M$5="Snapshot",IF(ISNUMBER(G273),G273,"unavailable"),IF(AND(ISNUMBER(K273),N(K273)&gt;0),K273,IF(AH!$M$5="Auto",IF(ISNUMBER(G273),G273,"unavailable"),"unavailable")))</f>
        <v/>
      </c>
      <c r="AZ273">
        <f>IF(AND(AH!$M$5&lt;&gt;"Snapshot",ISNUMBER(K273),N(K273)&gt;0),"Bloomberg",IF(AND(AH!$M$5&lt;&gt;"Bloomberg",ISNUMBER(G273)),"Snapshot","Unavailable"))</f>
        <v/>
      </c>
      <c r="BA273">
        <f>IF(AZ273="Bloomberg",M273,H273)</f>
        <v/>
      </c>
      <c r="BB273">
        <f>1</f>
        <v/>
      </c>
    </row>
    <row r="274">
      <c r="A274" s="31" t="inlineStr">
        <is>
          <t>2219</t>
        </is>
      </c>
      <c r="B274" s="15" t="inlineStr">
        <is>
          <t>CHAOJU EYE CARE</t>
        </is>
      </c>
      <c r="C274" s="15" t="inlineStr">
        <is>
          <t>Healthcare</t>
        </is>
      </c>
      <c r="D274" s="15" t="inlineStr">
        <is>
          <t>Hospitals / clinics</t>
        </is>
      </c>
      <c r="E274" s="34" t="n">
        <v>44384</v>
      </c>
      <c r="F274" s="15" t="n">
        <v>10.6</v>
      </c>
      <c r="G274" s="15" t="n">
        <v>2.395</v>
      </c>
      <c r="H274" s="34" t="n">
        <v>46297</v>
      </c>
      <c r="I274" s="31" t="n"/>
      <c r="J274" s="15" t="n">
        <v>0</v>
      </c>
      <c r="K274" s="15">
        <f>IF(AND(AH!$M$5="Snapshot",'IPO Live'!$M$5="Snapshot"),"",IFERROR(BDP(TEXT(VALUE($A274),"0")&amp;" HK Equity","PX_LAST"),""))</f>
        <v/>
      </c>
      <c r="L274" s="15">
        <f>IF(AND(AH!$M$5="Snapshot",'IPO Live'!$M$5="Snapshot"),"",IFERROR(BDP(TEXT(VALUE($A274),"0")&amp;" HK Equity","CHG_PCT_1D")/100,""))</f>
        <v/>
      </c>
      <c r="M274" s="15">
        <f>IF(AND(AH!$M$5="Snapshot",'IPO Live'!$M$5="Snapshot"),"",IFERROR(BDP(TEXT(VALUE($A274),"0")&amp;" HK Equity","LAST_UPDATE_DT"),""))</f>
        <v/>
      </c>
      <c r="N274" s="15">
        <f>IF(AND(AH!$M$5="Snapshot",'IPO Live'!$M$5="Snapshot"),"",IFERROR(BDP(TEXT(VALUE($A274),"0")&amp;" HK Equity","LAST_UPDATE"),""))</f>
        <v/>
      </c>
      <c r="O274" s="15">
        <f>IF('IPO Live'!$M$5="Snapshot",IF(ISNUMBER(G274),G274,"unavailable"),IF(AND(ISNUMBER(K274),N(K274)&gt;0),K274,IF('IPO Live'!$M$5="Auto",IF(ISNUMBER(G274),G274,"unavailable"),"unavailable")))</f>
        <v/>
      </c>
      <c r="P274" s="15">
        <f>IF(AND('IPO Live'!$M$5&lt;&gt;"Snapshot",ISNUMBER(K274),N(K274)&gt;0),"Bloomberg",IF(AND('IPO Live'!$M$5&lt;&gt;"Bloomberg",ISNUMBER(G274)),"Snapshot","Unavailable"))</f>
        <v/>
      </c>
      <c r="Q274" s="33">
        <f>IF(AND(P274="Bloomberg",ISNUMBER(L274)),L274,"unavailable")</f>
        <v/>
      </c>
      <c r="R274" s="15">
        <f>IF(OR('IPO Live'!$B$5="All",'IPO Live'!$B$5=C274,AND('IPO Live'!$B$5="A/H only",J274&gt;0)),1,0)</f>
        <v/>
      </c>
      <c r="S274" s="15">
        <f>IF(R274=1,COUNTIF($R$5:R274,1),"")</f>
        <v/>
      </c>
      <c r="T274">
        <f>1</f>
        <v/>
      </c>
      <c r="U274">
        <f>IF($P274="Bloomberg",$M274,$H274)</f>
        <v/>
      </c>
      <c r="AW274">
        <f>IF(AND(J274&gt;0,OR(AH!$I$5="All",AH!$I$5="A/H only",AH!$I$5=C274)),1,0)</f>
        <v/>
      </c>
      <c r="AX274">
        <f>IF(AW274=1,COUNTIF($AW$5:AW274,1),"")</f>
        <v/>
      </c>
      <c r="AY274">
        <f>IF(AH!$M$5="Snapshot",IF(ISNUMBER(G274),G274,"unavailable"),IF(AND(ISNUMBER(K274),N(K274)&gt;0),K274,IF(AH!$M$5="Auto",IF(ISNUMBER(G274),G274,"unavailable"),"unavailable")))</f>
        <v/>
      </c>
      <c r="AZ274">
        <f>IF(AND(AH!$M$5&lt;&gt;"Snapshot",ISNUMBER(K274),N(K274)&gt;0),"Bloomberg",IF(AND(AH!$M$5&lt;&gt;"Bloomberg",ISNUMBER(G274)),"Snapshot","Unavailable"))</f>
        <v/>
      </c>
      <c r="BA274">
        <f>IF(AZ274="Bloomberg",M274,H274)</f>
        <v/>
      </c>
      <c r="BB274">
        <f>1</f>
        <v/>
      </c>
    </row>
    <row r="275">
      <c r="A275" s="31" t="inlineStr">
        <is>
          <t>2190</t>
        </is>
      </c>
      <c r="B275" s="15" t="inlineStr">
        <is>
          <t>ZYLOXTB-B</t>
        </is>
      </c>
      <c r="C275" s="15" t="inlineStr">
        <is>
          <t>Healthcare</t>
        </is>
      </c>
      <c r="D275" s="15" t="inlineStr">
        <is>
          <t>Medical devices</t>
        </is>
      </c>
      <c r="E275" s="34" t="n">
        <v>44382</v>
      </c>
      <c r="F275" s="15" t="n">
        <v>42.7</v>
      </c>
      <c r="G275" s="15" t="n">
        <v>21.44</v>
      </c>
      <c r="H275" s="34" t="n">
        <v>46297</v>
      </c>
      <c r="I275" s="31" t="n"/>
      <c r="J275" s="15" t="n">
        <v>0</v>
      </c>
      <c r="K275" s="15">
        <f>IF(AND(AH!$M$5="Snapshot",'IPO Live'!$M$5="Snapshot"),"",IFERROR(BDP(TEXT(VALUE($A275),"0")&amp;" HK Equity","PX_LAST"),""))</f>
        <v/>
      </c>
      <c r="L275" s="15">
        <f>IF(AND(AH!$M$5="Snapshot",'IPO Live'!$M$5="Snapshot"),"",IFERROR(BDP(TEXT(VALUE($A275),"0")&amp;" HK Equity","CHG_PCT_1D")/100,""))</f>
        <v/>
      </c>
      <c r="M275" s="15">
        <f>IF(AND(AH!$M$5="Snapshot",'IPO Live'!$M$5="Snapshot"),"",IFERROR(BDP(TEXT(VALUE($A275),"0")&amp;" HK Equity","LAST_UPDATE_DT"),""))</f>
        <v/>
      </c>
      <c r="N275" s="15">
        <f>IF(AND(AH!$M$5="Snapshot",'IPO Live'!$M$5="Snapshot"),"",IFERROR(BDP(TEXT(VALUE($A275),"0")&amp;" HK Equity","LAST_UPDATE"),""))</f>
        <v/>
      </c>
      <c r="O275" s="15">
        <f>IF('IPO Live'!$M$5="Snapshot",IF(ISNUMBER(G275),G275,"unavailable"),IF(AND(ISNUMBER(K275),N(K275)&gt;0),K275,IF('IPO Live'!$M$5="Auto",IF(ISNUMBER(G275),G275,"unavailable"),"unavailable")))</f>
        <v/>
      </c>
      <c r="P275" s="15">
        <f>IF(AND('IPO Live'!$M$5&lt;&gt;"Snapshot",ISNUMBER(K275),N(K275)&gt;0),"Bloomberg",IF(AND('IPO Live'!$M$5&lt;&gt;"Bloomberg",ISNUMBER(G275)),"Snapshot","Unavailable"))</f>
        <v/>
      </c>
      <c r="Q275" s="33">
        <f>IF(AND(P275="Bloomberg",ISNUMBER(L275)),L275,"unavailable")</f>
        <v/>
      </c>
      <c r="R275" s="15">
        <f>IF(OR('IPO Live'!$B$5="All",'IPO Live'!$B$5=C275,AND('IPO Live'!$B$5="A/H only",J275&gt;0)),1,0)</f>
        <v/>
      </c>
      <c r="S275" s="15">
        <f>IF(R275=1,COUNTIF($R$5:R275,1),"")</f>
        <v/>
      </c>
      <c r="T275">
        <f>1</f>
        <v/>
      </c>
      <c r="U275">
        <f>IF($P275="Bloomberg",$M275,$H275)</f>
        <v/>
      </c>
      <c r="AW275">
        <f>IF(AND(J275&gt;0,OR(AH!$I$5="All",AH!$I$5="A/H only",AH!$I$5=C275)),1,0)</f>
        <v/>
      </c>
      <c r="AX275">
        <f>IF(AW275=1,COUNTIF($AW$5:AW275,1),"")</f>
        <v/>
      </c>
      <c r="AY275">
        <f>IF(AH!$M$5="Snapshot",IF(ISNUMBER(G275),G275,"unavailable"),IF(AND(ISNUMBER(K275),N(K275)&gt;0),K275,IF(AH!$M$5="Auto",IF(ISNUMBER(G275),G275,"unavailable"),"unavailable")))</f>
        <v/>
      </c>
      <c r="AZ275">
        <f>IF(AND(AH!$M$5&lt;&gt;"Snapshot",ISNUMBER(K275),N(K275)&gt;0),"Bloomberg",IF(AND(AH!$M$5&lt;&gt;"Bloomberg",ISNUMBER(G275)),"Snapshot","Unavailable"))</f>
        <v/>
      </c>
      <c r="BA275">
        <f>IF(AZ275="Bloomberg",M275,H275)</f>
        <v/>
      </c>
      <c r="BB275">
        <f>1</f>
        <v/>
      </c>
    </row>
    <row r="276">
      <c r="A276" s="31" t="inlineStr">
        <is>
          <t>0013</t>
        </is>
      </c>
      <c r="B276" s="15" t="inlineStr">
        <is>
          <t>HUTCHMED</t>
        </is>
      </c>
      <c r="C276" s="15" t="inlineStr">
        <is>
          <t>Healthcare</t>
        </is>
      </c>
      <c r="D276" s="15" t="inlineStr">
        <is>
          <t>Biopharma commercial</t>
        </is>
      </c>
      <c r="E276" s="34" t="n">
        <v>44377</v>
      </c>
      <c r="F276" s="15" t="n">
        <v>40.1</v>
      </c>
      <c r="G276" s="15" t="n">
        <v>22.5</v>
      </c>
      <c r="H276" s="34" t="n">
        <v>46297</v>
      </c>
      <c r="I276" s="31" t="n"/>
      <c r="J276" s="15" t="n">
        <v>0</v>
      </c>
      <c r="K276" s="15">
        <f>IF(AND(AH!$M$5="Snapshot",'IPO Live'!$M$5="Snapshot"),"",IFERROR(BDP(TEXT(VALUE($A276),"0")&amp;" HK Equity","PX_LAST"),""))</f>
        <v/>
      </c>
      <c r="L276" s="15">
        <f>IF(AND(AH!$M$5="Snapshot",'IPO Live'!$M$5="Snapshot"),"",IFERROR(BDP(TEXT(VALUE($A276),"0")&amp;" HK Equity","CHG_PCT_1D")/100,""))</f>
        <v/>
      </c>
      <c r="M276" s="15">
        <f>IF(AND(AH!$M$5="Snapshot",'IPO Live'!$M$5="Snapshot"),"",IFERROR(BDP(TEXT(VALUE($A276),"0")&amp;" HK Equity","LAST_UPDATE_DT"),""))</f>
        <v/>
      </c>
      <c r="N276" s="15">
        <f>IF(AND(AH!$M$5="Snapshot",'IPO Live'!$M$5="Snapshot"),"",IFERROR(BDP(TEXT(VALUE($A276),"0")&amp;" HK Equity","LAST_UPDATE"),""))</f>
        <v/>
      </c>
      <c r="O276" s="15">
        <f>IF('IPO Live'!$M$5="Snapshot",IF(ISNUMBER(G276),G276,"unavailable"),IF(AND(ISNUMBER(K276),N(K276)&gt;0),K276,IF('IPO Live'!$M$5="Auto",IF(ISNUMBER(G276),G276,"unavailable"),"unavailable")))</f>
        <v/>
      </c>
      <c r="P276" s="15">
        <f>IF(AND('IPO Live'!$M$5&lt;&gt;"Snapshot",ISNUMBER(K276),N(K276)&gt;0),"Bloomberg",IF(AND('IPO Live'!$M$5&lt;&gt;"Bloomberg",ISNUMBER(G276)),"Snapshot","Unavailable"))</f>
        <v/>
      </c>
      <c r="Q276" s="33">
        <f>IF(AND(P276="Bloomberg",ISNUMBER(L276)),L276,"unavailable")</f>
        <v/>
      </c>
      <c r="R276" s="15">
        <f>IF(OR('IPO Live'!$B$5="All",'IPO Live'!$B$5=C276,AND('IPO Live'!$B$5="A/H only",J276&gt;0)),1,0)</f>
        <v/>
      </c>
      <c r="S276" s="15">
        <f>IF(R276=1,COUNTIF($R$5:R276,1),"")</f>
        <v/>
      </c>
      <c r="T276">
        <f>1</f>
        <v/>
      </c>
      <c r="U276">
        <f>IF($P276="Bloomberg",$M276,$H276)</f>
        <v/>
      </c>
      <c r="AW276">
        <f>IF(AND(J276&gt;0,OR(AH!$I$5="All",AH!$I$5="A/H only",AH!$I$5=C276)),1,0)</f>
        <v/>
      </c>
      <c r="AX276">
        <f>IF(AW276=1,COUNTIF($AW$5:AW276,1),"")</f>
        <v/>
      </c>
      <c r="AY276">
        <f>IF(AH!$M$5="Snapshot",IF(ISNUMBER(G276),G276,"unavailable"),IF(AND(ISNUMBER(K276),N(K276)&gt;0),K276,IF(AH!$M$5="Auto",IF(ISNUMBER(G276),G276,"unavailable"),"unavailable")))</f>
        <v/>
      </c>
      <c r="AZ276">
        <f>IF(AND(AH!$M$5&lt;&gt;"Snapshot",ISNUMBER(K276),N(K276)&gt;0),"Bloomberg",IF(AND(AH!$M$5&lt;&gt;"Bloomberg",ISNUMBER(G276)),"Snapshot","Unavailable"))</f>
        <v/>
      </c>
      <c r="BA276">
        <f>IF(AZ276="Bloomberg",M276,H276)</f>
        <v/>
      </c>
      <c r="BB276">
        <f>1</f>
        <v/>
      </c>
    </row>
    <row r="277">
      <c r="A277" s="31" t="inlineStr">
        <is>
          <t>2171</t>
        </is>
      </c>
      <c r="B277" s="15" t="inlineStr">
        <is>
          <t>CARSGEN-B</t>
        </is>
      </c>
      <c r="C277" s="15" t="inlineStr">
        <is>
          <t>Healthcare</t>
        </is>
      </c>
      <c r="D277" s="15" t="inlineStr">
        <is>
          <t>Biotech pre-revenue (18A)</t>
        </is>
      </c>
      <c r="E277" s="34" t="n">
        <v>44365</v>
      </c>
      <c r="F277" s="15" t="n">
        <v>32.8</v>
      </c>
      <c r="G277" s="15" t="n">
        <v>12.45</v>
      </c>
      <c r="H277" s="34" t="n">
        <v>46297</v>
      </c>
      <c r="I277" s="31" t="n"/>
      <c r="J277" s="15" t="n">
        <v>0</v>
      </c>
      <c r="K277" s="15">
        <f>IF(AND(AH!$M$5="Snapshot",'IPO Live'!$M$5="Snapshot"),"",IFERROR(BDP(TEXT(VALUE($A277),"0")&amp;" HK Equity","PX_LAST"),""))</f>
        <v/>
      </c>
      <c r="L277" s="15">
        <f>IF(AND(AH!$M$5="Snapshot",'IPO Live'!$M$5="Snapshot"),"",IFERROR(BDP(TEXT(VALUE($A277),"0")&amp;" HK Equity","CHG_PCT_1D")/100,""))</f>
        <v/>
      </c>
      <c r="M277" s="15">
        <f>IF(AND(AH!$M$5="Snapshot",'IPO Live'!$M$5="Snapshot"),"",IFERROR(BDP(TEXT(VALUE($A277),"0")&amp;" HK Equity","LAST_UPDATE_DT"),""))</f>
        <v/>
      </c>
      <c r="N277" s="15">
        <f>IF(AND(AH!$M$5="Snapshot",'IPO Live'!$M$5="Snapshot"),"",IFERROR(BDP(TEXT(VALUE($A277),"0")&amp;" HK Equity","LAST_UPDATE"),""))</f>
        <v/>
      </c>
      <c r="O277" s="15">
        <f>IF('IPO Live'!$M$5="Snapshot",IF(ISNUMBER(G277),G277,"unavailable"),IF(AND(ISNUMBER(K277),N(K277)&gt;0),K277,IF('IPO Live'!$M$5="Auto",IF(ISNUMBER(G277),G277,"unavailable"),"unavailable")))</f>
        <v/>
      </c>
      <c r="P277" s="15">
        <f>IF(AND('IPO Live'!$M$5&lt;&gt;"Snapshot",ISNUMBER(K277),N(K277)&gt;0),"Bloomberg",IF(AND('IPO Live'!$M$5&lt;&gt;"Bloomberg",ISNUMBER(G277)),"Snapshot","Unavailable"))</f>
        <v/>
      </c>
      <c r="Q277" s="33">
        <f>IF(AND(P277="Bloomberg",ISNUMBER(L277)),L277,"unavailable")</f>
        <v/>
      </c>
      <c r="R277" s="15">
        <f>IF(OR('IPO Live'!$B$5="All",'IPO Live'!$B$5=C277,AND('IPO Live'!$B$5="A/H only",J277&gt;0)),1,0)</f>
        <v/>
      </c>
      <c r="S277" s="15">
        <f>IF(R277=1,COUNTIF($R$5:R277,1),"")</f>
        <v/>
      </c>
      <c r="T277">
        <f>1</f>
        <v/>
      </c>
      <c r="U277">
        <f>IF($P277="Bloomberg",$M277,$H277)</f>
        <v/>
      </c>
      <c r="AW277">
        <f>IF(AND(J277&gt;0,OR(AH!$I$5="All",AH!$I$5="A/H only",AH!$I$5=C277)),1,0)</f>
        <v/>
      </c>
      <c r="AX277">
        <f>IF(AW277=1,COUNTIF($AW$5:AW277,1),"")</f>
        <v/>
      </c>
      <c r="AY277">
        <f>IF(AH!$M$5="Snapshot",IF(ISNUMBER(G277),G277,"unavailable"),IF(AND(ISNUMBER(K277),N(K277)&gt;0),K277,IF(AH!$M$5="Auto",IF(ISNUMBER(G277),G277,"unavailable"),"unavailable")))</f>
        <v/>
      </c>
      <c r="AZ277">
        <f>IF(AND(AH!$M$5&lt;&gt;"Snapshot",ISNUMBER(K277),N(K277)&gt;0),"Bloomberg",IF(AND(AH!$M$5&lt;&gt;"Bloomberg",ISNUMBER(G277)),"Snapshot","Unavailable"))</f>
        <v/>
      </c>
      <c r="BA277">
        <f>IF(AZ277="Bloomberg",M277,H277)</f>
        <v/>
      </c>
      <c r="BB277">
        <f>1</f>
        <v/>
      </c>
    </row>
    <row r="278">
      <c r="A278" s="31" t="inlineStr">
        <is>
          <t>6699</t>
        </is>
      </c>
      <c r="B278" s="15" t="inlineStr">
        <is>
          <t>ANGELALIGN</t>
        </is>
      </c>
      <c r="C278" s="15" t="inlineStr">
        <is>
          <t>Healthcare</t>
        </is>
      </c>
      <c r="D278" s="15" t="inlineStr">
        <is>
          <t>Medical devices</t>
        </is>
      </c>
      <c r="E278" s="34" t="n">
        <v>44363</v>
      </c>
      <c r="F278" s="15" t="n">
        <v>173</v>
      </c>
      <c r="G278" s="15" t="n">
        <v>84.55</v>
      </c>
      <c r="H278" s="34" t="n">
        <v>46297</v>
      </c>
      <c r="I278" s="31" t="n"/>
      <c r="J278" s="15" t="n">
        <v>0</v>
      </c>
      <c r="K278" s="15">
        <f>IF(AND(AH!$M$5="Snapshot",'IPO Live'!$M$5="Snapshot"),"",IFERROR(BDP(TEXT(VALUE($A278),"0")&amp;" HK Equity","PX_LAST"),""))</f>
        <v/>
      </c>
      <c r="L278" s="15">
        <f>IF(AND(AH!$M$5="Snapshot",'IPO Live'!$M$5="Snapshot"),"",IFERROR(BDP(TEXT(VALUE($A278),"0")&amp;" HK Equity","CHG_PCT_1D")/100,""))</f>
        <v/>
      </c>
      <c r="M278" s="15">
        <f>IF(AND(AH!$M$5="Snapshot",'IPO Live'!$M$5="Snapshot"),"",IFERROR(BDP(TEXT(VALUE($A278),"0")&amp;" HK Equity","LAST_UPDATE_DT"),""))</f>
        <v/>
      </c>
      <c r="N278" s="15">
        <f>IF(AND(AH!$M$5="Snapshot",'IPO Live'!$M$5="Snapshot"),"",IFERROR(BDP(TEXT(VALUE($A278),"0")&amp;" HK Equity","LAST_UPDATE"),""))</f>
        <v/>
      </c>
      <c r="O278" s="15">
        <f>IF('IPO Live'!$M$5="Snapshot",IF(ISNUMBER(G278),G278,"unavailable"),IF(AND(ISNUMBER(K278),N(K278)&gt;0),K278,IF('IPO Live'!$M$5="Auto",IF(ISNUMBER(G278),G278,"unavailable"),"unavailable")))</f>
        <v/>
      </c>
      <c r="P278" s="15">
        <f>IF(AND('IPO Live'!$M$5&lt;&gt;"Snapshot",ISNUMBER(K278),N(K278)&gt;0),"Bloomberg",IF(AND('IPO Live'!$M$5&lt;&gt;"Bloomberg",ISNUMBER(G278)),"Snapshot","Unavailable"))</f>
        <v/>
      </c>
      <c r="Q278" s="33">
        <f>IF(AND(P278="Bloomberg",ISNUMBER(L278)),L278,"unavailable")</f>
        <v/>
      </c>
      <c r="R278" s="15">
        <f>IF(OR('IPO Live'!$B$5="All",'IPO Live'!$B$5=C278,AND('IPO Live'!$B$5="A/H only",J278&gt;0)),1,0)</f>
        <v/>
      </c>
      <c r="S278" s="15">
        <f>IF(R278=1,COUNTIF($R$5:R278,1),"")</f>
        <v/>
      </c>
      <c r="T278">
        <f>1</f>
        <v/>
      </c>
      <c r="U278">
        <f>IF($P278="Bloomberg",$M278,$H278)</f>
        <v/>
      </c>
      <c r="AW278">
        <f>IF(AND(J278&gt;0,OR(AH!$I$5="All",AH!$I$5="A/H only",AH!$I$5=C278)),1,0)</f>
        <v/>
      </c>
      <c r="AX278">
        <f>IF(AW278=1,COUNTIF($AW$5:AW278,1),"")</f>
        <v/>
      </c>
      <c r="AY278">
        <f>IF(AH!$M$5="Snapshot",IF(ISNUMBER(G278),G278,"unavailable"),IF(AND(ISNUMBER(K278),N(K278)&gt;0),K278,IF(AH!$M$5="Auto",IF(ISNUMBER(G278),G278,"unavailable"),"unavailable")))</f>
        <v/>
      </c>
      <c r="AZ278">
        <f>IF(AND(AH!$M$5&lt;&gt;"Snapshot",ISNUMBER(K278),N(K278)&gt;0),"Bloomberg",IF(AND(AH!$M$5&lt;&gt;"Bloomberg",ISNUMBER(G278)),"Snapshot","Unavailable"))</f>
        <v/>
      </c>
      <c r="BA278">
        <f>IF(AZ278="Bloomberg",M278,H278)</f>
        <v/>
      </c>
      <c r="BB278">
        <f>1</f>
        <v/>
      </c>
    </row>
    <row r="279">
      <c r="A279" s="31" t="inlineStr">
        <is>
          <t>6622</t>
        </is>
      </c>
      <c r="B279" s="15" t="inlineStr">
        <is>
          <t>ZHAOKE OPHTH-B</t>
        </is>
      </c>
      <c r="C279" s="15" t="inlineStr">
        <is>
          <t>Healthcare</t>
        </is>
      </c>
      <c r="D279" s="15" t="inlineStr">
        <is>
          <t>Biotech pre-revenue (18A)</t>
        </is>
      </c>
      <c r="E279" s="34" t="n">
        <v>44315</v>
      </c>
      <c r="F279" s="15" t="n">
        <v>16.8</v>
      </c>
      <c r="G279" s="15" t="n">
        <v>2.485</v>
      </c>
      <c r="H279" s="34" t="n">
        <v>46297</v>
      </c>
      <c r="I279" s="31" t="n"/>
      <c r="J279" s="15" t="n">
        <v>0</v>
      </c>
      <c r="K279" s="15">
        <f>IF(AND(AH!$M$5="Snapshot",'IPO Live'!$M$5="Snapshot"),"",IFERROR(BDP(TEXT(VALUE($A279),"0")&amp;" HK Equity","PX_LAST"),""))</f>
        <v/>
      </c>
      <c r="L279" s="15">
        <f>IF(AND(AH!$M$5="Snapshot",'IPO Live'!$M$5="Snapshot"),"",IFERROR(BDP(TEXT(VALUE($A279),"0")&amp;" HK Equity","CHG_PCT_1D")/100,""))</f>
        <v/>
      </c>
      <c r="M279" s="15">
        <f>IF(AND(AH!$M$5="Snapshot",'IPO Live'!$M$5="Snapshot"),"",IFERROR(BDP(TEXT(VALUE($A279),"0")&amp;" HK Equity","LAST_UPDATE_DT"),""))</f>
        <v/>
      </c>
      <c r="N279" s="15">
        <f>IF(AND(AH!$M$5="Snapshot",'IPO Live'!$M$5="Snapshot"),"",IFERROR(BDP(TEXT(VALUE($A279),"0")&amp;" HK Equity","LAST_UPDATE"),""))</f>
        <v/>
      </c>
      <c r="O279" s="15">
        <f>IF('IPO Live'!$M$5="Snapshot",IF(ISNUMBER(G279),G279,"unavailable"),IF(AND(ISNUMBER(K279),N(K279)&gt;0),K279,IF('IPO Live'!$M$5="Auto",IF(ISNUMBER(G279),G279,"unavailable"),"unavailable")))</f>
        <v/>
      </c>
      <c r="P279" s="15">
        <f>IF(AND('IPO Live'!$M$5&lt;&gt;"Snapshot",ISNUMBER(K279),N(K279)&gt;0),"Bloomberg",IF(AND('IPO Live'!$M$5&lt;&gt;"Bloomberg",ISNUMBER(G279)),"Snapshot","Unavailable"))</f>
        <v/>
      </c>
      <c r="Q279" s="33">
        <f>IF(AND(P279="Bloomberg",ISNUMBER(L279)),L279,"unavailable")</f>
        <v/>
      </c>
      <c r="R279" s="15">
        <f>IF(OR('IPO Live'!$B$5="All",'IPO Live'!$B$5=C279,AND('IPO Live'!$B$5="A/H only",J279&gt;0)),1,0)</f>
        <v/>
      </c>
      <c r="S279" s="15">
        <f>IF(R279=1,COUNTIF($R$5:R279,1),"")</f>
        <v/>
      </c>
      <c r="T279">
        <f>1</f>
        <v/>
      </c>
      <c r="U279">
        <f>IF($P279="Bloomberg",$M279,$H279)</f>
        <v/>
      </c>
      <c r="AW279">
        <f>IF(AND(J279&gt;0,OR(AH!$I$5="All",AH!$I$5="A/H only",AH!$I$5=C279)),1,0)</f>
        <v/>
      </c>
      <c r="AX279">
        <f>IF(AW279=1,COUNTIF($AW$5:AW279,1),"")</f>
        <v/>
      </c>
      <c r="AY279">
        <f>IF(AH!$M$5="Snapshot",IF(ISNUMBER(G279),G279,"unavailable"),IF(AND(ISNUMBER(K279),N(K279)&gt;0),K279,IF(AH!$M$5="Auto",IF(ISNUMBER(G279),G279,"unavailable"),"unavailable")))</f>
        <v/>
      </c>
      <c r="AZ279">
        <f>IF(AND(AH!$M$5&lt;&gt;"Snapshot",ISNUMBER(K279),N(K279)&gt;0),"Bloomberg",IF(AND(AH!$M$5&lt;&gt;"Bloomberg",ISNUMBER(G279)),"Snapshot","Unavailable"))</f>
        <v/>
      </c>
      <c r="BA279">
        <f>IF(AZ279="Bloomberg",M279,H279)</f>
        <v/>
      </c>
      <c r="BB279">
        <f>1</f>
        <v/>
      </c>
    </row>
    <row r="280">
      <c r="A280" s="31" t="inlineStr">
        <is>
          <t>6127</t>
        </is>
      </c>
      <c r="B280" s="15" t="inlineStr">
        <is>
          <t>JOINN</t>
        </is>
      </c>
      <c r="C280" s="15" t="inlineStr">
        <is>
          <t>Healthcare</t>
        </is>
      </c>
      <c r="D280" s="15" t="inlineStr">
        <is>
          <t>CXO / pharma services</t>
        </is>
      </c>
      <c r="E280" s="34" t="n">
        <v>44253</v>
      </c>
      <c r="F280" s="15" t="n">
        <v>151</v>
      </c>
      <c r="G280" s="15" t="n">
        <v>83.47248</v>
      </c>
      <c r="H280" s="34" t="n">
        <v>46297</v>
      </c>
      <c r="I280" s="31" t="inlineStr">
        <is>
          <t>603127.SS</t>
        </is>
      </c>
      <c r="J280" s="15" t="n">
        <v>5</v>
      </c>
      <c r="K280" s="15">
        <f>IF(AND(AH!$M$5="Snapshot",'IPO Live'!$M$5="Snapshot"),"",IFERROR(BDP(TEXT(VALUE($A280),"0")&amp;" HK Equity","PX_LAST"),""))</f>
        <v/>
      </c>
      <c r="L280" s="15">
        <f>IF(AND(AH!$M$5="Snapshot",'IPO Live'!$M$5="Snapshot"),"",IFERROR(BDP(TEXT(VALUE($A280),"0")&amp;" HK Equity","CHG_PCT_1D")/100,""))</f>
        <v/>
      </c>
      <c r="M280" s="15">
        <f>IF(AND(AH!$M$5="Snapshot",'IPO Live'!$M$5="Snapshot"),"",IFERROR(BDP(TEXT(VALUE($A280),"0")&amp;" HK Equity","LAST_UPDATE_DT"),""))</f>
        <v/>
      </c>
      <c r="N280" s="15">
        <f>IF(AND(AH!$M$5="Snapshot",'IPO Live'!$M$5="Snapshot"),"",IFERROR(BDP(TEXT(VALUE($A280),"0")&amp;" HK Equity","LAST_UPDATE"),""))</f>
        <v/>
      </c>
      <c r="O280" s="15">
        <f>IF('IPO Live'!$M$5="Snapshot",IF(ISNUMBER(G280),G280,"unavailable"),IF(AND(ISNUMBER(K280),N(K280)&gt;0),K280,IF('IPO Live'!$M$5="Auto",IF(ISNUMBER(G280),G280,"unavailable"),"unavailable")))</f>
        <v/>
      </c>
      <c r="P280" s="15">
        <f>IF(AND('IPO Live'!$M$5&lt;&gt;"Snapshot",ISNUMBER(K280),N(K280)&gt;0),"Bloomberg",IF(AND('IPO Live'!$M$5&lt;&gt;"Bloomberg",ISNUMBER(G280)),"Snapshot","Unavailable"))</f>
        <v/>
      </c>
      <c r="Q280" s="33">
        <f>IF(AND(P280="Bloomberg",ISNUMBER(L280)),L280,"unavailable")</f>
        <v/>
      </c>
      <c r="R280" s="15">
        <f>IF(OR('IPO Live'!$B$5="All",'IPO Live'!$B$5=C280,AND('IPO Live'!$B$5="A/H only",J280&gt;0)),1,0)</f>
        <v/>
      </c>
      <c r="S280" s="15">
        <f>IF(R280=1,COUNTIF($R$5:R280,1),"")</f>
        <v/>
      </c>
      <c r="T280">
        <f>IF(ISNUMBER($U280),IF($U280&gt;=DATEVALUE("2021-06-23"),1.4,1)*IF($U280&gt;=DATEVALUE("2022-07-28"),1.4,1)*IF($U280&gt;=DATEVALUE("2023-06-20"),1.4,1),"unavailable")</f>
        <v/>
      </c>
      <c r="U280">
        <f>IF($P280="Bloomberg",$M280,$H280)</f>
        <v/>
      </c>
      <c r="AW280">
        <f>IF(AND(J280&gt;0,OR(AH!$I$5="All",AH!$I$5="A/H only",AH!$I$5=C280)),1,0)</f>
        <v/>
      </c>
      <c r="AX280">
        <f>IF(AW280=1,COUNTIF($AW$5:AW280,1),"")</f>
        <v/>
      </c>
      <c r="AY280">
        <f>IF(AH!$M$5="Snapshot",IF(ISNUMBER(G280),G280,"unavailable"),IF(AND(ISNUMBER(K280),N(K280)&gt;0),K280,IF(AH!$M$5="Auto",IF(ISNUMBER(G280),G280,"unavailable"),"unavailable")))</f>
        <v/>
      </c>
      <c r="AZ280">
        <f>IF(AND(AH!$M$5&lt;&gt;"Snapshot",ISNUMBER(K280),N(K280)&gt;0),"Bloomberg",IF(AND(AH!$M$5&lt;&gt;"Bloomberg",ISNUMBER(G280)),"Snapshot","Unavailable"))</f>
        <v/>
      </c>
      <c r="BA280">
        <f>IF(AZ280="Bloomberg",M280,H280)</f>
        <v/>
      </c>
      <c r="BB280">
        <f>IF(ISNUMBER($BA280),IF($BA280&gt;=DATEVALUE("2021-06-23"),1.4,1)*IF($BA280&gt;=DATEVALUE("2022-07-28"),1.4,1)*IF($BA280&gt;=DATEVALUE("2023-06-20"),1.4,1),"unavailable")</f>
        <v/>
      </c>
    </row>
    <row r="281">
      <c r="A281" s="31" t="inlineStr">
        <is>
          <t>2170</t>
        </is>
      </c>
      <c r="B281" s="15" t="inlineStr">
        <is>
          <t>BASECARE-B</t>
        </is>
      </c>
      <c r="C281" s="15" t="inlineStr">
        <is>
          <t>Healthcare</t>
        </is>
      </c>
      <c r="D281" s="15" t="inlineStr">
        <is>
          <t>Medical devices</t>
        </is>
      </c>
      <c r="E281" s="34" t="n">
        <v>44235</v>
      </c>
      <c r="F281" s="15" t="n">
        <v>27.36</v>
      </c>
      <c r="G281" s="15" t="n">
        <v>1.265</v>
      </c>
      <c r="H281" s="34" t="n">
        <v>46297</v>
      </c>
      <c r="I281" s="31" t="n"/>
      <c r="J281" s="15" t="n">
        <v>0</v>
      </c>
      <c r="K281" s="15">
        <f>IF(AND(AH!$M$5="Snapshot",'IPO Live'!$M$5="Snapshot"),"",IFERROR(BDP(TEXT(VALUE($A281),"0")&amp;" HK Equity","PX_LAST"),""))</f>
        <v/>
      </c>
      <c r="L281" s="15">
        <f>IF(AND(AH!$M$5="Snapshot",'IPO Live'!$M$5="Snapshot"),"",IFERROR(BDP(TEXT(VALUE($A281),"0")&amp;" HK Equity","CHG_PCT_1D")/100,""))</f>
        <v/>
      </c>
      <c r="M281" s="15">
        <f>IF(AND(AH!$M$5="Snapshot",'IPO Live'!$M$5="Snapshot"),"",IFERROR(BDP(TEXT(VALUE($A281),"0")&amp;" HK Equity","LAST_UPDATE_DT"),""))</f>
        <v/>
      </c>
      <c r="N281" s="15">
        <f>IF(AND(AH!$M$5="Snapshot",'IPO Live'!$M$5="Snapshot"),"",IFERROR(BDP(TEXT(VALUE($A281),"0")&amp;" HK Equity","LAST_UPDATE"),""))</f>
        <v/>
      </c>
      <c r="O281" s="15">
        <f>IF('IPO Live'!$M$5="Snapshot",IF(ISNUMBER(G281),G281,"unavailable"),IF(AND(ISNUMBER(K281),N(K281)&gt;0),K281,IF('IPO Live'!$M$5="Auto",IF(ISNUMBER(G281),G281,"unavailable"),"unavailable")))</f>
        <v/>
      </c>
      <c r="P281" s="15">
        <f>IF(AND('IPO Live'!$M$5&lt;&gt;"Snapshot",ISNUMBER(K281),N(K281)&gt;0),"Bloomberg",IF(AND('IPO Live'!$M$5&lt;&gt;"Bloomberg",ISNUMBER(G281)),"Snapshot","Unavailable"))</f>
        <v/>
      </c>
      <c r="Q281" s="33">
        <f>IF(AND(P281="Bloomberg",ISNUMBER(L281)),L281,"unavailable")</f>
        <v/>
      </c>
      <c r="R281" s="15">
        <f>IF(OR('IPO Live'!$B$5="All",'IPO Live'!$B$5=C281,AND('IPO Live'!$B$5="A/H only",J281&gt;0)),1,0)</f>
        <v/>
      </c>
      <c r="S281" s="15">
        <f>IF(R281=1,COUNTIF($R$5:R281,1),"")</f>
        <v/>
      </c>
      <c r="T281">
        <f>1</f>
        <v/>
      </c>
      <c r="U281">
        <f>IF($P281="Bloomberg",$M281,$H281)</f>
        <v/>
      </c>
      <c r="AW281">
        <f>IF(AND(J281&gt;0,OR(AH!$I$5="All",AH!$I$5="A/H only",AH!$I$5=C281)),1,0)</f>
        <v/>
      </c>
      <c r="AX281">
        <f>IF(AW281=1,COUNTIF($AW$5:AW281,1),"")</f>
        <v/>
      </c>
      <c r="AY281">
        <f>IF(AH!$M$5="Snapshot",IF(ISNUMBER(G281),G281,"unavailable"),IF(AND(ISNUMBER(K281),N(K281)&gt;0),K281,IF(AH!$M$5="Auto",IF(ISNUMBER(G281),G281,"unavailable"),"unavailable")))</f>
        <v/>
      </c>
      <c r="AZ281">
        <f>IF(AND(AH!$M$5&lt;&gt;"Snapshot",ISNUMBER(K281),N(K281)&gt;0),"Bloomberg",IF(AND(AH!$M$5&lt;&gt;"Bloomberg",ISNUMBER(G281)),"Snapshot","Unavailable"))</f>
        <v/>
      </c>
      <c r="BA281">
        <f>IF(AZ281="Bloomberg",M281,H281)</f>
        <v/>
      </c>
      <c r="BB281">
        <f>1</f>
        <v/>
      </c>
    </row>
    <row r="282">
      <c r="A282" s="31" t="inlineStr">
        <is>
          <t>2161</t>
        </is>
      </c>
      <c r="B282" s="15" t="inlineStr">
        <is>
          <t>JBM HEALTHCARE</t>
        </is>
      </c>
      <c r="C282" s="15" t="inlineStr">
        <is>
          <t>Healthcare</t>
        </is>
      </c>
      <c r="D282" s="15" t="inlineStr">
        <is>
          <t>Biopharma commercial</t>
        </is>
      </c>
      <c r="E282" s="34" t="n">
        <v>44232</v>
      </c>
      <c r="F282" s="15" t="n">
        <v>1.2</v>
      </c>
      <c r="G282" s="15" t="n">
        <v>1.62</v>
      </c>
      <c r="H282" s="34" t="n">
        <v>46297</v>
      </c>
      <c r="I282" s="31" t="n"/>
      <c r="J282" s="15" t="n">
        <v>0</v>
      </c>
      <c r="K282" s="15">
        <f>IF(AND(AH!$M$5="Snapshot",'IPO Live'!$M$5="Snapshot"),"",IFERROR(BDP(TEXT(VALUE($A282),"0")&amp;" HK Equity","PX_LAST"),""))</f>
        <v/>
      </c>
      <c r="L282" s="15">
        <f>IF(AND(AH!$M$5="Snapshot",'IPO Live'!$M$5="Snapshot"),"",IFERROR(BDP(TEXT(VALUE($A282),"0")&amp;" HK Equity","CHG_PCT_1D")/100,""))</f>
        <v/>
      </c>
      <c r="M282" s="15">
        <f>IF(AND(AH!$M$5="Snapshot",'IPO Live'!$M$5="Snapshot"),"",IFERROR(BDP(TEXT(VALUE($A282),"0")&amp;" HK Equity","LAST_UPDATE_DT"),""))</f>
        <v/>
      </c>
      <c r="N282" s="15">
        <f>IF(AND(AH!$M$5="Snapshot",'IPO Live'!$M$5="Snapshot"),"",IFERROR(BDP(TEXT(VALUE($A282),"0")&amp;" HK Equity","LAST_UPDATE"),""))</f>
        <v/>
      </c>
      <c r="O282" s="15">
        <f>IF('IPO Live'!$M$5="Snapshot",IF(ISNUMBER(G282),G282,"unavailable"),IF(AND(ISNUMBER(K282),N(K282)&gt;0),K282,IF('IPO Live'!$M$5="Auto",IF(ISNUMBER(G282),G282,"unavailable"),"unavailable")))</f>
        <v/>
      </c>
      <c r="P282" s="15">
        <f>IF(AND('IPO Live'!$M$5&lt;&gt;"Snapshot",ISNUMBER(K282),N(K282)&gt;0),"Bloomberg",IF(AND('IPO Live'!$M$5&lt;&gt;"Bloomberg",ISNUMBER(G282)),"Snapshot","Unavailable"))</f>
        <v/>
      </c>
      <c r="Q282" s="33">
        <f>IF(AND(P282="Bloomberg",ISNUMBER(L282)),L282,"unavailable")</f>
        <v/>
      </c>
      <c r="R282" s="15">
        <f>IF(OR('IPO Live'!$B$5="All",'IPO Live'!$B$5=C282,AND('IPO Live'!$B$5="A/H only",J282&gt;0)),1,0)</f>
        <v/>
      </c>
      <c r="S282" s="15">
        <f>IF(R282=1,COUNTIF($R$5:R282,1),"")</f>
        <v/>
      </c>
      <c r="T282">
        <f>1</f>
        <v/>
      </c>
      <c r="U282">
        <f>IF($P282="Bloomberg",$M282,$H282)</f>
        <v/>
      </c>
      <c r="AW282">
        <f>IF(AND(J282&gt;0,OR(AH!$I$5="All",AH!$I$5="A/H only",AH!$I$5=C282)),1,0)</f>
        <v/>
      </c>
      <c r="AX282">
        <f>IF(AW282=1,COUNTIF($AW$5:AW282,1),"")</f>
        <v/>
      </c>
      <c r="AY282">
        <f>IF(AH!$M$5="Snapshot",IF(ISNUMBER(G282),G282,"unavailable"),IF(AND(ISNUMBER(K282),N(K282)&gt;0),K282,IF(AH!$M$5="Auto",IF(ISNUMBER(G282),G282,"unavailable"),"unavailable")))</f>
        <v/>
      </c>
      <c r="AZ282">
        <f>IF(AND(AH!$M$5&lt;&gt;"Snapshot",ISNUMBER(K282),N(K282)&gt;0),"Bloomberg",IF(AND(AH!$M$5&lt;&gt;"Bloomberg",ISNUMBER(G282)),"Snapshot","Unavailable"))</f>
        <v/>
      </c>
      <c r="BA282">
        <f>IF(AZ282="Bloomberg",M282,H282)</f>
        <v/>
      </c>
      <c r="BB282">
        <f>1</f>
        <v/>
      </c>
    </row>
    <row r="283">
      <c r="A283" s="31" t="inlineStr">
        <is>
          <t>2160</t>
        </is>
      </c>
      <c r="B283" s="15" t="inlineStr">
        <is>
          <t>CARDIOFLOW-B</t>
        </is>
      </c>
      <c r="C283" s="15" t="inlineStr">
        <is>
          <t>Healthcare</t>
        </is>
      </c>
      <c r="D283" s="15" t="inlineStr">
        <is>
          <t>Medical devices</t>
        </is>
      </c>
      <c r="E283" s="34" t="n">
        <v>44231</v>
      </c>
      <c r="F283" s="15" t="n">
        <v>12.2</v>
      </c>
      <c r="G283" s="15" t="n">
        <v>0.256</v>
      </c>
      <c r="H283" s="34" t="n">
        <v>46265</v>
      </c>
      <c r="I283" s="31" t="n"/>
      <c r="J283" s="15" t="n">
        <v>0</v>
      </c>
      <c r="K283" s="15">
        <f>IF(AND(AH!$M$5="Snapshot",'IPO Live'!$M$5="Snapshot"),"",IFERROR(BDP(TEXT(VALUE($A283),"0")&amp;" HK Equity","PX_LAST"),""))</f>
        <v/>
      </c>
      <c r="L283" s="15">
        <f>IF(AND(AH!$M$5="Snapshot",'IPO Live'!$M$5="Snapshot"),"",IFERROR(BDP(TEXT(VALUE($A283),"0")&amp;" HK Equity","CHG_PCT_1D")/100,""))</f>
        <v/>
      </c>
      <c r="M283" s="15">
        <f>IF(AND(AH!$M$5="Snapshot",'IPO Live'!$M$5="Snapshot"),"",IFERROR(BDP(TEXT(VALUE($A283),"0")&amp;" HK Equity","LAST_UPDATE_DT"),""))</f>
        <v/>
      </c>
      <c r="N283" s="15">
        <f>IF(AND(AH!$M$5="Snapshot",'IPO Live'!$M$5="Snapshot"),"",IFERROR(BDP(TEXT(VALUE($A283),"0")&amp;" HK Equity","LAST_UPDATE"),""))</f>
        <v/>
      </c>
      <c r="O283" s="15">
        <f>IF('IPO Live'!$M$5="Snapshot",IF(ISNUMBER(G283),G283,"unavailable"),IF(AND(ISNUMBER(K283),N(K283)&gt;0),K283,IF('IPO Live'!$M$5="Auto",IF(ISNUMBER(G283),G283,"unavailable"),"unavailable")))</f>
        <v/>
      </c>
      <c r="P283" s="15">
        <f>IF(AND('IPO Live'!$M$5&lt;&gt;"Snapshot",ISNUMBER(K283),N(K283)&gt;0),"Bloomberg",IF(AND('IPO Live'!$M$5&lt;&gt;"Bloomberg",ISNUMBER(G283)),"Snapshot","Unavailable"))</f>
        <v/>
      </c>
      <c r="Q283" s="33">
        <f>IF(AND(P283="Bloomberg",ISNUMBER(L283)),L283,"unavailable")</f>
        <v/>
      </c>
      <c r="R283" s="15">
        <f>IF(OR('IPO Live'!$B$5="All",'IPO Live'!$B$5=C283,AND('IPO Live'!$B$5="A/H only",J283&gt;0)),1,0)</f>
        <v/>
      </c>
      <c r="S283" s="15">
        <f>IF(R283=1,COUNTIF($R$5:R283,1),"")</f>
        <v/>
      </c>
      <c r="T283">
        <f>IF(ISNUMBER($U283),IF($U283&gt;=DATEVALUE("2026-02-24"),0.2,1),"unavailable")</f>
        <v/>
      </c>
      <c r="U283">
        <f>IF($P283="Bloomberg",$M283,$H283)</f>
        <v/>
      </c>
      <c r="AW283">
        <f>IF(AND(J283&gt;0,OR(AH!$I$5="All",AH!$I$5="A/H only",AH!$I$5=C283)),1,0)</f>
        <v/>
      </c>
      <c r="AX283">
        <f>IF(AW283=1,COUNTIF($AW$5:AW283,1),"")</f>
        <v/>
      </c>
      <c r="AY283">
        <f>IF(AH!$M$5="Snapshot",IF(ISNUMBER(G283),G283,"unavailable"),IF(AND(ISNUMBER(K283),N(K283)&gt;0),K283,IF(AH!$M$5="Auto",IF(ISNUMBER(G283),G283,"unavailable"),"unavailable")))</f>
        <v/>
      </c>
      <c r="AZ283">
        <f>IF(AND(AH!$M$5&lt;&gt;"Snapshot",ISNUMBER(K283),N(K283)&gt;0),"Bloomberg",IF(AND(AH!$M$5&lt;&gt;"Bloomberg",ISNUMBER(G283)),"Snapshot","Unavailable"))</f>
        <v/>
      </c>
      <c r="BA283">
        <f>IF(AZ283="Bloomberg",M283,H283)</f>
        <v/>
      </c>
      <c r="BB283">
        <f>IF(ISNUMBER($BA283),IF($BA283&gt;=DATEVALUE("2026-02-24"),0.2,1),"unavailable")</f>
        <v/>
      </c>
    </row>
    <row r="284">
      <c r="A284" s="31" t="inlineStr">
        <is>
          <t>2159</t>
        </is>
      </c>
      <c r="B284" s="15" t="inlineStr">
        <is>
          <t>MEDIWELCOME</t>
        </is>
      </c>
      <c r="C284" s="15" t="inlineStr">
        <is>
          <t>Healthcare</t>
        </is>
      </c>
      <c r="D284" s="15" t="inlineStr">
        <is>
          <t>Digital health</t>
        </is>
      </c>
      <c r="E284" s="34" t="n">
        <v>44215</v>
      </c>
      <c r="F284" s="15" t="n">
        <v>3</v>
      </c>
      <c r="G284" s="15" t="n">
        <v>1.665</v>
      </c>
      <c r="H284" s="34" t="n">
        <v>46297</v>
      </c>
      <c r="I284" s="31" t="n"/>
      <c r="J284" s="15" t="n">
        <v>0</v>
      </c>
      <c r="K284" s="15">
        <f>IF(AND(AH!$M$5="Snapshot",'IPO Live'!$M$5="Snapshot"),"",IFERROR(BDP(TEXT(VALUE($A284),"0")&amp;" HK Equity","PX_LAST"),""))</f>
        <v/>
      </c>
      <c r="L284" s="15">
        <f>IF(AND(AH!$M$5="Snapshot",'IPO Live'!$M$5="Snapshot"),"",IFERROR(BDP(TEXT(VALUE($A284),"0")&amp;" HK Equity","CHG_PCT_1D")/100,""))</f>
        <v/>
      </c>
      <c r="M284" s="15">
        <f>IF(AND(AH!$M$5="Snapshot",'IPO Live'!$M$5="Snapshot"),"",IFERROR(BDP(TEXT(VALUE($A284),"0")&amp;" HK Equity","LAST_UPDATE_DT"),""))</f>
        <v/>
      </c>
      <c r="N284" s="15">
        <f>IF(AND(AH!$M$5="Snapshot",'IPO Live'!$M$5="Snapshot"),"",IFERROR(BDP(TEXT(VALUE($A284),"0")&amp;" HK Equity","LAST_UPDATE"),""))</f>
        <v/>
      </c>
      <c r="O284" s="15">
        <f>IF('IPO Live'!$M$5="Snapshot",IF(ISNUMBER(G284),G284,"unavailable"),IF(AND(ISNUMBER(K284),N(K284)&gt;0),K284,IF('IPO Live'!$M$5="Auto",IF(ISNUMBER(G284),G284,"unavailable"),"unavailable")))</f>
        <v/>
      </c>
      <c r="P284" s="15">
        <f>IF(AND('IPO Live'!$M$5&lt;&gt;"Snapshot",ISNUMBER(K284),N(K284)&gt;0),"Bloomberg",IF(AND('IPO Live'!$M$5&lt;&gt;"Bloomberg",ISNUMBER(G284)),"Snapshot","Unavailable"))</f>
        <v/>
      </c>
      <c r="Q284" s="33">
        <f>IF(AND(P284="Bloomberg",ISNUMBER(L284)),L284,"unavailable")</f>
        <v/>
      </c>
      <c r="R284" s="15">
        <f>IF(OR('IPO Live'!$B$5="All",'IPO Live'!$B$5=C284,AND('IPO Live'!$B$5="A/H only",J284&gt;0)),1,0)</f>
        <v/>
      </c>
      <c r="S284" s="15">
        <f>IF(R284=1,COUNTIF($R$5:R284,1),"")</f>
        <v/>
      </c>
      <c r="T284">
        <f>1</f>
        <v/>
      </c>
      <c r="U284">
        <f>IF($P284="Bloomberg",$M284,$H284)</f>
        <v/>
      </c>
      <c r="AW284">
        <f>IF(AND(J284&gt;0,OR(AH!$I$5="All",AH!$I$5="A/H only",AH!$I$5=C284)),1,0)</f>
        <v/>
      </c>
      <c r="AX284">
        <f>IF(AW284=1,COUNTIF($AW$5:AW284,1),"")</f>
        <v/>
      </c>
      <c r="AY284">
        <f>IF(AH!$M$5="Snapshot",IF(ISNUMBER(G284),G284,"unavailable"),IF(AND(ISNUMBER(K284),N(K284)&gt;0),K284,IF(AH!$M$5="Auto",IF(ISNUMBER(G284),G284,"unavailable"),"unavailable")))</f>
        <v/>
      </c>
      <c r="AZ284">
        <f>IF(AND(AH!$M$5&lt;&gt;"Snapshot",ISNUMBER(K284),N(K284)&gt;0),"Bloomberg",IF(AND(AH!$M$5&lt;&gt;"Bloomberg",ISNUMBER(G284)),"Snapshot","Unavailable"))</f>
        <v/>
      </c>
      <c r="BA284">
        <f>IF(AZ284="Bloomberg",M284,H284)</f>
        <v/>
      </c>
      <c r="BB284">
        <f>1</f>
        <v/>
      </c>
    </row>
    <row r="285">
      <c r="A285" s="31" t="inlineStr">
        <is>
          <t>1643</t>
        </is>
      </c>
      <c r="B285" s="15" t="inlineStr">
        <is>
          <t>MODERN CHI MED</t>
        </is>
      </c>
      <c r="C285" s="15" t="inlineStr">
        <is>
          <t>Healthcare</t>
        </is>
      </c>
      <c r="D285" s="15" t="inlineStr">
        <is>
          <t>TCM</t>
        </is>
      </c>
      <c r="E285" s="34" t="n">
        <v>44211</v>
      </c>
      <c r="F285" s="15" t="n">
        <v>1.18</v>
      </c>
      <c r="G285" s="15" t="n">
        <v>0.665</v>
      </c>
      <c r="H285" s="34" t="n">
        <v>46297</v>
      </c>
      <c r="I285" s="31" t="n"/>
      <c r="J285" s="15" t="n">
        <v>0</v>
      </c>
      <c r="K285" s="15">
        <f>IF(AND(AH!$M$5="Snapshot",'IPO Live'!$M$5="Snapshot"),"",IFERROR(BDP(TEXT(VALUE($A285),"0")&amp;" HK Equity","PX_LAST"),""))</f>
        <v/>
      </c>
      <c r="L285" s="15">
        <f>IF(AND(AH!$M$5="Snapshot",'IPO Live'!$M$5="Snapshot"),"",IFERROR(BDP(TEXT(VALUE($A285),"0")&amp;" HK Equity","CHG_PCT_1D")/100,""))</f>
        <v/>
      </c>
      <c r="M285" s="15">
        <f>IF(AND(AH!$M$5="Snapshot",'IPO Live'!$M$5="Snapshot"),"",IFERROR(BDP(TEXT(VALUE($A285),"0")&amp;" HK Equity","LAST_UPDATE_DT"),""))</f>
        <v/>
      </c>
      <c r="N285" s="15">
        <f>IF(AND(AH!$M$5="Snapshot",'IPO Live'!$M$5="Snapshot"),"",IFERROR(BDP(TEXT(VALUE($A285),"0")&amp;" HK Equity","LAST_UPDATE"),""))</f>
        <v/>
      </c>
      <c r="O285" s="15">
        <f>IF('IPO Live'!$M$5="Snapshot",IF(ISNUMBER(G285),G285,"unavailable"),IF(AND(ISNUMBER(K285),N(K285)&gt;0),K285,IF('IPO Live'!$M$5="Auto",IF(ISNUMBER(G285),G285,"unavailable"),"unavailable")))</f>
        <v/>
      </c>
      <c r="P285" s="15">
        <f>IF(AND('IPO Live'!$M$5&lt;&gt;"Snapshot",ISNUMBER(K285),N(K285)&gt;0),"Bloomberg",IF(AND('IPO Live'!$M$5&lt;&gt;"Bloomberg",ISNUMBER(G285)),"Snapshot","Unavailable"))</f>
        <v/>
      </c>
      <c r="Q285" s="33">
        <f>IF(AND(P285="Bloomberg",ISNUMBER(L285)),L285,"unavailable")</f>
        <v/>
      </c>
      <c r="R285" s="15">
        <f>IF(OR('IPO Live'!$B$5="All",'IPO Live'!$B$5=C285,AND('IPO Live'!$B$5="A/H only",J285&gt;0)),1,0)</f>
        <v/>
      </c>
      <c r="S285" s="15">
        <f>IF(R285=1,COUNTIF($R$5:R285,1),"")</f>
        <v/>
      </c>
      <c r="T285">
        <f>1</f>
        <v/>
      </c>
      <c r="U285">
        <f>IF($P285="Bloomberg",$M285,$H285)</f>
        <v/>
      </c>
      <c r="AW285">
        <f>IF(AND(J285&gt;0,OR(AH!$I$5="All",AH!$I$5="A/H only",AH!$I$5=C285)),1,0)</f>
        <v/>
      </c>
      <c r="AX285">
        <f>IF(AW285=1,COUNTIF($AW$5:AW285,1),"")</f>
        <v/>
      </c>
      <c r="AY285">
        <f>IF(AH!$M$5="Snapshot",IF(ISNUMBER(G285),G285,"unavailable"),IF(AND(ISNUMBER(K285),N(K285)&gt;0),K285,IF(AH!$M$5="Auto",IF(ISNUMBER(G285),G285,"unavailable"),"unavailable")))</f>
        <v/>
      </c>
      <c r="AZ285">
        <f>IF(AND(AH!$M$5&lt;&gt;"Snapshot",ISNUMBER(K285),N(K285)&gt;0),"Bloomberg",IF(AND(AH!$M$5&lt;&gt;"Bloomberg",ISNUMBER(G285)),"Snapshot","Unavailable"))</f>
        <v/>
      </c>
      <c r="BA285">
        <f>IF(AZ285="Bloomberg",M285,H285)</f>
        <v/>
      </c>
      <c r="BB285">
        <f>1</f>
        <v/>
      </c>
    </row>
    <row r="286">
      <c r="A286" s="31" t="inlineStr">
        <is>
          <t>2158</t>
        </is>
      </c>
      <c r="B286" s="15" t="inlineStr">
        <is>
          <t>YIDU TECH</t>
        </is>
      </c>
      <c r="C286" s="15" t="inlineStr">
        <is>
          <t>Healthcare</t>
        </is>
      </c>
      <c r="D286" s="15" t="inlineStr">
        <is>
          <t>Digital health</t>
        </is>
      </c>
      <c r="E286" s="34" t="n">
        <v>44211</v>
      </c>
      <c r="F286" s="15" t="n">
        <v>26.3</v>
      </c>
      <c r="G286" s="15" t="n">
        <v>3.315</v>
      </c>
      <c r="H286" s="34" t="n">
        <v>46297</v>
      </c>
      <c r="I286" s="31" t="n"/>
      <c r="J286" s="15" t="n">
        <v>0</v>
      </c>
      <c r="K286" s="15">
        <f>IF(AND(AH!$M$5="Snapshot",'IPO Live'!$M$5="Snapshot"),"",IFERROR(BDP(TEXT(VALUE($A286),"0")&amp;" HK Equity","PX_LAST"),""))</f>
        <v/>
      </c>
      <c r="L286" s="15">
        <f>IF(AND(AH!$M$5="Snapshot",'IPO Live'!$M$5="Snapshot"),"",IFERROR(BDP(TEXT(VALUE($A286),"0")&amp;" HK Equity","CHG_PCT_1D")/100,""))</f>
        <v/>
      </c>
      <c r="M286" s="15">
        <f>IF(AND(AH!$M$5="Snapshot",'IPO Live'!$M$5="Snapshot"),"",IFERROR(BDP(TEXT(VALUE($A286),"0")&amp;" HK Equity","LAST_UPDATE_DT"),""))</f>
        <v/>
      </c>
      <c r="N286" s="15">
        <f>IF(AND(AH!$M$5="Snapshot",'IPO Live'!$M$5="Snapshot"),"",IFERROR(BDP(TEXT(VALUE($A286),"0")&amp;" HK Equity","LAST_UPDATE"),""))</f>
        <v/>
      </c>
      <c r="O286" s="15">
        <f>IF('IPO Live'!$M$5="Snapshot",IF(ISNUMBER(G286),G286,"unavailable"),IF(AND(ISNUMBER(K286),N(K286)&gt;0),K286,IF('IPO Live'!$M$5="Auto",IF(ISNUMBER(G286),G286,"unavailable"),"unavailable")))</f>
        <v/>
      </c>
      <c r="P286" s="15">
        <f>IF(AND('IPO Live'!$M$5&lt;&gt;"Snapshot",ISNUMBER(K286),N(K286)&gt;0),"Bloomberg",IF(AND('IPO Live'!$M$5&lt;&gt;"Bloomberg",ISNUMBER(G286)),"Snapshot","Unavailable"))</f>
        <v/>
      </c>
      <c r="Q286" s="33">
        <f>IF(AND(P286="Bloomberg",ISNUMBER(L286)),L286,"unavailable")</f>
        <v/>
      </c>
      <c r="R286" s="15">
        <f>IF(OR('IPO Live'!$B$5="All",'IPO Live'!$B$5=C286,AND('IPO Live'!$B$5="A/H only",J286&gt;0)),1,0)</f>
        <v/>
      </c>
      <c r="S286" s="15">
        <f>IF(R286=1,COUNTIF($R$5:R286,1),"")</f>
        <v/>
      </c>
      <c r="T286">
        <f>1</f>
        <v/>
      </c>
      <c r="U286">
        <f>IF($P286="Bloomberg",$M286,$H286)</f>
        <v/>
      </c>
      <c r="AW286">
        <f>IF(AND(J286&gt;0,OR(AH!$I$5="All",AH!$I$5="A/H only",AH!$I$5=C286)),1,0)</f>
        <v/>
      </c>
      <c r="AX286">
        <f>IF(AW286=1,COUNTIF($AW$5:AW286,1),"")</f>
        <v/>
      </c>
      <c r="AY286">
        <f>IF(AH!$M$5="Snapshot",IF(ISNUMBER(G286),G286,"unavailable"),IF(AND(ISNUMBER(K286),N(K286)&gt;0),K286,IF(AH!$M$5="Auto",IF(ISNUMBER(G286),G286,"unavailable"),"unavailable")))</f>
        <v/>
      </c>
      <c r="AZ286">
        <f>IF(AND(AH!$M$5&lt;&gt;"Snapshot",ISNUMBER(K286),N(K286)&gt;0),"Bloomberg",IF(AND(AH!$M$5&lt;&gt;"Bloomberg",ISNUMBER(G286)),"Snapshot","Unavailable"))</f>
        <v/>
      </c>
      <c r="BA286">
        <f>IF(AZ286="Bloomberg",M286,H286)</f>
        <v/>
      </c>
      <c r="BB286">
        <f>1</f>
        <v/>
      </c>
    </row>
    <row r="287">
      <c r="A287" s="31" t="inlineStr">
        <is>
          <t>9600</t>
        </is>
      </c>
      <c r="B287" s="15" t="inlineStr">
        <is>
          <t>NEWLINK TECH</t>
        </is>
      </c>
      <c r="C287" s="15" t="inlineStr">
        <is>
          <t>Healthcare</t>
        </is>
      </c>
      <c r="D287" s="15" t="inlineStr">
        <is>
          <t>Digital health</t>
        </is>
      </c>
      <c r="E287" s="34" t="n">
        <v>44202</v>
      </c>
      <c r="F287" s="15" t="n">
        <v>4.36</v>
      </c>
      <c r="G287" s="15" t="n">
        <v>0.131</v>
      </c>
      <c r="H287" s="34" t="n">
        <v>46297</v>
      </c>
      <c r="I287" s="31" t="n"/>
      <c r="J287" s="15" t="n">
        <v>0</v>
      </c>
      <c r="K287" s="15">
        <f>IF(AND(AH!$M$5="Snapshot",'IPO Live'!$M$5="Snapshot"),"",IFERROR(BDP(TEXT(VALUE($A287),"0")&amp;" HK Equity","PX_LAST"),""))</f>
        <v/>
      </c>
      <c r="L287" s="15">
        <f>IF(AND(AH!$M$5="Snapshot",'IPO Live'!$M$5="Snapshot"),"",IFERROR(BDP(TEXT(VALUE($A287),"0")&amp;" HK Equity","CHG_PCT_1D")/100,""))</f>
        <v/>
      </c>
      <c r="M287" s="15">
        <f>IF(AND(AH!$M$5="Snapshot",'IPO Live'!$M$5="Snapshot"),"",IFERROR(BDP(TEXT(VALUE($A287),"0")&amp;" HK Equity","LAST_UPDATE_DT"),""))</f>
        <v/>
      </c>
      <c r="N287" s="15">
        <f>IF(AND(AH!$M$5="Snapshot",'IPO Live'!$M$5="Snapshot"),"",IFERROR(BDP(TEXT(VALUE($A287),"0")&amp;" HK Equity","LAST_UPDATE"),""))</f>
        <v/>
      </c>
      <c r="O287" s="15">
        <f>IF('IPO Live'!$M$5="Snapshot",IF(ISNUMBER(G287),G287,"unavailable"),IF(AND(ISNUMBER(K287),N(K287)&gt;0),K287,IF('IPO Live'!$M$5="Auto",IF(ISNUMBER(G287),G287,"unavailable"),"unavailable")))</f>
        <v/>
      </c>
      <c r="P287" s="15">
        <f>IF(AND('IPO Live'!$M$5&lt;&gt;"Snapshot",ISNUMBER(K287),N(K287)&gt;0),"Bloomberg",IF(AND('IPO Live'!$M$5&lt;&gt;"Bloomberg",ISNUMBER(G287)),"Snapshot","Unavailable"))</f>
        <v/>
      </c>
      <c r="Q287" s="33">
        <f>IF(AND(P287="Bloomberg",ISNUMBER(L287)),L287,"unavailable")</f>
        <v/>
      </c>
      <c r="R287" s="15">
        <f>IF(OR('IPO Live'!$B$5="All",'IPO Live'!$B$5=C287,AND('IPO Live'!$B$5="A/H only",J287&gt;0)),1,0)</f>
        <v/>
      </c>
      <c r="S287" s="15">
        <f>IF(R287=1,COUNTIF($R$5:R287,1),"")</f>
        <v/>
      </c>
      <c r="T287">
        <f>1</f>
        <v/>
      </c>
      <c r="U287">
        <f>IF($P287="Bloomberg",$M287,$H287)</f>
        <v/>
      </c>
      <c r="AW287">
        <f>IF(AND(J287&gt;0,OR(AH!$I$5="All",AH!$I$5="A/H only",AH!$I$5=C287)),1,0)</f>
        <v/>
      </c>
      <c r="AX287">
        <f>IF(AW287=1,COUNTIF($AW$5:AW287,1),"")</f>
        <v/>
      </c>
      <c r="AY287">
        <f>IF(AH!$M$5="Snapshot",IF(ISNUMBER(G287),G287,"unavailable"),IF(AND(ISNUMBER(K287),N(K287)&gt;0),K287,IF(AH!$M$5="Auto",IF(ISNUMBER(G287),G287,"unavailable"),"unavailable")))</f>
        <v/>
      </c>
      <c r="AZ287">
        <f>IF(AND(AH!$M$5&lt;&gt;"Snapshot",ISNUMBER(K287),N(K287)&gt;0),"Bloomberg",IF(AND(AH!$M$5&lt;&gt;"Bloomberg",ISNUMBER(G287)),"Snapshot","Unavailable"))</f>
        <v/>
      </c>
      <c r="BA287">
        <f>IF(AZ287="Bloomberg",M287,H287)</f>
        <v/>
      </c>
      <c r="BB287">
        <f>1</f>
        <v/>
      </c>
    </row>
    <row r="288">
      <c r="A288" s="31" t="inlineStr">
        <is>
          <t>0625</t>
        </is>
      </c>
      <c r="B288" s="15" t="inlineStr">
        <is>
          <t>SHEIN-W</t>
        </is>
      </c>
      <c r="C288" s="15" t="inlineStr">
        <is>
          <t>Consumer</t>
        </is>
      </c>
      <c r="D288" s="15" t="inlineStr">
        <is>
          <t>Apparel / luxury</t>
        </is>
      </c>
      <c r="E288" s="34" t="n">
        <v>46266</v>
      </c>
      <c r="F288" s="15" t="n">
        <v>48.56</v>
      </c>
      <c r="G288" s="15" t="n">
        <v>31.02</v>
      </c>
      <c r="H288" s="34" t="n">
        <v>46297</v>
      </c>
      <c r="I288" s="31" t="n"/>
      <c r="J288" s="15" t="n">
        <v>0</v>
      </c>
      <c r="K288" s="15">
        <f>IF(AND(AH!$M$5="Snapshot",'IPO Live'!$M$5="Snapshot"),"",IFERROR(BDP(TEXT(VALUE($A288),"0")&amp;" HK Equity","PX_LAST"),""))</f>
        <v/>
      </c>
      <c r="L288" s="15">
        <f>IF(AND(AH!$M$5="Snapshot",'IPO Live'!$M$5="Snapshot"),"",IFERROR(BDP(TEXT(VALUE($A288),"0")&amp;" HK Equity","CHG_PCT_1D")/100,""))</f>
        <v/>
      </c>
      <c r="M288" s="15">
        <f>IF(AND(AH!$M$5="Snapshot",'IPO Live'!$M$5="Snapshot"),"",IFERROR(BDP(TEXT(VALUE($A288),"0")&amp;" HK Equity","LAST_UPDATE_DT"),""))</f>
        <v/>
      </c>
      <c r="N288" s="15">
        <f>IF(AND(AH!$M$5="Snapshot",'IPO Live'!$M$5="Snapshot"),"",IFERROR(BDP(TEXT(VALUE($A288),"0")&amp;" HK Equity","LAST_UPDATE"),""))</f>
        <v/>
      </c>
      <c r="O288" s="15">
        <f>IF('IPO Live'!$M$5="Snapshot",IF(ISNUMBER(G288),G288,"unavailable"),IF(AND(ISNUMBER(K288),N(K288)&gt;0),K288,IF('IPO Live'!$M$5="Auto",IF(ISNUMBER(G288),G288,"unavailable"),"unavailable")))</f>
        <v/>
      </c>
      <c r="P288" s="15">
        <f>IF(AND('IPO Live'!$M$5&lt;&gt;"Snapshot",ISNUMBER(K288),N(K288)&gt;0),"Bloomberg",IF(AND('IPO Live'!$M$5&lt;&gt;"Bloomberg",ISNUMBER(G288)),"Snapshot","Unavailable"))</f>
        <v/>
      </c>
      <c r="Q288" s="33">
        <f>IF(AND(P288="Bloomberg",ISNUMBER(L288)),L288,"unavailable")</f>
        <v/>
      </c>
      <c r="R288" s="15">
        <f>IF(OR('IPO Live'!$B$5="All",'IPO Live'!$B$5=C288,AND('IPO Live'!$B$5="A/H only",J288&gt;0)),1,0)</f>
        <v/>
      </c>
      <c r="S288" s="15">
        <f>IF(R288=1,COUNTIF($R$5:R288,1),"")</f>
        <v/>
      </c>
      <c r="T288">
        <f>1</f>
        <v/>
      </c>
      <c r="U288">
        <f>IF($P288="Bloomberg",$M288,$H288)</f>
        <v/>
      </c>
      <c r="AW288">
        <f>IF(AND(J288&gt;0,OR(AH!$I$5="All",AH!$I$5="A/H only",AH!$I$5=C288)),1,0)</f>
        <v/>
      </c>
      <c r="AX288">
        <f>IF(AW288=1,COUNTIF($AW$5:AW288,1),"")</f>
        <v/>
      </c>
      <c r="AY288">
        <f>IF(AH!$M$5="Snapshot",IF(ISNUMBER(G288),G288,"unavailable"),IF(AND(ISNUMBER(K288),N(K288)&gt;0),K288,IF(AH!$M$5="Auto",IF(ISNUMBER(G288),G288,"unavailable"),"unavailable")))</f>
        <v/>
      </c>
      <c r="AZ288">
        <f>IF(AND(AH!$M$5&lt;&gt;"Snapshot",ISNUMBER(K288),N(K288)&gt;0),"Bloomberg",IF(AND(AH!$M$5&lt;&gt;"Bloomberg",ISNUMBER(G288)),"Snapshot","Unavailable"))</f>
        <v/>
      </c>
      <c r="BA288">
        <f>IF(AZ288="Bloomberg",M288,H288)</f>
        <v/>
      </c>
      <c r="BB288">
        <f>1</f>
        <v/>
      </c>
    </row>
    <row r="289">
      <c r="A289" s="31" t="inlineStr">
        <is>
          <t>2261</t>
        </is>
      </c>
      <c r="B289" s="15" t="inlineStr">
        <is>
          <t>NASN TECH</t>
        </is>
      </c>
      <c r="C289" s="15" t="inlineStr">
        <is>
          <t>Consumer</t>
        </is>
      </c>
      <c r="D289" s="15" t="inlineStr">
        <is>
          <t>Auto parts / supply chain</t>
        </is>
      </c>
      <c r="E289" s="34" t="n">
        <v>46241</v>
      </c>
      <c r="F289" s="15" t="n">
        <v>10.42</v>
      </c>
      <c r="G289" s="15" t="n">
        <v>16.1</v>
      </c>
      <c r="H289" s="34" t="n">
        <v>46297</v>
      </c>
      <c r="I289" s="31" t="n"/>
      <c r="J289" s="15" t="n">
        <v>0</v>
      </c>
      <c r="K289" s="15">
        <f>IF(AND(AH!$M$5="Snapshot",'IPO Live'!$M$5="Snapshot"),"",IFERROR(BDP(TEXT(VALUE($A289),"0")&amp;" HK Equity","PX_LAST"),""))</f>
        <v/>
      </c>
      <c r="L289" s="15">
        <f>IF(AND(AH!$M$5="Snapshot",'IPO Live'!$M$5="Snapshot"),"",IFERROR(BDP(TEXT(VALUE($A289),"0")&amp;" HK Equity","CHG_PCT_1D")/100,""))</f>
        <v/>
      </c>
      <c r="M289" s="15">
        <f>IF(AND(AH!$M$5="Snapshot",'IPO Live'!$M$5="Snapshot"),"",IFERROR(BDP(TEXT(VALUE($A289),"0")&amp;" HK Equity","LAST_UPDATE_DT"),""))</f>
        <v/>
      </c>
      <c r="N289" s="15">
        <f>IF(AND(AH!$M$5="Snapshot",'IPO Live'!$M$5="Snapshot"),"",IFERROR(BDP(TEXT(VALUE($A289),"0")&amp;" HK Equity","LAST_UPDATE"),""))</f>
        <v/>
      </c>
      <c r="O289" s="15">
        <f>IF('IPO Live'!$M$5="Snapshot",IF(ISNUMBER(G289),G289,"unavailable"),IF(AND(ISNUMBER(K289),N(K289)&gt;0),K289,IF('IPO Live'!$M$5="Auto",IF(ISNUMBER(G289),G289,"unavailable"),"unavailable")))</f>
        <v/>
      </c>
      <c r="P289" s="15">
        <f>IF(AND('IPO Live'!$M$5&lt;&gt;"Snapshot",ISNUMBER(K289),N(K289)&gt;0),"Bloomberg",IF(AND('IPO Live'!$M$5&lt;&gt;"Bloomberg",ISNUMBER(G289)),"Snapshot","Unavailable"))</f>
        <v/>
      </c>
      <c r="Q289" s="33">
        <f>IF(AND(P289="Bloomberg",ISNUMBER(L289)),L289,"unavailable")</f>
        <v/>
      </c>
      <c r="R289" s="15">
        <f>IF(OR('IPO Live'!$B$5="All",'IPO Live'!$B$5=C289,AND('IPO Live'!$B$5="A/H only",J289&gt;0)),1,0)</f>
        <v/>
      </c>
      <c r="S289" s="15">
        <f>IF(R289=1,COUNTIF($R$5:R289,1),"")</f>
        <v/>
      </c>
      <c r="T289">
        <f>1</f>
        <v/>
      </c>
      <c r="U289">
        <f>IF($P289="Bloomberg",$M289,$H289)</f>
        <v/>
      </c>
      <c r="AW289">
        <f>IF(AND(J289&gt;0,OR(AH!$I$5="All",AH!$I$5="A/H only",AH!$I$5=C289)),1,0)</f>
        <v/>
      </c>
      <c r="AX289">
        <f>IF(AW289=1,COUNTIF($AW$5:AW289,1),"")</f>
        <v/>
      </c>
      <c r="AY289">
        <f>IF(AH!$M$5="Snapshot",IF(ISNUMBER(G289),G289,"unavailable"),IF(AND(ISNUMBER(K289),N(K289)&gt;0),K289,IF(AH!$M$5="Auto",IF(ISNUMBER(G289),G289,"unavailable"),"unavailable")))</f>
        <v/>
      </c>
      <c r="AZ289">
        <f>IF(AND(AH!$M$5&lt;&gt;"Snapshot",ISNUMBER(K289),N(K289)&gt;0),"Bloomberg",IF(AND(AH!$M$5&lt;&gt;"Bloomberg",ISNUMBER(G289)),"Snapshot","Unavailable"))</f>
        <v/>
      </c>
      <c r="BA289">
        <f>IF(AZ289="Bloomberg",M289,H289)</f>
        <v/>
      </c>
      <c r="BB289">
        <f>1</f>
        <v/>
      </c>
    </row>
    <row r="290">
      <c r="A290" s="31" t="inlineStr">
        <is>
          <t>2797</t>
        </is>
      </c>
      <c r="B290" s="15" t="inlineStr">
        <is>
          <t>QIYUNSHAN FOOD</t>
        </is>
      </c>
      <c r="C290" s="15" t="inlineStr">
        <is>
          <t>Consumer</t>
        </is>
      </c>
      <c r="D290" s="15" t="inlineStr">
        <is>
          <t>Beverages / packaged food</t>
        </is>
      </c>
      <c r="E290" s="34" t="n">
        <v>46212</v>
      </c>
      <c r="F290" s="15" t="n">
        <v>8</v>
      </c>
      <c r="G290" s="15" t="n">
        <v>102.9</v>
      </c>
      <c r="H290" s="34" t="n">
        <v>46297</v>
      </c>
      <c r="I290" s="31" t="n"/>
      <c r="J290" s="15" t="n">
        <v>0</v>
      </c>
      <c r="K290" s="15">
        <f>IF(AND(AH!$M$5="Snapshot",'IPO Live'!$M$5="Snapshot"),"",IFERROR(BDP(TEXT(VALUE($A290),"0")&amp;" HK Equity","PX_LAST"),""))</f>
        <v/>
      </c>
      <c r="L290" s="15">
        <f>IF(AND(AH!$M$5="Snapshot",'IPO Live'!$M$5="Snapshot"),"",IFERROR(BDP(TEXT(VALUE($A290),"0")&amp;" HK Equity","CHG_PCT_1D")/100,""))</f>
        <v/>
      </c>
      <c r="M290" s="15">
        <f>IF(AND(AH!$M$5="Snapshot",'IPO Live'!$M$5="Snapshot"),"",IFERROR(BDP(TEXT(VALUE($A290),"0")&amp;" HK Equity","LAST_UPDATE_DT"),""))</f>
        <v/>
      </c>
      <c r="N290" s="15">
        <f>IF(AND(AH!$M$5="Snapshot",'IPO Live'!$M$5="Snapshot"),"",IFERROR(BDP(TEXT(VALUE($A290),"0")&amp;" HK Equity","LAST_UPDATE"),""))</f>
        <v/>
      </c>
      <c r="O290" s="15">
        <f>IF('IPO Live'!$M$5="Snapshot",IF(ISNUMBER(G290),G290,"unavailable"),IF(AND(ISNUMBER(K290),N(K290)&gt;0),K290,IF('IPO Live'!$M$5="Auto",IF(ISNUMBER(G290),G290,"unavailable"),"unavailable")))</f>
        <v/>
      </c>
      <c r="P290" s="15">
        <f>IF(AND('IPO Live'!$M$5&lt;&gt;"Snapshot",ISNUMBER(K290),N(K290)&gt;0),"Bloomberg",IF(AND('IPO Live'!$M$5&lt;&gt;"Bloomberg",ISNUMBER(G290)),"Snapshot","Unavailable"))</f>
        <v/>
      </c>
      <c r="Q290" s="33">
        <f>IF(AND(P290="Bloomberg",ISNUMBER(L290)),L290,"unavailable")</f>
        <v/>
      </c>
      <c r="R290" s="15">
        <f>IF(OR('IPO Live'!$B$5="All",'IPO Live'!$B$5=C290,AND('IPO Live'!$B$5="A/H only",J290&gt;0)),1,0)</f>
        <v/>
      </c>
      <c r="S290" s="15">
        <f>IF(R290=1,COUNTIF($R$5:R290,1),"")</f>
        <v/>
      </c>
      <c r="T290">
        <f>1</f>
        <v/>
      </c>
      <c r="U290">
        <f>IF($P290="Bloomberg",$M290,$H290)</f>
        <v/>
      </c>
      <c r="AW290">
        <f>IF(AND(J290&gt;0,OR(AH!$I$5="All",AH!$I$5="A/H only",AH!$I$5=C290)),1,0)</f>
        <v/>
      </c>
      <c r="AX290">
        <f>IF(AW290=1,COUNTIF($AW$5:AW290,1),"")</f>
        <v/>
      </c>
      <c r="AY290">
        <f>IF(AH!$M$5="Snapshot",IF(ISNUMBER(G290),G290,"unavailable"),IF(AND(ISNUMBER(K290),N(K290)&gt;0),K290,IF(AH!$M$5="Auto",IF(ISNUMBER(G290),G290,"unavailable"),"unavailable")))</f>
        <v/>
      </c>
      <c r="AZ290">
        <f>IF(AND(AH!$M$5&lt;&gt;"Snapshot",ISNUMBER(K290),N(K290)&gt;0),"Bloomberg",IF(AND(AH!$M$5&lt;&gt;"Bloomberg",ISNUMBER(G290)),"Snapshot","Unavailable"))</f>
        <v/>
      </c>
      <c r="BA290">
        <f>IF(AZ290="Bloomberg",M290,H290)</f>
        <v/>
      </c>
      <c r="BB290">
        <f>1</f>
        <v/>
      </c>
    </row>
    <row r="291">
      <c r="A291" s="31" t="inlineStr">
        <is>
          <t>6715</t>
        </is>
      </c>
      <c r="B291" s="15" t="inlineStr">
        <is>
          <t>XUNLONG SCITECH</t>
        </is>
      </c>
      <c r="C291" s="15" t="inlineStr">
        <is>
          <t>Consumer</t>
        </is>
      </c>
      <c r="D291" s="15" t="inlineStr">
        <is>
          <t>Beverages / packaged food</t>
        </is>
      </c>
      <c r="E291" s="34" t="n">
        <v>46203</v>
      </c>
      <c r="F291" s="15" t="n">
        <v>75.5</v>
      </c>
      <c r="G291" s="15" t="n">
        <v>61.3</v>
      </c>
      <c r="H291" s="34" t="n">
        <v>46297</v>
      </c>
      <c r="I291" s="31" t="n"/>
      <c r="J291" s="15" t="n">
        <v>0</v>
      </c>
      <c r="K291" s="15">
        <f>IF(AND(AH!$M$5="Snapshot",'IPO Live'!$M$5="Snapshot"),"",IFERROR(BDP(TEXT(VALUE($A291),"0")&amp;" HK Equity","PX_LAST"),""))</f>
        <v/>
      </c>
      <c r="L291" s="15">
        <f>IF(AND(AH!$M$5="Snapshot",'IPO Live'!$M$5="Snapshot"),"",IFERROR(BDP(TEXT(VALUE($A291),"0")&amp;" HK Equity","CHG_PCT_1D")/100,""))</f>
        <v/>
      </c>
      <c r="M291" s="15">
        <f>IF(AND(AH!$M$5="Snapshot",'IPO Live'!$M$5="Snapshot"),"",IFERROR(BDP(TEXT(VALUE($A291),"0")&amp;" HK Equity","LAST_UPDATE_DT"),""))</f>
        <v/>
      </c>
      <c r="N291" s="15">
        <f>IF(AND(AH!$M$5="Snapshot",'IPO Live'!$M$5="Snapshot"),"",IFERROR(BDP(TEXT(VALUE($A291),"0")&amp;" HK Equity","LAST_UPDATE"),""))</f>
        <v/>
      </c>
      <c r="O291" s="15">
        <f>IF('IPO Live'!$M$5="Snapshot",IF(ISNUMBER(G291),G291,"unavailable"),IF(AND(ISNUMBER(K291),N(K291)&gt;0),K291,IF('IPO Live'!$M$5="Auto",IF(ISNUMBER(G291),G291,"unavailable"),"unavailable")))</f>
        <v/>
      </c>
      <c r="P291" s="15">
        <f>IF(AND('IPO Live'!$M$5&lt;&gt;"Snapshot",ISNUMBER(K291),N(K291)&gt;0),"Bloomberg",IF(AND('IPO Live'!$M$5&lt;&gt;"Bloomberg",ISNUMBER(G291)),"Snapshot","Unavailable"))</f>
        <v/>
      </c>
      <c r="Q291" s="33">
        <f>IF(AND(P291="Bloomberg",ISNUMBER(L291)),L291,"unavailable")</f>
        <v/>
      </c>
      <c r="R291" s="15">
        <f>IF(OR('IPO Live'!$B$5="All",'IPO Live'!$B$5=C291,AND('IPO Live'!$B$5="A/H only",J291&gt;0)),1,0)</f>
        <v/>
      </c>
      <c r="S291" s="15">
        <f>IF(R291=1,COUNTIF($R$5:R291,1),"")</f>
        <v/>
      </c>
      <c r="T291">
        <f>1</f>
        <v/>
      </c>
      <c r="U291">
        <f>IF($P291="Bloomberg",$M291,$H291)</f>
        <v/>
      </c>
      <c r="AW291">
        <f>IF(AND(J291&gt;0,OR(AH!$I$5="All",AH!$I$5="A/H only",AH!$I$5=C291)),1,0)</f>
        <v/>
      </c>
      <c r="AX291">
        <f>IF(AW291=1,COUNTIF($AW$5:AW291,1),"")</f>
        <v/>
      </c>
      <c r="AY291">
        <f>IF(AH!$M$5="Snapshot",IF(ISNUMBER(G291),G291,"unavailable"),IF(AND(ISNUMBER(K291),N(K291)&gt;0),K291,IF(AH!$M$5="Auto",IF(ISNUMBER(G291),G291,"unavailable"),"unavailable")))</f>
        <v/>
      </c>
      <c r="AZ291">
        <f>IF(AND(AH!$M$5&lt;&gt;"Snapshot",ISNUMBER(K291),N(K291)&gt;0),"Bloomberg",IF(AND(AH!$M$5&lt;&gt;"Bloomberg",ISNUMBER(G291)),"Snapshot","Unavailable"))</f>
        <v/>
      </c>
      <c r="BA291">
        <f>IF(AZ291="Bloomberg",M291,H291)</f>
        <v/>
      </c>
      <c r="BB291">
        <f>1</f>
        <v/>
      </c>
    </row>
    <row r="292">
      <c r="A292" s="31" t="inlineStr">
        <is>
          <t>6658</t>
        </is>
      </c>
      <c r="B292" s="15" t="inlineStr">
        <is>
          <t>LIULIUMEI</t>
        </is>
      </c>
      <c r="C292" s="15" t="inlineStr">
        <is>
          <t>Consumer</t>
        </is>
      </c>
      <c r="D292" s="15" t="inlineStr">
        <is>
          <t>Beverages / packaged food</t>
        </is>
      </c>
      <c r="E292" s="34" t="n">
        <v>46188</v>
      </c>
      <c r="F292" s="15" t="n">
        <v>43.58</v>
      </c>
      <c r="G292" s="15" t="n">
        <v>170</v>
      </c>
      <c r="H292" s="34" t="n">
        <v>46297</v>
      </c>
      <c r="I292" s="31" t="n"/>
      <c r="J292" s="15" t="n">
        <v>0</v>
      </c>
      <c r="K292" s="15">
        <f>IF(AND(AH!$M$5="Snapshot",'IPO Live'!$M$5="Snapshot"),"",IFERROR(BDP(TEXT(VALUE($A292),"0")&amp;" HK Equity","PX_LAST"),""))</f>
        <v/>
      </c>
      <c r="L292" s="15">
        <f>IF(AND(AH!$M$5="Snapshot",'IPO Live'!$M$5="Snapshot"),"",IFERROR(BDP(TEXT(VALUE($A292),"0")&amp;" HK Equity","CHG_PCT_1D")/100,""))</f>
        <v/>
      </c>
      <c r="M292" s="15">
        <f>IF(AND(AH!$M$5="Snapshot",'IPO Live'!$M$5="Snapshot"),"",IFERROR(BDP(TEXT(VALUE($A292),"0")&amp;" HK Equity","LAST_UPDATE_DT"),""))</f>
        <v/>
      </c>
      <c r="N292" s="15">
        <f>IF(AND(AH!$M$5="Snapshot",'IPO Live'!$M$5="Snapshot"),"",IFERROR(BDP(TEXT(VALUE($A292),"0")&amp;" HK Equity","LAST_UPDATE"),""))</f>
        <v/>
      </c>
      <c r="O292" s="15">
        <f>IF('IPO Live'!$M$5="Snapshot",IF(ISNUMBER(G292),G292,"unavailable"),IF(AND(ISNUMBER(K292),N(K292)&gt;0),K292,IF('IPO Live'!$M$5="Auto",IF(ISNUMBER(G292),G292,"unavailable"),"unavailable")))</f>
        <v/>
      </c>
      <c r="P292" s="15">
        <f>IF(AND('IPO Live'!$M$5&lt;&gt;"Snapshot",ISNUMBER(K292),N(K292)&gt;0),"Bloomberg",IF(AND('IPO Live'!$M$5&lt;&gt;"Bloomberg",ISNUMBER(G292)),"Snapshot","Unavailable"))</f>
        <v/>
      </c>
      <c r="Q292" s="33">
        <f>IF(AND(P292="Bloomberg",ISNUMBER(L292)),L292,"unavailable")</f>
        <v/>
      </c>
      <c r="R292" s="15">
        <f>IF(OR('IPO Live'!$B$5="All",'IPO Live'!$B$5=C292,AND('IPO Live'!$B$5="A/H only",J292&gt;0)),1,0)</f>
        <v/>
      </c>
      <c r="S292" s="15">
        <f>IF(R292=1,COUNTIF($R$5:R292,1),"")</f>
        <v/>
      </c>
      <c r="T292">
        <f>1</f>
        <v/>
      </c>
      <c r="U292">
        <f>IF($P292="Bloomberg",$M292,$H292)</f>
        <v/>
      </c>
      <c r="AW292">
        <f>IF(AND(J292&gt;0,OR(AH!$I$5="All",AH!$I$5="A/H only",AH!$I$5=C292)),1,0)</f>
        <v/>
      </c>
      <c r="AX292">
        <f>IF(AW292=1,COUNTIF($AW$5:AW292,1),"")</f>
        <v/>
      </c>
      <c r="AY292">
        <f>IF(AH!$M$5="Snapshot",IF(ISNUMBER(G292),G292,"unavailable"),IF(AND(ISNUMBER(K292),N(K292)&gt;0),K292,IF(AH!$M$5="Auto",IF(ISNUMBER(G292),G292,"unavailable"),"unavailable")))</f>
        <v/>
      </c>
      <c r="AZ292">
        <f>IF(AND(AH!$M$5&lt;&gt;"Snapshot",ISNUMBER(K292),N(K292)&gt;0),"Bloomberg",IF(AND(AH!$M$5&lt;&gt;"Bloomberg",ISNUMBER(G292)),"Snapshot","Unavailable"))</f>
        <v/>
      </c>
      <c r="BA292">
        <f>IF(AZ292="Bloomberg",M292,H292)</f>
        <v/>
      </c>
      <c r="BB292">
        <f>1</f>
        <v/>
      </c>
    </row>
    <row r="293">
      <c r="A293" s="31" t="inlineStr">
        <is>
          <t>2290</t>
        </is>
      </c>
      <c r="B293" s="15" t="inlineStr">
        <is>
          <t>LUNG FUNG GROUP</t>
        </is>
      </c>
      <c r="C293" s="15" t="inlineStr">
        <is>
          <t>Consumer</t>
        </is>
      </c>
      <c r="D293" s="15" t="inlineStr">
        <is>
          <t>Retail / distribution</t>
        </is>
      </c>
      <c r="E293" s="34" t="n">
        <v>46178</v>
      </c>
      <c r="F293" s="15" t="n">
        <v>5.18</v>
      </c>
      <c r="G293" s="15" t="n">
        <v>4.325</v>
      </c>
      <c r="H293" s="34" t="n">
        <v>46297</v>
      </c>
      <c r="I293" s="31" t="n"/>
      <c r="J293" s="15" t="n">
        <v>0</v>
      </c>
      <c r="K293" s="15">
        <f>IF(AND(AH!$M$5="Snapshot",'IPO Live'!$M$5="Snapshot"),"",IFERROR(BDP(TEXT(VALUE($A293),"0")&amp;" HK Equity","PX_LAST"),""))</f>
        <v/>
      </c>
      <c r="L293" s="15">
        <f>IF(AND(AH!$M$5="Snapshot",'IPO Live'!$M$5="Snapshot"),"",IFERROR(BDP(TEXT(VALUE($A293),"0")&amp;" HK Equity","CHG_PCT_1D")/100,""))</f>
        <v/>
      </c>
      <c r="M293" s="15">
        <f>IF(AND(AH!$M$5="Snapshot",'IPO Live'!$M$5="Snapshot"),"",IFERROR(BDP(TEXT(VALUE($A293),"0")&amp;" HK Equity","LAST_UPDATE_DT"),""))</f>
        <v/>
      </c>
      <c r="N293" s="15">
        <f>IF(AND(AH!$M$5="Snapshot",'IPO Live'!$M$5="Snapshot"),"",IFERROR(BDP(TEXT(VALUE($A293),"0")&amp;" HK Equity","LAST_UPDATE"),""))</f>
        <v/>
      </c>
      <c r="O293" s="15">
        <f>IF('IPO Live'!$M$5="Snapshot",IF(ISNUMBER(G293),G293,"unavailable"),IF(AND(ISNUMBER(K293),N(K293)&gt;0),K293,IF('IPO Live'!$M$5="Auto",IF(ISNUMBER(G293),G293,"unavailable"),"unavailable")))</f>
        <v/>
      </c>
      <c r="P293" s="15">
        <f>IF(AND('IPO Live'!$M$5&lt;&gt;"Snapshot",ISNUMBER(K293),N(K293)&gt;0),"Bloomberg",IF(AND('IPO Live'!$M$5&lt;&gt;"Bloomberg",ISNUMBER(G293)),"Snapshot","Unavailable"))</f>
        <v/>
      </c>
      <c r="Q293" s="33">
        <f>IF(AND(P293="Bloomberg",ISNUMBER(L293)),L293,"unavailable")</f>
        <v/>
      </c>
      <c r="R293" s="15">
        <f>IF(OR('IPO Live'!$B$5="All",'IPO Live'!$B$5=C293,AND('IPO Live'!$B$5="A/H only",J293&gt;0)),1,0)</f>
        <v/>
      </c>
      <c r="S293" s="15">
        <f>IF(R293=1,COUNTIF($R$5:R293,1),"")</f>
        <v/>
      </c>
      <c r="T293">
        <f>1</f>
        <v/>
      </c>
      <c r="U293">
        <f>IF($P293="Bloomberg",$M293,$H293)</f>
        <v/>
      </c>
      <c r="AW293">
        <f>IF(AND(J293&gt;0,OR(AH!$I$5="All",AH!$I$5="A/H only",AH!$I$5=C293)),1,0)</f>
        <v/>
      </c>
      <c r="AX293">
        <f>IF(AW293=1,COUNTIF($AW$5:AW293,1),"")</f>
        <v/>
      </c>
      <c r="AY293">
        <f>IF(AH!$M$5="Snapshot",IF(ISNUMBER(G293),G293,"unavailable"),IF(AND(ISNUMBER(K293),N(K293)&gt;0),K293,IF(AH!$M$5="Auto",IF(ISNUMBER(G293),G293,"unavailable"),"unavailable")))</f>
        <v/>
      </c>
      <c r="AZ293">
        <f>IF(AND(AH!$M$5&lt;&gt;"Snapshot",ISNUMBER(K293),N(K293)&gt;0),"Bloomberg",IF(AND(AH!$M$5&lt;&gt;"Bloomberg",ISNUMBER(G293)),"Snapshot","Unavailable"))</f>
        <v/>
      </c>
      <c r="BA293">
        <f>IF(AZ293="Bloomberg",M293,H293)</f>
        <v/>
      </c>
      <c r="BB293">
        <f>1</f>
        <v/>
      </c>
    </row>
    <row r="294">
      <c r="A294" s="31" t="inlineStr">
        <is>
          <t>0664</t>
        </is>
      </c>
      <c r="B294" s="15" t="inlineStr">
        <is>
          <t>TONGSHIFU</t>
        </is>
      </c>
      <c r="C294" s="15" t="inlineStr">
        <is>
          <t>Consumer</t>
        </is>
      </c>
      <c r="D294" s="15" t="inlineStr">
        <is>
          <t>Beverages / packaged food</t>
        </is>
      </c>
      <c r="E294" s="34" t="n">
        <v>46112</v>
      </c>
      <c r="F294" s="15" t="n">
        <v>60</v>
      </c>
      <c r="G294" s="15" t="n">
        <v>11.46</v>
      </c>
      <c r="H294" s="34" t="n">
        <v>46297</v>
      </c>
      <c r="I294" s="31" t="n"/>
      <c r="J294" s="15" t="n">
        <v>0</v>
      </c>
      <c r="K294" s="15">
        <f>IF(AND(AH!$M$5="Snapshot",'IPO Live'!$M$5="Snapshot"),"",IFERROR(BDP(TEXT(VALUE($A294),"0")&amp;" HK Equity","PX_LAST"),""))</f>
        <v/>
      </c>
      <c r="L294" s="15">
        <f>IF(AND(AH!$M$5="Snapshot",'IPO Live'!$M$5="Snapshot"),"",IFERROR(BDP(TEXT(VALUE($A294),"0")&amp;" HK Equity","CHG_PCT_1D")/100,""))</f>
        <v/>
      </c>
      <c r="M294" s="15">
        <f>IF(AND(AH!$M$5="Snapshot",'IPO Live'!$M$5="Snapshot"),"",IFERROR(BDP(TEXT(VALUE($A294),"0")&amp;" HK Equity","LAST_UPDATE_DT"),""))</f>
        <v/>
      </c>
      <c r="N294" s="15">
        <f>IF(AND(AH!$M$5="Snapshot",'IPO Live'!$M$5="Snapshot"),"",IFERROR(BDP(TEXT(VALUE($A294),"0")&amp;" HK Equity","LAST_UPDATE"),""))</f>
        <v/>
      </c>
      <c r="O294" s="15">
        <f>IF('IPO Live'!$M$5="Snapshot",IF(ISNUMBER(G294),G294,"unavailable"),IF(AND(ISNUMBER(K294),N(K294)&gt;0),K294,IF('IPO Live'!$M$5="Auto",IF(ISNUMBER(G294),G294,"unavailable"),"unavailable")))</f>
        <v/>
      </c>
      <c r="P294" s="15">
        <f>IF(AND('IPO Live'!$M$5&lt;&gt;"Snapshot",ISNUMBER(K294),N(K294)&gt;0),"Bloomberg",IF(AND('IPO Live'!$M$5&lt;&gt;"Bloomberg",ISNUMBER(G294)),"Snapshot","Unavailable"))</f>
        <v/>
      </c>
      <c r="Q294" s="33">
        <f>IF(AND(P294="Bloomberg",ISNUMBER(L294)),L294,"unavailable")</f>
        <v/>
      </c>
      <c r="R294" s="15">
        <f>IF(OR('IPO Live'!$B$5="All",'IPO Live'!$B$5=C294,AND('IPO Live'!$B$5="A/H only",J294&gt;0)),1,0)</f>
        <v/>
      </c>
      <c r="S294" s="15">
        <f>IF(R294=1,COUNTIF($R$5:R294,1),"")</f>
        <v/>
      </c>
      <c r="T294">
        <f>1</f>
        <v/>
      </c>
      <c r="U294">
        <f>IF($P294="Bloomberg",$M294,$H294)</f>
        <v/>
      </c>
      <c r="AW294">
        <f>IF(AND(J294&gt;0,OR(AH!$I$5="All",AH!$I$5="A/H only",AH!$I$5=C294)),1,0)</f>
        <v/>
      </c>
      <c r="AX294">
        <f>IF(AW294=1,COUNTIF($AW$5:AW294,1),"")</f>
        <v/>
      </c>
      <c r="AY294">
        <f>IF(AH!$M$5="Snapshot",IF(ISNUMBER(G294),G294,"unavailable"),IF(AND(ISNUMBER(K294),N(K294)&gt;0),K294,IF(AH!$M$5="Auto",IF(ISNUMBER(G294),G294,"unavailable"),"unavailable")))</f>
        <v/>
      </c>
      <c r="AZ294">
        <f>IF(AND(AH!$M$5&lt;&gt;"Snapshot",ISNUMBER(K294),N(K294)&gt;0),"Bloomberg",IF(AND(AH!$M$5&lt;&gt;"Bloomberg",ISNUMBER(G294)),"Snapshot","Unavailable"))</f>
        <v/>
      </c>
      <c r="BA294">
        <f>IF(AZ294="Bloomberg",M294,H294)</f>
        <v/>
      </c>
      <c r="BB294">
        <f>1</f>
        <v/>
      </c>
    </row>
    <row r="295">
      <c r="A295" s="31" t="inlineStr">
        <is>
          <t>2632</t>
        </is>
      </c>
      <c r="B295" s="15" t="inlineStr">
        <is>
          <t>NEW VISION CO</t>
        </is>
      </c>
      <c r="C295" s="15" t="inlineStr">
        <is>
          <t>Consumer</t>
        </is>
      </c>
      <c r="D295" s="15" t="inlineStr">
        <is>
          <t>Auto parts / supply chain</t>
        </is>
      </c>
      <c r="E295" s="34" t="n">
        <v>46105</v>
      </c>
      <c r="F295" s="15" t="n">
        <v>44.2</v>
      </c>
      <c r="G295" s="15" t="n">
        <v>57.95</v>
      </c>
      <c r="H295" s="34" t="n">
        <v>46297</v>
      </c>
      <c r="I295" s="31" t="n"/>
      <c r="J295" s="15" t="n">
        <v>0</v>
      </c>
      <c r="K295" s="15">
        <f>IF(AND(AH!$M$5="Snapshot",'IPO Live'!$M$5="Snapshot"),"",IFERROR(BDP(TEXT(VALUE($A295),"0")&amp;" HK Equity","PX_LAST"),""))</f>
        <v/>
      </c>
      <c r="L295" s="15">
        <f>IF(AND(AH!$M$5="Snapshot",'IPO Live'!$M$5="Snapshot"),"",IFERROR(BDP(TEXT(VALUE($A295),"0")&amp;" HK Equity","CHG_PCT_1D")/100,""))</f>
        <v/>
      </c>
      <c r="M295" s="15">
        <f>IF(AND(AH!$M$5="Snapshot",'IPO Live'!$M$5="Snapshot"),"",IFERROR(BDP(TEXT(VALUE($A295),"0")&amp;" HK Equity","LAST_UPDATE_DT"),""))</f>
        <v/>
      </c>
      <c r="N295" s="15">
        <f>IF(AND(AH!$M$5="Snapshot",'IPO Live'!$M$5="Snapshot"),"",IFERROR(BDP(TEXT(VALUE($A295),"0")&amp;" HK Equity","LAST_UPDATE"),""))</f>
        <v/>
      </c>
      <c r="O295" s="15">
        <f>IF('IPO Live'!$M$5="Snapshot",IF(ISNUMBER(G295),G295,"unavailable"),IF(AND(ISNUMBER(K295),N(K295)&gt;0),K295,IF('IPO Live'!$M$5="Auto",IF(ISNUMBER(G295),G295,"unavailable"),"unavailable")))</f>
        <v/>
      </c>
      <c r="P295" s="15">
        <f>IF(AND('IPO Live'!$M$5&lt;&gt;"Snapshot",ISNUMBER(K295),N(K295)&gt;0),"Bloomberg",IF(AND('IPO Live'!$M$5&lt;&gt;"Bloomberg",ISNUMBER(G295)),"Snapshot","Unavailable"))</f>
        <v/>
      </c>
      <c r="Q295" s="33">
        <f>IF(AND(P295="Bloomberg",ISNUMBER(L295)),L295,"unavailable")</f>
        <v/>
      </c>
      <c r="R295" s="15">
        <f>IF(OR('IPO Live'!$B$5="All",'IPO Live'!$B$5=C295,AND('IPO Live'!$B$5="A/H only",J295&gt;0)),1,0)</f>
        <v/>
      </c>
      <c r="S295" s="15">
        <f>IF(R295=1,COUNTIF($R$5:R295,1),"")</f>
        <v/>
      </c>
      <c r="T295">
        <f>1</f>
        <v/>
      </c>
      <c r="U295">
        <f>IF($P295="Bloomberg",$M295,$H295)</f>
        <v/>
      </c>
      <c r="AW295">
        <f>IF(AND(J295&gt;0,OR(AH!$I$5="All",AH!$I$5="A/H only",AH!$I$5=C295)),1,0)</f>
        <v/>
      </c>
      <c r="AX295">
        <f>IF(AW295=1,COUNTIF($AW$5:AW295,1),"")</f>
        <v/>
      </c>
      <c r="AY295">
        <f>IF(AH!$M$5="Snapshot",IF(ISNUMBER(G295),G295,"unavailable"),IF(AND(ISNUMBER(K295),N(K295)&gt;0),K295,IF(AH!$M$5="Auto",IF(ISNUMBER(G295),G295,"unavailable"),"unavailable")))</f>
        <v/>
      </c>
      <c r="AZ295">
        <f>IF(AND(AH!$M$5&lt;&gt;"Snapshot",ISNUMBER(K295),N(K295)&gt;0),"Bloomberg",IF(AND(AH!$M$5&lt;&gt;"Bloomberg",ISNUMBER(G295)),"Snapshot","Unavailable"))</f>
        <v/>
      </c>
      <c r="BA295">
        <f>IF(AZ295="Bloomberg",M295,H295)</f>
        <v/>
      </c>
      <c r="BB295">
        <f>1</f>
        <v/>
      </c>
    </row>
    <row r="296">
      <c r="A296" s="31" t="inlineStr">
        <is>
          <t>2720</t>
        </is>
      </c>
      <c r="B296" s="15" t="inlineStr">
        <is>
          <t>RIDGE OUTDOOR</t>
        </is>
      </c>
      <c r="C296" s="15" t="inlineStr">
        <is>
          <t>Consumer</t>
        </is>
      </c>
      <c r="D296" s="15" t="inlineStr">
        <is>
          <t>Retail / distribution</t>
        </is>
      </c>
      <c r="E296" s="34" t="n">
        <v>46063</v>
      </c>
      <c r="F296" s="15" t="n">
        <v>12.25</v>
      </c>
      <c r="G296" s="15" t="n">
        <v>23.86</v>
      </c>
      <c r="H296" s="34" t="n">
        <v>46297</v>
      </c>
      <c r="I296" s="31" t="n"/>
      <c r="J296" s="15" t="n">
        <v>0</v>
      </c>
      <c r="K296" s="15">
        <f>IF(AND(AH!$M$5="Snapshot",'IPO Live'!$M$5="Snapshot"),"",IFERROR(BDP(TEXT(VALUE($A296),"0")&amp;" HK Equity","PX_LAST"),""))</f>
        <v/>
      </c>
      <c r="L296" s="15">
        <f>IF(AND(AH!$M$5="Snapshot",'IPO Live'!$M$5="Snapshot"),"",IFERROR(BDP(TEXT(VALUE($A296),"0")&amp;" HK Equity","CHG_PCT_1D")/100,""))</f>
        <v/>
      </c>
      <c r="M296" s="15">
        <f>IF(AND(AH!$M$5="Snapshot",'IPO Live'!$M$5="Snapshot"),"",IFERROR(BDP(TEXT(VALUE($A296),"0")&amp;" HK Equity","LAST_UPDATE_DT"),""))</f>
        <v/>
      </c>
      <c r="N296" s="15">
        <f>IF(AND(AH!$M$5="Snapshot",'IPO Live'!$M$5="Snapshot"),"",IFERROR(BDP(TEXT(VALUE($A296),"0")&amp;" HK Equity","LAST_UPDATE"),""))</f>
        <v/>
      </c>
      <c r="O296" s="15">
        <f>IF('IPO Live'!$M$5="Snapshot",IF(ISNUMBER(G296),G296,"unavailable"),IF(AND(ISNUMBER(K296),N(K296)&gt;0),K296,IF('IPO Live'!$M$5="Auto",IF(ISNUMBER(G296),G296,"unavailable"),"unavailable")))</f>
        <v/>
      </c>
      <c r="P296" s="15">
        <f>IF(AND('IPO Live'!$M$5&lt;&gt;"Snapshot",ISNUMBER(K296),N(K296)&gt;0),"Bloomberg",IF(AND('IPO Live'!$M$5&lt;&gt;"Bloomberg",ISNUMBER(G296)),"Snapshot","Unavailable"))</f>
        <v/>
      </c>
      <c r="Q296" s="33">
        <f>IF(AND(P296="Bloomberg",ISNUMBER(L296)),L296,"unavailable")</f>
        <v/>
      </c>
      <c r="R296" s="15">
        <f>IF(OR('IPO Live'!$B$5="All",'IPO Live'!$B$5=C296,AND('IPO Live'!$B$5="A/H only",J296&gt;0)),1,0)</f>
        <v/>
      </c>
      <c r="S296" s="15">
        <f>IF(R296=1,COUNTIF($R$5:R296,1),"")</f>
        <v/>
      </c>
      <c r="T296">
        <f>1</f>
        <v/>
      </c>
      <c r="U296">
        <f>IF($P296="Bloomberg",$M296,$H296)</f>
        <v/>
      </c>
      <c r="AW296">
        <f>IF(AND(J296&gt;0,OR(AH!$I$5="All",AH!$I$5="A/H only",AH!$I$5=C296)),1,0)</f>
        <v/>
      </c>
      <c r="AX296">
        <f>IF(AW296=1,COUNTIF($AW$5:AW296,1),"")</f>
        <v/>
      </c>
      <c r="AY296">
        <f>IF(AH!$M$5="Snapshot",IF(ISNUMBER(G296),G296,"unavailable"),IF(AND(ISNUMBER(K296),N(K296)&gt;0),K296,IF(AH!$M$5="Auto",IF(ISNUMBER(G296),G296,"unavailable"),"unavailable")))</f>
        <v/>
      </c>
      <c r="AZ296">
        <f>IF(AND(AH!$M$5&lt;&gt;"Snapshot",ISNUMBER(K296),N(K296)&gt;0),"Bloomberg",IF(AND(AH!$M$5&lt;&gt;"Bloomberg",ISNUMBER(G296)),"Snapshot","Unavailable"))</f>
        <v/>
      </c>
      <c r="BA296">
        <f>IF(AZ296="Bloomberg",M296,H296)</f>
        <v/>
      </c>
      <c r="BB296">
        <f>1</f>
        <v/>
      </c>
    </row>
    <row r="297">
      <c r="A297" s="31" t="inlineStr">
        <is>
          <t>2714</t>
        </is>
      </c>
      <c r="B297" s="15" t="inlineStr">
        <is>
          <t>MUYUAN</t>
        </is>
      </c>
      <c r="C297" s="15" t="inlineStr">
        <is>
          <t>Consumer</t>
        </is>
      </c>
      <c r="D297" s="15" t="inlineStr">
        <is>
          <t>Beverages / packaged food</t>
        </is>
      </c>
      <c r="E297" s="34" t="n">
        <v>46059</v>
      </c>
      <c r="F297" s="15" t="n">
        <v>39</v>
      </c>
      <c r="G297" s="15" t="n">
        <v>36.78</v>
      </c>
      <c r="H297" s="34" t="n">
        <v>46297</v>
      </c>
      <c r="I297" s="31" t="inlineStr">
        <is>
          <t>002714.SZ</t>
        </is>
      </c>
      <c r="J297" s="15" t="n">
        <v>40</v>
      </c>
      <c r="K297" s="15">
        <f>IF(AND(AH!$M$5="Snapshot",'IPO Live'!$M$5="Snapshot"),"",IFERROR(BDP(TEXT(VALUE($A297),"0")&amp;" HK Equity","PX_LAST"),""))</f>
        <v/>
      </c>
      <c r="L297" s="15">
        <f>IF(AND(AH!$M$5="Snapshot",'IPO Live'!$M$5="Snapshot"),"",IFERROR(BDP(TEXT(VALUE($A297),"0")&amp;" HK Equity","CHG_PCT_1D")/100,""))</f>
        <v/>
      </c>
      <c r="M297" s="15">
        <f>IF(AND(AH!$M$5="Snapshot",'IPO Live'!$M$5="Snapshot"),"",IFERROR(BDP(TEXT(VALUE($A297),"0")&amp;" HK Equity","LAST_UPDATE_DT"),""))</f>
        <v/>
      </c>
      <c r="N297" s="15">
        <f>IF(AND(AH!$M$5="Snapshot",'IPO Live'!$M$5="Snapshot"),"",IFERROR(BDP(TEXT(VALUE($A297),"0")&amp;" HK Equity","LAST_UPDATE"),""))</f>
        <v/>
      </c>
      <c r="O297" s="15">
        <f>IF('IPO Live'!$M$5="Snapshot",IF(ISNUMBER(G297),G297,"unavailable"),IF(AND(ISNUMBER(K297),N(K297)&gt;0),K297,IF('IPO Live'!$M$5="Auto",IF(ISNUMBER(G297),G297,"unavailable"),"unavailable")))</f>
        <v/>
      </c>
      <c r="P297" s="15">
        <f>IF(AND('IPO Live'!$M$5&lt;&gt;"Snapshot",ISNUMBER(K297),N(K297)&gt;0),"Bloomberg",IF(AND('IPO Live'!$M$5&lt;&gt;"Bloomberg",ISNUMBER(G297)),"Snapshot","Unavailable"))</f>
        <v/>
      </c>
      <c r="Q297" s="33">
        <f>IF(AND(P297="Bloomberg",ISNUMBER(L297)),L297,"unavailable")</f>
        <v/>
      </c>
      <c r="R297" s="15">
        <f>IF(OR('IPO Live'!$B$5="All",'IPO Live'!$B$5=C297,AND('IPO Live'!$B$5="A/H only",J297&gt;0)),1,0)</f>
        <v/>
      </c>
      <c r="S297" s="15">
        <f>IF(R297=1,COUNTIF($R$5:R297,1),"")</f>
        <v/>
      </c>
      <c r="T297">
        <f>1</f>
        <v/>
      </c>
      <c r="U297">
        <f>IF($P297="Bloomberg",$M297,$H297)</f>
        <v/>
      </c>
      <c r="AW297">
        <f>IF(AND(J297&gt;0,OR(AH!$I$5="All",AH!$I$5="A/H only",AH!$I$5=C297)),1,0)</f>
        <v/>
      </c>
      <c r="AX297">
        <f>IF(AW297=1,COUNTIF($AW$5:AW297,1),"")</f>
        <v/>
      </c>
      <c r="AY297">
        <f>IF(AH!$M$5="Snapshot",IF(ISNUMBER(G297),G297,"unavailable"),IF(AND(ISNUMBER(K297),N(K297)&gt;0),K297,IF(AH!$M$5="Auto",IF(ISNUMBER(G297),G297,"unavailable"),"unavailable")))</f>
        <v/>
      </c>
      <c r="AZ297">
        <f>IF(AND(AH!$M$5&lt;&gt;"Snapshot",ISNUMBER(K297),N(K297)&gt;0),"Bloomberg",IF(AND(AH!$M$5&lt;&gt;"Bloomberg",ISNUMBER(G297)),"Snapshot","Unavailable"))</f>
        <v/>
      </c>
      <c r="BA297">
        <f>IF(AZ297="Bloomberg",M297,H297)</f>
        <v/>
      </c>
      <c r="BB297">
        <f>1</f>
        <v/>
      </c>
    </row>
    <row r="298">
      <c r="A298" s="31" t="inlineStr">
        <is>
          <t>9980</t>
        </is>
      </c>
      <c r="B298" s="15" t="inlineStr">
        <is>
          <t>EASTROC</t>
        </is>
      </c>
      <c r="C298" s="15" t="inlineStr">
        <is>
          <t>Consumer</t>
        </is>
      </c>
      <c r="D298" s="15" t="inlineStr">
        <is>
          <t>Beverages / packaged food</t>
        </is>
      </c>
      <c r="E298" s="34" t="n">
        <v>46056</v>
      </c>
      <c r="F298" s="15" t="n">
        <v>248</v>
      </c>
      <c r="G298" s="15" t="n">
        <v>122.2</v>
      </c>
      <c r="H298" s="34" t="n">
        <v>46297</v>
      </c>
      <c r="I298" s="31" t="inlineStr">
        <is>
          <t>605499.SS</t>
        </is>
      </c>
      <c r="J298" s="15" t="n">
        <v>37</v>
      </c>
      <c r="K298" s="15">
        <f>IF(AND(AH!$M$5="Snapshot",'IPO Live'!$M$5="Snapshot"),"",IFERROR(BDP(TEXT(VALUE($A298),"0")&amp;" HK Equity","PX_LAST"),""))</f>
        <v/>
      </c>
      <c r="L298" s="15">
        <f>IF(AND(AH!$M$5="Snapshot",'IPO Live'!$M$5="Snapshot"),"",IFERROR(BDP(TEXT(VALUE($A298),"0")&amp;" HK Equity","CHG_PCT_1D")/100,""))</f>
        <v/>
      </c>
      <c r="M298" s="15">
        <f>IF(AND(AH!$M$5="Snapshot",'IPO Live'!$M$5="Snapshot"),"",IFERROR(BDP(TEXT(VALUE($A298),"0")&amp;" HK Equity","LAST_UPDATE_DT"),""))</f>
        <v/>
      </c>
      <c r="N298" s="15">
        <f>IF(AND(AH!$M$5="Snapshot",'IPO Live'!$M$5="Snapshot"),"",IFERROR(BDP(TEXT(VALUE($A298),"0")&amp;" HK Equity","LAST_UPDATE"),""))</f>
        <v/>
      </c>
      <c r="O298" s="15">
        <f>IF('IPO Live'!$M$5="Snapshot",IF(ISNUMBER(G298),G298,"unavailable"),IF(AND(ISNUMBER(K298),N(K298)&gt;0),K298,IF('IPO Live'!$M$5="Auto",IF(ISNUMBER(G298),G298,"unavailable"),"unavailable")))</f>
        <v/>
      </c>
      <c r="P298" s="15">
        <f>IF(AND('IPO Live'!$M$5&lt;&gt;"Snapshot",ISNUMBER(K298),N(K298)&gt;0),"Bloomberg",IF(AND('IPO Live'!$M$5&lt;&gt;"Bloomberg",ISNUMBER(G298)),"Snapshot","Unavailable"))</f>
        <v/>
      </c>
      <c r="Q298" s="33">
        <f>IF(AND(P298="Bloomberg",ISNUMBER(L298)),L298,"unavailable")</f>
        <v/>
      </c>
      <c r="R298" s="15">
        <f>IF(OR('IPO Live'!$B$5="All",'IPO Live'!$B$5=C298,AND('IPO Live'!$B$5="A/H only",J298&gt;0)),1,0)</f>
        <v/>
      </c>
      <c r="S298" s="15">
        <f>IF(R298=1,COUNTIF($R$5:R298,1),"")</f>
        <v/>
      </c>
      <c r="T298">
        <f>IF(ISNUMBER($U298),IF($U298&gt;=DATEVALUE("2026-05-05"),1.3,1),"unavailable")</f>
        <v/>
      </c>
      <c r="U298">
        <f>IF($P298="Bloomberg",$M298,$H298)</f>
        <v/>
      </c>
      <c r="AW298">
        <f>IF(AND(J298&gt;0,OR(AH!$I$5="All",AH!$I$5="A/H only",AH!$I$5=C298)),1,0)</f>
        <v/>
      </c>
      <c r="AX298">
        <f>IF(AW298=1,COUNTIF($AW$5:AW298,1),"")</f>
        <v/>
      </c>
      <c r="AY298">
        <f>IF(AH!$M$5="Snapshot",IF(ISNUMBER(G298),G298,"unavailable"),IF(AND(ISNUMBER(K298),N(K298)&gt;0),K298,IF(AH!$M$5="Auto",IF(ISNUMBER(G298),G298,"unavailable"),"unavailable")))</f>
        <v/>
      </c>
      <c r="AZ298">
        <f>IF(AND(AH!$M$5&lt;&gt;"Snapshot",ISNUMBER(K298),N(K298)&gt;0),"Bloomberg",IF(AND(AH!$M$5&lt;&gt;"Bloomberg",ISNUMBER(G298)),"Snapshot","Unavailable"))</f>
        <v/>
      </c>
      <c r="BA298">
        <f>IF(AZ298="Bloomberg",M298,H298)</f>
        <v/>
      </c>
      <c r="BB298">
        <f>IF(ISNUMBER($BA298),IF($BA298&gt;=DATEVALUE("2026-05-05"),1.3,1),"unavailable")</f>
        <v/>
      </c>
    </row>
    <row r="299">
      <c r="A299" s="31" t="inlineStr">
        <is>
          <t>1768</t>
        </is>
      </c>
      <c r="B299" s="15" t="inlineStr">
        <is>
          <t>BUSYMING</t>
        </is>
      </c>
      <c r="C299" s="15" t="inlineStr">
        <is>
          <t>Consumer</t>
        </is>
      </c>
      <c r="D299" s="15" t="inlineStr">
        <is>
          <t>Beverages / packaged food</t>
        </is>
      </c>
      <c r="E299" s="34" t="n">
        <v>46050</v>
      </c>
      <c r="F299" s="15" t="n">
        <v>236.6</v>
      </c>
      <c r="G299" s="15" t="n">
        <v>344.2</v>
      </c>
      <c r="H299" s="34" t="n">
        <v>46297</v>
      </c>
      <c r="I299" s="31" t="n"/>
      <c r="J299" s="15" t="n">
        <v>0</v>
      </c>
      <c r="K299" s="15">
        <f>IF(AND(AH!$M$5="Snapshot",'IPO Live'!$M$5="Snapshot"),"",IFERROR(BDP(TEXT(VALUE($A299),"0")&amp;" HK Equity","PX_LAST"),""))</f>
        <v/>
      </c>
      <c r="L299" s="15">
        <f>IF(AND(AH!$M$5="Snapshot",'IPO Live'!$M$5="Snapshot"),"",IFERROR(BDP(TEXT(VALUE($A299),"0")&amp;" HK Equity","CHG_PCT_1D")/100,""))</f>
        <v/>
      </c>
      <c r="M299" s="15">
        <f>IF(AND(AH!$M$5="Snapshot",'IPO Live'!$M$5="Snapshot"),"",IFERROR(BDP(TEXT(VALUE($A299),"0")&amp;" HK Equity","LAST_UPDATE_DT"),""))</f>
        <v/>
      </c>
      <c r="N299" s="15">
        <f>IF(AND(AH!$M$5="Snapshot",'IPO Live'!$M$5="Snapshot"),"",IFERROR(BDP(TEXT(VALUE($A299),"0")&amp;" HK Equity","LAST_UPDATE"),""))</f>
        <v/>
      </c>
      <c r="O299" s="15">
        <f>IF('IPO Live'!$M$5="Snapshot",IF(ISNUMBER(G299),G299,"unavailable"),IF(AND(ISNUMBER(K299),N(K299)&gt;0),K299,IF('IPO Live'!$M$5="Auto",IF(ISNUMBER(G299),G299,"unavailable"),"unavailable")))</f>
        <v/>
      </c>
      <c r="P299" s="15">
        <f>IF(AND('IPO Live'!$M$5&lt;&gt;"Snapshot",ISNUMBER(K299),N(K299)&gt;0),"Bloomberg",IF(AND('IPO Live'!$M$5&lt;&gt;"Bloomberg",ISNUMBER(G299)),"Snapshot","Unavailable"))</f>
        <v/>
      </c>
      <c r="Q299" s="33">
        <f>IF(AND(P299="Bloomberg",ISNUMBER(L299)),L299,"unavailable")</f>
        <v/>
      </c>
      <c r="R299" s="15">
        <f>IF(OR('IPO Live'!$B$5="All",'IPO Live'!$B$5=C299,AND('IPO Live'!$B$5="A/H only",J299&gt;0)),1,0)</f>
        <v/>
      </c>
      <c r="S299" s="15">
        <f>IF(R299=1,COUNTIF($R$5:R299,1),"")</f>
        <v/>
      </c>
      <c r="T299">
        <f>1</f>
        <v/>
      </c>
      <c r="U299">
        <f>IF($P299="Bloomberg",$M299,$H299)</f>
        <v/>
      </c>
      <c r="AW299">
        <f>IF(AND(J299&gt;0,OR(AH!$I$5="All",AH!$I$5="A/H only",AH!$I$5=C299)),1,0)</f>
        <v/>
      </c>
      <c r="AX299">
        <f>IF(AW299=1,COUNTIF($AW$5:AW299,1),"")</f>
        <v/>
      </c>
      <c r="AY299">
        <f>IF(AH!$M$5="Snapshot",IF(ISNUMBER(G299),G299,"unavailable"),IF(AND(ISNUMBER(K299),N(K299)&gt;0),K299,IF(AH!$M$5="Auto",IF(ISNUMBER(G299),G299,"unavailable"),"unavailable")))</f>
        <v/>
      </c>
      <c r="AZ299">
        <f>IF(AND(AH!$M$5&lt;&gt;"Snapshot",ISNUMBER(K299),N(K299)&gt;0),"Bloomberg",IF(AND(AH!$M$5&lt;&gt;"Bloomberg",ISNUMBER(G299)),"Snapshot","Unavailable"))</f>
        <v/>
      </c>
      <c r="BA299">
        <f>IF(AZ299="Bloomberg",M299,H299)</f>
        <v/>
      </c>
      <c r="BB299">
        <f>1</f>
        <v/>
      </c>
    </row>
    <row r="300">
      <c r="A300" s="31" t="inlineStr">
        <is>
          <t>2657</t>
        </is>
      </c>
      <c r="B300" s="15" t="inlineStr">
        <is>
          <t>FOREST CABIN</t>
        </is>
      </c>
      <c r="C300" s="15" t="inlineStr">
        <is>
          <t>Consumer</t>
        </is>
      </c>
      <c r="D300" s="15" t="inlineStr">
        <is>
          <t>Beauty / personal care</t>
        </is>
      </c>
      <c r="E300" s="34" t="n">
        <v>46021</v>
      </c>
      <c r="F300" s="15" t="n">
        <v>77.77</v>
      </c>
      <c r="G300" s="15" t="n">
        <v>57.2</v>
      </c>
      <c r="H300" s="34" t="n">
        <v>46297</v>
      </c>
      <c r="I300" s="31" t="n"/>
      <c r="J300" s="15" t="n">
        <v>0</v>
      </c>
      <c r="K300" s="15">
        <f>IF(AND(AH!$M$5="Snapshot",'IPO Live'!$M$5="Snapshot"),"",IFERROR(BDP(TEXT(VALUE($A300),"0")&amp;" HK Equity","PX_LAST"),""))</f>
        <v/>
      </c>
      <c r="L300" s="15">
        <f>IF(AND(AH!$M$5="Snapshot",'IPO Live'!$M$5="Snapshot"),"",IFERROR(BDP(TEXT(VALUE($A300),"0")&amp;" HK Equity","CHG_PCT_1D")/100,""))</f>
        <v/>
      </c>
      <c r="M300" s="15">
        <f>IF(AND(AH!$M$5="Snapshot",'IPO Live'!$M$5="Snapshot"),"",IFERROR(BDP(TEXT(VALUE($A300),"0")&amp;" HK Equity","LAST_UPDATE_DT"),""))</f>
        <v/>
      </c>
      <c r="N300" s="15">
        <f>IF(AND(AH!$M$5="Snapshot",'IPO Live'!$M$5="Snapshot"),"",IFERROR(BDP(TEXT(VALUE($A300),"0")&amp;" HK Equity","LAST_UPDATE"),""))</f>
        <v/>
      </c>
      <c r="O300" s="15">
        <f>IF('IPO Live'!$M$5="Snapshot",IF(ISNUMBER(G300),G300,"unavailable"),IF(AND(ISNUMBER(K300),N(K300)&gt;0),K300,IF('IPO Live'!$M$5="Auto",IF(ISNUMBER(G300),G300,"unavailable"),"unavailable")))</f>
        <v/>
      </c>
      <c r="P300" s="15">
        <f>IF(AND('IPO Live'!$M$5&lt;&gt;"Snapshot",ISNUMBER(K300),N(K300)&gt;0),"Bloomberg",IF(AND('IPO Live'!$M$5&lt;&gt;"Bloomberg",ISNUMBER(G300)),"Snapshot","Unavailable"))</f>
        <v/>
      </c>
      <c r="Q300" s="33">
        <f>IF(AND(P300="Bloomberg",ISNUMBER(L300)),L300,"unavailable")</f>
        <v/>
      </c>
      <c r="R300" s="15">
        <f>IF(OR('IPO Live'!$B$5="All",'IPO Live'!$B$5=C300,AND('IPO Live'!$B$5="A/H only",J300&gt;0)),1,0)</f>
        <v/>
      </c>
      <c r="S300" s="15">
        <f>IF(R300=1,COUNTIF($R$5:R300,1),"")</f>
        <v/>
      </c>
      <c r="T300">
        <f>1</f>
        <v/>
      </c>
      <c r="U300">
        <f>IF($P300="Bloomberg",$M300,$H300)</f>
        <v/>
      </c>
      <c r="AW300">
        <f>IF(AND(J300&gt;0,OR(AH!$I$5="All",AH!$I$5="A/H only",AH!$I$5=C300)),1,0)</f>
        <v/>
      </c>
      <c r="AX300">
        <f>IF(AW300=1,COUNTIF($AW$5:AW300,1),"")</f>
        <v/>
      </c>
      <c r="AY300">
        <f>IF(AH!$M$5="Snapshot",IF(ISNUMBER(G300),G300,"unavailable"),IF(AND(ISNUMBER(K300),N(K300)&gt;0),K300,IF(AH!$M$5="Auto",IF(ISNUMBER(G300),G300,"unavailable"),"unavailable")))</f>
        <v/>
      </c>
      <c r="AZ300">
        <f>IF(AND(AH!$M$5&lt;&gt;"Snapshot",ISNUMBER(K300),N(K300)&gt;0),"Bloomberg",IF(AND(AH!$M$5&lt;&gt;"Bloomberg",ISNUMBER(G300)),"Snapshot","Unavailable"))</f>
        <v/>
      </c>
      <c r="BA300">
        <f>IF(AZ300="Bloomberg",M300,H300)</f>
        <v/>
      </c>
      <c r="BB300">
        <f>1</f>
        <v/>
      </c>
    </row>
    <row r="301">
      <c r="A301" s="31" t="inlineStr">
        <is>
          <t>2408</t>
        </is>
      </c>
      <c r="B301" s="15" t="inlineStr">
        <is>
          <t>XIAO NOODLES</t>
        </is>
      </c>
      <c r="C301" s="15" t="inlineStr">
        <is>
          <t>Consumer</t>
        </is>
      </c>
      <c r="D301" s="15" t="inlineStr">
        <is>
          <t>F&amp;B chains / restaurants</t>
        </is>
      </c>
      <c r="E301" s="34" t="n">
        <v>45996</v>
      </c>
      <c r="F301" s="15" t="n">
        <v>7.04</v>
      </c>
      <c r="G301" s="15" t="n">
        <v>4.195</v>
      </c>
      <c r="H301" s="34" t="n">
        <v>46297</v>
      </c>
      <c r="I301" s="31" t="n"/>
      <c r="J301" s="15" t="n">
        <v>0</v>
      </c>
      <c r="K301" s="15">
        <f>IF(AND(AH!$M$5="Snapshot",'IPO Live'!$M$5="Snapshot"),"",IFERROR(BDP(TEXT(VALUE($A301),"0")&amp;" HK Equity","PX_LAST"),""))</f>
        <v/>
      </c>
      <c r="L301" s="15">
        <f>IF(AND(AH!$M$5="Snapshot",'IPO Live'!$M$5="Snapshot"),"",IFERROR(BDP(TEXT(VALUE($A301),"0")&amp;" HK Equity","CHG_PCT_1D")/100,""))</f>
        <v/>
      </c>
      <c r="M301" s="15">
        <f>IF(AND(AH!$M$5="Snapshot",'IPO Live'!$M$5="Snapshot"),"",IFERROR(BDP(TEXT(VALUE($A301),"0")&amp;" HK Equity","LAST_UPDATE_DT"),""))</f>
        <v/>
      </c>
      <c r="N301" s="15">
        <f>IF(AND(AH!$M$5="Snapshot",'IPO Live'!$M$5="Snapshot"),"",IFERROR(BDP(TEXT(VALUE($A301),"0")&amp;" HK Equity","LAST_UPDATE"),""))</f>
        <v/>
      </c>
      <c r="O301" s="15">
        <f>IF('IPO Live'!$M$5="Snapshot",IF(ISNUMBER(G301),G301,"unavailable"),IF(AND(ISNUMBER(K301),N(K301)&gt;0),K301,IF('IPO Live'!$M$5="Auto",IF(ISNUMBER(G301),G301,"unavailable"),"unavailable")))</f>
        <v/>
      </c>
      <c r="P301" s="15">
        <f>IF(AND('IPO Live'!$M$5&lt;&gt;"Snapshot",ISNUMBER(K301),N(K301)&gt;0),"Bloomberg",IF(AND('IPO Live'!$M$5&lt;&gt;"Bloomberg",ISNUMBER(G301)),"Snapshot","Unavailable"))</f>
        <v/>
      </c>
      <c r="Q301" s="33">
        <f>IF(AND(P301="Bloomberg",ISNUMBER(L301)),L301,"unavailable")</f>
        <v/>
      </c>
      <c r="R301" s="15">
        <f>IF(OR('IPO Live'!$B$5="All",'IPO Live'!$B$5=C301,AND('IPO Live'!$B$5="A/H only",J301&gt;0)),1,0)</f>
        <v/>
      </c>
      <c r="S301" s="15">
        <f>IF(R301=1,COUNTIF($R$5:R301,1),"")</f>
        <v/>
      </c>
      <c r="T301">
        <f>1</f>
        <v/>
      </c>
      <c r="U301">
        <f>IF($P301="Bloomberg",$M301,$H301)</f>
        <v/>
      </c>
      <c r="AW301">
        <f>IF(AND(J301&gt;0,OR(AH!$I$5="All",AH!$I$5="A/H only",AH!$I$5=C301)),1,0)</f>
        <v/>
      </c>
      <c r="AX301">
        <f>IF(AW301=1,COUNTIF($AW$5:AW301,1),"")</f>
        <v/>
      </c>
      <c r="AY301">
        <f>IF(AH!$M$5="Snapshot",IF(ISNUMBER(G301),G301,"unavailable"),IF(AND(ISNUMBER(K301),N(K301)&gt;0),K301,IF(AH!$M$5="Auto",IF(ISNUMBER(G301),G301,"unavailable"),"unavailable")))</f>
        <v/>
      </c>
      <c r="AZ301">
        <f>IF(AND(AH!$M$5&lt;&gt;"Snapshot",ISNUMBER(K301),N(K301)&gt;0),"Bloomberg",IF(AND(AH!$M$5&lt;&gt;"Bloomberg",ISNUMBER(G301)),"Snapshot","Unavailable"))</f>
        <v/>
      </c>
      <c r="BA301">
        <f>IF(AZ301="Bloomberg",M301,H301)</f>
        <v/>
      </c>
      <c r="BB301">
        <f>1</f>
        <v/>
      </c>
    </row>
    <row r="302">
      <c r="A302" s="31" t="inlineStr">
        <is>
          <t>2698</t>
        </is>
      </c>
      <c r="B302" s="15" t="inlineStr">
        <is>
          <t>SOFTCARE</t>
        </is>
      </c>
      <c r="C302" s="15" t="inlineStr">
        <is>
          <t>Consumer</t>
        </is>
      </c>
      <c r="D302" s="15" t="inlineStr">
        <is>
          <t>Retail / distribution</t>
        </is>
      </c>
      <c r="E302" s="34" t="n">
        <v>45971</v>
      </c>
      <c r="F302" s="15" t="n">
        <v>26.2</v>
      </c>
      <c r="G302" s="15" t="n">
        <v>26.5</v>
      </c>
      <c r="H302" s="34" t="n">
        <v>46297</v>
      </c>
      <c r="I302" s="31" t="n"/>
      <c r="J302" s="15" t="n">
        <v>0</v>
      </c>
      <c r="K302" s="15">
        <f>IF(AND(AH!$M$5="Snapshot",'IPO Live'!$M$5="Snapshot"),"",IFERROR(BDP(TEXT(VALUE($A302),"0")&amp;" HK Equity","PX_LAST"),""))</f>
        <v/>
      </c>
      <c r="L302" s="15">
        <f>IF(AND(AH!$M$5="Snapshot",'IPO Live'!$M$5="Snapshot"),"",IFERROR(BDP(TEXT(VALUE($A302),"0")&amp;" HK Equity","CHG_PCT_1D")/100,""))</f>
        <v/>
      </c>
      <c r="M302" s="15">
        <f>IF(AND(AH!$M$5="Snapshot",'IPO Live'!$M$5="Snapshot"),"",IFERROR(BDP(TEXT(VALUE($A302),"0")&amp;" HK Equity","LAST_UPDATE_DT"),""))</f>
        <v/>
      </c>
      <c r="N302" s="15">
        <f>IF(AND(AH!$M$5="Snapshot",'IPO Live'!$M$5="Snapshot"),"",IFERROR(BDP(TEXT(VALUE($A302),"0")&amp;" HK Equity","LAST_UPDATE"),""))</f>
        <v/>
      </c>
      <c r="O302" s="15">
        <f>IF('IPO Live'!$M$5="Snapshot",IF(ISNUMBER(G302),G302,"unavailable"),IF(AND(ISNUMBER(K302),N(K302)&gt;0),K302,IF('IPO Live'!$M$5="Auto",IF(ISNUMBER(G302),G302,"unavailable"),"unavailable")))</f>
        <v/>
      </c>
      <c r="P302" s="15">
        <f>IF(AND('IPO Live'!$M$5&lt;&gt;"Snapshot",ISNUMBER(K302),N(K302)&gt;0),"Bloomberg",IF(AND('IPO Live'!$M$5&lt;&gt;"Bloomberg",ISNUMBER(G302)),"Snapshot","Unavailable"))</f>
        <v/>
      </c>
      <c r="Q302" s="33">
        <f>IF(AND(P302="Bloomberg",ISNUMBER(L302)),L302,"unavailable")</f>
        <v/>
      </c>
      <c r="R302" s="15">
        <f>IF(OR('IPO Live'!$B$5="All",'IPO Live'!$B$5=C302,AND('IPO Live'!$B$5="A/H only",J302&gt;0)),1,0)</f>
        <v/>
      </c>
      <c r="S302" s="15">
        <f>IF(R302=1,COUNTIF($R$5:R302,1),"")</f>
        <v/>
      </c>
      <c r="T302">
        <f>1</f>
        <v/>
      </c>
      <c r="U302">
        <f>IF($P302="Bloomberg",$M302,$H302)</f>
        <v/>
      </c>
      <c r="AW302">
        <f>IF(AND(J302&gt;0,OR(AH!$I$5="All",AH!$I$5="A/H only",AH!$I$5=C302)),1,0)</f>
        <v/>
      </c>
      <c r="AX302">
        <f>IF(AW302=1,COUNTIF($AW$5:AW302,1),"")</f>
        <v/>
      </c>
      <c r="AY302">
        <f>IF(AH!$M$5="Snapshot",IF(ISNUMBER(G302),G302,"unavailable"),IF(AND(ISNUMBER(K302),N(K302)&gt;0),K302,IF(AH!$M$5="Auto",IF(ISNUMBER(G302),G302,"unavailable"),"unavailable")))</f>
        <v/>
      </c>
      <c r="AZ302">
        <f>IF(AND(AH!$M$5&lt;&gt;"Snapshot",ISNUMBER(K302),N(K302)&gt;0),"Bloomberg",IF(AND(AH!$M$5&lt;&gt;"Bloomberg",ISNUMBER(G302)),"Snapshot","Unavailable"))</f>
        <v/>
      </c>
      <c r="BA302">
        <f>IF(AZ302="Bloomberg",M302,H302)</f>
        <v/>
      </c>
      <c r="BB302">
        <f>1</f>
        <v/>
      </c>
    </row>
    <row r="303">
      <c r="A303" s="31" t="inlineStr">
        <is>
          <t>0699</t>
        </is>
      </c>
      <c r="B303" s="15" t="inlineStr">
        <is>
          <t>JOYSON ELEC</t>
        </is>
      </c>
      <c r="C303" s="15" t="inlineStr">
        <is>
          <t>Consumer</t>
        </is>
      </c>
      <c r="D303" s="15" t="inlineStr">
        <is>
          <t>Auto parts / supply chain</t>
        </is>
      </c>
      <c r="E303" s="34" t="n">
        <v>45967</v>
      </c>
      <c r="F303" s="15" t="n">
        <v>22</v>
      </c>
      <c r="G303" s="15" t="n">
        <v>12.19</v>
      </c>
      <c r="H303" s="34" t="n">
        <v>46297</v>
      </c>
      <c r="I303" s="31" t="inlineStr">
        <is>
          <t>600699.SS</t>
        </is>
      </c>
      <c r="J303" s="15" t="n">
        <v>30</v>
      </c>
      <c r="K303" s="15">
        <f>IF(AND(AH!$M$5="Snapshot",'IPO Live'!$M$5="Snapshot"),"",IFERROR(BDP(TEXT(VALUE($A303),"0")&amp;" HK Equity","PX_LAST"),""))</f>
        <v/>
      </c>
      <c r="L303" s="15">
        <f>IF(AND(AH!$M$5="Snapshot",'IPO Live'!$M$5="Snapshot"),"",IFERROR(BDP(TEXT(VALUE($A303),"0")&amp;" HK Equity","CHG_PCT_1D")/100,""))</f>
        <v/>
      </c>
      <c r="M303" s="15">
        <f>IF(AND(AH!$M$5="Snapshot",'IPO Live'!$M$5="Snapshot"),"",IFERROR(BDP(TEXT(VALUE($A303),"0")&amp;" HK Equity","LAST_UPDATE_DT"),""))</f>
        <v/>
      </c>
      <c r="N303" s="15">
        <f>IF(AND(AH!$M$5="Snapshot",'IPO Live'!$M$5="Snapshot"),"",IFERROR(BDP(TEXT(VALUE($A303),"0")&amp;" HK Equity","LAST_UPDATE"),""))</f>
        <v/>
      </c>
      <c r="O303" s="15">
        <f>IF('IPO Live'!$M$5="Snapshot",IF(ISNUMBER(G303),G303,"unavailable"),IF(AND(ISNUMBER(K303),N(K303)&gt;0),K303,IF('IPO Live'!$M$5="Auto",IF(ISNUMBER(G303),G303,"unavailable"),"unavailable")))</f>
        <v/>
      </c>
      <c r="P303" s="15">
        <f>IF(AND('IPO Live'!$M$5&lt;&gt;"Snapshot",ISNUMBER(K303),N(K303)&gt;0),"Bloomberg",IF(AND('IPO Live'!$M$5&lt;&gt;"Bloomberg",ISNUMBER(G303)),"Snapshot","Unavailable"))</f>
        <v/>
      </c>
      <c r="Q303" s="33">
        <f>IF(AND(P303="Bloomberg",ISNUMBER(L303)),L303,"unavailable")</f>
        <v/>
      </c>
      <c r="R303" s="15">
        <f>IF(OR('IPO Live'!$B$5="All",'IPO Live'!$B$5=C303,AND('IPO Live'!$B$5="A/H only",J303&gt;0)),1,0)</f>
        <v/>
      </c>
      <c r="S303" s="15">
        <f>IF(R303=1,COUNTIF($R$5:R303,1),"")</f>
        <v/>
      </c>
      <c r="T303">
        <f>1</f>
        <v/>
      </c>
      <c r="U303">
        <f>IF($P303="Bloomberg",$M303,$H303)</f>
        <v/>
      </c>
      <c r="AW303">
        <f>IF(AND(J303&gt;0,OR(AH!$I$5="All",AH!$I$5="A/H only",AH!$I$5=C303)),1,0)</f>
        <v/>
      </c>
      <c r="AX303">
        <f>IF(AW303=1,COUNTIF($AW$5:AW303,1),"")</f>
        <v/>
      </c>
      <c r="AY303">
        <f>IF(AH!$M$5="Snapshot",IF(ISNUMBER(G303),G303,"unavailable"),IF(AND(ISNUMBER(K303),N(K303)&gt;0),K303,IF(AH!$M$5="Auto",IF(ISNUMBER(G303),G303,"unavailable"),"unavailable")))</f>
        <v/>
      </c>
      <c r="AZ303">
        <f>IF(AND(AH!$M$5&lt;&gt;"Snapshot",ISNUMBER(K303),N(K303)&gt;0),"Bloomberg",IF(AND(AH!$M$5&lt;&gt;"Bloomberg",ISNUMBER(G303)),"Snapshot","Unavailable"))</f>
        <v/>
      </c>
      <c r="BA303">
        <f>IF(AZ303="Bloomberg",M303,H303)</f>
        <v/>
      </c>
      <c r="BB303">
        <f>1</f>
        <v/>
      </c>
    </row>
    <row r="304">
      <c r="A304" s="31" t="inlineStr">
        <is>
          <t>9927</t>
        </is>
      </c>
      <c r="B304" s="15" t="inlineStr">
        <is>
          <t>SERES</t>
        </is>
      </c>
      <c r="C304" s="15" t="inlineStr">
        <is>
          <t>Consumer</t>
        </is>
      </c>
      <c r="D304" s="15" t="inlineStr">
        <is>
          <t>Autos (NEV OEM)</t>
        </is>
      </c>
      <c r="E304" s="34" t="n">
        <v>45966</v>
      </c>
      <c r="F304" s="15" t="n">
        <v>131.5</v>
      </c>
      <c r="G304" s="15" t="n">
        <v>37.34</v>
      </c>
      <c r="H304" s="34" t="n">
        <v>46297</v>
      </c>
      <c r="I304" s="31" t="inlineStr">
        <is>
          <t>601127.SS</t>
        </is>
      </c>
      <c r="J304" s="15" t="n">
        <v>29</v>
      </c>
      <c r="K304" s="15">
        <f>IF(AND(AH!$M$5="Snapshot",'IPO Live'!$M$5="Snapshot"),"",IFERROR(BDP(TEXT(VALUE($A304),"0")&amp;" HK Equity","PX_LAST"),""))</f>
        <v/>
      </c>
      <c r="L304" s="15">
        <f>IF(AND(AH!$M$5="Snapshot",'IPO Live'!$M$5="Snapshot"),"",IFERROR(BDP(TEXT(VALUE($A304),"0")&amp;" HK Equity","CHG_PCT_1D")/100,""))</f>
        <v/>
      </c>
      <c r="M304" s="15">
        <f>IF(AND(AH!$M$5="Snapshot",'IPO Live'!$M$5="Snapshot"),"",IFERROR(BDP(TEXT(VALUE($A304),"0")&amp;" HK Equity","LAST_UPDATE_DT"),""))</f>
        <v/>
      </c>
      <c r="N304" s="15">
        <f>IF(AND(AH!$M$5="Snapshot",'IPO Live'!$M$5="Snapshot"),"",IFERROR(BDP(TEXT(VALUE($A304),"0")&amp;" HK Equity","LAST_UPDATE"),""))</f>
        <v/>
      </c>
      <c r="O304" s="15">
        <f>IF('IPO Live'!$M$5="Snapshot",IF(ISNUMBER(G304),G304,"unavailable"),IF(AND(ISNUMBER(K304),N(K304)&gt;0),K304,IF('IPO Live'!$M$5="Auto",IF(ISNUMBER(G304),G304,"unavailable"),"unavailable")))</f>
        <v/>
      </c>
      <c r="P304" s="15">
        <f>IF(AND('IPO Live'!$M$5&lt;&gt;"Snapshot",ISNUMBER(K304),N(K304)&gt;0),"Bloomberg",IF(AND('IPO Live'!$M$5&lt;&gt;"Bloomberg",ISNUMBER(G304)),"Snapshot","Unavailable"))</f>
        <v/>
      </c>
      <c r="Q304" s="33">
        <f>IF(AND(P304="Bloomberg",ISNUMBER(L304)),L304,"unavailable")</f>
        <v/>
      </c>
      <c r="R304" s="15">
        <f>IF(OR('IPO Live'!$B$5="All",'IPO Live'!$B$5=C304,AND('IPO Live'!$B$5="A/H only",J304&gt;0)),1,0)</f>
        <v/>
      </c>
      <c r="S304" s="15">
        <f>IF(R304=1,COUNTIF($R$5:R304,1),"")</f>
        <v/>
      </c>
      <c r="T304">
        <f>1</f>
        <v/>
      </c>
      <c r="U304">
        <f>IF($P304="Bloomberg",$M304,$H304)</f>
        <v/>
      </c>
      <c r="AW304">
        <f>IF(AND(J304&gt;0,OR(AH!$I$5="All",AH!$I$5="A/H only",AH!$I$5=C304)),1,0)</f>
        <v/>
      </c>
      <c r="AX304">
        <f>IF(AW304=1,COUNTIF($AW$5:AW304,1),"")</f>
        <v/>
      </c>
      <c r="AY304">
        <f>IF(AH!$M$5="Snapshot",IF(ISNUMBER(G304),G304,"unavailable"),IF(AND(ISNUMBER(K304),N(K304)&gt;0),K304,IF(AH!$M$5="Auto",IF(ISNUMBER(G304),G304,"unavailable"),"unavailable")))</f>
        <v/>
      </c>
      <c r="AZ304">
        <f>IF(AND(AH!$M$5&lt;&gt;"Snapshot",ISNUMBER(K304),N(K304)&gt;0),"Bloomberg",IF(AND(AH!$M$5&lt;&gt;"Bloomberg",ISNUMBER(G304)),"Snapshot","Unavailable"))</f>
        <v/>
      </c>
      <c r="BA304">
        <f>IF(AZ304="Bloomberg",M304,H304)</f>
        <v/>
      </c>
      <c r="BB304">
        <f>1</f>
        <v/>
      </c>
    </row>
    <row r="305">
      <c r="A305" s="31" t="inlineStr">
        <is>
          <t>6980</t>
        </is>
      </c>
      <c r="B305" s="15" t="inlineStr">
        <is>
          <t>BAMA TEA</t>
        </is>
      </c>
      <c r="C305" s="15" t="inlineStr">
        <is>
          <t>Consumer</t>
        </is>
      </c>
      <c r="D305" s="15" t="inlineStr">
        <is>
          <t>Beverages / packaged food</t>
        </is>
      </c>
      <c r="E305" s="34" t="n">
        <v>45958</v>
      </c>
      <c r="F305" s="15" t="n">
        <v>50</v>
      </c>
      <c r="G305" s="15" t="n">
        <v>27.02</v>
      </c>
      <c r="H305" s="34" t="n">
        <v>46297</v>
      </c>
      <c r="I305" s="31" t="n"/>
      <c r="J305" s="15" t="n">
        <v>0</v>
      </c>
      <c r="K305" s="15">
        <f>IF(AND(AH!$M$5="Snapshot",'IPO Live'!$M$5="Snapshot"),"",IFERROR(BDP(TEXT(VALUE($A305),"0")&amp;" HK Equity","PX_LAST"),""))</f>
        <v/>
      </c>
      <c r="L305" s="15">
        <f>IF(AND(AH!$M$5="Snapshot",'IPO Live'!$M$5="Snapshot"),"",IFERROR(BDP(TEXT(VALUE($A305),"0")&amp;" HK Equity","CHG_PCT_1D")/100,""))</f>
        <v/>
      </c>
      <c r="M305" s="15">
        <f>IF(AND(AH!$M$5="Snapshot",'IPO Live'!$M$5="Snapshot"),"",IFERROR(BDP(TEXT(VALUE($A305),"0")&amp;" HK Equity","LAST_UPDATE_DT"),""))</f>
        <v/>
      </c>
      <c r="N305" s="15">
        <f>IF(AND(AH!$M$5="Snapshot",'IPO Live'!$M$5="Snapshot"),"",IFERROR(BDP(TEXT(VALUE($A305),"0")&amp;" HK Equity","LAST_UPDATE"),""))</f>
        <v/>
      </c>
      <c r="O305" s="15">
        <f>IF('IPO Live'!$M$5="Snapshot",IF(ISNUMBER(G305),G305,"unavailable"),IF(AND(ISNUMBER(K305),N(K305)&gt;0),K305,IF('IPO Live'!$M$5="Auto",IF(ISNUMBER(G305),G305,"unavailable"),"unavailable")))</f>
        <v/>
      </c>
      <c r="P305" s="15">
        <f>IF(AND('IPO Live'!$M$5&lt;&gt;"Snapshot",ISNUMBER(K305),N(K305)&gt;0),"Bloomberg",IF(AND('IPO Live'!$M$5&lt;&gt;"Bloomberg",ISNUMBER(G305)),"Snapshot","Unavailable"))</f>
        <v/>
      </c>
      <c r="Q305" s="33">
        <f>IF(AND(P305="Bloomberg",ISNUMBER(L305)),L305,"unavailable")</f>
        <v/>
      </c>
      <c r="R305" s="15">
        <f>IF(OR('IPO Live'!$B$5="All",'IPO Live'!$B$5=C305,AND('IPO Live'!$B$5="A/H only",J305&gt;0)),1,0)</f>
        <v/>
      </c>
      <c r="S305" s="15">
        <f>IF(R305=1,COUNTIF($R$5:R305,1),"")</f>
        <v/>
      </c>
      <c r="T305">
        <f>1</f>
        <v/>
      </c>
      <c r="U305">
        <f>IF($P305="Bloomberg",$M305,$H305)</f>
        <v/>
      </c>
      <c r="AW305">
        <f>IF(AND(J305&gt;0,OR(AH!$I$5="All",AH!$I$5="A/H only",AH!$I$5=C305)),1,0)</f>
        <v/>
      </c>
      <c r="AX305">
        <f>IF(AW305=1,COUNTIF($AW$5:AW305,1),"")</f>
        <v/>
      </c>
      <c r="AY305">
        <f>IF(AH!$M$5="Snapshot",IF(ISNUMBER(G305),G305,"unavailable"),IF(AND(ISNUMBER(K305),N(K305)&gt;0),K305,IF(AH!$M$5="Auto",IF(ISNUMBER(G305),G305,"unavailable"),"unavailable")))</f>
        <v/>
      </c>
      <c r="AZ305">
        <f>IF(AND(AH!$M$5&lt;&gt;"Snapshot",ISNUMBER(K305),N(K305)&gt;0),"Bloomberg",IF(AND(AH!$M$5&lt;&gt;"Bloomberg",ISNUMBER(G305)),"Snapshot","Unavailable"))</f>
        <v/>
      </c>
      <c r="BA305">
        <f>IF(AZ305="Bloomberg",M305,H305)</f>
        <v/>
      </c>
      <c r="BB305">
        <f>1</f>
        <v/>
      </c>
    </row>
    <row r="306">
      <c r="A306" s="31" t="inlineStr">
        <is>
          <t>2650</t>
        </is>
      </c>
      <c r="B306" s="15" t="inlineStr">
        <is>
          <t>ZHIDA TECH</t>
        </is>
      </c>
      <c r="C306" s="15" t="inlineStr">
        <is>
          <t>Consumer</t>
        </is>
      </c>
      <c r="D306" s="15" t="inlineStr">
        <is>
          <t>Auto parts / supply chain</t>
        </is>
      </c>
      <c r="E306" s="34" t="n">
        <v>45940</v>
      </c>
      <c r="F306" s="15" t="n">
        <v>66.92</v>
      </c>
      <c r="G306" s="15" t="n">
        <v>32.55</v>
      </c>
      <c r="H306" s="34" t="n">
        <v>46297</v>
      </c>
      <c r="I306" s="31" t="n"/>
      <c r="J306" s="15" t="n">
        <v>0</v>
      </c>
      <c r="K306" s="15">
        <f>IF(AND(AH!$M$5="Snapshot",'IPO Live'!$M$5="Snapshot"),"",IFERROR(BDP(TEXT(VALUE($A306),"0")&amp;" HK Equity","PX_LAST"),""))</f>
        <v/>
      </c>
      <c r="L306" s="15">
        <f>IF(AND(AH!$M$5="Snapshot",'IPO Live'!$M$5="Snapshot"),"",IFERROR(BDP(TEXT(VALUE($A306),"0")&amp;" HK Equity","CHG_PCT_1D")/100,""))</f>
        <v/>
      </c>
      <c r="M306" s="15">
        <f>IF(AND(AH!$M$5="Snapshot",'IPO Live'!$M$5="Snapshot"),"",IFERROR(BDP(TEXT(VALUE($A306),"0")&amp;" HK Equity","LAST_UPDATE_DT"),""))</f>
        <v/>
      </c>
      <c r="N306" s="15">
        <f>IF(AND(AH!$M$5="Snapshot",'IPO Live'!$M$5="Snapshot"),"",IFERROR(BDP(TEXT(VALUE($A306),"0")&amp;" HK Equity","LAST_UPDATE"),""))</f>
        <v/>
      </c>
      <c r="O306" s="15">
        <f>IF('IPO Live'!$M$5="Snapshot",IF(ISNUMBER(G306),G306,"unavailable"),IF(AND(ISNUMBER(K306),N(K306)&gt;0),K306,IF('IPO Live'!$M$5="Auto",IF(ISNUMBER(G306),G306,"unavailable"),"unavailable")))</f>
        <v/>
      </c>
      <c r="P306" s="15">
        <f>IF(AND('IPO Live'!$M$5&lt;&gt;"Snapshot",ISNUMBER(K306),N(K306)&gt;0),"Bloomberg",IF(AND('IPO Live'!$M$5&lt;&gt;"Bloomberg",ISNUMBER(G306)),"Snapshot","Unavailable"))</f>
        <v/>
      </c>
      <c r="Q306" s="33">
        <f>IF(AND(P306="Bloomberg",ISNUMBER(L306)),L306,"unavailable")</f>
        <v/>
      </c>
      <c r="R306" s="15">
        <f>IF(OR('IPO Live'!$B$5="All",'IPO Live'!$B$5=C306,AND('IPO Live'!$B$5="A/H only",J306&gt;0)),1,0)</f>
        <v/>
      </c>
      <c r="S306" s="15">
        <f>IF(R306=1,COUNTIF($R$5:R306,1),"")</f>
        <v/>
      </c>
      <c r="T306">
        <f>IF(ISNUMBER($U306),IF($U306&gt;=DATEVALUE("2026-03-03"),5.0,1),"unavailable")</f>
        <v/>
      </c>
      <c r="U306">
        <f>IF($P306="Bloomberg",$M306,$H306)</f>
        <v/>
      </c>
      <c r="AW306">
        <f>IF(AND(J306&gt;0,OR(AH!$I$5="All",AH!$I$5="A/H only",AH!$I$5=C306)),1,0)</f>
        <v/>
      </c>
      <c r="AX306">
        <f>IF(AW306=1,COUNTIF($AW$5:AW306,1),"")</f>
        <v/>
      </c>
      <c r="AY306">
        <f>IF(AH!$M$5="Snapshot",IF(ISNUMBER(G306),G306,"unavailable"),IF(AND(ISNUMBER(K306),N(K306)&gt;0),K306,IF(AH!$M$5="Auto",IF(ISNUMBER(G306),G306,"unavailable"),"unavailable")))</f>
        <v/>
      </c>
      <c r="AZ306">
        <f>IF(AND(AH!$M$5&lt;&gt;"Snapshot",ISNUMBER(K306),N(K306)&gt;0),"Bloomberg",IF(AND(AH!$M$5&lt;&gt;"Bloomberg",ISNUMBER(G306)),"Snapshot","Unavailable"))</f>
        <v/>
      </c>
      <c r="BA306">
        <f>IF(AZ306="Bloomberg",M306,H306)</f>
        <v/>
      </c>
      <c r="BB306">
        <f>IF(ISNUMBER($BA306),IF($BA306&gt;=DATEVALUE("2026-03-03"),5.0,1),"unavailable")</f>
        <v/>
      </c>
    </row>
    <row r="307">
      <c r="A307" s="31" t="inlineStr">
        <is>
          <t>2583</t>
        </is>
      </c>
      <c r="B307" s="15" t="inlineStr">
        <is>
          <t>HIPINE</t>
        </is>
      </c>
      <c r="C307" s="15" t="inlineStr">
        <is>
          <t>Consumer</t>
        </is>
      </c>
      <c r="D307" s="15" t="inlineStr">
        <is>
          <t>Apparel / luxury</t>
        </is>
      </c>
      <c r="E307" s="34" t="n">
        <v>45930</v>
      </c>
      <c r="F307" s="15" t="n">
        <v>29.6</v>
      </c>
      <c r="G307" s="15" t="n">
        <v>44.98</v>
      </c>
      <c r="H307" s="34" t="n">
        <v>46297</v>
      </c>
      <c r="I307" s="31" t="n"/>
      <c r="J307" s="15" t="n">
        <v>0</v>
      </c>
      <c r="K307" s="15">
        <f>IF(AND(AH!$M$5="Snapshot",'IPO Live'!$M$5="Snapshot"),"",IFERROR(BDP(TEXT(VALUE($A307),"0")&amp;" HK Equity","PX_LAST"),""))</f>
        <v/>
      </c>
      <c r="L307" s="15">
        <f>IF(AND(AH!$M$5="Snapshot",'IPO Live'!$M$5="Snapshot"),"",IFERROR(BDP(TEXT(VALUE($A307),"0")&amp;" HK Equity","CHG_PCT_1D")/100,""))</f>
        <v/>
      </c>
      <c r="M307" s="15">
        <f>IF(AND(AH!$M$5="Snapshot",'IPO Live'!$M$5="Snapshot"),"",IFERROR(BDP(TEXT(VALUE($A307),"0")&amp;" HK Equity","LAST_UPDATE_DT"),""))</f>
        <v/>
      </c>
      <c r="N307" s="15">
        <f>IF(AND(AH!$M$5="Snapshot",'IPO Live'!$M$5="Snapshot"),"",IFERROR(BDP(TEXT(VALUE($A307),"0")&amp;" HK Equity","LAST_UPDATE"),""))</f>
        <v/>
      </c>
      <c r="O307" s="15">
        <f>IF('IPO Live'!$M$5="Snapshot",IF(ISNUMBER(G307),G307,"unavailable"),IF(AND(ISNUMBER(K307),N(K307)&gt;0),K307,IF('IPO Live'!$M$5="Auto",IF(ISNUMBER(G307),G307,"unavailable"),"unavailable")))</f>
        <v/>
      </c>
      <c r="P307" s="15">
        <f>IF(AND('IPO Live'!$M$5&lt;&gt;"Snapshot",ISNUMBER(K307),N(K307)&gt;0),"Bloomberg",IF(AND('IPO Live'!$M$5&lt;&gt;"Bloomberg",ISNUMBER(G307)),"Snapshot","Unavailable"))</f>
        <v/>
      </c>
      <c r="Q307" s="33">
        <f>IF(AND(P307="Bloomberg",ISNUMBER(L307)),L307,"unavailable")</f>
        <v/>
      </c>
      <c r="R307" s="15">
        <f>IF(OR('IPO Live'!$B$5="All",'IPO Live'!$B$5=C307,AND('IPO Live'!$B$5="A/H only",J307&gt;0)),1,0)</f>
        <v/>
      </c>
      <c r="S307" s="15">
        <f>IF(R307=1,COUNTIF($R$5:R307,1),"")</f>
        <v/>
      </c>
      <c r="T307">
        <f>1</f>
        <v/>
      </c>
      <c r="U307">
        <f>IF($P307="Bloomberg",$M307,$H307)</f>
        <v/>
      </c>
      <c r="AW307">
        <f>IF(AND(J307&gt;0,OR(AH!$I$5="All",AH!$I$5="A/H only",AH!$I$5=C307)),1,0)</f>
        <v/>
      </c>
      <c r="AX307">
        <f>IF(AW307=1,COUNTIF($AW$5:AW307,1),"")</f>
        <v/>
      </c>
      <c r="AY307">
        <f>IF(AH!$M$5="Snapshot",IF(ISNUMBER(G307),G307,"unavailable"),IF(AND(ISNUMBER(K307),N(K307)&gt;0),K307,IF(AH!$M$5="Auto",IF(ISNUMBER(G307),G307,"unavailable"),"unavailable")))</f>
        <v/>
      </c>
      <c r="AZ307">
        <f>IF(AND(AH!$M$5&lt;&gt;"Snapshot",ISNUMBER(K307),N(K307)&gt;0),"Bloomberg",IF(AND(AH!$M$5&lt;&gt;"Bloomberg",ISNUMBER(G307)),"Snapshot","Unavailable"))</f>
        <v/>
      </c>
      <c r="BA307">
        <f>IF(AZ307="Bloomberg",M307,H307)</f>
        <v/>
      </c>
      <c r="BB307">
        <f>1</f>
        <v/>
      </c>
    </row>
    <row r="308">
      <c r="A308" s="31" t="inlineStr">
        <is>
          <t>2889</t>
        </is>
      </c>
      <c r="B308" s="15" t="inlineStr">
        <is>
          <t>PATEO</t>
        </is>
      </c>
      <c r="C308" s="15" t="inlineStr">
        <is>
          <t>Consumer</t>
        </is>
      </c>
      <c r="D308" s="15" t="inlineStr">
        <is>
          <t>Auto parts / supply chain</t>
        </is>
      </c>
      <c r="E308" s="34" t="n">
        <v>45930</v>
      </c>
      <c r="F308" s="15" t="n">
        <v>102.23</v>
      </c>
      <c r="G308" s="15" t="n">
        <v>52.1</v>
      </c>
      <c r="H308" s="34" t="n">
        <v>46297</v>
      </c>
      <c r="I308" s="31" t="n"/>
      <c r="J308" s="15" t="n">
        <v>0</v>
      </c>
      <c r="K308" s="15">
        <f>IF(AND(AH!$M$5="Snapshot",'IPO Live'!$M$5="Snapshot"),"",IFERROR(BDP(TEXT(VALUE($A308),"0")&amp;" HK Equity","PX_LAST"),""))</f>
        <v/>
      </c>
      <c r="L308" s="15">
        <f>IF(AND(AH!$M$5="Snapshot",'IPO Live'!$M$5="Snapshot"),"",IFERROR(BDP(TEXT(VALUE($A308),"0")&amp;" HK Equity","CHG_PCT_1D")/100,""))</f>
        <v/>
      </c>
      <c r="M308" s="15">
        <f>IF(AND(AH!$M$5="Snapshot",'IPO Live'!$M$5="Snapshot"),"",IFERROR(BDP(TEXT(VALUE($A308),"0")&amp;" HK Equity","LAST_UPDATE_DT"),""))</f>
        <v/>
      </c>
      <c r="N308" s="15">
        <f>IF(AND(AH!$M$5="Snapshot",'IPO Live'!$M$5="Snapshot"),"",IFERROR(BDP(TEXT(VALUE($A308),"0")&amp;" HK Equity","LAST_UPDATE"),""))</f>
        <v/>
      </c>
      <c r="O308" s="15">
        <f>IF('IPO Live'!$M$5="Snapshot",IF(ISNUMBER(G308),G308,"unavailable"),IF(AND(ISNUMBER(K308),N(K308)&gt;0),K308,IF('IPO Live'!$M$5="Auto",IF(ISNUMBER(G308),G308,"unavailable"),"unavailable")))</f>
        <v/>
      </c>
      <c r="P308" s="15">
        <f>IF(AND('IPO Live'!$M$5&lt;&gt;"Snapshot",ISNUMBER(K308),N(K308)&gt;0),"Bloomberg",IF(AND('IPO Live'!$M$5&lt;&gt;"Bloomberg",ISNUMBER(G308)),"Snapshot","Unavailable"))</f>
        <v/>
      </c>
      <c r="Q308" s="33">
        <f>IF(AND(P308="Bloomberg",ISNUMBER(L308)),L308,"unavailable")</f>
        <v/>
      </c>
      <c r="R308" s="15">
        <f>IF(OR('IPO Live'!$B$5="All",'IPO Live'!$B$5=C308,AND('IPO Live'!$B$5="A/H only",J308&gt;0)),1,0)</f>
        <v/>
      </c>
      <c r="S308" s="15">
        <f>IF(R308=1,COUNTIF($R$5:R308,1),"")</f>
        <v/>
      </c>
      <c r="T308">
        <f>1</f>
        <v/>
      </c>
      <c r="U308">
        <f>IF($P308="Bloomberg",$M308,$H308)</f>
        <v/>
      </c>
      <c r="AW308">
        <f>IF(AND(J308&gt;0,OR(AH!$I$5="All",AH!$I$5="A/H only",AH!$I$5=C308)),1,0)</f>
        <v/>
      </c>
      <c r="AX308">
        <f>IF(AW308=1,COUNTIF($AW$5:AW308,1),"")</f>
        <v/>
      </c>
      <c r="AY308">
        <f>IF(AH!$M$5="Snapshot",IF(ISNUMBER(G308),G308,"unavailable"),IF(AND(ISNUMBER(K308),N(K308)&gt;0),K308,IF(AH!$M$5="Auto",IF(ISNUMBER(G308),G308,"unavailable"),"unavailable")))</f>
        <v/>
      </c>
      <c r="AZ308">
        <f>IF(AND(AH!$M$5&lt;&gt;"Snapshot",ISNUMBER(K308),N(K308)&gt;0),"Bloomberg",IF(AND(AH!$M$5&lt;&gt;"Bloomberg",ISNUMBER(G308)),"Snapshot","Unavailable"))</f>
        <v/>
      </c>
      <c r="BA308">
        <f>IF(AZ308="Bloomberg",M308,H308)</f>
        <v/>
      </c>
      <c r="BB308">
        <f>1</f>
        <v/>
      </c>
    </row>
    <row r="309">
      <c r="A309" s="31" t="inlineStr">
        <is>
          <t>9973</t>
        </is>
      </c>
      <c r="B309" s="15" t="inlineStr">
        <is>
          <t>CHERY AUTO</t>
        </is>
      </c>
      <c r="C309" s="15" t="inlineStr">
        <is>
          <t>Consumer</t>
        </is>
      </c>
      <c r="D309" s="15" t="inlineStr">
        <is>
          <t>Autos (NEV OEM)</t>
        </is>
      </c>
      <c r="E309" s="34" t="n">
        <v>45925</v>
      </c>
      <c r="F309" s="15" t="n">
        <v>30.75</v>
      </c>
      <c r="G309" s="15" t="n">
        <v>24.3</v>
      </c>
      <c r="H309" s="34" t="n">
        <v>46297</v>
      </c>
      <c r="I309" s="31" t="n"/>
      <c r="J309" s="15" t="n">
        <v>0</v>
      </c>
      <c r="K309" s="15">
        <f>IF(AND(AH!$M$5="Snapshot",'IPO Live'!$M$5="Snapshot"),"",IFERROR(BDP(TEXT(VALUE($A309),"0")&amp;" HK Equity","PX_LAST"),""))</f>
        <v/>
      </c>
      <c r="L309" s="15">
        <f>IF(AND(AH!$M$5="Snapshot",'IPO Live'!$M$5="Snapshot"),"",IFERROR(BDP(TEXT(VALUE($A309),"0")&amp;" HK Equity","CHG_PCT_1D")/100,""))</f>
        <v/>
      </c>
      <c r="M309" s="15">
        <f>IF(AND(AH!$M$5="Snapshot",'IPO Live'!$M$5="Snapshot"),"",IFERROR(BDP(TEXT(VALUE($A309),"0")&amp;" HK Equity","LAST_UPDATE_DT"),""))</f>
        <v/>
      </c>
      <c r="N309" s="15">
        <f>IF(AND(AH!$M$5="Snapshot",'IPO Live'!$M$5="Snapshot"),"",IFERROR(BDP(TEXT(VALUE($A309),"0")&amp;" HK Equity","LAST_UPDATE"),""))</f>
        <v/>
      </c>
      <c r="O309" s="15">
        <f>IF('IPO Live'!$M$5="Snapshot",IF(ISNUMBER(G309),G309,"unavailable"),IF(AND(ISNUMBER(K309),N(K309)&gt;0),K309,IF('IPO Live'!$M$5="Auto",IF(ISNUMBER(G309),G309,"unavailable"),"unavailable")))</f>
        <v/>
      </c>
      <c r="P309" s="15">
        <f>IF(AND('IPO Live'!$M$5&lt;&gt;"Snapshot",ISNUMBER(K309),N(K309)&gt;0),"Bloomberg",IF(AND('IPO Live'!$M$5&lt;&gt;"Bloomberg",ISNUMBER(G309)),"Snapshot","Unavailable"))</f>
        <v/>
      </c>
      <c r="Q309" s="33">
        <f>IF(AND(P309="Bloomberg",ISNUMBER(L309)),L309,"unavailable")</f>
        <v/>
      </c>
      <c r="R309" s="15">
        <f>IF(OR('IPO Live'!$B$5="All",'IPO Live'!$B$5=C309,AND('IPO Live'!$B$5="A/H only",J309&gt;0)),1,0)</f>
        <v/>
      </c>
      <c r="S309" s="15">
        <f>IF(R309=1,COUNTIF($R$5:R309,1),"")</f>
        <v/>
      </c>
      <c r="T309">
        <f>1</f>
        <v/>
      </c>
      <c r="U309">
        <f>IF($P309="Bloomberg",$M309,$H309)</f>
        <v/>
      </c>
      <c r="AW309">
        <f>IF(AND(J309&gt;0,OR(AH!$I$5="All",AH!$I$5="A/H only",AH!$I$5=C309)),1,0)</f>
        <v/>
      </c>
      <c r="AX309">
        <f>IF(AW309=1,COUNTIF($AW$5:AW309,1),"")</f>
        <v/>
      </c>
      <c r="AY309">
        <f>IF(AH!$M$5="Snapshot",IF(ISNUMBER(G309),G309,"unavailable"),IF(AND(ISNUMBER(K309),N(K309)&gt;0),K309,IF(AH!$M$5="Auto",IF(ISNUMBER(G309),G309,"unavailable"),"unavailable")))</f>
        <v/>
      </c>
      <c r="AZ309">
        <f>IF(AND(AH!$M$5&lt;&gt;"Snapshot",ISNUMBER(K309),N(K309)&gt;0),"Bloomberg",IF(AND(AH!$M$5&lt;&gt;"Bloomberg",ISNUMBER(G309)),"Snapshot","Unavailable"))</f>
        <v/>
      </c>
      <c r="BA309">
        <f>IF(AZ309="Bloomberg",M309,H309)</f>
        <v/>
      </c>
      <c r="BB309">
        <f>1</f>
        <v/>
      </c>
    </row>
    <row r="310">
      <c r="A310" s="31" t="inlineStr">
        <is>
          <t>6090</t>
        </is>
      </c>
      <c r="B310" s="15" t="inlineStr">
        <is>
          <t>BUTONG GROUP</t>
        </is>
      </c>
      <c r="C310" s="15" t="inlineStr">
        <is>
          <t>Consumer</t>
        </is>
      </c>
      <c r="D310" s="15" t="inlineStr">
        <is>
          <t>Retail / distribution</t>
        </is>
      </c>
      <c r="E310" s="34" t="n">
        <v>45923</v>
      </c>
      <c r="F310" s="15" t="n">
        <v>71.2</v>
      </c>
      <c r="G310" s="15" t="n">
        <v>40.92</v>
      </c>
      <c r="H310" s="34" t="n">
        <v>46297</v>
      </c>
      <c r="I310" s="31" t="n"/>
      <c r="J310" s="15" t="n">
        <v>0</v>
      </c>
      <c r="K310" s="15">
        <f>IF(AND(AH!$M$5="Snapshot",'IPO Live'!$M$5="Snapshot"),"",IFERROR(BDP(TEXT(VALUE($A310),"0")&amp;" HK Equity","PX_LAST"),""))</f>
        <v/>
      </c>
      <c r="L310" s="15">
        <f>IF(AND(AH!$M$5="Snapshot",'IPO Live'!$M$5="Snapshot"),"",IFERROR(BDP(TEXT(VALUE($A310),"0")&amp;" HK Equity","CHG_PCT_1D")/100,""))</f>
        <v/>
      </c>
      <c r="M310" s="15">
        <f>IF(AND(AH!$M$5="Snapshot",'IPO Live'!$M$5="Snapshot"),"",IFERROR(BDP(TEXT(VALUE($A310),"0")&amp;" HK Equity","LAST_UPDATE_DT"),""))</f>
        <v/>
      </c>
      <c r="N310" s="15">
        <f>IF(AND(AH!$M$5="Snapshot",'IPO Live'!$M$5="Snapshot"),"",IFERROR(BDP(TEXT(VALUE($A310),"0")&amp;" HK Equity","LAST_UPDATE"),""))</f>
        <v/>
      </c>
      <c r="O310" s="15">
        <f>IF('IPO Live'!$M$5="Snapshot",IF(ISNUMBER(G310),G310,"unavailable"),IF(AND(ISNUMBER(K310),N(K310)&gt;0),K310,IF('IPO Live'!$M$5="Auto",IF(ISNUMBER(G310),G310,"unavailable"),"unavailable")))</f>
        <v/>
      </c>
      <c r="P310" s="15">
        <f>IF(AND('IPO Live'!$M$5&lt;&gt;"Snapshot",ISNUMBER(K310),N(K310)&gt;0),"Bloomberg",IF(AND('IPO Live'!$M$5&lt;&gt;"Bloomberg",ISNUMBER(G310)),"Snapshot","Unavailable"))</f>
        <v/>
      </c>
      <c r="Q310" s="33">
        <f>IF(AND(P310="Bloomberg",ISNUMBER(L310)),L310,"unavailable")</f>
        <v/>
      </c>
      <c r="R310" s="15">
        <f>IF(OR('IPO Live'!$B$5="All",'IPO Live'!$B$5=C310,AND('IPO Live'!$B$5="A/H only",J310&gt;0)),1,0)</f>
        <v/>
      </c>
      <c r="S310" s="15">
        <f>IF(R310=1,COUNTIF($R$5:R310,1),"")</f>
        <v/>
      </c>
      <c r="T310">
        <f>1</f>
        <v/>
      </c>
      <c r="U310">
        <f>IF($P310="Bloomberg",$M310,$H310)</f>
        <v/>
      </c>
      <c r="AW310">
        <f>IF(AND(J310&gt;0,OR(AH!$I$5="All",AH!$I$5="A/H only",AH!$I$5=C310)),1,0)</f>
        <v/>
      </c>
      <c r="AX310">
        <f>IF(AW310=1,COUNTIF($AW$5:AW310,1),"")</f>
        <v/>
      </c>
      <c r="AY310">
        <f>IF(AH!$M$5="Snapshot",IF(ISNUMBER(G310),G310,"unavailable"),IF(AND(ISNUMBER(K310),N(K310)&gt;0),K310,IF(AH!$M$5="Auto",IF(ISNUMBER(G310),G310,"unavailable"),"unavailable")))</f>
        <v/>
      </c>
      <c r="AZ310">
        <f>IF(AND(AH!$M$5&lt;&gt;"Snapshot",ISNUMBER(K310),N(K310)&gt;0),"Bloomberg",IF(AND(AH!$M$5&lt;&gt;"Bloomberg",ISNUMBER(G310)),"Snapshot","Unavailable"))</f>
        <v/>
      </c>
      <c r="BA310">
        <f>IF(AZ310="Bloomberg",M310,H310)</f>
        <v/>
      </c>
      <c r="BB310">
        <f>1</f>
        <v/>
      </c>
    </row>
    <row r="311">
      <c r="A311" s="31" t="inlineStr">
        <is>
          <t>2648</t>
        </is>
      </c>
      <c r="B311" s="15" t="inlineStr">
        <is>
          <t>ANJOY FOOD</t>
        </is>
      </c>
      <c r="C311" s="15" t="inlineStr">
        <is>
          <t>Consumer</t>
        </is>
      </c>
      <c r="D311" s="15" t="inlineStr">
        <is>
          <t>Beverages / packaged food</t>
        </is>
      </c>
      <c r="E311" s="34" t="n">
        <v>45842</v>
      </c>
      <c r="F311" s="15" t="n">
        <v>60</v>
      </c>
      <c r="G311" s="15" t="n">
        <v>60.65</v>
      </c>
      <c r="H311" s="34" t="n">
        <v>46297</v>
      </c>
      <c r="I311" s="31" t="inlineStr">
        <is>
          <t>603345.SS</t>
        </is>
      </c>
      <c r="J311" s="15" t="n">
        <v>22</v>
      </c>
      <c r="K311" s="15">
        <f>IF(AND(AH!$M$5="Snapshot",'IPO Live'!$M$5="Snapshot"),"",IFERROR(BDP(TEXT(VALUE($A311),"0")&amp;" HK Equity","PX_LAST"),""))</f>
        <v/>
      </c>
      <c r="L311" s="15">
        <f>IF(AND(AH!$M$5="Snapshot",'IPO Live'!$M$5="Snapshot"),"",IFERROR(BDP(TEXT(VALUE($A311),"0")&amp;" HK Equity","CHG_PCT_1D")/100,""))</f>
        <v/>
      </c>
      <c r="M311" s="15">
        <f>IF(AND(AH!$M$5="Snapshot",'IPO Live'!$M$5="Snapshot"),"",IFERROR(BDP(TEXT(VALUE($A311),"0")&amp;" HK Equity","LAST_UPDATE_DT"),""))</f>
        <v/>
      </c>
      <c r="N311" s="15">
        <f>IF(AND(AH!$M$5="Snapshot",'IPO Live'!$M$5="Snapshot"),"",IFERROR(BDP(TEXT(VALUE($A311),"0")&amp;" HK Equity","LAST_UPDATE"),""))</f>
        <v/>
      </c>
      <c r="O311" s="15">
        <f>IF('IPO Live'!$M$5="Snapshot",IF(ISNUMBER(G311),G311,"unavailable"),IF(AND(ISNUMBER(K311),N(K311)&gt;0),K311,IF('IPO Live'!$M$5="Auto",IF(ISNUMBER(G311),G311,"unavailable"),"unavailable")))</f>
        <v/>
      </c>
      <c r="P311" s="15">
        <f>IF(AND('IPO Live'!$M$5&lt;&gt;"Snapshot",ISNUMBER(K311),N(K311)&gt;0),"Bloomberg",IF(AND('IPO Live'!$M$5&lt;&gt;"Bloomberg",ISNUMBER(G311)),"Snapshot","Unavailable"))</f>
        <v/>
      </c>
      <c r="Q311" s="33">
        <f>IF(AND(P311="Bloomberg",ISNUMBER(L311)),L311,"unavailable")</f>
        <v/>
      </c>
      <c r="R311" s="15">
        <f>IF(OR('IPO Live'!$B$5="All",'IPO Live'!$B$5=C311,AND('IPO Live'!$B$5="A/H only",J311&gt;0)),1,0)</f>
        <v/>
      </c>
      <c r="S311" s="15">
        <f>IF(R311=1,COUNTIF($R$5:R311,1),"")</f>
        <v/>
      </c>
      <c r="T311">
        <f>1</f>
        <v/>
      </c>
      <c r="U311">
        <f>IF($P311="Bloomberg",$M311,$H311)</f>
        <v/>
      </c>
      <c r="AW311">
        <f>IF(AND(J311&gt;0,OR(AH!$I$5="All",AH!$I$5="A/H only",AH!$I$5=C311)),1,0)</f>
        <v/>
      </c>
      <c r="AX311">
        <f>IF(AW311=1,COUNTIF($AW$5:AW311,1),"")</f>
        <v/>
      </c>
      <c r="AY311">
        <f>IF(AH!$M$5="Snapshot",IF(ISNUMBER(G311),G311,"unavailable"),IF(AND(ISNUMBER(K311),N(K311)&gt;0),K311,IF(AH!$M$5="Auto",IF(ISNUMBER(G311),G311,"unavailable"),"unavailable")))</f>
        <v/>
      </c>
      <c r="AZ311">
        <f>IF(AND(AH!$M$5&lt;&gt;"Snapshot",ISNUMBER(K311),N(K311)&gt;0),"Bloomberg",IF(AND(AH!$M$5&lt;&gt;"Bloomberg",ISNUMBER(G311)),"Snapshot","Unavailable"))</f>
        <v/>
      </c>
      <c r="BA311">
        <f>IF(AZ311="Bloomberg",M311,H311)</f>
        <v/>
      </c>
      <c r="BB311">
        <f>1</f>
        <v/>
      </c>
    </row>
    <row r="312">
      <c r="A312" s="31" t="inlineStr">
        <is>
          <t>6603</t>
        </is>
      </c>
      <c r="B312" s="15" t="inlineStr">
        <is>
          <t>IFBH</t>
        </is>
      </c>
      <c r="C312" s="15" t="inlineStr">
        <is>
          <t>Consumer</t>
        </is>
      </c>
      <c r="D312" s="15" t="inlineStr">
        <is>
          <t>Beverages / packaged food</t>
        </is>
      </c>
      <c r="E312" s="34" t="n">
        <v>45838</v>
      </c>
      <c r="F312" s="15" t="n">
        <v>27.8</v>
      </c>
      <c r="G312" s="15" t="n">
        <v>4.12</v>
      </c>
      <c r="H312" s="34" t="n">
        <v>46297</v>
      </c>
      <c r="I312" s="31" t="n"/>
      <c r="J312" s="15" t="n">
        <v>0</v>
      </c>
      <c r="K312" s="15">
        <f>IF(AND(AH!$M$5="Snapshot",'IPO Live'!$M$5="Snapshot"),"",IFERROR(BDP(TEXT(VALUE($A312),"0")&amp;" HK Equity","PX_LAST"),""))</f>
        <v/>
      </c>
      <c r="L312" s="15">
        <f>IF(AND(AH!$M$5="Snapshot",'IPO Live'!$M$5="Snapshot"),"",IFERROR(BDP(TEXT(VALUE($A312),"0")&amp;" HK Equity","CHG_PCT_1D")/100,""))</f>
        <v/>
      </c>
      <c r="M312" s="15">
        <f>IF(AND(AH!$M$5="Snapshot",'IPO Live'!$M$5="Snapshot"),"",IFERROR(BDP(TEXT(VALUE($A312),"0")&amp;" HK Equity","LAST_UPDATE_DT"),""))</f>
        <v/>
      </c>
      <c r="N312" s="15">
        <f>IF(AND(AH!$M$5="Snapshot",'IPO Live'!$M$5="Snapshot"),"",IFERROR(BDP(TEXT(VALUE($A312),"0")&amp;" HK Equity","LAST_UPDATE"),""))</f>
        <v/>
      </c>
      <c r="O312" s="15">
        <f>IF('IPO Live'!$M$5="Snapshot",IF(ISNUMBER(G312),G312,"unavailable"),IF(AND(ISNUMBER(K312),N(K312)&gt;0),K312,IF('IPO Live'!$M$5="Auto",IF(ISNUMBER(G312),G312,"unavailable"),"unavailable")))</f>
        <v/>
      </c>
      <c r="P312" s="15">
        <f>IF(AND('IPO Live'!$M$5&lt;&gt;"Snapshot",ISNUMBER(K312),N(K312)&gt;0),"Bloomberg",IF(AND('IPO Live'!$M$5&lt;&gt;"Bloomberg",ISNUMBER(G312)),"Snapshot","Unavailable"))</f>
        <v/>
      </c>
      <c r="Q312" s="33">
        <f>IF(AND(P312="Bloomberg",ISNUMBER(L312)),L312,"unavailable")</f>
        <v/>
      </c>
      <c r="R312" s="15">
        <f>IF(OR('IPO Live'!$B$5="All",'IPO Live'!$B$5=C312,AND('IPO Live'!$B$5="A/H only",J312&gt;0)),1,0)</f>
        <v/>
      </c>
      <c r="S312" s="15">
        <f>IF(R312=1,COUNTIF($R$5:R312,1),"")</f>
        <v/>
      </c>
      <c r="T312">
        <f>1</f>
        <v/>
      </c>
      <c r="U312">
        <f>IF($P312="Bloomberg",$M312,$H312)</f>
        <v/>
      </c>
      <c r="AW312">
        <f>IF(AND(J312&gt;0,OR(AH!$I$5="All",AH!$I$5="A/H only",AH!$I$5=C312)),1,0)</f>
        <v/>
      </c>
      <c r="AX312">
        <f>IF(AW312=1,COUNTIF($AW$5:AW312,1),"")</f>
        <v/>
      </c>
      <c r="AY312">
        <f>IF(AH!$M$5="Snapshot",IF(ISNUMBER(G312),G312,"unavailable"),IF(AND(ISNUMBER(K312),N(K312)&gt;0),K312,IF(AH!$M$5="Auto",IF(ISNUMBER(G312),G312,"unavailable"),"unavailable")))</f>
        <v/>
      </c>
      <c r="AZ312">
        <f>IF(AND(AH!$M$5&lt;&gt;"Snapshot",ISNUMBER(K312),N(K312)&gt;0),"Bloomberg",IF(AND(AH!$M$5&lt;&gt;"Bloomberg",ISNUMBER(G312)),"Snapshot","Unavailable"))</f>
        <v/>
      </c>
      <c r="BA312">
        <f>IF(AZ312="Bloomberg",M312,H312)</f>
        <v/>
      </c>
      <c r="BB312">
        <f>1</f>
        <v/>
      </c>
    </row>
    <row r="313">
      <c r="A313" s="31" t="inlineStr">
        <is>
          <t>6168</t>
        </is>
      </c>
      <c r="B313" s="15" t="inlineStr">
        <is>
          <t>ZHOU LIU FU</t>
        </is>
      </c>
      <c r="C313" s="15" t="inlineStr">
        <is>
          <t>Consumer</t>
        </is>
      </c>
      <c r="D313" s="15" t="inlineStr">
        <is>
          <t>Apparel / luxury</t>
        </is>
      </c>
      <c r="E313" s="34" t="n">
        <v>45834</v>
      </c>
      <c r="F313" s="15" t="n">
        <v>24</v>
      </c>
      <c r="G313" s="15" t="n">
        <v>12.23</v>
      </c>
      <c r="H313" s="34" t="n">
        <v>46297</v>
      </c>
      <c r="I313" s="31" t="n"/>
      <c r="J313" s="15" t="n">
        <v>0</v>
      </c>
      <c r="K313" s="15">
        <f>IF(AND(AH!$M$5="Snapshot",'IPO Live'!$M$5="Snapshot"),"",IFERROR(BDP(TEXT(VALUE($A313),"0")&amp;" HK Equity","PX_LAST"),""))</f>
        <v/>
      </c>
      <c r="L313" s="15">
        <f>IF(AND(AH!$M$5="Snapshot",'IPO Live'!$M$5="Snapshot"),"",IFERROR(BDP(TEXT(VALUE($A313),"0")&amp;" HK Equity","CHG_PCT_1D")/100,""))</f>
        <v/>
      </c>
      <c r="M313" s="15">
        <f>IF(AND(AH!$M$5="Snapshot",'IPO Live'!$M$5="Snapshot"),"",IFERROR(BDP(TEXT(VALUE($A313),"0")&amp;" HK Equity","LAST_UPDATE_DT"),""))</f>
        <v/>
      </c>
      <c r="N313" s="15">
        <f>IF(AND(AH!$M$5="Snapshot",'IPO Live'!$M$5="Snapshot"),"",IFERROR(BDP(TEXT(VALUE($A313),"0")&amp;" HK Equity","LAST_UPDATE"),""))</f>
        <v/>
      </c>
      <c r="O313" s="15">
        <f>IF('IPO Live'!$M$5="Snapshot",IF(ISNUMBER(G313),G313,"unavailable"),IF(AND(ISNUMBER(K313),N(K313)&gt;0),K313,IF('IPO Live'!$M$5="Auto",IF(ISNUMBER(G313),G313,"unavailable"),"unavailable")))</f>
        <v/>
      </c>
      <c r="P313" s="15">
        <f>IF(AND('IPO Live'!$M$5&lt;&gt;"Snapshot",ISNUMBER(K313),N(K313)&gt;0),"Bloomberg",IF(AND('IPO Live'!$M$5&lt;&gt;"Bloomberg",ISNUMBER(G313)),"Snapshot","Unavailable"))</f>
        <v/>
      </c>
      <c r="Q313" s="33">
        <f>IF(AND(P313="Bloomberg",ISNUMBER(L313)),L313,"unavailable")</f>
        <v/>
      </c>
      <c r="R313" s="15">
        <f>IF(OR('IPO Live'!$B$5="All",'IPO Live'!$B$5=C313,AND('IPO Live'!$B$5="A/H only",J313&gt;0)),1,0)</f>
        <v/>
      </c>
      <c r="S313" s="15">
        <f>IF(R313=1,COUNTIF($R$5:R313,1),"")</f>
        <v/>
      </c>
      <c r="T313">
        <f>1</f>
        <v/>
      </c>
      <c r="U313">
        <f>IF($P313="Bloomberg",$M313,$H313)</f>
        <v/>
      </c>
      <c r="AW313">
        <f>IF(AND(J313&gt;0,OR(AH!$I$5="All",AH!$I$5="A/H only",AH!$I$5=C313)),1,0)</f>
        <v/>
      </c>
      <c r="AX313">
        <f>IF(AW313=1,COUNTIF($AW$5:AW313,1),"")</f>
        <v/>
      </c>
      <c r="AY313">
        <f>IF(AH!$M$5="Snapshot",IF(ISNUMBER(G313),G313,"unavailable"),IF(AND(ISNUMBER(K313),N(K313)&gt;0),K313,IF(AH!$M$5="Auto",IF(ISNUMBER(G313),G313,"unavailable"),"unavailable")))</f>
        <v/>
      </c>
      <c r="AZ313">
        <f>IF(AND(AH!$M$5&lt;&gt;"Snapshot",ISNUMBER(K313),N(K313)&gt;0),"Bloomberg",IF(AND(AH!$M$5&lt;&gt;"Bloomberg",ISNUMBER(G313)),"Snapshot","Unavailable"))</f>
        <v/>
      </c>
      <c r="BA313">
        <f>IF(AZ313="Bloomberg",M313,H313)</f>
        <v/>
      </c>
      <c r="BB313">
        <f>1</f>
        <v/>
      </c>
    </row>
    <row r="314">
      <c r="A314" s="31" t="inlineStr">
        <is>
          <t>6883</t>
        </is>
      </c>
      <c r="B314" s="15" t="inlineStr">
        <is>
          <t>ETERNAL BEAUTY</t>
        </is>
      </c>
      <c r="C314" s="15" t="inlineStr">
        <is>
          <t>Consumer</t>
        </is>
      </c>
      <c r="D314" s="15" t="inlineStr">
        <is>
          <t>Beauty / personal care</t>
        </is>
      </c>
      <c r="E314" s="34" t="n">
        <v>45834</v>
      </c>
      <c r="F314" s="15" t="n">
        <v>2.88</v>
      </c>
      <c r="G314" s="15" t="n">
        <v>2.03</v>
      </c>
      <c r="H314" s="34" t="n">
        <v>46097</v>
      </c>
      <c r="I314" s="31" t="n"/>
      <c r="J314" s="15" t="n">
        <v>0</v>
      </c>
      <c r="K314" s="15">
        <f>IF(AND(AH!$M$5="Snapshot",'IPO Live'!$M$5="Snapshot"),"",IFERROR(BDP(TEXT(VALUE($A314),"0")&amp;" HK Equity","PX_LAST"),""))</f>
        <v/>
      </c>
      <c r="L314" s="15">
        <f>IF(AND(AH!$M$5="Snapshot",'IPO Live'!$M$5="Snapshot"),"",IFERROR(BDP(TEXT(VALUE($A314),"0")&amp;" HK Equity","CHG_PCT_1D")/100,""))</f>
        <v/>
      </c>
      <c r="M314" s="15">
        <f>IF(AND(AH!$M$5="Snapshot",'IPO Live'!$M$5="Snapshot"),"",IFERROR(BDP(TEXT(VALUE($A314),"0")&amp;" HK Equity","LAST_UPDATE_DT"),""))</f>
        <v/>
      </c>
      <c r="N314" s="15">
        <f>IF(AND(AH!$M$5="Snapshot",'IPO Live'!$M$5="Snapshot"),"",IFERROR(BDP(TEXT(VALUE($A314),"0")&amp;" HK Equity","LAST_UPDATE"),""))</f>
        <v/>
      </c>
      <c r="O314" s="15">
        <f>IF('IPO Live'!$M$5="Snapshot",IF(ISNUMBER(G314),G314,"unavailable"),IF(AND(ISNUMBER(K314),N(K314)&gt;0),K314,IF('IPO Live'!$M$5="Auto",IF(ISNUMBER(G314),G314,"unavailable"),"unavailable")))</f>
        <v/>
      </c>
      <c r="P314" s="15">
        <f>IF(AND('IPO Live'!$M$5&lt;&gt;"Snapshot",ISNUMBER(K314),N(K314)&gt;0),"Bloomberg",IF(AND('IPO Live'!$M$5&lt;&gt;"Bloomberg",ISNUMBER(G314)),"Snapshot","Unavailable"))</f>
        <v/>
      </c>
      <c r="Q314" s="33">
        <f>IF(AND(P314="Bloomberg",ISNUMBER(L314)),L314,"unavailable")</f>
        <v/>
      </c>
      <c r="R314" s="15">
        <f>IF(OR('IPO Live'!$B$5="All",'IPO Live'!$B$5=C314,AND('IPO Live'!$B$5="A/H only",J314&gt;0)),1,0)</f>
        <v/>
      </c>
      <c r="S314" s="15">
        <f>IF(R314=1,COUNTIF($R$5:R314,1),"")</f>
        <v/>
      </c>
      <c r="T314">
        <f>1</f>
        <v/>
      </c>
      <c r="U314">
        <f>IF($P314="Bloomberg",$M314,$H314)</f>
        <v/>
      </c>
      <c r="AW314">
        <f>IF(AND(J314&gt;0,OR(AH!$I$5="All",AH!$I$5="A/H only",AH!$I$5=C314)),1,0)</f>
        <v/>
      </c>
      <c r="AX314">
        <f>IF(AW314=1,COUNTIF($AW$5:AW314,1),"")</f>
        <v/>
      </c>
      <c r="AY314">
        <f>IF(AH!$M$5="Snapshot",IF(ISNUMBER(G314),G314,"unavailable"),IF(AND(ISNUMBER(K314),N(K314)&gt;0),K314,IF(AH!$M$5="Auto",IF(ISNUMBER(G314),G314,"unavailable"),"unavailable")))</f>
        <v/>
      </c>
      <c r="AZ314">
        <f>IF(AND(AH!$M$5&lt;&gt;"Snapshot",ISNUMBER(K314),N(K314)&gt;0),"Bloomberg",IF(AND(AH!$M$5&lt;&gt;"Bloomberg",ISNUMBER(G314)),"Snapshot","Unavailable"))</f>
        <v/>
      </c>
      <c r="BA314">
        <f>IF(AZ314="Bloomberg",M314,H314)</f>
        <v/>
      </c>
      <c r="BB314">
        <f>1</f>
        <v/>
      </c>
    </row>
    <row r="315">
      <c r="A315" s="31" t="inlineStr">
        <is>
          <t>2050</t>
        </is>
      </c>
      <c r="B315" s="15" t="inlineStr">
        <is>
          <t>SANHUA</t>
        </is>
      </c>
      <c r="C315" s="15" t="inlineStr">
        <is>
          <t>Consumer</t>
        </is>
      </c>
      <c r="D315" s="15" t="inlineStr">
        <is>
          <t>Auto parts / supply chain</t>
        </is>
      </c>
      <c r="E315" s="34" t="n">
        <v>45831</v>
      </c>
      <c r="F315" s="15" t="n">
        <v>22.53</v>
      </c>
      <c r="G315" s="15" t="n">
        <v>24.16</v>
      </c>
      <c r="H315" s="34" t="n">
        <v>46297</v>
      </c>
      <c r="I315" s="31" t="inlineStr">
        <is>
          <t>002050.SZ</t>
        </is>
      </c>
      <c r="J315" s="15" t="n">
        <v>21</v>
      </c>
      <c r="K315" s="15">
        <f>IF(AND(AH!$M$5="Snapshot",'IPO Live'!$M$5="Snapshot"),"",IFERROR(BDP(TEXT(VALUE($A315),"0")&amp;" HK Equity","PX_LAST"),""))</f>
        <v/>
      </c>
      <c r="L315" s="15">
        <f>IF(AND(AH!$M$5="Snapshot",'IPO Live'!$M$5="Snapshot"),"",IFERROR(BDP(TEXT(VALUE($A315),"0")&amp;" HK Equity","CHG_PCT_1D")/100,""))</f>
        <v/>
      </c>
      <c r="M315" s="15">
        <f>IF(AND(AH!$M$5="Snapshot",'IPO Live'!$M$5="Snapshot"),"",IFERROR(BDP(TEXT(VALUE($A315),"0")&amp;" HK Equity","LAST_UPDATE_DT"),""))</f>
        <v/>
      </c>
      <c r="N315" s="15">
        <f>IF(AND(AH!$M$5="Snapshot",'IPO Live'!$M$5="Snapshot"),"",IFERROR(BDP(TEXT(VALUE($A315),"0")&amp;" HK Equity","LAST_UPDATE"),""))</f>
        <v/>
      </c>
      <c r="O315" s="15">
        <f>IF('IPO Live'!$M$5="Snapshot",IF(ISNUMBER(G315),G315,"unavailable"),IF(AND(ISNUMBER(K315),N(K315)&gt;0),K315,IF('IPO Live'!$M$5="Auto",IF(ISNUMBER(G315),G315,"unavailable"),"unavailable")))</f>
        <v/>
      </c>
      <c r="P315" s="15">
        <f>IF(AND('IPO Live'!$M$5&lt;&gt;"Snapshot",ISNUMBER(K315),N(K315)&gt;0),"Bloomberg",IF(AND('IPO Live'!$M$5&lt;&gt;"Bloomberg",ISNUMBER(G315)),"Snapshot","Unavailable"))</f>
        <v/>
      </c>
      <c r="Q315" s="33">
        <f>IF(AND(P315="Bloomberg",ISNUMBER(L315)),L315,"unavailable")</f>
        <v/>
      </c>
      <c r="R315" s="15">
        <f>IF(OR('IPO Live'!$B$5="All",'IPO Live'!$B$5=C315,AND('IPO Live'!$B$5="A/H only",J315&gt;0)),1,0)</f>
        <v/>
      </c>
      <c r="S315" s="15">
        <f>IF(R315=1,COUNTIF($R$5:R315,1),"")</f>
        <v/>
      </c>
      <c r="T315">
        <f>1</f>
        <v/>
      </c>
      <c r="U315">
        <f>IF($P315="Bloomberg",$M315,$H315)</f>
        <v/>
      </c>
      <c r="AW315">
        <f>IF(AND(J315&gt;0,OR(AH!$I$5="All",AH!$I$5="A/H only",AH!$I$5=C315)),1,0)</f>
        <v/>
      </c>
      <c r="AX315">
        <f>IF(AW315=1,COUNTIF($AW$5:AW315,1),"")</f>
        <v/>
      </c>
      <c r="AY315">
        <f>IF(AH!$M$5="Snapshot",IF(ISNUMBER(G315),G315,"unavailable"),IF(AND(ISNUMBER(K315),N(K315)&gt;0),K315,IF(AH!$M$5="Auto",IF(ISNUMBER(G315),G315,"unavailable"),"unavailable")))</f>
        <v/>
      </c>
      <c r="AZ315">
        <f>IF(AND(AH!$M$5&lt;&gt;"Snapshot",ISNUMBER(K315),N(K315)&gt;0),"Bloomberg",IF(AND(AH!$M$5&lt;&gt;"Bloomberg",ISNUMBER(G315)),"Snapshot","Unavailable"))</f>
        <v/>
      </c>
      <c r="BA315">
        <f>IF(AZ315="Bloomberg",M315,H315)</f>
        <v/>
      </c>
      <c r="BB315">
        <f>1</f>
        <v/>
      </c>
    </row>
    <row r="316">
      <c r="A316" s="31" t="inlineStr">
        <is>
          <t>3288</t>
        </is>
      </c>
      <c r="B316" s="15" t="inlineStr">
        <is>
          <t>HAITIAN FLAV</t>
        </is>
      </c>
      <c r="C316" s="15" t="inlineStr">
        <is>
          <t>Consumer</t>
        </is>
      </c>
      <c r="D316" s="15" t="inlineStr">
        <is>
          <t>Beverages / packaged food</t>
        </is>
      </c>
      <c r="E316" s="34" t="n">
        <v>45827</v>
      </c>
      <c r="F316" s="15" t="n">
        <v>36.3</v>
      </c>
      <c r="G316" s="15" t="n">
        <v>25.28</v>
      </c>
      <c r="H316" s="34" t="n">
        <v>46297</v>
      </c>
      <c r="I316" s="31" t="inlineStr">
        <is>
          <t>603288.SS</t>
        </is>
      </c>
      <c r="J316" s="15" t="n">
        <v>20</v>
      </c>
      <c r="K316" s="15">
        <f>IF(AND(AH!$M$5="Snapshot",'IPO Live'!$M$5="Snapshot"),"",IFERROR(BDP(TEXT(VALUE($A316),"0")&amp;" HK Equity","PX_LAST"),""))</f>
        <v/>
      </c>
      <c r="L316" s="15">
        <f>IF(AND(AH!$M$5="Snapshot",'IPO Live'!$M$5="Snapshot"),"",IFERROR(BDP(TEXT(VALUE($A316),"0")&amp;" HK Equity","CHG_PCT_1D")/100,""))</f>
        <v/>
      </c>
      <c r="M316" s="15">
        <f>IF(AND(AH!$M$5="Snapshot",'IPO Live'!$M$5="Snapshot"),"",IFERROR(BDP(TEXT(VALUE($A316),"0")&amp;" HK Equity","LAST_UPDATE_DT"),""))</f>
        <v/>
      </c>
      <c r="N316" s="15">
        <f>IF(AND(AH!$M$5="Snapshot",'IPO Live'!$M$5="Snapshot"),"",IFERROR(BDP(TEXT(VALUE($A316),"0")&amp;" HK Equity","LAST_UPDATE"),""))</f>
        <v/>
      </c>
      <c r="O316" s="15">
        <f>IF('IPO Live'!$M$5="Snapshot",IF(ISNUMBER(G316),G316,"unavailable"),IF(AND(ISNUMBER(K316),N(K316)&gt;0),K316,IF('IPO Live'!$M$5="Auto",IF(ISNUMBER(G316),G316,"unavailable"),"unavailable")))</f>
        <v/>
      </c>
      <c r="P316" s="15">
        <f>IF(AND('IPO Live'!$M$5&lt;&gt;"Snapshot",ISNUMBER(K316),N(K316)&gt;0),"Bloomberg",IF(AND('IPO Live'!$M$5&lt;&gt;"Bloomberg",ISNUMBER(G316)),"Snapshot","Unavailable"))</f>
        <v/>
      </c>
      <c r="Q316" s="33">
        <f>IF(AND(P316="Bloomberg",ISNUMBER(L316)),L316,"unavailable")</f>
        <v/>
      </c>
      <c r="R316" s="15">
        <f>IF(OR('IPO Live'!$B$5="All",'IPO Live'!$B$5=C316,AND('IPO Live'!$B$5="A/H only",J316&gt;0)),1,0)</f>
        <v/>
      </c>
      <c r="S316" s="15">
        <f>IF(R316=1,COUNTIF($R$5:R316,1),"")</f>
        <v/>
      </c>
      <c r="T316">
        <f>1</f>
        <v/>
      </c>
      <c r="U316">
        <f>IF($P316="Bloomberg",$M316,$H316)</f>
        <v/>
      </c>
      <c r="AW316">
        <f>IF(AND(J316&gt;0,OR(AH!$I$5="All",AH!$I$5="A/H only",AH!$I$5=C316)),1,0)</f>
        <v/>
      </c>
      <c r="AX316">
        <f>IF(AW316=1,COUNTIF($AW$5:AW316,1),"")</f>
        <v/>
      </c>
      <c r="AY316">
        <f>IF(AH!$M$5="Snapshot",IF(ISNUMBER(G316),G316,"unavailable"),IF(AND(ISNUMBER(K316),N(K316)&gt;0),K316,IF(AH!$M$5="Auto",IF(ISNUMBER(G316),G316,"unavailable"),"unavailable")))</f>
        <v/>
      </c>
      <c r="AZ316">
        <f>IF(AND(AH!$M$5&lt;&gt;"Snapshot",ISNUMBER(K316),N(K316)&gt;0),"Bloomberg",IF(AND(AH!$M$5&lt;&gt;"Bloomberg",ISNUMBER(G316)),"Snapshot","Unavailable"))</f>
        <v/>
      </c>
      <c r="BA316">
        <f>IF(AZ316="Bloomberg",M316,H316)</f>
        <v/>
      </c>
      <c r="BB316">
        <f>1</f>
        <v/>
      </c>
    </row>
    <row r="317">
      <c r="A317" s="31" t="inlineStr">
        <is>
          <t>2573</t>
        </is>
      </c>
      <c r="B317" s="15" t="inlineStr">
        <is>
          <t>NEWTREND GROUP</t>
        </is>
      </c>
      <c r="C317" s="15" t="inlineStr">
        <is>
          <t>Consumer</t>
        </is>
      </c>
      <c r="D317" s="15" t="inlineStr">
        <is>
          <t>Beverages / packaged food</t>
        </is>
      </c>
      <c r="E317" s="34" t="n">
        <v>45818</v>
      </c>
      <c r="F317" s="15" t="n">
        <v>18.9</v>
      </c>
      <c r="G317" s="15" t="n">
        <v>5.015</v>
      </c>
      <c r="H317" s="34" t="n">
        <v>46297</v>
      </c>
      <c r="I317" s="31" t="n"/>
      <c r="J317" s="15" t="n">
        <v>0</v>
      </c>
      <c r="K317" s="15">
        <f>IF(AND(AH!$M$5="Snapshot",'IPO Live'!$M$5="Snapshot"),"",IFERROR(BDP(TEXT(VALUE($A317),"0")&amp;" HK Equity","PX_LAST"),""))</f>
        <v/>
      </c>
      <c r="L317" s="15">
        <f>IF(AND(AH!$M$5="Snapshot",'IPO Live'!$M$5="Snapshot"),"",IFERROR(BDP(TEXT(VALUE($A317),"0")&amp;" HK Equity","CHG_PCT_1D")/100,""))</f>
        <v/>
      </c>
      <c r="M317" s="15">
        <f>IF(AND(AH!$M$5="Snapshot",'IPO Live'!$M$5="Snapshot"),"",IFERROR(BDP(TEXT(VALUE($A317),"0")&amp;" HK Equity","LAST_UPDATE_DT"),""))</f>
        <v/>
      </c>
      <c r="N317" s="15">
        <f>IF(AND(AH!$M$5="Snapshot",'IPO Live'!$M$5="Snapshot"),"",IFERROR(BDP(TEXT(VALUE($A317),"0")&amp;" HK Equity","LAST_UPDATE"),""))</f>
        <v/>
      </c>
      <c r="O317" s="15">
        <f>IF('IPO Live'!$M$5="Snapshot",IF(ISNUMBER(G317),G317,"unavailable"),IF(AND(ISNUMBER(K317),N(K317)&gt;0),K317,IF('IPO Live'!$M$5="Auto",IF(ISNUMBER(G317),G317,"unavailable"),"unavailable")))</f>
        <v/>
      </c>
      <c r="P317" s="15">
        <f>IF(AND('IPO Live'!$M$5&lt;&gt;"Snapshot",ISNUMBER(K317),N(K317)&gt;0),"Bloomberg",IF(AND('IPO Live'!$M$5&lt;&gt;"Bloomberg",ISNUMBER(G317)),"Snapshot","Unavailable"))</f>
        <v/>
      </c>
      <c r="Q317" s="33">
        <f>IF(AND(P317="Bloomberg",ISNUMBER(L317)),L317,"unavailable")</f>
        <v/>
      </c>
      <c r="R317" s="15">
        <f>IF(OR('IPO Live'!$B$5="All",'IPO Live'!$B$5=C317,AND('IPO Live'!$B$5="A/H only",J317&gt;0)),1,0)</f>
        <v/>
      </c>
      <c r="S317" s="15">
        <f>IF(R317=1,COUNTIF($R$5:R317,1),"")</f>
        <v/>
      </c>
      <c r="T317">
        <f>1</f>
        <v/>
      </c>
      <c r="U317">
        <f>IF($P317="Bloomberg",$M317,$H317)</f>
        <v/>
      </c>
      <c r="AW317">
        <f>IF(AND(J317&gt;0,OR(AH!$I$5="All",AH!$I$5="A/H only",AH!$I$5=C317)),1,0)</f>
        <v/>
      </c>
      <c r="AX317">
        <f>IF(AW317=1,COUNTIF($AW$5:AW317,1),"")</f>
        <v/>
      </c>
      <c r="AY317">
        <f>IF(AH!$M$5="Snapshot",IF(ISNUMBER(G317),G317,"unavailable"),IF(AND(ISNUMBER(K317),N(K317)&gt;0),K317,IF(AH!$M$5="Auto",IF(ISNUMBER(G317),G317,"unavailable"),"unavailable")))</f>
        <v/>
      </c>
      <c r="AZ317">
        <f>IF(AND(AH!$M$5&lt;&gt;"Snapshot",ISNUMBER(K317),N(K317)&gt;0),"Bloomberg",IF(AND(AH!$M$5&lt;&gt;"Bloomberg",ISNUMBER(G317)),"Snapshot","Unavailable"))</f>
        <v/>
      </c>
      <c r="BA317">
        <f>IF(AZ317="Bloomberg",M317,H317)</f>
        <v/>
      </c>
      <c r="BB317">
        <f>1</f>
        <v/>
      </c>
    </row>
    <row r="318">
      <c r="A318" s="31" t="inlineStr">
        <is>
          <t>6831</t>
        </is>
      </c>
      <c r="B318" s="15" t="inlineStr">
        <is>
          <t>GREEN TEA GROUP</t>
        </is>
      </c>
      <c r="C318" s="15" t="inlineStr">
        <is>
          <t>Consumer</t>
        </is>
      </c>
      <c r="D318" s="15" t="inlineStr">
        <is>
          <t>F&amp;B chains / restaurants</t>
        </is>
      </c>
      <c r="E318" s="34" t="n">
        <v>45793</v>
      </c>
      <c r="F318" s="15" t="n">
        <v>7.19</v>
      </c>
      <c r="G318" s="15" t="n">
        <v>4.86</v>
      </c>
      <c r="H318" s="34" t="n">
        <v>46297</v>
      </c>
      <c r="I318" s="31" t="n"/>
      <c r="J318" s="15" t="n">
        <v>0</v>
      </c>
      <c r="K318" s="15">
        <f>IF(AND(AH!$M$5="Snapshot",'IPO Live'!$M$5="Snapshot"),"",IFERROR(BDP(TEXT(VALUE($A318),"0")&amp;" HK Equity","PX_LAST"),""))</f>
        <v/>
      </c>
      <c r="L318" s="15">
        <f>IF(AND(AH!$M$5="Snapshot",'IPO Live'!$M$5="Snapshot"),"",IFERROR(BDP(TEXT(VALUE($A318),"0")&amp;" HK Equity","CHG_PCT_1D")/100,""))</f>
        <v/>
      </c>
      <c r="M318" s="15">
        <f>IF(AND(AH!$M$5="Snapshot",'IPO Live'!$M$5="Snapshot"),"",IFERROR(BDP(TEXT(VALUE($A318),"0")&amp;" HK Equity","LAST_UPDATE_DT"),""))</f>
        <v/>
      </c>
      <c r="N318" s="15">
        <f>IF(AND(AH!$M$5="Snapshot",'IPO Live'!$M$5="Snapshot"),"",IFERROR(BDP(TEXT(VALUE($A318),"0")&amp;" HK Equity","LAST_UPDATE"),""))</f>
        <v/>
      </c>
      <c r="O318" s="15">
        <f>IF('IPO Live'!$M$5="Snapshot",IF(ISNUMBER(G318),G318,"unavailable"),IF(AND(ISNUMBER(K318),N(K318)&gt;0),K318,IF('IPO Live'!$M$5="Auto",IF(ISNUMBER(G318),G318,"unavailable"),"unavailable")))</f>
        <v/>
      </c>
      <c r="P318" s="15">
        <f>IF(AND('IPO Live'!$M$5&lt;&gt;"Snapshot",ISNUMBER(K318),N(K318)&gt;0),"Bloomberg",IF(AND('IPO Live'!$M$5&lt;&gt;"Bloomberg",ISNUMBER(G318)),"Snapshot","Unavailable"))</f>
        <v/>
      </c>
      <c r="Q318" s="33">
        <f>IF(AND(P318="Bloomberg",ISNUMBER(L318)),L318,"unavailable")</f>
        <v/>
      </c>
      <c r="R318" s="15">
        <f>IF(OR('IPO Live'!$B$5="All",'IPO Live'!$B$5=C318,AND('IPO Live'!$B$5="A/H only",J318&gt;0)),1,0)</f>
        <v/>
      </c>
      <c r="S318" s="15">
        <f>IF(R318=1,COUNTIF($R$5:R318,1),"")</f>
        <v/>
      </c>
      <c r="T318">
        <f>1</f>
        <v/>
      </c>
      <c r="U318">
        <f>IF($P318="Bloomberg",$M318,$H318)</f>
        <v/>
      </c>
      <c r="AW318">
        <f>IF(AND(J318&gt;0,OR(AH!$I$5="All",AH!$I$5="A/H only",AH!$I$5=C318)),1,0)</f>
        <v/>
      </c>
      <c r="AX318">
        <f>IF(AW318=1,COUNTIF($AW$5:AW318,1),"")</f>
        <v/>
      </c>
      <c r="AY318">
        <f>IF(AH!$M$5="Snapshot",IF(ISNUMBER(G318),G318,"unavailable"),IF(AND(ISNUMBER(K318),N(K318)&gt;0),K318,IF(AH!$M$5="Auto",IF(ISNUMBER(G318),G318,"unavailable"),"unavailable")))</f>
        <v/>
      </c>
      <c r="AZ318">
        <f>IF(AND(AH!$M$5&lt;&gt;"Snapshot",ISNUMBER(K318),N(K318)&gt;0),"Bloomberg",IF(AND(AH!$M$5&lt;&gt;"Bloomberg",ISNUMBER(G318)),"Snapshot","Unavailable"))</f>
        <v/>
      </c>
      <c r="BA318">
        <f>IF(AZ318="Bloomberg",M318,H318)</f>
        <v/>
      </c>
      <c r="BB318">
        <f>1</f>
        <v/>
      </c>
    </row>
    <row r="319">
      <c r="A319" s="31" t="inlineStr">
        <is>
          <t>2589</t>
        </is>
      </c>
      <c r="B319" s="15" t="inlineStr">
        <is>
          <t>AUNTEA JENNY</t>
        </is>
      </c>
      <c r="C319" s="15" t="inlineStr">
        <is>
          <t>Consumer</t>
        </is>
      </c>
      <c r="D319" s="15" t="inlineStr">
        <is>
          <t>F&amp;B chains / restaurants</t>
        </is>
      </c>
      <c r="E319" s="34" t="n">
        <v>45785</v>
      </c>
      <c r="F319" s="15" t="n">
        <v>113.12</v>
      </c>
      <c r="G319" s="15" t="n">
        <v>67.55</v>
      </c>
      <c r="H319" s="34" t="n">
        <v>46297</v>
      </c>
      <c r="I319" s="31" t="n"/>
      <c r="J319" s="15" t="n">
        <v>0</v>
      </c>
      <c r="K319" s="15">
        <f>IF(AND(AH!$M$5="Snapshot",'IPO Live'!$M$5="Snapshot"),"",IFERROR(BDP(TEXT(VALUE($A319),"0")&amp;" HK Equity","PX_LAST"),""))</f>
        <v/>
      </c>
      <c r="L319" s="15">
        <f>IF(AND(AH!$M$5="Snapshot",'IPO Live'!$M$5="Snapshot"),"",IFERROR(BDP(TEXT(VALUE($A319),"0")&amp;" HK Equity","CHG_PCT_1D")/100,""))</f>
        <v/>
      </c>
      <c r="M319" s="15">
        <f>IF(AND(AH!$M$5="Snapshot",'IPO Live'!$M$5="Snapshot"),"",IFERROR(BDP(TEXT(VALUE($A319),"0")&amp;" HK Equity","LAST_UPDATE_DT"),""))</f>
        <v/>
      </c>
      <c r="N319" s="15">
        <f>IF(AND(AH!$M$5="Snapshot",'IPO Live'!$M$5="Snapshot"),"",IFERROR(BDP(TEXT(VALUE($A319),"0")&amp;" HK Equity","LAST_UPDATE"),""))</f>
        <v/>
      </c>
      <c r="O319" s="15">
        <f>IF('IPO Live'!$M$5="Snapshot",IF(ISNUMBER(G319),G319,"unavailable"),IF(AND(ISNUMBER(K319),N(K319)&gt;0),K319,IF('IPO Live'!$M$5="Auto",IF(ISNUMBER(G319),G319,"unavailable"),"unavailable")))</f>
        <v/>
      </c>
      <c r="P319" s="15">
        <f>IF(AND('IPO Live'!$M$5&lt;&gt;"Snapshot",ISNUMBER(K319),N(K319)&gt;0),"Bloomberg",IF(AND('IPO Live'!$M$5&lt;&gt;"Bloomberg",ISNUMBER(G319)),"Snapshot","Unavailable"))</f>
        <v/>
      </c>
      <c r="Q319" s="33">
        <f>IF(AND(P319="Bloomberg",ISNUMBER(L319)),L319,"unavailable")</f>
        <v/>
      </c>
      <c r="R319" s="15">
        <f>IF(OR('IPO Live'!$B$5="All",'IPO Live'!$B$5=C319,AND('IPO Live'!$B$5="A/H only",J319&gt;0)),1,0)</f>
        <v/>
      </c>
      <c r="S319" s="15">
        <f>IF(R319=1,COUNTIF($R$5:R319,1),"")</f>
        <v/>
      </c>
      <c r="T319">
        <f>1</f>
        <v/>
      </c>
      <c r="U319">
        <f>IF($P319="Bloomberg",$M319,$H319)</f>
        <v/>
      </c>
      <c r="AW319">
        <f>IF(AND(J319&gt;0,OR(AH!$I$5="All",AH!$I$5="A/H only",AH!$I$5=C319)),1,0)</f>
        <v/>
      </c>
      <c r="AX319">
        <f>IF(AW319=1,COUNTIF($AW$5:AW319,1),"")</f>
        <v/>
      </c>
      <c r="AY319">
        <f>IF(AH!$M$5="Snapshot",IF(ISNUMBER(G319),G319,"unavailable"),IF(AND(ISNUMBER(K319),N(K319)&gt;0),K319,IF(AH!$M$5="Auto",IF(ISNUMBER(G319),G319,"unavailable"),"unavailable")))</f>
        <v/>
      </c>
      <c r="AZ319">
        <f>IF(AND(AH!$M$5&lt;&gt;"Snapshot",ISNUMBER(K319),N(K319)&gt;0),"Bloomberg",IF(AND(AH!$M$5&lt;&gt;"Bloomberg",ISNUMBER(G319)),"Snapshot","Unavailable"))</f>
        <v/>
      </c>
      <c r="BA319">
        <f>IF(AZ319="Bloomberg",M319,H319)</f>
        <v/>
      </c>
      <c r="BB319">
        <f>1</f>
        <v/>
      </c>
    </row>
    <row r="320">
      <c r="A320" s="31" t="inlineStr">
        <is>
          <t>2625</t>
        </is>
      </c>
      <c r="B320" s="15" t="inlineStr">
        <is>
          <t>JIANGSU HORIZON</t>
        </is>
      </c>
      <c r="C320" s="15" t="inlineStr">
        <is>
          <t>Consumer</t>
        </is>
      </c>
      <c r="D320" s="15" t="inlineStr">
        <is>
          <t>Retail / distribution</t>
        </is>
      </c>
      <c r="E320" s="34" t="n">
        <v>45747</v>
      </c>
      <c r="F320" s="15" t="n">
        <v>2.5</v>
      </c>
      <c r="G320" s="15" t="n">
        <v>0.82</v>
      </c>
      <c r="H320" s="34" t="n">
        <v>46297</v>
      </c>
      <c r="I320" s="31" t="n"/>
      <c r="J320" s="15" t="n">
        <v>0</v>
      </c>
      <c r="K320" s="15">
        <f>IF(AND(AH!$M$5="Snapshot",'IPO Live'!$M$5="Snapshot"),"",IFERROR(BDP(TEXT(VALUE($A320),"0")&amp;" HK Equity","PX_LAST"),""))</f>
        <v/>
      </c>
      <c r="L320" s="15">
        <f>IF(AND(AH!$M$5="Snapshot",'IPO Live'!$M$5="Snapshot"),"",IFERROR(BDP(TEXT(VALUE($A320),"0")&amp;" HK Equity","CHG_PCT_1D")/100,""))</f>
        <v/>
      </c>
      <c r="M320" s="15">
        <f>IF(AND(AH!$M$5="Snapshot",'IPO Live'!$M$5="Snapshot"),"",IFERROR(BDP(TEXT(VALUE($A320),"0")&amp;" HK Equity","LAST_UPDATE_DT"),""))</f>
        <v/>
      </c>
      <c r="N320" s="15">
        <f>IF(AND(AH!$M$5="Snapshot",'IPO Live'!$M$5="Snapshot"),"",IFERROR(BDP(TEXT(VALUE($A320),"0")&amp;" HK Equity","LAST_UPDATE"),""))</f>
        <v/>
      </c>
      <c r="O320" s="15">
        <f>IF('IPO Live'!$M$5="Snapshot",IF(ISNUMBER(G320),G320,"unavailable"),IF(AND(ISNUMBER(K320),N(K320)&gt;0),K320,IF('IPO Live'!$M$5="Auto",IF(ISNUMBER(G320),G320,"unavailable"),"unavailable")))</f>
        <v/>
      </c>
      <c r="P320" s="15">
        <f>IF(AND('IPO Live'!$M$5&lt;&gt;"Snapshot",ISNUMBER(K320),N(K320)&gt;0),"Bloomberg",IF(AND('IPO Live'!$M$5&lt;&gt;"Bloomberg",ISNUMBER(G320)),"Snapshot","Unavailable"))</f>
        <v/>
      </c>
      <c r="Q320" s="33">
        <f>IF(AND(P320="Bloomberg",ISNUMBER(L320)),L320,"unavailable")</f>
        <v/>
      </c>
      <c r="R320" s="15">
        <f>IF(OR('IPO Live'!$B$5="All",'IPO Live'!$B$5=C320,AND('IPO Live'!$B$5="A/H only",J320&gt;0)),1,0)</f>
        <v/>
      </c>
      <c r="S320" s="15">
        <f>IF(R320=1,COUNTIF($R$5:R320,1),"")</f>
        <v/>
      </c>
      <c r="T320">
        <f>1</f>
        <v/>
      </c>
      <c r="U320">
        <f>IF($P320="Bloomberg",$M320,$H320)</f>
        <v/>
      </c>
      <c r="AW320">
        <f>IF(AND(J320&gt;0,OR(AH!$I$5="All",AH!$I$5="A/H only",AH!$I$5=C320)),1,0)</f>
        <v/>
      </c>
      <c r="AX320">
        <f>IF(AW320=1,COUNTIF($AW$5:AW320,1),"")</f>
        <v/>
      </c>
      <c r="AY320">
        <f>IF(AH!$M$5="Snapshot",IF(ISNUMBER(G320),G320,"unavailable"),IF(AND(ISNUMBER(K320),N(K320)&gt;0),K320,IF(AH!$M$5="Auto",IF(ISNUMBER(G320),G320,"unavailable"),"unavailable")))</f>
        <v/>
      </c>
      <c r="AZ320">
        <f>IF(AND(AH!$M$5&lt;&gt;"Snapshot",ISNUMBER(K320),N(K320)&gt;0),"Bloomberg",IF(AND(AH!$M$5&lt;&gt;"Bloomberg",ISNUMBER(G320)),"Snapshot","Unavailable"))</f>
        <v/>
      </c>
      <c r="BA320">
        <f>IF(AZ320="Bloomberg",M320,H320)</f>
        <v/>
      </c>
      <c r="BB320">
        <f>1</f>
        <v/>
      </c>
    </row>
    <row r="321">
      <c r="A321" s="31" t="inlineStr">
        <is>
          <t>2097</t>
        </is>
      </c>
      <c r="B321" s="15" t="inlineStr">
        <is>
          <t>MIXUE GROUP</t>
        </is>
      </c>
      <c r="C321" s="15" t="inlineStr">
        <is>
          <t>Consumer</t>
        </is>
      </c>
      <c r="D321" s="15" t="inlineStr">
        <is>
          <t>F&amp;B chains / restaurants</t>
        </is>
      </c>
      <c r="E321" s="34" t="n">
        <v>45719</v>
      </c>
      <c r="F321" s="15" t="n">
        <v>202.5</v>
      </c>
      <c r="G321" s="15" t="n">
        <v>178.5</v>
      </c>
      <c r="H321" s="34" t="n">
        <v>46297</v>
      </c>
      <c r="I321" s="31" t="n"/>
      <c r="J321" s="15" t="n">
        <v>0</v>
      </c>
      <c r="K321" s="15">
        <f>IF(AND(AH!$M$5="Snapshot",'IPO Live'!$M$5="Snapshot"),"",IFERROR(BDP(TEXT(VALUE($A321),"0")&amp;" HK Equity","PX_LAST"),""))</f>
        <v/>
      </c>
      <c r="L321" s="15">
        <f>IF(AND(AH!$M$5="Snapshot",'IPO Live'!$M$5="Snapshot"),"",IFERROR(BDP(TEXT(VALUE($A321),"0")&amp;" HK Equity","CHG_PCT_1D")/100,""))</f>
        <v/>
      </c>
      <c r="M321" s="15">
        <f>IF(AND(AH!$M$5="Snapshot",'IPO Live'!$M$5="Snapshot"),"",IFERROR(BDP(TEXT(VALUE($A321),"0")&amp;" HK Equity","LAST_UPDATE_DT"),""))</f>
        <v/>
      </c>
      <c r="N321" s="15">
        <f>IF(AND(AH!$M$5="Snapshot",'IPO Live'!$M$5="Snapshot"),"",IFERROR(BDP(TEXT(VALUE($A321),"0")&amp;" HK Equity","LAST_UPDATE"),""))</f>
        <v/>
      </c>
      <c r="O321" s="15">
        <f>IF('IPO Live'!$M$5="Snapshot",IF(ISNUMBER(G321),G321,"unavailable"),IF(AND(ISNUMBER(K321),N(K321)&gt;0),K321,IF('IPO Live'!$M$5="Auto",IF(ISNUMBER(G321),G321,"unavailable"),"unavailable")))</f>
        <v/>
      </c>
      <c r="P321" s="15">
        <f>IF(AND('IPO Live'!$M$5&lt;&gt;"Snapshot",ISNUMBER(K321),N(K321)&gt;0),"Bloomberg",IF(AND('IPO Live'!$M$5&lt;&gt;"Bloomberg",ISNUMBER(G321)),"Snapshot","Unavailable"))</f>
        <v/>
      </c>
      <c r="Q321" s="33">
        <f>IF(AND(P321="Bloomberg",ISNUMBER(L321)),L321,"unavailable")</f>
        <v/>
      </c>
      <c r="R321" s="15">
        <f>IF(OR('IPO Live'!$B$5="All",'IPO Live'!$B$5=C321,AND('IPO Live'!$B$5="A/H only",J321&gt;0)),1,0)</f>
        <v/>
      </c>
      <c r="S321" s="15">
        <f>IF(R321=1,COUNTIF($R$5:R321,1),"")</f>
        <v/>
      </c>
      <c r="T321">
        <f>1</f>
        <v/>
      </c>
      <c r="U321">
        <f>IF($P321="Bloomberg",$M321,$H321)</f>
        <v/>
      </c>
      <c r="AW321">
        <f>IF(AND(J321&gt;0,OR(AH!$I$5="All",AH!$I$5="A/H only",AH!$I$5=C321)),1,0)</f>
        <v/>
      </c>
      <c r="AX321">
        <f>IF(AW321=1,COUNTIF($AW$5:AW321,1),"")</f>
        <v/>
      </c>
      <c r="AY321">
        <f>IF(AH!$M$5="Snapshot",IF(ISNUMBER(G321),G321,"unavailable"),IF(AND(ISNUMBER(K321),N(K321)&gt;0),K321,IF(AH!$M$5="Auto",IF(ISNUMBER(G321),G321,"unavailable"),"unavailable")))</f>
        <v/>
      </c>
      <c r="AZ321">
        <f>IF(AND(AH!$M$5&lt;&gt;"Snapshot",ISNUMBER(K321),N(K321)&gt;0),"Bloomberg",IF(AND(AH!$M$5&lt;&gt;"Bloomberg",ISNUMBER(G321)),"Snapshot","Unavailable"))</f>
        <v/>
      </c>
      <c r="BA321">
        <f>IF(AZ321="Bloomberg",M321,H321)</f>
        <v/>
      </c>
      <c r="BB321">
        <f>1</f>
        <v/>
      </c>
    </row>
    <row r="322">
      <c r="A322" s="31" t="inlineStr">
        <is>
          <t>1364</t>
        </is>
      </c>
      <c r="B322" s="15" t="inlineStr">
        <is>
          <t>GUMING</t>
        </is>
      </c>
      <c r="C322" s="15" t="inlineStr">
        <is>
          <t>Consumer</t>
        </is>
      </c>
      <c r="D322" s="15" t="inlineStr">
        <is>
          <t>F&amp;B chains / restaurants</t>
        </is>
      </c>
      <c r="E322" s="34" t="n">
        <v>45700</v>
      </c>
      <c r="F322" s="15" t="n">
        <v>9.94</v>
      </c>
      <c r="G322" s="15" t="n">
        <v>22.32</v>
      </c>
      <c r="H322" s="34" t="n">
        <v>46297</v>
      </c>
      <c r="I322" s="31" t="n"/>
      <c r="J322" s="15" t="n">
        <v>0</v>
      </c>
      <c r="K322" s="15">
        <f>IF(AND(AH!$M$5="Snapshot",'IPO Live'!$M$5="Snapshot"),"",IFERROR(BDP(TEXT(VALUE($A322),"0")&amp;" HK Equity","PX_LAST"),""))</f>
        <v/>
      </c>
      <c r="L322" s="15">
        <f>IF(AND(AH!$M$5="Snapshot",'IPO Live'!$M$5="Snapshot"),"",IFERROR(BDP(TEXT(VALUE($A322),"0")&amp;" HK Equity","CHG_PCT_1D")/100,""))</f>
        <v/>
      </c>
      <c r="M322" s="15">
        <f>IF(AND(AH!$M$5="Snapshot",'IPO Live'!$M$5="Snapshot"),"",IFERROR(BDP(TEXT(VALUE($A322),"0")&amp;" HK Equity","LAST_UPDATE_DT"),""))</f>
        <v/>
      </c>
      <c r="N322" s="15">
        <f>IF(AND(AH!$M$5="Snapshot",'IPO Live'!$M$5="Snapshot"),"",IFERROR(BDP(TEXT(VALUE($A322),"0")&amp;" HK Equity","LAST_UPDATE"),""))</f>
        <v/>
      </c>
      <c r="O322" s="15">
        <f>IF('IPO Live'!$M$5="Snapshot",IF(ISNUMBER(G322),G322,"unavailable"),IF(AND(ISNUMBER(K322),N(K322)&gt;0),K322,IF('IPO Live'!$M$5="Auto",IF(ISNUMBER(G322),G322,"unavailable"),"unavailable")))</f>
        <v/>
      </c>
      <c r="P322" s="15">
        <f>IF(AND('IPO Live'!$M$5&lt;&gt;"Snapshot",ISNUMBER(K322),N(K322)&gt;0),"Bloomberg",IF(AND('IPO Live'!$M$5&lt;&gt;"Bloomberg",ISNUMBER(G322)),"Snapshot","Unavailable"))</f>
        <v/>
      </c>
      <c r="Q322" s="33">
        <f>IF(AND(P322="Bloomberg",ISNUMBER(L322)),L322,"unavailable")</f>
        <v/>
      </c>
      <c r="R322" s="15">
        <f>IF(OR('IPO Live'!$B$5="All",'IPO Live'!$B$5=C322,AND('IPO Live'!$B$5="A/H only",J322&gt;0)),1,0)</f>
        <v/>
      </c>
      <c r="S322" s="15">
        <f>IF(R322=1,COUNTIF($R$5:R322,1),"")</f>
        <v/>
      </c>
      <c r="T322">
        <f>1</f>
        <v/>
      </c>
      <c r="U322">
        <f>IF($P322="Bloomberg",$M322,$H322)</f>
        <v/>
      </c>
      <c r="AW322">
        <f>IF(AND(J322&gt;0,OR(AH!$I$5="All",AH!$I$5="A/H only",AH!$I$5=C322)),1,0)</f>
        <v/>
      </c>
      <c r="AX322">
        <f>IF(AW322=1,COUNTIF($AW$5:AW322,1),"")</f>
        <v/>
      </c>
      <c r="AY322">
        <f>IF(AH!$M$5="Snapshot",IF(ISNUMBER(G322),G322,"unavailable"),IF(AND(ISNUMBER(K322),N(K322)&gt;0),K322,IF(AH!$M$5="Auto",IF(ISNUMBER(G322),G322,"unavailable"),"unavailable")))</f>
        <v/>
      </c>
      <c r="AZ322">
        <f>IF(AND(AH!$M$5&lt;&gt;"Snapshot",ISNUMBER(K322),N(K322)&gt;0),"Bloomberg",IF(AND(AH!$M$5&lt;&gt;"Bloomberg",ISNUMBER(G322)),"Snapshot","Unavailable"))</f>
        <v/>
      </c>
      <c r="BA322">
        <f>IF(AZ322="Bloomberg",M322,H322)</f>
        <v/>
      </c>
      <c r="BB322">
        <f>1</f>
        <v/>
      </c>
    </row>
    <row r="323">
      <c r="A323" s="31" t="inlineStr">
        <is>
          <t>0325</t>
        </is>
      </c>
      <c r="B323" s="15" t="inlineStr">
        <is>
          <t>BLOKS</t>
        </is>
      </c>
      <c r="C323" s="15" t="inlineStr">
        <is>
          <t>Consumer</t>
        </is>
      </c>
      <c r="D323" s="15" t="inlineStr">
        <is>
          <t>Retail / distribution</t>
        </is>
      </c>
      <c r="E323" s="34" t="n">
        <v>45667</v>
      </c>
      <c r="F323" s="15" t="n">
        <v>60.35</v>
      </c>
      <c r="G323" s="15" t="n">
        <v>63.7</v>
      </c>
      <c r="H323" s="34" t="n">
        <v>46297</v>
      </c>
      <c r="I323" s="31" t="n"/>
      <c r="J323" s="15" t="n">
        <v>0</v>
      </c>
      <c r="K323" s="15">
        <f>IF(AND(AH!$M$5="Snapshot",'IPO Live'!$M$5="Snapshot"),"",IFERROR(BDP(TEXT(VALUE($A323),"0")&amp;" HK Equity","PX_LAST"),""))</f>
        <v/>
      </c>
      <c r="L323" s="15">
        <f>IF(AND(AH!$M$5="Snapshot",'IPO Live'!$M$5="Snapshot"),"",IFERROR(BDP(TEXT(VALUE($A323),"0")&amp;" HK Equity","CHG_PCT_1D")/100,""))</f>
        <v/>
      </c>
      <c r="M323" s="15">
        <f>IF(AND(AH!$M$5="Snapshot",'IPO Live'!$M$5="Snapshot"),"",IFERROR(BDP(TEXT(VALUE($A323),"0")&amp;" HK Equity","LAST_UPDATE_DT"),""))</f>
        <v/>
      </c>
      <c r="N323" s="15">
        <f>IF(AND(AH!$M$5="Snapshot",'IPO Live'!$M$5="Snapshot"),"",IFERROR(BDP(TEXT(VALUE($A323),"0")&amp;" HK Equity","LAST_UPDATE"),""))</f>
        <v/>
      </c>
      <c r="O323" s="15">
        <f>IF('IPO Live'!$M$5="Snapshot",IF(ISNUMBER(G323),G323,"unavailable"),IF(AND(ISNUMBER(K323),N(K323)&gt;0),K323,IF('IPO Live'!$M$5="Auto",IF(ISNUMBER(G323),G323,"unavailable"),"unavailable")))</f>
        <v/>
      </c>
      <c r="P323" s="15">
        <f>IF(AND('IPO Live'!$M$5&lt;&gt;"Snapshot",ISNUMBER(K323),N(K323)&gt;0),"Bloomberg",IF(AND('IPO Live'!$M$5&lt;&gt;"Bloomberg",ISNUMBER(G323)),"Snapshot","Unavailable"))</f>
        <v/>
      </c>
      <c r="Q323" s="33">
        <f>IF(AND(P323="Bloomberg",ISNUMBER(L323)),L323,"unavailable")</f>
        <v/>
      </c>
      <c r="R323" s="15">
        <f>IF(OR('IPO Live'!$B$5="All",'IPO Live'!$B$5=C323,AND('IPO Live'!$B$5="A/H only",J323&gt;0)),1,0)</f>
        <v/>
      </c>
      <c r="S323" s="15">
        <f>IF(R323=1,COUNTIF($R$5:R323,1),"")</f>
        <v/>
      </c>
      <c r="T323">
        <f>1</f>
        <v/>
      </c>
      <c r="U323">
        <f>IF($P323="Bloomberg",$M323,$H323)</f>
        <v/>
      </c>
      <c r="AW323">
        <f>IF(AND(J323&gt;0,OR(AH!$I$5="All",AH!$I$5="A/H only",AH!$I$5=C323)),1,0)</f>
        <v/>
      </c>
      <c r="AX323">
        <f>IF(AW323=1,COUNTIF($AW$5:AW323,1),"")</f>
        <v/>
      </c>
      <c r="AY323">
        <f>IF(AH!$M$5="Snapshot",IF(ISNUMBER(G323),G323,"unavailable"),IF(AND(ISNUMBER(K323),N(K323)&gt;0),K323,IF(AH!$M$5="Auto",IF(ISNUMBER(G323),G323,"unavailable"),"unavailable")))</f>
        <v/>
      </c>
      <c r="AZ323">
        <f>IF(AND(AH!$M$5&lt;&gt;"Snapshot",ISNUMBER(K323),N(K323)&gt;0),"Bloomberg",IF(AND(AH!$M$5&lt;&gt;"Bloomberg",ISNUMBER(G323)),"Snapshot","Unavailable"))</f>
        <v/>
      </c>
      <c r="BA323">
        <f>IF(AZ323="Bloomberg",M323,H323)</f>
        <v/>
      </c>
      <c r="BB323">
        <f>1</f>
        <v/>
      </c>
    </row>
    <row r="324">
      <c r="A324" s="31" t="inlineStr">
        <is>
          <t>2530</t>
        </is>
      </c>
      <c r="B324" s="15" t="inlineStr">
        <is>
          <t>NUMANS</t>
        </is>
      </c>
      <c r="C324" s="15" t="inlineStr">
        <is>
          <t>Consumer</t>
        </is>
      </c>
      <c r="D324" s="15" t="inlineStr">
        <is>
          <t>Beverages / packaged food</t>
        </is>
      </c>
      <c r="E324" s="34" t="n">
        <v>45667</v>
      </c>
      <c r="F324" s="15" t="n">
        <v>0.8</v>
      </c>
      <c r="G324" s="15" t="n">
        <v>0.73</v>
      </c>
      <c r="H324" s="34" t="n">
        <v>46297</v>
      </c>
      <c r="I324" s="31" t="n"/>
      <c r="J324" s="15" t="n">
        <v>0</v>
      </c>
      <c r="K324" s="15">
        <f>IF(AND(AH!$M$5="Snapshot",'IPO Live'!$M$5="Snapshot"),"",IFERROR(BDP(TEXT(VALUE($A324),"0")&amp;" HK Equity","PX_LAST"),""))</f>
        <v/>
      </c>
      <c r="L324" s="15">
        <f>IF(AND(AH!$M$5="Snapshot",'IPO Live'!$M$5="Snapshot"),"",IFERROR(BDP(TEXT(VALUE($A324),"0")&amp;" HK Equity","CHG_PCT_1D")/100,""))</f>
        <v/>
      </c>
      <c r="M324" s="15">
        <f>IF(AND(AH!$M$5="Snapshot",'IPO Live'!$M$5="Snapshot"),"",IFERROR(BDP(TEXT(VALUE($A324),"0")&amp;" HK Equity","LAST_UPDATE_DT"),""))</f>
        <v/>
      </c>
      <c r="N324" s="15">
        <f>IF(AND(AH!$M$5="Snapshot",'IPO Live'!$M$5="Snapshot"),"",IFERROR(BDP(TEXT(VALUE($A324),"0")&amp;" HK Equity","LAST_UPDATE"),""))</f>
        <v/>
      </c>
      <c r="O324" s="15">
        <f>IF('IPO Live'!$M$5="Snapshot",IF(ISNUMBER(G324),G324,"unavailable"),IF(AND(ISNUMBER(K324),N(K324)&gt;0),K324,IF('IPO Live'!$M$5="Auto",IF(ISNUMBER(G324),G324,"unavailable"),"unavailable")))</f>
        <v/>
      </c>
      <c r="P324" s="15">
        <f>IF(AND('IPO Live'!$M$5&lt;&gt;"Snapshot",ISNUMBER(K324),N(K324)&gt;0),"Bloomberg",IF(AND('IPO Live'!$M$5&lt;&gt;"Bloomberg",ISNUMBER(G324)),"Snapshot","Unavailable"))</f>
        <v/>
      </c>
      <c r="Q324" s="33">
        <f>IF(AND(P324="Bloomberg",ISNUMBER(L324)),L324,"unavailable")</f>
        <v/>
      </c>
      <c r="R324" s="15">
        <f>IF(OR('IPO Live'!$B$5="All",'IPO Live'!$B$5=C324,AND('IPO Live'!$B$5="A/H only",J324&gt;0)),1,0)</f>
        <v/>
      </c>
      <c r="S324" s="15">
        <f>IF(R324=1,COUNTIF($R$5:R324,1),"")</f>
        <v/>
      </c>
      <c r="T324">
        <f>1</f>
        <v/>
      </c>
      <c r="U324">
        <f>IF($P324="Bloomberg",$M324,$H324)</f>
        <v/>
      </c>
      <c r="AW324">
        <f>IF(AND(J324&gt;0,OR(AH!$I$5="All",AH!$I$5="A/H only",AH!$I$5=C324)),1,0)</f>
        <v/>
      </c>
      <c r="AX324">
        <f>IF(AW324=1,COUNTIF($AW$5:AW324,1),"")</f>
        <v/>
      </c>
      <c r="AY324">
        <f>IF(AH!$M$5="Snapshot",IF(ISNUMBER(G324),G324,"unavailable"),IF(AND(ISNUMBER(K324),N(K324)&gt;0),K324,IF(AH!$M$5="Auto",IF(ISNUMBER(G324),G324,"unavailable"),"unavailable")))</f>
        <v/>
      </c>
      <c r="AZ324">
        <f>IF(AND(AH!$M$5&lt;&gt;"Snapshot",ISNUMBER(K324),N(K324)&gt;0),"Bloomberg",IF(AND(AH!$M$5&lt;&gt;"Bloomberg",ISNUMBER(G324)),"Snapshot","Unavailable"))</f>
        <v/>
      </c>
      <c r="BA324">
        <f>IF(AZ324="Bloomberg",M324,H324)</f>
        <v/>
      </c>
      <c r="BB324">
        <f>1</f>
        <v/>
      </c>
    </row>
    <row r="325">
      <c r="A325" s="31" t="inlineStr">
        <is>
          <t>0999</t>
        </is>
      </c>
      <c r="B325" s="15" t="inlineStr">
        <is>
          <t>XIAOCAIYUAN</t>
        </is>
      </c>
      <c r="C325" s="15" t="inlineStr">
        <is>
          <t>Consumer</t>
        </is>
      </c>
      <c r="D325" s="15" t="inlineStr">
        <is>
          <t>F&amp;B chains / restaurants</t>
        </is>
      </c>
      <c r="E325" s="34" t="n">
        <v>45646</v>
      </c>
      <c r="F325" s="15" t="n">
        <v>8.5</v>
      </c>
      <c r="G325" s="15" t="n">
        <v>8.960000000000001</v>
      </c>
      <c r="H325" s="34" t="n">
        <v>46297</v>
      </c>
      <c r="I325" s="31" t="n"/>
      <c r="J325" s="15" t="n">
        <v>0</v>
      </c>
      <c r="K325" s="15">
        <f>IF(AND(AH!$M$5="Snapshot",'IPO Live'!$M$5="Snapshot"),"",IFERROR(BDP(TEXT(VALUE($A325),"0")&amp;" HK Equity","PX_LAST"),""))</f>
        <v/>
      </c>
      <c r="L325" s="15">
        <f>IF(AND(AH!$M$5="Snapshot",'IPO Live'!$M$5="Snapshot"),"",IFERROR(BDP(TEXT(VALUE($A325),"0")&amp;" HK Equity","CHG_PCT_1D")/100,""))</f>
        <v/>
      </c>
      <c r="M325" s="15">
        <f>IF(AND(AH!$M$5="Snapshot",'IPO Live'!$M$5="Snapshot"),"",IFERROR(BDP(TEXT(VALUE($A325),"0")&amp;" HK Equity","LAST_UPDATE_DT"),""))</f>
        <v/>
      </c>
      <c r="N325" s="15">
        <f>IF(AND(AH!$M$5="Snapshot",'IPO Live'!$M$5="Snapshot"),"",IFERROR(BDP(TEXT(VALUE($A325),"0")&amp;" HK Equity","LAST_UPDATE"),""))</f>
        <v/>
      </c>
      <c r="O325" s="15">
        <f>IF('IPO Live'!$M$5="Snapshot",IF(ISNUMBER(G325),G325,"unavailable"),IF(AND(ISNUMBER(K325),N(K325)&gt;0),K325,IF('IPO Live'!$M$5="Auto",IF(ISNUMBER(G325),G325,"unavailable"),"unavailable")))</f>
        <v/>
      </c>
      <c r="P325" s="15">
        <f>IF(AND('IPO Live'!$M$5&lt;&gt;"Snapshot",ISNUMBER(K325),N(K325)&gt;0),"Bloomberg",IF(AND('IPO Live'!$M$5&lt;&gt;"Bloomberg",ISNUMBER(G325)),"Snapshot","Unavailable"))</f>
        <v/>
      </c>
      <c r="Q325" s="33">
        <f>IF(AND(P325="Bloomberg",ISNUMBER(L325)),L325,"unavailable")</f>
        <v/>
      </c>
      <c r="R325" s="15">
        <f>IF(OR('IPO Live'!$B$5="All",'IPO Live'!$B$5=C325,AND('IPO Live'!$B$5="A/H only",J325&gt;0)),1,0)</f>
        <v/>
      </c>
      <c r="S325" s="15">
        <f>IF(R325=1,COUNTIF($R$5:R325,1),"")</f>
        <v/>
      </c>
      <c r="T325">
        <f>1</f>
        <v/>
      </c>
      <c r="U325">
        <f>IF($P325="Bloomberg",$M325,$H325)</f>
        <v/>
      </c>
      <c r="AW325">
        <f>IF(AND(J325&gt;0,OR(AH!$I$5="All",AH!$I$5="A/H only",AH!$I$5=C325)),1,0)</f>
        <v/>
      </c>
      <c r="AX325">
        <f>IF(AW325=1,COUNTIF($AW$5:AW325,1),"")</f>
        <v/>
      </c>
      <c r="AY325">
        <f>IF(AH!$M$5="Snapshot",IF(ISNUMBER(G325),G325,"unavailable"),IF(AND(ISNUMBER(K325),N(K325)&gt;0),K325,IF(AH!$M$5="Auto",IF(ISNUMBER(G325),G325,"unavailable"),"unavailable")))</f>
        <v/>
      </c>
      <c r="AZ325">
        <f>IF(AND(AH!$M$5&lt;&gt;"Snapshot",ISNUMBER(K325),N(K325)&gt;0),"Bloomberg",IF(AND(AH!$M$5&lt;&gt;"Bloomberg",ISNUMBER(G325)),"Snapshot","Unavailable"))</f>
        <v/>
      </c>
      <c r="BA325">
        <f>IF(AZ325="Bloomberg",M325,H325)</f>
        <v/>
      </c>
      <c r="BB325">
        <f>1</f>
        <v/>
      </c>
    </row>
    <row r="326">
      <c r="A326" s="31" t="inlineStr">
        <is>
          <t>1318</t>
        </is>
      </c>
      <c r="B326" s="15" t="inlineStr">
        <is>
          <t>MAO GEPING</t>
        </is>
      </c>
      <c r="C326" s="15" t="inlineStr">
        <is>
          <t>Consumer</t>
        </is>
      </c>
      <c r="D326" s="15" t="inlineStr">
        <is>
          <t>Beauty / personal care</t>
        </is>
      </c>
      <c r="E326" s="34" t="n">
        <v>45636</v>
      </c>
      <c r="F326" s="15" t="n">
        <v>29.8</v>
      </c>
      <c r="G326" s="15" t="n">
        <v>43.72</v>
      </c>
      <c r="H326" s="34" t="n">
        <v>46297</v>
      </c>
      <c r="I326" s="31" t="n"/>
      <c r="J326" s="15" t="n">
        <v>0</v>
      </c>
      <c r="K326" s="15">
        <f>IF(AND(AH!$M$5="Snapshot",'IPO Live'!$M$5="Snapshot"),"",IFERROR(BDP(TEXT(VALUE($A326),"0")&amp;" HK Equity","PX_LAST"),""))</f>
        <v/>
      </c>
      <c r="L326" s="15">
        <f>IF(AND(AH!$M$5="Snapshot",'IPO Live'!$M$5="Snapshot"),"",IFERROR(BDP(TEXT(VALUE($A326),"0")&amp;" HK Equity","CHG_PCT_1D")/100,""))</f>
        <v/>
      </c>
      <c r="M326" s="15">
        <f>IF(AND(AH!$M$5="Snapshot",'IPO Live'!$M$5="Snapshot"),"",IFERROR(BDP(TEXT(VALUE($A326),"0")&amp;" HK Equity","LAST_UPDATE_DT"),""))</f>
        <v/>
      </c>
      <c r="N326" s="15">
        <f>IF(AND(AH!$M$5="Snapshot",'IPO Live'!$M$5="Snapshot"),"",IFERROR(BDP(TEXT(VALUE($A326),"0")&amp;" HK Equity","LAST_UPDATE"),""))</f>
        <v/>
      </c>
      <c r="O326" s="15">
        <f>IF('IPO Live'!$M$5="Snapshot",IF(ISNUMBER(G326),G326,"unavailable"),IF(AND(ISNUMBER(K326),N(K326)&gt;0),K326,IF('IPO Live'!$M$5="Auto",IF(ISNUMBER(G326),G326,"unavailable"),"unavailable")))</f>
        <v/>
      </c>
      <c r="P326" s="15">
        <f>IF(AND('IPO Live'!$M$5&lt;&gt;"Snapshot",ISNUMBER(K326),N(K326)&gt;0),"Bloomberg",IF(AND('IPO Live'!$M$5&lt;&gt;"Bloomberg",ISNUMBER(G326)),"Snapshot","Unavailable"))</f>
        <v/>
      </c>
      <c r="Q326" s="33">
        <f>IF(AND(P326="Bloomberg",ISNUMBER(L326)),L326,"unavailable")</f>
        <v/>
      </c>
      <c r="R326" s="15">
        <f>IF(OR('IPO Live'!$B$5="All",'IPO Live'!$B$5=C326,AND('IPO Live'!$B$5="A/H only",J326&gt;0)),1,0)</f>
        <v/>
      </c>
      <c r="S326" s="15">
        <f>IF(R326=1,COUNTIF($R$5:R326,1),"")</f>
        <v/>
      </c>
      <c r="T326">
        <f>1</f>
        <v/>
      </c>
      <c r="U326">
        <f>IF($P326="Bloomberg",$M326,$H326)</f>
        <v/>
      </c>
      <c r="AW326">
        <f>IF(AND(J326&gt;0,OR(AH!$I$5="All",AH!$I$5="A/H only",AH!$I$5=C326)),1,0)</f>
        <v/>
      </c>
      <c r="AX326">
        <f>IF(AW326=1,COUNTIF($AW$5:AW326,1),"")</f>
        <v/>
      </c>
      <c r="AY326">
        <f>IF(AH!$M$5="Snapshot",IF(ISNUMBER(G326),G326,"unavailable"),IF(AND(ISNUMBER(K326),N(K326)&gt;0),K326,IF(AH!$M$5="Auto",IF(ISNUMBER(G326),G326,"unavailable"),"unavailable")))</f>
        <v/>
      </c>
      <c r="AZ326">
        <f>IF(AND(AH!$M$5&lt;&gt;"Snapshot",ISNUMBER(K326),N(K326)&gt;0),"Bloomberg",IF(AND(AH!$M$5&lt;&gt;"Bloomberg",ISNUMBER(G326)),"Snapshot","Unavailable"))</f>
        <v/>
      </c>
      <c r="BA326">
        <f>IF(AZ326="Bloomberg",M326,H326)</f>
        <v/>
      </c>
      <c r="BB326">
        <f>1</f>
        <v/>
      </c>
    </row>
    <row r="327">
      <c r="A327" s="31" t="inlineStr">
        <is>
          <t>2585</t>
        </is>
      </c>
      <c r="B327" s="15" t="inlineStr">
        <is>
          <t>MOKINGRAN</t>
        </is>
      </c>
      <c r="C327" s="15" t="inlineStr">
        <is>
          <t>Consumer</t>
        </is>
      </c>
      <c r="D327" s="15" t="inlineStr">
        <is>
          <t>Apparel / luxury</t>
        </is>
      </c>
      <c r="E327" s="34" t="n">
        <v>45625</v>
      </c>
      <c r="F327" s="15" t="n">
        <v>12</v>
      </c>
      <c r="G327" s="15" t="n">
        <v>27.68</v>
      </c>
      <c r="H327" s="34" t="n">
        <v>46297</v>
      </c>
      <c r="I327" s="31" t="n"/>
      <c r="J327" s="15" t="n">
        <v>0</v>
      </c>
      <c r="K327" s="15">
        <f>IF(AND(AH!$M$5="Snapshot",'IPO Live'!$M$5="Snapshot"),"",IFERROR(BDP(TEXT(VALUE($A327),"0")&amp;" HK Equity","PX_LAST"),""))</f>
        <v/>
      </c>
      <c r="L327" s="15">
        <f>IF(AND(AH!$M$5="Snapshot",'IPO Live'!$M$5="Snapshot"),"",IFERROR(BDP(TEXT(VALUE($A327),"0")&amp;" HK Equity","CHG_PCT_1D")/100,""))</f>
        <v/>
      </c>
      <c r="M327" s="15">
        <f>IF(AND(AH!$M$5="Snapshot",'IPO Live'!$M$5="Snapshot"),"",IFERROR(BDP(TEXT(VALUE($A327),"0")&amp;" HK Equity","LAST_UPDATE_DT"),""))</f>
        <v/>
      </c>
      <c r="N327" s="15">
        <f>IF(AND(AH!$M$5="Snapshot",'IPO Live'!$M$5="Snapshot"),"",IFERROR(BDP(TEXT(VALUE($A327),"0")&amp;" HK Equity","LAST_UPDATE"),""))</f>
        <v/>
      </c>
      <c r="O327" s="15">
        <f>IF('IPO Live'!$M$5="Snapshot",IF(ISNUMBER(G327),G327,"unavailable"),IF(AND(ISNUMBER(K327),N(K327)&gt;0),K327,IF('IPO Live'!$M$5="Auto",IF(ISNUMBER(G327),G327,"unavailable"),"unavailable")))</f>
        <v/>
      </c>
      <c r="P327" s="15">
        <f>IF(AND('IPO Live'!$M$5&lt;&gt;"Snapshot",ISNUMBER(K327),N(K327)&gt;0),"Bloomberg",IF(AND('IPO Live'!$M$5&lt;&gt;"Bloomberg",ISNUMBER(G327)),"Snapshot","Unavailable"))</f>
        <v/>
      </c>
      <c r="Q327" s="33">
        <f>IF(AND(P327="Bloomberg",ISNUMBER(L327)),L327,"unavailable")</f>
        <v/>
      </c>
      <c r="R327" s="15">
        <f>IF(OR('IPO Live'!$B$5="All",'IPO Live'!$B$5=C327,AND('IPO Live'!$B$5="A/H only",J327&gt;0)),1,0)</f>
        <v/>
      </c>
      <c r="S327" s="15">
        <f>IF(R327=1,COUNTIF($R$5:R327,1),"")</f>
        <v/>
      </c>
      <c r="T327">
        <f>1</f>
        <v/>
      </c>
      <c r="U327">
        <f>IF($P327="Bloomberg",$M327,$H327)</f>
        <v/>
      </c>
      <c r="AW327">
        <f>IF(AND(J327&gt;0,OR(AH!$I$5="All",AH!$I$5="A/H only",AH!$I$5=C327)),1,0)</f>
        <v/>
      </c>
      <c r="AX327">
        <f>IF(AW327=1,COUNTIF($AW$5:AW327,1),"")</f>
        <v/>
      </c>
      <c r="AY327">
        <f>IF(AH!$M$5="Snapshot",IF(ISNUMBER(G327),G327,"unavailable"),IF(AND(ISNUMBER(K327),N(K327)&gt;0),K327,IF(AH!$M$5="Auto",IF(ISNUMBER(G327),G327,"unavailable"),"unavailable")))</f>
        <v/>
      </c>
      <c r="AZ327">
        <f>IF(AND(AH!$M$5&lt;&gt;"Snapshot",ISNUMBER(K327),N(K327)&gt;0),"Bloomberg",IF(AND(AH!$M$5&lt;&gt;"Bloomberg",ISNUMBER(G327)),"Snapshot","Unavailable"))</f>
        <v/>
      </c>
      <c r="BA327">
        <f>IF(AZ327="Bloomberg",M327,H327)</f>
        <v/>
      </c>
      <c r="BB327">
        <f>1</f>
        <v/>
      </c>
    </row>
    <row r="328">
      <c r="A328" s="31" t="inlineStr">
        <is>
          <t>2519</t>
        </is>
      </c>
      <c r="B328" s="15" t="inlineStr">
        <is>
          <t>AUGROUP</t>
        </is>
      </c>
      <c r="C328" s="15" t="inlineStr">
        <is>
          <t>Consumer</t>
        </is>
      </c>
      <c r="D328" s="15" t="inlineStr">
        <is>
          <t>Retail / distribution</t>
        </is>
      </c>
      <c r="E328" s="34" t="n">
        <v>45604</v>
      </c>
      <c r="F328" s="15" t="n">
        <v>15.6</v>
      </c>
      <c r="G328" s="15" t="n">
        <v>3.94</v>
      </c>
      <c r="H328" s="34" t="n">
        <v>46297</v>
      </c>
      <c r="I328" s="31" t="n"/>
      <c r="J328" s="15" t="n">
        <v>0</v>
      </c>
      <c r="K328" s="15">
        <f>IF(AND(AH!$M$5="Snapshot",'IPO Live'!$M$5="Snapshot"),"",IFERROR(BDP(TEXT(VALUE($A328),"0")&amp;" HK Equity","PX_LAST"),""))</f>
        <v/>
      </c>
      <c r="L328" s="15">
        <f>IF(AND(AH!$M$5="Snapshot",'IPO Live'!$M$5="Snapshot"),"",IFERROR(BDP(TEXT(VALUE($A328),"0")&amp;" HK Equity","CHG_PCT_1D")/100,""))</f>
        <v/>
      </c>
      <c r="M328" s="15">
        <f>IF(AND(AH!$M$5="Snapshot",'IPO Live'!$M$5="Snapshot"),"",IFERROR(BDP(TEXT(VALUE($A328),"0")&amp;" HK Equity","LAST_UPDATE_DT"),""))</f>
        <v/>
      </c>
      <c r="N328" s="15">
        <f>IF(AND(AH!$M$5="Snapshot",'IPO Live'!$M$5="Snapshot"),"",IFERROR(BDP(TEXT(VALUE($A328),"0")&amp;" HK Equity","LAST_UPDATE"),""))</f>
        <v/>
      </c>
      <c r="O328" s="15">
        <f>IF('IPO Live'!$M$5="Snapshot",IF(ISNUMBER(G328),G328,"unavailable"),IF(AND(ISNUMBER(K328),N(K328)&gt;0),K328,IF('IPO Live'!$M$5="Auto",IF(ISNUMBER(G328),G328,"unavailable"),"unavailable")))</f>
        <v/>
      </c>
      <c r="P328" s="15">
        <f>IF(AND('IPO Live'!$M$5&lt;&gt;"Snapshot",ISNUMBER(K328),N(K328)&gt;0),"Bloomberg",IF(AND('IPO Live'!$M$5&lt;&gt;"Bloomberg",ISNUMBER(G328)),"Snapshot","Unavailable"))</f>
        <v/>
      </c>
      <c r="Q328" s="33">
        <f>IF(AND(P328="Bloomberg",ISNUMBER(L328)),L328,"unavailable")</f>
        <v/>
      </c>
      <c r="R328" s="15">
        <f>IF(OR('IPO Live'!$B$5="All",'IPO Live'!$B$5=C328,AND('IPO Live'!$B$5="A/H only",J328&gt;0)),1,0)</f>
        <v/>
      </c>
      <c r="S328" s="15">
        <f>IF(R328=1,COUNTIF($R$5:R328,1),"")</f>
        <v/>
      </c>
      <c r="T328">
        <f>1</f>
        <v/>
      </c>
      <c r="U328">
        <f>IF($P328="Bloomberg",$M328,$H328)</f>
        <v/>
      </c>
      <c r="AW328">
        <f>IF(AND(J328&gt;0,OR(AH!$I$5="All",AH!$I$5="A/H only",AH!$I$5=C328)),1,0)</f>
        <v/>
      </c>
      <c r="AX328">
        <f>IF(AW328=1,COUNTIF($AW$5:AW328,1),"")</f>
        <v/>
      </c>
      <c r="AY328">
        <f>IF(AH!$M$5="Snapshot",IF(ISNUMBER(G328),G328,"unavailable"),IF(AND(ISNUMBER(K328),N(K328)&gt;0),K328,IF(AH!$M$5="Auto",IF(ISNUMBER(G328),G328,"unavailable"),"unavailable")))</f>
        <v/>
      </c>
      <c r="AZ328">
        <f>IF(AND(AH!$M$5&lt;&gt;"Snapshot",ISNUMBER(K328),N(K328)&gt;0),"Bloomberg",IF(AND(AH!$M$5&lt;&gt;"Bloomberg",ISNUMBER(G328)),"Snapshot","Unavailable"))</f>
        <v/>
      </c>
      <c r="BA328">
        <f>IF(AZ328="Bloomberg",M328,H328)</f>
        <v/>
      </c>
      <c r="BB328">
        <f>1</f>
        <v/>
      </c>
    </row>
    <row r="329">
      <c r="A329" s="31" t="inlineStr">
        <is>
          <t>2460</t>
        </is>
      </c>
      <c r="B329" s="15" t="inlineStr">
        <is>
          <t>CR BEVERAGE</t>
        </is>
      </c>
      <c r="C329" s="15" t="inlineStr">
        <is>
          <t>Consumer</t>
        </is>
      </c>
      <c r="D329" s="15" t="inlineStr">
        <is>
          <t>Beverages / packaged food</t>
        </is>
      </c>
      <c r="E329" s="34" t="n">
        <v>45588</v>
      </c>
      <c r="F329" s="15" t="n">
        <v>14.5</v>
      </c>
      <c r="G329" s="15" t="n">
        <v>7.33</v>
      </c>
      <c r="H329" s="34" t="n">
        <v>46297</v>
      </c>
      <c r="I329" s="31" t="n"/>
      <c r="J329" s="15" t="n">
        <v>0</v>
      </c>
      <c r="K329" s="15">
        <f>IF(AND(AH!$M$5="Snapshot",'IPO Live'!$M$5="Snapshot"),"",IFERROR(BDP(TEXT(VALUE($A329),"0")&amp;" HK Equity","PX_LAST"),""))</f>
        <v/>
      </c>
      <c r="L329" s="15">
        <f>IF(AND(AH!$M$5="Snapshot",'IPO Live'!$M$5="Snapshot"),"",IFERROR(BDP(TEXT(VALUE($A329),"0")&amp;" HK Equity","CHG_PCT_1D")/100,""))</f>
        <v/>
      </c>
      <c r="M329" s="15">
        <f>IF(AND(AH!$M$5="Snapshot",'IPO Live'!$M$5="Snapshot"),"",IFERROR(BDP(TEXT(VALUE($A329),"0")&amp;" HK Equity","LAST_UPDATE_DT"),""))</f>
        <v/>
      </c>
      <c r="N329" s="15">
        <f>IF(AND(AH!$M$5="Snapshot",'IPO Live'!$M$5="Snapshot"),"",IFERROR(BDP(TEXT(VALUE($A329),"0")&amp;" HK Equity","LAST_UPDATE"),""))</f>
        <v/>
      </c>
      <c r="O329" s="15">
        <f>IF('IPO Live'!$M$5="Snapshot",IF(ISNUMBER(G329),G329,"unavailable"),IF(AND(ISNUMBER(K329),N(K329)&gt;0),K329,IF('IPO Live'!$M$5="Auto",IF(ISNUMBER(G329),G329,"unavailable"),"unavailable")))</f>
        <v/>
      </c>
      <c r="P329" s="15">
        <f>IF(AND('IPO Live'!$M$5&lt;&gt;"Snapshot",ISNUMBER(K329),N(K329)&gt;0),"Bloomberg",IF(AND('IPO Live'!$M$5&lt;&gt;"Bloomberg",ISNUMBER(G329)),"Snapshot","Unavailable"))</f>
        <v/>
      </c>
      <c r="Q329" s="33">
        <f>IF(AND(P329="Bloomberg",ISNUMBER(L329)),L329,"unavailable")</f>
        <v/>
      </c>
      <c r="R329" s="15">
        <f>IF(OR('IPO Live'!$B$5="All",'IPO Live'!$B$5=C329,AND('IPO Live'!$B$5="A/H only",J329&gt;0)),1,0)</f>
        <v/>
      </c>
      <c r="S329" s="15">
        <f>IF(R329=1,COUNTIF($R$5:R329,1),"")</f>
        <v/>
      </c>
      <c r="T329">
        <f>1</f>
        <v/>
      </c>
      <c r="U329">
        <f>IF($P329="Bloomberg",$M329,$H329)</f>
        <v/>
      </c>
      <c r="AW329">
        <f>IF(AND(J329&gt;0,OR(AH!$I$5="All",AH!$I$5="A/H only",AH!$I$5=C329)),1,0)</f>
        <v/>
      </c>
      <c r="AX329">
        <f>IF(AW329=1,COUNTIF($AW$5:AW329,1),"")</f>
        <v/>
      </c>
      <c r="AY329">
        <f>IF(AH!$M$5="Snapshot",IF(ISNUMBER(G329),G329,"unavailable"),IF(AND(ISNUMBER(K329),N(K329)&gt;0),K329,IF(AH!$M$5="Auto",IF(ISNUMBER(G329),G329,"unavailable"),"unavailable")))</f>
        <v/>
      </c>
      <c r="AZ329">
        <f>IF(AND(AH!$M$5&lt;&gt;"Snapshot",ISNUMBER(K329),N(K329)&gt;0),"Bloomberg",IF(AND(AH!$M$5&lt;&gt;"Bloomberg",ISNUMBER(G329)),"Snapshot","Unavailable"))</f>
        <v/>
      </c>
      <c r="BA329">
        <f>IF(AZ329="Bloomberg",M329,H329)</f>
        <v/>
      </c>
      <c r="BB329">
        <f>1</f>
        <v/>
      </c>
    </row>
    <row r="330">
      <c r="A330" s="31" t="inlineStr">
        <is>
          <t>2549</t>
        </is>
      </c>
      <c r="B330" s="15" t="inlineStr">
        <is>
          <t>CAROTE LTD</t>
        </is>
      </c>
      <c r="C330" s="15" t="inlineStr">
        <is>
          <t>Consumer</t>
        </is>
      </c>
      <c r="D330" s="15" t="inlineStr">
        <is>
          <t>Retail / distribution</t>
        </is>
      </c>
      <c r="E330" s="34" t="n">
        <v>45567</v>
      </c>
      <c r="F330" s="15" t="n">
        <v>5.78</v>
      </c>
      <c r="G330" s="15" t="n">
        <v>3.79</v>
      </c>
      <c r="H330" s="34" t="n">
        <v>46297</v>
      </c>
      <c r="I330" s="31" t="n"/>
      <c r="J330" s="15" t="n">
        <v>0</v>
      </c>
      <c r="K330" s="15">
        <f>IF(AND(AH!$M$5="Snapshot",'IPO Live'!$M$5="Snapshot"),"",IFERROR(BDP(TEXT(VALUE($A330),"0")&amp;" HK Equity","PX_LAST"),""))</f>
        <v/>
      </c>
      <c r="L330" s="15">
        <f>IF(AND(AH!$M$5="Snapshot",'IPO Live'!$M$5="Snapshot"),"",IFERROR(BDP(TEXT(VALUE($A330),"0")&amp;" HK Equity","CHG_PCT_1D")/100,""))</f>
        <v/>
      </c>
      <c r="M330" s="15">
        <f>IF(AND(AH!$M$5="Snapshot",'IPO Live'!$M$5="Snapshot"),"",IFERROR(BDP(TEXT(VALUE($A330),"0")&amp;" HK Equity","LAST_UPDATE_DT"),""))</f>
        <v/>
      </c>
      <c r="N330" s="15">
        <f>IF(AND(AH!$M$5="Snapshot",'IPO Live'!$M$5="Snapshot"),"",IFERROR(BDP(TEXT(VALUE($A330),"0")&amp;" HK Equity","LAST_UPDATE"),""))</f>
        <v/>
      </c>
      <c r="O330" s="15">
        <f>IF('IPO Live'!$M$5="Snapshot",IF(ISNUMBER(G330),G330,"unavailable"),IF(AND(ISNUMBER(K330),N(K330)&gt;0),K330,IF('IPO Live'!$M$5="Auto",IF(ISNUMBER(G330),G330,"unavailable"),"unavailable")))</f>
        <v/>
      </c>
      <c r="P330" s="15">
        <f>IF(AND('IPO Live'!$M$5&lt;&gt;"Snapshot",ISNUMBER(K330),N(K330)&gt;0),"Bloomberg",IF(AND('IPO Live'!$M$5&lt;&gt;"Bloomberg",ISNUMBER(G330)),"Snapshot","Unavailable"))</f>
        <v/>
      </c>
      <c r="Q330" s="33">
        <f>IF(AND(P330="Bloomberg",ISNUMBER(L330)),L330,"unavailable")</f>
        <v/>
      </c>
      <c r="R330" s="15">
        <f>IF(OR('IPO Live'!$B$5="All",'IPO Live'!$B$5=C330,AND('IPO Live'!$B$5="A/H only",J330&gt;0)),1,0)</f>
        <v/>
      </c>
      <c r="S330" s="15">
        <f>IF(R330=1,COUNTIF($R$5:R330,1),"")</f>
        <v/>
      </c>
      <c r="T330">
        <f>1</f>
        <v/>
      </c>
      <c r="U330">
        <f>IF($P330="Bloomberg",$M330,$H330)</f>
        <v/>
      </c>
      <c r="AW330">
        <f>IF(AND(J330&gt;0,OR(AH!$I$5="All",AH!$I$5="A/H only",AH!$I$5=C330)),1,0)</f>
        <v/>
      </c>
      <c r="AX330">
        <f>IF(AW330=1,COUNTIF($AW$5:AW330,1),"")</f>
        <v/>
      </c>
      <c r="AY330">
        <f>IF(AH!$M$5="Snapshot",IF(ISNUMBER(G330),G330,"unavailable"),IF(AND(ISNUMBER(K330),N(K330)&gt;0),K330,IF(AH!$M$5="Auto",IF(ISNUMBER(G330),G330,"unavailable"),"unavailable")))</f>
        <v/>
      </c>
      <c r="AZ330">
        <f>IF(AND(AH!$M$5&lt;&gt;"Snapshot",ISNUMBER(K330),N(K330)&gt;0),"Bloomberg",IF(AND(AH!$M$5&lt;&gt;"Bloomberg",ISNUMBER(G330)),"Snapshot","Unavailable"))</f>
        <v/>
      </c>
      <c r="BA330">
        <f>IF(AZ330="Bloomberg",M330,H330)</f>
        <v/>
      </c>
      <c r="BB330">
        <f>1</f>
        <v/>
      </c>
    </row>
    <row r="331">
      <c r="A331" s="31" t="inlineStr">
        <is>
          <t>2531</t>
        </is>
      </c>
      <c r="B331" s="15" t="inlineStr">
        <is>
          <t>CARLINK TECH</t>
        </is>
      </c>
      <c r="C331" s="15" t="inlineStr">
        <is>
          <t>Consumer</t>
        </is>
      </c>
      <c r="D331" s="15" t="inlineStr">
        <is>
          <t>Auto parts / supply chain</t>
        </is>
      </c>
      <c r="E331" s="34" t="n">
        <v>45488</v>
      </c>
      <c r="F331" s="15" t="n">
        <v>4.7</v>
      </c>
      <c r="G331" s="15" t="n">
        <v>3.05</v>
      </c>
      <c r="H331" s="34" t="n">
        <v>46297</v>
      </c>
      <c r="I331" s="31" t="n"/>
      <c r="J331" s="15" t="n">
        <v>0</v>
      </c>
      <c r="K331" s="15">
        <f>IF(AND(AH!$M$5="Snapshot",'IPO Live'!$M$5="Snapshot"),"",IFERROR(BDP(TEXT(VALUE($A331),"0")&amp;" HK Equity","PX_LAST"),""))</f>
        <v/>
      </c>
      <c r="L331" s="15">
        <f>IF(AND(AH!$M$5="Snapshot",'IPO Live'!$M$5="Snapshot"),"",IFERROR(BDP(TEXT(VALUE($A331),"0")&amp;" HK Equity","CHG_PCT_1D")/100,""))</f>
        <v/>
      </c>
      <c r="M331" s="15">
        <f>IF(AND(AH!$M$5="Snapshot",'IPO Live'!$M$5="Snapshot"),"",IFERROR(BDP(TEXT(VALUE($A331),"0")&amp;" HK Equity","LAST_UPDATE_DT"),""))</f>
        <v/>
      </c>
      <c r="N331" s="15">
        <f>IF(AND(AH!$M$5="Snapshot",'IPO Live'!$M$5="Snapshot"),"",IFERROR(BDP(TEXT(VALUE($A331),"0")&amp;" HK Equity","LAST_UPDATE"),""))</f>
        <v/>
      </c>
      <c r="O331" s="15">
        <f>IF('IPO Live'!$M$5="Snapshot",IF(ISNUMBER(G331),G331,"unavailable"),IF(AND(ISNUMBER(K331),N(K331)&gt;0),K331,IF('IPO Live'!$M$5="Auto",IF(ISNUMBER(G331),G331,"unavailable"),"unavailable")))</f>
        <v/>
      </c>
      <c r="P331" s="15">
        <f>IF(AND('IPO Live'!$M$5&lt;&gt;"Snapshot",ISNUMBER(K331),N(K331)&gt;0),"Bloomberg",IF(AND('IPO Live'!$M$5&lt;&gt;"Bloomberg",ISNUMBER(G331)),"Snapshot","Unavailable"))</f>
        <v/>
      </c>
      <c r="Q331" s="33">
        <f>IF(AND(P331="Bloomberg",ISNUMBER(L331)),L331,"unavailable")</f>
        <v/>
      </c>
      <c r="R331" s="15">
        <f>IF(OR('IPO Live'!$B$5="All",'IPO Live'!$B$5=C331,AND('IPO Live'!$B$5="A/H only",J331&gt;0)),1,0)</f>
        <v/>
      </c>
      <c r="S331" s="15">
        <f>IF(R331=1,COUNTIF($R$5:R331,1),"")</f>
        <v/>
      </c>
      <c r="T331">
        <f>1</f>
        <v/>
      </c>
      <c r="U331">
        <f>IF($P331="Bloomberg",$M331,$H331)</f>
        <v/>
      </c>
      <c r="AW331">
        <f>IF(AND(J331&gt;0,OR(AH!$I$5="All",AH!$I$5="A/H only",AH!$I$5=C331)),1,0)</f>
        <v/>
      </c>
      <c r="AX331">
        <f>IF(AW331=1,COUNTIF($AW$5:AW331,1),"")</f>
        <v/>
      </c>
      <c r="AY331">
        <f>IF(AH!$M$5="Snapshot",IF(ISNUMBER(G331),G331,"unavailable"),IF(AND(ISNUMBER(K331),N(K331)&gt;0),K331,IF(AH!$M$5="Auto",IF(ISNUMBER(G331),G331,"unavailable"),"unavailable")))</f>
        <v/>
      </c>
      <c r="AZ331">
        <f>IF(AND(AH!$M$5&lt;&gt;"Snapshot",ISNUMBER(K331),N(K331)&gt;0),"Bloomberg",IF(AND(AH!$M$5&lt;&gt;"Bloomberg",ISNUMBER(G331)),"Snapshot","Unavailable"))</f>
        <v/>
      </c>
      <c r="BA331">
        <f>IF(AZ331="Bloomberg",M331,H331)</f>
        <v/>
      </c>
      <c r="BB331">
        <f>1</f>
        <v/>
      </c>
    </row>
    <row r="332">
      <c r="A332" s="31" t="inlineStr">
        <is>
          <t>1334</t>
        </is>
      </c>
      <c r="B332" s="15" t="inlineStr">
        <is>
          <t>RUICHANG INTL</t>
        </is>
      </c>
      <c r="C332" s="15" t="inlineStr">
        <is>
          <t>Consumer</t>
        </is>
      </c>
      <c r="D332" s="15" t="inlineStr">
        <is>
          <t>Auto parts / supply chain</t>
        </is>
      </c>
      <c r="E332" s="34" t="n">
        <v>45483</v>
      </c>
      <c r="F332" s="15" t="n">
        <v>1.05</v>
      </c>
      <c r="G332" s="15" t="n">
        <v>0.915</v>
      </c>
      <c r="H332" s="34" t="n">
        <v>46297</v>
      </c>
      <c r="I332" s="31" t="n"/>
      <c r="J332" s="15" t="n">
        <v>0</v>
      </c>
      <c r="K332" s="15">
        <f>IF(AND(AH!$M$5="Snapshot",'IPO Live'!$M$5="Snapshot"),"",IFERROR(BDP(TEXT(VALUE($A332),"0")&amp;" HK Equity","PX_LAST"),""))</f>
        <v/>
      </c>
      <c r="L332" s="15">
        <f>IF(AND(AH!$M$5="Snapshot",'IPO Live'!$M$5="Snapshot"),"",IFERROR(BDP(TEXT(VALUE($A332),"0")&amp;" HK Equity","CHG_PCT_1D")/100,""))</f>
        <v/>
      </c>
      <c r="M332" s="15">
        <f>IF(AND(AH!$M$5="Snapshot",'IPO Live'!$M$5="Snapshot"),"",IFERROR(BDP(TEXT(VALUE($A332),"0")&amp;" HK Equity","LAST_UPDATE_DT"),""))</f>
        <v/>
      </c>
      <c r="N332" s="15">
        <f>IF(AND(AH!$M$5="Snapshot",'IPO Live'!$M$5="Snapshot"),"",IFERROR(BDP(TEXT(VALUE($A332),"0")&amp;" HK Equity","LAST_UPDATE"),""))</f>
        <v/>
      </c>
      <c r="O332" s="15">
        <f>IF('IPO Live'!$M$5="Snapshot",IF(ISNUMBER(G332),G332,"unavailable"),IF(AND(ISNUMBER(K332),N(K332)&gt;0),K332,IF('IPO Live'!$M$5="Auto",IF(ISNUMBER(G332),G332,"unavailable"),"unavailable")))</f>
        <v/>
      </c>
      <c r="P332" s="15">
        <f>IF(AND('IPO Live'!$M$5&lt;&gt;"Snapshot",ISNUMBER(K332),N(K332)&gt;0),"Bloomberg",IF(AND('IPO Live'!$M$5&lt;&gt;"Bloomberg",ISNUMBER(G332)),"Snapshot","Unavailable"))</f>
        <v/>
      </c>
      <c r="Q332" s="33">
        <f>IF(AND(P332="Bloomberg",ISNUMBER(L332)),L332,"unavailable")</f>
        <v/>
      </c>
      <c r="R332" s="15">
        <f>IF(OR('IPO Live'!$B$5="All",'IPO Live'!$B$5=C332,AND('IPO Live'!$B$5="A/H only",J332&gt;0)),1,0)</f>
        <v/>
      </c>
      <c r="S332" s="15">
        <f>IF(R332=1,COUNTIF($R$5:R332,1),"")</f>
        <v/>
      </c>
      <c r="T332">
        <f>1</f>
        <v/>
      </c>
      <c r="U332">
        <f>IF($P332="Bloomberg",$M332,$H332)</f>
        <v/>
      </c>
      <c r="AW332">
        <f>IF(AND(J332&gt;0,OR(AH!$I$5="All",AH!$I$5="A/H only",AH!$I$5=C332)),1,0)</f>
        <v/>
      </c>
      <c r="AX332">
        <f>IF(AW332=1,COUNTIF($AW$5:AW332,1),"")</f>
        <v/>
      </c>
      <c r="AY332">
        <f>IF(AH!$M$5="Snapshot",IF(ISNUMBER(G332),G332,"unavailable"),IF(AND(ISNUMBER(K332),N(K332)&gt;0),K332,IF(AH!$M$5="Auto",IF(ISNUMBER(G332),G332,"unavailable"),"unavailable")))</f>
        <v/>
      </c>
      <c r="AZ332">
        <f>IF(AND(AH!$M$5&lt;&gt;"Snapshot",ISNUMBER(K332),N(K332)&gt;0),"Bloomberg",IF(AND(AH!$M$5&lt;&gt;"Bloomberg",ISNUMBER(G332)),"Snapshot","Unavailable"))</f>
        <v/>
      </c>
      <c r="BA332">
        <f>IF(AZ332="Bloomberg",M332,H332)</f>
        <v/>
      </c>
      <c r="BB332">
        <f>1</f>
        <v/>
      </c>
    </row>
    <row r="333">
      <c r="A333" s="31" t="inlineStr">
        <is>
          <t>6181</t>
        </is>
      </c>
      <c r="B333" s="15" t="inlineStr">
        <is>
          <t>LAOPU GOLD</t>
        </is>
      </c>
      <c r="C333" s="15" t="inlineStr">
        <is>
          <t>Consumer</t>
        </is>
      </c>
      <c r="D333" s="15" t="inlineStr">
        <is>
          <t>Apparel / luxury</t>
        </is>
      </c>
      <c r="E333" s="34" t="n">
        <v>45471</v>
      </c>
      <c r="F333" s="15" t="n">
        <v>40.5</v>
      </c>
      <c r="G333" s="15" t="n">
        <v>327.2</v>
      </c>
      <c r="H333" s="34" t="n">
        <v>46297</v>
      </c>
      <c r="I333" s="31" t="n"/>
      <c r="J333" s="15" t="n">
        <v>0</v>
      </c>
      <c r="K333" s="15">
        <f>IF(AND(AH!$M$5="Snapshot",'IPO Live'!$M$5="Snapshot"),"",IFERROR(BDP(TEXT(VALUE($A333),"0")&amp;" HK Equity","PX_LAST"),""))</f>
        <v/>
      </c>
      <c r="L333" s="15">
        <f>IF(AND(AH!$M$5="Snapshot",'IPO Live'!$M$5="Snapshot"),"",IFERROR(BDP(TEXT(VALUE($A333),"0")&amp;" HK Equity","CHG_PCT_1D")/100,""))</f>
        <v/>
      </c>
      <c r="M333" s="15">
        <f>IF(AND(AH!$M$5="Snapshot",'IPO Live'!$M$5="Snapshot"),"",IFERROR(BDP(TEXT(VALUE($A333),"0")&amp;" HK Equity","LAST_UPDATE_DT"),""))</f>
        <v/>
      </c>
      <c r="N333" s="15">
        <f>IF(AND(AH!$M$5="Snapshot",'IPO Live'!$M$5="Snapshot"),"",IFERROR(BDP(TEXT(VALUE($A333),"0")&amp;" HK Equity","LAST_UPDATE"),""))</f>
        <v/>
      </c>
      <c r="O333" s="15">
        <f>IF('IPO Live'!$M$5="Snapshot",IF(ISNUMBER(G333),G333,"unavailable"),IF(AND(ISNUMBER(K333),N(K333)&gt;0),K333,IF('IPO Live'!$M$5="Auto",IF(ISNUMBER(G333),G333,"unavailable"),"unavailable")))</f>
        <v/>
      </c>
      <c r="P333" s="15">
        <f>IF(AND('IPO Live'!$M$5&lt;&gt;"Snapshot",ISNUMBER(K333),N(K333)&gt;0),"Bloomberg",IF(AND('IPO Live'!$M$5&lt;&gt;"Bloomberg",ISNUMBER(G333)),"Snapshot","Unavailable"))</f>
        <v/>
      </c>
      <c r="Q333" s="33">
        <f>IF(AND(P333="Bloomberg",ISNUMBER(L333)),L333,"unavailable")</f>
        <v/>
      </c>
      <c r="R333" s="15">
        <f>IF(OR('IPO Live'!$B$5="All",'IPO Live'!$B$5=C333,AND('IPO Live'!$B$5="A/H only",J333&gt;0)),1,0)</f>
        <v/>
      </c>
      <c r="S333" s="15">
        <f>IF(R333=1,COUNTIF($R$5:R333,1),"")</f>
        <v/>
      </c>
      <c r="T333">
        <f>1</f>
        <v/>
      </c>
      <c r="U333">
        <f>IF($P333="Bloomberg",$M333,$H333)</f>
        <v/>
      </c>
      <c r="AW333">
        <f>IF(AND(J333&gt;0,OR(AH!$I$5="All",AH!$I$5="A/H only",AH!$I$5=C333)),1,0)</f>
        <v/>
      </c>
      <c r="AX333">
        <f>IF(AW333=1,COUNTIF($AW$5:AW333,1),"")</f>
        <v/>
      </c>
      <c r="AY333">
        <f>IF(AH!$M$5="Snapshot",IF(ISNUMBER(G333),G333,"unavailable"),IF(AND(ISNUMBER(K333),N(K333)&gt;0),K333,IF(AH!$M$5="Auto",IF(ISNUMBER(G333),G333,"unavailable"),"unavailable")))</f>
        <v/>
      </c>
      <c r="AZ333">
        <f>IF(AND(AH!$M$5&lt;&gt;"Snapshot",ISNUMBER(K333),N(K333)&gt;0),"Bloomberg",IF(AND(AH!$M$5&lt;&gt;"Bloomberg",ISNUMBER(G333)),"Snapshot","Unavailable"))</f>
        <v/>
      </c>
      <c r="BA333">
        <f>IF(AZ333="Bloomberg",M333,H333)</f>
        <v/>
      </c>
      <c r="BB333">
        <f>1</f>
        <v/>
      </c>
    </row>
    <row r="334">
      <c r="A334" s="31" t="inlineStr">
        <is>
          <t>2443</t>
        </is>
      </c>
      <c r="B334" s="15" t="inlineStr">
        <is>
          <t>AUTOSTREETS</t>
        </is>
      </c>
      <c r="C334" s="15" t="inlineStr">
        <is>
          <t>Consumer</t>
        </is>
      </c>
      <c r="D334" s="15" t="inlineStr">
        <is>
          <t>Retail / distribution</t>
        </is>
      </c>
      <c r="E334" s="34" t="n">
        <v>45443</v>
      </c>
      <c r="F334" s="15" t="n">
        <v>10.2</v>
      </c>
      <c r="G334" s="15" t="n">
        <v>0.995</v>
      </c>
      <c r="H334" s="34" t="n">
        <v>46297</v>
      </c>
      <c r="I334" s="31" t="n"/>
      <c r="J334" s="15" t="n">
        <v>0</v>
      </c>
      <c r="K334" s="15">
        <f>IF(AND(AH!$M$5="Snapshot",'IPO Live'!$M$5="Snapshot"),"",IFERROR(BDP(TEXT(VALUE($A334),"0")&amp;" HK Equity","PX_LAST"),""))</f>
        <v/>
      </c>
      <c r="L334" s="15">
        <f>IF(AND(AH!$M$5="Snapshot",'IPO Live'!$M$5="Snapshot"),"",IFERROR(BDP(TEXT(VALUE($A334),"0")&amp;" HK Equity","CHG_PCT_1D")/100,""))</f>
        <v/>
      </c>
      <c r="M334" s="15">
        <f>IF(AND(AH!$M$5="Snapshot",'IPO Live'!$M$5="Snapshot"),"",IFERROR(BDP(TEXT(VALUE($A334),"0")&amp;" HK Equity","LAST_UPDATE_DT"),""))</f>
        <v/>
      </c>
      <c r="N334" s="15">
        <f>IF(AND(AH!$M$5="Snapshot",'IPO Live'!$M$5="Snapshot"),"",IFERROR(BDP(TEXT(VALUE($A334),"0")&amp;" HK Equity","LAST_UPDATE"),""))</f>
        <v/>
      </c>
      <c r="O334" s="15">
        <f>IF('IPO Live'!$M$5="Snapshot",IF(ISNUMBER(G334),G334,"unavailable"),IF(AND(ISNUMBER(K334),N(K334)&gt;0),K334,IF('IPO Live'!$M$5="Auto",IF(ISNUMBER(G334),G334,"unavailable"),"unavailable")))</f>
        <v/>
      </c>
      <c r="P334" s="15">
        <f>IF(AND('IPO Live'!$M$5&lt;&gt;"Snapshot",ISNUMBER(K334),N(K334)&gt;0),"Bloomberg",IF(AND('IPO Live'!$M$5&lt;&gt;"Bloomberg",ISNUMBER(G334)),"Snapshot","Unavailable"))</f>
        <v/>
      </c>
      <c r="Q334" s="33">
        <f>IF(AND(P334="Bloomberg",ISNUMBER(L334)),L334,"unavailable")</f>
        <v/>
      </c>
      <c r="R334" s="15">
        <f>IF(OR('IPO Live'!$B$5="All",'IPO Live'!$B$5=C334,AND('IPO Live'!$B$5="A/H only",J334&gt;0)),1,0)</f>
        <v/>
      </c>
      <c r="S334" s="15">
        <f>IF(R334=1,COUNTIF($R$5:R334,1),"")</f>
        <v/>
      </c>
      <c r="T334">
        <f>1</f>
        <v/>
      </c>
      <c r="U334">
        <f>IF($P334="Bloomberg",$M334,$H334)</f>
        <v/>
      </c>
      <c r="AW334">
        <f>IF(AND(J334&gt;0,OR(AH!$I$5="All",AH!$I$5="A/H only",AH!$I$5=C334)),1,0)</f>
        <v/>
      </c>
      <c r="AX334">
        <f>IF(AW334=1,COUNTIF($AW$5:AW334,1),"")</f>
        <v/>
      </c>
      <c r="AY334">
        <f>IF(AH!$M$5="Snapshot",IF(ISNUMBER(G334),G334,"unavailable"),IF(AND(ISNUMBER(K334),N(K334)&gt;0),K334,IF(AH!$M$5="Auto",IF(ISNUMBER(G334),G334,"unavailable"),"unavailable")))</f>
        <v/>
      </c>
      <c r="AZ334">
        <f>IF(AND(AH!$M$5&lt;&gt;"Snapshot",ISNUMBER(K334),N(K334)&gt;0),"Bloomberg",IF(AND(AH!$M$5&lt;&gt;"Bloomberg",ISNUMBER(G334)),"Snapshot","Unavailable"))</f>
        <v/>
      </c>
      <c r="BA334">
        <f>IF(AZ334="Bloomberg",M334,H334)</f>
        <v/>
      </c>
      <c r="BB334">
        <f>1</f>
        <v/>
      </c>
    </row>
    <row r="335">
      <c r="A335" s="31" t="inlineStr">
        <is>
          <t>2555</t>
        </is>
      </c>
      <c r="B335" s="15" t="inlineStr">
        <is>
          <t>CHABAIDAO</t>
        </is>
      </c>
      <c r="C335" s="15" t="inlineStr">
        <is>
          <t>Consumer</t>
        </is>
      </c>
      <c r="D335" s="15" t="inlineStr">
        <is>
          <t>F&amp;B chains / restaurants</t>
        </is>
      </c>
      <c r="E335" s="34" t="n">
        <v>45405</v>
      </c>
      <c r="F335" s="15" t="n">
        <v>17.5</v>
      </c>
      <c r="G335" s="15" t="n">
        <v>4.1</v>
      </c>
      <c r="H335" s="34" t="n">
        <v>46297</v>
      </c>
      <c r="I335" s="31" t="n"/>
      <c r="J335" s="15" t="n">
        <v>0</v>
      </c>
      <c r="K335" s="15">
        <f>IF(AND(AH!$M$5="Snapshot",'IPO Live'!$M$5="Snapshot"),"",IFERROR(BDP(TEXT(VALUE($A335),"0")&amp;" HK Equity","PX_LAST"),""))</f>
        <v/>
      </c>
      <c r="L335" s="15">
        <f>IF(AND(AH!$M$5="Snapshot",'IPO Live'!$M$5="Snapshot"),"",IFERROR(BDP(TEXT(VALUE($A335),"0")&amp;" HK Equity","CHG_PCT_1D")/100,""))</f>
        <v/>
      </c>
      <c r="M335" s="15">
        <f>IF(AND(AH!$M$5="Snapshot",'IPO Live'!$M$5="Snapshot"),"",IFERROR(BDP(TEXT(VALUE($A335),"0")&amp;" HK Equity","LAST_UPDATE_DT"),""))</f>
        <v/>
      </c>
      <c r="N335" s="15">
        <f>IF(AND(AH!$M$5="Snapshot",'IPO Live'!$M$5="Snapshot"),"",IFERROR(BDP(TEXT(VALUE($A335),"0")&amp;" HK Equity","LAST_UPDATE"),""))</f>
        <v/>
      </c>
      <c r="O335" s="15">
        <f>IF('IPO Live'!$M$5="Snapshot",IF(ISNUMBER(G335),G335,"unavailable"),IF(AND(ISNUMBER(K335),N(K335)&gt;0),K335,IF('IPO Live'!$M$5="Auto",IF(ISNUMBER(G335),G335,"unavailable"),"unavailable")))</f>
        <v/>
      </c>
      <c r="P335" s="15">
        <f>IF(AND('IPO Live'!$M$5&lt;&gt;"Snapshot",ISNUMBER(K335),N(K335)&gt;0),"Bloomberg",IF(AND('IPO Live'!$M$5&lt;&gt;"Bloomberg",ISNUMBER(G335)),"Snapshot","Unavailable"))</f>
        <v/>
      </c>
      <c r="Q335" s="33">
        <f>IF(AND(P335="Bloomberg",ISNUMBER(L335)),L335,"unavailable")</f>
        <v/>
      </c>
      <c r="R335" s="15">
        <f>IF(OR('IPO Live'!$B$5="All",'IPO Live'!$B$5=C335,AND('IPO Live'!$B$5="A/H only",J335&gt;0)),1,0)</f>
        <v/>
      </c>
      <c r="S335" s="15">
        <f>IF(R335=1,COUNTIF($R$5:R335,1),"")</f>
        <v/>
      </c>
      <c r="T335">
        <f>1</f>
        <v/>
      </c>
      <c r="U335">
        <f>IF($P335="Bloomberg",$M335,$H335)</f>
        <v/>
      </c>
      <c r="AW335">
        <f>IF(AND(J335&gt;0,OR(AH!$I$5="All",AH!$I$5="A/H only",AH!$I$5=C335)),1,0)</f>
        <v/>
      </c>
      <c r="AX335">
        <f>IF(AW335=1,COUNTIF($AW$5:AW335,1),"")</f>
        <v/>
      </c>
      <c r="AY335">
        <f>IF(AH!$M$5="Snapshot",IF(ISNUMBER(G335),G335,"unavailable"),IF(AND(ISNUMBER(K335),N(K335)&gt;0),K335,IF(AH!$M$5="Auto",IF(ISNUMBER(G335),G335,"unavailable"),"unavailable")))</f>
        <v/>
      </c>
      <c r="AZ335">
        <f>IF(AND(AH!$M$5&lt;&gt;"Snapshot",ISNUMBER(K335),N(K335)&gt;0),"Bloomberg",IF(AND(AH!$M$5&lt;&gt;"Bloomberg",ISNUMBER(G335)),"Snapshot","Unavailable"))</f>
        <v/>
      </c>
      <c r="BA335">
        <f>IF(AZ335="Bloomberg",M335,H335)</f>
        <v/>
      </c>
      <c r="BB335">
        <f>1</f>
        <v/>
      </c>
    </row>
    <row r="336">
      <c r="A336" s="31" t="inlineStr">
        <is>
          <t>2497</t>
        </is>
      </c>
      <c r="B336" s="15" t="inlineStr">
        <is>
          <t>FUJING HOLDINGS</t>
        </is>
      </c>
      <c r="C336" s="15" t="inlineStr">
        <is>
          <t>Consumer</t>
        </is>
      </c>
      <c r="D336" s="15" t="inlineStr">
        <is>
          <t>Beverages / packaged food</t>
        </is>
      </c>
      <c r="E336" s="34" t="n">
        <v>45379</v>
      </c>
      <c r="F336" s="15" t="n">
        <v>1.08</v>
      </c>
      <c r="G336" s="15" t="n">
        <v>0.525</v>
      </c>
      <c r="H336" s="34" t="n">
        <v>46297</v>
      </c>
      <c r="I336" s="31" t="n"/>
      <c r="J336" s="15" t="n">
        <v>0</v>
      </c>
      <c r="K336" s="15">
        <f>IF(AND(AH!$M$5="Snapshot",'IPO Live'!$M$5="Snapshot"),"",IFERROR(BDP(TEXT(VALUE($A336),"0")&amp;" HK Equity","PX_LAST"),""))</f>
        <v/>
      </c>
      <c r="L336" s="15">
        <f>IF(AND(AH!$M$5="Snapshot",'IPO Live'!$M$5="Snapshot"),"",IFERROR(BDP(TEXT(VALUE($A336),"0")&amp;" HK Equity","CHG_PCT_1D")/100,""))</f>
        <v/>
      </c>
      <c r="M336" s="15">
        <f>IF(AND(AH!$M$5="Snapshot",'IPO Live'!$M$5="Snapshot"),"",IFERROR(BDP(TEXT(VALUE($A336),"0")&amp;" HK Equity","LAST_UPDATE_DT"),""))</f>
        <v/>
      </c>
      <c r="N336" s="15">
        <f>IF(AND(AH!$M$5="Snapshot",'IPO Live'!$M$5="Snapshot"),"",IFERROR(BDP(TEXT(VALUE($A336),"0")&amp;" HK Equity","LAST_UPDATE"),""))</f>
        <v/>
      </c>
      <c r="O336" s="15">
        <f>IF('IPO Live'!$M$5="Snapshot",IF(ISNUMBER(G336),G336,"unavailable"),IF(AND(ISNUMBER(K336),N(K336)&gt;0),K336,IF('IPO Live'!$M$5="Auto",IF(ISNUMBER(G336),G336,"unavailable"),"unavailable")))</f>
        <v/>
      </c>
      <c r="P336" s="15">
        <f>IF(AND('IPO Live'!$M$5&lt;&gt;"Snapshot",ISNUMBER(K336),N(K336)&gt;0),"Bloomberg",IF(AND('IPO Live'!$M$5&lt;&gt;"Bloomberg",ISNUMBER(G336)),"Snapshot","Unavailable"))</f>
        <v/>
      </c>
      <c r="Q336" s="33">
        <f>IF(AND(P336="Bloomberg",ISNUMBER(L336)),L336,"unavailable")</f>
        <v/>
      </c>
      <c r="R336" s="15">
        <f>IF(OR('IPO Live'!$B$5="All",'IPO Live'!$B$5=C336,AND('IPO Live'!$B$5="A/H only",J336&gt;0)),1,0)</f>
        <v/>
      </c>
      <c r="S336" s="15">
        <f>IF(R336=1,COUNTIF($R$5:R336,1),"")</f>
        <v/>
      </c>
      <c r="T336">
        <f>1</f>
        <v/>
      </c>
      <c r="U336">
        <f>IF($P336="Bloomberg",$M336,$H336)</f>
        <v/>
      </c>
      <c r="AW336">
        <f>IF(AND(J336&gt;0,OR(AH!$I$5="All",AH!$I$5="A/H only",AH!$I$5=C336)),1,0)</f>
        <v/>
      </c>
      <c r="AX336">
        <f>IF(AW336=1,COUNTIF($AW$5:AW336,1),"")</f>
        <v/>
      </c>
      <c r="AY336">
        <f>IF(AH!$M$5="Snapshot",IF(ISNUMBER(G336),G336,"unavailable"),IF(AND(ISNUMBER(K336),N(K336)&gt;0),K336,IF(AH!$M$5="Auto",IF(ISNUMBER(G336),G336,"unavailable"),"unavailable")))</f>
        <v/>
      </c>
      <c r="AZ336">
        <f>IF(AND(AH!$M$5&lt;&gt;"Snapshot",ISNUMBER(K336),N(K336)&gt;0),"Bloomberg",IF(AND(AH!$M$5&lt;&gt;"Bloomberg",ISNUMBER(G336)),"Snapshot","Unavailable"))</f>
        <v/>
      </c>
      <c r="BA336">
        <f>IF(AZ336="Bloomberg",M336,H336)</f>
        <v/>
      </c>
      <c r="BB336">
        <f>1</f>
        <v/>
      </c>
    </row>
    <row r="337">
      <c r="A337" s="31" t="inlineStr">
        <is>
          <t>2536</t>
        </is>
      </c>
      <c r="B337" s="15" t="inlineStr">
        <is>
          <t>PALASINO</t>
        </is>
      </c>
      <c r="C337" s="15" t="inlineStr">
        <is>
          <t>Consumer</t>
        </is>
      </c>
      <c r="D337" s="15" t="inlineStr">
        <is>
          <t>Consumer services / education</t>
        </is>
      </c>
      <c r="E337" s="34" t="n">
        <v>45377</v>
      </c>
      <c r="F337" s="15" t="n">
        <v>2.6</v>
      </c>
      <c r="G337" s="15" t="n">
        <v>0.64</v>
      </c>
      <c r="H337" s="34" t="n">
        <v>46297</v>
      </c>
      <c r="I337" s="31" t="n"/>
      <c r="J337" s="15" t="n">
        <v>0</v>
      </c>
      <c r="K337" s="15">
        <f>IF(AND(AH!$M$5="Snapshot",'IPO Live'!$M$5="Snapshot"),"",IFERROR(BDP(TEXT(VALUE($A337),"0")&amp;" HK Equity","PX_LAST"),""))</f>
        <v/>
      </c>
      <c r="L337" s="15">
        <f>IF(AND(AH!$M$5="Snapshot",'IPO Live'!$M$5="Snapshot"),"",IFERROR(BDP(TEXT(VALUE($A337),"0")&amp;" HK Equity","CHG_PCT_1D")/100,""))</f>
        <v/>
      </c>
      <c r="M337" s="15">
        <f>IF(AND(AH!$M$5="Snapshot",'IPO Live'!$M$5="Snapshot"),"",IFERROR(BDP(TEXT(VALUE($A337),"0")&amp;" HK Equity","LAST_UPDATE_DT"),""))</f>
        <v/>
      </c>
      <c r="N337" s="15">
        <f>IF(AND(AH!$M$5="Snapshot",'IPO Live'!$M$5="Snapshot"),"",IFERROR(BDP(TEXT(VALUE($A337),"0")&amp;" HK Equity","LAST_UPDATE"),""))</f>
        <v/>
      </c>
      <c r="O337" s="15">
        <f>IF('IPO Live'!$M$5="Snapshot",IF(ISNUMBER(G337),G337,"unavailable"),IF(AND(ISNUMBER(K337),N(K337)&gt;0),K337,IF('IPO Live'!$M$5="Auto",IF(ISNUMBER(G337),G337,"unavailable"),"unavailable")))</f>
        <v/>
      </c>
      <c r="P337" s="15">
        <f>IF(AND('IPO Live'!$M$5&lt;&gt;"Snapshot",ISNUMBER(K337),N(K337)&gt;0),"Bloomberg",IF(AND('IPO Live'!$M$5&lt;&gt;"Bloomberg",ISNUMBER(G337)),"Snapshot","Unavailable"))</f>
        <v/>
      </c>
      <c r="Q337" s="33">
        <f>IF(AND(P337="Bloomberg",ISNUMBER(L337)),L337,"unavailable")</f>
        <v/>
      </c>
      <c r="R337" s="15">
        <f>IF(OR('IPO Live'!$B$5="All",'IPO Live'!$B$5=C337,AND('IPO Live'!$B$5="A/H only",J337&gt;0)),1,0)</f>
        <v/>
      </c>
      <c r="S337" s="15">
        <f>IF(R337=1,COUNTIF($R$5:R337,1),"")</f>
        <v/>
      </c>
      <c r="T337">
        <f>1</f>
        <v/>
      </c>
      <c r="U337">
        <f>IF($P337="Bloomberg",$M337,$H337)</f>
        <v/>
      </c>
      <c r="AW337">
        <f>IF(AND(J337&gt;0,OR(AH!$I$5="All",AH!$I$5="A/H only",AH!$I$5=C337)),1,0)</f>
        <v/>
      </c>
      <c r="AX337">
        <f>IF(AW337=1,COUNTIF($AW$5:AW337,1),"")</f>
        <v/>
      </c>
      <c r="AY337">
        <f>IF(AH!$M$5="Snapshot",IF(ISNUMBER(G337),G337,"unavailable"),IF(AND(ISNUMBER(K337),N(K337)&gt;0),K337,IF(AH!$M$5="Auto",IF(ISNUMBER(G337),G337,"unavailable"),"unavailable")))</f>
        <v/>
      </c>
      <c r="AZ337">
        <f>IF(AND(AH!$M$5&lt;&gt;"Snapshot",ISNUMBER(K337),N(K337)&gt;0),"Bloomberg",IF(AND(AH!$M$5&lt;&gt;"Bloomberg",ISNUMBER(G337)),"Snapshot","Unavailable"))</f>
        <v/>
      </c>
      <c r="BA337">
        <f>IF(AZ337="Bloomberg",M337,H337)</f>
        <v/>
      </c>
      <c r="BB337">
        <f>1</f>
        <v/>
      </c>
    </row>
    <row r="338">
      <c r="A338" s="31" t="inlineStr">
        <is>
          <t>6911</t>
        </is>
      </c>
      <c r="B338" s="15" t="inlineStr">
        <is>
          <t>LANCANG TEA</t>
        </is>
      </c>
      <c r="C338" s="15" t="inlineStr">
        <is>
          <t>Consumer</t>
        </is>
      </c>
      <c r="D338" s="15" t="inlineStr">
        <is>
          <t>Beverages / packaged food</t>
        </is>
      </c>
      <c r="E338" s="34" t="n">
        <v>45282</v>
      </c>
      <c r="F338" s="15" t="n">
        <v>10.7</v>
      </c>
      <c r="G338" s="15" t="n">
        <v>3.45</v>
      </c>
      <c r="H338" s="34" t="n">
        <v>46297</v>
      </c>
      <c r="I338" s="31" t="n"/>
      <c r="J338" s="15" t="n">
        <v>0</v>
      </c>
      <c r="K338" s="15">
        <f>IF(AND(AH!$M$5="Snapshot",'IPO Live'!$M$5="Snapshot"),"",IFERROR(BDP(TEXT(VALUE($A338),"0")&amp;" HK Equity","PX_LAST"),""))</f>
        <v/>
      </c>
      <c r="L338" s="15">
        <f>IF(AND(AH!$M$5="Snapshot",'IPO Live'!$M$5="Snapshot"),"",IFERROR(BDP(TEXT(VALUE($A338),"0")&amp;" HK Equity","CHG_PCT_1D")/100,""))</f>
        <v/>
      </c>
      <c r="M338" s="15">
        <f>IF(AND(AH!$M$5="Snapshot",'IPO Live'!$M$5="Snapshot"),"",IFERROR(BDP(TEXT(VALUE($A338),"0")&amp;" HK Equity","LAST_UPDATE_DT"),""))</f>
        <v/>
      </c>
      <c r="N338" s="15">
        <f>IF(AND(AH!$M$5="Snapshot",'IPO Live'!$M$5="Snapshot"),"",IFERROR(BDP(TEXT(VALUE($A338),"0")&amp;" HK Equity","LAST_UPDATE"),""))</f>
        <v/>
      </c>
      <c r="O338" s="15">
        <f>IF('IPO Live'!$M$5="Snapshot",IF(ISNUMBER(G338),G338,"unavailable"),IF(AND(ISNUMBER(K338),N(K338)&gt;0),K338,IF('IPO Live'!$M$5="Auto",IF(ISNUMBER(G338),G338,"unavailable"),"unavailable")))</f>
        <v/>
      </c>
      <c r="P338" s="15">
        <f>IF(AND('IPO Live'!$M$5&lt;&gt;"Snapshot",ISNUMBER(K338),N(K338)&gt;0),"Bloomberg",IF(AND('IPO Live'!$M$5&lt;&gt;"Bloomberg",ISNUMBER(G338)),"Snapshot","Unavailable"))</f>
        <v/>
      </c>
      <c r="Q338" s="33">
        <f>IF(AND(P338="Bloomberg",ISNUMBER(L338)),L338,"unavailable")</f>
        <v/>
      </c>
      <c r="R338" s="15">
        <f>IF(OR('IPO Live'!$B$5="All",'IPO Live'!$B$5=C338,AND('IPO Live'!$B$5="A/H only",J338&gt;0)),1,0)</f>
        <v/>
      </c>
      <c r="S338" s="15">
        <f>IF(R338=1,COUNTIF($R$5:R338,1),"")</f>
        <v/>
      </c>
      <c r="T338">
        <f>IF(ISNUMBER($U338),IF($U338&gt;=DATEVALUE("2024-06-11"),1.5,1),"unavailable")</f>
        <v/>
      </c>
      <c r="U338">
        <f>IF($P338="Bloomberg",$M338,$H338)</f>
        <v/>
      </c>
      <c r="AW338">
        <f>IF(AND(J338&gt;0,OR(AH!$I$5="All",AH!$I$5="A/H only",AH!$I$5=C338)),1,0)</f>
        <v/>
      </c>
      <c r="AX338">
        <f>IF(AW338=1,COUNTIF($AW$5:AW338,1),"")</f>
        <v/>
      </c>
      <c r="AY338">
        <f>IF(AH!$M$5="Snapshot",IF(ISNUMBER(G338),G338,"unavailable"),IF(AND(ISNUMBER(K338),N(K338)&gt;0),K338,IF(AH!$M$5="Auto",IF(ISNUMBER(G338),G338,"unavailable"),"unavailable")))</f>
        <v/>
      </c>
      <c r="AZ338">
        <f>IF(AND(AH!$M$5&lt;&gt;"Snapshot",ISNUMBER(K338),N(K338)&gt;0),"Bloomberg",IF(AND(AH!$M$5&lt;&gt;"Bloomberg",ISNUMBER(G338)),"Snapshot","Unavailable"))</f>
        <v/>
      </c>
      <c r="BA338">
        <f>IF(AZ338="Bloomberg",M338,H338)</f>
        <v/>
      </c>
      <c r="BB338">
        <f>IF(ISNUMBER($BA338),IF($BA338&gt;=DATEVALUE("2024-06-11"),1.5,1),"unavailable")</f>
        <v/>
      </c>
    </row>
    <row r="339">
      <c r="A339" s="31" t="inlineStr">
        <is>
          <t>1497</t>
        </is>
      </c>
      <c r="B339" s="15" t="inlineStr">
        <is>
          <t>YAN PALACE</t>
        </is>
      </c>
      <c r="C339" s="15" t="inlineStr">
        <is>
          <t>Consumer</t>
        </is>
      </c>
      <c r="D339" s="15" t="inlineStr">
        <is>
          <t>Beverages / packaged food</t>
        </is>
      </c>
      <c r="E339" s="34" t="n">
        <v>45272</v>
      </c>
      <c r="F339" s="15" t="n">
        <v>9.699999999999999</v>
      </c>
      <c r="G339" s="15" t="n">
        <v>6.35</v>
      </c>
      <c r="H339" s="34" t="n">
        <v>46297</v>
      </c>
      <c r="I339" s="31" t="n"/>
      <c r="J339" s="15" t="n">
        <v>0</v>
      </c>
      <c r="K339" s="15">
        <f>IF(AND(AH!$M$5="Snapshot",'IPO Live'!$M$5="Snapshot"),"",IFERROR(BDP(TEXT(VALUE($A339),"0")&amp;" HK Equity","PX_LAST"),""))</f>
        <v/>
      </c>
      <c r="L339" s="15">
        <f>IF(AND(AH!$M$5="Snapshot",'IPO Live'!$M$5="Snapshot"),"",IFERROR(BDP(TEXT(VALUE($A339),"0")&amp;" HK Equity","CHG_PCT_1D")/100,""))</f>
        <v/>
      </c>
      <c r="M339" s="15">
        <f>IF(AND(AH!$M$5="Snapshot",'IPO Live'!$M$5="Snapshot"),"",IFERROR(BDP(TEXT(VALUE($A339),"0")&amp;" HK Equity","LAST_UPDATE_DT"),""))</f>
        <v/>
      </c>
      <c r="N339" s="15">
        <f>IF(AND(AH!$M$5="Snapshot",'IPO Live'!$M$5="Snapshot"),"",IFERROR(BDP(TEXT(VALUE($A339),"0")&amp;" HK Equity","LAST_UPDATE"),""))</f>
        <v/>
      </c>
      <c r="O339" s="15">
        <f>IF('IPO Live'!$M$5="Snapshot",IF(ISNUMBER(G339),G339,"unavailable"),IF(AND(ISNUMBER(K339),N(K339)&gt;0),K339,IF('IPO Live'!$M$5="Auto",IF(ISNUMBER(G339),G339,"unavailable"),"unavailable")))</f>
        <v/>
      </c>
      <c r="P339" s="15">
        <f>IF(AND('IPO Live'!$M$5&lt;&gt;"Snapshot",ISNUMBER(K339),N(K339)&gt;0),"Bloomberg",IF(AND('IPO Live'!$M$5&lt;&gt;"Bloomberg",ISNUMBER(G339)),"Snapshot","Unavailable"))</f>
        <v/>
      </c>
      <c r="Q339" s="33">
        <f>IF(AND(P339="Bloomberg",ISNUMBER(L339)),L339,"unavailable")</f>
        <v/>
      </c>
      <c r="R339" s="15">
        <f>IF(OR('IPO Live'!$B$5="All",'IPO Live'!$B$5=C339,AND('IPO Live'!$B$5="A/H only",J339&gt;0)),1,0)</f>
        <v/>
      </c>
      <c r="S339" s="15">
        <f>IF(R339=1,COUNTIF($R$5:R339,1),"")</f>
        <v/>
      </c>
      <c r="T339">
        <f>1</f>
        <v/>
      </c>
      <c r="U339">
        <f>IF($P339="Bloomberg",$M339,$H339)</f>
        <v/>
      </c>
      <c r="AW339">
        <f>IF(AND(J339&gt;0,OR(AH!$I$5="All",AH!$I$5="A/H only",AH!$I$5=C339)),1,0)</f>
        <v/>
      </c>
      <c r="AX339">
        <f>IF(AW339=1,COUNTIF($AW$5:AW339,1),"")</f>
        <v/>
      </c>
      <c r="AY339">
        <f>IF(AH!$M$5="Snapshot",IF(ISNUMBER(G339),G339,"unavailable"),IF(AND(ISNUMBER(K339),N(K339)&gt;0),K339,IF(AH!$M$5="Auto",IF(ISNUMBER(G339),G339,"unavailable"),"unavailable")))</f>
        <v/>
      </c>
      <c r="AZ339">
        <f>IF(AND(AH!$M$5&lt;&gt;"Snapshot",ISNUMBER(K339),N(K339)&gt;0),"Bloomberg",IF(AND(AH!$M$5&lt;&gt;"Bloomberg",ISNUMBER(G339)),"Snapshot","Unavailable"))</f>
        <v/>
      </c>
      <c r="BA339">
        <f>IF(AZ339="Bloomberg",M339,H339)</f>
        <v/>
      </c>
      <c r="BB339">
        <f>1</f>
        <v/>
      </c>
    </row>
    <row r="340">
      <c r="A340" s="31" t="inlineStr">
        <is>
          <t>2419</t>
        </is>
      </c>
      <c r="B340" s="15" t="inlineStr">
        <is>
          <t>DEKON AGR</t>
        </is>
      </c>
      <c r="C340" s="15" t="inlineStr">
        <is>
          <t>Consumer</t>
        </is>
      </c>
      <c r="D340" s="15" t="inlineStr">
        <is>
          <t>Beverages / packaged food</t>
        </is>
      </c>
      <c r="E340" s="34" t="n">
        <v>45266</v>
      </c>
      <c r="F340" s="15" t="n">
        <v>36.95</v>
      </c>
      <c r="G340" s="15" t="n">
        <v>56.25</v>
      </c>
      <c r="H340" s="34" t="n">
        <v>46297</v>
      </c>
      <c r="I340" s="31" t="n"/>
      <c r="J340" s="15" t="n">
        <v>0</v>
      </c>
      <c r="K340" s="15">
        <f>IF(AND(AH!$M$5="Snapshot",'IPO Live'!$M$5="Snapshot"),"",IFERROR(BDP(TEXT(VALUE($A340),"0")&amp;" HK Equity","PX_LAST"),""))</f>
        <v/>
      </c>
      <c r="L340" s="15">
        <f>IF(AND(AH!$M$5="Snapshot",'IPO Live'!$M$5="Snapshot"),"",IFERROR(BDP(TEXT(VALUE($A340),"0")&amp;" HK Equity","CHG_PCT_1D")/100,""))</f>
        <v/>
      </c>
      <c r="M340" s="15">
        <f>IF(AND(AH!$M$5="Snapshot",'IPO Live'!$M$5="Snapshot"),"",IFERROR(BDP(TEXT(VALUE($A340),"0")&amp;" HK Equity","LAST_UPDATE_DT"),""))</f>
        <v/>
      </c>
      <c r="N340" s="15">
        <f>IF(AND(AH!$M$5="Snapshot",'IPO Live'!$M$5="Snapshot"),"",IFERROR(BDP(TEXT(VALUE($A340),"0")&amp;" HK Equity","LAST_UPDATE"),""))</f>
        <v/>
      </c>
      <c r="O340" s="15">
        <f>IF('IPO Live'!$M$5="Snapshot",IF(ISNUMBER(G340),G340,"unavailable"),IF(AND(ISNUMBER(K340),N(K340)&gt;0),K340,IF('IPO Live'!$M$5="Auto",IF(ISNUMBER(G340),G340,"unavailable"),"unavailable")))</f>
        <v/>
      </c>
      <c r="P340" s="15">
        <f>IF(AND('IPO Live'!$M$5&lt;&gt;"Snapshot",ISNUMBER(K340),N(K340)&gt;0),"Bloomberg",IF(AND('IPO Live'!$M$5&lt;&gt;"Bloomberg",ISNUMBER(G340)),"Snapshot","Unavailable"))</f>
        <v/>
      </c>
      <c r="Q340" s="33">
        <f>IF(AND(P340="Bloomberg",ISNUMBER(L340)),L340,"unavailable")</f>
        <v/>
      </c>
      <c r="R340" s="15">
        <f>IF(OR('IPO Live'!$B$5="All",'IPO Live'!$B$5=C340,AND('IPO Live'!$B$5="A/H only",J340&gt;0)),1,0)</f>
        <v/>
      </c>
      <c r="S340" s="15">
        <f>IF(R340=1,COUNTIF($R$5:R340,1),"")</f>
        <v/>
      </c>
      <c r="T340">
        <f>1</f>
        <v/>
      </c>
      <c r="U340">
        <f>IF($P340="Bloomberg",$M340,$H340)</f>
        <v/>
      </c>
      <c r="AW340">
        <f>IF(AND(J340&gt;0,OR(AH!$I$5="All",AH!$I$5="A/H only",AH!$I$5=C340)),1,0)</f>
        <v/>
      </c>
      <c r="AX340">
        <f>IF(AW340=1,COUNTIF($AW$5:AW340,1),"")</f>
        <v/>
      </c>
      <c r="AY340">
        <f>IF(AH!$M$5="Snapshot",IF(ISNUMBER(G340),G340,"unavailable"),IF(AND(ISNUMBER(K340),N(K340)&gt;0),K340,IF(AH!$M$5="Auto",IF(ISNUMBER(G340),G340,"unavailable"),"unavailable")))</f>
        <v/>
      </c>
      <c r="AZ340">
        <f>IF(AND(AH!$M$5&lt;&gt;"Snapshot",ISNUMBER(K340),N(K340)&gt;0),"Bloomberg",IF(AND(AH!$M$5&lt;&gt;"Bloomberg",ISNUMBER(G340)),"Snapshot","Unavailable"))</f>
        <v/>
      </c>
      <c r="BA340">
        <f>IF(AZ340="Bloomberg",M340,H340)</f>
        <v/>
      </c>
      <c r="BB340">
        <f>1</f>
        <v/>
      </c>
    </row>
    <row r="341">
      <c r="A341" s="31" t="inlineStr">
        <is>
          <t>2473</t>
        </is>
      </c>
      <c r="B341" s="15" t="inlineStr">
        <is>
          <t>XXF</t>
        </is>
      </c>
      <c r="C341" s="15" t="inlineStr">
        <is>
          <t>Consumer</t>
        </is>
      </c>
      <c r="D341" s="15" t="inlineStr">
        <is>
          <t>Retail / distribution</t>
        </is>
      </c>
      <c r="E341" s="34" t="n">
        <v>45239</v>
      </c>
      <c r="F341" s="15" t="n">
        <v>1.1</v>
      </c>
      <c r="G341" s="15" t="n">
        <v>1.14</v>
      </c>
      <c r="H341" s="34" t="n">
        <v>46297</v>
      </c>
      <c r="I341" s="31" t="n"/>
      <c r="J341" s="15" t="n">
        <v>0</v>
      </c>
      <c r="K341" s="15">
        <f>IF(AND(AH!$M$5="Snapshot",'IPO Live'!$M$5="Snapshot"),"",IFERROR(BDP(TEXT(VALUE($A341),"0")&amp;" HK Equity","PX_LAST"),""))</f>
        <v/>
      </c>
      <c r="L341" s="15">
        <f>IF(AND(AH!$M$5="Snapshot",'IPO Live'!$M$5="Snapshot"),"",IFERROR(BDP(TEXT(VALUE($A341),"0")&amp;" HK Equity","CHG_PCT_1D")/100,""))</f>
        <v/>
      </c>
      <c r="M341" s="15">
        <f>IF(AND(AH!$M$5="Snapshot",'IPO Live'!$M$5="Snapshot"),"",IFERROR(BDP(TEXT(VALUE($A341),"0")&amp;" HK Equity","LAST_UPDATE_DT"),""))</f>
        <v/>
      </c>
      <c r="N341" s="15">
        <f>IF(AND(AH!$M$5="Snapshot",'IPO Live'!$M$5="Snapshot"),"",IFERROR(BDP(TEXT(VALUE($A341),"0")&amp;" HK Equity","LAST_UPDATE"),""))</f>
        <v/>
      </c>
      <c r="O341" s="15">
        <f>IF('IPO Live'!$M$5="Snapshot",IF(ISNUMBER(G341),G341,"unavailable"),IF(AND(ISNUMBER(K341),N(K341)&gt;0),K341,IF('IPO Live'!$M$5="Auto",IF(ISNUMBER(G341),G341,"unavailable"),"unavailable")))</f>
        <v/>
      </c>
      <c r="P341" s="15">
        <f>IF(AND('IPO Live'!$M$5&lt;&gt;"Snapshot",ISNUMBER(K341),N(K341)&gt;0),"Bloomberg",IF(AND('IPO Live'!$M$5&lt;&gt;"Bloomberg",ISNUMBER(G341)),"Snapshot","Unavailable"))</f>
        <v/>
      </c>
      <c r="Q341" s="33">
        <f>IF(AND(P341="Bloomberg",ISNUMBER(L341)),L341,"unavailable")</f>
        <v/>
      </c>
      <c r="R341" s="15">
        <f>IF(OR('IPO Live'!$B$5="All",'IPO Live'!$B$5=C341,AND('IPO Live'!$B$5="A/H only",J341&gt;0)),1,0)</f>
        <v/>
      </c>
      <c r="S341" s="15">
        <f>IF(R341=1,COUNTIF($R$5:R341,1),"")</f>
        <v/>
      </c>
      <c r="T341">
        <f>IF(ISNUMBER($U341),IF($U341&gt;=DATEVALUE("2024-12-06"),3.0,1),"unavailable")</f>
        <v/>
      </c>
      <c r="U341">
        <f>IF($P341="Bloomberg",$M341,$H341)</f>
        <v/>
      </c>
      <c r="AW341">
        <f>IF(AND(J341&gt;0,OR(AH!$I$5="All",AH!$I$5="A/H only",AH!$I$5=C341)),1,0)</f>
        <v/>
      </c>
      <c r="AX341">
        <f>IF(AW341=1,COUNTIF($AW$5:AW341,1),"")</f>
        <v/>
      </c>
      <c r="AY341">
        <f>IF(AH!$M$5="Snapshot",IF(ISNUMBER(G341),G341,"unavailable"),IF(AND(ISNUMBER(K341),N(K341)&gt;0),K341,IF(AH!$M$5="Auto",IF(ISNUMBER(G341),G341,"unavailable"),"unavailable")))</f>
        <v/>
      </c>
      <c r="AZ341">
        <f>IF(AND(AH!$M$5&lt;&gt;"Snapshot",ISNUMBER(K341),N(K341)&gt;0),"Bloomberg",IF(AND(AH!$M$5&lt;&gt;"Bloomberg",ISNUMBER(G341)),"Snapshot","Unavailable"))</f>
        <v/>
      </c>
      <c r="BA341">
        <f>IF(AZ341="Bloomberg",M341,H341)</f>
        <v/>
      </c>
      <c r="BB341">
        <f>IF(ISNUMBER($BA341),IF($BA341&gt;=DATEVALUE("2024-12-06"),3.0,1),"unavailable")</f>
        <v/>
      </c>
    </row>
    <row r="342">
      <c r="A342" s="31" t="inlineStr">
        <is>
          <t>2429</t>
        </is>
      </c>
      <c r="B342" s="15" t="inlineStr">
        <is>
          <t>UBOX ONLINE</t>
        </is>
      </c>
      <c r="C342" s="15" t="inlineStr">
        <is>
          <t>Consumer</t>
        </is>
      </c>
      <c r="D342" s="15" t="inlineStr">
        <is>
          <t>Retail / distribution</t>
        </is>
      </c>
      <c r="E342" s="34" t="n">
        <v>45233</v>
      </c>
      <c r="F342" s="15" t="n">
        <v>10.35</v>
      </c>
      <c r="G342" s="15" t="n">
        <v>1.745</v>
      </c>
      <c r="H342" s="34" t="n">
        <v>46297</v>
      </c>
      <c r="I342" s="31" t="n"/>
      <c r="J342" s="15" t="n">
        <v>0</v>
      </c>
      <c r="K342" s="15">
        <f>IF(AND(AH!$M$5="Snapshot",'IPO Live'!$M$5="Snapshot"),"",IFERROR(BDP(TEXT(VALUE($A342),"0")&amp;" HK Equity","PX_LAST"),""))</f>
        <v/>
      </c>
      <c r="L342" s="15">
        <f>IF(AND(AH!$M$5="Snapshot",'IPO Live'!$M$5="Snapshot"),"",IFERROR(BDP(TEXT(VALUE($A342),"0")&amp;" HK Equity","CHG_PCT_1D")/100,""))</f>
        <v/>
      </c>
      <c r="M342" s="15">
        <f>IF(AND(AH!$M$5="Snapshot",'IPO Live'!$M$5="Snapshot"),"",IFERROR(BDP(TEXT(VALUE($A342),"0")&amp;" HK Equity","LAST_UPDATE_DT"),""))</f>
        <v/>
      </c>
      <c r="N342" s="15">
        <f>IF(AND(AH!$M$5="Snapshot",'IPO Live'!$M$5="Snapshot"),"",IFERROR(BDP(TEXT(VALUE($A342),"0")&amp;" HK Equity","LAST_UPDATE"),""))</f>
        <v/>
      </c>
      <c r="O342" s="15">
        <f>IF('IPO Live'!$M$5="Snapshot",IF(ISNUMBER(G342),G342,"unavailable"),IF(AND(ISNUMBER(K342),N(K342)&gt;0),K342,IF('IPO Live'!$M$5="Auto",IF(ISNUMBER(G342),G342,"unavailable"),"unavailable")))</f>
        <v/>
      </c>
      <c r="P342" s="15">
        <f>IF(AND('IPO Live'!$M$5&lt;&gt;"Snapshot",ISNUMBER(K342),N(K342)&gt;0),"Bloomberg",IF(AND('IPO Live'!$M$5&lt;&gt;"Bloomberg",ISNUMBER(G342)),"Snapshot","Unavailable"))</f>
        <v/>
      </c>
      <c r="Q342" s="33">
        <f>IF(AND(P342="Bloomberg",ISNUMBER(L342)),L342,"unavailable")</f>
        <v/>
      </c>
      <c r="R342" s="15">
        <f>IF(OR('IPO Live'!$B$5="All",'IPO Live'!$B$5=C342,AND('IPO Live'!$B$5="A/H only",J342&gt;0)),1,0)</f>
        <v/>
      </c>
      <c r="S342" s="15">
        <f>IF(R342=1,COUNTIF($R$5:R342,1),"")</f>
        <v/>
      </c>
      <c r="T342">
        <f>1</f>
        <v/>
      </c>
      <c r="U342">
        <f>IF($P342="Bloomberg",$M342,$H342)</f>
        <v/>
      </c>
      <c r="AW342">
        <f>IF(AND(J342&gt;0,OR(AH!$I$5="All",AH!$I$5="A/H only",AH!$I$5=C342)),1,0)</f>
        <v/>
      </c>
      <c r="AX342">
        <f>IF(AW342=1,COUNTIF($AW$5:AW342,1),"")</f>
        <v/>
      </c>
      <c r="AY342">
        <f>IF(AH!$M$5="Snapshot",IF(ISNUMBER(G342),G342,"unavailable"),IF(AND(ISNUMBER(K342),N(K342)&gt;0),K342,IF(AH!$M$5="Auto",IF(ISNUMBER(G342),G342,"unavailable"),"unavailable")))</f>
        <v/>
      </c>
      <c r="AZ342">
        <f>IF(AND(AH!$M$5&lt;&gt;"Snapshot",ISNUMBER(K342),N(K342)&gt;0),"Bloomberg",IF(AND(AH!$M$5&lt;&gt;"Bloomberg",ISNUMBER(G342)),"Snapshot","Unavailable"))</f>
        <v/>
      </c>
      <c r="BA342">
        <f>IF(AZ342="Bloomberg",M342,H342)</f>
        <v/>
      </c>
      <c r="BB342">
        <f>1</f>
        <v/>
      </c>
    </row>
    <row r="343">
      <c r="A343" s="31" t="inlineStr">
        <is>
          <t>2517</t>
        </is>
      </c>
      <c r="B343" s="15" t="inlineStr">
        <is>
          <t>GUOQUAN</t>
        </is>
      </c>
      <c r="C343" s="15" t="inlineStr">
        <is>
          <t>Consumer</t>
        </is>
      </c>
      <c r="D343" s="15" t="inlineStr">
        <is>
          <t>Retail / distribution</t>
        </is>
      </c>
      <c r="E343" s="34" t="n">
        <v>45232</v>
      </c>
      <c r="F343" s="15" t="n">
        <v>5.98</v>
      </c>
      <c r="G343" s="15" t="n">
        <v>1.38</v>
      </c>
      <c r="H343" s="34" t="n">
        <v>46297</v>
      </c>
      <c r="I343" s="31" t="n"/>
      <c r="J343" s="15" t="n">
        <v>0</v>
      </c>
      <c r="K343" s="15">
        <f>IF(AND(AH!$M$5="Snapshot",'IPO Live'!$M$5="Snapshot"),"",IFERROR(BDP(TEXT(VALUE($A343),"0")&amp;" HK Equity","PX_LAST"),""))</f>
        <v/>
      </c>
      <c r="L343" s="15">
        <f>IF(AND(AH!$M$5="Snapshot",'IPO Live'!$M$5="Snapshot"),"",IFERROR(BDP(TEXT(VALUE($A343),"0")&amp;" HK Equity","CHG_PCT_1D")/100,""))</f>
        <v/>
      </c>
      <c r="M343" s="15">
        <f>IF(AND(AH!$M$5="Snapshot",'IPO Live'!$M$5="Snapshot"),"",IFERROR(BDP(TEXT(VALUE($A343),"0")&amp;" HK Equity","LAST_UPDATE_DT"),""))</f>
        <v/>
      </c>
      <c r="N343" s="15">
        <f>IF(AND(AH!$M$5="Snapshot",'IPO Live'!$M$5="Snapshot"),"",IFERROR(BDP(TEXT(VALUE($A343),"0")&amp;" HK Equity","LAST_UPDATE"),""))</f>
        <v/>
      </c>
      <c r="O343" s="15">
        <f>IF('IPO Live'!$M$5="Snapshot",IF(ISNUMBER(G343),G343,"unavailable"),IF(AND(ISNUMBER(K343),N(K343)&gt;0),K343,IF('IPO Live'!$M$5="Auto",IF(ISNUMBER(G343),G343,"unavailable"),"unavailable")))</f>
        <v/>
      </c>
      <c r="P343" s="15">
        <f>IF(AND('IPO Live'!$M$5&lt;&gt;"Snapshot",ISNUMBER(K343),N(K343)&gt;0),"Bloomberg",IF(AND('IPO Live'!$M$5&lt;&gt;"Bloomberg",ISNUMBER(G343)),"Snapshot","Unavailable"))</f>
        <v/>
      </c>
      <c r="Q343" s="33">
        <f>IF(AND(P343="Bloomberg",ISNUMBER(L343)),L343,"unavailable")</f>
        <v/>
      </c>
      <c r="R343" s="15">
        <f>IF(OR('IPO Live'!$B$5="All",'IPO Live'!$B$5=C343,AND('IPO Live'!$B$5="A/H only",J343&gt;0)),1,0)</f>
        <v/>
      </c>
      <c r="S343" s="15">
        <f>IF(R343=1,COUNTIF($R$5:R343,1),"")</f>
        <v/>
      </c>
      <c r="T343">
        <f>1</f>
        <v/>
      </c>
      <c r="U343">
        <f>IF($P343="Bloomberg",$M343,$H343)</f>
        <v/>
      </c>
      <c r="AW343">
        <f>IF(AND(J343&gt;0,OR(AH!$I$5="All",AH!$I$5="A/H only",AH!$I$5=C343)),1,0)</f>
        <v/>
      </c>
      <c r="AX343">
        <f>IF(AW343=1,COUNTIF($AW$5:AW343,1),"")</f>
        <v/>
      </c>
      <c r="AY343">
        <f>IF(AH!$M$5="Snapshot",IF(ISNUMBER(G343),G343,"unavailable"),IF(AND(ISNUMBER(K343),N(K343)&gt;0),K343,IF(AH!$M$5="Auto",IF(ISNUMBER(G343),G343,"unavailable"),"unavailable")))</f>
        <v/>
      </c>
      <c r="AZ343">
        <f>IF(AND(AH!$M$5&lt;&gt;"Snapshot",ISNUMBER(K343),N(K343)&gt;0),"Bloomberg",IF(AND(AH!$M$5&lt;&gt;"Bloomberg",ISNUMBER(G343)),"Snapshot","Unavailable"))</f>
        <v/>
      </c>
      <c r="BA343">
        <f>IF(AZ343="Bloomberg",M343,H343)</f>
        <v/>
      </c>
      <c r="BB343">
        <f>1</f>
        <v/>
      </c>
    </row>
    <row r="344">
      <c r="A344" s="31" t="inlineStr">
        <is>
          <t>9676</t>
        </is>
      </c>
      <c r="B344" s="15" t="inlineStr">
        <is>
          <t>SHIYUE DAOTIAN</t>
        </is>
      </c>
      <c r="C344" s="15" t="inlineStr">
        <is>
          <t>Consumer</t>
        </is>
      </c>
      <c r="D344" s="15" t="inlineStr">
        <is>
          <t>Beverages / packaged food</t>
        </is>
      </c>
      <c r="E344" s="34" t="n">
        <v>45211</v>
      </c>
      <c r="F344" s="15" t="n">
        <v>15.36</v>
      </c>
      <c r="G344" s="15" t="n">
        <v>4.195</v>
      </c>
      <c r="H344" s="34" t="n">
        <v>46297</v>
      </c>
      <c r="I344" s="31" t="n"/>
      <c r="J344" s="15" t="n">
        <v>0</v>
      </c>
      <c r="K344" s="15">
        <f>IF(AND(AH!$M$5="Snapshot",'IPO Live'!$M$5="Snapshot"),"",IFERROR(BDP(TEXT(VALUE($A344),"0")&amp;" HK Equity","PX_LAST"),""))</f>
        <v/>
      </c>
      <c r="L344" s="15">
        <f>IF(AND(AH!$M$5="Snapshot",'IPO Live'!$M$5="Snapshot"),"",IFERROR(BDP(TEXT(VALUE($A344),"0")&amp;" HK Equity","CHG_PCT_1D")/100,""))</f>
        <v/>
      </c>
      <c r="M344" s="15">
        <f>IF(AND(AH!$M$5="Snapshot",'IPO Live'!$M$5="Snapshot"),"",IFERROR(BDP(TEXT(VALUE($A344),"0")&amp;" HK Equity","LAST_UPDATE_DT"),""))</f>
        <v/>
      </c>
      <c r="N344" s="15">
        <f>IF(AND(AH!$M$5="Snapshot",'IPO Live'!$M$5="Snapshot"),"",IFERROR(BDP(TEXT(VALUE($A344),"0")&amp;" HK Equity","LAST_UPDATE"),""))</f>
        <v/>
      </c>
      <c r="O344" s="15">
        <f>IF('IPO Live'!$M$5="Snapshot",IF(ISNUMBER(G344),G344,"unavailable"),IF(AND(ISNUMBER(K344),N(K344)&gt;0),K344,IF('IPO Live'!$M$5="Auto",IF(ISNUMBER(G344),G344,"unavailable"),"unavailable")))</f>
        <v/>
      </c>
      <c r="P344" s="15">
        <f>IF(AND('IPO Live'!$M$5&lt;&gt;"Snapshot",ISNUMBER(K344),N(K344)&gt;0),"Bloomberg",IF(AND('IPO Live'!$M$5&lt;&gt;"Bloomberg",ISNUMBER(G344)),"Snapshot","Unavailable"))</f>
        <v/>
      </c>
      <c r="Q344" s="33">
        <f>IF(AND(P344="Bloomberg",ISNUMBER(L344)),L344,"unavailable")</f>
        <v/>
      </c>
      <c r="R344" s="15">
        <f>IF(OR('IPO Live'!$B$5="All",'IPO Live'!$B$5=C344,AND('IPO Live'!$B$5="A/H only",J344&gt;0)),1,0)</f>
        <v/>
      </c>
      <c r="S344" s="15">
        <f>IF(R344=1,COUNTIF($R$5:R344,1),"")</f>
        <v/>
      </c>
      <c r="T344">
        <f>1</f>
        <v/>
      </c>
      <c r="U344">
        <f>IF($P344="Bloomberg",$M344,$H344)</f>
        <v/>
      </c>
      <c r="AW344">
        <f>IF(AND(J344&gt;0,OR(AH!$I$5="All",AH!$I$5="A/H only",AH!$I$5=C344)),1,0)</f>
        <v/>
      </c>
      <c r="AX344">
        <f>IF(AW344=1,COUNTIF($AW$5:AW344,1),"")</f>
        <v/>
      </c>
      <c r="AY344">
        <f>IF(AH!$M$5="Snapshot",IF(ISNUMBER(G344),G344,"unavailable"),IF(AND(ISNUMBER(K344),N(K344)&gt;0),K344,IF(AH!$M$5="Auto",IF(ISNUMBER(G344),G344,"unavailable"),"unavailable")))</f>
        <v/>
      </c>
      <c r="AZ344">
        <f>IF(AND(AH!$M$5&lt;&gt;"Snapshot",ISNUMBER(K344),N(K344)&gt;0),"Bloomberg",IF(AND(AH!$M$5&lt;&gt;"Bloomberg",ISNUMBER(G344)),"Snapshot","Unavailable"))</f>
        <v/>
      </c>
      <c r="BA344">
        <f>IF(AZ344="Bloomberg",M344,H344)</f>
        <v/>
      </c>
      <c r="BB344">
        <f>1</f>
        <v/>
      </c>
    </row>
    <row r="345">
      <c r="A345" s="31" t="inlineStr">
        <is>
          <t>2451</t>
        </is>
      </c>
      <c r="B345" s="15" t="inlineStr">
        <is>
          <t>LUYUAN GP HLDG</t>
        </is>
      </c>
      <c r="C345" s="15" t="inlineStr">
        <is>
          <t>Consumer</t>
        </is>
      </c>
      <c r="D345" s="15" t="inlineStr">
        <is>
          <t>Autos (NEV OEM)</t>
        </is>
      </c>
      <c r="E345" s="34" t="n">
        <v>45211</v>
      </c>
      <c r="F345" s="15" t="n">
        <v>7.37</v>
      </c>
      <c r="G345" s="15" t="n">
        <v>14.26</v>
      </c>
      <c r="H345" s="34" t="n">
        <v>46297</v>
      </c>
      <c r="I345" s="31" t="n"/>
      <c r="J345" s="15" t="n">
        <v>0</v>
      </c>
      <c r="K345" s="15">
        <f>IF(AND(AH!$M$5="Snapshot",'IPO Live'!$M$5="Snapshot"),"",IFERROR(BDP(TEXT(VALUE($A345),"0")&amp;" HK Equity","PX_LAST"),""))</f>
        <v/>
      </c>
      <c r="L345" s="15">
        <f>IF(AND(AH!$M$5="Snapshot",'IPO Live'!$M$5="Snapshot"),"",IFERROR(BDP(TEXT(VALUE($A345),"0")&amp;" HK Equity","CHG_PCT_1D")/100,""))</f>
        <v/>
      </c>
      <c r="M345" s="15">
        <f>IF(AND(AH!$M$5="Snapshot",'IPO Live'!$M$5="Snapshot"),"",IFERROR(BDP(TEXT(VALUE($A345),"0")&amp;" HK Equity","LAST_UPDATE_DT"),""))</f>
        <v/>
      </c>
      <c r="N345" s="15">
        <f>IF(AND(AH!$M$5="Snapshot",'IPO Live'!$M$5="Snapshot"),"",IFERROR(BDP(TEXT(VALUE($A345),"0")&amp;" HK Equity","LAST_UPDATE"),""))</f>
        <v/>
      </c>
      <c r="O345" s="15">
        <f>IF('IPO Live'!$M$5="Snapshot",IF(ISNUMBER(G345),G345,"unavailable"),IF(AND(ISNUMBER(K345),N(K345)&gt;0),K345,IF('IPO Live'!$M$5="Auto",IF(ISNUMBER(G345),G345,"unavailable"),"unavailable")))</f>
        <v/>
      </c>
      <c r="P345" s="15">
        <f>IF(AND('IPO Live'!$M$5&lt;&gt;"Snapshot",ISNUMBER(K345),N(K345)&gt;0),"Bloomberg",IF(AND('IPO Live'!$M$5&lt;&gt;"Bloomberg",ISNUMBER(G345)),"Snapshot","Unavailable"))</f>
        <v/>
      </c>
      <c r="Q345" s="33">
        <f>IF(AND(P345="Bloomberg",ISNUMBER(L345)),L345,"unavailable")</f>
        <v/>
      </c>
      <c r="R345" s="15">
        <f>IF(OR('IPO Live'!$B$5="All",'IPO Live'!$B$5=C345,AND('IPO Live'!$B$5="A/H only",J345&gt;0)),1,0)</f>
        <v/>
      </c>
      <c r="S345" s="15">
        <f>IF(R345=1,COUNTIF($R$5:R345,1),"")</f>
        <v/>
      </c>
      <c r="T345">
        <f>1</f>
        <v/>
      </c>
      <c r="U345">
        <f>IF($P345="Bloomberg",$M345,$H345)</f>
        <v/>
      </c>
      <c r="AW345">
        <f>IF(AND(J345&gt;0,OR(AH!$I$5="All",AH!$I$5="A/H only",AH!$I$5=C345)),1,0)</f>
        <v/>
      </c>
      <c r="AX345">
        <f>IF(AW345=1,COUNTIF($AW$5:AW345,1),"")</f>
        <v/>
      </c>
      <c r="AY345">
        <f>IF(AH!$M$5="Snapshot",IF(ISNUMBER(G345),G345,"unavailable"),IF(AND(ISNUMBER(K345),N(K345)&gt;0),K345,IF(AH!$M$5="Auto",IF(ISNUMBER(G345),G345,"unavailable"),"unavailable")))</f>
        <v/>
      </c>
      <c r="AZ345">
        <f>IF(AND(AH!$M$5&lt;&gt;"Snapshot",ISNUMBER(K345),N(K345)&gt;0),"Bloomberg",IF(AND(AH!$M$5&lt;&gt;"Bloomberg",ISNUMBER(G345)),"Snapshot","Unavailable"))</f>
        <v/>
      </c>
      <c r="BA345">
        <f>IF(AZ345="Bloomberg",M345,H345)</f>
        <v/>
      </c>
      <c r="BB345">
        <f>1</f>
        <v/>
      </c>
    </row>
    <row r="346">
      <c r="A346" s="31" t="inlineStr">
        <is>
          <t>6979</t>
        </is>
      </c>
      <c r="B346" s="15" t="inlineStr">
        <is>
          <t>ZJLD</t>
        </is>
      </c>
      <c r="C346" s="15" t="inlineStr">
        <is>
          <t>Consumer</t>
        </is>
      </c>
      <c r="D346" s="15" t="inlineStr">
        <is>
          <t>Beverages / packaged food</t>
        </is>
      </c>
      <c r="E346" s="34" t="n">
        <v>45043</v>
      </c>
      <c r="F346" s="15" t="n">
        <v>10.82</v>
      </c>
      <c r="G346" s="15" t="n">
        <v>7.78</v>
      </c>
      <c r="H346" s="34" t="n">
        <v>46297</v>
      </c>
      <c r="I346" s="31" t="n"/>
      <c r="J346" s="15" t="n">
        <v>0</v>
      </c>
      <c r="K346" s="15">
        <f>IF(AND(AH!$M$5="Snapshot",'IPO Live'!$M$5="Snapshot"),"",IFERROR(BDP(TEXT(VALUE($A346),"0")&amp;" HK Equity","PX_LAST"),""))</f>
        <v/>
      </c>
      <c r="L346" s="15">
        <f>IF(AND(AH!$M$5="Snapshot",'IPO Live'!$M$5="Snapshot"),"",IFERROR(BDP(TEXT(VALUE($A346),"0")&amp;" HK Equity","CHG_PCT_1D")/100,""))</f>
        <v/>
      </c>
      <c r="M346" s="15">
        <f>IF(AND(AH!$M$5="Snapshot",'IPO Live'!$M$5="Snapshot"),"",IFERROR(BDP(TEXT(VALUE($A346),"0")&amp;" HK Equity","LAST_UPDATE_DT"),""))</f>
        <v/>
      </c>
      <c r="N346" s="15">
        <f>IF(AND(AH!$M$5="Snapshot",'IPO Live'!$M$5="Snapshot"),"",IFERROR(BDP(TEXT(VALUE($A346),"0")&amp;" HK Equity","LAST_UPDATE"),""))</f>
        <v/>
      </c>
      <c r="O346" s="15">
        <f>IF('IPO Live'!$M$5="Snapshot",IF(ISNUMBER(G346),G346,"unavailable"),IF(AND(ISNUMBER(K346),N(K346)&gt;0),K346,IF('IPO Live'!$M$5="Auto",IF(ISNUMBER(G346),G346,"unavailable"),"unavailable")))</f>
        <v/>
      </c>
      <c r="P346" s="15">
        <f>IF(AND('IPO Live'!$M$5&lt;&gt;"Snapshot",ISNUMBER(K346),N(K346)&gt;0),"Bloomberg",IF(AND('IPO Live'!$M$5&lt;&gt;"Bloomberg",ISNUMBER(G346)),"Snapshot","Unavailable"))</f>
        <v/>
      </c>
      <c r="Q346" s="33">
        <f>IF(AND(P346="Bloomberg",ISNUMBER(L346)),L346,"unavailable")</f>
        <v/>
      </c>
      <c r="R346" s="15">
        <f>IF(OR('IPO Live'!$B$5="All",'IPO Live'!$B$5=C346,AND('IPO Live'!$B$5="A/H only",J346&gt;0)),1,0)</f>
        <v/>
      </c>
      <c r="S346" s="15">
        <f>IF(R346=1,COUNTIF($R$5:R346,1),"")</f>
        <v/>
      </c>
      <c r="T346">
        <f>1</f>
        <v/>
      </c>
      <c r="U346">
        <f>IF($P346="Bloomberg",$M346,$H346)</f>
        <v/>
      </c>
      <c r="AW346">
        <f>IF(AND(J346&gt;0,OR(AH!$I$5="All",AH!$I$5="A/H only",AH!$I$5=C346)),1,0)</f>
        <v/>
      </c>
      <c r="AX346">
        <f>IF(AW346=1,COUNTIF($AW$5:AW346,1),"")</f>
        <v/>
      </c>
      <c r="AY346">
        <f>IF(AH!$M$5="Snapshot",IF(ISNUMBER(G346),G346,"unavailable"),IF(AND(ISNUMBER(K346),N(K346)&gt;0),K346,IF(AH!$M$5="Auto",IF(ISNUMBER(G346),G346,"unavailable"),"unavailable")))</f>
        <v/>
      </c>
      <c r="AZ346">
        <f>IF(AND(AH!$M$5&lt;&gt;"Snapshot",ISNUMBER(K346),N(K346)&gt;0),"Bloomberg",IF(AND(AH!$M$5&lt;&gt;"Bloomberg",ISNUMBER(G346)),"Snapshot","Unavailable"))</f>
        <v/>
      </c>
      <c r="BA346">
        <f>IF(AZ346="Bloomberg",M346,H346)</f>
        <v/>
      </c>
      <c r="BB346">
        <f>1</f>
        <v/>
      </c>
    </row>
    <row r="347">
      <c r="A347" s="31" t="inlineStr">
        <is>
          <t>1405</t>
        </is>
      </c>
      <c r="B347" s="15" t="inlineStr">
        <is>
          <t>DPC DASH</t>
        </is>
      </c>
      <c r="C347" s="15" t="inlineStr">
        <is>
          <t>Consumer</t>
        </is>
      </c>
      <c r="D347" s="15" t="inlineStr">
        <is>
          <t>F&amp;B chains / restaurants</t>
        </is>
      </c>
      <c r="E347" s="34" t="n">
        <v>45013</v>
      </c>
      <c r="F347" s="15" t="n">
        <v>46</v>
      </c>
      <c r="G347" s="15" t="n">
        <v>28.16</v>
      </c>
      <c r="H347" s="34" t="n">
        <v>46297</v>
      </c>
      <c r="I347" s="31" t="n"/>
      <c r="J347" s="15" t="n">
        <v>0</v>
      </c>
      <c r="K347" s="15">
        <f>IF(AND(AH!$M$5="Snapshot",'IPO Live'!$M$5="Snapshot"),"",IFERROR(BDP(TEXT(VALUE($A347),"0")&amp;" HK Equity","PX_LAST"),""))</f>
        <v/>
      </c>
      <c r="L347" s="15">
        <f>IF(AND(AH!$M$5="Snapshot",'IPO Live'!$M$5="Snapshot"),"",IFERROR(BDP(TEXT(VALUE($A347),"0")&amp;" HK Equity","CHG_PCT_1D")/100,""))</f>
        <v/>
      </c>
      <c r="M347" s="15">
        <f>IF(AND(AH!$M$5="Snapshot",'IPO Live'!$M$5="Snapshot"),"",IFERROR(BDP(TEXT(VALUE($A347),"0")&amp;" HK Equity","LAST_UPDATE_DT"),""))</f>
        <v/>
      </c>
      <c r="N347" s="15">
        <f>IF(AND(AH!$M$5="Snapshot",'IPO Live'!$M$5="Snapshot"),"",IFERROR(BDP(TEXT(VALUE($A347),"0")&amp;" HK Equity","LAST_UPDATE"),""))</f>
        <v/>
      </c>
      <c r="O347" s="15">
        <f>IF('IPO Live'!$M$5="Snapshot",IF(ISNUMBER(G347),G347,"unavailable"),IF(AND(ISNUMBER(K347),N(K347)&gt;0),K347,IF('IPO Live'!$M$5="Auto",IF(ISNUMBER(G347),G347,"unavailable"),"unavailable")))</f>
        <v/>
      </c>
      <c r="P347" s="15">
        <f>IF(AND('IPO Live'!$M$5&lt;&gt;"Snapshot",ISNUMBER(K347),N(K347)&gt;0),"Bloomberg",IF(AND('IPO Live'!$M$5&lt;&gt;"Bloomberg",ISNUMBER(G347)),"Snapshot","Unavailable"))</f>
        <v/>
      </c>
      <c r="Q347" s="33">
        <f>IF(AND(P347="Bloomberg",ISNUMBER(L347)),L347,"unavailable")</f>
        <v/>
      </c>
      <c r="R347" s="15">
        <f>IF(OR('IPO Live'!$B$5="All",'IPO Live'!$B$5=C347,AND('IPO Live'!$B$5="A/H only",J347&gt;0)),1,0)</f>
        <v/>
      </c>
      <c r="S347" s="15">
        <f>IF(R347=1,COUNTIF($R$5:R347,1),"")</f>
        <v/>
      </c>
      <c r="T347">
        <f>1</f>
        <v/>
      </c>
      <c r="U347">
        <f>IF($P347="Bloomberg",$M347,$H347)</f>
        <v/>
      </c>
      <c r="AW347">
        <f>IF(AND(J347&gt;0,OR(AH!$I$5="All",AH!$I$5="A/H only",AH!$I$5=C347)),1,0)</f>
        <v/>
      </c>
      <c r="AX347">
        <f>IF(AW347=1,COUNTIF($AW$5:AW347,1),"")</f>
        <v/>
      </c>
      <c r="AY347">
        <f>IF(AH!$M$5="Snapshot",IF(ISNUMBER(G347),G347,"unavailable"),IF(AND(ISNUMBER(K347),N(K347)&gt;0),K347,IF(AH!$M$5="Auto",IF(ISNUMBER(G347),G347,"unavailable"),"unavailable")))</f>
        <v/>
      </c>
      <c r="AZ347">
        <f>IF(AND(AH!$M$5&lt;&gt;"Snapshot",ISNUMBER(K347),N(K347)&gt;0),"Bloomberg",IF(AND(AH!$M$5&lt;&gt;"Bloomberg",ISNUMBER(G347)),"Snapshot","Unavailable"))</f>
        <v/>
      </c>
      <c r="BA347">
        <f>IF(AZ347="Bloomberg",M347,H347)</f>
        <v/>
      </c>
      <c r="BB347">
        <f>1</f>
        <v/>
      </c>
    </row>
    <row r="348">
      <c r="A348" s="31" t="inlineStr">
        <is>
          <t>2411</t>
        </is>
      </c>
      <c r="B348" s="15" t="inlineStr">
        <is>
          <t>PAGODA GP</t>
        </is>
      </c>
      <c r="C348" s="15" t="inlineStr">
        <is>
          <t>Consumer</t>
        </is>
      </c>
      <c r="D348" s="15" t="inlineStr">
        <is>
          <t>Retail / distribution</t>
        </is>
      </c>
      <c r="E348" s="34" t="n">
        <v>44942</v>
      </c>
      <c r="F348" s="15" t="n">
        <v>5.6</v>
      </c>
      <c r="G348" s="15" t="n">
        <v>1.54</v>
      </c>
      <c r="H348" s="34" t="n">
        <v>46297</v>
      </c>
      <c r="I348" s="31" t="n"/>
      <c r="J348" s="15" t="n">
        <v>0</v>
      </c>
      <c r="K348" s="15">
        <f>IF(AND(AH!$M$5="Snapshot",'IPO Live'!$M$5="Snapshot"),"",IFERROR(BDP(TEXT(VALUE($A348),"0")&amp;" HK Equity","PX_LAST"),""))</f>
        <v/>
      </c>
      <c r="L348" s="15">
        <f>IF(AND(AH!$M$5="Snapshot",'IPO Live'!$M$5="Snapshot"),"",IFERROR(BDP(TEXT(VALUE($A348),"0")&amp;" HK Equity","CHG_PCT_1D")/100,""))</f>
        <v/>
      </c>
      <c r="M348" s="15">
        <f>IF(AND(AH!$M$5="Snapshot",'IPO Live'!$M$5="Snapshot"),"",IFERROR(BDP(TEXT(VALUE($A348),"0")&amp;" HK Equity","LAST_UPDATE_DT"),""))</f>
        <v/>
      </c>
      <c r="N348" s="15">
        <f>IF(AND(AH!$M$5="Snapshot",'IPO Live'!$M$5="Snapshot"),"",IFERROR(BDP(TEXT(VALUE($A348),"0")&amp;" HK Equity","LAST_UPDATE"),""))</f>
        <v/>
      </c>
      <c r="O348" s="15">
        <f>IF('IPO Live'!$M$5="Snapshot",IF(ISNUMBER(G348),G348,"unavailable"),IF(AND(ISNUMBER(K348),N(K348)&gt;0),K348,IF('IPO Live'!$M$5="Auto",IF(ISNUMBER(G348),G348,"unavailable"),"unavailable")))</f>
        <v/>
      </c>
      <c r="P348" s="15">
        <f>IF(AND('IPO Live'!$M$5&lt;&gt;"Snapshot",ISNUMBER(K348),N(K348)&gt;0),"Bloomberg",IF(AND('IPO Live'!$M$5&lt;&gt;"Bloomberg",ISNUMBER(G348)),"Snapshot","Unavailable"))</f>
        <v/>
      </c>
      <c r="Q348" s="33">
        <f>IF(AND(P348="Bloomberg",ISNUMBER(L348)),L348,"unavailable")</f>
        <v/>
      </c>
      <c r="R348" s="15">
        <f>IF(OR('IPO Live'!$B$5="All",'IPO Live'!$B$5=C348,AND('IPO Live'!$B$5="A/H only",J348&gt;0)),1,0)</f>
        <v/>
      </c>
      <c r="S348" s="15">
        <f>IF(R348=1,COUNTIF($R$5:R348,1),"")</f>
        <v/>
      </c>
      <c r="T348">
        <f>1</f>
        <v/>
      </c>
      <c r="U348">
        <f>IF($P348="Bloomberg",$M348,$H348)</f>
        <v/>
      </c>
      <c r="AW348">
        <f>IF(AND(J348&gt;0,OR(AH!$I$5="All",AH!$I$5="A/H only",AH!$I$5=C348)),1,0)</f>
        <v/>
      </c>
      <c r="AX348">
        <f>IF(AW348=1,COUNTIF($AW$5:AW348,1),"")</f>
        <v/>
      </c>
      <c r="AY348">
        <f>IF(AH!$M$5="Snapshot",IF(ISNUMBER(G348),G348,"unavailable"),IF(AND(ISNUMBER(K348),N(K348)&gt;0),K348,IF(AH!$M$5="Auto",IF(ISNUMBER(G348),G348,"unavailable"),"unavailable")))</f>
        <v/>
      </c>
      <c r="AZ348">
        <f>IF(AND(AH!$M$5&lt;&gt;"Snapshot",ISNUMBER(K348),N(K348)&gt;0),"Bloomberg",IF(AND(AH!$M$5&lt;&gt;"Bloomberg",ISNUMBER(G348)),"Snapshot","Unavailable"))</f>
        <v/>
      </c>
      <c r="BA348">
        <f>IF(AZ348="Bloomberg",M348,H348)</f>
        <v/>
      </c>
      <c r="BB348">
        <f>1</f>
        <v/>
      </c>
    </row>
    <row r="349">
      <c r="A349" s="31" t="inlineStr">
        <is>
          <t>2373</t>
        </is>
      </c>
      <c r="B349" s="15" t="inlineStr">
        <is>
          <t>BEAUTYFARM MED</t>
        </is>
      </c>
      <c r="C349" s="15" t="inlineStr">
        <is>
          <t>Consumer</t>
        </is>
      </c>
      <c r="D349" s="15" t="inlineStr">
        <is>
          <t>Beauty / personal care</t>
        </is>
      </c>
      <c r="E349" s="34" t="n">
        <v>44942</v>
      </c>
      <c r="F349" s="15" t="n">
        <v>19.32</v>
      </c>
      <c r="G349" s="15" t="n">
        <v>19.4</v>
      </c>
      <c r="H349" s="34" t="n">
        <v>46297</v>
      </c>
      <c r="I349" s="31" t="n"/>
      <c r="J349" s="15" t="n">
        <v>0</v>
      </c>
      <c r="K349" s="15">
        <f>IF(AND(AH!$M$5="Snapshot",'IPO Live'!$M$5="Snapshot"),"",IFERROR(BDP(TEXT(VALUE($A349),"0")&amp;" HK Equity","PX_LAST"),""))</f>
        <v/>
      </c>
      <c r="L349" s="15">
        <f>IF(AND(AH!$M$5="Snapshot",'IPO Live'!$M$5="Snapshot"),"",IFERROR(BDP(TEXT(VALUE($A349),"0")&amp;" HK Equity","CHG_PCT_1D")/100,""))</f>
        <v/>
      </c>
      <c r="M349" s="15">
        <f>IF(AND(AH!$M$5="Snapshot",'IPO Live'!$M$5="Snapshot"),"",IFERROR(BDP(TEXT(VALUE($A349),"0")&amp;" HK Equity","LAST_UPDATE_DT"),""))</f>
        <v/>
      </c>
      <c r="N349" s="15">
        <f>IF(AND(AH!$M$5="Snapshot",'IPO Live'!$M$5="Snapshot"),"",IFERROR(BDP(TEXT(VALUE($A349),"0")&amp;" HK Equity","LAST_UPDATE"),""))</f>
        <v/>
      </c>
      <c r="O349" s="15">
        <f>IF('IPO Live'!$M$5="Snapshot",IF(ISNUMBER(G349),G349,"unavailable"),IF(AND(ISNUMBER(K349),N(K349)&gt;0),K349,IF('IPO Live'!$M$5="Auto",IF(ISNUMBER(G349),G349,"unavailable"),"unavailable")))</f>
        <v/>
      </c>
      <c r="P349" s="15">
        <f>IF(AND('IPO Live'!$M$5&lt;&gt;"Snapshot",ISNUMBER(K349),N(K349)&gt;0),"Bloomberg",IF(AND('IPO Live'!$M$5&lt;&gt;"Bloomberg",ISNUMBER(G349)),"Snapshot","Unavailable"))</f>
        <v/>
      </c>
      <c r="Q349" s="33">
        <f>IF(AND(P349="Bloomberg",ISNUMBER(L349)),L349,"unavailable")</f>
        <v/>
      </c>
      <c r="R349" s="15">
        <f>IF(OR('IPO Live'!$B$5="All",'IPO Live'!$B$5=C349,AND('IPO Live'!$B$5="A/H only",J349&gt;0)),1,0)</f>
        <v/>
      </c>
      <c r="S349" s="15">
        <f>IF(R349=1,COUNTIF($R$5:R349,1),"")</f>
        <v/>
      </c>
      <c r="T349">
        <f>1</f>
        <v/>
      </c>
      <c r="U349">
        <f>IF($P349="Bloomberg",$M349,$H349)</f>
        <v/>
      </c>
      <c r="AW349">
        <f>IF(AND(J349&gt;0,OR(AH!$I$5="All",AH!$I$5="A/H only",AH!$I$5=C349)),1,0)</f>
        <v/>
      </c>
      <c r="AX349">
        <f>IF(AW349=1,COUNTIF($AW$5:AW349,1),"")</f>
        <v/>
      </c>
      <c r="AY349">
        <f>IF(AH!$M$5="Snapshot",IF(ISNUMBER(G349),G349,"unavailable"),IF(AND(ISNUMBER(K349),N(K349)&gt;0),K349,IF(AH!$M$5="Auto",IF(ISNUMBER(G349),G349,"unavailable"),"unavailable")))</f>
        <v/>
      </c>
      <c r="AZ349">
        <f>IF(AND(AH!$M$5&lt;&gt;"Snapshot",ISNUMBER(K349),N(K349)&gt;0),"Bloomberg",IF(AND(AH!$M$5&lt;&gt;"Bloomberg",ISNUMBER(G349)),"Snapshot","Unavailable"))</f>
        <v/>
      </c>
      <c r="BA349">
        <f>IF(AZ349="Bloomberg",M349,H349)</f>
        <v/>
      </c>
      <c r="BB349">
        <f>1</f>
        <v/>
      </c>
    </row>
    <row r="350">
      <c r="A350" s="31" t="inlineStr">
        <is>
          <t>2147</t>
        </is>
      </c>
      <c r="B350" s="15" t="inlineStr">
        <is>
          <t>ZHENGWEI GROUP</t>
        </is>
      </c>
      <c r="C350" s="15" t="inlineStr">
        <is>
          <t>Consumer</t>
        </is>
      </c>
      <c r="D350" s="15" t="inlineStr">
        <is>
          <t>Beverages / packaged food</t>
        </is>
      </c>
      <c r="E350" s="34" t="n">
        <v>44939</v>
      </c>
      <c r="F350" s="15" t="n">
        <v>0.68</v>
      </c>
      <c r="G350" s="15" t="n">
        <v>0.0315</v>
      </c>
      <c r="H350" s="34" t="n">
        <v>46297</v>
      </c>
      <c r="I350" s="31" t="n"/>
      <c r="J350" s="15" t="n">
        <v>0</v>
      </c>
      <c r="K350" s="15">
        <f>IF(AND(AH!$M$5="Snapshot",'IPO Live'!$M$5="Snapshot"),"",IFERROR(BDP(TEXT(VALUE($A350),"0")&amp;" HK Equity","PX_LAST"),""))</f>
        <v/>
      </c>
      <c r="L350" s="15">
        <f>IF(AND(AH!$M$5="Snapshot",'IPO Live'!$M$5="Snapshot"),"",IFERROR(BDP(TEXT(VALUE($A350),"0")&amp;" HK Equity","CHG_PCT_1D")/100,""))</f>
        <v/>
      </c>
      <c r="M350" s="15">
        <f>IF(AND(AH!$M$5="Snapshot",'IPO Live'!$M$5="Snapshot"),"",IFERROR(BDP(TEXT(VALUE($A350),"0")&amp;" HK Equity","LAST_UPDATE_DT"),""))</f>
        <v/>
      </c>
      <c r="N350" s="15">
        <f>IF(AND(AH!$M$5="Snapshot",'IPO Live'!$M$5="Snapshot"),"",IFERROR(BDP(TEXT(VALUE($A350),"0")&amp;" HK Equity","LAST_UPDATE"),""))</f>
        <v/>
      </c>
      <c r="O350" s="15">
        <f>IF('IPO Live'!$M$5="Snapshot",IF(ISNUMBER(G350),G350,"unavailable"),IF(AND(ISNUMBER(K350),N(K350)&gt;0),K350,IF('IPO Live'!$M$5="Auto",IF(ISNUMBER(G350),G350,"unavailable"),"unavailable")))</f>
        <v/>
      </c>
      <c r="P350" s="15">
        <f>IF(AND('IPO Live'!$M$5&lt;&gt;"Snapshot",ISNUMBER(K350),N(K350)&gt;0),"Bloomberg",IF(AND('IPO Live'!$M$5&lt;&gt;"Bloomberg",ISNUMBER(G350)),"Snapshot","Unavailable"))</f>
        <v/>
      </c>
      <c r="Q350" s="33">
        <f>IF(AND(P350="Bloomberg",ISNUMBER(L350)),L350,"unavailable")</f>
        <v/>
      </c>
      <c r="R350" s="15">
        <f>IF(OR('IPO Live'!$B$5="All",'IPO Live'!$B$5=C350,AND('IPO Live'!$B$5="A/H only",J350&gt;0)),1,0)</f>
        <v/>
      </c>
      <c r="S350" s="15">
        <f>IF(R350=1,COUNTIF($R$5:R350,1),"")</f>
        <v/>
      </c>
      <c r="T350">
        <f>IF(ISNUMBER($U350),IF($U350&gt;=DATEVALUE("2025-12-30"),0.05,1),"unavailable")</f>
        <v/>
      </c>
      <c r="U350">
        <f>IF($P350="Bloomberg",$M350,$H350)</f>
        <v/>
      </c>
      <c r="AW350">
        <f>IF(AND(J350&gt;0,OR(AH!$I$5="All",AH!$I$5="A/H only",AH!$I$5=C350)),1,0)</f>
        <v/>
      </c>
      <c r="AX350">
        <f>IF(AW350=1,COUNTIF($AW$5:AW350,1),"")</f>
        <v/>
      </c>
      <c r="AY350">
        <f>IF(AH!$M$5="Snapshot",IF(ISNUMBER(G350),G350,"unavailable"),IF(AND(ISNUMBER(K350),N(K350)&gt;0),K350,IF(AH!$M$5="Auto",IF(ISNUMBER(G350),G350,"unavailable"),"unavailable")))</f>
        <v/>
      </c>
      <c r="AZ350">
        <f>IF(AND(AH!$M$5&lt;&gt;"Snapshot",ISNUMBER(K350),N(K350)&gt;0),"Bloomberg",IF(AND(AH!$M$5&lt;&gt;"Bloomberg",ISNUMBER(G350)),"Snapshot","Unavailable"))</f>
        <v/>
      </c>
      <c r="BA350">
        <f>IF(AZ350="Bloomberg",M350,H350)</f>
        <v/>
      </c>
      <c r="BB350">
        <f>IF(ISNUMBER($BA350),IF($BA350&gt;=DATEVALUE("2025-12-30"),0.05,1),"unavailable")</f>
        <v/>
      </c>
    </row>
    <row r="351">
      <c r="A351" s="31" t="inlineStr">
        <is>
          <t>2469</t>
        </is>
      </c>
      <c r="B351" s="15" t="inlineStr">
        <is>
          <t>FENBI</t>
        </is>
      </c>
      <c r="C351" s="15" t="inlineStr">
        <is>
          <t>Consumer</t>
        </is>
      </c>
      <c r="D351" s="15" t="inlineStr">
        <is>
          <t>Consumer services / education</t>
        </is>
      </c>
      <c r="E351" s="34" t="n">
        <v>44935</v>
      </c>
      <c r="F351" s="15" t="n">
        <v>9.9</v>
      </c>
      <c r="G351" s="15" t="n">
        <v>0.325</v>
      </c>
      <c r="H351" s="34" t="n">
        <v>46297</v>
      </c>
      <c r="I351" s="31" t="n"/>
      <c r="J351" s="15" t="n">
        <v>0</v>
      </c>
      <c r="K351" s="15">
        <f>IF(AND(AH!$M$5="Snapshot",'IPO Live'!$M$5="Snapshot"),"",IFERROR(BDP(TEXT(VALUE($A351),"0")&amp;" HK Equity","PX_LAST"),""))</f>
        <v/>
      </c>
      <c r="L351" s="15">
        <f>IF(AND(AH!$M$5="Snapshot",'IPO Live'!$M$5="Snapshot"),"",IFERROR(BDP(TEXT(VALUE($A351),"0")&amp;" HK Equity","CHG_PCT_1D")/100,""))</f>
        <v/>
      </c>
      <c r="M351" s="15">
        <f>IF(AND(AH!$M$5="Snapshot",'IPO Live'!$M$5="Snapshot"),"",IFERROR(BDP(TEXT(VALUE($A351),"0")&amp;" HK Equity","LAST_UPDATE_DT"),""))</f>
        <v/>
      </c>
      <c r="N351" s="15">
        <f>IF(AND(AH!$M$5="Snapshot",'IPO Live'!$M$5="Snapshot"),"",IFERROR(BDP(TEXT(VALUE($A351),"0")&amp;" HK Equity","LAST_UPDATE"),""))</f>
        <v/>
      </c>
      <c r="O351" s="15">
        <f>IF('IPO Live'!$M$5="Snapshot",IF(ISNUMBER(G351),G351,"unavailable"),IF(AND(ISNUMBER(K351),N(K351)&gt;0),K351,IF('IPO Live'!$M$5="Auto",IF(ISNUMBER(G351),G351,"unavailable"),"unavailable")))</f>
        <v/>
      </c>
      <c r="P351" s="15">
        <f>IF(AND('IPO Live'!$M$5&lt;&gt;"Snapshot",ISNUMBER(K351),N(K351)&gt;0),"Bloomberg",IF(AND('IPO Live'!$M$5&lt;&gt;"Bloomberg",ISNUMBER(G351)),"Snapshot","Unavailable"))</f>
        <v/>
      </c>
      <c r="Q351" s="33">
        <f>IF(AND(P351="Bloomberg",ISNUMBER(L351)),L351,"unavailable")</f>
        <v/>
      </c>
      <c r="R351" s="15">
        <f>IF(OR('IPO Live'!$B$5="All",'IPO Live'!$B$5=C351,AND('IPO Live'!$B$5="A/H only",J351&gt;0)),1,0)</f>
        <v/>
      </c>
      <c r="S351" s="15">
        <f>IF(R351=1,COUNTIF($R$5:R351,1),"")</f>
        <v/>
      </c>
      <c r="T351">
        <f>1</f>
        <v/>
      </c>
      <c r="U351">
        <f>IF($P351="Bloomberg",$M351,$H351)</f>
        <v/>
      </c>
      <c r="AW351">
        <f>IF(AND(J351&gt;0,OR(AH!$I$5="All",AH!$I$5="A/H only",AH!$I$5=C351)),1,0)</f>
        <v/>
      </c>
      <c r="AX351">
        <f>IF(AW351=1,COUNTIF($AW$5:AW351,1),"")</f>
        <v/>
      </c>
      <c r="AY351">
        <f>IF(AH!$M$5="Snapshot",IF(ISNUMBER(G351),G351,"unavailable"),IF(AND(ISNUMBER(K351),N(K351)&gt;0),K351,IF(AH!$M$5="Auto",IF(ISNUMBER(G351),G351,"unavailable"),"unavailable")))</f>
        <v/>
      </c>
      <c r="AZ351">
        <f>IF(AND(AH!$M$5&lt;&gt;"Snapshot",ISNUMBER(K351),N(K351)&gt;0),"Bloomberg",IF(AND(AH!$M$5&lt;&gt;"Bloomberg",ISNUMBER(G351)),"Snapshot","Unavailable"))</f>
        <v/>
      </c>
      <c r="BA351">
        <f>IF(AZ351="Bloomberg",M351,H351)</f>
        <v/>
      </c>
      <c r="BB351">
        <f>1</f>
        <v/>
      </c>
    </row>
    <row r="352">
      <c r="A352" s="31" t="inlineStr">
        <is>
          <t>2425</t>
        </is>
      </c>
      <c r="B352" s="15" t="inlineStr">
        <is>
          <t>AUSTASIA GROUP</t>
        </is>
      </c>
      <c r="C352" s="15" t="inlineStr">
        <is>
          <t>Consumer</t>
        </is>
      </c>
      <c r="D352" s="15" t="inlineStr">
        <is>
          <t>Beverages / packaged food</t>
        </is>
      </c>
      <c r="E352" s="34" t="n">
        <v>44925</v>
      </c>
      <c r="F352" s="15" t="n">
        <v>6.4</v>
      </c>
      <c r="G352" s="15" t="n">
        <v>1.75</v>
      </c>
      <c r="H352" s="34" t="n">
        <v>46297</v>
      </c>
      <c r="I352" s="31" t="n"/>
      <c r="J352" s="15" t="n">
        <v>0</v>
      </c>
      <c r="K352" s="15">
        <f>IF(AND(AH!$M$5="Snapshot",'IPO Live'!$M$5="Snapshot"),"",IFERROR(BDP(TEXT(VALUE($A352),"0")&amp;" HK Equity","PX_LAST"),""))</f>
        <v/>
      </c>
      <c r="L352" s="15">
        <f>IF(AND(AH!$M$5="Snapshot",'IPO Live'!$M$5="Snapshot"),"",IFERROR(BDP(TEXT(VALUE($A352),"0")&amp;" HK Equity","CHG_PCT_1D")/100,""))</f>
        <v/>
      </c>
      <c r="M352" s="15">
        <f>IF(AND(AH!$M$5="Snapshot",'IPO Live'!$M$5="Snapshot"),"",IFERROR(BDP(TEXT(VALUE($A352),"0")&amp;" HK Equity","LAST_UPDATE_DT"),""))</f>
        <v/>
      </c>
      <c r="N352" s="15">
        <f>IF(AND(AH!$M$5="Snapshot",'IPO Live'!$M$5="Snapshot"),"",IFERROR(BDP(TEXT(VALUE($A352),"0")&amp;" HK Equity","LAST_UPDATE"),""))</f>
        <v/>
      </c>
      <c r="O352" s="15">
        <f>IF('IPO Live'!$M$5="Snapshot",IF(ISNUMBER(G352),G352,"unavailable"),IF(AND(ISNUMBER(K352),N(K352)&gt;0),K352,IF('IPO Live'!$M$5="Auto",IF(ISNUMBER(G352),G352,"unavailable"),"unavailable")))</f>
        <v/>
      </c>
      <c r="P352" s="15">
        <f>IF(AND('IPO Live'!$M$5&lt;&gt;"Snapshot",ISNUMBER(K352),N(K352)&gt;0),"Bloomberg",IF(AND('IPO Live'!$M$5&lt;&gt;"Bloomberg",ISNUMBER(G352)),"Snapshot","Unavailable"))</f>
        <v/>
      </c>
      <c r="Q352" s="33">
        <f>IF(AND(P352="Bloomberg",ISNUMBER(L352)),L352,"unavailable")</f>
        <v/>
      </c>
      <c r="R352" s="15">
        <f>IF(OR('IPO Live'!$B$5="All",'IPO Live'!$B$5=C352,AND('IPO Live'!$B$5="A/H only",J352&gt;0)),1,0)</f>
        <v/>
      </c>
      <c r="S352" s="15">
        <f>IF(R352=1,COUNTIF($R$5:R352,1),"")</f>
        <v/>
      </c>
      <c r="T352">
        <f>1</f>
        <v/>
      </c>
      <c r="U352">
        <f>IF($P352="Bloomberg",$M352,$H352)</f>
        <v/>
      </c>
      <c r="AW352">
        <f>IF(AND(J352&gt;0,OR(AH!$I$5="All",AH!$I$5="A/H only",AH!$I$5=C352)),1,0)</f>
        <v/>
      </c>
      <c r="AX352">
        <f>IF(AW352=1,COUNTIF($AW$5:AW352,1),"")</f>
        <v/>
      </c>
      <c r="AY352">
        <f>IF(AH!$M$5="Snapshot",IF(ISNUMBER(G352),G352,"unavailable"),IF(AND(ISNUMBER(K352),N(K352)&gt;0),K352,IF(AH!$M$5="Auto",IF(ISNUMBER(G352),G352,"unavailable"),"unavailable")))</f>
        <v/>
      </c>
      <c r="AZ352">
        <f>IF(AND(AH!$M$5&lt;&gt;"Snapshot",ISNUMBER(K352),N(K352)&gt;0),"Bloomberg",IF(AND(AH!$M$5&lt;&gt;"Bloomberg",ISNUMBER(G352)),"Snapshot","Unavailable"))</f>
        <v/>
      </c>
      <c r="BA352">
        <f>IF(AZ352="Bloomberg",M352,H352)</f>
        <v/>
      </c>
      <c r="BB352">
        <f>1</f>
        <v/>
      </c>
    </row>
    <row r="353">
      <c r="A353" s="31" t="inlineStr">
        <is>
          <t>2145</t>
        </is>
      </c>
      <c r="B353" s="15" t="inlineStr">
        <is>
          <t>CHICMAX</t>
        </is>
      </c>
      <c r="C353" s="15" t="inlineStr">
        <is>
          <t>Consumer</t>
        </is>
      </c>
      <c r="D353" s="15" t="inlineStr">
        <is>
          <t>Beauty / personal care</t>
        </is>
      </c>
      <c r="E353" s="34" t="n">
        <v>44917</v>
      </c>
      <c r="F353" s="15" t="n">
        <v>25.2</v>
      </c>
      <c r="G353" s="15" t="n">
        <v>20.78</v>
      </c>
      <c r="H353" s="34" t="n">
        <v>46297</v>
      </c>
      <c r="I353" s="31" t="n"/>
      <c r="J353" s="15" t="n">
        <v>0</v>
      </c>
      <c r="K353" s="15">
        <f>IF(AND(AH!$M$5="Snapshot",'IPO Live'!$M$5="Snapshot"),"",IFERROR(BDP(TEXT(VALUE($A353),"0")&amp;" HK Equity","PX_LAST"),""))</f>
        <v/>
      </c>
      <c r="L353" s="15">
        <f>IF(AND(AH!$M$5="Snapshot",'IPO Live'!$M$5="Snapshot"),"",IFERROR(BDP(TEXT(VALUE($A353),"0")&amp;" HK Equity","CHG_PCT_1D")/100,""))</f>
        <v/>
      </c>
      <c r="M353" s="15">
        <f>IF(AND(AH!$M$5="Snapshot",'IPO Live'!$M$5="Snapshot"),"",IFERROR(BDP(TEXT(VALUE($A353),"0")&amp;" HK Equity","LAST_UPDATE_DT"),""))</f>
        <v/>
      </c>
      <c r="N353" s="15">
        <f>IF(AND(AH!$M$5="Snapshot",'IPO Live'!$M$5="Snapshot"),"",IFERROR(BDP(TEXT(VALUE($A353),"0")&amp;" HK Equity","LAST_UPDATE"),""))</f>
        <v/>
      </c>
      <c r="O353" s="15">
        <f>IF('IPO Live'!$M$5="Snapshot",IF(ISNUMBER(G353),G353,"unavailable"),IF(AND(ISNUMBER(K353),N(K353)&gt;0),K353,IF('IPO Live'!$M$5="Auto",IF(ISNUMBER(G353),G353,"unavailable"),"unavailable")))</f>
        <v/>
      </c>
      <c r="P353" s="15">
        <f>IF(AND('IPO Live'!$M$5&lt;&gt;"Snapshot",ISNUMBER(K353),N(K353)&gt;0),"Bloomberg",IF(AND('IPO Live'!$M$5&lt;&gt;"Bloomberg",ISNUMBER(G353)),"Snapshot","Unavailable"))</f>
        <v/>
      </c>
      <c r="Q353" s="33">
        <f>IF(AND(P353="Bloomberg",ISNUMBER(L353)),L353,"unavailable")</f>
        <v/>
      </c>
      <c r="R353" s="15">
        <f>IF(OR('IPO Live'!$B$5="All",'IPO Live'!$B$5=C353,AND('IPO Live'!$B$5="A/H only",J353&gt;0)),1,0)</f>
        <v/>
      </c>
      <c r="S353" s="15">
        <f>IF(R353=1,COUNTIF($R$5:R353,1),"")</f>
        <v/>
      </c>
      <c r="T353">
        <f>1</f>
        <v/>
      </c>
      <c r="U353">
        <f>IF($P353="Bloomberg",$M353,$H353)</f>
        <v/>
      </c>
      <c r="AW353">
        <f>IF(AND(J353&gt;0,OR(AH!$I$5="All",AH!$I$5="A/H only",AH!$I$5=C353)),1,0)</f>
        <v/>
      </c>
      <c r="AX353">
        <f>IF(AW353=1,COUNTIF($AW$5:AW353,1),"")</f>
        <v/>
      </c>
      <c r="AY353">
        <f>IF(AH!$M$5="Snapshot",IF(ISNUMBER(G353),G353,"unavailable"),IF(AND(ISNUMBER(K353),N(K353)&gt;0),K353,IF(AH!$M$5="Auto",IF(ISNUMBER(G353),G353,"unavailable"),"unavailable")))</f>
        <v/>
      </c>
      <c r="AZ353">
        <f>IF(AND(AH!$M$5&lt;&gt;"Snapshot",ISNUMBER(K353),N(K353)&gt;0),"Bloomberg",IF(AND(AH!$M$5&lt;&gt;"Bloomberg",ISNUMBER(G353)),"Snapshot","Unavailable"))</f>
        <v/>
      </c>
      <c r="BA353">
        <f>IF(AZ353="Bloomberg",M353,H353)</f>
        <v/>
      </c>
      <c r="BB353">
        <f>1</f>
        <v/>
      </c>
    </row>
    <row r="354">
      <c r="A354" s="31" t="inlineStr">
        <is>
          <t>9985</t>
        </is>
      </c>
      <c r="B354" s="15" t="inlineStr">
        <is>
          <t>WEILONG</t>
        </is>
      </c>
      <c r="C354" s="15" t="inlineStr">
        <is>
          <t>Consumer</t>
        </is>
      </c>
      <c r="D354" s="15" t="inlineStr">
        <is>
          <t>Beverages / packaged food</t>
        </is>
      </c>
      <c r="E354" s="34" t="n">
        <v>44910</v>
      </c>
      <c r="F354" s="15" t="n">
        <v>10.56</v>
      </c>
      <c r="G354" s="15" t="n">
        <v>6.5</v>
      </c>
      <c r="H354" s="34" t="n">
        <v>46297</v>
      </c>
      <c r="I354" s="31" t="n"/>
      <c r="J354" s="15" t="n">
        <v>0</v>
      </c>
      <c r="K354" s="15">
        <f>IF(AND(AH!$M$5="Snapshot",'IPO Live'!$M$5="Snapshot"),"",IFERROR(BDP(TEXT(VALUE($A354),"0")&amp;" HK Equity","PX_LAST"),""))</f>
        <v/>
      </c>
      <c r="L354" s="15">
        <f>IF(AND(AH!$M$5="Snapshot",'IPO Live'!$M$5="Snapshot"),"",IFERROR(BDP(TEXT(VALUE($A354),"0")&amp;" HK Equity","CHG_PCT_1D")/100,""))</f>
        <v/>
      </c>
      <c r="M354" s="15">
        <f>IF(AND(AH!$M$5="Snapshot",'IPO Live'!$M$5="Snapshot"),"",IFERROR(BDP(TEXT(VALUE($A354),"0")&amp;" HK Equity","LAST_UPDATE_DT"),""))</f>
        <v/>
      </c>
      <c r="N354" s="15">
        <f>IF(AND(AH!$M$5="Snapshot",'IPO Live'!$M$5="Snapshot"),"",IFERROR(BDP(TEXT(VALUE($A354),"0")&amp;" HK Equity","LAST_UPDATE"),""))</f>
        <v/>
      </c>
      <c r="O354" s="15">
        <f>IF('IPO Live'!$M$5="Snapshot",IF(ISNUMBER(G354),G354,"unavailable"),IF(AND(ISNUMBER(K354),N(K354)&gt;0),K354,IF('IPO Live'!$M$5="Auto",IF(ISNUMBER(G354),G354,"unavailable"),"unavailable")))</f>
        <v/>
      </c>
      <c r="P354" s="15">
        <f>IF(AND('IPO Live'!$M$5&lt;&gt;"Snapshot",ISNUMBER(K354),N(K354)&gt;0),"Bloomberg",IF(AND('IPO Live'!$M$5&lt;&gt;"Bloomberg",ISNUMBER(G354)),"Snapshot","Unavailable"))</f>
        <v/>
      </c>
      <c r="Q354" s="33">
        <f>IF(AND(P354="Bloomberg",ISNUMBER(L354)),L354,"unavailable")</f>
        <v/>
      </c>
      <c r="R354" s="15">
        <f>IF(OR('IPO Live'!$B$5="All",'IPO Live'!$B$5=C354,AND('IPO Live'!$B$5="A/H only",J354&gt;0)),1,0)</f>
        <v/>
      </c>
      <c r="S354" s="15">
        <f>IF(R354=1,COUNTIF($R$5:R354,1),"")</f>
        <v/>
      </c>
      <c r="T354">
        <f>1</f>
        <v/>
      </c>
      <c r="U354">
        <f>IF($P354="Bloomberg",$M354,$H354)</f>
        <v/>
      </c>
      <c r="AW354">
        <f>IF(AND(J354&gt;0,OR(AH!$I$5="All",AH!$I$5="A/H only",AH!$I$5=C354)),1,0)</f>
        <v/>
      </c>
      <c r="AX354">
        <f>IF(AW354=1,COUNTIF($AW$5:AW354,1),"")</f>
        <v/>
      </c>
      <c r="AY354">
        <f>IF(AH!$M$5="Snapshot",IF(ISNUMBER(G354),G354,"unavailable"),IF(AND(ISNUMBER(K354),N(K354)&gt;0),K354,IF(AH!$M$5="Auto",IF(ISNUMBER(G354),G354,"unavailable"),"unavailable")))</f>
        <v/>
      </c>
      <c r="AZ354">
        <f>IF(AND(AH!$M$5&lt;&gt;"Snapshot",ISNUMBER(K354),N(K354)&gt;0),"Bloomberg",IF(AND(AH!$M$5&lt;&gt;"Bloomberg",ISNUMBER(G354)),"Snapshot","Unavailable"))</f>
        <v/>
      </c>
      <c r="BA354">
        <f>IF(AZ354="Bloomberg",M354,H354)</f>
        <v/>
      </c>
      <c r="BB354">
        <f>1</f>
        <v/>
      </c>
    </row>
    <row r="355">
      <c r="A355" s="31" t="inlineStr">
        <is>
          <t>2457</t>
        </is>
      </c>
      <c r="B355" s="15" t="inlineStr">
        <is>
          <t>BUYANG INTL</t>
        </is>
      </c>
      <c r="C355" s="15" t="inlineStr">
        <is>
          <t>Consumer</t>
        </is>
      </c>
      <c r="D355" s="15" t="inlineStr">
        <is>
          <t>Auto parts / supply chain</t>
        </is>
      </c>
      <c r="E355" s="34" t="n">
        <v>44910</v>
      </c>
      <c r="F355" s="15" t="n">
        <v>0.5</v>
      </c>
      <c r="G355" s="15" t="n">
        <v>0.625</v>
      </c>
      <c r="H355" s="34" t="n">
        <v>46297</v>
      </c>
      <c r="I355" s="31" t="n"/>
      <c r="J355" s="15" t="n">
        <v>0</v>
      </c>
      <c r="K355" s="15">
        <f>IF(AND(AH!$M$5="Snapshot",'IPO Live'!$M$5="Snapshot"),"",IFERROR(BDP(TEXT(VALUE($A355),"0")&amp;" HK Equity","PX_LAST"),""))</f>
        <v/>
      </c>
      <c r="L355" s="15">
        <f>IF(AND(AH!$M$5="Snapshot",'IPO Live'!$M$5="Snapshot"),"",IFERROR(BDP(TEXT(VALUE($A355),"0")&amp;" HK Equity","CHG_PCT_1D")/100,""))</f>
        <v/>
      </c>
      <c r="M355" s="15">
        <f>IF(AND(AH!$M$5="Snapshot",'IPO Live'!$M$5="Snapshot"),"",IFERROR(BDP(TEXT(VALUE($A355),"0")&amp;" HK Equity","LAST_UPDATE_DT"),""))</f>
        <v/>
      </c>
      <c r="N355" s="15">
        <f>IF(AND(AH!$M$5="Snapshot",'IPO Live'!$M$5="Snapshot"),"",IFERROR(BDP(TEXT(VALUE($A355),"0")&amp;" HK Equity","LAST_UPDATE"),""))</f>
        <v/>
      </c>
      <c r="O355" s="15">
        <f>IF('IPO Live'!$M$5="Snapshot",IF(ISNUMBER(G355),G355,"unavailable"),IF(AND(ISNUMBER(K355),N(K355)&gt;0),K355,IF('IPO Live'!$M$5="Auto",IF(ISNUMBER(G355),G355,"unavailable"),"unavailable")))</f>
        <v/>
      </c>
      <c r="P355" s="15">
        <f>IF(AND('IPO Live'!$M$5&lt;&gt;"Snapshot",ISNUMBER(K355),N(K355)&gt;0),"Bloomberg",IF(AND('IPO Live'!$M$5&lt;&gt;"Bloomberg",ISNUMBER(G355)),"Snapshot","Unavailable"))</f>
        <v/>
      </c>
      <c r="Q355" s="33">
        <f>IF(AND(P355="Bloomberg",ISNUMBER(L355)),L355,"unavailable")</f>
        <v/>
      </c>
      <c r="R355" s="15">
        <f>IF(OR('IPO Live'!$B$5="All",'IPO Live'!$B$5=C355,AND('IPO Live'!$B$5="A/H only",J355&gt;0)),1,0)</f>
        <v/>
      </c>
      <c r="S355" s="15">
        <f>IF(R355=1,COUNTIF($R$5:R355,1),"")</f>
        <v/>
      </c>
      <c r="T355">
        <f>1</f>
        <v/>
      </c>
      <c r="U355">
        <f>IF($P355="Bloomberg",$M355,$H355)</f>
        <v/>
      </c>
      <c r="AW355">
        <f>IF(AND(J355&gt;0,OR(AH!$I$5="All",AH!$I$5="A/H only",AH!$I$5=C355)),1,0)</f>
        <v/>
      </c>
      <c r="AX355">
        <f>IF(AW355=1,COUNTIF($AW$5:AW355,1),"")</f>
        <v/>
      </c>
      <c r="AY355">
        <f>IF(AH!$M$5="Snapshot",IF(ISNUMBER(G355),G355,"unavailable"),IF(AND(ISNUMBER(K355),N(K355)&gt;0),K355,IF(AH!$M$5="Auto",IF(ISNUMBER(G355),G355,"unavailable"),"unavailable")))</f>
        <v/>
      </c>
      <c r="AZ355">
        <f>IF(AND(AH!$M$5&lt;&gt;"Snapshot",ISNUMBER(K355),N(K355)&gt;0),"Bloomberg",IF(AND(AH!$M$5&lt;&gt;"Bloomberg",ISNUMBER(G355)),"Snapshot","Unavailable"))</f>
        <v/>
      </c>
      <c r="BA355">
        <f>IF(AZ355="Bloomberg",M355,H355)</f>
        <v/>
      </c>
      <c r="BB355">
        <f>1</f>
        <v/>
      </c>
    </row>
    <row r="356">
      <c r="A356" s="31" t="inlineStr">
        <is>
          <t>2367</t>
        </is>
      </c>
      <c r="B356" s="15" t="inlineStr">
        <is>
          <t>GIANT BIOGENE</t>
        </is>
      </c>
      <c r="C356" s="15" t="inlineStr">
        <is>
          <t>Consumer</t>
        </is>
      </c>
      <c r="D356" s="15" t="inlineStr">
        <is>
          <t>Beauty / personal care</t>
        </is>
      </c>
      <c r="E356" s="34" t="n">
        <v>44869</v>
      </c>
      <c r="F356" s="15" t="n">
        <v>24.3</v>
      </c>
      <c r="G356" s="15" t="n">
        <v>23.44</v>
      </c>
      <c r="H356" s="34" t="n">
        <v>46297</v>
      </c>
      <c r="I356" s="31" t="n"/>
      <c r="J356" s="15" t="n">
        <v>0</v>
      </c>
      <c r="K356" s="15">
        <f>IF(AND(AH!$M$5="Snapshot",'IPO Live'!$M$5="Snapshot"),"",IFERROR(BDP(TEXT(VALUE($A356),"0")&amp;" HK Equity","PX_LAST"),""))</f>
        <v/>
      </c>
      <c r="L356" s="15">
        <f>IF(AND(AH!$M$5="Snapshot",'IPO Live'!$M$5="Snapshot"),"",IFERROR(BDP(TEXT(VALUE($A356),"0")&amp;" HK Equity","CHG_PCT_1D")/100,""))</f>
        <v/>
      </c>
      <c r="M356" s="15">
        <f>IF(AND(AH!$M$5="Snapshot",'IPO Live'!$M$5="Snapshot"),"",IFERROR(BDP(TEXT(VALUE($A356),"0")&amp;" HK Equity","LAST_UPDATE_DT"),""))</f>
        <v/>
      </c>
      <c r="N356" s="15">
        <f>IF(AND(AH!$M$5="Snapshot",'IPO Live'!$M$5="Snapshot"),"",IFERROR(BDP(TEXT(VALUE($A356),"0")&amp;" HK Equity","LAST_UPDATE"),""))</f>
        <v/>
      </c>
      <c r="O356" s="15">
        <f>IF('IPO Live'!$M$5="Snapshot",IF(ISNUMBER(G356),G356,"unavailable"),IF(AND(ISNUMBER(K356),N(K356)&gt;0),K356,IF('IPO Live'!$M$5="Auto",IF(ISNUMBER(G356),G356,"unavailable"),"unavailable")))</f>
        <v/>
      </c>
      <c r="P356" s="15">
        <f>IF(AND('IPO Live'!$M$5&lt;&gt;"Snapshot",ISNUMBER(K356),N(K356)&gt;0),"Bloomberg",IF(AND('IPO Live'!$M$5&lt;&gt;"Bloomberg",ISNUMBER(G356)),"Snapshot","Unavailable"))</f>
        <v/>
      </c>
      <c r="Q356" s="33">
        <f>IF(AND(P356="Bloomberg",ISNUMBER(L356)),L356,"unavailable")</f>
        <v/>
      </c>
      <c r="R356" s="15">
        <f>IF(OR('IPO Live'!$B$5="All",'IPO Live'!$B$5=C356,AND('IPO Live'!$B$5="A/H only",J356&gt;0)),1,0)</f>
        <v/>
      </c>
      <c r="S356" s="15">
        <f>IF(R356=1,COUNTIF($R$5:R356,1),"")</f>
        <v/>
      </c>
      <c r="T356">
        <f>1</f>
        <v/>
      </c>
      <c r="U356">
        <f>IF($P356="Bloomberg",$M356,$H356)</f>
        <v/>
      </c>
      <c r="AW356">
        <f>IF(AND(J356&gt;0,OR(AH!$I$5="All",AH!$I$5="A/H only",AH!$I$5=C356)),1,0)</f>
        <v/>
      </c>
      <c r="AX356">
        <f>IF(AW356=1,COUNTIF($AW$5:AW356,1),"")</f>
        <v/>
      </c>
      <c r="AY356">
        <f>IF(AH!$M$5="Snapshot",IF(ISNUMBER(G356),G356,"unavailable"),IF(AND(ISNUMBER(K356),N(K356)&gt;0),K356,IF(AH!$M$5="Auto",IF(ISNUMBER(G356),G356,"unavailable"),"unavailable")))</f>
        <v/>
      </c>
      <c r="AZ356">
        <f>IF(AND(AH!$M$5&lt;&gt;"Snapshot",ISNUMBER(K356),N(K356)&gt;0),"Bloomberg",IF(AND(AH!$M$5&lt;&gt;"Bloomberg",ISNUMBER(G356)),"Snapshot","Unavailable"))</f>
        <v/>
      </c>
      <c r="BA356">
        <f>IF(AZ356="Bloomberg",M356,H356)</f>
        <v/>
      </c>
      <c r="BB356">
        <f>1</f>
        <v/>
      </c>
    </row>
    <row r="357">
      <c r="A357" s="31" t="inlineStr">
        <is>
          <t>9863</t>
        </is>
      </c>
      <c r="B357" s="15" t="inlineStr">
        <is>
          <t>LEAPMOTOR</t>
        </is>
      </c>
      <c r="C357" s="15" t="inlineStr">
        <is>
          <t>Consumer</t>
        </is>
      </c>
      <c r="D357" s="15" t="inlineStr">
        <is>
          <t>Autos (NEV OEM)</t>
        </is>
      </c>
      <c r="E357" s="34" t="n">
        <v>44833</v>
      </c>
      <c r="F357" s="15" t="n">
        <v>48</v>
      </c>
      <c r="G357" s="15" t="n">
        <v>34.52</v>
      </c>
      <c r="H357" s="34" t="n">
        <v>46297</v>
      </c>
      <c r="I357" s="31" t="n"/>
      <c r="J357" s="15" t="n">
        <v>0</v>
      </c>
      <c r="K357" s="15">
        <f>IF(AND(AH!$M$5="Snapshot",'IPO Live'!$M$5="Snapshot"),"",IFERROR(BDP(TEXT(VALUE($A357),"0")&amp;" HK Equity","PX_LAST"),""))</f>
        <v/>
      </c>
      <c r="L357" s="15">
        <f>IF(AND(AH!$M$5="Snapshot",'IPO Live'!$M$5="Snapshot"),"",IFERROR(BDP(TEXT(VALUE($A357),"0")&amp;" HK Equity","CHG_PCT_1D")/100,""))</f>
        <v/>
      </c>
      <c r="M357" s="15">
        <f>IF(AND(AH!$M$5="Snapshot",'IPO Live'!$M$5="Snapshot"),"",IFERROR(BDP(TEXT(VALUE($A357),"0")&amp;" HK Equity","LAST_UPDATE_DT"),""))</f>
        <v/>
      </c>
      <c r="N357" s="15">
        <f>IF(AND(AH!$M$5="Snapshot",'IPO Live'!$M$5="Snapshot"),"",IFERROR(BDP(TEXT(VALUE($A357),"0")&amp;" HK Equity","LAST_UPDATE"),""))</f>
        <v/>
      </c>
      <c r="O357" s="15">
        <f>IF('IPO Live'!$M$5="Snapshot",IF(ISNUMBER(G357),G357,"unavailable"),IF(AND(ISNUMBER(K357),N(K357)&gt;0),K357,IF('IPO Live'!$M$5="Auto",IF(ISNUMBER(G357),G357,"unavailable"),"unavailable")))</f>
        <v/>
      </c>
      <c r="P357" s="15">
        <f>IF(AND('IPO Live'!$M$5&lt;&gt;"Snapshot",ISNUMBER(K357),N(K357)&gt;0),"Bloomberg",IF(AND('IPO Live'!$M$5&lt;&gt;"Bloomberg",ISNUMBER(G357)),"Snapshot","Unavailable"))</f>
        <v/>
      </c>
      <c r="Q357" s="33">
        <f>IF(AND(P357="Bloomberg",ISNUMBER(L357)),L357,"unavailable")</f>
        <v/>
      </c>
      <c r="R357" s="15">
        <f>IF(OR('IPO Live'!$B$5="All",'IPO Live'!$B$5=C357,AND('IPO Live'!$B$5="A/H only",J357&gt;0)),1,0)</f>
        <v/>
      </c>
      <c r="S357" s="15">
        <f>IF(R357=1,COUNTIF($R$5:R357,1),"")</f>
        <v/>
      </c>
      <c r="T357">
        <f>1</f>
        <v/>
      </c>
      <c r="U357">
        <f>IF($P357="Bloomberg",$M357,$H357)</f>
        <v/>
      </c>
      <c r="AW357">
        <f>IF(AND(J357&gt;0,OR(AH!$I$5="All",AH!$I$5="A/H only",AH!$I$5=C357)),1,0)</f>
        <v/>
      </c>
      <c r="AX357">
        <f>IF(AW357=1,COUNTIF($AW$5:AW357,1),"")</f>
        <v/>
      </c>
      <c r="AY357">
        <f>IF(AH!$M$5="Snapshot",IF(ISNUMBER(G357),G357,"unavailable"),IF(AND(ISNUMBER(K357),N(K357)&gt;0),K357,IF(AH!$M$5="Auto",IF(ISNUMBER(G357),G357,"unavailable"),"unavailable")))</f>
        <v/>
      </c>
      <c r="AZ357">
        <f>IF(AND(AH!$M$5&lt;&gt;"Snapshot",ISNUMBER(K357),N(K357)&gt;0),"Bloomberg",IF(AND(AH!$M$5&lt;&gt;"Bloomberg",ISNUMBER(G357)),"Snapshot","Unavailable"))</f>
        <v/>
      </c>
      <c r="BA357">
        <f>IF(AZ357="Bloomberg",M357,H357)</f>
        <v/>
      </c>
      <c r="BB357">
        <f>1</f>
        <v/>
      </c>
    </row>
    <row r="358">
      <c r="A358" s="31" t="inlineStr">
        <is>
          <t>1880</t>
        </is>
      </c>
      <c r="B358" s="15" t="inlineStr">
        <is>
          <t>CTG DUTY-FREE</t>
        </is>
      </c>
      <c r="C358" s="15" t="inlineStr">
        <is>
          <t>Consumer</t>
        </is>
      </c>
      <c r="D358" s="15" t="inlineStr">
        <is>
          <t>Retail / distribution</t>
        </is>
      </c>
      <c r="E358" s="34" t="n">
        <v>44798</v>
      </c>
      <c r="F358" s="15" t="n">
        <v>158</v>
      </c>
      <c r="G358" s="15" t="n">
        <v>45.86</v>
      </c>
      <c r="H358" s="34" t="n">
        <v>46297</v>
      </c>
      <c r="I358" s="31" t="inlineStr">
        <is>
          <t>601888.SS</t>
        </is>
      </c>
      <c r="J358" s="15" t="n">
        <v>9</v>
      </c>
      <c r="K358" s="15">
        <f>IF(AND(AH!$M$5="Snapshot",'IPO Live'!$M$5="Snapshot"),"",IFERROR(BDP(TEXT(VALUE($A358),"0")&amp;" HK Equity","PX_LAST"),""))</f>
        <v/>
      </c>
      <c r="L358" s="15">
        <f>IF(AND(AH!$M$5="Snapshot",'IPO Live'!$M$5="Snapshot"),"",IFERROR(BDP(TEXT(VALUE($A358),"0")&amp;" HK Equity","CHG_PCT_1D")/100,""))</f>
        <v/>
      </c>
      <c r="M358" s="15">
        <f>IF(AND(AH!$M$5="Snapshot",'IPO Live'!$M$5="Snapshot"),"",IFERROR(BDP(TEXT(VALUE($A358),"0")&amp;" HK Equity","LAST_UPDATE_DT"),""))</f>
        <v/>
      </c>
      <c r="N358" s="15">
        <f>IF(AND(AH!$M$5="Snapshot",'IPO Live'!$M$5="Snapshot"),"",IFERROR(BDP(TEXT(VALUE($A358),"0")&amp;" HK Equity","LAST_UPDATE"),""))</f>
        <v/>
      </c>
      <c r="O358" s="15">
        <f>IF('IPO Live'!$M$5="Snapshot",IF(ISNUMBER(G358),G358,"unavailable"),IF(AND(ISNUMBER(K358),N(K358)&gt;0),K358,IF('IPO Live'!$M$5="Auto",IF(ISNUMBER(G358),G358,"unavailable"),"unavailable")))</f>
        <v/>
      </c>
      <c r="P358" s="15">
        <f>IF(AND('IPO Live'!$M$5&lt;&gt;"Snapshot",ISNUMBER(K358),N(K358)&gt;0),"Bloomberg",IF(AND('IPO Live'!$M$5&lt;&gt;"Bloomberg",ISNUMBER(G358)),"Snapshot","Unavailable"))</f>
        <v/>
      </c>
      <c r="Q358" s="33">
        <f>IF(AND(P358="Bloomberg",ISNUMBER(L358)),L358,"unavailable")</f>
        <v/>
      </c>
      <c r="R358" s="15">
        <f>IF(OR('IPO Live'!$B$5="All",'IPO Live'!$B$5=C358,AND('IPO Live'!$B$5="A/H only",J358&gt;0)),1,0)</f>
        <v/>
      </c>
      <c r="S358" s="15">
        <f>IF(R358=1,COUNTIF($R$5:R358,1),"")</f>
        <v/>
      </c>
      <c r="T358">
        <f>1</f>
        <v/>
      </c>
      <c r="U358">
        <f>IF($P358="Bloomberg",$M358,$H358)</f>
        <v/>
      </c>
      <c r="AW358">
        <f>IF(AND(J358&gt;0,OR(AH!$I$5="All",AH!$I$5="A/H only",AH!$I$5=C358)),1,0)</f>
        <v/>
      </c>
      <c r="AX358">
        <f>IF(AW358=1,COUNTIF($AW$5:AW358,1),"")</f>
        <v/>
      </c>
      <c r="AY358">
        <f>IF(AH!$M$5="Snapshot",IF(ISNUMBER(G358),G358,"unavailable"),IF(AND(ISNUMBER(K358),N(K358)&gt;0),K358,IF(AH!$M$5="Auto",IF(ISNUMBER(G358),G358,"unavailable"),"unavailable")))</f>
        <v/>
      </c>
      <c r="AZ358">
        <f>IF(AND(AH!$M$5&lt;&gt;"Snapshot",ISNUMBER(K358),N(K358)&gt;0),"Bloomberg",IF(AND(AH!$M$5&lt;&gt;"Bloomberg",ISNUMBER(G358)),"Snapshot","Unavailable"))</f>
        <v/>
      </c>
      <c r="BA358">
        <f>IF(AZ358="Bloomberg",M358,H358)</f>
        <v/>
      </c>
      <c r="BB358">
        <f>1</f>
        <v/>
      </c>
    </row>
    <row r="359">
      <c r="A359" s="31" t="inlineStr">
        <is>
          <t>9896</t>
        </is>
      </c>
      <c r="B359" s="15" t="inlineStr">
        <is>
          <t>MNSO</t>
        </is>
      </c>
      <c r="C359" s="15" t="inlineStr">
        <is>
          <t>Consumer</t>
        </is>
      </c>
      <c r="D359" s="15" t="inlineStr">
        <is>
          <t>Retail / distribution</t>
        </is>
      </c>
      <c r="E359" s="34" t="n">
        <v>44755</v>
      </c>
      <c r="F359" s="15" t="n">
        <v>13.8</v>
      </c>
      <c r="G359" s="15" t="n">
        <v>17.61</v>
      </c>
      <c r="H359" s="34" t="n">
        <v>46297</v>
      </c>
      <c r="I359" s="31" t="n"/>
      <c r="J359" s="15" t="n">
        <v>0</v>
      </c>
      <c r="K359" s="15">
        <f>IF(AND(AH!$M$5="Snapshot",'IPO Live'!$M$5="Snapshot"),"",IFERROR(BDP(TEXT(VALUE($A359),"0")&amp;" HK Equity","PX_LAST"),""))</f>
        <v/>
      </c>
      <c r="L359" s="15">
        <f>IF(AND(AH!$M$5="Snapshot",'IPO Live'!$M$5="Snapshot"),"",IFERROR(BDP(TEXT(VALUE($A359),"0")&amp;" HK Equity","CHG_PCT_1D")/100,""))</f>
        <v/>
      </c>
      <c r="M359" s="15">
        <f>IF(AND(AH!$M$5="Snapshot",'IPO Live'!$M$5="Snapshot"),"",IFERROR(BDP(TEXT(VALUE($A359),"0")&amp;" HK Equity","LAST_UPDATE_DT"),""))</f>
        <v/>
      </c>
      <c r="N359" s="15">
        <f>IF(AND(AH!$M$5="Snapshot",'IPO Live'!$M$5="Snapshot"),"",IFERROR(BDP(TEXT(VALUE($A359),"0")&amp;" HK Equity","LAST_UPDATE"),""))</f>
        <v/>
      </c>
      <c r="O359" s="15">
        <f>IF('IPO Live'!$M$5="Snapshot",IF(ISNUMBER(G359),G359,"unavailable"),IF(AND(ISNUMBER(K359),N(K359)&gt;0),K359,IF('IPO Live'!$M$5="Auto",IF(ISNUMBER(G359),G359,"unavailable"),"unavailable")))</f>
        <v/>
      </c>
      <c r="P359" s="15">
        <f>IF(AND('IPO Live'!$M$5&lt;&gt;"Snapshot",ISNUMBER(K359),N(K359)&gt;0),"Bloomberg",IF(AND('IPO Live'!$M$5&lt;&gt;"Bloomberg",ISNUMBER(G359)),"Snapshot","Unavailable"))</f>
        <v/>
      </c>
      <c r="Q359" s="33">
        <f>IF(AND(P359="Bloomberg",ISNUMBER(L359)),L359,"unavailable")</f>
        <v/>
      </c>
      <c r="R359" s="15">
        <f>IF(OR('IPO Live'!$B$5="All",'IPO Live'!$B$5=C359,AND('IPO Live'!$B$5="A/H only",J359&gt;0)),1,0)</f>
        <v/>
      </c>
      <c r="S359" s="15">
        <f>IF(R359=1,COUNTIF($R$5:R359,1),"")</f>
        <v/>
      </c>
      <c r="T359">
        <f>1</f>
        <v/>
      </c>
      <c r="U359">
        <f>IF($P359="Bloomberg",$M359,$H359)</f>
        <v/>
      </c>
      <c r="AW359">
        <f>IF(AND(J359&gt;0,OR(AH!$I$5="All",AH!$I$5="A/H only",AH!$I$5=C359)),1,0)</f>
        <v/>
      </c>
      <c r="AX359">
        <f>IF(AW359=1,COUNTIF($AW$5:AW359,1),"")</f>
        <v/>
      </c>
      <c r="AY359">
        <f>IF(AH!$M$5="Snapshot",IF(ISNUMBER(G359),G359,"unavailable"),IF(AND(ISNUMBER(K359),N(K359)&gt;0),K359,IF(AH!$M$5="Auto",IF(ISNUMBER(G359),G359,"unavailable"),"unavailable")))</f>
        <v/>
      </c>
      <c r="AZ359">
        <f>IF(AND(AH!$M$5&lt;&gt;"Snapshot",ISNUMBER(K359),N(K359)&gt;0),"Bloomberg",IF(AND(AH!$M$5&lt;&gt;"Bloomberg",ISNUMBER(G359)),"Snapshot","Unavailable"))</f>
        <v/>
      </c>
      <c r="BA359">
        <f>IF(AZ359="Bloomberg",M359,H359)</f>
        <v/>
      </c>
      <c r="BB359">
        <f>1</f>
        <v/>
      </c>
    </row>
    <row r="360">
      <c r="A360" s="31" t="inlineStr">
        <is>
          <t>2347</t>
        </is>
      </c>
      <c r="B360" s="15" t="inlineStr">
        <is>
          <t>YOHO GROUP</t>
        </is>
      </c>
      <c r="C360" s="15" t="inlineStr">
        <is>
          <t>Consumer</t>
        </is>
      </c>
      <c r="D360" s="15" t="inlineStr">
        <is>
          <t>Retail / distribution</t>
        </is>
      </c>
      <c r="E360" s="34" t="n">
        <v>44722</v>
      </c>
      <c r="F360" s="15" t="n">
        <v>2.1</v>
      </c>
      <c r="G360" s="15" t="n">
        <v>0.79</v>
      </c>
      <c r="H360" s="34" t="n">
        <v>46297</v>
      </c>
      <c r="I360" s="31" t="n"/>
      <c r="J360" s="15" t="n">
        <v>0</v>
      </c>
      <c r="K360" s="15">
        <f>IF(AND(AH!$M$5="Snapshot",'IPO Live'!$M$5="Snapshot"),"",IFERROR(BDP(TEXT(VALUE($A360),"0")&amp;" HK Equity","PX_LAST"),""))</f>
        <v/>
      </c>
      <c r="L360" s="15">
        <f>IF(AND(AH!$M$5="Snapshot",'IPO Live'!$M$5="Snapshot"),"",IFERROR(BDP(TEXT(VALUE($A360),"0")&amp;" HK Equity","CHG_PCT_1D")/100,""))</f>
        <v/>
      </c>
      <c r="M360" s="15">
        <f>IF(AND(AH!$M$5="Snapshot",'IPO Live'!$M$5="Snapshot"),"",IFERROR(BDP(TEXT(VALUE($A360),"0")&amp;" HK Equity","LAST_UPDATE_DT"),""))</f>
        <v/>
      </c>
      <c r="N360" s="15">
        <f>IF(AND(AH!$M$5="Snapshot",'IPO Live'!$M$5="Snapshot"),"",IFERROR(BDP(TEXT(VALUE($A360),"0")&amp;" HK Equity","LAST_UPDATE"),""))</f>
        <v/>
      </c>
      <c r="O360" s="15">
        <f>IF('IPO Live'!$M$5="Snapshot",IF(ISNUMBER(G360),G360,"unavailable"),IF(AND(ISNUMBER(K360),N(K360)&gt;0),K360,IF('IPO Live'!$M$5="Auto",IF(ISNUMBER(G360),G360,"unavailable"),"unavailable")))</f>
        <v/>
      </c>
      <c r="P360" s="15">
        <f>IF(AND('IPO Live'!$M$5&lt;&gt;"Snapshot",ISNUMBER(K360),N(K360)&gt;0),"Bloomberg",IF(AND('IPO Live'!$M$5&lt;&gt;"Bloomberg",ISNUMBER(G360)),"Snapshot","Unavailable"))</f>
        <v/>
      </c>
      <c r="Q360" s="33">
        <f>IF(AND(P360="Bloomberg",ISNUMBER(L360)),L360,"unavailable")</f>
        <v/>
      </c>
      <c r="R360" s="15">
        <f>IF(OR('IPO Live'!$B$5="All",'IPO Live'!$B$5=C360,AND('IPO Live'!$B$5="A/H only",J360&gt;0)),1,0)</f>
        <v/>
      </c>
      <c r="S360" s="15">
        <f>IF(R360=1,COUNTIF($R$5:R360,1),"")</f>
        <v/>
      </c>
      <c r="T360">
        <f>1</f>
        <v/>
      </c>
      <c r="U360">
        <f>IF($P360="Bloomberg",$M360,$H360)</f>
        <v/>
      </c>
      <c r="AW360">
        <f>IF(AND(J360&gt;0,OR(AH!$I$5="All",AH!$I$5="A/H only",AH!$I$5=C360)),1,0)</f>
        <v/>
      </c>
      <c r="AX360">
        <f>IF(AW360=1,COUNTIF($AW$5:AW360,1),"")</f>
        <v/>
      </c>
      <c r="AY360">
        <f>IF(AH!$M$5="Snapshot",IF(ISNUMBER(G360),G360,"unavailable"),IF(AND(ISNUMBER(K360),N(K360)&gt;0),K360,IF(AH!$M$5="Auto",IF(ISNUMBER(G360),G360,"unavailable"),"unavailable")))</f>
        <v/>
      </c>
      <c r="AZ360">
        <f>IF(AND(AH!$M$5&lt;&gt;"Snapshot",ISNUMBER(K360),N(K360)&gt;0),"Bloomberg",IF(AND(AH!$M$5&lt;&gt;"Bloomberg",ISNUMBER(G360)),"Snapshot","Unavailable"))</f>
        <v/>
      </c>
      <c r="BA360">
        <f>IF(AZ360="Bloomberg",M360,H360)</f>
        <v/>
      </c>
      <c r="BB360">
        <f>1</f>
        <v/>
      </c>
    </row>
    <row r="361">
      <c r="A361" s="31" t="inlineStr">
        <is>
          <t>9638</t>
        </is>
      </c>
      <c r="B361" s="15" t="inlineStr">
        <is>
          <t>FERRETTI</t>
        </is>
      </c>
      <c r="C361" s="15" t="inlineStr">
        <is>
          <t>Consumer</t>
        </is>
      </c>
      <c r="D361" s="15" t="inlineStr">
        <is>
          <t>Apparel / luxury</t>
        </is>
      </c>
      <c r="E361" s="34" t="n">
        <v>44651</v>
      </c>
      <c r="F361" s="15" t="n">
        <v>22.88</v>
      </c>
      <c r="G361" s="15" t="n">
        <v>35.68</v>
      </c>
      <c r="H361" s="34" t="n">
        <v>46297</v>
      </c>
      <c r="I361" s="31" t="n"/>
      <c r="J361" s="15" t="n">
        <v>0</v>
      </c>
      <c r="K361" s="15">
        <f>IF(AND(AH!$M$5="Snapshot",'IPO Live'!$M$5="Snapshot"),"",IFERROR(BDP(TEXT(VALUE($A361),"0")&amp;" HK Equity","PX_LAST"),""))</f>
        <v/>
      </c>
      <c r="L361" s="15">
        <f>IF(AND(AH!$M$5="Snapshot",'IPO Live'!$M$5="Snapshot"),"",IFERROR(BDP(TEXT(VALUE($A361),"0")&amp;" HK Equity","CHG_PCT_1D")/100,""))</f>
        <v/>
      </c>
      <c r="M361" s="15">
        <f>IF(AND(AH!$M$5="Snapshot",'IPO Live'!$M$5="Snapshot"),"",IFERROR(BDP(TEXT(VALUE($A361),"0")&amp;" HK Equity","LAST_UPDATE_DT"),""))</f>
        <v/>
      </c>
      <c r="N361" s="15">
        <f>IF(AND(AH!$M$5="Snapshot",'IPO Live'!$M$5="Snapshot"),"",IFERROR(BDP(TEXT(VALUE($A361),"0")&amp;" HK Equity","LAST_UPDATE"),""))</f>
        <v/>
      </c>
      <c r="O361" s="15">
        <f>IF('IPO Live'!$M$5="Snapshot",IF(ISNUMBER(G361),G361,"unavailable"),IF(AND(ISNUMBER(K361),N(K361)&gt;0),K361,IF('IPO Live'!$M$5="Auto",IF(ISNUMBER(G361),G361,"unavailable"),"unavailable")))</f>
        <v/>
      </c>
      <c r="P361" s="15">
        <f>IF(AND('IPO Live'!$M$5&lt;&gt;"Snapshot",ISNUMBER(K361),N(K361)&gt;0),"Bloomberg",IF(AND('IPO Live'!$M$5&lt;&gt;"Bloomberg",ISNUMBER(G361)),"Snapshot","Unavailable"))</f>
        <v/>
      </c>
      <c r="Q361" s="33">
        <f>IF(AND(P361="Bloomberg",ISNUMBER(L361)),L361,"unavailable")</f>
        <v/>
      </c>
      <c r="R361" s="15">
        <f>IF(OR('IPO Live'!$B$5="All",'IPO Live'!$B$5=C361,AND('IPO Live'!$B$5="A/H only",J361&gt;0)),1,0)</f>
        <v/>
      </c>
      <c r="S361" s="15">
        <f>IF(R361=1,COUNTIF($R$5:R361,1),"")</f>
        <v/>
      </c>
      <c r="T361">
        <f>1</f>
        <v/>
      </c>
      <c r="U361">
        <f>IF($P361="Bloomberg",$M361,$H361)</f>
        <v/>
      </c>
      <c r="AW361">
        <f>IF(AND(J361&gt;0,OR(AH!$I$5="All",AH!$I$5="A/H only",AH!$I$5=C361)),1,0)</f>
        <v/>
      </c>
      <c r="AX361">
        <f>IF(AW361=1,COUNTIF($AW$5:AW361,1),"")</f>
        <v/>
      </c>
      <c r="AY361">
        <f>IF(AH!$M$5="Snapshot",IF(ISNUMBER(G361),G361,"unavailable"),IF(AND(ISNUMBER(K361),N(K361)&gt;0),K361,IF(AH!$M$5="Auto",IF(ISNUMBER(G361),G361,"unavailable"),"unavailable")))</f>
        <v/>
      </c>
      <c r="AZ361">
        <f>IF(AND(AH!$M$5&lt;&gt;"Snapshot",ISNUMBER(K361),N(K361)&gt;0),"Bloomberg",IF(AND(AH!$M$5&lt;&gt;"Bloomberg",ISNUMBER(G361)),"Snapshot","Unavailable"))</f>
        <v/>
      </c>
      <c r="BA361">
        <f>IF(AZ361="Bloomberg",M361,H361)</f>
        <v/>
      </c>
      <c r="BB361">
        <f>1</f>
        <v/>
      </c>
    </row>
    <row r="362">
      <c r="A362" s="31" t="inlineStr">
        <is>
          <t>9869</t>
        </is>
      </c>
      <c r="B362" s="15" t="inlineStr">
        <is>
          <t>HELENS</t>
        </is>
      </c>
      <c r="C362" s="15" t="inlineStr">
        <is>
          <t>Consumer</t>
        </is>
      </c>
      <c r="D362" s="15" t="inlineStr">
        <is>
          <t>F&amp;B chains / restaurants</t>
        </is>
      </c>
      <c r="E362" s="34" t="n">
        <v>44449</v>
      </c>
      <c r="F362" s="15" t="n">
        <v>19.77</v>
      </c>
      <c r="G362" s="15" t="n">
        <v>0.9399999999999999</v>
      </c>
      <c r="H362" s="34" t="n">
        <v>46297</v>
      </c>
      <c r="I362" s="31" t="n"/>
      <c r="J362" s="15" t="n">
        <v>0</v>
      </c>
      <c r="K362" s="15">
        <f>IF(AND(AH!$M$5="Snapshot",'IPO Live'!$M$5="Snapshot"),"",IFERROR(BDP(TEXT(VALUE($A362),"0")&amp;" HK Equity","PX_LAST"),""))</f>
        <v/>
      </c>
      <c r="L362" s="15">
        <f>IF(AND(AH!$M$5="Snapshot",'IPO Live'!$M$5="Snapshot"),"",IFERROR(BDP(TEXT(VALUE($A362),"0")&amp;" HK Equity","CHG_PCT_1D")/100,""))</f>
        <v/>
      </c>
      <c r="M362" s="15">
        <f>IF(AND(AH!$M$5="Snapshot",'IPO Live'!$M$5="Snapshot"),"",IFERROR(BDP(TEXT(VALUE($A362),"0")&amp;" HK Equity","LAST_UPDATE_DT"),""))</f>
        <v/>
      </c>
      <c r="N362" s="15">
        <f>IF(AND(AH!$M$5="Snapshot",'IPO Live'!$M$5="Snapshot"),"",IFERROR(BDP(TEXT(VALUE($A362),"0")&amp;" HK Equity","LAST_UPDATE"),""))</f>
        <v/>
      </c>
      <c r="O362" s="15">
        <f>IF('IPO Live'!$M$5="Snapshot",IF(ISNUMBER(G362),G362,"unavailable"),IF(AND(ISNUMBER(K362),N(K362)&gt;0),K362,IF('IPO Live'!$M$5="Auto",IF(ISNUMBER(G362),G362,"unavailable"),"unavailable")))</f>
        <v/>
      </c>
      <c r="P362" s="15">
        <f>IF(AND('IPO Live'!$M$5&lt;&gt;"Snapshot",ISNUMBER(K362),N(K362)&gt;0),"Bloomberg",IF(AND('IPO Live'!$M$5&lt;&gt;"Bloomberg",ISNUMBER(G362)),"Snapshot","Unavailable"))</f>
        <v/>
      </c>
      <c r="Q362" s="33">
        <f>IF(AND(P362="Bloomberg",ISNUMBER(L362)),L362,"unavailable")</f>
        <v/>
      </c>
      <c r="R362" s="15">
        <f>IF(OR('IPO Live'!$B$5="All",'IPO Live'!$B$5=C362,AND('IPO Live'!$B$5="A/H only",J362&gt;0)),1,0)</f>
        <v/>
      </c>
      <c r="S362" s="15">
        <f>IF(R362=1,COUNTIF($R$5:R362,1),"")</f>
        <v/>
      </c>
      <c r="T362">
        <f>1</f>
        <v/>
      </c>
      <c r="U362">
        <f>IF($P362="Bloomberg",$M362,$H362)</f>
        <v/>
      </c>
      <c r="AW362">
        <f>IF(AND(J362&gt;0,OR(AH!$I$5="All",AH!$I$5="A/H only",AH!$I$5=C362)),1,0)</f>
        <v/>
      </c>
      <c r="AX362">
        <f>IF(AW362=1,COUNTIF($AW$5:AW362,1),"")</f>
        <v/>
      </c>
      <c r="AY362">
        <f>IF(AH!$M$5="Snapshot",IF(ISNUMBER(G362),G362,"unavailable"),IF(AND(ISNUMBER(K362),N(K362)&gt;0),K362,IF(AH!$M$5="Auto",IF(ISNUMBER(G362),G362,"unavailable"),"unavailable")))</f>
        <v/>
      </c>
      <c r="AZ362">
        <f>IF(AND(AH!$M$5&lt;&gt;"Snapshot",ISNUMBER(K362),N(K362)&gt;0),"Bloomberg",IF(AND(AH!$M$5&lt;&gt;"Bloomberg",ISNUMBER(G362)),"Snapshot","Unavailable"))</f>
        <v/>
      </c>
      <c r="BA362">
        <f>IF(AZ362="Bloomberg",M362,H362)</f>
        <v/>
      </c>
      <c r="BB362">
        <f>1</f>
        <v/>
      </c>
    </row>
    <row r="363">
      <c r="A363" s="31" t="inlineStr">
        <is>
          <t>2015</t>
        </is>
      </c>
      <c r="B363" s="15" t="inlineStr">
        <is>
          <t>LI AUTO-W</t>
        </is>
      </c>
      <c r="C363" s="15" t="inlineStr">
        <is>
          <t>Consumer</t>
        </is>
      </c>
      <c r="D363" s="15" t="inlineStr">
        <is>
          <t>Autos (NEV OEM)</t>
        </is>
      </c>
      <c r="E363" s="34" t="n">
        <v>44420</v>
      </c>
      <c r="F363" s="15" t="n">
        <v>118</v>
      </c>
      <c r="G363" s="15" t="n">
        <v>42.62</v>
      </c>
      <c r="H363" s="34" t="n">
        <v>46297</v>
      </c>
      <c r="I363" s="31" t="n"/>
      <c r="J363" s="15" t="n">
        <v>0</v>
      </c>
      <c r="K363" s="15">
        <f>IF(AND(AH!$M$5="Snapshot",'IPO Live'!$M$5="Snapshot"),"",IFERROR(BDP(TEXT(VALUE($A363),"0")&amp;" HK Equity","PX_LAST"),""))</f>
        <v/>
      </c>
      <c r="L363" s="15">
        <f>IF(AND(AH!$M$5="Snapshot",'IPO Live'!$M$5="Snapshot"),"",IFERROR(BDP(TEXT(VALUE($A363),"0")&amp;" HK Equity","CHG_PCT_1D")/100,""))</f>
        <v/>
      </c>
      <c r="M363" s="15">
        <f>IF(AND(AH!$M$5="Snapshot",'IPO Live'!$M$5="Snapshot"),"",IFERROR(BDP(TEXT(VALUE($A363),"0")&amp;" HK Equity","LAST_UPDATE_DT"),""))</f>
        <v/>
      </c>
      <c r="N363" s="15">
        <f>IF(AND(AH!$M$5="Snapshot",'IPO Live'!$M$5="Snapshot"),"",IFERROR(BDP(TEXT(VALUE($A363),"0")&amp;" HK Equity","LAST_UPDATE"),""))</f>
        <v/>
      </c>
      <c r="O363" s="15">
        <f>IF('IPO Live'!$M$5="Snapshot",IF(ISNUMBER(G363),G363,"unavailable"),IF(AND(ISNUMBER(K363),N(K363)&gt;0),K363,IF('IPO Live'!$M$5="Auto",IF(ISNUMBER(G363),G363,"unavailable"),"unavailable")))</f>
        <v/>
      </c>
      <c r="P363" s="15">
        <f>IF(AND('IPO Live'!$M$5&lt;&gt;"Snapshot",ISNUMBER(K363),N(K363)&gt;0),"Bloomberg",IF(AND('IPO Live'!$M$5&lt;&gt;"Bloomberg",ISNUMBER(G363)),"Snapshot","Unavailable"))</f>
        <v/>
      </c>
      <c r="Q363" s="33">
        <f>IF(AND(P363="Bloomberg",ISNUMBER(L363)),L363,"unavailable")</f>
        <v/>
      </c>
      <c r="R363" s="15">
        <f>IF(OR('IPO Live'!$B$5="All",'IPO Live'!$B$5=C363,AND('IPO Live'!$B$5="A/H only",J363&gt;0)),1,0)</f>
        <v/>
      </c>
      <c r="S363" s="15">
        <f>IF(R363=1,COUNTIF($R$5:R363,1),"")</f>
        <v/>
      </c>
      <c r="T363">
        <f>1</f>
        <v/>
      </c>
      <c r="U363">
        <f>IF($P363="Bloomberg",$M363,$H363)</f>
        <v/>
      </c>
      <c r="AW363">
        <f>IF(AND(J363&gt;0,OR(AH!$I$5="All",AH!$I$5="A/H only",AH!$I$5=C363)),1,0)</f>
        <v/>
      </c>
      <c r="AX363">
        <f>IF(AW363=1,COUNTIF($AW$5:AW363,1),"")</f>
        <v/>
      </c>
      <c r="AY363">
        <f>IF(AH!$M$5="Snapshot",IF(ISNUMBER(G363),G363,"unavailable"),IF(AND(ISNUMBER(K363),N(K363)&gt;0),K363,IF(AH!$M$5="Auto",IF(ISNUMBER(G363),G363,"unavailable"),"unavailable")))</f>
        <v/>
      </c>
      <c r="AZ363">
        <f>IF(AND(AH!$M$5&lt;&gt;"Snapshot",ISNUMBER(K363),N(K363)&gt;0),"Bloomberg",IF(AND(AH!$M$5&lt;&gt;"Bloomberg",ISNUMBER(G363)),"Snapshot","Unavailable"))</f>
        <v/>
      </c>
      <c r="BA363">
        <f>IF(AZ363="Bloomberg",M363,H363)</f>
        <v/>
      </c>
      <c r="BB363">
        <f>1</f>
        <v/>
      </c>
    </row>
    <row r="364">
      <c r="A364" s="31" t="inlineStr">
        <is>
          <t>2175</t>
        </is>
      </c>
      <c r="B364" s="15" t="inlineStr">
        <is>
          <t>CH GENERAL EDU</t>
        </is>
      </c>
      <c r="C364" s="15" t="inlineStr">
        <is>
          <t>Consumer</t>
        </is>
      </c>
      <c r="D364" s="15" t="inlineStr">
        <is>
          <t>Consumer services / education</t>
        </is>
      </c>
      <c r="E364" s="34" t="n">
        <v>44393</v>
      </c>
      <c r="F364" s="15" t="n">
        <v>3.69</v>
      </c>
      <c r="G364" s="15" t="n">
        <v>2.205</v>
      </c>
      <c r="H364" s="34" t="n">
        <v>46297</v>
      </c>
      <c r="I364" s="31" t="n"/>
      <c r="J364" s="15" t="n">
        <v>0</v>
      </c>
      <c r="K364" s="15">
        <f>IF(AND(AH!$M$5="Snapshot",'IPO Live'!$M$5="Snapshot"),"",IFERROR(BDP(TEXT(VALUE($A364),"0")&amp;" HK Equity","PX_LAST"),""))</f>
        <v/>
      </c>
      <c r="L364" s="15">
        <f>IF(AND(AH!$M$5="Snapshot",'IPO Live'!$M$5="Snapshot"),"",IFERROR(BDP(TEXT(VALUE($A364),"0")&amp;" HK Equity","CHG_PCT_1D")/100,""))</f>
        <v/>
      </c>
      <c r="M364" s="15">
        <f>IF(AND(AH!$M$5="Snapshot",'IPO Live'!$M$5="Snapshot"),"",IFERROR(BDP(TEXT(VALUE($A364),"0")&amp;" HK Equity","LAST_UPDATE_DT"),""))</f>
        <v/>
      </c>
      <c r="N364" s="15">
        <f>IF(AND(AH!$M$5="Snapshot",'IPO Live'!$M$5="Snapshot"),"",IFERROR(BDP(TEXT(VALUE($A364),"0")&amp;" HK Equity","LAST_UPDATE"),""))</f>
        <v/>
      </c>
      <c r="O364" s="15">
        <f>IF('IPO Live'!$M$5="Snapshot",IF(ISNUMBER(G364),G364,"unavailable"),IF(AND(ISNUMBER(K364),N(K364)&gt;0),K364,IF('IPO Live'!$M$5="Auto",IF(ISNUMBER(G364),G364,"unavailable"),"unavailable")))</f>
        <v/>
      </c>
      <c r="P364" s="15">
        <f>IF(AND('IPO Live'!$M$5&lt;&gt;"Snapshot",ISNUMBER(K364),N(K364)&gt;0),"Bloomberg",IF(AND('IPO Live'!$M$5&lt;&gt;"Bloomberg",ISNUMBER(G364)),"Snapshot","Unavailable"))</f>
        <v/>
      </c>
      <c r="Q364" s="33">
        <f>IF(AND(P364="Bloomberg",ISNUMBER(L364)),L364,"unavailable")</f>
        <v/>
      </c>
      <c r="R364" s="15">
        <f>IF(OR('IPO Live'!$B$5="All",'IPO Live'!$B$5=C364,AND('IPO Live'!$B$5="A/H only",J364&gt;0)),1,0)</f>
        <v/>
      </c>
      <c r="S364" s="15">
        <f>IF(R364=1,COUNTIF($R$5:R364,1),"")</f>
        <v/>
      </c>
      <c r="T364">
        <f>1</f>
        <v/>
      </c>
      <c r="U364">
        <f>IF($P364="Bloomberg",$M364,$H364)</f>
        <v/>
      </c>
      <c r="AW364">
        <f>IF(AND(J364&gt;0,OR(AH!$I$5="All",AH!$I$5="A/H only",AH!$I$5=C364)),1,0)</f>
        <v/>
      </c>
      <c r="AX364">
        <f>IF(AW364=1,COUNTIF($AW$5:AW364,1),"")</f>
        <v/>
      </c>
      <c r="AY364">
        <f>IF(AH!$M$5="Snapshot",IF(ISNUMBER(G364),G364,"unavailable"),IF(AND(ISNUMBER(K364),N(K364)&gt;0),K364,IF(AH!$M$5="Auto",IF(ISNUMBER(G364),G364,"unavailable"),"unavailable")))</f>
        <v/>
      </c>
      <c r="AZ364">
        <f>IF(AND(AH!$M$5&lt;&gt;"Snapshot",ISNUMBER(K364),N(K364)&gt;0),"Bloomberg",IF(AND(AH!$M$5&lt;&gt;"Bloomberg",ISNUMBER(G364)),"Snapshot","Unavailable"))</f>
        <v/>
      </c>
      <c r="BA364">
        <f>IF(AZ364="Bloomberg",M364,H364)</f>
        <v/>
      </c>
      <c r="BB364">
        <f>1</f>
        <v/>
      </c>
    </row>
    <row r="365">
      <c r="A365" s="31" t="inlineStr">
        <is>
          <t>6909</t>
        </is>
      </c>
      <c r="B365" s="15" t="inlineStr">
        <is>
          <t>BETTERLIFE HLDG</t>
        </is>
      </c>
      <c r="C365" s="15" t="inlineStr">
        <is>
          <t>Consumer</t>
        </is>
      </c>
      <c r="D365" s="15" t="inlineStr">
        <is>
          <t>Retail / distribution</t>
        </is>
      </c>
      <c r="E365" s="34" t="n">
        <v>44392</v>
      </c>
      <c r="F365" s="15" t="n">
        <v>4.4</v>
      </c>
      <c r="G365" s="15" t="n">
        <v>0.223</v>
      </c>
      <c r="H365" s="34" t="n">
        <v>46297</v>
      </c>
      <c r="I365" s="31" t="n"/>
      <c r="J365" s="15" t="n">
        <v>0</v>
      </c>
      <c r="K365" s="15">
        <f>IF(AND(AH!$M$5="Snapshot",'IPO Live'!$M$5="Snapshot"),"",IFERROR(BDP(TEXT(VALUE($A365),"0")&amp;" HK Equity","PX_LAST"),""))</f>
        <v/>
      </c>
      <c r="L365" s="15">
        <f>IF(AND(AH!$M$5="Snapshot",'IPO Live'!$M$5="Snapshot"),"",IFERROR(BDP(TEXT(VALUE($A365),"0")&amp;" HK Equity","CHG_PCT_1D")/100,""))</f>
        <v/>
      </c>
      <c r="M365" s="15">
        <f>IF(AND(AH!$M$5="Snapshot",'IPO Live'!$M$5="Snapshot"),"",IFERROR(BDP(TEXT(VALUE($A365),"0")&amp;" HK Equity","LAST_UPDATE_DT"),""))</f>
        <v/>
      </c>
      <c r="N365" s="15">
        <f>IF(AND(AH!$M$5="Snapshot",'IPO Live'!$M$5="Snapshot"),"",IFERROR(BDP(TEXT(VALUE($A365),"0")&amp;" HK Equity","LAST_UPDATE"),""))</f>
        <v/>
      </c>
      <c r="O365" s="15">
        <f>IF('IPO Live'!$M$5="Snapshot",IF(ISNUMBER(G365),G365,"unavailable"),IF(AND(ISNUMBER(K365),N(K365)&gt;0),K365,IF('IPO Live'!$M$5="Auto",IF(ISNUMBER(G365),G365,"unavailable"),"unavailable")))</f>
        <v/>
      </c>
      <c r="P365" s="15">
        <f>IF(AND('IPO Live'!$M$5&lt;&gt;"Snapshot",ISNUMBER(K365),N(K365)&gt;0),"Bloomberg",IF(AND('IPO Live'!$M$5&lt;&gt;"Bloomberg",ISNUMBER(G365)),"Snapshot","Unavailable"))</f>
        <v/>
      </c>
      <c r="Q365" s="33">
        <f>IF(AND(P365="Bloomberg",ISNUMBER(L365)),L365,"unavailable")</f>
        <v/>
      </c>
      <c r="R365" s="15">
        <f>IF(OR('IPO Live'!$B$5="All",'IPO Live'!$B$5=C365,AND('IPO Live'!$B$5="A/H only",J365&gt;0)),1,0)</f>
        <v/>
      </c>
      <c r="S365" s="15">
        <f>IF(R365=1,COUNTIF($R$5:R365,1),"")</f>
        <v/>
      </c>
      <c r="T365">
        <f>1</f>
        <v/>
      </c>
      <c r="U365">
        <f>IF($P365="Bloomberg",$M365,$H365)</f>
        <v/>
      </c>
      <c r="AW365">
        <f>IF(AND(J365&gt;0,OR(AH!$I$5="All",AH!$I$5="A/H only",AH!$I$5=C365)),1,0)</f>
        <v/>
      </c>
      <c r="AX365">
        <f>IF(AW365=1,COUNTIF($AW$5:AW365,1),"")</f>
        <v/>
      </c>
      <c r="AY365">
        <f>IF(AH!$M$5="Snapshot",IF(ISNUMBER(G365),G365,"unavailable"),IF(AND(ISNUMBER(K365),N(K365)&gt;0),K365,IF(AH!$M$5="Auto",IF(ISNUMBER(G365),G365,"unavailable"),"unavailable")))</f>
        <v/>
      </c>
      <c r="AZ365">
        <f>IF(AND(AH!$M$5&lt;&gt;"Snapshot",ISNUMBER(K365),N(K365)&gt;0),"Bloomberg",IF(AND(AH!$M$5&lt;&gt;"Bloomberg",ISNUMBER(G365)),"Snapshot","Unavailable"))</f>
        <v/>
      </c>
      <c r="BA365">
        <f>IF(AZ365="Bloomberg",M365,H365)</f>
        <v/>
      </c>
      <c r="BB365">
        <f>1</f>
        <v/>
      </c>
    </row>
    <row r="366">
      <c r="A366" s="31" t="inlineStr">
        <is>
          <t>6913</t>
        </is>
      </c>
      <c r="B366" s="15" t="inlineStr">
        <is>
          <t>SCVE GROUP</t>
        </is>
      </c>
      <c r="C366" s="15" t="inlineStr">
        <is>
          <t>Consumer</t>
        </is>
      </c>
      <c r="D366" s="15" t="inlineStr">
        <is>
          <t>Consumer services / education</t>
        </is>
      </c>
      <c r="E366" s="34" t="n">
        <v>44390</v>
      </c>
      <c r="F366" s="15" t="n">
        <v>1.59</v>
      </c>
      <c r="G366" s="15" t="n">
        <v>0.09</v>
      </c>
      <c r="H366" s="34" t="n">
        <v>46297</v>
      </c>
      <c r="I366" s="31" t="n"/>
      <c r="J366" s="15" t="n">
        <v>0</v>
      </c>
      <c r="K366" s="15">
        <f>IF(AND(AH!$M$5="Snapshot",'IPO Live'!$M$5="Snapshot"),"",IFERROR(BDP(TEXT(VALUE($A366),"0")&amp;" HK Equity","PX_LAST"),""))</f>
        <v/>
      </c>
      <c r="L366" s="15">
        <f>IF(AND(AH!$M$5="Snapshot",'IPO Live'!$M$5="Snapshot"),"",IFERROR(BDP(TEXT(VALUE($A366),"0")&amp;" HK Equity","CHG_PCT_1D")/100,""))</f>
        <v/>
      </c>
      <c r="M366" s="15">
        <f>IF(AND(AH!$M$5="Snapshot",'IPO Live'!$M$5="Snapshot"),"",IFERROR(BDP(TEXT(VALUE($A366),"0")&amp;" HK Equity","LAST_UPDATE_DT"),""))</f>
        <v/>
      </c>
      <c r="N366" s="15">
        <f>IF(AND(AH!$M$5="Snapshot",'IPO Live'!$M$5="Snapshot"),"",IFERROR(BDP(TEXT(VALUE($A366),"0")&amp;" HK Equity","LAST_UPDATE"),""))</f>
        <v/>
      </c>
      <c r="O366" s="15">
        <f>IF('IPO Live'!$M$5="Snapshot",IF(ISNUMBER(G366),G366,"unavailable"),IF(AND(ISNUMBER(K366),N(K366)&gt;0),K366,IF('IPO Live'!$M$5="Auto",IF(ISNUMBER(G366),G366,"unavailable"),"unavailable")))</f>
        <v/>
      </c>
      <c r="P366" s="15">
        <f>IF(AND('IPO Live'!$M$5&lt;&gt;"Snapshot",ISNUMBER(K366),N(K366)&gt;0),"Bloomberg",IF(AND('IPO Live'!$M$5&lt;&gt;"Bloomberg",ISNUMBER(G366)),"Snapshot","Unavailable"))</f>
        <v/>
      </c>
      <c r="Q366" s="33">
        <f>IF(AND(P366="Bloomberg",ISNUMBER(L366)),L366,"unavailable")</f>
        <v/>
      </c>
      <c r="R366" s="15">
        <f>IF(OR('IPO Live'!$B$5="All",'IPO Live'!$B$5=C366,AND('IPO Live'!$B$5="A/H only",J366&gt;0)),1,0)</f>
        <v/>
      </c>
      <c r="S366" s="15">
        <f>IF(R366=1,COUNTIF($R$5:R366,1),"")</f>
        <v/>
      </c>
      <c r="T366">
        <f>1</f>
        <v/>
      </c>
      <c r="U366">
        <f>IF($P366="Bloomberg",$M366,$H366)</f>
        <v/>
      </c>
      <c r="AW366">
        <f>IF(AND(J366&gt;0,OR(AH!$I$5="All",AH!$I$5="A/H only",AH!$I$5=C366)),1,0)</f>
        <v/>
      </c>
      <c r="AX366">
        <f>IF(AW366=1,COUNTIF($AW$5:AW366,1),"")</f>
        <v/>
      </c>
      <c r="AY366">
        <f>IF(AH!$M$5="Snapshot",IF(ISNUMBER(G366),G366,"unavailable"),IF(AND(ISNUMBER(K366),N(K366)&gt;0),K366,IF(AH!$M$5="Auto",IF(ISNUMBER(G366),G366,"unavailable"),"unavailable")))</f>
        <v/>
      </c>
      <c r="AZ366">
        <f>IF(AND(AH!$M$5&lt;&gt;"Snapshot",ISNUMBER(K366),N(K366)&gt;0),"Bloomberg",IF(AND(AH!$M$5&lt;&gt;"Bloomberg",ISNUMBER(G366)),"Snapshot","Unavailable"))</f>
        <v/>
      </c>
      <c r="BA366">
        <f>IF(AZ366="Bloomberg",M366,H366)</f>
        <v/>
      </c>
      <c r="BB366">
        <f>1</f>
        <v/>
      </c>
    </row>
    <row r="367">
      <c r="A367" s="31" t="inlineStr">
        <is>
          <t>9868</t>
        </is>
      </c>
      <c r="B367" s="15" t="inlineStr">
        <is>
          <t>XPENG-W</t>
        </is>
      </c>
      <c r="C367" s="15" t="inlineStr">
        <is>
          <t>Consumer</t>
        </is>
      </c>
      <c r="D367" s="15" t="inlineStr">
        <is>
          <t>Autos (NEV OEM)</t>
        </is>
      </c>
      <c r="E367" s="34" t="n">
        <v>44384</v>
      </c>
      <c r="F367" s="15" t="n">
        <v>165</v>
      </c>
      <c r="G367" s="15" t="n">
        <v>36.36</v>
      </c>
      <c r="H367" s="34" t="n">
        <v>46297</v>
      </c>
      <c r="I367" s="31" t="n"/>
      <c r="J367" s="15" t="n">
        <v>0</v>
      </c>
      <c r="K367" s="15">
        <f>IF(AND(AH!$M$5="Snapshot",'IPO Live'!$M$5="Snapshot"),"",IFERROR(BDP(TEXT(VALUE($A367),"0")&amp;" HK Equity","PX_LAST"),""))</f>
        <v/>
      </c>
      <c r="L367" s="15">
        <f>IF(AND(AH!$M$5="Snapshot",'IPO Live'!$M$5="Snapshot"),"",IFERROR(BDP(TEXT(VALUE($A367),"0")&amp;" HK Equity","CHG_PCT_1D")/100,""))</f>
        <v/>
      </c>
      <c r="M367" s="15">
        <f>IF(AND(AH!$M$5="Snapshot",'IPO Live'!$M$5="Snapshot"),"",IFERROR(BDP(TEXT(VALUE($A367),"0")&amp;" HK Equity","LAST_UPDATE_DT"),""))</f>
        <v/>
      </c>
      <c r="N367" s="15">
        <f>IF(AND(AH!$M$5="Snapshot",'IPO Live'!$M$5="Snapshot"),"",IFERROR(BDP(TEXT(VALUE($A367),"0")&amp;" HK Equity","LAST_UPDATE"),""))</f>
        <v/>
      </c>
      <c r="O367" s="15">
        <f>IF('IPO Live'!$M$5="Snapshot",IF(ISNUMBER(G367),G367,"unavailable"),IF(AND(ISNUMBER(K367),N(K367)&gt;0),K367,IF('IPO Live'!$M$5="Auto",IF(ISNUMBER(G367),G367,"unavailable"),"unavailable")))</f>
        <v/>
      </c>
      <c r="P367" s="15">
        <f>IF(AND('IPO Live'!$M$5&lt;&gt;"Snapshot",ISNUMBER(K367),N(K367)&gt;0),"Bloomberg",IF(AND('IPO Live'!$M$5&lt;&gt;"Bloomberg",ISNUMBER(G367)),"Snapshot","Unavailable"))</f>
        <v/>
      </c>
      <c r="Q367" s="33">
        <f>IF(AND(P367="Bloomberg",ISNUMBER(L367)),L367,"unavailable")</f>
        <v/>
      </c>
      <c r="R367" s="15">
        <f>IF(OR('IPO Live'!$B$5="All",'IPO Live'!$B$5=C367,AND('IPO Live'!$B$5="A/H only",J367&gt;0)),1,0)</f>
        <v/>
      </c>
      <c r="S367" s="15">
        <f>IF(R367=1,COUNTIF($R$5:R367,1),"")</f>
        <v/>
      </c>
      <c r="T367">
        <f>1</f>
        <v/>
      </c>
      <c r="U367">
        <f>IF($P367="Bloomberg",$M367,$H367)</f>
        <v/>
      </c>
      <c r="AW367">
        <f>IF(AND(J367&gt;0,OR(AH!$I$5="All",AH!$I$5="A/H only",AH!$I$5=C367)),1,0)</f>
        <v/>
      </c>
      <c r="AX367">
        <f>IF(AW367=1,COUNTIF($AW$5:AW367,1),"")</f>
        <v/>
      </c>
      <c r="AY367">
        <f>IF(AH!$M$5="Snapshot",IF(ISNUMBER(G367),G367,"unavailable"),IF(AND(ISNUMBER(K367),N(K367)&gt;0),K367,IF(AH!$M$5="Auto",IF(ISNUMBER(G367),G367,"unavailable"),"unavailable")))</f>
        <v/>
      </c>
      <c r="AZ367">
        <f>IF(AND(AH!$M$5&lt;&gt;"Snapshot",ISNUMBER(K367),N(K367)&gt;0),"Bloomberg",IF(AND(AH!$M$5&lt;&gt;"Bloomberg",ISNUMBER(G367)),"Snapshot","Unavailable"))</f>
        <v/>
      </c>
      <c r="BA367">
        <f>IF(AZ367="Bloomberg",M367,H367)</f>
        <v/>
      </c>
      <c r="BB367">
        <f>1</f>
        <v/>
      </c>
    </row>
    <row r="368">
      <c r="A368" s="31" t="inlineStr">
        <is>
          <t>2150</t>
        </is>
      </c>
      <c r="B368" s="15" t="inlineStr">
        <is>
          <t>NAYUKI</t>
        </is>
      </c>
      <c r="C368" s="15" t="inlineStr">
        <is>
          <t>Consumer</t>
        </is>
      </c>
      <c r="D368" s="15" t="inlineStr">
        <is>
          <t>F&amp;B chains / restaurants</t>
        </is>
      </c>
      <c r="E368" s="34" t="n">
        <v>44377</v>
      </c>
      <c r="F368" s="15" t="n">
        <v>19.8</v>
      </c>
      <c r="G368" s="15" t="n">
        <v>0.6850000000000001</v>
      </c>
      <c r="H368" s="34" t="n">
        <v>46297</v>
      </c>
      <c r="I368" s="31" t="n"/>
      <c r="J368" s="15" t="n">
        <v>0</v>
      </c>
      <c r="K368" s="15">
        <f>IF(AND(AH!$M$5="Snapshot",'IPO Live'!$M$5="Snapshot"),"",IFERROR(BDP(TEXT(VALUE($A368),"0")&amp;" HK Equity","PX_LAST"),""))</f>
        <v/>
      </c>
      <c r="L368" s="15">
        <f>IF(AND(AH!$M$5="Snapshot",'IPO Live'!$M$5="Snapshot"),"",IFERROR(BDP(TEXT(VALUE($A368),"0")&amp;" HK Equity","CHG_PCT_1D")/100,""))</f>
        <v/>
      </c>
      <c r="M368" s="15">
        <f>IF(AND(AH!$M$5="Snapshot",'IPO Live'!$M$5="Snapshot"),"",IFERROR(BDP(TEXT(VALUE($A368),"0")&amp;" HK Equity","LAST_UPDATE_DT"),""))</f>
        <v/>
      </c>
      <c r="N368" s="15">
        <f>IF(AND(AH!$M$5="Snapshot",'IPO Live'!$M$5="Snapshot"),"",IFERROR(BDP(TEXT(VALUE($A368),"0")&amp;" HK Equity","LAST_UPDATE"),""))</f>
        <v/>
      </c>
      <c r="O368" s="15">
        <f>IF('IPO Live'!$M$5="Snapshot",IF(ISNUMBER(G368),G368,"unavailable"),IF(AND(ISNUMBER(K368),N(K368)&gt;0),K368,IF('IPO Live'!$M$5="Auto",IF(ISNUMBER(G368),G368,"unavailable"),"unavailable")))</f>
        <v/>
      </c>
      <c r="P368" s="15">
        <f>IF(AND('IPO Live'!$M$5&lt;&gt;"Snapshot",ISNUMBER(K368),N(K368)&gt;0),"Bloomberg",IF(AND('IPO Live'!$M$5&lt;&gt;"Bloomberg",ISNUMBER(G368)),"Snapshot","Unavailable"))</f>
        <v/>
      </c>
      <c r="Q368" s="33">
        <f>IF(AND(P368="Bloomberg",ISNUMBER(L368)),L368,"unavailable")</f>
        <v/>
      </c>
      <c r="R368" s="15">
        <f>IF(OR('IPO Live'!$B$5="All",'IPO Live'!$B$5=C368,AND('IPO Live'!$B$5="A/H only",J368&gt;0)),1,0)</f>
        <v/>
      </c>
      <c r="S368" s="15">
        <f>IF(R368=1,COUNTIF($R$5:R368,1),"")</f>
        <v/>
      </c>
      <c r="T368">
        <f>1</f>
        <v/>
      </c>
      <c r="U368">
        <f>IF($P368="Bloomberg",$M368,$H368)</f>
        <v/>
      </c>
      <c r="AW368">
        <f>IF(AND(J368&gt;0,OR(AH!$I$5="All",AH!$I$5="A/H only",AH!$I$5=C368)),1,0)</f>
        <v/>
      </c>
      <c r="AX368">
        <f>IF(AW368=1,COUNTIF($AW$5:AW368,1),"")</f>
        <v/>
      </c>
      <c r="AY368">
        <f>IF(AH!$M$5="Snapshot",IF(ISNUMBER(G368),G368,"unavailable"),IF(AND(ISNUMBER(K368),N(K368)&gt;0),K368,IF(AH!$M$5="Auto",IF(ISNUMBER(G368),G368,"unavailable"),"unavailable")))</f>
        <v/>
      </c>
      <c r="AZ368">
        <f>IF(AND(AH!$M$5&lt;&gt;"Snapshot",ISNUMBER(K368),N(K368)&gt;0),"Bloomberg",IF(AND(AH!$M$5&lt;&gt;"Bloomberg",ISNUMBER(G368)),"Snapshot","Unavailable"))</f>
        <v/>
      </c>
      <c r="BA368">
        <f>IF(AZ368="Bloomberg",M368,H368)</f>
        <v/>
      </c>
      <c r="BB368">
        <f>1</f>
        <v/>
      </c>
    </row>
    <row r="369">
      <c r="A369" s="31" t="inlineStr">
        <is>
          <t>9858</t>
        </is>
      </c>
      <c r="B369" s="15" t="inlineStr">
        <is>
          <t>YOURAN DAIRY</t>
        </is>
      </c>
      <c r="C369" s="15" t="inlineStr">
        <is>
          <t>Consumer</t>
        </is>
      </c>
      <c r="D369" s="15" t="inlineStr">
        <is>
          <t>Beverages / packaged food</t>
        </is>
      </c>
      <c r="E369" s="34" t="n">
        <v>44365</v>
      </c>
      <c r="F369" s="15" t="n">
        <v>6.98</v>
      </c>
      <c r="G369" s="15" t="n">
        <v>3.845</v>
      </c>
      <c r="H369" s="34" t="n">
        <v>46297</v>
      </c>
      <c r="I369" s="31" t="n"/>
      <c r="J369" s="15" t="n">
        <v>0</v>
      </c>
      <c r="K369" s="15">
        <f>IF(AND(AH!$M$5="Snapshot",'IPO Live'!$M$5="Snapshot"),"",IFERROR(BDP(TEXT(VALUE($A369),"0")&amp;" HK Equity","PX_LAST"),""))</f>
        <v/>
      </c>
      <c r="L369" s="15">
        <f>IF(AND(AH!$M$5="Snapshot",'IPO Live'!$M$5="Snapshot"),"",IFERROR(BDP(TEXT(VALUE($A369),"0")&amp;" HK Equity","CHG_PCT_1D")/100,""))</f>
        <v/>
      </c>
      <c r="M369" s="15">
        <f>IF(AND(AH!$M$5="Snapshot",'IPO Live'!$M$5="Snapshot"),"",IFERROR(BDP(TEXT(VALUE($A369),"0")&amp;" HK Equity","LAST_UPDATE_DT"),""))</f>
        <v/>
      </c>
      <c r="N369" s="15">
        <f>IF(AND(AH!$M$5="Snapshot",'IPO Live'!$M$5="Snapshot"),"",IFERROR(BDP(TEXT(VALUE($A369),"0")&amp;" HK Equity","LAST_UPDATE"),""))</f>
        <v/>
      </c>
      <c r="O369" s="15">
        <f>IF('IPO Live'!$M$5="Snapshot",IF(ISNUMBER(G369),G369,"unavailable"),IF(AND(ISNUMBER(K369),N(K369)&gt;0),K369,IF('IPO Live'!$M$5="Auto",IF(ISNUMBER(G369),G369,"unavailable"),"unavailable")))</f>
        <v/>
      </c>
      <c r="P369" s="15">
        <f>IF(AND('IPO Live'!$M$5&lt;&gt;"Snapshot",ISNUMBER(K369),N(K369)&gt;0),"Bloomberg",IF(AND('IPO Live'!$M$5&lt;&gt;"Bloomberg",ISNUMBER(G369)),"Snapshot","Unavailable"))</f>
        <v/>
      </c>
      <c r="Q369" s="33">
        <f>IF(AND(P369="Bloomberg",ISNUMBER(L369)),L369,"unavailable")</f>
        <v/>
      </c>
      <c r="R369" s="15">
        <f>IF(OR('IPO Live'!$B$5="All",'IPO Live'!$B$5=C369,AND('IPO Live'!$B$5="A/H only",J369&gt;0)),1,0)</f>
        <v/>
      </c>
      <c r="S369" s="15">
        <f>IF(R369=1,COUNTIF($R$5:R369,1),"")</f>
        <v/>
      </c>
      <c r="T369">
        <f>1</f>
        <v/>
      </c>
      <c r="U369">
        <f>IF($P369="Bloomberg",$M369,$H369)</f>
        <v/>
      </c>
      <c r="AW369">
        <f>IF(AND(J369&gt;0,OR(AH!$I$5="All",AH!$I$5="A/H only",AH!$I$5=C369)),1,0)</f>
        <v/>
      </c>
      <c r="AX369">
        <f>IF(AW369=1,COUNTIF($AW$5:AW369,1),"")</f>
        <v/>
      </c>
      <c r="AY369">
        <f>IF(AH!$M$5="Snapshot",IF(ISNUMBER(G369),G369,"unavailable"),IF(AND(ISNUMBER(K369),N(K369)&gt;0),K369,IF(AH!$M$5="Auto",IF(ISNUMBER(G369),G369,"unavailable"),"unavailable")))</f>
        <v/>
      </c>
      <c r="AZ369">
        <f>IF(AND(AH!$M$5&lt;&gt;"Snapshot",ISNUMBER(K369),N(K369)&gt;0),"Bloomberg",IF(AND(AH!$M$5&lt;&gt;"Bloomberg",ISNUMBER(G369)),"Snapshot","Unavailable"))</f>
        <v/>
      </c>
      <c r="BA369">
        <f>IF(AZ369="Bloomberg",M369,H369)</f>
        <v/>
      </c>
      <c r="BB369">
        <f>1</f>
        <v/>
      </c>
    </row>
    <row r="370">
      <c r="A370" s="31" t="inlineStr">
        <is>
          <t>1927</t>
        </is>
      </c>
      <c r="B370" s="15" t="inlineStr">
        <is>
          <t>JIUJIUWANG</t>
        </is>
      </c>
      <c r="C370" s="15" t="inlineStr">
        <is>
          <t>Consumer</t>
        </is>
      </c>
      <c r="D370" s="15" t="inlineStr">
        <is>
          <t>Beverages / packaged food</t>
        </is>
      </c>
      <c r="E370" s="34" t="n">
        <v>44271</v>
      </c>
      <c r="F370" s="15" t="n">
        <v>0.75</v>
      </c>
      <c r="G370" s="15" t="n">
        <v>0.34</v>
      </c>
      <c r="H370" s="34" t="n">
        <v>46297</v>
      </c>
      <c r="I370" s="31" t="n"/>
      <c r="J370" s="15" t="n">
        <v>0</v>
      </c>
      <c r="K370" s="15">
        <f>IF(AND(AH!$M$5="Snapshot",'IPO Live'!$M$5="Snapshot"),"",IFERROR(BDP(TEXT(VALUE($A370),"0")&amp;" HK Equity","PX_LAST"),""))</f>
        <v/>
      </c>
      <c r="L370" s="15">
        <f>IF(AND(AH!$M$5="Snapshot",'IPO Live'!$M$5="Snapshot"),"",IFERROR(BDP(TEXT(VALUE($A370),"0")&amp;" HK Equity","CHG_PCT_1D")/100,""))</f>
        <v/>
      </c>
      <c r="M370" s="15">
        <f>IF(AND(AH!$M$5="Snapshot",'IPO Live'!$M$5="Snapshot"),"",IFERROR(BDP(TEXT(VALUE($A370),"0")&amp;" HK Equity","LAST_UPDATE_DT"),""))</f>
        <v/>
      </c>
      <c r="N370" s="15">
        <f>IF(AND(AH!$M$5="Snapshot",'IPO Live'!$M$5="Snapshot"),"",IFERROR(BDP(TEXT(VALUE($A370),"0")&amp;" HK Equity","LAST_UPDATE"),""))</f>
        <v/>
      </c>
      <c r="O370" s="15">
        <f>IF('IPO Live'!$M$5="Snapshot",IF(ISNUMBER(G370),G370,"unavailable"),IF(AND(ISNUMBER(K370),N(K370)&gt;0),K370,IF('IPO Live'!$M$5="Auto",IF(ISNUMBER(G370),G370,"unavailable"),"unavailable")))</f>
        <v/>
      </c>
      <c r="P370" s="15">
        <f>IF(AND('IPO Live'!$M$5&lt;&gt;"Snapshot",ISNUMBER(K370),N(K370)&gt;0),"Bloomberg",IF(AND('IPO Live'!$M$5&lt;&gt;"Bloomberg",ISNUMBER(G370)),"Snapshot","Unavailable"))</f>
        <v/>
      </c>
      <c r="Q370" s="33">
        <f>IF(AND(P370="Bloomberg",ISNUMBER(L370)),L370,"unavailable")</f>
        <v/>
      </c>
      <c r="R370" s="15">
        <f>IF(OR('IPO Live'!$B$5="All",'IPO Live'!$B$5=C370,AND('IPO Live'!$B$5="A/H only",J370&gt;0)),1,0)</f>
        <v/>
      </c>
      <c r="S370" s="15">
        <f>IF(R370=1,COUNTIF($R$5:R370,1),"")</f>
        <v/>
      </c>
      <c r="T370">
        <f>1</f>
        <v/>
      </c>
      <c r="U370">
        <f>IF($P370="Bloomberg",$M370,$H370)</f>
        <v/>
      </c>
      <c r="AW370">
        <f>IF(AND(J370&gt;0,OR(AH!$I$5="All",AH!$I$5="A/H only",AH!$I$5=C370)),1,0)</f>
        <v/>
      </c>
      <c r="AX370">
        <f>IF(AW370=1,COUNTIF($AW$5:AW370,1),"")</f>
        <v/>
      </c>
      <c r="AY370">
        <f>IF(AH!$M$5="Snapshot",IF(ISNUMBER(G370),G370,"unavailable"),IF(AND(ISNUMBER(K370),N(K370)&gt;0),K370,IF(AH!$M$5="Auto",IF(ISNUMBER(G370),G370,"unavailable"),"unavailable")))</f>
        <v/>
      </c>
      <c r="AZ370">
        <f>IF(AND(AH!$M$5&lt;&gt;"Snapshot",ISNUMBER(K370),N(K370)&gt;0),"Bloomberg",IF(AND(AH!$M$5&lt;&gt;"Bloomberg",ISNUMBER(G370)),"Snapshot","Unavailable"))</f>
        <v/>
      </c>
      <c r="BA370">
        <f>IF(AZ370="Bloomberg",M370,H370)</f>
        <v/>
      </c>
      <c r="BB370">
        <f>1</f>
        <v/>
      </c>
    </row>
    <row r="371">
      <c r="A371" s="31" t="inlineStr">
        <is>
          <t>6601</t>
        </is>
      </c>
      <c r="B371" s="15" t="inlineStr">
        <is>
          <t>CHEERWIN GP</t>
        </is>
      </c>
      <c r="C371" s="15" t="inlineStr">
        <is>
          <t>Consumer</t>
        </is>
      </c>
      <c r="D371" s="15" t="inlineStr">
        <is>
          <t>Beauty / personal care</t>
        </is>
      </c>
      <c r="E371" s="34" t="n">
        <v>44265</v>
      </c>
      <c r="F371" s="15" t="n">
        <v>9.199999999999999</v>
      </c>
      <c r="G371" s="15" t="n">
        <v>2.17</v>
      </c>
      <c r="H371" s="34" t="n">
        <v>46297</v>
      </c>
      <c r="I371" s="31" t="n"/>
      <c r="J371" s="15" t="n">
        <v>0</v>
      </c>
      <c r="K371" s="15">
        <f>IF(AND(AH!$M$5="Snapshot",'IPO Live'!$M$5="Snapshot"),"",IFERROR(BDP(TEXT(VALUE($A371),"0")&amp;" HK Equity","PX_LAST"),""))</f>
        <v/>
      </c>
      <c r="L371" s="15">
        <f>IF(AND(AH!$M$5="Snapshot",'IPO Live'!$M$5="Snapshot"),"",IFERROR(BDP(TEXT(VALUE($A371),"0")&amp;" HK Equity","CHG_PCT_1D")/100,""))</f>
        <v/>
      </c>
      <c r="M371" s="15">
        <f>IF(AND(AH!$M$5="Snapshot",'IPO Live'!$M$5="Snapshot"),"",IFERROR(BDP(TEXT(VALUE($A371),"0")&amp;" HK Equity","LAST_UPDATE_DT"),""))</f>
        <v/>
      </c>
      <c r="N371" s="15">
        <f>IF(AND(AH!$M$5="Snapshot",'IPO Live'!$M$5="Snapshot"),"",IFERROR(BDP(TEXT(VALUE($A371),"0")&amp;" HK Equity","LAST_UPDATE"),""))</f>
        <v/>
      </c>
      <c r="O371" s="15">
        <f>IF('IPO Live'!$M$5="Snapshot",IF(ISNUMBER(G371),G371,"unavailable"),IF(AND(ISNUMBER(K371),N(K371)&gt;0),K371,IF('IPO Live'!$M$5="Auto",IF(ISNUMBER(G371),G371,"unavailable"),"unavailable")))</f>
        <v/>
      </c>
      <c r="P371" s="15">
        <f>IF(AND('IPO Live'!$M$5&lt;&gt;"Snapshot",ISNUMBER(K371),N(K371)&gt;0),"Bloomberg",IF(AND('IPO Live'!$M$5&lt;&gt;"Bloomberg",ISNUMBER(G371)),"Snapshot","Unavailable"))</f>
        <v/>
      </c>
      <c r="Q371" s="33">
        <f>IF(AND(P371="Bloomberg",ISNUMBER(L371)),L371,"unavailable")</f>
        <v/>
      </c>
      <c r="R371" s="15">
        <f>IF(OR('IPO Live'!$B$5="All",'IPO Live'!$B$5=C371,AND('IPO Live'!$B$5="A/H only",J371&gt;0)),1,0)</f>
        <v/>
      </c>
      <c r="S371" s="15">
        <f>IF(R371=1,COUNTIF($R$5:R371,1),"")</f>
        <v/>
      </c>
      <c r="T371">
        <f>1</f>
        <v/>
      </c>
      <c r="U371">
        <f>IF($P371="Bloomberg",$M371,$H371)</f>
        <v/>
      </c>
      <c r="AW371">
        <f>IF(AND(J371&gt;0,OR(AH!$I$5="All",AH!$I$5="A/H only",AH!$I$5=C371)),1,0)</f>
        <v/>
      </c>
      <c r="AX371">
        <f>IF(AW371=1,COUNTIF($AW$5:AW371,1),"")</f>
        <v/>
      </c>
      <c r="AY371">
        <f>IF(AH!$M$5="Snapshot",IF(ISNUMBER(G371),G371,"unavailable"),IF(AND(ISNUMBER(K371),N(K371)&gt;0),K371,IF(AH!$M$5="Auto",IF(ISNUMBER(G371),G371,"unavailable"),"unavailable")))</f>
        <v/>
      </c>
      <c r="AZ371">
        <f>IF(AND(AH!$M$5&lt;&gt;"Snapshot",ISNUMBER(K371),N(K371)&gt;0),"Bloomberg",IF(AND(AH!$M$5&lt;&gt;"Bloomberg",ISNUMBER(G371)),"Snapshot","Unavailable"))</f>
        <v/>
      </c>
      <c r="BA371">
        <f>IF(AZ371="Bloomberg",M371,H371)</f>
        <v/>
      </c>
      <c r="BB371">
        <f>1</f>
        <v/>
      </c>
    </row>
    <row r="372">
      <c r="A372" s="31" t="inlineStr">
        <is>
          <t>2672</t>
        </is>
      </c>
      <c r="B372" s="15" t="inlineStr">
        <is>
          <t>BAIGE DIGITAL</t>
        </is>
      </c>
      <c r="C372" s="15" t="inlineStr">
        <is>
          <t>Financials</t>
        </is>
      </c>
      <c r="D372" s="15" t="inlineStr">
        <is>
          <t>Insurance</t>
        </is>
      </c>
      <c r="E372" s="34" t="n">
        <v>46202</v>
      </c>
      <c r="F372" s="15" t="n">
        <v>15.6</v>
      </c>
      <c r="G372" s="15" t="n">
        <v>58.3</v>
      </c>
      <c r="H372" s="34" t="n">
        <v>46297</v>
      </c>
      <c r="I372" s="31" t="n"/>
      <c r="J372" s="15" t="n">
        <v>0</v>
      </c>
      <c r="K372" s="15">
        <f>IF(AND(AH!$M$5="Snapshot",'IPO Live'!$M$5="Snapshot"),"",IFERROR(BDP(TEXT(VALUE($A372),"0")&amp;" HK Equity","PX_LAST"),""))</f>
        <v/>
      </c>
      <c r="L372" s="15">
        <f>IF(AND(AH!$M$5="Snapshot",'IPO Live'!$M$5="Snapshot"),"",IFERROR(BDP(TEXT(VALUE($A372),"0")&amp;" HK Equity","CHG_PCT_1D")/100,""))</f>
        <v/>
      </c>
      <c r="M372" s="15">
        <f>IF(AND(AH!$M$5="Snapshot",'IPO Live'!$M$5="Snapshot"),"",IFERROR(BDP(TEXT(VALUE($A372),"0")&amp;" HK Equity","LAST_UPDATE_DT"),""))</f>
        <v/>
      </c>
      <c r="N372" s="15">
        <f>IF(AND(AH!$M$5="Snapshot",'IPO Live'!$M$5="Snapshot"),"",IFERROR(BDP(TEXT(VALUE($A372),"0")&amp;" HK Equity","LAST_UPDATE"),""))</f>
        <v/>
      </c>
      <c r="O372" s="15">
        <f>IF('IPO Live'!$M$5="Snapshot",IF(ISNUMBER(G372),G372,"unavailable"),IF(AND(ISNUMBER(K372),N(K372)&gt;0),K372,IF('IPO Live'!$M$5="Auto",IF(ISNUMBER(G372),G372,"unavailable"),"unavailable")))</f>
        <v/>
      </c>
      <c r="P372" s="15">
        <f>IF(AND('IPO Live'!$M$5&lt;&gt;"Snapshot",ISNUMBER(K372),N(K372)&gt;0),"Bloomberg",IF(AND('IPO Live'!$M$5&lt;&gt;"Bloomberg",ISNUMBER(G372)),"Snapshot","Unavailable"))</f>
        <v/>
      </c>
      <c r="Q372" s="33">
        <f>IF(AND(P372="Bloomberg",ISNUMBER(L372)),L372,"unavailable")</f>
        <v/>
      </c>
      <c r="R372" s="15">
        <f>IF(OR('IPO Live'!$B$5="All",'IPO Live'!$B$5=C372,AND('IPO Live'!$B$5="A/H only",J372&gt;0)),1,0)</f>
        <v/>
      </c>
      <c r="S372" s="15">
        <f>IF(R372=1,COUNTIF($R$5:R372,1),"")</f>
        <v/>
      </c>
      <c r="T372">
        <f>1</f>
        <v/>
      </c>
      <c r="U372">
        <f>IF($P372="Bloomberg",$M372,$H372)</f>
        <v/>
      </c>
      <c r="AW372">
        <f>IF(AND(J372&gt;0,OR(AH!$I$5="All",AH!$I$5="A/H only",AH!$I$5=C372)),1,0)</f>
        <v/>
      </c>
      <c r="AX372">
        <f>IF(AW372=1,COUNTIF($AW$5:AW372,1),"")</f>
        <v/>
      </c>
      <c r="AY372">
        <f>IF(AH!$M$5="Snapshot",IF(ISNUMBER(G372),G372,"unavailable"),IF(AND(ISNUMBER(K372),N(K372)&gt;0),K372,IF(AH!$M$5="Auto",IF(ISNUMBER(G372),G372,"unavailable"),"unavailable")))</f>
        <v/>
      </c>
      <c r="AZ372">
        <f>IF(AND(AH!$M$5&lt;&gt;"Snapshot",ISNUMBER(K372),N(K372)&gt;0),"Bloomberg",IF(AND(AH!$M$5&lt;&gt;"Bloomberg",ISNUMBER(G372)),"Snapshot","Unavailable"))</f>
        <v/>
      </c>
      <c r="BA372">
        <f>IF(AZ372="Bloomberg",M372,H372)</f>
        <v/>
      </c>
      <c r="BB372">
        <f>1</f>
        <v/>
      </c>
    </row>
    <row r="373">
      <c r="A373" s="31" t="inlineStr">
        <is>
          <t>2661</t>
        </is>
      </c>
      <c r="B373" s="15" t="inlineStr">
        <is>
          <t>QINGSONG HEALTH</t>
        </is>
      </c>
      <c r="C373" s="15" t="inlineStr">
        <is>
          <t>Financials</t>
        </is>
      </c>
      <c r="D373" s="15" t="inlineStr">
        <is>
          <t>Insurance</t>
        </is>
      </c>
      <c r="E373" s="34" t="n">
        <v>46014</v>
      </c>
      <c r="F373" s="15" t="n">
        <v>22.68</v>
      </c>
      <c r="G373" s="15" t="n">
        <v>3.81</v>
      </c>
      <c r="H373" s="34" t="n">
        <v>46297</v>
      </c>
      <c r="I373" s="31" t="n"/>
      <c r="J373" s="15" t="n">
        <v>0</v>
      </c>
      <c r="K373" s="15">
        <f>IF(AND(AH!$M$5="Snapshot",'IPO Live'!$M$5="Snapshot"),"",IFERROR(BDP(TEXT(VALUE($A373),"0")&amp;" HK Equity","PX_LAST"),""))</f>
        <v/>
      </c>
      <c r="L373" s="15">
        <f>IF(AND(AH!$M$5="Snapshot",'IPO Live'!$M$5="Snapshot"),"",IFERROR(BDP(TEXT(VALUE($A373),"0")&amp;" HK Equity","CHG_PCT_1D")/100,""))</f>
        <v/>
      </c>
      <c r="M373" s="15">
        <f>IF(AND(AH!$M$5="Snapshot",'IPO Live'!$M$5="Snapshot"),"",IFERROR(BDP(TEXT(VALUE($A373),"0")&amp;" HK Equity","LAST_UPDATE_DT"),""))</f>
        <v/>
      </c>
      <c r="N373" s="15">
        <f>IF(AND(AH!$M$5="Snapshot",'IPO Live'!$M$5="Snapshot"),"",IFERROR(BDP(TEXT(VALUE($A373),"0")&amp;" HK Equity","LAST_UPDATE"),""))</f>
        <v/>
      </c>
      <c r="O373" s="15">
        <f>IF('IPO Live'!$M$5="Snapshot",IF(ISNUMBER(G373),G373,"unavailable"),IF(AND(ISNUMBER(K373),N(K373)&gt;0),K373,IF('IPO Live'!$M$5="Auto",IF(ISNUMBER(G373),G373,"unavailable"),"unavailable")))</f>
        <v/>
      </c>
      <c r="P373" s="15">
        <f>IF(AND('IPO Live'!$M$5&lt;&gt;"Snapshot",ISNUMBER(K373),N(K373)&gt;0),"Bloomberg",IF(AND('IPO Live'!$M$5&lt;&gt;"Bloomberg",ISNUMBER(G373)),"Snapshot","Unavailable"))</f>
        <v/>
      </c>
      <c r="Q373" s="33">
        <f>IF(AND(P373="Bloomberg",ISNUMBER(L373)),L373,"unavailable")</f>
        <v/>
      </c>
      <c r="R373" s="15">
        <f>IF(OR('IPO Live'!$B$5="All",'IPO Live'!$B$5=C373,AND('IPO Live'!$B$5="A/H only",J373&gt;0)),1,0)</f>
        <v/>
      </c>
      <c r="S373" s="15">
        <f>IF(R373=1,COUNTIF($R$5:R373,1),"")</f>
        <v/>
      </c>
      <c r="T373">
        <f>1</f>
        <v/>
      </c>
      <c r="U373">
        <f>IF($P373="Bloomberg",$M373,$H373)</f>
        <v/>
      </c>
      <c r="AW373">
        <f>IF(AND(J373&gt;0,OR(AH!$I$5="All",AH!$I$5="A/H only",AH!$I$5=C373)),1,0)</f>
        <v/>
      </c>
      <c r="AX373">
        <f>IF(AW373=1,COUNTIF($AW$5:AW373,1),"")</f>
        <v/>
      </c>
      <c r="AY373">
        <f>IF(AH!$M$5="Snapshot",IF(ISNUMBER(G373),G373,"unavailable"),IF(AND(ISNUMBER(K373),N(K373)&gt;0),K373,IF(AH!$M$5="Auto",IF(ISNUMBER(G373),G373,"unavailable"),"unavailable")))</f>
        <v/>
      </c>
      <c r="AZ373">
        <f>IF(AND(AH!$M$5&lt;&gt;"Snapshot",ISNUMBER(K373),N(K373)&gt;0),"Bloomberg",IF(AND(AH!$M$5&lt;&gt;"Bloomberg",ISNUMBER(G373)),"Snapshot","Unavailable"))</f>
        <v/>
      </c>
      <c r="BA373">
        <f>IF(AZ373="Bloomberg",M373,H373)</f>
        <v/>
      </c>
      <c r="BB373">
        <f>1</f>
        <v/>
      </c>
    </row>
    <row r="374">
      <c r="A374" s="31" t="inlineStr">
        <is>
          <t>2691</t>
        </is>
      </c>
      <c r="B374" s="15" t="inlineStr">
        <is>
          <t>NANHUA FUTURES</t>
        </is>
      </c>
      <c r="C374" s="15" t="inlineStr">
        <is>
          <t>Financials</t>
        </is>
      </c>
      <c r="D374" s="15" t="inlineStr">
        <is>
          <t>Brokers / asset management</t>
        </is>
      </c>
      <c r="E374" s="34" t="n">
        <v>46013</v>
      </c>
      <c r="F374" s="15" t="n">
        <v>12</v>
      </c>
      <c r="G374" s="15" t="n">
        <v>8.526</v>
      </c>
      <c r="H374" s="34" t="n">
        <v>46297</v>
      </c>
      <c r="I374" s="31" t="inlineStr">
        <is>
          <t>603093.SS</t>
        </is>
      </c>
      <c r="J374" s="15" t="n">
        <v>33</v>
      </c>
      <c r="K374" s="15">
        <f>IF(AND(AH!$M$5="Snapshot",'IPO Live'!$M$5="Snapshot"),"",IFERROR(BDP(TEXT(VALUE($A374),"0")&amp;" HK Equity","PX_LAST"),""))</f>
        <v/>
      </c>
      <c r="L374" s="15">
        <f>IF(AND(AH!$M$5="Snapshot",'IPO Live'!$M$5="Snapshot"),"",IFERROR(BDP(TEXT(VALUE($A374),"0")&amp;" HK Equity","CHG_PCT_1D")/100,""))</f>
        <v/>
      </c>
      <c r="M374" s="15">
        <f>IF(AND(AH!$M$5="Snapshot",'IPO Live'!$M$5="Snapshot"),"",IFERROR(BDP(TEXT(VALUE($A374),"0")&amp;" HK Equity","LAST_UPDATE_DT"),""))</f>
        <v/>
      </c>
      <c r="N374" s="15">
        <f>IF(AND(AH!$M$5="Snapshot",'IPO Live'!$M$5="Snapshot"),"",IFERROR(BDP(TEXT(VALUE($A374),"0")&amp;" HK Equity","LAST_UPDATE"),""))</f>
        <v/>
      </c>
      <c r="O374" s="15">
        <f>IF('IPO Live'!$M$5="Snapshot",IF(ISNUMBER(G374),G374,"unavailable"),IF(AND(ISNUMBER(K374),N(K374)&gt;0),K374,IF('IPO Live'!$M$5="Auto",IF(ISNUMBER(G374),G374,"unavailable"),"unavailable")))</f>
        <v/>
      </c>
      <c r="P374" s="15">
        <f>IF(AND('IPO Live'!$M$5&lt;&gt;"Snapshot",ISNUMBER(K374),N(K374)&gt;0),"Bloomberg",IF(AND('IPO Live'!$M$5&lt;&gt;"Bloomberg",ISNUMBER(G374)),"Snapshot","Unavailable"))</f>
        <v/>
      </c>
      <c r="Q374" s="33">
        <f>IF(AND(P374="Bloomberg",ISNUMBER(L374)),L374,"unavailable")</f>
        <v/>
      </c>
      <c r="R374" s="15">
        <f>IF(OR('IPO Live'!$B$5="All",'IPO Live'!$B$5=C374,AND('IPO Live'!$B$5="A/H only",J374&gt;0)),1,0)</f>
        <v/>
      </c>
      <c r="S374" s="15">
        <f>IF(R374=1,COUNTIF($R$5:R374,1),"")</f>
        <v/>
      </c>
      <c r="T374">
        <f>IF(ISNUMBER($U374),IF($U374&gt;=DATEVALUE("2026-06-17"),1.45,1),"unavailable")</f>
        <v/>
      </c>
      <c r="U374">
        <f>IF($P374="Bloomberg",$M374,$H374)</f>
        <v/>
      </c>
      <c r="AW374">
        <f>IF(AND(J374&gt;0,OR(AH!$I$5="All",AH!$I$5="A/H only",AH!$I$5=C374)),1,0)</f>
        <v/>
      </c>
      <c r="AX374">
        <f>IF(AW374=1,COUNTIF($AW$5:AW374,1),"")</f>
        <v/>
      </c>
      <c r="AY374">
        <f>IF(AH!$M$5="Snapshot",IF(ISNUMBER(G374),G374,"unavailable"),IF(AND(ISNUMBER(K374),N(K374)&gt;0),K374,IF(AH!$M$5="Auto",IF(ISNUMBER(G374),G374,"unavailable"),"unavailable")))</f>
        <v/>
      </c>
      <c r="AZ374">
        <f>IF(AND(AH!$M$5&lt;&gt;"Snapshot",ISNUMBER(K374),N(K374)&gt;0),"Bloomberg",IF(AND(AH!$M$5&lt;&gt;"Bloomberg",ISNUMBER(G374)),"Snapshot","Unavailable"))</f>
        <v/>
      </c>
      <c r="BA374">
        <f>IF(AZ374="Bloomberg",M374,H374)</f>
        <v/>
      </c>
      <c r="BB374">
        <f>IF(ISNUMBER($BA374),IF($BA374&gt;=DATEVALUE("2026-06-17"),1.45,1),"unavailable")</f>
        <v/>
      </c>
    </row>
    <row r="375">
      <c r="A375" s="31" t="inlineStr">
        <is>
          <t>1828</t>
        </is>
      </c>
      <c r="B375" s="15" t="inlineStr">
        <is>
          <t>FWD</t>
        </is>
      </c>
      <c r="C375" s="15" t="inlineStr">
        <is>
          <t>Financials</t>
        </is>
      </c>
      <c r="D375" s="15" t="inlineStr">
        <is>
          <t>Insurance</t>
        </is>
      </c>
      <c r="E375" s="34" t="n">
        <v>45845</v>
      </c>
      <c r="F375" s="15" t="n">
        <v>38</v>
      </c>
      <c r="G375" s="15" t="n">
        <v>34.12</v>
      </c>
      <c r="H375" s="34" t="n">
        <v>46297</v>
      </c>
      <c r="I375" s="31" t="n"/>
      <c r="J375" s="15" t="n">
        <v>0</v>
      </c>
      <c r="K375" s="15">
        <f>IF(AND(AH!$M$5="Snapshot",'IPO Live'!$M$5="Snapshot"),"",IFERROR(BDP(TEXT(VALUE($A375),"0")&amp;" HK Equity","PX_LAST"),""))</f>
        <v/>
      </c>
      <c r="L375" s="15">
        <f>IF(AND(AH!$M$5="Snapshot",'IPO Live'!$M$5="Snapshot"),"",IFERROR(BDP(TEXT(VALUE($A375),"0")&amp;" HK Equity","CHG_PCT_1D")/100,""))</f>
        <v/>
      </c>
      <c r="M375" s="15">
        <f>IF(AND(AH!$M$5="Snapshot",'IPO Live'!$M$5="Snapshot"),"",IFERROR(BDP(TEXT(VALUE($A375),"0")&amp;" HK Equity","LAST_UPDATE_DT"),""))</f>
        <v/>
      </c>
      <c r="N375" s="15">
        <f>IF(AND(AH!$M$5="Snapshot",'IPO Live'!$M$5="Snapshot"),"",IFERROR(BDP(TEXT(VALUE($A375),"0")&amp;" HK Equity","LAST_UPDATE"),""))</f>
        <v/>
      </c>
      <c r="O375" s="15">
        <f>IF('IPO Live'!$M$5="Snapshot",IF(ISNUMBER(G375),G375,"unavailable"),IF(AND(ISNUMBER(K375),N(K375)&gt;0),K375,IF('IPO Live'!$M$5="Auto",IF(ISNUMBER(G375),G375,"unavailable"),"unavailable")))</f>
        <v/>
      </c>
      <c r="P375" s="15">
        <f>IF(AND('IPO Live'!$M$5&lt;&gt;"Snapshot",ISNUMBER(K375),N(K375)&gt;0),"Bloomberg",IF(AND('IPO Live'!$M$5&lt;&gt;"Bloomberg",ISNUMBER(G375)),"Snapshot","Unavailable"))</f>
        <v/>
      </c>
      <c r="Q375" s="33">
        <f>IF(AND(P375="Bloomberg",ISNUMBER(L375)),L375,"unavailable")</f>
        <v/>
      </c>
      <c r="R375" s="15">
        <f>IF(OR('IPO Live'!$B$5="All",'IPO Live'!$B$5=C375,AND('IPO Live'!$B$5="A/H only",J375&gt;0)),1,0)</f>
        <v/>
      </c>
      <c r="S375" s="15">
        <f>IF(R375=1,COUNTIF($R$5:R375,1),"")</f>
        <v/>
      </c>
      <c r="T375">
        <f>1</f>
        <v/>
      </c>
      <c r="U375">
        <f>IF($P375="Bloomberg",$M375,$H375)</f>
        <v/>
      </c>
      <c r="AW375">
        <f>IF(AND(J375&gt;0,OR(AH!$I$5="All",AH!$I$5="A/H only",AH!$I$5=C375)),1,0)</f>
        <v/>
      </c>
      <c r="AX375">
        <f>IF(AW375=1,COUNTIF($AW$5:AW375,1),"")</f>
        <v/>
      </c>
      <c r="AY375">
        <f>IF(AH!$M$5="Snapshot",IF(ISNUMBER(G375),G375,"unavailable"),IF(AND(ISNUMBER(K375),N(K375)&gt;0),K375,IF(AH!$M$5="Auto",IF(ISNUMBER(G375),G375,"unavailable"),"unavailable")))</f>
        <v/>
      </c>
      <c r="AZ375">
        <f>IF(AND(AH!$M$5&lt;&gt;"Snapshot",ISNUMBER(K375),N(K375)&gt;0),"Bloomberg",IF(AND(AH!$M$5&lt;&gt;"Bloomberg",ISNUMBER(G375)),"Snapshot","Unavailable"))</f>
        <v/>
      </c>
      <c r="BA375">
        <f>IF(AZ375="Bloomberg",M375,H375)</f>
        <v/>
      </c>
      <c r="BB375">
        <f>1</f>
        <v/>
      </c>
    </row>
    <row r="376">
      <c r="A376" s="31" t="inlineStr">
        <is>
          <t>2621</t>
        </is>
      </c>
      <c r="B376" s="15" t="inlineStr">
        <is>
          <t>SHOUHUI GROUP</t>
        </is>
      </c>
      <c r="C376" s="15" t="inlineStr">
        <is>
          <t>Financials</t>
        </is>
      </c>
      <c r="D376" s="15" t="inlineStr">
        <is>
          <t>Insurance</t>
        </is>
      </c>
      <c r="E376" s="34" t="n">
        <v>45807</v>
      </c>
      <c r="F376" s="15" t="n">
        <v>8.08</v>
      </c>
      <c r="G376" s="15" t="n">
        <v>2.75</v>
      </c>
      <c r="H376" s="34" t="n">
        <v>46297</v>
      </c>
      <c r="I376" s="31" t="n"/>
      <c r="J376" s="15" t="n">
        <v>0</v>
      </c>
      <c r="K376" s="15">
        <f>IF(AND(AH!$M$5="Snapshot",'IPO Live'!$M$5="Snapshot"),"",IFERROR(BDP(TEXT(VALUE($A376),"0")&amp;" HK Equity","PX_LAST"),""))</f>
        <v/>
      </c>
      <c r="L376" s="15">
        <f>IF(AND(AH!$M$5="Snapshot",'IPO Live'!$M$5="Snapshot"),"",IFERROR(BDP(TEXT(VALUE($A376),"0")&amp;" HK Equity","CHG_PCT_1D")/100,""))</f>
        <v/>
      </c>
      <c r="M376" s="15">
        <f>IF(AND(AH!$M$5="Snapshot",'IPO Live'!$M$5="Snapshot"),"",IFERROR(BDP(TEXT(VALUE($A376),"0")&amp;" HK Equity","LAST_UPDATE_DT"),""))</f>
        <v/>
      </c>
      <c r="N376" s="15">
        <f>IF(AND(AH!$M$5="Snapshot",'IPO Live'!$M$5="Snapshot"),"",IFERROR(BDP(TEXT(VALUE($A376),"0")&amp;" HK Equity","LAST_UPDATE"),""))</f>
        <v/>
      </c>
      <c r="O376" s="15">
        <f>IF('IPO Live'!$M$5="Snapshot",IF(ISNUMBER(G376),G376,"unavailable"),IF(AND(ISNUMBER(K376),N(K376)&gt;0),K376,IF('IPO Live'!$M$5="Auto",IF(ISNUMBER(G376),G376,"unavailable"),"unavailable")))</f>
        <v/>
      </c>
      <c r="P376" s="15">
        <f>IF(AND('IPO Live'!$M$5&lt;&gt;"Snapshot",ISNUMBER(K376),N(K376)&gt;0),"Bloomberg",IF(AND('IPO Live'!$M$5&lt;&gt;"Bloomberg",ISNUMBER(G376)),"Snapshot","Unavailable"))</f>
        <v/>
      </c>
      <c r="Q376" s="33">
        <f>IF(AND(P376="Bloomberg",ISNUMBER(L376)),L376,"unavailable")</f>
        <v/>
      </c>
      <c r="R376" s="15">
        <f>IF(OR('IPO Live'!$B$5="All",'IPO Live'!$B$5=C376,AND('IPO Live'!$B$5="A/H only",J376&gt;0)),1,0)</f>
        <v/>
      </c>
      <c r="S376" s="15">
        <f>IF(R376=1,COUNTIF($R$5:R376,1),"")</f>
        <v/>
      </c>
      <c r="T376">
        <f>1</f>
        <v/>
      </c>
      <c r="U376">
        <f>IF($P376="Bloomberg",$M376,$H376)</f>
        <v/>
      </c>
      <c r="AW376">
        <f>IF(AND(J376&gt;0,OR(AH!$I$5="All",AH!$I$5="A/H only",AH!$I$5=C376)),1,0)</f>
        <v/>
      </c>
      <c r="AX376">
        <f>IF(AW376=1,COUNTIF($AW$5:AW376,1),"")</f>
        <v/>
      </c>
      <c r="AY376">
        <f>IF(AH!$M$5="Snapshot",IF(ISNUMBER(G376),G376,"unavailable"),IF(AND(ISNUMBER(K376),N(K376)&gt;0),K376,IF(AH!$M$5="Auto",IF(ISNUMBER(G376),G376,"unavailable"),"unavailable")))</f>
        <v/>
      </c>
      <c r="AZ376">
        <f>IF(AND(AH!$M$5&lt;&gt;"Snapshot",ISNUMBER(K376),N(K376)&gt;0),"Bloomberg",IF(AND(AH!$M$5&lt;&gt;"Bloomberg",ISNUMBER(G376)),"Snapshot","Unavailable"))</f>
        <v/>
      </c>
      <c r="BA376">
        <f>IF(AZ376="Bloomberg",M376,H376)</f>
        <v/>
      </c>
      <c r="BB376">
        <f>1</f>
        <v/>
      </c>
    </row>
    <row r="377">
      <c r="A377" s="31" t="inlineStr">
        <is>
          <t>2596</t>
        </is>
      </c>
      <c r="B377" s="15" t="inlineStr">
        <is>
          <t>YIBIN BANK</t>
        </is>
      </c>
      <c r="C377" s="15" t="inlineStr">
        <is>
          <t>Financials</t>
        </is>
      </c>
      <c r="D377" s="15" t="inlineStr">
        <is>
          <t>Banks</t>
        </is>
      </c>
      <c r="E377" s="34" t="n">
        <v>45670</v>
      </c>
      <c r="F377" s="15" t="n">
        <v>2.59</v>
      </c>
      <c r="G377" s="15" t="n">
        <v>2.65</v>
      </c>
      <c r="H377" s="34" t="n">
        <v>46297</v>
      </c>
      <c r="I377" s="31" t="n"/>
      <c r="J377" s="15" t="n">
        <v>0</v>
      </c>
      <c r="K377" s="15">
        <f>IF(AND(AH!$M$5="Snapshot",'IPO Live'!$M$5="Snapshot"),"",IFERROR(BDP(TEXT(VALUE($A377),"0")&amp;" HK Equity","PX_LAST"),""))</f>
        <v/>
      </c>
      <c r="L377" s="15">
        <f>IF(AND(AH!$M$5="Snapshot",'IPO Live'!$M$5="Snapshot"),"",IFERROR(BDP(TEXT(VALUE($A377),"0")&amp;" HK Equity","CHG_PCT_1D")/100,""))</f>
        <v/>
      </c>
      <c r="M377" s="15">
        <f>IF(AND(AH!$M$5="Snapshot",'IPO Live'!$M$5="Snapshot"),"",IFERROR(BDP(TEXT(VALUE($A377),"0")&amp;" HK Equity","LAST_UPDATE_DT"),""))</f>
        <v/>
      </c>
      <c r="N377" s="15">
        <f>IF(AND(AH!$M$5="Snapshot",'IPO Live'!$M$5="Snapshot"),"",IFERROR(BDP(TEXT(VALUE($A377),"0")&amp;" HK Equity","LAST_UPDATE"),""))</f>
        <v/>
      </c>
      <c r="O377" s="15">
        <f>IF('IPO Live'!$M$5="Snapshot",IF(ISNUMBER(G377),G377,"unavailable"),IF(AND(ISNUMBER(K377),N(K377)&gt;0),K377,IF('IPO Live'!$M$5="Auto",IF(ISNUMBER(G377),G377,"unavailable"),"unavailable")))</f>
        <v/>
      </c>
      <c r="P377" s="15">
        <f>IF(AND('IPO Live'!$M$5&lt;&gt;"Snapshot",ISNUMBER(K377),N(K377)&gt;0),"Bloomberg",IF(AND('IPO Live'!$M$5&lt;&gt;"Bloomberg",ISNUMBER(G377)),"Snapshot","Unavailable"))</f>
        <v/>
      </c>
      <c r="Q377" s="33">
        <f>IF(AND(P377="Bloomberg",ISNUMBER(L377)),L377,"unavailable")</f>
        <v/>
      </c>
      <c r="R377" s="15">
        <f>IF(OR('IPO Live'!$B$5="All",'IPO Live'!$B$5=C377,AND('IPO Live'!$B$5="A/H only",J377&gt;0)),1,0)</f>
        <v/>
      </c>
      <c r="S377" s="15">
        <f>IF(R377=1,COUNTIF($R$5:R377,1),"")</f>
        <v/>
      </c>
      <c r="T377">
        <f>1</f>
        <v/>
      </c>
      <c r="U377">
        <f>IF($P377="Bloomberg",$M377,$H377)</f>
        <v/>
      </c>
      <c r="AW377">
        <f>IF(AND(J377&gt;0,OR(AH!$I$5="All",AH!$I$5="A/H only",AH!$I$5=C377)),1,0)</f>
        <v/>
      </c>
      <c r="AX377">
        <f>IF(AW377=1,COUNTIF($AW$5:AW377,1),"")</f>
        <v/>
      </c>
      <c r="AY377">
        <f>IF(AH!$M$5="Snapshot",IF(ISNUMBER(G377),G377,"unavailable"),IF(AND(ISNUMBER(K377),N(K377)&gt;0),K377,IF(AH!$M$5="Auto",IF(ISNUMBER(G377),G377,"unavailable"),"unavailable")))</f>
        <v/>
      </c>
      <c r="AZ377">
        <f>IF(AND(AH!$M$5&lt;&gt;"Snapshot",ISNUMBER(K377),N(K377)&gt;0),"Bloomberg",IF(AND(AH!$M$5&lt;&gt;"Bloomberg",ISNUMBER(G377)),"Snapshot","Unavailable"))</f>
        <v/>
      </c>
      <c r="BA377">
        <f>IF(AZ377="Bloomberg",M377,H377)</f>
        <v/>
      </c>
      <c r="BB377">
        <f>1</f>
        <v/>
      </c>
    </row>
    <row r="378">
      <c r="A378" s="31" t="inlineStr">
        <is>
          <t>1471</t>
        </is>
      </c>
      <c r="B378" s="15" t="inlineStr">
        <is>
          <t>ZHONGMIAO</t>
        </is>
      </c>
      <c r="C378" s="15" t="inlineStr">
        <is>
          <t>Financials</t>
        </is>
      </c>
      <c r="D378" s="15" t="inlineStr">
        <is>
          <t>Insurance</t>
        </is>
      </c>
      <c r="E378" s="34" t="n">
        <v>45510</v>
      </c>
      <c r="F378" s="15" t="n">
        <v>7</v>
      </c>
      <c r="G378" s="15" t="n">
        <v>9.9</v>
      </c>
      <c r="H378" s="34" t="n">
        <v>46297</v>
      </c>
      <c r="I378" s="31" t="n"/>
      <c r="J378" s="15" t="n">
        <v>0</v>
      </c>
      <c r="K378" s="15">
        <f>IF(AND(AH!$M$5="Snapshot",'IPO Live'!$M$5="Snapshot"),"",IFERROR(BDP(TEXT(VALUE($A378),"0")&amp;" HK Equity","PX_LAST"),""))</f>
        <v/>
      </c>
      <c r="L378" s="15">
        <f>IF(AND(AH!$M$5="Snapshot",'IPO Live'!$M$5="Snapshot"),"",IFERROR(BDP(TEXT(VALUE($A378),"0")&amp;" HK Equity","CHG_PCT_1D")/100,""))</f>
        <v/>
      </c>
      <c r="M378" s="15">
        <f>IF(AND(AH!$M$5="Snapshot",'IPO Live'!$M$5="Snapshot"),"",IFERROR(BDP(TEXT(VALUE($A378),"0")&amp;" HK Equity","LAST_UPDATE_DT"),""))</f>
        <v/>
      </c>
      <c r="N378" s="15">
        <f>IF(AND(AH!$M$5="Snapshot",'IPO Live'!$M$5="Snapshot"),"",IFERROR(BDP(TEXT(VALUE($A378),"0")&amp;" HK Equity","LAST_UPDATE"),""))</f>
        <v/>
      </c>
      <c r="O378" s="15">
        <f>IF('IPO Live'!$M$5="Snapshot",IF(ISNUMBER(G378),G378,"unavailable"),IF(AND(ISNUMBER(K378),N(K378)&gt;0),K378,IF('IPO Live'!$M$5="Auto",IF(ISNUMBER(G378),G378,"unavailable"),"unavailable")))</f>
        <v/>
      </c>
      <c r="P378" s="15">
        <f>IF(AND('IPO Live'!$M$5&lt;&gt;"Snapshot",ISNUMBER(K378),N(K378)&gt;0),"Bloomberg",IF(AND('IPO Live'!$M$5&lt;&gt;"Bloomberg",ISNUMBER(G378)),"Snapshot","Unavailable"))</f>
        <v/>
      </c>
      <c r="Q378" s="33">
        <f>IF(AND(P378="Bloomberg",ISNUMBER(L378)),L378,"unavailable")</f>
        <v/>
      </c>
      <c r="R378" s="15">
        <f>IF(OR('IPO Live'!$B$5="All",'IPO Live'!$B$5=C378,AND('IPO Live'!$B$5="A/H only",J378&gt;0)),1,0)</f>
        <v/>
      </c>
      <c r="S378" s="15">
        <f>IF(R378=1,COUNTIF($R$5:R378,1),"")</f>
        <v/>
      </c>
      <c r="T378">
        <f>1</f>
        <v/>
      </c>
      <c r="U378">
        <f>IF($P378="Bloomberg",$M378,$H378)</f>
        <v/>
      </c>
      <c r="AW378">
        <f>IF(AND(J378&gt;0,OR(AH!$I$5="All",AH!$I$5="A/H only",AH!$I$5=C378)),1,0)</f>
        <v/>
      </c>
      <c r="AX378">
        <f>IF(AW378=1,COUNTIF($AW$5:AW378,1),"")</f>
        <v/>
      </c>
      <c r="AY378">
        <f>IF(AH!$M$5="Snapshot",IF(ISNUMBER(G378),G378,"unavailable"),IF(AND(ISNUMBER(K378),N(K378)&gt;0),K378,IF(AH!$M$5="Auto",IF(ISNUMBER(G378),G378,"unavailable"),"unavailable")))</f>
        <v/>
      </c>
      <c r="AZ378">
        <f>IF(AND(AH!$M$5&lt;&gt;"Snapshot",ISNUMBER(K378),N(K378)&gt;0),"Bloomberg",IF(AND(AH!$M$5&lt;&gt;"Bloomberg",ISNUMBER(G378)),"Snapshot","Unavailable"))</f>
        <v/>
      </c>
      <c r="BA378">
        <f>IF(AZ378="Bloomberg",M378,H378)</f>
        <v/>
      </c>
      <c r="BB378">
        <f>1</f>
        <v/>
      </c>
    </row>
    <row r="379">
      <c r="A379" s="31" t="inlineStr">
        <is>
          <t>1973</t>
        </is>
      </c>
      <c r="B379" s="15" t="inlineStr">
        <is>
          <t>TIAN TU CAPITAL</t>
        </is>
      </c>
      <c r="C379" s="15" t="inlineStr">
        <is>
          <t>Financials</t>
        </is>
      </c>
      <c r="D379" s="15" t="inlineStr">
        <is>
          <t>Brokers / asset management</t>
        </is>
      </c>
      <c r="E379" s="34" t="n">
        <v>45205</v>
      </c>
      <c r="F379" s="15" t="n">
        <v>6.5</v>
      </c>
      <c r="G379" s="15" t="n">
        <v>2.9</v>
      </c>
      <c r="H379" s="34" t="n">
        <v>46297</v>
      </c>
      <c r="I379" s="31" t="n"/>
      <c r="J379" s="15" t="n">
        <v>0</v>
      </c>
      <c r="K379" s="15">
        <f>IF(AND(AH!$M$5="Snapshot",'IPO Live'!$M$5="Snapshot"),"",IFERROR(BDP(TEXT(VALUE($A379),"0")&amp;" HK Equity","PX_LAST"),""))</f>
        <v/>
      </c>
      <c r="L379" s="15">
        <f>IF(AND(AH!$M$5="Snapshot",'IPO Live'!$M$5="Snapshot"),"",IFERROR(BDP(TEXT(VALUE($A379),"0")&amp;" HK Equity","CHG_PCT_1D")/100,""))</f>
        <v/>
      </c>
      <c r="M379" s="15">
        <f>IF(AND(AH!$M$5="Snapshot",'IPO Live'!$M$5="Snapshot"),"",IFERROR(BDP(TEXT(VALUE($A379),"0")&amp;" HK Equity","LAST_UPDATE_DT"),""))</f>
        <v/>
      </c>
      <c r="N379" s="15">
        <f>IF(AND(AH!$M$5="Snapshot",'IPO Live'!$M$5="Snapshot"),"",IFERROR(BDP(TEXT(VALUE($A379),"0")&amp;" HK Equity","LAST_UPDATE"),""))</f>
        <v/>
      </c>
      <c r="O379" s="15">
        <f>IF('IPO Live'!$M$5="Snapshot",IF(ISNUMBER(G379),G379,"unavailable"),IF(AND(ISNUMBER(K379),N(K379)&gt;0),K379,IF('IPO Live'!$M$5="Auto",IF(ISNUMBER(G379),G379,"unavailable"),"unavailable")))</f>
        <v/>
      </c>
      <c r="P379" s="15">
        <f>IF(AND('IPO Live'!$M$5&lt;&gt;"Snapshot",ISNUMBER(K379),N(K379)&gt;0),"Bloomberg",IF(AND('IPO Live'!$M$5&lt;&gt;"Bloomberg",ISNUMBER(G379)),"Snapshot","Unavailable"))</f>
        <v/>
      </c>
      <c r="Q379" s="33">
        <f>IF(AND(P379="Bloomberg",ISNUMBER(L379)),L379,"unavailable")</f>
        <v/>
      </c>
      <c r="R379" s="15">
        <f>IF(OR('IPO Live'!$B$5="All",'IPO Live'!$B$5=C379,AND('IPO Live'!$B$5="A/H only",J379&gt;0)),1,0)</f>
        <v/>
      </c>
      <c r="S379" s="15">
        <f>IF(R379=1,COUNTIF($R$5:R379,1),"")</f>
        <v/>
      </c>
      <c r="T379">
        <f>1</f>
        <v/>
      </c>
      <c r="U379">
        <f>IF($P379="Bloomberg",$M379,$H379)</f>
        <v/>
      </c>
      <c r="AW379">
        <f>IF(AND(J379&gt;0,OR(AH!$I$5="All",AH!$I$5="A/H only",AH!$I$5=C379)),1,0)</f>
        <v/>
      </c>
      <c r="AX379">
        <f>IF(AW379=1,COUNTIF($AW$5:AW379,1),"")</f>
        <v/>
      </c>
      <c r="AY379">
        <f>IF(AH!$M$5="Snapshot",IF(ISNUMBER(G379),G379,"unavailable"),IF(AND(ISNUMBER(K379),N(K379)&gt;0),K379,IF(AH!$M$5="Auto",IF(ISNUMBER(G379),G379,"unavailable"),"unavailable")))</f>
        <v/>
      </c>
      <c r="AZ379">
        <f>IF(AND(AH!$M$5&lt;&gt;"Snapshot",ISNUMBER(K379),N(K379)&gt;0),"Bloomberg",IF(AND(AH!$M$5&lt;&gt;"Bloomberg",ISNUMBER(G379)),"Snapshot","Unavailable"))</f>
        <v/>
      </c>
      <c r="BA379">
        <f>IF(AZ379="Bloomberg",M379,H379)</f>
        <v/>
      </c>
      <c r="BB379">
        <f>1</f>
        <v/>
      </c>
    </row>
    <row r="380">
      <c r="A380" s="31" t="inlineStr">
        <is>
          <t>9636</t>
        </is>
      </c>
      <c r="B380" s="15" t="inlineStr">
        <is>
          <t>JF WEALTH</t>
        </is>
      </c>
      <c r="C380" s="15" t="inlineStr">
        <is>
          <t>Financials</t>
        </is>
      </c>
      <c r="D380" s="15" t="inlineStr">
        <is>
          <t>Brokers / asset management</t>
        </is>
      </c>
      <c r="E380" s="34" t="n">
        <v>44995</v>
      </c>
      <c r="F380" s="15" t="n">
        <v>17</v>
      </c>
      <c r="G380" s="15" t="n">
        <v>28</v>
      </c>
      <c r="H380" s="34" t="n">
        <v>46297</v>
      </c>
      <c r="I380" s="31" t="n"/>
      <c r="J380" s="15" t="n">
        <v>0</v>
      </c>
      <c r="K380" s="15">
        <f>IF(AND(AH!$M$5="Snapshot",'IPO Live'!$M$5="Snapshot"),"",IFERROR(BDP(TEXT(VALUE($A380),"0")&amp;" HK Equity","PX_LAST"),""))</f>
        <v/>
      </c>
      <c r="L380" s="15">
        <f>IF(AND(AH!$M$5="Snapshot",'IPO Live'!$M$5="Snapshot"),"",IFERROR(BDP(TEXT(VALUE($A380),"0")&amp;" HK Equity","CHG_PCT_1D")/100,""))</f>
        <v/>
      </c>
      <c r="M380" s="15">
        <f>IF(AND(AH!$M$5="Snapshot",'IPO Live'!$M$5="Snapshot"),"",IFERROR(BDP(TEXT(VALUE($A380),"0")&amp;" HK Equity","LAST_UPDATE_DT"),""))</f>
        <v/>
      </c>
      <c r="N380" s="15">
        <f>IF(AND(AH!$M$5="Snapshot",'IPO Live'!$M$5="Snapshot"),"",IFERROR(BDP(TEXT(VALUE($A380),"0")&amp;" HK Equity","LAST_UPDATE"),""))</f>
        <v/>
      </c>
      <c r="O380" s="15">
        <f>IF('IPO Live'!$M$5="Snapshot",IF(ISNUMBER(G380),G380,"unavailable"),IF(AND(ISNUMBER(K380),N(K380)&gt;0),K380,IF('IPO Live'!$M$5="Auto",IF(ISNUMBER(G380),G380,"unavailable"),"unavailable")))</f>
        <v/>
      </c>
      <c r="P380" s="15">
        <f>IF(AND('IPO Live'!$M$5&lt;&gt;"Snapshot",ISNUMBER(K380),N(K380)&gt;0),"Bloomberg",IF(AND('IPO Live'!$M$5&lt;&gt;"Bloomberg",ISNUMBER(G380)),"Snapshot","Unavailable"))</f>
        <v/>
      </c>
      <c r="Q380" s="33">
        <f>IF(AND(P380="Bloomberg",ISNUMBER(L380)),L380,"unavailable")</f>
        <v/>
      </c>
      <c r="R380" s="15">
        <f>IF(OR('IPO Live'!$B$5="All",'IPO Live'!$B$5=C380,AND('IPO Live'!$B$5="A/H only",J380&gt;0)),1,0)</f>
        <v/>
      </c>
      <c r="S380" s="15">
        <f>IF(R380=1,COUNTIF($R$5:R380,1),"")</f>
        <v/>
      </c>
      <c r="T380">
        <f>1</f>
        <v/>
      </c>
      <c r="U380">
        <f>IF($P380="Bloomberg",$M380,$H380)</f>
        <v/>
      </c>
      <c r="AW380">
        <f>IF(AND(J380&gt;0,OR(AH!$I$5="All",AH!$I$5="A/H only",AH!$I$5=C380)),1,0)</f>
        <v/>
      </c>
      <c r="AX380">
        <f>IF(AW380=1,COUNTIF($AW$5:AW380,1),"")</f>
        <v/>
      </c>
      <c r="AY380">
        <f>IF(AH!$M$5="Snapshot",IF(ISNUMBER(G380),G380,"unavailable"),IF(AND(ISNUMBER(K380),N(K380)&gt;0),K380,IF(AH!$M$5="Auto",IF(ISNUMBER(G380),G380,"unavailable"),"unavailable")))</f>
        <v/>
      </c>
      <c r="AZ380">
        <f>IF(AND(AH!$M$5&lt;&gt;"Snapshot",ISNUMBER(K380),N(K380)&gt;0),"Bloomberg",IF(AND(AH!$M$5&lt;&gt;"Bloomberg",ISNUMBER(G380)),"Snapshot","Unavailable"))</f>
        <v/>
      </c>
      <c r="BA380">
        <f>IF(AZ380="Bloomberg",M380,H380)</f>
        <v/>
      </c>
      <c r="BB380">
        <f>1</f>
        <v/>
      </c>
    </row>
    <row r="381">
      <c r="A381" s="31" t="inlineStr">
        <is>
          <t>6963</t>
        </is>
      </c>
      <c r="B381" s="15" t="inlineStr">
        <is>
          <t>SUNSHINE INS</t>
        </is>
      </c>
      <c r="C381" s="15" t="inlineStr">
        <is>
          <t>Financials</t>
        </is>
      </c>
      <c r="D381" s="15" t="inlineStr">
        <is>
          <t>Insurance</t>
        </is>
      </c>
      <c r="E381" s="34" t="n">
        <v>44904</v>
      </c>
      <c r="F381" s="15" t="n">
        <v>5.83</v>
      </c>
      <c r="G381" s="15" t="n">
        <v>3.445</v>
      </c>
      <c r="H381" s="34" t="n">
        <v>46297</v>
      </c>
      <c r="I381" s="31" t="n"/>
      <c r="J381" s="15" t="n">
        <v>0</v>
      </c>
      <c r="K381" s="15">
        <f>IF(AND(AH!$M$5="Snapshot",'IPO Live'!$M$5="Snapshot"),"",IFERROR(BDP(TEXT(VALUE($A381),"0")&amp;" HK Equity","PX_LAST"),""))</f>
        <v/>
      </c>
      <c r="L381" s="15">
        <f>IF(AND(AH!$M$5="Snapshot",'IPO Live'!$M$5="Snapshot"),"",IFERROR(BDP(TEXT(VALUE($A381),"0")&amp;" HK Equity","CHG_PCT_1D")/100,""))</f>
        <v/>
      </c>
      <c r="M381" s="15">
        <f>IF(AND(AH!$M$5="Snapshot",'IPO Live'!$M$5="Snapshot"),"",IFERROR(BDP(TEXT(VALUE($A381),"0")&amp;" HK Equity","LAST_UPDATE_DT"),""))</f>
        <v/>
      </c>
      <c r="N381" s="15">
        <f>IF(AND(AH!$M$5="Snapshot",'IPO Live'!$M$5="Snapshot"),"",IFERROR(BDP(TEXT(VALUE($A381),"0")&amp;" HK Equity","LAST_UPDATE"),""))</f>
        <v/>
      </c>
      <c r="O381" s="15">
        <f>IF('IPO Live'!$M$5="Snapshot",IF(ISNUMBER(G381),G381,"unavailable"),IF(AND(ISNUMBER(K381),N(K381)&gt;0),K381,IF('IPO Live'!$M$5="Auto",IF(ISNUMBER(G381),G381,"unavailable"),"unavailable")))</f>
        <v/>
      </c>
      <c r="P381" s="15">
        <f>IF(AND('IPO Live'!$M$5&lt;&gt;"Snapshot",ISNUMBER(K381),N(K381)&gt;0),"Bloomberg",IF(AND('IPO Live'!$M$5&lt;&gt;"Bloomberg",ISNUMBER(G381)),"Snapshot","Unavailable"))</f>
        <v/>
      </c>
      <c r="Q381" s="33">
        <f>IF(AND(P381="Bloomberg",ISNUMBER(L381)),L381,"unavailable")</f>
        <v/>
      </c>
      <c r="R381" s="15">
        <f>IF(OR('IPO Live'!$B$5="All",'IPO Live'!$B$5=C381,AND('IPO Live'!$B$5="A/H only",J381&gt;0)),1,0)</f>
        <v/>
      </c>
      <c r="S381" s="15">
        <f>IF(R381=1,COUNTIF($R$5:R381,1),"")</f>
        <v/>
      </c>
      <c r="T381">
        <f>1</f>
        <v/>
      </c>
      <c r="U381">
        <f>IF($P381="Bloomberg",$M381,$H381)</f>
        <v/>
      </c>
      <c r="AW381">
        <f>IF(AND(J381&gt;0,OR(AH!$I$5="All",AH!$I$5="A/H only",AH!$I$5=C381)),1,0)</f>
        <v/>
      </c>
      <c r="AX381">
        <f>IF(AW381=1,COUNTIF($AW$5:AW381,1),"")</f>
        <v/>
      </c>
      <c r="AY381">
        <f>IF(AH!$M$5="Snapshot",IF(ISNUMBER(G381),G381,"unavailable"),IF(AND(ISNUMBER(K381),N(K381)&gt;0),K381,IF(AH!$M$5="Auto",IF(ISNUMBER(G381),G381,"unavailable"),"unavailable")))</f>
        <v/>
      </c>
      <c r="AZ381">
        <f>IF(AND(AH!$M$5&lt;&gt;"Snapshot",ISNUMBER(K381),N(K381)&gt;0),"Bloomberg",IF(AND(AH!$M$5&lt;&gt;"Bloomberg",ISNUMBER(G381)),"Snapshot","Unavailable"))</f>
        <v/>
      </c>
      <c r="BA381">
        <f>IF(AZ381="Bloomberg",M381,H381)</f>
        <v/>
      </c>
      <c r="BB381">
        <f>1</f>
        <v/>
      </c>
    </row>
    <row r="382">
      <c r="A382" s="31" t="inlineStr">
        <is>
          <t>6686</t>
        </is>
      </c>
      <c r="B382" s="15" t="inlineStr">
        <is>
          <t>NOAH HOLDINGS-S</t>
        </is>
      </c>
      <c r="C382" s="15" t="inlineStr">
        <is>
          <t>Financials</t>
        </is>
      </c>
      <c r="D382" s="15" t="inlineStr">
        <is>
          <t>Brokers / asset management</t>
        </is>
      </c>
      <c r="E382" s="34" t="n">
        <v>44755</v>
      </c>
      <c r="F382" s="15" t="n">
        <v>292</v>
      </c>
      <c r="G382" s="15" t="n">
        <v>128</v>
      </c>
      <c r="H382" s="34" t="n">
        <v>46297</v>
      </c>
      <c r="I382" s="31" t="n"/>
      <c r="J382" s="15" t="n">
        <v>0</v>
      </c>
      <c r="K382" s="15">
        <f>IF(AND(AH!$M$5="Snapshot",'IPO Live'!$M$5="Snapshot"),"",IFERROR(BDP(TEXT(VALUE($A382),"0")&amp;" HK Equity","PX_LAST"),""))</f>
        <v/>
      </c>
      <c r="L382" s="15">
        <f>IF(AND(AH!$M$5="Snapshot",'IPO Live'!$M$5="Snapshot"),"",IFERROR(BDP(TEXT(VALUE($A382),"0")&amp;" HK Equity","CHG_PCT_1D")/100,""))</f>
        <v/>
      </c>
      <c r="M382" s="15">
        <f>IF(AND(AH!$M$5="Snapshot",'IPO Live'!$M$5="Snapshot"),"",IFERROR(BDP(TEXT(VALUE($A382),"0")&amp;" HK Equity","LAST_UPDATE_DT"),""))</f>
        <v/>
      </c>
      <c r="N382" s="15">
        <f>IF(AND(AH!$M$5="Snapshot",'IPO Live'!$M$5="Snapshot"),"",IFERROR(BDP(TEXT(VALUE($A382),"0")&amp;" HK Equity","LAST_UPDATE"),""))</f>
        <v/>
      </c>
      <c r="O382" s="15">
        <f>IF('IPO Live'!$M$5="Snapshot",IF(ISNUMBER(G382),G382,"unavailable"),IF(AND(ISNUMBER(K382),N(K382)&gt;0),K382,IF('IPO Live'!$M$5="Auto",IF(ISNUMBER(G382),G382,"unavailable"),"unavailable")))</f>
        <v/>
      </c>
      <c r="P382" s="15">
        <f>IF(AND('IPO Live'!$M$5&lt;&gt;"Snapshot",ISNUMBER(K382),N(K382)&gt;0),"Bloomberg",IF(AND('IPO Live'!$M$5&lt;&gt;"Bloomberg",ISNUMBER(G382)),"Snapshot","Unavailable"))</f>
        <v/>
      </c>
      <c r="Q382" s="33">
        <f>IF(AND(P382="Bloomberg",ISNUMBER(L382)),L382,"unavailable")</f>
        <v/>
      </c>
      <c r="R382" s="15">
        <f>IF(OR('IPO Live'!$B$5="All",'IPO Live'!$B$5=C382,AND('IPO Live'!$B$5="A/H only",J382&gt;0)),1,0)</f>
        <v/>
      </c>
      <c r="S382" s="15">
        <f>IF(R382=1,COUNTIF($R$5:R382,1),"")</f>
        <v/>
      </c>
      <c r="T382">
        <f>IF(ISNUMBER($U382),IF($U382&gt;=DATEVALUE("2023-10-30"),10.0,1),"unavailable")</f>
        <v/>
      </c>
      <c r="U382">
        <f>IF($P382="Bloomberg",$M382,$H382)</f>
        <v/>
      </c>
      <c r="AW382">
        <f>IF(AND(J382&gt;0,OR(AH!$I$5="All",AH!$I$5="A/H only",AH!$I$5=C382)),1,0)</f>
        <v/>
      </c>
      <c r="AX382">
        <f>IF(AW382=1,COUNTIF($AW$5:AW382,1),"")</f>
        <v/>
      </c>
      <c r="AY382">
        <f>IF(AH!$M$5="Snapshot",IF(ISNUMBER(G382),G382,"unavailable"),IF(AND(ISNUMBER(K382),N(K382)&gt;0),K382,IF(AH!$M$5="Auto",IF(ISNUMBER(G382),G382,"unavailable"),"unavailable")))</f>
        <v/>
      </c>
      <c r="AZ382">
        <f>IF(AND(AH!$M$5&lt;&gt;"Snapshot",ISNUMBER(K382),N(K382)&gt;0),"Bloomberg",IF(AND(AH!$M$5&lt;&gt;"Bloomberg",ISNUMBER(G382)),"Snapshot","Unavailable"))</f>
        <v/>
      </c>
      <c r="BA382">
        <f>IF(AZ382="Bloomberg",M382,H382)</f>
        <v/>
      </c>
      <c r="BB382">
        <f>IF(ISNUMBER($BA382),IF($BA382&gt;=DATEVALUE("2023-10-30"),10.0,1),"unavailable")</f>
        <v/>
      </c>
    </row>
    <row r="383">
      <c r="A383" s="31" t="inlineStr">
        <is>
          <t>2378</t>
        </is>
      </c>
      <c r="B383" s="15" t="inlineStr">
        <is>
          <t>PRU</t>
        </is>
      </c>
      <c r="C383" s="15" t="inlineStr">
        <is>
          <t>Financials</t>
        </is>
      </c>
      <c r="D383" s="15" t="inlineStr">
        <is>
          <t>Insurance</t>
        </is>
      </c>
      <c r="E383" s="34" t="n">
        <v>44473</v>
      </c>
      <c r="F383" s="15" t="n">
        <v>143.8</v>
      </c>
      <c r="G383" s="15" t="n">
        <v>95</v>
      </c>
      <c r="H383" s="34" t="n">
        <v>46297</v>
      </c>
      <c r="I383" s="31" t="n"/>
      <c r="J383" s="15" t="n">
        <v>0</v>
      </c>
      <c r="K383" s="15">
        <f>IF(AND(AH!$M$5="Snapshot",'IPO Live'!$M$5="Snapshot"),"",IFERROR(BDP(TEXT(VALUE($A383),"0")&amp;" HK Equity","PX_LAST"),""))</f>
        <v/>
      </c>
      <c r="L383" s="15">
        <f>IF(AND(AH!$M$5="Snapshot",'IPO Live'!$M$5="Snapshot"),"",IFERROR(BDP(TEXT(VALUE($A383),"0")&amp;" HK Equity","CHG_PCT_1D")/100,""))</f>
        <v/>
      </c>
      <c r="M383" s="15">
        <f>IF(AND(AH!$M$5="Snapshot",'IPO Live'!$M$5="Snapshot"),"",IFERROR(BDP(TEXT(VALUE($A383),"0")&amp;" HK Equity","LAST_UPDATE_DT"),""))</f>
        <v/>
      </c>
      <c r="N383" s="15">
        <f>IF(AND(AH!$M$5="Snapshot",'IPO Live'!$M$5="Snapshot"),"",IFERROR(BDP(TEXT(VALUE($A383),"0")&amp;" HK Equity","LAST_UPDATE"),""))</f>
        <v/>
      </c>
      <c r="O383" s="15">
        <f>IF('IPO Live'!$M$5="Snapshot",IF(ISNUMBER(G383),G383,"unavailable"),IF(AND(ISNUMBER(K383),N(K383)&gt;0),K383,IF('IPO Live'!$M$5="Auto",IF(ISNUMBER(G383),G383,"unavailable"),"unavailable")))</f>
        <v/>
      </c>
      <c r="P383" s="15">
        <f>IF(AND('IPO Live'!$M$5&lt;&gt;"Snapshot",ISNUMBER(K383),N(K383)&gt;0),"Bloomberg",IF(AND('IPO Live'!$M$5&lt;&gt;"Bloomberg",ISNUMBER(G383)),"Snapshot","Unavailable"))</f>
        <v/>
      </c>
      <c r="Q383" s="33">
        <f>IF(AND(P383="Bloomberg",ISNUMBER(L383)),L383,"unavailable")</f>
        <v/>
      </c>
      <c r="R383" s="15">
        <f>IF(OR('IPO Live'!$B$5="All",'IPO Live'!$B$5=C383,AND('IPO Live'!$B$5="A/H only",J383&gt;0)),1,0)</f>
        <v/>
      </c>
      <c r="S383" s="15">
        <f>IF(R383=1,COUNTIF($R$5:R383,1),"")</f>
        <v/>
      </c>
      <c r="T383">
        <f>1</f>
        <v/>
      </c>
      <c r="U383">
        <f>IF($P383="Bloomberg",$M383,$H383)</f>
        <v/>
      </c>
      <c r="AW383">
        <f>IF(AND(J383&gt;0,OR(AH!$I$5="All",AH!$I$5="A/H only",AH!$I$5=C383)),1,0)</f>
        <v/>
      </c>
      <c r="AX383">
        <f>IF(AW383=1,COUNTIF($AW$5:AW383,1),"")</f>
        <v/>
      </c>
      <c r="AY383">
        <f>IF(AH!$M$5="Snapshot",IF(ISNUMBER(G383),G383,"unavailable"),IF(AND(ISNUMBER(K383),N(K383)&gt;0),K383,IF(AH!$M$5="Auto",IF(ISNUMBER(G383),G383,"unavailable"),"unavailable")))</f>
        <v/>
      </c>
      <c r="AZ383">
        <f>IF(AND(AH!$M$5&lt;&gt;"Snapshot",ISNUMBER(K383),N(K383)&gt;0),"Bloomberg",IF(AND(AH!$M$5&lt;&gt;"Bloomberg",ISNUMBER(G383)),"Snapshot","Unavailable"))</f>
        <v/>
      </c>
      <c r="BA383">
        <f>IF(AZ383="Bloomberg",M383,H383)</f>
        <v/>
      </c>
      <c r="BB383">
        <f>1</f>
        <v/>
      </c>
    </row>
    <row r="384">
      <c r="A384" s="31" t="inlineStr">
        <is>
          <t>9889</t>
        </is>
      </c>
      <c r="B384" s="15" t="inlineStr">
        <is>
          <t>DRCB</t>
        </is>
      </c>
      <c r="C384" s="15" t="inlineStr">
        <is>
          <t>Financials</t>
        </is>
      </c>
      <c r="D384" s="15" t="inlineStr">
        <is>
          <t>Banks</t>
        </is>
      </c>
      <c r="E384" s="34" t="n">
        <v>44468</v>
      </c>
      <c r="F384" s="15" t="n">
        <v>7.92</v>
      </c>
      <c r="G384" s="15" t="n">
        <v>3.13</v>
      </c>
      <c r="H384" s="34" t="n">
        <v>46297</v>
      </c>
      <c r="I384" s="31" t="n"/>
      <c r="J384" s="15" t="n">
        <v>0</v>
      </c>
      <c r="K384" s="15">
        <f>IF(AND(AH!$M$5="Snapshot",'IPO Live'!$M$5="Snapshot"),"",IFERROR(BDP(TEXT(VALUE($A384),"0")&amp;" HK Equity","PX_LAST"),""))</f>
        <v/>
      </c>
      <c r="L384" s="15">
        <f>IF(AND(AH!$M$5="Snapshot",'IPO Live'!$M$5="Snapshot"),"",IFERROR(BDP(TEXT(VALUE($A384),"0")&amp;" HK Equity","CHG_PCT_1D")/100,""))</f>
        <v/>
      </c>
      <c r="M384" s="15">
        <f>IF(AND(AH!$M$5="Snapshot",'IPO Live'!$M$5="Snapshot"),"",IFERROR(BDP(TEXT(VALUE($A384),"0")&amp;" HK Equity","LAST_UPDATE_DT"),""))</f>
        <v/>
      </c>
      <c r="N384" s="15">
        <f>IF(AND(AH!$M$5="Snapshot",'IPO Live'!$M$5="Snapshot"),"",IFERROR(BDP(TEXT(VALUE($A384),"0")&amp;" HK Equity","LAST_UPDATE"),""))</f>
        <v/>
      </c>
      <c r="O384" s="15">
        <f>IF('IPO Live'!$M$5="Snapshot",IF(ISNUMBER(G384),G384,"unavailable"),IF(AND(ISNUMBER(K384),N(K384)&gt;0),K384,IF('IPO Live'!$M$5="Auto",IF(ISNUMBER(G384),G384,"unavailable"),"unavailable")))</f>
        <v/>
      </c>
      <c r="P384" s="15">
        <f>IF(AND('IPO Live'!$M$5&lt;&gt;"Snapshot",ISNUMBER(K384),N(K384)&gt;0),"Bloomberg",IF(AND('IPO Live'!$M$5&lt;&gt;"Bloomberg",ISNUMBER(G384)),"Snapshot","Unavailable"))</f>
        <v/>
      </c>
      <c r="Q384" s="33">
        <f>IF(AND(P384="Bloomberg",ISNUMBER(L384)),L384,"unavailable")</f>
        <v/>
      </c>
      <c r="R384" s="15">
        <f>IF(OR('IPO Live'!$B$5="All",'IPO Live'!$B$5=C384,AND('IPO Live'!$B$5="A/H only",J384&gt;0)),1,0)</f>
        <v/>
      </c>
      <c r="S384" s="15">
        <f>IF(R384=1,COUNTIF($R$5:R384,1),"")</f>
        <v/>
      </c>
      <c r="T384">
        <f>1</f>
        <v/>
      </c>
      <c r="U384">
        <f>IF($P384="Bloomberg",$M384,$H384)</f>
        <v/>
      </c>
      <c r="AW384">
        <f>IF(AND(J384&gt;0,OR(AH!$I$5="All",AH!$I$5="A/H only",AH!$I$5=C384)),1,0)</f>
        <v/>
      </c>
      <c r="AX384">
        <f>IF(AW384=1,COUNTIF($AW$5:AW384,1),"")</f>
        <v/>
      </c>
      <c r="AY384">
        <f>IF(AH!$M$5="Snapshot",IF(ISNUMBER(G384),G384,"unavailable"),IF(AND(ISNUMBER(K384),N(K384)&gt;0),K384,IF(AH!$M$5="Auto",IF(ISNUMBER(G384),G384,"unavailable"),"unavailable")))</f>
        <v/>
      </c>
      <c r="AZ384">
        <f>IF(AND(AH!$M$5&lt;&gt;"Snapshot",ISNUMBER(K384),N(K384)&gt;0),"Bloomberg",IF(AND(AH!$M$5&lt;&gt;"Bloomberg",ISNUMBER(G384)),"Snapshot","Unavailable"))</f>
        <v/>
      </c>
      <c r="BA384">
        <f>IF(AZ384="Bloomberg",M384,H384)</f>
        <v/>
      </c>
      <c r="BB384">
        <f>1</f>
        <v/>
      </c>
    </row>
    <row r="385">
      <c r="A385" s="31" t="inlineStr">
        <is>
          <t>0537</t>
        </is>
      </c>
      <c r="B385" s="15" t="inlineStr">
        <is>
          <t>RIGOL</t>
        </is>
      </c>
      <c r="C385" s="15" t="inlineStr">
        <is>
          <t>Industrials</t>
        </is>
      </c>
      <c r="D385" s="15" t="inlineStr">
        <is>
          <t>Capital goods / machinery</t>
        </is>
      </c>
      <c r="E385" s="34" t="n">
        <v>46212</v>
      </c>
      <c r="F385" s="15" t="n">
        <v>45.98</v>
      </c>
      <c r="G385" s="15" t="n">
        <v>23.82</v>
      </c>
      <c r="H385" s="34" t="n">
        <v>46297</v>
      </c>
      <c r="I385" s="31" t="inlineStr">
        <is>
          <t>688337.SS</t>
        </is>
      </c>
      <c r="J385" s="15" t="n">
        <v>59</v>
      </c>
      <c r="K385" s="15">
        <f>IF(AND(AH!$M$5="Snapshot",'IPO Live'!$M$5="Snapshot"),"",IFERROR(BDP(TEXT(VALUE($A385),"0")&amp;" HK Equity","PX_LAST"),""))</f>
        <v/>
      </c>
      <c r="L385" s="15">
        <f>IF(AND(AH!$M$5="Snapshot",'IPO Live'!$M$5="Snapshot"),"",IFERROR(BDP(TEXT(VALUE($A385),"0")&amp;" HK Equity","CHG_PCT_1D")/100,""))</f>
        <v/>
      </c>
      <c r="M385" s="15">
        <f>IF(AND(AH!$M$5="Snapshot",'IPO Live'!$M$5="Snapshot"),"",IFERROR(BDP(TEXT(VALUE($A385),"0")&amp;" HK Equity","LAST_UPDATE_DT"),""))</f>
        <v/>
      </c>
      <c r="N385" s="15">
        <f>IF(AND(AH!$M$5="Snapshot",'IPO Live'!$M$5="Snapshot"),"",IFERROR(BDP(TEXT(VALUE($A385),"0")&amp;" HK Equity","LAST_UPDATE"),""))</f>
        <v/>
      </c>
      <c r="O385" s="15">
        <f>IF('IPO Live'!$M$5="Snapshot",IF(ISNUMBER(G385),G385,"unavailable"),IF(AND(ISNUMBER(K385),N(K385)&gt;0),K385,IF('IPO Live'!$M$5="Auto",IF(ISNUMBER(G385),G385,"unavailable"),"unavailable")))</f>
        <v/>
      </c>
      <c r="P385" s="15">
        <f>IF(AND('IPO Live'!$M$5&lt;&gt;"Snapshot",ISNUMBER(K385),N(K385)&gt;0),"Bloomberg",IF(AND('IPO Live'!$M$5&lt;&gt;"Bloomberg",ISNUMBER(G385)),"Snapshot","Unavailable"))</f>
        <v/>
      </c>
      <c r="Q385" s="33">
        <f>IF(AND(P385="Bloomberg",ISNUMBER(L385)),L385,"unavailable")</f>
        <v/>
      </c>
      <c r="R385" s="15">
        <f>IF(OR('IPO Live'!$B$5="All",'IPO Live'!$B$5=C385,AND('IPO Live'!$B$5="A/H only",J385&gt;0)),1,0)</f>
        <v/>
      </c>
      <c r="S385" s="15">
        <f>IF(R385=1,COUNTIF($R$5:R385,1),"")</f>
        <v/>
      </c>
      <c r="T385">
        <f>1</f>
        <v/>
      </c>
      <c r="U385">
        <f>IF($P385="Bloomberg",$M385,$H385)</f>
        <v/>
      </c>
      <c r="AW385">
        <f>IF(AND(J385&gt;0,OR(AH!$I$5="All",AH!$I$5="A/H only",AH!$I$5=C385)),1,0)</f>
        <v/>
      </c>
      <c r="AX385">
        <f>IF(AW385=1,COUNTIF($AW$5:AW385,1),"")</f>
        <v/>
      </c>
      <c r="AY385">
        <f>IF(AH!$M$5="Snapshot",IF(ISNUMBER(G385),G385,"unavailable"),IF(AND(ISNUMBER(K385),N(K385)&gt;0),K385,IF(AH!$M$5="Auto",IF(ISNUMBER(G385),G385,"unavailable"),"unavailable")))</f>
        <v/>
      </c>
      <c r="AZ385">
        <f>IF(AND(AH!$M$5&lt;&gt;"Snapshot",ISNUMBER(K385),N(K385)&gt;0),"Bloomberg",IF(AND(AH!$M$5&lt;&gt;"Bloomberg",ISNUMBER(G385)),"Snapshot","Unavailable"))</f>
        <v/>
      </c>
      <c r="BA385">
        <f>IF(AZ385="Bloomberg",M385,H385)</f>
        <v/>
      </c>
      <c r="BB385">
        <f>1</f>
        <v/>
      </c>
    </row>
    <row r="386">
      <c r="A386" s="31" t="inlineStr">
        <is>
          <t>3952</t>
        </is>
      </c>
      <c r="B386" s="15" t="inlineStr">
        <is>
          <t>LAIFUAL</t>
        </is>
      </c>
      <c r="C386" s="15" t="inlineStr">
        <is>
          <t>Industrials</t>
        </is>
      </c>
      <c r="D386" s="15" t="inlineStr">
        <is>
          <t>Capital goods / machinery</t>
        </is>
      </c>
      <c r="E386" s="34" t="n">
        <v>46203</v>
      </c>
      <c r="F386" s="15" t="n">
        <v>85.5</v>
      </c>
      <c r="G386" s="15" t="n">
        <v>43.5</v>
      </c>
      <c r="H386" s="34" t="n">
        <v>46297</v>
      </c>
      <c r="I386" s="31" t="n"/>
      <c r="J386" s="15" t="n">
        <v>0</v>
      </c>
      <c r="K386" s="15">
        <f>IF(AND(AH!$M$5="Snapshot",'IPO Live'!$M$5="Snapshot"),"",IFERROR(BDP(TEXT(VALUE($A386),"0")&amp;" HK Equity","PX_LAST"),""))</f>
        <v/>
      </c>
      <c r="L386" s="15">
        <f>IF(AND(AH!$M$5="Snapshot",'IPO Live'!$M$5="Snapshot"),"",IFERROR(BDP(TEXT(VALUE($A386),"0")&amp;" HK Equity","CHG_PCT_1D")/100,""))</f>
        <v/>
      </c>
      <c r="M386" s="15">
        <f>IF(AND(AH!$M$5="Snapshot",'IPO Live'!$M$5="Snapshot"),"",IFERROR(BDP(TEXT(VALUE($A386),"0")&amp;" HK Equity","LAST_UPDATE_DT"),""))</f>
        <v/>
      </c>
      <c r="N386" s="15">
        <f>IF(AND(AH!$M$5="Snapshot",'IPO Live'!$M$5="Snapshot"),"",IFERROR(BDP(TEXT(VALUE($A386),"0")&amp;" HK Equity","LAST_UPDATE"),""))</f>
        <v/>
      </c>
      <c r="O386" s="15">
        <f>IF('IPO Live'!$M$5="Snapshot",IF(ISNUMBER(G386),G386,"unavailable"),IF(AND(ISNUMBER(K386),N(K386)&gt;0),K386,IF('IPO Live'!$M$5="Auto",IF(ISNUMBER(G386),G386,"unavailable"),"unavailable")))</f>
        <v/>
      </c>
      <c r="P386" s="15">
        <f>IF(AND('IPO Live'!$M$5&lt;&gt;"Snapshot",ISNUMBER(K386),N(K386)&gt;0),"Bloomberg",IF(AND('IPO Live'!$M$5&lt;&gt;"Bloomberg",ISNUMBER(G386)),"Snapshot","Unavailable"))</f>
        <v/>
      </c>
      <c r="Q386" s="33">
        <f>IF(AND(P386="Bloomberg",ISNUMBER(L386)),L386,"unavailable")</f>
        <v/>
      </c>
      <c r="R386" s="15">
        <f>IF(OR('IPO Live'!$B$5="All",'IPO Live'!$B$5=C386,AND('IPO Live'!$B$5="A/H only",J386&gt;0)),1,0)</f>
        <v/>
      </c>
      <c r="S386" s="15">
        <f>IF(R386=1,COUNTIF($R$5:R386,1),"")</f>
        <v/>
      </c>
      <c r="T386">
        <f>1</f>
        <v/>
      </c>
      <c r="U386">
        <f>IF($P386="Bloomberg",$M386,$H386)</f>
        <v/>
      </c>
      <c r="AW386">
        <f>IF(AND(J386&gt;0,OR(AH!$I$5="All",AH!$I$5="A/H only",AH!$I$5=C386)),1,0)</f>
        <v/>
      </c>
      <c r="AX386">
        <f>IF(AW386=1,COUNTIF($AW$5:AW386,1),"")</f>
        <v/>
      </c>
      <c r="AY386">
        <f>IF(AH!$M$5="Snapshot",IF(ISNUMBER(G386),G386,"unavailable"),IF(AND(ISNUMBER(K386),N(K386)&gt;0),K386,IF(AH!$M$5="Auto",IF(ISNUMBER(G386),G386,"unavailable"),"unavailable")))</f>
        <v/>
      </c>
      <c r="AZ386">
        <f>IF(AND(AH!$M$5&lt;&gt;"Snapshot",ISNUMBER(K386),N(K386)&gt;0),"Bloomberg",IF(AND(AH!$M$5&lt;&gt;"Bloomberg",ISNUMBER(G386)),"Snapshot","Unavailable"))</f>
        <v/>
      </c>
      <c r="BA386">
        <f>IF(AZ386="Bloomberg",M386,H386)</f>
        <v/>
      </c>
      <c r="BB386">
        <f>1</f>
        <v/>
      </c>
    </row>
    <row r="387">
      <c r="A387" s="31" t="inlineStr">
        <is>
          <t>6067</t>
        </is>
      </c>
      <c r="B387" s="15" t="inlineStr">
        <is>
          <t>SENIOR MATERIAL</t>
        </is>
      </c>
      <c r="C387" s="15" t="inlineStr">
        <is>
          <t>Industrials</t>
        </is>
      </c>
      <c r="D387" s="15" t="inlineStr">
        <is>
          <t>Batteries / energy storage</t>
        </is>
      </c>
      <c r="E387" s="34" t="n">
        <v>46196</v>
      </c>
      <c r="F387" s="15" t="n">
        <v>8.98</v>
      </c>
      <c r="G387" s="15" t="n">
        <v>6.965</v>
      </c>
      <c r="H387" s="34" t="n">
        <v>46297</v>
      </c>
      <c r="I387" s="31" t="inlineStr">
        <is>
          <t>300568.SZ</t>
        </is>
      </c>
      <c r="J387" s="15" t="n">
        <v>54</v>
      </c>
      <c r="K387" s="15">
        <f>IF(AND(AH!$M$5="Snapshot",'IPO Live'!$M$5="Snapshot"),"",IFERROR(BDP(TEXT(VALUE($A387),"0")&amp;" HK Equity","PX_LAST"),""))</f>
        <v/>
      </c>
      <c r="L387" s="15">
        <f>IF(AND(AH!$M$5="Snapshot",'IPO Live'!$M$5="Snapshot"),"",IFERROR(BDP(TEXT(VALUE($A387),"0")&amp;" HK Equity","CHG_PCT_1D")/100,""))</f>
        <v/>
      </c>
      <c r="M387" s="15">
        <f>IF(AND(AH!$M$5="Snapshot",'IPO Live'!$M$5="Snapshot"),"",IFERROR(BDP(TEXT(VALUE($A387),"0")&amp;" HK Equity","LAST_UPDATE_DT"),""))</f>
        <v/>
      </c>
      <c r="N387" s="15">
        <f>IF(AND(AH!$M$5="Snapshot",'IPO Live'!$M$5="Snapshot"),"",IFERROR(BDP(TEXT(VALUE($A387),"0")&amp;" HK Equity","LAST_UPDATE"),""))</f>
        <v/>
      </c>
      <c r="O387" s="15">
        <f>IF('IPO Live'!$M$5="Snapshot",IF(ISNUMBER(G387),G387,"unavailable"),IF(AND(ISNUMBER(K387),N(K387)&gt;0),K387,IF('IPO Live'!$M$5="Auto",IF(ISNUMBER(G387),G387,"unavailable"),"unavailable")))</f>
        <v/>
      </c>
      <c r="P387" s="15">
        <f>IF(AND('IPO Live'!$M$5&lt;&gt;"Snapshot",ISNUMBER(K387),N(K387)&gt;0),"Bloomberg",IF(AND('IPO Live'!$M$5&lt;&gt;"Bloomberg",ISNUMBER(G387)),"Snapshot","Unavailable"))</f>
        <v/>
      </c>
      <c r="Q387" s="33">
        <f>IF(AND(P387="Bloomberg",ISNUMBER(L387)),L387,"unavailable")</f>
        <v/>
      </c>
      <c r="R387" s="15">
        <f>IF(OR('IPO Live'!$B$5="All",'IPO Live'!$B$5=C387,AND('IPO Live'!$B$5="A/H only",J387&gt;0)),1,0)</f>
        <v/>
      </c>
      <c r="S387" s="15">
        <f>IF(R387=1,COUNTIF($R$5:R387,1),"")</f>
        <v/>
      </c>
      <c r="T387">
        <f>1</f>
        <v/>
      </c>
      <c r="U387">
        <f>IF($P387="Bloomberg",$M387,$H387)</f>
        <v/>
      </c>
      <c r="AW387">
        <f>IF(AND(J387&gt;0,OR(AH!$I$5="All",AH!$I$5="A/H only",AH!$I$5=C387)),1,0)</f>
        <v/>
      </c>
      <c r="AX387">
        <f>IF(AW387=1,COUNTIF($AW$5:AW387,1),"")</f>
        <v/>
      </c>
      <c r="AY387">
        <f>IF(AH!$M$5="Snapshot",IF(ISNUMBER(G387),G387,"unavailable"),IF(AND(ISNUMBER(K387),N(K387)&gt;0),K387,IF(AH!$M$5="Auto",IF(ISNUMBER(G387),G387,"unavailable"),"unavailable")))</f>
        <v/>
      </c>
      <c r="AZ387">
        <f>IF(AND(AH!$M$5&lt;&gt;"Snapshot",ISNUMBER(K387),N(K387)&gt;0),"Bloomberg",IF(AND(AH!$M$5&lt;&gt;"Bloomberg",ISNUMBER(G387)),"Snapshot","Unavailable"))</f>
        <v/>
      </c>
      <c r="BA387">
        <f>IF(AZ387="Bloomberg",M387,H387)</f>
        <v/>
      </c>
      <c r="BB387">
        <f>1</f>
        <v/>
      </c>
    </row>
    <row r="388">
      <c r="A388" s="31" t="inlineStr">
        <is>
          <t>1081</t>
        </is>
      </c>
      <c r="B388" s="15" t="inlineStr">
        <is>
          <t>DAJIN</t>
        </is>
      </c>
      <c r="C388" s="15" t="inlineStr">
        <is>
          <t>Industrials</t>
        </is>
      </c>
      <c r="D388" s="15" t="inlineStr">
        <is>
          <t>Solar / wind supply chain</t>
        </is>
      </c>
      <c r="E388" s="34" t="n">
        <v>46178</v>
      </c>
      <c r="F388" s="15" t="n">
        <v>66.40000000000001</v>
      </c>
      <c r="G388" s="15" t="n">
        <v>31.86</v>
      </c>
      <c r="H388" s="34" t="n">
        <v>46297</v>
      </c>
      <c r="I388" s="31" t="inlineStr">
        <is>
          <t>002487.SZ</t>
        </is>
      </c>
      <c r="J388" s="15" t="n">
        <v>53</v>
      </c>
      <c r="K388" s="15">
        <f>IF(AND(AH!$M$5="Snapshot",'IPO Live'!$M$5="Snapshot"),"",IFERROR(BDP(TEXT(VALUE($A388),"0")&amp;" HK Equity","PX_LAST"),""))</f>
        <v/>
      </c>
      <c r="L388" s="15">
        <f>IF(AND(AH!$M$5="Snapshot",'IPO Live'!$M$5="Snapshot"),"",IFERROR(BDP(TEXT(VALUE($A388),"0")&amp;" HK Equity","CHG_PCT_1D")/100,""))</f>
        <v/>
      </c>
      <c r="M388" s="15">
        <f>IF(AND(AH!$M$5="Snapshot",'IPO Live'!$M$5="Snapshot"),"",IFERROR(BDP(TEXT(VALUE($A388),"0")&amp;" HK Equity","LAST_UPDATE_DT"),""))</f>
        <v/>
      </c>
      <c r="N388" s="15">
        <f>IF(AND(AH!$M$5="Snapshot",'IPO Live'!$M$5="Snapshot"),"",IFERROR(BDP(TEXT(VALUE($A388),"0")&amp;" HK Equity","LAST_UPDATE"),""))</f>
        <v/>
      </c>
      <c r="O388" s="15">
        <f>IF('IPO Live'!$M$5="Snapshot",IF(ISNUMBER(G388),G388,"unavailable"),IF(AND(ISNUMBER(K388),N(K388)&gt;0),K388,IF('IPO Live'!$M$5="Auto",IF(ISNUMBER(G388),G388,"unavailable"),"unavailable")))</f>
        <v/>
      </c>
      <c r="P388" s="15">
        <f>IF(AND('IPO Live'!$M$5&lt;&gt;"Snapshot",ISNUMBER(K388),N(K388)&gt;0),"Bloomberg",IF(AND('IPO Live'!$M$5&lt;&gt;"Bloomberg",ISNUMBER(G388)),"Snapshot","Unavailable"))</f>
        <v/>
      </c>
      <c r="Q388" s="33">
        <f>IF(AND(P388="Bloomberg",ISNUMBER(L388)),L388,"unavailable")</f>
        <v/>
      </c>
      <c r="R388" s="15">
        <f>IF(OR('IPO Live'!$B$5="All",'IPO Live'!$B$5=C388,AND('IPO Live'!$B$5="A/H only",J388&gt;0)),1,0)</f>
        <v/>
      </c>
      <c r="S388" s="15">
        <f>IF(R388=1,COUNTIF($R$5:R388,1),"")</f>
        <v/>
      </c>
      <c r="T388">
        <f>1</f>
        <v/>
      </c>
      <c r="U388">
        <f>IF($P388="Bloomberg",$M388,$H388)</f>
        <v/>
      </c>
      <c r="AW388">
        <f>IF(AND(J388&gt;0,OR(AH!$I$5="All",AH!$I$5="A/H only",AH!$I$5=C388)),1,0)</f>
        <v/>
      </c>
      <c r="AX388">
        <f>IF(AW388=1,COUNTIF($AW$5:AW388,1),"")</f>
        <v/>
      </c>
      <c r="AY388">
        <f>IF(AH!$M$5="Snapshot",IF(ISNUMBER(G388),G388,"unavailable"),IF(AND(ISNUMBER(K388),N(K388)&gt;0),K388,IF(AH!$M$5="Auto",IF(ISNUMBER(G388),G388,"unavailable"),"unavailable")))</f>
        <v/>
      </c>
      <c r="AZ388">
        <f>IF(AND(AH!$M$5&lt;&gt;"Snapshot",ISNUMBER(K388),N(K388)&gt;0),"Bloomberg",IF(AND(AH!$M$5&lt;&gt;"Bloomberg",ISNUMBER(G388)),"Snapshot","Unavailable"))</f>
        <v/>
      </c>
      <c r="BA388">
        <f>IF(AZ388="Bloomberg",M388,H388)</f>
        <v/>
      </c>
      <c r="BB388">
        <f>1</f>
        <v/>
      </c>
    </row>
    <row r="389">
      <c r="A389" s="31" t="inlineStr">
        <is>
          <t>7688</t>
        </is>
      </c>
      <c r="B389" s="15" t="inlineStr">
        <is>
          <t>TOPNC</t>
        </is>
      </c>
      <c r="C389" s="15" t="inlineStr">
        <is>
          <t>Industrials</t>
        </is>
      </c>
      <c r="D389" s="15" t="inlineStr">
        <is>
          <t>Capital goods / machinery</t>
        </is>
      </c>
      <c r="E389" s="34" t="n">
        <v>46162</v>
      </c>
      <c r="F389" s="15" t="n">
        <v>26.39</v>
      </c>
      <c r="G389" s="15" t="n">
        <v>18.47</v>
      </c>
      <c r="H389" s="34" t="n">
        <v>46297</v>
      </c>
      <c r="I389" s="31" t="n"/>
      <c r="J389" s="15" t="n">
        <v>0</v>
      </c>
      <c r="K389" s="15">
        <f>IF(AND(AH!$M$5="Snapshot",'IPO Live'!$M$5="Snapshot"),"",IFERROR(BDP(TEXT(VALUE($A389),"0")&amp;" HK Equity","PX_LAST"),""))</f>
        <v/>
      </c>
      <c r="L389" s="15">
        <f>IF(AND(AH!$M$5="Snapshot",'IPO Live'!$M$5="Snapshot"),"",IFERROR(BDP(TEXT(VALUE($A389),"0")&amp;" HK Equity","CHG_PCT_1D")/100,""))</f>
        <v/>
      </c>
      <c r="M389" s="15">
        <f>IF(AND(AH!$M$5="Snapshot",'IPO Live'!$M$5="Snapshot"),"",IFERROR(BDP(TEXT(VALUE($A389),"0")&amp;" HK Equity","LAST_UPDATE_DT"),""))</f>
        <v/>
      </c>
      <c r="N389" s="15">
        <f>IF(AND(AH!$M$5="Snapshot",'IPO Live'!$M$5="Snapshot"),"",IFERROR(BDP(TEXT(VALUE($A389),"0")&amp;" HK Equity","LAST_UPDATE"),""))</f>
        <v/>
      </c>
      <c r="O389" s="15">
        <f>IF('IPO Live'!$M$5="Snapshot",IF(ISNUMBER(G389),G389,"unavailable"),IF(AND(ISNUMBER(K389),N(K389)&gt;0),K389,IF('IPO Live'!$M$5="Auto",IF(ISNUMBER(G389),G389,"unavailable"),"unavailable")))</f>
        <v/>
      </c>
      <c r="P389" s="15">
        <f>IF(AND('IPO Live'!$M$5&lt;&gt;"Snapshot",ISNUMBER(K389),N(K389)&gt;0),"Bloomberg",IF(AND('IPO Live'!$M$5&lt;&gt;"Bloomberg",ISNUMBER(G389)),"Snapshot","Unavailable"))</f>
        <v/>
      </c>
      <c r="Q389" s="33">
        <f>IF(AND(P389="Bloomberg",ISNUMBER(L389)),L389,"unavailable")</f>
        <v/>
      </c>
      <c r="R389" s="15">
        <f>IF(OR('IPO Live'!$B$5="All",'IPO Live'!$B$5=C389,AND('IPO Live'!$B$5="A/H only",J389&gt;0)),1,0)</f>
        <v/>
      </c>
      <c r="S389" s="15">
        <f>IF(R389=1,COUNTIF($R$5:R389,1),"")</f>
        <v/>
      </c>
      <c r="T389">
        <f>1</f>
        <v/>
      </c>
      <c r="U389">
        <f>IF($P389="Bloomberg",$M389,$H389)</f>
        <v/>
      </c>
      <c r="AW389">
        <f>IF(AND(J389&gt;0,OR(AH!$I$5="All",AH!$I$5="A/H only",AH!$I$5=C389)),1,0)</f>
        <v/>
      </c>
      <c r="AX389">
        <f>IF(AW389=1,COUNTIF($AW$5:AW389,1),"")</f>
        <v/>
      </c>
      <c r="AY389">
        <f>IF(AH!$M$5="Snapshot",IF(ISNUMBER(G389),G389,"unavailable"),IF(AND(ISNUMBER(K389),N(K389)&gt;0),K389,IF(AH!$M$5="Auto",IF(ISNUMBER(G389),G389,"unavailable"),"unavailable")))</f>
        <v/>
      </c>
      <c r="AZ389">
        <f>IF(AND(AH!$M$5&lt;&gt;"Snapshot",ISNUMBER(K389),N(K389)&gt;0),"Bloomberg",IF(AND(AH!$M$5&lt;&gt;"Bloomberg",ISNUMBER(G389)),"Snapshot","Unavailable"))</f>
        <v/>
      </c>
      <c r="BA389">
        <f>IF(AZ389="Bloomberg",M389,H389)</f>
        <v/>
      </c>
      <c r="BB389">
        <f>1</f>
        <v/>
      </c>
    </row>
    <row r="390">
      <c r="A390" s="31" t="inlineStr">
        <is>
          <t>6656</t>
        </is>
      </c>
      <c r="B390" s="15" t="inlineStr">
        <is>
          <t>SIGENERGY</t>
        </is>
      </c>
      <c r="C390" s="15" t="inlineStr">
        <is>
          <t>Industrials</t>
        </is>
      </c>
      <c r="D390" s="15" t="inlineStr">
        <is>
          <t>Batteries / energy storage</t>
        </is>
      </c>
      <c r="E390" s="34" t="n">
        <v>46128</v>
      </c>
      <c r="F390" s="15" t="n">
        <v>324.2</v>
      </c>
      <c r="G390" s="15" t="n">
        <v>276</v>
      </c>
      <c r="H390" s="34" t="n">
        <v>46297</v>
      </c>
      <c r="I390" s="31" t="n"/>
      <c r="J390" s="15" t="n">
        <v>0</v>
      </c>
      <c r="K390" s="15">
        <f>IF(AND(AH!$M$5="Snapshot",'IPO Live'!$M$5="Snapshot"),"",IFERROR(BDP(TEXT(VALUE($A390),"0")&amp;" HK Equity","PX_LAST"),""))</f>
        <v/>
      </c>
      <c r="L390" s="15">
        <f>IF(AND(AH!$M$5="Snapshot",'IPO Live'!$M$5="Snapshot"),"",IFERROR(BDP(TEXT(VALUE($A390),"0")&amp;" HK Equity","CHG_PCT_1D")/100,""))</f>
        <v/>
      </c>
      <c r="M390" s="15">
        <f>IF(AND(AH!$M$5="Snapshot",'IPO Live'!$M$5="Snapshot"),"",IFERROR(BDP(TEXT(VALUE($A390),"0")&amp;" HK Equity","LAST_UPDATE_DT"),""))</f>
        <v/>
      </c>
      <c r="N390" s="15">
        <f>IF(AND(AH!$M$5="Snapshot",'IPO Live'!$M$5="Snapshot"),"",IFERROR(BDP(TEXT(VALUE($A390),"0")&amp;" HK Equity","LAST_UPDATE"),""))</f>
        <v/>
      </c>
      <c r="O390" s="15">
        <f>IF('IPO Live'!$M$5="Snapshot",IF(ISNUMBER(G390),G390,"unavailable"),IF(AND(ISNUMBER(K390),N(K390)&gt;0),K390,IF('IPO Live'!$M$5="Auto",IF(ISNUMBER(G390),G390,"unavailable"),"unavailable")))</f>
        <v/>
      </c>
      <c r="P390" s="15">
        <f>IF(AND('IPO Live'!$M$5&lt;&gt;"Snapshot",ISNUMBER(K390),N(K390)&gt;0),"Bloomberg",IF(AND('IPO Live'!$M$5&lt;&gt;"Bloomberg",ISNUMBER(G390)),"Snapshot","Unavailable"))</f>
        <v/>
      </c>
      <c r="Q390" s="33">
        <f>IF(AND(P390="Bloomberg",ISNUMBER(L390)),L390,"unavailable")</f>
        <v/>
      </c>
      <c r="R390" s="15">
        <f>IF(OR('IPO Live'!$B$5="All",'IPO Live'!$B$5=C390,AND('IPO Live'!$B$5="A/H only",J390&gt;0)),1,0)</f>
        <v/>
      </c>
      <c r="S390" s="15">
        <f>IF(R390=1,COUNTIF($R$5:R390,1),"")</f>
        <v/>
      </c>
      <c r="T390">
        <f>1</f>
        <v/>
      </c>
      <c r="U390">
        <f>IF($P390="Bloomberg",$M390,$H390)</f>
        <v/>
      </c>
      <c r="AW390">
        <f>IF(AND(J390&gt;0,OR(AH!$I$5="All",AH!$I$5="A/H only",AH!$I$5=C390)),1,0)</f>
        <v/>
      </c>
      <c r="AX390">
        <f>IF(AW390=1,COUNTIF($AW$5:AW390,1),"")</f>
        <v/>
      </c>
      <c r="AY390">
        <f>IF(AH!$M$5="Snapshot",IF(ISNUMBER(G390),G390,"unavailable"),IF(AND(ISNUMBER(K390),N(K390)&gt;0),K390,IF(AH!$M$5="Auto",IF(ISNUMBER(G390),G390,"unavailable"),"unavailable")))</f>
        <v/>
      </c>
      <c r="AZ390">
        <f>IF(AND(AH!$M$5&lt;&gt;"Snapshot",ISNUMBER(K390),N(K390)&gt;0),"Bloomberg",IF(AND(AH!$M$5&lt;&gt;"Bloomberg",ISNUMBER(G390)),"Snapshot","Unavailable"))</f>
        <v/>
      </c>
      <c r="BA390">
        <f>IF(AZ390="Bloomberg",M390,H390)</f>
        <v/>
      </c>
      <c r="BB390">
        <f>1</f>
        <v/>
      </c>
    </row>
    <row r="391">
      <c r="A391" s="31" t="inlineStr">
        <is>
          <t>2649</t>
        </is>
      </c>
      <c r="B391" s="15" t="inlineStr">
        <is>
          <t>ALSCO POOLING</t>
        </is>
      </c>
      <c r="C391" s="15" t="inlineStr">
        <is>
          <t>Industrials</t>
        </is>
      </c>
      <c r="D391" s="15" t="inlineStr">
        <is>
          <t>Logistics</t>
        </is>
      </c>
      <c r="E391" s="34" t="n">
        <v>46090</v>
      </c>
      <c r="F391" s="15" t="n">
        <v>11</v>
      </c>
      <c r="G391" s="15" t="n">
        <v>3.9</v>
      </c>
      <c r="H391" s="34" t="n">
        <v>46111</v>
      </c>
      <c r="I391" s="31" t="n"/>
      <c r="J391" s="15" t="n">
        <v>0</v>
      </c>
      <c r="K391" s="15">
        <f>IF(AND(AH!$M$5="Snapshot",'IPO Live'!$M$5="Snapshot"),"",IFERROR(BDP(TEXT(VALUE($A391),"0")&amp;" HK Equity","PX_LAST"),""))</f>
        <v/>
      </c>
      <c r="L391" s="15">
        <f>IF(AND(AH!$M$5="Snapshot",'IPO Live'!$M$5="Snapshot"),"",IFERROR(BDP(TEXT(VALUE($A391),"0")&amp;" HK Equity","CHG_PCT_1D")/100,""))</f>
        <v/>
      </c>
      <c r="M391" s="15">
        <f>IF(AND(AH!$M$5="Snapshot",'IPO Live'!$M$5="Snapshot"),"",IFERROR(BDP(TEXT(VALUE($A391),"0")&amp;" HK Equity","LAST_UPDATE_DT"),""))</f>
        <v/>
      </c>
      <c r="N391" s="15">
        <f>IF(AND(AH!$M$5="Snapshot",'IPO Live'!$M$5="Snapshot"),"",IFERROR(BDP(TEXT(VALUE($A391),"0")&amp;" HK Equity","LAST_UPDATE"),""))</f>
        <v/>
      </c>
      <c r="O391" s="15">
        <f>IF('IPO Live'!$M$5="Snapshot",IF(ISNUMBER(G391),G391,"unavailable"),IF(AND(ISNUMBER(K391),N(K391)&gt;0),K391,IF('IPO Live'!$M$5="Auto",IF(ISNUMBER(G391),G391,"unavailable"),"unavailable")))</f>
        <v/>
      </c>
      <c r="P391" s="15">
        <f>IF(AND('IPO Live'!$M$5&lt;&gt;"Snapshot",ISNUMBER(K391),N(K391)&gt;0),"Bloomberg",IF(AND('IPO Live'!$M$5&lt;&gt;"Bloomberg",ISNUMBER(G391)),"Snapshot","Unavailable"))</f>
        <v/>
      </c>
      <c r="Q391" s="33">
        <f>IF(AND(P391="Bloomberg",ISNUMBER(L391)),L391,"unavailable")</f>
        <v/>
      </c>
      <c r="R391" s="15">
        <f>IF(OR('IPO Live'!$B$5="All",'IPO Live'!$B$5=C391,AND('IPO Live'!$B$5="A/H only",J391&gt;0)),1,0)</f>
        <v/>
      </c>
      <c r="S391" s="15">
        <f>IF(R391=1,COUNTIF($R$5:R391,1),"")</f>
        <v/>
      </c>
      <c r="T391">
        <f>1</f>
        <v/>
      </c>
      <c r="U391">
        <f>IF($P391="Bloomberg",$M391,$H391)</f>
        <v/>
      </c>
      <c r="AW391">
        <f>IF(AND(J391&gt;0,OR(AH!$I$5="All",AH!$I$5="A/H only",AH!$I$5=C391)),1,0)</f>
        <v/>
      </c>
      <c r="AX391">
        <f>IF(AW391=1,COUNTIF($AW$5:AW391,1),"")</f>
        <v/>
      </c>
      <c r="AY391">
        <f>IF(AH!$M$5="Snapshot",IF(ISNUMBER(G391),G391,"unavailable"),IF(AND(ISNUMBER(K391),N(K391)&gt;0),K391,IF(AH!$M$5="Auto",IF(ISNUMBER(G391),G391,"unavailable"),"unavailable")))</f>
        <v/>
      </c>
      <c r="AZ391">
        <f>IF(AND(AH!$M$5&lt;&gt;"Snapshot",ISNUMBER(K391),N(K391)&gt;0),"Bloomberg",IF(AND(AH!$M$5&lt;&gt;"Bloomberg",ISNUMBER(G391)),"Snapshot","Unavailable"))</f>
        <v/>
      </c>
      <c r="BA391">
        <f>IF(AZ391="Bloomberg",M391,H391)</f>
        <v/>
      </c>
      <c r="BB391">
        <f>1</f>
        <v/>
      </c>
    </row>
    <row r="392">
      <c r="A392" s="31" t="inlineStr">
        <is>
          <t>2692</t>
        </is>
      </c>
      <c r="B392" s="15" t="inlineStr">
        <is>
          <t>ZHAOWEI</t>
        </is>
      </c>
      <c r="C392" s="15" t="inlineStr">
        <is>
          <t>Industrials</t>
        </is>
      </c>
      <c r="D392" s="15" t="inlineStr">
        <is>
          <t>Capital goods / machinery</t>
        </is>
      </c>
      <c r="E392" s="34" t="n">
        <v>46090</v>
      </c>
      <c r="F392" s="15" t="n">
        <v>71.28</v>
      </c>
      <c r="G392" s="15" t="n">
        <v>37.54</v>
      </c>
      <c r="H392" s="34" t="n">
        <v>46297</v>
      </c>
      <c r="I392" s="31" t="inlineStr">
        <is>
          <t>003021.SZ</t>
        </is>
      </c>
      <c r="J392" s="15" t="n">
        <v>45</v>
      </c>
      <c r="K392" s="15">
        <f>IF(AND(AH!$M$5="Snapshot",'IPO Live'!$M$5="Snapshot"),"",IFERROR(BDP(TEXT(VALUE($A392),"0")&amp;" HK Equity","PX_LAST"),""))</f>
        <v/>
      </c>
      <c r="L392" s="15">
        <f>IF(AND(AH!$M$5="Snapshot",'IPO Live'!$M$5="Snapshot"),"",IFERROR(BDP(TEXT(VALUE($A392),"0")&amp;" HK Equity","CHG_PCT_1D")/100,""))</f>
        <v/>
      </c>
      <c r="M392" s="15">
        <f>IF(AND(AH!$M$5="Snapshot",'IPO Live'!$M$5="Snapshot"),"",IFERROR(BDP(TEXT(VALUE($A392),"0")&amp;" HK Equity","LAST_UPDATE_DT"),""))</f>
        <v/>
      </c>
      <c r="N392" s="15">
        <f>IF(AND(AH!$M$5="Snapshot",'IPO Live'!$M$5="Snapshot"),"",IFERROR(BDP(TEXT(VALUE($A392),"0")&amp;" HK Equity","LAST_UPDATE"),""))</f>
        <v/>
      </c>
      <c r="O392" s="15">
        <f>IF('IPO Live'!$M$5="Snapshot",IF(ISNUMBER(G392),G392,"unavailable"),IF(AND(ISNUMBER(K392),N(K392)&gt;0),K392,IF('IPO Live'!$M$5="Auto",IF(ISNUMBER(G392),G392,"unavailable"),"unavailable")))</f>
        <v/>
      </c>
      <c r="P392" s="15">
        <f>IF(AND('IPO Live'!$M$5&lt;&gt;"Snapshot",ISNUMBER(K392),N(K392)&gt;0),"Bloomberg",IF(AND('IPO Live'!$M$5&lt;&gt;"Bloomberg",ISNUMBER(G392)),"Snapshot","Unavailable"))</f>
        <v/>
      </c>
      <c r="Q392" s="33">
        <f>IF(AND(P392="Bloomberg",ISNUMBER(L392)),L392,"unavailable")</f>
        <v/>
      </c>
      <c r="R392" s="15">
        <f>IF(OR('IPO Live'!$B$5="All",'IPO Live'!$B$5=C392,AND('IPO Live'!$B$5="A/H only",J392&gt;0)),1,0)</f>
        <v/>
      </c>
      <c r="S392" s="15">
        <f>IF(R392=1,COUNTIF($R$5:R392,1),"")</f>
        <v/>
      </c>
      <c r="T392">
        <f>1</f>
        <v/>
      </c>
      <c r="U392">
        <f>IF($P392="Bloomberg",$M392,$H392)</f>
        <v/>
      </c>
      <c r="AW392">
        <f>IF(AND(J392&gt;0,OR(AH!$I$5="All",AH!$I$5="A/H only",AH!$I$5=C392)),1,0)</f>
        <v/>
      </c>
      <c r="AX392">
        <f>IF(AW392=1,COUNTIF($AW$5:AW392,1),"")</f>
        <v/>
      </c>
      <c r="AY392">
        <f>IF(AH!$M$5="Snapshot",IF(ISNUMBER(G392),G392,"unavailable"),IF(AND(ISNUMBER(K392),N(K392)&gt;0),K392,IF(AH!$M$5="Auto",IF(ISNUMBER(G392),G392,"unavailable"),"unavailable")))</f>
        <v/>
      </c>
      <c r="AZ392">
        <f>IF(AND(AH!$M$5&lt;&gt;"Snapshot",ISNUMBER(K392),N(K392)&gt;0),"Bloomberg",IF(AND(AH!$M$5&lt;&gt;"Bloomberg",ISNUMBER(G392)),"Snapshot","Unavailable"))</f>
        <v/>
      </c>
      <c r="BA392">
        <f>IF(AZ392="Bloomberg",M392,H392)</f>
        <v/>
      </c>
      <c r="BB392">
        <f>1</f>
        <v/>
      </c>
    </row>
    <row r="393">
      <c r="A393" s="31" t="inlineStr">
        <is>
          <t>0470</t>
        </is>
      </c>
      <c r="B393" s="15" t="inlineStr">
        <is>
          <t>WUXI LEAD</t>
        </is>
      </c>
      <c r="C393" s="15" t="inlineStr">
        <is>
          <t>Industrials</t>
        </is>
      </c>
      <c r="D393" s="15" t="inlineStr">
        <is>
          <t>Capital goods / machinery</t>
        </is>
      </c>
      <c r="E393" s="34" t="n">
        <v>46064</v>
      </c>
      <c r="F393" s="15" t="n">
        <v>45.8</v>
      </c>
      <c r="G393" s="15" t="n">
        <v>27.4</v>
      </c>
      <c r="H393" s="34" t="n">
        <v>46297</v>
      </c>
      <c r="I393" s="31" t="inlineStr">
        <is>
          <t>300450.SZ</t>
        </is>
      </c>
      <c r="J393" s="15" t="n">
        <v>42</v>
      </c>
      <c r="K393" s="15">
        <f>IF(AND(AH!$M$5="Snapshot",'IPO Live'!$M$5="Snapshot"),"",IFERROR(BDP(TEXT(VALUE($A393),"0")&amp;" HK Equity","PX_LAST"),""))</f>
        <v/>
      </c>
      <c r="L393" s="15">
        <f>IF(AND(AH!$M$5="Snapshot",'IPO Live'!$M$5="Snapshot"),"",IFERROR(BDP(TEXT(VALUE($A393),"0")&amp;" HK Equity","CHG_PCT_1D")/100,""))</f>
        <v/>
      </c>
      <c r="M393" s="15">
        <f>IF(AND(AH!$M$5="Snapshot",'IPO Live'!$M$5="Snapshot"),"",IFERROR(BDP(TEXT(VALUE($A393),"0")&amp;" HK Equity","LAST_UPDATE_DT"),""))</f>
        <v/>
      </c>
      <c r="N393" s="15">
        <f>IF(AND(AH!$M$5="Snapshot",'IPO Live'!$M$5="Snapshot"),"",IFERROR(BDP(TEXT(VALUE($A393),"0")&amp;" HK Equity","LAST_UPDATE"),""))</f>
        <v/>
      </c>
      <c r="O393" s="15">
        <f>IF('IPO Live'!$M$5="Snapshot",IF(ISNUMBER(G393),G393,"unavailable"),IF(AND(ISNUMBER(K393),N(K393)&gt;0),K393,IF('IPO Live'!$M$5="Auto",IF(ISNUMBER(G393),G393,"unavailable"),"unavailable")))</f>
        <v/>
      </c>
      <c r="P393" s="15">
        <f>IF(AND('IPO Live'!$M$5&lt;&gt;"Snapshot",ISNUMBER(K393),N(K393)&gt;0),"Bloomberg",IF(AND('IPO Live'!$M$5&lt;&gt;"Bloomberg",ISNUMBER(G393)),"Snapshot","Unavailable"))</f>
        <v/>
      </c>
      <c r="Q393" s="33">
        <f>IF(AND(P393="Bloomberg",ISNUMBER(L393)),L393,"unavailable")</f>
        <v/>
      </c>
      <c r="R393" s="15">
        <f>IF(OR('IPO Live'!$B$5="All",'IPO Live'!$B$5=C393,AND('IPO Live'!$B$5="A/H only",J393&gt;0)),1,0)</f>
        <v/>
      </c>
      <c r="S393" s="15">
        <f>IF(R393=1,COUNTIF($R$5:R393,1),"")</f>
        <v/>
      </c>
      <c r="T393">
        <f>1</f>
        <v/>
      </c>
      <c r="U393">
        <f>IF($P393="Bloomberg",$M393,$H393)</f>
        <v/>
      </c>
      <c r="AW393">
        <f>IF(AND(J393&gt;0,OR(AH!$I$5="All",AH!$I$5="A/H only",AH!$I$5=C393)),1,0)</f>
        <v/>
      </c>
      <c r="AX393">
        <f>IF(AW393=1,COUNTIF($AW$5:AW393,1),"")</f>
        <v/>
      </c>
      <c r="AY393">
        <f>IF(AH!$M$5="Snapshot",IF(ISNUMBER(G393),G393,"unavailable"),IF(AND(ISNUMBER(K393),N(K393)&gt;0),K393,IF(AH!$M$5="Auto",IF(ISNUMBER(G393),G393,"unavailable"),"unavailable")))</f>
        <v/>
      </c>
      <c r="AZ393">
        <f>IF(AND(AH!$M$5&lt;&gt;"Snapshot",ISNUMBER(K393),N(K393)&gt;0),"Bloomberg",IF(AND(AH!$M$5&lt;&gt;"Bloomberg",ISNUMBER(G393)),"Snapshot","Unavailable"))</f>
        <v/>
      </c>
      <c r="BA393">
        <f>IF(AZ393="Bloomberg",M393,H393)</f>
        <v/>
      </c>
      <c r="BB393">
        <f>1</f>
        <v/>
      </c>
    </row>
    <row r="394">
      <c r="A394" s="31" t="inlineStr">
        <is>
          <t>3200</t>
        </is>
      </c>
      <c r="B394" s="15" t="inlineStr">
        <is>
          <t>HANS CNC</t>
        </is>
      </c>
      <c r="C394" s="15" t="inlineStr">
        <is>
          <t>Industrials</t>
        </is>
      </c>
      <c r="D394" s="15" t="inlineStr">
        <is>
          <t>Capital goods / machinery</t>
        </is>
      </c>
      <c r="E394" s="34" t="n">
        <v>46059</v>
      </c>
      <c r="F394" s="15" t="n">
        <v>95.8</v>
      </c>
      <c r="G394" s="15" t="n">
        <v>94</v>
      </c>
      <c r="H394" s="34" t="n">
        <v>46297</v>
      </c>
      <c r="I394" s="31" t="inlineStr">
        <is>
          <t>301200.SZ</t>
        </is>
      </c>
      <c r="J394" s="15" t="n">
        <v>39</v>
      </c>
      <c r="K394" s="15">
        <f>IF(AND(AH!$M$5="Snapshot",'IPO Live'!$M$5="Snapshot"),"",IFERROR(BDP(TEXT(VALUE($A394),"0")&amp;" HK Equity","PX_LAST"),""))</f>
        <v/>
      </c>
      <c r="L394" s="15">
        <f>IF(AND(AH!$M$5="Snapshot",'IPO Live'!$M$5="Snapshot"),"",IFERROR(BDP(TEXT(VALUE($A394),"0")&amp;" HK Equity","CHG_PCT_1D")/100,""))</f>
        <v/>
      </c>
      <c r="M394" s="15">
        <f>IF(AND(AH!$M$5="Snapshot",'IPO Live'!$M$5="Snapshot"),"",IFERROR(BDP(TEXT(VALUE($A394),"0")&amp;" HK Equity","LAST_UPDATE_DT"),""))</f>
        <v/>
      </c>
      <c r="N394" s="15">
        <f>IF(AND(AH!$M$5="Snapshot",'IPO Live'!$M$5="Snapshot"),"",IFERROR(BDP(TEXT(VALUE($A394),"0")&amp;" HK Equity","LAST_UPDATE"),""))</f>
        <v/>
      </c>
      <c r="O394" s="15">
        <f>IF('IPO Live'!$M$5="Snapshot",IF(ISNUMBER(G394),G394,"unavailable"),IF(AND(ISNUMBER(K394),N(K394)&gt;0),K394,IF('IPO Live'!$M$5="Auto",IF(ISNUMBER(G394),G394,"unavailable"),"unavailable")))</f>
        <v/>
      </c>
      <c r="P394" s="15">
        <f>IF(AND('IPO Live'!$M$5&lt;&gt;"Snapshot",ISNUMBER(K394),N(K394)&gt;0),"Bloomberg",IF(AND('IPO Live'!$M$5&lt;&gt;"Bloomberg",ISNUMBER(G394)),"Snapshot","Unavailable"))</f>
        <v/>
      </c>
      <c r="Q394" s="33">
        <f>IF(AND(P394="Bloomberg",ISNUMBER(L394)),L394,"unavailable")</f>
        <v/>
      </c>
      <c r="R394" s="15">
        <f>IF(OR('IPO Live'!$B$5="All",'IPO Live'!$B$5=C394,AND('IPO Live'!$B$5="A/H only",J394&gt;0)),1,0)</f>
        <v/>
      </c>
      <c r="S394" s="15">
        <f>IF(R394=1,COUNTIF($R$5:R394,1),"")</f>
        <v/>
      </c>
      <c r="T394">
        <f>1</f>
        <v/>
      </c>
      <c r="U394">
        <f>IF($P394="Bloomberg",$M394,$H394)</f>
        <v/>
      </c>
      <c r="AW394">
        <f>IF(AND(J394&gt;0,OR(AH!$I$5="All",AH!$I$5="A/H only",AH!$I$5=C394)),1,0)</f>
        <v/>
      </c>
      <c r="AX394">
        <f>IF(AW394=1,COUNTIF($AW$5:AW394,1),"")</f>
        <v/>
      </c>
      <c r="AY394">
        <f>IF(AH!$M$5="Snapshot",IF(ISNUMBER(G394),G394,"unavailable"),IF(AND(ISNUMBER(K394),N(K394)&gt;0),K394,IF(AH!$M$5="Auto",IF(ISNUMBER(G394),G394,"unavailable"),"unavailable")))</f>
        <v/>
      </c>
      <c r="AZ394">
        <f>IF(AND(AH!$M$5&lt;&gt;"Snapshot",ISNUMBER(K394),N(K394)&gt;0),"Bloomberg",IF(AND(AH!$M$5&lt;&gt;"Bloomberg",ISNUMBER(G394)),"Snapshot","Unavailable"))</f>
        <v/>
      </c>
      <c r="BA394">
        <f>IF(AZ394="Bloomberg",M394,H394)</f>
        <v/>
      </c>
      <c r="BB394">
        <f>1</f>
        <v/>
      </c>
    </row>
    <row r="395">
      <c r="A395" s="31" t="inlineStr">
        <is>
          <t>1641</t>
        </is>
      </c>
      <c r="B395" s="15" t="inlineStr">
        <is>
          <t>HX COLDCHAIN</t>
        </is>
      </c>
      <c r="C395" s="15" t="inlineStr">
        <is>
          <t>Industrials</t>
        </is>
      </c>
      <c r="D395" s="15" t="inlineStr">
        <is>
          <t>Logistics</t>
        </is>
      </c>
      <c r="E395" s="34" t="n">
        <v>46035</v>
      </c>
      <c r="F395" s="15" t="n">
        <v>12.26</v>
      </c>
      <c r="G395" s="15" t="n">
        <v>3.39</v>
      </c>
      <c r="H395" s="34" t="n">
        <v>46297</v>
      </c>
      <c r="I395" s="31" t="n"/>
      <c r="J395" s="15" t="n">
        <v>0</v>
      </c>
      <c r="K395" s="15">
        <f>IF(AND(AH!$M$5="Snapshot",'IPO Live'!$M$5="Snapshot"),"",IFERROR(BDP(TEXT(VALUE($A395),"0")&amp;" HK Equity","PX_LAST"),""))</f>
        <v/>
      </c>
      <c r="L395" s="15">
        <f>IF(AND(AH!$M$5="Snapshot",'IPO Live'!$M$5="Snapshot"),"",IFERROR(BDP(TEXT(VALUE($A395),"0")&amp;" HK Equity","CHG_PCT_1D")/100,""))</f>
        <v/>
      </c>
      <c r="M395" s="15">
        <f>IF(AND(AH!$M$5="Snapshot",'IPO Live'!$M$5="Snapshot"),"",IFERROR(BDP(TEXT(VALUE($A395),"0")&amp;" HK Equity","LAST_UPDATE_DT"),""))</f>
        <v/>
      </c>
      <c r="N395" s="15">
        <f>IF(AND(AH!$M$5="Snapshot",'IPO Live'!$M$5="Snapshot"),"",IFERROR(BDP(TEXT(VALUE($A395),"0")&amp;" HK Equity","LAST_UPDATE"),""))</f>
        <v/>
      </c>
      <c r="O395" s="15">
        <f>IF('IPO Live'!$M$5="Snapshot",IF(ISNUMBER(G395),G395,"unavailable"),IF(AND(ISNUMBER(K395),N(K395)&gt;0),K395,IF('IPO Live'!$M$5="Auto",IF(ISNUMBER(G395),G395,"unavailable"),"unavailable")))</f>
        <v/>
      </c>
      <c r="P395" s="15">
        <f>IF(AND('IPO Live'!$M$5&lt;&gt;"Snapshot",ISNUMBER(K395),N(K395)&gt;0),"Bloomberg",IF(AND('IPO Live'!$M$5&lt;&gt;"Bloomberg",ISNUMBER(G395)),"Snapshot","Unavailable"))</f>
        <v/>
      </c>
      <c r="Q395" s="33">
        <f>IF(AND(P395="Bloomberg",ISNUMBER(L395)),L395,"unavailable")</f>
        <v/>
      </c>
      <c r="R395" s="15">
        <f>IF(OR('IPO Live'!$B$5="All",'IPO Live'!$B$5=C395,AND('IPO Live'!$B$5="A/H only",J395&gt;0)),1,0)</f>
        <v/>
      </c>
      <c r="S395" s="15">
        <f>IF(R395=1,COUNTIF($R$5:R395,1),"")</f>
        <v/>
      </c>
      <c r="T395">
        <f>1</f>
        <v/>
      </c>
      <c r="U395">
        <f>IF($P395="Bloomberg",$M395,$H395)</f>
        <v/>
      </c>
      <c r="AW395">
        <f>IF(AND(J395&gt;0,OR(AH!$I$5="All",AH!$I$5="A/H only",AH!$I$5=C395)),1,0)</f>
        <v/>
      </c>
      <c r="AX395">
        <f>IF(AW395=1,COUNTIF($AW$5:AW395,1),"")</f>
        <v/>
      </c>
      <c r="AY395">
        <f>IF(AH!$M$5="Snapshot",IF(ISNUMBER(G395),G395,"unavailable"),IF(AND(ISNUMBER(K395),N(K395)&gt;0),K395,IF(AH!$M$5="Auto",IF(ISNUMBER(G395),G395,"unavailable"),"unavailable")))</f>
        <v/>
      </c>
      <c r="AZ395">
        <f>IF(AND(AH!$M$5&lt;&gt;"Snapshot",ISNUMBER(K395),N(K395)&gt;0),"Bloomberg",IF(AND(AH!$M$5&lt;&gt;"Bloomberg",ISNUMBER(G395)),"Snapshot","Unavailable"))</f>
        <v/>
      </c>
      <c r="BA395">
        <f>IF(AZ395="Bloomberg",M395,H395)</f>
        <v/>
      </c>
      <c r="BB395">
        <f>1</f>
        <v/>
      </c>
    </row>
    <row r="396">
      <c r="A396" s="31" t="inlineStr">
        <is>
          <t>2671</t>
        </is>
      </c>
      <c r="B396" s="15" t="inlineStr">
        <is>
          <t>USAS BUILDING</t>
        </is>
      </c>
      <c r="C396" s="15" t="inlineStr">
        <is>
          <t>Industrials</t>
        </is>
      </c>
      <c r="D396" s="15" t="inlineStr">
        <is>
          <t>Construction / engineering</t>
        </is>
      </c>
      <c r="E396" s="34" t="n">
        <v>46021</v>
      </c>
      <c r="F396" s="15" t="n">
        <v>7.1</v>
      </c>
      <c r="G396" s="15" t="n">
        <v>7.09</v>
      </c>
      <c r="H396" s="34" t="n">
        <v>46297</v>
      </c>
      <c r="I396" s="31" t="n"/>
      <c r="J396" s="15" t="n">
        <v>0</v>
      </c>
      <c r="K396" s="15">
        <f>IF(AND(AH!$M$5="Snapshot",'IPO Live'!$M$5="Snapshot"),"",IFERROR(BDP(TEXT(VALUE($A396),"0")&amp;" HK Equity","PX_LAST"),""))</f>
        <v/>
      </c>
      <c r="L396" s="15">
        <f>IF(AND(AH!$M$5="Snapshot",'IPO Live'!$M$5="Snapshot"),"",IFERROR(BDP(TEXT(VALUE($A396),"0")&amp;" HK Equity","CHG_PCT_1D")/100,""))</f>
        <v/>
      </c>
      <c r="M396" s="15">
        <f>IF(AND(AH!$M$5="Snapshot",'IPO Live'!$M$5="Snapshot"),"",IFERROR(BDP(TEXT(VALUE($A396),"0")&amp;" HK Equity","LAST_UPDATE_DT"),""))</f>
        <v/>
      </c>
      <c r="N396" s="15">
        <f>IF(AND(AH!$M$5="Snapshot",'IPO Live'!$M$5="Snapshot"),"",IFERROR(BDP(TEXT(VALUE($A396),"0")&amp;" HK Equity","LAST_UPDATE"),""))</f>
        <v/>
      </c>
      <c r="O396" s="15">
        <f>IF('IPO Live'!$M$5="Snapshot",IF(ISNUMBER(G396),G396,"unavailable"),IF(AND(ISNUMBER(K396),N(K396)&gt;0),K396,IF('IPO Live'!$M$5="Auto",IF(ISNUMBER(G396),G396,"unavailable"),"unavailable")))</f>
        <v/>
      </c>
      <c r="P396" s="15">
        <f>IF(AND('IPO Live'!$M$5&lt;&gt;"Snapshot",ISNUMBER(K396),N(K396)&gt;0),"Bloomberg",IF(AND('IPO Live'!$M$5&lt;&gt;"Bloomberg",ISNUMBER(G396)),"Snapshot","Unavailable"))</f>
        <v/>
      </c>
      <c r="Q396" s="33">
        <f>IF(AND(P396="Bloomberg",ISNUMBER(L396)),L396,"unavailable")</f>
        <v/>
      </c>
      <c r="R396" s="15">
        <f>IF(OR('IPO Live'!$B$5="All",'IPO Live'!$B$5=C396,AND('IPO Live'!$B$5="A/H only",J396&gt;0)),1,0)</f>
        <v/>
      </c>
      <c r="S396" s="15">
        <f>IF(R396=1,COUNTIF($R$5:R396,1),"")</f>
        <v/>
      </c>
      <c r="T396">
        <f>1</f>
        <v/>
      </c>
      <c r="U396">
        <f>IF($P396="Bloomberg",$M396,$H396)</f>
        <v/>
      </c>
      <c r="AW396">
        <f>IF(AND(J396&gt;0,OR(AH!$I$5="All",AH!$I$5="A/H only",AH!$I$5=C396)),1,0)</f>
        <v/>
      </c>
      <c r="AX396">
        <f>IF(AW396=1,COUNTIF($AW$5:AW396,1),"")</f>
        <v/>
      </c>
      <c r="AY396">
        <f>IF(AH!$M$5="Snapshot",IF(ISNUMBER(G396),G396,"unavailable"),IF(AND(ISNUMBER(K396),N(K396)&gt;0),K396,IF(AH!$M$5="Auto",IF(ISNUMBER(G396),G396,"unavailable"),"unavailable")))</f>
        <v/>
      </c>
      <c r="AZ396">
        <f>IF(AND(AH!$M$5&lt;&gt;"Snapshot",ISNUMBER(K396),N(K396)&gt;0),"Bloomberg",IF(AND(AH!$M$5&lt;&gt;"Bloomberg",ISNUMBER(G396)),"Snapshot","Unavailable"))</f>
        <v/>
      </c>
      <c r="BA396">
        <f>IF(AZ396="Bloomberg",M396,H396)</f>
        <v/>
      </c>
      <c r="BB396">
        <f>1</f>
        <v/>
      </c>
    </row>
    <row r="397">
      <c r="A397" s="31" t="inlineStr">
        <is>
          <t>2579</t>
        </is>
      </c>
      <c r="B397" s="15" t="inlineStr">
        <is>
          <t>CNGR</t>
        </is>
      </c>
      <c r="C397" s="15" t="inlineStr">
        <is>
          <t>Industrials</t>
        </is>
      </c>
      <c r="D397" s="15" t="inlineStr">
        <is>
          <t>Batteries / energy storage</t>
        </is>
      </c>
      <c r="E397" s="34" t="n">
        <v>45978</v>
      </c>
      <c r="F397" s="15" t="n">
        <v>34</v>
      </c>
      <c r="G397" s="15" t="n">
        <v>20.7</v>
      </c>
      <c r="H397" s="34" t="n">
        <v>46297</v>
      </c>
      <c r="I397" s="31" t="inlineStr">
        <is>
          <t>300919.SZ</t>
        </is>
      </c>
      <c r="J397" s="15" t="n">
        <v>31</v>
      </c>
      <c r="K397" s="15">
        <f>IF(AND(AH!$M$5="Snapshot",'IPO Live'!$M$5="Snapshot"),"",IFERROR(BDP(TEXT(VALUE($A397),"0")&amp;" HK Equity","PX_LAST"),""))</f>
        <v/>
      </c>
      <c r="L397" s="15">
        <f>IF(AND(AH!$M$5="Snapshot",'IPO Live'!$M$5="Snapshot"),"",IFERROR(BDP(TEXT(VALUE($A397),"0")&amp;" HK Equity","CHG_PCT_1D")/100,""))</f>
        <v/>
      </c>
      <c r="M397" s="15">
        <f>IF(AND(AH!$M$5="Snapshot",'IPO Live'!$M$5="Snapshot"),"",IFERROR(BDP(TEXT(VALUE($A397),"0")&amp;" HK Equity","LAST_UPDATE_DT"),""))</f>
        <v/>
      </c>
      <c r="N397" s="15">
        <f>IF(AND(AH!$M$5="Snapshot",'IPO Live'!$M$5="Snapshot"),"",IFERROR(BDP(TEXT(VALUE($A397),"0")&amp;" HK Equity","LAST_UPDATE"),""))</f>
        <v/>
      </c>
      <c r="O397" s="15">
        <f>IF('IPO Live'!$M$5="Snapshot",IF(ISNUMBER(G397),G397,"unavailable"),IF(AND(ISNUMBER(K397),N(K397)&gt;0),K397,IF('IPO Live'!$M$5="Auto",IF(ISNUMBER(G397),G397,"unavailable"),"unavailable")))</f>
        <v/>
      </c>
      <c r="P397" s="15">
        <f>IF(AND('IPO Live'!$M$5&lt;&gt;"Snapshot",ISNUMBER(K397),N(K397)&gt;0),"Bloomberg",IF(AND('IPO Live'!$M$5&lt;&gt;"Bloomberg",ISNUMBER(G397)),"Snapshot","Unavailable"))</f>
        <v/>
      </c>
      <c r="Q397" s="33">
        <f>IF(AND(P397="Bloomberg",ISNUMBER(L397)),L397,"unavailable")</f>
        <v/>
      </c>
      <c r="R397" s="15">
        <f>IF(OR('IPO Live'!$B$5="All",'IPO Live'!$B$5=C397,AND('IPO Live'!$B$5="A/H only",J397&gt;0)),1,0)</f>
        <v/>
      </c>
      <c r="S397" s="15">
        <f>IF(R397=1,COUNTIF($R$5:R397,1),"")</f>
        <v/>
      </c>
      <c r="T397">
        <f>1</f>
        <v/>
      </c>
      <c r="U397">
        <f>IF($P397="Bloomberg",$M397,$H397)</f>
        <v/>
      </c>
      <c r="AW397">
        <f>IF(AND(J397&gt;0,OR(AH!$I$5="All",AH!$I$5="A/H only",AH!$I$5=C397)),1,0)</f>
        <v/>
      </c>
      <c r="AX397">
        <f>IF(AW397=1,COUNTIF($AW$5:AW397,1),"")</f>
        <v/>
      </c>
      <c r="AY397">
        <f>IF(AH!$M$5="Snapshot",IF(ISNUMBER(G397),G397,"unavailable"),IF(AND(ISNUMBER(K397),N(K397)&gt;0),K397,IF(AH!$M$5="Auto",IF(ISNUMBER(G397),G397,"unavailable"),"unavailable")))</f>
        <v/>
      </c>
      <c r="AZ397">
        <f>IF(AND(AH!$M$5&lt;&gt;"Snapshot",ISNUMBER(K397),N(K397)&gt;0),"Bloomberg",IF(AND(AH!$M$5&lt;&gt;"Bloomberg",ISNUMBER(G397)),"Snapshot","Unavailable"))</f>
        <v/>
      </c>
      <c r="BA397">
        <f>IF(AZ397="Bloomberg",M397,H397)</f>
        <v/>
      </c>
      <c r="BB397">
        <f>1</f>
        <v/>
      </c>
    </row>
    <row r="398">
      <c r="A398" s="31" t="inlineStr">
        <is>
          <t>6031</t>
        </is>
      </c>
      <c r="B398" s="15" t="inlineStr">
        <is>
          <t>SANY HEAVY IND</t>
        </is>
      </c>
      <c r="C398" s="15" t="inlineStr">
        <is>
          <t>Industrials</t>
        </is>
      </c>
      <c r="D398" s="15" t="inlineStr">
        <is>
          <t>Capital goods / machinery</t>
        </is>
      </c>
      <c r="E398" s="34" t="n">
        <v>45958</v>
      </c>
      <c r="F398" s="15" t="n">
        <v>21.3</v>
      </c>
      <c r="G398" s="15" t="n">
        <v>16.98</v>
      </c>
      <c r="H398" s="34" t="n">
        <v>46297</v>
      </c>
      <c r="I398" s="31" t="inlineStr">
        <is>
          <t>600031.SS</t>
        </is>
      </c>
      <c r="J398" s="15" t="n">
        <v>27</v>
      </c>
      <c r="K398" s="15">
        <f>IF(AND(AH!$M$5="Snapshot",'IPO Live'!$M$5="Snapshot"),"",IFERROR(BDP(TEXT(VALUE($A398),"0")&amp;" HK Equity","PX_LAST"),""))</f>
        <v/>
      </c>
      <c r="L398" s="15">
        <f>IF(AND(AH!$M$5="Snapshot",'IPO Live'!$M$5="Snapshot"),"",IFERROR(BDP(TEXT(VALUE($A398),"0")&amp;" HK Equity","CHG_PCT_1D")/100,""))</f>
        <v/>
      </c>
      <c r="M398" s="15">
        <f>IF(AND(AH!$M$5="Snapshot",'IPO Live'!$M$5="Snapshot"),"",IFERROR(BDP(TEXT(VALUE($A398),"0")&amp;" HK Equity","LAST_UPDATE_DT"),""))</f>
        <v/>
      </c>
      <c r="N398" s="15">
        <f>IF(AND(AH!$M$5="Snapshot",'IPO Live'!$M$5="Snapshot"),"",IFERROR(BDP(TEXT(VALUE($A398),"0")&amp;" HK Equity","LAST_UPDATE"),""))</f>
        <v/>
      </c>
      <c r="O398" s="15">
        <f>IF('IPO Live'!$M$5="Snapshot",IF(ISNUMBER(G398),G398,"unavailable"),IF(AND(ISNUMBER(K398),N(K398)&gt;0),K398,IF('IPO Live'!$M$5="Auto",IF(ISNUMBER(G398),G398,"unavailable"),"unavailable")))</f>
        <v/>
      </c>
      <c r="P398" s="15">
        <f>IF(AND('IPO Live'!$M$5&lt;&gt;"Snapshot",ISNUMBER(K398),N(K398)&gt;0),"Bloomberg",IF(AND('IPO Live'!$M$5&lt;&gt;"Bloomberg",ISNUMBER(G398)),"Snapshot","Unavailable"))</f>
        <v/>
      </c>
      <c r="Q398" s="33">
        <f>IF(AND(P398="Bloomberg",ISNUMBER(L398)),L398,"unavailable")</f>
        <v/>
      </c>
      <c r="R398" s="15">
        <f>IF(OR('IPO Live'!$B$5="All",'IPO Live'!$B$5=C398,AND('IPO Live'!$B$5="A/H only",J398&gt;0)),1,0)</f>
        <v/>
      </c>
      <c r="S398" s="15">
        <f>IF(R398=1,COUNTIF($R$5:R398,1),"")</f>
        <v/>
      </c>
      <c r="T398">
        <f>1</f>
        <v/>
      </c>
      <c r="U398">
        <f>IF($P398="Bloomberg",$M398,$H398)</f>
        <v/>
      </c>
      <c r="AW398">
        <f>IF(AND(J398&gt;0,OR(AH!$I$5="All",AH!$I$5="A/H only",AH!$I$5=C398)),1,0)</f>
        <v/>
      </c>
      <c r="AX398">
        <f>IF(AW398=1,COUNTIF($AW$5:AW398,1),"")</f>
        <v/>
      </c>
      <c r="AY398">
        <f>IF(AH!$M$5="Snapshot",IF(ISNUMBER(G398),G398,"unavailable"),IF(AND(ISNUMBER(K398),N(K398)&gt;0),K398,IF(AH!$M$5="Auto",IF(ISNUMBER(G398),G398,"unavailable"),"unavailable")))</f>
        <v/>
      </c>
      <c r="AZ398">
        <f>IF(AND(AH!$M$5&lt;&gt;"Snapshot",ISNUMBER(K398),N(K398)&gt;0),"Bloomberg",IF(AND(AH!$M$5&lt;&gt;"Bloomberg",ISNUMBER(G398)),"Snapshot","Unavailable"))</f>
        <v/>
      </c>
      <c r="BA398">
        <f>IF(AZ398="Bloomberg",M398,H398)</f>
        <v/>
      </c>
      <c r="BB398">
        <f>1</f>
        <v/>
      </c>
    </row>
    <row r="399">
      <c r="A399" s="31" t="inlineStr">
        <is>
          <t>6960</t>
        </is>
      </c>
      <c r="B399" s="15" t="inlineStr">
        <is>
          <t>SHUANGDENG</t>
        </is>
      </c>
      <c r="C399" s="15" t="inlineStr">
        <is>
          <t>Industrials</t>
        </is>
      </c>
      <c r="D399" s="15" t="inlineStr">
        <is>
          <t>Batteries / energy storage</t>
        </is>
      </c>
      <c r="E399" s="34" t="n">
        <v>45895</v>
      </c>
      <c r="F399" s="15" t="n">
        <v>14.51</v>
      </c>
      <c r="G399" s="15" t="n">
        <v>5.875</v>
      </c>
      <c r="H399" s="34" t="n">
        <v>46297</v>
      </c>
      <c r="I399" s="31" t="n"/>
      <c r="J399" s="15" t="n">
        <v>0</v>
      </c>
      <c r="K399" s="15">
        <f>IF(AND(AH!$M$5="Snapshot",'IPO Live'!$M$5="Snapshot"),"",IFERROR(BDP(TEXT(VALUE($A399),"0")&amp;" HK Equity","PX_LAST"),""))</f>
        <v/>
      </c>
      <c r="L399" s="15">
        <f>IF(AND(AH!$M$5="Snapshot",'IPO Live'!$M$5="Snapshot"),"",IFERROR(BDP(TEXT(VALUE($A399),"0")&amp;" HK Equity","CHG_PCT_1D")/100,""))</f>
        <v/>
      </c>
      <c r="M399" s="15">
        <f>IF(AND(AH!$M$5="Snapshot",'IPO Live'!$M$5="Snapshot"),"",IFERROR(BDP(TEXT(VALUE($A399),"0")&amp;" HK Equity","LAST_UPDATE_DT"),""))</f>
        <v/>
      </c>
      <c r="N399" s="15">
        <f>IF(AND(AH!$M$5="Snapshot",'IPO Live'!$M$5="Snapshot"),"",IFERROR(BDP(TEXT(VALUE($A399),"0")&amp;" HK Equity","LAST_UPDATE"),""))</f>
        <v/>
      </c>
      <c r="O399" s="15">
        <f>IF('IPO Live'!$M$5="Snapshot",IF(ISNUMBER(G399),G399,"unavailable"),IF(AND(ISNUMBER(K399),N(K399)&gt;0),K399,IF('IPO Live'!$M$5="Auto",IF(ISNUMBER(G399),G399,"unavailable"),"unavailable")))</f>
        <v/>
      </c>
      <c r="P399" s="15">
        <f>IF(AND('IPO Live'!$M$5&lt;&gt;"Snapshot",ISNUMBER(K399),N(K399)&gt;0),"Bloomberg",IF(AND('IPO Live'!$M$5&lt;&gt;"Bloomberg",ISNUMBER(G399)),"Snapshot","Unavailable"))</f>
        <v/>
      </c>
      <c r="Q399" s="33">
        <f>IF(AND(P399="Bloomberg",ISNUMBER(L399)),L399,"unavailable")</f>
        <v/>
      </c>
      <c r="R399" s="15">
        <f>IF(OR('IPO Live'!$B$5="All",'IPO Live'!$B$5=C399,AND('IPO Live'!$B$5="A/H only",J399&gt;0)),1,0)</f>
        <v/>
      </c>
      <c r="S399" s="15">
        <f>IF(R399=1,COUNTIF($R$5:R399,1),"")</f>
        <v/>
      </c>
      <c r="T399">
        <f>1</f>
        <v/>
      </c>
      <c r="U399">
        <f>IF($P399="Bloomberg",$M399,$H399)</f>
        <v/>
      </c>
      <c r="AW399">
        <f>IF(AND(J399&gt;0,OR(AH!$I$5="All",AH!$I$5="A/H only",AH!$I$5=C399)),1,0)</f>
        <v/>
      </c>
      <c r="AX399">
        <f>IF(AW399=1,COUNTIF($AW$5:AW399,1),"")</f>
        <v/>
      </c>
      <c r="AY399">
        <f>IF(AH!$M$5="Snapshot",IF(ISNUMBER(G399),G399,"unavailable"),IF(AND(ISNUMBER(K399),N(K399)&gt;0),K399,IF(AH!$M$5="Auto",IF(ISNUMBER(G399),G399,"unavailable"),"unavailable")))</f>
        <v/>
      </c>
      <c r="AZ399">
        <f>IF(AND(AH!$M$5&lt;&gt;"Snapshot",ISNUMBER(K399),N(K399)&gt;0),"Bloomberg",IF(AND(AH!$M$5&lt;&gt;"Bloomberg",ISNUMBER(G399)),"Snapshot","Unavailable"))</f>
        <v/>
      </c>
      <c r="BA399">
        <f>IF(AZ399="Bloomberg",M399,H399)</f>
        <v/>
      </c>
      <c r="BB399">
        <f>1</f>
        <v/>
      </c>
    </row>
    <row r="400">
      <c r="A400" s="31" t="inlineStr">
        <is>
          <t>3750</t>
        </is>
      </c>
      <c r="B400" s="15" t="inlineStr">
        <is>
          <t>CATL</t>
        </is>
      </c>
      <c r="C400" s="15" t="inlineStr">
        <is>
          <t>Industrials</t>
        </is>
      </c>
      <c r="D400" s="15" t="inlineStr">
        <is>
          <t>Batteries / energy storage</t>
        </is>
      </c>
      <c r="E400" s="34" t="n">
        <v>45797</v>
      </c>
      <c r="F400" s="15" t="n">
        <v>263</v>
      </c>
      <c r="G400" s="15" t="n">
        <v>476.8</v>
      </c>
      <c r="H400" s="34" t="n">
        <v>46297</v>
      </c>
      <c r="I400" s="31" t="inlineStr">
        <is>
          <t>300750.SZ</t>
        </is>
      </c>
      <c r="J400" s="15" t="n">
        <v>17</v>
      </c>
      <c r="K400" s="15">
        <f>IF(AND(AH!$M$5="Snapshot",'IPO Live'!$M$5="Snapshot"),"",IFERROR(BDP(TEXT(VALUE($A400),"0")&amp;" HK Equity","PX_LAST"),""))</f>
        <v/>
      </c>
      <c r="L400" s="15">
        <f>IF(AND(AH!$M$5="Snapshot",'IPO Live'!$M$5="Snapshot"),"",IFERROR(BDP(TEXT(VALUE($A400),"0")&amp;" HK Equity","CHG_PCT_1D")/100,""))</f>
        <v/>
      </c>
      <c r="M400" s="15">
        <f>IF(AND(AH!$M$5="Snapshot",'IPO Live'!$M$5="Snapshot"),"",IFERROR(BDP(TEXT(VALUE($A400),"0")&amp;" HK Equity","LAST_UPDATE_DT"),""))</f>
        <v/>
      </c>
      <c r="N400" s="15">
        <f>IF(AND(AH!$M$5="Snapshot",'IPO Live'!$M$5="Snapshot"),"",IFERROR(BDP(TEXT(VALUE($A400),"0")&amp;" HK Equity","LAST_UPDATE"),""))</f>
        <v/>
      </c>
      <c r="O400" s="15">
        <f>IF('IPO Live'!$M$5="Snapshot",IF(ISNUMBER(G400),G400,"unavailable"),IF(AND(ISNUMBER(K400),N(K400)&gt;0),K400,IF('IPO Live'!$M$5="Auto",IF(ISNUMBER(G400),G400,"unavailable"),"unavailable")))</f>
        <v/>
      </c>
      <c r="P400" s="15">
        <f>IF(AND('IPO Live'!$M$5&lt;&gt;"Snapshot",ISNUMBER(K400),N(K400)&gt;0),"Bloomberg",IF(AND('IPO Live'!$M$5&lt;&gt;"Bloomberg",ISNUMBER(G400)),"Snapshot","Unavailable"))</f>
        <v/>
      </c>
      <c r="Q400" s="33">
        <f>IF(AND(P400="Bloomberg",ISNUMBER(L400)),L400,"unavailable")</f>
        <v/>
      </c>
      <c r="R400" s="15">
        <f>IF(OR('IPO Live'!$B$5="All",'IPO Live'!$B$5=C400,AND('IPO Live'!$B$5="A/H only",J400&gt;0)),1,0)</f>
        <v/>
      </c>
      <c r="S400" s="15">
        <f>IF(R400=1,COUNTIF($R$5:R400,1),"")</f>
        <v/>
      </c>
      <c r="T400">
        <f>1</f>
        <v/>
      </c>
      <c r="U400">
        <f>IF($P400="Bloomberg",$M400,$H400)</f>
        <v/>
      </c>
      <c r="AW400">
        <f>IF(AND(J400&gt;0,OR(AH!$I$5="All",AH!$I$5="A/H only",AH!$I$5=C400)),1,0)</f>
        <v/>
      </c>
      <c r="AX400">
        <f>IF(AW400=1,COUNTIF($AW$5:AW400,1),"")</f>
        <v/>
      </c>
      <c r="AY400">
        <f>IF(AH!$M$5="Snapshot",IF(ISNUMBER(G400),G400,"unavailable"),IF(AND(ISNUMBER(K400),N(K400)&gt;0),K400,IF(AH!$M$5="Auto",IF(ISNUMBER(G400),G400,"unavailable"),"unavailable")))</f>
        <v/>
      </c>
      <c r="AZ400">
        <f>IF(AND(AH!$M$5&lt;&gt;"Snapshot",ISNUMBER(K400),N(K400)&gt;0),"Bloomberg",IF(AND(AH!$M$5&lt;&gt;"Bloomberg",ISNUMBER(G400)),"Snapshot","Unavailable"))</f>
        <v/>
      </c>
      <c r="BA400">
        <f>IF(AZ400="Bloomberg",M400,H400)</f>
        <v/>
      </c>
      <c r="BB400">
        <f>1</f>
        <v/>
      </c>
    </row>
    <row r="401">
      <c r="A401" s="31" t="inlineStr">
        <is>
          <t>2865</t>
        </is>
      </c>
      <c r="B401" s="15" t="inlineStr">
        <is>
          <t>DRINDA</t>
        </is>
      </c>
      <c r="C401" s="15" t="inlineStr">
        <is>
          <t>Industrials</t>
        </is>
      </c>
      <c r="D401" s="15" t="inlineStr">
        <is>
          <t>Solar / wind supply chain</t>
        </is>
      </c>
      <c r="E401" s="34" t="n">
        <v>45785</v>
      </c>
      <c r="F401" s="15" t="n">
        <v>22.15</v>
      </c>
      <c r="G401" s="15" t="n">
        <v>11.39</v>
      </c>
      <c r="H401" s="34" t="n">
        <v>46297</v>
      </c>
      <c r="I401" s="31" t="inlineStr">
        <is>
          <t>002865.SZ</t>
        </is>
      </c>
      <c r="J401" s="15" t="n">
        <v>16</v>
      </c>
      <c r="K401" s="15">
        <f>IF(AND(AH!$M$5="Snapshot",'IPO Live'!$M$5="Snapshot"),"",IFERROR(BDP(TEXT(VALUE($A401),"0")&amp;" HK Equity","PX_LAST"),""))</f>
        <v/>
      </c>
      <c r="L401" s="15">
        <f>IF(AND(AH!$M$5="Snapshot",'IPO Live'!$M$5="Snapshot"),"",IFERROR(BDP(TEXT(VALUE($A401),"0")&amp;" HK Equity","CHG_PCT_1D")/100,""))</f>
        <v/>
      </c>
      <c r="M401" s="15">
        <f>IF(AND(AH!$M$5="Snapshot",'IPO Live'!$M$5="Snapshot"),"",IFERROR(BDP(TEXT(VALUE($A401),"0")&amp;" HK Equity","LAST_UPDATE_DT"),""))</f>
        <v/>
      </c>
      <c r="N401" s="15">
        <f>IF(AND(AH!$M$5="Snapshot",'IPO Live'!$M$5="Snapshot"),"",IFERROR(BDP(TEXT(VALUE($A401),"0")&amp;" HK Equity","LAST_UPDATE"),""))</f>
        <v/>
      </c>
      <c r="O401" s="15">
        <f>IF('IPO Live'!$M$5="Snapshot",IF(ISNUMBER(G401),G401,"unavailable"),IF(AND(ISNUMBER(K401),N(K401)&gt;0),K401,IF('IPO Live'!$M$5="Auto",IF(ISNUMBER(G401),G401,"unavailable"),"unavailable")))</f>
        <v/>
      </c>
      <c r="P401" s="15">
        <f>IF(AND('IPO Live'!$M$5&lt;&gt;"Snapshot",ISNUMBER(K401),N(K401)&gt;0),"Bloomberg",IF(AND('IPO Live'!$M$5&lt;&gt;"Bloomberg",ISNUMBER(G401)),"Snapshot","Unavailable"))</f>
        <v/>
      </c>
      <c r="Q401" s="33">
        <f>IF(AND(P401="Bloomberg",ISNUMBER(L401)),L401,"unavailable")</f>
        <v/>
      </c>
      <c r="R401" s="15">
        <f>IF(OR('IPO Live'!$B$5="All",'IPO Live'!$B$5=C401,AND('IPO Live'!$B$5="A/H only",J401&gt;0)),1,0)</f>
        <v/>
      </c>
      <c r="S401" s="15">
        <f>IF(R401=1,COUNTIF($R$5:R401,1),"")</f>
        <v/>
      </c>
      <c r="T401">
        <f>1</f>
        <v/>
      </c>
      <c r="U401">
        <f>IF($P401="Bloomberg",$M401,$H401)</f>
        <v/>
      </c>
      <c r="AW401">
        <f>IF(AND(J401&gt;0,OR(AH!$I$5="All",AH!$I$5="A/H only",AH!$I$5=C401)),1,0)</f>
        <v/>
      </c>
      <c r="AX401">
        <f>IF(AW401=1,COUNTIF($AW$5:AW401,1),"")</f>
        <v/>
      </c>
      <c r="AY401">
        <f>IF(AH!$M$5="Snapshot",IF(ISNUMBER(G401),G401,"unavailable"),IF(AND(ISNUMBER(K401),N(K401)&gt;0),K401,IF(AH!$M$5="Auto",IF(ISNUMBER(G401),G401,"unavailable"),"unavailable")))</f>
        <v/>
      </c>
      <c r="AZ401">
        <f>IF(AND(AH!$M$5&lt;&gt;"Snapshot",ISNUMBER(K401),N(K401)&gt;0),"Bloomberg",IF(AND(AH!$M$5&lt;&gt;"Bloomberg",ISNUMBER(G401)),"Snapshot","Unavailable"))</f>
        <v/>
      </c>
      <c r="BA401">
        <f>IF(AZ401="Bloomberg",M401,H401)</f>
        <v/>
      </c>
      <c r="BB401">
        <f>1</f>
        <v/>
      </c>
    </row>
    <row r="402">
      <c r="A402" s="31" t="inlineStr">
        <is>
          <t>1333</t>
        </is>
      </c>
      <c r="B402" s="15" t="inlineStr">
        <is>
          <t>BRETON</t>
        </is>
      </c>
      <c r="C402" s="15" t="inlineStr">
        <is>
          <t>Industrials</t>
        </is>
      </c>
      <c r="D402" s="15" t="inlineStr">
        <is>
          <t>Capital goods / machinery</t>
        </is>
      </c>
      <c r="E402" s="34" t="n">
        <v>45784</v>
      </c>
      <c r="F402" s="15" t="n">
        <v>18</v>
      </c>
      <c r="G402" s="15" t="n">
        <v>20</v>
      </c>
      <c r="H402" s="34" t="n">
        <v>46297</v>
      </c>
      <c r="I402" s="31" t="n"/>
      <c r="J402" s="15" t="n">
        <v>0</v>
      </c>
      <c r="K402" s="15">
        <f>IF(AND(AH!$M$5="Snapshot",'IPO Live'!$M$5="Snapshot"),"",IFERROR(BDP(TEXT(VALUE($A402),"0")&amp;" HK Equity","PX_LAST"),""))</f>
        <v/>
      </c>
      <c r="L402" s="15">
        <f>IF(AND(AH!$M$5="Snapshot",'IPO Live'!$M$5="Snapshot"),"",IFERROR(BDP(TEXT(VALUE($A402),"0")&amp;" HK Equity","CHG_PCT_1D")/100,""))</f>
        <v/>
      </c>
      <c r="M402" s="15">
        <f>IF(AND(AH!$M$5="Snapshot",'IPO Live'!$M$5="Snapshot"),"",IFERROR(BDP(TEXT(VALUE($A402),"0")&amp;" HK Equity","LAST_UPDATE_DT"),""))</f>
        <v/>
      </c>
      <c r="N402" s="15">
        <f>IF(AND(AH!$M$5="Snapshot",'IPO Live'!$M$5="Snapshot"),"",IFERROR(BDP(TEXT(VALUE($A402),"0")&amp;" HK Equity","LAST_UPDATE"),""))</f>
        <v/>
      </c>
      <c r="O402" s="15">
        <f>IF('IPO Live'!$M$5="Snapshot",IF(ISNUMBER(G402),G402,"unavailable"),IF(AND(ISNUMBER(K402),N(K402)&gt;0),K402,IF('IPO Live'!$M$5="Auto",IF(ISNUMBER(G402),G402,"unavailable"),"unavailable")))</f>
        <v/>
      </c>
      <c r="P402" s="15">
        <f>IF(AND('IPO Live'!$M$5&lt;&gt;"Snapshot",ISNUMBER(K402),N(K402)&gt;0),"Bloomberg",IF(AND('IPO Live'!$M$5&lt;&gt;"Bloomberg",ISNUMBER(G402)),"Snapshot","Unavailable"))</f>
        <v/>
      </c>
      <c r="Q402" s="33">
        <f>IF(AND(P402="Bloomberg",ISNUMBER(L402)),L402,"unavailable")</f>
        <v/>
      </c>
      <c r="R402" s="15">
        <f>IF(OR('IPO Live'!$B$5="All",'IPO Live'!$B$5=C402,AND('IPO Live'!$B$5="A/H only",J402&gt;0)),1,0)</f>
        <v/>
      </c>
      <c r="S402" s="15">
        <f>IF(R402=1,COUNTIF($R$5:R402,1),"")</f>
        <v/>
      </c>
      <c r="T402">
        <f>1</f>
        <v/>
      </c>
      <c r="U402">
        <f>IF($P402="Bloomberg",$M402,$H402)</f>
        <v/>
      </c>
      <c r="AW402">
        <f>IF(AND(J402&gt;0,OR(AH!$I$5="All",AH!$I$5="A/H only",AH!$I$5=C402)),1,0)</f>
        <v/>
      </c>
      <c r="AX402">
        <f>IF(AW402=1,COUNTIF($AW$5:AW402,1),"")</f>
        <v/>
      </c>
      <c r="AY402">
        <f>IF(AH!$M$5="Snapshot",IF(ISNUMBER(G402),G402,"unavailable"),IF(AND(ISNUMBER(K402),N(K402)&gt;0),K402,IF(AH!$M$5="Auto",IF(ISNUMBER(G402),G402,"unavailable"),"unavailable")))</f>
        <v/>
      </c>
      <c r="AZ402">
        <f>IF(AND(AH!$M$5&lt;&gt;"Snapshot",ISNUMBER(K402),N(K402)&gt;0),"Bloomberg",IF(AND(AH!$M$5&lt;&gt;"Bloomberg",ISNUMBER(G402)),"Snapshot","Unavailable"))</f>
        <v/>
      </c>
      <c r="BA402">
        <f>IF(AZ402="Bloomberg",M402,H402)</f>
        <v/>
      </c>
      <c r="BB402">
        <f>1</f>
        <v/>
      </c>
    </row>
    <row r="403">
      <c r="A403" s="31" t="inlineStr">
        <is>
          <t>3677</t>
        </is>
      </c>
      <c r="B403" s="15" t="inlineStr">
        <is>
          <t>ZENERGY</t>
        </is>
      </c>
      <c r="C403" s="15" t="inlineStr">
        <is>
          <t>Industrials</t>
        </is>
      </c>
      <c r="D403" s="15" t="inlineStr">
        <is>
          <t>Batteries / energy storage</t>
        </is>
      </c>
      <c r="E403" s="34" t="n">
        <v>45761</v>
      </c>
      <c r="F403" s="15" t="n">
        <v>8.27</v>
      </c>
      <c r="G403" s="15" t="n">
        <v>4.245</v>
      </c>
      <c r="H403" s="34" t="n">
        <v>46297</v>
      </c>
      <c r="I403" s="31" t="n"/>
      <c r="J403" s="15" t="n">
        <v>0</v>
      </c>
      <c r="K403" s="15">
        <f>IF(AND(AH!$M$5="Snapshot",'IPO Live'!$M$5="Snapshot"),"",IFERROR(BDP(TEXT(VALUE($A403),"0")&amp;" HK Equity","PX_LAST"),""))</f>
        <v/>
      </c>
      <c r="L403" s="15">
        <f>IF(AND(AH!$M$5="Snapshot",'IPO Live'!$M$5="Snapshot"),"",IFERROR(BDP(TEXT(VALUE($A403),"0")&amp;" HK Equity","CHG_PCT_1D")/100,""))</f>
        <v/>
      </c>
      <c r="M403" s="15">
        <f>IF(AND(AH!$M$5="Snapshot",'IPO Live'!$M$5="Snapshot"),"",IFERROR(BDP(TEXT(VALUE($A403),"0")&amp;" HK Equity","LAST_UPDATE_DT"),""))</f>
        <v/>
      </c>
      <c r="N403" s="15">
        <f>IF(AND(AH!$M$5="Snapshot",'IPO Live'!$M$5="Snapshot"),"",IFERROR(BDP(TEXT(VALUE($A403),"0")&amp;" HK Equity","LAST_UPDATE"),""))</f>
        <v/>
      </c>
      <c r="O403" s="15">
        <f>IF('IPO Live'!$M$5="Snapshot",IF(ISNUMBER(G403),G403,"unavailable"),IF(AND(ISNUMBER(K403),N(K403)&gt;0),K403,IF('IPO Live'!$M$5="Auto",IF(ISNUMBER(G403),G403,"unavailable"),"unavailable")))</f>
        <v/>
      </c>
      <c r="P403" s="15">
        <f>IF(AND('IPO Live'!$M$5&lt;&gt;"Snapshot",ISNUMBER(K403),N(K403)&gt;0),"Bloomberg",IF(AND('IPO Live'!$M$5&lt;&gt;"Bloomberg",ISNUMBER(G403)),"Snapshot","Unavailable"))</f>
        <v/>
      </c>
      <c r="Q403" s="33">
        <f>IF(AND(P403="Bloomberg",ISNUMBER(L403)),L403,"unavailable")</f>
        <v/>
      </c>
      <c r="R403" s="15">
        <f>IF(OR('IPO Live'!$B$5="All",'IPO Live'!$B$5=C403,AND('IPO Live'!$B$5="A/H only",J403&gt;0)),1,0)</f>
        <v/>
      </c>
      <c r="S403" s="15">
        <f>IF(R403=1,COUNTIF($R$5:R403,1),"")</f>
        <v/>
      </c>
      <c r="T403">
        <f>1</f>
        <v/>
      </c>
      <c r="U403">
        <f>IF($P403="Bloomberg",$M403,$H403)</f>
        <v/>
      </c>
      <c r="AW403">
        <f>IF(AND(J403&gt;0,OR(AH!$I$5="All",AH!$I$5="A/H only",AH!$I$5=C403)),1,0)</f>
        <v/>
      </c>
      <c r="AX403">
        <f>IF(AW403=1,COUNTIF($AW$5:AW403,1),"")</f>
        <v/>
      </c>
      <c r="AY403">
        <f>IF(AH!$M$5="Snapshot",IF(ISNUMBER(G403),G403,"unavailable"),IF(AND(ISNUMBER(K403),N(K403)&gt;0),K403,IF(AH!$M$5="Auto",IF(ISNUMBER(G403),G403,"unavailable"),"unavailable")))</f>
        <v/>
      </c>
      <c r="AZ403">
        <f>IF(AND(AH!$M$5&lt;&gt;"Snapshot",ISNUMBER(K403),N(K403)&gt;0),"Bloomberg",IF(AND(AH!$M$5&lt;&gt;"Bloomberg",ISNUMBER(G403)),"Snapshot","Unavailable"))</f>
        <v/>
      </c>
      <c r="BA403">
        <f>IF(AZ403="Bloomberg",M403,H403)</f>
        <v/>
      </c>
      <c r="BB403">
        <f>1</f>
        <v/>
      </c>
    </row>
    <row r="404">
      <c r="A404" s="31" t="inlineStr">
        <is>
          <t>2571</t>
        </is>
      </c>
      <c r="B404" s="15" t="inlineStr">
        <is>
          <t>SAIMO</t>
        </is>
      </c>
      <c r="C404" s="15" t="inlineStr">
        <is>
          <t>Industrials</t>
        </is>
      </c>
      <c r="D404" s="15" t="inlineStr">
        <is>
          <t>Capital goods / machinery</t>
        </is>
      </c>
      <c r="E404" s="34" t="n">
        <v>45672</v>
      </c>
      <c r="F404" s="15" t="n">
        <v>12.99</v>
      </c>
      <c r="G404" s="15" t="n">
        <v>16.3</v>
      </c>
      <c r="H404" s="34" t="n">
        <v>46297</v>
      </c>
      <c r="I404" s="31" t="n"/>
      <c r="J404" s="15" t="n">
        <v>0</v>
      </c>
      <c r="K404" s="15">
        <f>IF(AND(AH!$M$5="Snapshot",'IPO Live'!$M$5="Snapshot"),"",IFERROR(BDP(TEXT(VALUE($A404),"0")&amp;" HK Equity","PX_LAST"),""))</f>
        <v/>
      </c>
      <c r="L404" s="15">
        <f>IF(AND(AH!$M$5="Snapshot",'IPO Live'!$M$5="Snapshot"),"",IFERROR(BDP(TEXT(VALUE($A404),"0")&amp;" HK Equity","CHG_PCT_1D")/100,""))</f>
        <v/>
      </c>
      <c r="M404" s="15">
        <f>IF(AND(AH!$M$5="Snapshot",'IPO Live'!$M$5="Snapshot"),"",IFERROR(BDP(TEXT(VALUE($A404),"0")&amp;" HK Equity","LAST_UPDATE_DT"),""))</f>
        <v/>
      </c>
      <c r="N404" s="15">
        <f>IF(AND(AH!$M$5="Snapshot",'IPO Live'!$M$5="Snapshot"),"",IFERROR(BDP(TEXT(VALUE($A404),"0")&amp;" HK Equity","LAST_UPDATE"),""))</f>
        <v/>
      </c>
      <c r="O404" s="15">
        <f>IF('IPO Live'!$M$5="Snapshot",IF(ISNUMBER(G404),G404,"unavailable"),IF(AND(ISNUMBER(K404),N(K404)&gt;0),K404,IF('IPO Live'!$M$5="Auto",IF(ISNUMBER(G404),G404,"unavailable"),"unavailable")))</f>
        <v/>
      </c>
      <c r="P404" s="15">
        <f>IF(AND('IPO Live'!$M$5&lt;&gt;"Snapshot",ISNUMBER(K404),N(K404)&gt;0),"Bloomberg",IF(AND('IPO Live'!$M$5&lt;&gt;"Bloomberg",ISNUMBER(G404)),"Snapshot","Unavailable"))</f>
        <v/>
      </c>
      <c r="Q404" s="33">
        <f>IF(AND(P404="Bloomberg",ISNUMBER(L404)),L404,"unavailable")</f>
        <v/>
      </c>
      <c r="R404" s="15">
        <f>IF(OR('IPO Live'!$B$5="All",'IPO Live'!$B$5=C404,AND('IPO Live'!$B$5="A/H only",J404&gt;0)),1,0)</f>
        <v/>
      </c>
      <c r="S404" s="15">
        <f>IF(R404=1,COUNTIF($R$5:R404,1),"")</f>
        <v/>
      </c>
      <c r="T404">
        <f>1</f>
        <v/>
      </c>
      <c r="U404">
        <f>IF($P404="Bloomberg",$M404,$H404)</f>
        <v/>
      </c>
      <c r="AW404">
        <f>IF(AND(J404&gt;0,OR(AH!$I$5="All",AH!$I$5="A/H only",AH!$I$5=C404)),1,0)</f>
        <v/>
      </c>
      <c r="AX404">
        <f>IF(AW404=1,COUNTIF($AW$5:AW404,1),"")</f>
        <v/>
      </c>
      <c r="AY404">
        <f>IF(AH!$M$5="Snapshot",IF(ISNUMBER(G404),G404,"unavailable"),IF(AND(ISNUMBER(K404),N(K404)&gt;0),K404,IF(AH!$M$5="Auto",IF(ISNUMBER(G404),G404,"unavailable"),"unavailable")))</f>
        <v/>
      </c>
      <c r="AZ404">
        <f>IF(AND(AH!$M$5&lt;&gt;"Snapshot",ISNUMBER(K404),N(K404)&gt;0),"Bloomberg",IF(AND(AH!$M$5&lt;&gt;"Bloomberg",ISNUMBER(G404)),"Snapshot","Unavailable"))</f>
        <v/>
      </c>
      <c r="BA404">
        <f>IF(AZ404="Bloomberg",M404,H404)</f>
        <v/>
      </c>
      <c r="BB404">
        <f>1</f>
        <v/>
      </c>
    </row>
    <row r="405">
      <c r="A405" s="31" t="inlineStr">
        <is>
          <t>2613</t>
        </is>
      </c>
      <c r="B405" s="15" t="inlineStr">
        <is>
          <t>CONTIOCEAN</t>
        </is>
      </c>
      <c r="C405" s="15" t="inlineStr">
        <is>
          <t>Industrials</t>
        </is>
      </c>
      <c r="D405" s="15" t="inlineStr">
        <is>
          <t>Capital goods / machinery</t>
        </is>
      </c>
      <c r="E405" s="34" t="n">
        <v>45666</v>
      </c>
      <c r="F405" s="15" t="n">
        <v>31.8</v>
      </c>
      <c r="G405" s="15" t="n">
        <v>31.02</v>
      </c>
      <c r="H405" s="34" t="n">
        <v>46297</v>
      </c>
      <c r="I405" s="31" t="n"/>
      <c r="J405" s="15" t="n">
        <v>0</v>
      </c>
      <c r="K405" s="15">
        <f>IF(AND(AH!$M$5="Snapshot",'IPO Live'!$M$5="Snapshot"),"",IFERROR(BDP(TEXT(VALUE($A405),"0")&amp;" HK Equity","PX_LAST"),""))</f>
        <v/>
      </c>
      <c r="L405" s="15">
        <f>IF(AND(AH!$M$5="Snapshot",'IPO Live'!$M$5="Snapshot"),"",IFERROR(BDP(TEXT(VALUE($A405),"0")&amp;" HK Equity","CHG_PCT_1D")/100,""))</f>
        <v/>
      </c>
      <c r="M405" s="15">
        <f>IF(AND(AH!$M$5="Snapshot",'IPO Live'!$M$5="Snapshot"),"",IFERROR(BDP(TEXT(VALUE($A405),"0")&amp;" HK Equity","LAST_UPDATE_DT"),""))</f>
        <v/>
      </c>
      <c r="N405" s="15">
        <f>IF(AND(AH!$M$5="Snapshot",'IPO Live'!$M$5="Snapshot"),"",IFERROR(BDP(TEXT(VALUE($A405),"0")&amp;" HK Equity","LAST_UPDATE"),""))</f>
        <v/>
      </c>
      <c r="O405" s="15">
        <f>IF('IPO Live'!$M$5="Snapshot",IF(ISNUMBER(G405),G405,"unavailable"),IF(AND(ISNUMBER(K405),N(K405)&gt;0),K405,IF('IPO Live'!$M$5="Auto",IF(ISNUMBER(G405),G405,"unavailable"),"unavailable")))</f>
        <v/>
      </c>
      <c r="P405" s="15">
        <f>IF(AND('IPO Live'!$M$5&lt;&gt;"Snapshot",ISNUMBER(K405),N(K405)&gt;0),"Bloomberg",IF(AND('IPO Live'!$M$5&lt;&gt;"Bloomberg",ISNUMBER(G405)),"Snapshot","Unavailable"))</f>
        <v/>
      </c>
      <c r="Q405" s="33">
        <f>IF(AND(P405="Bloomberg",ISNUMBER(L405)),L405,"unavailable")</f>
        <v/>
      </c>
      <c r="R405" s="15">
        <f>IF(OR('IPO Live'!$B$5="All",'IPO Live'!$B$5=C405,AND('IPO Live'!$B$5="A/H only",J405&gt;0)),1,0)</f>
        <v/>
      </c>
      <c r="S405" s="15">
        <f>IF(R405=1,COUNTIF($R$5:R405,1),"")</f>
        <v/>
      </c>
      <c r="T405">
        <f>1</f>
        <v/>
      </c>
      <c r="U405">
        <f>IF($P405="Bloomberg",$M405,$H405)</f>
        <v/>
      </c>
      <c r="AW405">
        <f>IF(AND(J405&gt;0,OR(AH!$I$5="All",AH!$I$5="A/H only",AH!$I$5=C405)),1,0)</f>
        <v/>
      </c>
      <c r="AX405">
        <f>IF(AW405=1,COUNTIF($AW$5:AW405,1),"")</f>
        <v/>
      </c>
      <c r="AY405">
        <f>IF(AH!$M$5="Snapshot",IF(ISNUMBER(G405),G405,"unavailable"),IF(AND(ISNUMBER(K405),N(K405)&gt;0),K405,IF(AH!$M$5="Auto",IF(ISNUMBER(G405),G405,"unavailable"),"unavailable")))</f>
        <v/>
      </c>
      <c r="AZ405">
        <f>IF(AND(AH!$M$5&lt;&gt;"Snapshot",ISNUMBER(K405),N(K405)&gt;0),"Bloomberg",IF(AND(AH!$M$5&lt;&gt;"Bloomberg",ISNUMBER(G405)),"Snapshot","Unavailable"))</f>
        <v/>
      </c>
      <c r="BA405">
        <f>IF(AZ405="Bloomberg",M405,H405)</f>
        <v/>
      </c>
      <c r="BB405">
        <f>1</f>
        <v/>
      </c>
    </row>
    <row r="406">
      <c r="A406" s="31" t="inlineStr">
        <is>
          <t>2570</t>
        </is>
      </c>
      <c r="B406" s="15" t="inlineStr">
        <is>
          <t>REFIRE</t>
        </is>
      </c>
      <c r="C406" s="15" t="inlineStr">
        <is>
          <t>Industrials</t>
        </is>
      </c>
      <c r="D406" s="15" t="inlineStr">
        <is>
          <t>Batteries / energy storage</t>
        </is>
      </c>
      <c r="E406" s="34" t="n">
        <v>45632</v>
      </c>
      <c r="F406" s="15" t="n">
        <v>147</v>
      </c>
      <c r="G406" s="15" t="n">
        <v>5.7</v>
      </c>
      <c r="H406" s="34" t="n">
        <v>46297</v>
      </c>
      <c r="I406" s="31" t="n"/>
      <c r="J406" s="15" t="n">
        <v>0</v>
      </c>
      <c r="K406" s="15">
        <f>IF(AND(AH!$M$5="Snapshot",'IPO Live'!$M$5="Snapshot"),"",IFERROR(BDP(TEXT(VALUE($A406),"0")&amp;" HK Equity","PX_LAST"),""))</f>
        <v/>
      </c>
      <c r="L406" s="15">
        <f>IF(AND(AH!$M$5="Snapshot",'IPO Live'!$M$5="Snapshot"),"",IFERROR(BDP(TEXT(VALUE($A406),"0")&amp;" HK Equity","CHG_PCT_1D")/100,""))</f>
        <v/>
      </c>
      <c r="M406" s="15">
        <f>IF(AND(AH!$M$5="Snapshot",'IPO Live'!$M$5="Snapshot"),"",IFERROR(BDP(TEXT(VALUE($A406),"0")&amp;" HK Equity","LAST_UPDATE_DT"),""))</f>
        <v/>
      </c>
      <c r="N406" s="15">
        <f>IF(AND(AH!$M$5="Snapshot",'IPO Live'!$M$5="Snapshot"),"",IFERROR(BDP(TEXT(VALUE($A406),"0")&amp;" HK Equity","LAST_UPDATE"),""))</f>
        <v/>
      </c>
      <c r="O406" s="15">
        <f>IF('IPO Live'!$M$5="Snapshot",IF(ISNUMBER(G406),G406,"unavailable"),IF(AND(ISNUMBER(K406),N(K406)&gt;0),K406,IF('IPO Live'!$M$5="Auto",IF(ISNUMBER(G406),G406,"unavailable"),"unavailable")))</f>
        <v/>
      </c>
      <c r="P406" s="15">
        <f>IF(AND('IPO Live'!$M$5&lt;&gt;"Snapshot",ISNUMBER(K406),N(K406)&gt;0),"Bloomberg",IF(AND('IPO Live'!$M$5&lt;&gt;"Bloomberg",ISNUMBER(G406)),"Snapshot","Unavailable"))</f>
        <v/>
      </c>
      <c r="Q406" s="33">
        <f>IF(AND(P406="Bloomberg",ISNUMBER(L406)),L406,"unavailable")</f>
        <v/>
      </c>
      <c r="R406" s="15">
        <f>IF(OR('IPO Live'!$B$5="All",'IPO Live'!$B$5=C406,AND('IPO Live'!$B$5="A/H only",J406&gt;0)),1,0)</f>
        <v/>
      </c>
      <c r="S406" s="15">
        <f>IF(R406=1,COUNTIF($R$5:R406,1),"")</f>
        <v/>
      </c>
      <c r="T406">
        <f>1</f>
        <v/>
      </c>
      <c r="U406">
        <f>IF($P406="Bloomberg",$M406,$H406)</f>
        <v/>
      </c>
      <c r="AW406">
        <f>IF(AND(J406&gt;0,OR(AH!$I$5="All",AH!$I$5="A/H only",AH!$I$5=C406)),1,0)</f>
        <v/>
      </c>
      <c r="AX406">
        <f>IF(AW406=1,COUNTIF($AW$5:AW406,1),"")</f>
        <v/>
      </c>
      <c r="AY406">
        <f>IF(AH!$M$5="Snapshot",IF(ISNUMBER(G406),G406,"unavailable"),IF(AND(ISNUMBER(K406),N(K406)&gt;0),K406,IF(AH!$M$5="Auto",IF(ISNUMBER(G406),G406,"unavailable"),"unavailable")))</f>
        <v/>
      </c>
      <c r="AZ406">
        <f>IF(AND(AH!$M$5&lt;&gt;"Snapshot",ISNUMBER(K406),N(K406)&gt;0),"Bloomberg",IF(AND(AH!$M$5&lt;&gt;"Bloomberg",ISNUMBER(G406)),"Snapshot","Unavailable"))</f>
        <v/>
      </c>
      <c r="BA406">
        <f>IF(AZ406="Bloomberg",M406,H406)</f>
        <v/>
      </c>
      <c r="BB406">
        <f>1</f>
        <v/>
      </c>
    </row>
    <row r="407">
      <c r="A407" s="31" t="inlineStr">
        <is>
          <t>6936</t>
        </is>
      </c>
      <c r="B407" s="15" t="inlineStr">
        <is>
          <t>SF HOLDING</t>
        </is>
      </c>
      <c r="C407" s="15" t="inlineStr">
        <is>
          <t>Industrials</t>
        </is>
      </c>
      <c r="D407" s="15" t="inlineStr">
        <is>
          <t>Logistics</t>
        </is>
      </c>
      <c r="E407" s="34" t="n">
        <v>45623</v>
      </c>
      <c r="F407" s="15" t="n">
        <v>34.3</v>
      </c>
      <c r="G407" s="15" t="n">
        <v>28.56</v>
      </c>
      <c r="H407" s="34" t="n">
        <v>46297</v>
      </c>
      <c r="I407" s="31" t="inlineStr">
        <is>
          <t>002352.SZ</t>
        </is>
      </c>
      <c r="J407" s="15" t="n">
        <v>14</v>
      </c>
      <c r="K407" s="15">
        <f>IF(AND(AH!$M$5="Snapshot",'IPO Live'!$M$5="Snapshot"),"",IFERROR(BDP(TEXT(VALUE($A407),"0")&amp;" HK Equity","PX_LAST"),""))</f>
        <v/>
      </c>
      <c r="L407" s="15">
        <f>IF(AND(AH!$M$5="Snapshot",'IPO Live'!$M$5="Snapshot"),"",IFERROR(BDP(TEXT(VALUE($A407),"0")&amp;" HK Equity","CHG_PCT_1D")/100,""))</f>
        <v/>
      </c>
      <c r="M407" s="15">
        <f>IF(AND(AH!$M$5="Snapshot",'IPO Live'!$M$5="Snapshot"),"",IFERROR(BDP(TEXT(VALUE($A407),"0")&amp;" HK Equity","LAST_UPDATE_DT"),""))</f>
        <v/>
      </c>
      <c r="N407" s="15">
        <f>IF(AND(AH!$M$5="Snapshot",'IPO Live'!$M$5="Snapshot"),"",IFERROR(BDP(TEXT(VALUE($A407),"0")&amp;" HK Equity","LAST_UPDATE"),""))</f>
        <v/>
      </c>
      <c r="O407" s="15">
        <f>IF('IPO Live'!$M$5="Snapshot",IF(ISNUMBER(G407),G407,"unavailable"),IF(AND(ISNUMBER(K407),N(K407)&gt;0),K407,IF('IPO Live'!$M$5="Auto",IF(ISNUMBER(G407),G407,"unavailable"),"unavailable")))</f>
        <v/>
      </c>
      <c r="P407" s="15">
        <f>IF(AND('IPO Live'!$M$5&lt;&gt;"Snapshot",ISNUMBER(K407),N(K407)&gt;0),"Bloomberg",IF(AND('IPO Live'!$M$5&lt;&gt;"Bloomberg",ISNUMBER(G407)),"Snapshot","Unavailable"))</f>
        <v/>
      </c>
      <c r="Q407" s="33">
        <f>IF(AND(P407="Bloomberg",ISNUMBER(L407)),L407,"unavailable")</f>
        <v/>
      </c>
      <c r="R407" s="15">
        <f>IF(OR('IPO Live'!$B$5="All",'IPO Live'!$B$5=C407,AND('IPO Live'!$B$5="A/H only",J407&gt;0)),1,0)</f>
        <v/>
      </c>
      <c r="S407" s="15">
        <f>IF(R407=1,COUNTIF($R$5:R407,1),"")</f>
        <v/>
      </c>
      <c r="T407">
        <f>1</f>
        <v/>
      </c>
      <c r="U407">
        <f>IF($P407="Bloomberg",$M407,$H407)</f>
        <v/>
      </c>
      <c r="AW407">
        <f>IF(AND(J407&gt;0,OR(AH!$I$5="All",AH!$I$5="A/H only",AH!$I$5=C407)),1,0)</f>
        <v/>
      </c>
      <c r="AX407">
        <f>IF(AW407=1,COUNTIF($AW$5:AW407,1),"")</f>
        <v/>
      </c>
      <c r="AY407">
        <f>IF(AH!$M$5="Snapshot",IF(ISNUMBER(G407),G407,"unavailable"),IF(AND(ISNUMBER(K407),N(K407)&gt;0),K407,IF(AH!$M$5="Auto",IF(ISNUMBER(G407),G407,"unavailable"),"unavailable")))</f>
        <v/>
      </c>
      <c r="AZ407">
        <f>IF(AND(AH!$M$5&lt;&gt;"Snapshot",ISNUMBER(K407),N(K407)&gt;0),"Bloomberg",IF(AND(AH!$M$5&lt;&gt;"Bloomberg",ISNUMBER(G407)),"Snapshot","Unavailable"))</f>
        <v/>
      </c>
      <c r="BA407">
        <f>IF(AZ407="Bloomberg",M407,H407)</f>
        <v/>
      </c>
      <c r="BB407">
        <f>1</f>
        <v/>
      </c>
    </row>
    <row r="408">
      <c r="A408" s="31" t="inlineStr">
        <is>
          <t>2582</t>
        </is>
      </c>
      <c r="B408" s="15" t="inlineStr">
        <is>
          <t>GUOFUHEE</t>
        </is>
      </c>
      <c r="C408" s="15" t="inlineStr">
        <is>
          <t>Industrials</t>
        </is>
      </c>
      <c r="D408" s="15" t="inlineStr">
        <is>
          <t>Batteries / energy storage</t>
        </is>
      </c>
      <c r="E408" s="34" t="n">
        <v>45611</v>
      </c>
      <c r="F408" s="15" t="n">
        <v>65</v>
      </c>
      <c r="G408" s="15" t="n">
        <v>4.03</v>
      </c>
      <c r="H408" s="34" t="n">
        <v>46297</v>
      </c>
      <c r="I408" s="31" t="n"/>
      <c r="J408" s="15" t="n">
        <v>0</v>
      </c>
      <c r="K408" s="15">
        <f>IF(AND(AH!$M$5="Snapshot",'IPO Live'!$M$5="Snapshot"),"",IFERROR(BDP(TEXT(VALUE($A408),"0")&amp;" HK Equity","PX_LAST"),""))</f>
        <v/>
      </c>
      <c r="L408" s="15">
        <f>IF(AND(AH!$M$5="Snapshot",'IPO Live'!$M$5="Snapshot"),"",IFERROR(BDP(TEXT(VALUE($A408),"0")&amp;" HK Equity","CHG_PCT_1D")/100,""))</f>
        <v/>
      </c>
      <c r="M408" s="15">
        <f>IF(AND(AH!$M$5="Snapshot",'IPO Live'!$M$5="Snapshot"),"",IFERROR(BDP(TEXT(VALUE($A408),"0")&amp;" HK Equity","LAST_UPDATE_DT"),""))</f>
        <v/>
      </c>
      <c r="N408" s="15">
        <f>IF(AND(AH!$M$5="Snapshot",'IPO Live'!$M$5="Snapshot"),"",IFERROR(BDP(TEXT(VALUE($A408),"0")&amp;" HK Equity","LAST_UPDATE"),""))</f>
        <v/>
      </c>
      <c r="O408" s="15">
        <f>IF('IPO Live'!$M$5="Snapshot",IF(ISNUMBER(G408),G408,"unavailable"),IF(AND(ISNUMBER(K408),N(K408)&gt;0),K408,IF('IPO Live'!$M$5="Auto",IF(ISNUMBER(G408),G408,"unavailable"),"unavailable")))</f>
        <v/>
      </c>
      <c r="P408" s="15">
        <f>IF(AND('IPO Live'!$M$5&lt;&gt;"Snapshot",ISNUMBER(K408),N(K408)&gt;0),"Bloomberg",IF(AND('IPO Live'!$M$5&lt;&gt;"Bloomberg",ISNUMBER(G408)),"Snapshot","Unavailable"))</f>
        <v/>
      </c>
      <c r="Q408" s="33">
        <f>IF(AND(P408="Bloomberg",ISNUMBER(L408)),L408,"unavailable")</f>
        <v/>
      </c>
      <c r="R408" s="15">
        <f>IF(OR('IPO Live'!$B$5="All",'IPO Live'!$B$5=C408,AND('IPO Live'!$B$5="A/H only",J408&gt;0)),1,0)</f>
        <v/>
      </c>
      <c r="S408" s="15">
        <f>IF(R408=1,COUNTIF($R$5:R408,1),"")</f>
        <v/>
      </c>
      <c r="T408">
        <f>1</f>
        <v/>
      </c>
      <c r="U408">
        <f>IF($P408="Bloomberg",$M408,$H408)</f>
        <v/>
      </c>
      <c r="AW408">
        <f>IF(AND(J408&gt;0,OR(AH!$I$5="All",AH!$I$5="A/H only",AH!$I$5=C408)),1,0)</f>
        <v/>
      </c>
      <c r="AX408">
        <f>IF(AW408=1,COUNTIF($AW$5:AW408,1),"")</f>
        <v/>
      </c>
      <c r="AY408">
        <f>IF(AH!$M$5="Snapshot",IF(ISNUMBER(G408),G408,"unavailable"),IF(AND(ISNUMBER(K408),N(K408)&gt;0),K408,IF(AH!$M$5="Auto",IF(ISNUMBER(G408),G408,"unavailable"),"unavailable")))</f>
        <v/>
      </c>
      <c r="AZ408">
        <f>IF(AND(AH!$M$5&lt;&gt;"Snapshot",ISNUMBER(K408),N(K408)&gt;0),"Bloomberg",IF(AND(AH!$M$5&lt;&gt;"Bloomberg",ISNUMBER(G408)),"Snapshot","Unavailable"))</f>
        <v/>
      </c>
      <c r="BA408">
        <f>IF(AZ408="Bloomberg",M408,H408)</f>
        <v/>
      </c>
      <c r="BB408">
        <f>1</f>
        <v/>
      </c>
    </row>
    <row r="409">
      <c r="A409" s="31" t="inlineStr">
        <is>
          <t>2510</t>
        </is>
      </c>
      <c r="B409" s="15" t="inlineStr">
        <is>
          <t>TS LINES</t>
        </is>
      </c>
      <c r="C409" s="15" t="inlineStr">
        <is>
          <t>Industrials</t>
        </is>
      </c>
      <c r="D409" s="15" t="inlineStr">
        <is>
          <t>Logistics</t>
        </is>
      </c>
      <c r="E409" s="34" t="n">
        <v>45597</v>
      </c>
      <c r="F409" s="15" t="n">
        <v>4.18</v>
      </c>
      <c r="G409" s="15" t="n">
        <v>13.01</v>
      </c>
      <c r="H409" s="34" t="n">
        <v>46297</v>
      </c>
      <c r="I409" s="31" t="n"/>
      <c r="J409" s="15" t="n">
        <v>0</v>
      </c>
      <c r="K409" s="15">
        <f>IF(AND(AH!$M$5="Snapshot",'IPO Live'!$M$5="Snapshot"),"",IFERROR(BDP(TEXT(VALUE($A409),"0")&amp;" HK Equity","PX_LAST"),""))</f>
        <v/>
      </c>
      <c r="L409" s="15">
        <f>IF(AND(AH!$M$5="Snapshot",'IPO Live'!$M$5="Snapshot"),"",IFERROR(BDP(TEXT(VALUE($A409),"0")&amp;" HK Equity","CHG_PCT_1D")/100,""))</f>
        <v/>
      </c>
      <c r="M409" s="15">
        <f>IF(AND(AH!$M$5="Snapshot",'IPO Live'!$M$5="Snapshot"),"",IFERROR(BDP(TEXT(VALUE($A409),"0")&amp;" HK Equity","LAST_UPDATE_DT"),""))</f>
        <v/>
      </c>
      <c r="N409" s="15">
        <f>IF(AND(AH!$M$5="Snapshot",'IPO Live'!$M$5="Snapshot"),"",IFERROR(BDP(TEXT(VALUE($A409),"0")&amp;" HK Equity","LAST_UPDATE"),""))</f>
        <v/>
      </c>
      <c r="O409" s="15">
        <f>IF('IPO Live'!$M$5="Snapshot",IF(ISNUMBER(G409),G409,"unavailable"),IF(AND(ISNUMBER(K409),N(K409)&gt;0),K409,IF('IPO Live'!$M$5="Auto",IF(ISNUMBER(G409),G409,"unavailable"),"unavailable")))</f>
        <v/>
      </c>
      <c r="P409" s="15">
        <f>IF(AND('IPO Live'!$M$5&lt;&gt;"Snapshot",ISNUMBER(K409),N(K409)&gt;0),"Bloomberg",IF(AND('IPO Live'!$M$5&lt;&gt;"Bloomberg",ISNUMBER(G409)),"Snapshot","Unavailable"))</f>
        <v/>
      </c>
      <c r="Q409" s="33">
        <f>IF(AND(P409="Bloomberg",ISNUMBER(L409)),L409,"unavailable")</f>
        <v/>
      </c>
      <c r="R409" s="15">
        <f>IF(OR('IPO Live'!$B$5="All",'IPO Live'!$B$5=C409,AND('IPO Live'!$B$5="A/H only",J409&gt;0)),1,0)</f>
        <v/>
      </c>
      <c r="S409" s="15">
        <f>IF(R409=1,COUNTIF($R$5:R409,1),"")</f>
        <v/>
      </c>
      <c r="T409">
        <f>1</f>
        <v/>
      </c>
      <c r="U409">
        <f>IF($P409="Bloomberg",$M409,$H409)</f>
        <v/>
      </c>
      <c r="AW409">
        <f>IF(AND(J409&gt;0,OR(AH!$I$5="All",AH!$I$5="A/H only",AH!$I$5=C409)),1,0)</f>
        <v/>
      </c>
      <c r="AX409">
        <f>IF(AW409=1,COUNTIF($AW$5:AW409,1),"")</f>
        <v/>
      </c>
      <c r="AY409">
        <f>IF(AH!$M$5="Snapshot",IF(ISNUMBER(G409),G409,"unavailable"),IF(AND(ISNUMBER(K409),N(K409)&gt;0),K409,IF(AH!$M$5="Auto",IF(ISNUMBER(G409),G409,"unavailable"),"unavailable")))</f>
        <v/>
      </c>
      <c r="AZ409">
        <f>IF(AND(AH!$M$5&lt;&gt;"Snapshot",ISNUMBER(K409),N(K409)&gt;0),"Bloomberg",IF(AND(AH!$M$5&lt;&gt;"Bloomberg",ISNUMBER(G409)),"Snapshot","Unavailable"))</f>
        <v/>
      </c>
      <c r="BA409">
        <f>IF(AZ409="Bloomberg",M409,H409)</f>
        <v/>
      </c>
      <c r="BB409">
        <f>1</f>
        <v/>
      </c>
    </row>
    <row r="410">
      <c r="A410" s="31" t="inlineStr">
        <is>
          <t>2465</t>
        </is>
      </c>
      <c r="B410" s="15" t="inlineStr">
        <is>
          <t>LOPAL TECH</t>
        </is>
      </c>
      <c r="C410" s="15" t="inlineStr">
        <is>
          <t>Industrials</t>
        </is>
      </c>
      <c r="D410" s="15" t="inlineStr">
        <is>
          <t>Batteries / energy storage</t>
        </is>
      </c>
      <c r="E410" s="34" t="n">
        <v>45595</v>
      </c>
      <c r="F410" s="15" t="n">
        <v>5.5</v>
      </c>
      <c r="G410" s="15" t="n">
        <v>9.029999999999999</v>
      </c>
      <c r="H410" s="34" t="n">
        <v>46297</v>
      </c>
      <c r="I410" s="31" t="inlineStr">
        <is>
          <t>603906.SS</t>
        </is>
      </c>
      <c r="J410" s="15" t="n">
        <v>13</v>
      </c>
      <c r="K410" s="15">
        <f>IF(AND(AH!$M$5="Snapshot",'IPO Live'!$M$5="Snapshot"),"",IFERROR(BDP(TEXT(VALUE($A410),"0")&amp;" HK Equity","PX_LAST"),""))</f>
        <v/>
      </c>
      <c r="L410" s="15">
        <f>IF(AND(AH!$M$5="Snapshot",'IPO Live'!$M$5="Snapshot"),"",IFERROR(BDP(TEXT(VALUE($A410),"0")&amp;" HK Equity","CHG_PCT_1D")/100,""))</f>
        <v/>
      </c>
      <c r="M410" s="15">
        <f>IF(AND(AH!$M$5="Snapshot",'IPO Live'!$M$5="Snapshot"),"",IFERROR(BDP(TEXT(VALUE($A410),"0")&amp;" HK Equity","LAST_UPDATE_DT"),""))</f>
        <v/>
      </c>
      <c r="N410" s="15">
        <f>IF(AND(AH!$M$5="Snapshot",'IPO Live'!$M$5="Snapshot"),"",IFERROR(BDP(TEXT(VALUE($A410),"0")&amp;" HK Equity","LAST_UPDATE"),""))</f>
        <v/>
      </c>
      <c r="O410" s="15">
        <f>IF('IPO Live'!$M$5="Snapshot",IF(ISNUMBER(G410),G410,"unavailable"),IF(AND(ISNUMBER(K410),N(K410)&gt;0),K410,IF('IPO Live'!$M$5="Auto",IF(ISNUMBER(G410),G410,"unavailable"),"unavailable")))</f>
        <v/>
      </c>
      <c r="P410" s="15">
        <f>IF(AND('IPO Live'!$M$5&lt;&gt;"Snapshot",ISNUMBER(K410),N(K410)&gt;0),"Bloomberg",IF(AND('IPO Live'!$M$5&lt;&gt;"Bloomberg",ISNUMBER(G410)),"Snapshot","Unavailable"))</f>
        <v/>
      </c>
      <c r="Q410" s="33">
        <f>IF(AND(P410="Bloomberg",ISNUMBER(L410)),L410,"unavailable")</f>
        <v/>
      </c>
      <c r="R410" s="15">
        <f>IF(OR('IPO Live'!$B$5="All",'IPO Live'!$B$5=C410,AND('IPO Live'!$B$5="A/H only",J410&gt;0)),1,0)</f>
        <v/>
      </c>
      <c r="S410" s="15">
        <f>IF(R410=1,COUNTIF($R$5:R410,1),"")</f>
        <v/>
      </c>
      <c r="T410">
        <f>1</f>
        <v/>
      </c>
      <c r="U410">
        <f>IF($P410="Bloomberg",$M410,$H410)</f>
        <v/>
      </c>
      <c r="AW410">
        <f>IF(AND(J410&gt;0,OR(AH!$I$5="All",AH!$I$5="A/H only",AH!$I$5=C410)),1,0)</f>
        <v/>
      </c>
      <c r="AX410">
        <f>IF(AW410=1,COUNTIF($AW$5:AW410,1),"")</f>
        <v/>
      </c>
      <c r="AY410">
        <f>IF(AH!$M$5="Snapshot",IF(ISNUMBER(G410),G410,"unavailable"),IF(AND(ISNUMBER(K410),N(K410)&gt;0),K410,IF(AH!$M$5="Auto",IF(ISNUMBER(G410),G410,"unavailable"),"unavailable")))</f>
        <v/>
      </c>
      <c r="AZ410">
        <f>IF(AND(AH!$M$5&lt;&gt;"Snapshot",ISNUMBER(K410),N(K410)&gt;0),"Bloomberg",IF(AND(AH!$M$5&lt;&gt;"Bloomberg",ISNUMBER(G410)),"Snapshot","Unavailable"))</f>
        <v/>
      </c>
      <c r="BA410">
        <f>IF(AZ410="Bloomberg",M410,H410)</f>
        <v/>
      </c>
      <c r="BB410">
        <f>1</f>
        <v/>
      </c>
    </row>
    <row r="411">
      <c r="A411" s="31" t="inlineStr">
        <is>
          <t>9639</t>
        </is>
      </c>
      <c r="B411" s="15" t="inlineStr">
        <is>
          <t>WING LEE DEV</t>
        </is>
      </c>
      <c r="C411" s="15" t="inlineStr">
        <is>
          <t>Industrials</t>
        </is>
      </c>
      <c r="D411" s="15" t="inlineStr">
        <is>
          <t>Construction / engineering</t>
        </is>
      </c>
      <c r="E411" s="34" t="n">
        <v>45574</v>
      </c>
      <c r="F411" s="15" t="n">
        <v>0.73</v>
      </c>
      <c r="G411" s="15" t="n">
        <v>0.905</v>
      </c>
      <c r="H411" s="34" t="n">
        <v>46297</v>
      </c>
      <c r="I411" s="31" t="n"/>
      <c r="J411" s="15" t="n">
        <v>0</v>
      </c>
      <c r="K411" s="15">
        <f>IF(AND(AH!$M$5="Snapshot",'IPO Live'!$M$5="Snapshot"),"",IFERROR(BDP(TEXT(VALUE($A411),"0")&amp;" HK Equity","PX_LAST"),""))</f>
        <v/>
      </c>
      <c r="L411" s="15">
        <f>IF(AND(AH!$M$5="Snapshot",'IPO Live'!$M$5="Snapshot"),"",IFERROR(BDP(TEXT(VALUE($A411),"0")&amp;" HK Equity","CHG_PCT_1D")/100,""))</f>
        <v/>
      </c>
      <c r="M411" s="15">
        <f>IF(AND(AH!$M$5="Snapshot",'IPO Live'!$M$5="Snapshot"),"",IFERROR(BDP(TEXT(VALUE($A411),"0")&amp;" HK Equity","LAST_UPDATE_DT"),""))</f>
        <v/>
      </c>
      <c r="N411" s="15">
        <f>IF(AND(AH!$M$5="Snapshot",'IPO Live'!$M$5="Snapshot"),"",IFERROR(BDP(TEXT(VALUE($A411),"0")&amp;" HK Equity","LAST_UPDATE"),""))</f>
        <v/>
      </c>
      <c r="O411" s="15">
        <f>IF('IPO Live'!$M$5="Snapshot",IF(ISNUMBER(G411),G411,"unavailable"),IF(AND(ISNUMBER(K411),N(K411)&gt;0),K411,IF('IPO Live'!$M$5="Auto",IF(ISNUMBER(G411),G411,"unavailable"),"unavailable")))</f>
        <v/>
      </c>
      <c r="P411" s="15">
        <f>IF(AND('IPO Live'!$M$5&lt;&gt;"Snapshot",ISNUMBER(K411),N(K411)&gt;0),"Bloomberg",IF(AND('IPO Live'!$M$5&lt;&gt;"Bloomberg",ISNUMBER(G411)),"Snapshot","Unavailable"))</f>
        <v/>
      </c>
      <c r="Q411" s="33">
        <f>IF(AND(P411="Bloomberg",ISNUMBER(L411)),L411,"unavailable")</f>
        <v/>
      </c>
      <c r="R411" s="15">
        <f>IF(OR('IPO Live'!$B$5="All",'IPO Live'!$B$5=C411,AND('IPO Live'!$B$5="A/H only",J411&gt;0)),1,0)</f>
        <v/>
      </c>
      <c r="S411" s="15">
        <f>IF(R411=1,COUNTIF($R$5:R411,1),"")</f>
        <v/>
      </c>
      <c r="T411">
        <f>1</f>
        <v/>
      </c>
      <c r="U411">
        <f>IF($P411="Bloomberg",$M411,$H411)</f>
        <v/>
      </c>
      <c r="AW411">
        <f>IF(AND(J411&gt;0,OR(AH!$I$5="All",AH!$I$5="A/H only",AH!$I$5=C411)),1,0)</f>
        <v/>
      </c>
      <c r="AX411">
        <f>IF(AW411=1,COUNTIF($AW$5:AW411,1),"")</f>
        <v/>
      </c>
      <c r="AY411">
        <f>IF(AH!$M$5="Snapshot",IF(ISNUMBER(G411),G411,"unavailable"),IF(AND(ISNUMBER(K411),N(K411)&gt;0),K411,IF(AH!$M$5="Auto",IF(ISNUMBER(G411),G411,"unavailable"),"unavailable")))</f>
        <v/>
      </c>
      <c r="AZ411">
        <f>IF(AND(AH!$M$5&lt;&gt;"Snapshot",ISNUMBER(K411),N(K411)&gt;0),"Bloomberg",IF(AND(AH!$M$5&lt;&gt;"Bloomberg",ISNUMBER(G411)),"Snapshot","Unavailable"))</f>
        <v/>
      </c>
      <c r="BA411">
        <f>IF(AZ411="Bloomberg",M411,H411)</f>
        <v/>
      </c>
      <c r="BB411">
        <f>1</f>
        <v/>
      </c>
    </row>
    <row r="412">
      <c r="A412" s="31" t="inlineStr">
        <is>
          <t>2507</t>
        </is>
      </c>
      <c r="B412" s="15" t="inlineStr">
        <is>
          <t>CIRRUS</t>
        </is>
      </c>
      <c r="C412" s="15" t="inlineStr">
        <is>
          <t>Industrials</t>
        </is>
      </c>
      <c r="D412" s="15" t="inlineStr">
        <is>
          <t>Capital goods / machinery</t>
        </is>
      </c>
      <c r="E412" s="34" t="n">
        <v>45485</v>
      </c>
      <c r="F412" s="15" t="n">
        <v>27.5</v>
      </c>
      <c r="G412" s="15" t="n">
        <v>41.56</v>
      </c>
      <c r="H412" s="34" t="n">
        <v>46297</v>
      </c>
      <c r="I412" s="31" t="n"/>
      <c r="J412" s="15" t="n">
        <v>0</v>
      </c>
      <c r="K412" s="15">
        <f>IF(AND(AH!$M$5="Snapshot",'IPO Live'!$M$5="Snapshot"),"",IFERROR(BDP(TEXT(VALUE($A412),"0")&amp;" HK Equity","PX_LAST"),""))</f>
        <v/>
      </c>
      <c r="L412" s="15">
        <f>IF(AND(AH!$M$5="Snapshot",'IPO Live'!$M$5="Snapshot"),"",IFERROR(BDP(TEXT(VALUE($A412),"0")&amp;" HK Equity","CHG_PCT_1D")/100,""))</f>
        <v/>
      </c>
      <c r="M412" s="15">
        <f>IF(AND(AH!$M$5="Snapshot",'IPO Live'!$M$5="Snapshot"),"",IFERROR(BDP(TEXT(VALUE($A412),"0")&amp;" HK Equity","LAST_UPDATE_DT"),""))</f>
        <v/>
      </c>
      <c r="N412" s="15">
        <f>IF(AND(AH!$M$5="Snapshot",'IPO Live'!$M$5="Snapshot"),"",IFERROR(BDP(TEXT(VALUE($A412),"0")&amp;" HK Equity","LAST_UPDATE"),""))</f>
        <v/>
      </c>
      <c r="O412" s="15">
        <f>IF('IPO Live'!$M$5="Snapshot",IF(ISNUMBER(G412),G412,"unavailable"),IF(AND(ISNUMBER(K412),N(K412)&gt;0),K412,IF('IPO Live'!$M$5="Auto",IF(ISNUMBER(G412),G412,"unavailable"),"unavailable")))</f>
        <v/>
      </c>
      <c r="P412" s="15">
        <f>IF(AND('IPO Live'!$M$5&lt;&gt;"Snapshot",ISNUMBER(K412),N(K412)&gt;0),"Bloomberg",IF(AND('IPO Live'!$M$5&lt;&gt;"Bloomberg",ISNUMBER(G412)),"Snapshot","Unavailable"))</f>
        <v/>
      </c>
      <c r="Q412" s="33">
        <f>IF(AND(P412="Bloomberg",ISNUMBER(L412)),L412,"unavailable")</f>
        <v/>
      </c>
      <c r="R412" s="15">
        <f>IF(OR('IPO Live'!$B$5="All",'IPO Live'!$B$5=C412,AND('IPO Live'!$B$5="A/H only",J412&gt;0)),1,0)</f>
        <v/>
      </c>
      <c r="S412" s="15">
        <f>IF(R412=1,COUNTIF($R$5:R412,1),"")</f>
        <v/>
      </c>
      <c r="T412">
        <f>1</f>
        <v/>
      </c>
      <c r="U412">
        <f>IF($P412="Bloomberg",$M412,$H412)</f>
        <v/>
      </c>
      <c r="AW412">
        <f>IF(AND(J412&gt;0,OR(AH!$I$5="All",AH!$I$5="A/H only",AH!$I$5=C412)),1,0)</f>
        <v/>
      </c>
      <c r="AX412">
        <f>IF(AW412=1,COUNTIF($AW$5:AW412,1),"")</f>
        <v/>
      </c>
      <c r="AY412">
        <f>IF(AH!$M$5="Snapshot",IF(ISNUMBER(G412),G412,"unavailable"),IF(AND(ISNUMBER(K412),N(K412)&gt;0),K412,IF(AH!$M$5="Auto",IF(ISNUMBER(G412),G412,"unavailable"),"unavailable")))</f>
        <v/>
      </c>
      <c r="AZ412">
        <f>IF(AND(AH!$M$5&lt;&gt;"Snapshot",ISNUMBER(K412),N(K412)&gt;0),"Bloomberg",IF(AND(AH!$M$5&lt;&gt;"Bloomberg",ISNUMBER(G412)),"Snapshot","Unavailable"))</f>
        <v/>
      </c>
      <c r="BA412">
        <f>IF(AZ412="Bloomberg",M412,H412)</f>
        <v/>
      </c>
      <c r="BB412">
        <f>1</f>
        <v/>
      </c>
    </row>
    <row r="413">
      <c r="A413" s="31" t="inlineStr">
        <is>
          <t>2505</t>
        </is>
      </c>
      <c r="B413" s="15" t="inlineStr">
        <is>
          <t>EDA GROUP HLDGS</t>
        </is>
      </c>
      <c r="C413" s="15" t="inlineStr">
        <is>
          <t>Industrials</t>
        </is>
      </c>
      <c r="D413" s="15" t="inlineStr">
        <is>
          <t>Logistics</t>
        </is>
      </c>
      <c r="E413" s="34" t="n">
        <v>45440</v>
      </c>
      <c r="F413" s="15" t="n">
        <v>2.28</v>
      </c>
      <c r="G413" s="15" t="n">
        <v>0.66</v>
      </c>
      <c r="H413" s="34" t="n">
        <v>46297</v>
      </c>
      <c r="I413" s="31" t="n"/>
      <c r="J413" s="15" t="n">
        <v>0</v>
      </c>
      <c r="K413" s="15">
        <f>IF(AND(AH!$M$5="Snapshot",'IPO Live'!$M$5="Snapshot"),"",IFERROR(BDP(TEXT(VALUE($A413),"0")&amp;" HK Equity","PX_LAST"),""))</f>
        <v/>
      </c>
      <c r="L413" s="15">
        <f>IF(AND(AH!$M$5="Snapshot",'IPO Live'!$M$5="Snapshot"),"",IFERROR(BDP(TEXT(VALUE($A413),"0")&amp;" HK Equity","CHG_PCT_1D")/100,""))</f>
        <v/>
      </c>
      <c r="M413" s="15">
        <f>IF(AND(AH!$M$5="Snapshot",'IPO Live'!$M$5="Snapshot"),"",IFERROR(BDP(TEXT(VALUE($A413),"0")&amp;" HK Equity","LAST_UPDATE_DT"),""))</f>
        <v/>
      </c>
      <c r="N413" s="15">
        <f>IF(AND(AH!$M$5="Snapshot",'IPO Live'!$M$5="Snapshot"),"",IFERROR(BDP(TEXT(VALUE($A413),"0")&amp;" HK Equity","LAST_UPDATE"),""))</f>
        <v/>
      </c>
      <c r="O413" s="15">
        <f>IF('IPO Live'!$M$5="Snapshot",IF(ISNUMBER(G413),G413,"unavailable"),IF(AND(ISNUMBER(K413),N(K413)&gt;0),K413,IF('IPO Live'!$M$5="Auto",IF(ISNUMBER(G413),G413,"unavailable"),"unavailable")))</f>
        <v/>
      </c>
      <c r="P413" s="15">
        <f>IF(AND('IPO Live'!$M$5&lt;&gt;"Snapshot",ISNUMBER(K413),N(K413)&gt;0),"Bloomberg",IF(AND('IPO Live'!$M$5&lt;&gt;"Bloomberg",ISNUMBER(G413)),"Snapshot","Unavailable"))</f>
        <v/>
      </c>
      <c r="Q413" s="33">
        <f>IF(AND(P413="Bloomberg",ISNUMBER(L413)),L413,"unavailable")</f>
        <v/>
      </c>
      <c r="R413" s="15">
        <f>IF(OR('IPO Live'!$B$5="All",'IPO Live'!$B$5=C413,AND('IPO Live'!$B$5="A/H only",J413&gt;0)),1,0)</f>
        <v/>
      </c>
      <c r="S413" s="15">
        <f>IF(R413=1,COUNTIF($R$5:R413,1),"")</f>
        <v/>
      </c>
      <c r="T413">
        <f>1</f>
        <v/>
      </c>
      <c r="U413">
        <f>IF($P413="Bloomberg",$M413,$H413)</f>
        <v/>
      </c>
      <c r="AW413">
        <f>IF(AND(J413&gt;0,OR(AH!$I$5="All",AH!$I$5="A/H only",AH!$I$5=C413)),1,0)</f>
        <v/>
      </c>
      <c r="AX413">
        <f>IF(AW413=1,COUNTIF($AW$5:AW413,1),"")</f>
        <v/>
      </c>
      <c r="AY413">
        <f>IF(AH!$M$5="Snapshot",IF(ISNUMBER(G413),G413,"unavailable"),IF(AND(ISNUMBER(K413),N(K413)&gt;0),K413,IF(AH!$M$5="Auto",IF(ISNUMBER(G413),G413,"unavailable"),"unavailable")))</f>
        <v/>
      </c>
      <c r="AZ413">
        <f>IF(AND(AH!$M$5&lt;&gt;"Snapshot",ISNUMBER(K413),N(K413)&gt;0),"Bloomberg",IF(AND(AH!$M$5&lt;&gt;"Bloomberg",ISNUMBER(G413)),"Snapshot","Unavailable"))</f>
        <v/>
      </c>
      <c r="BA413">
        <f>IF(AZ413="Bloomberg",M413,H413)</f>
        <v/>
      </c>
      <c r="BB413">
        <f>1</f>
        <v/>
      </c>
    </row>
    <row r="414">
      <c r="A414" s="31" t="inlineStr">
        <is>
          <t>2515</t>
        </is>
      </c>
      <c r="B414" s="15" t="inlineStr">
        <is>
          <t>TJCD</t>
        </is>
      </c>
      <c r="C414" s="15" t="inlineStr">
        <is>
          <t>Industrials</t>
        </is>
      </c>
      <c r="D414" s="15" t="inlineStr">
        <is>
          <t>Construction / engineering</t>
        </is>
      </c>
      <c r="E414" s="34" t="n">
        <v>45405</v>
      </c>
      <c r="F414" s="15" t="n">
        <v>2.5</v>
      </c>
      <c r="G414" s="15" t="n">
        <v>4.5</v>
      </c>
      <c r="H414" s="34" t="n">
        <v>46297</v>
      </c>
      <c r="I414" s="31" t="n"/>
      <c r="J414" s="15" t="n">
        <v>0</v>
      </c>
      <c r="K414" s="15">
        <f>IF(AND(AH!$M$5="Snapshot",'IPO Live'!$M$5="Snapshot"),"",IFERROR(BDP(TEXT(VALUE($A414),"0")&amp;" HK Equity","PX_LAST"),""))</f>
        <v/>
      </c>
      <c r="L414" s="15">
        <f>IF(AND(AH!$M$5="Snapshot",'IPO Live'!$M$5="Snapshot"),"",IFERROR(BDP(TEXT(VALUE($A414),"0")&amp;" HK Equity","CHG_PCT_1D")/100,""))</f>
        <v/>
      </c>
      <c r="M414" s="15">
        <f>IF(AND(AH!$M$5="Snapshot",'IPO Live'!$M$5="Snapshot"),"",IFERROR(BDP(TEXT(VALUE($A414),"0")&amp;" HK Equity","LAST_UPDATE_DT"),""))</f>
        <v/>
      </c>
      <c r="N414" s="15">
        <f>IF(AND(AH!$M$5="Snapshot",'IPO Live'!$M$5="Snapshot"),"",IFERROR(BDP(TEXT(VALUE($A414),"0")&amp;" HK Equity","LAST_UPDATE"),""))</f>
        <v/>
      </c>
      <c r="O414" s="15">
        <f>IF('IPO Live'!$M$5="Snapshot",IF(ISNUMBER(G414),G414,"unavailable"),IF(AND(ISNUMBER(K414),N(K414)&gt;0),K414,IF('IPO Live'!$M$5="Auto",IF(ISNUMBER(G414),G414,"unavailable"),"unavailable")))</f>
        <v/>
      </c>
      <c r="P414" s="15">
        <f>IF(AND('IPO Live'!$M$5&lt;&gt;"Snapshot",ISNUMBER(K414),N(K414)&gt;0),"Bloomberg",IF(AND('IPO Live'!$M$5&lt;&gt;"Bloomberg",ISNUMBER(G414)),"Snapshot","Unavailable"))</f>
        <v/>
      </c>
      <c r="Q414" s="33">
        <f>IF(AND(P414="Bloomberg",ISNUMBER(L414)),L414,"unavailable")</f>
        <v/>
      </c>
      <c r="R414" s="15">
        <f>IF(OR('IPO Live'!$B$5="All",'IPO Live'!$B$5=C414,AND('IPO Live'!$B$5="A/H only",J414&gt;0)),1,0)</f>
        <v/>
      </c>
      <c r="S414" s="15">
        <f>IF(R414=1,COUNTIF($R$5:R414,1),"")</f>
        <v/>
      </c>
      <c r="T414">
        <f>1</f>
        <v/>
      </c>
      <c r="U414">
        <f>IF($P414="Bloomberg",$M414,$H414)</f>
        <v/>
      </c>
      <c r="AW414">
        <f>IF(AND(J414&gt;0,OR(AH!$I$5="All",AH!$I$5="A/H only",AH!$I$5=C414)),1,0)</f>
        <v/>
      </c>
      <c r="AX414">
        <f>IF(AW414=1,COUNTIF($AW$5:AW414,1),"")</f>
        <v/>
      </c>
      <c r="AY414">
        <f>IF(AH!$M$5="Snapshot",IF(ISNUMBER(G414),G414,"unavailable"),IF(AND(ISNUMBER(K414),N(K414)&gt;0),K414,IF(AH!$M$5="Auto",IF(ISNUMBER(G414),G414,"unavailable"),"unavailable")))</f>
        <v/>
      </c>
      <c r="AZ414">
        <f>IF(AND(AH!$M$5&lt;&gt;"Snapshot",ISNUMBER(K414),N(K414)&gt;0),"Bloomberg",IF(AND(AH!$M$5&lt;&gt;"Bloomberg",ISNUMBER(G414)),"Snapshot","Unavailable"))</f>
        <v/>
      </c>
      <c r="BA414">
        <f>IF(AZ414="Bloomberg",M414,H414)</f>
        <v/>
      </c>
      <c r="BB414">
        <f>1</f>
        <v/>
      </c>
    </row>
    <row r="415">
      <c r="A415" s="31" t="inlineStr">
        <is>
          <t>2535</t>
        </is>
      </c>
      <c r="B415" s="15" t="inlineStr">
        <is>
          <t>WK GROUP</t>
        </is>
      </c>
      <c r="C415" s="15" t="inlineStr">
        <is>
          <t>Industrials</t>
        </is>
      </c>
      <c r="D415" s="15" t="inlineStr">
        <is>
          <t>Construction / engineering</t>
        </is>
      </c>
      <c r="E415" s="34" t="n">
        <v>45359</v>
      </c>
      <c r="F415" s="15" t="n">
        <v>0.25</v>
      </c>
      <c r="G415" s="15" t="n">
        <v>0.575</v>
      </c>
      <c r="H415" s="34" t="n">
        <v>46297</v>
      </c>
      <c r="I415" s="31" t="n"/>
      <c r="J415" s="15" t="n">
        <v>0</v>
      </c>
      <c r="K415" s="15">
        <f>IF(AND(AH!$M$5="Snapshot",'IPO Live'!$M$5="Snapshot"),"",IFERROR(BDP(TEXT(VALUE($A415),"0")&amp;" HK Equity","PX_LAST"),""))</f>
        <v/>
      </c>
      <c r="L415" s="15">
        <f>IF(AND(AH!$M$5="Snapshot",'IPO Live'!$M$5="Snapshot"),"",IFERROR(BDP(TEXT(VALUE($A415),"0")&amp;" HK Equity","CHG_PCT_1D")/100,""))</f>
        <v/>
      </c>
      <c r="M415" s="15">
        <f>IF(AND(AH!$M$5="Snapshot",'IPO Live'!$M$5="Snapshot"),"",IFERROR(BDP(TEXT(VALUE($A415),"0")&amp;" HK Equity","LAST_UPDATE_DT"),""))</f>
        <v/>
      </c>
      <c r="N415" s="15">
        <f>IF(AND(AH!$M$5="Snapshot",'IPO Live'!$M$5="Snapshot"),"",IFERROR(BDP(TEXT(VALUE($A415),"0")&amp;" HK Equity","LAST_UPDATE"),""))</f>
        <v/>
      </c>
      <c r="O415" s="15">
        <f>IF('IPO Live'!$M$5="Snapshot",IF(ISNUMBER(G415),G415,"unavailable"),IF(AND(ISNUMBER(K415),N(K415)&gt;0),K415,IF('IPO Live'!$M$5="Auto",IF(ISNUMBER(G415),G415,"unavailable"),"unavailable")))</f>
        <v/>
      </c>
      <c r="P415" s="15">
        <f>IF(AND('IPO Live'!$M$5&lt;&gt;"Snapshot",ISNUMBER(K415),N(K415)&gt;0),"Bloomberg",IF(AND('IPO Live'!$M$5&lt;&gt;"Bloomberg",ISNUMBER(G415)),"Snapshot","Unavailable"))</f>
        <v/>
      </c>
      <c r="Q415" s="33">
        <f>IF(AND(P415="Bloomberg",ISNUMBER(L415)),L415,"unavailable")</f>
        <v/>
      </c>
      <c r="R415" s="15">
        <f>IF(OR('IPO Live'!$B$5="All",'IPO Live'!$B$5=C415,AND('IPO Live'!$B$5="A/H only",J415&gt;0)),1,0)</f>
        <v/>
      </c>
      <c r="S415" s="15">
        <f>IF(R415=1,COUNTIF($R$5:R415,1),"")</f>
        <v/>
      </c>
      <c r="T415">
        <f>1</f>
        <v/>
      </c>
      <c r="U415">
        <f>IF($P415="Bloomberg",$M415,$H415)</f>
        <v/>
      </c>
      <c r="AW415">
        <f>IF(AND(J415&gt;0,OR(AH!$I$5="All",AH!$I$5="A/H only",AH!$I$5=C415)),1,0)</f>
        <v/>
      </c>
      <c r="AX415">
        <f>IF(AW415=1,COUNTIF($AW$5:AW415,1),"")</f>
        <v/>
      </c>
      <c r="AY415">
        <f>IF(AH!$M$5="Snapshot",IF(ISNUMBER(G415),G415,"unavailable"),IF(AND(ISNUMBER(K415),N(K415)&gt;0),K415,IF(AH!$M$5="Auto",IF(ISNUMBER(G415),G415,"unavailable"),"unavailable")))</f>
        <v/>
      </c>
      <c r="AZ415">
        <f>IF(AND(AH!$M$5&lt;&gt;"Snapshot",ISNUMBER(K415),N(K415)&gt;0),"Bloomberg",IF(AND(AH!$M$5&lt;&gt;"Bloomberg",ISNUMBER(G415)),"Snapshot","Unavailable"))</f>
        <v/>
      </c>
      <c r="BA415">
        <f>IF(AZ415="Bloomberg",M415,H415)</f>
        <v/>
      </c>
      <c r="BB415">
        <f>1</f>
        <v/>
      </c>
    </row>
    <row r="416">
      <c r="A416" s="31" t="inlineStr">
        <is>
          <t>2503</t>
        </is>
      </c>
      <c r="B416" s="15" t="inlineStr">
        <is>
          <t>ZHONGSHENJIANYE</t>
        </is>
      </c>
      <c r="C416" s="15" t="inlineStr">
        <is>
          <t>Industrials</t>
        </is>
      </c>
      <c r="D416" s="15" t="inlineStr">
        <is>
          <t>Construction / engineering</t>
        </is>
      </c>
      <c r="E416" s="34" t="n">
        <v>45300</v>
      </c>
      <c r="F416" s="15" t="n">
        <v>1</v>
      </c>
      <c r="G416" s="15" t="n">
        <v>0.265</v>
      </c>
      <c r="H416" s="34" t="n">
        <v>46297</v>
      </c>
      <c r="I416" s="31" t="n"/>
      <c r="J416" s="15" t="n">
        <v>0</v>
      </c>
      <c r="K416" s="15">
        <f>IF(AND(AH!$M$5="Snapshot",'IPO Live'!$M$5="Snapshot"),"",IFERROR(BDP(TEXT(VALUE($A416),"0")&amp;" HK Equity","PX_LAST"),""))</f>
        <v/>
      </c>
      <c r="L416" s="15">
        <f>IF(AND(AH!$M$5="Snapshot",'IPO Live'!$M$5="Snapshot"),"",IFERROR(BDP(TEXT(VALUE($A416),"0")&amp;" HK Equity","CHG_PCT_1D")/100,""))</f>
        <v/>
      </c>
      <c r="M416" s="15">
        <f>IF(AND(AH!$M$5="Snapshot",'IPO Live'!$M$5="Snapshot"),"",IFERROR(BDP(TEXT(VALUE($A416),"0")&amp;" HK Equity","LAST_UPDATE_DT"),""))</f>
        <v/>
      </c>
      <c r="N416" s="15">
        <f>IF(AND(AH!$M$5="Snapshot",'IPO Live'!$M$5="Snapshot"),"",IFERROR(BDP(TEXT(VALUE($A416),"0")&amp;" HK Equity","LAST_UPDATE"),""))</f>
        <v/>
      </c>
      <c r="O416" s="15">
        <f>IF('IPO Live'!$M$5="Snapshot",IF(ISNUMBER(G416),G416,"unavailable"),IF(AND(ISNUMBER(K416),N(K416)&gt;0),K416,IF('IPO Live'!$M$5="Auto",IF(ISNUMBER(G416),G416,"unavailable"),"unavailable")))</f>
        <v/>
      </c>
      <c r="P416" s="15">
        <f>IF(AND('IPO Live'!$M$5&lt;&gt;"Snapshot",ISNUMBER(K416),N(K416)&gt;0),"Bloomberg",IF(AND('IPO Live'!$M$5&lt;&gt;"Bloomberg",ISNUMBER(G416)),"Snapshot","Unavailable"))</f>
        <v/>
      </c>
      <c r="Q416" s="33">
        <f>IF(AND(P416="Bloomberg",ISNUMBER(L416)),L416,"unavailable")</f>
        <v/>
      </c>
      <c r="R416" s="15">
        <f>IF(OR('IPO Live'!$B$5="All",'IPO Live'!$B$5=C416,AND('IPO Live'!$B$5="A/H only",J416&gt;0)),1,0)</f>
        <v/>
      </c>
      <c r="S416" s="15">
        <f>IF(R416=1,COUNTIF($R$5:R416,1),"")</f>
        <v/>
      </c>
      <c r="T416">
        <f>1</f>
        <v/>
      </c>
      <c r="U416">
        <f>IF($P416="Bloomberg",$M416,$H416)</f>
        <v/>
      </c>
      <c r="AW416">
        <f>IF(AND(J416&gt;0,OR(AH!$I$5="All",AH!$I$5="A/H only",AH!$I$5=C416)),1,0)</f>
        <v/>
      </c>
      <c r="AX416">
        <f>IF(AW416=1,COUNTIF($AW$5:AW416,1),"")</f>
        <v/>
      </c>
      <c r="AY416">
        <f>IF(AH!$M$5="Snapshot",IF(ISNUMBER(G416),G416,"unavailable"),IF(AND(ISNUMBER(K416),N(K416)&gt;0),K416,IF(AH!$M$5="Auto",IF(ISNUMBER(G416),G416,"unavailable"),"unavailable")))</f>
        <v/>
      </c>
      <c r="AZ416">
        <f>IF(AND(AH!$M$5&lt;&gt;"Snapshot",ISNUMBER(K416),N(K416)&gt;0),"Bloomberg",IF(AND(AH!$M$5&lt;&gt;"Bloomberg",ISNUMBER(G416)),"Snapshot","Unavailable"))</f>
        <v/>
      </c>
      <c r="BA416">
        <f>IF(AZ416="Bloomberg",M416,H416)</f>
        <v/>
      </c>
      <c r="BB416">
        <f>1</f>
        <v/>
      </c>
    </row>
    <row r="417">
      <c r="A417" s="31" t="inlineStr">
        <is>
          <t>2516</t>
        </is>
      </c>
      <c r="B417" s="15" t="inlineStr">
        <is>
          <t>FAR INTL</t>
        </is>
      </c>
      <c r="C417" s="15" t="inlineStr">
        <is>
          <t>Industrials</t>
        </is>
      </c>
      <c r="D417" s="15" t="inlineStr">
        <is>
          <t>Logistics</t>
        </is>
      </c>
      <c r="E417" s="34" t="n">
        <v>45282</v>
      </c>
      <c r="F417" s="15" t="n">
        <v>0.9</v>
      </c>
      <c r="G417" s="15" t="n">
        <v>0.66</v>
      </c>
      <c r="H417" s="34" t="n">
        <v>46297</v>
      </c>
      <c r="I417" s="31" t="n"/>
      <c r="J417" s="15" t="n">
        <v>0</v>
      </c>
      <c r="K417" s="15">
        <f>IF(AND(AH!$M$5="Snapshot",'IPO Live'!$M$5="Snapshot"),"",IFERROR(BDP(TEXT(VALUE($A417),"0")&amp;" HK Equity","PX_LAST"),""))</f>
        <v/>
      </c>
      <c r="L417" s="15">
        <f>IF(AND(AH!$M$5="Snapshot",'IPO Live'!$M$5="Snapshot"),"",IFERROR(BDP(TEXT(VALUE($A417),"0")&amp;" HK Equity","CHG_PCT_1D")/100,""))</f>
        <v/>
      </c>
      <c r="M417" s="15">
        <f>IF(AND(AH!$M$5="Snapshot",'IPO Live'!$M$5="Snapshot"),"",IFERROR(BDP(TEXT(VALUE($A417),"0")&amp;" HK Equity","LAST_UPDATE_DT"),""))</f>
        <v/>
      </c>
      <c r="N417" s="15">
        <f>IF(AND(AH!$M$5="Snapshot",'IPO Live'!$M$5="Snapshot"),"",IFERROR(BDP(TEXT(VALUE($A417),"0")&amp;" HK Equity","LAST_UPDATE"),""))</f>
        <v/>
      </c>
      <c r="O417" s="15">
        <f>IF('IPO Live'!$M$5="Snapshot",IF(ISNUMBER(G417),G417,"unavailable"),IF(AND(ISNUMBER(K417),N(K417)&gt;0),K417,IF('IPO Live'!$M$5="Auto",IF(ISNUMBER(G417),G417,"unavailable"),"unavailable")))</f>
        <v/>
      </c>
      <c r="P417" s="15">
        <f>IF(AND('IPO Live'!$M$5&lt;&gt;"Snapshot",ISNUMBER(K417),N(K417)&gt;0),"Bloomberg",IF(AND('IPO Live'!$M$5&lt;&gt;"Bloomberg",ISNUMBER(G417)),"Snapshot","Unavailable"))</f>
        <v/>
      </c>
      <c r="Q417" s="33">
        <f>IF(AND(P417="Bloomberg",ISNUMBER(L417)),L417,"unavailable")</f>
        <v/>
      </c>
      <c r="R417" s="15">
        <f>IF(OR('IPO Live'!$B$5="All",'IPO Live'!$B$5=C417,AND('IPO Live'!$B$5="A/H only",J417&gt;0)),1,0)</f>
        <v/>
      </c>
      <c r="S417" s="15">
        <f>IF(R417=1,COUNTIF($R$5:R417,1),"")</f>
        <v/>
      </c>
      <c r="T417">
        <f>1</f>
        <v/>
      </c>
      <c r="U417">
        <f>IF($P417="Bloomberg",$M417,$H417)</f>
        <v/>
      </c>
      <c r="AW417">
        <f>IF(AND(J417&gt;0,OR(AH!$I$5="All",AH!$I$5="A/H only",AH!$I$5=C417)),1,0)</f>
        <v/>
      </c>
      <c r="AX417">
        <f>IF(AW417=1,COUNTIF($AW$5:AW417,1),"")</f>
        <v/>
      </c>
      <c r="AY417">
        <f>IF(AH!$M$5="Snapshot",IF(ISNUMBER(G417),G417,"unavailable"),IF(AND(ISNUMBER(K417),N(K417)&gt;0),K417,IF(AH!$M$5="Auto",IF(ISNUMBER(G417),G417,"unavailable"),"unavailable")))</f>
        <v/>
      </c>
      <c r="AZ417">
        <f>IF(AND(AH!$M$5&lt;&gt;"Snapshot",ISNUMBER(K417),N(K417)&gt;0),"Bloomberg",IF(AND(AH!$M$5&lt;&gt;"Bloomberg",ISNUMBER(G417)),"Snapshot","Unavailable"))</f>
        <v/>
      </c>
      <c r="BA417">
        <f>IF(AZ417="Bloomberg",M417,H417)</f>
        <v/>
      </c>
      <c r="BB417">
        <f>1</f>
        <v/>
      </c>
    </row>
    <row r="418">
      <c r="A418" s="31" t="inlineStr">
        <is>
          <t>0666</t>
        </is>
      </c>
      <c r="B418" s="15" t="inlineStr">
        <is>
          <t>REPT BATTERO</t>
        </is>
      </c>
      <c r="C418" s="15" t="inlineStr">
        <is>
          <t>Industrials</t>
        </is>
      </c>
      <c r="D418" s="15" t="inlineStr">
        <is>
          <t>Batteries / energy storage</t>
        </is>
      </c>
      <c r="E418" s="34" t="n">
        <v>45278</v>
      </c>
      <c r="F418" s="15" t="n">
        <v>18.3</v>
      </c>
      <c r="G418" s="15" t="n">
        <v>8.300000000000001</v>
      </c>
      <c r="H418" s="34" t="n">
        <v>46297</v>
      </c>
      <c r="I418" s="31" t="n"/>
      <c r="J418" s="15" t="n">
        <v>0</v>
      </c>
      <c r="K418" s="15">
        <f>IF(AND(AH!$M$5="Snapshot",'IPO Live'!$M$5="Snapshot"),"",IFERROR(BDP(TEXT(VALUE($A418),"0")&amp;" HK Equity","PX_LAST"),""))</f>
        <v/>
      </c>
      <c r="L418" s="15">
        <f>IF(AND(AH!$M$5="Snapshot",'IPO Live'!$M$5="Snapshot"),"",IFERROR(BDP(TEXT(VALUE($A418),"0")&amp;" HK Equity","CHG_PCT_1D")/100,""))</f>
        <v/>
      </c>
      <c r="M418" s="15">
        <f>IF(AND(AH!$M$5="Snapshot",'IPO Live'!$M$5="Snapshot"),"",IFERROR(BDP(TEXT(VALUE($A418),"0")&amp;" HK Equity","LAST_UPDATE_DT"),""))</f>
        <v/>
      </c>
      <c r="N418" s="15">
        <f>IF(AND(AH!$M$5="Snapshot",'IPO Live'!$M$5="Snapshot"),"",IFERROR(BDP(TEXT(VALUE($A418),"0")&amp;" HK Equity","LAST_UPDATE"),""))</f>
        <v/>
      </c>
      <c r="O418" s="15">
        <f>IF('IPO Live'!$M$5="Snapshot",IF(ISNUMBER(G418),G418,"unavailable"),IF(AND(ISNUMBER(K418),N(K418)&gt;0),K418,IF('IPO Live'!$M$5="Auto",IF(ISNUMBER(G418),G418,"unavailable"),"unavailable")))</f>
        <v/>
      </c>
      <c r="P418" s="15">
        <f>IF(AND('IPO Live'!$M$5&lt;&gt;"Snapshot",ISNUMBER(K418),N(K418)&gt;0),"Bloomberg",IF(AND('IPO Live'!$M$5&lt;&gt;"Bloomberg",ISNUMBER(G418)),"Snapshot","Unavailable"))</f>
        <v/>
      </c>
      <c r="Q418" s="33">
        <f>IF(AND(P418="Bloomberg",ISNUMBER(L418)),L418,"unavailable")</f>
        <v/>
      </c>
      <c r="R418" s="15">
        <f>IF(OR('IPO Live'!$B$5="All",'IPO Live'!$B$5=C418,AND('IPO Live'!$B$5="A/H only",J418&gt;0)),1,0)</f>
        <v/>
      </c>
      <c r="S418" s="15">
        <f>IF(R418=1,COUNTIF($R$5:R418,1),"")</f>
        <v/>
      </c>
      <c r="T418">
        <f>1</f>
        <v/>
      </c>
      <c r="U418">
        <f>IF($P418="Bloomberg",$M418,$H418)</f>
        <v/>
      </c>
      <c r="AW418">
        <f>IF(AND(J418&gt;0,OR(AH!$I$5="All",AH!$I$5="A/H only",AH!$I$5=C418)),1,0)</f>
        <v/>
      </c>
      <c r="AX418">
        <f>IF(AW418=1,COUNTIF($AW$5:AW418,1),"")</f>
        <v/>
      </c>
      <c r="AY418">
        <f>IF(AH!$M$5="Snapshot",IF(ISNUMBER(G418),G418,"unavailable"),IF(AND(ISNUMBER(K418),N(K418)&gt;0),K418,IF(AH!$M$5="Auto",IF(ISNUMBER(G418),G418,"unavailable"),"unavailable")))</f>
        <v/>
      </c>
      <c r="AZ418">
        <f>IF(AND(AH!$M$5&lt;&gt;"Snapshot",ISNUMBER(K418),N(K418)&gt;0),"Bloomberg",IF(AND(AH!$M$5&lt;&gt;"Bloomberg",ISNUMBER(G418)),"Snapshot","Unavailable"))</f>
        <v/>
      </c>
      <c r="BA418">
        <f>IF(AZ418="Bloomberg",M418,H418)</f>
        <v/>
      </c>
      <c r="BB418">
        <f>1</f>
        <v/>
      </c>
    </row>
    <row r="419">
      <c r="A419" s="31" t="inlineStr">
        <is>
          <t>9663</t>
        </is>
      </c>
      <c r="B419" s="15" t="inlineStr">
        <is>
          <t>SINOSYNERGY</t>
        </is>
      </c>
      <c r="C419" s="15" t="inlineStr">
        <is>
          <t>Industrials</t>
        </is>
      </c>
      <c r="D419" s="15" t="inlineStr">
        <is>
          <t>Batteries / energy storage</t>
        </is>
      </c>
      <c r="E419" s="34" t="n">
        <v>45265</v>
      </c>
      <c r="F419" s="15" t="n">
        <v>19.66</v>
      </c>
      <c r="G419" s="15" t="n">
        <v>2.325</v>
      </c>
      <c r="H419" s="34" t="n">
        <v>46297</v>
      </c>
      <c r="I419" s="31" t="n"/>
      <c r="J419" s="15" t="n">
        <v>0</v>
      </c>
      <c r="K419" s="15">
        <f>IF(AND(AH!$M$5="Snapshot",'IPO Live'!$M$5="Snapshot"),"",IFERROR(BDP(TEXT(VALUE($A419),"0")&amp;" HK Equity","PX_LAST"),""))</f>
        <v/>
      </c>
      <c r="L419" s="15">
        <f>IF(AND(AH!$M$5="Snapshot",'IPO Live'!$M$5="Snapshot"),"",IFERROR(BDP(TEXT(VALUE($A419),"0")&amp;" HK Equity","CHG_PCT_1D")/100,""))</f>
        <v/>
      </c>
      <c r="M419" s="15">
        <f>IF(AND(AH!$M$5="Snapshot",'IPO Live'!$M$5="Snapshot"),"",IFERROR(BDP(TEXT(VALUE($A419),"0")&amp;" HK Equity","LAST_UPDATE_DT"),""))</f>
        <v/>
      </c>
      <c r="N419" s="15">
        <f>IF(AND(AH!$M$5="Snapshot",'IPO Live'!$M$5="Snapshot"),"",IFERROR(BDP(TEXT(VALUE($A419),"0")&amp;" HK Equity","LAST_UPDATE"),""))</f>
        <v/>
      </c>
      <c r="O419" s="15">
        <f>IF('IPO Live'!$M$5="Snapshot",IF(ISNUMBER(G419),G419,"unavailable"),IF(AND(ISNUMBER(K419),N(K419)&gt;0),K419,IF('IPO Live'!$M$5="Auto",IF(ISNUMBER(G419),G419,"unavailable"),"unavailable")))</f>
        <v/>
      </c>
      <c r="P419" s="15">
        <f>IF(AND('IPO Live'!$M$5&lt;&gt;"Snapshot",ISNUMBER(K419),N(K419)&gt;0),"Bloomberg",IF(AND('IPO Live'!$M$5&lt;&gt;"Bloomberg",ISNUMBER(G419)),"Snapshot","Unavailable"))</f>
        <v/>
      </c>
      <c r="Q419" s="33">
        <f>IF(AND(P419="Bloomberg",ISNUMBER(L419)),L419,"unavailable")</f>
        <v/>
      </c>
      <c r="R419" s="15">
        <f>IF(OR('IPO Live'!$B$5="All",'IPO Live'!$B$5=C419,AND('IPO Live'!$B$5="A/H only",J419&gt;0)),1,0)</f>
        <v/>
      </c>
      <c r="S419" s="15">
        <f>IF(R419=1,COUNTIF($R$5:R419,1),"")</f>
        <v/>
      </c>
      <c r="T419">
        <f>1</f>
        <v/>
      </c>
      <c r="U419">
        <f>IF($P419="Bloomberg",$M419,$H419)</f>
        <v/>
      </c>
      <c r="AW419">
        <f>IF(AND(J419&gt;0,OR(AH!$I$5="All",AH!$I$5="A/H only",AH!$I$5=C419)),1,0)</f>
        <v/>
      </c>
      <c r="AX419">
        <f>IF(AW419=1,COUNTIF($AW$5:AW419,1),"")</f>
        <v/>
      </c>
      <c r="AY419">
        <f>IF(AH!$M$5="Snapshot",IF(ISNUMBER(G419),G419,"unavailable"),IF(AND(ISNUMBER(K419),N(K419)&gt;0),K419,IF(AH!$M$5="Auto",IF(ISNUMBER(G419),G419,"unavailable"),"unavailable")))</f>
        <v/>
      </c>
      <c r="AZ419">
        <f>IF(AND(AH!$M$5&lt;&gt;"Snapshot",ISNUMBER(K419),N(K419)&gt;0),"Bloomberg",IF(AND(AH!$M$5&lt;&gt;"Bloomberg",ISNUMBER(G419)),"Snapshot","Unavailable"))</f>
        <v/>
      </c>
      <c r="BA419">
        <f>IF(AZ419="Bloomberg",M419,H419)</f>
        <v/>
      </c>
      <c r="BB419">
        <f>1</f>
        <v/>
      </c>
    </row>
    <row r="420">
      <c r="A420" s="31" t="inlineStr">
        <is>
          <t>2520</t>
        </is>
      </c>
      <c r="B420" s="15" t="inlineStr">
        <is>
          <t>SHANXI INSTALL</t>
        </is>
      </c>
      <c r="C420" s="15" t="inlineStr">
        <is>
          <t>Industrials</t>
        </is>
      </c>
      <c r="D420" s="15" t="inlineStr">
        <is>
          <t>Construction / engineering</t>
        </is>
      </c>
      <c r="E420" s="34" t="n">
        <v>45252</v>
      </c>
      <c r="F420" s="15" t="n">
        <v>2.18</v>
      </c>
      <c r="G420" s="15" t="n">
        <v>2.41</v>
      </c>
      <c r="H420" s="34" t="n">
        <v>46297</v>
      </c>
      <c r="I420" s="31" t="n"/>
      <c r="J420" s="15" t="n">
        <v>0</v>
      </c>
      <c r="K420" s="15">
        <f>IF(AND(AH!$M$5="Snapshot",'IPO Live'!$M$5="Snapshot"),"",IFERROR(BDP(TEXT(VALUE($A420),"0")&amp;" HK Equity","PX_LAST"),""))</f>
        <v/>
      </c>
      <c r="L420" s="15">
        <f>IF(AND(AH!$M$5="Snapshot",'IPO Live'!$M$5="Snapshot"),"",IFERROR(BDP(TEXT(VALUE($A420),"0")&amp;" HK Equity","CHG_PCT_1D")/100,""))</f>
        <v/>
      </c>
      <c r="M420" s="15">
        <f>IF(AND(AH!$M$5="Snapshot",'IPO Live'!$M$5="Snapshot"),"",IFERROR(BDP(TEXT(VALUE($A420),"0")&amp;" HK Equity","LAST_UPDATE_DT"),""))</f>
        <v/>
      </c>
      <c r="N420" s="15">
        <f>IF(AND(AH!$M$5="Snapshot",'IPO Live'!$M$5="Snapshot"),"",IFERROR(BDP(TEXT(VALUE($A420),"0")&amp;" HK Equity","LAST_UPDATE"),""))</f>
        <v/>
      </c>
      <c r="O420" s="15">
        <f>IF('IPO Live'!$M$5="Snapshot",IF(ISNUMBER(G420),G420,"unavailable"),IF(AND(ISNUMBER(K420),N(K420)&gt;0),K420,IF('IPO Live'!$M$5="Auto",IF(ISNUMBER(G420),G420,"unavailable"),"unavailable")))</f>
        <v/>
      </c>
      <c r="P420" s="15">
        <f>IF(AND('IPO Live'!$M$5&lt;&gt;"Snapshot",ISNUMBER(K420),N(K420)&gt;0),"Bloomberg",IF(AND('IPO Live'!$M$5&lt;&gt;"Bloomberg",ISNUMBER(G420)),"Snapshot","Unavailable"))</f>
        <v/>
      </c>
      <c r="Q420" s="33">
        <f>IF(AND(P420="Bloomberg",ISNUMBER(L420)),L420,"unavailable")</f>
        <v/>
      </c>
      <c r="R420" s="15">
        <f>IF(OR('IPO Live'!$B$5="All",'IPO Live'!$B$5=C420,AND('IPO Live'!$B$5="A/H only",J420&gt;0)),1,0)</f>
        <v/>
      </c>
      <c r="S420" s="15">
        <f>IF(R420=1,COUNTIF($R$5:R420,1),"")</f>
        <v/>
      </c>
      <c r="T420">
        <f>1</f>
        <v/>
      </c>
      <c r="U420">
        <f>IF($P420="Bloomberg",$M420,$H420)</f>
        <v/>
      </c>
      <c r="AW420">
        <f>IF(AND(J420&gt;0,OR(AH!$I$5="All",AH!$I$5="A/H only",AH!$I$5=C420)),1,0)</f>
        <v/>
      </c>
      <c r="AX420">
        <f>IF(AW420=1,COUNTIF($AW$5:AW420,1),"")</f>
        <v/>
      </c>
      <c r="AY420">
        <f>IF(AH!$M$5="Snapshot",IF(ISNUMBER(G420),G420,"unavailable"),IF(AND(ISNUMBER(K420),N(K420)&gt;0),K420,IF(AH!$M$5="Auto",IF(ISNUMBER(G420),G420,"unavailable"),"unavailable")))</f>
        <v/>
      </c>
      <c r="AZ420">
        <f>IF(AND(AH!$M$5&lt;&gt;"Snapshot",ISNUMBER(K420),N(K420)&gt;0),"Bloomberg",IF(AND(AH!$M$5&lt;&gt;"Bloomberg",ISNUMBER(G420)),"Snapshot","Unavailable"))</f>
        <v/>
      </c>
      <c r="BA420">
        <f>IF(AZ420="Bloomberg",M420,H420)</f>
        <v/>
      </c>
      <c r="BB420">
        <f>1</f>
        <v/>
      </c>
    </row>
    <row r="421">
      <c r="A421" s="31" t="inlineStr">
        <is>
          <t>1111</t>
        </is>
      </c>
      <c r="B421" s="15" t="inlineStr">
        <is>
          <t>HUASHI GROUP</t>
        </is>
      </c>
      <c r="C421" s="15" t="inlineStr">
        <is>
          <t>Industrials</t>
        </is>
      </c>
      <c r="D421" s="15" t="inlineStr">
        <is>
          <t>Construction / engineering</t>
        </is>
      </c>
      <c r="E421" s="34" t="n">
        <v>45240</v>
      </c>
      <c r="F421" s="15" t="n">
        <v>1.04</v>
      </c>
      <c r="G421" s="15" t="n">
        <v>0.25</v>
      </c>
      <c r="H421" s="34" t="n">
        <v>46297</v>
      </c>
      <c r="I421" s="31" t="n"/>
      <c r="J421" s="15" t="n">
        <v>0</v>
      </c>
      <c r="K421" s="15">
        <f>IF(AND(AH!$M$5="Snapshot",'IPO Live'!$M$5="Snapshot"),"",IFERROR(BDP(TEXT(VALUE($A421),"0")&amp;" HK Equity","PX_LAST"),""))</f>
        <v/>
      </c>
      <c r="L421" s="15">
        <f>IF(AND(AH!$M$5="Snapshot",'IPO Live'!$M$5="Snapshot"),"",IFERROR(BDP(TEXT(VALUE($A421),"0")&amp;" HK Equity","CHG_PCT_1D")/100,""))</f>
        <v/>
      </c>
      <c r="M421" s="15">
        <f>IF(AND(AH!$M$5="Snapshot",'IPO Live'!$M$5="Snapshot"),"",IFERROR(BDP(TEXT(VALUE($A421),"0")&amp;" HK Equity","LAST_UPDATE_DT"),""))</f>
        <v/>
      </c>
      <c r="N421" s="15">
        <f>IF(AND(AH!$M$5="Snapshot",'IPO Live'!$M$5="Snapshot"),"",IFERROR(BDP(TEXT(VALUE($A421),"0")&amp;" HK Equity","LAST_UPDATE"),""))</f>
        <v/>
      </c>
      <c r="O421" s="15">
        <f>IF('IPO Live'!$M$5="Snapshot",IF(ISNUMBER(G421),G421,"unavailable"),IF(AND(ISNUMBER(K421),N(K421)&gt;0),K421,IF('IPO Live'!$M$5="Auto",IF(ISNUMBER(G421),G421,"unavailable"),"unavailable")))</f>
        <v/>
      </c>
      <c r="P421" s="15">
        <f>IF(AND('IPO Live'!$M$5&lt;&gt;"Snapshot",ISNUMBER(K421),N(K421)&gt;0),"Bloomberg",IF(AND('IPO Live'!$M$5&lt;&gt;"Bloomberg",ISNUMBER(G421)),"Snapshot","Unavailable"))</f>
        <v/>
      </c>
      <c r="Q421" s="33">
        <f>IF(AND(P421="Bloomberg",ISNUMBER(L421)),L421,"unavailable")</f>
        <v/>
      </c>
      <c r="R421" s="15">
        <f>IF(OR('IPO Live'!$B$5="All",'IPO Live'!$B$5=C421,AND('IPO Live'!$B$5="A/H only",J421&gt;0)),1,0)</f>
        <v/>
      </c>
      <c r="S421" s="15">
        <f>IF(R421=1,COUNTIF($R$5:R421,1),"")</f>
        <v/>
      </c>
      <c r="T421">
        <f>1</f>
        <v/>
      </c>
      <c r="U421">
        <f>IF($P421="Bloomberg",$M421,$H421)</f>
        <v/>
      </c>
      <c r="AW421">
        <f>IF(AND(J421&gt;0,OR(AH!$I$5="All",AH!$I$5="A/H only",AH!$I$5=C421)),1,0)</f>
        <v/>
      </c>
      <c r="AX421">
        <f>IF(AW421=1,COUNTIF($AW$5:AW421,1),"")</f>
        <v/>
      </c>
      <c r="AY421">
        <f>IF(AH!$M$5="Snapshot",IF(ISNUMBER(G421),G421,"unavailable"),IF(AND(ISNUMBER(K421),N(K421)&gt;0),K421,IF(AH!$M$5="Auto",IF(ISNUMBER(G421),G421,"unavailable"),"unavailable")))</f>
        <v/>
      </c>
      <c r="AZ421">
        <f>IF(AND(AH!$M$5&lt;&gt;"Snapshot",ISNUMBER(K421),N(K421)&gt;0),"Bloomberg",IF(AND(AH!$M$5&lt;&gt;"Bloomberg",ISNUMBER(G421)),"Snapshot","Unavailable"))</f>
        <v/>
      </c>
      <c r="BA421">
        <f>IF(AZ421="Bloomberg",M421,H421)</f>
        <v/>
      </c>
      <c r="BB421">
        <f>1</f>
        <v/>
      </c>
    </row>
    <row r="422">
      <c r="A422" s="31" t="inlineStr">
        <is>
          <t>2499</t>
        </is>
      </c>
      <c r="B422" s="15" t="inlineStr">
        <is>
          <t>FOLANGSI</t>
        </is>
      </c>
      <c r="C422" s="15" t="inlineStr">
        <is>
          <t>Industrials</t>
        </is>
      </c>
      <c r="D422" s="15" t="inlineStr">
        <is>
          <t>Capital goods / machinery</t>
        </is>
      </c>
      <c r="E422" s="34" t="n">
        <v>45240</v>
      </c>
      <c r="F422" s="15" t="n">
        <v>14.28</v>
      </c>
      <c r="G422" s="15" t="n">
        <v>5.56</v>
      </c>
      <c r="H422" s="34" t="n">
        <v>46297</v>
      </c>
      <c r="I422" s="31" t="n"/>
      <c r="J422" s="15" t="n">
        <v>0</v>
      </c>
      <c r="K422" s="15">
        <f>IF(AND(AH!$M$5="Snapshot",'IPO Live'!$M$5="Snapshot"),"",IFERROR(BDP(TEXT(VALUE($A422),"0")&amp;" HK Equity","PX_LAST"),""))</f>
        <v/>
      </c>
      <c r="L422" s="15">
        <f>IF(AND(AH!$M$5="Snapshot",'IPO Live'!$M$5="Snapshot"),"",IFERROR(BDP(TEXT(VALUE($A422),"0")&amp;" HK Equity","CHG_PCT_1D")/100,""))</f>
        <v/>
      </c>
      <c r="M422" s="15">
        <f>IF(AND(AH!$M$5="Snapshot",'IPO Live'!$M$5="Snapshot"),"",IFERROR(BDP(TEXT(VALUE($A422),"0")&amp;" HK Equity","LAST_UPDATE_DT"),""))</f>
        <v/>
      </c>
      <c r="N422" s="15">
        <f>IF(AND(AH!$M$5="Snapshot",'IPO Live'!$M$5="Snapshot"),"",IFERROR(BDP(TEXT(VALUE($A422),"0")&amp;" HK Equity","LAST_UPDATE"),""))</f>
        <v/>
      </c>
      <c r="O422" s="15">
        <f>IF('IPO Live'!$M$5="Snapshot",IF(ISNUMBER(G422),G422,"unavailable"),IF(AND(ISNUMBER(K422),N(K422)&gt;0),K422,IF('IPO Live'!$M$5="Auto",IF(ISNUMBER(G422),G422,"unavailable"),"unavailable")))</f>
        <v/>
      </c>
      <c r="P422" s="15">
        <f>IF(AND('IPO Live'!$M$5&lt;&gt;"Snapshot",ISNUMBER(K422),N(K422)&gt;0),"Bloomberg",IF(AND('IPO Live'!$M$5&lt;&gt;"Bloomberg",ISNUMBER(G422)),"Snapshot","Unavailable"))</f>
        <v/>
      </c>
      <c r="Q422" s="33">
        <f>IF(AND(P422="Bloomberg",ISNUMBER(L422)),L422,"unavailable")</f>
        <v/>
      </c>
      <c r="R422" s="15">
        <f>IF(OR('IPO Live'!$B$5="All",'IPO Live'!$B$5=C422,AND('IPO Live'!$B$5="A/H only",J422&gt;0)),1,0)</f>
        <v/>
      </c>
      <c r="S422" s="15">
        <f>IF(R422=1,COUNTIF($R$5:R422,1),"")</f>
        <v/>
      </c>
      <c r="T422">
        <f>1</f>
        <v/>
      </c>
      <c r="U422">
        <f>IF($P422="Bloomberg",$M422,$H422)</f>
        <v/>
      </c>
      <c r="AW422">
        <f>IF(AND(J422&gt;0,OR(AH!$I$5="All",AH!$I$5="A/H only",AH!$I$5=C422)),1,0)</f>
        <v/>
      </c>
      <c r="AX422">
        <f>IF(AW422=1,COUNTIF($AW$5:AW422,1),"")</f>
        <v/>
      </c>
      <c r="AY422">
        <f>IF(AH!$M$5="Snapshot",IF(ISNUMBER(G422),G422,"unavailable"),IF(AND(ISNUMBER(K422),N(K422)&gt;0),K422,IF(AH!$M$5="Auto",IF(ISNUMBER(G422),G422,"unavailable"),"unavailable")))</f>
        <v/>
      </c>
      <c r="AZ422">
        <f>IF(AND(AH!$M$5&lt;&gt;"Snapshot",ISNUMBER(K422),N(K422)&gt;0),"Bloomberg",IF(AND(AH!$M$5&lt;&gt;"Bloomberg",ISNUMBER(G422)),"Snapshot","Unavailable"))</f>
        <v/>
      </c>
      <c r="BA422">
        <f>IF(AZ422="Bloomberg",M422,H422)</f>
        <v/>
      </c>
      <c r="BB422">
        <f>1</f>
        <v/>
      </c>
    </row>
    <row r="423">
      <c r="A423" s="31" t="inlineStr">
        <is>
          <t>1519</t>
        </is>
      </c>
      <c r="B423" s="15" t="inlineStr">
        <is>
          <t>J&amp;T EXPRESS-W</t>
        </is>
      </c>
      <c r="C423" s="15" t="inlineStr">
        <is>
          <t>Industrials</t>
        </is>
      </c>
      <c r="D423" s="15" t="inlineStr">
        <is>
          <t>Logistics</t>
        </is>
      </c>
      <c r="E423" s="34" t="n">
        <v>45226</v>
      </c>
      <c r="F423" s="15" t="n">
        <v>12</v>
      </c>
      <c r="G423" s="15" t="n">
        <v>8.460000000000001</v>
      </c>
      <c r="H423" s="34" t="n">
        <v>46297</v>
      </c>
      <c r="I423" s="31" t="n"/>
      <c r="J423" s="15" t="n">
        <v>0</v>
      </c>
      <c r="K423" s="15">
        <f>IF(AND(AH!$M$5="Snapshot",'IPO Live'!$M$5="Snapshot"),"",IFERROR(BDP(TEXT(VALUE($A423),"0")&amp;" HK Equity","PX_LAST"),""))</f>
        <v/>
      </c>
      <c r="L423" s="15">
        <f>IF(AND(AH!$M$5="Snapshot",'IPO Live'!$M$5="Snapshot"),"",IFERROR(BDP(TEXT(VALUE($A423),"0")&amp;" HK Equity","CHG_PCT_1D")/100,""))</f>
        <v/>
      </c>
      <c r="M423" s="15">
        <f>IF(AND(AH!$M$5="Snapshot",'IPO Live'!$M$5="Snapshot"),"",IFERROR(BDP(TEXT(VALUE($A423),"0")&amp;" HK Equity","LAST_UPDATE_DT"),""))</f>
        <v/>
      </c>
      <c r="N423" s="15">
        <f>IF(AND(AH!$M$5="Snapshot",'IPO Live'!$M$5="Snapshot"),"",IFERROR(BDP(TEXT(VALUE($A423),"0")&amp;" HK Equity","LAST_UPDATE"),""))</f>
        <v/>
      </c>
      <c r="O423" s="15">
        <f>IF('IPO Live'!$M$5="Snapshot",IF(ISNUMBER(G423),G423,"unavailable"),IF(AND(ISNUMBER(K423),N(K423)&gt;0),K423,IF('IPO Live'!$M$5="Auto",IF(ISNUMBER(G423),G423,"unavailable"),"unavailable")))</f>
        <v/>
      </c>
      <c r="P423" s="15">
        <f>IF(AND('IPO Live'!$M$5&lt;&gt;"Snapshot",ISNUMBER(K423),N(K423)&gt;0),"Bloomberg",IF(AND('IPO Live'!$M$5&lt;&gt;"Bloomberg",ISNUMBER(G423)),"Snapshot","Unavailable"))</f>
        <v/>
      </c>
      <c r="Q423" s="33">
        <f>IF(AND(P423="Bloomberg",ISNUMBER(L423)),L423,"unavailable")</f>
        <v/>
      </c>
      <c r="R423" s="15">
        <f>IF(OR('IPO Live'!$B$5="All",'IPO Live'!$B$5=C423,AND('IPO Live'!$B$5="A/H only",J423&gt;0)),1,0)</f>
        <v/>
      </c>
      <c r="S423" s="15">
        <f>IF(R423=1,COUNTIF($R$5:R423,1),"")</f>
        <v/>
      </c>
      <c r="T423">
        <f>1</f>
        <v/>
      </c>
      <c r="U423">
        <f>IF($P423="Bloomberg",$M423,$H423)</f>
        <v/>
      </c>
      <c r="AW423">
        <f>IF(AND(J423&gt;0,OR(AH!$I$5="All",AH!$I$5="A/H only",AH!$I$5=C423)),1,0)</f>
        <v/>
      </c>
      <c r="AX423">
        <f>IF(AW423=1,COUNTIF($AW$5:AW423,1),"")</f>
        <v/>
      </c>
      <c r="AY423">
        <f>IF(AH!$M$5="Snapshot",IF(ISNUMBER(G423),G423,"unavailable"),IF(AND(ISNUMBER(K423),N(K423)&gt;0),K423,IF(AH!$M$5="Auto",IF(ISNUMBER(G423),G423,"unavailable"),"unavailable")))</f>
        <v/>
      </c>
      <c r="AZ423">
        <f>IF(AND(AH!$M$5&lt;&gt;"Snapshot",ISNUMBER(K423),N(K423)&gt;0),"Bloomberg",IF(AND(AH!$M$5&lt;&gt;"Bloomberg",ISNUMBER(G423)),"Snapshot","Unavailable"))</f>
        <v/>
      </c>
      <c r="BA423">
        <f>IF(AZ423="Bloomberg",M423,H423)</f>
        <v/>
      </c>
      <c r="BB423">
        <f>1</f>
        <v/>
      </c>
    </row>
    <row r="424">
      <c r="A424" s="31" t="inlineStr">
        <is>
          <t>2490</t>
        </is>
      </c>
      <c r="B424" s="15" t="inlineStr">
        <is>
          <t>LC LOGISTICS</t>
        </is>
      </c>
      <c r="C424" s="15" t="inlineStr">
        <is>
          <t>Industrials</t>
        </is>
      </c>
      <c r="D424" s="15" t="inlineStr">
        <is>
          <t>Logistics</t>
        </is>
      </c>
      <c r="E424" s="34" t="n">
        <v>45194</v>
      </c>
      <c r="F424" s="15" t="n">
        <v>5.13</v>
      </c>
      <c r="G424" s="15" t="n">
        <v>8.51</v>
      </c>
      <c r="H424" s="34" t="n">
        <v>46297</v>
      </c>
      <c r="I424" s="31" t="n"/>
      <c r="J424" s="15" t="n">
        <v>0</v>
      </c>
      <c r="K424" s="15">
        <f>IF(AND(AH!$M$5="Snapshot",'IPO Live'!$M$5="Snapshot"),"",IFERROR(BDP(TEXT(VALUE($A424),"0")&amp;" HK Equity","PX_LAST"),""))</f>
        <v/>
      </c>
      <c r="L424" s="15">
        <f>IF(AND(AH!$M$5="Snapshot",'IPO Live'!$M$5="Snapshot"),"",IFERROR(BDP(TEXT(VALUE($A424),"0")&amp;" HK Equity","CHG_PCT_1D")/100,""))</f>
        <v/>
      </c>
      <c r="M424" s="15">
        <f>IF(AND(AH!$M$5="Snapshot",'IPO Live'!$M$5="Snapshot"),"",IFERROR(BDP(TEXT(VALUE($A424),"0")&amp;" HK Equity","LAST_UPDATE_DT"),""))</f>
        <v/>
      </c>
      <c r="N424" s="15">
        <f>IF(AND(AH!$M$5="Snapshot",'IPO Live'!$M$5="Snapshot"),"",IFERROR(BDP(TEXT(VALUE($A424),"0")&amp;" HK Equity","LAST_UPDATE"),""))</f>
        <v/>
      </c>
      <c r="O424" s="15">
        <f>IF('IPO Live'!$M$5="Snapshot",IF(ISNUMBER(G424),G424,"unavailable"),IF(AND(ISNUMBER(K424),N(K424)&gt;0),K424,IF('IPO Live'!$M$5="Auto",IF(ISNUMBER(G424),G424,"unavailable"),"unavailable")))</f>
        <v/>
      </c>
      <c r="P424" s="15">
        <f>IF(AND('IPO Live'!$M$5&lt;&gt;"Snapshot",ISNUMBER(K424),N(K424)&gt;0),"Bloomberg",IF(AND('IPO Live'!$M$5&lt;&gt;"Bloomberg",ISNUMBER(G424)),"Snapshot","Unavailable"))</f>
        <v/>
      </c>
      <c r="Q424" s="33">
        <f>IF(AND(P424="Bloomberg",ISNUMBER(L424)),L424,"unavailable")</f>
        <v/>
      </c>
      <c r="R424" s="15">
        <f>IF(OR('IPO Live'!$B$5="All",'IPO Live'!$B$5=C424,AND('IPO Live'!$B$5="A/H only",J424&gt;0)),1,0)</f>
        <v/>
      </c>
      <c r="S424" s="15">
        <f>IF(R424=1,COUNTIF($R$5:R424,1),"")</f>
        <v/>
      </c>
      <c r="T424">
        <f>IF(ISNUMBER($U424),IF($U424&gt;=DATEVALUE("2025-07-28"),2.0,1),"unavailable")</f>
        <v/>
      </c>
      <c r="U424">
        <f>IF($P424="Bloomberg",$M424,$H424)</f>
        <v/>
      </c>
      <c r="AW424">
        <f>IF(AND(J424&gt;0,OR(AH!$I$5="All",AH!$I$5="A/H only",AH!$I$5=C424)),1,0)</f>
        <v/>
      </c>
      <c r="AX424">
        <f>IF(AW424=1,COUNTIF($AW$5:AW424,1),"")</f>
        <v/>
      </c>
      <c r="AY424">
        <f>IF(AH!$M$5="Snapshot",IF(ISNUMBER(G424),G424,"unavailable"),IF(AND(ISNUMBER(K424),N(K424)&gt;0),K424,IF(AH!$M$5="Auto",IF(ISNUMBER(G424),G424,"unavailable"),"unavailable")))</f>
        <v/>
      </c>
      <c r="AZ424">
        <f>IF(AND(AH!$M$5&lt;&gt;"Snapshot",ISNUMBER(K424),N(K424)&gt;0),"Bloomberg",IF(AND(AH!$M$5&lt;&gt;"Bloomberg",ISNUMBER(G424)),"Snapshot","Unavailable"))</f>
        <v/>
      </c>
      <c r="BA424">
        <f>IF(AZ424="Bloomberg",M424,H424)</f>
        <v/>
      </c>
      <c r="BB424">
        <f>IF(ISNUMBER($BA424),IF($BA424&gt;=DATEVALUE("2025-07-28"),2.0,1),"unavailable")</f>
        <v/>
      </c>
    </row>
    <row r="425">
      <c r="A425" s="31" t="inlineStr">
        <is>
          <t>9930</t>
        </is>
      </c>
      <c r="B425" s="15" t="inlineStr">
        <is>
          <t>HORIZON CD</t>
        </is>
      </c>
      <c r="C425" s="15" t="inlineStr">
        <is>
          <t>Industrials</t>
        </is>
      </c>
      <c r="D425" s="15" t="inlineStr">
        <is>
          <t>Capital goods / machinery</t>
        </is>
      </c>
      <c r="E425" s="34" t="n">
        <v>45071</v>
      </c>
      <c r="F425" s="15" t="n">
        <v>4.52</v>
      </c>
      <c r="G425" s="15" t="n">
        <v>0.665</v>
      </c>
      <c r="H425" s="34" t="n">
        <v>46297</v>
      </c>
      <c r="I425" s="31" t="n"/>
      <c r="J425" s="15" t="n">
        <v>0</v>
      </c>
      <c r="K425" s="15">
        <f>IF(AND(AH!$M$5="Snapshot",'IPO Live'!$M$5="Snapshot"),"",IFERROR(BDP(TEXT(VALUE($A425),"0")&amp;" HK Equity","PX_LAST"),""))</f>
        <v/>
      </c>
      <c r="L425" s="15">
        <f>IF(AND(AH!$M$5="Snapshot",'IPO Live'!$M$5="Snapshot"),"",IFERROR(BDP(TEXT(VALUE($A425),"0")&amp;" HK Equity","CHG_PCT_1D")/100,""))</f>
        <v/>
      </c>
      <c r="M425" s="15">
        <f>IF(AND(AH!$M$5="Snapshot",'IPO Live'!$M$5="Snapshot"),"",IFERROR(BDP(TEXT(VALUE($A425),"0")&amp;" HK Equity","LAST_UPDATE_DT"),""))</f>
        <v/>
      </c>
      <c r="N425" s="15">
        <f>IF(AND(AH!$M$5="Snapshot",'IPO Live'!$M$5="Snapshot"),"",IFERROR(BDP(TEXT(VALUE($A425),"0")&amp;" HK Equity","LAST_UPDATE"),""))</f>
        <v/>
      </c>
      <c r="O425" s="15">
        <f>IF('IPO Live'!$M$5="Snapshot",IF(ISNUMBER(G425),G425,"unavailable"),IF(AND(ISNUMBER(K425),N(K425)&gt;0),K425,IF('IPO Live'!$M$5="Auto",IF(ISNUMBER(G425),G425,"unavailable"),"unavailable")))</f>
        <v/>
      </c>
      <c r="P425" s="15">
        <f>IF(AND('IPO Live'!$M$5&lt;&gt;"Snapshot",ISNUMBER(K425),N(K425)&gt;0),"Bloomberg",IF(AND('IPO Live'!$M$5&lt;&gt;"Bloomberg",ISNUMBER(G425)),"Snapshot","Unavailable"))</f>
        <v/>
      </c>
      <c r="Q425" s="33">
        <f>IF(AND(P425="Bloomberg",ISNUMBER(L425)),L425,"unavailable")</f>
        <v/>
      </c>
      <c r="R425" s="15">
        <f>IF(OR('IPO Live'!$B$5="All",'IPO Live'!$B$5=C425,AND('IPO Live'!$B$5="A/H only",J425&gt;0)),1,0)</f>
        <v/>
      </c>
      <c r="S425" s="15">
        <f>IF(R425=1,COUNTIF($R$5:R425,1),"")</f>
        <v/>
      </c>
      <c r="T425">
        <f>1</f>
        <v/>
      </c>
      <c r="U425">
        <f>IF($P425="Bloomberg",$M425,$H425)</f>
        <v/>
      </c>
      <c r="AW425">
        <f>IF(AND(J425&gt;0,OR(AH!$I$5="All",AH!$I$5="A/H only",AH!$I$5=C425)),1,0)</f>
        <v/>
      </c>
      <c r="AX425">
        <f>IF(AW425=1,COUNTIF($AW$5:AW425,1),"")</f>
        <v/>
      </c>
      <c r="AY425">
        <f>IF(AH!$M$5="Snapshot",IF(ISNUMBER(G425),G425,"unavailable"),IF(AND(ISNUMBER(K425),N(K425)&gt;0),K425,IF(AH!$M$5="Auto",IF(ISNUMBER(G425),G425,"unavailable"),"unavailable")))</f>
        <v/>
      </c>
      <c r="AZ425">
        <f>IF(AND(AH!$M$5&lt;&gt;"Snapshot",ISNUMBER(K425),N(K425)&gt;0),"Bloomberg",IF(AND(AH!$M$5&lt;&gt;"Bloomberg",ISNUMBER(G425)),"Snapshot","Unavailable"))</f>
        <v/>
      </c>
      <c r="BA425">
        <f>IF(AZ425="Bloomberg",M425,H425)</f>
        <v/>
      </c>
      <c r="BB425">
        <f>1</f>
        <v/>
      </c>
    </row>
    <row r="426">
      <c r="A426" s="31" t="inlineStr">
        <is>
          <t>2442</t>
        </is>
      </c>
      <c r="B426" s="15" t="inlineStr">
        <is>
          <t>EASY SMART GP</t>
        </is>
      </c>
      <c r="C426" s="15" t="inlineStr">
        <is>
          <t>Industrials</t>
        </is>
      </c>
      <c r="D426" s="15" t="inlineStr">
        <is>
          <t>Construction / engineering</t>
        </is>
      </c>
      <c r="E426" s="34" t="n">
        <v>45055</v>
      </c>
      <c r="F426" s="15" t="n">
        <v>1.28</v>
      </c>
      <c r="G426" s="15" t="n">
        <v>54</v>
      </c>
      <c r="H426" s="34" t="n">
        <v>46297</v>
      </c>
      <c r="I426" s="31" t="n"/>
      <c r="J426" s="15" t="n">
        <v>0</v>
      </c>
      <c r="K426" s="15">
        <f>IF(AND(AH!$M$5="Snapshot",'IPO Live'!$M$5="Snapshot"),"",IFERROR(BDP(TEXT(VALUE($A426),"0")&amp;" HK Equity","PX_LAST"),""))</f>
        <v/>
      </c>
      <c r="L426" s="15">
        <f>IF(AND(AH!$M$5="Snapshot",'IPO Live'!$M$5="Snapshot"),"",IFERROR(BDP(TEXT(VALUE($A426),"0")&amp;" HK Equity","CHG_PCT_1D")/100,""))</f>
        <v/>
      </c>
      <c r="M426" s="15">
        <f>IF(AND(AH!$M$5="Snapshot",'IPO Live'!$M$5="Snapshot"),"",IFERROR(BDP(TEXT(VALUE($A426),"0")&amp;" HK Equity","LAST_UPDATE_DT"),""))</f>
        <v/>
      </c>
      <c r="N426" s="15">
        <f>IF(AND(AH!$M$5="Snapshot",'IPO Live'!$M$5="Snapshot"),"",IFERROR(BDP(TEXT(VALUE($A426),"0")&amp;" HK Equity","LAST_UPDATE"),""))</f>
        <v/>
      </c>
      <c r="O426" s="15">
        <f>IF('IPO Live'!$M$5="Snapshot",IF(ISNUMBER(G426),G426,"unavailable"),IF(AND(ISNUMBER(K426),N(K426)&gt;0),K426,IF('IPO Live'!$M$5="Auto",IF(ISNUMBER(G426),G426,"unavailable"),"unavailable")))</f>
        <v/>
      </c>
      <c r="P426" s="15">
        <f>IF(AND('IPO Live'!$M$5&lt;&gt;"Snapshot",ISNUMBER(K426),N(K426)&gt;0),"Bloomberg",IF(AND('IPO Live'!$M$5&lt;&gt;"Bloomberg",ISNUMBER(G426)),"Snapshot","Unavailable"))</f>
        <v/>
      </c>
      <c r="Q426" s="33">
        <f>IF(AND(P426="Bloomberg",ISNUMBER(L426)),L426,"unavailable")</f>
        <v/>
      </c>
      <c r="R426" s="15">
        <f>IF(OR('IPO Live'!$B$5="All",'IPO Live'!$B$5=C426,AND('IPO Live'!$B$5="A/H only",J426&gt;0)),1,0)</f>
        <v/>
      </c>
      <c r="S426" s="15">
        <f>IF(R426=1,COUNTIF($R$5:R426,1),"")</f>
        <v/>
      </c>
      <c r="T426">
        <f>1</f>
        <v/>
      </c>
      <c r="U426">
        <f>IF($P426="Bloomberg",$M426,$H426)</f>
        <v/>
      </c>
      <c r="AW426">
        <f>IF(AND(J426&gt;0,OR(AH!$I$5="All",AH!$I$5="A/H only",AH!$I$5=C426)),1,0)</f>
        <v/>
      </c>
      <c r="AX426">
        <f>IF(AW426=1,COUNTIF($AW$5:AW426,1),"")</f>
        <v/>
      </c>
      <c r="AY426">
        <f>IF(AH!$M$5="Snapshot",IF(ISNUMBER(G426),G426,"unavailable"),IF(AND(ISNUMBER(K426),N(K426)&gt;0),K426,IF(AH!$M$5="Auto",IF(ISNUMBER(G426),G426,"unavailable"),"unavailable")))</f>
        <v/>
      </c>
      <c r="AZ426">
        <f>IF(AND(AH!$M$5&lt;&gt;"Snapshot",ISNUMBER(K426),N(K426)&gt;0),"Bloomberg",IF(AND(AH!$M$5&lt;&gt;"Bloomberg",ISNUMBER(G426)),"Snapshot","Unavailable"))</f>
        <v/>
      </c>
      <c r="BA426">
        <f>IF(AZ426="Bloomberg",M426,H426)</f>
        <v/>
      </c>
      <c r="BB426">
        <f>1</f>
        <v/>
      </c>
    </row>
    <row r="427">
      <c r="A427" s="31" t="inlineStr">
        <is>
          <t>2433</t>
        </is>
      </c>
      <c r="B427" s="15" t="inlineStr">
        <is>
          <t>ZT HN GROUP</t>
        </is>
      </c>
      <c r="C427" s="15" t="inlineStr">
        <is>
          <t>Industrials</t>
        </is>
      </c>
      <c r="D427" s="15" t="inlineStr">
        <is>
          <t>Construction / engineering</t>
        </is>
      </c>
      <c r="E427" s="34" t="n">
        <v>45015</v>
      </c>
      <c r="F427" s="15" t="n">
        <v>1.18</v>
      </c>
      <c r="G427" s="15" t="n">
        <v>0.067</v>
      </c>
      <c r="H427" s="34" t="n">
        <v>46297</v>
      </c>
      <c r="I427" s="31" t="n"/>
      <c r="J427" s="15" t="n">
        <v>0</v>
      </c>
      <c r="K427" s="15">
        <f>IF(AND(AH!$M$5="Snapshot",'IPO Live'!$M$5="Snapshot"),"",IFERROR(BDP(TEXT(VALUE($A427),"0")&amp;" HK Equity","PX_LAST"),""))</f>
        <v/>
      </c>
      <c r="L427" s="15">
        <f>IF(AND(AH!$M$5="Snapshot",'IPO Live'!$M$5="Snapshot"),"",IFERROR(BDP(TEXT(VALUE($A427),"0")&amp;" HK Equity","CHG_PCT_1D")/100,""))</f>
        <v/>
      </c>
      <c r="M427" s="15">
        <f>IF(AND(AH!$M$5="Snapshot",'IPO Live'!$M$5="Snapshot"),"",IFERROR(BDP(TEXT(VALUE($A427),"0")&amp;" HK Equity","LAST_UPDATE_DT"),""))</f>
        <v/>
      </c>
      <c r="N427" s="15">
        <f>IF(AND(AH!$M$5="Snapshot",'IPO Live'!$M$5="Snapshot"),"",IFERROR(BDP(TEXT(VALUE($A427),"0")&amp;" HK Equity","LAST_UPDATE"),""))</f>
        <v/>
      </c>
      <c r="O427" s="15">
        <f>IF('IPO Live'!$M$5="Snapshot",IF(ISNUMBER(G427),G427,"unavailable"),IF(AND(ISNUMBER(K427),N(K427)&gt;0),K427,IF('IPO Live'!$M$5="Auto",IF(ISNUMBER(G427),G427,"unavailable"),"unavailable")))</f>
        <v/>
      </c>
      <c r="P427" s="15">
        <f>IF(AND('IPO Live'!$M$5&lt;&gt;"Snapshot",ISNUMBER(K427),N(K427)&gt;0),"Bloomberg",IF(AND('IPO Live'!$M$5&lt;&gt;"Bloomberg",ISNUMBER(G427)),"Snapshot","Unavailable"))</f>
        <v/>
      </c>
      <c r="Q427" s="33">
        <f>IF(AND(P427="Bloomberg",ISNUMBER(L427)),L427,"unavailable")</f>
        <v/>
      </c>
      <c r="R427" s="15">
        <f>IF(OR('IPO Live'!$B$5="All",'IPO Live'!$B$5=C427,AND('IPO Live'!$B$5="A/H only",J427&gt;0)),1,0)</f>
        <v/>
      </c>
      <c r="S427" s="15">
        <f>IF(R427=1,COUNTIF($R$5:R427,1),"")</f>
        <v/>
      </c>
      <c r="T427">
        <f>1</f>
        <v/>
      </c>
      <c r="U427">
        <f>IF($P427="Bloomberg",$M427,$H427)</f>
        <v/>
      </c>
      <c r="AW427">
        <f>IF(AND(J427&gt;0,OR(AH!$I$5="All",AH!$I$5="A/H only",AH!$I$5=C427)),1,0)</f>
        <v/>
      </c>
      <c r="AX427">
        <f>IF(AW427=1,COUNTIF($AW$5:AW427,1),"")</f>
        <v/>
      </c>
      <c r="AY427">
        <f>IF(AH!$M$5="Snapshot",IF(ISNUMBER(G427),G427,"unavailable"),IF(AND(ISNUMBER(K427),N(K427)&gt;0),K427,IF(AH!$M$5="Auto",IF(ISNUMBER(G427),G427,"unavailable"),"unavailable")))</f>
        <v/>
      </c>
      <c r="AZ427">
        <f>IF(AND(AH!$M$5&lt;&gt;"Snapshot",ISNUMBER(K427),N(K427)&gt;0),"Bloomberg",IF(AND(AH!$M$5&lt;&gt;"Bloomberg",ISNUMBER(G427)),"Snapshot","Unavailable"))</f>
        <v/>
      </c>
      <c r="BA427">
        <f>IF(AZ427="Bloomberg",M427,H427)</f>
        <v/>
      </c>
      <c r="BB427">
        <f>1</f>
        <v/>
      </c>
    </row>
    <row r="428">
      <c r="A428" s="31" t="inlineStr">
        <is>
          <t>2409</t>
        </is>
      </c>
      <c r="B428" s="15" t="inlineStr">
        <is>
          <t>SEACON</t>
        </is>
      </c>
      <c r="C428" s="15" t="inlineStr">
        <is>
          <t>Industrials</t>
        </is>
      </c>
      <c r="D428" s="15" t="inlineStr">
        <is>
          <t>Logistics</t>
        </is>
      </c>
      <c r="E428" s="34" t="n">
        <v>45014</v>
      </c>
      <c r="F428" s="15" t="n">
        <v>3.27</v>
      </c>
      <c r="G428" s="15" t="n">
        <v>5.12</v>
      </c>
      <c r="H428" s="34" t="n">
        <v>46297</v>
      </c>
      <c r="I428" s="31" t="n"/>
      <c r="J428" s="15" t="n">
        <v>0</v>
      </c>
      <c r="K428" s="15">
        <f>IF(AND(AH!$M$5="Snapshot",'IPO Live'!$M$5="Snapshot"),"",IFERROR(BDP(TEXT(VALUE($A428),"0")&amp;" HK Equity","PX_LAST"),""))</f>
        <v/>
      </c>
      <c r="L428" s="15">
        <f>IF(AND(AH!$M$5="Snapshot",'IPO Live'!$M$5="Snapshot"),"",IFERROR(BDP(TEXT(VALUE($A428),"0")&amp;" HK Equity","CHG_PCT_1D")/100,""))</f>
        <v/>
      </c>
      <c r="M428" s="15">
        <f>IF(AND(AH!$M$5="Snapshot",'IPO Live'!$M$5="Snapshot"),"",IFERROR(BDP(TEXT(VALUE($A428),"0")&amp;" HK Equity","LAST_UPDATE_DT"),""))</f>
        <v/>
      </c>
      <c r="N428" s="15">
        <f>IF(AND(AH!$M$5="Snapshot",'IPO Live'!$M$5="Snapshot"),"",IFERROR(BDP(TEXT(VALUE($A428),"0")&amp;" HK Equity","LAST_UPDATE"),""))</f>
        <v/>
      </c>
      <c r="O428" s="15">
        <f>IF('IPO Live'!$M$5="Snapshot",IF(ISNUMBER(G428),G428,"unavailable"),IF(AND(ISNUMBER(K428),N(K428)&gt;0),K428,IF('IPO Live'!$M$5="Auto",IF(ISNUMBER(G428),G428,"unavailable"),"unavailable")))</f>
        <v/>
      </c>
      <c r="P428" s="15">
        <f>IF(AND('IPO Live'!$M$5&lt;&gt;"Snapshot",ISNUMBER(K428),N(K428)&gt;0),"Bloomberg",IF(AND('IPO Live'!$M$5&lt;&gt;"Bloomberg",ISNUMBER(G428)),"Snapshot","Unavailable"))</f>
        <v/>
      </c>
      <c r="Q428" s="33">
        <f>IF(AND(P428="Bloomberg",ISNUMBER(L428)),L428,"unavailable")</f>
        <v/>
      </c>
      <c r="R428" s="15">
        <f>IF(OR('IPO Live'!$B$5="All",'IPO Live'!$B$5=C428,AND('IPO Live'!$B$5="A/H only",J428&gt;0)),1,0)</f>
        <v/>
      </c>
      <c r="S428" s="15">
        <f>IF(R428=1,COUNTIF($R$5:R428,1),"")</f>
        <v/>
      </c>
      <c r="T428">
        <f>1</f>
        <v/>
      </c>
      <c r="U428">
        <f>IF($P428="Bloomberg",$M428,$H428)</f>
        <v/>
      </c>
      <c r="AW428">
        <f>IF(AND(J428&gt;0,OR(AH!$I$5="All",AH!$I$5="A/H only",AH!$I$5=C428)),1,0)</f>
        <v/>
      </c>
      <c r="AX428">
        <f>IF(AW428=1,COUNTIF($AW$5:AW428,1),"")</f>
        <v/>
      </c>
      <c r="AY428">
        <f>IF(AH!$M$5="Snapshot",IF(ISNUMBER(G428),G428,"unavailable"),IF(AND(ISNUMBER(K428),N(K428)&gt;0),K428,IF(AH!$M$5="Auto",IF(ISNUMBER(G428),G428,"unavailable"),"unavailable")))</f>
        <v/>
      </c>
      <c r="AZ428">
        <f>IF(AND(AH!$M$5&lt;&gt;"Snapshot",ISNUMBER(K428),N(K428)&gt;0),"Bloomberg",IF(AND(AH!$M$5&lt;&gt;"Bloomberg",ISNUMBER(G428)),"Snapshot","Unavailable"))</f>
        <v/>
      </c>
      <c r="BA428">
        <f>IF(AZ428="Bloomberg",M428,H428)</f>
        <v/>
      </c>
      <c r="BB428">
        <f>1</f>
        <v/>
      </c>
    </row>
    <row r="429">
      <c r="A429" s="31" t="inlineStr">
        <is>
          <t>2482</t>
        </is>
      </c>
      <c r="B429" s="15" t="inlineStr">
        <is>
          <t>LOGORY</t>
        </is>
      </c>
      <c r="C429" s="15" t="inlineStr">
        <is>
          <t>Industrials</t>
        </is>
      </c>
      <c r="D429" s="15" t="inlineStr">
        <is>
          <t>Logistics</t>
        </is>
      </c>
      <c r="E429" s="34" t="n">
        <v>44994</v>
      </c>
      <c r="F429" s="15" t="n">
        <v>2.9</v>
      </c>
      <c r="G429" s="15" t="n">
        <v>0.27</v>
      </c>
      <c r="H429" s="34" t="n">
        <v>46297</v>
      </c>
      <c r="I429" s="31" t="n"/>
      <c r="J429" s="15" t="n">
        <v>0</v>
      </c>
      <c r="K429" s="15">
        <f>IF(AND(AH!$M$5="Snapshot",'IPO Live'!$M$5="Snapshot"),"",IFERROR(BDP(TEXT(VALUE($A429),"0")&amp;" HK Equity","PX_LAST"),""))</f>
        <v/>
      </c>
      <c r="L429" s="15">
        <f>IF(AND(AH!$M$5="Snapshot",'IPO Live'!$M$5="Snapshot"),"",IFERROR(BDP(TEXT(VALUE($A429),"0")&amp;" HK Equity","CHG_PCT_1D")/100,""))</f>
        <v/>
      </c>
      <c r="M429" s="15">
        <f>IF(AND(AH!$M$5="Snapshot",'IPO Live'!$M$5="Snapshot"),"",IFERROR(BDP(TEXT(VALUE($A429),"0")&amp;" HK Equity","LAST_UPDATE_DT"),""))</f>
        <v/>
      </c>
      <c r="N429" s="15">
        <f>IF(AND(AH!$M$5="Snapshot",'IPO Live'!$M$5="Snapshot"),"",IFERROR(BDP(TEXT(VALUE($A429),"0")&amp;" HK Equity","LAST_UPDATE"),""))</f>
        <v/>
      </c>
      <c r="O429" s="15">
        <f>IF('IPO Live'!$M$5="Snapshot",IF(ISNUMBER(G429),G429,"unavailable"),IF(AND(ISNUMBER(K429),N(K429)&gt;0),K429,IF('IPO Live'!$M$5="Auto",IF(ISNUMBER(G429),G429,"unavailable"),"unavailable")))</f>
        <v/>
      </c>
      <c r="P429" s="15">
        <f>IF(AND('IPO Live'!$M$5&lt;&gt;"Snapshot",ISNUMBER(K429),N(K429)&gt;0),"Bloomberg",IF(AND('IPO Live'!$M$5&lt;&gt;"Bloomberg",ISNUMBER(G429)),"Snapshot","Unavailable"))</f>
        <v/>
      </c>
      <c r="Q429" s="33">
        <f>IF(AND(P429="Bloomberg",ISNUMBER(L429)),L429,"unavailable")</f>
        <v/>
      </c>
      <c r="R429" s="15">
        <f>IF(OR('IPO Live'!$B$5="All",'IPO Live'!$B$5=C429,AND('IPO Live'!$B$5="A/H only",J429&gt;0)),1,0)</f>
        <v/>
      </c>
      <c r="S429" s="15">
        <f>IF(R429=1,COUNTIF($R$5:R429,1),"")</f>
        <v/>
      </c>
      <c r="T429">
        <f>1</f>
        <v/>
      </c>
      <c r="U429">
        <f>IF($P429="Bloomberg",$M429,$H429)</f>
        <v/>
      </c>
      <c r="AW429">
        <f>IF(AND(J429&gt;0,OR(AH!$I$5="All",AH!$I$5="A/H only",AH!$I$5=C429)),1,0)</f>
        <v/>
      </c>
      <c r="AX429">
        <f>IF(AW429=1,COUNTIF($AW$5:AW429,1),"")</f>
        <v/>
      </c>
      <c r="AY429">
        <f>IF(AH!$M$5="Snapshot",IF(ISNUMBER(G429),G429,"unavailable"),IF(AND(ISNUMBER(K429),N(K429)&gt;0),K429,IF(AH!$M$5="Auto",IF(ISNUMBER(G429),G429,"unavailable"),"unavailable")))</f>
        <v/>
      </c>
      <c r="AZ429">
        <f>IF(AND(AH!$M$5&lt;&gt;"Snapshot",ISNUMBER(K429),N(K429)&gt;0),"Bloomberg",IF(AND(AH!$M$5&lt;&gt;"Bloomberg",ISNUMBER(G429)),"Snapshot","Unavailable"))</f>
        <v/>
      </c>
      <c r="BA429">
        <f>IF(AZ429="Bloomberg",M429,H429)</f>
        <v/>
      </c>
      <c r="BB429">
        <f>1</f>
        <v/>
      </c>
    </row>
    <row r="430">
      <c r="A430" s="31" t="inlineStr">
        <is>
          <t>2402</t>
        </is>
      </c>
      <c r="B430" s="15" t="inlineStr">
        <is>
          <t>SINOHYTEC</t>
        </is>
      </c>
      <c r="C430" s="15" t="inlineStr">
        <is>
          <t>Industrials</t>
        </is>
      </c>
      <c r="D430" s="15" t="inlineStr">
        <is>
          <t>Batteries / energy storage</t>
        </is>
      </c>
      <c r="E430" s="34" t="n">
        <v>44938</v>
      </c>
      <c r="F430" s="15" t="n">
        <v>60</v>
      </c>
      <c r="G430" s="15" t="n">
        <v>19.5902</v>
      </c>
      <c r="H430" s="34" t="n">
        <v>46297</v>
      </c>
      <c r="I430" s="31" t="inlineStr">
        <is>
          <t>688339.SS</t>
        </is>
      </c>
      <c r="J430" s="15" t="n">
        <v>11</v>
      </c>
      <c r="K430" s="15">
        <f>IF(AND(AH!$M$5="Snapshot",'IPO Live'!$M$5="Snapshot"),"",IFERROR(BDP(TEXT(VALUE($A430),"0")&amp;" HK Equity","PX_LAST"),""))</f>
        <v/>
      </c>
      <c r="L430" s="15">
        <f>IF(AND(AH!$M$5="Snapshot",'IPO Live'!$M$5="Snapshot"),"",IFERROR(BDP(TEXT(VALUE($A430),"0")&amp;" HK Equity","CHG_PCT_1D")/100,""))</f>
        <v/>
      </c>
      <c r="M430" s="15">
        <f>IF(AND(AH!$M$5="Snapshot",'IPO Live'!$M$5="Snapshot"),"",IFERROR(BDP(TEXT(VALUE($A430),"0")&amp;" HK Equity","LAST_UPDATE_DT"),""))</f>
        <v/>
      </c>
      <c r="N430" s="15">
        <f>IF(AND(AH!$M$5="Snapshot",'IPO Live'!$M$5="Snapshot"),"",IFERROR(BDP(TEXT(VALUE($A430),"0")&amp;" HK Equity","LAST_UPDATE"),""))</f>
        <v/>
      </c>
      <c r="O430" s="15">
        <f>IF('IPO Live'!$M$5="Snapshot",IF(ISNUMBER(G430),G430,"unavailable"),IF(AND(ISNUMBER(K430),N(K430)&gt;0),K430,IF('IPO Live'!$M$5="Auto",IF(ISNUMBER(G430),G430,"unavailable"),"unavailable")))</f>
        <v/>
      </c>
      <c r="P430" s="15">
        <f>IF(AND('IPO Live'!$M$5&lt;&gt;"Snapshot",ISNUMBER(K430),N(K430)&gt;0),"Bloomberg",IF(AND('IPO Live'!$M$5&lt;&gt;"Bloomberg",ISNUMBER(G430)),"Snapshot","Unavailable"))</f>
        <v/>
      </c>
      <c r="Q430" s="33">
        <f>IF(AND(P430="Bloomberg",ISNUMBER(L430)),L430,"unavailable")</f>
        <v/>
      </c>
      <c r="R430" s="15">
        <f>IF(OR('IPO Live'!$B$5="All",'IPO Live'!$B$5=C430,AND('IPO Live'!$B$5="A/H only",J430&gt;0)),1,0)</f>
        <v/>
      </c>
      <c r="S430" s="15">
        <f>IF(R430=1,COUNTIF($R$5:R430,1),"")</f>
        <v/>
      </c>
      <c r="T430">
        <f>IF(ISNUMBER($U430),IF($U430&gt;=DATEVALUE("2023-06-21"),1.4,1)*IF($U430&gt;=DATEVALUE("2024-07-04"),1.4,1),"unavailable")</f>
        <v/>
      </c>
      <c r="U430">
        <f>IF($P430="Bloomberg",$M430,$H430)</f>
        <v/>
      </c>
      <c r="AW430">
        <f>IF(AND(J430&gt;0,OR(AH!$I$5="All",AH!$I$5="A/H only",AH!$I$5=C430)),1,0)</f>
        <v/>
      </c>
      <c r="AX430">
        <f>IF(AW430=1,COUNTIF($AW$5:AW430,1),"")</f>
        <v/>
      </c>
      <c r="AY430">
        <f>IF(AH!$M$5="Snapshot",IF(ISNUMBER(G430),G430,"unavailable"),IF(AND(ISNUMBER(K430),N(K430)&gt;0),K430,IF(AH!$M$5="Auto",IF(ISNUMBER(G430),G430,"unavailable"),"unavailable")))</f>
        <v/>
      </c>
      <c r="AZ430">
        <f>IF(AND(AH!$M$5&lt;&gt;"Snapshot",ISNUMBER(K430),N(K430)&gt;0),"Bloomberg",IF(AND(AH!$M$5&lt;&gt;"Bloomberg",ISNUMBER(G430)),"Snapshot","Unavailable"))</f>
        <v/>
      </c>
      <c r="BA430">
        <f>IF(AZ430="Bloomberg",M430,H430)</f>
        <v/>
      </c>
      <c r="BB430">
        <f>IF(ISNUMBER($BA430),IF($BA430&gt;=DATEVALUE("2023-06-21"),1.4,1)*IF($BA430&gt;=DATEVALUE("2024-07-04"),1.4,1),"unavailable")</f>
        <v/>
      </c>
    </row>
    <row r="431">
      <c r="A431" s="31" t="inlineStr">
        <is>
          <t>1489</t>
        </is>
      </c>
      <c r="B431" s="15" t="inlineStr">
        <is>
          <t>GC CONSTRUCTION</t>
        </is>
      </c>
      <c r="C431" s="15" t="inlineStr">
        <is>
          <t>Industrials</t>
        </is>
      </c>
      <c r="D431" s="15" t="inlineStr">
        <is>
          <t>Construction / engineering</t>
        </is>
      </c>
      <c r="E431" s="34" t="n">
        <v>44844</v>
      </c>
      <c r="F431" s="15" t="n">
        <v>0.5</v>
      </c>
      <c r="G431" s="15" t="n">
        <v>3.8</v>
      </c>
      <c r="H431" s="34" t="n">
        <v>46297</v>
      </c>
      <c r="I431" s="31" t="n"/>
      <c r="J431" s="15" t="n">
        <v>0</v>
      </c>
      <c r="K431" s="15">
        <f>IF(AND(AH!$M$5="Snapshot",'IPO Live'!$M$5="Snapshot"),"",IFERROR(BDP(TEXT(VALUE($A431),"0")&amp;" HK Equity","PX_LAST"),""))</f>
        <v/>
      </c>
      <c r="L431" s="15">
        <f>IF(AND(AH!$M$5="Snapshot",'IPO Live'!$M$5="Snapshot"),"",IFERROR(BDP(TEXT(VALUE($A431),"0")&amp;" HK Equity","CHG_PCT_1D")/100,""))</f>
        <v/>
      </c>
      <c r="M431" s="15">
        <f>IF(AND(AH!$M$5="Snapshot",'IPO Live'!$M$5="Snapshot"),"",IFERROR(BDP(TEXT(VALUE($A431),"0")&amp;" HK Equity","LAST_UPDATE_DT"),""))</f>
        <v/>
      </c>
      <c r="N431" s="15">
        <f>IF(AND(AH!$M$5="Snapshot",'IPO Live'!$M$5="Snapshot"),"",IFERROR(BDP(TEXT(VALUE($A431),"0")&amp;" HK Equity","LAST_UPDATE"),""))</f>
        <v/>
      </c>
      <c r="O431" s="15">
        <f>IF('IPO Live'!$M$5="Snapshot",IF(ISNUMBER(G431),G431,"unavailable"),IF(AND(ISNUMBER(K431),N(K431)&gt;0),K431,IF('IPO Live'!$M$5="Auto",IF(ISNUMBER(G431),G431,"unavailable"),"unavailable")))</f>
        <v/>
      </c>
      <c r="P431" s="15">
        <f>IF(AND('IPO Live'!$M$5&lt;&gt;"Snapshot",ISNUMBER(K431),N(K431)&gt;0),"Bloomberg",IF(AND('IPO Live'!$M$5&lt;&gt;"Bloomberg",ISNUMBER(G431)),"Snapshot","Unavailable"))</f>
        <v/>
      </c>
      <c r="Q431" s="33">
        <f>IF(AND(P431="Bloomberg",ISNUMBER(L431)),L431,"unavailable")</f>
        <v/>
      </c>
      <c r="R431" s="15">
        <f>IF(OR('IPO Live'!$B$5="All",'IPO Live'!$B$5=C431,AND('IPO Live'!$B$5="A/H only",J431&gt;0)),1,0)</f>
        <v/>
      </c>
      <c r="S431" s="15">
        <f>IF(R431=1,COUNTIF($R$5:R431,1),"")</f>
        <v/>
      </c>
      <c r="T431">
        <f>1</f>
        <v/>
      </c>
      <c r="U431">
        <f>IF($P431="Bloomberg",$M431,$H431)</f>
        <v/>
      </c>
      <c r="AW431">
        <f>IF(AND(J431&gt;0,OR(AH!$I$5="All",AH!$I$5="A/H only",AH!$I$5=C431)),1,0)</f>
        <v/>
      </c>
      <c r="AX431">
        <f>IF(AW431=1,COUNTIF($AW$5:AW431,1),"")</f>
        <v/>
      </c>
      <c r="AY431">
        <f>IF(AH!$M$5="Snapshot",IF(ISNUMBER(G431),G431,"unavailable"),IF(AND(ISNUMBER(K431),N(K431)&gt;0),K431,IF(AH!$M$5="Auto",IF(ISNUMBER(G431),G431,"unavailable"),"unavailable")))</f>
        <v/>
      </c>
      <c r="AZ431">
        <f>IF(AND(AH!$M$5&lt;&gt;"Snapshot",ISNUMBER(K431),N(K431)&gt;0),"Bloomberg",IF(AND(AH!$M$5&lt;&gt;"Bloomberg",ISNUMBER(G431)),"Snapshot","Unavailable"))</f>
        <v/>
      </c>
      <c r="BA431">
        <f>IF(AZ431="Bloomberg",M431,H431)</f>
        <v/>
      </c>
      <c r="BB431">
        <f>1</f>
        <v/>
      </c>
    </row>
    <row r="432">
      <c r="A432" s="31" t="inlineStr">
        <is>
          <t>3931</t>
        </is>
      </c>
      <c r="B432" s="15" t="inlineStr">
        <is>
          <t>CALB</t>
        </is>
      </c>
      <c r="C432" s="15" t="inlineStr">
        <is>
          <t>Industrials</t>
        </is>
      </c>
      <c r="D432" s="15" t="inlineStr">
        <is>
          <t>Batteries / energy storage</t>
        </is>
      </c>
      <c r="E432" s="34" t="n">
        <v>44840</v>
      </c>
      <c r="F432" s="15" t="n">
        <v>38</v>
      </c>
      <c r="G432" s="15" t="n">
        <v>16.1</v>
      </c>
      <c r="H432" s="34" t="n">
        <v>46297</v>
      </c>
      <c r="I432" s="31" t="n"/>
      <c r="J432" s="15" t="n">
        <v>0</v>
      </c>
      <c r="K432" s="15">
        <f>IF(AND(AH!$M$5="Snapshot",'IPO Live'!$M$5="Snapshot"),"",IFERROR(BDP(TEXT(VALUE($A432),"0")&amp;" HK Equity","PX_LAST"),""))</f>
        <v/>
      </c>
      <c r="L432" s="15">
        <f>IF(AND(AH!$M$5="Snapshot",'IPO Live'!$M$5="Snapshot"),"",IFERROR(BDP(TEXT(VALUE($A432),"0")&amp;" HK Equity","CHG_PCT_1D")/100,""))</f>
        <v/>
      </c>
      <c r="M432" s="15">
        <f>IF(AND(AH!$M$5="Snapshot",'IPO Live'!$M$5="Snapshot"),"",IFERROR(BDP(TEXT(VALUE($A432),"0")&amp;" HK Equity","LAST_UPDATE_DT"),""))</f>
        <v/>
      </c>
      <c r="N432" s="15">
        <f>IF(AND(AH!$M$5="Snapshot",'IPO Live'!$M$5="Snapshot"),"",IFERROR(BDP(TEXT(VALUE($A432),"0")&amp;" HK Equity","LAST_UPDATE"),""))</f>
        <v/>
      </c>
      <c r="O432" s="15">
        <f>IF('IPO Live'!$M$5="Snapshot",IF(ISNUMBER(G432),G432,"unavailable"),IF(AND(ISNUMBER(K432),N(K432)&gt;0),K432,IF('IPO Live'!$M$5="Auto",IF(ISNUMBER(G432),G432,"unavailable"),"unavailable")))</f>
        <v/>
      </c>
      <c r="P432" s="15">
        <f>IF(AND('IPO Live'!$M$5&lt;&gt;"Snapshot",ISNUMBER(K432),N(K432)&gt;0),"Bloomberg",IF(AND('IPO Live'!$M$5&lt;&gt;"Bloomberg",ISNUMBER(G432)),"Snapshot","Unavailable"))</f>
        <v/>
      </c>
      <c r="Q432" s="33">
        <f>IF(AND(P432="Bloomberg",ISNUMBER(L432)),L432,"unavailable")</f>
        <v/>
      </c>
      <c r="R432" s="15">
        <f>IF(OR('IPO Live'!$B$5="All",'IPO Live'!$B$5=C432,AND('IPO Live'!$B$5="A/H only",J432&gt;0)),1,0)</f>
        <v/>
      </c>
      <c r="S432" s="15">
        <f>IF(R432=1,COUNTIF($R$5:R432,1),"")</f>
        <v/>
      </c>
      <c r="T432">
        <f>1</f>
        <v/>
      </c>
      <c r="U432">
        <f>IF($P432="Bloomberg",$M432,$H432)</f>
        <v/>
      </c>
      <c r="AW432">
        <f>IF(AND(J432&gt;0,OR(AH!$I$5="All",AH!$I$5="A/H only",AH!$I$5=C432)),1,0)</f>
        <v/>
      </c>
      <c r="AX432">
        <f>IF(AW432=1,COUNTIF($AW$5:AW432,1),"")</f>
        <v/>
      </c>
      <c r="AY432">
        <f>IF(AH!$M$5="Snapshot",IF(ISNUMBER(G432),G432,"unavailable"),IF(AND(ISNUMBER(K432),N(K432)&gt;0),K432,IF(AH!$M$5="Auto",IF(ISNUMBER(G432),G432,"unavailable"),"unavailable")))</f>
        <v/>
      </c>
      <c r="AZ432">
        <f>IF(AND(AH!$M$5&lt;&gt;"Snapshot",ISNUMBER(K432),N(K432)&gt;0),"Bloomberg",IF(AND(AH!$M$5&lt;&gt;"Bloomberg",ISNUMBER(G432)),"Snapshot","Unavailable"))</f>
        <v/>
      </c>
      <c r="BA432">
        <f>IF(AZ432="Bloomberg",M432,H432)</f>
        <v/>
      </c>
      <c r="BB432">
        <f>1</f>
        <v/>
      </c>
    </row>
    <row r="433">
      <c r="A433" s="31" t="inlineStr">
        <is>
          <t>2350</t>
        </is>
      </c>
      <c r="B433" s="15" t="inlineStr">
        <is>
          <t>MTT GROUP</t>
        </is>
      </c>
      <c r="C433" s="15" t="inlineStr">
        <is>
          <t>Industrials</t>
        </is>
      </c>
      <c r="D433" s="15" t="inlineStr">
        <is>
          <t>Construction / engineering</t>
        </is>
      </c>
      <c r="E433" s="34" t="n">
        <v>44830</v>
      </c>
      <c r="F433" s="15" t="n">
        <v>0.85</v>
      </c>
      <c r="G433" s="15" t="n">
        <v>0.71</v>
      </c>
      <c r="H433" s="34" t="n">
        <v>46297</v>
      </c>
      <c r="I433" s="31" t="n"/>
      <c r="J433" s="15" t="n">
        <v>0</v>
      </c>
      <c r="K433" s="15">
        <f>IF(AND(AH!$M$5="Snapshot",'IPO Live'!$M$5="Snapshot"),"",IFERROR(BDP(TEXT(VALUE($A433),"0")&amp;" HK Equity","PX_LAST"),""))</f>
        <v/>
      </c>
      <c r="L433" s="15">
        <f>IF(AND(AH!$M$5="Snapshot",'IPO Live'!$M$5="Snapshot"),"",IFERROR(BDP(TEXT(VALUE($A433),"0")&amp;" HK Equity","CHG_PCT_1D")/100,""))</f>
        <v/>
      </c>
      <c r="M433" s="15">
        <f>IF(AND(AH!$M$5="Snapshot",'IPO Live'!$M$5="Snapshot"),"",IFERROR(BDP(TEXT(VALUE($A433),"0")&amp;" HK Equity","LAST_UPDATE_DT"),""))</f>
        <v/>
      </c>
      <c r="N433" s="15">
        <f>IF(AND(AH!$M$5="Snapshot",'IPO Live'!$M$5="Snapshot"),"",IFERROR(BDP(TEXT(VALUE($A433),"0")&amp;" HK Equity","LAST_UPDATE"),""))</f>
        <v/>
      </c>
      <c r="O433" s="15">
        <f>IF('IPO Live'!$M$5="Snapshot",IF(ISNUMBER(G433),G433,"unavailable"),IF(AND(ISNUMBER(K433),N(K433)&gt;0),K433,IF('IPO Live'!$M$5="Auto",IF(ISNUMBER(G433),G433,"unavailable"),"unavailable")))</f>
        <v/>
      </c>
      <c r="P433" s="15">
        <f>IF(AND('IPO Live'!$M$5&lt;&gt;"Snapshot",ISNUMBER(K433),N(K433)&gt;0),"Bloomberg",IF(AND('IPO Live'!$M$5&lt;&gt;"Bloomberg",ISNUMBER(G433)),"Snapshot","Unavailable"))</f>
        <v/>
      </c>
      <c r="Q433" s="33">
        <f>IF(AND(P433="Bloomberg",ISNUMBER(L433)),L433,"unavailable")</f>
        <v/>
      </c>
      <c r="R433" s="15">
        <f>IF(OR('IPO Live'!$B$5="All",'IPO Live'!$B$5=C433,AND('IPO Live'!$B$5="A/H only",J433&gt;0)),1,0)</f>
        <v/>
      </c>
      <c r="S433" s="15">
        <f>IF(R433=1,COUNTIF($R$5:R433,1),"")</f>
        <v/>
      </c>
      <c r="T433">
        <f>1</f>
        <v/>
      </c>
      <c r="U433">
        <f>IF($P433="Bloomberg",$M433,$H433)</f>
        <v/>
      </c>
      <c r="AW433">
        <f>IF(AND(J433&gt;0,OR(AH!$I$5="All",AH!$I$5="A/H only",AH!$I$5=C433)),1,0)</f>
        <v/>
      </c>
      <c r="AX433">
        <f>IF(AW433=1,COUNTIF($AW$5:AW433,1),"")</f>
        <v/>
      </c>
      <c r="AY433">
        <f>IF(AH!$M$5="Snapshot",IF(ISNUMBER(G433),G433,"unavailable"),IF(AND(ISNUMBER(K433),N(K433)&gt;0),K433,IF(AH!$M$5="Auto",IF(ISNUMBER(G433),G433,"unavailable"),"unavailable")))</f>
        <v/>
      </c>
      <c r="AZ433">
        <f>IF(AND(AH!$M$5&lt;&gt;"Snapshot",ISNUMBER(K433),N(K433)&gt;0),"Bloomberg",IF(AND(AH!$M$5&lt;&gt;"Bloomberg",ISNUMBER(G433)),"Snapshot","Unavailable"))</f>
        <v/>
      </c>
      <c r="BA433">
        <f>IF(AZ433="Bloomberg",M433,H433)</f>
        <v/>
      </c>
      <c r="BB433">
        <f>1</f>
        <v/>
      </c>
    </row>
    <row r="434">
      <c r="A434" s="31" t="inlineStr">
        <is>
          <t>2418</t>
        </is>
      </c>
      <c r="B434" s="15" t="inlineStr">
        <is>
          <t>DEEWIN</t>
        </is>
      </c>
      <c r="C434" s="15" t="inlineStr">
        <is>
          <t>Industrials</t>
        </is>
      </c>
      <c r="D434" s="15" t="inlineStr">
        <is>
          <t>Logistics</t>
        </is>
      </c>
      <c r="E434" s="34" t="n">
        <v>44757</v>
      </c>
      <c r="F434" s="15" t="n">
        <v>1.8</v>
      </c>
      <c r="G434" s="15" t="n">
        <v>2.645</v>
      </c>
      <c r="H434" s="34" t="n">
        <v>46297</v>
      </c>
      <c r="I434" s="31" t="n"/>
      <c r="J434" s="15" t="n">
        <v>0</v>
      </c>
      <c r="K434" s="15">
        <f>IF(AND(AH!$M$5="Snapshot",'IPO Live'!$M$5="Snapshot"),"",IFERROR(BDP(TEXT(VALUE($A434),"0")&amp;" HK Equity","PX_LAST"),""))</f>
        <v/>
      </c>
      <c r="L434" s="15">
        <f>IF(AND(AH!$M$5="Snapshot",'IPO Live'!$M$5="Snapshot"),"",IFERROR(BDP(TEXT(VALUE($A434),"0")&amp;" HK Equity","CHG_PCT_1D")/100,""))</f>
        <v/>
      </c>
      <c r="M434" s="15">
        <f>IF(AND(AH!$M$5="Snapshot",'IPO Live'!$M$5="Snapshot"),"",IFERROR(BDP(TEXT(VALUE($A434),"0")&amp;" HK Equity","LAST_UPDATE_DT"),""))</f>
        <v/>
      </c>
      <c r="N434" s="15">
        <f>IF(AND(AH!$M$5="Snapshot",'IPO Live'!$M$5="Snapshot"),"",IFERROR(BDP(TEXT(VALUE($A434),"0")&amp;" HK Equity","LAST_UPDATE"),""))</f>
        <v/>
      </c>
      <c r="O434" s="15">
        <f>IF('IPO Live'!$M$5="Snapshot",IF(ISNUMBER(G434),G434,"unavailable"),IF(AND(ISNUMBER(K434),N(K434)&gt;0),K434,IF('IPO Live'!$M$5="Auto",IF(ISNUMBER(G434),G434,"unavailable"),"unavailable")))</f>
        <v/>
      </c>
      <c r="P434" s="15">
        <f>IF(AND('IPO Live'!$M$5&lt;&gt;"Snapshot",ISNUMBER(K434),N(K434)&gt;0),"Bloomberg",IF(AND('IPO Live'!$M$5&lt;&gt;"Bloomberg",ISNUMBER(G434)),"Snapshot","Unavailable"))</f>
        <v/>
      </c>
      <c r="Q434" s="33">
        <f>IF(AND(P434="Bloomberg",ISNUMBER(L434)),L434,"unavailable")</f>
        <v/>
      </c>
      <c r="R434" s="15">
        <f>IF(OR('IPO Live'!$B$5="All",'IPO Live'!$B$5=C434,AND('IPO Live'!$B$5="A/H only",J434&gt;0)),1,0)</f>
        <v/>
      </c>
      <c r="S434" s="15">
        <f>IF(R434=1,COUNTIF($R$5:R434,1),"")</f>
        <v/>
      </c>
      <c r="T434">
        <f>1</f>
        <v/>
      </c>
      <c r="U434">
        <f>IF($P434="Bloomberg",$M434,$H434)</f>
        <v/>
      </c>
      <c r="AW434">
        <f>IF(AND(J434&gt;0,OR(AH!$I$5="All",AH!$I$5="A/H only",AH!$I$5=C434)),1,0)</f>
        <v/>
      </c>
      <c r="AX434">
        <f>IF(AW434=1,COUNTIF($AW$5:AW434,1),"")</f>
        <v/>
      </c>
      <c r="AY434">
        <f>IF(AH!$M$5="Snapshot",IF(ISNUMBER(G434),G434,"unavailable"),IF(AND(ISNUMBER(K434),N(K434)&gt;0),K434,IF(AH!$M$5="Auto",IF(ISNUMBER(G434),G434,"unavailable"),"unavailable")))</f>
        <v/>
      </c>
      <c r="AZ434">
        <f>IF(AND(AH!$M$5&lt;&gt;"Snapshot",ISNUMBER(K434),N(K434)&gt;0),"Bloomberg",IF(AND(AH!$M$5&lt;&gt;"Bloomberg",ISNUMBER(G434)),"Snapshot","Unavailable"))</f>
        <v/>
      </c>
      <c r="BA434">
        <f>IF(AZ434="Bloomberg",M434,H434)</f>
        <v/>
      </c>
      <c r="BB434">
        <f>1</f>
        <v/>
      </c>
    </row>
    <row r="435">
      <c r="A435" s="31" t="inlineStr">
        <is>
          <t>2246</t>
        </is>
      </c>
      <c r="B435" s="15" t="inlineStr">
        <is>
          <t>GOGOX</t>
        </is>
      </c>
      <c r="C435" s="15" t="inlineStr">
        <is>
          <t>Industrials</t>
        </is>
      </c>
      <c r="D435" s="15" t="inlineStr">
        <is>
          <t>Logistics</t>
        </is>
      </c>
      <c r="E435" s="34" t="n">
        <v>44736</v>
      </c>
      <c r="F435" s="15" t="n">
        <v>21.5</v>
      </c>
      <c r="G435" s="15" t="n">
        <v>0.108</v>
      </c>
      <c r="H435" s="34" t="n">
        <v>46297</v>
      </c>
      <c r="I435" s="31" t="n"/>
      <c r="J435" s="15" t="n">
        <v>0</v>
      </c>
      <c r="K435" s="15">
        <f>IF(AND(AH!$M$5="Snapshot",'IPO Live'!$M$5="Snapshot"),"",IFERROR(BDP(TEXT(VALUE($A435),"0")&amp;" HK Equity","PX_LAST"),""))</f>
        <v/>
      </c>
      <c r="L435" s="15">
        <f>IF(AND(AH!$M$5="Snapshot",'IPO Live'!$M$5="Snapshot"),"",IFERROR(BDP(TEXT(VALUE($A435),"0")&amp;" HK Equity","CHG_PCT_1D")/100,""))</f>
        <v/>
      </c>
      <c r="M435" s="15">
        <f>IF(AND(AH!$M$5="Snapshot",'IPO Live'!$M$5="Snapshot"),"",IFERROR(BDP(TEXT(VALUE($A435),"0")&amp;" HK Equity","LAST_UPDATE_DT"),""))</f>
        <v/>
      </c>
      <c r="N435" s="15">
        <f>IF(AND(AH!$M$5="Snapshot",'IPO Live'!$M$5="Snapshot"),"",IFERROR(BDP(TEXT(VALUE($A435),"0")&amp;" HK Equity","LAST_UPDATE"),""))</f>
        <v/>
      </c>
      <c r="O435" s="15">
        <f>IF('IPO Live'!$M$5="Snapshot",IF(ISNUMBER(G435),G435,"unavailable"),IF(AND(ISNUMBER(K435),N(K435)&gt;0),K435,IF('IPO Live'!$M$5="Auto",IF(ISNUMBER(G435),G435,"unavailable"),"unavailable")))</f>
        <v/>
      </c>
      <c r="P435" s="15">
        <f>IF(AND('IPO Live'!$M$5&lt;&gt;"Snapshot",ISNUMBER(K435),N(K435)&gt;0),"Bloomberg",IF(AND('IPO Live'!$M$5&lt;&gt;"Bloomberg",ISNUMBER(G435)),"Snapshot","Unavailable"))</f>
        <v/>
      </c>
      <c r="Q435" s="33">
        <f>IF(AND(P435="Bloomberg",ISNUMBER(L435)),L435,"unavailable")</f>
        <v/>
      </c>
      <c r="R435" s="15">
        <f>IF(OR('IPO Live'!$B$5="All",'IPO Live'!$B$5=C435,AND('IPO Live'!$B$5="A/H only",J435&gt;0)),1,0)</f>
        <v/>
      </c>
      <c r="S435" s="15">
        <f>IF(R435=1,COUNTIF($R$5:R435,1),"")</f>
        <v/>
      </c>
      <c r="T435">
        <f>IF(ISNUMBER($U435),IF($U435&gt;=DATEVALUE("2025-04-25"),0.1,1),"unavailable")</f>
        <v/>
      </c>
      <c r="U435">
        <f>IF($P435="Bloomberg",$M435,$H435)</f>
        <v/>
      </c>
      <c r="AW435">
        <f>IF(AND(J435&gt;0,OR(AH!$I$5="All",AH!$I$5="A/H only",AH!$I$5=C435)),1,0)</f>
        <v/>
      </c>
      <c r="AX435">
        <f>IF(AW435=1,COUNTIF($AW$5:AW435,1),"")</f>
        <v/>
      </c>
      <c r="AY435">
        <f>IF(AH!$M$5="Snapshot",IF(ISNUMBER(G435),G435,"unavailable"),IF(AND(ISNUMBER(K435),N(K435)&gt;0),K435,IF(AH!$M$5="Auto",IF(ISNUMBER(G435),G435,"unavailable"),"unavailable")))</f>
        <v/>
      </c>
      <c r="AZ435">
        <f>IF(AND(AH!$M$5&lt;&gt;"Snapshot",ISNUMBER(K435),N(K435)&gt;0),"Bloomberg",IF(AND(AH!$M$5&lt;&gt;"Bloomberg",ISNUMBER(G435)),"Snapshot","Unavailable"))</f>
        <v/>
      </c>
      <c r="BA435">
        <f>IF(AZ435="Bloomberg",M435,H435)</f>
        <v/>
      </c>
      <c r="BB435">
        <f>IF(ISNUMBER($BA435),IF($BA435&gt;=DATEVALUE("2025-04-25"),0.1,1),"unavailable")</f>
        <v/>
      </c>
    </row>
    <row r="436">
      <c r="A436" s="31" t="inlineStr">
        <is>
          <t>6680</t>
        </is>
      </c>
      <c r="B436" s="15" t="inlineStr">
        <is>
          <t>JLMAG</t>
        </is>
      </c>
      <c r="C436" s="15" t="inlineStr">
        <is>
          <t>Industrials</t>
        </is>
      </c>
      <c r="D436" s="15" t="inlineStr">
        <is>
          <t>Capital goods / machinery</t>
        </is>
      </c>
      <c r="E436" s="34" t="n">
        <v>44575</v>
      </c>
      <c r="F436" s="15" t="n">
        <v>33.8</v>
      </c>
      <c r="G436" s="15" t="n">
        <v>23.68</v>
      </c>
      <c r="H436" s="34" t="n">
        <v>46297</v>
      </c>
      <c r="I436" s="31" t="inlineStr">
        <is>
          <t>300748.SZ</t>
        </is>
      </c>
      <c r="J436" s="15" t="n">
        <v>7</v>
      </c>
      <c r="K436" s="15">
        <f>IF(AND(AH!$M$5="Snapshot",'IPO Live'!$M$5="Snapshot"),"",IFERROR(BDP(TEXT(VALUE($A436),"0")&amp;" HK Equity","PX_LAST"),""))</f>
        <v/>
      </c>
      <c r="L436" s="15">
        <f>IF(AND(AH!$M$5="Snapshot",'IPO Live'!$M$5="Snapshot"),"",IFERROR(BDP(TEXT(VALUE($A436),"0")&amp;" HK Equity","CHG_PCT_1D")/100,""))</f>
        <v/>
      </c>
      <c r="M436" s="15">
        <f>IF(AND(AH!$M$5="Snapshot",'IPO Live'!$M$5="Snapshot"),"",IFERROR(BDP(TEXT(VALUE($A436),"0")&amp;" HK Equity","LAST_UPDATE_DT"),""))</f>
        <v/>
      </c>
      <c r="N436" s="15">
        <f>IF(AND(AH!$M$5="Snapshot",'IPO Live'!$M$5="Snapshot"),"",IFERROR(BDP(TEXT(VALUE($A436),"0")&amp;" HK Equity","LAST_UPDATE"),""))</f>
        <v/>
      </c>
      <c r="O436" s="15">
        <f>IF('IPO Live'!$M$5="Snapshot",IF(ISNUMBER(G436),G436,"unavailable"),IF(AND(ISNUMBER(K436),N(K436)&gt;0),K436,IF('IPO Live'!$M$5="Auto",IF(ISNUMBER(G436),G436,"unavailable"),"unavailable")))</f>
        <v/>
      </c>
      <c r="P436" s="15">
        <f>IF(AND('IPO Live'!$M$5&lt;&gt;"Snapshot",ISNUMBER(K436),N(K436)&gt;0),"Bloomberg",IF(AND('IPO Live'!$M$5&lt;&gt;"Bloomberg",ISNUMBER(G436)),"Snapshot","Unavailable"))</f>
        <v/>
      </c>
      <c r="Q436" s="33">
        <f>IF(AND(P436="Bloomberg",ISNUMBER(L436)),L436,"unavailable")</f>
        <v/>
      </c>
      <c r="R436" s="15">
        <f>IF(OR('IPO Live'!$B$5="All",'IPO Live'!$B$5=C436,AND('IPO Live'!$B$5="A/H only",J436&gt;0)),1,0)</f>
        <v/>
      </c>
      <c r="S436" s="15">
        <f>IF(R436=1,COUNTIF($R$5:R436,1),"")</f>
        <v/>
      </c>
      <c r="T436">
        <f>IF(ISNUMBER($U436),IF($U436&gt;=DATEVALUE("2023-06-26"),1.6,1),"unavailable")</f>
        <v/>
      </c>
      <c r="U436">
        <f>IF($P436="Bloomberg",$M436,$H436)</f>
        <v/>
      </c>
      <c r="AW436">
        <f>IF(AND(J436&gt;0,OR(AH!$I$5="All",AH!$I$5="A/H only",AH!$I$5=C436)),1,0)</f>
        <v/>
      </c>
      <c r="AX436">
        <f>IF(AW436=1,COUNTIF($AW$5:AW436,1),"")</f>
        <v/>
      </c>
      <c r="AY436">
        <f>IF(AH!$M$5="Snapshot",IF(ISNUMBER(G436),G436,"unavailable"),IF(AND(ISNUMBER(K436),N(K436)&gt;0),K436,IF(AH!$M$5="Auto",IF(ISNUMBER(G436),G436,"unavailable"),"unavailable")))</f>
        <v/>
      </c>
      <c r="AZ436">
        <f>IF(AND(AH!$M$5&lt;&gt;"Snapshot",ISNUMBER(K436),N(K436)&gt;0),"Bloomberg",IF(AND(AH!$M$5&lt;&gt;"Bloomberg",ISNUMBER(G436)),"Snapshot","Unavailable"))</f>
        <v/>
      </c>
      <c r="BA436">
        <f>IF(AZ436="Bloomberg",M436,H436)</f>
        <v/>
      </c>
      <c r="BB436">
        <f>IF(ISNUMBER($BA436),IF($BA436&gt;=DATEVALUE("2023-06-26"),1.6,1),"unavailable")</f>
        <v/>
      </c>
    </row>
    <row r="437">
      <c r="A437" s="31" t="inlineStr">
        <is>
          <t>2260</t>
        </is>
      </c>
      <c r="B437" s="15" t="inlineStr">
        <is>
          <t>VANOV HOLDINGS</t>
        </is>
      </c>
      <c r="C437" s="15" t="inlineStr">
        <is>
          <t>Industrials</t>
        </is>
      </c>
      <c r="D437" s="15" t="inlineStr">
        <is>
          <t>Capital goods / machinery</t>
        </is>
      </c>
      <c r="E437" s="34" t="n">
        <v>44572</v>
      </c>
      <c r="F437" s="15" t="n">
        <v>1.22</v>
      </c>
      <c r="G437" s="15" t="n">
        <v>1.205</v>
      </c>
      <c r="H437" s="34" t="n">
        <v>46297</v>
      </c>
      <c r="I437" s="31" t="n"/>
      <c r="J437" s="15" t="n">
        <v>0</v>
      </c>
      <c r="K437" s="15">
        <f>IF(AND(AH!$M$5="Snapshot",'IPO Live'!$M$5="Snapshot"),"",IFERROR(BDP(TEXT(VALUE($A437),"0")&amp;" HK Equity","PX_LAST"),""))</f>
        <v/>
      </c>
      <c r="L437" s="15">
        <f>IF(AND(AH!$M$5="Snapshot",'IPO Live'!$M$5="Snapshot"),"",IFERROR(BDP(TEXT(VALUE($A437),"0")&amp;" HK Equity","CHG_PCT_1D")/100,""))</f>
        <v/>
      </c>
      <c r="M437" s="15">
        <f>IF(AND(AH!$M$5="Snapshot",'IPO Live'!$M$5="Snapshot"),"",IFERROR(BDP(TEXT(VALUE($A437),"0")&amp;" HK Equity","LAST_UPDATE_DT"),""))</f>
        <v/>
      </c>
      <c r="N437" s="15">
        <f>IF(AND(AH!$M$5="Snapshot",'IPO Live'!$M$5="Snapshot"),"",IFERROR(BDP(TEXT(VALUE($A437),"0")&amp;" HK Equity","LAST_UPDATE"),""))</f>
        <v/>
      </c>
      <c r="O437" s="15">
        <f>IF('IPO Live'!$M$5="Snapshot",IF(ISNUMBER(G437),G437,"unavailable"),IF(AND(ISNUMBER(K437),N(K437)&gt;0),K437,IF('IPO Live'!$M$5="Auto",IF(ISNUMBER(G437),G437,"unavailable"),"unavailable")))</f>
        <v/>
      </c>
      <c r="P437" s="15">
        <f>IF(AND('IPO Live'!$M$5&lt;&gt;"Snapshot",ISNUMBER(K437),N(K437)&gt;0),"Bloomberg",IF(AND('IPO Live'!$M$5&lt;&gt;"Bloomberg",ISNUMBER(G437)),"Snapshot","Unavailable"))</f>
        <v/>
      </c>
      <c r="Q437" s="33">
        <f>IF(AND(P437="Bloomberg",ISNUMBER(L437)),L437,"unavailable")</f>
        <v/>
      </c>
      <c r="R437" s="15">
        <f>IF(OR('IPO Live'!$B$5="All",'IPO Live'!$B$5=C437,AND('IPO Live'!$B$5="A/H only",J437&gt;0)),1,0)</f>
        <v/>
      </c>
      <c r="S437" s="15">
        <f>IF(R437=1,COUNTIF($R$5:R437,1),"")</f>
        <v/>
      </c>
      <c r="T437">
        <f>1</f>
        <v/>
      </c>
      <c r="U437">
        <f>IF($P437="Bloomberg",$M437,$H437)</f>
        <v/>
      </c>
      <c r="AW437">
        <f>IF(AND(J437&gt;0,OR(AH!$I$5="All",AH!$I$5="A/H only",AH!$I$5=C437)),1,0)</f>
        <v/>
      </c>
      <c r="AX437">
        <f>IF(AW437=1,COUNTIF($AW$5:AW437,1),"")</f>
        <v/>
      </c>
      <c r="AY437">
        <f>IF(AH!$M$5="Snapshot",IF(ISNUMBER(G437),G437,"unavailable"),IF(AND(ISNUMBER(K437),N(K437)&gt;0),K437,IF(AH!$M$5="Auto",IF(ISNUMBER(G437),G437,"unavailable"),"unavailable")))</f>
        <v/>
      </c>
      <c r="AZ437">
        <f>IF(AND(AH!$M$5&lt;&gt;"Snapshot",ISNUMBER(K437),N(K437)&gt;0),"Bloomberg",IF(AND(AH!$M$5&lt;&gt;"Bloomberg",ISNUMBER(G437)),"Snapshot","Unavailable"))</f>
        <v/>
      </c>
      <c r="BA437">
        <f>IF(AZ437="Bloomberg",M437,H437)</f>
        <v/>
      </c>
      <c r="BB437">
        <f>1</f>
        <v/>
      </c>
    </row>
    <row r="438">
      <c r="A438" s="31" t="inlineStr">
        <is>
          <t>2285</t>
        </is>
      </c>
      <c r="B438" s="15" t="inlineStr">
        <is>
          <t>CHERVON</t>
        </is>
      </c>
      <c r="C438" s="15" t="inlineStr">
        <is>
          <t>Industrials</t>
        </is>
      </c>
      <c r="D438" s="15" t="inlineStr">
        <is>
          <t>Capital goods / machinery</t>
        </is>
      </c>
      <c r="E438" s="34" t="n">
        <v>44560</v>
      </c>
      <c r="F438" s="15" t="n">
        <v>43.6</v>
      </c>
      <c r="G438" s="15" t="n">
        <v>28.92</v>
      </c>
      <c r="H438" s="34" t="n">
        <v>46297</v>
      </c>
      <c r="I438" s="31" t="n"/>
      <c r="J438" s="15" t="n">
        <v>0</v>
      </c>
      <c r="K438" s="15">
        <f>IF(AND(AH!$M$5="Snapshot",'IPO Live'!$M$5="Snapshot"),"",IFERROR(BDP(TEXT(VALUE($A438),"0")&amp;" HK Equity","PX_LAST"),""))</f>
        <v/>
      </c>
      <c r="L438" s="15">
        <f>IF(AND(AH!$M$5="Snapshot",'IPO Live'!$M$5="Snapshot"),"",IFERROR(BDP(TEXT(VALUE($A438),"0")&amp;" HK Equity","CHG_PCT_1D")/100,""))</f>
        <v/>
      </c>
      <c r="M438" s="15">
        <f>IF(AND(AH!$M$5="Snapshot",'IPO Live'!$M$5="Snapshot"),"",IFERROR(BDP(TEXT(VALUE($A438),"0")&amp;" HK Equity","LAST_UPDATE_DT"),""))</f>
        <v/>
      </c>
      <c r="N438" s="15">
        <f>IF(AND(AH!$M$5="Snapshot",'IPO Live'!$M$5="Snapshot"),"",IFERROR(BDP(TEXT(VALUE($A438),"0")&amp;" HK Equity","LAST_UPDATE"),""))</f>
        <v/>
      </c>
      <c r="O438" s="15">
        <f>IF('IPO Live'!$M$5="Snapshot",IF(ISNUMBER(G438),G438,"unavailable"),IF(AND(ISNUMBER(K438),N(K438)&gt;0),K438,IF('IPO Live'!$M$5="Auto",IF(ISNUMBER(G438),G438,"unavailable"),"unavailable")))</f>
        <v/>
      </c>
      <c r="P438" s="15">
        <f>IF(AND('IPO Live'!$M$5&lt;&gt;"Snapshot",ISNUMBER(K438),N(K438)&gt;0),"Bloomberg",IF(AND('IPO Live'!$M$5&lt;&gt;"Bloomberg",ISNUMBER(G438)),"Snapshot","Unavailable"))</f>
        <v/>
      </c>
      <c r="Q438" s="33">
        <f>IF(AND(P438="Bloomberg",ISNUMBER(L438)),L438,"unavailable")</f>
        <v/>
      </c>
      <c r="R438" s="15">
        <f>IF(OR('IPO Live'!$B$5="All",'IPO Live'!$B$5=C438,AND('IPO Live'!$B$5="A/H only",J438&gt;0)),1,0)</f>
        <v/>
      </c>
      <c r="S438" s="15">
        <f>IF(R438=1,COUNTIF($R$5:R438,1),"")</f>
        <v/>
      </c>
      <c r="T438">
        <f>1</f>
        <v/>
      </c>
      <c r="U438">
        <f>IF($P438="Bloomberg",$M438,$H438)</f>
        <v/>
      </c>
      <c r="AW438">
        <f>IF(AND(J438&gt;0,OR(AH!$I$5="All",AH!$I$5="A/H only",AH!$I$5=C438)),1,0)</f>
        <v/>
      </c>
      <c r="AX438">
        <f>IF(AW438=1,COUNTIF($AW$5:AW438,1),"")</f>
        <v/>
      </c>
      <c r="AY438">
        <f>IF(AH!$M$5="Snapshot",IF(ISNUMBER(G438),G438,"unavailable"),IF(AND(ISNUMBER(K438),N(K438)&gt;0),K438,IF(AH!$M$5="Auto",IF(ISNUMBER(G438),G438,"unavailable"),"unavailable")))</f>
        <v/>
      </c>
      <c r="AZ438">
        <f>IF(AND(AH!$M$5&lt;&gt;"Snapshot",ISNUMBER(K438),N(K438)&gt;0),"Bloomberg",IF(AND(AH!$M$5&lt;&gt;"Bloomberg",ISNUMBER(G438)),"Snapshot","Unavailable"))</f>
        <v/>
      </c>
      <c r="BA438">
        <f>IF(AZ438="Bloomberg",M438,H438)</f>
        <v/>
      </c>
      <c r="BB438">
        <f>1</f>
        <v/>
      </c>
    </row>
    <row r="439">
      <c r="A439" s="31" t="inlineStr">
        <is>
          <t>9699</t>
        </is>
      </c>
      <c r="B439" s="15" t="inlineStr">
        <is>
          <t>SF INTRA-CITY</t>
        </is>
      </c>
      <c r="C439" s="15" t="inlineStr">
        <is>
          <t>Industrials</t>
        </is>
      </c>
      <c r="D439" s="15" t="inlineStr">
        <is>
          <t>Logistics</t>
        </is>
      </c>
      <c r="E439" s="34" t="n">
        <v>44544</v>
      </c>
      <c r="F439" s="15" t="n">
        <v>16.42</v>
      </c>
      <c r="G439" s="15" t="n">
        <v>8.404999999999999</v>
      </c>
      <c r="H439" s="34" t="n">
        <v>46297</v>
      </c>
      <c r="I439" s="31" t="n"/>
      <c r="J439" s="15" t="n">
        <v>0</v>
      </c>
      <c r="K439" s="15">
        <f>IF(AND(AH!$M$5="Snapshot",'IPO Live'!$M$5="Snapshot"),"",IFERROR(BDP(TEXT(VALUE($A439),"0")&amp;" HK Equity","PX_LAST"),""))</f>
        <v/>
      </c>
      <c r="L439" s="15">
        <f>IF(AND(AH!$M$5="Snapshot",'IPO Live'!$M$5="Snapshot"),"",IFERROR(BDP(TEXT(VALUE($A439),"0")&amp;" HK Equity","CHG_PCT_1D")/100,""))</f>
        <v/>
      </c>
      <c r="M439" s="15">
        <f>IF(AND(AH!$M$5="Snapshot",'IPO Live'!$M$5="Snapshot"),"",IFERROR(BDP(TEXT(VALUE($A439),"0")&amp;" HK Equity","LAST_UPDATE_DT"),""))</f>
        <v/>
      </c>
      <c r="N439" s="15">
        <f>IF(AND(AH!$M$5="Snapshot",'IPO Live'!$M$5="Snapshot"),"",IFERROR(BDP(TEXT(VALUE($A439),"0")&amp;" HK Equity","LAST_UPDATE"),""))</f>
        <v/>
      </c>
      <c r="O439" s="15">
        <f>IF('IPO Live'!$M$5="Snapshot",IF(ISNUMBER(G439),G439,"unavailable"),IF(AND(ISNUMBER(K439),N(K439)&gt;0),K439,IF('IPO Live'!$M$5="Auto",IF(ISNUMBER(G439),G439,"unavailable"),"unavailable")))</f>
        <v/>
      </c>
      <c r="P439" s="15">
        <f>IF(AND('IPO Live'!$M$5&lt;&gt;"Snapshot",ISNUMBER(K439),N(K439)&gt;0),"Bloomberg",IF(AND('IPO Live'!$M$5&lt;&gt;"Bloomberg",ISNUMBER(G439)),"Snapshot","Unavailable"))</f>
        <v/>
      </c>
      <c r="Q439" s="33">
        <f>IF(AND(P439="Bloomberg",ISNUMBER(L439)),L439,"unavailable")</f>
        <v/>
      </c>
      <c r="R439" s="15">
        <f>IF(OR('IPO Live'!$B$5="All",'IPO Live'!$B$5=C439,AND('IPO Live'!$B$5="A/H only",J439&gt;0)),1,0)</f>
        <v/>
      </c>
      <c r="S439" s="15">
        <f>IF(R439=1,COUNTIF($R$5:R439,1),"")</f>
        <v/>
      </c>
      <c r="T439">
        <f>1</f>
        <v/>
      </c>
      <c r="U439">
        <f>IF($P439="Bloomberg",$M439,$H439)</f>
        <v/>
      </c>
      <c r="AW439">
        <f>IF(AND(J439&gt;0,OR(AH!$I$5="All",AH!$I$5="A/H only",AH!$I$5=C439)),1,0)</f>
        <v/>
      </c>
      <c r="AX439">
        <f>IF(AW439=1,COUNTIF($AW$5:AW439,1),"")</f>
        <v/>
      </c>
      <c r="AY439">
        <f>IF(AH!$M$5="Snapshot",IF(ISNUMBER(G439),G439,"unavailable"),IF(AND(ISNUMBER(K439),N(K439)&gt;0),K439,IF(AH!$M$5="Auto",IF(ISNUMBER(G439),G439,"unavailable"),"unavailable")))</f>
        <v/>
      </c>
      <c r="AZ439">
        <f>IF(AND(AH!$M$5&lt;&gt;"Snapshot",ISNUMBER(K439),N(K439)&gt;0),"Bloomberg",IF(AND(AH!$M$5&lt;&gt;"Bloomberg",ISNUMBER(G439)),"Snapshot","Unavailable"))</f>
        <v/>
      </c>
      <c r="BA439">
        <f>IF(AZ439="Bloomberg",M439,H439)</f>
        <v/>
      </c>
      <c r="BB439">
        <f>1</f>
        <v/>
      </c>
    </row>
    <row r="440">
      <c r="A440" s="31" t="inlineStr">
        <is>
          <t>2155</t>
        </is>
      </c>
      <c r="B440" s="15" t="inlineStr">
        <is>
          <t>MORIMATSU INTL</t>
        </is>
      </c>
      <c r="C440" s="15" t="inlineStr">
        <is>
          <t>Industrials</t>
        </is>
      </c>
      <c r="D440" s="15" t="inlineStr">
        <is>
          <t>Capital goods / machinery</t>
        </is>
      </c>
      <c r="E440" s="34" t="n">
        <v>44375</v>
      </c>
      <c r="F440" s="15" t="n">
        <v>2.48</v>
      </c>
      <c r="G440" s="15" t="n">
        <v>7.045</v>
      </c>
      <c r="H440" s="34" t="n">
        <v>46297</v>
      </c>
      <c r="I440" s="31" t="n"/>
      <c r="J440" s="15" t="n">
        <v>0</v>
      </c>
      <c r="K440" s="15">
        <f>IF(AND(AH!$M$5="Snapshot",'IPO Live'!$M$5="Snapshot"),"",IFERROR(BDP(TEXT(VALUE($A440),"0")&amp;" HK Equity","PX_LAST"),""))</f>
        <v/>
      </c>
      <c r="L440" s="15">
        <f>IF(AND(AH!$M$5="Snapshot",'IPO Live'!$M$5="Snapshot"),"",IFERROR(BDP(TEXT(VALUE($A440),"0")&amp;" HK Equity","CHG_PCT_1D")/100,""))</f>
        <v/>
      </c>
      <c r="M440" s="15">
        <f>IF(AND(AH!$M$5="Snapshot",'IPO Live'!$M$5="Snapshot"),"",IFERROR(BDP(TEXT(VALUE($A440),"0")&amp;" HK Equity","LAST_UPDATE_DT"),""))</f>
        <v/>
      </c>
      <c r="N440" s="15">
        <f>IF(AND(AH!$M$5="Snapshot",'IPO Live'!$M$5="Snapshot"),"",IFERROR(BDP(TEXT(VALUE($A440),"0")&amp;" HK Equity","LAST_UPDATE"),""))</f>
        <v/>
      </c>
      <c r="O440" s="15">
        <f>IF('IPO Live'!$M$5="Snapshot",IF(ISNUMBER(G440),G440,"unavailable"),IF(AND(ISNUMBER(K440),N(K440)&gt;0),K440,IF('IPO Live'!$M$5="Auto",IF(ISNUMBER(G440),G440,"unavailable"),"unavailable")))</f>
        <v/>
      </c>
      <c r="P440" s="15">
        <f>IF(AND('IPO Live'!$M$5&lt;&gt;"Snapshot",ISNUMBER(K440),N(K440)&gt;0),"Bloomberg",IF(AND('IPO Live'!$M$5&lt;&gt;"Bloomberg",ISNUMBER(G440)),"Snapshot","Unavailable"))</f>
        <v/>
      </c>
      <c r="Q440" s="33">
        <f>IF(AND(P440="Bloomberg",ISNUMBER(L440)),L440,"unavailable")</f>
        <v/>
      </c>
      <c r="R440" s="15">
        <f>IF(OR('IPO Live'!$B$5="All",'IPO Live'!$B$5=C440,AND('IPO Live'!$B$5="A/H only",J440&gt;0)),1,0)</f>
        <v/>
      </c>
      <c r="S440" s="15">
        <f>IF(R440=1,COUNTIF($R$5:R440,1),"")</f>
        <v/>
      </c>
      <c r="T440">
        <f>1</f>
        <v/>
      </c>
      <c r="U440">
        <f>IF($P440="Bloomberg",$M440,$H440)</f>
        <v/>
      </c>
      <c r="AW440">
        <f>IF(AND(J440&gt;0,OR(AH!$I$5="All",AH!$I$5="A/H only",AH!$I$5=C440)),1,0)</f>
        <v/>
      </c>
      <c r="AX440">
        <f>IF(AW440=1,COUNTIF($AW$5:AW440,1),"")</f>
        <v/>
      </c>
      <c r="AY440">
        <f>IF(AH!$M$5="Snapshot",IF(ISNUMBER(G440),G440,"unavailable"),IF(AND(ISNUMBER(K440),N(K440)&gt;0),K440,IF(AH!$M$5="Auto",IF(ISNUMBER(G440),G440,"unavailable"),"unavailable")))</f>
        <v/>
      </c>
      <c r="AZ440">
        <f>IF(AND(AH!$M$5&lt;&gt;"Snapshot",ISNUMBER(K440),N(K440)&gt;0),"Bloomberg",IF(AND(AH!$M$5&lt;&gt;"Bloomberg",ISNUMBER(G440)),"Snapshot","Unavailable"))</f>
        <v/>
      </c>
      <c r="BA440">
        <f>IF(AZ440="Bloomberg",M440,H440)</f>
        <v/>
      </c>
      <c r="BB440">
        <f>1</f>
        <v/>
      </c>
    </row>
    <row r="441">
      <c r="A441" s="31" t="inlineStr">
        <is>
          <t>2618</t>
        </is>
      </c>
      <c r="B441" s="15" t="inlineStr">
        <is>
          <t>JD LOGISTICS</t>
        </is>
      </c>
      <c r="C441" s="15" t="inlineStr">
        <is>
          <t>Industrials</t>
        </is>
      </c>
      <c r="D441" s="15" t="inlineStr">
        <is>
          <t>Logistics</t>
        </is>
      </c>
      <c r="E441" s="34" t="n">
        <v>44344</v>
      </c>
      <c r="F441" s="15" t="n">
        <v>40.36</v>
      </c>
      <c r="G441" s="15" t="n">
        <v>9.685</v>
      </c>
      <c r="H441" s="34" t="n">
        <v>46297</v>
      </c>
      <c r="I441" s="31" t="n"/>
      <c r="J441" s="15" t="n">
        <v>0</v>
      </c>
      <c r="K441" s="15">
        <f>IF(AND(AH!$M$5="Snapshot",'IPO Live'!$M$5="Snapshot"),"",IFERROR(BDP(TEXT(VALUE($A441),"0")&amp;" HK Equity","PX_LAST"),""))</f>
        <v/>
      </c>
      <c r="L441" s="15">
        <f>IF(AND(AH!$M$5="Snapshot",'IPO Live'!$M$5="Snapshot"),"",IFERROR(BDP(TEXT(VALUE($A441),"0")&amp;" HK Equity","CHG_PCT_1D")/100,""))</f>
        <v/>
      </c>
      <c r="M441" s="15">
        <f>IF(AND(AH!$M$5="Snapshot",'IPO Live'!$M$5="Snapshot"),"",IFERROR(BDP(TEXT(VALUE($A441),"0")&amp;" HK Equity","LAST_UPDATE_DT"),""))</f>
        <v/>
      </c>
      <c r="N441" s="15">
        <f>IF(AND(AH!$M$5="Snapshot",'IPO Live'!$M$5="Snapshot"),"",IFERROR(BDP(TEXT(VALUE($A441),"0")&amp;" HK Equity","LAST_UPDATE"),""))</f>
        <v/>
      </c>
      <c r="O441" s="15">
        <f>IF('IPO Live'!$M$5="Snapshot",IF(ISNUMBER(G441),G441,"unavailable"),IF(AND(ISNUMBER(K441),N(K441)&gt;0),K441,IF('IPO Live'!$M$5="Auto",IF(ISNUMBER(G441),G441,"unavailable"),"unavailable")))</f>
        <v/>
      </c>
      <c r="P441" s="15">
        <f>IF(AND('IPO Live'!$M$5&lt;&gt;"Snapshot",ISNUMBER(K441),N(K441)&gt;0),"Bloomberg",IF(AND('IPO Live'!$M$5&lt;&gt;"Bloomberg",ISNUMBER(G441)),"Snapshot","Unavailable"))</f>
        <v/>
      </c>
      <c r="Q441" s="33">
        <f>IF(AND(P441="Bloomberg",ISNUMBER(L441)),L441,"unavailable")</f>
        <v/>
      </c>
      <c r="R441" s="15">
        <f>IF(OR('IPO Live'!$B$5="All",'IPO Live'!$B$5=C441,AND('IPO Live'!$B$5="A/H only",J441&gt;0)),1,0)</f>
        <v/>
      </c>
      <c r="S441" s="15">
        <f>IF(R441=1,COUNTIF($R$5:R441,1),"")</f>
        <v/>
      </c>
      <c r="T441">
        <f>1</f>
        <v/>
      </c>
      <c r="U441">
        <f>IF($P441="Bloomberg",$M441,$H441)</f>
        <v/>
      </c>
      <c r="AW441">
        <f>IF(AND(J441&gt;0,OR(AH!$I$5="All",AH!$I$5="A/H only",AH!$I$5=C441)),1,0)</f>
        <v/>
      </c>
      <c r="AX441">
        <f>IF(AW441=1,COUNTIF($AW$5:AW441,1),"")</f>
        <v/>
      </c>
      <c r="AY441">
        <f>IF(AH!$M$5="Snapshot",IF(ISNUMBER(G441),G441,"unavailable"),IF(AND(ISNUMBER(K441),N(K441)&gt;0),K441,IF(AH!$M$5="Auto",IF(ISNUMBER(G441),G441,"unavailable"),"unavailable")))</f>
        <v/>
      </c>
      <c r="AZ441">
        <f>IF(AND(AH!$M$5&lt;&gt;"Snapshot",ISNUMBER(K441),N(K441)&gt;0),"Bloomberg",IF(AND(AH!$M$5&lt;&gt;"Bloomberg",ISNUMBER(G441)),"Snapshot","Unavailable"))</f>
        <v/>
      </c>
      <c r="BA441">
        <f>IF(AZ441="Bloomberg",M441,H441)</f>
        <v/>
      </c>
      <c r="BB441">
        <f>1</f>
        <v/>
      </c>
    </row>
    <row r="442">
      <c r="A442" s="31" t="inlineStr">
        <is>
          <t>2195</t>
        </is>
      </c>
      <c r="B442" s="15" t="inlineStr">
        <is>
          <t>UNITY ENT</t>
        </is>
      </c>
      <c r="C442" s="15" t="inlineStr">
        <is>
          <t>Industrials</t>
        </is>
      </c>
      <c r="D442" s="15" t="inlineStr">
        <is>
          <t>Construction / engineering</t>
        </is>
      </c>
      <c r="E442" s="34" t="n">
        <v>44286</v>
      </c>
      <c r="F442" s="15" t="n">
        <v>0.5600000000000001</v>
      </c>
      <c r="G442" s="15" t="n">
        <v>0.025</v>
      </c>
      <c r="H442" s="34" t="n">
        <v>46297</v>
      </c>
      <c r="I442" s="31" t="n"/>
      <c r="J442" s="15" t="n">
        <v>0</v>
      </c>
      <c r="K442" s="15">
        <f>IF(AND(AH!$M$5="Snapshot",'IPO Live'!$M$5="Snapshot"),"",IFERROR(BDP(TEXT(VALUE($A442),"0")&amp;" HK Equity","PX_LAST"),""))</f>
        <v/>
      </c>
      <c r="L442" s="15">
        <f>IF(AND(AH!$M$5="Snapshot",'IPO Live'!$M$5="Snapshot"),"",IFERROR(BDP(TEXT(VALUE($A442),"0")&amp;" HK Equity","CHG_PCT_1D")/100,""))</f>
        <v/>
      </c>
      <c r="M442" s="15">
        <f>IF(AND(AH!$M$5="Snapshot",'IPO Live'!$M$5="Snapshot"),"",IFERROR(BDP(TEXT(VALUE($A442),"0")&amp;" HK Equity","LAST_UPDATE_DT"),""))</f>
        <v/>
      </c>
      <c r="N442" s="15">
        <f>IF(AND(AH!$M$5="Snapshot",'IPO Live'!$M$5="Snapshot"),"",IFERROR(BDP(TEXT(VALUE($A442),"0")&amp;" HK Equity","LAST_UPDATE"),""))</f>
        <v/>
      </c>
      <c r="O442" s="15">
        <f>IF('IPO Live'!$M$5="Snapshot",IF(ISNUMBER(G442),G442,"unavailable"),IF(AND(ISNUMBER(K442),N(K442)&gt;0),K442,IF('IPO Live'!$M$5="Auto",IF(ISNUMBER(G442),G442,"unavailable"),"unavailable")))</f>
        <v/>
      </c>
      <c r="P442" s="15">
        <f>IF(AND('IPO Live'!$M$5&lt;&gt;"Snapshot",ISNUMBER(K442),N(K442)&gt;0),"Bloomberg",IF(AND('IPO Live'!$M$5&lt;&gt;"Bloomberg",ISNUMBER(G442)),"Snapshot","Unavailable"))</f>
        <v/>
      </c>
      <c r="Q442" s="33">
        <f>IF(AND(P442="Bloomberg",ISNUMBER(L442)),L442,"unavailable")</f>
        <v/>
      </c>
      <c r="R442" s="15">
        <f>IF(OR('IPO Live'!$B$5="All",'IPO Live'!$B$5=C442,AND('IPO Live'!$B$5="A/H only",J442&gt;0)),1,0)</f>
        <v/>
      </c>
      <c r="S442" s="15">
        <f>IF(R442=1,COUNTIF($R$5:R442,1),"")</f>
        <v/>
      </c>
      <c r="T442">
        <f>IF(ISNUMBER($U442),IF($U442&gt;=DATEVALUE("2025-10-30"),0.1,1),"unavailable")</f>
        <v/>
      </c>
      <c r="U442">
        <f>IF($P442="Bloomberg",$M442,$H442)</f>
        <v/>
      </c>
      <c r="AW442">
        <f>IF(AND(J442&gt;0,OR(AH!$I$5="All",AH!$I$5="A/H only",AH!$I$5=C442)),1,0)</f>
        <v/>
      </c>
      <c r="AX442">
        <f>IF(AW442=1,COUNTIF($AW$5:AW442,1),"")</f>
        <v/>
      </c>
      <c r="AY442">
        <f>IF(AH!$M$5="Snapshot",IF(ISNUMBER(G442),G442,"unavailable"),IF(AND(ISNUMBER(K442),N(K442)&gt;0),K442,IF(AH!$M$5="Auto",IF(ISNUMBER(G442),G442,"unavailable"),"unavailable")))</f>
        <v/>
      </c>
      <c r="AZ442">
        <f>IF(AND(AH!$M$5&lt;&gt;"Snapshot",ISNUMBER(K442),N(K442)&gt;0),"Bloomberg",IF(AND(AH!$M$5&lt;&gt;"Bloomberg",ISNUMBER(G442)),"Snapshot","Unavailable"))</f>
        <v/>
      </c>
      <c r="BA442">
        <f>IF(AZ442="Bloomberg",M442,H442)</f>
        <v/>
      </c>
      <c r="BB442">
        <f>IF(ISNUMBER($BA442),IF($BA442&gt;=DATEVALUE("2025-10-30"),0.1,1),"unavailable")</f>
        <v/>
      </c>
    </row>
    <row r="443">
      <c r="A443" s="31" t="inlineStr">
        <is>
          <t>2187</t>
        </is>
      </c>
      <c r="B443" s="15" t="inlineStr">
        <is>
          <t>ZHIXIN GP HLDG</t>
        </is>
      </c>
      <c r="C443" s="15" t="inlineStr">
        <is>
          <t>Industrials</t>
        </is>
      </c>
      <c r="D443" s="15" t="inlineStr">
        <is>
          <t>Construction / engineering</t>
        </is>
      </c>
      <c r="E443" s="34" t="n">
        <v>44281</v>
      </c>
      <c r="F443" s="15" t="n">
        <v>1.5</v>
      </c>
      <c r="G443" s="15" t="n">
        <v>0.475</v>
      </c>
      <c r="H443" s="34" t="n">
        <v>46297</v>
      </c>
      <c r="I443" s="31" t="n"/>
      <c r="J443" s="15" t="n">
        <v>0</v>
      </c>
      <c r="K443" s="15">
        <f>IF(AND(AH!$M$5="Snapshot",'IPO Live'!$M$5="Snapshot"),"",IFERROR(BDP(TEXT(VALUE($A443),"0")&amp;" HK Equity","PX_LAST"),""))</f>
        <v/>
      </c>
      <c r="L443" s="15">
        <f>IF(AND(AH!$M$5="Snapshot",'IPO Live'!$M$5="Snapshot"),"",IFERROR(BDP(TEXT(VALUE($A443),"0")&amp;" HK Equity","CHG_PCT_1D")/100,""))</f>
        <v/>
      </c>
      <c r="M443" s="15">
        <f>IF(AND(AH!$M$5="Snapshot",'IPO Live'!$M$5="Snapshot"),"",IFERROR(BDP(TEXT(VALUE($A443),"0")&amp;" HK Equity","LAST_UPDATE_DT"),""))</f>
        <v/>
      </c>
      <c r="N443" s="15">
        <f>IF(AND(AH!$M$5="Snapshot",'IPO Live'!$M$5="Snapshot"),"",IFERROR(BDP(TEXT(VALUE($A443),"0")&amp;" HK Equity","LAST_UPDATE"),""))</f>
        <v/>
      </c>
      <c r="O443" s="15">
        <f>IF('IPO Live'!$M$5="Snapshot",IF(ISNUMBER(G443),G443,"unavailable"),IF(AND(ISNUMBER(K443),N(K443)&gt;0),K443,IF('IPO Live'!$M$5="Auto",IF(ISNUMBER(G443),G443,"unavailable"),"unavailable")))</f>
        <v/>
      </c>
      <c r="P443" s="15">
        <f>IF(AND('IPO Live'!$M$5&lt;&gt;"Snapshot",ISNUMBER(K443),N(K443)&gt;0),"Bloomberg",IF(AND('IPO Live'!$M$5&lt;&gt;"Bloomberg",ISNUMBER(G443)),"Snapshot","Unavailable"))</f>
        <v/>
      </c>
      <c r="Q443" s="33">
        <f>IF(AND(P443="Bloomberg",ISNUMBER(L443)),L443,"unavailable")</f>
        <v/>
      </c>
      <c r="R443" s="15">
        <f>IF(OR('IPO Live'!$B$5="All",'IPO Live'!$B$5=C443,AND('IPO Live'!$B$5="A/H only",J443&gt;0)),1,0)</f>
        <v/>
      </c>
      <c r="S443" s="15">
        <f>IF(R443=1,COUNTIF($R$5:R443,1),"")</f>
        <v/>
      </c>
      <c r="T443">
        <f>1</f>
        <v/>
      </c>
      <c r="U443">
        <f>IF($P443="Bloomberg",$M443,$H443)</f>
        <v/>
      </c>
      <c r="AW443">
        <f>IF(AND(J443&gt;0,OR(AH!$I$5="All",AH!$I$5="A/H only",AH!$I$5=C443)),1,0)</f>
        <v/>
      </c>
      <c r="AX443">
        <f>IF(AW443=1,COUNTIF($AW$5:AW443,1),"")</f>
        <v/>
      </c>
      <c r="AY443">
        <f>IF(AH!$M$5="Snapshot",IF(ISNUMBER(G443),G443,"unavailable"),IF(AND(ISNUMBER(K443),N(K443)&gt;0),K443,IF(AH!$M$5="Auto",IF(ISNUMBER(G443),G443,"unavailable"),"unavailable")))</f>
        <v/>
      </c>
      <c r="AZ443">
        <f>IF(AND(AH!$M$5&lt;&gt;"Snapshot",ISNUMBER(K443),N(K443)&gt;0),"Bloomberg",IF(AND(AH!$M$5&lt;&gt;"Bloomberg",ISNUMBER(G443)),"Snapshot","Unavailable"))</f>
        <v/>
      </c>
      <c r="BA443">
        <f>IF(AZ443="Bloomberg",M443,H443)</f>
        <v/>
      </c>
      <c r="BB443">
        <f>1</f>
        <v/>
      </c>
    </row>
    <row r="444">
      <c r="A444" s="31" t="inlineStr">
        <is>
          <t>1413</t>
        </is>
      </c>
      <c r="B444" s="15" t="inlineStr">
        <is>
          <t>KWONG LUEN ENG</t>
        </is>
      </c>
      <c r="C444" s="15" t="inlineStr">
        <is>
          <t>Industrials</t>
        </is>
      </c>
      <c r="D444" s="15" t="inlineStr">
        <is>
          <t>Construction / engineering</t>
        </is>
      </c>
      <c r="E444" s="34" t="n">
        <v>44266</v>
      </c>
      <c r="F444" s="15" t="n">
        <v>0.54</v>
      </c>
      <c r="G444" s="15" t="n">
        <v>0.044</v>
      </c>
      <c r="H444" s="34" t="n">
        <v>46297</v>
      </c>
      <c r="I444" s="31" t="n"/>
      <c r="J444" s="15" t="n">
        <v>0</v>
      </c>
      <c r="K444" s="15">
        <f>IF(AND(AH!$M$5="Snapshot",'IPO Live'!$M$5="Snapshot"),"",IFERROR(BDP(TEXT(VALUE($A444),"0")&amp;" HK Equity","PX_LAST"),""))</f>
        <v/>
      </c>
      <c r="L444" s="15">
        <f>IF(AND(AH!$M$5="Snapshot",'IPO Live'!$M$5="Snapshot"),"",IFERROR(BDP(TEXT(VALUE($A444),"0")&amp;" HK Equity","CHG_PCT_1D")/100,""))</f>
        <v/>
      </c>
      <c r="M444" s="15">
        <f>IF(AND(AH!$M$5="Snapshot",'IPO Live'!$M$5="Snapshot"),"",IFERROR(BDP(TEXT(VALUE($A444),"0")&amp;" HK Equity","LAST_UPDATE_DT"),""))</f>
        <v/>
      </c>
      <c r="N444" s="15">
        <f>IF(AND(AH!$M$5="Snapshot",'IPO Live'!$M$5="Snapshot"),"",IFERROR(BDP(TEXT(VALUE($A444),"0")&amp;" HK Equity","LAST_UPDATE"),""))</f>
        <v/>
      </c>
      <c r="O444" s="15">
        <f>IF('IPO Live'!$M$5="Snapshot",IF(ISNUMBER(G444),G444,"unavailable"),IF(AND(ISNUMBER(K444),N(K444)&gt;0),K444,IF('IPO Live'!$M$5="Auto",IF(ISNUMBER(G444),G444,"unavailable"),"unavailable")))</f>
        <v/>
      </c>
      <c r="P444" s="15">
        <f>IF(AND('IPO Live'!$M$5&lt;&gt;"Snapshot",ISNUMBER(K444),N(K444)&gt;0),"Bloomberg",IF(AND('IPO Live'!$M$5&lt;&gt;"Bloomberg",ISNUMBER(G444)),"Snapshot","Unavailable"))</f>
        <v/>
      </c>
      <c r="Q444" s="33">
        <f>IF(AND(P444="Bloomberg",ISNUMBER(L444)),L444,"unavailable")</f>
        <v/>
      </c>
      <c r="R444" s="15">
        <f>IF(OR('IPO Live'!$B$5="All",'IPO Live'!$B$5=C444,AND('IPO Live'!$B$5="A/H only",J444&gt;0)),1,0)</f>
        <v/>
      </c>
      <c r="S444" s="15">
        <f>IF(R444=1,COUNTIF($R$5:R444,1),"")</f>
        <v/>
      </c>
      <c r="T444">
        <f>IF(ISNUMBER($U444),IF($U444&gt;=DATEVALUE("2025-12-16"),0.2,1),"unavailable")</f>
        <v/>
      </c>
      <c r="U444">
        <f>IF($P444="Bloomberg",$M444,$H444)</f>
        <v/>
      </c>
      <c r="AW444">
        <f>IF(AND(J444&gt;0,OR(AH!$I$5="All",AH!$I$5="A/H only",AH!$I$5=C444)),1,0)</f>
        <v/>
      </c>
      <c r="AX444">
        <f>IF(AW444=1,COUNTIF($AW$5:AW444,1),"")</f>
        <v/>
      </c>
      <c r="AY444">
        <f>IF(AH!$M$5="Snapshot",IF(ISNUMBER(G444),G444,"unavailable"),IF(AND(ISNUMBER(K444),N(K444)&gt;0),K444,IF(AH!$M$5="Auto",IF(ISNUMBER(G444),G444,"unavailable"),"unavailable")))</f>
        <v/>
      </c>
      <c r="AZ444">
        <f>IF(AND(AH!$M$5&lt;&gt;"Snapshot",ISNUMBER(K444),N(K444)&gt;0),"Bloomberg",IF(AND(AH!$M$5&lt;&gt;"Bloomberg",ISNUMBER(G444)),"Snapshot","Unavailable"))</f>
        <v/>
      </c>
      <c r="BA444">
        <f>IF(AZ444="Bloomberg",M444,H444)</f>
        <v/>
      </c>
      <c r="BB444">
        <f>IF(ISNUMBER($BA444),IF($BA444&gt;=DATEVALUE("2025-12-16"),0.2,1),"unavailable")</f>
        <v/>
      </c>
    </row>
    <row r="445">
      <c r="A445" s="31" t="inlineStr">
        <is>
          <t>1440</t>
        </is>
      </c>
      <c r="B445" s="15" t="inlineStr">
        <is>
          <t>DEYUN HOLDING</t>
        </is>
      </c>
      <c r="C445" s="15" t="inlineStr">
        <is>
          <t>Industrials</t>
        </is>
      </c>
      <c r="D445" s="15" t="inlineStr">
        <is>
          <t>Construction / engineering</t>
        </is>
      </c>
      <c r="E445" s="34" t="n">
        <v>44209</v>
      </c>
      <c r="F445" s="15" t="n">
        <v>0.4</v>
      </c>
      <c r="G445" s="15" t="n">
        <v>19.4</v>
      </c>
      <c r="H445" s="34" t="n">
        <v>46297</v>
      </c>
      <c r="I445" s="31" t="n"/>
      <c r="J445" s="15" t="n">
        <v>0</v>
      </c>
      <c r="K445" s="15">
        <f>IF(AND(AH!$M$5="Snapshot",'IPO Live'!$M$5="Snapshot"),"",IFERROR(BDP(TEXT(VALUE($A445),"0")&amp;" HK Equity","PX_LAST"),""))</f>
        <v/>
      </c>
      <c r="L445" s="15">
        <f>IF(AND(AH!$M$5="Snapshot",'IPO Live'!$M$5="Snapshot"),"",IFERROR(BDP(TEXT(VALUE($A445),"0")&amp;" HK Equity","CHG_PCT_1D")/100,""))</f>
        <v/>
      </c>
      <c r="M445" s="15">
        <f>IF(AND(AH!$M$5="Snapshot",'IPO Live'!$M$5="Snapshot"),"",IFERROR(BDP(TEXT(VALUE($A445),"0")&amp;" HK Equity","LAST_UPDATE_DT"),""))</f>
        <v/>
      </c>
      <c r="N445" s="15">
        <f>IF(AND(AH!$M$5="Snapshot",'IPO Live'!$M$5="Snapshot"),"",IFERROR(BDP(TEXT(VALUE($A445),"0")&amp;" HK Equity","LAST_UPDATE"),""))</f>
        <v/>
      </c>
      <c r="O445" s="15">
        <f>IF('IPO Live'!$M$5="Snapshot",IF(ISNUMBER(G445),G445,"unavailable"),IF(AND(ISNUMBER(K445),N(K445)&gt;0),K445,IF('IPO Live'!$M$5="Auto",IF(ISNUMBER(G445),G445,"unavailable"),"unavailable")))</f>
        <v/>
      </c>
      <c r="P445" s="15">
        <f>IF(AND('IPO Live'!$M$5&lt;&gt;"Snapshot",ISNUMBER(K445),N(K445)&gt;0),"Bloomberg",IF(AND('IPO Live'!$M$5&lt;&gt;"Bloomberg",ISNUMBER(G445)),"Snapshot","Unavailable"))</f>
        <v/>
      </c>
      <c r="Q445" s="33">
        <f>IF(AND(P445="Bloomberg",ISNUMBER(L445)),L445,"unavailable")</f>
        <v/>
      </c>
      <c r="R445" s="15">
        <f>IF(OR('IPO Live'!$B$5="All",'IPO Live'!$B$5=C445,AND('IPO Live'!$B$5="A/H only",J445&gt;0)),1,0)</f>
        <v/>
      </c>
      <c r="S445" s="15">
        <f>IF(R445=1,COUNTIF($R$5:R445,1),"")</f>
        <v/>
      </c>
      <c r="T445">
        <f>1</f>
        <v/>
      </c>
      <c r="U445">
        <f>IF($P445="Bloomberg",$M445,$H445)</f>
        <v/>
      </c>
      <c r="AW445">
        <f>IF(AND(J445&gt;0,OR(AH!$I$5="All",AH!$I$5="A/H only",AH!$I$5=C445)),1,0)</f>
        <v/>
      </c>
      <c r="AX445">
        <f>IF(AW445=1,COUNTIF($AW$5:AW445,1),"")</f>
        <v/>
      </c>
      <c r="AY445">
        <f>IF(AH!$M$5="Snapshot",IF(ISNUMBER(G445),G445,"unavailable"),IF(AND(ISNUMBER(K445),N(K445)&gt;0),K445,IF(AH!$M$5="Auto",IF(ISNUMBER(G445),G445,"unavailable"),"unavailable")))</f>
        <v/>
      </c>
      <c r="AZ445">
        <f>IF(AND(AH!$M$5&lt;&gt;"Snapshot",ISNUMBER(K445),N(K445)&gt;0),"Bloomberg",IF(AND(AH!$M$5&lt;&gt;"Bloomberg",ISNUMBER(G445)),"Snapshot","Unavailable"))</f>
        <v/>
      </c>
      <c r="BA445">
        <f>IF(AZ445="Bloomberg",M445,H445)</f>
        <v/>
      </c>
      <c r="BB445">
        <f>1</f>
        <v/>
      </c>
    </row>
    <row r="446">
      <c r="A446" s="31" t="inlineStr">
        <is>
          <t>2129</t>
        </is>
      </c>
      <c r="B446" s="15" t="inlineStr">
        <is>
          <t>LEGION CONSO</t>
        </is>
      </c>
      <c r="C446" s="15" t="inlineStr">
        <is>
          <t>Industrials</t>
        </is>
      </c>
      <c r="D446" s="15" t="inlineStr">
        <is>
          <t>Logistics</t>
        </is>
      </c>
      <c r="E446" s="34" t="n">
        <v>44209</v>
      </c>
      <c r="F446" s="15" t="n">
        <v>0.4</v>
      </c>
      <c r="G446" s="15" t="n">
        <v>0.28</v>
      </c>
      <c r="H446" s="34" t="n">
        <v>46297</v>
      </c>
      <c r="I446" s="31" t="n"/>
      <c r="J446" s="15" t="n">
        <v>0</v>
      </c>
      <c r="K446" s="15">
        <f>IF(AND(AH!$M$5="Snapshot",'IPO Live'!$M$5="Snapshot"),"",IFERROR(BDP(TEXT(VALUE($A446),"0")&amp;" HK Equity","PX_LAST"),""))</f>
        <v/>
      </c>
      <c r="L446" s="15">
        <f>IF(AND(AH!$M$5="Snapshot",'IPO Live'!$M$5="Snapshot"),"",IFERROR(BDP(TEXT(VALUE($A446),"0")&amp;" HK Equity","CHG_PCT_1D")/100,""))</f>
        <v/>
      </c>
      <c r="M446" s="15">
        <f>IF(AND(AH!$M$5="Snapshot",'IPO Live'!$M$5="Snapshot"),"",IFERROR(BDP(TEXT(VALUE($A446),"0")&amp;" HK Equity","LAST_UPDATE_DT"),""))</f>
        <v/>
      </c>
      <c r="N446" s="15">
        <f>IF(AND(AH!$M$5="Snapshot",'IPO Live'!$M$5="Snapshot"),"",IFERROR(BDP(TEXT(VALUE($A446),"0")&amp;" HK Equity","LAST_UPDATE"),""))</f>
        <v/>
      </c>
      <c r="O446" s="15">
        <f>IF('IPO Live'!$M$5="Snapshot",IF(ISNUMBER(G446),G446,"unavailable"),IF(AND(ISNUMBER(K446),N(K446)&gt;0),K446,IF('IPO Live'!$M$5="Auto",IF(ISNUMBER(G446),G446,"unavailable"),"unavailable")))</f>
        <v/>
      </c>
      <c r="P446" s="15">
        <f>IF(AND('IPO Live'!$M$5&lt;&gt;"Snapshot",ISNUMBER(K446),N(K446)&gt;0),"Bloomberg",IF(AND('IPO Live'!$M$5&lt;&gt;"Bloomberg",ISNUMBER(G446)),"Snapshot","Unavailable"))</f>
        <v/>
      </c>
      <c r="Q446" s="33">
        <f>IF(AND(P446="Bloomberg",ISNUMBER(L446)),L446,"unavailable")</f>
        <v/>
      </c>
      <c r="R446" s="15">
        <f>IF(OR('IPO Live'!$B$5="All",'IPO Live'!$B$5=C446,AND('IPO Live'!$B$5="A/H only",J446&gt;0)),1,0)</f>
        <v/>
      </c>
      <c r="S446" s="15">
        <f>IF(R446=1,COUNTIF($R$5:R446,1),"")</f>
        <v/>
      </c>
      <c r="T446">
        <f>1</f>
        <v/>
      </c>
      <c r="U446">
        <f>IF($P446="Bloomberg",$M446,$H446)</f>
        <v/>
      </c>
      <c r="AW446">
        <f>IF(AND(J446&gt;0,OR(AH!$I$5="All",AH!$I$5="A/H only",AH!$I$5=C446)),1,0)</f>
        <v/>
      </c>
      <c r="AX446">
        <f>IF(AW446=1,COUNTIF($AW$5:AW446,1),"")</f>
        <v/>
      </c>
      <c r="AY446">
        <f>IF(AH!$M$5="Snapshot",IF(ISNUMBER(G446),G446,"unavailable"),IF(AND(ISNUMBER(K446),N(K446)&gt;0),K446,IF(AH!$M$5="Auto",IF(ISNUMBER(G446),G446,"unavailable"),"unavailable")))</f>
        <v/>
      </c>
      <c r="AZ446">
        <f>IF(AND(AH!$M$5&lt;&gt;"Snapshot",ISNUMBER(K446),N(K446)&gt;0),"Bloomberg",IF(AND(AH!$M$5&lt;&gt;"Bloomberg",ISNUMBER(G446)),"Snapshot","Unavailable"))</f>
        <v/>
      </c>
      <c r="BA446">
        <f>IF(AZ446="Bloomberg",M446,H446)</f>
        <v/>
      </c>
      <c r="BB446">
        <f>1</f>
        <v/>
      </c>
    </row>
    <row r="447">
      <c r="A447" s="31" t="inlineStr">
        <is>
          <t>2153</t>
        </is>
      </c>
      <c r="B447" s="15" t="inlineStr">
        <is>
          <t>TAT HONG EQUIP</t>
        </is>
      </c>
      <c r="C447" s="15" t="inlineStr">
        <is>
          <t>Industrials</t>
        </is>
      </c>
      <c r="D447" s="15" t="inlineStr">
        <is>
          <t>Capital goods / machinery</t>
        </is>
      </c>
      <c r="E447" s="34" t="n">
        <v>44209</v>
      </c>
      <c r="F447" s="15" t="n">
        <v>1.73</v>
      </c>
      <c r="G447" s="15" t="n">
        <v>0.825</v>
      </c>
      <c r="H447" s="34" t="n">
        <v>46297</v>
      </c>
      <c r="I447" s="31" t="n"/>
      <c r="J447" s="15" t="n">
        <v>0</v>
      </c>
      <c r="K447" s="15">
        <f>IF(AND(AH!$M$5="Snapshot",'IPO Live'!$M$5="Snapshot"),"",IFERROR(BDP(TEXT(VALUE($A447),"0")&amp;" HK Equity","PX_LAST"),""))</f>
        <v/>
      </c>
      <c r="L447" s="15">
        <f>IF(AND(AH!$M$5="Snapshot",'IPO Live'!$M$5="Snapshot"),"",IFERROR(BDP(TEXT(VALUE($A447),"0")&amp;" HK Equity","CHG_PCT_1D")/100,""))</f>
        <v/>
      </c>
      <c r="M447" s="15">
        <f>IF(AND(AH!$M$5="Snapshot",'IPO Live'!$M$5="Snapshot"),"",IFERROR(BDP(TEXT(VALUE($A447),"0")&amp;" HK Equity","LAST_UPDATE_DT"),""))</f>
        <v/>
      </c>
      <c r="N447" s="15">
        <f>IF(AND(AH!$M$5="Snapshot",'IPO Live'!$M$5="Snapshot"),"",IFERROR(BDP(TEXT(VALUE($A447),"0")&amp;" HK Equity","LAST_UPDATE"),""))</f>
        <v/>
      </c>
      <c r="O447" s="15">
        <f>IF('IPO Live'!$M$5="Snapshot",IF(ISNUMBER(G447),G447,"unavailable"),IF(AND(ISNUMBER(K447),N(K447)&gt;0),K447,IF('IPO Live'!$M$5="Auto",IF(ISNUMBER(G447),G447,"unavailable"),"unavailable")))</f>
        <v/>
      </c>
      <c r="P447" s="15">
        <f>IF(AND('IPO Live'!$M$5&lt;&gt;"Snapshot",ISNUMBER(K447),N(K447)&gt;0),"Bloomberg",IF(AND('IPO Live'!$M$5&lt;&gt;"Bloomberg",ISNUMBER(G447)),"Snapshot","Unavailable"))</f>
        <v/>
      </c>
      <c r="Q447" s="33">
        <f>IF(AND(P447="Bloomberg",ISNUMBER(L447)),L447,"unavailable")</f>
        <v/>
      </c>
      <c r="R447" s="15">
        <f>IF(OR('IPO Live'!$B$5="All",'IPO Live'!$B$5=C447,AND('IPO Live'!$B$5="A/H only",J447&gt;0)),1,0)</f>
        <v/>
      </c>
      <c r="S447" s="15">
        <f>IF(R447=1,COUNTIF($R$5:R447,1),"")</f>
        <v/>
      </c>
      <c r="T447">
        <f>1</f>
        <v/>
      </c>
      <c r="U447">
        <f>IF($P447="Bloomberg",$M447,$H447)</f>
        <v/>
      </c>
      <c r="AW447">
        <f>IF(AND(J447&gt;0,OR(AH!$I$5="All",AH!$I$5="A/H only",AH!$I$5=C447)),1,0)</f>
        <v/>
      </c>
      <c r="AX447">
        <f>IF(AW447=1,COUNTIF($AW$5:AW447,1),"")</f>
        <v/>
      </c>
      <c r="AY447">
        <f>IF(AH!$M$5="Snapshot",IF(ISNUMBER(G447),G447,"unavailable"),IF(AND(ISNUMBER(K447),N(K447)&gt;0),K447,IF(AH!$M$5="Auto",IF(ISNUMBER(G447),G447,"unavailable"),"unavailable")))</f>
        <v/>
      </c>
      <c r="AZ447">
        <f>IF(AND(AH!$M$5&lt;&gt;"Snapshot",ISNUMBER(K447),N(K447)&gt;0),"Bloomberg",IF(AND(AH!$M$5&lt;&gt;"Bloomberg",ISNUMBER(G447)),"Snapshot","Unavailable"))</f>
        <v/>
      </c>
      <c r="BA447">
        <f>IF(AZ447="Bloomberg",M447,H447)</f>
        <v/>
      </c>
      <c r="BB447">
        <f>1</f>
        <v/>
      </c>
    </row>
    <row r="448">
      <c r="A448" s="31" t="inlineStr">
        <is>
          <t>1855</t>
        </is>
      </c>
      <c r="B448" s="15" t="inlineStr">
        <is>
          <t>ZONBONG ENVIRO</t>
        </is>
      </c>
      <c r="C448" s="15" t="inlineStr">
        <is>
          <t>Industrials</t>
        </is>
      </c>
      <c r="D448" s="15" t="inlineStr">
        <is>
          <t>Construction / engineering</t>
        </is>
      </c>
      <c r="E448" s="34" t="n">
        <v>44202</v>
      </c>
      <c r="F448" s="15" t="n">
        <v>2</v>
      </c>
      <c r="G448" s="15" t="n">
        <v>0.444</v>
      </c>
      <c r="H448" s="34" t="n">
        <v>46297</v>
      </c>
      <c r="I448" s="31" t="n"/>
      <c r="J448" s="15" t="n">
        <v>0</v>
      </c>
      <c r="K448" s="15">
        <f>IF(AND(AH!$M$5="Snapshot",'IPO Live'!$M$5="Snapshot"),"",IFERROR(BDP(TEXT(VALUE($A448),"0")&amp;" HK Equity","PX_LAST"),""))</f>
        <v/>
      </c>
      <c r="L448" s="15">
        <f>IF(AND(AH!$M$5="Snapshot",'IPO Live'!$M$5="Snapshot"),"",IFERROR(BDP(TEXT(VALUE($A448),"0")&amp;" HK Equity","CHG_PCT_1D")/100,""))</f>
        <v/>
      </c>
      <c r="M448" s="15">
        <f>IF(AND(AH!$M$5="Snapshot",'IPO Live'!$M$5="Snapshot"),"",IFERROR(BDP(TEXT(VALUE($A448),"0")&amp;" HK Equity","LAST_UPDATE_DT"),""))</f>
        <v/>
      </c>
      <c r="N448" s="15">
        <f>IF(AND(AH!$M$5="Snapshot",'IPO Live'!$M$5="Snapshot"),"",IFERROR(BDP(TEXT(VALUE($A448),"0")&amp;" HK Equity","LAST_UPDATE"),""))</f>
        <v/>
      </c>
      <c r="O448" s="15">
        <f>IF('IPO Live'!$M$5="Snapshot",IF(ISNUMBER(G448),G448,"unavailable"),IF(AND(ISNUMBER(K448),N(K448)&gt;0),K448,IF('IPO Live'!$M$5="Auto",IF(ISNUMBER(G448),G448,"unavailable"),"unavailable")))</f>
        <v/>
      </c>
      <c r="P448" s="15">
        <f>IF(AND('IPO Live'!$M$5&lt;&gt;"Snapshot",ISNUMBER(K448),N(K448)&gt;0),"Bloomberg",IF(AND('IPO Live'!$M$5&lt;&gt;"Bloomberg",ISNUMBER(G448)),"Snapshot","Unavailable"))</f>
        <v/>
      </c>
      <c r="Q448" s="33">
        <f>IF(AND(P448="Bloomberg",ISNUMBER(L448)),L448,"unavailable")</f>
        <v/>
      </c>
      <c r="R448" s="15">
        <f>IF(OR('IPO Live'!$B$5="All",'IPO Live'!$B$5=C448,AND('IPO Live'!$B$5="A/H only",J448&gt;0)),1,0)</f>
        <v/>
      </c>
      <c r="S448" s="15">
        <f>IF(R448=1,COUNTIF($R$5:R448,1),"")</f>
        <v/>
      </c>
      <c r="T448">
        <f>IF(ISNUMBER($U448),IF($U448&gt;=DATEVALUE("2024-08-01"),3.0,1),"unavailable")</f>
        <v/>
      </c>
      <c r="U448">
        <f>IF($P448="Bloomberg",$M448,$H448)</f>
        <v/>
      </c>
      <c r="AW448">
        <f>IF(AND(J448&gt;0,OR(AH!$I$5="All",AH!$I$5="A/H only",AH!$I$5=C448)),1,0)</f>
        <v/>
      </c>
      <c r="AX448">
        <f>IF(AW448=1,COUNTIF($AW$5:AW448,1),"")</f>
        <v/>
      </c>
      <c r="AY448">
        <f>IF(AH!$M$5="Snapshot",IF(ISNUMBER(G448),G448,"unavailable"),IF(AND(ISNUMBER(K448),N(K448)&gt;0),K448,IF(AH!$M$5="Auto",IF(ISNUMBER(G448),G448,"unavailable"),"unavailable")))</f>
        <v/>
      </c>
      <c r="AZ448">
        <f>IF(AND(AH!$M$5&lt;&gt;"Snapshot",ISNUMBER(K448),N(K448)&gt;0),"Bloomberg",IF(AND(AH!$M$5&lt;&gt;"Bloomberg",ISNUMBER(G448)),"Snapshot","Unavailable"))</f>
        <v/>
      </c>
      <c r="BA448">
        <f>IF(AZ448="Bloomberg",M448,H448)</f>
        <v/>
      </c>
      <c r="BB448">
        <f>IF(ISNUMBER($BA448),IF($BA448&gt;=DATEVALUE("2024-08-01"),3.0,1),"unavailable")</f>
        <v/>
      </c>
    </row>
    <row r="449">
      <c r="A449" s="31" t="inlineStr">
        <is>
          <t>9607</t>
        </is>
      </c>
      <c r="B449" s="15" t="inlineStr">
        <is>
          <t>RA MATERIALS</t>
        </is>
      </c>
      <c r="C449" s="15" t="inlineStr">
        <is>
          <t>Materials/Energy</t>
        </is>
      </c>
      <c r="D449" s="15" t="inlineStr">
        <is>
          <t>Chemicals</t>
        </is>
      </c>
      <c r="E449" s="34" t="n">
        <v>46294</v>
      </c>
      <c r="F449" s="15" t="n">
        <v>44</v>
      </c>
      <c r="G449" s="15" t="n">
        <v>40.32</v>
      </c>
      <c r="H449" s="34" t="n">
        <v>46297</v>
      </c>
      <c r="I449" s="31" t="n"/>
      <c r="J449" s="15" t="n">
        <v>0</v>
      </c>
      <c r="K449" s="15">
        <f>IF(AND(AH!$M$5="Snapshot",'IPO Live'!$M$5="Snapshot"),"",IFERROR(BDP(TEXT(VALUE($A449),"0")&amp;" HK Equity","PX_LAST"),""))</f>
        <v/>
      </c>
      <c r="L449" s="15">
        <f>IF(AND(AH!$M$5="Snapshot",'IPO Live'!$M$5="Snapshot"),"",IFERROR(BDP(TEXT(VALUE($A449),"0")&amp;" HK Equity","CHG_PCT_1D")/100,""))</f>
        <v/>
      </c>
      <c r="M449" s="15">
        <f>IF(AND(AH!$M$5="Snapshot",'IPO Live'!$M$5="Snapshot"),"",IFERROR(BDP(TEXT(VALUE($A449),"0")&amp;" HK Equity","LAST_UPDATE_DT"),""))</f>
        <v/>
      </c>
      <c r="N449" s="15">
        <f>IF(AND(AH!$M$5="Snapshot",'IPO Live'!$M$5="Snapshot"),"",IFERROR(BDP(TEXT(VALUE($A449),"0")&amp;" HK Equity","LAST_UPDATE"),""))</f>
        <v/>
      </c>
      <c r="O449" s="15">
        <f>IF('IPO Live'!$M$5="Snapshot",IF(ISNUMBER(G449),G449,"unavailable"),IF(AND(ISNUMBER(K449),N(K449)&gt;0),K449,IF('IPO Live'!$M$5="Auto",IF(ISNUMBER(G449),G449,"unavailable"),"unavailable")))</f>
        <v/>
      </c>
      <c r="P449" s="15">
        <f>IF(AND('IPO Live'!$M$5&lt;&gt;"Snapshot",ISNUMBER(K449),N(K449)&gt;0),"Bloomberg",IF(AND('IPO Live'!$M$5&lt;&gt;"Bloomberg",ISNUMBER(G449)),"Snapshot","Unavailable"))</f>
        <v/>
      </c>
      <c r="Q449" s="33">
        <f>IF(AND(P449="Bloomberg",ISNUMBER(L449)),L449,"unavailable")</f>
        <v/>
      </c>
      <c r="R449" s="15">
        <f>IF(OR('IPO Live'!$B$5="All",'IPO Live'!$B$5=C449,AND('IPO Live'!$B$5="A/H only",J449&gt;0)),1,0)</f>
        <v/>
      </c>
      <c r="S449" s="15">
        <f>IF(R449=1,COUNTIF($R$5:R449,1),"")</f>
        <v/>
      </c>
      <c r="T449">
        <f>1</f>
        <v/>
      </c>
      <c r="U449">
        <f>IF($P449="Bloomberg",$M449,$H449)</f>
        <v/>
      </c>
      <c r="AW449">
        <f>IF(AND(J449&gt;0,OR(AH!$I$5="All",AH!$I$5="A/H only",AH!$I$5=C449)),1,0)</f>
        <v/>
      </c>
      <c r="AX449">
        <f>IF(AW449=1,COUNTIF($AW$5:AW449,1),"")</f>
        <v/>
      </c>
      <c r="AY449">
        <f>IF(AH!$M$5="Snapshot",IF(ISNUMBER(G449),G449,"unavailable"),IF(AND(ISNUMBER(K449),N(K449)&gt;0),K449,IF(AH!$M$5="Auto",IF(ISNUMBER(G449),G449,"unavailable"),"unavailable")))</f>
        <v/>
      </c>
      <c r="AZ449">
        <f>IF(AND(AH!$M$5&lt;&gt;"Snapshot",ISNUMBER(K449),N(K449)&gt;0),"Bloomberg",IF(AND(AH!$M$5&lt;&gt;"Bloomberg",ISNUMBER(G449)),"Snapshot","Unavailable"))</f>
        <v/>
      </c>
      <c r="BA449">
        <f>IF(AZ449="Bloomberg",M449,H449)</f>
        <v/>
      </c>
      <c r="BB449">
        <f>1</f>
        <v/>
      </c>
    </row>
    <row r="450">
      <c r="A450" s="31" t="inlineStr">
        <is>
          <t>6745</t>
        </is>
      </c>
      <c r="B450" s="15" t="inlineStr">
        <is>
          <t>BEFAR GROUP</t>
        </is>
      </c>
      <c r="C450" s="15" t="inlineStr">
        <is>
          <t>Materials/Energy</t>
        </is>
      </c>
      <c r="D450" s="15" t="inlineStr">
        <is>
          <t>Chemicals</t>
        </is>
      </c>
      <c r="E450" s="34" t="n">
        <v>46213</v>
      </c>
      <c r="F450" s="15" t="n">
        <v>3.48</v>
      </c>
      <c r="G450" s="15" t="n">
        <v>2.8</v>
      </c>
      <c r="H450" s="34" t="n">
        <v>46297</v>
      </c>
      <c r="I450" s="31" t="inlineStr">
        <is>
          <t>601678.SS</t>
        </is>
      </c>
      <c r="J450" s="15" t="n">
        <v>63</v>
      </c>
      <c r="K450" s="15">
        <f>IF(AND(AH!$M$5="Snapshot",'IPO Live'!$M$5="Snapshot"),"",IFERROR(BDP(TEXT(VALUE($A450),"0")&amp;" HK Equity","PX_LAST"),""))</f>
        <v/>
      </c>
      <c r="L450" s="15">
        <f>IF(AND(AH!$M$5="Snapshot",'IPO Live'!$M$5="Snapshot"),"",IFERROR(BDP(TEXT(VALUE($A450),"0")&amp;" HK Equity","CHG_PCT_1D")/100,""))</f>
        <v/>
      </c>
      <c r="M450" s="15">
        <f>IF(AND(AH!$M$5="Snapshot",'IPO Live'!$M$5="Snapshot"),"",IFERROR(BDP(TEXT(VALUE($A450),"0")&amp;" HK Equity","LAST_UPDATE_DT"),""))</f>
        <v/>
      </c>
      <c r="N450" s="15">
        <f>IF(AND(AH!$M$5="Snapshot",'IPO Live'!$M$5="Snapshot"),"",IFERROR(BDP(TEXT(VALUE($A450),"0")&amp;" HK Equity","LAST_UPDATE"),""))</f>
        <v/>
      </c>
      <c r="O450" s="15">
        <f>IF('IPO Live'!$M$5="Snapshot",IF(ISNUMBER(G450),G450,"unavailable"),IF(AND(ISNUMBER(K450),N(K450)&gt;0),K450,IF('IPO Live'!$M$5="Auto",IF(ISNUMBER(G450),G450,"unavailable"),"unavailable")))</f>
        <v/>
      </c>
      <c r="P450" s="15">
        <f>IF(AND('IPO Live'!$M$5&lt;&gt;"Snapshot",ISNUMBER(K450),N(K450)&gt;0),"Bloomberg",IF(AND('IPO Live'!$M$5&lt;&gt;"Bloomberg",ISNUMBER(G450)),"Snapshot","Unavailable"))</f>
        <v/>
      </c>
      <c r="Q450" s="33">
        <f>IF(AND(P450="Bloomberg",ISNUMBER(L450)),L450,"unavailable")</f>
        <v/>
      </c>
      <c r="R450" s="15">
        <f>IF(OR('IPO Live'!$B$5="All",'IPO Live'!$B$5=C450,AND('IPO Live'!$B$5="A/H only",J450&gt;0)),1,0)</f>
        <v/>
      </c>
      <c r="S450" s="15">
        <f>IF(R450=1,COUNTIF($R$5:R450,1),"")</f>
        <v/>
      </c>
      <c r="T450">
        <f>1</f>
        <v/>
      </c>
      <c r="U450">
        <f>IF($P450="Bloomberg",$M450,$H450)</f>
        <v/>
      </c>
      <c r="AW450">
        <f>IF(AND(J450&gt;0,OR(AH!$I$5="All",AH!$I$5="A/H only",AH!$I$5=C450)),1,0)</f>
        <v/>
      </c>
      <c r="AX450">
        <f>IF(AW450=1,COUNTIF($AW$5:AW450,1),"")</f>
        <v/>
      </c>
      <c r="AY450">
        <f>IF(AH!$M$5="Snapshot",IF(ISNUMBER(G450),G450,"unavailable"),IF(AND(ISNUMBER(K450),N(K450)&gt;0),K450,IF(AH!$M$5="Auto",IF(ISNUMBER(G450),G450,"unavailable"),"unavailable")))</f>
        <v/>
      </c>
      <c r="AZ450">
        <f>IF(AND(AH!$M$5&lt;&gt;"Snapshot",ISNUMBER(K450),N(K450)&gt;0),"Bloomberg",IF(AND(AH!$M$5&lt;&gt;"Bloomberg",ISNUMBER(G450)),"Snapshot","Unavailable"))</f>
        <v/>
      </c>
      <c r="BA450">
        <f>IF(AZ450="Bloomberg",M450,H450)</f>
        <v/>
      </c>
      <c r="BB450">
        <f>1</f>
        <v/>
      </c>
    </row>
    <row r="451">
      <c r="A451" s="31" t="inlineStr">
        <is>
          <t>6228</t>
        </is>
      </c>
      <c r="B451" s="15" t="inlineStr">
        <is>
          <t>MERDEKAGOLD-DRS</t>
        </is>
      </c>
      <c r="C451" s="15" t="inlineStr">
        <is>
          <t>Materials/Energy</t>
        </is>
      </c>
      <c r="D451" s="15" t="inlineStr">
        <is>
          <t>Mining / metals</t>
        </is>
      </c>
      <c r="E451" s="34" t="n">
        <v>46199</v>
      </c>
      <c r="F451" s="15" t="n">
        <v>26.6</v>
      </c>
      <c r="G451" s="15" t="n">
        <v>33.72</v>
      </c>
      <c r="H451" s="34" t="n">
        <v>46297</v>
      </c>
      <c r="I451" s="31" t="n"/>
      <c r="J451" s="15" t="n">
        <v>0</v>
      </c>
      <c r="K451" s="15">
        <f>IF(AND(AH!$M$5="Snapshot",'IPO Live'!$M$5="Snapshot"),"",IFERROR(BDP(TEXT(VALUE($A451),"0")&amp;" HK Equity","PX_LAST"),""))</f>
        <v/>
      </c>
      <c r="L451" s="15">
        <f>IF(AND(AH!$M$5="Snapshot",'IPO Live'!$M$5="Snapshot"),"",IFERROR(BDP(TEXT(VALUE($A451),"0")&amp;" HK Equity","CHG_PCT_1D")/100,""))</f>
        <v/>
      </c>
      <c r="M451" s="15">
        <f>IF(AND(AH!$M$5="Snapshot",'IPO Live'!$M$5="Snapshot"),"",IFERROR(BDP(TEXT(VALUE($A451),"0")&amp;" HK Equity","LAST_UPDATE_DT"),""))</f>
        <v/>
      </c>
      <c r="N451" s="15">
        <f>IF(AND(AH!$M$5="Snapshot",'IPO Live'!$M$5="Snapshot"),"",IFERROR(BDP(TEXT(VALUE($A451),"0")&amp;" HK Equity","LAST_UPDATE"),""))</f>
        <v/>
      </c>
      <c r="O451" s="15">
        <f>IF('IPO Live'!$M$5="Snapshot",IF(ISNUMBER(G451),G451,"unavailable"),IF(AND(ISNUMBER(K451),N(K451)&gt;0),K451,IF('IPO Live'!$M$5="Auto",IF(ISNUMBER(G451),G451,"unavailable"),"unavailable")))</f>
        <v/>
      </c>
      <c r="P451" s="15">
        <f>IF(AND('IPO Live'!$M$5&lt;&gt;"Snapshot",ISNUMBER(K451),N(K451)&gt;0),"Bloomberg",IF(AND('IPO Live'!$M$5&lt;&gt;"Bloomberg",ISNUMBER(G451)),"Snapshot","Unavailable"))</f>
        <v/>
      </c>
      <c r="Q451" s="33">
        <f>IF(AND(P451="Bloomberg",ISNUMBER(L451)),L451,"unavailable")</f>
        <v/>
      </c>
      <c r="R451" s="15">
        <f>IF(OR('IPO Live'!$B$5="All",'IPO Live'!$B$5=C451,AND('IPO Live'!$B$5="A/H only",J451&gt;0)),1,0)</f>
        <v/>
      </c>
      <c r="S451" s="15">
        <f>IF(R451=1,COUNTIF($R$5:R451,1),"")</f>
        <v/>
      </c>
      <c r="T451">
        <f>1</f>
        <v/>
      </c>
      <c r="U451">
        <f>IF($P451="Bloomberg",$M451,$H451)</f>
        <v/>
      </c>
      <c r="AW451">
        <f>IF(AND(J451&gt;0,OR(AH!$I$5="All",AH!$I$5="A/H only",AH!$I$5=C451)),1,0)</f>
        <v/>
      </c>
      <c r="AX451">
        <f>IF(AW451=1,COUNTIF($AW$5:AW451,1),"")</f>
        <v/>
      </c>
      <c r="AY451">
        <f>IF(AH!$M$5="Snapshot",IF(ISNUMBER(G451),G451,"unavailable"),IF(AND(ISNUMBER(K451),N(K451)&gt;0),K451,IF(AH!$M$5="Auto",IF(ISNUMBER(G451),G451,"unavailable"),"unavailable")))</f>
        <v/>
      </c>
      <c r="AZ451">
        <f>IF(AND(AH!$M$5&lt;&gt;"Snapshot",ISNUMBER(K451),N(K451)&gt;0),"Bloomberg",IF(AND(AH!$M$5&lt;&gt;"Bloomberg",ISNUMBER(G451)),"Snapshot","Unavailable"))</f>
        <v/>
      </c>
      <c r="BA451">
        <f>IF(AZ451="Bloomberg",M451,H451)</f>
        <v/>
      </c>
      <c r="BB451">
        <f>1</f>
        <v/>
      </c>
    </row>
    <row r="452">
      <c r="A452" s="31" t="inlineStr">
        <is>
          <t>2553</t>
        </is>
      </c>
      <c r="B452" s="15" t="inlineStr">
        <is>
          <t>SHOUGANG LANZA</t>
        </is>
      </c>
      <c r="C452" s="15" t="inlineStr">
        <is>
          <t>Materials/Energy</t>
        </is>
      </c>
      <c r="D452" s="15" t="inlineStr">
        <is>
          <t>Chemicals</t>
        </is>
      </c>
      <c r="E452" s="34" t="n">
        <v>46176</v>
      </c>
      <c r="F452" s="15" t="n">
        <v>14.6</v>
      </c>
      <c r="G452" s="15" t="n">
        <v>11.79</v>
      </c>
      <c r="H452" s="34" t="n">
        <v>46297</v>
      </c>
      <c r="I452" s="31" t="n"/>
      <c r="J452" s="15" t="n">
        <v>0</v>
      </c>
      <c r="K452" s="15">
        <f>IF(AND(AH!$M$5="Snapshot",'IPO Live'!$M$5="Snapshot"),"",IFERROR(BDP(TEXT(VALUE($A452),"0")&amp;" HK Equity","PX_LAST"),""))</f>
        <v/>
      </c>
      <c r="L452" s="15">
        <f>IF(AND(AH!$M$5="Snapshot",'IPO Live'!$M$5="Snapshot"),"",IFERROR(BDP(TEXT(VALUE($A452),"0")&amp;" HK Equity","CHG_PCT_1D")/100,""))</f>
        <v/>
      </c>
      <c r="M452" s="15">
        <f>IF(AND(AH!$M$5="Snapshot",'IPO Live'!$M$5="Snapshot"),"",IFERROR(BDP(TEXT(VALUE($A452),"0")&amp;" HK Equity","LAST_UPDATE_DT"),""))</f>
        <v/>
      </c>
      <c r="N452" s="15">
        <f>IF(AND(AH!$M$5="Snapshot",'IPO Live'!$M$5="Snapshot"),"",IFERROR(BDP(TEXT(VALUE($A452),"0")&amp;" HK Equity","LAST_UPDATE"),""))</f>
        <v/>
      </c>
      <c r="O452" s="15">
        <f>IF('IPO Live'!$M$5="Snapshot",IF(ISNUMBER(G452),G452,"unavailable"),IF(AND(ISNUMBER(K452),N(K452)&gt;0),K452,IF('IPO Live'!$M$5="Auto",IF(ISNUMBER(G452),G452,"unavailable"),"unavailable")))</f>
        <v/>
      </c>
      <c r="P452" s="15">
        <f>IF(AND('IPO Live'!$M$5&lt;&gt;"Snapshot",ISNUMBER(K452),N(K452)&gt;0),"Bloomberg",IF(AND('IPO Live'!$M$5&lt;&gt;"Bloomberg",ISNUMBER(G452)),"Snapshot","Unavailable"))</f>
        <v/>
      </c>
      <c r="Q452" s="33">
        <f>IF(AND(P452="Bloomberg",ISNUMBER(L452)),L452,"unavailable")</f>
        <v/>
      </c>
      <c r="R452" s="15">
        <f>IF(OR('IPO Live'!$B$5="All",'IPO Live'!$B$5=C452,AND('IPO Live'!$B$5="A/H only",J452&gt;0)),1,0)</f>
        <v/>
      </c>
      <c r="S452" s="15">
        <f>IF(R452=1,COUNTIF($R$5:R452,1),"")</f>
        <v/>
      </c>
      <c r="T452">
        <f>1</f>
        <v/>
      </c>
      <c r="U452">
        <f>IF($P452="Bloomberg",$M452,$H452)</f>
        <v/>
      </c>
      <c r="AW452">
        <f>IF(AND(J452&gt;0,OR(AH!$I$5="All",AH!$I$5="A/H only",AH!$I$5=C452)),1,0)</f>
        <v/>
      </c>
      <c r="AX452">
        <f>IF(AW452=1,COUNTIF($AW$5:AW452,1),"")</f>
        <v/>
      </c>
      <c r="AY452">
        <f>IF(AH!$M$5="Snapshot",IF(ISNUMBER(G452),G452,"unavailable"),IF(AND(ISNUMBER(K452),N(K452)&gt;0),K452,IF(AH!$M$5="Auto",IF(ISNUMBER(G452),G452,"unavailable"),"unavailable")))</f>
        <v/>
      </c>
      <c r="AZ452">
        <f>IF(AND(AH!$M$5&lt;&gt;"Snapshot",ISNUMBER(K452),N(K452)&gt;0),"Bloomberg",IF(AND(AH!$M$5&lt;&gt;"Bloomberg",ISNUMBER(G452)),"Snapshot","Unavailable"))</f>
        <v/>
      </c>
      <c r="BA452">
        <f>IF(AZ452="Bloomberg",M452,H452)</f>
        <v/>
      </c>
      <c r="BB452">
        <f>1</f>
        <v/>
      </c>
    </row>
    <row r="453">
      <c r="A453" s="31" t="inlineStr">
        <is>
          <t>9981</t>
        </is>
      </c>
      <c r="B453" s="15" t="inlineStr">
        <is>
          <t>WOER</t>
        </is>
      </c>
      <c r="C453" s="15" t="inlineStr">
        <is>
          <t>Materials/Energy</t>
        </is>
      </c>
      <c r="D453" s="15" t="inlineStr">
        <is>
          <t>Chemicals</t>
        </is>
      </c>
      <c r="E453" s="34" t="n">
        <v>46066</v>
      </c>
      <c r="F453" s="15" t="n">
        <v>20.09</v>
      </c>
      <c r="G453" s="15" t="n">
        <v>8.1</v>
      </c>
      <c r="H453" s="34" t="n">
        <v>46297</v>
      </c>
      <c r="I453" s="31" t="inlineStr">
        <is>
          <t>002130.SZ</t>
        </is>
      </c>
      <c r="J453" s="15" t="n">
        <v>43</v>
      </c>
      <c r="K453" s="15">
        <f>IF(AND(AH!$M$5="Snapshot",'IPO Live'!$M$5="Snapshot"),"",IFERROR(BDP(TEXT(VALUE($A453),"0")&amp;" HK Equity","PX_LAST"),""))</f>
        <v/>
      </c>
      <c r="L453" s="15">
        <f>IF(AND(AH!$M$5="Snapshot",'IPO Live'!$M$5="Snapshot"),"",IFERROR(BDP(TEXT(VALUE($A453),"0")&amp;" HK Equity","CHG_PCT_1D")/100,""))</f>
        <v/>
      </c>
      <c r="M453" s="15">
        <f>IF(AND(AH!$M$5="Snapshot",'IPO Live'!$M$5="Snapshot"),"",IFERROR(BDP(TEXT(VALUE($A453),"0")&amp;" HK Equity","LAST_UPDATE_DT"),""))</f>
        <v/>
      </c>
      <c r="N453" s="15">
        <f>IF(AND(AH!$M$5="Snapshot",'IPO Live'!$M$5="Snapshot"),"",IFERROR(BDP(TEXT(VALUE($A453),"0")&amp;" HK Equity","LAST_UPDATE"),""))</f>
        <v/>
      </c>
      <c r="O453" s="15">
        <f>IF('IPO Live'!$M$5="Snapshot",IF(ISNUMBER(G453),G453,"unavailable"),IF(AND(ISNUMBER(K453),N(K453)&gt;0),K453,IF('IPO Live'!$M$5="Auto",IF(ISNUMBER(G453),G453,"unavailable"),"unavailable")))</f>
        <v/>
      </c>
      <c r="P453" s="15">
        <f>IF(AND('IPO Live'!$M$5&lt;&gt;"Snapshot",ISNUMBER(K453),N(K453)&gt;0),"Bloomberg",IF(AND('IPO Live'!$M$5&lt;&gt;"Bloomberg",ISNUMBER(G453)),"Snapshot","Unavailable"))</f>
        <v/>
      </c>
      <c r="Q453" s="33">
        <f>IF(AND(P453="Bloomberg",ISNUMBER(L453)),L453,"unavailable")</f>
        <v/>
      </c>
      <c r="R453" s="15">
        <f>IF(OR('IPO Live'!$B$5="All",'IPO Live'!$B$5=C453,AND('IPO Live'!$B$5="A/H only",J453&gt;0)),1,0)</f>
        <v/>
      </c>
      <c r="S453" s="15">
        <f>IF(R453=1,COUNTIF($R$5:R453,1),"")</f>
        <v/>
      </c>
      <c r="T453">
        <f>1</f>
        <v/>
      </c>
      <c r="U453">
        <f>IF($P453="Bloomberg",$M453,$H453)</f>
        <v/>
      </c>
      <c r="AW453">
        <f>IF(AND(J453&gt;0,OR(AH!$I$5="All",AH!$I$5="A/H only",AH!$I$5=C453)),1,0)</f>
        <v/>
      </c>
      <c r="AX453">
        <f>IF(AW453=1,COUNTIF($AW$5:AW453,1),"")</f>
        <v/>
      </c>
      <c r="AY453">
        <f>IF(AH!$M$5="Snapshot",IF(ISNUMBER(G453),G453,"unavailable"),IF(AND(ISNUMBER(K453),N(K453)&gt;0),K453,IF(AH!$M$5="Auto",IF(ISNUMBER(G453),G453,"unavailable"),"unavailable")))</f>
        <v/>
      </c>
      <c r="AZ453">
        <f>IF(AND(AH!$M$5&lt;&gt;"Snapshot",ISNUMBER(K453),N(K453)&gt;0),"Bloomberg",IF(AND(AH!$M$5&lt;&gt;"Bloomberg",ISNUMBER(G453)),"Snapshot","Unavailable"))</f>
        <v/>
      </c>
      <c r="BA453">
        <f>IF(AZ453="Bloomberg",M453,H453)</f>
        <v/>
      </c>
      <c r="BB453">
        <f>1</f>
        <v/>
      </c>
    </row>
    <row r="454">
      <c r="A454" s="31" t="inlineStr">
        <is>
          <t>3636</t>
        </is>
      </c>
      <c r="B454" s="15" t="inlineStr">
        <is>
          <t>JINXUN RESOURCE</t>
        </is>
      </c>
      <c r="C454" s="15" t="inlineStr">
        <is>
          <t>Materials/Energy</t>
        </is>
      </c>
      <c r="D454" s="15" t="inlineStr">
        <is>
          <t>Mining / metals</t>
        </is>
      </c>
      <c r="E454" s="34" t="n">
        <v>46031</v>
      </c>
      <c r="F454" s="15" t="n">
        <v>30</v>
      </c>
      <c r="G454" s="15" t="n">
        <v>15.51</v>
      </c>
      <c r="H454" s="34" t="n">
        <v>46297</v>
      </c>
      <c r="I454" s="31" t="n"/>
      <c r="J454" s="15" t="n">
        <v>0</v>
      </c>
      <c r="K454" s="15">
        <f>IF(AND(AH!$M$5="Snapshot",'IPO Live'!$M$5="Snapshot"),"",IFERROR(BDP(TEXT(VALUE($A454),"0")&amp;" HK Equity","PX_LAST"),""))</f>
        <v/>
      </c>
      <c r="L454" s="15">
        <f>IF(AND(AH!$M$5="Snapshot",'IPO Live'!$M$5="Snapshot"),"",IFERROR(BDP(TEXT(VALUE($A454),"0")&amp;" HK Equity","CHG_PCT_1D")/100,""))</f>
        <v/>
      </c>
      <c r="M454" s="15">
        <f>IF(AND(AH!$M$5="Snapshot",'IPO Live'!$M$5="Snapshot"),"",IFERROR(BDP(TEXT(VALUE($A454),"0")&amp;" HK Equity","LAST_UPDATE_DT"),""))</f>
        <v/>
      </c>
      <c r="N454" s="15">
        <f>IF(AND(AH!$M$5="Snapshot",'IPO Live'!$M$5="Snapshot"),"",IFERROR(BDP(TEXT(VALUE($A454),"0")&amp;" HK Equity","LAST_UPDATE"),""))</f>
        <v/>
      </c>
      <c r="O454" s="15">
        <f>IF('IPO Live'!$M$5="Snapshot",IF(ISNUMBER(G454),G454,"unavailable"),IF(AND(ISNUMBER(K454),N(K454)&gt;0),K454,IF('IPO Live'!$M$5="Auto",IF(ISNUMBER(G454),G454,"unavailable"),"unavailable")))</f>
        <v/>
      </c>
      <c r="P454" s="15">
        <f>IF(AND('IPO Live'!$M$5&lt;&gt;"Snapshot",ISNUMBER(K454),N(K454)&gt;0),"Bloomberg",IF(AND('IPO Live'!$M$5&lt;&gt;"Bloomberg",ISNUMBER(G454)),"Snapshot","Unavailable"))</f>
        <v/>
      </c>
      <c r="Q454" s="33">
        <f>IF(AND(P454="Bloomberg",ISNUMBER(L454)),L454,"unavailable")</f>
        <v/>
      </c>
      <c r="R454" s="15">
        <f>IF(OR('IPO Live'!$B$5="All",'IPO Live'!$B$5=C454,AND('IPO Live'!$B$5="A/H only",J454&gt;0)),1,0)</f>
        <v/>
      </c>
      <c r="S454" s="15">
        <f>IF(R454=1,COUNTIF($R$5:R454,1),"")</f>
        <v/>
      </c>
      <c r="T454">
        <f>1</f>
        <v/>
      </c>
      <c r="U454">
        <f>IF($P454="Bloomberg",$M454,$H454)</f>
        <v/>
      </c>
      <c r="AW454">
        <f>IF(AND(J454&gt;0,OR(AH!$I$5="All",AH!$I$5="A/H only",AH!$I$5=C454)),1,0)</f>
        <v/>
      </c>
      <c r="AX454">
        <f>IF(AW454=1,COUNTIF($AW$5:AW454,1),"")</f>
        <v/>
      </c>
      <c r="AY454">
        <f>IF(AH!$M$5="Snapshot",IF(ISNUMBER(G454),G454,"unavailable"),IF(AND(ISNUMBER(K454),N(K454)&gt;0),K454,IF(AH!$M$5="Auto",IF(ISNUMBER(G454),G454,"unavailable"),"unavailable")))</f>
        <v/>
      </c>
      <c r="AZ454">
        <f>IF(AND(AH!$M$5&lt;&gt;"Snapshot",ISNUMBER(K454),N(K454)&gt;0),"Bloomberg",IF(AND(AH!$M$5&lt;&gt;"Bloomberg",ISNUMBER(G454)),"Snapshot","Unavailable"))</f>
        <v/>
      </c>
      <c r="BA454">
        <f>IF(AZ454="Bloomberg",M454,H454)</f>
        <v/>
      </c>
      <c r="BB454">
        <f>1</f>
        <v/>
      </c>
    </row>
    <row r="455">
      <c r="A455" s="31" t="inlineStr">
        <is>
          <t>2546</t>
        </is>
      </c>
      <c r="B455" s="15" t="inlineStr">
        <is>
          <t>ZHIHUI MINING</t>
        </is>
      </c>
      <c r="C455" s="15" t="inlineStr">
        <is>
          <t>Materials/Energy</t>
        </is>
      </c>
      <c r="D455" s="15" t="inlineStr">
        <is>
          <t>Mining / metals</t>
        </is>
      </c>
      <c r="E455" s="34" t="n">
        <v>46010</v>
      </c>
      <c r="F455" s="15" t="n">
        <v>4.51</v>
      </c>
      <c r="G455" s="15" t="n">
        <v>20.32</v>
      </c>
      <c r="H455" s="34" t="n">
        <v>46297</v>
      </c>
      <c r="I455" s="31" t="n"/>
      <c r="J455" s="15" t="n">
        <v>0</v>
      </c>
      <c r="K455" s="15">
        <f>IF(AND(AH!$M$5="Snapshot",'IPO Live'!$M$5="Snapshot"),"",IFERROR(BDP(TEXT(VALUE($A455),"0")&amp;" HK Equity","PX_LAST"),""))</f>
        <v/>
      </c>
      <c r="L455" s="15">
        <f>IF(AND(AH!$M$5="Snapshot",'IPO Live'!$M$5="Snapshot"),"",IFERROR(BDP(TEXT(VALUE($A455),"0")&amp;" HK Equity","CHG_PCT_1D")/100,""))</f>
        <v/>
      </c>
      <c r="M455" s="15">
        <f>IF(AND(AH!$M$5="Snapshot",'IPO Live'!$M$5="Snapshot"),"",IFERROR(BDP(TEXT(VALUE($A455),"0")&amp;" HK Equity","LAST_UPDATE_DT"),""))</f>
        <v/>
      </c>
      <c r="N455" s="15">
        <f>IF(AND(AH!$M$5="Snapshot",'IPO Live'!$M$5="Snapshot"),"",IFERROR(BDP(TEXT(VALUE($A455),"0")&amp;" HK Equity","LAST_UPDATE"),""))</f>
        <v/>
      </c>
      <c r="O455" s="15">
        <f>IF('IPO Live'!$M$5="Snapshot",IF(ISNUMBER(G455),G455,"unavailable"),IF(AND(ISNUMBER(K455),N(K455)&gt;0),K455,IF('IPO Live'!$M$5="Auto",IF(ISNUMBER(G455),G455,"unavailable"),"unavailable")))</f>
        <v/>
      </c>
      <c r="P455" s="15">
        <f>IF(AND('IPO Live'!$M$5&lt;&gt;"Snapshot",ISNUMBER(K455),N(K455)&gt;0),"Bloomberg",IF(AND('IPO Live'!$M$5&lt;&gt;"Bloomberg",ISNUMBER(G455)),"Snapshot","Unavailable"))</f>
        <v/>
      </c>
      <c r="Q455" s="33">
        <f>IF(AND(P455="Bloomberg",ISNUMBER(L455)),L455,"unavailable")</f>
        <v/>
      </c>
      <c r="R455" s="15">
        <f>IF(OR('IPO Live'!$B$5="All",'IPO Live'!$B$5=C455,AND('IPO Live'!$B$5="A/H only",J455&gt;0)),1,0)</f>
        <v/>
      </c>
      <c r="S455" s="15">
        <f>IF(R455=1,COUNTIF($R$5:R455,1),"")</f>
        <v/>
      </c>
      <c r="T455">
        <f>1</f>
        <v/>
      </c>
      <c r="U455">
        <f>IF($P455="Bloomberg",$M455,$H455)</f>
        <v/>
      </c>
      <c r="AW455">
        <f>IF(AND(J455&gt;0,OR(AH!$I$5="All",AH!$I$5="A/H only",AH!$I$5=C455)),1,0)</f>
        <v/>
      </c>
      <c r="AX455">
        <f>IF(AW455=1,COUNTIF($AW$5:AW455,1),"")</f>
        <v/>
      </c>
      <c r="AY455">
        <f>IF(AH!$M$5="Snapshot",IF(ISNUMBER(G455),G455,"unavailable"),IF(AND(ISNUMBER(K455),N(K455)&gt;0),K455,IF(AH!$M$5="Auto",IF(ISNUMBER(G455),G455,"unavailable"),"unavailable")))</f>
        <v/>
      </c>
      <c r="AZ455">
        <f>IF(AND(AH!$M$5&lt;&gt;"Snapshot",ISNUMBER(K455),N(K455)&gt;0),"Bloomberg",IF(AND(AH!$M$5&lt;&gt;"Bloomberg",ISNUMBER(G455)),"Snapshot","Unavailable"))</f>
        <v/>
      </c>
      <c r="BA455">
        <f>IF(AZ455="Bloomberg",M455,H455)</f>
        <v/>
      </c>
      <c r="BB455">
        <f>1</f>
        <v/>
      </c>
    </row>
    <row r="456">
      <c r="A456" s="31" t="inlineStr">
        <is>
          <t>2693</t>
        </is>
      </c>
      <c r="B456" s="15" t="inlineStr">
        <is>
          <t>JINYAN KAOLIN</t>
        </is>
      </c>
      <c r="C456" s="15" t="inlineStr">
        <is>
          <t>Materials/Energy</t>
        </is>
      </c>
      <c r="D456" s="15" t="inlineStr">
        <is>
          <t>Mining / metals</t>
        </is>
      </c>
      <c r="E456" s="34" t="n">
        <v>45994</v>
      </c>
      <c r="F456" s="15" t="n">
        <v>7.3</v>
      </c>
      <c r="G456" s="15" t="n">
        <v>2.86</v>
      </c>
      <c r="H456" s="34" t="n">
        <v>46297</v>
      </c>
      <c r="I456" s="31" t="n"/>
      <c r="J456" s="15" t="n">
        <v>0</v>
      </c>
      <c r="K456" s="15">
        <f>IF(AND(AH!$M$5="Snapshot",'IPO Live'!$M$5="Snapshot"),"",IFERROR(BDP(TEXT(VALUE($A456),"0")&amp;" HK Equity","PX_LAST"),""))</f>
        <v/>
      </c>
      <c r="L456" s="15">
        <f>IF(AND(AH!$M$5="Snapshot",'IPO Live'!$M$5="Snapshot"),"",IFERROR(BDP(TEXT(VALUE($A456),"0")&amp;" HK Equity","CHG_PCT_1D")/100,""))</f>
        <v/>
      </c>
      <c r="M456" s="15">
        <f>IF(AND(AH!$M$5="Snapshot",'IPO Live'!$M$5="Snapshot"),"",IFERROR(BDP(TEXT(VALUE($A456),"0")&amp;" HK Equity","LAST_UPDATE_DT"),""))</f>
        <v/>
      </c>
      <c r="N456" s="15">
        <f>IF(AND(AH!$M$5="Snapshot",'IPO Live'!$M$5="Snapshot"),"",IFERROR(BDP(TEXT(VALUE($A456),"0")&amp;" HK Equity","LAST_UPDATE"),""))</f>
        <v/>
      </c>
      <c r="O456" s="15">
        <f>IF('IPO Live'!$M$5="Snapshot",IF(ISNUMBER(G456),G456,"unavailable"),IF(AND(ISNUMBER(K456),N(K456)&gt;0),K456,IF('IPO Live'!$M$5="Auto",IF(ISNUMBER(G456),G456,"unavailable"),"unavailable")))</f>
        <v/>
      </c>
      <c r="P456" s="15">
        <f>IF(AND('IPO Live'!$M$5&lt;&gt;"Snapshot",ISNUMBER(K456),N(K456)&gt;0),"Bloomberg",IF(AND('IPO Live'!$M$5&lt;&gt;"Bloomberg",ISNUMBER(G456)),"Snapshot","Unavailable"))</f>
        <v/>
      </c>
      <c r="Q456" s="33">
        <f>IF(AND(P456="Bloomberg",ISNUMBER(L456)),L456,"unavailable")</f>
        <v/>
      </c>
      <c r="R456" s="15">
        <f>IF(OR('IPO Live'!$B$5="All",'IPO Live'!$B$5=C456,AND('IPO Live'!$B$5="A/H only",J456&gt;0)),1,0)</f>
        <v/>
      </c>
      <c r="S456" s="15">
        <f>IF(R456=1,COUNTIF($R$5:R456,1),"")</f>
        <v/>
      </c>
      <c r="T456">
        <f>1</f>
        <v/>
      </c>
      <c r="U456">
        <f>IF($P456="Bloomberg",$M456,$H456)</f>
        <v/>
      </c>
      <c r="AW456">
        <f>IF(AND(J456&gt;0,OR(AH!$I$5="All",AH!$I$5="A/H only",AH!$I$5=C456)),1,0)</f>
        <v/>
      </c>
      <c r="AX456">
        <f>IF(AW456=1,COUNTIF($AW$5:AW456,1),"")</f>
        <v/>
      </c>
      <c r="AY456">
        <f>IF(AH!$M$5="Snapshot",IF(ISNUMBER(G456),G456,"unavailable"),IF(AND(ISNUMBER(K456),N(K456)&gt;0),K456,IF(AH!$M$5="Auto",IF(ISNUMBER(G456),G456,"unavailable"),"unavailable")))</f>
        <v/>
      </c>
      <c r="AZ456">
        <f>IF(AND(AH!$M$5&lt;&gt;"Snapshot",ISNUMBER(K456),N(K456)&gt;0),"Bloomberg",IF(AND(AH!$M$5&lt;&gt;"Bloomberg",ISNUMBER(G456)),"Snapshot","Unavailable"))</f>
        <v/>
      </c>
      <c r="BA456">
        <f>IF(AZ456="Bloomberg",M456,H456)</f>
        <v/>
      </c>
      <c r="BB456">
        <f>1</f>
        <v/>
      </c>
    </row>
    <row r="457">
      <c r="A457" s="31" t="inlineStr">
        <is>
          <t>9609</t>
        </is>
      </c>
      <c r="B457" s="15" t="inlineStr">
        <is>
          <t>HAIWEI ELEC</t>
        </is>
      </c>
      <c r="C457" s="15" t="inlineStr">
        <is>
          <t>Materials/Energy</t>
        </is>
      </c>
      <c r="D457" s="15" t="inlineStr">
        <is>
          <t>Chemicals</t>
        </is>
      </c>
      <c r="E457" s="34" t="n">
        <v>45989</v>
      </c>
      <c r="F457" s="15" t="n">
        <v>14.28</v>
      </c>
      <c r="G457" s="15" t="n">
        <v>6.895</v>
      </c>
      <c r="H457" s="34" t="n">
        <v>46297</v>
      </c>
      <c r="I457" s="31" t="n"/>
      <c r="J457" s="15" t="n">
        <v>0</v>
      </c>
      <c r="K457" s="15">
        <f>IF(AND(AH!$M$5="Snapshot",'IPO Live'!$M$5="Snapshot"),"",IFERROR(BDP(TEXT(VALUE($A457),"0")&amp;" HK Equity","PX_LAST"),""))</f>
        <v/>
      </c>
      <c r="L457" s="15">
        <f>IF(AND(AH!$M$5="Snapshot",'IPO Live'!$M$5="Snapshot"),"",IFERROR(BDP(TEXT(VALUE($A457),"0")&amp;" HK Equity","CHG_PCT_1D")/100,""))</f>
        <v/>
      </c>
      <c r="M457" s="15">
        <f>IF(AND(AH!$M$5="Snapshot",'IPO Live'!$M$5="Snapshot"),"",IFERROR(BDP(TEXT(VALUE($A457),"0")&amp;" HK Equity","LAST_UPDATE_DT"),""))</f>
        <v/>
      </c>
      <c r="N457" s="15">
        <f>IF(AND(AH!$M$5="Snapshot",'IPO Live'!$M$5="Snapshot"),"",IFERROR(BDP(TEXT(VALUE($A457),"0")&amp;" HK Equity","LAST_UPDATE"),""))</f>
        <v/>
      </c>
      <c r="O457" s="15">
        <f>IF('IPO Live'!$M$5="Snapshot",IF(ISNUMBER(G457),G457,"unavailable"),IF(AND(ISNUMBER(K457),N(K457)&gt;0),K457,IF('IPO Live'!$M$5="Auto",IF(ISNUMBER(G457),G457,"unavailable"),"unavailable")))</f>
        <v/>
      </c>
      <c r="P457" s="15">
        <f>IF(AND('IPO Live'!$M$5&lt;&gt;"Snapshot",ISNUMBER(K457),N(K457)&gt;0),"Bloomberg",IF(AND('IPO Live'!$M$5&lt;&gt;"Bloomberg",ISNUMBER(G457)),"Snapshot","Unavailable"))</f>
        <v/>
      </c>
      <c r="Q457" s="33">
        <f>IF(AND(P457="Bloomberg",ISNUMBER(L457)),L457,"unavailable")</f>
        <v/>
      </c>
      <c r="R457" s="15">
        <f>IF(OR('IPO Live'!$B$5="All",'IPO Live'!$B$5=C457,AND('IPO Live'!$B$5="A/H only",J457&gt;0)),1,0)</f>
        <v/>
      </c>
      <c r="S457" s="15">
        <f>IF(R457=1,COUNTIF($R$5:R457,1),"")</f>
        <v/>
      </c>
      <c r="T457">
        <f>1</f>
        <v/>
      </c>
      <c r="U457">
        <f>IF($P457="Bloomberg",$M457,$H457)</f>
        <v/>
      </c>
      <c r="AW457">
        <f>IF(AND(J457&gt;0,OR(AH!$I$5="All",AH!$I$5="A/H only",AH!$I$5=C457)),1,0)</f>
        <v/>
      </c>
      <c r="AX457">
        <f>IF(AW457=1,COUNTIF($AW$5:AW457,1),"")</f>
        <v/>
      </c>
      <c r="AY457">
        <f>IF(AH!$M$5="Snapshot",IF(ISNUMBER(G457),G457,"unavailable"),IF(AND(ISNUMBER(K457),N(K457)&gt;0),K457,IF(AH!$M$5="Auto",IF(ISNUMBER(G457),G457,"unavailable"),"unavailable")))</f>
        <v/>
      </c>
      <c r="AZ457">
        <f>IF(AND(AH!$M$5&lt;&gt;"Snapshot",ISNUMBER(K457),N(K457)&gt;0),"Bloomberg",IF(AND(AH!$M$5&lt;&gt;"Bloomberg",ISNUMBER(G457)),"Snapshot","Unavailable"))</f>
        <v/>
      </c>
      <c r="BA457">
        <f>IF(AZ457="Bloomberg",M457,H457)</f>
        <v/>
      </c>
      <c r="BB457">
        <f>1</f>
        <v/>
      </c>
    </row>
    <row r="458">
      <c r="A458" s="31" t="inlineStr">
        <is>
          <t>2788</t>
        </is>
      </c>
      <c r="B458" s="15" t="inlineStr">
        <is>
          <t>CHUANGXIN IND</t>
        </is>
      </c>
      <c r="C458" s="15" t="inlineStr">
        <is>
          <t>Materials/Energy</t>
        </is>
      </c>
      <c r="D458" s="15" t="inlineStr">
        <is>
          <t>Mining / metals</t>
        </is>
      </c>
      <c r="E458" s="34" t="n">
        <v>45985</v>
      </c>
      <c r="F458" s="15" t="n">
        <v>10.99</v>
      </c>
      <c r="G458" s="15" t="n">
        <v>14.88</v>
      </c>
      <c r="H458" s="34" t="n">
        <v>46297</v>
      </c>
      <c r="I458" s="31" t="n"/>
      <c r="J458" s="15" t="n">
        <v>0</v>
      </c>
      <c r="K458" s="15">
        <f>IF(AND(AH!$M$5="Snapshot",'IPO Live'!$M$5="Snapshot"),"",IFERROR(BDP(TEXT(VALUE($A458),"0")&amp;" HK Equity","PX_LAST"),""))</f>
        <v/>
      </c>
      <c r="L458" s="15">
        <f>IF(AND(AH!$M$5="Snapshot",'IPO Live'!$M$5="Snapshot"),"",IFERROR(BDP(TEXT(VALUE($A458),"0")&amp;" HK Equity","CHG_PCT_1D")/100,""))</f>
        <v/>
      </c>
      <c r="M458" s="15">
        <f>IF(AND(AH!$M$5="Snapshot",'IPO Live'!$M$5="Snapshot"),"",IFERROR(BDP(TEXT(VALUE($A458),"0")&amp;" HK Equity","LAST_UPDATE_DT"),""))</f>
        <v/>
      </c>
      <c r="N458" s="15">
        <f>IF(AND(AH!$M$5="Snapshot",'IPO Live'!$M$5="Snapshot"),"",IFERROR(BDP(TEXT(VALUE($A458),"0")&amp;" HK Equity","LAST_UPDATE"),""))</f>
        <v/>
      </c>
      <c r="O458" s="15">
        <f>IF('IPO Live'!$M$5="Snapshot",IF(ISNUMBER(G458),G458,"unavailable"),IF(AND(ISNUMBER(K458),N(K458)&gt;0),K458,IF('IPO Live'!$M$5="Auto",IF(ISNUMBER(G458),G458,"unavailable"),"unavailable")))</f>
        <v/>
      </c>
      <c r="P458" s="15">
        <f>IF(AND('IPO Live'!$M$5&lt;&gt;"Snapshot",ISNUMBER(K458),N(K458)&gt;0),"Bloomberg",IF(AND('IPO Live'!$M$5&lt;&gt;"Bloomberg",ISNUMBER(G458)),"Snapshot","Unavailable"))</f>
        <v/>
      </c>
      <c r="Q458" s="33">
        <f>IF(AND(P458="Bloomberg",ISNUMBER(L458)),L458,"unavailable")</f>
        <v/>
      </c>
      <c r="R458" s="15">
        <f>IF(OR('IPO Live'!$B$5="All",'IPO Live'!$B$5=C458,AND('IPO Live'!$B$5="A/H only",J458&gt;0)),1,0)</f>
        <v/>
      </c>
      <c r="S458" s="15">
        <f>IF(R458=1,COUNTIF($R$5:R458,1),"")</f>
        <v/>
      </c>
      <c r="T458">
        <f>1</f>
        <v/>
      </c>
      <c r="U458">
        <f>IF($P458="Bloomberg",$M458,$H458)</f>
        <v/>
      </c>
      <c r="AW458">
        <f>IF(AND(J458&gt;0,OR(AH!$I$5="All",AH!$I$5="A/H only",AH!$I$5=C458)),1,0)</f>
        <v/>
      </c>
      <c r="AX458">
        <f>IF(AW458=1,COUNTIF($AW$5:AW458,1),"")</f>
        <v/>
      </c>
      <c r="AY458">
        <f>IF(AH!$M$5="Snapshot",IF(ISNUMBER(G458),G458,"unavailable"),IF(AND(ISNUMBER(K458),N(K458)&gt;0),K458,IF(AH!$M$5="Auto",IF(ISNUMBER(G458),G458,"unavailable"),"unavailable")))</f>
        <v/>
      </c>
      <c r="AZ458">
        <f>IF(AND(AH!$M$5&lt;&gt;"Snapshot",ISNUMBER(K458),N(K458)&gt;0),"Bloomberg",IF(AND(AH!$M$5&lt;&gt;"Bloomberg",ISNUMBER(G458)),"Snapshot","Unavailable"))</f>
        <v/>
      </c>
      <c r="BA458">
        <f>IF(AZ458="Bloomberg",M458,H458)</f>
        <v/>
      </c>
      <c r="BB458">
        <f>1</f>
        <v/>
      </c>
    </row>
    <row r="459">
      <c r="A459" s="31" t="inlineStr">
        <is>
          <t>2259</t>
        </is>
      </c>
      <c r="B459" s="15" t="inlineStr">
        <is>
          <t>ZIJIN GOLD INTL</t>
        </is>
      </c>
      <c r="C459" s="15" t="inlineStr">
        <is>
          <t>Materials/Energy</t>
        </is>
      </c>
      <c r="D459" s="15" t="inlineStr">
        <is>
          <t>Mining / metals</t>
        </is>
      </c>
      <c r="E459" s="34" t="n">
        <v>45930</v>
      </c>
      <c r="F459" s="15" t="n">
        <v>71.59</v>
      </c>
      <c r="G459" s="15" t="n">
        <v>142.8</v>
      </c>
      <c r="H459" s="34" t="n">
        <v>46297</v>
      </c>
      <c r="I459" s="31" t="n"/>
      <c r="J459" s="15" t="n">
        <v>0</v>
      </c>
      <c r="K459" s="15">
        <f>IF(AND(AH!$M$5="Snapshot",'IPO Live'!$M$5="Snapshot"),"",IFERROR(BDP(TEXT(VALUE($A459),"0")&amp;" HK Equity","PX_LAST"),""))</f>
        <v/>
      </c>
      <c r="L459" s="15">
        <f>IF(AND(AH!$M$5="Snapshot",'IPO Live'!$M$5="Snapshot"),"",IFERROR(BDP(TEXT(VALUE($A459),"0")&amp;" HK Equity","CHG_PCT_1D")/100,""))</f>
        <v/>
      </c>
      <c r="M459" s="15">
        <f>IF(AND(AH!$M$5="Snapshot",'IPO Live'!$M$5="Snapshot"),"",IFERROR(BDP(TEXT(VALUE($A459),"0")&amp;" HK Equity","LAST_UPDATE_DT"),""))</f>
        <v/>
      </c>
      <c r="N459" s="15">
        <f>IF(AND(AH!$M$5="Snapshot",'IPO Live'!$M$5="Snapshot"),"",IFERROR(BDP(TEXT(VALUE($A459),"0")&amp;" HK Equity","LAST_UPDATE"),""))</f>
        <v/>
      </c>
      <c r="O459" s="15">
        <f>IF('IPO Live'!$M$5="Snapshot",IF(ISNUMBER(G459),G459,"unavailable"),IF(AND(ISNUMBER(K459),N(K459)&gt;0),K459,IF('IPO Live'!$M$5="Auto",IF(ISNUMBER(G459),G459,"unavailable"),"unavailable")))</f>
        <v/>
      </c>
      <c r="P459" s="15">
        <f>IF(AND('IPO Live'!$M$5&lt;&gt;"Snapshot",ISNUMBER(K459),N(K459)&gt;0),"Bloomberg",IF(AND('IPO Live'!$M$5&lt;&gt;"Bloomberg",ISNUMBER(G459)),"Snapshot","Unavailable"))</f>
        <v/>
      </c>
      <c r="Q459" s="33">
        <f>IF(AND(P459="Bloomberg",ISNUMBER(L459)),L459,"unavailable")</f>
        <v/>
      </c>
      <c r="R459" s="15">
        <f>IF(OR('IPO Live'!$B$5="All",'IPO Live'!$B$5=C459,AND('IPO Live'!$B$5="A/H only",J459&gt;0)),1,0)</f>
        <v/>
      </c>
      <c r="S459" s="15">
        <f>IF(R459=1,COUNTIF($R$5:R459,1),"")</f>
        <v/>
      </c>
      <c r="T459">
        <f>1</f>
        <v/>
      </c>
      <c r="U459">
        <f>IF($P459="Bloomberg",$M459,$H459)</f>
        <v/>
      </c>
      <c r="AW459">
        <f>IF(AND(J459&gt;0,OR(AH!$I$5="All",AH!$I$5="A/H only",AH!$I$5=C459)),1,0)</f>
        <v/>
      </c>
      <c r="AX459">
        <f>IF(AW459=1,COUNTIF($AW$5:AW459,1),"")</f>
        <v/>
      </c>
      <c r="AY459">
        <f>IF(AH!$M$5="Snapshot",IF(ISNUMBER(G459),G459,"unavailable"),IF(AND(ISNUMBER(K459),N(K459)&gt;0),K459,IF(AH!$M$5="Auto",IF(ISNUMBER(G459),G459,"unavailable"),"unavailable")))</f>
        <v/>
      </c>
      <c r="AZ459">
        <f>IF(AND(AH!$M$5&lt;&gt;"Snapshot",ISNUMBER(K459),N(K459)&gt;0),"Bloomberg",IF(AND(AH!$M$5&lt;&gt;"Bloomberg",ISNUMBER(G459)),"Snapshot","Unavailable"))</f>
        <v/>
      </c>
      <c r="BA459">
        <f>IF(AZ459="Bloomberg",M459,H459)</f>
        <v/>
      </c>
      <c r="BB459">
        <f>1</f>
        <v/>
      </c>
    </row>
    <row r="460">
      <c r="A460" s="31" t="inlineStr">
        <is>
          <t>3858</t>
        </is>
      </c>
      <c r="B460" s="15" t="inlineStr">
        <is>
          <t>JIAXIN INTL RES</t>
        </is>
      </c>
      <c r="C460" s="15" t="inlineStr">
        <is>
          <t>Materials/Energy</t>
        </is>
      </c>
      <c r="D460" s="15" t="inlineStr">
        <is>
          <t>Mining / metals</t>
        </is>
      </c>
      <c r="E460" s="34" t="n">
        <v>45897</v>
      </c>
      <c r="F460" s="15" t="n">
        <v>10.92</v>
      </c>
      <c r="G460" s="15" t="n">
        <v>45.94</v>
      </c>
      <c r="H460" s="34" t="n">
        <v>46297</v>
      </c>
      <c r="I460" s="31" t="n"/>
      <c r="J460" s="15" t="n">
        <v>0</v>
      </c>
      <c r="K460" s="15">
        <f>IF(AND(AH!$M$5="Snapshot",'IPO Live'!$M$5="Snapshot"),"",IFERROR(BDP(TEXT(VALUE($A460),"0")&amp;" HK Equity","PX_LAST"),""))</f>
        <v/>
      </c>
      <c r="L460" s="15">
        <f>IF(AND(AH!$M$5="Snapshot",'IPO Live'!$M$5="Snapshot"),"",IFERROR(BDP(TEXT(VALUE($A460),"0")&amp;" HK Equity","CHG_PCT_1D")/100,""))</f>
        <v/>
      </c>
      <c r="M460" s="15">
        <f>IF(AND(AH!$M$5="Snapshot",'IPO Live'!$M$5="Snapshot"),"",IFERROR(BDP(TEXT(VALUE($A460),"0")&amp;" HK Equity","LAST_UPDATE_DT"),""))</f>
        <v/>
      </c>
      <c r="N460" s="15">
        <f>IF(AND(AH!$M$5="Snapshot",'IPO Live'!$M$5="Snapshot"),"",IFERROR(BDP(TEXT(VALUE($A460),"0")&amp;" HK Equity","LAST_UPDATE"),""))</f>
        <v/>
      </c>
      <c r="O460" s="15">
        <f>IF('IPO Live'!$M$5="Snapshot",IF(ISNUMBER(G460),G460,"unavailable"),IF(AND(ISNUMBER(K460),N(K460)&gt;0),K460,IF('IPO Live'!$M$5="Auto",IF(ISNUMBER(G460),G460,"unavailable"),"unavailable")))</f>
        <v/>
      </c>
      <c r="P460" s="15">
        <f>IF(AND('IPO Live'!$M$5&lt;&gt;"Snapshot",ISNUMBER(K460),N(K460)&gt;0),"Bloomberg",IF(AND('IPO Live'!$M$5&lt;&gt;"Bloomberg",ISNUMBER(G460)),"Snapshot","Unavailable"))</f>
        <v/>
      </c>
      <c r="Q460" s="33">
        <f>IF(AND(P460="Bloomberg",ISNUMBER(L460)),L460,"unavailable")</f>
        <v/>
      </c>
      <c r="R460" s="15">
        <f>IF(OR('IPO Live'!$B$5="All",'IPO Live'!$B$5=C460,AND('IPO Live'!$B$5="A/H only",J460&gt;0)),1,0)</f>
        <v/>
      </c>
      <c r="S460" s="15">
        <f>IF(R460=1,COUNTIF($R$5:R460,1),"")</f>
        <v/>
      </c>
      <c r="T460">
        <f>1</f>
        <v/>
      </c>
      <c r="U460">
        <f>IF($P460="Bloomberg",$M460,$H460)</f>
        <v/>
      </c>
      <c r="AW460">
        <f>IF(AND(J460&gt;0,OR(AH!$I$5="All",AH!$I$5="A/H only",AH!$I$5=C460)),1,0)</f>
        <v/>
      </c>
      <c r="AX460">
        <f>IF(AW460=1,COUNTIF($AW$5:AW460,1),"")</f>
        <v/>
      </c>
      <c r="AY460">
        <f>IF(AH!$M$5="Snapshot",IF(ISNUMBER(G460),G460,"unavailable"),IF(AND(ISNUMBER(K460),N(K460)&gt;0),K460,IF(AH!$M$5="Auto",IF(ISNUMBER(G460),G460,"unavailable"),"unavailable")))</f>
        <v/>
      </c>
      <c r="AZ460">
        <f>IF(AND(AH!$M$5&lt;&gt;"Snapshot",ISNUMBER(K460),N(K460)&gt;0),"Bloomberg",IF(AND(AH!$M$5&lt;&gt;"Bloomberg",ISNUMBER(G460)),"Snapshot","Unavailable"))</f>
        <v/>
      </c>
      <c r="BA460">
        <f>IF(AZ460="Bloomberg",M460,H460)</f>
        <v/>
      </c>
      <c r="BB460">
        <f>1</f>
        <v/>
      </c>
    </row>
    <row r="461">
      <c r="A461" s="31" t="inlineStr">
        <is>
          <t>2569</t>
        </is>
      </c>
      <c r="B461" s="15" t="inlineStr">
        <is>
          <t>SOFT INTL</t>
        </is>
      </c>
      <c r="C461" s="15" t="inlineStr">
        <is>
          <t>Materials/Energy</t>
        </is>
      </c>
      <c r="D461" s="15" t="inlineStr">
        <is>
          <t>Chemicals</t>
        </is>
      </c>
      <c r="E461" s="34" t="n">
        <v>45743</v>
      </c>
      <c r="F461" s="15" t="n">
        <v>0.51</v>
      </c>
      <c r="G461" s="15" t="n">
        <v>1.46</v>
      </c>
      <c r="H461" s="34" t="n">
        <v>46297</v>
      </c>
      <c r="I461" s="31" t="n"/>
      <c r="J461" s="15" t="n">
        <v>0</v>
      </c>
      <c r="K461" s="15">
        <f>IF(AND(AH!$M$5="Snapshot",'IPO Live'!$M$5="Snapshot"),"",IFERROR(BDP(TEXT(VALUE($A461),"0")&amp;" HK Equity","PX_LAST"),""))</f>
        <v/>
      </c>
      <c r="L461" s="15">
        <f>IF(AND(AH!$M$5="Snapshot",'IPO Live'!$M$5="Snapshot"),"",IFERROR(BDP(TEXT(VALUE($A461),"0")&amp;" HK Equity","CHG_PCT_1D")/100,""))</f>
        <v/>
      </c>
      <c r="M461" s="15">
        <f>IF(AND(AH!$M$5="Snapshot",'IPO Live'!$M$5="Snapshot"),"",IFERROR(BDP(TEXT(VALUE($A461),"0")&amp;" HK Equity","LAST_UPDATE_DT"),""))</f>
        <v/>
      </c>
      <c r="N461" s="15">
        <f>IF(AND(AH!$M$5="Snapshot",'IPO Live'!$M$5="Snapshot"),"",IFERROR(BDP(TEXT(VALUE($A461),"0")&amp;" HK Equity","LAST_UPDATE"),""))</f>
        <v/>
      </c>
      <c r="O461" s="15">
        <f>IF('IPO Live'!$M$5="Snapshot",IF(ISNUMBER(G461),G461,"unavailable"),IF(AND(ISNUMBER(K461),N(K461)&gt;0),K461,IF('IPO Live'!$M$5="Auto",IF(ISNUMBER(G461),G461,"unavailable"),"unavailable")))</f>
        <v/>
      </c>
      <c r="P461" s="15">
        <f>IF(AND('IPO Live'!$M$5&lt;&gt;"Snapshot",ISNUMBER(K461),N(K461)&gt;0),"Bloomberg",IF(AND('IPO Live'!$M$5&lt;&gt;"Bloomberg",ISNUMBER(G461)),"Snapshot","Unavailable"))</f>
        <v/>
      </c>
      <c r="Q461" s="33">
        <f>IF(AND(P461="Bloomberg",ISNUMBER(L461)),L461,"unavailable")</f>
        <v/>
      </c>
      <c r="R461" s="15">
        <f>IF(OR('IPO Live'!$B$5="All",'IPO Live'!$B$5=C461,AND('IPO Live'!$B$5="A/H only",J461&gt;0)),1,0)</f>
        <v/>
      </c>
      <c r="S461" s="15">
        <f>IF(R461=1,COUNTIF($R$5:R461,1),"")</f>
        <v/>
      </c>
      <c r="T461">
        <f>1</f>
        <v/>
      </c>
      <c r="U461">
        <f>IF($P461="Bloomberg",$M461,$H461)</f>
        <v/>
      </c>
      <c r="AW461">
        <f>IF(AND(J461&gt;0,OR(AH!$I$5="All",AH!$I$5="A/H only",AH!$I$5=C461)),1,0)</f>
        <v/>
      </c>
      <c r="AX461">
        <f>IF(AW461=1,COUNTIF($AW$5:AW461,1),"")</f>
        <v/>
      </c>
      <c r="AY461">
        <f>IF(AH!$M$5="Snapshot",IF(ISNUMBER(G461),G461,"unavailable"),IF(AND(ISNUMBER(K461),N(K461)&gt;0),K461,IF(AH!$M$5="Auto",IF(ISNUMBER(G461),G461,"unavailable"),"unavailable")))</f>
        <v/>
      </c>
      <c r="AZ461">
        <f>IF(AND(AH!$M$5&lt;&gt;"Snapshot",ISNUMBER(K461),N(K461)&gt;0),"Bloomberg",IF(AND(AH!$M$5&lt;&gt;"Bloomberg",ISNUMBER(G461)),"Snapshot","Unavailable"))</f>
        <v/>
      </c>
      <c r="BA461">
        <f>IF(AZ461="Bloomberg",M461,H461)</f>
        <v/>
      </c>
      <c r="BB461">
        <f>1</f>
        <v/>
      </c>
    </row>
    <row r="462">
      <c r="A462" s="31" t="inlineStr">
        <is>
          <t>2610</t>
        </is>
      </c>
      <c r="B462" s="15" t="inlineStr">
        <is>
          <t>NANSHAN AL INTL</t>
        </is>
      </c>
      <c r="C462" s="15" t="inlineStr">
        <is>
          <t>Materials/Energy</t>
        </is>
      </c>
      <c r="D462" s="15" t="inlineStr">
        <is>
          <t>Mining / metals</t>
        </is>
      </c>
      <c r="E462" s="34" t="n">
        <v>45741</v>
      </c>
      <c r="F462" s="15" t="n">
        <v>26.6</v>
      </c>
      <c r="G462" s="15" t="n">
        <v>23.64</v>
      </c>
      <c r="H462" s="34" t="n">
        <v>46297</v>
      </c>
      <c r="I462" s="31" t="n"/>
      <c r="J462" s="15" t="n">
        <v>0</v>
      </c>
      <c r="K462" s="15">
        <f>IF(AND(AH!$M$5="Snapshot",'IPO Live'!$M$5="Snapshot"),"",IFERROR(BDP(TEXT(VALUE($A462),"0")&amp;" HK Equity","PX_LAST"),""))</f>
        <v/>
      </c>
      <c r="L462" s="15">
        <f>IF(AND(AH!$M$5="Snapshot",'IPO Live'!$M$5="Snapshot"),"",IFERROR(BDP(TEXT(VALUE($A462),"0")&amp;" HK Equity","CHG_PCT_1D")/100,""))</f>
        <v/>
      </c>
      <c r="M462" s="15">
        <f>IF(AND(AH!$M$5="Snapshot",'IPO Live'!$M$5="Snapshot"),"",IFERROR(BDP(TEXT(VALUE($A462),"0")&amp;" HK Equity","LAST_UPDATE_DT"),""))</f>
        <v/>
      </c>
      <c r="N462" s="15">
        <f>IF(AND(AH!$M$5="Snapshot",'IPO Live'!$M$5="Snapshot"),"",IFERROR(BDP(TEXT(VALUE($A462),"0")&amp;" HK Equity","LAST_UPDATE"),""))</f>
        <v/>
      </c>
      <c r="O462" s="15">
        <f>IF('IPO Live'!$M$5="Snapshot",IF(ISNUMBER(G462),G462,"unavailable"),IF(AND(ISNUMBER(K462),N(K462)&gt;0),K462,IF('IPO Live'!$M$5="Auto",IF(ISNUMBER(G462),G462,"unavailable"),"unavailable")))</f>
        <v/>
      </c>
      <c r="P462" s="15">
        <f>IF(AND('IPO Live'!$M$5&lt;&gt;"Snapshot",ISNUMBER(K462),N(K462)&gt;0),"Bloomberg",IF(AND('IPO Live'!$M$5&lt;&gt;"Bloomberg",ISNUMBER(G462)),"Snapshot","Unavailable"))</f>
        <v/>
      </c>
      <c r="Q462" s="33">
        <f>IF(AND(P462="Bloomberg",ISNUMBER(L462)),L462,"unavailable")</f>
        <v/>
      </c>
      <c r="R462" s="15">
        <f>IF(OR('IPO Live'!$B$5="All",'IPO Live'!$B$5=C462,AND('IPO Live'!$B$5="A/H only",J462&gt;0)),1,0)</f>
        <v/>
      </c>
      <c r="S462" s="15">
        <f>IF(R462=1,COUNTIF($R$5:R462,1),"")</f>
        <v/>
      </c>
      <c r="T462">
        <f>1</f>
        <v/>
      </c>
      <c r="U462">
        <f>IF($P462="Bloomberg",$M462,$H462)</f>
        <v/>
      </c>
      <c r="AW462">
        <f>IF(AND(J462&gt;0,OR(AH!$I$5="All",AH!$I$5="A/H only",AH!$I$5=C462)),1,0)</f>
        <v/>
      </c>
      <c r="AX462">
        <f>IF(AW462=1,COUNTIF($AW$5:AW462,1),"")</f>
        <v/>
      </c>
      <c r="AY462">
        <f>IF(AH!$M$5="Snapshot",IF(ISNUMBER(G462),G462,"unavailable"),IF(AND(ISNUMBER(K462),N(K462)&gt;0),K462,IF(AH!$M$5="Auto",IF(ISNUMBER(G462),G462,"unavailable"),"unavailable")))</f>
        <v/>
      </c>
      <c r="AZ462">
        <f>IF(AND(AH!$M$5&lt;&gt;"Snapshot",ISNUMBER(K462),N(K462)&gt;0),"Bloomberg",IF(AND(AH!$M$5&lt;&gt;"Bloomberg",ISNUMBER(G462)),"Snapshot","Unavailable"))</f>
        <v/>
      </c>
      <c r="BA462">
        <f>IF(AZ462="Bloomberg",M462,H462)</f>
        <v/>
      </c>
      <c r="BB462">
        <f>1</f>
        <v/>
      </c>
    </row>
    <row r="463">
      <c r="A463" s="31" t="inlineStr">
        <is>
          <t>6693</t>
        </is>
      </c>
      <c r="B463" s="15" t="inlineStr">
        <is>
          <t>CHIFENG GOLD</t>
        </is>
      </c>
      <c r="C463" s="15" t="inlineStr">
        <is>
          <t>Materials/Energy</t>
        </is>
      </c>
      <c r="D463" s="15" t="inlineStr">
        <is>
          <t>Mining / metals</t>
        </is>
      </c>
      <c r="E463" s="34" t="n">
        <v>45726</v>
      </c>
      <c r="F463" s="15" t="n">
        <v>13.72</v>
      </c>
      <c r="G463" s="15" t="n">
        <v>35.38</v>
      </c>
      <c r="H463" s="34" t="n">
        <v>46297</v>
      </c>
      <c r="I463" s="31" t="inlineStr">
        <is>
          <t>600988.SS</t>
        </is>
      </c>
      <c r="J463" s="15" t="n">
        <v>15</v>
      </c>
      <c r="K463" s="15">
        <f>IF(AND(AH!$M$5="Snapshot",'IPO Live'!$M$5="Snapshot"),"",IFERROR(BDP(TEXT(VALUE($A463),"0")&amp;" HK Equity","PX_LAST"),""))</f>
        <v/>
      </c>
      <c r="L463" s="15">
        <f>IF(AND(AH!$M$5="Snapshot",'IPO Live'!$M$5="Snapshot"),"",IFERROR(BDP(TEXT(VALUE($A463),"0")&amp;" HK Equity","CHG_PCT_1D")/100,""))</f>
        <v/>
      </c>
      <c r="M463" s="15">
        <f>IF(AND(AH!$M$5="Snapshot",'IPO Live'!$M$5="Snapshot"),"",IFERROR(BDP(TEXT(VALUE($A463),"0")&amp;" HK Equity","LAST_UPDATE_DT"),""))</f>
        <v/>
      </c>
      <c r="N463" s="15">
        <f>IF(AND(AH!$M$5="Snapshot",'IPO Live'!$M$5="Snapshot"),"",IFERROR(BDP(TEXT(VALUE($A463),"0")&amp;" HK Equity","LAST_UPDATE"),""))</f>
        <v/>
      </c>
      <c r="O463" s="15">
        <f>IF('IPO Live'!$M$5="Snapshot",IF(ISNUMBER(G463),G463,"unavailable"),IF(AND(ISNUMBER(K463),N(K463)&gt;0),K463,IF('IPO Live'!$M$5="Auto",IF(ISNUMBER(G463),G463,"unavailable"),"unavailable")))</f>
        <v/>
      </c>
      <c r="P463" s="15">
        <f>IF(AND('IPO Live'!$M$5&lt;&gt;"Snapshot",ISNUMBER(K463),N(K463)&gt;0),"Bloomberg",IF(AND('IPO Live'!$M$5&lt;&gt;"Bloomberg",ISNUMBER(G463)),"Snapshot","Unavailable"))</f>
        <v/>
      </c>
      <c r="Q463" s="33">
        <f>IF(AND(P463="Bloomberg",ISNUMBER(L463)),L463,"unavailable")</f>
        <v/>
      </c>
      <c r="R463" s="15">
        <f>IF(OR('IPO Live'!$B$5="All",'IPO Live'!$B$5=C463,AND('IPO Live'!$B$5="A/H only",J463&gt;0)),1,0)</f>
        <v/>
      </c>
      <c r="S463" s="15">
        <f>IF(R463=1,COUNTIF($R$5:R463,1),"")</f>
        <v/>
      </c>
      <c r="T463">
        <f>1</f>
        <v/>
      </c>
      <c r="U463">
        <f>IF($P463="Bloomberg",$M463,$H463)</f>
        <v/>
      </c>
      <c r="AW463">
        <f>IF(AND(J463&gt;0,OR(AH!$I$5="All",AH!$I$5="A/H only",AH!$I$5=C463)),1,0)</f>
        <v/>
      </c>
      <c r="AX463">
        <f>IF(AW463=1,COUNTIF($AW$5:AW463,1),"")</f>
        <v/>
      </c>
      <c r="AY463">
        <f>IF(AH!$M$5="Snapshot",IF(ISNUMBER(G463),G463,"unavailable"),IF(AND(ISNUMBER(K463),N(K463)&gt;0),K463,IF(AH!$M$5="Auto",IF(ISNUMBER(G463),G463,"unavailable"),"unavailable")))</f>
        <v/>
      </c>
      <c r="AZ463">
        <f>IF(AND(AH!$M$5&lt;&gt;"Snapshot",ISNUMBER(K463),N(K463)&gt;0),"Bloomberg",IF(AND(AH!$M$5&lt;&gt;"Bloomberg",ISNUMBER(G463)),"Snapshot","Unavailable"))</f>
        <v/>
      </c>
      <c r="BA463">
        <f>IF(AZ463="Bloomberg",M463,H463)</f>
        <v/>
      </c>
      <c r="BB463">
        <f>1</f>
        <v/>
      </c>
    </row>
    <row r="464">
      <c r="A464" s="31" t="inlineStr">
        <is>
          <t>2560</t>
        </is>
      </c>
      <c r="B464" s="15" t="inlineStr">
        <is>
          <t>CONCH MAT TECH</t>
        </is>
      </c>
      <c r="C464" s="15" t="inlineStr">
        <is>
          <t>Materials/Energy</t>
        </is>
      </c>
      <c r="D464" s="15" t="inlineStr">
        <is>
          <t>Chemicals</t>
        </is>
      </c>
      <c r="E464" s="34" t="n">
        <v>45666</v>
      </c>
      <c r="F464" s="15" t="n">
        <v>3</v>
      </c>
      <c r="G464" s="15" t="n">
        <v>1.365</v>
      </c>
      <c r="H464" s="34" t="n">
        <v>46297</v>
      </c>
      <c r="I464" s="31" t="n"/>
      <c r="J464" s="15" t="n">
        <v>0</v>
      </c>
      <c r="K464" s="15">
        <f>IF(AND(AH!$M$5="Snapshot",'IPO Live'!$M$5="Snapshot"),"",IFERROR(BDP(TEXT(VALUE($A464),"0")&amp;" HK Equity","PX_LAST"),""))</f>
        <v/>
      </c>
      <c r="L464" s="15">
        <f>IF(AND(AH!$M$5="Snapshot",'IPO Live'!$M$5="Snapshot"),"",IFERROR(BDP(TEXT(VALUE($A464),"0")&amp;" HK Equity","CHG_PCT_1D")/100,""))</f>
        <v/>
      </c>
      <c r="M464" s="15">
        <f>IF(AND(AH!$M$5="Snapshot",'IPO Live'!$M$5="Snapshot"),"",IFERROR(BDP(TEXT(VALUE($A464),"0")&amp;" HK Equity","LAST_UPDATE_DT"),""))</f>
        <v/>
      </c>
      <c r="N464" s="15">
        <f>IF(AND(AH!$M$5="Snapshot",'IPO Live'!$M$5="Snapshot"),"",IFERROR(BDP(TEXT(VALUE($A464),"0")&amp;" HK Equity","LAST_UPDATE"),""))</f>
        <v/>
      </c>
      <c r="O464" s="15">
        <f>IF('IPO Live'!$M$5="Snapshot",IF(ISNUMBER(G464),G464,"unavailable"),IF(AND(ISNUMBER(K464),N(K464)&gt;0),K464,IF('IPO Live'!$M$5="Auto",IF(ISNUMBER(G464),G464,"unavailable"),"unavailable")))</f>
        <v/>
      </c>
      <c r="P464" s="15">
        <f>IF(AND('IPO Live'!$M$5&lt;&gt;"Snapshot",ISNUMBER(K464),N(K464)&gt;0),"Bloomberg",IF(AND('IPO Live'!$M$5&lt;&gt;"Bloomberg",ISNUMBER(G464)),"Snapshot","Unavailable"))</f>
        <v/>
      </c>
      <c r="Q464" s="33">
        <f>IF(AND(P464="Bloomberg",ISNUMBER(L464)),L464,"unavailable")</f>
        <v/>
      </c>
      <c r="R464" s="15">
        <f>IF(OR('IPO Live'!$B$5="All",'IPO Live'!$B$5=C464,AND('IPO Live'!$B$5="A/H only",J464&gt;0)),1,0)</f>
        <v/>
      </c>
      <c r="S464" s="15">
        <f>IF(R464=1,COUNTIF($R$5:R464,1),"")</f>
        <v/>
      </c>
      <c r="T464">
        <f>1</f>
        <v/>
      </c>
      <c r="U464">
        <f>IF($P464="Bloomberg",$M464,$H464)</f>
        <v/>
      </c>
      <c r="AW464">
        <f>IF(AND(J464&gt;0,OR(AH!$I$5="All",AH!$I$5="A/H only",AH!$I$5=C464)),1,0)</f>
        <v/>
      </c>
      <c r="AX464">
        <f>IF(AW464=1,COUNTIF($AW$5:AW464,1),"")</f>
        <v/>
      </c>
      <c r="AY464">
        <f>IF(AH!$M$5="Snapshot",IF(ISNUMBER(G464),G464,"unavailable"),IF(AND(ISNUMBER(K464),N(K464)&gt;0),K464,IF(AH!$M$5="Auto",IF(ISNUMBER(G464),G464,"unavailable"),"unavailable")))</f>
        <v/>
      </c>
      <c r="AZ464">
        <f>IF(AND(AH!$M$5&lt;&gt;"Snapshot",ISNUMBER(K464),N(K464)&gt;0),"Bloomberg",IF(AND(AH!$M$5&lt;&gt;"Bloomberg",ISNUMBER(G464)),"Snapshot","Unavailable"))</f>
        <v/>
      </c>
      <c r="BA464">
        <f>IF(AZ464="Bloomberg",M464,H464)</f>
        <v/>
      </c>
      <c r="BB464">
        <f>1</f>
        <v/>
      </c>
    </row>
    <row r="465">
      <c r="A465" s="31" t="inlineStr">
        <is>
          <t>2881</t>
        </is>
      </c>
      <c r="B465" s="15" t="inlineStr">
        <is>
          <t>WUHAN YOUJI</t>
        </is>
      </c>
      <c r="C465" s="15" t="inlineStr">
        <is>
          <t>Materials/Energy</t>
        </is>
      </c>
      <c r="D465" s="15" t="inlineStr">
        <is>
          <t>Chemicals</t>
        </is>
      </c>
      <c r="E465" s="34" t="n">
        <v>45461</v>
      </c>
      <c r="F465" s="15" t="n">
        <v>5.5</v>
      </c>
      <c r="G465" s="15" t="n">
        <v>9.4</v>
      </c>
      <c r="H465" s="34" t="n">
        <v>46297</v>
      </c>
      <c r="I465" s="31" t="n"/>
      <c r="J465" s="15" t="n">
        <v>0</v>
      </c>
      <c r="K465" s="15">
        <f>IF(AND(AH!$M$5="Snapshot",'IPO Live'!$M$5="Snapshot"),"",IFERROR(BDP(TEXT(VALUE($A465),"0")&amp;" HK Equity","PX_LAST"),""))</f>
        <v/>
      </c>
      <c r="L465" s="15">
        <f>IF(AND(AH!$M$5="Snapshot",'IPO Live'!$M$5="Snapshot"),"",IFERROR(BDP(TEXT(VALUE($A465),"0")&amp;" HK Equity","CHG_PCT_1D")/100,""))</f>
        <v/>
      </c>
      <c r="M465" s="15">
        <f>IF(AND(AH!$M$5="Snapshot",'IPO Live'!$M$5="Snapshot"),"",IFERROR(BDP(TEXT(VALUE($A465),"0")&amp;" HK Equity","LAST_UPDATE_DT"),""))</f>
        <v/>
      </c>
      <c r="N465" s="15">
        <f>IF(AND(AH!$M$5="Snapshot",'IPO Live'!$M$5="Snapshot"),"",IFERROR(BDP(TEXT(VALUE($A465),"0")&amp;" HK Equity","LAST_UPDATE"),""))</f>
        <v/>
      </c>
      <c r="O465" s="15">
        <f>IF('IPO Live'!$M$5="Snapshot",IF(ISNUMBER(G465),G465,"unavailable"),IF(AND(ISNUMBER(K465),N(K465)&gt;0),K465,IF('IPO Live'!$M$5="Auto",IF(ISNUMBER(G465),G465,"unavailable"),"unavailable")))</f>
        <v/>
      </c>
      <c r="P465" s="15">
        <f>IF(AND('IPO Live'!$M$5&lt;&gt;"Snapshot",ISNUMBER(K465),N(K465)&gt;0),"Bloomberg",IF(AND('IPO Live'!$M$5&lt;&gt;"Bloomberg",ISNUMBER(G465)),"Snapshot","Unavailable"))</f>
        <v/>
      </c>
      <c r="Q465" s="33">
        <f>IF(AND(P465="Bloomberg",ISNUMBER(L465)),L465,"unavailable")</f>
        <v/>
      </c>
      <c r="R465" s="15">
        <f>IF(OR('IPO Live'!$B$5="All",'IPO Live'!$B$5=C465,AND('IPO Live'!$B$5="A/H only",J465&gt;0)),1,0)</f>
        <v/>
      </c>
      <c r="S465" s="15">
        <f>IF(R465=1,COUNTIF($R$5:R465,1),"")</f>
        <v/>
      </c>
      <c r="T465">
        <f>1</f>
        <v/>
      </c>
      <c r="U465">
        <f>IF($P465="Bloomberg",$M465,$H465)</f>
        <v/>
      </c>
      <c r="AW465">
        <f>IF(AND(J465&gt;0,OR(AH!$I$5="All",AH!$I$5="A/H only",AH!$I$5=C465)),1,0)</f>
        <v/>
      </c>
      <c r="AX465">
        <f>IF(AW465=1,COUNTIF($AW$5:AW465,1),"")</f>
        <v/>
      </c>
      <c r="AY465">
        <f>IF(AH!$M$5="Snapshot",IF(ISNUMBER(G465),G465,"unavailable"),IF(AND(ISNUMBER(K465),N(K465)&gt;0),K465,IF(AH!$M$5="Auto",IF(ISNUMBER(G465),G465,"unavailable"),"unavailable")))</f>
        <v/>
      </c>
      <c r="AZ465">
        <f>IF(AND(AH!$M$5&lt;&gt;"Snapshot",ISNUMBER(K465),N(K465)&gt;0),"Bloomberg",IF(AND(AH!$M$5&lt;&gt;"Bloomberg",ISNUMBER(G465)),"Snapshot","Unavailable"))</f>
        <v/>
      </c>
      <c r="BA465">
        <f>IF(AZ465="Bloomberg",M465,H465)</f>
        <v/>
      </c>
      <c r="BB465">
        <f>1</f>
        <v/>
      </c>
    </row>
    <row r="466">
      <c r="A466" s="31" t="inlineStr">
        <is>
          <t>9879</t>
        </is>
      </c>
      <c r="B466" s="15" t="inlineStr">
        <is>
          <t>MIGAO GROUP</t>
        </is>
      </c>
      <c r="C466" s="15" t="inlineStr">
        <is>
          <t>Materials/Energy</t>
        </is>
      </c>
      <c r="D466" s="15" t="inlineStr">
        <is>
          <t>Chemicals</t>
        </is>
      </c>
      <c r="E466" s="34" t="n">
        <v>45372</v>
      </c>
      <c r="F466" s="15" t="n">
        <v>4.08</v>
      </c>
      <c r="G466" s="15" t="n">
        <v>9.029999999999999</v>
      </c>
      <c r="H466" s="34" t="n">
        <v>46297</v>
      </c>
      <c r="I466" s="31" t="n"/>
      <c r="J466" s="15" t="n">
        <v>0</v>
      </c>
      <c r="K466" s="15">
        <f>IF(AND(AH!$M$5="Snapshot",'IPO Live'!$M$5="Snapshot"),"",IFERROR(BDP(TEXT(VALUE($A466),"0")&amp;" HK Equity","PX_LAST"),""))</f>
        <v/>
      </c>
      <c r="L466" s="15">
        <f>IF(AND(AH!$M$5="Snapshot",'IPO Live'!$M$5="Snapshot"),"",IFERROR(BDP(TEXT(VALUE($A466),"0")&amp;" HK Equity","CHG_PCT_1D")/100,""))</f>
        <v/>
      </c>
      <c r="M466" s="15">
        <f>IF(AND(AH!$M$5="Snapshot",'IPO Live'!$M$5="Snapshot"),"",IFERROR(BDP(TEXT(VALUE($A466),"0")&amp;" HK Equity","LAST_UPDATE_DT"),""))</f>
        <v/>
      </c>
      <c r="N466" s="15">
        <f>IF(AND(AH!$M$5="Snapshot",'IPO Live'!$M$5="Snapshot"),"",IFERROR(BDP(TEXT(VALUE($A466),"0")&amp;" HK Equity","LAST_UPDATE"),""))</f>
        <v/>
      </c>
      <c r="O466" s="15">
        <f>IF('IPO Live'!$M$5="Snapshot",IF(ISNUMBER(G466),G466,"unavailable"),IF(AND(ISNUMBER(K466),N(K466)&gt;0),K466,IF('IPO Live'!$M$5="Auto",IF(ISNUMBER(G466),G466,"unavailable"),"unavailable")))</f>
        <v/>
      </c>
      <c r="P466" s="15">
        <f>IF(AND('IPO Live'!$M$5&lt;&gt;"Snapshot",ISNUMBER(K466),N(K466)&gt;0),"Bloomberg",IF(AND('IPO Live'!$M$5&lt;&gt;"Bloomberg",ISNUMBER(G466)),"Snapshot","Unavailable"))</f>
        <v/>
      </c>
      <c r="Q466" s="33">
        <f>IF(AND(P466="Bloomberg",ISNUMBER(L466)),L466,"unavailable")</f>
        <v/>
      </c>
      <c r="R466" s="15">
        <f>IF(OR('IPO Live'!$B$5="All",'IPO Live'!$B$5=C466,AND('IPO Live'!$B$5="A/H only",J466&gt;0)),1,0)</f>
        <v/>
      </c>
      <c r="S466" s="15">
        <f>IF(R466=1,COUNTIF($R$5:R466,1),"")</f>
        <v/>
      </c>
      <c r="T466">
        <f>1</f>
        <v/>
      </c>
      <c r="U466">
        <f>IF($P466="Bloomberg",$M466,$H466)</f>
        <v/>
      </c>
      <c r="AW466">
        <f>IF(AND(J466&gt;0,OR(AH!$I$5="All",AH!$I$5="A/H only",AH!$I$5=C466)),1,0)</f>
        <v/>
      </c>
      <c r="AX466">
        <f>IF(AW466=1,COUNTIF($AW$5:AW466,1),"")</f>
        <v/>
      </c>
      <c r="AY466">
        <f>IF(AH!$M$5="Snapshot",IF(ISNUMBER(G466),G466,"unavailable"),IF(AND(ISNUMBER(K466),N(K466)&gt;0),K466,IF(AH!$M$5="Auto",IF(ISNUMBER(G466),G466,"unavailable"),"unavailable")))</f>
        <v/>
      </c>
      <c r="AZ466">
        <f>IF(AND(AH!$M$5&lt;&gt;"Snapshot",ISNUMBER(K466),N(K466)&gt;0),"Bloomberg",IF(AND(AH!$M$5&lt;&gt;"Bloomberg",ISNUMBER(G466)),"Snapshot","Unavailable"))</f>
        <v/>
      </c>
      <c r="BA466">
        <f>IF(AZ466="Bloomberg",M466,H466)</f>
        <v/>
      </c>
      <c r="BB466">
        <f>1</f>
        <v/>
      </c>
    </row>
    <row r="467">
      <c r="A467" s="31" t="inlineStr">
        <is>
          <t>2489</t>
        </is>
      </c>
      <c r="B467" s="15" t="inlineStr">
        <is>
          <t>PERSISTENCE RES</t>
        </is>
      </c>
      <c r="C467" s="15" t="inlineStr">
        <is>
          <t>Materials/Energy</t>
        </is>
      </c>
      <c r="D467" s="15" t="inlineStr">
        <is>
          <t>Mining / metals</t>
        </is>
      </c>
      <c r="E467" s="34" t="n">
        <v>45282</v>
      </c>
      <c r="F467" s="15" t="n">
        <v>0.55</v>
      </c>
      <c r="G467" s="15" t="n">
        <v>0.8100000000000001</v>
      </c>
      <c r="H467" s="34" t="n">
        <v>46297</v>
      </c>
      <c r="I467" s="31" t="n"/>
      <c r="J467" s="15" t="n">
        <v>0</v>
      </c>
      <c r="K467" s="15">
        <f>IF(AND(AH!$M$5="Snapshot",'IPO Live'!$M$5="Snapshot"),"",IFERROR(BDP(TEXT(VALUE($A467),"0")&amp;" HK Equity","PX_LAST"),""))</f>
        <v/>
      </c>
      <c r="L467" s="15">
        <f>IF(AND(AH!$M$5="Snapshot",'IPO Live'!$M$5="Snapshot"),"",IFERROR(BDP(TEXT(VALUE($A467),"0")&amp;" HK Equity","CHG_PCT_1D")/100,""))</f>
        <v/>
      </c>
      <c r="M467" s="15">
        <f>IF(AND(AH!$M$5="Snapshot",'IPO Live'!$M$5="Snapshot"),"",IFERROR(BDP(TEXT(VALUE($A467),"0")&amp;" HK Equity","LAST_UPDATE_DT"),""))</f>
        <v/>
      </c>
      <c r="N467" s="15">
        <f>IF(AND(AH!$M$5="Snapshot",'IPO Live'!$M$5="Snapshot"),"",IFERROR(BDP(TEXT(VALUE($A467),"0")&amp;" HK Equity","LAST_UPDATE"),""))</f>
        <v/>
      </c>
      <c r="O467" s="15">
        <f>IF('IPO Live'!$M$5="Snapshot",IF(ISNUMBER(G467),G467,"unavailable"),IF(AND(ISNUMBER(K467),N(K467)&gt;0),K467,IF('IPO Live'!$M$5="Auto",IF(ISNUMBER(G467),G467,"unavailable"),"unavailable")))</f>
        <v/>
      </c>
      <c r="P467" s="15">
        <f>IF(AND('IPO Live'!$M$5&lt;&gt;"Snapshot",ISNUMBER(K467),N(K467)&gt;0),"Bloomberg",IF(AND('IPO Live'!$M$5&lt;&gt;"Bloomberg",ISNUMBER(G467)),"Snapshot","Unavailable"))</f>
        <v/>
      </c>
      <c r="Q467" s="33">
        <f>IF(AND(P467="Bloomberg",ISNUMBER(L467)),L467,"unavailable")</f>
        <v/>
      </c>
      <c r="R467" s="15">
        <f>IF(OR('IPO Live'!$B$5="All",'IPO Live'!$B$5=C467,AND('IPO Live'!$B$5="A/H only",J467&gt;0)),1,0)</f>
        <v/>
      </c>
      <c r="S467" s="15">
        <f>IF(R467=1,COUNTIF($R$5:R467,1),"")</f>
        <v/>
      </c>
      <c r="T467">
        <f>1</f>
        <v/>
      </c>
      <c r="U467">
        <f>IF($P467="Bloomberg",$M467,$H467)</f>
        <v/>
      </c>
      <c r="AW467">
        <f>IF(AND(J467&gt;0,OR(AH!$I$5="All",AH!$I$5="A/H only",AH!$I$5=C467)),1,0)</f>
        <v/>
      </c>
      <c r="AX467">
        <f>IF(AW467=1,COUNTIF($AW$5:AW467,1),"")</f>
        <v/>
      </c>
      <c r="AY467">
        <f>IF(AH!$M$5="Snapshot",IF(ISNUMBER(G467),G467,"unavailable"),IF(AND(ISNUMBER(K467),N(K467)&gt;0),K467,IF(AH!$M$5="Auto",IF(ISNUMBER(G467),G467,"unavailable"),"unavailable")))</f>
        <v/>
      </c>
      <c r="AZ467">
        <f>IF(AND(AH!$M$5&lt;&gt;"Snapshot",ISNUMBER(K467),N(K467)&gt;0),"Bloomberg",IF(AND(AH!$M$5&lt;&gt;"Bloomberg",ISNUMBER(G467)),"Snapshot","Unavailable"))</f>
        <v/>
      </c>
      <c r="BA467">
        <f>IF(AZ467="Bloomberg",M467,H467)</f>
        <v/>
      </c>
      <c r="BB467">
        <f>1</f>
        <v/>
      </c>
    </row>
    <row r="468">
      <c r="A468" s="31" t="inlineStr">
        <is>
          <t>2502</t>
        </is>
      </c>
      <c r="B468" s="15" t="inlineStr">
        <is>
          <t>JINYUAN HCHEM</t>
        </is>
      </c>
      <c r="C468" s="15" t="inlineStr">
        <is>
          <t>Materials/Energy</t>
        </is>
      </c>
      <c r="D468" s="15" t="inlineStr">
        <is>
          <t>Chemicals</t>
        </is>
      </c>
      <c r="E468" s="34" t="n">
        <v>45280</v>
      </c>
      <c r="F468" s="15" t="n">
        <v>1.2</v>
      </c>
      <c r="G468" s="15" t="n">
        <v>0.6</v>
      </c>
      <c r="H468" s="34" t="n">
        <v>46297</v>
      </c>
      <c r="I468" s="31" t="n"/>
      <c r="J468" s="15" t="n">
        <v>0</v>
      </c>
      <c r="K468" s="15">
        <f>IF(AND(AH!$M$5="Snapshot",'IPO Live'!$M$5="Snapshot"),"",IFERROR(BDP(TEXT(VALUE($A468),"0")&amp;" HK Equity","PX_LAST"),""))</f>
        <v/>
      </c>
      <c r="L468" s="15">
        <f>IF(AND(AH!$M$5="Snapshot",'IPO Live'!$M$5="Snapshot"),"",IFERROR(BDP(TEXT(VALUE($A468),"0")&amp;" HK Equity","CHG_PCT_1D")/100,""))</f>
        <v/>
      </c>
      <c r="M468" s="15">
        <f>IF(AND(AH!$M$5="Snapshot",'IPO Live'!$M$5="Snapshot"),"",IFERROR(BDP(TEXT(VALUE($A468),"0")&amp;" HK Equity","LAST_UPDATE_DT"),""))</f>
        <v/>
      </c>
      <c r="N468" s="15">
        <f>IF(AND(AH!$M$5="Snapshot",'IPO Live'!$M$5="Snapshot"),"",IFERROR(BDP(TEXT(VALUE($A468),"0")&amp;" HK Equity","LAST_UPDATE"),""))</f>
        <v/>
      </c>
      <c r="O468" s="15">
        <f>IF('IPO Live'!$M$5="Snapshot",IF(ISNUMBER(G468),G468,"unavailable"),IF(AND(ISNUMBER(K468),N(K468)&gt;0),K468,IF('IPO Live'!$M$5="Auto",IF(ISNUMBER(G468),G468,"unavailable"),"unavailable")))</f>
        <v/>
      </c>
      <c r="P468" s="15">
        <f>IF(AND('IPO Live'!$M$5&lt;&gt;"Snapshot",ISNUMBER(K468),N(K468)&gt;0),"Bloomberg",IF(AND('IPO Live'!$M$5&lt;&gt;"Bloomberg",ISNUMBER(G468)),"Snapshot","Unavailable"))</f>
        <v/>
      </c>
      <c r="Q468" s="33">
        <f>IF(AND(P468="Bloomberg",ISNUMBER(L468)),L468,"unavailable")</f>
        <v/>
      </c>
      <c r="R468" s="15">
        <f>IF(OR('IPO Live'!$B$5="All",'IPO Live'!$B$5=C468,AND('IPO Live'!$B$5="A/H only",J468&gt;0)),1,0)</f>
        <v/>
      </c>
      <c r="S468" s="15">
        <f>IF(R468=1,COUNTIF($R$5:R468,1),"")</f>
        <v/>
      </c>
      <c r="T468">
        <f>1</f>
        <v/>
      </c>
      <c r="U468">
        <f>IF($P468="Bloomberg",$M468,$H468)</f>
        <v/>
      </c>
      <c r="AW468">
        <f>IF(AND(J468&gt;0,OR(AH!$I$5="All",AH!$I$5="A/H only",AH!$I$5=C468)),1,0)</f>
        <v/>
      </c>
      <c r="AX468">
        <f>IF(AW468=1,COUNTIF($AW$5:AW468,1),"")</f>
        <v/>
      </c>
      <c r="AY468">
        <f>IF(AH!$M$5="Snapshot",IF(ISNUMBER(G468),G468,"unavailable"),IF(AND(ISNUMBER(K468),N(K468)&gt;0),K468,IF(AH!$M$5="Auto",IF(ISNUMBER(G468),G468,"unavailable"),"unavailable")))</f>
        <v/>
      </c>
      <c r="AZ468">
        <f>IF(AND(AH!$M$5&lt;&gt;"Snapshot",ISNUMBER(K468),N(K468)&gt;0),"Bloomberg",IF(AND(AH!$M$5&lt;&gt;"Bloomberg",ISNUMBER(G468)),"Snapshot","Unavailable"))</f>
        <v/>
      </c>
      <c r="BA468">
        <f>IF(AZ468="Bloomberg",M468,H468)</f>
        <v/>
      </c>
      <c r="BB468">
        <f>1</f>
        <v/>
      </c>
    </row>
    <row r="469">
      <c r="A469" s="31" t="inlineStr">
        <is>
          <t>2481</t>
        </is>
      </c>
      <c r="B469" s="15" t="inlineStr">
        <is>
          <t>WISE LIVING TEC</t>
        </is>
      </c>
      <c r="C469" s="15" t="inlineStr">
        <is>
          <t>Materials/Energy</t>
        </is>
      </c>
      <c r="D469" s="15" t="inlineStr">
        <is>
          <t>Oil &amp; gas / utilities</t>
        </is>
      </c>
      <c r="E469" s="34" t="n">
        <v>45117</v>
      </c>
      <c r="F469" s="15" t="n">
        <v>3.6</v>
      </c>
      <c r="G469" s="15" t="n">
        <v>2.52</v>
      </c>
      <c r="H469" s="34" t="n">
        <v>46297</v>
      </c>
      <c r="I469" s="31" t="n"/>
      <c r="J469" s="15" t="n">
        <v>0</v>
      </c>
      <c r="K469" s="15">
        <f>IF(AND(AH!$M$5="Snapshot",'IPO Live'!$M$5="Snapshot"),"",IFERROR(BDP(TEXT(VALUE($A469),"0")&amp;" HK Equity","PX_LAST"),""))</f>
        <v/>
      </c>
      <c r="L469" s="15">
        <f>IF(AND(AH!$M$5="Snapshot",'IPO Live'!$M$5="Snapshot"),"",IFERROR(BDP(TEXT(VALUE($A469),"0")&amp;" HK Equity","CHG_PCT_1D")/100,""))</f>
        <v/>
      </c>
      <c r="M469" s="15">
        <f>IF(AND(AH!$M$5="Snapshot",'IPO Live'!$M$5="Snapshot"),"",IFERROR(BDP(TEXT(VALUE($A469),"0")&amp;" HK Equity","LAST_UPDATE_DT"),""))</f>
        <v/>
      </c>
      <c r="N469" s="15">
        <f>IF(AND(AH!$M$5="Snapshot",'IPO Live'!$M$5="Snapshot"),"",IFERROR(BDP(TEXT(VALUE($A469),"0")&amp;" HK Equity","LAST_UPDATE"),""))</f>
        <v/>
      </c>
      <c r="O469" s="15">
        <f>IF('IPO Live'!$M$5="Snapshot",IF(ISNUMBER(G469),G469,"unavailable"),IF(AND(ISNUMBER(K469),N(K469)&gt;0),K469,IF('IPO Live'!$M$5="Auto",IF(ISNUMBER(G469),G469,"unavailable"),"unavailable")))</f>
        <v/>
      </c>
      <c r="P469" s="15">
        <f>IF(AND('IPO Live'!$M$5&lt;&gt;"Snapshot",ISNUMBER(K469),N(K469)&gt;0),"Bloomberg",IF(AND('IPO Live'!$M$5&lt;&gt;"Bloomberg",ISNUMBER(G469)),"Snapshot","Unavailable"))</f>
        <v/>
      </c>
      <c r="Q469" s="33">
        <f>IF(AND(P469="Bloomberg",ISNUMBER(L469)),L469,"unavailable")</f>
        <v/>
      </c>
      <c r="R469" s="15">
        <f>IF(OR('IPO Live'!$B$5="All",'IPO Live'!$B$5=C469,AND('IPO Live'!$B$5="A/H only",J469&gt;0)),1,0)</f>
        <v/>
      </c>
      <c r="S469" s="15">
        <f>IF(R469=1,COUNTIF($R$5:R469,1),"")</f>
        <v/>
      </c>
      <c r="T469">
        <f>1</f>
        <v/>
      </c>
      <c r="U469">
        <f>IF($P469="Bloomberg",$M469,$H469)</f>
        <v/>
      </c>
      <c r="AW469">
        <f>IF(AND(J469&gt;0,OR(AH!$I$5="All",AH!$I$5="A/H only",AH!$I$5=C469)),1,0)</f>
        <v/>
      </c>
      <c r="AX469">
        <f>IF(AW469=1,COUNTIF($AW$5:AW469,1),"")</f>
        <v/>
      </c>
      <c r="AY469">
        <f>IF(AH!$M$5="Snapshot",IF(ISNUMBER(G469),G469,"unavailable"),IF(AND(ISNUMBER(K469),N(K469)&gt;0),K469,IF(AH!$M$5="Auto",IF(ISNUMBER(G469),G469,"unavailable"),"unavailable")))</f>
        <v/>
      </c>
      <c r="AZ469">
        <f>IF(AND(AH!$M$5&lt;&gt;"Snapshot",ISNUMBER(K469),N(K469)&gt;0),"Bloomberg",IF(AND(AH!$M$5&lt;&gt;"Bloomberg",ISNUMBER(G469)),"Snapshot","Unavailable"))</f>
        <v/>
      </c>
      <c r="BA469">
        <f>IF(AZ469="Bloomberg",M469,H469)</f>
        <v/>
      </c>
      <c r="BB469">
        <f>1</f>
        <v/>
      </c>
    </row>
    <row r="470">
      <c r="A470" s="31" t="inlineStr">
        <is>
          <t>2439</t>
        </is>
      </c>
      <c r="B470" s="15" t="inlineStr">
        <is>
          <t>CH TREASURES NM</t>
        </is>
      </c>
      <c r="C470" s="15" t="inlineStr">
        <is>
          <t>Materials/Energy</t>
        </is>
      </c>
      <c r="D470" s="15" t="inlineStr">
        <is>
          <t>Chemicals</t>
        </is>
      </c>
      <c r="E470" s="34" t="n">
        <v>45016</v>
      </c>
      <c r="F470" s="15" t="n">
        <v>1.05</v>
      </c>
      <c r="G470" s="15" t="n">
        <v>0.216</v>
      </c>
      <c r="H470" s="34" t="n">
        <v>46297</v>
      </c>
      <c r="I470" s="31" t="n"/>
      <c r="J470" s="15" t="n">
        <v>0</v>
      </c>
      <c r="K470" s="15">
        <f>IF(AND(AH!$M$5="Snapshot",'IPO Live'!$M$5="Snapshot"),"",IFERROR(BDP(TEXT(VALUE($A470),"0")&amp;" HK Equity","PX_LAST"),""))</f>
        <v/>
      </c>
      <c r="L470" s="15">
        <f>IF(AND(AH!$M$5="Snapshot",'IPO Live'!$M$5="Snapshot"),"",IFERROR(BDP(TEXT(VALUE($A470),"0")&amp;" HK Equity","CHG_PCT_1D")/100,""))</f>
        <v/>
      </c>
      <c r="M470" s="15">
        <f>IF(AND(AH!$M$5="Snapshot",'IPO Live'!$M$5="Snapshot"),"",IFERROR(BDP(TEXT(VALUE($A470),"0")&amp;" HK Equity","LAST_UPDATE_DT"),""))</f>
        <v/>
      </c>
      <c r="N470" s="15">
        <f>IF(AND(AH!$M$5="Snapshot",'IPO Live'!$M$5="Snapshot"),"",IFERROR(BDP(TEXT(VALUE($A470),"0")&amp;" HK Equity","LAST_UPDATE"),""))</f>
        <v/>
      </c>
      <c r="O470" s="15">
        <f>IF('IPO Live'!$M$5="Snapshot",IF(ISNUMBER(G470),G470,"unavailable"),IF(AND(ISNUMBER(K470),N(K470)&gt;0),K470,IF('IPO Live'!$M$5="Auto",IF(ISNUMBER(G470),G470,"unavailable"),"unavailable")))</f>
        <v/>
      </c>
      <c r="P470" s="15">
        <f>IF(AND('IPO Live'!$M$5&lt;&gt;"Snapshot",ISNUMBER(K470),N(K470)&gt;0),"Bloomberg",IF(AND('IPO Live'!$M$5&lt;&gt;"Bloomberg",ISNUMBER(G470)),"Snapshot","Unavailable"))</f>
        <v/>
      </c>
      <c r="Q470" s="33">
        <f>IF(AND(P470="Bloomberg",ISNUMBER(L470)),L470,"unavailable")</f>
        <v/>
      </c>
      <c r="R470" s="15">
        <f>IF(OR('IPO Live'!$B$5="All",'IPO Live'!$B$5=C470,AND('IPO Live'!$B$5="A/H only",J470&gt;0)),1,0)</f>
        <v/>
      </c>
      <c r="S470" s="15">
        <f>IF(R470=1,COUNTIF($R$5:R470,1),"")</f>
        <v/>
      </c>
      <c r="T470">
        <f>1</f>
        <v/>
      </c>
      <c r="U470">
        <f>IF($P470="Bloomberg",$M470,$H470)</f>
        <v/>
      </c>
      <c r="AW470">
        <f>IF(AND(J470&gt;0,OR(AH!$I$5="All",AH!$I$5="A/H only",AH!$I$5=C470)),1,0)</f>
        <v/>
      </c>
      <c r="AX470">
        <f>IF(AW470=1,COUNTIF($AW$5:AW470,1),"")</f>
        <v/>
      </c>
      <c r="AY470">
        <f>IF(AH!$M$5="Snapshot",IF(ISNUMBER(G470),G470,"unavailable"),IF(AND(ISNUMBER(K470),N(K470)&gt;0),K470,IF(AH!$M$5="Auto",IF(ISNUMBER(G470),G470,"unavailable"),"unavailable")))</f>
        <v/>
      </c>
      <c r="AZ470">
        <f>IF(AND(AH!$M$5&lt;&gt;"Snapshot",ISNUMBER(K470),N(K470)&gt;0),"Bloomberg",IF(AND(AH!$M$5&lt;&gt;"Bloomberg",ISNUMBER(G470)),"Snapshot","Unavailable"))</f>
        <v/>
      </c>
      <c r="BA470">
        <f>IF(AZ470="Bloomberg",M470,H470)</f>
        <v/>
      </c>
      <c r="BB470">
        <f>1</f>
        <v/>
      </c>
    </row>
    <row r="471">
      <c r="A471" s="31" t="inlineStr">
        <is>
          <t>2450</t>
        </is>
      </c>
      <c r="B471" s="15" t="inlineStr">
        <is>
          <t>HUAIBEI GD CO</t>
        </is>
      </c>
      <c r="C471" s="15" t="inlineStr">
        <is>
          <t>Materials/Energy</t>
        </is>
      </c>
      <c r="D471" s="15" t="inlineStr">
        <is>
          <t>Chemicals</t>
        </is>
      </c>
      <c r="E471" s="34" t="n">
        <v>44946</v>
      </c>
      <c r="F471" s="15" t="n">
        <v>1.91</v>
      </c>
      <c r="G471" s="15" t="n">
        <v>11.95</v>
      </c>
      <c r="H471" s="34" t="n">
        <v>46297</v>
      </c>
      <c r="I471" s="31" t="n"/>
      <c r="J471" s="15" t="n">
        <v>0</v>
      </c>
      <c r="K471" s="15">
        <f>IF(AND(AH!$M$5="Snapshot",'IPO Live'!$M$5="Snapshot"),"",IFERROR(BDP(TEXT(VALUE($A471),"0")&amp;" HK Equity","PX_LAST"),""))</f>
        <v/>
      </c>
      <c r="L471" s="15">
        <f>IF(AND(AH!$M$5="Snapshot",'IPO Live'!$M$5="Snapshot"),"",IFERROR(BDP(TEXT(VALUE($A471),"0")&amp;" HK Equity","CHG_PCT_1D")/100,""))</f>
        <v/>
      </c>
      <c r="M471" s="15">
        <f>IF(AND(AH!$M$5="Snapshot",'IPO Live'!$M$5="Snapshot"),"",IFERROR(BDP(TEXT(VALUE($A471),"0")&amp;" HK Equity","LAST_UPDATE_DT"),""))</f>
        <v/>
      </c>
      <c r="N471" s="15">
        <f>IF(AND(AH!$M$5="Snapshot",'IPO Live'!$M$5="Snapshot"),"",IFERROR(BDP(TEXT(VALUE($A471),"0")&amp;" HK Equity","LAST_UPDATE"),""))</f>
        <v/>
      </c>
      <c r="O471" s="15">
        <f>IF('IPO Live'!$M$5="Snapshot",IF(ISNUMBER(G471),G471,"unavailable"),IF(AND(ISNUMBER(K471),N(K471)&gt;0),K471,IF('IPO Live'!$M$5="Auto",IF(ISNUMBER(G471),G471,"unavailable"),"unavailable")))</f>
        <v/>
      </c>
      <c r="P471" s="15">
        <f>IF(AND('IPO Live'!$M$5&lt;&gt;"Snapshot",ISNUMBER(K471),N(K471)&gt;0),"Bloomberg",IF(AND('IPO Live'!$M$5&lt;&gt;"Bloomberg",ISNUMBER(G471)),"Snapshot","Unavailable"))</f>
        <v/>
      </c>
      <c r="Q471" s="33">
        <f>IF(AND(P471="Bloomberg",ISNUMBER(L471)),L471,"unavailable")</f>
        <v/>
      </c>
      <c r="R471" s="15">
        <f>IF(OR('IPO Live'!$B$5="All",'IPO Live'!$B$5=C471,AND('IPO Live'!$B$5="A/H only",J471&gt;0)),1,0)</f>
        <v/>
      </c>
      <c r="S471" s="15">
        <f>IF(R471=1,COUNTIF($R$5:R471,1),"")</f>
        <v/>
      </c>
      <c r="T471">
        <f>1</f>
        <v/>
      </c>
      <c r="U471">
        <f>IF($P471="Bloomberg",$M471,$H471)</f>
        <v/>
      </c>
      <c r="AW471">
        <f>IF(AND(J471&gt;0,OR(AH!$I$5="All",AH!$I$5="A/H only",AH!$I$5=C471)),1,0)</f>
        <v/>
      </c>
      <c r="AX471">
        <f>IF(AW471=1,COUNTIF($AW$5:AW471,1),"")</f>
        <v/>
      </c>
      <c r="AY471">
        <f>IF(AH!$M$5="Snapshot",IF(ISNUMBER(G471),G471,"unavailable"),IF(AND(ISNUMBER(K471),N(K471)&gt;0),K471,IF(AH!$M$5="Auto",IF(ISNUMBER(G471),G471,"unavailable"),"unavailable")))</f>
        <v/>
      </c>
      <c r="AZ471">
        <f>IF(AND(AH!$M$5&lt;&gt;"Snapshot",ISNUMBER(K471),N(K471)&gt;0),"Bloomberg",IF(AND(AH!$M$5&lt;&gt;"Bloomberg",ISNUMBER(G471)),"Snapshot","Unavailable"))</f>
        <v/>
      </c>
      <c r="BA471">
        <f>IF(AZ471="Bloomberg",M471,H471)</f>
        <v/>
      </c>
      <c r="BB471">
        <f>1</f>
        <v/>
      </c>
    </row>
    <row r="472">
      <c r="A472" s="31" t="inlineStr">
        <is>
          <t>2459</t>
        </is>
      </c>
      <c r="B472" s="15" t="inlineStr">
        <is>
          <t>SANERGY GROUP</t>
        </is>
      </c>
      <c r="C472" s="15" t="inlineStr">
        <is>
          <t>Materials/Energy</t>
        </is>
      </c>
      <c r="D472" s="15" t="inlineStr">
        <is>
          <t>Chemicals</t>
        </is>
      </c>
      <c r="E472" s="34" t="n">
        <v>44943</v>
      </c>
      <c r="F472" s="15" t="n">
        <v>1.6</v>
      </c>
      <c r="G472" s="15" t="n">
        <v>0.06</v>
      </c>
      <c r="H472" s="34" t="n">
        <v>46297</v>
      </c>
      <c r="I472" s="31" t="n"/>
      <c r="J472" s="15" t="n">
        <v>0</v>
      </c>
      <c r="K472" s="15">
        <f>IF(AND(AH!$M$5="Snapshot",'IPO Live'!$M$5="Snapshot"),"",IFERROR(BDP(TEXT(VALUE($A472),"0")&amp;" HK Equity","PX_LAST"),""))</f>
        <v/>
      </c>
      <c r="L472" s="15">
        <f>IF(AND(AH!$M$5="Snapshot",'IPO Live'!$M$5="Snapshot"),"",IFERROR(BDP(TEXT(VALUE($A472),"0")&amp;" HK Equity","CHG_PCT_1D")/100,""))</f>
        <v/>
      </c>
      <c r="M472" s="15">
        <f>IF(AND(AH!$M$5="Snapshot",'IPO Live'!$M$5="Snapshot"),"",IFERROR(BDP(TEXT(VALUE($A472),"0")&amp;" HK Equity","LAST_UPDATE_DT"),""))</f>
        <v/>
      </c>
      <c r="N472" s="15">
        <f>IF(AND(AH!$M$5="Snapshot",'IPO Live'!$M$5="Snapshot"),"",IFERROR(BDP(TEXT(VALUE($A472),"0")&amp;" HK Equity","LAST_UPDATE"),""))</f>
        <v/>
      </c>
      <c r="O472" s="15">
        <f>IF('IPO Live'!$M$5="Snapshot",IF(ISNUMBER(G472),G472,"unavailable"),IF(AND(ISNUMBER(K472),N(K472)&gt;0),K472,IF('IPO Live'!$M$5="Auto",IF(ISNUMBER(G472),G472,"unavailable"),"unavailable")))</f>
        <v/>
      </c>
      <c r="P472" s="15">
        <f>IF(AND('IPO Live'!$M$5&lt;&gt;"Snapshot",ISNUMBER(K472),N(K472)&gt;0),"Bloomberg",IF(AND('IPO Live'!$M$5&lt;&gt;"Bloomberg",ISNUMBER(G472)),"Snapshot","Unavailable"))</f>
        <v/>
      </c>
      <c r="Q472" s="33">
        <f>IF(AND(P472="Bloomberg",ISNUMBER(L472)),L472,"unavailable")</f>
        <v/>
      </c>
      <c r="R472" s="15">
        <f>IF(OR('IPO Live'!$B$5="All",'IPO Live'!$B$5=C472,AND('IPO Live'!$B$5="A/H only",J472&gt;0)),1,0)</f>
        <v/>
      </c>
      <c r="S472" s="15">
        <f>IF(R472=1,COUNTIF($R$5:R472,1),"")</f>
        <v/>
      </c>
      <c r="T472">
        <f>IF(ISNUMBER($U472),IF($U472&gt;=DATEVALUE("2026-05-14"),0.1,1),"unavailable")</f>
        <v/>
      </c>
      <c r="U472">
        <f>IF($P472="Bloomberg",$M472,$H472)</f>
        <v/>
      </c>
      <c r="AW472">
        <f>IF(AND(J472&gt;0,OR(AH!$I$5="All",AH!$I$5="A/H only",AH!$I$5=C472)),1,0)</f>
        <v/>
      </c>
      <c r="AX472">
        <f>IF(AW472=1,COUNTIF($AW$5:AW472,1),"")</f>
        <v/>
      </c>
      <c r="AY472">
        <f>IF(AH!$M$5="Snapshot",IF(ISNUMBER(G472),G472,"unavailable"),IF(AND(ISNUMBER(K472),N(K472)&gt;0),K472,IF(AH!$M$5="Auto",IF(ISNUMBER(G472),G472,"unavailable"),"unavailable")))</f>
        <v/>
      </c>
      <c r="AZ472">
        <f>IF(AND(AH!$M$5&lt;&gt;"Snapshot",ISNUMBER(K472),N(K472)&gt;0),"Bloomberg",IF(AND(AH!$M$5&lt;&gt;"Bloomberg",ISNUMBER(G472)),"Snapshot","Unavailable"))</f>
        <v/>
      </c>
      <c r="BA472">
        <f>IF(AZ472="Bloomberg",M472,H472)</f>
        <v/>
      </c>
      <c r="BB472">
        <f>IF(ISNUMBER($BA472),IF($BA472&gt;=DATEVALUE("2026-05-14"),0.1,1),"unavailable")</f>
        <v/>
      </c>
    </row>
    <row r="473">
      <c r="A473" s="31" t="inlineStr">
        <is>
          <t>2245</t>
        </is>
      </c>
      <c r="B473" s="15" t="inlineStr">
        <is>
          <t>LYGEND RESOURCE</t>
        </is>
      </c>
      <c r="C473" s="15" t="inlineStr">
        <is>
          <t>Materials/Energy</t>
        </is>
      </c>
      <c r="D473" s="15" t="inlineStr">
        <is>
          <t>Mining / metals</t>
        </is>
      </c>
      <c r="E473" s="34" t="n">
        <v>44896</v>
      </c>
      <c r="F473" s="15" t="n">
        <v>15.8</v>
      </c>
      <c r="G473" s="15" t="n">
        <v>20.04</v>
      </c>
      <c r="H473" s="34" t="n">
        <v>46297</v>
      </c>
      <c r="I473" s="31" t="n"/>
      <c r="J473" s="15" t="n">
        <v>0</v>
      </c>
      <c r="K473" s="15">
        <f>IF(AND(AH!$M$5="Snapshot",'IPO Live'!$M$5="Snapshot"),"",IFERROR(BDP(TEXT(VALUE($A473),"0")&amp;" HK Equity","PX_LAST"),""))</f>
        <v/>
      </c>
      <c r="L473" s="15">
        <f>IF(AND(AH!$M$5="Snapshot",'IPO Live'!$M$5="Snapshot"),"",IFERROR(BDP(TEXT(VALUE($A473),"0")&amp;" HK Equity","CHG_PCT_1D")/100,""))</f>
        <v/>
      </c>
      <c r="M473" s="15">
        <f>IF(AND(AH!$M$5="Snapshot",'IPO Live'!$M$5="Snapshot"),"",IFERROR(BDP(TEXT(VALUE($A473),"0")&amp;" HK Equity","LAST_UPDATE_DT"),""))</f>
        <v/>
      </c>
      <c r="N473" s="15">
        <f>IF(AND(AH!$M$5="Snapshot",'IPO Live'!$M$5="Snapshot"),"",IFERROR(BDP(TEXT(VALUE($A473),"0")&amp;" HK Equity","LAST_UPDATE"),""))</f>
        <v/>
      </c>
      <c r="O473" s="15">
        <f>IF('IPO Live'!$M$5="Snapshot",IF(ISNUMBER(G473),G473,"unavailable"),IF(AND(ISNUMBER(K473),N(K473)&gt;0),K473,IF('IPO Live'!$M$5="Auto",IF(ISNUMBER(G473),G473,"unavailable"),"unavailable")))</f>
        <v/>
      </c>
      <c r="P473" s="15">
        <f>IF(AND('IPO Live'!$M$5&lt;&gt;"Snapshot",ISNUMBER(K473),N(K473)&gt;0),"Bloomberg",IF(AND('IPO Live'!$M$5&lt;&gt;"Bloomberg",ISNUMBER(G473)),"Snapshot","Unavailable"))</f>
        <v/>
      </c>
      <c r="Q473" s="33">
        <f>IF(AND(P473="Bloomberg",ISNUMBER(L473)),L473,"unavailable")</f>
        <v/>
      </c>
      <c r="R473" s="15">
        <f>IF(OR('IPO Live'!$B$5="All",'IPO Live'!$B$5=C473,AND('IPO Live'!$B$5="A/H only",J473&gt;0)),1,0)</f>
        <v/>
      </c>
      <c r="S473" s="15">
        <f>IF(R473=1,COUNTIF($R$5:R473,1),"")</f>
        <v/>
      </c>
      <c r="T473">
        <f>1</f>
        <v/>
      </c>
      <c r="U473">
        <f>IF($P473="Bloomberg",$M473,$H473)</f>
        <v/>
      </c>
      <c r="AW473">
        <f>IF(AND(J473&gt;0,OR(AH!$I$5="All",AH!$I$5="A/H only",AH!$I$5=C473)),1,0)</f>
        <v/>
      </c>
      <c r="AX473">
        <f>IF(AW473=1,COUNTIF($AW$5:AW473,1),"")</f>
        <v/>
      </c>
      <c r="AY473">
        <f>IF(AH!$M$5="Snapshot",IF(ISNUMBER(G473),G473,"unavailable"),IF(AND(ISNUMBER(K473),N(K473)&gt;0),K473,IF(AH!$M$5="Auto",IF(ISNUMBER(G473),G473,"unavailable"),"unavailable")))</f>
        <v/>
      </c>
      <c r="AZ473">
        <f>IF(AND(AH!$M$5&lt;&gt;"Snapshot",ISNUMBER(K473),N(K473)&gt;0),"Bloomberg",IF(AND(AH!$M$5&lt;&gt;"Bloomberg",ISNUMBER(G473)),"Snapshot","Unavailable"))</f>
        <v/>
      </c>
      <c r="BA473">
        <f>IF(AZ473="Bloomberg",M473,H473)</f>
        <v/>
      </c>
      <c r="BB473">
        <f>1</f>
        <v/>
      </c>
    </row>
    <row r="474">
      <c r="A474" s="31" t="inlineStr">
        <is>
          <t>1407</t>
        </is>
      </c>
      <c r="B474" s="15" t="inlineStr">
        <is>
          <t>JY GAS</t>
        </is>
      </c>
      <c r="C474" s="15" t="inlineStr">
        <is>
          <t>Materials/Energy</t>
        </is>
      </c>
      <c r="D474" s="15" t="inlineStr">
        <is>
          <t>Oil &amp; gas / utilities</t>
        </is>
      </c>
      <c r="E474" s="34" t="n">
        <v>44881</v>
      </c>
      <c r="F474" s="15" t="n">
        <v>1.42</v>
      </c>
      <c r="G474" s="15" t="n">
        <v>0.705</v>
      </c>
      <c r="H474" s="34" t="n">
        <v>46297</v>
      </c>
      <c r="I474" s="31" t="n"/>
      <c r="J474" s="15" t="n">
        <v>0</v>
      </c>
      <c r="K474" s="15">
        <f>IF(AND(AH!$M$5="Snapshot",'IPO Live'!$M$5="Snapshot"),"",IFERROR(BDP(TEXT(VALUE($A474),"0")&amp;" HK Equity","PX_LAST"),""))</f>
        <v/>
      </c>
      <c r="L474" s="15">
        <f>IF(AND(AH!$M$5="Snapshot",'IPO Live'!$M$5="Snapshot"),"",IFERROR(BDP(TEXT(VALUE($A474),"0")&amp;" HK Equity","CHG_PCT_1D")/100,""))</f>
        <v/>
      </c>
      <c r="M474" s="15">
        <f>IF(AND(AH!$M$5="Snapshot",'IPO Live'!$M$5="Snapshot"),"",IFERROR(BDP(TEXT(VALUE($A474),"0")&amp;" HK Equity","LAST_UPDATE_DT"),""))</f>
        <v/>
      </c>
      <c r="N474" s="15">
        <f>IF(AND(AH!$M$5="Snapshot",'IPO Live'!$M$5="Snapshot"),"",IFERROR(BDP(TEXT(VALUE($A474),"0")&amp;" HK Equity","LAST_UPDATE"),""))</f>
        <v/>
      </c>
      <c r="O474" s="15">
        <f>IF('IPO Live'!$M$5="Snapshot",IF(ISNUMBER(G474),G474,"unavailable"),IF(AND(ISNUMBER(K474),N(K474)&gt;0),K474,IF('IPO Live'!$M$5="Auto",IF(ISNUMBER(G474),G474,"unavailable"),"unavailable")))</f>
        <v/>
      </c>
      <c r="P474" s="15">
        <f>IF(AND('IPO Live'!$M$5&lt;&gt;"Snapshot",ISNUMBER(K474),N(K474)&gt;0),"Bloomberg",IF(AND('IPO Live'!$M$5&lt;&gt;"Bloomberg",ISNUMBER(G474)),"Snapshot","Unavailable"))</f>
        <v/>
      </c>
      <c r="Q474" s="33">
        <f>IF(AND(P474="Bloomberg",ISNUMBER(L474)),L474,"unavailable")</f>
        <v/>
      </c>
      <c r="R474" s="15">
        <f>IF(OR('IPO Live'!$B$5="All",'IPO Live'!$B$5=C474,AND('IPO Live'!$B$5="A/H only",J474&gt;0)),1,0)</f>
        <v/>
      </c>
      <c r="S474" s="15">
        <f>IF(R474=1,COUNTIF($R$5:R474,1),"")</f>
        <v/>
      </c>
      <c r="T474">
        <f>1</f>
        <v/>
      </c>
      <c r="U474">
        <f>IF($P474="Bloomberg",$M474,$H474)</f>
        <v/>
      </c>
      <c r="AW474">
        <f>IF(AND(J474&gt;0,OR(AH!$I$5="All",AH!$I$5="A/H only",AH!$I$5=C474)),1,0)</f>
        <v/>
      </c>
      <c r="AX474">
        <f>IF(AW474=1,COUNTIF($AW$5:AW474,1),"")</f>
        <v/>
      </c>
      <c r="AY474">
        <f>IF(AH!$M$5="Snapshot",IF(ISNUMBER(G474),G474,"unavailable"),IF(AND(ISNUMBER(K474),N(K474)&gt;0),K474,IF(AH!$M$5="Auto",IF(ISNUMBER(G474),G474,"unavailable"),"unavailable")))</f>
        <v/>
      </c>
      <c r="AZ474">
        <f>IF(AND(AH!$M$5&lt;&gt;"Snapshot",ISNUMBER(K474),N(K474)&gt;0),"Bloomberg",IF(AND(AH!$M$5&lt;&gt;"Bloomberg",ISNUMBER(G474)),"Snapshot","Unavailable"))</f>
        <v/>
      </c>
      <c r="BA474">
        <f>IF(AZ474="Bloomberg",M474,H474)</f>
        <v/>
      </c>
      <c r="BB474">
        <f>1</f>
        <v/>
      </c>
    </row>
    <row r="475">
      <c r="A475" s="31" t="inlineStr">
        <is>
          <t>2321</t>
        </is>
      </c>
      <c r="B475" s="15" t="inlineStr">
        <is>
          <t>SWANGCHAICHUAN</t>
        </is>
      </c>
      <c r="C475" s="15" t="inlineStr">
        <is>
          <t>Materials/Energy</t>
        </is>
      </c>
      <c r="D475" s="15" t="inlineStr">
        <is>
          <t>Oil &amp; gas / utilities</t>
        </is>
      </c>
      <c r="E475" s="34" t="n">
        <v>44792</v>
      </c>
      <c r="F475" s="15" t="n">
        <v>0.5600000000000001</v>
      </c>
      <c r="G475" s="15" t="n">
        <v>0.53</v>
      </c>
      <c r="H475" s="34" t="n">
        <v>46297</v>
      </c>
      <c r="I475" s="31" t="n"/>
      <c r="J475" s="15" t="n">
        <v>0</v>
      </c>
      <c r="K475" s="15">
        <f>IF(AND(AH!$M$5="Snapshot",'IPO Live'!$M$5="Snapshot"),"",IFERROR(BDP(TEXT(VALUE($A475),"0")&amp;" HK Equity","PX_LAST"),""))</f>
        <v/>
      </c>
      <c r="L475" s="15">
        <f>IF(AND(AH!$M$5="Snapshot",'IPO Live'!$M$5="Snapshot"),"",IFERROR(BDP(TEXT(VALUE($A475),"0")&amp;" HK Equity","CHG_PCT_1D")/100,""))</f>
        <v/>
      </c>
      <c r="M475" s="15">
        <f>IF(AND(AH!$M$5="Snapshot",'IPO Live'!$M$5="Snapshot"),"",IFERROR(BDP(TEXT(VALUE($A475),"0")&amp;" HK Equity","LAST_UPDATE_DT"),""))</f>
        <v/>
      </c>
      <c r="N475" s="15">
        <f>IF(AND(AH!$M$5="Snapshot",'IPO Live'!$M$5="Snapshot"),"",IFERROR(BDP(TEXT(VALUE($A475),"0")&amp;" HK Equity","LAST_UPDATE"),""))</f>
        <v/>
      </c>
      <c r="O475" s="15">
        <f>IF('IPO Live'!$M$5="Snapshot",IF(ISNUMBER(G475),G475,"unavailable"),IF(AND(ISNUMBER(K475),N(K475)&gt;0),K475,IF('IPO Live'!$M$5="Auto",IF(ISNUMBER(G475),G475,"unavailable"),"unavailable")))</f>
        <v/>
      </c>
      <c r="P475" s="15">
        <f>IF(AND('IPO Live'!$M$5&lt;&gt;"Snapshot",ISNUMBER(K475),N(K475)&gt;0),"Bloomberg",IF(AND('IPO Live'!$M$5&lt;&gt;"Bloomberg",ISNUMBER(G475)),"Snapshot","Unavailable"))</f>
        <v/>
      </c>
      <c r="Q475" s="33">
        <f>IF(AND(P475="Bloomberg",ISNUMBER(L475)),L475,"unavailable")</f>
        <v/>
      </c>
      <c r="R475" s="15">
        <f>IF(OR('IPO Live'!$B$5="All",'IPO Live'!$B$5=C475,AND('IPO Live'!$B$5="A/H only",J475&gt;0)),1,0)</f>
        <v/>
      </c>
      <c r="S475" s="15">
        <f>IF(R475=1,COUNTIF($R$5:R475,1),"")</f>
        <v/>
      </c>
      <c r="T475">
        <f>1</f>
        <v/>
      </c>
      <c r="U475">
        <f>IF($P475="Bloomberg",$M475,$H475)</f>
        <v/>
      </c>
      <c r="AW475">
        <f>IF(AND(J475&gt;0,OR(AH!$I$5="All",AH!$I$5="A/H only",AH!$I$5=C475)),1,0)</f>
        <v/>
      </c>
      <c r="AX475">
        <f>IF(AW475=1,COUNTIF($AW$5:AW475,1),"")</f>
        <v/>
      </c>
      <c r="AY475">
        <f>IF(AH!$M$5="Snapshot",IF(ISNUMBER(G475),G475,"unavailable"),IF(AND(ISNUMBER(K475),N(K475)&gt;0),K475,IF(AH!$M$5="Auto",IF(ISNUMBER(G475),G475,"unavailable"),"unavailable")))</f>
        <v/>
      </c>
      <c r="AZ475">
        <f>IF(AND(AH!$M$5&lt;&gt;"Snapshot",ISNUMBER(K475),N(K475)&gt;0),"Bloomberg",IF(AND(AH!$M$5&lt;&gt;"Bloomberg",ISNUMBER(G475)),"Snapshot","Unavailable"))</f>
        <v/>
      </c>
      <c r="BA475">
        <f>IF(AZ475="Bloomberg",M475,H475)</f>
        <v/>
      </c>
      <c r="BB475">
        <f>1</f>
        <v/>
      </c>
    </row>
    <row r="476">
      <c r="A476" s="31" t="inlineStr">
        <is>
          <t>2237</t>
        </is>
      </c>
      <c r="B476" s="15" t="inlineStr">
        <is>
          <t>CHINA GRAPHITE</t>
        </is>
      </c>
      <c r="C476" s="15" t="inlineStr">
        <is>
          <t>Materials/Energy</t>
        </is>
      </c>
      <c r="D476" s="15" t="inlineStr">
        <is>
          <t>Mining / metals</t>
        </is>
      </c>
      <c r="E476" s="34" t="n">
        <v>44760</v>
      </c>
      <c r="F476" s="15" t="n">
        <v>0.325</v>
      </c>
      <c r="G476" s="15" t="n">
        <v>0.179</v>
      </c>
      <c r="H476" s="34" t="n">
        <v>46297</v>
      </c>
      <c r="I476" s="31" t="n"/>
      <c r="J476" s="15" t="n">
        <v>0</v>
      </c>
      <c r="K476" s="15">
        <f>IF(AND(AH!$M$5="Snapshot",'IPO Live'!$M$5="Snapshot"),"",IFERROR(BDP(TEXT(VALUE($A476),"0")&amp;" HK Equity","PX_LAST"),""))</f>
        <v/>
      </c>
      <c r="L476" s="15">
        <f>IF(AND(AH!$M$5="Snapshot",'IPO Live'!$M$5="Snapshot"),"",IFERROR(BDP(TEXT(VALUE($A476),"0")&amp;" HK Equity","CHG_PCT_1D")/100,""))</f>
        <v/>
      </c>
      <c r="M476" s="15">
        <f>IF(AND(AH!$M$5="Snapshot",'IPO Live'!$M$5="Snapshot"),"",IFERROR(BDP(TEXT(VALUE($A476),"0")&amp;" HK Equity","LAST_UPDATE_DT"),""))</f>
        <v/>
      </c>
      <c r="N476" s="15">
        <f>IF(AND(AH!$M$5="Snapshot",'IPO Live'!$M$5="Snapshot"),"",IFERROR(BDP(TEXT(VALUE($A476),"0")&amp;" HK Equity","LAST_UPDATE"),""))</f>
        <v/>
      </c>
      <c r="O476" s="15">
        <f>IF('IPO Live'!$M$5="Snapshot",IF(ISNUMBER(G476),G476,"unavailable"),IF(AND(ISNUMBER(K476),N(K476)&gt;0),K476,IF('IPO Live'!$M$5="Auto",IF(ISNUMBER(G476),G476,"unavailable"),"unavailable")))</f>
        <v/>
      </c>
      <c r="P476" s="15">
        <f>IF(AND('IPO Live'!$M$5&lt;&gt;"Snapshot",ISNUMBER(K476),N(K476)&gt;0),"Bloomberg",IF(AND('IPO Live'!$M$5&lt;&gt;"Bloomberg",ISNUMBER(G476)),"Snapshot","Unavailable"))</f>
        <v/>
      </c>
      <c r="Q476" s="33">
        <f>IF(AND(P476="Bloomberg",ISNUMBER(L476)),L476,"unavailable")</f>
        <v/>
      </c>
      <c r="R476" s="15">
        <f>IF(OR('IPO Live'!$B$5="All",'IPO Live'!$B$5=C476,AND('IPO Live'!$B$5="A/H only",J476&gt;0)),1,0)</f>
        <v/>
      </c>
      <c r="S476" s="15">
        <f>IF(R476=1,COUNTIF($R$5:R476,1),"")</f>
        <v/>
      </c>
      <c r="T476">
        <f>1</f>
        <v/>
      </c>
      <c r="U476">
        <f>IF($P476="Bloomberg",$M476,$H476)</f>
        <v/>
      </c>
      <c r="AW476">
        <f>IF(AND(J476&gt;0,OR(AH!$I$5="All",AH!$I$5="A/H only",AH!$I$5=C476)),1,0)</f>
        <v/>
      </c>
      <c r="AX476">
        <f>IF(AW476=1,COUNTIF($AW$5:AW476,1),"")</f>
        <v/>
      </c>
      <c r="AY476">
        <f>IF(AH!$M$5="Snapshot",IF(ISNUMBER(G476),G476,"unavailable"),IF(AND(ISNUMBER(K476),N(K476)&gt;0),K476,IF(AH!$M$5="Auto",IF(ISNUMBER(G476),G476,"unavailable"),"unavailable")))</f>
        <v/>
      </c>
      <c r="AZ476">
        <f>IF(AND(AH!$M$5&lt;&gt;"Snapshot",ISNUMBER(K476),N(K476)&gt;0),"Bloomberg",IF(AND(AH!$M$5&lt;&gt;"Bloomberg",ISNUMBER(G476)),"Snapshot","Unavailable"))</f>
        <v/>
      </c>
      <c r="BA476">
        <f>IF(AZ476="Bloomberg",M476,H476)</f>
        <v/>
      </c>
      <c r="BB476">
        <f>1</f>
        <v/>
      </c>
    </row>
    <row r="477">
      <c r="A477" s="31" t="inlineStr">
        <is>
          <t>6661</t>
        </is>
      </c>
      <c r="B477" s="15" t="inlineStr">
        <is>
          <t>HUZHOU GAS</t>
        </is>
      </c>
      <c r="C477" s="15" t="inlineStr">
        <is>
          <t>Materials/Energy</t>
        </is>
      </c>
      <c r="D477" s="15" t="inlineStr">
        <is>
          <t>Oil &amp; gas / utilities</t>
        </is>
      </c>
      <c r="E477" s="34" t="n">
        <v>44755</v>
      </c>
      <c r="F477" s="15" t="n">
        <v>6.08</v>
      </c>
      <c r="G477" s="15" t="n">
        <v>4.95</v>
      </c>
      <c r="H477" s="34" t="n">
        <v>46297</v>
      </c>
      <c r="I477" s="31" t="n"/>
      <c r="J477" s="15" t="n">
        <v>0</v>
      </c>
      <c r="K477" s="15">
        <f>IF(AND(AH!$M$5="Snapshot",'IPO Live'!$M$5="Snapshot"),"",IFERROR(BDP(TEXT(VALUE($A477),"0")&amp;" HK Equity","PX_LAST"),""))</f>
        <v/>
      </c>
      <c r="L477" s="15">
        <f>IF(AND(AH!$M$5="Snapshot",'IPO Live'!$M$5="Snapshot"),"",IFERROR(BDP(TEXT(VALUE($A477),"0")&amp;" HK Equity","CHG_PCT_1D")/100,""))</f>
        <v/>
      </c>
      <c r="M477" s="15">
        <f>IF(AND(AH!$M$5="Snapshot",'IPO Live'!$M$5="Snapshot"),"",IFERROR(BDP(TEXT(VALUE($A477),"0")&amp;" HK Equity","LAST_UPDATE_DT"),""))</f>
        <v/>
      </c>
      <c r="N477" s="15">
        <f>IF(AND(AH!$M$5="Snapshot",'IPO Live'!$M$5="Snapshot"),"",IFERROR(BDP(TEXT(VALUE($A477),"0")&amp;" HK Equity","LAST_UPDATE"),""))</f>
        <v/>
      </c>
      <c r="O477" s="15">
        <f>IF('IPO Live'!$M$5="Snapshot",IF(ISNUMBER(G477),G477,"unavailable"),IF(AND(ISNUMBER(K477),N(K477)&gt;0),K477,IF('IPO Live'!$M$5="Auto",IF(ISNUMBER(G477),G477,"unavailable"),"unavailable")))</f>
        <v/>
      </c>
      <c r="P477" s="15">
        <f>IF(AND('IPO Live'!$M$5&lt;&gt;"Snapshot",ISNUMBER(K477),N(K477)&gt;0),"Bloomberg",IF(AND('IPO Live'!$M$5&lt;&gt;"Bloomberg",ISNUMBER(G477)),"Snapshot","Unavailable"))</f>
        <v/>
      </c>
      <c r="Q477" s="33">
        <f>IF(AND(P477="Bloomberg",ISNUMBER(L477)),L477,"unavailable")</f>
        <v/>
      </c>
      <c r="R477" s="15">
        <f>IF(OR('IPO Live'!$B$5="All",'IPO Live'!$B$5=C477,AND('IPO Live'!$B$5="A/H only",J477&gt;0)),1,0)</f>
        <v/>
      </c>
      <c r="S477" s="15">
        <f>IF(R477=1,COUNTIF($R$5:R477,1),"")</f>
        <v/>
      </c>
      <c r="T477">
        <f>1</f>
        <v/>
      </c>
      <c r="U477">
        <f>IF($P477="Bloomberg",$M477,$H477)</f>
        <v/>
      </c>
      <c r="AW477">
        <f>IF(AND(J477&gt;0,OR(AH!$I$5="All",AH!$I$5="A/H only",AH!$I$5=C477)),1,0)</f>
        <v/>
      </c>
      <c r="AX477">
        <f>IF(AW477=1,COUNTIF($AW$5:AW477,1),"")</f>
        <v/>
      </c>
      <c r="AY477">
        <f>IF(AH!$M$5="Snapshot",IF(ISNUMBER(G477),G477,"unavailable"),IF(AND(ISNUMBER(K477),N(K477)&gt;0),K477,IF(AH!$M$5="Auto",IF(ISNUMBER(G477),G477,"unavailable"),"unavailable")))</f>
        <v/>
      </c>
      <c r="AZ477">
        <f>IF(AND(AH!$M$5&lt;&gt;"Snapshot",ISNUMBER(K477),N(K477)&gt;0),"Bloomberg",IF(AND(AH!$M$5&lt;&gt;"Bloomberg",ISNUMBER(G477)),"Snapshot","Unavailable"))</f>
        <v/>
      </c>
      <c r="BA477">
        <f>IF(AZ477="Bloomberg",M477,H477)</f>
        <v/>
      </c>
      <c r="BB477">
        <f>1</f>
        <v/>
      </c>
    </row>
    <row r="478">
      <c r="A478" s="31" t="inlineStr">
        <is>
          <t>9696</t>
        </is>
      </c>
      <c r="B478" s="15" t="inlineStr">
        <is>
          <t>TIANQI LITHIUM</t>
        </is>
      </c>
      <c r="C478" s="15" t="inlineStr">
        <is>
          <t>Materials/Energy</t>
        </is>
      </c>
      <c r="D478" s="15" t="inlineStr">
        <is>
          <t>Mining / metals</t>
        </is>
      </c>
      <c r="E478" s="34" t="n">
        <v>44755</v>
      </c>
      <c r="F478" s="15" t="n">
        <v>82</v>
      </c>
      <c r="G478" s="15" t="n">
        <v>28.2</v>
      </c>
      <c r="H478" s="34" t="n">
        <v>46297</v>
      </c>
      <c r="I478" s="31" t="inlineStr">
        <is>
          <t>002466.SZ</t>
        </is>
      </c>
      <c r="J478" s="15" t="n">
        <v>8</v>
      </c>
      <c r="K478" s="15">
        <f>IF(AND(AH!$M$5="Snapshot",'IPO Live'!$M$5="Snapshot"),"",IFERROR(BDP(TEXT(VALUE($A478),"0")&amp;" HK Equity","PX_LAST"),""))</f>
        <v/>
      </c>
      <c r="L478" s="15">
        <f>IF(AND(AH!$M$5="Snapshot",'IPO Live'!$M$5="Snapshot"),"",IFERROR(BDP(TEXT(VALUE($A478),"0")&amp;" HK Equity","CHG_PCT_1D")/100,""))</f>
        <v/>
      </c>
      <c r="M478" s="15">
        <f>IF(AND(AH!$M$5="Snapshot",'IPO Live'!$M$5="Snapshot"),"",IFERROR(BDP(TEXT(VALUE($A478),"0")&amp;" HK Equity","LAST_UPDATE_DT"),""))</f>
        <v/>
      </c>
      <c r="N478" s="15">
        <f>IF(AND(AH!$M$5="Snapshot",'IPO Live'!$M$5="Snapshot"),"",IFERROR(BDP(TEXT(VALUE($A478),"0")&amp;" HK Equity","LAST_UPDATE"),""))</f>
        <v/>
      </c>
      <c r="O478" s="15">
        <f>IF('IPO Live'!$M$5="Snapshot",IF(ISNUMBER(G478),G478,"unavailable"),IF(AND(ISNUMBER(K478),N(K478)&gt;0),K478,IF('IPO Live'!$M$5="Auto",IF(ISNUMBER(G478),G478,"unavailable"),"unavailable")))</f>
        <v/>
      </c>
      <c r="P478" s="15">
        <f>IF(AND('IPO Live'!$M$5&lt;&gt;"Snapshot",ISNUMBER(K478),N(K478)&gt;0),"Bloomberg",IF(AND('IPO Live'!$M$5&lt;&gt;"Bloomberg",ISNUMBER(G478)),"Snapshot","Unavailable"))</f>
        <v/>
      </c>
      <c r="Q478" s="33">
        <f>IF(AND(P478="Bloomberg",ISNUMBER(L478)),L478,"unavailable")</f>
        <v/>
      </c>
      <c r="R478" s="15">
        <f>IF(OR('IPO Live'!$B$5="All",'IPO Live'!$B$5=C478,AND('IPO Live'!$B$5="A/H only",J478&gt;0)),1,0)</f>
        <v/>
      </c>
      <c r="S478" s="15">
        <f>IF(R478=1,COUNTIF($R$5:R478,1),"")</f>
        <v/>
      </c>
      <c r="T478">
        <f>1</f>
        <v/>
      </c>
      <c r="U478">
        <f>IF($P478="Bloomberg",$M478,$H478)</f>
        <v/>
      </c>
      <c r="AW478">
        <f>IF(AND(J478&gt;0,OR(AH!$I$5="All",AH!$I$5="A/H only",AH!$I$5=C478)),1,0)</f>
        <v/>
      </c>
      <c r="AX478">
        <f>IF(AW478=1,COUNTIF($AW$5:AW478,1),"")</f>
        <v/>
      </c>
      <c r="AY478">
        <f>IF(AH!$M$5="Snapshot",IF(ISNUMBER(G478),G478,"unavailable"),IF(AND(ISNUMBER(K478),N(K478)&gt;0),K478,IF(AH!$M$5="Auto",IF(ISNUMBER(G478),G478,"unavailable"),"unavailable")))</f>
        <v/>
      </c>
      <c r="AZ478">
        <f>IF(AND(AH!$M$5&lt;&gt;"Snapshot",ISNUMBER(K478),N(K478)&gt;0),"Bloomberg",IF(AND(AH!$M$5&lt;&gt;"Bloomberg",ISNUMBER(G478)),"Snapshot","Unavailable"))</f>
        <v/>
      </c>
      <c r="BA478">
        <f>IF(AZ478="Bloomberg",M478,H478)</f>
        <v/>
      </c>
      <c r="BB478">
        <f>1</f>
        <v/>
      </c>
    </row>
    <row r="479">
      <c r="A479" s="31" t="inlineStr">
        <is>
          <t>2372</t>
        </is>
      </c>
      <c r="B479" s="15" t="inlineStr">
        <is>
          <t>WEILI HOLDINGS</t>
        </is>
      </c>
      <c r="C479" s="15" t="inlineStr">
        <is>
          <t>Materials/Energy</t>
        </is>
      </c>
      <c r="D479" s="15" t="inlineStr">
        <is>
          <t>Chemicals</t>
        </is>
      </c>
      <c r="E479" s="34" t="n">
        <v>44742</v>
      </c>
      <c r="F479" s="15" t="n">
        <v>0.63</v>
      </c>
      <c r="G479" s="15" t="n">
        <v>0.925</v>
      </c>
      <c r="H479" s="34" t="n">
        <v>46297</v>
      </c>
      <c r="I479" s="31" t="n"/>
      <c r="J479" s="15" t="n">
        <v>0</v>
      </c>
      <c r="K479" s="15">
        <f>IF(AND(AH!$M$5="Snapshot",'IPO Live'!$M$5="Snapshot"),"",IFERROR(BDP(TEXT(VALUE($A479),"0")&amp;" HK Equity","PX_LAST"),""))</f>
        <v/>
      </c>
      <c r="L479" s="15">
        <f>IF(AND(AH!$M$5="Snapshot",'IPO Live'!$M$5="Snapshot"),"",IFERROR(BDP(TEXT(VALUE($A479),"0")&amp;" HK Equity","CHG_PCT_1D")/100,""))</f>
        <v/>
      </c>
      <c r="M479" s="15">
        <f>IF(AND(AH!$M$5="Snapshot",'IPO Live'!$M$5="Snapshot"),"",IFERROR(BDP(TEXT(VALUE($A479),"0")&amp;" HK Equity","LAST_UPDATE_DT"),""))</f>
        <v/>
      </c>
      <c r="N479" s="15">
        <f>IF(AND(AH!$M$5="Snapshot",'IPO Live'!$M$5="Snapshot"),"",IFERROR(BDP(TEXT(VALUE($A479),"0")&amp;" HK Equity","LAST_UPDATE"),""))</f>
        <v/>
      </c>
      <c r="O479" s="15">
        <f>IF('IPO Live'!$M$5="Snapshot",IF(ISNUMBER(G479),G479,"unavailable"),IF(AND(ISNUMBER(K479),N(K479)&gt;0),K479,IF('IPO Live'!$M$5="Auto",IF(ISNUMBER(G479),G479,"unavailable"),"unavailable")))</f>
        <v/>
      </c>
      <c r="P479" s="15">
        <f>IF(AND('IPO Live'!$M$5&lt;&gt;"Snapshot",ISNUMBER(K479),N(K479)&gt;0),"Bloomberg",IF(AND('IPO Live'!$M$5&lt;&gt;"Bloomberg",ISNUMBER(G479)),"Snapshot","Unavailable"))</f>
        <v/>
      </c>
      <c r="Q479" s="33">
        <f>IF(AND(P479="Bloomberg",ISNUMBER(L479)),L479,"unavailable")</f>
        <v/>
      </c>
      <c r="R479" s="15">
        <f>IF(OR('IPO Live'!$B$5="All",'IPO Live'!$B$5=C479,AND('IPO Live'!$B$5="A/H only",J479&gt;0)),1,0)</f>
        <v/>
      </c>
      <c r="S479" s="15">
        <f>IF(R479=1,COUNTIF($R$5:R479,1),"")</f>
        <v/>
      </c>
      <c r="T479">
        <f>1</f>
        <v/>
      </c>
      <c r="U479">
        <f>IF($P479="Bloomberg",$M479,$H479)</f>
        <v/>
      </c>
      <c r="AW479">
        <f>IF(AND(J479&gt;0,OR(AH!$I$5="All",AH!$I$5="A/H only",AH!$I$5=C479)),1,0)</f>
        <v/>
      </c>
      <c r="AX479">
        <f>IF(AW479=1,COUNTIF($AW$5:AW479,1),"")</f>
        <v/>
      </c>
      <c r="AY479">
        <f>IF(AH!$M$5="Snapshot",IF(ISNUMBER(G479),G479,"unavailable"),IF(AND(ISNUMBER(K479),N(K479)&gt;0),K479,IF(AH!$M$5="Auto",IF(ISNUMBER(G479),G479,"unavailable"),"unavailable")))</f>
        <v/>
      </c>
      <c r="AZ479">
        <f>IF(AND(AH!$M$5&lt;&gt;"Snapshot",ISNUMBER(K479),N(K479)&gt;0),"Bloomberg",IF(AND(AH!$M$5&lt;&gt;"Bloomberg",ISNUMBER(G479)),"Snapshot","Unavailable"))</f>
        <v/>
      </c>
      <c r="BA479">
        <f>IF(AZ479="Bloomberg",M479,H479)</f>
        <v/>
      </c>
      <c r="BB479">
        <f>1</f>
        <v/>
      </c>
    </row>
    <row r="480">
      <c r="A480" s="31" t="inlineStr">
        <is>
          <t>2265</t>
        </is>
      </c>
      <c r="B480" s="15" t="inlineStr">
        <is>
          <t>HC ENV TECH</t>
        </is>
      </c>
      <c r="C480" s="15" t="inlineStr">
        <is>
          <t>Materials/Energy</t>
        </is>
      </c>
      <c r="D480" s="15" t="inlineStr">
        <is>
          <t>Oil &amp; gas / utilities</t>
        </is>
      </c>
      <c r="E480" s="34" t="n">
        <v>44512</v>
      </c>
      <c r="F480" s="15" t="n">
        <v>1.02</v>
      </c>
      <c r="G480" s="15" t="n">
        <v>1.1</v>
      </c>
      <c r="H480" s="34" t="n">
        <v>46297</v>
      </c>
      <c r="I480" s="31" t="n"/>
      <c r="J480" s="15" t="n">
        <v>0</v>
      </c>
      <c r="K480" s="15">
        <f>IF(AND(AH!$M$5="Snapshot",'IPO Live'!$M$5="Snapshot"),"",IFERROR(BDP(TEXT(VALUE($A480),"0")&amp;" HK Equity","PX_LAST"),""))</f>
        <v/>
      </c>
      <c r="L480" s="15">
        <f>IF(AND(AH!$M$5="Snapshot",'IPO Live'!$M$5="Snapshot"),"",IFERROR(BDP(TEXT(VALUE($A480),"0")&amp;" HK Equity","CHG_PCT_1D")/100,""))</f>
        <v/>
      </c>
      <c r="M480" s="15">
        <f>IF(AND(AH!$M$5="Snapshot",'IPO Live'!$M$5="Snapshot"),"",IFERROR(BDP(TEXT(VALUE($A480),"0")&amp;" HK Equity","LAST_UPDATE_DT"),""))</f>
        <v/>
      </c>
      <c r="N480" s="15">
        <f>IF(AND(AH!$M$5="Snapshot",'IPO Live'!$M$5="Snapshot"),"",IFERROR(BDP(TEXT(VALUE($A480),"0")&amp;" HK Equity","LAST_UPDATE"),""))</f>
        <v/>
      </c>
      <c r="O480" s="15">
        <f>IF('IPO Live'!$M$5="Snapshot",IF(ISNUMBER(G480),G480,"unavailable"),IF(AND(ISNUMBER(K480),N(K480)&gt;0),K480,IF('IPO Live'!$M$5="Auto",IF(ISNUMBER(G480),G480,"unavailable"),"unavailable")))</f>
        <v/>
      </c>
      <c r="P480" s="15">
        <f>IF(AND('IPO Live'!$M$5&lt;&gt;"Snapshot",ISNUMBER(K480),N(K480)&gt;0),"Bloomberg",IF(AND('IPO Live'!$M$5&lt;&gt;"Bloomberg",ISNUMBER(G480)),"Snapshot","Unavailable"))</f>
        <v/>
      </c>
      <c r="Q480" s="33">
        <f>IF(AND(P480="Bloomberg",ISNUMBER(L480)),L480,"unavailable")</f>
        <v/>
      </c>
      <c r="R480" s="15">
        <f>IF(OR('IPO Live'!$B$5="All",'IPO Live'!$B$5=C480,AND('IPO Live'!$B$5="A/H only",J480&gt;0)),1,0)</f>
        <v/>
      </c>
      <c r="S480" s="15">
        <f>IF(R480=1,COUNTIF($R$5:R480,1),"")</f>
        <v/>
      </c>
      <c r="T480">
        <f>1</f>
        <v/>
      </c>
      <c r="U480">
        <f>IF($P480="Bloomberg",$M480,$H480)</f>
        <v/>
      </c>
      <c r="AW480">
        <f>IF(AND(J480&gt;0,OR(AH!$I$5="All",AH!$I$5="A/H only",AH!$I$5=C480)),1,0)</f>
        <v/>
      </c>
      <c r="AX480">
        <f>IF(AW480=1,COUNTIF($AW$5:AW480,1),"")</f>
        <v/>
      </c>
      <c r="AY480">
        <f>IF(AH!$M$5="Snapshot",IF(ISNUMBER(G480),G480,"unavailable"),IF(AND(ISNUMBER(K480),N(K480)&gt;0),K480,IF(AH!$M$5="Auto",IF(ISNUMBER(G480),G480,"unavailable"),"unavailable")))</f>
        <v/>
      </c>
      <c r="AZ480">
        <f>IF(AND(AH!$M$5&lt;&gt;"Snapshot",ISNUMBER(K480),N(K480)&gt;0),"Bloomberg",IF(AND(AH!$M$5&lt;&gt;"Bloomberg",ISNUMBER(G480)),"Snapshot","Unavailable"))</f>
        <v/>
      </c>
      <c r="BA480">
        <f>IF(AZ480="Bloomberg",M480,H480)</f>
        <v/>
      </c>
      <c r="BB480">
        <f>1</f>
        <v/>
      </c>
    </row>
    <row r="481">
      <c r="A481" s="31" t="inlineStr">
        <is>
          <t>6616</t>
        </is>
      </c>
      <c r="B481" s="15" t="inlineStr">
        <is>
          <t>GLOBAL NEW MAT</t>
        </is>
      </c>
      <c r="C481" s="15" t="inlineStr">
        <is>
          <t>Materials/Energy</t>
        </is>
      </c>
      <c r="D481" s="15" t="inlineStr">
        <is>
          <t>Chemicals</t>
        </is>
      </c>
      <c r="E481" s="34" t="n">
        <v>44393</v>
      </c>
      <c r="F481" s="15" t="n">
        <v>3.25</v>
      </c>
      <c r="G481" s="15" t="n">
        <v>9.050000000000001</v>
      </c>
      <c r="H481" s="34" t="n">
        <v>46297</v>
      </c>
      <c r="I481" s="31" t="n"/>
      <c r="J481" s="15" t="n">
        <v>0</v>
      </c>
      <c r="K481" s="15">
        <f>IF(AND(AH!$M$5="Snapshot",'IPO Live'!$M$5="Snapshot"),"",IFERROR(BDP(TEXT(VALUE($A481),"0")&amp;" HK Equity","PX_LAST"),""))</f>
        <v/>
      </c>
      <c r="L481" s="15">
        <f>IF(AND(AH!$M$5="Snapshot",'IPO Live'!$M$5="Snapshot"),"",IFERROR(BDP(TEXT(VALUE($A481),"0")&amp;" HK Equity","CHG_PCT_1D")/100,""))</f>
        <v/>
      </c>
      <c r="M481" s="15">
        <f>IF(AND(AH!$M$5="Snapshot",'IPO Live'!$M$5="Snapshot"),"",IFERROR(BDP(TEXT(VALUE($A481),"0")&amp;" HK Equity","LAST_UPDATE_DT"),""))</f>
        <v/>
      </c>
      <c r="N481" s="15">
        <f>IF(AND(AH!$M$5="Snapshot",'IPO Live'!$M$5="Snapshot"),"",IFERROR(BDP(TEXT(VALUE($A481),"0")&amp;" HK Equity","LAST_UPDATE"),""))</f>
        <v/>
      </c>
      <c r="O481" s="15">
        <f>IF('IPO Live'!$M$5="Snapshot",IF(ISNUMBER(G481),G481,"unavailable"),IF(AND(ISNUMBER(K481),N(K481)&gt;0),K481,IF('IPO Live'!$M$5="Auto",IF(ISNUMBER(G481),G481,"unavailable"),"unavailable")))</f>
        <v/>
      </c>
      <c r="P481" s="15">
        <f>IF(AND('IPO Live'!$M$5&lt;&gt;"Snapshot",ISNUMBER(K481),N(K481)&gt;0),"Bloomberg",IF(AND('IPO Live'!$M$5&lt;&gt;"Bloomberg",ISNUMBER(G481)),"Snapshot","Unavailable"))</f>
        <v/>
      </c>
      <c r="Q481" s="33">
        <f>IF(AND(P481="Bloomberg",ISNUMBER(L481)),L481,"unavailable")</f>
        <v/>
      </c>
      <c r="R481" s="15">
        <f>IF(OR('IPO Live'!$B$5="All",'IPO Live'!$B$5=C481,AND('IPO Live'!$B$5="A/H only",J481&gt;0)),1,0)</f>
        <v/>
      </c>
      <c r="S481" s="15">
        <f>IF(R481=1,COUNTIF($R$5:R481,1),"")</f>
        <v/>
      </c>
      <c r="T481">
        <f>1</f>
        <v/>
      </c>
      <c r="U481">
        <f>IF($P481="Bloomberg",$M481,$H481)</f>
        <v/>
      </c>
      <c r="AW481">
        <f>IF(AND(J481&gt;0,OR(AH!$I$5="All",AH!$I$5="A/H only",AH!$I$5=C481)),1,0)</f>
        <v/>
      </c>
      <c r="AX481">
        <f>IF(AW481=1,COUNTIF($AW$5:AW481,1),"")</f>
        <v/>
      </c>
      <c r="AY481">
        <f>IF(AH!$M$5="Snapshot",IF(ISNUMBER(G481),G481,"unavailable"),IF(AND(ISNUMBER(K481),N(K481)&gt;0),K481,IF(AH!$M$5="Auto",IF(ISNUMBER(G481),G481,"unavailable"),"unavailable")))</f>
        <v/>
      </c>
      <c r="AZ481">
        <f>IF(AND(AH!$M$5&lt;&gt;"Snapshot",ISNUMBER(K481),N(K481)&gt;0),"Bloomberg",IF(AND(AH!$M$5&lt;&gt;"Bloomberg",ISNUMBER(G481)),"Snapshot","Unavailable"))</f>
        <v/>
      </c>
      <c r="BA481">
        <f>IF(AZ481="Bloomberg",M481,H481)</f>
        <v/>
      </c>
      <c r="BB481">
        <f>1</f>
        <v/>
      </c>
    </row>
    <row r="482">
      <c r="A482" s="31" t="inlineStr">
        <is>
          <t>2539</t>
        </is>
      </c>
      <c r="B482" s="15" t="inlineStr">
        <is>
          <t>LEMO SERVICES</t>
        </is>
      </c>
      <c r="C482" s="15" t="inlineStr">
        <is>
          <t>Real Estate</t>
        </is>
      </c>
      <c r="D482" s="15" t="inlineStr">
        <is>
          <t>Property management</t>
        </is>
      </c>
      <c r="E482" s="34" t="n">
        <v>45994</v>
      </c>
      <c r="F482" s="15" t="n">
        <v>40</v>
      </c>
      <c r="G482" s="15" t="n">
        <v>8.6</v>
      </c>
      <c r="H482" s="34" t="n">
        <v>46297</v>
      </c>
      <c r="I482" s="31" t="n"/>
      <c r="J482" s="15" t="n">
        <v>0</v>
      </c>
      <c r="K482" s="15">
        <f>IF(AND(AH!$M$5="Snapshot",'IPO Live'!$M$5="Snapshot"),"",IFERROR(BDP(TEXT(VALUE($A482),"0")&amp;" HK Equity","PX_LAST"),""))</f>
        <v/>
      </c>
      <c r="L482" s="15">
        <f>IF(AND(AH!$M$5="Snapshot",'IPO Live'!$M$5="Snapshot"),"",IFERROR(BDP(TEXT(VALUE($A482),"0")&amp;" HK Equity","CHG_PCT_1D")/100,""))</f>
        <v/>
      </c>
      <c r="M482" s="15">
        <f>IF(AND(AH!$M$5="Snapshot",'IPO Live'!$M$5="Snapshot"),"",IFERROR(BDP(TEXT(VALUE($A482),"0")&amp;" HK Equity","LAST_UPDATE_DT"),""))</f>
        <v/>
      </c>
      <c r="N482" s="15">
        <f>IF(AND(AH!$M$5="Snapshot",'IPO Live'!$M$5="Snapshot"),"",IFERROR(BDP(TEXT(VALUE($A482),"0")&amp;" HK Equity","LAST_UPDATE"),""))</f>
        <v/>
      </c>
      <c r="O482" s="15">
        <f>IF('IPO Live'!$M$5="Snapshot",IF(ISNUMBER(G482),G482,"unavailable"),IF(AND(ISNUMBER(K482),N(K482)&gt;0),K482,IF('IPO Live'!$M$5="Auto",IF(ISNUMBER(G482),G482,"unavailable"),"unavailable")))</f>
        <v/>
      </c>
      <c r="P482" s="15">
        <f>IF(AND('IPO Live'!$M$5&lt;&gt;"Snapshot",ISNUMBER(K482),N(K482)&gt;0),"Bloomberg",IF(AND('IPO Live'!$M$5&lt;&gt;"Bloomberg",ISNUMBER(G482)),"Snapshot","Unavailable"))</f>
        <v/>
      </c>
      <c r="Q482" s="33">
        <f>IF(AND(P482="Bloomberg",ISNUMBER(L482)),L482,"unavailable")</f>
        <v/>
      </c>
      <c r="R482" s="15">
        <f>IF(OR('IPO Live'!$B$5="All",'IPO Live'!$B$5=C482,AND('IPO Live'!$B$5="A/H only",J482&gt;0)),1,0)</f>
        <v/>
      </c>
      <c r="S482" s="15">
        <f>IF(R482=1,COUNTIF($R$5:R482,1),"")</f>
        <v/>
      </c>
      <c r="T482">
        <f>1</f>
        <v/>
      </c>
      <c r="U482">
        <f>IF($P482="Bloomberg",$M482,$H482)</f>
        <v/>
      </c>
      <c r="AW482">
        <f>IF(AND(J482&gt;0,OR(AH!$I$5="All",AH!$I$5="A/H only",AH!$I$5=C482)),1,0)</f>
        <v/>
      </c>
      <c r="AX482">
        <f>IF(AW482=1,COUNTIF($AW$5:AW482,1),"")</f>
        <v/>
      </c>
      <c r="AY482">
        <f>IF(AH!$M$5="Snapshot",IF(ISNUMBER(G482),G482,"unavailable"),IF(AND(ISNUMBER(K482),N(K482)&gt;0),K482,IF(AH!$M$5="Auto",IF(ISNUMBER(G482),G482,"unavailable"),"unavailable")))</f>
        <v/>
      </c>
      <c r="AZ482">
        <f>IF(AND(AH!$M$5&lt;&gt;"Snapshot",ISNUMBER(K482),N(K482)&gt;0),"Bloomberg",IF(AND(AH!$M$5&lt;&gt;"Bloomberg",ISNUMBER(G482)),"Snapshot","Unavailable"))</f>
        <v/>
      </c>
      <c r="BA482">
        <f>IF(AZ482="Bloomberg",M482,H482)</f>
        <v/>
      </c>
      <c r="BB482">
        <f>1</f>
        <v/>
      </c>
    </row>
    <row r="483">
      <c r="A483" s="31" t="inlineStr">
        <is>
          <t>1354</t>
        </is>
      </c>
      <c r="B483" s="15" t="inlineStr">
        <is>
          <t>KINGFARPROPERTY</t>
        </is>
      </c>
      <c r="C483" s="15" t="inlineStr">
        <is>
          <t>Real Estate</t>
        </is>
      </c>
      <c r="D483" s="15" t="inlineStr">
        <is>
          <t>Property management</t>
        </is>
      </c>
      <c r="E483" s="34" t="n">
        <v>45476</v>
      </c>
      <c r="F483" s="15" t="n">
        <v>7.5</v>
      </c>
      <c r="G483" s="15" t="n">
        <v>2.68</v>
      </c>
      <c r="H483" s="34" t="n">
        <v>46297</v>
      </c>
      <c r="I483" s="31" t="n"/>
      <c r="J483" s="15" t="n">
        <v>0</v>
      </c>
      <c r="K483" s="15">
        <f>IF(AND(AH!$M$5="Snapshot",'IPO Live'!$M$5="Snapshot"),"",IFERROR(BDP(TEXT(VALUE($A483),"0")&amp;" HK Equity","PX_LAST"),""))</f>
        <v/>
      </c>
      <c r="L483" s="15">
        <f>IF(AND(AH!$M$5="Snapshot",'IPO Live'!$M$5="Snapshot"),"",IFERROR(BDP(TEXT(VALUE($A483),"0")&amp;" HK Equity","CHG_PCT_1D")/100,""))</f>
        <v/>
      </c>
      <c r="M483" s="15">
        <f>IF(AND(AH!$M$5="Snapshot",'IPO Live'!$M$5="Snapshot"),"",IFERROR(BDP(TEXT(VALUE($A483),"0")&amp;" HK Equity","LAST_UPDATE_DT"),""))</f>
        <v/>
      </c>
      <c r="N483" s="15">
        <f>IF(AND(AH!$M$5="Snapshot",'IPO Live'!$M$5="Snapshot"),"",IFERROR(BDP(TEXT(VALUE($A483),"0")&amp;" HK Equity","LAST_UPDATE"),""))</f>
        <v/>
      </c>
      <c r="O483" s="15">
        <f>IF('IPO Live'!$M$5="Snapshot",IF(ISNUMBER(G483),G483,"unavailable"),IF(AND(ISNUMBER(K483),N(K483)&gt;0),K483,IF('IPO Live'!$M$5="Auto",IF(ISNUMBER(G483),G483,"unavailable"),"unavailable")))</f>
        <v/>
      </c>
      <c r="P483" s="15">
        <f>IF(AND('IPO Live'!$M$5&lt;&gt;"Snapshot",ISNUMBER(K483),N(K483)&gt;0),"Bloomberg",IF(AND('IPO Live'!$M$5&lt;&gt;"Bloomberg",ISNUMBER(G483)),"Snapshot","Unavailable"))</f>
        <v/>
      </c>
      <c r="Q483" s="33">
        <f>IF(AND(P483="Bloomberg",ISNUMBER(L483)),L483,"unavailable")</f>
        <v/>
      </c>
      <c r="R483" s="15">
        <f>IF(OR('IPO Live'!$B$5="All",'IPO Live'!$B$5=C483,AND('IPO Live'!$B$5="A/H only",J483&gt;0)),1,0)</f>
        <v/>
      </c>
      <c r="S483" s="15">
        <f>IF(R483=1,COUNTIF($R$5:R483,1),"")</f>
        <v/>
      </c>
      <c r="T483">
        <f>1</f>
        <v/>
      </c>
      <c r="U483">
        <f>IF($P483="Bloomberg",$M483,$H483)</f>
        <v/>
      </c>
      <c r="AW483">
        <f>IF(AND(J483&gt;0,OR(AH!$I$5="All",AH!$I$5="A/H only",AH!$I$5=C483)),1,0)</f>
        <v/>
      </c>
      <c r="AX483">
        <f>IF(AW483=1,COUNTIF($AW$5:AW483,1),"")</f>
        <v/>
      </c>
      <c r="AY483">
        <f>IF(AH!$M$5="Snapshot",IF(ISNUMBER(G483),G483,"unavailable"),IF(AND(ISNUMBER(K483),N(K483)&gt;0),K483,IF(AH!$M$5="Auto",IF(ISNUMBER(G483),G483,"unavailable"),"unavailable")))</f>
        <v/>
      </c>
      <c r="AZ483">
        <f>IF(AND(AH!$M$5&lt;&gt;"Snapshot",ISNUMBER(K483),N(K483)&gt;0),"Bloomberg",IF(AND(AH!$M$5&lt;&gt;"Bloomberg",ISNUMBER(G483)),"Snapshot","Unavailable"))</f>
        <v/>
      </c>
      <c r="BA483">
        <f>IF(AZ483="Bloomberg",M483,H483)</f>
        <v/>
      </c>
      <c r="BB483">
        <f>1</f>
        <v/>
      </c>
    </row>
    <row r="484">
      <c r="A484" s="31" t="inlineStr">
        <is>
          <t>2529</t>
        </is>
      </c>
      <c r="B484" s="15" t="inlineStr">
        <is>
          <t>HOLLWIN URBAN</t>
        </is>
      </c>
      <c r="C484" s="15" t="inlineStr">
        <is>
          <t>Real Estate</t>
        </is>
      </c>
      <c r="D484" s="15" t="inlineStr">
        <is>
          <t>Property management</t>
        </is>
      </c>
      <c r="E484" s="34" t="n">
        <v>45429</v>
      </c>
      <c r="F484" s="15" t="n">
        <v>3.2</v>
      </c>
      <c r="G484" s="15" t="n">
        <v>2.55</v>
      </c>
      <c r="H484" s="34" t="n">
        <v>46297</v>
      </c>
      <c r="I484" s="31" t="n"/>
      <c r="J484" s="15" t="n">
        <v>0</v>
      </c>
      <c r="K484" s="15">
        <f>IF(AND(AH!$M$5="Snapshot",'IPO Live'!$M$5="Snapshot"),"",IFERROR(BDP(TEXT(VALUE($A484),"0")&amp;" HK Equity","PX_LAST"),""))</f>
        <v/>
      </c>
      <c r="L484" s="15">
        <f>IF(AND(AH!$M$5="Snapshot",'IPO Live'!$M$5="Snapshot"),"",IFERROR(BDP(TEXT(VALUE($A484),"0")&amp;" HK Equity","CHG_PCT_1D")/100,""))</f>
        <v/>
      </c>
      <c r="M484" s="15">
        <f>IF(AND(AH!$M$5="Snapshot",'IPO Live'!$M$5="Snapshot"),"",IFERROR(BDP(TEXT(VALUE($A484),"0")&amp;" HK Equity","LAST_UPDATE_DT"),""))</f>
        <v/>
      </c>
      <c r="N484" s="15">
        <f>IF(AND(AH!$M$5="Snapshot",'IPO Live'!$M$5="Snapshot"),"",IFERROR(BDP(TEXT(VALUE($A484),"0")&amp;" HK Equity","LAST_UPDATE"),""))</f>
        <v/>
      </c>
      <c r="O484" s="15">
        <f>IF('IPO Live'!$M$5="Snapshot",IF(ISNUMBER(G484),G484,"unavailable"),IF(AND(ISNUMBER(K484),N(K484)&gt;0),K484,IF('IPO Live'!$M$5="Auto",IF(ISNUMBER(G484),G484,"unavailable"),"unavailable")))</f>
        <v/>
      </c>
      <c r="P484" s="15">
        <f>IF(AND('IPO Live'!$M$5&lt;&gt;"Snapshot",ISNUMBER(K484),N(K484)&gt;0),"Bloomberg",IF(AND('IPO Live'!$M$5&lt;&gt;"Bloomberg",ISNUMBER(G484)),"Snapshot","Unavailable"))</f>
        <v/>
      </c>
      <c r="Q484" s="33">
        <f>IF(AND(P484="Bloomberg",ISNUMBER(L484)),L484,"unavailable")</f>
        <v/>
      </c>
      <c r="R484" s="15">
        <f>IF(OR('IPO Live'!$B$5="All",'IPO Live'!$B$5=C484,AND('IPO Live'!$B$5="A/H only",J484&gt;0)),1,0)</f>
        <v/>
      </c>
      <c r="S484" s="15">
        <f>IF(R484=1,COUNTIF($R$5:R484,1),"")</f>
        <v/>
      </c>
      <c r="T484">
        <f>1</f>
        <v/>
      </c>
      <c r="U484">
        <f>IF($P484="Bloomberg",$M484,$H484)</f>
        <v/>
      </c>
      <c r="AW484">
        <f>IF(AND(J484&gt;0,OR(AH!$I$5="All",AH!$I$5="A/H only",AH!$I$5=C484)),1,0)</f>
        <v/>
      </c>
      <c r="AX484">
        <f>IF(AW484=1,COUNTIF($AW$5:AW484,1),"")</f>
        <v/>
      </c>
      <c r="AY484">
        <f>IF(AH!$M$5="Snapshot",IF(ISNUMBER(G484),G484,"unavailable"),IF(AND(ISNUMBER(K484),N(K484)&gt;0),K484,IF(AH!$M$5="Auto",IF(ISNUMBER(G484),G484,"unavailable"),"unavailable")))</f>
        <v/>
      </c>
      <c r="AZ484">
        <f>IF(AND(AH!$M$5&lt;&gt;"Snapshot",ISNUMBER(K484),N(K484)&gt;0),"Bloomberg",IF(AND(AH!$M$5&lt;&gt;"Bloomberg",ISNUMBER(G484)),"Snapshot","Unavailable"))</f>
        <v/>
      </c>
      <c r="BA484">
        <f>IF(AZ484="Bloomberg",M484,H484)</f>
        <v/>
      </c>
      <c r="BB484">
        <f>1</f>
        <v/>
      </c>
    </row>
    <row r="485">
      <c r="A485" s="31" t="inlineStr">
        <is>
          <t>2521</t>
        </is>
      </c>
      <c r="B485" s="15" t="inlineStr">
        <is>
          <t>SHENGHUI CLEAN</t>
        </is>
      </c>
      <c r="C485" s="15" t="inlineStr">
        <is>
          <t>Real Estate</t>
        </is>
      </c>
      <c r="D485" s="15" t="inlineStr">
        <is>
          <t>Property management</t>
        </is>
      </c>
      <c r="E485" s="34" t="n">
        <v>45265</v>
      </c>
      <c r="F485" s="15" t="n">
        <v>0.32</v>
      </c>
      <c r="G485" s="15" t="n">
        <v>0.82</v>
      </c>
      <c r="H485" s="34" t="n">
        <v>46297</v>
      </c>
      <c r="I485" s="31" t="n"/>
      <c r="J485" s="15" t="n">
        <v>0</v>
      </c>
      <c r="K485" s="15">
        <f>IF(AND(AH!$M$5="Snapshot",'IPO Live'!$M$5="Snapshot"),"",IFERROR(BDP(TEXT(VALUE($A485),"0")&amp;" HK Equity","PX_LAST"),""))</f>
        <v/>
      </c>
      <c r="L485" s="15">
        <f>IF(AND(AH!$M$5="Snapshot",'IPO Live'!$M$5="Snapshot"),"",IFERROR(BDP(TEXT(VALUE($A485),"0")&amp;" HK Equity","CHG_PCT_1D")/100,""))</f>
        <v/>
      </c>
      <c r="M485" s="15">
        <f>IF(AND(AH!$M$5="Snapshot",'IPO Live'!$M$5="Snapshot"),"",IFERROR(BDP(TEXT(VALUE($A485),"0")&amp;" HK Equity","LAST_UPDATE_DT"),""))</f>
        <v/>
      </c>
      <c r="N485" s="15">
        <f>IF(AND(AH!$M$5="Snapshot",'IPO Live'!$M$5="Snapshot"),"",IFERROR(BDP(TEXT(VALUE($A485),"0")&amp;" HK Equity","LAST_UPDATE"),""))</f>
        <v/>
      </c>
      <c r="O485" s="15">
        <f>IF('IPO Live'!$M$5="Snapshot",IF(ISNUMBER(G485),G485,"unavailable"),IF(AND(ISNUMBER(K485),N(K485)&gt;0),K485,IF('IPO Live'!$M$5="Auto",IF(ISNUMBER(G485),G485,"unavailable"),"unavailable")))</f>
        <v/>
      </c>
      <c r="P485" s="15">
        <f>IF(AND('IPO Live'!$M$5&lt;&gt;"Snapshot",ISNUMBER(K485),N(K485)&gt;0),"Bloomberg",IF(AND('IPO Live'!$M$5&lt;&gt;"Bloomberg",ISNUMBER(G485)),"Snapshot","Unavailable"))</f>
        <v/>
      </c>
      <c r="Q485" s="33">
        <f>IF(AND(P485="Bloomberg",ISNUMBER(L485)),L485,"unavailable")</f>
        <v/>
      </c>
      <c r="R485" s="15">
        <f>IF(OR('IPO Live'!$B$5="All",'IPO Live'!$B$5=C485,AND('IPO Live'!$B$5="A/H only",J485&gt;0)),1,0)</f>
        <v/>
      </c>
      <c r="S485" s="15">
        <f>IF(R485=1,COUNTIF($R$5:R485,1),"")</f>
        <v/>
      </c>
      <c r="T485">
        <f>1</f>
        <v/>
      </c>
      <c r="U485">
        <f>IF($P485="Bloomberg",$M485,$H485)</f>
        <v/>
      </c>
      <c r="AW485">
        <f>IF(AND(J485&gt;0,OR(AH!$I$5="All",AH!$I$5="A/H only",AH!$I$5=C485)),1,0)</f>
        <v/>
      </c>
      <c r="AX485">
        <f>IF(AW485=1,COUNTIF($AW$5:AW485,1),"")</f>
        <v/>
      </c>
      <c r="AY485">
        <f>IF(AH!$M$5="Snapshot",IF(ISNUMBER(G485),G485,"unavailable"),IF(AND(ISNUMBER(K485),N(K485)&gt;0),K485,IF(AH!$M$5="Auto",IF(ISNUMBER(G485),G485,"unavailable"),"unavailable")))</f>
        <v/>
      </c>
      <c r="AZ485">
        <f>IF(AND(AH!$M$5&lt;&gt;"Snapshot",ISNUMBER(K485),N(K485)&gt;0),"Bloomberg",IF(AND(AH!$M$5&lt;&gt;"Bloomberg",ISNUMBER(G485)),"Snapshot","Unavailable"))</f>
        <v/>
      </c>
      <c r="BA485">
        <f>IF(AZ485="Bloomberg",M485,H485)</f>
        <v/>
      </c>
      <c r="BB485">
        <f>1</f>
        <v/>
      </c>
    </row>
    <row r="486">
      <c r="A486" s="31" t="inlineStr">
        <is>
          <t>2271</t>
        </is>
      </c>
      <c r="B486" s="15" t="inlineStr">
        <is>
          <t>ZHONGAN SERVICE</t>
        </is>
      </c>
      <c r="C486" s="15" t="inlineStr">
        <is>
          <t>Real Estate</t>
        </is>
      </c>
      <c r="D486" s="15" t="inlineStr">
        <is>
          <t>Property management</t>
        </is>
      </c>
      <c r="E486" s="34" t="n">
        <v>45125</v>
      </c>
      <c r="F486" s="15" t="n">
        <v>1.18</v>
      </c>
      <c r="G486" s="15" t="n">
        <v>3.68</v>
      </c>
      <c r="H486" s="34" t="n">
        <v>46297</v>
      </c>
      <c r="I486" s="31" t="n"/>
      <c r="J486" s="15" t="n">
        <v>0</v>
      </c>
      <c r="K486" s="15">
        <f>IF(AND(AH!$M$5="Snapshot",'IPO Live'!$M$5="Snapshot"),"",IFERROR(BDP(TEXT(VALUE($A486),"0")&amp;" HK Equity","PX_LAST"),""))</f>
        <v/>
      </c>
      <c r="L486" s="15">
        <f>IF(AND(AH!$M$5="Snapshot",'IPO Live'!$M$5="Snapshot"),"",IFERROR(BDP(TEXT(VALUE($A486),"0")&amp;" HK Equity","CHG_PCT_1D")/100,""))</f>
        <v/>
      </c>
      <c r="M486" s="15">
        <f>IF(AND(AH!$M$5="Snapshot",'IPO Live'!$M$5="Snapshot"),"",IFERROR(BDP(TEXT(VALUE($A486),"0")&amp;" HK Equity","LAST_UPDATE_DT"),""))</f>
        <v/>
      </c>
      <c r="N486" s="15">
        <f>IF(AND(AH!$M$5="Snapshot",'IPO Live'!$M$5="Snapshot"),"",IFERROR(BDP(TEXT(VALUE($A486),"0")&amp;" HK Equity","LAST_UPDATE"),""))</f>
        <v/>
      </c>
      <c r="O486" s="15">
        <f>IF('IPO Live'!$M$5="Snapshot",IF(ISNUMBER(G486),G486,"unavailable"),IF(AND(ISNUMBER(K486),N(K486)&gt;0),K486,IF('IPO Live'!$M$5="Auto",IF(ISNUMBER(G486),G486,"unavailable"),"unavailable")))</f>
        <v/>
      </c>
      <c r="P486" s="15">
        <f>IF(AND('IPO Live'!$M$5&lt;&gt;"Snapshot",ISNUMBER(K486),N(K486)&gt;0),"Bloomberg",IF(AND('IPO Live'!$M$5&lt;&gt;"Bloomberg",ISNUMBER(G486)),"Snapshot","Unavailable"))</f>
        <v/>
      </c>
      <c r="Q486" s="33">
        <f>IF(AND(P486="Bloomberg",ISNUMBER(L486)),L486,"unavailable")</f>
        <v/>
      </c>
      <c r="R486" s="15">
        <f>IF(OR('IPO Live'!$B$5="All",'IPO Live'!$B$5=C486,AND('IPO Live'!$B$5="A/H only",J486&gt;0)),1,0)</f>
        <v/>
      </c>
      <c r="S486" s="15">
        <f>IF(R486=1,COUNTIF($R$5:R486,1),"")</f>
        <v/>
      </c>
      <c r="T486">
        <f>1</f>
        <v/>
      </c>
      <c r="U486">
        <f>IF($P486="Bloomberg",$M486,$H486)</f>
        <v/>
      </c>
      <c r="AW486">
        <f>IF(AND(J486&gt;0,OR(AH!$I$5="All",AH!$I$5="A/H only",AH!$I$5=C486)),1,0)</f>
        <v/>
      </c>
      <c r="AX486">
        <f>IF(AW486=1,COUNTIF($AW$5:AW486,1),"")</f>
        <v/>
      </c>
      <c r="AY486">
        <f>IF(AH!$M$5="Snapshot",IF(ISNUMBER(G486),G486,"unavailable"),IF(AND(ISNUMBER(K486),N(K486)&gt;0),K486,IF(AH!$M$5="Auto",IF(ISNUMBER(G486),G486,"unavailable"),"unavailable")))</f>
        <v/>
      </c>
      <c r="AZ486">
        <f>IF(AND(AH!$M$5&lt;&gt;"Snapshot",ISNUMBER(K486),N(K486)&gt;0),"Bloomberg",IF(AND(AH!$M$5&lt;&gt;"Bloomberg",ISNUMBER(G486)),"Snapshot","Unavailable"))</f>
        <v/>
      </c>
      <c r="BA486">
        <f>IF(AZ486="Bloomberg",M486,H486)</f>
        <v/>
      </c>
      <c r="BB486">
        <f>1</f>
        <v/>
      </c>
    </row>
    <row r="487">
      <c r="A487" s="31" t="inlineStr">
        <is>
          <t>2455</t>
        </is>
      </c>
      <c r="B487" s="15" t="inlineStr">
        <is>
          <t>RUNHUA SERVICE</t>
        </is>
      </c>
      <c r="C487" s="15" t="inlineStr">
        <is>
          <t>Real Estate</t>
        </is>
      </c>
      <c r="D487" s="15" t="inlineStr">
        <is>
          <t>Property management</t>
        </is>
      </c>
      <c r="E487" s="34" t="n">
        <v>44943</v>
      </c>
      <c r="F487" s="15" t="n">
        <v>1.7</v>
      </c>
      <c r="G487" s="15" t="n">
        <v>0.77</v>
      </c>
      <c r="H487" s="34" t="n">
        <v>46297</v>
      </c>
      <c r="I487" s="31" t="n"/>
      <c r="J487" s="15" t="n">
        <v>0</v>
      </c>
      <c r="K487" s="15">
        <f>IF(AND(AH!$M$5="Snapshot",'IPO Live'!$M$5="Snapshot"),"",IFERROR(BDP(TEXT(VALUE($A487),"0")&amp;" HK Equity","PX_LAST"),""))</f>
        <v/>
      </c>
      <c r="L487" s="15">
        <f>IF(AND(AH!$M$5="Snapshot",'IPO Live'!$M$5="Snapshot"),"",IFERROR(BDP(TEXT(VALUE($A487),"0")&amp;" HK Equity","CHG_PCT_1D")/100,""))</f>
        <v/>
      </c>
      <c r="M487" s="15">
        <f>IF(AND(AH!$M$5="Snapshot",'IPO Live'!$M$5="Snapshot"),"",IFERROR(BDP(TEXT(VALUE($A487),"0")&amp;" HK Equity","LAST_UPDATE_DT"),""))</f>
        <v/>
      </c>
      <c r="N487" s="15">
        <f>IF(AND(AH!$M$5="Snapshot",'IPO Live'!$M$5="Snapshot"),"",IFERROR(BDP(TEXT(VALUE($A487),"0")&amp;" HK Equity","LAST_UPDATE"),""))</f>
        <v/>
      </c>
      <c r="O487" s="15">
        <f>IF('IPO Live'!$M$5="Snapshot",IF(ISNUMBER(G487),G487,"unavailable"),IF(AND(ISNUMBER(K487),N(K487)&gt;0),K487,IF('IPO Live'!$M$5="Auto",IF(ISNUMBER(G487),G487,"unavailable"),"unavailable")))</f>
        <v/>
      </c>
      <c r="P487" s="15">
        <f>IF(AND('IPO Live'!$M$5&lt;&gt;"Snapshot",ISNUMBER(K487),N(K487)&gt;0),"Bloomberg",IF(AND('IPO Live'!$M$5&lt;&gt;"Bloomberg",ISNUMBER(G487)),"Snapshot","Unavailable"))</f>
        <v/>
      </c>
      <c r="Q487" s="33">
        <f>IF(AND(P487="Bloomberg",ISNUMBER(L487)),L487,"unavailable")</f>
        <v/>
      </c>
      <c r="R487" s="15">
        <f>IF(OR('IPO Live'!$B$5="All",'IPO Live'!$B$5=C487,AND('IPO Live'!$B$5="A/H only",J487&gt;0)),1,0)</f>
        <v/>
      </c>
      <c r="S487" s="15">
        <f>IF(R487=1,COUNTIF($R$5:R487,1),"")</f>
        <v/>
      </c>
      <c r="T487">
        <f>1</f>
        <v/>
      </c>
      <c r="U487">
        <f>IF($P487="Bloomberg",$M487,$H487)</f>
        <v/>
      </c>
      <c r="AW487">
        <f>IF(AND(J487&gt;0,OR(AH!$I$5="All",AH!$I$5="A/H only",AH!$I$5=C487)),1,0)</f>
        <v/>
      </c>
      <c r="AX487">
        <f>IF(AW487=1,COUNTIF($AW$5:AW487,1),"")</f>
        <v/>
      </c>
      <c r="AY487">
        <f>IF(AH!$M$5="Snapshot",IF(ISNUMBER(G487),G487,"unavailable"),IF(AND(ISNUMBER(K487),N(K487)&gt;0),K487,IF(AH!$M$5="Auto",IF(ISNUMBER(G487),G487,"unavailable"),"unavailable")))</f>
        <v/>
      </c>
      <c r="AZ487">
        <f>IF(AND(AH!$M$5&lt;&gt;"Snapshot",ISNUMBER(K487),N(K487)&gt;0),"Bloomberg",IF(AND(AH!$M$5&lt;&gt;"Bloomberg",ISNUMBER(G487)),"Snapshot","Unavailable"))</f>
        <v/>
      </c>
      <c r="BA487">
        <f>IF(AZ487="Bloomberg",M487,H487)</f>
        <v/>
      </c>
      <c r="BB487">
        <f>1</f>
        <v/>
      </c>
    </row>
    <row r="488">
      <c r="A488" s="31" t="inlineStr">
        <is>
          <t>2602</t>
        </is>
      </c>
      <c r="B488" s="15" t="inlineStr">
        <is>
          <t>ONEWO</t>
        </is>
      </c>
      <c r="C488" s="15" t="inlineStr">
        <is>
          <t>Real Estate</t>
        </is>
      </c>
      <c r="D488" s="15" t="inlineStr">
        <is>
          <t>Property management</t>
        </is>
      </c>
      <c r="E488" s="34" t="n">
        <v>44833</v>
      </c>
      <c r="F488" s="15" t="n">
        <v>49.35</v>
      </c>
      <c r="G488" s="15" t="n">
        <v>18.91</v>
      </c>
      <c r="H488" s="34" t="n">
        <v>46297</v>
      </c>
      <c r="I488" s="31" t="n"/>
      <c r="J488" s="15" t="n">
        <v>0</v>
      </c>
      <c r="K488" s="15">
        <f>IF(AND(AH!$M$5="Snapshot",'IPO Live'!$M$5="Snapshot"),"",IFERROR(BDP(TEXT(VALUE($A488),"0")&amp;" HK Equity","PX_LAST"),""))</f>
        <v/>
      </c>
      <c r="L488" s="15">
        <f>IF(AND(AH!$M$5="Snapshot",'IPO Live'!$M$5="Snapshot"),"",IFERROR(BDP(TEXT(VALUE($A488),"0")&amp;" HK Equity","CHG_PCT_1D")/100,""))</f>
        <v/>
      </c>
      <c r="M488" s="15">
        <f>IF(AND(AH!$M$5="Snapshot",'IPO Live'!$M$5="Snapshot"),"",IFERROR(BDP(TEXT(VALUE($A488),"0")&amp;" HK Equity","LAST_UPDATE_DT"),""))</f>
        <v/>
      </c>
      <c r="N488" s="15">
        <f>IF(AND(AH!$M$5="Snapshot",'IPO Live'!$M$5="Snapshot"),"",IFERROR(BDP(TEXT(VALUE($A488),"0")&amp;" HK Equity","LAST_UPDATE"),""))</f>
        <v/>
      </c>
      <c r="O488" s="15">
        <f>IF('IPO Live'!$M$5="Snapshot",IF(ISNUMBER(G488),G488,"unavailable"),IF(AND(ISNUMBER(K488),N(K488)&gt;0),K488,IF('IPO Live'!$M$5="Auto",IF(ISNUMBER(G488),G488,"unavailable"),"unavailable")))</f>
        <v/>
      </c>
      <c r="P488" s="15">
        <f>IF(AND('IPO Live'!$M$5&lt;&gt;"Snapshot",ISNUMBER(K488),N(K488)&gt;0),"Bloomberg",IF(AND('IPO Live'!$M$5&lt;&gt;"Bloomberg",ISNUMBER(G488)),"Snapshot","Unavailable"))</f>
        <v/>
      </c>
      <c r="Q488" s="33">
        <f>IF(AND(P488="Bloomberg",ISNUMBER(L488)),L488,"unavailable")</f>
        <v/>
      </c>
      <c r="R488" s="15">
        <f>IF(OR('IPO Live'!$B$5="All",'IPO Live'!$B$5=C488,AND('IPO Live'!$B$5="A/H only",J488&gt;0)),1,0)</f>
        <v/>
      </c>
      <c r="S488" s="15">
        <f>IF(R488=1,COUNTIF($R$5:R488,1),"")</f>
        <v/>
      </c>
      <c r="T488">
        <f>1</f>
        <v/>
      </c>
      <c r="U488">
        <f>IF($P488="Bloomberg",$M488,$H488)</f>
        <v/>
      </c>
      <c r="AW488">
        <f>IF(AND(J488&gt;0,OR(AH!$I$5="All",AH!$I$5="A/H only",AH!$I$5=C488)),1,0)</f>
        <v/>
      </c>
      <c r="AX488">
        <f>IF(AW488=1,COUNTIF($AW$5:AW488,1),"")</f>
        <v/>
      </c>
      <c r="AY488">
        <f>IF(AH!$M$5="Snapshot",IF(ISNUMBER(G488),G488,"unavailable"),IF(AND(ISNUMBER(K488),N(K488)&gt;0),K488,IF(AH!$M$5="Auto",IF(ISNUMBER(G488),G488,"unavailable"),"unavailable")))</f>
        <v/>
      </c>
      <c r="AZ488">
        <f>IF(AND(AH!$M$5&lt;&gt;"Snapshot",ISNUMBER(K488),N(K488)&gt;0),"Bloomberg",IF(AND(AH!$M$5&lt;&gt;"Bloomberg",ISNUMBER(G488)),"Snapshot","Unavailable"))</f>
        <v/>
      </c>
      <c r="BA488">
        <f>IF(AZ488="Bloomberg",M488,H488)</f>
        <v/>
      </c>
      <c r="BB488">
        <f>1</f>
        <v/>
      </c>
    </row>
    <row r="489">
      <c r="A489" s="31" t="inlineStr">
        <is>
          <t>2152</t>
        </is>
      </c>
      <c r="B489" s="15" t="inlineStr">
        <is>
          <t>SUXIN SERVICES</t>
        </is>
      </c>
      <c r="C489" s="15" t="inlineStr">
        <is>
          <t>Real Estate</t>
        </is>
      </c>
      <c r="D489" s="15" t="inlineStr">
        <is>
          <t>Property management</t>
        </is>
      </c>
      <c r="E489" s="34" t="n">
        <v>44797</v>
      </c>
      <c r="F489" s="15" t="n">
        <v>8.6</v>
      </c>
      <c r="G489" s="15" t="n">
        <v>4.465</v>
      </c>
      <c r="H489" s="34" t="n">
        <v>46297</v>
      </c>
      <c r="I489" s="31" t="n"/>
      <c r="J489" s="15" t="n">
        <v>0</v>
      </c>
      <c r="K489" s="15">
        <f>IF(AND(AH!$M$5="Snapshot",'IPO Live'!$M$5="Snapshot"),"",IFERROR(BDP(TEXT(VALUE($A489),"0")&amp;" HK Equity","PX_LAST"),""))</f>
        <v/>
      </c>
      <c r="L489" s="15">
        <f>IF(AND(AH!$M$5="Snapshot",'IPO Live'!$M$5="Snapshot"),"",IFERROR(BDP(TEXT(VALUE($A489),"0")&amp;" HK Equity","CHG_PCT_1D")/100,""))</f>
        <v/>
      </c>
      <c r="M489" s="15">
        <f>IF(AND(AH!$M$5="Snapshot",'IPO Live'!$M$5="Snapshot"),"",IFERROR(BDP(TEXT(VALUE($A489),"0")&amp;" HK Equity","LAST_UPDATE_DT"),""))</f>
        <v/>
      </c>
      <c r="N489" s="15">
        <f>IF(AND(AH!$M$5="Snapshot",'IPO Live'!$M$5="Snapshot"),"",IFERROR(BDP(TEXT(VALUE($A489),"0")&amp;" HK Equity","LAST_UPDATE"),""))</f>
        <v/>
      </c>
      <c r="O489" s="15">
        <f>IF('IPO Live'!$M$5="Snapshot",IF(ISNUMBER(G489),G489,"unavailable"),IF(AND(ISNUMBER(K489),N(K489)&gt;0),K489,IF('IPO Live'!$M$5="Auto",IF(ISNUMBER(G489),G489,"unavailable"),"unavailable")))</f>
        <v/>
      </c>
      <c r="P489" s="15">
        <f>IF(AND('IPO Live'!$M$5&lt;&gt;"Snapshot",ISNUMBER(K489),N(K489)&gt;0),"Bloomberg",IF(AND('IPO Live'!$M$5&lt;&gt;"Bloomberg",ISNUMBER(G489)),"Snapshot","Unavailable"))</f>
        <v/>
      </c>
      <c r="Q489" s="33">
        <f>IF(AND(P489="Bloomberg",ISNUMBER(L489)),L489,"unavailable")</f>
        <v/>
      </c>
      <c r="R489" s="15">
        <f>IF(OR('IPO Live'!$B$5="All",'IPO Live'!$B$5=C489,AND('IPO Live'!$B$5="A/H only",J489&gt;0)),1,0)</f>
        <v/>
      </c>
      <c r="S489" s="15">
        <f>IF(R489=1,COUNTIF($R$5:R489,1),"")</f>
        <v/>
      </c>
      <c r="T489">
        <f>1</f>
        <v/>
      </c>
      <c r="U489">
        <f>IF($P489="Bloomberg",$M489,$H489)</f>
        <v/>
      </c>
      <c r="AW489">
        <f>IF(AND(J489&gt;0,OR(AH!$I$5="All",AH!$I$5="A/H only",AH!$I$5=C489)),1,0)</f>
        <v/>
      </c>
      <c r="AX489">
        <f>IF(AW489=1,COUNTIF($AW$5:AW489,1),"")</f>
        <v/>
      </c>
      <c r="AY489">
        <f>IF(AH!$M$5="Snapshot",IF(ISNUMBER(G489),G489,"unavailable"),IF(AND(ISNUMBER(K489),N(K489)&gt;0),K489,IF(AH!$M$5="Auto",IF(ISNUMBER(G489),G489,"unavailable"),"unavailable")))</f>
        <v/>
      </c>
      <c r="AZ489">
        <f>IF(AND(AH!$M$5&lt;&gt;"Snapshot",ISNUMBER(K489),N(K489)&gt;0),"Bloomberg",IF(AND(AH!$M$5&lt;&gt;"Bloomberg",ISNUMBER(G489)),"Snapshot","Unavailable"))</f>
        <v/>
      </c>
      <c r="BA489">
        <f>IF(AZ489="Bloomberg",M489,H489)</f>
        <v/>
      </c>
      <c r="BB489">
        <f>1</f>
        <v/>
      </c>
    </row>
    <row r="490">
      <c r="A490" s="31" t="inlineStr">
        <is>
          <t>2376</t>
        </is>
      </c>
      <c r="B490" s="15" t="inlineStr">
        <is>
          <t>LUSHANGSERVICES</t>
        </is>
      </c>
      <c r="C490" s="15" t="inlineStr">
        <is>
          <t>Real Estate</t>
        </is>
      </c>
      <c r="D490" s="15" t="inlineStr">
        <is>
          <t>Property management</t>
        </is>
      </c>
      <c r="E490" s="34" t="n">
        <v>44750</v>
      </c>
      <c r="F490" s="15" t="n">
        <v>5.92</v>
      </c>
      <c r="G490" s="15" t="n">
        <v>2.28</v>
      </c>
      <c r="H490" s="34" t="n">
        <v>46297</v>
      </c>
      <c r="I490" s="31" t="n"/>
      <c r="J490" s="15" t="n">
        <v>0</v>
      </c>
      <c r="K490" s="15">
        <f>IF(AND(AH!$M$5="Snapshot",'IPO Live'!$M$5="Snapshot"),"",IFERROR(BDP(TEXT(VALUE($A490),"0")&amp;" HK Equity","PX_LAST"),""))</f>
        <v/>
      </c>
      <c r="L490" s="15">
        <f>IF(AND(AH!$M$5="Snapshot",'IPO Live'!$M$5="Snapshot"),"",IFERROR(BDP(TEXT(VALUE($A490),"0")&amp;" HK Equity","CHG_PCT_1D")/100,""))</f>
        <v/>
      </c>
      <c r="M490" s="15">
        <f>IF(AND(AH!$M$5="Snapshot",'IPO Live'!$M$5="Snapshot"),"",IFERROR(BDP(TEXT(VALUE($A490),"0")&amp;" HK Equity","LAST_UPDATE_DT"),""))</f>
        <v/>
      </c>
      <c r="N490" s="15">
        <f>IF(AND(AH!$M$5="Snapshot",'IPO Live'!$M$5="Snapshot"),"",IFERROR(BDP(TEXT(VALUE($A490),"0")&amp;" HK Equity","LAST_UPDATE"),""))</f>
        <v/>
      </c>
      <c r="O490" s="15">
        <f>IF('IPO Live'!$M$5="Snapshot",IF(ISNUMBER(G490),G490,"unavailable"),IF(AND(ISNUMBER(K490),N(K490)&gt;0),K490,IF('IPO Live'!$M$5="Auto",IF(ISNUMBER(G490),G490,"unavailable"),"unavailable")))</f>
        <v/>
      </c>
      <c r="P490" s="15">
        <f>IF(AND('IPO Live'!$M$5&lt;&gt;"Snapshot",ISNUMBER(K490),N(K490)&gt;0),"Bloomberg",IF(AND('IPO Live'!$M$5&lt;&gt;"Bloomberg",ISNUMBER(G490)),"Snapshot","Unavailable"))</f>
        <v/>
      </c>
      <c r="Q490" s="33">
        <f>IF(AND(P490="Bloomberg",ISNUMBER(L490)),L490,"unavailable")</f>
        <v/>
      </c>
      <c r="R490" s="15">
        <f>IF(OR('IPO Live'!$B$5="All",'IPO Live'!$B$5=C490,AND('IPO Live'!$B$5="A/H only",J490&gt;0)),1,0)</f>
        <v/>
      </c>
      <c r="S490" s="15">
        <f>IF(R490=1,COUNTIF($R$5:R490,1),"")</f>
        <v/>
      </c>
      <c r="T490">
        <f>1</f>
        <v/>
      </c>
      <c r="U490">
        <f>IF($P490="Bloomberg",$M490,$H490)</f>
        <v/>
      </c>
      <c r="AW490">
        <f>IF(AND(J490&gt;0,OR(AH!$I$5="All",AH!$I$5="A/H only",AH!$I$5=C490)),1,0)</f>
        <v/>
      </c>
      <c r="AX490">
        <f>IF(AW490=1,COUNTIF($AW$5:AW490,1),"")</f>
        <v/>
      </c>
      <c r="AY490">
        <f>IF(AH!$M$5="Snapshot",IF(ISNUMBER(G490),G490,"unavailable"),IF(AND(ISNUMBER(K490),N(K490)&gt;0),K490,IF(AH!$M$5="Auto",IF(ISNUMBER(G490),G490,"unavailable"),"unavailable")))</f>
        <v/>
      </c>
      <c r="AZ490">
        <f>IF(AND(AH!$M$5&lt;&gt;"Snapshot",ISNUMBER(K490),N(K490)&gt;0),"Bloomberg",IF(AND(AH!$M$5&lt;&gt;"Bloomberg",ISNUMBER(G490)),"Snapshot","Unavailable"))</f>
        <v/>
      </c>
      <c r="BA490">
        <f>IF(AZ490="Bloomberg",M490,H490)</f>
        <v/>
      </c>
      <c r="BB490">
        <f>1</f>
        <v/>
      </c>
    </row>
    <row r="491">
      <c r="A491" s="31" t="inlineStr">
        <is>
          <t>2352</t>
        </is>
      </c>
      <c r="B491" s="15" t="inlineStr">
        <is>
          <t>DOWELL SERVICE</t>
        </is>
      </c>
      <c r="C491" s="15" t="inlineStr">
        <is>
          <t>Real Estate</t>
        </is>
      </c>
      <c r="D491" s="15" t="inlineStr">
        <is>
          <t>Property management</t>
        </is>
      </c>
      <c r="E491" s="34" t="n">
        <v>44680</v>
      </c>
      <c r="F491" s="15" t="n">
        <v>11.9</v>
      </c>
      <c r="G491" s="15" t="n">
        <v>4.2</v>
      </c>
      <c r="H491" s="34" t="n">
        <v>46297</v>
      </c>
      <c r="I491" s="31" t="n"/>
      <c r="J491" s="15" t="n">
        <v>0</v>
      </c>
      <c r="K491" s="15">
        <f>IF(AND(AH!$M$5="Snapshot",'IPO Live'!$M$5="Snapshot"),"",IFERROR(BDP(TEXT(VALUE($A491),"0")&amp;" HK Equity","PX_LAST"),""))</f>
        <v/>
      </c>
      <c r="L491" s="15">
        <f>IF(AND(AH!$M$5="Snapshot",'IPO Live'!$M$5="Snapshot"),"",IFERROR(BDP(TEXT(VALUE($A491),"0")&amp;" HK Equity","CHG_PCT_1D")/100,""))</f>
        <v/>
      </c>
      <c r="M491" s="15">
        <f>IF(AND(AH!$M$5="Snapshot",'IPO Live'!$M$5="Snapshot"),"",IFERROR(BDP(TEXT(VALUE($A491),"0")&amp;" HK Equity","LAST_UPDATE_DT"),""))</f>
        <v/>
      </c>
      <c r="N491" s="15">
        <f>IF(AND(AH!$M$5="Snapshot",'IPO Live'!$M$5="Snapshot"),"",IFERROR(BDP(TEXT(VALUE($A491),"0")&amp;" HK Equity","LAST_UPDATE"),""))</f>
        <v/>
      </c>
      <c r="O491" s="15">
        <f>IF('IPO Live'!$M$5="Snapshot",IF(ISNUMBER(G491),G491,"unavailable"),IF(AND(ISNUMBER(K491),N(K491)&gt;0),K491,IF('IPO Live'!$M$5="Auto",IF(ISNUMBER(G491),G491,"unavailable"),"unavailable")))</f>
        <v/>
      </c>
      <c r="P491" s="15">
        <f>IF(AND('IPO Live'!$M$5&lt;&gt;"Snapshot",ISNUMBER(K491),N(K491)&gt;0),"Bloomberg",IF(AND('IPO Live'!$M$5&lt;&gt;"Bloomberg",ISNUMBER(G491)),"Snapshot","Unavailable"))</f>
        <v/>
      </c>
      <c r="Q491" s="33">
        <f>IF(AND(P491="Bloomberg",ISNUMBER(L491)),L491,"unavailable")</f>
        <v/>
      </c>
      <c r="R491" s="15">
        <f>IF(OR('IPO Live'!$B$5="All",'IPO Live'!$B$5=C491,AND('IPO Live'!$B$5="A/H only",J491&gt;0)),1,0)</f>
        <v/>
      </c>
      <c r="S491" s="15">
        <f>IF(R491=1,COUNTIF($R$5:R491,1),"")</f>
        <v/>
      </c>
      <c r="T491">
        <f>1</f>
        <v/>
      </c>
      <c r="U491">
        <f>IF($P491="Bloomberg",$M491,$H491)</f>
        <v/>
      </c>
      <c r="AW491">
        <f>IF(AND(J491&gt;0,OR(AH!$I$5="All",AH!$I$5="A/H only",AH!$I$5=C491)),1,0)</f>
        <v/>
      </c>
      <c r="AX491">
        <f>IF(AW491=1,COUNTIF($AW$5:AW491,1),"")</f>
        <v/>
      </c>
      <c r="AY491">
        <f>IF(AH!$M$5="Snapshot",IF(ISNUMBER(G491),G491,"unavailable"),IF(AND(ISNUMBER(K491),N(K491)&gt;0),K491,IF(AH!$M$5="Auto",IF(ISNUMBER(G491),G491,"unavailable"),"unavailable")))</f>
        <v/>
      </c>
      <c r="AZ491">
        <f>IF(AND(AH!$M$5&lt;&gt;"Snapshot",ISNUMBER(K491),N(K491)&gt;0),"Bloomberg",IF(AND(AH!$M$5&lt;&gt;"Bloomberg",ISNUMBER(G491)),"Snapshot","Unavailable"))</f>
        <v/>
      </c>
      <c r="BA491">
        <f>IF(AZ491="Bloomberg",M491,H491)</f>
        <v/>
      </c>
      <c r="BB491">
        <f>1</f>
        <v/>
      </c>
    </row>
    <row r="492">
      <c r="A492" s="31" t="inlineStr">
        <is>
          <t>2370</t>
        </is>
      </c>
      <c r="B492" s="15" t="inlineStr">
        <is>
          <t>REDCO HEALTHY</t>
        </is>
      </c>
      <c r="C492" s="15" t="inlineStr">
        <is>
          <t>Real Estate</t>
        </is>
      </c>
      <c r="D492" s="15" t="inlineStr">
        <is>
          <t>Property management</t>
        </is>
      </c>
      <c r="E492" s="34" t="n">
        <v>44651</v>
      </c>
      <c r="F492" s="15" t="n">
        <v>4.1</v>
      </c>
      <c r="G492" s="15" t="n">
        <v>1.23</v>
      </c>
      <c r="H492" s="34" t="n">
        <v>46297</v>
      </c>
      <c r="I492" s="31" t="n"/>
      <c r="J492" s="15" t="n">
        <v>0</v>
      </c>
      <c r="K492" s="15">
        <f>IF(AND(AH!$M$5="Snapshot",'IPO Live'!$M$5="Snapshot"),"",IFERROR(BDP(TEXT(VALUE($A492),"0")&amp;" HK Equity","PX_LAST"),""))</f>
        <v/>
      </c>
      <c r="L492" s="15">
        <f>IF(AND(AH!$M$5="Snapshot",'IPO Live'!$M$5="Snapshot"),"",IFERROR(BDP(TEXT(VALUE($A492),"0")&amp;" HK Equity","CHG_PCT_1D")/100,""))</f>
        <v/>
      </c>
      <c r="M492" s="15">
        <f>IF(AND(AH!$M$5="Snapshot",'IPO Live'!$M$5="Snapshot"),"",IFERROR(BDP(TEXT(VALUE($A492),"0")&amp;" HK Equity","LAST_UPDATE_DT"),""))</f>
        <v/>
      </c>
      <c r="N492" s="15">
        <f>IF(AND(AH!$M$5="Snapshot",'IPO Live'!$M$5="Snapshot"),"",IFERROR(BDP(TEXT(VALUE($A492),"0")&amp;" HK Equity","LAST_UPDATE"),""))</f>
        <v/>
      </c>
      <c r="O492" s="15">
        <f>IF('IPO Live'!$M$5="Snapshot",IF(ISNUMBER(G492),G492,"unavailable"),IF(AND(ISNUMBER(K492),N(K492)&gt;0),K492,IF('IPO Live'!$M$5="Auto",IF(ISNUMBER(G492),G492,"unavailable"),"unavailable")))</f>
        <v/>
      </c>
      <c r="P492" s="15">
        <f>IF(AND('IPO Live'!$M$5&lt;&gt;"Snapshot",ISNUMBER(K492),N(K492)&gt;0),"Bloomberg",IF(AND('IPO Live'!$M$5&lt;&gt;"Bloomberg",ISNUMBER(G492)),"Snapshot","Unavailable"))</f>
        <v/>
      </c>
      <c r="Q492" s="33">
        <f>IF(AND(P492="Bloomberg",ISNUMBER(L492)),L492,"unavailable")</f>
        <v/>
      </c>
      <c r="R492" s="15">
        <f>IF(OR('IPO Live'!$B$5="All",'IPO Live'!$B$5=C492,AND('IPO Live'!$B$5="A/H only",J492&gt;0)),1,0)</f>
        <v/>
      </c>
      <c r="S492" s="15">
        <f>IF(R492=1,COUNTIF($R$5:R492,1),"")</f>
        <v/>
      </c>
      <c r="T492">
        <f>1</f>
        <v/>
      </c>
      <c r="U492">
        <f>IF($P492="Bloomberg",$M492,$H492)</f>
        <v/>
      </c>
      <c r="AW492">
        <f>IF(AND(J492&gt;0,OR(AH!$I$5="All",AH!$I$5="A/H only",AH!$I$5=C492)),1,0)</f>
        <v/>
      </c>
      <c r="AX492">
        <f>IF(AW492=1,COUNTIF($AW$5:AW492,1),"")</f>
        <v/>
      </c>
      <c r="AY492">
        <f>IF(AH!$M$5="Snapshot",IF(ISNUMBER(G492),G492,"unavailable"),IF(AND(ISNUMBER(K492),N(K492)&gt;0),K492,IF(AH!$M$5="Auto",IF(ISNUMBER(G492),G492,"unavailable"),"unavailable")))</f>
        <v/>
      </c>
      <c r="AZ492">
        <f>IF(AND(AH!$M$5&lt;&gt;"Snapshot",ISNUMBER(K492),N(K492)&gt;0),"Bloomberg",IF(AND(AH!$M$5&lt;&gt;"Bloomberg",ISNUMBER(G492)),"Snapshot","Unavailable"))</f>
        <v/>
      </c>
      <c r="BA492">
        <f>IF(AZ492="Bloomberg",M492,H492)</f>
        <v/>
      </c>
      <c r="BB492">
        <f>1</f>
        <v/>
      </c>
    </row>
    <row r="493">
      <c r="A493" s="31" t="inlineStr">
        <is>
          <t>2270</t>
        </is>
      </c>
      <c r="B493" s="15" t="inlineStr">
        <is>
          <t>DESUN SERVICES</t>
        </is>
      </c>
      <c r="C493" s="15" t="inlineStr">
        <is>
          <t>Real Estate</t>
        </is>
      </c>
      <c r="D493" s="15" t="inlineStr">
        <is>
          <t>Property management</t>
        </is>
      </c>
      <c r="E493" s="34" t="n">
        <v>44547</v>
      </c>
      <c r="F493" s="15" t="n">
        <v>1.11</v>
      </c>
      <c r="G493" s="15" t="n">
        <v>5.975</v>
      </c>
      <c r="H493" s="34" t="n">
        <v>46297</v>
      </c>
      <c r="I493" s="31" t="n"/>
      <c r="J493" s="15" t="n">
        <v>0</v>
      </c>
      <c r="K493" s="15">
        <f>IF(AND(AH!$M$5="Snapshot",'IPO Live'!$M$5="Snapshot"),"",IFERROR(BDP(TEXT(VALUE($A493),"0")&amp;" HK Equity","PX_LAST"),""))</f>
        <v/>
      </c>
      <c r="L493" s="15">
        <f>IF(AND(AH!$M$5="Snapshot",'IPO Live'!$M$5="Snapshot"),"",IFERROR(BDP(TEXT(VALUE($A493),"0")&amp;" HK Equity","CHG_PCT_1D")/100,""))</f>
        <v/>
      </c>
      <c r="M493" s="15">
        <f>IF(AND(AH!$M$5="Snapshot",'IPO Live'!$M$5="Snapshot"),"",IFERROR(BDP(TEXT(VALUE($A493),"0")&amp;" HK Equity","LAST_UPDATE_DT"),""))</f>
        <v/>
      </c>
      <c r="N493" s="15">
        <f>IF(AND(AH!$M$5="Snapshot",'IPO Live'!$M$5="Snapshot"),"",IFERROR(BDP(TEXT(VALUE($A493),"0")&amp;" HK Equity","LAST_UPDATE"),""))</f>
        <v/>
      </c>
      <c r="O493" s="15">
        <f>IF('IPO Live'!$M$5="Snapshot",IF(ISNUMBER(G493),G493,"unavailable"),IF(AND(ISNUMBER(K493),N(K493)&gt;0),K493,IF('IPO Live'!$M$5="Auto",IF(ISNUMBER(G493),G493,"unavailable"),"unavailable")))</f>
        <v/>
      </c>
      <c r="P493" s="15">
        <f>IF(AND('IPO Live'!$M$5&lt;&gt;"Snapshot",ISNUMBER(K493),N(K493)&gt;0),"Bloomberg",IF(AND('IPO Live'!$M$5&lt;&gt;"Bloomberg",ISNUMBER(G493)),"Snapshot","Unavailable"))</f>
        <v/>
      </c>
      <c r="Q493" s="33">
        <f>IF(AND(P493="Bloomberg",ISNUMBER(L493)),L493,"unavailable")</f>
        <v/>
      </c>
      <c r="R493" s="15">
        <f>IF(OR('IPO Live'!$B$5="All",'IPO Live'!$B$5=C493,AND('IPO Live'!$B$5="A/H only",J493&gt;0)),1,0)</f>
        <v/>
      </c>
      <c r="S493" s="15">
        <f>IF(R493=1,COUNTIF($R$5:R493,1),"")</f>
        <v/>
      </c>
      <c r="T493">
        <f>1</f>
        <v/>
      </c>
      <c r="U493">
        <f>IF($P493="Bloomberg",$M493,$H493)</f>
        <v/>
      </c>
      <c r="AW493">
        <f>IF(AND(J493&gt;0,OR(AH!$I$5="All",AH!$I$5="A/H only",AH!$I$5=C493)),1,0)</f>
        <v/>
      </c>
      <c r="AX493">
        <f>IF(AW493=1,COUNTIF($AW$5:AW493,1),"")</f>
        <v/>
      </c>
      <c r="AY493">
        <f>IF(AH!$M$5="Snapshot",IF(ISNUMBER(G493),G493,"unavailable"),IF(AND(ISNUMBER(K493),N(K493)&gt;0),K493,IF(AH!$M$5="Auto",IF(ISNUMBER(G493),G493,"unavailable"),"unavailable")))</f>
        <v/>
      </c>
      <c r="AZ493">
        <f>IF(AND(AH!$M$5&lt;&gt;"Snapshot",ISNUMBER(K493),N(K493)&gt;0),"Bloomberg",IF(AND(AH!$M$5&lt;&gt;"Bloomberg",ISNUMBER(G493)),"Snapshot","Unavailable"))</f>
        <v/>
      </c>
      <c r="BA493">
        <f>IF(AZ493="Bloomberg",M493,H493)</f>
        <v/>
      </c>
      <c r="BB493">
        <f>1</f>
        <v/>
      </c>
    </row>
    <row r="494">
      <c r="A494" s="31" t="inlineStr">
        <is>
          <t>2210</t>
        </is>
      </c>
      <c r="B494" s="15" t="inlineStr">
        <is>
          <t>BEIJING JIAYE</t>
        </is>
      </c>
      <c r="C494" s="15" t="inlineStr">
        <is>
          <t>Real Estate</t>
        </is>
      </c>
      <c r="D494" s="15" t="inlineStr">
        <is>
          <t>Property management</t>
        </is>
      </c>
      <c r="E494" s="34" t="n">
        <v>44510</v>
      </c>
      <c r="F494" s="15" t="n">
        <v>8.279999999999999</v>
      </c>
      <c r="G494" s="15" t="n">
        <v>2</v>
      </c>
      <c r="H494" s="34" t="n">
        <v>46297</v>
      </c>
      <c r="I494" s="31" t="n"/>
      <c r="J494" s="15" t="n">
        <v>0</v>
      </c>
      <c r="K494" s="15">
        <f>IF(AND(AH!$M$5="Snapshot",'IPO Live'!$M$5="Snapshot"),"",IFERROR(BDP(TEXT(VALUE($A494),"0")&amp;" HK Equity","PX_LAST"),""))</f>
        <v/>
      </c>
      <c r="L494" s="15">
        <f>IF(AND(AH!$M$5="Snapshot",'IPO Live'!$M$5="Snapshot"),"",IFERROR(BDP(TEXT(VALUE($A494),"0")&amp;" HK Equity","CHG_PCT_1D")/100,""))</f>
        <v/>
      </c>
      <c r="M494" s="15">
        <f>IF(AND(AH!$M$5="Snapshot",'IPO Live'!$M$5="Snapshot"),"",IFERROR(BDP(TEXT(VALUE($A494),"0")&amp;" HK Equity","LAST_UPDATE_DT"),""))</f>
        <v/>
      </c>
      <c r="N494" s="15">
        <f>IF(AND(AH!$M$5="Snapshot",'IPO Live'!$M$5="Snapshot"),"",IFERROR(BDP(TEXT(VALUE($A494),"0")&amp;" HK Equity","LAST_UPDATE"),""))</f>
        <v/>
      </c>
      <c r="O494" s="15">
        <f>IF('IPO Live'!$M$5="Snapshot",IF(ISNUMBER(G494),G494,"unavailable"),IF(AND(ISNUMBER(K494),N(K494)&gt;0),K494,IF('IPO Live'!$M$5="Auto",IF(ISNUMBER(G494),G494,"unavailable"),"unavailable")))</f>
        <v/>
      </c>
      <c r="P494" s="15">
        <f>IF(AND('IPO Live'!$M$5&lt;&gt;"Snapshot",ISNUMBER(K494),N(K494)&gt;0),"Bloomberg",IF(AND('IPO Live'!$M$5&lt;&gt;"Bloomberg",ISNUMBER(G494)),"Snapshot","Unavailable"))</f>
        <v/>
      </c>
      <c r="Q494" s="33">
        <f>IF(AND(P494="Bloomberg",ISNUMBER(L494)),L494,"unavailable")</f>
        <v/>
      </c>
      <c r="R494" s="15">
        <f>IF(OR('IPO Live'!$B$5="All",'IPO Live'!$B$5=C494,AND('IPO Live'!$B$5="A/H only",J494&gt;0)),1,0)</f>
        <v/>
      </c>
      <c r="S494" s="15">
        <f>IF(R494=1,COUNTIF($R$5:R494,1),"")</f>
        <v/>
      </c>
      <c r="T494">
        <f>1</f>
        <v/>
      </c>
      <c r="U494">
        <f>IF($P494="Bloomberg",$M494,$H494)</f>
        <v/>
      </c>
      <c r="AW494">
        <f>IF(AND(J494&gt;0,OR(AH!$I$5="All",AH!$I$5="A/H only",AH!$I$5=C494)),1,0)</f>
        <v/>
      </c>
      <c r="AX494">
        <f>IF(AW494=1,COUNTIF($AW$5:AW494,1),"")</f>
        <v/>
      </c>
      <c r="AY494">
        <f>IF(AH!$M$5="Snapshot",IF(ISNUMBER(G494),G494,"unavailable"),IF(AND(ISNUMBER(K494),N(K494)&gt;0),K494,IF(AH!$M$5="Auto",IF(ISNUMBER(G494),G494,"unavailable"),"unavailable")))</f>
        <v/>
      </c>
      <c r="AZ494">
        <f>IF(AND(AH!$M$5&lt;&gt;"Snapshot",ISNUMBER(K494),N(K494)&gt;0),"Bloomberg",IF(AND(AH!$M$5&lt;&gt;"Bloomberg",ISNUMBER(G494)),"Snapshot","Unavailable"))</f>
        <v/>
      </c>
      <c r="BA494">
        <f>IF(AZ494="Bloomberg",M494,H494)</f>
        <v/>
      </c>
      <c r="BB494">
        <f>1</f>
        <v/>
      </c>
    </row>
    <row r="495">
      <c r="A495" s="31" t="inlineStr">
        <is>
          <t>6611</t>
        </is>
      </c>
      <c r="B495" s="15" t="inlineStr">
        <is>
          <t>SANXUN GROUP</t>
        </is>
      </c>
      <c r="C495" s="15" t="inlineStr">
        <is>
          <t>Real Estate</t>
        </is>
      </c>
      <c r="D495" s="15" t="inlineStr">
        <is>
          <t>Developers</t>
        </is>
      </c>
      <c r="E495" s="34" t="n">
        <v>44396</v>
      </c>
      <c r="F495" s="15" t="n">
        <v>4.75</v>
      </c>
      <c r="G495" s="15" t="n">
        <v>0.046</v>
      </c>
      <c r="H495" s="34" t="n">
        <v>45747</v>
      </c>
      <c r="I495" s="31" t="n"/>
      <c r="J495" s="15" t="n">
        <v>0</v>
      </c>
      <c r="K495" s="15">
        <f>IF(AND(AH!$M$5="Snapshot",'IPO Live'!$M$5="Snapshot"),"",IFERROR(BDP(TEXT(VALUE($A495),"0")&amp;" HK Equity","PX_LAST"),""))</f>
        <v/>
      </c>
      <c r="L495" s="15">
        <f>IF(AND(AH!$M$5="Snapshot",'IPO Live'!$M$5="Snapshot"),"",IFERROR(BDP(TEXT(VALUE($A495),"0")&amp;" HK Equity","CHG_PCT_1D")/100,""))</f>
        <v/>
      </c>
      <c r="M495" s="15">
        <f>IF(AND(AH!$M$5="Snapshot",'IPO Live'!$M$5="Snapshot"),"",IFERROR(BDP(TEXT(VALUE($A495),"0")&amp;" HK Equity","LAST_UPDATE_DT"),""))</f>
        <v/>
      </c>
      <c r="N495" s="15">
        <f>IF(AND(AH!$M$5="Snapshot",'IPO Live'!$M$5="Snapshot"),"",IFERROR(BDP(TEXT(VALUE($A495),"0")&amp;" HK Equity","LAST_UPDATE"),""))</f>
        <v/>
      </c>
      <c r="O495" s="15">
        <f>IF('IPO Live'!$M$5="Snapshot",IF(ISNUMBER(G495),G495,"unavailable"),IF(AND(ISNUMBER(K495),N(K495)&gt;0),K495,IF('IPO Live'!$M$5="Auto",IF(ISNUMBER(G495),G495,"unavailable"),"unavailable")))</f>
        <v/>
      </c>
      <c r="P495" s="15">
        <f>IF(AND('IPO Live'!$M$5&lt;&gt;"Snapshot",ISNUMBER(K495),N(K495)&gt;0),"Bloomberg",IF(AND('IPO Live'!$M$5&lt;&gt;"Bloomberg",ISNUMBER(G495)),"Snapshot","Unavailable"))</f>
        <v/>
      </c>
      <c r="Q495" s="33">
        <f>IF(AND(P495="Bloomberg",ISNUMBER(L495)),L495,"unavailable")</f>
        <v/>
      </c>
      <c r="R495" s="15">
        <f>IF(OR('IPO Live'!$B$5="All",'IPO Live'!$B$5=C495,AND('IPO Live'!$B$5="A/H only",J495&gt;0)),1,0)</f>
        <v/>
      </c>
      <c r="S495" s="15">
        <f>IF(R495=1,COUNTIF($R$5:R495,1),"")</f>
        <v/>
      </c>
      <c r="T495">
        <f>1</f>
        <v/>
      </c>
      <c r="U495">
        <f>IF($P495="Bloomberg",$M495,$H495)</f>
        <v/>
      </c>
      <c r="AW495">
        <f>IF(AND(J495&gt;0,OR(AH!$I$5="All",AH!$I$5="A/H only",AH!$I$5=C495)),1,0)</f>
        <v/>
      </c>
      <c r="AX495">
        <f>IF(AW495=1,COUNTIF($AW$5:AW495,1),"")</f>
        <v/>
      </c>
      <c r="AY495">
        <f>IF(AH!$M$5="Snapshot",IF(ISNUMBER(G495),G495,"unavailable"),IF(AND(ISNUMBER(K495),N(K495)&gt;0),K495,IF(AH!$M$5="Auto",IF(ISNUMBER(G495),G495,"unavailable"),"unavailable")))</f>
        <v/>
      </c>
      <c r="AZ495">
        <f>IF(AND(AH!$M$5&lt;&gt;"Snapshot",ISNUMBER(K495),N(K495)&gt;0),"Bloomberg",IF(AND(AH!$M$5&lt;&gt;"Bloomberg",ISNUMBER(G495)),"Snapshot","Unavailable"))</f>
        <v/>
      </c>
      <c r="BA495">
        <f>IF(AZ495="Bloomberg",M495,H495)</f>
        <v/>
      </c>
      <c r="BB495">
        <f>1</f>
        <v/>
      </c>
    </row>
    <row r="496">
      <c r="A496" s="31" t="inlineStr">
        <is>
          <t>2205</t>
        </is>
      </c>
      <c r="B496" s="15" t="inlineStr">
        <is>
          <t>KANGQIAO SER</t>
        </is>
      </c>
      <c r="C496" s="15" t="inlineStr">
        <is>
          <t>Real Estate</t>
        </is>
      </c>
      <c r="D496" s="15" t="inlineStr">
        <is>
          <t>Property management</t>
        </is>
      </c>
      <c r="E496" s="34" t="n">
        <v>44393</v>
      </c>
      <c r="F496" s="15" t="n">
        <v>3.68</v>
      </c>
      <c r="G496" s="15" t="n">
        <v>0.44</v>
      </c>
      <c r="H496" s="34" t="n">
        <v>46297</v>
      </c>
      <c r="I496" s="31" t="n"/>
      <c r="J496" s="15" t="n">
        <v>0</v>
      </c>
      <c r="K496" s="15">
        <f>IF(AND(AH!$M$5="Snapshot",'IPO Live'!$M$5="Snapshot"),"",IFERROR(BDP(TEXT(VALUE($A496),"0")&amp;" HK Equity","PX_LAST"),""))</f>
        <v/>
      </c>
      <c r="L496" s="15">
        <f>IF(AND(AH!$M$5="Snapshot",'IPO Live'!$M$5="Snapshot"),"",IFERROR(BDP(TEXT(VALUE($A496),"0")&amp;" HK Equity","CHG_PCT_1D")/100,""))</f>
        <v/>
      </c>
      <c r="M496" s="15">
        <f>IF(AND(AH!$M$5="Snapshot",'IPO Live'!$M$5="Snapshot"),"",IFERROR(BDP(TEXT(VALUE($A496),"0")&amp;" HK Equity","LAST_UPDATE_DT"),""))</f>
        <v/>
      </c>
      <c r="N496" s="15">
        <f>IF(AND(AH!$M$5="Snapshot",'IPO Live'!$M$5="Snapshot"),"",IFERROR(BDP(TEXT(VALUE($A496),"0")&amp;" HK Equity","LAST_UPDATE"),""))</f>
        <v/>
      </c>
      <c r="O496" s="15">
        <f>IF('IPO Live'!$M$5="Snapshot",IF(ISNUMBER(G496),G496,"unavailable"),IF(AND(ISNUMBER(K496),N(K496)&gt;0),K496,IF('IPO Live'!$M$5="Auto",IF(ISNUMBER(G496),G496,"unavailable"),"unavailable")))</f>
        <v/>
      </c>
      <c r="P496" s="15">
        <f>IF(AND('IPO Live'!$M$5&lt;&gt;"Snapshot",ISNUMBER(K496),N(K496)&gt;0),"Bloomberg",IF(AND('IPO Live'!$M$5&lt;&gt;"Bloomberg",ISNUMBER(G496)),"Snapshot","Unavailable"))</f>
        <v/>
      </c>
      <c r="Q496" s="33">
        <f>IF(AND(P496="Bloomberg",ISNUMBER(L496)),L496,"unavailable")</f>
        <v/>
      </c>
      <c r="R496" s="15">
        <f>IF(OR('IPO Live'!$B$5="All",'IPO Live'!$B$5=C496,AND('IPO Live'!$B$5="A/H only",J496&gt;0)),1,0)</f>
        <v/>
      </c>
      <c r="S496" s="15">
        <f>IF(R496=1,COUNTIF($R$5:R496,1),"")</f>
        <v/>
      </c>
      <c r="T496">
        <f>1</f>
        <v/>
      </c>
      <c r="U496">
        <f>IF($P496="Bloomberg",$M496,$H496)</f>
        <v/>
      </c>
      <c r="AW496">
        <f>IF(AND(J496&gt;0,OR(AH!$I$5="All",AH!$I$5="A/H only",AH!$I$5=C496)),1,0)</f>
        <v/>
      </c>
      <c r="AX496">
        <f>IF(AW496=1,COUNTIF($AW$5:AW496,1),"")</f>
        <v/>
      </c>
      <c r="AY496">
        <f>IF(AH!$M$5="Snapshot",IF(ISNUMBER(G496),G496,"unavailable"),IF(AND(ISNUMBER(K496),N(K496)&gt;0),K496,IF(AH!$M$5="Auto",IF(ISNUMBER(G496),G496,"unavailable"),"unavailable")))</f>
        <v/>
      </c>
      <c r="AZ496">
        <f>IF(AND(AH!$M$5&lt;&gt;"Snapshot",ISNUMBER(K496),N(K496)&gt;0),"Bloomberg",IF(AND(AH!$M$5&lt;&gt;"Bloomberg",ISNUMBER(G496)),"Snapshot","Unavailable"))</f>
        <v/>
      </c>
      <c r="BA496">
        <f>IF(AZ496="Bloomberg",M496,H496)</f>
        <v/>
      </c>
      <c r="BB496">
        <f>1</f>
        <v/>
      </c>
    </row>
    <row r="497">
      <c r="A497" s="31" t="inlineStr">
        <is>
          <t>2215</t>
        </is>
      </c>
      <c r="B497" s="15" t="inlineStr">
        <is>
          <t>DEXIN SER GROUP</t>
        </is>
      </c>
      <c r="C497" s="15" t="inlineStr">
        <is>
          <t>Real Estate</t>
        </is>
      </c>
      <c r="D497" s="15" t="inlineStr">
        <is>
          <t>Property management</t>
        </is>
      </c>
      <c r="E497" s="34" t="n">
        <v>44392</v>
      </c>
      <c r="F497" s="15" t="n">
        <v>3.06</v>
      </c>
      <c r="G497" s="15" t="n">
        <v>0.215</v>
      </c>
      <c r="H497" s="34" t="n">
        <v>46297</v>
      </c>
      <c r="I497" s="31" t="n"/>
      <c r="J497" s="15" t="n">
        <v>0</v>
      </c>
      <c r="K497" s="15">
        <f>IF(AND(AH!$M$5="Snapshot",'IPO Live'!$M$5="Snapshot"),"",IFERROR(BDP(TEXT(VALUE($A497),"0")&amp;" HK Equity","PX_LAST"),""))</f>
        <v/>
      </c>
      <c r="L497" s="15">
        <f>IF(AND(AH!$M$5="Snapshot",'IPO Live'!$M$5="Snapshot"),"",IFERROR(BDP(TEXT(VALUE($A497),"0")&amp;" HK Equity","CHG_PCT_1D")/100,""))</f>
        <v/>
      </c>
      <c r="M497" s="15">
        <f>IF(AND(AH!$M$5="Snapshot",'IPO Live'!$M$5="Snapshot"),"",IFERROR(BDP(TEXT(VALUE($A497),"0")&amp;" HK Equity","LAST_UPDATE_DT"),""))</f>
        <v/>
      </c>
      <c r="N497" s="15">
        <f>IF(AND(AH!$M$5="Snapshot",'IPO Live'!$M$5="Snapshot"),"",IFERROR(BDP(TEXT(VALUE($A497),"0")&amp;" HK Equity","LAST_UPDATE"),""))</f>
        <v/>
      </c>
      <c r="O497" s="15">
        <f>IF('IPO Live'!$M$5="Snapshot",IF(ISNUMBER(G497),G497,"unavailable"),IF(AND(ISNUMBER(K497),N(K497)&gt;0),K497,IF('IPO Live'!$M$5="Auto",IF(ISNUMBER(G497),G497,"unavailable"),"unavailable")))</f>
        <v/>
      </c>
      <c r="P497" s="15">
        <f>IF(AND('IPO Live'!$M$5&lt;&gt;"Snapshot",ISNUMBER(K497),N(K497)&gt;0),"Bloomberg",IF(AND('IPO Live'!$M$5&lt;&gt;"Bloomberg",ISNUMBER(G497)),"Snapshot","Unavailable"))</f>
        <v/>
      </c>
      <c r="Q497" s="33">
        <f>IF(AND(P497="Bloomberg",ISNUMBER(L497)),L497,"unavailable")</f>
        <v/>
      </c>
      <c r="R497" s="15">
        <f>IF(OR('IPO Live'!$B$5="All",'IPO Live'!$B$5=C497,AND('IPO Live'!$B$5="A/H only",J497&gt;0)),1,0)</f>
        <v/>
      </c>
      <c r="S497" s="15">
        <f>IF(R497=1,COUNTIF($R$5:R497,1),"")</f>
        <v/>
      </c>
      <c r="T497">
        <f>1</f>
        <v/>
      </c>
      <c r="U497">
        <f>IF($P497="Bloomberg",$M497,$H497)</f>
        <v/>
      </c>
      <c r="AW497">
        <f>IF(AND(J497&gt;0,OR(AH!$I$5="All",AH!$I$5="A/H only",AH!$I$5=C497)),1,0)</f>
        <v/>
      </c>
      <c r="AX497">
        <f>IF(AW497=1,COUNTIF($AW$5:AW497,1),"")</f>
        <v/>
      </c>
      <c r="AY497">
        <f>IF(AH!$M$5="Snapshot",IF(ISNUMBER(G497),G497,"unavailable"),IF(AND(ISNUMBER(K497),N(K497)&gt;0),K497,IF(AH!$M$5="Auto",IF(ISNUMBER(G497),G497,"unavailable"),"unavailable")))</f>
        <v/>
      </c>
      <c r="AZ497">
        <f>IF(AND(AH!$M$5&lt;&gt;"Snapshot",ISNUMBER(K497),N(K497)&gt;0),"Bloomberg",IF(AND(AH!$M$5&lt;&gt;"Bloomberg",ISNUMBER(G497)),"Snapshot","Unavailable"))</f>
        <v/>
      </c>
      <c r="BA497">
        <f>IF(AZ497="Bloomberg",M497,H497)</f>
        <v/>
      </c>
      <c r="BB497">
        <f>1</f>
        <v/>
      </c>
    </row>
    <row r="498">
      <c r="A498" s="31" t="inlineStr">
        <is>
          <t>2165</t>
        </is>
      </c>
      <c r="B498" s="15" t="inlineStr">
        <is>
          <t>LING YUE SER GP</t>
        </is>
      </c>
      <c r="C498" s="15" t="inlineStr">
        <is>
          <t>Real Estate</t>
        </is>
      </c>
      <c r="D498" s="15" t="inlineStr">
        <is>
          <t>Property management</t>
        </is>
      </c>
      <c r="E498" s="34" t="n">
        <v>44389</v>
      </c>
      <c r="F498" s="15" t="n">
        <v>4.19</v>
      </c>
      <c r="G498" s="15" t="n">
        <v>1.645</v>
      </c>
      <c r="H498" s="34" t="n">
        <v>46297</v>
      </c>
      <c r="I498" s="31" t="n"/>
      <c r="J498" s="15" t="n">
        <v>0</v>
      </c>
      <c r="K498" s="15">
        <f>IF(AND(AH!$M$5="Snapshot",'IPO Live'!$M$5="Snapshot"),"",IFERROR(BDP(TEXT(VALUE($A498),"0")&amp;" HK Equity","PX_LAST"),""))</f>
        <v/>
      </c>
      <c r="L498" s="15">
        <f>IF(AND(AH!$M$5="Snapshot",'IPO Live'!$M$5="Snapshot"),"",IFERROR(BDP(TEXT(VALUE($A498),"0")&amp;" HK Equity","CHG_PCT_1D")/100,""))</f>
        <v/>
      </c>
      <c r="M498" s="15">
        <f>IF(AND(AH!$M$5="Snapshot",'IPO Live'!$M$5="Snapshot"),"",IFERROR(BDP(TEXT(VALUE($A498),"0")&amp;" HK Equity","LAST_UPDATE_DT"),""))</f>
        <v/>
      </c>
      <c r="N498" s="15">
        <f>IF(AND(AH!$M$5="Snapshot",'IPO Live'!$M$5="Snapshot"),"",IFERROR(BDP(TEXT(VALUE($A498),"0")&amp;" HK Equity","LAST_UPDATE"),""))</f>
        <v/>
      </c>
      <c r="O498" s="15">
        <f>IF('IPO Live'!$M$5="Snapshot",IF(ISNUMBER(G498),G498,"unavailable"),IF(AND(ISNUMBER(K498),N(K498)&gt;0),K498,IF('IPO Live'!$M$5="Auto",IF(ISNUMBER(G498),G498,"unavailable"),"unavailable")))</f>
        <v/>
      </c>
      <c r="P498" s="15">
        <f>IF(AND('IPO Live'!$M$5&lt;&gt;"Snapshot",ISNUMBER(K498),N(K498)&gt;0),"Bloomberg",IF(AND('IPO Live'!$M$5&lt;&gt;"Bloomberg",ISNUMBER(G498)),"Snapshot","Unavailable"))</f>
        <v/>
      </c>
      <c r="Q498" s="33">
        <f>IF(AND(P498="Bloomberg",ISNUMBER(L498)),L498,"unavailable")</f>
        <v/>
      </c>
      <c r="R498" s="15">
        <f>IF(OR('IPO Live'!$B$5="All",'IPO Live'!$B$5=C498,AND('IPO Live'!$B$5="A/H only",J498&gt;0)),1,0)</f>
        <v/>
      </c>
      <c r="S498" s="15">
        <f>IF(R498=1,COUNTIF($R$5:R498,1),"")</f>
        <v/>
      </c>
      <c r="T498">
        <f>1</f>
        <v/>
      </c>
      <c r="U498">
        <f>IF($P498="Bloomberg",$M498,$H498)</f>
        <v/>
      </c>
      <c r="AW498">
        <f>IF(AND(J498&gt;0,OR(AH!$I$5="All",AH!$I$5="A/H only",AH!$I$5=C498)),1,0)</f>
        <v/>
      </c>
      <c r="AX498">
        <f>IF(AW498=1,COUNTIF($AW$5:AW498,1),"")</f>
        <v/>
      </c>
      <c r="AY498">
        <f>IF(AH!$M$5="Snapshot",IF(ISNUMBER(G498),G498,"unavailable"),IF(AND(ISNUMBER(K498),N(K498)&gt;0),K498,IF(AH!$M$5="Auto",IF(ISNUMBER(G498),G498,"unavailable"),"unavailable")))</f>
        <v/>
      </c>
      <c r="AZ498">
        <f>IF(AND(AH!$M$5&lt;&gt;"Snapshot",ISNUMBER(K498),N(K498)&gt;0),"Bloomberg",IF(AND(AH!$M$5&lt;&gt;"Bloomberg",ISNUMBER(G498)),"Snapshot","Unavailable"))</f>
        <v/>
      </c>
      <c r="BA498">
        <f>IF(AZ498="Bloomberg",M498,H498)</f>
        <v/>
      </c>
      <c r="BB498">
        <f>1</f>
        <v/>
      </c>
    </row>
    <row r="499">
      <c r="A499" s="31" t="inlineStr">
        <is>
          <t>1965</t>
        </is>
      </c>
      <c r="B499" s="15" t="inlineStr">
        <is>
          <t>LANDSEA LIFE</t>
        </is>
      </c>
      <c r="C499" s="15" t="inlineStr">
        <is>
          <t>Real Estate</t>
        </is>
      </c>
      <c r="D499" s="15" t="inlineStr">
        <is>
          <t>Property management</t>
        </is>
      </c>
      <c r="E499" s="34" t="n">
        <v>44385</v>
      </c>
      <c r="F499" s="15" t="n">
        <v>3.18</v>
      </c>
      <c r="G499" s="15" t="n">
        <v>0.136</v>
      </c>
      <c r="H499" s="34" t="n">
        <v>46297</v>
      </c>
      <c r="I499" s="31" t="n"/>
      <c r="J499" s="15" t="n">
        <v>0</v>
      </c>
      <c r="K499" s="15">
        <f>IF(AND(AH!$M$5="Snapshot",'IPO Live'!$M$5="Snapshot"),"",IFERROR(BDP(TEXT(VALUE($A499),"0")&amp;" HK Equity","PX_LAST"),""))</f>
        <v/>
      </c>
      <c r="L499" s="15">
        <f>IF(AND(AH!$M$5="Snapshot",'IPO Live'!$M$5="Snapshot"),"",IFERROR(BDP(TEXT(VALUE($A499),"0")&amp;" HK Equity","CHG_PCT_1D")/100,""))</f>
        <v/>
      </c>
      <c r="M499" s="15">
        <f>IF(AND(AH!$M$5="Snapshot",'IPO Live'!$M$5="Snapshot"),"",IFERROR(BDP(TEXT(VALUE($A499),"0")&amp;" HK Equity","LAST_UPDATE_DT"),""))</f>
        <v/>
      </c>
      <c r="N499" s="15">
        <f>IF(AND(AH!$M$5="Snapshot",'IPO Live'!$M$5="Snapshot"),"",IFERROR(BDP(TEXT(VALUE($A499),"0")&amp;" HK Equity","LAST_UPDATE"),""))</f>
        <v/>
      </c>
      <c r="O499" s="15">
        <f>IF('IPO Live'!$M$5="Snapshot",IF(ISNUMBER(G499),G499,"unavailable"),IF(AND(ISNUMBER(K499),N(K499)&gt;0),K499,IF('IPO Live'!$M$5="Auto",IF(ISNUMBER(G499),G499,"unavailable"),"unavailable")))</f>
        <v/>
      </c>
      <c r="P499" s="15">
        <f>IF(AND('IPO Live'!$M$5&lt;&gt;"Snapshot",ISNUMBER(K499),N(K499)&gt;0),"Bloomberg",IF(AND('IPO Live'!$M$5&lt;&gt;"Bloomberg",ISNUMBER(G499)),"Snapshot","Unavailable"))</f>
        <v/>
      </c>
      <c r="Q499" s="33">
        <f>IF(AND(P499="Bloomberg",ISNUMBER(L499)),L499,"unavailable")</f>
        <v/>
      </c>
      <c r="R499" s="15">
        <f>IF(OR('IPO Live'!$B$5="All",'IPO Live'!$B$5=C499,AND('IPO Live'!$B$5="A/H only",J499&gt;0)),1,0)</f>
        <v/>
      </c>
      <c r="S499" s="15">
        <f>IF(R499=1,COUNTIF($R$5:R499,1),"")</f>
        <v/>
      </c>
      <c r="T499">
        <f>1</f>
        <v/>
      </c>
      <c r="U499">
        <f>IF($P499="Bloomberg",$M499,$H499)</f>
        <v/>
      </c>
      <c r="AW499">
        <f>IF(AND(J499&gt;0,OR(AH!$I$5="All",AH!$I$5="A/H only",AH!$I$5=C499)),1,0)</f>
        <v/>
      </c>
      <c r="AX499">
        <f>IF(AW499=1,COUNTIF($AW$5:AW499,1),"")</f>
        <v/>
      </c>
      <c r="AY499">
        <f>IF(AH!$M$5="Snapshot",IF(ISNUMBER(G499),G499,"unavailable"),IF(AND(ISNUMBER(K499),N(K499)&gt;0),K499,IF(AH!$M$5="Auto",IF(ISNUMBER(G499),G499,"unavailable"),"unavailable")))</f>
        <v/>
      </c>
      <c r="AZ499">
        <f>IF(AND(AH!$M$5&lt;&gt;"Snapshot",ISNUMBER(K499),N(K499)&gt;0),"Bloomberg",IF(AND(AH!$M$5&lt;&gt;"Bloomberg",ISNUMBER(G499)),"Snapshot","Unavailable"))</f>
        <v/>
      </c>
      <c r="BA499">
        <f>IF(AZ499="Bloomberg",M499,H499)</f>
        <v/>
      </c>
      <c r="BB499">
        <f>1</f>
        <v/>
      </c>
    </row>
    <row r="500">
      <c r="A500" s="31" t="inlineStr">
        <is>
          <t>0606</t>
        </is>
      </c>
      <c r="B500" s="15" t="inlineStr">
        <is>
          <t>SCE CM</t>
        </is>
      </c>
      <c r="C500" s="15" t="inlineStr">
        <is>
          <t>Real Estate</t>
        </is>
      </c>
      <c r="D500" s="15" t="inlineStr">
        <is>
          <t>Property management</t>
        </is>
      </c>
      <c r="E500" s="34" t="n">
        <v>44379</v>
      </c>
      <c r="F500" s="15" t="n">
        <v>3.7</v>
      </c>
      <c r="G500" s="15" t="n">
        <v>0.248</v>
      </c>
      <c r="H500" s="34" t="n">
        <v>46297</v>
      </c>
      <c r="I500" s="31" t="n"/>
      <c r="J500" s="15" t="n">
        <v>0</v>
      </c>
      <c r="K500" s="15">
        <f>IF(AND(AH!$M$5="Snapshot",'IPO Live'!$M$5="Snapshot"),"",IFERROR(BDP(TEXT(VALUE($A500),"0")&amp;" HK Equity","PX_LAST"),""))</f>
        <v/>
      </c>
      <c r="L500" s="15">
        <f>IF(AND(AH!$M$5="Snapshot",'IPO Live'!$M$5="Snapshot"),"",IFERROR(BDP(TEXT(VALUE($A500),"0")&amp;" HK Equity","CHG_PCT_1D")/100,""))</f>
        <v/>
      </c>
      <c r="M500" s="15">
        <f>IF(AND(AH!$M$5="Snapshot",'IPO Live'!$M$5="Snapshot"),"",IFERROR(BDP(TEXT(VALUE($A500),"0")&amp;" HK Equity","LAST_UPDATE_DT"),""))</f>
        <v/>
      </c>
      <c r="N500" s="15">
        <f>IF(AND(AH!$M$5="Snapshot",'IPO Live'!$M$5="Snapshot"),"",IFERROR(BDP(TEXT(VALUE($A500),"0")&amp;" HK Equity","LAST_UPDATE"),""))</f>
        <v/>
      </c>
      <c r="O500" s="15">
        <f>IF('IPO Live'!$M$5="Snapshot",IF(ISNUMBER(G500),G500,"unavailable"),IF(AND(ISNUMBER(K500),N(K500)&gt;0),K500,IF('IPO Live'!$M$5="Auto",IF(ISNUMBER(G500),G500,"unavailable"),"unavailable")))</f>
        <v/>
      </c>
      <c r="P500" s="15">
        <f>IF(AND('IPO Live'!$M$5&lt;&gt;"Snapshot",ISNUMBER(K500),N(K500)&gt;0),"Bloomberg",IF(AND('IPO Live'!$M$5&lt;&gt;"Bloomberg",ISNUMBER(G500)),"Snapshot","Unavailable"))</f>
        <v/>
      </c>
      <c r="Q500" s="33">
        <f>IF(AND(P500="Bloomberg",ISNUMBER(L500)),L500,"unavailable")</f>
        <v/>
      </c>
      <c r="R500" s="15">
        <f>IF(OR('IPO Live'!$B$5="All",'IPO Live'!$B$5=C500,AND('IPO Live'!$B$5="A/H only",J500&gt;0)),1,0)</f>
        <v/>
      </c>
      <c r="S500" s="15">
        <f>IF(R500=1,COUNTIF($R$5:R500,1),"")</f>
        <v/>
      </c>
      <c r="T500">
        <f>1</f>
        <v/>
      </c>
      <c r="U500">
        <f>IF($P500="Bloomberg",$M500,$H500)</f>
        <v/>
      </c>
      <c r="AW500">
        <f>IF(AND(J500&gt;0,OR(AH!$I$5="All",AH!$I$5="A/H only",AH!$I$5=C500)),1,0)</f>
        <v/>
      </c>
      <c r="AX500">
        <f>IF(AW500=1,COUNTIF($AW$5:AW500,1),"")</f>
        <v/>
      </c>
      <c r="AY500">
        <f>IF(AH!$M$5="Snapshot",IF(ISNUMBER(G500),G500,"unavailable"),IF(AND(ISNUMBER(K500),N(K500)&gt;0),K500,IF(AH!$M$5="Auto",IF(ISNUMBER(G500),G500,"unavailable"),"unavailable")))</f>
        <v/>
      </c>
      <c r="AZ500">
        <f>IF(AND(AH!$M$5&lt;&gt;"Snapshot",ISNUMBER(K500),N(K500)&gt;0),"Bloomberg",IF(AND(AH!$M$5&lt;&gt;"Bloomberg",ISNUMBER(G500)),"Snapshot","Unavailable"))</f>
        <v/>
      </c>
      <c r="BA500">
        <f>IF(AZ500="Bloomberg",M500,H500)</f>
        <v/>
      </c>
      <c r="BB500">
        <f>1</f>
        <v/>
      </c>
    </row>
    <row r="501">
      <c r="A501" s="31" t="inlineStr">
        <is>
          <t>6626</t>
        </is>
      </c>
      <c r="B501" s="15" t="inlineStr">
        <is>
          <t>YUEXIU SERVICES</t>
        </is>
      </c>
      <c r="C501" s="15" t="inlineStr">
        <is>
          <t>Real Estate</t>
        </is>
      </c>
      <c r="D501" s="15" t="inlineStr">
        <is>
          <t>Property management</t>
        </is>
      </c>
      <c r="E501" s="34" t="n">
        <v>44375</v>
      </c>
      <c r="F501" s="15" t="n">
        <v>4.88</v>
      </c>
      <c r="G501" s="15" t="n">
        <v>1.765</v>
      </c>
      <c r="H501" s="34" t="n">
        <v>46297</v>
      </c>
      <c r="I501" s="31" t="n"/>
      <c r="J501" s="15" t="n">
        <v>0</v>
      </c>
      <c r="K501" s="15">
        <f>IF(AND(AH!$M$5="Snapshot",'IPO Live'!$M$5="Snapshot"),"",IFERROR(BDP(TEXT(VALUE($A501),"0")&amp;" HK Equity","PX_LAST"),""))</f>
        <v/>
      </c>
      <c r="L501" s="15">
        <f>IF(AND(AH!$M$5="Snapshot",'IPO Live'!$M$5="Snapshot"),"",IFERROR(BDP(TEXT(VALUE($A501),"0")&amp;" HK Equity","CHG_PCT_1D")/100,""))</f>
        <v/>
      </c>
      <c r="M501" s="15">
        <f>IF(AND(AH!$M$5="Snapshot",'IPO Live'!$M$5="Snapshot"),"",IFERROR(BDP(TEXT(VALUE($A501),"0")&amp;" HK Equity","LAST_UPDATE_DT"),""))</f>
        <v/>
      </c>
      <c r="N501" s="15">
        <f>IF(AND(AH!$M$5="Snapshot",'IPO Live'!$M$5="Snapshot"),"",IFERROR(BDP(TEXT(VALUE($A501),"0")&amp;" HK Equity","LAST_UPDATE"),""))</f>
        <v/>
      </c>
      <c r="O501" s="15">
        <f>IF('IPO Live'!$M$5="Snapshot",IF(ISNUMBER(G501),G501,"unavailable"),IF(AND(ISNUMBER(K501),N(K501)&gt;0),K501,IF('IPO Live'!$M$5="Auto",IF(ISNUMBER(G501),G501,"unavailable"),"unavailable")))</f>
        <v/>
      </c>
      <c r="P501" s="15">
        <f>IF(AND('IPO Live'!$M$5&lt;&gt;"Snapshot",ISNUMBER(K501),N(K501)&gt;0),"Bloomberg",IF(AND('IPO Live'!$M$5&lt;&gt;"Bloomberg",ISNUMBER(G501)),"Snapshot","Unavailable"))</f>
        <v/>
      </c>
      <c r="Q501" s="33">
        <f>IF(AND(P501="Bloomberg",ISNUMBER(L501)),L501,"unavailable")</f>
        <v/>
      </c>
      <c r="R501" s="15">
        <f>IF(OR('IPO Live'!$B$5="All",'IPO Live'!$B$5=C501,AND('IPO Live'!$B$5="A/H only",J501&gt;0)),1,0)</f>
        <v/>
      </c>
      <c r="S501" s="15">
        <f>IF(R501=1,COUNTIF($R$5:R501,1),"")</f>
        <v/>
      </c>
      <c r="T501">
        <f>1</f>
        <v/>
      </c>
      <c r="U501">
        <f>IF($P501="Bloomberg",$M501,$H501)</f>
        <v/>
      </c>
      <c r="AW501">
        <f>IF(AND(J501&gt;0,OR(AH!$I$5="All",AH!$I$5="A/H only",AH!$I$5=C501)),1,0)</f>
        <v/>
      </c>
      <c r="AX501">
        <f>IF(AW501=1,COUNTIF($AW$5:AW501,1),"")</f>
        <v/>
      </c>
      <c r="AY501">
        <f>IF(AH!$M$5="Snapshot",IF(ISNUMBER(G501),G501,"unavailable"),IF(AND(ISNUMBER(K501),N(K501)&gt;0),K501,IF(AH!$M$5="Auto",IF(ISNUMBER(G501),G501,"unavailable"),"unavailable")))</f>
        <v/>
      </c>
      <c r="AZ501">
        <f>IF(AND(AH!$M$5&lt;&gt;"Snapshot",ISNUMBER(K501),N(K501)&gt;0),"Bloomberg",IF(AND(AH!$M$5&lt;&gt;"Bloomberg",ISNUMBER(G501)),"Snapshot","Unavailable"))</f>
        <v/>
      </c>
      <c r="BA501">
        <f>IF(AZ501="Bloomberg",M501,H501)</f>
        <v/>
      </c>
      <c r="BB501">
        <f>1</f>
        <v/>
      </c>
    </row>
    <row r="502">
      <c r="A502" s="31" t="inlineStr">
        <is>
          <t>9982</t>
        </is>
      </c>
      <c r="B502" s="15" t="inlineStr">
        <is>
          <t>CENTRALCHINA MT</t>
        </is>
      </c>
      <c r="C502" s="15" t="inlineStr">
        <is>
          <t>Real Estate</t>
        </is>
      </c>
      <c r="D502" s="15" t="inlineStr">
        <is>
          <t>Property management</t>
        </is>
      </c>
      <c r="E502" s="34" t="n">
        <v>44347</v>
      </c>
      <c r="F502" s="15" t="n">
        <v>3</v>
      </c>
      <c r="G502" s="15" t="n">
        <v>0.082</v>
      </c>
      <c r="H502" s="34" t="n">
        <v>46297</v>
      </c>
      <c r="I502" s="31" t="n"/>
      <c r="J502" s="15" t="n">
        <v>0</v>
      </c>
      <c r="K502" s="15">
        <f>IF(AND(AH!$M$5="Snapshot",'IPO Live'!$M$5="Snapshot"),"",IFERROR(BDP(TEXT(VALUE($A502),"0")&amp;" HK Equity","PX_LAST"),""))</f>
        <v/>
      </c>
      <c r="L502" s="15">
        <f>IF(AND(AH!$M$5="Snapshot",'IPO Live'!$M$5="Snapshot"),"",IFERROR(BDP(TEXT(VALUE($A502),"0")&amp;" HK Equity","CHG_PCT_1D")/100,""))</f>
        <v/>
      </c>
      <c r="M502" s="15">
        <f>IF(AND(AH!$M$5="Snapshot",'IPO Live'!$M$5="Snapshot"),"",IFERROR(BDP(TEXT(VALUE($A502),"0")&amp;" HK Equity","LAST_UPDATE_DT"),""))</f>
        <v/>
      </c>
      <c r="N502" s="15">
        <f>IF(AND(AH!$M$5="Snapshot",'IPO Live'!$M$5="Snapshot"),"",IFERROR(BDP(TEXT(VALUE($A502),"0")&amp;" HK Equity","LAST_UPDATE"),""))</f>
        <v/>
      </c>
      <c r="O502" s="15">
        <f>IF('IPO Live'!$M$5="Snapshot",IF(ISNUMBER(G502),G502,"unavailable"),IF(AND(ISNUMBER(K502),N(K502)&gt;0),K502,IF('IPO Live'!$M$5="Auto",IF(ISNUMBER(G502),G502,"unavailable"),"unavailable")))</f>
        <v/>
      </c>
      <c r="P502" s="15">
        <f>IF(AND('IPO Live'!$M$5&lt;&gt;"Snapshot",ISNUMBER(K502),N(K502)&gt;0),"Bloomberg",IF(AND('IPO Live'!$M$5&lt;&gt;"Bloomberg",ISNUMBER(G502)),"Snapshot","Unavailable"))</f>
        <v/>
      </c>
      <c r="Q502" s="33">
        <f>IF(AND(P502="Bloomberg",ISNUMBER(L502)),L502,"unavailable")</f>
        <v/>
      </c>
      <c r="R502" s="15">
        <f>IF(OR('IPO Live'!$B$5="All",'IPO Live'!$B$5=C502,AND('IPO Live'!$B$5="A/H only",J502&gt;0)),1,0)</f>
        <v/>
      </c>
      <c r="S502" s="15">
        <f>IF(R502=1,COUNTIF($R$5:R502,1),"")</f>
        <v/>
      </c>
      <c r="T502">
        <f>1</f>
        <v/>
      </c>
      <c r="U502">
        <f>IF($P502="Bloomberg",$M502,$H502)</f>
        <v/>
      </c>
      <c r="AW502">
        <f>IF(AND(J502&gt;0,OR(AH!$I$5="All",AH!$I$5="A/H only",AH!$I$5=C502)),1,0)</f>
        <v/>
      </c>
      <c r="AX502">
        <f>IF(AW502=1,COUNTIF($AW$5:AW502,1),"")</f>
        <v/>
      </c>
      <c r="AY502">
        <f>IF(AH!$M$5="Snapshot",IF(ISNUMBER(G502),G502,"unavailable"),IF(AND(ISNUMBER(K502),N(K502)&gt;0),K502,IF(AH!$M$5="Auto",IF(ISNUMBER(G502),G502,"unavailable"),"unavailable")))</f>
        <v/>
      </c>
      <c r="AZ502">
        <f>IF(AND(AH!$M$5&lt;&gt;"Snapshot",ISNUMBER(K502),N(K502)&gt;0),"Bloomberg",IF(AND(AH!$M$5&lt;&gt;"Bloomberg",ISNUMBER(G502)),"Snapshot","Unavailable"))</f>
        <v/>
      </c>
      <c r="BA502">
        <f>IF(AZ502="Bloomberg",M502,H502)</f>
        <v/>
      </c>
      <c r="BB502">
        <f>1</f>
        <v/>
      </c>
    </row>
    <row r="503">
      <c r="A503" s="31" t="inlineStr">
        <is>
          <t>3658</t>
        </is>
      </c>
      <c r="B503" s="15" t="inlineStr">
        <is>
          <t>NEW HOPE SERV</t>
        </is>
      </c>
      <c r="C503" s="15" t="inlineStr">
        <is>
          <t>Real Estate</t>
        </is>
      </c>
      <c r="D503" s="15" t="inlineStr">
        <is>
          <t>Property management</t>
        </is>
      </c>
      <c r="E503" s="34" t="n">
        <v>44341</v>
      </c>
      <c r="F503" s="15" t="n">
        <v>3.8</v>
      </c>
      <c r="G503" s="15" t="n">
        <v>1.645</v>
      </c>
      <c r="H503" s="34" t="n">
        <v>46297</v>
      </c>
      <c r="I503" s="31" t="n"/>
      <c r="J503" s="15" t="n">
        <v>0</v>
      </c>
      <c r="K503" s="15">
        <f>IF(AND(AH!$M$5="Snapshot",'IPO Live'!$M$5="Snapshot"),"",IFERROR(BDP(TEXT(VALUE($A503),"0")&amp;" HK Equity","PX_LAST"),""))</f>
        <v/>
      </c>
      <c r="L503" s="15">
        <f>IF(AND(AH!$M$5="Snapshot",'IPO Live'!$M$5="Snapshot"),"",IFERROR(BDP(TEXT(VALUE($A503),"0")&amp;" HK Equity","CHG_PCT_1D")/100,""))</f>
        <v/>
      </c>
      <c r="M503" s="15">
        <f>IF(AND(AH!$M$5="Snapshot",'IPO Live'!$M$5="Snapshot"),"",IFERROR(BDP(TEXT(VALUE($A503),"0")&amp;" HK Equity","LAST_UPDATE_DT"),""))</f>
        <v/>
      </c>
      <c r="N503" s="15">
        <f>IF(AND(AH!$M$5="Snapshot",'IPO Live'!$M$5="Snapshot"),"",IFERROR(BDP(TEXT(VALUE($A503),"0")&amp;" HK Equity","LAST_UPDATE"),""))</f>
        <v/>
      </c>
      <c r="O503" s="15">
        <f>IF('IPO Live'!$M$5="Snapshot",IF(ISNUMBER(G503),G503,"unavailable"),IF(AND(ISNUMBER(K503),N(K503)&gt;0),K503,IF('IPO Live'!$M$5="Auto",IF(ISNUMBER(G503),G503,"unavailable"),"unavailable")))</f>
        <v/>
      </c>
      <c r="P503" s="15">
        <f>IF(AND('IPO Live'!$M$5&lt;&gt;"Snapshot",ISNUMBER(K503),N(K503)&gt;0),"Bloomberg",IF(AND('IPO Live'!$M$5&lt;&gt;"Bloomberg",ISNUMBER(G503)),"Snapshot","Unavailable"))</f>
        <v/>
      </c>
      <c r="Q503" s="33">
        <f>IF(AND(P503="Bloomberg",ISNUMBER(L503)),L503,"unavailable")</f>
        <v/>
      </c>
      <c r="R503" s="15">
        <f>IF(OR('IPO Live'!$B$5="All",'IPO Live'!$B$5=C503,AND('IPO Live'!$B$5="A/H only",J503&gt;0)),1,0)</f>
        <v/>
      </c>
      <c r="S503" s="15">
        <f>IF(R503=1,COUNTIF($R$5:R503,1),"")</f>
        <v/>
      </c>
      <c r="T503">
        <f>1</f>
        <v/>
      </c>
      <c r="U503">
        <f>IF($P503="Bloomberg",$M503,$H503)</f>
        <v/>
      </c>
      <c r="AW503">
        <f>IF(AND(J503&gt;0,OR(AH!$I$5="All",AH!$I$5="A/H only",AH!$I$5=C503)),1,0)</f>
        <v/>
      </c>
      <c r="AX503">
        <f>IF(AW503=1,COUNTIF($AW$5:AW503,1),"")</f>
        <v/>
      </c>
      <c r="AY503">
        <f>IF(AH!$M$5="Snapshot",IF(ISNUMBER(G503),G503,"unavailable"),IF(AND(ISNUMBER(K503),N(K503)&gt;0),K503,IF(AH!$M$5="Auto",IF(ISNUMBER(G503),G503,"unavailable"),"unavailable")))</f>
        <v/>
      </c>
      <c r="AZ503">
        <f>IF(AND(AH!$M$5&lt;&gt;"Snapshot",ISNUMBER(K503),N(K503)&gt;0),"Bloomberg",IF(AND(AH!$M$5&lt;&gt;"Bloomberg",ISNUMBER(G503)),"Snapshot","Unavailable"))</f>
        <v/>
      </c>
      <c r="BA503">
        <f>IF(AZ503="Bloomberg",M503,H503)</f>
        <v/>
      </c>
      <c r="BB503">
        <f>1</f>
        <v/>
      </c>
    </row>
    <row r="504">
      <c r="A504" s="31" t="inlineStr">
        <is>
          <t>2191</t>
        </is>
      </c>
      <c r="B504" s="15" t="inlineStr">
        <is>
          <t>SF REIT</t>
        </is>
      </c>
      <c r="C504" s="15" t="inlineStr">
        <is>
          <t>Real Estate</t>
        </is>
      </c>
      <c r="D504" s="15" t="inlineStr">
        <is>
          <t>REITs / asset-light</t>
        </is>
      </c>
      <c r="E504" s="34" t="n">
        <v>44333</v>
      </c>
      <c r="F504" s="15" t="n">
        <v>4.98</v>
      </c>
      <c r="G504" s="15" t="n">
        <v>2.535</v>
      </c>
      <c r="H504" s="34" t="n">
        <v>46297</v>
      </c>
      <c r="I504" s="31" t="n"/>
      <c r="J504" s="15" t="n">
        <v>0</v>
      </c>
      <c r="K504" s="15">
        <f>IF(AND(AH!$M$5="Snapshot",'IPO Live'!$M$5="Snapshot"),"",IFERROR(BDP(TEXT(VALUE($A504),"0")&amp;" HK Equity","PX_LAST"),""))</f>
        <v/>
      </c>
      <c r="L504" s="15">
        <f>IF(AND(AH!$M$5="Snapshot",'IPO Live'!$M$5="Snapshot"),"",IFERROR(BDP(TEXT(VALUE($A504),"0")&amp;" HK Equity","CHG_PCT_1D")/100,""))</f>
        <v/>
      </c>
      <c r="M504" s="15">
        <f>IF(AND(AH!$M$5="Snapshot",'IPO Live'!$M$5="Snapshot"),"",IFERROR(BDP(TEXT(VALUE($A504),"0")&amp;" HK Equity","LAST_UPDATE_DT"),""))</f>
        <v/>
      </c>
      <c r="N504" s="15">
        <f>IF(AND(AH!$M$5="Snapshot",'IPO Live'!$M$5="Snapshot"),"",IFERROR(BDP(TEXT(VALUE($A504),"0")&amp;" HK Equity","LAST_UPDATE"),""))</f>
        <v/>
      </c>
      <c r="O504" s="15">
        <f>IF('IPO Live'!$M$5="Snapshot",IF(ISNUMBER(G504),G504,"unavailable"),IF(AND(ISNUMBER(K504),N(K504)&gt;0),K504,IF('IPO Live'!$M$5="Auto",IF(ISNUMBER(G504),G504,"unavailable"),"unavailable")))</f>
        <v/>
      </c>
      <c r="P504" s="15">
        <f>IF(AND('IPO Live'!$M$5&lt;&gt;"Snapshot",ISNUMBER(K504),N(K504)&gt;0),"Bloomberg",IF(AND('IPO Live'!$M$5&lt;&gt;"Bloomberg",ISNUMBER(G504)),"Snapshot","Unavailable"))</f>
        <v/>
      </c>
      <c r="Q504" s="33">
        <f>IF(AND(P504="Bloomberg",ISNUMBER(L504)),L504,"unavailable")</f>
        <v/>
      </c>
      <c r="R504" s="15">
        <f>IF(OR('IPO Live'!$B$5="All",'IPO Live'!$B$5=C504,AND('IPO Live'!$B$5="A/H only",J504&gt;0)),1,0)</f>
        <v/>
      </c>
      <c r="S504" s="15">
        <f>IF(R504=1,COUNTIF($R$5:R504,1),"")</f>
        <v/>
      </c>
      <c r="T504">
        <f>1</f>
        <v/>
      </c>
      <c r="U504">
        <f>IF($P504="Bloomberg",$M504,$H504)</f>
        <v/>
      </c>
      <c r="AW504">
        <f>IF(AND(J504&gt;0,OR(AH!$I$5="All",AH!$I$5="A/H only",AH!$I$5=C504)),1,0)</f>
        <v/>
      </c>
      <c r="AX504">
        <f>IF(AW504=1,COUNTIF($AW$5:AW504,1),"")</f>
        <v/>
      </c>
      <c r="AY504">
        <f>IF(AH!$M$5="Snapshot",IF(ISNUMBER(G504),G504,"unavailable"),IF(AND(ISNUMBER(K504),N(K504)&gt;0),K504,IF(AH!$M$5="Auto",IF(ISNUMBER(G504),G504,"unavailable"),"unavailable")))</f>
        <v/>
      </c>
      <c r="AZ504">
        <f>IF(AND(AH!$M$5&lt;&gt;"Snapshot",ISNUMBER(K504),N(K504)&gt;0),"Bloomberg",IF(AND(AH!$M$5&lt;&gt;"Bloomberg",ISNUMBER(G504)),"Snapshot","Unavailable"))</f>
        <v/>
      </c>
      <c r="BA504">
        <f>IF(AZ504="Bloomberg",M504,H504)</f>
        <v/>
      </c>
      <c r="BB504">
        <f>1</f>
        <v/>
      </c>
    </row>
    <row r="505">
      <c r="A505" s="31" t="inlineStr">
        <is>
          <t>6668</t>
        </is>
      </c>
      <c r="B505" s="15" t="inlineStr">
        <is>
          <t>E-STAR CM</t>
        </is>
      </c>
      <c r="C505" s="15" t="inlineStr">
        <is>
          <t>Real Estate</t>
        </is>
      </c>
      <c r="D505" s="15" t="inlineStr">
        <is>
          <t>Property management</t>
        </is>
      </c>
      <c r="E505" s="34" t="n">
        <v>44222</v>
      </c>
      <c r="F505" s="15" t="n">
        <v>3.86</v>
      </c>
      <c r="G505" s="15" t="n">
        <v>1.385</v>
      </c>
      <c r="H505" s="34" t="n">
        <v>46297</v>
      </c>
      <c r="I505" s="31" t="n"/>
      <c r="J505" s="15" t="n">
        <v>0</v>
      </c>
      <c r="K505" s="15">
        <f>IF(AND(AH!$M$5="Snapshot",'IPO Live'!$M$5="Snapshot"),"",IFERROR(BDP(TEXT(VALUE($A505),"0")&amp;" HK Equity","PX_LAST"),""))</f>
        <v/>
      </c>
      <c r="L505" s="15">
        <f>IF(AND(AH!$M$5="Snapshot",'IPO Live'!$M$5="Snapshot"),"",IFERROR(BDP(TEXT(VALUE($A505),"0")&amp;" HK Equity","CHG_PCT_1D")/100,""))</f>
        <v/>
      </c>
      <c r="M505" s="15">
        <f>IF(AND(AH!$M$5="Snapshot",'IPO Live'!$M$5="Snapshot"),"",IFERROR(BDP(TEXT(VALUE($A505),"0")&amp;" HK Equity","LAST_UPDATE_DT"),""))</f>
        <v/>
      </c>
      <c r="N505" s="15">
        <f>IF(AND(AH!$M$5="Snapshot",'IPO Live'!$M$5="Snapshot"),"",IFERROR(BDP(TEXT(VALUE($A505),"0")&amp;" HK Equity","LAST_UPDATE"),""))</f>
        <v/>
      </c>
      <c r="O505" s="15">
        <f>IF('IPO Live'!$M$5="Snapshot",IF(ISNUMBER(G505),G505,"unavailable"),IF(AND(ISNUMBER(K505),N(K505)&gt;0),K505,IF('IPO Live'!$M$5="Auto",IF(ISNUMBER(G505),G505,"unavailable"),"unavailable")))</f>
        <v/>
      </c>
      <c r="P505" s="15">
        <f>IF(AND('IPO Live'!$M$5&lt;&gt;"Snapshot",ISNUMBER(K505),N(K505)&gt;0),"Bloomberg",IF(AND('IPO Live'!$M$5&lt;&gt;"Bloomberg",ISNUMBER(G505)),"Snapshot","Unavailable"))</f>
        <v/>
      </c>
      <c r="Q505" s="33">
        <f>IF(AND(P505="Bloomberg",ISNUMBER(L505)),L505,"unavailable")</f>
        <v/>
      </c>
      <c r="R505" s="15">
        <f>IF(OR('IPO Live'!$B$5="All",'IPO Live'!$B$5=C505,AND('IPO Live'!$B$5="A/H only",J505&gt;0)),1,0)</f>
        <v/>
      </c>
      <c r="S505" s="15">
        <f>IF(R505=1,COUNTIF($R$5:R505,1),"")</f>
        <v/>
      </c>
      <c r="T505">
        <f>1</f>
        <v/>
      </c>
      <c r="U505">
        <f>IF($P505="Bloomberg",$M505,$H505)</f>
        <v/>
      </c>
      <c r="AW505">
        <f>IF(AND(J505&gt;0,OR(AH!$I$5="All",AH!$I$5="A/H only",AH!$I$5=C505)),1,0)</f>
        <v/>
      </c>
      <c r="AX505">
        <f>IF(AW505=1,COUNTIF($AW$5:AW505,1),"")</f>
        <v/>
      </c>
      <c r="AY505">
        <f>IF(AH!$M$5="Snapshot",IF(ISNUMBER(G505),G505,"unavailable"),IF(AND(ISNUMBER(K505),N(K505)&gt;0),K505,IF(AH!$M$5="Auto",IF(ISNUMBER(G505),G505,"unavailable"),"unavailable")))</f>
        <v/>
      </c>
      <c r="AZ505">
        <f>IF(AND(AH!$M$5&lt;&gt;"Snapshot",ISNUMBER(K505),N(K505)&gt;0),"Bloomberg",IF(AND(AH!$M$5&lt;&gt;"Bloomberg",ISNUMBER(G505)),"Snapshot","Unavailable"))</f>
        <v/>
      </c>
      <c r="BA505">
        <f>IF(AZ505="Bloomberg",M505,H505)</f>
        <v/>
      </c>
      <c r="BB505">
        <f>1</f>
        <v/>
      </c>
    </row>
    <row r="506">
      <c r="A506" s="31" t="inlineStr">
        <is>
          <t>9608</t>
        </is>
      </c>
      <c r="B506" s="15" t="inlineStr">
        <is>
          <t>SUNDY SERVICE</t>
        </is>
      </c>
      <c r="C506" s="15" t="inlineStr">
        <is>
          <t>Real Estate</t>
        </is>
      </c>
      <c r="D506" s="15" t="inlineStr">
        <is>
          <t>Property management</t>
        </is>
      </c>
      <c r="E506" s="34" t="n">
        <v>44214</v>
      </c>
      <c r="F506" s="15" t="n">
        <v>0.25</v>
      </c>
      <c r="G506" s="15" t="n">
        <v>0.05</v>
      </c>
      <c r="H506" s="34" t="n">
        <v>46297</v>
      </c>
      <c r="I506" s="31" t="n"/>
      <c r="J506" s="15" t="n">
        <v>0</v>
      </c>
      <c r="K506" s="15">
        <f>IF(AND(AH!$M$5="Snapshot",'IPO Live'!$M$5="Snapshot"),"",IFERROR(BDP(TEXT(VALUE($A506),"0")&amp;" HK Equity","PX_LAST"),""))</f>
        <v/>
      </c>
      <c r="L506" s="15">
        <f>IF(AND(AH!$M$5="Snapshot",'IPO Live'!$M$5="Snapshot"),"",IFERROR(BDP(TEXT(VALUE($A506),"0")&amp;" HK Equity","CHG_PCT_1D")/100,""))</f>
        <v/>
      </c>
      <c r="M506" s="15">
        <f>IF(AND(AH!$M$5="Snapshot",'IPO Live'!$M$5="Snapshot"),"",IFERROR(BDP(TEXT(VALUE($A506),"0")&amp;" HK Equity","LAST_UPDATE_DT"),""))</f>
        <v/>
      </c>
      <c r="N506" s="15">
        <f>IF(AND(AH!$M$5="Snapshot",'IPO Live'!$M$5="Snapshot"),"",IFERROR(BDP(TEXT(VALUE($A506),"0")&amp;" HK Equity","LAST_UPDATE"),""))</f>
        <v/>
      </c>
      <c r="O506" s="15">
        <f>IF('IPO Live'!$M$5="Snapshot",IF(ISNUMBER(G506),G506,"unavailable"),IF(AND(ISNUMBER(K506),N(K506)&gt;0),K506,IF('IPO Live'!$M$5="Auto",IF(ISNUMBER(G506),G506,"unavailable"),"unavailable")))</f>
        <v/>
      </c>
      <c r="P506" s="15">
        <f>IF(AND('IPO Live'!$M$5&lt;&gt;"Snapshot",ISNUMBER(K506),N(K506)&gt;0),"Bloomberg",IF(AND('IPO Live'!$M$5&lt;&gt;"Bloomberg",ISNUMBER(G506)),"Snapshot","Unavailable"))</f>
        <v/>
      </c>
      <c r="Q506" s="33">
        <f>IF(AND(P506="Bloomberg",ISNUMBER(L506)),L506,"unavailable")</f>
        <v/>
      </c>
      <c r="R506" s="15">
        <f>IF(OR('IPO Live'!$B$5="All",'IPO Live'!$B$5=C506,AND('IPO Live'!$B$5="A/H only",J506&gt;0)),1,0)</f>
        <v/>
      </c>
      <c r="S506" s="15">
        <f>IF(R506=1,COUNTIF($R$5:R506,1),"")</f>
        <v/>
      </c>
      <c r="T506">
        <f>1</f>
        <v/>
      </c>
      <c r="U506">
        <f>IF($P506="Bloomberg",$M506,$H506)</f>
        <v/>
      </c>
      <c r="AW506">
        <f>IF(AND(J506&gt;0,OR(AH!$I$5="All",AH!$I$5="A/H only",AH!$I$5=C506)),1,0)</f>
        <v/>
      </c>
      <c r="AX506">
        <f>IF(AW506=1,COUNTIF($AW$5:AW506,1),"")</f>
        <v/>
      </c>
      <c r="AY506">
        <f>IF(AH!$M$5="Snapshot",IF(ISNUMBER(G506),G506,"unavailable"),IF(AND(ISNUMBER(K506),N(K506)&gt;0),K506,IF(AH!$M$5="Auto",IF(ISNUMBER(G506),G506,"unavailable"),"unavailable")))</f>
        <v/>
      </c>
      <c r="AZ506">
        <f>IF(AND(AH!$M$5&lt;&gt;"Snapshot",ISNUMBER(K506),N(K506)&gt;0),"Bloomberg",IF(AND(AH!$M$5&lt;&gt;"Bloomberg",ISNUMBER(G506)),"Snapshot","Unavailable"))</f>
        <v/>
      </c>
      <c r="BA506">
        <f>IF(AZ506="Bloomberg",M506,H506)</f>
        <v/>
      </c>
      <c r="BB506">
        <f>1</f>
        <v/>
      </c>
    </row>
    <row r="507">
      <c r="A507" s="31" t="inlineStr">
        <is>
          <t>2146</t>
        </is>
      </c>
      <c r="B507" s="15" t="inlineStr">
        <is>
          <t>ROISERV</t>
        </is>
      </c>
      <c r="C507" s="15" t="inlineStr">
        <is>
          <t>Real Estate</t>
        </is>
      </c>
      <c r="D507" s="15" t="inlineStr">
        <is>
          <t>Property management</t>
        </is>
      </c>
      <c r="E507" s="34" t="n">
        <v>44211</v>
      </c>
      <c r="F507" s="15" t="n">
        <v>13.46</v>
      </c>
      <c r="G507" s="15" t="n">
        <v>1.8</v>
      </c>
      <c r="H507" s="34" t="n">
        <v>46297</v>
      </c>
      <c r="I507" s="31" t="n"/>
      <c r="J507" s="15" t="n">
        <v>0</v>
      </c>
      <c r="K507" s="15">
        <f>IF(AND(AH!$M$5="Snapshot",'IPO Live'!$M$5="Snapshot"),"",IFERROR(BDP(TEXT(VALUE($A507),"0")&amp;" HK Equity","PX_LAST"),""))</f>
        <v/>
      </c>
      <c r="L507" s="15">
        <f>IF(AND(AH!$M$5="Snapshot",'IPO Live'!$M$5="Snapshot"),"",IFERROR(BDP(TEXT(VALUE($A507),"0")&amp;" HK Equity","CHG_PCT_1D")/100,""))</f>
        <v/>
      </c>
      <c r="M507" s="15">
        <f>IF(AND(AH!$M$5="Snapshot",'IPO Live'!$M$5="Snapshot"),"",IFERROR(BDP(TEXT(VALUE($A507),"0")&amp;" HK Equity","LAST_UPDATE_DT"),""))</f>
        <v/>
      </c>
      <c r="N507" s="15">
        <f>IF(AND(AH!$M$5="Snapshot",'IPO Live'!$M$5="Snapshot"),"",IFERROR(BDP(TEXT(VALUE($A507),"0")&amp;" HK Equity","LAST_UPDATE"),""))</f>
        <v/>
      </c>
      <c r="O507" s="15">
        <f>IF('IPO Live'!$M$5="Snapshot",IF(ISNUMBER(G507),G507,"unavailable"),IF(AND(ISNUMBER(K507),N(K507)&gt;0),K507,IF('IPO Live'!$M$5="Auto",IF(ISNUMBER(G507),G507,"unavailable"),"unavailable")))</f>
        <v/>
      </c>
      <c r="P507" s="15">
        <f>IF(AND('IPO Live'!$M$5&lt;&gt;"Snapshot",ISNUMBER(K507),N(K507)&gt;0),"Bloomberg",IF(AND('IPO Live'!$M$5&lt;&gt;"Bloomberg",ISNUMBER(G507)),"Snapshot","Unavailable"))</f>
        <v/>
      </c>
      <c r="Q507" s="33">
        <f>IF(AND(P507="Bloomberg",ISNUMBER(L507)),L507,"unavailable")</f>
        <v/>
      </c>
      <c r="R507" s="15">
        <f>IF(OR('IPO Live'!$B$5="All",'IPO Live'!$B$5=C507,AND('IPO Live'!$B$5="A/H only",J507&gt;0)),1,0)</f>
        <v/>
      </c>
      <c r="S507" s="15">
        <f>IF(R507=1,COUNTIF($R$5:R507,1),"")</f>
        <v/>
      </c>
      <c r="T507">
        <f>1</f>
        <v/>
      </c>
      <c r="U507">
        <f>IF($P507="Bloomberg",$M507,$H507)</f>
        <v/>
      </c>
      <c r="AW507">
        <f>IF(AND(J507&gt;0,OR(AH!$I$5="All",AH!$I$5="A/H only",AH!$I$5=C507)),1,0)</f>
        <v/>
      </c>
      <c r="AX507">
        <f>IF(AW507=1,COUNTIF($AW$5:AW507,1),"")</f>
        <v/>
      </c>
      <c r="AY507">
        <f>IF(AH!$M$5="Snapshot",IF(ISNUMBER(G507),G507,"unavailable"),IF(AND(ISNUMBER(K507),N(K507)&gt;0),K507,IF(AH!$M$5="Auto",IF(ISNUMBER(G507),G507,"unavailable"),"unavailable")))</f>
        <v/>
      </c>
      <c r="AZ507">
        <f>IF(AND(AH!$M$5&lt;&gt;"Snapshot",ISNUMBER(K507),N(K507)&gt;0),"Bloomberg",IF(AND(AH!$M$5&lt;&gt;"Bloomberg",ISNUMBER(G507)),"Snapshot","Unavailable"))</f>
        <v/>
      </c>
      <c r="BA507">
        <f>IF(AZ507="Bloomberg",M507,H507)</f>
        <v/>
      </c>
      <c r="BB507">
        <f>1</f>
        <v/>
      </c>
    </row>
    <row r="508">
      <c r="A508" s="31" t="inlineStr">
        <is>
          <t>2695</t>
        </is>
      </c>
      <c r="B508" s="15" t="inlineStr">
        <is>
          <t>IMPRESSION DHP</t>
        </is>
      </c>
      <c r="C508" s="15" t="inlineStr">
        <is>
          <t>TMT-other</t>
        </is>
      </c>
      <c r="D508" s="15" t="inlineStr">
        <is>
          <t>Media / advertising</t>
        </is>
      </c>
      <c r="E508" s="34" t="n">
        <v>46013</v>
      </c>
      <c r="F508" s="15" t="n">
        <v>3.6</v>
      </c>
      <c r="G508" s="15" t="n">
        <v>1.195</v>
      </c>
      <c r="H508" s="34" t="n">
        <v>46297</v>
      </c>
      <c r="I508" s="31" t="n"/>
      <c r="J508" s="15" t="n">
        <v>0</v>
      </c>
      <c r="K508" s="15">
        <f>IF(AND(AH!$M$5="Snapshot",'IPO Live'!$M$5="Snapshot"),"",IFERROR(BDP(TEXT(VALUE($A508),"0")&amp;" HK Equity","PX_LAST"),""))</f>
        <v/>
      </c>
      <c r="L508" s="15">
        <f>IF(AND(AH!$M$5="Snapshot",'IPO Live'!$M$5="Snapshot"),"",IFERROR(BDP(TEXT(VALUE($A508),"0")&amp;" HK Equity","CHG_PCT_1D")/100,""))</f>
        <v/>
      </c>
      <c r="M508" s="15">
        <f>IF(AND(AH!$M$5="Snapshot",'IPO Live'!$M$5="Snapshot"),"",IFERROR(BDP(TEXT(VALUE($A508),"0")&amp;" HK Equity","LAST_UPDATE_DT"),""))</f>
        <v/>
      </c>
      <c r="N508" s="15">
        <f>IF(AND(AH!$M$5="Snapshot",'IPO Live'!$M$5="Snapshot"),"",IFERROR(BDP(TEXT(VALUE($A508),"0")&amp;" HK Equity","LAST_UPDATE"),""))</f>
        <v/>
      </c>
      <c r="O508" s="15">
        <f>IF('IPO Live'!$M$5="Snapshot",IF(ISNUMBER(G508),G508,"unavailable"),IF(AND(ISNUMBER(K508),N(K508)&gt;0),K508,IF('IPO Live'!$M$5="Auto",IF(ISNUMBER(G508),G508,"unavailable"),"unavailable")))</f>
        <v/>
      </c>
      <c r="P508" s="15">
        <f>IF(AND('IPO Live'!$M$5&lt;&gt;"Snapshot",ISNUMBER(K508),N(K508)&gt;0),"Bloomberg",IF(AND('IPO Live'!$M$5&lt;&gt;"Bloomberg",ISNUMBER(G508)),"Snapshot","Unavailable"))</f>
        <v/>
      </c>
      <c r="Q508" s="33">
        <f>IF(AND(P508="Bloomberg",ISNUMBER(L508)),L508,"unavailable")</f>
        <v/>
      </c>
      <c r="R508" s="15">
        <f>IF(OR('IPO Live'!$B$5="All",'IPO Live'!$B$5=C508,AND('IPO Live'!$B$5="A/H only",J508&gt;0)),1,0)</f>
        <v/>
      </c>
      <c r="S508" s="15">
        <f>IF(R508=1,COUNTIF($R$5:R508,1),"")</f>
        <v/>
      </c>
      <c r="T508">
        <f>1</f>
        <v/>
      </c>
      <c r="U508">
        <f>IF($P508="Bloomberg",$M508,$H508)</f>
        <v/>
      </c>
      <c r="AW508">
        <f>IF(AND(J508&gt;0,OR(AH!$I$5="All",AH!$I$5="A/H only",AH!$I$5=C508)),1,0)</f>
        <v/>
      </c>
      <c r="AX508">
        <f>IF(AW508=1,COUNTIF($AW$5:AW508,1),"")</f>
        <v/>
      </c>
      <c r="AY508">
        <f>IF(AH!$M$5="Snapshot",IF(ISNUMBER(G508),G508,"unavailable"),IF(AND(ISNUMBER(K508),N(K508)&gt;0),K508,IF(AH!$M$5="Auto",IF(ISNUMBER(G508),G508,"unavailable"),"unavailable")))</f>
        <v/>
      </c>
      <c r="AZ508">
        <f>IF(AND(AH!$M$5&lt;&gt;"Snapshot",ISNUMBER(K508),N(K508)&gt;0),"Bloomberg",IF(AND(AH!$M$5&lt;&gt;"Bloomberg",ISNUMBER(G508)),"Snapshot","Unavailable"))</f>
        <v/>
      </c>
      <c r="BA508">
        <f>IF(AZ508="Bloomberg",M508,H508)</f>
        <v/>
      </c>
      <c r="BB508">
        <f>1</f>
        <v/>
      </c>
    </row>
    <row r="509">
      <c r="A509" s="31" t="inlineStr">
        <is>
          <t>2495</t>
        </is>
      </c>
      <c r="B509" s="15" t="inlineStr">
        <is>
          <t>VOICECOMM</t>
        </is>
      </c>
      <c r="C509" s="15" t="inlineStr">
        <is>
          <t>TMT-other</t>
        </is>
      </c>
      <c r="D509" s="15" t="inlineStr">
        <is>
          <t>Telecom</t>
        </is>
      </c>
      <c r="E509" s="34" t="n">
        <v>45483</v>
      </c>
      <c r="F509" s="15" t="n">
        <v>152.1</v>
      </c>
      <c r="G509" s="15" t="n">
        <v>26.42</v>
      </c>
      <c r="H509" s="34" t="n">
        <v>46297</v>
      </c>
      <c r="I509" s="31" t="n"/>
      <c r="J509" s="15" t="n">
        <v>0</v>
      </c>
      <c r="K509" s="15">
        <f>IF(AND(AH!$M$5="Snapshot",'IPO Live'!$M$5="Snapshot"),"",IFERROR(BDP(TEXT(VALUE($A509),"0")&amp;" HK Equity","PX_LAST"),""))</f>
        <v/>
      </c>
      <c r="L509" s="15">
        <f>IF(AND(AH!$M$5="Snapshot",'IPO Live'!$M$5="Snapshot"),"",IFERROR(BDP(TEXT(VALUE($A509),"0")&amp;" HK Equity","CHG_PCT_1D")/100,""))</f>
        <v/>
      </c>
      <c r="M509" s="15">
        <f>IF(AND(AH!$M$5="Snapshot",'IPO Live'!$M$5="Snapshot"),"",IFERROR(BDP(TEXT(VALUE($A509),"0")&amp;" HK Equity","LAST_UPDATE_DT"),""))</f>
        <v/>
      </c>
      <c r="N509" s="15">
        <f>IF(AND(AH!$M$5="Snapshot",'IPO Live'!$M$5="Snapshot"),"",IFERROR(BDP(TEXT(VALUE($A509),"0")&amp;" HK Equity","LAST_UPDATE"),""))</f>
        <v/>
      </c>
      <c r="O509" s="15">
        <f>IF('IPO Live'!$M$5="Snapshot",IF(ISNUMBER(G509),G509,"unavailable"),IF(AND(ISNUMBER(K509),N(K509)&gt;0),K509,IF('IPO Live'!$M$5="Auto",IF(ISNUMBER(G509),G509,"unavailable"),"unavailable")))</f>
        <v/>
      </c>
      <c r="P509" s="15">
        <f>IF(AND('IPO Live'!$M$5&lt;&gt;"Snapshot",ISNUMBER(K509),N(K509)&gt;0),"Bloomberg",IF(AND('IPO Live'!$M$5&lt;&gt;"Bloomberg",ISNUMBER(G509)),"Snapshot","Unavailable"))</f>
        <v/>
      </c>
      <c r="Q509" s="33">
        <f>IF(AND(P509="Bloomberg",ISNUMBER(L509)),L509,"unavailable")</f>
        <v/>
      </c>
      <c r="R509" s="15">
        <f>IF(OR('IPO Live'!$B$5="All",'IPO Live'!$B$5=C509,AND('IPO Live'!$B$5="A/H only",J509&gt;0)),1,0)</f>
        <v/>
      </c>
      <c r="S509" s="15">
        <f>IF(R509=1,COUNTIF($R$5:R509,1),"")</f>
        <v/>
      </c>
      <c r="T509">
        <f>1</f>
        <v/>
      </c>
      <c r="U509">
        <f>IF($P509="Bloomberg",$M509,$H509)</f>
        <v/>
      </c>
      <c r="AW509">
        <f>IF(AND(J509&gt;0,OR(AH!$I$5="All",AH!$I$5="A/H only",AH!$I$5=C509)),1,0)</f>
        <v/>
      </c>
      <c r="AX509">
        <f>IF(AW509=1,COUNTIF($AW$5:AW509,1),"")</f>
        <v/>
      </c>
      <c r="AY509">
        <f>IF(AH!$M$5="Snapshot",IF(ISNUMBER(G509),G509,"unavailable"),IF(AND(ISNUMBER(K509),N(K509)&gt;0),K509,IF(AH!$M$5="Auto",IF(ISNUMBER(G509),G509,"unavailable"),"unavailable")))</f>
        <v/>
      </c>
      <c r="AZ509">
        <f>IF(AND(AH!$M$5&lt;&gt;"Snapshot",ISNUMBER(K509),N(K509)&gt;0),"Bloomberg",IF(AND(AH!$M$5&lt;&gt;"Bloomberg",ISNUMBER(G509)),"Snapshot","Unavailable"))</f>
        <v/>
      </c>
      <c r="BA509">
        <f>IF(AZ509="Bloomberg",M509,H509)</f>
        <v/>
      </c>
      <c r="BB509">
        <f>1</f>
        <v/>
      </c>
    </row>
    <row r="510">
      <c r="A510" s="31" t="inlineStr">
        <is>
          <t>2545</t>
        </is>
      </c>
      <c r="B510" s="15" t="inlineStr">
        <is>
          <t>ZHONGGAN COMM</t>
        </is>
      </c>
      <c r="C510" s="15" t="inlineStr">
        <is>
          <t>TMT-other</t>
        </is>
      </c>
      <c r="D510" s="15" t="inlineStr">
        <is>
          <t>Telecom</t>
        </is>
      </c>
      <c r="E510" s="34" t="n">
        <v>45476</v>
      </c>
      <c r="F510" s="15" t="n">
        <v>1.25</v>
      </c>
      <c r="G510" s="15" t="n">
        <v>0.46</v>
      </c>
      <c r="H510" s="34" t="n">
        <v>46297</v>
      </c>
      <c r="I510" s="31" t="n"/>
      <c r="J510" s="15" t="n">
        <v>0</v>
      </c>
      <c r="K510" s="15">
        <f>IF(AND(AH!$M$5="Snapshot",'IPO Live'!$M$5="Snapshot"),"",IFERROR(BDP(TEXT(VALUE($A510),"0")&amp;" HK Equity","PX_LAST"),""))</f>
        <v/>
      </c>
      <c r="L510" s="15">
        <f>IF(AND(AH!$M$5="Snapshot",'IPO Live'!$M$5="Snapshot"),"",IFERROR(BDP(TEXT(VALUE($A510),"0")&amp;" HK Equity","CHG_PCT_1D")/100,""))</f>
        <v/>
      </c>
      <c r="M510" s="15">
        <f>IF(AND(AH!$M$5="Snapshot",'IPO Live'!$M$5="Snapshot"),"",IFERROR(BDP(TEXT(VALUE($A510),"0")&amp;" HK Equity","LAST_UPDATE_DT"),""))</f>
        <v/>
      </c>
      <c r="N510" s="15">
        <f>IF(AND(AH!$M$5="Snapshot",'IPO Live'!$M$5="Snapshot"),"",IFERROR(BDP(TEXT(VALUE($A510),"0")&amp;" HK Equity","LAST_UPDATE"),""))</f>
        <v/>
      </c>
      <c r="O510" s="15">
        <f>IF('IPO Live'!$M$5="Snapshot",IF(ISNUMBER(G510),G510,"unavailable"),IF(AND(ISNUMBER(K510),N(K510)&gt;0),K510,IF('IPO Live'!$M$5="Auto",IF(ISNUMBER(G510),G510,"unavailable"),"unavailable")))</f>
        <v/>
      </c>
      <c r="P510" s="15">
        <f>IF(AND('IPO Live'!$M$5&lt;&gt;"Snapshot",ISNUMBER(K510),N(K510)&gt;0),"Bloomberg",IF(AND('IPO Live'!$M$5&lt;&gt;"Bloomberg",ISNUMBER(G510)),"Snapshot","Unavailable"))</f>
        <v/>
      </c>
      <c r="Q510" s="33">
        <f>IF(AND(P510="Bloomberg",ISNUMBER(L510)),L510,"unavailable")</f>
        <v/>
      </c>
      <c r="R510" s="15">
        <f>IF(OR('IPO Live'!$B$5="All",'IPO Live'!$B$5=C510,AND('IPO Live'!$B$5="A/H only",J510&gt;0)),1,0)</f>
        <v/>
      </c>
      <c r="S510" s="15">
        <f>IF(R510=1,COUNTIF($R$5:R510,1),"")</f>
        <v/>
      </c>
      <c r="T510">
        <f>1</f>
        <v/>
      </c>
      <c r="U510">
        <f>IF($P510="Bloomberg",$M510,$H510)</f>
        <v/>
      </c>
      <c r="AW510">
        <f>IF(AND(J510&gt;0,OR(AH!$I$5="All",AH!$I$5="A/H only",AH!$I$5=C510)),1,0)</f>
        <v/>
      </c>
      <c r="AX510">
        <f>IF(AW510=1,COUNTIF($AW$5:AW510,1),"")</f>
        <v/>
      </c>
      <c r="AY510">
        <f>IF(AH!$M$5="Snapshot",IF(ISNUMBER(G510),G510,"unavailable"),IF(AND(ISNUMBER(K510),N(K510)&gt;0),K510,IF(AH!$M$5="Auto",IF(ISNUMBER(G510),G510,"unavailable"),"unavailable")))</f>
        <v/>
      </c>
      <c r="AZ510">
        <f>IF(AND(AH!$M$5&lt;&gt;"Snapshot",ISNUMBER(K510),N(K510)&gt;0),"Bloomberg",IF(AND(AH!$M$5&lt;&gt;"Bloomberg",ISNUMBER(G510)),"Snapshot","Unavailable"))</f>
        <v/>
      </c>
      <c r="BA510">
        <f>IF(AZ510="Bloomberg",M510,H510)</f>
        <v/>
      </c>
      <c r="BB510">
        <f>1</f>
        <v/>
      </c>
    </row>
    <row r="511">
      <c r="A511" s="31" t="inlineStr">
        <is>
          <t>0917</t>
        </is>
      </c>
      <c r="B511" s="15" t="inlineStr">
        <is>
          <t>QUNABOX GROUP</t>
        </is>
      </c>
      <c r="C511" s="15" t="inlineStr">
        <is>
          <t>TMT-other</t>
        </is>
      </c>
      <c r="D511" s="15" t="inlineStr">
        <is>
          <t>Media / advertising</t>
        </is>
      </c>
      <c r="E511" s="34" t="n">
        <v>45439</v>
      </c>
      <c r="F511" s="15" t="n">
        <v>25</v>
      </c>
      <c r="G511" s="15" t="n">
        <v>7.24</v>
      </c>
      <c r="H511" s="34" t="n">
        <v>46297</v>
      </c>
      <c r="I511" s="31" t="n"/>
      <c r="J511" s="15" t="n">
        <v>0</v>
      </c>
      <c r="K511" s="15">
        <f>IF(AND(AH!$M$5="Snapshot",'IPO Live'!$M$5="Snapshot"),"",IFERROR(BDP(TEXT(VALUE($A511),"0")&amp;" HK Equity","PX_LAST"),""))</f>
        <v/>
      </c>
      <c r="L511" s="15">
        <f>IF(AND(AH!$M$5="Snapshot",'IPO Live'!$M$5="Snapshot"),"",IFERROR(BDP(TEXT(VALUE($A511),"0")&amp;" HK Equity","CHG_PCT_1D")/100,""))</f>
        <v/>
      </c>
      <c r="M511" s="15">
        <f>IF(AND(AH!$M$5="Snapshot",'IPO Live'!$M$5="Snapshot"),"",IFERROR(BDP(TEXT(VALUE($A511),"0")&amp;" HK Equity","LAST_UPDATE_DT"),""))</f>
        <v/>
      </c>
      <c r="N511" s="15">
        <f>IF(AND(AH!$M$5="Snapshot",'IPO Live'!$M$5="Snapshot"),"",IFERROR(BDP(TEXT(VALUE($A511),"0")&amp;" HK Equity","LAST_UPDATE"),""))</f>
        <v/>
      </c>
      <c r="O511" s="15">
        <f>IF('IPO Live'!$M$5="Snapshot",IF(ISNUMBER(G511),G511,"unavailable"),IF(AND(ISNUMBER(K511),N(K511)&gt;0),K511,IF('IPO Live'!$M$5="Auto",IF(ISNUMBER(G511),G511,"unavailable"),"unavailable")))</f>
        <v/>
      </c>
      <c r="P511" s="15">
        <f>IF(AND('IPO Live'!$M$5&lt;&gt;"Snapshot",ISNUMBER(K511),N(K511)&gt;0),"Bloomberg",IF(AND('IPO Live'!$M$5&lt;&gt;"Bloomberg",ISNUMBER(G511)),"Snapshot","Unavailable"))</f>
        <v/>
      </c>
      <c r="Q511" s="33">
        <f>IF(AND(P511="Bloomberg",ISNUMBER(L511)),L511,"unavailable")</f>
        <v/>
      </c>
      <c r="R511" s="15">
        <f>IF(OR('IPO Live'!$B$5="All",'IPO Live'!$B$5=C511,AND('IPO Live'!$B$5="A/H only",J511&gt;0)),1,0)</f>
        <v/>
      </c>
      <c r="S511" s="15">
        <f>IF(R511=1,COUNTIF($R$5:R511,1),"")</f>
        <v/>
      </c>
      <c r="T511">
        <f>1</f>
        <v/>
      </c>
      <c r="U511">
        <f>IF($P511="Bloomberg",$M511,$H511)</f>
        <v/>
      </c>
      <c r="AW511">
        <f>IF(AND(J511&gt;0,OR(AH!$I$5="All",AH!$I$5="A/H only",AH!$I$5=C511)),1,0)</f>
        <v/>
      </c>
      <c r="AX511">
        <f>IF(AW511=1,COUNTIF($AW$5:AW511,1),"")</f>
        <v/>
      </c>
      <c r="AY511">
        <f>IF(AH!$M$5="Snapshot",IF(ISNUMBER(G511),G511,"unavailable"),IF(AND(ISNUMBER(K511),N(K511)&gt;0),K511,IF(AH!$M$5="Auto",IF(ISNUMBER(G511),G511,"unavailable"),"unavailable")))</f>
        <v/>
      </c>
      <c r="AZ511">
        <f>IF(AND(AH!$M$5&lt;&gt;"Snapshot",ISNUMBER(K511),N(K511)&gt;0),"Bloomberg",IF(AND(AH!$M$5&lt;&gt;"Bloomberg",ISNUMBER(G511)),"Snapshot","Unavailable"))</f>
        <v/>
      </c>
      <c r="BA511">
        <f>IF(AZ511="Bloomberg",M511,H511)</f>
        <v/>
      </c>
      <c r="BB511">
        <f>1</f>
        <v/>
      </c>
    </row>
    <row r="512">
      <c r="A512" s="31" t="inlineStr">
        <is>
          <t>2540</t>
        </is>
      </c>
      <c r="B512" s="15" t="inlineStr">
        <is>
          <t>LESI GROUP</t>
        </is>
      </c>
      <c r="C512" s="15" t="inlineStr">
        <is>
          <t>TMT-other</t>
        </is>
      </c>
      <c r="D512" s="15" t="inlineStr">
        <is>
          <t>Media / advertising</t>
        </is>
      </c>
      <c r="E512" s="34" t="n">
        <v>45359</v>
      </c>
      <c r="F512" s="15" t="n">
        <v>1.1</v>
      </c>
      <c r="G512" s="15" t="n">
        <v>0.805</v>
      </c>
      <c r="H512" s="34" t="n">
        <v>46297</v>
      </c>
      <c r="I512" s="31" t="n"/>
      <c r="J512" s="15" t="n">
        <v>0</v>
      </c>
      <c r="K512" s="15">
        <f>IF(AND(AH!$M$5="Snapshot",'IPO Live'!$M$5="Snapshot"),"",IFERROR(BDP(TEXT(VALUE($A512),"0")&amp;" HK Equity","PX_LAST"),""))</f>
        <v/>
      </c>
      <c r="L512" s="15">
        <f>IF(AND(AH!$M$5="Snapshot",'IPO Live'!$M$5="Snapshot"),"",IFERROR(BDP(TEXT(VALUE($A512),"0")&amp;" HK Equity","CHG_PCT_1D")/100,""))</f>
        <v/>
      </c>
      <c r="M512" s="15">
        <f>IF(AND(AH!$M$5="Snapshot",'IPO Live'!$M$5="Snapshot"),"",IFERROR(BDP(TEXT(VALUE($A512),"0")&amp;" HK Equity","LAST_UPDATE_DT"),""))</f>
        <v/>
      </c>
      <c r="N512" s="15">
        <f>IF(AND(AH!$M$5="Snapshot",'IPO Live'!$M$5="Snapshot"),"",IFERROR(BDP(TEXT(VALUE($A512),"0")&amp;" HK Equity","LAST_UPDATE"),""))</f>
        <v/>
      </c>
      <c r="O512" s="15">
        <f>IF('IPO Live'!$M$5="Snapshot",IF(ISNUMBER(G512),G512,"unavailable"),IF(AND(ISNUMBER(K512),N(K512)&gt;0),K512,IF('IPO Live'!$M$5="Auto",IF(ISNUMBER(G512),G512,"unavailable"),"unavailable")))</f>
        <v/>
      </c>
      <c r="P512" s="15">
        <f>IF(AND('IPO Live'!$M$5&lt;&gt;"Snapshot",ISNUMBER(K512),N(K512)&gt;0),"Bloomberg",IF(AND('IPO Live'!$M$5&lt;&gt;"Bloomberg",ISNUMBER(G512)),"Snapshot","Unavailable"))</f>
        <v/>
      </c>
      <c r="Q512" s="33">
        <f>IF(AND(P512="Bloomberg",ISNUMBER(L512)),L512,"unavailable")</f>
        <v/>
      </c>
      <c r="R512" s="15">
        <f>IF(OR('IPO Live'!$B$5="All",'IPO Live'!$B$5=C512,AND('IPO Live'!$B$5="A/H only",J512&gt;0)),1,0)</f>
        <v/>
      </c>
      <c r="S512" s="15">
        <f>IF(R512=1,COUNTIF($R$5:R512,1),"")</f>
        <v/>
      </c>
      <c r="T512">
        <f>1</f>
        <v/>
      </c>
      <c r="U512">
        <f>IF($P512="Bloomberg",$M512,$H512)</f>
        <v/>
      </c>
      <c r="AW512">
        <f>IF(AND(J512&gt;0,OR(AH!$I$5="All",AH!$I$5="A/H only",AH!$I$5=C512)),1,0)</f>
        <v/>
      </c>
      <c r="AX512">
        <f>IF(AW512=1,COUNTIF($AW$5:AW512,1),"")</f>
        <v/>
      </c>
      <c r="AY512">
        <f>IF(AH!$M$5="Snapshot",IF(ISNUMBER(G512),G512,"unavailable"),IF(AND(ISNUMBER(K512),N(K512)&gt;0),K512,IF(AH!$M$5="Auto",IF(ISNUMBER(G512),G512,"unavailable"),"unavailable")))</f>
        <v/>
      </c>
      <c r="AZ512">
        <f>IF(AND(AH!$M$5&lt;&gt;"Snapshot",ISNUMBER(K512),N(K512)&gt;0),"Bloomberg",IF(AND(AH!$M$5&lt;&gt;"Bloomberg",ISNUMBER(G512)),"Snapshot","Unavailable"))</f>
        <v/>
      </c>
      <c r="BA512">
        <f>IF(AZ512="Bloomberg",M512,H512)</f>
        <v/>
      </c>
      <c r="BB512">
        <f>1</f>
        <v/>
      </c>
    </row>
    <row r="513">
      <c r="A513" s="31" t="inlineStr">
        <is>
          <t>9890</t>
        </is>
      </c>
      <c r="B513" s="15" t="inlineStr">
        <is>
          <t>ZX INC</t>
        </is>
      </c>
      <c r="C513" s="15" t="inlineStr">
        <is>
          <t>TMT-other</t>
        </is>
      </c>
      <c r="D513" s="15" t="inlineStr">
        <is>
          <t>Media / advertising</t>
        </is>
      </c>
      <c r="E513" s="34" t="n">
        <v>45197</v>
      </c>
      <c r="F513" s="15" t="n">
        <v>14</v>
      </c>
      <c r="G513" s="15" t="n">
        <v>9.775</v>
      </c>
      <c r="H513" s="34" t="n">
        <v>46297</v>
      </c>
      <c r="I513" s="31" t="n"/>
      <c r="J513" s="15" t="n">
        <v>0</v>
      </c>
      <c r="K513" s="15">
        <f>IF(AND(AH!$M$5="Snapshot",'IPO Live'!$M$5="Snapshot"),"",IFERROR(BDP(TEXT(VALUE($A513),"0")&amp;" HK Equity","PX_LAST"),""))</f>
        <v/>
      </c>
      <c r="L513" s="15">
        <f>IF(AND(AH!$M$5="Snapshot",'IPO Live'!$M$5="Snapshot"),"",IFERROR(BDP(TEXT(VALUE($A513),"0")&amp;" HK Equity","CHG_PCT_1D")/100,""))</f>
        <v/>
      </c>
      <c r="M513" s="15">
        <f>IF(AND(AH!$M$5="Snapshot",'IPO Live'!$M$5="Snapshot"),"",IFERROR(BDP(TEXT(VALUE($A513),"0")&amp;" HK Equity","LAST_UPDATE_DT"),""))</f>
        <v/>
      </c>
      <c r="N513" s="15">
        <f>IF(AND(AH!$M$5="Snapshot",'IPO Live'!$M$5="Snapshot"),"",IFERROR(BDP(TEXT(VALUE($A513),"0")&amp;" HK Equity","LAST_UPDATE"),""))</f>
        <v/>
      </c>
      <c r="O513" s="15">
        <f>IF('IPO Live'!$M$5="Snapshot",IF(ISNUMBER(G513),G513,"unavailable"),IF(AND(ISNUMBER(K513),N(K513)&gt;0),K513,IF('IPO Live'!$M$5="Auto",IF(ISNUMBER(G513),G513,"unavailable"),"unavailable")))</f>
        <v/>
      </c>
      <c r="P513" s="15">
        <f>IF(AND('IPO Live'!$M$5&lt;&gt;"Snapshot",ISNUMBER(K513),N(K513)&gt;0),"Bloomberg",IF(AND('IPO Live'!$M$5&lt;&gt;"Bloomberg",ISNUMBER(G513)),"Snapshot","Unavailable"))</f>
        <v/>
      </c>
      <c r="Q513" s="33">
        <f>IF(AND(P513="Bloomberg",ISNUMBER(L513)),L513,"unavailable")</f>
        <v/>
      </c>
      <c r="R513" s="15">
        <f>IF(OR('IPO Live'!$B$5="All",'IPO Live'!$B$5=C513,AND('IPO Live'!$B$5="A/H only",J513&gt;0)),1,0)</f>
        <v/>
      </c>
      <c r="S513" s="15">
        <f>IF(R513=1,COUNTIF($R$5:R513,1),"")</f>
        <v/>
      </c>
      <c r="T513">
        <f>1</f>
        <v/>
      </c>
      <c r="U513">
        <f>IF($P513="Bloomberg",$M513,$H513)</f>
        <v/>
      </c>
      <c r="AW513">
        <f>IF(AND(J513&gt;0,OR(AH!$I$5="All",AH!$I$5="A/H only",AH!$I$5=C513)),1,0)</f>
        <v/>
      </c>
      <c r="AX513">
        <f>IF(AW513=1,COUNTIF($AW$5:AW513,1),"")</f>
        <v/>
      </c>
      <c r="AY513">
        <f>IF(AH!$M$5="Snapshot",IF(ISNUMBER(G513),G513,"unavailable"),IF(AND(ISNUMBER(K513),N(K513)&gt;0),K513,IF(AH!$M$5="Auto",IF(ISNUMBER(G513),G513,"unavailable"),"unavailable")))</f>
        <v/>
      </c>
      <c r="AZ513">
        <f>IF(AND(AH!$M$5&lt;&gt;"Snapshot",ISNUMBER(K513),N(K513)&gt;0),"Bloomberg",IF(AND(AH!$M$5&lt;&gt;"Bloomberg",ISNUMBER(G513)),"Snapshot","Unavailable"))</f>
        <v/>
      </c>
      <c r="BA513">
        <f>IF(AZ513="Bloomberg",M513,H513)</f>
        <v/>
      </c>
      <c r="BB513">
        <f>1</f>
        <v/>
      </c>
    </row>
    <row r="514">
      <c r="A514" s="31" t="inlineStr">
        <is>
          <t>1284</t>
        </is>
      </c>
      <c r="B514" s="15" t="inlineStr">
        <is>
          <t>NEW MEDIA LAB</t>
        </is>
      </c>
      <c r="C514" s="15" t="inlineStr">
        <is>
          <t>TMT-other</t>
        </is>
      </c>
      <c r="D514" s="15" t="inlineStr">
        <is>
          <t>Media / advertising</t>
        </is>
      </c>
      <c r="E514" s="34" t="n">
        <v>45125</v>
      </c>
      <c r="F514" s="15" t="n">
        <v>0.92</v>
      </c>
      <c r="G514" s="15" t="n">
        <v>0.6</v>
      </c>
      <c r="H514" s="34" t="n">
        <v>46297</v>
      </c>
      <c r="I514" s="31" t="n"/>
      <c r="J514" s="15" t="n">
        <v>0</v>
      </c>
      <c r="K514" s="15">
        <f>IF(AND(AH!$M$5="Snapshot",'IPO Live'!$M$5="Snapshot"),"",IFERROR(BDP(TEXT(VALUE($A514),"0")&amp;" HK Equity","PX_LAST"),""))</f>
        <v/>
      </c>
      <c r="L514" s="15">
        <f>IF(AND(AH!$M$5="Snapshot",'IPO Live'!$M$5="Snapshot"),"",IFERROR(BDP(TEXT(VALUE($A514),"0")&amp;" HK Equity","CHG_PCT_1D")/100,""))</f>
        <v/>
      </c>
      <c r="M514" s="15">
        <f>IF(AND(AH!$M$5="Snapshot",'IPO Live'!$M$5="Snapshot"),"",IFERROR(BDP(TEXT(VALUE($A514),"0")&amp;" HK Equity","LAST_UPDATE_DT"),""))</f>
        <v/>
      </c>
      <c r="N514" s="15">
        <f>IF(AND(AH!$M$5="Snapshot",'IPO Live'!$M$5="Snapshot"),"",IFERROR(BDP(TEXT(VALUE($A514),"0")&amp;" HK Equity","LAST_UPDATE"),""))</f>
        <v/>
      </c>
      <c r="O514" s="15">
        <f>IF('IPO Live'!$M$5="Snapshot",IF(ISNUMBER(G514),G514,"unavailable"),IF(AND(ISNUMBER(K514),N(K514)&gt;0),K514,IF('IPO Live'!$M$5="Auto",IF(ISNUMBER(G514),G514,"unavailable"),"unavailable")))</f>
        <v/>
      </c>
      <c r="P514" s="15">
        <f>IF(AND('IPO Live'!$M$5&lt;&gt;"Snapshot",ISNUMBER(K514),N(K514)&gt;0),"Bloomberg",IF(AND('IPO Live'!$M$5&lt;&gt;"Bloomberg",ISNUMBER(G514)),"Snapshot","Unavailable"))</f>
        <v/>
      </c>
      <c r="Q514" s="33">
        <f>IF(AND(P514="Bloomberg",ISNUMBER(L514)),L514,"unavailable")</f>
        <v/>
      </c>
      <c r="R514" s="15">
        <f>IF(OR('IPO Live'!$B$5="All",'IPO Live'!$B$5=C514,AND('IPO Live'!$B$5="A/H only",J514&gt;0)),1,0)</f>
        <v/>
      </c>
      <c r="S514" s="15">
        <f>IF(R514=1,COUNTIF($R$5:R514,1),"")</f>
        <v/>
      </c>
      <c r="T514">
        <f>1</f>
        <v/>
      </c>
      <c r="U514">
        <f>IF($P514="Bloomberg",$M514,$H514)</f>
        <v/>
      </c>
      <c r="AW514">
        <f>IF(AND(J514&gt;0,OR(AH!$I$5="All",AH!$I$5="A/H only",AH!$I$5=C514)),1,0)</f>
        <v/>
      </c>
      <c r="AX514">
        <f>IF(AW514=1,COUNTIF($AW$5:AW514,1),"")</f>
        <v/>
      </c>
      <c r="AY514">
        <f>IF(AH!$M$5="Snapshot",IF(ISNUMBER(G514),G514,"unavailable"),IF(AND(ISNUMBER(K514),N(K514)&gt;0),K514,IF(AH!$M$5="Auto",IF(ISNUMBER(G514),G514,"unavailable"),"unavailable")))</f>
        <v/>
      </c>
      <c r="AZ514">
        <f>IF(AND(AH!$M$5&lt;&gt;"Snapshot",ISNUMBER(K514),N(K514)&gt;0),"Bloomberg",IF(AND(AH!$M$5&lt;&gt;"Bloomberg",ISNUMBER(G514)),"Snapshot","Unavailable"))</f>
        <v/>
      </c>
      <c r="BA514">
        <f>IF(AZ514="Bloomberg",M514,H514)</f>
        <v/>
      </c>
      <c r="BB514">
        <f>1</f>
        <v/>
      </c>
    </row>
    <row r="515">
      <c r="A515" s="31" t="inlineStr">
        <is>
          <t>6683</t>
        </is>
      </c>
      <c r="B515" s="15" t="inlineStr">
        <is>
          <t>STARPLUS LEGEND</t>
        </is>
      </c>
      <c r="C515" s="15" t="inlineStr">
        <is>
          <t>TMT-other</t>
        </is>
      </c>
      <c r="D515" s="15" t="inlineStr">
        <is>
          <t>Media / advertising</t>
        </is>
      </c>
      <c r="E515" s="34" t="n">
        <v>45120</v>
      </c>
      <c r="F515" s="15" t="n">
        <v>4.25</v>
      </c>
      <c r="G515" s="15" t="n">
        <v>3.735</v>
      </c>
      <c r="H515" s="34" t="n">
        <v>46297</v>
      </c>
      <c r="I515" s="31" t="n"/>
      <c r="J515" s="15" t="n">
        <v>0</v>
      </c>
      <c r="K515" s="15">
        <f>IF(AND(AH!$M$5="Snapshot",'IPO Live'!$M$5="Snapshot"),"",IFERROR(BDP(TEXT(VALUE($A515),"0")&amp;" HK Equity","PX_LAST"),""))</f>
        <v/>
      </c>
      <c r="L515" s="15">
        <f>IF(AND(AH!$M$5="Snapshot",'IPO Live'!$M$5="Snapshot"),"",IFERROR(BDP(TEXT(VALUE($A515),"0")&amp;" HK Equity","CHG_PCT_1D")/100,""))</f>
        <v/>
      </c>
      <c r="M515" s="15">
        <f>IF(AND(AH!$M$5="Snapshot",'IPO Live'!$M$5="Snapshot"),"",IFERROR(BDP(TEXT(VALUE($A515),"0")&amp;" HK Equity","LAST_UPDATE_DT"),""))</f>
        <v/>
      </c>
      <c r="N515" s="15">
        <f>IF(AND(AH!$M$5="Snapshot",'IPO Live'!$M$5="Snapshot"),"",IFERROR(BDP(TEXT(VALUE($A515),"0")&amp;" HK Equity","LAST_UPDATE"),""))</f>
        <v/>
      </c>
      <c r="O515" s="15">
        <f>IF('IPO Live'!$M$5="Snapshot",IF(ISNUMBER(G515),G515,"unavailable"),IF(AND(ISNUMBER(K515),N(K515)&gt;0),K515,IF('IPO Live'!$M$5="Auto",IF(ISNUMBER(G515),G515,"unavailable"),"unavailable")))</f>
        <v/>
      </c>
      <c r="P515" s="15">
        <f>IF(AND('IPO Live'!$M$5&lt;&gt;"Snapshot",ISNUMBER(K515),N(K515)&gt;0),"Bloomberg",IF(AND('IPO Live'!$M$5&lt;&gt;"Bloomberg",ISNUMBER(G515)),"Snapshot","Unavailable"))</f>
        <v/>
      </c>
      <c r="Q515" s="33">
        <f>IF(AND(P515="Bloomberg",ISNUMBER(L515)),L515,"unavailable")</f>
        <v/>
      </c>
      <c r="R515" s="15">
        <f>IF(OR('IPO Live'!$B$5="All",'IPO Live'!$B$5=C515,AND('IPO Live'!$B$5="A/H only",J515&gt;0)),1,0)</f>
        <v/>
      </c>
      <c r="S515" s="15">
        <f>IF(R515=1,COUNTIF($R$5:R515,1),"")</f>
        <v/>
      </c>
      <c r="T515">
        <f>1</f>
        <v/>
      </c>
      <c r="U515">
        <f>IF($P515="Bloomberg",$M515,$H515)</f>
        <v/>
      </c>
      <c r="AW515">
        <f>IF(AND(J515&gt;0,OR(AH!$I$5="All",AH!$I$5="A/H only",AH!$I$5=C515)),1,0)</f>
        <v/>
      </c>
      <c r="AX515">
        <f>IF(AW515=1,COUNTIF($AW$5:AW515,1),"")</f>
        <v/>
      </c>
      <c r="AY515">
        <f>IF(AH!$M$5="Snapshot",IF(ISNUMBER(G515),G515,"unavailable"),IF(AND(ISNUMBER(K515),N(K515)&gt;0),K515,IF(AH!$M$5="Auto",IF(ISNUMBER(G515),G515,"unavailable"),"unavailable")))</f>
        <v/>
      </c>
      <c r="AZ515">
        <f>IF(AND(AH!$M$5&lt;&gt;"Snapshot",ISNUMBER(K515),N(K515)&gt;0),"Bloomberg",IF(AND(AH!$M$5&lt;&gt;"Bloomberg",ISNUMBER(G515)),"Snapshot","Unavailable"))</f>
        <v/>
      </c>
      <c r="BA515">
        <f>IF(AZ515="Bloomberg",M515,H515)</f>
        <v/>
      </c>
      <c r="BB515">
        <f>1</f>
        <v/>
      </c>
    </row>
    <row r="516">
      <c r="A516" s="31" t="inlineStr">
        <is>
          <t>2486</t>
        </is>
      </c>
      <c r="B516" s="15" t="inlineStr">
        <is>
          <t>PLUS GP HOLDING</t>
        </is>
      </c>
      <c r="C516" s="15" t="inlineStr">
        <is>
          <t>TMT-other</t>
        </is>
      </c>
      <c r="D516" s="15" t="inlineStr">
        <is>
          <t>Media / advertising</t>
        </is>
      </c>
      <c r="E516" s="34" t="n">
        <v>45057</v>
      </c>
      <c r="F516" s="15" t="n">
        <v>10.6</v>
      </c>
      <c r="G516" s="15" t="n">
        <v>3.85</v>
      </c>
      <c r="H516" s="34" t="n">
        <v>46297</v>
      </c>
      <c r="I516" s="31" t="n"/>
      <c r="J516" s="15" t="n">
        <v>0</v>
      </c>
      <c r="K516" s="15">
        <f>IF(AND(AH!$M$5="Snapshot",'IPO Live'!$M$5="Snapshot"),"",IFERROR(BDP(TEXT(VALUE($A516),"0")&amp;" HK Equity","PX_LAST"),""))</f>
        <v/>
      </c>
      <c r="L516" s="15">
        <f>IF(AND(AH!$M$5="Snapshot",'IPO Live'!$M$5="Snapshot"),"",IFERROR(BDP(TEXT(VALUE($A516),"0")&amp;" HK Equity","CHG_PCT_1D")/100,""))</f>
        <v/>
      </c>
      <c r="M516" s="15">
        <f>IF(AND(AH!$M$5="Snapshot",'IPO Live'!$M$5="Snapshot"),"",IFERROR(BDP(TEXT(VALUE($A516),"0")&amp;" HK Equity","LAST_UPDATE_DT"),""))</f>
        <v/>
      </c>
      <c r="N516" s="15">
        <f>IF(AND(AH!$M$5="Snapshot",'IPO Live'!$M$5="Snapshot"),"",IFERROR(BDP(TEXT(VALUE($A516),"0")&amp;" HK Equity","LAST_UPDATE"),""))</f>
        <v/>
      </c>
      <c r="O516" s="15">
        <f>IF('IPO Live'!$M$5="Snapshot",IF(ISNUMBER(G516),G516,"unavailable"),IF(AND(ISNUMBER(K516),N(K516)&gt;0),K516,IF('IPO Live'!$M$5="Auto",IF(ISNUMBER(G516),G516,"unavailable"),"unavailable")))</f>
        <v/>
      </c>
      <c r="P516" s="15">
        <f>IF(AND('IPO Live'!$M$5&lt;&gt;"Snapshot",ISNUMBER(K516),N(K516)&gt;0),"Bloomberg",IF(AND('IPO Live'!$M$5&lt;&gt;"Bloomberg",ISNUMBER(G516)),"Snapshot","Unavailable"))</f>
        <v/>
      </c>
      <c r="Q516" s="33">
        <f>IF(AND(P516="Bloomberg",ISNUMBER(L516)),L516,"unavailable")</f>
        <v/>
      </c>
      <c r="R516" s="15">
        <f>IF(OR('IPO Live'!$B$5="All",'IPO Live'!$B$5=C516,AND('IPO Live'!$B$5="A/H only",J516&gt;0)),1,0)</f>
        <v/>
      </c>
      <c r="S516" s="15">
        <f>IF(R516=1,COUNTIF($R$5:R516,1),"")</f>
        <v/>
      </c>
      <c r="T516">
        <f>1</f>
        <v/>
      </c>
      <c r="U516">
        <f>IF($P516="Bloomberg",$M516,$H516)</f>
        <v/>
      </c>
      <c r="AW516">
        <f>IF(AND(J516&gt;0,OR(AH!$I$5="All",AH!$I$5="A/H only",AH!$I$5=C516)),1,0)</f>
        <v/>
      </c>
      <c r="AX516">
        <f>IF(AW516=1,COUNTIF($AW$5:AW516,1),"")</f>
        <v/>
      </c>
      <c r="AY516">
        <f>IF(AH!$M$5="Snapshot",IF(ISNUMBER(G516),G516,"unavailable"),IF(AND(ISNUMBER(K516),N(K516)&gt;0),K516,IF(AH!$M$5="Auto",IF(ISNUMBER(G516),G516,"unavailable"),"unavailable")))</f>
        <v/>
      </c>
      <c r="AZ516">
        <f>IF(AND(AH!$M$5&lt;&gt;"Snapshot",ISNUMBER(K516),N(K516)&gt;0),"Bloomberg",IF(AND(AH!$M$5&lt;&gt;"Bloomberg",ISNUMBER(G516)),"Snapshot","Unavailable"))</f>
        <v/>
      </c>
      <c r="BA516">
        <f>IF(AZ516="Bloomberg",M516,H516)</f>
        <v/>
      </c>
      <c r="BB516">
        <f>1</f>
        <v/>
      </c>
    </row>
    <row r="517">
      <c r="A517" s="31" t="inlineStr">
        <is>
          <t>2405</t>
        </is>
      </c>
      <c r="B517" s="15" t="inlineStr">
        <is>
          <t>POWERWIN TECH</t>
        </is>
      </c>
      <c r="C517" s="15" t="inlineStr">
        <is>
          <t>TMT-other</t>
        </is>
      </c>
      <c r="D517" s="15" t="inlineStr">
        <is>
          <t>Media / advertising</t>
        </is>
      </c>
      <c r="E517" s="34" t="n">
        <v>45016</v>
      </c>
      <c r="F517" s="15" t="n">
        <v>0.7</v>
      </c>
      <c r="G517" s="15" t="n">
        <v>0.325</v>
      </c>
      <c r="H517" s="34" t="n">
        <v>46297</v>
      </c>
      <c r="I517" s="31" t="n"/>
      <c r="J517" s="15" t="n">
        <v>0</v>
      </c>
      <c r="K517" s="15">
        <f>IF(AND(AH!$M$5="Snapshot",'IPO Live'!$M$5="Snapshot"),"",IFERROR(BDP(TEXT(VALUE($A517),"0")&amp;" HK Equity","PX_LAST"),""))</f>
        <v/>
      </c>
      <c r="L517" s="15">
        <f>IF(AND(AH!$M$5="Snapshot",'IPO Live'!$M$5="Snapshot"),"",IFERROR(BDP(TEXT(VALUE($A517),"0")&amp;" HK Equity","CHG_PCT_1D")/100,""))</f>
        <v/>
      </c>
      <c r="M517" s="15">
        <f>IF(AND(AH!$M$5="Snapshot",'IPO Live'!$M$5="Snapshot"),"",IFERROR(BDP(TEXT(VALUE($A517),"0")&amp;" HK Equity","LAST_UPDATE_DT"),""))</f>
        <v/>
      </c>
      <c r="N517" s="15">
        <f>IF(AND(AH!$M$5="Snapshot",'IPO Live'!$M$5="Snapshot"),"",IFERROR(BDP(TEXT(VALUE($A517),"0")&amp;" HK Equity","LAST_UPDATE"),""))</f>
        <v/>
      </c>
      <c r="O517" s="15">
        <f>IF('IPO Live'!$M$5="Snapshot",IF(ISNUMBER(G517),G517,"unavailable"),IF(AND(ISNUMBER(K517),N(K517)&gt;0),K517,IF('IPO Live'!$M$5="Auto",IF(ISNUMBER(G517),G517,"unavailable"),"unavailable")))</f>
        <v/>
      </c>
      <c r="P517" s="15">
        <f>IF(AND('IPO Live'!$M$5&lt;&gt;"Snapshot",ISNUMBER(K517),N(K517)&gt;0),"Bloomberg",IF(AND('IPO Live'!$M$5&lt;&gt;"Bloomberg",ISNUMBER(G517)),"Snapshot","Unavailable"))</f>
        <v/>
      </c>
      <c r="Q517" s="33">
        <f>IF(AND(P517="Bloomberg",ISNUMBER(L517)),L517,"unavailable")</f>
        <v/>
      </c>
      <c r="R517" s="15">
        <f>IF(OR('IPO Live'!$B$5="All",'IPO Live'!$B$5=C517,AND('IPO Live'!$B$5="A/H only",J517&gt;0)),1,0)</f>
        <v/>
      </c>
      <c r="S517" s="15">
        <f>IF(R517=1,COUNTIF($R$5:R517,1),"")</f>
        <v/>
      </c>
      <c r="T517">
        <f>1</f>
        <v/>
      </c>
      <c r="U517">
        <f>IF($P517="Bloomberg",$M517,$H517)</f>
        <v/>
      </c>
      <c r="AW517">
        <f>IF(AND(J517&gt;0,OR(AH!$I$5="All",AH!$I$5="A/H only",AH!$I$5=C517)),1,0)</f>
        <v/>
      </c>
      <c r="AX517">
        <f>IF(AW517=1,COUNTIF($AW$5:AW517,1),"")</f>
        <v/>
      </c>
      <c r="AY517">
        <f>IF(AH!$M$5="Snapshot",IF(ISNUMBER(G517),G517,"unavailable"),IF(AND(ISNUMBER(K517),N(K517)&gt;0),K517,IF(AH!$M$5="Auto",IF(ISNUMBER(G517),G517,"unavailable"),"unavailable")))</f>
        <v/>
      </c>
      <c r="AZ517">
        <f>IF(AND(AH!$M$5&lt;&gt;"Snapshot",ISNUMBER(K517),N(K517)&gt;0),"Bloomberg",IF(AND(AH!$M$5&lt;&gt;"Bloomberg",ISNUMBER(G517)),"Snapshot","Unavailable"))</f>
        <v/>
      </c>
      <c r="BA517">
        <f>IF(AZ517="Bloomberg",M517,H517)</f>
        <v/>
      </c>
      <c r="BB517">
        <f>1</f>
        <v/>
      </c>
    </row>
    <row r="518">
      <c r="A518" s="31" t="inlineStr">
        <is>
          <t>2306</t>
        </is>
      </c>
      <c r="B518" s="15" t="inlineStr">
        <is>
          <t>YH ENT</t>
        </is>
      </c>
      <c r="C518" s="15" t="inlineStr">
        <is>
          <t>TMT-other</t>
        </is>
      </c>
      <c r="D518" s="15" t="inlineStr">
        <is>
          <t>Media / advertising</t>
        </is>
      </c>
      <c r="E518" s="34" t="n">
        <v>44945</v>
      </c>
      <c r="F518" s="15" t="n">
        <v>4.08</v>
      </c>
      <c r="G518" s="15" t="n">
        <v>1.88</v>
      </c>
      <c r="H518" s="34" t="n">
        <v>46297</v>
      </c>
      <c r="I518" s="31" t="n"/>
      <c r="J518" s="15" t="n">
        <v>0</v>
      </c>
      <c r="K518" s="15">
        <f>IF(AND(AH!$M$5="Snapshot",'IPO Live'!$M$5="Snapshot"),"",IFERROR(BDP(TEXT(VALUE($A518),"0")&amp;" HK Equity","PX_LAST"),""))</f>
        <v/>
      </c>
      <c r="L518" s="15">
        <f>IF(AND(AH!$M$5="Snapshot",'IPO Live'!$M$5="Snapshot"),"",IFERROR(BDP(TEXT(VALUE($A518),"0")&amp;" HK Equity","CHG_PCT_1D")/100,""))</f>
        <v/>
      </c>
      <c r="M518" s="15">
        <f>IF(AND(AH!$M$5="Snapshot",'IPO Live'!$M$5="Snapshot"),"",IFERROR(BDP(TEXT(VALUE($A518),"0")&amp;" HK Equity","LAST_UPDATE_DT"),""))</f>
        <v/>
      </c>
      <c r="N518" s="15">
        <f>IF(AND(AH!$M$5="Snapshot",'IPO Live'!$M$5="Snapshot"),"",IFERROR(BDP(TEXT(VALUE($A518),"0")&amp;" HK Equity","LAST_UPDATE"),""))</f>
        <v/>
      </c>
      <c r="O518" s="15">
        <f>IF('IPO Live'!$M$5="Snapshot",IF(ISNUMBER(G518),G518,"unavailable"),IF(AND(ISNUMBER(K518),N(K518)&gt;0),K518,IF('IPO Live'!$M$5="Auto",IF(ISNUMBER(G518),G518,"unavailable"),"unavailable")))</f>
        <v/>
      </c>
      <c r="P518" s="15">
        <f>IF(AND('IPO Live'!$M$5&lt;&gt;"Snapshot",ISNUMBER(K518),N(K518)&gt;0),"Bloomberg",IF(AND('IPO Live'!$M$5&lt;&gt;"Bloomberg",ISNUMBER(G518)),"Snapshot","Unavailable"))</f>
        <v/>
      </c>
      <c r="Q518" s="33">
        <f>IF(AND(P518="Bloomberg",ISNUMBER(L518)),L518,"unavailable")</f>
        <v/>
      </c>
      <c r="R518" s="15">
        <f>IF(OR('IPO Live'!$B$5="All",'IPO Live'!$B$5=C518,AND('IPO Live'!$B$5="A/H only",J518&gt;0)),1,0)</f>
        <v/>
      </c>
      <c r="S518" s="15">
        <f>IF(R518=1,COUNTIF($R$5:R518,1),"")</f>
        <v/>
      </c>
      <c r="T518">
        <f>1</f>
        <v/>
      </c>
      <c r="U518">
        <f>IF($P518="Bloomberg",$M518,$H518)</f>
        <v/>
      </c>
      <c r="AW518">
        <f>IF(AND(J518&gt;0,OR(AH!$I$5="All",AH!$I$5="A/H only",AH!$I$5=C518)),1,0)</f>
        <v/>
      </c>
      <c r="AX518">
        <f>IF(AW518=1,COUNTIF($AW$5:AW518,1),"")</f>
        <v/>
      </c>
      <c r="AY518">
        <f>IF(AH!$M$5="Snapshot",IF(ISNUMBER(G518),G518,"unavailable"),IF(AND(ISNUMBER(K518),N(K518)&gt;0),K518,IF(AH!$M$5="Auto",IF(ISNUMBER(G518),G518,"unavailable"),"unavailable")))</f>
        <v/>
      </c>
      <c r="AZ518">
        <f>IF(AND(AH!$M$5&lt;&gt;"Snapshot",ISNUMBER(K518),N(K518)&gt;0),"Bloomberg",IF(AND(AH!$M$5&lt;&gt;"Bloomberg",ISNUMBER(G518)),"Snapshot","Unavailable"))</f>
        <v/>
      </c>
      <c r="BA518">
        <f>IF(AZ518="Bloomberg",M518,H518)</f>
        <v/>
      </c>
      <c r="BB518">
        <f>1</f>
        <v/>
      </c>
    </row>
    <row r="519">
      <c r="A519" s="31" t="inlineStr">
        <is>
          <t>6698</t>
        </is>
      </c>
      <c r="B519" s="15" t="inlineStr">
        <is>
          <t>STAR CM</t>
        </is>
      </c>
      <c r="C519" s="15" t="inlineStr">
        <is>
          <t>TMT-other</t>
        </is>
      </c>
      <c r="D519" s="15" t="inlineStr">
        <is>
          <t>Media / advertising</t>
        </is>
      </c>
      <c r="E519" s="34" t="n">
        <v>44924</v>
      </c>
      <c r="F519" s="15" t="n">
        <v>26.5</v>
      </c>
      <c r="G519" s="15" t="n">
        <v>0.855</v>
      </c>
      <c r="H519" s="34" t="n">
        <v>46297</v>
      </c>
      <c r="I519" s="31" t="n"/>
      <c r="J519" s="15" t="n">
        <v>0</v>
      </c>
      <c r="K519" s="15">
        <f>IF(AND(AH!$M$5="Snapshot",'IPO Live'!$M$5="Snapshot"),"",IFERROR(BDP(TEXT(VALUE($A519),"0")&amp;" HK Equity","PX_LAST"),""))</f>
        <v/>
      </c>
      <c r="L519" s="15">
        <f>IF(AND(AH!$M$5="Snapshot",'IPO Live'!$M$5="Snapshot"),"",IFERROR(BDP(TEXT(VALUE($A519),"0")&amp;" HK Equity","CHG_PCT_1D")/100,""))</f>
        <v/>
      </c>
      <c r="M519" s="15">
        <f>IF(AND(AH!$M$5="Snapshot",'IPO Live'!$M$5="Snapshot"),"",IFERROR(BDP(TEXT(VALUE($A519),"0")&amp;" HK Equity","LAST_UPDATE_DT"),""))</f>
        <v/>
      </c>
      <c r="N519" s="15">
        <f>IF(AND(AH!$M$5="Snapshot",'IPO Live'!$M$5="Snapshot"),"",IFERROR(BDP(TEXT(VALUE($A519),"0")&amp;" HK Equity","LAST_UPDATE"),""))</f>
        <v/>
      </c>
      <c r="O519" s="15">
        <f>IF('IPO Live'!$M$5="Snapshot",IF(ISNUMBER(G519),G519,"unavailable"),IF(AND(ISNUMBER(K519),N(K519)&gt;0),K519,IF('IPO Live'!$M$5="Auto",IF(ISNUMBER(G519),G519,"unavailable"),"unavailable")))</f>
        <v/>
      </c>
      <c r="P519" s="15">
        <f>IF(AND('IPO Live'!$M$5&lt;&gt;"Snapshot",ISNUMBER(K519),N(K519)&gt;0),"Bloomberg",IF(AND('IPO Live'!$M$5&lt;&gt;"Bloomberg",ISNUMBER(G519)),"Snapshot","Unavailable"))</f>
        <v/>
      </c>
      <c r="Q519" s="33">
        <f>IF(AND(P519="Bloomberg",ISNUMBER(L519)),L519,"unavailable")</f>
        <v/>
      </c>
      <c r="R519" s="15">
        <f>IF(OR('IPO Live'!$B$5="All",'IPO Live'!$B$5=C519,AND('IPO Live'!$B$5="A/H only",J519&gt;0)),1,0)</f>
        <v/>
      </c>
      <c r="S519" s="15">
        <f>IF(R519=1,COUNTIF($R$5:R519,1),"")</f>
        <v/>
      </c>
      <c r="T519">
        <f>1</f>
        <v/>
      </c>
      <c r="U519">
        <f>IF($P519="Bloomberg",$M519,$H519)</f>
        <v/>
      </c>
      <c r="AW519">
        <f>IF(AND(J519&gt;0,OR(AH!$I$5="All",AH!$I$5="A/H only",AH!$I$5=C519)),1,0)</f>
        <v/>
      </c>
      <c r="AX519">
        <f>IF(AW519=1,COUNTIF($AW$5:AW519,1),"")</f>
        <v/>
      </c>
      <c r="AY519">
        <f>IF(AH!$M$5="Snapshot",IF(ISNUMBER(G519),G519,"unavailable"),IF(AND(ISNUMBER(K519),N(K519)&gt;0),K519,IF(AH!$M$5="Auto",IF(ISNUMBER(G519),G519,"unavailable"),"unavailable")))</f>
        <v/>
      </c>
      <c r="AZ519">
        <f>IF(AND(AH!$M$5&lt;&gt;"Snapshot",ISNUMBER(K519),N(K519)&gt;0),"Bloomberg",IF(AND(AH!$M$5&lt;&gt;"Bloomberg",ISNUMBER(G519)),"Snapshot","Unavailable"))</f>
        <v/>
      </c>
      <c r="BA519">
        <f>IF(AZ519="Bloomberg",M519,H519)</f>
        <v/>
      </c>
      <c r="BB519">
        <f>1</f>
        <v/>
      </c>
    </row>
    <row r="520">
      <c r="A520" s="31" t="inlineStr">
        <is>
          <t>6696</t>
        </is>
      </c>
      <c r="B520" s="15" t="inlineStr">
        <is>
          <t>MANY IDEA CLOUD</t>
        </is>
      </c>
      <c r="C520" s="15" t="inlineStr">
        <is>
          <t>TMT-other</t>
        </is>
      </c>
      <c r="D520" s="15" t="inlineStr">
        <is>
          <t>Media / advertising</t>
        </is>
      </c>
      <c r="E520" s="34" t="n">
        <v>44874</v>
      </c>
      <c r="F520" s="15" t="n">
        <v>1.96</v>
      </c>
      <c r="G520" s="15" t="n">
        <v>0.147</v>
      </c>
      <c r="H520" s="34" t="n">
        <v>46111</v>
      </c>
      <c r="I520" s="31" t="n"/>
      <c r="J520" s="15" t="n">
        <v>0</v>
      </c>
      <c r="K520" s="15">
        <f>IF(AND(AH!$M$5="Snapshot",'IPO Live'!$M$5="Snapshot"),"",IFERROR(BDP(TEXT(VALUE($A520),"0")&amp;" HK Equity","PX_LAST"),""))</f>
        <v/>
      </c>
      <c r="L520" s="15">
        <f>IF(AND(AH!$M$5="Snapshot",'IPO Live'!$M$5="Snapshot"),"",IFERROR(BDP(TEXT(VALUE($A520),"0")&amp;" HK Equity","CHG_PCT_1D")/100,""))</f>
        <v/>
      </c>
      <c r="M520" s="15">
        <f>IF(AND(AH!$M$5="Snapshot",'IPO Live'!$M$5="Snapshot"),"",IFERROR(BDP(TEXT(VALUE($A520),"0")&amp;" HK Equity","LAST_UPDATE_DT"),""))</f>
        <v/>
      </c>
      <c r="N520" s="15">
        <f>IF(AND(AH!$M$5="Snapshot",'IPO Live'!$M$5="Snapshot"),"",IFERROR(BDP(TEXT(VALUE($A520),"0")&amp;" HK Equity","LAST_UPDATE"),""))</f>
        <v/>
      </c>
      <c r="O520" s="15">
        <f>IF('IPO Live'!$M$5="Snapshot",IF(ISNUMBER(G520),G520,"unavailable"),IF(AND(ISNUMBER(K520),N(K520)&gt;0),K520,IF('IPO Live'!$M$5="Auto",IF(ISNUMBER(G520),G520,"unavailable"),"unavailable")))</f>
        <v/>
      </c>
      <c r="P520" s="15">
        <f>IF(AND('IPO Live'!$M$5&lt;&gt;"Snapshot",ISNUMBER(K520),N(K520)&gt;0),"Bloomberg",IF(AND('IPO Live'!$M$5&lt;&gt;"Bloomberg",ISNUMBER(G520)),"Snapshot","Unavailable"))</f>
        <v/>
      </c>
      <c r="Q520" s="33">
        <f>IF(AND(P520="Bloomberg",ISNUMBER(L520)),L520,"unavailable")</f>
        <v/>
      </c>
      <c r="R520" s="15">
        <f>IF(OR('IPO Live'!$B$5="All",'IPO Live'!$B$5=C520,AND('IPO Live'!$B$5="A/H only",J520&gt;0)),1,0)</f>
        <v/>
      </c>
      <c r="S520" s="15">
        <f>IF(R520=1,COUNTIF($R$5:R520,1),"")</f>
        <v/>
      </c>
      <c r="T520">
        <f>IF(ISNUMBER($U520),IF($U520&gt;=DATEVALUE("2025-02-12"),0.05,1),"unavailable")</f>
        <v/>
      </c>
      <c r="U520">
        <f>IF($P520="Bloomberg",$M520,$H520)</f>
        <v/>
      </c>
      <c r="AW520">
        <f>IF(AND(J520&gt;0,OR(AH!$I$5="All",AH!$I$5="A/H only",AH!$I$5=C520)),1,0)</f>
        <v/>
      </c>
      <c r="AX520">
        <f>IF(AW520=1,COUNTIF($AW$5:AW520,1),"")</f>
        <v/>
      </c>
      <c r="AY520">
        <f>IF(AH!$M$5="Snapshot",IF(ISNUMBER(G520),G520,"unavailable"),IF(AND(ISNUMBER(K520),N(K520)&gt;0),K520,IF(AH!$M$5="Auto",IF(ISNUMBER(G520),G520,"unavailable"),"unavailable")))</f>
        <v/>
      </c>
      <c r="AZ520">
        <f>IF(AND(AH!$M$5&lt;&gt;"Snapshot",ISNUMBER(K520),N(K520)&gt;0),"Bloomberg",IF(AND(AH!$M$5&lt;&gt;"Bloomberg",ISNUMBER(G520)),"Snapshot","Unavailable"))</f>
        <v/>
      </c>
      <c r="BA520">
        <f>IF(AZ520="Bloomberg",M520,H520)</f>
        <v/>
      </c>
      <c r="BB520">
        <f>IF(ISNUMBER($BA520),IF($BA520&gt;=DATEVALUE("2025-02-12"),0.05,1),"unavailable")</f>
        <v/>
      </c>
    </row>
    <row r="521">
      <c r="A521" s="31" t="inlineStr">
        <is>
          <t>6610</t>
        </is>
      </c>
      <c r="B521" s="15" t="inlineStr">
        <is>
          <t>FLOWING CLOUD</t>
        </is>
      </c>
      <c r="C521" s="15" t="inlineStr">
        <is>
          <t>TMT-other</t>
        </is>
      </c>
      <c r="D521" s="15" t="inlineStr">
        <is>
          <t>Media / advertising</t>
        </is>
      </c>
      <c r="E521" s="34" t="n">
        <v>44852</v>
      </c>
      <c r="F521" s="15" t="n">
        <v>2.21</v>
      </c>
      <c r="G521" s="15" t="n">
        <v>0.0355</v>
      </c>
      <c r="H521" s="34" t="n">
        <v>46297</v>
      </c>
      <c r="I521" s="31" t="n"/>
      <c r="J521" s="15" t="n">
        <v>0</v>
      </c>
      <c r="K521" s="15">
        <f>IF(AND(AH!$M$5="Snapshot",'IPO Live'!$M$5="Snapshot"),"",IFERROR(BDP(TEXT(VALUE($A521),"0")&amp;" HK Equity","PX_LAST"),""))</f>
        <v/>
      </c>
      <c r="L521" s="15">
        <f>IF(AND(AH!$M$5="Snapshot",'IPO Live'!$M$5="Snapshot"),"",IFERROR(BDP(TEXT(VALUE($A521),"0")&amp;" HK Equity","CHG_PCT_1D")/100,""))</f>
        <v/>
      </c>
      <c r="M521" s="15">
        <f>IF(AND(AH!$M$5="Snapshot",'IPO Live'!$M$5="Snapshot"),"",IFERROR(BDP(TEXT(VALUE($A521),"0")&amp;" HK Equity","LAST_UPDATE_DT"),""))</f>
        <v/>
      </c>
      <c r="N521" s="15">
        <f>IF(AND(AH!$M$5="Snapshot",'IPO Live'!$M$5="Snapshot"),"",IFERROR(BDP(TEXT(VALUE($A521),"0")&amp;" HK Equity","LAST_UPDATE"),""))</f>
        <v/>
      </c>
      <c r="O521" s="15">
        <f>IF('IPO Live'!$M$5="Snapshot",IF(ISNUMBER(G521),G521,"unavailable"),IF(AND(ISNUMBER(K521),N(K521)&gt;0),K521,IF('IPO Live'!$M$5="Auto",IF(ISNUMBER(G521),G521,"unavailable"),"unavailable")))</f>
        <v/>
      </c>
      <c r="P521" s="15">
        <f>IF(AND('IPO Live'!$M$5&lt;&gt;"Snapshot",ISNUMBER(K521),N(K521)&gt;0),"Bloomberg",IF(AND('IPO Live'!$M$5&lt;&gt;"Bloomberg",ISNUMBER(G521)),"Snapshot","Unavailable"))</f>
        <v/>
      </c>
      <c r="Q521" s="33">
        <f>IF(AND(P521="Bloomberg",ISNUMBER(L521)),L521,"unavailable")</f>
        <v/>
      </c>
      <c r="R521" s="15">
        <f>IF(OR('IPO Live'!$B$5="All",'IPO Live'!$B$5=C521,AND('IPO Live'!$B$5="A/H only",J521&gt;0)),1,0)</f>
        <v/>
      </c>
      <c r="S521" s="15">
        <f>IF(R521=1,COUNTIF($R$5:R521,1),"")</f>
        <v/>
      </c>
      <c r="T521">
        <f>IF(ISNUMBER($U521),IF($U521&gt;=DATEVALUE("2025-12-05"),0.05,1),"unavailable")</f>
        <v/>
      </c>
      <c r="U521">
        <f>IF($P521="Bloomberg",$M521,$H521)</f>
        <v/>
      </c>
      <c r="AW521">
        <f>IF(AND(J521&gt;0,OR(AH!$I$5="All",AH!$I$5="A/H only",AH!$I$5=C521)),1,0)</f>
        <v/>
      </c>
      <c r="AX521">
        <f>IF(AW521=1,COUNTIF($AW$5:AW521,1),"")</f>
        <v/>
      </c>
      <c r="AY521">
        <f>IF(AH!$M$5="Snapshot",IF(ISNUMBER(G521),G521,"unavailable"),IF(AND(ISNUMBER(K521),N(K521)&gt;0),K521,IF(AH!$M$5="Auto",IF(ISNUMBER(G521),G521,"unavailable"),"unavailable")))</f>
        <v/>
      </c>
      <c r="AZ521">
        <f>IF(AND(AH!$M$5&lt;&gt;"Snapshot",ISNUMBER(K521),N(K521)&gt;0),"Bloomberg",IF(AND(AH!$M$5&lt;&gt;"Bloomberg",ISNUMBER(G521)),"Snapshot","Unavailable"))</f>
        <v/>
      </c>
      <c r="BA521">
        <f>IF(AZ521="Bloomberg",M521,H521)</f>
        <v/>
      </c>
      <c r="BB521">
        <f>IF(ISNUMBER($BA521),IF($BA521&gt;=DATEVALUE("2025-12-05"),0.05,1),"unavailable")</f>
        <v/>
      </c>
    </row>
    <row r="522">
      <c r="A522" s="31" t="inlineStr">
        <is>
          <t>2422</t>
        </is>
      </c>
      <c r="B522" s="15" t="inlineStr">
        <is>
          <t>REGO INTERACT</t>
        </is>
      </c>
      <c r="C522" s="15" t="inlineStr">
        <is>
          <t>TMT-other</t>
        </is>
      </c>
      <c r="D522" s="15" t="inlineStr">
        <is>
          <t>Media / advertising</t>
        </is>
      </c>
      <c r="E522" s="34" t="n">
        <v>44851</v>
      </c>
      <c r="F522" s="15" t="n">
        <v>0.64</v>
      </c>
      <c r="G522" s="15" t="n">
        <v>2.07</v>
      </c>
      <c r="H522" s="34" t="n">
        <v>46297</v>
      </c>
      <c r="I522" s="31" t="n"/>
      <c r="J522" s="15" t="n">
        <v>0</v>
      </c>
      <c r="K522" s="15">
        <f>IF(AND(AH!$M$5="Snapshot",'IPO Live'!$M$5="Snapshot"),"",IFERROR(BDP(TEXT(VALUE($A522),"0")&amp;" HK Equity","PX_LAST"),""))</f>
        <v/>
      </c>
      <c r="L522" s="15">
        <f>IF(AND(AH!$M$5="Snapshot",'IPO Live'!$M$5="Snapshot"),"",IFERROR(BDP(TEXT(VALUE($A522),"0")&amp;" HK Equity","CHG_PCT_1D")/100,""))</f>
        <v/>
      </c>
      <c r="M522" s="15">
        <f>IF(AND(AH!$M$5="Snapshot",'IPO Live'!$M$5="Snapshot"),"",IFERROR(BDP(TEXT(VALUE($A522),"0")&amp;" HK Equity","LAST_UPDATE_DT"),""))</f>
        <v/>
      </c>
      <c r="N522" s="15">
        <f>IF(AND(AH!$M$5="Snapshot",'IPO Live'!$M$5="Snapshot"),"",IFERROR(BDP(TEXT(VALUE($A522),"0")&amp;" HK Equity","LAST_UPDATE"),""))</f>
        <v/>
      </c>
      <c r="O522" s="15">
        <f>IF('IPO Live'!$M$5="Snapshot",IF(ISNUMBER(G522),G522,"unavailable"),IF(AND(ISNUMBER(K522),N(K522)&gt;0),K522,IF('IPO Live'!$M$5="Auto",IF(ISNUMBER(G522),G522,"unavailable"),"unavailable")))</f>
        <v/>
      </c>
      <c r="P522" s="15">
        <f>IF(AND('IPO Live'!$M$5&lt;&gt;"Snapshot",ISNUMBER(K522),N(K522)&gt;0),"Bloomberg",IF(AND('IPO Live'!$M$5&lt;&gt;"Bloomberg",ISNUMBER(G522)),"Snapshot","Unavailable"))</f>
        <v/>
      </c>
      <c r="Q522" s="33">
        <f>IF(AND(P522="Bloomberg",ISNUMBER(L522)),L522,"unavailable")</f>
        <v/>
      </c>
      <c r="R522" s="15">
        <f>IF(OR('IPO Live'!$B$5="All",'IPO Live'!$B$5=C522,AND('IPO Live'!$B$5="A/H only",J522&gt;0)),1,0)</f>
        <v/>
      </c>
      <c r="S522" s="15">
        <f>IF(R522=1,COUNTIF($R$5:R522,1),"")</f>
        <v/>
      </c>
      <c r="T522">
        <f>1</f>
        <v/>
      </c>
      <c r="U522">
        <f>IF($P522="Bloomberg",$M522,$H522)</f>
        <v/>
      </c>
      <c r="AW522">
        <f>IF(AND(J522&gt;0,OR(AH!$I$5="All",AH!$I$5="A/H only",AH!$I$5=C522)),1,0)</f>
        <v/>
      </c>
      <c r="AX522">
        <f>IF(AW522=1,COUNTIF($AW$5:AW522,1),"")</f>
        <v/>
      </c>
      <c r="AY522">
        <f>IF(AH!$M$5="Snapshot",IF(ISNUMBER(G522),G522,"unavailable"),IF(AND(ISNUMBER(K522),N(K522)&gt;0),K522,IF(AH!$M$5="Auto",IF(ISNUMBER(G522),G522,"unavailable"),"unavailable")))</f>
        <v/>
      </c>
      <c r="AZ522">
        <f>IF(AND(AH!$M$5&lt;&gt;"Snapshot",ISNUMBER(K522),N(K522)&gt;0),"Bloomberg",IF(AND(AH!$M$5&lt;&gt;"Bloomberg",ISNUMBER(G522)),"Snapshot","Unavailable"))</f>
        <v/>
      </c>
      <c r="BA522">
        <f>IF(AZ522="Bloomberg",M522,H522)</f>
        <v/>
      </c>
      <c r="BB522">
        <f>1</f>
        <v/>
      </c>
    </row>
    <row r="523">
      <c r="A523" s="31" t="inlineStr">
        <is>
          <t>9857</t>
        </is>
      </c>
      <c r="B523" s="15" t="inlineStr">
        <is>
          <t>LINMON MEDIA</t>
        </is>
      </c>
      <c r="C523" s="15" t="inlineStr">
        <is>
          <t>TMT-other</t>
        </is>
      </c>
      <c r="D523" s="15" t="inlineStr">
        <is>
          <t>Media / advertising</t>
        </is>
      </c>
      <c r="E523" s="34" t="n">
        <v>44783</v>
      </c>
      <c r="F523" s="15" t="n">
        <v>27.75</v>
      </c>
      <c r="G523" s="15" t="n">
        <v>2.7</v>
      </c>
      <c r="H523" s="34" t="n">
        <v>46297</v>
      </c>
      <c r="I523" s="31" t="n"/>
      <c r="J523" s="15" t="n">
        <v>0</v>
      </c>
      <c r="K523" s="15">
        <f>IF(AND(AH!$M$5="Snapshot",'IPO Live'!$M$5="Snapshot"),"",IFERROR(BDP(TEXT(VALUE($A523),"0")&amp;" HK Equity","PX_LAST"),""))</f>
        <v/>
      </c>
      <c r="L523" s="15">
        <f>IF(AND(AH!$M$5="Snapshot",'IPO Live'!$M$5="Snapshot"),"",IFERROR(BDP(TEXT(VALUE($A523),"0")&amp;" HK Equity","CHG_PCT_1D")/100,""))</f>
        <v/>
      </c>
      <c r="M523" s="15">
        <f>IF(AND(AH!$M$5="Snapshot",'IPO Live'!$M$5="Snapshot"),"",IFERROR(BDP(TEXT(VALUE($A523),"0")&amp;" HK Equity","LAST_UPDATE_DT"),""))</f>
        <v/>
      </c>
      <c r="N523" s="15">
        <f>IF(AND(AH!$M$5="Snapshot",'IPO Live'!$M$5="Snapshot"),"",IFERROR(BDP(TEXT(VALUE($A523),"0")&amp;" HK Equity","LAST_UPDATE"),""))</f>
        <v/>
      </c>
      <c r="O523" s="15">
        <f>IF('IPO Live'!$M$5="Snapshot",IF(ISNUMBER(G523),G523,"unavailable"),IF(AND(ISNUMBER(K523),N(K523)&gt;0),K523,IF('IPO Live'!$M$5="Auto",IF(ISNUMBER(G523),G523,"unavailable"),"unavailable")))</f>
        <v/>
      </c>
      <c r="P523" s="15">
        <f>IF(AND('IPO Live'!$M$5&lt;&gt;"Snapshot",ISNUMBER(K523),N(K523)&gt;0),"Bloomberg",IF(AND('IPO Live'!$M$5&lt;&gt;"Bloomberg",ISNUMBER(G523)),"Snapshot","Unavailable"))</f>
        <v/>
      </c>
      <c r="Q523" s="33">
        <f>IF(AND(P523="Bloomberg",ISNUMBER(L523)),L523,"unavailable")</f>
        <v/>
      </c>
      <c r="R523" s="15">
        <f>IF(OR('IPO Live'!$B$5="All",'IPO Live'!$B$5=C523,AND('IPO Live'!$B$5="A/H only",J523&gt;0)),1,0)</f>
        <v/>
      </c>
      <c r="S523" s="15">
        <f>IF(R523=1,COUNTIF($R$5:R523,1),"")</f>
        <v/>
      </c>
      <c r="T523">
        <f>1</f>
        <v/>
      </c>
      <c r="U523">
        <f>IF($P523="Bloomberg",$M523,$H523)</f>
        <v/>
      </c>
      <c r="AW523">
        <f>IF(AND(J523&gt;0,OR(AH!$I$5="All",AH!$I$5="A/H only",AH!$I$5=C523)),1,0)</f>
        <v/>
      </c>
      <c r="AX523">
        <f>IF(AW523=1,COUNTIF($AW$5:AW523,1),"")</f>
        <v/>
      </c>
      <c r="AY523">
        <f>IF(AH!$M$5="Snapshot",IF(ISNUMBER(G523),G523,"unavailable"),IF(AND(ISNUMBER(K523),N(K523)&gt;0),K523,IF(AH!$M$5="Auto",IF(ISNUMBER(G523),G523,"unavailable"),"unavailable")))</f>
        <v/>
      </c>
      <c r="AZ523">
        <f>IF(AND(AH!$M$5&lt;&gt;"Snapshot",ISNUMBER(K523),N(K523)&gt;0),"Bloomberg",IF(AND(AH!$M$5&lt;&gt;"Bloomberg",ISNUMBER(G523)),"Snapshot","Unavailable"))</f>
        <v/>
      </c>
      <c r="BA523">
        <f>IF(AZ523="Bloomberg",M523,H523)</f>
        <v/>
      </c>
      <c r="BB523">
        <f>1</f>
        <v/>
      </c>
    </row>
    <row r="524">
      <c r="A524" s="31" t="inlineStr">
        <is>
          <t>2250</t>
        </is>
      </c>
      <c r="B524" s="15" t="inlineStr">
        <is>
          <t>SEMK HOLDINGS</t>
        </is>
      </c>
      <c r="C524" s="15" t="inlineStr">
        <is>
          <t>TMT-other</t>
        </is>
      </c>
      <c r="D524" s="15" t="inlineStr">
        <is>
          <t>Media / advertising</t>
        </is>
      </c>
      <c r="E524" s="34" t="n">
        <v>44578</v>
      </c>
      <c r="F524" s="15" t="n">
        <v>2.05</v>
      </c>
      <c r="G524" s="15" t="n">
        <v>0.3</v>
      </c>
      <c r="H524" s="34" t="n">
        <v>46297</v>
      </c>
      <c r="I524" s="31" t="n"/>
      <c r="J524" s="15" t="n">
        <v>0</v>
      </c>
      <c r="K524" s="15">
        <f>IF(AND(AH!$M$5="Snapshot",'IPO Live'!$M$5="Snapshot"),"",IFERROR(BDP(TEXT(VALUE($A524),"0")&amp;" HK Equity","PX_LAST"),""))</f>
        <v/>
      </c>
      <c r="L524" s="15">
        <f>IF(AND(AH!$M$5="Snapshot",'IPO Live'!$M$5="Snapshot"),"",IFERROR(BDP(TEXT(VALUE($A524),"0")&amp;" HK Equity","CHG_PCT_1D")/100,""))</f>
        <v/>
      </c>
      <c r="M524" s="15">
        <f>IF(AND(AH!$M$5="Snapshot",'IPO Live'!$M$5="Snapshot"),"",IFERROR(BDP(TEXT(VALUE($A524),"0")&amp;" HK Equity","LAST_UPDATE_DT"),""))</f>
        <v/>
      </c>
      <c r="N524" s="15">
        <f>IF(AND(AH!$M$5="Snapshot",'IPO Live'!$M$5="Snapshot"),"",IFERROR(BDP(TEXT(VALUE($A524),"0")&amp;" HK Equity","LAST_UPDATE"),""))</f>
        <v/>
      </c>
      <c r="O524" s="15">
        <f>IF('IPO Live'!$M$5="Snapshot",IF(ISNUMBER(G524),G524,"unavailable"),IF(AND(ISNUMBER(K524),N(K524)&gt;0),K524,IF('IPO Live'!$M$5="Auto",IF(ISNUMBER(G524),G524,"unavailable"),"unavailable")))</f>
        <v/>
      </c>
      <c r="P524" s="15">
        <f>IF(AND('IPO Live'!$M$5&lt;&gt;"Snapshot",ISNUMBER(K524),N(K524)&gt;0),"Bloomberg",IF(AND('IPO Live'!$M$5&lt;&gt;"Bloomberg",ISNUMBER(G524)),"Snapshot","Unavailable"))</f>
        <v/>
      </c>
      <c r="Q524" s="33">
        <f>IF(AND(P524="Bloomberg",ISNUMBER(L524)),L524,"unavailable")</f>
        <v/>
      </c>
      <c r="R524" s="15">
        <f>IF(OR('IPO Live'!$B$5="All",'IPO Live'!$B$5=C524,AND('IPO Live'!$B$5="A/H only",J524&gt;0)),1,0)</f>
        <v/>
      </c>
      <c r="S524" s="15">
        <f>IF(R524=1,COUNTIF($R$5:R524,1),"")</f>
        <v/>
      </c>
      <c r="T524">
        <f>1</f>
        <v/>
      </c>
      <c r="U524">
        <f>IF($P524="Bloomberg",$M524,$H524)</f>
        <v/>
      </c>
      <c r="AW524">
        <f>IF(AND(J524&gt;0,OR(AH!$I$5="All",AH!$I$5="A/H only",AH!$I$5=C524)),1,0)</f>
        <v/>
      </c>
      <c r="AX524">
        <f>IF(AW524=1,COUNTIF($AW$5:AW524,1),"")</f>
        <v/>
      </c>
      <c r="AY524">
        <f>IF(AH!$M$5="Snapshot",IF(ISNUMBER(G524),G524,"unavailable"),IF(AND(ISNUMBER(K524),N(K524)&gt;0),K524,IF(AH!$M$5="Auto",IF(ISNUMBER(G524),G524,"unavailable"),"unavailable")))</f>
        <v/>
      </c>
      <c r="AZ524">
        <f>IF(AND(AH!$M$5&lt;&gt;"Snapshot",ISNUMBER(K524),N(K524)&gt;0),"Bloomberg",IF(AND(AH!$M$5&lt;&gt;"Bloomberg",ISNUMBER(G524)),"Snapshot","Unavailable"))</f>
        <v/>
      </c>
      <c r="BA524">
        <f>IF(AZ524="Bloomberg",M524,H524)</f>
        <v/>
      </c>
      <c r="BB524">
        <f>1</f>
        <v/>
      </c>
    </row>
    <row r="525">
      <c r="A525" s="31" t="inlineStr">
        <is>
          <t>6633</t>
        </is>
      </c>
      <c r="B525" s="15" t="inlineStr">
        <is>
          <t>QINGCI GAMES</t>
        </is>
      </c>
      <c r="C525" s="15" t="inlineStr">
        <is>
          <t>TMT-other</t>
        </is>
      </c>
      <c r="D525" s="15" t="inlineStr">
        <is>
          <t>Media / advertising</t>
        </is>
      </c>
      <c r="E525" s="34" t="n">
        <v>44546</v>
      </c>
      <c r="F525" s="15" t="n">
        <v>11.2</v>
      </c>
      <c r="G525" s="15" t="n">
        <v>3.13</v>
      </c>
      <c r="H525" s="34" t="n">
        <v>46297</v>
      </c>
      <c r="I525" s="31" t="n"/>
      <c r="J525" s="15" t="n">
        <v>0</v>
      </c>
      <c r="K525" s="15">
        <f>IF(AND(AH!$M$5="Snapshot",'IPO Live'!$M$5="Snapshot"),"",IFERROR(BDP(TEXT(VALUE($A525),"0")&amp;" HK Equity","PX_LAST"),""))</f>
        <v/>
      </c>
      <c r="L525" s="15">
        <f>IF(AND(AH!$M$5="Snapshot",'IPO Live'!$M$5="Snapshot"),"",IFERROR(BDP(TEXT(VALUE($A525),"0")&amp;" HK Equity","CHG_PCT_1D")/100,""))</f>
        <v/>
      </c>
      <c r="M525" s="15">
        <f>IF(AND(AH!$M$5="Snapshot",'IPO Live'!$M$5="Snapshot"),"",IFERROR(BDP(TEXT(VALUE($A525),"0")&amp;" HK Equity","LAST_UPDATE_DT"),""))</f>
        <v/>
      </c>
      <c r="N525" s="15">
        <f>IF(AND(AH!$M$5="Snapshot",'IPO Live'!$M$5="Snapshot"),"",IFERROR(BDP(TEXT(VALUE($A525),"0")&amp;" HK Equity","LAST_UPDATE"),""))</f>
        <v/>
      </c>
      <c r="O525" s="15">
        <f>IF('IPO Live'!$M$5="Snapshot",IF(ISNUMBER(G525),G525,"unavailable"),IF(AND(ISNUMBER(K525),N(K525)&gt;0),K525,IF('IPO Live'!$M$5="Auto",IF(ISNUMBER(G525),G525,"unavailable"),"unavailable")))</f>
        <v/>
      </c>
      <c r="P525" s="15">
        <f>IF(AND('IPO Live'!$M$5&lt;&gt;"Snapshot",ISNUMBER(K525),N(K525)&gt;0),"Bloomberg",IF(AND('IPO Live'!$M$5&lt;&gt;"Bloomberg",ISNUMBER(G525)),"Snapshot","Unavailable"))</f>
        <v/>
      </c>
      <c r="Q525" s="33">
        <f>IF(AND(P525="Bloomberg",ISNUMBER(L525)),L525,"unavailable")</f>
        <v/>
      </c>
      <c r="R525" s="15">
        <f>IF(OR('IPO Live'!$B$5="All",'IPO Live'!$B$5=C525,AND('IPO Live'!$B$5="A/H only",J525&gt;0)),1,0)</f>
        <v/>
      </c>
      <c r="S525" s="15">
        <f>IF(R525=1,COUNTIF($R$5:R525,1),"")</f>
        <v/>
      </c>
      <c r="T525">
        <f>1</f>
        <v/>
      </c>
      <c r="U525">
        <f>IF($P525="Bloomberg",$M525,$H525)</f>
        <v/>
      </c>
      <c r="AW525">
        <f>IF(AND(J525&gt;0,OR(AH!$I$5="All",AH!$I$5="A/H only",AH!$I$5=C525)),1,0)</f>
        <v/>
      </c>
      <c r="AX525">
        <f>IF(AW525=1,COUNTIF($AW$5:AW525,1),"")</f>
        <v/>
      </c>
      <c r="AY525">
        <f>IF(AH!$M$5="Snapshot",IF(ISNUMBER(G525),G525,"unavailable"),IF(AND(ISNUMBER(K525),N(K525)&gt;0),K525,IF(AH!$M$5="Auto",IF(ISNUMBER(G525),G525,"unavailable"),"unavailable")))</f>
        <v/>
      </c>
      <c r="AZ525">
        <f>IF(AND(AH!$M$5&lt;&gt;"Snapshot",ISNUMBER(K525),N(K525)&gt;0),"Bloomberg",IF(AND(AH!$M$5&lt;&gt;"Bloomberg",ISNUMBER(G525)),"Snapshot","Unavailable"))</f>
        <v/>
      </c>
      <c r="BA525">
        <f>IF(AZ525="Bloomberg",M525,H525)</f>
        <v/>
      </c>
      <c r="BB525">
        <f>1</f>
        <v/>
      </c>
    </row>
    <row r="526">
      <c r="A526" s="31" t="inlineStr">
        <is>
          <t>1948</t>
        </is>
      </c>
      <c r="B526" s="15" t="inlineStr">
        <is>
          <t>UJU HOLDING</t>
        </is>
      </c>
      <c r="C526" s="15" t="inlineStr">
        <is>
          <t>TMT-other</t>
        </is>
      </c>
      <c r="D526" s="15" t="inlineStr">
        <is>
          <t>Media / advertising</t>
        </is>
      </c>
      <c r="E526" s="34" t="n">
        <v>44508</v>
      </c>
      <c r="F526" s="15" t="n">
        <v>6.7</v>
      </c>
      <c r="G526" s="15" t="n">
        <v>3.665</v>
      </c>
      <c r="H526" s="34" t="n">
        <v>46297</v>
      </c>
      <c r="I526" s="31" t="n"/>
      <c r="J526" s="15" t="n">
        <v>0</v>
      </c>
      <c r="K526" s="15">
        <f>IF(AND(AH!$M$5="Snapshot",'IPO Live'!$M$5="Snapshot"),"",IFERROR(BDP(TEXT(VALUE($A526),"0")&amp;" HK Equity","PX_LAST"),""))</f>
        <v/>
      </c>
      <c r="L526" s="15">
        <f>IF(AND(AH!$M$5="Snapshot",'IPO Live'!$M$5="Snapshot"),"",IFERROR(BDP(TEXT(VALUE($A526),"0")&amp;" HK Equity","CHG_PCT_1D")/100,""))</f>
        <v/>
      </c>
      <c r="M526" s="15">
        <f>IF(AND(AH!$M$5="Snapshot",'IPO Live'!$M$5="Snapshot"),"",IFERROR(BDP(TEXT(VALUE($A526),"0")&amp;" HK Equity","LAST_UPDATE_DT"),""))</f>
        <v/>
      </c>
      <c r="N526" s="15">
        <f>IF(AND(AH!$M$5="Snapshot",'IPO Live'!$M$5="Snapshot"),"",IFERROR(BDP(TEXT(VALUE($A526),"0")&amp;" HK Equity","LAST_UPDATE"),""))</f>
        <v/>
      </c>
      <c r="O526" s="15">
        <f>IF('IPO Live'!$M$5="Snapshot",IF(ISNUMBER(G526),G526,"unavailable"),IF(AND(ISNUMBER(K526),N(K526)&gt;0),K526,IF('IPO Live'!$M$5="Auto",IF(ISNUMBER(G526),G526,"unavailable"),"unavailable")))</f>
        <v/>
      </c>
      <c r="P526" s="15">
        <f>IF(AND('IPO Live'!$M$5&lt;&gt;"Snapshot",ISNUMBER(K526),N(K526)&gt;0),"Bloomberg",IF(AND('IPO Live'!$M$5&lt;&gt;"Bloomberg",ISNUMBER(G526)),"Snapshot","Unavailable"))</f>
        <v/>
      </c>
      <c r="Q526" s="33">
        <f>IF(AND(P526="Bloomberg",ISNUMBER(L526)),L526,"unavailable")</f>
        <v/>
      </c>
      <c r="R526" s="15">
        <f>IF(OR('IPO Live'!$B$5="All",'IPO Live'!$B$5=C526,AND('IPO Live'!$B$5="A/H only",J526&gt;0)),1,0)</f>
        <v/>
      </c>
      <c r="S526" s="15">
        <f>IF(R526=1,COUNTIF($R$5:R526,1),"")</f>
        <v/>
      </c>
      <c r="T526">
        <f>1</f>
        <v/>
      </c>
      <c r="U526">
        <f>IF($P526="Bloomberg",$M526,$H526)</f>
        <v/>
      </c>
      <c r="AW526">
        <f>IF(AND(J526&gt;0,OR(AH!$I$5="All",AH!$I$5="A/H only",AH!$I$5=C526)),1,0)</f>
        <v/>
      </c>
      <c r="AX526">
        <f>IF(AW526=1,COUNTIF($AW$5:AW526,1),"")</f>
        <v/>
      </c>
      <c r="AY526">
        <f>IF(AH!$M$5="Snapshot",IF(ISNUMBER(G526),G526,"unavailable"),IF(AND(ISNUMBER(K526),N(K526)&gt;0),K526,IF(AH!$M$5="Auto",IF(ISNUMBER(G526),G526,"unavailable"),"unavailable")))</f>
        <v/>
      </c>
      <c r="AZ526">
        <f>IF(AND(AH!$M$5&lt;&gt;"Snapshot",ISNUMBER(K526),N(K526)&gt;0),"Bloomberg",IF(AND(AH!$M$5&lt;&gt;"Bloomberg",ISNUMBER(G526)),"Snapshot","Unavailable"))</f>
        <v/>
      </c>
      <c r="BA526">
        <f>IF(AZ526="Bloomberg",M526,H526)</f>
        <v/>
      </c>
      <c r="BB526">
        <f>1</f>
        <v/>
      </c>
    </row>
    <row r="527">
      <c r="A527" s="31" t="inlineStr">
        <is>
          <t>2125</t>
        </is>
      </c>
      <c r="B527" s="15" t="inlineStr">
        <is>
          <t>STRAWBEAR ENT</t>
        </is>
      </c>
      <c r="C527" s="15" t="inlineStr">
        <is>
          <t>TMT-other</t>
        </is>
      </c>
      <c r="D527" s="15" t="inlineStr">
        <is>
          <t>Media / advertising</t>
        </is>
      </c>
      <c r="E527" s="34" t="n">
        <v>44211</v>
      </c>
      <c r="F527" s="15" t="n">
        <v>5.88</v>
      </c>
      <c r="G527" s="15" t="n">
        <v>0.275</v>
      </c>
      <c r="H527" s="34" t="n">
        <v>46297</v>
      </c>
      <c r="I527" s="31" t="n"/>
      <c r="J527" s="15" t="n">
        <v>0</v>
      </c>
      <c r="K527" s="15">
        <f>IF(AND(AH!$M$5="Snapshot",'IPO Live'!$M$5="Snapshot"),"",IFERROR(BDP(TEXT(VALUE($A527),"0")&amp;" HK Equity","PX_LAST"),""))</f>
        <v/>
      </c>
      <c r="L527" s="15">
        <f>IF(AND(AH!$M$5="Snapshot",'IPO Live'!$M$5="Snapshot"),"",IFERROR(BDP(TEXT(VALUE($A527),"0")&amp;" HK Equity","CHG_PCT_1D")/100,""))</f>
        <v/>
      </c>
      <c r="M527" s="15">
        <f>IF(AND(AH!$M$5="Snapshot",'IPO Live'!$M$5="Snapshot"),"",IFERROR(BDP(TEXT(VALUE($A527),"0")&amp;" HK Equity","LAST_UPDATE_DT"),""))</f>
        <v/>
      </c>
      <c r="N527" s="15">
        <f>IF(AND(AH!$M$5="Snapshot",'IPO Live'!$M$5="Snapshot"),"",IFERROR(BDP(TEXT(VALUE($A527),"0")&amp;" HK Equity","LAST_UPDATE"),""))</f>
        <v/>
      </c>
      <c r="O527" s="15">
        <f>IF('IPO Live'!$M$5="Snapshot",IF(ISNUMBER(G527),G527,"unavailable"),IF(AND(ISNUMBER(K527),N(K527)&gt;0),K527,IF('IPO Live'!$M$5="Auto",IF(ISNUMBER(G527),G527,"unavailable"),"unavailable")))</f>
        <v/>
      </c>
      <c r="P527" s="15">
        <f>IF(AND('IPO Live'!$M$5&lt;&gt;"Snapshot",ISNUMBER(K527),N(K527)&gt;0),"Bloomberg",IF(AND('IPO Live'!$M$5&lt;&gt;"Bloomberg",ISNUMBER(G527)),"Snapshot","Unavailable"))</f>
        <v/>
      </c>
      <c r="Q527" s="33">
        <f>IF(AND(P527="Bloomberg",ISNUMBER(L527)),L527,"unavailable")</f>
        <v/>
      </c>
      <c r="R527" s="15">
        <f>IF(OR('IPO Live'!$B$5="All",'IPO Live'!$B$5=C527,AND('IPO Live'!$B$5="A/H only",J527&gt;0)),1,0)</f>
        <v/>
      </c>
      <c r="S527" s="15">
        <f>IF(R527=1,COUNTIF($R$5:R527,1),"")</f>
        <v/>
      </c>
      <c r="T527">
        <f>1</f>
        <v/>
      </c>
      <c r="U527">
        <f>IF($P527="Bloomberg",$M527,$H527)</f>
        <v/>
      </c>
      <c r="AW527">
        <f>IF(AND(J527&gt;0,OR(AH!$I$5="All",AH!$I$5="A/H only",AH!$I$5=C527)),1,0)</f>
        <v/>
      </c>
      <c r="AX527">
        <f>IF(AW527=1,COUNTIF($AW$5:AW527,1),"")</f>
        <v/>
      </c>
      <c r="AY527">
        <f>IF(AH!$M$5="Snapshot",IF(ISNUMBER(G527),G527,"unavailable"),IF(AND(ISNUMBER(K527),N(K527)&gt;0),K527,IF(AH!$M$5="Auto",IF(ISNUMBER(G527),G527,"unavailable"),"unavailable")))</f>
        <v/>
      </c>
      <c r="AZ527">
        <f>IF(AND(AH!$M$5&lt;&gt;"Snapshot",ISNUMBER(K527),N(K527)&gt;0),"Bloomberg",IF(AND(AH!$M$5&lt;&gt;"Bloomberg",ISNUMBER(G527)),"Snapshot","Unavailable"))</f>
        <v/>
      </c>
      <c r="BA527">
        <f>IF(AZ527="Bloomberg",M527,H527)</f>
        <v/>
      </c>
      <c r="BB527">
        <f>1</f>
        <v/>
      </c>
    </row>
    <row r="528">
      <c r="A528" s="31" t="inlineStr">
        <is>
          <t>1490</t>
        </is>
      </c>
      <c r="B528" s="15" t="inlineStr">
        <is>
          <t>CHESHI</t>
        </is>
      </c>
      <c r="C528" s="15" t="inlineStr">
        <is>
          <t>TMT-other</t>
        </is>
      </c>
      <c r="D528" s="15" t="inlineStr">
        <is>
          <t>Media / advertising</t>
        </is>
      </c>
      <c r="E528" s="34" t="n">
        <v>44211</v>
      </c>
      <c r="F528" s="15" t="n">
        <v>1.23</v>
      </c>
      <c r="G528" s="15" t="n">
        <v>0.26</v>
      </c>
      <c r="H528" s="34" t="n">
        <v>46297</v>
      </c>
      <c r="I528" s="31" t="n"/>
      <c r="J528" s="15" t="n">
        <v>0</v>
      </c>
      <c r="K528" s="15">
        <f>IF(AND(AH!$M$5="Snapshot",'IPO Live'!$M$5="Snapshot"),"",IFERROR(BDP(TEXT(VALUE($A528),"0")&amp;" HK Equity","PX_LAST"),""))</f>
        <v/>
      </c>
      <c r="L528" s="15">
        <f>IF(AND(AH!$M$5="Snapshot",'IPO Live'!$M$5="Snapshot"),"",IFERROR(BDP(TEXT(VALUE($A528),"0")&amp;" HK Equity","CHG_PCT_1D")/100,""))</f>
        <v/>
      </c>
      <c r="M528" s="15">
        <f>IF(AND(AH!$M$5="Snapshot",'IPO Live'!$M$5="Snapshot"),"",IFERROR(BDP(TEXT(VALUE($A528),"0")&amp;" HK Equity","LAST_UPDATE_DT"),""))</f>
        <v/>
      </c>
      <c r="N528" s="15">
        <f>IF(AND(AH!$M$5="Snapshot",'IPO Live'!$M$5="Snapshot"),"",IFERROR(BDP(TEXT(VALUE($A528),"0")&amp;" HK Equity","LAST_UPDATE"),""))</f>
        <v/>
      </c>
      <c r="O528" s="15">
        <f>IF('IPO Live'!$M$5="Snapshot",IF(ISNUMBER(G528),G528,"unavailable"),IF(AND(ISNUMBER(K528),N(K528)&gt;0),K528,IF('IPO Live'!$M$5="Auto",IF(ISNUMBER(G528),G528,"unavailable"),"unavailable")))</f>
        <v/>
      </c>
      <c r="P528" s="15">
        <f>IF(AND('IPO Live'!$M$5&lt;&gt;"Snapshot",ISNUMBER(K528),N(K528)&gt;0),"Bloomberg",IF(AND('IPO Live'!$M$5&lt;&gt;"Bloomberg",ISNUMBER(G528)),"Snapshot","Unavailable"))</f>
        <v/>
      </c>
      <c r="Q528" s="33">
        <f>IF(AND(P528="Bloomberg",ISNUMBER(L528)),L528,"unavailable")</f>
        <v/>
      </c>
      <c r="R528" s="15">
        <f>IF(OR('IPO Live'!$B$5="All",'IPO Live'!$B$5=C528,AND('IPO Live'!$B$5="A/H only",J528&gt;0)),1,0)</f>
        <v/>
      </c>
      <c r="S528" s="15">
        <f>IF(R528=1,COUNTIF($R$5:R528,1),"")</f>
        <v/>
      </c>
      <c r="T528">
        <f>1</f>
        <v/>
      </c>
      <c r="U528">
        <f>IF($P528="Bloomberg",$M528,$H528)</f>
        <v/>
      </c>
      <c r="AW528">
        <f>IF(AND(J528&gt;0,OR(AH!$I$5="All",AH!$I$5="A/H only",AH!$I$5=C528)),1,0)</f>
        <v/>
      </c>
      <c r="AX528">
        <f>IF(AW528=1,COUNTIF($AW$5:AW528,1),"")</f>
        <v/>
      </c>
      <c r="AY528">
        <f>IF(AH!$M$5="Snapshot",IF(ISNUMBER(G528),G528,"unavailable"),IF(AND(ISNUMBER(K528),N(K528)&gt;0),K528,IF(AH!$M$5="Auto",IF(ISNUMBER(G528),G528,"unavailable"),"unavailable")))</f>
        <v/>
      </c>
      <c r="AZ528">
        <f>IF(AND(AH!$M$5&lt;&gt;"Snapshot",ISNUMBER(K528),N(K528)&gt;0),"Bloomberg",IF(AND(AH!$M$5&lt;&gt;"Bloomberg",ISNUMBER(G528)),"Snapshot","Unavailable"))</f>
        <v/>
      </c>
      <c r="BA528">
        <f>IF(AZ528="Bloomberg",M528,H528)</f>
        <v/>
      </c>
      <c r="BB528">
        <f>1</f>
        <v/>
      </c>
    </row>
  </sheetData>
  <mergeCells count="1">
    <mergeCell ref="A2:U2"/>
  </mergeCells>
  <printOptions horizontalCentered="1"/>
  <pageMargins left="0.75" right="0.75" top="1" bottom="1" header="0.5" footer="0.5"/>
  <pageSetup orientation="landscape" paperSize="8" fitToHeight="0" fitToWidth="1"/>
</worksheet>
</file>

<file path=xl/worksheets/sheet16.xml><?xml version="1.0" encoding="utf-8"?>
<worksheet xmlns="http://schemas.openxmlformats.org/spreadsheetml/2006/main">
  <sheetPr>
    <tabColor rgb="00BFBFBF"/>
    <outlinePr summaryBelow="1" summaryRight="1"/>
    <pageSetUpPr fitToPage="1"/>
  </sheetPr>
  <dimension ref="A1:GG1380"/>
  <sheetViews>
    <sheetView showGridLines="0" zoomScale="95" workbookViewId="0">
      <pane xSplit="2" ySplit="4" topLeftCell="C5" activePane="bottomRight" state="frozen"/>
      <selection pane="topRight"/>
      <selection pane="bottomLeft"/>
      <selection pane="bottomRight" activeCell="A1" sqref="A1"/>
    </sheetView>
  </sheetViews>
  <sheetFormatPr baseColWidth="8" defaultRowHeight="15"/>
  <cols>
    <col width="1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 width="15" customWidth="1" min="55" max="55"/>
    <col width="15" customWidth="1" min="56" max="56"/>
    <col width="15" customWidth="1" min="57" max="57"/>
    <col width="15" customWidth="1" min="58" max="58"/>
    <col width="15" customWidth="1" min="59" max="59"/>
    <col width="15" customWidth="1" min="60" max="60"/>
    <col width="15" customWidth="1" min="61" max="61"/>
    <col width="15" customWidth="1" min="62" max="62"/>
    <col width="15" customWidth="1" min="63" max="63"/>
    <col width="15" customWidth="1" min="64" max="64"/>
    <col width="15" customWidth="1" min="65" max="65"/>
    <col width="15" customWidth="1" min="66" max="66"/>
    <col width="15" customWidth="1" min="67" max="67"/>
    <col width="15" customWidth="1" min="68" max="68"/>
    <col width="15" customWidth="1" min="69" max="69"/>
    <col width="15" customWidth="1" min="70" max="70"/>
    <col width="15" customWidth="1" min="71" max="71"/>
    <col width="15" customWidth="1" min="72" max="72"/>
    <col width="15" customWidth="1" min="73" max="73"/>
    <col width="15" customWidth="1" min="74" max="74"/>
    <col width="15" customWidth="1" min="75" max="75"/>
    <col width="15" customWidth="1" min="76" max="76"/>
    <col width="15" customWidth="1" min="77" max="77"/>
    <col width="15" customWidth="1" min="78" max="78"/>
    <col width="15" customWidth="1" min="79" max="79"/>
    <col width="15" customWidth="1" min="80" max="80"/>
    <col width="15" customWidth="1" min="81" max="81"/>
    <col width="15" customWidth="1" min="82" max="82"/>
    <col width="15" customWidth="1" min="83" max="83"/>
    <col width="15" customWidth="1" min="84" max="84"/>
    <col width="15" customWidth="1" min="85" max="85"/>
    <col width="15" customWidth="1" min="86" max="86"/>
    <col width="15" customWidth="1" min="87" max="87"/>
    <col width="15" customWidth="1" min="88" max="88"/>
    <col width="15" customWidth="1" min="89" max="89"/>
    <col width="15" customWidth="1" min="90" max="90"/>
    <col width="15" customWidth="1" min="91" max="91"/>
    <col width="15" customWidth="1" min="92" max="92"/>
    <col width="15" customWidth="1" min="93" max="93"/>
    <col width="15" customWidth="1" min="94" max="94"/>
    <col width="15" customWidth="1" min="95" max="95"/>
    <col width="15" customWidth="1" min="96" max="96"/>
    <col width="15" customWidth="1" min="97" max="97"/>
    <col width="15" customWidth="1" min="98" max="98"/>
    <col width="15" customWidth="1" min="99" max="99"/>
    <col width="15" customWidth="1" min="100" max="100"/>
    <col width="15" customWidth="1" min="101" max="101"/>
    <col width="15" customWidth="1" min="102" max="102"/>
    <col width="15" customWidth="1" min="103" max="103"/>
    <col width="15" customWidth="1" min="104" max="104"/>
    <col width="15" customWidth="1" min="105" max="105"/>
    <col width="15" customWidth="1" min="106" max="106"/>
    <col width="15" customWidth="1" min="107" max="107"/>
    <col width="15" customWidth="1" min="108" max="108"/>
    <col width="15" customWidth="1" min="109" max="109"/>
    <col width="15" customWidth="1" min="110" max="110"/>
    <col width="15" customWidth="1" min="111" max="111"/>
    <col width="15" customWidth="1" min="112" max="112"/>
    <col width="15" customWidth="1" min="113" max="113"/>
    <col width="15" customWidth="1" min="114" max="114"/>
    <col width="15" customWidth="1" min="115" max="115"/>
    <col width="15" customWidth="1" min="116" max="116"/>
    <col width="15" customWidth="1" min="117" max="117"/>
    <col width="15" customWidth="1" min="118" max="118"/>
    <col width="15" customWidth="1" min="119" max="119"/>
    <col width="15" customWidth="1" min="120" max="120"/>
    <col width="15" customWidth="1" min="121" max="121"/>
    <col width="15" customWidth="1" min="122" max="122"/>
    <col width="15" customWidth="1" min="123" max="123"/>
    <col width="15" customWidth="1" min="124" max="124"/>
    <col width="15" customWidth="1" min="125" max="125"/>
    <col width="15" customWidth="1" min="126" max="126"/>
    <col width="15" customWidth="1" min="127" max="127"/>
    <col width="15" customWidth="1" min="128" max="128"/>
    <col width="15" customWidth="1" min="129" max="129"/>
    <col width="15" customWidth="1" min="130" max="130"/>
    <col width="15" customWidth="1" min="131" max="131"/>
    <col width="15" customWidth="1" min="132" max="132"/>
    <col width="15" customWidth="1" min="133" max="133"/>
    <col width="15" customWidth="1" min="134" max="134"/>
    <col width="15" customWidth="1" min="135" max="135"/>
    <col width="15" customWidth="1" min="136" max="136"/>
    <col width="15" customWidth="1" min="137" max="137"/>
    <col width="15" customWidth="1" min="138" max="138"/>
    <col width="15" customWidth="1" min="139" max="139"/>
    <col width="15" customWidth="1" min="140" max="140"/>
    <col width="15" customWidth="1" min="141" max="141"/>
    <col width="15" customWidth="1" min="142" max="142"/>
    <col width="15" customWidth="1" min="143" max="143"/>
    <col width="15" customWidth="1" min="144" max="144"/>
    <col width="15" customWidth="1" min="145" max="145"/>
    <col width="15" customWidth="1" min="146" max="146"/>
    <col width="15" customWidth="1" min="147" max="147"/>
    <col width="15" customWidth="1" min="148" max="148"/>
    <col width="15" customWidth="1" min="149" max="149"/>
    <col width="15" customWidth="1" min="150" max="150"/>
    <col width="15" customWidth="1" min="151" max="151"/>
    <col width="15" customWidth="1" min="152" max="152"/>
    <col width="15" customWidth="1" min="153" max="153"/>
    <col width="15" customWidth="1" min="154" max="154"/>
    <col width="15" customWidth="1" min="155" max="155"/>
    <col width="15" customWidth="1" min="156" max="156"/>
    <col width="15" customWidth="1" min="157" max="157"/>
    <col width="15" customWidth="1" min="158" max="158"/>
    <col width="15" customWidth="1" min="159" max="159"/>
    <col width="15" customWidth="1" min="160" max="160"/>
    <col width="15" customWidth="1" min="161" max="161"/>
    <col width="15" customWidth="1" min="162" max="162"/>
    <col width="15" customWidth="1" min="163" max="163"/>
    <col width="15" customWidth="1" min="164" max="164"/>
    <col width="15" customWidth="1" min="165" max="165"/>
    <col width="15" customWidth="1" min="166" max="166"/>
    <col width="15" customWidth="1" min="167" max="167"/>
    <col width="15" customWidth="1" min="168" max="168"/>
    <col width="15" customWidth="1" min="169" max="169"/>
    <col width="15" customWidth="1" min="170" max="170"/>
    <col width="15" customWidth="1" min="171" max="171"/>
    <col width="15" customWidth="1" min="172" max="172"/>
    <col width="15" customWidth="1" min="173" max="173"/>
    <col width="15" customWidth="1" min="174" max="174"/>
    <col width="15" customWidth="1" min="175" max="175"/>
    <col width="15" customWidth="1" min="176" max="176"/>
    <col width="15" customWidth="1" min="177" max="177"/>
    <col width="15" customWidth="1" min="178" max="178"/>
    <col width="15" customWidth="1" min="179" max="179"/>
    <col width="15" customWidth="1" min="180" max="180"/>
    <col width="15" customWidth="1" min="181" max="181"/>
    <col width="15" customWidth="1" min="182" max="182"/>
    <col width="15" customWidth="1" min="183" max="183"/>
    <col width="15" customWidth="1" min="184" max="184"/>
    <col width="15" customWidth="1" min="185" max="185"/>
    <col width="15" customWidth="1" min="186" max="186"/>
    <col width="15" customWidth="1" min="187" max="187"/>
    <col width="15" customWidth="1" min="188" max="188"/>
    <col width="15" customWidth="1" min="189" max="189"/>
  </cols>
  <sheetData>
    <row r="1" ht="32" customHeight="1">
      <c r="A1" t="inlineStr">
        <is>
          <t>RAW CLOSE SNAPSHOT THROUGH 2026-10-02; carry dates retained; missing H sessions are gaps</t>
        </is>
      </c>
    </row>
    <row r="2"/>
    <row r="3"/>
    <row r="4" ht="48" customHeight="1">
      <c r="A4" s="7" t="inlineStr">
        <is>
          <t>H session</t>
        </is>
      </c>
      <c r="B4" s="7" t="inlineStr">
        <is>
          <t>CNYHKD</t>
        </is>
      </c>
      <c r="C4" s="7" t="inlineStr">
        <is>
          <t>FX date</t>
        </is>
      </c>
      <c r="D4" s="7" t="inlineStr">
        <is>
          <t>6127 H</t>
        </is>
      </c>
      <c r="E4" s="7" t="inlineStr">
        <is>
          <t>6127 A</t>
        </is>
      </c>
      <c r="F4" s="7" t="inlineStr">
        <is>
          <t>6127 A quote date</t>
        </is>
      </c>
      <c r="G4" s="7" t="inlineStr">
        <is>
          <t>6821 H</t>
        </is>
      </c>
      <c r="H4" s="7" t="inlineStr">
        <is>
          <t>6821 A</t>
        </is>
      </c>
      <c r="I4" s="7" t="inlineStr">
        <is>
          <t>6821 A quote date</t>
        </is>
      </c>
      <c r="J4" s="7" t="inlineStr">
        <is>
          <t>6680 H</t>
        </is>
      </c>
      <c r="K4" s="7" t="inlineStr">
        <is>
          <t>6680 A</t>
        </is>
      </c>
      <c r="L4" s="7" t="inlineStr">
        <is>
          <t>6680 A quote date</t>
        </is>
      </c>
      <c r="M4" s="7" t="inlineStr">
        <is>
          <t>9696 H</t>
        </is>
      </c>
      <c r="N4" s="7" t="inlineStr">
        <is>
          <t>9696 A</t>
        </is>
      </c>
      <c r="O4" s="7" t="inlineStr">
        <is>
          <t>9696 A quote date</t>
        </is>
      </c>
      <c r="P4" s="7" t="inlineStr">
        <is>
          <t>1880 H</t>
        </is>
      </c>
      <c r="Q4" s="7" t="inlineStr">
        <is>
          <t>1880 A</t>
        </is>
      </c>
      <c r="R4" s="7" t="inlineStr">
        <is>
          <t>1880 A quote date</t>
        </is>
      </c>
      <c r="S4" s="7" t="inlineStr">
        <is>
          <t>2315 H</t>
        </is>
      </c>
      <c r="T4" s="7" t="inlineStr">
        <is>
          <t>2315 A</t>
        </is>
      </c>
      <c r="U4" s="7" t="inlineStr">
        <is>
          <t>2315 A quote date</t>
        </is>
      </c>
      <c r="V4" s="7" t="inlineStr">
        <is>
          <t>2402 H</t>
        </is>
      </c>
      <c r="W4" s="7" t="inlineStr">
        <is>
          <t>2402 A</t>
        </is>
      </c>
      <c r="X4" s="7" t="inlineStr">
        <is>
          <t>2402 A quote date</t>
        </is>
      </c>
      <c r="Y4" s="7" t="inlineStr">
        <is>
          <t>0300 H</t>
        </is>
      </c>
      <c r="Z4" s="7" t="inlineStr">
        <is>
          <t>0300 A</t>
        </is>
      </c>
      <c r="AA4" s="7" t="inlineStr">
        <is>
          <t>0300 A quote date</t>
        </is>
      </c>
      <c r="AB4" s="7" t="inlineStr">
        <is>
          <t>2465 H</t>
        </is>
      </c>
      <c r="AC4" s="7" t="inlineStr">
        <is>
          <t>2465 A</t>
        </is>
      </c>
      <c r="AD4" s="7" t="inlineStr">
        <is>
          <t>2465 A quote date</t>
        </is>
      </c>
      <c r="AE4" s="7" t="inlineStr">
        <is>
          <t>6936 H</t>
        </is>
      </c>
      <c r="AF4" s="7" t="inlineStr">
        <is>
          <t>6936 A</t>
        </is>
      </c>
      <c r="AG4" s="7" t="inlineStr">
        <is>
          <t>6936 A quote date</t>
        </is>
      </c>
      <c r="AH4" s="7" t="inlineStr">
        <is>
          <t>6693 H</t>
        </is>
      </c>
      <c r="AI4" s="7" t="inlineStr">
        <is>
          <t>6693 A</t>
        </is>
      </c>
      <c r="AJ4" s="7" t="inlineStr">
        <is>
          <t>6693 A quote date</t>
        </is>
      </c>
      <c r="AK4" s="7" t="inlineStr">
        <is>
          <t>2865 H</t>
        </is>
      </c>
      <c r="AL4" s="7" t="inlineStr">
        <is>
          <t>2865 A</t>
        </is>
      </c>
      <c r="AM4" s="7" t="inlineStr">
        <is>
          <t>2865 A quote date</t>
        </is>
      </c>
      <c r="AN4" s="7" t="inlineStr">
        <is>
          <t>3750 H</t>
        </is>
      </c>
      <c r="AO4" s="7" t="inlineStr">
        <is>
          <t>3750 A</t>
        </is>
      </c>
      <c r="AP4" s="7" t="inlineStr">
        <is>
          <t>3750 A quote date</t>
        </is>
      </c>
      <c r="AQ4" s="7" t="inlineStr">
        <is>
          <t>1276 H</t>
        </is>
      </c>
      <c r="AR4" s="7" t="inlineStr">
        <is>
          <t>1276 A</t>
        </is>
      </c>
      <c r="AS4" s="7" t="inlineStr">
        <is>
          <t>1276 A quote date</t>
        </is>
      </c>
      <c r="AT4" s="7" t="inlineStr">
        <is>
          <t>2603 H</t>
        </is>
      </c>
      <c r="AU4" s="7" t="inlineStr">
        <is>
          <t>2603 A</t>
        </is>
      </c>
      <c r="AV4" s="7" t="inlineStr">
        <is>
          <t>2603 A quote date</t>
        </is>
      </c>
      <c r="AW4" s="7" t="inlineStr">
        <is>
          <t>3288 H</t>
        </is>
      </c>
      <c r="AX4" s="7" t="inlineStr">
        <is>
          <t>3288 A</t>
        </is>
      </c>
      <c r="AY4" s="7" t="inlineStr">
        <is>
          <t>3288 A quote date</t>
        </is>
      </c>
      <c r="AZ4" s="7" t="inlineStr">
        <is>
          <t>2050 H</t>
        </is>
      </c>
      <c r="BA4" s="7" t="inlineStr">
        <is>
          <t>2050 A</t>
        </is>
      </c>
      <c r="BB4" s="7" t="inlineStr">
        <is>
          <t>2050 A quote date</t>
        </is>
      </c>
      <c r="BC4" s="7" t="inlineStr">
        <is>
          <t>2648 H</t>
        </is>
      </c>
      <c r="BD4" s="7" t="inlineStr">
        <is>
          <t>2648 A</t>
        </is>
      </c>
      <c r="BE4" s="7" t="inlineStr">
        <is>
          <t>2648 A quote date</t>
        </is>
      </c>
      <c r="BF4" s="7" t="inlineStr">
        <is>
          <t>1304 H</t>
        </is>
      </c>
      <c r="BG4" s="7" t="inlineStr">
        <is>
          <t>1304 A</t>
        </is>
      </c>
      <c r="BH4" s="7" t="inlineStr">
        <is>
          <t>1304 A quote date</t>
        </is>
      </c>
      <c r="BI4" s="7" t="inlineStr">
        <is>
          <t>6613 H</t>
        </is>
      </c>
      <c r="BJ4" s="7" t="inlineStr">
        <is>
          <t>6613 A</t>
        </is>
      </c>
      <c r="BK4" s="7" t="inlineStr">
        <is>
          <t>6613 A quote date</t>
        </is>
      </c>
      <c r="BL4" s="7" t="inlineStr">
        <is>
          <t>2631 H</t>
        </is>
      </c>
      <c r="BM4" s="7" t="inlineStr">
        <is>
          <t>2631 A</t>
        </is>
      </c>
      <c r="BN4" s="7" t="inlineStr">
        <is>
          <t>2631 A quote date</t>
        </is>
      </c>
      <c r="BO4" s="7" t="inlineStr">
        <is>
          <t>0638 H</t>
        </is>
      </c>
      <c r="BP4" s="7" t="inlineStr">
        <is>
          <t>0638 A</t>
        </is>
      </c>
      <c r="BQ4" s="7" t="inlineStr">
        <is>
          <t>0638 A quote date</t>
        </is>
      </c>
      <c r="BR4" s="7" t="inlineStr">
        <is>
          <t>6031 H</t>
        </is>
      </c>
      <c r="BS4" s="7" t="inlineStr">
        <is>
          <t>6031 A</t>
        </is>
      </c>
      <c r="BT4" s="7" t="inlineStr">
        <is>
          <t>6031 A quote date</t>
        </is>
      </c>
      <c r="BU4" s="7" t="inlineStr">
        <is>
          <t>6166 H</t>
        </is>
      </c>
      <c r="BV4" s="7" t="inlineStr">
        <is>
          <t>6166 A</t>
        </is>
      </c>
      <c r="BW4" s="7" t="inlineStr">
        <is>
          <t>6166 A quote date</t>
        </is>
      </c>
      <c r="BX4" s="7" t="inlineStr">
        <is>
          <t>9927 H</t>
        </is>
      </c>
      <c r="BY4" s="7" t="inlineStr">
        <is>
          <t>9927 A</t>
        </is>
      </c>
      <c r="BZ4" s="7" t="inlineStr">
        <is>
          <t>9927 A quote date</t>
        </is>
      </c>
      <c r="CA4" s="7" t="inlineStr">
        <is>
          <t>0699 H</t>
        </is>
      </c>
      <c r="CB4" s="7" t="inlineStr">
        <is>
          <t>0699 A</t>
        </is>
      </c>
      <c r="CC4" s="7" t="inlineStr">
        <is>
          <t>0699 A quote date</t>
        </is>
      </c>
      <c r="CD4" s="7" t="inlineStr">
        <is>
          <t>2579 H</t>
        </is>
      </c>
      <c r="CE4" s="7" t="inlineStr">
        <is>
          <t>2579 A</t>
        </is>
      </c>
      <c r="CF4" s="7" t="inlineStr">
        <is>
          <t>2579 A quote date</t>
        </is>
      </c>
      <c r="CG4" s="7" t="inlineStr">
        <is>
          <t>2676 H</t>
        </is>
      </c>
      <c r="CH4" s="7" t="inlineStr">
        <is>
          <t>2676 A</t>
        </is>
      </c>
      <c r="CI4" s="7" t="inlineStr">
        <is>
          <t>2676 A quote date</t>
        </is>
      </c>
      <c r="CJ4" s="7" t="inlineStr">
        <is>
          <t>2691 H</t>
        </is>
      </c>
      <c r="CK4" s="7" t="inlineStr">
        <is>
          <t>2691 A</t>
        </is>
      </c>
      <c r="CL4" s="7" t="inlineStr">
        <is>
          <t>2691 A quote date</t>
        </is>
      </c>
      <c r="CM4" s="7" t="inlineStr">
        <is>
          <t>0501 H</t>
        </is>
      </c>
      <c r="CN4" s="7" t="inlineStr">
        <is>
          <t>0501 A</t>
        </is>
      </c>
      <c r="CO4" s="7" t="inlineStr">
        <is>
          <t>0501 A quote date</t>
        </is>
      </c>
      <c r="CP4" s="7" t="inlineStr">
        <is>
          <t>3986 H</t>
        </is>
      </c>
      <c r="CQ4" s="7" t="inlineStr">
        <is>
          <t>3986 A</t>
        </is>
      </c>
      <c r="CR4" s="7" t="inlineStr">
        <is>
          <t>3986 A quote date</t>
        </is>
      </c>
      <c r="CS4" s="7" t="inlineStr">
        <is>
          <t>9611 H</t>
        </is>
      </c>
      <c r="CT4" s="7" t="inlineStr">
        <is>
          <t>9611 A</t>
        </is>
      </c>
      <c r="CU4" s="7" t="inlineStr">
        <is>
          <t>9611 A quote date</t>
        </is>
      </c>
      <c r="CV4" s="7" t="inlineStr">
        <is>
          <t>9980 H</t>
        </is>
      </c>
      <c r="CW4" s="7" t="inlineStr">
        <is>
          <t>9980 A</t>
        </is>
      </c>
      <c r="CX4" s="7" t="inlineStr">
        <is>
          <t>9980 A quote date</t>
        </is>
      </c>
      <c r="CY4" s="7" t="inlineStr">
        <is>
          <t>2768 H</t>
        </is>
      </c>
      <c r="CZ4" s="7" t="inlineStr">
        <is>
          <t>2768 A</t>
        </is>
      </c>
      <c r="DA4" s="7" t="inlineStr">
        <is>
          <t>2768 A quote date</t>
        </is>
      </c>
      <c r="DB4" s="7" t="inlineStr">
        <is>
          <t>3200 H</t>
        </is>
      </c>
      <c r="DC4" s="7" t="inlineStr">
        <is>
          <t>3200 A</t>
        </is>
      </c>
      <c r="DD4" s="7" t="inlineStr">
        <is>
          <t>3200 A quote date</t>
        </is>
      </c>
      <c r="DE4" s="7" t="inlineStr">
        <is>
          <t>2714 H</t>
        </is>
      </c>
      <c r="DF4" s="7" t="inlineStr">
        <is>
          <t>2714 A</t>
        </is>
      </c>
      <c r="DG4" s="7" t="inlineStr">
        <is>
          <t>2714 A quote date</t>
        </is>
      </c>
      <c r="DH4" s="7" t="inlineStr">
        <is>
          <t>6809 H</t>
        </is>
      </c>
      <c r="DI4" s="7" t="inlineStr">
        <is>
          <t>6809 A</t>
        </is>
      </c>
      <c r="DJ4" s="7" t="inlineStr">
        <is>
          <t>6809 A quote date</t>
        </is>
      </c>
      <c r="DK4" s="7" t="inlineStr">
        <is>
          <t>0470 H</t>
        </is>
      </c>
      <c r="DL4" s="7" t="inlineStr">
        <is>
          <t>0470 A</t>
        </is>
      </c>
      <c r="DM4" s="7" t="inlineStr">
        <is>
          <t>0470 A quote date</t>
        </is>
      </c>
      <c r="DN4" s="7" t="inlineStr">
        <is>
          <t>9981 H</t>
        </is>
      </c>
      <c r="DO4" s="7" t="inlineStr">
        <is>
          <t>9981 A</t>
        </is>
      </c>
      <c r="DP4" s="7" t="inlineStr">
        <is>
          <t>9981 A quote date</t>
        </is>
      </c>
      <c r="DQ4" s="7" t="inlineStr">
        <is>
          <t>2715 H</t>
        </is>
      </c>
      <c r="DR4" s="7" t="inlineStr">
        <is>
          <t>2715 A</t>
        </is>
      </c>
      <c r="DS4" s="7" t="inlineStr">
        <is>
          <t>2715 A quote date</t>
        </is>
      </c>
      <c r="DT4" s="7" t="inlineStr">
        <is>
          <t>2692 H</t>
        </is>
      </c>
      <c r="DU4" s="7" t="inlineStr">
        <is>
          <t>2692 A</t>
        </is>
      </c>
      <c r="DV4" s="7" t="inlineStr">
        <is>
          <t>2692 A quote date</t>
        </is>
      </c>
      <c r="DW4" s="7" t="inlineStr">
        <is>
          <t>3268 H</t>
        </is>
      </c>
      <c r="DX4" s="7" t="inlineStr">
        <is>
          <t>3268 A</t>
        </is>
      </c>
      <c r="DY4" s="7" t="inlineStr">
        <is>
          <t>3268 A quote date</t>
        </is>
      </c>
      <c r="DZ4" s="7" t="inlineStr">
        <is>
          <t>1989 H</t>
        </is>
      </c>
      <c r="EA4" s="7" t="inlineStr">
        <is>
          <t>1989 A</t>
        </is>
      </c>
      <c r="EB4" s="7" t="inlineStr">
        <is>
          <t>1989 A quote date</t>
        </is>
      </c>
      <c r="EC4" s="7" t="inlineStr">
        <is>
          <t>2701 H</t>
        </is>
      </c>
      <c r="ED4" s="7" t="inlineStr">
        <is>
          <t>2701 A</t>
        </is>
      </c>
      <c r="EE4" s="7" t="inlineStr">
        <is>
          <t>2701 A quote date</t>
        </is>
      </c>
      <c r="EF4" s="7" t="inlineStr">
        <is>
          <t>2476 H</t>
        </is>
      </c>
      <c r="EG4" s="7" t="inlineStr">
        <is>
          <t>2476 A</t>
        </is>
      </c>
      <c r="EH4" s="7" t="inlineStr">
        <is>
          <t>2476 A quote date</t>
        </is>
      </c>
      <c r="EI4" s="7" t="inlineStr">
        <is>
          <t>3296 H</t>
        </is>
      </c>
      <c r="EJ4" s="7" t="inlineStr">
        <is>
          <t>3296 A</t>
        </is>
      </c>
      <c r="EK4" s="7" t="inlineStr">
        <is>
          <t>3296 A quote date</t>
        </is>
      </c>
      <c r="EL4" s="7" t="inlineStr">
        <is>
          <t>2493 H</t>
        </is>
      </c>
      <c r="EM4" s="7" t="inlineStr">
        <is>
          <t>2493 A</t>
        </is>
      </c>
      <c r="EN4" s="7" t="inlineStr">
        <is>
          <t>2493 A quote date</t>
        </is>
      </c>
      <c r="EO4" s="7" t="inlineStr">
        <is>
          <t>1187 H</t>
        </is>
      </c>
      <c r="EP4" s="7" t="inlineStr">
        <is>
          <t>1187 A</t>
        </is>
      </c>
      <c r="EQ4" s="7" t="inlineStr">
        <is>
          <t>1187 A quote date</t>
        </is>
      </c>
      <c r="ER4" s="7" t="inlineStr">
        <is>
          <t>1081 H</t>
        </is>
      </c>
      <c r="ES4" s="7" t="inlineStr">
        <is>
          <t>1081 A</t>
        </is>
      </c>
      <c r="ET4" s="7" t="inlineStr">
        <is>
          <t>1081 A quote date</t>
        </is>
      </c>
      <c r="EU4" s="7" t="inlineStr">
        <is>
          <t>6067 H</t>
        </is>
      </c>
      <c r="EV4" s="7" t="inlineStr">
        <is>
          <t>6067 A</t>
        </is>
      </c>
      <c r="EW4" s="7" t="inlineStr">
        <is>
          <t>6067 A quote date</t>
        </is>
      </c>
      <c r="EX4" s="7" t="inlineStr">
        <is>
          <t>3661 H</t>
        </is>
      </c>
      <c r="EY4" s="7" t="inlineStr">
        <is>
          <t>3661 A</t>
        </is>
      </c>
      <c r="EZ4" s="7" t="inlineStr">
        <is>
          <t>3661 A quote date</t>
        </is>
      </c>
      <c r="FA4" s="7" t="inlineStr">
        <is>
          <t>1688 H</t>
        </is>
      </c>
      <c r="FB4" s="7" t="inlineStr">
        <is>
          <t>1688 A</t>
        </is>
      </c>
      <c r="FC4" s="7" t="inlineStr">
        <is>
          <t>1688 A quote date</t>
        </is>
      </c>
      <c r="FD4" s="7" t="inlineStr">
        <is>
          <t>9630 H</t>
        </is>
      </c>
      <c r="FE4" s="7" t="inlineStr">
        <is>
          <t>9630 A</t>
        </is>
      </c>
      <c r="FF4" s="7" t="inlineStr">
        <is>
          <t>9630 A quote date</t>
        </is>
      </c>
      <c r="FG4" s="7" t="inlineStr">
        <is>
          <t>0668 H</t>
        </is>
      </c>
      <c r="FH4" s="7" t="inlineStr">
        <is>
          <t>0668 A</t>
        </is>
      </c>
      <c r="FI4" s="7" t="inlineStr">
        <is>
          <t>0668 A quote date</t>
        </is>
      </c>
      <c r="FJ4" s="7" t="inlineStr">
        <is>
          <t>0537 H</t>
        </is>
      </c>
      <c r="FK4" s="7" t="inlineStr">
        <is>
          <t>0537 A</t>
        </is>
      </c>
      <c r="FL4" s="7" t="inlineStr">
        <is>
          <t>0537 A quote date</t>
        </is>
      </c>
      <c r="FM4" s="7" t="inlineStr">
        <is>
          <t>2475 H</t>
        </is>
      </c>
      <c r="FN4" s="7" t="inlineStr">
        <is>
          <t>2475 A</t>
        </is>
      </c>
      <c r="FO4" s="7" t="inlineStr">
        <is>
          <t>2475 A quote date</t>
        </is>
      </c>
      <c r="FP4" s="7" t="inlineStr">
        <is>
          <t>6951 H</t>
        </is>
      </c>
      <c r="FQ4" s="7" t="inlineStr">
        <is>
          <t>6951 A</t>
        </is>
      </c>
      <c r="FR4" s="7" t="inlineStr">
        <is>
          <t>6951 A quote date</t>
        </is>
      </c>
      <c r="FS4" s="7" t="inlineStr">
        <is>
          <t>1377 H</t>
        </is>
      </c>
      <c r="FT4" s="7" t="inlineStr">
        <is>
          <t>1377 A</t>
        </is>
      </c>
      <c r="FU4" s="7" t="inlineStr">
        <is>
          <t>1377 A quote date</t>
        </is>
      </c>
      <c r="FV4" s="7" t="inlineStr">
        <is>
          <t>6745 H</t>
        </is>
      </c>
      <c r="FW4" s="7" t="inlineStr">
        <is>
          <t>6745 A</t>
        </is>
      </c>
      <c r="FX4" s="7" t="inlineStr">
        <is>
          <t>6745 A quote date</t>
        </is>
      </c>
      <c r="FY4" s="7" t="inlineStr">
        <is>
          <t>2249 H</t>
        </is>
      </c>
      <c r="FZ4" s="7" t="inlineStr">
        <is>
          <t>2249 A</t>
        </is>
      </c>
      <c r="GA4" s="7" t="inlineStr">
        <is>
          <t>2249 A quote date</t>
        </is>
      </c>
      <c r="GB4" s="7" t="inlineStr">
        <is>
          <t>3308 H</t>
        </is>
      </c>
      <c r="GC4" s="7" t="inlineStr">
        <is>
          <t>3308 A</t>
        </is>
      </c>
      <c r="GD4" s="7" t="inlineStr">
        <is>
          <t>3308 A quote date</t>
        </is>
      </c>
      <c r="GE4" s="7" t="inlineStr">
        <is>
          <t>3223 H</t>
        </is>
      </c>
      <c r="GF4" s="7" t="inlineStr">
        <is>
          <t>3223 A</t>
        </is>
      </c>
      <c r="GG4" s="7" t="inlineStr">
        <is>
          <t>3223 A quote date</t>
        </is>
      </c>
    </row>
    <row r="5">
      <c r="A5" s="34" t="n">
        <v>44253</v>
      </c>
      <c r="B5" s="266" t="n">
        <v>1.20110297203064</v>
      </c>
      <c r="C5" s="34" t="n">
        <v>44253</v>
      </c>
      <c r="D5" s="15" t="n">
        <v>138</v>
      </c>
      <c r="E5" s="15" t="n">
        <v>137.63</v>
      </c>
      <c r="F5" s="34" t="n">
        <v>44253</v>
      </c>
    </row>
    <row r="6">
      <c r="A6" s="34" t="n">
        <v>44256</v>
      </c>
      <c r="B6" s="266" t="n">
        <v>1.199115991592407</v>
      </c>
      <c r="C6" s="34" t="n">
        <v>44256</v>
      </c>
      <c r="D6" s="15" t="n">
        <v>139.5</v>
      </c>
      <c r="E6" s="15" t="n">
        <v>132.98</v>
      </c>
      <c r="F6" s="34" t="n">
        <v>44256</v>
      </c>
    </row>
    <row r="7">
      <c r="A7" s="34" t="n">
        <v>44257</v>
      </c>
      <c r="B7" s="266" t="n">
        <v>1.199347972869873</v>
      </c>
      <c r="C7" s="34" t="n">
        <v>44257</v>
      </c>
      <c r="D7" s="15" t="n">
        <v>140.5</v>
      </c>
      <c r="E7" s="15" t="n">
        <v>132.45</v>
      </c>
      <c r="F7" s="34" t="n">
        <v>44257</v>
      </c>
    </row>
    <row r="8">
      <c r="A8" s="34" t="n">
        <v>44258</v>
      </c>
      <c r="B8" s="266" t="n">
        <v>1.198490977287292</v>
      </c>
      <c r="C8" s="34" t="n">
        <v>44258</v>
      </c>
      <c r="D8" s="15" t="n">
        <v>138.2</v>
      </c>
      <c r="E8" s="15" t="n">
        <v>132.33</v>
      </c>
      <c r="F8" s="34" t="n">
        <v>44258</v>
      </c>
    </row>
    <row r="9">
      <c r="A9" s="34" t="n">
        <v>44259</v>
      </c>
      <c r="B9" s="266" t="n">
        <v>1.198698997497559</v>
      </c>
      <c r="C9" s="34" t="n">
        <v>44259</v>
      </c>
      <c r="D9" s="15" t="n">
        <v>137</v>
      </c>
      <c r="E9" s="15" t="n">
        <v>124.9</v>
      </c>
      <c r="F9" s="34" t="n">
        <v>44259</v>
      </c>
    </row>
    <row r="10">
      <c r="A10" s="34" t="n">
        <v>44260</v>
      </c>
      <c r="B10" s="266" t="n">
        <v>1.199427962303162</v>
      </c>
      <c r="C10" s="34" t="n">
        <v>44260</v>
      </c>
      <c r="D10" s="15" t="n">
        <v>132</v>
      </c>
      <c r="E10" s="15" t="n">
        <v>124.04</v>
      </c>
      <c r="F10" s="34" t="n">
        <v>44260</v>
      </c>
    </row>
    <row r="11">
      <c r="A11" s="34" t="n">
        <v>44263</v>
      </c>
      <c r="B11" s="266" t="n">
        <v>1.19573700428009</v>
      </c>
      <c r="C11" s="34" t="n">
        <v>44263</v>
      </c>
      <c r="D11" s="15" t="n">
        <v>132.6</v>
      </c>
      <c r="E11" s="15" t="n">
        <v>115.9</v>
      </c>
      <c r="F11" s="34" t="n">
        <v>44263</v>
      </c>
    </row>
    <row r="12">
      <c r="A12" s="34" t="n">
        <v>44264</v>
      </c>
      <c r="B12" s="266" t="n">
        <v>1.190508008003235</v>
      </c>
      <c r="C12" s="34" t="n">
        <v>44264</v>
      </c>
      <c r="D12" s="15" t="n">
        <v>128.2</v>
      </c>
      <c r="E12" s="15" t="n">
        <v>112.76</v>
      </c>
      <c r="F12" s="34" t="n">
        <v>44264</v>
      </c>
    </row>
    <row r="13">
      <c r="A13" s="34" t="n">
        <v>44265</v>
      </c>
      <c r="B13" s="266" t="n">
        <v>1.192862033843994</v>
      </c>
      <c r="C13" s="34" t="n">
        <v>44265</v>
      </c>
      <c r="D13" s="15" t="n">
        <v>130</v>
      </c>
      <c r="E13" s="15" t="n">
        <v>120.6</v>
      </c>
      <c r="F13" s="34" t="n">
        <v>44265</v>
      </c>
    </row>
    <row r="14">
      <c r="A14" s="34" t="n">
        <v>44266</v>
      </c>
      <c r="B14" s="266" t="n">
        <v>1.192729949951172</v>
      </c>
      <c r="C14" s="34" t="n">
        <v>44266</v>
      </c>
      <c r="D14" s="15" t="n">
        <v>134</v>
      </c>
      <c r="E14" s="15" t="n">
        <v>127.65</v>
      </c>
      <c r="F14" s="34" t="n">
        <v>44266</v>
      </c>
    </row>
    <row r="15">
      <c r="A15" s="34" t="n">
        <v>44267</v>
      </c>
      <c r="B15" s="266" t="n">
        <v>1.194437980651855</v>
      </c>
      <c r="C15" s="34" t="n">
        <v>44267</v>
      </c>
      <c r="D15" s="15" t="n">
        <v>131.5</v>
      </c>
      <c r="E15" s="15" t="n">
        <v>129.43</v>
      </c>
      <c r="F15" s="34" t="n">
        <v>44267</v>
      </c>
    </row>
    <row r="16">
      <c r="A16" s="34" t="n">
        <v>44270</v>
      </c>
      <c r="B16" s="266" t="n">
        <v>1.192193984985352</v>
      </c>
      <c r="C16" s="34" t="n">
        <v>44270</v>
      </c>
      <c r="D16" s="15" t="n">
        <v>131.5</v>
      </c>
      <c r="E16" s="15" t="n">
        <v>124.3</v>
      </c>
      <c r="F16" s="34" t="n">
        <v>44270</v>
      </c>
    </row>
    <row r="17">
      <c r="A17" s="34" t="n">
        <v>44271</v>
      </c>
      <c r="B17" s="266" t="n">
        <v>1.19435703754425</v>
      </c>
      <c r="C17" s="34" t="n">
        <v>44271</v>
      </c>
      <c r="D17" s="15" t="n">
        <v>133</v>
      </c>
      <c r="E17" s="15" t="n">
        <v>129.34</v>
      </c>
      <c r="F17" s="34" t="n">
        <v>44271</v>
      </c>
    </row>
    <row r="18">
      <c r="A18" s="34" t="n">
        <v>44272</v>
      </c>
      <c r="B18" s="266" t="n">
        <v>1.193485021591187</v>
      </c>
      <c r="C18" s="34" t="n">
        <v>44272</v>
      </c>
      <c r="D18" s="15" t="n">
        <v>139</v>
      </c>
      <c r="E18" s="15" t="n">
        <v>133.65</v>
      </c>
      <c r="F18" s="34" t="n">
        <v>44272</v>
      </c>
    </row>
    <row r="19">
      <c r="A19" s="34" t="n">
        <v>44273</v>
      </c>
      <c r="B19" s="266" t="n">
        <v>1.193969011306763</v>
      </c>
      <c r="C19" s="34" t="n">
        <v>44273</v>
      </c>
      <c r="D19" s="15" t="n">
        <v>144</v>
      </c>
      <c r="E19" s="15" t="n">
        <v>139.29</v>
      </c>
      <c r="F19" s="34" t="n">
        <v>44273</v>
      </c>
    </row>
    <row r="20">
      <c r="A20" s="34" t="n">
        <v>44274</v>
      </c>
      <c r="B20" s="266" t="n">
        <v>1.193438053131104</v>
      </c>
      <c r="C20" s="34" t="n">
        <v>44274</v>
      </c>
      <c r="D20" s="15" t="n">
        <v>150.5</v>
      </c>
      <c r="E20" s="15" t="n">
        <v>139</v>
      </c>
      <c r="F20" s="34" t="n">
        <v>44274</v>
      </c>
    </row>
    <row r="21">
      <c r="A21" s="34" t="n">
        <v>44277</v>
      </c>
      <c r="B21" s="266" t="n">
        <v>1.19117796421051</v>
      </c>
      <c r="C21" s="34" t="n">
        <v>44277</v>
      </c>
      <c r="D21" s="15" t="n">
        <v>137.6</v>
      </c>
      <c r="E21" s="15" t="n">
        <v>132.88</v>
      </c>
      <c r="F21" s="34" t="n">
        <v>44277</v>
      </c>
    </row>
    <row r="22">
      <c r="A22" s="34" t="n">
        <v>44278</v>
      </c>
      <c r="B22" s="266" t="n">
        <v>1.193459987640381</v>
      </c>
      <c r="C22" s="34" t="n">
        <v>44278</v>
      </c>
      <c r="D22" s="15" t="n">
        <v>133.9</v>
      </c>
      <c r="E22" s="15" t="n">
        <v>135.1</v>
      </c>
      <c r="F22" s="34" t="n">
        <v>44278</v>
      </c>
    </row>
    <row r="23">
      <c r="A23" s="34" t="n">
        <v>44279</v>
      </c>
      <c r="B23" s="266" t="n">
        <v>1.192219018936157</v>
      </c>
      <c r="C23" s="34" t="n">
        <v>44279</v>
      </c>
      <c r="D23" s="15" t="n">
        <v>132.1</v>
      </c>
      <c r="E23" s="15" t="n">
        <v>135</v>
      </c>
      <c r="F23" s="34" t="n">
        <v>44279</v>
      </c>
    </row>
    <row r="24">
      <c r="A24" s="34" t="n">
        <v>44280</v>
      </c>
      <c r="B24" s="266" t="n">
        <v>1.190415024757385</v>
      </c>
      <c r="C24" s="34" t="n">
        <v>44280</v>
      </c>
      <c r="D24" s="15" t="n">
        <v>131</v>
      </c>
      <c r="E24" s="15" t="n">
        <v>138.66</v>
      </c>
      <c r="F24" s="34" t="n">
        <v>44280</v>
      </c>
    </row>
    <row r="25">
      <c r="A25" s="34" t="n">
        <v>44281</v>
      </c>
      <c r="B25" s="266" t="n">
        <v>1.186736941337585</v>
      </c>
      <c r="C25" s="34" t="n">
        <v>44281</v>
      </c>
      <c r="D25" s="15" t="n">
        <v>137.4</v>
      </c>
      <c r="E25" s="15" t="n">
        <v>146.84</v>
      </c>
      <c r="F25" s="34" t="n">
        <v>44281</v>
      </c>
    </row>
    <row r="26">
      <c r="A26" s="34" t="n">
        <v>44284</v>
      </c>
      <c r="B26" s="266" t="n">
        <v>1.186522006988525</v>
      </c>
      <c r="C26" s="34" t="n">
        <v>44284</v>
      </c>
      <c r="D26" s="15" t="n">
        <v>138.2</v>
      </c>
      <c r="E26" s="15" t="n">
        <v>147.2</v>
      </c>
      <c r="F26" s="34" t="n">
        <v>44284</v>
      </c>
    </row>
    <row r="27">
      <c r="A27" s="34" t="n">
        <v>44285</v>
      </c>
      <c r="B27" s="266" t="n">
        <v>1.183037996292114</v>
      </c>
      <c r="C27" s="34" t="n">
        <v>44285</v>
      </c>
      <c r="D27" s="15" t="n">
        <v>137</v>
      </c>
      <c r="E27" s="15" t="n">
        <v>144.03</v>
      </c>
      <c r="F27" s="34" t="n">
        <v>44285</v>
      </c>
    </row>
    <row r="28">
      <c r="A28" s="34" t="n">
        <v>44286</v>
      </c>
      <c r="B28" s="266" t="n">
        <v>1.183210968971252</v>
      </c>
      <c r="C28" s="34" t="n">
        <v>44286</v>
      </c>
      <c r="D28" s="15" t="n">
        <v>134.4</v>
      </c>
      <c r="E28" s="15" t="n">
        <v>145.8</v>
      </c>
      <c r="F28" s="34" t="n">
        <v>44286</v>
      </c>
    </row>
    <row r="29">
      <c r="A29" s="34" t="n">
        <v>44287</v>
      </c>
      <c r="B29" s="266" t="n">
        <v>1.186334013938904</v>
      </c>
      <c r="C29" s="34" t="n">
        <v>44287</v>
      </c>
      <c r="D29" s="15" t="n">
        <v>139</v>
      </c>
      <c r="E29" s="15" t="n">
        <v>146.6</v>
      </c>
      <c r="F29" s="34" t="n">
        <v>44287</v>
      </c>
    </row>
    <row r="30">
      <c r="A30" s="34" t="n">
        <v>44293</v>
      </c>
      <c r="B30" s="266" t="n">
        <v>1.189563989639282</v>
      </c>
      <c r="C30" s="34" t="n">
        <v>44293</v>
      </c>
      <c r="D30" s="15" t="n">
        <v>137.8</v>
      </c>
      <c r="E30" s="15" t="n">
        <v>149.21</v>
      </c>
      <c r="F30" s="34" t="n">
        <v>44293</v>
      </c>
    </row>
    <row r="31">
      <c r="A31" s="34" t="n">
        <v>44294</v>
      </c>
      <c r="B31" s="266" t="n">
        <v>1.189808964729309</v>
      </c>
      <c r="C31" s="34" t="n">
        <v>44294</v>
      </c>
      <c r="D31" s="15" t="n">
        <v>142.5</v>
      </c>
      <c r="E31" s="15" t="n">
        <v>151.6</v>
      </c>
      <c r="F31" s="34" t="n">
        <v>44294</v>
      </c>
    </row>
    <row r="32">
      <c r="A32" s="34" t="n">
        <v>44295</v>
      </c>
      <c r="B32" s="266" t="n">
        <v>1.186974048614502</v>
      </c>
      <c r="C32" s="34" t="n">
        <v>44295</v>
      </c>
      <c r="D32" s="15" t="n">
        <v>140.3</v>
      </c>
      <c r="E32" s="15" t="n">
        <v>147.66</v>
      </c>
      <c r="F32" s="34" t="n">
        <v>44295</v>
      </c>
    </row>
    <row r="33">
      <c r="A33" s="34" t="n">
        <v>44298</v>
      </c>
      <c r="B33" s="266" t="n">
        <v>1.190551042556763</v>
      </c>
      <c r="C33" s="34" t="n">
        <v>44298</v>
      </c>
      <c r="D33" s="15" t="n">
        <v>137.6</v>
      </c>
      <c r="E33" s="15" t="n">
        <v>143.62</v>
      </c>
      <c r="F33" s="34" t="n">
        <v>44298</v>
      </c>
    </row>
    <row r="34">
      <c r="A34" s="34" t="n">
        <v>44299</v>
      </c>
      <c r="B34" s="266" t="n">
        <v>1.186725974082947</v>
      </c>
      <c r="C34" s="34" t="n">
        <v>44299</v>
      </c>
      <c r="D34" s="15" t="n">
        <v>135</v>
      </c>
      <c r="E34" s="15" t="n">
        <v>144.5</v>
      </c>
      <c r="F34" s="34" t="n">
        <v>44299</v>
      </c>
    </row>
    <row r="35">
      <c r="A35" s="34" t="n">
        <v>44300</v>
      </c>
      <c r="B35" s="266" t="n">
        <v>1.187383055686951</v>
      </c>
      <c r="C35" s="34" t="n">
        <v>44300</v>
      </c>
      <c r="D35" s="15" t="n">
        <v>132.9</v>
      </c>
      <c r="E35" s="15" t="n">
        <v>144.53</v>
      </c>
      <c r="F35" s="34" t="n">
        <v>44300</v>
      </c>
    </row>
    <row r="36">
      <c r="A36" s="34" t="n">
        <v>44301</v>
      </c>
      <c r="B36" s="266" t="n">
        <v>1.189152002334595</v>
      </c>
      <c r="C36" s="34" t="n">
        <v>44301</v>
      </c>
      <c r="D36" s="15" t="n">
        <v>133.1</v>
      </c>
      <c r="E36" s="15" t="n">
        <v>148.2</v>
      </c>
      <c r="F36" s="34" t="n">
        <v>44301</v>
      </c>
    </row>
    <row r="37">
      <c r="A37" s="34" t="n">
        <v>44302</v>
      </c>
      <c r="B37" s="266" t="n">
        <v>1.190605044364929</v>
      </c>
      <c r="C37" s="34" t="n">
        <v>44302</v>
      </c>
      <c r="D37" s="15" t="n">
        <v>134.1</v>
      </c>
      <c r="E37" s="15" t="n">
        <v>145.22</v>
      </c>
      <c r="F37" s="34" t="n">
        <v>44302</v>
      </c>
    </row>
    <row r="38">
      <c r="A38" s="34" t="n">
        <v>44305</v>
      </c>
      <c r="B38" s="266" t="n">
        <v>1.188281059265137</v>
      </c>
      <c r="C38" s="34" t="n">
        <v>44305</v>
      </c>
      <c r="D38" s="15" t="n">
        <v>135.9</v>
      </c>
      <c r="E38" s="15" t="n">
        <v>149.62</v>
      </c>
      <c r="F38" s="34" t="n">
        <v>44305</v>
      </c>
    </row>
    <row r="39">
      <c r="A39" s="34" t="n">
        <v>44306</v>
      </c>
      <c r="B39" s="266" t="n">
        <v>1.192937016487122</v>
      </c>
      <c r="C39" s="34" t="n">
        <v>44306</v>
      </c>
      <c r="D39" s="15" t="n">
        <v>139.5</v>
      </c>
      <c r="E39" s="15" t="n">
        <v>155.65</v>
      </c>
      <c r="F39" s="34" t="n">
        <v>44306</v>
      </c>
    </row>
    <row r="40">
      <c r="A40" s="34" t="n">
        <v>44307</v>
      </c>
      <c r="B40" s="266" t="n">
        <v>1.194049954414368</v>
      </c>
      <c r="C40" s="34" t="n">
        <v>44307</v>
      </c>
      <c r="D40" s="15" t="n">
        <v>143.2</v>
      </c>
      <c r="E40" s="15" t="n">
        <v>155.29</v>
      </c>
      <c r="F40" s="34" t="n">
        <v>44307</v>
      </c>
    </row>
    <row r="41">
      <c r="A41" s="34" t="n">
        <v>44308</v>
      </c>
      <c r="B41" s="266" t="n">
        <v>1.19568395614624</v>
      </c>
      <c r="C41" s="34" t="n">
        <v>44308</v>
      </c>
      <c r="D41" s="15" t="n">
        <v>141.3</v>
      </c>
      <c r="E41" s="15" t="n">
        <v>155</v>
      </c>
      <c r="F41" s="34" t="n">
        <v>44308</v>
      </c>
    </row>
    <row r="42">
      <c r="A42" s="34" t="n">
        <v>44309</v>
      </c>
      <c r="B42" s="266" t="n">
        <v>1.195209980010986</v>
      </c>
      <c r="C42" s="34" t="n">
        <v>44309</v>
      </c>
      <c r="D42" s="15" t="n">
        <v>144</v>
      </c>
      <c r="E42" s="15" t="n">
        <v>157.3</v>
      </c>
      <c r="F42" s="34" t="n">
        <v>44309</v>
      </c>
    </row>
    <row r="43">
      <c r="A43" s="34" t="n">
        <v>44312</v>
      </c>
      <c r="B43" s="266" t="n">
        <v>1.193734049797058</v>
      </c>
      <c r="C43" s="34" t="n">
        <v>44312</v>
      </c>
      <c r="D43" s="15" t="n">
        <v>141.3</v>
      </c>
      <c r="E43" s="15" t="n">
        <v>151.98</v>
      </c>
      <c r="F43" s="34" t="n">
        <v>44312</v>
      </c>
    </row>
    <row r="44">
      <c r="A44" s="34" t="n">
        <v>44313</v>
      </c>
      <c r="B44" s="266" t="n">
        <v>1.196540951728821</v>
      </c>
      <c r="C44" s="34" t="n">
        <v>44313</v>
      </c>
      <c r="D44" s="15" t="n">
        <v>142.9</v>
      </c>
      <c r="E44" s="15" t="n">
        <v>158.39</v>
      </c>
      <c r="F44" s="34" t="n">
        <v>44313</v>
      </c>
    </row>
    <row r="45">
      <c r="A45" s="34" t="n">
        <v>44314</v>
      </c>
      <c r="B45" s="266" t="n">
        <v>1.197249054908752</v>
      </c>
      <c r="C45" s="34" t="n">
        <v>44314</v>
      </c>
      <c r="D45" s="15" t="n">
        <v>144.2</v>
      </c>
      <c r="E45" s="15" t="n">
        <v>163.37</v>
      </c>
      <c r="F45" s="34" t="n">
        <v>44314</v>
      </c>
    </row>
    <row r="46">
      <c r="A46" s="34" t="n">
        <v>44315</v>
      </c>
      <c r="B46" s="266" t="n">
        <v>1.197950005531311</v>
      </c>
      <c r="C46" s="34" t="n">
        <v>44315</v>
      </c>
      <c r="D46" s="15" t="n">
        <v>145.5</v>
      </c>
      <c r="E46" s="15" t="n">
        <v>160.2</v>
      </c>
      <c r="F46" s="34" t="n">
        <v>44315</v>
      </c>
    </row>
    <row r="47">
      <c r="A47" s="34" t="n">
        <v>44316</v>
      </c>
      <c r="B47" s="266" t="n">
        <v>1.199563026428223</v>
      </c>
      <c r="C47" s="34" t="n">
        <v>44316</v>
      </c>
      <c r="D47" s="15" t="n">
        <v>140</v>
      </c>
      <c r="E47" s="15" t="n">
        <v>152.55</v>
      </c>
      <c r="F47" s="34" t="n">
        <v>44316</v>
      </c>
    </row>
    <row r="48">
      <c r="A48" s="34" t="n">
        <v>44319</v>
      </c>
      <c r="B48" s="266" t="n">
        <v>1.200216054916382</v>
      </c>
      <c r="C48" s="34" t="n">
        <v>44319</v>
      </c>
      <c r="D48" s="15" t="n">
        <v>139.8</v>
      </c>
      <c r="E48" s="15" t="n">
        <v>152.55</v>
      </c>
      <c r="F48" s="34" t="n">
        <v>44316</v>
      </c>
    </row>
    <row r="49">
      <c r="A49" s="34" t="n">
        <v>44320</v>
      </c>
      <c r="B49" s="266" t="n">
        <v>1.199635982513428</v>
      </c>
      <c r="C49" s="34" t="n">
        <v>44320</v>
      </c>
      <c r="D49" s="15" t="n">
        <v>139.4</v>
      </c>
      <c r="E49" s="15" t="n">
        <v>152.55</v>
      </c>
      <c r="F49" s="34" t="n">
        <v>44316</v>
      </c>
    </row>
    <row r="50">
      <c r="A50" s="34" t="n">
        <v>44321</v>
      </c>
      <c r="B50" s="266" t="n">
        <v>1.200139045715332</v>
      </c>
      <c r="C50" s="34" t="n">
        <v>44321</v>
      </c>
      <c r="D50" s="15" t="n">
        <v>136.2</v>
      </c>
      <c r="E50" s="15" t="n">
        <v>152.55</v>
      </c>
      <c r="F50" s="34" t="n">
        <v>44316</v>
      </c>
    </row>
    <row r="51">
      <c r="A51" s="34" t="n">
        <v>44322</v>
      </c>
      <c r="B51" s="266" t="n">
        <v>1.20035994052887</v>
      </c>
      <c r="C51" s="34" t="n">
        <v>44322</v>
      </c>
      <c r="D51" s="15" t="n">
        <v>138.9</v>
      </c>
      <c r="E51" s="15" t="n">
        <v>144.11</v>
      </c>
      <c r="F51" s="34" t="n">
        <v>44322</v>
      </c>
    </row>
    <row r="52">
      <c r="A52" s="34" t="n">
        <v>44323</v>
      </c>
      <c r="B52" s="266" t="n">
        <v>1.201549053192139</v>
      </c>
      <c r="C52" s="34" t="n">
        <v>44323</v>
      </c>
      <c r="D52" s="15" t="n">
        <v>136.6</v>
      </c>
      <c r="E52" s="15" t="n">
        <v>139.25</v>
      </c>
      <c r="F52" s="34" t="n">
        <v>44323</v>
      </c>
    </row>
    <row r="53">
      <c r="A53" s="34" t="n">
        <v>44326</v>
      </c>
      <c r="B53" s="266" t="n">
        <v>1.207831978797913</v>
      </c>
      <c r="C53" s="34" t="n">
        <v>44326</v>
      </c>
      <c r="D53" s="15" t="n">
        <v>137.9</v>
      </c>
      <c r="E53" s="15" t="n">
        <v>141.45</v>
      </c>
      <c r="F53" s="34" t="n">
        <v>44326</v>
      </c>
    </row>
    <row r="54">
      <c r="A54" s="34" t="n">
        <v>44327</v>
      </c>
      <c r="B54" s="266" t="n">
        <v>1.210186958312988</v>
      </c>
      <c r="C54" s="34" t="n">
        <v>44327</v>
      </c>
      <c r="D54" s="15" t="n">
        <v>139</v>
      </c>
      <c r="E54" s="15" t="n">
        <v>145.79</v>
      </c>
      <c r="F54" s="34" t="n">
        <v>44327</v>
      </c>
    </row>
    <row r="55">
      <c r="A55" s="34" t="n">
        <v>44328</v>
      </c>
      <c r="B55" s="266" t="n">
        <v>1.20771598815918</v>
      </c>
      <c r="C55" s="34" t="n">
        <v>44328</v>
      </c>
      <c r="D55" s="15" t="n">
        <v>139</v>
      </c>
      <c r="E55" s="15" t="n">
        <v>152.03</v>
      </c>
      <c r="F55" s="34" t="n">
        <v>44328</v>
      </c>
    </row>
    <row r="56">
      <c r="A56" s="34" t="n">
        <v>44329</v>
      </c>
      <c r="B56" s="266" t="n">
        <v>1.202836990356445</v>
      </c>
      <c r="C56" s="34" t="n">
        <v>44329</v>
      </c>
      <c r="D56" s="15" t="n">
        <v>138</v>
      </c>
      <c r="E56" s="15" t="n">
        <v>151.98</v>
      </c>
      <c r="F56" s="34" t="n">
        <v>44329</v>
      </c>
    </row>
    <row r="57">
      <c r="A57" s="34" t="n">
        <v>44330</v>
      </c>
      <c r="B57" s="266" t="n">
        <v>1.203922033309937</v>
      </c>
      <c r="C57" s="34" t="n">
        <v>44330</v>
      </c>
      <c r="D57" s="15" t="n">
        <v>138.8</v>
      </c>
      <c r="E57" s="15" t="n">
        <v>153.09</v>
      </c>
      <c r="F57" s="34" t="n">
        <v>44330</v>
      </c>
    </row>
    <row r="58">
      <c r="A58" s="34" t="n">
        <v>44333</v>
      </c>
      <c r="B58" s="266" t="n">
        <v>1.207257032394409</v>
      </c>
      <c r="C58" s="34" t="n">
        <v>44333</v>
      </c>
      <c r="D58" s="15" t="n">
        <v>141.8</v>
      </c>
      <c r="E58" s="15" t="n">
        <v>161.4</v>
      </c>
      <c r="F58" s="34" t="n">
        <v>44333</v>
      </c>
    </row>
    <row r="59">
      <c r="A59" s="34" t="n">
        <v>44334</v>
      </c>
      <c r="B59" s="266" t="n">
        <v>1.206032037734985</v>
      </c>
      <c r="C59" s="34" t="n">
        <v>44334</v>
      </c>
      <c r="D59" s="15" t="n">
        <v>139.3</v>
      </c>
      <c r="E59" s="15" t="n">
        <v>159.9</v>
      </c>
      <c r="F59" s="34" t="n">
        <v>44334</v>
      </c>
    </row>
    <row r="60">
      <c r="A60" s="34" t="n">
        <v>44336</v>
      </c>
      <c r="B60" s="266" t="n">
        <v>1.206100940704346</v>
      </c>
      <c r="C60" s="34" t="n">
        <v>44336</v>
      </c>
      <c r="D60" s="15" t="n">
        <v>141.3</v>
      </c>
      <c r="E60" s="15" t="n">
        <v>167.8</v>
      </c>
      <c r="F60" s="34" t="n">
        <v>44336</v>
      </c>
    </row>
    <row r="61">
      <c r="A61" s="34" t="n">
        <v>44337</v>
      </c>
      <c r="B61" s="266" t="n">
        <v>1.206097006797791</v>
      </c>
      <c r="C61" s="34" t="n">
        <v>44337</v>
      </c>
      <c r="D61" s="15" t="n">
        <v>145</v>
      </c>
      <c r="E61" s="15" t="n">
        <v>167.99</v>
      </c>
      <c r="F61" s="34" t="n">
        <v>44337</v>
      </c>
    </row>
    <row r="62">
      <c r="A62" s="34" t="n">
        <v>44340</v>
      </c>
      <c r="B62" s="266" t="n">
        <v>1.206681966781616</v>
      </c>
      <c r="C62" s="34" t="n">
        <v>44340</v>
      </c>
      <c r="D62" s="15" t="n">
        <v>148.9</v>
      </c>
      <c r="E62" s="15" t="n">
        <v>169.59</v>
      </c>
      <c r="F62" s="34" t="n">
        <v>44340</v>
      </c>
    </row>
    <row r="63">
      <c r="A63" s="34" t="n">
        <v>44341</v>
      </c>
      <c r="B63" s="266" t="n">
        <v>1.209483981132507</v>
      </c>
      <c r="C63" s="34" t="n">
        <v>44341</v>
      </c>
      <c r="D63" s="15" t="n">
        <v>151.5</v>
      </c>
      <c r="E63" s="15" t="n">
        <v>172.25</v>
      </c>
      <c r="F63" s="34" t="n">
        <v>44341</v>
      </c>
    </row>
    <row r="64">
      <c r="A64" s="34" t="n">
        <v>44342</v>
      </c>
      <c r="B64" s="266" t="n">
        <v>1.210641980171204</v>
      </c>
      <c r="C64" s="34" t="n">
        <v>44342</v>
      </c>
      <c r="D64" s="15" t="n">
        <v>149.2</v>
      </c>
      <c r="E64" s="15" t="n">
        <v>171.4</v>
      </c>
      <c r="F64" s="34" t="n">
        <v>44342</v>
      </c>
    </row>
    <row r="65">
      <c r="A65" s="34" t="n">
        <v>44343</v>
      </c>
      <c r="B65" s="266" t="n">
        <v>1.214640974998474</v>
      </c>
      <c r="C65" s="34" t="n">
        <v>44343</v>
      </c>
      <c r="D65" s="15" t="n">
        <v>152.1</v>
      </c>
      <c r="E65" s="15" t="n">
        <v>173.45</v>
      </c>
      <c r="F65" s="34" t="n">
        <v>44343</v>
      </c>
    </row>
    <row r="66">
      <c r="A66" s="34" t="n">
        <v>44344</v>
      </c>
      <c r="B66" s="266" t="n">
        <v>1.215752959251404</v>
      </c>
      <c r="C66" s="34" t="n">
        <v>44344</v>
      </c>
      <c r="D66" s="15" t="n">
        <v>148.1</v>
      </c>
      <c r="E66" s="15" t="n">
        <v>164.15</v>
      </c>
      <c r="F66" s="34" t="n">
        <v>44344</v>
      </c>
    </row>
    <row r="67">
      <c r="A67" s="34" t="n">
        <v>44347</v>
      </c>
      <c r="B67" s="266" t="n">
        <v>1.2186199426651</v>
      </c>
      <c r="C67" s="34" t="n">
        <v>44347</v>
      </c>
      <c r="D67" s="15" t="n">
        <v>152</v>
      </c>
      <c r="E67" s="15" t="n">
        <v>170.15</v>
      </c>
      <c r="F67" s="34" t="n">
        <v>44347</v>
      </c>
    </row>
    <row r="68">
      <c r="A68" s="34" t="n">
        <v>44348</v>
      </c>
      <c r="B68" s="266" t="n">
        <v>1.218160033226013</v>
      </c>
      <c r="C68" s="34" t="n">
        <v>44348</v>
      </c>
      <c r="D68" s="15" t="n">
        <v>157.3</v>
      </c>
      <c r="E68" s="15" t="n">
        <v>171.92</v>
      </c>
      <c r="F68" s="34" t="n">
        <v>44348</v>
      </c>
    </row>
    <row r="69">
      <c r="A69" s="34" t="n">
        <v>44349</v>
      </c>
      <c r="B69" s="266" t="n">
        <v>1.21582305431366</v>
      </c>
      <c r="C69" s="34" t="n">
        <v>44349</v>
      </c>
      <c r="D69" s="15" t="n">
        <v>153.8</v>
      </c>
      <c r="E69" s="15" t="n">
        <v>170.53</v>
      </c>
      <c r="F69" s="34" t="n">
        <v>44349</v>
      </c>
    </row>
    <row r="70">
      <c r="A70" s="34" t="n">
        <v>44350</v>
      </c>
      <c r="B70" s="266" t="n">
        <v>1.215476989746094</v>
      </c>
      <c r="C70" s="34" t="n">
        <v>44350</v>
      </c>
      <c r="D70" s="15" t="n">
        <v>152.2</v>
      </c>
      <c r="E70" s="15" t="n">
        <v>172.7</v>
      </c>
      <c r="F70" s="34" t="n">
        <v>44350</v>
      </c>
    </row>
    <row r="71">
      <c r="A71" s="34" t="n">
        <v>44351</v>
      </c>
      <c r="B71" s="266" t="n">
        <v>1.211403012275696</v>
      </c>
      <c r="C71" s="34" t="n">
        <v>44351</v>
      </c>
      <c r="D71" s="15" t="n">
        <v>151.4</v>
      </c>
      <c r="E71" s="15" t="n">
        <v>173.6</v>
      </c>
      <c r="F71" s="34" t="n">
        <v>44351</v>
      </c>
    </row>
    <row r="72">
      <c r="A72" s="34" t="n">
        <v>44354</v>
      </c>
      <c r="B72" s="266" t="n">
        <v>1.212669014930725</v>
      </c>
      <c r="C72" s="34" t="n">
        <v>44354</v>
      </c>
      <c r="D72" s="15" t="n">
        <v>150.4</v>
      </c>
      <c r="E72" s="15" t="n">
        <v>181.06</v>
      </c>
      <c r="F72" s="34" t="n">
        <v>44354</v>
      </c>
    </row>
    <row r="73">
      <c r="A73" s="34" t="n">
        <v>44355</v>
      </c>
      <c r="B73" s="266" t="n">
        <v>1.212720990180969</v>
      </c>
      <c r="C73" s="34" t="n">
        <v>44355</v>
      </c>
      <c r="D73" s="15" t="n">
        <v>154</v>
      </c>
      <c r="E73" s="15" t="n">
        <v>179.68</v>
      </c>
      <c r="F73" s="34" t="n">
        <v>44355</v>
      </c>
    </row>
    <row r="74">
      <c r="A74" s="34" t="n">
        <v>44356</v>
      </c>
      <c r="B74" s="266" t="n">
        <v>1.212111949920654</v>
      </c>
      <c r="C74" s="34" t="n">
        <v>44356</v>
      </c>
      <c r="D74" s="15" t="n">
        <v>153.5</v>
      </c>
      <c r="E74" s="15" t="n">
        <v>178.97</v>
      </c>
      <c r="F74" s="34" t="n">
        <v>44356</v>
      </c>
    </row>
    <row r="75">
      <c r="A75" s="34" t="n">
        <v>44357</v>
      </c>
      <c r="B75" s="266" t="n">
        <v>1.214655041694641</v>
      </c>
      <c r="C75" s="34" t="n">
        <v>44357</v>
      </c>
      <c r="D75" s="15" t="n">
        <v>154</v>
      </c>
      <c r="E75" s="15" t="n">
        <v>183.17</v>
      </c>
      <c r="F75" s="34" t="n">
        <v>44357</v>
      </c>
    </row>
    <row r="76">
      <c r="A76" s="34" t="n">
        <v>44358</v>
      </c>
      <c r="B76" s="266" t="n">
        <v>1.2136310338974</v>
      </c>
      <c r="C76" s="34" t="n">
        <v>44358</v>
      </c>
      <c r="D76" s="15" t="n">
        <v>160</v>
      </c>
      <c r="E76" s="15" t="n">
        <v>179.47</v>
      </c>
      <c r="F76" s="34" t="n">
        <v>44358</v>
      </c>
    </row>
    <row r="77">
      <c r="A77" s="34" t="n">
        <v>44362</v>
      </c>
      <c r="B77" s="266" t="n">
        <v>1.212633013725281</v>
      </c>
      <c r="C77" s="34" t="n">
        <v>44362</v>
      </c>
      <c r="D77" s="15" t="n">
        <v>159.2</v>
      </c>
      <c r="E77" s="15" t="n">
        <v>183.5</v>
      </c>
      <c r="F77" s="34" t="n">
        <v>44362</v>
      </c>
    </row>
    <row r="78">
      <c r="A78" s="34" t="n">
        <v>44363</v>
      </c>
      <c r="B78" s="266" t="n">
        <v>1.211632966995239</v>
      </c>
      <c r="C78" s="34" t="n">
        <v>44363</v>
      </c>
      <c r="D78" s="15" t="n">
        <v>157.7</v>
      </c>
      <c r="E78" s="15" t="n">
        <v>173.31</v>
      </c>
      <c r="F78" s="34" t="n">
        <v>44363</v>
      </c>
    </row>
    <row r="79">
      <c r="A79" s="34" t="n">
        <v>44364</v>
      </c>
      <c r="B79" s="266" t="n">
        <v>1.214179039001465</v>
      </c>
      <c r="C79" s="34" t="n">
        <v>44364</v>
      </c>
      <c r="D79" s="15" t="n">
        <v>159.3</v>
      </c>
      <c r="E79" s="15" t="n">
        <v>177.77</v>
      </c>
      <c r="F79" s="34" t="n">
        <v>44364</v>
      </c>
    </row>
    <row r="80">
      <c r="A80" s="34" t="n">
        <v>44365</v>
      </c>
      <c r="B80" s="266" t="n">
        <v>1.204177021980286</v>
      </c>
      <c r="C80" s="34" t="n">
        <v>44365</v>
      </c>
      <c r="D80" s="15" t="n">
        <v>159.3</v>
      </c>
      <c r="E80" s="15" t="n">
        <v>179.25</v>
      </c>
      <c r="F80" s="34" t="n">
        <v>44365</v>
      </c>
    </row>
    <row r="81">
      <c r="A81" s="34" t="n">
        <v>44368</v>
      </c>
      <c r="B81" s="266" t="n">
        <v>1.203835964202881</v>
      </c>
      <c r="C81" s="34" t="n">
        <v>44368</v>
      </c>
      <c r="D81" s="15" t="n">
        <v>165.9</v>
      </c>
      <c r="E81" s="15" t="n">
        <v>186.04</v>
      </c>
      <c r="F81" s="34" t="n">
        <v>44368</v>
      </c>
    </row>
    <row r="82">
      <c r="A82" s="34" t="n">
        <v>44369</v>
      </c>
      <c r="B82" s="266" t="n">
        <v>1.200553059577942</v>
      </c>
      <c r="C82" s="34" t="n">
        <v>44369</v>
      </c>
      <c r="D82" s="15" t="n">
        <v>164.8</v>
      </c>
      <c r="E82" s="15" t="n">
        <v>189.03</v>
      </c>
      <c r="F82" s="34" t="n">
        <v>44369</v>
      </c>
    </row>
    <row r="83">
      <c r="A83" s="34" t="n">
        <v>44370</v>
      </c>
      <c r="B83" s="266" t="n">
        <v>1.197747945785522</v>
      </c>
      <c r="C83" s="34" t="n">
        <v>44370</v>
      </c>
      <c r="D83" s="15" t="n">
        <v>123</v>
      </c>
      <c r="E83" s="15" t="n">
        <v>187.64</v>
      </c>
      <c r="F83" s="34" t="n">
        <v>44370</v>
      </c>
    </row>
    <row r="84">
      <c r="A84" s="34" t="n">
        <v>44371</v>
      </c>
      <c r="B84" s="266" t="n">
        <v>1.199615001678467</v>
      </c>
      <c r="C84" s="34" t="n">
        <v>44371</v>
      </c>
      <c r="D84" s="15" t="n">
        <v>125</v>
      </c>
      <c r="E84" s="15" t="n">
        <v>178.15</v>
      </c>
      <c r="F84" s="34" t="n">
        <v>44371</v>
      </c>
    </row>
    <row r="85">
      <c r="A85" s="34" t="n">
        <v>44372</v>
      </c>
      <c r="B85" s="266" t="n">
        <v>1.199291944503784</v>
      </c>
      <c r="C85" s="34" t="n">
        <v>44372</v>
      </c>
      <c r="D85" s="15" t="n">
        <v>127.1</v>
      </c>
      <c r="E85" s="15" t="n">
        <v>184.36</v>
      </c>
      <c r="F85" s="34" t="n">
        <v>44372</v>
      </c>
    </row>
    <row r="86">
      <c r="A86" s="34" t="n">
        <v>44375</v>
      </c>
      <c r="B86" s="266" t="n">
        <v>1.198318958282471</v>
      </c>
      <c r="C86" s="34" t="n">
        <v>44375</v>
      </c>
      <c r="D86" s="15" t="n">
        <v>128.8</v>
      </c>
      <c r="E86" s="15" t="n">
        <v>186.6</v>
      </c>
      <c r="F86" s="34" t="n">
        <v>44375</v>
      </c>
    </row>
    <row r="87">
      <c r="A87" s="34" t="n">
        <v>44376</v>
      </c>
      <c r="B87" s="266" t="n">
        <v>1.202309012413025</v>
      </c>
      <c r="C87" s="34" t="n">
        <v>44376</v>
      </c>
      <c r="D87" s="15" t="n">
        <v>123.3</v>
      </c>
      <c r="E87" s="15" t="n">
        <v>184.03</v>
      </c>
      <c r="F87" s="34" t="n">
        <v>44376</v>
      </c>
    </row>
    <row r="88">
      <c r="A88" s="34" t="n">
        <v>44377</v>
      </c>
      <c r="B88" s="266" t="n">
        <v>1.201323986053467</v>
      </c>
      <c r="C88" s="34" t="n">
        <v>44377</v>
      </c>
      <c r="D88" s="15" t="n">
        <v>125</v>
      </c>
      <c r="E88" s="15" t="n">
        <v>183.75</v>
      </c>
      <c r="F88" s="34" t="n">
        <v>44377</v>
      </c>
    </row>
    <row r="89">
      <c r="A89" s="34" t="n">
        <v>44379</v>
      </c>
      <c r="B89" s="266" t="n">
        <v>1.200420022010803</v>
      </c>
      <c r="C89" s="34" t="n">
        <v>44379</v>
      </c>
      <c r="D89" s="15" t="n">
        <v>122.5</v>
      </c>
      <c r="E89" s="15" t="n">
        <v>172.72</v>
      </c>
      <c r="F89" s="34" t="n">
        <v>44379</v>
      </c>
    </row>
    <row r="90">
      <c r="A90" s="34" t="n">
        <v>44382</v>
      </c>
      <c r="B90" s="266" t="n">
        <v>1.202847957611084</v>
      </c>
      <c r="C90" s="34" t="n">
        <v>44382</v>
      </c>
      <c r="D90" s="15" t="n">
        <v>115.4</v>
      </c>
      <c r="E90" s="15" t="n">
        <v>160.62</v>
      </c>
      <c r="F90" s="34" t="n">
        <v>44382</v>
      </c>
    </row>
    <row r="91">
      <c r="A91" s="34" t="n">
        <v>44383</v>
      </c>
      <c r="B91" s="266" t="n">
        <v>1.2012779712677</v>
      </c>
      <c r="C91" s="34" t="n">
        <v>44383</v>
      </c>
      <c r="D91" s="15" t="n">
        <v>112.3</v>
      </c>
      <c r="E91" s="15" t="n">
        <v>155.01</v>
      </c>
      <c r="F91" s="34" t="n">
        <v>44383</v>
      </c>
    </row>
    <row r="92">
      <c r="A92" s="34" t="n">
        <v>44384</v>
      </c>
      <c r="B92" s="266" t="n">
        <v>1.198331952095032</v>
      </c>
      <c r="C92" s="34" t="n">
        <v>44384</v>
      </c>
      <c r="D92" s="15" t="n">
        <v>116.4</v>
      </c>
      <c r="E92" s="15" t="n">
        <v>159.75</v>
      </c>
      <c r="F92" s="34" t="n">
        <v>44384</v>
      </c>
    </row>
    <row r="93">
      <c r="A93" s="34" t="n">
        <v>44385</v>
      </c>
      <c r="B93" s="266" t="n">
        <v>1.19966995716095</v>
      </c>
      <c r="C93" s="34" t="n">
        <v>44385</v>
      </c>
      <c r="D93" s="15" t="n">
        <v>108</v>
      </c>
      <c r="E93" s="15" t="n">
        <v>157.93</v>
      </c>
      <c r="F93" s="34" t="n">
        <v>44385</v>
      </c>
    </row>
    <row r="94">
      <c r="A94" s="34" t="n">
        <v>44386</v>
      </c>
      <c r="B94" s="266" t="n">
        <v>1.196645021438599</v>
      </c>
      <c r="C94" s="34" t="n">
        <v>44386</v>
      </c>
      <c r="D94" s="15" t="n">
        <v>108.4</v>
      </c>
      <c r="E94" s="15" t="n">
        <v>160.38</v>
      </c>
      <c r="F94" s="34" t="n">
        <v>44386</v>
      </c>
    </row>
    <row r="95">
      <c r="A95" s="34" t="n">
        <v>44389</v>
      </c>
      <c r="B95" s="266" t="n">
        <v>1.198264002799988</v>
      </c>
      <c r="C95" s="34" t="n">
        <v>44389</v>
      </c>
      <c r="D95" s="15" t="n">
        <v>117</v>
      </c>
      <c r="E95" s="15" t="n">
        <v>175.65</v>
      </c>
      <c r="F95" s="34" t="n">
        <v>44389</v>
      </c>
    </row>
    <row r="96">
      <c r="A96" s="34" t="n">
        <v>44390</v>
      </c>
      <c r="B96" s="266" t="n">
        <v>1.199296951293945</v>
      </c>
      <c r="C96" s="34" t="n">
        <v>44390</v>
      </c>
      <c r="D96" s="15" t="n">
        <v>115.4</v>
      </c>
      <c r="E96" s="15" t="n">
        <v>181.5</v>
      </c>
      <c r="F96" s="34" t="n">
        <v>44390</v>
      </c>
    </row>
    <row r="97">
      <c r="A97" s="34" t="n">
        <v>44391</v>
      </c>
      <c r="B97" s="266" t="n">
        <v>1.200353026390076</v>
      </c>
      <c r="C97" s="34" t="n">
        <v>44391</v>
      </c>
      <c r="D97" s="15" t="n">
        <v>126</v>
      </c>
      <c r="E97" s="15" t="n">
        <v>188.51</v>
      </c>
      <c r="F97" s="34" t="n">
        <v>44391</v>
      </c>
    </row>
    <row r="98">
      <c r="A98" s="34" t="n">
        <v>44392</v>
      </c>
      <c r="B98" s="266" t="n">
        <v>1.200253009796143</v>
      </c>
      <c r="C98" s="34" t="n">
        <v>44392</v>
      </c>
      <c r="D98" s="15" t="n">
        <v>132.9</v>
      </c>
      <c r="E98" s="15" t="n">
        <v>189.2</v>
      </c>
      <c r="F98" s="34" t="n">
        <v>44392</v>
      </c>
    </row>
    <row r="99">
      <c r="A99" s="34" t="n">
        <v>44393</v>
      </c>
      <c r="B99" s="266" t="n">
        <v>1.202010035514832</v>
      </c>
      <c r="C99" s="34" t="n">
        <v>44393</v>
      </c>
      <c r="D99" s="15" t="n">
        <v>127</v>
      </c>
      <c r="E99" s="15" t="n">
        <v>178.71</v>
      </c>
      <c r="F99" s="34" t="n">
        <v>44393</v>
      </c>
    </row>
    <row r="100">
      <c r="A100" s="34" t="n">
        <v>44396</v>
      </c>
      <c r="B100" s="266" t="n">
        <v>1.201518058776855</v>
      </c>
      <c r="C100" s="34" t="n">
        <v>44396</v>
      </c>
      <c r="D100" s="15" t="n">
        <v>125.7</v>
      </c>
      <c r="E100" s="15" t="n">
        <v>178.24</v>
      </c>
      <c r="F100" s="34" t="n">
        <v>44396</v>
      </c>
    </row>
    <row r="101">
      <c r="A101" s="34" t="n">
        <v>44397</v>
      </c>
      <c r="B101" s="266" t="n">
        <v>1.19716203212738</v>
      </c>
      <c r="C101" s="34" t="n">
        <v>44397</v>
      </c>
      <c r="D101" s="15" t="n">
        <v>127</v>
      </c>
      <c r="E101" s="15" t="n">
        <v>175.05</v>
      </c>
      <c r="F101" s="34" t="n">
        <v>44397</v>
      </c>
    </row>
    <row r="102">
      <c r="A102" s="34" t="n">
        <v>44398</v>
      </c>
      <c r="B102" s="266" t="n">
        <v>1.198490023612976</v>
      </c>
      <c r="C102" s="34" t="n">
        <v>44398</v>
      </c>
      <c r="D102" s="15" t="n">
        <v>135.6</v>
      </c>
      <c r="E102" s="15" t="n">
        <v>185.6</v>
      </c>
      <c r="F102" s="34" t="n">
        <v>44398</v>
      </c>
    </row>
    <row r="103">
      <c r="A103" s="34" t="n">
        <v>44399</v>
      </c>
      <c r="B103" s="266" t="n">
        <v>1.201365947723389</v>
      </c>
      <c r="C103" s="34" t="n">
        <v>44399</v>
      </c>
      <c r="D103" s="15" t="n">
        <v>135.2</v>
      </c>
      <c r="E103" s="15" t="n">
        <v>181.76</v>
      </c>
      <c r="F103" s="34" t="n">
        <v>44399</v>
      </c>
    </row>
    <row r="104">
      <c r="A104" s="34" t="n">
        <v>44400</v>
      </c>
      <c r="B104" s="266" t="n">
        <v>1.20063304901123</v>
      </c>
      <c r="C104" s="34" t="n">
        <v>44400</v>
      </c>
      <c r="D104" s="15" t="n">
        <v>123</v>
      </c>
      <c r="E104" s="15" t="n">
        <v>178.21</v>
      </c>
      <c r="F104" s="34" t="n">
        <v>44400</v>
      </c>
    </row>
    <row r="105">
      <c r="A105" s="34" t="n">
        <v>44403</v>
      </c>
      <c r="B105" s="266" t="n">
        <v>1.198413968086243</v>
      </c>
      <c r="C105" s="34" t="n">
        <v>44403</v>
      </c>
      <c r="D105" s="15" t="n">
        <v>119.3</v>
      </c>
      <c r="E105" s="15" t="n">
        <v>177.78</v>
      </c>
      <c r="F105" s="34" t="n">
        <v>44403</v>
      </c>
    </row>
    <row r="106">
      <c r="A106" s="34" t="n">
        <v>44404</v>
      </c>
      <c r="B106" s="266" t="n">
        <v>1.199846029281616</v>
      </c>
      <c r="C106" s="34" t="n">
        <v>44404</v>
      </c>
      <c r="D106" s="15" t="n">
        <v>122.5</v>
      </c>
      <c r="E106" s="15" t="n">
        <v>192.86</v>
      </c>
      <c r="F106" s="34" t="n">
        <v>44404</v>
      </c>
    </row>
    <row r="107">
      <c r="A107" s="34" t="n">
        <v>44405</v>
      </c>
      <c r="B107" s="266" t="n">
        <v>1.195276021957397</v>
      </c>
      <c r="C107" s="34" t="n">
        <v>44405</v>
      </c>
      <c r="D107" s="15" t="n">
        <v>124.8</v>
      </c>
      <c r="E107" s="15" t="n">
        <v>198.3</v>
      </c>
      <c r="F107" s="34" t="n">
        <v>44405</v>
      </c>
    </row>
    <row r="108">
      <c r="A108" s="34" t="n">
        <v>44406</v>
      </c>
      <c r="B108" s="266" t="n">
        <v>1.198714971542358</v>
      </c>
      <c r="C108" s="34" t="n">
        <v>44406</v>
      </c>
      <c r="D108" s="15" t="n">
        <v>129.2</v>
      </c>
      <c r="E108" s="15" t="n">
        <v>198.6</v>
      </c>
      <c r="F108" s="34" t="n">
        <v>44406</v>
      </c>
    </row>
    <row r="109">
      <c r="A109" s="34" t="n">
        <v>44407</v>
      </c>
      <c r="B109" s="266" t="n">
        <v>1.202932953834534</v>
      </c>
      <c r="C109" s="34" t="n">
        <v>44407</v>
      </c>
      <c r="D109" s="15" t="n">
        <v>130</v>
      </c>
      <c r="E109" s="15" t="n">
        <v>189.8</v>
      </c>
      <c r="F109" s="34" t="n">
        <v>44407</v>
      </c>
    </row>
    <row r="110">
      <c r="A110" s="34" t="n">
        <v>44410</v>
      </c>
      <c r="B110" s="266" t="n">
        <v>1.202278971672058</v>
      </c>
      <c r="C110" s="34" t="n">
        <v>44410</v>
      </c>
      <c r="D110" s="15" t="n">
        <v>123.3</v>
      </c>
      <c r="E110" s="15" t="n">
        <v>198</v>
      </c>
      <c r="F110" s="34" t="n">
        <v>44410</v>
      </c>
    </row>
    <row r="111">
      <c r="A111" s="34" t="n">
        <v>44411</v>
      </c>
      <c r="B111" s="266" t="n">
        <v>1.202962040901184</v>
      </c>
      <c r="C111" s="34" t="n">
        <v>44411</v>
      </c>
      <c r="D111" s="15" t="n">
        <v>128.5</v>
      </c>
      <c r="E111" s="15" t="n">
        <v>210.3</v>
      </c>
      <c r="F111" s="34" t="n">
        <v>44411</v>
      </c>
    </row>
    <row r="112">
      <c r="A112" s="34" t="n">
        <v>44412</v>
      </c>
      <c r="B112" s="266" t="n">
        <v>1.201904058456421</v>
      </c>
      <c r="C112" s="34" t="n">
        <v>44412</v>
      </c>
      <c r="D112" s="15" t="n">
        <v>133.1</v>
      </c>
      <c r="E112" s="15" t="n">
        <v>229.68</v>
      </c>
      <c r="F112" s="34" t="n">
        <v>44412</v>
      </c>
    </row>
    <row r="113">
      <c r="A113" s="34" t="n">
        <v>44413</v>
      </c>
      <c r="B113" s="266" t="n">
        <v>1.202366948127747</v>
      </c>
      <c r="C113" s="34" t="n">
        <v>44413</v>
      </c>
      <c r="D113" s="15" t="n">
        <v>132.5</v>
      </c>
      <c r="E113" s="15" t="n">
        <v>161.98</v>
      </c>
      <c r="F113" s="34" t="n">
        <v>44413</v>
      </c>
    </row>
    <row r="114">
      <c r="A114" s="34" t="n">
        <v>44414</v>
      </c>
      <c r="B114" s="266" t="n">
        <v>1.203461050987244</v>
      </c>
      <c r="C114" s="34" t="n">
        <v>44414</v>
      </c>
      <c r="D114" s="15" t="n">
        <v>126</v>
      </c>
      <c r="E114" s="15" t="n">
        <v>156</v>
      </c>
      <c r="F114" s="34" t="n">
        <v>44414</v>
      </c>
    </row>
    <row r="115">
      <c r="A115" s="34" t="n">
        <v>44417</v>
      </c>
      <c r="B115" s="266" t="n">
        <v>1.1980060338974</v>
      </c>
      <c r="C115" s="34" t="n">
        <v>44417</v>
      </c>
      <c r="D115" s="15" t="n">
        <v>125.3</v>
      </c>
      <c r="E115" s="15" t="n">
        <v>156.5</v>
      </c>
      <c r="F115" s="34" t="n">
        <v>44417</v>
      </c>
    </row>
    <row r="116">
      <c r="A116" s="34" t="n">
        <v>44418</v>
      </c>
      <c r="B116" s="266" t="n">
        <v>1.199597954750061</v>
      </c>
      <c r="C116" s="34" t="n">
        <v>44418</v>
      </c>
      <c r="D116" s="15" t="n">
        <v>122.6</v>
      </c>
      <c r="E116" s="15" t="n">
        <v>148.96</v>
      </c>
      <c r="F116" s="34" t="n">
        <v>44418</v>
      </c>
    </row>
    <row r="117">
      <c r="A117" s="34" t="n">
        <v>44419</v>
      </c>
      <c r="B117" s="266" t="n">
        <v>1.199553966522217</v>
      </c>
      <c r="C117" s="34" t="n">
        <v>44419</v>
      </c>
      <c r="D117" s="15" t="n">
        <v>125.3</v>
      </c>
      <c r="E117" s="15" t="n">
        <v>160.7</v>
      </c>
      <c r="F117" s="34" t="n">
        <v>44419</v>
      </c>
    </row>
    <row r="118">
      <c r="A118" s="34" t="n">
        <v>44420</v>
      </c>
      <c r="B118" s="266" t="n">
        <v>1.200325965881348</v>
      </c>
      <c r="C118" s="34" t="n">
        <v>44420</v>
      </c>
      <c r="D118" s="15" t="n">
        <v>120</v>
      </c>
      <c r="E118" s="15" t="n">
        <v>153.78</v>
      </c>
      <c r="F118" s="34" t="n">
        <v>44420</v>
      </c>
    </row>
    <row r="119">
      <c r="A119" s="34" t="n">
        <v>44421</v>
      </c>
      <c r="B119" s="266" t="n">
        <v>1.200997948646545</v>
      </c>
      <c r="C119" s="34" t="n">
        <v>44421</v>
      </c>
      <c r="D119" s="15" t="n">
        <v>118.7</v>
      </c>
      <c r="E119" s="15" t="n">
        <v>151.32</v>
      </c>
      <c r="F119" s="34" t="n">
        <v>44421</v>
      </c>
    </row>
    <row r="120">
      <c r="A120" s="34" t="n">
        <v>44424</v>
      </c>
      <c r="B120" s="266" t="n">
        <v>1.2012619972229</v>
      </c>
      <c r="C120" s="34" t="n">
        <v>44424</v>
      </c>
      <c r="D120" s="15" t="n">
        <v>114.3</v>
      </c>
      <c r="E120" s="15" t="n">
        <v>151.17</v>
      </c>
      <c r="F120" s="34" t="n">
        <v>44424</v>
      </c>
    </row>
    <row r="121">
      <c r="A121" s="34" t="n">
        <v>44425</v>
      </c>
      <c r="B121" s="266" t="n">
        <v>1.202034950256348</v>
      </c>
      <c r="C121" s="34" t="n">
        <v>44425</v>
      </c>
      <c r="D121" s="15" t="n">
        <v>105.2</v>
      </c>
      <c r="E121" s="15" t="n">
        <v>139.7</v>
      </c>
      <c r="F121" s="34" t="n">
        <v>44425</v>
      </c>
    </row>
    <row r="122">
      <c r="A122" s="34" t="n">
        <v>44426</v>
      </c>
      <c r="B122" s="266" t="n">
        <v>1.201297998428345</v>
      </c>
      <c r="C122" s="34" t="n">
        <v>44426</v>
      </c>
      <c r="D122" s="15" t="n">
        <v>105</v>
      </c>
      <c r="E122" s="15" t="n">
        <v>137.58</v>
      </c>
      <c r="F122" s="34" t="n">
        <v>44426</v>
      </c>
    </row>
    <row r="123">
      <c r="A123" s="34" t="n">
        <v>44427</v>
      </c>
      <c r="B123" s="266" t="n">
        <v>1.200966000556946</v>
      </c>
      <c r="C123" s="34" t="n">
        <v>44427</v>
      </c>
      <c r="D123" s="15" t="n">
        <v>102.5</v>
      </c>
      <c r="E123" s="15" t="n">
        <v>137.93</v>
      </c>
      <c r="F123" s="34" t="n">
        <v>44427</v>
      </c>
    </row>
    <row r="124">
      <c r="A124" s="34" t="n">
        <v>44428</v>
      </c>
      <c r="B124" s="266" t="n">
        <v>1.199172019958496</v>
      </c>
      <c r="C124" s="34" t="n">
        <v>44428</v>
      </c>
      <c r="D124" s="15" t="n">
        <v>90.75</v>
      </c>
      <c r="E124" s="15" t="n">
        <v>129.4</v>
      </c>
      <c r="F124" s="34" t="n">
        <v>44428</v>
      </c>
    </row>
    <row r="125">
      <c r="A125" s="34" t="n">
        <v>44431</v>
      </c>
      <c r="B125" s="266" t="n">
        <v>1.200477004051208</v>
      </c>
      <c r="C125" s="34" t="n">
        <v>44431</v>
      </c>
      <c r="D125" s="15" t="n">
        <v>92.05</v>
      </c>
      <c r="E125" s="15" t="n">
        <v>129.46</v>
      </c>
      <c r="F125" s="34" t="n">
        <v>44431</v>
      </c>
    </row>
    <row r="126">
      <c r="A126" s="34" t="n">
        <v>44432</v>
      </c>
      <c r="B126" s="266" t="n">
        <v>1.201900005340576</v>
      </c>
      <c r="C126" s="34" t="n">
        <v>44432</v>
      </c>
      <c r="D126" s="15" t="n">
        <v>100.3</v>
      </c>
      <c r="E126" s="15" t="n">
        <v>142.41</v>
      </c>
      <c r="F126" s="34" t="n">
        <v>44432</v>
      </c>
    </row>
    <row r="127">
      <c r="A127" s="34" t="n">
        <v>44433</v>
      </c>
      <c r="B127" s="266" t="n">
        <v>1.203245997428894</v>
      </c>
      <c r="C127" s="34" t="n">
        <v>44433</v>
      </c>
      <c r="D127" s="15" t="n">
        <v>102.3</v>
      </c>
      <c r="E127" s="15" t="n">
        <v>147.99</v>
      </c>
      <c r="F127" s="34" t="n">
        <v>44433</v>
      </c>
    </row>
    <row r="128">
      <c r="A128" s="34" t="n">
        <v>44434</v>
      </c>
      <c r="B128" s="266" t="n">
        <v>1.201802015304565</v>
      </c>
      <c r="C128" s="34" t="n">
        <v>44434</v>
      </c>
      <c r="D128" s="15" t="n">
        <v>99.55</v>
      </c>
      <c r="E128" s="15" t="n">
        <v>141.71</v>
      </c>
      <c r="F128" s="34" t="n">
        <v>44434</v>
      </c>
    </row>
    <row r="129">
      <c r="A129" s="34" t="n">
        <v>44435</v>
      </c>
      <c r="B129" s="266" t="n">
        <v>1.201109051704407</v>
      </c>
      <c r="C129" s="34" t="n">
        <v>44435</v>
      </c>
      <c r="D129" s="15" t="n">
        <v>100</v>
      </c>
      <c r="E129" s="15" t="n">
        <v>141.95</v>
      </c>
      <c r="F129" s="34" t="n">
        <v>44435</v>
      </c>
    </row>
    <row r="130">
      <c r="A130" s="34" t="n">
        <v>44438</v>
      </c>
      <c r="B130" s="266" t="n">
        <v>1.203529000282288</v>
      </c>
      <c r="C130" s="34" t="n">
        <v>44438</v>
      </c>
      <c r="D130" s="15" t="n">
        <v>102.5</v>
      </c>
      <c r="E130" s="15" t="n">
        <v>142.75</v>
      </c>
      <c r="F130" s="34" t="n">
        <v>44438</v>
      </c>
    </row>
    <row r="131">
      <c r="A131" s="34" t="n">
        <v>44439</v>
      </c>
      <c r="B131" s="266" t="n">
        <v>1.204085946083069</v>
      </c>
      <c r="C131" s="34" t="n">
        <v>44439</v>
      </c>
      <c r="D131" s="15" t="n">
        <v>103.2</v>
      </c>
      <c r="E131" s="15" t="n">
        <v>142.1</v>
      </c>
      <c r="F131" s="34" t="n">
        <v>44439</v>
      </c>
    </row>
    <row r="132">
      <c r="A132" s="34" t="n">
        <v>44440</v>
      </c>
      <c r="B132" s="266" t="n">
        <v>1.203971982002258</v>
      </c>
      <c r="C132" s="34" t="n">
        <v>44440</v>
      </c>
      <c r="D132" s="15" t="n">
        <v>98.09999999999999</v>
      </c>
      <c r="E132" s="15" t="n">
        <v>140.48</v>
      </c>
      <c r="F132" s="34" t="n">
        <v>44440</v>
      </c>
    </row>
    <row r="133">
      <c r="A133" s="34" t="n">
        <v>44441</v>
      </c>
      <c r="B133" s="266" t="n">
        <v>1.203667998313904</v>
      </c>
      <c r="C133" s="34" t="n">
        <v>44441</v>
      </c>
      <c r="D133" s="15" t="n">
        <v>99</v>
      </c>
      <c r="E133" s="15" t="n">
        <v>136.5</v>
      </c>
      <c r="F133" s="34" t="n">
        <v>44441</v>
      </c>
    </row>
    <row r="134">
      <c r="A134" s="34" t="n">
        <v>44442</v>
      </c>
      <c r="B134" s="266" t="n">
        <v>1.203598976135254</v>
      </c>
      <c r="C134" s="34" t="n">
        <v>44442</v>
      </c>
      <c r="D134" s="15" t="n">
        <v>95.55</v>
      </c>
      <c r="E134" s="15" t="n">
        <v>134.9</v>
      </c>
      <c r="F134" s="34" t="n">
        <v>44442</v>
      </c>
    </row>
    <row r="135">
      <c r="A135" s="34" t="n">
        <v>44445</v>
      </c>
      <c r="B135" s="266" t="n">
        <v>1.204463005065918</v>
      </c>
      <c r="C135" s="34" t="n">
        <v>44445</v>
      </c>
      <c r="D135" s="15" t="n">
        <v>100.3</v>
      </c>
      <c r="E135" s="15" t="n">
        <v>148.39</v>
      </c>
      <c r="F135" s="34" t="n">
        <v>44445</v>
      </c>
    </row>
    <row r="136">
      <c r="A136" s="34" t="n">
        <v>44446</v>
      </c>
      <c r="B136" s="266" t="n">
        <v>1.203871011734009</v>
      </c>
      <c r="C136" s="34" t="n">
        <v>44446</v>
      </c>
      <c r="D136" s="15" t="n">
        <v>104</v>
      </c>
      <c r="E136" s="15" t="n">
        <v>148.3</v>
      </c>
      <c r="F136" s="34" t="n">
        <v>44446</v>
      </c>
    </row>
    <row r="137">
      <c r="A137" s="34" t="n">
        <v>44447</v>
      </c>
      <c r="B137" s="266" t="n">
        <v>1.202070951461792</v>
      </c>
      <c r="C137" s="34" t="n">
        <v>44447</v>
      </c>
      <c r="D137" s="15" t="n">
        <v>103</v>
      </c>
      <c r="E137" s="15" t="n">
        <v>146.8</v>
      </c>
      <c r="F137" s="34" t="n">
        <v>44447</v>
      </c>
    </row>
    <row r="138">
      <c r="A138" s="34" t="n">
        <v>44448</v>
      </c>
      <c r="B138" s="266" t="n">
        <v>1.203197956085205</v>
      </c>
      <c r="C138" s="34" t="n">
        <v>44448</v>
      </c>
      <c r="D138" s="15" t="n">
        <v>102</v>
      </c>
      <c r="E138" s="15" t="n">
        <v>147.22</v>
      </c>
      <c r="F138" s="34" t="n">
        <v>44448</v>
      </c>
    </row>
    <row r="139">
      <c r="A139" s="34" t="n">
        <v>44449</v>
      </c>
      <c r="B139" s="266" t="n">
        <v>1.204638004302979</v>
      </c>
      <c r="C139" s="34" t="n">
        <v>44449</v>
      </c>
      <c r="D139" s="15" t="n">
        <v>99.40000000000001</v>
      </c>
      <c r="E139" s="15" t="n">
        <v>143.98</v>
      </c>
      <c r="F139" s="34" t="n">
        <v>44449</v>
      </c>
    </row>
    <row r="140">
      <c r="A140" s="34" t="n">
        <v>44452</v>
      </c>
      <c r="B140" s="266" t="n">
        <v>1.206537008285522</v>
      </c>
      <c r="C140" s="34" t="n">
        <v>44452</v>
      </c>
      <c r="D140" s="15" t="n">
        <v>101.6</v>
      </c>
      <c r="E140" s="15" t="n">
        <v>144.7</v>
      </c>
      <c r="F140" s="34" t="n">
        <v>44452</v>
      </c>
    </row>
    <row r="141">
      <c r="A141" s="34" t="n">
        <v>44453</v>
      </c>
      <c r="B141" s="266" t="n">
        <v>1.205628037452698</v>
      </c>
      <c r="C141" s="34" t="n">
        <v>44453</v>
      </c>
      <c r="D141" s="15" t="n">
        <v>103.4</v>
      </c>
      <c r="E141" s="15" t="n">
        <v>152.09</v>
      </c>
      <c r="F141" s="34" t="n">
        <v>44453</v>
      </c>
    </row>
    <row r="142">
      <c r="A142" s="34" t="n">
        <v>44454</v>
      </c>
      <c r="B142" s="266" t="n">
        <v>1.20806097984314</v>
      </c>
      <c r="C142" s="34" t="n">
        <v>44454</v>
      </c>
      <c r="D142" s="15" t="n">
        <v>104.7</v>
      </c>
      <c r="E142" s="15" t="n">
        <v>160.04</v>
      </c>
      <c r="F142" s="34" t="n">
        <v>44454</v>
      </c>
    </row>
    <row r="143">
      <c r="A143" s="34" t="n">
        <v>44455</v>
      </c>
      <c r="B143" s="266" t="n">
        <v>1.209609985351562</v>
      </c>
      <c r="C143" s="34" t="n">
        <v>44455</v>
      </c>
      <c r="D143" s="15" t="n">
        <v>98.8</v>
      </c>
      <c r="E143" s="15" t="n">
        <v>164</v>
      </c>
      <c r="F143" s="34" t="n">
        <v>44455</v>
      </c>
    </row>
    <row r="144">
      <c r="A144" s="34" t="n">
        <v>44456</v>
      </c>
      <c r="B144" s="266" t="n">
        <v>1.20517897605896</v>
      </c>
      <c r="C144" s="34" t="n">
        <v>44456</v>
      </c>
      <c r="D144" s="15" t="n">
        <v>106</v>
      </c>
      <c r="E144" s="15" t="n">
        <v>174.08</v>
      </c>
      <c r="F144" s="34" t="n">
        <v>44456</v>
      </c>
    </row>
    <row r="145">
      <c r="A145" s="34" t="n">
        <v>44459</v>
      </c>
      <c r="B145" s="266" t="n">
        <v>1.203649044036865</v>
      </c>
      <c r="C145" s="34" t="n">
        <v>44459</v>
      </c>
      <c r="D145" s="15" t="n">
        <v>108.5</v>
      </c>
      <c r="E145" s="15" t="n">
        <v>174.08</v>
      </c>
      <c r="F145" s="34" t="n">
        <v>44456</v>
      </c>
    </row>
    <row r="146">
      <c r="A146" s="34" t="n">
        <v>44460</v>
      </c>
      <c r="B146" s="266" t="n">
        <v>1.20422899723053</v>
      </c>
      <c r="C146" s="34" t="n">
        <v>44460</v>
      </c>
      <c r="D146" s="15" t="n">
        <v>109.5</v>
      </c>
      <c r="E146" s="15" t="n">
        <v>174.08</v>
      </c>
      <c r="F146" s="34" t="n">
        <v>44456</v>
      </c>
    </row>
    <row r="147">
      <c r="A147" s="34" t="n">
        <v>44462</v>
      </c>
      <c r="B147" s="266" t="n">
        <v>1.204594969749451</v>
      </c>
      <c r="C147" s="34" t="n">
        <v>44462</v>
      </c>
      <c r="D147" s="15" t="n">
        <v>114</v>
      </c>
      <c r="E147" s="15" t="n">
        <v>170.98</v>
      </c>
      <c r="F147" s="34" t="n">
        <v>44462</v>
      </c>
    </row>
    <row r="148">
      <c r="A148" s="34" t="n">
        <v>44463</v>
      </c>
      <c r="B148" s="266" t="n">
        <v>1.205196022987366</v>
      </c>
      <c r="C148" s="34" t="n">
        <v>44463</v>
      </c>
      <c r="D148" s="15" t="n">
        <v>112.9</v>
      </c>
      <c r="E148" s="15" t="n">
        <v>169</v>
      </c>
      <c r="F148" s="34" t="n">
        <v>44463</v>
      </c>
    </row>
    <row r="149">
      <c r="A149" s="34" t="n">
        <v>44466</v>
      </c>
      <c r="B149" s="266" t="n">
        <v>1.204444050788879</v>
      </c>
      <c r="C149" s="34" t="n">
        <v>44466</v>
      </c>
      <c r="D149" s="15" t="n">
        <v>112.5</v>
      </c>
      <c r="E149" s="15" t="n">
        <v>163.5</v>
      </c>
      <c r="F149" s="34" t="n">
        <v>44466</v>
      </c>
    </row>
    <row r="150">
      <c r="A150" s="34" t="n">
        <v>44467</v>
      </c>
      <c r="B150" s="266" t="n">
        <v>1.205273032188416</v>
      </c>
      <c r="C150" s="34" t="n">
        <v>44467</v>
      </c>
      <c r="D150" s="15" t="n">
        <v>108</v>
      </c>
      <c r="E150" s="15" t="n">
        <v>160.5</v>
      </c>
      <c r="F150" s="34" t="n">
        <v>44467</v>
      </c>
    </row>
    <row r="151">
      <c r="A151" s="34" t="n">
        <v>44468</v>
      </c>
      <c r="B151" s="266" t="n">
        <v>1.204679012298584</v>
      </c>
      <c r="C151" s="34" t="n">
        <v>44468</v>
      </c>
      <c r="D151" s="15" t="n">
        <v>106.8</v>
      </c>
      <c r="E151" s="15" t="n">
        <v>155.5</v>
      </c>
      <c r="F151" s="34" t="n">
        <v>44468</v>
      </c>
    </row>
    <row r="152">
      <c r="A152" s="34" t="n">
        <v>44469</v>
      </c>
      <c r="B152" s="266" t="n">
        <v>1.202803015708923</v>
      </c>
      <c r="C152" s="34" t="n">
        <v>44469</v>
      </c>
      <c r="D152" s="15" t="n">
        <v>105.4</v>
      </c>
      <c r="E152" s="15" t="n">
        <v>158</v>
      </c>
      <c r="F152" s="34" t="n">
        <v>44469</v>
      </c>
    </row>
    <row r="153">
      <c r="A153" s="34" t="n">
        <v>44473</v>
      </c>
      <c r="B153" s="266" t="n">
        <v>1.208693981170654</v>
      </c>
      <c r="C153" s="34" t="n">
        <v>44473</v>
      </c>
      <c r="D153" s="15" t="n">
        <v>106.5</v>
      </c>
      <c r="E153" s="15" t="n">
        <v>158</v>
      </c>
      <c r="F153" s="34" t="n">
        <v>44469</v>
      </c>
    </row>
    <row r="154">
      <c r="A154" s="34" t="n">
        <v>44474</v>
      </c>
      <c r="B154" s="266" t="n">
        <v>1.207640051841736</v>
      </c>
      <c r="C154" s="34" t="n">
        <v>44474</v>
      </c>
      <c r="D154" s="15" t="n">
        <v>107.8</v>
      </c>
      <c r="E154" s="15" t="n">
        <v>158</v>
      </c>
      <c r="F154" s="34" t="n">
        <v>44469</v>
      </c>
    </row>
    <row r="155">
      <c r="A155" s="34" t="n">
        <v>44475</v>
      </c>
      <c r="B155" s="266" t="n">
        <v>1.207533955574036</v>
      </c>
      <c r="C155" s="34" t="n">
        <v>44475</v>
      </c>
      <c r="D155" s="15" t="n">
        <v>103</v>
      </c>
      <c r="E155" s="15" t="n">
        <v>158</v>
      </c>
      <c r="F155" s="34" t="n">
        <v>44469</v>
      </c>
    </row>
    <row r="156">
      <c r="A156" s="34" t="n">
        <v>44476</v>
      </c>
      <c r="B156" s="266" t="n">
        <v>1.207844972610474</v>
      </c>
      <c r="C156" s="34" t="n">
        <v>44476</v>
      </c>
      <c r="D156" s="15" t="n">
        <v>108</v>
      </c>
      <c r="E156" s="15" t="n">
        <v>158</v>
      </c>
      <c r="F156" s="34" t="n">
        <v>44469</v>
      </c>
    </row>
    <row r="157">
      <c r="A157" s="34" t="n">
        <v>44477</v>
      </c>
      <c r="B157" s="266" t="n">
        <v>1.207833051681519</v>
      </c>
      <c r="C157" s="34" t="n">
        <v>44477</v>
      </c>
      <c r="D157" s="15" t="n">
        <v>107.2</v>
      </c>
      <c r="E157" s="15" t="n">
        <v>153.61</v>
      </c>
      <c r="F157" s="34" t="n">
        <v>44477</v>
      </c>
    </row>
    <row r="158">
      <c r="A158" s="34" t="n">
        <v>44480</v>
      </c>
      <c r="B158" s="266" t="n">
        <v>1.20762300491333</v>
      </c>
      <c r="C158" s="34" t="n">
        <v>44480</v>
      </c>
      <c r="D158" s="15" t="n">
        <v>106.2</v>
      </c>
      <c r="E158" s="15" t="n">
        <v>150.79</v>
      </c>
      <c r="F158" s="34" t="n">
        <v>44480</v>
      </c>
    </row>
    <row r="159">
      <c r="A159" s="34" t="n">
        <v>44481</v>
      </c>
      <c r="B159" s="266" t="n">
        <v>1.205870985984802</v>
      </c>
      <c r="C159" s="34" t="n">
        <v>44481</v>
      </c>
      <c r="D159" s="15" t="n">
        <v>105.7</v>
      </c>
      <c r="E159" s="15" t="n">
        <v>153.19</v>
      </c>
      <c r="F159" s="34" t="n">
        <v>44481</v>
      </c>
    </row>
    <row r="160">
      <c r="A160" s="34" t="n">
        <v>44484</v>
      </c>
      <c r="B160" s="266" t="n">
        <v>1.207808971405029</v>
      </c>
      <c r="C160" s="34" t="n">
        <v>44484</v>
      </c>
      <c r="D160" s="15" t="n">
        <v>103.3</v>
      </c>
      <c r="E160" s="15" t="n">
        <v>160</v>
      </c>
      <c r="F160" s="34" t="n">
        <v>44484</v>
      </c>
    </row>
    <row r="161">
      <c r="A161" s="34" t="n">
        <v>44487</v>
      </c>
      <c r="B161" s="266" t="n">
        <v>1.207973957061768</v>
      </c>
      <c r="C161" s="34" t="n">
        <v>44487</v>
      </c>
      <c r="D161" s="15" t="n">
        <v>100.8</v>
      </c>
      <c r="E161" s="15" t="n">
        <v>155.99</v>
      </c>
      <c r="F161" s="34" t="n">
        <v>44487</v>
      </c>
    </row>
    <row r="162">
      <c r="A162" s="34" t="n">
        <v>44488</v>
      </c>
      <c r="B162" s="266" t="n">
        <v>1.20955502986908</v>
      </c>
      <c r="C162" s="34" t="n">
        <v>44488</v>
      </c>
      <c r="D162" s="15" t="n">
        <v>107.9</v>
      </c>
      <c r="E162" s="15" t="n">
        <v>162.61</v>
      </c>
      <c r="F162" s="34" t="n">
        <v>44488</v>
      </c>
    </row>
    <row r="163">
      <c r="A163" s="34" t="n">
        <v>44489</v>
      </c>
      <c r="B163" s="266" t="n">
        <v>1.217911005020142</v>
      </c>
      <c r="C163" s="34" t="n">
        <v>44489</v>
      </c>
      <c r="D163" s="15" t="n">
        <v>105.6</v>
      </c>
      <c r="E163" s="15" t="n">
        <v>156.72</v>
      </c>
      <c r="F163" s="34" t="n">
        <v>44489</v>
      </c>
    </row>
    <row r="164">
      <c r="A164" s="34" t="n">
        <v>44490</v>
      </c>
      <c r="B164" s="266" t="n">
        <v>1.215211033821106</v>
      </c>
      <c r="C164" s="34" t="n">
        <v>44490</v>
      </c>
      <c r="D164" s="15" t="n">
        <v>104.7</v>
      </c>
      <c r="E164" s="15" t="n">
        <v>155.28</v>
      </c>
      <c r="F164" s="34" t="n">
        <v>44490</v>
      </c>
    </row>
    <row r="165">
      <c r="A165" s="34" t="n">
        <v>44491</v>
      </c>
      <c r="B165" s="266" t="n">
        <v>1.216195940971375</v>
      </c>
      <c r="C165" s="34" t="n">
        <v>44491</v>
      </c>
      <c r="D165" s="15" t="n">
        <v>105.3</v>
      </c>
      <c r="E165" s="15" t="n">
        <v>153.52</v>
      </c>
      <c r="F165" s="34" t="n">
        <v>44491</v>
      </c>
    </row>
    <row r="166">
      <c r="A166" s="34" t="n">
        <v>44494</v>
      </c>
      <c r="B166" s="266" t="n">
        <v>1.214077949523926</v>
      </c>
      <c r="C166" s="34" t="n">
        <v>44494</v>
      </c>
      <c r="D166" s="15" t="n">
        <v>106.4</v>
      </c>
      <c r="E166" s="15" t="n">
        <v>155</v>
      </c>
      <c r="F166" s="34" t="n">
        <v>44494</v>
      </c>
    </row>
    <row r="167">
      <c r="A167" s="34" t="n">
        <v>44495</v>
      </c>
      <c r="B167" s="266" t="n">
        <v>1.217200040817261</v>
      </c>
      <c r="C167" s="34" t="n">
        <v>44495</v>
      </c>
      <c r="D167" s="15" t="n">
        <v>102.5</v>
      </c>
      <c r="E167" s="15" t="n">
        <v>150.48</v>
      </c>
      <c r="F167" s="34" t="n">
        <v>44495</v>
      </c>
    </row>
    <row r="168">
      <c r="A168" s="34" t="n">
        <v>44496</v>
      </c>
      <c r="B168" s="266" t="n">
        <v>1.218229055404663</v>
      </c>
      <c r="C168" s="34" t="n">
        <v>44496</v>
      </c>
      <c r="D168" s="15" t="n">
        <v>101</v>
      </c>
      <c r="E168" s="15" t="n">
        <v>146.8</v>
      </c>
      <c r="F168" s="34" t="n">
        <v>44496</v>
      </c>
    </row>
    <row r="169">
      <c r="A169" s="34" t="n">
        <v>44497</v>
      </c>
      <c r="B169" s="266" t="n">
        <v>1.216732025146484</v>
      </c>
      <c r="C169" s="34" t="n">
        <v>44497</v>
      </c>
      <c r="D169" s="15" t="n">
        <v>98</v>
      </c>
      <c r="E169" s="15" t="n">
        <v>148.15</v>
      </c>
      <c r="F169" s="34" t="n">
        <v>44497</v>
      </c>
    </row>
    <row r="170">
      <c r="A170" s="34" t="n">
        <v>44498</v>
      </c>
      <c r="B170" s="266" t="n">
        <v>1.216634035110474</v>
      </c>
      <c r="C170" s="34" t="n">
        <v>44498</v>
      </c>
      <c r="D170" s="15" t="n">
        <v>100.7</v>
      </c>
      <c r="E170" s="15" t="n">
        <v>160</v>
      </c>
      <c r="F170" s="34" t="n">
        <v>44498</v>
      </c>
    </row>
    <row r="171">
      <c r="A171" s="34" t="n">
        <v>44501</v>
      </c>
      <c r="B171" s="266" t="n">
        <v>1.213809013366699</v>
      </c>
      <c r="C171" s="34" t="n">
        <v>44501</v>
      </c>
      <c r="D171" s="15" t="n">
        <v>96.65000000000001</v>
      </c>
      <c r="E171" s="15" t="n">
        <v>146.4</v>
      </c>
      <c r="F171" s="34" t="n">
        <v>44501</v>
      </c>
    </row>
    <row r="172">
      <c r="A172" s="34" t="n">
        <v>44502</v>
      </c>
      <c r="B172" s="266" t="n">
        <v>1.21633505821228</v>
      </c>
      <c r="C172" s="34" t="n">
        <v>44502</v>
      </c>
      <c r="D172" s="15" t="n">
        <v>93</v>
      </c>
      <c r="E172" s="15" t="n">
        <v>139.52</v>
      </c>
      <c r="F172" s="34" t="n">
        <v>44502</v>
      </c>
    </row>
    <row r="173">
      <c r="A173" s="34" t="n">
        <v>44503</v>
      </c>
      <c r="B173" s="266" t="n">
        <v>1.215891003608704</v>
      </c>
      <c r="C173" s="34" t="n">
        <v>44503</v>
      </c>
      <c r="D173" s="15" t="n">
        <v>85.59999999999999</v>
      </c>
      <c r="E173" s="15" t="n">
        <v>136.88</v>
      </c>
      <c r="F173" s="34" t="n">
        <v>44503</v>
      </c>
    </row>
    <row r="174">
      <c r="A174" s="34" t="n">
        <v>44504</v>
      </c>
      <c r="B174" s="266" t="n">
        <v>1.214897036552429</v>
      </c>
      <c r="C174" s="34" t="n">
        <v>44504</v>
      </c>
      <c r="D174" s="15" t="n">
        <v>79.84999999999999</v>
      </c>
      <c r="E174" s="15" t="n">
        <v>127.89</v>
      </c>
      <c r="F174" s="34" t="n">
        <v>44504</v>
      </c>
    </row>
    <row r="175">
      <c r="A175" s="34" t="n">
        <v>44505</v>
      </c>
      <c r="B175" s="266" t="n">
        <v>1.216621041297913</v>
      </c>
      <c r="C175" s="34" t="n">
        <v>44505</v>
      </c>
      <c r="D175" s="15" t="n">
        <v>79.2</v>
      </c>
      <c r="E175" s="15" t="n">
        <v>128</v>
      </c>
      <c r="F175" s="34" t="n">
        <v>44505</v>
      </c>
    </row>
    <row r="176">
      <c r="A176" s="34" t="n">
        <v>44508</v>
      </c>
      <c r="B176" s="266" t="n">
        <v>1.216421008110046</v>
      </c>
      <c r="C176" s="34" t="n">
        <v>44508</v>
      </c>
      <c r="D176" s="15" t="n">
        <v>77.3</v>
      </c>
      <c r="E176" s="15" t="n">
        <v>122.11</v>
      </c>
      <c r="F176" s="34" t="n">
        <v>44508</v>
      </c>
    </row>
    <row r="177">
      <c r="A177" s="34" t="n">
        <v>44509</v>
      </c>
      <c r="B177" s="266" t="n">
        <v>1.218340992927551</v>
      </c>
      <c r="C177" s="34" t="n">
        <v>44509</v>
      </c>
      <c r="D177" s="15" t="n">
        <v>83</v>
      </c>
      <c r="E177" s="15" t="n">
        <v>128.78</v>
      </c>
      <c r="F177" s="34" t="n">
        <v>44509</v>
      </c>
    </row>
    <row r="178">
      <c r="A178" s="34" t="n">
        <v>44510</v>
      </c>
      <c r="B178" s="266" t="n">
        <v>1.218425989151001</v>
      </c>
      <c r="C178" s="34" t="n">
        <v>44510</v>
      </c>
      <c r="D178" s="15" t="n">
        <v>83</v>
      </c>
      <c r="E178" s="15" t="n">
        <v>135.71</v>
      </c>
      <c r="F178" s="34" t="n">
        <v>44510</v>
      </c>
    </row>
    <row r="179">
      <c r="A179" s="34" t="n">
        <v>44511</v>
      </c>
      <c r="B179" s="266" t="n">
        <v>1.219444036483765</v>
      </c>
      <c r="C179" s="34" t="n">
        <v>44511</v>
      </c>
      <c r="D179" s="15" t="n">
        <v>79.65000000000001</v>
      </c>
      <c r="E179" s="15" t="n">
        <v>132.65</v>
      </c>
      <c r="F179" s="34" t="n">
        <v>44511</v>
      </c>
    </row>
    <row r="180">
      <c r="A180" s="34" t="n">
        <v>44512</v>
      </c>
      <c r="B180" s="266" t="n">
        <v>1.219141006469727</v>
      </c>
      <c r="C180" s="34" t="n">
        <v>44512</v>
      </c>
      <c r="D180" s="15" t="n">
        <v>79.09999999999999</v>
      </c>
      <c r="E180" s="15" t="n">
        <v>132.27</v>
      </c>
      <c r="F180" s="34" t="n">
        <v>44512</v>
      </c>
    </row>
    <row r="181">
      <c r="A181" s="34" t="n">
        <v>44515</v>
      </c>
      <c r="B181" s="266" t="n">
        <v>1.22016704082489</v>
      </c>
      <c r="C181" s="34" t="n">
        <v>44515</v>
      </c>
      <c r="D181" s="15" t="n">
        <v>83</v>
      </c>
      <c r="E181" s="15" t="n">
        <v>133.26</v>
      </c>
      <c r="F181" s="34" t="n">
        <v>44515</v>
      </c>
    </row>
    <row r="182">
      <c r="A182" s="34" t="n">
        <v>44516</v>
      </c>
      <c r="B182" s="266" t="n">
        <v>1.219931960105896</v>
      </c>
      <c r="C182" s="34" t="n">
        <v>44516</v>
      </c>
      <c r="D182" s="15" t="n">
        <v>91.8</v>
      </c>
      <c r="E182" s="15" t="n">
        <v>138</v>
      </c>
      <c r="F182" s="34" t="n">
        <v>44516</v>
      </c>
    </row>
    <row r="183">
      <c r="A183" s="34" t="n">
        <v>44517</v>
      </c>
      <c r="B183" s="266" t="n">
        <v>1.218498945236206</v>
      </c>
      <c r="C183" s="34" t="n">
        <v>44517</v>
      </c>
      <c r="D183" s="15" t="n">
        <v>96.2</v>
      </c>
      <c r="E183" s="15" t="n">
        <v>136.38</v>
      </c>
      <c r="F183" s="34" t="n">
        <v>44517</v>
      </c>
    </row>
    <row r="184">
      <c r="A184" s="34" t="n">
        <v>44518</v>
      </c>
      <c r="B184" s="266" t="n">
        <v>1.220458030700684</v>
      </c>
      <c r="C184" s="34" t="n">
        <v>44518</v>
      </c>
      <c r="D184" s="15" t="n">
        <v>92.95</v>
      </c>
      <c r="E184" s="15" t="n">
        <v>134.29</v>
      </c>
      <c r="F184" s="34" t="n">
        <v>44518</v>
      </c>
    </row>
    <row r="185">
      <c r="A185" s="34" t="n">
        <v>44519</v>
      </c>
      <c r="B185" s="266" t="n">
        <v>1.219159007072449</v>
      </c>
      <c r="C185" s="34" t="n">
        <v>44519</v>
      </c>
      <c r="D185" s="15" t="n">
        <v>94.90000000000001</v>
      </c>
      <c r="E185" s="15" t="n">
        <v>134.34</v>
      </c>
      <c r="F185" s="34" t="n">
        <v>44519</v>
      </c>
    </row>
    <row r="186">
      <c r="A186" s="34" t="n">
        <v>44522</v>
      </c>
      <c r="B186" s="266" t="n">
        <v>1.218229055404663</v>
      </c>
      <c r="C186" s="34" t="n">
        <v>44522</v>
      </c>
      <c r="D186" s="15" t="n">
        <v>93.59999999999999</v>
      </c>
      <c r="E186" s="15" t="n">
        <v>131.02</v>
      </c>
      <c r="F186" s="34" t="n">
        <v>44522</v>
      </c>
    </row>
    <row r="187">
      <c r="A187" s="34" t="n">
        <v>44523</v>
      </c>
      <c r="B187" s="266" t="n">
        <v>1.220016002655029</v>
      </c>
      <c r="C187" s="34" t="n">
        <v>44523</v>
      </c>
      <c r="D187" s="15" t="n">
        <v>95.5</v>
      </c>
      <c r="E187" s="15" t="n">
        <v>132.99</v>
      </c>
      <c r="F187" s="34" t="n">
        <v>44523</v>
      </c>
    </row>
    <row r="188">
      <c r="A188" s="34" t="n">
        <v>44524</v>
      </c>
      <c r="B188" s="266" t="n">
        <v>1.219349980354309</v>
      </c>
      <c r="C188" s="34" t="n">
        <v>44524</v>
      </c>
      <c r="D188" s="15" t="n">
        <v>95.8</v>
      </c>
      <c r="E188" s="15" t="n">
        <v>135.35</v>
      </c>
      <c r="F188" s="34" t="n">
        <v>44524</v>
      </c>
    </row>
    <row r="189">
      <c r="A189" s="34" t="n">
        <v>44525</v>
      </c>
      <c r="B189" s="266" t="n">
        <v>1.219797015190125</v>
      </c>
      <c r="C189" s="34" t="n">
        <v>44525</v>
      </c>
      <c r="D189" s="15" t="n">
        <v>96</v>
      </c>
      <c r="E189" s="15" t="n">
        <v>138.68</v>
      </c>
      <c r="F189" s="34" t="n">
        <v>44525</v>
      </c>
    </row>
    <row r="190">
      <c r="A190" s="34" t="n">
        <v>44526</v>
      </c>
      <c r="B190" s="266" t="n">
        <v>1.220828056335449</v>
      </c>
      <c r="C190" s="34" t="n">
        <v>44526</v>
      </c>
      <c r="D190" s="15" t="n">
        <v>96.09999999999999</v>
      </c>
      <c r="E190" s="15" t="n">
        <v>142.45</v>
      </c>
      <c r="F190" s="34" t="n">
        <v>44526</v>
      </c>
    </row>
    <row r="191">
      <c r="A191" s="34" t="n">
        <v>44529</v>
      </c>
      <c r="B191" s="266" t="n">
        <v>1.216853022575378</v>
      </c>
      <c r="C191" s="34" t="n">
        <v>44529</v>
      </c>
      <c r="D191" s="15" t="n">
        <v>93.5</v>
      </c>
      <c r="E191" s="15" t="n">
        <v>140.4</v>
      </c>
      <c r="F191" s="34" t="n">
        <v>44529</v>
      </c>
    </row>
    <row r="192">
      <c r="A192" s="34" t="n">
        <v>44530</v>
      </c>
      <c r="B192" s="266" t="n">
        <v>1.220422029495239</v>
      </c>
      <c r="C192" s="34" t="n">
        <v>44530</v>
      </c>
      <c r="D192" s="15" t="n">
        <v>93</v>
      </c>
      <c r="E192" s="15" t="n">
        <v>140</v>
      </c>
      <c r="F192" s="34" t="n">
        <v>44530</v>
      </c>
    </row>
    <row r="193">
      <c r="A193" s="34" t="n">
        <v>44531</v>
      </c>
      <c r="B193" s="266" t="n">
        <v>1.224285960197449</v>
      </c>
      <c r="C193" s="34" t="n">
        <v>44531</v>
      </c>
      <c r="D193" s="15" t="n">
        <v>93.55</v>
      </c>
      <c r="E193" s="15" t="n">
        <v>137.26</v>
      </c>
      <c r="F193" s="34" t="n">
        <v>44531</v>
      </c>
    </row>
    <row r="194">
      <c r="A194" s="34" t="n">
        <v>44532</v>
      </c>
      <c r="B194" s="266" t="n">
        <v>1.223698019981384</v>
      </c>
      <c r="C194" s="34" t="n">
        <v>44532</v>
      </c>
      <c r="D194" s="15" t="n">
        <v>91.7</v>
      </c>
      <c r="E194" s="15" t="n">
        <v>137.02</v>
      </c>
      <c r="F194" s="34" t="n">
        <v>44532</v>
      </c>
    </row>
    <row r="195">
      <c r="A195" s="34" t="n">
        <v>44533</v>
      </c>
      <c r="B195" s="266" t="n">
        <v>1.221835970878601</v>
      </c>
      <c r="C195" s="34" t="n">
        <v>44533</v>
      </c>
      <c r="D195" s="15" t="n">
        <v>91.40000000000001</v>
      </c>
      <c r="E195" s="15" t="n">
        <v>132.9</v>
      </c>
      <c r="F195" s="34" t="n">
        <v>44533</v>
      </c>
    </row>
    <row r="196">
      <c r="A196" s="34" t="n">
        <v>44536</v>
      </c>
      <c r="B196" s="266" t="n">
        <v>1.222514033317566</v>
      </c>
      <c r="C196" s="34" t="n">
        <v>44536</v>
      </c>
      <c r="D196" s="15" t="n">
        <v>86.15000000000001</v>
      </c>
      <c r="E196" s="15" t="n">
        <v>128.02</v>
      </c>
      <c r="F196" s="34" t="n">
        <v>44536</v>
      </c>
    </row>
    <row r="197">
      <c r="A197" s="34" t="n">
        <v>44537</v>
      </c>
      <c r="B197" s="266" t="n">
        <v>1.223291039466858</v>
      </c>
      <c r="C197" s="34" t="n">
        <v>44537</v>
      </c>
      <c r="D197" s="15" t="n">
        <v>85</v>
      </c>
      <c r="E197" s="15" t="n">
        <v>128.1</v>
      </c>
      <c r="F197" s="34" t="n">
        <v>44537</v>
      </c>
    </row>
    <row r="198">
      <c r="A198" s="34" t="n">
        <v>44538</v>
      </c>
      <c r="B198" s="266" t="n">
        <v>1.224676012992859</v>
      </c>
      <c r="C198" s="34" t="n">
        <v>44538</v>
      </c>
      <c r="D198" s="15" t="n">
        <v>87</v>
      </c>
      <c r="E198" s="15" t="n">
        <v>130.48</v>
      </c>
      <c r="F198" s="34" t="n">
        <v>44538</v>
      </c>
    </row>
    <row r="199">
      <c r="A199" s="34" t="n">
        <v>44539</v>
      </c>
      <c r="B199" s="266" t="n">
        <v>1.22879695892334</v>
      </c>
      <c r="C199" s="34" t="n">
        <v>44539</v>
      </c>
      <c r="D199" s="15" t="n">
        <v>89.2</v>
      </c>
      <c r="E199" s="15" t="n">
        <v>133.05</v>
      </c>
      <c r="F199" s="34" t="n">
        <v>44539</v>
      </c>
    </row>
    <row r="200">
      <c r="A200" s="34" t="n">
        <v>44540</v>
      </c>
      <c r="B200" s="266" t="n">
        <v>1.222399950027466</v>
      </c>
      <c r="C200" s="34" t="n">
        <v>44540</v>
      </c>
      <c r="D200" s="15" t="n">
        <v>88.5</v>
      </c>
      <c r="E200" s="15" t="n">
        <v>126.27</v>
      </c>
      <c r="F200" s="34" t="n">
        <v>44540</v>
      </c>
      <c r="G200" s="15" t="n">
        <v>370</v>
      </c>
      <c r="H200" s="15" t="n">
        <v>470</v>
      </c>
      <c r="I200" s="34" t="n">
        <v>44540</v>
      </c>
    </row>
    <row r="201">
      <c r="A201" s="34" t="n">
        <v>44543</v>
      </c>
      <c r="B201" s="266" t="n">
        <v>1.228842973709106</v>
      </c>
      <c r="C201" s="34" t="n">
        <v>44543</v>
      </c>
      <c r="D201" s="15" t="n">
        <v>86.65000000000001</v>
      </c>
      <c r="E201" s="15" t="n">
        <v>124.18</v>
      </c>
      <c r="F201" s="34" t="n">
        <v>44543</v>
      </c>
      <c r="G201" s="15" t="n">
        <v>360</v>
      </c>
      <c r="H201" s="15" t="n">
        <v>450.01</v>
      </c>
      <c r="I201" s="34" t="n">
        <v>44543</v>
      </c>
    </row>
    <row r="202">
      <c r="A202" s="34" t="n">
        <v>44544</v>
      </c>
      <c r="B202" s="266" t="n">
        <v>1.225365996360779</v>
      </c>
      <c r="C202" s="34" t="n">
        <v>44544</v>
      </c>
      <c r="D202" s="15" t="n">
        <v>86.95</v>
      </c>
      <c r="E202" s="15" t="n">
        <v>127.45</v>
      </c>
      <c r="F202" s="34" t="n">
        <v>44544</v>
      </c>
      <c r="G202" s="15" t="n">
        <v>354.8</v>
      </c>
      <c r="H202" s="15" t="n">
        <v>453</v>
      </c>
      <c r="I202" s="34" t="n">
        <v>44544</v>
      </c>
    </row>
    <row r="203">
      <c r="A203" s="34" t="n">
        <v>44545</v>
      </c>
      <c r="B203" s="266" t="n">
        <v>1.224938988685608</v>
      </c>
      <c r="C203" s="34" t="n">
        <v>44545</v>
      </c>
      <c r="D203" s="15" t="n">
        <v>72.8</v>
      </c>
      <c r="E203" s="15" t="n">
        <v>119.1</v>
      </c>
      <c r="F203" s="34" t="n">
        <v>44545</v>
      </c>
      <c r="G203" s="15" t="n">
        <v>295.6</v>
      </c>
      <c r="H203" s="15" t="n">
        <v>430.33</v>
      </c>
      <c r="I203" s="34" t="n">
        <v>44545</v>
      </c>
    </row>
    <row r="204">
      <c r="A204" s="34" t="n">
        <v>44546</v>
      </c>
      <c r="B204" s="266" t="n">
        <v>1.224815964698792</v>
      </c>
      <c r="C204" s="34" t="n">
        <v>44546</v>
      </c>
      <c r="D204" s="15" t="n">
        <v>78.90000000000001</v>
      </c>
      <c r="E204" s="15" t="n">
        <v>120.49</v>
      </c>
      <c r="F204" s="34" t="n">
        <v>44546</v>
      </c>
      <c r="G204" s="15" t="n">
        <v>326.4</v>
      </c>
      <c r="H204" s="15" t="n">
        <v>439.12</v>
      </c>
      <c r="I204" s="34" t="n">
        <v>44546</v>
      </c>
    </row>
    <row r="205">
      <c r="A205" s="34" t="n">
        <v>44547</v>
      </c>
      <c r="B205" s="266" t="n">
        <v>1.225412011146545</v>
      </c>
      <c r="C205" s="34" t="n">
        <v>44547</v>
      </c>
      <c r="D205" s="15" t="n">
        <v>71.05</v>
      </c>
      <c r="E205" s="15" t="n">
        <v>116.3</v>
      </c>
      <c r="F205" s="34" t="n">
        <v>44547</v>
      </c>
      <c r="G205" s="15" t="n">
        <v>323.8</v>
      </c>
      <c r="H205" s="15" t="n">
        <v>436</v>
      </c>
      <c r="I205" s="34" t="n">
        <v>44547</v>
      </c>
    </row>
    <row r="206">
      <c r="A206" s="34" t="n">
        <v>44550</v>
      </c>
      <c r="B206" s="266" t="n">
        <v>1.223881959915161</v>
      </c>
      <c r="C206" s="34" t="n">
        <v>44550</v>
      </c>
      <c r="D206" s="15" t="n">
        <v>66.40000000000001</v>
      </c>
      <c r="E206" s="15" t="n">
        <v>111.77</v>
      </c>
      <c r="F206" s="34" t="n">
        <v>44550</v>
      </c>
      <c r="G206" s="15" t="n">
        <v>321</v>
      </c>
      <c r="H206" s="15" t="n">
        <v>420.5</v>
      </c>
      <c r="I206" s="34" t="n">
        <v>44550</v>
      </c>
    </row>
    <row r="207">
      <c r="A207" s="34" t="n">
        <v>44551</v>
      </c>
      <c r="B207" s="266" t="n">
        <v>1.223721981048584</v>
      </c>
      <c r="C207" s="34" t="n">
        <v>44551</v>
      </c>
      <c r="D207" s="15" t="n">
        <v>66</v>
      </c>
      <c r="E207" s="15" t="n">
        <v>113.31</v>
      </c>
      <c r="F207" s="34" t="n">
        <v>44551</v>
      </c>
      <c r="G207" s="15" t="n">
        <v>305</v>
      </c>
      <c r="H207" s="15" t="n">
        <v>423.6</v>
      </c>
      <c r="I207" s="34" t="n">
        <v>44551</v>
      </c>
    </row>
    <row r="208">
      <c r="A208" s="34" t="n">
        <v>44552</v>
      </c>
      <c r="B208" s="266" t="n">
        <v>1.22430694103241</v>
      </c>
      <c r="C208" s="34" t="n">
        <v>44552</v>
      </c>
      <c r="D208" s="15" t="n">
        <v>64.95</v>
      </c>
      <c r="E208" s="15" t="n">
        <v>113.55</v>
      </c>
      <c r="F208" s="34" t="n">
        <v>44552</v>
      </c>
      <c r="G208" s="15" t="n">
        <v>304.2</v>
      </c>
      <c r="H208" s="15" t="n">
        <v>428</v>
      </c>
      <c r="I208" s="34" t="n">
        <v>44552</v>
      </c>
    </row>
    <row r="209">
      <c r="A209" s="34" t="n">
        <v>44553</v>
      </c>
      <c r="B209" s="266" t="n">
        <v>1.2239910364151</v>
      </c>
      <c r="C209" s="34" t="n">
        <v>44553</v>
      </c>
      <c r="D209" s="15" t="n">
        <v>65.2</v>
      </c>
      <c r="E209" s="15" t="n">
        <v>111.6</v>
      </c>
      <c r="F209" s="34" t="n">
        <v>44553</v>
      </c>
      <c r="G209" s="15" t="n">
        <v>316</v>
      </c>
      <c r="H209" s="15" t="n">
        <v>435.8</v>
      </c>
      <c r="I209" s="34" t="n">
        <v>44553</v>
      </c>
    </row>
    <row r="210">
      <c r="A210" s="34" t="n">
        <v>44554</v>
      </c>
      <c r="B210" s="266" t="n">
        <v>1.223767995834351</v>
      </c>
      <c r="C210" s="34" t="n">
        <v>44554</v>
      </c>
      <c r="D210" s="15" t="n">
        <v>65.05</v>
      </c>
      <c r="E210" s="15" t="n">
        <v>109.81</v>
      </c>
      <c r="F210" s="34" t="n">
        <v>44554</v>
      </c>
      <c r="G210" s="15" t="n">
        <v>317.8</v>
      </c>
      <c r="H210" s="15" t="n">
        <v>427.35</v>
      </c>
      <c r="I210" s="34" t="n">
        <v>44554</v>
      </c>
    </row>
    <row r="211">
      <c r="A211" s="34" t="n">
        <v>44558</v>
      </c>
      <c r="B211" s="266" t="n">
        <v>1.223986029624939</v>
      </c>
      <c r="C211" s="34" t="n">
        <v>44558</v>
      </c>
      <c r="D211" s="15" t="n">
        <v>61.2</v>
      </c>
      <c r="E211" s="15" t="n">
        <v>114.68</v>
      </c>
      <c r="F211" s="34" t="n">
        <v>44558</v>
      </c>
      <c r="G211" s="15" t="n">
        <v>323</v>
      </c>
      <c r="H211" s="15" t="n">
        <v>455</v>
      </c>
      <c r="I211" s="34" t="n">
        <v>44558</v>
      </c>
    </row>
    <row r="212">
      <c r="A212" s="34" t="n">
        <v>44559</v>
      </c>
      <c r="B212" s="266" t="n">
        <v>1.224161982536316</v>
      </c>
      <c r="C212" s="34" t="n">
        <v>44559</v>
      </c>
      <c r="D212" s="15" t="n">
        <v>59.6</v>
      </c>
      <c r="E212" s="15" t="n">
        <v>117.31</v>
      </c>
      <c r="F212" s="34" t="n">
        <v>44559</v>
      </c>
      <c r="G212" s="15" t="n">
        <v>323</v>
      </c>
      <c r="H212" s="15" t="n">
        <v>443</v>
      </c>
      <c r="I212" s="34" t="n">
        <v>44559</v>
      </c>
    </row>
    <row r="213">
      <c r="A213" s="34" t="n">
        <v>44560</v>
      </c>
      <c r="B213" s="266" t="n">
        <v>1.22435998916626</v>
      </c>
      <c r="C213" s="34" t="n">
        <v>44560</v>
      </c>
      <c r="D213" s="15" t="n">
        <v>60.6</v>
      </c>
      <c r="E213" s="15" t="n">
        <v>118.34</v>
      </c>
      <c r="F213" s="34" t="n">
        <v>44560</v>
      </c>
      <c r="G213" s="15" t="n">
        <v>319.6</v>
      </c>
      <c r="H213" s="15" t="n">
        <v>456.08</v>
      </c>
      <c r="I213" s="34" t="n">
        <v>44560</v>
      </c>
    </row>
    <row r="214">
      <c r="A214" s="34" t="n">
        <v>44561</v>
      </c>
      <c r="B214" s="266" t="n">
        <v>1.223677039146423</v>
      </c>
      <c r="C214" s="34" t="n">
        <v>44561</v>
      </c>
      <c r="D214" s="15" t="n">
        <v>65.65000000000001</v>
      </c>
      <c r="E214" s="15" t="n">
        <v>115.43</v>
      </c>
      <c r="F214" s="34" t="n">
        <v>44561</v>
      </c>
      <c r="G214" s="15" t="n">
        <v>320</v>
      </c>
      <c r="H214" s="15" t="n">
        <v>435</v>
      </c>
      <c r="I214" s="34" t="n">
        <v>44561</v>
      </c>
    </row>
    <row r="215">
      <c r="A215" s="34" t="n">
        <v>44564</v>
      </c>
      <c r="B215" s="266" t="n">
        <v>1.226781010627747</v>
      </c>
      <c r="C215" s="34" t="n">
        <v>44564</v>
      </c>
      <c r="D215" s="15" t="n">
        <v>61.15</v>
      </c>
      <c r="E215" s="15" t="n">
        <v>115.43</v>
      </c>
      <c r="F215" s="34" t="n">
        <v>44561</v>
      </c>
      <c r="G215" s="15" t="n">
        <v>301.6</v>
      </c>
      <c r="H215" s="15" t="n">
        <v>435</v>
      </c>
      <c r="I215" s="34" t="n">
        <v>44561</v>
      </c>
    </row>
    <row r="216">
      <c r="A216" s="34" t="n">
        <v>44565</v>
      </c>
      <c r="B216" s="266" t="n">
        <v>1.22715699672699</v>
      </c>
      <c r="C216" s="34" t="n">
        <v>44565</v>
      </c>
      <c r="D216" s="15" t="n">
        <v>53.65</v>
      </c>
      <c r="E216" s="15" t="n">
        <v>107.32</v>
      </c>
      <c r="F216" s="34" t="n">
        <v>44565</v>
      </c>
      <c r="G216" s="15" t="n">
        <v>291.4</v>
      </c>
      <c r="H216" s="15" t="n">
        <v>391.5</v>
      </c>
      <c r="I216" s="34" t="n">
        <v>44565</v>
      </c>
    </row>
    <row r="217">
      <c r="A217" s="34" t="n">
        <v>44566</v>
      </c>
      <c r="B217" s="266" t="n">
        <v>1.222687005996704</v>
      </c>
      <c r="C217" s="34" t="n">
        <v>44566</v>
      </c>
      <c r="D217" s="15" t="n">
        <v>52.7</v>
      </c>
      <c r="E217" s="15" t="n">
        <v>104.15</v>
      </c>
      <c r="F217" s="34" t="n">
        <v>44566</v>
      </c>
      <c r="G217" s="15" t="n">
        <v>283.4</v>
      </c>
      <c r="H217" s="15" t="n">
        <v>374.71</v>
      </c>
      <c r="I217" s="34" t="n">
        <v>44566</v>
      </c>
    </row>
    <row r="218">
      <c r="A218" s="34" t="n">
        <v>44567</v>
      </c>
      <c r="B218" s="266" t="n">
        <v>1.224454045295715</v>
      </c>
      <c r="C218" s="34" t="n">
        <v>44567</v>
      </c>
      <c r="D218" s="15" t="n">
        <v>53</v>
      </c>
      <c r="E218" s="15" t="n">
        <v>103.37</v>
      </c>
      <c r="F218" s="34" t="n">
        <v>44567</v>
      </c>
      <c r="G218" s="15" t="n">
        <v>271.2</v>
      </c>
      <c r="H218" s="15" t="n">
        <v>371.16</v>
      </c>
      <c r="I218" s="34" t="n">
        <v>44567</v>
      </c>
    </row>
    <row r="219">
      <c r="A219" s="34" t="n">
        <v>44568</v>
      </c>
      <c r="B219" s="266" t="n">
        <v>1.221958994865417</v>
      </c>
      <c r="C219" s="34" t="n">
        <v>44568</v>
      </c>
      <c r="D219" s="15" t="n">
        <v>54.7</v>
      </c>
      <c r="E219" s="15" t="n">
        <v>101</v>
      </c>
      <c r="F219" s="34" t="n">
        <v>44568</v>
      </c>
      <c r="G219" s="15" t="n">
        <v>261.4</v>
      </c>
      <c r="H219" s="15" t="n">
        <v>353.8</v>
      </c>
      <c r="I219" s="34" t="n">
        <v>44568</v>
      </c>
    </row>
    <row r="220">
      <c r="A220" s="34" t="n">
        <v>44571</v>
      </c>
      <c r="B220" s="266" t="n">
        <v>1.221858024597168</v>
      </c>
      <c r="C220" s="34" t="n">
        <v>44571</v>
      </c>
      <c r="D220" s="15" t="n">
        <v>58.55</v>
      </c>
      <c r="E220" s="15" t="n">
        <v>101.33</v>
      </c>
      <c r="F220" s="34" t="n">
        <v>44571</v>
      </c>
      <c r="G220" s="15" t="n">
        <v>259.6</v>
      </c>
      <c r="H220" s="15" t="n">
        <v>350.6</v>
      </c>
      <c r="I220" s="34" t="n">
        <v>44571</v>
      </c>
    </row>
    <row r="221">
      <c r="A221" s="34" t="n">
        <v>44572</v>
      </c>
      <c r="B221" s="266" t="n">
        <v>1.222226977348328</v>
      </c>
      <c r="C221" s="34" t="n">
        <v>44572</v>
      </c>
      <c r="D221" s="15" t="n">
        <v>59.4</v>
      </c>
      <c r="E221" s="15" t="n">
        <v>100.32</v>
      </c>
      <c r="F221" s="34" t="n">
        <v>44572</v>
      </c>
      <c r="G221" s="15" t="n">
        <v>262.8</v>
      </c>
      <c r="H221" s="15" t="n">
        <v>347</v>
      </c>
      <c r="I221" s="34" t="n">
        <v>44572</v>
      </c>
    </row>
    <row r="222">
      <c r="A222" s="34" t="n">
        <v>44573</v>
      </c>
      <c r="B222" s="266" t="n">
        <v>1.22298800945282</v>
      </c>
      <c r="C222" s="34" t="n">
        <v>44573</v>
      </c>
      <c r="D222" s="15" t="n">
        <v>62.75</v>
      </c>
      <c r="E222" s="15" t="n">
        <v>104.11</v>
      </c>
      <c r="F222" s="34" t="n">
        <v>44573</v>
      </c>
      <c r="G222" s="15" t="n">
        <v>275</v>
      </c>
      <c r="H222" s="15" t="n">
        <v>359.32</v>
      </c>
      <c r="I222" s="34" t="n">
        <v>44573</v>
      </c>
    </row>
    <row r="223">
      <c r="A223" s="34" t="n">
        <v>44574</v>
      </c>
      <c r="B223" s="266" t="n">
        <v>1.224953055381775</v>
      </c>
      <c r="C223" s="34" t="n">
        <v>44574</v>
      </c>
      <c r="D223" s="15" t="n">
        <v>61.6</v>
      </c>
      <c r="E223" s="15" t="n">
        <v>104.11</v>
      </c>
      <c r="F223" s="34" t="n">
        <v>44574</v>
      </c>
      <c r="G223" s="15" t="n">
        <v>287.2</v>
      </c>
      <c r="H223" s="15" t="n">
        <v>357.17</v>
      </c>
      <c r="I223" s="34" t="n">
        <v>44574</v>
      </c>
    </row>
    <row r="224">
      <c r="A224" s="34" t="n">
        <v>44575</v>
      </c>
      <c r="B224" s="266" t="n">
        <v>1.224287986755371</v>
      </c>
      <c r="C224" s="34" t="n">
        <v>44575</v>
      </c>
      <c r="D224" s="15" t="n">
        <v>62.45</v>
      </c>
      <c r="E224" s="15" t="n">
        <v>101.6</v>
      </c>
      <c r="F224" s="34" t="n">
        <v>44575</v>
      </c>
      <c r="G224" s="15" t="n">
        <v>289.2</v>
      </c>
      <c r="H224" s="15" t="n">
        <v>349.53</v>
      </c>
      <c r="I224" s="34" t="n">
        <v>44575</v>
      </c>
      <c r="J224" s="15" t="n">
        <v>28.2</v>
      </c>
      <c r="K224" s="15" t="n">
        <v>37.68</v>
      </c>
      <c r="L224" s="34" t="n">
        <v>44575</v>
      </c>
    </row>
    <row r="225">
      <c r="A225" s="34" t="n">
        <v>44578</v>
      </c>
      <c r="B225" s="266" t="n">
        <v>1.224637985229492</v>
      </c>
      <c r="C225" s="34" t="n">
        <v>44578</v>
      </c>
      <c r="D225" s="15" t="n">
        <v>61.85</v>
      </c>
      <c r="E225" s="15" t="n">
        <v>102.7</v>
      </c>
      <c r="F225" s="34" t="n">
        <v>44578</v>
      </c>
      <c r="G225" s="15" t="n">
        <v>292</v>
      </c>
      <c r="H225" s="15" t="n">
        <v>370.77</v>
      </c>
      <c r="I225" s="34" t="n">
        <v>44578</v>
      </c>
      <c r="J225" s="15" t="n">
        <v>26.75</v>
      </c>
      <c r="K225" s="15" t="n">
        <v>37.57</v>
      </c>
      <c r="L225" s="34" t="n">
        <v>44578</v>
      </c>
    </row>
    <row r="226">
      <c r="A226" s="34" t="n">
        <v>44579</v>
      </c>
      <c r="B226" s="266" t="n">
        <v>1.227324962615967</v>
      </c>
      <c r="C226" s="34" t="n">
        <v>44579</v>
      </c>
      <c r="D226" s="15" t="n">
        <v>62.7</v>
      </c>
      <c r="E226" s="15" t="n">
        <v>102.48</v>
      </c>
      <c r="F226" s="34" t="n">
        <v>44579</v>
      </c>
      <c r="G226" s="15" t="n">
        <v>297</v>
      </c>
      <c r="H226" s="15" t="n">
        <v>378.8</v>
      </c>
      <c r="I226" s="34" t="n">
        <v>44579</v>
      </c>
      <c r="J226" s="15" t="n">
        <v>26.35</v>
      </c>
      <c r="K226" s="15" t="n">
        <v>37.5</v>
      </c>
      <c r="L226" s="34" t="n">
        <v>44579</v>
      </c>
    </row>
    <row r="227">
      <c r="A227" s="34" t="n">
        <v>44580</v>
      </c>
      <c r="B227" s="266" t="n">
        <v>1.226585984230042</v>
      </c>
      <c r="C227" s="34" t="n">
        <v>44580</v>
      </c>
      <c r="D227" s="15" t="n">
        <v>60.45</v>
      </c>
      <c r="E227" s="15" t="n">
        <v>98.52</v>
      </c>
      <c r="F227" s="34" t="n">
        <v>44580</v>
      </c>
      <c r="G227" s="15" t="n">
        <v>294.6</v>
      </c>
      <c r="H227" s="15" t="n">
        <v>358</v>
      </c>
      <c r="I227" s="34" t="n">
        <v>44580</v>
      </c>
      <c r="J227" s="15" t="n">
        <v>27.45</v>
      </c>
      <c r="K227" s="15" t="n">
        <v>36.98</v>
      </c>
      <c r="L227" s="34" t="n">
        <v>44580</v>
      </c>
    </row>
    <row r="228">
      <c r="A228" s="34" t="n">
        <v>44581</v>
      </c>
      <c r="B228" s="266" t="n">
        <v>1.227787017822266</v>
      </c>
      <c r="C228" s="34" t="n">
        <v>44581</v>
      </c>
      <c r="D228" s="15" t="n">
        <v>61.35</v>
      </c>
      <c r="E228" s="15" t="n">
        <v>96.67</v>
      </c>
      <c r="F228" s="34" t="n">
        <v>44581</v>
      </c>
      <c r="G228" s="15" t="n">
        <v>294.2</v>
      </c>
      <c r="H228" s="15" t="n">
        <v>348.5</v>
      </c>
      <c r="I228" s="34" t="n">
        <v>44581</v>
      </c>
      <c r="J228" s="15" t="n">
        <v>27.45</v>
      </c>
      <c r="K228" s="15" t="n">
        <v>35.77</v>
      </c>
      <c r="L228" s="34" t="n">
        <v>44581</v>
      </c>
    </row>
    <row r="229">
      <c r="A229" s="34" t="n">
        <v>44582</v>
      </c>
      <c r="B229" s="266" t="n">
        <v>1.227898955345154</v>
      </c>
      <c r="C229" s="34" t="n">
        <v>44582</v>
      </c>
      <c r="D229" s="15" t="n">
        <v>61.8</v>
      </c>
      <c r="E229" s="15" t="n">
        <v>96.59999999999999</v>
      </c>
      <c r="F229" s="34" t="n">
        <v>44582</v>
      </c>
      <c r="G229" s="15" t="n">
        <v>291.4</v>
      </c>
      <c r="H229" s="15" t="n">
        <v>345.69</v>
      </c>
      <c r="I229" s="34" t="n">
        <v>44582</v>
      </c>
      <c r="J229" s="15" t="n">
        <v>27.3</v>
      </c>
      <c r="K229" s="15" t="n">
        <v>35.52</v>
      </c>
      <c r="L229" s="34" t="n">
        <v>44582</v>
      </c>
    </row>
    <row r="230">
      <c r="A230" s="34" t="n">
        <v>44585</v>
      </c>
      <c r="B230" s="266" t="n">
        <v>1.228338956832886</v>
      </c>
      <c r="C230" s="34" t="n">
        <v>44585</v>
      </c>
      <c r="D230" s="15" t="n">
        <v>62.2</v>
      </c>
      <c r="E230" s="15" t="n">
        <v>103.16</v>
      </c>
      <c r="F230" s="34" t="n">
        <v>44585</v>
      </c>
      <c r="G230" s="15" t="n">
        <v>268.4</v>
      </c>
      <c r="H230" s="15" t="n">
        <v>342</v>
      </c>
      <c r="I230" s="34" t="n">
        <v>44585</v>
      </c>
      <c r="J230" s="15" t="n">
        <v>27.6</v>
      </c>
      <c r="K230" s="15" t="n">
        <v>36</v>
      </c>
      <c r="L230" s="34" t="n">
        <v>44585</v>
      </c>
    </row>
    <row r="231">
      <c r="A231" s="34" t="n">
        <v>44586</v>
      </c>
      <c r="B231" s="266" t="n">
        <v>1.229992985725403</v>
      </c>
      <c r="C231" s="34" t="n">
        <v>44586</v>
      </c>
      <c r="D231" s="15" t="n">
        <v>62.2</v>
      </c>
      <c r="E231" s="15" t="n">
        <v>103.27</v>
      </c>
      <c r="F231" s="34" t="n">
        <v>44586</v>
      </c>
      <c r="G231" s="15" t="n">
        <v>273.6</v>
      </c>
      <c r="H231" s="15" t="n">
        <v>349</v>
      </c>
      <c r="I231" s="34" t="n">
        <v>44586</v>
      </c>
      <c r="J231" s="15" t="n">
        <v>28</v>
      </c>
      <c r="K231" s="15" t="n">
        <v>36</v>
      </c>
      <c r="L231" s="34" t="n">
        <v>44586</v>
      </c>
    </row>
    <row r="232">
      <c r="A232" s="34" t="n">
        <v>44587</v>
      </c>
      <c r="B232" s="266" t="n">
        <v>1.23039698600769</v>
      </c>
      <c r="C232" s="34" t="n">
        <v>44587</v>
      </c>
      <c r="D232" s="15" t="n">
        <v>62</v>
      </c>
      <c r="E232" s="15" t="n">
        <v>99.54000000000001</v>
      </c>
      <c r="F232" s="34" t="n">
        <v>44587</v>
      </c>
      <c r="G232" s="15" t="n">
        <v>276.8</v>
      </c>
      <c r="H232" s="15" t="n">
        <v>333.55</v>
      </c>
      <c r="I232" s="34" t="n">
        <v>44587</v>
      </c>
      <c r="J232" s="15" t="n">
        <v>28.35</v>
      </c>
      <c r="K232" s="15" t="n">
        <v>36</v>
      </c>
      <c r="L232" s="34" t="n">
        <v>44587</v>
      </c>
    </row>
    <row r="233">
      <c r="A233" s="34" t="n">
        <v>44588</v>
      </c>
      <c r="B233" s="266" t="n">
        <v>1.23190701007843</v>
      </c>
      <c r="C233" s="34" t="n">
        <v>44588</v>
      </c>
      <c r="D233" s="15" t="n">
        <v>55.65</v>
      </c>
      <c r="E233" s="15" t="n">
        <v>97.23999999999999</v>
      </c>
      <c r="F233" s="34" t="n">
        <v>44588</v>
      </c>
      <c r="G233" s="15" t="n">
        <v>270.6</v>
      </c>
      <c r="H233" s="15" t="n">
        <v>329.7</v>
      </c>
      <c r="I233" s="34" t="n">
        <v>44588</v>
      </c>
      <c r="J233" s="15" t="n">
        <v>28.55</v>
      </c>
      <c r="K233" s="15" t="n">
        <v>35.3</v>
      </c>
      <c r="L233" s="34" t="n">
        <v>44588</v>
      </c>
    </row>
    <row r="234">
      <c r="A234" s="34" t="n">
        <v>44589</v>
      </c>
      <c r="B234" s="266" t="n">
        <v>1.222800970077515</v>
      </c>
      <c r="C234" s="34" t="n">
        <v>44589</v>
      </c>
      <c r="D234" s="15" t="n">
        <v>55.9</v>
      </c>
      <c r="E234" s="15" t="n">
        <v>96.88</v>
      </c>
      <c r="F234" s="34" t="n">
        <v>44589</v>
      </c>
      <c r="G234" s="15" t="n">
        <v>255.2</v>
      </c>
      <c r="H234" s="15" t="n">
        <v>325.48</v>
      </c>
      <c r="I234" s="34" t="n">
        <v>44589</v>
      </c>
      <c r="J234" s="15" t="n">
        <v>29.9</v>
      </c>
      <c r="K234" s="15" t="n">
        <v>35.48</v>
      </c>
      <c r="L234" s="34" t="n">
        <v>44589</v>
      </c>
    </row>
    <row r="235">
      <c r="A235" s="34" t="n">
        <v>44592</v>
      </c>
      <c r="B235" s="266" t="n">
        <v>1.224603056907654</v>
      </c>
      <c r="C235" s="34" t="n">
        <v>44592</v>
      </c>
      <c r="D235" s="15" t="n">
        <v>57.4</v>
      </c>
      <c r="E235" s="15" t="n">
        <v>96.88</v>
      </c>
      <c r="F235" s="34" t="n">
        <v>44589</v>
      </c>
      <c r="G235" s="15" t="n">
        <v>271.4</v>
      </c>
      <c r="H235" s="15" t="n">
        <v>325.48</v>
      </c>
      <c r="I235" s="34" t="n">
        <v>44589</v>
      </c>
      <c r="J235" s="15" t="n">
        <v>31.1</v>
      </c>
      <c r="K235" s="15" t="n">
        <v>35.48</v>
      </c>
      <c r="L235" s="34" t="n">
        <v>44589</v>
      </c>
    </row>
    <row r="236">
      <c r="A236" s="34" t="n">
        <v>44596</v>
      </c>
      <c r="B236" s="266" t="n">
        <v>1.22502601146698</v>
      </c>
      <c r="C236" s="34" t="n">
        <v>44596</v>
      </c>
      <c r="D236" s="15" t="n">
        <v>59</v>
      </c>
      <c r="E236" s="15" t="n">
        <v>96.88</v>
      </c>
      <c r="F236" s="34" t="n">
        <v>44589</v>
      </c>
      <c r="G236" s="15" t="n">
        <v>269.8</v>
      </c>
      <c r="H236" s="15" t="n">
        <v>325.48</v>
      </c>
      <c r="I236" s="34" t="n">
        <v>44589</v>
      </c>
      <c r="J236" s="15" t="n">
        <v>31</v>
      </c>
      <c r="K236" s="15" t="n">
        <v>35.48</v>
      </c>
      <c r="L236" s="34" t="n">
        <v>44589</v>
      </c>
    </row>
    <row r="237">
      <c r="A237" s="34" t="n">
        <v>44599</v>
      </c>
      <c r="B237" s="266" t="n">
        <v>1.224985957145691</v>
      </c>
      <c r="C237" s="34" t="n">
        <v>44599</v>
      </c>
      <c r="D237" s="15" t="n">
        <v>60.35</v>
      </c>
      <c r="E237" s="15" t="n">
        <v>99.90000000000001</v>
      </c>
      <c r="F237" s="34" t="n">
        <v>44599</v>
      </c>
      <c r="G237" s="15" t="n">
        <v>280</v>
      </c>
      <c r="H237" s="15" t="n">
        <v>328.34</v>
      </c>
      <c r="I237" s="34" t="n">
        <v>44599</v>
      </c>
      <c r="J237" s="15" t="n">
        <v>28.85</v>
      </c>
      <c r="K237" s="15" t="n">
        <v>36.38</v>
      </c>
      <c r="L237" s="34" t="n">
        <v>44599</v>
      </c>
    </row>
    <row r="238">
      <c r="A238" s="34" t="n">
        <v>44600</v>
      </c>
      <c r="B238" s="266" t="n">
        <v>1.22487199306488</v>
      </c>
      <c r="C238" s="34" t="n">
        <v>44600</v>
      </c>
      <c r="D238" s="15" t="n">
        <v>58.05</v>
      </c>
      <c r="E238" s="15" t="n">
        <v>93.22</v>
      </c>
      <c r="F238" s="34" t="n">
        <v>44600</v>
      </c>
      <c r="G238" s="15" t="n">
        <v>261</v>
      </c>
      <c r="H238" s="15" t="n">
        <v>308.01</v>
      </c>
      <c r="I238" s="34" t="n">
        <v>44600</v>
      </c>
      <c r="J238" s="15" t="n">
        <v>28</v>
      </c>
      <c r="K238" s="15" t="n">
        <v>35.7</v>
      </c>
      <c r="L238" s="34" t="n">
        <v>44600</v>
      </c>
    </row>
    <row r="239">
      <c r="A239" s="34" t="n">
        <v>44601</v>
      </c>
      <c r="B239" s="266" t="n">
        <v>1.224302053451538</v>
      </c>
      <c r="C239" s="34" t="n">
        <v>44601</v>
      </c>
      <c r="D239" s="15" t="n">
        <v>58</v>
      </c>
      <c r="E239" s="15" t="n">
        <v>91.5</v>
      </c>
      <c r="F239" s="34" t="n">
        <v>44601</v>
      </c>
      <c r="G239" s="15" t="n">
        <v>247</v>
      </c>
      <c r="H239" s="15" t="n">
        <v>300.49</v>
      </c>
      <c r="I239" s="34" t="n">
        <v>44601</v>
      </c>
      <c r="J239" s="15" t="n">
        <v>29.3</v>
      </c>
      <c r="K239" s="15" t="n">
        <v>36.45</v>
      </c>
      <c r="L239" s="34" t="n">
        <v>44601</v>
      </c>
    </row>
    <row r="240">
      <c r="A240" s="34" t="n">
        <v>44602</v>
      </c>
      <c r="B240" s="266" t="n">
        <v>1.224215984344482</v>
      </c>
      <c r="C240" s="34" t="n">
        <v>44602</v>
      </c>
      <c r="D240" s="15" t="n">
        <v>57</v>
      </c>
      <c r="E240" s="15" t="n">
        <v>89.98999999999999</v>
      </c>
      <c r="F240" s="34" t="n">
        <v>44602</v>
      </c>
      <c r="G240" s="15" t="n">
        <v>247.2</v>
      </c>
      <c r="H240" s="15" t="n">
        <v>276.1</v>
      </c>
      <c r="I240" s="34" t="n">
        <v>44602</v>
      </c>
      <c r="J240" s="15" t="n">
        <v>29.2</v>
      </c>
      <c r="K240" s="15" t="n">
        <v>36.23</v>
      </c>
      <c r="L240" s="34" t="n">
        <v>44602</v>
      </c>
    </row>
    <row r="241">
      <c r="A241" s="34" t="n">
        <v>44603</v>
      </c>
      <c r="B241" s="266" t="n">
        <v>1.226699948310852</v>
      </c>
      <c r="C241" s="34" t="n">
        <v>44603</v>
      </c>
      <c r="D241" s="15" t="n">
        <v>54.85</v>
      </c>
      <c r="E241" s="15" t="n">
        <v>89.44</v>
      </c>
      <c r="F241" s="34" t="n">
        <v>44603</v>
      </c>
      <c r="G241" s="15" t="n">
        <v>233.4</v>
      </c>
      <c r="H241" s="15" t="n">
        <v>262.12</v>
      </c>
      <c r="I241" s="34" t="n">
        <v>44603</v>
      </c>
      <c r="J241" s="15" t="n">
        <v>29.4</v>
      </c>
      <c r="K241" s="15" t="n">
        <v>35.24</v>
      </c>
      <c r="L241" s="34" t="n">
        <v>44603</v>
      </c>
    </row>
    <row r="242">
      <c r="A242" s="34" t="n">
        <v>44606</v>
      </c>
      <c r="B242" s="266" t="n">
        <v>1.229004979133606</v>
      </c>
      <c r="C242" s="34" t="n">
        <v>44606</v>
      </c>
      <c r="D242" s="15" t="n">
        <v>55.95</v>
      </c>
      <c r="E242" s="15" t="n">
        <v>90.45</v>
      </c>
      <c r="F242" s="34" t="n">
        <v>44606</v>
      </c>
      <c r="G242" s="15" t="n">
        <v>231.2</v>
      </c>
      <c r="H242" s="15" t="n">
        <v>276.6</v>
      </c>
      <c r="I242" s="34" t="n">
        <v>44606</v>
      </c>
      <c r="J242" s="15" t="n">
        <v>29.8</v>
      </c>
      <c r="K242" s="15" t="n">
        <v>35.83</v>
      </c>
      <c r="L242" s="34" t="n">
        <v>44606</v>
      </c>
    </row>
    <row r="243">
      <c r="A243" s="34" t="n">
        <v>44607</v>
      </c>
      <c r="B243" s="266" t="n">
        <v>1.227381944656372</v>
      </c>
      <c r="C243" s="34" t="n">
        <v>44607</v>
      </c>
      <c r="D243" s="15" t="n">
        <v>63.3</v>
      </c>
      <c r="E243" s="15" t="n">
        <v>99.5</v>
      </c>
      <c r="F243" s="34" t="n">
        <v>44607</v>
      </c>
      <c r="G243" s="15" t="n">
        <v>250</v>
      </c>
      <c r="H243" s="15" t="n">
        <v>304.26</v>
      </c>
      <c r="I243" s="34" t="n">
        <v>44607</v>
      </c>
      <c r="J243" s="15" t="n">
        <v>29.9</v>
      </c>
      <c r="K243" s="15" t="n">
        <v>36.78</v>
      </c>
      <c r="L243" s="34" t="n">
        <v>44607</v>
      </c>
    </row>
    <row r="244">
      <c r="A244" s="34" t="n">
        <v>44608</v>
      </c>
      <c r="B244" s="266" t="n">
        <v>1.230052947998047</v>
      </c>
      <c r="C244" s="34" t="n">
        <v>44608</v>
      </c>
      <c r="D244" s="15" t="n">
        <v>63.65</v>
      </c>
      <c r="E244" s="15" t="n">
        <v>104.5</v>
      </c>
      <c r="F244" s="34" t="n">
        <v>44608</v>
      </c>
      <c r="G244" s="15" t="n">
        <v>252</v>
      </c>
      <c r="H244" s="15" t="n">
        <v>305.29</v>
      </c>
      <c r="I244" s="34" t="n">
        <v>44608</v>
      </c>
      <c r="J244" s="15" t="n">
        <v>30.1</v>
      </c>
      <c r="K244" s="15" t="n">
        <v>38.36</v>
      </c>
      <c r="L244" s="34" t="n">
        <v>44608</v>
      </c>
    </row>
    <row r="245">
      <c r="A245" s="34" t="n">
        <v>44609</v>
      </c>
      <c r="B245" s="266" t="n">
        <v>1.230854034423828</v>
      </c>
      <c r="C245" s="34" t="n">
        <v>44609</v>
      </c>
      <c r="D245" s="15" t="n">
        <v>65.59999999999999</v>
      </c>
      <c r="E245" s="15" t="n">
        <v>103.86</v>
      </c>
      <c r="F245" s="34" t="n">
        <v>44609</v>
      </c>
      <c r="G245" s="15" t="n">
        <v>254</v>
      </c>
      <c r="H245" s="15" t="n">
        <v>307.51</v>
      </c>
      <c r="I245" s="34" t="n">
        <v>44609</v>
      </c>
      <c r="J245" s="15" t="n">
        <v>29.9</v>
      </c>
      <c r="K245" s="15" t="n">
        <v>38.22</v>
      </c>
      <c r="L245" s="34" t="n">
        <v>44609</v>
      </c>
    </row>
    <row r="246">
      <c r="A246" s="34" t="n">
        <v>44610</v>
      </c>
      <c r="B246" s="266" t="n">
        <v>1.230208992958069</v>
      </c>
      <c r="C246" s="34" t="n">
        <v>44610</v>
      </c>
      <c r="D246" s="15" t="n">
        <v>65.5</v>
      </c>
      <c r="E246" s="15" t="n">
        <v>104.17</v>
      </c>
      <c r="F246" s="34" t="n">
        <v>44610</v>
      </c>
      <c r="G246" s="15" t="n">
        <v>251.2</v>
      </c>
      <c r="H246" s="15" t="n">
        <v>307.19</v>
      </c>
      <c r="I246" s="34" t="n">
        <v>44610</v>
      </c>
      <c r="J246" s="15" t="n">
        <v>29.5</v>
      </c>
      <c r="K246" s="15" t="n">
        <v>37.87</v>
      </c>
      <c r="L246" s="34" t="n">
        <v>44610</v>
      </c>
    </row>
    <row r="247">
      <c r="A247" s="34" t="n">
        <v>44613</v>
      </c>
      <c r="B247" s="266" t="n">
        <v>1.232306957244873</v>
      </c>
      <c r="C247" s="34" t="n">
        <v>44613</v>
      </c>
      <c r="D247" s="15" t="n">
        <v>62.4</v>
      </c>
      <c r="E247" s="15" t="n">
        <v>102.16</v>
      </c>
      <c r="F247" s="34" t="n">
        <v>44613</v>
      </c>
      <c r="G247" s="15" t="n">
        <v>256</v>
      </c>
      <c r="H247" s="15" t="n">
        <v>315.74</v>
      </c>
      <c r="I247" s="34" t="n">
        <v>44613</v>
      </c>
      <c r="J247" s="15" t="n">
        <v>29.8</v>
      </c>
      <c r="K247" s="15" t="n">
        <v>38.15</v>
      </c>
      <c r="L247" s="34" t="n">
        <v>44613</v>
      </c>
    </row>
    <row r="248">
      <c r="A248" s="34" t="n">
        <v>44614</v>
      </c>
      <c r="B248" s="266" t="n">
        <v>1.23160994052887</v>
      </c>
      <c r="C248" s="34" t="n">
        <v>44614</v>
      </c>
      <c r="D248" s="15" t="n">
        <v>60.65</v>
      </c>
      <c r="E248" s="15" t="n">
        <v>100.66</v>
      </c>
      <c r="F248" s="34" t="n">
        <v>44614</v>
      </c>
      <c r="G248" s="15" t="n">
        <v>254.8</v>
      </c>
      <c r="H248" s="15" t="n">
        <v>310.91</v>
      </c>
      <c r="I248" s="34" t="n">
        <v>44614</v>
      </c>
      <c r="J248" s="15" t="n">
        <v>29.95</v>
      </c>
      <c r="K248" s="15" t="n">
        <v>38.59</v>
      </c>
      <c r="L248" s="34" t="n">
        <v>44614</v>
      </c>
    </row>
    <row r="249">
      <c r="A249" s="34" t="n">
        <v>44615</v>
      </c>
      <c r="B249" s="266" t="n">
        <v>1.233018040657043</v>
      </c>
      <c r="C249" s="34" t="n">
        <v>44615</v>
      </c>
      <c r="D249" s="15" t="n">
        <v>61.8</v>
      </c>
      <c r="E249" s="15" t="n">
        <v>107</v>
      </c>
      <c r="F249" s="34" t="n">
        <v>44615</v>
      </c>
      <c r="G249" s="15" t="n">
        <v>265.8</v>
      </c>
      <c r="H249" s="15" t="n">
        <v>318.5</v>
      </c>
      <c r="I249" s="34" t="n">
        <v>44615</v>
      </c>
      <c r="J249" s="15" t="n">
        <v>30.35</v>
      </c>
      <c r="K249" s="15" t="n">
        <v>39.1</v>
      </c>
      <c r="L249" s="34" t="n">
        <v>44615</v>
      </c>
    </row>
    <row r="250">
      <c r="A250" s="34" t="n">
        <v>44616</v>
      </c>
      <c r="B250" s="266" t="n">
        <v>1.235846042633057</v>
      </c>
      <c r="C250" s="34" t="n">
        <v>44616</v>
      </c>
      <c r="D250" s="15" t="n">
        <v>60</v>
      </c>
      <c r="E250" s="15" t="n">
        <v>108.41</v>
      </c>
      <c r="F250" s="34" t="n">
        <v>44616</v>
      </c>
      <c r="G250" s="15" t="n">
        <v>262</v>
      </c>
      <c r="H250" s="15" t="n">
        <v>322</v>
      </c>
      <c r="I250" s="34" t="n">
        <v>44616</v>
      </c>
      <c r="J250" s="15" t="n">
        <v>29.45</v>
      </c>
      <c r="K250" s="15" t="n">
        <v>39.35</v>
      </c>
      <c r="L250" s="34" t="n">
        <v>44616</v>
      </c>
    </row>
    <row r="251">
      <c r="A251" s="34" t="n">
        <v>44617</v>
      </c>
      <c r="B251" s="266" t="n">
        <v>1.233438968658447</v>
      </c>
      <c r="C251" s="34" t="n">
        <v>44617</v>
      </c>
      <c r="D251" s="15" t="n">
        <v>64</v>
      </c>
      <c r="E251" s="15" t="n">
        <v>117.28</v>
      </c>
      <c r="F251" s="34" t="n">
        <v>44617</v>
      </c>
      <c r="G251" s="15" t="n">
        <v>273</v>
      </c>
      <c r="H251" s="15" t="n">
        <v>343.99</v>
      </c>
      <c r="I251" s="34" t="n">
        <v>44617</v>
      </c>
      <c r="J251" s="15" t="n">
        <v>29.6</v>
      </c>
      <c r="K251" s="15" t="n">
        <v>39.53</v>
      </c>
      <c r="L251" s="34" t="n">
        <v>44617</v>
      </c>
    </row>
    <row r="252">
      <c r="A252" s="34" t="n">
        <v>44620</v>
      </c>
      <c r="B252" s="266" t="n">
        <v>1.231897950172424</v>
      </c>
      <c r="C252" s="34" t="n">
        <v>44620</v>
      </c>
      <c r="D252" s="15" t="n">
        <v>65.09999999999999</v>
      </c>
      <c r="E252" s="15" t="n">
        <v>114.94</v>
      </c>
      <c r="F252" s="34" t="n">
        <v>44620</v>
      </c>
      <c r="G252" s="15" t="n">
        <v>266.6</v>
      </c>
      <c r="H252" s="15" t="n">
        <v>340.41</v>
      </c>
      <c r="I252" s="34" t="n">
        <v>44620</v>
      </c>
      <c r="J252" s="15" t="n">
        <v>29.9</v>
      </c>
      <c r="K252" s="15" t="n">
        <v>39.19</v>
      </c>
      <c r="L252" s="34" t="n">
        <v>44620</v>
      </c>
    </row>
    <row r="253">
      <c r="A253" s="34" t="n">
        <v>44621</v>
      </c>
      <c r="B253" s="266" t="n">
        <v>1.237936973571777</v>
      </c>
      <c r="C253" s="34" t="n">
        <v>44621</v>
      </c>
      <c r="D253" s="15" t="n">
        <v>67</v>
      </c>
      <c r="E253" s="15" t="n">
        <v>115.76</v>
      </c>
      <c r="F253" s="34" t="n">
        <v>44621</v>
      </c>
      <c r="G253" s="15" t="n">
        <v>271</v>
      </c>
      <c r="H253" s="15" t="n">
        <v>350.24</v>
      </c>
      <c r="I253" s="34" t="n">
        <v>44621</v>
      </c>
      <c r="J253" s="15" t="n">
        <v>29.95</v>
      </c>
      <c r="K253" s="15" t="n">
        <v>38.68</v>
      </c>
      <c r="L253" s="34" t="n">
        <v>44621</v>
      </c>
    </row>
    <row r="254">
      <c r="A254" s="34" t="n">
        <v>44622</v>
      </c>
      <c r="B254" s="266" t="n">
        <v>1.23852002620697</v>
      </c>
      <c r="C254" s="34" t="n">
        <v>44622</v>
      </c>
      <c r="D254" s="15" t="n">
        <v>65.90000000000001</v>
      </c>
      <c r="E254" s="15" t="n">
        <v>117.28</v>
      </c>
      <c r="F254" s="34" t="n">
        <v>44622</v>
      </c>
      <c r="G254" s="15" t="n">
        <v>269</v>
      </c>
      <c r="H254" s="15" t="n">
        <v>342.51</v>
      </c>
      <c r="I254" s="34" t="n">
        <v>44622</v>
      </c>
      <c r="J254" s="15" t="n">
        <v>29.7</v>
      </c>
      <c r="K254" s="15" t="n">
        <v>38.22</v>
      </c>
      <c r="L254" s="34" t="n">
        <v>44622</v>
      </c>
    </row>
    <row r="255">
      <c r="A255" s="34" t="n">
        <v>44623</v>
      </c>
      <c r="B255" s="266" t="n">
        <v>1.235599040985107</v>
      </c>
      <c r="C255" s="34" t="n">
        <v>44623</v>
      </c>
      <c r="D255" s="15" t="n">
        <v>63.5</v>
      </c>
      <c r="E255" s="15" t="n">
        <v>113.58</v>
      </c>
      <c r="F255" s="34" t="n">
        <v>44623</v>
      </c>
      <c r="G255" s="15" t="n">
        <v>255</v>
      </c>
      <c r="H255" s="15" t="n">
        <v>339.09</v>
      </c>
      <c r="I255" s="34" t="n">
        <v>44623</v>
      </c>
      <c r="J255" s="15" t="n">
        <v>29.75</v>
      </c>
      <c r="K255" s="15" t="n">
        <v>37.5</v>
      </c>
      <c r="L255" s="34" t="n">
        <v>44623</v>
      </c>
    </row>
    <row r="256">
      <c r="A256" s="34" t="n">
        <v>44624</v>
      </c>
      <c r="B256" s="266" t="n">
        <v>1.237941980361938</v>
      </c>
      <c r="C256" s="34" t="n">
        <v>44624</v>
      </c>
      <c r="D256" s="15" t="n">
        <v>62.15</v>
      </c>
      <c r="E256" s="15" t="n">
        <v>117.51</v>
      </c>
      <c r="F256" s="34" t="n">
        <v>44624</v>
      </c>
      <c r="G256" s="15" t="n">
        <v>251</v>
      </c>
      <c r="H256" s="15" t="n">
        <v>341.98</v>
      </c>
      <c r="I256" s="34" t="n">
        <v>44624</v>
      </c>
      <c r="J256" s="15" t="n">
        <v>28.15</v>
      </c>
      <c r="K256" s="15" t="n">
        <v>36.76</v>
      </c>
      <c r="L256" s="34" t="n">
        <v>44624</v>
      </c>
    </row>
    <row r="257">
      <c r="A257" s="34" t="n">
        <v>44627</v>
      </c>
      <c r="B257" s="266" t="n">
        <v>1.223220944404602</v>
      </c>
      <c r="C257" s="34" t="n">
        <v>44627</v>
      </c>
      <c r="D257" s="15" t="n">
        <v>60.05</v>
      </c>
      <c r="E257" s="15" t="n">
        <v>111</v>
      </c>
      <c r="F257" s="34" t="n">
        <v>44627</v>
      </c>
      <c r="G257" s="15" t="n">
        <v>236</v>
      </c>
      <c r="H257" s="15" t="n">
        <v>331.8</v>
      </c>
      <c r="I257" s="34" t="n">
        <v>44627</v>
      </c>
      <c r="J257" s="15" t="n">
        <v>27.05</v>
      </c>
      <c r="K257" s="15" t="n">
        <v>35.68</v>
      </c>
      <c r="L257" s="34" t="n">
        <v>44627</v>
      </c>
    </row>
    <row r="258">
      <c r="A258" s="34" t="n">
        <v>44628</v>
      </c>
      <c r="B258" s="266" t="n">
        <v>1.237072944641113</v>
      </c>
      <c r="C258" s="34" t="n">
        <v>44628</v>
      </c>
      <c r="D258" s="15" t="n">
        <v>58.9</v>
      </c>
      <c r="E258" s="15" t="n">
        <v>110.52</v>
      </c>
      <c r="F258" s="34" t="n">
        <v>44628</v>
      </c>
      <c r="G258" s="15" t="n">
        <v>232.2</v>
      </c>
      <c r="H258" s="15" t="n">
        <v>327.75</v>
      </c>
      <c r="I258" s="34" t="n">
        <v>44628</v>
      </c>
      <c r="J258" s="15" t="n">
        <v>26.1</v>
      </c>
      <c r="K258" s="15" t="n">
        <v>34.75</v>
      </c>
      <c r="L258" s="34" t="n">
        <v>44628</v>
      </c>
    </row>
    <row r="259">
      <c r="A259" s="34" t="n">
        <v>44629</v>
      </c>
      <c r="B259" s="266" t="n">
        <v>1.237218976020813</v>
      </c>
      <c r="C259" s="34" t="n">
        <v>44629</v>
      </c>
      <c r="D259" s="15" t="n">
        <v>59.2</v>
      </c>
      <c r="E259" s="15" t="n">
        <v>106.15</v>
      </c>
      <c r="F259" s="34" t="n">
        <v>44629</v>
      </c>
      <c r="G259" s="15" t="n">
        <v>223</v>
      </c>
      <c r="H259" s="15" t="n">
        <v>313.01</v>
      </c>
      <c r="I259" s="34" t="n">
        <v>44629</v>
      </c>
      <c r="J259" s="15" t="n">
        <v>26.65</v>
      </c>
      <c r="K259" s="15" t="n">
        <v>34.21</v>
      </c>
      <c r="L259" s="34" t="n">
        <v>44629</v>
      </c>
    </row>
    <row r="260">
      <c r="A260" s="34" t="n">
        <v>44630</v>
      </c>
      <c r="B260" s="266" t="n">
        <v>1.237866044044495</v>
      </c>
      <c r="C260" s="34" t="n">
        <v>44630</v>
      </c>
      <c r="D260" s="15" t="n">
        <v>62.05</v>
      </c>
      <c r="E260" s="15" t="n">
        <v>109.32</v>
      </c>
      <c r="F260" s="34" t="n">
        <v>44630</v>
      </c>
      <c r="G260" s="15" t="n">
        <v>233.8</v>
      </c>
      <c r="H260" s="15" t="n">
        <v>337</v>
      </c>
      <c r="I260" s="34" t="n">
        <v>44630</v>
      </c>
      <c r="J260" s="15" t="n">
        <v>26.95</v>
      </c>
      <c r="K260" s="15" t="n">
        <v>35.25</v>
      </c>
      <c r="L260" s="34" t="n">
        <v>44630</v>
      </c>
    </row>
    <row r="261">
      <c r="A261" s="34" t="n">
        <v>44631</v>
      </c>
      <c r="B261" s="266" t="n">
        <v>1.237465023994446</v>
      </c>
      <c r="C261" s="34" t="n">
        <v>44631</v>
      </c>
      <c r="D261" s="15" t="n">
        <v>60</v>
      </c>
      <c r="E261" s="15" t="n">
        <v>111.88</v>
      </c>
      <c r="F261" s="34" t="n">
        <v>44631</v>
      </c>
      <c r="G261" s="15" t="n">
        <v>245.6</v>
      </c>
      <c r="H261" s="15" t="n">
        <v>330.64</v>
      </c>
      <c r="I261" s="34" t="n">
        <v>44631</v>
      </c>
      <c r="J261" s="15" t="n">
        <v>27.05</v>
      </c>
      <c r="K261" s="15" t="n">
        <v>35.24</v>
      </c>
      <c r="L261" s="34" t="n">
        <v>44631</v>
      </c>
    </row>
    <row r="262">
      <c r="A262" s="34" t="n">
        <v>44634</v>
      </c>
      <c r="B262" s="266" t="n">
        <v>1.23714005947113</v>
      </c>
      <c r="C262" s="34" t="n">
        <v>44634</v>
      </c>
      <c r="D262" s="15" t="n">
        <v>55.45</v>
      </c>
      <c r="E262" s="15" t="n">
        <v>113</v>
      </c>
      <c r="F262" s="34" t="n">
        <v>44634</v>
      </c>
      <c r="G262" s="15" t="n">
        <v>228</v>
      </c>
      <c r="H262" s="15" t="n">
        <v>320.49</v>
      </c>
      <c r="I262" s="34" t="n">
        <v>44634</v>
      </c>
      <c r="J262" s="15" t="n">
        <v>25.2</v>
      </c>
      <c r="K262" s="15" t="n">
        <v>33.57</v>
      </c>
      <c r="L262" s="34" t="n">
        <v>44634</v>
      </c>
    </row>
    <row r="263">
      <c r="A263" s="34" t="n">
        <v>44635</v>
      </c>
      <c r="B263" s="266" t="n">
        <v>1.230260968208313</v>
      </c>
      <c r="C263" s="34" t="n">
        <v>44635</v>
      </c>
      <c r="D263" s="15" t="n">
        <v>48.85</v>
      </c>
      <c r="E263" s="15" t="n">
        <v>108.77</v>
      </c>
      <c r="F263" s="34" t="n">
        <v>44635</v>
      </c>
      <c r="G263" s="15" t="n">
        <v>214</v>
      </c>
      <c r="H263" s="15" t="n">
        <v>320.5</v>
      </c>
      <c r="I263" s="34" t="n">
        <v>44635</v>
      </c>
      <c r="J263" s="15" t="n">
        <v>23.75</v>
      </c>
      <c r="K263" s="15" t="n">
        <v>31.74</v>
      </c>
      <c r="L263" s="34" t="n">
        <v>44635</v>
      </c>
    </row>
    <row r="264">
      <c r="A264" s="34" t="n">
        <v>44636</v>
      </c>
      <c r="B264" s="266" t="n">
        <v>1.228589057922363</v>
      </c>
      <c r="C264" s="34" t="n">
        <v>44636</v>
      </c>
      <c r="D264" s="15" t="n">
        <v>59.45</v>
      </c>
      <c r="E264" s="15" t="n">
        <v>109.14</v>
      </c>
      <c r="F264" s="34" t="n">
        <v>44636</v>
      </c>
      <c r="G264" s="15" t="n">
        <v>228.4</v>
      </c>
      <c r="H264" s="15" t="n">
        <v>336.5</v>
      </c>
      <c r="I264" s="34" t="n">
        <v>44636</v>
      </c>
      <c r="J264" s="15" t="n">
        <v>24.75</v>
      </c>
      <c r="K264" s="15" t="n">
        <v>32.44</v>
      </c>
      <c r="L264" s="34" t="n">
        <v>44636</v>
      </c>
    </row>
    <row r="265">
      <c r="A265" s="34" t="n">
        <v>44637</v>
      </c>
      <c r="B265" s="266" t="n">
        <v>1.2309410572052</v>
      </c>
      <c r="C265" s="34" t="n">
        <v>44637</v>
      </c>
      <c r="D265" s="15" t="n">
        <v>60.05</v>
      </c>
      <c r="E265" s="15" t="n">
        <v>108.24</v>
      </c>
      <c r="F265" s="34" t="n">
        <v>44637</v>
      </c>
      <c r="G265" s="15" t="n">
        <v>241.2</v>
      </c>
      <c r="H265" s="15" t="n">
        <v>338.92</v>
      </c>
      <c r="I265" s="34" t="n">
        <v>44637</v>
      </c>
      <c r="J265" s="15" t="n">
        <v>25.25</v>
      </c>
      <c r="K265" s="15" t="n">
        <v>34.05</v>
      </c>
      <c r="L265" s="34" t="n">
        <v>44637</v>
      </c>
    </row>
    <row r="266">
      <c r="A266" s="34" t="n">
        <v>44638</v>
      </c>
      <c r="B266" s="266" t="n">
        <v>1.231812953948975</v>
      </c>
      <c r="C266" s="34" t="n">
        <v>44638</v>
      </c>
      <c r="D266" s="15" t="n">
        <v>62.15</v>
      </c>
      <c r="E266" s="15" t="n">
        <v>109.6</v>
      </c>
      <c r="F266" s="34" t="n">
        <v>44638</v>
      </c>
      <c r="G266" s="15" t="n">
        <v>233</v>
      </c>
      <c r="H266" s="15" t="n">
        <v>335.06</v>
      </c>
      <c r="I266" s="34" t="n">
        <v>44638</v>
      </c>
      <c r="J266" s="15" t="n">
        <v>25.3</v>
      </c>
      <c r="K266" s="15" t="n">
        <v>33.68</v>
      </c>
      <c r="L266" s="34" t="n">
        <v>44638</v>
      </c>
    </row>
    <row r="267">
      <c r="A267" s="34" t="n">
        <v>44641</v>
      </c>
      <c r="B267" s="266" t="n">
        <v>1.228307962417603</v>
      </c>
      <c r="C267" s="34" t="n">
        <v>44641</v>
      </c>
      <c r="D267" s="15" t="n">
        <v>63.1</v>
      </c>
      <c r="E267" s="15" t="n">
        <v>109.82</v>
      </c>
      <c r="F267" s="34" t="n">
        <v>44641</v>
      </c>
      <c r="G267" s="15" t="n">
        <v>227</v>
      </c>
      <c r="H267" s="15" t="n">
        <v>334.9</v>
      </c>
      <c r="I267" s="34" t="n">
        <v>44641</v>
      </c>
      <c r="J267" s="15" t="n">
        <v>24.65</v>
      </c>
      <c r="K267" s="15" t="n">
        <v>33.87</v>
      </c>
      <c r="L267" s="34" t="n">
        <v>44641</v>
      </c>
    </row>
    <row r="268">
      <c r="A268" s="34" t="n">
        <v>44642</v>
      </c>
      <c r="B268" s="266" t="n">
        <v>1.230851054191589</v>
      </c>
      <c r="C268" s="34" t="n">
        <v>44642</v>
      </c>
      <c r="D268" s="15" t="n">
        <v>62.9</v>
      </c>
      <c r="E268" s="15" t="n">
        <v>107.2</v>
      </c>
      <c r="F268" s="34" t="n">
        <v>44642</v>
      </c>
      <c r="G268" s="15" t="n">
        <v>224</v>
      </c>
      <c r="H268" s="15" t="n">
        <v>319.98</v>
      </c>
      <c r="I268" s="34" t="n">
        <v>44642</v>
      </c>
      <c r="J268" s="15" t="n">
        <v>25.15</v>
      </c>
      <c r="K268" s="15" t="n">
        <v>33.66</v>
      </c>
      <c r="L268" s="34" t="n">
        <v>44642</v>
      </c>
    </row>
    <row r="269">
      <c r="A269" s="34" t="n">
        <v>44643</v>
      </c>
      <c r="B269" s="266" t="n">
        <v>1.229357004165649</v>
      </c>
      <c r="C269" s="34" t="n">
        <v>44643</v>
      </c>
      <c r="D269" s="15" t="n">
        <v>67</v>
      </c>
      <c r="E269" s="15" t="n">
        <v>115.6</v>
      </c>
      <c r="F269" s="34" t="n">
        <v>44643</v>
      </c>
      <c r="G269" s="15" t="n">
        <v>240</v>
      </c>
      <c r="H269" s="15" t="n">
        <v>339.65</v>
      </c>
      <c r="I269" s="34" t="n">
        <v>44643</v>
      </c>
      <c r="J269" s="15" t="n">
        <v>25.55</v>
      </c>
      <c r="K269" s="15" t="n">
        <v>33.68</v>
      </c>
      <c r="L269" s="34" t="n">
        <v>44643</v>
      </c>
    </row>
    <row r="270">
      <c r="A270" s="34" t="n">
        <v>44644</v>
      </c>
      <c r="B270" s="266" t="n">
        <v>1.227481961250305</v>
      </c>
      <c r="C270" s="34" t="n">
        <v>44644</v>
      </c>
      <c r="D270" s="15" t="n">
        <v>73.25</v>
      </c>
      <c r="E270" s="15" t="n">
        <v>119.15</v>
      </c>
      <c r="F270" s="34" t="n">
        <v>44644</v>
      </c>
      <c r="G270" s="15" t="n">
        <v>254.6</v>
      </c>
      <c r="H270" s="15" t="n">
        <v>363.63</v>
      </c>
      <c r="I270" s="34" t="n">
        <v>44644</v>
      </c>
      <c r="J270" s="15" t="n">
        <v>25.95</v>
      </c>
      <c r="K270" s="15" t="n">
        <v>32.97</v>
      </c>
      <c r="L270" s="34" t="n">
        <v>44644</v>
      </c>
    </row>
    <row r="271">
      <c r="A271" s="34" t="n">
        <v>44645</v>
      </c>
      <c r="B271" s="266" t="n">
        <v>1.228559017181396</v>
      </c>
      <c r="C271" s="34" t="n">
        <v>44645</v>
      </c>
      <c r="D271" s="15" t="n">
        <v>69.95</v>
      </c>
      <c r="E271" s="15" t="n">
        <v>114</v>
      </c>
      <c r="F271" s="34" t="n">
        <v>44645</v>
      </c>
      <c r="G271" s="15" t="n">
        <v>251</v>
      </c>
      <c r="H271" s="15" t="n">
        <v>351</v>
      </c>
      <c r="I271" s="34" t="n">
        <v>44645</v>
      </c>
      <c r="J271" s="15" t="n">
        <v>26</v>
      </c>
      <c r="K271" s="15" t="n">
        <v>32.52</v>
      </c>
      <c r="L271" s="34" t="n">
        <v>44645</v>
      </c>
    </row>
    <row r="272">
      <c r="A272" s="34" t="n">
        <v>44648</v>
      </c>
      <c r="B272" s="266" t="n">
        <v>1.224017977714539</v>
      </c>
      <c r="C272" s="34" t="n">
        <v>44648</v>
      </c>
      <c r="D272" s="15" t="n">
        <v>67.8</v>
      </c>
      <c r="E272" s="15" t="n">
        <v>112.6</v>
      </c>
      <c r="F272" s="34" t="n">
        <v>44648</v>
      </c>
      <c r="G272" s="15" t="n">
        <v>259</v>
      </c>
      <c r="H272" s="15" t="n">
        <v>358.6</v>
      </c>
      <c r="I272" s="34" t="n">
        <v>44648</v>
      </c>
      <c r="J272" s="15" t="n">
        <v>25.1</v>
      </c>
      <c r="K272" s="15" t="n">
        <v>32.4</v>
      </c>
      <c r="L272" s="34" t="n">
        <v>44648</v>
      </c>
    </row>
    <row r="273">
      <c r="A273" s="34" t="n">
        <v>44649</v>
      </c>
      <c r="B273" s="266" t="n">
        <v>1.228392958641052</v>
      </c>
      <c r="C273" s="34" t="n">
        <v>44649</v>
      </c>
      <c r="D273" s="15" t="n">
        <v>70.7</v>
      </c>
      <c r="E273" s="15" t="n">
        <v>115.53</v>
      </c>
      <c r="F273" s="34" t="n">
        <v>44649</v>
      </c>
      <c r="G273" s="15" t="n">
        <v>274</v>
      </c>
      <c r="H273" s="15" t="n">
        <v>369.6</v>
      </c>
      <c r="I273" s="34" t="n">
        <v>44649</v>
      </c>
      <c r="J273" s="15" t="n">
        <v>24.8</v>
      </c>
      <c r="K273" s="15" t="n">
        <v>31.95</v>
      </c>
      <c r="L273" s="34" t="n">
        <v>44649</v>
      </c>
    </row>
    <row r="274">
      <c r="A274" s="34" t="n">
        <v>44650</v>
      </c>
      <c r="B274" s="266" t="n">
        <v>1.229694962501526</v>
      </c>
      <c r="C274" s="34" t="n">
        <v>44650</v>
      </c>
      <c r="D274" s="15" t="n">
        <v>74.8</v>
      </c>
      <c r="E274" s="15" t="n">
        <v>115.9</v>
      </c>
      <c r="F274" s="34" t="n">
        <v>44650</v>
      </c>
      <c r="G274" s="15" t="n">
        <v>283</v>
      </c>
      <c r="H274" s="15" t="n">
        <v>374.59</v>
      </c>
      <c r="I274" s="34" t="n">
        <v>44650</v>
      </c>
      <c r="J274" s="15" t="n">
        <v>25.4</v>
      </c>
      <c r="K274" s="15" t="n">
        <v>32.76</v>
      </c>
      <c r="L274" s="34" t="n">
        <v>44650</v>
      </c>
    </row>
    <row r="275">
      <c r="A275" s="34" t="n">
        <v>44651</v>
      </c>
      <c r="B275" s="266" t="n">
        <v>1.233211040496826</v>
      </c>
      <c r="C275" s="34" t="n">
        <v>44651</v>
      </c>
      <c r="D275" s="15" t="n">
        <v>72.45</v>
      </c>
      <c r="E275" s="15" t="n">
        <v>115.09</v>
      </c>
      <c r="F275" s="34" t="n">
        <v>44651</v>
      </c>
      <c r="G275" s="15" t="n">
        <v>278</v>
      </c>
      <c r="H275" s="15" t="n">
        <v>367</v>
      </c>
      <c r="I275" s="34" t="n">
        <v>44651</v>
      </c>
      <c r="J275" s="15" t="n">
        <v>24.8</v>
      </c>
      <c r="K275" s="15" t="n">
        <v>31.98</v>
      </c>
      <c r="L275" s="34" t="n">
        <v>44651</v>
      </c>
    </row>
    <row r="276">
      <c r="A276" s="34" t="n">
        <v>44652</v>
      </c>
      <c r="B276" s="266" t="n">
        <v>1.235550045967102</v>
      </c>
      <c r="C276" s="34" t="n">
        <v>44652</v>
      </c>
      <c r="D276" s="15" t="n">
        <v>67.5</v>
      </c>
      <c r="E276" s="15" t="n">
        <v>110.88</v>
      </c>
      <c r="F276" s="34" t="n">
        <v>44652</v>
      </c>
      <c r="G276" s="15" t="n">
        <v>284.2</v>
      </c>
      <c r="H276" s="15" t="n">
        <v>360</v>
      </c>
      <c r="I276" s="34" t="n">
        <v>44652</v>
      </c>
      <c r="J276" s="15" t="n">
        <v>24.4</v>
      </c>
      <c r="K276" s="15" t="n">
        <v>31.9</v>
      </c>
      <c r="L276" s="34" t="n">
        <v>44652</v>
      </c>
    </row>
    <row r="277">
      <c r="A277" s="34" t="n">
        <v>44655</v>
      </c>
      <c r="B277" s="266" t="n">
        <v>1.229956030845642</v>
      </c>
      <c r="C277" s="34" t="n">
        <v>44655</v>
      </c>
      <c r="D277" s="15" t="n">
        <v>72.75</v>
      </c>
      <c r="E277" s="15" t="n">
        <v>110.88</v>
      </c>
      <c r="F277" s="34" t="n">
        <v>44652</v>
      </c>
      <c r="G277" s="15" t="n">
        <v>276.8</v>
      </c>
      <c r="H277" s="15" t="n">
        <v>360</v>
      </c>
      <c r="I277" s="34" t="n">
        <v>44652</v>
      </c>
      <c r="J277" s="15" t="n">
        <v>25</v>
      </c>
      <c r="K277" s="15" t="n">
        <v>31.9</v>
      </c>
      <c r="L277" s="34" t="n">
        <v>44652</v>
      </c>
    </row>
    <row r="278">
      <c r="A278" s="34" t="n">
        <v>44657</v>
      </c>
      <c r="B278" s="266" t="n">
        <v>1.230962991714478</v>
      </c>
      <c r="C278" s="34" t="n">
        <v>44657</v>
      </c>
      <c r="D278" s="15" t="n">
        <v>68.5</v>
      </c>
      <c r="E278" s="15" t="n">
        <v>108.27</v>
      </c>
      <c r="F278" s="34" t="n">
        <v>44657</v>
      </c>
      <c r="G278" s="15" t="n">
        <v>266.6</v>
      </c>
      <c r="H278" s="15" t="n">
        <v>350</v>
      </c>
      <c r="I278" s="34" t="n">
        <v>44657</v>
      </c>
      <c r="J278" s="15" t="n">
        <v>25.25</v>
      </c>
      <c r="K278" s="15" t="n">
        <v>31.1</v>
      </c>
      <c r="L278" s="34" t="n">
        <v>44657</v>
      </c>
    </row>
    <row r="279">
      <c r="A279" s="34" t="n">
        <v>44658</v>
      </c>
      <c r="B279" s="266" t="n">
        <v>1.232280969619751</v>
      </c>
      <c r="C279" s="34" t="n">
        <v>44658</v>
      </c>
      <c r="D279" s="15" t="n">
        <v>68.59999999999999</v>
      </c>
      <c r="E279" s="15" t="n">
        <v>106.1</v>
      </c>
      <c r="F279" s="34" t="n">
        <v>44658</v>
      </c>
      <c r="G279" s="15" t="n">
        <v>258.4</v>
      </c>
      <c r="H279" s="15" t="n">
        <v>343.52</v>
      </c>
      <c r="I279" s="34" t="n">
        <v>44658</v>
      </c>
      <c r="J279" s="15" t="n">
        <v>25</v>
      </c>
      <c r="K279" s="15" t="n">
        <v>30.18</v>
      </c>
      <c r="L279" s="34" t="n">
        <v>44658</v>
      </c>
    </row>
    <row r="280">
      <c r="A280" s="34" t="n">
        <v>44659</v>
      </c>
      <c r="B280" s="266" t="n">
        <v>1.232202053070068</v>
      </c>
      <c r="C280" s="34" t="n">
        <v>44659</v>
      </c>
      <c r="D280" s="15" t="n">
        <v>66.5</v>
      </c>
      <c r="E280" s="15" t="n">
        <v>102.2</v>
      </c>
      <c r="F280" s="34" t="n">
        <v>44659</v>
      </c>
      <c r="G280" s="15" t="n">
        <v>252.8</v>
      </c>
      <c r="H280" s="15" t="n">
        <v>334.41</v>
      </c>
      <c r="I280" s="34" t="n">
        <v>44659</v>
      </c>
      <c r="J280" s="15" t="n">
        <v>24.05</v>
      </c>
      <c r="K280" s="15" t="n">
        <v>29.35</v>
      </c>
      <c r="L280" s="34" t="n">
        <v>44659</v>
      </c>
    </row>
    <row r="281">
      <c r="A281" s="34" t="n">
        <v>44662</v>
      </c>
      <c r="B281" s="266" t="n">
        <v>1.232278943061829</v>
      </c>
      <c r="C281" s="34" t="n">
        <v>44662</v>
      </c>
      <c r="D281" s="15" t="n">
        <v>62.35</v>
      </c>
      <c r="E281" s="15" t="n">
        <v>99.45</v>
      </c>
      <c r="F281" s="34" t="n">
        <v>44662</v>
      </c>
      <c r="G281" s="15" t="n">
        <v>242.4</v>
      </c>
      <c r="H281" s="15" t="n">
        <v>325.35</v>
      </c>
      <c r="I281" s="34" t="n">
        <v>44662</v>
      </c>
      <c r="J281" s="15" t="n">
        <v>23</v>
      </c>
      <c r="K281" s="15" t="n">
        <v>27.62</v>
      </c>
      <c r="L281" s="34" t="n">
        <v>44662</v>
      </c>
    </row>
    <row r="282">
      <c r="A282" s="34" t="n">
        <v>44663</v>
      </c>
      <c r="B282" s="266" t="n">
        <v>1.230334997177124</v>
      </c>
      <c r="C282" s="34" t="n">
        <v>44663</v>
      </c>
      <c r="D282" s="15" t="n">
        <v>62.65</v>
      </c>
      <c r="E282" s="15" t="n">
        <v>99.40000000000001</v>
      </c>
      <c r="F282" s="34" t="n">
        <v>44663</v>
      </c>
      <c r="G282" s="15" t="n">
        <v>246.4</v>
      </c>
      <c r="H282" s="15" t="n">
        <v>336.2</v>
      </c>
      <c r="I282" s="34" t="n">
        <v>44663</v>
      </c>
      <c r="J282" s="15" t="n">
        <v>23.1</v>
      </c>
      <c r="K282" s="15" t="n">
        <v>27.8</v>
      </c>
      <c r="L282" s="34" t="n">
        <v>44663</v>
      </c>
    </row>
    <row r="283">
      <c r="A283" s="34" t="n">
        <v>44664</v>
      </c>
      <c r="B283" s="266" t="n">
        <v>1.231207966804504</v>
      </c>
      <c r="C283" s="34" t="n">
        <v>44664</v>
      </c>
      <c r="D283" s="15" t="n">
        <v>60.35</v>
      </c>
      <c r="E283" s="15" t="n">
        <v>96.19</v>
      </c>
      <c r="F283" s="34" t="n">
        <v>44664</v>
      </c>
      <c r="G283" s="15" t="n">
        <v>226.4</v>
      </c>
      <c r="H283" s="15" t="n">
        <v>302.58</v>
      </c>
      <c r="I283" s="34" t="n">
        <v>44664</v>
      </c>
      <c r="J283" s="15" t="n">
        <v>22.8</v>
      </c>
      <c r="K283" s="15" t="n">
        <v>27.79</v>
      </c>
      <c r="L283" s="34" t="n">
        <v>44664</v>
      </c>
    </row>
    <row r="284">
      <c r="A284" s="34" t="n">
        <v>44665</v>
      </c>
      <c r="B284" s="266" t="n">
        <v>1.231024026870728</v>
      </c>
      <c r="C284" s="34" t="n">
        <v>44665</v>
      </c>
      <c r="D284" s="15" t="n">
        <v>62.3</v>
      </c>
      <c r="E284" s="15" t="n">
        <v>96.47</v>
      </c>
      <c r="F284" s="34" t="n">
        <v>44665</v>
      </c>
      <c r="G284" s="15" t="n">
        <v>221.4</v>
      </c>
      <c r="H284" s="15" t="n">
        <v>304.2</v>
      </c>
      <c r="I284" s="34" t="n">
        <v>44665</v>
      </c>
      <c r="J284" s="15" t="n">
        <v>23.3</v>
      </c>
      <c r="K284" s="15" t="n">
        <v>27.96</v>
      </c>
      <c r="L284" s="34" t="n">
        <v>44665</v>
      </c>
    </row>
    <row r="285">
      <c r="A285" s="34" t="n">
        <v>44670</v>
      </c>
      <c r="B285" s="266" t="n">
        <v>1.220034956932068</v>
      </c>
      <c r="C285" s="34" t="n">
        <v>44670</v>
      </c>
      <c r="D285" s="15" t="n">
        <v>60.2</v>
      </c>
      <c r="E285" s="15" t="n">
        <v>95.89</v>
      </c>
      <c r="F285" s="34" t="n">
        <v>44670</v>
      </c>
      <c r="G285" s="15" t="n">
        <v>221.2</v>
      </c>
      <c r="H285" s="15" t="n">
        <v>303.66</v>
      </c>
      <c r="I285" s="34" t="n">
        <v>44670</v>
      </c>
      <c r="J285" s="15" t="n">
        <v>22.95</v>
      </c>
      <c r="K285" s="15" t="n">
        <v>28.3</v>
      </c>
      <c r="L285" s="34" t="n">
        <v>44670</v>
      </c>
    </row>
    <row r="286">
      <c r="A286" s="34" t="n">
        <v>44671</v>
      </c>
      <c r="B286" s="266" t="n">
        <v>1.226842045783997</v>
      </c>
      <c r="C286" s="34" t="n">
        <v>44671</v>
      </c>
      <c r="D286" s="15" t="n">
        <v>59.15</v>
      </c>
      <c r="E286" s="15" t="n">
        <v>93.54000000000001</v>
      </c>
      <c r="F286" s="34" t="n">
        <v>44671</v>
      </c>
      <c r="G286" s="15" t="n">
        <v>216.4</v>
      </c>
      <c r="H286" s="15" t="n">
        <v>292.5</v>
      </c>
      <c r="I286" s="34" t="n">
        <v>44671</v>
      </c>
      <c r="J286" s="15" t="n">
        <v>22.5</v>
      </c>
      <c r="K286" s="15" t="n">
        <v>27.38</v>
      </c>
      <c r="L286" s="34" t="n">
        <v>44671</v>
      </c>
    </row>
    <row r="287">
      <c r="A287" s="34" t="n">
        <v>44672</v>
      </c>
      <c r="B287" s="266" t="n">
        <v>1.221968054771423</v>
      </c>
      <c r="C287" s="34" t="n">
        <v>44672</v>
      </c>
      <c r="D287" s="15" t="n">
        <v>57.6</v>
      </c>
      <c r="E287" s="15" t="n">
        <v>92.63</v>
      </c>
      <c r="F287" s="34" t="n">
        <v>44672</v>
      </c>
      <c r="G287" s="15" t="n">
        <v>203</v>
      </c>
      <c r="H287" s="15" t="n">
        <v>286.28</v>
      </c>
      <c r="I287" s="34" t="n">
        <v>44672</v>
      </c>
      <c r="J287" s="15" t="n">
        <v>21.95</v>
      </c>
      <c r="K287" s="15" t="n">
        <v>26.33</v>
      </c>
      <c r="L287" s="34" t="n">
        <v>44672</v>
      </c>
    </row>
    <row r="288">
      <c r="A288" s="34" t="n">
        <v>44673</v>
      </c>
      <c r="B288" s="266" t="n">
        <v>1.216025948524475</v>
      </c>
      <c r="C288" s="34" t="n">
        <v>44673</v>
      </c>
      <c r="D288" s="15" t="n">
        <v>58.85</v>
      </c>
      <c r="E288" s="15" t="n">
        <v>94.88</v>
      </c>
      <c r="F288" s="34" t="n">
        <v>44673</v>
      </c>
      <c r="G288" s="15" t="n">
        <v>203</v>
      </c>
      <c r="H288" s="15" t="n">
        <v>287.51</v>
      </c>
      <c r="I288" s="34" t="n">
        <v>44673</v>
      </c>
      <c r="J288" s="15" t="n">
        <v>21.1</v>
      </c>
      <c r="K288" s="15" t="n">
        <v>25.59</v>
      </c>
      <c r="L288" s="34" t="n">
        <v>44673</v>
      </c>
    </row>
    <row r="289">
      <c r="A289" s="34" t="n">
        <v>44676</v>
      </c>
      <c r="B289" s="266" t="n">
        <v>1.208608031272888</v>
      </c>
      <c r="C289" s="34" t="n">
        <v>44676</v>
      </c>
      <c r="D289" s="15" t="n">
        <v>55.2</v>
      </c>
      <c r="E289" s="15" t="n">
        <v>89.5</v>
      </c>
      <c r="F289" s="34" t="n">
        <v>44676</v>
      </c>
      <c r="G289" s="15" t="n">
        <v>180.9</v>
      </c>
      <c r="H289" s="15" t="n">
        <v>268</v>
      </c>
      <c r="I289" s="34" t="n">
        <v>44676</v>
      </c>
      <c r="J289" s="15" t="n">
        <v>19.54</v>
      </c>
      <c r="K289" s="15" t="n">
        <v>22.85</v>
      </c>
      <c r="L289" s="34" t="n">
        <v>44676</v>
      </c>
    </row>
    <row r="290">
      <c r="A290" s="34" t="n">
        <v>44677</v>
      </c>
      <c r="B290" s="266" t="n">
        <v>1.19637405872345</v>
      </c>
      <c r="C290" s="34" t="n">
        <v>44677</v>
      </c>
      <c r="D290" s="15" t="n">
        <v>56.8</v>
      </c>
      <c r="E290" s="15" t="n">
        <v>92.38</v>
      </c>
      <c r="F290" s="34" t="n">
        <v>44677</v>
      </c>
      <c r="G290" s="15" t="n">
        <v>177.2</v>
      </c>
      <c r="H290" s="15" t="n">
        <v>267</v>
      </c>
      <c r="I290" s="34" t="n">
        <v>44677</v>
      </c>
      <c r="J290" s="15" t="n">
        <v>18.3</v>
      </c>
      <c r="K290" s="15" t="n">
        <v>22.9</v>
      </c>
      <c r="L290" s="34" t="n">
        <v>44677</v>
      </c>
    </row>
    <row r="291">
      <c r="A291" s="34" t="n">
        <v>44678</v>
      </c>
      <c r="B291" s="266" t="n">
        <v>1.1961749792099</v>
      </c>
      <c r="C291" s="34" t="n">
        <v>44678</v>
      </c>
      <c r="D291" s="15" t="n">
        <v>56.95</v>
      </c>
      <c r="E291" s="15" t="n">
        <v>94.73</v>
      </c>
      <c r="F291" s="34" t="n">
        <v>44678</v>
      </c>
      <c r="G291" s="15" t="n">
        <v>179</v>
      </c>
      <c r="H291" s="15" t="n">
        <v>269.8</v>
      </c>
      <c r="I291" s="34" t="n">
        <v>44678</v>
      </c>
      <c r="J291" s="15" t="n">
        <v>21.75</v>
      </c>
      <c r="K291" s="15" t="n">
        <v>25.47</v>
      </c>
      <c r="L291" s="34" t="n">
        <v>44678</v>
      </c>
    </row>
    <row r="292">
      <c r="A292" s="34" t="n">
        <v>44679</v>
      </c>
      <c r="B292" s="266" t="n">
        <v>1.195773959159851</v>
      </c>
      <c r="C292" s="34" t="n">
        <v>44679</v>
      </c>
      <c r="D292" s="15" t="n">
        <v>55.15</v>
      </c>
      <c r="E292" s="15" t="n">
        <v>91.62</v>
      </c>
      <c r="F292" s="34" t="n">
        <v>44679</v>
      </c>
      <c r="G292" s="15" t="n">
        <v>158.3</v>
      </c>
      <c r="H292" s="15" t="n">
        <v>254</v>
      </c>
      <c r="I292" s="34" t="n">
        <v>44679</v>
      </c>
      <c r="J292" s="15" t="n">
        <v>20.4</v>
      </c>
      <c r="K292" s="15" t="n">
        <v>24.8</v>
      </c>
      <c r="L292" s="34" t="n">
        <v>44679</v>
      </c>
    </row>
    <row r="293">
      <c r="A293" s="34" t="n">
        <v>44680</v>
      </c>
      <c r="B293" s="266" t="n">
        <v>1.184425950050354</v>
      </c>
      <c r="C293" s="34" t="n">
        <v>44680</v>
      </c>
      <c r="D293" s="15" t="n">
        <v>58.35</v>
      </c>
      <c r="E293" s="15" t="n">
        <v>99.48</v>
      </c>
      <c r="F293" s="34" t="n">
        <v>44680</v>
      </c>
      <c r="G293" s="15" t="n">
        <v>170</v>
      </c>
      <c r="H293" s="15" t="n">
        <v>267.05</v>
      </c>
      <c r="I293" s="34" t="n">
        <v>44680</v>
      </c>
      <c r="J293" s="15" t="n">
        <v>20</v>
      </c>
      <c r="K293" s="15" t="n">
        <v>26.35</v>
      </c>
      <c r="L293" s="34" t="n">
        <v>44680</v>
      </c>
    </row>
    <row r="294">
      <c r="A294" s="34" t="n">
        <v>44684</v>
      </c>
      <c r="B294" s="266" t="n">
        <v>1.18731701374054</v>
      </c>
      <c r="C294" s="34" t="n">
        <v>44684</v>
      </c>
      <c r="D294" s="15" t="n">
        <v>59.25</v>
      </c>
      <c r="E294" s="15" t="n">
        <v>99.48</v>
      </c>
      <c r="F294" s="34" t="n">
        <v>44680</v>
      </c>
      <c r="G294" s="15" t="n">
        <v>160</v>
      </c>
      <c r="H294" s="15" t="n">
        <v>267.05</v>
      </c>
      <c r="I294" s="34" t="n">
        <v>44680</v>
      </c>
      <c r="J294" s="15" t="n">
        <v>19.38</v>
      </c>
      <c r="K294" s="15" t="n">
        <v>26.35</v>
      </c>
      <c r="L294" s="34" t="n">
        <v>44680</v>
      </c>
    </row>
    <row r="295">
      <c r="A295" s="34" t="n">
        <v>44685</v>
      </c>
      <c r="B295" s="266" t="n">
        <v>1.188007950782776</v>
      </c>
      <c r="C295" s="34" t="n">
        <v>44685</v>
      </c>
      <c r="D295" s="15" t="n">
        <v>58.8</v>
      </c>
      <c r="E295" s="15" t="n">
        <v>99.48</v>
      </c>
      <c r="F295" s="34" t="n">
        <v>44680</v>
      </c>
      <c r="G295" s="15" t="n">
        <v>162</v>
      </c>
      <c r="H295" s="15" t="n">
        <v>267.05</v>
      </c>
      <c r="I295" s="34" t="n">
        <v>44680</v>
      </c>
      <c r="J295" s="15" t="n">
        <v>19.38</v>
      </c>
      <c r="K295" s="15" t="n">
        <v>26.35</v>
      </c>
      <c r="L295" s="34" t="n">
        <v>44680</v>
      </c>
    </row>
    <row r="296">
      <c r="A296" s="34" t="n">
        <v>44686</v>
      </c>
      <c r="B296" s="266" t="n">
        <v>1.18796694278717</v>
      </c>
      <c r="C296" s="34" t="n">
        <v>44686</v>
      </c>
      <c r="D296" s="15" t="n">
        <v>55</v>
      </c>
      <c r="E296" s="15" t="n">
        <v>95.98</v>
      </c>
      <c r="F296" s="34" t="n">
        <v>44686</v>
      </c>
      <c r="G296" s="15" t="n">
        <v>161.3</v>
      </c>
      <c r="H296" s="15" t="n">
        <v>259.5</v>
      </c>
      <c r="I296" s="34" t="n">
        <v>44686</v>
      </c>
      <c r="J296" s="15" t="n">
        <v>20.5</v>
      </c>
      <c r="K296" s="15" t="n">
        <v>26.61</v>
      </c>
      <c r="L296" s="34" t="n">
        <v>44686</v>
      </c>
    </row>
    <row r="297">
      <c r="A297" s="34" t="n">
        <v>44687</v>
      </c>
      <c r="B297" s="266" t="n">
        <v>1.17942202091217</v>
      </c>
      <c r="C297" s="34" t="n">
        <v>44687</v>
      </c>
      <c r="D297" s="15" t="n">
        <v>53.15</v>
      </c>
      <c r="E297" s="15" t="n">
        <v>93.11</v>
      </c>
      <c r="F297" s="34" t="n">
        <v>44687</v>
      </c>
      <c r="G297" s="15" t="n">
        <v>155</v>
      </c>
      <c r="H297" s="15" t="n">
        <v>251.4</v>
      </c>
      <c r="I297" s="34" t="n">
        <v>44687</v>
      </c>
      <c r="J297" s="15" t="n">
        <v>19.44</v>
      </c>
      <c r="K297" s="15" t="n">
        <v>26.14</v>
      </c>
      <c r="L297" s="34" t="n">
        <v>44687</v>
      </c>
    </row>
    <row r="298">
      <c r="A298" s="34" t="n">
        <v>44691</v>
      </c>
      <c r="B298" s="266" t="n">
        <v>1.166296005249023</v>
      </c>
      <c r="C298" s="34" t="n">
        <v>44691</v>
      </c>
      <c r="D298" s="15" t="n">
        <v>51.85</v>
      </c>
      <c r="E298" s="15" t="n">
        <v>93.08</v>
      </c>
      <c r="F298" s="34" t="n">
        <v>44691</v>
      </c>
      <c r="G298" s="15" t="n">
        <v>153.8</v>
      </c>
      <c r="H298" s="15" t="n">
        <v>262</v>
      </c>
      <c r="I298" s="34" t="n">
        <v>44691</v>
      </c>
      <c r="J298" s="15" t="n">
        <v>19.9</v>
      </c>
      <c r="K298" s="15" t="n">
        <v>27.21</v>
      </c>
      <c r="L298" s="34" t="n">
        <v>44691</v>
      </c>
    </row>
    <row r="299">
      <c r="A299" s="34" t="n">
        <v>44692</v>
      </c>
      <c r="B299" s="266" t="n">
        <v>1.165348052978516</v>
      </c>
      <c r="C299" s="34" t="n">
        <v>44692</v>
      </c>
      <c r="D299" s="15" t="n">
        <v>54.8</v>
      </c>
      <c r="E299" s="15" t="n">
        <v>99.7</v>
      </c>
      <c r="F299" s="34" t="n">
        <v>44692</v>
      </c>
      <c r="G299" s="15" t="n">
        <v>162.5</v>
      </c>
      <c r="H299" s="15" t="n">
        <v>277.43</v>
      </c>
      <c r="I299" s="34" t="n">
        <v>44692</v>
      </c>
      <c r="J299" s="15" t="n">
        <v>20.2</v>
      </c>
      <c r="K299" s="15" t="n">
        <v>27.69</v>
      </c>
      <c r="L299" s="34" t="n">
        <v>44692</v>
      </c>
    </row>
    <row r="300">
      <c r="A300" s="34" t="n">
        <v>44693</v>
      </c>
      <c r="B300" s="266" t="n">
        <v>1.167407035827637</v>
      </c>
      <c r="C300" s="34" t="n">
        <v>44693</v>
      </c>
      <c r="D300" s="15" t="n">
        <v>53</v>
      </c>
      <c r="E300" s="15" t="n">
        <v>100.09</v>
      </c>
      <c r="F300" s="34" t="n">
        <v>44693</v>
      </c>
      <c r="G300" s="15" t="n">
        <v>161</v>
      </c>
      <c r="H300" s="15" t="n">
        <v>282.21</v>
      </c>
      <c r="I300" s="34" t="n">
        <v>44693</v>
      </c>
      <c r="J300" s="15" t="n">
        <v>20.2</v>
      </c>
      <c r="K300" s="15" t="n">
        <v>27.79</v>
      </c>
      <c r="L300" s="34" t="n">
        <v>44693</v>
      </c>
    </row>
    <row r="301">
      <c r="A301" s="34" t="n">
        <v>44694</v>
      </c>
      <c r="B301" s="266" t="n">
        <v>1.156118035316467</v>
      </c>
      <c r="C301" s="34" t="n">
        <v>44694</v>
      </c>
      <c r="D301" s="15" t="n">
        <v>53.75</v>
      </c>
      <c r="E301" s="15" t="n">
        <v>99.06999999999999</v>
      </c>
      <c r="F301" s="34" t="n">
        <v>44694</v>
      </c>
      <c r="G301" s="15" t="n">
        <v>157.3</v>
      </c>
      <c r="H301" s="15" t="n">
        <v>279.14</v>
      </c>
      <c r="I301" s="34" t="n">
        <v>44694</v>
      </c>
      <c r="J301" s="15" t="n">
        <v>20.15</v>
      </c>
      <c r="K301" s="15" t="n">
        <v>28.01</v>
      </c>
      <c r="L301" s="34" t="n">
        <v>44694</v>
      </c>
    </row>
    <row r="302">
      <c r="A302" s="34" t="n">
        <v>44697</v>
      </c>
      <c r="B302" s="266" t="n">
        <v>1.154800057411194</v>
      </c>
      <c r="C302" s="34" t="n">
        <v>44697</v>
      </c>
      <c r="D302" s="15" t="n">
        <v>54.2</v>
      </c>
      <c r="E302" s="15" t="n">
        <v>96.89</v>
      </c>
      <c r="F302" s="34" t="n">
        <v>44697</v>
      </c>
      <c r="G302" s="15" t="n">
        <v>150.1</v>
      </c>
      <c r="H302" s="15" t="n">
        <v>272.34</v>
      </c>
      <c r="I302" s="34" t="n">
        <v>44697</v>
      </c>
      <c r="J302" s="15" t="n">
        <v>20.4</v>
      </c>
      <c r="K302" s="15" t="n">
        <v>28.08</v>
      </c>
      <c r="L302" s="34" t="n">
        <v>44697</v>
      </c>
    </row>
    <row r="303">
      <c r="A303" s="34" t="n">
        <v>44698</v>
      </c>
      <c r="B303" s="266" t="n">
        <v>1.156873941421509</v>
      </c>
      <c r="C303" s="34" t="n">
        <v>44698</v>
      </c>
      <c r="D303" s="15" t="n">
        <v>54.85</v>
      </c>
      <c r="E303" s="15" t="n">
        <v>97.28</v>
      </c>
      <c r="F303" s="34" t="n">
        <v>44698</v>
      </c>
      <c r="G303" s="15" t="n">
        <v>150</v>
      </c>
      <c r="H303" s="15" t="n">
        <v>272.35</v>
      </c>
      <c r="I303" s="34" t="n">
        <v>44698</v>
      </c>
      <c r="J303" s="15" t="n">
        <v>21.6</v>
      </c>
      <c r="K303" s="15" t="n">
        <v>29.12</v>
      </c>
      <c r="L303" s="34" t="n">
        <v>44698</v>
      </c>
    </row>
    <row r="304">
      <c r="A304" s="34" t="n">
        <v>44699</v>
      </c>
      <c r="B304" s="266" t="n">
        <v>1.164849996566772</v>
      </c>
      <c r="C304" s="34" t="n">
        <v>44699</v>
      </c>
      <c r="D304" s="15" t="n">
        <v>54.2</v>
      </c>
      <c r="E304" s="15" t="n">
        <v>93.95999999999999</v>
      </c>
      <c r="F304" s="34" t="n">
        <v>44699</v>
      </c>
      <c r="G304" s="15" t="n">
        <v>149.7</v>
      </c>
      <c r="H304" s="15" t="n">
        <v>264.11</v>
      </c>
      <c r="I304" s="34" t="n">
        <v>44699</v>
      </c>
      <c r="J304" s="15" t="n">
        <v>21.85</v>
      </c>
      <c r="K304" s="15" t="n">
        <v>29.51</v>
      </c>
      <c r="L304" s="34" t="n">
        <v>44699</v>
      </c>
    </row>
    <row r="305">
      <c r="A305" s="34" t="n">
        <v>44700</v>
      </c>
      <c r="B305" s="266" t="n">
        <v>1.161888957023621</v>
      </c>
      <c r="C305" s="34" t="n">
        <v>44700</v>
      </c>
      <c r="D305" s="15" t="n">
        <v>54.6</v>
      </c>
      <c r="E305" s="15" t="n">
        <v>93.97</v>
      </c>
      <c r="F305" s="34" t="n">
        <v>44700</v>
      </c>
      <c r="G305" s="15" t="n">
        <v>147</v>
      </c>
      <c r="H305" s="15" t="n">
        <v>261.96</v>
      </c>
      <c r="I305" s="34" t="n">
        <v>44700</v>
      </c>
      <c r="J305" s="15" t="n">
        <v>21.5</v>
      </c>
      <c r="K305" s="15" t="n">
        <v>29.54</v>
      </c>
      <c r="L305" s="34" t="n">
        <v>44700</v>
      </c>
    </row>
    <row r="306">
      <c r="A306" s="34" t="n">
        <v>44701</v>
      </c>
      <c r="B306" s="266" t="n">
        <v>1.168822050094604</v>
      </c>
      <c r="C306" s="34" t="n">
        <v>44701</v>
      </c>
      <c r="D306" s="15" t="n">
        <v>58</v>
      </c>
      <c r="E306" s="15" t="n">
        <v>96.25</v>
      </c>
      <c r="F306" s="34" t="n">
        <v>44701</v>
      </c>
      <c r="G306" s="15" t="n">
        <v>154</v>
      </c>
      <c r="H306" s="15" t="n">
        <v>269.5</v>
      </c>
      <c r="I306" s="34" t="n">
        <v>44701</v>
      </c>
      <c r="J306" s="15" t="n">
        <v>22.95</v>
      </c>
      <c r="K306" s="15" t="n">
        <v>30.64</v>
      </c>
      <c r="L306" s="34" t="n">
        <v>44701</v>
      </c>
    </row>
    <row r="307">
      <c r="A307" s="34" t="n">
        <v>44704</v>
      </c>
      <c r="B307" s="266" t="n">
        <v>1.173393964767456</v>
      </c>
      <c r="C307" s="34" t="n">
        <v>44704</v>
      </c>
      <c r="D307" s="15" t="n">
        <v>57.9</v>
      </c>
      <c r="E307" s="15" t="n">
        <v>98.25</v>
      </c>
      <c r="F307" s="34" t="n">
        <v>44704</v>
      </c>
      <c r="G307" s="15" t="n">
        <v>149</v>
      </c>
      <c r="H307" s="15" t="n">
        <v>266.51</v>
      </c>
      <c r="I307" s="34" t="n">
        <v>44704</v>
      </c>
      <c r="J307" s="15" t="n">
        <v>22.8</v>
      </c>
      <c r="K307" s="15" t="n">
        <v>30.82</v>
      </c>
      <c r="L307" s="34" t="n">
        <v>44704</v>
      </c>
    </row>
    <row r="308">
      <c r="A308" s="34" t="n">
        <v>44705</v>
      </c>
      <c r="B308" s="266" t="n">
        <v>1.179618000984192</v>
      </c>
      <c r="C308" s="34" t="n">
        <v>44705</v>
      </c>
      <c r="D308" s="15" t="n">
        <v>54.45</v>
      </c>
      <c r="E308" s="15" t="n">
        <v>98.25</v>
      </c>
      <c r="F308" s="34" t="n">
        <v>44705</v>
      </c>
      <c r="G308" s="15" t="n">
        <v>142</v>
      </c>
      <c r="H308" s="15" t="n">
        <v>250.39</v>
      </c>
      <c r="I308" s="34" t="n">
        <v>44705</v>
      </c>
      <c r="J308" s="15" t="n">
        <v>22.1</v>
      </c>
      <c r="K308" s="15" t="n">
        <v>29.05</v>
      </c>
      <c r="L308" s="34" t="n">
        <v>44705</v>
      </c>
    </row>
    <row r="309">
      <c r="A309" s="34" t="n">
        <v>44706</v>
      </c>
      <c r="B309" s="266" t="n">
        <v>1.179540991783142</v>
      </c>
      <c r="C309" s="34" t="n">
        <v>44706</v>
      </c>
      <c r="D309" s="15" t="n">
        <v>59.85</v>
      </c>
      <c r="E309" s="15" t="n">
        <v>100.84</v>
      </c>
      <c r="F309" s="34" t="n">
        <v>44706</v>
      </c>
      <c r="G309" s="15" t="n">
        <v>141.8</v>
      </c>
      <c r="H309" s="15" t="n">
        <v>245.49</v>
      </c>
      <c r="I309" s="34" t="n">
        <v>44706</v>
      </c>
      <c r="J309" s="15" t="n">
        <v>22.15</v>
      </c>
      <c r="K309" s="15" t="n">
        <v>29.6</v>
      </c>
      <c r="L309" s="34" t="n">
        <v>44706</v>
      </c>
    </row>
    <row r="310">
      <c r="A310" s="34" t="n">
        <v>44707</v>
      </c>
      <c r="B310" s="266" t="n">
        <v>1.172242045402527</v>
      </c>
      <c r="C310" s="34" t="n">
        <v>44707</v>
      </c>
      <c r="D310" s="15" t="n">
        <v>58.05</v>
      </c>
      <c r="E310" s="15" t="n">
        <v>101.92</v>
      </c>
      <c r="F310" s="34" t="n">
        <v>44707</v>
      </c>
      <c r="G310" s="15" t="n">
        <v>140.9</v>
      </c>
      <c r="H310" s="15" t="n">
        <v>237.47</v>
      </c>
      <c r="I310" s="34" t="n">
        <v>44707</v>
      </c>
      <c r="J310" s="15" t="n">
        <v>22.35</v>
      </c>
      <c r="K310" s="15" t="n">
        <v>29.75</v>
      </c>
      <c r="L310" s="34" t="n">
        <v>44707</v>
      </c>
    </row>
    <row r="311">
      <c r="A311" s="34" t="n">
        <v>44708</v>
      </c>
      <c r="B311" s="266" t="n">
        <v>1.164566993713379</v>
      </c>
      <c r="C311" s="34" t="n">
        <v>44708</v>
      </c>
      <c r="D311" s="15" t="n">
        <v>58.1</v>
      </c>
      <c r="E311" s="15" t="n">
        <v>105.2</v>
      </c>
      <c r="F311" s="34" t="n">
        <v>44708</v>
      </c>
      <c r="G311" s="15" t="n">
        <v>146.2</v>
      </c>
      <c r="H311" s="15" t="n">
        <v>253</v>
      </c>
      <c r="I311" s="34" t="n">
        <v>44708</v>
      </c>
      <c r="J311" s="15" t="n">
        <v>22.35</v>
      </c>
      <c r="K311" s="15" t="n">
        <v>29.7</v>
      </c>
      <c r="L311" s="34" t="n">
        <v>44708</v>
      </c>
    </row>
    <row r="312">
      <c r="A312" s="34" t="n">
        <v>44711</v>
      </c>
      <c r="B312" s="266" t="n">
        <v>1.171957015991211</v>
      </c>
      <c r="C312" s="34" t="n">
        <v>44711</v>
      </c>
      <c r="D312" s="15" t="n">
        <v>60.2</v>
      </c>
      <c r="E312" s="15" t="n">
        <v>103.77</v>
      </c>
      <c r="F312" s="34" t="n">
        <v>44711</v>
      </c>
      <c r="G312" s="15" t="n">
        <v>150.2</v>
      </c>
      <c r="H312" s="15" t="n">
        <v>253.5</v>
      </c>
      <c r="I312" s="34" t="n">
        <v>44711</v>
      </c>
      <c r="J312" s="15" t="n">
        <v>22.15</v>
      </c>
      <c r="K312" s="15" t="n">
        <v>29.74</v>
      </c>
      <c r="L312" s="34" t="n">
        <v>44711</v>
      </c>
    </row>
    <row r="313">
      <c r="A313" s="34" t="n">
        <v>44712</v>
      </c>
      <c r="B313" s="266" t="n">
        <v>1.178225040435791</v>
      </c>
      <c r="C313" s="34" t="n">
        <v>44712</v>
      </c>
      <c r="D313" s="15" t="n">
        <v>62.6</v>
      </c>
      <c r="E313" s="15" t="n">
        <v>106.43</v>
      </c>
      <c r="F313" s="34" t="n">
        <v>44712</v>
      </c>
      <c r="G313" s="15" t="n">
        <v>157</v>
      </c>
      <c r="H313" s="15" t="n">
        <v>261.65</v>
      </c>
      <c r="I313" s="34" t="n">
        <v>44712</v>
      </c>
      <c r="J313" s="15" t="n">
        <v>22.05</v>
      </c>
      <c r="K313" s="15" t="n">
        <v>30.02</v>
      </c>
      <c r="L313" s="34" t="n">
        <v>44712</v>
      </c>
    </row>
    <row r="314">
      <c r="A314" s="34" t="n">
        <v>44713</v>
      </c>
      <c r="B314" s="266" t="n">
        <v>1.175742983818054</v>
      </c>
      <c r="C314" s="34" t="n">
        <v>44713</v>
      </c>
      <c r="D314" s="15" t="n">
        <v>62.15</v>
      </c>
      <c r="E314" s="15" t="n">
        <v>102.26</v>
      </c>
      <c r="F314" s="34" t="n">
        <v>44713</v>
      </c>
      <c r="G314" s="15" t="n">
        <v>152.9</v>
      </c>
      <c r="H314" s="15" t="n">
        <v>256.56</v>
      </c>
      <c r="I314" s="34" t="n">
        <v>44713</v>
      </c>
      <c r="J314" s="15" t="n">
        <v>22.05</v>
      </c>
      <c r="K314" s="15" t="n">
        <v>30.11</v>
      </c>
      <c r="L314" s="34" t="n">
        <v>44713</v>
      </c>
    </row>
    <row r="315">
      <c r="A315" s="34" t="n">
        <v>44714</v>
      </c>
      <c r="B315" s="266" t="n">
        <v>1.173377990722656</v>
      </c>
      <c r="C315" s="34" t="n">
        <v>44714</v>
      </c>
      <c r="D315" s="15" t="n">
        <v>61.2</v>
      </c>
      <c r="E315" s="15" t="n">
        <v>101.6</v>
      </c>
      <c r="F315" s="34" t="n">
        <v>44714</v>
      </c>
      <c r="G315" s="15" t="n">
        <v>149</v>
      </c>
      <c r="H315" s="15" t="n">
        <v>250.11</v>
      </c>
      <c r="I315" s="34" t="n">
        <v>44714</v>
      </c>
      <c r="J315" s="15" t="n">
        <v>22.4</v>
      </c>
      <c r="K315" s="15" t="n">
        <v>31.68</v>
      </c>
      <c r="L315" s="34" t="n">
        <v>44714</v>
      </c>
    </row>
    <row r="316">
      <c r="A316" s="34" t="n">
        <v>44718</v>
      </c>
      <c r="B316" s="266" t="n">
        <v>1.178540945053101</v>
      </c>
      <c r="C316" s="34" t="n">
        <v>44718</v>
      </c>
      <c r="D316" s="15" t="n">
        <v>64.5</v>
      </c>
      <c r="E316" s="15" t="n">
        <v>108.83</v>
      </c>
      <c r="F316" s="34" t="n">
        <v>44718</v>
      </c>
      <c r="G316" s="15" t="n">
        <v>159.5</v>
      </c>
      <c r="H316" s="15" t="n">
        <v>267.52</v>
      </c>
      <c r="I316" s="34" t="n">
        <v>44718</v>
      </c>
      <c r="J316" s="15" t="n">
        <v>22.95</v>
      </c>
      <c r="K316" s="15" t="n">
        <v>33.05</v>
      </c>
      <c r="L316" s="34" t="n">
        <v>44718</v>
      </c>
    </row>
    <row r="317">
      <c r="A317" s="34" t="n">
        <v>44719</v>
      </c>
      <c r="B317" s="266" t="n">
        <v>1.179175019264221</v>
      </c>
      <c r="C317" s="34" t="n">
        <v>44719</v>
      </c>
      <c r="D317" s="15" t="n">
        <v>66.15000000000001</v>
      </c>
      <c r="E317" s="15" t="n">
        <v>113</v>
      </c>
      <c r="F317" s="34" t="n">
        <v>44719</v>
      </c>
      <c r="G317" s="15" t="n">
        <v>162.7</v>
      </c>
      <c r="H317" s="15" t="n">
        <v>273.48</v>
      </c>
      <c r="I317" s="34" t="n">
        <v>44719</v>
      </c>
      <c r="J317" s="15" t="n">
        <v>23</v>
      </c>
      <c r="K317" s="15" t="n">
        <v>32.4</v>
      </c>
      <c r="L317" s="34" t="n">
        <v>44719</v>
      </c>
    </row>
    <row r="318">
      <c r="A318" s="34" t="n">
        <v>44720</v>
      </c>
      <c r="B318" s="266" t="n">
        <v>1.175778985023499</v>
      </c>
      <c r="C318" s="34" t="n">
        <v>44720</v>
      </c>
      <c r="D318" s="15" t="n">
        <v>71.8</v>
      </c>
      <c r="E318" s="15" t="n">
        <v>118.94</v>
      </c>
      <c r="F318" s="34" t="n">
        <v>44720</v>
      </c>
      <c r="G318" s="15" t="n">
        <v>175.8</v>
      </c>
      <c r="H318" s="15" t="n">
        <v>280.5</v>
      </c>
      <c r="I318" s="34" t="n">
        <v>44720</v>
      </c>
      <c r="J318" s="15" t="n">
        <v>22.7</v>
      </c>
      <c r="K318" s="15" t="n">
        <v>32.68</v>
      </c>
      <c r="L318" s="34" t="n">
        <v>44720</v>
      </c>
    </row>
    <row r="319">
      <c r="A319" s="34" t="n">
        <v>44721</v>
      </c>
      <c r="B319" s="266" t="n">
        <v>1.174060940742493</v>
      </c>
      <c r="C319" s="34" t="n">
        <v>44721</v>
      </c>
      <c r="D319" s="15" t="n">
        <v>71.40000000000001</v>
      </c>
      <c r="E319" s="15" t="n">
        <v>117.79</v>
      </c>
      <c r="F319" s="34" t="n">
        <v>44721</v>
      </c>
      <c r="G319" s="15" t="n">
        <v>173.3</v>
      </c>
      <c r="H319" s="15" t="n">
        <v>271.79</v>
      </c>
      <c r="I319" s="34" t="n">
        <v>44721</v>
      </c>
      <c r="J319" s="15" t="n">
        <v>22.2</v>
      </c>
      <c r="K319" s="15" t="n">
        <v>31.45</v>
      </c>
      <c r="L319" s="34" t="n">
        <v>44721</v>
      </c>
    </row>
    <row r="320">
      <c r="A320" s="34" t="n">
        <v>44722</v>
      </c>
      <c r="B320" s="266" t="n">
        <v>1.172886967658997</v>
      </c>
      <c r="C320" s="34" t="n">
        <v>44722</v>
      </c>
      <c r="D320" s="15" t="n">
        <v>72.65000000000001</v>
      </c>
      <c r="E320" s="15" t="n">
        <v>120</v>
      </c>
      <c r="F320" s="34" t="n">
        <v>44722</v>
      </c>
      <c r="G320" s="15" t="n">
        <v>175.5</v>
      </c>
      <c r="H320" s="15" t="n">
        <v>271.6</v>
      </c>
      <c r="I320" s="34" t="n">
        <v>44722</v>
      </c>
      <c r="J320" s="15" t="n">
        <v>23.65</v>
      </c>
      <c r="K320" s="15" t="n">
        <v>32.98</v>
      </c>
      <c r="L320" s="34" t="n">
        <v>44722</v>
      </c>
    </row>
    <row r="321">
      <c r="A321" s="34" t="n">
        <v>44725</v>
      </c>
      <c r="B321" s="266" t="n">
        <v>1.16687798500061</v>
      </c>
      <c r="C321" s="34" t="n">
        <v>44725</v>
      </c>
      <c r="D321" s="15" t="n">
        <v>68.8</v>
      </c>
      <c r="E321" s="15" t="n">
        <v>113.63</v>
      </c>
      <c r="F321" s="34" t="n">
        <v>44725</v>
      </c>
      <c r="G321" s="15" t="n">
        <v>164.4</v>
      </c>
      <c r="H321" s="15" t="n">
        <v>262</v>
      </c>
      <c r="I321" s="34" t="n">
        <v>44725</v>
      </c>
      <c r="J321" s="15" t="n">
        <v>24</v>
      </c>
      <c r="K321" s="15" t="n">
        <v>33.81</v>
      </c>
      <c r="L321" s="34" t="n">
        <v>44725</v>
      </c>
    </row>
    <row r="322">
      <c r="A322" s="34" t="n">
        <v>44726</v>
      </c>
      <c r="B322" s="266" t="n">
        <v>1.162642002105713</v>
      </c>
      <c r="C322" s="34" t="n">
        <v>44726</v>
      </c>
      <c r="D322" s="15" t="n">
        <v>67.59999999999999</v>
      </c>
      <c r="E322" s="15" t="n">
        <v>115.77</v>
      </c>
      <c r="F322" s="34" t="n">
        <v>44726</v>
      </c>
      <c r="G322" s="15" t="n">
        <v>161.3</v>
      </c>
      <c r="H322" s="15" t="n">
        <v>259.18</v>
      </c>
      <c r="I322" s="34" t="n">
        <v>44726</v>
      </c>
      <c r="J322" s="15" t="n">
        <v>24.2</v>
      </c>
      <c r="K322" s="15" t="n">
        <v>33.99</v>
      </c>
      <c r="L322" s="34" t="n">
        <v>44726</v>
      </c>
    </row>
    <row r="323">
      <c r="A323" s="34" t="n">
        <v>44727</v>
      </c>
      <c r="B323" s="266" t="n">
        <v>1.165135025978088</v>
      </c>
      <c r="C323" s="34" t="n">
        <v>44727</v>
      </c>
      <c r="D323" s="15" t="n">
        <v>68.34999999999999</v>
      </c>
      <c r="E323" s="15" t="n">
        <v>115.77</v>
      </c>
      <c r="F323" s="34" t="n">
        <v>44727</v>
      </c>
      <c r="G323" s="15" t="n">
        <v>157.6</v>
      </c>
      <c r="H323" s="15" t="n">
        <v>261</v>
      </c>
      <c r="I323" s="34" t="n">
        <v>44727</v>
      </c>
      <c r="J323" s="15" t="n">
        <v>24.15</v>
      </c>
      <c r="K323" s="15" t="n">
        <v>34.08</v>
      </c>
      <c r="L323" s="34" t="n">
        <v>44727</v>
      </c>
    </row>
    <row r="324">
      <c r="A324" s="34" t="n">
        <v>44728</v>
      </c>
      <c r="B324" s="266" t="n">
        <v>1.169098973274231</v>
      </c>
      <c r="C324" s="34" t="n">
        <v>44728</v>
      </c>
      <c r="D324" s="15" t="n">
        <v>68.40000000000001</v>
      </c>
      <c r="E324" s="15" t="n">
        <v>118.94</v>
      </c>
      <c r="F324" s="34" t="n">
        <v>44728</v>
      </c>
      <c r="G324" s="15" t="n">
        <v>157</v>
      </c>
      <c r="H324" s="15" t="n">
        <v>264.1</v>
      </c>
      <c r="I324" s="34" t="n">
        <v>44728</v>
      </c>
      <c r="J324" s="15" t="n">
        <v>23.2</v>
      </c>
      <c r="K324" s="15" t="n">
        <v>33.5</v>
      </c>
      <c r="L324" s="34" t="n">
        <v>44728</v>
      </c>
    </row>
    <row r="325">
      <c r="A325" s="34" t="n">
        <v>44729</v>
      </c>
      <c r="B325" s="266" t="n">
        <v>1.170604944229126</v>
      </c>
      <c r="C325" s="34" t="n">
        <v>44729</v>
      </c>
      <c r="D325" s="15" t="n">
        <v>71.7</v>
      </c>
      <c r="E325" s="15" t="n">
        <v>125.34</v>
      </c>
      <c r="F325" s="34" t="n">
        <v>44729</v>
      </c>
      <c r="G325" s="15" t="n">
        <v>157.5</v>
      </c>
      <c r="H325" s="15" t="n">
        <v>267.79</v>
      </c>
      <c r="I325" s="34" t="n">
        <v>44729</v>
      </c>
      <c r="J325" s="15" t="n">
        <v>24.6</v>
      </c>
      <c r="K325" s="15" t="n">
        <v>34.91</v>
      </c>
      <c r="L325" s="34" t="n">
        <v>44729</v>
      </c>
    </row>
    <row r="326">
      <c r="A326" s="34" t="n">
        <v>44732</v>
      </c>
      <c r="B326" s="266" t="n">
        <v>1.167651057243347</v>
      </c>
      <c r="C326" s="34" t="n">
        <v>44732</v>
      </c>
      <c r="D326" s="15" t="n">
        <v>64.45</v>
      </c>
      <c r="E326" s="15" t="n">
        <v>112.81</v>
      </c>
      <c r="F326" s="34" t="n">
        <v>44732</v>
      </c>
      <c r="G326" s="15" t="n">
        <v>167.2</v>
      </c>
      <c r="H326" s="15" t="n">
        <v>270.61</v>
      </c>
      <c r="I326" s="34" t="n">
        <v>44732</v>
      </c>
      <c r="J326" s="15" t="n">
        <v>25.25</v>
      </c>
      <c r="K326" s="15" t="n">
        <v>35.01</v>
      </c>
      <c r="L326" s="34" t="n">
        <v>44732</v>
      </c>
    </row>
    <row r="327">
      <c r="A327" s="34" t="n">
        <v>44733</v>
      </c>
      <c r="B327" s="266" t="n">
        <v>1.173205971717834</v>
      </c>
      <c r="C327" s="34" t="n">
        <v>44733</v>
      </c>
      <c r="D327" s="15" t="n">
        <v>65.55</v>
      </c>
      <c r="E327" s="15" t="n">
        <v>114.15</v>
      </c>
      <c r="F327" s="34" t="n">
        <v>44733</v>
      </c>
      <c r="G327" s="15" t="n">
        <v>171.4</v>
      </c>
      <c r="H327" s="15" t="n">
        <v>266.2</v>
      </c>
      <c r="I327" s="34" t="n">
        <v>44733</v>
      </c>
      <c r="J327" s="15" t="n">
        <v>25.05</v>
      </c>
      <c r="K327" s="15" t="n">
        <v>34.4</v>
      </c>
      <c r="L327" s="34" t="n">
        <v>44733</v>
      </c>
    </row>
    <row r="328">
      <c r="A328" s="34" t="n">
        <v>44734</v>
      </c>
      <c r="B328" s="266" t="n">
        <v>1.173452019691467</v>
      </c>
      <c r="C328" s="34" t="n">
        <v>44734</v>
      </c>
      <c r="D328" s="15" t="n">
        <v>63.65</v>
      </c>
      <c r="E328" s="15" t="n">
        <v>108.67</v>
      </c>
      <c r="F328" s="34" t="n">
        <v>44734</v>
      </c>
      <c r="G328" s="15" t="n">
        <v>165.3</v>
      </c>
      <c r="H328" s="15" t="n">
        <v>259.47</v>
      </c>
      <c r="I328" s="34" t="n">
        <v>44734</v>
      </c>
      <c r="J328" s="15" t="n">
        <v>24.3</v>
      </c>
      <c r="K328" s="15" t="n">
        <v>33.5</v>
      </c>
      <c r="L328" s="34" t="n">
        <v>44734</v>
      </c>
    </row>
    <row r="329">
      <c r="A329" s="34" t="n">
        <v>44735</v>
      </c>
      <c r="B329" s="266" t="n">
        <v>1.171026945114136</v>
      </c>
      <c r="C329" s="34" t="n">
        <v>44735</v>
      </c>
      <c r="D329" s="15" t="n">
        <v>62.85</v>
      </c>
      <c r="E329" s="15" t="n">
        <v>104.98</v>
      </c>
      <c r="F329" s="34" t="n">
        <v>44735</v>
      </c>
      <c r="G329" s="15" t="n">
        <v>165.1</v>
      </c>
      <c r="H329" s="15" t="n">
        <v>255.56</v>
      </c>
      <c r="I329" s="34" t="n">
        <v>44735</v>
      </c>
      <c r="J329" s="15" t="n">
        <v>25.15</v>
      </c>
      <c r="K329" s="15" t="n">
        <v>34.85</v>
      </c>
      <c r="L329" s="34" t="n">
        <v>44735</v>
      </c>
    </row>
    <row r="330">
      <c r="A330" s="34" t="n">
        <v>44736</v>
      </c>
      <c r="B330" s="266" t="n">
        <v>1.171391010284424</v>
      </c>
      <c r="C330" s="34" t="n">
        <v>44736</v>
      </c>
      <c r="D330" s="15" t="n">
        <v>68.5</v>
      </c>
      <c r="E330" s="15" t="n">
        <v>112.47</v>
      </c>
      <c r="F330" s="34" t="n">
        <v>44736</v>
      </c>
      <c r="G330" s="15" t="n">
        <v>182</v>
      </c>
      <c r="H330" s="15" t="n">
        <v>281.12</v>
      </c>
      <c r="I330" s="34" t="n">
        <v>44736</v>
      </c>
      <c r="J330" s="15" t="n">
        <v>26.4</v>
      </c>
      <c r="K330" s="15" t="n">
        <v>35.72</v>
      </c>
      <c r="L330" s="34" t="n">
        <v>44736</v>
      </c>
    </row>
    <row r="331">
      <c r="A331" s="34" t="n">
        <v>44739</v>
      </c>
      <c r="B331" s="266" t="n">
        <v>1.174373030662537</v>
      </c>
      <c r="C331" s="34" t="n">
        <v>44739</v>
      </c>
      <c r="D331" s="15" t="n">
        <v>69.25</v>
      </c>
      <c r="E331" s="15" t="n">
        <v>115.53</v>
      </c>
      <c r="F331" s="34" t="n">
        <v>44739</v>
      </c>
      <c r="G331" s="15" t="n">
        <v>189</v>
      </c>
      <c r="H331" s="15" t="n">
        <v>286.75</v>
      </c>
      <c r="I331" s="34" t="n">
        <v>44739</v>
      </c>
      <c r="J331" s="15" t="n">
        <v>27.2</v>
      </c>
      <c r="K331" s="15" t="n">
        <v>36.41</v>
      </c>
      <c r="L331" s="34" t="n">
        <v>44739</v>
      </c>
    </row>
    <row r="332">
      <c r="A332" s="34" t="n">
        <v>44740</v>
      </c>
      <c r="B332" s="266" t="n">
        <v>1.172474026679993</v>
      </c>
      <c r="C332" s="34" t="n">
        <v>44740</v>
      </c>
      <c r="D332" s="15" t="n">
        <v>68.2</v>
      </c>
      <c r="E332" s="15" t="n">
        <v>111.55</v>
      </c>
      <c r="F332" s="34" t="n">
        <v>44740</v>
      </c>
      <c r="G332" s="15" t="n">
        <v>190.3</v>
      </c>
      <c r="H332" s="15" t="n">
        <v>285</v>
      </c>
      <c r="I332" s="34" t="n">
        <v>44740</v>
      </c>
      <c r="J332" s="15" t="n">
        <v>28.8</v>
      </c>
      <c r="K332" s="15" t="n">
        <v>37.75</v>
      </c>
      <c r="L332" s="34" t="n">
        <v>44740</v>
      </c>
    </row>
    <row r="333">
      <c r="A333" s="34" t="n">
        <v>44741</v>
      </c>
      <c r="B333" s="266" t="n">
        <v>1.169481039047241</v>
      </c>
      <c r="C333" s="34" t="n">
        <v>44741</v>
      </c>
      <c r="D333" s="15" t="n">
        <v>67.15000000000001</v>
      </c>
      <c r="E333" s="15" t="n">
        <v>111.92</v>
      </c>
      <c r="F333" s="34" t="n">
        <v>44741</v>
      </c>
      <c r="G333" s="15" t="n">
        <v>186.9</v>
      </c>
      <c r="H333" s="15" t="n">
        <v>282.93</v>
      </c>
      <c r="I333" s="34" t="n">
        <v>44741</v>
      </c>
      <c r="J333" s="15" t="n">
        <v>29.3</v>
      </c>
      <c r="K333" s="15" t="n">
        <v>36.02</v>
      </c>
      <c r="L333" s="34" t="n">
        <v>44741</v>
      </c>
    </row>
    <row r="334">
      <c r="A334" s="34" t="n">
        <v>44742</v>
      </c>
      <c r="B334" s="266" t="n">
        <v>1.171028017997742</v>
      </c>
      <c r="C334" s="34" t="n">
        <v>44742</v>
      </c>
      <c r="D334" s="15" t="n">
        <v>66.09999999999999</v>
      </c>
      <c r="E334" s="15" t="n">
        <v>113.8</v>
      </c>
      <c r="F334" s="34" t="n">
        <v>44742</v>
      </c>
      <c r="G334" s="15" t="n">
        <v>185</v>
      </c>
      <c r="H334" s="15" t="n">
        <v>289</v>
      </c>
      <c r="I334" s="34" t="n">
        <v>44742</v>
      </c>
      <c r="J334" s="15" t="n">
        <v>28.5</v>
      </c>
      <c r="K334" s="15" t="n">
        <v>36.8</v>
      </c>
      <c r="L334" s="34" t="n">
        <v>44742</v>
      </c>
    </row>
    <row r="335">
      <c r="A335" s="34" t="n">
        <v>44746</v>
      </c>
      <c r="B335" s="266" t="n">
        <v>1.17113995552063</v>
      </c>
      <c r="C335" s="34" t="n">
        <v>44746</v>
      </c>
      <c r="D335" s="15" t="n">
        <v>71.40000000000001</v>
      </c>
      <c r="E335" s="15" t="n">
        <v>126.61</v>
      </c>
      <c r="F335" s="34" t="n">
        <v>44746</v>
      </c>
      <c r="G335" s="15" t="n">
        <v>197.5</v>
      </c>
      <c r="H335" s="15" t="n">
        <v>304.5</v>
      </c>
      <c r="I335" s="34" t="n">
        <v>44746</v>
      </c>
      <c r="J335" s="15" t="n">
        <v>28.65</v>
      </c>
      <c r="K335" s="15" t="n">
        <v>37.18</v>
      </c>
      <c r="L335" s="34" t="n">
        <v>44746</v>
      </c>
    </row>
    <row r="336">
      <c r="A336" s="34" t="n">
        <v>44747</v>
      </c>
      <c r="B336" s="266" t="n">
        <v>1.171020984649658</v>
      </c>
      <c r="C336" s="34" t="n">
        <v>44747</v>
      </c>
      <c r="D336" s="15" t="n">
        <v>74.25</v>
      </c>
      <c r="E336" s="15" t="n">
        <v>131.78</v>
      </c>
      <c r="F336" s="34" t="n">
        <v>44747</v>
      </c>
      <c r="G336" s="15" t="n">
        <v>194.6</v>
      </c>
      <c r="H336" s="15" t="n">
        <v>309.53</v>
      </c>
      <c r="I336" s="34" t="n">
        <v>44747</v>
      </c>
      <c r="J336" s="15" t="n">
        <v>31.1</v>
      </c>
      <c r="K336" s="15" t="n">
        <v>42.9</v>
      </c>
      <c r="L336" s="34" t="n">
        <v>44747</v>
      </c>
    </row>
    <row r="337">
      <c r="A337" s="34" t="n">
        <v>44748</v>
      </c>
      <c r="B337" s="266" t="n">
        <v>1.167670011520386</v>
      </c>
      <c r="C337" s="34" t="n">
        <v>44748</v>
      </c>
      <c r="D337" s="15" t="n">
        <v>73.95</v>
      </c>
      <c r="E337" s="15" t="n">
        <v>134.54</v>
      </c>
      <c r="F337" s="34" t="n">
        <v>44748</v>
      </c>
      <c r="G337" s="15" t="n">
        <v>194.9</v>
      </c>
      <c r="H337" s="15" t="n">
        <v>312.74</v>
      </c>
      <c r="I337" s="34" t="n">
        <v>44748</v>
      </c>
      <c r="J337" s="15" t="n">
        <v>31.5</v>
      </c>
      <c r="K337" s="15" t="n">
        <v>43.21</v>
      </c>
      <c r="L337" s="34" t="n">
        <v>44748</v>
      </c>
    </row>
    <row r="338">
      <c r="A338" s="34" t="n">
        <v>44749</v>
      </c>
      <c r="B338" s="266" t="n">
        <v>1.169499039649963</v>
      </c>
      <c r="C338" s="34" t="n">
        <v>44749</v>
      </c>
      <c r="D338" s="15" t="n">
        <v>73</v>
      </c>
      <c r="E338" s="15" t="n">
        <v>132.21</v>
      </c>
      <c r="F338" s="34" t="n">
        <v>44749</v>
      </c>
      <c r="G338" s="15" t="n">
        <v>190</v>
      </c>
      <c r="H338" s="15" t="n">
        <v>302</v>
      </c>
      <c r="I338" s="34" t="n">
        <v>44749</v>
      </c>
      <c r="J338" s="15" t="n">
        <v>32.5</v>
      </c>
      <c r="K338" s="15" t="n">
        <v>42.99</v>
      </c>
      <c r="L338" s="34" t="n">
        <v>44749</v>
      </c>
    </row>
    <row r="339">
      <c r="A339" s="34" t="n">
        <v>44750</v>
      </c>
      <c r="B339" s="266" t="n">
        <v>1.170979976654053</v>
      </c>
      <c r="C339" s="34" t="n">
        <v>44750</v>
      </c>
      <c r="D339" s="15" t="n">
        <v>75</v>
      </c>
      <c r="E339" s="15" t="n">
        <v>131.85</v>
      </c>
      <c r="F339" s="34" t="n">
        <v>44750</v>
      </c>
      <c r="G339" s="15" t="n">
        <v>190.6</v>
      </c>
      <c r="H339" s="15" t="n">
        <v>302.51</v>
      </c>
      <c r="I339" s="34" t="n">
        <v>44750</v>
      </c>
      <c r="J339" s="15" t="n">
        <v>32.75</v>
      </c>
      <c r="K339" s="15" t="n">
        <v>42.5</v>
      </c>
      <c r="L339" s="34" t="n">
        <v>44750</v>
      </c>
    </row>
    <row r="340">
      <c r="A340" s="34" t="n">
        <v>44753</v>
      </c>
      <c r="B340" s="266" t="n">
        <v>1.172826051712036</v>
      </c>
      <c r="C340" s="34" t="n">
        <v>44753</v>
      </c>
      <c r="D340" s="15" t="n">
        <v>73.25</v>
      </c>
      <c r="E340" s="15" t="n">
        <v>127.81</v>
      </c>
      <c r="F340" s="34" t="n">
        <v>44753</v>
      </c>
      <c r="G340" s="15" t="n">
        <v>130.3</v>
      </c>
      <c r="H340" s="15" t="n">
        <v>291.49</v>
      </c>
      <c r="I340" s="34" t="n">
        <v>44753</v>
      </c>
      <c r="J340" s="15" t="n">
        <v>32</v>
      </c>
      <c r="K340" s="15" t="n">
        <v>41.45</v>
      </c>
      <c r="L340" s="34" t="n">
        <v>44753</v>
      </c>
    </row>
    <row r="341">
      <c r="A341" s="34" t="n">
        <v>44754</v>
      </c>
      <c r="B341" s="266" t="n">
        <v>1.168439984321594</v>
      </c>
      <c r="C341" s="34" t="n">
        <v>44754</v>
      </c>
      <c r="D341" s="15" t="n">
        <v>71.55</v>
      </c>
      <c r="E341" s="15" t="n">
        <v>122.42</v>
      </c>
      <c r="F341" s="34" t="n">
        <v>44754</v>
      </c>
      <c r="G341" s="15" t="n">
        <v>124</v>
      </c>
      <c r="H341" s="15" t="n">
        <v>265.61</v>
      </c>
      <c r="I341" s="34" t="n">
        <v>44754</v>
      </c>
      <c r="J341" s="15" t="n">
        <v>31.35</v>
      </c>
      <c r="K341" s="15" t="n">
        <v>40.27</v>
      </c>
      <c r="L341" s="34" t="n">
        <v>44754</v>
      </c>
    </row>
    <row r="342">
      <c r="A342" s="34" t="n">
        <v>44755</v>
      </c>
      <c r="B342" s="266" t="n">
        <v>1.166862964630127</v>
      </c>
      <c r="C342" s="34" t="n">
        <v>44755</v>
      </c>
      <c r="D342" s="15" t="n">
        <v>72.65000000000001</v>
      </c>
      <c r="E342" s="15" t="n">
        <v>122.89</v>
      </c>
      <c r="F342" s="34" t="n">
        <v>44755</v>
      </c>
      <c r="G342" s="15" t="n">
        <v>124.1</v>
      </c>
      <c r="H342" s="15" t="n">
        <v>266.16</v>
      </c>
      <c r="I342" s="34" t="n">
        <v>44755</v>
      </c>
      <c r="J342" s="15" t="n">
        <v>31.35</v>
      </c>
      <c r="K342" s="15" t="n">
        <v>40.21</v>
      </c>
      <c r="L342" s="34" t="n">
        <v>44755</v>
      </c>
      <c r="M342" s="15" t="n">
        <v>82</v>
      </c>
      <c r="N342" s="15" t="n">
        <v>128.6</v>
      </c>
      <c r="O342" s="34" t="n">
        <v>44755</v>
      </c>
    </row>
    <row r="343">
      <c r="A343" s="34" t="n">
        <v>44756</v>
      </c>
      <c r="B343" s="266" t="n">
        <v>1.167678952217102</v>
      </c>
      <c r="C343" s="34" t="n">
        <v>44756</v>
      </c>
      <c r="D343" s="15" t="n">
        <v>79.09999999999999</v>
      </c>
      <c r="E343" s="15" t="n">
        <v>129.89</v>
      </c>
      <c r="F343" s="34" t="n">
        <v>44756</v>
      </c>
      <c r="G343" s="15" t="n">
        <v>129.9</v>
      </c>
      <c r="H343" s="15" t="n">
        <v>269.85</v>
      </c>
      <c r="I343" s="34" t="n">
        <v>44756</v>
      </c>
      <c r="J343" s="15" t="n">
        <v>33.25</v>
      </c>
      <c r="K343" s="15" t="n">
        <v>43.34</v>
      </c>
      <c r="L343" s="34" t="n">
        <v>44756</v>
      </c>
      <c r="M343" s="15" t="n">
        <v>79</v>
      </c>
      <c r="N343" s="15" t="n">
        <v>125.55</v>
      </c>
      <c r="O343" s="34" t="n">
        <v>44756</v>
      </c>
    </row>
    <row r="344">
      <c r="A344" s="34" t="n">
        <v>44757</v>
      </c>
      <c r="B344" s="266" t="n">
        <v>1.161978960037231</v>
      </c>
      <c r="C344" s="34" t="n">
        <v>44757</v>
      </c>
      <c r="D344" s="15" t="n">
        <v>79.45</v>
      </c>
      <c r="E344" s="15" t="n">
        <v>126.67</v>
      </c>
      <c r="F344" s="34" t="n">
        <v>44757</v>
      </c>
      <c r="G344" s="15" t="n">
        <v>133</v>
      </c>
      <c r="H344" s="15" t="n">
        <v>269</v>
      </c>
      <c r="I344" s="34" t="n">
        <v>44757</v>
      </c>
      <c r="J344" s="15" t="n">
        <v>33.3</v>
      </c>
      <c r="K344" s="15" t="n">
        <v>43.85</v>
      </c>
      <c r="L344" s="34" t="n">
        <v>44757</v>
      </c>
      <c r="M344" s="15" t="n">
        <v>79.25</v>
      </c>
      <c r="N344" s="15" t="n">
        <v>124</v>
      </c>
      <c r="O344" s="34" t="n">
        <v>44757</v>
      </c>
    </row>
    <row r="345">
      <c r="A345" s="34" t="n">
        <v>44760</v>
      </c>
      <c r="B345" s="266" t="n">
        <v>1.162382960319519</v>
      </c>
      <c r="C345" s="34" t="n">
        <v>44760</v>
      </c>
      <c r="D345" s="15" t="n">
        <v>81.05</v>
      </c>
      <c r="E345" s="15" t="n">
        <v>123.8</v>
      </c>
      <c r="F345" s="34" t="n">
        <v>44760</v>
      </c>
      <c r="G345" s="15" t="n">
        <v>130.9</v>
      </c>
      <c r="H345" s="15" t="n">
        <v>269</v>
      </c>
      <c r="I345" s="34" t="n">
        <v>44760</v>
      </c>
      <c r="J345" s="15" t="n">
        <v>33.35</v>
      </c>
      <c r="K345" s="15" t="n">
        <v>43.9</v>
      </c>
      <c r="L345" s="34" t="n">
        <v>44760</v>
      </c>
      <c r="M345" s="15" t="n">
        <v>76.95</v>
      </c>
      <c r="N345" s="15" t="n">
        <v>119.97</v>
      </c>
      <c r="O345" s="34" t="n">
        <v>44760</v>
      </c>
    </row>
    <row r="346">
      <c r="A346" s="34" t="n">
        <v>44761</v>
      </c>
      <c r="B346" s="266" t="n">
        <v>1.163684964179993</v>
      </c>
      <c r="C346" s="34" t="n">
        <v>44761</v>
      </c>
      <c r="D346" s="15" t="n">
        <v>77.45</v>
      </c>
      <c r="E346" s="15" t="n">
        <v>122.81</v>
      </c>
      <c r="F346" s="34" t="n">
        <v>44761</v>
      </c>
      <c r="G346" s="15" t="n">
        <v>133.6</v>
      </c>
      <c r="H346" s="15" t="n">
        <v>265.34</v>
      </c>
      <c r="I346" s="34" t="n">
        <v>44761</v>
      </c>
      <c r="J346" s="15" t="n">
        <v>33.6</v>
      </c>
      <c r="K346" s="15" t="n">
        <v>45.41</v>
      </c>
      <c r="L346" s="34" t="n">
        <v>44761</v>
      </c>
      <c r="M346" s="15" t="n">
        <v>77</v>
      </c>
      <c r="N346" s="15" t="n">
        <v>120.65</v>
      </c>
      <c r="O346" s="34" t="n">
        <v>44761</v>
      </c>
    </row>
    <row r="347">
      <c r="A347" s="34" t="n">
        <v>44762</v>
      </c>
      <c r="B347" s="266" t="n">
        <v>1.163969993591309</v>
      </c>
      <c r="C347" s="34" t="n">
        <v>44762</v>
      </c>
      <c r="D347" s="15" t="n">
        <v>77.5</v>
      </c>
      <c r="E347" s="15" t="n">
        <v>124</v>
      </c>
      <c r="F347" s="34" t="n">
        <v>44762</v>
      </c>
      <c r="G347" s="15" t="n">
        <v>134.1</v>
      </c>
      <c r="H347" s="15" t="n">
        <v>269</v>
      </c>
      <c r="I347" s="34" t="n">
        <v>44762</v>
      </c>
      <c r="J347" s="15" t="n">
        <v>34</v>
      </c>
      <c r="K347" s="15" t="n">
        <v>46.34</v>
      </c>
      <c r="L347" s="34" t="n">
        <v>44762</v>
      </c>
      <c r="M347" s="15" t="n">
        <v>78.84999999999999</v>
      </c>
      <c r="N347" s="15" t="n">
        <v>123.7</v>
      </c>
      <c r="O347" s="34" t="n">
        <v>44762</v>
      </c>
    </row>
    <row r="348">
      <c r="A348" s="34" t="n">
        <v>44763</v>
      </c>
      <c r="B348" s="266" t="n">
        <v>1.161798000335693</v>
      </c>
      <c r="C348" s="34" t="n">
        <v>44763</v>
      </c>
      <c r="D348" s="15" t="n">
        <v>77.7</v>
      </c>
      <c r="E348" s="15" t="n">
        <v>122</v>
      </c>
      <c r="F348" s="34" t="n">
        <v>44763</v>
      </c>
      <c r="G348" s="15" t="n">
        <v>131.5</v>
      </c>
      <c r="H348" s="15" t="n">
        <v>190.37</v>
      </c>
      <c r="I348" s="34" t="n">
        <v>44763</v>
      </c>
      <c r="J348" s="15" t="n">
        <v>34.65</v>
      </c>
      <c r="K348" s="15" t="n">
        <v>45.19</v>
      </c>
      <c r="L348" s="34" t="n">
        <v>44763</v>
      </c>
      <c r="M348" s="15" t="n">
        <v>78</v>
      </c>
      <c r="N348" s="15" t="n">
        <v>115</v>
      </c>
      <c r="O348" s="34" t="n">
        <v>44763</v>
      </c>
    </row>
    <row r="349">
      <c r="A349" s="34" t="n">
        <v>44764</v>
      </c>
      <c r="B349" s="266" t="n">
        <v>1.159577965736389</v>
      </c>
      <c r="C349" s="34" t="n">
        <v>44764</v>
      </c>
      <c r="D349" s="15" t="n">
        <v>75.40000000000001</v>
      </c>
      <c r="E349" s="15" t="n">
        <v>119.6</v>
      </c>
      <c r="F349" s="34" t="n">
        <v>44764</v>
      </c>
      <c r="G349" s="15" t="n">
        <v>127.7</v>
      </c>
      <c r="H349" s="15" t="n">
        <v>184.65</v>
      </c>
      <c r="I349" s="34" t="n">
        <v>44764</v>
      </c>
      <c r="J349" s="15" t="n">
        <v>34.2</v>
      </c>
      <c r="K349" s="15" t="n">
        <v>45.45</v>
      </c>
      <c r="L349" s="34" t="n">
        <v>44764</v>
      </c>
      <c r="M349" s="15" t="n">
        <v>78.3</v>
      </c>
      <c r="N349" s="15" t="n">
        <v>116.85</v>
      </c>
      <c r="O349" s="34" t="n">
        <v>44764</v>
      </c>
    </row>
    <row r="350">
      <c r="A350" s="34" t="n">
        <v>44767</v>
      </c>
      <c r="B350" s="266" t="n">
        <v>1.161067962646484</v>
      </c>
      <c r="C350" s="34" t="n">
        <v>44767</v>
      </c>
      <c r="D350" s="15" t="n">
        <v>77.09999999999999</v>
      </c>
      <c r="E350" s="15" t="n">
        <v>119.59</v>
      </c>
      <c r="F350" s="34" t="n">
        <v>44767</v>
      </c>
      <c r="G350" s="15" t="n">
        <v>121.5</v>
      </c>
      <c r="H350" s="15" t="n">
        <v>180.2</v>
      </c>
      <c r="I350" s="34" t="n">
        <v>44767</v>
      </c>
      <c r="J350" s="15" t="n">
        <v>34</v>
      </c>
      <c r="K350" s="15" t="n">
        <v>45.01</v>
      </c>
      <c r="L350" s="34" t="n">
        <v>44767</v>
      </c>
      <c r="M350" s="15" t="n">
        <v>78</v>
      </c>
      <c r="N350" s="15" t="n">
        <v>117.7</v>
      </c>
      <c r="O350" s="34" t="n">
        <v>44767</v>
      </c>
    </row>
    <row r="351">
      <c r="A351" s="34" t="n">
        <v>44768</v>
      </c>
      <c r="B351" s="266" t="n">
        <v>1.162636041641235</v>
      </c>
      <c r="C351" s="34" t="n">
        <v>44768</v>
      </c>
      <c r="D351" s="15" t="n">
        <v>77</v>
      </c>
      <c r="E351" s="15" t="n">
        <v>119.59</v>
      </c>
      <c r="F351" s="34" t="n">
        <v>44768</v>
      </c>
      <c r="G351" s="15" t="n">
        <v>120.2</v>
      </c>
      <c r="H351" s="15" t="n">
        <v>180.24</v>
      </c>
      <c r="I351" s="34" t="n">
        <v>44768</v>
      </c>
      <c r="J351" s="15" t="n">
        <v>34.7</v>
      </c>
      <c r="K351" s="15" t="n">
        <v>44.49</v>
      </c>
      <c r="L351" s="34" t="n">
        <v>44768</v>
      </c>
      <c r="M351" s="15" t="n">
        <v>82</v>
      </c>
      <c r="N351" s="15" t="n">
        <v>121.56</v>
      </c>
      <c r="O351" s="34" t="n">
        <v>44768</v>
      </c>
    </row>
    <row r="352">
      <c r="A352" s="34" t="n">
        <v>44769</v>
      </c>
      <c r="B352" s="266" t="n">
        <v>1.160446047782898</v>
      </c>
      <c r="C352" s="34" t="n">
        <v>44769</v>
      </c>
      <c r="D352" s="15" t="n">
        <v>75</v>
      </c>
      <c r="E352" s="15" t="n">
        <v>116.2</v>
      </c>
      <c r="F352" s="34" t="n">
        <v>44769</v>
      </c>
      <c r="G352" s="15" t="n">
        <v>117</v>
      </c>
      <c r="H352" s="15" t="n">
        <v>172.66</v>
      </c>
      <c r="I352" s="34" t="n">
        <v>44769</v>
      </c>
      <c r="J352" s="15" t="n">
        <v>34</v>
      </c>
      <c r="K352" s="15" t="n">
        <v>45.67</v>
      </c>
      <c r="L352" s="34" t="n">
        <v>44769</v>
      </c>
      <c r="M352" s="15" t="n">
        <v>81.84999999999999</v>
      </c>
      <c r="N352" s="15" t="n">
        <v>118.75</v>
      </c>
      <c r="O352" s="34" t="n">
        <v>44769</v>
      </c>
    </row>
    <row r="353">
      <c r="A353" s="34" t="n">
        <v>44770</v>
      </c>
      <c r="B353" s="266" t="n">
        <v>1.161301970481873</v>
      </c>
      <c r="C353" s="34" t="n">
        <v>44770</v>
      </c>
      <c r="D353" s="15" t="n">
        <v>53</v>
      </c>
      <c r="E353" s="15" t="n">
        <v>115.09</v>
      </c>
      <c r="F353" s="34" t="n">
        <v>44770</v>
      </c>
      <c r="G353" s="15" t="n">
        <v>113.9</v>
      </c>
      <c r="H353" s="15" t="n">
        <v>172.52</v>
      </c>
      <c r="I353" s="34" t="n">
        <v>44770</v>
      </c>
      <c r="J353" s="15" t="n">
        <v>34.5</v>
      </c>
      <c r="K353" s="15" t="n">
        <v>45.82</v>
      </c>
      <c r="L353" s="34" t="n">
        <v>44770</v>
      </c>
      <c r="M353" s="15" t="n">
        <v>80.59999999999999</v>
      </c>
      <c r="N353" s="15" t="n">
        <v>115.75</v>
      </c>
      <c r="O353" s="34" t="n">
        <v>44770</v>
      </c>
    </row>
    <row r="354">
      <c r="A354" s="34" t="n">
        <v>44771</v>
      </c>
      <c r="B354" s="266" t="n">
        <v>1.163324952125549</v>
      </c>
      <c r="C354" s="34" t="n">
        <v>44771</v>
      </c>
      <c r="D354" s="15" t="n">
        <v>50.6</v>
      </c>
      <c r="E354" s="15" t="n">
        <v>110.74</v>
      </c>
      <c r="F354" s="34" t="n">
        <v>44771</v>
      </c>
      <c r="G354" s="15" t="n">
        <v>107.2</v>
      </c>
      <c r="H354" s="15" t="n">
        <v>164.9</v>
      </c>
      <c r="I354" s="34" t="n">
        <v>44771</v>
      </c>
      <c r="J354" s="15" t="n">
        <v>34.15</v>
      </c>
      <c r="K354" s="15" t="n">
        <v>46.33</v>
      </c>
      <c r="L354" s="34" t="n">
        <v>44771</v>
      </c>
      <c r="M354" s="15" t="n">
        <v>80</v>
      </c>
      <c r="N354" s="15" t="n">
        <v>115.5</v>
      </c>
      <c r="O354" s="34" t="n">
        <v>44771</v>
      </c>
    </row>
    <row r="355">
      <c r="A355" s="34" t="n">
        <v>44774</v>
      </c>
      <c r="B355" s="266" t="n">
        <v>1.162269949913025</v>
      </c>
      <c r="C355" s="34" t="n">
        <v>44774</v>
      </c>
      <c r="D355" s="15" t="n">
        <v>51.3</v>
      </c>
      <c r="E355" s="15" t="n">
        <v>111.75</v>
      </c>
      <c r="F355" s="34" t="n">
        <v>44774</v>
      </c>
      <c r="G355" s="15" t="n">
        <v>106.4</v>
      </c>
      <c r="H355" s="15" t="n">
        <v>163.86</v>
      </c>
      <c r="I355" s="34" t="n">
        <v>44774</v>
      </c>
      <c r="J355" s="15" t="n">
        <v>34.05</v>
      </c>
      <c r="K355" s="15" t="n">
        <v>45.45</v>
      </c>
      <c r="L355" s="34" t="n">
        <v>44774</v>
      </c>
      <c r="M355" s="15" t="n">
        <v>79.84999999999999</v>
      </c>
      <c r="N355" s="15" t="n">
        <v>117.65</v>
      </c>
      <c r="O355" s="34" t="n">
        <v>44774</v>
      </c>
    </row>
    <row r="356">
      <c r="A356" s="34" t="n">
        <v>44775</v>
      </c>
      <c r="B356" s="266" t="n">
        <v>1.159325957298279</v>
      </c>
      <c r="C356" s="34" t="n">
        <v>44775</v>
      </c>
      <c r="D356" s="15" t="n">
        <v>48.3</v>
      </c>
      <c r="E356" s="15" t="n">
        <v>115.12</v>
      </c>
      <c r="F356" s="34" t="n">
        <v>44775</v>
      </c>
      <c r="G356" s="15" t="n">
        <v>104</v>
      </c>
      <c r="H356" s="15" t="n">
        <v>158.4</v>
      </c>
      <c r="I356" s="34" t="n">
        <v>44775</v>
      </c>
      <c r="J356" s="15" t="n">
        <v>33.3</v>
      </c>
      <c r="K356" s="15" t="n">
        <v>43.82</v>
      </c>
      <c r="L356" s="34" t="n">
        <v>44775</v>
      </c>
      <c r="M356" s="15" t="n">
        <v>77.3</v>
      </c>
      <c r="N356" s="15" t="n">
        <v>111.85</v>
      </c>
      <c r="O356" s="34" t="n">
        <v>44775</v>
      </c>
    </row>
    <row r="357">
      <c r="A357" s="34" t="n">
        <v>44776</v>
      </c>
      <c r="B357" s="266" t="n">
        <v>1.162142992019653</v>
      </c>
      <c r="C357" s="34" t="n">
        <v>44776</v>
      </c>
      <c r="D357" s="15" t="n">
        <v>48.8</v>
      </c>
      <c r="E357" s="15" t="n">
        <v>111.5</v>
      </c>
      <c r="F357" s="34" t="n">
        <v>44776</v>
      </c>
      <c r="G357" s="15" t="n">
        <v>103</v>
      </c>
      <c r="H357" s="15" t="n">
        <v>159.1</v>
      </c>
      <c r="I357" s="34" t="n">
        <v>44776</v>
      </c>
      <c r="J357" s="15" t="n">
        <v>33.3</v>
      </c>
      <c r="K357" s="15" t="n">
        <v>43.15</v>
      </c>
      <c r="L357" s="34" t="n">
        <v>44776</v>
      </c>
      <c r="M357" s="15" t="n">
        <v>79</v>
      </c>
      <c r="N357" s="15" t="n">
        <v>109.8</v>
      </c>
      <c r="O357" s="34" t="n">
        <v>44776</v>
      </c>
    </row>
    <row r="358">
      <c r="A358" s="34" t="n">
        <v>44777</v>
      </c>
      <c r="B358" s="266" t="n">
        <v>1.161054015159607</v>
      </c>
      <c r="C358" s="34" t="n">
        <v>44777</v>
      </c>
      <c r="D358" s="15" t="n">
        <v>51.3</v>
      </c>
      <c r="E358" s="15" t="n">
        <v>118.11</v>
      </c>
      <c r="F358" s="34" t="n">
        <v>44777</v>
      </c>
      <c r="G358" s="15" t="n">
        <v>112.8</v>
      </c>
      <c r="H358" s="15" t="n">
        <v>173.8</v>
      </c>
      <c r="I358" s="34" t="n">
        <v>44777</v>
      </c>
      <c r="J358" s="15" t="n">
        <v>33.45</v>
      </c>
      <c r="K358" s="15" t="n">
        <v>43.32</v>
      </c>
      <c r="L358" s="34" t="n">
        <v>44777</v>
      </c>
      <c r="M358" s="15" t="n">
        <v>79.5</v>
      </c>
      <c r="N358" s="15" t="n">
        <v>113.4</v>
      </c>
      <c r="O358" s="34" t="n">
        <v>44777</v>
      </c>
    </row>
    <row r="359">
      <c r="A359" s="34" t="n">
        <v>44778</v>
      </c>
      <c r="B359" s="266" t="n">
        <v>1.163038015365601</v>
      </c>
      <c r="C359" s="34" t="n">
        <v>44778</v>
      </c>
      <c r="D359" s="15" t="n">
        <v>51.1</v>
      </c>
      <c r="E359" s="15" t="n">
        <v>119.72</v>
      </c>
      <c r="F359" s="34" t="n">
        <v>44778</v>
      </c>
      <c r="G359" s="15" t="n">
        <v>115</v>
      </c>
      <c r="H359" s="15" t="n">
        <v>173.22</v>
      </c>
      <c r="I359" s="34" t="n">
        <v>44778</v>
      </c>
      <c r="J359" s="15" t="n">
        <v>33.5</v>
      </c>
      <c r="K359" s="15" t="n">
        <v>42.49</v>
      </c>
      <c r="L359" s="34" t="n">
        <v>44778</v>
      </c>
      <c r="M359" s="15" t="n">
        <v>80.5</v>
      </c>
      <c r="N359" s="15" t="n">
        <v>116.88</v>
      </c>
      <c r="O359" s="34" t="n">
        <v>44778</v>
      </c>
    </row>
    <row r="360">
      <c r="A360" s="34" t="n">
        <v>44781</v>
      </c>
      <c r="B360" s="266" t="n">
        <v>1.157068967819214</v>
      </c>
      <c r="C360" s="34" t="n">
        <v>44781</v>
      </c>
      <c r="D360" s="15" t="n">
        <v>50.15</v>
      </c>
      <c r="E360" s="15" t="n">
        <v>82.09999999999999</v>
      </c>
      <c r="F360" s="34" t="n">
        <v>44781</v>
      </c>
      <c r="G360" s="15" t="n">
        <v>113.3</v>
      </c>
      <c r="H360" s="15" t="n">
        <v>174.99</v>
      </c>
      <c r="I360" s="34" t="n">
        <v>44781</v>
      </c>
      <c r="J360" s="15" t="n">
        <v>33.1</v>
      </c>
      <c r="K360" s="15" t="n">
        <v>42.26</v>
      </c>
      <c r="L360" s="34" t="n">
        <v>44781</v>
      </c>
      <c r="M360" s="15" t="n">
        <v>80.7</v>
      </c>
      <c r="N360" s="15" t="n">
        <v>118.19</v>
      </c>
      <c r="O360" s="34" t="n">
        <v>44781</v>
      </c>
    </row>
    <row r="361">
      <c r="A361" s="34" t="n">
        <v>44782</v>
      </c>
      <c r="B361" s="266" t="n">
        <v>1.162580013275146</v>
      </c>
      <c r="C361" s="34" t="n">
        <v>44782</v>
      </c>
      <c r="D361" s="15" t="n">
        <v>48.25</v>
      </c>
      <c r="E361" s="15" t="n">
        <v>78.29000000000001</v>
      </c>
      <c r="F361" s="34" t="n">
        <v>44782</v>
      </c>
      <c r="G361" s="15" t="n">
        <v>114.9</v>
      </c>
      <c r="H361" s="15" t="n">
        <v>175.67</v>
      </c>
      <c r="I361" s="34" t="n">
        <v>44782</v>
      </c>
      <c r="J361" s="15" t="n">
        <v>33.2</v>
      </c>
      <c r="K361" s="15" t="n">
        <v>42.83</v>
      </c>
      <c r="L361" s="34" t="n">
        <v>44782</v>
      </c>
      <c r="M361" s="15" t="n">
        <v>85.05</v>
      </c>
      <c r="N361" s="15" t="n">
        <v>119.45</v>
      </c>
      <c r="O361" s="34" t="n">
        <v>44782</v>
      </c>
    </row>
    <row r="362">
      <c r="A362" s="34" t="n">
        <v>44783</v>
      </c>
      <c r="B362" s="266" t="n">
        <v>1.162145972251892</v>
      </c>
      <c r="C362" s="34" t="n">
        <v>44783</v>
      </c>
      <c r="D362" s="15" t="n">
        <v>45.35</v>
      </c>
      <c r="E362" s="15" t="n">
        <v>75.90000000000001</v>
      </c>
      <c r="F362" s="34" t="n">
        <v>44783</v>
      </c>
      <c r="G362" s="15" t="n">
        <v>110.4</v>
      </c>
      <c r="H362" s="15" t="n">
        <v>170.1</v>
      </c>
      <c r="I362" s="34" t="n">
        <v>44783</v>
      </c>
      <c r="J362" s="15" t="n">
        <v>33.7</v>
      </c>
      <c r="K362" s="15" t="n">
        <v>43.93</v>
      </c>
      <c r="L362" s="34" t="n">
        <v>44783</v>
      </c>
      <c r="M362" s="15" t="n">
        <v>85.8</v>
      </c>
      <c r="N362" s="15" t="n">
        <v>117.78</v>
      </c>
      <c r="O362" s="34" t="n">
        <v>44783</v>
      </c>
    </row>
    <row r="363">
      <c r="A363" s="34" t="n">
        <v>44784</v>
      </c>
      <c r="B363" s="266" t="n">
        <v>1.1664719581604</v>
      </c>
      <c r="C363" s="34" t="n">
        <v>44784</v>
      </c>
      <c r="D363" s="15" t="n">
        <v>47.2</v>
      </c>
      <c r="E363" s="15" t="n">
        <v>81.34</v>
      </c>
      <c r="F363" s="34" t="n">
        <v>44784</v>
      </c>
      <c r="G363" s="15" t="n">
        <v>117.4</v>
      </c>
      <c r="H363" s="15" t="n">
        <v>178.29</v>
      </c>
      <c r="I363" s="34" t="n">
        <v>44784</v>
      </c>
      <c r="J363" s="15" t="n">
        <v>33.95</v>
      </c>
      <c r="K363" s="15" t="n">
        <v>43.2</v>
      </c>
      <c r="L363" s="34" t="n">
        <v>44784</v>
      </c>
      <c r="M363" s="15" t="n">
        <v>85.55</v>
      </c>
      <c r="N363" s="15" t="n">
        <v>117.5</v>
      </c>
      <c r="O363" s="34" t="n">
        <v>44784</v>
      </c>
    </row>
    <row r="364">
      <c r="A364" s="34" t="n">
        <v>44785</v>
      </c>
      <c r="B364" s="266" t="n">
        <v>1.163048028945923</v>
      </c>
      <c r="C364" s="34" t="n">
        <v>44785</v>
      </c>
      <c r="D364" s="15" t="n">
        <v>47.05</v>
      </c>
      <c r="E364" s="15" t="n">
        <v>80.25</v>
      </c>
      <c r="F364" s="34" t="n">
        <v>44785</v>
      </c>
      <c r="G364" s="15" t="n">
        <v>117.3</v>
      </c>
      <c r="H364" s="15" t="n">
        <v>181.27</v>
      </c>
      <c r="I364" s="34" t="n">
        <v>44785</v>
      </c>
      <c r="J364" s="15" t="n">
        <v>33.15</v>
      </c>
      <c r="K364" s="15" t="n">
        <v>42.55</v>
      </c>
      <c r="L364" s="34" t="n">
        <v>44785</v>
      </c>
      <c r="M364" s="15" t="n">
        <v>85.25</v>
      </c>
      <c r="N364" s="15" t="n">
        <v>115.11</v>
      </c>
      <c r="O364" s="34" t="n">
        <v>44785</v>
      </c>
    </row>
    <row r="365">
      <c r="A365" s="34" t="n">
        <v>44788</v>
      </c>
      <c r="B365" s="266" t="n">
        <v>1.161870002746582</v>
      </c>
      <c r="C365" s="34" t="n">
        <v>44788</v>
      </c>
      <c r="D365" s="15" t="n">
        <v>47.25</v>
      </c>
      <c r="E365" s="15" t="n">
        <v>79.70999999999999</v>
      </c>
      <c r="F365" s="34" t="n">
        <v>44788</v>
      </c>
      <c r="G365" s="15" t="n">
        <v>120</v>
      </c>
      <c r="H365" s="15" t="n">
        <v>176.32</v>
      </c>
      <c r="I365" s="34" t="n">
        <v>44788</v>
      </c>
      <c r="J365" s="15" t="n">
        <v>33.55</v>
      </c>
      <c r="K365" s="15" t="n">
        <v>44.16</v>
      </c>
      <c r="L365" s="34" t="n">
        <v>44788</v>
      </c>
      <c r="M365" s="15" t="n">
        <v>88.05</v>
      </c>
      <c r="N365" s="15" t="n">
        <v>120.09</v>
      </c>
      <c r="O365" s="34" t="n">
        <v>44788</v>
      </c>
    </row>
    <row r="366">
      <c r="A366" s="34" t="n">
        <v>44789</v>
      </c>
      <c r="B366" s="266" t="n">
        <v>1.157011985778809</v>
      </c>
      <c r="C366" s="34" t="n">
        <v>44789</v>
      </c>
      <c r="D366" s="15" t="n">
        <v>48.4</v>
      </c>
      <c r="E366" s="15" t="n">
        <v>81.7</v>
      </c>
      <c r="F366" s="34" t="n">
        <v>44789</v>
      </c>
      <c r="G366" s="15" t="n">
        <v>119.7</v>
      </c>
      <c r="H366" s="15" t="n">
        <v>175.47</v>
      </c>
      <c r="I366" s="34" t="n">
        <v>44789</v>
      </c>
      <c r="J366" s="15" t="n">
        <v>33.65</v>
      </c>
      <c r="K366" s="15" t="n">
        <v>41.72</v>
      </c>
      <c r="L366" s="34" t="n">
        <v>44789</v>
      </c>
      <c r="M366" s="15" t="n">
        <v>87.3</v>
      </c>
      <c r="N366" s="15" t="n">
        <v>116.68</v>
      </c>
      <c r="O366" s="34" t="n">
        <v>44789</v>
      </c>
    </row>
    <row r="367">
      <c r="A367" s="34" t="n">
        <v>44790</v>
      </c>
      <c r="B367" s="266" t="n">
        <v>1.154489040374756</v>
      </c>
      <c r="C367" s="34" t="n">
        <v>44790</v>
      </c>
      <c r="D367" s="15" t="n">
        <v>49.3</v>
      </c>
      <c r="E367" s="15" t="n">
        <v>82.47</v>
      </c>
      <c r="F367" s="34" t="n">
        <v>44790</v>
      </c>
      <c r="G367" s="15" t="n">
        <v>118</v>
      </c>
      <c r="H367" s="15" t="n">
        <v>178.35</v>
      </c>
      <c r="I367" s="34" t="n">
        <v>44790</v>
      </c>
      <c r="J367" s="15" t="n">
        <v>33.3</v>
      </c>
      <c r="K367" s="15" t="n">
        <v>41.01</v>
      </c>
      <c r="L367" s="34" t="n">
        <v>44790</v>
      </c>
      <c r="M367" s="15" t="n">
        <v>86.95</v>
      </c>
      <c r="N367" s="15" t="n">
        <v>114.97</v>
      </c>
      <c r="O367" s="34" t="n">
        <v>44790</v>
      </c>
    </row>
    <row r="368">
      <c r="A368" s="34" t="n">
        <v>44791</v>
      </c>
      <c r="B368" s="266" t="n">
        <v>1.156353950500488</v>
      </c>
      <c r="C368" s="34" t="n">
        <v>44791</v>
      </c>
      <c r="D368" s="15" t="n">
        <v>47.85</v>
      </c>
      <c r="E368" s="15" t="n">
        <v>80.98</v>
      </c>
      <c r="F368" s="34" t="n">
        <v>44791</v>
      </c>
      <c r="G368" s="15" t="n">
        <v>115.1</v>
      </c>
      <c r="H368" s="15" t="n">
        <v>174.43</v>
      </c>
      <c r="I368" s="34" t="n">
        <v>44791</v>
      </c>
      <c r="J368" s="15" t="n">
        <v>33.5</v>
      </c>
      <c r="K368" s="15" t="n">
        <v>41.68</v>
      </c>
      <c r="L368" s="34" t="n">
        <v>44791</v>
      </c>
      <c r="M368" s="15" t="n">
        <v>83.84999999999999</v>
      </c>
      <c r="N368" s="15" t="n">
        <v>113.92</v>
      </c>
      <c r="O368" s="34" t="n">
        <v>44791</v>
      </c>
    </row>
    <row r="369">
      <c r="A369" s="34" t="n">
        <v>44792</v>
      </c>
      <c r="B369" s="266" t="n">
        <v>1.156412959098816</v>
      </c>
      <c r="C369" s="34" t="n">
        <v>44792</v>
      </c>
      <c r="D369" s="15" t="n">
        <v>46.7</v>
      </c>
      <c r="E369" s="15" t="n">
        <v>80.09</v>
      </c>
      <c r="F369" s="34" t="n">
        <v>44792</v>
      </c>
      <c r="G369" s="15" t="n">
        <v>115</v>
      </c>
      <c r="H369" s="15" t="n">
        <v>171.76</v>
      </c>
      <c r="I369" s="34" t="n">
        <v>44792</v>
      </c>
      <c r="J369" s="15" t="n">
        <v>32.35</v>
      </c>
      <c r="K369" s="15" t="n">
        <v>39.7</v>
      </c>
      <c r="L369" s="34" t="n">
        <v>44792</v>
      </c>
      <c r="M369" s="15" t="n">
        <v>81</v>
      </c>
      <c r="N369" s="15" t="n">
        <v>109.2</v>
      </c>
      <c r="O369" s="34" t="n">
        <v>44792</v>
      </c>
    </row>
    <row r="370">
      <c r="A370" s="34" t="n">
        <v>44795</v>
      </c>
      <c r="B370" s="266" t="n">
        <v>1.150079965591431</v>
      </c>
      <c r="C370" s="34" t="n">
        <v>44795</v>
      </c>
      <c r="D370" s="15" t="n">
        <v>48.3</v>
      </c>
      <c r="E370" s="15" t="n">
        <v>80.42</v>
      </c>
      <c r="F370" s="34" t="n">
        <v>44795</v>
      </c>
      <c r="G370" s="15" t="n">
        <v>114.6</v>
      </c>
      <c r="H370" s="15" t="n">
        <v>174.3</v>
      </c>
      <c r="I370" s="34" t="n">
        <v>44795</v>
      </c>
      <c r="J370" s="15" t="n">
        <v>31.9</v>
      </c>
      <c r="K370" s="15" t="n">
        <v>41.08</v>
      </c>
      <c r="L370" s="34" t="n">
        <v>44795</v>
      </c>
      <c r="M370" s="15" t="n">
        <v>84.40000000000001</v>
      </c>
      <c r="N370" s="15" t="n">
        <v>120.12</v>
      </c>
      <c r="O370" s="34" t="n">
        <v>44795</v>
      </c>
    </row>
    <row r="371">
      <c r="A371" s="34" t="n">
        <v>44796</v>
      </c>
      <c r="B371" s="266" t="n">
        <v>1.145777940750122</v>
      </c>
      <c r="C371" s="34" t="n">
        <v>44796</v>
      </c>
      <c r="D371" s="15" t="n">
        <v>45.7</v>
      </c>
      <c r="E371" s="15" t="n">
        <v>79.34</v>
      </c>
      <c r="F371" s="34" t="n">
        <v>44796</v>
      </c>
      <c r="G371" s="15" t="n">
        <v>110.3</v>
      </c>
      <c r="H371" s="15" t="n">
        <v>167.98</v>
      </c>
      <c r="I371" s="34" t="n">
        <v>44796</v>
      </c>
      <c r="J371" s="15" t="n">
        <v>31.8</v>
      </c>
      <c r="K371" s="15" t="n">
        <v>40.58</v>
      </c>
      <c r="L371" s="34" t="n">
        <v>44796</v>
      </c>
      <c r="M371" s="15" t="n">
        <v>85.59999999999999</v>
      </c>
      <c r="N371" s="15" t="n">
        <v>121.07</v>
      </c>
      <c r="O371" s="34" t="n">
        <v>44796</v>
      </c>
    </row>
    <row r="372">
      <c r="A372" s="34" t="n">
        <v>44797</v>
      </c>
      <c r="B372" s="266" t="n">
        <v>1.148229956626892</v>
      </c>
      <c r="C372" s="34" t="n">
        <v>44797</v>
      </c>
      <c r="D372" s="15" t="n">
        <v>44.2</v>
      </c>
      <c r="E372" s="15" t="n">
        <v>78.89</v>
      </c>
      <c r="F372" s="34" t="n">
        <v>44797</v>
      </c>
      <c r="G372" s="15" t="n">
        <v>109.1</v>
      </c>
      <c r="H372" s="15" t="n">
        <v>166.32</v>
      </c>
      <c r="I372" s="34" t="n">
        <v>44797</v>
      </c>
      <c r="J372" s="15" t="n">
        <v>32.15</v>
      </c>
      <c r="K372" s="15" t="n">
        <v>38.25</v>
      </c>
      <c r="L372" s="34" t="n">
        <v>44797</v>
      </c>
      <c r="M372" s="15" t="n">
        <v>82.05</v>
      </c>
      <c r="N372" s="15" t="n">
        <v>119.13</v>
      </c>
      <c r="O372" s="34" t="n">
        <v>44797</v>
      </c>
    </row>
    <row r="373">
      <c r="A373" s="34" t="n">
        <v>44798</v>
      </c>
      <c r="B373" s="266" t="n">
        <v>1.143164038658142</v>
      </c>
      <c r="C373" s="34" t="n">
        <v>44798</v>
      </c>
      <c r="D373" s="15" t="n">
        <v>43.8</v>
      </c>
      <c r="E373" s="15" t="n">
        <v>80</v>
      </c>
      <c r="F373" s="34" t="n">
        <v>44798</v>
      </c>
      <c r="G373" s="15" t="n">
        <v>110.9</v>
      </c>
      <c r="H373" s="15" t="n">
        <v>167.66</v>
      </c>
      <c r="I373" s="34" t="n">
        <v>44798</v>
      </c>
      <c r="J373" s="15" t="n">
        <v>32</v>
      </c>
      <c r="K373" s="15" t="n">
        <v>38.18</v>
      </c>
      <c r="L373" s="34" t="n">
        <v>44798</v>
      </c>
      <c r="M373" s="15" t="n">
        <v>81.34999999999999</v>
      </c>
      <c r="N373" s="15" t="n">
        <v>112.47</v>
      </c>
      <c r="O373" s="34" t="n">
        <v>44798</v>
      </c>
      <c r="P373" s="15" t="n">
        <v>158</v>
      </c>
      <c r="Q373" s="15" t="n">
        <v>192.82</v>
      </c>
      <c r="R373" s="34" t="n">
        <v>44798</v>
      </c>
    </row>
    <row r="374">
      <c r="A374" s="34" t="n">
        <v>44799</v>
      </c>
      <c r="B374" s="266" t="n">
        <v>1.145529985427856</v>
      </c>
      <c r="C374" s="34" t="n">
        <v>44799</v>
      </c>
      <c r="D374" s="15" t="n">
        <v>45.55</v>
      </c>
      <c r="E374" s="15" t="n">
        <v>80</v>
      </c>
      <c r="F374" s="34" t="n">
        <v>44799</v>
      </c>
      <c r="G374" s="15" t="n">
        <v>110.4</v>
      </c>
      <c r="H374" s="15" t="n">
        <v>171.2</v>
      </c>
      <c r="I374" s="34" t="n">
        <v>44799</v>
      </c>
      <c r="J374" s="15" t="n">
        <v>32.05</v>
      </c>
      <c r="K374" s="15" t="n">
        <v>38.49</v>
      </c>
      <c r="L374" s="34" t="n">
        <v>44799</v>
      </c>
      <c r="M374" s="15" t="n">
        <v>83.15000000000001</v>
      </c>
      <c r="N374" s="15" t="n">
        <v>115.51</v>
      </c>
      <c r="O374" s="34" t="n">
        <v>44799</v>
      </c>
      <c r="P374" s="15" t="n">
        <v>164.4</v>
      </c>
      <c r="Q374" s="15" t="n">
        <v>192.41</v>
      </c>
      <c r="R374" s="34" t="n">
        <v>44799</v>
      </c>
    </row>
    <row r="375">
      <c r="A375" s="34" t="n">
        <v>44802</v>
      </c>
      <c r="B375" s="266" t="n">
        <v>1.136988997459412</v>
      </c>
      <c r="C375" s="34" t="n">
        <v>44802</v>
      </c>
      <c r="D375" s="15" t="n">
        <v>43.8</v>
      </c>
      <c r="E375" s="15" t="n">
        <v>78.75</v>
      </c>
      <c r="F375" s="34" t="n">
        <v>44802</v>
      </c>
      <c r="G375" s="15" t="n">
        <v>104.9</v>
      </c>
      <c r="H375" s="15" t="n">
        <v>162.51</v>
      </c>
      <c r="I375" s="34" t="n">
        <v>44802</v>
      </c>
      <c r="J375" s="15" t="n">
        <v>30.9</v>
      </c>
      <c r="K375" s="15" t="n">
        <v>38.35</v>
      </c>
      <c r="L375" s="34" t="n">
        <v>44802</v>
      </c>
      <c r="M375" s="15" t="n">
        <v>85</v>
      </c>
      <c r="N375" s="15" t="n">
        <v>116.05</v>
      </c>
      <c r="O375" s="34" t="n">
        <v>44802</v>
      </c>
      <c r="P375" s="15" t="n">
        <v>173.8</v>
      </c>
      <c r="Q375" s="15" t="n">
        <v>192.25</v>
      </c>
      <c r="R375" s="34" t="n">
        <v>44802</v>
      </c>
    </row>
    <row r="376">
      <c r="A376" s="34" t="n">
        <v>44803</v>
      </c>
      <c r="B376" s="266" t="n">
        <v>1.135977983474731</v>
      </c>
      <c r="C376" s="34" t="n">
        <v>44803</v>
      </c>
      <c r="D376" s="15" t="n">
        <v>42.65</v>
      </c>
      <c r="E376" s="15" t="n">
        <v>77.90000000000001</v>
      </c>
      <c r="F376" s="34" t="n">
        <v>44803</v>
      </c>
      <c r="G376" s="15" t="n">
        <v>104.1</v>
      </c>
      <c r="H376" s="15" t="n">
        <v>164.09</v>
      </c>
      <c r="I376" s="34" t="n">
        <v>44803</v>
      </c>
      <c r="J376" s="15" t="n">
        <v>30.05</v>
      </c>
      <c r="K376" s="15" t="n">
        <v>38.32</v>
      </c>
      <c r="L376" s="34" t="n">
        <v>44803</v>
      </c>
      <c r="M376" s="15" t="n">
        <v>84.5</v>
      </c>
      <c r="N376" s="15" t="n">
        <v>115.63</v>
      </c>
      <c r="O376" s="34" t="n">
        <v>44803</v>
      </c>
      <c r="P376" s="15" t="n">
        <v>170</v>
      </c>
      <c r="Q376" s="15" t="n">
        <v>190.4</v>
      </c>
      <c r="R376" s="34" t="n">
        <v>44803</v>
      </c>
    </row>
    <row r="377">
      <c r="A377" s="34" t="n">
        <v>44804</v>
      </c>
      <c r="B377" s="266" t="n">
        <v>1.135614037513733</v>
      </c>
      <c r="C377" s="34" t="n">
        <v>44804</v>
      </c>
      <c r="D377" s="15" t="n">
        <v>42</v>
      </c>
      <c r="E377" s="15" t="n">
        <v>77.93000000000001</v>
      </c>
      <c r="F377" s="34" t="n">
        <v>44804</v>
      </c>
      <c r="G377" s="15" t="n">
        <v>108.1</v>
      </c>
      <c r="H377" s="15" t="n">
        <v>171.55</v>
      </c>
      <c r="I377" s="34" t="n">
        <v>44804</v>
      </c>
      <c r="J377" s="15" t="n">
        <v>29.35</v>
      </c>
      <c r="K377" s="15" t="n">
        <v>37.17</v>
      </c>
      <c r="L377" s="34" t="n">
        <v>44804</v>
      </c>
      <c r="M377" s="15" t="n">
        <v>82.2</v>
      </c>
      <c r="N377" s="15" t="n">
        <v>114.24</v>
      </c>
      <c r="O377" s="34" t="n">
        <v>44804</v>
      </c>
      <c r="P377" s="15" t="n">
        <v>182</v>
      </c>
      <c r="Q377" s="15" t="n">
        <v>195.5</v>
      </c>
      <c r="R377" s="34" t="n">
        <v>44804</v>
      </c>
    </row>
    <row r="378">
      <c r="A378" s="34" t="n">
        <v>44805</v>
      </c>
      <c r="B378" s="266" t="n">
        <v>1.138682007789612</v>
      </c>
      <c r="C378" s="34" t="n">
        <v>44805</v>
      </c>
      <c r="D378" s="15" t="n">
        <v>41.3</v>
      </c>
      <c r="E378" s="15" t="n">
        <v>73.34999999999999</v>
      </c>
      <c r="F378" s="34" t="n">
        <v>44805</v>
      </c>
      <c r="G378" s="15" t="n">
        <v>106.8</v>
      </c>
      <c r="H378" s="15" t="n">
        <v>170.32</v>
      </c>
      <c r="I378" s="34" t="n">
        <v>44805</v>
      </c>
      <c r="J378" s="15" t="n">
        <v>29.15</v>
      </c>
      <c r="K378" s="15" t="n">
        <v>36.62</v>
      </c>
      <c r="L378" s="34" t="n">
        <v>44805</v>
      </c>
      <c r="M378" s="15" t="n">
        <v>80</v>
      </c>
      <c r="N378" s="15" t="n">
        <v>107.92</v>
      </c>
      <c r="O378" s="34" t="n">
        <v>44805</v>
      </c>
      <c r="P378" s="15" t="n">
        <v>171</v>
      </c>
      <c r="Q378" s="15" t="n">
        <v>186.8</v>
      </c>
      <c r="R378" s="34" t="n">
        <v>44805</v>
      </c>
      <c r="S378" s="15" t="n">
        <v>26</v>
      </c>
    </row>
    <row r="379">
      <c r="A379" s="34" t="n">
        <v>44806</v>
      </c>
      <c r="B379" s="266" t="n">
        <v>1.136086940765381</v>
      </c>
      <c r="C379" s="34" t="n">
        <v>44806</v>
      </c>
      <c r="D379" s="15" t="n">
        <v>39.8</v>
      </c>
      <c r="E379" s="15" t="n">
        <v>69.68000000000001</v>
      </c>
      <c r="F379" s="34" t="n">
        <v>44806</v>
      </c>
      <c r="G379" s="15" t="n">
        <v>104.2</v>
      </c>
      <c r="H379" s="15" t="n">
        <v>164.79</v>
      </c>
      <c r="I379" s="34" t="n">
        <v>44806</v>
      </c>
      <c r="J379" s="15" t="n">
        <v>28.15</v>
      </c>
      <c r="K379" s="15" t="n">
        <v>37.44</v>
      </c>
      <c r="L379" s="34" t="n">
        <v>44806</v>
      </c>
      <c r="M379" s="15" t="n">
        <v>78.34999999999999</v>
      </c>
      <c r="N379" s="15" t="n">
        <v>105.22</v>
      </c>
      <c r="O379" s="34" t="n">
        <v>44806</v>
      </c>
      <c r="P379" s="15" t="n">
        <v>170.5</v>
      </c>
      <c r="Q379" s="15" t="n">
        <v>180.31</v>
      </c>
      <c r="R379" s="34" t="n">
        <v>44806</v>
      </c>
      <c r="S379" s="15" t="n">
        <v>27.1</v>
      </c>
    </row>
    <row r="380">
      <c r="A380" s="34" t="n">
        <v>44809</v>
      </c>
      <c r="B380" s="266" t="n">
        <v>1.132429003715515</v>
      </c>
      <c r="C380" s="34" t="n">
        <v>44809</v>
      </c>
      <c r="D380" s="15" t="n">
        <v>39.55</v>
      </c>
      <c r="E380" s="15" t="n">
        <v>68.7</v>
      </c>
      <c r="F380" s="34" t="n">
        <v>44809</v>
      </c>
      <c r="G380" s="15" t="n">
        <v>100.5</v>
      </c>
      <c r="H380" s="15" t="n">
        <v>161.79</v>
      </c>
      <c r="I380" s="34" t="n">
        <v>44809</v>
      </c>
      <c r="J380" s="15" t="n">
        <v>27.65</v>
      </c>
      <c r="K380" s="15" t="n">
        <v>36.85</v>
      </c>
      <c r="L380" s="34" t="n">
        <v>44809</v>
      </c>
      <c r="M380" s="15" t="n">
        <v>77.25</v>
      </c>
      <c r="N380" s="15" t="n">
        <v>105.5</v>
      </c>
      <c r="O380" s="34" t="n">
        <v>44809</v>
      </c>
      <c r="P380" s="15" t="n">
        <v>172</v>
      </c>
      <c r="Q380" s="15" t="n">
        <v>180.1</v>
      </c>
      <c r="R380" s="34" t="n">
        <v>44809</v>
      </c>
      <c r="S380" s="15" t="n">
        <v>25.2</v>
      </c>
    </row>
    <row r="381">
      <c r="A381" s="34" t="n">
        <v>44810</v>
      </c>
      <c r="B381" s="266" t="n">
        <v>1.13170599937439</v>
      </c>
      <c r="C381" s="34" t="n">
        <v>44810</v>
      </c>
      <c r="D381" s="15" t="n">
        <v>39.5</v>
      </c>
      <c r="E381" s="15" t="n">
        <v>68.67</v>
      </c>
      <c r="F381" s="34" t="n">
        <v>44810</v>
      </c>
      <c r="G381" s="15" t="n">
        <v>102.2</v>
      </c>
      <c r="H381" s="15" t="n">
        <v>165</v>
      </c>
      <c r="I381" s="34" t="n">
        <v>44810</v>
      </c>
      <c r="J381" s="15" t="n">
        <v>29.4</v>
      </c>
      <c r="K381" s="15" t="n">
        <v>38.15</v>
      </c>
      <c r="L381" s="34" t="n">
        <v>44810</v>
      </c>
      <c r="M381" s="15" t="n">
        <v>81.15000000000001</v>
      </c>
      <c r="N381" s="15" t="n">
        <v>110.77</v>
      </c>
      <c r="O381" s="34" t="n">
        <v>44810</v>
      </c>
      <c r="P381" s="15" t="n">
        <v>171</v>
      </c>
      <c r="Q381" s="15" t="n">
        <v>182.72</v>
      </c>
      <c r="R381" s="34" t="n">
        <v>44810</v>
      </c>
      <c r="S381" s="15" t="n">
        <v>26</v>
      </c>
    </row>
    <row r="382">
      <c r="A382" s="34" t="n">
        <v>44811</v>
      </c>
      <c r="B382" s="266" t="n">
        <v>1.128731966018677</v>
      </c>
      <c r="C382" s="34" t="n">
        <v>44811</v>
      </c>
      <c r="D382" s="15" t="n">
        <v>38.4</v>
      </c>
      <c r="E382" s="15" t="n">
        <v>67</v>
      </c>
      <c r="F382" s="34" t="n">
        <v>44811</v>
      </c>
      <c r="G382" s="15" t="n">
        <v>103.6</v>
      </c>
      <c r="H382" s="15" t="n">
        <v>168.5</v>
      </c>
      <c r="I382" s="34" t="n">
        <v>44811</v>
      </c>
      <c r="J382" s="15" t="n">
        <v>30.95</v>
      </c>
      <c r="K382" s="15" t="n">
        <v>38.61</v>
      </c>
      <c r="L382" s="34" t="n">
        <v>44811</v>
      </c>
      <c r="M382" s="15" t="n">
        <v>81.65000000000001</v>
      </c>
      <c r="N382" s="15" t="n">
        <v>109.51</v>
      </c>
      <c r="O382" s="34" t="n">
        <v>44811</v>
      </c>
      <c r="P382" s="15" t="n">
        <v>170.6</v>
      </c>
      <c r="Q382" s="15" t="n">
        <v>183.95</v>
      </c>
      <c r="R382" s="34" t="n">
        <v>44811</v>
      </c>
      <c r="S382" s="15" t="n">
        <v>25.65</v>
      </c>
    </row>
    <row r="383">
      <c r="A383" s="34" t="n">
        <v>44812</v>
      </c>
      <c r="B383" s="266" t="n">
        <v>1.126878976821899</v>
      </c>
      <c r="C383" s="34" t="n">
        <v>44812</v>
      </c>
      <c r="D383" s="15" t="n">
        <v>38.7</v>
      </c>
      <c r="E383" s="15" t="n">
        <v>65.45999999999999</v>
      </c>
      <c r="F383" s="34" t="n">
        <v>44812</v>
      </c>
      <c r="G383" s="15" t="n">
        <v>100.4</v>
      </c>
      <c r="H383" s="15" t="n">
        <v>167.68</v>
      </c>
      <c r="I383" s="34" t="n">
        <v>44812</v>
      </c>
      <c r="J383" s="15" t="n">
        <v>30.65</v>
      </c>
      <c r="K383" s="15" t="n">
        <v>37.6</v>
      </c>
      <c r="L383" s="34" t="n">
        <v>44812</v>
      </c>
      <c r="M383" s="15" t="n">
        <v>81.7</v>
      </c>
      <c r="N383" s="15" t="n">
        <v>107.59</v>
      </c>
      <c r="O383" s="34" t="n">
        <v>44812</v>
      </c>
      <c r="P383" s="15" t="n">
        <v>173</v>
      </c>
      <c r="Q383" s="15" t="n">
        <v>186</v>
      </c>
      <c r="R383" s="34" t="n">
        <v>44812</v>
      </c>
      <c r="S383" s="15" t="n">
        <v>25.4</v>
      </c>
    </row>
    <row r="384">
      <c r="A384" s="34" t="n">
        <v>44813</v>
      </c>
      <c r="B384" s="266" t="n">
        <v>1.128111958503723</v>
      </c>
      <c r="C384" s="34" t="n">
        <v>44813</v>
      </c>
      <c r="D384" s="15" t="n">
        <v>39.55</v>
      </c>
      <c r="E384" s="15" t="n">
        <v>67.31</v>
      </c>
      <c r="F384" s="34" t="n">
        <v>44813</v>
      </c>
      <c r="G384" s="15" t="n">
        <v>103.7</v>
      </c>
      <c r="H384" s="15" t="n">
        <v>167.61</v>
      </c>
      <c r="I384" s="34" t="n">
        <v>44813</v>
      </c>
      <c r="J384" s="15" t="n">
        <v>31.05</v>
      </c>
      <c r="K384" s="15" t="n">
        <v>37.68</v>
      </c>
      <c r="L384" s="34" t="n">
        <v>44813</v>
      </c>
      <c r="M384" s="15" t="n">
        <v>82.34999999999999</v>
      </c>
      <c r="N384" s="15" t="n">
        <v>110.35</v>
      </c>
      <c r="O384" s="34" t="n">
        <v>44813</v>
      </c>
      <c r="P384" s="15" t="n">
        <v>176</v>
      </c>
      <c r="Q384" s="15" t="n">
        <v>191.09</v>
      </c>
      <c r="R384" s="34" t="n">
        <v>44813</v>
      </c>
      <c r="S384" s="15" t="n">
        <v>25.6</v>
      </c>
    </row>
    <row r="385">
      <c r="A385" s="34" t="n">
        <v>44817</v>
      </c>
      <c r="B385" s="266" t="n">
        <v>1.133118033409119</v>
      </c>
      <c r="C385" s="34" t="n">
        <v>44817</v>
      </c>
      <c r="D385" s="15" t="n">
        <v>38.5</v>
      </c>
      <c r="E385" s="15" t="n">
        <v>65</v>
      </c>
      <c r="F385" s="34" t="n">
        <v>44817</v>
      </c>
      <c r="G385" s="15" t="n">
        <v>90.84999999999999</v>
      </c>
      <c r="H385" s="15" t="n">
        <v>150.85</v>
      </c>
      <c r="I385" s="34" t="n">
        <v>44817</v>
      </c>
      <c r="J385" s="15" t="n">
        <v>31.45</v>
      </c>
      <c r="K385" s="15" t="n">
        <v>38.14</v>
      </c>
      <c r="L385" s="34" t="n">
        <v>44817</v>
      </c>
      <c r="M385" s="15" t="n">
        <v>83.3</v>
      </c>
      <c r="N385" s="15" t="n">
        <v>112</v>
      </c>
      <c r="O385" s="34" t="n">
        <v>44817</v>
      </c>
      <c r="P385" s="15" t="n">
        <v>179.1</v>
      </c>
      <c r="Q385" s="15" t="n">
        <v>192.47</v>
      </c>
      <c r="R385" s="34" t="n">
        <v>44817</v>
      </c>
      <c r="S385" s="15" t="n">
        <v>25.2</v>
      </c>
    </row>
    <row r="386">
      <c r="A386" s="34" t="n">
        <v>44818</v>
      </c>
      <c r="B386" s="266" t="n">
        <v>1.133923053741455</v>
      </c>
      <c r="C386" s="34" t="n">
        <v>44818</v>
      </c>
      <c r="D386" s="15" t="n">
        <v>38.2</v>
      </c>
      <c r="E386" s="15" t="n">
        <v>65.55</v>
      </c>
      <c r="F386" s="34" t="n">
        <v>44818</v>
      </c>
      <c r="G386" s="15" t="n">
        <v>92.5</v>
      </c>
      <c r="H386" s="15" t="n">
        <v>147.2</v>
      </c>
      <c r="I386" s="34" t="n">
        <v>44818</v>
      </c>
      <c r="J386" s="15" t="n">
        <v>31.1</v>
      </c>
      <c r="K386" s="15" t="n">
        <v>37.06</v>
      </c>
      <c r="L386" s="34" t="n">
        <v>44818</v>
      </c>
      <c r="M386" s="15" t="n">
        <v>84.7</v>
      </c>
      <c r="N386" s="15" t="n">
        <v>113.01</v>
      </c>
      <c r="O386" s="34" t="n">
        <v>44818</v>
      </c>
      <c r="P386" s="15" t="n">
        <v>181</v>
      </c>
      <c r="Q386" s="15" t="n">
        <v>191.55</v>
      </c>
      <c r="R386" s="34" t="n">
        <v>44818</v>
      </c>
      <c r="S386" s="15" t="n">
        <v>25.3</v>
      </c>
    </row>
    <row r="387">
      <c r="A387" s="34" t="n">
        <v>44819</v>
      </c>
      <c r="B387" s="266" t="n">
        <v>1.127349972724915</v>
      </c>
      <c r="C387" s="34" t="n">
        <v>44819</v>
      </c>
      <c r="D387" s="15" t="n">
        <v>38.15</v>
      </c>
      <c r="E387" s="15" t="n">
        <v>64.25</v>
      </c>
      <c r="F387" s="34" t="n">
        <v>44819</v>
      </c>
      <c r="G387" s="15" t="n">
        <v>92.90000000000001</v>
      </c>
      <c r="H387" s="15" t="n">
        <v>149.9</v>
      </c>
      <c r="I387" s="34" t="n">
        <v>44819</v>
      </c>
      <c r="J387" s="15" t="n">
        <v>29.95</v>
      </c>
      <c r="K387" s="15" t="n">
        <v>35.58</v>
      </c>
      <c r="L387" s="34" t="n">
        <v>44819</v>
      </c>
      <c r="M387" s="15" t="n">
        <v>85.3</v>
      </c>
      <c r="N387" s="15" t="n">
        <v>109.92</v>
      </c>
      <c r="O387" s="34" t="n">
        <v>44819</v>
      </c>
      <c r="P387" s="15" t="n">
        <v>180.9</v>
      </c>
      <c r="Q387" s="15" t="n">
        <v>191.35</v>
      </c>
      <c r="R387" s="34" t="n">
        <v>44819</v>
      </c>
      <c r="S387" s="15" t="n">
        <v>25.2</v>
      </c>
    </row>
    <row r="388">
      <c r="A388" s="34" t="n">
        <v>44820</v>
      </c>
      <c r="B388" s="266" t="n">
        <v>1.122084975242615</v>
      </c>
      <c r="C388" s="34" t="n">
        <v>44820</v>
      </c>
      <c r="D388" s="15" t="n">
        <v>36.5</v>
      </c>
      <c r="E388" s="15" t="n">
        <v>62.28</v>
      </c>
      <c r="F388" s="34" t="n">
        <v>44820</v>
      </c>
      <c r="G388" s="15" t="n">
        <v>92.45</v>
      </c>
      <c r="H388" s="15" t="n">
        <v>142.16</v>
      </c>
      <c r="I388" s="34" t="n">
        <v>44820</v>
      </c>
      <c r="J388" s="15" t="n">
        <v>29</v>
      </c>
      <c r="K388" s="15" t="n">
        <v>34.61</v>
      </c>
      <c r="L388" s="34" t="n">
        <v>44820</v>
      </c>
      <c r="M388" s="15" t="n">
        <v>79.09999999999999</v>
      </c>
      <c r="N388" s="15" t="n">
        <v>104.02</v>
      </c>
      <c r="O388" s="34" t="n">
        <v>44820</v>
      </c>
      <c r="P388" s="15" t="n">
        <v>180.1</v>
      </c>
      <c r="Q388" s="15" t="n">
        <v>188.51</v>
      </c>
      <c r="R388" s="34" t="n">
        <v>44820</v>
      </c>
      <c r="S388" s="15" t="n">
        <v>25.2</v>
      </c>
    </row>
    <row r="389">
      <c r="A389" s="34" t="n">
        <v>44823</v>
      </c>
      <c r="B389" s="266" t="n">
        <v>1.128190040588379</v>
      </c>
      <c r="C389" s="34" t="n">
        <v>44823</v>
      </c>
      <c r="D389" s="15" t="n">
        <v>35.6</v>
      </c>
      <c r="E389" s="15" t="n">
        <v>62.97</v>
      </c>
      <c r="F389" s="34" t="n">
        <v>44823</v>
      </c>
      <c r="G389" s="15" t="n">
        <v>90.5</v>
      </c>
      <c r="H389" s="15" t="n">
        <v>143.17</v>
      </c>
      <c r="I389" s="34" t="n">
        <v>44823</v>
      </c>
      <c r="J389" s="15" t="n">
        <v>28.4</v>
      </c>
      <c r="K389" s="15" t="n">
        <v>34.72</v>
      </c>
      <c r="L389" s="34" t="n">
        <v>44823</v>
      </c>
      <c r="M389" s="15" t="n">
        <v>78.95</v>
      </c>
      <c r="N389" s="15" t="n">
        <v>105.54</v>
      </c>
      <c r="O389" s="34" t="n">
        <v>44823</v>
      </c>
      <c r="P389" s="15" t="n">
        <v>181</v>
      </c>
      <c r="Q389" s="15" t="n">
        <v>188.45</v>
      </c>
      <c r="R389" s="34" t="n">
        <v>44823</v>
      </c>
      <c r="S389" s="15" t="n">
        <v>25.6</v>
      </c>
    </row>
    <row r="390">
      <c r="A390" s="34" t="n">
        <v>44824</v>
      </c>
      <c r="B390" s="266" t="n">
        <v>1.120393991470337</v>
      </c>
      <c r="C390" s="34" t="n">
        <v>44824</v>
      </c>
      <c r="D390" s="15" t="n">
        <v>35.75</v>
      </c>
      <c r="E390" s="15" t="n">
        <v>62.08</v>
      </c>
      <c r="F390" s="34" t="n">
        <v>44824</v>
      </c>
      <c r="G390" s="15" t="n">
        <v>92</v>
      </c>
      <c r="H390" s="15" t="n">
        <v>143.65</v>
      </c>
      <c r="I390" s="34" t="n">
        <v>44824</v>
      </c>
      <c r="J390" s="15" t="n">
        <v>29.05</v>
      </c>
      <c r="K390" s="15" t="n">
        <v>35.48</v>
      </c>
      <c r="L390" s="34" t="n">
        <v>44824</v>
      </c>
      <c r="M390" s="15" t="n">
        <v>82.05</v>
      </c>
      <c r="N390" s="15" t="n">
        <v>114.3</v>
      </c>
      <c r="O390" s="34" t="n">
        <v>44824</v>
      </c>
      <c r="P390" s="15" t="n">
        <v>188.4</v>
      </c>
      <c r="Q390" s="15" t="n">
        <v>194.23</v>
      </c>
      <c r="R390" s="34" t="n">
        <v>44824</v>
      </c>
      <c r="S390" s="15" t="n">
        <v>25.65</v>
      </c>
    </row>
    <row r="391">
      <c r="A391" s="34" t="n">
        <v>44825</v>
      </c>
      <c r="B391" s="266" t="n">
        <v>1.11835503578186</v>
      </c>
      <c r="C391" s="34" t="n">
        <v>44825</v>
      </c>
      <c r="D391" s="15" t="n">
        <v>33.8</v>
      </c>
      <c r="E391" s="15" t="n">
        <v>60.21</v>
      </c>
      <c r="F391" s="34" t="n">
        <v>44825</v>
      </c>
      <c r="G391" s="15" t="n">
        <v>89.5</v>
      </c>
      <c r="H391" s="15" t="n">
        <v>139.66</v>
      </c>
      <c r="I391" s="34" t="n">
        <v>44825</v>
      </c>
      <c r="J391" s="15" t="n">
        <v>28.3</v>
      </c>
      <c r="K391" s="15" t="n">
        <v>35.59</v>
      </c>
      <c r="L391" s="34" t="n">
        <v>44825</v>
      </c>
      <c r="M391" s="15" t="n">
        <v>82.8</v>
      </c>
      <c r="N391" s="15" t="n">
        <v>114.79</v>
      </c>
      <c r="O391" s="34" t="n">
        <v>44825</v>
      </c>
      <c r="P391" s="15" t="n">
        <v>178</v>
      </c>
      <c r="Q391" s="15" t="n">
        <v>185.54</v>
      </c>
      <c r="R391" s="34" t="n">
        <v>44825</v>
      </c>
      <c r="S391" s="15" t="n">
        <v>25.5</v>
      </c>
    </row>
    <row r="392">
      <c r="A392" s="34" t="n">
        <v>44826</v>
      </c>
      <c r="B392" s="266" t="n">
        <v>1.113355040550232</v>
      </c>
      <c r="C392" s="34" t="n">
        <v>44826</v>
      </c>
      <c r="D392" s="15" t="n">
        <v>31.85</v>
      </c>
      <c r="E392" s="15" t="n">
        <v>59.25</v>
      </c>
      <c r="F392" s="34" t="n">
        <v>44826</v>
      </c>
      <c r="G392" s="15" t="n">
        <v>90</v>
      </c>
      <c r="H392" s="15" t="n">
        <v>137.26</v>
      </c>
      <c r="I392" s="34" t="n">
        <v>44826</v>
      </c>
      <c r="J392" s="15" t="n">
        <v>29</v>
      </c>
      <c r="K392" s="15" t="n">
        <v>35.97</v>
      </c>
      <c r="L392" s="34" t="n">
        <v>44826</v>
      </c>
      <c r="M392" s="15" t="n">
        <v>82.7</v>
      </c>
      <c r="N392" s="15" t="n">
        <v>115.04</v>
      </c>
      <c r="O392" s="34" t="n">
        <v>44826</v>
      </c>
      <c r="P392" s="15" t="n">
        <v>181</v>
      </c>
      <c r="Q392" s="15" t="n">
        <v>187.1</v>
      </c>
      <c r="R392" s="34" t="n">
        <v>44826</v>
      </c>
      <c r="S392" s="15" t="n">
        <v>25.45</v>
      </c>
    </row>
    <row r="393">
      <c r="A393" s="34" t="n">
        <v>44827</v>
      </c>
      <c r="B393" s="266" t="n">
        <v>1.10860002040863</v>
      </c>
      <c r="C393" s="34" t="n">
        <v>44827</v>
      </c>
      <c r="D393" s="15" t="n">
        <v>30.15</v>
      </c>
      <c r="E393" s="15" t="n">
        <v>58.73</v>
      </c>
      <c r="F393" s="34" t="n">
        <v>44827</v>
      </c>
      <c r="G393" s="15" t="n">
        <v>87.3</v>
      </c>
      <c r="H393" s="15" t="n">
        <v>137.61</v>
      </c>
      <c r="I393" s="34" t="n">
        <v>44827</v>
      </c>
      <c r="J393" s="15" t="n">
        <v>28.5</v>
      </c>
      <c r="K393" s="15" t="n">
        <v>35.6</v>
      </c>
      <c r="L393" s="34" t="n">
        <v>44827</v>
      </c>
      <c r="M393" s="15" t="n">
        <v>79.45</v>
      </c>
      <c r="N393" s="15" t="n">
        <v>111.67</v>
      </c>
      <c r="O393" s="34" t="n">
        <v>44827</v>
      </c>
      <c r="P393" s="15" t="n">
        <v>180</v>
      </c>
      <c r="Q393" s="15" t="n">
        <v>185.41</v>
      </c>
      <c r="R393" s="34" t="n">
        <v>44827</v>
      </c>
      <c r="S393" s="15" t="n">
        <v>25.2</v>
      </c>
    </row>
    <row r="394">
      <c r="A394" s="34" t="n">
        <v>44830</v>
      </c>
      <c r="B394" s="266" t="n">
        <v>1.115165948867798</v>
      </c>
      <c r="C394" s="34" t="n">
        <v>44830</v>
      </c>
      <c r="D394" s="15" t="n">
        <v>31.3</v>
      </c>
      <c r="E394" s="15" t="n">
        <v>59</v>
      </c>
      <c r="F394" s="34" t="n">
        <v>44830</v>
      </c>
      <c r="G394" s="15" t="n">
        <v>85.34999999999999</v>
      </c>
      <c r="H394" s="15" t="n">
        <v>138.18</v>
      </c>
      <c r="I394" s="34" t="n">
        <v>44830</v>
      </c>
      <c r="J394" s="15" t="n">
        <v>28</v>
      </c>
      <c r="K394" s="15" t="n">
        <v>34.98</v>
      </c>
      <c r="L394" s="34" t="n">
        <v>44830</v>
      </c>
      <c r="M394" s="15" t="n">
        <v>79.5</v>
      </c>
      <c r="N394" s="15" t="n">
        <v>109.9</v>
      </c>
      <c r="O394" s="34" t="n">
        <v>44830</v>
      </c>
      <c r="P394" s="15" t="n">
        <v>185</v>
      </c>
      <c r="Q394" s="15" t="n">
        <v>194.51</v>
      </c>
      <c r="R394" s="34" t="n">
        <v>44830</v>
      </c>
      <c r="S394" s="15" t="n">
        <v>25.6</v>
      </c>
    </row>
    <row r="395">
      <c r="A395" s="34" t="n">
        <v>44831</v>
      </c>
      <c r="B395" s="266" t="n">
        <v>1.114001989364624</v>
      </c>
      <c r="C395" s="34" t="n">
        <v>44831</v>
      </c>
      <c r="D395" s="15" t="n">
        <v>32.1</v>
      </c>
      <c r="E395" s="15" t="n">
        <v>59.64</v>
      </c>
      <c r="F395" s="34" t="n">
        <v>44831</v>
      </c>
      <c r="G395" s="15" t="n">
        <v>92.25</v>
      </c>
      <c r="H395" s="15" t="n">
        <v>144</v>
      </c>
      <c r="I395" s="34" t="n">
        <v>44831</v>
      </c>
      <c r="J395" s="15" t="n">
        <v>27.5</v>
      </c>
      <c r="K395" s="15" t="n">
        <v>35.33</v>
      </c>
      <c r="L395" s="34" t="n">
        <v>44831</v>
      </c>
      <c r="M395" s="15" t="n">
        <v>78.55</v>
      </c>
      <c r="N395" s="15" t="n">
        <v>108.98</v>
      </c>
      <c r="O395" s="34" t="n">
        <v>44831</v>
      </c>
      <c r="P395" s="15" t="n">
        <v>191</v>
      </c>
      <c r="Q395" s="15" t="n">
        <v>202.45</v>
      </c>
      <c r="R395" s="34" t="n">
        <v>44831</v>
      </c>
      <c r="S395" s="15" t="n">
        <v>26.8</v>
      </c>
    </row>
    <row r="396">
      <c r="A396" s="34" t="n">
        <v>44832</v>
      </c>
      <c r="B396" s="266" t="n">
        <v>1.094223022460938</v>
      </c>
      <c r="C396" s="34" t="n">
        <v>44832</v>
      </c>
      <c r="D396" s="15" t="n">
        <v>30.6</v>
      </c>
      <c r="E396" s="15" t="n">
        <v>57.54</v>
      </c>
      <c r="F396" s="34" t="n">
        <v>44832</v>
      </c>
      <c r="G396" s="15" t="n">
        <v>89</v>
      </c>
      <c r="H396" s="15" t="n">
        <v>139.49</v>
      </c>
      <c r="I396" s="34" t="n">
        <v>44832</v>
      </c>
      <c r="J396" s="15" t="n">
        <v>27</v>
      </c>
      <c r="K396" s="15" t="n">
        <v>34.05</v>
      </c>
      <c r="L396" s="34" t="n">
        <v>44832</v>
      </c>
      <c r="M396" s="15" t="n">
        <v>75.5</v>
      </c>
      <c r="N396" s="15" t="n">
        <v>102.29</v>
      </c>
      <c r="O396" s="34" t="n">
        <v>44832</v>
      </c>
      <c r="P396" s="15" t="n">
        <v>190</v>
      </c>
      <c r="Q396" s="15" t="n">
        <v>202.48</v>
      </c>
      <c r="R396" s="34" t="n">
        <v>44832</v>
      </c>
      <c r="S396" s="15" t="n">
        <v>26.6</v>
      </c>
    </row>
    <row r="397">
      <c r="A397" s="34" t="n">
        <v>44833</v>
      </c>
      <c r="B397" s="266" t="n">
        <v>1.089447975158691</v>
      </c>
      <c r="C397" s="34" t="n">
        <v>44833</v>
      </c>
      <c r="D397" s="15" t="n">
        <v>30.5</v>
      </c>
      <c r="E397" s="15" t="n">
        <v>58.03</v>
      </c>
      <c r="F397" s="34" t="n">
        <v>44833</v>
      </c>
      <c r="G397" s="15" t="n">
        <v>93.5</v>
      </c>
      <c r="H397" s="15" t="n">
        <v>140.35</v>
      </c>
      <c r="I397" s="34" t="n">
        <v>44833</v>
      </c>
      <c r="J397" s="15" t="n">
        <v>26.5</v>
      </c>
      <c r="K397" s="15" t="n">
        <v>34.09</v>
      </c>
      <c r="L397" s="34" t="n">
        <v>44833</v>
      </c>
      <c r="M397" s="15" t="n">
        <v>71.84999999999999</v>
      </c>
      <c r="N397" s="15" t="n">
        <v>104.11</v>
      </c>
      <c r="O397" s="34" t="n">
        <v>44833</v>
      </c>
      <c r="P397" s="15" t="n">
        <v>183.6</v>
      </c>
      <c r="Q397" s="15" t="n">
        <v>197.25</v>
      </c>
      <c r="R397" s="34" t="n">
        <v>44833</v>
      </c>
      <c r="S397" s="15" t="n">
        <v>26.15</v>
      </c>
    </row>
    <row r="398">
      <c r="A398" s="34" t="n">
        <v>44834</v>
      </c>
      <c r="B398" s="266" t="n">
        <v>1.10089898109436</v>
      </c>
      <c r="C398" s="34" t="n">
        <v>44834</v>
      </c>
      <c r="D398" s="15" t="n">
        <v>29.95</v>
      </c>
      <c r="E398" s="15" t="n">
        <v>56.51</v>
      </c>
      <c r="F398" s="34" t="n">
        <v>44834</v>
      </c>
      <c r="G398" s="15" t="n">
        <v>100</v>
      </c>
      <c r="H398" s="15" t="n">
        <v>138.7</v>
      </c>
      <c r="I398" s="34" t="n">
        <v>44834</v>
      </c>
      <c r="J398" s="15" t="n">
        <v>26.25</v>
      </c>
      <c r="K398" s="15" t="n">
        <v>33.05</v>
      </c>
      <c r="L398" s="34" t="n">
        <v>44834</v>
      </c>
      <c r="M398" s="15" t="n">
        <v>68.5</v>
      </c>
      <c r="N398" s="15" t="n">
        <v>100.4</v>
      </c>
      <c r="O398" s="34" t="n">
        <v>44834</v>
      </c>
      <c r="P398" s="15" t="n">
        <v>197.3</v>
      </c>
      <c r="Q398" s="15" t="n">
        <v>198.25</v>
      </c>
      <c r="R398" s="34" t="n">
        <v>44834</v>
      </c>
      <c r="S398" s="15" t="n">
        <v>26.2</v>
      </c>
    </row>
    <row r="399">
      <c r="A399" s="34" t="n">
        <v>44837</v>
      </c>
      <c r="B399" s="266" t="n">
        <v>1.102097988128662</v>
      </c>
      <c r="C399" s="34" t="n">
        <v>44837</v>
      </c>
      <c r="D399" s="15" t="n">
        <v>29.85</v>
      </c>
      <c r="E399" s="15" t="n">
        <v>56.51</v>
      </c>
      <c r="F399" s="34" t="n">
        <v>44834</v>
      </c>
      <c r="G399" s="15" t="n">
        <v>94.55</v>
      </c>
      <c r="H399" s="15" t="n">
        <v>138.7</v>
      </c>
      <c r="I399" s="34" t="n">
        <v>44834</v>
      </c>
      <c r="J399" s="15" t="n">
        <v>25.95</v>
      </c>
      <c r="K399" s="15" t="n">
        <v>33.05</v>
      </c>
      <c r="L399" s="34" t="n">
        <v>44834</v>
      </c>
      <c r="M399" s="15" t="n">
        <v>64.59999999999999</v>
      </c>
      <c r="N399" s="15" t="n">
        <v>100.4</v>
      </c>
      <c r="O399" s="34" t="n">
        <v>44834</v>
      </c>
      <c r="P399" s="15" t="n">
        <v>208.8</v>
      </c>
      <c r="Q399" s="15" t="n">
        <v>198.25</v>
      </c>
      <c r="R399" s="34" t="n">
        <v>44834</v>
      </c>
      <c r="S399" s="15" t="n">
        <v>26.6</v>
      </c>
    </row>
    <row r="400">
      <c r="A400" s="34" t="n">
        <v>44839</v>
      </c>
      <c r="B400" s="266" t="n">
        <v>1.103346943855286</v>
      </c>
      <c r="C400" s="34" t="n">
        <v>44839</v>
      </c>
      <c r="D400" s="15" t="n">
        <v>31.25</v>
      </c>
      <c r="E400" s="15" t="n">
        <v>56.51</v>
      </c>
      <c r="F400" s="34" t="n">
        <v>44834</v>
      </c>
      <c r="G400" s="15" t="n">
        <v>95.2</v>
      </c>
      <c r="H400" s="15" t="n">
        <v>138.7</v>
      </c>
      <c r="I400" s="34" t="n">
        <v>44834</v>
      </c>
      <c r="J400" s="15" t="n">
        <v>27.5</v>
      </c>
      <c r="K400" s="15" t="n">
        <v>33.05</v>
      </c>
      <c r="L400" s="34" t="n">
        <v>44834</v>
      </c>
      <c r="M400" s="15" t="n">
        <v>67.8</v>
      </c>
      <c r="N400" s="15" t="n">
        <v>100.4</v>
      </c>
      <c r="O400" s="34" t="n">
        <v>44834</v>
      </c>
      <c r="P400" s="15" t="n">
        <v>209.8</v>
      </c>
      <c r="Q400" s="15" t="n">
        <v>198.25</v>
      </c>
      <c r="R400" s="34" t="n">
        <v>44834</v>
      </c>
      <c r="S400" s="15" t="n">
        <v>26.4</v>
      </c>
    </row>
    <row r="401">
      <c r="A401" s="34" t="n">
        <v>44840</v>
      </c>
      <c r="B401" s="266" t="n">
        <v>1.103878021240234</v>
      </c>
      <c r="C401" s="34" t="n">
        <v>44840</v>
      </c>
      <c r="D401" s="15" t="n">
        <v>30.5</v>
      </c>
      <c r="E401" s="15" t="n">
        <v>56.51</v>
      </c>
      <c r="F401" s="34" t="n">
        <v>44834</v>
      </c>
      <c r="G401" s="15" t="n">
        <v>91.8</v>
      </c>
      <c r="H401" s="15" t="n">
        <v>138.7</v>
      </c>
      <c r="I401" s="34" t="n">
        <v>44834</v>
      </c>
      <c r="J401" s="15" t="n">
        <v>25.7</v>
      </c>
      <c r="K401" s="15" t="n">
        <v>33.05</v>
      </c>
      <c r="L401" s="34" t="n">
        <v>44834</v>
      </c>
      <c r="M401" s="15" t="n">
        <v>71</v>
      </c>
      <c r="N401" s="15" t="n">
        <v>100.4</v>
      </c>
      <c r="O401" s="34" t="n">
        <v>44834</v>
      </c>
      <c r="P401" s="15" t="n">
        <v>206.6</v>
      </c>
      <c r="Q401" s="15" t="n">
        <v>198.25</v>
      </c>
      <c r="R401" s="34" t="n">
        <v>44834</v>
      </c>
      <c r="S401" s="15" t="n">
        <v>26.2</v>
      </c>
    </row>
    <row r="402">
      <c r="A402" s="34" t="n">
        <v>44841</v>
      </c>
      <c r="B402" s="266" t="n">
        <v>1.103150963783264</v>
      </c>
      <c r="C402" s="34" t="n">
        <v>44841</v>
      </c>
      <c r="D402" s="15" t="n">
        <v>29</v>
      </c>
      <c r="E402" s="15" t="n">
        <v>56.51</v>
      </c>
      <c r="F402" s="34" t="n">
        <v>44834</v>
      </c>
      <c r="G402" s="15" t="n">
        <v>94.65000000000001</v>
      </c>
      <c r="H402" s="15" t="n">
        <v>138.7</v>
      </c>
      <c r="I402" s="34" t="n">
        <v>44834</v>
      </c>
      <c r="J402" s="15" t="n">
        <v>26.35</v>
      </c>
      <c r="K402" s="15" t="n">
        <v>33.05</v>
      </c>
      <c r="L402" s="34" t="n">
        <v>44834</v>
      </c>
      <c r="M402" s="15" t="n">
        <v>68.65000000000001</v>
      </c>
      <c r="N402" s="15" t="n">
        <v>100.4</v>
      </c>
      <c r="O402" s="34" t="n">
        <v>44834</v>
      </c>
      <c r="P402" s="15" t="n">
        <v>199</v>
      </c>
      <c r="Q402" s="15" t="n">
        <v>198.25</v>
      </c>
      <c r="R402" s="34" t="n">
        <v>44834</v>
      </c>
      <c r="S402" s="15" t="n">
        <v>26.25</v>
      </c>
    </row>
    <row r="403">
      <c r="A403" s="34" t="n">
        <v>44844</v>
      </c>
      <c r="B403" s="266" t="n">
        <v>1.098549008369446</v>
      </c>
      <c r="C403" s="34" t="n">
        <v>44844</v>
      </c>
      <c r="D403" s="15" t="n">
        <v>28</v>
      </c>
      <c r="E403" s="15" t="n">
        <v>54.88</v>
      </c>
      <c r="F403" s="34" t="n">
        <v>44844</v>
      </c>
      <c r="G403" s="15" t="n">
        <v>88</v>
      </c>
      <c r="H403" s="15" t="n">
        <v>130.17</v>
      </c>
      <c r="I403" s="34" t="n">
        <v>44844</v>
      </c>
      <c r="J403" s="15" t="n">
        <v>22.1</v>
      </c>
      <c r="K403" s="15" t="n">
        <v>32.32</v>
      </c>
      <c r="L403" s="34" t="n">
        <v>44844</v>
      </c>
      <c r="M403" s="15" t="n">
        <v>63.7</v>
      </c>
      <c r="N403" s="15" t="n">
        <v>97.02</v>
      </c>
      <c r="O403" s="34" t="n">
        <v>44844</v>
      </c>
      <c r="P403" s="15" t="n">
        <v>188.5</v>
      </c>
      <c r="Q403" s="15" t="n">
        <v>187.8</v>
      </c>
      <c r="R403" s="34" t="n">
        <v>44844</v>
      </c>
      <c r="S403" s="15" t="n">
        <v>25.55</v>
      </c>
    </row>
    <row r="404">
      <c r="A404" s="34" t="n">
        <v>44845</v>
      </c>
      <c r="B404" s="266" t="n">
        <v>1.097115039825439</v>
      </c>
      <c r="C404" s="34" t="n">
        <v>44845</v>
      </c>
      <c r="D404" s="15" t="n">
        <v>26.7</v>
      </c>
      <c r="E404" s="15" t="n">
        <v>54.28</v>
      </c>
      <c r="F404" s="34" t="n">
        <v>44845</v>
      </c>
      <c r="G404" s="15" t="n">
        <v>84.75</v>
      </c>
      <c r="H404" s="15" t="n">
        <v>131.18</v>
      </c>
      <c r="I404" s="34" t="n">
        <v>44845</v>
      </c>
      <c r="J404" s="15" t="n">
        <v>22.5</v>
      </c>
      <c r="K404" s="15" t="n">
        <v>32.3</v>
      </c>
      <c r="L404" s="34" t="n">
        <v>44845</v>
      </c>
      <c r="M404" s="15" t="n">
        <v>64.45</v>
      </c>
      <c r="N404" s="15" t="n">
        <v>100.6</v>
      </c>
      <c r="O404" s="34" t="n">
        <v>44845</v>
      </c>
      <c r="P404" s="15" t="n">
        <v>187</v>
      </c>
      <c r="Q404" s="15" t="n">
        <v>185.63</v>
      </c>
      <c r="R404" s="34" t="n">
        <v>44845</v>
      </c>
      <c r="S404" s="15" t="n">
        <v>25.5</v>
      </c>
    </row>
    <row r="405">
      <c r="A405" s="34" t="n">
        <v>44846</v>
      </c>
      <c r="B405" s="266" t="n">
        <v>1.094871997833252</v>
      </c>
      <c r="C405" s="34" t="n">
        <v>44846</v>
      </c>
      <c r="D405" s="15" t="n">
        <v>26.55</v>
      </c>
      <c r="E405" s="15" t="n">
        <v>54.39</v>
      </c>
      <c r="F405" s="34" t="n">
        <v>44846</v>
      </c>
      <c r="G405" s="15" t="n">
        <v>82.5</v>
      </c>
      <c r="H405" s="15" t="n">
        <v>132.2</v>
      </c>
      <c r="I405" s="34" t="n">
        <v>44846</v>
      </c>
      <c r="J405" s="15" t="n">
        <v>22.6</v>
      </c>
      <c r="K405" s="15" t="n">
        <v>33.17</v>
      </c>
      <c r="L405" s="34" t="n">
        <v>44846</v>
      </c>
      <c r="M405" s="15" t="n">
        <v>64.59999999999999</v>
      </c>
      <c r="N405" s="15" t="n">
        <v>102</v>
      </c>
      <c r="O405" s="34" t="n">
        <v>44846</v>
      </c>
      <c r="P405" s="15" t="n">
        <v>182</v>
      </c>
      <c r="Q405" s="15" t="n">
        <v>181.03</v>
      </c>
      <c r="R405" s="34" t="n">
        <v>44846</v>
      </c>
      <c r="S405" s="15" t="n">
        <v>25.5</v>
      </c>
    </row>
    <row r="406">
      <c r="A406" s="34" t="n">
        <v>44847</v>
      </c>
      <c r="B406" s="266" t="n">
        <v>1.09404194355011</v>
      </c>
      <c r="C406" s="34" t="n">
        <v>44847</v>
      </c>
      <c r="D406" s="15" t="n">
        <v>26</v>
      </c>
      <c r="E406" s="15" t="n">
        <v>55.75</v>
      </c>
      <c r="F406" s="34" t="n">
        <v>44847</v>
      </c>
      <c r="G406" s="15" t="n">
        <v>82.55</v>
      </c>
      <c r="H406" s="15" t="n">
        <v>135.88</v>
      </c>
      <c r="I406" s="34" t="n">
        <v>44847</v>
      </c>
      <c r="J406" s="15" t="n">
        <v>23.3</v>
      </c>
      <c r="K406" s="15" t="n">
        <v>33.87</v>
      </c>
      <c r="L406" s="34" t="n">
        <v>44847</v>
      </c>
      <c r="M406" s="15" t="n">
        <v>60.75</v>
      </c>
      <c r="N406" s="15" t="n">
        <v>97.88</v>
      </c>
      <c r="O406" s="34" t="n">
        <v>44847</v>
      </c>
      <c r="P406" s="15" t="n">
        <v>185</v>
      </c>
      <c r="Q406" s="15" t="n">
        <v>180.15</v>
      </c>
      <c r="R406" s="34" t="n">
        <v>44847</v>
      </c>
      <c r="S406" s="15" t="n">
        <v>26</v>
      </c>
    </row>
    <row r="407">
      <c r="A407" s="34" t="n">
        <v>44848</v>
      </c>
      <c r="B407" s="266" t="n">
        <v>1.094624042510986</v>
      </c>
      <c r="C407" s="34" t="n">
        <v>44848</v>
      </c>
      <c r="D407" s="15" t="n">
        <v>27.5</v>
      </c>
      <c r="E407" s="15" t="n">
        <v>59.82</v>
      </c>
      <c r="F407" s="34" t="n">
        <v>44848</v>
      </c>
      <c r="G407" s="15" t="n">
        <v>90.5</v>
      </c>
      <c r="H407" s="15" t="n">
        <v>149.47</v>
      </c>
      <c r="I407" s="34" t="n">
        <v>44848</v>
      </c>
      <c r="J407" s="15" t="n">
        <v>23.6</v>
      </c>
      <c r="K407" s="15" t="n">
        <v>34.61</v>
      </c>
      <c r="L407" s="34" t="n">
        <v>44848</v>
      </c>
      <c r="M407" s="15" t="n">
        <v>61.75</v>
      </c>
      <c r="N407" s="15" t="n">
        <v>101.92</v>
      </c>
      <c r="O407" s="34" t="n">
        <v>44848</v>
      </c>
      <c r="P407" s="15" t="n">
        <v>194</v>
      </c>
      <c r="Q407" s="15" t="n">
        <v>185.46</v>
      </c>
      <c r="R407" s="34" t="n">
        <v>44848</v>
      </c>
      <c r="S407" s="15" t="n">
        <v>26.45</v>
      </c>
    </row>
    <row r="408">
      <c r="A408" s="34" t="n">
        <v>44851</v>
      </c>
      <c r="B408" s="266" t="n">
        <v>1.093557000160217</v>
      </c>
      <c r="C408" s="34" t="n">
        <v>44851</v>
      </c>
      <c r="D408" s="15" t="n">
        <v>27.35</v>
      </c>
      <c r="E408" s="15" t="n">
        <v>59.88</v>
      </c>
      <c r="F408" s="34" t="n">
        <v>44851</v>
      </c>
      <c r="G408" s="15" t="n">
        <v>90.5</v>
      </c>
      <c r="H408" s="15" t="n">
        <v>149.52</v>
      </c>
      <c r="I408" s="34" t="n">
        <v>44851</v>
      </c>
      <c r="J408" s="15" t="n">
        <v>22.85</v>
      </c>
      <c r="K408" s="15" t="n">
        <v>34.41</v>
      </c>
      <c r="L408" s="34" t="n">
        <v>44851</v>
      </c>
      <c r="M408" s="15" t="n">
        <v>60.35</v>
      </c>
      <c r="N408" s="15" t="n">
        <v>99.59999999999999</v>
      </c>
      <c r="O408" s="34" t="n">
        <v>44851</v>
      </c>
      <c r="P408" s="15" t="n">
        <v>193.4</v>
      </c>
      <c r="Q408" s="15" t="n">
        <v>186.93</v>
      </c>
      <c r="R408" s="34" t="n">
        <v>44851</v>
      </c>
      <c r="S408" s="15" t="n">
        <v>26.75</v>
      </c>
    </row>
    <row r="409">
      <c r="A409" s="34" t="n">
        <v>44852</v>
      </c>
      <c r="B409" s="266" t="n">
        <v>1.090047001838684</v>
      </c>
      <c r="C409" s="34" t="n">
        <v>44852</v>
      </c>
      <c r="D409" s="15" t="n">
        <v>29.3</v>
      </c>
      <c r="E409" s="15" t="n">
        <v>61</v>
      </c>
      <c r="F409" s="34" t="n">
        <v>44852</v>
      </c>
      <c r="G409" s="15" t="n">
        <v>96.59999999999999</v>
      </c>
      <c r="H409" s="15" t="n">
        <v>150.3</v>
      </c>
      <c r="I409" s="34" t="n">
        <v>44852</v>
      </c>
      <c r="J409" s="15" t="n">
        <v>22.95</v>
      </c>
      <c r="K409" s="15" t="n">
        <v>33.96</v>
      </c>
      <c r="L409" s="34" t="n">
        <v>44852</v>
      </c>
      <c r="M409" s="15" t="n">
        <v>61.7</v>
      </c>
      <c r="N409" s="15" t="n">
        <v>98.51000000000001</v>
      </c>
      <c r="O409" s="34" t="n">
        <v>44852</v>
      </c>
      <c r="P409" s="15" t="n">
        <v>193.4</v>
      </c>
      <c r="Q409" s="15" t="n">
        <v>189</v>
      </c>
      <c r="R409" s="34" t="n">
        <v>44852</v>
      </c>
      <c r="S409" s="15" t="n">
        <v>27.45</v>
      </c>
    </row>
    <row r="410">
      <c r="A410" s="34" t="n">
        <v>44853</v>
      </c>
      <c r="B410" s="266" t="n">
        <v>1.089534044265747</v>
      </c>
      <c r="C410" s="34" t="n">
        <v>44853</v>
      </c>
      <c r="D410" s="15" t="n">
        <v>30.05</v>
      </c>
      <c r="E410" s="15" t="n">
        <v>62.11</v>
      </c>
      <c r="F410" s="34" t="n">
        <v>44853</v>
      </c>
      <c r="G410" s="15" t="n">
        <v>91.95</v>
      </c>
      <c r="H410" s="15" t="n">
        <v>148.37</v>
      </c>
      <c r="I410" s="34" t="n">
        <v>44853</v>
      </c>
      <c r="J410" s="15" t="n">
        <v>23.2</v>
      </c>
      <c r="K410" s="15" t="n">
        <v>33.42</v>
      </c>
      <c r="L410" s="34" t="n">
        <v>44853</v>
      </c>
      <c r="M410" s="15" t="n">
        <v>60.8</v>
      </c>
      <c r="N410" s="15" t="n">
        <v>98.78</v>
      </c>
      <c r="O410" s="34" t="n">
        <v>44853</v>
      </c>
      <c r="P410" s="15" t="n">
        <v>181.1</v>
      </c>
      <c r="Q410" s="15" t="n">
        <v>179.6</v>
      </c>
      <c r="R410" s="34" t="n">
        <v>44853</v>
      </c>
      <c r="S410" s="15" t="n">
        <v>27</v>
      </c>
    </row>
    <row r="411">
      <c r="A411" s="34" t="n">
        <v>44854</v>
      </c>
      <c r="B411" s="266" t="n">
        <v>1.086274027824402</v>
      </c>
      <c r="C411" s="34" t="n">
        <v>44854</v>
      </c>
      <c r="D411" s="15" t="n">
        <v>27.2</v>
      </c>
      <c r="E411" s="15" t="n">
        <v>59.66</v>
      </c>
      <c r="F411" s="34" t="n">
        <v>44854</v>
      </c>
      <c r="G411" s="15" t="n">
        <v>88.95</v>
      </c>
      <c r="H411" s="15" t="n">
        <v>146</v>
      </c>
      <c r="I411" s="34" t="n">
        <v>44854</v>
      </c>
      <c r="J411" s="15" t="n">
        <v>23.25</v>
      </c>
      <c r="K411" s="15" t="n">
        <v>33.19</v>
      </c>
      <c r="L411" s="34" t="n">
        <v>44854</v>
      </c>
      <c r="M411" s="15" t="n">
        <v>58.7</v>
      </c>
      <c r="N411" s="15" t="n">
        <v>95.18000000000001</v>
      </c>
      <c r="O411" s="34" t="n">
        <v>44854</v>
      </c>
      <c r="P411" s="15" t="n">
        <v>174.6</v>
      </c>
      <c r="Q411" s="15" t="n">
        <v>179.4</v>
      </c>
      <c r="R411" s="34" t="n">
        <v>44854</v>
      </c>
      <c r="S411" s="15" t="n">
        <v>26</v>
      </c>
    </row>
    <row r="412">
      <c r="A412" s="34" t="n">
        <v>44855</v>
      </c>
      <c r="B412" s="266" t="n">
        <v>1.087515950202942</v>
      </c>
      <c r="C412" s="34" t="n">
        <v>44855</v>
      </c>
      <c r="D412" s="15" t="n">
        <v>27.25</v>
      </c>
      <c r="E412" s="15" t="n">
        <v>60.32</v>
      </c>
      <c r="F412" s="34" t="n">
        <v>44855</v>
      </c>
      <c r="G412" s="15" t="n">
        <v>87.8</v>
      </c>
      <c r="H412" s="15" t="n">
        <v>142.7</v>
      </c>
      <c r="I412" s="34" t="n">
        <v>44855</v>
      </c>
      <c r="J412" s="15" t="n">
        <v>23.3</v>
      </c>
      <c r="K412" s="15" t="n">
        <v>32.65</v>
      </c>
      <c r="L412" s="34" t="n">
        <v>44855</v>
      </c>
      <c r="M412" s="15" t="n">
        <v>59.05</v>
      </c>
      <c r="N412" s="15" t="n">
        <v>92.59</v>
      </c>
      <c r="O412" s="34" t="n">
        <v>44855</v>
      </c>
      <c r="P412" s="15" t="n">
        <v>176</v>
      </c>
      <c r="Q412" s="15" t="n">
        <v>175.57</v>
      </c>
      <c r="R412" s="34" t="n">
        <v>44855</v>
      </c>
      <c r="S412" s="15" t="n">
        <v>26.5</v>
      </c>
    </row>
    <row r="413">
      <c r="A413" s="34" t="n">
        <v>44858</v>
      </c>
      <c r="B413" s="266" t="n">
        <v>1.08328104019165</v>
      </c>
      <c r="C413" s="34" t="n">
        <v>44858</v>
      </c>
      <c r="D413" s="15" t="n">
        <v>24.8</v>
      </c>
      <c r="E413" s="15" t="n">
        <v>57.66</v>
      </c>
      <c r="F413" s="34" t="n">
        <v>44858</v>
      </c>
      <c r="G413" s="15" t="n">
        <v>82.5</v>
      </c>
      <c r="H413" s="15" t="n">
        <v>136.24</v>
      </c>
      <c r="I413" s="34" t="n">
        <v>44858</v>
      </c>
      <c r="J413" s="15" t="n">
        <v>22.15</v>
      </c>
      <c r="K413" s="15" t="n">
        <v>32.39</v>
      </c>
      <c r="L413" s="34" t="n">
        <v>44858</v>
      </c>
      <c r="M413" s="15" t="n">
        <v>59</v>
      </c>
      <c r="N413" s="15" t="n">
        <v>93.2</v>
      </c>
      <c r="O413" s="34" t="n">
        <v>44858</v>
      </c>
      <c r="P413" s="15" t="n">
        <v>173.5</v>
      </c>
      <c r="Q413" s="15" t="n">
        <v>167</v>
      </c>
      <c r="R413" s="34" t="n">
        <v>44858</v>
      </c>
      <c r="S413" s="15" t="n">
        <v>25.65</v>
      </c>
    </row>
    <row r="414">
      <c r="A414" s="34" t="n">
        <v>44859</v>
      </c>
      <c r="B414" s="266" t="n">
        <v>1.080643057823181</v>
      </c>
      <c r="C414" s="34" t="n">
        <v>44859</v>
      </c>
      <c r="D414" s="15" t="n">
        <v>25.25</v>
      </c>
      <c r="E414" s="15" t="n">
        <v>56.5</v>
      </c>
      <c r="F414" s="34" t="n">
        <v>44859</v>
      </c>
      <c r="G414" s="15" t="n">
        <v>82.5</v>
      </c>
      <c r="H414" s="15" t="n">
        <v>136.71</v>
      </c>
      <c r="I414" s="34" t="n">
        <v>44859</v>
      </c>
      <c r="J414" s="15" t="n">
        <v>23.05</v>
      </c>
      <c r="K414" s="15" t="n">
        <v>32.51</v>
      </c>
      <c r="L414" s="34" t="n">
        <v>44859</v>
      </c>
      <c r="M414" s="15" t="n">
        <v>61.65</v>
      </c>
      <c r="N414" s="15" t="n">
        <v>95.29000000000001</v>
      </c>
      <c r="O414" s="34" t="n">
        <v>44859</v>
      </c>
      <c r="P414" s="15" t="n">
        <v>181.5</v>
      </c>
      <c r="Q414" s="15" t="n">
        <v>171.39</v>
      </c>
      <c r="R414" s="34" t="n">
        <v>44859</v>
      </c>
      <c r="S414" s="15" t="n">
        <v>26.9</v>
      </c>
    </row>
    <row r="415">
      <c r="A415" s="34" t="n">
        <v>44860</v>
      </c>
      <c r="B415" s="266" t="n">
        <v>1.079828023910522</v>
      </c>
      <c r="C415" s="34" t="n">
        <v>44860</v>
      </c>
      <c r="D415" s="15" t="n">
        <v>29.85</v>
      </c>
      <c r="E415" s="15" t="n">
        <v>62.15</v>
      </c>
      <c r="F415" s="34" t="n">
        <v>44860</v>
      </c>
      <c r="G415" s="15" t="n">
        <v>87.5</v>
      </c>
      <c r="H415" s="15" t="n">
        <v>148.44</v>
      </c>
      <c r="I415" s="34" t="n">
        <v>44860</v>
      </c>
      <c r="J415" s="15" t="n">
        <v>23.4</v>
      </c>
      <c r="K415" s="15" t="n">
        <v>32.81</v>
      </c>
      <c r="L415" s="34" t="n">
        <v>44860</v>
      </c>
      <c r="M415" s="15" t="n">
        <v>63.75</v>
      </c>
      <c r="N415" s="15" t="n">
        <v>95.59999999999999</v>
      </c>
      <c r="O415" s="34" t="n">
        <v>44860</v>
      </c>
      <c r="P415" s="15" t="n">
        <v>180</v>
      </c>
      <c r="Q415" s="15" t="n">
        <v>173.01</v>
      </c>
      <c r="R415" s="34" t="n">
        <v>44860</v>
      </c>
      <c r="S415" s="15" t="n">
        <v>26.1</v>
      </c>
    </row>
    <row r="416">
      <c r="A416" s="34" t="n">
        <v>44861</v>
      </c>
      <c r="B416" s="266" t="n">
        <v>1.094295978546143</v>
      </c>
      <c r="C416" s="34" t="n">
        <v>44861</v>
      </c>
      <c r="D416" s="15" t="n">
        <v>29</v>
      </c>
      <c r="E416" s="15" t="n">
        <v>63.95</v>
      </c>
      <c r="F416" s="34" t="n">
        <v>44861</v>
      </c>
      <c r="G416" s="15" t="n">
        <v>90.5</v>
      </c>
      <c r="H416" s="15" t="n">
        <v>149.39</v>
      </c>
      <c r="I416" s="34" t="n">
        <v>44861</v>
      </c>
      <c r="J416" s="15" t="n">
        <v>24.5</v>
      </c>
      <c r="K416" s="15" t="n">
        <v>31.86</v>
      </c>
      <c r="L416" s="34" t="n">
        <v>44861</v>
      </c>
      <c r="M416" s="15" t="n">
        <v>66.84999999999999</v>
      </c>
      <c r="N416" s="15" t="n">
        <v>95.65000000000001</v>
      </c>
      <c r="O416" s="34" t="n">
        <v>44861</v>
      </c>
      <c r="P416" s="15" t="n">
        <v>177.2</v>
      </c>
      <c r="Q416" s="15" t="n">
        <v>169</v>
      </c>
      <c r="R416" s="34" t="n">
        <v>44861</v>
      </c>
      <c r="S416" s="15" t="n">
        <v>25.6</v>
      </c>
    </row>
    <row r="417">
      <c r="A417" s="34" t="n">
        <v>44862</v>
      </c>
      <c r="B417" s="266" t="n">
        <v>1.085523962974548</v>
      </c>
      <c r="C417" s="34" t="n">
        <v>44862</v>
      </c>
      <c r="D417" s="15" t="n">
        <v>27.8</v>
      </c>
      <c r="E417" s="15" t="n">
        <v>61.1</v>
      </c>
      <c r="F417" s="34" t="n">
        <v>44862</v>
      </c>
      <c r="G417" s="15" t="n">
        <v>88.2</v>
      </c>
      <c r="H417" s="15" t="n">
        <v>149.87</v>
      </c>
      <c r="I417" s="34" t="n">
        <v>44862</v>
      </c>
      <c r="J417" s="15" t="n">
        <v>23.15</v>
      </c>
      <c r="K417" s="15" t="n">
        <v>30.24</v>
      </c>
      <c r="L417" s="34" t="n">
        <v>44862</v>
      </c>
      <c r="M417" s="15" t="n">
        <v>63.85</v>
      </c>
      <c r="N417" s="15" t="n">
        <v>92.44</v>
      </c>
      <c r="O417" s="34" t="n">
        <v>44862</v>
      </c>
      <c r="P417" s="15" t="n">
        <v>169.5</v>
      </c>
      <c r="Q417" s="15" t="n">
        <v>167.45</v>
      </c>
      <c r="R417" s="34" t="n">
        <v>44862</v>
      </c>
      <c r="S417" s="15" t="n">
        <v>26.05</v>
      </c>
    </row>
    <row r="418">
      <c r="A418" s="34" t="n">
        <v>44865</v>
      </c>
      <c r="B418" s="266" t="n">
        <v>1.081084966659546</v>
      </c>
      <c r="C418" s="34" t="n">
        <v>44865</v>
      </c>
      <c r="D418" s="15" t="n">
        <v>25.45</v>
      </c>
      <c r="E418" s="15" t="n">
        <v>57.19</v>
      </c>
      <c r="F418" s="34" t="n">
        <v>44865</v>
      </c>
      <c r="G418" s="15" t="n">
        <v>84</v>
      </c>
      <c r="H418" s="15" t="n">
        <v>143.19</v>
      </c>
      <c r="I418" s="34" t="n">
        <v>44865</v>
      </c>
      <c r="J418" s="15" t="n">
        <v>22.8</v>
      </c>
      <c r="K418" s="15" t="n">
        <v>30.93</v>
      </c>
      <c r="L418" s="34" t="n">
        <v>44865</v>
      </c>
      <c r="M418" s="15" t="n">
        <v>64</v>
      </c>
      <c r="N418" s="15" t="n">
        <v>95.55</v>
      </c>
      <c r="O418" s="34" t="n">
        <v>44865</v>
      </c>
      <c r="P418" s="15" t="n">
        <v>155.3</v>
      </c>
      <c r="Q418" s="15" t="n">
        <v>160.36</v>
      </c>
      <c r="R418" s="34" t="n">
        <v>44865</v>
      </c>
      <c r="S418" s="15" t="n">
        <v>26.9</v>
      </c>
    </row>
    <row r="419">
      <c r="A419" s="34" t="n">
        <v>44866</v>
      </c>
      <c r="B419" s="266" t="n">
        <v>1.074709057807922</v>
      </c>
      <c r="C419" s="34" t="n">
        <v>44866</v>
      </c>
      <c r="D419" s="15" t="n">
        <v>27.45</v>
      </c>
      <c r="E419" s="15" t="n">
        <v>62.04</v>
      </c>
      <c r="F419" s="34" t="n">
        <v>44866</v>
      </c>
      <c r="G419" s="15" t="n">
        <v>92.7</v>
      </c>
      <c r="H419" s="15" t="n">
        <v>150.17</v>
      </c>
      <c r="I419" s="34" t="n">
        <v>44866</v>
      </c>
      <c r="J419" s="15" t="n">
        <v>23.25</v>
      </c>
      <c r="K419" s="15" t="n">
        <v>32.11</v>
      </c>
      <c r="L419" s="34" t="n">
        <v>44866</v>
      </c>
      <c r="M419" s="15" t="n">
        <v>68.09999999999999</v>
      </c>
      <c r="N419" s="15" t="n">
        <v>100.18</v>
      </c>
      <c r="O419" s="34" t="n">
        <v>44866</v>
      </c>
      <c r="P419" s="15" t="n">
        <v>163.5</v>
      </c>
      <c r="Q419" s="15" t="n">
        <v>176.4</v>
      </c>
      <c r="R419" s="34" t="n">
        <v>44866</v>
      </c>
      <c r="S419" s="15" t="n">
        <v>26.15</v>
      </c>
    </row>
    <row r="420">
      <c r="A420" s="34" t="n">
        <v>44867</v>
      </c>
      <c r="B420" s="266" t="n">
        <v>1.078613996505737</v>
      </c>
      <c r="C420" s="34" t="n">
        <v>44867</v>
      </c>
      <c r="D420" s="15" t="n">
        <v>29.35</v>
      </c>
      <c r="E420" s="15" t="n">
        <v>61.95</v>
      </c>
      <c r="F420" s="34" t="n">
        <v>44867</v>
      </c>
      <c r="G420" s="15" t="n">
        <v>97.34999999999999</v>
      </c>
      <c r="H420" s="15" t="n">
        <v>151.4</v>
      </c>
      <c r="I420" s="34" t="n">
        <v>44867</v>
      </c>
      <c r="J420" s="15" t="n">
        <v>23.65</v>
      </c>
      <c r="K420" s="15" t="n">
        <v>32.07</v>
      </c>
      <c r="L420" s="34" t="n">
        <v>44867</v>
      </c>
      <c r="M420" s="15" t="n">
        <v>68.95</v>
      </c>
      <c r="N420" s="15" t="n">
        <v>99.34999999999999</v>
      </c>
      <c r="O420" s="34" t="n">
        <v>44867</v>
      </c>
      <c r="P420" s="15" t="n">
        <v>174.2</v>
      </c>
      <c r="Q420" s="15" t="n">
        <v>182.3</v>
      </c>
      <c r="R420" s="34" t="n">
        <v>44867</v>
      </c>
      <c r="S420" s="15" t="n">
        <v>26</v>
      </c>
    </row>
    <row r="421">
      <c r="A421" s="34" t="n">
        <v>44868</v>
      </c>
      <c r="B421" s="266" t="n">
        <v>1.076753973960876</v>
      </c>
      <c r="C421" s="34" t="n">
        <v>44868</v>
      </c>
      <c r="D421" s="15" t="n">
        <v>30.5</v>
      </c>
      <c r="E421" s="15" t="n">
        <v>63.36</v>
      </c>
      <c r="F421" s="34" t="n">
        <v>44868</v>
      </c>
      <c r="G421" s="15" t="n">
        <v>97.09999999999999</v>
      </c>
      <c r="H421" s="15" t="n">
        <v>153.15</v>
      </c>
      <c r="I421" s="34" t="n">
        <v>44868</v>
      </c>
      <c r="J421" s="15" t="n">
        <v>24.45</v>
      </c>
      <c r="K421" s="15" t="n">
        <v>32.46</v>
      </c>
      <c r="L421" s="34" t="n">
        <v>44868</v>
      </c>
      <c r="M421" s="15" t="n">
        <v>66.84999999999999</v>
      </c>
      <c r="N421" s="15" t="n">
        <v>96.70999999999999</v>
      </c>
      <c r="O421" s="34" t="n">
        <v>44868</v>
      </c>
      <c r="P421" s="15" t="n">
        <v>171.5</v>
      </c>
      <c r="Q421" s="15" t="n">
        <v>182.61</v>
      </c>
      <c r="R421" s="34" t="n">
        <v>44868</v>
      </c>
      <c r="S421" s="15" t="n">
        <v>26.15</v>
      </c>
    </row>
    <row r="422">
      <c r="A422" s="34" t="n">
        <v>44869</v>
      </c>
      <c r="B422" s="266" t="n">
        <v>1.074813961982727</v>
      </c>
      <c r="C422" s="34" t="n">
        <v>44869</v>
      </c>
      <c r="D422" s="15" t="n">
        <v>32.8</v>
      </c>
      <c r="E422" s="15" t="n">
        <v>64.51000000000001</v>
      </c>
      <c r="F422" s="34" t="n">
        <v>44869</v>
      </c>
      <c r="G422" s="15" t="n">
        <v>101.1</v>
      </c>
      <c r="H422" s="15" t="n">
        <v>155.8</v>
      </c>
      <c r="I422" s="34" t="n">
        <v>44869</v>
      </c>
      <c r="J422" s="15" t="n">
        <v>25.15</v>
      </c>
      <c r="K422" s="15" t="n">
        <v>33.79</v>
      </c>
      <c r="L422" s="34" t="n">
        <v>44869</v>
      </c>
      <c r="M422" s="15" t="n">
        <v>71.40000000000001</v>
      </c>
      <c r="N422" s="15" t="n">
        <v>104.9</v>
      </c>
      <c r="O422" s="34" t="n">
        <v>44869</v>
      </c>
      <c r="P422" s="15" t="n">
        <v>183</v>
      </c>
      <c r="Q422" s="15" t="n">
        <v>197.09</v>
      </c>
      <c r="R422" s="34" t="n">
        <v>44869</v>
      </c>
      <c r="S422" s="15" t="n">
        <v>25.85</v>
      </c>
    </row>
    <row r="423">
      <c r="A423" s="34" t="n">
        <v>44872</v>
      </c>
      <c r="B423" s="266" t="n">
        <v>1.096333980560303</v>
      </c>
      <c r="C423" s="34" t="n">
        <v>44872</v>
      </c>
      <c r="D423" s="15" t="n">
        <v>35</v>
      </c>
      <c r="E423" s="15" t="n">
        <v>64.75</v>
      </c>
      <c r="F423" s="34" t="n">
        <v>44872</v>
      </c>
      <c r="G423" s="15" t="n">
        <v>102.9</v>
      </c>
      <c r="H423" s="15" t="n">
        <v>156.83</v>
      </c>
      <c r="I423" s="34" t="n">
        <v>44872</v>
      </c>
      <c r="J423" s="15" t="n">
        <v>24</v>
      </c>
      <c r="K423" s="15" t="n">
        <v>34.03</v>
      </c>
      <c r="L423" s="34" t="n">
        <v>44872</v>
      </c>
      <c r="M423" s="15" t="n">
        <v>72.5</v>
      </c>
      <c r="N423" s="15" t="n">
        <v>104.99</v>
      </c>
      <c r="O423" s="34" t="n">
        <v>44872</v>
      </c>
      <c r="P423" s="15" t="n">
        <v>176</v>
      </c>
      <c r="Q423" s="15" t="n">
        <v>191.3</v>
      </c>
      <c r="R423" s="34" t="n">
        <v>44872</v>
      </c>
      <c r="S423" s="15" t="n">
        <v>26.2</v>
      </c>
    </row>
    <row r="424">
      <c r="A424" s="34" t="n">
        <v>44873</v>
      </c>
      <c r="B424" s="266" t="n">
        <v>1.085438013076782</v>
      </c>
      <c r="C424" s="34" t="n">
        <v>44873</v>
      </c>
      <c r="D424" s="15" t="n">
        <v>33.9</v>
      </c>
      <c r="E424" s="15" t="n">
        <v>63.31</v>
      </c>
      <c r="F424" s="34" t="n">
        <v>44873</v>
      </c>
      <c r="G424" s="15" t="n">
        <v>98.90000000000001</v>
      </c>
      <c r="H424" s="15" t="n">
        <v>151.7</v>
      </c>
      <c r="I424" s="34" t="n">
        <v>44873</v>
      </c>
      <c r="J424" s="15" t="n">
        <v>28.3</v>
      </c>
      <c r="K424" s="15" t="n">
        <v>34.45</v>
      </c>
      <c r="L424" s="34" t="n">
        <v>44873</v>
      </c>
      <c r="M424" s="15" t="n">
        <v>76</v>
      </c>
      <c r="N424" s="15" t="n">
        <v>105.86</v>
      </c>
      <c r="O424" s="34" t="n">
        <v>44873</v>
      </c>
      <c r="P424" s="15" t="n">
        <v>177.6</v>
      </c>
      <c r="Q424" s="15" t="n">
        <v>191.35</v>
      </c>
      <c r="R424" s="34" t="n">
        <v>44873</v>
      </c>
      <c r="S424" s="15" t="n">
        <v>26.05</v>
      </c>
    </row>
    <row r="425">
      <c r="A425" s="34" t="n">
        <v>44874</v>
      </c>
      <c r="B425" s="266" t="n">
        <v>1.082811951637268</v>
      </c>
      <c r="C425" s="34" t="n">
        <v>44874</v>
      </c>
      <c r="D425" s="15" t="n">
        <v>33.15</v>
      </c>
      <c r="E425" s="15" t="n">
        <v>63.2</v>
      </c>
      <c r="F425" s="34" t="n">
        <v>44874</v>
      </c>
      <c r="G425" s="15" t="n">
        <v>95.34999999999999</v>
      </c>
      <c r="H425" s="15" t="n">
        <v>152</v>
      </c>
      <c r="I425" s="34" t="n">
        <v>44874</v>
      </c>
      <c r="J425" s="15" t="n">
        <v>26.7</v>
      </c>
      <c r="K425" s="15" t="n">
        <v>33.55</v>
      </c>
      <c r="L425" s="34" t="n">
        <v>44874</v>
      </c>
      <c r="M425" s="15" t="n">
        <v>78.7</v>
      </c>
      <c r="N425" s="15" t="n">
        <v>105.39</v>
      </c>
      <c r="O425" s="34" t="n">
        <v>44874</v>
      </c>
      <c r="P425" s="15" t="n">
        <v>178.4</v>
      </c>
      <c r="Q425" s="15" t="n">
        <v>189.11</v>
      </c>
      <c r="R425" s="34" t="n">
        <v>44874</v>
      </c>
      <c r="S425" s="15" t="n">
        <v>25.4</v>
      </c>
    </row>
    <row r="426">
      <c r="A426" s="34" t="n">
        <v>44875</v>
      </c>
      <c r="B426" s="266" t="n">
        <v>1.084288954734802</v>
      </c>
      <c r="C426" s="34" t="n">
        <v>44875</v>
      </c>
      <c r="D426" s="15" t="n">
        <v>32.55</v>
      </c>
      <c r="E426" s="15" t="n">
        <v>62.15</v>
      </c>
      <c r="F426" s="34" t="n">
        <v>44875</v>
      </c>
      <c r="G426" s="15" t="n">
        <v>92.8</v>
      </c>
      <c r="H426" s="15" t="n">
        <v>149.31</v>
      </c>
      <c r="I426" s="34" t="n">
        <v>44875</v>
      </c>
      <c r="J426" s="15" t="n">
        <v>25.85</v>
      </c>
      <c r="K426" s="15" t="n">
        <v>32.71</v>
      </c>
      <c r="L426" s="34" t="n">
        <v>44875</v>
      </c>
      <c r="M426" s="15" t="n">
        <v>72.55</v>
      </c>
      <c r="N426" s="15" t="n">
        <v>100.35</v>
      </c>
      <c r="O426" s="34" t="n">
        <v>44875</v>
      </c>
      <c r="P426" s="15" t="n">
        <v>168.8</v>
      </c>
      <c r="Q426" s="15" t="n">
        <v>188.99</v>
      </c>
      <c r="R426" s="34" t="n">
        <v>44875</v>
      </c>
      <c r="S426" s="15" t="n">
        <v>25.2</v>
      </c>
    </row>
    <row r="427">
      <c r="A427" s="34" t="n">
        <v>44876</v>
      </c>
      <c r="B427" s="266" t="n">
        <v>1.091645956039429</v>
      </c>
      <c r="C427" s="34" t="n">
        <v>44876</v>
      </c>
      <c r="D427" s="15" t="n">
        <v>36.15</v>
      </c>
      <c r="E427" s="15" t="n">
        <v>66.33</v>
      </c>
      <c r="F427" s="34" t="n">
        <v>44876</v>
      </c>
      <c r="G427" s="15" t="n">
        <v>103.1</v>
      </c>
      <c r="H427" s="15" t="n">
        <v>154.91</v>
      </c>
      <c r="I427" s="34" t="n">
        <v>44876</v>
      </c>
      <c r="J427" s="15" t="n">
        <v>26.5</v>
      </c>
      <c r="K427" s="15" t="n">
        <v>32.84</v>
      </c>
      <c r="L427" s="34" t="n">
        <v>44876</v>
      </c>
      <c r="M427" s="15" t="n">
        <v>73.5</v>
      </c>
      <c r="N427" s="15" t="n">
        <v>102.1</v>
      </c>
      <c r="O427" s="34" t="n">
        <v>44876</v>
      </c>
      <c r="P427" s="15" t="n">
        <v>181</v>
      </c>
      <c r="Q427" s="15" t="n">
        <v>195.88</v>
      </c>
      <c r="R427" s="34" t="n">
        <v>44876</v>
      </c>
      <c r="S427" s="15" t="n">
        <v>25.6</v>
      </c>
    </row>
    <row r="428">
      <c r="A428" s="34" t="n">
        <v>44879</v>
      </c>
      <c r="B428" s="266" t="n">
        <v>1.099599003791809</v>
      </c>
      <c r="C428" s="34" t="n">
        <v>44879</v>
      </c>
      <c r="D428" s="15" t="n">
        <v>38.5</v>
      </c>
      <c r="E428" s="15" t="n">
        <v>68.31999999999999</v>
      </c>
      <c r="F428" s="34" t="n">
        <v>44879</v>
      </c>
      <c r="G428" s="15" t="n">
        <v>107.8</v>
      </c>
      <c r="H428" s="15" t="n">
        <v>156.48</v>
      </c>
      <c r="I428" s="34" t="n">
        <v>44879</v>
      </c>
      <c r="J428" s="15" t="n">
        <v>26.9</v>
      </c>
      <c r="K428" s="15" t="n">
        <v>31.74</v>
      </c>
      <c r="L428" s="34" t="n">
        <v>44879</v>
      </c>
      <c r="M428" s="15" t="n">
        <v>70.05</v>
      </c>
      <c r="N428" s="15" t="n">
        <v>98.37</v>
      </c>
      <c r="O428" s="34" t="n">
        <v>44879</v>
      </c>
      <c r="P428" s="15" t="n">
        <v>170</v>
      </c>
      <c r="Q428" s="15" t="n">
        <v>187.5</v>
      </c>
      <c r="R428" s="34" t="n">
        <v>44879</v>
      </c>
      <c r="S428" s="15" t="n">
        <v>26.95</v>
      </c>
    </row>
    <row r="429">
      <c r="A429" s="34" t="n">
        <v>44880</v>
      </c>
      <c r="B429" s="266" t="n">
        <v>1.107100009918213</v>
      </c>
      <c r="C429" s="34" t="n">
        <v>44880</v>
      </c>
      <c r="D429" s="15" t="n">
        <v>38.35</v>
      </c>
      <c r="E429" s="15" t="n">
        <v>67.61</v>
      </c>
      <c r="F429" s="34" t="n">
        <v>44880</v>
      </c>
      <c r="G429" s="15" t="n">
        <v>109.6</v>
      </c>
      <c r="H429" s="15" t="n">
        <v>158.57</v>
      </c>
      <c r="I429" s="34" t="n">
        <v>44880</v>
      </c>
      <c r="J429" s="15" t="n">
        <v>27</v>
      </c>
      <c r="K429" s="15" t="n">
        <v>32.37</v>
      </c>
      <c r="L429" s="34" t="n">
        <v>44880</v>
      </c>
      <c r="M429" s="15" t="n">
        <v>71.3</v>
      </c>
      <c r="N429" s="15" t="n">
        <v>98.98999999999999</v>
      </c>
      <c r="O429" s="34" t="n">
        <v>44880</v>
      </c>
      <c r="P429" s="15" t="n">
        <v>175</v>
      </c>
      <c r="Q429" s="15" t="n">
        <v>191</v>
      </c>
      <c r="R429" s="34" t="n">
        <v>44880</v>
      </c>
      <c r="S429" s="15" t="n">
        <v>26.6</v>
      </c>
    </row>
    <row r="430">
      <c r="A430" s="34" t="n">
        <v>44881</v>
      </c>
      <c r="B430" s="266" t="n">
        <v>1.109894037246704</v>
      </c>
      <c r="C430" s="34" t="n">
        <v>44881</v>
      </c>
      <c r="D430" s="15" t="n">
        <v>38.35</v>
      </c>
      <c r="E430" s="15" t="n">
        <v>68.63</v>
      </c>
      <c r="F430" s="34" t="n">
        <v>44881</v>
      </c>
      <c r="G430" s="15" t="n">
        <v>106.2</v>
      </c>
      <c r="H430" s="15" t="n">
        <v>156.67</v>
      </c>
      <c r="I430" s="34" t="n">
        <v>44881</v>
      </c>
      <c r="J430" s="15" t="n">
        <v>26.35</v>
      </c>
      <c r="K430" s="15" t="n">
        <v>31.66</v>
      </c>
      <c r="L430" s="34" t="n">
        <v>44881</v>
      </c>
      <c r="M430" s="15" t="n">
        <v>66.5</v>
      </c>
      <c r="N430" s="15" t="n">
        <v>95.69</v>
      </c>
      <c r="O430" s="34" t="n">
        <v>44881</v>
      </c>
      <c r="P430" s="15" t="n">
        <v>179.5</v>
      </c>
      <c r="Q430" s="15" t="n">
        <v>194.2</v>
      </c>
      <c r="R430" s="34" t="n">
        <v>44881</v>
      </c>
      <c r="S430" s="15" t="n">
        <v>26.9</v>
      </c>
    </row>
    <row r="431">
      <c r="A431" s="34" t="n">
        <v>44882</v>
      </c>
      <c r="B431" s="266" t="n">
        <v>1.103749990463257</v>
      </c>
      <c r="C431" s="34" t="n">
        <v>44882</v>
      </c>
      <c r="D431" s="15" t="n">
        <v>37.15</v>
      </c>
      <c r="E431" s="15" t="n">
        <v>65.61</v>
      </c>
      <c r="F431" s="34" t="n">
        <v>44882</v>
      </c>
      <c r="G431" s="15" t="n">
        <v>105.8</v>
      </c>
      <c r="H431" s="15" t="n">
        <v>154.54</v>
      </c>
      <c r="I431" s="34" t="n">
        <v>44882</v>
      </c>
      <c r="J431" s="15" t="n">
        <v>26.05</v>
      </c>
      <c r="K431" s="15" t="n">
        <v>31.1</v>
      </c>
      <c r="L431" s="34" t="n">
        <v>44882</v>
      </c>
      <c r="M431" s="15" t="n">
        <v>66.40000000000001</v>
      </c>
      <c r="N431" s="15" t="n">
        <v>94.91</v>
      </c>
      <c r="O431" s="34" t="n">
        <v>44882</v>
      </c>
      <c r="P431" s="15" t="n">
        <v>177.4</v>
      </c>
      <c r="Q431" s="15" t="n">
        <v>192.99</v>
      </c>
      <c r="R431" s="34" t="n">
        <v>44882</v>
      </c>
      <c r="S431" s="15" t="n">
        <v>26.85</v>
      </c>
    </row>
    <row r="432">
      <c r="A432" s="34" t="n">
        <v>44883</v>
      </c>
      <c r="B432" s="266" t="n">
        <v>1.093418002128601</v>
      </c>
      <c r="C432" s="34" t="n">
        <v>44883</v>
      </c>
      <c r="D432" s="15" t="n">
        <v>37.75</v>
      </c>
      <c r="E432" s="15" t="n">
        <v>66.25</v>
      </c>
      <c r="F432" s="34" t="n">
        <v>44883</v>
      </c>
      <c r="G432" s="15" t="n">
        <v>103.2</v>
      </c>
      <c r="H432" s="15" t="n">
        <v>152.39</v>
      </c>
      <c r="I432" s="34" t="n">
        <v>44883</v>
      </c>
      <c r="J432" s="15" t="n">
        <v>26</v>
      </c>
      <c r="K432" s="15" t="n">
        <v>30.53</v>
      </c>
      <c r="L432" s="34" t="n">
        <v>44883</v>
      </c>
      <c r="M432" s="15" t="n">
        <v>64.5</v>
      </c>
      <c r="N432" s="15" t="n">
        <v>92.02</v>
      </c>
      <c r="O432" s="34" t="n">
        <v>44883</v>
      </c>
      <c r="P432" s="15" t="n">
        <v>178.8</v>
      </c>
      <c r="Q432" s="15" t="n">
        <v>190.8</v>
      </c>
      <c r="R432" s="34" t="n">
        <v>44883</v>
      </c>
      <c r="S432" s="15" t="n">
        <v>26.2</v>
      </c>
    </row>
    <row r="433">
      <c r="A433" s="34" t="n">
        <v>44886</v>
      </c>
      <c r="B433" s="266" t="n">
        <v>1.096133947372437</v>
      </c>
      <c r="C433" s="34" t="n">
        <v>44886</v>
      </c>
      <c r="D433" s="15" t="n">
        <v>36.95</v>
      </c>
      <c r="E433" s="15" t="n">
        <v>65.7</v>
      </c>
      <c r="F433" s="34" t="n">
        <v>44886</v>
      </c>
      <c r="G433" s="15" t="n">
        <v>99.40000000000001</v>
      </c>
      <c r="H433" s="15" t="n">
        <v>149.77</v>
      </c>
      <c r="I433" s="34" t="n">
        <v>44886</v>
      </c>
      <c r="J433" s="15" t="n">
        <v>26</v>
      </c>
      <c r="K433" s="15" t="n">
        <v>30.85</v>
      </c>
      <c r="L433" s="34" t="n">
        <v>44886</v>
      </c>
      <c r="M433" s="15" t="n">
        <v>66.84999999999999</v>
      </c>
      <c r="N433" s="15" t="n">
        <v>93.23999999999999</v>
      </c>
      <c r="O433" s="34" t="n">
        <v>44886</v>
      </c>
      <c r="P433" s="15" t="n">
        <v>174.3</v>
      </c>
      <c r="Q433" s="15" t="n">
        <v>184.52</v>
      </c>
      <c r="R433" s="34" t="n">
        <v>44886</v>
      </c>
      <c r="S433" s="15" t="n">
        <v>26.8</v>
      </c>
    </row>
    <row r="434">
      <c r="A434" s="34" t="n">
        <v>44887</v>
      </c>
      <c r="B434" s="266" t="n">
        <v>1.089416027069092</v>
      </c>
      <c r="C434" s="34" t="n">
        <v>44887</v>
      </c>
      <c r="D434" s="15" t="n">
        <v>34.55</v>
      </c>
      <c r="E434" s="15" t="n">
        <v>61.65</v>
      </c>
      <c r="F434" s="34" t="n">
        <v>44887</v>
      </c>
      <c r="G434" s="15" t="n">
        <v>96.8</v>
      </c>
      <c r="H434" s="15" t="n">
        <v>145.02</v>
      </c>
      <c r="I434" s="34" t="n">
        <v>44887</v>
      </c>
      <c r="J434" s="15" t="n">
        <v>25.75</v>
      </c>
      <c r="K434" s="15" t="n">
        <v>30.05</v>
      </c>
      <c r="L434" s="34" t="n">
        <v>44887</v>
      </c>
      <c r="M434" s="15" t="n">
        <v>65.2</v>
      </c>
      <c r="N434" s="15" t="n">
        <v>91.18000000000001</v>
      </c>
      <c r="O434" s="34" t="n">
        <v>44887</v>
      </c>
      <c r="P434" s="15" t="n">
        <v>174.9</v>
      </c>
      <c r="Q434" s="15" t="n">
        <v>183.25</v>
      </c>
      <c r="R434" s="34" t="n">
        <v>44887</v>
      </c>
      <c r="S434" s="15" t="n">
        <v>25.8</v>
      </c>
    </row>
    <row r="435">
      <c r="A435" s="34" t="n">
        <v>44888</v>
      </c>
      <c r="B435" s="266" t="n">
        <v>1.095062017440796</v>
      </c>
      <c r="C435" s="34" t="n">
        <v>44888</v>
      </c>
      <c r="D435" s="15" t="n">
        <v>33.5</v>
      </c>
      <c r="E435" s="15" t="n">
        <v>60.58</v>
      </c>
      <c r="F435" s="34" t="n">
        <v>44888</v>
      </c>
      <c r="G435" s="15" t="n">
        <v>93.8</v>
      </c>
      <c r="H435" s="15" t="n">
        <v>138.9</v>
      </c>
      <c r="I435" s="34" t="n">
        <v>44888</v>
      </c>
      <c r="J435" s="15" t="n">
        <v>25</v>
      </c>
      <c r="K435" s="15" t="n">
        <v>30.12</v>
      </c>
      <c r="L435" s="34" t="n">
        <v>44888</v>
      </c>
      <c r="M435" s="15" t="n">
        <v>65.84999999999999</v>
      </c>
      <c r="N435" s="15" t="n">
        <v>91.83</v>
      </c>
      <c r="O435" s="34" t="n">
        <v>44888</v>
      </c>
      <c r="P435" s="15" t="n">
        <v>172.8</v>
      </c>
      <c r="Q435" s="15" t="n">
        <v>181.16</v>
      </c>
      <c r="R435" s="34" t="n">
        <v>44888</v>
      </c>
      <c r="S435" s="15" t="n">
        <v>25.7</v>
      </c>
    </row>
    <row r="436">
      <c r="A436" s="34" t="n">
        <v>44889</v>
      </c>
      <c r="B436" s="266" t="n">
        <v>1.091977000236511</v>
      </c>
      <c r="C436" s="34" t="n">
        <v>44889</v>
      </c>
      <c r="D436" s="15" t="n">
        <v>34.8</v>
      </c>
      <c r="E436" s="15" t="n">
        <v>60.63</v>
      </c>
      <c r="F436" s="34" t="n">
        <v>44889</v>
      </c>
      <c r="G436" s="15" t="n">
        <v>92.2</v>
      </c>
      <c r="H436" s="15" t="n">
        <v>139.45</v>
      </c>
      <c r="I436" s="34" t="n">
        <v>44889</v>
      </c>
      <c r="J436" s="15" t="n">
        <v>23.9</v>
      </c>
      <c r="K436" s="15" t="n">
        <v>30.33</v>
      </c>
      <c r="L436" s="34" t="n">
        <v>44889</v>
      </c>
      <c r="M436" s="15" t="n">
        <v>65.84999999999999</v>
      </c>
      <c r="N436" s="15" t="n">
        <v>92.38</v>
      </c>
      <c r="O436" s="34" t="n">
        <v>44889</v>
      </c>
      <c r="P436" s="15" t="n">
        <v>172.7</v>
      </c>
      <c r="Q436" s="15" t="n">
        <v>179.1</v>
      </c>
      <c r="R436" s="34" t="n">
        <v>44889</v>
      </c>
      <c r="S436" s="15" t="n">
        <v>25.8</v>
      </c>
    </row>
    <row r="437">
      <c r="A437" s="34" t="n">
        <v>44890</v>
      </c>
      <c r="B437" s="266" t="n">
        <v>1.091302990913391</v>
      </c>
      <c r="C437" s="34" t="n">
        <v>44890</v>
      </c>
      <c r="D437" s="15" t="n">
        <v>33.55</v>
      </c>
      <c r="E437" s="15" t="n">
        <v>59.16</v>
      </c>
      <c r="F437" s="34" t="n">
        <v>44890</v>
      </c>
      <c r="G437" s="15" t="n">
        <v>91.09999999999999</v>
      </c>
      <c r="H437" s="15" t="n">
        <v>138.1</v>
      </c>
      <c r="I437" s="34" t="n">
        <v>44890</v>
      </c>
      <c r="J437" s="15" t="n">
        <v>23.55</v>
      </c>
      <c r="K437" s="15" t="n">
        <v>29.42</v>
      </c>
      <c r="L437" s="34" t="n">
        <v>44890</v>
      </c>
      <c r="M437" s="15" t="n">
        <v>63.25</v>
      </c>
      <c r="N437" s="15" t="n">
        <v>89.56999999999999</v>
      </c>
      <c r="O437" s="34" t="n">
        <v>44890</v>
      </c>
      <c r="P437" s="15" t="n">
        <v>168</v>
      </c>
      <c r="Q437" s="15" t="n">
        <v>178.66</v>
      </c>
      <c r="R437" s="34" t="n">
        <v>44890</v>
      </c>
      <c r="S437" s="15" t="n">
        <v>26.35</v>
      </c>
    </row>
    <row r="438">
      <c r="A438" s="34" t="n">
        <v>44893</v>
      </c>
      <c r="B438" s="266" t="n">
        <v>1.086598038673401</v>
      </c>
      <c r="C438" s="34" t="n">
        <v>44893</v>
      </c>
      <c r="D438" s="15" t="n">
        <v>34</v>
      </c>
      <c r="E438" s="15" t="n">
        <v>57.72</v>
      </c>
      <c r="F438" s="34" t="n">
        <v>44893</v>
      </c>
      <c r="G438" s="15" t="n">
        <v>90.5</v>
      </c>
      <c r="H438" s="15" t="n">
        <v>133.6</v>
      </c>
      <c r="I438" s="34" t="n">
        <v>44893</v>
      </c>
      <c r="J438" s="15" t="n">
        <v>22.4</v>
      </c>
      <c r="K438" s="15" t="n">
        <v>29.04</v>
      </c>
      <c r="L438" s="34" t="n">
        <v>44893</v>
      </c>
      <c r="M438" s="15" t="n">
        <v>61</v>
      </c>
      <c r="N438" s="15" t="n">
        <v>87.09999999999999</v>
      </c>
      <c r="O438" s="34" t="n">
        <v>44893</v>
      </c>
      <c r="P438" s="15" t="n">
        <v>172.2</v>
      </c>
      <c r="Q438" s="15" t="n">
        <v>183.86</v>
      </c>
      <c r="R438" s="34" t="n">
        <v>44893</v>
      </c>
      <c r="S438" s="15" t="n">
        <v>26</v>
      </c>
    </row>
    <row r="439">
      <c r="A439" s="34" t="n">
        <v>44894</v>
      </c>
      <c r="B439" s="266" t="n">
        <v>1.083866000175476</v>
      </c>
      <c r="C439" s="34" t="n">
        <v>44894</v>
      </c>
      <c r="D439" s="15" t="n">
        <v>35.05</v>
      </c>
      <c r="E439" s="15" t="n">
        <v>58.7</v>
      </c>
      <c r="F439" s="34" t="n">
        <v>44894</v>
      </c>
      <c r="G439" s="15" t="n">
        <v>93.2</v>
      </c>
      <c r="H439" s="15" t="n">
        <v>136.17</v>
      </c>
      <c r="I439" s="34" t="n">
        <v>44894</v>
      </c>
      <c r="J439" s="15" t="n">
        <v>23.4</v>
      </c>
      <c r="K439" s="15" t="n">
        <v>29.47</v>
      </c>
      <c r="L439" s="34" t="n">
        <v>44894</v>
      </c>
      <c r="M439" s="15" t="n">
        <v>61.95</v>
      </c>
      <c r="N439" s="15" t="n">
        <v>87.8</v>
      </c>
      <c r="O439" s="34" t="n">
        <v>44894</v>
      </c>
      <c r="P439" s="15" t="n">
        <v>181.5</v>
      </c>
      <c r="Q439" s="15" t="n">
        <v>194.97</v>
      </c>
      <c r="R439" s="34" t="n">
        <v>44894</v>
      </c>
      <c r="S439" s="15" t="n">
        <v>26.1</v>
      </c>
    </row>
    <row r="440">
      <c r="A440" s="34" t="n">
        <v>44895</v>
      </c>
      <c r="B440" s="266" t="n">
        <v>1.091042995452881</v>
      </c>
      <c r="C440" s="34" t="n">
        <v>44895</v>
      </c>
      <c r="D440" s="15" t="n">
        <v>36.15</v>
      </c>
      <c r="E440" s="15" t="n">
        <v>58.13</v>
      </c>
      <c r="F440" s="34" t="n">
        <v>44895</v>
      </c>
      <c r="G440" s="15" t="n">
        <v>94.5</v>
      </c>
      <c r="H440" s="15" t="n">
        <v>134.16</v>
      </c>
      <c r="I440" s="34" t="n">
        <v>44895</v>
      </c>
      <c r="J440" s="15" t="n">
        <v>23.85</v>
      </c>
      <c r="K440" s="15" t="n">
        <v>29.86</v>
      </c>
      <c r="L440" s="34" t="n">
        <v>44895</v>
      </c>
      <c r="M440" s="15" t="n">
        <v>65</v>
      </c>
      <c r="N440" s="15" t="n">
        <v>90.13</v>
      </c>
      <c r="O440" s="34" t="n">
        <v>44895</v>
      </c>
      <c r="P440" s="15" t="n">
        <v>196.2</v>
      </c>
      <c r="Q440" s="15" t="n">
        <v>197.48</v>
      </c>
      <c r="R440" s="34" t="n">
        <v>44895</v>
      </c>
      <c r="S440" s="15" t="n">
        <v>25.95</v>
      </c>
    </row>
    <row r="441">
      <c r="A441" s="34" t="n">
        <v>44896</v>
      </c>
      <c r="B441" s="266" t="n">
        <v>1.100015044212341</v>
      </c>
      <c r="C441" s="34" t="n">
        <v>44896</v>
      </c>
      <c r="D441" s="15" t="n">
        <v>36.5</v>
      </c>
      <c r="E441" s="15" t="n">
        <v>59.54</v>
      </c>
      <c r="F441" s="34" t="n">
        <v>44896</v>
      </c>
      <c r="G441" s="15" t="n">
        <v>95.40000000000001</v>
      </c>
      <c r="H441" s="15" t="n">
        <v>137.48</v>
      </c>
      <c r="I441" s="34" t="n">
        <v>44896</v>
      </c>
      <c r="J441" s="15" t="n">
        <v>23.65</v>
      </c>
      <c r="K441" s="15" t="n">
        <v>31</v>
      </c>
      <c r="L441" s="34" t="n">
        <v>44896</v>
      </c>
      <c r="M441" s="15" t="n">
        <v>66.2</v>
      </c>
      <c r="N441" s="15" t="n">
        <v>89.76000000000001</v>
      </c>
      <c r="O441" s="34" t="n">
        <v>44896</v>
      </c>
      <c r="P441" s="15" t="n">
        <v>201</v>
      </c>
      <c r="Q441" s="15" t="n">
        <v>204</v>
      </c>
      <c r="R441" s="34" t="n">
        <v>44896</v>
      </c>
      <c r="S441" s="15" t="n">
        <v>26</v>
      </c>
    </row>
    <row r="442">
      <c r="A442" s="34" t="n">
        <v>44897</v>
      </c>
      <c r="B442" s="266" t="n">
        <v>1.104261994361877</v>
      </c>
      <c r="C442" s="34" t="n">
        <v>44897</v>
      </c>
      <c r="D442" s="15" t="n">
        <v>40.4</v>
      </c>
      <c r="E442" s="15" t="n">
        <v>58.3</v>
      </c>
      <c r="F442" s="34" t="n">
        <v>44897</v>
      </c>
      <c r="G442" s="15" t="n">
        <v>96.09999999999999</v>
      </c>
      <c r="H442" s="15" t="n">
        <v>133.21</v>
      </c>
      <c r="I442" s="34" t="n">
        <v>44897</v>
      </c>
      <c r="J442" s="15" t="n">
        <v>23.3</v>
      </c>
      <c r="K442" s="15" t="n">
        <v>30.39</v>
      </c>
      <c r="L442" s="34" t="n">
        <v>44897</v>
      </c>
      <c r="M442" s="15" t="n">
        <v>65.3</v>
      </c>
      <c r="N442" s="15" t="n">
        <v>88.43000000000001</v>
      </c>
      <c r="O442" s="34" t="n">
        <v>44897</v>
      </c>
      <c r="P442" s="15" t="n">
        <v>195</v>
      </c>
      <c r="Q442" s="15" t="n">
        <v>199.4</v>
      </c>
      <c r="R442" s="34" t="n">
        <v>44897</v>
      </c>
      <c r="S442" s="15" t="n">
        <v>26</v>
      </c>
    </row>
    <row r="443">
      <c r="A443" s="34" t="n">
        <v>44900</v>
      </c>
      <c r="B443" s="266" t="n">
        <v>1.109439969062805</v>
      </c>
      <c r="C443" s="34" t="n">
        <v>44900</v>
      </c>
      <c r="D443" s="15" t="n">
        <v>41.35</v>
      </c>
      <c r="E443" s="15" t="n">
        <v>60.18</v>
      </c>
      <c r="F443" s="34" t="n">
        <v>44900</v>
      </c>
      <c r="G443" s="15" t="n">
        <v>97.5</v>
      </c>
      <c r="H443" s="15" t="n">
        <v>133.96</v>
      </c>
      <c r="I443" s="34" t="n">
        <v>44900</v>
      </c>
      <c r="J443" s="15" t="n">
        <v>23.1</v>
      </c>
      <c r="K443" s="15" t="n">
        <v>29.82</v>
      </c>
      <c r="L443" s="34" t="n">
        <v>44900</v>
      </c>
      <c r="M443" s="15" t="n">
        <v>67.5</v>
      </c>
      <c r="N443" s="15" t="n">
        <v>88.3</v>
      </c>
      <c r="O443" s="34" t="n">
        <v>44900</v>
      </c>
      <c r="P443" s="15" t="n">
        <v>204.8</v>
      </c>
      <c r="Q443" s="15" t="n">
        <v>204.92</v>
      </c>
      <c r="R443" s="34" t="n">
        <v>44900</v>
      </c>
      <c r="S443" s="15" t="n">
        <v>26</v>
      </c>
    </row>
    <row r="444">
      <c r="A444" s="34" t="n">
        <v>44901</v>
      </c>
      <c r="B444" s="266" t="n">
        <v>1.11556601524353</v>
      </c>
      <c r="C444" s="34" t="n">
        <v>44901</v>
      </c>
      <c r="D444" s="15" t="n">
        <v>38.6</v>
      </c>
      <c r="E444" s="15" t="n">
        <v>60.58</v>
      </c>
      <c r="F444" s="34" t="n">
        <v>44901</v>
      </c>
      <c r="G444" s="15" t="n">
        <v>95.59999999999999</v>
      </c>
      <c r="H444" s="15" t="n">
        <v>134.34</v>
      </c>
      <c r="I444" s="34" t="n">
        <v>44901</v>
      </c>
      <c r="J444" s="15" t="n">
        <v>22.8</v>
      </c>
      <c r="K444" s="15" t="n">
        <v>29.09</v>
      </c>
      <c r="L444" s="34" t="n">
        <v>44901</v>
      </c>
      <c r="M444" s="15" t="n">
        <v>65.7</v>
      </c>
      <c r="N444" s="15" t="n">
        <v>89.22</v>
      </c>
      <c r="O444" s="34" t="n">
        <v>44901</v>
      </c>
      <c r="P444" s="15" t="n">
        <v>199.9</v>
      </c>
      <c r="Q444" s="15" t="n">
        <v>210</v>
      </c>
      <c r="R444" s="34" t="n">
        <v>44901</v>
      </c>
      <c r="S444" s="15" t="n">
        <v>25.9</v>
      </c>
    </row>
    <row r="445">
      <c r="A445" s="34" t="n">
        <v>44902</v>
      </c>
      <c r="B445" s="266" t="n">
        <v>1.111405968666077</v>
      </c>
      <c r="C445" s="34" t="n">
        <v>44902</v>
      </c>
      <c r="D445" s="15" t="n">
        <v>38.35</v>
      </c>
      <c r="E445" s="15" t="n">
        <v>60.6</v>
      </c>
      <c r="F445" s="34" t="n">
        <v>44902</v>
      </c>
      <c r="G445" s="15" t="n">
        <v>93</v>
      </c>
      <c r="H445" s="15" t="n">
        <v>136.56</v>
      </c>
      <c r="I445" s="34" t="n">
        <v>44902</v>
      </c>
      <c r="J445" s="15" t="n">
        <v>22.85</v>
      </c>
      <c r="K445" s="15" t="n">
        <v>29.21</v>
      </c>
      <c r="L445" s="34" t="n">
        <v>44902</v>
      </c>
      <c r="M445" s="15" t="n">
        <v>63.9</v>
      </c>
      <c r="N445" s="15" t="n">
        <v>89.67</v>
      </c>
      <c r="O445" s="34" t="n">
        <v>44902</v>
      </c>
      <c r="P445" s="15" t="n">
        <v>200</v>
      </c>
      <c r="Q445" s="15" t="n">
        <v>214.4</v>
      </c>
      <c r="R445" s="34" t="n">
        <v>44902</v>
      </c>
      <c r="S445" s="15" t="n">
        <v>25.95</v>
      </c>
    </row>
    <row r="446">
      <c r="A446" s="34" t="n">
        <v>44903</v>
      </c>
      <c r="B446" s="266" t="n">
        <v>1.117617964744568</v>
      </c>
      <c r="C446" s="34" t="n">
        <v>44903</v>
      </c>
      <c r="D446" s="15" t="n">
        <v>38.35</v>
      </c>
      <c r="E446" s="15" t="n">
        <v>60.02</v>
      </c>
      <c r="F446" s="34" t="n">
        <v>44903</v>
      </c>
      <c r="G446" s="15" t="n">
        <v>97.2</v>
      </c>
      <c r="H446" s="15" t="n">
        <v>135.74</v>
      </c>
      <c r="I446" s="34" t="n">
        <v>44903</v>
      </c>
      <c r="J446" s="15" t="n">
        <v>23.2</v>
      </c>
      <c r="K446" s="15" t="n">
        <v>29.27</v>
      </c>
      <c r="L446" s="34" t="n">
        <v>44903</v>
      </c>
      <c r="M446" s="15" t="n">
        <v>64.40000000000001</v>
      </c>
      <c r="N446" s="15" t="n">
        <v>89</v>
      </c>
      <c r="O446" s="34" t="n">
        <v>44903</v>
      </c>
      <c r="P446" s="15" t="n">
        <v>210.8</v>
      </c>
      <c r="Q446" s="15" t="n">
        <v>214.5</v>
      </c>
      <c r="R446" s="34" t="n">
        <v>44903</v>
      </c>
      <c r="S446" s="15" t="n">
        <v>26</v>
      </c>
    </row>
    <row r="447">
      <c r="A447" s="34" t="n">
        <v>44904</v>
      </c>
      <c r="B447" s="266" t="n">
        <v>1.117110013961792</v>
      </c>
      <c r="C447" s="34" t="n">
        <v>44904</v>
      </c>
      <c r="D447" s="15" t="n">
        <v>38.25</v>
      </c>
      <c r="E447" s="15" t="n">
        <v>59.47</v>
      </c>
      <c r="F447" s="34" t="n">
        <v>44904</v>
      </c>
      <c r="G447" s="15" t="n">
        <v>97</v>
      </c>
      <c r="H447" s="15" t="n">
        <v>136.12</v>
      </c>
      <c r="I447" s="34" t="n">
        <v>44904</v>
      </c>
      <c r="J447" s="15" t="n">
        <v>24.1</v>
      </c>
      <c r="K447" s="15" t="n">
        <v>29.45</v>
      </c>
      <c r="L447" s="34" t="n">
        <v>44904</v>
      </c>
      <c r="M447" s="15" t="n">
        <v>67.7</v>
      </c>
      <c r="N447" s="15" t="n">
        <v>88.90000000000001</v>
      </c>
      <c r="O447" s="34" t="n">
        <v>44904</v>
      </c>
      <c r="P447" s="15" t="n">
        <v>213.4</v>
      </c>
      <c r="Q447" s="15" t="n">
        <v>213.23</v>
      </c>
      <c r="R447" s="34" t="n">
        <v>44904</v>
      </c>
      <c r="S447" s="15" t="n">
        <v>25.95</v>
      </c>
    </row>
    <row r="448">
      <c r="A448" s="34" t="n">
        <v>44907</v>
      </c>
      <c r="B448" s="266" t="n">
        <v>1.115543961524963</v>
      </c>
      <c r="C448" s="34" t="n">
        <v>44907</v>
      </c>
      <c r="D448" s="15" t="n">
        <v>36.3</v>
      </c>
      <c r="E448" s="15" t="n">
        <v>59.37</v>
      </c>
      <c r="F448" s="34" t="n">
        <v>44907</v>
      </c>
      <c r="G448" s="15" t="n">
        <v>98.3</v>
      </c>
      <c r="H448" s="15" t="n">
        <v>135.55</v>
      </c>
      <c r="I448" s="34" t="n">
        <v>44907</v>
      </c>
      <c r="J448" s="15" t="n">
        <v>23.8</v>
      </c>
      <c r="K448" s="15" t="n">
        <v>29.11</v>
      </c>
      <c r="L448" s="34" t="n">
        <v>44907</v>
      </c>
      <c r="M448" s="15" t="n">
        <v>67.3</v>
      </c>
      <c r="N448" s="15" t="n">
        <v>86.84999999999999</v>
      </c>
      <c r="O448" s="34" t="n">
        <v>44907</v>
      </c>
      <c r="P448" s="15" t="n">
        <v>212</v>
      </c>
      <c r="Q448" s="15" t="n">
        <v>215.77</v>
      </c>
      <c r="R448" s="34" t="n">
        <v>44907</v>
      </c>
      <c r="S448" s="15" t="n">
        <v>25.65</v>
      </c>
    </row>
    <row r="449">
      <c r="A449" s="34" t="n">
        <v>44908</v>
      </c>
      <c r="B449" s="266" t="n">
        <v>1.11419403553009</v>
      </c>
      <c r="C449" s="34" t="n">
        <v>44908</v>
      </c>
      <c r="D449" s="15" t="n">
        <v>35.35</v>
      </c>
      <c r="E449" s="15" t="n">
        <v>58.08</v>
      </c>
      <c r="F449" s="34" t="n">
        <v>44908</v>
      </c>
      <c r="G449" s="15" t="n">
        <v>94.05</v>
      </c>
      <c r="H449" s="15" t="n">
        <v>135.16</v>
      </c>
      <c r="I449" s="34" t="n">
        <v>44908</v>
      </c>
      <c r="J449" s="15" t="n">
        <v>24.6</v>
      </c>
      <c r="K449" s="15" t="n">
        <v>29.94</v>
      </c>
      <c r="L449" s="34" t="n">
        <v>44908</v>
      </c>
      <c r="M449" s="15" t="n">
        <v>66.2</v>
      </c>
      <c r="N449" s="15" t="n">
        <v>85.68000000000001</v>
      </c>
      <c r="O449" s="34" t="n">
        <v>44908</v>
      </c>
      <c r="P449" s="15" t="n">
        <v>208.6</v>
      </c>
      <c r="Q449" s="15" t="n">
        <v>213.74</v>
      </c>
      <c r="R449" s="34" t="n">
        <v>44908</v>
      </c>
      <c r="S449" s="15" t="n">
        <v>25.8</v>
      </c>
    </row>
    <row r="450">
      <c r="A450" s="34" t="n">
        <v>44909</v>
      </c>
      <c r="B450" s="266" t="n">
        <v>1.119148015975952</v>
      </c>
      <c r="C450" s="34" t="n">
        <v>44909</v>
      </c>
      <c r="D450" s="15" t="n">
        <v>38.6</v>
      </c>
      <c r="E450" s="15" t="n">
        <v>58.7</v>
      </c>
      <c r="F450" s="34" t="n">
        <v>44909</v>
      </c>
      <c r="G450" s="15" t="n">
        <v>95.5</v>
      </c>
      <c r="H450" s="15" t="n">
        <v>135.08</v>
      </c>
      <c r="I450" s="34" t="n">
        <v>44909</v>
      </c>
      <c r="J450" s="15" t="n">
        <v>24.1</v>
      </c>
      <c r="K450" s="15" t="n">
        <v>29.54</v>
      </c>
      <c r="L450" s="34" t="n">
        <v>44909</v>
      </c>
      <c r="M450" s="15" t="n">
        <v>66.75</v>
      </c>
      <c r="N450" s="15" t="n">
        <v>85.58</v>
      </c>
      <c r="O450" s="34" t="n">
        <v>44909</v>
      </c>
      <c r="P450" s="15" t="n">
        <v>215</v>
      </c>
      <c r="Q450" s="15" t="n">
        <v>218.84</v>
      </c>
      <c r="R450" s="34" t="n">
        <v>44909</v>
      </c>
      <c r="S450" s="15" t="n">
        <v>25.8</v>
      </c>
    </row>
    <row r="451">
      <c r="A451" s="34" t="n">
        <v>44910</v>
      </c>
      <c r="B451" s="266" t="n">
        <v>1.118654012680054</v>
      </c>
      <c r="C451" s="34" t="n">
        <v>44910</v>
      </c>
      <c r="D451" s="15" t="n">
        <v>36.35</v>
      </c>
      <c r="E451" s="15" t="n">
        <v>57.66</v>
      </c>
      <c r="F451" s="34" t="n">
        <v>44910</v>
      </c>
      <c r="G451" s="15" t="n">
        <v>94</v>
      </c>
      <c r="H451" s="15" t="n">
        <v>134.91</v>
      </c>
      <c r="I451" s="34" t="n">
        <v>44910</v>
      </c>
      <c r="J451" s="15" t="n">
        <v>24.4</v>
      </c>
      <c r="K451" s="15" t="n">
        <v>30.13</v>
      </c>
      <c r="L451" s="34" t="n">
        <v>44910</v>
      </c>
      <c r="M451" s="15" t="n">
        <v>67.34999999999999</v>
      </c>
      <c r="N451" s="15" t="n">
        <v>87.18000000000001</v>
      </c>
      <c r="O451" s="34" t="n">
        <v>44910</v>
      </c>
      <c r="P451" s="15" t="n">
        <v>217</v>
      </c>
      <c r="Q451" s="15" t="n">
        <v>219.7</v>
      </c>
      <c r="R451" s="34" t="n">
        <v>44910</v>
      </c>
      <c r="S451" s="15" t="n">
        <v>25.8</v>
      </c>
    </row>
    <row r="452">
      <c r="A452" s="34" t="n">
        <v>44911</v>
      </c>
      <c r="B452" s="266" t="n">
        <v>1.116045951843262</v>
      </c>
      <c r="C452" s="34" t="n">
        <v>44911</v>
      </c>
      <c r="D452" s="15" t="n">
        <v>37.75</v>
      </c>
      <c r="E452" s="15" t="n">
        <v>57.65</v>
      </c>
      <c r="F452" s="34" t="n">
        <v>44911</v>
      </c>
      <c r="G452" s="15" t="n">
        <v>95.2</v>
      </c>
      <c r="H452" s="15" t="n">
        <v>131.1</v>
      </c>
      <c r="I452" s="34" t="n">
        <v>44911</v>
      </c>
      <c r="J452" s="15" t="n">
        <v>23.1</v>
      </c>
      <c r="K452" s="15" t="n">
        <v>29.76</v>
      </c>
      <c r="L452" s="34" t="n">
        <v>44911</v>
      </c>
      <c r="M452" s="15" t="n">
        <v>64</v>
      </c>
      <c r="N452" s="15" t="n">
        <v>83.47</v>
      </c>
      <c r="O452" s="34" t="n">
        <v>44911</v>
      </c>
      <c r="P452" s="15" t="n">
        <v>220.4</v>
      </c>
      <c r="Q452" s="15" t="n">
        <v>221.7</v>
      </c>
      <c r="R452" s="34" t="n">
        <v>44911</v>
      </c>
      <c r="S452" s="15" t="n">
        <v>25.6</v>
      </c>
    </row>
    <row r="453">
      <c r="A453" s="34" t="n">
        <v>44914</v>
      </c>
      <c r="B453" s="266" t="n">
        <v>1.115512013435364</v>
      </c>
      <c r="C453" s="34" t="n">
        <v>44914</v>
      </c>
      <c r="D453" s="15" t="n">
        <v>34.9</v>
      </c>
      <c r="E453" s="15" t="n">
        <v>54.76</v>
      </c>
      <c r="F453" s="34" t="n">
        <v>44914</v>
      </c>
      <c r="G453" s="15" t="n">
        <v>91.5</v>
      </c>
      <c r="H453" s="15" t="n">
        <v>128.83</v>
      </c>
      <c r="I453" s="34" t="n">
        <v>44914</v>
      </c>
      <c r="J453" s="15" t="n">
        <v>22.3</v>
      </c>
      <c r="K453" s="15" t="n">
        <v>29.2</v>
      </c>
      <c r="L453" s="34" t="n">
        <v>44914</v>
      </c>
      <c r="M453" s="15" t="n">
        <v>64.25</v>
      </c>
      <c r="N453" s="15" t="n">
        <v>87.34999999999999</v>
      </c>
      <c r="O453" s="34" t="n">
        <v>44914</v>
      </c>
      <c r="P453" s="15" t="n">
        <v>214.8</v>
      </c>
      <c r="Q453" s="15" t="n">
        <v>218</v>
      </c>
      <c r="R453" s="34" t="n">
        <v>44914</v>
      </c>
      <c r="S453" s="15" t="n">
        <v>25.7</v>
      </c>
    </row>
    <row r="454">
      <c r="A454" s="34" t="n">
        <v>44915</v>
      </c>
      <c r="B454" s="266" t="n">
        <v>1.114526987075806</v>
      </c>
      <c r="C454" s="34" t="n">
        <v>44915</v>
      </c>
      <c r="D454" s="15" t="n">
        <v>34.65</v>
      </c>
      <c r="E454" s="15" t="n">
        <v>54.18</v>
      </c>
      <c r="F454" s="34" t="n">
        <v>44915</v>
      </c>
      <c r="G454" s="15" t="n">
        <v>89.55</v>
      </c>
      <c r="H454" s="15" t="n">
        <v>128</v>
      </c>
      <c r="I454" s="34" t="n">
        <v>44915</v>
      </c>
      <c r="J454" s="15" t="n">
        <v>22.4</v>
      </c>
      <c r="K454" s="15" t="n">
        <v>29.17</v>
      </c>
      <c r="L454" s="34" t="n">
        <v>44915</v>
      </c>
      <c r="M454" s="15" t="n">
        <v>60.6</v>
      </c>
      <c r="N454" s="15" t="n">
        <v>83.98</v>
      </c>
      <c r="O454" s="34" t="n">
        <v>44915</v>
      </c>
      <c r="P454" s="15" t="n">
        <v>212.6</v>
      </c>
      <c r="Q454" s="15" t="n">
        <v>213.2</v>
      </c>
      <c r="R454" s="34" t="n">
        <v>44915</v>
      </c>
      <c r="S454" s="15" t="n">
        <v>25.75</v>
      </c>
    </row>
    <row r="455">
      <c r="A455" s="34" t="n">
        <v>44916</v>
      </c>
      <c r="B455" s="266" t="n">
        <v>1.11863899230957</v>
      </c>
      <c r="C455" s="34" t="n">
        <v>44916</v>
      </c>
      <c r="D455" s="15" t="n">
        <v>35.1</v>
      </c>
      <c r="E455" s="15" t="n">
        <v>53.96</v>
      </c>
      <c r="F455" s="34" t="n">
        <v>44916</v>
      </c>
      <c r="G455" s="15" t="n">
        <v>90.84999999999999</v>
      </c>
      <c r="H455" s="15" t="n">
        <v>125.2</v>
      </c>
      <c r="I455" s="34" t="n">
        <v>44916</v>
      </c>
      <c r="J455" s="15" t="n">
        <v>22.5</v>
      </c>
      <c r="K455" s="15" t="n">
        <v>28.07</v>
      </c>
      <c r="L455" s="34" t="n">
        <v>44916</v>
      </c>
      <c r="M455" s="15" t="n">
        <v>59.95</v>
      </c>
      <c r="N455" s="15" t="n">
        <v>82.5</v>
      </c>
      <c r="O455" s="34" t="n">
        <v>44916</v>
      </c>
      <c r="P455" s="15" t="n">
        <v>216.2</v>
      </c>
      <c r="Q455" s="15" t="n">
        <v>215.09</v>
      </c>
      <c r="R455" s="34" t="n">
        <v>44916</v>
      </c>
      <c r="S455" s="15" t="n">
        <v>25.75</v>
      </c>
    </row>
    <row r="456">
      <c r="A456" s="34" t="n">
        <v>44917</v>
      </c>
      <c r="B456" s="266" t="n">
        <v>1.116286993026733</v>
      </c>
      <c r="C456" s="34" t="n">
        <v>44917</v>
      </c>
      <c r="D456" s="15" t="n">
        <v>36.8</v>
      </c>
      <c r="E456" s="15" t="n">
        <v>54.7</v>
      </c>
      <c r="F456" s="34" t="n">
        <v>44917</v>
      </c>
      <c r="G456" s="15" t="n">
        <v>95.2</v>
      </c>
      <c r="H456" s="15" t="n">
        <v>129.52</v>
      </c>
      <c r="I456" s="34" t="n">
        <v>44917</v>
      </c>
      <c r="J456" s="15" t="n">
        <v>22.45</v>
      </c>
      <c r="K456" s="15" t="n">
        <v>28</v>
      </c>
      <c r="L456" s="34" t="n">
        <v>44917</v>
      </c>
      <c r="M456" s="15" t="n">
        <v>59</v>
      </c>
      <c r="N456" s="15" t="n">
        <v>80.13</v>
      </c>
      <c r="O456" s="34" t="n">
        <v>44917</v>
      </c>
      <c r="P456" s="15" t="n">
        <v>224.4</v>
      </c>
      <c r="Q456" s="15" t="n">
        <v>221.04</v>
      </c>
      <c r="R456" s="34" t="n">
        <v>44917</v>
      </c>
      <c r="S456" s="15" t="n">
        <v>25.6</v>
      </c>
    </row>
    <row r="457">
      <c r="A457" s="34" t="n">
        <v>44918</v>
      </c>
      <c r="B457" s="266" t="n">
        <v>1.115679979324341</v>
      </c>
      <c r="C457" s="34" t="n">
        <v>44918</v>
      </c>
      <c r="D457" s="15" t="n">
        <v>37.75</v>
      </c>
      <c r="E457" s="15" t="n">
        <v>55.46</v>
      </c>
      <c r="F457" s="34" t="n">
        <v>44918</v>
      </c>
      <c r="G457" s="15" t="n">
        <v>97.05</v>
      </c>
      <c r="H457" s="15" t="n">
        <v>131.1</v>
      </c>
      <c r="I457" s="34" t="n">
        <v>44918</v>
      </c>
      <c r="J457" s="15" t="n">
        <v>22.3</v>
      </c>
      <c r="K457" s="15" t="n">
        <v>27.68</v>
      </c>
      <c r="L457" s="34" t="n">
        <v>44918</v>
      </c>
      <c r="M457" s="15" t="n">
        <v>58.5</v>
      </c>
      <c r="N457" s="15" t="n">
        <v>80.23999999999999</v>
      </c>
      <c r="O457" s="34" t="n">
        <v>44918</v>
      </c>
      <c r="P457" s="15" t="n">
        <v>228.8</v>
      </c>
      <c r="Q457" s="15" t="n">
        <v>223.33</v>
      </c>
      <c r="R457" s="34" t="n">
        <v>44918</v>
      </c>
      <c r="S457" s="15" t="n">
        <v>25.55</v>
      </c>
    </row>
    <row r="458">
      <c r="A458" s="34" t="n">
        <v>44923</v>
      </c>
      <c r="B458" s="266" t="n">
        <v>1.120296955108643</v>
      </c>
      <c r="C458" s="34" t="n">
        <v>44923</v>
      </c>
      <c r="D458" s="15" t="n">
        <v>39.3</v>
      </c>
      <c r="E458" s="15" t="n">
        <v>57.22</v>
      </c>
      <c r="F458" s="34" t="n">
        <v>44923</v>
      </c>
      <c r="G458" s="15" t="n">
        <v>107.5</v>
      </c>
      <c r="H458" s="15" t="n">
        <v>138.62</v>
      </c>
      <c r="I458" s="34" t="n">
        <v>44923</v>
      </c>
      <c r="J458" s="15" t="n">
        <v>22.9</v>
      </c>
      <c r="K458" s="15" t="n">
        <v>29.65</v>
      </c>
      <c r="L458" s="34" t="n">
        <v>44923</v>
      </c>
      <c r="M458" s="15" t="n">
        <v>59.05</v>
      </c>
      <c r="N458" s="15" t="n">
        <v>80.67</v>
      </c>
      <c r="O458" s="34" t="n">
        <v>44923</v>
      </c>
      <c r="P458" s="15" t="n">
        <v>228.4</v>
      </c>
      <c r="Q458" s="15" t="n">
        <v>218.8</v>
      </c>
      <c r="R458" s="34" t="n">
        <v>44923</v>
      </c>
      <c r="S458" s="15" t="n">
        <v>25.4</v>
      </c>
    </row>
    <row r="459">
      <c r="A459" s="34" t="n">
        <v>44924</v>
      </c>
      <c r="B459" s="266" t="n">
        <v>1.11841094493866</v>
      </c>
      <c r="C459" s="34" t="n">
        <v>44924</v>
      </c>
      <c r="D459" s="15" t="n">
        <v>41</v>
      </c>
      <c r="E459" s="15" t="n">
        <v>58.9</v>
      </c>
      <c r="F459" s="34" t="n">
        <v>44924</v>
      </c>
      <c r="G459" s="15" t="n">
        <v>116</v>
      </c>
      <c r="H459" s="15" t="n">
        <v>148.12</v>
      </c>
      <c r="I459" s="34" t="n">
        <v>44924</v>
      </c>
      <c r="J459" s="15" t="n">
        <v>22.2</v>
      </c>
      <c r="K459" s="15" t="n">
        <v>29.13</v>
      </c>
      <c r="L459" s="34" t="n">
        <v>44924</v>
      </c>
      <c r="M459" s="15" t="n">
        <v>57.4</v>
      </c>
      <c r="N459" s="15" t="n">
        <v>80.83</v>
      </c>
      <c r="O459" s="34" t="n">
        <v>44924</v>
      </c>
      <c r="P459" s="15" t="n">
        <v>233.6</v>
      </c>
      <c r="Q459" s="15" t="n">
        <v>216.15</v>
      </c>
      <c r="R459" s="34" t="n">
        <v>44924</v>
      </c>
      <c r="S459" s="15" t="n">
        <v>25.75</v>
      </c>
    </row>
    <row r="460">
      <c r="A460" s="34" t="n">
        <v>44925</v>
      </c>
      <c r="B460" s="266" t="n">
        <v>1.118479013442993</v>
      </c>
      <c r="C460" s="34" t="n">
        <v>44925</v>
      </c>
      <c r="D460" s="15" t="n">
        <v>39.95</v>
      </c>
      <c r="E460" s="15" t="n">
        <v>58.41</v>
      </c>
      <c r="F460" s="34" t="n">
        <v>44925</v>
      </c>
      <c r="G460" s="15" t="n">
        <v>114.8</v>
      </c>
      <c r="H460" s="15" t="n">
        <v>148</v>
      </c>
      <c r="I460" s="34" t="n">
        <v>44925</v>
      </c>
      <c r="J460" s="15" t="n">
        <v>22.4</v>
      </c>
      <c r="K460" s="15" t="n">
        <v>29.26</v>
      </c>
      <c r="L460" s="34" t="n">
        <v>44925</v>
      </c>
      <c r="M460" s="15" t="n">
        <v>55.8</v>
      </c>
      <c r="N460" s="15" t="n">
        <v>78.98999999999999</v>
      </c>
      <c r="O460" s="34" t="n">
        <v>44925</v>
      </c>
      <c r="P460" s="15" t="n">
        <v>230</v>
      </c>
      <c r="Q460" s="15" t="n">
        <v>216.03</v>
      </c>
      <c r="R460" s="34" t="n">
        <v>44925</v>
      </c>
      <c r="S460" s="15" t="n">
        <v>25.65</v>
      </c>
    </row>
    <row r="461">
      <c r="A461" s="34" t="n">
        <v>44929</v>
      </c>
      <c r="B461" s="266" t="n">
        <v>1.131546974182129</v>
      </c>
      <c r="C461" s="34" t="n">
        <v>44929</v>
      </c>
      <c r="D461" s="15" t="n">
        <v>41.25</v>
      </c>
      <c r="E461" s="15" t="n">
        <v>58.04</v>
      </c>
      <c r="F461" s="34" t="n">
        <v>44929</v>
      </c>
      <c r="G461" s="15" t="n">
        <v>115.1</v>
      </c>
      <c r="H461" s="15" t="n">
        <v>146.6</v>
      </c>
      <c r="I461" s="34" t="n">
        <v>44929</v>
      </c>
      <c r="J461" s="15" t="n">
        <v>23.25</v>
      </c>
      <c r="K461" s="15" t="n">
        <v>30.06</v>
      </c>
      <c r="L461" s="34" t="n">
        <v>44929</v>
      </c>
      <c r="M461" s="15" t="n">
        <v>57.7</v>
      </c>
      <c r="N461" s="15" t="n">
        <v>81.36</v>
      </c>
      <c r="O461" s="34" t="n">
        <v>44929</v>
      </c>
      <c r="P461" s="15" t="n">
        <v>224</v>
      </c>
      <c r="Q461" s="15" t="n">
        <v>214.1</v>
      </c>
      <c r="R461" s="34" t="n">
        <v>44929</v>
      </c>
      <c r="S461" s="15" t="n">
        <v>25.45</v>
      </c>
    </row>
    <row r="462">
      <c r="A462" s="34" t="n">
        <v>44930</v>
      </c>
      <c r="B462" s="266" t="n">
        <v>1.130236983299255</v>
      </c>
      <c r="C462" s="34" t="n">
        <v>44930</v>
      </c>
      <c r="D462" s="15" t="n">
        <v>42.9</v>
      </c>
      <c r="E462" s="15" t="n">
        <v>61.2</v>
      </c>
      <c r="F462" s="34" t="n">
        <v>44930</v>
      </c>
      <c r="G462" s="15" t="n">
        <v>117.4</v>
      </c>
      <c r="H462" s="15" t="n">
        <v>148.99</v>
      </c>
      <c r="I462" s="34" t="n">
        <v>44930</v>
      </c>
      <c r="J462" s="15" t="n">
        <v>23.1</v>
      </c>
      <c r="K462" s="15" t="n">
        <v>29.75</v>
      </c>
      <c r="L462" s="34" t="n">
        <v>44930</v>
      </c>
      <c r="M462" s="15" t="n">
        <v>56.5</v>
      </c>
      <c r="N462" s="15" t="n">
        <v>79.05</v>
      </c>
      <c r="O462" s="34" t="n">
        <v>44930</v>
      </c>
      <c r="P462" s="15" t="n">
        <v>228.8</v>
      </c>
      <c r="Q462" s="15" t="n">
        <v>215.11</v>
      </c>
      <c r="R462" s="34" t="n">
        <v>44930</v>
      </c>
      <c r="S462" s="15" t="n">
        <v>25.55</v>
      </c>
    </row>
    <row r="463">
      <c r="A463" s="34" t="n">
        <v>44931</v>
      </c>
      <c r="B463" s="266" t="n">
        <v>1.134225010871887</v>
      </c>
      <c r="C463" s="34" t="n">
        <v>44931</v>
      </c>
      <c r="D463" s="15" t="n">
        <v>45</v>
      </c>
      <c r="E463" s="15" t="n">
        <v>63.25</v>
      </c>
      <c r="F463" s="34" t="n">
        <v>44931</v>
      </c>
      <c r="G463" s="15" t="n">
        <v>113.2</v>
      </c>
      <c r="H463" s="15" t="n">
        <v>150.52</v>
      </c>
      <c r="I463" s="34" t="n">
        <v>44931</v>
      </c>
      <c r="J463" s="15" t="n">
        <v>23.75</v>
      </c>
      <c r="K463" s="15" t="n">
        <v>30.29</v>
      </c>
      <c r="L463" s="34" t="n">
        <v>44931</v>
      </c>
      <c r="M463" s="15" t="n">
        <v>59.6</v>
      </c>
      <c r="N463" s="15" t="n">
        <v>81.79000000000001</v>
      </c>
      <c r="O463" s="34" t="n">
        <v>44931</v>
      </c>
      <c r="P463" s="15" t="n">
        <v>243.2</v>
      </c>
      <c r="Q463" s="15" t="n">
        <v>225.9</v>
      </c>
      <c r="R463" s="34" t="n">
        <v>44931</v>
      </c>
      <c r="S463" s="15" t="n">
        <v>25.5</v>
      </c>
    </row>
    <row r="464">
      <c r="A464" s="34" t="n">
        <v>44932</v>
      </c>
      <c r="B464" s="266" t="n">
        <v>1.135105967521667</v>
      </c>
      <c r="C464" s="34" t="n">
        <v>44932</v>
      </c>
      <c r="D464" s="15" t="n">
        <v>44.95</v>
      </c>
      <c r="E464" s="15" t="n">
        <v>62.43</v>
      </c>
      <c r="F464" s="34" t="n">
        <v>44932</v>
      </c>
      <c r="G464" s="15" t="n">
        <v>109.2</v>
      </c>
      <c r="H464" s="15" t="n">
        <v>148.29</v>
      </c>
      <c r="I464" s="34" t="n">
        <v>44932</v>
      </c>
      <c r="J464" s="15" t="n">
        <v>24.75</v>
      </c>
      <c r="K464" s="15" t="n">
        <v>31.68</v>
      </c>
      <c r="L464" s="34" t="n">
        <v>44932</v>
      </c>
      <c r="M464" s="15" t="n">
        <v>59.9</v>
      </c>
      <c r="N464" s="15" t="n">
        <v>84.25</v>
      </c>
      <c r="O464" s="34" t="n">
        <v>44932</v>
      </c>
      <c r="P464" s="15" t="n">
        <v>240.6</v>
      </c>
      <c r="Q464" s="15" t="n">
        <v>224.67</v>
      </c>
      <c r="R464" s="34" t="n">
        <v>44932</v>
      </c>
      <c r="S464" s="15" t="n">
        <v>25.45</v>
      </c>
    </row>
    <row r="465">
      <c r="A465" s="34" t="n">
        <v>44935</v>
      </c>
      <c r="B465" s="266" t="n">
        <v>1.142660021781921</v>
      </c>
      <c r="C465" s="34" t="n">
        <v>44935</v>
      </c>
      <c r="D465" s="15" t="n">
        <v>45.55</v>
      </c>
      <c r="E465" s="15" t="n">
        <v>63.77</v>
      </c>
      <c r="F465" s="34" t="n">
        <v>44935</v>
      </c>
      <c r="G465" s="15" t="n">
        <v>112.4</v>
      </c>
      <c r="H465" s="15" t="n">
        <v>149.39</v>
      </c>
      <c r="I465" s="34" t="n">
        <v>44935</v>
      </c>
      <c r="J465" s="15" t="n">
        <v>25.7</v>
      </c>
      <c r="K465" s="15" t="n">
        <v>32.3</v>
      </c>
      <c r="L465" s="34" t="n">
        <v>44935</v>
      </c>
      <c r="M465" s="15" t="n">
        <v>61.25</v>
      </c>
      <c r="N465" s="15" t="n">
        <v>85.02</v>
      </c>
      <c r="O465" s="34" t="n">
        <v>44935</v>
      </c>
      <c r="P465" s="15" t="n">
        <v>244</v>
      </c>
      <c r="Q465" s="15" t="n">
        <v>225.68</v>
      </c>
      <c r="R465" s="34" t="n">
        <v>44935</v>
      </c>
      <c r="S465" s="15" t="n">
        <v>25.65</v>
      </c>
    </row>
    <row r="466">
      <c r="A466" s="34" t="n">
        <v>44936</v>
      </c>
      <c r="B466" s="266" t="n">
        <v>1.152361989021301</v>
      </c>
      <c r="C466" s="34" t="n">
        <v>44936</v>
      </c>
      <c r="D466" s="15" t="n">
        <v>44.55</v>
      </c>
      <c r="E466" s="15" t="n">
        <v>63.5</v>
      </c>
      <c r="F466" s="34" t="n">
        <v>44936</v>
      </c>
      <c r="G466" s="15" t="n">
        <v>112.3</v>
      </c>
      <c r="H466" s="15" t="n">
        <v>149.89</v>
      </c>
      <c r="I466" s="34" t="n">
        <v>44936</v>
      </c>
      <c r="J466" s="15" t="n">
        <v>25.35</v>
      </c>
      <c r="K466" s="15" t="n">
        <v>32</v>
      </c>
      <c r="L466" s="34" t="n">
        <v>44936</v>
      </c>
      <c r="M466" s="15" t="n">
        <v>61.2</v>
      </c>
      <c r="N466" s="15" t="n">
        <v>85.93000000000001</v>
      </c>
      <c r="O466" s="34" t="n">
        <v>44936</v>
      </c>
      <c r="P466" s="15" t="n">
        <v>251.4</v>
      </c>
      <c r="Q466" s="15" t="n">
        <v>231.98</v>
      </c>
      <c r="R466" s="34" t="n">
        <v>44936</v>
      </c>
      <c r="S466" s="15" t="n">
        <v>25.5</v>
      </c>
    </row>
    <row r="467">
      <c r="A467" s="34" t="n">
        <v>44937</v>
      </c>
      <c r="B467" s="266" t="n">
        <v>1.151782989501953</v>
      </c>
      <c r="C467" s="34" t="n">
        <v>44937</v>
      </c>
      <c r="D467" s="15" t="n">
        <v>45.55</v>
      </c>
      <c r="E467" s="15" t="n">
        <v>63.14</v>
      </c>
      <c r="F467" s="34" t="n">
        <v>44937</v>
      </c>
      <c r="G467" s="15" t="n">
        <v>120.5</v>
      </c>
      <c r="H467" s="15" t="n">
        <v>150.77</v>
      </c>
      <c r="I467" s="34" t="n">
        <v>44937</v>
      </c>
      <c r="J467" s="15" t="n">
        <v>24.35</v>
      </c>
      <c r="K467" s="15" t="n">
        <v>31.42</v>
      </c>
      <c r="L467" s="34" t="n">
        <v>44937</v>
      </c>
      <c r="M467" s="15" t="n">
        <v>60.8</v>
      </c>
      <c r="N467" s="15" t="n">
        <v>84.29000000000001</v>
      </c>
      <c r="O467" s="34" t="n">
        <v>44937</v>
      </c>
      <c r="P467" s="15" t="n">
        <v>244.6</v>
      </c>
      <c r="Q467" s="15" t="n">
        <v>228.6</v>
      </c>
      <c r="R467" s="34" t="n">
        <v>44937</v>
      </c>
      <c r="S467" s="15" t="n">
        <v>25.45</v>
      </c>
    </row>
    <row r="468">
      <c r="A468" s="34" t="n">
        <v>44938</v>
      </c>
      <c r="B468" s="266" t="n">
        <v>1.15372097492218</v>
      </c>
      <c r="C468" s="34" t="n">
        <v>44938</v>
      </c>
      <c r="D468" s="15" t="n">
        <v>44.85</v>
      </c>
      <c r="E468" s="15" t="n">
        <v>63.36</v>
      </c>
      <c r="F468" s="34" t="n">
        <v>44938</v>
      </c>
      <c r="G468" s="15" t="n">
        <v>116.1</v>
      </c>
      <c r="H468" s="15" t="n">
        <v>151.2</v>
      </c>
      <c r="I468" s="34" t="n">
        <v>44938</v>
      </c>
      <c r="J468" s="15" t="n">
        <v>24.85</v>
      </c>
      <c r="K468" s="15" t="n">
        <v>31.3</v>
      </c>
      <c r="L468" s="34" t="n">
        <v>44938</v>
      </c>
      <c r="M468" s="15" t="n">
        <v>62.35</v>
      </c>
      <c r="N468" s="15" t="n">
        <v>85.26000000000001</v>
      </c>
      <c r="O468" s="34" t="n">
        <v>44938</v>
      </c>
      <c r="P468" s="15" t="n">
        <v>232</v>
      </c>
      <c r="Q468" s="15" t="n">
        <v>225.02</v>
      </c>
      <c r="R468" s="34" t="n">
        <v>44938</v>
      </c>
      <c r="S468" s="15" t="n">
        <v>25.7</v>
      </c>
      <c r="V468" s="15" t="n">
        <v>60</v>
      </c>
      <c r="W468" s="15" t="n">
        <v>79.2</v>
      </c>
      <c r="X468" s="34" t="n">
        <v>44938</v>
      </c>
    </row>
    <row r="469">
      <c r="A469" s="34" t="n">
        <v>44939</v>
      </c>
      <c r="B469" s="266" t="n">
        <v>1.158794045448303</v>
      </c>
      <c r="C469" s="34" t="n">
        <v>44939</v>
      </c>
      <c r="D469" s="15" t="n">
        <v>46.75</v>
      </c>
      <c r="E469" s="15" t="n">
        <v>64.09</v>
      </c>
      <c r="F469" s="34" t="n">
        <v>44939</v>
      </c>
      <c r="G469" s="15" t="n">
        <v>117.5</v>
      </c>
      <c r="H469" s="15" t="n">
        <v>152.5</v>
      </c>
      <c r="I469" s="34" t="n">
        <v>44939</v>
      </c>
      <c r="J469" s="15" t="n">
        <v>24.65</v>
      </c>
      <c r="K469" s="15" t="n">
        <v>31.06</v>
      </c>
      <c r="L469" s="34" t="n">
        <v>44939</v>
      </c>
      <c r="M469" s="15" t="n">
        <v>63.15</v>
      </c>
      <c r="N469" s="15" t="n">
        <v>85.64</v>
      </c>
      <c r="O469" s="34" t="n">
        <v>44939</v>
      </c>
      <c r="P469" s="15" t="n">
        <v>238</v>
      </c>
      <c r="Q469" s="15" t="n">
        <v>228.5</v>
      </c>
      <c r="R469" s="34" t="n">
        <v>44939</v>
      </c>
      <c r="S469" s="15" t="n">
        <v>25.75</v>
      </c>
      <c r="V469" s="15" t="n">
        <v>60</v>
      </c>
      <c r="W469" s="15" t="n">
        <v>78.26000000000001</v>
      </c>
      <c r="X469" s="34" t="n">
        <v>44939</v>
      </c>
    </row>
    <row r="470">
      <c r="A470" s="34" t="n">
        <v>44942</v>
      </c>
      <c r="B470" s="266" t="n">
        <v>1.16464102268219</v>
      </c>
      <c r="C470" s="34" t="n">
        <v>44942</v>
      </c>
      <c r="D470" s="15" t="n">
        <v>47.2</v>
      </c>
      <c r="E470" s="15" t="n">
        <v>67.36</v>
      </c>
      <c r="F470" s="34" t="n">
        <v>44942</v>
      </c>
      <c r="G470" s="15" t="n">
        <v>137.2</v>
      </c>
      <c r="H470" s="15" t="n">
        <v>167.75</v>
      </c>
      <c r="I470" s="34" t="n">
        <v>44942</v>
      </c>
      <c r="J470" s="15" t="n">
        <v>25</v>
      </c>
      <c r="K470" s="15" t="n">
        <v>31.73</v>
      </c>
      <c r="L470" s="34" t="n">
        <v>44942</v>
      </c>
      <c r="M470" s="15" t="n">
        <v>66.15000000000001</v>
      </c>
      <c r="N470" s="15" t="n">
        <v>87.22</v>
      </c>
      <c r="O470" s="34" t="n">
        <v>44942</v>
      </c>
      <c r="P470" s="15" t="n">
        <v>241.4</v>
      </c>
      <c r="Q470" s="15" t="n">
        <v>232.8</v>
      </c>
      <c r="R470" s="34" t="n">
        <v>44942</v>
      </c>
      <c r="S470" s="15" t="n">
        <v>25.7</v>
      </c>
      <c r="V470" s="15" t="n">
        <v>60</v>
      </c>
      <c r="W470" s="15" t="n">
        <v>80.26000000000001</v>
      </c>
      <c r="X470" s="34" t="n">
        <v>44942</v>
      </c>
    </row>
    <row r="471">
      <c r="A471" s="34" t="n">
        <v>44943</v>
      </c>
      <c r="B471" s="266" t="n">
        <v>1.159963011741638</v>
      </c>
      <c r="C471" s="34" t="n">
        <v>44943</v>
      </c>
      <c r="D471" s="15" t="n">
        <v>46.1</v>
      </c>
      <c r="E471" s="15" t="n">
        <v>66.05</v>
      </c>
      <c r="F471" s="34" t="n">
        <v>44943</v>
      </c>
      <c r="G471" s="15" t="n">
        <v>133.7</v>
      </c>
      <c r="H471" s="15" t="n">
        <v>168.33</v>
      </c>
      <c r="I471" s="34" t="n">
        <v>44943</v>
      </c>
      <c r="J471" s="15" t="n">
        <v>24.65</v>
      </c>
      <c r="K471" s="15" t="n">
        <v>31.74</v>
      </c>
      <c r="L471" s="34" t="n">
        <v>44943</v>
      </c>
      <c r="M471" s="15" t="n">
        <v>64.45</v>
      </c>
      <c r="N471" s="15" t="n">
        <v>86.64</v>
      </c>
      <c r="O471" s="34" t="n">
        <v>44943</v>
      </c>
      <c r="P471" s="15" t="n">
        <v>241.2</v>
      </c>
      <c r="Q471" s="15" t="n">
        <v>230.99</v>
      </c>
      <c r="R471" s="34" t="n">
        <v>44943</v>
      </c>
      <c r="S471" s="15" t="n">
        <v>25.55</v>
      </c>
      <c r="V471" s="15" t="n">
        <v>60</v>
      </c>
      <c r="W471" s="15" t="n">
        <v>80.28</v>
      </c>
      <c r="X471" s="34" t="n">
        <v>44943</v>
      </c>
    </row>
    <row r="472">
      <c r="A472" s="34" t="n">
        <v>44944</v>
      </c>
      <c r="B472" s="266" t="n">
        <v>1.154523968696594</v>
      </c>
      <c r="C472" s="34" t="n">
        <v>44944</v>
      </c>
      <c r="D472" s="15" t="n">
        <v>45.75</v>
      </c>
      <c r="E472" s="15" t="n">
        <v>65.70999999999999</v>
      </c>
      <c r="F472" s="34" t="n">
        <v>44944</v>
      </c>
      <c r="G472" s="15" t="n">
        <v>129.7</v>
      </c>
      <c r="H472" s="15" t="n">
        <v>163.9</v>
      </c>
      <c r="I472" s="34" t="n">
        <v>44944</v>
      </c>
      <c r="J472" s="15" t="n">
        <v>24.3</v>
      </c>
      <c r="K472" s="15" t="n">
        <v>31.5</v>
      </c>
      <c r="L472" s="34" t="n">
        <v>44944</v>
      </c>
      <c r="M472" s="15" t="n">
        <v>64.5</v>
      </c>
      <c r="N472" s="15" t="n">
        <v>87.98999999999999</v>
      </c>
      <c r="O472" s="34" t="n">
        <v>44944</v>
      </c>
      <c r="P472" s="15" t="n">
        <v>242.6</v>
      </c>
      <c r="Q472" s="15" t="n">
        <v>229.3</v>
      </c>
      <c r="R472" s="34" t="n">
        <v>44944</v>
      </c>
      <c r="S472" s="15" t="n">
        <v>25.45</v>
      </c>
      <c r="V472" s="15" t="n">
        <v>60</v>
      </c>
      <c r="W472" s="15" t="n">
        <v>79.41</v>
      </c>
      <c r="X472" s="34" t="n">
        <v>44944</v>
      </c>
    </row>
    <row r="473">
      <c r="A473" s="34" t="n">
        <v>44945</v>
      </c>
      <c r="B473" s="266" t="n">
        <v>1.15931499004364</v>
      </c>
      <c r="C473" s="34" t="n">
        <v>44945</v>
      </c>
      <c r="D473" s="15" t="n">
        <v>45.9</v>
      </c>
      <c r="E473" s="15" t="n">
        <v>67.14</v>
      </c>
      <c r="F473" s="34" t="n">
        <v>44945</v>
      </c>
      <c r="G473" s="15" t="n">
        <v>131.8</v>
      </c>
      <c r="H473" s="15" t="n">
        <v>171.85</v>
      </c>
      <c r="I473" s="34" t="n">
        <v>44945</v>
      </c>
      <c r="J473" s="15" t="n">
        <v>24.3</v>
      </c>
      <c r="K473" s="15" t="n">
        <v>31.75</v>
      </c>
      <c r="L473" s="34" t="n">
        <v>44945</v>
      </c>
      <c r="M473" s="15" t="n">
        <v>66.45</v>
      </c>
      <c r="N473" s="15" t="n">
        <v>89.03</v>
      </c>
      <c r="O473" s="34" t="n">
        <v>44945</v>
      </c>
      <c r="P473" s="15" t="n">
        <v>251.2</v>
      </c>
      <c r="Q473" s="15" t="n">
        <v>231.64</v>
      </c>
      <c r="R473" s="34" t="n">
        <v>44945</v>
      </c>
      <c r="S473" s="15" t="n">
        <v>25.4</v>
      </c>
      <c r="V473" s="15" t="n">
        <v>60</v>
      </c>
      <c r="W473" s="15" t="n">
        <v>79.81999999999999</v>
      </c>
      <c r="X473" s="34" t="n">
        <v>44945</v>
      </c>
    </row>
    <row r="474">
      <c r="A474" s="34" t="n">
        <v>44946</v>
      </c>
      <c r="B474" s="266" t="n">
        <v>1.154749989509583</v>
      </c>
      <c r="C474" s="34" t="n">
        <v>44946</v>
      </c>
      <c r="D474" s="15" t="n">
        <v>46.1</v>
      </c>
      <c r="E474" s="15" t="n">
        <v>66.43000000000001</v>
      </c>
      <c r="F474" s="34" t="n">
        <v>44946</v>
      </c>
      <c r="G474" s="15" t="n">
        <v>132.6</v>
      </c>
      <c r="H474" s="15" t="n">
        <v>169</v>
      </c>
      <c r="I474" s="34" t="n">
        <v>44946</v>
      </c>
      <c r="J474" s="15" t="n">
        <v>26.05</v>
      </c>
      <c r="K474" s="15" t="n">
        <v>32.75</v>
      </c>
      <c r="L474" s="34" t="n">
        <v>44946</v>
      </c>
      <c r="M474" s="15" t="n">
        <v>71.65000000000001</v>
      </c>
      <c r="N474" s="15" t="n">
        <v>93.98</v>
      </c>
      <c r="O474" s="34" t="n">
        <v>44946</v>
      </c>
      <c r="P474" s="15" t="n">
        <v>254</v>
      </c>
      <c r="Q474" s="15" t="n">
        <v>230.5</v>
      </c>
      <c r="R474" s="34" t="n">
        <v>44946</v>
      </c>
      <c r="S474" s="15" t="n">
        <v>25.6</v>
      </c>
      <c r="V474" s="15" t="n">
        <v>60</v>
      </c>
      <c r="W474" s="15" t="n">
        <v>80.13</v>
      </c>
      <c r="X474" s="34" t="n">
        <v>44946</v>
      </c>
    </row>
    <row r="475">
      <c r="A475" s="34" t="n">
        <v>44952</v>
      </c>
      <c r="B475" s="266" t="n">
        <v>1.153751969337463</v>
      </c>
      <c r="C475" s="34" t="n">
        <v>44952</v>
      </c>
      <c r="D475" s="15" t="n">
        <v>46.1</v>
      </c>
      <c r="E475" s="15" t="n">
        <v>66.43000000000001</v>
      </c>
      <c r="F475" s="34" t="n">
        <v>44946</v>
      </c>
      <c r="G475" s="15" t="n">
        <v>137.8</v>
      </c>
      <c r="H475" s="15" t="n">
        <v>169</v>
      </c>
      <c r="I475" s="34" t="n">
        <v>44946</v>
      </c>
      <c r="J475" s="15" t="n">
        <v>27.25</v>
      </c>
      <c r="K475" s="15" t="n">
        <v>32.75</v>
      </c>
      <c r="L475" s="34" t="n">
        <v>44946</v>
      </c>
      <c r="M475" s="15" t="n">
        <v>75.59999999999999</v>
      </c>
      <c r="N475" s="15" t="n">
        <v>93.98</v>
      </c>
      <c r="O475" s="34" t="n">
        <v>44946</v>
      </c>
      <c r="P475" s="15" t="n">
        <v>274.4</v>
      </c>
      <c r="Q475" s="15" t="n">
        <v>230.5</v>
      </c>
      <c r="R475" s="34" t="n">
        <v>44946</v>
      </c>
      <c r="S475" s="15" t="n">
        <v>25.65</v>
      </c>
      <c r="V475" s="15" t="n">
        <v>60.15</v>
      </c>
      <c r="W475" s="15" t="n">
        <v>80.13</v>
      </c>
      <c r="X475" s="34" t="n">
        <v>44946</v>
      </c>
    </row>
    <row r="476">
      <c r="A476" s="34" t="n">
        <v>44953</v>
      </c>
      <c r="B476" s="266" t="n">
        <v>1.153638958930969</v>
      </c>
      <c r="C476" s="34" t="n">
        <v>44953</v>
      </c>
      <c r="D476" s="15" t="n">
        <v>46</v>
      </c>
      <c r="E476" s="15" t="n">
        <v>66.43000000000001</v>
      </c>
      <c r="F476" s="34" t="n">
        <v>44946</v>
      </c>
      <c r="G476" s="15" t="n">
        <v>137.4</v>
      </c>
      <c r="H476" s="15" t="n">
        <v>169</v>
      </c>
      <c r="I476" s="34" t="n">
        <v>44946</v>
      </c>
      <c r="J476" s="15" t="n">
        <v>27.3</v>
      </c>
      <c r="K476" s="15" t="n">
        <v>32.75</v>
      </c>
      <c r="L476" s="34" t="n">
        <v>44946</v>
      </c>
      <c r="M476" s="15" t="n">
        <v>76.59999999999999</v>
      </c>
      <c r="N476" s="15" t="n">
        <v>93.98</v>
      </c>
      <c r="O476" s="34" t="n">
        <v>44946</v>
      </c>
      <c r="P476" s="15" t="n">
        <v>276.2</v>
      </c>
      <c r="Q476" s="15" t="n">
        <v>230.5</v>
      </c>
      <c r="R476" s="34" t="n">
        <v>44946</v>
      </c>
      <c r="S476" s="15" t="n">
        <v>25.55</v>
      </c>
      <c r="V476" s="15" t="n">
        <v>60.15</v>
      </c>
      <c r="W476" s="15" t="n">
        <v>80.13</v>
      </c>
      <c r="X476" s="34" t="n">
        <v>44946</v>
      </c>
    </row>
    <row r="477">
      <c r="A477" s="34" t="n">
        <v>44956</v>
      </c>
      <c r="B477" s="266" t="n">
        <v>1.154070019721985</v>
      </c>
      <c r="C477" s="34" t="n">
        <v>44956</v>
      </c>
      <c r="D477" s="15" t="n">
        <v>43.6</v>
      </c>
      <c r="E477" s="15" t="n">
        <v>65.65000000000001</v>
      </c>
      <c r="F477" s="34" t="n">
        <v>44956</v>
      </c>
      <c r="G477" s="15" t="n">
        <v>127.1</v>
      </c>
      <c r="H477" s="15" t="n">
        <v>166.12</v>
      </c>
      <c r="I477" s="34" t="n">
        <v>44956</v>
      </c>
      <c r="J477" s="15" t="n">
        <v>27.7</v>
      </c>
      <c r="K477" s="15" t="n">
        <v>33.64</v>
      </c>
      <c r="L477" s="34" t="n">
        <v>44956</v>
      </c>
      <c r="M477" s="15" t="n">
        <v>75</v>
      </c>
      <c r="N477" s="15" t="n">
        <v>96.97</v>
      </c>
      <c r="O477" s="34" t="n">
        <v>44956</v>
      </c>
      <c r="P477" s="15" t="n">
        <v>238.2</v>
      </c>
      <c r="Q477" s="15" t="n">
        <v>217.49</v>
      </c>
      <c r="R477" s="34" t="n">
        <v>44956</v>
      </c>
      <c r="S477" s="15" t="n">
        <v>25.5</v>
      </c>
      <c r="V477" s="15" t="n">
        <v>62</v>
      </c>
      <c r="W477" s="15" t="n">
        <v>83.89</v>
      </c>
      <c r="X477" s="34" t="n">
        <v>44956</v>
      </c>
    </row>
    <row r="478">
      <c r="A478" s="34" t="n">
        <v>44957</v>
      </c>
      <c r="B478" s="266" t="n">
        <v>1.160927057266235</v>
      </c>
      <c r="C478" s="34" t="n">
        <v>44957</v>
      </c>
      <c r="D478" s="15" t="n">
        <v>41.05</v>
      </c>
      <c r="E478" s="15" t="n">
        <v>63.58</v>
      </c>
      <c r="F478" s="34" t="n">
        <v>44957</v>
      </c>
      <c r="G478" s="15" t="n">
        <v>124.8</v>
      </c>
      <c r="H478" s="15" t="n">
        <v>159.6</v>
      </c>
      <c r="I478" s="34" t="n">
        <v>44957</v>
      </c>
      <c r="J478" s="15" t="n">
        <v>27</v>
      </c>
      <c r="K478" s="15" t="n">
        <v>33.76</v>
      </c>
      <c r="L478" s="34" t="n">
        <v>44957</v>
      </c>
      <c r="M478" s="15" t="n">
        <v>72.34999999999999</v>
      </c>
      <c r="N478" s="15" t="n">
        <v>95.98</v>
      </c>
      <c r="O478" s="34" t="n">
        <v>44957</v>
      </c>
      <c r="P478" s="15" t="n">
        <v>239.8</v>
      </c>
      <c r="Q478" s="15" t="n">
        <v>212.3</v>
      </c>
      <c r="R478" s="34" t="n">
        <v>44957</v>
      </c>
      <c r="S478" s="15" t="n">
        <v>25.35</v>
      </c>
      <c r="V478" s="15" t="n">
        <v>61</v>
      </c>
      <c r="W478" s="15" t="n">
        <v>84.84999999999999</v>
      </c>
      <c r="X478" s="34" t="n">
        <v>44957</v>
      </c>
    </row>
    <row r="479">
      <c r="A479" s="34" t="n">
        <v>44958</v>
      </c>
      <c r="B479" s="266" t="n">
        <v>1.160451054573059</v>
      </c>
      <c r="C479" s="34" t="n">
        <v>44958</v>
      </c>
      <c r="D479" s="15" t="n">
        <v>41.2</v>
      </c>
      <c r="E479" s="15" t="n">
        <v>63.97</v>
      </c>
      <c r="F479" s="34" t="n">
        <v>44958</v>
      </c>
      <c r="G479" s="15" t="n">
        <v>129.7</v>
      </c>
      <c r="H479" s="15" t="n">
        <v>165.96</v>
      </c>
      <c r="I479" s="34" t="n">
        <v>44958</v>
      </c>
      <c r="J479" s="15" t="n">
        <v>28</v>
      </c>
      <c r="K479" s="15" t="n">
        <v>35.04</v>
      </c>
      <c r="L479" s="34" t="n">
        <v>44958</v>
      </c>
      <c r="M479" s="15" t="n">
        <v>74</v>
      </c>
      <c r="N479" s="15" t="n">
        <v>97.09</v>
      </c>
      <c r="O479" s="34" t="n">
        <v>44958</v>
      </c>
      <c r="P479" s="15" t="n">
        <v>237.8</v>
      </c>
      <c r="Q479" s="15" t="n">
        <v>212.85</v>
      </c>
      <c r="R479" s="34" t="n">
        <v>44958</v>
      </c>
      <c r="S479" s="15" t="n">
        <v>25.35</v>
      </c>
      <c r="V479" s="15" t="n">
        <v>60.95</v>
      </c>
      <c r="W479" s="15" t="n">
        <v>85.3</v>
      </c>
      <c r="X479" s="34" t="n">
        <v>44958</v>
      </c>
    </row>
    <row r="480">
      <c r="A480" s="34" t="n">
        <v>44959</v>
      </c>
      <c r="B480" s="266" t="n">
        <v>1.162333965301514</v>
      </c>
      <c r="C480" s="34" t="n">
        <v>44959</v>
      </c>
      <c r="D480" s="15" t="n">
        <v>40.7</v>
      </c>
      <c r="E480" s="15" t="n">
        <v>64.62</v>
      </c>
      <c r="F480" s="34" t="n">
        <v>44959</v>
      </c>
      <c r="G480" s="15" t="n">
        <v>132.5</v>
      </c>
      <c r="H480" s="15" t="n">
        <v>168.02</v>
      </c>
      <c r="I480" s="34" t="n">
        <v>44959</v>
      </c>
      <c r="J480" s="15" t="n">
        <v>26.9</v>
      </c>
      <c r="K480" s="15" t="n">
        <v>34.67</v>
      </c>
      <c r="L480" s="34" t="n">
        <v>44959</v>
      </c>
      <c r="M480" s="15" t="n">
        <v>71.5</v>
      </c>
      <c r="N480" s="15" t="n">
        <v>94.84</v>
      </c>
      <c r="O480" s="34" t="n">
        <v>44959</v>
      </c>
      <c r="P480" s="15" t="n">
        <v>236.8</v>
      </c>
      <c r="Q480" s="15" t="n">
        <v>215.22</v>
      </c>
      <c r="R480" s="34" t="n">
        <v>44959</v>
      </c>
      <c r="S480" s="15" t="n">
        <v>26.3</v>
      </c>
      <c r="V480" s="15" t="n">
        <v>60</v>
      </c>
      <c r="W480" s="15" t="n">
        <v>86.12</v>
      </c>
      <c r="X480" s="34" t="n">
        <v>44959</v>
      </c>
    </row>
    <row r="481">
      <c r="A481" s="34" t="n">
        <v>44960</v>
      </c>
      <c r="B481" s="266" t="n">
        <v>1.165007948875427</v>
      </c>
      <c r="C481" s="34" t="n">
        <v>44960</v>
      </c>
      <c r="D481" s="15" t="n">
        <v>40.05</v>
      </c>
      <c r="E481" s="15" t="n">
        <v>63.21</v>
      </c>
      <c r="F481" s="34" t="n">
        <v>44960</v>
      </c>
      <c r="G481" s="15" t="n">
        <v>129.6</v>
      </c>
      <c r="H481" s="15" t="n">
        <v>166.3</v>
      </c>
      <c r="I481" s="34" t="n">
        <v>44960</v>
      </c>
      <c r="J481" s="15" t="n">
        <v>26.5</v>
      </c>
      <c r="K481" s="15" t="n">
        <v>34.07</v>
      </c>
      <c r="L481" s="34" t="n">
        <v>44960</v>
      </c>
      <c r="M481" s="15" t="n">
        <v>71.8</v>
      </c>
      <c r="N481" s="15" t="n">
        <v>93.16</v>
      </c>
      <c r="O481" s="34" t="n">
        <v>44960</v>
      </c>
      <c r="P481" s="15" t="n">
        <v>229</v>
      </c>
      <c r="Q481" s="15" t="n">
        <v>210.96</v>
      </c>
      <c r="R481" s="34" t="n">
        <v>44960</v>
      </c>
      <c r="S481" s="15" t="n">
        <v>25.5</v>
      </c>
      <c r="V481" s="15" t="n">
        <v>60.05</v>
      </c>
      <c r="W481" s="15" t="n">
        <v>84.81</v>
      </c>
      <c r="X481" s="34" t="n">
        <v>44960</v>
      </c>
    </row>
    <row r="482">
      <c r="A482" s="34" t="n">
        <v>44963</v>
      </c>
      <c r="B482" s="266" t="n">
        <v>1.157632946968079</v>
      </c>
      <c r="C482" s="34" t="n">
        <v>44963</v>
      </c>
      <c r="D482" s="15" t="n">
        <v>38.7</v>
      </c>
      <c r="E482" s="15" t="n">
        <v>62.13</v>
      </c>
      <c r="F482" s="34" t="n">
        <v>44963</v>
      </c>
      <c r="G482" s="15" t="n">
        <v>121</v>
      </c>
      <c r="H482" s="15" t="n">
        <v>160</v>
      </c>
      <c r="I482" s="34" t="n">
        <v>44963</v>
      </c>
      <c r="J482" s="15" t="n">
        <v>26.2</v>
      </c>
      <c r="K482" s="15" t="n">
        <v>33.89</v>
      </c>
      <c r="L482" s="34" t="n">
        <v>44963</v>
      </c>
      <c r="M482" s="15" t="n">
        <v>69.25</v>
      </c>
      <c r="N482" s="15" t="n">
        <v>91.59</v>
      </c>
      <c r="O482" s="34" t="n">
        <v>44963</v>
      </c>
      <c r="P482" s="15" t="n">
        <v>219.6</v>
      </c>
      <c r="Q482" s="15" t="n">
        <v>206.16</v>
      </c>
      <c r="R482" s="34" t="n">
        <v>44963</v>
      </c>
      <c r="S482" s="15" t="n">
        <v>25.45</v>
      </c>
      <c r="V482" s="15" t="n">
        <v>61.7</v>
      </c>
      <c r="W482" s="15" t="n">
        <v>94.73999999999999</v>
      </c>
      <c r="X482" s="34" t="n">
        <v>44963</v>
      </c>
    </row>
    <row r="483">
      <c r="A483" s="34" t="n">
        <v>44964</v>
      </c>
      <c r="B483" s="266" t="n">
        <v>1.154948949813843</v>
      </c>
      <c r="C483" s="34" t="n">
        <v>44964</v>
      </c>
      <c r="D483" s="15" t="n">
        <v>38.7</v>
      </c>
      <c r="E483" s="15" t="n">
        <v>61.44</v>
      </c>
      <c r="F483" s="34" t="n">
        <v>44964</v>
      </c>
      <c r="G483" s="15" t="n">
        <v>120.4</v>
      </c>
      <c r="H483" s="15" t="n">
        <v>157.69</v>
      </c>
      <c r="I483" s="34" t="n">
        <v>44964</v>
      </c>
      <c r="J483" s="15" t="n">
        <v>27.4</v>
      </c>
      <c r="K483" s="15" t="n">
        <v>34.26</v>
      </c>
      <c r="L483" s="34" t="n">
        <v>44964</v>
      </c>
      <c r="M483" s="15" t="n">
        <v>70.09999999999999</v>
      </c>
      <c r="N483" s="15" t="n">
        <v>91.73999999999999</v>
      </c>
      <c r="O483" s="34" t="n">
        <v>44964</v>
      </c>
      <c r="P483" s="15" t="n">
        <v>217.6</v>
      </c>
      <c r="Q483" s="15" t="n">
        <v>205.56</v>
      </c>
      <c r="R483" s="34" t="n">
        <v>44964</v>
      </c>
      <c r="S483" s="15" t="n">
        <v>25.3</v>
      </c>
      <c r="V483" s="15" t="n">
        <v>60.65</v>
      </c>
      <c r="W483" s="15" t="n">
        <v>92.09999999999999</v>
      </c>
      <c r="X483" s="34" t="n">
        <v>44964</v>
      </c>
    </row>
    <row r="484">
      <c r="A484" s="34" t="n">
        <v>44965</v>
      </c>
      <c r="B484" s="266" t="n">
        <v>1.155540943145752</v>
      </c>
      <c r="C484" s="34" t="n">
        <v>44965</v>
      </c>
      <c r="D484" s="15" t="n">
        <v>38.8</v>
      </c>
      <c r="E484" s="15" t="n">
        <v>61.85</v>
      </c>
      <c r="F484" s="34" t="n">
        <v>44965</v>
      </c>
      <c r="G484" s="15" t="n">
        <v>119.9</v>
      </c>
      <c r="H484" s="15" t="n">
        <v>157</v>
      </c>
      <c r="I484" s="34" t="n">
        <v>44965</v>
      </c>
      <c r="J484" s="15" t="n">
        <v>26.55</v>
      </c>
      <c r="K484" s="15" t="n">
        <v>33.9</v>
      </c>
      <c r="L484" s="34" t="n">
        <v>44965</v>
      </c>
      <c r="M484" s="15" t="n">
        <v>71.55</v>
      </c>
      <c r="N484" s="15" t="n">
        <v>93.23999999999999</v>
      </c>
      <c r="O484" s="34" t="n">
        <v>44965</v>
      </c>
      <c r="P484" s="15" t="n">
        <v>214</v>
      </c>
      <c r="Q484" s="15" t="n">
        <v>204.31</v>
      </c>
      <c r="R484" s="34" t="n">
        <v>44965</v>
      </c>
      <c r="S484" s="15" t="n">
        <v>25.35</v>
      </c>
      <c r="V484" s="15" t="n">
        <v>59.5</v>
      </c>
      <c r="W484" s="15" t="n">
        <v>94.76000000000001</v>
      </c>
      <c r="X484" s="34" t="n">
        <v>44965</v>
      </c>
    </row>
    <row r="485">
      <c r="A485" s="34" t="n">
        <v>44966</v>
      </c>
      <c r="B485" s="266" t="n">
        <v>1.156080961227417</v>
      </c>
      <c r="C485" s="34" t="n">
        <v>44966</v>
      </c>
      <c r="D485" s="15" t="n">
        <v>38.4</v>
      </c>
      <c r="E485" s="15" t="n">
        <v>62.13</v>
      </c>
      <c r="F485" s="34" t="n">
        <v>44966</v>
      </c>
      <c r="G485" s="15" t="n">
        <v>120.5</v>
      </c>
      <c r="H485" s="15" t="n">
        <v>158.5</v>
      </c>
      <c r="I485" s="34" t="n">
        <v>44966</v>
      </c>
      <c r="J485" s="15" t="n">
        <v>26.65</v>
      </c>
      <c r="K485" s="15" t="n">
        <v>34.42</v>
      </c>
      <c r="L485" s="34" t="n">
        <v>44966</v>
      </c>
      <c r="M485" s="15" t="n">
        <v>71.90000000000001</v>
      </c>
      <c r="N485" s="15" t="n">
        <v>92.23</v>
      </c>
      <c r="O485" s="34" t="n">
        <v>44966</v>
      </c>
      <c r="P485" s="15" t="n">
        <v>219.6</v>
      </c>
      <c r="Q485" s="15" t="n">
        <v>205.69</v>
      </c>
      <c r="R485" s="34" t="n">
        <v>44966</v>
      </c>
      <c r="S485" s="15" t="n">
        <v>25.45</v>
      </c>
      <c r="V485" s="15" t="n">
        <v>60</v>
      </c>
      <c r="W485" s="15" t="n">
        <v>97.40000000000001</v>
      </c>
      <c r="X485" s="34" t="n">
        <v>44966</v>
      </c>
    </row>
    <row r="486">
      <c r="A486" s="34" t="n">
        <v>44967</v>
      </c>
      <c r="B486" s="266" t="n">
        <v>1.157587051391602</v>
      </c>
      <c r="C486" s="34" t="n">
        <v>44967</v>
      </c>
      <c r="D486" s="15" t="n">
        <v>38</v>
      </c>
      <c r="E486" s="15" t="n">
        <v>61.55</v>
      </c>
      <c r="F486" s="34" t="n">
        <v>44967</v>
      </c>
      <c r="G486" s="15" t="n">
        <v>116.9</v>
      </c>
      <c r="H486" s="15" t="n">
        <v>156.05</v>
      </c>
      <c r="I486" s="34" t="n">
        <v>44967</v>
      </c>
      <c r="J486" s="15" t="n">
        <v>26.2</v>
      </c>
      <c r="K486" s="15" t="n">
        <v>34.05</v>
      </c>
      <c r="L486" s="34" t="n">
        <v>44967</v>
      </c>
      <c r="M486" s="15" t="n">
        <v>69.7</v>
      </c>
      <c r="N486" s="15" t="n">
        <v>89.84999999999999</v>
      </c>
      <c r="O486" s="34" t="n">
        <v>44967</v>
      </c>
      <c r="P486" s="15" t="n">
        <v>216.6</v>
      </c>
      <c r="Q486" s="15" t="n">
        <v>204.42</v>
      </c>
      <c r="R486" s="34" t="n">
        <v>44967</v>
      </c>
      <c r="S486" s="15" t="n">
        <v>25.3</v>
      </c>
      <c r="V486" s="15" t="n">
        <v>60.3</v>
      </c>
      <c r="W486" s="15" t="n">
        <v>95.92</v>
      </c>
      <c r="X486" s="34" t="n">
        <v>44967</v>
      </c>
    </row>
    <row r="487">
      <c r="A487" s="34" t="n">
        <v>44970</v>
      </c>
      <c r="B487" s="266" t="n">
        <v>1.152721047401428</v>
      </c>
      <c r="C487" s="34" t="n">
        <v>44970</v>
      </c>
      <c r="D487" s="15" t="n">
        <v>37</v>
      </c>
      <c r="E487" s="15" t="n">
        <v>61.33</v>
      </c>
      <c r="F487" s="34" t="n">
        <v>44970</v>
      </c>
      <c r="G487" s="15" t="n">
        <v>115.3</v>
      </c>
      <c r="H487" s="15" t="n">
        <v>154.9</v>
      </c>
      <c r="I487" s="34" t="n">
        <v>44970</v>
      </c>
      <c r="J487" s="15" t="n">
        <v>26.9</v>
      </c>
      <c r="K487" s="15" t="n">
        <v>35</v>
      </c>
      <c r="L487" s="34" t="n">
        <v>44970</v>
      </c>
      <c r="M487" s="15" t="n">
        <v>67.90000000000001</v>
      </c>
      <c r="N487" s="15" t="n">
        <v>89.7</v>
      </c>
      <c r="O487" s="34" t="n">
        <v>44970</v>
      </c>
      <c r="P487" s="15" t="n">
        <v>221.2</v>
      </c>
      <c r="Q487" s="15" t="n">
        <v>208</v>
      </c>
      <c r="R487" s="34" t="n">
        <v>44970</v>
      </c>
      <c r="S487" s="15" t="n">
        <v>25.45</v>
      </c>
      <c r="V487" s="15" t="n">
        <v>60.05</v>
      </c>
      <c r="W487" s="15" t="n">
        <v>93.89</v>
      </c>
      <c r="X487" s="34" t="n">
        <v>44970</v>
      </c>
    </row>
    <row r="488">
      <c r="A488" s="34" t="n">
        <v>44971</v>
      </c>
      <c r="B488" s="266" t="n">
        <v>1.150822043418884</v>
      </c>
      <c r="C488" s="34" t="n">
        <v>44971</v>
      </c>
      <c r="D488" s="15" t="n">
        <v>37.1</v>
      </c>
      <c r="E488" s="15" t="n">
        <v>61.76</v>
      </c>
      <c r="F488" s="34" t="n">
        <v>44971</v>
      </c>
      <c r="G488" s="15" t="n">
        <v>112.2</v>
      </c>
      <c r="H488" s="15" t="n">
        <v>153</v>
      </c>
      <c r="I488" s="34" t="n">
        <v>44971</v>
      </c>
      <c r="J488" s="15" t="n">
        <v>26.7</v>
      </c>
      <c r="K488" s="15" t="n">
        <v>35</v>
      </c>
      <c r="L488" s="34" t="n">
        <v>44971</v>
      </c>
      <c r="M488" s="15" t="n">
        <v>68.5</v>
      </c>
      <c r="N488" s="15" t="n">
        <v>89.18000000000001</v>
      </c>
      <c r="O488" s="34" t="n">
        <v>44971</v>
      </c>
      <c r="P488" s="15" t="n">
        <v>218</v>
      </c>
      <c r="Q488" s="15" t="n">
        <v>205.45</v>
      </c>
      <c r="R488" s="34" t="n">
        <v>44971</v>
      </c>
      <c r="S488" s="15" t="n">
        <v>25.2</v>
      </c>
      <c r="V488" s="15" t="n">
        <v>63.65</v>
      </c>
      <c r="W488" s="15" t="n">
        <v>100</v>
      </c>
      <c r="X488" s="34" t="n">
        <v>44971</v>
      </c>
    </row>
    <row r="489">
      <c r="A489" s="34" t="n">
        <v>44972</v>
      </c>
      <c r="B489" s="266" t="n">
        <v>1.149250030517578</v>
      </c>
      <c r="C489" s="34" t="n">
        <v>44972</v>
      </c>
      <c r="D489" s="15" t="n">
        <v>35.55</v>
      </c>
      <c r="E489" s="15" t="n">
        <v>57.65</v>
      </c>
      <c r="F489" s="34" t="n">
        <v>44972</v>
      </c>
      <c r="G489" s="15" t="n">
        <v>110.1</v>
      </c>
      <c r="H489" s="15" t="n">
        <v>149.9</v>
      </c>
      <c r="I489" s="34" t="n">
        <v>44972</v>
      </c>
      <c r="J489" s="15" t="n">
        <v>26.55</v>
      </c>
      <c r="K489" s="15" t="n">
        <v>34.81</v>
      </c>
      <c r="L489" s="34" t="n">
        <v>44972</v>
      </c>
      <c r="M489" s="15" t="n">
        <v>66.65000000000001</v>
      </c>
      <c r="N489" s="15" t="n">
        <v>88.22</v>
      </c>
      <c r="O489" s="34" t="n">
        <v>44972</v>
      </c>
      <c r="P489" s="15" t="n">
        <v>213.8</v>
      </c>
      <c r="Q489" s="15" t="n">
        <v>200.5</v>
      </c>
      <c r="R489" s="34" t="n">
        <v>44972</v>
      </c>
      <c r="S489" s="15" t="n">
        <v>25.1</v>
      </c>
      <c r="V489" s="15" t="n">
        <v>64.95</v>
      </c>
      <c r="W489" s="15" t="n">
        <v>100.66</v>
      </c>
      <c r="X489" s="34" t="n">
        <v>44972</v>
      </c>
    </row>
    <row r="490">
      <c r="A490" s="34" t="n">
        <v>44973</v>
      </c>
      <c r="B490" s="266" t="n">
        <v>1.144971013069153</v>
      </c>
      <c r="C490" s="34" t="n">
        <v>44973</v>
      </c>
      <c r="D490" s="15" t="n">
        <v>35</v>
      </c>
      <c r="E490" s="15" t="n">
        <v>57.9</v>
      </c>
      <c r="F490" s="34" t="n">
        <v>44973</v>
      </c>
      <c r="G490" s="15" t="n">
        <v>109.9</v>
      </c>
      <c r="H490" s="15" t="n">
        <v>147.22</v>
      </c>
      <c r="I490" s="34" t="n">
        <v>44973</v>
      </c>
      <c r="J490" s="15" t="n">
        <v>26.55</v>
      </c>
      <c r="K490" s="15" t="n">
        <v>33.79</v>
      </c>
      <c r="L490" s="34" t="n">
        <v>44973</v>
      </c>
      <c r="M490" s="15" t="n">
        <v>63.45</v>
      </c>
      <c r="N490" s="15" t="n">
        <v>85.76000000000001</v>
      </c>
      <c r="O490" s="34" t="n">
        <v>44973</v>
      </c>
      <c r="P490" s="15" t="n">
        <v>218</v>
      </c>
      <c r="Q490" s="15" t="n">
        <v>204.18</v>
      </c>
      <c r="R490" s="34" t="n">
        <v>44973</v>
      </c>
      <c r="S490" s="15" t="n">
        <v>25</v>
      </c>
      <c r="V490" s="15" t="n">
        <v>62.95</v>
      </c>
      <c r="W490" s="15" t="n">
        <v>95.15000000000001</v>
      </c>
      <c r="X490" s="34" t="n">
        <v>44973</v>
      </c>
    </row>
    <row r="491">
      <c r="A491" s="34" t="n">
        <v>44974</v>
      </c>
      <c r="B491" s="266" t="n">
        <v>1.144101023674011</v>
      </c>
      <c r="C491" s="34" t="n">
        <v>44974</v>
      </c>
      <c r="D491" s="15" t="n">
        <v>35.2</v>
      </c>
      <c r="E491" s="15" t="n">
        <v>57.42</v>
      </c>
      <c r="F491" s="34" t="n">
        <v>44974</v>
      </c>
      <c r="G491" s="15" t="n">
        <v>110</v>
      </c>
      <c r="H491" s="15" t="n">
        <v>147.26</v>
      </c>
      <c r="I491" s="34" t="n">
        <v>44974</v>
      </c>
      <c r="J491" s="15" t="n">
        <v>26.2</v>
      </c>
      <c r="K491" s="15" t="n">
        <v>33.71</v>
      </c>
      <c r="L491" s="34" t="n">
        <v>44974</v>
      </c>
      <c r="M491" s="15" t="n">
        <v>62.4</v>
      </c>
      <c r="N491" s="15" t="n">
        <v>83.55</v>
      </c>
      <c r="O491" s="34" t="n">
        <v>44974</v>
      </c>
      <c r="P491" s="15" t="n">
        <v>213.6</v>
      </c>
      <c r="Q491" s="15" t="n">
        <v>200.54</v>
      </c>
      <c r="R491" s="34" t="n">
        <v>44974</v>
      </c>
      <c r="S491" s="15" t="n">
        <v>25.15</v>
      </c>
      <c r="V491" s="15" t="n">
        <v>62.6</v>
      </c>
      <c r="W491" s="15" t="n">
        <v>94.59999999999999</v>
      </c>
      <c r="X491" s="34" t="n">
        <v>44974</v>
      </c>
    </row>
    <row r="492">
      <c r="A492" s="34" t="n">
        <v>44977</v>
      </c>
      <c r="B492" s="266" t="n">
        <v>1.141230940818787</v>
      </c>
      <c r="C492" s="34" t="n">
        <v>44977</v>
      </c>
      <c r="D492" s="15" t="n">
        <v>35.8</v>
      </c>
      <c r="E492" s="15" t="n">
        <v>58.42</v>
      </c>
      <c r="F492" s="34" t="n">
        <v>44977</v>
      </c>
      <c r="G492" s="15" t="n">
        <v>110.7</v>
      </c>
      <c r="H492" s="15" t="n">
        <v>148.9</v>
      </c>
      <c r="I492" s="34" t="n">
        <v>44977</v>
      </c>
      <c r="J492" s="15" t="n">
        <v>27.05</v>
      </c>
      <c r="K492" s="15" t="n">
        <v>33.43</v>
      </c>
      <c r="L492" s="34" t="n">
        <v>44977</v>
      </c>
      <c r="M492" s="15" t="n">
        <v>61.5</v>
      </c>
      <c r="N492" s="15" t="n">
        <v>82.98</v>
      </c>
      <c r="O492" s="34" t="n">
        <v>44977</v>
      </c>
      <c r="P492" s="15" t="n">
        <v>215</v>
      </c>
      <c r="Q492" s="15" t="n">
        <v>205.97</v>
      </c>
      <c r="R492" s="34" t="n">
        <v>44977</v>
      </c>
      <c r="S492" s="15" t="n">
        <v>25.45</v>
      </c>
      <c r="V492" s="15" t="n">
        <v>62.8</v>
      </c>
      <c r="W492" s="15" t="n">
        <v>94.52</v>
      </c>
      <c r="X492" s="34" t="n">
        <v>44977</v>
      </c>
    </row>
    <row r="493">
      <c r="A493" s="34" t="n">
        <v>44978</v>
      </c>
      <c r="B493" s="266" t="n">
        <v>1.142338037490845</v>
      </c>
      <c r="C493" s="34" t="n">
        <v>44978</v>
      </c>
      <c r="D493" s="15" t="n">
        <v>35.4</v>
      </c>
      <c r="E493" s="15" t="n">
        <v>58.28</v>
      </c>
      <c r="F493" s="34" t="n">
        <v>44978</v>
      </c>
      <c r="G493" s="15" t="n">
        <v>106.2</v>
      </c>
      <c r="H493" s="15" t="n">
        <v>148.16</v>
      </c>
      <c r="I493" s="34" t="n">
        <v>44978</v>
      </c>
      <c r="J493" s="15" t="n">
        <v>26</v>
      </c>
      <c r="K493" s="15" t="n">
        <v>33.66</v>
      </c>
      <c r="L493" s="34" t="n">
        <v>44978</v>
      </c>
      <c r="M493" s="15" t="n">
        <v>60.85</v>
      </c>
      <c r="N493" s="15" t="n">
        <v>83.11</v>
      </c>
      <c r="O493" s="34" t="n">
        <v>44978</v>
      </c>
      <c r="P493" s="15" t="n">
        <v>207.8</v>
      </c>
      <c r="Q493" s="15" t="n">
        <v>203.5</v>
      </c>
      <c r="R493" s="34" t="n">
        <v>44978</v>
      </c>
      <c r="S493" s="15" t="n">
        <v>25.5</v>
      </c>
      <c r="V493" s="15" t="n">
        <v>60.45</v>
      </c>
      <c r="W493" s="15" t="n">
        <v>91.58</v>
      </c>
      <c r="X493" s="34" t="n">
        <v>44978</v>
      </c>
    </row>
    <row r="494">
      <c r="A494" s="34" t="n">
        <v>44979</v>
      </c>
      <c r="B494" s="266" t="n">
        <v>1.141216993331909</v>
      </c>
      <c r="C494" s="34" t="n">
        <v>44979</v>
      </c>
      <c r="D494" s="15" t="n">
        <v>34.7</v>
      </c>
      <c r="E494" s="15" t="n">
        <v>57.88</v>
      </c>
      <c r="F494" s="34" t="n">
        <v>44979</v>
      </c>
      <c r="G494" s="15" t="n">
        <v>106.7</v>
      </c>
      <c r="H494" s="15" t="n">
        <v>146.39</v>
      </c>
      <c r="I494" s="34" t="n">
        <v>44979</v>
      </c>
      <c r="J494" s="15" t="n">
        <v>26.1</v>
      </c>
      <c r="K494" s="15" t="n">
        <v>33.38</v>
      </c>
      <c r="L494" s="34" t="n">
        <v>44979</v>
      </c>
      <c r="M494" s="15" t="n">
        <v>59.95</v>
      </c>
      <c r="N494" s="15" t="n">
        <v>82.03</v>
      </c>
      <c r="O494" s="34" t="n">
        <v>44979</v>
      </c>
      <c r="P494" s="15" t="n">
        <v>203.8</v>
      </c>
      <c r="Q494" s="15" t="n">
        <v>200.54</v>
      </c>
      <c r="R494" s="34" t="n">
        <v>44979</v>
      </c>
      <c r="S494" s="15" t="n">
        <v>25.25</v>
      </c>
      <c r="V494" s="15" t="n">
        <v>60.9</v>
      </c>
      <c r="W494" s="15" t="n">
        <v>89.7</v>
      </c>
      <c r="X494" s="34" t="n">
        <v>44979</v>
      </c>
    </row>
    <row r="495">
      <c r="A495" s="34" t="n">
        <v>44980</v>
      </c>
      <c r="B495" s="266" t="n">
        <v>1.138142943382263</v>
      </c>
      <c r="C495" s="34" t="n">
        <v>44980</v>
      </c>
      <c r="D495" s="15" t="n">
        <v>34.8</v>
      </c>
      <c r="E495" s="15" t="n">
        <v>58.75</v>
      </c>
      <c r="F495" s="34" t="n">
        <v>44980</v>
      </c>
      <c r="G495" s="15" t="n">
        <v>107.2</v>
      </c>
      <c r="H495" s="15" t="n">
        <v>146.25</v>
      </c>
      <c r="I495" s="34" t="n">
        <v>44980</v>
      </c>
      <c r="J495" s="15" t="n">
        <v>26.25</v>
      </c>
      <c r="K495" s="15" t="n">
        <v>33.13</v>
      </c>
      <c r="L495" s="34" t="n">
        <v>44980</v>
      </c>
      <c r="M495" s="15" t="n">
        <v>59.9</v>
      </c>
      <c r="N495" s="15" t="n">
        <v>82.70999999999999</v>
      </c>
      <c r="O495" s="34" t="n">
        <v>44980</v>
      </c>
      <c r="P495" s="15" t="n">
        <v>202.2</v>
      </c>
      <c r="Q495" s="15" t="n">
        <v>199.99</v>
      </c>
      <c r="R495" s="34" t="n">
        <v>44980</v>
      </c>
      <c r="S495" s="15" t="n">
        <v>25.35</v>
      </c>
      <c r="V495" s="15" t="n">
        <v>60.6</v>
      </c>
      <c r="W495" s="15" t="n">
        <v>88.65000000000001</v>
      </c>
      <c r="X495" s="34" t="n">
        <v>44980</v>
      </c>
    </row>
    <row r="496">
      <c r="A496" s="34" t="n">
        <v>44981</v>
      </c>
      <c r="B496" s="266" t="n">
        <v>1.135694026947021</v>
      </c>
      <c r="C496" s="34" t="n">
        <v>44981</v>
      </c>
      <c r="D496" s="15" t="n">
        <v>33.9</v>
      </c>
      <c r="E496" s="15" t="n">
        <v>58.21</v>
      </c>
      <c r="F496" s="34" t="n">
        <v>44981</v>
      </c>
      <c r="G496" s="15" t="n">
        <v>106.7</v>
      </c>
      <c r="H496" s="15" t="n">
        <v>144.32</v>
      </c>
      <c r="I496" s="34" t="n">
        <v>44981</v>
      </c>
      <c r="J496" s="15" t="n">
        <v>25.65</v>
      </c>
      <c r="K496" s="15" t="n">
        <v>32.68</v>
      </c>
      <c r="L496" s="34" t="n">
        <v>44981</v>
      </c>
      <c r="M496" s="15" t="n">
        <v>58.65</v>
      </c>
      <c r="N496" s="15" t="n">
        <v>82.25</v>
      </c>
      <c r="O496" s="34" t="n">
        <v>44981</v>
      </c>
      <c r="P496" s="15" t="n">
        <v>204.4</v>
      </c>
      <c r="Q496" s="15" t="n">
        <v>197.51</v>
      </c>
      <c r="R496" s="34" t="n">
        <v>44981</v>
      </c>
      <c r="S496" s="15" t="n">
        <v>25.3</v>
      </c>
      <c r="V496" s="15" t="n">
        <v>61.2</v>
      </c>
      <c r="W496" s="15" t="n">
        <v>87.84999999999999</v>
      </c>
      <c r="X496" s="34" t="n">
        <v>44981</v>
      </c>
    </row>
    <row r="497">
      <c r="A497" s="34" t="n">
        <v>44984</v>
      </c>
      <c r="B497" s="266" t="n">
        <v>1.135581016540527</v>
      </c>
      <c r="C497" s="34" t="n">
        <v>44984</v>
      </c>
      <c r="D497" s="15" t="n">
        <v>33.1</v>
      </c>
      <c r="E497" s="15" t="n">
        <v>57.37</v>
      </c>
      <c r="F497" s="34" t="n">
        <v>44984</v>
      </c>
      <c r="G497" s="15" t="n">
        <v>104.3</v>
      </c>
      <c r="H497" s="15" t="n">
        <v>141.45</v>
      </c>
      <c r="I497" s="34" t="n">
        <v>44984</v>
      </c>
      <c r="J497" s="15" t="n">
        <v>25.35</v>
      </c>
      <c r="K497" s="15" t="n">
        <v>32.22</v>
      </c>
      <c r="L497" s="34" t="n">
        <v>44984</v>
      </c>
      <c r="M497" s="15" t="n">
        <v>57.5</v>
      </c>
      <c r="N497" s="15" t="n">
        <v>82.5</v>
      </c>
      <c r="O497" s="34" t="n">
        <v>44984</v>
      </c>
      <c r="P497" s="15" t="n">
        <v>201.2</v>
      </c>
      <c r="Q497" s="15" t="n">
        <v>197.31</v>
      </c>
      <c r="R497" s="34" t="n">
        <v>44984</v>
      </c>
      <c r="S497" s="15" t="n">
        <v>25.2</v>
      </c>
      <c r="V497" s="15" t="n">
        <v>60.55</v>
      </c>
      <c r="W497" s="15" t="n">
        <v>86.90000000000001</v>
      </c>
      <c r="X497" s="34" t="n">
        <v>44984</v>
      </c>
    </row>
    <row r="498">
      <c r="A498" s="34" t="n">
        <v>44985</v>
      </c>
      <c r="B498" s="266" t="n">
        <v>1.129464983940125</v>
      </c>
      <c r="C498" s="34" t="n">
        <v>44985</v>
      </c>
      <c r="D498" s="15" t="n">
        <v>34</v>
      </c>
      <c r="E498" s="15" t="n">
        <v>58.75</v>
      </c>
      <c r="F498" s="34" t="n">
        <v>44985</v>
      </c>
      <c r="G498" s="15" t="n">
        <v>105.5</v>
      </c>
      <c r="H498" s="15" t="n">
        <v>143.21</v>
      </c>
      <c r="I498" s="34" t="n">
        <v>44985</v>
      </c>
      <c r="J498" s="15" t="n">
        <v>25.2</v>
      </c>
      <c r="K498" s="15" t="n">
        <v>32.19</v>
      </c>
      <c r="L498" s="34" t="n">
        <v>44985</v>
      </c>
      <c r="M498" s="15" t="n">
        <v>55.8</v>
      </c>
      <c r="N498" s="15" t="n">
        <v>81.98999999999999</v>
      </c>
      <c r="O498" s="34" t="n">
        <v>44985</v>
      </c>
      <c r="P498" s="15" t="n">
        <v>198.1</v>
      </c>
      <c r="Q498" s="15" t="n">
        <v>197.58</v>
      </c>
      <c r="R498" s="34" t="n">
        <v>44985</v>
      </c>
      <c r="S498" s="15" t="n">
        <v>25.85</v>
      </c>
      <c r="V498" s="15" t="n">
        <v>60.5</v>
      </c>
      <c r="W498" s="15" t="n">
        <v>87.17</v>
      </c>
      <c r="X498" s="34" t="n">
        <v>44985</v>
      </c>
    </row>
    <row r="499">
      <c r="A499" s="34" t="n">
        <v>44986</v>
      </c>
      <c r="B499" s="266" t="n">
        <v>1.131901025772095</v>
      </c>
      <c r="C499" s="34" t="n">
        <v>44986</v>
      </c>
      <c r="D499" s="15" t="n">
        <v>35.4</v>
      </c>
      <c r="E499" s="15" t="n">
        <v>58.16</v>
      </c>
      <c r="F499" s="34" t="n">
        <v>44986</v>
      </c>
      <c r="G499" s="15" t="n">
        <v>108</v>
      </c>
      <c r="H499" s="15" t="n">
        <v>143.76</v>
      </c>
      <c r="I499" s="34" t="n">
        <v>44986</v>
      </c>
      <c r="J499" s="15" t="n">
        <v>25.95</v>
      </c>
      <c r="K499" s="15" t="n">
        <v>32.19</v>
      </c>
      <c r="L499" s="34" t="n">
        <v>44986</v>
      </c>
      <c r="M499" s="15" t="n">
        <v>57.55</v>
      </c>
      <c r="N499" s="15" t="n">
        <v>82.09999999999999</v>
      </c>
      <c r="O499" s="34" t="n">
        <v>44986</v>
      </c>
      <c r="P499" s="15" t="n">
        <v>203.6</v>
      </c>
      <c r="Q499" s="15" t="n">
        <v>196.85</v>
      </c>
      <c r="R499" s="34" t="n">
        <v>44986</v>
      </c>
      <c r="S499" s="15" t="n">
        <v>26.55</v>
      </c>
      <c r="V499" s="15" t="n">
        <v>61.5</v>
      </c>
      <c r="W499" s="15" t="n">
        <v>88.59</v>
      </c>
      <c r="X499" s="34" t="n">
        <v>44986</v>
      </c>
    </row>
    <row r="500">
      <c r="A500" s="34" t="n">
        <v>44987</v>
      </c>
      <c r="B500" s="266" t="n">
        <v>1.142472982406616</v>
      </c>
      <c r="C500" s="34" t="n">
        <v>44987</v>
      </c>
      <c r="D500" s="15" t="n">
        <v>37.25</v>
      </c>
      <c r="E500" s="15" t="n">
        <v>57.89</v>
      </c>
      <c r="F500" s="34" t="n">
        <v>44987</v>
      </c>
      <c r="G500" s="15" t="n">
        <v>105.1</v>
      </c>
      <c r="H500" s="15" t="n">
        <v>142.7</v>
      </c>
      <c r="I500" s="34" t="n">
        <v>44987</v>
      </c>
      <c r="J500" s="15" t="n">
        <v>24.15</v>
      </c>
      <c r="K500" s="15" t="n">
        <v>29.82</v>
      </c>
      <c r="L500" s="34" t="n">
        <v>44987</v>
      </c>
      <c r="M500" s="15" t="n">
        <v>56.35</v>
      </c>
      <c r="N500" s="15" t="n">
        <v>80.55</v>
      </c>
      <c r="O500" s="34" t="n">
        <v>44987</v>
      </c>
      <c r="P500" s="15" t="n">
        <v>205.4</v>
      </c>
      <c r="Q500" s="15" t="n">
        <v>195.52</v>
      </c>
      <c r="R500" s="34" t="n">
        <v>44987</v>
      </c>
      <c r="S500" s="15" t="n">
        <v>27.1</v>
      </c>
      <c r="V500" s="15" t="n">
        <v>61.8</v>
      </c>
      <c r="W500" s="15" t="n">
        <v>90.13</v>
      </c>
      <c r="X500" s="34" t="n">
        <v>44987</v>
      </c>
    </row>
    <row r="501">
      <c r="A501" s="34" t="n">
        <v>44988</v>
      </c>
      <c r="B501" s="266" t="n">
        <v>1.134973049163818</v>
      </c>
      <c r="C501" s="34" t="n">
        <v>44988</v>
      </c>
      <c r="D501" s="15" t="n">
        <v>35.75</v>
      </c>
      <c r="E501" s="15" t="n">
        <v>57.05</v>
      </c>
      <c r="F501" s="34" t="n">
        <v>44988</v>
      </c>
      <c r="G501" s="15" t="n">
        <v>105.7</v>
      </c>
      <c r="H501" s="15" t="n">
        <v>142.76</v>
      </c>
      <c r="I501" s="34" t="n">
        <v>44988</v>
      </c>
      <c r="J501" s="15" t="n">
        <v>24.65</v>
      </c>
      <c r="K501" s="15" t="n">
        <v>29.55</v>
      </c>
      <c r="L501" s="34" t="n">
        <v>44988</v>
      </c>
      <c r="M501" s="15" t="n">
        <v>56.7</v>
      </c>
      <c r="N501" s="15" t="n">
        <v>80.23</v>
      </c>
      <c r="O501" s="34" t="n">
        <v>44988</v>
      </c>
      <c r="P501" s="15" t="n">
        <v>208</v>
      </c>
      <c r="Q501" s="15" t="n">
        <v>196.06</v>
      </c>
      <c r="R501" s="34" t="n">
        <v>44988</v>
      </c>
      <c r="S501" s="15" t="n">
        <v>26.75</v>
      </c>
      <c r="V501" s="15" t="n">
        <v>61.75</v>
      </c>
      <c r="W501" s="15" t="n">
        <v>90.72</v>
      </c>
      <c r="X501" s="34" t="n">
        <v>44988</v>
      </c>
    </row>
    <row r="502">
      <c r="A502" s="34" t="n">
        <v>44991</v>
      </c>
      <c r="B502" s="266" t="n">
        <v>1.135468006134033</v>
      </c>
      <c r="C502" s="34" t="n">
        <v>44991</v>
      </c>
      <c r="D502" s="15" t="n">
        <v>35.85</v>
      </c>
      <c r="E502" s="15" t="n">
        <v>56.81</v>
      </c>
      <c r="F502" s="34" t="n">
        <v>44991</v>
      </c>
      <c r="G502" s="15" t="n">
        <v>103.4</v>
      </c>
      <c r="H502" s="15" t="n">
        <v>140.59</v>
      </c>
      <c r="I502" s="34" t="n">
        <v>44991</v>
      </c>
      <c r="J502" s="15" t="n">
        <v>24.3</v>
      </c>
      <c r="K502" s="15" t="n">
        <v>29.3</v>
      </c>
      <c r="L502" s="34" t="n">
        <v>44991</v>
      </c>
      <c r="M502" s="15" t="n">
        <v>58.55</v>
      </c>
      <c r="N502" s="15" t="n">
        <v>81.18000000000001</v>
      </c>
      <c r="O502" s="34" t="n">
        <v>44991</v>
      </c>
      <c r="P502" s="15" t="n">
        <v>206.2</v>
      </c>
      <c r="Q502" s="15" t="n">
        <v>191.93</v>
      </c>
      <c r="R502" s="34" t="n">
        <v>44991</v>
      </c>
      <c r="S502" s="15" t="n">
        <v>25.3</v>
      </c>
      <c r="V502" s="15" t="n">
        <v>61.15</v>
      </c>
      <c r="W502" s="15" t="n">
        <v>92.34</v>
      </c>
      <c r="X502" s="34" t="n">
        <v>44991</v>
      </c>
    </row>
    <row r="503">
      <c r="A503" s="34" t="n">
        <v>44992</v>
      </c>
      <c r="B503" s="266" t="n">
        <v>1.132706046104431</v>
      </c>
      <c r="C503" s="34" t="n">
        <v>44992</v>
      </c>
      <c r="D503" s="15" t="n">
        <v>35.4</v>
      </c>
      <c r="E503" s="15" t="n">
        <v>55.73</v>
      </c>
      <c r="F503" s="34" t="n">
        <v>44992</v>
      </c>
      <c r="G503" s="15" t="n">
        <v>101</v>
      </c>
      <c r="H503" s="15" t="n">
        <v>138.1</v>
      </c>
      <c r="I503" s="34" t="n">
        <v>44992</v>
      </c>
      <c r="J503" s="15" t="n">
        <v>24.05</v>
      </c>
      <c r="K503" s="15" t="n">
        <v>28.89</v>
      </c>
      <c r="L503" s="34" t="n">
        <v>44992</v>
      </c>
      <c r="M503" s="15" t="n">
        <v>56.35</v>
      </c>
      <c r="N503" s="15" t="n">
        <v>79.70999999999999</v>
      </c>
      <c r="O503" s="34" t="n">
        <v>44992</v>
      </c>
      <c r="P503" s="15" t="n">
        <v>200.2</v>
      </c>
      <c r="Q503" s="15" t="n">
        <v>188.6</v>
      </c>
      <c r="R503" s="34" t="n">
        <v>44992</v>
      </c>
      <c r="S503" s="15" t="n">
        <v>25</v>
      </c>
      <c r="V503" s="15" t="n">
        <v>60.5</v>
      </c>
      <c r="W503" s="15" t="n">
        <v>92</v>
      </c>
      <c r="X503" s="34" t="n">
        <v>44992</v>
      </c>
    </row>
    <row r="504">
      <c r="A504" s="34" t="n">
        <v>44993</v>
      </c>
      <c r="B504" s="266" t="n">
        <v>1.127292037010193</v>
      </c>
      <c r="C504" s="34" t="n">
        <v>44993</v>
      </c>
      <c r="D504" s="15" t="n">
        <v>34</v>
      </c>
      <c r="E504" s="15" t="n">
        <v>56.01</v>
      </c>
      <c r="F504" s="34" t="n">
        <v>44993</v>
      </c>
      <c r="G504" s="15" t="n">
        <v>97.95</v>
      </c>
      <c r="H504" s="15" t="n">
        <v>137.1</v>
      </c>
      <c r="I504" s="34" t="n">
        <v>44993</v>
      </c>
      <c r="J504" s="15" t="n">
        <v>24.15</v>
      </c>
      <c r="K504" s="15" t="n">
        <v>29</v>
      </c>
      <c r="L504" s="34" t="n">
        <v>44993</v>
      </c>
      <c r="M504" s="15" t="n">
        <v>55.75</v>
      </c>
      <c r="N504" s="15" t="n">
        <v>79.36</v>
      </c>
      <c r="O504" s="34" t="n">
        <v>44993</v>
      </c>
      <c r="P504" s="15" t="n">
        <v>197.9</v>
      </c>
      <c r="Q504" s="15" t="n">
        <v>187.65</v>
      </c>
      <c r="R504" s="34" t="n">
        <v>44993</v>
      </c>
      <c r="S504" s="15" t="n">
        <v>25.05</v>
      </c>
      <c r="V504" s="15" t="n">
        <v>60</v>
      </c>
      <c r="W504" s="15" t="n">
        <v>89.18000000000001</v>
      </c>
      <c r="X504" s="34" t="n">
        <v>44993</v>
      </c>
    </row>
    <row r="505">
      <c r="A505" s="34" t="n">
        <v>44994</v>
      </c>
      <c r="B505" s="266" t="n">
        <v>1.12942099571228</v>
      </c>
      <c r="C505" s="34" t="n">
        <v>44994</v>
      </c>
      <c r="D505" s="15" t="n">
        <v>34.45</v>
      </c>
      <c r="E505" s="15" t="n">
        <v>56.12</v>
      </c>
      <c r="F505" s="34" t="n">
        <v>44994</v>
      </c>
      <c r="G505" s="15" t="n">
        <v>99.09999999999999</v>
      </c>
      <c r="H505" s="15" t="n">
        <v>137.25</v>
      </c>
      <c r="I505" s="34" t="n">
        <v>44994</v>
      </c>
      <c r="J505" s="15" t="n">
        <v>24.4</v>
      </c>
      <c r="K505" s="15" t="n">
        <v>29.14</v>
      </c>
      <c r="L505" s="34" t="n">
        <v>44994</v>
      </c>
      <c r="M505" s="15" t="n">
        <v>56.25</v>
      </c>
      <c r="N505" s="15" t="n">
        <v>80.11</v>
      </c>
      <c r="O505" s="34" t="n">
        <v>44994</v>
      </c>
      <c r="P505" s="15" t="n">
        <v>196.6</v>
      </c>
      <c r="Q505" s="15" t="n">
        <v>184.49</v>
      </c>
      <c r="R505" s="34" t="n">
        <v>44994</v>
      </c>
      <c r="S505" s="15" t="n">
        <v>25</v>
      </c>
      <c r="V505" s="15" t="n">
        <v>60.75</v>
      </c>
      <c r="W505" s="15" t="n">
        <v>89.45</v>
      </c>
      <c r="X505" s="34" t="n">
        <v>44994</v>
      </c>
    </row>
    <row r="506">
      <c r="A506" s="34" t="n">
        <v>44995</v>
      </c>
      <c r="B506" s="266" t="n">
        <v>1.126757979393005</v>
      </c>
      <c r="C506" s="34" t="n">
        <v>44995</v>
      </c>
      <c r="D506" s="15" t="n">
        <v>34</v>
      </c>
      <c r="E506" s="15" t="n">
        <v>56.88</v>
      </c>
      <c r="F506" s="34" t="n">
        <v>44995</v>
      </c>
      <c r="G506" s="15" t="n">
        <v>99.25</v>
      </c>
      <c r="H506" s="15" t="n">
        <v>137.14</v>
      </c>
      <c r="I506" s="34" t="n">
        <v>44995</v>
      </c>
      <c r="J506" s="15" t="n">
        <v>23.2</v>
      </c>
      <c r="K506" s="15" t="n">
        <v>28.6</v>
      </c>
      <c r="L506" s="34" t="n">
        <v>44995</v>
      </c>
      <c r="M506" s="15" t="n">
        <v>54.6</v>
      </c>
      <c r="N506" s="15" t="n">
        <v>78.33</v>
      </c>
      <c r="O506" s="34" t="n">
        <v>44995</v>
      </c>
      <c r="P506" s="15" t="n">
        <v>189.1</v>
      </c>
      <c r="Q506" s="15" t="n">
        <v>181.73</v>
      </c>
      <c r="R506" s="34" t="n">
        <v>44995</v>
      </c>
      <c r="S506" s="15" t="n">
        <v>24.95</v>
      </c>
      <c r="V506" s="15" t="n">
        <v>60</v>
      </c>
      <c r="W506" s="15" t="n">
        <v>88.03</v>
      </c>
      <c r="X506" s="34" t="n">
        <v>44995</v>
      </c>
    </row>
    <row r="507">
      <c r="A507" s="34" t="n">
        <v>44998</v>
      </c>
      <c r="B507" s="266" t="n">
        <v>1.140457987785339</v>
      </c>
      <c r="C507" s="34" t="n">
        <v>44998</v>
      </c>
      <c r="D507" s="15" t="n">
        <v>34.55</v>
      </c>
      <c r="E507" s="15" t="n">
        <v>54.92</v>
      </c>
      <c r="F507" s="34" t="n">
        <v>44998</v>
      </c>
      <c r="G507" s="15" t="n">
        <v>96.3</v>
      </c>
      <c r="H507" s="15" t="n">
        <v>135.29</v>
      </c>
      <c r="I507" s="34" t="n">
        <v>44998</v>
      </c>
      <c r="J507" s="15" t="n">
        <v>22.85</v>
      </c>
      <c r="K507" s="15" t="n">
        <v>28.66</v>
      </c>
      <c r="L507" s="34" t="n">
        <v>44998</v>
      </c>
      <c r="M507" s="15" t="n">
        <v>53.45</v>
      </c>
      <c r="N507" s="15" t="n">
        <v>77.02</v>
      </c>
      <c r="O507" s="34" t="n">
        <v>44998</v>
      </c>
      <c r="P507" s="15" t="n">
        <v>196.6</v>
      </c>
      <c r="Q507" s="15" t="n">
        <v>186.81</v>
      </c>
      <c r="R507" s="34" t="n">
        <v>44998</v>
      </c>
      <c r="S507" s="15" t="n">
        <v>25</v>
      </c>
      <c r="V507" s="15" t="n">
        <v>60</v>
      </c>
      <c r="W507" s="15" t="n">
        <v>86.59999999999999</v>
      </c>
      <c r="X507" s="34" t="n">
        <v>44998</v>
      </c>
    </row>
    <row r="508">
      <c r="A508" s="34" t="n">
        <v>44999</v>
      </c>
      <c r="B508" s="266" t="n">
        <v>1.14533805847168</v>
      </c>
      <c r="C508" s="34" t="n">
        <v>44999</v>
      </c>
      <c r="D508" s="15" t="n">
        <v>34.2</v>
      </c>
      <c r="E508" s="15" t="n">
        <v>55.21</v>
      </c>
      <c r="F508" s="34" t="n">
        <v>44999</v>
      </c>
      <c r="G508" s="15" t="n">
        <v>97.65000000000001</v>
      </c>
      <c r="H508" s="15" t="n">
        <v>139.27</v>
      </c>
      <c r="I508" s="34" t="n">
        <v>44999</v>
      </c>
      <c r="J508" s="15" t="n">
        <v>22.25</v>
      </c>
      <c r="K508" s="15" t="n">
        <v>28.39</v>
      </c>
      <c r="L508" s="34" t="n">
        <v>44999</v>
      </c>
      <c r="M508" s="15" t="n">
        <v>51.75</v>
      </c>
      <c r="N508" s="15" t="n">
        <v>77</v>
      </c>
      <c r="O508" s="34" t="n">
        <v>44999</v>
      </c>
      <c r="P508" s="15" t="n">
        <v>192</v>
      </c>
      <c r="Q508" s="15" t="n">
        <v>186.35</v>
      </c>
      <c r="R508" s="34" t="n">
        <v>44999</v>
      </c>
      <c r="S508" s="15" t="n">
        <v>24.95</v>
      </c>
      <c r="V508" s="15" t="n">
        <v>59.25</v>
      </c>
      <c r="W508" s="15" t="n">
        <v>84.38</v>
      </c>
      <c r="X508" s="34" t="n">
        <v>44999</v>
      </c>
    </row>
    <row r="509">
      <c r="A509" s="34" t="n">
        <v>45000</v>
      </c>
      <c r="B509" s="266" t="n">
        <v>1.141839981079102</v>
      </c>
      <c r="C509" s="34" t="n">
        <v>45000</v>
      </c>
      <c r="D509" s="15" t="n">
        <v>35.25</v>
      </c>
      <c r="E509" s="15" t="n">
        <v>54.34</v>
      </c>
      <c r="F509" s="34" t="n">
        <v>45000</v>
      </c>
      <c r="G509" s="15" t="n">
        <v>97.8</v>
      </c>
      <c r="H509" s="15" t="n">
        <v>136.4</v>
      </c>
      <c r="I509" s="34" t="n">
        <v>45000</v>
      </c>
      <c r="J509" s="15" t="n">
        <v>22.25</v>
      </c>
      <c r="K509" s="15" t="n">
        <v>28.51</v>
      </c>
      <c r="L509" s="34" t="n">
        <v>45000</v>
      </c>
      <c r="M509" s="15" t="n">
        <v>52.1</v>
      </c>
      <c r="N509" s="15" t="n">
        <v>76.09999999999999</v>
      </c>
      <c r="O509" s="34" t="n">
        <v>45000</v>
      </c>
      <c r="P509" s="15" t="n">
        <v>192.2</v>
      </c>
      <c r="Q509" s="15" t="n">
        <v>182.95</v>
      </c>
      <c r="R509" s="34" t="n">
        <v>45000</v>
      </c>
      <c r="S509" s="15" t="n">
        <v>24.95</v>
      </c>
      <c r="V509" s="15" t="n">
        <v>59.8</v>
      </c>
      <c r="W509" s="15" t="n">
        <v>85.17</v>
      </c>
      <c r="X509" s="34" t="n">
        <v>45000</v>
      </c>
    </row>
    <row r="510">
      <c r="A510" s="34" t="n">
        <v>45001</v>
      </c>
      <c r="B510" s="266" t="n">
        <v>1.135804057121277</v>
      </c>
      <c r="C510" s="34" t="n">
        <v>45001</v>
      </c>
      <c r="D510" s="15" t="n">
        <v>33.4</v>
      </c>
      <c r="E510" s="15" t="n">
        <v>53.76</v>
      </c>
      <c r="F510" s="34" t="n">
        <v>45001</v>
      </c>
      <c r="G510" s="15" t="n">
        <v>95.34999999999999</v>
      </c>
      <c r="H510" s="15" t="n">
        <v>132.76</v>
      </c>
      <c r="I510" s="34" t="n">
        <v>45001</v>
      </c>
      <c r="J510" s="15" t="n">
        <v>22.05</v>
      </c>
      <c r="K510" s="15" t="n">
        <v>27.77</v>
      </c>
      <c r="L510" s="34" t="n">
        <v>45001</v>
      </c>
      <c r="M510" s="15" t="n">
        <v>50.2</v>
      </c>
      <c r="N510" s="15" t="n">
        <v>73.89</v>
      </c>
      <c r="O510" s="34" t="n">
        <v>45001</v>
      </c>
      <c r="P510" s="15" t="n">
        <v>191</v>
      </c>
      <c r="Q510" s="15" t="n">
        <v>184.26</v>
      </c>
      <c r="R510" s="34" t="n">
        <v>45001</v>
      </c>
      <c r="S510" s="15" t="n">
        <v>24.85</v>
      </c>
      <c r="V510" s="15" t="n">
        <v>58.7</v>
      </c>
      <c r="W510" s="15" t="n">
        <v>81.97</v>
      </c>
      <c r="X510" s="34" t="n">
        <v>45001</v>
      </c>
    </row>
    <row r="511">
      <c r="A511" s="34" t="n">
        <v>45002</v>
      </c>
      <c r="B511" s="266" t="n">
        <v>1.137447953224182</v>
      </c>
      <c r="C511" s="34" t="n">
        <v>45002</v>
      </c>
      <c r="D511" s="15" t="n">
        <v>33.45</v>
      </c>
      <c r="E511" s="15" t="n">
        <v>53</v>
      </c>
      <c r="F511" s="34" t="n">
        <v>45002</v>
      </c>
      <c r="G511" s="15" t="n">
        <v>96.59999999999999</v>
      </c>
      <c r="H511" s="15" t="n">
        <v>132.6</v>
      </c>
      <c r="I511" s="34" t="n">
        <v>45002</v>
      </c>
      <c r="J511" s="15" t="n">
        <v>22.5</v>
      </c>
      <c r="K511" s="15" t="n">
        <v>27.8</v>
      </c>
      <c r="L511" s="34" t="n">
        <v>45002</v>
      </c>
      <c r="M511" s="15" t="n">
        <v>52.15</v>
      </c>
      <c r="N511" s="15" t="n">
        <v>74.68000000000001</v>
      </c>
      <c r="O511" s="34" t="n">
        <v>45002</v>
      </c>
      <c r="P511" s="15" t="n">
        <v>197.5</v>
      </c>
      <c r="Q511" s="15" t="n">
        <v>185.3</v>
      </c>
      <c r="R511" s="34" t="n">
        <v>45002</v>
      </c>
      <c r="S511" s="15" t="n">
        <v>24.8</v>
      </c>
      <c r="V511" s="15" t="n">
        <v>59.45</v>
      </c>
      <c r="W511" s="15" t="n">
        <v>82.23</v>
      </c>
      <c r="X511" s="34" t="n">
        <v>45002</v>
      </c>
    </row>
    <row r="512">
      <c r="A512" s="34" t="n">
        <v>45005</v>
      </c>
      <c r="B512" s="266" t="n">
        <v>1.14422595500946</v>
      </c>
      <c r="C512" s="34" t="n">
        <v>45005</v>
      </c>
      <c r="D512" s="15" t="n">
        <v>32.05</v>
      </c>
      <c r="E512" s="15" t="n">
        <v>52.19</v>
      </c>
      <c r="F512" s="34" t="n">
        <v>45005</v>
      </c>
      <c r="G512" s="15" t="n">
        <v>95.5</v>
      </c>
      <c r="H512" s="15" t="n">
        <v>132.06</v>
      </c>
      <c r="I512" s="34" t="n">
        <v>45005</v>
      </c>
      <c r="J512" s="15" t="n">
        <v>21.95</v>
      </c>
      <c r="K512" s="15" t="n">
        <v>28.05</v>
      </c>
      <c r="L512" s="34" t="n">
        <v>45005</v>
      </c>
      <c r="M512" s="15" t="n">
        <v>51.8</v>
      </c>
      <c r="N512" s="15" t="n">
        <v>75.03</v>
      </c>
      <c r="O512" s="34" t="n">
        <v>45005</v>
      </c>
      <c r="P512" s="15" t="n">
        <v>191.9</v>
      </c>
      <c r="Q512" s="15" t="n">
        <v>182.67</v>
      </c>
      <c r="R512" s="34" t="n">
        <v>45005</v>
      </c>
      <c r="S512" s="15" t="n">
        <v>24.85</v>
      </c>
      <c r="V512" s="15" t="n">
        <v>59.45</v>
      </c>
      <c r="W512" s="15" t="n">
        <v>83.5</v>
      </c>
      <c r="X512" s="34" t="n">
        <v>45005</v>
      </c>
    </row>
    <row r="513">
      <c r="A513" s="34" t="n">
        <v>45006</v>
      </c>
      <c r="B513" s="266" t="n">
        <v>1.140269994735718</v>
      </c>
      <c r="C513" s="34" t="n">
        <v>45006</v>
      </c>
      <c r="D513" s="15" t="n">
        <v>33.2</v>
      </c>
      <c r="E513" s="15" t="n">
        <v>54.21</v>
      </c>
      <c r="F513" s="34" t="n">
        <v>45006</v>
      </c>
      <c r="G513" s="15" t="n">
        <v>99.25</v>
      </c>
      <c r="H513" s="15" t="n">
        <v>138.98</v>
      </c>
      <c r="I513" s="34" t="n">
        <v>45006</v>
      </c>
      <c r="J513" s="15" t="n">
        <v>22.4</v>
      </c>
      <c r="K513" s="15" t="n">
        <v>28.73</v>
      </c>
      <c r="L513" s="34" t="n">
        <v>45006</v>
      </c>
      <c r="M513" s="15" t="n">
        <v>52.95</v>
      </c>
      <c r="N513" s="15" t="n">
        <v>76.98999999999999</v>
      </c>
      <c r="O513" s="34" t="n">
        <v>45006</v>
      </c>
      <c r="P513" s="15" t="n">
        <v>198.1</v>
      </c>
      <c r="Q513" s="15" t="n">
        <v>188</v>
      </c>
      <c r="R513" s="34" t="n">
        <v>45006</v>
      </c>
      <c r="S513" s="15" t="n">
        <v>25.35</v>
      </c>
      <c r="V513" s="15" t="n">
        <v>60</v>
      </c>
      <c r="W513" s="15" t="n">
        <v>84.76000000000001</v>
      </c>
      <c r="X513" s="34" t="n">
        <v>45006</v>
      </c>
    </row>
    <row r="514">
      <c r="A514" s="34" t="n">
        <v>45007</v>
      </c>
      <c r="B514" s="266" t="n">
        <v>1.139848947525024</v>
      </c>
      <c r="C514" s="34" t="n">
        <v>45007</v>
      </c>
      <c r="D514" s="15" t="n">
        <v>33.2</v>
      </c>
      <c r="E514" s="15" t="n">
        <v>54.35</v>
      </c>
      <c r="F514" s="34" t="n">
        <v>45007</v>
      </c>
      <c r="G514" s="15" t="n">
        <v>99.65000000000001</v>
      </c>
      <c r="H514" s="15" t="n">
        <v>139.49</v>
      </c>
      <c r="I514" s="34" t="n">
        <v>45007</v>
      </c>
      <c r="J514" s="15" t="n">
        <v>23.25</v>
      </c>
      <c r="K514" s="15" t="n">
        <v>28.58</v>
      </c>
      <c r="L514" s="34" t="n">
        <v>45007</v>
      </c>
      <c r="M514" s="15" t="n">
        <v>54.7</v>
      </c>
      <c r="N514" s="15" t="n">
        <v>76.98999999999999</v>
      </c>
      <c r="O514" s="34" t="n">
        <v>45007</v>
      </c>
      <c r="P514" s="15" t="n">
        <v>193.3</v>
      </c>
      <c r="Q514" s="15" t="n">
        <v>184.69</v>
      </c>
      <c r="R514" s="34" t="n">
        <v>45007</v>
      </c>
      <c r="S514" s="15" t="n">
        <v>25.15</v>
      </c>
      <c r="V514" s="15" t="n">
        <v>59.2</v>
      </c>
      <c r="W514" s="15" t="n">
        <v>84.12</v>
      </c>
      <c r="X514" s="34" t="n">
        <v>45007</v>
      </c>
    </row>
    <row r="515">
      <c r="A515" s="34" t="n">
        <v>45008</v>
      </c>
      <c r="B515" s="266" t="n">
        <v>1.14018702507019</v>
      </c>
      <c r="C515" s="34" t="n">
        <v>45008</v>
      </c>
      <c r="D515" s="15" t="n">
        <v>33</v>
      </c>
      <c r="E515" s="15" t="n">
        <v>54.33</v>
      </c>
      <c r="F515" s="34" t="n">
        <v>45008</v>
      </c>
      <c r="G515" s="15" t="n">
        <v>99.05</v>
      </c>
      <c r="H515" s="15" t="n">
        <v>138.33</v>
      </c>
      <c r="I515" s="34" t="n">
        <v>45008</v>
      </c>
      <c r="J515" s="15" t="n">
        <v>23.6</v>
      </c>
      <c r="K515" s="15" t="n">
        <v>28.6</v>
      </c>
      <c r="L515" s="34" t="n">
        <v>45008</v>
      </c>
      <c r="M515" s="15" t="n">
        <v>54.1</v>
      </c>
      <c r="N515" s="15" t="n">
        <v>76.68000000000001</v>
      </c>
      <c r="O515" s="34" t="n">
        <v>45008</v>
      </c>
      <c r="P515" s="15" t="n">
        <v>195</v>
      </c>
      <c r="Q515" s="15" t="n">
        <v>184.56</v>
      </c>
      <c r="R515" s="34" t="n">
        <v>45008</v>
      </c>
      <c r="S515" s="15" t="n">
        <v>25.2</v>
      </c>
      <c r="V515" s="15" t="n">
        <v>60.05</v>
      </c>
      <c r="W515" s="15" t="n">
        <v>85.13</v>
      </c>
      <c r="X515" s="34" t="n">
        <v>45008</v>
      </c>
    </row>
    <row r="516">
      <c r="A516" s="34" t="n">
        <v>45009</v>
      </c>
      <c r="B516" s="266" t="n">
        <v>1.150908946990967</v>
      </c>
      <c r="C516" s="34" t="n">
        <v>45009</v>
      </c>
      <c r="D516" s="15" t="n">
        <v>32.05</v>
      </c>
      <c r="E516" s="15" t="n">
        <v>53.85</v>
      </c>
      <c r="F516" s="34" t="n">
        <v>45009</v>
      </c>
      <c r="G516" s="15" t="n">
        <v>96.65000000000001</v>
      </c>
      <c r="H516" s="15" t="n">
        <v>137.87</v>
      </c>
      <c r="I516" s="34" t="n">
        <v>45009</v>
      </c>
      <c r="J516" s="15" t="n">
        <v>23.35</v>
      </c>
      <c r="K516" s="15" t="n">
        <v>28.94</v>
      </c>
      <c r="L516" s="34" t="n">
        <v>45009</v>
      </c>
      <c r="M516" s="15" t="n">
        <v>53.65</v>
      </c>
      <c r="N516" s="15" t="n">
        <v>76.14</v>
      </c>
      <c r="O516" s="34" t="n">
        <v>45009</v>
      </c>
      <c r="P516" s="15" t="n">
        <v>196</v>
      </c>
      <c r="Q516" s="15" t="n">
        <v>186.32</v>
      </c>
      <c r="R516" s="34" t="n">
        <v>45009</v>
      </c>
      <c r="S516" s="15" t="n">
        <v>25.2</v>
      </c>
      <c r="V516" s="15" t="n">
        <v>59.4</v>
      </c>
      <c r="W516" s="15" t="n">
        <v>84</v>
      </c>
      <c r="X516" s="34" t="n">
        <v>45009</v>
      </c>
    </row>
    <row r="517">
      <c r="A517" s="34" t="n">
        <v>45012</v>
      </c>
      <c r="B517" s="266" t="n">
        <v>1.14452600479126</v>
      </c>
      <c r="C517" s="34" t="n">
        <v>45012</v>
      </c>
      <c r="D517" s="15" t="n">
        <v>31.75</v>
      </c>
      <c r="E517" s="15" t="n">
        <v>55.44</v>
      </c>
      <c r="F517" s="34" t="n">
        <v>45012</v>
      </c>
      <c r="G517" s="15" t="n">
        <v>99.09999999999999</v>
      </c>
      <c r="H517" s="15" t="n">
        <v>140.8</v>
      </c>
      <c r="I517" s="34" t="n">
        <v>45012</v>
      </c>
      <c r="J517" s="15" t="n">
        <v>23.3</v>
      </c>
      <c r="K517" s="15" t="n">
        <v>28.54</v>
      </c>
      <c r="L517" s="34" t="n">
        <v>45012</v>
      </c>
      <c r="M517" s="15" t="n">
        <v>52.85</v>
      </c>
      <c r="N517" s="15" t="n">
        <v>76.38</v>
      </c>
      <c r="O517" s="34" t="n">
        <v>45012</v>
      </c>
      <c r="P517" s="15" t="n">
        <v>191.9</v>
      </c>
      <c r="Q517" s="15" t="n">
        <v>184.75</v>
      </c>
      <c r="R517" s="34" t="n">
        <v>45012</v>
      </c>
      <c r="S517" s="15" t="n">
        <v>25.2</v>
      </c>
      <c r="V517" s="15" t="n">
        <v>60.25</v>
      </c>
      <c r="W517" s="15" t="n">
        <v>88.3</v>
      </c>
      <c r="X517" s="34" t="n">
        <v>45012</v>
      </c>
    </row>
    <row r="518">
      <c r="A518" s="34" t="n">
        <v>45013</v>
      </c>
      <c r="B518" s="266" t="n">
        <v>1.140033960342407</v>
      </c>
      <c r="C518" s="34" t="n">
        <v>45013</v>
      </c>
      <c r="D518" s="15" t="n">
        <v>30.35</v>
      </c>
      <c r="E518" s="15" t="n">
        <v>53.27</v>
      </c>
      <c r="F518" s="34" t="n">
        <v>45013</v>
      </c>
      <c r="G518" s="15" t="n">
        <v>99.55</v>
      </c>
      <c r="H518" s="15" t="n">
        <v>138.52</v>
      </c>
      <c r="I518" s="34" t="n">
        <v>45013</v>
      </c>
      <c r="J518" s="15" t="n">
        <v>23.1</v>
      </c>
      <c r="K518" s="15" t="n">
        <v>28.13</v>
      </c>
      <c r="L518" s="34" t="n">
        <v>45013</v>
      </c>
      <c r="M518" s="15" t="n">
        <v>52.1</v>
      </c>
      <c r="N518" s="15" t="n">
        <v>74.55</v>
      </c>
      <c r="O518" s="34" t="n">
        <v>45013</v>
      </c>
      <c r="P518" s="15" t="n">
        <v>190</v>
      </c>
      <c r="Q518" s="15" t="n">
        <v>182.61</v>
      </c>
      <c r="R518" s="34" t="n">
        <v>45013</v>
      </c>
      <c r="S518" s="15" t="n">
        <v>24.95</v>
      </c>
      <c r="V518" s="15" t="n">
        <v>60.7</v>
      </c>
      <c r="W518" s="15" t="n">
        <v>86.7</v>
      </c>
      <c r="X518" s="34" t="n">
        <v>45013</v>
      </c>
    </row>
    <row r="519">
      <c r="A519" s="34" t="n">
        <v>45014</v>
      </c>
      <c r="B519" s="266" t="n">
        <v>1.141842007637024</v>
      </c>
      <c r="C519" s="34" t="n">
        <v>45014</v>
      </c>
      <c r="D519" s="15" t="n">
        <v>30.55</v>
      </c>
      <c r="E519" s="15" t="n">
        <v>52.99</v>
      </c>
      <c r="F519" s="34" t="n">
        <v>45014</v>
      </c>
      <c r="G519" s="15" t="n">
        <v>101.1</v>
      </c>
      <c r="H519" s="15" t="n">
        <v>137.3</v>
      </c>
      <c r="I519" s="34" t="n">
        <v>45014</v>
      </c>
      <c r="J519" s="15" t="n">
        <v>23.15</v>
      </c>
      <c r="K519" s="15" t="n">
        <v>28.27</v>
      </c>
      <c r="L519" s="34" t="n">
        <v>45014</v>
      </c>
      <c r="M519" s="15" t="n">
        <v>53.5</v>
      </c>
      <c r="N519" s="15" t="n">
        <v>75.3</v>
      </c>
      <c r="O519" s="34" t="n">
        <v>45014</v>
      </c>
      <c r="P519" s="15" t="n">
        <v>192.4</v>
      </c>
      <c r="Q519" s="15" t="n">
        <v>182.54</v>
      </c>
      <c r="R519" s="34" t="n">
        <v>45014</v>
      </c>
      <c r="S519" s="15" t="n">
        <v>24.75</v>
      </c>
      <c r="V519" s="15" t="n">
        <v>60.75</v>
      </c>
      <c r="W519" s="15" t="n">
        <v>94.20999999999999</v>
      </c>
      <c r="X519" s="34" t="n">
        <v>45014</v>
      </c>
    </row>
    <row r="520">
      <c r="A520" s="34" t="n">
        <v>45015</v>
      </c>
      <c r="B520" s="266" t="n">
        <v>1.139639973640442</v>
      </c>
      <c r="C520" s="34" t="n">
        <v>45015</v>
      </c>
      <c r="D520" s="15" t="n">
        <v>30</v>
      </c>
      <c r="E520" s="15" t="n">
        <v>53.32</v>
      </c>
      <c r="F520" s="34" t="n">
        <v>45015</v>
      </c>
      <c r="G520" s="15" t="n">
        <v>100.5</v>
      </c>
      <c r="H520" s="15" t="n">
        <v>138.11</v>
      </c>
      <c r="I520" s="34" t="n">
        <v>45015</v>
      </c>
      <c r="J520" s="15" t="n">
        <v>22.8</v>
      </c>
      <c r="K520" s="15" t="n">
        <v>28.18</v>
      </c>
      <c r="L520" s="34" t="n">
        <v>45015</v>
      </c>
      <c r="M520" s="15" t="n">
        <v>54.8</v>
      </c>
      <c r="N520" s="15" t="n">
        <v>76.52</v>
      </c>
      <c r="O520" s="34" t="n">
        <v>45015</v>
      </c>
      <c r="P520" s="15" t="n">
        <v>200.8</v>
      </c>
      <c r="Q520" s="15" t="n">
        <v>187.47</v>
      </c>
      <c r="R520" s="34" t="n">
        <v>45015</v>
      </c>
      <c r="S520" s="15" t="n">
        <v>25</v>
      </c>
      <c r="V520" s="15" t="n">
        <v>61</v>
      </c>
      <c r="W520" s="15" t="n">
        <v>94.5</v>
      </c>
      <c r="X520" s="34" t="n">
        <v>45015</v>
      </c>
    </row>
    <row r="521">
      <c r="A521" s="34" t="n">
        <v>45016</v>
      </c>
      <c r="B521" s="266" t="n">
        <v>1.14237904548645</v>
      </c>
      <c r="C521" s="34" t="n">
        <v>45016</v>
      </c>
      <c r="D521" s="15" t="n">
        <v>30.55</v>
      </c>
      <c r="E521" s="15" t="n">
        <v>52.36</v>
      </c>
      <c r="F521" s="34" t="n">
        <v>45016</v>
      </c>
      <c r="G521" s="15" t="n">
        <v>98.65000000000001</v>
      </c>
      <c r="H521" s="15" t="n">
        <v>133.33</v>
      </c>
      <c r="I521" s="34" t="n">
        <v>45016</v>
      </c>
      <c r="J521" s="15" t="n">
        <v>23.5</v>
      </c>
      <c r="K521" s="15" t="n">
        <v>28.37</v>
      </c>
      <c r="L521" s="34" t="n">
        <v>45016</v>
      </c>
      <c r="M521" s="15" t="n">
        <v>52.85</v>
      </c>
      <c r="N521" s="15" t="n">
        <v>75.52</v>
      </c>
      <c r="O521" s="34" t="n">
        <v>45016</v>
      </c>
      <c r="P521" s="15" t="n">
        <v>194.1</v>
      </c>
      <c r="Q521" s="15" t="n">
        <v>183.24</v>
      </c>
      <c r="R521" s="34" t="n">
        <v>45016</v>
      </c>
      <c r="S521" s="15" t="n">
        <v>24.95</v>
      </c>
      <c r="V521" s="15" t="n">
        <v>60.2</v>
      </c>
      <c r="W521" s="15" t="n">
        <v>92.01000000000001</v>
      </c>
      <c r="X521" s="34" t="n">
        <v>45016</v>
      </c>
    </row>
    <row r="522">
      <c r="A522" s="34" t="n">
        <v>45019</v>
      </c>
      <c r="B522" s="266" t="n">
        <v>1.138651013374329</v>
      </c>
      <c r="C522" s="34" t="n">
        <v>45019</v>
      </c>
      <c r="D522" s="15" t="n">
        <v>29.6</v>
      </c>
      <c r="E522" s="15" t="n">
        <v>51.99</v>
      </c>
      <c r="F522" s="34" t="n">
        <v>45019</v>
      </c>
      <c r="G522" s="15" t="n">
        <v>97.3</v>
      </c>
      <c r="H522" s="15" t="n">
        <v>133.69</v>
      </c>
      <c r="I522" s="34" t="n">
        <v>45019</v>
      </c>
      <c r="J522" s="15" t="n">
        <v>23</v>
      </c>
      <c r="K522" s="15" t="n">
        <v>28.96</v>
      </c>
      <c r="L522" s="34" t="n">
        <v>45019</v>
      </c>
      <c r="M522" s="15" t="n">
        <v>56.55</v>
      </c>
      <c r="N522" s="15" t="n">
        <v>80.09</v>
      </c>
      <c r="O522" s="34" t="n">
        <v>45019</v>
      </c>
      <c r="P522" s="15" t="n">
        <v>193.8</v>
      </c>
      <c r="Q522" s="15" t="n">
        <v>184.39</v>
      </c>
      <c r="R522" s="34" t="n">
        <v>45019</v>
      </c>
      <c r="S522" s="15" t="n">
        <v>24.95</v>
      </c>
      <c r="V522" s="15" t="n">
        <v>60.5</v>
      </c>
      <c r="W522" s="15" t="n">
        <v>94.73999999999999</v>
      </c>
      <c r="X522" s="34" t="n">
        <v>45019</v>
      </c>
    </row>
    <row r="523">
      <c r="A523" s="34" t="n">
        <v>45020</v>
      </c>
      <c r="B523" s="266" t="n">
        <v>1.140889048576355</v>
      </c>
      <c r="C523" s="34" t="n">
        <v>45020</v>
      </c>
      <c r="D523" s="15" t="n">
        <v>30.55</v>
      </c>
      <c r="E523" s="15" t="n">
        <v>52.24</v>
      </c>
      <c r="F523" s="34" t="n">
        <v>45020</v>
      </c>
      <c r="G523" s="15" t="n">
        <v>95.15000000000001</v>
      </c>
      <c r="H523" s="15" t="n">
        <v>132.39</v>
      </c>
      <c r="I523" s="34" t="n">
        <v>45020</v>
      </c>
      <c r="J523" s="15" t="n">
        <v>22.3</v>
      </c>
      <c r="K523" s="15" t="n">
        <v>28.51</v>
      </c>
      <c r="L523" s="34" t="n">
        <v>45020</v>
      </c>
      <c r="M523" s="15" t="n">
        <v>54.05</v>
      </c>
      <c r="N523" s="15" t="n">
        <v>77.34999999999999</v>
      </c>
      <c r="O523" s="34" t="n">
        <v>45020</v>
      </c>
      <c r="P523" s="15" t="n">
        <v>182</v>
      </c>
      <c r="Q523" s="15" t="n">
        <v>178.04</v>
      </c>
      <c r="R523" s="34" t="n">
        <v>45020</v>
      </c>
      <c r="S523" s="15" t="n">
        <v>25</v>
      </c>
      <c r="V523" s="15" t="n">
        <v>59.95</v>
      </c>
      <c r="W523" s="15" t="n">
        <v>94.5</v>
      </c>
      <c r="X523" s="34" t="n">
        <v>45020</v>
      </c>
    </row>
    <row r="524">
      <c r="A524" s="34" t="n">
        <v>45022</v>
      </c>
      <c r="B524" s="266" t="n">
        <v>1.140630006790161</v>
      </c>
      <c r="C524" s="34" t="n">
        <v>45022</v>
      </c>
      <c r="D524" s="15" t="n">
        <v>31.8</v>
      </c>
      <c r="E524" s="15" t="n">
        <v>52.55</v>
      </c>
      <c r="F524" s="34" t="n">
        <v>45022</v>
      </c>
      <c r="G524" s="15" t="n">
        <v>99.40000000000001</v>
      </c>
      <c r="H524" s="15" t="n">
        <v>134.98</v>
      </c>
      <c r="I524" s="34" t="n">
        <v>45022</v>
      </c>
      <c r="J524" s="15" t="n">
        <v>22.15</v>
      </c>
      <c r="K524" s="15" t="n">
        <v>28.9</v>
      </c>
      <c r="L524" s="34" t="n">
        <v>45022</v>
      </c>
      <c r="M524" s="15" t="n">
        <v>52.25</v>
      </c>
      <c r="N524" s="15" t="n">
        <v>76.23999999999999</v>
      </c>
      <c r="O524" s="34" t="n">
        <v>45022</v>
      </c>
      <c r="P524" s="15" t="n">
        <v>187.5</v>
      </c>
      <c r="Q524" s="15" t="n">
        <v>176.82</v>
      </c>
      <c r="R524" s="34" t="n">
        <v>45022</v>
      </c>
      <c r="S524" s="15" t="n">
        <v>25.15</v>
      </c>
      <c r="V524" s="15" t="n">
        <v>59.65</v>
      </c>
      <c r="W524" s="15" t="n">
        <v>92.75</v>
      </c>
      <c r="X524" s="34" t="n">
        <v>45022</v>
      </c>
    </row>
    <row r="525">
      <c r="A525" s="34" t="n">
        <v>45027</v>
      </c>
      <c r="B525" s="266" t="n">
        <v>1.135993003845215</v>
      </c>
      <c r="C525" s="34" t="n">
        <v>45027</v>
      </c>
      <c r="D525" s="15" t="n">
        <v>32.9</v>
      </c>
      <c r="E525" s="15" t="n">
        <v>55.85</v>
      </c>
      <c r="F525" s="34" t="n">
        <v>45027</v>
      </c>
      <c r="G525" s="15" t="n">
        <v>103.5</v>
      </c>
      <c r="H525" s="15" t="n">
        <v>145.28</v>
      </c>
      <c r="I525" s="34" t="n">
        <v>45027</v>
      </c>
      <c r="J525" s="15" t="n">
        <v>22.55</v>
      </c>
      <c r="K525" s="15" t="n">
        <v>28.77</v>
      </c>
      <c r="L525" s="34" t="n">
        <v>45027</v>
      </c>
      <c r="M525" s="15" t="n">
        <v>55.6</v>
      </c>
      <c r="N525" s="15" t="n">
        <v>79.97</v>
      </c>
      <c r="O525" s="34" t="n">
        <v>45027</v>
      </c>
      <c r="P525" s="15" t="n">
        <v>186.8</v>
      </c>
      <c r="Q525" s="15" t="n">
        <v>179.27</v>
      </c>
      <c r="R525" s="34" t="n">
        <v>45027</v>
      </c>
      <c r="S525" s="15" t="n">
        <v>25</v>
      </c>
      <c r="V525" s="15" t="n">
        <v>59.65</v>
      </c>
      <c r="W525" s="15" t="n">
        <v>91.94</v>
      </c>
      <c r="X525" s="34" t="n">
        <v>45027</v>
      </c>
    </row>
    <row r="526">
      <c r="A526" s="34" t="n">
        <v>45028</v>
      </c>
      <c r="B526" s="266" t="n">
        <v>1.139876961708069</v>
      </c>
      <c r="C526" s="34" t="n">
        <v>45028</v>
      </c>
      <c r="D526" s="15" t="n">
        <v>32.6</v>
      </c>
      <c r="E526" s="15" t="n">
        <v>56.02</v>
      </c>
      <c r="F526" s="34" t="n">
        <v>45028</v>
      </c>
      <c r="G526" s="15" t="n">
        <v>100.3</v>
      </c>
      <c r="H526" s="15" t="n">
        <v>143.72</v>
      </c>
      <c r="I526" s="34" t="n">
        <v>45028</v>
      </c>
      <c r="J526" s="15" t="n">
        <v>22.8</v>
      </c>
      <c r="K526" s="15" t="n">
        <v>29.38</v>
      </c>
      <c r="L526" s="34" t="n">
        <v>45028</v>
      </c>
      <c r="M526" s="15" t="n">
        <v>54.9</v>
      </c>
      <c r="N526" s="15" t="n">
        <v>78.48999999999999</v>
      </c>
      <c r="O526" s="34" t="n">
        <v>45028</v>
      </c>
      <c r="P526" s="15" t="n">
        <v>184.3</v>
      </c>
      <c r="Q526" s="15" t="n">
        <v>176</v>
      </c>
      <c r="R526" s="34" t="n">
        <v>45028</v>
      </c>
      <c r="S526" s="15" t="n">
        <v>25</v>
      </c>
      <c r="V526" s="15" t="n">
        <v>59.75</v>
      </c>
      <c r="W526" s="15" t="n">
        <v>92.09999999999999</v>
      </c>
      <c r="X526" s="34" t="n">
        <v>45028</v>
      </c>
    </row>
    <row r="527">
      <c r="A527" s="34" t="n">
        <v>45029</v>
      </c>
      <c r="B527" s="266" t="n">
        <v>1.141221046447754</v>
      </c>
      <c r="C527" s="34" t="n">
        <v>45029</v>
      </c>
      <c r="D527" s="15" t="n">
        <v>34.7</v>
      </c>
      <c r="E527" s="15" t="n">
        <v>58.64</v>
      </c>
      <c r="F527" s="34" t="n">
        <v>45029</v>
      </c>
      <c r="G527" s="15" t="n">
        <v>109.9</v>
      </c>
      <c r="H527" s="15" t="n">
        <v>150.97</v>
      </c>
      <c r="I527" s="34" t="n">
        <v>45029</v>
      </c>
      <c r="J527" s="15" t="n">
        <v>22.55</v>
      </c>
      <c r="K527" s="15" t="n">
        <v>29.32</v>
      </c>
      <c r="L527" s="34" t="n">
        <v>45029</v>
      </c>
      <c r="M527" s="15" t="n">
        <v>53.25</v>
      </c>
      <c r="N527" s="15" t="n">
        <v>76.91</v>
      </c>
      <c r="O527" s="34" t="n">
        <v>45029</v>
      </c>
      <c r="P527" s="15" t="n">
        <v>186.4</v>
      </c>
      <c r="Q527" s="15" t="n">
        <v>176.65</v>
      </c>
      <c r="R527" s="34" t="n">
        <v>45029</v>
      </c>
      <c r="S527" s="15" t="n">
        <v>25.5</v>
      </c>
      <c r="V527" s="15" t="n">
        <v>59.9</v>
      </c>
      <c r="W527" s="15" t="n">
        <v>90.51000000000001</v>
      </c>
      <c r="X527" s="34" t="n">
        <v>45029</v>
      </c>
    </row>
    <row r="528">
      <c r="A528" s="34" t="n">
        <v>45030</v>
      </c>
      <c r="B528" s="266" t="n">
        <v>1.142914056777954</v>
      </c>
      <c r="C528" s="34" t="n">
        <v>45030</v>
      </c>
      <c r="D528" s="15" t="n">
        <v>35.2</v>
      </c>
      <c r="E528" s="15" t="n">
        <v>57.91</v>
      </c>
      <c r="F528" s="34" t="n">
        <v>45030</v>
      </c>
      <c r="G528" s="15" t="n">
        <v>110.6</v>
      </c>
      <c r="H528" s="15" t="n">
        <v>151.24</v>
      </c>
      <c r="I528" s="34" t="n">
        <v>45030</v>
      </c>
      <c r="J528" s="15" t="n">
        <v>22.55</v>
      </c>
      <c r="K528" s="15" t="n">
        <v>29.61</v>
      </c>
      <c r="L528" s="34" t="n">
        <v>45030</v>
      </c>
      <c r="M528" s="15" t="n">
        <v>57.5</v>
      </c>
      <c r="N528" s="15" t="n">
        <v>81.39</v>
      </c>
      <c r="O528" s="34" t="n">
        <v>45030</v>
      </c>
      <c r="P528" s="15" t="n">
        <v>185</v>
      </c>
      <c r="Q528" s="15" t="n">
        <v>174.78</v>
      </c>
      <c r="R528" s="34" t="n">
        <v>45030</v>
      </c>
      <c r="S528" s="15" t="n">
        <v>25.35</v>
      </c>
      <c r="V528" s="15" t="n">
        <v>60.2</v>
      </c>
      <c r="W528" s="15" t="n">
        <v>91.3</v>
      </c>
      <c r="X528" s="34" t="n">
        <v>45030</v>
      </c>
    </row>
    <row r="529">
      <c r="A529" s="34" t="n">
        <v>45033</v>
      </c>
      <c r="B529" s="266" t="n">
        <v>1.140508055686951</v>
      </c>
      <c r="C529" s="34" t="n">
        <v>45033</v>
      </c>
      <c r="D529" s="15" t="n">
        <v>35.15</v>
      </c>
      <c r="E529" s="15" t="n">
        <v>58.33</v>
      </c>
      <c r="F529" s="34" t="n">
        <v>45033</v>
      </c>
      <c r="G529" s="15" t="n">
        <v>111.7</v>
      </c>
      <c r="H529" s="15" t="n">
        <v>151.69</v>
      </c>
      <c r="I529" s="34" t="n">
        <v>45033</v>
      </c>
      <c r="J529" s="15" t="n">
        <v>23</v>
      </c>
      <c r="K529" s="15" t="n">
        <v>29.59</v>
      </c>
      <c r="L529" s="34" t="n">
        <v>45033</v>
      </c>
      <c r="M529" s="15" t="n">
        <v>57.3</v>
      </c>
      <c r="N529" s="15" t="n">
        <v>82.28</v>
      </c>
      <c r="O529" s="34" t="n">
        <v>45033</v>
      </c>
      <c r="P529" s="15" t="n">
        <v>190.8</v>
      </c>
      <c r="Q529" s="15" t="n">
        <v>179.81</v>
      </c>
      <c r="R529" s="34" t="n">
        <v>45033</v>
      </c>
      <c r="S529" s="15" t="n">
        <v>25.05</v>
      </c>
      <c r="V529" s="15" t="n">
        <v>60.9</v>
      </c>
      <c r="W529" s="15" t="n">
        <v>90.64</v>
      </c>
      <c r="X529" s="34" t="n">
        <v>45033</v>
      </c>
    </row>
    <row r="530">
      <c r="A530" s="34" t="n">
        <v>45034</v>
      </c>
      <c r="B530" s="266" t="n">
        <v>1.140782952308655</v>
      </c>
      <c r="C530" s="34" t="n">
        <v>45034</v>
      </c>
      <c r="D530" s="15" t="n">
        <v>34.45</v>
      </c>
      <c r="E530" s="15" t="n">
        <v>56.32</v>
      </c>
      <c r="F530" s="34" t="n">
        <v>45034</v>
      </c>
      <c r="G530" s="15" t="n">
        <v>108.1</v>
      </c>
      <c r="H530" s="15" t="n">
        <v>147.4</v>
      </c>
      <c r="I530" s="34" t="n">
        <v>45034</v>
      </c>
      <c r="J530" s="15" t="n">
        <v>22.6</v>
      </c>
      <c r="K530" s="15" t="n">
        <v>29.01</v>
      </c>
      <c r="L530" s="34" t="n">
        <v>45034</v>
      </c>
      <c r="M530" s="15" t="n">
        <v>58.55</v>
      </c>
      <c r="N530" s="15" t="n">
        <v>83.25</v>
      </c>
      <c r="O530" s="34" t="n">
        <v>45034</v>
      </c>
      <c r="P530" s="15" t="n">
        <v>190</v>
      </c>
      <c r="Q530" s="15" t="n">
        <v>180.3</v>
      </c>
      <c r="R530" s="34" t="n">
        <v>45034</v>
      </c>
      <c r="S530" s="15" t="n">
        <v>25.15</v>
      </c>
      <c r="V530" s="15" t="n">
        <v>59.6</v>
      </c>
      <c r="W530" s="15" t="n">
        <v>85.01000000000001</v>
      </c>
      <c r="X530" s="34" t="n">
        <v>45034</v>
      </c>
    </row>
    <row r="531">
      <c r="A531" s="34" t="n">
        <v>45035</v>
      </c>
      <c r="B531" s="266" t="n">
        <v>1.141404986381531</v>
      </c>
      <c r="C531" s="34" t="n">
        <v>45035</v>
      </c>
      <c r="D531" s="15" t="n">
        <v>33.7</v>
      </c>
      <c r="E531" s="15" t="n">
        <v>56.65</v>
      </c>
      <c r="F531" s="34" t="n">
        <v>45035</v>
      </c>
      <c r="G531" s="15" t="n">
        <v>107.3</v>
      </c>
      <c r="H531" s="15" t="n">
        <v>146.55</v>
      </c>
      <c r="I531" s="34" t="n">
        <v>45035</v>
      </c>
      <c r="J531" s="15" t="n">
        <v>22.2</v>
      </c>
      <c r="K531" s="15" t="n">
        <v>28.6</v>
      </c>
      <c r="L531" s="34" t="n">
        <v>45035</v>
      </c>
      <c r="M531" s="15" t="n">
        <v>58.55</v>
      </c>
      <c r="N531" s="15" t="n">
        <v>83.52</v>
      </c>
      <c r="O531" s="34" t="n">
        <v>45035</v>
      </c>
      <c r="P531" s="15" t="n">
        <v>187.5</v>
      </c>
      <c r="Q531" s="15" t="n">
        <v>176.96</v>
      </c>
      <c r="R531" s="34" t="n">
        <v>45035</v>
      </c>
      <c r="S531" s="15" t="n">
        <v>24.65</v>
      </c>
      <c r="V531" s="15" t="n">
        <v>59.7</v>
      </c>
      <c r="W531" s="15" t="n">
        <v>83.61</v>
      </c>
      <c r="X531" s="34" t="n">
        <v>45035</v>
      </c>
    </row>
    <row r="532">
      <c r="A532" s="34" t="n">
        <v>45036</v>
      </c>
      <c r="B532" s="266" t="n">
        <v>1.139932990074158</v>
      </c>
      <c r="C532" s="34" t="n">
        <v>45036</v>
      </c>
      <c r="D532" s="15" t="n">
        <v>32.9</v>
      </c>
      <c r="E532" s="15" t="n">
        <v>55.23</v>
      </c>
      <c r="F532" s="34" t="n">
        <v>45036</v>
      </c>
      <c r="G532" s="15" t="n">
        <v>104.1</v>
      </c>
      <c r="H532" s="15" t="n">
        <v>142.81</v>
      </c>
      <c r="I532" s="34" t="n">
        <v>45036</v>
      </c>
      <c r="J532" s="15" t="n">
        <v>21.55</v>
      </c>
      <c r="K532" s="15" t="n">
        <v>28.13</v>
      </c>
      <c r="L532" s="34" t="n">
        <v>45036</v>
      </c>
      <c r="M532" s="15" t="n">
        <v>54.95</v>
      </c>
      <c r="N532" s="15" t="n">
        <v>80.02</v>
      </c>
      <c r="O532" s="34" t="n">
        <v>45036</v>
      </c>
      <c r="P532" s="15" t="n">
        <v>182.8</v>
      </c>
      <c r="Q532" s="15" t="n">
        <v>171</v>
      </c>
      <c r="R532" s="34" t="n">
        <v>45036</v>
      </c>
      <c r="S532" s="15" t="n">
        <v>24.75</v>
      </c>
      <c r="V532" s="15" t="n">
        <v>59.05</v>
      </c>
      <c r="W532" s="15" t="n">
        <v>82.3</v>
      </c>
      <c r="X532" s="34" t="n">
        <v>45036</v>
      </c>
    </row>
    <row r="533">
      <c r="A533" s="34" t="n">
        <v>45037</v>
      </c>
      <c r="B533" s="266" t="n">
        <v>1.142052054405212</v>
      </c>
      <c r="C533" s="34" t="n">
        <v>45037</v>
      </c>
      <c r="D533" s="15" t="n">
        <v>33.35</v>
      </c>
      <c r="E533" s="15" t="n">
        <v>53.57</v>
      </c>
      <c r="F533" s="34" t="n">
        <v>45037</v>
      </c>
      <c r="G533" s="15" t="n">
        <v>102.7</v>
      </c>
      <c r="H533" s="15" t="n">
        <v>139.01</v>
      </c>
      <c r="I533" s="34" t="n">
        <v>45037</v>
      </c>
      <c r="J533" s="15" t="n">
        <v>19.92</v>
      </c>
      <c r="K533" s="15" t="n">
        <v>27.49</v>
      </c>
      <c r="L533" s="34" t="n">
        <v>45037</v>
      </c>
      <c r="M533" s="15" t="n">
        <v>54.95</v>
      </c>
      <c r="N533" s="15" t="n">
        <v>79.19</v>
      </c>
      <c r="O533" s="34" t="n">
        <v>45037</v>
      </c>
      <c r="P533" s="15" t="n">
        <v>177.2</v>
      </c>
      <c r="Q533" s="15" t="n">
        <v>167.17</v>
      </c>
      <c r="R533" s="34" t="n">
        <v>45037</v>
      </c>
      <c r="S533" s="15" t="n">
        <v>25</v>
      </c>
      <c r="V533" s="15" t="n">
        <v>58.9</v>
      </c>
      <c r="W533" s="15" t="n">
        <v>79.95999999999999</v>
      </c>
      <c r="X533" s="34" t="n">
        <v>45037</v>
      </c>
    </row>
    <row r="534">
      <c r="A534" s="34" t="n">
        <v>45040</v>
      </c>
      <c r="B534" s="266" t="n">
        <v>1.138666033744812</v>
      </c>
      <c r="C534" s="34" t="n">
        <v>45040</v>
      </c>
      <c r="D534" s="15" t="n">
        <v>32.3</v>
      </c>
      <c r="E534" s="15" t="n">
        <v>52.58</v>
      </c>
      <c r="F534" s="34" t="n">
        <v>45040</v>
      </c>
      <c r="G534" s="15" t="n">
        <v>101.6</v>
      </c>
      <c r="H534" s="15" t="n">
        <v>136.36</v>
      </c>
      <c r="I534" s="34" t="n">
        <v>45040</v>
      </c>
      <c r="J534" s="15" t="n">
        <v>19.58</v>
      </c>
      <c r="K534" s="15" t="n">
        <v>27.46</v>
      </c>
      <c r="L534" s="34" t="n">
        <v>45040</v>
      </c>
      <c r="M534" s="15" t="n">
        <v>52.5</v>
      </c>
      <c r="N534" s="15" t="n">
        <v>76.02</v>
      </c>
      <c r="O534" s="34" t="n">
        <v>45040</v>
      </c>
      <c r="P534" s="15" t="n">
        <v>172.3</v>
      </c>
      <c r="Q534" s="15" t="n">
        <v>163.89</v>
      </c>
      <c r="R534" s="34" t="n">
        <v>45040</v>
      </c>
      <c r="S534" s="15" t="n">
        <v>24.9</v>
      </c>
      <c r="V534" s="15" t="n">
        <v>54.65</v>
      </c>
      <c r="W534" s="15" t="n">
        <v>78.98</v>
      </c>
      <c r="X534" s="34" t="n">
        <v>45040</v>
      </c>
    </row>
    <row r="535">
      <c r="A535" s="34" t="n">
        <v>45041</v>
      </c>
      <c r="B535" s="266" t="n">
        <v>1.137948989868164</v>
      </c>
      <c r="C535" s="34" t="n">
        <v>45041</v>
      </c>
      <c r="D535" s="15" t="n">
        <v>30</v>
      </c>
      <c r="E535" s="15" t="n">
        <v>48.89</v>
      </c>
      <c r="F535" s="34" t="n">
        <v>45041</v>
      </c>
      <c r="G535" s="15" t="n">
        <v>95.09999999999999</v>
      </c>
      <c r="H535" s="15" t="n">
        <v>126.42</v>
      </c>
      <c r="I535" s="34" t="n">
        <v>45041</v>
      </c>
      <c r="J535" s="15" t="n">
        <v>19.12</v>
      </c>
      <c r="K535" s="15" t="n">
        <v>26.71</v>
      </c>
      <c r="L535" s="34" t="n">
        <v>45041</v>
      </c>
      <c r="M535" s="15" t="n">
        <v>48.05</v>
      </c>
      <c r="N535" s="15" t="n">
        <v>70.06999999999999</v>
      </c>
      <c r="O535" s="34" t="n">
        <v>45041</v>
      </c>
      <c r="P535" s="15" t="n">
        <v>170</v>
      </c>
      <c r="Q535" s="15" t="n">
        <v>161.95</v>
      </c>
      <c r="R535" s="34" t="n">
        <v>45041</v>
      </c>
      <c r="S535" s="15" t="n">
        <v>24.7</v>
      </c>
      <c r="V535" s="15" t="n">
        <v>51.5</v>
      </c>
      <c r="W535" s="15" t="n">
        <v>77.34999999999999</v>
      </c>
      <c r="X535" s="34" t="n">
        <v>45041</v>
      </c>
    </row>
    <row r="536">
      <c r="A536" s="34" t="n">
        <v>45042</v>
      </c>
      <c r="B536" s="266" t="n">
        <v>1.132081031799316</v>
      </c>
      <c r="C536" s="34" t="n">
        <v>45042</v>
      </c>
      <c r="D536" s="15" t="n">
        <v>30.1</v>
      </c>
      <c r="E536" s="15" t="n">
        <v>49.63</v>
      </c>
      <c r="F536" s="34" t="n">
        <v>45042</v>
      </c>
      <c r="G536" s="15" t="n">
        <v>96</v>
      </c>
      <c r="H536" s="15" t="n">
        <v>126.92</v>
      </c>
      <c r="I536" s="34" t="n">
        <v>45042</v>
      </c>
      <c r="J536" s="15" t="n">
        <v>19.54</v>
      </c>
      <c r="K536" s="15" t="n">
        <v>27.39</v>
      </c>
      <c r="L536" s="34" t="n">
        <v>45042</v>
      </c>
      <c r="M536" s="15" t="n">
        <v>49.15</v>
      </c>
      <c r="N536" s="15" t="n">
        <v>71.3</v>
      </c>
      <c r="O536" s="34" t="n">
        <v>45042</v>
      </c>
      <c r="P536" s="15" t="n">
        <v>172</v>
      </c>
      <c r="Q536" s="15" t="n">
        <v>162</v>
      </c>
      <c r="R536" s="34" t="n">
        <v>45042</v>
      </c>
      <c r="S536" s="15" t="n">
        <v>24.1</v>
      </c>
      <c r="V536" s="15" t="n">
        <v>51.85</v>
      </c>
      <c r="W536" s="15" t="n">
        <v>78.89</v>
      </c>
      <c r="X536" s="34" t="n">
        <v>45042</v>
      </c>
    </row>
    <row r="537">
      <c r="A537" s="34" t="n">
        <v>45043</v>
      </c>
      <c r="B537" s="266" t="n">
        <v>1.132995009422302</v>
      </c>
      <c r="C537" s="34" t="n">
        <v>45043</v>
      </c>
      <c r="D537" s="15" t="n">
        <v>30</v>
      </c>
      <c r="E537" s="15" t="n">
        <v>49.1</v>
      </c>
      <c r="F537" s="34" t="n">
        <v>45043</v>
      </c>
      <c r="G537" s="15" t="n">
        <v>97.05</v>
      </c>
      <c r="H537" s="15" t="n">
        <v>124.32</v>
      </c>
      <c r="I537" s="34" t="n">
        <v>45043</v>
      </c>
      <c r="J537" s="15" t="n">
        <v>19.6</v>
      </c>
      <c r="K537" s="15" t="n">
        <v>27.88</v>
      </c>
      <c r="L537" s="34" t="n">
        <v>45043</v>
      </c>
      <c r="M537" s="15" t="n">
        <v>49.4</v>
      </c>
      <c r="N537" s="15" t="n">
        <v>70.86</v>
      </c>
      <c r="O537" s="34" t="n">
        <v>45043</v>
      </c>
      <c r="P537" s="15" t="n">
        <v>173.5</v>
      </c>
      <c r="Q537" s="15" t="n">
        <v>161.6</v>
      </c>
      <c r="R537" s="34" t="n">
        <v>45043</v>
      </c>
      <c r="S537" s="15" t="n">
        <v>24.4</v>
      </c>
      <c r="V537" s="15" t="n">
        <v>50.25</v>
      </c>
      <c r="W537" s="15" t="n">
        <v>78.67</v>
      </c>
      <c r="X537" s="34" t="n">
        <v>45043</v>
      </c>
    </row>
    <row r="538">
      <c r="A538" s="34" t="n">
        <v>45044</v>
      </c>
      <c r="B538" s="266" t="n">
        <v>1.133429050445557</v>
      </c>
      <c r="C538" s="34" t="n">
        <v>45044</v>
      </c>
      <c r="D538" s="15" t="n">
        <v>30.15</v>
      </c>
      <c r="E538" s="15" t="n">
        <v>49.49</v>
      </c>
      <c r="F538" s="34" t="n">
        <v>45044</v>
      </c>
      <c r="G538" s="15" t="n">
        <v>98</v>
      </c>
      <c r="H538" s="15" t="n">
        <v>126.45</v>
      </c>
      <c r="I538" s="34" t="n">
        <v>45044</v>
      </c>
      <c r="J538" s="15" t="n">
        <v>19.78</v>
      </c>
      <c r="K538" s="15" t="n">
        <v>27.87</v>
      </c>
      <c r="L538" s="34" t="n">
        <v>45044</v>
      </c>
      <c r="M538" s="15" t="n">
        <v>49</v>
      </c>
      <c r="N538" s="15" t="n">
        <v>71.26000000000001</v>
      </c>
      <c r="O538" s="34" t="n">
        <v>45044</v>
      </c>
      <c r="P538" s="15" t="n">
        <v>167.4</v>
      </c>
      <c r="Q538" s="15" t="n">
        <v>160.98</v>
      </c>
      <c r="R538" s="34" t="n">
        <v>45044</v>
      </c>
      <c r="S538" s="15" t="n">
        <v>24.85</v>
      </c>
      <c r="V538" s="15" t="n">
        <v>50</v>
      </c>
      <c r="W538" s="15" t="n">
        <v>80.28</v>
      </c>
      <c r="X538" s="34" t="n">
        <v>45044</v>
      </c>
    </row>
    <row r="539">
      <c r="A539" s="34" t="n">
        <v>45048</v>
      </c>
      <c r="B539" s="266" t="n">
        <v>1.132107019424438</v>
      </c>
      <c r="C539" s="34" t="n">
        <v>45048</v>
      </c>
      <c r="D539" s="15" t="n">
        <v>29.7</v>
      </c>
      <c r="E539" s="15" t="n">
        <v>49.49</v>
      </c>
      <c r="F539" s="34" t="n">
        <v>45044</v>
      </c>
      <c r="G539" s="15" t="n">
        <v>97.7</v>
      </c>
      <c r="H539" s="15" t="n">
        <v>126.45</v>
      </c>
      <c r="I539" s="34" t="n">
        <v>45044</v>
      </c>
      <c r="J539" s="15" t="n">
        <v>19.32</v>
      </c>
      <c r="K539" s="15" t="n">
        <v>27.87</v>
      </c>
      <c r="L539" s="34" t="n">
        <v>45044</v>
      </c>
      <c r="M539" s="15" t="n">
        <v>52</v>
      </c>
      <c r="N539" s="15" t="n">
        <v>71.26000000000001</v>
      </c>
      <c r="O539" s="34" t="n">
        <v>45044</v>
      </c>
      <c r="P539" s="15" t="n">
        <v>160.4</v>
      </c>
      <c r="Q539" s="15" t="n">
        <v>160.98</v>
      </c>
      <c r="R539" s="34" t="n">
        <v>45044</v>
      </c>
      <c r="S539" s="15" t="n">
        <v>24.9</v>
      </c>
      <c r="V539" s="15" t="n">
        <v>49.1</v>
      </c>
      <c r="W539" s="15" t="n">
        <v>80.28</v>
      </c>
      <c r="X539" s="34" t="n">
        <v>45044</v>
      </c>
    </row>
    <row r="540">
      <c r="A540" s="34" t="n">
        <v>45049</v>
      </c>
      <c r="B540" s="266" t="n">
        <v>1.135318994522095</v>
      </c>
      <c r="C540" s="34" t="n">
        <v>45049</v>
      </c>
      <c r="D540" s="15" t="n">
        <v>30.1</v>
      </c>
      <c r="E540" s="15" t="n">
        <v>49.49</v>
      </c>
      <c r="F540" s="34" t="n">
        <v>45044</v>
      </c>
      <c r="G540" s="15" t="n">
        <v>99.09999999999999</v>
      </c>
      <c r="H540" s="15" t="n">
        <v>126.45</v>
      </c>
      <c r="I540" s="34" t="n">
        <v>45044</v>
      </c>
      <c r="J540" s="15" t="n">
        <v>19.5</v>
      </c>
      <c r="K540" s="15" t="n">
        <v>27.87</v>
      </c>
      <c r="L540" s="34" t="n">
        <v>45044</v>
      </c>
      <c r="M540" s="15" t="n">
        <v>51.8</v>
      </c>
      <c r="N540" s="15" t="n">
        <v>71.26000000000001</v>
      </c>
      <c r="O540" s="34" t="n">
        <v>45044</v>
      </c>
      <c r="P540" s="15" t="n">
        <v>161</v>
      </c>
      <c r="Q540" s="15" t="n">
        <v>160.98</v>
      </c>
      <c r="R540" s="34" t="n">
        <v>45044</v>
      </c>
      <c r="S540" s="15" t="n">
        <v>24.6</v>
      </c>
      <c r="V540" s="15" t="n">
        <v>48.85</v>
      </c>
      <c r="W540" s="15" t="n">
        <v>80.28</v>
      </c>
      <c r="X540" s="34" t="n">
        <v>45044</v>
      </c>
    </row>
    <row r="541">
      <c r="A541" s="34" t="n">
        <v>45050</v>
      </c>
      <c r="B541" s="266" t="n">
        <v>1.135159969329834</v>
      </c>
      <c r="C541" s="34" t="n">
        <v>45050</v>
      </c>
      <c r="D541" s="15" t="n">
        <v>31.75</v>
      </c>
      <c r="E541" s="15" t="n">
        <v>49.91</v>
      </c>
      <c r="F541" s="34" t="n">
        <v>45050</v>
      </c>
      <c r="G541" s="15" t="n">
        <v>100.7</v>
      </c>
      <c r="H541" s="15" t="n">
        <v>126.9</v>
      </c>
      <c r="I541" s="34" t="n">
        <v>45050</v>
      </c>
      <c r="J541" s="15" t="n">
        <v>19.24</v>
      </c>
      <c r="K541" s="15" t="n">
        <v>27.41</v>
      </c>
      <c r="L541" s="34" t="n">
        <v>45050</v>
      </c>
      <c r="M541" s="15" t="n">
        <v>52</v>
      </c>
      <c r="N541" s="15" t="n">
        <v>73.16</v>
      </c>
      <c r="O541" s="34" t="n">
        <v>45050</v>
      </c>
      <c r="P541" s="15" t="n">
        <v>153.6</v>
      </c>
      <c r="Q541" s="15" t="n">
        <v>153.32</v>
      </c>
      <c r="R541" s="34" t="n">
        <v>45050</v>
      </c>
      <c r="S541" s="15" t="n">
        <v>24.8</v>
      </c>
      <c r="V541" s="15" t="n">
        <v>49.9</v>
      </c>
      <c r="W541" s="15" t="n">
        <v>80.33</v>
      </c>
      <c r="X541" s="34" t="n">
        <v>45050</v>
      </c>
    </row>
    <row r="542">
      <c r="A542" s="34" t="n">
        <v>45051</v>
      </c>
      <c r="B542" s="266" t="n">
        <v>1.13606595993042</v>
      </c>
      <c r="C542" s="34" t="n">
        <v>45051</v>
      </c>
      <c r="D542" s="15" t="n">
        <v>32.05</v>
      </c>
      <c r="E542" s="15" t="n">
        <v>49.4</v>
      </c>
      <c r="F542" s="34" t="n">
        <v>45051</v>
      </c>
      <c r="G542" s="15" t="n">
        <v>101.5</v>
      </c>
      <c r="H542" s="15" t="n">
        <v>126.49</v>
      </c>
      <c r="I542" s="34" t="n">
        <v>45051</v>
      </c>
      <c r="J542" s="15" t="n">
        <v>19.12</v>
      </c>
      <c r="K542" s="15" t="n">
        <v>27.14</v>
      </c>
      <c r="L542" s="34" t="n">
        <v>45051</v>
      </c>
      <c r="M542" s="15" t="n">
        <v>50.75</v>
      </c>
      <c r="N542" s="15" t="n">
        <v>72.16</v>
      </c>
      <c r="O542" s="34" t="n">
        <v>45051</v>
      </c>
      <c r="P542" s="15" t="n">
        <v>154.4</v>
      </c>
      <c r="Q542" s="15" t="n">
        <v>152.88</v>
      </c>
      <c r="R542" s="34" t="n">
        <v>45051</v>
      </c>
      <c r="S542" s="15" t="n">
        <v>24.9</v>
      </c>
      <c r="V542" s="15" t="n">
        <v>49.5</v>
      </c>
      <c r="W542" s="15" t="n">
        <v>78.09999999999999</v>
      </c>
      <c r="X542" s="34" t="n">
        <v>45051</v>
      </c>
    </row>
    <row r="543">
      <c r="A543" s="34" t="n">
        <v>45054</v>
      </c>
      <c r="B543" s="266" t="n">
        <v>1.135442972183228</v>
      </c>
      <c r="C543" s="34" t="n">
        <v>45054</v>
      </c>
      <c r="D543" s="15" t="n">
        <v>32.45</v>
      </c>
      <c r="E543" s="15" t="n">
        <v>49.68</v>
      </c>
      <c r="F543" s="34" t="n">
        <v>45054</v>
      </c>
      <c r="G543" s="15" t="n">
        <v>102</v>
      </c>
      <c r="H543" s="15" t="n">
        <v>128.37</v>
      </c>
      <c r="I543" s="34" t="n">
        <v>45054</v>
      </c>
      <c r="J543" s="15" t="n">
        <v>19.02</v>
      </c>
      <c r="K543" s="15" t="n">
        <v>27.66</v>
      </c>
      <c r="L543" s="34" t="n">
        <v>45054</v>
      </c>
      <c r="M543" s="15" t="n">
        <v>51.5</v>
      </c>
      <c r="N543" s="15" t="n">
        <v>72.20999999999999</v>
      </c>
      <c r="O543" s="34" t="n">
        <v>45054</v>
      </c>
      <c r="P543" s="15" t="n">
        <v>153</v>
      </c>
      <c r="Q543" s="15" t="n">
        <v>149.86</v>
      </c>
      <c r="R543" s="34" t="n">
        <v>45054</v>
      </c>
      <c r="S543" s="15" t="n">
        <v>24.95</v>
      </c>
      <c r="V543" s="15" t="n">
        <v>49.95</v>
      </c>
      <c r="W543" s="15" t="n">
        <v>79.48</v>
      </c>
      <c r="X543" s="34" t="n">
        <v>45054</v>
      </c>
    </row>
    <row r="544">
      <c r="A544" s="34" t="n">
        <v>45055</v>
      </c>
      <c r="B544" s="266" t="n">
        <v>1.134963989257812</v>
      </c>
      <c r="C544" s="34" t="n">
        <v>45055</v>
      </c>
      <c r="D544" s="15" t="n">
        <v>31</v>
      </c>
      <c r="E544" s="15" t="n">
        <v>47.66</v>
      </c>
      <c r="F544" s="34" t="n">
        <v>45055</v>
      </c>
      <c r="G544" s="15" t="n">
        <v>97.90000000000001</v>
      </c>
      <c r="H544" s="15" t="n">
        <v>124.81</v>
      </c>
      <c r="I544" s="34" t="n">
        <v>45055</v>
      </c>
      <c r="J544" s="15" t="n">
        <v>18.8</v>
      </c>
      <c r="K544" s="15" t="n">
        <v>27.34</v>
      </c>
      <c r="L544" s="34" t="n">
        <v>45055</v>
      </c>
      <c r="M544" s="15" t="n">
        <v>50.3</v>
      </c>
      <c r="N544" s="15" t="n">
        <v>71.17</v>
      </c>
      <c r="O544" s="34" t="n">
        <v>45055</v>
      </c>
      <c r="P544" s="15" t="n">
        <v>150.2</v>
      </c>
      <c r="Q544" s="15" t="n">
        <v>147.61</v>
      </c>
      <c r="R544" s="34" t="n">
        <v>45055</v>
      </c>
      <c r="S544" s="15" t="n">
        <v>24.8</v>
      </c>
      <c r="V544" s="15" t="n">
        <v>49.35</v>
      </c>
      <c r="W544" s="15" t="n">
        <v>77.66</v>
      </c>
      <c r="X544" s="34" t="n">
        <v>45055</v>
      </c>
    </row>
    <row r="545">
      <c r="A545" s="34" t="n">
        <v>45056</v>
      </c>
      <c r="B545" s="266" t="n">
        <v>1.132966995239258</v>
      </c>
      <c r="C545" s="34" t="n">
        <v>45056</v>
      </c>
      <c r="D545" s="15" t="n">
        <v>31.05</v>
      </c>
      <c r="E545" s="15" t="n">
        <v>48.29</v>
      </c>
      <c r="F545" s="34" t="n">
        <v>45056</v>
      </c>
      <c r="G545" s="15" t="n">
        <v>98.55</v>
      </c>
      <c r="H545" s="15" t="n">
        <v>126.9</v>
      </c>
      <c r="I545" s="34" t="n">
        <v>45056</v>
      </c>
      <c r="J545" s="15" t="n">
        <v>18.68</v>
      </c>
      <c r="K545" s="15" t="n">
        <v>27.58</v>
      </c>
      <c r="L545" s="34" t="n">
        <v>45056</v>
      </c>
      <c r="M545" s="15" t="n">
        <v>55.85</v>
      </c>
      <c r="N545" s="15" t="n">
        <v>74.91</v>
      </c>
      <c r="O545" s="34" t="n">
        <v>45056</v>
      </c>
      <c r="P545" s="15" t="n">
        <v>146.2</v>
      </c>
      <c r="Q545" s="15" t="n">
        <v>144.98</v>
      </c>
      <c r="R545" s="34" t="n">
        <v>45056</v>
      </c>
      <c r="S545" s="15" t="n">
        <v>24.95</v>
      </c>
      <c r="V545" s="15" t="n">
        <v>49.4</v>
      </c>
      <c r="W545" s="15" t="n">
        <v>78.87</v>
      </c>
      <c r="X545" s="34" t="n">
        <v>45056</v>
      </c>
    </row>
    <row r="546">
      <c r="A546" s="34" t="n">
        <v>45057</v>
      </c>
      <c r="B546" s="266" t="n">
        <v>1.129608988761902</v>
      </c>
      <c r="C546" s="34" t="n">
        <v>45057</v>
      </c>
      <c r="D546" s="15" t="n">
        <v>32.1</v>
      </c>
      <c r="E546" s="15" t="n">
        <v>48.28</v>
      </c>
      <c r="F546" s="34" t="n">
        <v>45057</v>
      </c>
      <c r="G546" s="15" t="n">
        <v>101.3</v>
      </c>
      <c r="H546" s="15" t="n">
        <v>131.75</v>
      </c>
      <c r="I546" s="34" t="n">
        <v>45057</v>
      </c>
      <c r="J546" s="15" t="n">
        <v>18.5</v>
      </c>
      <c r="K546" s="15" t="n">
        <v>27.47</v>
      </c>
      <c r="L546" s="34" t="n">
        <v>45057</v>
      </c>
      <c r="M546" s="15" t="n">
        <v>57.5</v>
      </c>
      <c r="N546" s="15" t="n">
        <v>75.88</v>
      </c>
      <c r="O546" s="34" t="n">
        <v>45057</v>
      </c>
      <c r="P546" s="15" t="n">
        <v>149.4</v>
      </c>
      <c r="Q546" s="15" t="n">
        <v>144.05</v>
      </c>
      <c r="R546" s="34" t="n">
        <v>45057</v>
      </c>
      <c r="S546" s="15" t="n">
        <v>24.95</v>
      </c>
      <c r="V546" s="15" t="n">
        <v>49.55</v>
      </c>
      <c r="W546" s="15" t="n">
        <v>79.61</v>
      </c>
      <c r="X546" s="34" t="n">
        <v>45057</v>
      </c>
    </row>
    <row r="547">
      <c r="A547" s="34" t="n">
        <v>45058</v>
      </c>
      <c r="B547" s="266" t="n">
        <v>1.127804040908813</v>
      </c>
      <c r="C547" s="34" t="n">
        <v>45058</v>
      </c>
      <c r="D547" s="15" t="n">
        <v>30.6</v>
      </c>
      <c r="E547" s="15" t="n">
        <v>47.1</v>
      </c>
      <c r="F547" s="34" t="n">
        <v>45058</v>
      </c>
      <c r="G547" s="15" t="n">
        <v>99.7</v>
      </c>
      <c r="H547" s="15" t="n">
        <v>129.25</v>
      </c>
      <c r="I547" s="34" t="n">
        <v>45058</v>
      </c>
      <c r="J547" s="15" t="n">
        <v>18.04</v>
      </c>
      <c r="K547" s="15" t="n">
        <v>27.06</v>
      </c>
      <c r="L547" s="34" t="n">
        <v>45058</v>
      </c>
      <c r="M547" s="15" t="n">
        <v>55.75</v>
      </c>
      <c r="N547" s="15" t="n">
        <v>74.70999999999999</v>
      </c>
      <c r="O547" s="34" t="n">
        <v>45058</v>
      </c>
      <c r="P547" s="15" t="n">
        <v>142.4</v>
      </c>
      <c r="Q547" s="15" t="n">
        <v>139.7</v>
      </c>
      <c r="R547" s="34" t="n">
        <v>45058</v>
      </c>
      <c r="S547" s="15" t="n">
        <v>24.85</v>
      </c>
      <c r="V547" s="15" t="n">
        <v>49.65</v>
      </c>
      <c r="W547" s="15" t="n">
        <v>80.25</v>
      </c>
      <c r="X547" s="34" t="n">
        <v>45058</v>
      </c>
    </row>
    <row r="548">
      <c r="A548" s="34" t="n">
        <v>45061</v>
      </c>
      <c r="B548" s="266" t="n">
        <v>1.127277016639709</v>
      </c>
      <c r="C548" s="34" t="n">
        <v>45061</v>
      </c>
      <c r="D548" s="15" t="n">
        <v>30.75</v>
      </c>
      <c r="E548" s="15" t="n">
        <v>47.88</v>
      </c>
      <c r="F548" s="34" t="n">
        <v>45061</v>
      </c>
      <c r="G548" s="15" t="n">
        <v>102.6</v>
      </c>
      <c r="H548" s="15" t="n">
        <v>134.77</v>
      </c>
      <c r="I548" s="34" t="n">
        <v>45061</v>
      </c>
      <c r="J548" s="15" t="n">
        <v>18.42</v>
      </c>
      <c r="K548" s="15" t="n">
        <v>27.5</v>
      </c>
      <c r="L548" s="34" t="n">
        <v>45061</v>
      </c>
      <c r="M548" s="15" t="n">
        <v>60.15</v>
      </c>
      <c r="N548" s="15" t="n">
        <v>82.18000000000001</v>
      </c>
      <c r="O548" s="34" t="n">
        <v>45061</v>
      </c>
      <c r="P548" s="15" t="n">
        <v>146.5</v>
      </c>
      <c r="Q548" s="15" t="n">
        <v>142</v>
      </c>
      <c r="R548" s="34" t="n">
        <v>45061</v>
      </c>
      <c r="S548" s="15" t="n">
        <v>24.9</v>
      </c>
      <c r="V548" s="15" t="n">
        <v>49.4</v>
      </c>
      <c r="W548" s="15" t="n">
        <v>81.97</v>
      </c>
      <c r="X548" s="34" t="n">
        <v>45061</v>
      </c>
    </row>
    <row r="549">
      <c r="A549" s="34" t="n">
        <v>45062</v>
      </c>
      <c r="B549" s="266" t="n">
        <v>1.127233982086182</v>
      </c>
      <c r="C549" s="34" t="n">
        <v>45062</v>
      </c>
      <c r="D549" s="15" t="n">
        <v>31.05</v>
      </c>
      <c r="E549" s="15" t="n">
        <v>47.46</v>
      </c>
      <c r="F549" s="34" t="n">
        <v>45062</v>
      </c>
      <c r="G549" s="15" t="n">
        <v>101.2</v>
      </c>
      <c r="H549" s="15" t="n">
        <v>135</v>
      </c>
      <c r="I549" s="34" t="n">
        <v>45062</v>
      </c>
      <c r="J549" s="15" t="n">
        <v>18.22</v>
      </c>
      <c r="K549" s="15" t="n">
        <v>27.27</v>
      </c>
      <c r="L549" s="34" t="n">
        <v>45062</v>
      </c>
      <c r="M549" s="15" t="n">
        <v>60.1</v>
      </c>
      <c r="N549" s="15" t="n">
        <v>82.61</v>
      </c>
      <c r="O549" s="34" t="n">
        <v>45062</v>
      </c>
      <c r="P549" s="15" t="n">
        <v>143.8</v>
      </c>
      <c r="Q549" s="15" t="n">
        <v>138.78</v>
      </c>
      <c r="R549" s="34" t="n">
        <v>45062</v>
      </c>
      <c r="S549" s="15" t="n">
        <v>24.9</v>
      </c>
      <c r="V549" s="15" t="n">
        <v>49.3</v>
      </c>
      <c r="W549" s="15" t="n">
        <v>81.59999999999999</v>
      </c>
      <c r="X549" s="34" t="n">
        <v>45062</v>
      </c>
    </row>
    <row r="550">
      <c r="A550" s="34" t="n">
        <v>45063</v>
      </c>
      <c r="B550" s="266" t="n">
        <v>1.123204946517944</v>
      </c>
      <c r="C550" s="34" t="n">
        <v>45063</v>
      </c>
      <c r="D550" s="15" t="n">
        <v>30.25</v>
      </c>
      <c r="E550" s="15" t="n">
        <v>46.54</v>
      </c>
      <c r="F550" s="34" t="n">
        <v>45063</v>
      </c>
      <c r="G550" s="15" t="n">
        <v>97.65000000000001</v>
      </c>
      <c r="H550" s="15" t="n">
        <v>134.33</v>
      </c>
      <c r="I550" s="34" t="n">
        <v>45063</v>
      </c>
      <c r="J550" s="15" t="n">
        <v>17.94</v>
      </c>
      <c r="K550" s="15" t="n">
        <v>27.5</v>
      </c>
      <c r="L550" s="34" t="n">
        <v>45063</v>
      </c>
      <c r="M550" s="15" t="n">
        <v>57.95</v>
      </c>
      <c r="N550" s="15" t="n">
        <v>80.84</v>
      </c>
      <c r="O550" s="34" t="n">
        <v>45063</v>
      </c>
      <c r="P550" s="15" t="n">
        <v>138.7</v>
      </c>
      <c r="Q550" s="15" t="n">
        <v>136.44</v>
      </c>
      <c r="R550" s="34" t="n">
        <v>45063</v>
      </c>
      <c r="S550" s="15" t="n">
        <v>24.7</v>
      </c>
      <c r="V550" s="15" t="n">
        <v>48</v>
      </c>
      <c r="W550" s="15" t="n">
        <v>81.03</v>
      </c>
      <c r="X550" s="34" t="n">
        <v>45063</v>
      </c>
    </row>
    <row r="551">
      <c r="A551" s="34" t="n">
        <v>45064</v>
      </c>
      <c r="B551" s="266" t="n">
        <v>1.118651986122131</v>
      </c>
      <c r="C551" s="34" t="n">
        <v>45064</v>
      </c>
      <c r="D551" s="15" t="n">
        <v>29.55</v>
      </c>
      <c r="E551" s="15" t="n">
        <v>46.23</v>
      </c>
      <c r="F551" s="34" t="n">
        <v>45064</v>
      </c>
      <c r="G551" s="15" t="n">
        <v>99.3</v>
      </c>
      <c r="H551" s="15" t="n">
        <v>134.45</v>
      </c>
      <c r="I551" s="34" t="n">
        <v>45064</v>
      </c>
      <c r="J551" s="15" t="n">
        <v>17.84</v>
      </c>
      <c r="K551" s="15" t="n">
        <v>27.27</v>
      </c>
      <c r="L551" s="34" t="n">
        <v>45064</v>
      </c>
      <c r="M551" s="15" t="n">
        <v>59.1</v>
      </c>
      <c r="N551" s="15" t="n">
        <v>81</v>
      </c>
      <c r="O551" s="34" t="n">
        <v>45064</v>
      </c>
      <c r="P551" s="15" t="n">
        <v>137.3</v>
      </c>
      <c r="Q551" s="15" t="n">
        <v>133.88</v>
      </c>
      <c r="R551" s="34" t="n">
        <v>45064</v>
      </c>
      <c r="S551" s="15" t="n">
        <v>24.7</v>
      </c>
      <c r="V551" s="15" t="n">
        <v>47.85</v>
      </c>
      <c r="W551" s="15" t="n">
        <v>80.86</v>
      </c>
      <c r="X551" s="34" t="n">
        <v>45064</v>
      </c>
    </row>
    <row r="552">
      <c r="A552" s="34" t="n">
        <v>45065</v>
      </c>
      <c r="B552" s="266" t="n">
        <v>1.112360954284668</v>
      </c>
      <c r="C552" s="34" t="n">
        <v>45065</v>
      </c>
      <c r="D552" s="15" t="n">
        <v>29.5</v>
      </c>
      <c r="E552" s="15" t="n">
        <v>46.97</v>
      </c>
      <c r="F552" s="34" t="n">
        <v>45065</v>
      </c>
      <c r="G552" s="15" t="n">
        <v>104</v>
      </c>
      <c r="H552" s="15" t="n">
        <v>135.86</v>
      </c>
      <c r="I552" s="34" t="n">
        <v>45065</v>
      </c>
      <c r="J552" s="15" t="n">
        <v>17.84</v>
      </c>
      <c r="K552" s="15" t="n">
        <v>27.22</v>
      </c>
      <c r="L552" s="34" t="n">
        <v>45065</v>
      </c>
      <c r="M552" s="15" t="n">
        <v>57.75</v>
      </c>
      <c r="N552" s="15" t="n">
        <v>79.48999999999999</v>
      </c>
      <c r="O552" s="34" t="n">
        <v>45065</v>
      </c>
      <c r="P552" s="15" t="n">
        <v>136.5</v>
      </c>
      <c r="Q552" s="15" t="n">
        <v>135.16</v>
      </c>
      <c r="R552" s="34" t="n">
        <v>45065</v>
      </c>
      <c r="S552" s="15" t="n">
        <v>24.35</v>
      </c>
      <c r="V552" s="15" t="n">
        <v>47.5</v>
      </c>
      <c r="W552" s="15" t="n">
        <v>80.8</v>
      </c>
      <c r="X552" s="34" t="n">
        <v>45065</v>
      </c>
    </row>
    <row r="553">
      <c r="A553" s="34" t="n">
        <v>45068</v>
      </c>
      <c r="B553" s="266" t="n">
        <v>1.118953943252563</v>
      </c>
      <c r="C553" s="34" t="n">
        <v>45068</v>
      </c>
      <c r="D553" s="15" t="n">
        <v>30</v>
      </c>
      <c r="E553" s="15" t="n">
        <v>47.75</v>
      </c>
      <c r="F553" s="34" t="n">
        <v>45068</v>
      </c>
      <c r="G553" s="15" t="n">
        <v>103.7</v>
      </c>
      <c r="H553" s="15" t="n">
        <v>135.66</v>
      </c>
      <c r="I553" s="34" t="n">
        <v>45068</v>
      </c>
      <c r="J553" s="15" t="n">
        <v>18.04</v>
      </c>
      <c r="K553" s="15" t="n">
        <v>27.12</v>
      </c>
      <c r="L553" s="34" t="n">
        <v>45068</v>
      </c>
      <c r="M553" s="15" t="n">
        <v>56.7</v>
      </c>
      <c r="N553" s="15" t="n">
        <v>79.48</v>
      </c>
      <c r="O553" s="34" t="n">
        <v>45068</v>
      </c>
      <c r="P553" s="15" t="n">
        <v>141.5</v>
      </c>
      <c r="Q553" s="15" t="n">
        <v>138.87</v>
      </c>
      <c r="R553" s="34" t="n">
        <v>45068</v>
      </c>
      <c r="S553" s="15" t="n">
        <v>24.55</v>
      </c>
      <c r="V553" s="15" t="n">
        <v>47.75</v>
      </c>
      <c r="W553" s="15" t="n">
        <v>81.12</v>
      </c>
      <c r="X553" s="34" t="n">
        <v>45068</v>
      </c>
    </row>
    <row r="554">
      <c r="A554" s="34" t="n">
        <v>45069</v>
      </c>
      <c r="B554" s="266" t="n">
        <v>1.1127769947052</v>
      </c>
      <c r="C554" s="34" t="n">
        <v>45069</v>
      </c>
      <c r="D554" s="15" t="n">
        <v>30.75</v>
      </c>
      <c r="E554" s="15" t="n">
        <v>48.08</v>
      </c>
      <c r="F554" s="34" t="n">
        <v>45069</v>
      </c>
      <c r="G554" s="15" t="n">
        <v>105</v>
      </c>
      <c r="H554" s="15" t="n">
        <v>135</v>
      </c>
      <c r="I554" s="34" t="n">
        <v>45069</v>
      </c>
      <c r="J554" s="15" t="n">
        <v>17.96</v>
      </c>
      <c r="K554" s="15" t="n">
        <v>26.84</v>
      </c>
      <c r="L554" s="34" t="n">
        <v>45069</v>
      </c>
      <c r="M554" s="15" t="n">
        <v>56.25</v>
      </c>
      <c r="N554" s="15" t="n">
        <v>78.62</v>
      </c>
      <c r="O554" s="34" t="n">
        <v>45069</v>
      </c>
      <c r="P554" s="15" t="n">
        <v>138.4</v>
      </c>
      <c r="Q554" s="15" t="n">
        <v>136.51</v>
      </c>
      <c r="R554" s="34" t="n">
        <v>45069</v>
      </c>
      <c r="S554" s="15" t="n">
        <v>24.6</v>
      </c>
      <c r="V554" s="15" t="n">
        <v>47.5</v>
      </c>
      <c r="W554" s="15" t="n">
        <v>81.44</v>
      </c>
      <c r="X554" s="34" t="n">
        <v>45069</v>
      </c>
    </row>
    <row r="555">
      <c r="A555" s="34" t="n">
        <v>45070</v>
      </c>
      <c r="B555" s="266" t="n">
        <v>1.110573053359985</v>
      </c>
      <c r="C555" s="34" t="n">
        <v>45070</v>
      </c>
      <c r="D555" s="15" t="n">
        <v>30.95</v>
      </c>
      <c r="E555" s="15" t="n">
        <v>48.15</v>
      </c>
      <c r="F555" s="34" t="n">
        <v>45070</v>
      </c>
      <c r="G555" s="15" t="n">
        <v>105.2</v>
      </c>
      <c r="H555" s="15" t="n">
        <v>133.24</v>
      </c>
      <c r="I555" s="34" t="n">
        <v>45070</v>
      </c>
      <c r="J555" s="15" t="n">
        <v>17.96</v>
      </c>
      <c r="K555" s="15" t="n">
        <v>26.89</v>
      </c>
      <c r="L555" s="34" t="n">
        <v>45070</v>
      </c>
      <c r="M555" s="15" t="n">
        <v>55.65</v>
      </c>
      <c r="N555" s="15" t="n">
        <v>78.18000000000001</v>
      </c>
      <c r="O555" s="34" t="n">
        <v>45070</v>
      </c>
      <c r="P555" s="15" t="n">
        <v>135</v>
      </c>
      <c r="Q555" s="15" t="n">
        <v>133.51</v>
      </c>
      <c r="R555" s="34" t="n">
        <v>45070</v>
      </c>
      <c r="S555" s="15" t="n">
        <v>24.5</v>
      </c>
      <c r="V555" s="15" t="n">
        <v>47.6</v>
      </c>
      <c r="W555" s="15" t="n">
        <v>81</v>
      </c>
      <c r="X555" s="34" t="n">
        <v>45070</v>
      </c>
    </row>
    <row r="556">
      <c r="A556" s="34" t="n">
        <v>45071</v>
      </c>
      <c r="B556" s="266" t="n">
        <v>1.108927965164185</v>
      </c>
      <c r="C556" s="34" t="n">
        <v>45071</v>
      </c>
      <c r="D556" s="15" t="n">
        <v>30</v>
      </c>
      <c r="E556" s="15" t="n">
        <v>47.45</v>
      </c>
      <c r="F556" s="34" t="n">
        <v>45071</v>
      </c>
      <c r="G556" s="15" t="n">
        <v>104.5</v>
      </c>
      <c r="H556" s="15" t="n">
        <v>132.85</v>
      </c>
      <c r="I556" s="34" t="n">
        <v>45071</v>
      </c>
      <c r="J556" s="15" t="n">
        <v>17.94</v>
      </c>
      <c r="K556" s="15" t="n">
        <v>26.97</v>
      </c>
      <c r="L556" s="34" t="n">
        <v>45071</v>
      </c>
      <c r="M556" s="15" t="n">
        <v>54.65</v>
      </c>
      <c r="N556" s="15" t="n">
        <v>76.84999999999999</v>
      </c>
      <c r="O556" s="34" t="n">
        <v>45071</v>
      </c>
      <c r="P556" s="15" t="n">
        <v>134.2</v>
      </c>
      <c r="Q556" s="15" t="n">
        <v>131.4</v>
      </c>
      <c r="R556" s="34" t="n">
        <v>45071</v>
      </c>
      <c r="S556" s="15" t="n">
        <v>24.2</v>
      </c>
      <c r="V556" s="15" t="n">
        <v>47.35</v>
      </c>
      <c r="W556" s="15" t="n">
        <v>80.72</v>
      </c>
      <c r="X556" s="34" t="n">
        <v>45071</v>
      </c>
    </row>
    <row r="557">
      <c r="A557" s="34" t="n">
        <v>45075</v>
      </c>
      <c r="B557" s="266" t="n">
        <v>1.107897043228149</v>
      </c>
      <c r="C557" s="34" t="n">
        <v>45075</v>
      </c>
      <c r="D557" s="15" t="n">
        <v>29.5</v>
      </c>
      <c r="E557" s="15" t="n">
        <v>46.56</v>
      </c>
      <c r="F557" s="34" t="n">
        <v>45075</v>
      </c>
      <c r="G557" s="15" t="n">
        <v>102</v>
      </c>
      <c r="H557" s="15" t="n">
        <v>129.9</v>
      </c>
      <c r="I557" s="34" t="n">
        <v>45075</v>
      </c>
      <c r="J557" s="15" t="n">
        <v>17.34</v>
      </c>
      <c r="K557" s="15" t="n">
        <v>26.9</v>
      </c>
      <c r="L557" s="34" t="n">
        <v>45075</v>
      </c>
      <c r="M557" s="15" t="n">
        <v>53.35</v>
      </c>
      <c r="N557" s="15" t="n">
        <v>73.28</v>
      </c>
      <c r="O557" s="34" t="n">
        <v>45075</v>
      </c>
      <c r="P557" s="15" t="n">
        <v>129.1</v>
      </c>
      <c r="Q557" s="15" t="n">
        <v>127.44</v>
      </c>
      <c r="R557" s="34" t="n">
        <v>45075</v>
      </c>
      <c r="S557" s="15" t="n">
        <v>23.95</v>
      </c>
      <c r="V557" s="15" t="n">
        <v>46.8</v>
      </c>
      <c r="W557" s="15" t="n">
        <v>77</v>
      </c>
      <c r="X557" s="34" t="n">
        <v>45075</v>
      </c>
    </row>
    <row r="558">
      <c r="A558" s="34" t="n">
        <v>45076</v>
      </c>
      <c r="B558" s="266" t="n">
        <v>1.10659396648407</v>
      </c>
      <c r="C558" s="34" t="n">
        <v>45076</v>
      </c>
      <c r="D558" s="15" t="n">
        <v>29.6</v>
      </c>
      <c r="E558" s="15" t="n">
        <v>45.8</v>
      </c>
      <c r="F558" s="34" t="n">
        <v>45076</v>
      </c>
      <c r="G558" s="15" t="n">
        <v>105.2</v>
      </c>
      <c r="H558" s="15" t="n">
        <v>133.9</v>
      </c>
      <c r="I558" s="34" t="n">
        <v>45076</v>
      </c>
      <c r="J558" s="15" t="n">
        <v>17.34</v>
      </c>
      <c r="K558" s="15" t="n">
        <v>26.95</v>
      </c>
      <c r="L558" s="34" t="n">
        <v>45076</v>
      </c>
      <c r="M558" s="15" t="n">
        <v>52.7</v>
      </c>
      <c r="N558" s="15" t="n">
        <v>73.40000000000001</v>
      </c>
      <c r="O558" s="34" t="n">
        <v>45076</v>
      </c>
      <c r="P558" s="15" t="n">
        <v>128.7</v>
      </c>
      <c r="Q558" s="15" t="n">
        <v>127.8</v>
      </c>
      <c r="R558" s="34" t="n">
        <v>45076</v>
      </c>
      <c r="S558" s="15" t="n">
        <v>23.3</v>
      </c>
      <c r="V558" s="15" t="n">
        <v>48.2</v>
      </c>
      <c r="W558" s="15" t="n">
        <v>75.76000000000001</v>
      </c>
      <c r="X558" s="34" t="n">
        <v>45076</v>
      </c>
    </row>
    <row r="559">
      <c r="A559" s="34" t="n">
        <v>45077</v>
      </c>
      <c r="B559" s="266" t="n">
        <v>1.106397032737732</v>
      </c>
      <c r="C559" s="34" t="n">
        <v>45077</v>
      </c>
      <c r="D559" s="15" t="n">
        <v>28.3</v>
      </c>
      <c r="E559" s="15" t="n">
        <v>45.22</v>
      </c>
      <c r="F559" s="34" t="n">
        <v>45077</v>
      </c>
      <c r="G559" s="15" t="n">
        <v>104.4</v>
      </c>
      <c r="H559" s="15" t="n">
        <v>131.8</v>
      </c>
      <c r="I559" s="34" t="n">
        <v>45077</v>
      </c>
      <c r="J559" s="15" t="n">
        <v>17.32</v>
      </c>
      <c r="K559" s="15" t="n">
        <v>26.85</v>
      </c>
      <c r="L559" s="34" t="n">
        <v>45077</v>
      </c>
      <c r="M559" s="15" t="n">
        <v>50.75</v>
      </c>
      <c r="N559" s="15" t="n">
        <v>71.94</v>
      </c>
      <c r="O559" s="34" t="n">
        <v>45077</v>
      </c>
      <c r="P559" s="15" t="n">
        <v>124.6</v>
      </c>
      <c r="Q559" s="15" t="n">
        <v>123.1</v>
      </c>
      <c r="R559" s="34" t="n">
        <v>45077</v>
      </c>
      <c r="S559" s="15" t="n">
        <v>23.1</v>
      </c>
      <c r="V559" s="15" t="n">
        <v>48.45</v>
      </c>
      <c r="W559" s="15" t="n">
        <v>76.23999999999999</v>
      </c>
      <c r="X559" s="34" t="n">
        <v>45077</v>
      </c>
    </row>
    <row r="560">
      <c r="A560" s="34" t="n">
        <v>45078</v>
      </c>
      <c r="B560" s="266" t="n">
        <v>1.101158976554871</v>
      </c>
      <c r="C560" s="34" t="n">
        <v>45078</v>
      </c>
      <c r="D560" s="15" t="n">
        <v>28.95</v>
      </c>
      <c r="E560" s="15" t="n">
        <v>46.59</v>
      </c>
      <c r="F560" s="34" t="n">
        <v>45078</v>
      </c>
      <c r="G560" s="15" t="n">
        <v>106.9</v>
      </c>
      <c r="H560" s="15" t="n">
        <v>136.02</v>
      </c>
      <c r="I560" s="34" t="n">
        <v>45078</v>
      </c>
      <c r="J560" s="15" t="n">
        <v>17.08</v>
      </c>
      <c r="K560" s="15" t="n">
        <v>26.86</v>
      </c>
      <c r="L560" s="34" t="n">
        <v>45078</v>
      </c>
      <c r="M560" s="15" t="n">
        <v>50.8</v>
      </c>
      <c r="N560" s="15" t="n">
        <v>72.33</v>
      </c>
      <c r="O560" s="34" t="n">
        <v>45078</v>
      </c>
      <c r="P560" s="15" t="n">
        <v>121.3</v>
      </c>
      <c r="Q560" s="15" t="n">
        <v>120.95</v>
      </c>
      <c r="R560" s="34" t="n">
        <v>45078</v>
      </c>
      <c r="S560" s="15" t="n">
        <v>23.1</v>
      </c>
      <c r="V560" s="15" t="n">
        <v>48.45</v>
      </c>
      <c r="W560" s="15" t="n">
        <v>76.5</v>
      </c>
      <c r="X560" s="34" t="n">
        <v>45078</v>
      </c>
    </row>
    <row r="561">
      <c r="A561" s="34" t="n">
        <v>45079</v>
      </c>
      <c r="B561" s="266" t="n">
        <v>1.103572010993958</v>
      </c>
      <c r="C561" s="34" t="n">
        <v>45079</v>
      </c>
      <c r="D561" s="15" t="n">
        <v>28.8</v>
      </c>
      <c r="E561" s="15" t="n">
        <v>46.43</v>
      </c>
      <c r="F561" s="34" t="n">
        <v>45079</v>
      </c>
      <c r="G561" s="15" t="n">
        <v>106.5</v>
      </c>
      <c r="H561" s="15" t="n">
        <v>134.82</v>
      </c>
      <c r="I561" s="34" t="n">
        <v>45079</v>
      </c>
      <c r="J561" s="15" t="n">
        <v>17.46</v>
      </c>
      <c r="K561" s="15" t="n">
        <v>27.4</v>
      </c>
      <c r="L561" s="34" t="n">
        <v>45079</v>
      </c>
      <c r="M561" s="15" t="n">
        <v>55.05</v>
      </c>
      <c r="N561" s="15" t="n">
        <v>76.3</v>
      </c>
      <c r="O561" s="34" t="n">
        <v>45079</v>
      </c>
      <c r="P561" s="15" t="n">
        <v>125.5</v>
      </c>
      <c r="Q561" s="15" t="n">
        <v>122.81</v>
      </c>
      <c r="R561" s="34" t="n">
        <v>45079</v>
      </c>
      <c r="S561" s="15" t="n">
        <v>23.35</v>
      </c>
      <c r="V561" s="15" t="n">
        <v>48.6</v>
      </c>
      <c r="W561" s="15" t="n">
        <v>77.95</v>
      </c>
      <c r="X561" s="34" t="n">
        <v>45079</v>
      </c>
    </row>
    <row r="562">
      <c r="A562" s="34" t="n">
        <v>45082</v>
      </c>
      <c r="B562" s="266" t="n">
        <v>1.10276198387146</v>
      </c>
      <c r="C562" s="34" t="n">
        <v>45082</v>
      </c>
      <c r="D562" s="15" t="n">
        <v>28.6</v>
      </c>
      <c r="E562" s="15" t="n">
        <v>44.98</v>
      </c>
      <c r="F562" s="34" t="n">
        <v>45082</v>
      </c>
      <c r="G562" s="15" t="n">
        <v>105.6</v>
      </c>
      <c r="H562" s="15" t="n">
        <v>132.74</v>
      </c>
      <c r="I562" s="34" t="n">
        <v>45082</v>
      </c>
      <c r="J562" s="15" t="n">
        <v>17.66</v>
      </c>
      <c r="K562" s="15" t="n">
        <v>27.49</v>
      </c>
      <c r="L562" s="34" t="n">
        <v>45082</v>
      </c>
      <c r="M562" s="15" t="n">
        <v>55.1</v>
      </c>
      <c r="N562" s="15" t="n">
        <v>75.97</v>
      </c>
      <c r="O562" s="34" t="n">
        <v>45082</v>
      </c>
      <c r="P562" s="15" t="n">
        <v>123.1</v>
      </c>
      <c r="Q562" s="15" t="n">
        <v>119.55</v>
      </c>
      <c r="R562" s="34" t="n">
        <v>45082</v>
      </c>
      <c r="S562" s="15" t="n">
        <v>23.85</v>
      </c>
      <c r="V562" s="15" t="n">
        <v>48.8</v>
      </c>
      <c r="W562" s="15" t="n">
        <v>77.95</v>
      </c>
      <c r="X562" s="34" t="n">
        <v>45082</v>
      </c>
    </row>
    <row r="563">
      <c r="A563" s="34" t="n">
        <v>45083</v>
      </c>
      <c r="B563" s="266" t="n">
        <v>1.103441953659058</v>
      </c>
      <c r="C563" s="34" t="n">
        <v>45083</v>
      </c>
      <c r="D563" s="15" t="n">
        <v>28.3</v>
      </c>
      <c r="E563" s="15" t="n">
        <v>43.53</v>
      </c>
      <c r="F563" s="34" t="n">
        <v>45083</v>
      </c>
      <c r="G563" s="15" t="n">
        <v>100.3</v>
      </c>
      <c r="H563" s="15" t="n">
        <v>128.79</v>
      </c>
      <c r="I563" s="34" t="n">
        <v>45083</v>
      </c>
      <c r="J563" s="15" t="n">
        <v>17.36</v>
      </c>
      <c r="K563" s="15" t="n">
        <v>27.15</v>
      </c>
      <c r="L563" s="34" t="n">
        <v>45083</v>
      </c>
      <c r="M563" s="15" t="n">
        <v>53.15</v>
      </c>
      <c r="N563" s="15" t="n">
        <v>74.48</v>
      </c>
      <c r="O563" s="34" t="n">
        <v>45083</v>
      </c>
      <c r="P563" s="15" t="n">
        <v>118.7</v>
      </c>
      <c r="Q563" s="15" t="n">
        <v>117.71</v>
      </c>
      <c r="R563" s="34" t="n">
        <v>45083</v>
      </c>
      <c r="S563" s="15" t="n">
        <v>23.75</v>
      </c>
      <c r="V563" s="15" t="n">
        <v>48.8</v>
      </c>
      <c r="W563" s="15" t="n">
        <v>81.62</v>
      </c>
      <c r="X563" s="34" t="n">
        <v>45083</v>
      </c>
    </row>
    <row r="564">
      <c r="A564" s="34" t="n">
        <v>45084</v>
      </c>
      <c r="B564" s="266" t="n">
        <v>1.10180401802063</v>
      </c>
      <c r="C564" s="34" t="n">
        <v>45084</v>
      </c>
      <c r="D564" s="15" t="n">
        <v>28.75</v>
      </c>
      <c r="E564" s="15" t="n">
        <v>43.38</v>
      </c>
      <c r="F564" s="34" t="n">
        <v>45084</v>
      </c>
      <c r="G564" s="15" t="n">
        <v>99.2</v>
      </c>
      <c r="H564" s="15" t="n">
        <v>128.61</v>
      </c>
      <c r="I564" s="34" t="n">
        <v>45084</v>
      </c>
      <c r="J564" s="15" t="n">
        <v>17.18</v>
      </c>
      <c r="K564" s="15" t="n">
        <v>26.94</v>
      </c>
      <c r="L564" s="34" t="n">
        <v>45084</v>
      </c>
      <c r="M564" s="15" t="n">
        <v>53.1</v>
      </c>
      <c r="N564" s="15" t="n">
        <v>73.41</v>
      </c>
      <c r="O564" s="34" t="n">
        <v>45084</v>
      </c>
      <c r="P564" s="15" t="n">
        <v>119.7</v>
      </c>
      <c r="Q564" s="15" t="n">
        <v>116.58</v>
      </c>
      <c r="R564" s="34" t="n">
        <v>45084</v>
      </c>
      <c r="S564" s="15" t="n">
        <v>23.65</v>
      </c>
      <c r="V564" s="15" t="n">
        <v>47.6</v>
      </c>
      <c r="W564" s="15" t="n">
        <v>78.36</v>
      </c>
      <c r="X564" s="34" t="n">
        <v>45084</v>
      </c>
    </row>
    <row r="565">
      <c r="A565" s="34" t="n">
        <v>45085</v>
      </c>
      <c r="B565" s="266" t="n">
        <v>1.099845051765442</v>
      </c>
      <c r="C565" s="34" t="n">
        <v>45085</v>
      </c>
      <c r="D565" s="15" t="n">
        <v>28.75</v>
      </c>
      <c r="E565" s="15" t="n">
        <v>43.56</v>
      </c>
      <c r="F565" s="34" t="n">
        <v>45085</v>
      </c>
      <c r="G565" s="15" t="n">
        <v>98.5</v>
      </c>
      <c r="H565" s="15" t="n">
        <v>129.28</v>
      </c>
      <c r="I565" s="34" t="n">
        <v>45085</v>
      </c>
      <c r="J565" s="15" t="n">
        <v>17.1</v>
      </c>
      <c r="K565" s="15" t="n">
        <v>26.86</v>
      </c>
      <c r="L565" s="34" t="n">
        <v>45085</v>
      </c>
      <c r="M565" s="15" t="n">
        <v>53.8</v>
      </c>
      <c r="N565" s="15" t="n">
        <v>74.55</v>
      </c>
      <c r="O565" s="34" t="n">
        <v>45085</v>
      </c>
      <c r="P565" s="15" t="n">
        <v>121.2</v>
      </c>
      <c r="Q565" s="15" t="n">
        <v>117.58</v>
      </c>
      <c r="R565" s="34" t="n">
        <v>45085</v>
      </c>
      <c r="S565" s="15" t="n">
        <v>23.7</v>
      </c>
      <c r="V565" s="15" t="n">
        <v>47.55</v>
      </c>
      <c r="W565" s="15" t="n">
        <v>78.65000000000001</v>
      </c>
      <c r="X565" s="34" t="n">
        <v>45085</v>
      </c>
    </row>
    <row r="566">
      <c r="A566" s="34" t="n">
        <v>45086</v>
      </c>
      <c r="B566" s="266" t="n">
        <v>1.101685047149658</v>
      </c>
      <c r="C566" s="34" t="n">
        <v>45086</v>
      </c>
      <c r="D566" s="15" t="n">
        <v>30.15</v>
      </c>
      <c r="E566" s="15" t="n">
        <v>45.3</v>
      </c>
      <c r="F566" s="34" t="n">
        <v>45086</v>
      </c>
      <c r="G566" s="15" t="n">
        <v>100.4</v>
      </c>
      <c r="H566" s="15" t="n">
        <v>134.8</v>
      </c>
      <c r="I566" s="34" t="n">
        <v>45086</v>
      </c>
      <c r="J566" s="15" t="n">
        <v>17.24</v>
      </c>
      <c r="K566" s="15" t="n">
        <v>27.28</v>
      </c>
      <c r="L566" s="34" t="n">
        <v>45086</v>
      </c>
      <c r="M566" s="15" t="n">
        <v>54.65</v>
      </c>
      <c r="N566" s="15" t="n">
        <v>74.98</v>
      </c>
      <c r="O566" s="34" t="n">
        <v>45086</v>
      </c>
      <c r="P566" s="15" t="n">
        <v>121.2</v>
      </c>
      <c r="Q566" s="15" t="n">
        <v>116.8</v>
      </c>
      <c r="R566" s="34" t="n">
        <v>45086</v>
      </c>
      <c r="S566" s="15" t="n">
        <v>23.6</v>
      </c>
      <c r="V566" s="15" t="n">
        <v>48.15</v>
      </c>
      <c r="W566" s="15" t="n">
        <v>78.05</v>
      </c>
      <c r="X566" s="34" t="n">
        <v>45086</v>
      </c>
    </row>
    <row r="567">
      <c r="A567" s="34" t="n">
        <v>45089</v>
      </c>
      <c r="B567" s="266" t="n">
        <v>1.099730968475342</v>
      </c>
      <c r="C567" s="34" t="n">
        <v>45089</v>
      </c>
      <c r="D567" s="15" t="n">
        <v>29.85</v>
      </c>
      <c r="E567" s="15" t="n">
        <v>45.2</v>
      </c>
      <c r="F567" s="34" t="n">
        <v>45089</v>
      </c>
      <c r="G567" s="15" t="n">
        <v>98.45</v>
      </c>
      <c r="H567" s="15" t="n">
        <v>133.49</v>
      </c>
      <c r="I567" s="34" t="n">
        <v>45089</v>
      </c>
      <c r="J567" s="15" t="n">
        <v>17.28</v>
      </c>
      <c r="K567" s="15" t="n">
        <v>26.85</v>
      </c>
      <c r="L567" s="34" t="n">
        <v>45089</v>
      </c>
      <c r="M567" s="15" t="n">
        <v>53.6</v>
      </c>
      <c r="N567" s="15" t="n">
        <v>73.89</v>
      </c>
      <c r="O567" s="34" t="n">
        <v>45089</v>
      </c>
      <c r="P567" s="15" t="n">
        <v>123.6</v>
      </c>
      <c r="Q567" s="15" t="n">
        <v>120.01</v>
      </c>
      <c r="R567" s="34" t="n">
        <v>45089</v>
      </c>
      <c r="S567" s="15" t="n">
        <v>23.7</v>
      </c>
      <c r="V567" s="15" t="n">
        <v>47.85</v>
      </c>
      <c r="W567" s="15" t="n">
        <v>77.25</v>
      </c>
      <c r="X567" s="34" t="n">
        <v>45089</v>
      </c>
    </row>
    <row r="568">
      <c r="A568" s="34" t="n">
        <v>45090</v>
      </c>
      <c r="B568" s="266" t="n">
        <v>1.096243977546692</v>
      </c>
      <c r="C568" s="34" t="n">
        <v>45090</v>
      </c>
      <c r="D568" s="15" t="n">
        <v>29.5</v>
      </c>
      <c r="E568" s="15" t="n">
        <v>44.61</v>
      </c>
      <c r="F568" s="34" t="n">
        <v>45090</v>
      </c>
      <c r="G568" s="15" t="n">
        <v>98.3</v>
      </c>
      <c r="H568" s="15" t="n">
        <v>132.36</v>
      </c>
      <c r="I568" s="34" t="n">
        <v>45090</v>
      </c>
      <c r="J568" s="15" t="n">
        <v>17.34</v>
      </c>
      <c r="K568" s="15" t="n">
        <v>26.74</v>
      </c>
      <c r="L568" s="34" t="n">
        <v>45090</v>
      </c>
      <c r="M568" s="15" t="n">
        <v>54</v>
      </c>
      <c r="N568" s="15" t="n">
        <v>73.87</v>
      </c>
      <c r="O568" s="34" t="n">
        <v>45090</v>
      </c>
      <c r="P568" s="15" t="n">
        <v>123.4</v>
      </c>
      <c r="Q568" s="15" t="n">
        <v>120.8</v>
      </c>
      <c r="R568" s="34" t="n">
        <v>45090</v>
      </c>
      <c r="S568" s="15" t="n">
        <v>23.2</v>
      </c>
      <c r="V568" s="15" t="n">
        <v>48.05</v>
      </c>
      <c r="W568" s="15" t="n">
        <v>78.59</v>
      </c>
      <c r="X568" s="34" t="n">
        <v>45090</v>
      </c>
    </row>
    <row r="569">
      <c r="A569" s="34" t="n">
        <v>45091</v>
      </c>
      <c r="B569" s="266" t="n">
        <v>1.092831969261169</v>
      </c>
      <c r="C569" s="34" t="n">
        <v>45091</v>
      </c>
      <c r="D569" s="15" t="n">
        <v>29.4</v>
      </c>
      <c r="E569" s="15" t="n">
        <v>43.96</v>
      </c>
      <c r="F569" s="34" t="n">
        <v>45091</v>
      </c>
      <c r="G569" s="15" t="n">
        <v>97.59999999999999</v>
      </c>
      <c r="H569" s="15" t="n">
        <v>130.15</v>
      </c>
      <c r="I569" s="34" t="n">
        <v>45091</v>
      </c>
      <c r="J569" s="15" t="n">
        <v>17.1</v>
      </c>
      <c r="K569" s="15" t="n">
        <v>26.5</v>
      </c>
      <c r="L569" s="34" t="n">
        <v>45091</v>
      </c>
      <c r="M569" s="15" t="n">
        <v>54.05</v>
      </c>
      <c r="N569" s="15" t="n">
        <v>73.01000000000001</v>
      </c>
      <c r="O569" s="34" t="n">
        <v>45091</v>
      </c>
      <c r="P569" s="15" t="n">
        <v>124.4</v>
      </c>
      <c r="Q569" s="15" t="n">
        <v>121.13</v>
      </c>
      <c r="R569" s="34" t="n">
        <v>45091</v>
      </c>
      <c r="S569" s="15" t="n">
        <v>21.6</v>
      </c>
      <c r="V569" s="15" t="n">
        <v>49.75</v>
      </c>
      <c r="W569" s="15" t="n">
        <v>80.5</v>
      </c>
      <c r="X569" s="34" t="n">
        <v>45091</v>
      </c>
    </row>
    <row r="570">
      <c r="A570" s="34" t="n">
        <v>45092</v>
      </c>
      <c r="B570" s="266" t="n">
        <v>1.093112945556641</v>
      </c>
      <c r="C570" s="34" t="n">
        <v>45092</v>
      </c>
      <c r="D570" s="15" t="n">
        <v>30.85</v>
      </c>
      <c r="E570" s="15" t="n">
        <v>45.72</v>
      </c>
      <c r="F570" s="34" t="n">
        <v>45092</v>
      </c>
      <c r="G570" s="15" t="n">
        <v>99.90000000000001</v>
      </c>
      <c r="H570" s="15" t="n">
        <v>140.5</v>
      </c>
      <c r="I570" s="34" t="n">
        <v>45092</v>
      </c>
      <c r="J570" s="15" t="n">
        <v>17.24</v>
      </c>
      <c r="K570" s="15" t="n">
        <v>26.92</v>
      </c>
      <c r="L570" s="34" t="n">
        <v>45092</v>
      </c>
      <c r="M570" s="15" t="n">
        <v>55.9</v>
      </c>
      <c r="N570" s="15" t="n">
        <v>75.86</v>
      </c>
      <c r="O570" s="34" t="n">
        <v>45092</v>
      </c>
      <c r="P570" s="15" t="n">
        <v>133.7</v>
      </c>
      <c r="Q570" s="15" t="n">
        <v>130</v>
      </c>
      <c r="R570" s="34" t="n">
        <v>45092</v>
      </c>
      <c r="S570" s="15" t="n">
        <v>21.3</v>
      </c>
      <c r="V570" s="15" t="n">
        <v>49.8</v>
      </c>
      <c r="W570" s="15" t="n">
        <v>80.86</v>
      </c>
      <c r="X570" s="34" t="n">
        <v>45092</v>
      </c>
    </row>
    <row r="571">
      <c r="A571" s="34" t="n">
        <v>45093</v>
      </c>
      <c r="B571" s="266" t="n">
        <v>1.098376989364624</v>
      </c>
      <c r="C571" s="34" t="n">
        <v>45093</v>
      </c>
      <c r="D571" s="15" t="n">
        <v>31.6</v>
      </c>
      <c r="E571" s="15" t="n">
        <v>45.6</v>
      </c>
      <c r="F571" s="34" t="n">
        <v>45093</v>
      </c>
      <c r="G571" s="15" t="n">
        <v>101.3</v>
      </c>
      <c r="H571" s="15" t="n">
        <v>139.8</v>
      </c>
      <c r="I571" s="34" t="n">
        <v>45093</v>
      </c>
      <c r="J571" s="15" t="n">
        <v>17.4</v>
      </c>
      <c r="K571" s="15" t="n">
        <v>26.87</v>
      </c>
      <c r="L571" s="34" t="n">
        <v>45093</v>
      </c>
      <c r="M571" s="15" t="n">
        <v>57.05</v>
      </c>
      <c r="N571" s="15" t="n">
        <v>76.02</v>
      </c>
      <c r="O571" s="34" t="n">
        <v>45093</v>
      </c>
      <c r="P571" s="15" t="n">
        <v>134.2</v>
      </c>
      <c r="Q571" s="15" t="n">
        <v>130.16</v>
      </c>
      <c r="R571" s="34" t="n">
        <v>45093</v>
      </c>
      <c r="S571" s="15" t="n">
        <v>22</v>
      </c>
      <c r="V571" s="15" t="n">
        <v>50.3</v>
      </c>
      <c r="W571" s="15" t="n">
        <v>81.11</v>
      </c>
      <c r="X571" s="34" t="n">
        <v>45093</v>
      </c>
    </row>
    <row r="572">
      <c r="A572" s="34" t="n">
        <v>45096</v>
      </c>
      <c r="B572" s="266" t="n">
        <v>1.097730040550232</v>
      </c>
      <c r="C572" s="34" t="n">
        <v>45096</v>
      </c>
      <c r="D572" s="15" t="n">
        <v>31.2</v>
      </c>
      <c r="E572" s="15" t="n">
        <v>44.74</v>
      </c>
      <c r="F572" s="34" t="n">
        <v>45096</v>
      </c>
      <c r="G572" s="15" t="n">
        <v>98.59999999999999</v>
      </c>
      <c r="H572" s="15" t="n">
        <v>136.12</v>
      </c>
      <c r="I572" s="34" t="n">
        <v>45096</v>
      </c>
      <c r="J572" s="15" t="n">
        <v>17.2</v>
      </c>
      <c r="K572" s="15" t="n">
        <v>26.93</v>
      </c>
      <c r="L572" s="34" t="n">
        <v>45096</v>
      </c>
      <c r="M572" s="15" t="n">
        <v>55.95</v>
      </c>
      <c r="N572" s="15" t="n">
        <v>73.97</v>
      </c>
      <c r="O572" s="34" t="n">
        <v>45096</v>
      </c>
      <c r="P572" s="15" t="n">
        <v>132.3</v>
      </c>
      <c r="Q572" s="15" t="n">
        <v>127.3</v>
      </c>
      <c r="R572" s="34" t="n">
        <v>45096</v>
      </c>
      <c r="S572" s="15" t="n">
        <v>22.2</v>
      </c>
      <c r="V572" s="15" t="n">
        <v>49.6</v>
      </c>
      <c r="W572" s="15" t="n">
        <v>80.7</v>
      </c>
      <c r="X572" s="34" t="n">
        <v>45096</v>
      </c>
    </row>
    <row r="573">
      <c r="A573" s="34" t="n">
        <v>45097</v>
      </c>
      <c r="B573" s="266" t="n">
        <v>1.091591000556946</v>
      </c>
      <c r="C573" s="34" t="n">
        <v>45097</v>
      </c>
      <c r="D573" s="15" t="n">
        <v>20.9</v>
      </c>
      <c r="E573" s="15" t="n">
        <v>44.28</v>
      </c>
      <c r="F573" s="34" t="n">
        <v>45097</v>
      </c>
      <c r="G573" s="15" t="n">
        <v>95.90000000000001</v>
      </c>
      <c r="H573" s="15" t="n">
        <v>135.12</v>
      </c>
      <c r="I573" s="34" t="n">
        <v>45097</v>
      </c>
      <c r="J573" s="15" t="n">
        <v>17.2</v>
      </c>
      <c r="K573" s="15" t="n">
        <v>27.44</v>
      </c>
      <c r="L573" s="34" t="n">
        <v>45097</v>
      </c>
      <c r="M573" s="15" t="n">
        <v>53.15</v>
      </c>
      <c r="N573" s="15" t="n">
        <v>73.20999999999999</v>
      </c>
      <c r="O573" s="34" t="n">
        <v>45097</v>
      </c>
      <c r="P573" s="15" t="n">
        <v>129</v>
      </c>
      <c r="Q573" s="15" t="n">
        <v>126.28</v>
      </c>
      <c r="R573" s="34" t="n">
        <v>45097</v>
      </c>
      <c r="S573" s="15" t="n">
        <v>21.45</v>
      </c>
      <c r="V573" s="15" t="n">
        <v>49.95</v>
      </c>
      <c r="W573" s="15" t="n">
        <v>80.05</v>
      </c>
      <c r="X573" s="34" t="n">
        <v>45097</v>
      </c>
    </row>
    <row r="574">
      <c r="A574" s="34" t="n">
        <v>45098</v>
      </c>
      <c r="B574" s="266" t="n">
        <v>1.089725017547607</v>
      </c>
      <c r="C574" s="34" t="n">
        <v>45098</v>
      </c>
      <c r="D574" s="15" t="n">
        <v>20.1</v>
      </c>
      <c r="E574" s="15" t="n">
        <v>41.79</v>
      </c>
      <c r="F574" s="34" t="n">
        <v>45098</v>
      </c>
      <c r="G574" s="15" t="n">
        <v>89.59999999999999</v>
      </c>
      <c r="H574" s="15" t="n">
        <v>125.4</v>
      </c>
      <c r="I574" s="34" t="n">
        <v>45098</v>
      </c>
      <c r="J574" s="15" t="n">
        <v>16.74</v>
      </c>
      <c r="K574" s="15" t="n">
        <v>26.95</v>
      </c>
      <c r="L574" s="34" t="n">
        <v>45098</v>
      </c>
      <c r="M574" s="15" t="n">
        <v>53.25</v>
      </c>
      <c r="N574" s="15" t="n">
        <v>72.19</v>
      </c>
      <c r="O574" s="34" t="n">
        <v>45098</v>
      </c>
      <c r="P574" s="15" t="n">
        <v>121.4</v>
      </c>
      <c r="Q574" s="15" t="n">
        <v>122.15</v>
      </c>
      <c r="R574" s="34" t="n">
        <v>45098</v>
      </c>
      <c r="S574" s="15" t="n">
        <v>21.45</v>
      </c>
      <c r="V574" s="15" t="n">
        <v>39.5</v>
      </c>
      <c r="W574" s="15" t="n">
        <v>82.48999999999999</v>
      </c>
      <c r="X574" s="34" t="n">
        <v>45098</v>
      </c>
    </row>
    <row r="575">
      <c r="A575" s="34" t="n">
        <v>45100</v>
      </c>
      <c r="B575" s="266" t="n">
        <v>1.090543031692505</v>
      </c>
      <c r="C575" s="34" t="n">
        <v>45100</v>
      </c>
      <c r="D575" s="15" t="n">
        <v>17.84</v>
      </c>
      <c r="E575" s="15" t="n">
        <v>41.79</v>
      </c>
      <c r="F575" s="34" t="n">
        <v>45098</v>
      </c>
      <c r="G575" s="15" t="n">
        <v>86.55</v>
      </c>
      <c r="H575" s="15" t="n">
        <v>125.4</v>
      </c>
      <c r="I575" s="34" t="n">
        <v>45098</v>
      </c>
      <c r="J575" s="15" t="n">
        <v>15.58</v>
      </c>
      <c r="K575" s="15" t="n">
        <v>26.95</v>
      </c>
      <c r="L575" s="34" t="n">
        <v>45098</v>
      </c>
      <c r="M575" s="15" t="n">
        <v>52.6</v>
      </c>
      <c r="N575" s="15" t="n">
        <v>72.19</v>
      </c>
      <c r="O575" s="34" t="n">
        <v>45098</v>
      </c>
      <c r="P575" s="15" t="n">
        <v>119.5</v>
      </c>
      <c r="Q575" s="15" t="n">
        <v>122.15</v>
      </c>
      <c r="R575" s="34" t="n">
        <v>45098</v>
      </c>
      <c r="S575" s="15" t="n">
        <v>20.8</v>
      </c>
      <c r="V575" s="15" t="n">
        <v>38.3</v>
      </c>
      <c r="W575" s="15" t="n">
        <v>82.48999999999999</v>
      </c>
      <c r="X575" s="34" t="n">
        <v>45098</v>
      </c>
    </row>
    <row r="576">
      <c r="A576" s="34" t="n">
        <v>45103</v>
      </c>
      <c r="B576" s="266" t="n">
        <v>1.092113971710205</v>
      </c>
      <c r="C576" s="34" t="n">
        <v>45103</v>
      </c>
      <c r="D576" s="15" t="n">
        <v>19.48</v>
      </c>
      <c r="E576" s="15" t="n">
        <v>41.62</v>
      </c>
      <c r="F576" s="34" t="n">
        <v>45103</v>
      </c>
      <c r="G576" s="15" t="n">
        <v>88.75</v>
      </c>
      <c r="H576" s="15" t="n">
        <v>123.9</v>
      </c>
      <c r="I576" s="34" t="n">
        <v>45103</v>
      </c>
      <c r="J576" s="15" t="n">
        <v>10.6</v>
      </c>
      <c r="K576" s="15" t="n">
        <v>28.53</v>
      </c>
      <c r="L576" s="34" t="n">
        <v>45103</v>
      </c>
      <c r="M576" s="15" t="n">
        <v>52.7</v>
      </c>
      <c r="N576" s="15" t="n">
        <v>71.65000000000001</v>
      </c>
      <c r="O576" s="34" t="n">
        <v>45103</v>
      </c>
      <c r="P576" s="15" t="n">
        <v>115.5</v>
      </c>
      <c r="Q576" s="15" t="n">
        <v>117.44</v>
      </c>
      <c r="R576" s="34" t="n">
        <v>45103</v>
      </c>
      <c r="S576" s="15" t="n">
        <v>20.4</v>
      </c>
      <c r="V576" s="15" t="n">
        <v>37.95</v>
      </c>
      <c r="W576" s="15" t="n">
        <v>80.40000000000001</v>
      </c>
      <c r="X576" s="34" t="n">
        <v>45103</v>
      </c>
    </row>
    <row r="577">
      <c r="A577" s="34" t="n">
        <v>45104</v>
      </c>
      <c r="B577" s="266" t="n">
        <v>1.081884026527405</v>
      </c>
      <c r="C577" s="34" t="n">
        <v>45104</v>
      </c>
      <c r="D577" s="15" t="n">
        <v>19.08</v>
      </c>
      <c r="E577" s="15" t="n">
        <v>41.31</v>
      </c>
      <c r="F577" s="34" t="n">
        <v>45104</v>
      </c>
      <c r="G577" s="15" t="n">
        <v>89</v>
      </c>
      <c r="H577" s="15" t="n">
        <v>125.38</v>
      </c>
      <c r="I577" s="34" t="n">
        <v>45104</v>
      </c>
      <c r="J577" s="15" t="n">
        <v>11</v>
      </c>
      <c r="K577" s="15" t="n">
        <v>28.13</v>
      </c>
      <c r="L577" s="34" t="n">
        <v>45104</v>
      </c>
      <c r="M577" s="15" t="n">
        <v>53.5</v>
      </c>
      <c r="N577" s="15" t="n">
        <v>72.33</v>
      </c>
      <c r="O577" s="34" t="n">
        <v>45104</v>
      </c>
      <c r="P577" s="15" t="n">
        <v>116.3</v>
      </c>
      <c r="Q577" s="15" t="n">
        <v>116.69</v>
      </c>
      <c r="R577" s="34" t="n">
        <v>45104</v>
      </c>
      <c r="S577" s="15" t="n">
        <v>21.5</v>
      </c>
      <c r="V577" s="15" t="n">
        <v>40.9</v>
      </c>
      <c r="W577" s="15" t="n">
        <v>86.76000000000001</v>
      </c>
      <c r="X577" s="34" t="n">
        <v>45104</v>
      </c>
    </row>
    <row r="578">
      <c r="A578" s="34" t="n">
        <v>45105</v>
      </c>
      <c r="B578" s="266" t="n">
        <v>1.084810972213745</v>
      </c>
      <c r="C578" s="34" t="n">
        <v>45105</v>
      </c>
      <c r="D578" s="15" t="n">
        <v>18.68</v>
      </c>
      <c r="E578" s="15" t="n">
        <v>40.8</v>
      </c>
      <c r="F578" s="34" t="n">
        <v>45105</v>
      </c>
      <c r="G578" s="15" t="n">
        <v>88.55</v>
      </c>
      <c r="H578" s="15" t="n">
        <v>122.54</v>
      </c>
      <c r="I578" s="34" t="n">
        <v>45105</v>
      </c>
      <c r="J578" s="15" t="n">
        <v>11.54</v>
      </c>
      <c r="K578" s="15" t="n">
        <v>28.02</v>
      </c>
      <c r="L578" s="34" t="n">
        <v>45105</v>
      </c>
      <c r="M578" s="15" t="n">
        <v>52.25</v>
      </c>
      <c r="N578" s="15" t="n">
        <v>72.05</v>
      </c>
      <c r="O578" s="34" t="n">
        <v>45105</v>
      </c>
      <c r="P578" s="15" t="n">
        <v>115.9</v>
      </c>
      <c r="Q578" s="15" t="n">
        <v>115.79</v>
      </c>
      <c r="R578" s="34" t="n">
        <v>45105</v>
      </c>
      <c r="S578" s="15" t="n">
        <v>20.5</v>
      </c>
      <c r="V578" s="15" t="n">
        <v>42</v>
      </c>
      <c r="W578" s="15" t="n">
        <v>86.81</v>
      </c>
      <c r="X578" s="34" t="n">
        <v>45105</v>
      </c>
    </row>
    <row r="579">
      <c r="A579" s="34" t="n">
        <v>45106</v>
      </c>
      <c r="B579" s="266" t="n">
        <v>1.081053972244263</v>
      </c>
      <c r="C579" s="34" t="n">
        <v>45106</v>
      </c>
      <c r="D579" s="15" t="n">
        <v>18.78</v>
      </c>
      <c r="E579" s="15" t="n">
        <v>40.18</v>
      </c>
      <c r="F579" s="34" t="n">
        <v>45106</v>
      </c>
      <c r="G579" s="15" t="n">
        <v>88.40000000000001</v>
      </c>
      <c r="H579" s="15" t="n">
        <v>118.1</v>
      </c>
      <c r="I579" s="34" t="n">
        <v>45106</v>
      </c>
      <c r="J579" s="15" t="n">
        <v>12.14</v>
      </c>
      <c r="K579" s="15" t="n">
        <v>30.49</v>
      </c>
      <c r="L579" s="34" t="n">
        <v>45106</v>
      </c>
      <c r="M579" s="15" t="n">
        <v>51.8</v>
      </c>
      <c r="N579" s="15" t="n">
        <v>71.31</v>
      </c>
      <c r="O579" s="34" t="n">
        <v>45106</v>
      </c>
      <c r="P579" s="15" t="n">
        <v>107.1</v>
      </c>
      <c r="Q579" s="15" t="n">
        <v>110.89</v>
      </c>
      <c r="R579" s="34" t="n">
        <v>45106</v>
      </c>
      <c r="S579" s="15" t="n">
        <v>20</v>
      </c>
      <c r="V579" s="15" t="n">
        <v>41.95</v>
      </c>
      <c r="W579" s="15" t="n">
        <v>86.8</v>
      </c>
      <c r="X579" s="34" t="n">
        <v>45106</v>
      </c>
    </row>
    <row r="580">
      <c r="A580" s="34" t="n">
        <v>45107</v>
      </c>
      <c r="B580" s="266" t="n">
        <v>1.080832958221436</v>
      </c>
      <c r="C580" s="34" t="n">
        <v>45107</v>
      </c>
      <c r="D580" s="15" t="n">
        <v>19.7</v>
      </c>
      <c r="E580" s="15" t="n">
        <v>40.9</v>
      </c>
      <c r="F580" s="34" t="n">
        <v>45107</v>
      </c>
      <c r="G580" s="15" t="n">
        <v>87.90000000000001</v>
      </c>
      <c r="H580" s="15" t="n">
        <v>117.86</v>
      </c>
      <c r="I580" s="34" t="n">
        <v>45107</v>
      </c>
      <c r="J580" s="15" t="n">
        <v>11.96</v>
      </c>
      <c r="K580" s="15" t="n">
        <v>29.92</v>
      </c>
      <c r="L580" s="34" t="n">
        <v>45107</v>
      </c>
      <c r="M580" s="15" t="n">
        <v>54.55</v>
      </c>
      <c r="N580" s="15" t="n">
        <v>69.91</v>
      </c>
      <c r="O580" s="34" t="n">
        <v>45107</v>
      </c>
      <c r="P580" s="15" t="n">
        <v>106</v>
      </c>
      <c r="Q580" s="15" t="n">
        <v>110.53</v>
      </c>
      <c r="R580" s="34" t="n">
        <v>45107</v>
      </c>
      <c r="S580" s="15" t="n">
        <v>21</v>
      </c>
      <c r="V580" s="15" t="n">
        <v>41.55</v>
      </c>
      <c r="W580" s="15" t="n">
        <v>85</v>
      </c>
      <c r="X580" s="34" t="n">
        <v>45107</v>
      </c>
    </row>
    <row r="581">
      <c r="A581" s="34" t="n">
        <v>45110</v>
      </c>
      <c r="B581" s="266" t="n">
        <v>1.080121040344238</v>
      </c>
      <c r="C581" s="34" t="n">
        <v>45110</v>
      </c>
      <c r="D581" s="15" t="n">
        <v>20</v>
      </c>
      <c r="E581" s="15" t="n">
        <v>41.25</v>
      </c>
      <c r="F581" s="34" t="n">
        <v>45110</v>
      </c>
      <c r="G581" s="15" t="n">
        <v>88.55</v>
      </c>
      <c r="H581" s="15" t="n">
        <v>119.18</v>
      </c>
      <c r="I581" s="34" t="n">
        <v>45110</v>
      </c>
      <c r="J581" s="15" t="n">
        <v>11.9</v>
      </c>
      <c r="K581" s="15" t="n">
        <v>29.93</v>
      </c>
      <c r="L581" s="34" t="n">
        <v>45110</v>
      </c>
      <c r="M581" s="15" t="n">
        <v>55.6</v>
      </c>
      <c r="N581" s="15" t="n">
        <v>70.44</v>
      </c>
      <c r="O581" s="34" t="n">
        <v>45110</v>
      </c>
      <c r="P581" s="15" t="n">
        <v>110.1</v>
      </c>
      <c r="Q581" s="15" t="n">
        <v>115.23</v>
      </c>
      <c r="R581" s="34" t="n">
        <v>45110</v>
      </c>
      <c r="S581" s="15" t="n">
        <v>20.4</v>
      </c>
      <c r="V581" s="15" t="n">
        <v>41.5</v>
      </c>
      <c r="W581" s="15" t="n">
        <v>85.68000000000001</v>
      </c>
      <c r="X581" s="34" t="n">
        <v>45110</v>
      </c>
    </row>
    <row r="582">
      <c r="A582" s="34" t="n">
        <v>45111</v>
      </c>
      <c r="B582" s="266" t="n">
        <v>1.08187997341156</v>
      </c>
      <c r="C582" s="34" t="n">
        <v>45111</v>
      </c>
      <c r="D582" s="15" t="n">
        <v>20.95</v>
      </c>
      <c r="E582" s="15" t="n">
        <v>41.96</v>
      </c>
      <c r="F582" s="34" t="n">
        <v>45111</v>
      </c>
      <c r="G582" s="15" t="n">
        <v>92.59999999999999</v>
      </c>
      <c r="H582" s="15" t="n">
        <v>121.99</v>
      </c>
      <c r="I582" s="34" t="n">
        <v>45111</v>
      </c>
      <c r="J582" s="15" t="n">
        <v>11.86</v>
      </c>
      <c r="K582" s="15" t="n">
        <v>29.9</v>
      </c>
      <c r="L582" s="34" t="n">
        <v>45111</v>
      </c>
      <c r="M582" s="15" t="n">
        <v>55.4</v>
      </c>
      <c r="N582" s="15" t="n">
        <v>70.63</v>
      </c>
      <c r="O582" s="34" t="n">
        <v>45111</v>
      </c>
      <c r="P582" s="15" t="n">
        <v>111.2</v>
      </c>
      <c r="Q582" s="15" t="n">
        <v>115.29</v>
      </c>
      <c r="R582" s="34" t="n">
        <v>45111</v>
      </c>
      <c r="S582" s="15" t="n">
        <v>20.65</v>
      </c>
      <c r="V582" s="15" t="n">
        <v>41</v>
      </c>
      <c r="W582" s="15" t="n">
        <v>86.76000000000001</v>
      </c>
      <c r="X582" s="34" t="n">
        <v>45111</v>
      </c>
    </row>
    <row r="583">
      <c r="A583" s="34" t="n">
        <v>45112</v>
      </c>
      <c r="B583" s="266" t="n">
        <v>1.085320949554443</v>
      </c>
      <c r="C583" s="34" t="n">
        <v>45112</v>
      </c>
      <c r="D583" s="15" t="n">
        <v>21.1</v>
      </c>
      <c r="E583" s="15" t="n">
        <v>41.5</v>
      </c>
      <c r="F583" s="34" t="n">
        <v>45112</v>
      </c>
      <c r="G583" s="15" t="n">
        <v>96.7</v>
      </c>
      <c r="H583" s="15" t="n">
        <v>121.69</v>
      </c>
      <c r="I583" s="34" t="n">
        <v>45112</v>
      </c>
      <c r="J583" s="15" t="n">
        <v>12.9</v>
      </c>
      <c r="K583" s="15" t="n">
        <v>31.58</v>
      </c>
      <c r="L583" s="34" t="n">
        <v>45112</v>
      </c>
      <c r="M583" s="15" t="n">
        <v>52.2</v>
      </c>
      <c r="N583" s="15" t="n">
        <v>70.76000000000001</v>
      </c>
      <c r="O583" s="34" t="n">
        <v>45112</v>
      </c>
      <c r="P583" s="15" t="n">
        <v>107.5</v>
      </c>
      <c r="Q583" s="15" t="n">
        <v>112.82</v>
      </c>
      <c r="R583" s="34" t="n">
        <v>45112</v>
      </c>
      <c r="S583" s="15" t="n">
        <v>20.45</v>
      </c>
      <c r="V583" s="15" t="n">
        <v>39.8</v>
      </c>
      <c r="W583" s="15" t="n">
        <v>60.85</v>
      </c>
      <c r="X583" s="34" t="n">
        <v>45112</v>
      </c>
    </row>
    <row r="584">
      <c r="A584" s="34" t="n">
        <v>45113</v>
      </c>
      <c r="B584" s="266" t="n">
        <v>1.079206943511963</v>
      </c>
      <c r="C584" s="34" t="n">
        <v>45113</v>
      </c>
      <c r="D584" s="15" t="n">
        <v>20.55</v>
      </c>
      <c r="E584" s="15" t="n">
        <v>40.84</v>
      </c>
      <c r="F584" s="34" t="n">
        <v>45113</v>
      </c>
      <c r="G584" s="15" t="n">
        <v>96.15000000000001</v>
      </c>
      <c r="H584" s="15" t="n">
        <v>119.6</v>
      </c>
      <c r="I584" s="34" t="n">
        <v>45113</v>
      </c>
      <c r="J584" s="15" t="n">
        <v>12.64</v>
      </c>
      <c r="K584" s="15" t="n">
        <v>31.1</v>
      </c>
      <c r="L584" s="34" t="n">
        <v>45113</v>
      </c>
      <c r="M584" s="15" t="n">
        <v>50.55</v>
      </c>
      <c r="N584" s="15" t="n">
        <v>69.20999999999999</v>
      </c>
      <c r="O584" s="34" t="n">
        <v>45113</v>
      </c>
      <c r="P584" s="15" t="n">
        <v>105.1</v>
      </c>
      <c r="Q584" s="15" t="n">
        <v>111.01</v>
      </c>
      <c r="R584" s="34" t="n">
        <v>45113</v>
      </c>
      <c r="S584" s="15" t="n">
        <v>20.2</v>
      </c>
      <c r="V584" s="15" t="n">
        <v>39.1</v>
      </c>
      <c r="W584" s="15" t="n">
        <v>60.12</v>
      </c>
      <c r="X584" s="34" t="n">
        <v>45113</v>
      </c>
    </row>
    <row r="585">
      <c r="A585" s="34" t="n">
        <v>45114</v>
      </c>
      <c r="B585" s="266" t="n">
        <v>1.078516960144043</v>
      </c>
      <c r="C585" s="34" t="n">
        <v>45114</v>
      </c>
      <c r="D585" s="15" t="n">
        <v>19.96</v>
      </c>
      <c r="E585" s="15" t="n">
        <v>40.31</v>
      </c>
      <c r="F585" s="34" t="n">
        <v>45114</v>
      </c>
      <c r="G585" s="15" t="n">
        <v>95.65000000000001</v>
      </c>
      <c r="H585" s="15" t="n">
        <v>119.13</v>
      </c>
      <c r="I585" s="34" t="n">
        <v>45114</v>
      </c>
      <c r="J585" s="15" t="n">
        <v>11.7</v>
      </c>
      <c r="K585" s="15" t="n">
        <v>30.3</v>
      </c>
      <c r="L585" s="34" t="n">
        <v>45114</v>
      </c>
      <c r="M585" s="15" t="n">
        <v>50.35</v>
      </c>
      <c r="N585" s="15" t="n">
        <v>68.51000000000001</v>
      </c>
      <c r="O585" s="34" t="n">
        <v>45114</v>
      </c>
      <c r="P585" s="15" t="n">
        <v>103.7</v>
      </c>
      <c r="Q585" s="15" t="n">
        <v>109.66</v>
      </c>
      <c r="R585" s="34" t="n">
        <v>45114</v>
      </c>
      <c r="S585" s="15" t="n">
        <v>20.05</v>
      </c>
      <c r="V585" s="15" t="n">
        <v>39.05</v>
      </c>
      <c r="W585" s="15" t="n">
        <v>58.77</v>
      </c>
      <c r="X585" s="34" t="n">
        <v>45114</v>
      </c>
    </row>
    <row r="586">
      <c r="A586" s="34" t="n">
        <v>45117</v>
      </c>
      <c r="B586" s="266" t="n">
        <v>1.095139026641846</v>
      </c>
      <c r="C586" s="34" t="n">
        <v>45117</v>
      </c>
      <c r="D586" s="15" t="n">
        <v>20</v>
      </c>
      <c r="E586" s="15" t="n">
        <v>40.53</v>
      </c>
      <c r="F586" s="34" t="n">
        <v>45117</v>
      </c>
      <c r="G586" s="15" t="n">
        <v>95.05</v>
      </c>
      <c r="H586" s="15" t="n">
        <v>120.49</v>
      </c>
      <c r="I586" s="34" t="n">
        <v>45117</v>
      </c>
      <c r="J586" s="15" t="n">
        <v>11.76</v>
      </c>
      <c r="K586" s="15" t="n">
        <v>30.98</v>
      </c>
      <c r="L586" s="34" t="n">
        <v>45117</v>
      </c>
      <c r="M586" s="15" t="n">
        <v>51.85</v>
      </c>
      <c r="N586" s="15" t="n">
        <v>70.83</v>
      </c>
      <c r="O586" s="34" t="n">
        <v>45117</v>
      </c>
      <c r="P586" s="15" t="n">
        <v>110.5</v>
      </c>
      <c r="Q586" s="15" t="n">
        <v>117.56</v>
      </c>
      <c r="R586" s="34" t="n">
        <v>45117</v>
      </c>
      <c r="S586" s="15" t="n">
        <v>20.4</v>
      </c>
      <c r="V586" s="15" t="n">
        <v>38.65</v>
      </c>
      <c r="W586" s="15" t="n">
        <v>59.59</v>
      </c>
      <c r="X586" s="34" t="n">
        <v>45117</v>
      </c>
    </row>
    <row r="587">
      <c r="A587" s="34" t="n">
        <v>45118</v>
      </c>
      <c r="B587" s="266" t="n">
        <v>1.082510948181152</v>
      </c>
      <c r="C587" s="34" t="n">
        <v>45118</v>
      </c>
      <c r="D587" s="15" t="n">
        <v>19.96</v>
      </c>
      <c r="E587" s="15" t="n">
        <v>40.65</v>
      </c>
      <c r="F587" s="34" t="n">
        <v>45118</v>
      </c>
      <c r="G587" s="15" t="n">
        <v>93.40000000000001</v>
      </c>
      <c r="H587" s="15" t="n">
        <v>120</v>
      </c>
      <c r="I587" s="34" t="n">
        <v>45118</v>
      </c>
      <c r="J587" s="15" t="n">
        <v>11.88</v>
      </c>
      <c r="K587" s="15" t="n">
        <v>31.13</v>
      </c>
      <c r="L587" s="34" t="n">
        <v>45118</v>
      </c>
      <c r="M587" s="15" t="n">
        <v>51.8</v>
      </c>
      <c r="N587" s="15" t="n">
        <v>70.7</v>
      </c>
      <c r="O587" s="34" t="n">
        <v>45118</v>
      </c>
      <c r="P587" s="15" t="n">
        <v>110.6</v>
      </c>
      <c r="Q587" s="15" t="n">
        <v>115.87</v>
      </c>
      <c r="R587" s="34" t="n">
        <v>45118</v>
      </c>
      <c r="S587" s="15" t="n">
        <v>20.25</v>
      </c>
      <c r="V587" s="15" t="n">
        <v>38.2</v>
      </c>
      <c r="W587" s="15" t="n">
        <v>60.6</v>
      </c>
      <c r="X587" s="34" t="n">
        <v>45118</v>
      </c>
    </row>
    <row r="588">
      <c r="A588" s="34" t="n">
        <v>45119</v>
      </c>
      <c r="B588" s="266" t="n">
        <v>1.085523009300232</v>
      </c>
      <c r="C588" s="34" t="n">
        <v>45119</v>
      </c>
      <c r="D588" s="15" t="n">
        <v>19.9</v>
      </c>
      <c r="E588" s="15" t="n">
        <v>39.88</v>
      </c>
      <c r="F588" s="34" t="n">
        <v>45119</v>
      </c>
      <c r="G588" s="15" t="n">
        <v>95.8</v>
      </c>
      <c r="H588" s="15" t="n">
        <v>118.1</v>
      </c>
      <c r="I588" s="34" t="n">
        <v>45119</v>
      </c>
      <c r="J588" s="15" t="n">
        <v>12.06</v>
      </c>
      <c r="K588" s="15" t="n">
        <v>19.26</v>
      </c>
      <c r="L588" s="34" t="n">
        <v>45119</v>
      </c>
      <c r="M588" s="15" t="n">
        <v>51.6</v>
      </c>
      <c r="N588" s="15" t="n">
        <v>70.36</v>
      </c>
      <c r="O588" s="34" t="n">
        <v>45119</v>
      </c>
      <c r="P588" s="15" t="n">
        <v>110.5</v>
      </c>
      <c r="Q588" s="15" t="n">
        <v>116.15</v>
      </c>
      <c r="R588" s="34" t="n">
        <v>45119</v>
      </c>
      <c r="S588" s="15" t="n">
        <v>20.75</v>
      </c>
      <c r="V588" s="15" t="n">
        <v>38.7</v>
      </c>
      <c r="W588" s="15" t="n">
        <v>61.75</v>
      </c>
      <c r="X588" s="34" t="n">
        <v>45119</v>
      </c>
    </row>
    <row r="589">
      <c r="A589" s="34" t="n">
        <v>45120</v>
      </c>
      <c r="B589" s="266" t="n">
        <v>1.091933012008667</v>
      </c>
      <c r="C589" s="34" t="n">
        <v>45120</v>
      </c>
      <c r="D589" s="15" t="n">
        <v>21.1</v>
      </c>
      <c r="E589" s="15" t="n">
        <v>41.36</v>
      </c>
      <c r="F589" s="34" t="n">
        <v>45120</v>
      </c>
      <c r="G589" s="15" t="n">
        <v>98.65000000000001</v>
      </c>
      <c r="H589" s="15" t="n">
        <v>122.81</v>
      </c>
      <c r="I589" s="34" t="n">
        <v>45120</v>
      </c>
      <c r="J589" s="15" t="n">
        <v>11.88</v>
      </c>
      <c r="K589" s="15" t="n">
        <v>18.86</v>
      </c>
      <c r="L589" s="34" t="n">
        <v>45120</v>
      </c>
      <c r="M589" s="15" t="n">
        <v>51.75</v>
      </c>
      <c r="N589" s="15" t="n">
        <v>70.81</v>
      </c>
      <c r="O589" s="34" t="n">
        <v>45120</v>
      </c>
      <c r="P589" s="15" t="n">
        <v>114.3</v>
      </c>
      <c r="Q589" s="15" t="n">
        <v>119.1</v>
      </c>
      <c r="R589" s="34" t="n">
        <v>45120</v>
      </c>
      <c r="S589" s="15" t="n">
        <v>20.5</v>
      </c>
      <c r="V589" s="15" t="n">
        <v>38.1</v>
      </c>
      <c r="W589" s="15" t="n">
        <v>61.84</v>
      </c>
      <c r="X589" s="34" t="n">
        <v>45120</v>
      </c>
    </row>
    <row r="590">
      <c r="A590" s="34" t="n">
        <v>45121</v>
      </c>
      <c r="B590" s="266" t="n">
        <v>1.093255996704102</v>
      </c>
      <c r="C590" s="34" t="n">
        <v>45121</v>
      </c>
      <c r="D590" s="15" t="n">
        <v>21.3</v>
      </c>
      <c r="E590" s="15" t="n">
        <v>40.95</v>
      </c>
      <c r="F590" s="34" t="n">
        <v>45121</v>
      </c>
      <c r="G590" s="15" t="n">
        <v>97.05</v>
      </c>
      <c r="H590" s="15" t="n">
        <v>122.75</v>
      </c>
      <c r="I590" s="34" t="n">
        <v>45121</v>
      </c>
      <c r="J590" s="15" t="n">
        <v>11.92</v>
      </c>
      <c r="K590" s="15" t="n">
        <v>18.35</v>
      </c>
      <c r="L590" s="34" t="n">
        <v>45121</v>
      </c>
      <c r="M590" s="15" t="n">
        <v>51.55</v>
      </c>
      <c r="N590" s="15" t="n">
        <v>70.2</v>
      </c>
      <c r="O590" s="34" t="n">
        <v>45121</v>
      </c>
      <c r="P590" s="15" t="n">
        <v>112.8</v>
      </c>
      <c r="Q590" s="15" t="n">
        <v>117.05</v>
      </c>
      <c r="R590" s="34" t="n">
        <v>45121</v>
      </c>
      <c r="S590" s="15" t="n">
        <v>20.55</v>
      </c>
      <c r="V590" s="15" t="n">
        <v>41.7</v>
      </c>
      <c r="W590" s="15" t="n">
        <v>65.02</v>
      </c>
      <c r="X590" s="34" t="n">
        <v>45121</v>
      </c>
    </row>
    <row r="591">
      <c r="A591" s="34" t="n">
        <v>45125</v>
      </c>
      <c r="B591" s="266" t="n">
        <v>1.089244961738586</v>
      </c>
      <c r="C591" s="34" t="n">
        <v>45125</v>
      </c>
      <c r="D591" s="15" t="n">
        <v>20.9</v>
      </c>
      <c r="E591" s="15" t="n">
        <v>37.83</v>
      </c>
      <c r="F591" s="34" t="n">
        <v>45125</v>
      </c>
      <c r="G591" s="15" t="n">
        <v>97.55</v>
      </c>
      <c r="H591" s="15" t="n">
        <v>118.32</v>
      </c>
      <c r="I591" s="34" t="n">
        <v>45125</v>
      </c>
      <c r="J591" s="15" t="n">
        <v>12.1</v>
      </c>
      <c r="K591" s="15" t="n">
        <v>18.25</v>
      </c>
      <c r="L591" s="34" t="n">
        <v>45125</v>
      </c>
      <c r="M591" s="15" t="n">
        <v>49.9</v>
      </c>
      <c r="N591" s="15" t="n">
        <v>67.98999999999999</v>
      </c>
      <c r="O591" s="34" t="n">
        <v>45125</v>
      </c>
      <c r="P591" s="15" t="n">
        <v>108.9</v>
      </c>
      <c r="Q591" s="15" t="n">
        <v>114.51</v>
      </c>
      <c r="R591" s="34" t="n">
        <v>45125</v>
      </c>
      <c r="S591" s="15" t="n">
        <v>20.25</v>
      </c>
      <c r="V591" s="15" t="n">
        <v>45.25</v>
      </c>
      <c r="W591" s="15" t="n">
        <v>68.98999999999999</v>
      </c>
      <c r="X591" s="34" t="n">
        <v>45125</v>
      </c>
    </row>
    <row r="592">
      <c r="A592" s="34" t="n">
        <v>45126</v>
      </c>
      <c r="B592" s="266" t="n">
        <v>1.088175058364868</v>
      </c>
      <c r="C592" s="34" t="n">
        <v>45126</v>
      </c>
      <c r="D592" s="15" t="n">
        <v>20.25</v>
      </c>
      <c r="E592" s="15" t="n">
        <v>37.75</v>
      </c>
      <c r="F592" s="34" t="n">
        <v>45126</v>
      </c>
      <c r="G592" s="15" t="n">
        <v>96.2</v>
      </c>
      <c r="H592" s="15" t="n">
        <v>118.07</v>
      </c>
      <c r="I592" s="34" t="n">
        <v>45126</v>
      </c>
      <c r="J592" s="15" t="n">
        <v>12.02</v>
      </c>
      <c r="K592" s="15" t="n">
        <v>17.96</v>
      </c>
      <c r="L592" s="34" t="n">
        <v>45126</v>
      </c>
      <c r="M592" s="15" t="n">
        <v>49.55</v>
      </c>
      <c r="N592" s="15" t="n">
        <v>67.84</v>
      </c>
      <c r="O592" s="34" t="n">
        <v>45126</v>
      </c>
      <c r="P592" s="15" t="n">
        <v>108.2</v>
      </c>
      <c r="Q592" s="15" t="n">
        <v>114.23</v>
      </c>
      <c r="R592" s="34" t="n">
        <v>45126</v>
      </c>
      <c r="S592" s="15" t="n">
        <v>20.5</v>
      </c>
      <c r="V592" s="15" t="n">
        <v>42.8</v>
      </c>
      <c r="W592" s="15" t="n">
        <v>66.91</v>
      </c>
      <c r="X592" s="34" t="n">
        <v>45126</v>
      </c>
    </row>
    <row r="593">
      <c r="A593" s="34" t="n">
        <v>45127</v>
      </c>
      <c r="B593" s="266" t="n">
        <v>1.080250978469849</v>
      </c>
      <c r="C593" s="34" t="n">
        <v>45127</v>
      </c>
      <c r="D593" s="15" t="n">
        <v>19.44</v>
      </c>
      <c r="E593" s="15" t="n">
        <v>37.2</v>
      </c>
      <c r="F593" s="34" t="n">
        <v>45127</v>
      </c>
      <c r="G593" s="15" t="n">
        <v>96.8</v>
      </c>
      <c r="H593" s="15" t="n">
        <v>117.5</v>
      </c>
      <c r="I593" s="34" t="n">
        <v>45127</v>
      </c>
      <c r="J593" s="15" t="n">
        <v>12.46</v>
      </c>
      <c r="K593" s="15" t="n">
        <v>18.31</v>
      </c>
      <c r="L593" s="34" t="n">
        <v>45127</v>
      </c>
      <c r="M593" s="15" t="n">
        <v>49.2</v>
      </c>
      <c r="N593" s="15" t="n">
        <v>68.27</v>
      </c>
      <c r="O593" s="34" t="n">
        <v>45127</v>
      </c>
      <c r="P593" s="15" t="n">
        <v>105.9</v>
      </c>
      <c r="Q593" s="15" t="n">
        <v>113.15</v>
      </c>
      <c r="R593" s="34" t="n">
        <v>45127</v>
      </c>
      <c r="S593" s="15" t="n">
        <v>20.25</v>
      </c>
      <c r="V593" s="15" t="n">
        <v>42.85</v>
      </c>
      <c r="W593" s="15" t="n">
        <v>65.7</v>
      </c>
      <c r="X593" s="34" t="n">
        <v>45127</v>
      </c>
    </row>
    <row r="594">
      <c r="A594" s="34" t="n">
        <v>45128</v>
      </c>
      <c r="B594" s="266" t="n">
        <v>1.088490962982178</v>
      </c>
      <c r="C594" s="34" t="n">
        <v>45128</v>
      </c>
      <c r="D594" s="15" t="n">
        <v>18.8</v>
      </c>
      <c r="E594" s="15" t="n">
        <v>37.2</v>
      </c>
      <c r="F594" s="34" t="n">
        <v>45128</v>
      </c>
      <c r="G594" s="15" t="n">
        <v>95.65000000000001</v>
      </c>
      <c r="H594" s="15" t="n">
        <v>117.88</v>
      </c>
      <c r="I594" s="34" t="n">
        <v>45128</v>
      </c>
      <c r="J594" s="15" t="n">
        <v>12.88</v>
      </c>
      <c r="K594" s="15" t="n">
        <v>18.1</v>
      </c>
      <c r="L594" s="34" t="n">
        <v>45128</v>
      </c>
      <c r="M594" s="15" t="n">
        <v>47.9</v>
      </c>
      <c r="N594" s="15" t="n">
        <v>66.23</v>
      </c>
      <c r="O594" s="34" t="n">
        <v>45128</v>
      </c>
      <c r="P594" s="15" t="n">
        <v>106.3</v>
      </c>
      <c r="Q594" s="15" t="n">
        <v>113.72</v>
      </c>
      <c r="R594" s="34" t="n">
        <v>45128</v>
      </c>
      <c r="S594" s="15" t="n">
        <v>20.7</v>
      </c>
      <c r="V594" s="15" t="n">
        <v>41.9</v>
      </c>
      <c r="W594" s="15" t="n">
        <v>65.31</v>
      </c>
      <c r="X594" s="34" t="n">
        <v>45128</v>
      </c>
    </row>
    <row r="595">
      <c r="A595" s="34" t="n">
        <v>45131</v>
      </c>
      <c r="B595" s="266" t="n">
        <v>1.096070051193237</v>
      </c>
      <c r="C595" s="34" t="n">
        <v>45131</v>
      </c>
      <c r="D595" s="15" t="n">
        <v>18.12</v>
      </c>
      <c r="E595" s="15" t="n">
        <v>37.23</v>
      </c>
      <c r="F595" s="34" t="n">
        <v>45131</v>
      </c>
      <c r="G595" s="15" t="n">
        <v>94.55</v>
      </c>
      <c r="H595" s="15" t="n">
        <v>118.38</v>
      </c>
      <c r="I595" s="34" t="n">
        <v>45131</v>
      </c>
      <c r="J595" s="15" t="n">
        <v>12.76</v>
      </c>
      <c r="K595" s="15" t="n">
        <v>17.76</v>
      </c>
      <c r="L595" s="34" t="n">
        <v>45131</v>
      </c>
      <c r="M595" s="15" t="n">
        <v>45.55</v>
      </c>
      <c r="N595" s="15" t="n">
        <v>63.04</v>
      </c>
      <c r="O595" s="34" t="n">
        <v>45131</v>
      </c>
      <c r="P595" s="15" t="n">
        <v>102.7</v>
      </c>
      <c r="Q595" s="15" t="n">
        <v>111.27</v>
      </c>
      <c r="R595" s="34" t="n">
        <v>45131</v>
      </c>
      <c r="S595" s="15" t="n">
        <v>20.4</v>
      </c>
      <c r="V595" s="15" t="n">
        <v>40</v>
      </c>
      <c r="W595" s="15" t="n">
        <v>63.93</v>
      </c>
      <c r="X595" s="34" t="n">
        <v>45131</v>
      </c>
    </row>
    <row r="596">
      <c r="A596" s="34" t="n">
        <v>45132</v>
      </c>
      <c r="B596" s="266" t="n">
        <v>1.087272047996521</v>
      </c>
      <c r="C596" s="34" t="n">
        <v>45132</v>
      </c>
      <c r="D596" s="15" t="n">
        <v>19.06</v>
      </c>
      <c r="E596" s="15" t="n">
        <v>26.75</v>
      </c>
      <c r="F596" s="34" t="n">
        <v>45132</v>
      </c>
      <c r="G596" s="15" t="n">
        <v>96.5</v>
      </c>
      <c r="H596" s="15" t="n">
        <v>120.31</v>
      </c>
      <c r="I596" s="34" t="n">
        <v>45132</v>
      </c>
      <c r="J596" s="15" t="n">
        <v>12.78</v>
      </c>
      <c r="K596" s="15" t="n">
        <v>17.92</v>
      </c>
      <c r="L596" s="34" t="n">
        <v>45132</v>
      </c>
      <c r="M596" s="15" t="n">
        <v>47.1</v>
      </c>
      <c r="N596" s="15" t="n">
        <v>65.64</v>
      </c>
      <c r="O596" s="34" t="n">
        <v>45132</v>
      </c>
      <c r="P596" s="15" t="n">
        <v>111.7</v>
      </c>
      <c r="Q596" s="15" t="n">
        <v>118.21</v>
      </c>
      <c r="R596" s="34" t="n">
        <v>45132</v>
      </c>
      <c r="S596" s="15" t="n">
        <v>20.1</v>
      </c>
      <c r="V596" s="15" t="n">
        <v>41</v>
      </c>
      <c r="W596" s="15" t="n">
        <v>64.56</v>
      </c>
      <c r="X596" s="34" t="n">
        <v>45132</v>
      </c>
    </row>
    <row r="597">
      <c r="A597" s="34" t="n">
        <v>45133</v>
      </c>
      <c r="B597" s="266" t="n">
        <v>1.094627976417542</v>
      </c>
      <c r="C597" s="34" t="n">
        <v>45133</v>
      </c>
      <c r="D597" s="15" t="n">
        <v>19</v>
      </c>
      <c r="E597" s="15" t="n">
        <v>27.4</v>
      </c>
      <c r="F597" s="34" t="n">
        <v>45133</v>
      </c>
      <c r="G597" s="15" t="n">
        <v>98.15000000000001</v>
      </c>
      <c r="H597" s="15" t="n">
        <v>120.79</v>
      </c>
      <c r="I597" s="34" t="n">
        <v>45133</v>
      </c>
      <c r="J597" s="15" t="n">
        <v>12.3</v>
      </c>
      <c r="K597" s="15" t="n">
        <v>17.7</v>
      </c>
      <c r="L597" s="34" t="n">
        <v>45133</v>
      </c>
      <c r="M597" s="15" t="n">
        <v>47.65</v>
      </c>
      <c r="N597" s="15" t="n">
        <v>65.08</v>
      </c>
      <c r="O597" s="34" t="n">
        <v>45133</v>
      </c>
      <c r="P597" s="15" t="n">
        <v>114.4</v>
      </c>
      <c r="Q597" s="15" t="n">
        <v>118.3</v>
      </c>
      <c r="R597" s="34" t="n">
        <v>45133</v>
      </c>
      <c r="S597" s="15" t="n">
        <v>20</v>
      </c>
      <c r="V597" s="15" t="n">
        <v>39.95</v>
      </c>
      <c r="W597" s="15" t="n">
        <v>63.65</v>
      </c>
      <c r="X597" s="34" t="n">
        <v>45133</v>
      </c>
    </row>
    <row r="598">
      <c r="A598" s="34" t="n">
        <v>45134</v>
      </c>
      <c r="B598" s="266" t="n">
        <v>1.090775966644287</v>
      </c>
      <c r="C598" s="34" t="n">
        <v>45134</v>
      </c>
      <c r="D598" s="15" t="n">
        <v>19.54</v>
      </c>
      <c r="E598" s="15" t="n">
        <v>27.17</v>
      </c>
      <c r="F598" s="34" t="n">
        <v>45134</v>
      </c>
      <c r="G598" s="15" t="n">
        <v>97</v>
      </c>
      <c r="H598" s="15" t="n">
        <v>120.17</v>
      </c>
      <c r="I598" s="34" t="n">
        <v>45134</v>
      </c>
      <c r="J598" s="15" t="n">
        <v>12.3</v>
      </c>
      <c r="K598" s="15" t="n">
        <v>17.33</v>
      </c>
      <c r="L598" s="34" t="n">
        <v>45134</v>
      </c>
      <c r="M598" s="15" t="n">
        <v>47.55</v>
      </c>
      <c r="N598" s="15" t="n">
        <v>64.18000000000001</v>
      </c>
      <c r="O598" s="34" t="n">
        <v>45134</v>
      </c>
      <c r="P598" s="15" t="n">
        <v>118</v>
      </c>
      <c r="Q598" s="15" t="n">
        <v>120.99</v>
      </c>
      <c r="R598" s="34" t="n">
        <v>45134</v>
      </c>
      <c r="S598" s="15" t="n">
        <v>20</v>
      </c>
      <c r="V598" s="15" t="n">
        <v>39.85</v>
      </c>
      <c r="W598" s="15" t="n">
        <v>62.73</v>
      </c>
      <c r="X598" s="34" t="n">
        <v>45134</v>
      </c>
    </row>
    <row r="599">
      <c r="A599" s="34" t="n">
        <v>45135</v>
      </c>
      <c r="B599" s="266" t="n">
        <v>1.087054014205933</v>
      </c>
      <c r="C599" s="34" t="n">
        <v>45135</v>
      </c>
      <c r="D599" s="15" t="n">
        <v>20.45</v>
      </c>
      <c r="E599" s="15" t="n">
        <v>27.74</v>
      </c>
      <c r="F599" s="34" t="n">
        <v>45135</v>
      </c>
      <c r="G599" s="15" t="n">
        <v>99.15000000000001</v>
      </c>
      <c r="H599" s="15" t="n">
        <v>122.79</v>
      </c>
      <c r="I599" s="34" t="n">
        <v>45135</v>
      </c>
      <c r="J599" s="15" t="n">
        <v>12.14</v>
      </c>
      <c r="K599" s="15" t="n">
        <v>17.5</v>
      </c>
      <c r="L599" s="34" t="n">
        <v>45135</v>
      </c>
      <c r="M599" s="15" t="n">
        <v>48.75</v>
      </c>
      <c r="N599" s="15" t="n">
        <v>65.16</v>
      </c>
      <c r="O599" s="34" t="n">
        <v>45135</v>
      </c>
      <c r="P599" s="15" t="n">
        <v>125.8</v>
      </c>
      <c r="Q599" s="15" t="n">
        <v>125.97</v>
      </c>
      <c r="R599" s="34" t="n">
        <v>45135</v>
      </c>
      <c r="S599" s="15" t="n">
        <v>19.98</v>
      </c>
      <c r="V599" s="15" t="n">
        <v>40.6</v>
      </c>
      <c r="W599" s="15" t="n">
        <v>63.96</v>
      </c>
      <c r="X599" s="34" t="n">
        <v>45135</v>
      </c>
    </row>
    <row r="600">
      <c r="A600" s="34" t="n">
        <v>45138</v>
      </c>
      <c r="B600" s="266" t="n">
        <v>1.097965002059937</v>
      </c>
      <c r="C600" s="34" t="n">
        <v>45138</v>
      </c>
      <c r="D600" s="15" t="n">
        <v>20.4</v>
      </c>
      <c r="E600" s="15" t="n">
        <v>28.03</v>
      </c>
      <c r="F600" s="34" t="n">
        <v>45138</v>
      </c>
      <c r="G600" s="15" t="n">
        <v>99</v>
      </c>
      <c r="H600" s="15" t="n">
        <v>124.6</v>
      </c>
      <c r="I600" s="34" t="n">
        <v>45138</v>
      </c>
      <c r="J600" s="15" t="n">
        <v>12.28</v>
      </c>
      <c r="K600" s="15" t="n">
        <v>17.7</v>
      </c>
      <c r="L600" s="34" t="n">
        <v>45138</v>
      </c>
      <c r="M600" s="15" t="n">
        <v>48.5</v>
      </c>
      <c r="N600" s="15" t="n">
        <v>66.55</v>
      </c>
      <c r="O600" s="34" t="n">
        <v>45138</v>
      </c>
      <c r="P600" s="15" t="n">
        <v>124.3</v>
      </c>
      <c r="Q600" s="15" t="n">
        <v>125.77</v>
      </c>
      <c r="R600" s="34" t="n">
        <v>45138</v>
      </c>
      <c r="S600" s="15" t="n">
        <v>19.66</v>
      </c>
      <c r="V600" s="15" t="n">
        <v>41.15</v>
      </c>
      <c r="W600" s="15" t="n">
        <v>63.96</v>
      </c>
      <c r="X600" s="34" t="n">
        <v>45138</v>
      </c>
    </row>
    <row r="601">
      <c r="A601" s="34" t="n">
        <v>45139</v>
      </c>
      <c r="B601" s="266" t="n">
        <v>1.096930980682373</v>
      </c>
      <c r="C601" s="34" t="n">
        <v>45139</v>
      </c>
      <c r="D601" s="15" t="n">
        <v>19.64</v>
      </c>
      <c r="E601" s="15" t="n">
        <v>27.66</v>
      </c>
      <c r="F601" s="34" t="n">
        <v>45139</v>
      </c>
      <c r="G601" s="15" t="n">
        <v>100</v>
      </c>
      <c r="H601" s="15" t="n">
        <v>125.79</v>
      </c>
      <c r="I601" s="34" t="n">
        <v>45139</v>
      </c>
      <c r="J601" s="15" t="n">
        <v>12.46</v>
      </c>
      <c r="K601" s="15" t="n">
        <v>18.26</v>
      </c>
      <c r="L601" s="34" t="n">
        <v>45139</v>
      </c>
      <c r="M601" s="15" t="n">
        <v>48.7</v>
      </c>
      <c r="N601" s="15" t="n">
        <v>66.28</v>
      </c>
      <c r="O601" s="34" t="n">
        <v>45139</v>
      </c>
      <c r="P601" s="15" t="n">
        <v>120.5</v>
      </c>
      <c r="Q601" s="15" t="n">
        <v>123.64</v>
      </c>
      <c r="R601" s="34" t="n">
        <v>45139</v>
      </c>
      <c r="S601" s="15" t="n">
        <v>19.52</v>
      </c>
      <c r="V601" s="15" t="n">
        <v>40.4</v>
      </c>
      <c r="W601" s="15" t="n">
        <v>63.56</v>
      </c>
      <c r="X601" s="34" t="n">
        <v>45139</v>
      </c>
    </row>
    <row r="602">
      <c r="A602" s="34" t="n">
        <v>45140</v>
      </c>
      <c r="B602" s="266" t="n">
        <v>1.092203974723816</v>
      </c>
      <c r="C602" s="34" t="n">
        <v>45140</v>
      </c>
      <c r="D602" s="15" t="n">
        <v>18.94</v>
      </c>
      <c r="E602" s="15" t="n">
        <v>27.6</v>
      </c>
      <c r="F602" s="34" t="n">
        <v>45140</v>
      </c>
      <c r="G602" s="15" t="n">
        <v>98</v>
      </c>
      <c r="H602" s="15" t="n">
        <v>125.46</v>
      </c>
      <c r="I602" s="34" t="n">
        <v>45140</v>
      </c>
      <c r="J602" s="15" t="n">
        <v>11.96</v>
      </c>
      <c r="K602" s="15" t="n">
        <v>18.11</v>
      </c>
      <c r="L602" s="34" t="n">
        <v>45140</v>
      </c>
      <c r="M602" s="15" t="n">
        <v>47.85</v>
      </c>
      <c r="N602" s="15" t="n">
        <v>65.41</v>
      </c>
      <c r="O602" s="34" t="n">
        <v>45140</v>
      </c>
      <c r="P602" s="15" t="n">
        <v>119.6</v>
      </c>
      <c r="Q602" s="15" t="n">
        <v>122.94</v>
      </c>
      <c r="R602" s="34" t="n">
        <v>45140</v>
      </c>
      <c r="S602" s="15" t="n">
        <v>19.08</v>
      </c>
      <c r="V602" s="15" t="n">
        <v>40.15</v>
      </c>
      <c r="W602" s="15" t="n">
        <v>62.69</v>
      </c>
      <c r="X602" s="34" t="n">
        <v>45140</v>
      </c>
    </row>
    <row r="603">
      <c r="A603" s="34" t="n">
        <v>45141</v>
      </c>
      <c r="B603" s="266" t="n">
        <v>1.090474963188171</v>
      </c>
      <c r="C603" s="34" t="n">
        <v>45141</v>
      </c>
      <c r="D603" s="15" t="n">
        <v>19.5</v>
      </c>
      <c r="E603" s="15" t="n">
        <v>28.27</v>
      </c>
      <c r="F603" s="34" t="n">
        <v>45141</v>
      </c>
      <c r="G603" s="15" t="n">
        <v>101.1</v>
      </c>
      <c r="H603" s="15" t="n">
        <v>132.54</v>
      </c>
      <c r="I603" s="34" t="n">
        <v>45141</v>
      </c>
      <c r="J603" s="15" t="n">
        <v>11.7</v>
      </c>
      <c r="K603" s="15" t="n">
        <v>17.93</v>
      </c>
      <c r="L603" s="34" t="n">
        <v>45141</v>
      </c>
      <c r="M603" s="15" t="n">
        <v>49.3</v>
      </c>
      <c r="N603" s="15" t="n">
        <v>65.77</v>
      </c>
      <c r="O603" s="34" t="n">
        <v>45141</v>
      </c>
      <c r="P603" s="15" t="n">
        <v>120.2</v>
      </c>
      <c r="Q603" s="15" t="n">
        <v>124.13</v>
      </c>
      <c r="R603" s="34" t="n">
        <v>45141</v>
      </c>
      <c r="S603" s="15" t="n">
        <v>19</v>
      </c>
      <c r="V603" s="15" t="n">
        <v>39.7</v>
      </c>
      <c r="W603" s="15" t="n">
        <v>62.26</v>
      </c>
      <c r="X603" s="34" t="n">
        <v>45141</v>
      </c>
    </row>
    <row r="604">
      <c r="A604" s="34" t="n">
        <v>45142</v>
      </c>
      <c r="B604" s="266" t="n">
        <v>1.09414005279541</v>
      </c>
      <c r="C604" s="34" t="n">
        <v>45142</v>
      </c>
      <c r="D604" s="15" t="n">
        <v>19.8</v>
      </c>
      <c r="E604" s="15" t="n">
        <v>27.74</v>
      </c>
      <c r="F604" s="34" t="n">
        <v>45142</v>
      </c>
      <c r="G604" s="15" t="n">
        <v>100.1</v>
      </c>
      <c r="H604" s="15" t="n">
        <v>130.01</v>
      </c>
      <c r="I604" s="34" t="n">
        <v>45142</v>
      </c>
      <c r="J604" s="15" t="n">
        <v>11.56</v>
      </c>
      <c r="K604" s="15" t="n">
        <v>17.67</v>
      </c>
      <c r="L604" s="34" t="n">
        <v>45142</v>
      </c>
      <c r="M604" s="15" t="n">
        <v>48.6</v>
      </c>
      <c r="N604" s="15" t="n">
        <v>66.34</v>
      </c>
      <c r="O604" s="34" t="n">
        <v>45142</v>
      </c>
      <c r="P604" s="15" t="n">
        <v>125.4</v>
      </c>
      <c r="Q604" s="15" t="n">
        <v>125.86</v>
      </c>
      <c r="R604" s="34" t="n">
        <v>45142</v>
      </c>
      <c r="S604" s="15" t="n">
        <v>19.06</v>
      </c>
      <c r="V604" s="15" t="n">
        <v>39.9</v>
      </c>
      <c r="W604" s="15" t="n">
        <v>61.82</v>
      </c>
      <c r="X604" s="34" t="n">
        <v>45142</v>
      </c>
    </row>
    <row r="605">
      <c r="A605" s="34" t="n">
        <v>45145</v>
      </c>
      <c r="B605" s="266" t="n">
        <v>1.098598957061768</v>
      </c>
      <c r="C605" s="34" t="n">
        <v>45145</v>
      </c>
      <c r="D605" s="15" t="n">
        <v>18.48</v>
      </c>
      <c r="E605" s="15" t="n">
        <v>27.34</v>
      </c>
      <c r="F605" s="34" t="n">
        <v>45145</v>
      </c>
      <c r="G605" s="15" t="n">
        <v>98.15000000000001</v>
      </c>
      <c r="H605" s="15" t="n">
        <v>128.5</v>
      </c>
      <c r="I605" s="34" t="n">
        <v>45145</v>
      </c>
      <c r="J605" s="15" t="n">
        <v>12</v>
      </c>
      <c r="K605" s="15" t="n">
        <v>18.17</v>
      </c>
      <c r="L605" s="34" t="n">
        <v>45145</v>
      </c>
      <c r="M605" s="15" t="n">
        <v>49.3</v>
      </c>
      <c r="N605" s="15" t="n">
        <v>65.65000000000001</v>
      </c>
      <c r="O605" s="34" t="n">
        <v>45145</v>
      </c>
      <c r="P605" s="15" t="n">
        <v>121.5</v>
      </c>
      <c r="Q605" s="15" t="n">
        <v>124.96</v>
      </c>
      <c r="R605" s="34" t="n">
        <v>45145</v>
      </c>
      <c r="S605" s="15" t="n">
        <v>19</v>
      </c>
      <c r="V605" s="15" t="n">
        <v>39.05</v>
      </c>
      <c r="W605" s="15" t="n">
        <v>61</v>
      </c>
      <c r="X605" s="34" t="n">
        <v>45145</v>
      </c>
    </row>
    <row r="606">
      <c r="A606" s="34" t="n">
        <v>45146</v>
      </c>
      <c r="B606" s="266" t="n">
        <v>1.091063976287842</v>
      </c>
      <c r="C606" s="34" t="n">
        <v>45146</v>
      </c>
      <c r="D606" s="15" t="n">
        <v>18.14</v>
      </c>
      <c r="E606" s="15" t="n">
        <v>27.09</v>
      </c>
      <c r="F606" s="34" t="n">
        <v>45146</v>
      </c>
      <c r="G606" s="15" t="n">
        <v>97.84999999999999</v>
      </c>
      <c r="H606" s="15" t="n">
        <v>128.5</v>
      </c>
      <c r="I606" s="34" t="n">
        <v>45146</v>
      </c>
      <c r="J606" s="15" t="n">
        <v>11.58</v>
      </c>
      <c r="K606" s="15" t="n">
        <v>18.01</v>
      </c>
      <c r="L606" s="34" t="n">
        <v>45146</v>
      </c>
      <c r="M606" s="15" t="n">
        <v>47.85</v>
      </c>
      <c r="N606" s="15" t="n">
        <v>65.73</v>
      </c>
      <c r="O606" s="34" t="n">
        <v>45146</v>
      </c>
      <c r="P606" s="15" t="n">
        <v>119.8</v>
      </c>
      <c r="Q606" s="15" t="n">
        <v>123.85</v>
      </c>
      <c r="R606" s="34" t="n">
        <v>45146</v>
      </c>
      <c r="S606" s="15" t="n">
        <v>18.4</v>
      </c>
      <c r="V606" s="15" t="n">
        <v>41.55</v>
      </c>
      <c r="W606" s="15" t="n">
        <v>62.63</v>
      </c>
      <c r="X606" s="34" t="n">
        <v>45146</v>
      </c>
    </row>
    <row r="607">
      <c r="A607" s="34" t="n">
        <v>45147</v>
      </c>
      <c r="B607" s="266" t="n">
        <v>1.087746977806091</v>
      </c>
      <c r="C607" s="34" t="n">
        <v>45147</v>
      </c>
      <c r="D607" s="15" t="n">
        <v>18.86</v>
      </c>
      <c r="E607" s="15" t="n">
        <v>28.46</v>
      </c>
      <c r="F607" s="34" t="n">
        <v>45147</v>
      </c>
      <c r="G607" s="15" t="n">
        <v>99.5</v>
      </c>
      <c r="H607" s="15" t="n">
        <v>130.77</v>
      </c>
      <c r="I607" s="34" t="n">
        <v>45147</v>
      </c>
      <c r="J607" s="15" t="n">
        <v>11.64</v>
      </c>
      <c r="K607" s="15" t="n">
        <v>18.32</v>
      </c>
      <c r="L607" s="34" t="n">
        <v>45147</v>
      </c>
      <c r="M607" s="15" t="n">
        <v>47.5</v>
      </c>
      <c r="N607" s="15" t="n">
        <v>64.91</v>
      </c>
      <c r="O607" s="34" t="n">
        <v>45147</v>
      </c>
      <c r="P607" s="15" t="n">
        <v>120</v>
      </c>
      <c r="Q607" s="15" t="n">
        <v>123.47</v>
      </c>
      <c r="R607" s="34" t="n">
        <v>45147</v>
      </c>
      <c r="S607" s="15" t="n">
        <v>18.34</v>
      </c>
      <c r="V607" s="15" t="n">
        <v>40.1</v>
      </c>
      <c r="W607" s="15" t="n">
        <v>60.29</v>
      </c>
      <c r="X607" s="34" t="n">
        <v>45147</v>
      </c>
    </row>
    <row r="608">
      <c r="A608" s="34" t="n">
        <v>45148</v>
      </c>
      <c r="B608" s="266" t="n">
        <v>1.089905977249146</v>
      </c>
      <c r="C608" s="34" t="n">
        <v>45148</v>
      </c>
      <c r="D608" s="15" t="n">
        <v>18.76</v>
      </c>
      <c r="E608" s="15" t="n">
        <v>28.28</v>
      </c>
      <c r="F608" s="34" t="n">
        <v>45148</v>
      </c>
      <c r="G608" s="15" t="n">
        <v>97.09999999999999</v>
      </c>
      <c r="H608" s="15" t="n">
        <v>130.79</v>
      </c>
      <c r="I608" s="34" t="n">
        <v>45148</v>
      </c>
      <c r="J608" s="15" t="n">
        <v>11.66</v>
      </c>
      <c r="K608" s="15" t="n">
        <v>18.24</v>
      </c>
      <c r="L608" s="34" t="n">
        <v>45148</v>
      </c>
      <c r="M608" s="15" t="n">
        <v>48.25</v>
      </c>
      <c r="N608" s="15" t="n">
        <v>65.28</v>
      </c>
      <c r="O608" s="34" t="n">
        <v>45148</v>
      </c>
      <c r="P608" s="15" t="n">
        <v>116.4</v>
      </c>
      <c r="Q608" s="15" t="n">
        <v>122.62</v>
      </c>
      <c r="R608" s="34" t="n">
        <v>45148</v>
      </c>
      <c r="S608" s="15" t="n">
        <v>17.78</v>
      </c>
      <c r="V608" s="15" t="n">
        <v>41.5</v>
      </c>
      <c r="W608" s="15" t="n">
        <v>61.46</v>
      </c>
      <c r="X608" s="34" t="n">
        <v>45148</v>
      </c>
    </row>
    <row r="609">
      <c r="A609" s="34" t="n">
        <v>45149</v>
      </c>
      <c r="B609" s="266" t="n">
        <v>1.086997985839844</v>
      </c>
      <c r="C609" s="34" t="n">
        <v>45149</v>
      </c>
      <c r="D609" s="15" t="n">
        <v>18.14</v>
      </c>
      <c r="E609" s="15" t="n">
        <v>27.39</v>
      </c>
      <c r="F609" s="34" t="n">
        <v>45149</v>
      </c>
      <c r="G609" s="15" t="n">
        <v>97.15000000000001</v>
      </c>
      <c r="H609" s="15" t="n">
        <v>129.27</v>
      </c>
      <c r="I609" s="34" t="n">
        <v>45149</v>
      </c>
      <c r="J609" s="15" t="n">
        <v>11.1</v>
      </c>
      <c r="K609" s="15" t="n">
        <v>17.71</v>
      </c>
      <c r="L609" s="34" t="n">
        <v>45149</v>
      </c>
      <c r="M609" s="15" t="n">
        <v>47.4</v>
      </c>
      <c r="N609" s="15" t="n">
        <v>63.77</v>
      </c>
      <c r="O609" s="34" t="n">
        <v>45149</v>
      </c>
      <c r="P609" s="15" t="n">
        <v>112.6</v>
      </c>
      <c r="Q609" s="15" t="n">
        <v>120.5</v>
      </c>
      <c r="R609" s="34" t="n">
        <v>45149</v>
      </c>
      <c r="S609" s="15" t="n">
        <v>16.56</v>
      </c>
      <c r="V609" s="15" t="n">
        <v>40.15</v>
      </c>
      <c r="W609" s="15" t="n">
        <v>59.4</v>
      </c>
      <c r="X609" s="34" t="n">
        <v>45149</v>
      </c>
    </row>
    <row r="610">
      <c r="A610" s="34" t="n">
        <v>45152</v>
      </c>
      <c r="B610" s="266" t="n">
        <v>1.081287026405334</v>
      </c>
      <c r="C610" s="34" t="n">
        <v>45152</v>
      </c>
      <c r="D610" s="15" t="n">
        <v>17.8</v>
      </c>
      <c r="E610" s="15" t="n">
        <v>26.8</v>
      </c>
      <c r="F610" s="34" t="n">
        <v>45152</v>
      </c>
      <c r="G610" s="15" t="n">
        <v>96.3</v>
      </c>
      <c r="H610" s="15" t="n">
        <v>127.88</v>
      </c>
      <c r="I610" s="34" t="n">
        <v>45152</v>
      </c>
      <c r="J610" s="15" t="n">
        <v>11.06</v>
      </c>
      <c r="K610" s="15" t="n">
        <v>17.64</v>
      </c>
      <c r="L610" s="34" t="n">
        <v>45152</v>
      </c>
      <c r="M610" s="15" t="n">
        <v>47.05</v>
      </c>
      <c r="N610" s="15" t="n">
        <v>62.17</v>
      </c>
      <c r="O610" s="34" t="n">
        <v>45152</v>
      </c>
      <c r="P610" s="15" t="n">
        <v>110.3</v>
      </c>
      <c r="Q610" s="15" t="n">
        <v>118.28</v>
      </c>
      <c r="R610" s="34" t="n">
        <v>45152</v>
      </c>
      <c r="S610" s="15" t="n">
        <v>15.36</v>
      </c>
      <c r="V610" s="15" t="n">
        <v>41</v>
      </c>
      <c r="W610" s="15" t="n">
        <v>58.62</v>
      </c>
      <c r="X610" s="34" t="n">
        <v>45152</v>
      </c>
    </row>
    <row r="611">
      <c r="A611" s="34" t="n">
        <v>45153</v>
      </c>
      <c r="B611" s="266" t="n">
        <v>1.08362603187561</v>
      </c>
      <c r="C611" s="34" t="n">
        <v>45153</v>
      </c>
      <c r="D611" s="15" t="n">
        <v>17.88</v>
      </c>
      <c r="E611" s="15" t="n">
        <v>26.51</v>
      </c>
      <c r="F611" s="34" t="n">
        <v>45153</v>
      </c>
      <c r="G611" s="15" t="n">
        <v>95.8</v>
      </c>
      <c r="H611" s="15" t="n">
        <v>128.12</v>
      </c>
      <c r="I611" s="34" t="n">
        <v>45153</v>
      </c>
      <c r="J611" s="15" t="n">
        <v>11.08</v>
      </c>
      <c r="K611" s="15" t="n">
        <v>17.44</v>
      </c>
      <c r="L611" s="34" t="n">
        <v>45153</v>
      </c>
      <c r="M611" s="15" t="n">
        <v>46.1</v>
      </c>
      <c r="N611" s="15" t="n">
        <v>61.66</v>
      </c>
      <c r="O611" s="34" t="n">
        <v>45153</v>
      </c>
      <c r="P611" s="15" t="n">
        <v>108.7</v>
      </c>
      <c r="Q611" s="15" t="n">
        <v>116.1</v>
      </c>
      <c r="R611" s="34" t="n">
        <v>45153</v>
      </c>
      <c r="S611" s="15" t="n">
        <v>15.9</v>
      </c>
      <c r="V611" s="15" t="n">
        <v>41.15</v>
      </c>
      <c r="W611" s="15" t="n">
        <v>57.6</v>
      </c>
      <c r="X611" s="34" t="n">
        <v>45153</v>
      </c>
    </row>
    <row r="612">
      <c r="A612" s="34" t="n">
        <v>45154</v>
      </c>
      <c r="B612" s="266" t="n">
        <v>1.077635049819946</v>
      </c>
      <c r="C612" s="34" t="n">
        <v>45154</v>
      </c>
      <c r="D612" s="15" t="n">
        <v>17.58</v>
      </c>
      <c r="E612" s="15" t="n">
        <v>25.99</v>
      </c>
      <c r="F612" s="34" t="n">
        <v>45154</v>
      </c>
      <c r="G612" s="15" t="n">
        <v>94.84999999999999</v>
      </c>
      <c r="H612" s="15" t="n">
        <v>127</v>
      </c>
      <c r="I612" s="34" t="n">
        <v>45154</v>
      </c>
      <c r="J612" s="15" t="n">
        <v>10.66</v>
      </c>
      <c r="K612" s="15" t="n">
        <v>17.04</v>
      </c>
      <c r="L612" s="34" t="n">
        <v>45154</v>
      </c>
      <c r="M612" s="15" t="n">
        <v>45.05</v>
      </c>
      <c r="N612" s="15" t="n">
        <v>60.81</v>
      </c>
      <c r="O612" s="34" t="n">
        <v>45154</v>
      </c>
      <c r="P612" s="15" t="n">
        <v>111.1</v>
      </c>
      <c r="Q612" s="15" t="n">
        <v>116.81</v>
      </c>
      <c r="R612" s="34" t="n">
        <v>45154</v>
      </c>
      <c r="S612" s="15" t="n">
        <v>15.4</v>
      </c>
      <c r="V612" s="15" t="n">
        <v>40</v>
      </c>
      <c r="W612" s="15" t="n">
        <v>57.19</v>
      </c>
      <c r="X612" s="34" t="n">
        <v>45154</v>
      </c>
    </row>
    <row r="613">
      <c r="A613" s="34" t="n">
        <v>45155</v>
      </c>
      <c r="B613" s="266" t="n">
        <v>1.081539988517761</v>
      </c>
      <c r="C613" s="34" t="n">
        <v>45155</v>
      </c>
      <c r="D613" s="15" t="n">
        <v>17.42</v>
      </c>
      <c r="E613" s="15" t="n">
        <v>26.08</v>
      </c>
      <c r="F613" s="34" t="n">
        <v>45155</v>
      </c>
      <c r="G613" s="15" t="n">
        <v>93.5</v>
      </c>
      <c r="H613" s="15" t="n">
        <v>126.18</v>
      </c>
      <c r="I613" s="34" t="n">
        <v>45155</v>
      </c>
      <c r="J613" s="15" t="n">
        <v>10.8</v>
      </c>
      <c r="K613" s="15" t="n">
        <v>17.2</v>
      </c>
      <c r="L613" s="34" t="n">
        <v>45155</v>
      </c>
      <c r="M613" s="15" t="n">
        <v>46</v>
      </c>
      <c r="N613" s="15" t="n">
        <v>60.86</v>
      </c>
      <c r="O613" s="34" t="n">
        <v>45155</v>
      </c>
      <c r="P613" s="15" t="n">
        <v>115.5</v>
      </c>
      <c r="Q613" s="15" t="n">
        <v>120.03</v>
      </c>
      <c r="R613" s="34" t="n">
        <v>45155</v>
      </c>
      <c r="S613" s="15" t="n">
        <v>15.68</v>
      </c>
      <c r="V613" s="15" t="n">
        <v>40.45</v>
      </c>
      <c r="W613" s="15" t="n">
        <v>57.98</v>
      </c>
      <c r="X613" s="34" t="n">
        <v>45155</v>
      </c>
    </row>
    <row r="614">
      <c r="A614" s="34" t="n">
        <v>45156</v>
      </c>
      <c r="B614" s="266" t="n">
        <v>1.085598945617676</v>
      </c>
      <c r="C614" s="34" t="n">
        <v>45156</v>
      </c>
      <c r="D614" s="15" t="n">
        <v>16.9</v>
      </c>
      <c r="E614" s="15" t="n">
        <v>25.38</v>
      </c>
      <c r="F614" s="34" t="n">
        <v>45156</v>
      </c>
      <c r="G614" s="15" t="n">
        <v>90</v>
      </c>
      <c r="H614" s="15" t="n">
        <v>123.5</v>
      </c>
      <c r="I614" s="34" t="n">
        <v>45156</v>
      </c>
      <c r="J614" s="15" t="n">
        <v>10.84</v>
      </c>
      <c r="K614" s="15" t="n">
        <v>17.17</v>
      </c>
      <c r="L614" s="34" t="n">
        <v>45156</v>
      </c>
      <c r="M614" s="15" t="n">
        <v>44.7</v>
      </c>
      <c r="N614" s="15" t="n">
        <v>59.12</v>
      </c>
      <c r="O614" s="34" t="n">
        <v>45156</v>
      </c>
      <c r="P614" s="15" t="n">
        <v>111.1</v>
      </c>
      <c r="Q614" s="15" t="n">
        <v>114.09</v>
      </c>
      <c r="R614" s="34" t="n">
        <v>45156</v>
      </c>
      <c r="S614" s="15" t="n">
        <v>15.22</v>
      </c>
      <c r="V614" s="15" t="n">
        <v>39.05</v>
      </c>
      <c r="W614" s="15" t="n">
        <v>57</v>
      </c>
      <c r="X614" s="34" t="n">
        <v>45156</v>
      </c>
    </row>
    <row r="615">
      <c r="A615" s="34" t="n">
        <v>45159</v>
      </c>
      <c r="B615" s="266" t="n">
        <v>1.086933016777039</v>
      </c>
      <c r="C615" s="34" t="n">
        <v>45159</v>
      </c>
      <c r="D615" s="15" t="n">
        <v>16.72</v>
      </c>
      <c r="E615" s="15" t="n">
        <v>25.06</v>
      </c>
      <c r="F615" s="34" t="n">
        <v>45159</v>
      </c>
      <c r="G615" s="15" t="n">
        <v>88.5</v>
      </c>
      <c r="H615" s="15" t="n">
        <v>121.84</v>
      </c>
      <c r="I615" s="34" t="n">
        <v>45159</v>
      </c>
      <c r="J615" s="15" t="n">
        <v>10.62</v>
      </c>
      <c r="K615" s="15" t="n">
        <v>17.08</v>
      </c>
      <c r="L615" s="34" t="n">
        <v>45159</v>
      </c>
      <c r="M615" s="15" t="n">
        <v>43.8</v>
      </c>
      <c r="N615" s="15" t="n">
        <v>58.68</v>
      </c>
      <c r="O615" s="34" t="n">
        <v>45159</v>
      </c>
      <c r="P615" s="15" t="n">
        <v>112.1</v>
      </c>
      <c r="Q615" s="15" t="n">
        <v>116</v>
      </c>
      <c r="R615" s="34" t="n">
        <v>45159</v>
      </c>
      <c r="S615" s="15" t="n">
        <v>15.36</v>
      </c>
      <c r="V615" s="15" t="n">
        <v>37.5</v>
      </c>
      <c r="W615" s="15" t="n">
        <v>55.66</v>
      </c>
      <c r="X615" s="34" t="n">
        <v>45159</v>
      </c>
    </row>
    <row r="616">
      <c r="A616" s="34" t="n">
        <v>45160</v>
      </c>
      <c r="B616" s="266" t="n">
        <v>1.089496970176697</v>
      </c>
      <c r="C616" s="34" t="n">
        <v>45160</v>
      </c>
      <c r="D616" s="15" t="n">
        <v>16.32</v>
      </c>
      <c r="E616" s="15" t="n">
        <v>24.93</v>
      </c>
      <c r="F616" s="34" t="n">
        <v>45160</v>
      </c>
      <c r="G616" s="15" t="n">
        <v>89.05</v>
      </c>
      <c r="H616" s="15" t="n">
        <v>120.69</v>
      </c>
      <c r="I616" s="34" t="n">
        <v>45160</v>
      </c>
      <c r="J616" s="15" t="n">
        <v>10.56</v>
      </c>
      <c r="K616" s="15" t="n">
        <v>17.21</v>
      </c>
      <c r="L616" s="34" t="n">
        <v>45160</v>
      </c>
      <c r="M616" s="15" t="n">
        <v>44.55</v>
      </c>
      <c r="N616" s="15" t="n">
        <v>59.16</v>
      </c>
      <c r="O616" s="34" t="n">
        <v>45160</v>
      </c>
      <c r="P616" s="15" t="n">
        <v>110.7</v>
      </c>
      <c r="Q616" s="15" t="n">
        <v>113.09</v>
      </c>
      <c r="R616" s="34" t="n">
        <v>45160</v>
      </c>
      <c r="S616" s="15" t="n">
        <v>15.36</v>
      </c>
      <c r="V616" s="15" t="n">
        <v>37.95</v>
      </c>
      <c r="W616" s="15" t="n">
        <v>55.77</v>
      </c>
      <c r="X616" s="34" t="n">
        <v>45160</v>
      </c>
    </row>
    <row r="617">
      <c r="A617" s="34" t="n">
        <v>45161</v>
      </c>
      <c r="B617" s="266" t="n">
        <v>1.088055968284607</v>
      </c>
      <c r="C617" s="34" t="n">
        <v>45161</v>
      </c>
      <c r="D617" s="15" t="n">
        <v>15.7</v>
      </c>
      <c r="E617" s="15" t="n">
        <v>23.88</v>
      </c>
      <c r="F617" s="34" t="n">
        <v>45161</v>
      </c>
      <c r="G617" s="15" t="n">
        <v>89.45</v>
      </c>
      <c r="H617" s="15" t="n">
        <v>119.03</v>
      </c>
      <c r="I617" s="34" t="n">
        <v>45161</v>
      </c>
      <c r="J617" s="15" t="n">
        <v>10.18</v>
      </c>
      <c r="K617" s="15" t="n">
        <v>16.71</v>
      </c>
      <c r="L617" s="34" t="n">
        <v>45161</v>
      </c>
      <c r="M617" s="15" t="n">
        <v>43.45</v>
      </c>
      <c r="N617" s="15" t="n">
        <v>57.4</v>
      </c>
      <c r="O617" s="34" t="n">
        <v>45161</v>
      </c>
      <c r="P617" s="15" t="n">
        <v>107.6</v>
      </c>
      <c r="Q617" s="15" t="n">
        <v>110.34</v>
      </c>
      <c r="R617" s="34" t="n">
        <v>45161</v>
      </c>
      <c r="S617" s="15" t="n">
        <v>15.04</v>
      </c>
      <c r="V617" s="15" t="n">
        <v>38.75</v>
      </c>
      <c r="W617" s="15" t="n">
        <v>54.3</v>
      </c>
      <c r="X617" s="34" t="n">
        <v>45161</v>
      </c>
    </row>
    <row r="618">
      <c r="A618" s="34" t="n">
        <v>45162</v>
      </c>
      <c r="B618" s="266" t="n">
        <v>1.091747045516968</v>
      </c>
      <c r="C618" s="34" t="n">
        <v>45162</v>
      </c>
      <c r="D618" s="15" t="n">
        <v>16.5</v>
      </c>
      <c r="E618" s="15" t="n">
        <v>24.86</v>
      </c>
      <c r="F618" s="34" t="n">
        <v>45162</v>
      </c>
      <c r="G618" s="15" t="n">
        <v>93.3</v>
      </c>
      <c r="H618" s="15" t="n">
        <v>126.3</v>
      </c>
      <c r="I618" s="34" t="n">
        <v>45162</v>
      </c>
      <c r="J618" s="15" t="n">
        <v>10.18</v>
      </c>
      <c r="K618" s="15" t="n">
        <v>16.56</v>
      </c>
      <c r="L618" s="34" t="n">
        <v>45162</v>
      </c>
      <c r="M618" s="15" t="n">
        <v>44.35</v>
      </c>
      <c r="N618" s="15" t="n">
        <v>58.2</v>
      </c>
      <c r="O618" s="34" t="n">
        <v>45162</v>
      </c>
      <c r="P618" s="15" t="n">
        <v>108.8</v>
      </c>
      <c r="Q618" s="15" t="n">
        <v>111.95</v>
      </c>
      <c r="R618" s="34" t="n">
        <v>45162</v>
      </c>
      <c r="S618" s="15" t="n">
        <v>16.88</v>
      </c>
      <c r="V618" s="15" t="n">
        <v>39</v>
      </c>
      <c r="W618" s="15" t="n">
        <v>54.3</v>
      </c>
      <c r="X618" s="34" t="n">
        <v>45162</v>
      </c>
    </row>
    <row r="619">
      <c r="A619" s="34" t="n">
        <v>45163</v>
      </c>
      <c r="B619" s="266" t="n">
        <v>1.091843008995056</v>
      </c>
      <c r="C619" s="34" t="n">
        <v>45163</v>
      </c>
      <c r="D619" s="15" t="n">
        <v>16.06</v>
      </c>
      <c r="E619" s="15" t="n">
        <v>24.14</v>
      </c>
      <c r="F619" s="34" t="n">
        <v>45163</v>
      </c>
      <c r="G619" s="15" t="n">
        <v>93.84999999999999</v>
      </c>
      <c r="H619" s="15" t="n">
        <v>127.45</v>
      </c>
      <c r="I619" s="34" t="n">
        <v>45163</v>
      </c>
      <c r="J619" s="15" t="n">
        <v>10</v>
      </c>
      <c r="K619" s="15" t="n">
        <v>16.22</v>
      </c>
      <c r="L619" s="34" t="n">
        <v>45163</v>
      </c>
      <c r="M619" s="15" t="n">
        <v>44.15</v>
      </c>
      <c r="N619" s="15" t="n">
        <v>57</v>
      </c>
      <c r="O619" s="34" t="n">
        <v>45163</v>
      </c>
      <c r="P619" s="15" t="n">
        <v>105.8</v>
      </c>
      <c r="Q619" s="15" t="n">
        <v>107.5</v>
      </c>
      <c r="R619" s="34" t="n">
        <v>45163</v>
      </c>
      <c r="S619" s="15" t="n">
        <v>16</v>
      </c>
      <c r="V619" s="15" t="n">
        <v>38.5</v>
      </c>
      <c r="W619" s="15" t="n">
        <v>53.63</v>
      </c>
      <c r="X619" s="34" t="n">
        <v>45163</v>
      </c>
    </row>
    <row r="620">
      <c r="A620" s="34" t="n">
        <v>45166</v>
      </c>
      <c r="B620" s="266" t="n">
        <v>1.090361952781677</v>
      </c>
      <c r="C620" s="34" t="n">
        <v>45166</v>
      </c>
      <c r="D620" s="15" t="n">
        <v>15.7</v>
      </c>
      <c r="E620" s="15" t="n">
        <v>24.34</v>
      </c>
      <c r="F620" s="34" t="n">
        <v>45166</v>
      </c>
      <c r="G620" s="15" t="n">
        <v>95.15000000000001</v>
      </c>
      <c r="H620" s="15" t="n">
        <v>129.55</v>
      </c>
      <c r="I620" s="34" t="n">
        <v>45166</v>
      </c>
      <c r="J620" s="15" t="n">
        <v>10</v>
      </c>
      <c r="K620" s="15" t="n">
        <v>16.26</v>
      </c>
      <c r="L620" s="34" t="n">
        <v>45166</v>
      </c>
      <c r="M620" s="15" t="n">
        <v>44</v>
      </c>
      <c r="N620" s="15" t="n">
        <v>57.38</v>
      </c>
      <c r="O620" s="34" t="n">
        <v>45166</v>
      </c>
      <c r="P620" s="15" t="n">
        <v>107.9</v>
      </c>
      <c r="Q620" s="15" t="n">
        <v>109.78</v>
      </c>
      <c r="R620" s="34" t="n">
        <v>45166</v>
      </c>
      <c r="S620" s="15" t="n">
        <v>15.18</v>
      </c>
      <c r="V620" s="15" t="n">
        <v>36.95</v>
      </c>
      <c r="W620" s="15" t="n">
        <v>51.75</v>
      </c>
      <c r="X620" s="34" t="n">
        <v>45166</v>
      </c>
    </row>
    <row r="621">
      <c r="A621" s="34" t="n">
        <v>45167</v>
      </c>
      <c r="B621" s="266" t="n">
        <v>1.089699029922485</v>
      </c>
      <c r="C621" s="34" t="n">
        <v>45167</v>
      </c>
      <c r="D621" s="15" t="n">
        <v>15.98</v>
      </c>
      <c r="E621" s="15" t="n">
        <v>24.78</v>
      </c>
      <c r="F621" s="34" t="n">
        <v>45167</v>
      </c>
      <c r="G621" s="15" t="n">
        <v>96.34999999999999</v>
      </c>
      <c r="H621" s="15" t="n">
        <v>132</v>
      </c>
      <c r="I621" s="34" t="n">
        <v>45167</v>
      </c>
      <c r="J621" s="15" t="n">
        <v>10.36</v>
      </c>
      <c r="K621" s="15" t="n">
        <v>17.36</v>
      </c>
      <c r="L621" s="34" t="n">
        <v>45167</v>
      </c>
      <c r="M621" s="15" t="n">
        <v>45</v>
      </c>
      <c r="N621" s="15" t="n">
        <v>58.69</v>
      </c>
      <c r="O621" s="34" t="n">
        <v>45167</v>
      </c>
      <c r="P621" s="15" t="n">
        <v>110.1</v>
      </c>
      <c r="Q621" s="15" t="n">
        <v>112.15</v>
      </c>
      <c r="R621" s="34" t="n">
        <v>45167</v>
      </c>
      <c r="S621" s="15" t="n">
        <v>16.36</v>
      </c>
      <c r="V621" s="15" t="n">
        <v>37.55</v>
      </c>
      <c r="W621" s="15" t="n">
        <v>53.53</v>
      </c>
      <c r="X621" s="34" t="n">
        <v>45167</v>
      </c>
    </row>
    <row r="622">
      <c r="A622" s="34" t="n">
        <v>45168</v>
      </c>
      <c r="B622" s="266" t="n">
        <v>1.094905972480774</v>
      </c>
      <c r="C622" s="34" t="n">
        <v>45168</v>
      </c>
      <c r="D622" s="15" t="n">
        <v>15.96</v>
      </c>
      <c r="E622" s="15" t="n">
        <v>24.57</v>
      </c>
      <c r="F622" s="34" t="n">
        <v>45168</v>
      </c>
      <c r="G622" s="15" t="n">
        <v>96.7</v>
      </c>
      <c r="H622" s="15" t="n">
        <v>130.94</v>
      </c>
      <c r="I622" s="34" t="n">
        <v>45168</v>
      </c>
      <c r="J622" s="15" t="n">
        <v>10.3</v>
      </c>
      <c r="K622" s="15" t="n">
        <v>17.51</v>
      </c>
      <c r="L622" s="34" t="n">
        <v>45168</v>
      </c>
      <c r="M622" s="15" t="n">
        <v>44.65</v>
      </c>
      <c r="N622" s="15" t="n">
        <v>59.39</v>
      </c>
      <c r="O622" s="34" t="n">
        <v>45168</v>
      </c>
      <c r="P622" s="15" t="n">
        <v>108.7</v>
      </c>
      <c r="Q622" s="15" t="n">
        <v>111.4</v>
      </c>
      <c r="R622" s="34" t="n">
        <v>45168</v>
      </c>
      <c r="S622" s="15" t="n">
        <v>17.5</v>
      </c>
      <c r="V622" s="15" t="n">
        <v>37.8</v>
      </c>
      <c r="W622" s="15" t="n">
        <v>53.81</v>
      </c>
      <c r="X622" s="34" t="n">
        <v>45168</v>
      </c>
    </row>
    <row r="623">
      <c r="A623" s="34" t="n">
        <v>45169</v>
      </c>
      <c r="B623" s="266" t="n">
        <v>1.092789053916931</v>
      </c>
      <c r="C623" s="34" t="n">
        <v>45169</v>
      </c>
      <c r="D623" s="15" t="n">
        <v>15.7</v>
      </c>
      <c r="E623" s="15" t="n">
        <v>24</v>
      </c>
      <c r="F623" s="34" t="n">
        <v>45169</v>
      </c>
      <c r="G623" s="15" t="n">
        <v>98.8</v>
      </c>
      <c r="H623" s="15" t="n">
        <v>133.05</v>
      </c>
      <c r="I623" s="34" t="n">
        <v>45169</v>
      </c>
      <c r="J623" s="15" t="n">
        <v>10.28</v>
      </c>
      <c r="K623" s="15" t="n">
        <v>17.2</v>
      </c>
      <c r="L623" s="34" t="n">
        <v>45169</v>
      </c>
      <c r="M623" s="15" t="n">
        <v>43</v>
      </c>
      <c r="N623" s="15" t="n">
        <v>57.57</v>
      </c>
      <c r="O623" s="34" t="n">
        <v>45169</v>
      </c>
      <c r="P623" s="15" t="n">
        <v>105.3</v>
      </c>
      <c r="Q623" s="15" t="n">
        <v>108.92</v>
      </c>
      <c r="R623" s="34" t="n">
        <v>45169</v>
      </c>
      <c r="S623" s="15" t="n">
        <v>18.26</v>
      </c>
      <c r="V623" s="15" t="n">
        <v>38</v>
      </c>
      <c r="W623" s="15" t="n">
        <v>54.1</v>
      </c>
      <c r="X623" s="34" t="n">
        <v>45169</v>
      </c>
    </row>
    <row r="624">
      <c r="A624" s="34" t="n">
        <v>45173</v>
      </c>
      <c r="B624" s="266" t="n">
        <v>1.090212941169739</v>
      </c>
      <c r="C624" s="34" t="n">
        <v>45173</v>
      </c>
      <c r="D624" s="15" t="n">
        <v>16.18</v>
      </c>
      <c r="E624" s="15" t="n">
        <v>24.15</v>
      </c>
      <c r="F624" s="34" t="n">
        <v>45173</v>
      </c>
      <c r="G624" s="15" t="n">
        <v>98.90000000000001</v>
      </c>
      <c r="H624" s="15" t="n">
        <v>130.1</v>
      </c>
      <c r="I624" s="34" t="n">
        <v>45173</v>
      </c>
      <c r="J624" s="15" t="n">
        <v>10.58</v>
      </c>
      <c r="K624" s="15" t="n">
        <v>18.08</v>
      </c>
      <c r="L624" s="34" t="n">
        <v>45173</v>
      </c>
      <c r="M624" s="15" t="n">
        <v>44.55</v>
      </c>
      <c r="N624" s="15" t="n">
        <v>59.4</v>
      </c>
      <c r="O624" s="34" t="n">
        <v>45173</v>
      </c>
      <c r="P624" s="15" t="n">
        <v>114.9</v>
      </c>
      <c r="Q624" s="15" t="n">
        <v>115.92</v>
      </c>
      <c r="R624" s="34" t="n">
        <v>45173</v>
      </c>
      <c r="S624" s="15" t="n">
        <v>17.18</v>
      </c>
      <c r="V624" s="15" t="n">
        <v>38.15</v>
      </c>
      <c r="W624" s="15" t="n">
        <v>54.85</v>
      </c>
      <c r="X624" s="34" t="n">
        <v>45173</v>
      </c>
    </row>
    <row r="625">
      <c r="A625" s="34" t="n">
        <v>45174</v>
      </c>
      <c r="B625" s="266" t="n">
        <v>1.094616055488586</v>
      </c>
      <c r="C625" s="34" t="n">
        <v>45174</v>
      </c>
      <c r="D625" s="15" t="n">
        <v>15.38</v>
      </c>
      <c r="E625" s="15" t="n">
        <v>23.9</v>
      </c>
      <c r="F625" s="34" t="n">
        <v>45174</v>
      </c>
      <c r="G625" s="15" t="n">
        <v>97.65000000000001</v>
      </c>
      <c r="H625" s="15" t="n">
        <v>128.35</v>
      </c>
      <c r="I625" s="34" t="n">
        <v>45174</v>
      </c>
      <c r="J625" s="15" t="n">
        <v>10.36</v>
      </c>
      <c r="K625" s="15" t="n">
        <v>17.9</v>
      </c>
      <c r="L625" s="34" t="n">
        <v>45174</v>
      </c>
      <c r="M625" s="15" t="n">
        <v>45.15</v>
      </c>
      <c r="N625" s="15" t="n">
        <v>59.66</v>
      </c>
      <c r="O625" s="34" t="n">
        <v>45174</v>
      </c>
      <c r="P625" s="15" t="n">
        <v>114.1</v>
      </c>
      <c r="Q625" s="15" t="n">
        <v>114.5</v>
      </c>
      <c r="R625" s="34" t="n">
        <v>45174</v>
      </c>
      <c r="S625" s="15" t="n">
        <v>17.28</v>
      </c>
      <c r="V625" s="15" t="n">
        <v>38.1</v>
      </c>
      <c r="W625" s="15" t="n">
        <v>54.68</v>
      </c>
      <c r="X625" s="34" t="n">
        <v>45174</v>
      </c>
    </row>
    <row r="626">
      <c r="A626" s="34" t="n">
        <v>45175</v>
      </c>
      <c r="B626" s="266" t="n">
        <v>1.090736985206604</v>
      </c>
      <c r="C626" s="34" t="n">
        <v>45175</v>
      </c>
      <c r="D626" s="15" t="n">
        <v>14.84</v>
      </c>
      <c r="E626" s="15" t="n">
        <v>23.58</v>
      </c>
      <c r="F626" s="34" t="n">
        <v>45175</v>
      </c>
      <c r="G626" s="15" t="n">
        <v>96.25</v>
      </c>
      <c r="H626" s="15" t="n">
        <v>124.49</v>
      </c>
      <c r="I626" s="34" t="n">
        <v>45175</v>
      </c>
      <c r="J626" s="15" t="n">
        <v>10.46</v>
      </c>
      <c r="K626" s="15" t="n">
        <v>17.73</v>
      </c>
      <c r="L626" s="34" t="n">
        <v>45175</v>
      </c>
      <c r="M626" s="15" t="n">
        <v>45.55</v>
      </c>
      <c r="N626" s="15" t="n">
        <v>59</v>
      </c>
      <c r="O626" s="34" t="n">
        <v>45175</v>
      </c>
      <c r="P626" s="15" t="n">
        <v>111.1</v>
      </c>
      <c r="Q626" s="15" t="n">
        <v>113</v>
      </c>
      <c r="R626" s="34" t="n">
        <v>45175</v>
      </c>
      <c r="S626" s="15" t="n">
        <v>16.88</v>
      </c>
      <c r="V626" s="15" t="n">
        <v>37.35</v>
      </c>
      <c r="W626" s="15" t="n">
        <v>54.47</v>
      </c>
      <c r="X626" s="34" t="n">
        <v>45175</v>
      </c>
    </row>
    <row r="627">
      <c r="A627" s="34" t="n">
        <v>45176</v>
      </c>
      <c r="B627" s="266" t="n">
        <v>1.088104963302612</v>
      </c>
      <c r="C627" s="34" t="n">
        <v>45176</v>
      </c>
      <c r="D627" s="15" t="n">
        <v>14.66</v>
      </c>
      <c r="E627" s="15" t="n">
        <v>23.02</v>
      </c>
      <c r="F627" s="34" t="n">
        <v>45176</v>
      </c>
      <c r="G627" s="15" t="n">
        <v>95.45</v>
      </c>
      <c r="H627" s="15" t="n">
        <v>122.53</v>
      </c>
      <c r="I627" s="34" t="n">
        <v>45176</v>
      </c>
      <c r="J627" s="15" t="n">
        <v>10.3</v>
      </c>
      <c r="K627" s="15" t="n">
        <v>17.46</v>
      </c>
      <c r="L627" s="34" t="n">
        <v>45176</v>
      </c>
      <c r="M627" s="15" t="n">
        <v>44.5</v>
      </c>
      <c r="N627" s="15" t="n">
        <v>57.3</v>
      </c>
      <c r="O627" s="34" t="n">
        <v>45176</v>
      </c>
      <c r="P627" s="15" t="n">
        <v>107.6</v>
      </c>
      <c r="Q627" s="15" t="n">
        <v>110.24</v>
      </c>
      <c r="R627" s="34" t="n">
        <v>45176</v>
      </c>
      <c r="S627" s="15" t="n">
        <v>17.1</v>
      </c>
      <c r="V627" s="15" t="n">
        <v>37</v>
      </c>
      <c r="W627" s="15" t="n">
        <v>53.05</v>
      </c>
      <c r="X627" s="34" t="n">
        <v>45176</v>
      </c>
    </row>
    <row r="628">
      <c r="A628" s="34" t="n">
        <v>45180</v>
      </c>
      <c r="B628" s="266" t="n">
        <v>1.085821986198425</v>
      </c>
      <c r="C628" s="34" t="n">
        <v>45180</v>
      </c>
      <c r="D628" s="15" t="n">
        <v>14.86</v>
      </c>
      <c r="E628" s="15" t="n">
        <v>23.69</v>
      </c>
      <c r="F628" s="34" t="n">
        <v>45180</v>
      </c>
      <c r="G628" s="15" t="n">
        <v>96.55</v>
      </c>
      <c r="H628" s="15" t="n">
        <v>124.35</v>
      </c>
      <c r="I628" s="34" t="n">
        <v>45180</v>
      </c>
      <c r="J628" s="15" t="n">
        <v>10.4</v>
      </c>
      <c r="K628" s="15" t="n">
        <v>17.53</v>
      </c>
      <c r="L628" s="34" t="n">
        <v>45180</v>
      </c>
      <c r="M628" s="15" t="n">
        <v>44.75</v>
      </c>
      <c r="N628" s="15" t="n">
        <v>57.28</v>
      </c>
      <c r="O628" s="34" t="n">
        <v>45180</v>
      </c>
      <c r="P628" s="15" t="n">
        <v>109</v>
      </c>
      <c r="Q628" s="15" t="n">
        <v>110.23</v>
      </c>
      <c r="R628" s="34" t="n">
        <v>45180</v>
      </c>
      <c r="S628" s="15" t="n">
        <v>16.9</v>
      </c>
      <c r="V628" s="15" t="n">
        <v>37.75</v>
      </c>
      <c r="W628" s="15" t="n">
        <v>55.65</v>
      </c>
      <c r="X628" s="34" t="n">
        <v>45180</v>
      </c>
    </row>
    <row r="629">
      <c r="A629" s="34" t="n">
        <v>45181</v>
      </c>
      <c r="B629" s="266" t="n">
        <v>1.088567018508911</v>
      </c>
      <c r="C629" s="34" t="n">
        <v>45181</v>
      </c>
      <c r="D629" s="15" t="n">
        <v>14.4</v>
      </c>
      <c r="E629" s="15" t="n">
        <v>23.59</v>
      </c>
      <c r="F629" s="34" t="n">
        <v>45181</v>
      </c>
      <c r="G629" s="15" t="n">
        <v>95.09999999999999</v>
      </c>
      <c r="H629" s="15" t="n">
        <v>125.16</v>
      </c>
      <c r="I629" s="34" t="n">
        <v>45181</v>
      </c>
      <c r="J629" s="15" t="n">
        <v>10.4</v>
      </c>
      <c r="K629" s="15" t="n">
        <v>17.46</v>
      </c>
      <c r="L629" s="34" t="n">
        <v>45181</v>
      </c>
      <c r="M629" s="15" t="n">
        <v>45.4</v>
      </c>
      <c r="N629" s="15" t="n">
        <v>58.63</v>
      </c>
      <c r="O629" s="34" t="n">
        <v>45181</v>
      </c>
      <c r="P629" s="15" t="n">
        <v>107.4</v>
      </c>
      <c r="Q629" s="15" t="n">
        <v>109</v>
      </c>
      <c r="R629" s="34" t="n">
        <v>45181</v>
      </c>
      <c r="S629" s="15" t="n">
        <v>16.7</v>
      </c>
      <c r="V629" s="15" t="n">
        <v>37.7</v>
      </c>
      <c r="W629" s="15" t="n">
        <v>55.78</v>
      </c>
      <c r="X629" s="34" t="n">
        <v>45181</v>
      </c>
    </row>
    <row r="630">
      <c r="A630" s="34" t="n">
        <v>45182</v>
      </c>
      <c r="B630" s="266" t="n">
        <v>1.088140964508057</v>
      </c>
      <c r="C630" s="34" t="n">
        <v>45182</v>
      </c>
      <c r="D630" s="15" t="n">
        <v>14.24</v>
      </c>
      <c r="E630" s="15" t="n">
        <v>23.11</v>
      </c>
      <c r="F630" s="34" t="n">
        <v>45182</v>
      </c>
      <c r="G630" s="15" t="n">
        <v>96.3</v>
      </c>
      <c r="H630" s="15" t="n">
        <v>124.3</v>
      </c>
      <c r="I630" s="34" t="n">
        <v>45182</v>
      </c>
      <c r="J630" s="15" t="n">
        <v>10.24</v>
      </c>
      <c r="K630" s="15" t="n">
        <v>17.3</v>
      </c>
      <c r="L630" s="34" t="n">
        <v>45182</v>
      </c>
      <c r="M630" s="15" t="n">
        <v>44.7</v>
      </c>
      <c r="N630" s="15" t="n">
        <v>57.75</v>
      </c>
      <c r="O630" s="34" t="n">
        <v>45182</v>
      </c>
      <c r="P630" s="15" t="n">
        <v>106</v>
      </c>
      <c r="Q630" s="15" t="n">
        <v>107.52</v>
      </c>
      <c r="R630" s="34" t="n">
        <v>45182</v>
      </c>
      <c r="S630" s="15" t="n">
        <v>14.38</v>
      </c>
      <c r="V630" s="15" t="n">
        <v>36.85</v>
      </c>
      <c r="W630" s="15" t="n">
        <v>54.75</v>
      </c>
      <c r="X630" s="34" t="n">
        <v>45182</v>
      </c>
    </row>
    <row r="631">
      <c r="A631" s="34" t="n">
        <v>45183</v>
      </c>
      <c r="B631" s="266" t="n">
        <v>1.091163039207458</v>
      </c>
      <c r="C631" s="34" t="n">
        <v>45183</v>
      </c>
      <c r="D631" s="15" t="n">
        <v>14.3</v>
      </c>
      <c r="E631" s="15" t="n">
        <v>23.04</v>
      </c>
      <c r="F631" s="34" t="n">
        <v>45183</v>
      </c>
      <c r="G631" s="15" t="n">
        <v>97.7</v>
      </c>
      <c r="H631" s="15" t="n">
        <v>125</v>
      </c>
      <c r="I631" s="34" t="n">
        <v>45183</v>
      </c>
      <c r="J631" s="15" t="n">
        <v>10.08</v>
      </c>
      <c r="K631" s="15" t="n">
        <v>17.09</v>
      </c>
      <c r="L631" s="34" t="n">
        <v>45183</v>
      </c>
      <c r="M631" s="15" t="n">
        <v>43.65</v>
      </c>
      <c r="N631" s="15" t="n">
        <v>56.85</v>
      </c>
      <c r="O631" s="34" t="n">
        <v>45183</v>
      </c>
      <c r="P631" s="15" t="n">
        <v>105.1</v>
      </c>
      <c r="Q631" s="15" t="n">
        <v>105.45</v>
      </c>
      <c r="R631" s="34" t="n">
        <v>45183</v>
      </c>
      <c r="S631" s="15" t="n">
        <v>15</v>
      </c>
      <c r="V631" s="15" t="n">
        <v>37</v>
      </c>
      <c r="W631" s="15" t="n">
        <v>53.32</v>
      </c>
      <c r="X631" s="34" t="n">
        <v>45183</v>
      </c>
    </row>
    <row r="632">
      <c r="A632" s="34" t="n">
        <v>45184</v>
      </c>
      <c r="B632" s="266" t="n">
        <v>1.088575005531311</v>
      </c>
      <c r="C632" s="34" t="n">
        <v>45184</v>
      </c>
      <c r="D632" s="15" t="n">
        <v>14.7</v>
      </c>
      <c r="E632" s="15" t="n">
        <v>23.62</v>
      </c>
      <c r="F632" s="34" t="n">
        <v>45184</v>
      </c>
      <c r="G632" s="15" t="n">
        <v>104</v>
      </c>
      <c r="H632" s="15" t="n">
        <v>136.58</v>
      </c>
      <c r="I632" s="34" t="n">
        <v>45184</v>
      </c>
      <c r="J632" s="15" t="n">
        <v>9.93</v>
      </c>
      <c r="K632" s="15" t="n">
        <v>17.07</v>
      </c>
      <c r="L632" s="34" t="n">
        <v>45184</v>
      </c>
      <c r="M632" s="15" t="n">
        <v>43.65</v>
      </c>
      <c r="N632" s="15" t="n">
        <v>56.1</v>
      </c>
      <c r="O632" s="34" t="n">
        <v>45184</v>
      </c>
      <c r="P632" s="15" t="n">
        <v>107.9</v>
      </c>
      <c r="Q632" s="15" t="n">
        <v>106.06</v>
      </c>
      <c r="R632" s="34" t="n">
        <v>45184</v>
      </c>
      <c r="S632" s="15" t="n">
        <v>14.3</v>
      </c>
      <c r="V632" s="15" t="n">
        <v>37.55</v>
      </c>
      <c r="W632" s="15" t="n">
        <v>52.88</v>
      </c>
      <c r="X632" s="34" t="n">
        <v>45184</v>
      </c>
    </row>
    <row r="633">
      <c r="A633" s="34" t="n">
        <v>45187</v>
      </c>
      <c r="B633" s="266" t="n">
        <v>1.089876055717468</v>
      </c>
      <c r="C633" s="34" t="n">
        <v>45187</v>
      </c>
      <c r="D633" s="15" t="n">
        <v>14.68</v>
      </c>
      <c r="E633" s="15" t="n">
        <v>24.02</v>
      </c>
      <c r="F633" s="34" t="n">
        <v>45187</v>
      </c>
      <c r="G633" s="15" t="n">
        <v>108.2</v>
      </c>
      <c r="H633" s="15" t="n">
        <v>141.79</v>
      </c>
      <c r="I633" s="34" t="n">
        <v>45187</v>
      </c>
      <c r="J633" s="15" t="n">
        <v>9.94</v>
      </c>
      <c r="K633" s="15" t="n">
        <v>17.2</v>
      </c>
      <c r="L633" s="34" t="n">
        <v>45187</v>
      </c>
      <c r="M633" s="15" t="n">
        <v>43.7</v>
      </c>
      <c r="N633" s="15" t="n">
        <v>57.66</v>
      </c>
      <c r="O633" s="34" t="n">
        <v>45187</v>
      </c>
      <c r="P633" s="15" t="n">
        <v>111.2</v>
      </c>
      <c r="Q633" s="15" t="n">
        <v>111.78</v>
      </c>
      <c r="R633" s="34" t="n">
        <v>45187</v>
      </c>
      <c r="S633" s="15" t="n">
        <v>13.82</v>
      </c>
      <c r="V633" s="15" t="n">
        <v>36.85</v>
      </c>
      <c r="W633" s="15" t="n">
        <v>53.6</v>
      </c>
      <c r="X633" s="34" t="n">
        <v>45187</v>
      </c>
    </row>
    <row r="634">
      <c r="A634" s="34" t="n">
        <v>45188</v>
      </c>
      <c r="B634" s="266" t="n">
        <v>1.091644048690796</v>
      </c>
      <c r="C634" s="34" t="n">
        <v>45188</v>
      </c>
      <c r="D634" s="15" t="n">
        <v>14.78</v>
      </c>
      <c r="E634" s="15" t="n">
        <v>23.6</v>
      </c>
      <c r="F634" s="34" t="n">
        <v>45188</v>
      </c>
      <c r="G634" s="15" t="n">
        <v>106.3</v>
      </c>
      <c r="H634" s="15" t="n">
        <v>139.97</v>
      </c>
      <c r="I634" s="34" t="n">
        <v>45188</v>
      </c>
      <c r="J634" s="15" t="n">
        <v>9.949999999999999</v>
      </c>
      <c r="K634" s="15" t="n">
        <v>16.81</v>
      </c>
      <c r="L634" s="34" t="n">
        <v>45188</v>
      </c>
      <c r="M634" s="15" t="n">
        <v>43.3</v>
      </c>
      <c r="N634" s="15" t="n">
        <v>56.33</v>
      </c>
      <c r="O634" s="34" t="n">
        <v>45188</v>
      </c>
      <c r="P634" s="15" t="n">
        <v>108.1</v>
      </c>
      <c r="Q634" s="15" t="n">
        <v>109.68</v>
      </c>
      <c r="R634" s="34" t="n">
        <v>45188</v>
      </c>
      <c r="S634" s="15" t="n">
        <v>14.28</v>
      </c>
      <c r="V634" s="15" t="n">
        <v>37.1</v>
      </c>
      <c r="W634" s="15" t="n">
        <v>52.37</v>
      </c>
      <c r="X634" s="34" t="n">
        <v>45188</v>
      </c>
    </row>
    <row r="635">
      <c r="A635" s="34" t="n">
        <v>45189</v>
      </c>
      <c r="B635" s="266" t="n">
        <v>1.090924978256226</v>
      </c>
      <c r="C635" s="34" t="n">
        <v>45189</v>
      </c>
      <c r="D635" s="15" t="n">
        <v>14.38</v>
      </c>
      <c r="E635" s="15" t="n">
        <v>23.23</v>
      </c>
      <c r="F635" s="34" t="n">
        <v>45189</v>
      </c>
      <c r="G635" s="15" t="n">
        <v>105.9</v>
      </c>
      <c r="H635" s="15" t="n">
        <v>138.88</v>
      </c>
      <c r="I635" s="34" t="n">
        <v>45189</v>
      </c>
      <c r="J635" s="15" t="n">
        <v>9.92</v>
      </c>
      <c r="K635" s="15" t="n">
        <v>16.54</v>
      </c>
      <c r="L635" s="34" t="n">
        <v>45189</v>
      </c>
      <c r="M635" s="15" t="n">
        <v>43.75</v>
      </c>
      <c r="N635" s="15" t="n">
        <v>55.31</v>
      </c>
      <c r="O635" s="34" t="n">
        <v>45189</v>
      </c>
      <c r="P635" s="15" t="n">
        <v>106.8</v>
      </c>
      <c r="Q635" s="15" t="n">
        <v>109.6</v>
      </c>
      <c r="R635" s="34" t="n">
        <v>45189</v>
      </c>
      <c r="S635" s="15" t="n">
        <v>14.18</v>
      </c>
      <c r="V635" s="15" t="n">
        <v>37</v>
      </c>
      <c r="W635" s="15" t="n">
        <v>51.51</v>
      </c>
      <c r="X635" s="34" t="n">
        <v>45189</v>
      </c>
    </row>
    <row r="636">
      <c r="A636" s="34" t="n">
        <v>45190</v>
      </c>
      <c r="B636" s="266" t="n">
        <v>1.08824098110199</v>
      </c>
      <c r="C636" s="34" t="n">
        <v>45190</v>
      </c>
      <c r="D636" s="15" t="n">
        <v>14.1</v>
      </c>
      <c r="E636" s="15" t="n">
        <v>22.68</v>
      </c>
      <c r="F636" s="34" t="n">
        <v>45190</v>
      </c>
      <c r="G636" s="15" t="n">
        <v>104.1</v>
      </c>
      <c r="H636" s="15" t="n">
        <v>137.7</v>
      </c>
      <c r="I636" s="34" t="n">
        <v>45190</v>
      </c>
      <c r="J636" s="15" t="n">
        <v>9.84</v>
      </c>
      <c r="K636" s="15" t="n">
        <v>16.41</v>
      </c>
      <c r="L636" s="34" t="n">
        <v>45190</v>
      </c>
      <c r="M636" s="15" t="n">
        <v>44.6</v>
      </c>
      <c r="N636" s="15" t="n">
        <v>54.5</v>
      </c>
      <c r="O636" s="34" t="n">
        <v>45190</v>
      </c>
      <c r="P636" s="15" t="n">
        <v>102</v>
      </c>
      <c r="Q636" s="15" t="n">
        <v>105.95</v>
      </c>
      <c r="R636" s="34" t="n">
        <v>45190</v>
      </c>
      <c r="S636" s="15" t="n">
        <v>13.7</v>
      </c>
      <c r="V636" s="15" t="n">
        <v>36.5</v>
      </c>
      <c r="W636" s="15" t="n">
        <v>51.68</v>
      </c>
      <c r="X636" s="34" t="n">
        <v>45190</v>
      </c>
    </row>
    <row r="637">
      <c r="A637" s="34" t="n">
        <v>45191</v>
      </c>
      <c r="B637" s="266" t="n">
        <v>1.088595986366272</v>
      </c>
      <c r="C637" s="34" t="n">
        <v>45191</v>
      </c>
      <c r="D637" s="15" t="n">
        <v>14.72</v>
      </c>
      <c r="E637" s="15" t="n">
        <v>23.52</v>
      </c>
      <c r="F637" s="34" t="n">
        <v>45191</v>
      </c>
      <c r="G637" s="15" t="n">
        <v>110.2</v>
      </c>
      <c r="H637" s="15" t="n">
        <v>144.2</v>
      </c>
      <c r="I637" s="34" t="n">
        <v>45191</v>
      </c>
      <c r="J637" s="15" t="n">
        <v>10.02</v>
      </c>
      <c r="K637" s="15" t="n">
        <v>16.6</v>
      </c>
      <c r="L637" s="34" t="n">
        <v>45191</v>
      </c>
      <c r="M637" s="15" t="n">
        <v>44.35</v>
      </c>
      <c r="N637" s="15" t="n">
        <v>55.85</v>
      </c>
      <c r="O637" s="34" t="n">
        <v>45191</v>
      </c>
      <c r="P637" s="15" t="n">
        <v>106.1</v>
      </c>
      <c r="Q637" s="15" t="n">
        <v>109.3</v>
      </c>
      <c r="R637" s="34" t="n">
        <v>45191</v>
      </c>
      <c r="S637" s="15" t="n">
        <v>14.02</v>
      </c>
      <c r="V637" s="15" t="n">
        <v>35.9</v>
      </c>
      <c r="W637" s="15" t="n">
        <v>52.98</v>
      </c>
      <c r="X637" s="34" t="n">
        <v>45191</v>
      </c>
    </row>
    <row r="638">
      <c r="A638" s="34" t="n">
        <v>45194</v>
      </c>
      <c r="B638" s="266" t="n">
        <v>1.087345004081726</v>
      </c>
      <c r="C638" s="34" t="n">
        <v>45194</v>
      </c>
      <c r="D638" s="15" t="n">
        <v>14.56</v>
      </c>
      <c r="E638" s="15" t="n">
        <v>23.86</v>
      </c>
      <c r="F638" s="34" t="n">
        <v>45194</v>
      </c>
      <c r="G638" s="15" t="n">
        <v>110.8</v>
      </c>
      <c r="H638" s="15" t="n">
        <v>147.5</v>
      </c>
      <c r="I638" s="34" t="n">
        <v>45194</v>
      </c>
      <c r="J638" s="15" t="n">
        <v>9.99</v>
      </c>
      <c r="K638" s="15" t="n">
        <v>16.67</v>
      </c>
      <c r="L638" s="34" t="n">
        <v>45194</v>
      </c>
      <c r="M638" s="15" t="n">
        <v>43.25</v>
      </c>
      <c r="N638" s="15" t="n">
        <v>55.15</v>
      </c>
      <c r="O638" s="34" t="n">
        <v>45194</v>
      </c>
      <c r="P638" s="15" t="n">
        <v>104.3</v>
      </c>
      <c r="Q638" s="15" t="n">
        <v>107.72</v>
      </c>
      <c r="R638" s="34" t="n">
        <v>45194</v>
      </c>
      <c r="S638" s="15" t="n">
        <v>14.02</v>
      </c>
      <c r="V638" s="15" t="n">
        <v>36.25</v>
      </c>
      <c r="W638" s="15" t="n">
        <v>52.94</v>
      </c>
      <c r="X638" s="34" t="n">
        <v>45194</v>
      </c>
    </row>
    <row r="639">
      <c r="A639" s="34" t="n">
        <v>45195</v>
      </c>
      <c r="B639" s="266" t="n">
        <v>1.081025958061218</v>
      </c>
      <c r="C639" s="34" t="n">
        <v>45195</v>
      </c>
      <c r="D639" s="15" t="n">
        <v>14.38</v>
      </c>
      <c r="E639" s="15" t="n">
        <v>23.34</v>
      </c>
      <c r="F639" s="34" t="n">
        <v>45195</v>
      </c>
      <c r="G639" s="15" t="n">
        <v>110</v>
      </c>
      <c r="H639" s="15" t="n">
        <v>147.66</v>
      </c>
      <c r="I639" s="34" t="n">
        <v>45195</v>
      </c>
      <c r="J639" s="15" t="n">
        <v>9.970000000000001</v>
      </c>
      <c r="K639" s="15" t="n">
        <v>16.48</v>
      </c>
      <c r="L639" s="34" t="n">
        <v>45195</v>
      </c>
      <c r="M639" s="15" t="n">
        <v>42.15</v>
      </c>
      <c r="N639" s="15" t="n">
        <v>54.01</v>
      </c>
      <c r="O639" s="34" t="n">
        <v>45195</v>
      </c>
      <c r="P639" s="15" t="n">
        <v>102.7</v>
      </c>
      <c r="Q639" s="15" t="n">
        <v>106.83</v>
      </c>
      <c r="R639" s="34" t="n">
        <v>45195</v>
      </c>
      <c r="S639" s="15" t="n">
        <v>14</v>
      </c>
      <c r="V639" s="15" t="n">
        <v>35.75</v>
      </c>
      <c r="W639" s="15" t="n">
        <v>53.2</v>
      </c>
      <c r="X639" s="34" t="n">
        <v>45195</v>
      </c>
    </row>
    <row r="640">
      <c r="A640" s="34" t="n">
        <v>45196</v>
      </c>
      <c r="B640" s="266" t="n">
        <v>1.079403042793274</v>
      </c>
      <c r="C640" s="34" t="n">
        <v>45196</v>
      </c>
      <c r="D640" s="15" t="n">
        <v>14.82</v>
      </c>
      <c r="E640" s="15" t="n">
        <v>24.8</v>
      </c>
      <c r="F640" s="34" t="n">
        <v>45196</v>
      </c>
      <c r="G640" s="15" t="n">
        <v>107.5</v>
      </c>
      <c r="H640" s="15" t="n">
        <v>152.19</v>
      </c>
      <c r="I640" s="34" t="n">
        <v>45196</v>
      </c>
      <c r="J640" s="15" t="n">
        <v>9.960000000000001</v>
      </c>
      <c r="K640" s="15" t="n">
        <v>16.62</v>
      </c>
      <c r="L640" s="34" t="n">
        <v>45196</v>
      </c>
      <c r="M640" s="15" t="n">
        <v>42.25</v>
      </c>
      <c r="N640" s="15" t="n">
        <v>54.61</v>
      </c>
      <c r="O640" s="34" t="n">
        <v>45196</v>
      </c>
      <c r="P640" s="15" t="n">
        <v>103.5</v>
      </c>
      <c r="Q640" s="15" t="n">
        <v>107.5</v>
      </c>
      <c r="R640" s="34" t="n">
        <v>45196</v>
      </c>
      <c r="S640" s="15" t="n">
        <v>13.82</v>
      </c>
      <c r="V640" s="15" t="n">
        <v>35.35</v>
      </c>
      <c r="W640" s="15" t="n">
        <v>53.19</v>
      </c>
      <c r="X640" s="34" t="n">
        <v>45196</v>
      </c>
    </row>
    <row r="641">
      <c r="A641" s="34" t="n">
        <v>45197</v>
      </c>
      <c r="B641" s="266" t="n">
        <v>1.0728440284729</v>
      </c>
      <c r="C641" s="34" t="n">
        <v>45197</v>
      </c>
      <c r="D641" s="15" t="n">
        <v>14.62</v>
      </c>
      <c r="E641" s="15" t="n">
        <v>23.82</v>
      </c>
      <c r="F641" s="34" t="n">
        <v>45197</v>
      </c>
      <c r="G641" s="15" t="n">
        <v>107.9</v>
      </c>
      <c r="H641" s="15" t="n">
        <v>151.7</v>
      </c>
      <c r="I641" s="34" t="n">
        <v>45197</v>
      </c>
      <c r="J641" s="15" t="n">
        <v>10.04</v>
      </c>
      <c r="K641" s="15" t="n">
        <v>16.64</v>
      </c>
      <c r="L641" s="34" t="n">
        <v>45197</v>
      </c>
      <c r="M641" s="15" t="n">
        <v>42.8</v>
      </c>
      <c r="N641" s="15" t="n">
        <v>54.93</v>
      </c>
      <c r="O641" s="34" t="n">
        <v>45197</v>
      </c>
      <c r="P641" s="15" t="n">
        <v>100.7</v>
      </c>
      <c r="Q641" s="15" t="n">
        <v>105.97</v>
      </c>
      <c r="R641" s="34" t="n">
        <v>45197</v>
      </c>
      <c r="S641" s="15" t="n">
        <v>13.96</v>
      </c>
      <c r="V641" s="15" t="n">
        <v>35.45</v>
      </c>
      <c r="W641" s="15" t="n">
        <v>53.96</v>
      </c>
      <c r="X641" s="34" t="n">
        <v>45197</v>
      </c>
    </row>
    <row r="642">
      <c r="A642" s="34" t="n">
        <v>45198</v>
      </c>
      <c r="B642" s="266" t="n">
        <v>1.079846978187561</v>
      </c>
      <c r="C642" s="34" t="n">
        <v>45198</v>
      </c>
      <c r="D642" s="15" t="n">
        <v>13.9</v>
      </c>
      <c r="E642" s="15" t="n">
        <v>23.82</v>
      </c>
      <c r="F642" s="34" t="n">
        <v>45197</v>
      </c>
      <c r="G642" s="15" t="n">
        <v>110.2</v>
      </c>
      <c r="H642" s="15" t="n">
        <v>151.7</v>
      </c>
      <c r="I642" s="34" t="n">
        <v>45197</v>
      </c>
      <c r="J642" s="15" t="n">
        <v>9.949999999999999</v>
      </c>
      <c r="K642" s="15" t="n">
        <v>16.64</v>
      </c>
      <c r="L642" s="34" t="n">
        <v>45197</v>
      </c>
      <c r="M642" s="15" t="n">
        <v>43.85</v>
      </c>
      <c r="N642" s="15" t="n">
        <v>54.93</v>
      </c>
      <c r="O642" s="34" t="n">
        <v>45197</v>
      </c>
      <c r="P642" s="15" t="n">
        <v>103.9</v>
      </c>
      <c r="Q642" s="15" t="n">
        <v>105.97</v>
      </c>
      <c r="R642" s="34" t="n">
        <v>45197</v>
      </c>
      <c r="S642" s="15" t="n">
        <v>15.6</v>
      </c>
      <c r="V642" s="15" t="n">
        <v>35.5</v>
      </c>
      <c r="W642" s="15" t="n">
        <v>53.96</v>
      </c>
      <c r="X642" s="34" t="n">
        <v>45197</v>
      </c>
    </row>
    <row r="643">
      <c r="A643" s="34" t="n">
        <v>45202</v>
      </c>
      <c r="B643" s="266" t="n">
        <v>1.071742057800293</v>
      </c>
      <c r="C643" s="34" t="n">
        <v>45202</v>
      </c>
      <c r="D643" s="15" t="n">
        <v>12.62</v>
      </c>
      <c r="E643" s="15" t="n">
        <v>23.82</v>
      </c>
      <c r="F643" s="34" t="n">
        <v>45197</v>
      </c>
      <c r="G643" s="15" t="n">
        <v>104.2</v>
      </c>
      <c r="H643" s="15" t="n">
        <v>151.7</v>
      </c>
      <c r="I643" s="34" t="n">
        <v>45197</v>
      </c>
      <c r="J643" s="15" t="n">
        <v>10.1</v>
      </c>
      <c r="K643" s="15" t="n">
        <v>16.64</v>
      </c>
      <c r="L643" s="34" t="n">
        <v>45197</v>
      </c>
      <c r="M643" s="15" t="n">
        <v>42.3</v>
      </c>
      <c r="N643" s="15" t="n">
        <v>54.93</v>
      </c>
      <c r="O643" s="34" t="n">
        <v>45197</v>
      </c>
      <c r="P643" s="15" t="n">
        <v>96.09999999999999</v>
      </c>
      <c r="Q643" s="15" t="n">
        <v>105.97</v>
      </c>
      <c r="R643" s="34" t="n">
        <v>45197</v>
      </c>
      <c r="S643" s="15" t="n">
        <v>13.92</v>
      </c>
    </row>
    <row r="644">
      <c r="A644" s="34" t="n">
        <v>45203</v>
      </c>
      <c r="B644" s="266" t="n">
        <v>1.070677042007446</v>
      </c>
      <c r="C644" s="34" t="n">
        <v>45203</v>
      </c>
      <c r="D644" s="15" t="n">
        <v>12.72</v>
      </c>
      <c r="E644" s="15" t="n">
        <v>23.82</v>
      </c>
      <c r="F644" s="34" t="n">
        <v>45197</v>
      </c>
      <c r="G644" s="15" t="n">
        <v>103</v>
      </c>
      <c r="H644" s="15" t="n">
        <v>151.7</v>
      </c>
      <c r="I644" s="34" t="n">
        <v>45197</v>
      </c>
      <c r="J644" s="15" t="n">
        <v>9.85</v>
      </c>
      <c r="K644" s="15" t="n">
        <v>16.64</v>
      </c>
      <c r="L644" s="34" t="n">
        <v>45197</v>
      </c>
      <c r="M644" s="15" t="n">
        <v>41.2</v>
      </c>
      <c r="N644" s="15" t="n">
        <v>54.93</v>
      </c>
      <c r="O644" s="34" t="n">
        <v>45197</v>
      </c>
      <c r="P644" s="15" t="n">
        <v>93.34999999999999</v>
      </c>
      <c r="Q644" s="15" t="n">
        <v>105.97</v>
      </c>
      <c r="R644" s="34" t="n">
        <v>45197</v>
      </c>
      <c r="S644" s="15" t="n">
        <v>13.2</v>
      </c>
      <c r="V644" s="15" t="n">
        <v>35.4</v>
      </c>
      <c r="W644" s="15" t="n">
        <v>53.96</v>
      </c>
      <c r="X644" s="34" t="n">
        <v>45197</v>
      </c>
    </row>
    <row r="645">
      <c r="A645" s="34" t="n">
        <v>45204</v>
      </c>
      <c r="B645" s="266" t="n">
        <v>1.074022054672241</v>
      </c>
      <c r="C645" s="34" t="n">
        <v>45204</v>
      </c>
      <c r="D645" s="15" t="n">
        <v>12.44</v>
      </c>
      <c r="E645" s="15" t="n">
        <v>23.82</v>
      </c>
      <c r="F645" s="34" t="n">
        <v>45197</v>
      </c>
      <c r="G645" s="15" t="n">
        <v>107.2</v>
      </c>
      <c r="H645" s="15" t="n">
        <v>151.7</v>
      </c>
      <c r="I645" s="34" t="n">
        <v>45197</v>
      </c>
      <c r="J645" s="15" t="n">
        <v>9.85</v>
      </c>
      <c r="K645" s="15" t="n">
        <v>16.64</v>
      </c>
      <c r="L645" s="34" t="n">
        <v>45197</v>
      </c>
      <c r="M645" s="15" t="n">
        <v>40.75</v>
      </c>
      <c r="N645" s="15" t="n">
        <v>54.93</v>
      </c>
      <c r="O645" s="34" t="n">
        <v>45197</v>
      </c>
      <c r="P645" s="15" t="n">
        <v>95.34999999999999</v>
      </c>
      <c r="Q645" s="15" t="n">
        <v>105.97</v>
      </c>
      <c r="R645" s="34" t="n">
        <v>45197</v>
      </c>
      <c r="S645" s="15" t="n">
        <v>12.9</v>
      </c>
      <c r="V645" s="15" t="n">
        <v>36</v>
      </c>
      <c r="W645" s="15" t="n">
        <v>53.96</v>
      </c>
      <c r="X645" s="34" t="n">
        <v>45197</v>
      </c>
    </row>
    <row r="646">
      <c r="A646" s="34" t="n">
        <v>45205</v>
      </c>
      <c r="B646" s="266" t="n">
        <v>1.078335046768188</v>
      </c>
      <c r="C646" s="34" t="n">
        <v>45205</v>
      </c>
      <c r="D646" s="15" t="n">
        <v>12.9</v>
      </c>
      <c r="E646" s="15" t="n">
        <v>23.82</v>
      </c>
      <c r="F646" s="34" t="n">
        <v>45197</v>
      </c>
      <c r="G646" s="15" t="n">
        <v>108</v>
      </c>
      <c r="H646" s="15" t="n">
        <v>151.7</v>
      </c>
      <c r="I646" s="34" t="n">
        <v>45197</v>
      </c>
      <c r="J646" s="15" t="n">
        <v>9.890000000000001</v>
      </c>
      <c r="K646" s="15" t="n">
        <v>16.64</v>
      </c>
      <c r="L646" s="34" t="n">
        <v>45197</v>
      </c>
      <c r="M646" s="15" t="n">
        <v>40.85</v>
      </c>
      <c r="N646" s="15" t="n">
        <v>54.93</v>
      </c>
      <c r="O646" s="34" t="n">
        <v>45197</v>
      </c>
      <c r="P646" s="15" t="n">
        <v>98.5</v>
      </c>
      <c r="Q646" s="15" t="n">
        <v>105.97</v>
      </c>
      <c r="R646" s="34" t="n">
        <v>45197</v>
      </c>
      <c r="S646" s="15" t="n">
        <v>13.94</v>
      </c>
      <c r="V646" s="15" t="n">
        <v>36</v>
      </c>
      <c r="W646" s="15" t="n">
        <v>53.96</v>
      </c>
      <c r="X646" s="34" t="n">
        <v>45197</v>
      </c>
    </row>
    <row r="647">
      <c r="A647" s="34" t="n">
        <v>45208</v>
      </c>
      <c r="B647" s="266" t="n">
        <v>1.080739974975586</v>
      </c>
      <c r="C647" s="34" t="n">
        <v>45208</v>
      </c>
      <c r="D647" s="15" t="n">
        <v>13.52</v>
      </c>
      <c r="E647" s="15" t="n">
        <v>23.12</v>
      </c>
      <c r="F647" s="34" t="n">
        <v>45208</v>
      </c>
      <c r="G647" s="15" t="n">
        <v>108.5</v>
      </c>
      <c r="H647" s="15" t="n">
        <v>153.47</v>
      </c>
      <c r="I647" s="34" t="n">
        <v>45208</v>
      </c>
      <c r="J647" s="15" t="n">
        <v>10</v>
      </c>
      <c r="K647" s="15" t="n">
        <v>16.75</v>
      </c>
      <c r="L647" s="34" t="n">
        <v>45208</v>
      </c>
      <c r="M647" s="15" t="n">
        <v>40.9</v>
      </c>
      <c r="N647" s="15" t="n">
        <v>54.16</v>
      </c>
      <c r="O647" s="34" t="n">
        <v>45208</v>
      </c>
      <c r="P647" s="15" t="n">
        <v>93.90000000000001</v>
      </c>
      <c r="Q647" s="15" t="n">
        <v>100.4</v>
      </c>
      <c r="R647" s="34" t="n">
        <v>45208</v>
      </c>
      <c r="S647" s="15" t="n">
        <v>13</v>
      </c>
      <c r="V647" s="15" t="n">
        <v>35.15</v>
      </c>
      <c r="W647" s="15" t="n">
        <v>52.69</v>
      </c>
      <c r="X647" s="34" t="n">
        <v>45208</v>
      </c>
    </row>
    <row r="648">
      <c r="A648" s="34" t="n">
        <v>45209</v>
      </c>
      <c r="B648" s="266" t="n">
        <v>1.081393003463745</v>
      </c>
      <c r="C648" s="34" t="n">
        <v>45209</v>
      </c>
      <c r="D648" s="15" t="n">
        <v>13.74</v>
      </c>
      <c r="E648" s="15" t="n">
        <v>22.67</v>
      </c>
      <c r="F648" s="34" t="n">
        <v>45209</v>
      </c>
      <c r="G648" s="15" t="n">
        <v>108</v>
      </c>
      <c r="H648" s="15" t="n">
        <v>148.5</v>
      </c>
      <c r="I648" s="34" t="n">
        <v>45209</v>
      </c>
      <c r="J648" s="15" t="n">
        <v>9.92</v>
      </c>
      <c r="K648" s="15" t="n">
        <v>16.66</v>
      </c>
      <c r="L648" s="34" t="n">
        <v>45209</v>
      </c>
      <c r="M648" s="15" t="n">
        <v>43.5</v>
      </c>
      <c r="N648" s="15" t="n">
        <v>55.88</v>
      </c>
      <c r="O648" s="34" t="n">
        <v>45209</v>
      </c>
      <c r="P648" s="15" t="n">
        <v>94.5</v>
      </c>
      <c r="Q648" s="15" t="n">
        <v>100.87</v>
      </c>
      <c r="R648" s="34" t="n">
        <v>45209</v>
      </c>
      <c r="S648" s="15" t="n">
        <v>14.16</v>
      </c>
      <c r="V648" s="15" t="n">
        <v>35</v>
      </c>
      <c r="W648" s="15" t="n">
        <v>51.86</v>
      </c>
      <c r="X648" s="34" t="n">
        <v>45209</v>
      </c>
    </row>
    <row r="649">
      <c r="A649" s="34" t="n">
        <v>45210</v>
      </c>
      <c r="B649" s="266" t="n">
        <v>1.082736968994141</v>
      </c>
      <c r="C649" s="34" t="n">
        <v>45210</v>
      </c>
      <c r="D649" s="15" t="n">
        <v>15.44</v>
      </c>
      <c r="E649" s="15" t="n">
        <v>24.94</v>
      </c>
      <c r="F649" s="34" t="n">
        <v>45210</v>
      </c>
      <c r="G649" s="15" t="n">
        <v>115.5</v>
      </c>
      <c r="H649" s="15" t="n">
        <v>156.15</v>
      </c>
      <c r="I649" s="34" t="n">
        <v>45210</v>
      </c>
      <c r="J649" s="15" t="n">
        <v>9.98</v>
      </c>
      <c r="K649" s="15" t="n">
        <v>16.65</v>
      </c>
      <c r="L649" s="34" t="n">
        <v>45210</v>
      </c>
      <c r="M649" s="15" t="n">
        <v>42.6</v>
      </c>
      <c r="N649" s="15" t="n">
        <v>55.41</v>
      </c>
      <c r="O649" s="34" t="n">
        <v>45210</v>
      </c>
      <c r="P649" s="15" t="n">
        <v>94.84999999999999</v>
      </c>
      <c r="Q649" s="15" t="n">
        <v>100.23</v>
      </c>
      <c r="R649" s="34" t="n">
        <v>45210</v>
      </c>
      <c r="S649" s="15" t="n">
        <v>12.18</v>
      </c>
      <c r="V649" s="15" t="n">
        <v>35.35</v>
      </c>
      <c r="W649" s="15" t="n">
        <v>52.47</v>
      </c>
      <c r="X649" s="34" t="n">
        <v>45210</v>
      </c>
    </row>
    <row r="650">
      <c r="A650" s="34" t="n">
        <v>45211</v>
      </c>
      <c r="B650" s="266" t="n">
        <v>1.084743976593018</v>
      </c>
      <c r="C650" s="34" t="n">
        <v>45211</v>
      </c>
      <c r="D650" s="15" t="n">
        <v>15.42</v>
      </c>
      <c r="E650" s="15" t="n">
        <v>26.13</v>
      </c>
      <c r="F650" s="34" t="n">
        <v>45211</v>
      </c>
      <c r="G650" s="15" t="n">
        <v>116</v>
      </c>
      <c r="H650" s="15" t="n">
        <v>155.49</v>
      </c>
      <c r="I650" s="34" t="n">
        <v>45211</v>
      </c>
      <c r="J650" s="15" t="n">
        <v>10.14</v>
      </c>
      <c r="K650" s="15" t="n">
        <v>16.9</v>
      </c>
      <c r="L650" s="34" t="n">
        <v>45211</v>
      </c>
      <c r="M650" s="15" t="n">
        <v>46</v>
      </c>
      <c r="N650" s="15" t="n">
        <v>59.28</v>
      </c>
      <c r="O650" s="34" t="n">
        <v>45211</v>
      </c>
      <c r="P650" s="15" t="n">
        <v>97.59999999999999</v>
      </c>
      <c r="Q650" s="15" t="n">
        <v>101.06</v>
      </c>
      <c r="R650" s="34" t="n">
        <v>45211</v>
      </c>
      <c r="S650" s="15" t="n">
        <v>12.66</v>
      </c>
      <c r="V650" s="15" t="n">
        <v>34.8</v>
      </c>
      <c r="W650" s="15" t="n">
        <v>53.1</v>
      </c>
      <c r="X650" s="34" t="n">
        <v>45211</v>
      </c>
    </row>
    <row r="651">
      <c r="A651" s="34" t="n">
        <v>45212</v>
      </c>
      <c r="B651" s="266" t="n">
        <v>1.076364040374756</v>
      </c>
      <c r="C651" s="34" t="n">
        <v>45212</v>
      </c>
      <c r="D651" s="15" t="n">
        <v>15.54</v>
      </c>
      <c r="E651" s="15" t="n">
        <v>26.47</v>
      </c>
      <c r="F651" s="34" t="n">
        <v>45212</v>
      </c>
      <c r="G651" s="15" t="n">
        <v>115.9</v>
      </c>
      <c r="H651" s="15" t="n">
        <v>157.15</v>
      </c>
      <c r="I651" s="34" t="n">
        <v>45212</v>
      </c>
      <c r="J651" s="15" t="n">
        <v>10.02</v>
      </c>
      <c r="K651" s="15" t="n">
        <v>16.71</v>
      </c>
      <c r="L651" s="34" t="n">
        <v>45212</v>
      </c>
      <c r="M651" s="15" t="n">
        <v>44.95</v>
      </c>
      <c r="N651" s="15" t="n">
        <v>58.05</v>
      </c>
      <c r="O651" s="34" t="n">
        <v>45212</v>
      </c>
      <c r="P651" s="15" t="n">
        <v>92.34999999999999</v>
      </c>
      <c r="Q651" s="15" t="n">
        <v>97.18000000000001</v>
      </c>
      <c r="R651" s="34" t="n">
        <v>45212</v>
      </c>
      <c r="S651" s="15" t="n">
        <v>12.94</v>
      </c>
      <c r="V651" s="15" t="n">
        <v>34.1</v>
      </c>
      <c r="W651" s="15" t="n">
        <v>52.03</v>
      </c>
      <c r="X651" s="34" t="n">
        <v>45212</v>
      </c>
    </row>
    <row r="652">
      <c r="A652" s="34" t="n">
        <v>45215</v>
      </c>
      <c r="B652" s="266" t="n">
        <v>1.074789047241211</v>
      </c>
      <c r="C652" s="34" t="n">
        <v>45215</v>
      </c>
      <c r="D652" s="15" t="n">
        <v>14.7</v>
      </c>
      <c r="E652" s="15" t="n">
        <v>25.79</v>
      </c>
      <c r="F652" s="34" t="n">
        <v>45215</v>
      </c>
      <c r="G652" s="15" t="n">
        <v>118.8</v>
      </c>
      <c r="H652" s="15" t="n">
        <v>158.59</v>
      </c>
      <c r="I652" s="34" t="n">
        <v>45215</v>
      </c>
      <c r="J652" s="15" t="n">
        <v>9.800000000000001</v>
      </c>
      <c r="K652" s="15" t="n">
        <v>16.4</v>
      </c>
      <c r="L652" s="34" t="n">
        <v>45215</v>
      </c>
      <c r="M652" s="15" t="n">
        <v>40.5</v>
      </c>
      <c r="N652" s="15" t="n">
        <v>55.82</v>
      </c>
      <c r="O652" s="34" t="n">
        <v>45215</v>
      </c>
      <c r="P652" s="15" t="n">
        <v>88.90000000000001</v>
      </c>
      <c r="Q652" s="15" t="n">
        <v>94.88</v>
      </c>
      <c r="R652" s="34" t="n">
        <v>45215</v>
      </c>
      <c r="S652" s="15" t="n">
        <v>12.52</v>
      </c>
      <c r="V652" s="15" t="n">
        <v>34.25</v>
      </c>
      <c r="W652" s="15" t="n">
        <v>50.49</v>
      </c>
      <c r="X652" s="34" t="n">
        <v>45215</v>
      </c>
    </row>
    <row r="653">
      <c r="A653" s="34" t="n">
        <v>45216</v>
      </c>
      <c r="B653" s="266" t="n">
        <v>1.077306985855103</v>
      </c>
      <c r="C653" s="34" t="n">
        <v>45216</v>
      </c>
      <c r="D653" s="15" t="n">
        <v>14.96</v>
      </c>
      <c r="E653" s="15" t="n">
        <v>26.47</v>
      </c>
      <c r="F653" s="34" t="n">
        <v>45216</v>
      </c>
      <c r="G653" s="15" t="n">
        <v>118</v>
      </c>
      <c r="H653" s="15" t="n">
        <v>159.58</v>
      </c>
      <c r="I653" s="34" t="n">
        <v>45216</v>
      </c>
      <c r="J653" s="15" t="n">
        <v>9.76</v>
      </c>
      <c r="K653" s="15" t="n">
        <v>16.49</v>
      </c>
      <c r="L653" s="34" t="n">
        <v>45216</v>
      </c>
      <c r="M653" s="15" t="n">
        <v>42.95</v>
      </c>
      <c r="N653" s="15" t="n">
        <v>55.9</v>
      </c>
      <c r="O653" s="34" t="n">
        <v>45216</v>
      </c>
      <c r="P653" s="15" t="n">
        <v>90.84999999999999</v>
      </c>
      <c r="Q653" s="15" t="n">
        <v>95.93000000000001</v>
      </c>
      <c r="R653" s="34" t="n">
        <v>45216</v>
      </c>
      <c r="S653" s="15" t="n">
        <v>13.04</v>
      </c>
      <c r="V653" s="15" t="n">
        <v>34.15</v>
      </c>
      <c r="W653" s="15" t="n">
        <v>51.23</v>
      </c>
      <c r="X653" s="34" t="n">
        <v>45216</v>
      </c>
    </row>
    <row r="654">
      <c r="A654" s="34" t="n">
        <v>45217</v>
      </c>
      <c r="B654" s="266" t="n">
        <v>1.079851984977722</v>
      </c>
      <c r="C654" s="34" t="n">
        <v>45217</v>
      </c>
      <c r="D654" s="15" t="n">
        <v>14.02</v>
      </c>
      <c r="E654" s="15" t="n">
        <v>25.83</v>
      </c>
      <c r="F654" s="34" t="n">
        <v>45217</v>
      </c>
      <c r="G654" s="15" t="n">
        <v>113.8</v>
      </c>
      <c r="H654" s="15" t="n">
        <v>156.55</v>
      </c>
      <c r="I654" s="34" t="n">
        <v>45217</v>
      </c>
      <c r="J654" s="15" t="n">
        <v>9.69</v>
      </c>
      <c r="K654" s="15" t="n">
        <v>16.22</v>
      </c>
      <c r="L654" s="34" t="n">
        <v>45217</v>
      </c>
      <c r="M654" s="15" t="n">
        <v>41.85</v>
      </c>
      <c r="N654" s="15" t="n">
        <v>54.26</v>
      </c>
      <c r="O654" s="34" t="n">
        <v>45217</v>
      </c>
      <c r="P654" s="15" t="n">
        <v>88.5</v>
      </c>
      <c r="Q654" s="15" t="n">
        <v>94.25</v>
      </c>
      <c r="R654" s="34" t="n">
        <v>45217</v>
      </c>
      <c r="S654" s="15" t="n">
        <v>12.04</v>
      </c>
      <c r="V654" s="15" t="n">
        <v>33.5</v>
      </c>
      <c r="W654" s="15" t="n">
        <v>49.84</v>
      </c>
      <c r="X654" s="34" t="n">
        <v>45217</v>
      </c>
    </row>
    <row r="655">
      <c r="A655" s="34" t="n">
        <v>45218</v>
      </c>
      <c r="B655" s="266" t="n">
        <v>1.077018976211548</v>
      </c>
      <c r="C655" s="34" t="n">
        <v>45218</v>
      </c>
      <c r="D655" s="15" t="n">
        <v>13.62</v>
      </c>
      <c r="E655" s="15" t="n">
        <v>25.76</v>
      </c>
      <c r="F655" s="34" t="n">
        <v>45218</v>
      </c>
      <c r="G655" s="15" t="n">
        <v>111.9</v>
      </c>
      <c r="H655" s="15" t="n">
        <v>154.17</v>
      </c>
      <c r="I655" s="34" t="n">
        <v>45218</v>
      </c>
      <c r="J655" s="15" t="n">
        <v>9.65</v>
      </c>
      <c r="K655" s="15" t="n">
        <v>16.1</v>
      </c>
      <c r="L655" s="34" t="n">
        <v>45218</v>
      </c>
      <c r="M655" s="15" t="n">
        <v>40.75</v>
      </c>
      <c r="N655" s="15" t="n">
        <v>52.7</v>
      </c>
      <c r="O655" s="34" t="n">
        <v>45218</v>
      </c>
      <c r="P655" s="15" t="n">
        <v>86.8</v>
      </c>
      <c r="Q655" s="15" t="n">
        <v>92.83</v>
      </c>
      <c r="R655" s="34" t="n">
        <v>45218</v>
      </c>
      <c r="S655" s="15" t="n">
        <v>11.6</v>
      </c>
      <c r="V655" s="15" t="n">
        <v>34.3</v>
      </c>
      <c r="W655" s="15" t="n">
        <v>49.79</v>
      </c>
      <c r="X655" s="34" t="n">
        <v>45218</v>
      </c>
    </row>
    <row r="656">
      <c r="A656" s="34" t="n">
        <v>45219</v>
      </c>
      <c r="B656" s="266" t="n">
        <v>1.081383943557739</v>
      </c>
      <c r="C656" s="34" t="n">
        <v>45219</v>
      </c>
      <c r="D656" s="15" t="n">
        <v>13.42</v>
      </c>
      <c r="E656" s="15" t="n">
        <v>24.86</v>
      </c>
      <c r="F656" s="34" t="n">
        <v>45219</v>
      </c>
      <c r="G656" s="15" t="n">
        <v>112.5</v>
      </c>
      <c r="H656" s="15" t="n">
        <v>152.18</v>
      </c>
      <c r="I656" s="34" t="n">
        <v>45219</v>
      </c>
      <c r="J656" s="15" t="n">
        <v>9.42</v>
      </c>
      <c r="K656" s="15" t="n">
        <v>15.95</v>
      </c>
      <c r="L656" s="34" t="n">
        <v>45219</v>
      </c>
      <c r="M656" s="15" t="n">
        <v>41.45</v>
      </c>
      <c r="N656" s="15" t="n">
        <v>54.73</v>
      </c>
      <c r="O656" s="34" t="n">
        <v>45219</v>
      </c>
      <c r="P656" s="15" t="n">
        <v>85.8</v>
      </c>
      <c r="Q656" s="15" t="n">
        <v>92.36</v>
      </c>
      <c r="R656" s="34" t="n">
        <v>45219</v>
      </c>
      <c r="S656" s="15" t="n">
        <v>11.14</v>
      </c>
      <c r="V656" s="15" t="n">
        <v>34.7</v>
      </c>
      <c r="W656" s="15" t="n">
        <v>49.2</v>
      </c>
      <c r="X656" s="34" t="n">
        <v>45219</v>
      </c>
    </row>
    <row r="657">
      <c r="A657" s="34" t="n">
        <v>45223</v>
      </c>
      <c r="B657" s="266" t="n">
        <v>1.090018033981323</v>
      </c>
      <c r="C657" s="34" t="n">
        <v>45223</v>
      </c>
      <c r="D657" s="15" t="n">
        <v>13.48</v>
      </c>
      <c r="E657" s="15" t="n">
        <v>23.9</v>
      </c>
      <c r="F657" s="34" t="n">
        <v>45223</v>
      </c>
      <c r="G657" s="15" t="n">
        <v>111.1</v>
      </c>
      <c r="H657" s="15" t="n">
        <v>156.46</v>
      </c>
      <c r="I657" s="34" t="n">
        <v>45223</v>
      </c>
      <c r="J657" s="15" t="n">
        <v>9.49</v>
      </c>
      <c r="K657" s="15" t="n">
        <v>15.83</v>
      </c>
      <c r="L657" s="34" t="n">
        <v>45223</v>
      </c>
      <c r="M657" s="15" t="n">
        <v>42.05</v>
      </c>
      <c r="N657" s="15" t="n">
        <v>53.39</v>
      </c>
      <c r="O657" s="34" t="n">
        <v>45223</v>
      </c>
      <c r="P657" s="15" t="n">
        <v>84.05</v>
      </c>
      <c r="Q657" s="15" t="n">
        <v>90.2</v>
      </c>
      <c r="R657" s="34" t="n">
        <v>45223</v>
      </c>
      <c r="S657" s="15" t="n">
        <v>11.5</v>
      </c>
      <c r="V657" s="15" t="n">
        <v>34.9</v>
      </c>
      <c r="W657" s="15" t="n">
        <v>48.2</v>
      </c>
      <c r="X657" s="34" t="n">
        <v>45223</v>
      </c>
    </row>
    <row r="658">
      <c r="A658" s="34" t="n">
        <v>45224</v>
      </c>
      <c r="B658" s="266" t="n">
        <v>1.08238697052002</v>
      </c>
      <c r="C658" s="34" t="n">
        <v>45224</v>
      </c>
      <c r="D658" s="15" t="n">
        <v>13.2</v>
      </c>
      <c r="E658" s="15" t="n">
        <v>23.34</v>
      </c>
      <c r="F658" s="34" t="n">
        <v>45224</v>
      </c>
      <c r="G658" s="15" t="n">
        <v>107.5</v>
      </c>
      <c r="H658" s="15" t="n">
        <v>150.28</v>
      </c>
      <c r="I658" s="34" t="n">
        <v>45224</v>
      </c>
      <c r="J658" s="15" t="n">
        <v>9.470000000000001</v>
      </c>
      <c r="K658" s="15" t="n">
        <v>15.86</v>
      </c>
      <c r="L658" s="34" t="n">
        <v>45224</v>
      </c>
      <c r="M658" s="15" t="n">
        <v>41.4</v>
      </c>
      <c r="N658" s="15" t="n">
        <v>52.9</v>
      </c>
      <c r="O658" s="34" t="n">
        <v>45224</v>
      </c>
      <c r="P658" s="15" t="n">
        <v>84.95</v>
      </c>
      <c r="Q658" s="15" t="n">
        <v>90.20999999999999</v>
      </c>
      <c r="R658" s="34" t="n">
        <v>45224</v>
      </c>
      <c r="S658" s="15" t="n">
        <v>11.24</v>
      </c>
      <c r="V658" s="15" t="n">
        <v>35.5</v>
      </c>
      <c r="W658" s="15" t="n">
        <v>49</v>
      </c>
      <c r="X658" s="34" t="n">
        <v>45224</v>
      </c>
    </row>
    <row r="659">
      <c r="A659" s="34" t="n">
        <v>45225</v>
      </c>
      <c r="B659" s="266" t="n">
        <v>1.079262971878052</v>
      </c>
      <c r="C659" s="34" t="n">
        <v>45225</v>
      </c>
      <c r="D659" s="15" t="n">
        <v>13.06</v>
      </c>
      <c r="E659" s="15" t="n">
        <v>22.5</v>
      </c>
      <c r="F659" s="34" t="n">
        <v>45225</v>
      </c>
      <c r="G659" s="15" t="n">
        <v>102.9</v>
      </c>
      <c r="H659" s="15" t="n">
        <v>149</v>
      </c>
      <c r="I659" s="34" t="n">
        <v>45225</v>
      </c>
      <c r="J659" s="15" t="n">
        <v>9.49</v>
      </c>
      <c r="K659" s="15" t="n">
        <v>16</v>
      </c>
      <c r="L659" s="34" t="n">
        <v>45225</v>
      </c>
      <c r="M659" s="15" t="n">
        <v>40.85</v>
      </c>
      <c r="N659" s="15" t="n">
        <v>52.4</v>
      </c>
      <c r="O659" s="34" t="n">
        <v>45225</v>
      </c>
      <c r="P659" s="15" t="n">
        <v>82.34999999999999</v>
      </c>
      <c r="Q659" s="15" t="n">
        <v>89.62</v>
      </c>
      <c r="R659" s="34" t="n">
        <v>45225</v>
      </c>
      <c r="S659" s="15" t="n">
        <v>11.5</v>
      </c>
      <c r="V659" s="15" t="n">
        <v>35.8</v>
      </c>
      <c r="W659" s="15" t="n">
        <v>48.45</v>
      </c>
      <c r="X659" s="34" t="n">
        <v>45225</v>
      </c>
    </row>
    <row r="660">
      <c r="A660" s="34" t="n">
        <v>45226</v>
      </c>
      <c r="B660" s="266" t="n">
        <v>1.078766942024231</v>
      </c>
      <c r="C660" s="34" t="n">
        <v>45226</v>
      </c>
      <c r="D660" s="15" t="n">
        <v>14.36</v>
      </c>
      <c r="E660" s="15" t="n">
        <v>24.75</v>
      </c>
      <c r="F660" s="34" t="n">
        <v>45226</v>
      </c>
      <c r="G660" s="15" t="n">
        <v>108.1</v>
      </c>
      <c r="H660" s="15" t="n">
        <v>156.31</v>
      </c>
      <c r="I660" s="34" t="n">
        <v>45226</v>
      </c>
      <c r="J660" s="15" t="n">
        <v>9.550000000000001</v>
      </c>
      <c r="K660" s="15" t="n">
        <v>16.25</v>
      </c>
      <c r="L660" s="34" t="n">
        <v>45226</v>
      </c>
      <c r="M660" s="15" t="n">
        <v>43.3</v>
      </c>
      <c r="N660" s="15" t="n">
        <v>55.6</v>
      </c>
      <c r="O660" s="34" t="n">
        <v>45226</v>
      </c>
      <c r="P660" s="15" t="n">
        <v>86</v>
      </c>
      <c r="Q660" s="15" t="n">
        <v>93.90000000000001</v>
      </c>
      <c r="R660" s="34" t="n">
        <v>45226</v>
      </c>
      <c r="S660" s="15" t="n">
        <v>11.8</v>
      </c>
      <c r="V660" s="15" t="n">
        <v>35.95</v>
      </c>
      <c r="W660" s="15" t="n">
        <v>50.06</v>
      </c>
      <c r="X660" s="34" t="n">
        <v>45226</v>
      </c>
    </row>
    <row r="661">
      <c r="A661" s="34" t="n">
        <v>45229</v>
      </c>
      <c r="B661" s="266" t="n">
        <v>1.078732967376709</v>
      </c>
      <c r="C661" s="34" t="n">
        <v>45229</v>
      </c>
      <c r="D661" s="15" t="n">
        <v>15.06</v>
      </c>
      <c r="E661" s="15" t="n">
        <v>26.5</v>
      </c>
      <c r="F661" s="34" t="n">
        <v>45229</v>
      </c>
      <c r="G661" s="15" t="n">
        <v>118.5</v>
      </c>
      <c r="H661" s="15" t="n">
        <v>164</v>
      </c>
      <c r="I661" s="34" t="n">
        <v>45229</v>
      </c>
      <c r="J661" s="15" t="n">
        <v>9.66</v>
      </c>
      <c r="K661" s="15" t="n">
        <v>16.38</v>
      </c>
      <c r="L661" s="34" t="n">
        <v>45229</v>
      </c>
      <c r="M661" s="15" t="n">
        <v>43.85</v>
      </c>
      <c r="N661" s="15" t="n">
        <v>55.9</v>
      </c>
      <c r="O661" s="34" t="n">
        <v>45229</v>
      </c>
      <c r="P661" s="15" t="n">
        <v>89.59999999999999</v>
      </c>
      <c r="Q661" s="15" t="n">
        <v>95.42</v>
      </c>
      <c r="R661" s="34" t="n">
        <v>45229</v>
      </c>
      <c r="S661" s="15" t="n">
        <v>12.06</v>
      </c>
      <c r="V661" s="15" t="n">
        <v>36.1</v>
      </c>
      <c r="W661" s="15" t="n">
        <v>49.54</v>
      </c>
      <c r="X661" s="34" t="n">
        <v>45229</v>
      </c>
    </row>
    <row r="662">
      <c r="A662" s="34" t="n">
        <v>45230</v>
      </c>
      <c r="B662" s="266" t="n">
        <v>1.083860993385315</v>
      </c>
      <c r="C662" s="34" t="n">
        <v>45230</v>
      </c>
      <c r="D662" s="15" t="n">
        <v>14.56</v>
      </c>
      <c r="E662" s="15" t="n">
        <v>26.77</v>
      </c>
      <c r="F662" s="34" t="n">
        <v>45230</v>
      </c>
      <c r="G662" s="15" t="n">
        <v>101.5</v>
      </c>
      <c r="H662" s="15" t="n">
        <v>150.95</v>
      </c>
      <c r="I662" s="34" t="n">
        <v>45230</v>
      </c>
      <c r="J662" s="15" t="n">
        <v>9.4</v>
      </c>
      <c r="K662" s="15" t="n">
        <v>16.56</v>
      </c>
      <c r="L662" s="34" t="n">
        <v>45230</v>
      </c>
      <c r="M662" s="15" t="n">
        <v>42.2</v>
      </c>
      <c r="N662" s="15" t="n">
        <v>55</v>
      </c>
      <c r="O662" s="34" t="n">
        <v>45230</v>
      </c>
      <c r="P662" s="15" t="n">
        <v>88.34999999999999</v>
      </c>
      <c r="Q662" s="15" t="n">
        <v>94.59999999999999</v>
      </c>
      <c r="R662" s="34" t="n">
        <v>45230</v>
      </c>
      <c r="S662" s="15" t="n">
        <v>11.88</v>
      </c>
      <c r="V662" s="15" t="n">
        <v>35.85</v>
      </c>
      <c r="W662" s="15" t="n">
        <v>49.19</v>
      </c>
      <c r="X662" s="34" t="n">
        <v>45230</v>
      </c>
    </row>
    <row r="663">
      <c r="A663" s="34" t="n">
        <v>45231</v>
      </c>
      <c r="B663" s="266" t="n">
        <v>1.080816030502319</v>
      </c>
      <c r="C663" s="34" t="n">
        <v>45231</v>
      </c>
      <c r="D663" s="15" t="n">
        <v>14.78</v>
      </c>
      <c r="E663" s="15" t="n">
        <v>26.39</v>
      </c>
      <c r="F663" s="34" t="n">
        <v>45231</v>
      </c>
      <c r="G663" s="15" t="n">
        <v>101.7</v>
      </c>
      <c r="H663" s="15" t="n">
        <v>146.21</v>
      </c>
      <c r="I663" s="34" t="n">
        <v>45231</v>
      </c>
      <c r="J663" s="15" t="n">
        <v>9.300000000000001</v>
      </c>
      <c r="K663" s="15" t="n">
        <v>16.68</v>
      </c>
      <c r="L663" s="34" t="n">
        <v>45231</v>
      </c>
      <c r="M663" s="15" t="n">
        <v>41.4</v>
      </c>
      <c r="N663" s="15" t="n">
        <v>53.61</v>
      </c>
      <c r="O663" s="34" t="n">
        <v>45231</v>
      </c>
      <c r="P663" s="15" t="n">
        <v>87.2</v>
      </c>
      <c r="Q663" s="15" t="n">
        <v>93.84</v>
      </c>
      <c r="R663" s="34" t="n">
        <v>45231</v>
      </c>
      <c r="S663" s="15" t="n">
        <v>11.62</v>
      </c>
      <c r="V663" s="15" t="n">
        <v>36.2</v>
      </c>
      <c r="W663" s="15" t="n">
        <v>50.09</v>
      </c>
      <c r="X663" s="34" t="n">
        <v>45231</v>
      </c>
    </row>
    <row r="664">
      <c r="A664" s="34" t="n">
        <v>45232</v>
      </c>
      <c r="B664" s="266" t="n">
        <v>1.081329941749573</v>
      </c>
      <c r="C664" s="34" t="n">
        <v>45232</v>
      </c>
      <c r="D664" s="15" t="n">
        <v>14.28</v>
      </c>
      <c r="E664" s="15" t="n">
        <v>26.22</v>
      </c>
      <c r="F664" s="34" t="n">
        <v>45232</v>
      </c>
      <c r="G664" s="15" t="n">
        <v>103.8</v>
      </c>
      <c r="H664" s="15" t="n">
        <v>144.89</v>
      </c>
      <c r="I664" s="34" t="n">
        <v>45232</v>
      </c>
      <c r="J664" s="15" t="n">
        <v>9.42</v>
      </c>
      <c r="K664" s="15" t="n">
        <v>16.82</v>
      </c>
      <c r="L664" s="34" t="n">
        <v>45232</v>
      </c>
      <c r="M664" s="15" t="n">
        <v>40</v>
      </c>
      <c r="N664" s="15" t="n">
        <v>52.45</v>
      </c>
      <c r="O664" s="34" t="n">
        <v>45232</v>
      </c>
      <c r="P664" s="15" t="n">
        <v>87.45</v>
      </c>
      <c r="Q664" s="15" t="n">
        <v>92.73</v>
      </c>
      <c r="R664" s="34" t="n">
        <v>45232</v>
      </c>
      <c r="S664" s="15" t="n">
        <v>11.8</v>
      </c>
      <c r="V664" s="15" t="n">
        <v>36.3</v>
      </c>
      <c r="W664" s="15" t="n">
        <v>49.54</v>
      </c>
      <c r="X664" s="34" t="n">
        <v>45232</v>
      </c>
    </row>
    <row r="665">
      <c r="A665" s="34" t="n">
        <v>45233</v>
      </c>
      <c r="B665" s="266" t="n">
        <v>1.084671974182129</v>
      </c>
      <c r="C665" s="34" t="n">
        <v>45233</v>
      </c>
      <c r="D665" s="15" t="n">
        <v>14.8</v>
      </c>
      <c r="E665" s="15" t="n">
        <v>26.29</v>
      </c>
      <c r="F665" s="34" t="n">
        <v>45233</v>
      </c>
      <c r="G665" s="15" t="n">
        <v>109.5</v>
      </c>
      <c r="H665" s="15" t="n">
        <v>147.52</v>
      </c>
      <c r="I665" s="34" t="n">
        <v>45233</v>
      </c>
      <c r="J665" s="15" t="n">
        <v>9.84</v>
      </c>
      <c r="K665" s="15" t="n">
        <v>17.25</v>
      </c>
      <c r="L665" s="34" t="n">
        <v>45233</v>
      </c>
      <c r="M665" s="15" t="n">
        <v>41.4</v>
      </c>
      <c r="N665" s="15" t="n">
        <v>53.04</v>
      </c>
      <c r="O665" s="34" t="n">
        <v>45233</v>
      </c>
      <c r="P665" s="15" t="n">
        <v>90.55</v>
      </c>
      <c r="Q665" s="15" t="n">
        <v>94.58</v>
      </c>
      <c r="R665" s="34" t="n">
        <v>45233</v>
      </c>
      <c r="S665" s="15" t="n">
        <v>12.14</v>
      </c>
      <c r="V665" s="15" t="n">
        <v>36.4</v>
      </c>
      <c r="W665" s="15" t="n">
        <v>50.75</v>
      </c>
      <c r="X665" s="34" t="n">
        <v>45233</v>
      </c>
    </row>
    <row r="666">
      <c r="A666" s="34" t="n">
        <v>45236</v>
      </c>
      <c r="B666" s="266" t="n">
        <v>1.096359014511108</v>
      </c>
      <c r="C666" s="34" t="n">
        <v>45236</v>
      </c>
      <c r="D666" s="15" t="n">
        <v>15.76</v>
      </c>
      <c r="E666" s="15" t="n">
        <v>28.31</v>
      </c>
      <c r="F666" s="34" t="n">
        <v>45236</v>
      </c>
      <c r="G666" s="15" t="n">
        <v>115</v>
      </c>
      <c r="H666" s="15" t="n">
        <v>157.09</v>
      </c>
      <c r="I666" s="34" t="n">
        <v>45236</v>
      </c>
      <c r="J666" s="15" t="n">
        <v>10.32</v>
      </c>
      <c r="K666" s="15" t="n">
        <v>17.63</v>
      </c>
      <c r="L666" s="34" t="n">
        <v>45236</v>
      </c>
      <c r="M666" s="15" t="n">
        <v>43.6</v>
      </c>
      <c r="N666" s="15" t="n">
        <v>54.96</v>
      </c>
      <c r="O666" s="34" t="n">
        <v>45236</v>
      </c>
      <c r="P666" s="15" t="n">
        <v>92.25</v>
      </c>
      <c r="Q666" s="15" t="n">
        <v>96.19</v>
      </c>
      <c r="R666" s="34" t="n">
        <v>45236</v>
      </c>
      <c r="S666" s="15" t="n">
        <v>12.64</v>
      </c>
      <c r="V666" s="15" t="n">
        <v>36.8</v>
      </c>
      <c r="W666" s="15" t="n">
        <v>51.22</v>
      </c>
      <c r="X666" s="34" t="n">
        <v>45236</v>
      </c>
    </row>
    <row r="667">
      <c r="A667" s="34" t="n">
        <v>45237</v>
      </c>
      <c r="B667" s="266" t="n">
        <v>1.094547033309937</v>
      </c>
      <c r="C667" s="34" t="n">
        <v>45237</v>
      </c>
      <c r="D667" s="15" t="n">
        <v>15.7</v>
      </c>
      <c r="E667" s="15" t="n">
        <v>28.5</v>
      </c>
      <c r="F667" s="34" t="n">
        <v>45237</v>
      </c>
      <c r="G667" s="15" t="n">
        <v>116.3</v>
      </c>
      <c r="H667" s="15" t="n">
        <v>155.79</v>
      </c>
      <c r="I667" s="34" t="n">
        <v>45237</v>
      </c>
      <c r="J667" s="15" t="n">
        <v>10.28</v>
      </c>
      <c r="K667" s="15" t="n">
        <v>17.57</v>
      </c>
      <c r="L667" s="34" t="n">
        <v>45237</v>
      </c>
      <c r="M667" s="15" t="n">
        <v>42.3</v>
      </c>
      <c r="N667" s="15" t="n">
        <v>54.7</v>
      </c>
      <c r="O667" s="34" t="n">
        <v>45237</v>
      </c>
      <c r="P667" s="15" t="n">
        <v>92.09999999999999</v>
      </c>
      <c r="Q667" s="15" t="n">
        <v>95.61</v>
      </c>
      <c r="R667" s="34" t="n">
        <v>45237</v>
      </c>
      <c r="S667" s="15" t="n">
        <v>12.76</v>
      </c>
      <c r="V667" s="15" t="n">
        <v>37.1</v>
      </c>
      <c r="W667" s="15" t="n">
        <v>51.54</v>
      </c>
      <c r="X667" s="34" t="n">
        <v>45237</v>
      </c>
    </row>
    <row r="668">
      <c r="A668" s="34" t="n">
        <v>45238</v>
      </c>
      <c r="B668" s="266" t="n">
        <v>1.092092037200928</v>
      </c>
      <c r="C668" s="34" t="n">
        <v>45238</v>
      </c>
      <c r="D668" s="15" t="n">
        <v>15.68</v>
      </c>
      <c r="E668" s="15" t="n">
        <v>28.58</v>
      </c>
      <c r="F668" s="34" t="n">
        <v>45238</v>
      </c>
      <c r="G668" s="15" t="n">
        <v>111</v>
      </c>
      <c r="H668" s="15" t="n">
        <v>155.79</v>
      </c>
      <c r="I668" s="34" t="n">
        <v>45238</v>
      </c>
      <c r="J668" s="15" t="n">
        <v>10.04</v>
      </c>
      <c r="K668" s="15" t="n">
        <v>17.5</v>
      </c>
      <c r="L668" s="34" t="n">
        <v>45238</v>
      </c>
      <c r="M668" s="15" t="n">
        <v>42.55</v>
      </c>
      <c r="N668" s="15" t="n">
        <v>54.8</v>
      </c>
      <c r="O668" s="34" t="n">
        <v>45238</v>
      </c>
      <c r="P668" s="15" t="n">
        <v>92.40000000000001</v>
      </c>
      <c r="Q668" s="15" t="n">
        <v>96.3</v>
      </c>
      <c r="R668" s="34" t="n">
        <v>45238</v>
      </c>
      <c r="S668" s="15" t="n">
        <v>13.18</v>
      </c>
      <c r="V668" s="15" t="n">
        <v>38</v>
      </c>
      <c r="W668" s="15" t="n">
        <v>52.04</v>
      </c>
      <c r="X668" s="34" t="n">
        <v>45238</v>
      </c>
    </row>
    <row r="669">
      <c r="A669" s="34" t="n">
        <v>45239</v>
      </c>
      <c r="B669" s="266" t="n">
        <v>1.092741012573242</v>
      </c>
      <c r="C669" s="34" t="n">
        <v>45239</v>
      </c>
      <c r="D669" s="15" t="n">
        <v>15.18</v>
      </c>
      <c r="E669" s="15" t="n">
        <v>28.17</v>
      </c>
      <c r="F669" s="34" t="n">
        <v>45239</v>
      </c>
      <c r="G669" s="15" t="n">
        <v>104.6</v>
      </c>
      <c r="H669" s="15" t="n">
        <v>148.66</v>
      </c>
      <c r="I669" s="34" t="n">
        <v>45239</v>
      </c>
      <c r="J669" s="15" t="n">
        <v>9.880000000000001</v>
      </c>
      <c r="K669" s="15" t="n">
        <v>17.78</v>
      </c>
      <c r="L669" s="34" t="n">
        <v>45239</v>
      </c>
      <c r="M669" s="15" t="n">
        <v>42.3</v>
      </c>
      <c r="N669" s="15" t="n">
        <v>55.09</v>
      </c>
      <c r="O669" s="34" t="n">
        <v>45239</v>
      </c>
      <c r="P669" s="15" t="n">
        <v>91.05</v>
      </c>
      <c r="Q669" s="15" t="n">
        <v>95.98</v>
      </c>
      <c r="R669" s="34" t="n">
        <v>45239</v>
      </c>
      <c r="S669" s="15" t="n">
        <v>12.74</v>
      </c>
      <c r="V669" s="15" t="n">
        <v>37.65</v>
      </c>
      <c r="W669" s="15" t="n">
        <v>51.93</v>
      </c>
      <c r="X669" s="34" t="n">
        <v>45239</v>
      </c>
    </row>
    <row r="670">
      <c r="A670" s="34" t="n">
        <v>45240</v>
      </c>
      <c r="B670" s="266" t="n">
        <v>1.087584972381592</v>
      </c>
      <c r="C670" s="34" t="n">
        <v>45240</v>
      </c>
      <c r="D670" s="15" t="n">
        <v>14.9</v>
      </c>
      <c r="E670" s="15" t="n">
        <v>28.24</v>
      </c>
      <c r="F670" s="34" t="n">
        <v>45240</v>
      </c>
      <c r="G670" s="15" t="n">
        <v>106.6</v>
      </c>
      <c r="H670" s="15" t="n">
        <v>148.4</v>
      </c>
      <c r="I670" s="34" t="n">
        <v>45240</v>
      </c>
      <c r="J670" s="15" t="n">
        <v>9.58</v>
      </c>
      <c r="K670" s="15" t="n">
        <v>17.51</v>
      </c>
      <c r="L670" s="34" t="n">
        <v>45240</v>
      </c>
      <c r="M670" s="15" t="n">
        <v>41.3</v>
      </c>
      <c r="N670" s="15" t="n">
        <v>54.66</v>
      </c>
      <c r="O670" s="34" t="n">
        <v>45240</v>
      </c>
      <c r="P670" s="15" t="n">
        <v>89.34999999999999</v>
      </c>
      <c r="Q670" s="15" t="n">
        <v>94.40000000000001</v>
      </c>
      <c r="R670" s="34" t="n">
        <v>45240</v>
      </c>
      <c r="S670" s="15" t="n">
        <v>12.4</v>
      </c>
      <c r="V670" s="15" t="n">
        <v>37.05</v>
      </c>
      <c r="W670" s="15" t="n">
        <v>52.07</v>
      </c>
      <c r="X670" s="34" t="n">
        <v>45240</v>
      </c>
    </row>
    <row r="671">
      <c r="A671" s="34" t="n">
        <v>45243</v>
      </c>
      <c r="B671" s="266" t="n">
        <v>1.090304970741272</v>
      </c>
      <c r="C671" s="34" t="n">
        <v>45243</v>
      </c>
      <c r="D671" s="15" t="n">
        <v>15.24</v>
      </c>
      <c r="E671" s="15" t="n">
        <v>28.37</v>
      </c>
      <c r="F671" s="34" t="n">
        <v>45243</v>
      </c>
      <c r="G671" s="15" t="n">
        <v>106.6</v>
      </c>
      <c r="H671" s="15" t="n">
        <v>147.82</v>
      </c>
      <c r="I671" s="34" t="n">
        <v>45243</v>
      </c>
      <c r="J671" s="15" t="n">
        <v>9.59</v>
      </c>
      <c r="K671" s="15" t="n">
        <v>17.39</v>
      </c>
      <c r="L671" s="34" t="n">
        <v>45243</v>
      </c>
      <c r="M671" s="15" t="n">
        <v>41.15</v>
      </c>
      <c r="N671" s="15" t="n">
        <v>54.16</v>
      </c>
      <c r="O671" s="34" t="n">
        <v>45243</v>
      </c>
      <c r="P671" s="15" t="n">
        <v>91.5</v>
      </c>
      <c r="Q671" s="15" t="n">
        <v>95.12</v>
      </c>
      <c r="R671" s="34" t="n">
        <v>45243</v>
      </c>
      <c r="S671" s="15" t="n">
        <v>12.98</v>
      </c>
      <c r="V671" s="15" t="n">
        <v>37.15</v>
      </c>
      <c r="W671" s="15" t="n">
        <v>51.98</v>
      </c>
      <c r="X671" s="34" t="n">
        <v>45243</v>
      </c>
    </row>
    <row r="672">
      <c r="A672" s="34" t="n">
        <v>45244</v>
      </c>
      <c r="B672" s="266" t="n">
        <v>1.091066956520081</v>
      </c>
      <c r="C672" s="34" t="n">
        <v>45244</v>
      </c>
      <c r="D672" s="15" t="n">
        <v>15.2</v>
      </c>
      <c r="E672" s="15" t="n">
        <v>28.43</v>
      </c>
      <c r="F672" s="34" t="n">
        <v>45244</v>
      </c>
      <c r="G672" s="15" t="n">
        <v>107.1</v>
      </c>
      <c r="H672" s="15" t="n">
        <v>148.63</v>
      </c>
      <c r="I672" s="34" t="n">
        <v>45244</v>
      </c>
      <c r="J672" s="15" t="n">
        <v>9.74</v>
      </c>
      <c r="K672" s="15" t="n">
        <v>17.34</v>
      </c>
      <c r="L672" s="34" t="n">
        <v>45244</v>
      </c>
      <c r="M672" s="15" t="n">
        <v>39.5</v>
      </c>
      <c r="N672" s="15" t="n">
        <v>53.62</v>
      </c>
      <c r="O672" s="34" t="n">
        <v>45244</v>
      </c>
      <c r="P672" s="15" t="n">
        <v>91.8</v>
      </c>
      <c r="Q672" s="15" t="n">
        <v>95.23999999999999</v>
      </c>
      <c r="R672" s="34" t="n">
        <v>45244</v>
      </c>
      <c r="S672" s="15" t="n">
        <v>12.42</v>
      </c>
      <c r="V672" s="15" t="n">
        <v>37.85</v>
      </c>
      <c r="W672" s="15" t="n">
        <v>52.44</v>
      </c>
      <c r="X672" s="34" t="n">
        <v>45244</v>
      </c>
    </row>
    <row r="673">
      <c r="A673" s="34" t="n">
        <v>45245</v>
      </c>
      <c r="B673" s="266" t="n">
        <v>1.108688950538635</v>
      </c>
      <c r="C673" s="34" t="n">
        <v>45245</v>
      </c>
      <c r="D673" s="15" t="n">
        <v>15.42</v>
      </c>
      <c r="E673" s="15" t="n">
        <v>28.56</v>
      </c>
      <c r="F673" s="34" t="n">
        <v>45245</v>
      </c>
      <c r="G673" s="15" t="n">
        <v>110.6</v>
      </c>
      <c r="H673" s="15" t="n">
        <v>150.08</v>
      </c>
      <c r="I673" s="34" t="n">
        <v>45245</v>
      </c>
      <c r="J673" s="15" t="n">
        <v>9.970000000000001</v>
      </c>
      <c r="K673" s="15" t="n">
        <v>17.53</v>
      </c>
      <c r="L673" s="34" t="n">
        <v>45245</v>
      </c>
      <c r="M673" s="15" t="n">
        <v>41.5</v>
      </c>
      <c r="N673" s="15" t="n">
        <v>55.54</v>
      </c>
      <c r="O673" s="34" t="n">
        <v>45245</v>
      </c>
      <c r="P673" s="15" t="n">
        <v>94.65000000000001</v>
      </c>
      <c r="Q673" s="15" t="n">
        <v>96.15000000000001</v>
      </c>
      <c r="R673" s="34" t="n">
        <v>45245</v>
      </c>
      <c r="S673" s="15" t="n">
        <v>12.54</v>
      </c>
      <c r="V673" s="15" t="n">
        <v>38.3</v>
      </c>
      <c r="W673" s="15" t="n">
        <v>52.87</v>
      </c>
      <c r="X673" s="34" t="n">
        <v>45245</v>
      </c>
    </row>
    <row r="674">
      <c r="A674" s="34" t="n">
        <v>45246</v>
      </c>
      <c r="B674" s="266" t="n">
        <v>1.106451988220215</v>
      </c>
      <c r="C674" s="34" t="n">
        <v>45246</v>
      </c>
      <c r="D674" s="15" t="n">
        <v>14.82</v>
      </c>
      <c r="E674" s="15" t="n">
        <v>27.51</v>
      </c>
      <c r="F674" s="34" t="n">
        <v>45246</v>
      </c>
      <c r="G674" s="15" t="n">
        <v>107</v>
      </c>
      <c r="H674" s="15" t="n">
        <v>145.81</v>
      </c>
      <c r="I674" s="34" t="n">
        <v>45246</v>
      </c>
      <c r="J674" s="15" t="n">
        <v>9.84</v>
      </c>
      <c r="K674" s="15" t="n">
        <v>17.49</v>
      </c>
      <c r="L674" s="34" t="n">
        <v>45246</v>
      </c>
      <c r="M674" s="15" t="n">
        <v>41.6</v>
      </c>
      <c r="N674" s="15" t="n">
        <v>54.15</v>
      </c>
      <c r="O674" s="34" t="n">
        <v>45246</v>
      </c>
      <c r="P674" s="15" t="n">
        <v>90.65000000000001</v>
      </c>
      <c r="Q674" s="15" t="n">
        <v>94.36</v>
      </c>
      <c r="R674" s="34" t="n">
        <v>45246</v>
      </c>
      <c r="S674" s="15" t="n">
        <v>12.86</v>
      </c>
      <c r="V674" s="15" t="n">
        <v>38</v>
      </c>
      <c r="W674" s="15" t="n">
        <v>51.6</v>
      </c>
      <c r="X674" s="34" t="n">
        <v>45246</v>
      </c>
    </row>
    <row r="675">
      <c r="A675" s="34" t="n">
        <v>45247</v>
      </c>
      <c r="B675" s="266" t="n">
        <v>1.105692982673645</v>
      </c>
      <c r="C675" s="34" t="n">
        <v>45247</v>
      </c>
      <c r="D675" s="15" t="n">
        <v>14.72</v>
      </c>
      <c r="E675" s="15" t="n">
        <v>27.66</v>
      </c>
      <c r="F675" s="34" t="n">
        <v>45247</v>
      </c>
      <c r="G675" s="15" t="n">
        <v>109</v>
      </c>
      <c r="H675" s="15" t="n">
        <v>145.39</v>
      </c>
      <c r="I675" s="34" t="n">
        <v>45247</v>
      </c>
      <c r="J675" s="15" t="n">
        <v>9.81</v>
      </c>
      <c r="K675" s="15" t="n">
        <v>17.52</v>
      </c>
      <c r="L675" s="34" t="n">
        <v>45247</v>
      </c>
      <c r="M675" s="15" t="n">
        <v>41.15</v>
      </c>
      <c r="N675" s="15" t="n">
        <v>54.11</v>
      </c>
      <c r="O675" s="34" t="n">
        <v>45247</v>
      </c>
      <c r="P675" s="15" t="n">
        <v>89.3</v>
      </c>
      <c r="Q675" s="15" t="n">
        <v>93.58</v>
      </c>
      <c r="R675" s="34" t="n">
        <v>45247</v>
      </c>
      <c r="S675" s="15" t="n">
        <v>12.3</v>
      </c>
      <c r="V675" s="15" t="n">
        <v>38.15</v>
      </c>
      <c r="W675" s="15" t="n">
        <v>51.97</v>
      </c>
      <c r="X675" s="34" t="n">
        <v>45247</v>
      </c>
    </row>
    <row r="676">
      <c r="A676" s="34" t="n">
        <v>45250</v>
      </c>
      <c r="B676" s="266" t="n">
        <v>1.110219955444336</v>
      </c>
      <c r="C676" s="34" t="n">
        <v>45250</v>
      </c>
      <c r="D676" s="15" t="n">
        <v>15.06</v>
      </c>
      <c r="E676" s="15" t="n">
        <v>27.75</v>
      </c>
      <c r="F676" s="34" t="n">
        <v>45250</v>
      </c>
      <c r="G676" s="15" t="n">
        <v>108.3</v>
      </c>
      <c r="H676" s="15" t="n">
        <v>146.37</v>
      </c>
      <c r="I676" s="34" t="n">
        <v>45250</v>
      </c>
      <c r="J676" s="15" t="n">
        <v>10.5</v>
      </c>
      <c r="K676" s="15" t="n">
        <v>19</v>
      </c>
      <c r="L676" s="34" t="n">
        <v>45250</v>
      </c>
      <c r="M676" s="15" t="n">
        <v>41.6</v>
      </c>
      <c r="N676" s="15" t="n">
        <v>54.06</v>
      </c>
      <c r="O676" s="34" t="n">
        <v>45250</v>
      </c>
      <c r="P676" s="15" t="n">
        <v>91.8</v>
      </c>
      <c r="Q676" s="15" t="n">
        <v>94.45999999999999</v>
      </c>
      <c r="R676" s="34" t="n">
        <v>45250</v>
      </c>
      <c r="S676" s="15" t="n">
        <v>12.82</v>
      </c>
      <c r="V676" s="15" t="n">
        <v>38.25</v>
      </c>
      <c r="W676" s="15" t="n">
        <v>52.17</v>
      </c>
      <c r="X676" s="34" t="n">
        <v>45250</v>
      </c>
    </row>
    <row r="677">
      <c r="A677" s="34" t="n">
        <v>45251</v>
      </c>
      <c r="B677" s="266" t="n">
        <v>1.113530039787292</v>
      </c>
      <c r="C677" s="34" t="n">
        <v>45251</v>
      </c>
      <c r="D677" s="15" t="n">
        <v>14.84</v>
      </c>
      <c r="E677" s="15" t="n">
        <v>27.71</v>
      </c>
      <c r="F677" s="34" t="n">
        <v>45251</v>
      </c>
      <c r="G677" s="15" t="n">
        <v>107.3</v>
      </c>
      <c r="H677" s="15" t="n">
        <v>145.88</v>
      </c>
      <c r="I677" s="34" t="n">
        <v>45251</v>
      </c>
      <c r="J677" s="15" t="n">
        <v>10.34</v>
      </c>
      <c r="K677" s="15" t="n">
        <v>18.61</v>
      </c>
      <c r="L677" s="34" t="n">
        <v>45251</v>
      </c>
      <c r="M677" s="15" t="n">
        <v>41.5</v>
      </c>
      <c r="N677" s="15" t="n">
        <v>53.61</v>
      </c>
      <c r="O677" s="34" t="n">
        <v>45251</v>
      </c>
      <c r="P677" s="15" t="n">
        <v>92.09999999999999</v>
      </c>
      <c r="Q677" s="15" t="n">
        <v>95.03</v>
      </c>
      <c r="R677" s="34" t="n">
        <v>45251</v>
      </c>
      <c r="S677" s="15" t="n">
        <v>12.8</v>
      </c>
      <c r="V677" s="15" t="n">
        <v>38.6</v>
      </c>
      <c r="W677" s="15" t="n">
        <v>51.9</v>
      </c>
      <c r="X677" s="34" t="n">
        <v>45251</v>
      </c>
    </row>
    <row r="678">
      <c r="A678" s="34" t="n">
        <v>45252</v>
      </c>
      <c r="B678" s="266" t="n">
        <v>1.11102294921875</v>
      </c>
      <c r="C678" s="34" t="n">
        <v>45252</v>
      </c>
      <c r="D678" s="15" t="n">
        <v>14.26</v>
      </c>
      <c r="E678" s="15" t="n">
        <v>26.95</v>
      </c>
      <c r="F678" s="34" t="n">
        <v>45252</v>
      </c>
      <c r="G678" s="15" t="n">
        <v>105</v>
      </c>
      <c r="H678" s="15" t="n">
        <v>141.23</v>
      </c>
      <c r="I678" s="34" t="n">
        <v>45252</v>
      </c>
      <c r="J678" s="15" t="n">
        <v>10.12</v>
      </c>
      <c r="K678" s="15" t="n">
        <v>18.19</v>
      </c>
      <c r="L678" s="34" t="n">
        <v>45252</v>
      </c>
      <c r="M678" s="15" t="n">
        <v>40.2</v>
      </c>
      <c r="N678" s="15" t="n">
        <v>52.09</v>
      </c>
      <c r="O678" s="34" t="n">
        <v>45252</v>
      </c>
      <c r="P678" s="15" t="n">
        <v>90.8</v>
      </c>
      <c r="Q678" s="15" t="n">
        <v>93.27</v>
      </c>
      <c r="R678" s="34" t="n">
        <v>45252</v>
      </c>
      <c r="S678" s="15" t="n">
        <v>12.92</v>
      </c>
      <c r="V678" s="15" t="n">
        <v>38.3</v>
      </c>
      <c r="W678" s="15" t="n">
        <v>51.01</v>
      </c>
      <c r="X678" s="34" t="n">
        <v>45252</v>
      </c>
    </row>
    <row r="679">
      <c r="A679" s="34" t="n">
        <v>45253</v>
      </c>
      <c r="B679" s="266" t="n">
        <v>1.10846996307373</v>
      </c>
      <c r="C679" s="34" t="n">
        <v>45253</v>
      </c>
      <c r="D679" s="15" t="n">
        <v>14.6</v>
      </c>
      <c r="E679" s="15" t="n">
        <v>27.15</v>
      </c>
      <c r="F679" s="34" t="n">
        <v>45253</v>
      </c>
      <c r="G679" s="15" t="n">
        <v>106.9</v>
      </c>
      <c r="H679" s="15" t="n">
        <v>141.65</v>
      </c>
      <c r="I679" s="34" t="n">
        <v>45253</v>
      </c>
      <c r="J679" s="15" t="n">
        <v>10.32</v>
      </c>
      <c r="K679" s="15" t="n">
        <v>18.6</v>
      </c>
      <c r="L679" s="34" t="n">
        <v>45253</v>
      </c>
      <c r="M679" s="15" t="n">
        <v>40.25</v>
      </c>
      <c r="N679" s="15" t="n">
        <v>52.37</v>
      </c>
      <c r="O679" s="34" t="n">
        <v>45253</v>
      </c>
      <c r="P679" s="15" t="n">
        <v>93.5</v>
      </c>
      <c r="Q679" s="15" t="n">
        <v>93.84</v>
      </c>
      <c r="R679" s="34" t="n">
        <v>45253</v>
      </c>
      <c r="S679" s="15" t="n">
        <v>13.1</v>
      </c>
      <c r="V679" s="15" t="n">
        <v>38.2</v>
      </c>
      <c r="W679" s="15" t="n">
        <v>52.78</v>
      </c>
      <c r="X679" s="34" t="n">
        <v>45253</v>
      </c>
    </row>
    <row r="680">
      <c r="A680" s="34" t="n">
        <v>45254</v>
      </c>
      <c r="B680" s="266" t="n">
        <v>1.110196948051453</v>
      </c>
      <c r="C680" s="34" t="n">
        <v>45254</v>
      </c>
      <c r="D680" s="15" t="n">
        <v>14.28</v>
      </c>
      <c r="E680" s="15" t="n">
        <v>26.67</v>
      </c>
      <c r="F680" s="34" t="n">
        <v>45254</v>
      </c>
      <c r="G680" s="15" t="n">
        <v>105.8</v>
      </c>
      <c r="H680" s="15" t="n">
        <v>141.7</v>
      </c>
      <c r="I680" s="34" t="n">
        <v>45254</v>
      </c>
      <c r="J680" s="15" t="n">
        <v>10.32</v>
      </c>
      <c r="K680" s="15" t="n">
        <v>18.35</v>
      </c>
      <c r="L680" s="34" t="n">
        <v>45254</v>
      </c>
      <c r="M680" s="15" t="n">
        <v>40.9</v>
      </c>
      <c r="N680" s="15" t="n">
        <v>51.88</v>
      </c>
      <c r="O680" s="34" t="n">
        <v>45254</v>
      </c>
      <c r="P680" s="15" t="n">
        <v>89.3</v>
      </c>
      <c r="Q680" s="15" t="n">
        <v>92</v>
      </c>
      <c r="R680" s="34" t="n">
        <v>45254</v>
      </c>
      <c r="S680" s="15" t="n">
        <v>12.86</v>
      </c>
      <c r="V680" s="15" t="n">
        <v>38.35</v>
      </c>
      <c r="W680" s="15" t="n">
        <v>52.99</v>
      </c>
      <c r="X680" s="34" t="n">
        <v>45254</v>
      </c>
    </row>
    <row r="681">
      <c r="A681" s="34" t="n">
        <v>45257</v>
      </c>
      <c r="B681" s="266" t="n">
        <v>1.113034963607788</v>
      </c>
      <c r="C681" s="34" t="n">
        <v>45257</v>
      </c>
      <c r="D681" s="15" t="n">
        <v>13.98</v>
      </c>
      <c r="E681" s="15" t="n">
        <v>26.14</v>
      </c>
      <c r="F681" s="34" t="n">
        <v>45257</v>
      </c>
      <c r="G681" s="15" t="n">
        <v>105.3</v>
      </c>
      <c r="H681" s="15" t="n">
        <v>141.33</v>
      </c>
      <c r="I681" s="34" t="n">
        <v>45257</v>
      </c>
      <c r="J681" s="15" t="n">
        <v>10.2</v>
      </c>
      <c r="K681" s="15" t="n">
        <v>18.65</v>
      </c>
      <c r="L681" s="34" t="n">
        <v>45257</v>
      </c>
      <c r="M681" s="15" t="n">
        <v>40.6</v>
      </c>
      <c r="N681" s="15" t="n">
        <v>50.39</v>
      </c>
      <c r="O681" s="34" t="n">
        <v>45257</v>
      </c>
      <c r="P681" s="15" t="n">
        <v>89</v>
      </c>
      <c r="Q681" s="15" t="n">
        <v>90.89</v>
      </c>
      <c r="R681" s="34" t="n">
        <v>45257</v>
      </c>
      <c r="S681" s="15" t="n">
        <v>12.48</v>
      </c>
      <c r="V681" s="15" t="n">
        <v>38.5</v>
      </c>
      <c r="W681" s="15" t="n">
        <v>53.9</v>
      </c>
      <c r="X681" s="34" t="n">
        <v>45257</v>
      </c>
    </row>
    <row r="682">
      <c r="A682" s="34" t="n">
        <v>45258</v>
      </c>
      <c r="B682" s="266" t="n">
        <v>1.114474058151245</v>
      </c>
      <c r="C682" s="34" t="n">
        <v>45258</v>
      </c>
      <c r="D682" s="15" t="n">
        <v>14</v>
      </c>
      <c r="E682" s="15" t="n">
        <v>26.96</v>
      </c>
      <c r="F682" s="34" t="n">
        <v>45258</v>
      </c>
      <c r="G682" s="15" t="n">
        <v>109.8</v>
      </c>
      <c r="H682" s="15" t="n">
        <v>144.18</v>
      </c>
      <c r="I682" s="34" t="n">
        <v>45258</v>
      </c>
      <c r="J682" s="15" t="n">
        <v>10.2</v>
      </c>
      <c r="K682" s="15" t="n">
        <v>18.66</v>
      </c>
      <c r="L682" s="34" t="n">
        <v>45258</v>
      </c>
      <c r="M682" s="15" t="n">
        <v>40</v>
      </c>
      <c r="N682" s="15" t="n">
        <v>50.42</v>
      </c>
      <c r="O682" s="34" t="n">
        <v>45258</v>
      </c>
      <c r="P682" s="15" t="n">
        <v>87.7</v>
      </c>
      <c r="Q682" s="15" t="n">
        <v>91</v>
      </c>
      <c r="R682" s="34" t="n">
        <v>45258</v>
      </c>
      <c r="S682" s="15" t="n">
        <v>11.92</v>
      </c>
      <c r="V682" s="15" t="n">
        <v>39.05</v>
      </c>
      <c r="W682" s="15" t="n">
        <v>55.28</v>
      </c>
      <c r="X682" s="34" t="n">
        <v>45258</v>
      </c>
    </row>
    <row r="683">
      <c r="A683" s="34" t="n">
        <v>45259</v>
      </c>
      <c r="B683" s="266" t="n">
        <v>1.119948983192444</v>
      </c>
      <c r="C683" s="34" t="n">
        <v>45259</v>
      </c>
      <c r="D683" s="15" t="n">
        <v>13.48</v>
      </c>
      <c r="E683" s="15" t="n">
        <v>26.47</v>
      </c>
      <c r="F683" s="34" t="n">
        <v>45259</v>
      </c>
      <c r="G683" s="15" t="n">
        <v>109.5</v>
      </c>
      <c r="H683" s="15" t="n">
        <v>142.73</v>
      </c>
      <c r="I683" s="34" t="n">
        <v>45259</v>
      </c>
      <c r="J683" s="15" t="n">
        <v>10.26</v>
      </c>
      <c r="K683" s="15" t="n">
        <v>19</v>
      </c>
      <c r="L683" s="34" t="n">
        <v>45259</v>
      </c>
      <c r="M683" s="15" t="n">
        <v>39.45</v>
      </c>
      <c r="N683" s="15" t="n">
        <v>50.32</v>
      </c>
      <c r="O683" s="34" t="n">
        <v>45259</v>
      </c>
      <c r="P683" s="15" t="n">
        <v>85.2</v>
      </c>
      <c r="Q683" s="15" t="n">
        <v>89.5</v>
      </c>
      <c r="R683" s="34" t="n">
        <v>45259</v>
      </c>
      <c r="S683" s="15" t="n">
        <v>12.16</v>
      </c>
      <c r="V683" s="15" t="n">
        <v>39.3</v>
      </c>
      <c r="W683" s="15" t="n">
        <v>54.45</v>
      </c>
      <c r="X683" s="34" t="n">
        <v>45259</v>
      </c>
    </row>
    <row r="684">
      <c r="A684" s="34" t="n">
        <v>45260</v>
      </c>
      <c r="B684" s="266" t="n">
        <v>1.118155956268311</v>
      </c>
      <c r="C684" s="34" t="n">
        <v>45260</v>
      </c>
      <c r="D684" s="15" t="n">
        <v>13.64</v>
      </c>
      <c r="E684" s="15" t="n">
        <v>26.61</v>
      </c>
      <c r="F684" s="34" t="n">
        <v>45260</v>
      </c>
      <c r="G684" s="15" t="n">
        <v>107.2</v>
      </c>
      <c r="H684" s="15" t="n">
        <v>144</v>
      </c>
      <c r="I684" s="34" t="n">
        <v>45260</v>
      </c>
      <c r="J684" s="15" t="n">
        <v>10.38</v>
      </c>
      <c r="K684" s="15" t="n">
        <v>19.79</v>
      </c>
      <c r="L684" s="34" t="n">
        <v>45260</v>
      </c>
      <c r="M684" s="15" t="n">
        <v>38.15</v>
      </c>
      <c r="N684" s="15" t="n">
        <v>50.08</v>
      </c>
      <c r="O684" s="34" t="n">
        <v>45260</v>
      </c>
      <c r="P684" s="15" t="n">
        <v>85</v>
      </c>
      <c r="Q684" s="15" t="n">
        <v>89.15000000000001</v>
      </c>
      <c r="R684" s="34" t="n">
        <v>45260</v>
      </c>
      <c r="S684" s="15" t="n">
        <v>12.02</v>
      </c>
      <c r="V684" s="15" t="n">
        <v>39.2</v>
      </c>
      <c r="W684" s="15" t="n">
        <v>54.75</v>
      </c>
      <c r="X684" s="34" t="n">
        <v>45260</v>
      </c>
    </row>
    <row r="685">
      <c r="A685" s="34" t="n">
        <v>45261</v>
      </c>
      <c r="B685" s="266" t="n">
        <v>1.110759019851685</v>
      </c>
      <c r="C685" s="34" t="n">
        <v>45261</v>
      </c>
      <c r="D685" s="15" t="n">
        <v>13.54</v>
      </c>
      <c r="E685" s="15" t="n">
        <v>26.44</v>
      </c>
      <c r="F685" s="34" t="n">
        <v>45261</v>
      </c>
      <c r="G685" s="15" t="n">
        <v>103.6</v>
      </c>
      <c r="H685" s="15" t="n">
        <v>141</v>
      </c>
      <c r="I685" s="34" t="n">
        <v>45261</v>
      </c>
      <c r="J685" s="15" t="n">
        <v>10.1</v>
      </c>
      <c r="K685" s="15" t="n">
        <v>19.28</v>
      </c>
      <c r="L685" s="34" t="n">
        <v>45261</v>
      </c>
      <c r="M685" s="15" t="n">
        <v>37.05</v>
      </c>
      <c r="N685" s="15" t="n">
        <v>50.12</v>
      </c>
      <c r="O685" s="34" t="n">
        <v>45261</v>
      </c>
      <c r="P685" s="15" t="n">
        <v>83.84999999999999</v>
      </c>
      <c r="Q685" s="15" t="n">
        <v>87.90000000000001</v>
      </c>
      <c r="R685" s="34" t="n">
        <v>45261</v>
      </c>
      <c r="S685" s="15" t="n">
        <v>12.3</v>
      </c>
      <c r="V685" s="15" t="n">
        <v>39.3</v>
      </c>
      <c r="W685" s="15" t="n">
        <v>53.6</v>
      </c>
      <c r="X685" s="34" t="n">
        <v>45261</v>
      </c>
    </row>
    <row r="686">
      <c r="A686" s="34" t="n">
        <v>45264</v>
      </c>
      <c r="B686" s="266" t="n">
        <v>1.110934019088745</v>
      </c>
      <c r="C686" s="34" t="n">
        <v>45264</v>
      </c>
      <c r="D686" s="15" t="n">
        <v>12.7</v>
      </c>
      <c r="E686" s="15" t="n">
        <v>24.87</v>
      </c>
      <c r="F686" s="34" t="n">
        <v>45264</v>
      </c>
      <c r="G686" s="15" t="n">
        <v>92.3</v>
      </c>
      <c r="H686" s="15" t="n">
        <v>126.9</v>
      </c>
      <c r="I686" s="34" t="n">
        <v>45264</v>
      </c>
      <c r="J686" s="15" t="n">
        <v>9.94</v>
      </c>
      <c r="K686" s="15" t="n">
        <v>19.72</v>
      </c>
      <c r="L686" s="34" t="n">
        <v>45264</v>
      </c>
      <c r="M686" s="15" t="n">
        <v>37.55</v>
      </c>
      <c r="N686" s="15" t="n">
        <v>50.64</v>
      </c>
      <c r="O686" s="34" t="n">
        <v>45264</v>
      </c>
      <c r="P686" s="15" t="n">
        <v>81.5</v>
      </c>
      <c r="Q686" s="15" t="n">
        <v>86.59999999999999</v>
      </c>
      <c r="R686" s="34" t="n">
        <v>45264</v>
      </c>
      <c r="S686" s="15" t="n">
        <v>11.28</v>
      </c>
      <c r="V686" s="15" t="n">
        <v>39.15</v>
      </c>
      <c r="W686" s="15" t="n">
        <v>53.88</v>
      </c>
      <c r="X686" s="34" t="n">
        <v>45264</v>
      </c>
    </row>
    <row r="687">
      <c r="A687" s="34" t="n">
        <v>45265</v>
      </c>
      <c r="B687" s="266" t="n">
        <v>1.105996012687683</v>
      </c>
      <c r="C687" s="34" t="n">
        <v>45265</v>
      </c>
      <c r="D687" s="15" t="n">
        <v>12.3</v>
      </c>
      <c r="E687" s="15" t="n">
        <v>24.18</v>
      </c>
      <c r="F687" s="34" t="n">
        <v>45265</v>
      </c>
      <c r="G687" s="15" t="n">
        <v>92</v>
      </c>
      <c r="H687" s="15" t="n">
        <v>123</v>
      </c>
      <c r="I687" s="34" t="n">
        <v>45265</v>
      </c>
      <c r="J687" s="15" t="n">
        <v>9.779999999999999</v>
      </c>
      <c r="K687" s="15" t="n">
        <v>19.47</v>
      </c>
      <c r="L687" s="34" t="n">
        <v>45265</v>
      </c>
      <c r="M687" s="15" t="n">
        <v>37.95</v>
      </c>
      <c r="N687" s="15" t="n">
        <v>51.13</v>
      </c>
      <c r="O687" s="34" t="n">
        <v>45265</v>
      </c>
      <c r="P687" s="15" t="n">
        <v>79.55</v>
      </c>
      <c r="Q687" s="15" t="n">
        <v>84</v>
      </c>
      <c r="R687" s="34" t="n">
        <v>45265</v>
      </c>
      <c r="S687" s="15" t="n">
        <v>11.42</v>
      </c>
      <c r="V687" s="15" t="n">
        <v>39</v>
      </c>
      <c r="W687" s="15" t="n">
        <v>53.7</v>
      </c>
      <c r="X687" s="34" t="n">
        <v>45265</v>
      </c>
    </row>
    <row r="688">
      <c r="A688" s="34" t="n">
        <v>45266</v>
      </c>
      <c r="B688" s="266" t="n">
        <v>1.101930975914001</v>
      </c>
      <c r="C688" s="34" t="n">
        <v>45266</v>
      </c>
      <c r="D688" s="15" t="n">
        <v>12.12</v>
      </c>
      <c r="E688" s="15" t="n">
        <v>24.3</v>
      </c>
      <c r="F688" s="34" t="n">
        <v>45266</v>
      </c>
      <c r="G688" s="15" t="n">
        <v>92.55</v>
      </c>
      <c r="H688" s="15" t="n">
        <v>125.14</v>
      </c>
      <c r="I688" s="34" t="n">
        <v>45266</v>
      </c>
      <c r="J688" s="15" t="n">
        <v>10.1</v>
      </c>
      <c r="K688" s="15" t="n">
        <v>19.5</v>
      </c>
      <c r="L688" s="34" t="n">
        <v>45266</v>
      </c>
      <c r="M688" s="15" t="n">
        <v>40.4</v>
      </c>
      <c r="N688" s="15" t="n">
        <v>55.98</v>
      </c>
      <c r="O688" s="34" t="n">
        <v>45266</v>
      </c>
      <c r="P688" s="15" t="n">
        <v>79.8</v>
      </c>
      <c r="Q688" s="15" t="n">
        <v>84.48</v>
      </c>
      <c r="R688" s="34" t="n">
        <v>45266</v>
      </c>
      <c r="S688" s="15" t="n">
        <v>10.84</v>
      </c>
      <c r="V688" s="15" t="n">
        <v>38.7</v>
      </c>
      <c r="W688" s="15" t="n">
        <v>52.98</v>
      </c>
      <c r="X688" s="34" t="n">
        <v>45266</v>
      </c>
    </row>
    <row r="689">
      <c r="A689" s="34" t="n">
        <v>45267</v>
      </c>
      <c r="B689" s="266" t="n">
        <v>1.098016023635864</v>
      </c>
      <c r="C689" s="34" t="n">
        <v>45267</v>
      </c>
      <c r="D689" s="15" t="n">
        <v>11.96</v>
      </c>
      <c r="E689" s="15" t="n">
        <v>23.76</v>
      </c>
      <c r="F689" s="34" t="n">
        <v>45267</v>
      </c>
      <c r="G689" s="15" t="n">
        <v>89.3</v>
      </c>
      <c r="H689" s="15" t="n">
        <v>122.71</v>
      </c>
      <c r="I689" s="34" t="n">
        <v>45267</v>
      </c>
      <c r="J689" s="15" t="n">
        <v>10</v>
      </c>
      <c r="K689" s="15" t="n">
        <v>19.32</v>
      </c>
      <c r="L689" s="34" t="n">
        <v>45267</v>
      </c>
      <c r="M689" s="15" t="n">
        <v>40.7</v>
      </c>
      <c r="N689" s="15" t="n">
        <v>56.23</v>
      </c>
      <c r="O689" s="34" t="n">
        <v>45267</v>
      </c>
      <c r="P689" s="15" t="n">
        <v>77.8</v>
      </c>
      <c r="Q689" s="15" t="n">
        <v>82.88</v>
      </c>
      <c r="R689" s="34" t="n">
        <v>45267</v>
      </c>
      <c r="S689" s="15" t="n">
        <v>10.84</v>
      </c>
      <c r="V689" s="15" t="n">
        <v>38.9</v>
      </c>
      <c r="W689" s="15" t="n">
        <v>50.3</v>
      </c>
      <c r="X689" s="34" t="n">
        <v>45267</v>
      </c>
    </row>
    <row r="690">
      <c r="A690" s="34" t="n">
        <v>45268</v>
      </c>
      <c r="B690" s="266" t="n">
        <v>1.100576043128967</v>
      </c>
      <c r="C690" s="34" t="n">
        <v>45268</v>
      </c>
      <c r="D690" s="15" t="n">
        <v>11.68</v>
      </c>
      <c r="E690" s="15" t="n">
        <v>23.38</v>
      </c>
      <c r="F690" s="34" t="n">
        <v>45268</v>
      </c>
      <c r="G690" s="15" t="n">
        <v>89.55</v>
      </c>
      <c r="H690" s="15" t="n">
        <v>121.03</v>
      </c>
      <c r="I690" s="34" t="n">
        <v>45268</v>
      </c>
      <c r="J690" s="15" t="n">
        <v>9.91</v>
      </c>
      <c r="K690" s="15" t="n">
        <v>18.95</v>
      </c>
      <c r="L690" s="34" t="n">
        <v>45268</v>
      </c>
      <c r="M690" s="15" t="n">
        <v>39.95</v>
      </c>
      <c r="N690" s="15" t="n">
        <v>55.6</v>
      </c>
      <c r="O690" s="34" t="n">
        <v>45268</v>
      </c>
      <c r="P690" s="15" t="n">
        <v>75.7</v>
      </c>
      <c r="Q690" s="15" t="n">
        <v>82.3</v>
      </c>
      <c r="R690" s="34" t="n">
        <v>45268</v>
      </c>
      <c r="S690" s="15" t="n">
        <v>11</v>
      </c>
      <c r="V690" s="15" t="n">
        <v>38.7</v>
      </c>
      <c r="W690" s="15" t="n">
        <v>49</v>
      </c>
      <c r="X690" s="34" t="n">
        <v>45268</v>
      </c>
    </row>
    <row r="691">
      <c r="A691" s="34" t="n">
        <v>45271</v>
      </c>
      <c r="B691" s="266" t="n">
        <v>1.097795963287354</v>
      </c>
      <c r="C691" s="34" t="n">
        <v>45271</v>
      </c>
      <c r="D691" s="15" t="n">
        <v>11.48</v>
      </c>
      <c r="E691" s="15" t="n">
        <v>23.91</v>
      </c>
      <c r="F691" s="34" t="n">
        <v>45271</v>
      </c>
      <c r="G691" s="15" t="n">
        <v>90</v>
      </c>
      <c r="H691" s="15" t="n">
        <v>121.7</v>
      </c>
      <c r="I691" s="34" t="n">
        <v>45271</v>
      </c>
      <c r="J691" s="15" t="n">
        <v>10</v>
      </c>
      <c r="K691" s="15" t="n">
        <v>19.35</v>
      </c>
      <c r="L691" s="34" t="n">
        <v>45271</v>
      </c>
      <c r="M691" s="15" t="n">
        <v>38.45</v>
      </c>
      <c r="N691" s="15" t="n">
        <v>53.44</v>
      </c>
      <c r="O691" s="34" t="n">
        <v>45271</v>
      </c>
      <c r="P691" s="15" t="n">
        <v>76.09999999999999</v>
      </c>
      <c r="Q691" s="15" t="n">
        <v>82.40000000000001</v>
      </c>
      <c r="R691" s="34" t="n">
        <v>45271</v>
      </c>
      <c r="S691" s="15" t="n">
        <v>10.66</v>
      </c>
      <c r="V691" s="15" t="n">
        <v>38.5</v>
      </c>
      <c r="W691" s="15" t="n">
        <v>49.25</v>
      </c>
      <c r="X691" s="34" t="n">
        <v>45271</v>
      </c>
    </row>
    <row r="692">
      <c r="A692" s="34" t="n">
        <v>45272</v>
      </c>
      <c r="B692" s="266" t="n">
        <v>1.097154974937439</v>
      </c>
      <c r="C692" s="34" t="n">
        <v>45272</v>
      </c>
      <c r="D692" s="15" t="n">
        <v>11.38</v>
      </c>
      <c r="E692" s="15" t="n">
        <v>23.61</v>
      </c>
      <c r="F692" s="34" t="n">
        <v>45272</v>
      </c>
      <c r="G692" s="15" t="n">
        <v>90.34999999999999</v>
      </c>
      <c r="H692" s="15" t="n">
        <v>121.43</v>
      </c>
      <c r="I692" s="34" t="n">
        <v>45272</v>
      </c>
      <c r="J692" s="15" t="n">
        <v>10.02</v>
      </c>
      <c r="K692" s="15" t="n">
        <v>19.5</v>
      </c>
      <c r="L692" s="34" t="n">
        <v>45272</v>
      </c>
      <c r="M692" s="15" t="n">
        <v>37.6</v>
      </c>
      <c r="N692" s="15" t="n">
        <v>52.72</v>
      </c>
      <c r="O692" s="34" t="n">
        <v>45272</v>
      </c>
      <c r="P692" s="15" t="n">
        <v>75.2</v>
      </c>
      <c r="Q692" s="15" t="n">
        <v>82.14</v>
      </c>
      <c r="R692" s="34" t="n">
        <v>45272</v>
      </c>
      <c r="S692" s="15" t="n">
        <v>11.02</v>
      </c>
      <c r="V692" s="15" t="n">
        <v>36.95</v>
      </c>
      <c r="W692" s="15" t="n">
        <v>49.22</v>
      </c>
      <c r="X692" s="34" t="n">
        <v>45272</v>
      </c>
    </row>
    <row r="693">
      <c r="A693" s="34" t="n">
        <v>45273</v>
      </c>
      <c r="B693" s="266" t="n">
        <v>1.101083993911743</v>
      </c>
      <c r="C693" s="34" t="n">
        <v>45273</v>
      </c>
      <c r="D693" s="15" t="n">
        <v>11.16</v>
      </c>
      <c r="E693" s="15" t="n">
        <v>23.33</v>
      </c>
      <c r="F693" s="34" t="n">
        <v>45273</v>
      </c>
      <c r="G693" s="15" t="n">
        <v>90.3</v>
      </c>
      <c r="H693" s="15" t="n">
        <v>119.12</v>
      </c>
      <c r="I693" s="34" t="n">
        <v>45273</v>
      </c>
      <c r="J693" s="15" t="n">
        <v>10.32</v>
      </c>
      <c r="K693" s="15" t="n">
        <v>19.7</v>
      </c>
      <c r="L693" s="34" t="n">
        <v>45273</v>
      </c>
      <c r="M693" s="15" t="n">
        <v>38</v>
      </c>
      <c r="N693" s="15" t="n">
        <v>51.94</v>
      </c>
      <c r="O693" s="34" t="n">
        <v>45273</v>
      </c>
      <c r="P693" s="15" t="n">
        <v>70.55</v>
      </c>
      <c r="Q693" s="15" t="n">
        <v>78.90000000000001</v>
      </c>
      <c r="R693" s="34" t="n">
        <v>45273</v>
      </c>
      <c r="S693" s="15" t="n">
        <v>10.54</v>
      </c>
      <c r="V693" s="15" t="n">
        <v>36.95</v>
      </c>
      <c r="W693" s="15" t="n">
        <v>48.93</v>
      </c>
      <c r="X693" s="34" t="n">
        <v>45273</v>
      </c>
    </row>
    <row r="694">
      <c r="A694" s="34" t="n">
        <v>45274</v>
      </c>
      <c r="B694" s="266" t="n">
        <v>1.109936952590942</v>
      </c>
      <c r="C694" s="34" t="n">
        <v>45274</v>
      </c>
      <c r="D694" s="15" t="n">
        <v>11.7</v>
      </c>
      <c r="E694" s="15" t="n">
        <v>23.57</v>
      </c>
      <c r="F694" s="34" t="n">
        <v>45274</v>
      </c>
      <c r="G694" s="15" t="n">
        <v>91.45</v>
      </c>
      <c r="H694" s="15" t="n">
        <v>121.11</v>
      </c>
      <c r="I694" s="34" t="n">
        <v>45274</v>
      </c>
      <c r="J694" s="15" t="n">
        <v>10.18</v>
      </c>
      <c r="K694" s="15" t="n">
        <v>19.53</v>
      </c>
      <c r="L694" s="34" t="n">
        <v>45274</v>
      </c>
      <c r="M694" s="15" t="n">
        <v>38.35</v>
      </c>
      <c r="N694" s="15" t="n">
        <v>51.98</v>
      </c>
      <c r="O694" s="34" t="n">
        <v>45274</v>
      </c>
      <c r="P694" s="15" t="n">
        <v>70.25</v>
      </c>
      <c r="Q694" s="15" t="n">
        <v>78.5</v>
      </c>
      <c r="R694" s="34" t="n">
        <v>45274</v>
      </c>
      <c r="S694" s="15" t="n">
        <v>10.5</v>
      </c>
      <c r="V694" s="15" t="n">
        <v>36.85</v>
      </c>
      <c r="W694" s="15" t="n">
        <v>49</v>
      </c>
      <c r="X694" s="34" t="n">
        <v>45274</v>
      </c>
    </row>
    <row r="695">
      <c r="A695" s="34" t="n">
        <v>45275</v>
      </c>
      <c r="B695" s="266" t="n">
        <v>1.120489954948425</v>
      </c>
      <c r="C695" s="34" t="n">
        <v>45275</v>
      </c>
      <c r="D695" s="15" t="n">
        <v>12</v>
      </c>
      <c r="E695" s="15" t="n">
        <v>23.63</v>
      </c>
      <c r="F695" s="34" t="n">
        <v>45275</v>
      </c>
      <c r="G695" s="15" t="n">
        <v>92.7</v>
      </c>
      <c r="H695" s="15" t="n">
        <v>120.87</v>
      </c>
      <c r="I695" s="34" t="n">
        <v>45275</v>
      </c>
      <c r="J695" s="15" t="n">
        <v>10.08</v>
      </c>
      <c r="K695" s="15" t="n">
        <v>19.55</v>
      </c>
      <c r="L695" s="34" t="n">
        <v>45275</v>
      </c>
      <c r="M695" s="15" t="n">
        <v>40.5</v>
      </c>
      <c r="N695" s="15" t="n">
        <v>53.55</v>
      </c>
      <c r="O695" s="34" t="n">
        <v>45275</v>
      </c>
      <c r="P695" s="15" t="n">
        <v>70.90000000000001</v>
      </c>
      <c r="Q695" s="15" t="n">
        <v>78.19</v>
      </c>
      <c r="R695" s="34" t="n">
        <v>45275</v>
      </c>
      <c r="S695" s="15" t="n">
        <v>10.48</v>
      </c>
      <c r="V695" s="15" t="n">
        <v>36.45</v>
      </c>
      <c r="W695" s="15" t="n">
        <v>48.88</v>
      </c>
      <c r="X695" s="34" t="n">
        <v>45275</v>
      </c>
    </row>
    <row r="696">
      <c r="A696" s="34" t="n">
        <v>45278</v>
      </c>
      <c r="B696" s="266" t="n">
        <v>1.110012054443359</v>
      </c>
      <c r="C696" s="34" t="n">
        <v>45278</v>
      </c>
      <c r="D696" s="15" t="n">
        <v>11.86</v>
      </c>
      <c r="E696" s="15" t="n">
        <v>23.11</v>
      </c>
      <c r="F696" s="34" t="n">
        <v>45278</v>
      </c>
      <c r="G696" s="15" t="n">
        <v>91</v>
      </c>
      <c r="H696" s="15" t="n">
        <v>119.59</v>
      </c>
      <c r="I696" s="34" t="n">
        <v>45278</v>
      </c>
      <c r="J696" s="15" t="n">
        <v>9.93</v>
      </c>
      <c r="K696" s="15" t="n">
        <v>19.52</v>
      </c>
      <c r="L696" s="34" t="n">
        <v>45278</v>
      </c>
      <c r="M696" s="15" t="n">
        <v>39.4</v>
      </c>
      <c r="N696" s="15" t="n">
        <v>52.8</v>
      </c>
      <c r="O696" s="34" t="n">
        <v>45278</v>
      </c>
      <c r="P696" s="15" t="n">
        <v>70.34999999999999</v>
      </c>
      <c r="Q696" s="15" t="n">
        <v>76.45999999999999</v>
      </c>
      <c r="R696" s="34" t="n">
        <v>45278</v>
      </c>
      <c r="S696" s="15" t="n">
        <v>10.52</v>
      </c>
      <c r="V696" s="15" t="n">
        <v>35.45</v>
      </c>
      <c r="W696" s="15" t="n">
        <v>46.24</v>
      </c>
      <c r="X696" s="34" t="n">
        <v>45278</v>
      </c>
    </row>
    <row r="697">
      <c r="A697" s="34" t="n">
        <v>45279</v>
      </c>
      <c r="B697" s="266" t="n">
        <v>1.111768007278442</v>
      </c>
      <c r="C697" s="34" t="n">
        <v>45279</v>
      </c>
      <c r="D697" s="15" t="n">
        <v>11.7</v>
      </c>
      <c r="E697" s="15" t="n">
        <v>23.16</v>
      </c>
      <c r="F697" s="34" t="n">
        <v>45279</v>
      </c>
      <c r="G697" s="15" t="n">
        <v>90.40000000000001</v>
      </c>
      <c r="H697" s="15" t="n">
        <v>119</v>
      </c>
      <c r="I697" s="34" t="n">
        <v>45279</v>
      </c>
      <c r="J697" s="15" t="n">
        <v>9.869999999999999</v>
      </c>
      <c r="K697" s="15" t="n">
        <v>19.55</v>
      </c>
      <c r="L697" s="34" t="n">
        <v>45279</v>
      </c>
      <c r="M697" s="15" t="n">
        <v>39.55</v>
      </c>
      <c r="N697" s="15" t="n">
        <v>52.49</v>
      </c>
      <c r="O697" s="34" t="n">
        <v>45279</v>
      </c>
      <c r="P697" s="15" t="n">
        <v>68.84999999999999</v>
      </c>
      <c r="Q697" s="15" t="n">
        <v>76.89</v>
      </c>
      <c r="R697" s="34" t="n">
        <v>45279</v>
      </c>
      <c r="S697" s="15" t="n">
        <v>11.34</v>
      </c>
      <c r="V697" s="15" t="n">
        <v>33.55</v>
      </c>
      <c r="W697" s="15" t="n">
        <v>45.74</v>
      </c>
      <c r="X697" s="34" t="n">
        <v>45279</v>
      </c>
    </row>
    <row r="698">
      <c r="A698" s="34" t="n">
        <v>45280</v>
      </c>
      <c r="B698" s="266" t="n">
        <v>1.118278980255127</v>
      </c>
      <c r="C698" s="34" t="n">
        <v>45280</v>
      </c>
      <c r="D698" s="15" t="n">
        <v>12</v>
      </c>
      <c r="E698" s="15" t="n">
        <v>22.98</v>
      </c>
      <c r="F698" s="34" t="n">
        <v>45280</v>
      </c>
      <c r="G698" s="15" t="n">
        <v>89.40000000000001</v>
      </c>
      <c r="H698" s="15" t="n">
        <v>117.63</v>
      </c>
      <c r="I698" s="34" t="n">
        <v>45280</v>
      </c>
      <c r="J698" s="15" t="n">
        <v>9.73</v>
      </c>
      <c r="K698" s="15" t="n">
        <v>19.14</v>
      </c>
      <c r="L698" s="34" t="n">
        <v>45280</v>
      </c>
      <c r="M698" s="15" t="n">
        <v>39</v>
      </c>
      <c r="N698" s="15" t="n">
        <v>51.5</v>
      </c>
      <c r="O698" s="34" t="n">
        <v>45280</v>
      </c>
      <c r="P698" s="15" t="n">
        <v>68.75</v>
      </c>
      <c r="Q698" s="15" t="n">
        <v>75.83</v>
      </c>
      <c r="R698" s="34" t="n">
        <v>45280</v>
      </c>
      <c r="S698" s="15" t="n">
        <v>11.02</v>
      </c>
      <c r="V698" s="15" t="n">
        <v>31.65</v>
      </c>
      <c r="W698" s="15" t="n">
        <v>44.2</v>
      </c>
      <c r="X698" s="34" t="n">
        <v>45280</v>
      </c>
    </row>
    <row r="699">
      <c r="A699" s="34" t="n">
        <v>45281</v>
      </c>
      <c r="B699" s="266" t="n">
        <v>1.115596055984497</v>
      </c>
      <c r="C699" s="34" t="n">
        <v>45281</v>
      </c>
      <c r="D699" s="15" t="n">
        <v>12.16</v>
      </c>
      <c r="E699" s="15" t="n">
        <v>23.25</v>
      </c>
      <c r="F699" s="34" t="n">
        <v>45281</v>
      </c>
      <c r="G699" s="15" t="n">
        <v>90.2</v>
      </c>
      <c r="H699" s="15" t="n">
        <v>117.47</v>
      </c>
      <c r="I699" s="34" t="n">
        <v>45281</v>
      </c>
      <c r="J699" s="15" t="n">
        <v>9.9</v>
      </c>
      <c r="K699" s="15" t="n">
        <v>19.86</v>
      </c>
      <c r="L699" s="34" t="n">
        <v>45281</v>
      </c>
      <c r="M699" s="15" t="n">
        <v>39</v>
      </c>
      <c r="N699" s="15" t="n">
        <v>52.12</v>
      </c>
      <c r="O699" s="34" t="n">
        <v>45281</v>
      </c>
      <c r="P699" s="15" t="n">
        <v>70.7</v>
      </c>
      <c r="Q699" s="15" t="n">
        <v>79.75</v>
      </c>
      <c r="R699" s="34" t="n">
        <v>45281</v>
      </c>
      <c r="S699" s="15" t="n">
        <v>11.38</v>
      </c>
      <c r="V699" s="15" t="n">
        <v>31.65</v>
      </c>
      <c r="W699" s="15" t="n">
        <v>44.7</v>
      </c>
      <c r="X699" s="34" t="n">
        <v>45281</v>
      </c>
    </row>
    <row r="700">
      <c r="A700" s="34" t="n">
        <v>45282</v>
      </c>
      <c r="B700" s="266" t="n">
        <v>1.122302055358887</v>
      </c>
      <c r="C700" s="34" t="n">
        <v>45282</v>
      </c>
      <c r="D700" s="15" t="n">
        <v>12.04</v>
      </c>
      <c r="E700" s="15" t="n">
        <v>23.38</v>
      </c>
      <c r="F700" s="34" t="n">
        <v>45282</v>
      </c>
      <c r="G700" s="15" t="n">
        <v>87.05</v>
      </c>
      <c r="H700" s="15" t="n">
        <v>115.08</v>
      </c>
      <c r="I700" s="34" t="n">
        <v>45282</v>
      </c>
      <c r="J700" s="15" t="n">
        <v>9.9</v>
      </c>
      <c r="K700" s="15" t="n">
        <v>20.42</v>
      </c>
      <c r="L700" s="34" t="n">
        <v>45282</v>
      </c>
      <c r="M700" s="15" t="n">
        <v>40.25</v>
      </c>
      <c r="N700" s="15" t="n">
        <v>54.09</v>
      </c>
      <c r="O700" s="34" t="n">
        <v>45282</v>
      </c>
      <c r="P700" s="15" t="n">
        <v>69.2</v>
      </c>
      <c r="Q700" s="15" t="n">
        <v>79.09999999999999</v>
      </c>
      <c r="R700" s="34" t="n">
        <v>45282</v>
      </c>
      <c r="S700" s="15" t="n">
        <v>11.58</v>
      </c>
      <c r="V700" s="15" t="n">
        <v>30.85</v>
      </c>
      <c r="W700" s="15" t="n">
        <v>44.04</v>
      </c>
      <c r="X700" s="34" t="n">
        <v>45282</v>
      </c>
    </row>
    <row r="701">
      <c r="A701" s="34" t="n">
        <v>45287</v>
      </c>
      <c r="B701" s="266" t="n">
        <v>1.125676989555359</v>
      </c>
      <c r="C701" s="34" t="n">
        <v>45287</v>
      </c>
      <c r="D701" s="15" t="n">
        <v>12.1</v>
      </c>
      <c r="E701" s="15" t="n">
        <v>22.44</v>
      </c>
      <c r="F701" s="34" t="n">
        <v>45287</v>
      </c>
      <c r="G701" s="15" t="n">
        <v>89.05</v>
      </c>
      <c r="H701" s="15" t="n">
        <v>113</v>
      </c>
      <c r="I701" s="34" t="n">
        <v>45287</v>
      </c>
      <c r="J701" s="15" t="n">
        <v>10.02</v>
      </c>
      <c r="K701" s="15" t="n">
        <v>20.25</v>
      </c>
      <c r="L701" s="34" t="n">
        <v>45287</v>
      </c>
      <c r="M701" s="15" t="n">
        <v>41.35</v>
      </c>
      <c r="N701" s="15" t="n">
        <v>53.5</v>
      </c>
      <c r="O701" s="34" t="n">
        <v>45287</v>
      </c>
      <c r="P701" s="15" t="n">
        <v>68.75</v>
      </c>
      <c r="Q701" s="15" t="n">
        <v>78.37</v>
      </c>
      <c r="R701" s="34" t="n">
        <v>45287</v>
      </c>
      <c r="S701" s="15" t="n">
        <v>11.26</v>
      </c>
      <c r="V701" s="15" t="n">
        <v>31.75</v>
      </c>
      <c r="W701" s="15" t="n">
        <v>43.3</v>
      </c>
      <c r="X701" s="34" t="n">
        <v>45287</v>
      </c>
    </row>
    <row r="702">
      <c r="A702" s="34" t="n">
        <v>45288</v>
      </c>
      <c r="B702" s="266" t="n">
        <v>1.132581949234009</v>
      </c>
      <c r="C702" s="34" t="n">
        <v>45288</v>
      </c>
      <c r="D702" s="15" t="n">
        <v>12.92</v>
      </c>
      <c r="E702" s="15" t="n">
        <v>23.86</v>
      </c>
      <c r="F702" s="34" t="n">
        <v>45288</v>
      </c>
      <c r="G702" s="15" t="n">
        <v>91.40000000000001</v>
      </c>
      <c r="H702" s="15" t="n">
        <v>116.68</v>
      </c>
      <c r="I702" s="34" t="n">
        <v>45288</v>
      </c>
      <c r="J702" s="15" t="n">
        <v>10.16</v>
      </c>
      <c r="K702" s="15" t="n">
        <v>20.38</v>
      </c>
      <c r="L702" s="34" t="n">
        <v>45288</v>
      </c>
      <c r="M702" s="15" t="n">
        <v>43.25</v>
      </c>
      <c r="N702" s="15" t="n">
        <v>56.67</v>
      </c>
      <c r="O702" s="34" t="n">
        <v>45288</v>
      </c>
      <c r="P702" s="15" t="n">
        <v>76.34999999999999</v>
      </c>
      <c r="Q702" s="15" t="n">
        <v>85.02</v>
      </c>
      <c r="R702" s="34" t="n">
        <v>45288</v>
      </c>
      <c r="S702" s="15" t="n">
        <v>12</v>
      </c>
      <c r="V702" s="15" t="n">
        <v>33</v>
      </c>
      <c r="W702" s="15" t="n">
        <v>45.41</v>
      </c>
      <c r="X702" s="34" t="n">
        <v>45288</v>
      </c>
    </row>
    <row r="703">
      <c r="A703" s="34" t="n">
        <v>45289</v>
      </c>
      <c r="B703" s="266" t="n">
        <v>1.128918051719666</v>
      </c>
      <c r="C703" s="34" t="n">
        <v>45289</v>
      </c>
      <c r="D703" s="15" t="n">
        <v>12.86</v>
      </c>
      <c r="E703" s="15" t="n">
        <v>23.71</v>
      </c>
      <c r="F703" s="34" t="n">
        <v>45289</v>
      </c>
      <c r="G703" s="15" t="n">
        <v>91</v>
      </c>
      <c r="H703" s="15" t="n">
        <v>116.1</v>
      </c>
      <c r="I703" s="34" t="n">
        <v>45289</v>
      </c>
      <c r="J703" s="15" t="n">
        <v>10.04</v>
      </c>
      <c r="K703" s="15" t="n">
        <v>20.22</v>
      </c>
      <c r="L703" s="34" t="n">
        <v>45289</v>
      </c>
      <c r="M703" s="15" t="n">
        <v>43.15</v>
      </c>
      <c r="N703" s="15" t="n">
        <v>55.79</v>
      </c>
      <c r="O703" s="34" t="n">
        <v>45289</v>
      </c>
      <c r="P703" s="15" t="n">
        <v>76.65000000000001</v>
      </c>
      <c r="Q703" s="15" t="n">
        <v>83.69</v>
      </c>
      <c r="R703" s="34" t="n">
        <v>45289</v>
      </c>
      <c r="S703" s="15" t="n">
        <v>11.98</v>
      </c>
      <c r="V703" s="15" t="n">
        <v>33.55</v>
      </c>
      <c r="W703" s="15" t="n">
        <v>45.74</v>
      </c>
      <c r="X703" s="34" t="n">
        <v>45289</v>
      </c>
    </row>
    <row r="704">
      <c r="A704" s="34" t="n">
        <v>45293</v>
      </c>
      <c r="B704" s="266" t="n">
        <v>1.125501990318298</v>
      </c>
      <c r="C704" s="34" t="n">
        <v>45293</v>
      </c>
      <c r="D704" s="15" t="n">
        <v>12.46</v>
      </c>
      <c r="E704" s="15" t="n">
        <v>22.96</v>
      </c>
      <c r="F704" s="34" t="n">
        <v>45293</v>
      </c>
      <c r="G704" s="15" t="n">
        <v>87.95</v>
      </c>
      <c r="H704" s="15" t="n">
        <v>111.8</v>
      </c>
      <c r="I704" s="34" t="n">
        <v>45293</v>
      </c>
      <c r="J704" s="15" t="n">
        <v>10</v>
      </c>
      <c r="K704" s="15" t="n">
        <v>20.45</v>
      </c>
      <c r="L704" s="34" t="n">
        <v>45293</v>
      </c>
      <c r="M704" s="15" t="n">
        <v>43.15</v>
      </c>
      <c r="N704" s="15" t="n">
        <v>55.42</v>
      </c>
      <c r="O704" s="34" t="n">
        <v>45293</v>
      </c>
      <c r="P704" s="15" t="n">
        <v>72.95</v>
      </c>
      <c r="Q704" s="15" t="n">
        <v>80.59999999999999</v>
      </c>
      <c r="R704" s="34" t="n">
        <v>45293</v>
      </c>
      <c r="S704" s="15" t="n">
        <v>11.26</v>
      </c>
      <c r="V704" s="15" t="n">
        <v>33.6</v>
      </c>
      <c r="W704" s="15" t="n">
        <v>45</v>
      </c>
      <c r="X704" s="34" t="n">
        <v>45293</v>
      </c>
    </row>
    <row r="705">
      <c r="A705" s="34" t="n">
        <v>45294</v>
      </c>
      <c r="B705" s="266" t="n">
        <v>1.116525053977966</v>
      </c>
      <c r="C705" s="34" t="n">
        <v>45294</v>
      </c>
      <c r="D705" s="15" t="n">
        <v>12.56</v>
      </c>
      <c r="E705" s="15" t="n">
        <v>23.16</v>
      </c>
      <c r="F705" s="34" t="n">
        <v>45294</v>
      </c>
      <c r="G705" s="15" t="n">
        <v>87.05</v>
      </c>
      <c r="H705" s="15" t="n">
        <v>111.29</v>
      </c>
      <c r="I705" s="34" t="n">
        <v>45294</v>
      </c>
      <c r="J705" s="15" t="n">
        <v>9.789999999999999</v>
      </c>
      <c r="K705" s="15" t="n">
        <v>19.38</v>
      </c>
      <c r="L705" s="34" t="n">
        <v>45294</v>
      </c>
      <c r="M705" s="15" t="n">
        <v>42.6</v>
      </c>
      <c r="N705" s="15" t="n">
        <v>55.32</v>
      </c>
      <c r="O705" s="34" t="n">
        <v>45294</v>
      </c>
      <c r="P705" s="15" t="n">
        <v>73.7</v>
      </c>
      <c r="Q705" s="15" t="n">
        <v>80.43000000000001</v>
      </c>
      <c r="R705" s="34" t="n">
        <v>45294</v>
      </c>
      <c r="S705" s="15" t="n">
        <v>11.78</v>
      </c>
      <c r="V705" s="15" t="n">
        <v>33.6</v>
      </c>
      <c r="W705" s="15" t="n">
        <v>44.56</v>
      </c>
      <c r="X705" s="34" t="n">
        <v>45294</v>
      </c>
    </row>
    <row r="706">
      <c r="A706" s="34" t="n">
        <v>45295</v>
      </c>
      <c r="B706" s="266" t="n">
        <v>1.113739013671875</v>
      </c>
      <c r="C706" s="34" t="n">
        <v>45295</v>
      </c>
      <c r="D706" s="15" t="n">
        <v>12.3</v>
      </c>
      <c r="E706" s="15" t="n">
        <v>22.91</v>
      </c>
      <c r="F706" s="34" t="n">
        <v>45295</v>
      </c>
      <c r="G706" s="15" t="n">
        <v>85.5</v>
      </c>
      <c r="H706" s="15" t="n">
        <v>110.45</v>
      </c>
      <c r="I706" s="34" t="n">
        <v>45295</v>
      </c>
      <c r="J706" s="15" t="n">
        <v>9.640000000000001</v>
      </c>
      <c r="K706" s="15" t="n">
        <v>19.16</v>
      </c>
      <c r="L706" s="34" t="n">
        <v>45295</v>
      </c>
      <c r="M706" s="15" t="n">
        <v>41.55</v>
      </c>
      <c r="N706" s="15" t="n">
        <v>53.66</v>
      </c>
      <c r="O706" s="34" t="n">
        <v>45295</v>
      </c>
      <c r="P706" s="15" t="n">
        <v>72.7</v>
      </c>
      <c r="Q706" s="15" t="n">
        <v>78.59999999999999</v>
      </c>
      <c r="R706" s="34" t="n">
        <v>45295</v>
      </c>
      <c r="S706" s="15" t="n">
        <v>11.62</v>
      </c>
      <c r="V706" s="15" t="n">
        <v>33.55</v>
      </c>
      <c r="W706" s="15" t="n">
        <v>44.4</v>
      </c>
      <c r="X706" s="34" t="n">
        <v>45295</v>
      </c>
    </row>
    <row r="707">
      <c r="A707" s="34" t="n">
        <v>45296</v>
      </c>
      <c r="B707" s="266" t="n">
        <v>1.116189956665039</v>
      </c>
      <c r="C707" s="34" t="n">
        <v>45296</v>
      </c>
      <c r="D707" s="15" t="n">
        <v>12.3</v>
      </c>
      <c r="E707" s="15" t="n">
        <v>22.37</v>
      </c>
      <c r="F707" s="34" t="n">
        <v>45296</v>
      </c>
      <c r="G707" s="15" t="n">
        <v>82.7</v>
      </c>
      <c r="H707" s="15" t="n">
        <v>107.36</v>
      </c>
      <c r="I707" s="34" t="n">
        <v>45296</v>
      </c>
      <c r="J707" s="15" t="n">
        <v>9.529999999999999</v>
      </c>
      <c r="K707" s="15" t="n">
        <v>19.06</v>
      </c>
      <c r="L707" s="34" t="n">
        <v>45296</v>
      </c>
      <c r="M707" s="15" t="n">
        <v>41.8</v>
      </c>
      <c r="N707" s="15" t="n">
        <v>54</v>
      </c>
      <c r="O707" s="34" t="n">
        <v>45296</v>
      </c>
      <c r="P707" s="15" t="n">
        <v>71.95</v>
      </c>
      <c r="Q707" s="15" t="n">
        <v>77.02</v>
      </c>
      <c r="R707" s="34" t="n">
        <v>45296</v>
      </c>
      <c r="S707" s="15" t="n">
        <v>11.1</v>
      </c>
      <c r="V707" s="15" t="n">
        <v>33.75</v>
      </c>
      <c r="W707" s="15" t="n">
        <v>43.07</v>
      </c>
      <c r="X707" s="34" t="n">
        <v>45296</v>
      </c>
    </row>
    <row r="708">
      <c r="A708" s="34" t="n">
        <v>45299</v>
      </c>
      <c r="B708" s="266" t="n">
        <v>1.116019010543823</v>
      </c>
      <c r="C708" s="34" t="n">
        <v>45299</v>
      </c>
      <c r="D708" s="15" t="n">
        <v>12.3</v>
      </c>
      <c r="E708" s="15" t="n">
        <v>21.32</v>
      </c>
      <c r="F708" s="34" t="n">
        <v>45299</v>
      </c>
      <c r="G708" s="15" t="n">
        <v>80.3</v>
      </c>
      <c r="H708" s="15" t="n">
        <v>105.47</v>
      </c>
      <c r="I708" s="34" t="n">
        <v>45299</v>
      </c>
      <c r="J708" s="15" t="n">
        <v>9.359999999999999</v>
      </c>
      <c r="K708" s="15" t="n">
        <v>18.55</v>
      </c>
      <c r="L708" s="34" t="n">
        <v>45299</v>
      </c>
      <c r="M708" s="15" t="n">
        <v>41.3</v>
      </c>
      <c r="N708" s="15" t="n">
        <v>53.65</v>
      </c>
      <c r="O708" s="34" t="n">
        <v>45299</v>
      </c>
      <c r="P708" s="15" t="n">
        <v>68.40000000000001</v>
      </c>
      <c r="Q708" s="15" t="n">
        <v>75.40000000000001</v>
      </c>
      <c r="R708" s="34" t="n">
        <v>45299</v>
      </c>
      <c r="S708" s="15" t="n">
        <v>11.24</v>
      </c>
      <c r="V708" s="15" t="n">
        <v>33.45</v>
      </c>
      <c r="W708" s="15" t="n">
        <v>42.84</v>
      </c>
      <c r="X708" s="34" t="n">
        <v>45299</v>
      </c>
    </row>
    <row r="709">
      <c r="A709" s="34" t="n">
        <v>45300</v>
      </c>
      <c r="B709" s="266" t="n">
        <v>1.116075992584229</v>
      </c>
      <c r="C709" s="34" t="n">
        <v>45300</v>
      </c>
      <c r="D709" s="15" t="n">
        <v>12.42</v>
      </c>
      <c r="E709" s="15" t="n">
        <v>21.55</v>
      </c>
      <c r="F709" s="34" t="n">
        <v>45300</v>
      </c>
      <c r="G709" s="15" t="n">
        <v>79.7</v>
      </c>
      <c r="H709" s="15" t="n">
        <v>105</v>
      </c>
      <c r="I709" s="34" t="n">
        <v>45300</v>
      </c>
      <c r="J709" s="15" t="n">
        <v>9.44</v>
      </c>
      <c r="K709" s="15" t="n">
        <v>18.67</v>
      </c>
      <c r="L709" s="34" t="n">
        <v>45300</v>
      </c>
      <c r="M709" s="15" t="n">
        <v>41.1</v>
      </c>
      <c r="N709" s="15" t="n">
        <v>55.21</v>
      </c>
      <c r="O709" s="34" t="n">
        <v>45300</v>
      </c>
      <c r="P709" s="15" t="n">
        <v>71.25</v>
      </c>
      <c r="Q709" s="15" t="n">
        <v>80.22</v>
      </c>
      <c r="R709" s="34" t="n">
        <v>45300</v>
      </c>
      <c r="S709" s="15" t="n">
        <v>11.46</v>
      </c>
      <c r="V709" s="15" t="n">
        <v>32.9</v>
      </c>
      <c r="W709" s="15" t="n">
        <v>42.15</v>
      </c>
      <c r="X709" s="34" t="n">
        <v>45300</v>
      </c>
    </row>
    <row r="710">
      <c r="A710" s="34" t="n">
        <v>45301</v>
      </c>
      <c r="B710" s="266" t="n">
        <v>1.115636944770813</v>
      </c>
      <c r="C710" s="34" t="n">
        <v>45301</v>
      </c>
      <c r="D710" s="15" t="n">
        <v>12.2</v>
      </c>
      <c r="E710" s="15" t="n">
        <v>21.59</v>
      </c>
      <c r="F710" s="34" t="n">
        <v>45301</v>
      </c>
      <c r="G710" s="15" t="n">
        <v>80.55</v>
      </c>
      <c r="H710" s="15" t="n">
        <v>104.84</v>
      </c>
      <c r="I710" s="34" t="n">
        <v>45301</v>
      </c>
      <c r="J710" s="15" t="n">
        <v>9.43</v>
      </c>
      <c r="K710" s="15" t="n">
        <v>18.5</v>
      </c>
      <c r="L710" s="34" t="n">
        <v>45301</v>
      </c>
      <c r="M710" s="15" t="n">
        <v>40.95</v>
      </c>
      <c r="N710" s="15" t="n">
        <v>55.44</v>
      </c>
      <c r="O710" s="34" t="n">
        <v>45301</v>
      </c>
      <c r="P710" s="15" t="n">
        <v>70.15000000000001</v>
      </c>
      <c r="Q710" s="15" t="n">
        <v>81.7</v>
      </c>
      <c r="R710" s="34" t="n">
        <v>45301</v>
      </c>
      <c r="S710" s="15" t="n">
        <v>10.94</v>
      </c>
      <c r="V710" s="15" t="n">
        <v>32.05</v>
      </c>
      <c r="W710" s="15" t="n">
        <v>41.95</v>
      </c>
      <c r="X710" s="34" t="n">
        <v>45301</v>
      </c>
    </row>
    <row r="711">
      <c r="A711" s="34" t="n">
        <v>45302</v>
      </c>
      <c r="B711" s="266" t="n">
        <v>1.120515942573547</v>
      </c>
      <c r="C711" s="34" t="n">
        <v>45302</v>
      </c>
      <c r="D711" s="15" t="n">
        <v>12.44</v>
      </c>
      <c r="E711" s="15" t="n">
        <v>22.23</v>
      </c>
      <c r="F711" s="34" t="n">
        <v>45302</v>
      </c>
      <c r="G711" s="15" t="n">
        <v>83.59999999999999</v>
      </c>
      <c r="H711" s="15" t="n">
        <v>108.37</v>
      </c>
      <c r="I711" s="34" t="n">
        <v>45302</v>
      </c>
      <c r="J711" s="15" t="n">
        <v>9.41</v>
      </c>
      <c r="K711" s="15" t="n">
        <v>18.75</v>
      </c>
      <c r="L711" s="34" t="n">
        <v>45302</v>
      </c>
      <c r="M711" s="15" t="n">
        <v>42.65</v>
      </c>
      <c r="N711" s="15" t="n">
        <v>59.82</v>
      </c>
      <c r="O711" s="34" t="n">
        <v>45302</v>
      </c>
      <c r="P711" s="15" t="n">
        <v>72.40000000000001</v>
      </c>
      <c r="Q711" s="15" t="n">
        <v>82.06999999999999</v>
      </c>
      <c r="R711" s="34" t="n">
        <v>45302</v>
      </c>
      <c r="S711" s="15" t="n">
        <v>10.94</v>
      </c>
      <c r="V711" s="15" t="n">
        <v>32.75</v>
      </c>
      <c r="W711" s="15" t="n">
        <v>42.98</v>
      </c>
      <c r="X711" s="34" t="n">
        <v>45302</v>
      </c>
    </row>
    <row r="712">
      <c r="A712" s="34" t="n">
        <v>45303</v>
      </c>
      <c r="B712" s="266" t="n">
        <v>1.120725035667419</v>
      </c>
      <c r="C712" s="34" t="n">
        <v>45303</v>
      </c>
      <c r="D712" s="15" t="n">
        <v>12.38</v>
      </c>
      <c r="E712" s="15" t="n">
        <v>21.67</v>
      </c>
      <c r="F712" s="34" t="n">
        <v>45303</v>
      </c>
      <c r="G712" s="15" t="n">
        <v>80.55</v>
      </c>
      <c r="H712" s="15" t="n">
        <v>106.38</v>
      </c>
      <c r="I712" s="34" t="n">
        <v>45303</v>
      </c>
      <c r="J712" s="15" t="n">
        <v>9.26</v>
      </c>
      <c r="K712" s="15" t="n">
        <v>18.6</v>
      </c>
      <c r="L712" s="34" t="n">
        <v>45303</v>
      </c>
      <c r="M712" s="15" t="n">
        <v>42.3</v>
      </c>
      <c r="N712" s="15" t="n">
        <v>58.15</v>
      </c>
      <c r="O712" s="34" t="n">
        <v>45303</v>
      </c>
      <c r="P712" s="15" t="n">
        <v>72.15000000000001</v>
      </c>
      <c r="Q712" s="15" t="n">
        <v>80.81</v>
      </c>
      <c r="R712" s="34" t="n">
        <v>45303</v>
      </c>
      <c r="S712" s="15" t="n">
        <v>10.62</v>
      </c>
      <c r="V712" s="15" t="n">
        <v>33.45</v>
      </c>
      <c r="W712" s="15" t="n">
        <v>43.02</v>
      </c>
      <c r="X712" s="34" t="n">
        <v>45303</v>
      </c>
    </row>
    <row r="713">
      <c r="A713" s="34" t="n">
        <v>45306</v>
      </c>
      <c r="B713" s="266" t="n">
        <v>1.117622017860413</v>
      </c>
      <c r="C713" s="34" t="n">
        <v>45306</v>
      </c>
      <c r="D713" s="15" t="n">
        <v>12.46</v>
      </c>
      <c r="E713" s="15" t="n">
        <v>21.51</v>
      </c>
      <c r="F713" s="34" t="n">
        <v>45306</v>
      </c>
      <c r="G713" s="15" t="n">
        <v>80</v>
      </c>
      <c r="H713" s="15" t="n">
        <v>106.5</v>
      </c>
      <c r="I713" s="34" t="n">
        <v>45306</v>
      </c>
      <c r="J713" s="15" t="n">
        <v>9.039999999999999</v>
      </c>
      <c r="K713" s="15" t="n">
        <v>18.35</v>
      </c>
      <c r="L713" s="34" t="n">
        <v>45306</v>
      </c>
      <c r="M713" s="15" t="n">
        <v>41.65</v>
      </c>
      <c r="N713" s="15" t="n">
        <v>57.58</v>
      </c>
      <c r="O713" s="34" t="n">
        <v>45306</v>
      </c>
      <c r="P713" s="15" t="n">
        <v>74.09999999999999</v>
      </c>
      <c r="Q713" s="15" t="n">
        <v>82.25</v>
      </c>
      <c r="R713" s="34" t="n">
        <v>45306</v>
      </c>
      <c r="S713" s="15" t="n">
        <v>10.62</v>
      </c>
      <c r="V713" s="15" t="n">
        <v>33.9</v>
      </c>
      <c r="W713" s="15" t="n">
        <v>43.32</v>
      </c>
      <c r="X713" s="34" t="n">
        <v>45306</v>
      </c>
    </row>
    <row r="714">
      <c r="A714" s="34" t="n">
        <v>45307</v>
      </c>
      <c r="B714" s="266" t="n">
        <v>1.118000030517578</v>
      </c>
      <c r="C714" s="34" t="n">
        <v>45307</v>
      </c>
      <c r="D714" s="15" t="n">
        <v>12.48</v>
      </c>
      <c r="E714" s="15" t="n">
        <v>21.61</v>
      </c>
      <c r="F714" s="34" t="n">
        <v>45307</v>
      </c>
      <c r="G714" s="15" t="n">
        <v>80</v>
      </c>
      <c r="H714" s="15" t="n">
        <v>105.36</v>
      </c>
      <c r="I714" s="34" t="n">
        <v>45307</v>
      </c>
      <c r="J714" s="15" t="n">
        <v>8.859999999999999</v>
      </c>
      <c r="K714" s="15" t="n">
        <v>18.28</v>
      </c>
      <c r="L714" s="34" t="n">
        <v>45307</v>
      </c>
      <c r="M714" s="15" t="n">
        <v>42</v>
      </c>
      <c r="N714" s="15" t="n">
        <v>58.07</v>
      </c>
      <c r="O714" s="34" t="n">
        <v>45307</v>
      </c>
      <c r="P714" s="15" t="n">
        <v>73.55</v>
      </c>
      <c r="Q714" s="15" t="n">
        <v>82.40000000000001</v>
      </c>
      <c r="R714" s="34" t="n">
        <v>45307</v>
      </c>
      <c r="S714" s="15" t="n">
        <v>10.5</v>
      </c>
      <c r="V714" s="15" t="n">
        <v>34.15</v>
      </c>
      <c r="W714" s="15" t="n">
        <v>42.74</v>
      </c>
      <c r="X714" s="34" t="n">
        <v>45307</v>
      </c>
    </row>
    <row r="715">
      <c r="A715" s="34" t="n">
        <v>45308</v>
      </c>
      <c r="B715" s="266" t="n">
        <v>1.111650943756104</v>
      </c>
      <c r="C715" s="34" t="n">
        <v>45308</v>
      </c>
      <c r="D715" s="15" t="n">
        <v>11.64</v>
      </c>
      <c r="E715" s="15" t="n">
        <v>20.74</v>
      </c>
      <c r="F715" s="34" t="n">
        <v>45308</v>
      </c>
      <c r="G715" s="15" t="n">
        <v>75.8</v>
      </c>
      <c r="H715" s="15" t="n">
        <v>101.05</v>
      </c>
      <c r="I715" s="34" t="n">
        <v>45308</v>
      </c>
      <c r="J715" s="15" t="n">
        <v>8.210000000000001</v>
      </c>
      <c r="K715" s="15" t="n">
        <v>17.72</v>
      </c>
      <c r="L715" s="34" t="n">
        <v>45308</v>
      </c>
      <c r="M715" s="15" t="n">
        <v>39</v>
      </c>
      <c r="N715" s="15" t="n">
        <v>56.5</v>
      </c>
      <c r="O715" s="34" t="n">
        <v>45308</v>
      </c>
      <c r="P715" s="15" t="n">
        <v>68.05</v>
      </c>
      <c r="Q715" s="15" t="n">
        <v>79</v>
      </c>
      <c r="R715" s="34" t="n">
        <v>45308</v>
      </c>
      <c r="S715" s="15" t="n">
        <v>10.04</v>
      </c>
      <c r="V715" s="15" t="n">
        <v>33.6</v>
      </c>
      <c r="W715" s="15" t="n">
        <v>41.08</v>
      </c>
      <c r="X715" s="34" t="n">
        <v>45308</v>
      </c>
    </row>
    <row r="716">
      <c r="A716" s="34" t="n">
        <v>45309</v>
      </c>
      <c r="B716" s="266" t="n">
        <v>1.111701965332031</v>
      </c>
      <c r="C716" s="34" t="n">
        <v>45309</v>
      </c>
      <c r="D716" s="15" t="n">
        <v>11.66</v>
      </c>
      <c r="E716" s="15" t="n">
        <v>20.97</v>
      </c>
      <c r="F716" s="34" t="n">
        <v>45309</v>
      </c>
      <c r="G716" s="15" t="n">
        <v>75</v>
      </c>
      <c r="H716" s="15" t="n">
        <v>102</v>
      </c>
      <c r="I716" s="34" t="n">
        <v>45309</v>
      </c>
      <c r="J716" s="15" t="n">
        <v>8.1</v>
      </c>
      <c r="K716" s="15" t="n">
        <v>17.6</v>
      </c>
      <c r="L716" s="34" t="n">
        <v>45309</v>
      </c>
      <c r="M716" s="15" t="n">
        <v>39.8</v>
      </c>
      <c r="N716" s="15" t="n">
        <v>58.38</v>
      </c>
      <c r="O716" s="34" t="n">
        <v>45309</v>
      </c>
      <c r="P716" s="15" t="n">
        <v>71</v>
      </c>
      <c r="Q716" s="15" t="n">
        <v>84</v>
      </c>
      <c r="R716" s="34" t="n">
        <v>45309</v>
      </c>
      <c r="S716" s="15" t="n">
        <v>10.06</v>
      </c>
      <c r="V716" s="15" t="n">
        <v>33.5</v>
      </c>
      <c r="W716" s="15" t="n">
        <v>41.19</v>
      </c>
      <c r="X716" s="34" t="n">
        <v>45309</v>
      </c>
    </row>
    <row r="717">
      <c r="A717" s="34" t="n">
        <v>45310</v>
      </c>
      <c r="B717" s="266" t="n">
        <v>1.111027956008911</v>
      </c>
      <c r="C717" s="34" t="n">
        <v>45310</v>
      </c>
      <c r="D717" s="15" t="n">
        <v>11.3</v>
      </c>
      <c r="E717" s="15" t="n">
        <v>20.51</v>
      </c>
      <c r="F717" s="34" t="n">
        <v>45310</v>
      </c>
      <c r="G717" s="15" t="n">
        <v>73.7</v>
      </c>
      <c r="H717" s="15" t="n">
        <v>100.46</v>
      </c>
      <c r="I717" s="34" t="n">
        <v>45310</v>
      </c>
      <c r="J717" s="15" t="n">
        <v>8</v>
      </c>
      <c r="K717" s="15" t="n">
        <v>17.12</v>
      </c>
      <c r="L717" s="34" t="n">
        <v>45310</v>
      </c>
      <c r="M717" s="15" t="n">
        <v>38.55</v>
      </c>
      <c r="N717" s="15" t="n">
        <v>57.45</v>
      </c>
      <c r="O717" s="34" t="n">
        <v>45310</v>
      </c>
      <c r="P717" s="15" t="n">
        <v>71.45</v>
      </c>
      <c r="Q717" s="15" t="n">
        <v>84.01000000000001</v>
      </c>
      <c r="R717" s="34" t="n">
        <v>45310</v>
      </c>
      <c r="S717" s="15" t="n">
        <v>10</v>
      </c>
      <c r="V717" s="15" t="n">
        <v>33.6</v>
      </c>
      <c r="W717" s="15" t="n">
        <v>40.1</v>
      </c>
      <c r="X717" s="34" t="n">
        <v>45310</v>
      </c>
    </row>
    <row r="718">
      <c r="A718" s="34" t="n">
        <v>45313</v>
      </c>
      <c r="B718" s="266" t="n">
        <v>1.111721038818359</v>
      </c>
      <c r="C718" s="34" t="n">
        <v>45313</v>
      </c>
      <c r="D718" s="15" t="n">
        <v>10.78</v>
      </c>
      <c r="E718" s="15" t="n">
        <v>19.16</v>
      </c>
      <c r="F718" s="34" t="n">
        <v>45313</v>
      </c>
      <c r="G718" s="15" t="n">
        <v>70.5</v>
      </c>
      <c r="H718" s="15" t="n">
        <v>96.5</v>
      </c>
      <c r="I718" s="34" t="n">
        <v>45313</v>
      </c>
      <c r="J718" s="15" t="n">
        <v>7.48</v>
      </c>
      <c r="K718" s="15" t="n">
        <v>16.16</v>
      </c>
      <c r="L718" s="34" t="n">
        <v>45313</v>
      </c>
      <c r="M718" s="15" t="n">
        <v>37</v>
      </c>
      <c r="N718" s="15" t="n">
        <v>55</v>
      </c>
      <c r="O718" s="34" t="n">
        <v>45313</v>
      </c>
      <c r="P718" s="15" t="n">
        <v>67.84999999999999</v>
      </c>
      <c r="Q718" s="15" t="n">
        <v>81.97</v>
      </c>
      <c r="R718" s="34" t="n">
        <v>45313</v>
      </c>
      <c r="S718" s="15" t="n">
        <v>9.68</v>
      </c>
      <c r="V718" s="15" t="n">
        <v>32.95</v>
      </c>
      <c r="W718" s="15" t="n">
        <v>37.43</v>
      </c>
      <c r="X718" s="34" t="n">
        <v>45313</v>
      </c>
    </row>
    <row r="719">
      <c r="A719" s="34" t="n">
        <v>45314</v>
      </c>
      <c r="B719" s="266" t="n">
        <v>1.110329031944275</v>
      </c>
      <c r="C719" s="34" t="n">
        <v>45314</v>
      </c>
      <c r="D719" s="15" t="n">
        <v>11.04</v>
      </c>
      <c r="E719" s="15" t="n">
        <v>19.52</v>
      </c>
      <c r="F719" s="34" t="n">
        <v>45314</v>
      </c>
      <c r="G719" s="15" t="n">
        <v>70</v>
      </c>
      <c r="H719" s="15" t="n">
        <v>97.68000000000001</v>
      </c>
      <c r="I719" s="34" t="n">
        <v>45314</v>
      </c>
      <c r="J719" s="15" t="n">
        <v>7.58</v>
      </c>
      <c r="K719" s="15" t="n">
        <v>16.41</v>
      </c>
      <c r="L719" s="34" t="n">
        <v>45314</v>
      </c>
      <c r="M719" s="15" t="n">
        <v>37.3</v>
      </c>
      <c r="N719" s="15" t="n">
        <v>55.58</v>
      </c>
      <c r="O719" s="34" t="n">
        <v>45314</v>
      </c>
      <c r="P719" s="15" t="n">
        <v>68.55</v>
      </c>
      <c r="Q719" s="15" t="n">
        <v>81.15000000000001</v>
      </c>
      <c r="R719" s="34" t="n">
        <v>45314</v>
      </c>
      <c r="S719" s="15" t="n">
        <v>9.5</v>
      </c>
      <c r="V719" s="15" t="n">
        <v>32.4</v>
      </c>
      <c r="W719" s="15" t="n">
        <v>37.54</v>
      </c>
      <c r="X719" s="34" t="n">
        <v>45314</v>
      </c>
    </row>
    <row r="720">
      <c r="A720" s="34" t="n">
        <v>45315</v>
      </c>
      <c r="B720" s="266" t="n">
        <v>1.108868002891541</v>
      </c>
      <c r="C720" s="34" t="n">
        <v>45315</v>
      </c>
      <c r="D720" s="15" t="n">
        <v>10.7</v>
      </c>
      <c r="E720" s="15" t="n">
        <v>18.9</v>
      </c>
      <c r="F720" s="34" t="n">
        <v>45315</v>
      </c>
      <c r="G720" s="15" t="n">
        <v>68.75</v>
      </c>
      <c r="H720" s="15" t="n">
        <v>96.55</v>
      </c>
      <c r="I720" s="34" t="n">
        <v>45315</v>
      </c>
      <c r="J720" s="15" t="n">
        <v>7.64</v>
      </c>
      <c r="K720" s="15" t="n">
        <v>16.59</v>
      </c>
      <c r="L720" s="34" t="n">
        <v>45315</v>
      </c>
      <c r="M720" s="15" t="n">
        <v>38.6</v>
      </c>
      <c r="N720" s="15" t="n">
        <v>55.3</v>
      </c>
      <c r="O720" s="34" t="n">
        <v>45315</v>
      </c>
      <c r="P720" s="15" t="n">
        <v>70.09999999999999</v>
      </c>
      <c r="Q720" s="15" t="n">
        <v>81.93000000000001</v>
      </c>
      <c r="R720" s="34" t="n">
        <v>45315</v>
      </c>
      <c r="S720" s="15" t="n">
        <v>10.16</v>
      </c>
      <c r="V720" s="15" t="n">
        <v>31.75</v>
      </c>
      <c r="W720" s="15" t="n">
        <v>38.6</v>
      </c>
      <c r="X720" s="34" t="n">
        <v>45315</v>
      </c>
    </row>
    <row r="721">
      <c r="A721" s="34" t="n">
        <v>45316</v>
      </c>
      <c r="B721" s="266" t="n">
        <v>1.110738039016724</v>
      </c>
      <c r="C721" s="34" t="n">
        <v>45316</v>
      </c>
      <c r="D721" s="15" t="n">
        <v>10.7</v>
      </c>
      <c r="E721" s="15" t="n">
        <v>19.28</v>
      </c>
      <c r="F721" s="34" t="n">
        <v>45316</v>
      </c>
      <c r="G721" s="15" t="n">
        <v>71</v>
      </c>
      <c r="H721" s="15" t="n">
        <v>98.3</v>
      </c>
      <c r="I721" s="34" t="n">
        <v>45316</v>
      </c>
      <c r="J721" s="15" t="n">
        <v>7.72</v>
      </c>
      <c r="K721" s="15" t="n">
        <v>16.54</v>
      </c>
      <c r="L721" s="34" t="n">
        <v>45316</v>
      </c>
      <c r="M721" s="15" t="n">
        <v>39.85</v>
      </c>
      <c r="N721" s="15" t="n">
        <v>56.01</v>
      </c>
      <c r="O721" s="34" t="n">
        <v>45316</v>
      </c>
      <c r="P721" s="15" t="n">
        <v>75.40000000000001</v>
      </c>
      <c r="Q721" s="15" t="n">
        <v>86.90000000000001</v>
      </c>
      <c r="R721" s="34" t="n">
        <v>45316</v>
      </c>
      <c r="S721" s="15" t="n">
        <v>9.699999999999999</v>
      </c>
      <c r="V721" s="15" t="n">
        <v>31.7</v>
      </c>
      <c r="W721" s="15" t="n">
        <v>39.88</v>
      </c>
      <c r="X721" s="34" t="n">
        <v>45316</v>
      </c>
    </row>
    <row r="722">
      <c r="A722" s="34" t="n">
        <v>45317</v>
      </c>
      <c r="B722" s="266" t="n">
        <v>1.10723602771759</v>
      </c>
      <c r="C722" s="34" t="n">
        <v>45317</v>
      </c>
      <c r="D722" s="15" t="n">
        <v>10.12</v>
      </c>
      <c r="E722" s="15" t="n">
        <v>18.18</v>
      </c>
      <c r="F722" s="34" t="n">
        <v>45317</v>
      </c>
      <c r="G722" s="15" t="n">
        <v>65.95</v>
      </c>
      <c r="H722" s="15" t="n">
        <v>91.44</v>
      </c>
      <c r="I722" s="34" t="n">
        <v>45317</v>
      </c>
      <c r="J722" s="15" t="n">
        <v>7.42</v>
      </c>
      <c r="K722" s="15" t="n">
        <v>15.87</v>
      </c>
      <c r="L722" s="34" t="n">
        <v>45317</v>
      </c>
      <c r="M722" s="15" t="n">
        <v>39.05</v>
      </c>
      <c r="N722" s="15" t="n">
        <v>54.8</v>
      </c>
      <c r="O722" s="34" t="n">
        <v>45317</v>
      </c>
      <c r="P722" s="15" t="n">
        <v>73.25</v>
      </c>
      <c r="Q722" s="15" t="n">
        <v>85.62</v>
      </c>
      <c r="R722" s="34" t="n">
        <v>45317</v>
      </c>
      <c r="S722" s="15" t="n">
        <v>9.619999999999999</v>
      </c>
      <c r="V722" s="15" t="n">
        <v>32.2</v>
      </c>
      <c r="W722" s="15" t="n">
        <v>39.02</v>
      </c>
      <c r="X722" s="34" t="n">
        <v>45317</v>
      </c>
    </row>
    <row r="723">
      <c r="A723" s="34" t="n">
        <v>45320</v>
      </c>
      <c r="B723" s="266" t="n">
        <v>1.10621702671051</v>
      </c>
      <c r="C723" s="34" t="n">
        <v>45320</v>
      </c>
      <c r="D723" s="15" t="n">
        <v>9.81</v>
      </c>
      <c r="E723" s="15" t="n">
        <v>17.94</v>
      </c>
      <c r="F723" s="34" t="n">
        <v>45320</v>
      </c>
      <c r="G723" s="15" t="n">
        <v>65.2</v>
      </c>
      <c r="H723" s="15" t="n">
        <v>91.39</v>
      </c>
      <c r="I723" s="34" t="n">
        <v>45320</v>
      </c>
      <c r="J723" s="15" t="n">
        <v>7.67</v>
      </c>
      <c r="K723" s="15" t="n">
        <v>15.87</v>
      </c>
      <c r="L723" s="34" t="n">
        <v>45320</v>
      </c>
      <c r="M723" s="15" t="n">
        <v>37.45</v>
      </c>
      <c r="N723" s="15" t="n">
        <v>51.01</v>
      </c>
      <c r="O723" s="34" t="n">
        <v>45320</v>
      </c>
      <c r="P723" s="15" t="n">
        <v>73.95</v>
      </c>
      <c r="Q723" s="15" t="n">
        <v>84.92</v>
      </c>
      <c r="R723" s="34" t="n">
        <v>45320</v>
      </c>
      <c r="S723" s="15" t="n">
        <v>9.91</v>
      </c>
      <c r="V723" s="15" t="n">
        <v>31.8</v>
      </c>
      <c r="W723" s="15" t="n">
        <v>37</v>
      </c>
      <c r="X723" s="34" t="n">
        <v>45320</v>
      </c>
    </row>
    <row r="724">
      <c r="A724" s="34" t="n">
        <v>45321</v>
      </c>
      <c r="B724" s="266" t="n">
        <v>1.105329036712646</v>
      </c>
      <c r="C724" s="34" t="n">
        <v>45321</v>
      </c>
      <c r="D724" s="15" t="n">
        <v>9.82</v>
      </c>
      <c r="E724" s="15" t="n">
        <v>17.26</v>
      </c>
      <c r="F724" s="34" t="n">
        <v>45321</v>
      </c>
      <c r="G724" s="15" t="n">
        <v>63.3</v>
      </c>
      <c r="H724" s="15" t="n">
        <v>89</v>
      </c>
      <c r="I724" s="34" t="n">
        <v>45321</v>
      </c>
      <c r="J724" s="15" t="n">
        <v>7.32</v>
      </c>
      <c r="K724" s="15" t="n">
        <v>15.42</v>
      </c>
      <c r="L724" s="34" t="n">
        <v>45321</v>
      </c>
      <c r="M724" s="15" t="n">
        <v>36.6</v>
      </c>
      <c r="N724" s="15" t="n">
        <v>50.39</v>
      </c>
      <c r="O724" s="34" t="n">
        <v>45321</v>
      </c>
      <c r="P724" s="15" t="n">
        <v>70</v>
      </c>
      <c r="Q724" s="15" t="n">
        <v>82.25</v>
      </c>
      <c r="R724" s="34" t="n">
        <v>45321</v>
      </c>
      <c r="S724" s="15" t="n">
        <v>9.960000000000001</v>
      </c>
      <c r="V724" s="15" t="n">
        <v>31.1</v>
      </c>
      <c r="W724" s="15" t="n">
        <v>35.51</v>
      </c>
      <c r="X724" s="34" t="n">
        <v>45321</v>
      </c>
    </row>
    <row r="725">
      <c r="A725" s="34" t="n">
        <v>45322</v>
      </c>
      <c r="B725" s="266" t="n">
        <v>1.106791973114014</v>
      </c>
      <c r="C725" s="34" t="n">
        <v>45322</v>
      </c>
      <c r="D725" s="15" t="n">
        <v>9.640000000000001</v>
      </c>
      <c r="E725" s="15" t="n">
        <v>16.58</v>
      </c>
      <c r="F725" s="34" t="n">
        <v>45322</v>
      </c>
      <c r="G725" s="15" t="n">
        <v>60.65</v>
      </c>
      <c r="H725" s="15" t="n">
        <v>85.52</v>
      </c>
      <c r="I725" s="34" t="n">
        <v>45322</v>
      </c>
      <c r="J725" s="15" t="n">
        <v>6.93</v>
      </c>
      <c r="K725" s="15" t="n">
        <v>14.75</v>
      </c>
      <c r="L725" s="34" t="n">
        <v>45322</v>
      </c>
      <c r="M725" s="15" t="n">
        <v>34.45</v>
      </c>
      <c r="N725" s="15" t="n">
        <v>46.5</v>
      </c>
      <c r="O725" s="34" t="n">
        <v>45322</v>
      </c>
      <c r="P725" s="15" t="n">
        <v>68.3</v>
      </c>
      <c r="Q725" s="15" t="n">
        <v>79.81</v>
      </c>
      <c r="R725" s="34" t="n">
        <v>45322</v>
      </c>
      <c r="S725" s="15" t="n">
        <v>9.199999999999999</v>
      </c>
      <c r="V725" s="15" t="n">
        <v>30.4</v>
      </c>
      <c r="W725" s="15" t="n">
        <v>34.37</v>
      </c>
      <c r="X725" s="34" t="n">
        <v>45322</v>
      </c>
    </row>
    <row r="726">
      <c r="A726" s="34" t="n">
        <v>45323</v>
      </c>
      <c r="B726" s="266" t="n">
        <v>1.102612972259521</v>
      </c>
      <c r="C726" s="34" t="n">
        <v>45323</v>
      </c>
      <c r="D726" s="15" t="n">
        <v>9.699999999999999</v>
      </c>
      <c r="E726" s="15" t="n">
        <v>16.58</v>
      </c>
      <c r="F726" s="34" t="n">
        <v>45323</v>
      </c>
      <c r="G726" s="15" t="n">
        <v>63.65</v>
      </c>
      <c r="H726" s="15" t="n">
        <v>90.72</v>
      </c>
      <c r="I726" s="34" t="n">
        <v>45323</v>
      </c>
      <c r="J726" s="15" t="n">
        <v>6.76</v>
      </c>
      <c r="K726" s="15" t="n">
        <v>14.41</v>
      </c>
      <c r="L726" s="34" t="n">
        <v>45323</v>
      </c>
      <c r="M726" s="15" t="n">
        <v>34.6</v>
      </c>
      <c r="N726" s="15" t="n">
        <v>46.53</v>
      </c>
      <c r="O726" s="34" t="n">
        <v>45323</v>
      </c>
      <c r="P726" s="15" t="n">
        <v>71.09999999999999</v>
      </c>
      <c r="Q726" s="15" t="n">
        <v>80.95</v>
      </c>
      <c r="R726" s="34" t="n">
        <v>45323</v>
      </c>
      <c r="S726" s="15" t="n">
        <v>8.65</v>
      </c>
      <c r="V726" s="15" t="n">
        <v>29.85</v>
      </c>
      <c r="W726" s="15" t="n">
        <v>34.92</v>
      </c>
      <c r="X726" s="34" t="n">
        <v>45323</v>
      </c>
    </row>
    <row r="727">
      <c r="A727" s="34" t="n">
        <v>45324</v>
      </c>
      <c r="B727" s="266" t="n">
        <v>1.110376000404358</v>
      </c>
      <c r="C727" s="34" t="n">
        <v>45324</v>
      </c>
      <c r="D727" s="15" t="n">
        <v>9.31</v>
      </c>
      <c r="E727" s="15" t="n">
        <v>15.54</v>
      </c>
      <c r="F727" s="34" t="n">
        <v>45324</v>
      </c>
      <c r="G727" s="15" t="n">
        <v>60.4</v>
      </c>
      <c r="H727" s="15" t="n">
        <v>85.72</v>
      </c>
      <c r="I727" s="34" t="n">
        <v>45324</v>
      </c>
      <c r="J727" s="15" t="n">
        <v>6.7</v>
      </c>
      <c r="K727" s="15" t="n">
        <v>14.16</v>
      </c>
      <c r="L727" s="34" t="n">
        <v>45324</v>
      </c>
      <c r="M727" s="15" t="n">
        <v>33.6</v>
      </c>
      <c r="N727" s="15" t="n">
        <v>44.18</v>
      </c>
      <c r="O727" s="34" t="n">
        <v>45324</v>
      </c>
      <c r="P727" s="15" t="n">
        <v>69</v>
      </c>
      <c r="Q727" s="15" t="n">
        <v>78.52</v>
      </c>
      <c r="R727" s="34" t="n">
        <v>45324</v>
      </c>
      <c r="S727" s="15" t="n">
        <v>8.880000000000001</v>
      </c>
      <c r="V727" s="15" t="n">
        <v>28.3</v>
      </c>
      <c r="W727" s="15" t="n">
        <v>32.36</v>
      </c>
      <c r="X727" s="34" t="n">
        <v>45324</v>
      </c>
    </row>
    <row r="728">
      <c r="A728" s="34" t="n">
        <v>45327</v>
      </c>
      <c r="B728" s="266" t="n">
        <v>1.100926041603088</v>
      </c>
      <c r="C728" s="34" t="n">
        <v>45327</v>
      </c>
      <c r="D728" s="15" t="n">
        <v>9.199999999999999</v>
      </c>
      <c r="E728" s="15" t="n">
        <v>14.58</v>
      </c>
      <c r="F728" s="34" t="n">
        <v>45327</v>
      </c>
      <c r="G728" s="15" t="n">
        <v>61</v>
      </c>
      <c r="H728" s="15" t="n">
        <v>84.05</v>
      </c>
      <c r="I728" s="34" t="n">
        <v>45327</v>
      </c>
      <c r="J728" s="15" t="n">
        <v>6.64</v>
      </c>
      <c r="K728" s="15" t="n">
        <v>13.67</v>
      </c>
      <c r="L728" s="34" t="n">
        <v>45327</v>
      </c>
      <c r="M728" s="15" t="n">
        <v>32.8</v>
      </c>
      <c r="N728" s="15" t="n">
        <v>41.89</v>
      </c>
      <c r="O728" s="34" t="n">
        <v>45327</v>
      </c>
      <c r="P728" s="15" t="n">
        <v>69.25</v>
      </c>
      <c r="Q728" s="15" t="n">
        <v>77.87</v>
      </c>
      <c r="R728" s="34" t="n">
        <v>45327</v>
      </c>
      <c r="S728" s="15" t="n">
        <v>8.4</v>
      </c>
      <c r="V728" s="15" t="n">
        <v>27.95</v>
      </c>
      <c r="W728" s="15" t="n">
        <v>28.76</v>
      </c>
      <c r="X728" s="34" t="n">
        <v>45327</v>
      </c>
    </row>
    <row r="729">
      <c r="A729" s="34" t="n">
        <v>45328</v>
      </c>
      <c r="B729" s="266" t="n">
        <v>1.097015976905823</v>
      </c>
      <c r="C729" s="34" t="n">
        <v>45328</v>
      </c>
      <c r="D729" s="15" t="n">
        <v>9.69</v>
      </c>
      <c r="E729" s="15" t="n">
        <v>15.5</v>
      </c>
      <c r="F729" s="34" t="n">
        <v>45328</v>
      </c>
      <c r="G729" s="15" t="n">
        <v>65.7</v>
      </c>
      <c r="H729" s="15" t="n">
        <v>89.56999999999999</v>
      </c>
      <c r="I729" s="34" t="n">
        <v>45328</v>
      </c>
      <c r="J729" s="15" t="n">
        <v>7.02</v>
      </c>
      <c r="K729" s="15" t="n">
        <v>15.08</v>
      </c>
      <c r="L729" s="34" t="n">
        <v>45328</v>
      </c>
      <c r="M729" s="15" t="n">
        <v>34.15</v>
      </c>
      <c r="N729" s="15" t="n">
        <v>44.83</v>
      </c>
      <c r="O729" s="34" t="n">
        <v>45328</v>
      </c>
      <c r="P729" s="15" t="n">
        <v>72.95</v>
      </c>
      <c r="Q729" s="15" t="n">
        <v>82.7</v>
      </c>
      <c r="R729" s="34" t="n">
        <v>45328</v>
      </c>
      <c r="S729" s="15" t="n">
        <v>9.4</v>
      </c>
      <c r="V729" s="15" t="n">
        <v>29.95</v>
      </c>
      <c r="W729" s="15" t="n">
        <v>30.5</v>
      </c>
      <c r="X729" s="34" t="n">
        <v>45328</v>
      </c>
    </row>
    <row r="730">
      <c r="A730" s="34" t="n">
        <v>45329</v>
      </c>
      <c r="B730" s="266" t="n">
        <v>1.098708987236023</v>
      </c>
      <c r="C730" s="34" t="n">
        <v>45329</v>
      </c>
      <c r="D730" s="15" t="n">
        <v>9.93</v>
      </c>
      <c r="E730" s="15" t="n">
        <v>17.05</v>
      </c>
      <c r="F730" s="34" t="n">
        <v>45329</v>
      </c>
      <c r="G730" s="15" t="n">
        <v>65.84999999999999</v>
      </c>
      <c r="H730" s="15" t="n">
        <v>91.69</v>
      </c>
      <c r="I730" s="34" t="n">
        <v>45329</v>
      </c>
      <c r="J730" s="15" t="n">
        <v>7.04</v>
      </c>
      <c r="K730" s="15" t="n">
        <v>16.32</v>
      </c>
      <c r="L730" s="34" t="n">
        <v>45329</v>
      </c>
      <c r="M730" s="15" t="n">
        <v>33.75</v>
      </c>
      <c r="N730" s="15" t="n">
        <v>44.7</v>
      </c>
      <c r="O730" s="34" t="n">
        <v>45329</v>
      </c>
      <c r="P730" s="15" t="n">
        <v>73.40000000000001</v>
      </c>
      <c r="Q730" s="15" t="n">
        <v>84</v>
      </c>
      <c r="R730" s="34" t="n">
        <v>45329</v>
      </c>
      <c r="S730" s="15" t="n">
        <v>8.43</v>
      </c>
      <c r="V730" s="15" t="n">
        <v>30.2</v>
      </c>
      <c r="W730" s="15" t="n">
        <v>31.38</v>
      </c>
      <c r="X730" s="34" t="n">
        <v>45329</v>
      </c>
    </row>
    <row r="731">
      <c r="A731" s="34" t="n">
        <v>45330</v>
      </c>
      <c r="B731" s="266" t="n">
        <v>1.100044012069702</v>
      </c>
      <c r="C731" s="34" t="n">
        <v>45330</v>
      </c>
      <c r="D731" s="15" t="n">
        <v>9.800000000000001</v>
      </c>
      <c r="E731" s="15" t="n">
        <v>16.91</v>
      </c>
      <c r="F731" s="34" t="n">
        <v>45330</v>
      </c>
      <c r="G731" s="15" t="n">
        <v>64.55</v>
      </c>
      <c r="H731" s="15" t="n">
        <v>91.59999999999999</v>
      </c>
      <c r="I731" s="34" t="n">
        <v>45330</v>
      </c>
      <c r="J731" s="15" t="n">
        <v>7.08</v>
      </c>
      <c r="K731" s="15" t="n">
        <v>16.47</v>
      </c>
      <c r="L731" s="34" t="n">
        <v>45330</v>
      </c>
      <c r="M731" s="15" t="n">
        <v>34</v>
      </c>
      <c r="N731" s="15" t="n">
        <v>45.86</v>
      </c>
      <c r="O731" s="34" t="n">
        <v>45330</v>
      </c>
      <c r="P731" s="15" t="n">
        <v>74.25</v>
      </c>
      <c r="Q731" s="15" t="n">
        <v>84.45</v>
      </c>
      <c r="R731" s="34" t="n">
        <v>45330</v>
      </c>
      <c r="S731" s="15" t="n">
        <v>8.220000000000001</v>
      </c>
      <c r="V731" s="15" t="n">
        <v>30.8</v>
      </c>
      <c r="W731" s="15" t="n">
        <v>33</v>
      </c>
      <c r="X731" s="34" t="n">
        <v>45330</v>
      </c>
    </row>
    <row r="732">
      <c r="A732" s="34" t="n">
        <v>45331</v>
      </c>
      <c r="B732" s="266" t="n">
        <v>1.100633025169373</v>
      </c>
      <c r="C732" s="34" t="n">
        <v>45331</v>
      </c>
      <c r="D732" s="15" t="n">
        <v>9.66</v>
      </c>
      <c r="E732" s="15" t="n">
        <v>16.91</v>
      </c>
      <c r="F732" s="34" t="n">
        <v>45330</v>
      </c>
      <c r="G732" s="15" t="n">
        <v>62.7</v>
      </c>
      <c r="H732" s="15" t="n">
        <v>91.59999999999999</v>
      </c>
      <c r="I732" s="34" t="n">
        <v>45330</v>
      </c>
      <c r="J732" s="15" t="n">
        <v>6.96</v>
      </c>
      <c r="K732" s="15" t="n">
        <v>16.47</v>
      </c>
      <c r="L732" s="34" t="n">
        <v>45330</v>
      </c>
      <c r="M732" s="15" t="n">
        <v>33.7</v>
      </c>
      <c r="N732" s="15" t="n">
        <v>45.86</v>
      </c>
      <c r="O732" s="34" t="n">
        <v>45330</v>
      </c>
      <c r="P732" s="15" t="n">
        <v>74.90000000000001</v>
      </c>
      <c r="Q732" s="15" t="n">
        <v>84.45</v>
      </c>
      <c r="R732" s="34" t="n">
        <v>45330</v>
      </c>
      <c r="S732" s="15" t="n">
        <v>8.640000000000001</v>
      </c>
    </row>
    <row r="733">
      <c r="A733" s="34" t="n">
        <v>45336</v>
      </c>
      <c r="B733" s="266" t="n">
        <v>1.093312978744507</v>
      </c>
      <c r="C733" s="34" t="n">
        <v>45336</v>
      </c>
      <c r="D733" s="15" t="n">
        <v>9.76</v>
      </c>
      <c r="E733" s="15" t="n">
        <v>16.91</v>
      </c>
      <c r="F733" s="34" t="n">
        <v>45330</v>
      </c>
      <c r="G733" s="15" t="n">
        <v>59</v>
      </c>
      <c r="H733" s="15" t="n">
        <v>91.59999999999999</v>
      </c>
      <c r="I733" s="34" t="n">
        <v>45330</v>
      </c>
      <c r="J733" s="15" t="n">
        <v>6.88</v>
      </c>
      <c r="K733" s="15" t="n">
        <v>16.47</v>
      </c>
      <c r="L733" s="34" t="n">
        <v>45330</v>
      </c>
      <c r="M733" s="15" t="n">
        <v>32.75</v>
      </c>
      <c r="N733" s="15" t="n">
        <v>45.86</v>
      </c>
      <c r="O733" s="34" t="n">
        <v>45330</v>
      </c>
      <c r="P733" s="15" t="n">
        <v>78.7</v>
      </c>
      <c r="Q733" s="15" t="n">
        <v>84.45</v>
      </c>
      <c r="R733" s="34" t="n">
        <v>45330</v>
      </c>
      <c r="S733" s="15" t="n">
        <v>8.369999999999999</v>
      </c>
    </row>
    <row r="734">
      <c r="A734" s="34" t="n">
        <v>45337</v>
      </c>
      <c r="B734" s="266" t="n">
        <v>1.095546960830688</v>
      </c>
      <c r="C734" s="34" t="n">
        <v>45337</v>
      </c>
      <c r="D734" s="15" t="n">
        <v>9.859999999999999</v>
      </c>
      <c r="E734" s="15" t="n">
        <v>16.91</v>
      </c>
      <c r="F734" s="34" t="n">
        <v>45330</v>
      </c>
      <c r="G734" s="15" t="n">
        <v>58.7</v>
      </c>
      <c r="H734" s="15" t="n">
        <v>91.59999999999999</v>
      </c>
      <c r="I734" s="34" t="n">
        <v>45330</v>
      </c>
      <c r="J734" s="15" t="n">
        <v>6.7</v>
      </c>
      <c r="K734" s="15" t="n">
        <v>16.47</v>
      </c>
      <c r="L734" s="34" t="n">
        <v>45330</v>
      </c>
      <c r="M734" s="15" t="n">
        <v>32.6</v>
      </c>
      <c r="N734" s="15" t="n">
        <v>45.86</v>
      </c>
      <c r="O734" s="34" t="n">
        <v>45330</v>
      </c>
      <c r="P734" s="15" t="n">
        <v>81.59999999999999</v>
      </c>
      <c r="Q734" s="15" t="n">
        <v>84.45</v>
      </c>
      <c r="R734" s="34" t="n">
        <v>45330</v>
      </c>
      <c r="S734" s="15" t="n">
        <v>7.6</v>
      </c>
    </row>
    <row r="735">
      <c r="A735" s="34" t="n">
        <v>45338</v>
      </c>
      <c r="B735" s="266" t="n">
        <v>1.100026965141296</v>
      </c>
      <c r="C735" s="34" t="n">
        <v>45338</v>
      </c>
      <c r="D735" s="15" t="n">
        <v>10.42</v>
      </c>
      <c r="E735" s="15" t="n">
        <v>16.91</v>
      </c>
      <c r="F735" s="34" t="n">
        <v>45330</v>
      </c>
      <c r="G735" s="15" t="n">
        <v>63.7</v>
      </c>
      <c r="H735" s="15" t="n">
        <v>91.59999999999999</v>
      </c>
      <c r="I735" s="34" t="n">
        <v>45330</v>
      </c>
      <c r="J735" s="15" t="n">
        <v>7.31</v>
      </c>
      <c r="K735" s="15" t="n">
        <v>16.47</v>
      </c>
      <c r="L735" s="34" t="n">
        <v>45330</v>
      </c>
      <c r="M735" s="15" t="n">
        <v>34.4</v>
      </c>
      <c r="N735" s="15" t="n">
        <v>45.86</v>
      </c>
      <c r="O735" s="34" t="n">
        <v>45330</v>
      </c>
      <c r="P735" s="15" t="n">
        <v>86.25</v>
      </c>
      <c r="Q735" s="15" t="n">
        <v>84.45</v>
      </c>
      <c r="R735" s="34" t="n">
        <v>45330</v>
      </c>
      <c r="S735" s="15" t="n">
        <v>8.67</v>
      </c>
      <c r="V735" s="15" t="n">
        <v>31</v>
      </c>
      <c r="W735" s="15" t="n">
        <v>33</v>
      </c>
      <c r="X735" s="34" t="n">
        <v>45330</v>
      </c>
    </row>
    <row r="736">
      <c r="A736" s="34" t="n">
        <v>45341</v>
      </c>
      <c r="B736" s="266" t="n">
        <v>1.10134494304657</v>
      </c>
      <c r="C736" s="34" t="n">
        <v>45341</v>
      </c>
      <c r="D736" s="15" t="n">
        <v>10.2</v>
      </c>
      <c r="E736" s="15" t="n">
        <v>16.95</v>
      </c>
      <c r="F736" s="34" t="n">
        <v>45341</v>
      </c>
      <c r="G736" s="15" t="n">
        <v>62.9</v>
      </c>
      <c r="H736" s="15" t="n">
        <v>92.91</v>
      </c>
      <c r="I736" s="34" t="n">
        <v>45341</v>
      </c>
      <c r="J736" s="15" t="n">
        <v>6.88</v>
      </c>
      <c r="K736" s="15" t="n">
        <v>16.24</v>
      </c>
      <c r="L736" s="34" t="n">
        <v>45341</v>
      </c>
      <c r="M736" s="15" t="n">
        <v>34.25</v>
      </c>
      <c r="N736" s="15" t="n">
        <v>45.78</v>
      </c>
      <c r="O736" s="34" t="n">
        <v>45341</v>
      </c>
      <c r="P736" s="15" t="n">
        <v>77.59999999999999</v>
      </c>
      <c r="Q736" s="15" t="n">
        <v>85.29000000000001</v>
      </c>
      <c r="R736" s="34" t="n">
        <v>45341</v>
      </c>
      <c r="S736" s="15" t="n">
        <v>7.1</v>
      </c>
      <c r="V736" s="15" t="n">
        <v>30.85</v>
      </c>
      <c r="W736" s="15" t="n">
        <v>32.6</v>
      </c>
      <c r="X736" s="34" t="n">
        <v>45341</v>
      </c>
    </row>
    <row r="737">
      <c r="A737" s="34" t="n">
        <v>45342</v>
      </c>
      <c r="B737" s="266" t="n">
        <v>1.100348949432373</v>
      </c>
      <c r="C737" s="34" t="n">
        <v>45342</v>
      </c>
      <c r="D737" s="15" t="n">
        <v>10.3</v>
      </c>
      <c r="E737" s="15" t="n">
        <v>17.23</v>
      </c>
      <c r="F737" s="34" t="n">
        <v>45342</v>
      </c>
      <c r="G737" s="15" t="n">
        <v>65.05</v>
      </c>
      <c r="H737" s="15" t="n">
        <v>95.22</v>
      </c>
      <c r="I737" s="34" t="n">
        <v>45342</v>
      </c>
      <c r="J737" s="15" t="n">
        <v>6.89</v>
      </c>
      <c r="K737" s="15" t="n">
        <v>15.95</v>
      </c>
      <c r="L737" s="34" t="n">
        <v>45342</v>
      </c>
      <c r="M737" s="15" t="n">
        <v>34.4</v>
      </c>
      <c r="N737" s="15" t="n">
        <v>45.59</v>
      </c>
      <c r="O737" s="34" t="n">
        <v>45342</v>
      </c>
      <c r="P737" s="15" t="n">
        <v>76.25</v>
      </c>
      <c r="Q737" s="15" t="n">
        <v>84.53</v>
      </c>
      <c r="R737" s="34" t="n">
        <v>45342</v>
      </c>
      <c r="S737" s="15" t="n">
        <v>7.3</v>
      </c>
      <c r="V737" s="15" t="n">
        <v>30.7</v>
      </c>
      <c r="W737" s="15" t="n">
        <v>32.37</v>
      </c>
      <c r="X737" s="34" t="n">
        <v>45342</v>
      </c>
    </row>
    <row r="738">
      <c r="A738" s="34" t="n">
        <v>45343</v>
      </c>
      <c r="B738" s="266" t="n">
        <v>1.104022026062012</v>
      </c>
      <c r="C738" s="34" t="n">
        <v>45343</v>
      </c>
      <c r="D738" s="15" t="n">
        <v>10.34</v>
      </c>
      <c r="E738" s="15" t="n">
        <v>17.51</v>
      </c>
      <c r="F738" s="34" t="n">
        <v>45343</v>
      </c>
      <c r="G738" s="15" t="n">
        <v>67.65000000000001</v>
      </c>
      <c r="H738" s="15" t="n">
        <v>96.52</v>
      </c>
      <c r="I738" s="34" t="n">
        <v>45343</v>
      </c>
      <c r="J738" s="15" t="n">
        <v>7.05</v>
      </c>
      <c r="K738" s="15" t="n">
        <v>16.25</v>
      </c>
      <c r="L738" s="34" t="n">
        <v>45343</v>
      </c>
      <c r="M738" s="15" t="n">
        <v>35.8</v>
      </c>
      <c r="N738" s="15" t="n">
        <v>47.16</v>
      </c>
      <c r="O738" s="34" t="n">
        <v>45343</v>
      </c>
      <c r="P738" s="15" t="n">
        <v>80.05</v>
      </c>
      <c r="Q738" s="15" t="n">
        <v>86.86</v>
      </c>
      <c r="R738" s="34" t="n">
        <v>45343</v>
      </c>
      <c r="S738" s="15" t="n">
        <v>7.51</v>
      </c>
      <c r="V738" s="15" t="n">
        <v>29.9</v>
      </c>
      <c r="W738" s="15" t="n">
        <v>33.26</v>
      </c>
      <c r="X738" s="34" t="n">
        <v>45343</v>
      </c>
    </row>
    <row r="739">
      <c r="A739" s="34" t="n">
        <v>45344</v>
      </c>
      <c r="B739" s="266" t="n">
        <v>1.104943990707397</v>
      </c>
      <c r="C739" s="34" t="n">
        <v>45344</v>
      </c>
      <c r="D739" s="15" t="n">
        <v>10.28</v>
      </c>
      <c r="E739" s="15" t="n">
        <v>17.71</v>
      </c>
      <c r="F739" s="34" t="n">
        <v>45344</v>
      </c>
      <c r="G739" s="15" t="n">
        <v>68</v>
      </c>
      <c r="H739" s="15" t="n">
        <v>97.05</v>
      </c>
      <c r="I739" s="34" t="n">
        <v>45344</v>
      </c>
      <c r="J739" s="15" t="n">
        <v>7.07</v>
      </c>
      <c r="K739" s="15" t="n">
        <v>16.29</v>
      </c>
      <c r="L739" s="34" t="n">
        <v>45344</v>
      </c>
      <c r="M739" s="15" t="n">
        <v>35.55</v>
      </c>
      <c r="N739" s="15" t="n">
        <v>47.2</v>
      </c>
      <c r="O739" s="34" t="n">
        <v>45344</v>
      </c>
      <c r="P739" s="15" t="n">
        <v>80.8</v>
      </c>
      <c r="Q739" s="15" t="n">
        <v>87.51000000000001</v>
      </c>
      <c r="R739" s="34" t="n">
        <v>45344</v>
      </c>
      <c r="S739" s="15" t="n">
        <v>8.119999999999999</v>
      </c>
      <c r="V739" s="15" t="n">
        <v>29.8</v>
      </c>
      <c r="W739" s="15" t="n">
        <v>33.88</v>
      </c>
      <c r="X739" s="34" t="n">
        <v>45344</v>
      </c>
    </row>
    <row r="740">
      <c r="A740" s="34" t="n">
        <v>45345</v>
      </c>
      <c r="B740" s="266" t="n">
        <v>1.105702996253967</v>
      </c>
      <c r="C740" s="34" t="n">
        <v>45345</v>
      </c>
      <c r="D740" s="15" t="n">
        <v>10.28</v>
      </c>
      <c r="E740" s="15" t="n">
        <v>17.89</v>
      </c>
      <c r="F740" s="34" t="n">
        <v>45345</v>
      </c>
      <c r="G740" s="15" t="n">
        <v>67.2</v>
      </c>
      <c r="H740" s="15" t="n">
        <v>96.73</v>
      </c>
      <c r="I740" s="34" t="n">
        <v>45345</v>
      </c>
      <c r="J740" s="15" t="n">
        <v>7.16</v>
      </c>
      <c r="K740" s="15" t="n">
        <v>17.05</v>
      </c>
      <c r="L740" s="34" t="n">
        <v>45345</v>
      </c>
      <c r="M740" s="15" t="n">
        <v>36.1</v>
      </c>
      <c r="N740" s="15" t="n">
        <v>47.96</v>
      </c>
      <c r="O740" s="34" t="n">
        <v>45345</v>
      </c>
      <c r="P740" s="15" t="n">
        <v>81.15000000000001</v>
      </c>
      <c r="Q740" s="15" t="n">
        <v>87.58</v>
      </c>
      <c r="R740" s="34" t="n">
        <v>45345</v>
      </c>
      <c r="S740" s="15" t="n">
        <v>7.89</v>
      </c>
      <c r="V740" s="15" t="n">
        <v>29.55</v>
      </c>
      <c r="W740" s="15" t="n">
        <v>34.29</v>
      </c>
      <c r="X740" s="34" t="n">
        <v>45345</v>
      </c>
    </row>
    <row r="741">
      <c r="A741" s="34" t="n">
        <v>45348</v>
      </c>
      <c r="B741" s="266" t="n">
        <v>1.105378985404968</v>
      </c>
      <c r="C741" s="34" t="n">
        <v>45348</v>
      </c>
      <c r="D741" s="15" t="n">
        <v>10.38</v>
      </c>
      <c r="E741" s="15" t="n">
        <v>17.98</v>
      </c>
      <c r="F741" s="34" t="n">
        <v>45348</v>
      </c>
      <c r="G741" s="15" t="n">
        <v>69.8</v>
      </c>
      <c r="H741" s="15" t="n">
        <v>100.38</v>
      </c>
      <c r="I741" s="34" t="n">
        <v>45348</v>
      </c>
      <c r="J741" s="15" t="n">
        <v>7.19</v>
      </c>
      <c r="K741" s="15" t="n">
        <v>17.71</v>
      </c>
      <c r="L741" s="34" t="n">
        <v>45348</v>
      </c>
      <c r="M741" s="15" t="n">
        <v>36</v>
      </c>
      <c r="N741" s="15" t="n">
        <v>48.21</v>
      </c>
      <c r="O741" s="34" t="n">
        <v>45348</v>
      </c>
      <c r="P741" s="15" t="n">
        <v>79</v>
      </c>
      <c r="Q741" s="15" t="n">
        <v>85.64</v>
      </c>
      <c r="R741" s="34" t="n">
        <v>45348</v>
      </c>
      <c r="S741" s="15" t="n">
        <v>8.66</v>
      </c>
      <c r="V741" s="15" t="n">
        <v>29.9</v>
      </c>
      <c r="W741" s="15" t="n">
        <v>35.23</v>
      </c>
      <c r="X741" s="34" t="n">
        <v>45348</v>
      </c>
    </row>
    <row r="742">
      <c r="A742" s="34" t="n">
        <v>45349</v>
      </c>
      <c r="B742" s="266" t="n">
        <v>1.108508944511414</v>
      </c>
      <c r="C742" s="34" t="n">
        <v>45349</v>
      </c>
      <c r="D742" s="15" t="n">
        <v>10.24</v>
      </c>
      <c r="E742" s="15" t="n">
        <v>18.29</v>
      </c>
      <c r="F742" s="34" t="n">
        <v>45349</v>
      </c>
      <c r="G742" s="15" t="n">
        <v>69.5</v>
      </c>
      <c r="H742" s="15" t="n">
        <v>100.37</v>
      </c>
      <c r="I742" s="34" t="n">
        <v>45349</v>
      </c>
      <c r="J742" s="15" t="n">
        <v>7.48</v>
      </c>
      <c r="K742" s="15" t="n">
        <v>17.86</v>
      </c>
      <c r="L742" s="34" t="n">
        <v>45349</v>
      </c>
      <c r="M742" s="15" t="n">
        <v>37.05</v>
      </c>
      <c r="N742" s="15" t="n">
        <v>49.39</v>
      </c>
      <c r="O742" s="34" t="n">
        <v>45349</v>
      </c>
      <c r="P742" s="15" t="n">
        <v>78.59999999999999</v>
      </c>
      <c r="Q742" s="15" t="n">
        <v>86.19</v>
      </c>
      <c r="R742" s="34" t="n">
        <v>45349</v>
      </c>
      <c r="S742" s="15" t="n">
        <v>8.359999999999999</v>
      </c>
      <c r="V742" s="15" t="n">
        <v>29.8</v>
      </c>
      <c r="W742" s="15" t="n">
        <v>36.3</v>
      </c>
      <c r="X742" s="34" t="n">
        <v>45349</v>
      </c>
    </row>
    <row r="743">
      <c r="A743" s="34" t="n">
        <v>45350</v>
      </c>
      <c r="B743" s="266" t="n">
        <v>1.107692956924438</v>
      </c>
      <c r="C743" s="34" t="n">
        <v>45350</v>
      </c>
      <c r="D743" s="15" t="n">
        <v>9.81</v>
      </c>
      <c r="E743" s="15" t="n">
        <v>17.72</v>
      </c>
      <c r="F743" s="34" t="n">
        <v>45350</v>
      </c>
      <c r="G743" s="15" t="n">
        <v>67.8</v>
      </c>
      <c r="H743" s="15" t="n">
        <v>99.55</v>
      </c>
      <c r="I743" s="34" t="n">
        <v>45350</v>
      </c>
      <c r="J743" s="15" t="n">
        <v>7.26</v>
      </c>
      <c r="K743" s="15" t="n">
        <v>16.91</v>
      </c>
      <c r="L743" s="34" t="n">
        <v>45350</v>
      </c>
      <c r="M743" s="15" t="n">
        <v>37.35</v>
      </c>
      <c r="N743" s="15" t="n">
        <v>50.16</v>
      </c>
      <c r="O743" s="34" t="n">
        <v>45350</v>
      </c>
      <c r="P743" s="15" t="n">
        <v>76.75</v>
      </c>
      <c r="Q743" s="15" t="n">
        <v>85.23</v>
      </c>
      <c r="R743" s="34" t="n">
        <v>45350</v>
      </c>
      <c r="S743" s="15" t="n">
        <v>8.58</v>
      </c>
      <c r="V743" s="15" t="n">
        <v>30.35</v>
      </c>
      <c r="W743" s="15" t="n">
        <v>34.38</v>
      </c>
      <c r="X743" s="34" t="n">
        <v>45350</v>
      </c>
    </row>
    <row r="744">
      <c r="A744" s="34" t="n">
        <v>45351</v>
      </c>
      <c r="B744" s="266" t="n">
        <v>1.107548952102661</v>
      </c>
      <c r="C744" s="34" t="n">
        <v>45351</v>
      </c>
      <c r="D744" s="15" t="n">
        <v>9.880000000000001</v>
      </c>
      <c r="E744" s="15" t="n">
        <v>18.2</v>
      </c>
      <c r="F744" s="34" t="n">
        <v>45351</v>
      </c>
      <c r="G744" s="15" t="n">
        <v>68.65000000000001</v>
      </c>
      <c r="H744" s="15" t="n">
        <v>101.6</v>
      </c>
      <c r="I744" s="34" t="n">
        <v>45351</v>
      </c>
      <c r="J744" s="15" t="n">
        <v>7.4</v>
      </c>
      <c r="K744" s="15" t="n">
        <v>17.42</v>
      </c>
      <c r="L744" s="34" t="n">
        <v>45351</v>
      </c>
      <c r="M744" s="15" t="n">
        <v>39.75</v>
      </c>
      <c r="N744" s="15" t="n">
        <v>53.63</v>
      </c>
      <c r="O744" s="34" t="n">
        <v>45351</v>
      </c>
      <c r="P744" s="15" t="n">
        <v>76.90000000000001</v>
      </c>
      <c r="Q744" s="15" t="n">
        <v>87.09999999999999</v>
      </c>
      <c r="R744" s="34" t="n">
        <v>45351</v>
      </c>
      <c r="S744" s="15" t="n">
        <v>8.92</v>
      </c>
      <c r="V744" s="15" t="n">
        <v>35.25</v>
      </c>
      <c r="W744" s="15" t="n">
        <v>41.26</v>
      </c>
      <c r="X744" s="34" t="n">
        <v>45351</v>
      </c>
    </row>
    <row r="745">
      <c r="A745" s="34" t="n">
        <v>45352</v>
      </c>
      <c r="B745" s="266" t="n">
        <v>1.104398965835571</v>
      </c>
      <c r="C745" s="34" t="n">
        <v>45352</v>
      </c>
      <c r="D745" s="15" t="n">
        <v>9.85</v>
      </c>
      <c r="E745" s="15" t="n">
        <v>18.23</v>
      </c>
      <c r="F745" s="34" t="n">
        <v>45352</v>
      </c>
      <c r="G745" s="15" t="n">
        <v>70.25</v>
      </c>
      <c r="H745" s="15" t="n">
        <v>102.24</v>
      </c>
      <c r="I745" s="34" t="n">
        <v>45352</v>
      </c>
      <c r="J745" s="15" t="n">
        <v>7.48</v>
      </c>
      <c r="K745" s="15" t="n">
        <v>17.45</v>
      </c>
      <c r="L745" s="34" t="n">
        <v>45352</v>
      </c>
      <c r="M745" s="15" t="n">
        <v>40.05</v>
      </c>
      <c r="N745" s="15" t="n">
        <v>53.8</v>
      </c>
      <c r="O745" s="34" t="n">
        <v>45352</v>
      </c>
      <c r="P745" s="15" t="n">
        <v>77.3</v>
      </c>
      <c r="Q745" s="15" t="n">
        <v>86.65000000000001</v>
      </c>
      <c r="R745" s="34" t="n">
        <v>45352</v>
      </c>
      <c r="S745" s="15" t="n">
        <v>9.65</v>
      </c>
      <c r="V745" s="15" t="n">
        <v>35.4</v>
      </c>
      <c r="W745" s="15" t="n">
        <v>43.57</v>
      </c>
      <c r="X745" s="34" t="n">
        <v>45352</v>
      </c>
    </row>
    <row r="746">
      <c r="A746" s="34" t="n">
        <v>45355</v>
      </c>
      <c r="B746" s="266" t="n">
        <v>1.108315944671631</v>
      </c>
      <c r="C746" s="34" t="n">
        <v>45355</v>
      </c>
      <c r="D746" s="15" t="n">
        <v>10.1</v>
      </c>
      <c r="E746" s="15" t="n">
        <v>18.74</v>
      </c>
      <c r="F746" s="34" t="n">
        <v>45355</v>
      </c>
      <c r="G746" s="15" t="n">
        <v>72.59999999999999</v>
      </c>
      <c r="H746" s="15" t="n">
        <v>108.42</v>
      </c>
      <c r="I746" s="34" t="n">
        <v>45355</v>
      </c>
      <c r="J746" s="15" t="n">
        <v>7.27</v>
      </c>
      <c r="K746" s="15" t="n">
        <v>17.24</v>
      </c>
      <c r="L746" s="34" t="n">
        <v>45355</v>
      </c>
      <c r="M746" s="15" t="n">
        <v>38.95</v>
      </c>
      <c r="N746" s="15" t="n">
        <v>52.96</v>
      </c>
      <c r="O746" s="34" t="n">
        <v>45355</v>
      </c>
      <c r="P746" s="15" t="n">
        <v>75</v>
      </c>
      <c r="Q746" s="15" t="n">
        <v>85.13</v>
      </c>
      <c r="R746" s="34" t="n">
        <v>45355</v>
      </c>
      <c r="S746" s="15" t="n">
        <v>8.970000000000001</v>
      </c>
      <c r="V746" s="15" t="n">
        <v>32.85</v>
      </c>
      <c r="W746" s="15" t="n">
        <v>41.73</v>
      </c>
      <c r="X746" s="34" t="n">
        <v>45355</v>
      </c>
    </row>
    <row r="747">
      <c r="A747" s="34" t="n">
        <v>45356</v>
      </c>
      <c r="B747" s="266" t="n">
        <v>1.109019041061401</v>
      </c>
      <c r="C747" s="34" t="n">
        <v>45356</v>
      </c>
      <c r="D747" s="15" t="n">
        <v>9.31</v>
      </c>
      <c r="E747" s="15" t="n">
        <v>18.08</v>
      </c>
      <c r="F747" s="34" t="n">
        <v>45356</v>
      </c>
      <c r="G747" s="15" t="n">
        <v>69.2</v>
      </c>
      <c r="H747" s="15" t="n">
        <v>104.04</v>
      </c>
      <c r="I747" s="34" t="n">
        <v>45356</v>
      </c>
      <c r="J747" s="15" t="n">
        <v>7.26</v>
      </c>
      <c r="K747" s="15" t="n">
        <v>17.3</v>
      </c>
      <c r="L747" s="34" t="n">
        <v>45356</v>
      </c>
      <c r="M747" s="15" t="n">
        <v>37</v>
      </c>
      <c r="N747" s="15" t="n">
        <v>51.21</v>
      </c>
      <c r="O747" s="34" t="n">
        <v>45356</v>
      </c>
      <c r="P747" s="15" t="n">
        <v>73</v>
      </c>
      <c r="Q747" s="15" t="n">
        <v>85</v>
      </c>
      <c r="R747" s="34" t="n">
        <v>45356</v>
      </c>
      <c r="S747" s="15" t="n">
        <v>8.26</v>
      </c>
      <c r="V747" s="15" t="n">
        <v>33.6</v>
      </c>
      <c r="W747" s="15" t="n">
        <v>41.82</v>
      </c>
      <c r="X747" s="34" t="n">
        <v>45356</v>
      </c>
    </row>
    <row r="748">
      <c r="A748" s="34" t="n">
        <v>45357</v>
      </c>
      <c r="B748" s="266" t="n">
        <v>1.10906994342804</v>
      </c>
      <c r="C748" s="34" t="n">
        <v>45357</v>
      </c>
      <c r="D748" s="15" t="n">
        <v>9.300000000000001</v>
      </c>
      <c r="E748" s="15" t="n">
        <v>17.92</v>
      </c>
      <c r="F748" s="34" t="n">
        <v>45357</v>
      </c>
      <c r="G748" s="15" t="n">
        <v>71.90000000000001</v>
      </c>
      <c r="H748" s="15" t="n">
        <v>104</v>
      </c>
      <c r="I748" s="34" t="n">
        <v>45357</v>
      </c>
      <c r="J748" s="15" t="n">
        <v>7.33</v>
      </c>
      <c r="K748" s="15" t="n">
        <v>17.31</v>
      </c>
      <c r="L748" s="34" t="n">
        <v>45357</v>
      </c>
      <c r="M748" s="15" t="n">
        <v>36.95</v>
      </c>
      <c r="N748" s="15" t="n">
        <v>50.82</v>
      </c>
      <c r="O748" s="34" t="n">
        <v>45357</v>
      </c>
      <c r="P748" s="15" t="n">
        <v>74.55</v>
      </c>
      <c r="Q748" s="15" t="n">
        <v>84.84999999999999</v>
      </c>
      <c r="R748" s="34" t="n">
        <v>45357</v>
      </c>
      <c r="S748" s="15" t="n">
        <v>9</v>
      </c>
      <c r="V748" s="15" t="n">
        <v>33.3</v>
      </c>
      <c r="W748" s="15" t="n">
        <v>42.01</v>
      </c>
      <c r="X748" s="34" t="n">
        <v>45357</v>
      </c>
    </row>
    <row r="749">
      <c r="A749" s="34" t="n">
        <v>45358</v>
      </c>
      <c r="B749" s="266" t="n">
        <v>1.113453984260559</v>
      </c>
      <c r="C749" s="34" t="n">
        <v>45358</v>
      </c>
      <c r="D749" s="15" t="n">
        <v>8.619999999999999</v>
      </c>
      <c r="E749" s="15" t="n">
        <v>16.85</v>
      </c>
      <c r="F749" s="34" t="n">
        <v>45358</v>
      </c>
      <c r="G749" s="15" t="n">
        <v>69.75</v>
      </c>
      <c r="H749" s="15" t="n">
        <v>96.51000000000001</v>
      </c>
      <c r="I749" s="34" t="n">
        <v>45358</v>
      </c>
      <c r="J749" s="15" t="n">
        <v>7.31</v>
      </c>
      <c r="K749" s="15" t="n">
        <v>17.36</v>
      </c>
      <c r="L749" s="34" t="n">
        <v>45358</v>
      </c>
      <c r="M749" s="15" t="n">
        <v>36</v>
      </c>
      <c r="N749" s="15" t="n">
        <v>50.08</v>
      </c>
      <c r="O749" s="34" t="n">
        <v>45358</v>
      </c>
      <c r="P749" s="15" t="n">
        <v>72.09999999999999</v>
      </c>
      <c r="Q749" s="15" t="n">
        <v>82.3</v>
      </c>
      <c r="R749" s="34" t="n">
        <v>45358</v>
      </c>
      <c r="S749" s="15" t="n">
        <v>8.550000000000001</v>
      </c>
      <c r="V749" s="15" t="n">
        <v>32.95</v>
      </c>
      <c r="W749" s="15" t="n">
        <v>40.1</v>
      </c>
      <c r="X749" s="34" t="n">
        <v>45358</v>
      </c>
    </row>
    <row r="750">
      <c r="A750" s="34" t="n">
        <v>45359</v>
      </c>
      <c r="B750" s="266" t="n">
        <v>1.118204951286316</v>
      </c>
      <c r="C750" s="34" t="n">
        <v>45359</v>
      </c>
      <c r="D750" s="15" t="n">
        <v>8.75</v>
      </c>
      <c r="E750" s="15" t="n">
        <v>16.91</v>
      </c>
      <c r="F750" s="34" t="n">
        <v>45359</v>
      </c>
      <c r="G750" s="15" t="n">
        <v>71.3</v>
      </c>
      <c r="H750" s="15" t="n">
        <v>98.29000000000001</v>
      </c>
      <c r="I750" s="34" t="n">
        <v>45359</v>
      </c>
      <c r="J750" s="15" t="n">
        <v>7.44</v>
      </c>
      <c r="K750" s="15" t="n">
        <v>16.95</v>
      </c>
      <c r="L750" s="34" t="n">
        <v>45359</v>
      </c>
      <c r="M750" s="15" t="n">
        <v>37.15</v>
      </c>
      <c r="N750" s="15" t="n">
        <v>50.1</v>
      </c>
      <c r="O750" s="34" t="n">
        <v>45359</v>
      </c>
      <c r="P750" s="15" t="n">
        <v>71.15000000000001</v>
      </c>
      <c r="Q750" s="15" t="n">
        <v>81.37</v>
      </c>
      <c r="R750" s="34" t="n">
        <v>45359</v>
      </c>
      <c r="S750" s="15" t="n">
        <v>9.470000000000001</v>
      </c>
      <c r="V750" s="15" t="n">
        <v>32.45</v>
      </c>
      <c r="W750" s="15" t="n">
        <v>39.53</v>
      </c>
      <c r="X750" s="34" t="n">
        <v>45359</v>
      </c>
    </row>
    <row r="751">
      <c r="A751" s="34" t="n">
        <v>45362</v>
      </c>
      <c r="B751" s="266" t="n">
        <v>1.117454051971436</v>
      </c>
      <c r="C751" s="34" t="n">
        <v>45362</v>
      </c>
      <c r="D751" s="15" t="n">
        <v>9.02</v>
      </c>
      <c r="E751" s="15" t="n">
        <v>17.76</v>
      </c>
      <c r="F751" s="34" t="n">
        <v>45362</v>
      </c>
      <c r="G751" s="15" t="n">
        <v>72.59999999999999</v>
      </c>
      <c r="H751" s="15" t="n">
        <v>102.37</v>
      </c>
      <c r="I751" s="34" t="n">
        <v>45362</v>
      </c>
      <c r="J751" s="15" t="n">
        <v>7.62</v>
      </c>
      <c r="K751" s="15" t="n">
        <v>17.23</v>
      </c>
      <c r="L751" s="34" t="n">
        <v>45362</v>
      </c>
      <c r="M751" s="15" t="n">
        <v>40.35</v>
      </c>
      <c r="N751" s="15" t="n">
        <v>53.75</v>
      </c>
      <c r="O751" s="34" t="n">
        <v>45362</v>
      </c>
      <c r="P751" s="15" t="n">
        <v>73.90000000000001</v>
      </c>
      <c r="Q751" s="15" t="n">
        <v>84.89</v>
      </c>
      <c r="R751" s="34" t="n">
        <v>45362</v>
      </c>
      <c r="S751" s="15" t="n">
        <v>9.33</v>
      </c>
      <c r="V751" s="15" t="n">
        <v>33.45</v>
      </c>
      <c r="W751" s="15" t="n">
        <v>41.28</v>
      </c>
      <c r="X751" s="34" t="n">
        <v>45362</v>
      </c>
    </row>
    <row r="752">
      <c r="A752" s="34" t="n">
        <v>45363</v>
      </c>
      <c r="B752" s="266" t="n">
        <v>1.116387009620667</v>
      </c>
      <c r="C752" s="34" t="n">
        <v>45363</v>
      </c>
      <c r="D752" s="15" t="n">
        <v>9.32</v>
      </c>
      <c r="E752" s="15" t="n">
        <v>18.24</v>
      </c>
      <c r="F752" s="34" t="n">
        <v>45363</v>
      </c>
      <c r="G752" s="15" t="n">
        <v>73.84999999999999</v>
      </c>
      <c r="H752" s="15" t="n">
        <v>104.71</v>
      </c>
      <c r="I752" s="34" t="n">
        <v>45363</v>
      </c>
      <c r="J752" s="15" t="n">
        <v>7.59</v>
      </c>
      <c r="K752" s="15" t="n">
        <v>16.76</v>
      </c>
      <c r="L752" s="34" t="n">
        <v>45363</v>
      </c>
      <c r="M752" s="15" t="n">
        <v>40.7</v>
      </c>
      <c r="N752" s="15" t="n">
        <v>53.6</v>
      </c>
      <c r="O752" s="34" t="n">
        <v>45363</v>
      </c>
      <c r="P752" s="15" t="n">
        <v>77.25</v>
      </c>
      <c r="Q752" s="15" t="n">
        <v>87.62</v>
      </c>
      <c r="R752" s="34" t="n">
        <v>45363</v>
      </c>
      <c r="S752" s="15" t="n">
        <v>10</v>
      </c>
      <c r="V752" s="15" t="n">
        <v>32.6</v>
      </c>
      <c r="W752" s="15" t="n">
        <v>41.25</v>
      </c>
      <c r="X752" s="34" t="n">
        <v>45363</v>
      </c>
    </row>
    <row r="753">
      <c r="A753" s="34" t="n">
        <v>45364</v>
      </c>
      <c r="B753" s="266" t="n">
        <v>1.116310954093933</v>
      </c>
      <c r="C753" s="34" t="n">
        <v>45364</v>
      </c>
      <c r="D753" s="15" t="n">
        <v>9.369999999999999</v>
      </c>
      <c r="E753" s="15" t="n">
        <v>18.16</v>
      </c>
      <c r="F753" s="34" t="n">
        <v>45364</v>
      </c>
      <c r="G753" s="15" t="n">
        <v>74.90000000000001</v>
      </c>
      <c r="H753" s="15" t="n">
        <v>102.7</v>
      </c>
      <c r="I753" s="34" t="n">
        <v>45364</v>
      </c>
      <c r="J753" s="15" t="n">
        <v>7.56</v>
      </c>
      <c r="K753" s="15" t="n">
        <v>16.54</v>
      </c>
      <c r="L753" s="34" t="n">
        <v>45364</v>
      </c>
      <c r="M753" s="15" t="n">
        <v>40.65</v>
      </c>
      <c r="N753" s="15" t="n">
        <v>53.24</v>
      </c>
      <c r="O753" s="34" t="n">
        <v>45364</v>
      </c>
      <c r="P753" s="15" t="n">
        <v>79.40000000000001</v>
      </c>
      <c r="Q753" s="15" t="n">
        <v>87.34</v>
      </c>
      <c r="R753" s="34" t="n">
        <v>45364</v>
      </c>
      <c r="S753" s="15" t="n">
        <v>10.18</v>
      </c>
      <c r="V753" s="15" t="n">
        <v>32.9</v>
      </c>
      <c r="W753" s="15" t="n">
        <v>40.45</v>
      </c>
      <c r="X753" s="34" t="n">
        <v>45364</v>
      </c>
    </row>
    <row r="754">
      <c r="A754" s="34" t="n">
        <v>45365</v>
      </c>
      <c r="B754" s="266" t="n">
        <v>1.118636012077332</v>
      </c>
      <c r="C754" s="34" t="n">
        <v>45365</v>
      </c>
      <c r="D754" s="15" t="n">
        <v>10.52</v>
      </c>
      <c r="E754" s="15" t="n">
        <v>19.98</v>
      </c>
      <c r="F754" s="34" t="n">
        <v>45365</v>
      </c>
      <c r="G754" s="15" t="n">
        <v>71.8</v>
      </c>
      <c r="H754" s="15" t="n">
        <v>101.22</v>
      </c>
      <c r="I754" s="34" t="n">
        <v>45365</v>
      </c>
      <c r="J754" s="15" t="n">
        <v>7.51</v>
      </c>
      <c r="K754" s="15" t="n">
        <v>16.23</v>
      </c>
      <c r="L754" s="34" t="n">
        <v>45365</v>
      </c>
      <c r="M754" s="15" t="n">
        <v>39.7</v>
      </c>
      <c r="N754" s="15" t="n">
        <v>52.43</v>
      </c>
      <c r="O754" s="34" t="n">
        <v>45365</v>
      </c>
      <c r="P754" s="15" t="n">
        <v>78.84999999999999</v>
      </c>
      <c r="Q754" s="15" t="n">
        <v>88.05</v>
      </c>
      <c r="R754" s="34" t="n">
        <v>45365</v>
      </c>
      <c r="S754" s="15" t="n">
        <v>10.5</v>
      </c>
      <c r="V754" s="15" t="n">
        <v>33</v>
      </c>
      <c r="W754" s="15" t="n">
        <v>39.49</v>
      </c>
      <c r="X754" s="34" t="n">
        <v>45365</v>
      </c>
    </row>
    <row r="755">
      <c r="A755" s="34" t="n">
        <v>45366</v>
      </c>
      <c r="B755" s="266" t="n">
        <v>1.111673951148987</v>
      </c>
      <c r="C755" s="34" t="n">
        <v>45366</v>
      </c>
      <c r="D755" s="15" t="n">
        <v>10.04</v>
      </c>
      <c r="E755" s="15" t="n">
        <v>20.29</v>
      </c>
      <c r="F755" s="34" t="n">
        <v>45366</v>
      </c>
      <c r="G755" s="15" t="n">
        <v>69.75</v>
      </c>
      <c r="H755" s="15" t="n">
        <v>100</v>
      </c>
      <c r="I755" s="34" t="n">
        <v>45366</v>
      </c>
      <c r="J755" s="15" t="n">
        <v>7.36</v>
      </c>
      <c r="K755" s="15" t="n">
        <v>16.36</v>
      </c>
      <c r="L755" s="34" t="n">
        <v>45366</v>
      </c>
      <c r="M755" s="15" t="n">
        <v>39.9</v>
      </c>
      <c r="N755" s="15" t="n">
        <v>52.5</v>
      </c>
      <c r="O755" s="34" t="n">
        <v>45366</v>
      </c>
      <c r="P755" s="15" t="n">
        <v>80.59999999999999</v>
      </c>
      <c r="Q755" s="15" t="n">
        <v>89.34999999999999</v>
      </c>
      <c r="R755" s="34" t="n">
        <v>45366</v>
      </c>
      <c r="S755" s="15" t="n">
        <v>10.26</v>
      </c>
      <c r="V755" s="15" t="n">
        <v>32.85</v>
      </c>
      <c r="W755" s="15" t="n">
        <v>39.86</v>
      </c>
      <c r="X755" s="34" t="n">
        <v>45366</v>
      </c>
    </row>
    <row r="756">
      <c r="A756" s="34" t="n">
        <v>45369</v>
      </c>
      <c r="B756" s="266" t="n">
        <v>1.111489057540894</v>
      </c>
      <c r="C756" s="34" t="n">
        <v>45369</v>
      </c>
      <c r="D756" s="15" t="n">
        <v>10.5</v>
      </c>
      <c r="E756" s="15" t="n">
        <v>20.85</v>
      </c>
      <c r="F756" s="34" t="n">
        <v>45369</v>
      </c>
      <c r="G756" s="15" t="n">
        <v>71.65000000000001</v>
      </c>
      <c r="H756" s="15" t="n">
        <v>101.09</v>
      </c>
      <c r="I756" s="34" t="n">
        <v>45369</v>
      </c>
      <c r="J756" s="15" t="n">
        <v>7.44</v>
      </c>
      <c r="K756" s="15" t="n">
        <v>16.56</v>
      </c>
      <c r="L756" s="34" t="n">
        <v>45369</v>
      </c>
      <c r="M756" s="15" t="n">
        <v>39.6</v>
      </c>
      <c r="N756" s="15" t="n">
        <v>52.83</v>
      </c>
      <c r="O756" s="34" t="n">
        <v>45369</v>
      </c>
      <c r="P756" s="15" t="n">
        <v>81.5</v>
      </c>
      <c r="Q756" s="15" t="n">
        <v>89.68000000000001</v>
      </c>
      <c r="R756" s="34" t="n">
        <v>45369</v>
      </c>
      <c r="S756" s="15" t="n">
        <v>9.699999999999999</v>
      </c>
      <c r="V756" s="15" t="n">
        <v>33.15</v>
      </c>
      <c r="W756" s="15" t="n">
        <v>40.65</v>
      </c>
      <c r="X756" s="34" t="n">
        <v>45369</v>
      </c>
    </row>
    <row r="757">
      <c r="A757" s="34" t="n">
        <v>45370</v>
      </c>
      <c r="B757" s="266" t="n">
        <v>1.110030055046082</v>
      </c>
      <c r="C757" s="34" t="n">
        <v>45370</v>
      </c>
      <c r="D757" s="15" t="n">
        <v>9.93</v>
      </c>
      <c r="E757" s="15" t="n">
        <v>19.97</v>
      </c>
      <c r="F757" s="34" t="n">
        <v>45370</v>
      </c>
      <c r="G757" s="15" t="n">
        <v>67.59999999999999</v>
      </c>
      <c r="H757" s="15" t="n">
        <v>97.86</v>
      </c>
      <c r="I757" s="34" t="n">
        <v>45370</v>
      </c>
      <c r="J757" s="15" t="n">
        <v>7.32</v>
      </c>
      <c r="K757" s="15" t="n">
        <v>16.48</v>
      </c>
      <c r="L757" s="34" t="n">
        <v>45370</v>
      </c>
      <c r="M757" s="15" t="n">
        <v>39.2</v>
      </c>
      <c r="N757" s="15" t="n">
        <v>52.19</v>
      </c>
      <c r="O757" s="34" t="n">
        <v>45370</v>
      </c>
      <c r="P757" s="15" t="n">
        <v>78.40000000000001</v>
      </c>
      <c r="Q757" s="15" t="n">
        <v>87.5</v>
      </c>
      <c r="R757" s="34" t="n">
        <v>45370</v>
      </c>
      <c r="S757" s="15" t="n">
        <v>9.630000000000001</v>
      </c>
      <c r="V757" s="15" t="n">
        <v>33.2</v>
      </c>
      <c r="W757" s="15" t="n">
        <v>40.36</v>
      </c>
      <c r="X757" s="34" t="n">
        <v>45370</v>
      </c>
    </row>
    <row r="758">
      <c r="A758" s="34" t="n">
        <v>45371</v>
      </c>
      <c r="B758" s="266" t="n">
        <v>1.101261973381042</v>
      </c>
      <c r="C758" s="34" t="n">
        <v>45371</v>
      </c>
      <c r="D758" s="15" t="n">
        <v>9.699999999999999</v>
      </c>
      <c r="E758" s="15" t="n">
        <v>20.01</v>
      </c>
      <c r="F758" s="34" t="n">
        <v>45371</v>
      </c>
      <c r="G758" s="15" t="n">
        <v>68</v>
      </c>
      <c r="H758" s="15" t="n">
        <v>97.8</v>
      </c>
      <c r="I758" s="34" t="n">
        <v>45371</v>
      </c>
      <c r="J758" s="15" t="n">
        <v>7.11</v>
      </c>
      <c r="K758" s="15" t="n">
        <v>16.55</v>
      </c>
      <c r="L758" s="34" t="n">
        <v>45371</v>
      </c>
      <c r="M758" s="15" t="n">
        <v>39.25</v>
      </c>
      <c r="N758" s="15" t="n">
        <v>52.24</v>
      </c>
      <c r="O758" s="34" t="n">
        <v>45371</v>
      </c>
      <c r="P758" s="15" t="n">
        <v>77.2</v>
      </c>
      <c r="Q758" s="15" t="n">
        <v>87.53</v>
      </c>
      <c r="R758" s="34" t="n">
        <v>45371</v>
      </c>
      <c r="S758" s="15" t="n">
        <v>9.460000000000001</v>
      </c>
      <c r="V758" s="15" t="n">
        <v>33</v>
      </c>
      <c r="W758" s="15" t="n">
        <v>40.89</v>
      </c>
      <c r="X758" s="34" t="n">
        <v>45371</v>
      </c>
    </row>
    <row r="759">
      <c r="A759" s="34" t="n">
        <v>45372</v>
      </c>
      <c r="B759" s="266" t="n">
        <v>1.101251006126404</v>
      </c>
      <c r="C759" s="34" t="n">
        <v>45372</v>
      </c>
      <c r="D759" s="15" t="n">
        <v>9.609999999999999</v>
      </c>
      <c r="E759" s="15" t="n">
        <v>19.52</v>
      </c>
      <c r="F759" s="34" t="n">
        <v>45372</v>
      </c>
      <c r="G759" s="15" t="n">
        <v>68.34999999999999</v>
      </c>
      <c r="H759" s="15" t="n">
        <v>96.23999999999999</v>
      </c>
      <c r="I759" s="34" t="n">
        <v>45372</v>
      </c>
      <c r="J759" s="15" t="n">
        <v>7.2</v>
      </c>
      <c r="K759" s="15" t="n">
        <v>16.28</v>
      </c>
      <c r="L759" s="34" t="n">
        <v>45372</v>
      </c>
      <c r="M759" s="15" t="n">
        <v>39.55</v>
      </c>
      <c r="N759" s="15" t="n">
        <v>51.76</v>
      </c>
      <c r="O759" s="34" t="n">
        <v>45372</v>
      </c>
      <c r="P759" s="15" t="n">
        <v>77.55</v>
      </c>
      <c r="Q759" s="15" t="n">
        <v>86.55</v>
      </c>
      <c r="R759" s="34" t="n">
        <v>45372</v>
      </c>
      <c r="S759" s="15" t="n">
        <v>9</v>
      </c>
      <c r="V759" s="15" t="n">
        <v>33.5</v>
      </c>
      <c r="W759" s="15" t="n">
        <v>42.96</v>
      </c>
      <c r="X759" s="34" t="n">
        <v>45372</v>
      </c>
    </row>
    <row r="760">
      <c r="A760" s="34" t="n">
        <v>45373</v>
      </c>
      <c r="B760" s="266" t="n">
        <v>1.100389957427979</v>
      </c>
      <c r="C760" s="34" t="n">
        <v>45373</v>
      </c>
      <c r="D760" s="15" t="n">
        <v>9.1</v>
      </c>
      <c r="E760" s="15" t="n">
        <v>18.73</v>
      </c>
      <c r="F760" s="34" t="n">
        <v>45373</v>
      </c>
      <c r="G760" s="15" t="n">
        <v>66.8</v>
      </c>
      <c r="H760" s="15" t="n">
        <v>93.59999999999999</v>
      </c>
      <c r="I760" s="34" t="n">
        <v>45373</v>
      </c>
      <c r="J760" s="15" t="n">
        <v>6.91</v>
      </c>
      <c r="K760" s="15" t="n">
        <v>15.9</v>
      </c>
      <c r="L760" s="34" t="n">
        <v>45373</v>
      </c>
      <c r="M760" s="15" t="n">
        <v>37.75</v>
      </c>
      <c r="N760" s="15" t="n">
        <v>49.8</v>
      </c>
      <c r="O760" s="34" t="n">
        <v>45373</v>
      </c>
      <c r="P760" s="15" t="n">
        <v>75.05</v>
      </c>
      <c r="Q760" s="15" t="n">
        <v>84.31</v>
      </c>
      <c r="R760" s="34" t="n">
        <v>45373</v>
      </c>
      <c r="S760" s="15" t="n">
        <v>8.69</v>
      </c>
      <c r="V760" s="15" t="n">
        <v>33.7</v>
      </c>
      <c r="W760" s="15" t="n">
        <v>43.9</v>
      </c>
      <c r="X760" s="34" t="n">
        <v>45373</v>
      </c>
    </row>
    <row r="761">
      <c r="A761" s="34" t="n">
        <v>45376</v>
      </c>
      <c r="B761" s="266" t="n">
        <v>1.093554973602295</v>
      </c>
      <c r="C761" s="34" t="n">
        <v>45376</v>
      </c>
      <c r="D761" s="15" t="n">
        <v>9.130000000000001</v>
      </c>
      <c r="E761" s="15" t="n">
        <v>18.8</v>
      </c>
      <c r="F761" s="34" t="n">
        <v>45376</v>
      </c>
      <c r="G761" s="15" t="n">
        <v>65.40000000000001</v>
      </c>
      <c r="H761" s="15" t="n">
        <v>93.31</v>
      </c>
      <c r="I761" s="34" t="n">
        <v>45376</v>
      </c>
      <c r="J761" s="15" t="n">
        <v>6.67</v>
      </c>
      <c r="K761" s="15" t="n">
        <v>15.62</v>
      </c>
      <c r="L761" s="34" t="n">
        <v>45376</v>
      </c>
      <c r="M761" s="15" t="n">
        <v>37.15</v>
      </c>
      <c r="N761" s="15" t="n">
        <v>48.5</v>
      </c>
      <c r="O761" s="34" t="n">
        <v>45376</v>
      </c>
      <c r="P761" s="15" t="n">
        <v>76.05</v>
      </c>
      <c r="Q761" s="15" t="n">
        <v>84.81</v>
      </c>
      <c r="R761" s="34" t="n">
        <v>45376</v>
      </c>
      <c r="S761" s="15" t="n">
        <v>8.699999999999999</v>
      </c>
      <c r="V761" s="15" t="n">
        <v>32.95</v>
      </c>
      <c r="W761" s="15" t="n">
        <v>41</v>
      </c>
      <c r="X761" s="34" t="n">
        <v>45376</v>
      </c>
    </row>
    <row r="762">
      <c r="A762" s="34" t="n">
        <v>45377</v>
      </c>
      <c r="B762" s="266" t="n">
        <v>1.097866058349609</v>
      </c>
      <c r="C762" s="34" t="n">
        <v>45377</v>
      </c>
      <c r="D762" s="15" t="n">
        <v>8.960000000000001</v>
      </c>
      <c r="E762" s="15" t="n">
        <v>18.49</v>
      </c>
      <c r="F762" s="34" t="n">
        <v>45377</v>
      </c>
      <c r="G762" s="15" t="n">
        <v>63.65</v>
      </c>
      <c r="H762" s="15" t="n">
        <v>91.63</v>
      </c>
      <c r="I762" s="34" t="n">
        <v>45377</v>
      </c>
      <c r="J762" s="15" t="n">
        <v>6.79</v>
      </c>
      <c r="K762" s="15" t="n">
        <v>15.56</v>
      </c>
      <c r="L762" s="34" t="n">
        <v>45377</v>
      </c>
      <c r="M762" s="15" t="n">
        <v>37.6</v>
      </c>
      <c r="N762" s="15" t="n">
        <v>49.42</v>
      </c>
      <c r="O762" s="34" t="n">
        <v>45377</v>
      </c>
      <c r="P762" s="15" t="n">
        <v>75.8</v>
      </c>
      <c r="Q762" s="15" t="n">
        <v>85.06</v>
      </c>
      <c r="R762" s="34" t="n">
        <v>45377</v>
      </c>
      <c r="S762" s="15" t="n">
        <v>8.84</v>
      </c>
      <c r="V762" s="15" t="n">
        <v>32.8</v>
      </c>
      <c r="W762" s="15" t="n">
        <v>40.13</v>
      </c>
      <c r="X762" s="34" t="n">
        <v>45377</v>
      </c>
    </row>
    <row r="763">
      <c r="A763" s="34" t="n">
        <v>45378</v>
      </c>
      <c r="B763" s="266" t="n">
        <v>1.099439024925232</v>
      </c>
      <c r="C763" s="34" t="n">
        <v>45378</v>
      </c>
      <c r="D763" s="15" t="n">
        <v>9.109999999999999</v>
      </c>
      <c r="E763" s="15" t="n">
        <v>18.35</v>
      </c>
      <c r="F763" s="34" t="n">
        <v>45378</v>
      </c>
      <c r="G763" s="15" t="n">
        <v>61.25</v>
      </c>
      <c r="H763" s="15" t="n">
        <v>89.41</v>
      </c>
      <c r="I763" s="34" t="n">
        <v>45378</v>
      </c>
      <c r="J763" s="15" t="n">
        <v>6.48</v>
      </c>
      <c r="K763" s="15" t="n">
        <v>15.03</v>
      </c>
      <c r="L763" s="34" t="n">
        <v>45378</v>
      </c>
      <c r="M763" s="15" t="n">
        <v>36.2</v>
      </c>
      <c r="N763" s="15" t="n">
        <v>47.5</v>
      </c>
      <c r="O763" s="34" t="n">
        <v>45378</v>
      </c>
      <c r="P763" s="15" t="n">
        <v>72.7</v>
      </c>
      <c r="Q763" s="15" t="n">
        <v>83.18000000000001</v>
      </c>
      <c r="R763" s="34" t="n">
        <v>45378</v>
      </c>
      <c r="S763" s="15" t="n">
        <v>8.859999999999999</v>
      </c>
      <c r="V763" s="15" t="n">
        <v>32.8</v>
      </c>
      <c r="W763" s="15" t="n">
        <v>37.53</v>
      </c>
      <c r="X763" s="34" t="n">
        <v>45378</v>
      </c>
    </row>
    <row r="764">
      <c r="A764" s="34" t="n">
        <v>45379</v>
      </c>
      <c r="B764" s="266" t="n">
        <v>1.099169969558716</v>
      </c>
      <c r="C764" s="34" t="n">
        <v>45379</v>
      </c>
      <c r="D764" s="15" t="n">
        <v>9.17</v>
      </c>
      <c r="E764" s="15" t="n">
        <v>18.53</v>
      </c>
      <c r="F764" s="34" t="n">
        <v>45379</v>
      </c>
      <c r="G764" s="15" t="n">
        <v>61.5</v>
      </c>
      <c r="H764" s="15" t="n">
        <v>89.3</v>
      </c>
      <c r="I764" s="34" t="n">
        <v>45379</v>
      </c>
      <c r="J764" s="15" t="n">
        <v>6.67</v>
      </c>
      <c r="K764" s="15" t="n">
        <v>15.41</v>
      </c>
      <c r="L764" s="34" t="n">
        <v>45379</v>
      </c>
      <c r="M764" s="15" t="n">
        <v>36.4</v>
      </c>
      <c r="N764" s="15" t="n">
        <v>47.66</v>
      </c>
      <c r="O764" s="34" t="n">
        <v>45379</v>
      </c>
      <c r="P764" s="15" t="n">
        <v>78</v>
      </c>
      <c r="Q764" s="15" t="n">
        <v>86.18000000000001</v>
      </c>
      <c r="R764" s="34" t="n">
        <v>45379</v>
      </c>
      <c r="S764" s="15" t="n">
        <v>8.65</v>
      </c>
      <c r="V764" s="15" t="n">
        <v>32.75</v>
      </c>
      <c r="W764" s="15" t="n">
        <v>39.3</v>
      </c>
      <c r="X764" s="34" t="n">
        <v>45379</v>
      </c>
    </row>
    <row r="765">
      <c r="A765" s="34" t="n">
        <v>45384</v>
      </c>
      <c r="B765" s="266" t="n">
        <v>1.095656037330627</v>
      </c>
      <c r="C765" s="34" t="n">
        <v>45384</v>
      </c>
      <c r="D765" s="15" t="n">
        <v>9.16</v>
      </c>
      <c r="E765" s="15" t="n">
        <v>18.44</v>
      </c>
      <c r="F765" s="34" t="n">
        <v>45384</v>
      </c>
      <c r="G765" s="15" t="n">
        <v>60.2</v>
      </c>
      <c r="H765" s="15" t="n">
        <v>85.2</v>
      </c>
      <c r="I765" s="34" t="n">
        <v>45384</v>
      </c>
      <c r="J765" s="15" t="n">
        <v>6.77</v>
      </c>
      <c r="K765" s="15" t="n">
        <v>15.69</v>
      </c>
      <c r="L765" s="34" t="n">
        <v>45384</v>
      </c>
      <c r="M765" s="15" t="n">
        <v>37.7</v>
      </c>
      <c r="N765" s="15" t="n">
        <v>50.62</v>
      </c>
      <c r="O765" s="34" t="n">
        <v>45384</v>
      </c>
      <c r="P765" s="15" t="n">
        <v>77.75</v>
      </c>
      <c r="Q765" s="15" t="n">
        <v>85.69</v>
      </c>
      <c r="R765" s="34" t="n">
        <v>45384</v>
      </c>
      <c r="S765" s="15" t="n">
        <v>8.199999999999999</v>
      </c>
      <c r="V765" s="15" t="n">
        <v>32.9</v>
      </c>
      <c r="W765" s="15" t="n">
        <v>41.01</v>
      </c>
      <c r="X765" s="34" t="n">
        <v>45384</v>
      </c>
    </row>
    <row r="766">
      <c r="A766" s="34" t="n">
        <v>45385</v>
      </c>
      <c r="B766" s="266" t="n">
        <v>1.103147983551025</v>
      </c>
      <c r="C766" s="34" t="n">
        <v>45385</v>
      </c>
      <c r="D766" s="15" t="n">
        <v>9.25</v>
      </c>
      <c r="E766" s="15" t="n">
        <v>18.02</v>
      </c>
      <c r="F766" s="34" t="n">
        <v>45385</v>
      </c>
      <c r="G766" s="15" t="n">
        <v>62.5</v>
      </c>
      <c r="H766" s="15" t="n">
        <v>85.09</v>
      </c>
      <c r="I766" s="34" t="n">
        <v>45385</v>
      </c>
      <c r="J766" s="15" t="n">
        <v>6.85</v>
      </c>
      <c r="K766" s="15" t="n">
        <v>16.02</v>
      </c>
      <c r="L766" s="34" t="n">
        <v>45385</v>
      </c>
      <c r="M766" s="15" t="n">
        <v>38</v>
      </c>
      <c r="N766" s="15" t="n">
        <v>51.01</v>
      </c>
      <c r="O766" s="34" t="n">
        <v>45385</v>
      </c>
      <c r="P766" s="15" t="n">
        <v>77.45</v>
      </c>
      <c r="Q766" s="15" t="n">
        <v>84.5</v>
      </c>
      <c r="R766" s="34" t="n">
        <v>45385</v>
      </c>
      <c r="S766" s="15" t="n">
        <v>7.88</v>
      </c>
      <c r="V766" s="15" t="n">
        <v>32.9</v>
      </c>
      <c r="W766" s="15" t="n">
        <v>39.52</v>
      </c>
      <c r="X766" s="34" t="n">
        <v>45385</v>
      </c>
    </row>
    <row r="767">
      <c r="A767" s="34" t="n">
        <v>45387</v>
      </c>
      <c r="B767" s="266" t="n">
        <v>1.102897047996521</v>
      </c>
      <c r="C767" s="34" t="n">
        <v>45387</v>
      </c>
      <c r="D767" s="15" t="n">
        <v>8.24</v>
      </c>
      <c r="E767" s="15" t="n">
        <v>18.02</v>
      </c>
      <c r="F767" s="34" t="n">
        <v>45385</v>
      </c>
      <c r="G767" s="15" t="n">
        <v>59.05</v>
      </c>
      <c r="H767" s="15" t="n">
        <v>85.09</v>
      </c>
      <c r="I767" s="34" t="n">
        <v>45385</v>
      </c>
      <c r="J767" s="15" t="n">
        <v>6.56</v>
      </c>
      <c r="K767" s="15" t="n">
        <v>16.02</v>
      </c>
      <c r="L767" s="34" t="n">
        <v>45385</v>
      </c>
      <c r="M767" s="15" t="n">
        <v>35.1</v>
      </c>
      <c r="N767" s="15" t="n">
        <v>51.01</v>
      </c>
      <c r="O767" s="34" t="n">
        <v>45385</v>
      </c>
      <c r="P767" s="15" t="n">
        <v>75.90000000000001</v>
      </c>
      <c r="Q767" s="15" t="n">
        <v>84.5</v>
      </c>
      <c r="R767" s="34" t="n">
        <v>45385</v>
      </c>
      <c r="S767" s="15" t="n">
        <v>7.06</v>
      </c>
    </row>
    <row r="768">
      <c r="A768" s="34" t="n">
        <v>45390</v>
      </c>
      <c r="B768" s="266" t="n">
        <v>1.103929996490479</v>
      </c>
      <c r="C768" s="34" t="n">
        <v>45390</v>
      </c>
      <c r="D768" s="15" t="n">
        <v>8.869999999999999</v>
      </c>
      <c r="E768" s="15" t="n">
        <v>17.24</v>
      </c>
      <c r="F768" s="34" t="n">
        <v>45390</v>
      </c>
      <c r="G768" s="15" t="n">
        <v>60.7</v>
      </c>
      <c r="H768" s="15" t="n">
        <v>80.86</v>
      </c>
      <c r="I768" s="34" t="n">
        <v>45390</v>
      </c>
      <c r="J768" s="15" t="n">
        <v>6.62</v>
      </c>
      <c r="K768" s="15" t="n">
        <v>16.24</v>
      </c>
      <c r="L768" s="34" t="n">
        <v>45390</v>
      </c>
      <c r="M768" s="15" t="n">
        <v>38.3</v>
      </c>
      <c r="N768" s="15" t="n">
        <v>50.22</v>
      </c>
      <c r="O768" s="34" t="n">
        <v>45390</v>
      </c>
      <c r="P768" s="15" t="n">
        <v>74.40000000000001</v>
      </c>
      <c r="Q768" s="15" t="n">
        <v>81.87</v>
      </c>
      <c r="R768" s="34" t="n">
        <v>45390</v>
      </c>
      <c r="S768" s="15" t="n">
        <v>6.9</v>
      </c>
      <c r="V768" s="15" t="n">
        <v>32</v>
      </c>
      <c r="W768" s="15" t="n">
        <v>38.16</v>
      </c>
      <c r="X768" s="34" t="n">
        <v>45390</v>
      </c>
    </row>
    <row r="769">
      <c r="A769" s="34" t="n">
        <v>45391</v>
      </c>
      <c r="B769" s="266" t="n">
        <v>1.104424953460693</v>
      </c>
      <c r="C769" s="34" t="n">
        <v>45391</v>
      </c>
      <c r="D769" s="15" t="n">
        <v>9.84</v>
      </c>
      <c r="E769" s="15" t="n">
        <v>18.96</v>
      </c>
      <c r="F769" s="34" t="n">
        <v>45391</v>
      </c>
      <c r="G769" s="15" t="n">
        <v>64</v>
      </c>
      <c r="H769" s="15" t="n">
        <v>82.93000000000001</v>
      </c>
      <c r="I769" s="34" t="n">
        <v>45391</v>
      </c>
      <c r="J769" s="15" t="n">
        <v>6.99</v>
      </c>
      <c r="K769" s="15" t="n">
        <v>17.01</v>
      </c>
      <c r="L769" s="34" t="n">
        <v>45391</v>
      </c>
      <c r="M769" s="15" t="n">
        <v>40.5</v>
      </c>
      <c r="N769" s="15" t="n">
        <v>52.2</v>
      </c>
      <c r="O769" s="34" t="n">
        <v>45391</v>
      </c>
      <c r="P769" s="15" t="n">
        <v>74.90000000000001</v>
      </c>
      <c r="Q769" s="15" t="n">
        <v>82.01000000000001</v>
      </c>
      <c r="R769" s="34" t="n">
        <v>45391</v>
      </c>
      <c r="S769" s="15" t="n">
        <v>6.4</v>
      </c>
      <c r="V769" s="15" t="n">
        <v>32.4</v>
      </c>
      <c r="W769" s="15" t="n">
        <v>38.91</v>
      </c>
      <c r="X769" s="34" t="n">
        <v>45391</v>
      </c>
    </row>
    <row r="770">
      <c r="A770" s="34" t="n">
        <v>45392</v>
      </c>
      <c r="B770" s="266" t="n">
        <v>1.10468602180481</v>
      </c>
      <c r="C770" s="34" t="n">
        <v>45392</v>
      </c>
      <c r="D770" s="15" t="n">
        <v>9.83</v>
      </c>
      <c r="E770" s="15" t="n">
        <v>19.2</v>
      </c>
      <c r="F770" s="34" t="n">
        <v>45392</v>
      </c>
      <c r="G770" s="15" t="n">
        <v>64.40000000000001</v>
      </c>
      <c r="H770" s="15" t="n">
        <v>81.2</v>
      </c>
      <c r="I770" s="34" t="n">
        <v>45392</v>
      </c>
      <c r="J770" s="15" t="n">
        <v>6.91</v>
      </c>
      <c r="K770" s="15" t="n">
        <v>16.4</v>
      </c>
      <c r="L770" s="34" t="n">
        <v>45392</v>
      </c>
      <c r="M770" s="15" t="n">
        <v>40.2</v>
      </c>
      <c r="N770" s="15" t="n">
        <v>50.85</v>
      </c>
      <c r="O770" s="34" t="n">
        <v>45392</v>
      </c>
      <c r="P770" s="15" t="n">
        <v>72.5</v>
      </c>
      <c r="Q770" s="15" t="n">
        <v>79.03</v>
      </c>
      <c r="R770" s="34" t="n">
        <v>45392</v>
      </c>
      <c r="S770" s="15" t="n">
        <v>6.11</v>
      </c>
      <c r="V770" s="15" t="n">
        <v>32.35</v>
      </c>
      <c r="W770" s="15" t="n">
        <v>37.59</v>
      </c>
      <c r="X770" s="34" t="n">
        <v>45392</v>
      </c>
    </row>
    <row r="771">
      <c r="A771" s="34" t="n">
        <v>45393</v>
      </c>
      <c r="B771" s="266" t="n">
        <v>1.102126002311707</v>
      </c>
      <c r="C771" s="34" t="n">
        <v>45393</v>
      </c>
      <c r="D771" s="15" t="n">
        <v>9.75</v>
      </c>
      <c r="E771" s="15" t="n">
        <v>19.1</v>
      </c>
      <c r="F771" s="34" t="n">
        <v>45393</v>
      </c>
      <c r="G771" s="15" t="n">
        <v>61.75</v>
      </c>
      <c r="H771" s="15" t="n">
        <v>79.44</v>
      </c>
      <c r="I771" s="34" t="n">
        <v>45393</v>
      </c>
      <c r="J771" s="15" t="n">
        <v>6.96</v>
      </c>
      <c r="K771" s="15" t="n">
        <v>16.05</v>
      </c>
      <c r="L771" s="34" t="n">
        <v>45393</v>
      </c>
      <c r="M771" s="15" t="n">
        <v>39.85</v>
      </c>
      <c r="N771" s="15" t="n">
        <v>50.06</v>
      </c>
      <c r="O771" s="34" t="n">
        <v>45393</v>
      </c>
      <c r="P771" s="15" t="n">
        <v>71.65000000000001</v>
      </c>
      <c r="Q771" s="15" t="n">
        <v>78.23999999999999</v>
      </c>
      <c r="R771" s="34" t="n">
        <v>45393</v>
      </c>
      <c r="S771" s="15" t="n">
        <v>6.12</v>
      </c>
      <c r="V771" s="15" t="n">
        <v>32.35</v>
      </c>
      <c r="W771" s="15" t="n">
        <v>37.01</v>
      </c>
      <c r="X771" s="34" t="n">
        <v>45393</v>
      </c>
    </row>
    <row r="772">
      <c r="A772" s="34" t="n">
        <v>45394</v>
      </c>
      <c r="B772" s="266" t="n">
        <v>1.104213953018188</v>
      </c>
      <c r="C772" s="34" t="n">
        <v>45394</v>
      </c>
      <c r="D772" s="15" t="n">
        <v>9.31</v>
      </c>
      <c r="E772" s="15" t="n">
        <v>18.35</v>
      </c>
      <c r="F772" s="34" t="n">
        <v>45394</v>
      </c>
      <c r="G772" s="15" t="n">
        <v>60.7</v>
      </c>
      <c r="H772" s="15" t="n">
        <v>77.2</v>
      </c>
      <c r="I772" s="34" t="n">
        <v>45394</v>
      </c>
      <c r="J772" s="15" t="n">
        <v>6.91</v>
      </c>
      <c r="K772" s="15" t="n">
        <v>15.48</v>
      </c>
      <c r="L772" s="34" t="n">
        <v>45394</v>
      </c>
      <c r="M772" s="15" t="n">
        <v>38.15</v>
      </c>
      <c r="N772" s="15" t="n">
        <v>48.92</v>
      </c>
      <c r="O772" s="34" t="n">
        <v>45394</v>
      </c>
      <c r="P772" s="15" t="n">
        <v>68.2</v>
      </c>
      <c r="Q772" s="15" t="n">
        <v>75.98</v>
      </c>
      <c r="R772" s="34" t="n">
        <v>45394</v>
      </c>
      <c r="S772" s="15" t="n">
        <v>6.6</v>
      </c>
      <c r="V772" s="15" t="n">
        <v>31.75</v>
      </c>
      <c r="W772" s="15" t="n">
        <v>35.77</v>
      </c>
      <c r="X772" s="34" t="n">
        <v>45394</v>
      </c>
    </row>
    <row r="773">
      <c r="A773" s="34" t="n">
        <v>45397</v>
      </c>
      <c r="B773" s="266" t="n">
        <v>1.102975010871887</v>
      </c>
      <c r="C773" s="34" t="n">
        <v>45397</v>
      </c>
      <c r="D773" s="15" t="n">
        <v>9.869999999999999</v>
      </c>
      <c r="E773" s="15" t="n">
        <v>17.78</v>
      </c>
      <c r="F773" s="34" t="n">
        <v>45397</v>
      </c>
      <c r="G773" s="15" t="n">
        <v>59.6</v>
      </c>
      <c r="H773" s="15" t="n">
        <v>77.59999999999999</v>
      </c>
      <c r="I773" s="34" t="n">
        <v>45397</v>
      </c>
      <c r="J773" s="15" t="n">
        <v>7.03</v>
      </c>
      <c r="K773" s="15" t="n">
        <v>15.57</v>
      </c>
      <c r="L773" s="34" t="n">
        <v>45397</v>
      </c>
      <c r="M773" s="15" t="n">
        <v>37.5</v>
      </c>
      <c r="N773" s="15" t="n">
        <v>49.21</v>
      </c>
      <c r="O773" s="34" t="n">
        <v>45397</v>
      </c>
      <c r="P773" s="15" t="n">
        <v>68.05</v>
      </c>
      <c r="Q773" s="15" t="n">
        <v>77.33</v>
      </c>
      <c r="R773" s="34" t="n">
        <v>45397</v>
      </c>
      <c r="S773" s="15" t="n">
        <v>6.66</v>
      </c>
      <c r="V773" s="15" t="n">
        <v>30.25</v>
      </c>
      <c r="W773" s="15" t="n">
        <v>33.65</v>
      </c>
      <c r="X773" s="34" t="n">
        <v>45397</v>
      </c>
    </row>
    <row r="774">
      <c r="A774" s="34" t="n">
        <v>45398</v>
      </c>
      <c r="B774" s="266" t="n">
        <v>1.102668046951294</v>
      </c>
      <c r="C774" s="34" t="n">
        <v>45398</v>
      </c>
      <c r="D774" s="15" t="n">
        <v>9.33</v>
      </c>
      <c r="E774" s="15" t="n">
        <v>16.62</v>
      </c>
      <c r="F774" s="34" t="n">
        <v>45398</v>
      </c>
      <c r="G774" s="15" t="n">
        <v>58.2</v>
      </c>
      <c r="H774" s="15" t="n">
        <v>75.98</v>
      </c>
      <c r="I774" s="34" t="n">
        <v>45398</v>
      </c>
      <c r="J774" s="15" t="n">
        <v>6.85</v>
      </c>
      <c r="K774" s="15" t="n">
        <v>14.88</v>
      </c>
      <c r="L774" s="34" t="n">
        <v>45398</v>
      </c>
      <c r="M774" s="15" t="n">
        <v>36</v>
      </c>
      <c r="N774" s="15" t="n">
        <v>46.83</v>
      </c>
      <c r="O774" s="34" t="n">
        <v>45398</v>
      </c>
      <c r="P774" s="15" t="n">
        <v>65.5</v>
      </c>
      <c r="Q774" s="15" t="n">
        <v>75.84999999999999</v>
      </c>
      <c r="R774" s="34" t="n">
        <v>45398</v>
      </c>
      <c r="S774" s="15" t="n">
        <v>6.83</v>
      </c>
      <c r="V774" s="15" t="n">
        <v>29.05</v>
      </c>
      <c r="W774" s="15" t="n">
        <v>31.01</v>
      </c>
      <c r="X774" s="34" t="n">
        <v>45398</v>
      </c>
    </row>
    <row r="775">
      <c r="A775" s="34" t="n">
        <v>45399</v>
      </c>
      <c r="B775" s="266" t="n">
        <v>1.101709961891174</v>
      </c>
      <c r="C775" s="34" t="n">
        <v>45399</v>
      </c>
      <c r="D775" s="15" t="n">
        <v>9.4</v>
      </c>
      <c r="E775" s="15" t="n">
        <v>17.76</v>
      </c>
      <c r="F775" s="34" t="n">
        <v>45399</v>
      </c>
      <c r="G775" s="15" t="n">
        <v>59.5</v>
      </c>
      <c r="H775" s="15" t="n">
        <v>78.31999999999999</v>
      </c>
      <c r="I775" s="34" t="n">
        <v>45399</v>
      </c>
      <c r="J775" s="15" t="n">
        <v>6.85</v>
      </c>
      <c r="K775" s="15" t="n">
        <v>15.41</v>
      </c>
      <c r="L775" s="34" t="n">
        <v>45399</v>
      </c>
      <c r="M775" s="15" t="n">
        <v>36.45</v>
      </c>
      <c r="N775" s="15" t="n">
        <v>47.88</v>
      </c>
      <c r="O775" s="34" t="n">
        <v>45399</v>
      </c>
      <c r="P775" s="15" t="n">
        <v>66.2</v>
      </c>
      <c r="Q775" s="15" t="n">
        <v>77.17</v>
      </c>
      <c r="R775" s="34" t="n">
        <v>45399</v>
      </c>
      <c r="S775" s="15" t="n">
        <v>6.75</v>
      </c>
      <c r="V775" s="15" t="n">
        <v>34.1</v>
      </c>
      <c r="W775" s="15" t="n">
        <v>37.07</v>
      </c>
      <c r="X775" s="34" t="n">
        <v>45399</v>
      </c>
    </row>
    <row r="776">
      <c r="A776" s="34" t="n">
        <v>45400</v>
      </c>
      <c r="B776" s="266" t="n">
        <v>1.104182004928589</v>
      </c>
      <c r="C776" s="34" t="n">
        <v>45400</v>
      </c>
      <c r="D776" s="15" t="n">
        <v>9.539999999999999</v>
      </c>
      <c r="E776" s="15" t="n">
        <v>17.47</v>
      </c>
      <c r="F776" s="34" t="n">
        <v>45400</v>
      </c>
      <c r="G776" s="15" t="n">
        <v>60</v>
      </c>
      <c r="H776" s="15" t="n">
        <v>78.41</v>
      </c>
      <c r="I776" s="34" t="n">
        <v>45400</v>
      </c>
      <c r="J776" s="15" t="n">
        <v>6.74</v>
      </c>
      <c r="K776" s="15" t="n">
        <v>15.28</v>
      </c>
      <c r="L776" s="34" t="n">
        <v>45400</v>
      </c>
      <c r="M776" s="15" t="n">
        <v>36.3</v>
      </c>
      <c r="N776" s="15" t="n">
        <v>48.28</v>
      </c>
      <c r="O776" s="34" t="n">
        <v>45400</v>
      </c>
      <c r="P776" s="15" t="n">
        <v>66.45</v>
      </c>
      <c r="Q776" s="15" t="n">
        <v>76.41</v>
      </c>
      <c r="R776" s="34" t="n">
        <v>45400</v>
      </c>
      <c r="S776" s="15" t="n">
        <v>7.12</v>
      </c>
      <c r="V776" s="15" t="n">
        <v>32.2</v>
      </c>
      <c r="W776" s="15" t="n">
        <v>34.89</v>
      </c>
      <c r="X776" s="34" t="n">
        <v>45400</v>
      </c>
    </row>
    <row r="777">
      <c r="A777" s="34" t="n">
        <v>45401</v>
      </c>
      <c r="B777" s="266" t="n">
        <v>1.103330016136169</v>
      </c>
      <c r="C777" s="34" t="n">
        <v>45401</v>
      </c>
      <c r="D777" s="15" t="n">
        <v>9.17</v>
      </c>
      <c r="E777" s="15" t="n">
        <v>16.78</v>
      </c>
      <c r="F777" s="34" t="n">
        <v>45401</v>
      </c>
      <c r="G777" s="15" t="n">
        <v>57.6</v>
      </c>
      <c r="H777" s="15" t="n">
        <v>76.59999999999999</v>
      </c>
      <c r="I777" s="34" t="n">
        <v>45401</v>
      </c>
      <c r="J777" s="15" t="n">
        <v>6.5</v>
      </c>
      <c r="K777" s="15" t="n">
        <v>14.58</v>
      </c>
      <c r="L777" s="34" t="n">
        <v>45401</v>
      </c>
      <c r="M777" s="15" t="n">
        <v>35.65</v>
      </c>
      <c r="N777" s="15" t="n">
        <v>47.04</v>
      </c>
      <c r="O777" s="34" t="n">
        <v>45401</v>
      </c>
      <c r="P777" s="15" t="n">
        <v>63.25</v>
      </c>
      <c r="Q777" s="15" t="n">
        <v>72.34999999999999</v>
      </c>
      <c r="R777" s="34" t="n">
        <v>45401</v>
      </c>
      <c r="S777" s="15" t="n">
        <v>7.4</v>
      </c>
      <c r="V777" s="15" t="n">
        <v>32.15</v>
      </c>
      <c r="W777" s="15" t="n">
        <v>34.63</v>
      </c>
      <c r="X777" s="34" t="n">
        <v>45401</v>
      </c>
    </row>
    <row r="778">
      <c r="A778" s="34" t="n">
        <v>45404</v>
      </c>
      <c r="B778" s="266" t="n">
        <v>1.104303956031799</v>
      </c>
      <c r="C778" s="34" t="n">
        <v>45404</v>
      </c>
      <c r="D778" s="15" t="n">
        <v>9.300000000000001</v>
      </c>
      <c r="E778" s="15" t="n">
        <v>16.97</v>
      </c>
      <c r="F778" s="34" t="n">
        <v>45404</v>
      </c>
      <c r="G778" s="15" t="n">
        <v>59.5</v>
      </c>
      <c r="H778" s="15" t="n">
        <v>76.77</v>
      </c>
      <c r="I778" s="34" t="n">
        <v>45404</v>
      </c>
      <c r="J778" s="15" t="n">
        <v>6.45</v>
      </c>
      <c r="K778" s="15" t="n">
        <v>14.57</v>
      </c>
      <c r="L778" s="34" t="n">
        <v>45404</v>
      </c>
      <c r="M778" s="15" t="n">
        <v>35.65</v>
      </c>
      <c r="N778" s="15" t="n">
        <v>45.99</v>
      </c>
      <c r="O778" s="34" t="n">
        <v>45404</v>
      </c>
      <c r="P778" s="15" t="n">
        <v>64.09999999999999</v>
      </c>
      <c r="Q778" s="15" t="n">
        <v>72.54000000000001</v>
      </c>
      <c r="R778" s="34" t="n">
        <v>45404</v>
      </c>
      <c r="S778" s="15" t="n">
        <v>7.8</v>
      </c>
      <c r="V778" s="15" t="n">
        <v>32.25</v>
      </c>
      <c r="W778" s="15" t="n">
        <v>34.81</v>
      </c>
      <c r="X778" s="34" t="n">
        <v>45404</v>
      </c>
    </row>
    <row r="779">
      <c r="A779" s="34" t="n">
        <v>45405</v>
      </c>
      <c r="B779" s="266" t="n">
        <v>1.103582978248596</v>
      </c>
      <c r="C779" s="34" t="n">
        <v>45405</v>
      </c>
      <c r="D779" s="15" t="n">
        <v>9.58</v>
      </c>
      <c r="E779" s="15" t="n">
        <v>17.5</v>
      </c>
      <c r="F779" s="34" t="n">
        <v>45405</v>
      </c>
      <c r="G779" s="15" t="n">
        <v>59.15</v>
      </c>
      <c r="H779" s="15" t="n">
        <v>77.18000000000001</v>
      </c>
      <c r="I779" s="34" t="n">
        <v>45405</v>
      </c>
      <c r="J779" s="15" t="n">
        <v>6.37</v>
      </c>
      <c r="K779" s="15" t="n">
        <v>14.26</v>
      </c>
      <c r="L779" s="34" t="n">
        <v>45405</v>
      </c>
      <c r="M779" s="15" t="n">
        <v>35.25</v>
      </c>
      <c r="N779" s="15" t="n">
        <v>45.14</v>
      </c>
      <c r="O779" s="34" t="n">
        <v>45405</v>
      </c>
      <c r="P779" s="15" t="n">
        <v>64.59999999999999</v>
      </c>
      <c r="Q779" s="15" t="n">
        <v>71.72</v>
      </c>
      <c r="R779" s="34" t="n">
        <v>45405</v>
      </c>
      <c r="S779" s="15" t="n">
        <v>7.9</v>
      </c>
      <c r="V779" s="15" t="n">
        <v>31.5</v>
      </c>
      <c r="W779" s="15" t="n">
        <v>34.74</v>
      </c>
      <c r="X779" s="34" t="n">
        <v>45405</v>
      </c>
    </row>
    <row r="780">
      <c r="A780" s="34" t="n">
        <v>45406</v>
      </c>
      <c r="B780" s="266" t="n">
        <v>1.103708982467651</v>
      </c>
      <c r="C780" s="34" t="n">
        <v>45406</v>
      </c>
      <c r="D780" s="15" t="n">
        <v>9.42</v>
      </c>
      <c r="E780" s="15" t="n">
        <v>17.05</v>
      </c>
      <c r="F780" s="34" t="n">
        <v>45406</v>
      </c>
      <c r="G780" s="15" t="n">
        <v>59.2</v>
      </c>
      <c r="H780" s="15" t="n">
        <v>77.31999999999999</v>
      </c>
      <c r="I780" s="34" t="n">
        <v>45406</v>
      </c>
      <c r="J780" s="15" t="n">
        <v>6.76</v>
      </c>
      <c r="K780" s="15" t="n">
        <v>14.75</v>
      </c>
      <c r="L780" s="34" t="n">
        <v>45406</v>
      </c>
      <c r="M780" s="15" t="n">
        <v>28.5</v>
      </c>
      <c r="N780" s="15" t="n">
        <v>40.63</v>
      </c>
      <c r="O780" s="34" t="n">
        <v>45406</v>
      </c>
      <c r="P780" s="15" t="n">
        <v>66.34999999999999</v>
      </c>
      <c r="Q780" s="15" t="n">
        <v>72.29000000000001</v>
      </c>
      <c r="R780" s="34" t="n">
        <v>45406</v>
      </c>
      <c r="S780" s="15" t="n">
        <v>7.74</v>
      </c>
      <c r="V780" s="15" t="n">
        <v>31.8</v>
      </c>
      <c r="W780" s="15" t="n">
        <v>35.8</v>
      </c>
      <c r="X780" s="34" t="n">
        <v>45406</v>
      </c>
    </row>
    <row r="781">
      <c r="A781" s="34" t="n">
        <v>45407</v>
      </c>
      <c r="B781" s="266" t="n">
        <v>1.101104021072388</v>
      </c>
      <c r="C781" s="34" t="n">
        <v>45407</v>
      </c>
      <c r="D781" s="15" t="n">
        <v>9.24</v>
      </c>
      <c r="E781" s="15" t="n">
        <v>16.91</v>
      </c>
      <c r="F781" s="34" t="n">
        <v>45407</v>
      </c>
      <c r="G781" s="15" t="n">
        <v>59</v>
      </c>
      <c r="H781" s="15" t="n">
        <v>76.86</v>
      </c>
      <c r="I781" s="34" t="n">
        <v>45407</v>
      </c>
      <c r="J781" s="15" t="n">
        <v>6.75</v>
      </c>
      <c r="K781" s="15" t="n">
        <v>14.58</v>
      </c>
      <c r="L781" s="34" t="n">
        <v>45407</v>
      </c>
      <c r="M781" s="15" t="n">
        <v>29.35</v>
      </c>
      <c r="N781" s="15" t="n">
        <v>39.19</v>
      </c>
      <c r="O781" s="34" t="n">
        <v>45407</v>
      </c>
      <c r="P781" s="15" t="n">
        <v>67.40000000000001</v>
      </c>
      <c r="Q781" s="15" t="n">
        <v>71.93000000000001</v>
      </c>
      <c r="R781" s="34" t="n">
        <v>45407</v>
      </c>
      <c r="S781" s="15" t="n">
        <v>7.73</v>
      </c>
      <c r="V781" s="15" t="n">
        <v>31.85</v>
      </c>
      <c r="W781" s="15" t="n">
        <v>35.72</v>
      </c>
      <c r="X781" s="34" t="n">
        <v>45407</v>
      </c>
    </row>
    <row r="782">
      <c r="A782" s="34" t="n">
        <v>45408</v>
      </c>
      <c r="B782" s="266" t="n">
        <v>1.103947043418884</v>
      </c>
      <c r="C782" s="34" t="n">
        <v>45408</v>
      </c>
      <c r="D782" s="15" t="n">
        <v>9.68</v>
      </c>
      <c r="E782" s="15" t="n">
        <v>17.37</v>
      </c>
      <c r="F782" s="34" t="n">
        <v>45408</v>
      </c>
      <c r="G782" s="15" t="n">
        <v>63.35</v>
      </c>
      <c r="H782" s="15" t="n">
        <v>80.98999999999999</v>
      </c>
      <c r="I782" s="34" t="n">
        <v>45408</v>
      </c>
      <c r="J782" s="15" t="n">
        <v>6.92</v>
      </c>
      <c r="K782" s="15" t="n">
        <v>14.85</v>
      </c>
      <c r="L782" s="34" t="n">
        <v>45408</v>
      </c>
      <c r="M782" s="15" t="n">
        <v>29.4</v>
      </c>
      <c r="N782" s="15" t="n">
        <v>38.87</v>
      </c>
      <c r="O782" s="34" t="n">
        <v>45408</v>
      </c>
      <c r="P782" s="15" t="n">
        <v>69</v>
      </c>
      <c r="Q782" s="15" t="n">
        <v>74.26000000000001</v>
      </c>
      <c r="R782" s="34" t="n">
        <v>45408</v>
      </c>
      <c r="S782" s="15" t="n">
        <v>8.300000000000001</v>
      </c>
      <c r="V782" s="15" t="n">
        <v>32.65</v>
      </c>
      <c r="W782" s="15" t="n">
        <v>36.76</v>
      </c>
      <c r="X782" s="34" t="n">
        <v>45408</v>
      </c>
    </row>
    <row r="783">
      <c r="A783" s="34" t="n">
        <v>45411</v>
      </c>
      <c r="B783" s="266" t="n">
        <v>1.10208797454834</v>
      </c>
      <c r="C783" s="34" t="n">
        <v>45411</v>
      </c>
      <c r="D783" s="15" t="n">
        <v>9.890000000000001</v>
      </c>
      <c r="E783" s="15" t="n">
        <v>18.21</v>
      </c>
      <c r="F783" s="34" t="n">
        <v>45411</v>
      </c>
      <c r="G783" s="15" t="n">
        <v>64.09999999999999</v>
      </c>
      <c r="H783" s="15" t="n">
        <v>84.18000000000001</v>
      </c>
      <c r="I783" s="34" t="n">
        <v>45411</v>
      </c>
      <c r="J783" s="15" t="n">
        <v>6.95</v>
      </c>
      <c r="K783" s="15" t="n">
        <v>15.11</v>
      </c>
      <c r="L783" s="34" t="n">
        <v>45411</v>
      </c>
      <c r="M783" s="15" t="n">
        <v>30.6</v>
      </c>
      <c r="N783" s="15" t="n">
        <v>40.79</v>
      </c>
      <c r="O783" s="34" t="n">
        <v>45411</v>
      </c>
      <c r="P783" s="15" t="n">
        <v>70.2</v>
      </c>
      <c r="Q783" s="15" t="n">
        <v>76.42</v>
      </c>
      <c r="R783" s="34" t="n">
        <v>45411</v>
      </c>
      <c r="S783" s="15" t="n">
        <v>8.92</v>
      </c>
      <c r="V783" s="15" t="n">
        <v>31.75</v>
      </c>
      <c r="W783" s="15" t="n">
        <v>36.61</v>
      </c>
      <c r="X783" s="34" t="n">
        <v>45411</v>
      </c>
    </row>
    <row r="784">
      <c r="A784" s="34" t="n">
        <v>45412</v>
      </c>
      <c r="B784" s="266" t="n">
        <v>1.103922009468079</v>
      </c>
      <c r="C784" s="34" t="n">
        <v>45412</v>
      </c>
      <c r="D784" s="15" t="n">
        <v>8.31</v>
      </c>
      <c r="E784" s="15" t="n">
        <v>16.39</v>
      </c>
      <c r="F784" s="34" t="n">
        <v>45412</v>
      </c>
      <c r="G784" s="15" t="n">
        <v>64.15000000000001</v>
      </c>
      <c r="H784" s="15" t="n">
        <v>82.65000000000001</v>
      </c>
      <c r="I784" s="34" t="n">
        <v>45412</v>
      </c>
      <c r="J784" s="15" t="n">
        <v>6.83</v>
      </c>
      <c r="K784" s="15" t="n">
        <v>14.89</v>
      </c>
      <c r="L784" s="34" t="n">
        <v>45412</v>
      </c>
      <c r="M784" s="15" t="n">
        <v>30.4</v>
      </c>
      <c r="N784" s="15" t="n">
        <v>39.51</v>
      </c>
      <c r="O784" s="34" t="n">
        <v>45412</v>
      </c>
      <c r="P784" s="15" t="n">
        <v>69.55</v>
      </c>
      <c r="Q784" s="15" t="n">
        <v>74.90000000000001</v>
      </c>
      <c r="R784" s="34" t="n">
        <v>45412</v>
      </c>
      <c r="S784" s="15" t="n">
        <v>8.710000000000001</v>
      </c>
      <c r="V784" s="15" t="n">
        <v>32</v>
      </c>
      <c r="W784" s="15" t="n">
        <v>35.99</v>
      </c>
      <c r="X784" s="34" t="n">
        <v>45412</v>
      </c>
    </row>
    <row r="785">
      <c r="A785" s="34" t="n">
        <v>45414</v>
      </c>
      <c r="B785" s="266" t="n">
        <v>1.108636021614075</v>
      </c>
      <c r="C785" s="34" t="n">
        <v>45414</v>
      </c>
      <c r="D785" s="15" t="n">
        <v>8.81</v>
      </c>
      <c r="E785" s="15" t="n">
        <v>16.39</v>
      </c>
      <c r="F785" s="34" t="n">
        <v>45412</v>
      </c>
      <c r="G785" s="15" t="n">
        <v>66.59999999999999</v>
      </c>
      <c r="H785" s="15" t="n">
        <v>82.65000000000001</v>
      </c>
      <c r="I785" s="34" t="n">
        <v>45412</v>
      </c>
      <c r="J785" s="15" t="n">
        <v>6.86</v>
      </c>
      <c r="K785" s="15" t="n">
        <v>14.89</v>
      </c>
      <c r="L785" s="34" t="n">
        <v>45412</v>
      </c>
      <c r="M785" s="15" t="n">
        <v>31.9</v>
      </c>
      <c r="N785" s="15" t="n">
        <v>39.51</v>
      </c>
      <c r="O785" s="34" t="n">
        <v>45412</v>
      </c>
      <c r="P785" s="15" t="n">
        <v>71.7</v>
      </c>
      <c r="Q785" s="15" t="n">
        <v>74.90000000000001</v>
      </c>
      <c r="R785" s="34" t="n">
        <v>45412</v>
      </c>
      <c r="S785" s="15" t="n">
        <v>8.9</v>
      </c>
      <c r="V785" s="15" t="n">
        <v>32.25</v>
      </c>
      <c r="W785" s="15" t="n">
        <v>35.99</v>
      </c>
      <c r="X785" s="34" t="n">
        <v>45412</v>
      </c>
    </row>
    <row r="786">
      <c r="A786" s="34" t="n">
        <v>45415</v>
      </c>
      <c r="B786" s="266" t="n">
        <v>1.106081008911133</v>
      </c>
      <c r="C786" s="34" t="n">
        <v>45415</v>
      </c>
      <c r="D786" s="15" t="n">
        <v>8.94</v>
      </c>
      <c r="E786" s="15" t="n">
        <v>16.39</v>
      </c>
      <c r="F786" s="34" t="n">
        <v>45412</v>
      </c>
      <c r="G786" s="15" t="n">
        <v>63.5</v>
      </c>
      <c r="H786" s="15" t="n">
        <v>82.65000000000001</v>
      </c>
      <c r="I786" s="34" t="n">
        <v>45412</v>
      </c>
      <c r="J786" s="15" t="n">
        <v>7.01</v>
      </c>
      <c r="K786" s="15" t="n">
        <v>14.89</v>
      </c>
      <c r="L786" s="34" t="n">
        <v>45412</v>
      </c>
      <c r="M786" s="15" t="n">
        <v>33.45</v>
      </c>
      <c r="N786" s="15" t="n">
        <v>39.51</v>
      </c>
      <c r="O786" s="34" t="n">
        <v>45412</v>
      </c>
      <c r="P786" s="15" t="n">
        <v>69</v>
      </c>
      <c r="Q786" s="15" t="n">
        <v>74.90000000000001</v>
      </c>
      <c r="R786" s="34" t="n">
        <v>45412</v>
      </c>
      <c r="S786" s="15" t="n">
        <v>8.779999999999999</v>
      </c>
      <c r="V786" s="15" t="n">
        <v>32.7</v>
      </c>
      <c r="W786" s="15" t="n">
        <v>35.99</v>
      </c>
      <c r="X786" s="34" t="n">
        <v>45412</v>
      </c>
    </row>
    <row r="787">
      <c r="A787" s="34" t="n">
        <v>45418</v>
      </c>
      <c r="B787" s="266" t="n">
        <v>1.106592059135437</v>
      </c>
      <c r="C787" s="34" t="n">
        <v>45418</v>
      </c>
      <c r="D787" s="15" t="n">
        <v>9.56</v>
      </c>
      <c r="E787" s="15" t="n">
        <v>18.03</v>
      </c>
      <c r="F787" s="34" t="n">
        <v>45418</v>
      </c>
      <c r="G787" s="15" t="n">
        <v>65.45</v>
      </c>
      <c r="H787" s="15" t="n">
        <v>84.95999999999999</v>
      </c>
      <c r="I787" s="34" t="n">
        <v>45418</v>
      </c>
      <c r="J787" s="15" t="n">
        <v>7.15</v>
      </c>
      <c r="K787" s="15" t="n">
        <v>15.32</v>
      </c>
      <c r="L787" s="34" t="n">
        <v>45418</v>
      </c>
      <c r="M787" s="15" t="n">
        <v>32.35</v>
      </c>
      <c r="N787" s="15" t="n">
        <v>40.28</v>
      </c>
      <c r="O787" s="34" t="n">
        <v>45418</v>
      </c>
      <c r="P787" s="15" t="n">
        <v>69.25</v>
      </c>
      <c r="Q787" s="15" t="n">
        <v>76.26000000000001</v>
      </c>
      <c r="R787" s="34" t="n">
        <v>45418</v>
      </c>
      <c r="S787" s="15" t="n">
        <v>10.26</v>
      </c>
      <c r="V787" s="15" t="n">
        <v>32.6</v>
      </c>
      <c r="W787" s="15" t="n">
        <v>36.42</v>
      </c>
      <c r="X787" s="34" t="n">
        <v>45418</v>
      </c>
    </row>
    <row r="788">
      <c r="A788" s="34" t="n">
        <v>45419</v>
      </c>
      <c r="B788" s="266" t="n">
        <v>1.104128956794739</v>
      </c>
      <c r="C788" s="34" t="n">
        <v>45419</v>
      </c>
      <c r="D788" s="15" t="n">
        <v>9.550000000000001</v>
      </c>
      <c r="E788" s="15" t="n">
        <v>18.06</v>
      </c>
      <c r="F788" s="34" t="n">
        <v>45419</v>
      </c>
      <c r="G788" s="15" t="n">
        <v>65</v>
      </c>
      <c r="H788" s="15" t="n">
        <v>85.59999999999999</v>
      </c>
      <c r="I788" s="34" t="n">
        <v>45419</v>
      </c>
      <c r="J788" s="15" t="n">
        <v>7.02</v>
      </c>
      <c r="K788" s="15" t="n">
        <v>15.46</v>
      </c>
      <c r="L788" s="34" t="n">
        <v>45419</v>
      </c>
      <c r="M788" s="15" t="n">
        <v>32.45</v>
      </c>
      <c r="N788" s="15" t="n">
        <v>40.46</v>
      </c>
      <c r="O788" s="34" t="n">
        <v>45419</v>
      </c>
      <c r="P788" s="15" t="n">
        <v>68.15000000000001</v>
      </c>
      <c r="Q788" s="15" t="n">
        <v>75.72</v>
      </c>
      <c r="R788" s="34" t="n">
        <v>45419</v>
      </c>
      <c r="S788" s="15" t="n">
        <v>9.720000000000001</v>
      </c>
      <c r="V788" s="15" t="n">
        <v>33.65</v>
      </c>
      <c r="W788" s="15" t="n">
        <v>37.89</v>
      </c>
      <c r="X788" s="34" t="n">
        <v>45419</v>
      </c>
    </row>
    <row r="789">
      <c r="A789" s="34" t="n">
        <v>45420</v>
      </c>
      <c r="B789" s="266" t="n">
        <v>1.10300600528717</v>
      </c>
      <c r="C789" s="34" t="n">
        <v>45420</v>
      </c>
      <c r="D789" s="15" t="n">
        <v>9.51</v>
      </c>
      <c r="E789" s="15" t="n">
        <v>18</v>
      </c>
      <c r="F789" s="34" t="n">
        <v>45420</v>
      </c>
      <c r="G789" s="15" t="n">
        <v>62.35</v>
      </c>
      <c r="H789" s="15" t="n">
        <v>84.27</v>
      </c>
      <c r="I789" s="34" t="n">
        <v>45420</v>
      </c>
      <c r="J789" s="15" t="n">
        <v>6.91</v>
      </c>
      <c r="K789" s="15" t="n">
        <v>15.2</v>
      </c>
      <c r="L789" s="34" t="n">
        <v>45420</v>
      </c>
      <c r="M789" s="15" t="n">
        <v>31.35</v>
      </c>
      <c r="N789" s="15" t="n">
        <v>39.7</v>
      </c>
      <c r="O789" s="34" t="n">
        <v>45420</v>
      </c>
      <c r="P789" s="15" t="n">
        <v>64.75</v>
      </c>
      <c r="Q789" s="15" t="n">
        <v>73.36</v>
      </c>
      <c r="R789" s="34" t="n">
        <v>45420</v>
      </c>
      <c r="S789" s="15" t="n">
        <v>9.6</v>
      </c>
      <c r="V789" s="15" t="n">
        <v>32.3</v>
      </c>
      <c r="W789" s="15" t="n">
        <v>37.5</v>
      </c>
      <c r="X789" s="34" t="n">
        <v>45420</v>
      </c>
    </row>
    <row r="790">
      <c r="A790" s="34" t="n">
        <v>45421</v>
      </c>
      <c r="B790" s="266" t="n">
        <v>1.103181958198547</v>
      </c>
      <c r="C790" s="34" t="n">
        <v>45421</v>
      </c>
      <c r="D790" s="15" t="n">
        <v>9.77</v>
      </c>
      <c r="E790" s="15" t="n">
        <v>18.17</v>
      </c>
      <c r="F790" s="34" t="n">
        <v>45421</v>
      </c>
      <c r="G790" s="15" t="n">
        <v>64.5</v>
      </c>
      <c r="H790" s="15" t="n">
        <v>85.01000000000001</v>
      </c>
      <c r="I790" s="34" t="n">
        <v>45421</v>
      </c>
      <c r="J790" s="15" t="n">
        <v>7.09</v>
      </c>
      <c r="K790" s="15" t="n">
        <v>15.54</v>
      </c>
      <c r="L790" s="34" t="n">
        <v>45421</v>
      </c>
      <c r="M790" s="15" t="n">
        <v>32.65</v>
      </c>
      <c r="N790" s="15" t="n">
        <v>40.71</v>
      </c>
      <c r="O790" s="34" t="n">
        <v>45421</v>
      </c>
      <c r="P790" s="15" t="n">
        <v>66.59999999999999</v>
      </c>
      <c r="Q790" s="15" t="n">
        <v>74.38</v>
      </c>
      <c r="R790" s="34" t="n">
        <v>45421</v>
      </c>
      <c r="S790" s="15" t="n">
        <v>10.22</v>
      </c>
      <c r="V790" s="15" t="n">
        <v>32.3</v>
      </c>
      <c r="W790" s="15" t="n">
        <v>37.46</v>
      </c>
      <c r="X790" s="34" t="n">
        <v>45421</v>
      </c>
    </row>
    <row r="791">
      <c r="A791" s="34" t="n">
        <v>45422</v>
      </c>
      <c r="B791" s="266" t="n">
        <v>1.104058980941772</v>
      </c>
      <c r="C791" s="34" t="n">
        <v>45422</v>
      </c>
      <c r="D791" s="15" t="n">
        <v>9.619999999999999</v>
      </c>
      <c r="E791" s="15" t="n">
        <v>17.45</v>
      </c>
      <c r="F791" s="34" t="n">
        <v>45422</v>
      </c>
      <c r="G791" s="15" t="n">
        <v>64</v>
      </c>
      <c r="H791" s="15" t="n">
        <v>83.51000000000001</v>
      </c>
      <c r="I791" s="34" t="n">
        <v>45422</v>
      </c>
      <c r="J791" s="15" t="n">
        <v>7.24</v>
      </c>
      <c r="K791" s="15" t="n">
        <v>15.34</v>
      </c>
      <c r="L791" s="34" t="n">
        <v>45422</v>
      </c>
      <c r="M791" s="15" t="n">
        <v>32.85</v>
      </c>
      <c r="N791" s="15" t="n">
        <v>39.94</v>
      </c>
      <c r="O791" s="34" t="n">
        <v>45422</v>
      </c>
      <c r="P791" s="15" t="n">
        <v>69</v>
      </c>
      <c r="Q791" s="15" t="n">
        <v>74.03</v>
      </c>
      <c r="R791" s="34" t="n">
        <v>45422</v>
      </c>
      <c r="S791" s="15" t="n">
        <v>9.75</v>
      </c>
      <c r="V791" s="15" t="n">
        <v>31.65</v>
      </c>
      <c r="W791" s="15" t="n">
        <v>36.15</v>
      </c>
      <c r="X791" s="34" t="n">
        <v>45422</v>
      </c>
    </row>
    <row r="792">
      <c r="A792" s="34" t="n">
        <v>45425</v>
      </c>
      <c r="B792" s="266" t="n">
        <v>1.10149097442627</v>
      </c>
      <c r="C792" s="34" t="n">
        <v>45425</v>
      </c>
      <c r="D792" s="15" t="n">
        <v>9.699999999999999</v>
      </c>
      <c r="E792" s="15" t="n">
        <v>17.2</v>
      </c>
      <c r="F792" s="34" t="n">
        <v>45425</v>
      </c>
      <c r="G792" s="15" t="n">
        <v>64.75</v>
      </c>
      <c r="H792" s="15" t="n">
        <v>82.5</v>
      </c>
      <c r="I792" s="34" t="n">
        <v>45425</v>
      </c>
      <c r="J792" s="15" t="n">
        <v>7.3</v>
      </c>
      <c r="K792" s="15" t="n">
        <v>14.98</v>
      </c>
      <c r="L792" s="34" t="n">
        <v>45425</v>
      </c>
      <c r="M792" s="15" t="n">
        <v>32.05</v>
      </c>
      <c r="N792" s="15" t="n">
        <v>38.69</v>
      </c>
      <c r="O792" s="34" t="n">
        <v>45425</v>
      </c>
      <c r="P792" s="15" t="n">
        <v>68.15000000000001</v>
      </c>
      <c r="Q792" s="15" t="n">
        <v>73.47</v>
      </c>
      <c r="R792" s="34" t="n">
        <v>45425</v>
      </c>
      <c r="S792" s="15" t="n">
        <v>9.83</v>
      </c>
      <c r="V792" s="15" t="n">
        <v>31.7</v>
      </c>
      <c r="W792" s="15" t="n">
        <v>35.18</v>
      </c>
      <c r="X792" s="34" t="n">
        <v>45425</v>
      </c>
    </row>
    <row r="793">
      <c r="A793" s="34" t="n">
        <v>45426</v>
      </c>
      <c r="B793" s="266" t="n">
        <v>1.101179957389832</v>
      </c>
      <c r="C793" s="34" t="n">
        <v>45426</v>
      </c>
      <c r="D793" s="15" t="n">
        <v>9.5</v>
      </c>
      <c r="E793" s="15" t="n">
        <v>17.03</v>
      </c>
      <c r="F793" s="34" t="n">
        <v>45426</v>
      </c>
      <c r="G793" s="15" t="n">
        <v>64.05</v>
      </c>
      <c r="H793" s="15" t="n">
        <v>82.39</v>
      </c>
      <c r="I793" s="34" t="n">
        <v>45426</v>
      </c>
      <c r="J793" s="15" t="n">
        <v>7.25</v>
      </c>
      <c r="K793" s="15" t="n">
        <v>14.98</v>
      </c>
      <c r="L793" s="34" t="n">
        <v>45426</v>
      </c>
      <c r="M793" s="15" t="n">
        <v>32.3</v>
      </c>
      <c r="N793" s="15" t="n">
        <v>38.63</v>
      </c>
      <c r="O793" s="34" t="n">
        <v>45426</v>
      </c>
      <c r="P793" s="15" t="n">
        <v>68.3</v>
      </c>
      <c r="Q793" s="15" t="n">
        <v>73.68000000000001</v>
      </c>
      <c r="R793" s="34" t="n">
        <v>45426</v>
      </c>
      <c r="S793" s="15" t="n">
        <v>9.56</v>
      </c>
      <c r="V793" s="15" t="n">
        <v>31.9</v>
      </c>
      <c r="W793" s="15" t="n">
        <v>35.17</v>
      </c>
      <c r="X793" s="34" t="n">
        <v>45426</v>
      </c>
    </row>
    <row r="794">
      <c r="A794" s="34" t="n">
        <v>45428</v>
      </c>
      <c r="B794" s="266" t="n">
        <v>1.104424953460693</v>
      </c>
      <c r="C794" s="34" t="n">
        <v>45428</v>
      </c>
      <c r="D794" s="15" t="n">
        <v>9.359999999999999</v>
      </c>
      <c r="E794" s="15" t="n">
        <v>16.71</v>
      </c>
      <c r="F794" s="34" t="n">
        <v>45428</v>
      </c>
      <c r="G794" s="15" t="n">
        <v>64.15000000000001</v>
      </c>
      <c r="H794" s="15" t="n">
        <v>82.42</v>
      </c>
      <c r="I794" s="34" t="n">
        <v>45428</v>
      </c>
      <c r="J794" s="15" t="n">
        <v>7.14</v>
      </c>
      <c r="K794" s="15" t="n">
        <v>14.47</v>
      </c>
      <c r="L794" s="34" t="n">
        <v>45428</v>
      </c>
      <c r="M794" s="15" t="n">
        <v>31.35</v>
      </c>
      <c r="N794" s="15" t="n">
        <v>37.87</v>
      </c>
      <c r="O794" s="34" t="n">
        <v>45428</v>
      </c>
      <c r="P794" s="15" t="n">
        <v>70.8</v>
      </c>
      <c r="Q794" s="15" t="n">
        <v>73.79000000000001</v>
      </c>
      <c r="R794" s="34" t="n">
        <v>45428</v>
      </c>
      <c r="S794" s="15" t="n">
        <v>9.199999999999999</v>
      </c>
      <c r="V794" s="15" t="n">
        <v>32.25</v>
      </c>
      <c r="W794" s="15" t="n">
        <v>34.79</v>
      </c>
      <c r="X794" s="34" t="n">
        <v>45428</v>
      </c>
    </row>
    <row r="795">
      <c r="A795" s="34" t="n">
        <v>45429</v>
      </c>
      <c r="B795" s="266" t="n">
        <v>1.100981950759888</v>
      </c>
      <c r="C795" s="34" t="n">
        <v>45429</v>
      </c>
      <c r="D795" s="15" t="n">
        <v>9.41</v>
      </c>
      <c r="E795" s="15" t="n">
        <v>16.9</v>
      </c>
      <c r="F795" s="34" t="n">
        <v>45429</v>
      </c>
      <c r="G795" s="15" t="n">
        <v>64.3</v>
      </c>
      <c r="H795" s="15" t="n">
        <v>80.84</v>
      </c>
      <c r="I795" s="34" t="n">
        <v>45429</v>
      </c>
      <c r="J795" s="15" t="n">
        <v>7.4</v>
      </c>
      <c r="K795" s="15" t="n">
        <v>14.85</v>
      </c>
      <c r="L795" s="34" t="n">
        <v>45429</v>
      </c>
      <c r="M795" s="15" t="n">
        <v>31.45</v>
      </c>
      <c r="N795" s="15" t="n">
        <v>38.25</v>
      </c>
      <c r="O795" s="34" t="n">
        <v>45429</v>
      </c>
      <c r="P795" s="15" t="n">
        <v>74.59999999999999</v>
      </c>
      <c r="Q795" s="15" t="n">
        <v>76.48999999999999</v>
      </c>
      <c r="R795" s="34" t="n">
        <v>45429</v>
      </c>
      <c r="S795" s="15" t="n">
        <v>9.550000000000001</v>
      </c>
      <c r="V795" s="15" t="n">
        <v>32.65</v>
      </c>
      <c r="W795" s="15" t="n">
        <v>35.59</v>
      </c>
      <c r="X795" s="34" t="n">
        <v>45429</v>
      </c>
    </row>
    <row r="796">
      <c r="A796" s="34" t="n">
        <v>45432</v>
      </c>
      <c r="B796" s="266" t="n">
        <v>1.103283047676086</v>
      </c>
      <c r="C796" s="34" t="n">
        <v>45432</v>
      </c>
      <c r="D796" s="15" t="n">
        <v>9.369999999999999</v>
      </c>
      <c r="E796" s="15" t="n">
        <v>17.22</v>
      </c>
      <c r="F796" s="34" t="n">
        <v>45432</v>
      </c>
      <c r="G796" s="15" t="n">
        <v>64.40000000000001</v>
      </c>
      <c r="H796" s="15" t="n">
        <v>82.25</v>
      </c>
      <c r="I796" s="34" t="n">
        <v>45432</v>
      </c>
      <c r="J796" s="15" t="n">
        <v>7.59</v>
      </c>
      <c r="K796" s="15" t="n">
        <v>15.01</v>
      </c>
      <c r="L796" s="34" t="n">
        <v>45432</v>
      </c>
      <c r="M796" s="15" t="n">
        <v>32.2</v>
      </c>
      <c r="N796" s="15" t="n">
        <v>38.29</v>
      </c>
      <c r="O796" s="34" t="n">
        <v>45432</v>
      </c>
      <c r="P796" s="15" t="n">
        <v>76</v>
      </c>
      <c r="Q796" s="15" t="n">
        <v>78.22</v>
      </c>
      <c r="R796" s="34" t="n">
        <v>45432</v>
      </c>
      <c r="S796" s="15" t="n">
        <v>9.6</v>
      </c>
      <c r="V796" s="15" t="n">
        <v>31.45</v>
      </c>
      <c r="W796" s="15" t="n">
        <v>35.09</v>
      </c>
      <c r="X796" s="34" t="n">
        <v>45432</v>
      </c>
    </row>
    <row r="797">
      <c r="A797" s="34" t="n">
        <v>45433</v>
      </c>
      <c r="B797" s="266" t="n">
        <v>1.099310994148254</v>
      </c>
      <c r="C797" s="34" t="n">
        <v>45433</v>
      </c>
      <c r="D797" s="15" t="n">
        <v>8.890000000000001</v>
      </c>
      <c r="E797" s="15" t="n">
        <v>16.68</v>
      </c>
      <c r="F797" s="34" t="n">
        <v>45433</v>
      </c>
      <c r="G797" s="15" t="n">
        <v>60</v>
      </c>
      <c r="H797" s="15" t="n">
        <v>81.02</v>
      </c>
      <c r="I797" s="34" t="n">
        <v>45433</v>
      </c>
      <c r="J797" s="15" t="n">
        <v>7.35</v>
      </c>
      <c r="K797" s="15" t="n">
        <v>14.71</v>
      </c>
      <c r="L797" s="34" t="n">
        <v>45433</v>
      </c>
      <c r="M797" s="15" t="n">
        <v>30.85</v>
      </c>
      <c r="N797" s="15" t="n">
        <v>37.72</v>
      </c>
      <c r="O797" s="34" t="n">
        <v>45433</v>
      </c>
      <c r="P797" s="15" t="n">
        <v>73.3</v>
      </c>
      <c r="Q797" s="15" t="n">
        <v>77.41</v>
      </c>
      <c r="R797" s="34" t="n">
        <v>45433</v>
      </c>
      <c r="S797" s="15" t="n">
        <v>9.640000000000001</v>
      </c>
      <c r="V797" s="15" t="n">
        <v>31.4</v>
      </c>
      <c r="W797" s="15" t="n">
        <v>34.02</v>
      </c>
      <c r="X797" s="34" t="n">
        <v>45433</v>
      </c>
    </row>
    <row r="798">
      <c r="A798" s="34" t="n">
        <v>45434</v>
      </c>
      <c r="B798" s="266" t="n">
        <v>1.099982023239136</v>
      </c>
      <c r="C798" s="34" t="n">
        <v>45434</v>
      </c>
      <c r="D798" s="15" t="n">
        <v>8.859999999999999</v>
      </c>
      <c r="E798" s="15" t="n">
        <v>16.85</v>
      </c>
      <c r="F798" s="34" t="n">
        <v>45434</v>
      </c>
      <c r="G798" s="15" t="n">
        <v>60.4</v>
      </c>
      <c r="H798" s="15" t="n">
        <v>80.52</v>
      </c>
      <c r="I798" s="34" t="n">
        <v>45434</v>
      </c>
      <c r="J798" s="15" t="n">
        <v>7.31</v>
      </c>
      <c r="K798" s="15" t="n">
        <v>14.91</v>
      </c>
      <c r="L798" s="34" t="n">
        <v>45434</v>
      </c>
      <c r="M798" s="15" t="n">
        <v>31.05</v>
      </c>
      <c r="N798" s="15" t="n">
        <v>38.57</v>
      </c>
      <c r="O798" s="34" t="n">
        <v>45434</v>
      </c>
      <c r="P798" s="15" t="n">
        <v>74</v>
      </c>
      <c r="Q798" s="15" t="n">
        <v>78.01000000000001</v>
      </c>
      <c r="R798" s="34" t="n">
        <v>45434</v>
      </c>
      <c r="S798" s="15" t="n">
        <v>9.73</v>
      </c>
      <c r="V798" s="15" t="n">
        <v>31.8</v>
      </c>
      <c r="W798" s="15" t="n">
        <v>34.66</v>
      </c>
      <c r="X798" s="34" t="n">
        <v>45434</v>
      </c>
    </row>
    <row r="799">
      <c r="A799" s="34" t="n">
        <v>45435</v>
      </c>
      <c r="B799" s="266" t="n">
        <v>1.09967303276062</v>
      </c>
      <c r="C799" s="34" t="n">
        <v>45435</v>
      </c>
      <c r="D799" s="15" t="n">
        <v>8.85</v>
      </c>
      <c r="E799" s="15" t="n">
        <v>16.22</v>
      </c>
      <c r="F799" s="34" t="n">
        <v>45435</v>
      </c>
      <c r="G799" s="15" t="n">
        <v>58.2</v>
      </c>
      <c r="H799" s="15" t="n">
        <v>78.98</v>
      </c>
      <c r="I799" s="34" t="n">
        <v>45435</v>
      </c>
      <c r="J799" s="15" t="n">
        <v>7.15</v>
      </c>
      <c r="K799" s="15" t="n">
        <v>14.43</v>
      </c>
      <c r="L799" s="34" t="n">
        <v>45435</v>
      </c>
      <c r="M799" s="15" t="n">
        <v>29.5</v>
      </c>
      <c r="N799" s="15" t="n">
        <v>37.43</v>
      </c>
      <c r="O799" s="34" t="n">
        <v>45435</v>
      </c>
      <c r="P799" s="15" t="n">
        <v>70.75</v>
      </c>
      <c r="Q799" s="15" t="n">
        <v>75.81</v>
      </c>
      <c r="R799" s="34" t="n">
        <v>45435</v>
      </c>
      <c r="S799" s="15" t="n">
        <v>9.76</v>
      </c>
      <c r="V799" s="15" t="n">
        <v>31.25</v>
      </c>
      <c r="W799" s="15" t="n">
        <v>33.8</v>
      </c>
      <c r="X799" s="34" t="n">
        <v>45435</v>
      </c>
    </row>
    <row r="800">
      <c r="A800" s="34" t="n">
        <v>45436</v>
      </c>
      <c r="B800" s="266" t="n">
        <v>1.09811794757843</v>
      </c>
      <c r="C800" s="34" t="n">
        <v>45436</v>
      </c>
      <c r="D800" s="15" t="n">
        <v>8.69</v>
      </c>
      <c r="E800" s="15" t="n">
        <v>15.82</v>
      </c>
      <c r="F800" s="34" t="n">
        <v>45436</v>
      </c>
      <c r="G800" s="15" t="n">
        <v>55.5</v>
      </c>
      <c r="H800" s="15" t="n">
        <v>77.3</v>
      </c>
      <c r="I800" s="34" t="n">
        <v>45436</v>
      </c>
      <c r="J800" s="15" t="n">
        <v>6.93</v>
      </c>
      <c r="K800" s="15" t="n">
        <v>14.12</v>
      </c>
      <c r="L800" s="34" t="n">
        <v>45436</v>
      </c>
      <c r="M800" s="15" t="n">
        <v>29.45</v>
      </c>
      <c r="N800" s="15" t="n">
        <v>36.59</v>
      </c>
      <c r="O800" s="34" t="n">
        <v>45436</v>
      </c>
      <c r="P800" s="15" t="n">
        <v>68.75</v>
      </c>
      <c r="Q800" s="15" t="n">
        <v>73.66</v>
      </c>
      <c r="R800" s="34" t="n">
        <v>45436</v>
      </c>
      <c r="S800" s="15" t="n">
        <v>9.56</v>
      </c>
      <c r="V800" s="15" t="n">
        <v>30.75</v>
      </c>
      <c r="W800" s="15" t="n">
        <v>32.98</v>
      </c>
      <c r="X800" s="34" t="n">
        <v>45436</v>
      </c>
    </row>
    <row r="801">
      <c r="A801" s="34" t="n">
        <v>45439</v>
      </c>
      <c r="B801" s="266" t="n">
        <v>1.100759029388428</v>
      </c>
      <c r="C801" s="34" t="n">
        <v>45439</v>
      </c>
      <c r="D801" s="15" t="n">
        <v>8.74</v>
      </c>
      <c r="E801" s="15" t="n">
        <v>15.9</v>
      </c>
      <c r="F801" s="34" t="n">
        <v>45439</v>
      </c>
      <c r="G801" s="15" t="n">
        <v>55</v>
      </c>
      <c r="H801" s="15" t="n">
        <v>76.59999999999999</v>
      </c>
      <c r="I801" s="34" t="n">
        <v>45439</v>
      </c>
      <c r="J801" s="15" t="n">
        <v>7.01</v>
      </c>
      <c r="K801" s="15" t="n">
        <v>14.42</v>
      </c>
      <c r="L801" s="34" t="n">
        <v>45439</v>
      </c>
      <c r="M801" s="15" t="n">
        <v>29.45</v>
      </c>
      <c r="N801" s="15" t="n">
        <v>36.39</v>
      </c>
      <c r="O801" s="34" t="n">
        <v>45439</v>
      </c>
      <c r="P801" s="15" t="n">
        <v>68.40000000000001</v>
      </c>
      <c r="Q801" s="15" t="n">
        <v>73.41</v>
      </c>
      <c r="R801" s="34" t="n">
        <v>45439</v>
      </c>
      <c r="S801" s="15" t="n">
        <v>9.59</v>
      </c>
      <c r="V801" s="15" t="n">
        <v>31.25</v>
      </c>
      <c r="W801" s="15" t="n">
        <v>33.22</v>
      </c>
      <c r="X801" s="34" t="n">
        <v>45439</v>
      </c>
    </row>
    <row r="802">
      <c r="A802" s="34" t="n">
        <v>45440</v>
      </c>
      <c r="B802" s="266" t="n">
        <v>1.101151943206787</v>
      </c>
      <c r="C802" s="34" t="n">
        <v>45440</v>
      </c>
      <c r="D802" s="15" t="n">
        <v>8.75</v>
      </c>
      <c r="E802" s="15" t="n">
        <v>15.78</v>
      </c>
      <c r="F802" s="34" t="n">
        <v>45440</v>
      </c>
      <c r="G802" s="15" t="n">
        <v>54.7</v>
      </c>
      <c r="H802" s="15" t="n">
        <v>76.34999999999999</v>
      </c>
      <c r="I802" s="34" t="n">
        <v>45440</v>
      </c>
      <c r="J802" s="15" t="n">
        <v>6.93</v>
      </c>
      <c r="K802" s="15" t="n">
        <v>14.21</v>
      </c>
      <c r="L802" s="34" t="n">
        <v>45440</v>
      </c>
      <c r="M802" s="15" t="n">
        <v>29.6</v>
      </c>
      <c r="N802" s="15" t="n">
        <v>36</v>
      </c>
      <c r="O802" s="34" t="n">
        <v>45440</v>
      </c>
      <c r="P802" s="15" t="n">
        <v>68.45</v>
      </c>
      <c r="Q802" s="15" t="n">
        <v>72.48</v>
      </c>
      <c r="R802" s="34" t="n">
        <v>45440</v>
      </c>
      <c r="S802" s="15" t="n">
        <v>9.26</v>
      </c>
      <c r="V802" s="15" t="n">
        <v>31.25</v>
      </c>
      <c r="W802" s="15" t="n">
        <v>32.91</v>
      </c>
      <c r="X802" s="34" t="n">
        <v>45440</v>
      </c>
    </row>
    <row r="803">
      <c r="A803" s="34" t="n">
        <v>45441</v>
      </c>
      <c r="B803" s="266" t="n">
        <v>1.101042032241821</v>
      </c>
      <c r="C803" s="34" t="n">
        <v>45441</v>
      </c>
      <c r="D803" s="15" t="n">
        <v>8.630000000000001</v>
      </c>
      <c r="E803" s="15" t="n">
        <v>15.44</v>
      </c>
      <c r="F803" s="34" t="n">
        <v>45441</v>
      </c>
      <c r="G803" s="15" t="n">
        <v>54.7</v>
      </c>
      <c r="H803" s="15" t="n">
        <v>76.93000000000001</v>
      </c>
      <c r="I803" s="34" t="n">
        <v>45441</v>
      </c>
      <c r="J803" s="15" t="n">
        <v>6.99</v>
      </c>
      <c r="K803" s="15" t="n">
        <v>14.46</v>
      </c>
      <c r="L803" s="34" t="n">
        <v>45441</v>
      </c>
      <c r="M803" s="15" t="n">
        <v>30.15</v>
      </c>
      <c r="N803" s="15" t="n">
        <v>36.88</v>
      </c>
      <c r="O803" s="34" t="n">
        <v>45441</v>
      </c>
      <c r="P803" s="15" t="n">
        <v>67.45</v>
      </c>
      <c r="Q803" s="15" t="n">
        <v>72.75</v>
      </c>
      <c r="R803" s="34" t="n">
        <v>45441</v>
      </c>
      <c r="S803" s="15" t="n">
        <v>8.869999999999999</v>
      </c>
      <c r="V803" s="15" t="n">
        <v>31.6</v>
      </c>
      <c r="W803" s="15" t="n">
        <v>33.4</v>
      </c>
      <c r="X803" s="34" t="n">
        <v>45441</v>
      </c>
    </row>
    <row r="804">
      <c r="A804" s="34" t="n">
        <v>45442</v>
      </c>
      <c r="B804" s="266" t="n">
        <v>1.096346020698547</v>
      </c>
      <c r="C804" s="34" t="n">
        <v>45442</v>
      </c>
      <c r="D804" s="15" t="n">
        <v>8.380000000000001</v>
      </c>
      <c r="E804" s="15" t="n">
        <v>15.18</v>
      </c>
      <c r="F804" s="34" t="n">
        <v>45442</v>
      </c>
      <c r="G804" s="15" t="n">
        <v>53.55</v>
      </c>
      <c r="H804" s="15" t="n">
        <v>76.36</v>
      </c>
      <c r="I804" s="34" t="n">
        <v>45442</v>
      </c>
      <c r="J804" s="15" t="n">
        <v>6.94</v>
      </c>
      <c r="K804" s="15" t="n">
        <v>14.37</v>
      </c>
      <c r="L804" s="34" t="n">
        <v>45442</v>
      </c>
      <c r="M804" s="15" t="n">
        <v>29.85</v>
      </c>
      <c r="N804" s="15" t="n">
        <v>36.69</v>
      </c>
      <c r="O804" s="34" t="n">
        <v>45442</v>
      </c>
      <c r="P804" s="15" t="n">
        <v>63.95</v>
      </c>
      <c r="Q804" s="15" t="n">
        <v>71.39</v>
      </c>
      <c r="R804" s="34" t="n">
        <v>45442</v>
      </c>
      <c r="S804" s="15" t="n">
        <v>8.720000000000001</v>
      </c>
      <c r="V804" s="15" t="n">
        <v>31.5</v>
      </c>
      <c r="W804" s="15" t="n">
        <v>34.41</v>
      </c>
      <c r="X804" s="34" t="n">
        <v>45442</v>
      </c>
    </row>
    <row r="805">
      <c r="A805" s="34" t="n">
        <v>45443</v>
      </c>
      <c r="B805" s="266" t="n">
        <v>1.099722981452942</v>
      </c>
      <c r="C805" s="34" t="n">
        <v>45443</v>
      </c>
      <c r="D805" s="15" t="n">
        <v>8.449999999999999</v>
      </c>
      <c r="E805" s="15" t="n">
        <v>15.23</v>
      </c>
      <c r="F805" s="34" t="n">
        <v>45443</v>
      </c>
      <c r="G805" s="15" t="n">
        <v>53.9</v>
      </c>
      <c r="H805" s="15" t="n">
        <v>76.69</v>
      </c>
      <c r="I805" s="34" t="n">
        <v>45443</v>
      </c>
      <c r="J805" s="15" t="n">
        <v>6.89</v>
      </c>
      <c r="K805" s="15" t="n">
        <v>14.42</v>
      </c>
      <c r="L805" s="34" t="n">
        <v>45443</v>
      </c>
      <c r="M805" s="15" t="n">
        <v>29.45</v>
      </c>
      <c r="N805" s="15" t="n">
        <v>36.08</v>
      </c>
      <c r="O805" s="34" t="n">
        <v>45443</v>
      </c>
      <c r="P805" s="15" t="n">
        <v>62.35</v>
      </c>
      <c r="Q805" s="15" t="n">
        <v>71</v>
      </c>
      <c r="R805" s="34" t="n">
        <v>45443</v>
      </c>
      <c r="S805" s="15" t="n">
        <v>8.890000000000001</v>
      </c>
      <c r="V805" s="15" t="n">
        <v>32.75</v>
      </c>
      <c r="W805" s="15" t="n">
        <v>34.3</v>
      </c>
      <c r="X805" s="34" t="n">
        <v>45443</v>
      </c>
    </row>
    <row r="806">
      <c r="A806" s="34" t="n">
        <v>45446</v>
      </c>
      <c r="B806" s="266" t="n">
        <v>1.102306008338928</v>
      </c>
      <c r="C806" s="34" t="n">
        <v>45446</v>
      </c>
      <c r="D806" s="15" t="n">
        <v>8.35</v>
      </c>
      <c r="E806" s="15" t="n">
        <v>14.9</v>
      </c>
      <c r="F806" s="34" t="n">
        <v>45446</v>
      </c>
      <c r="G806" s="15" t="n">
        <v>53.25</v>
      </c>
      <c r="H806" s="15" t="n">
        <v>75.09999999999999</v>
      </c>
      <c r="I806" s="34" t="n">
        <v>45446</v>
      </c>
      <c r="J806" s="15" t="n">
        <v>6.82</v>
      </c>
      <c r="K806" s="15" t="n">
        <v>14.24</v>
      </c>
      <c r="L806" s="34" t="n">
        <v>45446</v>
      </c>
      <c r="M806" s="15" t="n">
        <v>29.7</v>
      </c>
      <c r="N806" s="15" t="n">
        <v>36.23</v>
      </c>
      <c r="O806" s="34" t="n">
        <v>45446</v>
      </c>
      <c r="P806" s="15" t="n">
        <v>61.35</v>
      </c>
      <c r="Q806" s="15" t="n">
        <v>70.47</v>
      </c>
      <c r="R806" s="34" t="n">
        <v>45446</v>
      </c>
      <c r="S806" s="15" t="n">
        <v>8.529999999999999</v>
      </c>
      <c r="V806" s="15" t="n">
        <v>32.85</v>
      </c>
      <c r="W806" s="15" t="n">
        <v>33.61</v>
      </c>
      <c r="X806" s="34" t="n">
        <v>45446</v>
      </c>
    </row>
    <row r="807">
      <c r="A807" s="34" t="n">
        <v>45447</v>
      </c>
      <c r="B807" s="266" t="n">
        <v>1.107933044433594</v>
      </c>
      <c r="C807" s="34" t="n">
        <v>45447</v>
      </c>
      <c r="D807" s="15" t="n">
        <v>8.300000000000001</v>
      </c>
      <c r="E807" s="15" t="n">
        <v>15.03</v>
      </c>
      <c r="F807" s="34" t="n">
        <v>45447</v>
      </c>
      <c r="G807" s="15" t="n">
        <v>54.75</v>
      </c>
      <c r="H807" s="15" t="n">
        <v>76.83</v>
      </c>
      <c r="I807" s="34" t="n">
        <v>45447</v>
      </c>
      <c r="J807" s="15" t="n">
        <v>6.83</v>
      </c>
      <c r="K807" s="15" t="n">
        <v>14.26</v>
      </c>
      <c r="L807" s="34" t="n">
        <v>45447</v>
      </c>
      <c r="M807" s="15" t="n">
        <v>29.75</v>
      </c>
      <c r="N807" s="15" t="n">
        <v>36.3</v>
      </c>
      <c r="O807" s="34" t="n">
        <v>45447</v>
      </c>
      <c r="P807" s="15" t="n">
        <v>65.09999999999999</v>
      </c>
      <c r="Q807" s="15" t="n">
        <v>73.41</v>
      </c>
      <c r="R807" s="34" t="n">
        <v>45447</v>
      </c>
      <c r="S807" s="15" t="n">
        <v>8.970000000000001</v>
      </c>
      <c r="V807" s="15" t="n">
        <v>32.95</v>
      </c>
      <c r="W807" s="15" t="n">
        <v>33.17</v>
      </c>
      <c r="X807" s="34" t="n">
        <v>45447</v>
      </c>
    </row>
    <row r="808">
      <c r="A808" s="34" t="n">
        <v>45448</v>
      </c>
      <c r="B808" s="266" t="n">
        <v>1.104397058486938</v>
      </c>
      <c r="C808" s="34" t="n">
        <v>45448</v>
      </c>
      <c r="D808" s="15" t="n">
        <v>8.32</v>
      </c>
      <c r="E808" s="15" t="n">
        <v>14.9</v>
      </c>
      <c r="F808" s="34" t="n">
        <v>45448</v>
      </c>
      <c r="G808" s="15" t="n">
        <v>54.35</v>
      </c>
      <c r="H808" s="15" t="n">
        <v>75.95999999999999</v>
      </c>
      <c r="I808" s="34" t="n">
        <v>45448</v>
      </c>
      <c r="J808" s="15" t="n">
        <v>6.76</v>
      </c>
      <c r="K808" s="15" t="n">
        <v>14.06</v>
      </c>
      <c r="L808" s="34" t="n">
        <v>45448</v>
      </c>
      <c r="M808" s="15" t="n">
        <v>28.95</v>
      </c>
      <c r="N808" s="15" t="n">
        <v>35.77</v>
      </c>
      <c r="O808" s="34" t="n">
        <v>45448</v>
      </c>
      <c r="P808" s="15" t="n">
        <v>64.5</v>
      </c>
      <c r="Q808" s="15" t="n">
        <v>73.34</v>
      </c>
      <c r="R808" s="34" t="n">
        <v>45448</v>
      </c>
      <c r="S808" s="15" t="n">
        <v>8.800000000000001</v>
      </c>
      <c r="V808" s="15" t="n">
        <v>33</v>
      </c>
      <c r="W808" s="15" t="n">
        <v>32.62</v>
      </c>
      <c r="X808" s="34" t="n">
        <v>45448</v>
      </c>
    </row>
    <row r="809">
      <c r="A809" s="34" t="n">
        <v>45449</v>
      </c>
      <c r="B809" s="266" t="n">
        <v>1.099522948265076</v>
      </c>
      <c r="C809" s="34" t="n">
        <v>45449</v>
      </c>
      <c r="D809" s="15" t="n">
        <v>8.210000000000001</v>
      </c>
      <c r="E809" s="15" t="n">
        <v>14.41</v>
      </c>
      <c r="F809" s="34" t="n">
        <v>45449</v>
      </c>
      <c r="G809" s="15" t="n">
        <v>53.4</v>
      </c>
      <c r="H809" s="15" t="n">
        <v>74.53</v>
      </c>
      <c r="I809" s="34" t="n">
        <v>45449</v>
      </c>
      <c r="J809" s="15" t="n">
        <v>6.97</v>
      </c>
      <c r="K809" s="15" t="n">
        <v>13.74</v>
      </c>
      <c r="L809" s="34" t="n">
        <v>45449</v>
      </c>
      <c r="M809" s="15" t="n">
        <v>28.75</v>
      </c>
      <c r="N809" s="15" t="n">
        <v>35.8</v>
      </c>
      <c r="O809" s="34" t="n">
        <v>45449</v>
      </c>
      <c r="P809" s="15" t="n">
        <v>63.1</v>
      </c>
      <c r="Q809" s="15" t="n">
        <v>72.41</v>
      </c>
      <c r="R809" s="34" t="n">
        <v>45449</v>
      </c>
      <c r="S809" s="15" t="n">
        <v>8.52</v>
      </c>
      <c r="V809" s="15" t="n">
        <v>32.75</v>
      </c>
      <c r="W809" s="15" t="n">
        <v>31.3</v>
      </c>
      <c r="X809" s="34" t="n">
        <v>45449</v>
      </c>
    </row>
    <row r="810">
      <c r="A810" s="34" t="n">
        <v>45450</v>
      </c>
      <c r="B810" s="266" t="n">
        <v>1.099043965339661</v>
      </c>
      <c r="C810" s="34" t="n">
        <v>45450</v>
      </c>
      <c r="D810" s="15" t="n">
        <v>8.27</v>
      </c>
      <c r="E810" s="15" t="n">
        <v>14.5</v>
      </c>
      <c r="F810" s="34" t="n">
        <v>45450</v>
      </c>
      <c r="G810" s="15" t="n">
        <v>53</v>
      </c>
      <c r="H810" s="15" t="n">
        <v>74.11</v>
      </c>
      <c r="I810" s="34" t="n">
        <v>45450</v>
      </c>
      <c r="J810" s="15" t="n">
        <v>6.98</v>
      </c>
      <c r="K810" s="15" t="n">
        <v>13.86</v>
      </c>
      <c r="L810" s="34" t="n">
        <v>45450</v>
      </c>
      <c r="M810" s="15" t="n">
        <v>28.5</v>
      </c>
      <c r="N810" s="15" t="n">
        <v>34</v>
      </c>
      <c r="O810" s="34" t="n">
        <v>45450</v>
      </c>
      <c r="P810" s="15" t="n">
        <v>63.1</v>
      </c>
      <c r="Q810" s="15" t="n">
        <v>72.59999999999999</v>
      </c>
      <c r="R810" s="34" t="n">
        <v>45450</v>
      </c>
      <c r="S810" s="15" t="n">
        <v>8.029999999999999</v>
      </c>
      <c r="V810" s="15" t="n">
        <v>33.15</v>
      </c>
      <c r="W810" s="15" t="n">
        <v>31.74</v>
      </c>
      <c r="X810" s="34" t="n">
        <v>45450</v>
      </c>
    </row>
    <row r="811">
      <c r="A811" s="34" t="n">
        <v>45454</v>
      </c>
      <c r="B811" s="266" t="n">
        <v>1.098870992660522</v>
      </c>
      <c r="C811" s="34" t="n">
        <v>45454</v>
      </c>
      <c r="D811" s="15" t="n">
        <v>8.1</v>
      </c>
      <c r="E811" s="15" t="n">
        <v>14.68</v>
      </c>
      <c r="F811" s="34" t="n">
        <v>45454</v>
      </c>
      <c r="G811" s="15" t="n">
        <v>53</v>
      </c>
      <c r="H811" s="15" t="n">
        <v>74.88</v>
      </c>
      <c r="I811" s="34" t="n">
        <v>45454</v>
      </c>
      <c r="J811" s="15" t="n">
        <v>6.68</v>
      </c>
      <c r="K811" s="15" t="n">
        <v>13.99</v>
      </c>
      <c r="L811" s="34" t="n">
        <v>45454</v>
      </c>
      <c r="M811" s="15" t="n">
        <v>27.85</v>
      </c>
      <c r="N811" s="15" t="n">
        <v>33.54</v>
      </c>
      <c r="O811" s="34" t="n">
        <v>45454</v>
      </c>
      <c r="P811" s="15" t="n">
        <v>60.15</v>
      </c>
      <c r="Q811" s="15" t="n">
        <v>71.05</v>
      </c>
      <c r="R811" s="34" t="n">
        <v>45454</v>
      </c>
      <c r="S811" s="15" t="n">
        <v>7.94</v>
      </c>
      <c r="V811" s="15" t="n">
        <v>33.35</v>
      </c>
      <c r="W811" s="15" t="n">
        <v>32.3</v>
      </c>
      <c r="X811" s="34" t="n">
        <v>45454</v>
      </c>
    </row>
    <row r="812">
      <c r="A812" s="34" t="n">
        <v>45455</v>
      </c>
      <c r="B812" s="266" t="n">
        <v>1.098610043525696</v>
      </c>
      <c r="C812" s="34" t="n">
        <v>45455</v>
      </c>
      <c r="D812" s="15" t="n">
        <v>8.16</v>
      </c>
      <c r="E812" s="15" t="n">
        <v>15.22</v>
      </c>
      <c r="F812" s="34" t="n">
        <v>45455</v>
      </c>
      <c r="G812" s="15" t="n">
        <v>55.15</v>
      </c>
      <c r="H812" s="15" t="n">
        <v>79.02</v>
      </c>
      <c r="I812" s="34" t="n">
        <v>45455</v>
      </c>
      <c r="J812" s="15" t="n">
        <v>6.71</v>
      </c>
      <c r="K812" s="15" t="n">
        <v>14.12</v>
      </c>
      <c r="L812" s="34" t="n">
        <v>45455</v>
      </c>
      <c r="M812" s="15" t="n">
        <v>27.45</v>
      </c>
      <c r="N812" s="15" t="n">
        <v>33.41</v>
      </c>
      <c r="O812" s="34" t="n">
        <v>45455</v>
      </c>
      <c r="P812" s="15" t="n">
        <v>59.4</v>
      </c>
      <c r="Q812" s="15" t="n">
        <v>71.23</v>
      </c>
      <c r="R812" s="34" t="n">
        <v>45455</v>
      </c>
      <c r="S812" s="15" t="n">
        <v>8.029999999999999</v>
      </c>
      <c r="V812" s="15" t="n">
        <v>33.3</v>
      </c>
      <c r="W812" s="15" t="n">
        <v>32.61</v>
      </c>
      <c r="X812" s="34" t="n">
        <v>45455</v>
      </c>
    </row>
    <row r="813">
      <c r="A813" s="34" t="n">
        <v>45456</v>
      </c>
      <c r="B813" s="266" t="n">
        <v>1.078271985054016</v>
      </c>
      <c r="C813" s="34" t="n">
        <v>45456</v>
      </c>
      <c r="D813" s="15" t="n">
        <v>8.19</v>
      </c>
      <c r="E813" s="15" t="n">
        <v>15.05</v>
      </c>
      <c r="F813" s="34" t="n">
        <v>45456</v>
      </c>
      <c r="G813" s="15" t="n">
        <v>52.75</v>
      </c>
      <c r="H813" s="15" t="n">
        <v>76.51000000000001</v>
      </c>
      <c r="I813" s="34" t="n">
        <v>45456</v>
      </c>
      <c r="J813" s="15" t="n">
        <v>6.68</v>
      </c>
      <c r="K813" s="15" t="n">
        <v>13.95</v>
      </c>
      <c r="L813" s="34" t="n">
        <v>45456</v>
      </c>
      <c r="M813" s="15" t="n">
        <v>27.25</v>
      </c>
      <c r="N813" s="15" t="n">
        <v>32.72</v>
      </c>
      <c r="O813" s="34" t="n">
        <v>45456</v>
      </c>
      <c r="P813" s="15" t="n">
        <v>58</v>
      </c>
      <c r="Q813" s="15" t="n">
        <v>70.8</v>
      </c>
      <c r="R813" s="34" t="n">
        <v>45456</v>
      </c>
      <c r="S813" s="15" t="n">
        <v>8.050000000000001</v>
      </c>
      <c r="V813" s="15" t="n">
        <v>33.5</v>
      </c>
      <c r="W813" s="15" t="n">
        <v>32.96</v>
      </c>
      <c r="X813" s="34" t="n">
        <v>45456</v>
      </c>
    </row>
    <row r="814">
      <c r="A814" s="34" t="n">
        <v>45457</v>
      </c>
      <c r="B814" s="266" t="n">
        <v>1.07685399055481</v>
      </c>
      <c r="C814" s="34" t="n">
        <v>45457</v>
      </c>
      <c r="D814" s="15" t="n">
        <v>8.109999999999999</v>
      </c>
      <c r="E814" s="15" t="n">
        <v>14.79</v>
      </c>
      <c r="F814" s="34" t="n">
        <v>45457</v>
      </c>
      <c r="G814" s="15" t="n">
        <v>52.4</v>
      </c>
      <c r="H814" s="15" t="n">
        <v>75.08</v>
      </c>
      <c r="I814" s="34" t="n">
        <v>45457</v>
      </c>
      <c r="J814" s="15" t="n">
        <v>6.67</v>
      </c>
      <c r="K814" s="15" t="n">
        <v>14.01</v>
      </c>
      <c r="L814" s="34" t="n">
        <v>45457</v>
      </c>
      <c r="M814" s="15" t="n">
        <v>25.55</v>
      </c>
      <c r="N814" s="15" t="n">
        <v>32.56</v>
      </c>
      <c r="O814" s="34" t="n">
        <v>45457</v>
      </c>
      <c r="P814" s="15" t="n">
        <v>55.85</v>
      </c>
      <c r="Q814" s="15" t="n">
        <v>69.28</v>
      </c>
      <c r="R814" s="34" t="n">
        <v>45457</v>
      </c>
      <c r="S814" s="15" t="n">
        <v>8.07</v>
      </c>
      <c r="V814" s="15" t="n">
        <v>33.8</v>
      </c>
      <c r="W814" s="15" t="n">
        <v>32.96</v>
      </c>
      <c r="X814" s="34" t="n">
        <v>45457</v>
      </c>
    </row>
    <row r="815">
      <c r="A815" s="34" t="n">
        <v>45460</v>
      </c>
      <c r="B815" s="266" t="n">
        <v>1.09790301322937</v>
      </c>
      <c r="C815" s="34" t="n">
        <v>45460</v>
      </c>
      <c r="D815" s="15" t="n">
        <v>8.18</v>
      </c>
      <c r="E815" s="15" t="n">
        <v>14.75</v>
      </c>
      <c r="F815" s="34" t="n">
        <v>45460</v>
      </c>
      <c r="G815" s="15" t="n">
        <v>52</v>
      </c>
      <c r="H815" s="15" t="n">
        <v>74.7</v>
      </c>
      <c r="I815" s="34" t="n">
        <v>45460</v>
      </c>
      <c r="J815" s="15" t="n">
        <v>6.57</v>
      </c>
      <c r="K815" s="15" t="n">
        <v>13.98</v>
      </c>
      <c r="L815" s="34" t="n">
        <v>45460</v>
      </c>
      <c r="M815" s="15" t="n">
        <v>25.85</v>
      </c>
      <c r="N815" s="15" t="n">
        <v>32.6</v>
      </c>
      <c r="O815" s="34" t="n">
        <v>45460</v>
      </c>
      <c r="P815" s="15" t="n">
        <v>54.75</v>
      </c>
      <c r="Q815" s="15" t="n">
        <v>68.78</v>
      </c>
      <c r="R815" s="34" t="n">
        <v>45460</v>
      </c>
      <c r="S815" s="15" t="n">
        <v>7.49</v>
      </c>
      <c r="V815" s="15" t="n">
        <v>33.8</v>
      </c>
      <c r="W815" s="15" t="n">
        <v>32.75</v>
      </c>
      <c r="X815" s="34" t="n">
        <v>45460</v>
      </c>
    </row>
    <row r="816">
      <c r="A816" s="34" t="n">
        <v>45461</v>
      </c>
      <c r="B816" s="266" t="n">
        <v>1.076823949813843</v>
      </c>
      <c r="C816" s="34" t="n">
        <v>45461</v>
      </c>
      <c r="D816" s="15" t="n">
        <v>8.130000000000001</v>
      </c>
      <c r="E816" s="15" t="n">
        <v>14.41</v>
      </c>
      <c r="F816" s="34" t="n">
        <v>45461</v>
      </c>
      <c r="G816" s="15" t="n">
        <v>50.55</v>
      </c>
      <c r="H816" s="15" t="n">
        <v>72.29000000000001</v>
      </c>
      <c r="I816" s="34" t="n">
        <v>45461</v>
      </c>
      <c r="J816" s="15" t="n">
        <v>6.58</v>
      </c>
      <c r="K816" s="15" t="n">
        <v>14.22</v>
      </c>
      <c r="L816" s="34" t="n">
        <v>45461</v>
      </c>
      <c r="M816" s="15" t="n">
        <v>25.85</v>
      </c>
      <c r="N816" s="15" t="n">
        <v>33</v>
      </c>
      <c r="O816" s="34" t="n">
        <v>45461</v>
      </c>
      <c r="P816" s="15" t="n">
        <v>54.35</v>
      </c>
      <c r="Q816" s="15" t="n">
        <v>69.29000000000001</v>
      </c>
      <c r="R816" s="34" t="n">
        <v>45461</v>
      </c>
      <c r="S816" s="15" t="n">
        <v>7.9</v>
      </c>
      <c r="V816" s="15" t="n">
        <v>33.75</v>
      </c>
      <c r="W816" s="15" t="n">
        <v>32.94</v>
      </c>
      <c r="X816" s="34" t="n">
        <v>45461</v>
      </c>
    </row>
    <row r="817">
      <c r="A817" s="34" t="n">
        <v>45462</v>
      </c>
      <c r="B817" s="266" t="n">
        <v>1.076231002807617</v>
      </c>
      <c r="C817" s="34" t="n">
        <v>45462</v>
      </c>
      <c r="D817" s="15" t="n">
        <v>8.18</v>
      </c>
      <c r="E817" s="15" t="n">
        <v>14.17</v>
      </c>
      <c r="F817" s="34" t="n">
        <v>45462</v>
      </c>
      <c r="G817" s="15" t="n">
        <v>50.8</v>
      </c>
      <c r="H817" s="15" t="n">
        <v>71.58</v>
      </c>
      <c r="I817" s="34" t="n">
        <v>45462</v>
      </c>
      <c r="J817" s="15" t="n">
        <v>6.67</v>
      </c>
      <c r="K817" s="15" t="n">
        <v>14</v>
      </c>
      <c r="L817" s="34" t="n">
        <v>45462</v>
      </c>
      <c r="M817" s="15" t="n">
        <v>25.8</v>
      </c>
      <c r="N817" s="15" t="n">
        <v>32.32</v>
      </c>
      <c r="O817" s="34" t="n">
        <v>45462</v>
      </c>
      <c r="P817" s="15" t="n">
        <v>53.8</v>
      </c>
      <c r="Q817" s="15" t="n">
        <v>67.51000000000001</v>
      </c>
      <c r="R817" s="34" t="n">
        <v>45462</v>
      </c>
      <c r="S817" s="15" t="n">
        <v>7.8</v>
      </c>
      <c r="V817" s="15" t="n">
        <v>33.8</v>
      </c>
      <c r="W817" s="15" t="n">
        <v>32.1</v>
      </c>
      <c r="X817" s="34" t="n">
        <v>45462</v>
      </c>
    </row>
    <row r="818">
      <c r="A818" s="34" t="n">
        <v>45463</v>
      </c>
      <c r="B818" s="266" t="n">
        <v>1.075603008270264</v>
      </c>
      <c r="C818" s="34" t="n">
        <v>45463</v>
      </c>
      <c r="D818" s="15" t="n">
        <v>8.02</v>
      </c>
      <c r="E818" s="15" t="n">
        <v>14.04</v>
      </c>
      <c r="F818" s="34" t="n">
        <v>45463</v>
      </c>
      <c r="G818" s="15" t="n">
        <v>50.55</v>
      </c>
      <c r="H818" s="15" t="n">
        <v>71.65000000000001</v>
      </c>
      <c r="I818" s="34" t="n">
        <v>45463</v>
      </c>
      <c r="J818" s="15" t="n">
        <v>6.5</v>
      </c>
      <c r="K818" s="15" t="n">
        <v>13.6</v>
      </c>
      <c r="L818" s="34" t="n">
        <v>45463</v>
      </c>
      <c r="M818" s="15" t="n">
        <v>25</v>
      </c>
      <c r="N818" s="15" t="n">
        <v>31.25</v>
      </c>
      <c r="O818" s="34" t="n">
        <v>45463</v>
      </c>
      <c r="P818" s="15" t="n">
        <v>52.1</v>
      </c>
      <c r="Q818" s="15" t="n">
        <v>65.36</v>
      </c>
      <c r="R818" s="34" t="n">
        <v>45463</v>
      </c>
      <c r="S818" s="15" t="n">
        <v>7.5</v>
      </c>
      <c r="V818" s="15" t="n">
        <v>33.75</v>
      </c>
      <c r="W818" s="15" t="n">
        <v>32.01</v>
      </c>
      <c r="X818" s="34" t="n">
        <v>45463</v>
      </c>
    </row>
    <row r="819">
      <c r="A819" s="34" t="n">
        <v>45464</v>
      </c>
      <c r="B819" s="266" t="n">
        <v>1.07499098777771</v>
      </c>
      <c r="C819" s="34" t="n">
        <v>45464</v>
      </c>
      <c r="D819" s="15" t="n">
        <v>8.01</v>
      </c>
      <c r="E819" s="15" t="n">
        <v>14.2</v>
      </c>
      <c r="F819" s="34" t="n">
        <v>45464</v>
      </c>
      <c r="G819" s="15" t="n">
        <v>50.35</v>
      </c>
      <c r="H819" s="15" t="n">
        <v>71.25</v>
      </c>
      <c r="I819" s="34" t="n">
        <v>45464</v>
      </c>
      <c r="J819" s="15" t="n">
        <v>6.48</v>
      </c>
      <c r="K819" s="15" t="n">
        <v>13.34</v>
      </c>
      <c r="L819" s="34" t="n">
        <v>45464</v>
      </c>
      <c r="M819" s="15" t="n">
        <v>23.6</v>
      </c>
      <c r="N819" s="15" t="n">
        <v>30.49</v>
      </c>
      <c r="O819" s="34" t="n">
        <v>45464</v>
      </c>
      <c r="P819" s="15" t="n">
        <v>52.3</v>
      </c>
      <c r="Q819" s="15" t="n">
        <v>64.66</v>
      </c>
      <c r="R819" s="34" t="n">
        <v>45464</v>
      </c>
      <c r="S819" s="15" t="n">
        <v>7.5</v>
      </c>
      <c r="V819" s="15" t="n">
        <v>33.6</v>
      </c>
      <c r="W819" s="15" t="n">
        <v>31.42</v>
      </c>
      <c r="X819" s="34" t="n">
        <v>45464</v>
      </c>
    </row>
    <row r="820">
      <c r="A820" s="34" t="n">
        <v>45467</v>
      </c>
      <c r="B820" s="266" t="n">
        <v>1.0746910572052</v>
      </c>
      <c r="C820" s="34" t="n">
        <v>45467</v>
      </c>
      <c r="D820" s="15" t="n">
        <v>8.050000000000001</v>
      </c>
      <c r="E820" s="15" t="n">
        <v>13.6</v>
      </c>
      <c r="F820" s="34" t="n">
        <v>45467</v>
      </c>
      <c r="G820" s="15" t="n">
        <v>49.6</v>
      </c>
      <c r="H820" s="15" t="n">
        <v>70.53</v>
      </c>
      <c r="I820" s="34" t="n">
        <v>45467</v>
      </c>
      <c r="J820" s="15" t="n">
        <v>6.28</v>
      </c>
      <c r="K820" s="15" t="n">
        <v>13</v>
      </c>
      <c r="L820" s="34" t="n">
        <v>45467</v>
      </c>
      <c r="M820" s="15" t="n">
        <v>23.5</v>
      </c>
      <c r="N820" s="15" t="n">
        <v>30.1</v>
      </c>
      <c r="O820" s="34" t="n">
        <v>45467</v>
      </c>
      <c r="P820" s="15" t="n">
        <v>52.1</v>
      </c>
      <c r="Q820" s="15" t="n">
        <v>64.48</v>
      </c>
      <c r="R820" s="34" t="n">
        <v>45467</v>
      </c>
      <c r="S820" s="15" t="n">
        <v>7.49</v>
      </c>
      <c r="V820" s="15" t="n">
        <v>31.9</v>
      </c>
      <c r="W820" s="15" t="n">
        <v>29.65</v>
      </c>
      <c r="X820" s="34" t="n">
        <v>45467</v>
      </c>
    </row>
    <row r="821">
      <c r="A821" s="34" t="n">
        <v>45468</v>
      </c>
      <c r="B821" s="266" t="n">
        <v>1.075618028640747</v>
      </c>
      <c r="C821" s="34" t="n">
        <v>45468</v>
      </c>
      <c r="D821" s="15" t="n">
        <v>8.029999999999999</v>
      </c>
      <c r="E821" s="15" t="n">
        <v>13.48</v>
      </c>
      <c r="F821" s="34" t="n">
        <v>45468</v>
      </c>
      <c r="G821" s="15" t="n">
        <v>49.3</v>
      </c>
      <c r="H821" s="15" t="n">
        <v>68.97</v>
      </c>
      <c r="I821" s="34" t="n">
        <v>45468</v>
      </c>
      <c r="J821" s="15" t="n">
        <v>6.21</v>
      </c>
      <c r="K821" s="15" t="n">
        <v>12.79</v>
      </c>
      <c r="L821" s="34" t="n">
        <v>45468</v>
      </c>
      <c r="M821" s="15" t="n">
        <v>23.5</v>
      </c>
      <c r="N821" s="15" t="n">
        <v>29.53</v>
      </c>
      <c r="O821" s="34" t="n">
        <v>45468</v>
      </c>
      <c r="P821" s="15" t="n">
        <v>50.25</v>
      </c>
      <c r="Q821" s="15" t="n">
        <v>63</v>
      </c>
      <c r="R821" s="34" t="n">
        <v>45468</v>
      </c>
      <c r="S821" s="15" t="n">
        <v>7.42</v>
      </c>
      <c r="V821" s="15" t="n">
        <v>30.85</v>
      </c>
      <c r="W821" s="15" t="n">
        <v>29.16</v>
      </c>
      <c r="X821" s="34" t="n">
        <v>45468</v>
      </c>
    </row>
    <row r="822">
      <c r="A822" s="34" t="n">
        <v>45469</v>
      </c>
      <c r="B822" s="266" t="n">
        <v>1.075075030326843</v>
      </c>
      <c r="C822" s="34" t="n">
        <v>45469</v>
      </c>
      <c r="D822" s="15" t="n">
        <v>8.029999999999999</v>
      </c>
      <c r="E822" s="15" t="n">
        <v>13.85</v>
      </c>
      <c r="F822" s="34" t="n">
        <v>45469</v>
      </c>
      <c r="G822" s="15" t="n">
        <v>50.6</v>
      </c>
      <c r="H822" s="15" t="n">
        <v>70.13</v>
      </c>
      <c r="I822" s="34" t="n">
        <v>45469</v>
      </c>
      <c r="J822" s="15" t="n">
        <v>6.33</v>
      </c>
      <c r="K822" s="15" t="n">
        <v>13.05</v>
      </c>
      <c r="L822" s="34" t="n">
        <v>45469</v>
      </c>
      <c r="M822" s="15" t="n">
        <v>25</v>
      </c>
      <c r="N822" s="15" t="n">
        <v>31.55</v>
      </c>
      <c r="O822" s="34" t="n">
        <v>45469</v>
      </c>
      <c r="P822" s="15" t="n">
        <v>51.7</v>
      </c>
      <c r="Q822" s="15" t="n">
        <v>64.41</v>
      </c>
      <c r="R822" s="34" t="n">
        <v>45469</v>
      </c>
      <c r="S822" s="15" t="n">
        <v>7.47</v>
      </c>
      <c r="V822" s="15" t="n">
        <v>31.3</v>
      </c>
      <c r="W822" s="15" t="n">
        <v>30.47</v>
      </c>
      <c r="X822" s="34" t="n">
        <v>45469</v>
      </c>
    </row>
    <row r="823">
      <c r="A823" s="34" t="n">
        <v>45470</v>
      </c>
      <c r="B823" s="266" t="n">
        <v>1.074702024459839</v>
      </c>
      <c r="C823" s="34" t="n">
        <v>45470</v>
      </c>
      <c r="D823" s="15" t="n">
        <v>7.73</v>
      </c>
      <c r="E823" s="15" t="n">
        <v>13.43</v>
      </c>
      <c r="F823" s="34" t="n">
        <v>45470</v>
      </c>
      <c r="G823" s="15" t="n">
        <v>48.75</v>
      </c>
      <c r="H823" s="15" t="n">
        <v>67.5</v>
      </c>
      <c r="I823" s="34" t="n">
        <v>45470</v>
      </c>
      <c r="J823" s="15" t="n">
        <v>6.21</v>
      </c>
      <c r="K823" s="15" t="n">
        <v>12.75</v>
      </c>
      <c r="L823" s="34" t="n">
        <v>45470</v>
      </c>
      <c r="M823" s="15" t="n">
        <v>23.4</v>
      </c>
      <c r="N823" s="15" t="n">
        <v>30.57</v>
      </c>
      <c r="O823" s="34" t="n">
        <v>45470</v>
      </c>
      <c r="P823" s="15" t="n">
        <v>49.45</v>
      </c>
      <c r="Q823" s="15" t="n">
        <v>62.95</v>
      </c>
      <c r="R823" s="34" t="n">
        <v>45470</v>
      </c>
      <c r="S823" s="15" t="n">
        <v>7.4</v>
      </c>
      <c r="V823" s="15" t="n">
        <v>30.8</v>
      </c>
      <c r="W823" s="15" t="n">
        <v>29.79</v>
      </c>
      <c r="X823" s="34" t="n">
        <v>45470</v>
      </c>
    </row>
    <row r="824">
      <c r="A824" s="34" t="n">
        <v>45471</v>
      </c>
      <c r="B824" s="266" t="n">
        <v>1.07417905330658</v>
      </c>
      <c r="C824" s="34" t="n">
        <v>45471</v>
      </c>
      <c r="D824" s="15" t="n">
        <v>7.5</v>
      </c>
      <c r="E824" s="15" t="n">
        <v>13.27</v>
      </c>
      <c r="F824" s="34" t="n">
        <v>45471</v>
      </c>
      <c r="G824" s="15" t="n">
        <v>48.7</v>
      </c>
      <c r="H824" s="15" t="n">
        <v>65.8</v>
      </c>
      <c r="I824" s="34" t="n">
        <v>45471</v>
      </c>
      <c r="J824" s="15" t="n">
        <v>6.16</v>
      </c>
      <c r="K824" s="15" t="n">
        <v>12.96</v>
      </c>
      <c r="L824" s="34" t="n">
        <v>45471</v>
      </c>
      <c r="M824" s="15" t="n">
        <v>22.4</v>
      </c>
      <c r="N824" s="15" t="n">
        <v>29.91</v>
      </c>
      <c r="O824" s="34" t="n">
        <v>45471</v>
      </c>
      <c r="P824" s="15" t="n">
        <v>47.85</v>
      </c>
      <c r="Q824" s="15" t="n">
        <v>62.49</v>
      </c>
      <c r="R824" s="34" t="n">
        <v>45471</v>
      </c>
      <c r="S824" s="15" t="n">
        <v>7.65</v>
      </c>
      <c r="V824" s="15" t="n">
        <v>31.15</v>
      </c>
      <c r="W824" s="15" t="n">
        <v>29.98</v>
      </c>
      <c r="X824" s="34" t="n">
        <v>45471</v>
      </c>
    </row>
    <row r="825">
      <c r="A825" s="34" t="n">
        <v>45475</v>
      </c>
      <c r="B825" s="266" t="n">
        <v>1.074753046035767</v>
      </c>
      <c r="C825" s="34" t="n">
        <v>45475</v>
      </c>
      <c r="D825" s="15" t="n">
        <v>7.44</v>
      </c>
      <c r="E825" s="15" t="n">
        <v>13.22</v>
      </c>
      <c r="F825" s="34" t="n">
        <v>45475</v>
      </c>
      <c r="G825" s="15" t="n">
        <v>47.25</v>
      </c>
      <c r="H825" s="15" t="n">
        <v>64.08</v>
      </c>
      <c r="I825" s="34" t="n">
        <v>45475</v>
      </c>
      <c r="J825" s="15" t="n">
        <v>6.29</v>
      </c>
      <c r="K825" s="15" t="n">
        <v>12.84</v>
      </c>
      <c r="L825" s="34" t="n">
        <v>45475</v>
      </c>
      <c r="M825" s="15" t="n">
        <v>21.75</v>
      </c>
      <c r="N825" s="15" t="n">
        <v>29.45</v>
      </c>
      <c r="O825" s="34" t="n">
        <v>45475</v>
      </c>
      <c r="P825" s="15" t="n">
        <v>47.95</v>
      </c>
      <c r="Q825" s="15" t="n">
        <v>61.81</v>
      </c>
      <c r="R825" s="34" t="n">
        <v>45475</v>
      </c>
      <c r="S825" s="15" t="n">
        <v>7.23</v>
      </c>
      <c r="V825" s="15" t="n">
        <v>31.2</v>
      </c>
      <c r="W825" s="15" t="n">
        <v>29.62</v>
      </c>
      <c r="X825" s="34" t="n">
        <v>45475</v>
      </c>
    </row>
    <row r="826">
      <c r="A826" s="34" t="n">
        <v>45476</v>
      </c>
      <c r="B826" s="266" t="n">
        <v>1.074602007865906</v>
      </c>
      <c r="C826" s="34" t="n">
        <v>45476</v>
      </c>
      <c r="D826" s="15" t="n">
        <v>7.51</v>
      </c>
      <c r="E826" s="15" t="n">
        <v>13.33</v>
      </c>
      <c r="F826" s="34" t="n">
        <v>45476</v>
      </c>
      <c r="G826" s="15" t="n">
        <v>47.75</v>
      </c>
      <c r="H826" s="15" t="n">
        <v>63.69</v>
      </c>
      <c r="I826" s="34" t="n">
        <v>45476</v>
      </c>
      <c r="J826" s="15" t="n">
        <v>6.36</v>
      </c>
      <c r="K826" s="15" t="n">
        <v>12.68</v>
      </c>
      <c r="L826" s="34" t="n">
        <v>45476</v>
      </c>
      <c r="M826" s="15" t="n">
        <v>22.45</v>
      </c>
      <c r="N826" s="15" t="n">
        <v>29.82</v>
      </c>
      <c r="O826" s="34" t="n">
        <v>45476</v>
      </c>
      <c r="P826" s="15" t="n">
        <v>53.8</v>
      </c>
      <c r="Q826" s="15" t="n">
        <v>67.98</v>
      </c>
      <c r="R826" s="34" t="n">
        <v>45476</v>
      </c>
      <c r="S826" s="15" t="n">
        <v>7.43</v>
      </c>
      <c r="V826" s="15" t="n">
        <v>32.5</v>
      </c>
      <c r="W826" s="15" t="n">
        <v>29.58</v>
      </c>
      <c r="X826" s="34" t="n">
        <v>45476</v>
      </c>
    </row>
    <row r="827">
      <c r="A827" s="34" t="n">
        <v>45477</v>
      </c>
      <c r="B827" s="266" t="n">
        <v>1.073940992355347</v>
      </c>
      <c r="C827" s="34" t="n">
        <v>45477</v>
      </c>
      <c r="D827" s="15" t="n">
        <v>7.41</v>
      </c>
      <c r="E827" s="15" t="n">
        <v>12.88</v>
      </c>
      <c r="F827" s="34" t="n">
        <v>45477</v>
      </c>
      <c r="G827" s="15" t="n">
        <v>46.5</v>
      </c>
      <c r="H827" s="15" t="n">
        <v>61.41</v>
      </c>
      <c r="I827" s="34" t="n">
        <v>45477</v>
      </c>
      <c r="J827" s="15" t="n">
        <v>6.23</v>
      </c>
      <c r="K827" s="15" t="n">
        <v>12.39</v>
      </c>
      <c r="L827" s="34" t="n">
        <v>45477</v>
      </c>
      <c r="M827" s="15" t="n">
        <v>22</v>
      </c>
      <c r="N827" s="15" t="n">
        <v>28.88</v>
      </c>
      <c r="O827" s="34" t="n">
        <v>45477</v>
      </c>
      <c r="P827" s="15" t="n">
        <v>52.35</v>
      </c>
      <c r="Q827" s="15" t="n">
        <v>64.75</v>
      </c>
      <c r="R827" s="34" t="n">
        <v>45477</v>
      </c>
      <c r="S827" s="15" t="n">
        <v>7.47</v>
      </c>
      <c r="V827" s="15" t="n">
        <v>23.4</v>
      </c>
      <c r="W827" s="15" t="n">
        <v>28.36</v>
      </c>
      <c r="X827" s="34" t="n">
        <v>45477</v>
      </c>
    </row>
    <row r="828">
      <c r="A828" s="34" t="n">
        <v>45478</v>
      </c>
      <c r="B828" s="266" t="n">
        <v>1.07449996471405</v>
      </c>
      <c r="C828" s="34" t="n">
        <v>45478</v>
      </c>
      <c r="D828" s="15" t="n">
        <v>7.47</v>
      </c>
      <c r="E828" s="15" t="n">
        <v>13.66</v>
      </c>
      <c r="F828" s="34" t="n">
        <v>45478</v>
      </c>
      <c r="G828" s="15" t="n">
        <v>47.4</v>
      </c>
      <c r="H828" s="15" t="n">
        <v>63.96</v>
      </c>
      <c r="I828" s="34" t="n">
        <v>45478</v>
      </c>
      <c r="J828" s="15" t="n">
        <v>6.26</v>
      </c>
      <c r="K828" s="15" t="n">
        <v>12.58</v>
      </c>
      <c r="L828" s="34" t="n">
        <v>45478</v>
      </c>
      <c r="M828" s="15" t="n">
        <v>21.45</v>
      </c>
      <c r="N828" s="15" t="n">
        <v>28.73</v>
      </c>
      <c r="O828" s="34" t="n">
        <v>45478</v>
      </c>
      <c r="P828" s="15" t="n">
        <v>54.35</v>
      </c>
      <c r="Q828" s="15" t="n">
        <v>65.73</v>
      </c>
      <c r="R828" s="34" t="n">
        <v>45478</v>
      </c>
      <c r="S828" s="15" t="n">
        <v>7.72</v>
      </c>
      <c r="V828" s="15" t="n">
        <v>23.65</v>
      </c>
      <c r="W828" s="15" t="n">
        <v>28.4</v>
      </c>
      <c r="X828" s="34" t="n">
        <v>45478</v>
      </c>
    </row>
    <row r="829">
      <c r="A829" s="34" t="n">
        <v>45481</v>
      </c>
      <c r="B829" s="266" t="n">
        <v>1.074715971946716</v>
      </c>
      <c r="C829" s="34" t="n">
        <v>45481</v>
      </c>
      <c r="D829" s="15" t="n">
        <v>7.07</v>
      </c>
      <c r="E829" s="15" t="n">
        <v>12.95</v>
      </c>
      <c r="F829" s="34" t="n">
        <v>45481</v>
      </c>
      <c r="G829" s="15" t="n">
        <v>44.9</v>
      </c>
      <c r="H829" s="15" t="n">
        <v>61.57</v>
      </c>
      <c r="I829" s="34" t="n">
        <v>45481</v>
      </c>
      <c r="J829" s="15" t="n">
        <v>6.2</v>
      </c>
      <c r="K829" s="15" t="n">
        <v>12.14</v>
      </c>
      <c r="L829" s="34" t="n">
        <v>45481</v>
      </c>
      <c r="M829" s="15" t="n">
        <v>20.75</v>
      </c>
      <c r="N829" s="15" t="n">
        <v>27.75</v>
      </c>
      <c r="O829" s="34" t="n">
        <v>45481</v>
      </c>
      <c r="P829" s="15" t="n">
        <v>51.8</v>
      </c>
      <c r="Q829" s="15" t="n">
        <v>63.1</v>
      </c>
      <c r="R829" s="34" t="n">
        <v>45481</v>
      </c>
      <c r="S829" s="15" t="n">
        <v>7.59</v>
      </c>
      <c r="V829" s="15" t="n">
        <v>23.1</v>
      </c>
      <c r="W829" s="15" t="n">
        <v>27.25</v>
      </c>
      <c r="X829" s="34" t="n">
        <v>45481</v>
      </c>
    </row>
    <row r="830">
      <c r="A830" s="34" t="n">
        <v>45482</v>
      </c>
      <c r="B830" s="266" t="n">
        <v>1.074417948722839</v>
      </c>
      <c r="C830" s="34" t="n">
        <v>45482</v>
      </c>
      <c r="D830" s="15" t="n">
        <v>6.8</v>
      </c>
      <c r="E830" s="15" t="n">
        <v>12.6</v>
      </c>
      <c r="F830" s="34" t="n">
        <v>45482</v>
      </c>
      <c r="G830" s="15" t="n">
        <v>45.4</v>
      </c>
      <c r="H830" s="15" t="n">
        <v>61.18</v>
      </c>
      <c r="I830" s="34" t="n">
        <v>45482</v>
      </c>
      <c r="J830" s="15" t="n">
        <v>6.1</v>
      </c>
      <c r="K830" s="15" t="n">
        <v>12.19</v>
      </c>
      <c r="L830" s="34" t="n">
        <v>45482</v>
      </c>
      <c r="M830" s="15" t="n">
        <v>20.9</v>
      </c>
      <c r="N830" s="15" t="n">
        <v>27.59</v>
      </c>
      <c r="O830" s="34" t="n">
        <v>45482</v>
      </c>
      <c r="P830" s="15" t="n">
        <v>51</v>
      </c>
      <c r="Q830" s="15" t="n">
        <v>63.15</v>
      </c>
      <c r="R830" s="34" t="n">
        <v>45482</v>
      </c>
      <c r="S830" s="15" t="n">
        <v>7.51</v>
      </c>
      <c r="V830" s="15" t="n">
        <v>23.1</v>
      </c>
      <c r="W830" s="15" t="n">
        <v>27.54</v>
      </c>
      <c r="X830" s="34" t="n">
        <v>45482</v>
      </c>
    </row>
    <row r="831">
      <c r="A831" s="34" t="n">
        <v>45483</v>
      </c>
      <c r="B831" s="266" t="n">
        <v>1.073858976364136</v>
      </c>
      <c r="C831" s="34" t="n">
        <v>45483</v>
      </c>
      <c r="D831" s="15" t="n">
        <v>6.62</v>
      </c>
      <c r="E831" s="15" t="n">
        <v>12.46</v>
      </c>
      <c r="F831" s="34" t="n">
        <v>45483</v>
      </c>
      <c r="G831" s="15" t="n">
        <v>44.75</v>
      </c>
      <c r="H831" s="15" t="n">
        <v>61.61</v>
      </c>
      <c r="I831" s="34" t="n">
        <v>45483</v>
      </c>
      <c r="J831" s="15" t="n">
        <v>6.07</v>
      </c>
      <c r="K831" s="15" t="n">
        <v>12.22</v>
      </c>
      <c r="L831" s="34" t="n">
        <v>45483</v>
      </c>
      <c r="M831" s="15" t="n">
        <v>20.8</v>
      </c>
      <c r="N831" s="15" t="n">
        <v>27.92</v>
      </c>
      <c r="O831" s="34" t="n">
        <v>45483</v>
      </c>
      <c r="P831" s="15" t="n">
        <v>51</v>
      </c>
      <c r="Q831" s="15" t="n">
        <v>63.35</v>
      </c>
      <c r="R831" s="34" t="n">
        <v>45483</v>
      </c>
      <c r="S831" s="15" t="n">
        <v>7.45</v>
      </c>
      <c r="V831" s="15" t="n">
        <v>23.35</v>
      </c>
      <c r="W831" s="15" t="n">
        <v>27.7</v>
      </c>
      <c r="X831" s="34" t="n">
        <v>45483</v>
      </c>
    </row>
    <row r="832">
      <c r="A832" s="34" t="n">
        <v>45484</v>
      </c>
      <c r="B832" s="266" t="n">
        <v>1.073397994041443</v>
      </c>
      <c r="C832" s="34" t="n">
        <v>45484</v>
      </c>
      <c r="D832" s="15" t="n">
        <v>7.29</v>
      </c>
      <c r="E832" s="15" t="n">
        <v>13.71</v>
      </c>
      <c r="F832" s="34" t="n">
        <v>45484</v>
      </c>
      <c r="G832" s="15" t="n">
        <v>46.6</v>
      </c>
      <c r="H832" s="15" t="n">
        <v>66.52</v>
      </c>
      <c r="I832" s="34" t="n">
        <v>45484</v>
      </c>
      <c r="J832" s="15" t="n">
        <v>6.17</v>
      </c>
      <c r="K832" s="15" t="n">
        <v>12.54</v>
      </c>
      <c r="L832" s="34" t="n">
        <v>45484</v>
      </c>
      <c r="M832" s="15" t="n">
        <v>22</v>
      </c>
      <c r="N832" s="15" t="n">
        <v>29.6</v>
      </c>
      <c r="O832" s="34" t="n">
        <v>45484</v>
      </c>
      <c r="P832" s="15" t="n">
        <v>54.9</v>
      </c>
      <c r="Q832" s="15" t="n">
        <v>67.33</v>
      </c>
      <c r="R832" s="34" t="n">
        <v>45484</v>
      </c>
      <c r="S832" s="15" t="n">
        <v>7.59</v>
      </c>
      <c r="V832" s="15" t="n">
        <v>23.65</v>
      </c>
      <c r="W832" s="15" t="n">
        <v>28.62</v>
      </c>
      <c r="X832" s="34" t="n">
        <v>45484</v>
      </c>
    </row>
    <row r="833">
      <c r="A833" s="34" t="n">
        <v>45485</v>
      </c>
      <c r="B833" s="266" t="n">
        <v>1.07601797580719</v>
      </c>
      <c r="C833" s="34" t="n">
        <v>45485</v>
      </c>
      <c r="D833" s="15" t="n">
        <v>7.44</v>
      </c>
      <c r="E833" s="15" t="n">
        <v>14.02</v>
      </c>
      <c r="F833" s="34" t="n">
        <v>45485</v>
      </c>
      <c r="G833" s="15" t="n">
        <v>47</v>
      </c>
      <c r="H833" s="15" t="n">
        <v>66.78</v>
      </c>
      <c r="I833" s="34" t="n">
        <v>45485</v>
      </c>
      <c r="J833" s="15" t="n">
        <v>6.15</v>
      </c>
      <c r="K833" s="15" t="n">
        <v>12.31</v>
      </c>
      <c r="L833" s="34" t="n">
        <v>45485</v>
      </c>
      <c r="M833" s="15" t="n">
        <v>22.05</v>
      </c>
      <c r="N833" s="15" t="n">
        <v>29.28</v>
      </c>
      <c r="O833" s="34" t="n">
        <v>45485</v>
      </c>
      <c r="P833" s="15" t="n">
        <v>55.15</v>
      </c>
      <c r="Q833" s="15" t="n">
        <v>67.75</v>
      </c>
      <c r="R833" s="34" t="n">
        <v>45485</v>
      </c>
      <c r="S833" s="15" t="n">
        <v>7.45</v>
      </c>
      <c r="V833" s="15" t="n">
        <v>23.75</v>
      </c>
      <c r="W833" s="15" t="n">
        <v>28.62</v>
      </c>
      <c r="X833" s="34" t="n">
        <v>45485</v>
      </c>
    </row>
    <row r="834">
      <c r="A834" s="34" t="n">
        <v>45488</v>
      </c>
      <c r="B834" s="266" t="n">
        <v>1.076483964920044</v>
      </c>
      <c r="C834" s="34" t="n">
        <v>45488</v>
      </c>
      <c r="D834" s="15" t="n">
        <v>7.17</v>
      </c>
      <c r="E834" s="15" t="n">
        <v>13.85</v>
      </c>
      <c r="F834" s="34" t="n">
        <v>45488</v>
      </c>
      <c r="G834" s="15" t="n">
        <v>45.45</v>
      </c>
      <c r="H834" s="15" t="n">
        <v>64.52</v>
      </c>
      <c r="I834" s="34" t="n">
        <v>45488</v>
      </c>
      <c r="J834" s="15" t="n">
        <v>5.91</v>
      </c>
      <c r="K834" s="15" t="n">
        <v>12.12</v>
      </c>
      <c r="L834" s="34" t="n">
        <v>45488</v>
      </c>
      <c r="M834" s="15" t="n">
        <v>21.6</v>
      </c>
      <c r="N834" s="15" t="n">
        <v>28.74</v>
      </c>
      <c r="O834" s="34" t="n">
        <v>45488</v>
      </c>
      <c r="P834" s="15" t="n">
        <v>53.4</v>
      </c>
      <c r="Q834" s="15" t="n">
        <v>66.88</v>
      </c>
      <c r="R834" s="34" t="n">
        <v>45488</v>
      </c>
      <c r="S834" s="15" t="n">
        <v>7.28</v>
      </c>
      <c r="V834" s="15" t="n">
        <v>23.85</v>
      </c>
      <c r="W834" s="15" t="n">
        <v>28.07</v>
      </c>
      <c r="X834" s="34" t="n">
        <v>45488</v>
      </c>
    </row>
    <row r="835">
      <c r="A835" s="34" t="n">
        <v>45489</v>
      </c>
      <c r="B835" s="266" t="n">
        <v>1.07518994808197</v>
      </c>
      <c r="C835" s="34" t="n">
        <v>45489</v>
      </c>
      <c r="D835" s="15" t="n">
        <v>7.2</v>
      </c>
      <c r="E835" s="15" t="n">
        <v>13.95</v>
      </c>
      <c r="F835" s="34" t="n">
        <v>45489</v>
      </c>
      <c r="G835" s="15" t="n">
        <v>45.25</v>
      </c>
      <c r="H835" s="15" t="n">
        <v>65.55</v>
      </c>
      <c r="I835" s="34" t="n">
        <v>45489</v>
      </c>
      <c r="J835" s="15" t="n">
        <v>5.84</v>
      </c>
      <c r="K835" s="15" t="n">
        <v>12.13</v>
      </c>
      <c r="L835" s="34" t="n">
        <v>45489</v>
      </c>
      <c r="M835" s="15" t="n">
        <v>21.85</v>
      </c>
      <c r="N835" s="15" t="n">
        <v>29.06</v>
      </c>
      <c r="O835" s="34" t="n">
        <v>45489</v>
      </c>
      <c r="P835" s="15" t="n">
        <v>54.55</v>
      </c>
      <c r="Q835" s="15" t="n">
        <v>67.47</v>
      </c>
      <c r="R835" s="34" t="n">
        <v>45489</v>
      </c>
      <c r="S835" s="15" t="n">
        <v>7.53</v>
      </c>
      <c r="V835" s="15" t="n">
        <v>24.2</v>
      </c>
      <c r="W835" s="15" t="n">
        <v>27.4</v>
      </c>
      <c r="X835" s="34" t="n">
        <v>45489</v>
      </c>
    </row>
    <row r="836">
      <c r="A836" s="34" t="n">
        <v>45490</v>
      </c>
      <c r="B836" s="266" t="n">
        <v>1.093601942062378</v>
      </c>
      <c r="C836" s="34" t="n">
        <v>45490</v>
      </c>
      <c r="D836" s="15" t="n">
        <v>7.57</v>
      </c>
      <c r="E836" s="15" t="n">
        <v>14.3</v>
      </c>
      <c r="F836" s="34" t="n">
        <v>45490</v>
      </c>
      <c r="G836" s="15" t="n">
        <v>47</v>
      </c>
      <c r="H836" s="15" t="n">
        <v>68.2</v>
      </c>
      <c r="I836" s="34" t="n">
        <v>45490</v>
      </c>
      <c r="J836" s="15" t="n">
        <v>5.86</v>
      </c>
      <c r="K836" s="15" t="n">
        <v>11.98</v>
      </c>
      <c r="L836" s="34" t="n">
        <v>45490</v>
      </c>
      <c r="M836" s="15" t="n">
        <v>21.75</v>
      </c>
      <c r="N836" s="15" t="n">
        <v>28.96</v>
      </c>
      <c r="O836" s="34" t="n">
        <v>45490</v>
      </c>
      <c r="P836" s="15" t="n">
        <v>57</v>
      </c>
      <c r="Q836" s="15" t="n">
        <v>70.51000000000001</v>
      </c>
      <c r="R836" s="34" t="n">
        <v>45490</v>
      </c>
      <c r="S836" s="15" t="n">
        <v>8.550000000000001</v>
      </c>
      <c r="V836" s="15" t="n">
        <v>23.95</v>
      </c>
      <c r="W836" s="15" t="n">
        <v>27.4</v>
      </c>
      <c r="X836" s="34" t="n">
        <v>45490</v>
      </c>
    </row>
    <row r="837">
      <c r="A837" s="34" t="n">
        <v>45491</v>
      </c>
      <c r="B837" s="266" t="n">
        <v>1.075235962867737</v>
      </c>
      <c r="C837" s="34" t="n">
        <v>45491</v>
      </c>
      <c r="D837" s="15" t="n">
        <v>7.4</v>
      </c>
      <c r="E837" s="15" t="n">
        <v>14.22</v>
      </c>
      <c r="F837" s="34" t="n">
        <v>45491</v>
      </c>
      <c r="G837" s="15" t="n">
        <v>46.75</v>
      </c>
      <c r="H837" s="15" t="n">
        <v>68.09999999999999</v>
      </c>
      <c r="I837" s="34" t="n">
        <v>45491</v>
      </c>
      <c r="J837" s="15" t="n">
        <v>5.92</v>
      </c>
      <c r="K837" s="15" t="n">
        <v>12.03</v>
      </c>
      <c r="L837" s="34" t="n">
        <v>45491</v>
      </c>
      <c r="M837" s="15" t="n">
        <v>21.7</v>
      </c>
      <c r="N837" s="15" t="n">
        <v>29.01</v>
      </c>
      <c r="O837" s="34" t="n">
        <v>45491</v>
      </c>
      <c r="P837" s="15" t="n">
        <v>55.85</v>
      </c>
      <c r="Q837" s="15" t="n">
        <v>70.17</v>
      </c>
      <c r="R837" s="34" t="n">
        <v>45491</v>
      </c>
      <c r="S837" s="15" t="n">
        <v>8.300000000000001</v>
      </c>
      <c r="V837" s="15" t="n">
        <v>24.4</v>
      </c>
      <c r="W837" s="15" t="n">
        <v>27.28</v>
      </c>
      <c r="X837" s="34" t="n">
        <v>45491</v>
      </c>
    </row>
    <row r="838">
      <c r="A838" s="34" t="n">
        <v>45492</v>
      </c>
      <c r="B838" s="266" t="n">
        <v>1.075747013092041</v>
      </c>
      <c r="C838" s="34" t="n">
        <v>45492</v>
      </c>
      <c r="D838" s="15" t="n">
        <v>7.28</v>
      </c>
      <c r="E838" s="15" t="n">
        <v>14.31</v>
      </c>
      <c r="F838" s="34" t="n">
        <v>45492</v>
      </c>
      <c r="G838" s="15" t="n">
        <v>45.4</v>
      </c>
      <c r="H838" s="15" t="n">
        <v>67.45</v>
      </c>
      <c r="I838" s="34" t="n">
        <v>45492</v>
      </c>
      <c r="J838" s="15" t="n">
        <v>5.8</v>
      </c>
      <c r="K838" s="15" t="n">
        <v>12.1</v>
      </c>
      <c r="L838" s="34" t="n">
        <v>45492</v>
      </c>
      <c r="M838" s="15" t="n">
        <v>21.8</v>
      </c>
      <c r="N838" s="15" t="n">
        <v>29.23</v>
      </c>
      <c r="O838" s="34" t="n">
        <v>45492</v>
      </c>
      <c r="P838" s="15" t="n">
        <v>56.1</v>
      </c>
      <c r="Q838" s="15" t="n">
        <v>69.83</v>
      </c>
      <c r="R838" s="34" t="n">
        <v>45492</v>
      </c>
      <c r="S838" s="15" t="n">
        <v>7.42</v>
      </c>
      <c r="V838" s="15" t="n">
        <v>24</v>
      </c>
      <c r="W838" s="15" t="n">
        <v>27.9</v>
      </c>
      <c r="X838" s="34" t="n">
        <v>45492</v>
      </c>
    </row>
    <row r="839">
      <c r="A839" s="34" t="n">
        <v>45495</v>
      </c>
      <c r="B839" s="266" t="n">
        <v>1.074203968048096</v>
      </c>
      <c r="C839" s="34" t="n">
        <v>45495</v>
      </c>
      <c r="D839" s="15" t="n">
        <v>7.31</v>
      </c>
      <c r="E839" s="15" t="n">
        <v>14.42</v>
      </c>
      <c r="F839" s="34" t="n">
        <v>45495</v>
      </c>
      <c r="G839" s="15" t="n">
        <v>46.3</v>
      </c>
      <c r="H839" s="15" t="n">
        <v>69.34999999999999</v>
      </c>
      <c r="I839" s="34" t="n">
        <v>45495</v>
      </c>
      <c r="J839" s="15" t="n">
        <v>5.68</v>
      </c>
      <c r="K839" s="15" t="n">
        <v>12.02</v>
      </c>
      <c r="L839" s="34" t="n">
        <v>45495</v>
      </c>
      <c r="M839" s="15" t="n">
        <v>21.6</v>
      </c>
      <c r="N839" s="15" t="n">
        <v>28.99</v>
      </c>
      <c r="O839" s="34" t="n">
        <v>45495</v>
      </c>
      <c r="P839" s="15" t="n">
        <v>54.9</v>
      </c>
      <c r="Q839" s="15" t="n">
        <v>68.68000000000001</v>
      </c>
      <c r="R839" s="34" t="n">
        <v>45495</v>
      </c>
      <c r="S839" s="15" t="n">
        <v>7.63</v>
      </c>
      <c r="V839" s="15" t="n">
        <v>23.3</v>
      </c>
      <c r="W839" s="15" t="n">
        <v>20.23</v>
      </c>
      <c r="X839" s="34" t="n">
        <v>45495</v>
      </c>
    </row>
    <row r="840">
      <c r="A840" s="34" t="n">
        <v>45496</v>
      </c>
      <c r="B840" s="266" t="n">
        <v>1.073030948638916</v>
      </c>
      <c r="C840" s="34" t="n">
        <v>45496</v>
      </c>
      <c r="D840" s="15" t="n">
        <v>7.02</v>
      </c>
      <c r="E840" s="15" t="n">
        <v>13.91</v>
      </c>
      <c r="F840" s="34" t="n">
        <v>45496</v>
      </c>
      <c r="G840" s="15" t="n">
        <v>44.8</v>
      </c>
      <c r="H840" s="15" t="n">
        <v>67.90000000000001</v>
      </c>
      <c r="I840" s="34" t="n">
        <v>45496</v>
      </c>
      <c r="J840" s="15" t="n">
        <v>5.52</v>
      </c>
      <c r="K840" s="15" t="n">
        <v>11.64</v>
      </c>
      <c r="L840" s="34" t="n">
        <v>45496</v>
      </c>
      <c r="M840" s="15" t="n">
        <v>20.6</v>
      </c>
      <c r="N840" s="15" t="n">
        <v>27.8</v>
      </c>
      <c r="O840" s="34" t="n">
        <v>45496</v>
      </c>
      <c r="P840" s="15" t="n">
        <v>52.8</v>
      </c>
      <c r="Q840" s="15" t="n">
        <v>66.73</v>
      </c>
      <c r="R840" s="34" t="n">
        <v>45496</v>
      </c>
      <c r="S840" s="15" t="n">
        <v>7.39</v>
      </c>
      <c r="V840" s="15" t="n">
        <v>23</v>
      </c>
      <c r="W840" s="15" t="n">
        <v>20</v>
      </c>
      <c r="X840" s="34" t="n">
        <v>45496</v>
      </c>
    </row>
    <row r="841">
      <c r="A841" s="34" t="n">
        <v>45497</v>
      </c>
      <c r="B841" s="266" t="n">
        <v>1.073214054107666</v>
      </c>
      <c r="C841" s="34" t="n">
        <v>45497</v>
      </c>
      <c r="D841" s="15" t="n">
        <v>6.83</v>
      </c>
      <c r="E841" s="15" t="n">
        <v>13.62</v>
      </c>
      <c r="F841" s="34" t="n">
        <v>45497</v>
      </c>
      <c r="G841" s="15" t="n">
        <v>43.55</v>
      </c>
      <c r="H841" s="15" t="n">
        <v>66.44</v>
      </c>
      <c r="I841" s="34" t="n">
        <v>45497</v>
      </c>
      <c r="J841" s="15" t="n">
        <v>5.5</v>
      </c>
      <c r="K841" s="15" t="n">
        <v>11.45</v>
      </c>
      <c r="L841" s="34" t="n">
        <v>45497</v>
      </c>
      <c r="M841" s="15" t="n">
        <v>20.3</v>
      </c>
      <c r="N841" s="15" t="n">
        <v>27.22</v>
      </c>
      <c r="O841" s="34" t="n">
        <v>45497</v>
      </c>
      <c r="P841" s="15" t="n">
        <v>52.7</v>
      </c>
      <c r="Q841" s="15" t="n">
        <v>65.19</v>
      </c>
      <c r="R841" s="34" t="n">
        <v>45497</v>
      </c>
      <c r="S841" s="15" t="n">
        <v>7.3</v>
      </c>
      <c r="V841" s="15" t="n">
        <v>22.5</v>
      </c>
      <c r="W841" s="15" t="n">
        <v>19.34</v>
      </c>
      <c r="X841" s="34" t="n">
        <v>45497</v>
      </c>
    </row>
    <row r="842">
      <c r="A842" s="34" t="n">
        <v>45498</v>
      </c>
      <c r="B842" s="266" t="n">
        <v>1.075216054916382</v>
      </c>
      <c r="C842" s="34" t="n">
        <v>45498</v>
      </c>
      <c r="D842" s="15" t="n">
        <v>6.77</v>
      </c>
      <c r="E842" s="15" t="n">
        <v>13.96</v>
      </c>
      <c r="F842" s="34" t="n">
        <v>45498</v>
      </c>
      <c r="G842" s="15" t="n">
        <v>44.2</v>
      </c>
      <c r="H842" s="15" t="n">
        <v>67.84999999999999</v>
      </c>
      <c r="I842" s="34" t="n">
        <v>45498</v>
      </c>
      <c r="J842" s="15" t="n">
        <v>5.46</v>
      </c>
      <c r="K842" s="15" t="n">
        <v>11.53</v>
      </c>
      <c r="L842" s="34" t="n">
        <v>45498</v>
      </c>
      <c r="M842" s="15" t="n">
        <v>20.85</v>
      </c>
      <c r="N842" s="15" t="n">
        <v>28.18</v>
      </c>
      <c r="O842" s="34" t="n">
        <v>45498</v>
      </c>
      <c r="P842" s="15" t="n">
        <v>53.3</v>
      </c>
      <c r="Q842" s="15" t="n">
        <v>66.75</v>
      </c>
      <c r="R842" s="34" t="n">
        <v>45498</v>
      </c>
      <c r="S842" s="15" t="n">
        <v>7.29</v>
      </c>
      <c r="V842" s="15" t="n">
        <v>22.75</v>
      </c>
      <c r="W842" s="15" t="n">
        <v>19.76</v>
      </c>
      <c r="X842" s="34" t="n">
        <v>45498</v>
      </c>
    </row>
    <row r="843">
      <c r="A843" s="34" t="n">
        <v>45499</v>
      </c>
      <c r="B843" s="266" t="n">
        <v>1.079524040222168</v>
      </c>
      <c r="C843" s="34" t="n">
        <v>45499</v>
      </c>
      <c r="D843" s="15" t="n">
        <v>6.81</v>
      </c>
      <c r="E843" s="15" t="n">
        <v>13.97</v>
      </c>
      <c r="F843" s="34" t="n">
        <v>45499</v>
      </c>
      <c r="G843" s="15" t="n">
        <v>44.25</v>
      </c>
      <c r="H843" s="15" t="n">
        <v>67.61</v>
      </c>
      <c r="I843" s="34" t="n">
        <v>45499</v>
      </c>
      <c r="J843" s="15" t="n">
        <v>5.48</v>
      </c>
      <c r="K843" s="15" t="n">
        <v>11.7</v>
      </c>
      <c r="L843" s="34" t="n">
        <v>45499</v>
      </c>
      <c r="M843" s="15" t="n">
        <v>21.8</v>
      </c>
      <c r="N843" s="15" t="n">
        <v>29.12</v>
      </c>
      <c r="O843" s="34" t="n">
        <v>45499</v>
      </c>
      <c r="P843" s="15" t="n">
        <v>55.05</v>
      </c>
      <c r="Q843" s="15" t="n">
        <v>67.12</v>
      </c>
      <c r="R843" s="34" t="n">
        <v>45499</v>
      </c>
      <c r="S843" s="15" t="n">
        <v>6.94</v>
      </c>
      <c r="V843" s="15" t="n">
        <v>23.1</v>
      </c>
      <c r="W843" s="15" t="n">
        <v>20.05</v>
      </c>
      <c r="X843" s="34" t="n">
        <v>45499</v>
      </c>
    </row>
    <row r="844">
      <c r="A844" s="34" t="n">
        <v>45502</v>
      </c>
      <c r="B844" s="266" t="n">
        <v>1.076396942138672</v>
      </c>
      <c r="C844" s="34" t="n">
        <v>45502</v>
      </c>
      <c r="D844" s="15" t="n">
        <v>6.8</v>
      </c>
      <c r="E844" s="15" t="n">
        <v>13.83</v>
      </c>
      <c r="F844" s="34" t="n">
        <v>45502</v>
      </c>
      <c r="G844" s="15" t="n">
        <v>43.9</v>
      </c>
      <c r="H844" s="15" t="n">
        <v>67.3</v>
      </c>
      <c r="I844" s="34" t="n">
        <v>45502</v>
      </c>
      <c r="J844" s="15" t="n">
        <v>5.47</v>
      </c>
      <c r="K844" s="15" t="n">
        <v>11.6</v>
      </c>
      <c r="L844" s="34" t="n">
        <v>45502</v>
      </c>
      <c r="M844" s="15" t="n">
        <v>20.55</v>
      </c>
      <c r="N844" s="15" t="n">
        <v>28.17</v>
      </c>
      <c r="O844" s="34" t="n">
        <v>45502</v>
      </c>
      <c r="P844" s="15" t="n">
        <v>53.7</v>
      </c>
      <c r="Q844" s="15" t="n">
        <v>64.89</v>
      </c>
      <c r="R844" s="34" t="n">
        <v>45502</v>
      </c>
      <c r="S844" s="15" t="n">
        <v>6.93</v>
      </c>
      <c r="V844" s="15" t="n">
        <v>22.15</v>
      </c>
      <c r="W844" s="15" t="n">
        <v>19.78</v>
      </c>
      <c r="X844" s="34" t="n">
        <v>45502</v>
      </c>
    </row>
    <row r="845">
      <c r="A845" s="34" t="n">
        <v>45503</v>
      </c>
      <c r="B845" s="266" t="n">
        <v>1.075829982757568</v>
      </c>
      <c r="C845" s="34" t="n">
        <v>45503</v>
      </c>
      <c r="D845" s="15" t="n">
        <v>6.8</v>
      </c>
      <c r="E845" s="15" t="n">
        <v>13.91</v>
      </c>
      <c r="F845" s="34" t="n">
        <v>45503</v>
      </c>
      <c r="G845" s="15" t="n">
        <v>44.35</v>
      </c>
      <c r="H845" s="15" t="n">
        <v>69.2</v>
      </c>
      <c r="I845" s="34" t="n">
        <v>45503</v>
      </c>
      <c r="J845" s="15" t="n">
        <v>5.44</v>
      </c>
      <c r="K845" s="15" t="n">
        <v>11.58</v>
      </c>
      <c r="L845" s="34" t="n">
        <v>45503</v>
      </c>
      <c r="M845" s="15" t="n">
        <v>20.65</v>
      </c>
      <c r="N845" s="15" t="n">
        <v>28.09</v>
      </c>
      <c r="O845" s="34" t="n">
        <v>45503</v>
      </c>
      <c r="P845" s="15" t="n">
        <v>52.15</v>
      </c>
      <c r="Q845" s="15" t="n">
        <v>64.94</v>
      </c>
      <c r="R845" s="34" t="n">
        <v>45503</v>
      </c>
      <c r="S845" s="15" t="n">
        <v>6.79</v>
      </c>
      <c r="V845" s="15" t="n">
        <v>22.85</v>
      </c>
      <c r="W845" s="15" t="n">
        <v>20.02</v>
      </c>
      <c r="X845" s="34" t="n">
        <v>45503</v>
      </c>
    </row>
    <row r="846">
      <c r="A846" s="34" t="n">
        <v>45504</v>
      </c>
      <c r="B846" s="266" t="n">
        <v>1.077026009559631</v>
      </c>
      <c r="C846" s="34" t="n">
        <v>45504</v>
      </c>
      <c r="D846" s="15" t="n">
        <v>7.44</v>
      </c>
      <c r="E846" s="15" t="n">
        <v>15.13</v>
      </c>
      <c r="F846" s="34" t="n">
        <v>45504</v>
      </c>
      <c r="G846" s="15" t="n">
        <v>47.05</v>
      </c>
      <c r="H846" s="15" t="n">
        <v>74.14</v>
      </c>
      <c r="I846" s="34" t="n">
        <v>45504</v>
      </c>
      <c r="J846" s="15" t="n">
        <v>5.64</v>
      </c>
      <c r="K846" s="15" t="n">
        <v>12.06</v>
      </c>
      <c r="L846" s="34" t="n">
        <v>45504</v>
      </c>
      <c r="M846" s="15" t="n">
        <v>21.4</v>
      </c>
      <c r="N846" s="15" t="n">
        <v>29.26</v>
      </c>
      <c r="O846" s="34" t="n">
        <v>45504</v>
      </c>
      <c r="P846" s="15" t="n">
        <v>55.2</v>
      </c>
      <c r="Q846" s="15" t="n">
        <v>68.61</v>
      </c>
      <c r="R846" s="34" t="n">
        <v>45504</v>
      </c>
      <c r="S846" s="15" t="n">
        <v>6.3</v>
      </c>
      <c r="V846" s="15" t="n">
        <v>23.45</v>
      </c>
      <c r="W846" s="15" t="n">
        <v>21.2</v>
      </c>
      <c r="X846" s="34" t="n">
        <v>45504</v>
      </c>
    </row>
    <row r="847">
      <c r="A847" s="34" t="n">
        <v>45505</v>
      </c>
      <c r="B847" s="266" t="n">
        <v>1.082347989082336</v>
      </c>
      <c r="C847" s="34" t="n">
        <v>45505</v>
      </c>
      <c r="D847" s="15" t="n">
        <v>7.28</v>
      </c>
      <c r="E847" s="15" t="n">
        <v>15.52</v>
      </c>
      <c r="F847" s="34" t="n">
        <v>45505</v>
      </c>
      <c r="G847" s="15" t="n">
        <v>46.8</v>
      </c>
      <c r="H847" s="15" t="n">
        <v>74.08</v>
      </c>
      <c r="I847" s="34" t="n">
        <v>45505</v>
      </c>
      <c r="J847" s="15" t="n">
        <v>5.6</v>
      </c>
      <c r="K847" s="15" t="n">
        <v>12.04</v>
      </c>
      <c r="L847" s="34" t="n">
        <v>45505</v>
      </c>
      <c r="M847" s="15" t="n">
        <v>21</v>
      </c>
      <c r="N847" s="15" t="n">
        <v>28.65</v>
      </c>
      <c r="O847" s="34" t="n">
        <v>45505</v>
      </c>
      <c r="P847" s="15" t="n">
        <v>54.1</v>
      </c>
      <c r="Q847" s="15" t="n">
        <v>67.2</v>
      </c>
      <c r="R847" s="34" t="n">
        <v>45505</v>
      </c>
      <c r="S847" s="15" t="n">
        <v>6.66</v>
      </c>
      <c r="V847" s="15" t="n">
        <v>23.45</v>
      </c>
      <c r="W847" s="15" t="n">
        <v>21.14</v>
      </c>
      <c r="X847" s="34" t="n">
        <v>45505</v>
      </c>
    </row>
    <row r="848">
      <c r="A848" s="34" t="n">
        <v>45506</v>
      </c>
      <c r="B848" s="266" t="n">
        <v>1.078637003898621</v>
      </c>
      <c r="C848" s="34" t="n">
        <v>45506</v>
      </c>
      <c r="D848" s="15" t="n">
        <v>7.58</v>
      </c>
      <c r="E848" s="15" t="n">
        <v>15.95</v>
      </c>
      <c r="F848" s="34" t="n">
        <v>45506</v>
      </c>
      <c r="G848" s="15" t="n">
        <v>46.8</v>
      </c>
      <c r="H848" s="15" t="n">
        <v>74.15000000000001</v>
      </c>
      <c r="I848" s="34" t="n">
        <v>45506</v>
      </c>
      <c r="J848" s="15" t="n">
        <v>5.6</v>
      </c>
      <c r="K848" s="15" t="n">
        <v>11.97</v>
      </c>
      <c r="L848" s="34" t="n">
        <v>45506</v>
      </c>
      <c r="M848" s="15" t="n">
        <v>21</v>
      </c>
      <c r="N848" s="15" t="n">
        <v>28.53</v>
      </c>
      <c r="O848" s="34" t="n">
        <v>45506</v>
      </c>
      <c r="P848" s="15" t="n">
        <v>54.15</v>
      </c>
      <c r="Q848" s="15" t="n">
        <v>66.59999999999999</v>
      </c>
      <c r="R848" s="34" t="n">
        <v>45506</v>
      </c>
      <c r="S848" s="15" t="n">
        <v>6.75</v>
      </c>
      <c r="V848" s="15" t="n">
        <v>23.5</v>
      </c>
      <c r="W848" s="15" t="n">
        <v>20.58</v>
      </c>
      <c r="X848" s="34" t="n">
        <v>45506</v>
      </c>
    </row>
    <row r="849">
      <c r="A849" s="34" t="n">
        <v>45509</v>
      </c>
      <c r="B849" s="266" t="n">
        <v>1.090283036231995</v>
      </c>
      <c r="C849" s="34" t="n">
        <v>45509</v>
      </c>
      <c r="D849" s="15" t="n">
        <v>7.65</v>
      </c>
      <c r="E849" s="15" t="n">
        <v>15.74</v>
      </c>
      <c r="F849" s="34" t="n">
        <v>45509</v>
      </c>
      <c r="G849" s="15" t="n">
        <v>47.2</v>
      </c>
      <c r="H849" s="15" t="n">
        <v>73.88</v>
      </c>
      <c r="I849" s="34" t="n">
        <v>45509</v>
      </c>
      <c r="J849" s="15" t="n">
        <v>5.38</v>
      </c>
      <c r="K849" s="15" t="n">
        <v>11.68</v>
      </c>
      <c r="L849" s="34" t="n">
        <v>45509</v>
      </c>
      <c r="M849" s="15" t="n">
        <v>20.25</v>
      </c>
      <c r="N849" s="15" t="n">
        <v>28.06</v>
      </c>
      <c r="O849" s="34" t="n">
        <v>45509</v>
      </c>
      <c r="P849" s="15" t="n">
        <v>52.95</v>
      </c>
      <c r="Q849" s="15" t="n">
        <v>66.43000000000001</v>
      </c>
      <c r="R849" s="34" t="n">
        <v>45509</v>
      </c>
      <c r="S849" s="15" t="n">
        <v>6.3</v>
      </c>
      <c r="V849" s="15" t="n">
        <v>22.95</v>
      </c>
      <c r="W849" s="15" t="n">
        <v>19.74</v>
      </c>
      <c r="X849" s="34" t="n">
        <v>45509</v>
      </c>
    </row>
    <row r="850">
      <c r="A850" s="34" t="n">
        <v>45510</v>
      </c>
      <c r="B850" s="266" t="n">
        <v>1.094287037849426</v>
      </c>
      <c r="C850" s="34" t="n">
        <v>45510</v>
      </c>
      <c r="D850" s="15" t="n">
        <v>7.93</v>
      </c>
      <c r="E850" s="15" t="n">
        <v>16.09</v>
      </c>
      <c r="F850" s="34" t="n">
        <v>45510</v>
      </c>
      <c r="G850" s="15" t="n">
        <v>48.55</v>
      </c>
      <c r="H850" s="15" t="n">
        <v>74.92</v>
      </c>
      <c r="I850" s="34" t="n">
        <v>45510</v>
      </c>
      <c r="J850" s="15" t="n">
        <v>5.5</v>
      </c>
      <c r="K850" s="15" t="n">
        <v>11.84</v>
      </c>
      <c r="L850" s="34" t="n">
        <v>45510</v>
      </c>
      <c r="M850" s="15" t="n">
        <v>21.05</v>
      </c>
      <c r="N850" s="15" t="n">
        <v>28.76</v>
      </c>
      <c r="O850" s="34" t="n">
        <v>45510</v>
      </c>
      <c r="P850" s="15" t="n">
        <v>55.25</v>
      </c>
      <c r="Q850" s="15" t="n">
        <v>68.04000000000001</v>
      </c>
      <c r="R850" s="34" t="n">
        <v>45510</v>
      </c>
      <c r="S850" s="15" t="n">
        <v>6.48</v>
      </c>
      <c r="V850" s="15" t="n">
        <v>23.25</v>
      </c>
      <c r="W850" s="15" t="n">
        <v>20.22</v>
      </c>
      <c r="X850" s="34" t="n">
        <v>45510</v>
      </c>
    </row>
    <row r="851">
      <c r="A851" s="34" t="n">
        <v>45511</v>
      </c>
      <c r="B851" s="266" t="n">
        <v>1.089087009429932</v>
      </c>
      <c r="C851" s="34" t="n">
        <v>45511</v>
      </c>
      <c r="D851" s="15" t="n">
        <v>7.65</v>
      </c>
      <c r="E851" s="15" t="n">
        <v>15.82</v>
      </c>
      <c r="F851" s="34" t="n">
        <v>45511</v>
      </c>
      <c r="G851" s="15" t="n">
        <v>47.6</v>
      </c>
      <c r="H851" s="15" t="n">
        <v>74.48999999999999</v>
      </c>
      <c r="I851" s="34" t="n">
        <v>45511</v>
      </c>
      <c r="J851" s="15" t="n">
        <v>5.52</v>
      </c>
      <c r="K851" s="15" t="n">
        <v>11.75</v>
      </c>
      <c r="L851" s="34" t="n">
        <v>45511</v>
      </c>
      <c r="M851" s="15" t="n">
        <v>21</v>
      </c>
      <c r="N851" s="15" t="n">
        <v>28.26</v>
      </c>
      <c r="O851" s="34" t="n">
        <v>45511</v>
      </c>
      <c r="P851" s="15" t="n">
        <v>55.45</v>
      </c>
      <c r="Q851" s="15" t="n">
        <v>66.63</v>
      </c>
      <c r="R851" s="34" t="n">
        <v>45511</v>
      </c>
      <c r="S851" s="15" t="n">
        <v>6.35</v>
      </c>
      <c r="V851" s="15" t="n">
        <v>23.3</v>
      </c>
      <c r="W851" s="15" t="n">
        <v>20.1</v>
      </c>
      <c r="X851" s="34" t="n">
        <v>45511</v>
      </c>
    </row>
    <row r="852">
      <c r="A852" s="34" t="n">
        <v>45512</v>
      </c>
      <c r="B852" s="266" t="n">
        <v>1.084957957267761</v>
      </c>
      <c r="C852" s="34" t="n">
        <v>45512</v>
      </c>
      <c r="D852" s="15" t="n">
        <v>7.76</v>
      </c>
      <c r="E852" s="15" t="n">
        <v>15.89</v>
      </c>
      <c r="F852" s="34" t="n">
        <v>45512</v>
      </c>
      <c r="G852" s="15" t="n">
        <v>47</v>
      </c>
      <c r="H852" s="15" t="n">
        <v>72.81</v>
      </c>
      <c r="I852" s="34" t="n">
        <v>45512</v>
      </c>
      <c r="J852" s="15" t="n">
        <v>5.46</v>
      </c>
      <c r="K852" s="15" t="n">
        <v>11.66</v>
      </c>
      <c r="L852" s="34" t="n">
        <v>45512</v>
      </c>
      <c r="M852" s="15" t="n">
        <v>21</v>
      </c>
      <c r="N852" s="15" t="n">
        <v>27.9</v>
      </c>
      <c r="O852" s="34" t="n">
        <v>45512</v>
      </c>
      <c r="P852" s="15" t="n">
        <v>55.35</v>
      </c>
      <c r="Q852" s="15" t="n">
        <v>66.02</v>
      </c>
      <c r="R852" s="34" t="n">
        <v>45512</v>
      </c>
      <c r="S852" s="15" t="n">
        <v>6.19</v>
      </c>
      <c r="V852" s="15" t="n">
        <v>23.2</v>
      </c>
      <c r="W852" s="15" t="n">
        <v>20.01</v>
      </c>
      <c r="X852" s="34" t="n">
        <v>45512</v>
      </c>
    </row>
    <row r="853">
      <c r="A853" s="34" t="n">
        <v>45513</v>
      </c>
      <c r="B853" s="266" t="n">
        <v>1.086197972297668</v>
      </c>
      <c r="C853" s="34" t="n">
        <v>45513</v>
      </c>
      <c r="D853" s="15" t="n">
        <v>7.6</v>
      </c>
      <c r="E853" s="15" t="n">
        <v>15.43</v>
      </c>
      <c r="F853" s="34" t="n">
        <v>45513</v>
      </c>
      <c r="G853" s="15" t="n">
        <v>45.25</v>
      </c>
      <c r="H853" s="15" t="n">
        <v>70.56</v>
      </c>
      <c r="I853" s="34" t="n">
        <v>45513</v>
      </c>
      <c r="J853" s="15" t="n">
        <v>5.43</v>
      </c>
      <c r="K853" s="15" t="n">
        <v>11.52</v>
      </c>
      <c r="L853" s="34" t="n">
        <v>45513</v>
      </c>
      <c r="M853" s="15" t="n">
        <v>20.85</v>
      </c>
      <c r="N853" s="15" t="n">
        <v>27.39</v>
      </c>
      <c r="O853" s="34" t="n">
        <v>45513</v>
      </c>
      <c r="P853" s="15" t="n">
        <v>54.4</v>
      </c>
      <c r="Q853" s="15" t="n">
        <v>64.83</v>
      </c>
      <c r="R853" s="34" t="n">
        <v>45513</v>
      </c>
      <c r="S853" s="15" t="n">
        <v>6.21</v>
      </c>
      <c r="V853" s="15" t="n">
        <v>23.2</v>
      </c>
      <c r="W853" s="15" t="n">
        <v>19.56</v>
      </c>
      <c r="X853" s="34" t="n">
        <v>45513</v>
      </c>
    </row>
    <row r="854">
      <c r="A854" s="34" t="n">
        <v>45516</v>
      </c>
      <c r="B854" s="266" t="n">
        <v>1.087875008583069</v>
      </c>
      <c r="C854" s="34" t="n">
        <v>45516</v>
      </c>
      <c r="D854" s="15" t="n">
        <v>7.6</v>
      </c>
      <c r="E854" s="15" t="n">
        <v>15.34</v>
      </c>
      <c r="F854" s="34" t="n">
        <v>45516</v>
      </c>
      <c r="G854" s="15" t="n">
        <v>45.2</v>
      </c>
      <c r="H854" s="15" t="n">
        <v>69.11</v>
      </c>
      <c r="I854" s="34" t="n">
        <v>45516</v>
      </c>
      <c r="J854" s="15" t="n">
        <v>5.52</v>
      </c>
      <c r="K854" s="15" t="n">
        <v>11.46</v>
      </c>
      <c r="L854" s="34" t="n">
        <v>45516</v>
      </c>
      <c r="M854" s="15" t="n">
        <v>20.65</v>
      </c>
      <c r="N854" s="15" t="n">
        <v>27.1</v>
      </c>
      <c r="O854" s="34" t="n">
        <v>45516</v>
      </c>
      <c r="P854" s="15" t="n">
        <v>52</v>
      </c>
      <c r="Q854" s="15" t="n">
        <v>63.95</v>
      </c>
      <c r="R854" s="34" t="n">
        <v>45516</v>
      </c>
      <c r="S854" s="15" t="n">
        <v>5.93</v>
      </c>
      <c r="V854" s="15" t="n">
        <v>22.65</v>
      </c>
      <c r="W854" s="15" t="n">
        <v>19.9</v>
      </c>
      <c r="X854" s="34" t="n">
        <v>45516</v>
      </c>
    </row>
    <row r="855">
      <c r="A855" s="34" t="n">
        <v>45517</v>
      </c>
      <c r="B855" s="266" t="n">
        <v>1.085934996604919</v>
      </c>
      <c r="C855" s="34" t="n">
        <v>45517</v>
      </c>
      <c r="D855" s="15" t="n">
        <v>7.55</v>
      </c>
      <c r="E855" s="15" t="n">
        <v>15.35</v>
      </c>
      <c r="F855" s="34" t="n">
        <v>45517</v>
      </c>
      <c r="G855" s="15" t="n">
        <v>44</v>
      </c>
      <c r="H855" s="15" t="n">
        <v>69.22</v>
      </c>
      <c r="I855" s="34" t="n">
        <v>45517</v>
      </c>
      <c r="J855" s="15" t="n">
        <v>5.53</v>
      </c>
      <c r="K855" s="15" t="n">
        <v>11.51</v>
      </c>
      <c r="L855" s="34" t="n">
        <v>45517</v>
      </c>
      <c r="M855" s="15" t="n">
        <v>20.9</v>
      </c>
      <c r="N855" s="15" t="n">
        <v>27.67</v>
      </c>
      <c r="O855" s="34" t="n">
        <v>45517</v>
      </c>
      <c r="P855" s="15" t="n">
        <v>52.45</v>
      </c>
      <c r="Q855" s="15" t="n">
        <v>64.17</v>
      </c>
      <c r="R855" s="34" t="n">
        <v>45517</v>
      </c>
      <c r="S855" s="15" t="n">
        <v>6.02</v>
      </c>
      <c r="V855" s="15" t="n">
        <v>22.95</v>
      </c>
      <c r="W855" s="15" t="n">
        <v>20.01</v>
      </c>
      <c r="X855" s="34" t="n">
        <v>45517</v>
      </c>
    </row>
    <row r="856">
      <c r="A856" s="34" t="n">
        <v>45518</v>
      </c>
      <c r="B856" s="266" t="n">
        <v>1.088662981987</v>
      </c>
      <c r="C856" s="34" t="n">
        <v>45518</v>
      </c>
      <c r="D856" s="15" t="n">
        <v>7.29</v>
      </c>
      <c r="E856" s="15" t="n">
        <v>14.86</v>
      </c>
      <c r="F856" s="34" t="n">
        <v>45518</v>
      </c>
      <c r="G856" s="15" t="n">
        <v>42.25</v>
      </c>
      <c r="H856" s="15" t="n">
        <v>67</v>
      </c>
      <c r="I856" s="34" t="n">
        <v>45518</v>
      </c>
      <c r="J856" s="15" t="n">
        <v>5.43</v>
      </c>
      <c r="K856" s="15" t="n">
        <v>11.33</v>
      </c>
      <c r="L856" s="34" t="n">
        <v>45518</v>
      </c>
      <c r="M856" s="15" t="n">
        <v>20.25</v>
      </c>
      <c r="N856" s="15" t="n">
        <v>26.97</v>
      </c>
      <c r="O856" s="34" t="n">
        <v>45518</v>
      </c>
      <c r="P856" s="15" t="n">
        <v>50.75</v>
      </c>
      <c r="Q856" s="15" t="n">
        <v>63.24</v>
      </c>
      <c r="R856" s="34" t="n">
        <v>45518</v>
      </c>
      <c r="S856" s="15" t="n">
        <v>6</v>
      </c>
      <c r="V856" s="15" t="n">
        <v>22.95</v>
      </c>
      <c r="W856" s="15" t="n">
        <v>19.77</v>
      </c>
      <c r="X856" s="34" t="n">
        <v>45518</v>
      </c>
    </row>
    <row r="857">
      <c r="A857" s="34" t="n">
        <v>45519</v>
      </c>
      <c r="B857" s="266" t="n">
        <v>1.091369986534119</v>
      </c>
      <c r="C857" s="34" t="n">
        <v>45519</v>
      </c>
      <c r="D857" s="15" t="n">
        <v>7.26</v>
      </c>
      <c r="E857" s="15" t="n">
        <v>14.7</v>
      </c>
      <c r="F857" s="34" t="n">
        <v>45519</v>
      </c>
      <c r="G857" s="15" t="n">
        <v>41.85</v>
      </c>
      <c r="H857" s="15" t="n">
        <v>67.01000000000001</v>
      </c>
      <c r="I857" s="34" t="n">
        <v>45519</v>
      </c>
      <c r="J857" s="15" t="n">
        <v>5.49</v>
      </c>
      <c r="K857" s="15" t="n">
        <v>11.27</v>
      </c>
      <c r="L857" s="34" t="n">
        <v>45519</v>
      </c>
      <c r="M857" s="15" t="n">
        <v>20.05</v>
      </c>
      <c r="N857" s="15" t="n">
        <v>27</v>
      </c>
      <c r="O857" s="34" t="n">
        <v>45519</v>
      </c>
      <c r="P857" s="15" t="n">
        <v>50.75</v>
      </c>
      <c r="Q857" s="15" t="n">
        <v>63.9</v>
      </c>
      <c r="R857" s="34" t="n">
        <v>45519</v>
      </c>
      <c r="S857" s="15" t="n">
        <v>6.22</v>
      </c>
      <c r="V857" s="15" t="n">
        <v>22.65</v>
      </c>
      <c r="W857" s="15" t="n">
        <v>19.96</v>
      </c>
      <c r="X857" s="34" t="n">
        <v>45519</v>
      </c>
    </row>
    <row r="858">
      <c r="A858" s="34" t="n">
        <v>45520</v>
      </c>
      <c r="B858" s="266" t="n">
        <v>1.08672297000885</v>
      </c>
      <c r="C858" s="34" t="n">
        <v>45520</v>
      </c>
      <c r="D858" s="15" t="n">
        <v>7.36</v>
      </c>
      <c r="E858" s="15" t="n">
        <v>14.68</v>
      </c>
      <c r="F858" s="34" t="n">
        <v>45520</v>
      </c>
      <c r="G858" s="15" t="n">
        <v>43.1</v>
      </c>
      <c r="H858" s="15" t="n">
        <v>66.61</v>
      </c>
      <c r="I858" s="34" t="n">
        <v>45520</v>
      </c>
      <c r="J858" s="15" t="n">
        <v>5.45</v>
      </c>
      <c r="K858" s="15" t="n">
        <v>11.02</v>
      </c>
      <c r="L858" s="34" t="n">
        <v>45520</v>
      </c>
      <c r="M858" s="15" t="n">
        <v>20.05</v>
      </c>
      <c r="N858" s="15" t="n">
        <v>26.7</v>
      </c>
      <c r="O858" s="34" t="n">
        <v>45520</v>
      </c>
      <c r="P858" s="15" t="n">
        <v>50.15</v>
      </c>
      <c r="Q858" s="15" t="n">
        <v>63.49</v>
      </c>
      <c r="R858" s="34" t="n">
        <v>45520</v>
      </c>
      <c r="S858" s="15" t="n">
        <v>6.69</v>
      </c>
      <c r="V858" s="15" t="n">
        <v>22.55</v>
      </c>
      <c r="W858" s="15" t="n">
        <v>20.05</v>
      </c>
      <c r="X858" s="34" t="n">
        <v>45520</v>
      </c>
    </row>
    <row r="859">
      <c r="A859" s="34" t="n">
        <v>45523</v>
      </c>
      <c r="B859" s="266" t="n">
        <v>1.087823033332825</v>
      </c>
      <c r="C859" s="34" t="n">
        <v>45523</v>
      </c>
      <c r="D859" s="15" t="n">
        <v>7.25</v>
      </c>
      <c r="E859" s="15" t="n">
        <v>14.31</v>
      </c>
      <c r="F859" s="34" t="n">
        <v>45523</v>
      </c>
      <c r="G859" s="15" t="n">
        <v>43.15</v>
      </c>
      <c r="H859" s="15" t="n">
        <v>66.08</v>
      </c>
      <c r="I859" s="34" t="n">
        <v>45523</v>
      </c>
      <c r="J859" s="15" t="n">
        <v>5.53</v>
      </c>
      <c r="K859" s="15" t="n">
        <v>11.04</v>
      </c>
      <c r="L859" s="34" t="n">
        <v>45523</v>
      </c>
      <c r="M859" s="15" t="n">
        <v>20.2</v>
      </c>
      <c r="N859" s="15" t="n">
        <v>26.32</v>
      </c>
      <c r="O859" s="34" t="n">
        <v>45523</v>
      </c>
      <c r="P859" s="15" t="n">
        <v>50.15</v>
      </c>
      <c r="Q859" s="15" t="n">
        <v>63.4</v>
      </c>
      <c r="R859" s="34" t="n">
        <v>45523</v>
      </c>
      <c r="S859" s="15" t="n">
        <v>6.22</v>
      </c>
      <c r="V859" s="15" t="n">
        <v>22.45</v>
      </c>
      <c r="W859" s="15" t="n">
        <v>20.62</v>
      </c>
      <c r="X859" s="34" t="n">
        <v>45523</v>
      </c>
    </row>
    <row r="860">
      <c r="A860" s="34" t="n">
        <v>45524</v>
      </c>
      <c r="B860" s="266" t="n">
        <v>1.08710503578186</v>
      </c>
      <c r="C860" s="34" t="n">
        <v>45524</v>
      </c>
      <c r="D860" s="15" t="n">
        <v>7.12</v>
      </c>
      <c r="E860" s="15" t="n">
        <v>13.86</v>
      </c>
      <c r="F860" s="34" t="n">
        <v>45524</v>
      </c>
      <c r="G860" s="15" t="n">
        <v>41.45</v>
      </c>
      <c r="H860" s="15" t="n">
        <v>64.39</v>
      </c>
      <c r="I860" s="34" t="n">
        <v>45524</v>
      </c>
      <c r="J860" s="15" t="n">
        <v>5.43</v>
      </c>
      <c r="K860" s="15" t="n">
        <v>10.81</v>
      </c>
      <c r="L860" s="34" t="n">
        <v>45524</v>
      </c>
      <c r="M860" s="15" t="n">
        <v>20.55</v>
      </c>
      <c r="N860" s="15" t="n">
        <v>26.14</v>
      </c>
      <c r="O860" s="34" t="n">
        <v>45524</v>
      </c>
      <c r="P860" s="15" t="n">
        <v>49.45</v>
      </c>
      <c r="Q860" s="15" t="n">
        <v>62.18</v>
      </c>
      <c r="R860" s="34" t="n">
        <v>45524</v>
      </c>
      <c r="S860" s="15" t="n">
        <v>6.12</v>
      </c>
      <c r="V860" s="15" t="n">
        <v>23.4</v>
      </c>
      <c r="W860" s="15" t="n">
        <v>21.27</v>
      </c>
      <c r="X860" s="34" t="n">
        <v>45524</v>
      </c>
    </row>
    <row r="861">
      <c r="A861" s="34" t="n">
        <v>45525</v>
      </c>
      <c r="B861" s="266" t="n">
        <v>1.091691970825195</v>
      </c>
      <c r="C861" s="34" t="n">
        <v>45525</v>
      </c>
      <c r="D861" s="15" t="n">
        <v>6.95</v>
      </c>
      <c r="E861" s="15" t="n">
        <v>13.73</v>
      </c>
      <c r="F861" s="34" t="n">
        <v>45525</v>
      </c>
      <c r="G861" s="15" t="n">
        <v>40</v>
      </c>
      <c r="H861" s="15" t="n">
        <v>63</v>
      </c>
      <c r="I861" s="34" t="n">
        <v>45525</v>
      </c>
      <c r="J861" s="15" t="n">
        <v>5.43</v>
      </c>
      <c r="K861" s="15" t="n">
        <v>10.88</v>
      </c>
      <c r="L861" s="34" t="n">
        <v>45525</v>
      </c>
      <c r="M861" s="15" t="n">
        <v>21.15</v>
      </c>
      <c r="N861" s="15" t="n">
        <v>26.81</v>
      </c>
      <c r="O861" s="34" t="n">
        <v>45525</v>
      </c>
      <c r="P861" s="15" t="n">
        <v>49.6</v>
      </c>
      <c r="Q861" s="15" t="n">
        <v>61.34</v>
      </c>
      <c r="R861" s="34" t="n">
        <v>45525</v>
      </c>
      <c r="S861" s="15" t="n">
        <v>6.3</v>
      </c>
      <c r="V861" s="15" t="n">
        <v>23.1</v>
      </c>
      <c r="W861" s="15" t="n">
        <v>20.93</v>
      </c>
      <c r="X861" s="34" t="n">
        <v>45525</v>
      </c>
    </row>
    <row r="862">
      <c r="A862" s="34" t="n">
        <v>45526</v>
      </c>
      <c r="B862" s="266" t="n">
        <v>1.092425942420959</v>
      </c>
      <c r="C862" s="34" t="n">
        <v>45526</v>
      </c>
      <c r="D862" s="15" t="n">
        <v>6.86</v>
      </c>
      <c r="E862" s="15" t="n">
        <v>13.3</v>
      </c>
      <c r="F862" s="34" t="n">
        <v>45526</v>
      </c>
      <c r="G862" s="15" t="n">
        <v>39.55</v>
      </c>
      <c r="H862" s="15" t="n">
        <v>61.23</v>
      </c>
      <c r="I862" s="34" t="n">
        <v>45526</v>
      </c>
      <c r="J862" s="15" t="n">
        <v>5.32</v>
      </c>
      <c r="K862" s="15" t="n">
        <v>10.6</v>
      </c>
      <c r="L862" s="34" t="n">
        <v>45526</v>
      </c>
      <c r="M862" s="15" t="n">
        <v>20.4</v>
      </c>
      <c r="N862" s="15" t="n">
        <v>25.8</v>
      </c>
      <c r="O862" s="34" t="n">
        <v>45526</v>
      </c>
      <c r="P862" s="15" t="n">
        <v>49.15</v>
      </c>
      <c r="Q862" s="15" t="n">
        <v>60.27</v>
      </c>
      <c r="R862" s="34" t="n">
        <v>45526</v>
      </c>
      <c r="S862" s="15" t="n">
        <v>6.31</v>
      </c>
      <c r="V862" s="15" t="n">
        <v>23.5</v>
      </c>
      <c r="W862" s="15" t="n">
        <v>21.16</v>
      </c>
      <c r="X862" s="34" t="n">
        <v>45526</v>
      </c>
    </row>
    <row r="863">
      <c r="A863" s="34" t="n">
        <v>45527</v>
      </c>
      <c r="B863" s="266" t="n">
        <v>1.091052055358887</v>
      </c>
      <c r="C863" s="34" t="n">
        <v>45527</v>
      </c>
      <c r="D863" s="15" t="n">
        <v>6.92</v>
      </c>
      <c r="E863" s="15" t="n">
        <v>13.18</v>
      </c>
      <c r="F863" s="34" t="n">
        <v>45527</v>
      </c>
      <c r="G863" s="15" t="n">
        <v>39.3</v>
      </c>
      <c r="H863" s="15" t="n">
        <v>60.13</v>
      </c>
      <c r="I863" s="34" t="n">
        <v>45527</v>
      </c>
      <c r="J863" s="15" t="n">
        <v>5.25</v>
      </c>
      <c r="K863" s="15" t="n">
        <v>10.39</v>
      </c>
      <c r="L863" s="34" t="n">
        <v>45527</v>
      </c>
      <c r="M863" s="15" t="n">
        <v>19.42</v>
      </c>
      <c r="N863" s="15" t="n">
        <v>25.11</v>
      </c>
      <c r="O863" s="34" t="n">
        <v>45527</v>
      </c>
      <c r="P863" s="15" t="n">
        <v>49</v>
      </c>
      <c r="Q863" s="15" t="n">
        <v>60.95</v>
      </c>
      <c r="R863" s="34" t="n">
        <v>45527</v>
      </c>
      <c r="S863" s="15" t="n">
        <v>6.5</v>
      </c>
      <c r="V863" s="15" t="n">
        <v>23.7</v>
      </c>
      <c r="W863" s="15" t="n">
        <v>21</v>
      </c>
      <c r="X863" s="34" t="n">
        <v>45527</v>
      </c>
    </row>
    <row r="864">
      <c r="A864" s="34" t="n">
        <v>45530</v>
      </c>
      <c r="B864" s="266" t="n">
        <v>1.094154953956604</v>
      </c>
      <c r="C864" s="34" t="n">
        <v>45530</v>
      </c>
      <c r="D864" s="15" t="n">
        <v>7.1</v>
      </c>
      <c r="E864" s="15" t="n">
        <v>13.46</v>
      </c>
      <c r="F864" s="34" t="n">
        <v>45530</v>
      </c>
      <c r="G864" s="15" t="n">
        <v>39.9</v>
      </c>
      <c r="H864" s="15" t="n">
        <v>60.89</v>
      </c>
      <c r="I864" s="34" t="n">
        <v>45530</v>
      </c>
      <c r="J864" s="15" t="n">
        <v>5.37</v>
      </c>
      <c r="K864" s="15" t="n">
        <v>10.42</v>
      </c>
      <c r="L864" s="34" t="n">
        <v>45530</v>
      </c>
      <c r="M864" s="15" t="n">
        <v>20.2</v>
      </c>
      <c r="N864" s="15" t="n">
        <v>25.68</v>
      </c>
      <c r="O864" s="34" t="n">
        <v>45530</v>
      </c>
      <c r="P864" s="15" t="n">
        <v>49.7</v>
      </c>
      <c r="Q864" s="15" t="n">
        <v>60.8</v>
      </c>
      <c r="R864" s="34" t="n">
        <v>45530</v>
      </c>
      <c r="S864" s="15" t="n">
        <v>5.99</v>
      </c>
      <c r="V864" s="15" t="n">
        <v>23.65</v>
      </c>
      <c r="W864" s="15" t="n">
        <v>21</v>
      </c>
      <c r="X864" s="34" t="n">
        <v>45530</v>
      </c>
    </row>
    <row r="865">
      <c r="A865" s="34" t="n">
        <v>45531</v>
      </c>
      <c r="B865" s="266" t="n">
        <v>1.094954967498779</v>
      </c>
      <c r="C865" s="34" t="n">
        <v>45531</v>
      </c>
      <c r="D865" s="15" t="n">
        <v>7.16</v>
      </c>
      <c r="E865" s="15" t="n">
        <v>13.35</v>
      </c>
      <c r="F865" s="34" t="n">
        <v>45531</v>
      </c>
      <c r="G865" s="15" t="n">
        <v>39.75</v>
      </c>
      <c r="H865" s="15" t="n">
        <v>60.3</v>
      </c>
      <c r="I865" s="34" t="n">
        <v>45531</v>
      </c>
      <c r="J865" s="15" t="n">
        <v>5.29</v>
      </c>
      <c r="K865" s="15" t="n">
        <v>10.16</v>
      </c>
      <c r="L865" s="34" t="n">
        <v>45531</v>
      </c>
      <c r="M865" s="15" t="n">
        <v>20.25</v>
      </c>
      <c r="N865" s="15" t="n">
        <v>25.54</v>
      </c>
      <c r="O865" s="34" t="n">
        <v>45531</v>
      </c>
      <c r="P865" s="15" t="n">
        <v>49</v>
      </c>
      <c r="Q865" s="15" t="n">
        <v>59.68</v>
      </c>
      <c r="R865" s="34" t="n">
        <v>45531</v>
      </c>
      <c r="S865" s="15" t="n">
        <v>6.3</v>
      </c>
      <c r="V865" s="15" t="n">
        <v>23.35</v>
      </c>
      <c r="W865" s="15" t="n">
        <v>20.21</v>
      </c>
      <c r="X865" s="34" t="n">
        <v>45531</v>
      </c>
    </row>
    <row r="866">
      <c r="A866" s="34" t="n">
        <v>45532</v>
      </c>
      <c r="B866" s="266" t="n">
        <v>1.095074057579041</v>
      </c>
      <c r="C866" s="34" t="n">
        <v>45532</v>
      </c>
      <c r="D866" s="15" t="n">
        <v>7.09</v>
      </c>
      <c r="E866" s="15" t="n">
        <v>13.41</v>
      </c>
      <c r="F866" s="34" t="n">
        <v>45532</v>
      </c>
      <c r="G866" s="15" t="n">
        <v>39.95</v>
      </c>
      <c r="H866" s="15" t="n">
        <v>60.7</v>
      </c>
      <c r="I866" s="34" t="n">
        <v>45532</v>
      </c>
      <c r="J866" s="15" t="n">
        <v>5.27</v>
      </c>
      <c r="K866" s="15" t="n">
        <v>10.35</v>
      </c>
      <c r="L866" s="34" t="n">
        <v>45532</v>
      </c>
      <c r="M866" s="15" t="n">
        <v>19.9</v>
      </c>
      <c r="N866" s="15" t="n">
        <v>25.32</v>
      </c>
      <c r="O866" s="34" t="n">
        <v>45532</v>
      </c>
      <c r="P866" s="15" t="n">
        <v>48.75</v>
      </c>
      <c r="Q866" s="15" t="n">
        <v>60.41</v>
      </c>
      <c r="R866" s="34" t="n">
        <v>45532</v>
      </c>
      <c r="S866" s="15" t="n">
        <v>6.29</v>
      </c>
      <c r="V866" s="15" t="n">
        <v>23.35</v>
      </c>
      <c r="W866" s="15" t="n">
        <v>20.31</v>
      </c>
      <c r="X866" s="34" t="n">
        <v>45532</v>
      </c>
    </row>
    <row r="867">
      <c r="A867" s="34" t="n">
        <v>45533</v>
      </c>
      <c r="B867" s="266" t="n">
        <v>1.094665050506592</v>
      </c>
      <c r="C867" s="34" t="n">
        <v>45533</v>
      </c>
      <c r="D867" s="15" t="n">
        <v>7.27</v>
      </c>
      <c r="E867" s="15" t="n">
        <v>13.96</v>
      </c>
      <c r="F867" s="34" t="n">
        <v>45533</v>
      </c>
      <c r="G867" s="15" t="n">
        <v>40.65</v>
      </c>
      <c r="H867" s="15" t="n">
        <v>62.93</v>
      </c>
      <c r="I867" s="34" t="n">
        <v>45533</v>
      </c>
      <c r="J867" s="15" t="n">
        <v>5.34</v>
      </c>
      <c r="K867" s="15" t="n">
        <v>10.57</v>
      </c>
      <c r="L867" s="34" t="n">
        <v>45533</v>
      </c>
      <c r="M867" s="15" t="n">
        <v>19.72</v>
      </c>
      <c r="N867" s="15" t="n">
        <v>25.57</v>
      </c>
      <c r="O867" s="34" t="n">
        <v>45533</v>
      </c>
      <c r="P867" s="15" t="n">
        <v>46.4</v>
      </c>
      <c r="Q867" s="15" t="n">
        <v>59.48</v>
      </c>
      <c r="R867" s="34" t="n">
        <v>45533</v>
      </c>
      <c r="S867" s="15" t="n">
        <v>6.37</v>
      </c>
      <c r="V867" s="15" t="n">
        <v>23.5</v>
      </c>
      <c r="W867" s="15" t="n">
        <v>20.75</v>
      </c>
      <c r="X867" s="34" t="n">
        <v>45533</v>
      </c>
    </row>
    <row r="868">
      <c r="A868" s="34" t="n">
        <v>45534</v>
      </c>
      <c r="B868" s="266" t="n">
        <v>1.09866201877594</v>
      </c>
      <c r="C868" s="34" t="n">
        <v>45534</v>
      </c>
      <c r="D868" s="15" t="n">
        <v>7.07</v>
      </c>
      <c r="E868" s="15" t="n">
        <v>14.09</v>
      </c>
      <c r="F868" s="34" t="n">
        <v>45534</v>
      </c>
      <c r="G868" s="15" t="n">
        <v>41.5</v>
      </c>
      <c r="H868" s="15" t="n">
        <v>63.67</v>
      </c>
      <c r="I868" s="34" t="n">
        <v>45534</v>
      </c>
      <c r="J868" s="15" t="n">
        <v>5.44</v>
      </c>
      <c r="K868" s="15" t="n">
        <v>10.74</v>
      </c>
      <c r="L868" s="34" t="n">
        <v>45534</v>
      </c>
      <c r="M868" s="15" t="n">
        <v>19.72</v>
      </c>
      <c r="N868" s="15" t="n">
        <v>26.28</v>
      </c>
      <c r="O868" s="34" t="n">
        <v>45534</v>
      </c>
      <c r="P868" s="15" t="n">
        <v>45.75</v>
      </c>
      <c r="Q868" s="15" t="n">
        <v>61.01</v>
      </c>
      <c r="R868" s="34" t="n">
        <v>45534</v>
      </c>
      <c r="S868" s="15" t="n">
        <v>6.43</v>
      </c>
      <c r="V868" s="15" t="n">
        <v>24</v>
      </c>
      <c r="W868" s="15" t="n">
        <v>21.38</v>
      </c>
      <c r="X868" s="34" t="n">
        <v>45534</v>
      </c>
    </row>
    <row r="869">
      <c r="A869" s="34" t="n">
        <v>45537</v>
      </c>
      <c r="B869" s="266" t="n">
        <v>1.099230051040649</v>
      </c>
      <c r="C869" s="34" t="n">
        <v>45537</v>
      </c>
      <c r="D869" s="15" t="n">
        <v>6.58</v>
      </c>
      <c r="E869" s="15" t="n">
        <v>13.18</v>
      </c>
      <c r="F869" s="34" t="n">
        <v>45537</v>
      </c>
      <c r="G869" s="15" t="n">
        <v>40</v>
      </c>
      <c r="H869" s="15" t="n">
        <v>61.22</v>
      </c>
      <c r="I869" s="34" t="n">
        <v>45537</v>
      </c>
      <c r="J869" s="15" t="n">
        <v>5.12</v>
      </c>
      <c r="K869" s="15" t="n">
        <v>10.47</v>
      </c>
      <c r="L869" s="34" t="n">
        <v>45537</v>
      </c>
      <c r="M869" s="15" t="n">
        <v>18.64</v>
      </c>
      <c r="N869" s="15" t="n">
        <v>24.95</v>
      </c>
      <c r="O869" s="34" t="n">
        <v>45537</v>
      </c>
      <c r="P869" s="15" t="n">
        <v>43.7</v>
      </c>
      <c r="Q869" s="15" t="n">
        <v>58.93</v>
      </c>
      <c r="R869" s="34" t="n">
        <v>45537</v>
      </c>
      <c r="S869" s="15" t="n">
        <v>6.2</v>
      </c>
      <c r="V869" s="15" t="n">
        <v>24.05</v>
      </c>
      <c r="W869" s="15" t="n">
        <v>20.73</v>
      </c>
      <c r="X869" s="34" t="n">
        <v>45537</v>
      </c>
    </row>
    <row r="870">
      <c r="A870" s="34" t="n">
        <v>45538</v>
      </c>
      <c r="B870" s="266" t="n">
        <v>1.095303058624268</v>
      </c>
      <c r="C870" s="34" t="n">
        <v>45538</v>
      </c>
      <c r="D870" s="15" t="n">
        <v>6.7</v>
      </c>
      <c r="E870" s="15" t="n">
        <v>13.18</v>
      </c>
      <c r="F870" s="34" t="n">
        <v>45538</v>
      </c>
      <c r="G870" s="15" t="n">
        <v>40.65</v>
      </c>
      <c r="H870" s="15" t="n">
        <v>62.22</v>
      </c>
      <c r="I870" s="34" t="n">
        <v>45538</v>
      </c>
      <c r="J870" s="15" t="n">
        <v>5.27</v>
      </c>
      <c r="K870" s="15" t="n">
        <v>10.69</v>
      </c>
      <c r="L870" s="34" t="n">
        <v>45538</v>
      </c>
      <c r="M870" s="15" t="n">
        <v>19.28</v>
      </c>
      <c r="N870" s="15" t="n">
        <v>26.15</v>
      </c>
      <c r="O870" s="34" t="n">
        <v>45538</v>
      </c>
      <c r="P870" s="15" t="n">
        <v>43.4</v>
      </c>
      <c r="Q870" s="15" t="n">
        <v>59.14</v>
      </c>
      <c r="R870" s="34" t="n">
        <v>45538</v>
      </c>
      <c r="S870" s="15" t="n">
        <v>6.1</v>
      </c>
      <c r="V870" s="15" t="n">
        <v>24.05</v>
      </c>
      <c r="W870" s="15" t="n">
        <v>21</v>
      </c>
      <c r="X870" s="34" t="n">
        <v>45538</v>
      </c>
    </row>
    <row r="871">
      <c r="A871" s="34" t="n">
        <v>45539</v>
      </c>
      <c r="B871" s="266" t="n">
        <v>1.094771981239319</v>
      </c>
      <c r="C871" s="34" t="n">
        <v>45539</v>
      </c>
      <c r="D871" s="15" t="n">
        <v>6.53</v>
      </c>
      <c r="E871" s="15" t="n">
        <v>13.35</v>
      </c>
      <c r="F871" s="34" t="n">
        <v>45539</v>
      </c>
      <c r="G871" s="15" t="n">
        <v>40.3</v>
      </c>
      <c r="H871" s="15" t="n">
        <v>62.28</v>
      </c>
      <c r="I871" s="34" t="n">
        <v>45539</v>
      </c>
      <c r="J871" s="15" t="n">
        <v>5.22</v>
      </c>
      <c r="K871" s="15" t="n">
        <v>10.67</v>
      </c>
      <c r="L871" s="34" t="n">
        <v>45539</v>
      </c>
      <c r="M871" s="15" t="n">
        <v>18.98</v>
      </c>
      <c r="N871" s="15" t="n">
        <v>26.16</v>
      </c>
      <c r="O871" s="34" t="n">
        <v>45539</v>
      </c>
      <c r="P871" s="15" t="n">
        <v>42.5</v>
      </c>
      <c r="Q871" s="15" t="n">
        <v>58.55</v>
      </c>
      <c r="R871" s="34" t="n">
        <v>45539</v>
      </c>
      <c r="S871" s="15" t="n">
        <v>6.17</v>
      </c>
      <c r="V871" s="15" t="n">
        <v>23.7</v>
      </c>
      <c r="W871" s="15" t="n">
        <v>21.27</v>
      </c>
      <c r="X871" s="34" t="n">
        <v>45539</v>
      </c>
    </row>
    <row r="872">
      <c r="A872" s="34" t="n">
        <v>45540</v>
      </c>
      <c r="B872" s="266" t="n">
        <v>1.095960021018982</v>
      </c>
      <c r="C872" s="34" t="n">
        <v>45540</v>
      </c>
      <c r="D872" s="15" t="n">
        <v>6.65</v>
      </c>
      <c r="E872" s="15" t="n">
        <v>13.6</v>
      </c>
      <c r="F872" s="34" t="n">
        <v>45540</v>
      </c>
      <c r="G872" s="15" t="n">
        <v>40.2</v>
      </c>
      <c r="H872" s="15" t="n">
        <v>62.72</v>
      </c>
      <c r="I872" s="34" t="n">
        <v>45540</v>
      </c>
      <c r="J872" s="15" t="n">
        <v>5.23</v>
      </c>
      <c r="K872" s="15" t="n">
        <v>10.69</v>
      </c>
      <c r="L872" s="34" t="n">
        <v>45540</v>
      </c>
      <c r="M872" s="15" t="n">
        <v>19.52</v>
      </c>
      <c r="N872" s="15" t="n">
        <v>26.7</v>
      </c>
      <c r="O872" s="34" t="n">
        <v>45540</v>
      </c>
      <c r="P872" s="15" t="n">
        <v>42.55</v>
      </c>
      <c r="Q872" s="15" t="n">
        <v>58.73</v>
      </c>
      <c r="R872" s="34" t="n">
        <v>45540</v>
      </c>
      <c r="S872" s="15" t="n">
        <v>6.27</v>
      </c>
      <c r="V872" s="15" t="n">
        <v>23.55</v>
      </c>
      <c r="W872" s="15" t="n">
        <v>21.13</v>
      </c>
      <c r="X872" s="34" t="n">
        <v>45540</v>
      </c>
    </row>
    <row r="873">
      <c r="A873" s="34" t="n">
        <v>45544</v>
      </c>
      <c r="B873" s="266" t="n">
        <v>1.099578022956848</v>
      </c>
      <c r="C873" s="34" t="n">
        <v>45544</v>
      </c>
      <c r="D873" s="15" t="n">
        <v>6.63</v>
      </c>
      <c r="E873" s="15" t="n">
        <v>13.57</v>
      </c>
      <c r="F873" s="34" t="n">
        <v>45544</v>
      </c>
      <c r="G873" s="15" t="n">
        <v>39.25</v>
      </c>
      <c r="H873" s="15" t="n">
        <v>62.03</v>
      </c>
      <c r="I873" s="34" t="n">
        <v>45544</v>
      </c>
      <c r="J873" s="15" t="n">
        <v>5.08</v>
      </c>
      <c r="K873" s="15" t="n">
        <v>10.37</v>
      </c>
      <c r="L873" s="34" t="n">
        <v>45544</v>
      </c>
      <c r="M873" s="15" t="n">
        <v>19.26</v>
      </c>
      <c r="N873" s="15" t="n">
        <v>25.61</v>
      </c>
      <c r="O873" s="34" t="n">
        <v>45544</v>
      </c>
      <c r="P873" s="15" t="n">
        <v>40.65</v>
      </c>
      <c r="Q873" s="15" t="n">
        <v>55.59</v>
      </c>
      <c r="R873" s="34" t="n">
        <v>45544</v>
      </c>
      <c r="S873" s="15" t="n">
        <v>6.01</v>
      </c>
      <c r="V873" s="15" t="n">
        <v>22.85</v>
      </c>
      <c r="W873" s="15" t="n">
        <v>20.06</v>
      </c>
      <c r="X873" s="34" t="n">
        <v>45544</v>
      </c>
    </row>
    <row r="874">
      <c r="A874" s="34" t="n">
        <v>45545</v>
      </c>
      <c r="B874" s="266" t="n">
        <v>1.095790028572083</v>
      </c>
      <c r="C874" s="34" t="n">
        <v>45545</v>
      </c>
      <c r="D874" s="15" t="n">
        <v>6.57</v>
      </c>
      <c r="E874" s="15" t="n">
        <v>13.53</v>
      </c>
      <c r="F874" s="34" t="n">
        <v>45545</v>
      </c>
      <c r="G874" s="15" t="n">
        <v>39</v>
      </c>
      <c r="H874" s="15" t="n">
        <v>61.05</v>
      </c>
      <c r="I874" s="34" t="n">
        <v>45545</v>
      </c>
      <c r="J874" s="15" t="n">
        <v>5.11</v>
      </c>
      <c r="K874" s="15" t="n">
        <v>10.43</v>
      </c>
      <c r="L874" s="34" t="n">
        <v>45545</v>
      </c>
      <c r="M874" s="15" t="n">
        <v>18.56</v>
      </c>
      <c r="N874" s="15" t="n">
        <v>24.93</v>
      </c>
      <c r="O874" s="34" t="n">
        <v>45545</v>
      </c>
      <c r="P874" s="15" t="n">
        <v>40</v>
      </c>
      <c r="Q874" s="15" t="n">
        <v>55.08</v>
      </c>
      <c r="R874" s="34" t="n">
        <v>45545</v>
      </c>
      <c r="S874" s="15" t="n">
        <v>6.06</v>
      </c>
      <c r="V874" s="15" t="n">
        <v>22.85</v>
      </c>
      <c r="W874" s="15" t="n">
        <v>20.16</v>
      </c>
      <c r="X874" s="34" t="n">
        <v>45545</v>
      </c>
    </row>
    <row r="875">
      <c r="A875" s="34" t="n">
        <v>45546</v>
      </c>
      <c r="B875" s="266" t="n">
        <v>1.094709038734436</v>
      </c>
      <c r="C875" s="34" t="n">
        <v>45546</v>
      </c>
      <c r="D875" s="15" t="n">
        <v>6.8</v>
      </c>
      <c r="E875" s="15" t="n">
        <v>13.81</v>
      </c>
      <c r="F875" s="34" t="n">
        <v>45546</v>
      </c>
      <c r="G875" s="15" t="n">
        <v>40.4</v>
      </c>
      <c r="H875" s="15" t="n">
        <v>62.66</v>
      </c>
      <c r="I875" s="34" t="n">
        <v>45546</v>
      </c>
      <c r="J875" s="15" t="n">
        <v>5.18</v>
      </c>
      <c r="K875" s="15" t="n">
        <v>10.56</v>
      </c>
      <c r="L875" s="34" t="n">
        <v>45546</v>
      </c>
      <c r="M875" s="15" t="n">
        <v>21</v>
      </c>
      <c r="N875" s="15" t="n">
        <v>27.42</v>
      </c>
      <c r="O875" s="34" t="n">
        <v>45546</v>
      </c>
      <c r="P875" s="15" t="n">
        <v>40.1</v>
      </c>
      <c r="Q875" s="15" t="n">
        <v>55.18</v>
      </c>
      <c r="R875" s="34" t="n">
        <v>45546</v>
      </c>
      <c r="S875" s="15" t="n">
        <v>6.09</v>
      </c>
      <c r="V875" s="15" t="n">
        <v>22.85</v>
      </c>
      <c r="W875" s="15" t="n">
        <v>20.3</v>
      </c>
      <c r="X875" s="34" t="n">
        <v>45546</v>
      </c>
    </row>
    <row r="876">
      <c r="A876" s="34" t="n">
        <v>45547</v>
      </c>
      <c r="B876" s="266" t="n">
        <v>1.095039010047913</v>
      </c>
      <c r="C876" s="34" t="n">
        <v>45547</v>
      </c>
      <c r="D876" s="15" t="n">
        <v>6.66</v>
      </c>
      <c r="E876" s="15" t="n">
        <v>13.75</v>
      </c>
      <c r="F876" s="34" t="n">
        <v>45547</v>
      </c>
      <c r="G876" s="15" t="n">
        <v>42.15</v>
      </c>
      <c r="H876" s="15" t="n">
        <v>63.58</v>
      </c>
      <c r="I876" s="34" t="n">
        <v>45547</v>
      </c>
      <c r="J876" s="15" t="n">
        <v>5.17</v>
      </c>
      <c r="K876" s="15" t="n">
        <v>10.45</v>
      </c>
      <c r="L876" s="34" t="n">
        <v>45547</v>
      </c>
      <c r="M876" s="15" t="n">
        <v>20.8</v>
      </c>
      <c r="N876" s="15" t="n">
        <v>27.7</v>
      </c>
      <c r="O876" s="34" t="n">
        <v>45547</v>
      </c>
      <c r="P876" s="15" t="n">
        <v>40.1</v>
      </c>
      <c r="Q876" s="15" t="n">
        <v>54.79</v>
      </c>
      <c r="R876" s="34" t="n">
        <v>45547</v>
      </c>
      <c r="S876" s="15" t="n">
        <v>6.03</v>
      </c>
      <c r="V876" s="15" t="n">
        <v>22.7</v>
      </c>
      <c r="W876" s="15" t="n">
        <v>20.57</v>
      </c>
      <c r="X876" s="34" t="n">
        <v>45547</v>
      </c>
    </row>
    <row r="877">
      <c r="A877" s="34" t="n">
        <v>45548</v>
      </c>
      <c r="B877" s="266" t="n">
        <v>1.096182942390442</v>
      </c>
      <c r="C877" s="34" t="n">
        <v>45548</v>
      </c>
      <c r="D877" s="15" t="n">
        <v>6.77</v>
      </c>
      <c r="E877" s="15" t="n">
        <v>13.5</v>
      </c>
      <c r="F877" s="34" t="n">
        <v>45548</v>
      </c>
      <c r="G877" s="15" t="n">
        <v>44.2</v>
      </c>
      <c r="H877" s="15" t="n">
        <v>63.88</v>
      </c>
      <c r="I877" s="34" t="n">
        <v>45548</v>
      </c>
      <c r="J877" s="15" t="n">
        <v>5.15</v>
      </c>
      <c r="K877" s="15" t="n">
        <v>10.17</v>
      </c>
      <c r="L877" s="34" t="n">
        <v>45548</v>
      </c>
      <c r="M877" s="15" t="n">
        <v>19.54</v>
      </c>
      <c r="N877" s="15" t="n">
        <v>25.82</v>
      </c>
      <c r="O877" s="34" t="n">
        <v>45548</v>
      </c>
      <c r="P877" s="15" t="n">
        <v>39.85</v>
      </c>
      <c r="Q877" s="15" t="n">
        <v>54.84</v>
      </c>
      <c r="R877" s="34" t="n">
        <v>45548</v>
      </c>
      <c r="S877" s="15" t="n">
        <v>5.98</v>
      </c>
      <c r="V877" s="15" t="n">
        <v>22.65</v>
      </c>
      <c r="W877" s="15" t="n">
        <v>19.72</v>
      </c>
      <c r="X877" s="34" t="n">
        <v>45548</v>
      </c>
    </row>
    <row r="878">
      <c r="A878" s="34" t="n">
        <v>45551</v>
      </c>
      <c r="B878" s="266" t="n">
        <v>1.099149942398071</v>
      </c>
      <c r="C878" s="34" t="n">
        <v>45551</v>
      </c>
      <c r="D878" s="15" t="n">
        <v>6.52</v>
      </c>
      <c r="E878" s="15" t="n">
        <v>13.5</v>
      </c>
      <c r="F878" s="34" t="n">
        <v>45548</v>
      </c>
      <c r="G878" s="15" t="n">
        <v>41.6</v>
      </c>
      <c r="H878" s="15" t="n">
        <v>63.88</v>
      </c>
      <c r="I878" s="34" t="n">
        <v>45548</v>
      </c>
      <c r="J878" s="15" t="n">
        <v>5.35</v>
      </c>
      <c r="K878" s="15" t="n">
        <v>10.17</v>
      </c>
      <c r="L878" s="34" t="n">
        <v>45548</v>
      </c>
      <c r="M878" s="15" t="n">
        <v>19.74</v>
      </c>
      <c r="N878" s="15" t="n">
        <v>25.82</v>
      </c>
      <c r="O878" s="34" t="n">
        <v>45548</v>
      </c>
      <c r="P878" s="15" t="n">
        <v>39.65</v>
      </c>
      <c r="Q878" s="15" t="n">
        <v>54.84</v>
      </c>
      <c r="R878" s="34" t="n">
        <v>45548</v>
      </c>
      <c r="S878" s="15" t="n">
        <v>6.38</v>
      </c>
    </row>
    <row r="879">
      <c r="A879" s="34" t="n">
        <v>45552</v>
      </c>
      <c r="B879" s="266" t="n">
        <v>1.098492980003357</v>
      </c>
      <c r="C879" s="34" t="n">
        <v>45552</v>
      </c>
      <c r="D879" s="15" t="n">
        <v>6.52</v>
      </c>
      <c r="E879" s="15" t="n">
        <v>13.5</v>
      </c>
      <c r="F879" s="34" t="n">
        <v>45548</v>
      </c>
      <c r="G879" s="15" t="n">
        <v>42.15</v>
      </c>
      <c r="H879" s="15" t="n">
        <v>63.88</v>
      </c>
      <c r="I879" s="34" t="n">
        <v>45548</v>
      </c>
      <c r="J879" s="15" t="n">
        <v>5.25</v>
      </c>
      <c r="K879" s="15" t="n">
        <v>10.17</v>
      </c>
      <c r="L879" s="34" t="n">
        <v>45548</v>
      </c>
      <c r="M879" s="15" t="n">
        <v>19.96</v>
      </c>
      <c r="N879" s="15" t="n">
        <v>25.82</v>
      </c>
      <c r="O879" s="34" t="n">
        <v>45548</v>
      </c>
      <c r="P879" s="15" t="n">
        <v>39.6</v>
      </c>
      <c r="Q879" s="15" t="n">
        <v>54.84</v>
      </c>
      <c r="R879" s="34" t="n">
        <v>45548</v>
      </c>
      <c r="S879" s="15" t="n">
        <v>6.65</v>
      </c>
      <c r="V879" s="15" t="n">
        <v>23.95</v>
      </c>
      <c r="W879" s="15" t="n">
        <v>19.72</v>
      </c>
      <c r="X879" s="34" t="n">
        <v>45548</v>
      </c>
      <c r="Y879" s="15" t="n">
        <v>59.1</v>
      </c>
      <c r="Z879" s="15" t="n">
        <v>63.51</v>
      </c>
      <c r="AA879" s="34" t="n">
        <v>45548</v>
      </c>
    </row>
    <row r="880">
      <c r="A880" s="34" t="n">
        <v>45554</v>
      </c>
      <c r="B880" s="266" t="n">
        <v>1.10042405128479</v>
      </c>
      <c r="C880" s="34" t="n">
        <v>45554</v>
      </c>
      <c r="D880" s="15" t="n">
        <v>6.8</v>
      </c>
      <c r="E880" s="15" t="n">
        <v>14.02</v>
      </c>
      <c r="F880" s="34" t="n">
        <v>45554</v>
      </c>
      <c r="G880" s="15" t="n">
        <v>44.8</v>
      </c>
      <c r="H880" s="15" t="n">
        <v>64.41</v>
      </c>
      <c r="I880" s="34" t="n">
        <v>45554</v>
      </c>
      <c r="J880" s="15" t="n">
        <v>5.35</v>
      </c>
      <c r="K880" s="15" t="n">
        <v>10.46</v>
      </c>
      <c r="L880" s="34" t="n">
        <v>45554</v>
      </c>
      <c r="M880" s="15" t="n">
        <v>20.4</v>
      </c>
      <c r="N880" s="15" t="n">
        <v>25.43</v>
      </c>
      <c r="O880" s="34" t="n">
        <v>45554</v>
      </c>
      <c r="P880" s="15" t="n">
        <v>41.2</v>
      </c>
      <c r="Q880" s="15" t="n">
        <v>55.14</v>
      </c>
      <c r="R880" s="34" t="n">
        <v>45554</v>
      </c>
      <c r="S880" s="15" t="n">
        <v>6.21</v>
      </c>
      <c r="V880" s="15" t="n">
        <v>23.3</v>
      </c>
      <c r="W880" s="15" t="n">
        <v>19.52</v>
      </c>
      <c r="X880" s="34" t="n">
        <v>45554</v>
      </c>
      <c r="Y880" s="15" t="n">
        <v>64.25</v>
      </c>
      <c r="Z880" s="15" t="n">
        <v>65.28</v>
      </c>
      <c r="AA880" s="34" t="n">
        <v>45554</v>
      </c>
    </row>
    <row r="881">
      <c r="A881" s="34" t="n">
        <v>45555</v>
      </c>
      <c r="B881" s="266" t="n">
        <v>1.102666974067688</v>
      </c>
      <c r="C881" s="34" t="n">
        <v>45555</v>
      </c>
      <c r="D881" s="15" t="n">
        <v>7.33</v>
      </c>
      <c r="E881" s="15" t="n">
        <v>13.65</v>
      </c>
      <c r="F881" s="34" t="n">
        <v>45555</v>
      </c>
      <c r="G881" s="15" t="n">
        <v>47.5</v>
      </c>
      <c r="H881" s="15" t="n">
        <v>63.75</v>
      </c>
      <c r="I881" s="34" t="n">
        <v>45555</v>
      </c>
      <c r="J881" s="15" t="n">
        <v>5.37</v>
      </c>
      <c r="K881" s="15" t="n">
        <v>10.3</v>
      </c>
      <c r="L881" s="34" t="n">
        <v>45555</v>
      </c>
      <c r="M881" s="15" t="n">
        <v>20.5</v>
      </c>
      <c r="N881" s="15" t="n">
        <v>24.94</v>
      </c>
      <c r="O881" s="34" t="n">
        <v>45555</v>
      </c>
      <c r="P881" s="15" t="n">
        <v>41.35</v>
      </c>
      <c r="Q881" s="15" t="n">
        <v>54.31</v>
      </c>
      <c r="R881" s="34" t="n">
        <v>45555</v>
      </c>
      <c r="S881" s="15" t="n">
        <v>6.3</v>
      </c>
      <c r="V881" s="15" t="n">
        <v>22.9</v>
      </c>
      <c r="W881" s="15" t="n">
        <v>19.13</v>
      </c>
      <c r="X881" s="34" t="n">
        <v>45555</v>
      </c>
      <c r="Y881" s="15" t="n">
        <v>64</v>
      </c>
      <c r="Z881" s="15" t="n">
        <v>66.06</v>
      </c>
      <c r="AA881" s="34" t="n">
        <v>45555</v>
      </c>
    </row>
    <row r="882">
      <c r="A882" s="34" t="n">
        <v>45558</v>
      </c>
      <c r="B882" s="266" t="n">
        <v>1.104709982872009</v>
      </c>
      <c r="C882" s="34" t="n">
        <v>45558</v>
      </c>
      <c r="D882" s="15" t="n">
        <v>7.06</v>
      </c>
      <c r="E882" s="15" t="n">
        <v>13.65</v>
      </c>
      <c r="F882" s="34" t="n">
        <v>45558</v>
      </c>
      <c r="G882" s="15" t="n">
        <v>45.2</v>
      </c>
      <c r="H882" s="15" t="n">
        <v>63.31</v>
      </c>
      <c r="I882" s="34" t="n">
        <v>45558</v>
      </c>
      <c r="J882" s="15" t="n">
        <v>5.37</v>
      </c>
      <c r="K882" s="15" t="n">
        <v>10.24</v>
      </c>
      <c r="L882" s="34" t="n">
        <v>45558</v>
      </c>
      <c r="M882" s="15" t="n">
        <v>20.55</v>
      </c>
      <c r="N882" s="15" t="n">
        <v>24.93</v>
      </c>
      <c r="O882" s="34" t="n">
        <v>45558</v>
      </c>
      <c r="P882" s="15" t="n">
        <v>41.9</v>
      </c>
      <c r="Q882" s="15" t="n">
        <v>54.3</v>
      </c>
      <c r="R882" s="34" t="n">
        <v>45558</v>
      </c>
      <c r="S882" s="15" t="n">
        <v>6.26</v>
      </c>
      <c r="V882" s="15" t="n">
        <v>22.95</v>
      </c>
      <c r="W882" s="15" t="n">
        <v>18.84</v>
      </c>
      <c r="X882" s="34" t="n">
        <v>45558</v>
      </c>
      <c r="Y882" s="15" t="n">
        <v>67.59999999999999</v>
      </c>
      <c r="Z882" s="15" t="n">
        <v>67.59999999999999</v>
      </c>
      <c r="AA882" s="34" t="n">
        <v>45558</v>
      </c>
    </row>
    <row r="883">
      <c r="A883" s="34" t="n">
        <v>45559</v>
      </c>
      <c r="B883" s="266" t="n">
        <v>1.104027032852173</v>
      </c>
      <c r="C883" s="34" t="n">
        <v>45559</v>
      </c>
      <c r="D883" s="15" t="n">
        <v>7.23</v>
      </c>
      <c r="E883" s="15" t="n">
        <v>14.08</v>
      </c>
      <c r="F883" s="34" t="n">
        <v>45559</v>
      </c>
      <c r="G883" s="15" t="n">
        <v>48.75</v>
      </c>
      <c r="H883" s="15" t="n">
        <v>65.48</v>
      </c>
      <c r="I883" s="34" t="n">
        <v>45559</v>
      </c>
      <c r="J883" s="15" t="n">
        <v>5.51</v>
      </c>
      <c r="K883" s="15" t="n">
        <v>10.7</v>
      </c>
      <c r="L883" s="34" t="n">
        <v>45559</v>
      </c>
      <c r="M883" s="15" t="n">
        <v>22.25</v>
      </c>
      <c r="N883" s="15" t="n">
        <v>27.42</v>
      </c>
      <c r="O883" s="34" t="n">
        <v>45559</v>
      </c>
      <c r="P883" s="15" t="n">
        <v>44.6</v>
      </c>
      <c r="Q883" s="15" t="n">
        <v>57.32</v>
      </c>
      <c r="R883" s="34" t="n">
        <v>45559</v>
      </c>
      <c r="S883" s="15" t="n">
        <v>6.11</v>
      </c>
      <c r="V883" s="15" t="n">
        <v>23.35</v>
      </c>
      <c r="W883" s="15" t="n">
        <v>19.8</v>
      </c>
      <c r="X883" s="34" t="n">
        <v>45559</v>
      </c>
      <c r="Y883" s="15" t="n">
        <v>70.15000000000001</v>
      </c>
      <c r="Z883" s="15" t="n">
        <v>68.04000000000001</v>
      </c>
      <c r="AA883" s="34" t="n">
        <v>45559</v>
      </c>
    </row>
    <row r="884">
      <c r="A884" s="34" t="n">
        <v>45560</v>
      </c>
      <c r="B884" s="266" t="n">
        <v>1.106814026832581</v>
      </c>
      <c r="C884" s="34" t="n">
        <v>45560</v>
      </c>
      <c r="D884" s="15" t="n">
        <v>7.29</v>
      </c>
      <c r="E884" s="15" t="n">
        <v>14.33</v>
      </c>
      <c r="F884" s="34" t="n">
        <v>45560</v>
      </c>
      <c r="G884" s="15" t="n">
        <v>48.7</v>
      </c>
      <c r="H884" s="15" t="n">
        <v>66.98999999999999</v>
      </c>
      <c r="I884" s="34" t="n">
        <v>45560</v>
      </c>
      <c r="J884" s="15" t="n">
        <v>5.53</v>
      </c>
      <c r="K884" s="15" t="n">
        <v>10.8</v>
      </c>
      <c r="L884" s="34" t="n">
        <v>45560</v>
      </c>
      <c r="M884" s="15" t="n">
        <v>22.4</v>
      </c>
      <c r="N884" s="15" t="n">
        <v>28.09</v>
      </c>
      <c r="O884" s="34" t="n">
        <v>45560</v>
      </c>
      <c r="P884" s="15" t="n">
        <v>44.7</v>
      </c>
      <c r="Q884" s="15" t="n">
        <v>58.01</v>
      </c>
      <c r="R884" s="34" t="n">
        <v>45560</v>
      </c>
      <c r="S884" s="15" t="n">
        <v>6.07</v>
      </c>
      <c r="V884" s="15" t="n">
        <v>23.05</v>
      </c>
      <c r="W884" s="15" t="n">
        <v>19.93</v>
      </c>
      <c r="X884" s="34" t="n">
        <v>45560</v>
      </c>
      <c r="Y884" s="15" t="n">
        <v>70.7</v>
      </c>
      <c r="Z884" s="15" t="n">
        <v>70.11</v>
      </c>
      <c r="AA884" s="34" t="n">
        <v>45560</v>
      </c>
    </row>
    <row r="885">
      <c r="A885" s="34" t="n">
        <v>45561</v>
      </c>
      <c r="B885" s="266" t="n">
        <v>1.106874942779541</v>
      </c>
      <c r="C885" s="34" t="n">
        <v>45561</v>
      </c>
      <c r="D885" s="15" t="n">
        <v>7.61</v>
      </c>
      <c r="E885" s="15" t="n">
        <v>14.92</v>
      </c>
      <c r="F885" s="34" t="n">
        <v>45561</v>
      </c>
      <c r="G885" s="15" t="n">
        <v>50.1</v>
      </c>
      <c r="H885" s="15" t="n">
        <v>69.41</v>
      </c>
      <c r="I885" s="34" t="n">
        <v>45561</v>
      </c>
      <c r="J885" s="15" t="n">
        <v>5.72</v>
      </c>
      <c r="K885" s="15" t="n">
        <v>11.29</v>
      </c>
      <c r="L885" s="34" t="n">
        <v>45561</v>
      </c>
      <c r="M885" s="15" t="n">
        <v>23.45</v>
      </c>
      <c r="N885" s="15" t="n">
        <v>29.09</v>
      </c>
      <c r="O885" s="34" t="n">
        <v>45561</v>
      </c>
      <c r="P885" s="15" t="n">
        <v>51.65</v>
      </c>
      <c r="Q885" s="15" t="n">
        <v>63.81</v>
      </c>
      <c r="R885" s="34" t="n">
        <v>45561</v>
      </c>
      <c r="S885" s="15" t="n">
        <v>6.25</v>
      </c>
      <c r="V885" s="15" t="n">
        <v>23.85</v>
      </c>
      <c r="W885" s="15" t="n">
        <v>20.89</v>
      </c>
      <c r="X885" s="34" t="n">
        <v>45561</v>
      </c>
      <c r="Y885" s="15" t="n">
        <v>77.7</v>
      </c>
      <c r="Z885" s="15" t="n">
        <v>73.56</v>
      </c>
      <c r="AA885" s="34" t="n">
        <v>45561</v>
      </c>
    </row>
    <row r="886">
      <c r="A886" s="34" t="n">
        <v>45562</v>
      </c>
      <c r="B886" s="266" t="n">
        <v>1.10965895652771</v>
      </c>
      <c r="C886" s="34" t="n">
        <v>45562</v>
      </c>
      <c r="D886" s="15" t="n">
        <v>8.82</v>
      </c>
      <c r="E886" s="15" t="n">
        <v>16.41</v>
      </c>
      <c r="F886" s="34" t="n">
        <v>45562</v>
      </c>
      <c r="G886" s="15" t="n">
        <v>56.25</v>
      </c>
      <c r="H886" s="15" t="n">
        <v>76.12</v>
      </c>
      <c r="I886" s="34" t="n">
        <v>45562</v>
      </c>
      <c r="J886" s="15" t="n">
        <v>6.41</v>
      </c>
      <c r="K886" s="15" t="n">
        <v>12.39</v>
      </c>
      <c r="L886" s="34" t="n">
        <v>45562</v>
      </c>
      <c r="M886" s="15" t="n">
        <v>26.6</v>
      </c>
      <c r="N886" s="15" t="n">
        <v>32</v>
      </c>
      <c r="O886" s="34" t="n">
        <v>45562</v>
      </c>
      <c r="P886" s="15" t="n">
        <v>58.8</v>
      </c>
      <c r="Q886" s="15" t="n">
        <v>70.18000000000001</v>
      </c>
      <c r="R886" s="34" t="n">
        <v>45562</v>
      </c>
      <c r="S886" s="15" t="n">
        <v>6.99</v>
      </c>
      <c r="V886" s="15" t="n">
        <v>24.8</v>
      </c>
      <c r="W886" s="15" t="n">
        <v>22.23</v>
      </c>
      <c r="X886" s="34" t="n">
        <v>45562</v>
      </c>
      <c r="Y886" s="15" t="n">
        <v>74.2</v>
      </c>
      <c r="Z886" s="15" t="n">
        <v>73</v>
      </c>
      <c r="AA886" s="34" t="n">
        <v>45562</v>
      </c>
    </row>
    <row r="887">
      <c r="A887" s="34" t="n">
        <v>45565</v>
      </c>
      <c r="B887" s="266" t="n">
        <v>1.10850203037262</v>
      </c>
      <c r="C887" s="34" t="n">
        <v>45565</v>
      </c>
      <c r="D887" s="15" t="n">
        <v>9.789999999999999</v>
      </c>
      <c r="E887" s="15" t="n">
        <v>18.05</v>
      </c>
      <c r="F887" s="34" t="n">
        <v>45565</v>
      </c>
      <c r="G887" s="15" t="n">
        <v>63.55</v>
      </c>
      <c r="H887" s="15" t="n">
        <v>83.73</v>
      </c>
      <c r="I887" s="34" t="n">
        <v>45565</v>
      </c>
      <c r="J887" s="15" t="n">
        <v>6.88</v>
      </c>
      <c r="K887" s="15" t="n">
        <v>14.44</v>
      </c>
      <c r="L887" s="34" t="n">
        <v>45565</v>
      </c>
      <c r="M887" s="15" t="n">
        <v>27.6</v>
      </c>
      <c r="N887" s="15" t="n">
        <v>35.2</v>
      </c>
      <c r="O887" s="34" t="n">
        <v>45565</v>
      </c>
      <c r="P887" s="15" t="n">
        <v>75.3</v>
      </c>
      <c r="Q887" s="15" t="n">
        <v>77.2</v>
      </c>
      <c r="R887" s="34" t="n">
        <v>45565</v>
      </c>
      <c r="S887" s="15" t="n">
        <v>7.5</v>
      </c>
      <c r="V887" s="15" t="n">
        <v>27.7</v>
      </c>
      <c r="W887" s="15" t="n">
        <v>25.69</v>
      </c>
      <c r="X887" s="34" t="n">
        <v>45565</v>
      </c>
      <c r="Y887" s="15" t="n">
        <v>74.25</v>
      </c>
      <c r="Z887" s="15" t="n">
        <v>76.06</v>
      </c>
      <c r="AA887" s="34" t="n">
        <v>45565</v>
      </c>
    </row>
    <row r="888">
      <c r="A888" s="34" t="n">
        <v>45567</v>
      </c>
      <c r="B888" s="266" t="n">
        <v>1.105224967002869</v>
      </c>
      <c r="C888" s="34" t="n">
        <v>45567</v>
      </c>
      <c r="D888" s="15" t="n">
        <v>11.64</v>
      </c>
      <c r="E888" s="15" t="n">
        <v>18.05</v>
      </c>
      <c r="F888" s="34" t="n">
        <v>45565</v>
      </c>
      <c r="G888" s="15" t="n">
        <v>71.05</v>
      </c>
      <c r="H888" s="15" t="n">
        <v>83.73</v>
      </c>
      <c r="I888" s="34" t="n">
        <v>45565</v>
      </c>
      <c r="J888" s="15" t="n">
        <v>7.18</v>
      </c>
      <c r="K888" s="15" t="n">
        <v>14.44</v>
      </c>
      <c r="L888" s="34" t="n">
        <v>45565</v>
      </c>
      <c r="M888" s="15" t="n">
        <v>30.05</v>
      </c>
      <c r="N888" s="15" t="n">
        <v>35.2</v>
      </c>
      <c r="O888" s="34" t="n">
        <v>45565</v>
      </c>
      <c r="P888" s="15" t="n">
        <v>77.40000000000001</v>
      </c>
      <c r="Q888" s="15" t="n">
        <v>77.2</v>
      </c>
      <c r="R888" s="34" t="n">
        <v>45565</v>
      </c>
      <c r="S888" s="15" t="n">
        <v>9.06</v>
      </c>
      <c r="V888" s="15" t="n">
        <v>27.9</v>
      </c>
      <c r="W888" s="15" t="n">
        <v>25.69</v>
      </c>
      <c r="X888" s="34" t="n">
        <v>45565</v>
      </c>
      <c r="Y888" s="15" t="n">
        <v>93.3</v>
      </c>
      <c r="Z888" s="15" t="n">
        <v>76.06</v>
      </c>
      <c r="AA888" s="34" t="n">
        <v>45565</v>
      </c>
    </row>
    <row r="889">
      <c r="A889" s="34" t="n">
        <v>45568</v>
      </c>
      <c r="B889" s="266" t="n">
        <v>1.10276198387146</v>
      </c>
      <c r="C889" s="34" t="n">
        <v>45568</v>
      </c>
      <c r="D889" s="15" t="n">
        <v>10.22</v>
      </c>
      <c r="E889" s="15" t="n">
        <v>18.05</v>
      </c>
      <c r="F889" s="34" t="n">
        <v>45565</v>
      </c>
      <c r="G889" s="15" t="n">
        <v>65.09999999999999</v>
      </c>
      <c r="H889" s="15" t="n">
        <v>83.73</v>
      </c>
      <c r="I889" s="34" t="n">
        <v>45565</v>
      </c>
      <c r="J889" s="15" t="n">
        <v>6.87</v>
      </c>
      <c r="K889" s="15" t="n">
        <v>14.44</v>
      </c>
      <c r="L889" s="34" t="n">
        <v>45565</v>
      </c>
      <c r="M889" s="15" t="n">
        <v>28</v>
      </c>
      <c r="N889" s="15" t="n">
        <v>35.2</v>
      </c>
      <c r="O889" s="34" t="n">
        <v>45565</v>
      </c>
      <c r="P889" s="15" t="n">
        <v>71.59999999999999</v>
      </c>
      <c r="Q889" s="15" t="n">
        <v>77.2</v>
      </c>
      <c r="R889" s="34" t="n">
        <v>45565</v>
      </c>
      <c r="S889" s="15" t="n">
        <v>9.44</v>
      </c>
      <c r="V889" s="15" t="n">
        <v>26.75</v>
      </c>
      <c r="W889" s="15" t="n">
        <v>25.69</v>
      </c>
      <c r="X889" s="34" t="n">
        <v>45565</v>
      </c>
      <c r="Y889" s="15" t="n">
        <v>85</v>
      </c>
      <c r="Z889" s="15" t="n">
        <v>76.06</v>
      </c>
      <c r="AA889" s="34" t="n">
        <v>45565</v>
      </c>
    </row>
    <row r="890">
      <c r="A890" s="34" t="n">
        <v>45569</v>
      </c>
      <c r="B890" s="266" t="n">
        <v>1.10200297832489</v>
      </c>
      <c r="C890" s="34" t="n">
        <v>45569</v>
      </c>
      <c r="D890" s="15" t="n">
        <v>11.22</v>
      </c>
      <c r="E890" s="15" t="n">
        <v>18.05</v>
      </c>
      <c r="F890" s="34" t="n">
        <v>45565</v>
      </c>
      <c r="G890" s="15" t="n">
        <v>71.2</v>
      </c>
      <c r="H890" s="15" t="n">
        <v>83.73</v>
      </c>
      <c r="I890" s="34" t="n">
        <v>45565</v>
      </c>
      <c r="J890" s="15" t="n">
        <v>8.199999999999999</v>
      </c>
      <c r="K890" s="15" t="n">
        <v>14.44</v>
      </c>
      <c r="L890" s="34" t="n">
        <v>45565</v>
      </c>
      <c r="M890" s="15" t="n">
        <v>29.6</v>
      </c>
      <c r="N890" s="15" t="n">
        <v>35.2</v>
      </c>
      <c r="O890" s="34" t="n">
        <v>45565</v>
      </c>
      <c r="P890" s="15" t="n">
        <v>75.3</v>
      </c>
      <c r="Q890" s="15" t="n">
        <v>77.2</v>
      </c>
      <c r="R890" s="34" t="n">
        <v>45565</v>
      </c>
      <c r="S890" s="15" t="n">
        <v>9.91</v>
      </c>
      <c r="V890" s="15" t="n">
        <v>28</v>
      </c>
      <c r="W890" s="15" t="n">
        <v>25.69</v>
      </c>
      <c r="X890" s="34" t="n">
        <v>45565</v>
      </c>
      <c r="Y890" s="15" t="n">
        <v>93</v>
      </c>
      <c r="Z890" s="15" t="n">
        <v>76.06</v>
      </c>
      <c r="AA890" s="34" t="n">
        <v>45565</v>
      </c>
    </row>
    <row r="891">
      <c r="A891" s="34" t="n">
        <v>45572</v>
      </c>
      <c r="B891" s="266" t="n">
        <v>1.10656201839447</v>
      </c>
      <c r="C891" s="34" t="n">
        <v>45572</v>
      </c>
      <c r="D891" s="15" t="n">
        <v>13.96</v>
      </c>
      <c r="E891" s="15" t="n">
        <v>18.05</v>
      </c>
      <c r="F891" s="34" t="n">
        <v>45565</v>
      </c>
      <c r="G891" s="15" t="n">
        <v>74</v>
      </c>
      <c r="H891" s="15" t="n">
        <v>83.73</v>
      </c>
      <c r="I891" s="34" t="n">
        <v>45565</v>
      </c>
      <c r="J891" s="15" t="n">
        <v>9.41</v>
      </c>
      <c r="K891" s="15" t="n">
        <v>14.44</v>
      </c>
      <c r="L891" s="34" t="n">
        <v>45565</v>
      </c>
      <c r="M891" s="15" t="n">
        <v>33</v>
      </c>
      <c r="N891" s="15" t="n">
        <v>35.2</v>
      </c>
      <c r="O891" s="34" t="n">
        <v>45565</v>
      </c>
      <c r="P891" s="15" t="n">
        <v>78.3</v>
      </c>
      <c r="Q891" s="15" t="n">
        <v>77.2</v>
      </c>
      <c r="R891" s="34" t="n">
        <v>45565</v>
      </c>
      <c r="S891" s="15" t="n">
        <v>9.789999999999999</v>
      </c>
      <c r="V891" s="15" t="n">
        <v>31.45</v>
      </c>
      <c r="W891" s="15" t="n">
        <v>25.69</v>
      </c>
      <c r="X891" s="34" t="n">
        <v>45565</v>
      </c>
      <c r="Y891" s="15" t="n">
        <v>95</v>
      </c>
      <c r="Z891" s="15" t="n">
        <v>76.06</v>
      </c>
      <c r="AA891" s="34" t="n">
        <v>45565</v>
      </c>
    </row>
    <row r="892">
      <c r="A892" s="34" t="n">
        <v>45573</v>
      </c>
      <c r="B892" s="266" t="n">
        <v>1.106070041656494</v>
      </c>
      <c r="C892" s="34" t="n">
        <v>45573</v>
      </c>
      <c r="D892" s="15" t="n">
        <v>11.94</v>
      </c>
      <c r="E892" s="15" t="n">
        <v>19.86</v>
      </c>
      <c r="F892" s="34" t="n">
        <v>45573</v>
      </c>
      <c r="G892" s="15" t="n">
        <v>62.5</v>
      </c>
      <c r="H892" s="15" t="n">
        <v>91.55</v>
      </c>
      <c r="I892" s="34" t="n">
        <v>45573</v>
      </c>
      <c r="J892" s="15" t="n">
        <v>7.4</v>
      </c>
      <c r="K892" s="15" t="n">
        <v>16.49</v>
      </c>
      <c r="L892" s="34" t="n">
        <v>45573</v>
      </c>
      <c r="M892" s="15" t="n">
        <v>28.4</v>
      </c>
      <c r="N892" s="15" t="n">
        <v>38.72</v>
      </c>
      <c r="O892" s="34" t="n">
        <v>45573</v>
      </c>
      <c r="P892" s="15" t="n">
        <v>64</v>
      </c>
      <c r="Q892" s="15" t="n">
        <v>84.89</v>
      </c>
      <c r="R892" s="34" t="n">
        <v>45573</v>
      </c>
      <c r="S892" s="15" t="n">
        <v>7.71</v>
      </c>
      <c r="V892" s="15" t="n">
        <v>26.8</v>
      </c>
      <c r="W892" s="15" t="n">
        <v>28.97</v>
      </c>
      <c r="X892" s="34" t="n">
        <v>45573</v>
      </c>
      <c r="Y892" s="15" t="n">
        <v>84.15000000000001</v>
      </c>
      <c r="Z892" s="15" t="n">
        <v>80.19</v>
      </c>
      <c r="AA892" s="34" t="n">
        <v>45573</v>
      </c>
    </row>
    <row r="893">
      <c r="A893" s="34" t="n">
        <v>45574</v>
      </c>
      <c r="B893" s="266" t="n">
        <v>1.101308941841125</v>
      </c>
      <c r="C893" s="34" t="n">
        <v>45574</v>
      </c>
      <c r="D893" s="15" t="n">
        <v>10.4</v>
      </c>
      <c r="E893" s="15" t="n">
        <v>18.05</v>
      </c>
      <c r="F893" s="34" t="n">
        <v>45574</v>
      </c>
      <c r="G893" s="15" t="n">
        <v>58.2</v>
      </c>
      <c r="H893" s="15" t="n">
        <v>82.40000000000001</v>
      </c>
      <c r="I893" s="34" t="n">
        <v>45574</v>
      </c>
      <c r="J893" s="15" t="n">
        <v>6.83</v>
      </c>
      <c r="K893" s="15" t="n">
        <v>14.09</v>
      </c>
      <c r="L893" s="34" t="n">
        <v>45574</v>
      </c>
      <c r="M893" s="15" t="n">
        <v>26.35</v>
      </c>
      <c r="N893" s="15" t="n">
        <v>35.4</v>
      </c>
      <c r="O893" s="34" t="n">
        <v>45574</v>
      </c>
      <c r="P893" s="15" t="n">
        <v>60.4</v>
      </c>
      <c r="Q893" s="15" t="n">
        <v>76.40000000000001</v>
      </c>
      <c r="R893" s="34" t="n">
        <v>45574</v>
      </c>
      <c r="S893" s="15" t="n">
        <v>7.66</v>
      </c>
      <c r="V893" s="15" t="n">
        <v>26.2</v>
      </c>
      <c r="W893" s="15" t="n">
        <v>25.34</v>
      </c>
      <c r="X893" s="34" t="n">
        <v>45574</v>
      </c>
      <c r="Y893" s="15" t="n">
        <v>83</v>
      </c>
      <c r="Z893" s="15" t="n">
        <v>75.01000000000001</v>
      </c>
      <c r="AA893" s="34" t="n">
        <v>45574</v>
      </c>
    </row>
    <row r="894">
      <c r="A894" s="34" t="n">
        <v>45575</v>
      </c>
      <c r="B894" s="266" t="n">
        <v>1.09762704372406</v>
      </c>
      <c r="C894" s="34" t="n">
        <v>45575</v>
      </c>
      <c r="D894" s="15" t="n">
        <v>9.9</v>
      </c>
      <c r="E894" s="15" t="n">
        <v>17.8</v>
      </c>
      <c r="F894" s="34" t="n">
        <v>45575</v>
      </c>
      <c r="G894" s="15" t="n">
        <v>58.2</v>
      </c>
      <c r="H894" s="15" t="n">
        <v>79.03</v>
      </c>
      <c r="I894" s="34" t="n">
        <v>45575</v>
      </c>
      <c r="J894" s="15" t="n">
        <v>6.86</v>
      </c>
      <c r="K894" s="15" t="n">
        <v>14.01</v>
      </c>
      <c r="L894" s="34" t="n">
        <v>45575</v>
      </c>
      <c r="M894" s="15" t="n">
        <v>26.8</v>
      </c>
      <c r="N894" s="15" t="n">
        <v>36.28</v>
      </c>
      <c r="O894" s="34" t="n">
        <v>45575</v>
      </c>
      <c r="P894" s="15" t="n">
        <v>62</v>
      </c>
      <c r="Q894" s="15" t="n">
        <v>74.55</v>
      </c>
      <c r="R894" s="34" t="n">
        <v>45575</v>
      </c>
      <c r="S894" s="15" t="n">
        <v>7.46</v>
      </c>
      <c r="V894" s="15" t="n">
        <v>26.7</v>
      </c>
      <c r="W894" s="15" t="n">
        <v>25.67</v>
      </c>
      <c r="X894" s="34" t="n">
        <v>45575</v>
      </c>
      <c r="Y894" s="15" t="n">
        <v>84.75</v>
      </c>
      <c r="Z894" s="15" t="n">
        <v>78.3</v>
      </c>
      <c r="AA894" s="34" t="n">
        <v>45575</v>
      </c>
    </row>
    <row r="895">
      <c r="A895" s="34" t="n">
        <v>45579</v>
      </c>
      <c r="B895" s="266" t="n">
        <v>1.099969029426575</v>
      </c>
      <c r="C895" s="34" t="n">
        <v>45579</v>
      </c>
      <c r="D895" s="15" t="n">
        <v>9.199999999999999</v>
      </c>
      <c r="E895" s="15" t="n">
        <v>16.94</v>
      </c>
      <c r="F895" s="34" t="n">
        <v>45579</v>
      </c>
      <c r="G895" s="15" t="n">
        <v>58.9</v>
      </c>
      <c r="H895" s="15" t="n">
        <v>76.62</v>
      </c>
      <c r="I895" s="34" t="n">
        <v>45579</v>
      </c>
      <c r="J895" s="15" t="n">
        <v>6.74</v>
      </c>
      <c r="K895" s="15" t="n">
        <v>13.67</v>
      </c>
      <c r="L895" s="34" t="n">
        <v>45579</v>
      </c>
      <c r="M895" s="15" t="n">
        <v>25.75</v>
      </c>
      <c r="N895" s="15" t="n">
        <v>33.87</v>
      </c>
      <c r="O895" s="34" t="n">
        <v>45579</v>
      </c>
      <c r="P895" s="15" t="n">
        <v>58.45</v>
      </c>
      <c r="Q895" s="15" t="n">
        <v>71.36</v>
      </c>
      <c r="R895" s="34" t="n">
        <v>45579</v>
      </c>
      <c r="S895" s="15" t="n">
        <v>7.16</v>
      </c>
      <c r="V895" s="15" t="n">
        <v>25.05</v>
      </c>
      <c r="W895" s="15" t="n">
        <v>24.01</v>
      </c>
      <c r="X895" s="34" t="n">
        <v>45579</v>
      </c>
      <c r="Y895" s="15" t="n">
        <v>81.55</v>
      </c>
      <c r="Z895" s="15" t="n">
        <v>79</v>
      </c>
      <c r="AA895" s="34" t="n">
        <v>45579</v>
      </c>
    </row>
    <row r="896">
      <c r="A896" s="34" t="n">
        <v>45580</v>
      </c>
      <c r="B896" s="266" t="n">
        <v>1.095134019851685</v>
      </c>
      <c r="C896" s="34" t="n">
        <v>45580</v>
      </c>
      <c r="D896" s="15" t="n">
        <v>8.619999999999999</v>
      </c>
      <c r="E896" s="15" t="n">
        <v>16.5</v>
      </c>
      <c r="F896" s="34" t="n">
        <v>45580</v>
      </c>
      <c r="G896" s="15" t="n">
        <v>55.95</v>
      </c>
      <c r="H896" s="15" t="n">
        <v>74.42</v>
      </c>
      <c r="I896" s="34" t="n">
        <v>45580</v>
      </c>
      <c r="J896" s="15" t="n">
        <v>6.5</v>
      </c>
      <c r="K896" s="15" t="n">
        <v>13.24</v>
      </c>
      <c r="L896" s="34" t="n">
        <v>45580</v>
      </c>
      <c r="M896" s="15" t="n">
        <v>24.7</v>
      </c>
      <c r="N896" s="15" t="n">
        <v>32.85</v>
      </c>
      <c r="O896" s="34" t="n">
        <v>45580</v>
      </c>
      <c r="P896" s="15" t="n">
        <v>53.85</v>
      </c>
      <c r="Q896" s="15" t="n">
        <v>69.03</v>
      </c>
      <c r="R896" s="34" t="n">
        <v>45580</v>
      </c>
      <c r="S896" s="15" t="n">
        <v>7.03</v>
      </c>
      <c r="V896" s="15" t="n">
        <v>23.8</v>
      </c>
      <c r="W896" s="15" t="n">
        <v>23.36</v>
      </c>
      <c r="X896" s="34" t="n">
        <v>45580</v>
      </c>
      <c r="Y896" s="15" t="n">
        <v>79.40000000000001</v>
      </c>
      <c r="Z896" s="15" t="n">
        <v>76</v>
      </c>
      <c r="AA896" s="34" t="n">
        <v>45580</v>
      </c>
    </row>
    <row r="897">
      <c r="A897" s="34" t="n">
        <v>45581</v>
      </c>
      <c r="B897" s="266" t="n">
        <v>1.091102957725525</v>
      </c>
      <c r="C897" s="34" t="n">
        <v>45581</v>
      </c>
      <c r="D897" s="15" t="n">
        <v>8.66</v>
      </c>
      <c r="E897" s="15" t="n">
        <v>16.32</v>
      </c>
      <c r="F897" s="34" t="n">
        <v>45581</v>
      </c>
      <c r="G897" s="15" t="n">
        <v>55.25</v>
      </c>
      <c r="H897" s="15" t="n">
        <v>73.59</v>
      </c>
      <c r="I897" s="34" t="n">
        <v>45581</v>
      </c>
      <c r="J897" s="15" t="n">
        <v>6.51</v>
      </c>
      <c r="K897" s="15" t="n">
        <v>13.19</v>
      </c>
      <c r="L897" s="34" t="n">
        <v>45581</v>
      </c>
      <c r="M897" s="15" t="n">
        <v>24.35</v>
      </c>
      <c r="N897" s="15" t="n">
        <v>32.2</v>
      </c>
      <c r="O897" s="34" t="n">
        <v>45581</v>
      </c>
      <c r="P897" s="15" t="n">
        <v>50.85</v>
      </c>
      <c r="Q897" s="15" t="n">
        <v>66.09999999999999</v>
      </c>
      <c r="R897" s="34" t="n">
        <v>45581</v>
      </c>
      <c r="S897" s="15" t="n">
        <v>6.96</v>
      </c>
      <c r="V897" s="15" t="n">
        <v>24.35</v>
      </c>
      <c r="W897" s="15" t="n">
        <v>22.94</v>
      </c>
      <c r="X897" s="34" t="n">
        <v>45581</v>
      </c>
      <c r="Y897" s="15" t="n">
        <v>77.55</v>
      </c>
      <c r="Z897" s="15" t="n">
        <v>75.23999999999999</v>
      </c>
      <c r="AA897" s="34" t="n">
        <v>45581</v>
      </c>
    </row>
    <row r="898">
      <c r="A898" s="34" t="n">
        <v>45582</v>
      </c>
      <c r="B898" s="266" t="n">
        <v>1.091408967971802</v>
      </c>
      <c r="C898" s="34" t="n">
        <v>45582</v>
      </c>
      <c r="D898" s="15" t="n">
        <v>8.470000000000001</v>
      </c>
      <c r="E898" s="15" t="n">
        <v>16.09</v>
      </c>
      <c r="F898" s="34" t="n">
        <v>45582</v>
      </c>
      <c r="G898" s="15" t="n">
        <v>53.25</v>
      </c>
      <c r="H898" s="15" t="n">
        <v>72.62</v>
      </c>
      <c r="I898" s="34" t="n">
        <v>45582</v>
      </c>
      <c r="J898" s="15" t="n">
        <v>6.28</v>
      </c>
      <c r="K898" s="15" t="n">
        <v>13.06</v>
      </c>
      <c r="L898" s="34" t="n">
        <v>45582</v>
      </c>
      <c r="M898" s="15" t="n">
        <v>23.85</v>
      </c>
      <c r="N898" s="15" t="n">
        <v>31.78</v>
      </c>
      <c r="O898" s="34" t="n">
        <v>45582</v>
      </c>
      <c r="P898" s="15" t="n">
        <v>48.9</v>
      </c>
      <c r="Q898" s="15" t="n">
        <v>65.44</v>
      </c>
      <c r="R898" s="34" t="n">
        <v>45582</v>
      </c>
      <c r="S898" s="15" t="n">
        <v>6.61</v>
      </c>
      <c r="V898" s="15" t="n">
        <v>23.95</v>
      </c>
      <c r="W898" s="15" t="n">
        <v>22.49</v>
      </c>
      <c r="X898" s="34" t="n">
        <v>45582</v>
      </c>
      <c r="Y898" s="15" t="n">
        <v>74</v>
      </c>
      <c r="Z898" s="15" t="n">
        <v>73.08</v>
      </c>
      <c r="AA898" s="34" t="n">
        <v>45582</v>
      </c>
    </row>
    <row r="899">
      <c r="A899" s="34" t="n">
        <v>45583</v>
      </c>
      <c r="B899" s="266" t="n">
        <v>1.090952038764954</v>
      </c>
      <c r="C899" s="34" t="n">
        <v>45583</v>
      </c>
      <c r="D899" s="15" t="n">
        <v>9.15</v>
      </c>
      <c r="E899" s="15" t="n">
        <v>16.94</v>
      </c>
      <c r="F899" s="34" t="n">
        <v>45583</v>
      </c>
      <c r="G899" s="15" t="n">
        <v>57.5</v>
      </c>
      <c r="H899" s="15" t="n">
        <v>75.98</v>
      </c>
      <c r="I899" s="34" t="n">
        <v>45583</v>
      </c>
      <c r="J899" s="15" t="n">
        <v>6.81</v>
      </c>
      <c r="K899" s="15" t="n">
        <v>13.79</v>
      </c>
      <c r="L899" s="34" t="n">
        <v>45583</v>
      </c>
      <c r="M899" s="15" t="n">
        <v>24.6</v>
      </c>
      <c r="N899" s="15" t="n">
        <v>33.35</v>
      </c>
      <c r="O899" s="34" t="n">
        <v>45583</v>
      </c>
      <c r="P899" s="15" t="n">
        <v>52.85</v>
      </c>
      <c r="Q899" s="15" t="n">
        <v>68.02</v>
      </c>
      <c r="R899" s="34" t="n">
        <v>45583</v>
      </c>
      <c r="S899" s="15" t="n">
        <v>6.97</v>
      </c>
      <c r="V899" s="15" t="n">
        <v>24.4</v>
      </c>
      <c r="W899" s="15" t="n">
        <v>23.82</v>
      </c>
      <c r="X899" s="34" t="n">
        <v>45583</v>
      </c>
      <c r="Y899" s="15" t="n">
        <v>76.3</v>
      </c>
      <c r="Z899" s="15" t="n">
        <v>75.01000000000001</v>
      </c>
      <c r="AA899" s="34" t="n">
        <v>45583</v>
      </c>
    </row>
    <row r="900">
      <c r="A900" s="34" t="n">
        <v>45586</v>
      </c>
      <c r="B900" s="266" t="n">
        <v>1.09406304359436</v>
      </c>
      <c r="C900" s="34" t="n">
        <v>45586</v>
      </c>
      <c r="D900" s="15" t="n">
        <v>9</v>
      </c>
      <c r="E900" s="15" t="n">
        <v>17.12</v>
      </c>
      <c r="F900" s="34" t="n">
        <v>45586</v>
      </c>
      <c r="G900" s="15" t="n">
        <v>56.15</v>
      </c>
      <c r="H900" s="15" t="n">
        <v>76.45999999999999</v>
      </c>
      <c r="I900" s="34" t="n">
        <v>45586</v>
      </c>
      <c r="J900" s="15" t="n">
        <v>6.84</v>
      </c>
      <c r="K900" s="15" t="n">
        <v>14.74</v>
      </c>
      <c r="L900" s="34" t="n">
        <v>45586</v>
      </c>
      <c r="M900" s="15" t="n">
        <v>24.75</v>
      </c>
      <c r="N900" s="15" t="n">
        <v>33.92</v>
      </c>
      <c r="O900" s="34" t="n">
        <v>45586</v>
      </c>
      <c r="P900" s="15" t="n">
        <v>52.05</v>
      </c>
      <c r="Q900" s="15" t="n">
        <v>68.19</v>
      </c>
      <c r="R900" s="34" t="n">
        <v>45586</v>
      </c>
      <c r="S900" s="15" t="n">
        <v>7.49</v>
      </c>
      <c r="V900" s="15" t="n">
        <v>24</v>
      </c>
      <c r="W900" s="15" t="n">
        <v>24.06</v>
      </c>
      <c r="X900" s="34" t="n">
        <v>45586</v>
      </c>
      <c r="Y900" s="15" t="n">
        <v>74.90000000000001</v>
      </c>
      <c r="Z900" s="15" t="n">
        <v>74.08</v>
      </c>
      <c r="AA900" s="34" t="n">
        <v>45586</v>
      </c>
    </row>
    <row r="901">
      <c r="A901" s="34" t="n">
        <v>45587</v>
      </c>
      <c r="B901" s="266" t="n">
        <v>1.091953992843628</v>
      </c>
      <c r="C901" s="34" t="n">
        <v>45587</v>
      </c>
      <c r="D901" s="15" t="n">
        <v>9.109999999999999</v>
      </c>
      <c r="E901" s="15" t="n">
        <v>17.37</v>
      </c>
      <c r="F901" s="34" t="n">
        <v>45587</v>
      </c>
      <c r="G901" s="15" t="n">
        <v>56.3</v>
      </c>
      <c r="H901" s="15" t="n">
        <v>77</v>
      </c>
      <c r="I901" s="34" t="n">
        <v>45587</v>
      </c>
      <c r="J901" s="15" t="n">
        <v>7.1</v>
      </c>
      <c r="K901" s="15" t="n">
        <v>15.48</v>
      </c>
      <c r="L901" s="34" t="n">
        <v>45587</v>
      </c>
      <c r="M901" s="15" t="n">
        <v>24.9</v>
      </c>
      <c r="N901" s="15" t="n">
        <v>35.24</v>
      </c>
      <c r="O901" s="34" t="n">
        <v>45587</v>
      </c>
      <c r="P901" s="15" t="n">
        <v>52.8</v>
      </c>
      <c r="Q901" s="15" t="n">
        <v>69.14</v>
      </c>
      <c r="R901" s="34" t="n">
        <v>45587</v>
      </c>
      <c r="S901" s="15" t="n">
        <v>7.09</v>
      </c>
      <c r="V901" s="15" t="n">
        <v>24.15</v>
      </c>
      <c r="W901" s="15" t="n">
        <v>24.35</v>
      </c>
      <c r="X901" s="34" t="n">
        <v>45587</v>
      </c>
      <c r="Y901" s="15" t="n">
        <v>77.65000000000001</v>
      </c>
      <c r="Z901" s="15" t="n">
        <v>76.5</v>
      </c>
      <c r="AA901" s="34" t="n">
        <v>45587</v>
      </c>
    </row>
    <row r="902">
      <c r="A902" s="34" t="n">
        <v>45588</v>
      </c>
      <c r="B902" s="266" t="n">
        <v>1.091060042381287</v>
      </c>
      <c r="C902" s="34" t="n">
        <v>45588</v>
      </c>
      <c r="D902" s="15" t="n">
        <v>9.289999999999999</v>
      </c>
      <c r="E902" s="15" t="n">
        <v>17.36</v>
      </c>
      <c r="F902" s="34" t="n">
        <v>45588</v>
      </c>
      <c r="G902" s="15" t="n">
        <v>56.5</v>
      </c>
      <c r="H902" s="15" t="n">
        <v>78.05</v>
      </c>
      <c r="I902" s="34" t="n">
        <v>45588</v>
      </c>
      <c r="J902" s="15" t="n">
        <v>7.06</v>
      </c>
      <c r="K902" s="15" t="n">
        <v>15.78</v>
      </c>
      <c r="L902" s="34" t="n">
        <v>45588</v>
      </c>
      <c r="M902" s="15" t="n">
        <v>26.1</v>
      </c>
      <c r="N902" s="15" t="n">
        <v>36.09</v>
      </c>
      <c r="O902" s="34" t="n">
        <v>45588</v>
      </c>
      <c r="P902" s="15" t="n">
        <v>56</v>
      </c>
      <c r="Q902" s="15" t="n">
        <v>69.5</v>
      </c>
      <c r="R902" s="34" t="n">
        <v>45588</v>
      </c>
      <c r="S902" s="15" t="n">
        <v>7.08</v>
      </c>
      <c r="V902" s="15" t="n">
        <v>23.7</v>
      </c>
      <c r="W902" s="15" t="n">
        <v>25.75</v>
      </c>
      <c r="X902" s="34" t="n">
        <v>45588</v>
      </c>
      <c r="Y902" s="15" t="n">
        <v>78.45</v>
      </c>
      <c r="Z902" s="15" t="n">
        <v>76.38</v>
      </c>
      <c r="AA902" s="34" t="n">
        <v>45588</v>
      </c>
    </row>
    <row r="903">
      <c r="A903" s="34" t="n">
        <v>45589</v>
      </c>
      <c r="B903" s="266" t="n">
        <v>1.090194940567017</v>
      </c>
      <c r="C903" s="34" t="n">
        <v>45589</v>
      </c>
      <c r="D903" s="15" t="n">
        <v>8.949999999999999</v>
      </c>
      <c r="E903" s="15" t="n">
        <v>17.29</v>
      </c>
      <c r="F903" s="34" t="n">
        <v>45589</v>
      </c>
      <c r="G903" s="15" t="n">
        <v>54.3</v>
      </c>
      <c r="H903" s="15" t="n">
        <v>76.06</v>
      </c>
      <c r="I903" s="34" t="n">
        <v>45589</v>
      </c>
      <c r="J903" s="15" t="n">
        <v>6.81</v>
      </c>
      <c r="K903" s="15" t="n">
        <v>15.49</v>
      </c>
      <c r="L903" s="34" t="n">
        <v>45589</v>
      </c>
      <c r="M903" s="15" t="n">
        <v>25</v>
      </c>
      <c r="N903" s="15" t="n">
        <v>34.72</v>
      </c>
      <c r="O903" s="34" t="n">
        <v>45589</v>
      </c>
      <c r="P903" s="15" t="n">
        <v>53.75</v>
      </c>
      <c r="Q903" s="15" t="n">
        <v>67.8</v>
      </c>
      <c r="R903" s="34" t="n">
        <v>45589</v>
      </c>
      <c r="S903" s="15" t="n">
        <v>6.71</v>
      </c>
      <c r="V903" s="15" t="n">
        <v>23.05</v>
      </c>
      <c r="W903" s="15" t="n">
        <v>24.78</v>
      </c>
      <c r="X903" s="34" t="n">
        <v>45589</v>
      </c>
      <c r="Y903" s="15" t="n">
        <v>77.05</v>
      </c>
      <c r="Z903" s="15" t="n">
        <v>75.64</v>
      </c>
      <c r="AA903" s="34" t="n">
        <v>45589</v>
      </c>
    </row>
    <row r="904">
      <c r="A904" s="34" t="n">
        <v>45590</v>
      </c>
      <c r="B904" s="266" t="n">
        <v>1.091233015060425</v>
      </c>
      <c r="C904" s="34" t="n">
        <v>45590</v>
      </c>
      <c r="D904" s="15" t="n">
        <v>9.4</v>
      </c>
      <c r="E904" s="15" t="n">
        <v>18.1</v>
      </c>
      <c r="F904" s="34" t="n">
        <v>45590</v>
      </c>
      <c r="G904" s="15" t="n">
        <v>57.95</v>
      </c>
      <c r="H904" s="15" t="n">
        <v>81</v>
      </c>
      <c r="I904" s="34" t="n">
        <v>45590</v>
      </c>
      <c r="J904" s="15" t="n">
        <v>7.42</v>
      </c>
      <c r="K904" s="15" t="n">
        <v>16.7</v>
      </c>
      <c r="L904" s="34" t="n">
        <v>45590</v>
      </c>
      <c r="M904" s="15" t="n">
        <v>26.75</v>
      </c>
      <c r="N904" s="15" t="n">
        <v>36.89</v>
      </c>
      <c r="O904" s="34" t="n">
        <v>45590</v>
      </c>
      <c r="P904" s="15" t="n">
        <v>54.35</v>
      </c>
      <c r="Q904" s="15" t="n">
        <v>68.98999999999999</v>
      </c>
      <c r="R904" s="34" t="n">
        <v>45590</v>
      </c>
      <c r="S904" s="15" t="n">
        <v>6.89</v>
      </c>
      <c r="V904" s="15" t="n">
        <v>23.1</v>
      </c>
      <c r="W904" s="15" t="n">
        <v>25.79</v>
      </c>
      <c r="X904" s="34" t="n">
        <v>45590</v>
      </c>
      <c r="Y904" s="15" t="n">
        <v>78</v>
      </c>
      <c r="Z904" s="15" t="n">
        <v>75.27</v>
      </c>
      <c r="AA904" s="34" t="n">
        <v>45590</v>
      </c>
    </row>
    <row r="905">
      <c r="A905" s="34" t="n">
        <v>45593</v>
      </c>
      <c r="B905" s="266" t="n">
        <v>1.091169953346252</v>
      </c>
      <c r="C905" s="34" t="n">
        <v>45593</v>
      </c>
      <c r="D905" s="15" t="n">
        <v>9.699999999999999</v>
      </c>
      <c r="E905" s="15" t="n">
        <v>18.8</v>
      </c>
      <c r="F905" s="34" t="n">
        <v>45593</v>
      </c>
      <c r="G905" s="15" t="n">
        <v>60</v>
      </c>
      <c r="H905" s="15" t="n">
        <v>84.61</v>
      </c>
      <c r="I905" s="34" t="n">
        <v>45593</v>
      </c>
      <c r="J905" s="15" t="n">
        <v>7.68</v>
      </c>
      <c r="K905" s="15" t="n">
        <v>17.95</v>
      </c>
      <c r="L905" s="34" t="n">
        <v>45593</v>
      </c>
      <c r="M905" s="15" t="n">
        <v>26.9</v>
      </c>
      <c r="N905" s="15" t="n">
        <v>37.05</v>
      </c>
      <c r="O905" s="34" t="n">
        <v>45593</v>
      </c>
      <c r="P905" s="15" t="n">
        <v>55.95</v>
      </c>
      <c r="Q905" s="15" t="n">
        <v>70.3</v>
      </c>
      <c r="R905" s="34" t="n">
        <v>45593</v>
      </c>
      <c r="S905" s="15" t="n">
        <v>6.78</v>
      </c>
      <c r="V905" s="15" t="n">
        <v>23.75</v>
      </c>
      <c r="W905" s="15" t="n">
        <v>25.82</v>
      </c>
      <c r="X905" s="34" t="n">
        <v>45593</v>
      </c>
      <c r="Y905" s="15" t="n">
        <v>78.05</v>
      </c>
      <c r="Z905" s="15" t="n">
        <v>74.87</v>
      </c>
      <c r="AA905" s="34" t="n">
        <v>45593</v>
      </c>
    </row>
    <row r="906">
      <c r="A906" s="34" t="n">
        <v>45594</v>
      </c>
      <c r="B906" s="266" t="n">
        <v>1.090175032615662</v>
      </c>
      <c r="C906" s="34" t="n">
        <v>45594</v>
      </c>
      <c r="D906" s="15" t="n">
        <v>9.300000000000001</v>
      </c>
      <c r="E906" s="15" t="n">
        <v>17.87</v>
      </c>
      <c r="F906" s="34" t="n">
        <v>45594</v>
      </c>
      <c r="G906" s="15" t="n">
        <v>59.2</v>
      </c>
      <c r="H906" s="15" t="n">
        <v>84.26000000000001</v>
      </c>
      <c r="I906" s="34" t="n">
        <v>45594</v>
      </c>
      <c r="J906" s="15" t="n">
        <v>7.56</v>
      </c>
      <c r="K906" s="15" t="n">
        <v>17.54</v>
      </c>
      <c r="L906" s="34" t="n">
        <v>45594</v>
      </c>
      <c r="M906" s="15" t="n">
        <v>26.05</v>
      </c>
      <c r="N906" s="15" t="n">
        <v>35.91</v>
      </c>
      <c r="O906" s="34" t="n">
        <v>45594</v>
      </c>
      <c r="P906" s="15" t="n">
        <v>54.1</v>
      </c>
      <c r="Q906" s="15" t="n">
        <v>68.83</v>
      </c>
      <c r="R906" s="34" t="n">
        <v>45594</v>
      </c>
      <c r="S906" s="15" t="n">
        <v>6.4</v>
      </c>
      <c r="V906" s="15" t="n">
        <v>23.75</v>
      </c>
      <c r="W906" s="15" t="n">
        <v>24.63</v>
      </c>
      <c r="X906" s="34" t="n">
        <v>45594</v>
      </c>
      <c r="Y906" s="15" t="n">
        <v>77</v>
      </c>
      <c r="Z906" s="15" t="n">
        <v>74.06999999999999</v>
      </c>
      <c r="AA906" s="34" t="n">
        <v>45594</v>
      </c>
    </row>
    <row r="907">
      <c r="A907" s="34" t="n">
        <v>45595</v>
      </c>
      <c r="B907" s="266" t="n">
        <v>1.089673042297363</v>
      </c>
      <c r="C907" s="34" t="n">
        <v>45595</v>
      </c>
      <c r="D907" s="15" t="n">
        <v>8.84</v>
      </c>
      <c r="E907" s="15" t="n">
        <v>17.42</v>
      </c>
      <c r="F907" s="34" t="n">
        <v>45595</v>
      </c>
      <c r="G907" s="15" t="n">
        <v>59.2</v>
      </c>
      <c r="H907" s="15" t="n">
        <v>85.81999999999999</v>
      </c>
      <c r="I907" s="34" t="n">
        <v>45595</v>
      </c>
      <c r="J907" s="15" t="n">
        <v>7.55</v>
      </c>
      <c r="K907" s="15" t="n">
        <v>17.55</v>
      </c>
      <c r="L907" s="34" t="n">
        <v>45595</v>
      </c>
      <c r="M907" s="15" t="n">
        <v>25.55</v>
      </c>
      <c r="N907" s="15" t="n">
        <v>34.87</v>
      </c>
      <c r="O907" s="34" t="n">
        <v>45595</v>
      </c>
      <c r="P907" s="15" t="n">
        <v>53.45</v>
      </c>
      <c r="Q907" s="15" t="n">
        <v>67.90000000000001</v>
      </c>
      <c r="R907" s="34" t="n">
        <v>45595</v>
      </c>
      <c r="S907" s="15" t="n">
        <v>6.18</v>
      </c>
      <c r="V907" s="15" t="n">
        <v>23.15</v>
      </c>
      <c r="W907" s="15" t="n">
        <v>24.01</v>
      </c>
      <c r="X907" s="34" t="n">
        <v>45595</v>
      </c>
      <c r="Y907" s="15" t="n">
        <v>74</v>
      </c>
      <c r="Z907" s="15" t="n">
        <v>72.75</v>
      </c>
      <c r="AA907" s="34" t="n">
        <v>45595</v>
      </c>
      <c r="AB907" s="15" t="n">
        <v>4.75</v>
      </c>
      <c r="AC907" s="15" t="n">
        <v>10</v>
      </c>
      <c r="AD907" s="34" t="n">
        <v>45595</v>
      </c>
    </row>
    <row r="908">
      <c r="A908" s="34" t="n">
        <v>45596</v>
      </c>
      <c r="B908" s="266" t="n">
        <v>1.091989994049072</v>
      </c>
      <c r="C908" s="34" t="n">
        <v>45596</v>
      </c>
      <c r="D908" s="15" t="n">
        <v>8.83</v>
      </c>
      <c r="E908" s="15" t="n">
        <v>17.53</v>
      </c>
      <c r="F908" s="34" t="n">
        <v>45596</v>
      </c>
      <c r="G908" s="15" t="n">
        <v>56.45</v>
      </c>
      <c r="H908" s="15" t="n">
        <v>82.91</v>
      </c>
      <c r="I908" s="34" t="n">
        <v>45596</v>
      </c>
      <c r="J908" s="15" t="n">
        <v>7.54</v>
      </c>
      <c r="K908" s="15" t="n">
        <v>17.22</v>
      </c>
      <c r="L908" s="34" t="n">
        <v>45596</v>
      </c>
      <c r="M908" s="15" t="n">
        <v>26.05</v>
      </c>
      <c r="N908" s="15" t="n">
        <v>35.95</v>
      </c>
      <c r="O908" s="34" t="n">
        <v>45596</v>
      </c>
      <c r="P908" s="15" t="n">
        <v>53.05</v>
      </c>
      <c r="Q908" s="15" t="n">
        <v>67.83</v>
      </c>
      <c r="R908" s="34" t="n">
        <v>45596</v>
      </c>
      <c r="S908" s="15" t="n">
        <v>6.32</v>
      </c>
      <c r="V908" s="15" t="n">
        <v>23.3</v>
      </c>
      <c r="W908" s="15" t="n">
        <v>24.89</v>
      </c>
      <c r="X908" s="34" t="n">
        <v>45596</v>
      </c>
      <c r="Y908" s="15" t="n">
        <v>73.05</v>
      </c>
      <c r="Z908" s="15" t="n">
        <v>71.42</v>
      </c>
      <c r="AA908" s="34" t="n">
        <v>45596</v>
      </c>
      <c r="AB908" s="15" t="n">
        <v>4.51</v>
      </c>
      <c r="AC908" s="15" t="n">
        <v>9.84</v>
      </c>
      <c r="AD908" s="34" t="n">
        <v>45596</v>
      </c>
    </row>
    <row r="909">
      <c r="A909" s="34" t="n">
        <v>45597</v>
      </c>
      <c r="B909" s="266" t="n">
        <v>1.091570019721985</v>
      </c>
      <c r="C909" s="34" t="n">
        <v>45597</v>
      </c>
      <c r="D909" s="15" t="n">
        <v>8.73</v>
      </c>
      <c r="E909" s="15" t="n">
        <v>16.96</v>
      </c>
      <c r="F909" s="34" t="n">
        <v>45597</v>
      </c>
      <c r="G909" s="15" t="n">
        <v>56.2</v>
      </c>
      <c r="H909" s="15" t="n">
        <v>81.2</v>
      </c>
      <c r="I909" s="34" t="n">
        <v>45597</v>
      </c>
      <c r="J909" s="15" t="n">
        <v>10.86</v>
      </c>
      <c r="K909" s="15" t="n">
        <v>20.66</v>
      </c>
      <c r="L909" s="34" t="n">
        <v>45597</v>
      </c>
      <c r="M909" s="15" t="n">
        <v>27</v>
      </c>
      <c r="N909" s="15" t="n">
        <v>36.09</v>
      </c>
      <c r="O909" s="34" t="n">
        <v>45597</v>
      </c>
      <c r="P909" s="15" t="n">
        <v>53.5</v>
      </c>
      <c r="Q909" s="15" t="n">
        <v>68.31999999999999</v>
      </c>
      <c r="R909" s="34" t="n">
        <v>45597</v>
      </c>
      <c r="S909" s="15" t="n">
        <v>6.24</v>
      </c>
      <c r="V909" s="15" t="n">
        <v>22.85</v>
      </c>
      <c r="W909" s="15" t="n">
        <v>23.78</v>
      </c>
      <c r="X909" s="34" t="n">
        <v>45597</v>
      </c>
      <c r="Y909" s="15" t="n">
        <v>71.15000000000001</v>
      </c>
      <c r="Z909" s="15" t="n">
        <v>72.25</v>
      </c>
      <c r="AA909" s="34" t="n">
        <v>45597</v>
      </c>
      <c r="AB909" s="15" t="n">
        <v>4.29</v>
      </c>
      <c r="AC909" s="15" t="n">
        <v>9.369999999999999</v>
      </c>
      <c r="AD909" s="34" t="n">
        <v>45597</v>
      </c>
    </row>
    <row r="910">
      <c r="A910" s="34" t="n">
        <v>45600</v>
      </c>
      <c r="B910" s="266" t="n">
        <v>1.091678023338318</v>
      </c>
      <c r="C910" s="34" t="n">
        <v>45600</v>
      </c>
      <c r="D910" s="15" t="n">
        <v>9.77</v>
      </c>
      <c r="E910" s="15" t="n">
        <v>18.66</v>
      </c>
      <c r="F910" s="34" t="n">
        <v>45600</v>
      </c>
      <c r="G910" s="15" t="n">
        <v>56.6</v>
      </c>
      <c r="H910" s="15" t="n">
        <v>83.39</v>
      </c>
      <c r="I910" s="34" t="n">
        <v>45600</v>
      </c>
      <c r="J910" s="15" t="n">
        <v>9.279999999999999</v>
      </c>
      <c r="K910" s="15" t="n">
        <v>20.95</v>
      </c>
      <c r="L910" s="34" t="n">
        <v>45600</v>
      </c>
      <c r="M910" s="15" t="n">
        <v>27.05</v>
      </c>
      <c r="N910" s="15" t="n">
        <v>36.17</v>
      </c>
      <c r="O910" s="34" t="n">
        <v>45600</v>
      </c>
      <c r="P910" s="15" t="n">
        <v>55</v>
      </c>
      <c r="Q910" s="15" t="n">
        <v>70.20999999999999</v>
      </c>
      <c r="R910" s="34" t="n">
        <v>45600</v>
      </c>
      <c r="S910" s="15" t="n">
        <v>6.08</v>
      </c>
      <c r="V910" s="15" t="n">
        <v>22.95</v>
      </c>
      <c r="W910" s="15" t="n">
        <v>24.48</v>
      </c>
      <c r="X910" s="34" t="n">
        <v>45600</v>
      </c>
      <c r="Y910" s="15" t="n">
        <v>72.25</v>
      </c>
      <c r="Z910" s="15" t="n">
        <v>72.84</v>
      </c>
      <c r="AA910" s="34" t="n">
        <v>45600</v>
      </c>
      <c r="AB910" s="15" t="n">
        <v>4.41</v>
      </c>
      <c r="AC910" s="15" t="n">
        <v>9.5</v>
      </c>
      <c r="AD910" s="34" t="n">
        <v>45600</v>
      </c>
    </row>
    <row r="911">
      <c r="A911" s="34" t="n">
        <v>45601</v>
      </c>
      <c r="B911" s="266" t="n">
        <v>1.094761967658997</v>
      </c>
      <c r="C911" s="34" t="n">
        <v>45601</v>
      </c>
      <c r="D911" s="15" t="n">
        <v>9.720000000000001</v>
      </c>
      <c r="E911" s="15" t="n">
        <v>19.1</v>
      </c>
      <c r="F911" s="34" t="n">
        <v>45601</v>
      </c>
      <c r="G911" s="15" t="n">
        <v>59.75</v>
      </c>
      <c r="H911" s="15" t="n">
        <v>87.08</v>
      </c>
      <c r="I911" s="34" t="n">
        <v>45601</v>
      </c>
      <c r="J911" s="15" t="n">
        <v>10.06</v>
      </c>
      <c r="K911" s="15" t="n">
        <v>23.26</v>
      </c>
      <c r="L911" s="34" t="n">
        <v>45601</v>
      </c>
      <c r="M911" s="15" t="n">
        <v>27.5</v>
      </c>
      <c r="N911" s="15" t="n">
        <v>37.15</v>
      </c>
      <c r="O911" s="34" t="n">
        <v>45601</v>
      </c>
      <c r="P911" s="15" t="n">
        <v>57.7</v>
      </c>
      <c r="Q911" s="15" t="n">
        <v>72.90000000000001</v>
      </c>
      <c r="R911" s="34" t="n">
        <v>45601</v>
      </c>
      <c r="S911" s="15" t="n">
        <v>6.12</v>
      </c>
      <c r="V911" s="15" t="n">
        <v>22.85</v>
      </c>
      <c r="W911" s="15" t="n">
        <v>25.63</v>
      </c>
      <c r="X911" s="34" t="n">
        <v>45601</v>
      </c>
      <c r="Y911" s="15" t="n">
        <v>74</v>
      </c>
      <c r="Z911" s="15" t="n">
        <v>73.13</v>
      </c>
      <c r="AA911" s="34" t="n">
        <v>45601</v>
      </c>
      <c r="AB911" s="15" t="n">
        <v>4.55</v>
      </c>
      <c r="AC911" s="15" t="n">
        <v>10.45</v>
      </c>
      <c r="AD911" s="34" t="n">
        <v>45601</v>
      </c>
    </row>
    <row r="912">
      <c r="A912" s="34" t="n">
        <v>45602</v>
      </c>
      <c r="B912" s="266" t="n">
        <v>1.094082951545715</v>
      </c>
      <c r="C912" s="34" t="n">
        <v>45602</v>
      </c>
      <c r="D912" s="15" t="n">
        <v>9.74</v>
      </c>
      <c r="E912" s="15" t="n">
        <v>19.15</v>
      </c>
      <c r="F912" s="34" t="n">
        <v>45602</v>
      </c>
      <c r="G912" s="15" t="n">
        <v>61.3</v>
      </c>
      <c r="H912" s="15" t="n">
        <v>88.3</v>
      </c>
      <c r="I912" s="34" t="n">
        <v>45602</v>
      </c>
      <c r="J912" s="15" t="n">
        <v>10.76</v>
      </c>
      <c r="K912" s="15" t="n">
        <v>24.59</v>
      </c>
      <c r="L912" s="34" t="n">
        <v>45602</v>
      </c>
      <c r="M912" s="15" t="n">
        <v>27.7</v>
      </c>
      <c r="N912" s="15" t="n">
        <v>37.4</v>
      </c>
      <c r="O912" s="34" t="n">
        <v>45602</v>
      </c>
      <c r="P912" s="15" t="n">
        <v>56.65</v>
      </c>
      <c r="Q912" s="15" t="n">
        <v>72.65000000000001</v>
      </c>
      <c r="R912" s="34" t="n">
        <v>45602</v>
      </c>
      <c r="S912" s="15" t="n">
        <v>6.1</v>
      </c>
      <c r="V912" s="15" t="n">
        <v>22.65</v>
      </c>
      <c r="W912" s="15" t="n">
        <v>25.3</v>
      </c>
      <c r="X912" s="34" t="n">
        <v>45602</v>
      </c>
      <c r="Y912" s="15" t="n">
        <v>70.90000000000001</v>
      </c>
      <c r="Z912" s="15" t="n">
        <v>71.17</v>
      </c>
      <c r="AA912" s="34" t="n">
        <v>45602</v>
      </c>
      <c r="AB912" s="15" t="n">
        <v>4.54</v>
      </c>
      <c r="AC912" s="15" t="n">
        <v>10.8</v>
      </c>
      <c r="AD912" s="34" t="n">
        <v>45602</v>
      </c>
    </row>
    <row r="913">
      <c r="A913" s="34" t="n">
        <v>45603</v>
      </c>
      <c r="B913" s="266" t="n">
        <v>1.083237051963806</v>
      </c>
      <c r="C913" s="34" t="n">
        <v>45603</v>
      </c>
      <c r="D913" s="15" t="n">
        <v>10.34</v>
      </c>
      <c r="E913" s="15" t="n">
        <v>19.6</v>
      </c>
      <c r="F913" s="34" t="n">
        <v>45603</v>
      </c>
      <c r="G913" s="15" t="n">
        <v>61.1</v>
      </c>
      <c r="H913" s="15" t="n">
        <v>88.5</v>
      </c>
      <c r="I913" s="34" t="n">
        <v>45603</v>
      </c>
      <c r="J913" s="15" t="n">
        <v>10.04</v>
      </c>
      <c r="K913" s="15" t="n">
        <v>23.55</v>
      </c>
      <c r="L913" s="34" t="n">
        <v>45603</v>
      </c>
      <c r="M913" s="15" t="n">
        <v>27.5</v>
      </c>
      <c r="N913" s="15" t="n">
        <v>37.69</v>
      </c>
      <c r="O913" s="34" t="n">
        <v>45603</v>
      </c>
      <c r="P913" s="15" t="n">
        <v>61.65</v>
      </c>
      <c r="Q913" s="15" t="n">
        <v>76.92</v>
      </c>
      <c r="R913" s="34" t="n">
        <v>45603</v>
      </c>
      <c r="S913" s="15" t="n">
        <v>6.16</v>
      </c>
      <c r="V913" s="15" t="n">
        <v>22.8</v>
      </c>
      <c r="W913" s="15" t="n">
        <v>26.54</v>
      </c>
      <c r="X913" s="34" t="n">
        <v>45603</v>
      </c>
      <c r="Y913" s="15" t="n">
        <v>70.05</v>
      </c>
      <c r="Z913" s="15" t="n">
        <v>72.09999999999999</v>
      </c>
      <c r="AA913" s="34" t="n">
        <v>45603</v>
      </c>
      <c r="AB913" s="15" t="n">
        <v>4.35</v>
      </c>
      <c r="AC913" s="15" t="n">
        <v>10.65</v>
      </c>
      <c r="AD913" s="34" t="n">
        <v>45603</v>
      </c>
    </row>
    <row r="914">
      <c r="A914" s="34" t="n">
        <v>45604</v>
      </c>
      <c r="B914" s="266" t="n">
        <v>1.087854027748108</v>
      </c>
      <c r="C914" s="34" t="n">
        <v>45604</v>
      </c>
      <c r="D914" s="15" t="n">
        <v>10.5</v>
      </c>
      <c r="E914" s="15" t="n">
        <v>19.5</v>
      </c>
      <c r="F914" s="34" t="n">
        <v>45604</v>
      </c>
      <c r="G914" s="15" t="n">
        <v>59.3</v>
      </c>
      <c r="H914" s="15" t="n">
        <v>86.3</v>
      </c>
      <c r="I914" s="34" t="n">
        <v>45604</v>
      </c>
      <c r="J914" s="15" t="n">
        <v>9.77</v>
      </c>
      <c r="K914" s="15" t="n">
        <v>22.02</v>
      </c>
      <c r="L914" s="34" t="n">
        <v>45604</v>
      </c>
      <c r="M914" s="15" t="n">
        <v>27.2</v>
      </c>
      <c r="N914" s="15" t="n">
        <v>37.98</v>
      </c>
      <c r="O914" s="34" t="n">
        <v>45604</v>
      </c>
      <c r="P914" s="15" t="n">
        <v>58.75</v>
      </c>
      <c r="Q914" s="15" t="n">
        <v>75.8</v>
      </c>
      <c r="R914" s="34" t="n">
        <v>45604</v>
      </c>
      <c r="S914" s="15" t="n">
        <v>6.01</v>
      </c>
      <c r="V914" s="15" t="n">
        <v>22.7</v>
      </c>
      <c r="W914" s="15" t="n">
        <v>26.58</v>
      </c>
      <c r="X914" s="34" t="n">
        <v>45604</v>
      </c>
      <c r="Y914" s="15" t="n">
        <v>72</v>
      </c>
      <c r="Z914" s="15" t="n">
        <v>72.58</v>
      </c>
      <c r="AA914" s="34" t="n">
        <v>45604</v>
      </c>
      <c r="AB914" s="15" t="n">
        <v>4.39</v>
      </c>
      <c r="AC914" s="15" t="n">
        <v>10.9</v>
      </c>
      <c r="AD914" s="34" t="n">
        <v>45604</v>
      </c>
    </row>
    <row r="915">
      <c r="A915" s="34" t="n">
        <v>45607</v>
      </c>
      <c r="B915" s="266" t="n">
        <v>1.082896947860718</v>
      </c>
      <c r="C915" s="34" t="n">
        <v>45607</v>
      </c>
      <c r="D915" s="15" t="n">
        <v>10.28</v>
      </c>
      <c r="E915" s="15" t="n">
        <v>19.81</v>
      </c>
      <c r="F915" s="34" t="n">
        <v>45607</v>
      </c>
      <c r="G915" s="15" t="n">
        <v>60.3</v>
      </c>
      <c r="H915" s="15" t="n">
        <v>89.8</v>
      </c>
      <c r="I915" s="34" t="n">
        <v>45607</v>
      </c>
      <c r="J915" s="15" t="n">
        <v>9.85</v>
      </c>
      <c r="K915" s="15" t="n">
        <v>22.56</v>
      </c>
      <c r="L915" s="34" t="n">
        <v>45607</v>
      </c>
      <c r="M915" s="15" t="n">
        <v>28.65</v>
      </c>
      <c r="N915" s="15" t="n">
        <v>40.83</v>
      </c>
      <c r="O915" s="34" t="n">
        <v>45607</v>
      </c>
      <c r="P915" s="15" t="n">
        <v>56.85</v>
      </c>
      <c r="Q915" s="15" t="n">
        <v>74.43000000000001</v>
      </c>
      <c r="R915" s="34" t="n">
        <v>45607</v>
      </c>
      <c r="S915" s="15" t="n">
        <v>6.06</v>
      </c>
      <c r="V915" s="15" t="n">
        <v>22.75</v>
      </c>
      <c r="W915" s="15" t="n">
        <v>28.45</v>
      </c>
      <c r="X915" s="34" t="n">
        <v>45607</v>
      </c>
      <c r="Y915" s="15" t="n">
        <v>71.75</v>
      </c>
      <c r="Z915" s="15" t="n">
        <v>71.59999999999999</v>
      </c>
      <c r="AA915" s="34" t="n">
        <v>45607</v>
      </c>
      <c r="AB915" s="15" t="n">
        <v>4.23</v>
      </c>
      <c r="AC915" s="15" t="n">
        <v>11.22</v>
      </c>
      <c r="AD915" s="34" t="n">
        <v>45607</v>
      </c>
    </row>
    <row r="916">
      <c r="A916" s="34" t="n">
        <v>45608</v>
      </c>
      <c r="B916" s="266" t="n">
        <v>1.077934980392456</v>
      </c>
      <c r="C916" s="34" t="n">
        <v>45608</v>
      </c>
      <c r="D916" s="15" t="n">
        <v>10.52</v>
      </c>
      <c r="E916" s="15" t="n">
        <v>19.69</v>
      </c>
      <c r="F916" s="34" t="n">
        <v>45608</v>
      </c>
      <c r="G916" s="15" t="n">
        <v>61.95</v>
      </c>
      <c r="H916" s="15" t="n">
        <v>91.25</v>
      </c>
      <c r="I916" s="34" t="n">
        <v>45608</v>
      </c>
      <c r="J916" s="15" t="n">
        <v>9.16</v>
      </c>
      <c r="K916" s="15" t="n">
        <v>22.02</v>
      </c>
      <c r="L916" s="34" t="n">
        <v>45608</v>
      </c>
      <c r="M916" s="15" t="n">
        <v>28.7</v>
      </c>
      <c r="N916" s="15" t="n">
        <v>41.8</v>
      </c>
      <c r="O916" s="34" t="n">
        <v>45608</v>
      </c>
      <c r="P916" s="15" t="n">
        <v>55</v>
      </c>
      <c r="Q916" s="15" t="n">
        <v>74.2</v>
      </c>
      <c r="R916" s="34" t="n">
        <v>45608</v>
      </c>
      <c r="S916" s="15" t="n">
        <v>5.99</v>
      </c>
      <c r="V916" s="15" t="n">
        <v>22.5</v>
      </c>
      <c r="W916" s="15" t="n">
        <v>28.02</v>
      </c>
      <c r="X916" s="34" t="n">
        <v>45608</v>
      </c>
      <c r="Y916" s="15" t="n">
        <v>71.05</v>
      </c>
      <c r="Z916" s="15" t="n">
        <v>72.39</v>
      </c>
      <c r="AA916" s="34" t="n">
        <v>45608</v>
      </c>
      <c r="AB916" s="15" t="n">
        <v>4.2</v>
      </c>
      <c r="AC916" s="15" t="n">
        <v>10.86</v>
      </c>
      <c r="AD916" s="34" t="n">
        <v>45608</v>
      </c>
    </row>
    <row r="917">
      <c r="A917" s="34" t="n">
        <v>45609</v>
      </c>
      <c r="B917" s="266" t="n">
        <v>1.075376033782959</v>
      </c>
      <c r="C917" s="34" t="n">
        <v>45609</v>
      </c>
      <c r="D917" s="15" t="n">
        <v>9.960000000000001</v>
      </c>
      <c r="E917" s="15" t="n">
        <v>19.29</v>
      </c>
      <c r="F917" s="34" t="n">
        <v>45609</v>
      </c>
      <c r="G917" s="15" t="n">
        <v>58.7</v>
      </c>
      <c r="H917" s="15" t="n">
        <v>88.58</v>
      </c>
      <c r="I917" s="34" t="n">
        <v>45609</v>
      </c>
      <c r="J917" s="15" t="n">
        <v>9.449999999999999</v>
      </c>
      <c r="K917" s="15" t="n">
        <v>22.31</v>
      </c>
      <c r="L917" s="34" t="n">
        <v>45609</v>
      </c>
      <c r="M917" s="15" t="n">
        <v>29.8</v>
      </c>
      <c r="N917" s="15" t="n">
        <v>42.83</v>
      </c>
      <c r="O917" s="34" t="n">
        <v>45609</v>
      </c>
      <c r="P917" s="15" t="n">
        <v>54.4</v>
      </c>
      <c r="Q917" s="15" t="n">
        <v>74.16</v>
      </c>
      <c r="R917" s="34" t="n">
        <v>45609</v>
      </c>
      <c r="S917" s="15" t="n">
        <v>5.76</v>
      </c>
      <c r="V917" s="15" t="n">
        <v>22.45</v>
      </c>
      <c r="W917" s="15" t="n">
        <v>28.43</v>
      </c>
      <c r="X917" s="34" t="n">
        <v>45609</v>
      </c>
      <c r="Y917" s="15" t="n">
        <v>72.34999999999999</v>
      </c>
      <c r="Z917" s="15" t="n">
        <v>73.40000000000001</v>
      </c>
      <c r="AA917" s="34" t="n">
        <v>45609</v>
      </c>
      <c r="AB917" s="15" t="n">
        <v>4.24</v>
      </c>
      <c r="AC917" s="15" t="n">
        <v>10.93</v>
      </c>
      <c r="AD917" s="34" t="n">
        <v>45609</v>
      </c>
    </row>
    <row r="918">
      <c r="A918" s="34" t="n">
        <v>45610</v>
      </c>
      <c r="B918" s="266" t="n">
        <v>1.07691502571106</v>
      </c>
      <c r="C918" s="34" t="n">
        <v>45610</v>
      </c>
      <c r="D918" s="15" t="n">
        <v>9.199999999999999</v>
      </c>
      <c r="E918" s="15" t="n">
        <v>18.45</v>
      </c>
      <c r="F918" s="34" t="n">
        <v>45610</v>
      </c>
      <c r="G918" s="15" t="n">
        <v>56.25</v>
      </c>
      <c r="H918" s="15" t="n">
        <v>85.72</v>
      </c>
      <c r="I918" s="34" t="n">
        <v>45610</v>
      </c>
      <c r="J918" s="15" t="n">
        <v>8.58</v>
      </c>
      <c r="K918" s="15" t="n">
        <v>20.67</v>
      </c>
      <c r="L918" s="34" t="n">
        <v>45610</v>
      </c>
      <c r="M918" s="15" t="n">
        <v>28</v>
      </c>
      <c r="N918" s="15" t="n">
        <v>39.96</v>
      </c>
      <c r="O918" s="34" t="n">
        <v>45610</v>
      </c>
      <c r="P918" s="15" t="n">
        <v>51.9</v>
      </c>
      <c r="Q918" s="15" t="n">
        <v>72.09</v>
      </c>
      <c r="R918" s="34" t="n">
        <v>45610</v>
      </c>
      <c r="S918" s="15" t="n">
        <v>5.6</v>
      </c>
      <c r="V918" s="15" t="n">
        <v>21.65</v>
      </c>
      <c r="W918" s="15" t="n">
        <v>27.12</v>
      </c>
      <c r="X918" s="34" t="n">
        <v>45610</v>
      </c>
      <c r="Y918" s="15" t="n">
        <v>71</v>
      </c>
      <c r="Z918" s="15" t="n">
        <v>73.64</v>
      </c>
      <c r="AA918" s="34" t="n">
        <v>45610</v>
      </c>
      <c r="AB918" s="15" t="n">
        <v>4.1</v>
      </c>
      <c r="AC918" s="15" t="n">
        <v>10.57</v>
      </c>
      <c r="AD918" s="34" t="n">
        <v>45610</v>
      </c>
    </row>
    <row r="919">
      <c r="A919" s="34" t="n">
        <v>45611</v>
      </c>
      <c r="B919" s="266" t="n">
        <v>1.07588803768158</v>
      </c>
      <c r="C919" s="34" t="n">
        <v>45611</v>
      </c>
      <c r="D919" s="15" t="n">
        <v>9.220000000000001</v>
      </c>
      <c r="E919" s="15" t="n">
        <v>17.78</v>
      </c>
      <c r="F919" s="34" t="n">
        <v>45611</v>
      </c>
      <c r="G919" s="15" t="n">
        <v>55</v>
      </c>
      <c r="H919" s="15" t="n">
        <v>83.06</v>
      </c>
      <c r="I919" s="34" t="n">
        <v>45611</v>
      </c>
      <c r="J919" s="15" t="n">
        <v>8.1</v>
      </c>
      <c r="K919" s="15" t="n">
        <v>19.66</v>
      </c>
      <c r="L919" s="34" t="n">
        <v>45611</v>
      </c>
      <c r="M919" s="15" t="n">
        <v>26.65</v>
      </c>
      <c r="N919" s="15" t="n">
        <v>37.81</v>
      </c>
      <c r="O919" s="34" t="n">
        <v>45611</v>
      </c>
      <c r="P919" s="15" t="n">
        <v>52.8</v>
      </c>
      <c r="Q919" s="15" t="n">
        <v>70.72</v>
      </c>
      <c r="R919" s="34" t="n">
        <v>45611</v>
      </c>
      <c r="S919" s="15" t="n">
        <v>6.1</v>
      </c>
      <c r="V919" s="15" t="n">
        <v>21.6</v>
      </c>
      <c r="W919" s="15" t="n">
        <v>26.19</v>
      </c>
      <c r="X919" s="34" t="n">
        <v>45611</v>
      </c>
      <c r="Y919" s="15" t="n">
        <v>70.40000000000001</v>
      </c>
      <c r="Z919" s="15" t="n">
        <v>72.25</v>
      </c>
      <c r="AA919" s="34" t="n">
        <v>45611</v>
      </c>
      <c r="AB919" s="15" t="n">
        <v>3.94</v>
      </c>
      <c r="AC919" s="15" t="n">
        <v>10.32</v>
      </c>
      <c r="AD919" s="34" t="n">
        <v>45611</v>
      </c>
    </row>
    <row r="920">
      <c r="A920" s="34" t="n">
        <v>45614</v>
      </c>
      <c r="B920" s="266" t="n">
        <v>1.076550960540771</v>
      </c>
      <c r="C920" s="34" t="n">
        <v>45614</v>
      </c>
      <c r="D920" s="15" t="n">
        <v>9.15</v>
      </c>
      <c r="E920" s="15" t="n">
        <v>17.3</v>
      </c>
      <c r="F920" s="34" t="n">
        <v>45614</v>
      </c>
      <c r="G920" s="15" t="n">
        <v>53.6</v>
      </c>
      <c r="H920" s="15" t="n">
        <v>82.89</v>
      </c>
      <c r="I920" s="34" t="n">
        <v>45614</v>
      </c>
      <c r="J920" s="15" t="n">
        <v>8.039999999999999</v>
      </c>
      <c r="K920" s="15" t="n">
        <v>18.57</v>
      </c>
      <c r="L920" s="34" t="n">
        <v>45614</v>
      </c>
      <c r="M920" s="15" t="n">
        <v>27.05</v>
      </c>
      <c r="N920" s="15" t="n">
        <v>37.45</v>
      </c>
      <c r="O920" s="34" t="n">
        <v>45614</v>
      </c>
      <c r="P920" s="15" t="n">
        <v>52.25</v>
      </c>
      <c r="Q920" s="15" t="n">
        <v>69.77</v>
      </c>
      <c r="R920" s="34" t="n">
        <v>45614</v>
      </c>
      <c r="S920" s="15" t="n">
        <v>6</v>
      </c>
      <c r="V920" s="15" t="n">
        <v>21.75</v>
      </c>
      <c r="W920" s="15" t="n">
        <v>25.1</v>
      </c>
      <c r="X920" s="34" t="n">
        <v>45614</v>
      </c>
      <c r="Y920" s="15" t="n">
        <v>69.8</v>
      </c>
      <c r="Z920" s="15" t="n">
        <v>71.05</v>
      </c>
      <c r="AA920" s="34" t="n">
        <v>45614</v>
      </c>
      <c r="AB920" s="15" t="n">
        <v>3.85</v>
      </c>
      <c r="AC920" s="15" t="n">
        <v>9.869999999999999</v>
      </c>
      <c r="AD920" s="34" t="n">
        <v>45614</v>
      </c>
    </row>
    <row r="921">
      <c r="A921" s="34" t="n">
        <v>45615</v>
      </c>
      <c r="B921" s="266" t="n">
        <v>1.075461030006409</v>
      </c>
      <c r="C921" s="34" t="n">
        <v>45615</v>
      </c>
      <c r="D921" s="15" t="n">
        <v>9.59</v>
      </c>
      <c r="E921" s="15" t="n">
        <v>18.14</v>
      </c>
      <c r="F921" s="34" t="n">
        <v>45615</v>
      </c>
      <c r="G921" s="15" t="n">
        <v>53.75</v>
      </c>
      <c r="H921" s="15" t="n">
        <v>85.66</v>
      </c>
      <c r="I921" s="34" t="n">
        <v>45615</v>
      </c>
      <c r="J921" s="15" t="n">
        <v>8.59</v>
      </c>
      <c r="K921" s="15" t="n">
        <v>19.49</v>
      </c>
      <c r="L921" s="34" t="n">
        <v>45615</v>
      </c>
      <c r="M921" s="15" t="n">
        <v>29.7</v>
      </c>
      <c r="N921" s="15" t="n">
        <v>41.2</v>
      </c>
      <c r="O921" s="34" t="n">
        <v>45615</v>
      </c>
      <c r="P921" s="15" t="n">
        <v>52.25</v>
      </c>
      <c r="Q921" s="15" t="n">
        <v>70.31</v>
      </c>
      <c r="R921" s="34" t="n">
        <v>45615</v>
      </c>
      <c r="S921" s="15" t="n">
        <v>6</v>
      </c>
      <c r="V921" s="15" t="n">
        <v>21.7</v>
      </c>
      <c r="W921" s="15" t="n">
        <v>25.69</v>
      </c>
      <c r="X921" s="34" t="n">
        <v>45615</v>
      </c>
      <c r="Y921" s="15" t="n">
        <v>70.15000000000001</v>
      </c>
      <c r="Z921" s="15" t="n">
        <v>71.31</v>
      </c>
      <c r="AA921" s="34" t="n">
        <v>45615</v>
      </c>
      <c r="AB921" s="15" t="n">
        <v>3.86</v>
      </c>
      <c r="AC921" s="15" t="n">
        <v>10.29</v>
      </c>
      <c r="AD921" s="34" t="n">
        <v>45615</v>
      </c>
    </row>
    <row r="922">
      <c r="A922" s="34" t="n">
        <v>45616</v>
      </c>
      <c r="B922" s="266" t="n">
        <v>1.075147032737732</v>
      </c>
      <c r="C922" s="34" t="n">
        <v>45616</v>
      </c>
      <c r="D922" s="15" t="n">
        <v>10</v>
      </c>
      <c r="E922" s="15" t="n">
        <v>18.87</v>
      </c>
      <c r="F922" s="34" t="n">
        <v>45616</v>
      </c>
      <c r="G922" s="15" t="n">
        <v>54.45</v>
      </c>
      <c r="H922" s="15" t="n">
        <v>88.90000000000001</v>
      </c>
      <c r="I922" s="34" t="n">
        <v>45616</v>
      </c>
      <c r="J922" s="15" t="n">
        <v>8.640000000000001</v>
      </c>
      <c r="K922" s="15" t="n">
        <v>19.71</v>
      </c>
      <c r="L922" s="34" t="n">
        <v>45616</v>
      </c>
      <c r="M922" s="15" t="n">
        <v>29.4</v>
      </c>
      <c r="N922" s="15" t="n">
        <v>41.4</v>
      </c>
      <c r="O922" s="34" t="n">
        <v>45616</v>
      </c>
      <c r="P922" s="15" t="n">
        <v>52.75</v>
      </c>
      <c r="Q922" s="15" t="n">
        <v>70.40000000000001</v>
      </c>
      <c r="R922" s="34" t="n">
        <v>45616</v>
      </c>
      <c r="S922" s="15" t="n">
        <v>6</v>
      </c>
      <c r="V922" s="15" t="n">
        <v>21.85</v>
      </c>
      <c r="W922" s="15" t="n">
        <v>26.13</v>
      </c>
      <c r="X922" s="34" t="n">
        <v>45616</v>
      </c>
      <c r="Y922" s="15" t="n">
        <v>69.3</v>
      </c>
      <c r="Z922" s="15" t="n">
        <v>71.43000000000001</v>
      </c>
      <c r="AA922" s="34" t="n">
        <v>45616</v>
      </c>
      <c r="AB922" s="15" t="n">
        <v>3.84</v>
      </c>
      <c r="AC922" s="15" t="n">
        <v>10.34</v>
      </c>
      <c r="AD922" s="34" t="n">
        <v>45616</v>
      </c>
    </row>
    <row r="923">
      <c r="A923" s="34" t="n">
        <v>45617</v>
      </c>
      <c r="B923" s="266" t="n">
        <v>1.074183940887451</v>
      </c>
      <c r="C923" s="34" t="n">
        <v>45617</v>
      </c>
      <c r="D923" s="15" t="n">
        <v>9.85</v>
      </c>
      <c r="E923" s="15" t="n">
        <v>18.84</v>
      </c>
      <c r="F923" s="34" t="n">
        <v>45617</v>
      </c>
      <c r="G923" s="15" t="n">
        <v>55.2</v>
      </c>
      <c r="H923" s="15" t="n">
        <v>88.5</v>
      </c>
      <c r="I923" s="34" t="n">
        <v>45617</v>
      </c>
      <c r="J923" s="15" t="n">
        <v>8.34</v>
      </c>
      <c r="K923" s="15" t="n">
        <v>19.44</v>
      </c>
      <c r="L923" s="34" t="n">
        <v>45617</v>
      </c>
      <c r="M923" s="15" t="n">
        <v>28.65</v>
      </c>
      <c r="N923" s="15" t="n">
        <v>41.5</v>
      </c>
      <c r="O923" s="34" t="n">
        <v>45617</v>
      </c>
      <c r="P923" s="15" t="n">
        <v>51.6</v>
      </c>
      <c r="Q923" s="15" t="n">
        <v>70.01000000000001</v>
      </c>
      <c r="R923" s="34" t="n">
        <v>45617</v>
      </c>
      <c r="S923" s="15" t="n">
        <v>6</v>
      </c>
      <c r="V923" s="15" t="n">
        <v>21.4</v>
      </c>
      <c r="W923" s="15" t="n">
        <v>26.49</v>
      </c>
      <c r="X923" s="34" t="n">
        <v>45617</v>
      </c>
      <c r="Y923" s="15" t="n">
        <v>67.09999999999999</v>
      </c>
      <c r="Z923" s="15" t="n">
        <v>70.84</v>
      </c>
      <c r="AA923" s="34" t="n">
        <v>45617</v>
      </c>
      <c r="AB923" s="15" t="n">
        <v>3.88</v>
      </c>
      <c r="AC923" s="15" t="n">
        <v>10.45</v>
      </c>
      <c r="AD923" s="34" t="n">
        <v>45617</v>
      </c>
    </row>
    <row r="924">
      <c r="A924" s="34" t="n">
        <v>45618</v>
      </c>
      <c r="B924" s="266" t="n">
        <v>1.075669050216675</v>
      </c>
      <c r="C924" s="34" t="n">
        <v>45618</v>
      </c>
      <c r="D924" s="15" t="n">
        <v>9.4</v>
      </c>
      <c r="E924" s="15" t="n">
        <v>17.68</v>
      </c>
      <c r="F924" s="34" t="n">
        <v>45618</v>
      </c>
      <c r="G924" s="15" t="n">
        <v>53.2</v>
      </c>
      <c r="H924" s="15" t="n">
        <v>84</v>
      </c>
      <c r="I924" s="34" t="n">
        <v>45618</v>
      </c>
      <c r="J924" s="15" t="n">
        <v>9.4</v>
      </c>
      <c r="K924" s="15" t="n">
        <v>21.09</v>
      </c>
      <c r="L924" s="34" t="n">
        <v>45618</v>
      </c>
      <c r="M924" s="15" t="n">
        <v>27</v>
      </c>
      <c r="N924" s="15" t="n">
        <v>39.81</v>
      </c>
      <c r="O924" s="34" t="n">
        <v>45618</v>
      </c>
      <c r="P924" s="15" t="n">
        <v>49.35</v>
      </c>
      <c r="Q924" s="15" t="n">
        <v>67.40000000000001</v>
      </c>
      <c r="R924" s="34" t="n">
        <v>45618</v>
      </c>
      <c r="S924" s="15" t="n">
        <v>5.67</v>
      </c>
      <c r="V924" s="15" t="n">
        <v>20.1</v>
      </c>
      <c r="W924" s="15" t="n">
        <v>24.94</v>
      </c>
      <c r="X924" s="34" t="n">
        <v>45618</v>
      </c>
      <c r="Y924" s="15" t="n">
        <v>67.84999999999999</v>
      </c>
      <c r="Z924" s="15" t="n">
        <v>70.39</v>
      </c>
      <c r="AA924" s="34" t="n">
        <v>45618</v>
      </c>
      <c r="AB924" s="15" t="n">
        <v>3.89</v>
      </c>
      <c r="AC924" s="15" t="n">
        <v>10.1</v>
      </c>
      <c r="AD924" s="34" t="n">
        <v>45618</v>
      </c>
    </row>
    <row r="925">
      <c r="A925" s="34" t="n">
        <v>45621</v>
      </c>
      <c r="B925" s="266" t="n">
        <v>1.074473023414612</v>
      </c>
      <c r="C925" s="34" t="n">
        <v>45621</v>
      </c>
      <c r="D925" s="15" t="n">
        <v>9.369999999999999</v>
      </c>
      <c r="E925" s="15" t="n">
        <v>17.87</v>
      </c>
      <c r="F925" s="34" t="n">
        <v>45621</v>
      </c>
      <c r="G925" s="15" t="n">
        <v>52.15</v>
      </c>
      <c r="H925" s="15" t="n">
        <v>83.25</v>
      </c>
      <c r="I925" s="34" t="n">
        <v>45621</v>
      </c>
      <c r="J925" s="15" t="n">
        <v>9.220000000000001</v>
      </c>
      <c r="K925" s="15" t="n">
        <v>20.74</v>
      </c>
      <c r="L925" s="34" t="n">
        <v>45621</v>
      </c>
      <c r="M925" s="15" t="n">
        <v>27.8</v>
      </c>
      <c r="N925" s="15" t="n">
        <v>40.35</v>
      </c>
      <c r="O925" s="34" t="n">
        <v>45621</v>
      </c>
      <c r="P925" s="15" t="n">
        <v>50.25</v>
      </c>
      <c r="Q925" s="15" t="n">
        <v>68</v>
      </c>
      <c r="R925" s="34" t="n">
        <v>45621</v>
      </c>
      <c r="S925" s="15" t="n">
        <v>5.89</v>
      </c>
      <c r="V925" s="15" t="n">
        <v>19.7</v>
      </c>
      <c r="W925" s="15" t="n">
        <v>25.26</v>
      </c>
      <c r="X925" s="34" t="n">
        <v>45621</v>
      </c>
      <c r="Y925" s="15" t="n">
        <v>70.75</v>
      </c>
      <c r="Z925" s="15" t="n">
        <v>70.39</v>
      </c>
      <c r="AA925" s="34" t="n">
        <v>45621</v>
      </c>
      <c r="AB925" s="15" t="n">
        <v>6.4</v>
      </c>
      <c r="AC925" s="15" t="n">
        <v>11.11</v>
      </c>
      <c r="AD925" s="34" t="n">
        <v>45621</v>
      </c>
    </row>
    <row r="926">
      <c r="A926" s="34" t="n">
        <v>45622</v>
      </c>
      <c r="B926" s="266" t="n">
        <v>1.073958039283752</v>
      </c>
      <c r="C926" s="34" t="n">
        <v>45622</v>
      </c>
      <c r="D926" s="15" t="n">
        <v>9.24</v>
      </c>
      <c r="E926" s="15" t="n">
        <v>17.45</v>
      </c>
      <c r="F926" s="34" t="n">
        <v>45622</v>
      </c>
      <c r="G926" s="15" t="n">
        <v>50.8</v>
      </c>
      <c r="H926" s="15" t="n">
        <v>81.23999999999999</v>
      </c>
      <c r="I926" s="34" t="n">
        <v>45622</v>
      </c>
      <c r="J926" s="15" t="n">
        <v>8.890000000000001</v>
      </c>
      <c r="K926" s="15" t="n">
        <v>19.38</v>
      </c>
      <c r="L926" s="34" t="n">
        <v>45622</v>
      </c>
      <c r="M926" s="15" t="n">
        <v>26.65</v>
      </c>
      <c r="N926" s="15" t="n">
        <v>38.17</v>
      </c>
      <c r="O926" s="34" t="n">
        <v>45622</v>
      </c>
      <c r="P926" s="15" t="n">
        <v>49.95</v>
      </c>
      <c r="Q926" s="15" t="n">
        <v>67.84</v>
      </c>
      <c r="R926" s="34" t="n">
        <v>45622</v>
      </c>
      <c r="S926" s="15" t="n">
        <v>5.9</v>
      </c>
      <c r="V926" s="15" t="n">
        <v>18.72</v>
      </c>
      <c r="W926" s="15" t="n">
        <v>24.5</v>
      </c>
      <c r="X926" s="34" t="n">
        <v>45622</v>
      </c>
      <c r="Y926" s="15" t="n">
        <v>70</v>
      </c>
      <c r="Z926" s="15" t="n">
        <v>70.59999999999999</v>
      </c>
      <c r="AA926" s="34" t="n">
        <v>45622</v>
      </c>
      <c r="AB926" s="15" t="n">
        <v>6.96</v>
      </c>
      <c r="AC926" s="15" t="n">
        <v>12.22</v>
      </c>
      <c r="AD926" s="34" t="n">
        <v>45622</v>
      </c>
    </row>
    <row r="927">
      <c r="A927" s="34" t="n">
        <v>45623</v>
      </c>
      <c r="B927" s="266" t="n">
        <v>1.073114991188049</v>
      </c>
      <c r="C927" s="34" t="n">
        <v>45623</v>
      </c>
      <c r="D927" s="15" t="n">
        <v>9.68</v>
      </c>
      <c r="E927" s="15" t="n">
        <v>18</v>
      </c>
      <c r="F927" s="34" t="n">
        <v>45623</v>
      </c>
      <c r="G927" s="15" t="n">
        <v>52.6</v>
      </c>
      <c r="H927" s="15" t="n">
        <v>82.62</v>
      </c>
      <c r="I927" s="34" t="n">
        <v>45623</v>
      </c>
      <c r="J927" s="15" t="n">
        <v>9.210000000000001</v>
      </c>
      <c r="K927" s="15" t="n">
        <v>19.9</v>
      </c>
      <c r="L927" s="34" t="n">
        <v>45623</v>
      </c>
      <c r="M927" s="15" t="n">
        <v>26.75</v>
      </c>
      <c r="N927" s="15" t="n">
        <v>38.68</v>
      </c>
      <c r="O927" s="34" t="n">
        <v>45623</v>
      </c>
      <c r="P927" s="15" t="n">
        <v>51.15</v>
      </c>
      <c r="Q927" s="15" t="n">
        <v>68.68000000000001</v>
      </c>
      <c r="R927" s="34" t="n">
        <v>45623</v>
      </c>
      <c r="S927" s="15" t="n">
        <v>5.73</v>
      </c>
      <c r="V927" s="15" t="n">
        <v>18.68</v>
      </c>
      <c r="W927" s="15" t="n">
        <v>24.8</v>
      </c>
      <c r="X927" s="34" t="n">
        <v>45623</v>
      </c>
      <c r="Y927" s="15" t="n">
        <v>73</v>
      </c>
      <c r="Z927" s="15" t="n">
        <v>71.31999999999999</v>
      </c>
      <c r="AA927" s="34" t="n">
        <v>45623</v>
      </c>
      <c r="AB927" s="15" t="n">
        <v>5.87</v>
      </c>
      <c r="AC927" s="15" t="n">
        <v>13.18</v>
      </c>
      <c r="AD927" s="34" t="n">
        <v>45623</v>
      </c>
      <c r="AE927" s="15" t="n">
        <v>34.3</v>
      </c>
      <c r="AF927" s="15" t="n">
        <v>41.86</v>
      </c>
      <c r="AG927" s="34" t="n">
        <v>45623</v>
      </c>
    </row>
    <row r="928">
      <c r="A928" s="34" t="n">
        <v>45624</v>
      </c>
      <c r="B928" s="266" t="n">
        <v>1.073555946350098</v>
      </c>
      <c r="C928" s="34" t="n">
        <v>45624</v>
      </c>
      <c r="D928" s="15" t="n">
        <v>9.27</v>
      </c>
      <c r="E928" s="15" t="n">
        <v>17.73</v>
      </c>
      <c r="F928" s="34" t="n">
        <v>45624</v>
      </c>
      <c r="G928" s="15" t="n">
        <v>51.35</v>
      </c>
      <c r="H928" s="15" t="n">
        <v>81.65000000000001</v>
      </c>
      <c r="I928" s="34" t="n">
        <v>45624</v>
      </c>
      <c r="J928" s="15" t="n">
        <v>9.109999999999999</v>
      </c>
      <c r="K928" s="15" t="n">
        <v>19.44</v>
      </c>
      <c r="L928" s="34" t="n">
        <v>45624</v>
      </c>
      <c r="M928" s="15" t="n">
        <v>26.4</v>
      </c>
      <c r="N928" s="15" t="n">
        <v>37.84</v>
      </c>
      <c r="O928" s="34" t="n">
        <v>45624</v>
      </c>
      <c r="P928" s="15" t="n">
        <v>50.1</v>
      </c>
      <c r="Q928" s="15" t="n">
        <v>68.28</v>
      </c>
      <c r="R928" s="34" t="n">
        <v>45624</v>
      </c>
      <c r="S928" s="15" t="n">
        <v>5.76</v>
      </c>
      <c r="V928" s="15" t="n">
        <v>18.58</v>
      </c>
      <c r="W928" s="15" t="n">
        <v>24.58</v>
      </c>
      <c r="X928" s="34" t="n">
        <v>45624</v>
      </c>
      <c r="Y928" s="15" t="n">
        <v>70.8</v>
      </c>
      <c r="Z928" s="15" t="n">
        <v>70.19</v>
      </c>
      <c r="AA928" s="34" t="n">
        <v>45624</v>
      </c>
      <c r="AB928" s="15" t="n">
        <v>5.95</v>
      </c>
      <c r="AC928" s="15" t="n">
        <v>14.25</v>
      </c>
      <c r="AD928" s="34" t="n">
        <v>45624</v>
      </c>
      <c r="AE928" s="15" t="n">
        <v>34.3</v>
      </c>
      <c r="AF928" s="15" t="n">
        <v>41.05</v>
      </c>
      <c r="AG928" s="34" t="n">
        <v>45624</v>
      </c>
    </row>
    <row r="929">
      <c r="A929" s="34" t="n">
        <v>45625</v>
      </c>
      <c r="B929" s="266" t="n">
        <v>1.074349999427795</v>
      </c>
      <c r="C929" s="34" t="n">
        <v>45625</v>
      </c>
      <c r="D929" s="15" t="n">
        <v>9.199999999999999</v>
      </c>
      <c r="E929" s="15" t="n">
        <v>17.95</v>
      </c>
      <c r="F929" s="34" t="n">
        <v>45625</v>
      </c>
      <c r="G929" s="15" t="n">
        <v>51.45</v>
      </c>
      <c r="H929" s="15" t="n">
        <v>83.90000000000001</v>
      </c>
      <c r="I929" s="34" t="n">
        <v>45625</v>
      </c>
      <c r="J929" s="15" t="n">
        <v>9.220000000000001</v>
      </c>
      <c r="K929" s="15" t="n">
        <v>19.86</v>
      </c>
      <c r="L929" s="34" t="n">
        <v>45625</v>
      </c>
      <c r="M929" s="15" t="n">
        <v>26.75</v>
      </c>
      <c r="N929" s="15" t="n">
        <v>38.18</v>
      </c>
      <c r="O929" s="34" t="n">
        <v>45625</v>
      </c>
      <c r="P929" s="15" t="n">
        <v>51.65</v>
      </c>
      <c r="Q929" s="15" t="n">
        <v>69.55</v>
      </c>
      <c r="R929" s="34" t="n">
        <v>45625</v>
      </c>
      <c r="S929" s="15" t="n">
        <v>5.84</v>
      </c>
      <c r="V929" s="15" t="n">
        <v>18.7</v>
      </c>
      <c r="W929" s="15" t="n">
        <v>24.97</v>
      </c>
      <c r="X929" s="34" t="n">
        <v>45625</v>
      </c>
      <c r="Y929" s="15" t="n">
        <v>69.34999999999999</v>
      </c>
      <c r="Z929" s="15" t="n">
        <v>70.13</v>
      </c>
      <c r="AA929" s="34" t="n">
        <v>45625</v>
      </c>
      <c r="AB929" s="15" t="n">
        <v>5.38</v>
      </c>
      <c r="AC929" s="15" t="n">
        <v>12.91</v>
      </c>
      <c r="AD929" s="34" t="n">
        <v>45625</v>
      </c>
      <c r="AE929" s="15" t="n">
        <v>34.3</v>
      </c>
      <c r="AF929" s="15" t="n">
        <v>41.22</v>
      </c>
      <c r="AG929" s="34" t="n">
        <v>45625</v>
      </c>
    </row>
    <row r="930">
      <c r="A930" s="34" t="n">
        <v>45628</v>
      </c>
      <c r="B930" s="266" t="n">
        <v>1.074655055999756</v>
      </c>
      <c r="C930" s="34" t="n">
        <v>45628</v>
      </c>
      <c r="D930" s="15" t="n">
        <v>9.279999999999999</v>
      </c>
      <c r="E930" s="15" t="n">
        <v>17.98</v>
      </c>
      <c r="F930" s="34" t="n">
        <v>45628</v>
      </c>
      <c r="G930" s="15" t="n">
        <v>52.25</v>
      </c>
      <c r="H930" s="15" t="n">
        <v>82.5</v>
      </c>
      <c r="I930" s="34" t="n">
        <v>45628</v>
      </c>
      <c r="J930" s="15" t="n">
        <v>9.57</v>
      </c>
      <c r="K930" s="15" t="n">
        <v>20.65</v>
      </c>
      <c r="L930" s="34" t="n">
        <v>45628</v>
      </c>
      <c r="M930" s="15" t="n">
        <v>27.1</v>
      </c>
      <c r="N930" s="15" t="n">
        <v>38.19</v>
      </c>
      <c r="O930" s="34" t="n">
        <v>45628</v>
      </c>
      <c r="P930" s="15" t="n">
        <v>53.8</v>
      </c>
      <c r="Q930" s="15" t="n">
        <v>72.62</v>
      </c>
      <c r="R930" s="34" t="n">
        <v>45628</v>
      </c>
      <c r="S930" s="15" t="n">
        <v>5.84</v>
      </c>
      <c r="V930" s="15" t="n">
        <v>18.68</v>
      </c>
      <c r="W930" s="15" t="n">
        <v>25.58</v>
      </c>
      <c r="X930" s="34" t="n">
        <v>45628</v>
      </c>
      <c r="Y930" s="15" t="n">
        <v>70</v>
      </c>
      <c r="Z930" s="15" t="n">
        <v>70.08</v>
      </c>
      <c r="AA930" s="34" t="n">
        <v>45628</v>
      </c>
      <c r="AB930" s="15" t="n">
        <v>5.4</v>
      </c>
      <c r="AC930" s="15" t="n">
        <v>12.51</v>
      </c>
      <c r="AD930" s="34" t="n">
        <v>45628</v>
      </c>
      <c r="AE930" s="15" t="n">
        <v>33.8</v>
      </c>
      <c r="AF930" s="15" t="n">
        <v>41.19</v>
      </c>
      <c r="AG930" s="34" t="n">
        <v>45628</v>
      </c>
    </row>
    <row r="931">
      <c r="A931" s="34" t="n">
        <v>45629</v>
      </c>
      <c r="B931" s="266" t="n">
        <v>1.069697022438049</v>
      </c>
      <c r="C931" s="34" t="n">
        <v>45629</v>
      </c>
      <c r="D931" s="15" t="n">
        <v>9.15</v>
      </c>
      <c r="E931" s="15" t="n">
        <v>17.74</v>
      </c>
      <c r="F931" s="34" t="n">
        <v>45629</v>
      </c>
      <c r="G931" s="15" t="n">
        <v>52.9</v>
      </c>
      <c r="H931" s="15" t="n">
        <v>82.08</v>
      </c>
      <c r="I931" s="34" t="n">
        <v>45629</v>
      </c>
      <c r="J931" s="15" t="n">
        <v>10.08</v>
      </c>
      <c r="K931" s="15" t="n">
        <v>21.72</v>
      </c>
      <c r="L931" s="34" t="n">
        <v>45629</v>
      </c>
      <c r="M931" s="15" t="n">
        <v>27.4</v>
      </c>
      <c r="N931" s="15" t="n">
        <v>37.67</v>
      </c>
      <c r="O931" s="34" t="n">
        <v>45629</v>
      </c>
      <c r="P931" s="15" t="n">
        <v>52.7</v>
      </c>
      <c r="Q931" s="15" t="n">
        <v>71.63</v>
      </c>
      <c r="R931" s="34" t="n">
        <v>45629</v>
      </c>
      <c r="S931" s="15" t="n">
        <v>5.9</v>
      </c>
      <c r="V931" s="15" t="n">
        <v>18.62</v>
      </c>
      <c r="W931" s="15" t="n">
        <v>25.58</v>
      </c>
      <c r="X931" s="34" t="n">
        <v>45629</v>
      </c>
      <c r="Y931" s="15" t="n">
        <v>70.8</v>
      </c>
      <c r="Z931" s="15" t="n">
        <v>69.84999999999999</v>
      </c>
      <c r="AA931" s="34" t="n">
        <v>45629</v>
      </c>
      <c r="AB931" s="15" t="n">
        <v>5.33</v>
      </c>
      <c r="AC931" s="15" t="n">
        <v>12.29</v>
      </c>
      <c r="AD931" s="34" t="n">
        <v>45629</v>
      </c>
      <c r="AE931" s="15" t="n">
        <v>32.75</v>
      </c>
      <c r="AF931" s="15" t="n">
        <v>41.09</v>
      </c>
      <c r="AG931" s="34" t="n">
        <v>45629</v>
      </c>
    </row>
    <row r="932">
      <c r="A932" s="34" t="n">
        <v>45630</v>
      </c>
      <c r="B932" s="266" t="n">
        <v>1.068164944648743</v>
      </c>
      <c r="C932" s="34" t="n">
        <v>45630</v>
      </c>
      <c r="D932" s="15" t="n">
        <v>8.949999999999999</v>
      </c>
      <c r="E932" s="15" t="n">
        <v>17.27</v>
      </c>
      <c r="F932" s="34" t="n">
        <v>45630</v>
      </c>
      <c r="G932" s="15" t="n">
        <v>51.9</v>
      </c>
      <c r="H932" s="15" t="n">
        <v>80.13</v>
      </c>
      <c r="I932" s="34" t="n">
        <v>45630</v>
      </c>
      <c r="J932" s="15" t="n">
        <v>9.93</v>
      </c>
      <c r="K932" s="15" t="n">
        <v>22.1</v>
      </c>
      <c r="L932" s="34" t="n">
        <v>45630</v>
      </c>
      <c r="M932" s="15" t="n">
        <v>26.2</v>
      </c>
      <c r="N932" s="15" t="n">
        <v>37</v>
      </c>
      <c r="O932" s="34" t="n">
        <v>45630</v>
      </c>
      <c r="P932" s="15" t="n">
        <v>51.6</v>
      </c>
      <c r="Q932" s="15" t="n">
        <v>70.06999999999999</v>
      </c>
      <c r="R932" s="34" t="n">
        <v>45630</v>
      </c>
      <c r="S932" s="15" t="n">
        <v>5.78</v>
      </c>
      <c r="V932" s="15" t="n">
        <v>18.64</v>
      </c>
      <c r="W932" s="15" t="n">
        <v>24.9</v>
      </c>
      <c r="X932" s="34" t="n">
        <v>45630</v>
      </c>
      <c r="Y932" s="15" t="n">
        <v>74.3</v>
      </c>
      <c r="Z932" s="15" t="n">
        <v>71.48999999999999</v>
      </c>
      <c r="AA932" s="34" t="n">
        <v>45630</v>
      </c>
      <c r="AB932" s="15" t="n">
        <v>5.02</v>
      </c>
      <c r="AC932" s="15" t="n">
        <v>11.85</v>
      </c>
      <c r="AD932" s="34" t="n">
        <v>45630</v>
      </c>
      <c r="AE932" s="15" t="n">
        <v>32.6</v>
      </c>
      <c r="AF932" s="15" t="n">
        <v>40.51</v>
      </c>
      <c r="AG932" s="34" t="n">
        <v>45630</v>
      </c>
    </row>
    <row r="933">
      <c r="A933" s="34" t="n">
        <v>45631</v>
      </c>
      <c r="B933" s="266" t="n">
        <v>1.071516990661621</v>
      </c>
      <c r="C933" s="34" t="n">
        <v>45631</v>
      </c>
      <c r="D933" s="15" t="n">
        <v>8.9</v>
      </c>
      <c r="E933" s="15" t="n">
        <v>17.33</v>
      </c>
      <c r="F933" s="34" t="n">
        <v>45631</v>
      </c>
      <c r="G933" s="15" t="n">
        <v>51.3</v>
      </c>
      <c r="H933" s="15" t="n">
        <v>79.27</v>
      </c>
      <c r="I933" s="34" t="n">
        <v>45631</v>
      </c>
      <c r="J933" s="15" t="n">
        <v>9.779999999999999</v>
      </c>
      <c r="K933" s="15" t="n">
        <v>21.41</v>
      </c>
      <c r="L933" s="34" t="n">
        <v>45631</v>
      </c>
      <c r="M933" s="15" t="n">
        <v>25.8</v>
      </c>
      <c r="N933" s="15" t="n">
        <v>37.12</v>
      </c>
      <c r="O933" s="34" t="n">
        <v>45631</v>
      </c>
      <c r="P933" s="15" t="n">
        <v>50.95</v>
      </c>
      <c r="Q933" s="15" t="n">
        <v>69.90000000000001</v>
      </c>
      <c r="R933" s="34" t="n">
        <v>45631</v>
      </c>
      <c r="S933" s="15" t="n">
        <v>6.1</v>
      </c>
      <c r="V933" s="15" t="n">
        <v>21.7</v>
      </c>
      <c r="W933" s="15" t="n">
        <v>26.85</v>
      </c>
      <c r="X933" s="34" t="n">
        <v>45631</v>
      </c>
      <c r="Y933" s="15" t="n">
        <v>74.09999999999999</v>
      </c>
      <c r="Z933" s="15" t="n">
        <v>71.72</v>
      </c>
      <c r="AA933" s="34" t="n">
        <v>45631</v>
      </c>
      <c r="AB933" s="15" t="n">
        <v>5.16</v>
      </c>
      <c r="AC933" s="15" t="n">
        <v>12.05</v>
      </c>
      <c r="AD933" s="34" t="n">
        <v>45631</v>
      </c>
      <c r="AE933" s="15" t="n">
        <v>33.5</v>
      </c>
      <c r="AF933" s="15" t="n">
        <v>40.22</v>
      </c>
      <c r="AG933" s="34" t="n">
        <v>45631</v>
      </c>
    </row>
    <row r="934">
      <c r="A934" s="34" t="n">
        <v>45632</v>
      </c>
      <c r="B934" s="266" t="n">
        <v>1.07178795337677</v>
      </c>
      <c r="C934" s="34" t="n">
        <v>45632</v>
      </c>
      <c r="D934" s="15" t="n">
        <v>9.35</v>
      </c>
      <c r="E934" s="15" t="n">
        <v>18.47</v>
      </c>
      <c r="F934" s="34" t="n">
        <v>45632</v>
      </c>
      <c r="G934" s="15" t="n">
        <v>54.9</v>
      </c>
      <c r="H934" s="15" t="n">
        <v>84.90000000000001</v>
      </c>
      <c r="I934" s="34" t="n">
        <v>45632</v>
      </c>
      <c r="J934" s="15" t="n">
        <v>9.5</v>
      </c>
      <c r="K934" s="15" t="n">
        <v>21.05</v>
      </c>
      <c r="L934" s="34" t="n">
        <v>45632</v>
      </c>
      <c r="M934" s="15" t="n">
        <v>26.35</v>
      </c>
      <c r="N934" s="15" t="n">
        <v>37.94</v>
      </c>
      <c r="O934" s="34" t="n">
        <v>45632</v>
      </c>
      <c r="P934" s="15" t="n">
        <v>52.1</v>
      </c>
      <c r="Q934" s="15" t="n">
        <v>70.56</v>
      </c>
      <c r="R934" s="34" t="n">
        <v>45632</v>
      </c>
      <c r="S934" s="15" t="n">
        <v>6.11</v>
      </c>
      <c r="V934" s="15" t="n">
        <v>21.75</v>
      </c>
      <c r="W934" s="15" t="n">
        <v>26.39</v>
      </c>
      <c r="X934" s="34" t="n">
        <v>45632</v>
      </c>
      <c r="Y934" s="15" t="n">
        <v>71.55</v>
      </c>
      <c r="Z934" s="15" t="n">
        <v>72.84999999999999</v>
      </c>
      <c r="AA934" s="34" t="n">
        <v>45632</v>
      </c>
      <c r="AB934" s="15" t="n">
        <v>5.05</v>
      </c>
      <c r="AC934" s="15" t="n">
        <v>12.02</v>
      </c>
      <c r="AD934" s="34" t="n">
        <v>45632</v>
      </c>
      <c r="AE934" s="15" t="n">
        <v>33.7</v>
      </c>
      <c r="AF934" s="15" t="n">
        <v>40.58</v>
      </c>
      <c r="AG934" s="34" t="n">
        <v>45632</v>
      </c>
    </row>
    <row r="935">
      <c r="A935" s="34" t="n">
        <v>45635</v>
      </c>
      <c r="B935" s="266" t="n">
        <v>1.070058941841125</v>
      </c>
      <c r="C935" s="34" t="n">
        <v>45635</v>
      </c>
      <c r="D935" s="15" t="n">
        <v>9.83</v>
      </c>
      <c r="E935" s="15" t="n">
        <v>18.41</v>
      </c>
      <c r="F935" s="34" t="n">
        <v>45635</v>
      </c>
      <c r="G935" s="15" t="n">
        <v>56.7</v>
      </c>
      <c r="H935" s="15" t="n">
        <v>86.3</v>
      </c>
      <c r="I935" s="34" t="n">
        <v>45635</v>
      </c>
      <c r="J935" s="15" t="n">
        <v>9.49</v>
      </c>
      <c r="K935" s="15" t="n">
        <v>20.8</v>
      </c>
      <c r="L935" s="34" t="n">
        <v>45635</v>
      </c>
      <c r="M935" s="15" t="n">
        <v>26.8</v>
      </c>
      <c r="N935" s="15" t="n">
        <v>37.3</v>
      </c>
      <c r="O935" s="34" t="n">
        <v>45635</v>
      </c>
      <c r="P935" s="15" t="n">
        <v>55.2</v>
      </c>
      <c r="Q935" s="15" t="n">
        <v>69.29000000000001</v>
      </c>
      <c r="R935" s="34" t="n">
        <v>45635</v>
      </c>
      <c r="S935" s="15" t="n">
        <v>6.61</v>
      </c>
      <c r="V935" s="15" t="n">
        <v>21.95</v>
      </c>
      <c r="W935" s="15" t="n">
        <v>26.9</v>
      </c>
      <c r="X935" s="34" t="n">
        <v>45635</v>
      </c>
      <c r="Y935" s="15" t="n">
        <v>77.40000000000001</v>
      </c>
      <c r="Z935" s="15" t="n">
        <v>73.13</v>
      </c>
      <c r="AA935" s="34" t="n">
        <v>45635</v>
      </c>
      <c r="AB935" s="15" t="n">
        <v>5.24</v>
      </c>
      <c r="AC935" s="15" t="n">
        <v>12.15</v>
      </c>
      <c r="AD935" s="34" t="n">
        <v>45635</v>
      </c>
      <c r="AE935" s="15" t="n">
        <v>33.7</v>
      </c>
      <c r="AF935" s="15" t="n">
        <v>40.83</v>
      </c>
      <c r="AG935" s="34" t="n">
        <v>45635</v>
      </c>
    </row>
    <row r="936">
      <c r="A936" s="34" t="n">
        <v>45636</v>
      </c>
      <c r="B936" s="266" t="n">
        <v>1.07076895236969</v>
      </c>
      <c r="C936" s="34" t="n">
        <v>45636</v>
      </c>
      <c r="D936" s="15" t="n">
        <v>9.449999999999999</v>
      </c>
      <c r="E936" s="15" t="n">
        <v>18.44</v>
      </c>
      <c r="F936" s="34" t="n">
        <v>45636</v>
      </c>
      <c r="G936" s="15" t="n">
        <v>55.05</v>
      </c>
      <c r="H936" s="15" t="n">
        <v>85.3</v>
      </c>
      <c r="I936" s="34" t="n">
        <v>45636</v>
      </c>
      <c r="J936" s="15" t="n">
        <v>9.23</v>
      </c>
      <c r="K936" s="15" t="n">
        <v>20.65</v>
      </c>
      <c r="L936" s="34" t="n">
        <v>45636</v>
      </c>
      <c r="M936" s="15" t="n">
        <v>26.1</v>
      </c>
      <c r="N936" s="15" t="n">
        <v>37.19</v>
      </c>
      <c r="O936" s="34" t="n">
        <v>45636</v>
      </c>
      <c r="P936" s="15" t="n">
        <v>53.8</v>
      </c>
      <c r="Q936" s="15" t="n">
        <v>70.65000000000001</v>
      </c>
      <c r="R936" s="34" t="n">
        <v>45636</v>
      </c>
      <c r="S936" s="15" t="n">
        <v>6.72</v>
      </c>
      <c r="V936" s="15" t="n">
        <v>21.3</v>
      </c>
      <c r="W936" s="15" t="n">
        <v>26.63</v>
      </c>
      <c r="X936" s="34" t="n">
        <v>45636</v>
      </c>
      <c r="Y936" s="15" t="n">
        <v>75.55</v>
      </c>
      <c r="Z936" s="15" t="n">
        <v>73.84</v>
      </c>
      <c r="AA936" s="34" t="n">
        <v>45636</v>
      </c>
      <c r="AB936" s="15" t="n">
        <v>4.91</v>
      </c>
      <c r="AC936" s="15" t="n">
        <v>11.87</v>
      </c>
      <c r="AD936" s="34" t="n">
        <v>45636</v>
      </c>
      <c r="AE936" s="15" t="n">
        <v>32.85</v>
      </c>
      <c r="AF936" s="15" t="n">
        <v>41.34</v>
      </c>
      <c r="AG936" s="34" t="n">
        <v>45636</v>
      </c>
    </row>
    <row r="937">
      <c r="A937" s="34" t="n">
        <v>45637</v>
      </c>
      <c r="B937" s="266" t="n">
        <v>1.072139024734497</v>
      </c>
      <c r="C937" s="34" t="n">
        <v>45637</v>
      </c>
      <c r="D937" s="15" t="n">
        <v>9.49</v>
      </c>
      <c r="E937" s="15" t="n">
        <v>18.36</v>
      </c>
      <c r="F937" s="34" t="n">
        <v>45637</v>
      </c>
      <c r="G937" s="15" t="n">
        <v>54.9</v>
      </c>
      <c r="H937" s="15" t="n">
        <v>84.77</v>
      </c>
      <c r="I937" s="34" t="n">
        <v>45637</v>
      </c>
      <c r="J937" s="15" t="n">
        <v>9.369999999999999</v>
      </c>
      <c r="K937" s="15" t="n">
        <v>20.65</v>
      </c>
      <c r="L937" s="34" t="n">
        <v>45637</v>
      </c>
      <c r="M937" s="15" t="n">
        <v>26.25</v>
      </c>
      <c r="N937" s="15" t="n">
        <v>37.16</v>
      </c>
      <c r="O937" s="34" t="n">
        <v>45637</v>
      </c>
      <c r="P937" s="15" t="n">
        <v>53.3</v>
      </c>
      <c r="Q937" s="15" t="n">
        <v>71.84999999999999</v>
      </c>
      <c r="R937" s="34" t="n">
        <v>45637</v>
      </c>
      <c r="S937" s="15" t="n">
        <v>7.5</v>
      </c>
      <c r="V937" s="15" t="n">
        <v>20.4</v>
      </c>
      <c r="W937" s="15" t="n">
        <v>26.31</v>
      </c>
      <c r="X937" s="34" t="n">
        <v>45637</v>
      </c>
      <c r="Y937" s="15" t="n">
        <v>77</v>
      </c>
      <c r="Z937" s="15" t="n">
        <v>75.09999999999999</v>
      </c>
      <c r="AA937" s="34" t="n">
        <v>45637</v>
      </c>
      <c r="AB937" s="15" t="n">
        <v>4.92</v>
      </c>
      <c r="AC937" s="15" t="n">
        <v>11.91</v>
      </c>
      <c r="AD937" s="34" t="n">
        <v>45637</v>
      </c>
      <c r="AE937" s="15" t="n">
        <v>32.9</v>
      </c>
      <c r="AF937" s="15" t="n">
        <v>41.04</v>
      </c>
      <c r="AG937" s="34" t="n">
        <v>45637</v>
      </c>
    </row>
    <row r="938">
      <c r="A938" s="34" t="n">
        <v>45638</v>
      </c>
      <c r="B938" s="266" t="n">
        <v>1.070543050765991</v>
      </c>
      <c r="C938" s="34" t="n">
        <v>45638</v>
      </c>
      <c r="D938" s="15" t="n">
        <v>9.449999999999999</v>
      </c>
      <c r="E938" s="15" t="n">
        <v>18.44</v>
      </c>
      <c r="F938" s="34" t="n">
        <v>45638</v>
      </c>
      <c r="G938" s="15" t="n">
        <v>55</v>
      </c>
      <c r="H938" s="15" t="n">
        <v>83.87</v>
      </c>
      <c r="I938" s="34" t="n">
        <v>45638</v>
      </c>
      <c r="J938" s="15" t="n">
        <v>9.220000000000001</v>
      </c>
      <c r="K938" s="15" t="n">
        <v>20.16</v>
      </c>
      <c r="L938" s="34" t="n">
        <v>45638</v>
      </c>
      <c r="M938" s="15" t="n">
        <v>26.5</v>
      </c>
      <c r="N938" s="15" t="n">
        <v>37.6</v>
      </c>
      <c r="O938" s="34" t="n">
        <v>45638</v>
      </c>
      <c r="P938" s="15" t="n">
        <v>57.35</v>
      </c>
      <c r="Q938" s="15" t="n">
        <v>73.81</v>
      </c>
      <c r="R938" s="34" t="n">
        <v>45638</v>
      </c>
      <c r="S938" s="15" t="n">
        <v>7.4</v>
      </c>
      <c r="V938" s="15" t="n">
        <v>20.6</v>
      </c>
      <c r="W938" s="15" t="n">
        <v>26.09</v>
      </c>
      <c r="X938" s="34" t="n">
        <v>45638</v>
      </c>
      <c r="Y938" s="15" t="n">
        <v>76.90000000000001</v>
      </c>
      <c r="Z938" s="15" t="n">
        <v>75.56</v>
      </c>
      <c r="AA938" s="34" t="n">
        <v>45638</v>
      </c>
      <c r="AB938" s="15" t="n">
        <v>4.93</v>
      </c>
      <c r="AC938" s="15" t="n">
        <v>11.78</v>
      </c>
      <c r="AD938" s="34" t="n">
        <v>45638</v>
      </c>
      <c r="AE938" s="15" t="n">
        <v>33.2</v>
      </c>
      <c r="AF938" s="15" t="n">
        <v>42.18</v>
      </c>
      <c r="AG938" s="34" t="n">
        <v>45638</v>
      </c>
    </row>
    <row r="939">
      <c r="A939" s="34" t="n">
        <v>45639</v>
      </c>
      <c r="B939" s="266" t="n">
        <v>1.069535970687866</v>
      </c>
      <c r="C939" s="34" t="n">
        <v>45639</v>
      </c>
      <c r="D939" s="15" t="n">
        <v>9.06</v>
      </c>
      <c r="E939" s="15" t="n">
        <v>17.66</v>
      </c>
      <c r="F939" s="34" t="n">
        <v>45639</v>
      </c>
      <c r="G939" s="15" t="n">
        <v>52.8</v>
      </c>
      <c r="H939" s="15" t="n">
        <v>81.23</v>
      </c>
      <c r="I939" s="34" t="n">
        <v>45639</v>
      </c>
      <c r="J939" s="15" t="n">
        <v>9.02</v>
      </c>
      <c r="K939" s="15" t="n">
        <v>19.81</v>
      </c>
      <c r="L939" s="34" t="n">
        <v>45639</v>
      </c>
      <c r="M939" s="15" t="n">
        <v>25.7</v>
      </c>
      <c r="N939" s="15" t="n">
        <v>36.4</v>
      </c>
      <c r="O939" s="34" t="n">
        <v>45639</v>
      </c>
      <c r="P939" s="15" t="n">
        <v>54.35</v>
      </c>
      <c r="Q939" s="15" t="n">
        <v>71.3</v>
      </c>
      <c r="R939" s="34" t="n">
        <v>45639</v>
      </c>
      <c r="S939" s="15" t="n">
        <v>7.93</v>
      </c>
      <c r="V939" s="15" t="n">
        <v>20.15</v>
      </c>
      <c r="W939" s="15" t="n">
        <v>25.2</v>
      </c>
      <c r="X939" s="34" t="n">
        <v>45639</v>
      </c>
      <c r="Y939" s="15" t="n">
        <v>74.84999999999999</v>
      </c>
      <c r="Z939" s="15" t="n">
        <v>74</v>
      </c>
      <c r="AA939" s="34" t="n">
        <v>45639</v>
      </c>
      <c r="AB939" s="15" t="n">
        <v>4.8</v>
      </c>
      <c r="AC939" s="15" t="n">
        <v>11.4</v>
      </c>
      <c r="AD939" s="34" t="n">
        <v>45639</v>
      </c>
      <c r="AE939" s="15" t="n">
        <v>32.95</v>
      </c>
      <c r="AF939" s="15" t="n">
        <v>41.54</v>
      </c>
      <c r="AG939" s="34" t="n">
        <v>45639</v>
      </c>
    </row>
    <row r="940">
      <c r="A940" s="34" t="n">
        <v>45642</v>
      </c>
      <c r="B940" s="266" t="n">
        <v>1.068564057350159</v>
      </c>
      <c r="C940" s="34" t="n">
        <v>45642</v>
      </c>
      <c r="D940" s="15" t="n">
        <v>8.93</v>
      </c>
      <c r="E940" s="15" t="n">
        <v>17.33</v>
      </c>
      <c r="F940" s="34" t="n">
        <v>45642</v>
      </c>
      <c r="G940" s="15" t="n">
        <v>52.3</v>
      </c>
      <c r="H940" s="15" t="n">
        <v>78.18000000000001</v>
      </c>
      <c r="I940" s="34" t="n">
        <v>45642</v>
      </c>
      <c r="J940" s="15" t="n">
        <v>8.779999999999999</v>
      </c>
      <c r="K940" s="15" t="n">
        <v>19.46</v>
      </c>
      <c r="L940" s="34" t="n">
        <v>45642</v>
      </c>
      <c r="M940" s="15" t="n">
        <v>24.55</v>
      </c>
      <c r="N940" s="15" t="n">
        <v>35.21</v>
      </c>
      <c r="O940" s="34" t="n">
        <v>45642</v>
      </c>
      <c r="P940" s="15" t="n">
        <v>54.85</v>
      </c>
      <c r="Q940" s="15" t="n">
        <v>71.8</v>
      </c>
      <c r="R940" s="34" t="n">
        <v>45642</v>
      </c>
      <c r="S940" s="15" t="n">
        <v>8.1</v>
      </c>
      <c r="V940" s="15" t="n">
        <v>19.76</v>
      </c>
      <c r="W940" s="15" t="n">
        <v>24.78</v>
      </c>
      <c r="X940" s="34" t="n">
        <v>45642</v>
      </c>
      <c r="Y940" s="15" t="n">
        <v>73.09999999999999</v>
      </c>
      <c r="Z940" s="15" t="n">
        <v>73.22</v>
      </c>
      <c r="AA940" s="34" t="n">
        <v>45642</v>
      </c>
      <c r="AB940" s="15" t="n">
        <v>4.58</v>
      </c>
      <c r="AC940" s="15" t="n">
        <v>10.98</v>
      </c>
      <c r="AD940" s="34" t="n">
        <v>45642</v>
      </c>
      <c r="AE940" s="15" t="n">
        <v>32.35</v>
      </c>
      <c r="AF940" s="15" t="n">
        <v>40.2</v>
      </c>
      <c r="AG940" s="34" t="n">
        <v>45642</v>
      </c>
    </row>
    <row r="941">
      <c r="A941" s="34" t="n">
        <v>45643</v>
      </c>
      <c r="B941" s="266" t="n">
        <v>1.06734299659729</v>
      </c>
      <c r="C941" s="34" t="n">
        <v>45643</v>
      </c>
      <c r="D941" s="15" t="n">
        <v>8.93</v>
      </c>
      <c r="E941" s="15" t="n">
        <v>17.18</v>
      </c>
      <c r="F941" s="34" t="n">
        <v>45643</v>
      </c>
      <c r="G941" s="15" t="n">
        <v>51.1</v>
      </c>
      <c r="H941" s="15" t="n">
        <v>77.98</v>
      </c>
      <c r="I941" s="34" t="n">
        <v>45643</v>
      </c>
      <c r="J941" s="15" t="n">
        <v>8.869999999999999</v>
      </c>
      <c r="K941" s="15" t="n">
        <v>19.44</v>
      </c>
      <c r="L941" s="34" t="n">
        <v>45643</v>
      </c>
      <c r="M941" s="15" t="n">
        <v>24.35</v>
      </c>
      <c r="N941" s="15" t="n">
        <v>34.71</v>
      </c>
      <c r="O941" s="34" t="n">
        <v>45643</v>
      </c>
      <c r="P941" s="15" t="n">
        <v>54.9</v>
      </c>
      <c r="Q941" s="15" t="n">
        <v>70.97</v>
      </c>
      <c r="R941" s="34" t="n">
        <v>45643</v>
      </c>
      <c r="S941" s="15" t="n">
        <v>7.75</v>
      </c>
      <c r="V941" s="15" t="n">
        <v>19.38</v>
      </c>
      <c r="W941" s="15" t="n">
        <v>24.03</v>
      </c>
      <c r="X941" s="34" t="n">
        <v>45643</v>
      </c>
      <c r="Y941" s="15" t="n">
        <v>74.59999999999999</v>
      </c>
      <c r="Z941" s="15" t="n">
        <v>73.67</v>
      </c>
      <c r="AA941" s="34" t="n">
        <v>45643</v>
      </c>
      <c r="AB941" s="15" t="n">
        <v>4.41</v>
      </c>
      <c r="AC941" s="15" t="n">
        <v>10.63</v>
      </c>
      <c r="AD941" s="34" t="n">
        <v>45643</v>
      </c>
      <c r="AE941" s="15" t="n">
        <v>32.5</v>
      </c>
      <c r="AF941" s="15" t="n">
        <v>40.39</v>
      </c>
      <c r="AG941" s="34" t="n">
        <v>45643</v>
      </c>
    </row>
    <row r="942">
      <c r="A942" s="34" t="n">
        <v>45644</v>
      </c>
      <c r="B942" s="266" t="n">
        <v>1.066388010978699</v>
      </c>
      <c r="C942" s="34" t="n">
        <v>45644</v>
      </c>
      <c r="D942" s="15" t="n">
        <v>9.1</v>
      </c>
      <c r="E942" s="15" t="n">
        <v>17.27</v>
      </c>
      <c r="F942" s="34" t="n">
        <v>45644</v>
      </c>
      <c r="G942" s="15" t="n">
        <v>51.9</v>
      </c>
      <c r="H942" s="15" t="n">
        <v>78.09</v>
      </c>
      <c r="I942" s="34" t="n">
        <v>45644</v>
      </c>
      <c r="J942" s="15" t="n">
        <v>8.81</v>
      </c>
      <c r="K942" s="15" t="n">
        <v>19.27</v>
      </c>
      <c r="L942" s="34" t="n">
        <v>45644</v>
      </c>
      <c r="M942" s="15" t="n">
        <v>24.3</v>
      </c>
      <c r="N942" s="15" t="n">
        <v>34.66</v>
      </c>
      <c r="O942" s="34" t="n">
        <v>45644</v>
      </c>
      <c r="P942" s="15" t="n">
        <v>55.4</v>
      </c>
      <c r="Q942" s="15" t="n">
        <v>70.63</v>
      </c>
      <c r="R942" s="34" t="n">
        <v>45644</v>
      </c>
      <c r="S942" s="15" t="n">
        <v>8.4</v>
      </c>
      <c r="V942" s="15" t="n">
        <v>19.74</v>
      </c>
      <c r="W942" s="15" t="n">
        <v>24.22</v>
      </c>
      <c r="X942" s="34" t="n">
        <v>45644</v>
      </c>
      <c r="Y942" s="15" t="n">
        <v>76.15000000000001</v>
      </c>
      <c r="Z942" s="15" t="n">
        <v>74.09999999999999</v>
      </c>
      <c r="AA942" s="34" t="n">
        <v>45644</v>
      </c>
      <c r="AB942" s="15" t="n">
        <v>4.78</v>
      </c>
      <c r="AC942" s="15" t="n">
        <v>10.94</v>
      </c>
      <c r="AD942" s="34" t="n">
        <v>45644</v>
      </c>
      <c r="AE942" s="15" t="n">
        <v>32.6</v>
      </c>
      <c r="AF942" s="15" t="n">
        <v>40.1</v>
      </c>
      <c r="AG942" s="34" t="n">
        <v>45644</v>
      </c>
    </row>
    <row r="943">
      <c r="A943" s="34" t="n">
        <v>45645</v>
      </c>
      <c r="B943" s="266" t="n">
        <v>1.066426038742065</v>
      </c>
      <c r="C943" s="34" t="n">
        <v>45645</v>
      </c>
      <c r="D943" s="15" t="n">
        <v>9</v>
      </c>
      <c r="E943" s="15" t="n">
        <v>17.46</v>
      </c>
      <c r="F943" s="34" t="n">
        <v>45645</v>
      </c>
      <c r="G943" s="15" t="n">
        <v>51.15</v>
      </c>
      <c r="H943" s="15" t="n">
        <v>78.16</v>
      </c>
      <c r="I943" s="34" t="n">
        <v>45645</v>
      </c>
      <c r="J943" s="15" t="n">
        <v>8.710000000000001</v>
      </c>
      <c r="K943" s="15" t="n">
        <v>19.15</v>
      </c>
      <c r="L943" s="34" t="n">
        <v>45645</v>
      </c>
      <c r="M943" s="15" t="n">
        <v>24.15</v>
      </c>
      <c r="N943" s="15" t="n">
        <v>34.48</v>
      </c>
      <c r="O943" s="34" t="n">
        <v>45645</v>
      </c>
      <c r="P943" s="15" t="n">
        <v>55.8</v>
      </c>
      <c r="Q943" s="15" t="n">
        <v>70.03</v>
      </c>
      <c r="R943" s="34" t="n">
        <v>45645</v>
      </c>
      <c r="S943" s="15" t="n">
        <v>8.380000000000001</v>
      </c>
      <c r="V943" s="15" t="n">
        <v>20.4</v>
      </c>
      <c r="W943" s="15" t="n">
        <v>25.02</v>
      </c>
      <c r="X943" s="34" t="n">
        <v>45645</v>
      </c>
      <c r="Y943" s="15" t="n">
        <v>74.8</v>
      </c>
      <c r="Z943" s="15" t="n">
        <v>74.44</v>
      </c>
      <c r="AA943" s="34" t="n">
        <v>45645</v>
      </c>
      <c r="AB943" s="15" t="n">
        <v>4.55</v>
      </c>
      <c r="AC943" s="15" t="n">
        <v>10.82</v>
      </c>
      <c r="AD943" s="34" t="n">
        <v>45645</v>
      </c>
      <c r="AE943" s="15" t="n">
        <v>33.75</v>
      </c>
      <c r="AF943" s="15" t="n">
        <v>41.22</v>
      </c>
      <c r="AG943" s="34" t="n">
        <v>45645</v>
      </c>
    </row>
    <row r="944">
      <c r="A944" s="34" t="n">
        <v>45646</v>
      </c>
      <c r="B944" s="266" t="n">
        <v>1.064751029014587</v>
      </c>
      <c r="C944" s="34" t="n">
        <v>45646</v>
      </c>
      <c r="D944" s="15" t="n">
        <v>8.76</v>
      </c>
      <c r="E944" s="15" t="n">
        <v>17.41</v>
      </c>
      <c r="F944" s="34" t="n">
        <v>45646</v>
      </c>
      <c r="G944" s="15" t="n">
        <v>51.05</v>
      </c>
      <c r="H944" s="15" t="n">
        <v>78</v>
      </c>
      <c r="I944" s="34" t="n">
        <v>45646</v>
      </c>
      <c r="J944" s="15" t="n">
        <v>8.75</v>
      </c>
      <c r="K944" s="15" t="n">
        <v>19.51</v>
      </c>
      <c r="L944" s="34" t="n">
        <v>45646</v>
      </c>
      <c r="M944" s="15" t="n">
        <v>24.2</v>
      </c>
      <c r="N944" s="15" t="n">
        <v>34.84</v>
      </c>
      <c r="O944" s="34" t="n">
        <v>45646</v>
      </c>
      <c r="P944" s="15" t="n">
        <v>55.25</v>
      </c>
      <c r="Q944" s="15" t="n">
        <v>69.42</v>
      </c>
      <c r="R944" s="34" t="n">
        <v>45646</v>
      </c>
      <c r="S944" s="15" t="n">
        <v>8.42</v>
      </c>
      <c r="V944" s="15" t="n">
        <v>20.2</v>
      </c>
      <c r="W944" s="15" t="n">
        <v>24.75</v>
      </c>
      <c r="X944" s="34" t="n">
        <v>45646</v>
      </c>
      <c r="Y944" s="15" t="n">
        <v>74.65000000000001</v>
      </c>
      <c r="Z944" s="15" t="n">
        <v>74</v>
      </c>
      <c r="AA944" s="34" t="n">
        <v>45646</v>
      </c>
      <c r="AB944" s="15" t="n">
        <v>4.75</v>
      </c>
      <c r="AC944" s="15" t="n">
        <v>11.07</v>
      </c>
      <c r="AD944" s="34" t="n">
        <v>45646</v>
      </c>
      <c r="AE944" s="15" t="n">
        <v>33.95</v>
      </c>
      <c r="AF944" s="15" t="n">
        <v>40.25</v>
      </c>
      <c r="AG944" s="34" t="n">
        <v>45646</v>
      </c>
    </row>
    <row r="945">
      <c r="A945" s="34" t="n">
        <v>45649</v>
      </c>
      <c r="B945" s="266" t="n">
        <v>1.065225005149841</v>
      </c>
      <c r="C945" s="34" t="n">
        <v>45649</v>
      </c>
      <c r="D945" s="15" t="n">
        <v>8.98</v>
      </c>
      <c r="E945" s="15" t="n">
        <v>17.12</v>
      </c>
      <c r="F945" s="34" t="n">
        <v>45649</v>
      </c>
      <c r="G945" s="15" t="n">
        <v>51.5</v>
      </c>
      <c r="H945" s="15" t="n">
        <v>77.08</v>
      </c>
      <c r="I945" s="34" t="n">
        <v>45649</v>
      </c>
      <c r="J945" s="15" t="n">
        <v>8.529999999999999</v>
      </c>
      <c r="K945" s="15" t="n">
        <v>18.68</v>
      </c>
      <c r="L945" s="34" t="n">
        <v>45649</v>
      </c>
      <c r="M945" s="15" t="n">
        <v>24.35</v>
      </c>
      <c r="N945" s="15" t="n">
        <v>34.28</v>
      </c>
      <c r="O945" s="34" t="n">
        <v>45649</v>
      </c>
      <c r="P945" s="15" t="n">
        <v>55.45</v>
      </c>
      <c r="Q945" s="15" t="n">
        <v>68.7</v>
      </c>
      <c r="R945" s="34" t="n">
        <v>45649</v>
      </c>
      <c r="S945" s="15" t="n">
        <v>8.470000000000001</v>
      </c>
      <c r="V945" s="15" t="n">
        <v>19.8</v>
      </c>
      <c r="W945" s="15" t="n">
        <v>23.91</v>
      </c>
      <c r="X945" s="34" t="n">
        <v>45649</v>
      </c>
      <c r="Y945" s="15" t="n">
        <v>75.75</v>
      </c>
      <c r="Z945" s="15" t="n">
        <v>74.61</v>
      </c>
      <c r="AA945" s="34" t="n">
        <v>45649</v>
      </c>
      <c r="AB945" s="15" t="n">
        <v>5.1</v>
      </c>
      <c r="AC945" s="15" t="n">
        <v>11.14</v>
      </c>
      <c r="AD945" s="34" t="n">
        <v>45649</v>
      </c>
      <c r="AE945" s="15" t="n">
        <v>33.6</v>
      </c>
      <c r="AF945" s="15" t="n">
        <v>40.65</v>
      </c>
      <c r="AG945" s="34" t="n">
        <v>45649</v>
      </c>
    </row>
    <row r="946">
      <c r="A946" s="34" t="n">
        <v>45650</v>
      </c>
      <c r="B946" s="266" t="n">
        <v>1.06459105014801</v>
      </c>
      <c r="C946" s="34" t="n">
        <v>45650</v>
      </c>
      <c r="D946" s="15" t="n">
        <v>9.17</v>
      </c>
      <c r="E946" s="15" t="n">
        <v>17.32</v>
      </c>
      <c r="F946" s="34" t="n">
        <v>45650</v>
      </c>
      <c r="G946" s="15" t="n">
        <v>51.65</v>
      </c>
      <c r="H946" s="15" t="n">
        <v>77.67</v>
      </c>
      <c r="I946" s="34" t="n">
        <v>45650</v>
      </c>
      <c r="J946" s="15" t="n">
        <v>8.359999999999999</v>
      </c>
      <c r="K946" s="15" t="n">
        <v>18.62</v>
      </c>
      <c r="L946" s="34" t="n">
        <v>45650</v>
      </c>
      <c r="M946" s="15" t="n">
        <v>24.35</v>
      </c>
      <c r="N946" s="15" t="n">
        <v>34.7</v>
      </c>
      <c r="O946" s="34" t="n">
        <v>45650</v>
      </c>
      <c r="P946" s="15" t="n">
        <v>56.6</v>
      </c>
      <c r="Q946" s="15" t="n">
        <v>69.43000000000001</v>
      </c>
      <c r="R946" s="34" t="n">
        <v>45650</v>
      </c>
      <c r="S946" s="15" t="n">
        <v>8.56</v>
      </c>
      <c r="V946" s="15" t="n">
        <v>19.98</v>
      </c>
      <c r="W946" s="15" t="n">
        <v>24.13</v>
      </c>
      <c r="X946" s="34" t="n">
        <v>45650</v>
      </c>
      <c r="Y946" s="15" t="n">
        <v>77.45</v>
      </c>
      <c r="Z946" s="15" t="n">
        <v>76.25</v>
      </c>
      <c r="AA946" s="34" t="n">
        <v>45650</v>
      </c>
      <c r="AB946" s="15" t="n">
        <v>4.8</v>
      </c>
      <c r="AC946" s="15" t="n">
        <v>10.91</v>
      </c>
      <c r="AD946" s="34" t="n">
        <v>45650</v>
      </c>
      <c r="AE946" s="15" t="n">
        <v>34.5</v>
      </c>
      <c r="AF946" s="15" t="n">
        <v>41.2</v>
      </c>
      <c r="AG946" s="34" t="n">
        <v>45650</v>
      </c>
    </row>
    <row r="947">
      <c r="A947" s="34" t="n">
        <v>45653</v>
      </c>
      <c r="B947" s="266" t="n">
        <v>1.064249038696289</v>
      </c>
      <c r="C947" s="34" t="n">
        <v>45653</v>
      </c>
      <c r="D947" s="15" t="n">
        <v>9.09</v>
      </c>
      <c r="E947" s="15" t="n">
        <v>16.96</v>
      </c>
      <c r="F947" s="34" t="n">
        <v>45653</v>
      </c>
      <c r="G947" s="15" t="n">
        <v>50.5</v>
      </c>
      <c r="H947" s="15" t="n">
        <v>77</v>
      </c>
      <c r="I947" s="34" t="n">
        <v>45653</v>
      </c>
      <c r="J947" s="15" t="n">
        <v>8.300000000000001</v>
      </c>
      <c r="K947" s="15" t="n">
        <v>18.92</v>
      </c>
      <c r="L947" s="34" t="n">
        <v>45653</v>
      </c>
      <c r="M947" s="15" t="n">
        <v>24.45</v>
      </c>
      <c r="N947" s="15" t="n">
        <v>34.13</v>
      </c>
      <c r="O947" s="34" t="n">
        <v>45653</v>
      </c>
      <c r="P947" s="15" t="n">
        <v>54.7</v>
      </c>
      <c r="Q947" s="15" t="n">
        <v>68.88</v>
      </c>
      <c r="R947" s="34" t="n">
        <v>45653</v>
      </c>
      <c r="S947" s="15" t="n">
        <v>8.449999999999999</v>
      </c>
      <c r="V947" s="15" t="n">
        <v>20.55</v>
      </c>
      <c r="W947" s="15" t="n">
        <v>24.37</v>
      </c>
      <c r="X947" s="34" t="n">
        <v>45653</v>
      </c>
      <c r="Y947" s="15" t="n">
        <v>76.09999999999999</v>
      </c>
      <c r="Z947" s="15" t="n">
        <v>75.42</v>
      </c>
      <c r="AA947" s="34" t="n">
        <v>45653</v>
      </c>
      <c r="AB947" s="15" t="n">
        <v>5.19</v>
      </c>
      <c r="AC947" s="15" t="n">
        <v>11.31</v>
      </c>
      <c r="AD947" s="34" t="n">
        <v>45653</v>
      </c>
      <c r="AE947" s="15" t="n">
        <v>33.7</v>
      </c>
      <c r="AF947" s="15" t="n">
        <v>40.65</v>
      </c>
      <c r="AG947" s="34" t="n">
        <v>45653</v>
      </c>
    </row>
    <row r="948">
      <c r="A948" s="34" t="n">
        <v>45656</v>
      </c>
      <c r="B948" s="266" t="n">
        <v>1.063662052154541</v>
      </c>
      <c r="C948" s="34" t="n">
        <v>45656</v>
      </c>
      <c r="D948" s="15" t="n">
        <v>9.279999999999999</v>
      </c>
      <c r="E948" s="15" t="n">
        <v>17.15</v>
      </c>
      <c r="F948" s="34" t="n">
        <v>45656</v>
      </c>
      <c r="G948" s="15" t="n">
        <v>52.2</v>
      </c>
      <c r="H948" s="15" t="n">
        <v>78.55</v>
      </c>
      <c r="I948" s="34" t="n">
        <v>45656</v>
      </c>
      <c r="J948" s="15" t="n">
        <v>7.98</v>
      </c>
      <c r="K948" s="15" t="n">
        <v>18.43</v>
      </c>
      <c r="L948" s="34" t="n">
        <v>45656</v>
      </c>
      <c r="M948" s="15" t="n">
        <v>24.35</v>
      </c>
      <c r="N948" s="15" t="n">
        <v>34.38</v>
      </c>
      <c r="O948" s="34" t="n">
        <v>45656</v>
      </c>
      <c r="P948" s="15" t="n">
        <v>53.1</v>
      </c>
      <c r="Q948" s="15" t="n">
        <v>68.26000000000001</v>
      </c>
      <c r="R948" s="34" t="n">
        <v>45656</v>
      </c>
      <c r="S948" s="15" t="n">
        <v>8.4</v>
      </c>
      <c r="V948" s="15" t="n">
        <v>20.1</v>
      </c>
      <c r="W948" s="15" t="n">
        <v>24.25</v>
      </c>
      <c r="X948" s="34" t="n">
        <v>45656</v>
      </c>
      <c r="Y948" s="15" t="n">
        <v>74.95</v>
      </c>
      <c r="Z948" s="15" t="n">
        <v>75.31999999999999</v>
      </c>
      <c r="AA948" s="34" t="n">
        <v>45656</v>
      </c>
      <c r="AB948" s="15" t="n">
        <v>5.09</v>
      </c>
      <c r="AC948" s="15" t="n">
        <v>10.84</v>
      </c>
      <c r="AD948" s="34" t="n">
        <v>45656</v>
      </c>
      <c r="AE948" s="15" t="n">
        <v>33.85</v>
      </c>
      <c r="AF948" s="15" t="n">
        <v>40.87</v>
      </c>
      <c r="AG948" s="34" t="n">
        <v>45656</v>
      </c>
    </row>
    <row r="949">
      <c r="A949" s="34" t="n">
        <v>45657</v>
      </c>
      <c r="B949" s="266" t="n">
        <v>1.063554048538208</v>
      </c>
      <c r="C949" s="34" t="n">
        <v>45657</v>
      </c>
      <c r="D949" s="15" t="n">
        <v>9.35</v>
      </c>
      <c r="E949" s="15" t="n">
        <v>16.63</v>
      </c>
      <c r="F949" s="34" t="n">
        <v>45657</v>
      </c>
      <c r="G949" s="15" t="n">
        <v>51.45</v>
      </c>
      <c r="H949" s="15" t="n">
        <v>76.09</v>
      </c>
      <c r="I949" s="34" t="n">
        <v>45657</v>
      </c>
      <c r="J949" s="15" t="n">
        <v>7.81</v>
      </c>
      <c r="K949" s="15" t="n">
        <v>17.88</v>
      </c>
      <c r="L949" s="34" t="n">
        <v>45657</v>
      </c>
      <c r="M949" s="15" t="n">
        <v>24.05</v>
      </c>
      <c r="N949" s="15" t="n">
        <v>33</v>
      </c>
      <c r="O949" s="34" t="n">
        <v>45657</v>
      </c>
      <c r="P949" s="15" t="n">
        <v>53.1</v>
      </c>
      <c r="Q949" s="15" t="n">
        <v>67.01000000000001</v>
      </c>
      <c r="R949" s="34" t="n">
        <v>45657</v>
      </c>
      <c r="S949" s="15" t="n">
        <v>8.5</v>
      </c>
      <c r="V949" s="15" t="n">
        <v>20.55</v>
      </c>
      <c r="W949" s="15" t="n">
        <v>24.1</v>
      </c>
      <c r="X949" s="34" t="n">
        <v>45657</v>
      </c>
      <c r="Y949" s="15" t="n">
        <v>75.55</v>
      </c>
      <c r="Z949" s="15" t="n">
        <v>75.22</v>
      </c>
      <c r="AA949" s="34" t="n">
        <v>45657</v>
      </c>
      <c r="AB949" s="15" t="n">
        <v>4.9</v>
      </c>
      <c r="AC949" s="15" t="n">
        <v>10.36</v>
      </c>
      <c r="AD949" s="34" t="n">
        <v>45657</v>
      </c>
      <c r="AE949" s="15" t="n">
        <v>33.75</v>
      </c>
      <c r="AF949" s="15" t="n">
        <v>40.3</v>
      </c>
      <c r="AG949" s="34" t="n">
        <v>45657</v>
      </c>
    </row>
    <row r="950">
      <c r="A950" s="34" t="n">
        <v>45659</v>
      </c>
      <c r="B950" s="266" t="n">
        <v>1.064368963241577</v>
      </c>
      <c r="C950" s="34" t="n">
        <v>45659</v>
      </c>
      <c r="D950" s="15" t="n">
        <v>8.93</v>
      </c>
      <c r="E950" s="15" t="n">
        <v>17.2</v>
      </c>
      <c r="F950" s="34" t="n">
        <v>45659</v>
      </c>
      <c r="G950" s="15" t="n">
        <v>50.05</v>
      </c>
      <c r="H950" s="15" t="n">
        <v>74.40000000000001</v>
      </c>
      <c r="I950" s="34" t="n">
        <v>45659</v>
      </c>
      <c r="J950" s="15" t="n">
        <v>7.58</v>
      </c>
      <c r="K950" s="15" t="n">
        <v>17.32</v>
      </c>
      <c r="L950" s="34" t="n">
        <v>45659</v>
      </c>
      <c r="M950" s="15" t="n">
        <v>23.6</v>
      </c>
      <c r="N950" s="15" t="n">
        <v>32.39</v>
      </c>
      <c r="O950" s="34" t="n">
        <v>45659</v>
      </c>
      <c r="P950" s="15" t="n">
        <v>50.7</v>
      </c>
      <c r="Q950" s="15" t="n">
        <v>64.7</v>
      </c>
      <c r="R950" s="34" t="n">
        <v>45659</v>
      </c>
      <c r="S950" s="15" t="n">
        <v>8.300000000000001</v>
      </c>
      <c r="V950" s="15" t="n">
        <v>19.6</v>
      </c>
      <c r="W950" s="15" t="n">
        <v>23.12</v>
      </c>
      <c r="X950" s="34" t="n">
        <v>45659</v>
      </c>
      <c r="Y950" s="15" t="n">
        <v>74.65000000000001</v>
      </c>
      <c r="Z950" s="15" t="n">
        <v>75.31999999999999</v>
      </c>
      <c r="AA950" s="34" t="n">
        <v>45659</v>
      </c>
      <c r="AB950" s="15" t="n">
        <v>4.62</v>
      </c>
      <c r="AC950" s="15" t="n">
        <v>9.960000000000001</v>
      </c>
      <c r="AD950" s="34" t="n">
        <v>45659</v>
      </c>
      <c r="AE950" s="15" t="n">
        <v>33.35</v>
      </c>
      <c r="AF950" s="15" t="n">
        <v>39.08</v>
      </c>
      <c r="AG950" s="34" t="n">
        <v>45659</v>
      </c>
    </row>
    <row r="951">
      <c r="A951" s="34" t="n">
        <v>45660</v>
      </c>
      <c r="B951" s="266" t="n">
        <v>1.065240979194641</v>
      </c>
      <c r="C951" s="34" t="n">
        <v>45660</v>
      </c>
      <c r="D951" s="15" t="n">
        <v>8.699999999999999</v>
      </c>
      <c r="E951" s="15" t="n">
        <v>16.34</v>
      </c>
      <c r="F951" s="34" t="n">
        <v>45660</v>
      </c>
      <c r="G951" s="15" t="n">
        <v>49.4</v>
      </c>
      <c r="H951" s="15" t="n">
        <v>73.23</v>
      </c>
      <c r="I951" s="34" t="n">
        <v>45660</v>
      </c>
      <c r="J951" s="15" t="n">
        <v>7.49</v>
      </c>
      <c r="K951" s="15" t="n">
        <v>17.29</v>
      </c>
      <c r="L951" s="34" t="n">
        <v>45660</v>
      </c>
      <c r="M951" s="15" t="n">
        <v>23.2</v>
      </c>
      <c r="N951" s="15" t="n">
        <v>31.63</v>
      </c>
      <c r="O951" s="34" t="n">
        <v>45660</v>
      </c>
      <c r="P951" s="15" t="n">
        <v>49.8</v>
      </c>
      <c r="Q951" s="15" t="n">
        <v>62.83</v>
      </c>
      <c r="R951" s="34" t="n">
        <v>45660</v>
      </c>
      <c r="S951" s="15" t="n">
        <v>8.109999999999999</v>
      </c>
      <c r="V951" s="15" t="n">
        <v>19.16</v>
      </c>
      <c r="W951" s="15" t="n">
        <v>22.7</v>
      </c>
      <c r="X951" s="34" t="n">
        <v>45660</v>
      </c>
      <c r="Y951" s="15" t="n">
        <v>75.3</v>
      </c>
      <c r="Z951" s="15" t="n">
        <v>74.69</v>
      </c>
      <c r="AA951" s="34" t="n">
        <v>45660</v>
      </c>
      <c r="AB951" s="15" t="n">
        <v>4.53</v>
      </c>
      <c r="AC951" s="15" t="n">
        <v>9.52</v>
      </c>
      <c r="AD951" s="34" t="n">
        <v>45660</v>
      </c>
      <c r="AE951" s="15" t="n">
        <v>34.45</v>
      </c>
      <c r="AF951" s="15" t="n">
        <v>39.45</v>
      </c>
      <c r="AG951" s="34" t="n">
        <v>45660</v>
      </c>
    </row>
    <row r="952">
      <c r="A952" s="34" t="n">
        <v>45663</v>
      </c>
      <c r="B952" s="266" t="n">
        <v>1.062374949455261</v>
      </c>
      <c r="C952" s="34" t="n">
        <v>45663</v>
      </c>
      <c r="D952" s="15" t="n">
        <v>8.93</v>
      </c>
      <c r="E952" s="15" t="n">
        <v>16.18</v>
      </c>
      <c r="F952" s="34" t="n">
        <v>45663</v>
      </c>
      <c r="G952" s="15" t="n">
        <v>49.45</v>
      </c>
      <c r="H952" s="15" t="n">
        <v>73.42</v>
      </c>
      <c r="I952" s="34" t="n">
        <v>45663</v>
      </c>
      <c r="J952" s="15" t="n">
        <v>7.8</v>
      </c>
      <c r="K952" s="15" t="n">
        <v>17.8</v>
      </c>
      <c r="L952" s="34" t="n">
        <v>45663</v>
      </c>
      <c r="M952" s="15" t="n">
        <v>23.6</v>
      </c>
      <c r="N952" s="15" t="n">
        <v>32.33</v>
      </c>
      <c r="O952" s="34" t="n">
        <v>45663</v>
      </c>
      <c r="P952" s="15" t="n">
        <v>49.25</v>
      </c>
      <c r="Q952" s="15" t="n">
        <v>62.54</v>
      </c>
      <c r="R952" s="34" t="n">
        <v>45663</v>
      </c>
      <c r="S952" s="15" t="n">
        <v>7.66</v>
      </c>
      <c r="V952" s="15" t="n">
        <v>19.4</v>
      </c>
      <c r="W952" s="15" t="n">
        <v>22.45</v>
      </c>
      <c r="X952" s="34" t="n">
        <v>45663</v>
      </c>
      <c r="Y952" s="15" t="n">
        <v>75.3</v>
      </c>
      <c r="Z952" s="15" t="n">
        <v>75.38</v>
      </c>
      <c r="AA952" s="34" t="n">
        <v>45663</v>
      </c>
      <c r="AB952" s="15" t="n">
        <v>4.64</v>
      </c>
      <c r="AC952" s="15" t="n">
        <v>9.33</v>
      </c>
      <c r="AD952" s="34" t="n">
        <v>45663</v>
      </c>
      <c r="AE952" s="15" t="n">
        <v>34</v>
      </c>
      <c r="AF952" s="15" t="n">
        <v>39.71</v>
      </c>
      <c r="AG952" s="34" t="n">
        <v>45663</v>
      </c>
    </row>
    <row r="953">
      <c r="A953" s="34" t="n">
        <v>45664</v>
      </c>
      <c r="B953" s="266" t="n">
        <v>1.061730027198792</v>
      </c>
      <c r="C953" s="34" t="n">
        <v>45664</v>
      </c>
      <c r="D953" s="15" t="n">
        <v>8.69</v>
      </c>
      <c r="E953" s="15" t="n">
        <v>16.2</v>
      </c>
      <c r="F953" s="34" t="n">
        <v>45664</v>
      </c>
      <c r="G953" s="15" t="n">
        <v>49.6</v>
      </c>
      <c r="H953" s="15" t="n">
        <v>72.29000000000001</v>
      </c>
      <c r="I953" s="34" t="n">
        <v>45664</v>
      </c>
      <c r="J953" s="15" t="n">
        <v>8.07</v>
      </c>
      <c r="K953" s="15" t="n">
        <v>18.4</v>
      </c>
      <c r="L953" s="34" t="n">
        <v>45664</v>
      </c>
      <c r="M953" s="15" t="n">
        <v>23.95</v>
      </c>
      <c r="N953" s="15" t="n">
        <v>33.04</v>
      </c>
      <c r="O953" s="34" t="n">
        <v>45664</v>
      </c>
      <c r="P953" s="15" t="n">
        <v>49.55</v>
      </c>
      <c r="Q953" s="15" t="n">
        <v>62.47</v>
      </c>
      <c r="R953" s="34" t="n">
        <v>45664</v>
      </c>
      <c r="S953" s="15" t="n">
        <v>7.55</v>
      </c>
      <c r="V953" s="15" t="n">
        <v>20.6</v>
      </c>
      <c r="W953" s="15" t="n">
        <v>24.67</v>
      </c>
      <c r="X953" s="34" t="n">
        <v>45664</v>
      </c>
      <c r="Y953" s="15" t="n">
        <v>76.65000000000001</v>
      </c>
      <c r="Z953" s="15" t="n">
        <v>75.93000000000001</v>
      </c>
      <c r="AA953" s="34" t="n">
        <v>45664</v>
      </c>
      <c r="AB953" s="15" t="n">
        <v>4.8</v>
      </c>
      <c r="AC953" s="15" t="n">
        <v>9.74</v>
      </c>
      <c r="AD953" s="34" t="n">
        <v>45664</v>
      </c>
      <c r="AE953" s="15" t="n">
        <v>34.35</v>
      </c>
      <c r="AF953" s="15" t="n">
        <v>40.24</v>
      </c>
      <c r="AG953" s="34" t="n">
        <v>45664</v>
      </c>
    </row>
    <row r="954">
      <c r="A954" s="34" t="n">
        <v>45665</v>
      </c>
      <c r="B954" s="266" t="n">
        <v>1.061154961585999</v>
      </c>
      <c r="C954" s="34" t="n">
        <v>45665</v>
      </c>
      <c r="D954" s="15" t="n">
        <v>8.43</v>
      </c>
      <c r="E954" s="15" t="n">
        <v>15.92</v>
      </c>
      <c r="F954" s="34" t="n">
        <v>45665</v>
      </c>
      <c r="G954" s="15" t="n">
        <v>47.3</v>
      </c>
      <c r="H954" s="15" t="n">
        <v>70.75</v>
      </c>
      <c r="I954" s="34" t="n">
        <v>45665</v>
      </c>
      <c r="J954" s="15" t="n">
        <v>7.78</v>
      </c>
      <c r="K954" s="15" t="n">
        <v>17.95</v>
      </c>
      <c r="L954" s="34" t="n">
        <v>45665</v>
      </c>
      <c r="M954" s="15" t="n">
        <v>23.4</v>
      </c>
      <c r="N954" s="15" t="n">
        <v>32.13</v>
      </c>
      <c r="O954" s="34" t="n">
        <v>45665</v>
      </c>
      <c r="P954" s="15" t="n">
        <v>48</v>
      </c>
      <c r="Q954" s="15" t="n">
        <v>61.79</v>
      </c>
      <c r="R954" s="34" t="n">
        <v>45665</v>
      </c>
      <c r="S954" s="15" t="n">
        <v>7.53</v>
      </c>
      <c r="V954" s="15" t="n">
        <v>21.35</v>
      </c>
      <c r="W954" s="15" t="n">
        <v>25.5</v>
      </c>
      <c r="X954" s="34" t="n">
        <v>45665</v>
      </c>
      <c r="Y954" s="15" t="n">
        <v>79.3</v>
      </c>
      <c r="Z954" s="15" t="n">
        <v>77.58</v>
      </c>
      <c r="AA954" s="34" t="n">
        <v>45665</v>
      </c>
      <c r="AB954" s="15" t="n">
        <v>4.67</v>
      </c>
      <c r="AC954" s="15" t="n">
        <v>9.720000000000001</v>
      </c>
      <c r="AD954" s="34" t="n">
        <v>45665</v>
      </c>
      <c r="AE954" s="15" t="n">
        <v>33.9</v>
      </c>
      <c r="AF954" s="15" t="n">
        <v>39.88</v>
      </c>
      <c r="AG954" s="34" t="n">
        <v>45665</v>
      </c>
    </row>
    <row r="955">
      <c r="A955" s="34" t="n">
        <v>45666</v>
      </c>
      <c r="B955" s="266" t="n">
        <v>1.061004042625427</v>
      </c>
      <c r="C955" s="34" t="n">
        <v>45666</v>
      </c>
      <c r="D955" s="15" t="n">
        <v>8.44</v>
      </c>
      <c r="E955" s="15" t="n">
        <v>15.78</v>
      </c>
      <c r="F955" s="34" t="n">
        <v>45666</v>
      </c>
      <c r="G955" s="15" t="n">
        <v>46.8</v>
      </c>
      <c r="H955" s="15" t="n">
        <v>70.40000000000001</v>
      </c>
      <c r="I955" s="34" t="n">
        <v>45666</v>
      </c>
      <c r="J955" s="15" t="n">
        <v>8.109999999999999</v>
      </c>
      <c r="K955" s="15" t="n">
        <v>18.59</v>
      </c>
      <c r="L955" s="34" t="n">
        <v>45666</v>
      </c>
      <c r="M955" s="15" t="n">
        <v>23.6</v>
      </c>
      <c r="N955" s="15" t="n">
        <v>32.07</v>
      </c>
      <c r="O955" s="34" t="n">
        <v>45666</v>
      </c>
      <c r="P955" s="15" t="n">
        <v>47.6</v>
      </c>
      <c r="Q955" s="15" t="n">
        <v>61.01</v>
      </c>
      <c r="R955" s="34" t="n">
        <v>45666</v>
      </c>
      <c r="S955" s="15" t="n">
        <v>7.46</v>
      </c>
      <c r="V955" s="15" t="n">
        <v>20.75</v>
      </c>
      <c r="W955" s="15" t="n">
        <v>24.93</v>
      </c>
      <c r="X955" s="34" t="n">
        <v>45666</v>
      </c>
      <c r="Y955" s="15" t="n">
        <v>80.59999999999999</v>
      </c>
      <c r="Z955" s="15" t="n">
        <v>78.73</v>
      </c>
      <c r="AA955" s="34" t="n">
        <v>45666</v>
      </c>
      <c r="AB955" s="15" t="n">
        <v>4.7</v>
      </c>
      <c r="AC955" s="15" t="n">
        <v>9.77</v>
      </c>
      <c r="AD955" s="34" t="n">
        <v>45666</v>
      </c>
      <c r="AE955" s="15" t="n">
        <v>34.45</v>
      </c>
      <c r="AF955" s="15" t="n">
        <v>39.8</v>
      </c>
      <c r="AG955" s="34" t="n">
        <v>45666</v>
      </c>
    </row>
    <row r="956">
      <c r="A956" s="34" t="n">
        <v>45667</v>
      </c>
      <c r="B956" s="266" t="n">
        <v>1.061197996139526</v>
      </c>
      <c r="C956" s="34" t="n">
        <v>45667</v>
      </c>
      <c r="D956" s="15" t="n">
        <v>8.109999999999999</v>
      </c>
      <c r="E956" s="15" t="n">
        <v>15.29</v>
      </c>
      <c r="F956" s="34" t="n">
        <v>45667</v>
      </c>
      <c r="G956" s="15" t="n">
        <v>46</v>
      </c>
      <c r="H956" s="15" t="n">
        <v>69.72</v>
      </c>
      <c r="I956" s="34" t="n">
        <v>45667</v>
      </c>
      <c r="J956" s="15" t="n">
        <v>8.08</v>
      </c>
      <c r="K956" s="15" t="n">
        <v>18.85</v>
      </c>
      <c r="L956" s="34" t="n">
        <v>45667</v>
      </c>
      <c r="M956" s="15" t="n">
        <v>22.9</v>
      </c>
      <c r="N956" s="15" t="n">
        <v>31</v>
      </c>
      <c r="O956" s="34" t="n">
        <v>45667</v>
      </c>
      <c r="P956" s="15" t="n">
        <v>46.65</v>
      </c>
      <c r="Q956" s="15" t="n">
        <v>59.98</v>
      </c>
      <c r="R956" s="34" t="n">
        <v>45667</v>
      </c>
      <c r="S956" s="15" t="n">
        <v>7.7</v>
      </c>
      <c r="V956" s="15" t="n">
        <v>19.78</v>
      </c>
      <c r="W956" s="15" t="n">
        <v>23.65</v>
      </c>
      <c r="X956" s="34" t="n">
        <v>45667</v>
      </c>
      <c r="Y956" s="15" t="n">
        <v>77.05</v>
      </c>
      <c r="Z956" s="15" t="n">
        <v>76.37</v>
      </c>
      <c r="AA956" s="34" t="n">
        <v>45667</v>
      </c>
      <c r="AB956" s="15" t="n">
        <v>4.49</v>
      </c>
      <c r="AC956" s="15" t="n">
        <v>9.35</v>
      </c>
      <c r="AD956" s="34" t="n">
        <v>45667</v>
      </c>
      <c r="AE956" s="15" t="n">
        <v>33.85</v>
      </c>
      <c r="AF956" s="15" t="n">
        <v>39.19</v>
      </c>
      <c r="AG956" s="34" t="n">
        <v>45667</v>
      </c>
    </row>
    <row r="957">
      <c r="A957" s="34" t="n">
        <v>45670</v>
      </c>
      <c r="B957" s="266" t="n">
        <v>1.061838984489441</v>
      </c>
      <c r="C957" s="34" t="n">
        <v>45670</v>
      </c>
      <c r="D957" s="15" t="n">
        <v>8</v>
      </c>
      <c r="E957" s="15" t="n">
        <v>15.36</v>
      </c>
      <c r="F957" s="34" t="n">
        <v>45670</v>
      </c>
      <c r="G957" s="15" t="n">
        <v>46.6</v>
      </c>
      <c r="H957" s="15" t="n">
        <v>70</v>
      </c>
      <c r="I957" s="34" t="n">
        <v>45670</v>
      </c>
      <c r="J957" s="15" t="n">
        <v>8.630000000000001</v>
      </c>
      <c r="K957" s="15" t="n">
        <v>19.98</v>
      </c>
      <c r="L957" s="34" t="n">
        <v>45670</v>
      </c>
      <c r="M957" s="15" t="n">
        <v>23.55</v>
      </c>
      <c r="N957" s="15" t="n">
        <v>32.29</v>
      </c>
      <c r="O957" s="34" t="n">
        <v>45670</v>
      </c>
      <c r="P957" s="15" t="n">
        <v>46.1</v>
      </c>
      <c r="Q957" s="15" t="n">
        <v>60.17</v>
      </c>
      <c r="R957" s="34" t="n">
        <v>45670</v>
      </c>
      <c r="S957" s="15" t="n">
        <v>7.69</v>
      </c>
      <c r="V957" s="15" t="n">
        <v>19.36</v>
      </c>
      <c r="W957" s="15" t="n">
        <v>23.31</v>
      </c>
      <c r="X957" s="34" t="n">
        <v>45670</v>
      </c>
      <c r="Y957" s="15" t="n">
        <v>75.3</v>
      </c>
      <c r="Z957" s="15" t="n">
        <v>74.3</v>
      </c>
      <c r="AA957" s="34" t="n">
        <v>45670</v>
      </c>
      <c r="AB957" s="15" t="n">
        <v>4.71</v>
      </c>
      <c r="AC957" s="15" t="n">
        <v>9.51</v>
      </c>
      <c r="AD957" s="34" t="n">
        <v>45670</v>
      </c>
      <c r="AE957" s="15" t="n">
        <v>34.15</v>
      </c>
      <c r="AF957" s="15" t="n">
        <v>39.39</v>
      </c>
      <c r="AG957" s="34" t="n">
        <v>45670</v>
      </c>
    </row>
    <row r="958">
      <c r="A958" s="34" t="n">
        <v>45671</v>
      </c>
      <c r="B958" s="266" t="n">
        <v>1.061681032180786</v>
      </c>
      <c r="C958" s="34" t="n">
        <v>45671</v>
      </c>
      <c r="D958" s="15" t="n">
        <v>8.24</v>
      </c>
      <c r="E958" s="15" t="n">
        <v>15.83</v>
      </c>
      <c r="F958" s="34" t="n">
        <v>45671</v>
      </c>
      <c r="G958" s="15" t="n">
        <v>47.65</v>
      </c>
      <c r="H958" s="15" t="n">
        <v>73.98999999999999</v>
      </c>
      <c r="I958" s="34" t="n">
        <v>45671</v>
      </c>
      <c r="J958" s="15" t="n">
        <v>8.710000000000001</v>
      </c>
      <c r="K958" s="15" t="n">
        <v>20.58</v>
      </c>
      <c r="L958" s="34" t="n">
        <v>45671</v>
      </c>
      <c r="M958" s="15" t="n">
        <v>23.7</v>
      </c>
      <c r="N958" s="15" t="n">
        <v>32.99</v>
      </c>
      <c r="O958" s="34" t="n">
        <v>45671</v>
      </c>
      <c r="P958" s="15" t="n">
        <v>47.75</v>
      </c>
      <c r="Q958" s="15" t="n">
        <v>61.87</v>
      </c>
      <c r="R958" s="34" t="n">
        <v>45671</v>
      </c>
      <c r="S958" s="15" t="n">
        <v>8.06</v>
      </c>
      <c r="V958" s="15" t="n">
        <v>19.92</v>
      </c>
      <c r="W958" s="15" t="n">
        <v>24.17</v>
      </c>
      <c r="X958" s="34" t="n">
        <v>45671</v>
      </c>
      <c r="Y958" s="15" t="n">
        <v>75.05</v>
      </c>
      <c r="Z958" s="15" t="n">
        <v>74.62</v>
      </c>
      <c r="AA958" s="34" t="n">
        <v>45671</v>
      </c>
      <c r="AB958" s="15" t="n">
        <v>4.9</v>
      </c>
      <c r="AC958" s="15" t="n">
        <v>10.06</v>
      </c>
      <c r="AD958" s="34" t="n">
        <v>45671</v>
      </c>
      <c r="AE958" s="15" t="n">
        <v>34.65</v>
      </c>
      <c r="AF958" s="15" t="n">
        <v>40.5</v>
      </c>
      <c r="AG958" s="34" t="n">
        <v>45671</v>
      </c>
    </row>
    <row r="959">
      <c r="A959" s="34" t="n">
        <v>45672</v>
      </c>
      <c r="B959" s="266" t="n">
        <v>1.062003970146179</v>
      </c>
      <c r="C959" s="34" t="n">
        <v>45672</v>
      </c>
      <c r="D959" s="15" t="n">
        <v>8.07</v>
      </c>
      <c r="E959" s="15" t="n">
        <v>15.61</v>
      </c>
      <c r="F959" s="34" t="n">
        <v>45672</v>
      </c>
      <c r="G959" s="15" t="n">
        <v>46.8</v>
      </c>
      <c r="H959" s="15" t="n">
        <v>73.63</v>
      </c>
      <c r="I959" s="34" t="n">
        <v>45672</v>
      </c>
      <c r="J959" s="15" t="n">
        <v>8.710000000000001</v>
      </c>
      <c r="K959" s="15" t="n">
        <v>20.6</v>
      </c>
      <c r="L959" s="34" t="n">
        <v>45672</v>
      </c>
      <c r="M959" s="15" t="n">
        <v>24.05</v>
      </c>
      <c r="N959" s="15" t="n">
        <v>33.03</v>
      </c>
      <c r="O959" s="34" t="n">
        <v>45672</v>
      </c>
      <c r="P959" s="15" t="n">
        <v>47.45</v>
      </c>
      <c r="Q959" s="15" t="n">
        <v>61.29</v>
      </c>
      <c r="R959" s="34" t="n">
        <v>45672</v>
      </c>
      <c r="S959" s="15" t="n">
        <v>8.029999999999999</v>
      </c>
      <c r="V959" s="15" t="n">
        <v>19.56</v>
      </c>
      <c r="W959" s="15" t="n">
        <v>23.33</v>
      </c>
      <c r="X959" s="34" t="n">
        <v>45672</v>
      </c>
      <c r="Y959" s="15" t="n">
        <v>74.8</v>
      </c>
      <c r="Z959" s="15" t="n">
        <v>73.81999999999999</v>
      </c>
      <c r="AA959" s="34" t="n">
        <v>45672</v>
      </c>
      <c r="AB959" s="15" t="n">
        <v>4.95</v>
      </c>
      <c r="AC959" s="15" t="n">
        <v>10.01</v>
      </c>
      <c r="AD959" s="34" t="n">
        <v>45672</v>
      </c>
      <c r="AE959" s="15" t="n">
        <v>34.5</v>
      </c>
      <c r="AF959" s="15" t="n">
        <v>40.6</v>
      </c>
      <c r="AG959" s="34" t="n">
        <v>45672</v>
      </c>
    </row>
    <row r="960">
      <c r="A960" s="34" t="n">
        <v>45673</v>
      </c>
      <c r="B960" s="266" t="n">
        <v>1.061879992485046</v>
      </c>
      <c r="C960" s="34" t="n">
        <v>45673</v>
      </c>
      <c r="D960" s="15" t="n">
        <v>8.130000000000001</v>
      </c>
      <c r="E960" s="15" t="n">
        <v>15.55</v>
      </c>
      <c r="F960" s="34" t="n">
        <v>45673</v>
      </c>
      <c r="G960" s="15" t="n">
        <v>47.55</v>
      </c>
      <c r="H960" s="15" t="n">
        <v>73.01000000000001</v>
      </c>
      <c r="I960" s="34" t="n">
        <v>45673</v>
      </c>
      <c r="J960" s="15" t="n">
        <v>8.859999999999999</v>
      </c>
      <c r="K960" s="15" t="n">
        <v>20.16</v>
      </c>
      <c r="L960" s="34" t="n">
        <v>45673</v>
      </c>
      <c r="M960" s="15" t="n">
        <v>24.4</v>
      </c>
      <c r="N960" s="15" t="n">
        <v>33.05</v>
      </c>
      <c r="O960" s="34" t="n">
        <v>45673</v>
      </c>
      <c r="P960" s="15" t="n">
        <v>48.6</v>
      </c>
      <c r="Q960" s="15" t="n">
        <v>61.6</v>
      </c>
      <c r="R960" s="34" t="n">
        <v>45673</v>
      </c>
      <c r="S960" s="15" t="n">
        <v>7.54</v>
      </c>
      <c r="V960" s="15" t="n">
        <v>19.86</v>
      </c>
      <c r="W960" s="15" t="n">
        <v>23.38</v>
      </c>
      <c r="X960" s="34" t="n">
        <v>45673</v>
      </c>
      <c r="Y960" s="15" t="n">
        <v>75</v>
      </c>
      <c r="Z960" s="15" t="n">
        <v>74.09</v>
      </c>
      <c r="AA960" s="34" t="n">
        <v>45673</v>
      </c>
      <c r="AB960" s="15" t="n">
        <v>4.97</v>
      </c>
      <c r="AC960" s="15" t="n">
        <v>10.03</v>
      </c>
      <c r="AD960" s="34" t="n">
        <v>45673</v>
      </c>
      <c r="AE960" s="15" t="n">
        <v>34.15</v>
      </c>
      <c r="AF960" s="15" t="n">
        <v>39.41</v>
      </c>
      <c r="AG960" s="34" t="n">
        <v>45673</v>
      </c>
    </row>
    <row r="961">
      <c r="A961" s="34" t="n">
        <v>45674</v>
      </c>
      <c r="B961" s="266" t="n">
        <v>1.06210196018219</v>
      </c>
      <c r="C961" s="34" t="n">
        <v>45674</v>
      </c>
      <c r="D961" s="15" t="n">
        <v>8.130000000000001</v>
      </c>
      <c r="E961" s="15" t="n">
        <v>15.77</v>
      </c>
      <c r="F961" s="34" t="n">
        <v>45674</v>
      </c>
      <c r="G961" s="15" t="n">
        <v>48</v>
      </c>
      <c r="H961" s="15" t="n">
        <v>73.70999999999999</v>
      </c>
      <c r="I961" s="34" t="n">
        <v>45674</v>
      </c>
      <c r="J961" s="15" t="n">
        <v>8.710000000000001</v>
      </c>
      <c r="K961" s="15" t="n">
        <v>19.94</v>
      </c>
      <c r="L961" s="34" t="n">
        <v>45674</v>
      </c>
      <c r="M961" s="15" t="n">
        <v>24.4</v>
      </c>
      <c r="N961" s="15" t="n">
        <v>33.39</v>
      </c>
      <c r="O961" s="34" t="n">
        <v>45674</v>
      </c>
      <c r="P961" s="15" t="n">
        <v>47.4</v>
      </c>
      <c r="Q961" s="15" t="n">
        <v>61.02</v>
      </c>
      <c r="R961" s="34" t="n">
        <v>45674</v>
      </c>
      <c r="S961" s="15" t="n">
        <v>7.56</v>
      </c>
      <c r="V961" s="15" t="n">
        <v>19.62</v>
      </c>
      <c r="W961" s="15" t="n">
        <v>23.06</v>
      </c>
      <c r="X961" s="34" t="n">
        <v>45674</v>
      </c>
      <c r="Y961" s="15" t="n">
        <v>75.3</v>
      </c>
      <c r="Z961" s="15" t="n">
        <v>74.34999999999999</v>
      </c>
      <c r="AA961" s="34" t="n">
        <v>45674</v>
      </c>
      <c r="AB961" s="15" t="n">
        <v>4.89</v>
      </c>
      <c r="AC961" s="15" t="n">
        <v>10</v>
      </c>
      <c r="AD961" s="34" t="n">
        <v>45674</v>
      </c>
      <c r="AE961" s="15" t="n">
        <v>34.3</v>
      </c>
      <c r="AF961" s="15" t="n">
        <v>39.71</v>
      </c>
      <c r="AG961" s="34" t="n">
        <v>45674</v>
      </c>
    </row>
    <row r="962">
      <c r="A962" s="34" t="n">
        <v>45677</v>
      </c>
      <c r="B962" s="266" t="n">
        <v>1.062587022781372</v>
      </c>
      <c r="C962" s="34" t="n">
        <v>45677</v>
      </c>
      <c r="D962" s="15" t="n">
        <v>8.289999999999999</v>
      </c>
      <c r="E962" s="15" t="n">
        <v>16.05</v>
      </c>
      <c r="F962" s="34" t="n">
        <v>45677</v>
      </c>
      <c r="G962" s="15" t="n">
        <v>50.2</v>
      </c>
      <c r="H962" s="15" t="n">
        <v>75.52</v>
      </c>
      <c r="I962" s="34" t="n">
        <v>45677</v>
      </c>
      <c r="J962" s="15" t="n">
        <v>8.630000000000001</v>
      </c>
      <c r="K962" s="15" t="n">
        <v>19.66</v>
      </c>
      <c r="L962" s="34" t="n">
        <v>45677</v>
      </c>
      <c r="M962" s="15" t="n">
        <v>24.35</v>
      </c>
      <c r="N962" s="15" t="n">
        <v>33.06</v>
      </c>
      <c r="O962" s="34" t="n">
        <v>45677</v>
      </c>
      <c r="P962" s="15" t="n">
        <v>48.3</v>
      </c>
      <c r="Q962" s="15" t="n">
        <v>61.88</v>
      </c>
      <c r="R962" s="34" t="n">
        <v>45677</v>
      </c>
      <c r="S962" s="15" t="n">
        <v>7.5</v>
      </c>
      <c r="V962" s="15" t="n">
        <v>19.76</v>
      </c>
      <c r="W962" s="15" t="n">
        <v>22.89</v>
      </c>
      <c r="X962" s="34" t="n">
        <v>45677</v>
      </c>
      <c r="Y962" s="15" t="n">
        <v>76.34999999999999</v>
      </c>
      <c r="Z962" s="15" t="n">
        <v>74.89</v>
      </c>
      <c r="AA962" s="34" t="n">
        <v>45677</v>
      </c>
      <c r="AB962" s="15" t="n">
        <v>4.8</v>
      </c>
      <c r="AC962" s="15" t="n">
        <v>10.11</v>
      </c>
      <c r="AD962" s="34" t="n">
        <v>45677</v>
      </c>
      <c r="AE962" s="15" t="n">
        <v>34.05</v>
      </c>
      <c r="AF962" s="15" t="n">
        <v>39.52</v>
      </c>
      <c r="AG962" s="34" t="n">
        <v>45677</v>
      </c>
    </row>
    <row r="963">
      <c r="A963" s="34" t="n">
        <v>45678</v>
      </c>
      <c r="B963" s="266" t="n">
        <v>1.063603043556213</v>
      </c>
      <c r="C963" s="34" t="n">
        <v>45678</v>
      </c>
      <c r="D963" s="15" t="n">
        <v>8.33</v>
      </c>
      <c r="E963" s="15" t="n">
        <v>15.95</v>
      </c>
      <c r="F963" s="34" t="n">
        <v>45678</v>
      </c>
      <c r="G963" s="15" t="n">
        <v>48.85</v>
      </c>
      <c r="H963" s="15" t="n">
        <v>75.28</v>
      </c>
      <c r="I963" s="34" t="n">
        <v>45678</v>
      </c>
      <c r="J963" s="15" t="n">
        <v>8.16</v>
      </c>
      <c r="K963" s="15" t="n">
        <v>19.18</v>
      </c>
      <c r="L963" s="34" t="n">
        <v>45678</v>
      </c>
      <c r="M963" s="15" t="n">
        <v>23.85</v>
      </c>
      <c r="N963" s="15" t="n">
        <v>32.15</v>
      </c>
      <c r="O963" s="34" t="n">
        <v>45678</v>
      </c>
      <c r="P963" s="15" t="n">
        <v>48.6</v>
      </c>
      <c r="Q963" s="15" t="n">
        <v>61.53</v>
      </c>
      <c r="R963" s="34" t="n">
        <v>45678</v>
      </c>
      <c r="S963" s="15" t="n">
        <v>7.79</v>
      </c>
      <c r="V963" s="15" t="n">
        <v>19.72</v>
      </c>
      <c r="W963" s="15" t="n">
        <v>22.25</v>
      </c>
      <c r="X963" s="34" t="n">
        <v>45678</v>
      </c>
      <c r="Y963" s="15" t="n">
        <v>76.09999999999999</v>
      </c>
      <c r="Z963" s="15" t="n">
        <v>74.40000000000001</v>
      </c>
      <c r="AA963" s="34" t="n">
        <v>45678</v>
      </c>
      <c r="AB963" s="15" t="n">
        <v>4.67</v>
      </c>
      <c r="AC963" s="15" t="n">
        <v>9.99</v>
      </c>
      <c r="AD963" s="34" t="n">
        <v>45678</v>
      </c>
      <c r="AE963" s="15" t="n">
        <v>33.95</v>
      </c>
      <c r="AF963" s="15" t="n">
        <v>39.06</v>
      </c>
      <c r="AG963" s="34" t="n">
        <v>45678</v>
      </c>
    </row>
    <row r="964">
      <c r="A964" s="34" t="n">
        <v>45679</v>
      </c>
      <c r="B964" s="266" t="n">
        <v>1.070593953132629</v>
      </c>
      <c r="C964" s="34" t="n">
        <v>45679</v>
      </c>
      <c r="D964" s="15" t="n">
        <v>8.26</v>
      </c>
      <c r="E964" s="15" t="n">
        <v>15.69</v>
      </c>
      <c r="F964" s="34" t="n">
        <v>45679</v>
      </c>
      <c r="G964" s="15" t="n">
        <v>47.55</v>
      </c>
      <c r="H964" s="15" t="n">
        <v>74.34999999999999</v>
      </c>
      <c r="I964" s="34" t="n">
        <v>45679</v>
      </c>
      <c r="J964" s="15" t="n">
        <v>8.41</v>
      </c>
      <c r="K964" s="15" t="n">
        <v>20.03</v>
      </c>
      <c r="L964" s="34" t="n">
        <v>45679</v>
      </c>
      <c r="M964" s="15" t="n">
        <v>23.4</v>
      </c>
      <c r="N964" s="15" t="n">
        <v>31.55</v>
      </c>
      <c r="O964" s="34" t="n">
        <v>45679</v>
      </c>
      <c r="P964" s="15" t="n">
        <v>46.8</v>
      </c>
      <c r="Q964" s="15" t="n">
        <v>60.38</v>
      </c>
      <c r="R964" s="34" t="n">
        <v>45679</v>
      </c>
      <c r="S964" s="15" t="n">
        <v>7.8</v>
      </c>
      <c r="V964" s="15" t="n">
        <v>19.36</v>
      </c>
      <c r="W964" s="15" t="n">
        <v>22.06</v>
      </c>
      <c r="X964" s="34" t="n">
        <v>45679</v>
      </c>
      <c r="Y964" s="15" t="n">
        <v>73.40000000000001</v>
      </c>
      <c r="Z964" s="15" t="n">
        <v>73</v>
      </c>
      <c r="AA964" s="34" t="n">
        <v>45679</v>
      </c>
      <c r="AB964" s="15" t="n">
        <v>4.6</v>
      </c>
      <c r="AC964" s="15" t="n">
        <v>9.94</v>
      </c>
      <c r="AD964" s="34" t="n">
        <v>45679</v>
      </c>
      <c r="AE964" s="15" t="n">
        <v>33.95</v>
      </c>
      <c r="AF964" s="15" t="n">
        <v>38.96</v>
      </c>
      <c r="AG964" s="34" t="n">
        <v>45679</v>
      </c>
    </row>
    <row r="965">
      <c r="A965" s="34" t="n">
        <v>45680</v>
      </c>
      <c r="B965" s="266" t="n">
        <v>1.070641040802002</v>
      </c>
      <c r="C965" s="34" t="n">
        <v>45680</v>
      </c>
      <c r="D965" s="15" t="n">
        <v>8.210000000000001</v>
      </c>
      <c r="E965" s="15" t="n">
        <v>15.49</v>
      </c>
      <c r="F965" s="34" t="n">
        <v>45680</v>
      </c>
      <c r="G965" s="15" t="n">
        <v>48.05</v>
      </c>
      <c r="H965" s="15" t="n">
        <v>73.55</v>
      </c>
      <c r="I965" s="34" t="n">
        <v>45680</v>
      </c>
      <c r="J965" s="15" t="n">
        <v>8.5</v>
      </c>
      <c r="K965" s="15" t="n">
        <v>20.15</v>
      </c>
      <c r="L965" s="34" t="n">
        <v>45680</v>
      </c>
      <c r="M965" s="15" t="n">
        <v>22.9</v>
      </c>
      <c r="N965" s="15" t="n">
        <v>31.18</v>
      </c>
      <c r="O965" s="34" t="n">
        <v>45680</v>
      </c>
      <c r="P965" s="15" t="n">
        <v>46</v>
      </c>
      <c r="Q965" s="15" t="n">
        <v>60.52</v>
      </c>
      <c r="R965" s="34" t="n">
        <v>45680</v>
      </c>
      <c r="S965" s="15" t="n">
        <v>7.9</v>
      </c>
      <c r="V965" s="15" t="n">
        <v>19.28</v>
      </c>
      <c r="W965" s="15" t="n">
        <v>21.83</v>
      </c>
      <c r="X965" s="34" t="n">
        <v>45680</v>
      </c>
      <c r="Y965" s="15" t="n">
        <v>73.59999999999999</v>
      </c>
      <c r="Z965" s="15" t="n">
        <v>73.41</v>
      </c>
      <c r="AA965" s="34" t="n">
        <v>45680</v>
      </c>
      <c r="AB965" s="15" t="n">
        <v>4.6</v>
      </c>
      <c r="AC965" s="15" t="n">
        <v>10.14</v>
      </c>
      <c r="AD965" s="34" t="n">
        <v>45680</v>
      </c>
      <c r="AE965" s="15" t="n">
        <v>33.15</v>
      </c>
      <c r="AF965" s="15" t="n">
        <v>38.65</v>
      </c>
      <c r="AG965" s="34" t="n">
        <v>45680</v>
      </c>
    </row>
    <row r="966">
      <c r="A966" s="34" t="n">
        <v>45681</v>
      </c>
      <c r="B966" s="266" t="n">
        <v>1.068833947181702</v>
      </c>
      <c r="C966" s="34" t="n">
        <v>45681</v>
      </c>
      <c r="D966" s="15" t="n">
        <v>8.4</v>
      </c>
      <c r="E966" s="15" t="n">
        <v>15.69</v>
      </c>
      <c r="F966" s="34" t="n">
        <v>45681</v>
      </c>
      <c r="G966" s="15" t="n">
        <v>48.95</v>
      </c>
      <c r="H966" s="15" t="n">
        <v>74.73999999999999</v>
      </c>
      <c r="I966" s="34" t="n">
        <v>45681</v>
      </c>
      <c r="J966" s="15" t="n">
        <v>9.42</v>
      </c>
      <c r="K966" s="15" t="n">
        <v>21.17</v>
      </c>
      <c r="L966" s="34" t="n">
        <v>45681</v>
      </c>
      <c r="M966" s="15" t="n">
        <v>23.2</v>
      </c>
      <c r="N966" s="15" t="n">
        <v>30.99</v>
      </c>
      <c r="O966" s="34" t="n">
        <v>45681</v>
      </c>
      <c r="P966" s="15" t="n">
        <v>46.8</v>
      </c>
      <c r="Q966" s="15" t="n">
        <v>61.25</v>
      </c>
      <c r="R966" s="34" t="n">
        <v>45681</v>
      </c>
      <c r="S966" s="15" t="n">
        <v>7.88</v>
      </c>
      <c r="V966" s="15" t="n">
        <v>19.56</v>
      </c>
      <c r="W966" s="15" t="n">
        <v>21.95</v>
      </c>
      <c r="X966" s="34" t="n">
        <v>45681</v>
      </c>
      <c r="Y966" s="15" t="n">
        <v>73.3</v>
      </c>
      <c r="Z966" s="15" t="n">
        <v>72.81999999999999</v>
      </c>
      <c r="AA966" s="34" t="n">
        <v>45681</v>
      </c>
      <c r="AB966" s="15" t="n">
        <v>4.68</v>
      </c>
      <c r="AC966" s="15" t="n">
        <v>10.11</v>
      </c>
      <c r="AD966" s="34" t="n">
        <v>45681</v>
      </c>
      <c r="AE966" s="15" t="n">
        <v>33.4</v>
      </c>
      <c r="AF966" s="15" t="n">
        <v>38.53</v>
      </c>
      <c r="AG966" s="34" t="n">
        <v>45681</v>
      </c>
    </row>
    <row r="967">
      <c r="A967" s="34" t="n">
        <v>45684</v>
      </c>
      <c r="B967" s="266" t="n">
        <v>1.075027942657471</v>
      </c>
      <c r="C967" s="34" t="n">
        <v>45684</v>
      </c>
      <c r="D967" s="15" t="n">
        <v>8.710000000000001</v>
      </c>
      <c r="E967" s="15" t="n">
        <v>16.08</v>
      </c>
      <c r="F967" s="34" t="n">
        <v>45684</v>
      </c>
      <c r="G967" s="15" t="n">
        <v>50</v>
      </c>
      <c r="H967" s="15" t="n">
        <v>74.5</v>
      </c>
      <c r="I967" s="34" t="n">
        <v>45684</v>
      </c>
      <c r="J967" s="15" t="n">
        <v>9.109999999999999</v>
      </c>
      <c r="K967" s="15" t="n">
        <v>19.79</v>
      </c>
      <c r="L967" s="34" t="n">
        <v>45684</v>
      </c>
      <c r="M967" s="15" t="n">
        <v>23.15</v>
      </c>
      <c r="N967" s="15" t="n">
        <v>30.58</v>
      </c>
      <c r="O967" s="34" t="n">
        <v>45684</v>
      </c>
      <c r="P967" s="15" t="n">
        <v>47.45</v>
      </c>
      <c r="Q967" s="15" t="n">
        <v>60.7</v>
      </c>
      <c r="R967" s="34" t="n">
        <v>45684</v>
      </c>
      <c r="S967" s="15" t="n">
        <v>7.57</v>
      </c>
      <c r="V967" s="15" t="n">
        <v>19.56</v>
      </c>
      <c r="W967" s="15" t="n">
        <v>21.5</v>
      </c>
      <c r="X967" s="34" t="n">
        <v>45684</v>
      </c>
      <c r="Y967" s="15" t="n">
        <v>73.95</v>
      </c>
      <c r="Z967" s="15" t="n">
        <v>73.88</v>
      </c>
      <c r="AA967" s="34" t="n">
        <v>45684</v>
      </c>
      <c r="AB967" s="15" t="n">
        <v>4.65</v>
      </c>
      <c r="AC967" s="15" t="n">
        <v>9.789999999999999</v>
      </c>
      <c r="AD967" s="34" t="n">
        <v>45684</v>
      </c>
      <c r="AE967" s="15" t="n">
        <v>33.65</v>
      </c>
      <c r="AF967" s="15" t="n">
        <v>39.31</v>
      </c>
      <c r="AG967" s="34" t="n">
        <v>45684</v>
      </c>
    </row>
    <row r="968">
      <c r="A968" s="34" t="n">
        <v>45685</v>
      </c>
      <c r="B968" s="266" t="n">
        <v>1.074183940887451</v>
      </c>
      <c r="C968" s="34" t="n">
        <v>45685</v>
      </c>
      <c r="D968" s="15" t="n">
        <v>8.449999999999999</v>
      </c>
      <c r="E968" s="15" t="n">
        <v>16.08</v>
      </c>
      <c r="F968" s="34" t="n">
        <v>45684</v>
      </c>
      <c r="G968" s="15" t="n">
        <v>49.5</v>
      </c>
      <c r="H968" s="15" t="n">
        <v>74.5</v>
      </c>
      <c r="I968" s="34" t="n">
        <v>45684</v>
      </c>
      <c r="J968" s="15" t="n">
        <v>9.300000000000001</v>
      </c>
      <c r="K968" s="15" t="n">
        <v>19.79</v>
      </c>
      <c r="L968" s="34" t="n">
        <v>45684</v>
      </c>
      <c r="M968" s="15" t="n">
        <v>22.5</v>
      </c>
      <c r="N968" s="15" t="n">
        <v>30.58</v>
      </c>
      <c r="O968" s="34" t="n">
        <v>45684</v>
      </c>
      <c r="P968" s="15" t="n">
        <v>46.7</v>
      </c>
      <c r="Q968" s="15" t="n">
        <v>60.7</v>
      </c>
      <c r="R968" s="34" t="n">
        <v>45684</v>
      </c>
      <c r="S968" s="15" t="n">
        <v>7.87</v>
      </c>
      <c r="Y968" s="15" t="n">
        <v>74.90000000000001</v>
      </c>
      <c r="Z968" s="15" t="n">
        <v>73.88</v>
      </c>
      <c r="AA968" s="34" t="n">
        <v>45684</v>
      </c>
      <c r="AB968" s="15" t="n">
        <v>4.65</v>
      </c>
      <c r="AC968" s="15" t="n">
        <v>9.789999999999999</v>
      </c>
      <c r="AD968" s="34" t="n">
        <v>45684</v>
      </c>
      <c r="AE968" s="15" t="n">
        <v>33.2</v>
      </c>
      <c r="AF968" s="15" t="n">
        <v>39.31</v>
      </c>
      <c r="AG968" s="34" t="n">
        <v>45684</v>
      </c>
    </row>
    <row r="969">
      <c r="A969" s="34" t="n">
        <v>45691</v>
      </c>
      <c r="B969" s="266" t="n">
        <v>1.084506034851074</v>
      </c>
      <c r="C969" s="34" t="n">
        <v>45691</v>
      </c>
      <c r="D969" s="15" t="n">
        <v>8.779999999999999</v>
      </c>
      <c r="E969" s="15" t="n">
        <v>16.08</v>
      </c>
      <c r="F969" s="34" t="n">
        <v>45684</v>
      </c>
      <c r="G969" s="15" t="n">
        <v>49.75</v>
      </c>
      <c r="H969" s="15" t="n">
        <v>74.5</v>
      </c>
      <c r="I969" s="34" t="n">
        <v>45684</v>
      </c>
      <c r="J969" s="15" t="n">
        <v>9.19</v>
      </c>
      <c r="K969" s="15" t="n">
        <v>19.79</v>
      </c>
      <c r="L969" s="34" t="n">
        <v>45684</v>
      </c>
      <c r="M969" s="15" t="n">
        <v>22.35</v>
      </c>
      <c r="N969" s="15" t="n">
        <v>30.58</v>
      </c>
      <c r="O969" s="34" t="n">
        <v>45684</v>
      </c>
      <c r="P969" s="15" t="n">
        <v>45.75</v>
      </c>
      <c r="Q969" s="15" t="n">
        <v>60.7</v>
      </c>
      <c r="R969" s="34" t="n">
        <v>45684</v>
      </c>
      <c r="S969" s="15" t="n">
        <v>7.91</v>
      </c>
      <c r="V969" s="15" t="n">
        <v>19.02</v>
      </c>
      <c r="W969" s="15" t="n">
        <v>21.5</v>
      </c>
      <c r="X969" s="34" t="n">
        <v>45684</v>
      </c>
      <c r="Y969" s="15" t="n">
        <v>74.55</v>
      </c>
      <c r="Z969" s="15" t="n">
        <v>73.88</v>
      </c>
      <c r="AA969" s="34" t="n">
        <v>45684</v>
      </c>
      <c r="AB969" s="15" t="n">
        <v>4.54</v>
      </c>
      <c r="AC969" s="15" t="n">
        <v>9.789999999999999</v>
      </c>
      <c r="AD969" s="34" t="n">
        <v>45684</v>
      </c>
      <c r="AE969" s="15" t="n">
        <v>33</v>
      </c>
      <c r="AF969" s="15" t="n">
        <v>39.31</v>
      </c>
      <c r="AG969" s="34" t="n">
        <v>45684</v>
      </c>
    </row>
    <row r="970">
      <c r="A970" s="34" t="n">
        <v>45692</v>
      </c>
      <c r="B970" s="266" t="n">
        <v>1.082739949226379</v>
      </c>
      <c r="C970" s="34" t="n">
        <v>45692</v>
      </c>
      <c r="D970" s="15" t="n">
        <v>9.08</v>
      </c>
      <c r="E970" s="15" t="n">
        <v>16.08</v>
      </c>
      <c r="F970" s="34" t="n">
        <v>45684</v>
      </c>
      <c r="G970" s="15" t="n">
        <v>50.5</v>
      </c>
      <c r="H970" s="15" t="n">
        <v>74.5</v>
      </c>
      <c r="I970" s="34" t="n">
        <v>45684</v>
      </c>
      <c r="J970" s="15" t="n">
        <v>9.300000000000001</v>
      </c>
      <c r="K970" s="15" t="n">
        <v>19.79</v>
      </c>
      <c r="L970" s="34" t="n">
        <v>45684</v>
      </c>
      <c r="M970" s="15" t="n">
        <v>22.7</v>
      </c>
      <c r="N970" s="15" t="n">
        <v>30.58</v>
      </c>
      <c r="O970" s="34" t="n">
        <v>45684</v>
      </c>
      <c r="P970" s="15" t="n">
        <v>48.7</v>
      </c>
      <c r="Q970" s="15" t="n">
        <v>60.7</v>
      </c>
      <c r="R970" s="34" t="n">
        <v>45684</v>
      </c>
      <c r="S970" s="15" t="n">
        <v>7.76</v>
      </c>
      <c r="V970" s="15" t="n">
        <v>19.2</v>
      </c>
      <c r="W970" s="15" t="n">
        <v>21.5</v>
      </c>
      <c r="X970" s="34" t="n">
        <v>45684</v>
      </c>
      <c r="Y970" s="15" t="n">
        <v>75</v>
      </c>
      <c r="Z970" s="15" t="n">
        <v>73.88</v>
      </c>
      <c r="AA970" s="34" t="n">
        <v>45684</v>
      </c>
      <c r="AB970" s="15" t="n">
        <v>4.54</v>
      </c>
      <c r="AC970" s="15" t="n">
        <v>9.789999999999999</v>
      </c>
      <c r="AD970" s="34" t="n">
        <v>45684</v>
      </c>
      <c r="AE970" s="15" t="n">
        <v>33.3</v>
      </c>
      <c r="AF970" s="15" t="n">
        <v>39.31</v>
      </c>
      <c r="AG970" s="34" t="n">
        <v>45684</v>
      </c>
    </row>
    <row r="971">
      <c r="A971" s="34" t="n">
        <v>45693</v>
      </c>
      <c r="B971" s="266" t="n">
        <v>1.083930015563965</v>
      </c>
      <c r="C971" s="34" t="n">
        <v>45693</v>
      </c>
      <c r="D971" s="15" t="n">
        <v>9.18</v>
      </c>
      <c r="E971" s="15" t="n">
        <v>16.96</v>
      </c>
      <c r="F971" s="34" t="n">
        <v>45693</v>
      </c>
      <c r="G971" s="15" t="n">
        <v>50.55</v>
      </c>
      <c r="H971" s="15" t="n">
        <v>75.67</v>
      </c>
      <c r="I971" s="34" t="n">
        <v>45693</v>
      </c>
      <c r="J971" s="15" t="n">
        <v>9.359999999999999</v>
      </c>
      <c r="K971" s="15" t="n">
        <v>20.58</v>
      </c>
      <c r="L971" s="34" t="n">
        <v>45693</v>
      </c>
      <c r="M971" s="15" t="n">
        <v>22.6</v>
      </c>
      <c r="N971" s="15" t="n">
        <v>30.69</v>
      </c>
      <c r="O971" s="34" t="n">
        <v>45693</v>
      </c>
      <c r="P971" s="15" t="n">
        <v>46.5</v>
      </c>
      <c r="Q971" s="15" t="n">
        <v>60.22</v>
      </c>
      <c r="R971" s="34" t="n">
        <v>45693</v>
      </c>
      <c r="S971" s="15" t="n">
        <v>7.6</v>
      </c>
      <c r="V971" s="15" t="n">
        <v>19.44</v>
      </c>
      <c r="W971" s="15" t="n">
        <v>21.81</v>
      </c>
      <c r="X971" s="34" t="n">
        <v>45693</v>
      </c>
      <c r="Y971" s="15" t="n">
        <v>72.65000000000001</v>
      </c>
      <c r="Z971" s="15" t="n">
        <v>72.20999999999999</v>
      </c>
      <c r="AA971" s="34" t="n">
        <v>45693</v>
      </c>
      <c r="AB971" s="15" t="n">
        <v>4.57</v>
      </c>
      <c r="AC971" s="15" t="n">
        <v>9.91</v>
      </c>
      <c r="AD971" s="34" t="n">
        <v>45693</v>
      </c>
      <c r="AE971" s="15" t="n">
        <v>33.25</v>
      </c>
      <c r="AF971" s="15" t="n">
        <v>39.31</v>
      </c>
      <c r="AG971" s="34" t="n">
        <v>45693</v>
      </c>
    </row>
    <row r="972">
      <c r="A972" s="34" t="n">
        <v>45694</v>
      </c>
      <c r="B972" s="266" t="n">
        <v>1.070767045021057</v>
      </c>
      <c r="C972" s="34" t="n">
        <v>45694</v>
      </c>
      <c r="D972" s="15" t="n">
        <v>9.369999999999999</v>
      </c>
      <c r="E972" s="15" t="n">
        <v>17.2</v>
      </c>
      <c r="F972" s="34" t="n">
        <v>45694</v>
      </c>
      <c r="G972" s="15" t="n">
        <v>53</v>
      </c>
      <c r="H972" s="15" t="n">
        <v>78.95999999999999</v>
      </c>
      <c r="I972" s="34" t="n">
        <v>45694</v>
      </c>
      <c r="J972" s="15" t="n">
        <v>10.2</v>
      </c>
      <c r="K972" s="15" t="n">
        <v>21.54</v>
      </c>
      <c r="L972" s="34" t="n">
        <v>45694</v>
      </c>
      <c r="M972" s="15" t="n">
        <v>23.05</v>
      </c>
      <c r="N972" s="15" t="n">
        <v>31.53</v>
      </c>
      <c r="O972" s="34" t="n">
        <v>45694</v>
      </c>
      <c r="P972" s="15" t="n">
        <v>47.6</v>
      </c>
      <c r="Q972" s="15" t="n">
        <v>60.95</v>
      </c>
      <c r="R972" s="34" t="n">
        <v>45694</v>
      </c>
      <c r="S972" s="15" t="n">
        <v>7.69</v>
      </c>
      <c r="V972" s="15" t="n">
        <v>19.9</v>
      </c>
      <c r="W972" s="15" t="n">
        <v>22.16</v>
      </c>
      <c r="X972" s="34" t="n">
        <v>45694</v>
      </c>
      <c r="Y972" s="15" t="n">
        <v>73.65000000000001</v>
      </c>
      <c r="Z972" s="15" t="n">
        <v>72.27</v>
      </c>
      <c r="AA972" s="34" t="n">
        <v>45694</v>
      </c>
      <c r="AB972" s="15" t="n">
        <v>4.73</v>
      </c>
      <c r="AC972" s="15" t="n">
        <v>10.17</v>
      </c>
      <c r="AD972" s="34" t="n">
        <v>45694</v>
      </c>
      <c r="AE972" s="15" t="n">
        <v>33.6</v>
      </c>
      <c r="AF972" s="15" t="n">
        <v>40.15</v>
      </c>
      <c r="AG972" s="34" t="n">
        <v>45694</v>
      </c>
    </row>
    <row r="973">
      <c r="A973" s="34" t="n">
        <v>45695</v>
      </c>
      <c r="B973" s="266" t="n">
        <v>1.068161010742188</v>
      </c>
      <c r="C973" s="34" t="n">
        <v>45695</v>
      </c>
      <c r="D973" s="15" t="n">
        <v>9.58</v>
      </c>
      <c r="E973" s="15" t="n">
        <v>17.57</v>
      </c>
      <c r="F973" s="34" t="n">
        <v>45695</v>
      </c>
      <c r="G973" s="15" t="n">
        <v>53.2</v>
      </c>
      <c r="H973" s="15" t="n">
        <v>79.81999999999999</v>
      </c>
      <c r="I973" s="34" t="n">
        <v>45695</v>
      </c>
      <c r="J973" s="15" t="n">
        <v>10</v>
      </c>
      <c r="K973" s="15" t="n">
        <v>21.23</v>
      </c>
      <c r="L973" s="34" t="n">
        <v>45695</v>
      </c>
      <c r="M973" s="15" t="n">
        <v>23.45</v>
      </c>
      <c r="N973" s="15" t="n">
        <v>32.1</v>
      </c>
      <c r="O973" s="34" t="n">
        <v>45695</v>
      </c>
      <c r="P973" s="15" t="n">
        <v>49.15</v>
      </c>
      <c r="Q973" s="15" t="n">
        <v>61.64</v>
      </c>
      <c r="R973" s="34" t="n">
        <v>45695</v>
      </c>
      <c r="S973" s="15" t="n">
        <v>7.7</v>
      </c>
      <c r="V973" s="15" t="n">
        <v>20.1</v>
      </c>
      <c r="W973" s="15" t="n">
        <v>22.48</v>
      </c>
      <c r="X973" s="34" t="n">
        <v>45695</v>
      </c>
      <c r="Y973" s="15" t="n">
        <v>75.3</v>
      </c>
      <c r="Z973" s="15" t="n">
        <v>73.44</v>
      </c>
      <c r="AA973" s="34" t="n">
        <v>45695</v>
      </c>
      <c r="AB973" s="15" t="n">
        <v>4.78</v>
      </c>
      <c r="AC973" s="15" t="n">
        <v>10.25</v>
      </c>
      <c r="AD973" s="34" t="n">
        <v>45695</v>
      </c>
      <c r="AE973" s="15" t="n">
        <v>34.25</v>
      </c>
      <c r="AF973" s="15" t="n">
        <v>40.5</v>
      </c>
      <c r="AG973" s="34" t="n">
        <v>45695</v>
      </c>
    </row>
    <row r="974">
      <c r="A974" s="34" t="n">
        <v>45698</v>
      </c>
      <c r="B974" s="266" t="n">
        <v>1.068833947181702</v>
      </c>
      <c r="C974" s="34" t="n">
        <v>45698</v>
      </c>
      <c r="D974" s="15" t="n">
        <v>9.970000000000001</v>
      </c>
      <c r="E974" s="15" t="n">
        <v>18.62</v>
      </c>
      <c r="F974" s="34" t="n">
        <v>45698</v>
      </c>
      <c r="G974" s="15" t="n">
        <v>55.85</v>
      </c>
      <c r="H974" s="15" t="n">
        <v>83.31</v>
      </c>
      <c r="I974" s="34" t="n">
        <v>45698</v>
      </c>
      <c r="J974" s="15" t="n">
        <v>10.26</v>
      </c>
      <c r="K974" s="15" t="n">
        <v>21.16</v>
      </c>
      <c r="L974" s="34" t="n">
        <v>45698</v>
      </c>
      <c r="M974" s="15" t="n">
        <v>24.05</v>
      </c>
      <c r="N974" s="15" t="n">
        <v>32.58</v>
      </c>
      <c r="O974" s="34" t="n">
        <v>45698</v>
      </c>
      <c r="P974" s="15" t="n">
        <v>50.15</v>
      </c>
      <c r="Q974" s="15" t="n">
        <v>62.05</v>
      </c>
      <c r="R974" s="34" t="n">
        <v>45698</v>
      </c>
      <c r="S974" s="15" t="n">
        <v>7.61</v>
      </c>
      <c r="V974" s="15" t="n">
        <v>20.3</v>
      </c>
      <c r="W974" s="15" t="n">
        <v>22.85</v>
      </c>
      <c r="X974" s="34" t="n">
        <v>45698</v>
      </c>
      <c r="Y974" s="15" t="n">
        <v>75.5</v>
      </c>
      <c r="Z974" s="15" t="n">
        <v>73.01000000000001</v>
      </c>
      <c r="AA974" s="34" t="n">
        <v>45698</v>
      </c>
      <c r="AB974" s="15" t="n">
        <v>4.69</v>
      </c>
      <c r="AC974" s="15" t="n">
        <v>10.34</v>
      </c>
      <c r="AD974" s="34" t="n">
        <v>45698</v>
      </c>
      <c r="AE974" s="15" t="n">
        <v>34.15</v>
      </c>
      <c r="AF974" s="15" t="n">
        <v>40.47</v>
      </c>
      <c r="AG974" s="34" t="n">
        <v>45698</v>
      </c>
    </row>
    <row r="975">
      <c r="A975" s="34" t="n">
        <v>45699</v>
      </c>
      <c r="B975" s="266" t="n">
        <v>1.066220045089722</v>
      </c>
      <c r="C975" s="34" t="n">
        <v>45699</v>
      </c>
      <c r="D975" s="15" t="n">
        <v>9.789999999999999</v>
      </c>
      <c r="E975" s="15" t="n">
        <v>18.43</v>
      </c>
      <c r="F975" s="34" t="n">
        <v>45699</v>
      </c>
      <c r="G975" s="15" t="n">
        <v>54.6</v>
      </c>
      <c r="H975" s="15" t="n">
        <v>81.90000000000001</v>
      </c>
      <c r="I975" s="34" t="n">
        <v>45699</v>
      </c>
      <c r="J975" s="15" t="n">
        <v>9.85</v>
      </c>
      <c r="K975" s="15" t="n">
        <v>20.79</v>
      </c>
      <c r="L975" s="34" t="n">
        <v>45699</v>
      </c>
      <c r="M975" s="15" t="n">
        <v>23.35</v>
      </c>
      <c r="N975" s="15" t="n">
        <v>31.44</v>
      </c>
      <c r="O975" s="34" t="n">
        <v>45699</v>
      </c>
      <c r="P975" s="15" t="n">
        <v>47.8</v>
      </c>
      <c r="Q975" s="15" t="n">
        <v>60.97</v>
      </c>
      <c r="R975" s="34" t="n">
        <v>45699</v>
      </c>
      <c r="S975" s="15" t="n">
        <v>7.86</v>
      </c>
      <c r="V975" s="15" t="n">
        <v>20.1</v>
      </c>
      <c r="W975" s="15" t="n">
        <v>22.71</v>
      </c>
      <c r="X975" s="34" t="n">
        <v>45699</v>
      </c>
      <c r="Y975" s="15" t="n">
        <v>75</v>
      </c>
      <c r="Z975" s="15" t="n">
        <v>73.7</v>
      </c>
      <c r="AA975" s="34" t="n">
        <v>45699</v>
      </c>
      <c r="AB975" s="15" t="n">
        <v>4.5</v>
      </c>
      <c r="AC975" s="15" t="n">
        <v>10.12</v>
      </c>
      <c r="AD975" s="34" t="n">
        <v>45699</v>
      </c>
      <c r="AE975" s="15" t="n">
        <v>34.05</v>
      </c>
      <c r="AF975" s="15" t="n">
        <v>40.42</v>
      </c>
      <c r="AG975" s="34" t="n">
        <v>45699</v>
      </c>
    </row>
    <row r="976">
      <c r="A976" s="34" t="n">
        <v>45700</v>
      </c>
      <c r="B976" s="266" t="n">
        <v>1.066164970397949</v>
      </c>
      <c r="C976" s="34" t="n">
        <v>45700</v>
      </c>
      <c r="D976" s="15" t="n">
        <v>9.92</v>
      </c>
      <c r="E976" s="15" t="n">
        <v>18.71</v>
      </c>
      <c r="F976" s="34" t="n">
        <v>45700</v>
      </c>
      <c r="G976" s="15" t="n">
        <v>54.55</v>
      </c>
      <c r="H976" s="15" t="n">
        <v>81.33</v>
      </c>
      <c r="I976" s="34" t="n">
        <v>45700</v>
      </c>
      <c r="J976" s="15" t="n">
        <v>10.36</v>
      </c>
      <c r="K976" s="15" t="n">
        <v>20.92</v>
      </c>
      <c r="L976" s="34" t="n">
        <v>45700</v>
      </c>
      <c r="M976" s="15" t="n">
        <v>24.7</v>
      </c>
      <c r="N976" s="15" t="n">
        <v>33.86</v>
      </c>
      <c r="O976" s="34" t="n">
        <v>45700</v>
      </c>
      <c r="P976" s="15" t="n">
        <v>47.6</v>
      </c>
      <c r="Q976" s="15" t="n">
        <v>61.48</v>
      </c>
      <c r="R976" s="34" t="n">
        <v>45700</v>
      </c>
      <c r="S976" s="15" t="n">
        <v>7.64</v>
      </c>
      <c r="V976" s="15" t="n">
        <v>20.15</v>
      </c>
      <c r="W976" s="15" t="n">
        <v>23.1</v>
      </c>
      <c r="X976" s="34" t="n">
        <v>45700</v>
      </c>
      <c r="Y976" s="15" t="n">
        <v>74.45</v>
      </c>
      <c r="Z976" s="15" t="n">
        <v>73.28</v>
      </c>
      <c r="AA976" s="34" t="n">
        <v>45700</v>
      </c>
      <c r="AB976" s="15" t="n">
        <v>4.67</v>
      </c>
      <c r="AC976" s="15" t="n">
        <v>10.29</v>
      </c>
      <c r="AD976" s="34" t="n">
        <v>45700</v>
      </c>
      <c r="AE976" s="15" t="n">
        <v>34.3</v>
      </c>
      <c r="AF976" s="15" t="n">
        <v>40.12</v>
      </c>
      <c r="AG976" s="34" t="n">
        <v>45700</v>
      </c>
    </row>
    <row r="977">
      <c r="A977" s="34" t="n">
        <v>45701</v>
      </c>
      <c r="B977" s="266" t="n">
        <v>1.065642952919006</v>
      </c>
      <c r="C977" s="34" t="n">
        <v>45701</v>
      </c>
      <c r="D977" s="15" t="n">
        <v>9.6</v>
      </c>
      <c r="E977" s="15" t="n">
        <v>18.54</v>
      </c>
      <c r="F977" s="34" t="n">
        <v>45701</v>
      </c>
      <c r="G977" s="15" t="n">
        <v>52.75</v>
      </c>
      <c r="H977" s="15" t="n">
        <v>78.90000000000001</v>
      </c>
      <c r="I977" s="34" t="n">
        <v>45701</v>
      </c>
      <c r="J977" s="15" t="n">
        <v>10.16</v>
      </c>
      <c r="K977" s="15" t="n">
        <v>20.14</v>
      </c>
      <c r="L977" s="34" t="n">
        <v>45701</v>
      </c>
      <c r="M977" s="15" t="n">
        <v>24.1</v>
      </c>
      <c r="N977" s="15" t="n">
        <v>33.09</v>
      </c>
      <c r="O977" s="34" t="n">
        <v>45701</v>
      </c>
      <c r="P977" s="15" t="n">
        <v>47</v>
      </c>
      <c r="Q977" s="15" t="n">
        <v>61.99</v>
      </c>
      <c r="R977" s="34" t="n">
        <v>45701</v>
      </c>
      <c r="S977" s="15" t="n">
        <v>7.88</v>
      </c>
      <c r="V977" s="15" t="n">
        <v>19.94</v>
      </c>
      <c r="W977" s="15" t="n">
        <v>22.95</v>
      </c>
      <c r="X977" s="34" t="n">
        <v>45701</v>
      </c>
      <c r="Y977" s="15" t="n">
        <v>73.40000000000001</v>
      </c>
      <c r="Z977" s="15" t="n">
        <v>72.14</v>
      </c>
      <c r="AA977" s="34" t="n">
        <v>45701</v>
      </c>
      <c r="AB977" s="15" t="n">
        <v>4.57</v>
      </c>
      <c r="AC977" s="15" t="n">
        <v>10.3</v>
      </c>
      <c r="AD977" s="34" t="n">
        <v>45701</v>
      </c>
      <c r="AE977" s="15" t="n">
        <v>34.1</v>
      </c>
      <c r="AF977" s="15" t="n">
        <v>40.31</v>
      </c>
      <c r="AG977" s="34" t="n">
        <v>45701</v>
      </c>
    </row>
    <row r="978">
      <c r="A978" s="34" t="n">
        <v>45702</v>
      </c>
      <c r="B978" s="266" t="n">
        <v>1.068236947059631</v>
      </c>
      <c r="C978" s="34" t="n">
        <v>45702</v>
      </c>
      <c r="D978" s="15" t="n">
        <v>10.34</v>
      </c>
      <c r="E978" s="15" t="n">
        <v>19.02</v>
      </c>
      <c r="F978" s="34" t="n">
        <v>45702</v>
      </c>
      <c r="G978" s="15" t="n">
        <v>55.85</v>
      </c>
      <c r="H978" s="15" t="n">
        <v>80.8</v>
      </c>
      <c r="I978" s="34" t="n">
        <v>45702</v>
      </c>
      <c r="J978" s="15" t="n">
        <v>10.54</v>
      </c>
      <c r="K978" s="15" t="n">
        <v>19.94</v>
      </c>
      <c r="L978" s="34" t="n">
        <v>45702</v>
      </c>
      <c r="M978" s="15" t="n">
        <v>24.95</v>
      </c>
      <c r="N978" s="15" t="n">
        <v>33.29</v>
      </c>
      <c r="O978" s="34" t="n">
        <v>45702</v>
      </c>
      <c r="P978" s="15" t="n">
        <v>48.95</v>
      </c>
      <c r="Q978" s="15" t="n">
        <v>62.09</v>
      </c>
      <c r="R978" s="34" t="n">
        <v>45702</v>
      </c>
      <c r="S978" s="15" t="n">
        <v>8.16</v>
      </c>
      <c r="V978" s="15" t="n">
        <v>20.2</v>
      </c>
      <c r="W978" s="15" t="n">
        <v>23.1</v>
      </c>
      <c r="X978" s="34" t="n">
        <v>45702</v>
      </c>
      <c r="Y978" s="15" t="n">
        <v>76.09999999999999</v>
      </c>
      <c r="Z978" s="15" t="n">
        <v>72.48999999999999</v>
      </c>
      <c r="AA978" s="34" t="n">
        <v>45702</v>
      </c>
      <c r="AB978" s="15" t="n">
        <v>4.64</v>
      </c>
      <c r="AC978" s="15" t="n">
        <v>10.22</v>
      </c>
      <c r="AD978" s="34" t="n">
        <v>45702</v>
      </c>
      <c r="AE978" s="15" t="n">
        <v>34.65</v>
      </c>
      <c r="AF978" s="15" t="n">
        <v>40.58</v>
      </c>
      <c r="AG978" s="34" t="n">
        <v>45702</v>
      </c>
    </row>
    <row r="979">
      <c r="A979" s="34" t="n">
        <v>45705</v>
      </c>
      <c r="B979" s="266" t="n">
        <v>1.072839021682739</v>
      </c>
      <c r="C979" s="34" t="n">
        <v>45705</v>
      </c>
      <c r="D979" s="15" t="n">
        <v>10.58</v>
      </c>
      <c r="E979" s="15" t="n">
        <v>19.06</v>
      </c>
      <c r="F979" s="34" t="n">
        <v>45705</v>
      </c>
      <c r="G979" s="15" t="n">
        <v>56</v>
      </c>
      <c r="H979" s="15" t="n">
        <v>82.25</v>
      </c>
      <c r="I979" s="34" t="n">
        <v>45705</v>
      </c>
      <c r="J979" s="15" t="n">
        <v>10.78</v>
      </c>
      <c r="K979" s="15" t="n">
        <v>20.28</v>
      </c>
      <c r="L979" s="34" t="n">
        <v>45705</v>
      </c>
      <c r="M979" s="15" t="n">
        <v>24.9</v>
      </c>
      <c r="N979" s="15" t="n">
        <v>32.7</v>
      </c>
      <c r="O979" s="34" t="n">
        <v>45705</v>
      </c>
      <c r="P979" s="15" t="n">
        <v>48.2</v>
      </c>
      <c r="Q979" s="15" t="n">
        <v>61.75</v>
      </c>
      <c r="R979" s="34" t="n">
        <v>45705</v>
      </c>
      <c r="S979" s="15" t="n">
        <v>8.01</v>
      </c>
      <c r="V979" s="15" t="n">
        <v>20.45</v>
      </c>
      <c r="W979" s="15" t="n">
        <v>23.19</v>
      </c>
      <c r="X979" s="34" t="n">
        <v>45705</v>
      </c>
      <c r="Y979" s="15" t="n">
        <v>74.3</v>
      </c>
      <c r="Z979" s="15" t="n">
        <v>72.04000000000001</v>
      </c>
      <c r="AA979" s="34" t="n">
        <v>45705</v>
      </c>
      <c r="AB979" s="15" t="n">
        <v>4.54</v>
      </c>
      <c r="AC979" s="15" t="n">
        <v>10.13</v>
      </c>
      <c r="AD979" s="34" t="n">
        <v>45705</v>
      </c>
      <c r="AE979" s="15" t="n">
        <v>34.6</v>
      </c>
      <c r="AF979" s="15" t="n">
        <v>40.33</v>
      </c>
      <c r="AG979" s="34" t="n">
        <v>45705</v>
      </c>
    </row>
    <row r="980">
      <c r="A980" s="34" t="n">
        <v>45706</v>
      </c>
      <c r="B980" s="266" t="n">
        <v>1.072520971298218</v>
      </c>
      <c r="C980" s="34" t="n">
        <v>45706</v>
      </c>
      <c r="D980" s="15" t="n">
        <v>10.86</v>
      </c>
      <c r="E980" s="15" t="n">
        <v>18.65</v>
      </c>
      <c r="F980" s="34" t="n">
        <v>45706</v>
      </c>
      <c r="G980" s="15" t="n">
        <v>56.45</v>
      </c>
      <c r="H980" s="15" t="n">
        <v>81.73</v>
      </c>
      <c r="I980" s="34" t="n">
        <v>45706</v>
      </c>
      <c r="J980" s="15" t="n">
        <v>11.26</v>
      </c>
      <c r="K980" s="15" t="n">
        <v>19.79</v>
      </c>
      <c r="L980" s="34" t="n">
        <v>45706</v>
      </c>
      <c r="M980" s="15" t="n">
        <v>25.15</v>
      </c>
      <c r="N980" s="15" t="n">
        <v>32.68</v>
      </c>
      <c r="O980" s="34" t="n">
        <v>45706</v>
      </c>
      <c r="P980" s="15" t="n">
        <v>47.7</v>
      </c>
      <c r="Q980" s="15" t="n">
        <v>60.31</v>
      </c>
      <c r="R980" s="34" t="n">
        <v>45706</v>
      </c>
      <c r="S980" s="15" t="n">
        <v>8.08</v>
      </c>
      <c r="V980" s="15" t="n">
        <v>20.8</v>
      </c>
      <c r="W980" s="15" t="n">
        <v>23.48</v>
      </c>
      <c r="X980" s="34" t="n">
        <v>45706</v>
      </c>
      <c r="Y980" s="15" t="n">
        <v>75.40000000000001</v>
      </c>
      <c r="Z980" s="15" t="n">
        <v>71.90000000000001</v>
      </c>
      <c r="AA980" s="34" t="n">
        <v>45706</v>
      </c>
      <c r="AB980" s="15" t="n">
        <v>5.94</v>
      </c>
      <c r="AC980" s="15" t="n">
        <v>11.14</v>
      </c>
      <c r="AD980" s="34" t="n">
        <v>45706</v>
      </c>
      <c r="AE980" s="15" t="n">
        <v>36.15</v>
      </c>
      <c r="AF980" s="15" t="n">
        <v>40.4</v>
      </c>
      <c r="AG980" s="34" t="n">
        <v>45706</v>
      </c>
    </row>
    <row r="981">
      <c r="A981" s="34" t="n">
        <v>45707</v>
      </c>
      <c r="B981" s="266" t="n">
        <v>1.067935943603516</v>
      </c>
      <c r="C981" s="34" t="n">
        <v>45707</v>
      </c>
      <c r="D981" s="15" t="n">
        <v>10.88</v>
      </c>
      <c r="E981" s="15" t="n">
        <v>19</v>
      </c>
      <c r="F981" s="34" t="n">
        <v>45707</v>
      </c>
      <c r="G981" s="15" t="n">
        <v>55.65</v>
      </c>
      <c r="H981" s="15" t="n">
        <v>81.40000000000001</v>
      </c>
      <c r="I981" s="34" t="n">
        <v>45707</v>
      </c>
      <c r="J981" s="15" t="n">
        <v>14.32</v>
      </c>
      <c r="K981" s="15" t="n">
        <v>22.65</v>
      </c>
      <c r="L981" s="34" t="n">
        <v>45707</v>
      </c>
      <c r="M981" s="15" t="n">
        <v>24.9</v>
      </c>
      <c r="N981" s="15" t="n">
        <v>32.69</v>
      </c>
      <c r="O981" s="34" t="n">
        <v>45707</v>
      </c>
      <c r="P981" s="15" t="n">
        <v>47.9</v>
      </c>
      <c r="Q981" s="15" t="n">
        <v>60.86</v>
      </c>
      <c r="R981" s="34" t="n">
        <v>45707</v>
      </c>
      <c r="S981" s="15" t="n">
        <v>8.31</v>
      </c>
      <c r="V981" s="15" t="n">
        <v>20.85</v>
      </c>
      <c r="W981" s="15" t="n">
        <v>23.99</v>
      </c>
      <c r="X981" s="34" t="n">
        <v>45707</v>
      </c>
      <c r="Y981" s="15" t="n">
        <v>73.75</v>
      </c>
      <c r="Z981" s="15" t="n">
        <v>71.45</v>
      </c>
      <c r="AA981" s="34" t="n">
        <v>45707</v>
      </c>
      <c r="AB981" s="15" t="n">
        <v>5.74</v>
      </c>
      <c r="AC981" s="15" t="n">
        <v>12.14</v>
      </c>
      <c r="AD981" s="34" t="n">
        <v>45707</v>
      </c>
      <c r="AE981" s="15" t="n">
        <v>37.7</v>
      </c>
      <c r="AF981" s="15" t="n">
        <v>41.25</v>
      </c>
      <c r="AG981" s="34" t="n">
        <v>45707</v>
      </c>
    </row>
    <row r="982">
      <c r="A982" s="34" t="n">
        <v>45708</v>
      </c>
      <c r="B982" s="266" t="n">
        <v>1.067798972129822</v>
      </c>
      <c r="C982" s="34" t="n">
        <v>45708</v>
      </c>
      <c r="D982" s="15" t="n">
        <v>13.36</v>
      </c>
      <c r="E982" s="15" t="n">
        <v>20.9</v>
      </c>
      <c r="F982" s="34" t="n">
        <v>45708</v>
      </c>
      <c r="G982" s="15" t="n">
        <v>59.15</v>
      </c>
      <c r="H982" s="15" t="n">
        <v>85.93000000000001</v>
      </c>
      <c r="I982" s="34" t="n">
        <v>45708</v>
      </c>
      <c r="J982" s="15" t="n">
        <v>14.54</v>
      </c>
      <c r="K982" s="15" t="n">
        <v>22.69</v>
      </c>
      <c r="L982" s="34" t="n">
        <v>45708</v>
      </c>
      <c r="M982" s="15" t="n">
        <v>24.5</v>
      </c>
      <c r="N982" s="15" t="n">
        <v>32.33</v>
      </c>
      <c r="O982" s="34" t="n">
        <v>45708</v>
      </c>
      <c r="P982" s="15" t="n">
        <v>46.35</v>
      </c>
      <c r="Q982" s="15" t="n">
        <v>60.47</v>
      </c>
      <c r="R982" s="34" t="n">
        <v>45708</v>
      </c>
      <c r="S982" s="15" t="n">
        <v>8.550000000000001</v>
      </c>
      <c r="V982" s="15" t="n">
        <v>20.85</v>
      </c>
      <c r="W982" s="15" t="n">
        <v>24.02</v>
      </c>
      <c r="X982" s="34" t="n">
        <v>45708</v>
      </c>
      <c r="Y982" s="15" t="n">
        <v>72.2</v>
      </c>
      <c r="Z982" s="15" t="n">
        <v>71.23</v>
      </c>
      <c r="AA982" s="34" t="n">
        <v>45708</v>
      </c>
      <c r="AB982" s="15" t="n">
        <v>5.45</v>
      </c>
      <c r="AC982" s="15" t="n">
        <v>11.78</v>
      </c>
      <c r="AD982" s="34" t="n">
        <v>45708</v>
      </c>
      <c r="AE982" s="15" t="n">
        <v>37.9</v>
      </c>
      <c r="AF982" s="15" t="n">
        <v>42.07</v>
      </c>
      <c r="AG982" s="34" t="n">
        <v>45708</v>
      </c>
    </row>
    <row r="983">
      <c r="A983" s="34" t="n">
        <v>45709</v>
      </c>
      <c r="B983" s="266" t="n">
        <v>1.071557998657227</v>
      </c>
      <c r="C983" s="34" t="n">
        <v>45709</v>
      </c>
      <c r="D983" s="15" t="n">
        <v>13.54</v>
      </c>
      <c r="E983" s="15" t="n">
        <v>21.42</v>
      </c>
      <c r="F983" s="34" t="n">
        <v>45709</v>
      </c>
      <c r="G983" s="15" t="n">
        <v>60.15</v>
      </c>
      <c r="H983" s="15" t="n">
        <v>87.97</v>
      </c>
      <c r="I983" s="34" t="n">
        <v>45709</v>
      </c>
      <c r="J983" s="15" t="n">
        <v>14.78</v>
      </c>
      <c r="K983" s="15" t="n">
        <v>22.59</v>
      </c>
      <c r="L983" s="34" t="n">
        <v>45709</v>
      </c>
      <c r="M983" s="15" t="n">
        <v>24.95</v>
      </c>
      <c r="N983" s="15" t="n">
        <v>32.64</v>
      </c>
      <c r="O983" s="34" t="n">
        <v>45709</v>
      </c>
      <c r="P983" s="15" t="n">
        <v>47.4</v>
      </c>
      <c r="Q983" s="15" t="n">
        <v>61.05</v>
      </c>
      <c r="R983" s="34" t="n">
        <v>45709</v>
      </c>
      <c r="S983" s="15" t="n">
        <v>8.720000000000001</v>
      </c>
      <c r="V983" s="15" t="n">
        <v>20.85</v>
      </c>
      <c r="W983" s="15" t="n">
        <v>24.2</v>
      </c>
      <c r="X983" s="34" t="n">
        <v>45709</v>
      </c>
      <c r="Y983" s="15" t="n">
        <v>72.34999999999999</v>
      </c>
      <c r="Z983" s="15" t="n">
        <v>70.59</v>
      </c>
      <c r="AA983" s="34" t="n">
        <v>45709</v>
      </c>
      <c r="AB983" s="15" t="n">
        <v>5.67</v>
      </c>
      <c r="AC983" s="15" t="n">
        <v>11.89</v>
      </c>
      <c r="AD983" s="34" t="n">
        <v>45709</v>
      </c>
      <c r="AE983" s="15" t="n">
        <v>39</v>
      </c>
      <c r="AF983" s="15" t="n">
        <v>42.2</v>
      </c>
      <c r="AG983" s="34" t="n">
        <v>45709</v>
      </c>
    </row>
    <row r="984">
      <c r="A984" s="34" t="n">
        <v>45712</v>
      </c>
      <c r="B984" s="266" t="n">
        <v>1.071457982063293</v>
      </c>
      <c r="C984" s="34" t="n">
        <v>45712</v>
      </c>
      <c r="D984" s="15" t="n">
        <v>13.3</v>
      </c>
      <c r="E984" s="15" t="n">
        <v>21.21</v>
      </c>
      <c r="F984" s="34" t="n">
        <v>45712</v>
      </c>
      <c r="G984" s="15" t="n">
        <v>58.2</v>
      </c>
      <c r="H984" s="15" t="n">
        <v>85.55</v>
      </c>
      <c r="I984" s="34" t="n">
        <v>45712</v>
      </c>
      <c r="J984" s="15" t="n">
        <v>16</v>
      </c>
      <c r="K984" s="15" t="n">
        <v>23.07</v>
      </c>
      <c r="L984" s="34" t="n">
        <v>45712</v>
      </c>
      <c r="M984" s="15" t="n">
        <v>25.15</v>
      </c>
      <c r="N984" s="15" t="n">
        <v>32.53</v>
      </c>
      <c r="O984" s="34" t="n">
        <v>45712</v>
      </c>
      <c r="P984" s="15" t="n">
        <v>47.3</v>
      </c>
      <c r="Q984" s="15" t="n">
        <v>60.72</v>
      </c>
      <c r="R984" s="34" t="n">
        <v>45712</v>
      </c>
      <c r="S984" s="15" t="n">
        <v>8.199999999999999</v>
      </c>
      <c r="V984" s="15" t="n">
        <v>20.95</v>
      </c>
      <c r="W984" s="15" t="n">
        <v>23.94</v>
      </c>
      <c r="X984" s="34" t="n">
        <v>45712</v>
      </c>
      <c r="Y984" s="15" t="n">
        <v>72.15000000000001</v>
      </c>
      <c r="Z984" s="15" t="n">
        <v>70.89</v>
      </c>
      <c r="AA984" s="34" t="n">
        <v>45712</v>
      </c>
      <c r="AB984" s="15" t="n">
        <v>5.58</v>
      </c>
      <c r="AC984" s="15" t="n">
        <v>11.82</v>
      </c>
      <c r="AD984" s="34" t="n">
        <v>45712</v>
      </c>
      <c r="AE984" s="15" t="n">
        <v>38.05</v>
      </c>
      <c r="AF984" s="15" t="n">
        <v>41.54</v>
      </c>
      <c r="AG984" s="34" t="n">
        <v>45712</v>
      </c>
    </row>
    <row r="985">
      <c r="A985" s="34" t="n">
        <v>45713</v>
      </c>
      <c r="B985" s="266" t="n">
        <v>1.072481989860535</v>
      </c>
      <c r="C985" s="34" t="n">
        <v>45713</v>
      </c>
      <c r="D985" s="15" t="n">
        <v>13.74</v>
      </c>
      <c r="E985" s="15" t="n">
        <v>21.09</v>
      </c>
      <c r="F985" s="34" t="n">
        <v>45713</v>
      </c>
      <c r="G985" s="15" t="n">
        <v>57.05</v>
      </c>
      <c r="H985" s="15" t="n">
        <v>84.5</v>
      </c>
      <c r="I985" s="34" t="n">
        <v>45713</v>
      </c>
      <c r="J985" s="15" t="n">
        <v>15.16</v>
      </c>
      <c r="K985" s="15" t="n">
        <v>22.42</v>
      </c>
      <c r="L985" s="34" t="n">
        <v>45713</v>
      </c>
      <c r="M985" s="15" t="n">
        <v>25.1</v>
      </c>
      <c r="N985" s="15" t="n">
        <v>32.6</v>
      </c>
      <c r="O985" s="34" t="n">
        <v>45713</v>
      </c>
      <c r="P985" s="15" t="n">
        <v>45.65</v>
      </c>
      <c r="Q985" s="15" t="n">
        <v>60.05</v>
      </c>
      <c r="R985" s="34" t="n">
        <v>45713</v>
      </c>
      <c r="S985" s="15" t="n">
        <v>8</v>
      </c>
      <c r="V985" s="15" t="n">
        <v>20.85</v>
      </c>
      <c r="W985" s="15" t="n">
        <v>23.92</v>
      </c>
      <c r="X985" s="34" t="n">
        <v>45713</v>
      </c>
      <c r="Y985" s="15" t="n">
        <v>70.05</v>
      </c>
      <c r="Z985" s="15" t="n">
        <v>69.03</v>
      </c>
      <c r="AA985" s="34" t="n">
        <v>45713</v>
      </c>
      <c r="AB985" s="15" t="n">
        <v>6.02</v>
      </c>
      <c r="AC985" s="15" t="n">
        <v>11.9</v>
      </c>
      <c r="AD985" s="34" t="n">
        <v>45713</v>
      </c>
      <c r="AE985" s="15" t="n">
        <v>37.5</v>
      </c>
      <c r="AF985" s="15" t="n">
        <v>40.89</v>
      </c>
      <c r="AG985" s="34" t="n">
        <v>45713</v>
      </c>
    </row>
    <row r="986">
      <c r="A986" s="34" t="n">
        <v>45714</v>
      </c>
      <c r="B986" s="266" t="n">
        <v>1.072456955909729</v>
      </c>
      <c r="C986" s="34" t="n">
        <v>45714</v>
      </c>
      <c r="D986" s="15" t="n">
        <v>15.28</v>
      </c>
      <c r="E986" s="15" t="n">
        <v>22.05</v>
      </c>
      <c r="F986" s="34" t="n">
        <v>45714</v>
      </c>
      <c r="G986" s="15" t="n">
        <v>59.75</v>
      </c>
      <c r="H986" s="15" t="n">
        <v>85.51000000000001</v>
      </c>
      <c r="I986" s="34" t="n">
        <v>45714</v>
      </c>
      <c r="J986" s="15" t="n">
        <v>14.64</v>
      </c>
      <c r="K986" s="15" t="n">
        <v>22.27</v>
      </c>
      <c r="L986" s="34" t="n">
        <v>45714</v>
      </c>
      <c r="M986" s="15" t="n">
        <v>25.5</v>
      </c>
      <c r="N986" s="15" t="n">
        <v>33.02</v>
      </c>
      <c r="O986" s="34" t="n">
        <v>45714</v>
      </c>
      <c r="P986" s="15" t="n">
        <v>47.85</v>
      </c>
      <c r="Q986" s="15" t="n">
        <v>61.04</v>
      </c>
      <c r="R986" s="34" t="n">
        <v>45714</v>
      </c>
      <c r="S986" s="15" t="n">
        <v>8.220000000000001</v>
      </c>
      <c r="V986" s="15" t="n">
        <v>21.15</v>
      </c>
      <c r="W986" s="15" t="n">
        <v>24.23</v>
      </c>
      <c r="X986" s="34" t="n">
        <v>45714</v>
      </c>
      <c r="Y986" s="15" t="n">
        <v>73.15000000000001</v>
      </c>
      <c r="Z986" s="15" t="n">
        <v>70.12</v>
      </c>
      <c r="AA986" s="34" t="n">
        <v>45714</v>
      </c>
      <c r="AB986" s="15" t="n">
        <v>5.99</v>
      </c>
      <c r="AC986" s="15" t="n">
        <v>11.94</v>
      </c>
      <c r="AD986" s="34" t="n">
        <v>45714</v>
      </c>
      <c r="AE986" s="15" t="n">
        <v>38.35</v>
      </c>
      <c r="AF986" s="15" t="n">
        <v>40.74</v>
      </c>
      <c r="AG986" s="34" t="n">
        <v>45714</v>
      </c>
    </row>
    <row r="987">
      <c r="A987" s="34" t="n">
        <v>45715</v>
      </c>
      <c r="B987" s="266" t="n">
        <v>1.070572972297668</v>
      </c>
      <c r="C987" s="34" t="n">
        <v>45715</v>
      </c>
      <c r="D987" s="15" t="n">
        <v>15.56</v>
      </c>
      <c r="E987" s="15" t="n">
        <v>22.19</v>
      </c>
      <c r="F987" s="34" t="n">
        <v>45715</v>
      </c>
      <c r="G987" s="15" t="n">
        <v>58.75</v>
      </c>
      <c r="H987" s="15" t="n">
        <v>84.69</v>
      </c>
      <c r="I987" s="34" t="n">
        <v>45715</v>
      </c>
      <c r="J987" s="15" t="n">
        <v>14.34</v>
      </c>
      <c r="K987" s="15" t="n">
        <v>21.96</v>
      </c>
      <c r="L987" s="34" t="n">
        <v>45715</v>
      </c>
      <c r="M987" s="15" t="n">
        <v>26</v>
      </c>
      <c r="N987" s="15" t="n">
        <v>33.43</v>
      </c>
      <c r="O987" s="34" t="n">
        <v>45715</v>
      </c>
      <c r="P987" s="15" t="n">
        <v>50.6</v>
      </c>
      <c r="Q987" s="15" t="n">
        <v>62.67</v>
      </c>
      <c r="R987" s="34" t="n">
        <v>45715</v>
      </c>
      <c r="S987" s="15" t="n">
        <v>8.24</v>
      </c>
      <c r="V987" s="15" t="n">
        <v>27.75</v>
      </c>
      <c r="W987" s="15" t="n">
        <v>24.23</v>
      </c>
      <c r="X987" s="34" t="n">
        <v>45714</v>
      </c>
      <c r="Y987" s="15" t="n">
        <v>76.59999999999999</v>
      </c>
      <c r="Z987" s="15" t="n">
        <v>72.48</v>
      </c>
      <c r="AA987" s="34" t="n">
        <v>45715</v>
      </c>
      <c r="AB987" s="15" t="n">
        <v>6.27</v>
      </c>
      <c r="AC987" s="15" t="n">
        <v>12.46</v>
      </c>
      <c r="AD987" s="34" t="n">
        <v>45715</v>
      </c>
      <c r="AE987" s="15" t="n">
        <v>39.5</v>
      </c>
      <c r="AF987" s="15" t="n">
        <v>41.65</v>
      </c>
      <c r="AG987" s="34" t="n">
        <v>45715</v>
      </c>
    </row>
    <row r="988">
      <c r="A988" s="34" t="n">
        <v>45716</v>
      </c>
      <c r="B988" s="266" t="n">
        <v>1.067088961601257</v>
      </c>
      <c r="C988" s="34" t="n">
        <v>45716</v>
      </c>
      <c r="D988" s="15" t="n">
        <v>13.22</v>
      </c>
      <c r="E988" s="15" t="n">
        <v>20.76</v>
      </c>
      <c r="F988" s="34" t="n">
        <v>45716</v>
      </c>
      <c r="G988" s="15" t="n">
        <v>55</v>
      </c>
      <c r="H988" s="15" t="n">
        <v>81.64</v>
      </c>
      <c r="I988" s="34" t="n">
        <v>45716</v>
      </c>
      <c r="J988" s="15" t="n">
        <v>12.68</v>
      </c>
      <c r="K988" s="15" t="n">
        <v>20.93</v>
      </c>
      <c r="L988" s="34" t="n">
        <v>45716</v>
      </c>
      <c r="M988" s="15" t="n">
        <v>24.55</v>
      </c>
      <c r="N988" s="15" t="n">
        <v>32.42</v>
      </c>
      <c r="O988" s="34" t="n">
        <v>45716</v>
      </c>
      <c r="P988" s="15" t="n">
        <v>47</v>
      </c>
      <c r="Q988" s="15" t="n">
        <v>61.17</v>
      </c>
      <c r="R988" s="34" t="n">
        <v>45716</v>
      </c>
      <c r="S988" s="15" t="n">
        <v>9.19</v>
      </c>
      <c r="V988" s="15" t="n">
        <v>25.65</v>
      </c>
      <c r="W988" s="15" t="n">
        <v>24.23</v>
      </c>
      <c r="X988" s="34" t="n">
        <v>45714</v>
      </c>
      <c r="Y988" s="15" t="n">
        <v>74.09999999999999</v>
      </c>
      <c r="Z988" s="15" t="n">
        <v>73.05</v>
      </c>
      <c r="AA988" s="34" t="n">
        <v>45716</v>
      </c>
      <c r="AB988" s="15" t="n">
        <v>6.7</v>
      </c>
      <c r="AC988" s="15" t="n">
        <v>12.71</v>
      </c>
      <c r="AD988" s="34" t="n">
        <v>45716</v>
      </c>
      <c r="AE988" s="15" t="n">
        <v>39.1</v>
      </c>
      <c r="AF988" s="15" t="n">
        <v>41.72</v>
      </c>
      <c r="AG988" s="34" t="n">
        <v>45716</v>
      </c>
    </row>
    <row r="989">
      <c r="A989" s="34" t="n">
        <v>45719</v>
      </c>
      <c r="B989" s="266" t="n">
        <v>1.06771194934845</v>
      </c>
      <c r="C989" s="34" t="n">
        <v>45719</v>
      </c>
      <c r="D989" s="15" t="n">
        <v>13.22</v>
      </c>
      <c r="E989" s="15" t="n">
        <v>20.99</v>
      </c>
      <c r="F989" s="34" t="n">
        <v>45719</v>
      </c>
      <c r="G989" s="15" t="n">
        <v>55.15</v>
      </c>
      <c r="H989" s="15" t="n">
        <v>82</v>
      </c>
      <c r="I989" s="34" t="n">
        <v>45719</v>
      </c>
      <c r="J989" s="15" t="n">
        <v>13.38</v>
      </c>
      <c r="K989" s="15" t="n">
        <v>21.35</v>
      </c>
      <c r="L989" s="34" t="n">
        <v>45719</v>
      </c>
      <c r="M989" s="15" t="n">
        <v>25.9</v>
      </c>
      <c r="N989" s="15" t="n">
        <v>34.12</v>
      </c>
      <c r="O989" s="34" t="n">
        <v>45719</v>
      </c>
      <c r="P989" s="15" t="n">
        <v>47.35</v>
      </c>
      <c r="Q989" s="15" t="n">
        <v>61.11</v>
      </c>
      <c r="R989" s="34" t="n">
        <v>45719</v>
      </c>
      <c r="S989" s="15" t="n">
        <v>8.99</v>
      </c>
      <c r="V989" s="15" t="n">
        <v>26.25</v>
      </c>
      <c r="W989" s="15" t="n">
        <v>24.23</v>
      </c>
      <c r="X989" s="34" t="n">
        <v>45714</v>
      </c>
      <c r="Y989" s="15" t="n">
        <v>71.2</v>
      </c>
      <c r="Z989" s="15" t="n">
        <v>71</v>
      </c>
      <c r="AA989" s="34" t="n">
        <v>45719</v>
      </c>
      <c r="AB989" s="15" t="n">
        <v>7.13</v>
      </c>
      <c r="AC989" s="15" t="n">
        <v>13.48</v>
      </c>
      <c r="AD989" s="34" t="n">
        <v>45719</v>
      </c>
      <c r="AE989" s="15" t="n">
        <v>38.3</v>
      </c>
      <c r="AF989" s="15" t="n">
        <v>42.12</v>
      </c>
      <c r="AG989" s="34" t="n">
        <v>45719</v>
      </c>
    </row>
    <row r="990">
      <c r="A990" s="34" t="n">
        <v>45720</v>
      </c>
      <c r="B990" s="266" t="n">
        <v>1.067291021347046</v>
      </c>
      <c r="C990" s="34" t="n">
        <v>45720</v>
      </c>
      <c r="D990" s="15" t="n">
        <v>13.56</v>
      </c>
      <c r="E990" s="15" t="n">
        <v>20.92</v>
      </c>
      <c r="F990" s="34" t="n">
        <v>45720</v>
      </c>
      <c r="G990" s="15" t="n">
        <v>54.3</v>
      </c>
      <c r="H990" s="15" t="n">
        <v>81.98999999999999</v>
      </c>
      <c r="I990" s="34" t="n">
        <v>45720</v>
      </c>
      <c r="J990" s="15" t="n">
        <v>13.54</v>
      </c>
      <c r="K990" s="15" t="n">
        <v>21.64</v>
      </c>
      <c r="L990" s="34" t="n">
        <v>45720</v>
      </c>
      <c r="M990" s="15" t="n">
        <v>24.9</v>
      </c>
      <c r="N990" s="15" t="n">
        <v>33.19</v>
      </c>
      <c r="O990" s="34" t="n">
        <v>45720</v>
      </c>
      <c r="P990" s="15" t="n">
        <v>47.85</v>
      </c>
      <c r="Q990" s="15" t="n">
        <v>61.13</v>
      </c>
      <c r="R990" s="34" t="n">
        <v>45720</v>
      </c>
      <c r="S990" s="15" t="n">
        <v>8.710000000000001</v>
      </c>
      <c r="V990" s="15" t="n">
        <v>27.2</v>
      </c>
      <c r="W990" s="15" t="n">
        <v>24.23</v>
      </c>
      <c r="X990" s="34" t="n">
        <v>45714</v>
      </c>
      <c r="Y990" s="15" t="n">
        <v>73.09999999999999</v>
      </c>
      <c r="Z990" s="15" t="n">
        <v>71.97</v>
      </c>
      <c r="AA990" s="34" t="n">
        <v>45720</v>
      </c>
      <c r="AB990" s="15" t="n">
        <v>6.16</v>
      </c>
      <c r="AC990" s="15" t="n">
        <v>12.13</v>
      </c>
      <c r="AD990" s="34" t="n">
        <v>45720</v>
      </c>
      <c r="AE990" s="15" t="n">
        <v>38.05</v>
      </c>
      <c r="AF990" s="15" t="n">
        <v>41.82</v>
      </c>
      <c r="AG990" s="34" t="n">
        <v>45720</v>
      </c>
    </row>
    <row r="991">
      <c r="A991" s="34" t="n">
        <v>45721</v>
      </c>
      <c r="B991" s="266" t="n">
        <v>1.069700956344604</v>
      </c>
      <c r="C991" s="34" t="n">
        <v>45721</v>
      </c>
      <c r="D991" s="15" t="n">
        <v>13.98</v>
      </c>
      <c r="E991" s="15" t="n">
        <v>20.88</v>
      </c>
      <c r="F991" s="34" t="n">
        <v>45721</v>
      </c>
      <c r="G991" s="15" t="n">
        <v>53.95</v>
      </c>
      <c r="H991" s="15" t="n">
        <v>79.01000000000001</v>
      </c>
      <c r="I991" s="34" t="n">
        <v>45721</v>
      </c>
      <c r="J991" s="15" t="n">
        <v>13.38</v>
      </c>
      <c r="K991" s="15" t="n">
        <v>21.57</v>
      </c>
      <c r="L991" s="34" t="n">
        <v>45721</v>
      </c>
      <c r="M991" s="15" t="n">
        <v>25</v>
      </c>
      <c r="N991" s="15" t="n">
        <v>32.82</v>
      </c>
      <c r="O991" s="34" t="n">
        <v>45721</v>
      </c>
      <c r="P991" s="15" t="n">
        <v>48.35</v>
      </c>
      <c r="Q991" s="15" t="n">
        <v>61.23</v>
      </c>
      <c r="R991" s="34" t="n">
        <v>45721</v>
      </c>
      <c r="S991" s="15" t="n">
        <v>8.69</v>
      </c>
      <c r="V991" s="15" t="n">
        <v>28.95</v>
      </c>
      <c r="W991" s="15" t="n">
        <v>24.23</v>
      </c>
      <c r="X991" s="34" t="n">
        <v>45714</v>
      </c>
      <c r="Y991" s="15" t="n">
        <v>73.05</v>
      </c>
      <c r="Z991" s="15" t="n">
        <v>71.75</v>
      </c>
      <c r="AA991" s="34" t="n">
        <v>45721</v>
      </c>
      <c r="AB991" s="15" t="n">
        <v>6.26</v>
      </c>
      <c r="AC991" s="15" t="n">
        <v>12.14</v>
      </c>
      <c r="AD991" s="34" t="n">
        <v>45721</v>
      </c>
      <c r="AE991" s="15" t="n">
        <v>38.35</v>
      </c>
      <c r="AF991" s="15" t="n">
        <v>42.2</v>
      </c>
      <c r="AG991" s="34" t="n">
        <v>45721</v>
      </c>
    </row>
    <row r="992">
      <c r="A992" s="34" t="n">
        <v>45722</v>
      </c>
      <c r="B992" s="266" t="n">
        <v>1.071586012840271</v>
      </c>
      <c r="C992" s="34" t="n">
        <v>45722</v>
      </c>
      <c r="D992" s="15" t="n">
        <v>14.72</v>
      </c>
      <c r="E992" s="15" t="n">
        <v>21.6</v>
      </c>
      <c r="F992" s="34" t="n">
        <v>45722</v>
      </c>
      <c r="G992" s="15" t="n">
        <v>55</v>
      </c>
      <c r="H992" s="15" t="n">
        <v>80.78</v>
      </c>
      <c r="I992" s="34" t="n">
        <v>45722</v>
      </c>
      <c r="J992" s="15" t="n">
        <v>13.98</v>
      </c>
      <c r="K992" s="15" t="n">
        <v>21.75</v>
      </c>
      <c r="L992" s="34" t="n">
        <v>45722</v>
      </c>
      <c r="M992" s="15" t="n">
        <v>25.45</v>
      </c>
      <c r="N992" s="15" t="n">
        <v>33.26</v>
      </c>
      <c r="O992" s="34" t="n">
        <v>45722</v>
      </c>
      <c r="P992" s="15" t="n">
        <v>50.3</v>
      </c>
      <c r="Q992" s="15" t="n">
        <v>62.34</v>
      </c>
      <c r="R992" s="34" t="n">
        <v>45722</v>
      </c>
      <c r="S992" s="15" t="n">
        <v>10.92</v>
      </c>
      <c r="V992" s="15" t="n">
        <v>28.1</v>
      </c>
      <c r="W992" s="15" t="n">
        <v>24.23</v>
      </c>
      <c r="X992" s="34" t="n">
        <v>45714</v>
      </c>
      <c r="Y992" s="15" t="n">
        <v>73.2</v>
      </c>
      <c r="Z992" s="15" t="n">
        <v>71.14</v>
      </c>
      <c r="AA992" s="34" t="n">
        <v>45722</v>
      </c>
      <c r="AB992" s="15" t="n">
        <v>6.48</v>
      </c>
      <c r="AC992" s="15" t="n">
        <v>12.5</v>
      </c>
      <c r="AD992" s="34" t="n">
        <v>45722</v>
      </c>
      <c r="AE992" s="15" t="n">
        <v>38.55</v>
      </c>
      <c r="AF992" s="15" t="n">
        <v>42.37</v>
      </c>
      <c r="AG992" s="34" t="n">
        <v>45722</v>
      </c>
    </row>
    <row r="993">
      <c r="A993" s="34" t="n">
        <v>45723</v>
      </c>
      <c r="B993" s="266" t="n">
        <v>1.071760058403015</v>
      </c>
      <c r="C993" s="34" t="n">
        <v>45723</v>
      </c>
      <c r="D993" s="15" t="n">
        <v>14.04</v>
      </c>
      <c r="E993" s="15" t="n">
        <v>21.12</v>
      </c>
      <c r="F993" s="34" t="n">
        <v>45723</v>
      </c>
      <c r="G993" s="15" t="n">
        <v>53.2</v>
      </c>
      <c r="H993" s="15" t="n">
        <v>79.87</v>
      </c>
      <c r="I993" s="34" t="n">
        <v>45723</v>
      </c>
      <c r="J993" s="15" t="n">
        <v>13.78</v>
      </c>
      <c r="K993" s="15" t="n">
        <v>21.82</v>
      </c>
      <c r="L993" s="34" t="n">
        <v>45723</v>
      </c>
      <c r="M993" s="15" t="n">
        <v>26</v>
      </c>
      <c r="N993" s="15" t="n">
        <v>33.11</v>
      </c>
      <c r="O993" s="34" t="n">
        <v>45723</v>
      </c>
      <c r="P993" s="15" t="n">
        <v>50.35</v>
      </c>
      <c r="Q993" s="15" t="n">
        <v>61.92</v>
      </c>
      <c r="R993" s="34" t="n">
        <v>45723</v>
      </c>
      <c r="S993" s="15" t="n">
        <v>11.98</v>
      </c>
      <c r="V993" s="15" t="n">
        <v>28.1</v>
      </c>
      <c r="W993" s="15" t="n">
        <v>24.23</v>
      </c>
      <c r="X993" s="34" t="n">
        <v>45714</v>
      </c>
      <c r="Y993" s="15" t="n">
        <v>73.65000000000001</v>
      </c>
      <c r="Z993" s="15" t="n">
        <v>70.79000000000001</v>
      </c>
      <c r="AA993" s="34" t="n">
        <v>45723</v>
      </c>
      <c r="AB993" s="15" t="n">
        <v>6.11</v>
      </c>
      <c r="AC993" s="15" t="n">
        <v>12</v>
      </c>
      <c r="AD993" s="34" t="n">
        <v>45723</v>
      </c>
      <c r="AE993" s="15" t="n">
        <v>37.6</v>
      </c>
      <c r="AF993" s="15" t="n">
        <v>42.14</v>
      </c>
      <c r="AG993" s="34" t="n">
        <v>45723</v>
      </c>
    </row>
    <row r="994">
      <c r="A994" s="34" t="n">
        <v>45726</v>
      </c>
      <c r="B994" s="266" t="n">
        <v>1.074237942695618</v>
      </c>
      <c r="C994" s="34" t="n">
        <v>45726</v>
      </c>
      <c r="D994" s="15" t="n">
        <v>15.1</v>
      </c>
      <c r="E994" s="15" t="n">
        <v>21.29</v>
      </c>
      <c r="F994" s="34" t="n">
        <v>45726</v>
      </c>
      <c r="G994" s="15" t="n">
        <v>54.1</v>
      </c>
      <c r="H994" s="15" t="n">
        <v>77.95</v>
      </c>
      <c r="I994" s="34" t="n">
        <v>45726</v>
      </c>
      <c r="J994" s="15" t="n">
        <v>14.76</v>
      </c>
      <c r="K994" s="15" t="n">
        <v>22.3</v>
      </c>
      <c r="L994" s="34" t="n">
        <v>45726</v>
      </c>
      <c r="M994" s="15" t="n">
        <v>26.1</v>
      </c>
      <c r="N994" s="15" t="n">
        <v>33.07</v>
      </c>
      <c r="O994" s="34" t="n">
        <v>45726</v>
      </c>
      <c r="P994" s="15" t="n">
        <v>49.6</v>
      </c>
      <c r="Q994" s="15" t="n">
        <v>61.27</v>
      </c>
      <c r="R994" s="34" t="n">
        <v>45726</v>
      </c>
      <c r="S994" s="15" t="n">
        <v>11</v>
      </c>
      <c r="V994" s="15" t="n">
        <v>28.2</v>
      </c>
      <c r="Y994" s="15" t="n">
        <v>72.2</v>
      </c>
      <c r="Z994" s="15" t="n">
        <v>71.06999999999999</v>
      </c>
      <c r="AA994" s="34" t="n">
        <v>45726</v>
      </c>
      <c r="AB994" s="15" t="n">
        <v>5.99</v>
      </c>
      <c r="AC994" s="15" t="n">
        <v>12.06</v>
      </c>
      <c r="AD994" s="34" t="n">
        <v>45726</v>
      </c>
      <c r="AE994" s="15" t="n">
        <v>38.35</v>
      </c>
      <c r="AF994" s="15" t="n">
        <v>42.15</v>
      </c>
      <c r="AG994" s="34" t="n">
        <v>45726</v>
      </c>
      <c r="AH994" s="15" t="n">
        <v>13.72</v>
      </c>
      <c r="AI994" s="15" t="n">
        <v>19.08</v>
      </c>
      <c r="AJ994" s="34" t="n">
        <v>45726</v>
      </c>
    </row>
    <row r="995">
      <c r="A995" s="34" t="n">
        <v>45727</v>
      </c>
      <c r="B995" s="266" t="n">
        <v>1.069882988929749</v>
      </c>
      <c r="C995" s="34" t="n">
        <v>45727</v>
      </c>
      <c r="D995" s="15" t="n">
        <v>15.64</v>
      </c>
      <c r="E995" s="15" t="n">
        <v>21.77</v>
      </c>
      <c r="F995" s="34" t="n">
        <v>45727</v>
      </c>
      <c r="G995" s="15" t="n">
        <v>54.25</v>
      </c>
      <c r="H995" s="15" t="n">
        <v>77.48999999999999</v>
      </c>
      <c r="I995" s="34" t="n">
        <v>45727</v>
      </c>
      <c r="J995" s="15" t="n">
        <v>15.16</v>
      </c>
      <c r="K995" s="15" t="n">
        <v>22.54</v>
      </c>
      <c r="L995" s="34" t="n">
        <v>45727</v>
      </c>
      <c r="M995" s="15" t="n">
        <v>25.5</v>
      </c>
      <c r="N995" s="15" t="n">
        <v>32.78</v>
      </c>
      <c r="O995" s="34" t="n">
        <v>45727</v>
      </c>
      <c r="P995" s="15" t="n">
        <v>51.9</v>
      </c>
      <c r="Q995" s="15" t="n">
        <v>62.2</v>
      </c>
      <c r="R995" s="34" t="n">
        <v>45727</v>
      </c>
      <c r="S995" s="15" t="n">
        <v>12.26</v>
      </c>
      <c r="V995" s="15" t="n">
        <v>27.95</v>
      </c>
      <c r="Y995" s="15" t="n">
        <v>72.34999999999999</v>
      </c>
      <c r="Z995" s="15" t="n">
        <v>70.93000000000001</v>
      </c>
      <c r="AA995" s="34" t="n">
        <v>45727</v>
      </c>
      <c r="AB995" s="15" t="n">
        <v>6.05</v>
      </c>
      <c r="AC995" s="15" t="n">
        <v>11.79</v>
      </c>
      <c r="AD995" s="34" t="n">
        <v>45727</v>
      </c>
      <c r="AE995" s="15" t="n">
        <v>38.8</v>
      </c>
      <c r="AF995" s="15" t="n">
        <v>42.33</v>
      </c>
      <c r="AG995" s="34" t="n">
        <v>45727</v>
      </c>
      <c r="AH995" s="15" t="n">
        <v>13.2</v>
      </c>
      <c r="AI995" s="15" t="n">
        <v>18.84</v>
      </c>
      <c r="AJ995" s="34" t="n">
        <v>45727</v>
      </c>
    </row>
    <row r="996">
      <c r="A996" s="34" t="n">
        <v>45728</v>
      </c>
      <c r="B996" s="266" t="n">
        <v>1.070067048072815</v>
      </c>
      <c r="C996" s="34" t="n">
        <v>45728</v>
      </c>
      <c r="D996" s="15" t="n">
        <v>15</v>
      </c>
      <c r="E996" s="15" t="n">
        <v>21.6</v>
      </c>
      <c r="F996" s="34" t="n">
        <v>45728</v>
      </c>
      <c r="G996" s="15" t="n">
        <v>54</v>
      </c>
      <c r="H996" s="15" t="n">
        <v>77.41</v>
      </c>
      <c r="I996" s="34" t="n">
        <v>45728</v>
      </c>
      <c r="J996" s="15" t="n">
        <v>15.2</v>
      </c>
      <c r="K996" s="15" t="n">
        <v>21.84</v>
      </c>
      <c r="L996" s="34" t="n">
        <v>45728</v>
      </c>
      <c r="M996" s="15" t="n">
        <v>25.25</v>
      </c>
      <c r="N996" s="15" t="n">
        <v>32.49</v>
      </c>
      <c r="O996" s="34" t="n">
        <v>45728</v>
      </c>
      <c r="P996" s="15" t="n">
        <v>51.6</v>
      </c>
      <c r="Q996" s="15" t="n">
        <v>61.72</v>
      </c>
      <c r="R996" s="34" t="n">
        <v>45728</v>
      </c>
      <c r="S996" s="15" t="n">
        <v>13.44</v>
      </c>
      <c r="V996" s="15" t="n">
        <v>31.6</v>
      </c>
      <c r="Y996" s="15" t="n">
        <v>71.59999999999999</v>
      </c>
      <c r="Z996" s="15" t="n">
        <v>70.09999999999999</v>
      </c>
      <c r="AA996" s="34" t="n">
        <v>45728</v>
      </c>
      <c r="AB996" s="15" t="n">
        <v>5.91</v>
      </c>
      <c r="AC996" s="15" t="n">
        <v>11.83</v>
      </c>
      <c r="AD996" s="34" t="n">
        <v>45728</v>
      </c>
      <c r="AE996" s="15" t="n">
        <v>40.3</v>
      </c>
      <c r="AF996" s="15" t="n">
        <v>43.04</v>
      </c>
      <c r="AG996" s="34" t="n">
        <v>45728</v>
      </c>
      <c r="AH996" s="15" t="n">
        <v>13.64</v>
      </c>
      <c r="AI996" s="15" t="n">
        <v>18.88</v>
      </c>
      <c r="AJ996" s="34" t="n">
        <v>45728</v>
      </c>
    </row>
    <row r="997">
      <c r="A997" s="34" t="n">
        <v>45729</v>
      </c>
      <c r="B997" s="266" t="n">
        <v>1.07337498664856</v>
      </c>
      <c r="C997" s="34" t="n">
        <v>45729</v>
      </c>
      <c r="D997" s="15" t="n">
        <v>14.9</v>
      </c>
      <c r="E997" s="15" t="n">
        <v>21.18</v>
      </c>
      <c r="F997" s="34" t="n">
        <v>45729</v>
      </c>
      <c r="G997" s="15" t="n">
        <v>53.1</v>
      </c>
      <c r="H997" s="15" t="n">
        <v>76.44</v>
      </c>
      <c r="I997" s="34" t="n">
        <v>45729</v>
      </c>
      <c r="J997" s="15" t="n">
        <v>14.4</v>
      </c>
      <c r="K997" s="15" t="n">
        <v>21.08</v>
      </c>
      <c r="L997" s="34" t="n">
        <v>45729</v>
      </c>
      <c r="M997" s="15" t="n">
        <v>25.25</v>
      </c>
      <c r="N997" s="15" t="n">
        <v>32.09</v>
      </c>
      <c r="O997" s="34" t="n">
        <v>45729</v>
      </c>
      <c r="P997" s="15" t="n">
        <v>51.15</v>
      </c>
      <c r="Q997" s="15" t="n">
        <v>62.12</v>
      </c>
      <c r="R997" s="34" t="n">
        <v>45729</v>
      </c>
      <c r="S997" s="15" t="n">
        <v>13.6</v>
      </c>
      <c r="V997" s="15" t="n">
        <v>27.55</v>
      </c>
      <c r="W997" s="15" t="n">
        <v>26.2</v>
      </c>
      <c r="X997" s="34" t="n">
        <v>45729</v>
      </c>
      <c r="Y997" s="15" t="n">
        <v>71</v>
      </c>
      <c r="Z997" s="15" t="n">
        <v>70.01000000000001</v>
      </c>
      <c r="AA997" s="34" t="n">
        <v>45729</v>
      </c>
      <c r="AB997" s="15" t="n">
        <v>5.77</v>
      </c>
      <c r="AC997" s="15" t="n">
        <v>11.67</v>
      </c>
      <c r="AD997" s="34" t="n">
        <v>45729</v>
      </c>
      <c r="AE997" s="15" t="n">
        <v>39.35</v>
      </c>
      <c r="AF997" s="15" t="n">
        <v>43.65</v>
      </c>
      <c r="AG997" s="34" t="n">
        <v>45729</v>
      </c>
      <c r="AH997" s="15" t="n">
        <v>13.72</v>
      </c>
      <c r="AI997" s="15" t="n">
        <v>19</v>
      </c>
      <c r="AJ997" s="34" t="n">
        <v>45729</v>
      </c>
    </row>
    <row r="998">
      <c r="A998" s="34" t="n">
        <v>45730</v>
      </c>
      <c r="B998" s="266" t="n">
        <v>1.073752999305725</v>
      </c>
      <c r="C998" s="34" t="n">
        <v>45730</v>
      </c>
      <c r="D998" s="15" t="n">
        <v>15.4</v>
      </c>
      <c r="E998" s="15" t="n">
        <v>21.87</v>
      </c>
      <c r="F998" s="34" t="n">
        <v>45730</v>
      </c>
      <c r="G998" s="15" t="n">
        <v>57.4</v>
      </c>
      <c r="H998" s="15" t="n">
        <v>79.56999999999999</v>
      </c>
      <c r="I998" s="34" t="n">
        <v>45730</v>
      </c>
      <c r="J998" s="15" t="n">
        <v>14.56</v>
      </c>
      <c r="K998" s="15" t="n">
        <v>21.17</v>
      </c>
      <c r="L998" s="34" t="n">
        <v>45730</v>
      </c>
      <c r="M998" s="15" t="n">
        <v>25.75</v>
      </c>
      <c r="N998" s="15" t="n">
        <v>32.62</v>
      </c>
      <c r="O998" s="34" t="n">
        <v>45730</v>
      </c>
      <c r="P998" s="15" t="n">
        <v>53.5</v>
      </c>
      <c r="Q998" s="15" t="n">
        <v>64.08</v>
      </c>
      <c r="R998" s="34" t="n">
        <v>45730</v>
      </c>
      <c r="S998" s="15" t="n">
        <v>13.62</v>
      </c>
      <c r="V998" s="15" t="n">
        <v>24.8</v>
      </c>
      <c r="W998" s="15" t="n">
        <v>24.9</v>
      </c>
      <c r="X998" s="34" t="n">
        <v>45730</v>
      </c>
      <c r="Y998" s="15" t="n">
        <v>73.59999999999999</v>
      </c>
      <c r="Z998" s="15" t="n">
        <v>71.87</v>
      </c>
      <c r="AA998" s="34" t="n">
        <v>45730</v>
      </c>
      <c r="AB998" s="15" t="n">
        <v>5.79</v>
      </c>
      <c r="AC998" s="15" t="n">
        <v>11.83</v>
      </c>
      <c r="AD998" s="34" t="n">
        <v>45730</v>
      </c>
      <c r="AE998" s="15" t="n">
        <v>39.7</v>
      </c>
      <c r="AF998" s="15" t="n">
        <v>44.1</v>
      </c>
      <c r="AG998" s="34" t="n">
        <v>45730</v>
      </c>
      <c r="AH998" s="15" t="n">
        <v>14</v>
      </c>
      <c r="AI998" s="15" t="n">
        <v>19.73</v>
      </c>
      <c r="AJ998" s="34" t="n">
        <v>45730</v>
      </c>
    </row>
    <row r="999">
      <c r="A999" s="34" t="n">
        <v>45733</v>
      </c>
      <c r="B999" s="266" t="n">
        <v>1.073765993118286</v>
      </c>
      <c r="C999" s="34" t="n">
        <v>45733</v>
      </c>
      <c r="D999" s="15" t="n">
        <v>15.58</v>
      </c>
      <c r="E999" s="15" t="n">
        <v>21.62</v>
      </c>
      <c r="F999" s="34" t="n">
        <v>45733</v>
      </c>
      <c r="G999" s="15" t="n">
        <v>57.55</v>
      </c>
      <c r="H999" s="15" t="n">
        <v>79</v>
      </c>
      <c r="I999" s="34" t="n">
        <v>45733</v>
      </c>
      <c r="J999" s="15" t="n">
        <v>14.44</v>
      </c>
      <c r="K999" s="15" t="n">
        <v>20.97</v>
      </c>
      <c r="L999" s="34" t="n">
        <v>45733</v>
      </c>
      <c r="M999" s="15" t="n">
        <v>26</v>
      </c>
      <c r="N999" s="15" t="n">
        <v>32.91</v>
      </c>
      <c r="O999" s="34" t="n">
        <v>45733</v>
      </c>
      <c r="P999" s="15" t="n">
        <v>53.55</v>
      </c>
      <c r="Q999" s="15" t="n">
        <v>64.12</v>
      </c>
      <c r="R999" s="34" t="n">
        <v>45733</v>
      </c>
      <c r="S999" s="15" t="n">
        <v>16.28</v>
      </c>
      <c r="V999" s="15" t="n">
        <v>23.65</v>
      </c>
      <c r="W999" s="15" t="n">
        <v>25</v>
      </c>
      <c r="X999" s="34" t="n">
        <v>45733</v>
      </c>
      <c r="Y999" s="15" t="n">
        <v>72.90000000000001</v>
      </c>
      <c r="Z999" s="15" t="n">
        <v>71.88</v>
      </c>
      <c r="AA999" s="34" t="n">
        <v>45733</v>
      </c>
      <c r="AB999" s="15" t="n">
        <v>5.85</v>
      </c>
      <c r="AC999" s="15" t="n">
        <v>11.84</v>
      </c>
      <c r="AD999" s="34" t="n">
        <v>45733</v>
      </c>
      <c r="AE999" s="15" t="n">
        <v>39.5</v>
      </c>
      <c r="AF999" s="15" t="n">
        <v>43.66</v>
      </c>
      <c r="AG999" s="34" t="n">
        <v>45733</v>
      </c>
      <c r="AH999" s="15" t="n">
        <v>14</v>
      </c>
      <c r="AI999" s="15" t="n">
        <v>19.44</v>
      </c>
      <c r="AJ999" s="34" t="n">
        <v>45733</v>
      </c>
    </row>
    <row r="1000">
      <c r="A1000" s="34" t="n">
        <v>45734</v>
      </c>
      <c r="B1000" s="266" t="n">
        <v>1.073990941047668</v>
      </c>
      <c r="C1000" s="34" t="n">
        <v>45734</v>
      </c>
      <c r="D1000" s="15" t="n">
        <v>16.98</v>
      </c>
      <c r="E1000" s="15" t="n">
        <v>22.64</v>
      </c>
      <c r="F1000" s="34" t="n">
        <v>45734</v>
      </c>
      <c r="G1000" s="15" t="n">
        <v>61.05</v>
      </c>
      <c r="H1000" s="15" t="n">
        <v>81.91</v>
      </c>
      <c r="I1000" s="34" t="n">
        <v>45734</v>
      </c>
      <c r="J1000" s="15" t="n">
        <v>14.7</v>
      </c>
      <c r="K1000" s="15" t="n">
        <v>20.98</v>
      </c>
      <c r="L1000" s="34" t="n">
        <v>45734</v>
      </c>
      <c r="M1000" s="15" t="n">
        <v>26.2</v>
      </c>
      <c r="N1000" s="15" t="n">
        <v>32.81</v>
      </c>
      <c r="O1000" s="34" t="n">
        <v>45734</v>
      </c>
      <c r="P1000" s="15" t="n">
        <v>53.05</v>
      </c>
      <c r="Q1000" s="15" t="n">
        <v>63.59</v>
      </c>
      <c r="R1000" s="34" t="n">
        <v>45734</v>
      </c>
      <c r="S1000" s="15" t="n">
        <v>15.8</v>
      </c>
      <c r="V1000" s="15" t="n">
        <v>23.75</v>
      </c>
      <c r="W1000" s="15" t="n">
        <v>24.58</v>
      </c>
      <c r="X1000" s="34" t="n">
        <v>45734</v>
      </c>
      <c r="Y1000" s="15" t="n">
        <v>80.2</v>
      </c>
      <c r="Z1000" s="15" t="n">
        <v>74.98</v>
      </c>
      <c r="AA1000" s="34" t="n">
        <v>45734</v>
      </c>
      <c r="AB1000" s="15" t="n">
        <v>6.04</v>
      </c>
      <c r="AC1000" s="15" t="n">
        <v>12.01</v>
      </c>
      <c r="AD1000" s="34" t="n">
        <v>45734</v>
      </c>
      <c r="AE1000" s="15" t="n">
        <v>40.5</v>
      </c>
      <c r="AF1000" s="15" t="n">
        <v>43.5</v>
      </c>
      <c r="AG1000" s="34" t="n">
        <v>45734</v>
      </c>
      <c r="AH1000" s="15" t="n">
        <v>14.98</v>
      </c>
      <c r="AI1000" s="15" t="n">
        <v>20.92</v>
      </c>
      <c r="AJ1000" s="34" t="n">
        <v>45734</v>
      </c>
    </row>
    <row r="1001">
      <c r="A1001" s="34" t="n">
        <v>45735</v>
      </c>
      <c r="B1001" s="266" t="n">
        <v>1.074807047843933</v>
      </c>
      <c r="C1001" s="34" t="n">
        <v>45735</v>
      </c>
      <c r="D1001" s="15" t="n">
        <v>16.5</v>
      </c>
      <c r="E1001" s="15" t="n">
        <v>22.32</v>
      </c>
      <c r="F1001" s="34" t="n">
        <v>45735</v>
      </c>
      <c r="G1001" s="15" t="n">
        <v>61.2</v>
      </c>
      <c r="H1001" s="15" t="n">
        <v>80.98</v>
      </c>
      <c r="I1001" s="34" t="n">
        <v>45735</v>
      </c>
      <c r="J1001" s="15" t="n">
        <v>14.82</v>
      </c>
      <c r="K1001" s="15" t="n">
        <v>21.07</v>
      </c>
      <c r="L1001" s="34" t="n">
        <v>45735</v>
      </c>
      <c r="M1001" s="15" t="n">
        <v>26.4</v>
      </c>
      <c r="N1001" s="15" t="n">
        <v>32.41</v>
      </c>
      <c r="O1001" s="34" t="n">
        <v>45735</v>
      </c>
      <c r="P1001" s="15" t="n">
        <v>52.6</v>
      </c>
      <c r="Q1001" s="15" t="n">
        <v>63.34</v>
      </c>
      <c r="R1001" s="34" t="n">
        <v>45735</v>
      </c>
      <c r="S1001" s="15" t="n">
        <v>15.52</v>
      </c>
      <c r="V1001" s="15" t="n">
        <v>23.8</v>
      </c>
      <c r="W1001" s="15" t="n">
        <v>24.4</v>
      </c>
      <c r="X1001" s="34" t="n">
        <v>45735</v>
      </c>
      <c r="Y1001" s="15" t="n">
        <v>78.7</v>
      </c>
      <c r="Z1001" s="15" t="n">
        <v>76.51000000000001</v>
      </c>
      <c r="AA1001" s="34" t="n">
        <v>45735</v>
      </c>
      <c r="AB1001" s="15" t="n">
        <v>5.91</v>
      </c>
      <c r="AC1001" s="15" t="n">
        <v>11.71</v>
      </c>
      <c r="AD1001" s="34" t="n">
        <v>45735</v>
      </c>
      <c r="AE1001" s="15" t="n">
        <v>40.2</v>
      </c>
      <c r="AF1001" s="15" t="n">
        <v>43.5</v>
      </c>
      <c r="AG1001" s="34" t="n">
        <v>45735</v>
      </c>
      <c r="AH1001" s="15" t="n">
        <v>15.14</v>
      </c>
      <c r="AI1001" s="15" t="n">
        <v>21.28</v>
      </c>
      <c r="AJ1001" s="34" t="n">
        <v>45735</v>
      </c>
    </row>
    <row r="1002">
      <c r="A1002" s="34" t="n">
        <v>45736</v>
      </c>
      <c r="B1002" s="266" t="n">
        <v>1.074540019035339</v>
      </c>
      <c r="C1002" s="34" t="n">
        <v>45736</v>
      </c>
      <c r="D1002" s="15" t="n">
        <v>16.7</v>
      </c>
      <c r="E1002" s="15" t="n">
        <v>22.77</v>
      </c>
      <c r="F1002" s="34" t="n">
        <v>45736</v>
      </c>
      <c r="G1002" s="15" t="n">
        <v>61.25</v>
      </c>
      <c r="H1002" s="15" t="n">
        <v>80.20999999999999</v>
      </c>
      <c r="I1002" s="34" t="n">
        <v>45736</v>
      </c>
      <c r="J1002" s="15" t="n">
        <v>14.42</v>
      </c>
      <c r="K1002" s="15" t="n">
        <v>20.67</v>
      </c>
      <c r="L1002" s="34" t="n">
        <v>45736</v>
      </c>
      <c r="M1002" s="15" t="n">
        <v>25.45</v>
      </c>
      <c r="N1002" s="15" t="n">
        <v>32.17</v>
      </c>
      <c r="O1002" s="34" t="n">
        <v>45736</v>
      </c>
      <c r="P1002" s="15" t="n">
        <v>51.4</v>
      </c>
      <c r="Q1002" s="15" t="n">
        <v>62.72</v>
      </c>
      <c r="R1002" s="34" t="n">
        <v>45736</v>
      </c>
      <c r="S1002" s="15" t="n">
        <v>16.9</v>
      </c>
      <c r="V1002" s="15" t="n">
        <v>26.8</v>
      </c>
      <c r="W1002" s="15" t="n">
        <v>24.66</v>
      </c>
      <c r="X1002" s="34" t="n">
        <v>45736</v>
      </c>
      <c r="Y1002" s="15" t="n">
        <v>76.05</v>
      </c>
      <c r="Z1002" s="15" t="n">
        <v>75.17</v>
      </c>
      <c r="AA1002" s="34" t="n">
        <v>45736</v>
      </c>
      <c r="AB1002" s="15" t="n">
        <v>5.72</v>
      </c>
      <c r="AC1002" s="15" t="n">
        <v>11.59</v>
      </c>
      <c r="AD1002" s="34" t="n">
        <v>45736</v>
      </c>
      <c r="AE1002" s="15" t="n">
        <v>39.15</v>
      </c>
      <c r="AF1002" s="15" t="n">
        <v>43.04</v>
      </c>
      <c r="AG1002" s="34" t="n">
        <v>45736</v>
      </c>
      <c r="AH1002" s="15" t="n">
        <v>15.06</v>
      </c>
      <c r="AI1002" s="15" t="n">
        <v>21.52</v>
      </c>
      <c r="AJ1002" s="34" t="n">
        <v>45736</v>
      </c>
    </row>
    <row r="1003">
      <c r="A1003" s="34" t="n">
        <v>45737</v>
      </c>
      <c r="B1003" s="266" t="n">
        <v>1.072183012962341</v>
      </c>
      <c r="C1003" s="34" t="n">
        <v>45737</v>
      </c>
      <c r="D1003" s="15" t="n">
        <v>15.5</v>
      </c>
      <c r="E1003" s="15" t="n">
        <v>21.05</v>
      </c>
      <c r="F1003" s="34" t="n">
        <v>45737</v>
      </c>
      <c r="G1003" s="15" t="n">
        <v>56.45</v>
      </c>
      <c r="H1003" s="15" t="n">
        <v>77.8</v>
      </c>
      <c r="I1003" s="34" t="n">
        <v>45737</v>
      </c>
      <c r="J1003" s="15" t="n">
        <v>13.26</v>
      </c>
      <c r="K1003" s="15" t="n">
        <v>19.88</v>
      </c>
      <c r="L1003" s="34" t="n">
        <v>45737</v>
      </c>
      <c r="M1003" s="15" t="n">
        <v>24.6</v>
      </c>
      <c r="N1003" s="15" t="n">
        <v>31.47</v>
      </c>
      <c r="O1003" s="34" t="n">
        <v>45737</v>
      </c>
      <c r="P1003" s="15" t="n">
        <v>50.2</v>
      </c>
      <c r="Q1003" s="15" t="n">
        <v>61.82</v>
      </c>
      <c r="R1003" s="34" t="n">
        <v>45737</v>
      </c>
      <c r="S1003" s="15" t="n">
        <v>15.76</v>
      </c>
      <c r="V1003" s="15" t="n">
        <v>28.7</v>
      </c>
      <c r="W1003" s="15" t="n">
        <v>25.9</v>
      </c>
      <c r="X1003" s="34" t="n">
        <v>45737</v>
      </c>
      <c r="Y1003" s="15" t="n">
        <v>75.5</v>
      </c>
      <c r="Z1003" s="15" t="n">
        <v>75.28</v>
      </c>
      <c r="AA1003" s="34" t="n">
        <v>45737</v>
      </c>
      <c r="AB1003" s="15" t="n">
        <v>5.51</v>
      </c>
      <c r="AC1003" s="15" t="n">
        <v>11.35</v>
      </c>
      <c r="AD1003" s="34" t="n">
        <v>45737</v>
      </c>
      <c r="AE1003" s="15" t="n">
        <v>38.35</v>
      </c>
      <c r="AF1003" s="15" t="n">
        <v>42.73</v>
      </c>
      <c r="AG1003" s="34" t="n">
        <v>45737</v>
      </c>
      <c r="AH1003" s="15" t="n">
        <v>14.72</v>
      </c>
      <c r="AI1003" s="15" t="n">
        <v>21.26</v>
      </c>
      <c r="AJ1003" s="34" t="n">
        <v>45737</v>
      </c>
    </row>
    <row r="1004">
      <c r="A1004" s="34" t="n">
        <v>45740</v>
      </c>
      <c r="B1004" s="266" t="n">
        <v>1.072136998176575</v>
      </c>
      <c r="C1004" s="34" t="n">
        <v>45740</v>
      </c>
      <c r="D1004" s="15" t="n">
        <v>15.86</v>
      </c>
      <c r="E1004" s="15" t="n">
        <v>21.42</v>
      </c>
      <c r="F1004" s="34" t="n">
        <v>45740</v>
      </c>
      <c r="G1004" s="15" t="n">
        <v>55.5</v>
      </c>
      <c r="H1004" s="15" t="n">
        <v>78.09999999999999</v>
      </c>
      <c r="I1004" s="34" t="n">
        <v>45740</v>
      </c>
      <c r="J1004" s="15" t="n">
        <v>13.64</v>
      </c>
      <c r="K1004" s="15" t="n">
        <v>19.91</v>
      </c>
      <c r="L1004" s="34" t="n">
        <v>45740</v>
      </c>
      <c r="M1004" s="15" t="n">
        <v>24.7</v>
      </c>
      <c r="N1004" s="15" t="n">
        <v>31.17</v>
      </c>
      <c r="O1004" s="34" t="n">
        <v>45740</v>
      </c>
      <c r="P1004" s="15" t="n">
        <v>50.8</v>
      </c>
      <c r="Q1004" s="15" t="n">
        <v>62.02</v>
      </c>
      <c r="R1004" s="34" t="n">
        <v>45740</v>
      </c>
      <c r="S1004" s="15" t="n">
        <v>15.54</v>
      </c>
      <c r="V1004" s="15" t="n">
        <v>26.85</v>
      </c>
      <c r="W1004" s="15" t="n">
        <v>24.87</v>
      </c>
      <c r="X1004" s="34" t="n">
        <v>45740</v>
      </c>
      <c r="Y1004" s="15" t="n">
        <v>78.05</v>
      </c>
      <c r="Z1004" s="15" t="n">
        <v>76.06</v>
      </c>
      <c r="AA1004" s="34" t="n">
        <v>45740</v>
      </c>
      <c r="AB1004" s="15" t="n">
        <v>5.46</v>
      </c>
      <c r="AC1004" s="15" t="n">
        <v>11.26</v>
      </c>
      <c r="AD1004" s="34" t="n">
        <v>45740</v>
      </c>
      <c r="AE1004" s="15" t="n">
        <v>37.65</v>
      </c>
      <c r="AF1004" s="15" t="n">
        <v>42.52</v>
      </c>
      <c r="AG1004" s="34" t="n">
        <v>45740</v>
      </c>
      <c r="AH1004" s="15" t="n">
        <v>14.8</v>
      </c>
      <c r="AI1004" s="15" t="n">
        <v>20.91</v>
      </c>
      <c r="AJ1004" s="34" t="n">
        <v>45740</v>
      </c>
    </row>
    <row r="1005">
      <c r="A1005" s="34" t="n">
        <v>45741</v>
      </c>
      <c r="B1005" s="266" t="n">
        <v>1.071681976318359</v>
      </c>
      <c r="C1005" s="34" t="n">
        <v>45741</v>
      </c>
      <c r="D1005" s="15" t="n">
        <v>14.84</v>
      </c>
      <c r="E1005" s="15" t="n">
        <v>20.82</v>
      </c>
      <c r="F1005" s="34" t="n">
        <v>45741</v>
      </c>
      <c r="G1005" s="15" t="n">
        <v>54.6</v>
      </c>
      <c r="H1005" s="15" t="n">
        <v>78.15000000000001</v>
      </c>
      <c r="I1005" s="34" t="n">
        <v>45741</v>
      </c>
      <c r="J1005" s="15" t="n">
        <v>13.04</v>
      </c>
      <c r="K1005" s="15" t="n">
        <v>19.9</v>
      </c>
      <c r="L1005" s="34" t="n">
        <v>45741</v>
      </c>
      <c r="M1005" s="15" t="n">
        <v>24.7</v>
      </c>
      <c r="N1005" s="15" t="n">
        <v>31.22</v>
      </c>
      <c r="O1005" s="34" t="n">
        <v>45741</v>
      </c>
      <c r="P1005" s="15" t="n">
        <v>50.85</v>
      </c>
      <c r="Q1005" s="15" t="n">
        <v>62.15</v>
      </c>
      <c r="R1005" s="34" t="n">
        <v>45741</v>
      </c>
      <c r="S1005" s="15" t="n">
        <v>15.58</v>
      </c>
      <c r="V1005" s="15" t="n">
        <v>25.3</v>
      </c>
      <c r="W1005" s="15" t="n">
        <v>24.45</v>
      </c>
      <c r="X1005" s="34" t="n">
        <v>45741</v>
      </c>
      <c r="Y1005" s="15" t="n">
        <v>77.5</v>
      </c>
      <c r="Z1005" s="15" t="n">
        <v>76.86</v>
      </c>
      <c r="AA1005" s="34" t="n">
        <v>45741</v>
      </c>
      <c r="AB1005" s="15" t="n">
        <v>5.6</v>
      </c>
      <c r="AC1005" s="15" t="n">
        <v>11.42</v>
      </c>
      <c r="AD1005" s="34" t="n">
        <v>45741</v>
      </c>
      <c r="AE1005" s="15" t="n">
        <v>37.15</v>
      </c>
      <c r="AF1005" s="15" t="n">
        <v>42.3</v>
      </c>
      <c r="AG1005" s="34" t="n">
        <v>45741</v>
      </c>
      <c r="AH1005" s="15" t="n">
        <v>14.4</v>
      </c>
      <c r="AI1005" s="15" t="n">
        <v>20.87</v>
      </c>
      <c r="AJ1005" s="34" t="n">
        <v>45741</v>
      </c>
    </row>
    <row r="1006">
      <c r="A1006" s="34" t="n">
        <v>45742</v>
      </c>
      <c r="B1006" s="266" t="n">
        <v>1.071272969245911</v>
      </c>
      <c r="C1006" s="34" t="n">
        <v>45742</v>
      </c>
      <c r="D1006" s="15" t="n">
        <v>15.1</v>
      </c>
      <c r="E1006" s="15" t="n">
        <v>20.85</v>
      </c>
      <c r="F1006" s="34" t="n">
        <v>45742</v>
      </c>
      <c r="G1006" s="15" t="n">
        <v>54.6</v>
      </c>
      <c r="H1006" s="15" t="n">
        <v>77.55</v>
      </c>
      <c r="I1006" s="34" t="n">
        <v>45742</v>
      </c>
      <c r="J1006" s="15" t="n">
        <v>13.58</v>
      </c>
      <c r="K1006" s="15" t="n">
        <v>20.7</v>
      </c>
      <c r="L1006" s="34" t="n">
        <v>45742</v>
      </c>
      <c r="M1006" s="15" t="n">
        <v>24.4</v>
      </c>
      <c r="N1006" s="15" t="n">
        <v>31.25</v>
      </c>
      <c r="O1006" s="34" t="n">
        <v>45742</v>
      </c>
      <c r="P1006" s="15" t="n">
        <v>50.3</v>
      </c>
      <c r="Q1006" s="15" t="n">
        <v>62.38</v>
      </c>
      <c r="R1006" s="34" t="n">
        <v>45742</v>
      </c>
      <c r="S1006" s="15" t="n">
        <v>15.12</v>
      </c>
      <c r="V1006" s="15" t="n">
        <v>25.8</v>
      </c>
      <c r="W1006" s="15" t="n">
        <v>24.78</v>
      </c>
      <c r="X1006" s="34" t="n">
        <v>45742</v>
      </c>
      <c r="Y1006" s="15" t="n">
        <v>77.90000000000001</v>
      </c>
      <c r="Z1006" s="15" t="n">
        <v>76.79000000000001</v>
      </c>
      <c r="AA1006" s="34" t="n">
        <v>45742</v>
      </c>
      <c r="AB1006" s="15" t="n">
        <v>5.5</v>
      </c>
      <c r="AC1006" s="15" t="n">
        <v>11.37</v>
      </c>
      <c r="AD1006" s="34" t="n">
        <v>45742</v>
      </c>
      <c r="AE1006" s="15" t="n">
        <v>37.5</v>
      </c>
      <c r="AF1006" s="15" t="n">
        <v>42.18</v>
      </c>
      <c r="AG1006" s="34" t="n">
        <v>45742</v>
      </c>
      <c r="AH1006" s="15" t="n">
        <v>14.82</v>
      </c>
      <c r="AI1006" s="15" t="n">
        <v>20.6</v>
      </c>
      <c r="AJ1006" s="34" t="n">
        <v>45742</v>
      </c>
    </row>
    <row r="1007">
      <c r="A1007" s="34" t="n">
        <v>45743</v>
      </c>
      <c r="B1007" s="266" t="n">
        <v>1.071310043334961</v>
      </c>
      <c r="C1007" s="34" t="n">
        <v>45743</v>
      </c>
      <c r="D1007" s="15" t="n">
        <v>16</v>
      </c>
      <c r="E1007" s="15" t="n">
        <v>21.98</v>
      </c>
      <c r="F1007" s="34" t="n">
        <v>45743</v>
      </c>
      <c r="G1007" s="15" t="n">
        <v>56.3</v>
      </c>
      <c r="H1007" s="15" t="n">
        <v>80.34</v>
      </c>
      <c r="I1007" s="34" t="n">
        <v>45743</v>
      </c>
      <c r="J1007" s="15" t="n">
        <v>13.2</v>
      </c>
      <c r="K1007" s="15" t="n">
        <v>20.12</v>
      </c>
      <c r="L1007" s="34" t="n">
        <v>45743</v>
      </c>
      <c r="M1007" s="15" t="n">
        <v>24.65</v>
      </c>
      <c r="N1007" s="15" t="n">
        <v>30.99</v>
      </c>
      <c r="O1007" s="34" t="n">
        <v>45743</v>
      </c>
      <c r="P1007" s="15" t="n">
        <v>50.3</v>
      </c>
      <c r="Q1007" s="15" t="n">
        <v>62.39</v>
      </c>
      <c r="R1007" s="34" t="n">
        <v>45743</v>
      </c>
      <c r="S1007" s="15" t="n">
        <v>15.26</v>
      </c>
      <c r="V1007" s="15" t="n">
        <v>24.25</v>
      </c>
      <c r="W1007" s="15" t="n">
        <v>23.88</v>
      </c>
      <c r="X1007" s="34" t="n">
        <v>45743</v>
      </c>
      <c r="Y1007" s="15" t="n">
        <v>77.5</v>
      </c>
      <c r="Z1007" s="15" t="n">
        <v>76.5</v>
      </c>
      <c r="AA1007" s="34" t="n">
        <v>45743</v>
      </c>
      <c r="AB1007" s="15" t="n">
        <v>5.34</v>
      </c>
      <c r="AC1007" s="15" t="n">
        <v>11.2</v>
      </c>
      <c r="AD1007" s="34" t="n">
        <v>45743</v>
      </c>
      <c r="AE1007" s="15" t="n">
        <v>37.6</v>
      </c>
      <c r="AF1007" s="15" t="n">
        <v>42.33</v>
      </c>
      <c r="AG1007" s="34" t="n">
        <v>45743</v>
      </c>
      <c r="AH1007" s="15" t="n">
        <v>14.86</v>
      </c>
      <c r="AI1007" s="15" t="n">
        <v>20.84</v>
      </c>
      <c r="AJ1007" s="34" t="n">
        <v>45743</v>
      </c>
    </row>
    <row r="1008">
      <c r="A1008" s="34" t="n">
        <v>45744</v>
      </c>
      <c r="B1008" s="266" t="n">
        <v>1.03395402431488</v>
      </c>
      <c r="C1008" s="34" t="n">
        <v>45744</v>
      </c>
      <c r="D1008" s="15" t="n">
        <v>14.5</v>
      </c>
      <c r="E1008" s="15" t="n">
        <v>21.24</v>
      </c>
      <c r="F1008" s="34" t="n">
        <v>45744</v>
      </c>
      <c r="G1008" s="15" t="n">
        <v>56.65</v>
      </c>
      <c r="H1008" s="15" t="n">
        <v>79.66</v>
      </c>
      <c r="I1008" s="34" t="n">
        <v>45744</v>
      </c>
      <c r="J1008" s="15" t="n">
        <v>13.12</v>
      </c>
      <c r="K1008" s="15" t="n">
        <v>20.14</v>
      </c>
      <c r="L1008" s="34" t="n">
        <v>45744</v>
      </c>
      <c r="M1008" s="15" t="n">
        <v>24.45</v>
      </c>
      <c r="N1008" s="15" t="n">
        <v>30.56</v>
      </c>
      <c r="O1008" s="34" t="n">
        <v>45744</v>
      </c>
      <c r="P1008" s="15" t="n">
        <v>49.9</v>
      </c>
      <c r="Q1008" s="15" t="n">
        <v>61.61</v>
      </c>
      <c r="R1008" s="34" t="n">
        <v>45744</v>
      </c>
      <c r="S1008" s="15" t="n">
        <v>15</v>
      </c>
      <c r="V1008" s="15" t="n">
        <v>25.05</v>
      </c>
      <c r="W1008" s="15" t="n">
        <v>23.81</v>
      </c>
      <c r="X1008" s="34" t="n">
        <v>45744</v>
      </c>
      <c r="Y1008" s="15" t="n">
        <v>76.34999999999999</v>
      </c>
      <c r="Z1008" s="15" t="n">
        <v>76.87</v>
      </c>
      <c r="AA1008" s="34" t="n">
        <v>45744</v>
      </c>
      <c r="AB1008" s="15" t="n">
        <v>5.11</v>
      </c>
      <c r="AC1008" s="15" t="n">
        <v>10.96</v>
      </c>
      <c r="AD1008" s="34" t="n">
        <v>45744</v>
      </c>
      <c r="AE1008" s="15" t="n">
        <v>37.1</v>
      </c>
      <c r="AF1008" s="15" t="n">
        <v>42.04</v>
      </c>
      <c r="AG1008" s="34" t="n">
        <v>45744</v>
      </c>
      <c r="AH1008" s="15" t="n">
        <v>15.24</v>
      </c>
      <c r="AI1008" s="15" t="n">
        <v>21.64</v>
      </c>
      <c r="AJ1008" s="34" t="n">
        <v>45744</v>
      </c>
    </row>
    <row r="1009">
      <c r="A1009" s="34" t="n">
        <v>45747</v>
      </c>
      <c r="B1009" s="266" t="n">
        <v>1.070834994316101</v>
      </c>
      <c r="C1009" s="34" t="n">
        <v>45747</v>
      </c>
      <c r="D1009" s="15" t="n">
        <v>13.86</v>
      </c>
      <c r="E1009" s="15" t="n">
        <v>20.34</v>
      </c>
      <c r="F1009" s="34" t="n">
        <v>45747</v>
      </c>
      <c r="G1009" s="15" t="n">
        <v>54.4</v>
      </c>
      <c r="H1009" s="15" t="n">
        <v>78.75</v>
      </c>
      <c r="I1009" s="34" t="n">
        <v>45747</v>
      </c>
      <c r="J1009" s="15" t="n">
        <v>12.56</v>
      </c>
      <c r="K1009" s="15" t="n">
        <v>19.5</v>
      </c>
      <c r="L1009" s="34" t="n">
        <v>45747</v>
      </c>
      <c r="M1009" s="15" t="n">
        <v>24.3</v>
      </c>
      <c r="N1009" s="15" t="n">
        <v>30.32</v>
      </c>
      <c r="O1009" s="34" t="n">
        <v>45747</v>
      </c>
      <c r="P1009" s="15" t="n">
        <v>48.65</v>
      </c>
      <c r="Q1009" s="15" t="n">
        <v>60.2</v>
      </c>
      <c r="R1009" s="34" t="n">
        <v>45747</v>
      </c>
      <c r="S1009" s="15" t="n">
        <v>14.9</v>
      </c>
      <c r="V1009" s="15" t="n">
        <v>24.25</v>
      </c>
      <c r="W1009" s="15" t="n">
        <v>22.98</v>
      </c>
      <c r="X1009" s="34" t="n">
        <v>45747</v>
      </c>
      <c r="Y1009" s="15" t="n">
        <v>79</v>
      </c>
      <c r="Z1009" s="15" t="n">
        <v>78.5</v>
      </c>
      <c r="AA1009" s="34" t="n">
        <v>45747</v>
      </c>
      <c r="AB1009" s="15" t="n">
        <v>4.87</v>
      </c>
      <c r="AC1009" s="15" t="n">
        <v>10.71</v>
      </c>
      <c r="AD1009" s="34" t="n">
        <v>45747</v>
      </c>
      <c r="AE1009" s="15" t="n">
        <v>38.45</v>
      </c>
      <c r="AF1009" s="15" t="n">
        <v>43.12</v>
      </c>
      <c r="AG1009" s="34" t="n">
        <v>45747</v>
      </c>
      <c r="AH1009" s="15" t="n">
        <v>16.46</v>
      </c>
      <c r="AI1009" s="15" t="n">
        <v>22.9</v>
      </c>
      <c r="AJ1009" s="34" t="n">
        <v>45747</v>
      </c>
    </row>
    <row r="1010">
      <c r="A1010" s="34" t="n">
        <v>45748</v>
      </c>
      <c r="B1010" s="266" t="n">
        <v>1.071635007858276</v>
      </c>
      <c r="C1010" s="34" t="n">
        <v>45748</v>
      </c>
      <c r="D1010" s="15" t="n">
        <v>13.5</v>
      </c>
      <c r="E1010" s="15" t="n">
        <v>21.43</v>
      </c>
      <c r="F1010" s="34" t="n">
        <v>45748</v>
      </c>
      <c r="G1010" s="15" t="n">
        <v>58.15</v>
      </c>
      <c r="H1010" s="15" t="n">
        <v>81.05</v>
      </c>
      <c r="I1010" s="34" t="n">
        <v>45748</v>
      </c>
      <c r="J1010" s="15" t="n">
        <v>12.56</v>
      </c>
      <c r="K1010" s="15" t="n">
        <v>19.7</v>
      </c>
      <c r="L1010" s="34" t="n">
        <v>45748</v>
      </c>
      <c r="M1010" s="15" t="n">
        <v>24.65</v>
      </c>
      <c r="N1010" s="15" t="n">
        <v>30.55</v>
      </c>
      <c r="O1010" s="34" t="n">
        <v>45748</v>
      </c>
      <c r="P1010" s="15" t="n">
        <v>49.15</v>
      </c>
      <c r="Q1010" s="15" t="n">
        <v>60.43</v>
      </c>
      <c r="R1010" s="34" t="n">
        <v>45748</v>
      </c>
      <c r="S1010" s="15" t="n">
        <v>15.34</v>
      </c>
      <c r="V1010" s="15" t="n">
        <v>24.35</v>
      </c>
      <c r="W1010" s="15" t="n">
        <v>23.21</v>
      </c>
      <c r="X1010" s="34" t="n">
        <v>45748</v>
      </c>
      <c r="Y1010" s="15" t="n">
        <v>75.5</v>
      </c>
      <c r="Z1010" s="15" t="n">
        <v>75.39</v>
      </c>
      <c r="AA1010" s="34" t="n">
        <v>45748</v>
      </c>
      <c r="AB1010" s="15" t="n">
        <v>4.86</v>
      </c>
      <c r="AC1010" s="15" t="n">
        <v>10.76</v>
      </c>
      <c r="AD1010" s="34" t="n">
        <v>45748</v>
      </c>
      <c r="AE1010" s="15" t="n">
        <v>38.15</v>
      </c>
      <c r="AF1010" s="15" t="n">
        <v>43.76</v>
      </c>
      <c r="AG1010" s="34" t="n">
        <v>45748</v>
      </c>
      <c r="AH1010" s="15" t="n">
        <v>16.4</v>
      </c>
      <c r="AI1010" s="15" t="n">
        <v>22.75</v>
      </c>
      <c r="AJ1010" s="34" t="n">
        <v>45748</v>
      </c>
    </row>
    <row r="1011">
      <c r="A1011" s="34" t="n">
        <v>45749</v>
      </c>
      <c r="B1011" s="266" t="n">
        <v>1.070148944854736</v>
      </c>
      <c r="C1011" s="34" t="n">
        <v>45749</v>
      </c>
      <c r="D1011" s="15" t="n">
        <v>12.56</v>
      </c>
      <c r="E1011" s="15" t="n">
        <v>20.38</v>
      </c>
      <c r="F1011" s="34" t="n">
        <v>45749</v>
      </c>
      <c r="G1011" s="15" t="n">
        <v>58.3</v>
      </c>
      <c r="H1011" s="15" t="n">
        <v>79.42</v>
      </c>
      <c r="I1011" s="34" t="n">
        <v>45749</v>
      </c>
      <c r="J1011" s="15" t="n">
        <v>12.8</v>
      </c>
      <c r="K1011" s="15" t="n">
        <v>19.79</v>
      </c>
      <c r="L1011" s="34" t="n">
        <v>45749</v>
      </c>
      <c r="M1011" s="15" t="n">
        <v>24.85</v>
      </c>
      <c r="N1011" s="15" t="n">
        <v>30.63</v>
      </c>
      <c r="O1011" s="34" t="n">
        <v>45749</v>
      </c>
      <c r="P1011" s="15" t="n">
        <v>49.3</v>
      </c>
      <c r="Q1011" s="15" t="n">
        <v>60.42</v>
      </c>
      <c r="R1011" s="34" t="n">
        <v>45749</v>
      </c>
      <c r="S1011" s="15" t="n">
        <v>15.26</v>
      </c>
      <c r="V1011" s="15" t="n">
        <v>24.1</v>
      </c>
      <c r="W1011" s="15" t="n">
        <v>22.74</v>
      </c>
      <c r="X1011" s="34" t="n">
        <v>45749</v>
      </c>
      <c r="Y1011" s="15" t="n">
        <v>76.59999999999999</v>
      </c>
      <c r="Z1011" s="15" t="n">
        <v>75.95999999999999</v>
      </c>
      <c r="AA1011" s="34" t="n">
        <v>45749</v>
      </c>
      <c r="AB1011" s="15" t="n">
        <v>4.95</v>
      </c>
      <c r="AC1011" s="15" t="n">
        <v>10.78</v>
      </c>
      <c r="AD1011" s="34" t="n">
        <v>45749</v>
      </c>
      <c r="AE1011" s="15" t="n">
        <v>38.4</v>
      </c>
      <c r="AF1011" s="15" t="n">
        <v>43.32</v>
      </c>
      <c r="AG1011" s="34" t="n">
        <v>45749</v>
      </c>
      <c r="AH1011" s="15" t="n">
        <v>16.16</v>
      </c>
      <c r="AI1011" s="15" t="n">
        <v>21.9</v>
      </c>
      <c r="AJ1011" s="34" t="n">
        <v>45749</v>
      </c>
    </row>
    <row r="1012">
      <c r="A1012" s="34" t="n">
        <v>45750</v>
      </c>
      <c r="B1012" s="266" t="n">
        <v>1.070878982543945</v>
      </c>
      <c r="C1012" s="34" t="n">
        <v>45750</v>
      </c>
      <c r="D1012" s="15" t="n">
        <v>12.18</v>
      </c>
      <c r="E1012" s="15" t="n">
        <v>19.8</v>
      </c>
      <c r="F1012" s="34" t="n">
        <v>45750</v>
      </c>
      <c r="G1012" s="15" t="n">
        <v>55.75</v>
      </c>
      <c r="H1012" s="15" t="n">
        <v>77.72</v>
      </c>
      <c r="I1012" s="34" t="n">
        <v>45750</v>
      </c>
      <c r="J1012" s="15" t="n">
        <v>14.02</v>
      </c>
      <c r="K1012" s="15" t="n">
        <v>20.82</v>
      </c>
      <c r="L1012" s="34" t="n">
        <v>45750</v>
      </c>
      <c r="M1012" s="15" t="n">
        <v>23.9</v>
      </c>
      <c r="N1012" s="15" t="n">
        <v>30.26</v>
      </c>
      <c r="O1012" s="34" t="n">
        <v>45750</v>
      </c>
      <c r="P1012" s="15" t="n">
        <v>49.3</v>
      </c>
      <c r="Q1012" s="15" t="n">
        <v>60.6</v>
      </c>
      <c r="R1012" s="34" t="n">
        <v>45750</v>
      </c>
      <c r="S1012" s="15" t="n">
        <v>13.36</v>
      </c>
      <c r="V1012" s="15" t="n">
        <v>24.45</v>
      </c>
      <c r="W1012" s="15" t="n">
        <v>22.95</v>
      </c>
      <c r="X1012" s="34" t="n">
        <v>45750</v>
      </c>
      <c r="Y1012" s="15" t="n">
        <v>72.95</v>
      </c>
      <c r="Z1012" s="15" t="n">
        <v>73.36</v>
      </c>
      <c r="AA1012" s="34" t="n">
        <v>45750</v>
      </c>
      <c r="AB1012" s="15" t="n">
        <v>4.85</v>
      </c>
      <c r="AC1012" s="15" t="n">
        <v>10.56</v>
      </c>
      <c r="AD1012" s="34" t="n">
        <v>45750</v>
      </c>
      <c r="AE1012" s="15" t="n">
        <v>37.55</v>
      </c>
      <c r="AF1012" s="15" t="n">
        <v>43.42</v>
      </c>
      <c r="AG1012" s="34" t="n">
        <v>45750</v>
      </c>
      <c r="AH1012" s="15" t="n">
        <v>18</v>
      </c>
      <c r="AI1012" s="15" t="n">
        <v>22.29</v>
      </c>
      <c r="AJ1012" s="34" t="n">
        <v>45750</v>
      </c>
    </row>
    <row r="1013">
      <c r="A1013" s="34" t="n">
        <v>45754</v>
      </c>
      <c r="B1013" s="266" t="n">
        <v>1.067106008529663</v>
      </c>
      <c r="C1013" s="34" t="n">
        <v>45754</v>
      </c>
      <c r="D1013" s="15" t="n">
        <v>10.22</v>
      </c>
      <c r="E1013" s="15" t="n">
        <v>17.82</v>
      </c>
      <c r="F1013" s="34" t="n">
        <v>45754</v>
      </c>
      <c r="G1013" s="15" t="n">
        <v>42.65</v>
      </c>
      <c r="H1013" s="15" t="n">
        <v>69.95</v>
      </c>
      <c r="I1013" s="34" t="n">
        <v>45754</v>
      </c>
      <c r="J1013" s="15" t="n">
        <v>10.7</v>
      </c>
      <c r="K1013" s="15" t="n">
        <v>19.29</v>
      </c>
      <c r="L1013" s="34" t="n">
        <v>45754</v>
      </c>
      <c r="M1013" s="15" t="n">
        <v>20.25</v>
      </c>
      <c r="N1013" s="15" t="n">
        <v>27.23</v>
      </c>
      <c r="O1013" s="34" t="n">
        <v>45754</v>
      </c>
      <c r="P1013" s="15" t="n">
        <v>43.6</v>
      </c>
      <c r="Q1013" s="15" t="n">
        <v>56.57</v>
      </c>
      <c r="R1013" s="34" t="n">
        <v>45754</v>
      </c>
      <c r="S1013" s="15" t="n">
        <v>12.4</v>
      </c>
      <c r="V1013" s="15" t="n">
        <v>19.78</v>
      </c>
      <c r="W1013" s="15" t="n">
        <v>19.42</v>
      </c>
      <c r="X1013" s="34" t="n">
        <v>45754</v>
      </c>
      <c r="Y1013" s="15" t="n">
        <v>63.75</v>
      </c>
      <c r="Z1013" s="15" t="n">
        <v>67.18000000000001</v>
      </c>
      <c r="AA1013" s="34" t="n">
        <v>45754</v>
      </c>
      <c r="AB1013" s="15" t="n">
        <v>3.94</v>
      </c>
      <c r="AC1013" s="15" t="n">
        <v>9.5</v>
      </c>
      <c r="AD1013" s="34" t="n">
        <v>45754</v>
      </c>
      <c r="AE1013" s="15" t="n">
        <v>33</v>
      </c>
      <c r="AF1013" s="15" t="n">
        <v>40.07</v>
      </c>
      <c r="AG1013" s="34" t="n">
        <v>45754</v>
      </c>
      <c r="AH1013" s="15" t="n">
        <v>16.26</v>
      </c>
      <c r="AI1013" s="15" t="n">
        <v>21.2</v>
      </c>
      <c r="AJ1013" s="34" t="n">
        <v>45754</v>
      </c>
    </row>
    <row r="1014">
      <c r="A1014" s="34" t="n">
        <v>45755</v>
      </c>
      <c r="B1014" s="266" t="n">
        <v>1.062885046005249</v>
      </c>
      <c r="C1014" s="34" t="n">
        <v>45755</v>
      </c>
      <c r="D1014" s="15" t="n">
        <v>10.28</v>
      </c>
      <c r="E1014" s="15" t="n">
        <v>17.26</v>
      </c>
      <c r="F1014" s="34" t="n">
        <v>45755</v>
      </c>
      <c r="G1014" s="15" t="n">
        <v>43.2</v>
      </c>
      <c r="H1014" s="15" t="n">
        <v>64.06999999999999</v>
      </c>
      <c r="I1014" s="34" t="n">
        <v>45755</v>
      </c>
      <c r="J1014" s="15" t="n">
        <v>12.9</v>
      </c>
      <c r="K1014" s="15" t="n">
        <v>21.18</v>
      </c>
      <c r="L1014" s="34" t="n">
        <v>45755</v>
      </c>
      <c r="M1014" s="15" t="n">
        <v>20.25</v>
      </c>
      <c r="N1014" s="15" t="n">
        <v>27.07</v>
      </c>
      <c r="O1014" s="34" t="n">
        <v>45755</v>
      </c>
      <c r="P1014" s="15" t="n">
        <v>45.85</v>
      </c>
      <c r="Q1014" s="15" t="n">
        <v>60.79</v>
      </c>
      <c r="R1014" s="34" t="n">
        <v>45755</v>
      </c>
      <c r="S1014" s="15" t="n">
        <v>12.22</v>
      </c>
      <c r="V1014" s="15" t="n">
        <v>20.85</v>
      </c>
      <c r="W1014" s="15" t="n">
        <v>19.7</v>
      </c>
      <c r="X1014" s="34" t="n">
        <v>45755</v>
      </c>
      <c r="Y1014" s="15" t="n">
        <v>65.8</v>
      </c>
      <c r="Z1014" s="15" t="n">
        <v>70.23</v>
      </c>
      <c r="AA1014" s="34" t="n">
        <v>45755</v>
      </c>
      <c r="AB1014" s="15" t="n">
        <v>4.07</v>
      </c>
      <c r="AC1014" s="15" t="n">
        <v>8.94</v>
      </c>
      <c r="AD1014" s="34" t="n">
        <v>45755</v>
      </c>
      <c r="AE1014" s="15" t="n">
        <v>34.1</v>
      </c>
      <c r="AF1014" s="15" t="n">
        <v>41.2</v>
      </c>
      <c r="AG1014" s="34" t="n">
        <v>45755</v>
      </c>
      <c r="AH1014" s="15" t="n">
        <v>17.2</v>
      </c>
      <c r="AI1014" s="15" t="n">
        <v>21.27</v>
      </c>
      <c r="AJ1014" s="34" t="n">
        <v>45755</v>
      </c>
    </row>
    <row r="1015">
      <c r="A1015" s="34" t="n">
        <v>45756</v>
      </c>
      <c r="B1015" s="266" t="n">
        <v>1.058482050895691</v>
      </c>
      <c r="C1015" s="34" t="n">
        <v>45756</v>
      </c>
      <c r="D1015" s="15" t="n">
        <v>10.68</v>
      </c>
      <c r="E1015" s="15" t="n">
        <v>17.07</v>
      </c>
      <c r="F1015" s="34" t="n">
        <v>45756</v>
      </c>
      <c r="G1015" s="15" t="n">
        <v>45.2</v>
      </c>
      <c r="H1015" s="15" t="n">
        <v>62.82</v>
      </c>
      <c r="I1015" s="34" t="n">
        <v>45756</v>
      </c>
      <c r="J1015" s="15" t="n">
        <v>12.96</v>
      </c>
      <c r="K1015" s="15" t="n">
        <v>21.22</v>
      </c>
      <c r="L1015" s="34" t="n">
        <v>45756</v>
      </c>
      <c r="M1015" s="15" t="n">
        <v>20.6</v>
      </c>
      <c r="N1015" s="15" t="n">
        <v>27.07</v>
      </c>
      <c r="O1015" s="34" t="n">
        <v>45756</v>
      </c>
      <c r="P1015" s="15" t="n">
        <v>56.7</v>
      </c>
      <c r="Q1015" s="15" t="n">
        <v>66.87</v>
      </c>
      <c r="R1015" s="34" t="n">
        <v>45756</v>
      </c>
      <c r="S1015" s="15" t="n">
        <v>12.5</v>
      </c>
      <c r="V1015" s="15" t="n">
        <v>21.65</v>
      </c>
      <c r="W1015" s="15" t="n">
        <v>20.02</v>
      </c>
      <c r="X1015" s="34" t="n">
        <v>45756</v>
      </c>
      <c r="Y1015" s="15" t="n">
        <v>68.55</v>
      </c>
      <c r="Z1015" s="15" t="n">
        <v>69.67</v>
      </c>
      <c r="AA1015" s="34" t="n">
        <v>45756</v>
      </c>
      <c r="AB1015" s="15" t="n">
        <v>4.26</v>
      </c>
      <c r="AC1015" s="15" t="n">
        <v>9.1</v>
      </c>
      <c r="AD1015" s="34" t="n">
        <v>45756</v>
      </c>
      <c r="AE1015" s="15" t="n">
        <v>34.2</v>
      </c>
      <c r="AF1015" s="15" t="n">
        <v>40.86</v>
      </c>
      <c r="AG1015" s="34" t="n">
        <v>45756</v>
      </c>
      <c r="AH1015" s="15" t="n">
        <v>17.22</v>
      </c>
      <c r="AI1015" s="15" t="n">
        <v>22.12</v>
      </c>
      <c r="AJ1015" s="34" t="n">
        <v>45756</v>
      </c>
    </row>
    <row r="1016">
      <c r="A1016" s="34" t="n">
        <v>45757</v>
      </c>
      <c r="B1016" s="266" t="n">
        <v>1.055835008621216</v>
      </c>
      <c r="C1016" s="34" t="n">
        <v>45757</v>
      </c>
      <c r="D1016" s="15" t="n">
        <v>11.8</v>
      </c>
      <c r="E1016" s="15" t="n">
        <v>17.79</v>
      </c>
      <c r="F1016" s="34" t="n">
        <v>45757</v>
      </c>
      <c r="G1016" s="15" t="n">
        <v>43.9</v>
      </c>
      <c r="H1016" s="15" t="n">
        <v>64.69</v>
      </c>
      <c r="I1016" s="34" t="n">
        <v>45757</v>
      </c>
      <c r="J1016" s="15" t="n">
        <v>12.9</v>
      </c>
      <c r="K1016" s="15" t="n">
        <v>21.29</v>
      </c>
      <c r="L1016" s="34" t="n">
        <v>45757</v>
      </c>
      <c r="M1016" s="15" t="n">
        <v>20.9</v>
      </c>
      <c r="N1016" s="15" t="n">
        <v>27.56</v>
      </c>
      <c r="O1016" s="34" t="n">
        <v>45757</v>
      </c>
      <c r="P1016" s="15" t="n">
        <v>55.95</v>
      </c>
      <c r="Q1016" s="15" t="n">
        <v>70.20999999999999</v>
      </c>
      <c r="R1016" s="34" t="n">
        <v>45757</v>
      </c>
      <c r="S1016" s="15" t="n">
        <v>12.38</v>
      </c>
      <c r="V1016" s="15" t="n">
        <v>22.2</v>
      </c>
      <c r="W1016" s="15" t="n">
        <v>20.53</v>
      </c>
      <c r="X1016" s="34" t="n">
        <v>45757</v>
      </c>
      <c r="Y1016" s="15" t="n">
        <v>69.25</v>
      </c>
      <c r="Z1016" s="15" t="n">
        <v>71.09</v>
      </c>
      <c r="AA1016" s="34" t="n">
        <v>45757</v>
      </c>
      <c r="AB1016" s="15" t="n">
        <v>4.52</v>
      </c>
      <c r="AC1016" s="15" t="n">
        <v>9.34</v>
      </c>
      <c r="AD1016" s="34" t="n">
        <v>45757</v>
      </c>
      <c r="AE1016" s="15" t="n">
        <v>35</v>
      </c>
      <c r="AF1016" s="15" t="n">
        <v>42.3</v>
      </c>
      <c r="AG1016" s="34" t="n">
        <v>45757</v>
      </c>
      <c r="AH1016" s="15" t="n">
        <v>20.15</v>
      </c>
      <c r="AI1016" s="15" t="n">
        <v>23.87</v>
      </c>
      <c r="AJ1016" s="34" t="n">
        <v>45757</v>
      </c>
    </row>
    <row r="1017">
      <c r="A1017" s="34" t="n">
        <v>45758</v>
      </c>
      <c r="B1017" s="266" t="n">
        <v>1.060536980628967</v>
      </c>
      <c r="C1017" s="34" t="n">
        <v>45758</v>
      </c>
      <c r="D1017" s="15" t="n">
        <v>10.22</v>
      </c>
      <c r="E1017" s="15" t="n">
        <v>16.03</v>
      </c>
      <c r="F1017" s="34" t="n">
        <v>45758</v>
      </c>
      <c r="G1017" s="15" t="n">
        <v>43.65</v>
      </c>
      <c r="H1017" s="15" t="n">
        <v>65.09999999999999</v>
      </c>
      <c r="I1017" s="34" t="n">
        <v>45758</v>
      </c>
      <c r="J1017" s="15" t="n">
        <v>13.24</v>
      </c>
      <c r="K1017" s="15" t="n">
        <v>21.29</v>
      </c>
      <c r="L1017" s="34" t="n">
        <v>45758</v>
      </c>
      <c r="M1017" s="15" t="n">
        <v>21.65</v>
      </c>
      <c r="N1017" s="15" t="n">
        <v>27.75</v>
      </c>
      <c r="O1017" s="34" t="n">
        <v>45758</v>
      </c>
      <c r="P1017" s="15" t="n">
        <v>54</v>
      </c>
      <c r="Q1017" s="15" t="n">
        <v>67.95</v>
      </c>
      <c r="R1017" s="34" t="n">
        <v>45758</v>
      </c>
      <c r="S1017" s="15" t="n">
        <v>12.28</v>
      </c>
      <c r="V1017" s="15" t="n">
        <v>22.25</v>
      </c>
      <c r="W1017" s="15" t="n">
        <v>20.59</v>
      </c>
      <c r="X1017" s="34" t="n">
        <v>45758</v>
      </c>
      <c r="Y1017" s="15" t="n">
        <v>69.5</v>
      </c>
      <c r="Z1017" s="15" t="n">
        <v>70.48999999999999</v>
      </c>
      <c r="AA1017" s="34" t="n">
        <v>45758</v>
      </c>
      <c r="AB1017" s="15" t="n">
        <v>4.63</v>
      </c>
      <c r="AC1017" s="15" t="n">
        <v>9.470000000000001</v>
      </c>
      <c r="AD1017" s="34" t="n">
        <v>45758</v>
      </c>
      <c r="AE1017" s="15" t="n">
        <v>35.2</v>
      </c>
      <c r="AF1017" s="15" t="n">
        <v>41.88</v>
      </c>
      <c r="AG1017" s="34" t="n">
        <v>45758</v>
      </c>
      <c r="AH1017" s="15" t="n">
        <v>21.7</v>
      </c>
      <c r="AI1017" s="15" t="n">
        <v>25.7</v>
      </c>
      <c r="AJ1017" s="34" t="n">
        <v>45758</v>
      </c>
    </row>
    <row r="1018">
      <c r="A1018" s="34" t="n">
        <v>45761</v>
      </c>
      <c r="B1018" s="266" t="n">
        <v>1.063439965248108</v>
      </c>
      <c r="C1018" s="34" t="n">
        <v>45761</v>
      </c>
      <c r="D1018" s="15" t="n">
        <v>10.62</v>
      </c>
      <c r="E1018" s="15" t="n">
        <v>16.57</v>
      </c>
      <c r="F1018" s="34" t="n">
        <v>45761</v>
      </c>
      <c r="G1018" s="15" t="n">
        <v>45.1</v>
      </c>
      <c r="H1018" s="15" t="n">
        <v>65.18000000000001</v>
      </c>
      <c r="I1018" s="34" t="n">
        <v>45761</v>
      </c>
      <c r="J1018" s="15" t="n">
        <v>13.5</v>
      </c>
      <c r="K1018" s="15" t="n">
        <v>21.64</v>
      </c>
      <c r="L1018" s="34" t="n">
        <v>45761</v>
      </c>
      <c r="M1018" s="15" t="n">
        <v>22.25</v>
      </c>
      <c r="N1018" s="15" t="n">
        <v>28.06</v>
      </c>
      <c r="O1018" s="34" t="n">
        <v>45761</v>
      </c>
      <c r="P1018" s="15" t="n">
        <v>55</v>
      </c>
      <c r="Q1018" s="15" t="n">
        <v>67.98</v>
      </c>
      <c r="R1018" s="34" t="n">
        <v>45761</v>
      </c>
      <c r="S1018" s="15" t="n">
        <v>12.28</v>
      </c>
      <c r="V1018" s="15" t="n">
        <v>22.8</v>
      </c>
      <c r="W1018" s="15" t="n">
        <v>20.82</v>
      </c>
      <c r="X1018" s="34" t="n">
        <v>45761</v>
      </c>
      <c r="Y1018" s="15" t="n">
        <v>69.09999999999999</v>
      </c>
      <c r="Z1018" s="15" t="n">
        <v>69.92</v>
      </c>
      <c r="AA1018" s="34" t="n">
        <v>45761</v>
      </c>
      <c r="AB1018" s="15" t="n">
        <v>4.79</v>
      </c>
      <c r="AC1018" s="15" t="n">
        <v>9.67</v>
      </c>
      <c r="AD1018" s="34" t="n">
        <v>45761</v>
      </c>
      <c r="AE1018" s="15" t="n">
        <v>36.5</v>
      </c>
      <c r="AF1018" s="15" t="n">
        <v>42.64</v>
      </c>
      <c r="AG1018" s="34" t="n">
        <v>45761</v>
      </c>
      <c r="AH1018" s="15" t="n">
        <v>26.5</v>
      </c>
      <c r="AI1018" s="15" t="n">
        <v>27.59</v>
      </c>
      <c r="AJ1018" s="34" t="n">
        <v>45761</v>
      </c>
    </row>
    <row r="1019">
      <c r="A1019" s="34" t="n">
        <v>45762</v>
      </c>
      <c r="B1019" s="266" t="n">
        <v>1.06060004234314</v>
      </c>
      <c r="C1019" s="34" t="n">
        <v>45762</v>
      </c>
      <c r="D1019" s="15" t="n">
        <v>10.2</v>
      </c>
      <c r="E1019" s="15" t="n">
        <v>16.17</v>
      </c>
      <c r="F1019" s="34" t="n">
        <v>45762</v>
      </c>
      <c r="G1019" s="15" t="n">
        <v>44.15</v>
      </c>
      <c r="H1019" s="15" t="n">
        <v>63.9</v>
      </c>
      <c r="I1019" s="34" t="n">
        <v>45762</v>
      </c>
      <c r="J1019" s="15" t="n">
        <v>12.98</v>
      </c>
      <c r="K1019" s="15" t="n">
        <v>20.85</v>
      </c>
      <c r="L1019" s="34" t="n">
        <v>45762</v>
      </c>
      <c r="M1019" s="15" t="n">
        <v>21.9</v>
      </c>
      <c r="N1019" s="15" t="n">
        <v>27.95</v>
      </c>
      <c r="O1019" s="34" t="n">
        <v>45762</v>
      </c>
      <c r="P1019" s="15" t="n">
        <v>52.35</v>
      </c>
      <c r="Q1019" s="15" t="n">
        <v>65.68000000000001</v>
      </c>
      <c r="R1019" s="34" t="n">
        <v>45762</v>
      </c>
      <c r="S1019" s="15" t="n">
        <v>11.98</v>
      </c>
      <c r="V1019" s="15" t="n">
        <v>22.55</v>
      </c>
      <c r="W1019" s="15" t="n">
        <v>20.65</v>
      </c>
      <c r="X1019" s="34" t="n">
        <v>45762</v>
      </c>
      <c r="Y1019" s="15" t="n">
        <v>70.8</v>
      </c>
      <c r="Z1019" s="15" t="n">
        <v>71.48</v>
      </c>
      <c r="AA1019" s="34" t="n">
        <v>45762</v>
      </c>
      <c r="AB1019" s="15" t="n">
        <v>5</v>
      </c>
      <c r="AC1019" s="15" t="n">
        <v>9.74</v>
      </c>
      <c r="AD1019" s="34" t="n">
        <v>45762</v>
      </c>
      <c r="AE1019" s="15" t="n">
        <v>35.65</v>
      </c>
      <c r="AF1019" s="15" t="n">
        <v>42.23</v>
      </c>
      <c r="AG1019" s="34" t="n">
        <v>45762</v>
      </c>
      <c r="AH1019" s="15" t="n">
        <v>25.75</v>
      </c>
      <c r="AI1019" s="15" t="n">
        <v>27.71</v>
      </c>
      <c r="AJ1019" s="34" t="n">
        <v>45762</v>
      </c>
    </row>
    <row r="1020">
      <c r="A1020" s="34" t="n">
        <v>45763</v>
      </c>
      <c r="B1020" s="266" t="n">
        <v>1.06060004234314</v>
      </c>
      <c r="C1020" s="34" t="n">
        <v>45763</v>
      </c>
      <c r="D1020" s="15" t="n">
        <v>9.77</v>
      </c>
      <c r="E1020" s="15" t="n">
        <v>15.44</v>
      </c>
      <c r="F1020" s="34" t="n">
        <v>45763</v>
      </c>
      <c r="G1020" s="15" t="n">
        <v>42.2</v>
      </c>
      <c r="H1020" s="15" t="n">
        <v>62.37</v>
      </c>
      <c r="I1020" s="34" t="n">
        <v>45763</v>
      </c>
      <c r="J1020" s="15" t="n">
        <v>12.82</v>
      </c>
      <c r="K1020" s="15" t="n">
        <v>20.99</v>
      </c>
      <c r="L1020" s="34" t="n">
        <v>45763</v>
      </c>
      <c r="M1020" s="15" t="n">
        <v>21.2</v>
      </c>
      <c r="N1020" s="15" t="n">
        <v>27.55</v>
      </c>
      <c r="O1020" s="34" t="n">
        <v>45763</v>
      </c>
      <c r="P1020" s="15" t="n">
        <v>54.2</v>
      </c>
      <c r="Q1020" s="15" t="n">
        <v>67.40000000000001</v>
      </c>
      <c r="R1020" s="34" t="n">
        <v>45763</v>
      </c>
      <c r="S1020" s="15" t="n">
        <v>11.36</v>
      </c>
      <c r="V1020" s="15" t="n">
        <v>23</v>
      </c>
      <c r="W1020" s="15" t="n">
        <v>20.38</v>
      </c>
      <c r="X1020" s="34" t="n">
        <v>45763</v>
      </c>
      <c r="Y1020" s="15" t="n">
        <v>68.90000000000001</v>
      </c>
      <c r="Z1020" s="15" t="n">
        <v>71</v>
      </c>
      <c r="AA1020" s="34" t="n">
        <v>45763</v>
      </c>
      <c r="AB1020" s="15" t="n">
        <v>4.75</v>
      </c>
      <c r="AC1020" s="15" t="n">
        <v>9.529999999999999</v>
      </c>
      <c r="AD1020" s="34" t="n">
        <v>45763</v>
      </c>
      <c r="AE1020" s="15" t="n">
        <v>34.85</v>
      </c>
      <c r="AF1020" s="15" t="n">
        <v>42.27</v>
      </c>
      <c r="AG1020" s="34" t="n">
        <v>45763</v>
      </c>
      <c r="AH1020" s="15" t="n">
        <v>31.2</v>
      </c>
      <c r="AI1020" s="15" t="n">
        <v>29.95</v>
      </c>
      <c r="AJ1020" s="34" t="n">
        <v>45763</v>
      </c>
    </row>
    <row r="1021">
      <c r="A1021" s="34" t="n">
        <v>45764</v>
      </c>
      <c r="B1021" s="266" t="n">
        <v>1.06060004234314</v>
      </c>
      <c r="C1021" s="34" t="n">
        <v>45764</v>
      </c>
      <c r="D1021" s="15" t="n">
        <v>9.789999999999999</v>
      </c>
      <c r="E1021" s="15" t="n">
        <v>15.45</v>
      </c>
      <c r="F1021" s="34" t="n">
        <v>45764</v>
      </c>
      <c r="G1021" s="15" t="n">
        <v>43.1</v>
      </c>
      <c r="H1021" s="15" t="n">
        <v>61.89</v>
      </c>
      <c r="I1021" s="34" t="n">
        <v>45764</v>
      </c>
      <c r="J1021" s="15" t="n">
        <v>12.16</v>
      </c>
      <c r="K1021" s="15" t="n">
        <v>20.07</v>
      </c>
      <c r="L1021" s="34" t="n">
        <v>45764</v>
      </c>
      <c r="M1021" s="15" t="n">
        <v>21.2</v>
      </c>
      <c r="N1021" s="15" t="n">
        <v>27.46</v>
      </c>
      <c r="O1021" s="34" t="n">
        <v>45764</v>
      </c>
      <c r="P1021" s="15" t="n">
        <v>53.55</v>
      </c>
      <c r="Q1021" s="15" t="n">
        <v>66.02</v>
      </c>
      <c r="R1021" s="34" t="n">
        <v>45764</v>
      </c>
      <c r="S1021" s="15" t="n">
        <v>11.8</v>
      </c>
      <c r="V1021" s="15" t="n">
        <v>22</v>
      </c>
      <c r="W1021" s="15" t="n">
        <v>20.47</v>
      </c>
      <c r="X1021" s="34" t="n">
        <v>45764</v>
      </c>
      <c r="Y1021" s="15" t="n">
        <v>69.34999999999999</v>
      </c>
      <c r="Z1021" s="15" t="n">
        <v>70.95</v>
      </c>
      <c r="AA1021" s="34" t="n">
        <v>45764</v>
      </c>
      <c r="AB1021" s="15" t="n">
        <v>4.7</v>
      </c>
      <c r="AC1021" s="15" t="n">
        <v>9.49</v>
      </c>
      <c r="AD1021" s="34" t="n">
        <v>45764</v>
      </c>
      <c r="AE1021" s="15" t="n">
        <v>35.4</v>
      </c>
      <c r="AF1021" s="15" t="n">
        <v>42.36</v>
      </c>
      <c r="AG1021" s="34" t="n">
        <v>45764</v>
      </c>
      <c r="AH1021" s="15" t="n">
        <v>29.7</v>
      </c>
      <c r="AI1021" s="15" t="n">
        <v>28.85</v>
      </c>
      <c r="AJ1021" s="34" t="n">
        <v>45764</v>
      </c>
    </row>
    <row r="1022">
      <c r="A1022" s="34" t="n">
        <v>45769</v>
      </c>
      <c r="B1022" s="266" t="n">
        <v>1.06060004234314</v>
      </c>
      <c r="C1022" s="34" t="n">
        <v>45769</v>
      </c>
      <c r="D1022" s="15" t="n">
        <v>10.04</v>
      </c>
      <c r="E1022" s="15" t="n">
        <v>15.65</v>
      </c>
      <c r="F1022" s="34" t="n">
        <v>45769</v>
      </c>
      <c r="G1022" s="15" t="n">
        <v>44.95</v>
      </c>
      <c r="H1022" s="15" t="n">
        <v>65.06999999999999</v>
      </c>
      <c r="I1022" s="34" t="n">
        <v>45769</v>
      </c>
      <c r="J1022" s="15" t="n">
        <v>11.84</v>
      </c>
      <c r="K1022" s="15" t="n">
        <v>19.44</v>
      </c>
      <c r="L1022" s="34" t="n">
        <v>45769</v>
      </c>
      <c r="M1022" s="15" t="n">
        <v>21.2</v>
      </c>
      <c r="N1022" s="15" t="n">
        <v>27.48</v>
      </c>
      <c r="O1022" s="34" t="n">
        <v>45769</v>
      </c>
      <c r="P1022" s="15" t="n">
        <v>51.9</v>
      </c>
      <c r="Q1022" s="15" t="n">
        <v>64.31999999999999</v>
      </c>
      <c r="R1022" s="34" t="n">
        <v>45769</v>
      </c>
      <c r="S1022" s="15" t="n">
        <v>11.4</v>
      </c>
      <c r="V1022" s="15" t="n">
        <v>22.3</v>
      </c>
      <c r="W1022" s="15" t="n">
        <v>20.53</v>
      </c>
      <c r="X1022" s="34" t="n">
        <v>45769</v>
      </c>
      <c r="Y1022" s="15" t="n">
        <v>70.55</v>
      </c>
      <c r="Z1022" s="15" t="n">
        <v>71.72</v>
      </c>
      <c r="AA1022" s="34" t="n">
        <v>45769</v>
      </c>
      <c r="AB1022" s="15" t="n">
        <v>4.78</v>
      </c>
      <c r="AC1022" s="15" t="n">
        <v>9.67</v>
      </c>
      <c r="AD1022" s="34" t="n">
        <v>45769</v>
      </c>
      <c r="AE1022" s="15" t="n">
        <v>36.8</v>
      </c>
      <c r="AF1022" s="15" t="n">
        <v>43.4</v>
      </c>
      <c r="AG1022" s="34" t="n">
        <v>45769</v>
      </c>
      <c r="AH1022" s="15" t="n">
        <v>32.25</v>
      </c>
      <c r="AI1022" s="15" t="n">
        <v>31.3</v>
      </c>
      <c r="AJ1022" s="34" t="n">
        <v>45769</v>
      </c>
    </row>
    <row r="1023">
      <c r="A1023" s="34" t="n">
        <v>45770</v>
      </c>
      <c r="B1023" s="266" t="n">
        <v>1.06060004234314</v>
      </c>
      <c r="C1023" s="34" t="n">
        <v>45770</v>
      </c>
      <c r="D1023" s="15" t="n">
        <v>10.22</v>
      </c>
      <c r="E1023" s="15" t="n">
        <v>15.59</v>
      </c>
      <c r="F1023" s="34" t="n">
        <v>45770</v>
      </c>
      <c r="G1023" s="15" t="n">
        <v>46.95</v>
      </c>
      <c r="H1023" s="15" t="n">
        <v>67.06</v>
      </c>
      <c r="I1023" s="34" t="n">
        <v>45770</v>
      </c>
      <c r="J1023" s="15" t="n">
        <v>13.32</v>
      </c>
      <c r="K1023" s="15" t="n">
        <v>21.46</v>
      </c>
      <c r="L1023" s="34" t="n">
        <v>45770</v>
      </c>
      <c r="M1023" s="15" t="n">
        <v>21.8</v>
      </c>
      <c r="N1023" s="15" t="n">
        <v>27.59</v>
      </c>
      <c r="O1023" s="34" t="n">
        <v>45770</v>
      </c>
      <c r="P1023" s="15" t="n">
        <v>50.45</v>
      </c>
      <c r="Q1023" s="15" t="n">
        <v>62.96</v>
      </c>
      <c r="R1023" s="34" t="n">
        <v>45770</v>
      </c>
      <c r="S1023" s="15" t="n">
        <v>11.62</v>
      </c>
      <c r="V1023" s="15" t="n">
        <v>23.15</v>
      </c>
      <c r="W1023" s="15" t="n">
        <v>20.74</v>
      </c>
      <c r="X1023" s="34" t="n">
        <v>45770</v>
      </c>
      <c r="Y1023" s="15" t="n">
        <v>72</v>
      </c>
      <c r="Z1023" s="15" t="n">
        <v>71.84999999999999</v>
      </c>
      <c r="AA1023" s="34" t="n">
        <v>45770</v>
      </c>
      <c r="AB1023" s="15" t="n">
        <v>4.88</v>
      </c>
      <c r="AC1023" s="15" t="n">
        <v>9.74</v>
      </c>
      <c r="AD1023" s="34" t="n">
        <v>45770</v>
      </c>
      <c r="AE1023" s="15" t="n">
        <v>38</v>
      </c>
      <c r="AF1023" s="15" t="n">
        <v>43.21</v>
      </c>
      <c r="AG1023" s="34" t="n">
        <v>45770</v>
      </c>
      <c r="AH1023" s="15" t="n">
        <v>27.15</v>
      </c>
      <c r="AI1023" s="15" t="n">
        <v>28.17</v>
      </c>
      <c r="AJ1023" s="34" t="n">
        <v>45770</v>
      </c>
    </row>
    <row r="1024">
      <c r="A1024" s="34" t="n">
        <v>45771</v>
      </c>
      <c r="B1024" s="266" t="n">
        <v>1.06060004234314</v>
      </c>
      <c r="C1024" s="34" t="n">
        <v>45771</v>
      </c>
      <c r="D1024" s="15" t="n">
        <v>9.960000000000001</v>
      </c>
      <c r="E1024" s="15" t="n">
        <v>15.44</v>
      </c>
      <c r="F1024" s="34" t="n">
        <v>45771</v>
      </c>
      <c r="G1024" s="15" t="n">
        <v>52.35</v>
      </c>
      <c r="H1024" s="15" t="n">
        <v>73.77</v>
      </c>
      <c r="I1024" s="34" t="n">
        <v>45771</v>
      </c>
      <c r="J1024" s="15" t="n">
        <v>13.3</v>
      </c>
      <c r="K1024" s="15" t="n">
        <v>20.75</v>
      </c>
      <c r="L1024" s="34" t="n">
        <v>45771</v>
      </c>
      <c r="M1024" s="15" t="n">
        <v>22.35</v>
      </c>
      <c r="N1024" s="15" t="n">
        <v>28.76</v>
      </c>
      <c r="O1024" s="34" t="n">
        <v>45771</v>
      </c>
      <c r="P1024" s="15" t="n">
        <v>50.2</v>
      </c>
      <c r="Q1024" s="15" t="n">
        <v>62.66</v>
      </c>
      <c r="R1024" s="34" t="n">
        <v>45771</v>
      </c>
      <c r="S1024" s="15" t="n">
        <v>11.4</v>
      </c>
      <c r="V1024" s="15" t="n">
        <v>23.3</v>
      </c>
      <c r="W1024" s="15" t="n">
        <v>20.39</v>
      </c>
      <c r="X1024" s="34" t="n">
        <v>45771</v>
      </c>
      <c r="Y1024" s="15" t="n">
        <v>72.55</v>
      </c>
      <c r="Z1024" s="15" t="n">
        <v>72.95</v>
      </c>
      <c r="AA1024" s="34" t="n">
        <v>45771</v>
      </c>
      <c r="AB1024" s="15" t="n">
        <v>4.76</v>
      </c>
      <c r="AC1024" s="15" t="n">
        <v>9.619999999999999</v>
      </c>
      <c r="AD1024" s="34" t="n">
        <v>45771</v>
      </c>
      <c r="AE1024" s="15" t="n">
        <v>37.95</v>
      </c>
      <c r="AF1024" s="15" t="n">
        <v>43.4</v>
      </c>
      <c r="AG1024" s="34" t="n">
        <v>45771</v>
      </c>
      <c r="AH1024" s="15" t="n">
        <v>28.35</v>
      </c>
      <c r="AI1024" s="15" t="n">
        <v>27.65</v>
      </c>
      <c r="AJ1024" s="34" t="n">
        <v>45771</v>
      </c>
    </row>
    <row r="1025">
      <c r="A1025" s="34" t="n">
        <v>45772</v>
      </c>
      <c r="B1025" s="266" t="n">
        <v>1.061900019645691</v>
      </c>
      <c r="C1025" s="34" t="n">
        <v>45772</v>
      </c>
      <c r="D1025" s="15" t="n">
        <v>10</v>
      </c>
      <c r="E1025" s="15" t="n">
        <v>15.54</v>
      </c>
      <c r="F1025" s="34" t="n">
        <v>45772</v>
      </c>
      <c r="G1025" s="15" t="n">
        <v>50.65</v>
      </c>
      <c r="H1025" s="15" t="n">
        <v>74.47</v>
      </c>
      <c r="I1025" s="34" t="n">
        <v>45772</v>
      </c>
      <c r="J1025" s="15" t="n">
        <v>13.14</v>
      </c>
      <c r="K1025" s="15" t="n">
        <v>20.45</v>
      </c>
      <c r="L1025" s="34" t="n">
        <v>45772</v>
      </c>
      <c r="M1025" s="15" t="n">
        <v>22.75</v>
      </c>
      <c r="N1025" s="15" t="n">
        <v>28.79</v>
      </c>
      <c r="O1025" s="34" t="n">
        <v>45772</v>
      </c>
      <c r="P1025" s="15" t="n">
        <v>50.85</v>
      </c>
      <c r="Q1025" s="15" t="n">
        <v>63</v>
      </c>
      <c r="R1025" s="34" t="n">
        <v>45772</v>
      </c>
      <c r="S1025" s="15" t="n">
        <v>11.68</v>
      </c>
      <c r="V1025" s="15" t="n">
        <v>22.85</v>
      </c>
      <c r="W1025" s="15" t="n">
        <v>20.23</v>
      </c>
      <c r="X1025" s="34" t="n">
        <v>45772</v>
      </c>
      <c r="Y1025" s="15" t="n">
        <v>72.05</v>
      </c>
      <c r="Z1025" s="15" t="n">
        <v>72.75</v>
      </c>
      <c r="AA1025" s="34" t="n">
        <v>45772</v>
      </c>
      <c r="AB1025" s="15" t="n">
        <v>4.67</v>
      </c>
      <c r="AC1025" s="15" t="n">
        <v>9.6</v>
      </c>
      <c r="AD1025" s="34" t="n">
        <v>45772</v>
      </c>
      <c r="AE1025" s="15" t="n">
        <v>37.75</v>
      </c>
      <c r="AF1025" s="15" t="n">
        <v>43.36</v>
      </c>
      <c r="AG1025" s="34" t="n">
        <v>45772</v>
      </c>
      <c r="AH1025" s="15" t="n">
        <v>27.35</v>
      </c>
      <c r="AI1025" s="15" t="n">
        <v>27.1</v>
      </c>
      <c r="AJ1025" s="34" t="n">
        <v>45772</v>
      </c>
    </row>
    <row r="1026">
      <c r="A1026" s="34" t="n">
        <v>45775</v>
      </c>
      <c r="B1026" s="266" t="n">
        <v>1.064350962638855</v>
      </c>
      <c r="C1026" s="34" t="n">
        <v>45775</v>
      </c>
      <c r="D1026" s="15" t="n">
        <v>9.640000000000001</v>
      </c>
      <c r="E1026" s="15" t="n">
        <v>15.26</v>
      </c>
      <c r="F1026" s="34" t="n">
        <v>45775</v>
      </c>
      <c r="G1026" s="15" t="n">
        <v>53.45</v>
      </c>
      <c r="H1026" s="15" t="n">
        <v>77.33</v>
      </c>
      <c r="I1026" s="34" t="n">
        <v>45775</v>
      </c>
      <c r="J1026" s="15" t="n">
        <v>13.04</v>
      </c>
      <c r="K1026" s="15" t="n">
        <v>20.3</v>
      </c>
      <c r="L1026" s="34" t="n">
        <v>45775</v>
      </c>
      <c r="M1026" s="15" t="n">
        <v>22.5</v>
      </c>
      <c r="N1026" s="15" t="n">
        <v>28.12</v>
      </c>
      <c r="O1026" s="34" t="n">
        <v>45775</v>
      </c>
      <c r="P1026" s="15" t="n">
        <v>51.15</v>
      </c>
      <c r="Q1026" s="15" t="n">
        <v>63.05</v>
      </c>
      <c r="R1026" s="34" t="n">
        <v>45775</v>
      </c>
      <c r="S1026" s="15" t="n">
        <v>12.12</v>
      </c>
      <c r="V1026" s="15" t="n">
        <v>22.35</v>
      </c>
      <c r="W1026" s="15" t="n">
        <v>19.7</v>
      </c>
      <c r="X1026" s="34" t="n">
        <v>45775</v>
      </c>
      <c r="Y1026" s="15" t="n">
        <v>73.3</v>
      </c>
      <c r="Z1026" s="15" t="n">
        <v>73.23</v>
      </c>
      <c r="AA1026" s="34" t="n">
        <v>45775</v>
      </c>
      <c r="AB1026" s="15" t="n">
        <v>4.56</v>
      </c>
      <c r="AC1026" s="15" t="n">
        <v>9.42</v>
      </c>
      <c r="AD1026" s="34" t="n">
        <v>45775</v>
      </c>
      <c r="AE1026" s="15" t="n">
        <v>37.3</v>
      </c>
      <c r="AF1026" s="15" t="n">
        <v>43.22</v>
      </c>
      <c r="AG1026" s="34" t="n">
        <v>45775</v>
      </c>
      <c r="AH1026" s="15" t="n">
        <v>25.9</v>
      </c>
      <c r="AI1026" s="15" t="n">
        <v>26.68</v>
      </c>
      <c r="AJ1026" s="34" t="n">
        <v>45775</v>
      </c>
    </row>
    <row r="1027">
      <c r="A1027" s="34" t="n">
        <v>45776</v>
      </c>
      <c r="B1027" s="266" t="n">
        <v>1.063179969787598</v>
      </c>
      <c r="C1027" s="34" t="n">
        <v>45776</v>
      </c>
      <c r="D1027" s="15" t="n">
        <v>9.720000000000001</v>
      </c>
      <c r="E1027" s="15" t="n">
        <v>15.49</v>
      </c>
      <c r="F1027" s="34" t="n">
        <v>45776</v>
      </c>
      <c r="G1027" s="15" t="n">
        <v>55.95</v>
      </c>
      <c r="H1027" s="15" t="n">
        <v>81.90000000000001</v>
      </c>
      <c r="I1027" s="34" t="n">
        <v>45776</v>
      </c>
      <c r="J1027" s="15" t="n">
        <v>13.12</v>
      </c>
      <c r="K1027" s="15" t="n">
        <v>20.28</v>
      </c>
      <c r="L1027" s="34" t="n">
        <v>45776</v>
      </c>
      <c r="M1027" s="15" t="n">
        <v>23.15</v>
      </c>
      <c r="N1027" s="15" t="n">
        <v>28.6</v>
      </c>
      <c r="O1027" s="34" t="n">
        <v>45776</v>
      </c>
      <c r="P1027" s="15" t="n">
        <v>51.1</v>
      </c>
      <c r="Q1027" s="15" t="n">
        <v>62.32</v>
      </c>
      <c r="R1027" s="34" t="n">
        <v>45776</v>
      </c>
      <c r="S1027" s="15" t="n">
        <v>12.06</v>
      </c>
      <c r="V1027" s="15" t="n">
        <v>22.6</v>
      </c>
      <c r="W1027" s="15" t="n">
        <v>20.07</v>
      </c>
      <c r="X1027" s="34" t="n">
        <v>45776</v>
      </c>
      <c r="Y1027" s="15" t="n">
        <v>73.90000000000001</v>
      </c>
      <c r="Z1027" s="15" t="n">
        <v>74.2</v>
      </c>
      <c r="AA1027" s="34" t="n">
        <v>45776</v>
      </c>
      <c r="AB1027" s="15" t="n">
        <v>4.57</v>
      </c>
      <c r="AC1027" s="15" t="n">
        <v>9.48</v>
      </c>
      <c r="AD1027" s="34" t="n">
        <v>45776</v>
      </c>
      <c r="AE1027" s="15" t="n">
        <v>39.1</v>
      </c>
      <c r="AF1027" s="15" t="n">
        <v>43.36</v>
      </c>
      <c r="AG1027" s="34" t="n">
        <v>45776</v>
      </c>
      <c r="AH1027" s="15" t="n">
        <v>26.15</v>
      </c>
      <c r="AI1027" s="15" t="n">
        <v>26.53</v>
      </c>
      <c r="AJ1027" s="34" t="n">
        <v>45776</v>
      </c>
    </row>
    <row r="1028">
      <c r="A1028" s="34" t="n">
        <v>45777</v>
      </c>
      <c r="B1028" s="266" t="n">
        <v>1.067217946052551</v>
      </c>
      <c r="C1028" s="34" t="n">
        <v>45777</v>
      </c>
      <c r="D1028" s="15" t="n">
        <v>9.83</v>
      </c>
      <c r="E1028" s="15" t="n">
        <v>15.59</v>
      </c>
      <c r="F1028" s="34" t="n">
        <v>45777</v>
      </c>
      <c r="G1028" s="15" t="n">
        <v>55.1</v>
      </c>
      <c r="H1028" s="15" t="n">
        <v>82</v>
      </c>
      <c r="I1028" s="34" t="n">
        <v>45777</v>
      </c>
      <c r="J1028" s="15" t="n">
        <v>13.18</v>
      </c>
      <c r="K1028" s="15" t="n">
        <v>20.47</v>
      </c>
      <c r="L1028" s="34" t="n">
        <v>45777</v>
      </c>
      <c r="M1028" s="15" t="n">
        <v>23.1</v>
      </c>
      <c r="N1028" s="15" t="n">
        <v>28.81</v>
      </c>
      <c r="O1028" s="34" t="n">
        <v>45777</v>
      </c>
      <c r="P1028" s="15" t="n">
        <v>52.85</v>
      </c>
      <c r="Q1028" s="15" t="n">
        <v>63.4</v>
      </c>
      <c r="R1028" s="34" t="n">
        <v>45777</v>
      </c>
      <c r="S1028" s="15" t="n">
        <v>11.88</v>
      </c>
      <c r="V1028" s="15" t="n">
        <v>22.7</v>
      </c>
      <c r="W1028" s="15" t="n">
        <v>20.3</v>
      </c>
      <c r="X1028" s="34" t="n">
        <v>45777</v>
      </c>
      <c r="Y1028" s="15" t="n">
        <v>73.55</v>
      </c>
      <c r="Z1028" s="15" t="n">
        <v>73.62</v>
      </c>
      <c r="AA1028" s="34" t="n">
        <v>45777</v>
      </c>
      <c r="AB1028" s="15" t="n">
        <v>4.69</v>
      </c>
      <c r="AC1028" s="15" t="n">
        <v>9.74</v>
      </c>
      <c r="AD1028" s="34" t="n">
        <v>45777</v>
      </c>
      <c r="AE1028" s="15" t="n">
        <v>38.8</v>
      </c>
      <c r="AF1028" s="15" t="n">
        <v>43.52</v>
      </c>
      <c r="AG1028" s="34" t="n">
        <v>45777</v>
      </c>
      <c r="AH1028" s="15" t="n">
        <v>25.5</v>
      </c>
      <c r="AI1028" s="15" t="n">
        <v>26.27</v>
      </c>
      <c r="AJ1028" s="34" t="n">
        <v>45777</v>
      </c>
    </row>
    <row r="1029">
      <c r="A1029" s="34" t="n">
        <v>45779</v>
      </c>
      <c r="B1029" s="266" t="n">
        <v>1.066810965538025</v>
      </c>
      <c r="C1029" s="34" t="n">
        <v>45779</v>
      </c>
      <c r="D1029" s="15" t="n">
        <v>9.859999999999999</v>
      </c>
      <c r="E1029" s="15" t="n">
        <v>15.59</v>
      </c>
      <c r="F1029" s="34" t="n">
        <v>45777</v>
      </c>
      <c r="G1029" s="15" t="n">
        <v>57.35</v>
      </c>
      <c r="H1029" s="15" t="n">
        <v>82</v>
      </c>
      <c r="I1029" s="34" t="n">
        <v>45777</v>
      </c>
      <c r="J1029" s="15" t="n">
        <v>13.86</v>
      </c>
      <c r="K1029" s="15" t="n">
        <v>20.47</v>
      </c>
      <c r="L1029" s="34" t="n">
        <v>45777</v>
      </c>
      <c r="M1029" s="15" t="n">
        <v>23.45</v>
      </c>
      <c r="N1029" s="15" t="n">
        <v>28.81</v>
      </c>
      <c r="O1029" s="34" t="n">
        <v>45777</v>
      </c>
      <c r="P1029" s="15" t="n">
        <v>52.95</v>
      </c>
      <c r="Q1029" s="15" t="n">
        <v>63.4</v>
      </c>
      <c r="R1029" s="34" t="n">
        <v>45777</v>
      </c>
      <c r="S1029" s="15" t="n">
        <v>13.9</v>
      </c>
      <c r="V1029" s="15" t="n">
        <v>22.4</v>
      </c>
      <c r="W1029" s="15" t="n">
        <v>20.3</v>
      </c>
      <c r="X1029" s="34" t="n">
        <v>45777</v>
      </c>
      <c r="Y1029" s="15" t="n">
        <v>74.84999999999999</v>
      </c>
      <c r="Z1029" s="15" t="n">
        <v>73.62</v>
      </c>
      <c r="AA1029" s="34" t="n">
        <v>45777</v>
      </c>
      <c r="AB1029" s="15" t="n">
        <v>4.72</v>
      </c>
      <c r="AC1029" s="15" t="n">
        <v>9.74</v>
      </c>
      <c r="AD1029" s="34" t="n">
        <v>45777</v>
      </c>
      <c r="AE1029" s="15" t="n">
        <v>38.75</v>
      </c>
      <c r="AF1029" s="15" t="n">
        <v>43.52</v>
      </c>
      <c r="AG1029" s="34" t="n">
        <v>45777</v>
      </c>
      <c r="AH1029" s="15" t="n">
        <v>24.5</v>
      </c>
      <c r="AI1029" s="15" t="n">
        <v>26.27</v>
      </c>
      <c r="AJ1029" s="34" t="n">
        <v>45777</v>
      </c>
    </row>
    <row r="1030">
      <c r="A1030" s="34" t="n">
        <v>45783</v>
      </c>
      <c r="B1030" s="266" t="n">
        <v>1.065811991691589</v>
      </c>
      <c r="C1030" s="34" t="n">
        <v>45783</v>
      </c>
      <c r="D1030" s="15" t="n">
        <v>10.1</v>
      </c>
      <c r="E1030" s="15" t="n">
        <v>16.05</v>
      </c>
      <c r="F1030" s="34" t="n">
        <v>45783</v>
      </c>
      <c r="G1030" s="15" t="n">
        <v>57.5</v>
      </c>
      <c r="H1030" s="15" t="n">
        <v>83.02</v>
      </c>
      <c r="I1030" s="34" t="n">
        <v>45783</v>
      </c>
      <c r="J1030" s="15" t="n">
        <v>15.48</v>
      </c>
      <c r="K1030" s="15" t="n">
        <v>22.05</v>
      </c>
      <c r="L1030" s="34" t="n">
        <v>45783</v>
      </c>
      <c r="M1030" s="15" t="n">
        <v>23.35</v>
      </c>
      <c r="N1030" s="15" t="n">
        <v>29.13</v>
      </c>
      <c r="O1030" s="34" t="n">
        <v>45783</v>
      </c>
      <c r="P1030" s="15" t="n">
        <v>51.85</v>
      </c>
      <c r="Q1030" s="15" t="n">
        <v>63.56</v>
      </c>
      <c r="R1030" s="34" t="n">
        <v>45783</v>
      </c>
      <c r="S1030" s="15" t="n">
        <v>12.62</v>
      </c>
      <c r="V1030" s="15" t="n">
        <v>23.1</v>
      </c>
      <c r="W1030" s="15" t="n">
        <v>20.93</v>
      </c>
      <c r="X1030" s="34" t="n">
        <v>45783</v>
      </c>
      <c r="Y1030" s="15" t="n">
        <v>74.45</v>
      </c>
      <c r="Z1030" s="15" t="n">
        <v>74.05</v>
      </c>
      <c r="AA1030" s="34" t="n">
        <v>45783</v>
      </c>
      <c r="AB1030" s="15" t="n">
        <v>5.08</v>
      </c>
      <c r="AC1030" s="15" t="n">
        <v>10.1</v>
      </c>
      <c r="AD1030" s="34" t="n">
        <v>45783</v>
      </c>
      <c r="AE1030" s="15" t="n">
        <v>40</v>
      </c>
      <c r="AF1030" s="15" t="n">
        <v>43.8</v>
      </c>
      <c r="AG1030" s="34" t="n">
        <v>45783</v>
      </c>
      <c r="AH1030" s="15" t="n">
        <v>27.65</v>
      </c>
      <c r="AI1030" s="15" t="n">
        <v>27.24</v>
      </c>
      <c r="AJ1030" s="34" t="n">
        <v>45783</v>
      </c>
    </row>
    <row r="1031">
      <c r="A1031" s="34" t="n">
        <v>45784</v>
      </c>
      <c r="B1031" s="266" t="n">
        <v>1.073848009109497</v>
      </c>
      <c r="C1031" s="34" t="n">
        <v>45784</v>
      </c>
      <c r="D1031" s="15" t="n">
        <v>9.94</v>
      </c>
      <c r="E1031" s="15" t="n">
        <v>15.89</v>
      </c>
      <c r="F1031" s="34" t="n">
        <v>45784</v>
      </c>
      <c r="G1031" s="15" t="n">
        <v>54.55</v>
      </c>
      <c r="H1031" s="15" t="n">
        <v>81.8</v>
      </c>
      <c r="I1031" s="34" t="n">
        <v>45784</v>
      </c>
      <c r="J1031" s="15" t="n">
        <v>14.86</v>
      </c>
      <c r="K1031" s="15" t="n">
        <v>21.59</v>
      </c>
      <c r="L1031" s="34" t="n">
        <v>45784</v>
      </c>
      <c r="M1031" s="15" t="n">
        <v>23.4</v>
      </c>
      <c r="N1031" s="15" t="n">
        <v>28.98</v>
      </c>
      <c r="O1031" s="34" t="n">
        <v>45784</v>
      </c>
      <c r="P1031" s="15" t="n">
        <v>51</v>
      </c>
      <c r="Q1031" s="15" t="n">
        <v>63.4</v>
      </c>
      <c r="R1031" s="34" t="n">
        <v>45784</v>
      </c>
      <c r="S1031" s="15" t="n">
        <v>12.02</v>
      </c>
      <c r="V1031" s="15" t="n">
        <v>23</v>
      </c>
      <c r="W1031" s="15" t="n">
        <v>21.42</v>
      </c>
      <c r="X1031" s="34" t="n">
        <v>45784</v>
      </c>
      <c r="Y1031" s="15" t="n">
        <v>73.84999999999999</v>
      </c>
      <c r="Z1031" s="15" t="n">
        <v>74.36</v>
      </c>
      <c r="AA1031" s="34" t="n">
        <v>45784</v>
      </c>
      <c r="AB1031" s="15" t="n">
        <v>5.09</v>
      </c>
      <c r="AC1031" s="15" t="n">
        <v>10.15</v>
      </c>
      <c r="AD1031" s="34" t="n">
        <v>45784</v>
      </c>
      <c r="AE1031" s="15" t="n">
        <v>39.3</v>
      </c>
      <c r="AF1031" s="15" t="n">
        <v>43.93</v>
      </c>
      <c r="AG1031" s="34" t="n">
        <v>45784</v>
      </c>
      <c r="AH1031" s="15" t="n">
        <v>28.6</v>
      </c>
      <c r="AI1031" s="15" t="n">
        <v>27.44</v>
      </c>
      <c r="AJ1031" s="34" t="n">
        <v>45784</v>
      </c>
    </row>
    <row r="1032">
      <c r="A1032" s="34" t="n">
        <v>45785</v>
      </c>
      <c r="B1032" s="266" t="n">
        <v>1.07387101650238</v>
      </c>
      <c r="C1032" s="34" t="n">
        <v>45785</v>
      </c>
      <c r="D1032" s="15" t="n">
        <v>10.5</v>
      </c>
      <c r="E1032" s="15" t="n">
        <v>16.35</v>
      </c>
      <c r="F1032" s="34" t="n">
        <v>45785</v>
      </c>
      <c r="G1032" s="15" t="n">
        <v>54.1</v>
      </c>
      <c r="H1032" s="15" t="n">
        <v>80.40000000000001</v>
      </c>
      <c r="I1032" s="34" t="n">
        <v>45785</v>
      </c>
      <c r="J1032" s="15" t="n">
        <v>15.04</v>
      </c>
      <c r="K1032" s="15" t="n">
        <v>21.55</v>
      </c>
      <c r="L1032" s="34" t="n">
        <v>45785</v>
      </c>
      <c r="M1032" s="15" t="n">
        <v>23.6</v>
      </c>
      <c r="N1032" s="15" t="n">
        <v>29.4</v>
      </c>
      <c r="O1032" s="34" t="n">
        <v>45785</v>
      </c>
      <c r="P1032" s="15" t="n">
        <v>50.7</v>
      </c>
      <c r="Q1032" s="15" t="n">
        <v>63.27</v>
      </c>
      <c r="R1032" s="34" t="n">
        <v>45785</v>
      </c>
      <c r="S1032" s="15" t="n">
        <v>12</v>
      </c>
      <c r="V1032" s="15" t="n">
        <v>22.9</v>
      </c>
      <c r="W1032" s="15" t="n">
        <v>21.48</v>
      </c>
      <c r="X1032" s="34" t="n">
        <v>45785</v>
      </c>
      <c r="Y1032" s="15" t="n">
        <v>74.65000000000001</v>
      </c>
      <c r="Z1032" s="15" t="n">
        <v>75</v>
      </c>
      <c r="AA1032" s="34" t="n">
        <v>45785</v>
      </c>
      <c r="AB1032" s="15" t="n">
        <v>5.19</v>
      </c>
      <c r="AC1032" s="15" t="n">
        <v>10.28</v>
      </c>
      <c r="AD1032" s="34" t="n">
        <v>45785</v>
      </c>
      <c r="AE1032" s="15" t="n">
        <v>39.5</v>
      </c>
      <c r="AF1032" s="15" t="n">
        <v>43.53</v>
      </c>
      <c r="AG1032" s="34" t="n">
        <v>45785</v>
      </c>
      <c r="AH1032" s="15" t="n">
        <v>27.25</v>
      </c>
      <c r="AI1032" s="15" t="n">
        <v>26.66</v>
      </c>
      <c r="AJ1032" s="34" t="n">
        <v>45785</v>
      </c>
      <c r="AK1032" s="15" t="n">
        <v>26.6</v>
      </c>
      <c r="AL1032" s="15" t="n">
        <v>42.09</v>
      </c>
      <c r="AM1032" s="34" t="n">
        <v>45785</v>
      </c>
    </row>
    <row r="1033">
      <c r="A1033" s="34" t="n">
        <v>45786</v>
      </c>
      <c r="B1033" s="266" t="n">
        <v>1.076066970825195</v>
      </c>
      <c r="C1033" s="34" t="n">
        <v>45786</v>
      </c>
      <c r="D1033" s="15" t="n">
        <v>10.28</v>
      </c>
      <c r="E1033" s="15" t="n">
        <v>16.13</v>
      </c>
      <c r="F1033" s="34" t="n">
        <v>45786</v>
      </c>
      <c r="G1033" s="15" t="n">
        <v>53.85</v>
      </c>
      <c r="H1033" s="15" t="n">
        <v>81.31999999999999</v>
      </c>
      <c r="I1033" s="34" t="n">
        <v>45786</v>
      </c>
      <c r="J1033" s="15" t="n">
        <v>14.68</v>
      </c>
      <c r="K1033" s="15" t="n">
        <v>21.27</v>
      </c>
      <c r="L1033" s="34" t="n">
        <v>45786</v>
      </c>
      <c r="M1033" s="15" t="n">
        <v>23.35</v>
      </c>
      <c r="N1033" s="15" t="n">
        <v>29.15</v>
      </c>
      <c r="O1033" s="34" t="n">
        <v>45786</v>
      </c>
      <c r="P1033" s="15" t="n">
        <v>50.7</v>
      </c>
      <c r="Q1033" s="15" t="n">
        <v>62.72</v>
      </c>
      <c r="R1033" s="34" t="n">
        <v>45786</v>
      </c>
      <c r="S1033" s="15" t="n">
        <v>12.14</v>
      </c>
      <c r="V1033" s="15" t="n">
        <v>22.95</v>
      </c>
      <c r="W1033" s="15" t="n">
        <v>21.17</v>
      </c>
      <c r="X1033" s="34" t="n">
        <v>45786</v>
      </c>
      <c r="Y1033" s="15" t="n">
        <v>76.2</v>
      </c>
      <c r="Z1033" s="15" t="n">
        <v>75.8</v>
      </c>
      <c r="AA1033" s="34" t="n">
        <v>45786</v>
      </c>
      <c r="AB1033" s="15" t="n">
        <v>5.17</v>
      </c>
      <c r="AC1033" s="15" t="n">
        <v>10.18</v>
      </c>
      <c r="AD1033" s="34" t="n">
        <v>45786</v>
      </c>
      <c r="AE1033" s="15" t="n">
        <v>39.55</v>
      </c>
      <c r="AF1033" s="15" t="n">
        <v>43.67</v>
      </c>
      <c r="AG1033" s="34" t="n">
        <v>45786</v>
      </c>
      <c r="AH1033" s="15" t="n">
        <v>27.1</v>
      </c>
      <c r="AI1033" s="15" t="n">
        <v>26.87</v>
      </c>
      <c r="AJ1033" s="34" t="n">
        <v>45786</v>
      </c>
      <c r="AK1033" s="15" t="n">
        <v>24.6</v>
      </c>
      <c r="AL1033" s="15" t="n">
        <v>40.4</v>
      </c>
      <c r="AM1033" s="34" t="n">
        <v>45786</v>
      </c>
    </row>
    <row r="1034">
      <c r="A1034" s="34" t="n">
        <v>45789</v>
      </c>
      <c r="B1034" s="266" t="n">
        <v>1.074246048927307</v>
      </c>
      <c r="C1034" s="34" t="n">
        <v>45789</v>
      </c>
      <c r="D1034" s="15" t="n">
        <v>9.949999999999999</v>
      </c>
      <c r="E1034" s="15" t="n">
        <v>15.95</v>
      </c>
      <c r="F1034" s="34" t="n">
        <v>45789</v>
      </c>
      <c r="G1034" s="15" t="n">
        <v>53.7</v>
      </c>
      <c r="H1034" s="15" t="n">
        <v>81.02</v>
      </c>
      <c r="I1034" s="34" t="n">
        <v>45789</v>
      </c>
      <c r="J1034" s="15" t="n">
        <v>15.16</v>
      </c>
      <c r="K1034" s="15" t="n">
        <v>21.71</v>
      </c>
      <c r="L1034" s="34" t="n">
        <v>45789</v>
      </c>
      <c r="M1034" s="15" t="n">
        <v>24.45</v>
      </c>
      <c r="N1034" s="15" t="n">
        <v>29.73</v>
      </c>
      <c r="O1034" s="34" t="n">
        <v>45789</v>
      </c>
      <c r="P1034" s="15" t="n">
        <v>51.1</v>
      </c>
      <c r="Q1034" s="15" t="n">
        <v>62.57</v>
      </c>
      <c r="R1034" s="34" t="n">
        <v>45789</v>
      </c>
      <c r="S1034" s="15" t="n">
        <v>11.76</v>
      </c>
      <c r="V1034" s="15" t="n">
        <v>23.85</v>
      </c>
      <c r="W1034" s="15" t="n">
        <v>21.58</v>
      </c>
      <c r="X1034" s="34" t="n">
        <v>45789</v>
      </c>
      <c r="Y1034" s="15" t="n">
        <v>79.3</v>
      </c>
      <c r="Z1034" s="15" t="n">
        <v>76.58</v>
      </c>
      <c r="AA1034" s="34" t="n">
        <v>45789</v>
      </c>
      <c r="AB1034" s="15" t="n">
        <v>7.31</v>
      </c>
      <c r="AC1034" s="15" t="n">
        <v>11.2</v>
      </c>
      <c r="AD1034" s="34" t="n">
        <v>45789</v>
      </c>
      <c r="AE1034" s="15" t="n">
        <v>39.4</v>
      </c>
      <c r="AF1034" s="15" t="n">
        <v>43.15</v>
      </c>
      <c r="AG1034" s="34" t="n">
        <v>45789</v>
      </c>
      <c r="AH1034" s="15" t="n">
        <v>24.1</v>
      </c>
      <c r="AI1034" s="15" t="n">
        <v>26.48</v>
      </c>
      <c r="AJ1034" s="34" t="n">
        <v>45789</v>
      </c>
      <c r="AK1034" s="15" t="n">
        <v>24.3</v>
      </c>
      <c r="AL1034" s="15" t="n">
        <v>41.55</v>
      </c>
      <c r="AM1034" s="34" t="n">
        <v>45789</v>
      </c>
    </row>
    <row r="1035">
      <c r="A1035" s="34" t="n">
        <v>45790</v>
      </c>
      <c r="B1035" s="266" t="n">
        <v>1.081536054611206</v>
      </c>
      <c r="C1035" s="34" t="n">
        <v>45790</v>
      </c>
      <c r="D1035" s="15" t="n">
        <v>9.960000000000001</v>
      </c>
      <c r="E1035" s="15" t="n">
        <v>16.22</v>
      </c>
      <c r="F1035" s="34" t="n">
        <v>45790</v>
      </c>
      <c r="G1035" s="15" t="n">
        <v>54.45</v>
      </c>
      <c r="H1035" s="15" t="n">
        <v>80.91</v>
      </c>
      <c r="I1035" s="34" t="n">
        <v>45790</v>
      </c>
      <c r="J1035" s="15" t="n">
        <v>14.42</v>
      </c>
      <c r="K1035" s="15" t="n">
        <v>21.06</v>
      </c>
      <c r="L1035" s="34" t="n">
        <v>45790</v>
      </c>
      <c r="M1035" s="15" t="n">
        <v>24.05</v>
      </c>
      <c r="N1035" s="15" t="n">
        <v>29.81</v>
      </c>
      <c r="O1035" s="34" t="n">
        <v>45790</v>
      </c>
      <c r="P1035" s="15" t="n">
        <v>50.65</v>
      </c>
      <c r="Q1035" s="15" t="n">
        <v>62.51</v>
      </c>
      <c r="R1035" s="34" t="n">
        <v>45790</v>
      </c>
      <c r="S1035" s="15" t="n">
        <v>12.02</v>
      </c>
      <c r="V1035" s="15" t="n">
        <v>23.55</v>
      </c>
      <c r="W1035" s="15" t="n">
        <v>21.35</v>
      </c>
      <c r="X1035" s="34" t="n">
        <v>45790</v>
      </c>
      <c r="Y1035" s="15" t="n">
        <v>79.05</v>
      </c>
      <c r="Z1035" s="15" t="n">
        <v>77.11</v>
      </c>
      <c r="AA1035" s="34" t="n">
        <v>45790</v>
      </c>
      <c r="AB1035" s="15" t="n">
        <v>6.46</v>
      </c>
      <c r="AC1035" s="15" t="n">
        <v>11.66</v>
      </c>
      <c r="AD1035" s="34" t="n">
        <v>45790</v>
      </c>
      <c r="AE1035" s="15" t="n">
        <v>38.6</v>
      </c>
      <c r="AF1035" s="15" t="n">
        <v>43.37</v>
      </c>
      <c r="AG1035" s="34" t="n">
        <v>45790</v>
      </c>
      <c r="AH1035" s="15" t="n">
        <v>25.35</v>
      </c>
      <c r="AI1035" s="15" t="n">
        <v>26.76</v>
      </c>
      <c r="AJ1035" s="34" t="n">
        <v>45790</v>
      </c>
      <c r="AK1035" s="15" t="n">
        <v>24.65</v>
      </c>
      <c r="AL1035" s="15" t="n">
        <v>43.53</v>
      </c>
      <c r="AM1035" s="34" t="n">
        <v>45790</v>
      </c>
    </row>
    <row r="1036">
      <c r="A1036" s="34" t="n">
        <v>45791</v>
      </c>
      <c r="B1036" s="266" t="n">
        <v>1.081884980201721</v>
      </c>
      <c r="C1036" s="34" t="n">
        <v>45791</v>
      </c>
      <c r="D1036" s="15" t="n">
        <v>9.84</v>
      </c>
      <c r="E1036" s="15" t="n">
        <v>16.07</v>
      </c>
      <c r="F1036" s="34" t="n">
        <v>45791</v>
      </c>
      <c r="G1036" s="15" t="n">
        <v>55.35</v>
      </c>
      <c r="H1036" s="15" t="n">
        <v>80.7</v>
      </c>
      <c r="I1036" s="34" t="n">
        <v>45791</v>
      </c>
      <c r="J1036" s="15" t="n">
        <v>14.68</v>
      </c>
      <c r="K1036" s="15" t="n">
        <v>21.65</v>
      </c>
      <c r="L1036" s="34" t="n">
        <v>45791</v>
      </c>
      <c r="M1036" s="15" t="n">
        <v>24.65</v>
      </c>
      <c r="N1036" s="15" t="n">
        <v>30.23</v>
      </c>
      <c r="O1036" s="34" t="n">
        <v>45791</v>
      </c>
      <c r="P1036" s="15" t="n">
        <v>50.95</v>
      </c>
      <c r="Q1036" s="15" t="n">
        <v>62.58</v>
      </c>
      <c r="R1036" s="34" t="n">
        <v>45791</v>
      </c>
      <c r="S1036" s="15" t="n">
        <v>11.98</v>
      </c>
      <c r="V1036" s="15" t="n">
        <v>23.15</v>
      </c>
      <c r="W1036" s="15" t="n">
        <v>21.3</v>
      </c>
      <c r="X1036" s="34" t="n">
        <v>45791</v>
      </c>
      <c r="Y1036" s="15" t="n">
        <v>78.09999999999999</v>
      </c>
      <c r="Z1036" s="15" t="n">
        <v>77.09</v>
      </c>
      <c r="AA1036" s="34" t="n">
        <v>45791</v>
      </c>
      <c r="AB1036" s="15" t="n">
        <v>6.82</v>
      </c>
      <c r="AC1036" s="15" t="n">
        <v>12.23</v>
      </c>
      <c r="AD1036" s="34" t="n">
        <v>45791</v>
      </c>
      <c r="AE1036" s="15" t="n">
        <v>38.75</v>
      </c>
      <c r="AF1036" s="15" t="n">
        <v>43.99</v>
      </c>
      <c r="AG1036" s="34" t="n">
        <v>45791</v>
      </c>
      <c r="AH1036" s="15" t="n">
        <v>24.9</v>
      </c>
      <c r="AI1036" s="15" t="n">
        <v>26.33</v>
      </c>
      <c r="AJ1036" s="34" t="n">
        <v>45791</v>
      </c>
      <c r="AK1036" s="15" t="n">
        <v>24.2</v>
      </c>
      <c r="AL1036" s="15" t="n">
        <v>41.92</v>
      </c>
      <c r="AM1036" s="34" t="n">
        <v>45791</v>
      </c>
    </row>
    <row r="1037">
      <c r="A1037" s="34" t="n">
        <v>45792</v>
      </c>
      <c r="B1037" s="266" t="n">
        <v>1.082641005516052</v>
      </c>
      <c r="C1037" s="34" t="n">
        <v>45792</v>
      </c>
      <c r="D1037" s="15" t="n">
        <v>9.67</v>
      </c>
      <c r="E1037" s="15" t="n">
        <v>15.8</v>
      </c>
      <c r="F1037" s="34" t="n">
        <v>45792</v>
      </c>
      <c r="G1037" s="15" t="n">
        <v>56.3</v>
      </c>
      <c r="H1037" s="15" t="n">
        <v>83.05</v>
      </c>
      <c r="I1037" s="34" t="n">
        <v>45792</v>
      </c>
      <c r="J1037" s="15" t="n">
        <v>14.68</v>
      </c>
      <c r="K1037" s="15" t="n">
        <v>21.31</v>
      </c>
      <c r="L1037" s="34" t="n">
        <v>45792</v>
      </c>
      <c r="M1037" s="15" t="n">
        <v>23.5</v>
      </c>
      <c r="N1037" s="15" t="n">
        <v>29.39</v>
      </c>
      <c r="O1037" s="34" t="n">
        <v>45792</v>
      </c>
      <c r="P1037" s="15" t="n">
        <v>50.45</v>
      </c>
      <c r="Q1037" s="15" t="n">
        <v>61.73</v>
      </c>
      <c r="R1037" s="34" t="n">
        <v>45792</v>
      </c>
      <c r="S1037" s="15" t="n">
        <v>11.86</v>
      </c>
      <c r="V1037" s="15" t="n">
        <v>22.9</v>
      </c>
      <c r="W1037" s="15" t="n">
        <v>20.98</v>
      </c>
      <c r="X1037" s="34" t="n">
        <v>45792</v>
      </c>
      <c r="Y1037" s="15" t="n">
        <v>78.2</v>
      </c>
      <c r="Z1037" s="15" t="n">
        <v>76.5</v>
      </c>
      <c r="AA1037" s="34" t="n">
        <v>45792</v>
      </c>
      <c r="AB1037" s="15" t="n">
        <v>6.56</v>
      </c>
      <c r="AC1037" s="15" t="n">
        <v>11.47</v>
      </c>
      <c r="AD1037" s="34" t="n">
        <v>45792</v>
      </c>
      <c r="AE1037" s="15" t="n">
        <v>38.65</v>
      </c>
      <c r="AF1037" s="15" t="n">
        <v>43.78</v>
      </c>
      <c r="AG1037" s="34" t="n">
        <v>45792</v>
      </c>
      <c r="AH1037" s="15" t="n">
        <v>24.25</v>
      </c>
      <c r="AI1037" s="15" t="n">
        <v>26.08</v>
      </c>
      <c r="AJ1037" s="34" t="n">
        <v>45792</v>
      </c>
      <c r="AK1037" s="15" t="n">
        <v>22.95</v>
      </c>
      <c r="AL1037" s="15" t="n">
        <v>40.58</v>
      </c>
      <c r="AM1037" s="34" t="n">
        <v>45792</v>
      </c>
    </row>
    <row r="1038">
      <c r="A1038" s="34" t="n">
        <v>45793</v>
      </c>
      <c r="B1038" s="266" t="n">
        <v>1.082918047904968</v>
      </c>
      <c r="C1038" s="34" t="n">
        <v>45793</v>
      </c>
      <c r="D1038" s="15" t="n">
        <v>9.699999999999999</v>
      </c>
      <c r="E1038" s="15" t="n">
        <v>15.85</v>
      </c>
      <c r="F1038" s="34" t="n">
        <v>45793</v>
      </c>
      <c r="G1038" s="15" t="n">
        <v>56.4</v>
      </c>
      <c r="H1038" s="15" t="n">
        <v>80.94</v>
      </c>
      <c r="I1038" s="34" t="n">
        <v>45793</v>
      </c>
      <c r="J1038" s="15" t="n">
        <v>14.7</v>
      </c>
      <c r="K1038" s="15" t="n">
        <v>21.66</v>
      </c>
      <c r="L1038" s="34" t="n">
        <v>45793</v>
      </c>
      <c r="M1038" s="15" t="n">
        <v>23.25</v>
      </c>
      <c r="N1038" s="15" t="n">
        <v>29.15</v>
      </c>
      <c r="O1038" s="34" t="n">
        <v>45793</v>
      </c>
      <c r="P1038" s="15" t="n">
        <v>51.4</v>
      </c>
      <c r="Q1038" s="15" t="n">
        <v>62.87</v>
      </c>
      <c r="R1038" s="34" t="n">
        <v>45793</v>
      </c>
      <c r="S1038" s="15" t="n">
        <v>12.02</v>
      </c>
      <c r="V1038" s="15" t="n">
        <v>22.75</v>
      </c>
      <c r="W1038" s="15" t="n">
        <v>21.01</v>
      </c>
      <c r="X1038" s="34" t="n">
        <v>45793</v>
      </c>
      <c r="Y1038" s="15" t="n">
        <v>77.90000000000001</v>
      </c>
      <c r="Z1038" s="15" t="n">
        <v>76.59999999999999</v>
      </c>
      <c r="AA1038" s="34" t="n">
        <v>45793</v>
      </c>
      <c r="AB1038" s="15" t="n">
        <v>6.11</v>
      </c>
      <c r="AC1038" s="15" t="n">
        <v>11.21</v>
      </c>
      <c r="AD1038" s="34" t="n">
        <v>45793</v>
      </c>
      <c r="AE1038" s="15" t="n">
        <v>38.2</v>
      </c>
      <c r="AF1038" s="15" t="n">
        <v>43.15</v>
      </c>
      <c r="AG1038" s="34" t="n">
        <v>45793</v>
      </c>
      <c r="AH1038" s="15" t="n">
        <v>24.65</v>
      </c>
      <c r="AI1038" s="15" t="n">
        <v>26.03</v>
      </c>
      <c r="AJ1038" s="34" t="n">
        <v>45793</v>
      </c>
      <c r="AK1038" s="15" t="n">
        <v>23.25</v>
      </c>
      <c r="AL1038" s="15" t="n">
        <v>40.55</v>
      </c>
      <c r="AM1038" s="34" t="n">
        <v>45793</v>
      </c>
    </row>
    <row r="1039">
      <c r="A1039" s="34" t="n">
        <v>45796</v>
      </c>
      <c r="B1039" s="266" t="n">
        <v>1.083842992782593</v>
      </c>
      <c r="C1039" s="34" t="n">
        <v>45796</v>
      </c>
      <c r="D1039" s="15" t="n">
        <v>9.83</v>
      </c>
      <c r="E1039" s="15" t="n">
        <v>15.99</v>
      </c>
      <c r="F1039" s="34" t="n">
        <v>45796</v>
      </c>
      <c r="G1039" s="15" t="n">
        <v>56.65</v>
      </c>
      <c r="H1039" s="15" t="n">
        <v>80.67</v>
      </c>
      <c r="I1039" s="34" t="n">
        <v>45796</v>
      </c>
      <c r="J1039" s="15" t="n">
        <v>14.22</v>
      </c>
      <c r="K1039" s="15" t="n">
        <v>20.74</v>
      </c>
      <c r="L1039" s="34" t="n">
        <v>45796</v>
      </c>
      <c r="M1039" s="15" t="n">
        <v>23.35</v>
      </c>
      <c r="N1039" s="15" t="n">
        <v>29.29</v>
      </c>
      <c r="O1039" s="34" t="n">
        <v>45796</v>
      </c>
      <c r="P1039" s="15" t="n">
        <v>50.75</v>
      </c>
      <c r="Q1039" s="15" t="n">
        <v>61.88</v>
      </c>
      <c r="R1039" s="34" t="n">
        <v>45796</v>
      </c>
      <c r="S1039" s="15" t="n">
        <v>12.1</v>
      </c>
      <c r="V1039" s="15" t="n">
        <v>22.95</v>
      </c>
      <c r="W1039" s="15" t="n">
        <v>21.7</v>
      </c>
      <c r="X1039" s="34" t="n">
        <v>45796</v>
      </c>
      <c r="Y1039" s="15" t="n">
        <v>80.2</v>
      </c>
      <c r="Z1039" s="15" t="n">
        <v>77.58</v>
      </c>
      <c r="AA1039" s="34" t="n">
        <v>45796</v>
      </c>
      <c r="AB1039" s="15" t="n">
        <v>6.08</v>
      </c>
      <c r="AC1039" s="15" t="n">
        <v>11.08</v>
      </c>
      <c r="AD1039" s="34" t="n">
        <v>45796</v>
      </c>
      <c r="AE1039" s="15" t="n">
        <v>38.35</v>
      </c>
      <c r="AF1039" s="15" t="n">
        <v>43</v>
      </c>
      <c r="AG1039" s="34" t="n">
        <v>45796</v>
      </c>
      <c r="AH1039" s="15" t="n">
        <v>25.45</v>
      </c>
      <c r="AI1039" s="15" t="n">
        <v>26.03</v>
      </c>
      <c r="AJ1039" s="34" t="n">
        <v>45796</v>
      </c>
      <c r="AK1039" s="15" t="n">
        <v>24.7</v>
      </c>
      <c r="AL1039" s="15" t="n">
        <v>40.77</v>
      </c>
      <c r="AM1039" s="34" t="n">
        <v>45796</v>
      </c>
    </row>
    <row r="1040">
      <c r="A1040" s="34" t="n">
        <v>45797</v>
      </c>
      <c r="B1040" s="266" t="n">
        <v>1.08473801612854</v>
      </c>
      <c r="C1040" s="34" t="n">
        <v>45797</v>
      </c>
      <c r="D1040" s="15" t="n">
        <v>10.16</v>
      </c>
      <c r="E1040" s="15" t="n">
        <v>16.47</v>
      </c>
      <c r="F1040" s="34" t="n">
        <v>45797</v>
      </c>
      <c r="G1040" s="15" t="n">
        <v>58.4</v>
      </c>
      <c r="H1040" s="15" t="n">
        <v>81.78</v>
      </c>
      <c r="I1040" s="34" t="n">
        <v>45797</v>
      </c>
      <c r="J1040" s="15" t="n">
        <v>14.28</v>
      </c>
      <c r="K1040" s="15" t="n">
        <v>20.79</v>
      </c>
      <c r="L1040" s="34" t="n">
        <v>45797</v>
      </c>
      <c r="M1040" s="15" t="n">
        <v>23.35</v>
      </c>
      <c r="N1040" s="15" t="n">
        <v>29.29</v>
      </c>
      <c r="O1040" s="34" t="n">
        <v>45797</v>
      </c>
      <c r="P1040" s="15" t="n">
        <v>51</v>
      </c>
      <c r="Q1040" s="15" t="n">
        <v>61.91</v>
      </c>
      <c r="R1040" s="34" t="n">
        <v>45797</v>
      </c>
      <c r="S1040" s="15" t="n">
        <v>12.66</v>
      </c>
      <c r="V1040" s="15" t="n">
        <v>23.15</v>
      </c>
      <c r="W1040" s="15" t="n">
        <v>21.72</v>
      </c>
      <c r="X1040" s="34" t="n">
        <v>45797</v>
      </c>
      <c r="Y1040" s="15" t="n">
        <v>81.7</v>
      </c>
      <c r="Z1040" s="15" t="n">
        <v>78.67</v>
      </c>
      <c r="AA1040" s="34" t="n">
        <v>45797</v>
      </c>
      <c r="AB1040" s="15" t="n">
        <v>5.99</v>
      </c>
      <c r="AC1040" s="15" t="n">
        <v>11.12</v>
      </c>
      <c r="AD1040" s="34" t="n">
        <v>45797</v>
      </c>
      <c r="AE1040" s="15" t="n">
        <v>40.1</v>
      </c>
      <c r="AF1040" s="15" t="n">
        <v>45.85</v>
      </c>
      <c r="AG1040" s="34" t="n">
        <v>45797</v>
      </c>
      <c r="AH1040" s="15" t="n">
        <v>25.65</v>
      </c>
      <c r="AI1040" s="15" t="n">
        <v>26.34</v>
      </c>
      <c r="AJ1040" s="34" t="n">
        <v>45797</v>
      </c>
      <c r="AK1040" s="15" t="n">
        <v>26</v>
      </c>
      <c r="AL1040" s="15" t="n">
        <v>40.77</v>
      </c>
      <c r="AM1040" s="34" t="n">
        <v>45797</v>
      </c>
      <c r="AN1040" s="15" t="n">
        <v>306.2</v>
      </c>
      <c r="AO1040" s="15" t="n">
        <v>263</v>
      </c>
      <c r="AP1040" s="34" t="n">
        <v>45797</v>
      </c>
    </row>
    <row r="1041">
      <c r="A1041" s="34" t="n">
        <v>45798</v>
      </c>
      <c r="B1041" s="266" t="n">
        <v>1.084200024604797</v>
      </c>
      <c r="C1041" s="34" t="n">
        <v>45798</v>
      </c>
      <c r="D1041" s="15" t="n">
        <v>10.86</v>
      </c>
      <c r="E1041" s="15" t="n">
        <v>16.93</v>
      </c>
      <c r="F1041" s="34" t="n">
        <v>45798</v>
      </c>
      <c r="G1041" s="15" t="n">
        <v>66.05</v>
      </c>
      <c r="H1041" s="15" t="n">
        <v>86.15000000000001</v>
      </c>
      <c r="I1041" s="34" t="n">
        <v>45798</v>
      </c>
      <c r="J1041" s="15" t="n">
        <v>14.5</v>
      </c>
      <c r="K1041" s="15" t="n">
        <v>20.48</v>
      </c>
      <c r="L1041" s="34" t="n">
        <v>45798</v>
      </c>
      <c r="M1041" s="15" t="n">
        <v>24.3</v>
      </c>
      <c r="N1041" s="15" t="n">
        <v>29.53</v>
      </c>
      <c r="O1041" s="34" t="n">
        <v>45798</v>
      </c>
      <c r="P1041" s="15" t="n">
        <v>50.8</v>
      </c>
      <c r="Q1041" s="15" t="n">
        <v>61.9</v>
      </c>
      <c r="R1041" s="34" t="n">
        <v>45798</v>
      </c>
      <c r="S1041" s="15" t="n">
        <v>14.28</v>
      </c>
      <c r="V1041" s="15" t="n">
        <v>23</v>
      </c>
      <c r="W1041" s="15" t="n">
        <v>21.45</v>
      </c>
      <c r="X1041" s="34" t="n">
        <v>45798</v>
      </c>
      <c r="Y1041" s="15" t="n">
        <v>82.15000000000001</v>
      </c>
      <c r="Z1041" s="15" t="n">
        <v>78.8</v>
      </c>
      <c r="AA1041" s="34" t="n">
        <v>45798</v>
      </c>
      <c r="AB1041" s="15" t="n">
        <v>6.72</v>
      </c>
      <c r="AC1041" s="15" t="n">
        <v>12.23</v>
      </c>
      <c r="AD1041" s="34" t="n">
        <v>45798</v>
      </c>
      <c r="AE1041" s="15" t="n">
        <v>39.95</v>
      </c>
      <c r="AF1041" s="15" t="n">
        <v>46.5</v>
      </c>
      <c r="AG1041" s="34" t="n">
        <v>45798</v>
      </c>
      <c r="AH1041" s="15" t="n">
        <v>29.2</v>
      </c>
      <c r="AI1041" s="15" t="n">
        <v>27.82</v>
      </c>
      <c r="AJ1041" s="34" t="n">
        <v>45798</v>
      </c>
      <c r="AK1041" s="15" t="n">
        <v>26.4</v>
      </c>
      <c r="AL1041" s="15" t="n">
        <v>40.99</v>
      </c>
      <c r="AM1041" s="34" t="n">
        <v>45798</v>
      </c>
      <c r="AN1041" s="15" t="n">
        <v>337.4</v>
      </c>
      <c r="AO1041" s="15" t="n">
        <v>274.08</v>
      </c>
      <c r="AP1041" s="34" t="n">
        <v>45798</v>
      </c>
    </row>
    <row r="1042">
      <c r="A1042" s="34" t="n">
        <v>45799</v>
      </c>
      <c r="B1042" s="266" t="n">
        <v>1.086825013160706</v>
      </c>
      <c r="C1042" s="34" t="n">
        <v>45799</v>
      </c>
      <c r="D1042" s="15" t="n">
        <v>10.62</v>
      </c>
      <c r="E1042" s="15" t="n">
        <v>16.84</v>
      </c>
      <c r="F1042" s="34" t="n">
        <v>45799</v>
      </c>
      <c r="G1042" s="15" t="n">
        <v>65.15000000000001</v>
      </c>
      <c r="H1042" s="15" t="n">
        <v>86</v>
      </c>
      <c r="I1042" s="34" t="n">
        <v>45799</v>
      </c>
      <c r="J1042" s="15" t="n">
        <v>14.2</v>
      </c>
      <c r="K1042" s="15" t="n">
        <v>20.17</v>
      </c>
      <c r="L1042" s="34" t="n">
        <v>45799</v>
      </c>
      <c r="M1042" s="15" t="n">
        <v>24.45</v>
      </c>
      <c r="N1042" s="15" t="n">
        <v>29.6</v>
      </c>
      <c r="O1042" s="34" t="n">
        <v>45799</v>
      </c>
      <c r="P1042" s="15" t="n">
        <v>49.95</v>
      </c>
      <c r="Q1042" s="15" t="n">
        <v>61.24</v>
      </c>
      <c r="R1042" s="34" t="n">
        <v>45799</v>
      </c>
      <c r="S1042" s="15" t="n">
        <v>14.66</v>
      </c>
      <c r="V1042" s="15" t="n">
        <v>22.35</v>
      </c>
      <c r="W1042" s="15" t="n">
        <v>21.17</v>
      </c>
      <c r="X1042" s="34" t="n">
        <v>45799</v>
      </c>
      <c r="Y1042" s="15" t="n">
        <v>82</v>
      </c>
      <c r="Z1042" s="15" t="n">
        <v>79.36</v>
      </c>
      <c r="AA1042" s="34" t="n">
        <v>45799</v>
      </c>
      <c r="AB1042" s="15" t="n">
        <v>6.33</v>
      </c>
      <c r="AC1042" s="15" t="n">
        <v>11.74</v>
      </c>
      <c r="AD1042" s="34" t="n">
        <v>45799</v>
      </c>
      <c r="AE1042" s="15" t="n">
        <v>40.3</v>
      </c>
      <c r="AF1042" s="15" t="n">
        <v>46.25</v>
      </c>
      <c r="AG1042" s="34" t="n">
        <v>45799</v>
      </c>
      <c r="AH1042" s="15" t="n">
        <v>29</v>
      </c>
      <c r="AI1042" s="15" t="n">
        <v>27.49</v>
      </c>
      <c r="AJ1042" s="34" t="n">
        <v>45799</v>
      </c>
      <c r="AK1042" s="15" t="n">
        <v>26</v>
      </c>
      <c r="AL1042" s="15" t="n">
        <v>39.95</v>
      </c>
      <c r="AM1042" s="34" t="n">
        <v>45799</v>
      </c>
      <c r="AN1042" s="15" t="n">
        <v>329.8</v>
      </c>
      <c r="AO1042" s="15" t="n">
        <v>270.37</v>
      </c>
      <c r="AP1042" s="34" t="n">
        <v>45799</v>
      </c>
    </row>
    <row r="1043">
      <c r="A1043" s="34" t="n">
        <v>45800</v>
      </c>
      <c r="B1043" s="266" t="n">
        <v>1.086493015289307</v>
      </c>
      <c r="C1043" s="34" t="n">
        <v>45800</v>
      </c>
      <c r="D1043" s="15" t="n">
        <v>11.4</v>
      </c>
      <c r="E1043" s="15" t="n">
        <v>17.3</v>
      </c>
      <c r="F1043" s="34" t="n">
        <v>45800</v>
      </c>
      <c r="G1043" s="15" t="n">
        <v>67.59999999999999</v>
      </c>
      <c r="H1043" s="15" t="n">
        <v>86.45</v>
      </c>
      <c r="I1043" s="34" t="n">
        <v>45800</v>
      </c>
      <c r="J1043" s="15" t="n">
        <v>14.24</v>
      </c>
      <c r="K1043" s="15" t="n">
        <v>20.09</v>
      </c>
      <c r="L1043" s="34" t="n">
        <v>45800</v>
      </c>
      <c r="M1043" s="15" t="n">
        <v>25.05</v>
      </c>
      <c r="N1043" s="15" t="n">
        <v>30.17</v>
      </c>
      <c r="O1043" s="34" t="n">
        <v>45800</v>
      </c>
      <c r="P1043" s="15" t="n">
        <v>49.8</v>
      </c>
      <c r="Q1043" s="15" t="n">
        <v>60.88</v>
      </c>
      <c r="R1043" s="34" t="n">
        <v>45800</v>
      </c>
      <c r="S1043" s="15" t="n">
        <v>16.08</v>
      </c>
      <c r="V1043" s="15" t="n">
        <v>22.15</v>
      </c>
      <c r="W1043" s="15" t="n">
        <v>20.87</v>
      </c>
      <c r="X1043" s="34" t="n">
        <v>45800</v>
      </c>
      <c r="Y1043" s="15" t="n">
        <v>82.65000000000001</v>
      </c>
      <c r="Z1043" s="15" t="n">
        <v>78.89</v>
      </c>
      <c r="AA1043" s="34" t="n">
        <v>45800</v>
      </c>
      <c r="AB1043" s="15" t="n">
        <v>6.43</v>
      </c>
      <c r="AC1043" s="15" t="n">
        <v>12.32</v>
      </c>
      <c r="AD1043" s="34" t="n">
        <v>45800</v>
      </c>
      <c r="AE1043" s="15" t="n">
        <v>39.7</v>
      </c>
      <c r="AF1043" s="15" t="n">
        <v>45.63</v>
      </c>
      <c r="AG1043" s="34" t="n">
        <v>45800</v>
      </c>
      <c r="AH1043" s="15" t="n">
        <v>29.95</v>
      </c>
      <c r="AI1043" s="15" t="n">
        <v>28.36</v>
      </c>
      <c r="AJ1043" s="34" t="n">
        <v>45800</v>
      </c>
      <c r="AK1043" s="15" t="n">
        <v>25.8</v>
      </c>
      <c r="AL1043" s="15" t="n">
        <v>39.17</v>
      </c>
      <c r="AM1043" s="34" t="n">
        <v>45800</v>
      </c>
      <c r="AN1043" s="15" t="n">
        <v>322.4</v>
      </c>
      <c r="AO1043" s="15" t="n">
        <v>266.99</v>
      </c>
      <c r="AP1043" s="34" t="n">
        <v>45800</v>
      </c>
      <c r="AQ1043" s="15" t="n">
        <v>55.15</v>
      </c>
      <c r="AR1043" s="15" t="n">
        <v>54.5</v>
      </c>
      <c r="AS1043" s="34" t="n">
        <v>45800</v>
      </c>
    </row>
    <row r="1044">
      <c r="A1044" s="34" t="n">
        <v>45803</v>
      </c>
      <c r="B1044" s="266" t="n">
        <v>1.08673095703125</v>
      </c>
      <c r="C1044" s="34" t="n">
        <v>45803</v>
      </c>
      <c r="D1044" s="15" t="n">
        <v>11.44</v>
      </c>
      <c r="E1044" s="15" t="n">
        <v>16.93</v>
      </c>
      <c r="F1044" s="34" t="n">
        <v>45803</v>
      </c>
      <c r="G1044" s="15" t="n">
        <v>65.7</v>
      </c>
      <c r="H1044" s="15" t="n">
        <v>85.20999999999999</v>
      </c>
      <c r="I1044" s="34" t="n">
        <v>45803</v>
      </c>
      <c r="J1044" s="15" t="n">
        <v>14.22</v>
      </c>
      <c r="K1044" s="15" t="n">
        <v>20.22</v>
      </c>
      <c r="L1044" s="34" t="n">
        <v>45803</v>
      </c>
      <c r="M1044" s="15" t="n">
        <v>24.2</v>
      </c>
      <c r="N1044" s="15" t="n">
        <v>29.59</v>
      </c>
      <c r="O1044" s="34" t="n">
        <v>45803</v>
      </c>
      <c r="P1044" s="15" t="n">
        <v>49.45</v>
      </c>
      <c r="Q1044" s="15" t="n">
        <v>61.15</v>
      </c>
      <c r="R1044" s="34" t="n">
        <v>45803</v>
      </c>
      <c r="S1044" s="15" t="n">
        <v>15.62</v>
      </c>
      <c r="V1044" s="15" t="n">
        <v>22.2</v>
      </c>
      <c r="W1044" s="15" t="n">
        <v>21.11</v>
      </c>
      <c r="X1044" s="34" t="n">
        <v>45803</v>
      </c>
      <c r="Y1044" s="15" t="n">
        <v>81.3</v>
      </c>
      <c r="Z1044" s="15" t="n">
        <v>78.27</v>
      </c>
      <c r="AA1044" s="34" t="n">
        <v>45803</v>
      </c>
      <c r="AB1044" s="15" t="n">
        <v>6.21</v>
      </c>
      <c r="AC1044" s="15" t="n">
        <v>12.3</v>
      </c>
      <c r="AD1044" s="34" t="n">
        <v>45803</v>
      </c>
      <c r="AE1044" s="15" t="n">
        <v>38.9</v>
      </c>
      <c r="AF1044" s="15" t="n">
        <v>45.62</v>
      </c>
      <c r="AG1044" s="34" t="n">
        <v>45803</v>
      </c>
      <c r="AH1044" s="15" t="n">
        <v>29.15</v>
      </c>
      <c r="AI1044" s="15" t="n">
        <v>27.91</v>
      </c>
      <c r="AJ1044" s="34" t="n">
        <v>45803</v>
      </c>
      <c r="AK1044" s="15" t="n">
        <v>27.35</v>
      </c>
      <c r="AL1044" s="15" t="n">
        <v>39.16</v>
      </c>
      <c r="AM1044" s="34" t="n">
        <v>45803</v>
      </c>
      <c r="AN1044" s="15" t="n">
        <v>314</v>
      </c>
      <c r="AO1044" s="15" t="n">
        <v>255.9</v>
      </c>
      <c r="AP1044" s="34" t="n">
        <v>45803</v>
      </c>
      <c r="AQ1044" s="15" t="n">
        <v>53.7</v>
      </c>
      <c r="AR1044" s="15" t="n">
        <v>53.35</v>
      </c>
      <c r="AS1044" s="34" t="n">
        <v>45803</v>
      </c>
    </row>
    <row r="1045">
      <c r="A1045" s="34" t="n">
        <v>45804</v>
      </c>
      <c r="B1045" s="266" t="n">
        <v>1.087713956832886</v>
      </c>
      <c r="C1045" s="34" t="n">
        <v>45804</v>
      </c>
      <c r="D1045" s="15" t="n">
        <v>11.52</v>
      </c>
      <c r="E1045" s="15" t="n">
        <v>17.04</v>
      </c>
      <c r="F1045" s="34" t="n">
        <v>45804</v>
      </c>
      <c r="G1045" s="15" t="n">
        <v>68</v>
      </c>
      <c r="H1045" s="15" t="n">
        <v>89</v>
      </c>
      <c r="I1045" s="34" t="n">
        <v>45804</v>
      </c>
      <c r="J1045" s="15" t="n">
        <v>13.86</v>
      </c>
      <c r="K1045" s="15" t="n">
        <v>19.81</v>
      </c>
      <c r="L1045" s="34" t="n">
        <v>45804</v>
      </c>
      <c r="M1045" s="15" t="n">
        <v>24.25</v>
      </c>
      <c r="N1045" s="15" t="n">
        <v>29.88</v>
      </c>
      <c r="O1045" s="34" t="n">
        <v>45804</v>
      </c>
      <c r="P1045" s="15" t="n">
        <v>49.95</v>
      </c>
      <c r="Q1045" s="15" t="n">
        <v>61.18</v>
      </c>
      <c r="R1045" s="34" t="n">
        <v>45804</v>
      </c>
      <c r="S1045" s="15" t="n">
        <v>15.78</v>
      </c>
      <c r="V1045" s="15" t="n">
        <v>21.9</v>
      </c>
      <c r="W1045" s="15" t="n">
        <v>21.19</v>
      </c>
      <c r="X1045" s="34" t="n">
        <v>45804</v>
      </c>
      <c r="Y1045" s="15" t="n">
        <v>82.09999999999999</v>
      </c>
      <c r="Z1045" s="15" t="n">
        <v>78.48</v>
      </c>
      <c r="AA1045" s="34" t="n">
        <v>45804</v>
      </c>
      <c r="AB1045" s="15" t="n">
        <v>6.24</v>
      </c>
      <c r="AC1045" s="15" t="n">
        <v>12.54</v>
      </c>
      <c r="AD1045" s="34" t="n">
        <v>45804</v>
      </c>
      <c r="AE1045" s="15" t="n">
        <v>39.5</v>
      </c>
      <c r="AF1045" s="15" t="n">
        <v>45.37</v>
      </c>
      <c r="AG1045" s="34" t="n">
        <v>45804</v>
      </c>
      <c r="AH1045" s="15" t="n">
        <v>27.7</v>
      </c>
      <c r="AI1045" s="15" t="n">
        <v>26.72</v>
      </c>
      <c r="AJ1045" s="34" t="n">
        <v>45804</v>
      </c>
      <c r="AK1045" s="15" t="n">
        <v>28.65</v>
      </c>
      <c r="AL1045" s="15" t="n">
        <v>39.66</v>
      </c>
      <c r="AM1045" s="34" t="n">
        <v>45804</v>
      </c>
      <c r="AN1045" s="15" t="n">
        <v>309</v>
      </c>
      <c r="AO1045" s="15" t="n">
        <v>253.99</v>
      </c>
      <c r="AP1045" s="34" t="n">
        <v>45804</v>
      </c>
      <c r="AQ1045" s="15" t="n">
        <v>54.9</v>
      </c>
      <c r="AR1045" s="15" t="n">
        <v>53.42</v>
      </c>
      <c r="AS1045" s="34" t="n">
        <v>45804</v>
      </c>
      <c r="AT1045" s="15" t="n">
        <v>10.68</v>
      </c>
      <c r="AU1045" s="15" t="n">
        <v>14.04</v>
      </c>
      <c r="AV1045" s="34" t="n">
        <v>45804</v>
      </c>
    </row>
    <row r="1046">
      <c r="A1046" s="34" t="n">
        <v>45805</v>
      </c>
      <c r="B1046" s="266" t="n">
        <v>1.087921977043152</v>
      </c>
      <c r="C1046" s="34" t="n">
        <v>45805</v>
      </c>
      <c r="D1046" s="15" t="n">
        <v>11.06</v>
      </c>
      <c r="E1046" s="15" t="n">
        <v>16.52</v>
      </c>
      <c r="F1046" s="34" t="n">
        <v>45805</v>
      </c>
      <c r="G1046" s="15" t="n">
        <v>68.2</v>
      </c>
      <c r="H1046" s="15" t="n">
        <v>88.09999999999999</v>
      </c>
      <c r="I1046" s="34" t="n">
        <v>45805</v>
      </c>
      <c r="J1046" s="15" t="n">
        <v>13.88</v>
      </c>
      <c r="K1046" s="15" t="n">
        <v>19.72</v>
      </c>
      <c r="L1046" s="34" t="n">
        <v>45805</v>
      </c>
      <c r="M1046" s="15" t="n">
        <v>24</v>
      </c>
      <c r="N1046" s="15" t="n">
        <v>28.87</v>
      </c>
      <c r="O1046" s="34" t="n">
        <v>45805</v>
      </c>
      <c r="P1046" s="15" t="n">
        <v>50.45</v>
      </c>
      <c r="Q1046" s="15" t="n">
        <v>61.23</v>
      </c>
      <c r="R1046" s="34" t="n">
        <v>45805</v>
      </c>
      <c r="S1046" s="15" t="n">
        <v>15.38</v>
      </c>
      <c r="V1046" s="15" t="n">
        <v>21.4</v>
      </c>
      <c r="W1046" s="15" t="n">
        <v>20.9</v>
      </c>
      <c r="X1046" s="34" t="n">
        <v>45805</v>
      </c>
      <c r="Y1046" s="15" t="n">
        <v>82.8</v>
      </c>
      <c r="Z1046" s="15" t="n">
        <v>79.31999999999999</v>
      </c>
      <c r="AA1046" s="34" t="n">
        <v>45805</v>
      </c>
      <c r="AB1046" s="15" t="n">
        <v>6.02</v>
      </c>
      <c r="AC1046" s="15" t="n">
        <v>11.87</v>
      </c>
      <c r="AD1046" s="34" t="n">
        <v>45805</v>
      </c>
      <c r="AE1046" s="15" t="n">
        <v>40.2</v>
      </c>
      <c r="AF1046" s="15" t="n">
        <v>46.68</v>
      </c>
      <c r="AG1046" s="34" t="n">
        <v>45805</v>
      </c>
      <c r="AH1046" s="15" t="n">
        <v>28.35</v>
      </c>
      <c r="AI1046" s="15" t="n">
        <v>26.91</v>
      </c>
      <c r="AJ1046" s="34" t="n">
        <v>45805</v>
      </c>
      <c r="AK1046" s="15" t="n">
        <v>28.55</v>
      </c>
      <c r="AL1046" s="15" t="n">
        <v>38.63</v>
      </c>
      <c r="AM1046" s="34" t="n">
        <v>45805</v>
      </c>
      <c r="AN1046" s="15" t="n">
        <v>312</v>
      </c>
      <c r="AO1046" s="15" t="n">
        <v>253.6</v>
      </c>
      <c r="AP1046" s="34" t="n">
        <v>45805</v>
      </c>
      <c r="AQ1046" s="15" t="n">
        <v>57.5</v>
      </c>
      <c r="AR1046" s="15" t="n">
        <v>54.25</v>
      </c>
      <c r="AS1046" s="34" t="n">
        <v>45805</v>
      </c>
      <c r="AT1046" s="15" t="n">
        <v>10.04</v>
      </c>
      <c r="AU1046" s="15" t="n">
        <v>13.27</v>
      </c>
      <c r="AV1046" s="34" t="n">
        <v>45805</v>
      </c>
    </row>
    <row r="1047">
      <c r="A1047" s="34" t="n">
        <v>45806</v>
      </c>
      <c r="B1047" s="266" t="n">
        <v>1.087334990501404</v>
      </c>
      <c r="C1047" s="34" t="n">
        <v>45806</v>
      </c>
      <c r="D1047" s="15" t="n">
        <v>12.7</v>
      </c>
      <c r="E1047" s="15" t="n">
        <v>18.17</v>
      </c>
      <c r="F1047" s="34" t="n">
        <v>45806</v>
      </c>
      <c r="G1047" s="15" t="n">
        <v>72.84999999999999</v>
      </c>
      <c r="H1047" s="15" t="n">
        <v>93.09999999999999</v>
      </c>
      <c r="I1047" s="34" t="n">
        <v>45806</v>
      </c>
      <c r="J1047" s="15" t="n">
        <v>14.34</v>
      </c>
      <c r="K1047" s="15" t="n">
        <v>20.14</v>
      </c>
      <c r="L1047" s="34" t="n">
        <v>45806</v>
      </c>
      <c r="M1047" s="15" t="n">
        <v>24.8</v>
      </c>
      <c r="N1047" s="15" t="n">
        <v>29.3</v>
      </c>
      <c r="O1047" s="34" t="n">
        <v>45806</v>
      </c>
      <c r="P1047" s="15" t="n">
        <v>50.95</v>
      </c>
      <c r="Q1047" s="15" t="n">
        <v>61.63</v>
      </c>
      <c r="R1047" s="34" t="n">
        <v>45806</v>
      </c>
      <c r="S1047" s="15" t="n">
        <v>16.4</v>
      </c>
      <c r="V1047" s="15" t="n">
        <v>21.65</v>
      </c>
      <c r="W1047" s="15" t="n">
        <v>21.16</v>
      </c>
      <c r="X1047" s="34" t="n">
        <v>45806</v>
      </c>
      <c r="Y1047" s="15" t="n">
        <v>83.75</v>
      </c>
      <c r="Z1047" s="15" t="n">
        <v>78.98</v>
      </c>
      <c r="AA1047" s="34" t="n">
        <v>45806</v>
      </c>
      <c r="AB1047" s="15" t="n">
        <v>6</v>
      </c>
      <c r="AC1047" s="15" t="n">
        <v>11.6</v>
      </c>
      <c r="AD1047" s="34" t="n">
        <v>45806</v>
      </c>
      <c r="AE1047" s="15" t="n">
        <v>41.7</v>
      </c>
      <c r="AF1047" s="15" t="n">
        <v>46.52</v>
      </c>
      <c r="AG1047" s="34" t="n">
        <v>45806</v>
      </c>
      <c r="AH1047" s="15" t="n">
        <v>27.6</v>
      </c>
      <c r="AI1047" s="15" t="n">
        <v>26.54</v>
      </c>
      <c r="AJ1047" s="34" t="n">
        <v>45806</v>
      </c>
      <c r="AK1047" s="15" t="n">
        <v>28.45</v>
      </c>
      <c r="AL1047" s="15" t="n">
        <v>38.94</v>
      </c>
      <c r="AM1047" s="34" t="n">
        <v>45806</v>
      </c>
      <c r="AN1047" s="15" t="n">
        <v>308.6</v>
      </c>
      <c r="AO1047" s="15" t="n">
        <v>251.85</v>
      </c>
      <c r="AP1047" s="34" t="n">
        <v>45806</v>
      </c>
      <c r="AQ1047" s="15" t="n">
        <v>57.5</v>
      </c>
      <c r="AR1047" s="15" t="n">
        <v>54.1</v>
      </c>
      <c r="AS1047" s="34" t="n">
        <v>45806</v>
      </c>
      <c r="AT1047" s="15" t="n">
        <v>10.12</v>
      </c>
      <c r="AU1047" s="15" t="n">
        <v>13.56</v>
      </c>
      <c r="AV1047" s="34" t="n">
        <v>45806</v>
      </c>
    </row>
    <row r="1048">
      <c r="A1048" s="34" t="n">
        <v>45807</v>
      </c>
      <c r="B1048" s="266" t="n">
        <v>1.088281989097595</v>
      </c>
      <c r="C1048" s="34" t="n">
        <v>45807</v>
      </c>
      <c r="D1048" s="15" t="n">
        <v>14.18</v>
      </c>
      <c r="E1048" s="15" t="n">
        <v>19.1</v>
      </c>
      <c r="F1048" s="34" t="n">
        <v>45807</v>
      </c>
      <c r="G1048" s="15" t="n">
        <v>73.40000000000001</v>
      </c>
      <c r="H1048" s="15" t="n">
        <v>94.23</v>
      </c>
      <c r="I1048" s="34" t="n">
        <v>45807</v>
      </c>
      <c r="J1048" s="15" t="n">
        <v>14.24</v>
      </c>
      <c r="K1048" s="15" t="n">
        <v>19.87</v>
      </c>
      <c r="L1048" s="34" t="n">
        <v>45807</v>
      </c>
      <c r="M1048" s="15" t="n">
        <v>24.5</v>
      </c>
      <c r="N1048" s="15" t="n">
        <v>28.94</v>
      </c>
      <c r="O1048" s="34" t="n">
        <v>45807</v>
      </c>
      <c r="P1048" s="15" t="n">
        <v>49.8</v>
      </c>
      <c r="Q1048" s="15" t="n">
        <v>60.59</v>
      </c>
      <c r="R1048" s="34" t="n">
        <v>45807</v>
      </c>
      <c r="S1048" s="15" t="n">
        <v>17.8</v>
      </c>
      <c r="V1048" s="15" t="n">
        <v>22.45</v>
      </c>
      <c r="W1048" s="15" t="n">
        <v>20.63</v>
      </c>
      <c r="X1048" s="34" t="n">
        <v>45807</v>
      </c>
      <c r="Y1048" s="15" t="n">
        <v>82.40000000000001</v>
      </c>
      <c r="Z1048" s="15" t="n">
        <v>79.06</v>
      </c>
      <c r="AA1048" s="34" t="n">
        <v>45807</v>
      </c>
      <c r="AB1048" s="15" t="n">
        <v>5.89</v>
      </c>
      <c r="AC1048" s="15" t="n">
        <v>11.51</v>
      </c>
      <c r="AD1048" s="34" t="n">
        <v>45807</v>
      </c>
      <c r="AE1048" s="15" t="n">
        <v>40.9</v>
      </c>
      <c r="AF1048" s="15" t="n">
        <v>46.15</v>
      </c>
      <c r="AG1048" s="34" t="n">
        <v>45807</v>
      </c>
      <c r="AH1048" s="15" t="n">
        <v>27.75</v>
      </c>
      <c r="AI1048" s="15" t="n">
        <v>26.26</v>
      </c>
      <c r="AJ1048" s="34" t="n">
        <v>45807</v>
      </c>
      <c r="AK1048" s="15" t="n">
        <v>28.7</v>
      </c>
      <c r="AL1048" s="15" t="n">
        <v>37.93</v>
      </c>
      <c r="AM1048" s="34" t="n">
        <v>45807</v>
      </c>
      <c r="AN1048" s="15" t="n">
        <v>303.4</v>
      </c>
      <c r="AO1048" s="15" t="n">
        <v>250</v>
      </c>
      <c r="AP1048" s="34" t="n">
        <v>45807</v>
      </c>
      <c r="AQ1048" s="15" t="n">
        <v>58</v>
      </c>
      <c r="AR1048" s="15" t="n">
        <v>54.74</v>
      </c>
      <c r="AS1048" s="34" t="n">
        <v>45807</v>
      </c>
      <c r="AT1048" s="15" t="n">
        <v>9.710000000000001</v>
      </c>
      <c r="AU1048" s="15" t="n">
        <v>13.22</v>
      </c>
      <c r="AV1048" s="34" t="n">
        <v>45807</v>
      </c>
    </row>
    <row r="1049">
      <c r="A1049" s="34" t="n">
        <v>45810</v>
      </c>
      <c r="B1049" s="266" t="n">
        <v>1.088839054107666</v>
      </c>
      <c r="C1049" s="34" t="n">
        <v>45810</v>
      </c>
      <c r="D1049" s="15" t="n">
        <v>14.7</v>
      </c>
      <c r="E1049" s="15" t="n">
        <v>19.1</v>
      </c>
      <c r="F1049" s="34" t="n">
        <v>45807</v>
      </c>
      <c r="G1049" s="15" t="n">
        <v>71.95</v>
      </c>
      <c r="H1049" s="15" t="n">
        <v>94.23</v>
      </c>
      <c r="I1049" s="34" t="n">
        <v>45807</v>
      </c>
      <c r="J1049" s="15" t="n">
        <v>14.42</v>
      </c>
      <c r="K1049" s="15" t="n">
        <v>19.87</v>
      </c>
      <c r="L1049" s="34" t="n">
        <v>45807</v>
      </c>
      <c r="M1049" s="15" t="n">
        <v>24.5</v>
      </c>
      <c r="N1049" s="15" t="n">
        <v>28.94</v>
      </c>
      <c r="O1049" s="34" t="n">
        <v>45807</v>
      </c>
      <c r="P1049" s="15" t="n">
        <v>49.5</v>
      </c>
      <c r="Q1049" s="15" t="n">
        <v>60.59</v>
      </c>
      <c r="R1049" s="34" t="n">
        <v>45807</v>
      </c>
      <c r="S1049" s="15" t="n">
        <v>18.06</v>
      </c>
      <c r="V1049" s="15" t="n">
        <v>22.95</v>
      </c>
      <c r="W1049" s="15" t="n">
        <v>20.63</v>
      </c>
      <c r="X1049" s="34" t="n">
        <v>45807</v>
      </c>
      <c r="Y1049" s="15" t="n">
        <v>82.84999999999999</v>
      </c>
      <c r="Z1049" s="15" t="n">
        <v>79.06</v>
      </c>
      <c r="AA1049" s="34" t="n">
        <v>45807</v>
      </c>
      <c r="AB1049" s="15" t="n">
        <v>5.77</v>
      </c>
      <c r="AC1049" s="15" t="n">
        <v>11.51</v>
      </c>
      <c r="AD1049" s="34" t="n">
        <v>45807</v>
      </c>
      <c r="AE1049" s="15" t="n">
        <v>40.2</v>
      </c>
      <c r="AF1049" s="15" t="n">
        <v>46.15</v>
      </c>
      <c r="AG1049" s="34" t="n">
        <v>45807</v>
      </c>
      <c r="AH1049" s="15" t="n">
        <v>29.35</v>
      </c>
      <c r="AI1049" s="15" t="n">
        <v>26.26</v>
      </c>
      <c r="AJ1049" s="34" t="n">
        <v>45807</v>
      </c>
      <c r="AK1049" s="15" t="n">
        <v>29.15</v>
      </c>
      <c r="AL1049" s="15" t="n">
        <v>37.93</v>
      </c>
      <c r="AM1049" s="34" t="n">
        <v>45807</v>
      </c>
      <c r="AN1049" s="15" t="n">
        <v>309.6</v>
      </c>
      <c r="AO1049" s="15" t="n">
        <v>250</v>
      </c>
      <c r="AP1049" s="34" t="n">
        <v>45807</v>
      </c>
      <c r="AQ1049" s="15" t="n">
        <v>57.7</v>
      </c>
      <c r="AR1049" s="15" t="n">
        <v>54.74</v>
      </c>
      <c r="AS1049" s="34" t="n">
        <v>45807</v>
      </c>
      <c r="AT1049" s="15" t="n">
        <v>10.28</v>
      </c>
      <c r="AU1049" s="15" t="n">
        <v>13.22</v>
      </c>
      <c r="AV1049" s="34" t="n">
        <v>45807</v>
      </c>
    </row>
    <row r="1050">
      <c r="A1050" s="34" t="n">
        <v>45811</v>
      </c>
      <c r="B1050" s="266" t="n">
        <v>1.098875999450684</v>
      </c>
      <c r="C1050" s="34" t="n">
        <v>45811</v>
      </c>
      <c r="D1050" s="15" t="n">
        <v>14.26</v>
      </c>
      <c r="E1050" s="15" t="n">
        <v>19.09</v>
      </c>
      <c r="F1050" s="34" t="n">
        <v>45811</v>
      </c>
      <c r="G1050" s="15" t="n">
        <v>73.09999999999999</v>
      </c>
      <c r="H1050" s="15" t="n">
        <v>94</v>
      </c>
      <c r="I1050" s="34" t="n">
        <v>45811</v>
      </c>
      <c r="J1050" s="15" t="n">
        <v>15.28</v>
      </c>
      <c r="K1050" s="15" t="n">
        <v>20.32</v>
      </c>
      <c r="L1050" s="34" t="n">
        <v>45811</v>
      </c>
      <c r="M1050" s="15" t="n">
        <v>25.2</v>
      </c>
      <c r="N1050" s="15" t="n">
        <v>29.32</v>
      </c>
      <c r="O1050" s="34" t="n">
        <v>45811</v>
      </c>
      <c r="P1050" s="15" t="n">
        <v>49.8</v>
      </c>
      <c r="Q1050" s="15" t="n">
        <v>60.92</v>
      </c>
      <c r="R1050" s="34" t="n">
        <v>45811</v>
      </c>
      <c r="S1050" s="15" t="n">
        <v>17.98</v>
      </c>
      <c r="V1050" s="15" t="n">
        <v>22.5</v>
      </c>
      <c r="W1050" s="15" t="n">
        <v>20.46</v>
      </c>
      <c r="X1050" s="34" t="n">
        <v>45811</v>
      </c>
      <c r="Y1050" s="15" t="n">
        <v>77.59999999999999</v>
      </c>
      <c r="Z1050" s="15" t="n">
        <v>75.91</v>
      </c>
      <c r="AA1050" s="34" t="n">
        <v>45811</v>
      </c>
      <c r="AB1050" s="15" t="n">
        <v>6.41</v>
      </c>
      <c r="AC1050" s="15" t="n">
        <v>12.66</v>
      </c>
      <c r="AD1050" s="34" t="n">
        <v>45811</v>
      </c>
      <c r="AE1050" s="15" t="n">
        <v>42.6</v>
      </c>
      <c r="AF1050" s="15" t="n">
        <v>47.92</v>
      </c>
      <c r="AG1050" s="34" t="n">
        <v>45811</v>
      </c>
      <c r="AH1050" s="15" t="n">
        <v>29.2</v>
      </c>
      <c r="AI1050" s="15" t="n">
        <v>27.44</v>
      </c>
      <c r="AJ1050" s="34" t="n">
        <v>45811</v>
      </c>
      <c r="AK1050" s="15" t="n">
        <v>25.4</v>
      </c>
      <c r="AL1050" s="15" t="n">
        <v>37.49</v>
      </c>
      <c r="AM1050" s="34" t="n">
        <v>45811</v>
      </c>
      <c r="AN1050" s="15" t="n">
        <v>307</v>
      </c>
      <c r="AO1050" s="15" t="n">
        <v>251.15</v>
      </c>
      <c r="AP1050" s="34" t="n">
        <v>45811</v>
      </c>
      <c r="AQ1050" s="15" t="n">
        <v>56.5</v>
      </c>
      <c r="AR1050" s="15" t="n">
        <v>54.88</v>
      </c>
      <c r="AS1050" s="34" t="n">
        <v>45811</v>
      </c>
      <c r="AT1050" s="15" t="n">
        <v>10</v>
      </c>
      <c r="AU1050" s="15" t="n">
        <v>13.32</v>
      </c>
      <c r="AV1050" s="34" t="n">
        <v>45811</v>
      </c>
    </row>
    <row r="1051">
      <c r="A1051" s="34" t="n">
        <v>45812</v>
      </c>
      <c r="B1051" s="266" t="n">
        <v>1.092406988143921</v>
      </c>
      <c r="C1051" s="34" t="n">
        <v>45812</v>
      </c>
      <c r="D1051" s="15" t="n">
        <v>14.84</v>
      </c>
      <c r="E1051" s="15" t="n">
        <v>19.41</v>
      </c>
      <c r="F1051" s="34" t="n">
        <v>45812</v>
      </c>
      <c r="G1051" s="15" t="n">
        <v>73.40000000000001</v>
      </c>
      <c r="H1051" s="15" t="n">
        <v>94.95</v>
      </c>
      <c r="I1051" s="34" t="n">
        <v>45812</v>
      </c>
      <c r="J1051" s="15" t="n">
        <v>16.82</v>
      </c>
      <c r="K1051" s="15" t="n">
        <v>21.06</v>
      </c>
      <c r="L1051" s="34" t="n">
        <v>45812</v>
      </c>
      <c r="M1051" s="15" t="n">
        <v>26.45</v>
      </c>
      <c r="N1051" s="15" t="n">
        <v>30.37</v>
      </c>
      <c r="O1051" s="34" t="n">
        <v>45812</v>
      </c>
      <c r="P1051" s="15" t="n">
        <v>50.2</v>
      </c>
      <c r="Q1051" s="15" t="n">
        <v>61.64</v>
      </c>
      <c r="R1051" s="34" t="n">
        <v>45812</v>
      </c>
      <c r="S1051" s="15" t="n">
        <v>17.04</v>
      </c>
      <c r="V1051" s="15" t="n">
        <v>22.65</v>
      </c>
      <c r="W1051" s="15" t="n">
        <v>21.2</v>
      </c>
      <c r="X1051" s="34" t="n">
        <v>45812</v>
      </c>
      <c r="Y1051" s="15" t="n">
        <v>75.59999999999999</v>
      </c>
      <c r="Z1051" s="15" t="n">
        <v>75.56</v>
      </c>
      <c r="AA1051" s="34" t="n">
        <v>45812</v>
      </c>
      <c r="AB1051" s="15" t="n">
        <v>6.59</v>
      </c>
      <c r="AC1051" s="15" t="n">
        <v>13.93</v>
      </c>
      <c r="AD1051" s="34" t="n">
        <v>45812</v>
      </c>
      <c r="AE1051" s="15" t="n">
        <v>42.8</v>
      </c>
      <c r="AF1051" s="15" t="n">
        <v>47.25</v>
      </c>
      <c r="AG1051" s="34" t="n">
        <v>45812</v>
      </c>
      <c r="AH1051" s="15" t="n">
        <v>28.9</v>
      </c>
      <c r="AI1051" s="15" t="n">
        <v>27.44</v>
      </c>
      <c r="AJ1051" s="34" t="n">
        <v>45812</v>
      </c>
      <c r="AK1051" s="15" t="n">
        <v>25.25</v>
      </c>
      <c r="AL1051" s="15" t="n">
        <v>38.08</v>
      </c>
      <c r="AM1051" s="34" t="n">
        <v>45812</v>
      </c>
      <c r="AN1051" s="15" t="n">
        <v>306.4</v>
      </c>
      <c r="AO1051" s="15" t="n">
        <v>251.05</v>
      </c>
      <c r="AP1051" s="34" t="n">
        <v>45812</v>
      </c>
      <c r="AQ1051" s="15" t="n">
        <v>57.9</v>
      </c>
      <c r="AR1051" s="15" t="n">
        <v>55.29</v>
      </c>
      <c r="AS1051" s="34" t="n">
        <v>45812</v>
      </c>
      <c r="AT1051" s="15" t="n">
        <v>10.02</v>
      </c>
      <c r="AU1051" s="15" t="n">
        <v>13.53</v>
      </c>
      <c r="AV1051" s="34" t="n">
        <v>45812</v>
      </c>
    </row>
    <row r="1052">
      <c r="A1052" s="34" t="n">
        <v>45813</v>
      </c>
      <c r="B1052" s="266" t="n">
        <v>1.095829010009766</v>
      </c>
      <c r="C1052" s="34" t="n">
        <v>45813</v>
      </c>
      <c r="D1052" s="15" t="n">
        <v>14.2</v>
      </c>
      <c r="E1052" s="15" t="n">
        <v>19.13</v>
      </c>
      <c r="F1052" s="34" t="n">
        <v>45813</v>
      </c>
      <c r="G1052" s="15" t="n">
        <v>70.7</v>
      </c>
      <c r="H1052" s="15" t="n">
        <v>91.5</v>
      </c>
      <c r="I1052" s="34" t="n">
        <v>45813</v>
      </c>
      <c r="J1052" s="15" t="n">
        <v>18.86</v>
      </c>
      <c r="K1052" s="15" t="n">
        <v>22.09</v>
      </c>
      <c r="L1052" s="34" t="n">
        <v>45813</v>
      </c>
      <c r="M1052" s="15" t="n">
        <v>26.35</v>
      </c>
      <c r="N1052" s="15" t="n">
        <v>30.26</v>
      </c>
      <c r="O1052" s="34" t="n">
        <v>45813</v>
      </c>
      <c r="P1052" s="15" t="n">
        <v>50.45</v>
      </c>
      <c r="Q1052" s="15" t="n">
        <v>61.35</v>
      </c>
      <c r="R1052" s="34" t="n">
        <v>45813</v>
      </c>
      <c r="S1052" s="15" t="n">
        <v>17.68</v>
      </c>
      <c r="V1052" s="15" t="n">
        <v>23.15</v>
      </c>
      <c r="W1052" s="15" t="n">
        <v>21.07</v>
      </c>
      <c r="X1052" s="34" t="n">
        <v>45813</v>
      </c>
      <c r="Y1052" s="15" t="n">
        <v>75</v>
      </c>
      <c r="Z1052" s="15" t="n">
        <v>75.25</v>
      </c>
      <c r="AA1052" s="34" t="n">
        <v>45813</v>
      </c>
      <c r="AB1052" s="15" t="n">
        <v>6.26</v>
      </c>
      <c r="AC1052" s="15" t="n">
        <v>13.23</v>
      </c>
      <c r="AD1052" s="34" t="n">
        <v>45813</v>
      </c>
      <c r="AE1052" s="15" t="n">
        <v>44.05</v>
      </c>
      <c r="AF1052" s="15" t="n">
        <v>47.38</v>
      </c>
      <c r="AG1052" s="34" t="n">
        <v>45813</v>
      </c>
      <c r="AH1052" s="15" t="n">
        <v>28.35</v>
      </c>
      <c r="AI1052" s="15" t="n">
        <v>27.02</v>
      </c>
      <c r="AJ1052" s="34" t="n">
        <v>45813</v>
      </c>
      <c r="AK1052" s="15" t="n">
        <v>24.1</v>
      </c>
      <c r="AL1052" s="15" t="n">
        <v>37.9</v>
      </c>
      <c r="AM1052" s="34" t="n">
        <v>45813</v>
      </c>
      <c r="AN1052" s="15" t="n">
        <v>309</v>
      </c>
      <c r="AO1052" s="15" t="n">
        <v>251.5</v>
      </c>
      <c r="AP1052" s="34" t="n">
        <v>45813</v>
      </c>
      <c r="AQ1052" s="15" t="n">
        <v>56.95</v>
      </c>
      <c r="AR1052" s="15" t="n">
        <v>53.88</v>
      </c>
      <c r="AS1052" s="34" t="n">
        <v>45813</v>
      </c>
      <c r="AT1052" s="15" t="n">
        <v>9.880000000000001</v>
      </c>
      <c r="AU1052" s="15" t="n">
        <v>13.48</v>
      </c>
      <c r="AV1052" s="34" t="n">
        <v>45813</v>
      </c>
    </row>
    <row r="1053">
      <c r="A1053" s="34" t="n">
        <v>45814</v>
      </c>
      <c r="B1053" s="266" t="n">
        <v>1.093296051025391</v>
      </c>
      <c r="C1053" s="34" t="n">
        <v>45814</v>
      </c>
      <c r="D1053" s="15" t="n">
        <v>14.1</v>
      </c>
      <c r="E1053" s="15" t="n">
        <v>18.85</v>
      </c>
      <c r="F1053" s="34" t="n">
        <v>45814</v>
      </c>
      <c r="G1053" s="15" t="n">
        <v>71.40000000000001</v>
      </c>
      <c r="H1053" s="15" t="n">
        <v>90.63</v>
      </c>
      <c r="I1053" s="34" t="n">
        <v>45814</v>
      </c>
      <c r="J1053" s="15" t="n">
        <v>18.44</v>
      </c>
      <c r="K1053" s="15" t="n">
        <v>21.52</v>
      </c>
      <c r="L1053" s="34" t="n">
        <v>45814</v>
      </c>
      <c r="M1053" s="15" t="n">
        <v>26.4</v>
      </c>
      <c r="N1053" s="15" t="n">
        <v>30.34</v>
      </c>
      <c r="O1053" s="34" t="n">
        <v>45814</v>
      </c>
      <c r="P1053" s="15" t="n">
        <v>50.45</v>
      </c>
      <c r="Q1053" s="15" t="n">
        <v>61.61</v>
      </c>
      <c r="R1053" s="34" t="n">
        <v>45814</v>
      </c>
      <c r="S1053" s="15" t="n">
        <v>17.5</v>
      </c>
      <c r="V1053" s="15" t="n">
        <v>23.75</v>
      </c>
      <c r="W1053" s="15" t="n">
        <v>21.61</v>
      </c>
      <c r="X1053" s="34" t="n">
        <v>45814</v>
      </c>
      <c r="Y1053" s="15" t="n">
        <v>76.2</v>
      </c>
      <c r="Z1053" s="15" t="n">
        <v>75.7</v>
      </c>
      <c r="AA1053" s="34" t="n">
        <v>45814</v>
      </c>
      <c r="AB1053" s="15" t="n">
        <v>6.38</v>
      </c>
      <c r="AC1053" s="15" t="n">
        <v>13.73</v>
      </c>
      <c r="AD1053" s="34" t="n">
        <v>45814</v>
      </c>
      <c r="AE1053" s="15" t="n">
        <v>43.25</v>
      </c>
      <c r="AF1053" s="15" t="n">
        <v>46.9</v>
      </c>
      <c r="AG1053" s="34" t="n">
        <v>45814</v>
      </c>
      <c r="AH1053" s="15" t="n">
        <v>28.9</v>
      </c>
      <c r="AI1053" s="15" t="n">
        <v>27.32</v>
      </c>
      <c r="AJ1053" s="34" t="n">
        <v>45814</v>
      </c>
      <c r="AK1053" s="15" t="n">
        <v>23.95</v>
      </c>
      <c r="AL1053" s="15" t="n">
        <v>37.81</v>
      </c>
      <c r="AM1053" s="34" t="n">
        <v>45814</v>
      </c>
      <c r="AN1053" s="15" t="n">
        <v>305</v>
      </c>
      <c r="AO1053" s="15" t="n">
        <v>248.88</v>
      </c>
      <c r="AP1053" s="34" t="n">
        <v>45814</v>
      </c>
      <c r="AQ1053" s="15" t="n">
        <v>57.55</v>
      </c>
      <c r="AR1053" s="15" t="n">
        <v>53.8</v>
      </c>
      <c r="AS1053" s="34" t="n">
        <v>45814</v>
      </c>
      <c r="AT1053" s="15" t="n">
        <v>9.699999999999999</v>
      </c>
      <c r="AU1053" s="15" t="n">
        <v>13.27</v>
      </c>
      <c r="AV1053" s="34" t="n">
        <v>45814</v>
      </c>
    </row>
    <row r="1054">
      <c r="A1054" s="34" t="n">
        <v>45817</v>
      </c>
      <c r="B1054" s="266" t="n">
        <v>1.091297030448914</v>
      </c>
      <c r="C1054" s="34" t="n">
        <v>45817</v>
      </c>
      <c r="D1054" s="15" t="n">
        <v>14.8</v>
      </c>
      <c r="E1054" s="15" t="n">
        <v>19.17</v>
      </c>
      <c r="F1054" s="34" t="n">
        <v>45817</v>
      </c>
      <c r="G1054" s="15" t="n">
        <v>77.15000000000001</v>
      </c>
      <c r="H1054" s="15" t="n">
        <v>93.42</v>
      </c>
      <c r="I1054" s="34" t="n">
        <v>45817</v>
      </c>
      <c r="J1054" s="15" t="n">
        <v>18.76</v>
      </c>
      <c r="K1054" s="15" t="n">
        <v>21.87</v>
      </c>
      <c r="L1054" s="34" t="n">
        <v>45817</v>
      </c>
      <c r="M1054" s="15" t="n">
        <v>25.9</v>
      </c>
      <c r="N1054" s="15" t="n">
        <v>30.37</v>
      </c>
      <c r="O1054" s="34" t="n">
        <v>45817</v>
      </c>
      <c r="P1054" s="15" t="n">
        <v>51.15</v>
      </c>
      <c r="Q1054" s="15" t="n">
        <v>61.66</v>
      </c>
      <c r="R1054" s="34" t="n">
        <v>45817</v>
      </c>
      <c r="S1054" s="15" t="n">
        <v>17.96</v>
      </c>
      <c r="V1054" s="15" t="n">
        <v>23.5</v>
      </c>
      <c r="W1054" s="15" t="n">
        <v>21.58</v>
      </c>
      <c r="X1054" s="34" t="n">
        <v>45817</v>
      </c>
      <c r="Y1054" s="15" t="n">
        <v>76.15000000000001</v>
      </c>
      <c r="Z1054" s="15" t="n">
        <v>75.40000000000001</v>
      </c>
      <c r="AA1054" s="34" t="n">
        <v>45817</v>
      </c>
      <c r="AB1054" s="15" t="n">
        <v>6.49</v>
      </c>
      <c r="AC1054" s="15" t="n">
        <v>13.94</v>
      </c>
      <c r="AD1054" s="34" t="n">
        <v>45817</v>
      </c>
      <c r="AE1054" s="15" t="n">
        <v>42.3</v>
      </c>
      <c r="AF1054" s="15" t="n">
        <v>46.78</v>
      </c>
      <c r="AG1054" s="34" t="n">
        <v>45817</v>
      </c>
      <c r="AH1054" s="15" t="n">
        <v>28.1</v>
      </c>
      <c r="AI1054" s="15" t="n">
        <v>26.83</v>
      </c>
      <c r="AJ1054" s="34" t="n">
        <v>45817</v>
      </c>
      <c r="AK1054" s="15" t="n">
        <v>23.4</v>
      </c>
      <c r="AL1054" s="15" t="n">
        <v>38.45</v>
      </c>
      <c r="AM1054" s="34" t="n">
        <v>45817</v>
      </c>
      <c r="AN1054" s="15" t="n">
        <v>302.6</v>
      </c>
      <c r="AO1054" s="15" t="n">
        <v>245.58</v>
      </c>
      <c r="AP1054" s="34" t="n">
        <v>45817</v>
      </c>
      <c r="AQ1054" s="15" t="n">
        <v>59.05</v>
      </c>
      <c r="AR1054" s="15" t="n">
        <v>54.36</v>
      </c>
      <c r="AS1054" s="34" t="n">
        <v>45817</v>
      </c>
      <c r="AT1054" s="15" t="n">
        <v>9.81</v>
      </c>
      <c r="AU1054" s="15" t="n">
        <v>13.69</v>
      </c>
      <c r="AV1054" s="34" t="n">
        <v>45817</v>
      </c>
    </row>
    <row r="1055">
      <c r="A1055" s="34" t="n">
        <v>45818</v>
      </c>
      <c r="B1055" s="266" t="n">
        <v>1.092790007591248</v>
      </c>
      <c r="C1055" s="34" t="n">
        <v>45818</v>
      </c>
      <c r="D1055" s="15" t="n">
        <v>15.6</v>
      </c>
      <c r="E1055" s="15" t="n">
        <v>19.83</v>
      </c>
      <c r="F1055" s="34" t="n">
        <v>45818</v>
      </c>
      <c r="G1055" s="15" t="n">
        <v>79.5</v>
      </c>
      <c r="H1055" s="15" t="n">
        <v>94.42</v>
      </c>
      <c r="I1055" s="34" t="n">
        <v>45818</v>
      </c>
      <c r="J1055" s="15" t="n">
        <v>19.4</v>
      </c>
      <c r="K1055" s="15" t="n">
        <v>22.31</v>
      </c>
      <c r="L1055" s="34" t="n">
        <v>45818</v>
      </c>
      <c r="M1055" s="15" t="n">
        <v>25.9</v>
      </c>
      <c r="N1055" s="15" t="n">
        <v>30.15</v>
      </c>
      <c r="O1055" s="34" t="n">
        <v>45818</v>
      </c>
      <c r="P1055" s="15" t="n">
        <v>51.2</v>
      </c>
      <c r="Q1055" s="15" t="n">
        <v>61.16</v>
      </c>
      <c r="R1055" s="34" t="n">
        <v>45818</v>
      </c>
      <c r="S1055" s="15" t="n">
        <v>19.8</v>
      </c>
      <c r="V1055" s="15" t="n">
        <v>23.5</v>
      </c>
      <c r="W1055" s="15" t="n">
        <v>21.38</v>
      </c>
      <c r="X1055" s="34" t="n">
        <v>45818</v>
      </c>
      <c r="Y1055" s="15" t="n">
        <v>75.8</v>
      </c>
      <c r="Z1055" s="15" t="n">
        <v>75.05</v>
      </c>
      <c r="AA1055" s="34" t="n">
        <v>45818</v>
      </c>
      <c r="AB1055" s="15" t="n">
        <v>6.91</v>
      </c>
      <c r="AC1055" s="15" t="n">
        <v>15.33</v>
      </c>
      <c r="AD1055" s="34" t="n">
        <v>45818</v>
      </c>
      <c r="AE1055" s="15" t="n">
        <v>42.2</v>
      </c>
      <c r="AF1055" s="15" t="n">
        <v>46.44</v>
      </c>
      <c r="AG1055" s="34" t="n">
        <v>45818</v>
      </c>
      <c r="AH1055" s="15" t="n">
        <v>28.65</v>
      </c>
      <c r="AI1055" s="15" t="n">
        <v>26.9</v>
      </c>
      <c r="AJ1055" s="34" t="n">
        <v>45818</v>
      </c>
      <c r="AK1055" s="15" t="n">
        <v>23.1</v>
      </c>
      <c r="AL1055" s="15" t="n">
        <v>37.34</v>
      </c>
      <c r="AM1055" s="34" t="n">
        <v>45818</v>
      </c>
      <c r="AN1055" s="15" t="n">
        <v>299.6</v>
      </c>
      <c r="AO1055" s="15" t="n">
        <v>243.14</v>
      </c>
      <c r="AP1055" s="34" t="n">
        <v>45818</v>
      </c>
      <c r="AQ1055" s="15" t="n">
        <v>59.45</v>
      </c>
      <c r="AR1055" s="15" t="n">
        <v>55.13</v>
      </c>
      <c r="AS1055" s="34" t="n">
        <v>45818</v>
      </c>
      <c r="AT1055" s="15" t="n">
        <v>9.800000000000001</v>
      </c>
      <c r="AU1055" s="15" t="n">
        <v>13.42</v>
      </c>
      <c r="AV1055" s="34" t="n">
        <v>45818</v>
      </c>
    </row>
    <row r="1056">
      <c r="A1056" s="34" t="n">
        <v>45819</v>
      </c>
      <c r="B1056" s="266" t="n">
        <v>1.092836976051331</v>
      </c>
      <c r="C1056" s="34" t="n">
        <v>45819</v>
      </c>
      <c r="D1056" s="15" t="n">
        <v>15.06</v>
      </c>
      <c r="E1056" s="15" t="n">
        <v>19.52</v>
      </c>
      <c r="F1056" s="34" t="n">
        <v>45819</v>
      </c>
      <c r="G1056" s="15" t="n">
        <v>77.09999999999999</v>
      </c>
      <c r="H1056" s="15" t="n">
        <v>92.2</v>
      </c>
      <c r="I1056" s="34" t="n">
        <v>45819</v>
      </c>
      <c r="J1056" s="15" t="n">
        <v>19.74</v>
      </c>
      <c r="K1056" s="15" t="n">
        <v>24.07</v>
      </c>
      <c r="L1056" s="34" t="n">
        <v>45819</v>
      </c>
      <c r="M1056" s="15" t="n">
        <v>26.65</v>
      </c>
      <c r="N1056" s="15" t="n">
        <v>30.75</v>
      </c>
      <c r="O1056" s="34" t="n">
        <v>45819</v>
      </c>
      <c r="P1056" s="15" t="n">
        <v>51.55</v>
      </c>
      <c r="Q1056" s="15" t="n">
        <v>61.38</v>
      </c>
      <c r="R1056" s="34" t="n">
        <v>45819</v>
      </c>
      <c r="S1056" s="15" t="n">
        <v>18.98</v>
      </c>
      <c r="V1056" s="15" t="n">
        <v>23.7</v>
      </c>
      <c r="W1056" s="15" t="n">
        <v>21.57</v>
      </c>
      <c r="X1056" s="34" t="n">
        <v>45819</v>
      </c>
      <c r="Y1056" s="15" t="n">
        <v>75.59999999999999</v>
      </c>
      <c r="Z1056" s="15" t="n">
        <v>75.48999999999999</v>
      </c>
      <c r="AA1056" s="34" t="n">
        <v>45819</v>
      </c>
      <c r="AB1056" s="15" t="n">
        <v>6.72</v>
      </c>
      <c r="AC1056" s="15" t="n">
        <v>14.74</v>
      </c>
      <c r="AD1056" s="34" t="n">
        <v>45819</v>
      </c>
      <c r="AE1056" s="15" t="n">
        <v>42.2</v>
      </c>
      <c r="AF1056" s="15" t="n">
        <v>46.9</v>
      </c>
      <c r="AG1056" s="34" t="n">
        <v>45819</v>
      </c>
      <c r="AH1056" s="15" t="n">
        <v>28.55</v>
      </c>
      <c r="AI1056" s="15" t="n">
        <v>26.95</v>
      </c>
      <c r="AJ1056" s="34" t="n">
        <v>45819</v>
      </c>
      <c r="AK1056" s="15" t="n">
        <v>23.55</v>
      </c>
      <c r="AL1056" s="15" t="n">
        <v>38.15</v>
      </c>
      <c r="AM1056" s="34" t="n">
        <v>45819</v>
      </c>
      <c r="AN1056" s="15" t="n">
        <v>308.4</v>
      </c>
      <c r="AO1056" s="15" t="n">
        <v>250.5</v>
      </c>
      <c r="AP1056" s="34" t="n">
        <v>45819</v>
      </c>
      <c r="AQ1056" s="15" t="n">
        <v>58.3</v>
      </c>
      <c r="AR1056" s="15" t="n">
        <v>54.71</v>
      </c>
      <c r="AS1056" s="34" t="n">
        <v>45819</v>
      </c>
      <c r="AT1056" s="15" t="n">
        <v>9.869999999999999</v>
      </c>
      <c r="AU1056" s="15" t="n">
        <v>13.54</v>
      </c>
      <c r="AV1056" s="34" t="n">
        <v>45819</v>
      </c>
    </row>
    <row r="1057">
      <c r="A1057" s="34" t="n">
        <v>45820</v>
      </c>
      <c r="B1057" s="266" t="n">
        <v>1.090999960899353</v>
      </c>
      <c r="C1057" s="34" t="n">
        <v>45820</v>
      </c>
      <c r="D1057" s="15" t="n">
        <v>16</v>
      </c>
      <c r="E1057" s="15" t="n">
        <v>20.32</v>
      </c>
      <c r="F1057" s="34" t="n">
        <v>45820</v>
      </c>
      <c r="G1057" s="15" t="n">
        <v>80.40000000000001</v>
      </c>
      <c r="H1057" s="15" t="n">
        <v>94.38</v>
      </c>
      <c r="I1057" s="34" t="n">
        <v>45820</v>
      </c>
      <c r="J1057" s="15" t="n">
        <v>19.4</v>
      </c>
      <c r="K1057" s="15" t="n">
        <v>24.29</v>
      </c>
      <c r="L1057" s="34" t="n">
        <v>45820</v>
      </c>
      <c r="M1057" s="15" t="n">
        <v>26.8</v>
      </c>
      <c r="N1057" s="15" t="n">
        <v>30.62</v>
      </c>
      <c r="O1057" s="34" t="n">
        <v>45820</v>
      </c>
      <c r="P1057" s="15" t="n">
        <v>51.85</v>
      </c>
      <c r="Q1057" s="15" t="n">
        <v>61.18</v>
      </c>
      <c r="R1057" s="34" t="n">
        <v>45820</v>
      </c>
      <c r="S1057" s="15" t="n">
        <v>22.45</v>
      </c>
      <c r="V1057" s="15" t="n">
        <v>23.3</v>
      </c>
      <c r="W1057" s="15" t="n">
        <v>21.38</v>
      </c>
      <c r="X1057" s="34" t="n">
        <v>45820</v>
      </c>
      <c r="Y1057" s="15" t="n">
        <v>74.90000000000001</v>
      </c>
      <c r="Z1057" s="15" t="n">
        <v>72.2</v>
      </c>
      <c r="AA1057" s="34" t="n">
        <v>45820</v>
      </c>
      <c r="AB1057" s="15" t="n">
        <v>6.49</v>
      </c>
      <c r="AC1057" s="15" t="n">
        <v>14.12</v>
      </c>
      <c r="AD1057" s="34" t="n">
        <v>45820</v>
      </c>
      <c r="AE1057" s="15" t="n">
        <v>44.8</v>
      </c>
      <c r="AF1057" s="15" t="n">
        <v>48.78</v>
      </c>
      <c r="AG1057" s="34" t="n">
        <v>45820</v>
      </c>
      <c r="AH1057" s="15" t="n">
        <v>28.9</v>
      </c>
      <c r="AI1057" s="15" t="n">
        <v>27.78</v>
      </c>
      <c r="AJ1057" s="34" t="n">
        <v>45820</v>
      </c>
      <c r="AK1057" s="15" t="n">
        <v>23.2</v>
      </c>
      <c r="AL1057" s="15" t="n">
        <v>37.45</v>
      </c>
      <c r="AM1057" s="34" t="n">
        <v>45820</v>
      </c>
      <c r="AN1057" s="15" t="n">
        <v>309.2</v>
      </c>
      <c r="AO1057" s="15" t="n">
        <v>249.81</v>
      </c>
      <c r="AP1057" s="34" t="n">
        <v>45820</v>
      </c>
      <c r="AQ1057" s="15" t="n">
        <v>59.3</v>
      </c>
      <c r="AR1057" s="15" t="n">
        <v>55.82</v>
      </c>
      <c r="AS1057" s="34" t="n">
        <v>45820</v>
      </c>
      <c r="AT1057" s="15" t="n">
        <v>10.06</v>
      </c>
      <c r="AU1057" s="15" t="n">
        <v>13.63</v>
      </c>
      <c r="AV1057" s="34" t="n">
        <v>45820</v>
      </c>
    </row>
    <row r="1058">
      <c r="A1058" s="34" t="n">
        <v>45821</v>
      </c>
      <c r="B1058" s="266" t="n">
        <v>1.091084957122803</v>
      </c>
      <c r="C1058" s="34" t="n">
        <v>45821</v>
      </c>
      <c r="D1058" s="15" t="n">
        <v>16.14</v>
      </c>
      <c r="E1058" s="15" t="n">
        <v>19.8</v>
      </c>
      <c r="F1058" s="34" t="n">
        <v>45821</v>
      </c>
      <c r="G1058" s="15" t="n">
        <v>79.05</v>
      </c>
      <c r="H1058" s="15" t="n">
        <v>91.48999999999999</v>
      </c>
      <c r="I1058" s="34" t="n">
        <v>45821</v>
      </c>
      <c r="J1058" s="15" t="n">
        <v>18.46</v>
      </c>
      <c r="K1058" s="15" t="n">
        <v>23.8</v>
      </c>
      <c r="L1058" s="34" t="n">
        <v>45821</v>
      </c>
      <c r="M1058" s="15" t="n">
        <v>26.5</v>
      </c>
      <c r="N1058" s="15" t="n">
        <v>30.2</v>
      </c>
      <c r="O1058" s="34" t="n">
        <v>45821</v>
      </c>
      <c r="P1058" s="15" t="n">
        <v>50.3</v>
      </c>
      <c r="Q1058" s="15" t="n">
        <v>60.4</v>
      </c>
      <c r="R1058" s="34" t="n">
        <v>45821</v>
      </c>
      <c r="S1058" s="15" t="n">
        <v>22.25</v>
      </c>
      <c r="V1058" s="15" t="n">
        <v>22.5</v>
      </c>
      <c r="W1058" s="15" t="n">
        <v>20.86</v>
      </c>
      <c r="X1058" s="34" t="n">
        <v>45821</v>
      </c>
      <c r="Y1058" s="15" t="n">
        <v>73.90000000000001</v>
      </c>
      <c r="Z1058" s="15" t="n">
        <v>71.48</v>
      </c>
      <c r="AA1058" s="34" t="n">
        <v>45821</v>
      </c>
      <c r="AB1058" s="15" t="n">
        <v>6.17</v>
      </c>
      <c r="AC1058" s="15" t="n">
        <v>14.2</v>
      </c>
      <c r="AD1058" s="34" t="n">
        <v>45821</v>
      </c>
      <c r="AE1058" s="15" t="n">
        <v>45</v>
      </c>
      <c r="AF1058" s="15" t="n">
        <v>48.99</v>
      </c>
      <c r="AG1058" s="34" t="n">
        <v>45821</v>
      </c>
      <c r="AH1058" s="15" t="n">
        <v>31.95</v>
      </c>
      <c r="AI1058" s="15" t="n">
        <v>29.24</v>
      </c>
      <c r="AJ1058" s="34" t="n">
        <v>45821</v>
      </c>
      <c r="AK1058" s="15" t="n">
        <v>21.8</v>
      </c>
      <c r="AL1058" s="15" t="n">
        <v>36.23</v>
      </c>
      <c r="AM1058" s="34" t="n">
        <v>45821</v>
      </c>
      <c r="AN1058" s="15" t="n">
        <v>313</v>
      </c>
      <c r="AO1058" s="15" t="n">
        <v>248.2</v>
      </c>
      <c r="AP1058" s="34" t="n">
        <v>45821</v>
      </c>
      <c r="AQ1058" s="15" t="n">
        <v>57.8</v>
      </c>
      <c r="AR1058" s="15" t="n">
        <v>53.89</v>
      </c>
      <c r="AS1058" s="34" t="n">
        <v>45821</v>
      </c>
      <c r="AT1058" s="15" t="n">
        <v>9.85</v>
      </c>
      <c r="AU1058" s="15" t="n">
        <v>13.2</v>
      </c>
      <c r="AV1058" s="34" t="n">
        <v>45821</v>
      </c>
    </row>
    <row r="1059">
      <c r="A1059" s="34" t="n">
        <v>45824</v>
      </c>
      <c r="B1059" s="266" t="n">
        <v>1.092895984649658</v>
      </c>
      <c r="C1059" s="34" t="n">
        <v>45824</v>
      </c>
      <c r="D1059" s="15" t="n">
        <v>16.68</v>
      </c>
      <c r="E1059" s="15" t="n">
        <v>20.22</v>
      </c>
      <c r="F1059" s="34" t="n">
        <v>45824</v>
      </c>
      <c r="G1059" s="15" t="n">
        <v>79.34999999999999</v>
      </c>
      <c r="H1059" s="15" t="n">
        <v>91.90000000000001</v>
      </c>
      <c r="I1059" s="34" t="n">
        <v>45824</v>
      </c>
      <c r="J1059" s="15" t="n">
        <v>19.12</v>
      </c>
      <c r="K1059" s="15" t="n">
        <v>24.28</v>
      </c>
      <c r="L1059" s="34" t="n">
        <v>45824</v>
      </c>
      <c r="M1059" s="15" t="n">
        <v>26.35</v>
      </c>
      <c r="N1059" s="15" t="n">
        <v>30.03</v>
      </c>
      <c r="O1059" s="34" t="n">
        <v>45824</v>
      </c>
      <c r="P1059" s="15" t="n">
        <v>50.7</v>
      </c>
      <c r="Q1059" s="15" t="n">
        <v>60.45</v>
      </c>
      <c r="R1059" s="34" t="n">
        <v>45824</v>
      </c>
      <c r="S1059" s="15" t="n">
        <v>21.4</v>
      </c>
      <c r="V1059" s="15" t="n">
        <v>22.65</v>
      </c>
      <c r="W1059" s="15" t="n">
        <v>20.91</v>
      </c>
      <c r="X1059" s="34" t="n">
        <v>45824</v>
      </c>
      <c r="Y1059" s="15" t="n">
        <v>75.34999999999999</v>
      </c>
      <c r="Z1059" s="15" t="n">
        <v>71.26000000000001</v>
      </c>
      <c r="AA1059" s="34" t="n">
        <v>45824</v>
      </c>
      <c r="AB1059" s="15" t="n">
        <v>6.3</v>
      </c>
      <c r="AC1059" s="15" t="n">
        <v>14.41</v>
      </c>
      <c r="AD1059" s="34" t="n">
        <v>45824</v>
      </c>
      <c r="AE1059" s="15" t="n">
        <v>46.8</v>
      </c>
      <c r="AF1059" s="15" t="n">
        <v>49.8</v>
      </c>
      <c r="AG1059" s="34" t="n">
        <v>45824</v>
      </c>
      <c r="AH1059" s="15" t="n">
        <v>31</v>
      </c>
      <c r="AI1059" s="15" t="n">
        <v>28.34</v>
      </c>
      <c r="AJ1059" s="34" t="n">
        <v>45824</v>
      </c>
      <c r="AK1059" s="15" t="n">
        <v>22.15</v>
      </c>
      <c r="AL1059" s="15" t="n">
        <v>36.6</v>
      </c>
      <c r="AM1059" s="34" t="n">
        <v>45824</v>
      </c>
      <c r="AN1059" s="15" t="n">
        <v>308.4</v>
      </c>
      <c r="AO1059" s="15" t="n">
        <v>246.66</v>
      </c>
      <c r="AP1059" s="34" t="n">
        <v>45824</v>
      </c>
      <c r="AQ1059" s="15" t="n">
        <v>59.5</v>
      </c>
      <c r="AR1059" s="15" t="n">
        <v>53.76</v>
      </c>
      <c r="AS1059" s="34" t="n">
        <v>45824</v>
      </c>
      <c r="AT1059" s="15" t="n">
        <v>10.28</v>
      </c>
      <c r="AU1059" s="15" t="n">
        <v>13.58</v>
      </c>
      <c r="AV1059" s="34" t="n">
        <v>45824</v>
      </c>
    </row>
    <row r="1060">
      <c r="A1060" s="34" t="n">
        <v>45825</v>
      </c>
      <c r="B1060" s="266" t="n">
        <v>1.093256950378418</v>
      </c>
      <c r="C1060" s="34" t="n">
        <v>45825</v>
      </c>
      <c r="D1060" s="15" t="n">
        <v>16.28</v>
      </c>
      <c r="E1060" s="15" t="n">
        <v>20.1</v>
      </c>
      <c r="F1060" s="34" t="n">
        <v>45825</v>
      </c>
      <c r="G1060" s="15" t="n">
        <v>73.59999999999999</v>
      </c>
      <c r="H1060" s="15" t="n">
        <v>86.40000000000001</v>
      </c>
      <c r="I1060" s="34" t="n">
        <v>45825</v>
      </c>
      <c r="J1060" s="15" t="n">
        <v>18.46</v>
      </c>
      <c r="K1060" s="15" t="n">
        <v>23.66</v>
      </c>
      <c r="L1060" s="34" t="n">
        <v>45825</v>
      </c>
      <c r="M1060" s="15" t="n">
        <v>26.35</v>
      </c>
      <c r="N1060" s="15" t="n">
        <v>30.15</v>
      </c>
      <c r="O1060" s="34" t="n">
        <v>45825</v>
      </c>
      <c r="P1060" s="15" t="n">
        <v>51.6</v>
      </c>
      <c r="Q1060" s="15" t="n">
        <v>60.63</v>
      </c>
      <c r="R1060" s="34" t="n">
        <v>45825</v>
      </c>
      <c r="S1060" s="15" t="n">
        <v>20.85</v>
      </c>
      <c r="V1060" s="15" t="n">
        <v>22.9</v>
      </c>
      <c r="W1060" s="15" t="n">
        <v>20.96</v>
      </c>
      <c r="X1060" s="34" t="n">
        <v>45825</v>
      </c>
      <c r="Y1060" s="15" t="n">
        <v>76</v>
      </c>
      <c r="Z1060" s="15" t="n">
        <v>72.06</v>
      </c>
      <c r="AA1060" s="34" t="n">
        <v>45825</v>
      </c>
      <c r="AB1060" s="15" t="n">
        <v>6.5</v>
      </c>
      <c r="AC1060" s="15" t="n">
        <v>15.05</v>
      </c>
      <c r="AD1060" s="34" t="n">
        <v>45825</v>
      </c>
      <c r="AE1060" s="15" t="n">
        <v>45.9</v>
      </c>
      <c r="AF1060" s="15" t="n">
        <v>49.68</v>
      </c>
      <c r="AG1060" s="34" t="n">
        <v>45825</v>
      </c>
      <c r="AH1060" s="15" t="n">
        <v>30.05</v>
      </c>
      <c r="AI1060" s="15" t="n">
        <v>28.19</v>
      </c>
      <c r="AJ1060" s="34" t="n">
        <v>45825</v>
      </c>
      <c r="AK1060" s="15" t="n">
        <v>21.8</v>
      </c>
      <c r="AL1060" s="15" t="n">
        <v>36.48</v>
      </c>
      <c r="AM1060" s="34" t="n">
        <v>45825</v>
      </c>
      <c r="AN1060" s="15" t="n">
        <v>310</v>
      </c>
      <c r="AO1060" s="15" t="n">
        <v>246.26</v>
      </c>
      <c r="AP1060" s="34" t="n">
        <v>45825</v>
      </c>
      <c r="AQ1060" s="15" t="n">
        <v>56.8</v>
      </c>
      <c r="AR1060" s="15" t="n">
        <v>51.84</v>
      </c>
      <c r="AS1060" s="34" t="n">
        <v>45825</v>
      </c>
      <c r="AT1060" s="15" t="n">
        <v>10.2</v>
      </c>
      <c r="AU1060" s="15" t="n">
        <v>13.36</v>
      </c>
      <c r="AV1060" s="34" t="n">
        <v>45825</v>
      </c>
    </row>
    <row r="1061">
      <c r="A1061" s="34" t="n">
        <v>45826</v>
      </c>
      <c r="B1061" s="266" t="n">
        <v>1.092421054840088</v>
      </c>
      <c r="C1061" s="34" t="n">
        <v>45826</v>
      </c>
      <c r="D1061" s="15" t="n">
        <v>15.18</v>
      </c>
      <c r="E1061" s="15" t="n">
        <v>19.49</v>
      </c>
      <c r="F1061" s="34" t="n">
        <v>45826</v>
      </c>
      <c r="G1061" s="15" t="n">
        <v>74.15000000000001</v>
      </c>
      <c r="H1061" s="15" t="n">
        <v>85.13</v>
      </c>
      <c r="I1061" s="34" t="n">
        <v>45826</v>
      </c>
      <c r="J1061" s="15" t="n">
        <v>17.9</v>
      </c>
      <c r="K1061" s="15" t="n">
        <v>23.15</v>
      </c>
      <c r="L1061" s="34" t="n">
        <v>45826</v>
      </c>
      <c r="M1061" s="15" t="n">
        <v>25.55</v>
      </c>
      <c r="N1061" s="15" t="n">
        <v>29.9</v>
      </c>
      <c r="O1061" s="34" t="n">
        <v>45826</v>
      </c>
      <c r="P1061" s="15" t="n">
        <v>51.6</v>
      </c>
      <c r="Q1061" s="15" t="n">
        <v>60.66</v>
      </c>
      <c r="R1061" s="34" t="n">
        <v>45826</v>
      </c>
      <c r="S1061" s="15" t="n">
        <v>21.8</v>
      </c>
      <c r="V1061" s="15" t="n">
        <v>23.5</v>
      </c>
      <c r="W1061" s="15" t="n">
        <v>21.07</v>
      </c>
      <c r="X1061" s="34" t="n">
        <v>45826</v>
      </c>
      <c r="Y1061" s="15" t="n">
        <v>74.84999999999999</v>
      </c>
      <c r="Z1061" s="15" t="n">
        <v>72.09999999999999</v>
      </c>
      <c r="AA1061" s="34" t="n">
        <v>45826</v>
      </c>
      <c r="AB1061" s="15" t="n">
        <v>6.37</v>
      </c>
      <c r="AC1061" s="15" t="n">
        <v>14.44</v>
      </c>
      <c r="AD1061" s="34" t="n">
        <v>45826</v>
      </c>
      <c r="AE1061" s="15" t="n">
        <v>46.55</v>
      </c>
      <c r="AF1061" s="15" t="n">
        <v>50.15</v>
      </c>
      <c r="AG1061" s="34" t="n">
        <v>45826</v>
      </c>
      <c r="AH1061" s="15" t="n">
        <v>30.55</v>
      </c>
      <c r="AI1061" s="15" t="n">
        <v>28.16</v>
      </c>
      <c r="AJ1061" s="34" t="n">
        <v>45826</v>
      </c>
      <c r="AK1061" s="15" t="n">
        <v>21.3</v>
      </c>
      <c r="AL1061" s="15" t="n">
        <v>36.19</v>
      </c>
      <c r="AM1061" s="34" t="n">
        <v>45826</v>
      </c>
      <c r="AN1061" s="15" t="n">
        <v>306.4</v>
      </c>
      <c r="AO1061" s="15" t="n">
        <v>245.57</v>
      </c>
      <c r="AP1061" s="34" t="n">
        <v>45826</v>
      </c>
      <c r="AQ1061" s="15" t="n">
        <v>57.45</v>
      </c>
      <c r="AR1061" s="15" t="n">
        <v>51.81</v>
      </c>
      <c r="AS1061" s="34" t="n">
        <v>45826</v>
      </c>
      <c r="AT1061" s="15" t="n">
        <v>10.1</v>
      </c>
      <c r="AU1061" s="15" t="n">
        <v>13.28</v>
      </c>
      <c r="AV1061" s="34" t="n">
        <v>45826</v>
      </c>
    </row>
    <row r="1062">
      <c r="A1062" s="34" t="n">
        <v>45827</v>
      </c>
      <c r="B1062" s="266" t="n">
        <v>1.091722011566162</v>
      </c>
      <c r="C1062" s="34" t="n">
        <v>45827</v>
      </c>
      <c r="D1062" s="15" t="n">
        <v>14.56</v>
      </c>
      <c r="E1062" s="15" t="n">
        <v>19.01</v>
      </c>
      <c r="F1062" s="34" t="n">
        <v>45827</v>
      </c>
      <c r="G1062" s="15" t="n">
        <v>71</v>
      </c>
      <c r="H1062" s="15" t="n">
        <v>82.65000000000001</v>
      </c>
      <c r="I1062" s="34" t="n">
        <v>45827</v>
      </c>
      <c r="J1062" s="15" t="n">
        <v>17.76</v>
      </c>
      <c r="K1062" s="15" t="n">
        <v>22.4</v>
      </c>
      <c r="L1062" s="34" t="n">
        <v>45827</v>
      </c>
      <c r="M1062" s="15" t="n">
        <v>25.45</v>
      </c>
      <c r="N1062" s="15" t="n">
        <v>29.78</v>
      </c>
      <c r="O1062" s="34" t="n">
        <v>45827</v>
      </c>
      <c r="P1062" s="15" t="n">
        <v>52.4</v>
      </c>
      <c r="Q1062" s="15" t="n">
        <v>60.81</v>
      </c>
      <c r="R1062" s="34" t="n">
        <v>45827</v>
      </c>
      <c r="S1062" s="15" t="n">
        <v>21.6</v>
      </c>
      <c r="V1062" s="15" t="n">
        <v>22.4</v>
      </c>
      <c r="W1062" s="15" t="n">
        <v>20.78</v>
      </c>
      <c r="X1062" s="34" t="n">
        <v>45827</v>
      </c>
      <c r="Y1062" s="15" t="n">
        <v>74.45</v>
      </c>
      <c r="Z1062" s="15" t="n">
        <v>71.33</v>
      </c>
      <c r="AA1062" s="34" t="n">
        <v>45827</v>
      </c>
      <c r="AB1062" s="15" t="n">
        <v>6.39</v>
      </c>
      <c r="AC1062" s="15" t="n">
        <v>14.48</v>
      </c>
      <c r="AD1062" s="34" t="n">
        <v>45827</v>
      </c>
      <c r="AE1062" s="15" t="n">
        <v>45.2</v>
      </c>
      <c r="AF1062" s="15" t="n">
        <v>49.16</v>
      </c>
      <c r="AG1062" s="34" t="n">
        <v>45827</v>
      </c>
      <c r="AH1062" s="15" t="n">
        <v>29.3</v>
      </c>
      <c r="AI1062" s="15" t="n">
        <v>27.52</v>
      </c>
      <c r="AJ1062" s="34" t="n">
        <v>45827</v>
      </c>
      <c r="AK1062" s="15" t="n">
        <v>21.95</v>
      </c>
      <c r="AL1062" s="15" t="n">
        <v>36.08</v>
      </c>
      <c r="AM1062" s="34" t="n">
        <v>45827</v>
      </c>
      <c r="AN1062" s="15" t="n">
        <v>298.4</v>
      </c>
      <c r="AO1062" s="15" t="n">
        <v>242.1</v>
      </c>
      <c r="AP1062" s="34" t="n">
        <v>45827</v>
      </c>
      <c r="AQ1062" s="15" t="n">
        <v>56.9</v>
      </c>
      <c r="AR1062" s="15" t="n">
        <v>51.58</v>
      </c>
      <c r="AS1062" s="34" t="n">
        <v>45827</v>
      </c>
      <c r="AT1062" s="15" t="n">
        <v>9.98</v>
      </c>
      <c r="AU1062" s="15" t="n">
        <v>13.06</v>
      </c>
      <c r="AV1062" s="34" t="n">
        <v>45827</v>
      </c>
      <c r="AW1062" s="15" t="n">
        <v>36.5</v>
      </c>
      <c r="AX1062" s="15" t="n">
        <v>38.69</v>
      </c>
      <c r="AY1062" s="34" t="n">
        <v>45827</v>
      </c>
    </row>
    <row r="1063">
      <c r="A1063" s="34" t="n">
        <v>45828</v>
      </c>
      <c r="B1063" s="266" t="n">
        <v>1.091766953468323</v>
      </c>
      <c r="C1063" s="34" t="n">
        <v>45828</v>
      </c>
      <c r="D1063" s="15" t="n">
        <v>14.42</v>
      </c>
      <c r="E1063" s="15" t="n">
        <v>18.72</v>
      </c>
      <c r="F1063" s="34" t="n">
        <v>45828</v>
      </c>
      <c r="G1063" s="15" t="n">
        <v>70</v>
      </c>
      <c r="H1063" s="15" t="n">
        <v>82.8</v>
      </c>
      <c r="I1063" s="34" t="n">
        <v>45828</v>
      </c>
      <c r="J1063" s="15" t="n">
        <v>17.26</v>
      </c>
      <c r="K1063" s="15" t="n">
        <v>22.22</v>
      </c>
      <c r="L1063" s="34" t="n">
        <v>45828</v>
      </c>
      <c r="M1063" s="15" t="n">
        <v>25.35</v>
      </c>
      <c r="N1063" s="15" t="n">
        <v>29.33</v>
      </c>
      <c r="O1063" s="34" t="n">
        <v>45828</v>
      </c>
      <c r="P1063" s="15" t="n">
        <v>53.55</v>
      </c>
      <c r="Q1063" s="15" t="n">
        <v>60.18</v>
      </c>
      <c r="R1063" s="34" t="n">
        <v>45828</v>
      </c>
      <c r="S1063" s="15" t="n">
        <v>22</v>
      </c>
      <c r="V1063" s="15" t="n">
        <v>22.35</v>
      </c>
      <c r="W1063" s="15" t="n">
        <v>20.62</v>
      </c>
      <c r="X1063" s="34" t="n">
        <v>45828</v>
      </c>
      <c r="Y1063" s="15" t="n">
        <v>74.59999999999999</v>
      </c>
      <c r="Z1063" s="15" t="n">
        <v>72.38</v>
      </c>
      <c r="AA1063" s="34" t="n">
        <v>45828</v>
      </c>
      <c r="AB1063" s="15" t="n">
        <v>5.92</v>
      </c>
      <c r="AC1063" s="15" t="n">
        <v>13.05</v>
      </c>
      <c r="AD1063" s="34" t="n">
        <v>45828</v>
      </c>
      <c r="AE1063" s="15" t="n">
        <v>46</v>
      </c>
      <c r="AF1063" s="15" t="n">
        <v>50.65</v>
      </c>
      <c r="AG1063" s="34" t="n">
        <v>45828</v>
      </c>
      <c r="AH1063" s="15" t="n">
        <v>29.8</v>
      </c>
      <c r="AI1063" s="15" t="n">
        <v>27</v>
      </c>
      <c r="AJ1063" s="34" t="n">
        <v>45828</v>
      </c>
      <c r="AK1063" s="15" t="n">
        <v>21.6</v>
      </c>
      <c r="AL1063" s="15" t="n">
        <v>36.35</v>
      </c>
      <c r="AM1063" s="34" t="n">
        <v>45828</v>
      </c>
      <c r="AN1063" s="15" t="n">
        <v>299.8</v>
      </c>
      <c r="AO1063" s="15" t="n">
        <v>240.26</v>
      </c>
      <c r="AP1063" s="34" t="n">
        <v>45828</v>
      </c>
      <c r="AQ1063" s="15" t="n">
        <v>56.3</v>
      </c>
      <c r="AR1063" s="15" t="n">
        <v>51.76</v>
      </c>
      <c r="AS1063" s="34" t="n">
        <v>45828</v>
      </c>
      <c r="AT1063" s="15" t="n">
        <v>10.02</v>
      </c>
      <c r="AU1063" s="15" t="n">
        <v>12.83</v>
      </c>
      <c r="AV1063" s="34" t="n">
        <v>45828</v>
      </c>
      <c r="AW1063" s="15" t="n">
        <v>35.75</v>
      </c>
      <c r="AX1063" s="15" t="n">
        <v>38.51</v>
      </c>
      <c r="AY1063" s="34" t="n">
        <v>45828</v>
      </c>
    </row>
    <row r="1064">
      <c r="A1064" s="34" t="n">
        <v>45831</v>
      </c>
      <c r="B1064" s="266" t="n">
        <v>1.091856002807617</v>
      </c>
      <c r="C1064" s="34" t="n">
        <v>45831</v>
      </c>
      <c r="D1064" s="15" t="n">
        <v>15.06</v>
      </c>
      <c r="E1064" s="15" t="n">
        <v>19.08</v>
      </c>
      <c r="F1064" s="34" t="n">
        <v>45831</v>
      </c>
      <c r="G1064" s="15" t="n">
        <v>72.45</v>
      </c>
      <c r="H1064" s="15" t="n">
        <v>84.56</v>
      </c>
      <c r="I1064" s="34" t="n">
        <v>45831</v>
      </c>
      <c r="J1064" s="15" t="n">
        <v>17.9</v>
      </c>
      <c r="K1064" s="15" t="n">
        <v>22.39</v>
      </c>
      <c r="L1064" s="34" t="n">
        <v>45831</v>
      </c>
      <c r="M1064" s="15" t="n">
        <v>25.7</v>
      </c>
      <c r="N1064" s="15" t="n">
        <v>30.24</v>
      </c>
      <c r="O1064" s="34" t="n">
        <v>45831</v>
      </c>
      <c r="P1064" s="15" t="n">
        <v>52.75</v>
      </c>
      <c r="Q1064" s="15" t="n">
        <v>59.71</v>
      </c>
      <c r="R1064" s="34" t="n">
        <v>45831</v>
      </c>
      <c r="S1064" s="15" t="n">
        <v>19.9</v>
      </c>
      <c r="V1064" s="15" t="n">
        <v>22.6</v>
      </c>
      <c r="W1064" s="15" t="n">
        <v>20.86</v>
      </c>
      <c r="X1064" s="34" t="n">
        <v>45831</v>
      </c>
      <c r="Y1064" s="15" t="n">
        <v>73.8</v>
      </c>
      <c r="Z1064" s="15" t="n">
        <v>71.72</v>
      </c>
      <c r="AA1064" s="34" t="n">
        <v>45831</v>
      </c>
      <c r="AB1064" s="15" t="n">
        <v>6.05</v>
      </c>
      <c r="AC1064" s="15" t="n">
        <v>13.42</v>
      </c>
      <c r="AD1064" s="34" t="n">
        <v>45831</v>
      </c>
      <c r="AE1064" s="15" t="n">
        <v>46.1</v>
      </c>
      <c r="AF1064" s="15" t="n">
        <v>49.9</v>
      </c>
      <c r="AG1064" s="34" t="n">
        <v>45831</v>
      </c>
      <c r="AH1064" s="15" t="n">
        <v>29.1</v>
      </c>
      <c r="AI1064" s="15" t="n">
        <v>26.81</v>
      </c>
      <c r="AJ1064" s="34" t="n">
        <v>45831</v>
      </c>
      <c r="AK1064" s="15" t="n">
        <v>20.95</v>
      </c>
      <c r="AL1064" s="15" t="n">
        <v>36.12</v>
      </c>
      <c r="AM1064" s="34" t="n">
        <v>45831</v>
      </c>
      <c r="AN1064" s="15" t="n">
        <v>296.4</v>
      </c>
      <c r="AO1064" s="15" t="n">
        <v>239.61</v>
      </c>
      <c r="AP1064" s="34" t="n">
        <v>45831</v>
      </c>
      <c r="AQ1064" s="15" t="n">
        <v>55.85</v>
      </c>
      <c r="AR1064" s="15" t="n">
        <v>51.96</v>
      </c>
      <c r="AS1064" s="34" t="n">
        <v>45831</v>
      </c>
      <c r="AT1064" s="15" t="n">
        <v>10.36</v>
      </c>
      <c r="AU1064" s="15" t="n">
        <v>13</v>
      </c>
      <c r="AV1064" s="34" t="n">
        <v>45831</v>
      </c>
      <c r="AW1064" s="15" t="n">
        <v>35</v>
      </c>
      <c r="AX1064" s="15" t="n">
        <v>38.44</v>
      </c>
      <c r="AY1064" s="34" t="n">
        <v>45831</v>
      </c>
      <c r="AZ1064" s="15" t="n">
        <v>22.5</v>
      </c>
      <c r="BA1064" s="15" t="n">
        <v>24.5</v>
      </c>
      <c r="BB1064" s="34" t="n">
        <v>45831</v>
      </c>
    </row>
    <row r="1065">
      <c r="A1065" s="34" t="n">
        <v>45832</v>
      </c>
      <c r="B1065" s="266" t="n">
        <v>1.093309044837952</v>
      </c>
      <c r="C1065" s="34" t="n">
        <v>45832</v>
      </c>
      <c r="D1065" s="15" t="n">
        <v>15.76</v>
      </c>
      <c r="E1065" s="15" t="n">
        <v>19.25</v>
      </c>
      <c r="F1065" s="34" t="n">
        <v>45832</v>
      </c>
      <c r="G1065" s="15" t="n">
        <v>74.59999999999999</v>
      </c>
      <c r="H1065" s="15" t="n">
        <v>85.27</v>
      </c>
      <c r="I1065" s="34" t="n">
        <v>45832</v>
      </c>
      <c r="J1065" s="15" t="n">
        <v>18.12</v>
      </c>
      <c r="K1065" s="15" t="n">
        <v>22.6</v>
      </c>
      <c r="L1065" s="34" t="n">
        <v>45832</v>
      </c>
      <c r="M1065" s="15" t="n">
        <v>27.15</v>
      </c>
      <c r="N1065" s="15" t="n">
        <v>31.22</v>
      </c>
      <c r="O1065" s="34" t="n">
        <v>45832</v>
      </c>
      <c r="P1065" s="15" t="n">
        <v>53.55</v>
      </c>
      <c r="Q1065" s="15" t="n">
        <v>60.88</v>
      </c>
      <c r="R1065" s="34" t="n">
        <v>45832</v>
      </c>
      <c r="S1065" s="15" t="n">
        <v>21.75</v>
      </c>
      <c r="V1065" s="15" t="n">
        <v>23</v>
      </c>
      <c r="W1065" s="15" t="n">
        <v>21.49</v>
      </c>
      <c r="X1065" s="34" t="n">
        <v>45832</v>
      </c>
      <c r="Y1065" s="15" t="n">
        <v>75.5</v>
      </c>
      <c r="Z1065" s="15" t="n">
        <v>72.8</v>
      </c>
      <c r="AA1065" s="34" t="n">
        <v>45832</v>
      </c>
      <c r="AB1065" s="15" t="n">
        <v>6.86</v>
      </c>
      <c r="AC1065" s="15" t="n">
        <v>14.76</v>
      </c>
      <c r="AD1065" s="34" t="n">
        <v>45832</v>
      </c>
      <c r="AE1065" s="15" t="n">
        <v>46.6</v>
      </c>
      <c r="AF1065" s="15" t="n">
        <v>50.7</v>
      </c>
      <c r="AG1065" s="34" t="n">
        <v>45832</v>
      </c>
      <c r="AH1065" s="15" t="n">
        <v>28.35</v>
      </c>
      <c r="AI1065" s="15" t="n">
        <v>25.6</v>
      </c>
      <c r="AJ1065" s="34" t="n">
        <v>45832</v>
      </c>
      <c r="AK1065" s="15" t="n">
        <v>21</v>
      </c>
      <c r="AL1065" s="15" t="n">
        <v>37.22</v>
      </c>
      <c r="AM1065" s="34" t="n">
        <v>45832</v>
      </c>
      <c r="AN1065" s="15" t="n">
        <v>303</v>
      </c>
      <c r="AO1065" s="15" t="n">
        <v>245.92</v>
      </c>
      <c r="AP1065" s="34" t="n">
        <v>45832</v>
      </c>
      <c r="AQ1065" s="15" t="n">
        <v>57.7</v>
      </c>
      <c r="AR1065" s="15" t="n">
        <v>52.15</v>
      </c>
      <c r="AS1065" s="34" t="n">
        <v>45832</v>
      </c>
      <c r="AT1065" s="15" t="n">
        <v>10.76</v>
      </c>
      <c r="AU1065" s="15" t="n">
        <v>13.26</v>
      </c>
      <c r="AV1065" s="34" t="n">
        <v>45832</v>
      </c>
      <c r="AW1065" s="15" t="n">
        <v>36.5</v>
      </c>
      <c r="AX1065" s="15" t="n">
        <v>38.98</v>
      </c>
      <c r="AY1065" s="34" t="n">
        <v>45832</v>
      </c>
      <c r="AZ1065" s="15" t="n">
        <v>24.85</v>
      </c>
      <c r="BA1065" s="15" t="n">
        <v>25.7</v>
      </c>
      <c r="BB1065" s="34" t="n">
        <v>45832</v>
      </c>
    </row>
    <row r="1066">
      <c r="A1066" s="34" t="n">
        <v>45833</v>
      </c>
      <c r="B1066" s="266" t="n">
        <v>1.094483971595764</v>
      </c>
      <c r="C1066" s="34" t="n">
        <v>45833</v>
      </c>
      <c r="D1066" s="15" t="n">
        <v>16</v>
      </c>
      <c r="E1066" s="15" t="n">
        <v>19.47</v>
      </c>
      <c r="F1066" s="34" t="n">
        <v>45833</v>
      </c>
      <c r="G1066" s="15" t="n">
        <v>72.8</v>
      </c>
      <c r="H1066" s="15" t="n">
        <v>85.64</v>
      </c>
      <c r="I1066" s="34" t="n">
        <v>45833</v>
      </c>
      <c r="J1066" s="15" t="n">
        <v>18.16</v>
      </c>
      <c r="K1066" s="15" t="n">
        <v>22.67</v>
      </c>
      <c r="L1066" s="34" t="n">
        <v>45833</v>
      </c>
      <c r="M1066" s="15" t="n">
        <v>27.5</v>
      </c>
      <c r="N1066" s="15" t="n">
        <v>31.52</v>
      </c>
      <c r="O1066" s="34" t="n">
        <v>45833</v>
      </c>
      <c r="P1066" s="15" t="n">
        <v>53.5</v>
      </c>
      <c r="Q1066" s="15" t="n">
        <v>61.3</v>
      </c>
      <c r="R1066" s="34" t="n">
        <v>45833</v>
      </c>
      <c r="S1066" s="15" t="n">
        <v>22.4</v>
      </c>
      <c r="V1066" s="15" t="n">
        <v>23.15</v>
      </c>
      <c r="W1066" s="15" t="n">
        <v>21.56</v>
      </c>
      <c r="X1066" s="34" t="n">
        <v>45833</v>
      </c>
      <c r="Y1066" s="15" t="n">
        <v>76.75</v>
      </c>
      <c r="Z1066" s="15" t="n">
        <v>73.18000000000001</v>
      </c>
      <c r="AA1066" s="34" t="n">
        <v>45833</v>
      </c>
      <c r="AB1066" s="15" t="n">
        <v>7.17</v>
      </c>
      <c r="AC1066" s="15" t="n">
        <v>16.24</v>
      </c>
      <c r="AD1066" s="34" t="n">
        <v>45833</v>
      </c>
      <c r="AE1066" s="15" t="n">
        <v>46.2</v>
      </c>
      <c r="AF1066" s="15" t="n">
        <v>50.29</v>
      </c>
      <c r="AG1066" s="34" t="n">
        <v>45833</v>
      </c>
      <c r="AH1066" s="15" t="n">
        <v>27.8</v>
      </c>
      <c r="AI1066" s="15" t="n">
        <v>25.5</v>
      </c>
      <c r="AJ1066" s="34" t="n">
        <v>45833</v>
      </c>
      <c r="AK1066" s="15" t="n">
        <v>20.65</v>
      </c>
      <c r="AL1066" s="15" t="n">
        <v>37.51</v>
      </c>
      <c r="AM1066" s="34" t="n">
        <v>45833</v>
      </c>
      <c r="AN1066" s="15" t="n">
        <v>319</v>
      </c>
      <c r="AO1066" s="15" t="n">
        <v>254.9</v>
      </c>
      <c r="AP1066" s="34" t="n">
        <v>45833</v>
      </c>
      <c r="AQ1066" s="15" t="n">
        <v>58.5</v>
      </c>
      <c r="AR1066" s="15" t="n">
        <v>52.95</v>
      </c>
      <c r="AS1066" s="34" t="n">
        <v>45833</v>
      </c>
      <c r="AT1066" s="15" t="n">
        <v>11.16</v>
      </c>
      <c r="AU1066" s="15" t="n">
        <v>13.35</v>
      </c>
      <c r="AV1066" s="34" t="n">
        <v>45833</v>
      </c>
      <c r="AW1066" s="15" t="n">
        <v>36.3</v>
      </c>
      <c r="AX1066" s="15" t="n">
        <v>39.46</v>
      </c>
      <c r="AY1066" s="34" t="n">
        <v>45833</v>
      </c>
      <c r="AZ1066" s="15" t="n">
        <v>26.35</v>
      </c>
      <c r="BA1066" s="15" t="n">
        <v>26.49</v>
      </c>
      <c r="BB1066" s="34" t="n">
        <v>45833</v>
      </c>
    </row>
    <row r="1067">
      <c r="A1067" s="34" t="n">
        <v>45834</v>
      </c>
      <c r="B1067" s="266" t="n">
        <v>1.093523025512695</v>
      </c>
      <c r="C1067" s="34" t="n">
        <v>45834</v>
      </c>
      <c r="D1067" s="15" t="n">
        <v>15.18</v>
      </c>
      <c r="E1067" s="15" t="n">
        <v>18.98</v>
      </c>
      <c r="F1067" s="34" t="n">
        <v>45834</v>
      </c>
      <c r="G1067" s="15" t="n">
        <v>71.5</v>
      </c>
      <c r="H1067" s="15" t="n">
        <v>82.65000000000001</v>
      </c>
      <c r="I1067" s="34" t="n">
        <v>45834</v>
      </c>
      <c r="J1067" s="15" t="n">
        <v>17.9</v>
      </c>
      <c r="K1067" s="15" t="n">
        <v>22.19</v>
      </c>
      <c r="L1067" s="34" t="n">
        <v>45834</v>
      </c>
      <c r="M1067" s="15" t="n">
        <v>27.3</v>
      </c>
      <c r="N1067" s="15" t="n">
        <v>31.44</v>
      </c>
      <c r="O1067" s="34" t="n">
        <v>45834</v>
      </c>
      <c r="P1067" s="15" t="n">
        <v>54</v>
      </c>
      <c r="Q1067" s="15" t="n">
        <v>61.1</v>
      </c>
      <c r="R1067" s="34" t="n">
        <v>45834</v>
      </c>
      <c r="S1067" s="15" t="n">
        <v>22.15</v>
      </c>
      <c r="V1067" s="15" t="n">
        <v>22.65</v>
      </c>
      <c r="W1067" s="15" t="n">
        <v>21.21</v>
      </c>
      <c r="X1067" s="34" t="n">
        <v>45834</v>
      </c>
      <c r="Y1067" s="15" t="n">
        <v>75.75</v>
      </c>
      <c r="Z1067" s="15" t="n">
        <v>73.09999999999999</v>
      </c>
      <c r="AA1067" s="34" t="n">
        <v>45834</v>
      </c>
      <c r="AB1067" s="15" t="n">
        <v>6.61</v>
      </c>
      <c r="AC1067" s="15" t="n">
        <v>15.73</v>
      </c>
      <c r="AD1067" s="34" t="n">
        <v>45834</v>
      </c>
      <c r="AE1067" s="15" t="n">
        <v>44.3</v>
      </c>
      <c r="AF1067" s="15" t="n">
        <v>49.15</v>
      </c>
      <c r="AG1067" s="34" t="n">
        <v>45834</v>
      </c>
      <c r="AH1067" s="15" t="n">
        <v>27.7</v>
      </c>
      <c r="AI1067" s="15" t="n">
        <v>25.4</v>
      </c>
      <c r="AJ1067" s="34" t="n">
        <v>45834</v>
      </c>
      <c r="AK1067" s="15" t="n">
        <v>20.5</v>
      </c>
      <c r="AL1067" s="15" t="n">
        <v>36.93</v>
      </c>
      <c r="AM1067" s="34" t="n">
        <v>45834</v>
      </c>
      <c r="AN1067" s="15" t="n">
        <v>324.6</v>
      </c>
      <c r="AO1067" s="15" t="n">
        <v>252.79</v>
      </c>
      <c r="AP1067" s="34" t="n">
        <v>45834</v>
      </c>
      <c r="AQ1067" s="15" t="n">
        <v>55.6</v>
      </c>
      <c r="AR1067" s="15" t="n">
        <v>52.08</v>
      </c>
      <c r="AS1067" s="34" t="n">
        <v>45834</v>
      </c>
      <c r="AT1067" s="15" t="n">
        <v>11.8</v>
      </c>
      <c r="AU1067" s="15" t="n">
        <v>14.04</v>
      </c>
      <c r="AV1067" s="34" t="n">
        <v>45834</v>
      </c>
      <c r="AW1067" s="15" t="n">
        <v>35.05</v>
      </c>
      <c r="AX1067" s="15" t="n">
        <v>38.95</v>
      </c>
      <c r="AY1067" s="34" t="n">
        <v>45834</v>
      </c>
      <c r="AZ1067" s="15" t="n">
        <v>25</v>
      </c>
      <c r="BA1067" s="15" t="n">
        <v>26.12</v>
      </c>
      <c r="BB1067" s="34" t="n">
        <v>45834</v>
      </c>
    </row>
    <row r="1068">
      <c r="A1068" s="34" t="n">
        <v>45835</v>
      </c>
      <c r="B1068" s="266" t="n">
        <v>1.095173001289368</v>
      </c>
      <c r="C1068" s="34" t="n">
        <v>45835</v>
      </c>
      <c r="D1068" s="15" t="n">
        <v>15.44</v>
      </c>
      <c r="E1068" s="15" t="n">
        <v>19.12</v>
      </c>
      <c r="F1068" s="34" t="n">
        <v>45835</v>
      </c>
      <c r="G1068" s="15" t="n">
        <v>74.40000000000001</v>
      </c>
      <c r="H1068" s="15" t="n">
        <v>83.36</v>
      </c>
      <c r="I1068" s="34" t="n">
        <v>45835</v>
      </c>
      <c r="J1068" s="15" t="n">
        <v>18.76</v>
      </c>
      <c r="K1068" s="15" t="n">
        <v>22.71</v>
      </c>
      <c r="L1068" s="34" t="n">
        <v>45835</v>
      </c>
      <c r="M1068" s="15" t="n">
        <v>29.15</v>
      </c>
      <c r="N1068" s="15" t="n">
        <v>32.27</v>
      </c>
      <c r="O1068" s="34" t="n">
        <v>45835</v>
      </c>
      <c r="P1068" s="15" t="n">
        <v>52.3</v>
      </c>
      <c r="Q1068" s="15" t="n">
        <v>60.59</v>
      </c>
      <c r="R1068" s="34" t="n">
        <v>45835</v>
      </c>
      <c r="S1068" s="15" t="n">
        <v>22.65</v>
      </c>
      <c r="V1068" s="15" t="n">
        <v>22.45</v>
      </c>
      <c r="W1068" s="15" t="n">
        <v>21.26</v>
      </c>
      <c r="X1068" s="34" t="n">
        <v>45835</v>
      </c>
      <c r="Y1068" s="15" t="n">
        <v>74.95</v>
      </c>
      <c r="Z1068" s="15" t="n">
        <v>72.28</v>
      </c>
      <c r="AA1068" s="34" t="n">
        <v>45835</v>
      </c>
      <c r="AB1068" s="15" t="n">
        <v>6.67</v>
      </c>
      <c r="AC1068" s="15" t="n">
        <v>15.59</v>
      </c>
      <c r="AD1068" s="34" t="n">
        <v>45835</v>
      </c>
      <c r="AE1068" s="15" t="n">
        <v>44.5</v>
      </c>
      <c r="AF1068" s="15" t="n">
        <v>48.69</v>
      </c>
      <c r="AG1068" s="34" t="n">
        <v>45835</v>
      </c>
      <c r="AH1068" s="15" t="n">
        <v>26.65</v>
      </c>
      <c r="AI1068" s="15" t="n">
        <v>24.79</v>
      </c>
      <c r="AJ1068" s="34" t="n">
        <v>45835</v>
      </c>
      <c r="AK1068" s="15" t="n">
        <v>20.55</v>
      </c>
      <c r="AL1068" s="15" t="n">
        <v>37.39</v>
      </c>
      <c r="AM1068" s="34" t="n">
        <v>45835</v>
      </c>
      <c r="AN1068" s="15" t="n">
        <v>327</v>
      </c>
      <c r="AO1068" s="15" t="n">
        <v>250.99</v>
      </c>
      <c r="AP1068" s="34" t="n">
        <v>45835</v>
      </c>
      <c r="AQ1068" s="15" t="n">
        <v>55.35</v>
      </c>
      <c r="AR1068" s="15" t="n">
        <v>51.95</v>
      </c>
      <c r="AS1068" s="34" t="n">
        <v>45835</v>
      </c>
      <c r="AT1068" s="15" t="n">
        <v>11.82</v>
      </c>
      <c r="AU1068" s="15" t="n">
        <v>13.96</v>
      </c>
      <c r="AV1068" s="34" t="n">
        <v>45835</v>
      </c>
      <c r="AW1068" s="15" t="n">
        <v>35.05</v>
      </c>
      <c r="AX1068" s="15" t="n">
        <v>38.76</v>
      </c>
      <c r="AY1068" s="34" t="n">
        <v>45835</v>
      </c>
      <c r="AZ1068" s="15" t="n">
        <v>24.3</v>
      </c>
      <c r="BA1068" s="15" t="n">
        <v>26.04</v>
      </c>
      <c r="BB1068" s="34" t="n">
        <v>45835</v>
      </c>
    </row>
    <row r="1069">
      <c r="A1069" s="34" t="n">
        <v>45838</v>
      </c>
      <c r="B1069" s="266" t="n">
        <v>1.094328045845032</v>
      </c>
      <c r="C1069" s="34" t="n">
        <v>45838</v>
      </c>
      <c r="D1069" s="15" t="n">
        <v>17.4</v>
      </c>
      <c r="E1069" s="15" t="n">
        <v>21.03</v>
      </c>
      <c r="F1069" s="34" t="n">
        <v>45838</v>
      </c>
      <c r="G1069" s="15" t="n">
        <v>78.7</v>
      </c>
      <c r="H1069" s="15" t="n">
        <v>88.25</v>
      </c>
      <c r="I1069" s="34" t="n">
        <v>45838</v>
      </c>
      <c r="J1069" s="15" t="n">
        <v>19.2</v>
      </c>
      <c r="K1069" s="15" t="n">
        <v>23.84</v>
      </c>
      <c r="L1069" s="34" t="n">
        <v>45838</v>
      </c>
      <c r="M1069" s="15" t="n">
        <v>28.95</v>
      </c>
      <c r="N1069" s="15" t="n">
        <v>32.04</v>
      </c>
      <c r="O1069" s="34" t="n">
        <v>45838</v>
      </c>
      <c r="P1069" s="15" t="n">
        <v>52.1</v>
      </c>
      <c r="Q1069" s="15" t="n">
        <v>60.97</v>
      </c>
      <c r="R1069" s="34" t="n">
        <v>45838</v>
      </c>
      <c r="S1069" s="15" t="n">
        <v>22.5</v>
      </c>
      <c r="V1069" s="15" t="n">
        <v>22.5</v>
      </c>
      <c r="W1069" s="15" t="n">
        <v>21.35</v>
      </c>
      <c r="X1069" s="34" t="n">
        <v>45838</v>
      </c>
      <c r="Y1069" s="15" t="n">
        <v>74.45</v>
      </c>
      <c r="Z1069" s="15" t="n">
        <v>72.2</v>
      </c>
      <c r="AA1069" s="34" t="n">
        <v>45838</v>
      </c>
      <c r="AB1069" s="15" t="n">
        <v>6.72</v>
      </c>
      <c r="AC1069" s="15" t="n">
        <v>15.99</v>
      </c>
      <c r="AD1069" s="34" t="n">
        <v>45838</v>
      </c>
      <c r="AE1069" s="15" t="n">
        <v>45.2</v>
      </c>
      <c r="AF1069" s="15" t="n">
        <v>48.76</v>
      </c>
      <c r="AG1069" s="34" t="n">
        <v>45838</v>
      </c>
      <c r="AH1069" s="15" t="n">
        <v>27.3</v>
      </c>
      <c r="AI1069" s="15" t="n">
        <v>24.88</v>
      </c>
      <c r="AJ1069" s="34" t="n">
        <v>45838</v>
      </c>
      <c r="AK1069" s="15" t="n">
        <v>20.9</v>
      </c>
      <c r="AL1069" s="15" t="n">
        <v>39</v>
      </c>
      <c r="AM1069" s="34" t="n">
        <v>45838</v>
      </c>
      <c r="AN1069" s="15" t="n">
        <v>329.2</v>
      </c>
      <c r="AO1069" s="15" t="n">
        <v>252.22</v>
      </c>
      <c r="AP1069" s="34" t="n">
        <v>45838</v>
      </c>
      <c r="AQ1069" s="15" t="n">
        <v>53.8</v>
      </c>
      <c r="AR1069" s="15" t="n">
        <v>51.9</v>
      </c>
      <c r="AS1069" s="34" t="n">
        <v>45838</v>
      </c>
      <c r="AT1069" s="15" t="n">
        <v>12.62</v>
      </c>
      <c r="AU1069" s="15" t="n">
        <v>14.26</v>
      </c>
      <c r="AV1069" s="34" t="n">
        <v>45838</v>
      </c>
      <c r="AW1069" s="15" t="n">
        <v>35.05</v>
      </c>
      <c r="AX1069" s="15" t="n">
        <v>38.91</v>
      </c>
      <c r="AY1069" s="34" t="n">
        <v>45838</v>
      </c>
      <c r="AZ1069" s="15" t="n">
        <v>25.15</v>
      </c>
      <c r="BA1069" s="15" t="n">
        <v>26.38</v>
      </c>
      <c r="BB1069" s="34" t="n">
        <v>45838</v>
      </c>
    </row>
    <row r="1070">
      <c r="A1070" s="34" t="n">
        <v>45840</v>
      </c>
      <c r="B1070" s="266" t="n">
        <v>1.095211982727051</v>
      </c>
      <c r="C1070" s="34" t="n">
        <v>45840</v>
      </c>
      <c r="D1070" s="15" t="n">
        <v>17.16</v>
      </c>
      <c r="E1070" s="15" t="n">
        <v>21.95</v>
      </c>
      <c r="F1070" s="34" t="n">
        <v>45840</v>
      </c>
      <c r="G1070" s="15" t="n">
        <v>78.2</v>
      </c>
      <c r="H1070" s="15" t="n">
        <v>88.43000000000001</v>
      </c>
      <c r="I1070" s="34" t="n">
        <v>45840</v>
      </c>
      <c r="J1070" s="15" t="n">
        <v>18.78</v>
      </c>
      <c r="K1070" s="15" t="n">
        <v>23.38</v>
      </c>
      <c r="L1070" s="34" t="n">
        <v>45840</v>
      </c>
      <c r="M1070" s="15" t="n">
        <v>29.25</v>
      </c>
      <c r="N1070" s="15" t="n">
        <v>32.45</v>
      </c>
      <c r="O1070" s="34" t="n">
        <v>45840</v>
      </c>
      <c r="P1070" s="15" t="n">
        <v>53.3</v>
      </c>
      <c r="Q1070" s="15" t="n">
        <v>60.68</v>
      </c>
      <c r="R1070" s="34" t="n">
        <v>45840</v>
      </c>
      <c r="S1070" s="15" t="n">
        <v>22.65</v>
      </c>
      <c r="V1070" s="15" t="n">
        <v>22.85</v>
      </c>
      <c r="W1070" s="15" t="n">
        <v>21.54</v>
      </c>
      <c r="X1070" s="34" t="n">
        <v>45840</v>
      </c>
      <c r="Y1070" s="15" t="n">
        <v>76</v>
      </c>
      <c r="Z1070" s="15" t="n">
        <v>72.5</v>
      </c>
      <c r="AA1070" s="34" t="n">
        <v>45840</v>
      </c>
      <c r="AB1070" s="15" t="n">
        <v>6.7</v>
      </c>
      <c r="AC1070" s="15" t="n">
        <v>15.37</v>
      </c>
      <c r="AD1070" s="34" t="n">
        <v>45840</v>
      </c>
      <c r="AE1070" s="15" t="n">
        <v>43.9</v>
      </c>
      <c r="AF1070" s="15" t="n">
        <v>48.27</v>
      </c>
      <c r="AG1070" s="34" t="n">
        <v>45840</v>
      </c>
      <c r="AH1070" s="15" t="n">
        <v>27</v>
      </c>
      <c r="AI1070" s="15" t="n">
        <v>24.8</v>
      </c>
      <c r="AJ1070" s="34" t="n">
        <v>45840</v>
      </c>
      <c r="AK1070" s="15" t="n">
        <v>21.9</v>
      </c>
      <c r="AL1070" s="15" t="n">
        <v>40.23</v>
      </c>
      <c r="AM1070" s="34" t="n">
        <v>45840</v>
      </c>
      <c r="AN1070" s="15" t="n">
        <v>334.6</v>
      </c>
      <c r="AO1070" s="15" t="n">
        <v>250.45</v>
      </c>
      <c r="AP1070" s="34" t="n">
        <v>45840</v>
      </c>
      <c r="AQ1070" s="15" t="n">
        <v>55.4</v>
      </c>
      <c r="AR1070" s="15" t="n">
        <v>52.25</v>
      </c>
      <c r="AS1070" s="34" t="n">
        <v>45840</v>
      </c>
      <c r="AT1070" s="15" t="n">
        <v>12.8</v>
      </c>
      <c r="AU1070" s="15" t="n">
        <v>14.16</v>
      </c>
      <c r="AV1070" s="34" t="n">
        <v>45840</v>
      </c>
      <c r="AW1070" s="15" t="n">
        <v>35.05</v>
      </c>
      <c r="AX1070" s="15" t="n">
        <v>38.9</v>
      </c>
      <c r="AY1070" s="34" t="n">
        <v>45840</v>
      </c>
      <c r="AZ1070" s="15" t="n">
        <v>24.2</v>
      </c>
      <c r="BA1070" s="15" t="n">
        <v>25.76</v>
      </c>
      <c r="BB1070" s="34" t="n">
        <v>45840</v>
      </c>
    </row>
    <row r="1071">
      <c r="A1071" s="34" t="n">
        <v>45841</v>
      </c>
      <c r="B1071" s="266" t="n">
        <v>1.095422029495239</v>
      </c>
      <c r="C1071" s="34" t="n">
        <v>45841</v>
      </c>
      <c r="D1071" s="15" t="n">
        <v>17.26</v>
      </c>
      <c r="E1071" s="15" t="n">
        <v>21.93</v>
      </c>
      <c r="F1071" s="34" t="n">
        <v>45841</v>
      </c>
      <c r="G1071" s="15" t="n">
        <v>78.3</v>
      </c>
      <c r="H1071" s="15" t="n">
        <v>89.13</v>
      </c>
      <c r="I1071" s="34" t="n">
        <v>45841</v>
      </c>
      <c r="J1071" s="15" t="n">
        <v>18.76</v>
      </c>
      <c r="K1071" s="15" t="n">
        <v>23.2</v>
      </c>
      <c r="L1071" s="34" t="n">
        <v>45841</v>
      </c>
      <c r="M1071" s="15" t="n">
        <v>29.75</v>
      </c>
      <c r="N1071" s="15" t="n">
        <v>33.33</v>
      </c>
      <c r="O1071" s="34" t="n">
        <v>45841</v>
      </c>
      <c r="P1071" s="15" t="n">
        <v>53.8</v>
      </c>
      <c r="Q1071" s="15" t="n">
        <v>60.73</v>
      </c>
      <c r="R1071" s="34" t="n">
        <v>45841</v>
      </c>
      <c r="S1071" s="15" t="n">
        <v>23.6</v>
      </c>
      <c r="V1071" s="15" t="n">
        <v>24.45</v>
      </c>
      <c r="W1071" s="15" t="n">
        <v>22</v>
      </c>
      <c r="X1071" s="34" t="n">
        <v>45841</v>
      </c>
      <c r="Y1071" s="15" t="n">
        <v>76.45</v>
      </c>
      <c r="Z1071" s="15" t="n">
        <v>72.89</v>
      </c>
      <c r="AA1071" s="34" t="n">
        <v>45841</v>
      </c>
      <c r="AB1071" s="15" t="n">
        <v>6.81</v>
      </c>
      <c r="AC1071" s="15" t="n">
        <v>15.53</v>
      </c>
      <c r="AD1071" s="34" t="n">
        <v>45841</v>
      </c>
      <c r="AE1071" s="15" t="n">
        <v>43.8</v>
      </c>
      <c r="AF1071" s="15" t="n">
        <v>47.45</v>
      </c>
      <c r="AG1071" s="34" t="n">
        <v>45841</v>
      </c>
      <c r="AH1071" s="15" t="n">
        <v>26.95</v>
      </c>
      <c r="AI1071" s="15" t="n">
        <v>24.9</v>
      </c>
      <c r="AJ1071" s="34" t="n">
        <v>45841</v>
      </c>
      <c r="AK1071" s="15" t="n">
        <v>21.45</v>
      </c>
      <c r="AL1071" s="15" t="n">
        <v>39.5</v>
      </c>
      <c r="AM1071" s="34" t="n">
        <v>45841</v>
      </c>
      <c r="AN1071" s="15" t="n">
        <v>343.6</v>
      </c>
      <c r="AO1071" s="15" t="n">
        <v>262.59</v>
      </c>
      <c r="AP1071" s="34" t="n">
        <v>45841</v>
      </c>
      <c r="AQ1071" s="15" t="n">
        <v>57</v>
      </c>
      <c r="AR1071" s="15" t="n">
        <v>52.47</v>
      </c>
      <c r="AS1071" s="34" t="n">
        <v>45841</v>
      </c>
      <c r="AT1071" s="15" t="n">
        <v>12.82</v>
      </c>
      <c r="AU1071" s="15" t="n">
        <v>14.57</v>
      </c>
      <c r="AV1071" s="34" t="n">
        <v>45841</v>
      </c>
      <c r="AW1071" s="15" t="n">
        <v>34.8</v>
      </c>
      <c r="AX1071" s="15" t="n">
        <v>38.92</v>
      </c>
      <c r="AY1071" s="34" t="n">
        <v>45841</v>
      </c>
      <c r="AZ1071" s="15" t="n">
        <v>24.3</v>
      </c>
      <c r="BA1071" s="15" t="n">
        <v>25.96</v>
      </c>
      <c r="BB1071" s="34" t="n">
        <v>45841</v>
      </c>
    </row>
    <row r="1072">
      <c r="A1072" s="34" t="n">
        <v>45842</v>
      </c>
      <c r="B1072" s="266" t="n">
        <v>1.095221042633057</v>
      </c>
      <c r="C1072" s="34" t="n">
        <v>45842</v>
      </c>
      <c r="D1072" s="15" t="n">
        <v>18.02</v>
      </c>
      <c r="E1072" s="15" t="n">
        <v>22.36</v>
      </c>
      <c r="F1072" s="34" t="n">
        <v>45842</v>
      </c>
      <c r="G1072" s="15" t="n">
        <v>82.75</v>
      </c>
      <c r="H1072" s="15" t="n">
        <v>89.04000000000001</v>
      </c>
      <c r="I1072" s="34" t="n">
        <v>45842</v>
      </c>
      <c r="J1072" s="15" t="n">
        <v>18.18</v>
      </c>
      <c r="K1072" s="15" t="n">
        <v>22.6</v>
      </c>
      <c r="L1072" s="34" t="n">
        <v>45842</v>
      </c>
      <c r="M1072" s="15" t="n">
        <v>28.9</v>
      </c>
      <c r="N1072" s="15" t="n">
        <v>32.37</v>
      </c>
      <c r="O1072" s="34" t="n">
        <v>45842</v>
      </c>
      <c r="P1072" s="15" t="n">
        <v>53.95</v>
      </c>
      <c r="Q1072" s="15" t="n">
        <v>61.03</v>
      </c>
      <c r="R1072" s="34" t="n">
        <v>45842</v>
      </c>
      <c r="S1072" s="15" t="n">
        <v>23</v>
      </c>
      <c r="V1072" s="15" t="n">
        <v>23.8</v>
      </c>
      <c r="W1072" s="15" t="n">
        <v>21.61</v>
      </c>
      <c r="X1072" s="34" t="n">
        <v>45842</v>
      </c>
      <c r="Y1072" s="15" t="n">
        <v>77.55</v>
      </c>
      <c r="Z1072" s="15" t="n">
        <v>73.48</v>
      </c>
      <c r="AA1072" s="34" t="n">
        <v>45842</v>
      </c>
      <c r="AB1072" s="15" t="n">
        <v>6.51</v>
      </c>
      <c r="AC1072" s="15" t="n">
        <v>14.82</v>
      </c>
      <c r="AD1072" s="34" t="n">
        <v>45842</v>
      </c>
      <c r="AE1072" s="15" t="n">
        <v>43.85</v>
      </c>
      <c r="AF1072" s="15" t="n">
        <v>47.91</v>
      </c>
      <c r="AG1072" s="34" t="n">
        <v>45842</v>
      </c>
      <c r="AH1072" s="15" t="n">
        <v>25.8</v>
      </c>
      <c r="AI1072" s="15" t="n">
        <v>24.38</v>
      </c>
      <c r="AJ1072" s="34" t="n">
        <v>45842</v>
      </c>
      <c r="AK1072" s="15" t="n">
        <v>21.9</v>
      </c>
      <c r="AL1072" s="15" t="n">
        <v>39.18</v>
      </c>
      <c r="AM1072" s="34" t="n">
        <v>45842</v>
      </c>
      <c r="AN1072" s="15" t="n">
        <v>357</v>
      </c>
      <c r="AO1072" s="15" t="n">
        <v>265.8</v>
      </c>
      <c r="AP1072" s="34" t="n">
        <v>45842</v>
      </c>
      <c r="AQ1072" s="15" t="n">
        <v>59.2</v>
      </c>
      <c r="AR1072" s="15" t="n">
        <v>53.26</v>
      </c>
      <c r="AS1072" s="34" t="n">
        <v>45842</v>
      </c>
      <c r="AT1072" s="15" t="n">
        <v>13.08</v>
      </c>
      <c r="AU1072" s="15" t="n">
        <v>14.6</v>
      </c>
      <c r="AV1072" s="34" t="n">
        <v>45842</v>
      </c>
      <c r="AW1072" s="15" t="n">
        <v>34.9</v>
      </c>
      <c r="AX1072" s="15" t="n">
        <v>38.86</v>
      </c>
      <c r="AY1072" s="34" t="n">
        <v>45842</v>
      </c>
      <c r="AZ1072" s="15" t="n">
        <v>23.1</v>
      </c>
      <c r="BA1072" s="15" t="n">
        <v>25.67</v>
      </c>
      <c r="BB1072" s="34" t="n">
        <v>45842</v>
      </c>
      <c r="BC1072" s="15" t="n">
        <v>57</v>
      </c>
      <c r="BD1072" s="15" t="n">
        <v>76.40000000000001</v>
      </c>
      <c r="BE1072" s="34" t="n">
        <v>45842</v>
      </c>
    </row>
    <row r="1073">
      <c r="A1073" s="34" t="n">
        <v>45845</v>
      </c>
      <c r="B1073" s="266" t="n">
        <v>1.095430970191956</v>
      </c>
      <c r="C1073" s="34" t="n">
        <v>45845</v>
      </c>
      <c r="D1073" s="15" t="n">
        <v>18.28</v>
      </c>
      <c r="E1073" s="15" t="n">
        <v>22.86</v>
      </c>
      <c r="F1073" s="34" t="n">
        <v>45845</v>
      </c>
      <c r="G1073" s="15" t="n">
        <v>80.09999999999999</v>
      </c>
      <c r="H1073" s="15" t="n">
        <v>86.42</v>
      </c>
      <c r="I1073" s="34" t="n">
        <v>45845</v>
      </c>
      <c r="J1073" s="15" t="n">
        <v>18.28</v>
      </c>
      <c r="K1073" s="15" t="n">
        <v>22.89</v>
      </c>
      <c r="L1073" s="34" t="n">
        <v>45845</v>
      </c>
      <c r="M1073" s="15" t="n">
        <v>28.9</v>
      </c>
      <c r="N1073" s="15" t="n">
        <v>32.2</v>
      </c>
      <c r="O1073" s="34" t="n">
        <v>45845</v>
      </c>
      <c r="P1073" s="15" t="n">
        <v>53.55</v>
      </c>
      <c r="Q1073" s="15" t="n">
        <v>60.8</v>
      </c>
      <c r="R1073" s="34" t="n">
        <v>45845</v>
      </c>
      <c r="S1073" s="15" t="n">
        <v>21.25</v>
      </c>
      <c r="V1073" s="15" t="n">
        <v>23.35</v>
      </c>
      <c r="W1073" s="15" t="n">
        <v>21.5</v>
      </c>
      <c r="X1073" s="34" t="n">
        <v>45845</v>
      </c>
      <c r="Y1073" s="15" t="n">
        <v>76.5</v>
      </c>
      <c r="Z1073" s="15" t="n">
        <v>72.55</v>
      </c>
      <c r="AA1073" s="34" t="n">
        <v>45845</v>
      </c>
      <c r="AB1073" s="15" t="n">
        <v>6.51</v>
      </c>
      <c r="AC1073" s="15" t="n">
        <v>14.98</v>
      </c>
      <c r="AD1073" s="34" t="n">
        <v>45845</v>
      </c>
      <c r="AE1073" s="15" t="n">
        <v>43.2</v>
      </c>
      <c r="AF1073" s="15" t="n">
        <v>47.76</v>
      </c>
      <c r="AG1073" s="34" t="n">
        <v>45845</v>
      </c>
      <c r="AH1073" s="15" t="n">
        <v>24.95</v>
      </c>
      <c r="AI1073" s="15" t="n">
        <v>24.13</v>
      </c>
      <c r="AJ1073" s="34" t="n">
        <v>45845</v>
      </c>
      <c r="AK1073" s="15" t="n">
        <v>21.3</v>
      </c>
      <c r="AL1073" s="15" t="n">
        <v>38.81</v>
      </c>
      <c r="AM1073" s="34" t="n">
        <v>45845</v>
      </c>
      <c r="AN1073" s="15" t="n">
        <v>354</v>
      </c>
      <c r="AO1073" s="15" t="n">
        <v>260.89</v>
      </c>
      <c r="AP1073" s="34" t="n">
        <v>45845</v>
      </c>
      <c r="AQ1073" s="15" t="n">
        <v>59.4</v>
      </c>
      <c r="AR1073" s="15" t="n">
        <v>52.65</v>
      </c>
      <c r="AS1073" s="34" t="n">
        <v>45845</v>
      </c>
      <c r="AT1073" s="15" t="n">
        <v>14.6</v>
      </c>
      <c r="AU1073" s="15" t="n">
        <v>16.06</v>
      </c>
      <c r="AV1073" s="34" t="n">
        <v>45845</v>
      </c>
      <c r="AW1073" s="15" t="n">
        <v>35.75</v>
      </c>
      <c r="AX1073" s="15" t="n">
        <v>38.6</v>
      </c>
      <c r="AY1073" s="34" t="n">
        <v>45845</v>
      </c>
      <c r="AZ1073" s="15" t="n">
        <v>22.95</v>
      </c>
      <c r="BA1073" s="15" t="n">
        <v>25.17</v>
      </c>
      <c r="BB1073" s="34" t="n">
        <v>45845</v>
      </c>
      <c r="BC1073" s="15" t="n">
        <v>59.95</v>
      </c>
      <c r="BD1073" s="15" t="n">
        <v>76.12</v>
      </c>
      <c r="BE1073" s="34" t="n">
        <v>45845</v>
      </c>
    </row>
    <row r="1074">
      <c r="A1074" s="34" t="n">
        <v>45846</v>
      </c>
      <c r="B1074" s="266" t="n">
        <v>1.093924999237061</v>
      </c>
      <c r="C1074" s="34" t="n">
        <v>45846</v>
      </c>
      <c r="D1074" s="15" t="n">
        <v>19.42</v>
      </c>
      <c r="E1074" s="15" t="n">
        <v>24.75</v>
      </c>
      <c r="F1074" s="34" t="n">
        <v>45846</v>
      </c>
      <c r="G1074" s="15" t="n">
        <v>80.09999999999999</v>
      </c>
      <c r="H1074" s="15" t="n">
        <v>87.77</v>
      </c>
      <c r="I1074" s="34" t="n">
        <v>45846</v>
      </c>
      <c r="J1074" s="15" t="n">
        <v>18.76</v>
      </c>
      <c r="K1074" s="15" t="n">
        <v>23.73</v>
      </c>
      <c r="L1074" s="34" t="n">
        <v>45846</v>
      </c>
      <c r="M1074" s="15" t="n">
        <v>30.75</v>
      </c>
      <c r="N1074" s="15" t="n">
        <v>33.4</v>
      </c>
      <c r="O1074" s="34" t="n">
        <v>45846</v>
      </c>
      <c r="P1074" s="15" t="n">
        <v>54</v>
      </c>
      <c r="Q1074" s="15" t="n">
        <v>61.34</v>
      </c>
      <c r="R1074" s="34" t="n">
        <v>45846</v>
      </c>
      <c r="S1074" s="15" t="n">
        <v>20.65</v>
      </c>
      <c r="V1074" s="15" t="n">
        <v>23.7</v>
      </c>
      <c r="W1074" s="15" t="n">
        <v>21.85</v>
      </c>
      <c r="X1074" s="34" t="n">
        <v>45846</v>
      </c>
      <c r="Y1074" s="15" t="n">
        <v>76.15000000000001</v>
      </c>
      <c r="Z1074" s="15" t="n">
        <v>72.22</v>
      </c>
      <c r="AA1074" s="34" t="n">
        <v>45846</v>
      </c>
      <c r="AB1074" s="15" t="n">
        <v>6.5</v>
      </c>
      <c r="AC1074" s="15" t="n">
        <v>14.84</v>
      </c>
      <c r="AD1074" s="34" t="n">
        <v>45846</v>
      </c>
      <c r="AE1074" s="15" t="n">
        <v>42.6</v>
      </c>
      <c r="AF1074" s="15" t="n">
        <v>47.73</v>
      </c>
      <c r="AG1074" s="34" t="n">
        <v>45846</v>
      </c>
      <c r="AH1074" s="15" t="n">
        <v>25.15</v>
      </c>
      <c r="AI1074" s="15" t="n">
        <v>24.33</v>
      </c>
      <c r="AJ1074" s="34" t="n">
        <v>45846</v>
      </c>
      <c r="AK1074" s="15" t="n">
        <v>22.9</v>
      </c>
      <c r="AL1074" s="15" t="n">
        <v>42.69</v>
      </c>
      <c r="AM1074" s="34" t="n">
        <v>45846</v>
      </c>
      <c r="AN1074" s="15" t="n">
        <v>359.2</v>
      </c>
      <c r="AO1074" s="15" t="n">
        <v>263.31</v>
      </c>
      <c r="AP1074" s="34" t="n">
        <v>45846</v>
      </c>
      <c r="AQ1074" s="15" t="n">
        <v>60.2</v>
      </c>
      <c r="AR1074" s="15" t="n">
        <v>53.4</v>
      </c>
      <c r="AS1074" s="34" t="n">
        <v>45846</v>
      </c>
      <c r="AT1074" s="15" t="n">
        <v>13.86</v>
      </c>
      <c r="AU1074" s="15" t="n">
        <v>16.28</v>
      </c>
      <c r="AV1074" s="34" t="n">
        <v>45846</v>
      </c>
      <c r="AW1074" s="15" t="n">
        <v>36</v>
      </c>
      <c r="AX1074" s="15" t="n">
        <v>38.88</v>
      </c>
      <c r="AY1074" s="34" t="n">
        <v>45846</v>
      </c>
      <c r="AZ1074" s="15" t="n">
        <v>23</v>
      </c>
      <c r="BA1074" s="15" t="n">
        <v>25.47</v>
      </c>
      <c r="BB1074" s="34" t="n">
        <v>45846</v>
      </c>
      <c r="BC1074" s="15" t="n">
        <v>59.9</v>
      </c>
      <c r="BD1074" s="15" t="n">
        <v>76.51000000000001</v>
      </c>
      <c r="BE1074" s="34" t="n">
        <v>45846</v>
      </c>
    </row>
    <row r="1075">
      <c r="A1075" s="34" t="n">
        <v>45847</v>
      </c>
      <c r="B1075" s="266" t="n">
        <v>1.094220995903015</v>
      </c>
      <c r="C1075" s="34" t="n">
        <v>45847</v>
      </c>
      <c r="D1075" s="15" t="n">
        <v>19.64</v>
      </c>
      <c r="E1075" s="15" t="n">
        <v>26.52</v>
      </c>
      <c r="F1075" s="34" t="n">
        <v>45847</v>
      </c>
      <c r="G1075" s="15" t="n">
        <v>78.75</v>
      </c>
      <c r="H1075" s="15" t="n">
        <v>88.27</v>
      </c>
      <c r="I1075" s="34" t="n">
        <v>45847</v>
      </c>
      <c r="J1075" s="15" t="n">
        <v>19.2</v>
      </c>
      <c r="K1075" s="15" t="n">
        <v>22.99</v>
      </c>
      <c r="L1075" s="34" t="n">
        <v>45847</v>
      </c>
      <c r="M1075" s="15" t="n">
        <v>30.05</v>
      </c>
      <c r="N1075" s="15" t="n">
        <v>33.18</v>
      </c>
      <c r="O1075" s="34" t="n">
        <v>45847</v>
      </c>
      <c r="P1075" s="15" t="n">
        <v>53.7</v>
      </c>
      <c r="Q1075" s="15" t="n">
        <v>61.18</v>
      </c>
      <c r="R1075" s="34" t="n">
        <v>45847</v>
      </c>
      <c r="S1075" s="15" t="n">
        <v>21.7</v>
      </c>
      <c r="V1075" s="15" t="n">
        <v>24.15</v>
      </c>
      <c r="W1075" s="15" t="n">
        <v>22.59</v>
      </c>
      <c r="X1075" s="34" t="n">
        <v>45847</v>
      </c>
      <c r="Y1075" s="15" t="n">
        <v>76.05</v>
      </c>
      <c r="Z1075" s="15" t="n">
        <v>71.8</v>
      </c>
      <c r="AA1075" s="34" t="n">
        <v>45847</v>
      </c>
      <c r="AB1075" s="15" t="n">
        <v>6.47</v>
      </c>
      <c r="AC1075" s="15" t="n">
        <v>14.94</v>
      </c>
      <c r="AD1075" s="34" t="n">
        <v>45847</v>
      </c>
      <c r="AE1075" s="15" t="n">
        <v>42.7</v>
      </c>
      <c r="AF1075" s="15" t="n">
        <v>47.67</v>
      </c>
      <c r="AG1075" s="34" t="n">
        <v>45847</v>
      </c>
      <c r="AH1075" s="15" t="n">
        <v>24.25</v>
      </c>
      <c r="AI1075" s="15" t="n">
        <v>23.85</v>
      </c>
      <c r="AJ1075" s="34" t="n">
        <v>45847</v>
      </c>
      <c r="AK1075" s="15" t="n">
        <v>22.35</v>
      </c>
      <c r="AL1075" s="15" t="n">
        <v>43.28</v>
      </c>
      <c r="AM1075" s="34" t="n">
        <v>45847</v>
      </c>
      <c r="AN1075" s="15" t="n">
        <v>385</v>
      </c>
      <c r="AO1075" s="15" t="n">
        <v>270.8</v>
      </c>
      <c r="AP1075" s="34" t="n">
        <v>45847</v>
      </c>
      <c r="AQ1075" s="15" t="n">
        <v>69.59999999999999</v>
      </c>
      <c r="AR1075" s="15" t="n">
        <v>57.19</v>
      </c>
      <c r="AS1075" s="34" t="n">
        <v>45847</v>
      </c>
      <c r="AT1075" s="15" t="n">
        <v>13.9</v>
      </c>
      <c r="AU1075" s="15" t="n">
        <v>16.12</v>
      </c>
      <c r="AV1075" s="34" t="n">
        <v>45847</v>
      </c>
      <c r="AW1075" s="15" t="n">
        <v>36</v>
      </c>
      <c r="AX1075" s="15" t="n">
        <v>38.6</v>
      </c>
      <c r="AY1075" s="34" t="n">
        <v>45847</v>
      </c>
      <c r="AZ1075" s="15" t="n">
        <v>23.7</v>
      </c>
      <c r="BA1075" s="15" t="n">
        <v>25.47</v>
      </c>
      <c r="BB1075" s="34" t="n">
        <v>45847</v>
      </c>
      <c r="BC1075" s="15" t="n">
        <v>58.9</v>
      </c>
      <c r="BD1075" s="15" t="n">
        <v>76.25</v>
      </c>
      <c r="BE1075" s="34" t="n">
        <v>45847</v>
      </c>
      <c r="BF1075" s="15" t="n">
        <v>139.8</v>
      </c>
      <c r="BG1075" s="15" t="n">
        <v>182.25</v>
      </c>
      <c r="BH1075" s="34" t="n">
        <v>45847</v>
      </c>
      <c r="BI1075" s="15" t="n">
        <v>19.84</v>
      </c>
      <c r="BJ1075" s="15" t="n">
        <v>22.69</v>
      </c>
      <c r="BK1075" s="34" t="n">
        <v>45847</v>
      </c>
    </row>
    <row r="1076">
      <c r="A1076" s="34" t="n">
        <v>45848</v>
      </c>
      <c r="B1076" s="266" t="n">
        <v>1.093220949172974</v>
      </c>
      <c r="C1076" s="34" t="n">
        <v>45848</v>
      </c>
      <c r="D1076" s="15" t="n">
        <v>19.76</v>
      </c>
      <c r="E1076" s="15" t="n">
        <v>25.81</v>
      </c>
      <c r="F1076" s="34" t="n">
        <v>45848</v>
      </c>
      <c r="G1076" s="15" t="n">
        <v>78.75</v>
      </c>
      <c r="H1076" s="15" t="n">
        <v>88.64</v>
      </c>
      <c r="I1076" s="34" t="n">
        <v>45848</v>
      </c>
      <c r="J1076" s="15" t="n">
        <v>19.44</v>
      </c>
      <c r="K1076" s="15" t="n">
        <v>24.02</v>
      </c>
      <c r="L1076" s="34" t="n">
        <v>45848</v>
      </c>
      <c r="M1076" s="15" t="n">
        <v>30.2</v>
      </c>
      <c r="N1076" s="15" t="n">
        <v>33.42</v>
      </c>
      <c r="O1076" s="34" t="n">
        <v>45848</v>
      </c>
      <c r="P1076" s="15" t="n">
        <v>54.15</v>
      </c>
      <c r="Q1076" s="15" t="n">
        <v>61.86</v>
      </c>
      <c r="R1076" s="34" t="n">
        <v>45848</v>
      </c>
      <c r="S1076" s="15" t="n">
        <v>21.05</v>
      </c>
      <c r="V1076" s="15" t="n">
        <v>25.1</v>
      </c>
      <c r="W1076" s="15" t="n">
        <v>23.27</v>
      </c>
      <c r="X1076" s="34" t="n">
        <v>45848</v>
      </c>
      <c r="Y1076" s="15" t="n">
        <v>76.3</v>
      </c>
      <c r="Z1076" s="15" t="n">
        <v>71.68000000000001</v>
      </c>
      <c r="AA1076" s="34" t="n">
        <v>45848</v>
      </c>
      <c r="AB1076" s="15" t="n">
        <v>6.36</v>
      </c>
      <c r="AC1076" s="15" t="n">
        <v>14.63</v>
      </c>
      <c r="AD1076" s="34" t="n">
        <v>45848</v>
      </c>
      <c r="AE1076" s="15" t="n">
        <v>43.2</v>
      </c>
      <c r="AF1076" s="15" t="n">
        <v>48.15</v>
      </c>
      <c r="AG1076" s="34" t="n">
        <v>45848</v>
      </c>
      <c r="AH1076" s="15" t="n">
        <v>24.45</v>
      </c>
      <c r="AI1076" s="15" t="n">
        <v>24.02</v>
      </c>
      <c r="AJ1076" s="34" t="n">
        <v>45848</v>
      </c>
      <c r="AK1076" s="15" t="n">
        <v>22.95</v>
      </c>
      <c r="AL1076" s="15" t="n">
        <v>44.98</v>
      </c>
      <c r="AM1076" s="34" t="n">
        <v>45848</v>
      </c>
      <c r="AN1076" s="15" t="n">
        <v>382.4</v>
      </c>
      <c r="AO1076" s="15" t="n">
        <v>272</v>
      </c>
      <c r="AP1076" s="34" t="n">
        <v>45848</v>
      </c>
      <c r="AQ1076" s="15" t="n">
        <v>74.55</v>
      </c>
      <c r="AR1076" s="15" t="n">
        <v>57.6</v>
      </c>
      <c r="AS1076" s="34" t="n">
        <v>45848</v>
      </c>
      <c r="AT1076" s="15" t="n">
        <v>13.84</v>
      </c>
      <c r="AU1076" s="15" t="n">
        <v>15.82</v>
      </c>
      <c r="AV1076" s="34" t="n">
        <v>45848</v>
      </c>
      <c r="AW1076" s="15" t="n">
        <v>35.9</v>
      </c>
      <c r="AX1076" s="15" t="n">
        <v>38.69</v>
      </c>
      <c r="AY1076" s="34" t="n">
        <v>45848</v>
      </c>
      <c r="AZ1076" s="15" t="n">
        <v>23.3</v>
      </c>
      <c r="BA1076" s="15" t="n">
        <v>25.42</v>
      </c>
      <c r="BB1076" s="34" t="n">
        <v>45848</v>
      </c>
      <c r="BC1076" s="15" t="n">
        <v>58.5</v>
      </c>
      <c r="BD1076" s="15" t="n">
        <v>76.44</v>
      </c>
      <c r="BE1076" s="34" t="n">
        <v>45848</v>
      </c>
      <c r="BF1076" s="15" t="n">
        <v>134</v>
      </c>
      <c r="BG1076" s="15" t="n">
        <v>178.2</v>
      </c>
      <c r="BH1076" s="34" t="n">
        <v>45848</v>
      </c>
      <c r="BI1076" s="15" t="n">
        <v>19.56</v>
      </c>
      <c r="BJ1076" s="15" t="n">
        <v>22.49</v>
      </c>
      <c r="BK1076" s="34" t="n">
        <v>45848</v>
      </c>
    </row>
    <row r="1077">
      <c r="A1077" s="34" t="n">
        <v>45849</v>
      </c>
      <c r="B1077" s="266" t="n">
        <v>1.093930959701538</v>
      </c>
      <c r="C1077" s="34" t="n">
        <v>45849</v>
      </c>
      <c r="D1077" s="15" t="n">
        <v>20.85</v>
      </c>
      <c r="E1077" s="15" t="n">
        <v>26.02</v>
      </c>
      <c r="F1077" s="34" t="n">
        <v>45849</v>
      </c>
      <c r="G1077" s="15" t="n">
        <v>89</v>
      </c>
      <c r="H1077" s="15" t="n">
        <v>97.5</v>
      </c>
      <c r="I1077" s="34" t="n">
        <v>45849</v>
      </c>
      <c r="J1077" s="15" t="n">
        <v>20.15</v>
      </c>
      <c r="K1077" s="15" t="n">
        <v>25.95</v>
      </c>
      <c r="L1077" s="34" t="n">
        <v>45849</v>
      </c>
      <c r="M1077" s="15" t="n">
        <v>29.9</v>
      </c>
      <c r="N1077" s="15" t="n">
        <v>33.26</v>
      </c>
      <c r="O1077" s="34" t="n">
        <v>45849</v>
      </c>
      <c r="P1077" s="15" t="n">
        <v>54.55</v>
      </c>
      <c r="Q1077" s="15" t="n">
        <v>62.25</v>
      </c>
      <c r="R1077" s="34" t="n">
        <v>45849</v>
      </c>
      <c r="S1077" s="15" t="n">
        <v>21.15</v>
      </c>
      <c r="V1077" s="15" t="n">
        <v>25.3</v>
      </c>
      <c r="W1077" s="15" t="n">
        <v>22.88</v>
      </c>
      <c r="X1077" s="34" t="n">
        <v>45849</v>
      </c>
      <c r="Y1077" s="15" t="n">
        <v>77.3</v>
      </c>
      <c r="Z1077" s="15" t="n">
        <v>72.48</v>
      </c>
      <c r="AA1077" s="34" t="n">
        <v>45849</v>
      </c>
      <c r="AB1077" s="15" t="n">
        <v>6.58</v>
      </c>
      <c r="AC1077" s="15" t="n">
        <v>14.74</v>
      </c>
      <c r="AD1077" s="34" t="n">
        <v>45849</v>
      </c>
      <c r="AE1077" s="15" t="n">
        <v>42.45</v>
      </c>
      <c r="AF1077" s="15" t="n">
        <v>47.35</v>
      </c>
      <c r="AG1077" s="34" t="n">
        <v>45849</v>
      </c>
      <c r="AH1077" s="15" t="n">
        <v>25.15</v>
      </c>
      <c r="AI1077" s="15" t="n">
        <v>24.29</v>
      </c>
      <c r="AJ1077" s="34" t="n">
        <v>45849</v>
      </c>
      <c r="AK1077" s="15" t="n">
        <v>22.85</v>
      </c>
      <c r="AL1077" s="15" t="n">
        <v>44.03</v>
      </c>
      <c r="AM1077" s="34" t="n">
        <v>45849</v>
      </c>
      <c r="AN1077" s="15" t="n">
        <v>377.4</v>
      </c>
      <c r="AO1077" s="15" t="n">
        <v>271.5</v>
      </c>
      <c r="AP1077" s="34" t="n">
        <v>45849</v>
      </c>
      <c r="AQ1077" s="15" t="n">
        <v>72.2</v>
      </c>
      <c r="AR1077" s="15" t="n">
        <v>56.9</v>
      </c>
      <c r="AS1077" s="34" t="n">
        <v>45849</v>
      </c>
      <c r="AT1077" s="15" t="n">
        <v>13.56</v>
      </c>
      <c r="AU1077" s="15" t="n">
        <v>15.51</v>
      </c>
      <c r="AV1077" s="34" t="n">
        <v>45849</v>
      </c>
      <c r="AW1077" s="15" t="n">
        <v>36.15</v>
      </c>
      <c r="AX1077" s="15" t="n">
        <v>38.69</v>
      </c>
      <c r="AY1077" s="34" t="n">
        <v>45849</v>
      </c>
      <c r="AZ1077" s="15" t="n">
        <v>23.25</v>
      </c>
      <c r="BA1077" s="15" t="n">
        <v>25.75</v>
      </c>
      <c r="BB1077" s="34" t="n">
        <v>45849</v>
      </c>
      <c r="BC1077" s="15" t="n">
        <v>60.05</v>
      </c>
      <c r="BD1077" s="15" t="n">
        <v>76.34</v>
      </c>
      <c r="BE1077" s="34" t="n">
        <v>45849</v>
      </c>
      <c r="BF1077" s="15" t="n">
        <v>131.8</v>
      </c>
      <c r="BG1077" s="15" t="n">
        <v>185.46</v>
      </c>
      <c r="BH1077" s="34" t="n">
        <v>45849</v>
      </c>
      <c r="BI1077" s="15" t="n">
        <v>18.62</v>
      </c>
      <c r="BJ1077" s="15" t="n">
        <v>22.69</v>
      </c>
      <c r="BK1077" s="34" t="n">
        <v>45849</v>
      </c>
    </row>
    <row r="1078">
      <c r="A1078" s="34" t="n">
        <v>45852</v>
      </c>
      <c r="B1078" s="266" t="n">
        <v>1.095023989677429</v>
      </c>
      <c r="C1078" s="34" t="n">
        <v>45852</v>
      </c>
      <c r="D1078" s="15" t="n">
        <v>20.7</v>
      </c>
      <c r="E1078" s="15" t="n">
        <v>26.14</v>
      </c>
      <c r="F1078" s="34" t="n">
        <v>45852</v>
      </c>
      <c r="G1078" s="15" t="n">
        <v>90.09999999999999</v>
      </c>
      <c r="H1078" s="15" t="n">
        <v>97</v>
      </c>
      <c r="I1078" s="34" t="n">
        <v>45852</v>
      </c>
      <c r="J1078" s="15" t="n">
        <v>19.94</v>
      </c>
      <c r="K1078" s="15" t="n">
        <v>26</v>
      </c>
      <c r="L1078" s="34" t="n">
        <v>45852</v>
      </c>
      <c r="M1078" s="15" t="n">
        <v>30.7</v>
      </c>
      <c r="N1078" s="15" t="n">
        <v>34.23</v>
      </c>
      <c r="O1078" s="34" t="n">
        <v>45852</v>
      </c>
      <c r="P1078" s="15" t="n">
        <v>54.45</v>
      </c>
      <c r="Q1078" s="15" t="n">
        <v>61.6</v>
      </c>
      <c r="R1078" s="34" t="n">
        <v>45852</v>
      </c>
      <c r="S1078" s="15" t="n">
        <v>20.3</v>
      </c>
      <c r="V1078" s="15" t="n">
        <v>25.85</v>
      </c>
      <c r="W1078" s="15" t="n">
        <v>22.91</v>
      </c>
      <c r="X1078" s="34" t="n">
        <v>45852</v>
      </c>
      <c r="Y1078" s="15" t="n">
        <v>77.45</v>
      </c>
      <c r="Z1078" s="15" t="n">
        <v>73.09999999999999</v>
      </c>
      <c r="AA1078" s="34" t="n">
        <v>45852</v>
      </c>
      <c r="AB1078" s="15" t="n">
        <v>6.66</v>
      </c>
      <c r="AC1078" s="15" t="n">
        <v>14.8</v>
      </c>
      <c r="AD1078" s="34" t="n">
        <v>45852</v>
      </c>
      <c r="AE1078" s="15" t="n">
        <v>43.6</v>
      </c>
      <c r="AF1078" s="15" t="n">
        <v>47.48</v>
      </c>
      <c r="AG1078" s="34" t="n">
        <v>45852</v>
      </c>
      <c r="AH1078" s="15" t="n">
        <v>25.9</v>
      </c>
      <c r="AI1078" s="15" t="n">
        <v>24.51</v>
      </c>
      <c r="AJ1078" s="34" t="n">
        <v>45852</v>
      </c>
      <c r="AK1078" s="15" t="n">
        <v>22.1</v>
      </c>
      <c r="AL1078" s="15" t="n">
        <v>43.62</v>
      </c>
      <c r="AM1078" s="34" t="n">
        <v>45852</v>
      </c>
      <c r="AN1078" s="15" t="n">
        <v>374</v>
      </c>
      <c r="AO1078" s="15" t="n">
        <v>268.5</v>
      </c>
      <c r="AP1078" s="34" t="n">
        <v>45852</v>
      </c>
      <c r="AQ1078" s="15" t="n">
        <v>74.65000000000001</v>
      </c>
      <c r="AR1078" s="15" t="n">
        <v>57.21</v>
      </c>
      <c r="AS1078" s="34" t="n">
        <v>45852</v>
      </c>
      <c r="AT1078" s="15" t="n">
        <v>13.68</v>
      </c>
      <c r="AU1078" s="15" t="n">
        <v>15.43</v>
      </c>
      <c r="AV1078" s="34" t="n">
        <v>45852</v>
      </c>
      <c r="AW1078" s="15" t="n">
        <v>36.35</v>
      </c>
      <c r="AX1078" s="15" t="n">
        <v>38.52</v>
      </c>
      <c r="AY1078" s="34" t="n">
        <v>45852</v>
      </c>
      <c r="AZ1078" s="15" t="n">
        <v>23</v>
      </c>
      <c r="BA1078" s="15" t="n">
        <v>25.87</v>
      </c>
      <c r="BB1078" s="34" t="n">
        <v>45852</v>
      </c>
      <c r="BC1078" s="15" t="n">
        <v>59.75</v>
      </c>
      <c r="BD1078" s="15" t="n">
        <v>76.20999999999999</v>
      </c>
      <c r="BE1078" s="34" t="n">
        <v>45852</v>
      </c>
      <c r="BF1078" s="15" t="n">
        <v>139.6</v>
      </c>
      <c r="BG1078" s="15" t="n">
        <v>188</v>
      </c>
      <c r="BH1078" s="34" t="n">
        <v>45852</v>
      </c>
      <c r="BI1078" s="15" t="n">
        <v>19</v>
      </c>
      <c r="BJ1078" s="15" t="n">
        <v>23.26</v>
      </c>
      <c r="BK1078" s="34" t="n">
        <v>45852</v>
      </c>
    </row>
    <row r="1079">
      <c r="A1079" s="34" t="n">
        <v>45853</v>
      </c>
      <c r="B1079" s="266" t="n">
        <v>1.095172047615051</v>
      </c>
      <c r="C1079" s="34" t="n">
        <v>45853</v>
      </c>
      <c r="D1079" s="15" t="n">
        <v>20.3</v>
      </c>
      <c r="E1079" s="15" t="n">
        <v>25.48</v>
      </c>
      <c r="F1079" s="34" t="n">
        <v>45853</v>
      </c>
      <c r="G1079" s="15" t="n">
        <v>90.75</v>
      </c>
      <c r="H1079" s="15" t="n">
        <v>97.53</v>
      </c>
      <c r="I1079" s="34" t="n">
        <v>45853</v>
      </c>
      <c r="J1079" s="15" t="n">
        <v>20</v>
      </c>
      <c r="K1079" s="15" t="n">
        <v>25.8</v>
      </c>
      <c r="L1079" s="34" t="n">
        <v>45853</v>
      </c>
      <c r="M1079" s="15" t="n">
        <v>30.4</v>
      </c>
      <c r="N1079" s="15" t="n">
        <v>33.88</v>
      </c>
      <c r="O1079" s="34" t="n">
        <v>45853</v>
      </c>
      <c r="P1079" s="15" t="n">
        <v>53.6</v>
      </c>
      <c r="Q1079" s="15" t="n">
        <v>61.08</v>
      </c>
      <c r="R1079" s="34" t="n">
        <v>45853</v>
      </c>
      <c r="S1079" s="15" t="n">
        <v>20.65</v>
      </c>
      <c r="V1079" s="15" t="n">
        <v>24.9</v>
      </c>
      <c r="W1079" s="15" t="n">
        <v>22.46</v>
      </c>
      <c r="X1079" s="34" t="n">
        <v>45853</v>
      </c>
      <c r="Y1079" s="15" t="n">
        <v>79.2</v>
      </c>
      <c r="Z1079" s="15" t="n">
        <v>73.20999999999999</v>
      </c>
      <c r="AA1079" s="34" t="n">
        <v>45853</v>
      </c>
      <c r="AB1079" s="15" t="n">
        <v>6.4</v>
      </c>
      <c r="AC1079" s="15" t="n">
        <v>13.9</v>
      </c>
      <c r="AD1079" s="34" t="n">
        <v>45853</v>
      </c>
      <c r="AE1079" s="15" t="n">
        <v>43</v>
      </c>
      <c r="AF1079" s="15" t="n">
        <v>46.96</v>
      </c>
      <c r="AG1079" s="34" t="n">
        <v>45853</v>
      </c>
      <c r="AH1079" s="15" t="n">
        <v>25.1</v>
      </c>
      <c r="AI1079" s="15" t="n">
        <v>23.98</v>
      </c>
      <c r="AJ1079" s="34" t="n">
        <v>45853</v>
      </c>
      <c r="AK1079" s="15" t="n">
        <v>21.25</v>
      </c>
      <c r="AL1079" s="15" t="n">
        <v>42.75</v>
      </c>
      <c r="AM1079" s="34" t="n">
        <v>45853</v>
      </c>
      <c r="AN1079" s="15" t="n">
        <v>377.2</v>
      </c>
      <c r="AO1079" s="15" t="n">
        <v>267.75</v>
      </c>
      <c r="AP1079" s="34" t="n">
        <v>45853</v>
      </c>
      <c r="AQ1079" s="15" t="n">
        <v>71.95</v>
      </c>
      <c r="AR1079" s="15" t="n">
        <v>57.22</v>
      </c>
      <c r="AS1079" s="34" t="n">
        <v>45853</v>
      </c>
      <c r="AT1079" s="15" t="n">
        <v>13.86</v>
      </c>
      <c r="AU1079" s="15" t="n">
        <v>15.39</v>
      </c>
      <c r="AV1079" s="34" t="n">
        <v>45853</v>
      </c>
      <c r="AW1079" s="15" t="n">
        <v>36.3</v>
      </c>
      <c r="AX1079" s="15" t="n">
        <v>38.39</v>
      </c>
      <c r="AY1079" s="34" t="n">
        <v>45853</v>
      </c>
      <c r="AZ1079" s="15" t="n">
        <v>23.9</v>
      </c>
      <c r="BA1079" s="15" t="n">
        <v>26.7</v>
      </c>
      <c r="BB1079" s="34" t="n">
        <v>45853</v>
      </c>
      <c r="BC1079" s="15" t="n">
        <v>58.45</v>
      </c>
      <c r="BD1079" s="15" t="n">
        <v>74.90000000000001</v>
      </c>
      <c r="BE1079" s="34" t="n">
        <v>45853</v>
      </c>
      <c r="BF1079" s="15" t="n">
        <v>143.8</v>
      </c>
      <c r="BG1079" s="15" t="n">
        <v>190</v>
      </c>
      <c r="BH1079" s="34" t="n">
        <v>45853</v>
      </c>
      <c r="BI1079" s="15" t="n">
        <v>19.44</v>
      </c>
      <c r="BJ1079" s="15" t="n">
        <v>23.2</v>
      </c>
      <c r="BK1079" s="34" t="n">
        <v>45853</v>
      </c>
    </row>
    <row r="1080">
      <c r="A1080" s="34" t="n">
        <v>45854</v>
      </c>
      <c r="B1080" s="266" t="n">
        <v>1.094182014465332</v>
      </c>
      <c r="C1080" s="34" t="n">
        <v>45854</v>
      </c>
      <c r="D1080" s="15" t="n">
        <v>20.5</v>
      </c>
      <c r="E1080" s="15" t="n">
        <v>25.3</v>
      </c>
      <c r="F1080" s="34" t="n">
        <v>45854</v>
      </c>
      <c r="G1080" s="15" t="n">
        <v>90.90000000000001</v>
      </c>
      <c r="H1080" s="15" t="n">
        <v>95.98999999999999</v>
      </c>
      <c r="I1080" s="34" t="n">
        <v>45854</v>
      </c>
      <c r="J1080" s="15" t="n">
        <v>20.2</v>
      </c>
      <c r="K1080" s="15" t="n">
        <v>26.22</v>
      </c>
      <c r="L1080" s="34" t="n">
        <v>45854</v>
      </c>
      <c r="M1080" s="15" t="n">
        <v>29.65</v>
      </c>
      <c r="N1080" s="15" t="n">
        <v>33.04</v>
      </c>
      <c r="O1080" s="34" t="n">
        <v>45854</v>
      </c>
      <c r="P1080" s="15" t="n">
        <v>52.8</v>
      </c>
      <c r="Q1080" s="15" t="n">
        <v>61.15</v>
      </c>
      <c r="R1080" s="34" t="n">
        <v>45854</v>
      </c>
      <c r="S1080" s="15" t="n">
        <v>21.35</v>
      </c>
      <c r="V1080" s="15" t="n">
        <v>24.85</v>
      </c>
      <c r="W1080" s="15" t="n">
        <v>22.53</v>
      </c>
      <c r="X1080" s="34" t="n">
        <v>45854</v>
      </c>
      <c r="Y1080" s="15" t="n">
        <v>78.2</v>
      </c>
      <c r="Z1080" s="15" t="n">
        <v>72.89</v>
      </c>
      <c r="AA1080" s="34" t="n">
        <v>45854</v>
      </c>
      <c r="AB1080" s="15" t="n">
        <v>6.44</v>
      </c>
      <c r="AC1080" s="15" t="n">
        <v>14.01</v>
      </c>
      <c r="AD1080" s="34" t="n">
        <v>45854</v>
      </c>
      <c r="AE1080" s="15" t="n">
        <v>42.75</v>
      </c>
      <c r="AF1080" s="15" t="n">
        <v>47.04</v>
      </c>
      <c r="AG1080" s="34" t="n">
        <v>45854</v>
      </c>
      <c r="AH1080" s="15" t="n">
        <v>24.9</v>
      </c>
      <c r="AI1080" s="15" t="n">
        <v>24.14</v>
      </c>
      <c r="AJ1080" s="34" t="n">
        <v>45854</v>
      </c>
      <c r="AK1080" s="15" t="n">
        <v>21.3</v>
      </c>
      <c r="AL1080" s="15" t="n">
        <v>43.14</v>
      </c>
      <c r="AM1080" s="34" t="n">
        <v>45854</v>
      </c>
      <c r="AN1080" s="15" t="n">
        <v>375</v>
      </c>
      <c r="AO1080" s="15" t="n">
        <v>264.4</v>
      </c>
      <c r="AP1080" s="34" t="n">
        <v>45854</v>
      </c>
      <c r="AQ1080" s="15" t="n">
        <v>70.25</v>
      </c>
      <c r="AR1080" s="15" t="n">
        <v>57.22</v>
      </c>
      <c r="AS1080" s="34" t="n">
        <v>45854</v>
      </c>
      <c r="AT1080" s="15" t="n">
        <v>14.24</v>
      </c>
      <c r="AU1080" s="15" t="n">
        <v>15.49</v>
      </c>
      <c r="AV1080" s="34" t="n">
        <v>45854</v>
      </c>
      <c r="AW1080" s="15" t="n">
        <v>36.4</v>
      </c>
      <c r="AX1080" s="15" t="n">
        <v>38.38</v>
      </c>
      <c r="AY1080" s="34" t="n">
        <v>45854</v>
      </c>
      <c r="AZ1080" s="15" t="n">
        <v>25.9</v>
      </c>
      <c r="BA1080" s="15" t="n">
        <v>27.53</v>
      </c>
      <c r="BB1080" s="34" t="n">
        <v>45854</v>
      </c>
      <c r="BC1080" s="15" t="n">
        <v>57.8</v>
      </c>
      <c r="BD1080" s="15" t="n">
        <v>74.56999999999999</v>
      </c>
      <c r="BE1080" s="34" t="n">
        <v>45854</v>
      </c>
      <c r="BF1080" s="15" t="n">
        <v>151.6</v>
      </c>
      <c r="BG1080" s="15" t="n">
        <v>201.03</v>
      </c>
      <c r="BH1080" s="34" t="n">
        <v>45854</v>
      </c>
      <c r="BI1080" s="15" t="n">
        <v>19.34</v>
      </c>
      <c r="BJ1080" s="15" t="n">
        <v>23.04</v>
      </c>
      <c r="BK1080" s="34" t="n">
        <v>45854</v>
      </c>
    </row>
    <row r="1081">
      <c r="A1081" s="34" t="n">
        <v>45855</v>
      </c>
      <c r="B1081" s="266" t="n">
        <v>1.093484044075012</v>
      </c>
      <c r="C1081" s="34" t="n">
        <v>45855</v>
      </c>
      <c r="D1081" s="15" t="n">
        <v>21.7</v>
      </c>
      <c r="E1081" s="15" t="n">
        <v>26.9</v>
      </c>
      <c r="F1081" s="34" t="n">
        <v>45855</v>
      </c>
      <c r="G1081" s="15" t="n">
        <v>93.40000000000001</v>
      </c>
      <c r="H1081" s="15" t="n">
        <v>97.40000000000001</v>
      </c>
      <c r="I1081" s="34" t="n">
        <v>45855</v>
      </c>
      <c r="J1081" s="15" t="n">
        <v>19.78</v>
      </c>
      <c r="K1081" s="15" t="n">
        <v>25.71</v>
      </c>
      <c r="L1081" s="34" t="n">
        <v>45855</v>
      </c>
      <c r="M1081" s="15" t="n">
        <v>30.95</v>
      </c>
      <c r="N1081" s="15" t="n">
        <v>34.25</v>
      </c>
      <c r="O1081" s="34" t="n">
        <v>45855</v>
      </c>
      <c r="P1081" s="15" t="n">
        <v>53.25</v>
      </c>
      <c r="Q1081" s="15" t="n">
        <v>61.65</v>
      </c>
      <c r="R1081" s="34" t="n">
        <v>45855</v>
      </c>
      <c r="S1081" s="15" t="n">
        <v>21.75</v>
      </c>
      <c r="V1081" s="15" t="n">
        <v>25.1</v>
      </c>
      <c r="W1081" s="15" t="n">
        <v>22.55</v>
      </c>
      <c r="X1081" s="34" t="n">
        <v>45855</v>
      </c>
      <c r="Y1081" s="15" t="n">
        <v>77.8</v>
      </c>
      <c r="Z1081" s="15" t="n">
        <v>72.63</v>
      </c>
      <c r="AA1081" s="34" t="n">
        <v>45855</v>
      </c>
      <c r="AB1081" s="15" t="n">
        <v>6.6</v>
      </c>
      <c r="AC1081" s="15" t="n">
        <v>14.24</v>
      </c>
      <c r="AD1081" s="34" t="n">
        <v>45855</v>
      </c>
      <c r="AE1081" s="15" t="n">
        <v>42.1</v>
      </c>
      <c r="AF1081" s="15" t="n">
        <v>46.36</v>
      </c>
      <c r="AG1081" s="34" t="n">
        <v>45855</v>
      </c>
      <c r="AH1081" s="15" t="n">
        <v>24.35</v>
      </c>
      <c r="AI1081" s="15" t="n">
        <v>23.66</v>
      </c>
      <c r="AJ1081" s="34" t="n">
        <v>45855</v>
      </c>
      <c r="AK1081" s="15" t="n">
        <v>22.1</v>
      </c>
      <c r="AL1081" s="15" t="n">
        <v>44.01</v>
      </c>
      <c r="AM1081" s="34" t="n">
        <v>45855</v>
      </c>
      <c r="AN1081" s="15" t="n">
        <v>374</v>
      </c>
      <c r="AO1081" s="15" t="n">
        <v>265.5</v>
      </c>
      <c r="AP1081" s="34" t="n">
        <v>45855</v>
      </c>
      <c r="AQ1081" s="15" t="n">
        <v>71.7</v>
      </c>
      <c r="AR1081" s="15" t="n">
        <v>57.73</v>
      </c>
      <c r="AS1081" s="34" t="n">
        <v>45855</v>
      </c>
      <c r="AT1081" s="15" t="n">
        <v>13.96</v>
      </c>
      <c r="AU1081" s="15" t="n">
        <v>15.63</v>
      </c>
      <c r="AV1081" s="34" t="n">
        <v>45855</v>
      </c>
      <c r="AW1081" s="15" t="n">
        <v>35.5</v>
      </c>
      <c r="AX1081" s="15" t="n">
        <v>38.52</v>
      </c>
      <c r="AY1081" s="34" t="n">
        <v>45855</v>
      </c>
      <c r="AZ1081" s="15" t="n">
        <v>27.85</v>
      </c>
      <c r="BA1081" s="15" t="n">
        <v>27.9</v>
      </c>
      <c r="BB1081" s="34" t="n">
        <v>45855</v>
      </c>
      <c r="BC1081" s="15" t="n">
        <v>57.6</v>
      </c>
      <c r="BD1081" s="15" t="n">
        <v>74.22</v>
      </c>
      <c r="BE1081" s="34" t="n">
        <v>45855</v>
      </c>
      <c r="BF1081" s="15" t="n">
        <v>168.7</v>
      </c>
      <c r="BG1081" s="15" t="n">
        <v>204.75</v>
      </c>
      <c r="BH1081" s="34" t="n">
        <v>45855</v>
      </c>
      <c r="BI1081" s="15" t="n">
        <v>20.9</v>
      </c>
      <c r="BJ1081" s="15" t="n">
        <v>24.12</v>
      </c>
      <c r="BK1081" s="34" t="n">
        <v>45855</v>
      </c>
    </row>
    <row r="1082">
      <c r="A1082" s="34" t="n">
        <v>45856</v>
      </c>
      <c r="B1082" s="266" t="n">
        <v>1.092442035675049</v>
      </c>
      <c r="C1082" s="34" t="n">
        <v>45856</v>
      </c>
      <c r="D1082" s="15" t="n">
        <v>21.85</v>
      </c>
      <c r="E1082" s="15" t="n">
        <v>26.62</v>
      </c>
      <c r="F1082" s="34" t="n">
        <v>45856</v>
      </c>
      <c r="G1082" s="15" t="n">
        <v>92.55</v>
      </c>
      <c r="H1082" s="15" t="n">
        <v>98.31</v>
      </c>
      <c r="I1082" s="34" t="n">
        <v>45856</v>
      </c>
      <c r="J1082" s="15" t="n">
        <v>20.4</v>
      </c>
      <c r="K1082" s="15" t="n">
        <v>26.73</v>
      </c>
      <c r="L1082" s="34" t="n">
        <v>45856</v>
      </c>
      <c r="M1082" s="15" t="n">
        <v>32.75</v>
      </c>
      <c r="N1082" s="15" t="n">
        <v>36</v>
      </c>
      <c r="O1082" s="34" t="n">
        <v>45856</v>
      </c>
      <c r="P1082" s="15" t="n">
        <v>53.85</v>
      </c>
      <c r="Q1082" s="15" t="n">
        <v>62.77</v>
      </c>
      <c r="R1082" s="34" t="n">
        <v>45856</v>
      </c>
      <c r="S1082" s="15" t="n">
        <v>21.5</v>
      </c>
      <c r="V1082" s="15" t="n">
        <v>24.85</v>
      </c>
      <c r="W1082" s="15" t="n">
        <v>22.69</v>
      </c>
      <c r="X1082" s="34" t="n">
        <v>45856</v>
      </c>
      <c r="Y1082" s="15" t="n">
        <v>77.95</v>
      </c>
      <c r="Z1082" s="15" t="n">
        <v>72.83</v>
      </c>
      <c r="AA1082" s="34" t="n">
        <v>45856</v>
      </c>
      <c r="AB1082" s="15" t="n">
        <v>6.61</v>
      </c>
      <c r="AC1082" s="15" t="n">
        <v>14.32</v>
      </c>
      <c r="AD1082" s="34" t="n">
        <v>45856</v>
      </c>
      <c r="AE1082" s="15" t="n">
        <v>43.4</v>
      </c>
      <c r="AF1082" s="15" t="n">
        <v>47.71</v>
      </c>
      <c r="AG1082" s="34" t="n">
        <v>45856</v>
      </c>
      <c r="AH1082" s="15" t="n">
        <v>24.05</v>
      </c>
      <c r="AI1082" s="15" t="n">
        <v>23.75</v>
      </c>
      <c r="AJ1082" s="34" t="n">
        <v>45856</v>
      </c>
      <c r="AK1082" s="15" t="n">
        <v>21.85</v>
      </c>
      <c r="AL1082" s="15" t="n">
        <v>42.76</v>
      </c>
      <c r="AM1082" s="34" t="n">
        <v>45856</v>
      </c>
      <c r="AN1082" s="15" t="n">
        <v>395</v>
      </c>
      <c r="AO1082" s="15" t="n">
        <v>271.2</v>
      </c>
      <c r="AP1082" s="34" t="n">
        <v>45856</v>
      </c>
      <c r="AQ1082" s="15" t="n">
        <v>73</v>
      </c>
      <c r="AR1082" s="15" t="n">
        <v>58.76</v>
      </c>
      <c r="AS1082" s="34" t="n">
        <v>45856</v>
      </c>
      <c r="AT1082" s="15" t="n">
        <v>13.78</v>
      </c>
      <c r="AU1082" s="15" t="n">
        <v>15.6</v>
      </c>
      <c r="AV1082" s="34" t="n">
        <v>45856</v>
      </c>
      <c r="AW1082" s="15" t="n">
        <v>35.7</v>
      </c>
      <c r="AX1082" s="15" t="n">
        <v>38.8</v>
      </c>
      <c r="AY1082" s="34" t="n">
        <v>45856</v>
      </c>
      <c r="AZ1082" s="15" t="n">
        <v>28.1</v>
      </c>
      <c r="BA1082" s="15" t="n">
        <v>27.68</v>
      </c>
      <c r="BB1082" s="34" t="n">
        <v>45856</v>
      </c>
      <c r="BC1082" s="15" t="n">
        <v>58.15</v>
      </c>
      <c r="BD1082" s="15" t="n">
        <v>73.89</v>
      </c>
      <c r="BE1082" s="34" t="n">
        <v>45856</v>
      </c>
      <c r="BF1082" s="15" t="n">
        <v>163</v>
      </c>
      <c r="BG1082" s="15" t="n">
        <v>203.26</v>
      </c>
      <c r="BH1082" s="34" t="n">
        <v>45856</v>
      </c>
      <c r="BI1082" s="15" t="n">
        <v>20.8</v>
      </c>
      <c r="BJ1082" s="15" t="n">
        <v>23.64</v>
      </c>
      <c r="BK1082" s="34" t="n">
        <v>45856</v>
      </c>
    </row>
    <row r="1083">
      <c r="A1083" s="34" t="n">
        <v>45859</v>
      </c>
      <c r="B1083" s="266" t="n">
        <v>1.093299984931946</v>
      </c>
      <c r="C1083" s="34" t="n">
        <v>45859</v>
      </c>
      <c r="D1083" s="15" t="n">
        <v>21.5</v>
      </c>
      <c r="E1083" s="15" t="n">
        <v>26.2</v>
      </c>
      <c r="F1083" s="34" t="n">
        <v>45859</v>
      </c>
      <c r="G1083" s="15" t="n">
        <v>92.5</v>
      </c>
      <c r="H1083" s="15" t="n">
        <v>96.59999999999999</v>
      </c>
      <c r="I1083" s="34" t="n">
        <v>45859</v>
      </c>
      <c r="J1083" s="15" t="n">
        <v>20.2</v>
      </c>
      <c r="K1083" s="15" t="n">
        <v>26.73</v>
      </c>
      <c r="L1083" s="34" t="n">
        <v>45859</v>
      </c>
      <c r="M1083" s="15" t="n">
        <v>33.45</v>
      </c>
      <c r="N1083" s="15" t="n">
        <v>35.9</v>
      </c>
      <c r="O1083" s="34" t="n">
        <v>45859</v>
      </c>
      <c r="P1083" s="15" t="n">
        <v>56.55</v>
      </c>
      <c r="Q1083" s="15" t="n">
        <v>63.78</v>
      </c>
      <c r="R1083" s="34" t="n">
        <v>45859</v>
      </c>
      <c r="S1083" s="15" t="n">
        <v>20.8</v>
      </c>
      <c r="V1083" s="15" t="n">
        <v>25.05</v>
      </c>
      <c r="W1083" s="15" t="n">
        <v>23.18</v>
      </c>
      <c r="X1083" s="34" t="n">
        <v>45859</v>
      </c>
      <c r="Y1083" s="15" t="n">
        <v>79.59999999999999</v>
      </c>
      <c r="Z1083" s="15" t="n">
        <v>72.55</v>
      </c>
      <c r="AA1083" s="34" t="n">
        <v>45859</v>
      </c>
      <c r="AB1083" s="15" t="n">
        <v>6.62</v>
      </c>
      <c r="AC1083" s="15" t="n">
        <v>14.26</v>
      </c>
      <c r="AD1083" s="34" t="n">
        <v>45859</v>
      </c>
      <c r="AE1083" s="15" t="n">
        <v>44.25</v>
      </c>
      <c r="AF1083" s="15" t="n">
        <v>47.6</v>
      </c>
      <c r="AG1083" s="34" t="n">
        <v>45859</v>
      </c>
      <c r="AH1083" s="15" t="n">
        <v>24.45</v>
      </c>
      <c r="AI1083" s="15" t="n">
        <v>23.91</v>
      </c>
      <c r="AJ1083" s="34" t="n">
        <v>45859</v>
      </c>
      <c r="AK1083" s="15" t="n">
        <v>22.7</v>
      </c>
      <c r="AL1083" s="15" t="n">
        <v>44.49</v>
      </c>
      <c r="AM1083" s="34" t="n">
        <v>45859</v>
      </c>
      <c r="AN1083" s="15" t="n">
        <v>418.2</v>
      </c>
      <c r="AO1083" s="15" t="n">
        <v>279.66</v>
      </c>
      <c r="AP1083" s="34" t="n">
        <v>45859</v>
      </c>
      <c r="AQ1083" s="15" t="n">
        <v>72.40000000000001</v>
      </c>
      <c r="AR1083" s="15" t="n">
        <v>58</v>
      </c>
      <c r="AS1083" s="34" t="n">
        <v>45859</v>
      </c>
      <c r="AT1083" s="15" t="n">
        <v>13.54</v>
      </c>
      <c r="AU1083" s="15" t="n">
        <v>15.44</v>
      </c>
      <c r="AV1083" s="34" t="n">
        <v>45859</v>
      </c>
      <c r="AW1083" s="15" t="n">
        <v>35.7</v>
      </c>
      <c r="AX1083" s="15" t="n">
        <v>38.9</v>
      </c>
      <c r="AY1083" s="34" t="n">
        <v>45859</v>
      </c>
      <c r="AZ1083" s="15" t="n">
        <v>28</v>
      </c>
      <c r="BA1083" s="15" t="n">
        <v>27.8</v>
      </c>
      <c r="BB1083" s="34" t="n">
        <v>45859</v>
      </c>
      <c r="BC1083" s="15" t="n">
        <v>58.3</v>
      </c>
      <c r="BD1083" s="15" t="n">
        <v>73.51000000000001</v>
      </c>
      <c r="BE1083" s="34" t="n">
        <v>45859</v>
      </c>
      <c r="BF1083" s="15" t="n">
        <v>157.2</v>
      </c>
      <c r="BG1083" s="15" t="n">
        <v>197.88</v>
      </c>
      <c r="BH1083" s="34" t="n">
        <v>45859</v>
      </c>
      <c r="BI1083" s="15" t="n">
        <v>20.95</v>
      </c>
      <c r="BJ1083" s="15" t="n">
        <v>24.04</v>
      </c>
      <c r="BK1083" s="34" t="n">
        <v>45859</v>
      </c>
    </row>
    <row r="1084">
      <c r="A1084" s="34" t="n">
        <v>45860</v>
      </c>
      <c r="B1084" s="266" t="n">
        <v>1.093826055526733</v>
      </c>
      <c r="C1084" s="34" t="n">
        <v>45860</v>
      </c>
      <c r="D1084" s="15" t="n">
        <v>20.55</v>
      </c>
      <c r="E1084" s="15" t="n">
        <v>25.68</v>
      </c>
      <c r="F1084" s="34" t="n">
        <v>45860</v>
      </c>
      <c r="G1084" s="15" t="n">
        <v>94.3</v>
      </c>
      <c r="H1084" s="15" t="n">
        <v>98.12</v>
      </c>
      <c r="I1084" s="34" t="n">
        <v>45860</v>
      </c>
      <c r="J1084" s="15" t="n">
        <v>19.58</v>
      </c>
      <c r="K1084" s="15" t="n">
        <v>26.64</v>
      </c>
      <c r="L1084" s="34" t="n">
        <v>45860</v>
      </c>
      <c r="M1084" s="15" t="n">
        <v>35.75</v>
      </c>
      <c r="N1084" s="15" t="n">
        <v>36.86</v>
      </c>
      <c r="O1084" s="34" t="n">
        <v>45860</v>
      </c>
      <c r="P1084" s="15" t="n">
        <v>58.4</v>
      </c>
      <c r="Q1084" s="15" t="n">
        <v>65.43000000000001</v>
      </c>
      <c r="R1084" s="34" t="n">
        <v>45860</v>
      </c>
      <c r="S1084" s="15" t="n">
        <v>20.6</v>
      </c>
      <c r="V1084" s="15" t="n">
        <v>25.05</v>
      </c>
      <c r="W1084" s="15" t="n">
        <v>22.99</v>
      </c>
      <c r="X1084" s="34" t="n">
        <v>45860</v>
      </c>
      <c r="Y1084" s="15" t="n">
        <v>79.84999999999999</v>
      </c>
      <c r="Z1084" s="15" t="n">
        <v>73.19</v>
      </c>
      <c r="AA1084" s="34" t="n">
        <v>45860</v>
      </c>
      <c r="AB1084" s="15" t="n">
        <v>6.8</v>
      </c>
      <c r="AC1084" s="15" t="n">
        <v>14.39</v>
      </c>
      <c r="AD1084" s="34" t="n">
        <v>45860</v>
      </c>
      <c r="AE1084" s="15" t="n">
        <v>44.2</v>
      </c>
      <c r="AF1084" s="15" t="n">
        <v>47.76</v>
      </c>
      <c r="AG1084" s="34" t="n">
        <v>45860</v>
      </c>
      <c r="AH1084" s="15" t="n">
        <v>25.15</v>
      </c>
      <c r="AI1084" s="15" t="n">
        <v>24.39</v>
      </c>
      <c r="AJ1084" s="34" t="n">
        <v>45860</v>
      </c>
      <c r="AK1084" s="15" t="n">
        <v>23.55</v>
      </c>
      <c r="AL1084" s="15" t="n">
        <v>45.91</v>
      </c>
      <c r="AM1084" s="34" t="n">
        <v>45860</v>
      </c>
      <c r="AN1084" s="15" t="n">
        <v>428</v>
      </c>
      <c r="AO1084" s="15" t="n">
        <v>286.66</v>
      </c>
      <c r="AP1084" s="34" t="n">
        <v>45860</v>
      </c>
      <c r="AQ1084" s="15" t="n">
        <v>71.84999999999999</v>
      </c>
      <c r="AR1084" s="15" t="n">
        <v>57.41</v>
      </c>
      <c r="AS1084" s="34" t="n">
        <v>45860</v>
      </c>
      <c r="AT1084" s="15" t="n">
        <v>13.74</v>
      </c>
      <c r="AU1084" s="15" t="n">
        <v>15.29</v>
      </c>
      <c r="AV1084" s="34" t="n">
        <v>45860</v>
      </c>
      <c r="AW1084" s="15" t="n">
        <v>35.9</v>
      </c>
      <c r="AX1084" s="15" t="n">
        <v>39.5</v>
      </c>
      <c r="AY1084" s="34" t="n">
        <v>45860</v>
      </c>
      <c r="AZ1084" s="15" t="n">
        <v>27.85</v>
      </c>
      <c r="BA1084" s="15" t="n">
        <v>27.62</v>
      </c>
      <c r="BB1084" s="34" t="n">
        <v>45860</v>
      </c>
      <c r="BC1084" s="15" t="n">
        <v>58.5</v>
      </c>
      <c r="BD1084" s="15" t="n">
        <v>74.43000000000001</v>
      </c>
      <c r="BE1084" s="34" t="n">
        <v>45860</v>
      </c>
      <c r="BF1084" s="15" t="n">
        <v>164.6</v>
      </c>
      <c r="BG1084" s="15" t="n">
        <v>200.08</v>
      </c>
      <c r="BH1084" s="34" t="n">
        <v>45860</v>
      </c>
      <c r="BI1084" s="15" t="n">
        <v>21.15</v>
      </c>
      <c r="BJ1084" s="15" t="n">
        <v>23.94</v>
      </c>
      <c r="BK1084" s="34" t="n">
        <v>45860</v>
      </c>
    </row>
    <row r="1085">
      <c r="A1085" s="34" t="n">
        <v>45861</v>
      </c>
      <c r="B1085" s="266" t="n">
        <v>1.094056010246277</v>
      </c>
      <c r="C1085" s="34" t="n">
        <v>45861</v>
      </c>
      <c r="D1085" s="15" t="n">
        <v>21.35</v>
      </c>
      <c r="E1085" s="15" t="n">
        <v>27.33</v>
      </c>
      <c r="F1085" s="34" t="n">
        <v>45861</v>
      </c>
      <c r="G1085" s="15" t="n">
        <v>97</v>
      </c>
      <c r="H1085" s="15" t="n">
        <v>102.92</v>
      </c>
      <c r="I1085" s="34" t="n">
        <v>45861</v>
      </c>
      <c r="J1085" s="15" t="n">
        <v>19.44</v>
      </c>
      <c r="K1085" s="15" t="n">
        <v>26.47</v>
      </c>
      <c r="L1085" s="34" t="n">
        <v>45861</v>
      </c>
      <c r="M1085" s="15" t="n">
        <v>34.75</v>
      </c>
      <c r="N1085" s="15" t="n">
        <v>36.63</v>
      </c>
      <c r="O1085" s="34" t="n">
        <v>45861</v>
      </c>
      <c r="P1085" s="15" t="n">
        <v>55.9</v>
      </c>
      <c r="Q1085" s="15" t="n">
        <v>64.40000000000001</v>
      </c>
      <c r="R1085" s="34" t="n">
        <v>45861</v>
      </c>
      <c r="S1085" s="15" t="n">
        <v>20.65</v>
      </c>
      <c r="V1085" s="15" t="n">
        <v>24.7</v>
      </c>
      <c r="W1085" s="15" t="n">
        <v>22.66</v>
      </c>
      <c r="X1085" s="34" t="n">
        <v>45861</v>
      </c>
      <c r="Y1085" s="15" t="n">
        <v>81.90000000000001</v>
      </c>
      <c r="Z1085" s="15" t="n">
        <v>73.5</v>
      </c>
      <c r="AA1085" s="34" t="n">
        <v>45861</v>
      </c>
      <c r="AB1085" s="15" t="n">
        <v>6.66</v>
      </c>
      <c r="AC1085" s="15" t="n">
        <v>14.07</v>
      </c>
      <c r="AD1085" s="34" t="n">
        <v>45861</v>
      </c>
      <c r="AE1085" s="15" t="n">
        <v>44.4</v>
      </c>
      <c r="AF1085" s="15" t="n">
        <v>47.63</v>
      </c>
      <c r="AG1085" s="34" t="n">
        <v>45861</v>
      </c>
      <c r="AH1085" s="15" t="n">
        <v>24.9</v>
      </c>
      <c r="AI1085" s="15" t="n">
        <v>24.25</v>
      </c>
      <c r="AJ1085" s="34" t="n">
        <v>45861</v>
      </c>
      <c r="AK1085" s="15" t="n">
        <v>22.65</v>
      </c>
      <c r="AL1085" s="15" t="n">
        <v>44.59</v>
      </c>
      <c r="AM1085" s="34" t="n">
        <v>45861</v>
      </c>
      <c r="AN1085" s="15" t="n">
        <v>434</v>
      </c>
      <c r="AO1085" s="15" t="n">
        <v>287.02</v>
      </c>
      <c r="AP1085" s="34" t="n">
        <v>45861</v>
      </c>
      <c r="AQ1085" s="15" t="n">
        <v>72</v>
      </c>
      <c r="AR1085" s="15" t="n">
        <v>57.13</v>
      </c>
      <c r="AS1085" s="34" t="n">
        <v>45861</v>
      </c>
      <c r="AT1085" s="15" t="n">
        <v>13.86</v>
      </c>
      <c r="AU1085" s="15" t="n">
        <v>15.14</v>
      </c>
      <c r="AV1085" s="34" t="n">
        <v>45861</v>
      </c>
      <c r="AW1085" s="15" t="n">
        <v>35.2</v>
      </c>
      <c r="AX1085" s="15" t="n">
        <v>39.43</v>
      </c>
      <c r="AY1085" s="34" t="n">
        <v>45861</v>
      </c>
      <c r="AZ1085" s="15" t="n">
        <v>28.5</v>
      </c>
      <c r="BA1085" s="15" t="n">
        <v>27.46</v>
      </c>
      <c r="BB1085" s="34" t="n">
        <v>45861</v>
      </c>
      <c r="BC1085" s="15" t="n">
        <v>58.7</v>
      </c>
      <c r="BD1085" s="15" t="n">
        <v>74.58</v>
      </c>
      <c r="BE1085" s="34" t="n">
        <v>45861</v>
      </c>
      <c r="BF1085" s="15" t="n">
        <v>162.1</v>
      </c>
      <c r="BG1085" s="15" t="n">
        <v>198.18</v>
      </c>
      <c r="BH1085" s="34" t="n">
        <v>45861</v>
      </c>
      <c r="BI1085" s="15" t="n">
        <v>20.65</v>
      </c>
      <c r="BJ1085" s="15" t="n">
        <v>23.57</v>
      </c>
      <c r="BK1085" s="34" t="n">
        <v>45861</v>
      </c>
    </row>
    <row r="1086">
      <c r="A1086" s="34" t="n">
        <v>45862</v>
      </c>
      <c r="B1086" s="266" t="n">
        <v>1.096284031867981</v>
      </c>
      <c r="C1086" s="34" t="n">
        <v>45862</v>
      </c>
      <c r="D1086" s="15" t="n">
        <v>22.8</v>
      </c>
      <c r="E1086" s="15" t="n">
        <v>28.48</v>
      </c>
      <c r="F1086" s="34" t="n">
        <v>45862</v>
      </c>
      <c r="G1086" s="15" t="n">
        <v>110</v>
      </c>
      <c r="H1086" s="15" t="n">
        <v>113.21</v>
      </c>
      <c r="I1086" s="34" t="n">
        <v>45862</v>
      </c>
      <c r="J1086" s="15" t="n">
        <v>20.55</v>
      </c>
      <c r="K1086" s="15" t="n">
        <v>29.1</v>
      </c>
      <c r="L1086" s="34" t="n">
        <v>45862</v>
      </c>
      <c r="M1086" s="15" t="n">
        <v>39.65</v>
      </c>
      <c r="N1086" s="15" t="n">
        <v>40.29</v>
      </c>
      <c r="O1086" s="34" t="n">
        <v>45862</v>
      </c>
      <c r="P1086" s="15" t="n">
        <v>64.40000000000001</v>
      </c>
      <c r="Q1086" s="15" t="n">
        <v>70.84</v>
      </c>
      <c r="R1086" s="34" t="n">
        <v>45862</v>
      </c>
      <c r="S1086" s="15" t="n">
        <v>20.95</v>
      </c>
      <c r="V1086" s="15" t="n">
        <v>25.8</v>
      </c>
      <c r="W1086" s="15" t="n">
        <v>23.09</v>
      </c>
      <c r="X1086" s="34" t="n">
        <v>45862</v>
      </c>
      <c r="Y1086" s="15" t="n">
        <v>79.5</v>
      </c>
      <c r="Z1086" s="15" t="n">
        <v>73.51000000000001</v>
      </c>
      <c r="AA1086" s="34" t="n">
        <v>45862</v>
      </c>
      <c r="AB1086" s="15" t="n">
        <v>6.93</v>
      </c>
      <c r="AC1086" s="15" t="n">
        <v>14.44</v>
      </c>
      <c r="AD1086" s="34" t="n">
        <v>45862</v>
      </c>
      <c r="AE1086" s="15" t="n">
        <v>45</v>
      </c>
      <c r="AF1086" s="15" t="n">
        <v>47.82</v>
      </c>
      <c r="AG1086" s="34" t="n">
        <v>45862</v>
      </c>
      <c r="AH1086" s="15" t="n">
        <v>24.4</v>
      </c>
      <c r="AI1086" s="15" t="n">
        <v>24.05</v>
      </c>
      <c r="AJ1086" s="34" t="n">
        <v>45862</v>
      </c>
      <c r="AK1086" s="15" t="n">
        <v>23.3</v>
      </c>
      <c r="AL1086" s="15" t="n">
        <v>47.47</v>
      </c>
      <c r="AM1086" s="34" t="n">
        <v>45862</v>
      </c>
      <c r="AN1086" s="15" t="n">
        <v>428.6</v>
      </c>
      <c r="AO1086" s="15" t="n">
        <v>285.2</v>
      </c>
      <c r="AP1086" s="34" t="n">
        <v>45862</v>
      </c>
      <c r="AQ1086" s="15" t="n">
        <v>72.95</v>
      </c>
      <c r="AR1086" s="15" t="n">
        <v>57.5</v>
      </c>
      <c r="AS1086" s="34" t="n">
        <v>45862</v>
      </c>
      <c r="AT1086" s="15" t="n">
        <v>14.76</v>
      </c>
      <c r="AU1086" s="15" t="n">
        <v>15.32</v>
      </c>
      <c r="AV1086" s="34" t="n">
        <v>45862</v>
      </c>
      <c r="AW1086" s="15" t="n">
        <v>35.95</v>
      </c>
      <c r="AX1086" s="15" t="n">
        <v>39.91</v>
      </c>
      <c r="AY1086" s="34" t="n">
        <v>45862</v>
      </c>
      <c r="AZ1086" s="15" t="n">
        <v>28.5</v>
      </c>
      <c r="BA1086" s="15" t="n">
        <v>27.79</v>
      </c>
      <c r="BB1086" s="34" t="n">
        <v>45862</v>
      </c>
      <c r="BC1086" s="15" t="n">
        <v>58.4</v>
      </c>
      <c r="BD1086" s="15" t="n">
        <v>75.59</v>
      </c>
      <c r="BE1086" s="34" t="n">
        <v>45862</v>
      </c>
      <c r="BF1086" s="15" t="n">
        <v>160.9</v>
      </c>
      <c r="BG1086" s="15" t="n">
        <v>197</v>
      </c>
      <c r="BH1086" s="34" t="n">
        <v>45862</v>
      </c>
      <c r="BI1086" s="15" t="n">
        <v>20.2</v>
      </c>
      <c r="BJ1086" s="15" t="n">
        <v>23.78</v>
      </c>
      <c r="BK1086" s="34" t="n">
        <v>45862</v>
      </c>
    </row>
    <row r="1087">
      <c r="A1087" s="34" t="n">
        <v>45863</v>
      </c>
      <c r="B1087" s="266" t="n">
        <v>1.097048044204712</v>
      </c>
      <c r="C1087" s="34" t="n">
        <v>45863</v>
      </c>
      <c r="D1087" s="15" t="n">
        <v>24.4</v>
      </c>
      <c r="E1087" s="15" t="n">
        <v>29.9</v>
      </c>
      <c r="F1087" s="34" t="n">
        <v>45863</v>
      </c>
      <c r="G1087" s="15" t="n">
        <v>108.2</v>
      </c>
      <c r="H1087" s="15" t="n">
        <v>114.48</v>
      </c>
      <c r="I1087" s="34" t="n">
        <v>45863</v>
      </c>
      <c r="J1087" s="15" t="n">
        <v>20.1</v>
      </c>
      <c r="K1087" s="15" t="n">
        <v>28.7</v>
      </c>
      <c r="L1087" s="34" t="n">
        <v>45863</v>
      </c>
      <c r="M1087" s="15" t="n">
        <v>40.2</v>
      </c>
      <c r="N1087" s="15" t="n">
        <v>41.89</v>
      </c>
      <c r="O1087" s="34" t="n">
        <v>45863</v>
      </c>
      <c r="P1087" s="15" t="n">
        <v>61.3</v>
      </c>
      <c r="Q1087" s="15" t="n">
        <v>68.05</v>
      </c>
      <c r="R1087" s="34" t="n">
        <v>45863</v>
      </c>
      <c r="S1087" s="15" t="n">
        <v>20.8</v>
      </c>
      <c r="V1087" s="15" t="n">
        <v>26.45</v>
      </c>
      <c r="W1087" s="15" t="n">
        <v>23.39</v>
      </c>
      <c r="X1087" s="34" t="n">
        <v>45863</v>
      </c>
      <c r="Y1087" s="15" t="n">
        <v>78.7</v>
      </c>
      <c r="Z1087" s="15" t="n">
        <v>72.76000000000001</v>
      </c>
      <c r="AA1087" s="34" t="n">
        <v>45863</v>
      </c>
      <c r="AB1087" s="15" t="n">
        <v>6.96</v>
      </c>
      <c r="AC1087" s="15" t="n">
        <v>14.3</v>
      </c>
      <c r="AD1087" s="34" t="n">
        <v>45863</v>
      </c>
      <c r="AE1087" s="15" t="n">
        <v>45.75</v>
      </c>
      <c r="AF1087" s="15" t="n">
        <v>47.95</v>
      </c>
      <c r="AG1087" s="34" t="n">
        <v>45863</v>
      </c>
      <c r="AH1087" s="15" t="n">
        <v>24.2</v>
      </c>
      <c r="AI1087" s="15" t="n">
        <v>23.75</v>
      </c>
      <c r="AJ1087" s="34" t="n">
        <v>45863</v>
      </c>
      <c r="AK1087" s="15" t="n">
        <v>22.85</v>
      </c>
      <c r="AL1087" s="15" t="n">
        <v>45.87</v>
      </c>
      <c r="AM1087" s="34" t="n">
        <v>45863</v>
      </c>
      <c r="AN1087" s="15" t="n">
        <v>423</v>
      </c>
      <c r="AO1087" s="15" t="n">
        <v>282.8</v>
      </c>
      <c r="AP1087" s="34" t="n">
        <v>45863</v>
      </c>
      <c r="AQ1087" s="15" t="n">
        <v>68.05</v>
      </c>
      <c r="AR1087" s="15" t="n">
        <v>56.4</v>
      </c>
      <c r="AS1087" s="34" t="n">
        <v>45863</v>
      </c>
      <c r="AT1087" s="15" t="n">
        <v>17.02</v>
      </c>
      <c r="AU1087" s="15" t="n">
        <v>16.16</v>
      </c>
      <c r="AV1087" s="34" t="n">
        <v>45863</v>
      </c>
      <c r="AW1087" s="15" t="n">
        <v>35.85</v>
      </c>
      <c r="AX1087" s="15" t="n">
        <v>39.32</v>
      </c>
      <c r="AY1087" s="34" t="n">
        <v>45863</v>
      </c>
      <c r="AZ1087" s="15" t="n">
        <v>26.9</v>
      </c>
      <c r="BA1087" s="15" t="n">
        <v>27.07</v>
      </c>
      <c r="BB1087" s="34" t="n">
        <v>45863</v>
      </c>
      <c r="BC1087" s="15" t="n">
        <v>58.7</v>
      </c>
      <c r="BD1087" s="15" t="n">
        <v>75.45</v>
      </c>
      <c r="BE1087" s="34" t="n">
        <v>45863</v>
      </c>
      <c r="BF1087" s="15" t="n">
        <v>160.3</v>
      </c>
      <c r="BG1087" s="15" t="n">
        <v>198.37</v>
      </c>
      <c r="BH1087" s="34" t="n">
        <v>45863</v>
      </c>
      <c r="BI1087" s="15" t="n">
        <v>19.7</v>
      </c>
      <c r="BJ1087" s="15" t="n">
        <v>23.62</v>
      </c>
      <c r="BK1087" s="34" t="n">
        <v>45863</v>
      </c>
    </row>
    <row r="1088">
      <c r="A1088" s="34" t="n">
        <v>45866</v>
      </c>
      <c r="B1088" s="266" t="n">
        <v>1.097200989723206</v>
      </c>
      <c r="C1088" s="34" t="n">
        <v>45866</v>
      </c>
      <c r="D1088" s="15" t="n">
        <v>26.05</v>
      </c>
      <c r="E1088" s="15" t="n">
        <v>32</v>
      </c>
      <c r="F1088" s="34" t="n">
        <v>45866</v>
      </c>
      <c r="G1088" s="15" t="n">
        <v>112.2</v>
      </c>
      <c r="H1088" s="15" t="n">
        <v>118.02</v>
      </c>
      <c r="I1088" s="34" t="n">
        <v>45866</v>
      </c>
      <c r="J1088" s="15" t="n">
        <v>20.2</v>
      </c>
      <c r="K1088" s="15" t="n">
        <v>28.55</v>
      </c>
      <c r="L1088" s="34" t="n">
        <v>45866</v>
      </c>
      <c r="M1088" s="15" t="n">
        <v>37.7</v>
      </c>
      <c r="N1088" s="15" t="n">
        <v>40.74</v>
      </c>
      <c r="O1088" s="34" t="n">
        <v>45866</v>
      </c>
      <c r="P1088" s="15" t="n">
        <v>57.9</v>
      </c>
      <c r="Q1088" s="15" t="n">
        <v>66.37</v>
      </c>
      <c r="R1088" s="34" t="n">
        <v>45866</v>
      </c>
      <c r="S1088" s="15" t="n">
        <v>21.45</v>
      </c>
      <c r="V1088" s="15" t="n">
        <v>26.5</v>
      </c>
      <c r="W1088" s="15" t="n">
        <v>23.5</v>
      </c>
      <c r="X1088" s="34" t="n">
        <v>45866</v>
      </c>
      <c r="Y1088" s="15" t="n">
        <v>79</v>
      </c>
      <c r="Z1088" s="15" t="n">
        <v>71.94</v>
      </c>
      <c r="AA1088" s="34" t="n">
        <v>45866</v>
      </c>
      <c r="AB1088" s="15" t="n">
        <v>6.89</v>
      </c>
      <c r="AC1088" s="15" t="n">
        <v>14.48</v>
      </c>
      <c r="AD1088" s="34" t="n">
        <v>45866</v>
      </c>
      <c r="AE1088" s="15" t="n">
        <v>44.7</v>
      </c>
      <c r="AF1088" s="15" t="n">
        <v>47.58</v>
      </c>
      <c r="AG1088" s="34" t="n">
        <v>45866</v>
      </c>
      <c r="AH1088" s="15" t="n">
        <v>23.85</v>
      </c>
      <c r="AI1088" s="15" t="n">
        <v>23.38</v>
      </c>
      <c r="AJ1088" s="34" t="n">
        <v>45866</v>
      </c>
      <c r="AK1088" s="15" t="n">
        <v>22.35</v>
      </c>
      <c r="AL1088" s="15" t="n">
        <v>45.7</v>
      </c>
      <c r="AM1088" s="34" t="n">
        <v>45866</v>
      </c>
      <c r="AN1088" s="15" t="n">
        <v>449.4</v>
      </c>
      <c r="AO1088" s="15" t="n">
        <v>286.3</v>
      </c>
      <c r="AP1088" s="34" t="n">
        <v>45866</v>
      </c>
      <c r="AQ1088" s="15" t="n">
        <v>84.75</v>
      </c>
      <c r="AR1088" s="15" t="n">
        <v>62.04</v>
      </c>
      <c r="AS1088" s="34" t="n">
        <v>45866</v>
      </c>
      <c r="AT1088" s="15" t="n">
        <v>16.32</v>
      </c>
      <c r="AU1088" s="15" t="n">
        <v>16.7</v>
      </c>
      <c r="AV1088" s="34" t="n">
        <v>45866</v>
      </c>
      <c r="AW1088" s="15" t="n">
        <v>35.4</v>
      </c>
      <c r="AX1088" s="15" t="n">
        <v>39.05</v>
      </c>
      <c r="AY1088" s="34" t="n">
        <v>45866</v>
      </c>
      <c r="AZ1088" s="15" t="n">
        <v>26.65</v>
      </c>
      <c r="BA1088" s="15" t="n">
        <v>27.34</v>
      </c>
      <c r="BB1088" s="34" t="n">
        <v>45866</v>
      </c>
      <c r="BC1088" s="15" t="n">
        <v>59.15</v>
      </c>
      <c r="BD1088" s="15" t="n">
        <v>75.03</v>
      </c>
      <c r="BE1088" s="34" t="n">
        <v>45866</v>
      </c>
      <c r="BF1088" s="15" t="n">
        <v>159.5</v>
      </c>
      <c r="BG1088" s="15" t="n">
        <v>187.11</v>
      </c>
      <c r="BH1088" s="34" t="n">
        <v>45866</v>
      </c>
      <c r="BI1088" s="15" t="n">
        <v>20.1</v>
      </c>
      <c r="BJ1088" s="15" t="n">
        <v>23.42</v>
      </c>
      <c r="BK1088" s="34" t="n">
        <v>45866</v>
      </c>
    </row>
    <row r="1089">
      <c r="A1089" s="34" t="n">
        <v>45867</v>
      </c>
      <c r="B1089" s="266" t="n">
        <v>1.093530058860779</v>
      </c>
      <c r="C1089" s="34" t="n">
        <v>45867</v>
      </c>
      <c r="D1089" s="15" t="n">
        <v>27.95</v>
      </c>
      <c r="E1089" s="15" t="n">
        <v>35.18</v>
      </c>
      <c r="F1089" s="34" t="n">
        <v>45867</v>
      </c>
      <c r="G1089" s="15" t="n">
        <v>114.3</v>
      </c>
      <c r="H1089" s="15" t="n">
        <v>122.89</v>
      </c>
      <c r="I1089" s="34" t="n">
        <v>45867</v>
      </c>
      <c r="J1089" s="15" t="n">
        <v>19.9</v>
      </c>
      <c r="K1089" s="15" t="n">
        <v>28.13</v>
      </c>
      <c r="L1089" s="34" t="n">
        <v>45867</v>
      </c>
      <c r="M1089" s="15" t="n">
        <v>38</v>
      </c>
      <c r="N1089" s="15" t="n">
        <v>40.4</v>
      </c>
      <c r="O1089" s="34" t="n">
        <v>45867</v>
      </c>
      <c r="P1089" s="15" t="n">
        <v>58.05</v>
      </c>
      <c r="Q1089" s="15" t="n">
        <v>66.23</v>
      </c>
      <c r="R1089" s="34" t="n">
        <v>45867</v>
      </c>
      <c r="S1089" s="15" t="n">
        <v>23.5</v>
      </c>
      <c r="V1089" s="15" t="n">
        <v>26</v>
      </c>
      <c r="W1089" s="15" t="n">
        <v>23.47</v>
      </c>
      <c r="X1089" s="34" t="n">
        <v>45867</v>
      </c>
      <c r="Y1089" s="15" t="n">
        <v>79.05</v>
      </c>
      <c r="Z1089" s="15" t="n">
        <v>71.23999999999999</v>
      </c>
      <c r="AA1089" s="34" t="n">
        <v>45867</v>
      </c>
      <c r="AB1089" s="15" t="n">
        <v>6.82</v>
      </c>
      <c r="AC1089" s="15" t="n">
        <v>14.39</v>
      </c>
      <c r="AD1089" s="34" t="n">
        <v>45867</v>
      </c>
      <c r="AE1089" s="15" t="n">
        <v>45.45</v>
      </c>
      <c r="AF1089" s="15" t="n">
        <v>47.49</v>
      </c>
      <c r="AG1089" s="34" t="n">
        <v>45867</v>
      </c>
      <c r="AH1089" s="15" t="n">
        <v>23.75</v>
      </c>
      <c r="AI1089" s="15" t="n">
        <v>23.31</v>
      </c>
      <c r="AJ1089" s="34" t="n">
        <v>45867</v>
      </c>
      <c r="AK1089" s="15" t="n">
        <v>23.65</v>
      </c>
      <c r="AL1089" s="15" t="n">
        <v>46.18</v>
      </c>
      <c r="AM1089" s="34" t="n">
        <v>45867</v>
      </c>
      <c r="AN1089" s="15" t="n">
        <v>462</v>
      </c>
      <c r="AO1089" s="15" t="n">
        <v>291.82</v>
      </c>
      <c r="AP1089" s="34" t="n">
        <v>45867</v>
      </c>
      <c r="AQ1089" s="15" t="n">
        <v>81.8</v>
      </c>
      <c r="AR1089" s="15" t="n">
        <v>63.8</v>
      </c>
      <c r="AS1089" s="34" t="n">
        <v>45867</v>
      </c>
      <c r="AT1089" s="15" t="n">
        <v>16.06</v>
      </c>
      <c r="AU1089" s="15" t="n">
        <v>16.75</v>
      </c>
      <c r="AV1089" s="34" t="n">
        <v>45867</v>
      </c>
      <c r="AW1089" s="15" t="n">
        <v>35.1</v>
      </c>
      <c r="AX1089" s="15" t="n">
        <v>38.87</v>
      </c>
      <c r="AY1089" s="34" t="n">
        <v>45867</v>
      </c>
      <c r="AZ1089" s="15" t="n">
        <v>26.6</v>
      </c>
      <c r="BA1089" s="15" t="n">
        <v>27.16</v>
      </c>
      <c r="BB1089" s="34" t="n">
        <v>45867</v>
      </c>
      <c r="BC1089" s="15" t="n">
        <v>59.95</v>
      </c>
      <c r="BD1089" s="15" t="n">
        <v>74.81</v>
      </c>
      <c r="BE1089" s="34" t="n">
        <v>45867</v>
      </c>
      <c r="BF1089" s="15" t="n">
        <v>156.4</v>
      </c>
      <c r="BG1089" s="15" t="n">
        <v>187.32</v>
      </c>
      <c r="BH1089" s="34" t="n">
        <v>45867</v>
      </c>
      <c r="BI1089" s="15" t="n">
        <v>19.96</v>
      </c>
      <c r="BJ1089" s="15" t="n">
        <v>23.24</v>
      </c>
      <c r="BK1089" s="34" t="n">
        <v>45867</v>
      </c>
    </row>
    <row r="1090">
      <c r="A1090" s="34" t="n">
        <v>45868</v>
      </c>
      <c r="B1090" s="266" t="n">
        <v>1.093464970588684</v>
      </c>
      <c r="C1090" s="34" t="n">
        <v>45868</v>
      </c>
      <c r="D1090" s="15" t="n">
        <v>25.45</v>
      </c>
      <c r="E1090" s="15" t="n">
        <v>33.42</v>
      </c>
      <c r="F1090" s="34" t="n">
        <v>45868</v>
      </c>
      <c r="G1090" s="15" t="n">
        <v>106.1</v>
      </c>
      <c r="H1090" s="15" t="n">
        <v>113.97</v>
      </c>
      <c r="I1090" s="34" t="n">
        <v>45868</v>
      </c>
      <c r="J1090" s="15" t="n">
        <v>18.8</v>
      </c>
      <c r="K1090" s="15" t="n">
        <v>27.33</v>
      </c>
      <c r="L1090" s="34" t="n">
        <v>45868</v>
      </c>
      <c r="M1090" s="15" t="n">
        <v>36.45</v>
      </c>
      <c r="N1090" s="15" t="n">
        <v>39.88</v>
      </c>
      <c r="O1090" s="34" t="n">
        <v>45868</v>
      </c>
      <c r="P1090" s="15" t="n">
        <v>58.5</v>
      </c>
      <c r="Q1090" s="15" t="n">
        <v>66.28</v>
      </c>
      <c r="R1090" s="34" t="n">
        <v>45868</v>
      </c>
      <c r="S1090" s="15" t="n">
        <v>25.1</v>
      </c>
      <c r="V1090" s="15" t="n">
        <v>24.85</v>
      </c>
      <c r="W1090" s="15" t="n">
        <v>22.95</v>
      </c>
      <c r="X1090" s="34" t="n">
        <v>45868</v>
      </c>
      <c r="Y1090" s="15" t="n">
        <v>79.90000000000001</v>
      </c>
      <c r="Z1090" s="15" t="n">
        <v>72.11</v>
      </c>
      <c r="AA1090" s="34" t="n">
        <v>45868</v>
      </c>
      <c r="AB1090" s="15" t="n">
        <v>6.65</v>
      </c>
      <c r="AC1090" s="15" t="n">
        <v>13.98</v>
      </c>
      <c r="AD1090" s="34" t="n">
        <v>45868</v>
      </c>
      <c r="AE1090" s="15" t="n">
        <v>44.25</v>
      </c>
      <c r="AF1090" s="15" t="n">
        <v>47.68</v>
      </c>
      <c r="AG1090" s="34" t="n">
        <v>45868</v>
      </c>
      <c r="AH1090" s="15" t="n">
        <v>23.65</v>
      </c>
      <c r="AI1090" s="15" t="n">
        <v>23.25</v>
      </c>
      <c r="AJ1090" s="34" t="n">
        <v>45868</v>
      </c>
      <c r="AK1090" s="15" t="n">
        <v>22.6</v>
      </c>
      <c r="AL1090" s="15" t="n">
        <v>45.16</v>
      </c>
      <c r="AM1090" s="34" t="n">
        <v>45868</v>
      </c>
      <c r="AN1090" s="15" t="n">
        <v>426.6</v>
      </c>
      <c r="AO1090" s="15" t="n">
        <v>277.09</v>
      </c>
      <c r="AP1090" s="34" t="n">
        <v>45868</v>
      </c>
      <c r="AQ1090" s="15" t="n">
        <v>79.34999999999999</v>
      </c>
      <c r="AR1090" s="15" t="n">
        <v>63.59</v>
      </c>
      <c r="AS1090" s="34" t="n">
        <v>45868</v>
      </c>
      <c r="AT1090" s="15" t="n">
        <v>17</v>
      </c>
      <c r="AU1090" s="15" t="n">
        <v>16.6</v>
      </c>
      <c r="AV1090" s="34" t="n">
        <v>45868</v>
      </c>
      <c r="AW1090" s="15" t="n">
        <v>35.5</v>
      </c>
      <c r="AX1090" s="15" t="n">
        <v>39.2</v>
      </c>
      <c r="AY1090" s="34" t="n">
        <v>45868</v>
      </c>
      <c r="AZ1090" s="15" t="n">
        <v>25.8</v>
      </c>
      <c r="BA1090" s="15" t="n">
        <v>26.62</v>
      </c>
      <c r="BB1090" s="34" t="n">
        <v>45868</v>
      </c>
      <c r="BC1090" s="15" t="n">
        <v>59.85</v>
      </c>
      <c r="BD1090" s="15" t="n">
        <v>75.09999999999999</v>
      </c>
      <c r="BE1090" s="34" t="n">
        <v>45868</v>
      </c>
      <c r="BF1090" s="15" t="n">
        <v>153.6</v>
      </c>
      <c r="BG1090" s="15" t="n">
        <v>185.66</v>
      </c>
      <c r="BH1090" s="34" t="n">
        <v>45868</v>
      </c>
      <c r="BI1090" s="15" t="n">
        <v>19.86</v>
      </c>
      <c r="BJ1090" s="15" t="n">
        <v>22.78</v>
      </c>
      <c r="BK1090" s="34" t="n">
        <v>45868</v>
      </c>
    </row>
    <row r="1091">
      <c r="A1091" s="34" t="n">
        <v>45869</v>
      </c>
      <c r="B1091" s="266" t="n">
        <v>1.093583941459656</v>
      </c>
      <c r="C1091" s="34" t="n">
        <v>45869</v>
      </c>
      <c r="D1091" s="15" t="n">
        <v>23.95</v>
      </c>
      <c r="E1091" s="15" t="n">
        <v>31.91</v>
      </c>
      <c r="F1091" s="34" t="n">
        <v>45869</v>
      </c>
      <c r="G1091" s="15" t="n">
        <v>106.7</v>
      </c>
      <c r="H1091" s="15" t="n">
        <v>114.24</v>
      </c>
      <c r="I1091" s="34" t="n">
        <v>45869</v>
      </c>
      <c r="J1091" s="15" t="n">
        <v>18.4</v>
      </c>
      <c r="K1091" s="15" t="n">
        <v>27.36</v>
      </c>
      <c r="L1091" s="34" t="n">
        <v>45869</v>
      </c>
      <c r="M1091" s="15" t="n">
        <v>35.25</v>
      </c>
      <c r="N1091" s="15" t="n">
        <v>38.23</v>
      </c>
      <c r="O1091" s="34" t="n">
        <v>45869</v>
      </c>
      <c r="P1091" s="15" t="n">
        <v>56.9</v>
      </c>
      <c r="Q1091" s="15" t="n">
        <v>64.95999999999999</v>
      </c>
      <c r="R1091" s="34" t="n">
        <v>45869</v>
      </c>
      <c r="S1091" s="15" t="n">
        <v>25.65</v>
      </c>
      <c r="V1091" s="15" t="n">
        <v>24.95</v>
      </c>
      <c r="W1091" s="15" t="n">
        <v>22.73</v>
      </c>
      <c r="X1091" s="34" t="n">
        <v>45869</v>
      </c>
      <c r="Y1091" s="15" t="n">
        <v>76.15000000000001</v>
      </c>
      <c r="Z1091" s="15" t="n">
        <v>70.19</v>
      </c>
      <c r="AA1091" s="34" t="n">
        <v>45869</v>
      </c>
      <c r="AB1091" s="15" t="n">
        <v>6.6</v>
      </c>
      <c r="AC1091" s="15" t="n">
        <v>13.94</v>
      </c>
      <c r="AD1091" s="34" t="n">
        <v>45869</v>
      </c>
      <c r="AE1091" s="15" t="n">
        <v>43.7</v>
      </c>
      <c r="AF1091" s="15" t="n">
        <v>46</v>
      </c>
      <c r="AG1091" s="34" t="n">
        <v>45869</v>
      </c>
      <c r="AH1091" s="15" t="n">
        <v>23.3</v>
      </c>
      <c r="AI1091" s="15" t="n">
        <v>22.89</v>
      </c>
      <c r="AJ1091" s="34" t="n">
        <v>45869</v>
      </c>
      <c r="AK1091" s="15" t="n">
        <v>22.25</v>
      </c>
      <c r="AL1091" s="15" t="n">
        <v>43.21</v>
      </c>
      <c r="AM1091" s="34" t="n">
        <v>45869</v>
      </c>
      <c r="AN1091" s="15" t="n">
        <v>406.2</v>
      </c>
      <c r="AO1091" s="15" t="n">
        <v>264.62</v>
      </c>
      <c r="AP1091" s="34" t="n">
        <v>45869</v>
      </c>
      <c r="AQ1091" s="15" t="n">
        <v>78.84999999999999</v>
      </c>
      <c r="AR1091" s="15" t="n">
        <v>62.9</v>
      </c>
      <c r="AS1091" s="34" t="n">
        <v>45869</v>
      </c>
      <c r="AT1091" s="15" t="n">
        <v>16.54</v>
      </c>
      <c r="AU1091" s="15" t="n">
        <v>16.85</v>
      </c>
      <c r="AV1091" s="34" t="n">
        <v>45869</v>
      </c>
      <c r="AW1091" s="15" t="n">
        <v>34.2</v>
      </c>
      <c r="AX1091" s="15" t="n">
        <v>38.35</v>
      </c>
      <c r="AY1091" s="34" t="n">
        <v>45869</v>
      </c>
      <c r="AZ1091" s="15" t="n">
        <v>26.15</v>
      </c>
      <c r="BA1091" s="15" t="n">
        <v>26.45</v>
      </c>
      <c r="BB1091" s="34" t="n">
        <v>45869</v>
      </c>
      <c r="BC1091" s="15" t="n">
        <v>59.65</v>
      </c>
      <c r="BD1091" s="15" t="n">
        <v>73.8</v>
      </c>
      <c r="BE1091" s="34" t="n">
        <v>45869</v>
      </c>
      <c r="BF1091" s="15" t="n">
        <v>152</v>
      </c>
      <c r="BG1091" s="15" t="n">
        <v>183.73</v>
      </c>
      <c r="BH1091" s="34" t="n">
        <v>45869</v>
      </c>
      <c r="BI1091" s="15" t="n">
        <v>19.94</v>
      </c>
      <c r="BJ1091" s="15" t="n">
        <v>22.81</v>
      </c>
      <c r="BK1091" s="34" t="n">
        <v>45869</v>
      </c>
    </row>
    <row r="1092">
      <c r="A1092" s="34" t="n">
        <v>45870</v>
      </c>
      <c r="B1092" s="266" t="n">
        <v>1.090090990066528</v>
      </c>
      <c r="C1092" s="34" t="n">
        <v>45870</v>
      </c>
      <c r="D1092" s="15" t="n">
        <v>23.2</v>
      </c>
      <c r="E1092" s="15" t="n">
        <v>32.26</v>
      </c>
      <c r="F1092" s="34" t="n">
        <v>45870</v>
      </c>
      <c r="G1092" s="15" t="n">
        <v>101.7</v>
      </c>
      <c r="H1092" s="15" t="n">
        <v>111.35</v>
      </c>
      <c r="I1092" s="34" t="n">
        <v>45870</v>
      </c>
      <c r="J1092" s="15" t="n">
        <v>17.94</v>
      </c>
      <c r="K1092" s="15" t="n">
        <v>26.7</v>
      </c>
      <c r="L1092" s="34" t="n">
        <v>45870</v>
      </c>
      <c r="M1092" s="15" t="n">
        <v>35.45</v>
      </c>
      <c r="N1092" s="15" t="n">
        <v>38.25</v>
      </c>
      <c r="O1092" s="34" t="n">
        <v>45870</v>
      </c>
      <c r="P1092" s="15" t="n">
        <v>56.3</v>
      </c>
      <c r="Q1092" s="15" t="n">
        <v>64.59</v>
      </c>
      <c r="R1092" s="34" t="n">
        <v>45870</v>
      </c>
      <c r="S1092" s="15" t="n">
        <v>25.45</v>
      </c>
      <c r="V1092" s="15" t="n">
        <v>24.65</v>
      </c>
      <c r="W1092" s="15" t="n">
        <v>22.93</v>
      </c>
      <c r="X1092" s="34" t="n">
        <v>45870</v>
      </c>
      <c r="Y1092" s="15" t="n">
        <v>75.90000000000001</v>
      </c>
      <c r="Z1092" s="15" t="n">
        <v>70.79000000000001</v>
      </c>
      <c r="AA1092" s="34" t="n">
        <v>45870</v>
      </c>
      <c r="AB1092" s="15" t="n">
        <v>6.65</v>
      </c>
      <c r="AC1092" s="15" t="n">
        <v>13.86</v>
      </c>
      <c r="AD1092" s="34" t="n">
        <v>45870</v>
      </c>
      <c r="AE1092" s="15" t="n">
        <v>43.9</v>
      </c>
      <c r="AF1092" s="15" t="n">
        <v>46.17</v>
      </c>
      <c r="AG1092" s="34" t="n">
        <v>45870</v>
      </c>
      <c r="AH1092" s="15" t="n">
        <v>23.05</v>
      </c>
      <c r="AI1092" s="15" t="n">
        <v>22.85</v>
      </c>
      <c r="AJ1092" s="34" t="n">
        <v>45870</v>
      </c>
      <c r="AK1092" s="15" t="n">
        <v>22.2</v>
      </c>
      <c r="AL1092" s="15" t="n">
        <v>43.38</v>
      </c>
      <c r="AM1092" s="34" t="n">
        <v>45870</v>
      </c>
      <c r="AN1092" s="15" t="n">
        <v>403</v>
      </c>
      <c r="AO1092" s="15" t="n">
        <v>263.07</v>
      </c>
      <c r="AP1092" s="34" t="n">
        <v>45870</v>
      </c>
      <c r="AQ1092" s="15" t="n">
        <v>75.09999999999999</v>
      </c>
      <c r="AR1092" s="15" t="n">
        <v>61.31</v>
      </c>
      <c r="AS1092" s="34" t="n">
        <v>45870</v>
      </c>
      <c r="AT1092" s="15" t="n">
        <v>16.16</v>
      </c>
      <c r="AU1092" s="15" t="n">
        <v>16.51</v>
      </c>
      <c r="AV1092" s="34" t="n">
        <v>45870</v>
      </c>
      <c r="AW1092" s="15" t="n">
        <v>34</v>
      </c>
      <c r="AX1092" s="15" t="n">
        <v>38.09</v>
      </c>
      <c r="AY1092" s="34" t="n">
        <v>45870</v>
      </c>
      <c r="AZ1092" s="15" t="n">
        <v>26.15</v>
      </c>
      <c r="BA1092" s="15" t="n">
        <v>26.31</v>
      </c>
      <c r="BB1092" s="34" t="n">
        <v>45870</v>
      </c>
      <c r="BC1092" s="15" t="n">
        <v>60.55</v>
      </c>
      <c r="BD1092" s="15" t="n">
        <v>74.25</v>
      </c>
      <c r="BE1092" s="34" t="n">
        <v>45870</v>
      </c>
      <c r="BF1092" s="15" t="n">
        <v>150.3</v>
      </c>
      <c r="BG1092" s="15" t="n">
        <v>181.5</v>
      </c>
      <c r="BH1092" s="34" t="n">
        <v>45870</v>
      </c>
      <c r="BI1092" s="15" t="n">
        <v>19.22</v>
      </c>
      <c r="BJ1092" s="15" t="n">
        <v>22.38</v>
      </c>
      <c r="BK1092" s="34" t="n">
        <v>45870</v>
      </c>
    </row>
    <row r="1093">
      <c r="A1093" s="34" t="n">
        <v>45873</v>
      </c>
      <c r="B1093" s="266" t="n">
        <v>1.088384985923767</v>
      </c>
      <c r="C1093" s="34" t="n">
        <v>45873</v>
      </c>
      <c r="D1093" s="15" t="n">
        <v>23.3</v>
      </c>
      <c r="E1093" s="15" t="n">
        <v>31.28</v>
      </c>
      <c r="F1093" s="34" t="n">
        <v>45873</v>
      </c>
      <c r="G1093" s="15" t="n">
        <v>103.8</v>
      </c>
      <c r="H1093" s="15" t="n">
        <v>110.08</v>
      </c>
      <c r="I1093" s="34" t="n">
        <v>45873</v>
      </c>
      <c r="J1093" s="15" t="n">
        <v>18.5</v>
      </c>
      <c r="K1093" s="15" t="n">
        <v>27.01</v>
      </c>
      <c r="L1093" s="34" t="n">
        <v>45873</v>
      </c>
      <c r="M1093" s="15" t="n">
        <v>35.96</v>
      </c>
      <c r="N1093" s="15" t="n">
        <v>38.09</v>
      </c>
      <c r="O1093" s="34" t="n">
        <v>45873</v>
      </c>
      <c r="P1093" s="15" t="n">
        <v>56.85</v>
      </c>
      <c r="Q1093" s="15" t="n">
        <v>64.63</v>
      </c>
      <c r="R1093" s="34" t="n">
        <v>45873</v>
      </c>
      <c r="S1093" s="15" t="n">
        <v>26.34</v>
      </c>
      <c r="V1093" s="15" t="n">
        <v>24.8</v>
      </c>
      <c r="W1093" s="15" t="n">
        <v>23.15</v>
      </c>
      <c r="X1093" s="34" t="n">
        <v>45873</v>
      </c>
      <c r="Y1093" s="15" t="n">
        <v>76.25</v>
      </c>
      <c r="Z1093" s="15" t="n">
        <v>70.94</v>
      </c>
      <c r="AA1093" s="34" t="n">
        <v>45873</v>
      </c>
      <c r="AB1093" s="15" t="n">
        <v>6.9</v>
      </c>
      <c r="AC1093" s="15" t="n">
        <v>14.1</v>
      </c>
      <c r="AD1093" s="34" t="n">
        <v>45873</v>
      </c>
      <c r="AE1093" s="15" t="n">
        <v>44.12</v>
      </c>
      <c r="AF1093" s="15" t="n">
        <v>46.44</v>
      </c>
      <c r="AG1093" s="34" t="n">
        <v>45873</v>
      </c>
      <c r="AH1093" s="15" t="n">
        <v>25.1</v>
      </c>
      <c r="AI1093" s="15" t="n">
        <v>24.55</v>
      </c>
      <c r="AJ1093" s="34" t="n">
        <v>45873</v>
      </c>
      <c r="AK1093" s="15" t="n">
        <v>21.78</v>
      </c>
      <c r="AL1093" s="15" t="n">
        <v>43.42</v>
      </c>
      <c r="AM1093" s="34" t="n">
        <v>45873</v>
      </c>
      <c r="AN1093" s="15" t="n">
        <v>417.4</v>
      </c>
      <c r="AO1093" s="15" t="n">
        <v>266.48</v>
      </c>
      <c r="AP1093" s="34" t="n">
        <v>45873</v>
      </c>
      <c r="AQ1093" s="15" t="n">
        <v>79</v>
      </c>
      <c r="AR1093" s="15" t="n">
        <v>62</v>
      </c>
      <c r="AS1093" s="34" t="n">
        <v>45873</v>
      </c>
      <c r="AT1093" s="15" t="n">
        <v>16.86</v>
      </c>
      <c r="AU1093" s="15" t="n">
        <v>16.7</v>
      </c>
      <c r="AV1093" s="34" t="n">
        <v>45873</v>
      </c>
      <c r="AW1093" s="15" t="n">
        <v>33.94</v>
      </c>
      <c r="AX1093" s="15" t="n">
        <v>38.26</v>
      </c>
      <c r="AY1093" s="34" t="n">
        <v>45873</v>
      </c>
      <c r="AZ1093" s="15" t="n">
        <v>27.06</v>
      </c>
      <c r="BA1093" s="15" t="n">
        <v>26.86</v>
      </c>
      <c r="BB1093" s="34" t="n">
        <v>45873</v>
      </c>
      <c r="BC1093" s="15" t="n">
        <v>60</v>
      </c>
      <c r="BD1093" s="15" t="n">
        <v>74.05</v>
      </c>
      <c r="BE1093" s="34" t="n">
        <v>45873</v>
      </c>
      <c r="BF1093" s="15" t="n">
        <v>149.3</v>
      </c>
      <c r="BG1093" s="15" t="n">
        <v>188.33</v>
      </c>
      <c r="BH1093" s="34" t="n">
        <v>45873</v>
      </c>
      <c r="BI1093" s="15" t="n">
        <v>19.62</v>
      </c>
      <c r="BJ1093" s="15" t="n">
        <v>22.39</v>
      </c>
      <c r="BK1093" s="34" t="n">
        <v>45873</v>
      </c>
    </row>
    <row r="1094">
      <c r="A1094" s="34" t="n">
        <v>45874</v>
      </c>
      <c r="B1094" s="266" t="n">
        <v>1.093202948570251</v>
      </c>
      <c r="C1094" s="34" t="n">
        <v>45874</v>
      </c>
      <c r="D1094" s="15" t="n">
        <v>25.2</v>
      </c>
      <c r="E1094" s="15" t="n">
        <v>31.43</v>
      </c>
      <c r="F1094" s="34" t="n">
        <v>45874</v>
      </c>
      <c r="G1094" s="15" t="n">
        <v>105.5</v>
      </c>
      <c r="H1094" s="15" t="n">
        <v>110.39</v>
      </c>
      <c r="I1094" s="34" t="n">
        <v>45874</v>
      </c>
      <c r="J1094" s="15" t="n">
        <v>18.7</v>
      </c>
      <c r="K1094" s="15" t="n">
        <v>27.1</v>
      </c>
      <c r="L1094" s="34" t="n">
        <v>45874</v>
      </c>
      <c r="M1094" s="15" t="n">
        <v>36.1</v>
      </c>
      <c r="N1094" s="15" t="n">
        <v>38.07</v>
      </c>
      <c r="O1094" s="34" t="n">
        <v>45874</v>
      </c>
      <c r="P1094" s="15" t="n">
        <v>57.55</v>
      </c>
      <c r="Q1094" s="15" t="n">
        <v>64.88</v>
      </c>
      <c r="R1094" s="34" t="n">
        <v>45874</v>
      </c>
      <c r="S1094" s="15" t="n">
        <v>26.8</v>
      </c>
      <c r="V1094" s="15" t="n">
        <v>25.26</v>
      </c>
      <c r="W1094" s="15" t="n">
        <v>23.25</v>
      </c>
      <c r="X1094" s="34" t="n">
        <v>45874</v>
      </c>
      <c r="Y1094" s="15" t="n">
        <v>77.59999999999999</v>
      </c>
      <c r="Z1094" s="15" t="n">
        <v>71.38</v>
      </c>
      <c r="AA1094" s="34" t="n">
        <v>45874</v>
      </c>
      <c r="AB1094" s="15" t="n">
        <v>7.03</v>
      </c>
      <c r="AC1094" s="15" t="n">
        <v>14.17</v>
      </c>
      <c r="AD1094" s="34" t="n">
        <v>45874</v>
      </c>
      <c r="AE1094" s="15" t="n">
        <v>44.14</v>
      </c>
      <c r="AF1094" s="15" t="n">
        <v>46.6</v>
      </c>
      <c r="AG1094" s="34" t="n">
        <v>45874</v>
      </c>
      <c r="AH1094" s="15" t="n">
        <v>25.16</v>
      </c>
      <c r="AI1094" s="15" t="n">
        <v>24.64</v>
      </c>
      <c r="AJ1094" s="34" t="n">
        <v>45874</v>
      </c>
      <c r="AK1094" s="15" t="n">
        <v>21.7</v>
      </c>
      <c r="AL1094" s="15" t="n">
        <v>43.55</v>
      </c>
      <c r="AM1094" s="34" t="n">
        <v>45874</v>
      </c>
      <c r="AN1094" s="15" t="n">
        <v>412</v>
      </c>
      <c r="AO1094" s="15" t="n">
        <v>265.7</v>
      </c>
      <c r="AP1094" s="34" t="n">
        <v>45874</v>
      </c>
      <c r="AQ1094" s="15" t="n">
        <v>81</v>
      </c>
      <c r="AR1094" s="15" t="n">
        <v>62.3</v>
      </c>
      <c r="AS1094" s="34" t="n">
        <v>45874</v>
      </c>
      <c r="AT1094" s="15" t="n">
        <v>17.53</v>
      </c>
      <c r="AU1094" s="15" t="n">
        <v>16.72</v>
      </c>
      <c r="AV1094" s="34" t="n">
        <v>45874</v>
      </c>
      <c r="AW1094" s="15" t="n">
        <v>33.36</v>
      </c>
      <c r="AX1094" s="15" t="n">
        <v>38.4</v>
      </c>
      <c r="AY1094" s="34" t="n">
        <v>45874</v>
      </c>
      <c r="AZ1094" s="15" t="n">
        <v>26.8</v>
      </c>
      <c r="BA1094" s="15" t="n">
        <v>26.92</v>
      </c>
      <c r="BB1094" s="34" t="n">
        <v>45874</v>
      </c>
      <c r="BC1094" s="15" t="n">
        <v>59.5</v>
      </c>
      <c r="BD1094" s="15" t="n">
        <v>74.13</v>
      </c>
      <c r="BE1094" s="34" t="n">
        <v>45874</v>
      </c>
      <c r="BF1094" s="15" t="n">
        <v>156.9</v>
      </c>
      <c r="BG1094" s="15" t="n">
        <v>189.26</v>
      </c>
      <c r="BH1094" s="34" t="n">
        <v>45874</v>
      </c>
      <c r="BI1094" s="15" t="n">
        <v>20.5</v>
      </c>
      <c r="BJ1094" s="15" t="n">
        <v>22.88</v>
      </c>
      <c r="BK1094" s="34" t="n">
        <v>45874</v>
      </c>
    </row>
    <row r="1095">
      <c r="A1095" s="34" t="n">
        <v>45875</v>
      </c>
      <c r="B1095" s="266" t="n">
        <v>1.092388987541199</v>
      </c>
      <c r="C1095" s="34" t="n">
        <v>45875</v>
      </c>
      <c r="D1095" s="15" t="n">
        <v>24.5</v>
      </c>
      <c r="E1095" s="15" t="n">
        <v>31.11</v>
      </c>
      <c r="F1095" s="34" t="n">
        <v>45875</v>
      </c>
      <c r="G1095" s="15" t="n">
        <v>102.4</v>
      </c>
      <c r="H1095" s="15" t="n">
        <v>109.78</v>
      </c>
      <c r="I1095" s="34" t="n">
        <v>45875</v>
      </c>
      <c r="J1095" s="15" t="n">
        <v>18.84</v>
      </c>
      <c r="K1095" s="15" t="n">
        <v>27.87</v>
      </c>
      <c r="L1095" s="34" t="n">
        <v>45875</v>
      </c>
      <c r="M1095" s="15" t="n">
        <v>36.96</v>
      </c>
      <c r="N1095" s="15" t="n">
        <v>38.16</v>
      </c>
      <c r="O1095" s="34" t="n">
        <v>45875</v>
      </c>
      <c r="P1095" s="15" t="n">
        <v>57.95</v>
      </c>
      <c r="Q1095" s="15" t="n">
        <v>64.86</v>
      </c>
      <c r="R1095" s="34" t="n">
        <v>45875</v>
      </c>
      <c r="S1095" s="15" t="n">
        <v>26</v>
      </c>
      <c r="V1095" s="15" t="n">
        <v>25.82</v>
      </c>
      <c r="W1095" s="15" t="n">
        <v>23.46</v>
      </c>
      <c r="X1095" s="34" t="n">
        <v>45875</v>
      </c>
      <c r="Y1095" s="15" t="n">
        <v>77.8</v>
      </c>
      <c r="Z1095" s="15" t="n">
        <v>71.7</v>
      </c>
      <c r="AA1095" s="34" t="n">
        <v>45875</v>
      </c>
      <c r="AB1095" s="15" t="n">
        <v>7.09</v>
      </c>
      <c r="AC1095" s="15" t="n">
        <v>14.4</v>
      </c>
      <c r="AD1095" s="34" t="n">
        <v>45875</v>
      </c>
      <c r="AE1095" s="15" t="n">
        <v>43.66</v>
      </c>
      <c r="AF1095" s="15" t="n">
        <v>46.42</v>
      </c>
      <c r="AG1095" s="34" t="n">
        <v>45875</v>
      </c>
      <c r="AH1095" s="15" t="n">
        <v>25.02</v>
      </c>
      <c r="AI1095" s="15" t="n">
        <v>24.74</v>
      </c>
      <c r="AJ1095" s="34" t="n">
        <v>45875</v>
      </c>
      <c r="AK1095" s="15" t="n">
        <v>21.6</v>
      </c>
      <c r="AL1095" s="15" t="n">
        <v>43.2</v>
      </c>
      <c r="AM1095" s="34" t="n">
        <v>45875</v>
      </c>
      <c r="AN1095" s="15" t="n">
        <v>412.2</v>
      </c>
      <c r="AO1095" s="15" t="n">
        <v>265</v>
      </c>
      <c r="AP1095" s="34" t="n">
        <v>45875</v>
      </c>
      <c r="AQ1095" s="15" t="n">
        <v>80.5</v>
      </c>
      <c r="AR1095" s="15" t="n">
        <v>61.58</v>
      </c>
      <c r="AS1095" s="34" t="n">
        <v>45875</v>
      </c>
      <c r="AT1095" s="15" t="n">
        <v>17.3</v>
      </c>
      <c r="AU1095" s="15" t="n">
        <v>16.66</v>
      </c>
      <c r="AV1095" s="34" t="n">
        <v>45875</v>
      </c>
      <c r="AW1095" s="15" t="n">
        <v>33.28</v>
      </c>
      <c r="AX1095" s="15" t="n">
        <v>38.35</v>
      </c>
      <c r="AY1095" s="34" t="n">
        <v>45875</v>
      </c>
      <c r="AZ1095" s="15" t="n">
        <v>27.88</v>
      </c>
      <c r="BA1095" s="15" t="n">
        <v>27.65</v>
      </c>
      <c r="BB1095" s="34" t="n">
        <v>45875</v>
      </c>
      <c r="BC1095" s="15" t="n">
        <v>59.25</v>
      </c>
      <c r="BD1095" s="15" t="n">
        <v>73.81999999999999</v>
      </c>
      <c r="BE1095" s="34" t="n">
        <v>45875</v>
      </c>
      <c r="BF1095" s="15" t="n">
        <v>158.1</v>
      </c>
      <c r="BG1095" s="15" t="n">
        <v>188.4</v>
      </c>
      <c r="BH1095" s="34" t="n">
        <v>45875</v>
      </c>
      <c r="BI1095" s="15" t="n">
        <v>20.5</v>
      </c>
      <c r="BJ1095" s="15" t="n">
        <v>23.24</v>
      </c>
      <c r="BK1095" s="34" t="n">
        <v>45875</v>
      </c>
    </row>
    <row r="1096">
      <c r="A1096" s="34" t="n">
        <v>45876</v>
      </c>
      <c r="B1096" s="266" t="n">
        <v>1.092599034309387</v>
      </c>
      <c r="C1096" s="34" t="n">
        <v>45876</v>
      </c>
      <c r="D1096" s="15" t="n">
        <v>22.4</v>
      </c>
      <c r="E1096" s="15" t="n">
        <v>30.12</v>
      </c>
      <c r="F1096" s="34" t="n">
        <v>45876</v>
      </c>
      <c r="G1096" s="15" t="n">
        <v>100.2</v>
      </c>
      <c r="H1096" s="15" t="n">
        <v>107.2</v>
      </c>
      <c r="I1096" s="34" t="n">
        <v>45876</v>
      </c>
      <c r="J1096" s="15" t="n">
        <v>19.6</v>
      </c>
      <c r="K1096" s="15" t="n">
        <v>29.14</v>
      </c>
      <c r="L1096" s="34" t="n">
        <v>45876</v>
      </c>
      <c r="M1096" s="15" t="n">
        <v>39.76</v>
      </c>
      <c r="N1096" s="15" t="n">
        <v>39.54</v>
      </c>
      <c r="O1096" s="34" t="n">
        <v>45876</v>
      </c>
      <c r="P1096" s="15" t="n">
        <v>58.05</v>
      </c>
      <c r="Q1096" s="15" t="n">
        <v>64.89</v>
      </c>
      <c r="R1096" s="34" t="n">
        <v>45876</v>
      </c>
      <c r="S1096" s="15" t="n">
        <v>24.58</v>
      </c>
      <c r="V1096" s="15" t="n">
        <v>25.46</v>
      </c>
      <c r="W1096" s="15" t="n">
        <v>23.3</v>
      </c>
      <c r="X1096" s="34" t="n">
        <v>45876</v>
      </c>
      <c r="Y1096" s="15" t="n">
        <v>78.59999999999999</v>
      </c>
      <c r="Z1096" s="15" t="n">
        <v>71.48</v>
      </c>
      <c r="AA1096" s="34" t="n">
        <v>45876</v>
      </c>
      <c r="AB1096" s="15" t="n">
        <v>7.2</v>
      </c>
      <c r="AC1096" s="15" t="n">
        <v>14.2</v>
      </c>
      <c r="AD1096" s="34" t="n">
        <v>45876</v>
      </c>
      <c r="AE1096" s="15" t="n">
        <v>44.52</v>
      </c>
      <c r="AF1096" s="15" t="n">
        <v>47.12</v>
      </c>
      <c r="AG1096" s="34" t="n">
        <v>45876</v>
      </c>
      <c r="AH1096" s="15" t="n">
        <v>26.5</v>
      </c>
      <c r="AI1096" s="15" t="n">
        <v>25.55</v>
      </c>
      <c r="AJ1096" s="34" t="n">
        <v>45876</v>
      </c>
      <c r="AK1096" s="15" t="n">
        <v>21.68</v>
      </c>
      <c r="AL1096" s="15" t="n">
        <v>42.6</v>
      </c>
      <c r="AM1096" s="34" t="n">
        <v>45876</v>
      </c>
      <c r="AN1096" s="15" t="n">
        <v>402</v>
      </c>
      <c r="AO1096" s="15" t="n">
        <v>263.05</v>
      </c>
      <c r="AP1096" s="34" t="n">
        <v>45876</v>
      </c>
      <c r="AQ1096" s="15" t="n">
        <v>78.8</v>
      </c>
      <c r="AR1096" s="15" t="n">
        <v>60.81</v>
      </c>
      <c r="AS1096" s="34" t="n">
        <v>45876</v>
      </c>
      <c r="AT1096" s="15" t="n">
        <v>17.44</v>
      </c>
      <c r="AU1096" s="15" t="n">
        <v>16.78</v>
      </c>
      <c r="AV1096" s="34" t="n">
        <v>45876</v>
      </c>
      <c r="AW1096" s="15" t="n">
        <v>33.3</v>
      </c>
      <c r="AX1096" s="15" t="n">
        <v>38.35</v>
      </c>
      <c r="AY1096" s="34" t="n">
        <v>45876</v>
      </c>
      <c r="AZ1096" s="15" t="n">
        <v>28.18</v>
      </c>
      <c r="BA1096" s="15" t="n">
        <v>27.37</v>
      </c>
      <c r="BB1096" s="34" t="n">
        <v>45876</v>
      </c>
      <c r="BC1096" s="15" t="n">
        <v>60.05</v>
      </c>
      <c r="BD1096" s="15" t="n">
        <v>73.95</v>
      </c>
      <c r="BE1096" s="34" t="n">
        <v>45876</v>
      </c>
      <c r="BF1096" s="15" t="n">
        <v>157.7</v>
      </c>
      <c r="BG1096" s="15" t="n">
        <v>189.75</v>
      </c>
      <c r="BH1096" s="34" t="n">
        <v>45876</v>
      </c>
      <c r="BI1096" s="15" t="n">
        <v>21.1</v>
      </c>
      <c r="BJ1096" s="15" t="n">
        <v>23.49</v>
      </c>
      <c r="BK1096" s="34" t="n">
        <v>45876</v>
      </c>
    </row>
    <row r="1097">
      <c r="A1097" s="34" t="n">
        <v>45877</v>
      </c>
      <c r="B1097" s="266" t="n">
        <v>1.092857956886292</v>
      </c>
      <c r="C1097" s="34" t="n">
        <v>45877</v>
      </c>
      <c r="D1097" s="15" t="n">
        <v>21.62</v>
      </c>
      <c r="E1097" s="15" t="n">
        <v>30.2</v>
      </c>
      <c r="F1097" s="34" t="n">
        <v>45877</v>
      </c>
      <c r="G1097" s="15" t="n">
        <v>88.59999999999999</v>
      </c>
      <c r="H1097" s="15" t="n">
        <v>97.90000000000001</v>
      </c>
      <c r="I1097" s="34" t="n">
        <v>45877</v>
      </c>
      <c r="J1097" s="15" t="n">
        <v>19.33</v>
      </c>
      <c r="K1097" s="15" t="n">
        <v>28.16</v>
      </c>
      <c r="L1097" s="34" t="n">
        <v>45877</v>
      </c>
      <c r="M1097" s="15" t="n">
        <v>41.02</v>
      </c>
      <c r="N1097" s="15" t="n">
        <v>40.83</v>
      </c>
      <c r="O1097" s="34" t="n">
        <v>45877</v>
      </c>
      <c r="P1097" s="15" t="n">
        <v>58.7</v>
      </c>
      <c r="Q1097" s="15" t="n">
        <v>65.04000000000001</v>
      </c>
      <c r="R1097" s="34" t="n">
        <v>45877</v>
      </c>
      <c r="S1097" s="15" t="n">
        <v>24</v>
      </c>
      <c r="V1097" s="15" t="n">
        <v>25.14</v>
      </c>
      <c r="W1097" s="15" t="n">
        <v>23.1</v>
      </c>
      <c r="X1097" s="34" t="n">
        <v>45877</v>
      </c>
      <c r="Y1097" s="15" t="n">
        <v>78.5</v>
      </c>
      <c r="Z1097" s="15" t="n">
        <v>71.58</v>
      </c>
      <c r="AA1097" s="34" t="n">
        <v>45877</v>
      </c>
      <c r="AB1097" s="15" t="n">
        <v>7.18</v>
      </c>
      <c r="AC1097" s="15" t="n">
        <v>14.31</v>
      </c>
      <c r="AD1097" s="34" t="n">
        <v>45877</v>
      </c>
      <c r="AE1097" s="15" t="n">
        <v>45.68</v>
      </c>
      <c r="AF1097" s="15" t="n">
        <v>47.58</v>
      </c>
      <c r="AG1097" s="34" t="n">
        <v>45877</v>
      </c>
      <c r="AH1097" s="15" t="n">
        <v>26.84</v>
      </c>
      <c r="AI1097" s="15" t="n">
        <v>25.9</v>
      </c>
      <c r="AJ1097" s="34" t="n">
        <v>45877</v>
      </c>
      <c r="AK1097" s="15" t="n">
        <v>21.4</v>
      </c>
      <c r="AL1097" s="15" t="n">
        <v>42.65</v>
      </c>
      <c r="AM1097" s="34" t="n">
        <v>45877</v>
      </c>
      <c r="AN1097" s="15" t="n">
        <v>407</v>
      </c>
      <c r="AO1097" s="15" t="n">
        <v>263.48</v>
      </c>
      <c r="AP1097" s="34" t="n">
        <v>45877</v>
      </c>
      <c r="AQ1097" s="15" t="n">
        <v>76.7</v>
      </c>
      <c r="AR1097" s="15" t="n">
        <v>60.99</v>
      </c>
      <c r="AS1097" s="34" t="n">
        <v>45877</v>
      </c>
      <c r="AT1097" s="15" t="n">
        <v>17.6</v>
      </c>
      <c r="AU1097" s="15" t="n">
        <v>16.62</v>
      </c>
      <c r="AV1097" s="34" t="n">
        <v>45877</v>
      </c>
      <c r="AW1097" s="15" t="n">
        <v>33.72</v>
      </c>
      <c r="AX1097" s="15" t="n">
        <v>38.26</v>
      </c>
      <c r="AY1097" s="34" t="n">
        <v>45877</v>
      </c>
      <c r="AZ1097" s="15" t="n">
        <v>27.5</v>
      </c>
      <c r="BA1097" s="15" t="n">
        <v>26.85</v>
      </c>
      <c r="BB1097" s="34" t="n">
        <v>45877</v>
      </c>
      <c r="BC1097" s="15" t="n">
        <v>60.35</v>
      </c>
      <c r="BD1097" s="15" t="n">
        <v>73.48999999999999</v>
      </c>
      <c r="BE1097" s="34" t="n">
        <v>45877</v>
      </c>
      <c r="BF1097" s="15" t="n">
        <v>152.3</v>
      </c>
      <c r="BG1097" s="15" t="n">
        <v>181.5</v>
      </c>
      <c r="BH1097" s="34" t="n">
        <v>45877</v>
      </c>
      <c r="BI1097" s="15" t="n">
        <v>20.62</v>
      </c>
      <c r="BJ1097" s="15" t="n">
        <v>22.88</v>
      </c>
      <c r="BK1097" s="34" t="n">
        <v>45877</v>
      </c>
    </row>
    <row r="1098">
      <c r="A1098" s="34" t="n">
        <v>45880</v>
      </c>
      <c r="B1098" s="266" t="n">
        <v>1.093001961708069</v>
      </c>
      <c r="C1098" s="34" t="n">
        <v>45880</v>
      </c>
      <c r="D1098" s="15" t="n">
        <v>23.06</v>
      </c>
      <c r="E1098" s="15" t="n">
        <v>31.22</v>
      </c>
      <c r="F1098" s="34" t="n">
        <v>45880</v>
      </c>
      <c r="G1098" s="15" t="n">
        <v>89.5</v>
      </c>
      <c r="H1098" s="15" t="n">
        <v>99.81999999999999</v>
      </c>
      <c r="I1098" s="34" t="n">
        <v>45880</v>
      </c>
      <c r="J1098" s="15" t="n">
        <v>19.4</v>
      </c>
      <c r="K1098" s="15" t="n">
        <v>28.16</v>
      </c>
      <c r="L1098" s="34" t="n">
        <v>45880</v>
      </c>
      <c r="M1098" s="15" t="n">
        <v>48.48</v>
      </c>
      <c r="N1098" s="15" t="n">
        <v>44.91</v>
      </c>
      <c r="O1098" s="34" t="n">
        <v>45880</v>
      </c>
      <c r="P1098" s="15" t="n">
        <v>60.65</v>
      </c>
      <c r="Q1098" s="15" t="n">
        <v>65.64</v>
      </c>
      <c r="R1098" s="34" t="n">
        <v>45880</v>
      </c>
      <c r="S1098" s="15" t="n">
        <v>25.26</v>
      </c>
      <c r="V1098" s="15" t="n">
        <v>25.8</v>
      </c>
      <c r="W1098" s="15" t="n">
        <v>23.64</v>
      </c>
      <c r="X1098" s="34" t="n">
        <v>45880</v>
      </c>
      <c r="Y1098" s="15" t="n">
        <v>79.25</v>
      </c>
      <c r="Z1098" s="15" t="n">
        <v>71.76000000000001</v>
      </c>
      <c r="AA1098" s="34" t="n">
        <v>45880</v>
      </c>
      <c r="AB1098" s="15" t="n">
        <v>8.529999999999999</v>
      </c>
      <c r="AC1098" s="15" t="n">
        <v>15.24</v>
      </c>
      <c r="AD1098" s="34" t="n">
        <v>45880</v>
      </c>
      <c r="AE1098" s="15" t="n">
        <v>45.38</v>
      </c>
      <c r="AF1098" s="15" t="n">
        <v>47.1</v>
      </c>
      <c r="AG1098" s="34" t="n">
        <v>45880</v>
      </c>
      <c r="AH1098" s="15" t="n">
        <v>25</v>
      </c>
      <c r="AI1098" s="15" t="n">
        <v>24.52</v>
      </c>
      <c r="AJ1098" s="34" t="n">
        <v>45880</v>
      </c>
      <c r="AK1098" s="15" t="n">
        <v>21.68</v>
      </c>
      <c r="AL1098" s="15" t="n">
        <v>43.61</v>
      </c>
      <c r="AM1098" s="34" t="n">
        <v>45880</v>
      </c>
      <c r="AN1098" s="15" t="n">
        <v>416.4</v>
      </c>
      <c r="AO1098" s="15" t="n">
        <v>263.66</v>
      </c>
      <c r="AP1098" s="34" t="n">
        <v>45880</v>
      </c>
      <c r="AQ1098" s="15" t="n">
        <v>77.59999999999999</v>
      </c>
      <c r="AR1098" s="15" t="n">
        <v>61.07</v>
      </c>
      <c r="AS1098" s="34" t="n">
        <v>45880</v>
      </c>
      <c r="AT1098" s="15" t="n">
        <v>17.28</v>
      </c>
      <c r="AU1098" s="15" t="n">
        <v>16.76</v>
      </c>
      <c r="AV1098" s="34" t="n">
        <v>45880</v>
      </c>
      <c r="AW1098" s="15" t="n">
        <v>33.56</v>
      </c>
      <c r="AX1098" s="15" t="n">
        <v>38.49</v>
      </c>
      <c r="AY1098" s="34" t="n">
        <v>45880</v>
      </c>
      <c r="AZ1098" s="15" t="n">
        <v>27.5</v>
      </c>
      <c r="BA1098" s="15" t="n">
        <v>27.01</v>
      </c>
      <c r="BB1098" s="34" t="n">
        <v>45880</v>
      </c>
      <c r="BC1098" s="15" t="n">
        <v>60.3</v>
      </c>
      <c r="BD1098" s="15" t="n">
        <v>73.68000000000001</v>
      </c>
      <c r="BE1098" s="34" t="n">
        <v>45880</v>
      </c>
      <c r="BF1098" s="15" t="n">
        <v>166</v>
      </c>
      <c r="BG1098" s="15" t="n">
        <v>202.6</v>
      </c>
      <c r="BH1098" s="34" t="n">
        <v>45880</v>
      </c>
      <c r="BI1098" s="15" t="n">
        <v>21.44</v>
      </c>
      <c r="BJ1098" s="15" t="n">
        <v>24.26</v>
      </c>
      <c r="BK1098" s="34" t="n">
        <v>45880</v>
      </c>
    </row>
    <row r="1099">
      <c r="A1099" s="34" t="n">
        <v>45881</v>
      </c>
      <c r="B1099" s="266" t="n">
        <v>1.091938018798828</v>
      </c>
      <c r="C1099" s="34" t="n">
        <v>45881</v>
      </c>
      <c r="D1099" s="15" t="n">
        <v>22.54</v>
      </c>
      <c r="E1099" s="15" t="n">
        <v>31.33</v>
      </c>
      <c r="F1099" s="34" t="n">
        <v>45881</v>
      </c>
      <c r="G1099" s="15" t="n">
        <v>90.40000000000001</v>
      </c>
      <c r="H1099" s="15" t="n">
        <v>101.21</v>
      </c>
      <c r="I1099" s="34" t="n">
        <v>45881</v>
      </c>
      <c r="J1099" s="15" t="n">
        <v>18.3</v>
      </c>
      <c r="K1099" s="15" t="n">
        <v>27.3</v>
      </c>
      <c r="L1099" s="34" t="n">
        <v>45881</v>
      </c>
      <c r="M1099" s="15" t="n">
        <v>45.78</v>
      </c>
      <c r="N1099" s="15" t="n">
        <v>45.88</v>
      </c>
      <c r="O1099" s="34" t="n">
        <v>45881</v>
      </c>
      <c r="P1099" s="15" t="n">
        <v>60.05</v>
      </c>
      <c r="Q1099" s="15" t="n">
        <v>65.65000000000001</v>
      </c>
      <c r="R1099" s="34" t="n">
        <v>45881</v>
      </c>
      <c r="S1099" s="15" t="n">
        <v>24.6</v>
      </c>
      <c r="V1099" s="15" t="n">
        <v>25.72</v>
      </c>
      <c r="W1099" s="15" t="n">
        <v>23.4</v>
      </c>
      <c r="X1099" s="34" t="n">
        <v>45881</v>
      </c>
      <c r="Y1099" s="15" t="n">
        <v>79.75</v>
      </c>
      <c r="Z1099" s="15" t="n">
        <v>71.93000000000001</v>
      </c>
      <c r="AA1099" s="34" t="n">
        <v>45881</v>
      </c>
      <c r="AB1099" s="15" t="n">
        <v>8.33</v>
      </c>
      <c r="AC1099" s="15" t="n">
        <v>15.1</v>
      </c>
      <c r="AD1099" s="34" t="n">
        <v>45881</v>
      </c>
      <c r="AE1099" s="15" t="n">
        <v>45.26</v>
      </c>
      <c r="AF1099" s="15" t="n">
        <v>46.88</v>
      </c>
      <c r="AG1099" s="34" t="n">
        <v>45881</v>
      </c>
      <c r="AH1099" s="15" t="n">
        <v>25.44</v>
      </c>
      <c r="AI1099" s="15" t="n">
        <v>24.58</v>
      </c>
      <c r="AJ1099" s="34" t="n">
        <v>45881</v>
      </c>
      <c r="AK1099" s="15" t="n">
        <v>21.54</v>
      </c>
      <c r="AL1099" s="15" t="n">
        <v>43.26</v>
      </c>
      <c r="AM1099" s="34" t="n">
        <v>45881</v>
      </c>
      <c r="AN1099" s="15" t="n">
        <v>415.8</v>
      </c>
      <c r="AO1099" s="15" t="n">
        <v>263.25</v>
      </c>
      <c r="AP1099" s="34" t="n">
        <v>45881</v>
      </c>
      <c r="AQ1099" s="15" t="n">
        <v>75.34999999999999</v>
      </c>
      <c r="AR1099" s="15" t="n">
        <v>60.85</v>
      </c>
      <c r="AS1099" s="34" t="n">
        <v>45881</v>
      </c>
      <c r="AT1099" s="15" t="n">
        <v>16.93</v>
      </c>
      <c r="AU1099" s="15" t="n">
        <v>16.76</v>
      </c>
      <c r="AV1099" s="34" t="n">
        <v>45881</v>
      </c>
      <c r="AW1099" s="15" t="n">
        <v>33.6</v>
      </c>
      <c r="AX1099" s="15" t="n">
        <v>38.56</v>
      </c>
      <c r="AY1099" s="34" t="n">
        <v>45881</v>
      </c>
      <c r="AZ1099" s="15" t="n">
        <v>27.26</v>
      </c>
      <c r="BA1099" s="15" t="n">
        <v>26.91</v>
      </c>
      <c r="BB1099" s="34" t="n">
        <v>45881</v>
      </c>
      <c r="BC1099" s="15" t="n">
        <v>60.3</v>
      </c>
      <c r="BD1099" s="15" t="n">
        <v>73.43000000000001</v>
      </c>
      <c r="BE1099" s="34" t="n">
        <v>45881</v>
      </c>
      <c r="BF1099" s="15" t="n">
        <v>164.7</v>
      </c>
      <c r="BG1099" s="15" t="n">
        <v>205.26</v>
      </c>
      <c r="BH1099" s="34" t="n">
        <v>45881</v>
      </c>
      <c r="BI1099" s="15" t="n">
        <v>21.4</v>
      </c>
      <c r="BJ1099" s="15" t="n">
        <v>24.09</v>
      </c>
      <c r="BK1099" s="34" t="n">
        <v>45881</v>
      </c>
    </row>
    <row r="1100">
      <c r="A1100" s="34" t="n">
        <v>45882</v>
      </c>
      <c r="B1100" s="266" t="n">
        <v>1.093171000480652</v>
      </c>
      <c r="C1100" s="34" t="n">
        <v>45882</v>
      </c>
      <c r="D1100" s="15" t="n">
        <v>24.94</v>
      </c>
      <c r="E1100" s="15" t="n">
        <v>34.2</v>
      </c>
      <c r="F1100" s="34" t="n">
        <v>45882</v>
      </c>
      <c r="G1100" s="15" t="n">
        <v>97.3</v>
      </c>
      <c r="H1100" s="15" t="n">
        <v>107.8</v>
      </c>
      <c r="I1100" s="34" t="n">
        <v>45882</v>
      </c>
      <c r="J1100" s="15" t="n">
        <v>18.67</v>
      </c>
      <c r="K1100" s="15" t="n">
        <v>27.89</v>
      </c>
      <c r="L1100" s="34" t="n">
        <v>45882</v>
      </c>
      <c r="M1100" s="15" t="n">
        <v>45</v>
      </c>
      <c r="N1100" s="15" t="n">
        <v>44.74</v>
      </c>
      <c r="O1100" s="34" t="n">
        <v>45882</v>
      </c>
      <c r="P1100" s="15" t="n">
        <v>60.1</v>
      </c>
      <c r="Q1100" s="15" t="n">
        <v>65.63</v>
      </c>
      <c r="R1100" s="34" t="n">
        <v>45882</v>
      </c>
      <c r="S1100" s="15" t="n">
        <v>24.76</v>
      </c>
      <c r="V1100" s="15" t="n">
        <v>26.06</v>
      </c>
      <c r="W1100" s="15" t="n">
        <v>23.88</v>
      </c>
      <c r="X1100" s="34" t="n">
        <v>45882</v>
      </c>
      <c r="Y1100" s="15" t="n">
        <v>80.40000000000001</v>
      </c>
      <c r="Z1100" s="15" t="n">
        <v>71.81999999999999</v>
      </c>
      <c r="AA1100" s="34" t="n">
        <v>45882</v>
      </c>
      <c r="AB1100" s="15" t="n">
        <v>8.35</v>
      </c>
      <c r="AC1100" s="15" t="n">
        <v>14.94</v>
      </c>
      <c r="AD1100" s="34" t="n">
        <v>45882</v>
      </c>
      <c r="AE1100" s="15" t="n">
        <v>45.22</v>
      </c>
      <c r="AF1100" s="15" t="n">
        <v>46.8</v>
      </c>
      <c r="AG1100" s="34" t="n">
        <v>45882</v>
      </c>
      <c r="AH1100" s="15" t="n">
        <v>25.7</v>
      </c>
      <c r="AI1100" s="15" t="n">
        <v>24.94</v>
      </c>
      <c r="AJ1100" s="34" t="n">
        <v>45882</v>
      </c>
      <c r="AK1100" s="15" t="n">
        <v>21.74</v>
      </c>
      <c r="AL1100" s="15" t="n">
        <v>43.89</v>
      </c>
      <c r="AM1100" s="34" t="n">
        <v>45882</v>
      </c>
      <c r="AN1100" s="15" t="n">
        <v>422.6</v>
      </c>
      <c r="AO1100" s="15" t="n">
        <v>273.6</v>
      </c>
      <c r="AP1100" s="34" t="n">
        <v>45882</v>
      </c>
      <c r="AQ1100" s="15" t="n">
        <v>78.8</v>
      </c>
      <c r="AR1100" s="15" t="n">
        <v>62.61</v>
      </c>
      <c r="AS1100" s="34" t="n">
        <v>45882</v>
      </c>
      <c r="AT1100" s="15" t="n">
        <v>16.88</v>
      </c>
      <c r="AU1100" s="15" t="n">
        <v>16.76</v>
      </c>
      <c r="AV1100" s="34" t="n">
        <v>45882</v>
      </c>
      <c r="AW1100" s="15" t="n">
        <v>33.78</v>
      </c>
      <c r="AX1100" s="15" t="n">
        <v>38.59</v>
      </c>
      <c r="AY1100" s="34" t="n">
        <v>45882</v>
      </c>
      <c r="AZ1100" s="15" t="n">
        <v>27.76</v>
      </c>
      <c r="BA1100" s="15" t="n">
        <v>27.63</v>
      </c>
      <c r="BB1100" s="34" t="n">
        <v>45882</v>
      </c>
      <c r="BC1100" s="15" t="n">
        <v>60.2</v>
      </c>
      <c r="BD1100" s="15" t="n">
        <v>73.37</v>
      </c>
      <c r="BE1100" s="34" t="n">
        <v>45882</v>
      </c>
      <c r="BF1100" s="15" t="n">
        <v>165.5</v>
      </c>
      <c r="BG1100" s="15" t="n">
        <v>206.63</v>
      </c>
      <c r="BH1100" s="34" t="n">
        <v>45882</v>
      </c>
      <c r="BI1100" s="15" t="n">
        <v>21.98</v>
      </c>
      <c r="BJ1100" s="15" t="n">
        <v>24.4</v>
      </c>
      <c r="BK1100" s="34" t="n">
        <v>45882</v>
      </c>
    </row>
    <row r="1101">
      <c r="A1101" s="34" t="n">
        <v>45883</v>
      </c>
      <c r="B1101" s="266" t="n">
        <v>1.093981027603149</v>
      </c>
      <c r="C1101" s="34" t="n">
        <v>45883</v>
      </c>
      <c r="D1101" s="15" t="n">
        <v>24.56</v>
      </c>
      <c r="E1101" s="15" t="n">
        <v>32.21</v>
      </c>
      <c r="F1101" s="34" t="n">
        <v>45883</v>
      </c>
      <c r="G1101" s="15" t="n">
        <v>98.15000000000001</v>
      </c>
      <c r="H1101" s="15" t="n">
        <v>108.46</v>
      </c>
      <c r="I1101" s="34" t="n">
        <v>45883</v>
      </c>
      <c r="J1101" s="15" t="n">
        <v>18.44</v>
      </c>
      <c r="K1101" s="15" t="n">
        <v>27.57</v>
      </c>
      <c r="L1101" s="34" t="n">
        <v>45883</v>
      </c>
      <c r="M1101" s="15" t="n">
        <v>44</v>
      </c>
      <c r="N1101" s="15" t="n">
        <v>43.03</v>
      </c>
      <c r="O1101" s="34" t="n">
        <v>45883</v>
      </c>
      <c r="P1101" s="15" t="n">
        <v>59.1</v>
      </c>
      <c r="Q1101" s="15" t="n">
        <v>64.43000000000001</v>
      </c>
      <c r="R1101" s="34" t="n">
        <v>45883</v>
      </c>
      <c r="S1101" s="15" t="n">
        <v>24.56</v>
      </c>
      <c r="V1101" s="15" t="n">
        <v>25.02</v>
      </c>
      <c r="W1101" s="15" t="n">
        <v>22.92</v>
      </c>
      <c r="X1101" s="34" t="n">
        <v>45883</v>
      </c>
      <c r="Y1101" s="15" t="n">
        <v>81</v>
      </c>
      <c r="Z1101" s="15" t="n">
        <v>72.33</v>
      </c>
      <c r="AA1101" s="34" t="n">
        <v>45883</v>
      </c>
      <c r="AB1101" s="15" t="n">
        <v>8.369999999999999</v>
      </c>
      <c r="AC1101" s="15" t="n">
        <v>14.59</v>
      </c>
      <c r="AD1101" s="34" t="n">
        <v>45883</v>
      </c>
      <c r="AE1101" s="15" t="n">
        <v>45.48</v>
      </c>
      <c r="AF1101" s="15" t="n">
        <v>46.7</v>
      </c>
      <c r="AG1101" s="34" t="n">
        <v>45883</v>
      </c>
      <c r="AH1101" s="15" t="n">
        <v>25.6</v>
      </c>
      <c r="AI1101" s="15" t="n">
        <v>24.64</v>
      </c>
      <c r="AJ1101" s="34" t="n">
        <v>45883</v>
      </c>
      <c r="AK1101" s="15" t="n">
        <v>21.14</v>
      </c>
      <c r="AL1101" s="15" t="n">
        <v>42.4</v>
      </c>
      <c r="AM1101" s="34" t="n">
        <v>45883</v>
      </c>
      <c r="AN1101" s="15" t="n">
        <v>419.8</v>
      </c>
      <c r="AO1101" s="15" t="n">
        <v>279.89</v>
      </c>
      <c r="AP1101" s="34" t="n">
        <v>45883</v>
      </c>
      <c r="AQ1101" s="15" t="n">
        <v>79.3</v>
      </c>
      <c r="AR1101" s="15" t="n">
        <v>62.82</v>
      </c>
      <c r="AS1101" s="34" t="n">
        <v>45883</v>
      </c>
      <c r="AT1101" s="15" t="n">
        <v>16.43</v>
      </c>
      <c r="AU1101" s="15" t="n">
        <v>16.34</v>
      </c>
      <c r="AV1101" s="34" t="n">
        <v>45883</v>
      </c>
      <c r="AW1101" s="15" t="n">
        <v>33.58</v>
      </c>
      <c r="AX1101" s="15" t="n">
        <v>38.77</v>
      </c>
      <c r="AY1101" s="34" t="n">
        <v>45883</v>
      </c>
      <c r="AZ1101" s="15" t="n">
        <v>27.1</v>
      </c>
      <c r="BA1101" s="15" t="n">
        <v>27.17</v>
      </c>
      <c r="BB1101" s="34" t="n">
        <v>45883</v>
      </c>
      <c r="BC1101" s="15" t="n">
        <v>60.45</v>
      </c>
      <c r="BD1101" s="15" t="n">
        <v>73.63</v>
      </c>
      <c r="BE1101" s="34" t="n">
        <v>45883</v>
      </c>
      <c r="BF1101" s="15" t="n">
        <v>160</v>
      </c>
      <c r="BG1101" s="15" t="n">
        <v>204.35</v>
      </c>
      <c r="BH1101" s="34" t="n">
        <v>45883</v>
      </c>
      <c r="BI1101" s="15" t="n">
        <v>21.56</v>
      </c>
      <c r="BJ1101" s="15" t="n">
        <v>24.52</v>
      </c>
      <c r="BK1101" s="34" t="n">
        <v>45883</v>
      </c>
    </row>
    <row r="1102">
      <c r="A1102" s="34" t="n">
        <v>45884</v>
      </c>
      <c r="B1102" s="266" t="n">
        <v>1.091035962104797</v>
      </c>
      <c r="C1102" s="34" t="n">
        <v>45884</v>
      </c>
      <c r="D1102" s="15" t="n">
        <v>24.56</v>
      </c>
      <c r="E1102" s="15" t="n">
        <v>32.96</v>
      </c>
      <c r="F1102" s="34" t="n">
        <v>45884</v>
      </c>
      <c r="G1102" s="15" t="n">
        <v>98.8</v>
      </c>
      <c r="H1102" s="15" t="n">
        <v>109.1</v>
      </c>
      <c r="I1102" s="34" t="n">
        <v>45884</v>
      </c>
      <c r="J1102" s="15" t="n">
        <v>19.09</v>
      </c>
      <c r="K1102" s="15" t="n">
        <v>28.17</v>
      </c>
      <c r="L1102" s="34" t="n">
        <v>45884</v>
      </c>
      <c r="M1102" s="15" t="n">
        <v>45.38</v>
      </c>
      <c r="N1102" s="15" t="n">
        <v>43.77</v>
      </c>
      <c r="O1102" s="34" t="n">
        <v>45884</v>
      </c>
      <c r="P1102" s="15" t="n">
        <v>59.15</v>
      </c>
      <c r="Q1102" s="15" t="n">
        <v>64.66</v>
      </c>
      <c r="R1102" s="34" t="n">
        <v>45884</v>
      </c>
      <c r="S1102" s="15" t="n">
        <v>24.64</v>
      </c>
      <c r="V1102" s="15" t="n">
        <v>25.64</v>
      </c>
      <c r="W1102" s="15" t="n">
        <v>23.83</v>
      </c>
      <c r="X1102" s="34" t="n">
        <v>45884</v>
      </c>
      <c r="Y1102" s="15" t="n">
        <v>80.75</v>
      </c>
      <c r="Z1102" s="15" t="n">
        <v>72.3</v>
      </c>
      <c r="AA1102" s="34" t="n">
        <v>45884</v>
      </c>
      <c r="AB1102" s="15" t="n">
        <v>8.85</v>
      </c>
      <c r="AC1102" s="15" t="n">
        <v>14.85</v>
      </c>
      <c r="AD1102" s="34" t="n">
        <v>45884</v>
      </c>
      <c r="AE1102" s="15" t="n">
        <v>45.1</v>
      </c>
      <c r="AF1102" s="15" t="n">
        <v>46.51</v>
      </c>
      <c r="AG1102" s="34" t="n">
        <v>45884</v>
      </c>
      <c r="AH1102" s="15" t="n">
        <v>25.44</v>
      </c>
      <c r="AI1102" s="15" t="n">
        <v>24.58</v>
      </c>
      <c r="AJ1102" s="34" t="n">
        <v>45884</v>
      </c>
      <c r="AK1102" s="15" t="n">
        <v>21.9</v>
      </c>
      <c r="AL1102" s="15" t="n">
        <v>44.4</v>
      </c>
      <c r="AM1102" s="34" t="n">
        <v>45884</v>
      </c>
      <c r="AN1102" s="15" t="n">
        <v>415.8</v>
      </c>
      <c r="AO1102" s="15" t="n">
        <v>280.67</v>
      </c>
      <c r="AP1102" s="34" t="n">
        <v>45884</v>
      </c>
      <c r="AQ1102" s="15" t="n">
        <v>82.05</v>
      </c>
      <c r="AR1102" s="15" t="n">
        <v>63.4</v>
      </c>
      <c r="AS1102" s="34" t="n">
        <v>45884</v>
      </c>
      <c r="AT1102" s="15" t="n">
        <v>17.01</v>
      </c>
      <c r="AU1102" s="15" t="n">
        <v>16.5</v>
      </c>
      <c r="AV1102" s="34" t="n">
        <v>45884</v>
      </c>
      <c r="AW1102" s="15" t="n">
        <v>33.72</v>
      </c>
      <c r="AX1102" s="15" t="n">
        <v>38.89</v>
      </c>
      <c r="AY1102" s="34" t="n">
        <v>45884</v>
      </c>
      <c r="AZ1102" s="15" t="n">
        <v>28.3</v>
      </c>
      <c r="BA1102" s="15" t="n">
        <v>28.53</v>
      </c>
      <c r="BB1102" s="34" t="n">
        <v>45884</v>
      </c>
      <c r="BC1102" s="15" t="n">
        <v>60.65</v>
      </c>
      <c r="BD1102" s="15" t="n">
        <v>73.75</v>
      </c>
      <c r="BE1102" s="34" t="n">
        <v>45884</v>
      </c>
      <c r="BF1102" s="15" t="n">
        <v>167.6</v>
      </c>
      <c r="BG1102" s="15" t="n">
        <v>208.65</v>
      </c>
      <c r="BH1102" s="34" t="n">
        <v>45884</v>
      </c>
      <c r="BI1102" s="15" t="n">
        <v>21.78</v>
      </c>
      <c r="BJ1102" s="15" t="n">
        <v>24.62</v>
      </c>
      <c r="BK1102" s="34" t="n">
        <v>45884</v>
      </c>
    </row>
    <row r="1103">
      <c r="A1103" s="34" t="n">
        <v>45887</v>
      </c>
      <c r="B1103" s="266" t="n">
        <v>1.089409947395325</v>
      </c>
      <c r="C1103" s="34" t="n">
        <v>45887</v>
      </c>
      <c r="D1103" s="15" t="n">
        <v>24.2</v>
      </c>
      <c r="E1103" s="15" t="n">
        <v>33.14</v>
      </c>
      <c r="F1103" s="34" t="n">
        <v>45887</v>
      </c>
      <c r="G1103" s="15" t="n">
        <v>95.8</v>
      </c>
      <c r="H1103" s="15" t="n">
        <v>107.81</v>
      </c>
      <c r="I1103" s="34" t="n">
        <v>45887</v>
      </c>
      <c r="J1103" s="15" t="n">
        <v>19.94</v>
      </c>
      <c r="K1103" s="15" t="n">
        <v>29.32</v>
      </c>
      <c r="L1103" s="34" t="n">
        <v>45887</v>
      </c>
      <c r="M1103" s="15" t="n">
        <v>44.84</v>
      </c>
      <c r="N1103" s="15" t="n">
        <v>44.46</v>
      </c>
      <c r="O1103" s="34" t="n">
        <v>45887</v>
      </c>
      <c r="P1103" s="15" t="n">
        <v>60</v>
      </c>
      <c r="Q1103" s="15" t="n">
        <v>65.41</v>
      </c>
      <c r="R1103" s="34" t="n">
        <v>45887</v>
      </c>
      <c r="S1103" s="15" t="n">
        <v>24.22</v>
      </c>
      <c r="V1103" s="15" t="n">
        <v>26.12</v>
      </c>
      <c r="W1103" s="15" t="n">
        <v>24.43</v>
      </c>
      <c r="X1103" s="34" t="n">
        <v>45887</v>
      </c>
      <c r="Y1103" s="15" t="n">
        <v>80.95</v>
      </c>
      <c r="Z1103" s="15" t="n">
        <v>71.84</v>
      </c>
      <c r="AA1103" s="34" t="n">
        <v>45887</v>
      </c>
      <c r="AB1103" s="15" t="n">
        <v>8.93</v>
      </c>
      <c r="AC1103" s="15" t="n">
        <v>15.09</v>
      </c>
      <c r="AD1103" s="34" t="n">
        <v>45887</v>
      </c>
      <c r="AE1103" s="15" t="n">
        <v>46.14</v>
      </c>
      <c r="AF1103" s="15" t="n">
        <v>46.78</v>
      </c>
      <c r="AG1103" s="34" t="n">
        <v>45887</v>
      </c>
      <c r="AH1103" s="15" t="n">
        <v>24.8</v>
      </c>
      <c r="AI1103" s="15" t="n">
        <v>24.43</v>
      </c>
      <c r="AJ1103" s="34" t="n">
        <v>45887</v>
      </c>
      <c r="AK1103" s="15" t="n">
        <v>22.56</v>
      </c>
      <c r="AL1103" s="15" t="n">
        <v>45.29</v>
      </c>
      <c r="AM1103" s="34" t="n">
        <v>45887</v>
      </c>
      <c r="AN1103" s="15" t="n">
        <v>414</v>
      </c>
      <c r="AO1103" s="15" t="n">
        <v>283</v>
      </c>
      <c r="AP1103" s="34" t="n">
        <v>45887</v>
      </c>
      <c r="AQ1103" s="15" t="n">
        <v>83.5</v>
      </c>
      <c r="AR1103" s="15" t="n">
        <v>63.08</v>
      </c>
      <c r="AS1103" s="34" t="n">
        <v>45887</v>
      </c>
      <c r="AT1103" s="15" t="n">
        <v>16.69</v>
      </c>
      <c r="AU1103" s="15" t="n">
        <v>16.73</v>
      </c>
      <c r="AV1103" s="34" t="n">
        <v>45887</v>
      </c>
      <c r="AW1103" s="15" t="n">
        <v>34.34</v>
      </c>
      <c r="AX1103" s="15" t="n">
        <v>39.32</v>
      </c>
      <c r="AY1103" s="34" t="n">
        <v>45887</v>
      </c>
      <c r="AZ1103" s="15" t="n">
        <v>28.4</v>
      </c>
      <c r="BA1103" s="15" t="n">
        <v>28.92</v>
      </c>
      <c r="BB1103" s="34" t="n">
        <v>45887</v>
      </c>
      <c r="BC1103" s="15" t="n">
        <v>60.65</v>
      </c>
      <c r="BD1103" s="15" t="n">
        <v>74.62</v>
      </c>
      <c r="BE1103" s="34" t="n">
        <v>45887</v>
      </c>
      <c r="BF1103" s="15" t="n">
        <v>175.5</v>
      </c>
      <c r="BG1103" s="15" t="n">
        <v>216.62</v>
      </c>
      <c r="BH1103" s="34" t="n">
        <v>45887</v>
      </c>
      <c r="BI1103" s="15" t="n">
        <v>23.22</v>
      </c>
      <c r="BJ1103" s="15" t="n">
        <v>25.77</v>
      </c>
      <c r="BK1103" s="34" t="n">
        <v>45887</v>
      </c>
    </row>
    <row r="1104">
      <c r="A1104" s="34" t="n">
        <v>45888</v>
      </c>
      <c r="B1104" s="266" t="n">
        <v>1.088366031646729</v>
      </c>
      <c r="C1104" s="34" t="n">
        <v>45888</v>
      </c>
      <c r="D1104" s="15" t="n">
        <v>22.64</v>
      </c>
      <c r="E1104" s="15" t="n">
        <v>32.19</v>
      </c>
      <c r="F1104" s="34" t="n">
        <v>45888</v>
      </c>
      <c r="G1104" s="15" t="n">
        <v>93.75</v>
      </c>
      <c r="H1104" s="15" t="n">
        <v>104.56</v>
      </c>
      <c r="I1104" s="34" t="n">
        <v>45888</v>
      </c>
      <c r="J1104" s="15" t="n">
        <v>19.29</v>
      </c>
      <c r="K1104" s="15" t="n">
        <v>28.84</v>
      </c>
      <c r="L1104" s="34" t="n">
        <v>45888</v>
      </c>
      <c r="M1104" s="15" t="n">
        <v>43.88</v>
      </c>
      <c r="N1104" s="15" t="n">
        <v>43.88</v>
      </c>
      <c r="O1104" s="34" t="n">
        <v>45888</v>
      </c>
      <c r="P1104" s="15" t="n">
        <v>60.4</v>
      </c>
      <c r="Q1104" s="15" t="n">
        <v>65.73</v>
      </c>
      <c r="R1104" s="34" t="n">
        <v>45888</v>
      </c>
      <c r="S1104" s="15" t="n">
        <v>22.58</v>
      </c>
      <c r="V1104" s="15" t="n">
        <v>26.5</v>
      </c>
      <c r="W1104" s="15" t="n">
        <v>25.11</v>
      </c>
      <c r="X1104" s="34" t="n">
        <v>45888</v>
      </c>
      <c r="Y1104" s="15" t="n">
        <v>82.59999999999999</v>
      </c>
      <c r="Z1104" s="15" t="n">
        <v>72.68000000000001</v>
      </c>
      <c r="AA1104" s="34" t="n">
        <v>45888</v>
      </c>
      <c r="AB1104" s="15" t="n">
        <v>10.2</v>
      </c>
      <c r="AC1104" s="15" t="n">
        <v>15.44</v>
      </c>
      <c r="AD1104" s="34" t="n">
        <v>45888</v>
      </c>
      <c r="AE1104" s="15" t="n">
        <v>45.28</v>
      </c>
      <c r="AF1104" s="15" t="n">
        <v>46.63</v>
      </c>
      <c r="AG1104" s="34" t="n">
        <v>45888</v>
      </c>
      <c r="AH1104" s="15" t="n">
        <v>24.02</v>
      </c>
      <c r="AI1104" s="15" t="n">
        <v>24.19</v>
      </c>
      <c r="AJ1104" s="34" t="n">
        <v>45888</v>
      </c>
      <c r="AK1104" s="15" t="n">
        <v>22.72</v>
      </c>
      <c r="AL1104" s="15" t="n">
        <v>47.86</v>
      </c>
      <c r="AM1104" s="34" t="n">
        <v>45888</v>
      </c>
      <c r="AN1104" s="15" t="n">
        <v>404.8</v>
      </c>
      <c r="AO1104" s="15" t="n">
        <v>277.8</v>
      </c>
      <c r="AP1104" s="34" t="n">
        <v>45888</v>
      </c>
      <c r="AQ1104" s="15" t="n">
        <v>79</v>
      </c>
      <c r="AR1104" s="15" t="n">
        <v>61.69</v>
      </c>
      <c r="AS1104" s="34" t="n">
        <v>45888</v>
      </c>
      <c r="AT1104" s="15" t="n">
        <v>16.31</v>
      </c>
      <c r="AU1104" s="15" t="n">
        <v>16.73</v>
      </c>
      <c r="AV1104" s="34" t="n">
        <v>45888</v>
      </c>
      <c r="AW1104" s="15" t="n">
        <v>34.5</v>
      </c>
      <c r="AX1104" s="15" t="n">
        <v>39.26</v>
      </c>
      <c r="AY1104" s="34" t="n">
        <v>45888</v>
      </c>
      <c r="AZ1104" s="15" t="n">
        <v>30.1</v>
      </c>
      <c r="BA1104" s="15" t="n">
        <v>30.46</v>
      </c>
      <c r="BB1104" s="34" t="n">
        <v>45888</v>
      </c>
      <c r="BC1104" s="15" t="n">
        <v>61.4</v>
      </c>
      <c r="BD1104" s="15" t="n">
        <v>74.54000000000001</v>
      </c>
      <c r="BE1104" s="34" t="n">
        <v>45888</v>
      </c>
      <c r="BF1104" s="15" t="n">
        <v>179.2</v>
      </c>
      <c r="BG1104" s="15" t="n">
        <v>213.2</v>
      </c>
      <c r="BH1104" s="34" t="n">
        <v>45888</v>
      </c>
      <c r="BI1104" s="15" t="n">
        <v>23.14</v>
      </c>
      <c r="BJ1104" s="15" t="n">
        <v>25.62</v>
      </c>
      <c r="BK1104" s="34" t="n">
        <v>45888</v>
      </c>
    </row>
    <row r="1105">
      <c r="A1105" s="34" t="n">
        <v>45889</v>
      </c>
      <c r="B1105" s="266" t="n">
        <v>1.085826992988586</v>
      </c>
      <c r="C1105" s="34" t="n">
        <v>45889</v>
      </c>
      <c r="D1105" s="15" t="n">
        <v>22.36</v>
      </c>
      <c r="E1105" s="15" t="n">
        <v>31.14</v>
      </c>
      <c r="F1105" s="34" t="n">
        <v>45889</v>
      </c>
      <c r="G1105" s="15" t="n">
        <v>93</v>
      </c>
      <c r="H1105" s="15" t="n">
        <v>105.44</v>
      </c>
      <c r="I1105" s="34" t="n">
        <v>45889</v>
      </c>
      <c r="J1105" s="15" t="n">
        <v>18.79</v>
      </c>
      <c r="K1105" s="15" t="n">
        <v>29.45</v>
      </c>
      <c r="L1105" s="34" t="n">
        <v>45889</v>
      </c>
      <c r="M1105" s="15" t="n">
        <v>42.12</v>
      </c>
      <c r="N1105" s="15" t="n">
        <v>43.04</v>
      </c>
      <c r="O1105" s="34" t="n">
        <v>45889</v>
      </c>
      <c r="P1105" s="15" t="n">
        <v>61.15</v>
      </c>
      <c r="Q1105" s="15" t="n">
        <v>66.65000000000001</v>
      </c>
      <c r="R1105" s="34" t="n">
        <v>45889</v>
      </c>
      <c r="S1105" s="15" t="n">
        <v>22.4</v>
      </c>
      <c r="V1105" s="15" t="n">
        <v>26.1</v>
      </c>
      <c r="W1105" s="15" t="n">
        <v>24.67</v>
      </c>
      <c r="X1105" s="34" t="n">
        <v>45889</v>
      </c>
      <c r="Y1105" s="15" t="n">
        <v>81.40000000000001</v>
      </c>
      <c r="Z1105" s="15" t="n">
        <v>72.22</v>
      </c>
      <c r="AA1105" s="34" t="n">
        <v>45889</v>
      </c>
      <c r="AB1105" s="15" t="n">
        <v>9.6</v>
      </c>
      <c r="AC1105" s="15" t="n">
        <v>15.13</v>
      </c>
      <c r="AD1105" s="34" t="n">
        <v>45889</v>
      </c>
      <c r="AE1105" s="15" t="n">
        <v>46.12</v>
      </c>
      <c r="AF1105" s="15" t="n">
        <v>48</v>
      </c>
      <c r="AG1105" s="34" t="n">
        <v>45889</v>
      </c>
      <c r="AH1105" s="15" t="n">
        <v>24.36</v>
      </c>
      <c r="AI1105" s="15" t="n">
        <v>24.38</v>
      </c>
      <c r="AJ1105" s="34" t="n">
        <v>45889</v>
      </c>
      <c r="AK1105" s="15" t="n">
        <v>22.56</v>
      </c>
      <c r="AL1105" s="15" t="n">
        <v>47.88</v>
      </c>
      <c r="AM1105" s="34" t="n">
        <v>45889</v>
      </c>
      <c r="AN1105" s="15" t="n">
        <v>406.8</v>
      </c>
      <c r="AO1105" s="15" t="n">
        <v>279.2</v>
      </c>
      <c r="AP1105" s="34" t="n">
        <v>45889</v>
      </c>
      <c r="AQ1105" s="15" t="n">
        <v>78.55</v>
      </c>
      <c r="AR1105" s="15" t="n">
        <v>62.85</v>
      </c>
      <c r="AS1105" s="34" t="n">
        <v>45889</v>
      </c>
      <c r="AT1105" s="15" t="n">
        <v>17.1</v>
      </c>
      <c r="AU1105" s="15" t="n">
        <v>16.97</v>
      </c>
      <c r="AV1105" s="34" t="n">
        <v>45889</v>
      </c>
      <c r="AW1105" s="15" t="n">
        <v>34.5</v>
      </c>
      <c r="AX1105" s="15" t="n">
        <v>39.49</v>
      </c>
      <c r="AY1105" s="34" t="n">
        <v>45889</v>
      </c>
      <c r="AZ1105" s="15" t="n">
        <v>29.14</v>
      </c>
      <c r="BA1105" s="15" t="n">
        <v>30.36</v>
      </c>
      <c r="BB1105" s="34" t="n">
        <v>45889</v>
      </c>
      <c r="BC1105" s="15" t="n">
        <v>61.15</v>
      </c>
      <c r="BD1105" s="15" t="n">
        <v>74.92</v>
      </c>
      <c r="BE1105" s="34" t="n">
        <v>45889</v>
      </c>
      <c r="BF1105" s="15" t="n">
        <v>181.7</v>
      </c>
      <c r="BG1105" s="15" t="n">
        <v>223.06</v>
      </c>
      <c r="BH1105" s="34" t="n">
        <v>45889</v>
      </c>
      <c r="BI1105" s="15" t="n">
        <v>23.72</v>
      </c>
      <c r="BJ1105" s="15" t="n">
        <v>27.01</v>
      </c>
      <c r="BK1105" s="34" t="n">
        <v>45889</v>
      </c>
      <c r="BL1105" s="15" t="n">
        <v>45.54</v>
      </c>
      <c r="BM1105" s="15" t="n">
        <v>66.26000000000001</v>
      </c>
      <c r="BN1105" s="34" t="n">
        <v>45889</v>
      </c>
    </row>
    <row r="1106">
      <c r="A1106" s="34" t="n">
        <v>45890</v>
      </c>
      <c r="B1106" s="266" t="n">
        <v>1.088521003723145</v>
      </c>
      <c r="C1106" s="34" t="n">
        <v>45890</v>
      </c>
      <c r="D1106" s="15" t="n">
        <v>22.66</v>
      </c>
      <c r="E1106" s="15" t="n">
        <v>31.16</v>
      </c>
      <c r="F1106" s="34" t="n">
        <v>45890</v>
      </c>
      <c r="G1106" s="15" t="n">
        <v>94.40000000000001</v>
      </c>
      <c r="H1106" s="15" t="n">
        <v>106.11</v>
      </c>
      <c r="I1106" s="34" t="n">
        <v>45890</v>
      </c>
      <c r="J1106" s="15" t="n">
        <v>19.02</v>
      </c>
      <c r="K1106" s="15" t="n">
        <v>29.57</v>
      </c>
      <c r="L1106" s="34" t="n">
        <v>45890</v>
      </c>
      <c r="M1106" s="15" t="n">
        <v>41.62</v>
      </c>
      <c r="N1106" s="15" t="n">
        <v>42.64</v>
      </c>
      <c r="O1106" s="34" t="n">
        <v>45890</v>
      </c>
      <c r="P1106" s="15" t="n">
        <v>61.05</v>
      </c>
      <c r="Q1106" s="15" t="n">
        <v>67.13</v>
      </c>
      <c r="R1106" s="34" t="n">
        <v>45890</v>
      </c>
      <c r="S1106" s="15" t="n">
        <v>21.74</v>
      </c>
      <c r="V1106" s="15" t="n">
        <v>26.06</v>
      </c>
      <c r="W1106" s="15" t="n">
        <v>24.28</v>
      </c>
      <c r="X1106" s="34" t="n">
        <v>45890</v>
      </c>
      <c r="Y1106" s="15" t="n">
        <v>81.90000000000001</v>
      </c>
      <c r="Z1106" s="15" t="n">
        <v>71.92</v>
      </c>
      <c r="AA1106" s="34" t="n">
        <v>45890</v>
      </c>
      <c r="AB1106" s="15" t="n">
        <v>9.199999999999999</v>
      </c>
      <c r="AC1106" s="15" t="n">
        <v>14.6</v>
      </c>
      <c r="AD1106" s="34" t="n">
        <v>45890</v>
      </c>
      <c r="AE1106" s="15" t="n">
        <v>46.36</v>
      </c>
      <c r="AF1106" s="15" t="n">
        <v>48.19</v>
      </c>
      <c r="AG1106" s="34" t="n">
        <v>45890</v>
      </c>
      <c r="AH1106" s="15" t="n">
        <v>24.3</v>
      </c>
      <c r="AI1106" s="15" t="n">
        <v>24.23</v>
      </c>
      <c r="AJ1106" s="34" t="n">
        <v>45890</v>
      </c>
      <c r="AK1106" s="15" t="n">
        <v>22.46</v>
      </c>
      <c r="AL1106" s="15" t="n">
        <v>48.23</v>
      </c>
      <c r="AM1106" s="34" t="n">
        <v>45890</v>
      </c>
      <c r="AN1106" s="15" t="n">
        <v>406</v>
      </c>
      <c r="AO1106" s="15" t="n">
        <v>279</v>
      </c>
      <c r="AP1106" s="34" t="n">
        <v>45890</v>
      </c>
      <c r="AQ1106" s="15" t="n">
        <v>77.75</v>
      </c>
      <c r="AR1106" s="15" t="n">
        <v>63.99</v>
      </c>
      <c r="AS1106" s="34" t="n">
        <v>45890</v>
      </c>
      <c r="AT1106" s="15" t="n">
        <v>17.55</v>
      </c>
      <c r="AU1106" s="15" t="n">
        <v>17.57</v>
      </c>
      <c r="AV1106" s="34" t="n">
        <v>45890</v>
      </c>
      <c r="AW1106" s="15" t="n">
        <v>34.38</v>
      </c>
      <c r="AX1106" s="15" t="n">
        <v>39.75</v>
      </c>
      <c r="AY1106" s="34" t="n">
        <v>45890</v>
      </c>
      <c r="AZ1106" s="15" t="n">
        <v>29.68</v>
      </c>
      <c r="BA1106" s="15" t="n">
        <v>30.81</v>
      </c>
      <c r="BB1106" s="34" t="n">
        <v>45890</v>
      </c>
      <c r="BC1106" s="15" t="n">
        <v>60.95</v>
      </c>
      <c r="BD1106" s="15" t="n">
        <v>74.84999999999999</v>
      </c>
      <c r="BE1106" s="34" t="n">
        <v>45890</v>
      </c>
      <c r="BF1106" s="15" t="n">
        <v>177</v>
      </c>
      <c r="BG1106" s="15" t="n">
        <v>217.65</v>
      </c>
      <c r="BH1106" s="34" t="n">
        <v>45890</v>
      </c>
      <c r="BI1106" s="15" t="n">
        <v>23.64</v>
      </c>
      <c r="BJ1106" s="15" t="n">
        <v>28.34</v>
      </c>
      <c r="BK1106" s="34" t="n">
        <v>45890</v>
      </c>
      <c r="BL1106" s="15" t="n">
        <v>43.22</v>
      </c>
      <c r="BM1106" s="15" t="n">
        <v>63.53</v>
      </c>
      <c r="BN1106" s="34" t="n">
        <v>45890</v>
      </c>
    </row>
    <row r="1107">
      <c r="A1107" s="34" t="n">
        <v>45891</v>
      </c>
      <c r="B1107" s="266" t="n">
        <v>1.08814001083374</v>
      </c>
      <c r="C1107" s="34" t="n">
        <v>45891</v>
      </c>
      <c r="D1107" s="15" t="n">
        <v>22.46</v>
      </c>
      <c r="E1107" s="15" t="n">
        <v>31.2</v>
      </c>
      <c r="F1107" s="34" t="n">
        <v>45891</v>
      </c>
      <c r="G1107" s="15" t="n">
        <v>95.34999999999999</v>
      </c>
      <c r="H1107" s="15" t="n">
        <v>106.5</v>
      </c>
      <c r="I1107" s="34" t="n">
        <v>45891</v>
      </c>
      <c r="J1107" s="15" t="n">
        <v>19.59</v>
      </c>
      <c r="K1107" s="15" t="n">
        <v>30.3</v>
      </c>
      <c r="L1107" s="34" t="n">
        <v>45891</v>
      </c>
      <c r="M1107" s="15" t="n">
        <v>42.08</v>
      </c>
      <c r="N1107" s="15" t="n">
        <v>43.1</v>
      </c>
      <c r="O1107" s="34" t="n">
        <v>45891</v>
      </c>
      <c r="P1107" s="15" t="n">
        <v>60.75</v>
      </c>
      <c r="Q1107" s="15" t="n">
        <v>67.48</v>
      </c>
      <c r="R1107" s="34" t="n">
        <v>45891</v>
      </c>
      <c r="S1107" s="15" t="n">
        <v>25</v>
      </c>
      <c r="V1107" s="15" t="n">
        <v>25.96</v>
      </c>
      <c r="W1107" s="15" t="n">
        <v>24.45</v>
      </c>
      <c r="X1107" s="34" t="n">
        <v>45891</v>
      </c>
      <c r="Y1107" s="15" t="n">
        <v>81.15000000000001</v>
      </c>
      <c r="Z1107" s="15" t="n">
        <v>72.09</v>
      </c>
      <c r="AA1107" s="34" t="n">
        <v>45891</v>
      </c>
      <c r="AB1107" s="15" t="n">
        <v>9.01</v>
      </c>
      <c r="AC1107" s="15" t="n">
        <v>14.69</v>
      </c>
      <c r="AD1107" s="34" t="n">
        <v>45891</v>
      </c>
      <c r="AE1107" s="15" t="n">
        <v>46.06</v>
      </c>
      <c r="AF1107" s="15" t="n">
        <v>47.92</v>
      </c>
      <c r="AG1107" s="34" t="n">
        <v>45891</v>
      </c>
      <c r="AH1107" s="15" t="n">
        <v>24.12</v>
      </c>
      <c r="AI1107" s="15" t="n">
        <v>24.32</v>
      </c>
      <c r="AJ1107" s="34" t="n">
        <v>45891</v>
      </c>
      <c r="AK1107" s="15" t="n">
        <v>22.98</v>
      </c>
      <c r="AL1107" s="15" t="n">
        <v>48.21</v>
      </c>
      <c r="AM1107" s="34" t="n">
        <v>45891</v>
      </c>
      <c r="AN1107" s="15" t="n">
        <v>418</v>
      </c>
      <c r="AO1107" s="15" t="n">
        <v>287.18</v>
      </c>
      <c r="AP1107" s="34" t="n">
        <v>45891</v>
      </c>
      <c r="AQ1107" s="15" t="n">
        <v>76.40000000000001</v>
      </c>
      <c r="AR1107" s="15" t="n">
        <v>64.98</v>
      </c>
      <c r="AS1107" s="34" t="n">
        <v>45891</v>
      </c>
      <c r="AT1107" s="15" t="n">
        <v>17.29</v>
      </c>
      <c r="AU1107" s="15" t="n">
        <v>17.5</v>
      </c>
      <c r="AV1107" s="34" t="n">
        <v>45891</v>
      </c>
      <c r="AW1107" s="15" t="n">
        <v>34.22</v>
      </c>
      <c r="AX1107" s="15" t="n">
        <v>39.85</v>
      </c>
      <c r="AY1107" s="34" t="n">
        <v>45891</v>
      </c>
      <c r="AZ1107" s="15" t="n">
        <v>29.8</v>
      </c>
      <c r="BA1107" s="15" t="n">
        <v>30.88</v>
      </c>
      <c r="BB1107" s="34" t="n">
        <v>45891</v>
      </c>
      <c r="BC1107" s="15" t="n">
        <v>60.8</v>
      </c>
      <c r="BD1107" s="15" t="n">
        <v>75.03</v>
      </c>
      <c r="BE1107" s="34" t="n">
        <v>45891</v>
      </c>
      <c r="BF1107" s="15" t="n">
        <v>185.5</v>
      </c>
      <c r="BG1107" s="15" t="n">
        <v>222.49</v>
      </c>
      <c r="BH1107" s="34" t="n">
        <v>45891</v>
      </c>
      <c r="BI1107" s="15" t="n">
        <v>24.28</v>
      </c>
      <c r="BJ1107" s="15" t="n">
        <v>29.14</v>
      </c>
      <c r="BK1107" s="34" t="n">
        <v>45891</v>
      </c>
      <c r="BL1107" s="15" t="n">
        <v>44.66</v>
      </c>
      <c r="BM1107" s="15" t="n">
        <v>65.94</v>
      </c>
      <c r="BN1107" s="34" t="n">
        <v>45891</v>
      </c>
    </row>
    <row r="1108">
      <c r="A1108" s="34" t="n">
        <v>45894</v>
      </c>
      <c r="B1108" s="266" t="n">
        <v>1.090230941772461</v>
      </c>
      <c r="C1108" s="34" t="n">
        <v>45894</v>
      </c>
      <c r="D1108" s="15" t="n">
        <v>23.72</v>
      </c>
      <c r="E1108" s="15" t="n">
        <v>32.88</v>
      </c>
      <c r="F1108" s="34" t="n">
        <v>45894</v>
      </c>
      <c r="G1108" s="15" t="n">
        <v>99.45</v>
      </c>
      <c r="H1108" s="15" t="n">
        <v>110.59</v>
      </c>
      <c r="I1108" s="34" t="n">
        <v>45894</v>
      </c>
      <c r="J1108" s="15" t="n">
        <v>22.4</v>
      </c>
      <c r="K1108" s="15" t="n">
        <v>36.36</v>
      </c>
      <c r="L1108" s="34" t="n">
        <v>45894</v>
      </c>
      <c r="M1108" s="15" t="n">
        <v>42.16</v>
      </c>
      <c r="N1108" s="15" t="n">
        <v>43.84</v>
      </c>
      <c r="O1108" s="34" t="n">
        <v>45894</v>
      </c>
      <c r="P1108" s="15" t="n">
        <v>62.7</v>
      </c>
      <c r="Q1108" s="15" t="n">
        <v>69.23999999999999</v>
      </c>
      <c r="R1108" s="34" t="n">
        <v>45894</v>
      </c>
      <c r="S1108" s="15" t="n">
        <v>22.92</v>
      </c>
      <c r="V1108" s="15" t="n">
        <v>26.26</v>
      </c>
      <c r="W1108" s="15" t="n">
        <v>24.45</v>
      </c>
      <c r="X1108" s="34" t="n">
        <v>45894</v>
      </c>
      <c r="Y1108" s="15" t="n">
        <v>83.95</v>
      </c>
      <c r="Z1108" s="15" t="n">
        <v>73.52</v>
      </c>
      <c r="AA1108" s="34" t="n">
        <v>45894</v>
      </c>
      <c r="AB1108" s="15" t="n">
        <v>9.699999999999999</v>
      </c>
      <c r="AC1108" s="15" t="n">
        <v>14.85</v>
      </c>
      <c r="AD1108" s="34" t="n">
        <v>45894</v>
      </c>
      <c r="AE1108" s="15" t="n">
        <v>45.5</v>
      </c>
      <c r="AF1108" s="15" t="n">
        <v>48.34</v>
      </c>
      <c r="AG1108" s="34" t="n">
        <v>45894</v>
      </c>
      <c r="AH1108" s="15" t="n">
        <v>24.84</v>
      </c>
      <c r="AI1108" s="15" t="n">
        <v>25.3</v>
      </c>
      <c r="AJ1108" s="34" t="n">
        <v>45894</v>
      </c>
      <c r="AK1108" s="15" t="n">
        <v>23.24</v>
      </c>
      <c r="AL1108" s="15" t="n">
        <v>49.68</v>
      </c>
      <c r="AM1108" s="34" t="n">
        <v>45894</v>
      </c>
      <c r="AN1108" s="15" t="n">
        <v>413</v>
      </c>
      <c r="AO1108" s="15" t="n">
        <v>290.28</v>
      </c>
      <c r="AP1108" s="34" t="n">
        <v>45894</v>
      </c>
      <c r="AQ1108" s="15" t="n">
        <v>77.95</v>
      </c>
      <c r="AR1108" s="15" t="n">
        <v>66.26000000000001</v>
      </c>
      <c r="AS1108" s="34" t="n">
        <v>45894</v>
      </c>
      <c r="AT1108" s="15" t="n">
        <v>18.33</v>
      </c>
      <c r="AU1108" s="15" t="n">
        <v>18.04</v>
      </c>
      <c r="AV1108" s="34" t="n">
        <v>45894</v>
      </c>
      <c r="AW1108" s="15" t="n">
        <v>34.92</v>
      </c>
      <c r="AX1108" s="15" t="n">
        <v>41.1</v>
      </c>
      <c r="AY1108" s="34" t="n">
        <v>45894</v>
      </c>
      <c r="AZ1108" s="15" t="n">
        <v>29.64</v>
      </c>
      <c r="BA1108" s="15" t="n">
        <v>31.01</v>
      </c>
      <c r="BB1108" s="34" t="n">
        <v>45894</v>
      </c>
      <c r="BC1108" s="15" t="n">
        <v>62.35</v>
      </c>
      <c r="BD1108" s="15" t="n">
        <v>77.06</v>
      </c>
      <c r="BE1108" s="34" t="n">
        <v>45894</v>
      </c>
      <c r="BF1108" s="15" t="n">
        <v>183.7</v>
      </c>
      <c r="BG1108" s="15" t="n">
        <v>213.92</v>
      </c>
      <c r="BH1108" s="34" t="n">
        <v>45894</v>
      </c>
      <c r="BI1108" s="15" t="n">
        <v>24.64</v>
      </c>
      <c r="BJ1108" s="15" t="n">
        <v>29.1</v>
      </c>
      <c r="BK1108" s="34" t="n">
        <v>45894</v>
      </c>
      <c r="BL1108" s="15" t="n">
        <v>45</v>
      </c>
      <c r="BM1108" s="15" t="n">
        <v>65.34</v>
      </c>
      <c r="BN1108" s="34" t="n">
        <v>45894</v>
      </c>
    </row>
    <row r="1109">
      <c r="A1109" s="34" t="n">
        <v>45895</v>
      </c>
      <c r="B1109" s="266" t="n">
        <v>1.09236204624176</v>
      </c>
      <c r="C1109" s="34" t="n">
        <v>45895</v>
      </c>
      <c r="D1109" s="15" t="n">
        <v>22.94</v>
      </c>
      <c r="E1109" s="15" t="n">
        <v>31.93</v>
      </c>
      <c r="F1109" s="34" t="n">
        <v>45895</v>
      </c>
      <c r="G1109" s="15" t="n">
        <v>91.40000000000001</v>
      </c>
      <c r="H1109" s="15" t="n">
        <v>103.3</v>
      </c>
      <c r="I1109" s="34" t="n">
        <v>45895</v>
      </c>
      <c r="J1109" s="15" t="n">
        <v>22.94</v>
      </c>
      <c r="K1109" s="15" t="n">
        <v>37.4</v>
      </c>
      <c r="L1109" s="34" t="n">
        <v>45895</v>
      </c>
      <c r="M1109" s="15" t="n">
        <v>41.64</v>
      </c>
      <c r="N1109" s="15" t="n">
        <v>43.91</v>
      </c>
      <c r="O1109" s="34" t="n">
        <v>45895</v>
      </c>
      <c r="P1109" s="15" t="n">
        <v>64.95</v>
      </c>
      <c r="Q1109" s="15" t="n">
        <v>71.41</v>
      </c>
      <c r="R1109" s="34" t="n">
        <v>45895</v>
      </c>
      <c r="S1109" s="15" t="n">
        <v>22.28</v>
      </c>
      <c r="V1109" s="15" t="n">
        <v>26.04</v>
      </c>
      <c r="W1109" s="15" t="n">
        <v>24.54</v>
      </c>
      <c r="X1109" s="34" t="n">
        <v>45895</v>
      </c>
      <c r="Y1109" s="15" t="n">
        <v>83.3</v>
      </c>
      <c r="Z1109" s="15" t="n">
        <v>73.8</v>
      </c>
      <c r="AA1109" s="34" t="n">
        <v>45895</v>
      </c>
      <c r="AB1109" s="15" t="n">
        <v>10.33</v>
      </c>
      <c r="AC1109" s="15" t="n">
        <v>14.87</v>
      </c>
      <c r="AD1109" s="34" t="n">
        <v>45895</v>
      </c>
      <c r="AE1109" s="15" t="n">
        <v>45.98</v>
      </c>
      <c r="AF1109" s="15" t="n">
        <v>48.96</v>
      </c>
      <c r="AG1109" s="34" t="n">
        <v>45895</v>
      </c>
      <c r="AH1109" s="15" t="n">
        <v>24.92</v>
      </c>
      <c r="AI1109" s="15" t="n">
        <v>25.57</v>
      </c>
      <c r="AJ1109" s="34" t="n">
        <v>45895</v>
      </c>
      <c r="AK1109" s="15" t="n">
        <v>22.6</v>
      </c>
      <c r="AL1109" s="15" t="n">
        <v>47.36</v>
      </c>
      <c r="AM1109" s="34" t="n">
        <v>45895</v>
      </c>
      <c r="AN1109" s="15" t="n">
        <v>414.6</v>
      </c>
      <c r="AO1109" s="15" t="n">
        <v>289.5</v>
      </c>
      <c r="AP1109" s="34" t="n">
        <v>45895</v>
      </c>
      <c r="AQ1109" s="15" t="n">
        <v>75.75</v>
      </c>
      <c r="AR1109" s="15" t="n">
        <v>65.3</v>
      </c>
      <c r="AS1109" s="34" t="n">
        <v>45895</v>
      </c>
      <c r="AT1109" s="15" t="n">
        <v>18.77</v>
      </c>
      <c r="AU1109" s="15" t="n">
        <v>18.78</v>
      </c>
      <c r="AV1109" s="34" t="n">
        <v>45895</v>
      </c>
      <c r="AW1109" s="15" t="n">
        <v>34.72</v>
      </c>
      <c r="AX1109" s="15" t="n">
        <v>41.07</v>
      </c>
      <c r="AY1109" s="34" t="n">
        <v>45895</v>
      </c>
      <c r="AZ1109" s="15" t="n">
        <v>29.9</v>
      </c>
      <c r="BA1109" s="15" t="n">
        <v>30.66</v>
      </c>
      <c r="BB1109" s="34" t="n">
        <v>45895</v>
      </c>
      <c r="BC1109" s="15" t="n">
        <v>60.8</v>
      </c>
      <c r="BD1109" s="15" t="n">
        <v>76.08</v>
      </c>
      <c r="BE1109" s="34" t="n">
        <v>45895</v>
      </c>
      <c r="BF1109" s="15" t="n">
        <v>177.8</v>
      </c>
      <c r="BG1109" s="15" t="n">
        <v>209.88</v>
      </c>
      <c r="BH1109" s="34" t="n">
        <v>45895</v>
      </c>
      <c r="BI1109" s="15" t="n">
        <v>25.96</v>
      </c>
      <c r="BJ1109" s="15" t="n">
        <v>30.3</v>
      </c>
      <c r="BK1109" s="34" t="n">
        <v>45895</v>
      </c>
      <c r="BL1109" s="15" t="n">
        <v>43.5</v>
      </c>
      <c r="BM1109" s="15" t="n">
        <v>64.61</v>
      </c>
      <c r="BN1109" s="34" t="n">
        <v>45895</v>
      </c>
    </row>
    <row r="1110">
      <c r="A1110" s="34" t="n">
        <v>45896</v>
      </c>
      <c r="B1110" s="266" t="n">
        <v>1.089414000511169</v>
      </c>
      <c r="C1110" s="34" t="n">
        <v>45896</v>
      </c>
      <c r="D1110" s="15" t="n">
        <v>21.7</v>
      </c>
      <c r="E1110" s="15" t="n">
        <v>31.98</v>
      </c>
      <c r="F1110" s="34" t="n">
        <v>45896</v>
      </c>
      <c r="G1110" s="15" t="n">
        <v>88.59999999999999</v>
      </c>
      <c r="H1110" s="15" t="n">
        <v>102.69</v>
      </c>
      <c r="I1110" s="34" t="n">
        <v>45896</v>
      </c>
      <c r="J1110" s="15" t="n">
        <v>23.54</v>
      </c>
      <c r="K1110" s="15" t="n">
        <v>39.88</v>
      </c>
      <c r="L1110" s="34" t="n">
        <v>45896</v>
      </c>
      <c r="M1110" s="15" t="n">
        <v>40.86</v>
      </c>
      <c r="N1110" s="15" t="n">
        <v>42.77</v>
      </c>
      <c r="O1110" s="34" t="n">
        <v>45896</v>
      </c>
      <c r="P1110" s="15" t="n">
        <v>61.6</v>
      </c>
      <c r="Q1110" s="15" t="n">
        <v>68.69</v>
      </c>
      <c r="R1110" s="34" t="n">
        <v>45896</v>
      </c>
      <c r="S1110" s="15" t="n">
        <v>21.22</v>
      </c>
      <c r="V1110" s="15" t="n">
        <v>25.44</v>
      </c>
      <c r="W1110" s="15" t="n">
        <v>23.73</v>
      </c>
      <c r="X1110" s="34" t="n">
        <v>45896</v>
      </c>
      <c r="Y1110" s="15" t="n">
        <v>81.5</v>
      </c>
      <c r="Z1110" s="15" t="n">
        <v>72.70999999999999</v>
      </c>
      <c r="AA1110" s="34" t="n">
        <v>45896</v>
      </c>
      <c r="AB1110" s="15" t="n">
        <v>10.32</v>
      </c>
      <c r="AC1110" s="15" t="n">
        <v>14.37</v>
      </c>
      <c r="AD1110" s="34" t="n">
        <v>45896</v>
      </c>
      <c r="AE1110" s="15" t="n">
        <v>44.7</v>
      </c>
      <c r="AF1110" s="15" t="n">
        <v>47.91</v>
      </c>
      <c r="AG1110" s="34" t="n">
        <v>45896</v>
      </c>
      <c r="AH1110" s="15" t="n">
        <v>24.28</v>
      </c>
      <c r="AI1110" s="15" t="n">
        <v>24.81</v>
      </c>
      <c r="AJ1110" s="34" t="n">
        <v>45896</v>
      </c>
      <c r="AK1110" s="15" t="n">
        <v>22.26</v>
      </c>
      <c r="AL1110" s="15" t="n">
        <v>46.06</v>
      </c>
      <c r="AM1110" s="34" t="n">
        <v>45896</v>
      </c>
      <c r="AN1110" s="15" t="n">
        <v>410.2</v>
      </c>
      <c r="AO1110" s="15" t="n">
        <v>278.3</v>
      </c>
      <c r="AP1110" s="34" t="n">
        <v>45896</v>
      </c>
      <c r="AQ1110" s="15" t="n">
        <v>72.5</v>
      </c>
      <c r="AR1110" s="15" t="n">
        <v>63.05</v>
      </c>
      <c r="AS1110" s="34" t="n">
        <v>45896</v>
      </c>
      <c r="AT1110" s="15" t="n">
        <v>18.42</v>
      </c>
      <c r="AU1110" s="15" t="n">
        <v>18.21</v>
      </c>
      <c r="AV1110" s="34" t="n">
        <v>45896</v>
      </c>
      <c r="AW1110" s="15" t="n">
        <v>34.26</v>
      </c>
      <c r="AX1110" s="15" t="n">
        <v>40.4</v>
      </c>
      <c r="AY1110" s="34" t="n">
        <v>45896</v>
      </c>
      <c r="AZ1110" s="15" t="n">
        <v>30.4</v>
      </c>
      <c r="BA1110" s="15" t="n">
        <v>30.44</v>
      </c>
      <c r="BB1110" s="34" t="n">
        <v>45896</v>
      </c>
      <c r="BC1110" s="15" t="n">
        <v>59.25</v>
      </c>
      <c r="BD1110" s="15" t="n">
        <v>74.73999999999999</v>
      </c>
      <c r="BE1110" s="34" t="n">
        <v>45896</v>
      </c>
      <c r="BF1110" s="15" t="n">
        <v>172.4</v>
      </c>
      <c r="BG1110" s="15" t="n">
        <v>210.03</v>
      </c>
      <c r="BH1110" s="34" t="n">
        <v>45896</v>
      </c>
      <c r="BI1110" s="15" t="n">
        <v>27.98</v>
      </c>
      <c r="BJ1110" s="15" t="n">
        <v>31.4</v>
      </c>
      <c r="BK1110" s="34" t="n">
        <v>45896</v>
      </c>
      <c r="BL1110" s="15" t="n">
        <v>43.8</v>
      </c>
      <c r="BM1110" s="15" t="n">
        <v>63.91</v>
      </c>
      <c r="BN1110" s="34" t="n">
        <v>45896</v>
      </c>
    </row>
    <row r="1111">
      <c r="A1111" s="34" t="n">
        <v>45897</v>
      </c>
      <c r="B1111" s="266" t="n">
        <v>1.088047027587891</v>
      </c>
      <c r="C1111" s="34" t="n">
        <v>45897</v>
      </c>
      <c r="D1111" s="15" t="n">
        <v>20.34</v>
      </c>
      <c r="E1111" s="15" t="n">
        <v>30.81</v>
      </c>
      <c r="F1111" s="34" t="n">
        <v>45897</v>
      </c>
      <c r="G1111" s="15" t="n">
        <v>87.25</v>
      </c>
      <c r="H1111" s="15" t="n">
        <v>103.5</v>
      </c>
      <c r="I1111" s="34" t="n">
        <v>45897</v>
      </c>
      <c r="J1111" s="15" t="n">
        <v>23.86</v>
      </c>
      <c r="K1111" s="15" t="n">
        <v>42.59</v>
      </c>
      <c r="L1111" s="34" t="n">
        <v>45897</v>
      </c>
      <c r="M1111" s="15" t="n">
        <v>39.92</v>
      </c>
      <c r="N1111" s="15" t="n">
        <v>42.8</v>
      </c>
      <c r="O1111" s="34" t="n">
        <v>45897</v>
      </c>
      <c r="P1111" s="15" t="n">
        <v>62.55</v>
      </c>
      <c r="Q1111" s="15" t="n">
        <v>68.92</v>
      </c>
      <c r="R1111" s="34" t="n">
        <v>45897</v>
      </c>
      <c r="S1111" s="15" t="n">
        <v>20.86</v>
      </c>
      <c r="V1111" s="15" t="n">
        <v>24.8</v>
      </c>
      <c r="W1111" s="15" t="n">
        <v>23.7</v>
      </c>
      <c r="X1111" s="34" t="n">
        <v>45897</v>
      </c>
      <c r="Y1111" s="15" t="n">
        <v>81.59999999999999</v>
      </c>
      <c r="Z1111" s="15" t="n">
        <v>73.5</v>
      </c>
      <c r="AA1111" s="34" t="n">
        <v>45897</v>
      </c>
      <c r="AB1111" s="15" t="n">
        <v>10.05</v>
      </c>
      <c r="AC1111" s="15" t="n">
        <v>14.2</v>
      </c>
      <c r="AD1111" s="34" t="n">
        <v>45897</v>
      </c>
      <c r="AE1111" s="15" t="n">
        <v>45.26</v>
      </c>
      <c r="AF1111" s="15" t="n">
        <v>48.4</v>
      </c>
      <c r="AG1111" s="34" t="n">
        <v>45897</v>
      </c>
      <c r="AH1111" s="15" t="n">
        <v>24.68</v>
      </c>
      <c r="AI1111" s="15" t="n">
        <v>25.08</v>
      </c>
      <c r="AJ1111" s="34" t="n">
        <v>45897</v>
      </c>
      <c r="AK1111" s="15" t="n">
        <v>22.5</v>
      </c>
      <c r="AL1111" s="15" t="n">
        <v>46.22</v>
      </c>
      <c r="AM1111" s="34" t="n">
        <v>45897</v>
      </c>
      <c r="AN1111" s="15" t="n">
        <v>407.2</v>
      </c>
      <c r="AO1111" s="15" t="n">
        <v>277.41</v>
      </c>
      <c r="AP1111" s="34" t="n">
        <v>45897</v>
      </c>
      <c r="AQ1111" s="15" t="n">
        <v>72.65000000000001</v>
      </c>
      <c r="AR1111" s="15" t="n">
        <v>63.03</v>
      </c>
      <c r="AS1111" s="34" t="n">
        <v>45897</v>
      </c>
      <c r="AT1111" s="15" t="n">
        <v>18.38</v>
      </c>
      <c r="AU1111" s="15" t="n">
        <v>18.48</v>
      </c>
      <c r="AV1111" s="34" t="n">
        <v>45897</v>
      </c>
      <c r="AW1111" s="15" t="n">
        <v>34.16</v>
      </c>
      <c r="AX1111" s="15" t="n">
        <v>40.08</v>
      </c>
      <c r="AY1111" s="34" t="n">
        <v>45897</v>
      </c>
      <c r="AZ1111" s="15" t="n">
        <v>31.82</v>
      </c>
      <c r="BA1111" s="15" t="n">
        <v>31.68</v>
      </c>
      <c r="BB1111" s="34" t="n">
        <v>45897</v>
      </c>
      <c r="BC1111" s="15" t="n">
        <v>59.65</v>
      </c>
      <c r="BD1111" s="15" t="n">
        <v>74.06999999999999</v>
      </c>
      <c r="BE1111" s="34" t="n">
        <v>45897</v>
      </c>
      <c r="BF1111" s="15" t="n">
        <v>170</v>
      </c>
      <c r="BG1111" s="15" t="n">
        <v>204.75</v>
      </c>
      <c r="BH1111" s="34" t="n">
        <v>45897</v>
      </c>
      <c r="BI1111" s="15" t="n">
        <v>27.5</v>
      </c>
      <c r="BJ1111" s="15" t="n">
        <v>31.82</v>
      </c>
      <c r="BK1111" s="34" t="n">
        <v>45897</v>
      </c>
      <c r="BL1111" s="15" t="n">
        <v>44.3</v>
      </c>
      <c r="BM1111" s="15" t="n">
        <v>66.31</v>
      </c>
      <c r="BN1111" s="34" t="n">
        <v>45897</v>
      </c>
    </row>
    <row r="1112">
      <c r="A1112" s="34" t="n">
        <v>45898</v>
      </c>
      <c r="B1112" s="266" t="n">
        <v>1.089478969573975</v>
      </c>
      <c r="C1112" s="34" t="n">
        <v>45898</v>
      </c>
      <c r="D1112" s="15" t="n">
        <v>21.4</v>
      </c>
      <c r="E1112" s="15" t="n">
        <v>31.39</v>
      </c>
      <c r="F1112" s="34" t="n">
        <v>45898</v>
      </c>
      <c r="G1112" s="15" t="n">
        <v>91.25</v>
      </c>
      <c r="H1112" s="15" t="n">
        <v>106.92</v>
      </c>
      <c r="I1112" s="34" t="n">
        <v>45898</v>
      </c>
      <c r="J1112" s="15" t="n">
        <v>23.06</v>
      </c>
      <c r="K1112" s="15" t="n">
        <v>41</v>
      </c>
      <c r="L1112" s="34" t="n">
        <v>45898</v>
      </c>
      <c r="M1112" s="15" t="n">
        <v>40.66</v>
      </c>
      <c r="N1112" s="15" t="n">
        <v>43.96</v>
      </c>
      <c r="O1112" s="34" t="n">
        <v>45898</v>
      </c>
      <c r="P1112" s="15" t="n">
        <v>62.8</v>
      </c>
      <c r="Q1112" s="15" t="n">
        <v>69.29000000000001</v>
      </c>
      <c r="R1112" s="34" t="n">
        <v>45898</v>
      </c>
      <c r="S1112" s="15" t="n">
        <v>22.64</v>
      </c>
      <c r="V1112" s="15" t="n">
        <v>24.96</v>
      </c>
      <c r="W1112" s="15" t="n">
        <v>23.84</v>
      </c>
      <c r="X1112" s="34" t="n">
        <v>45898</v>
      </c>
      <c r="Y1112" s="15" t="n">
        <v>81.75</v>
      </c>
      <c r="Z1112" s="15" t="n">
        <v>73.70999999999999</v>
      </c>
      <c r="AA1112" s="34" t="n">
        <v>45898</v>
      </c>
      <c r="AB1112" s="15" t="n">
        <v>9.84</v>
      </c>
      <c r="AC1112" s="15" t="n">
        <v>14.49</v>
      </c>
      <c r="AD1112" s="34" t="n">
        <v>45898</v>
      </c>
      <c r="AE1112" s="15" t="n">
        <v>40</v>
      </c>
      <c r="AF1112" s="15" t="n">
        <v>44.57</v>
      </c>
      <c r="AG1112" s="34" t="n">
        <v>45898</v>
      </c>
      <c r="AH1112" s="15" t="n">
        <v>26.12</v>
      </c>
      <c r="AI1112" s="15" t="n">
        <v>25.97</v>
      </c>
      <c r="AJ1112" s="34" t="n">
        <v>45898</v>
      </c>
      <c r="AK1112" s="15" t="n">
        <v>22.44</v>
      </c>
      <c r="AL1112" s="15" t="n">
        <v>46.39</v>
      </c>
      <c r="AM1112" s="34" t="n">
        <v>45898</v>
      </c>
      <c r="AN1112" s="15" t="n">
        <v>424.2</v>
      </c>
      <c r="AO1112" s="15" t="n">
        <v>306.18</v>
      </c>
      <c r="AP1112" s="34" t="n">
        <v>45898</v>
      </c>
      <c r="AQ1112" s="15" t="n">
        <v>76.2</v>
      </c>
      <c r="AR1112" s="15" t="n">
        <v>66.23</v>
      </c>
      <c r="AS1112" s="34" t="n">
        <v>45898</v>
      </c>
      <c r="AT1112" s="15" t="n">
        <v>18.05</v>
      </c>
      <c r="AU1112" s="15" t="n">
        <v>17.93</v>
      </c>
      <c r="AV1112" s="34" t="n">
        <v>45898</v>
      </c>
      <c r="AW1112" s="15" t="n">
        <v>35.96</v>
      </c>
      <c r="AX1112" s="15" t="n">
        <v>41.44</v>
      </c>
      <c r="AY1112" s="34" t="n">
        <v>45898</v>
      </c>
      <c r="AZ1112" s="15" t="n">
        <v>31.16</v>
      </c>
      <c r="BA1112" s="15" t="n">
        <v>31.88</v>
      </c>
      <c r="BB1112" s="34" t="n">
        <v>45898</v>
      </c>
      <c r="BC1112" s="15" t="n">
        <v>59.45</v>
      </c>
      <c r="BD1112" s="15" t="n">
        <v>74.3</v>
      </c>
      <c r="BE1112" s="34" t="n">
        <v>45898</v>
      </c>
      <c r="BF1112" s="15" t="n">
        <v>167.1</v>
      </c>
      <c r="BG1112" s="15" t="n">
        <v>206.4</v>
      </c>
      <c r="BH1112" s="34" t="n">
        <v>45898</v>
      </c>
      <c r="BI1112" s="15" t="n">
        <v>27.1</v>
      </c>
      <c r="BJ1112" s="15" t="n">
        <v>31.11</v>
      </c>
      <c r="BK1112" s="34" t="n">
        <v>45898</v>
      </c>
      <c r="BL1112" s="15" t="n">
        <v>43.9</v>
      </c>
      <c r="BM1112" s="15" t="n">
        <v>64.5</v>
      </c>
      <c r="BN1112" s="34" t="n">
        <v>45898</v>
      </c>
    </row>
    <row r="1113">
      <c r="A1113" s="34" t="n">
        <v>45901</v>
      </c>
      <c r="B1113" s="266" t="n">
        <v>1.09319794178009</v>
      </c>
      <c r="C1113" s="34" t="n">
        <v>45901</v>
      </c>
      <c r="D1113" s="15" t="n">
        <v>22.18</v>
      </c>
      <c r="E1113" s="15" t="n">
        <v>32.71</v>
      </c>
      <c r="F1113" s="34" t="n">
        <v>45901</v>
      </c>
      <c r="G1113" s="15" t="n">
        <v>96.05</v>
      </c>
      <c r="H1113" s="15" t="n">
        <v>110.78</v>
      </c>
      <c r="I1113" s="34" t="n">
        <v>45901</v>
      </c>
      <c r="J1113" s="15" t="n">
        <v>22.4</v>
      </c>
      <c r="K1113" s="15" t="n">
        <v>39.65</v>
      </c>
      <c r="L1113" s="34" t="n">
        <v>45901</v>
      </c>
      <c r="M1113" s="15" t="n">
        <v>39.98</v>
      </c>
      <c r="N1113" s="15" t="n">
        <v>43.86</v>
      </c>
      <c r="O1113" s="34" t="n">
        <v>45901</v>
      </c>
      <c r="P1113" s="15" t="n">
        <v>63</v>
      </c>
      <c r="Q1113" s="15" t="n">
        <v>69.31</v>
      </c>
      <c r="R1113" s="34" t="n">
        <v>45901</v>
      </c>
      <c r="S1113" s="15" t="n">
        <v>25</v>
      </c>
      <c r="V1113" s="15" t="n">
        <v>25.66</v>
      </c>
      <c r="W1113" s="15" t="n">
        <v>24.99</v>
      </c>
      <c r="X1113" s="34" t="n">
        <v>45901</v>
      </c>
      <c r="Y1113" s="15" t="n">
        <v>83.90000000000001</v>
      </c>
      <c r="Z1113" s="15" t="n">
        <v>74.03</v>
      </c>
      <c r="AA1113" s="34" t="n">
        <v>45901</v>
      </c>
      <c r="AB1113" s="15" t="n">
        <v>9.390000000000001</v>
      </c>
      <c r="AC1113" s="15" t="n">
        <v>14.75</v>
      </c>
      <c r="AD1113" s="34" t="n">
        <v>45901</v>
      </c>
      <c r="AE1113" s="15" t="n">
        <v>39.42</v>
      </c>
      <c r="AF1113" s="15" t="n">
        <v>42.8</v>
      </c>
      <c r="AG1113" s="34" t="n">
        <v>45901</v>
      </c>
      <c r="AH1113" s="15" t="n">
        <v>27.98</v>
      </c>
      <c r="AI1113" s="15" t="n">
        <v>28.05</v>
      </c>
      <c r="AJ1113" s="34" t="n">
        <v>45901</v>
      </c>
      <c r="AK1113" s="15" t="n">
        <v>22.46</v>
      </c>
      <c r="AL1113" s="15" t="n">
        <v>46.4</v>
      </c>
      <c r="AM1113" s="34" t="n">
        <v>45901</v>
      </c>
      <c r="AN1113" s="15" t="n">
        <v>421</v>
      </c>
      <c r="AO1113" s="15" t="n">
        <v>304</v>
      </c>
      <c r="AP1113" s="34" t="n">
        <v>45901</v>
      </c>
      <c r="AQ1113" s="15" t="n">
        <v>79.5</v>
      </c>
      <c r="AR1113" s="15" t="n">
        <v>68.34999999999999</v>
      </c>
      <c r="AS1113" s="34" t="n">
        <v>45901</v>
      </c>
      <c r="AT1113" s="15" t="n">
        <v>17.69</v>
      </c>
      <c r="AU1113" s="15" t="n">
        <v>17.56</v>
      </c>
      <c r="AV1113" s="34" t="n">
        <v>45901</v>
      </c>
      <c r="AW1113" s="15" t="n">
        <v>35</v>
      </c>
      <c r="AX1113" s="15" t="n">
        <v>41.22</v>
      </c>
      <c r="AY1113" s="34" t="n">
        <v>45901</v>
      </c>
      <c r="AZ1113" s="15" t="n">
        <v>30.82</v>
      </c>
      <c r="BA1113" s="15" t="n">
        <v>31.89</v>
      </c>
      <c r="BB1113" s="34" t="n">
        <v>45901</v>
      </c>
      <c r="BC1113" s="15" t="n">
        <v>59.85</v>
      </c>
      <c r="BD1113" s="15" t="n">
        <v>74.88</v>
      </c>
      <c r="BE1113" s="34" t="n">
        <v>45901</v>
      </c>
      <c r="BF1113" s="15" t="n">
        <v>168.7</v>
      </c>
      <c r="BG1113" s="15" t="n">
        <v>204.78</v>
      </c>
      <c r="BH1113" s="34" t="n">
        <v>45901</v>
      </c>
      <c r="BI1113" s="15" t="n">
        <v>27.96</v>
      </c>
      <c r="BJ1113" s="15" t="n">
        <v>32.34</v>
      </c>
      <c r="BK1113" s="34" t="n">
        <v>45901</v>
      </c>
      <c r="BL1113" s="15" t="n">
        <v>42.02</v>
      </c>
      <c r="BM1113" s="15" t="n">
        <v>63.41</v>
      </c>
      <c r="BN1113" s="34" t="n">
        <v>45901</v>
      </c>
    </row>
    <row r="1114">
      <c r="A1114" s="34" t="n">
        <v>45902</v>
      </c>
      <c r="B1114" s="266" t="n">
        <v>1.093255043029785</v>
      </c>
      <c r="C1114" s="34" t="n">
        <v>45902</v>
      </c>
      <c r="D1114" s="15" t="n">
        <v>22</v>
      </c>
      <c r="E1114" s="15" t="n">
        <v>32.3</v>
      </c>
      <c r="F1114" s="34" t="n">
        <v>45902</v>
      </c>
      <c r="G1114" s="15" t="n">
        <v>96.34999999999999</v>
      </c>
      <c r="H1114" s="15" t="n">
        <v>109.74</v>
      </c>
      <c r="I1114" s="34" t="n">
        <v>45902</v>
      </c>
      <c r="J1114" s="15" t="n">
        <v>21.4</v>
      </c>
      <c r="K1114" s="15" t="n">
        <v>37.9</v>
      </c>
      <c r="L1114" s="34" t="n">
        <v>45902</v>
      </c>
      <c r="M1114" s="15" t="n">
        <v>38.86</v>
      </c>
      <c r="N1114" s="15" t="n">
        <v>42.58</v>
      </c>
      <c r="O1114" s="34" t="n">
        <v>45902</v>
      </c>
      <c r="P1114" s="15" t="n">
        <v>61</v>
      </c>
      <c r="Q1114" s="15" t="n">
        <v>68.79000000000001</v>
      </c>
      <c r="R1114" s="34" t="n">
        <v>45902</v>
      </c>
      <c r="S1114" s="15" t="n">
        <v>23.62</v>
      </c>
      <c r="V1114" s="15" t="n">
        <v>24.8</v>
      </c>
      <c r="W1114" s="15" t="n">
        <v>24.52</v>
      </c>
      <c r="X1114" s="34" t="n">
        <v>45902</v>
      </c>
      <c r="Y1114" s="15" t="n">
        <v>86.8</v>
      </c>
      <c r="Z1114" s="15" t="n">
        <v>76.16</v>
      </c>
      <c r="AA1114" s="34" t="n">
        <v>45902</v>
      </c>
      <c r="AB1114" s="15" t="n">
        <v>9.08</v>
      </c>
      <c r="AC1114" s="15" t="n">
        <v>14.6</v>
      </c>
      <c r="AD1114" s="34" t="n">
        <v>45902</v>
      </c>
      <c r="AE1114" s="15" t="n">
        <v>38.22</v>
      </c>
      <c r="AF1114" s="15" t="n">
        <v>41.82</v>
      </c>
      <c r="AG1114" s="34" t="n">
        <v>45902</v>
      </c>
      <c r="AH1114" s="15" t="n">
        <v>27.98</v>
      </c>
      <c r="AI1114" s="15" t="n">
        <v>27.81</v>
      </c>
      <c r="AJ1114" s="34" t="n">
        <v>45902</v>
      </c>
      <c r="AK1114" s="15" t="n">
        <v>21.78</v>
      </c>
      <c r="AL1114" s="15" t="n">
        <v>45.24</v>
      </c>
      <c r="AM1114" s="34" t="n">
        <v>45902</v>
      </c>
      <c r="AN1114" s="15" t="n">
        <v>417.6</v>
      </c>
      <c r="AO1114" s="15" t="n">
        <v>302.87</v>
      </c>
      <c r="AP1114" s="34" t="n">
        <v>45902</v>
      </c>
      <c r="AQ1114" s="15" t="n">
        <v>80.5</v>
      </c>
      <c r="AR1114" s="15" t="n">
        <v>68.87</v>
      </c>
      <c r="AS1114" s="34" t="n">
        <v>45902</v>
      </c>
      <c r="AT1114" s="15" t="n">
        <v>17.5</v>
      </c>
      <c r="AU1114" s="15" t="n">
        <v>17.43</v>
      </c>
      <c r="AV1114" s="34" t="n">
        <v>45902</v>
      </c>
      <c r="AW1114" s="15" t="n">
        <v>35.64</v>
      </c>
      <c r="AX1114" s="15" t="n">
        <v>40.94</v>
      </c>
      <c r="AY1114" s="34" t="n">
        <v>45902</v>
      </c>
      <c r="AZ1114" s="15" t="n">
        <v>31.22</v>
      </c>
      <c r="BA1114" s="15" t="n">
        <v>33</v>
      </c>
      <c r="BB1114" s="34" t="n">
        <v>45902</v>
      </c>
      <c r="BC1114" s="15" t="n">
        <v>58.6</v>
      </c>
      <c r="BD1114" s="15" t="n">
        <v>74.40000000000001</v>
      </c>
      <c r="BE1114" s="34" t="n">
        <v>45902</v>
      </c>
      <c r="BF1114" s="15" t="n">
        <v>162.7</v>
      </c>
      <c r="BG1114" s="15" t="n">
        <v>201.17</v>
      </c>
      <c r="BH1114" s="34" t="n">
        <v>45902</v>
      </c>
      <c r="BI1114" s="15" t="n">
        <v>26.2</v>
      </c>
      <c r="BJ1114" s="15" t="n">
        <v>30.03</v>
      </c>
      <c r="BK1114" s="34" t="n">
        <v>45902</v>
      </c>
      <c r="BL1114" s="15" t="n">
        <v>43.5</v>
      </c>
      <c r="BM1114" s="15" t="n">
        <v>67.34999999999999</v>
      </c>
      <c r="BN1114" s="34" t="n">
        <v>45902</v>
      </c>
    </row>
    <row r="1115">
      <c r="A1115" s="34" t="n">
        <v>45903</v>
      </c>
      <c r="B1115" s="266" t="n">
        <v>1.09343695640564</v>
      </c>
      <c r="C1115" s="34" t="n">
        <v>45903</v>
      </c>
      <c r="D1115" s="15" t="n">
        <v>22.5</v>
      </c>
      <c r="E1115" s="15" t="n">
        <v>33.42</v>
      </c>
      <c r="F1115" s="34" t="n">
        <v>45903</v>
      </c>
      <c r="G1115" s="15" t="n">
        <v>96.59999999999999</v>
      </c>
      <c r="H1115" s="15" t="n">
        <v>109.31</v>
      </c>
      <c r="I1115" s="34" t="n">
        <v>45903</v>
      </c>
      <c r="J1115" s="15" t="n">
        <v>22.28</v>
      </c>
      <c r="K1115" s="15" t="n">
        <v>37.48</v>
      </c>
      <c r="L1115" s="34" t="n">
        <v>45903</v>
      </c>
      <c r="M1115" s="15" t="n">
        <v>38.26</v>
      </c>
      <c r="N1115" s="15" t="n">
        <v>42.12</v>
      </c>
      <c r="O1115" s="34" t="n">
        <v>45903</v>
      </c>
      <c r="P1115" s="15" t="n">
        <v>59.25</v>
      </c>
      <c r="Q1115" s="15" t="n">
        <v>67.45</v>
      </c>
      <c r="R1115" s="34" t="n">
        <v>45903</v>
      </c>
      <c r="S1115" s="15" t="n">
        <v>25.58</v>
      </c>
      <c r="V1115" s="15" t="n">
        <v>24.48</v>
      </c>
      <c r="W1115" s="15" t="n">
        <v>23.95</v>
      </c>
      <c r="X1115" s="34" t="n">
        <v>45903</v>
      </c>
      <c r="Y1115" s="15" t="n">
        <v>84.34999999999999</v>
      </c>
      <c r="Z1115" s="15" t="n">
        <v>75.62</v>
      </c>
      <c r="AA1115" s="34" t="n">
        <v>45903</v>
      </c>
      <c r="AB1115" s="15" t="n">
        <v>9.09</v>
      </c>
      <c r="AC1115" s="15" t="n">
        <v>14.3</v>
      </c>
      <c r="AD1115" s="34" t="n">
        <v>45903</v>
      </c>
      <c r="AE1115" s="15" t="n">
        <v>38.88</v>
      </c>
      <c r="AF1115" s="15" t="n">
        <v>42.03</v>
      </c>
      <c r="AG1115" s="34" t="n">
        <v>45903</v>
      </c>
      <c r="AH1115" s="15" t="n">
        <v>28.5</v>
      </c>
      <c r="AI1115" s="15" t="n">
        <v>28.02</v>
      </c>
      <c r="AJ1115" s="34" t="n">
        <v>45903</v>
      </c>
      <c r="AK1115" s="15" t="n">
        <v>22.06</v>
      </c>
      <c r="AL1115" s="15" t="n">
        <v>45.12</v>
      </c>
      <c r="AM1115" s="34" t="n">
        <v>45903</v>
      </c>
      <c r="AN1115" s="15" t="n">
        <v>422</v>
      </c>
      <c r="AO1115" s="15" t="n">
        <v>309</v>
      </c>
      <c r="AP1115" s="34" t="n">
        <v>45903</v>
      </c>
      <c r="AQ1115" s="15" t="n">
        <v>87.2</v>
      </c>
      <c r="AR1115" s="15" t="n">
        <v>71.98</v>
      </c>
      <c r="AS1115" s="34" t="n">
        <v>45903</v>
      </c>
      <c r="AT1115" s="15" t="n">
        <v>18.22</v>
      </c>
      <c r="AU1115" s="15" t="n">
        <v>16.97</v>
      </c>
      <c r="AV1115" s="34" t="n">
        <v>45903</v>
      </c>
      <c r="AW1115" s="15" t="n">
        <v>34.82</v>
      </c>
      <c r="AX1115" s="15" t="n">
        <v>40.18</v>
      </c>
      <c r="AY1115" s="34" t="n">
        <v>45903</v>
      </c>
      <c r="AZ1115" s="15" t="n">
        <v>30.04</v>
      </c>
      <c r="BA1115" s="15" t="n">
        <v>31.25</v>
      </c>
      <c r="BB1115" s="34" t="n">
        <v>45903</v>
      </c>
      <c r="BC1115" s="15" t="n">
        <v>58</v>
      </c>
      <c r="BD1115" s="15" t="n">
        <v>73.45</v>
      </c>
      <c r="BE1115" s="34" t="n">
        <v>45903</v>
      </c>
      <c r="BF1115" s="15" t="n">
        <v>168.3</v>
      </c>
      <c r="BG1115" s="15" t="n">
        <v>202.98</v>
      </c>
      <c r="BH1115" s="34" t="n">
        <v>45903</v>
      </c>
      <c r="BI1115" s="15" t="n">
        <v>26.36</v>
      </c>
      <c r="BJ1115" s="15" t="n">
        <v>29.83</v>
      </c>
      <c r="BK1115" s="34" t="n">
        <v>45903</v>
      </c>
      <c r="BL1115" s="15" t="n">
        <v>44.1</v>
      </c>
      <c r="BM1115" s="15" t="n">
        <v>67.5</v>
      </c>
      <c r="BN1115" s="34" t="n">
        <v>45903</v>
      </c>
    </row>
    <row r="1116">
      <c r="A1116" s="34" t="n">
        <v>45904</v>
      </c>
      <c r="B1116" s="266" t="n">
        <v>1.092192053794861</v>
      </c>
      <c r="C1116" s="34" t="n">
        <v>45904</v>
      </c>
      <c r="D1116" s="15" t="n">
        <v>20.92</v>
      </c>
      <c r="E1116" s="15" t="n">
        <v>30.92</v>
      </c>
      <c r="F1116" s="34" t="n">
        <v>45904</v>
      </c>
      <c r="G1116" s="15" t="n">
        <v>90.15000000000001</v>
      </c>
      <c r="H1116" s="15" t="n">
        <v>101.72</v>
      </c>
      <c r="I1116" s="34" t="n">
        <v>45904</v>
      </c>
      <c r="J1116" s="15" t="n">
        <v>20.9</v>
      </c>
      <c r="K1116" s="15" t="n">
        <v>35.5</v>
      </c>
      <c r="L1116" s="34" t="n">
        <v>45904</v>
      </c>
      <c r="M1116" s="15" t="n">
        <v>39.32</v>
      </c>
      <c r="N1116" s="15" t="n">
        <v>42.66</v>
      </c>
      <c r="O1116" s="34" t="n">
        <v>45904</v>
      </c>
      <c r="P1116" s="15" t="n">
        <v>59.1</v>
      </c>
      <c r="Q1116" s="15" t="n">
        <v>67.75</v>
      </c>
      <c r="R1116" s="34" t="n">
        <v>45904</v>
      </c>
      <c r="S1116" s="15" t="n">
        <v>25.64</v>
      </c>
      <c r="V1116" s="15" t="n">
        <v>23.76</v>
      </c>
      <c r="W1116" s="15" t="n">
        <v>23.35</v>
      </c>
      <c r="X1116" s="34" t="n">
        <v>45904</v>
      </c>
      <c r="Y1116" s="15" t="n">
        <v>83.34999999999999</v>
      </c>
      <c r="Z1116" s="15" t="n">
        <v>75.59</v>
      </c>
      <c r="AA1116" s="34" t="n">
        <v>45904</v>
      </c>
      <c r="AB1116" s="15" t="n">
        <v>9</v>
      </c>
      <c r="AC1116" s="15" t="n">
        <v>14.25</v>
      </c>
      <c r="AD1116" s="34" t="n">
        <v>45904</v>
      </c>
      <c r="AE1116" s="15" t="n">
        <v>38.7</v>
      </c>
      <c r="AF1116" s="15" t="n">
        <v>41.72</v>
      </c>
      <c r="AG1116" s="34" t="n">
        <v>45904</v>
      </c>
      <c r="AH1116" s="15" t="n">
        <v>27.12</v>
      </c>
      <c r="AI1116" s="15" t="n">
        <v>26.56</v>
      </c>
      <c r="AJ1116" s="34" t="n">
        <v>45904</v>
      </c>
      <c r="AK1116" s="15" t="n">
        <v>22.16</v>
      </c>
      <c r="AL1116" s="15" t="n">
        <v>46.2</v>
      </c>
      <c r="AM1116" s="34" t="n">
        <v>45904</v>
      </c>
      <c r="AN1116" s="15" t="n">
        <v>420</v>
      </c>
      <c r="AO1116" s="15" t="n">
        <v>304.03</v>
      </c>
      <c r="AP1116" s="34" t="n">
        <v>45904</v>
      </c>
      <c r="AQ1116" s="15" t="n">
        <v>81.34999999999999</v>
      </c>
      <c r="AR1116" s="15" t="n">
        <v>68.65000000000001</v>
      </c>
      <c r="AS1116" s="34" t="n">
        <v>45904</v>
      </c>
      <c r="AT1116" s="15" t="n">
        <v>17.47</v>
      </c>
      <c r="AU1116" s="15" t="n">
        <v>16.66</v>
      </c>
      <c r="AV1116" s="34" t="n">
        <v>45904</v>
      </c>
      <c r="AW1116" s="15" t="n">
        <v>34.46</v>
      </c>
      <c r="AX1116" s="15" t="n">
        <v>40.42</v>
      </c>
      <c r="AY1116" s="34" t="n">
        <v>45904</v>
      </c>
      <c r="AZ1116" s="15" t="n">
        <v>28.58</v>
      </c>
      <c r="BA1116" s="15" t="n">
        <v>29.79</v>
      </c>
      <c r="BB1116" s="34" t="n">
        <v>45904</v>
      </c>
      <c r="BC1116" s="15" t="n">
        <v>59.6</v>
      </c>
      <c r="BD1116" s="15" t="n">
        <v>73.88</v>
      </c>
      <c r="BE1116" s="34" t="n">
        <v>45904</v>
      </c>
      <c r="BF1116" s="15" t="n">
        <v>161.3</v>
      </c>
      <c r="BG1116" s="15" t="n">
        <v>190.33</v>
      </c>
      <c r="BH1116" s="34" t="n">
        <v>45904</v>
      </c>
      <c r="BI1116" s="15" t="n">
        <v>25.88</v>
      </c>
      <c r="BJ1116" s="15" t="n">
        <v>30.2</v>
      </c>
      <c r="BK1116" s="34" t="n">
        <v>45904</v>
      </c>
      <c r="BL1116" s="15" t="n">
        <v>42.1</v>
      </c>
      <c r="BM1116" s="15" t="n">
        <v>64.40000000000001</v>
      </c>
      <c r="BN1116" s="34" t="n">
        <v>45904</v>
      </c>
    </row>
    <row r="1117">
      <c r="A1117" s="34" t="n">
        <v>45905</v>
      </c>
      <c r="B1117" s="266" t="n">
        <v>1.092169046401978</v>
      </c>
      <c r="C1117" s="34" t="n">
        <v>45905</v>
      </c>
      <c r="D1117" s="15" t="n">
        <v>22.78</v>
      </c>
      <c r="E1117" s="15" t="n">
        <v>34.01</v>
      </c>
      <c r="F1117" s="34" t="n">
        <v>45905</v>
      </c>
      <c r="G1117" s="15" t="n">
        <v>95.7</v>
      </c>
      <c r="H1117" s="15" t="n">
        <v>108.27</v>
      </c>
      <c r="I1117" s="34" t="n">
        <v>45905</v>
      </c>
      <c r="J1117" s="15" t="n">
        <v>22.18</v>
      </c>
      <c r="K1117" s="15" t="n">
        <v>36.5</v>
      </c>
      <c r="L1117" s="34" t="n">
        <v>45905</v>
      </c>
      <c r="M1117" s="15" t="n">
        <v>44.56</v>
      </c>
      <c r="N1117" s="15" t="n">
        <v>46.35</v>
      </c>
      <c r="O1117" s="34" t="n">
        <v>45905</v>
      </c>
      <c r="P1117" s="15" t="n">
        <v>61.4</v>
      </c>
      <c r="Q1117" s="15" t="n">
        <v>70.48999999999999</v>
      </c>
      <c r="R1117" s="34" t="n">
        <v>45905</v>
      </c>
      <c r="S1117" s="15" t="n">
        <v>25.02</v>
      </c>
      <c r="V1117" s="15" t="n">
        <v>24.8</v>
      </c>
      <c r="W1117" s="15" t="n">
        <v>24.81</v>
      </c>
      <c r="X1117" s="34" t="n">
        <v>45905</v>
      </c>
      <c r="Y1117" s="15" t="n">
        <v>86.5</v>
      </c>
      <c r="Z1117" s="15" t="n">
        <v>76.22</v>
      </c>
      <c r="AA1117" s="34" t="n">
        <v>45905</v>
      </c>
      <c r="AB1117" s="15" t="n">
        <v>10.17</v>
      </c>
      <c r="AC1117" s="15" t="n">
        <v>15.24</v>
      </c>
      <c r="AD1117" s="34" t="n">
        <v>45905</v>
      </c>
      <c r="AE1117" s="15" t="n">
        <v>38.96</v>
      </c>
      <c r="AF1117" s="15" t="n">
        <v>42.02</v>
      </c>
      <c r="AG1117" s="34" t="n">
        <v>45905</v>
      </c>
      <c r="AH1117" s="15" t="n">
        <v>28.28</v>
      </c>
      <c r="AI1117" s="15" t="n">
        <v>27.85</v>
      </c>
      <c r="AJ1117" s="34" t="n">
        <v>45905</v>
      </c>
      <c r="AK1117" s="15" t="n">
        <v>23.32</v>
      </c>
      <c r="AL1117" s="15" t="n">
        <v>48</v>
      </c>
      <c r="AM1117" s="34" t="n">
        <v>45905</v>
      </c>
      <c r="AN1117" s="15" t="n">
        <v>432.2</v>
      </c>
      <c r="AO1117" s="15" t="n">
        <v>325.11</v>
      </c>
      <c r="AP1117" s="34" t="n">
        <v>45905</v>
      </c>
      <c r="AQ1117" s="15" t="n">
        <v>86.2</v>
      </c>
      <c r="AR1117" s="15" t="n">
        <v>72.47</v>
      </c>
      <c r="AS1117" s="34" t="n">
        <v>45905</v>
      </c>
      <c r="AT1117" s="15" t="n">
        <v>17.74</v>
      </c>
      <c r="AU1117" s="15" t="n">
        <v>16.93</v>
      </c>
      <c r="AV1117" s="34" t="n">
        <v>45905</v>
      </c>
      <c r="AW1117" s="15" t="n">
        <v>34.54</v>
      </c>
      <c r="AX1117" s="15" t="n">
        <v>40.44</v>
      </c>
      <c r="AY1117" s="34" t="n">
        <v>45905</v>
      </c>
      <c r="AZ1117" s="15" t="n">
        <v>29.32</v>
      </c>
      <c r="BA1117" s="15" t="n">
        <v>30.7</v>
      </c>
      <c r="BB1117" s="34" t="n">
        <v>45905</v>
      </c>
      <c r="BC1117" s="15" t="n">
        <v>59.75</v>
      </c>
      <c r="BD1117" s="15" t="n">
        <v>74.03</v>
      </c>
      <c r="BE1117" s="34" t="n">
        <v>45905</v>
      </c>
      <c r="BF1117" s="15" t="n">
        <v>163</v>
      </c>
      <c r="BG1117" s="15" t="n">
        <v>195.1</v>
      </c>
      <c r="BH1117" s="34" t="n">
        <v>45905</v>
      </c>
      <c r="BI1117" s="15" t="n">
        <v>26.7</v>
      </c>
      <c r="BJ1117" s="15" t="n">
        <v>31.4</v>
      </c>
      <c r="BK1117" s="34" t="n">
        <v>45905</v>
      </c>
      <c r="BL1117" s="15" t="n">
        <v>49.78</v>
      </c>
      <c r="BM1117" s="15" t="n">
        <v>77.28</v>
      </c>
      <c r="BN1117" s="34" t="n">
        <v>45905</v>
      </c>
    </row>
    <row r="1118">
      <c r="A1118" s="34" t="n">
        <v>45908</v>
      </c>
      <c r="B1118" s="266" t="n">
        <v>1.093217015266418</v>
      </c>
      <c r="C1118" s="34" t="n">
        <v>45908</v>
      </c>
      <c r="D1118" s="15" t="n">
        <v>22.62</v>
      </c>
      <c r="E1118" s="15" t="n">
        <v>34.65</v>
      </c>
      <c r="F1118" s="34" t="n">
        <v>45908</v>
      </c>
      <c r="G1118" s="15" t="n">
        <v>98.7</v>
      </c>
      <c r="H1118" s="15" t="n">
        <v>110.4</v>
      </c>
      <c r="I1118" s="34" t="n">
        <v>45908</v>
      </c>
      <c r="J1118" s="15" t="n">
        <v>22.8</v>
      </c>
      <c r="K1118" s="15" t="n">
        <v>36.57</v>
      </c>
      <c r="L1118" s="34" t="n">
        <v>45908</v>
      </c>
      <c r="M1118" s="15" t="n">
        <v>45.28</v>
      </c>
      <c r="N1118" s="15" t="n">
        <v>47.34</v>
      </c>
      <c r="O1118" s="34" t="n">
        <v>45908</v>
      </c>
      <c r="P1118" s="15" t="n">
        <v>62.3</v>
      </c>
      <c r="Q1118" s="15" t="n">
        <v>71.5</v>
      </c>
      <c r="R1118" s="34" t="n">
        <v>45908</v>
      </c>
      <c r="S1118" s="15" t="n">
        <v>25.84</v>
      </c>
      <c r="V1118" s="15" t="n">
        <v>24.14</v>
      </c>
      <c r="W1118" s="15" t="n">
        <v>24.85</v>
      </c>
      <c r="X1118" s="34" t="n">
        <v>45908</v>
      </c>
      <c r="Y1118" s="15" t="n">
        <v>87.34999999999999</v>
      </c>
      <c r="Z1118" s="15" t="n">
        <v>77.03</v>
      </c>
      <c r="AA1118" s="34" t="n">
        <v>45908</v>
      </c>
      <c r="AB1118" s="15" t="n">
        <v>11.03</v>
      </c>
      <c r="AC1118" s="15" t="n">
        <v>15.89</v>
      </c>
      <c r="AD1118" s="34" t="n">
        <v>45908</v>
      </c>
      <c r="AE1118" s="15" t="n">
        <v>40.12</v>
      </c>
      <c r="AF1118" s="15" t="n">
        <v>42.58</v>
      </c>
      <c r="AG1118" s="34" t="n">
        <v>45908</v>
      </c>
      <c r="AH1118" s="15" t="n">
        <v>29.96</v>
      </c>
      <c r="AI1118" s="15" t="n">
        <v>28</v>
      </c>
      <c r="AJ1118" s="34" t="n">
        <v>45908</v>
      </c>
      <c r="AK1118" s="15" t="n">
        <v>23.08</v>
      </c>
      <c r="AL1118" s="15" t="n">
        <v>48.11</v>
      </c>
      <c r="AM1118" s="34" t="n">
        <v>45908</v>
      </c>
      <c r="AN1118" s="15" t="n">
        <v>430.4</v>
      </c>
      <c r="AO1118" s="15" t="n">
        <v>325.37</v>
      </c>
      <c r="AP1118" s="34" t="n">
        <v>45908</v>
      </c>
      <c r="AQ1118" s="15" t="n">
        <v>86.2</v>
      </c>
      <c r="AR1118" s="15" t="n">
        <v>72.31</v>
      </c>
      <c r="AS1118" s="34" t="n">
        <v>45908</v>
      </c>
      <c r="AT1118" s="15" t="n">
        <v>17.74</v>
      </c>
      <c r="AU1118" s="15" t="n">
        <v>16.95</v>
      </c>
      <c r="AV1118" s="34" t="n">
        <v>45908</v>
      </c>
      <c r="AW1118" s="15" t="n">
        <v>34.98</v>
      </c>
      <c r="AX1118" s="15" t="n">
        <v>41.17</v>
      </c>
      <c r="AY1118" s="34" t="n">
        <v>45908</v>
      </c>
      <c r="AZ1118" s="15" t="n">
        <v>33.76</v>
      </c>
      <c r="BA1118" s="15" t="n">
        <v>33.77</v>
      </c>
      <c r="BB1118" s="34" t="n">
        <v>45908</v>
      </c>
      <c r="BC1118" s="15" t="n">
        <v>58.95</v>
      </c>
      <c r="BD1118" s="15" t="n">
        <v>75.18000000000001</v>
      </c>
      <c r="BE1118" s="34" t="n">
        <v>45908</v>
      </c>
      <c r="BF1118" s="15" t="n">
        <v>170</v>
      </c>
      <c r="BG1118" s="15" t="n">
        <v>208.1</v>
      </c>
      <c r="BH1118" s="34" t="n">
        <v>45908</v>
      </c>
      <c r="BI1118" s="15" t="n">
        <v>27.54</v>
      </c>
      <c r="BJ1118" s="15" t="n">
        <v>33</v>
      </c>
      <c r="BK1118" s="34" t="n">
        <v>45908</v>
      </c>
      <c r="BL1118" s="15" t="n">
        <v>48.4</v>
      </c>
      <c r="BM1118" s="15" t="n">
        <v>80.68000000000001</v>
      </c>
      <c r="BN1118" s="34" t="n">
        <v>45908</v>
      </c>
    </row>
    <row r="1119">
      <c r="A1119" s="34" t="n">
        <v>45909</v>
      </c>
      <c r="B1119" s="266" t="n">
        <v>1.092916965484619</v>
      </c>
      <c r="C1119" s="34" t="n">
        <v>45909</v>
      </c>
      <c r="D1119" s="15" t="n">
        <v>20.74</v>
      </c>
      <c r="E1119" s="15" t="n">
        <v>32.22</v>
      </c>
      <c r="F1119" s="34" t="n">
        <v>45909</v>
      </c>
      <c r="G1119" s="15" t="n">
        <v>96.3</v>
      </c>
      <c r="H1119" s="15" t="n">
        <v>106.44</v>
      </c>
      <c r="I1119" s="34" t="n">
        <v>45909</v>
      </c>
      <c r="J1119" s="15" t="n">
        <v>21.28</v>
      </c>
      <c r="K1119" s="15" t="n">
        <v>34.5</v>
      </c>
      <c r="L1119" s="34" t="n">
        <v>45909</v>
      </c>
      <c r="M1119" s="15" t="n">
        <v>43.42</v>
      </c>
      <c r="N1119" s="15" t="n">
        <v>46.24</v>
      </c>
      <c r="O1119" s="34" t="n">
        <v>45909</v>
      </c>
      <c r="P1119" s="15" t="n">
        <v>61.65</v>
      </c>
      <c r="Q1119" s="15" t="n">
        <v>71.02</v>
      </c>
      <c r="R1119" s="34" t="n">
        <v>45909</v>
      </c>
      <c r="S1119" s="15" t="n">
        <v>25.56</v>
      </c>
      <c r="V1119" s="15" t="n">
        <v>23.78</v>
      </c>
      <c r="W1119" s="15" t="n">
        <v>24.55</v>
      </c>
      <c r="X1119" s="34" t="n">
        <v>45909</v>
      </c>
      <c r="Y1119" s="15" t="n">
        <v>87.3</v>
      </c>
      <c r="Z1119" s="15" t="n">
        <v>77.18000000000001</v>
      </c>
      <c r="AA1119" s="34" t="n">
        <v>45909</v>
      </c>
      <c r="AB1119" s="15" t="n">
        <v>10.34</v>
      </c>
      <c r="AC1119" s="15" t="n">
        <v>15.68</v>
      </c>
      <c r="AD1119" s="34" t="n">
        <v>45909</v>
      </c>
      <c r="AE1119" s="15" t="n">
        <v>39.12</v>
      </c>
      <c r="AF1119" s="15" t="n">
        <v>42.08</v>
      </c>
      <c r="AG1119" s="34" t="n">
        <v>45909</v>
      </c>
      <c r="AH1119" s="15" t="n">
        <v>33.42</v>
      </c>
      <c r="AI1119" s="15" t="n">
        <v>30.8</v>
      </c>
      <c r="AJ1119" s="34" t="n">
        <v>45909</v>
      </c>
      <c r="AK1119" s="15" t="n">
        <v>21.94</v>
      </c>
      <c r="AL1119" s="15" t="n">
        <v>46.08</v>
      </c>
      <c r="AM1119" s="34" t="n">
        <v>45909</v>
      </c>
      <c r="AN1119" s="15" t="n">
        <v>431</v>
      </c>
      <c r="AO1119" s="15" t="n">
        <v>320</v>
      </c>
      <c r="AP1119" s="34" t="n">
        <v>45909</v>
      </c>
      <c r="AQ1119" s="15" t="n">
        <v>84.90000000000001</v>
      </c>
      <c r="AR1119" s="15" t="n">
        <v>71.09</v>
      </c>
      <c r="AS1119" s="34" t="n">
        <v>45909</v>
      </c>
      <c r="AT1119" s="15" t="n">
        <v>18.2</v>
      </c>
      <c r="AU1119" s="15" t="n">
        <v>16.94</v>
      </c>
      <c r="AV1119" s="34" t="n">
        <v>45909</v>
      </c>
      <c r="AW1119" s="15" t="n">
        <v>34.9</v>
      </c>
      <c r="AX1119" s="15" t="n">
        <v>41.33</v>
      </c>
      <c r="AY1119" s="34" t="n">
        <v>45909</v>
      </c>
      <c r="AZ1119" s="15" t="n">
        <v>32.04</v>
      </c>
      <c r="BA1119" s="15" t="n">
        <v>34.04</v>
      </c>
      <c r="BB1119" s="34" t="n">
        <v>45909</v>
      </c>
      <c r="BC1119" s="15" t="n">
        <v>57.7</v>
      </c>
      <c r="BD1119" s="15" t="n">
        <v>74.95999999999999</v>
      </c>
      <c r="BE1119" s="34" t="n">
        <v>45909</v>
      </c>
      <c r="BF1119" s="15" t="n">
        <v>165.3</v>
      </c>
      <c r="BG1119" s="15" t="n">
        <v>198.22</v>
      </c>
      <c r="BH1119" s="34" t="n">
        <v>45909</v>
      </c>
      <c r="BI1119" s="15" t="n">
        <v>26.58</v>
      </c>
      <c r="BJ1119" s="15" t="n">
        <v>29.83</v>
      </c>
      <c r="BK1119" s="34" t="n">
        <v>45909</v>
      </c>
      <c r="BL1119" s="15" t="n">
        <v>46.76</v>
      </c>
      <c r="BM1119" s="15" t="n">
        <v>79.58</v>
      </c>
      <c r="BN1119" s="34" t="n">
        <v>45909</v>
      </c>
    </row>
    <row r="1120">
      <c r="A1120" s="34" t="n">
        <v>45910</v>
      </c>
      <c r="B1120" s="266" t="n">
        <v>1.093482971191406</v>
      </c>
      <c r="C1120" s="34" t="n">
        <v>45910</v>
      </c>
      <c r="D1120" s="15" t="n">
        <v>21.8</v>
      </c>
      <c r="E1120" s="15" t="n">
        <v>35.44</v>
      </c>
      <c r="F1120" s="34" t="n">
        <v>45910</v>
      </c>
      <c r="G1120" s="15" t="n">
        <v>97.05</v>
      </c>
      <c r="H1120" s="15" t="n">
        <v>111</v>
      </c>
      <c r="I1120" s="34" t="n">
        <v>45910</v>
      </c>
      <c r="J1120" s="15" t="n">
        <v>21.54</v>
      </c>
      <c r="K1120" s="15" t="n">
        <v>34.3</v>
      </c>
      <c r="L1120" s="34" t="n">
        <v>45910</v>
      </c>
      <c r="M1120" s="15" t="n">
        <v>39.96</v>
      </c>
      <c r="N1120" s="15" t="n">
        <v>43.93</v>
      </c>
      <c r="O1120" s="34" t="n">
        <v>45910</v>
      </c>
      <c r="P1120" s="15" t="n">
        <v>61.3</v>
      </c>
      <c r="Q1120" s="15" t="n">
        <v>70.68000000000001</v>
      </c>
      <c r="R1120" s="34" t="n">
        <v>45910</v>
      </c>
      <c r="S1120" s="15" t="n">
        <v>25.8</v>
      </c>
      <c r="V1120" s="15" t="n">
        <v>23.5</v>
      </c>
      <c r="W1120" s="15" t="n">
        <v>23.63</v>
      </c>
      <c r="X1120" s="34" t="n">
        <v>45910</v>
      </c>
      <c r="Y1120" s="15" t="n">
        <v>86.7</v>
      </c>
      <c r="Z1120" s="15" t="n">
        <v>77.02</v>
      </c>
      <c r="AA1120" s="34" t="n">
        <v>45910</v>
      </c>
      <c r="AB1120" s="15" t="n">
        <v>10.03</v>
      </c>
      <c r="AC1120" s="15" t="n">
        <v>15.54</v>
      </c>
      <c r="AD1120" s="34" t="n">
        <v>45910</v>
      </c>
      <c r="AE1120" s="15" t="n">
        <v>38.96</v>
      </c>
      <c r="AF1120" s="15" t="n">
        <v>42.08</v>
      </c>
      <c r="AG1120" s="34" t="n">
        <v>45910</v>
      </c>
      <c r="AH1120" s="15" t="n">
        <v>33.38</v>
      </c>
      <c r="AI1120" s="15" t="n">
        <v>30.25</v>
      </c>
      <c r="AJ1120" s="34" t="n">
        <v>45910</v>
      </c>
      <c r="AK1120" s="15" t="n">
        <v>21.78</v>
      </c>
      <c r="AL1120" s="15" t="n">
        <v>45.64</v>
      </c>
      <c r="AM1120" s="34" t="n">
        <v>45910</v>
      </c>
      <c r="AN1120" s="15" t="n">
        <v>426</v>
      </c>
      <c r="AO1120" s="15" t="n">
        <v>316.04</v>
      </c>
      <c r="AP1120" s="34" t="n">
        <v>45910</v>
      </c>
      <c r="AQ1120" s="15" t="n">
        <v>85.7</v>
      </c>
      <c r="AR1120" s="15" t="n">
        <v>70.31999999999999</v>
      </c>
      <c r="AS1120" s="34" t="n">
        <v>45910</v>
      </c>
      <c r="AT1120" s="15" t="n">
        <v>18</v>
      </c>
      <c r="AU1120" s="15" t="n">
        <v>16.86</v>
      </c>
      <c r="AV1120" s="34" t="n">
        <v>45910</v>
      </c>
      <c r="AW1120" s="15" t="n">
        <v>35.1</v>
      </c>
      <c r="AX1120" s="15" t="n">
        <v>40.95</v>
      </c>
      <c r="AY1120" s="34" t="n">
        <v>45910</v>
      </c>
      <c r="AZ1120" s="15" t="n">
        <v>31.44</v>
      </c>
      <c r="BA1120" s="15" t="n">
        <v>33.5</v>
      </c>
      <c r="BB1120" s="34" t="n">
        <v>45910</v>
      </c>
      <c r="BC1120" s="15" t="n">
        <v>57.7</v>
      </c>
      <c r="BD1120" s="15" t="n">
        <v>74.48999999999999</v>
      </c>
      <c r="BE1120" s="34" t="n">
        <v>45910</v>
      </c>
      <c r="BF1120" s="15" t="n">
        <v>160.4</v>
      </c>
      <c r="BG1120" s="15" t="n">
        <v>198.89</v>
      </c>
      <c r="BH1120" s="34" t="n">
        <v>45910</v>
      </c>
      <c r="BI1120" s="15" t="n">
        <v>26.68</v>
      </c>
      <c r="BJ1120" s="15" t="n">
        <v>29.55</v>
      </c>
      <c r="BK1120" s="34" t="n">
        <v>45910</v>
      </c>
      <c r="BL1120" s="15" t="n">
        <v>48.4</v>
      </c>
      <c r="BM1120" s="15" t="n">
        <v>81.8</v>
      </c>
      <c r="BN1120" s="34" t="n">
        <v>45910</v>
      </c>
    </row>
    <row r="1121">
      <c r="A1121" s="34" t="n">
        <v>45911</v>
      </c>
      <c r="B1121" s="266" t="n">
        <v>1.093762993812561</v>
      </c>
      <c r="C1121" s="34" t="n">
        <v>45911</v>
      </c>
      <c r="D1121" s="15" t="n">
        <v>20.5</v>
      </c>
      <c r="E1121" s="15" t="n">
        <v>34.42</v>
      </c>
      <c r="F1121" s="34" t="n">
        <v>45911</v>
      </c>
      <c r="G1121" s="15" t="n">
        <v>95.05</v>
      </c>
      <c r="H1121" s="15" t="n">
        <v>109.96</v>
      </c>
      <c r="I1121" s="34" t="n">
        <v>45911</v>
      </c>
      <c r="J1121" s="15" t="n">
        <v>22.84</v>
      </c>
      <c r="K1121" s="15" t="n">
        <v>36.01</v>
      </c>
      <c r="L1121" s="34" t="n">
        <v>45911</v>
      </c>
      <c r="M1121" s="15" t="n">
        <v>40.14</v>
      </c>
      <c r="N1121" s="15" t="n">
        <v>43.93</v>
      </c>
      <c r="O1121" s="34" t="n">
        <v>45911</v>
      </c>
      <c r="P1121" s="15" t="n">
        <v>62</v>
      </c>
      <c r="Q1121" s="15" t="n">
        <v>71.34999999999999</v>
      </c>
      <c r="R1121" s="34" t="n">
        <v>45911</v>
      </c>
      <c r="S1121" s="15" t="n">
        <v>24.7</v>
      </c>
      <c r="V1121" s="15" t="n">
        <v>23.92</v>
      </c>
      <c r="W1121" s="15" t="n">
        <v>24.88</v>
      </c>
      <c r="X1121" s="34" t="n">
        <v>45911</v>
      </c>
      <c r="Y1121" s="15" t="n">
        <v>86.90000000000001</v>
      </c>
      <c r="Z1121" s="15" t="n">
        <v>77.02</v>
      </c>
      <c r="AA1121" s="34" t="n">
        <v>45911</v>
      </c>
      <c r="AB1121" s="15" t="n">
        <v>9.880000000000001</v>
      </c>
      <c r="AC1121" s="15" t="n">
        <v>15.39</v>
      </c>
      <c r="AD1121" s="34" t="n">
        <v>45911</v>
      </c>
      <c r="AE1121" s="15" t="n">
        <v>38.5</v>
      </c>
      <c r="AF1121" s="15" t="n">
        <v>41.94</v>
      </c>
      <c r="AG1121" s="34" t="n">
        <v>45911</v>
      </c>
      <c r="AH1121" s="15" t="n">
        <v>32.76</v>
      </c>
      <c r="AI1121" s="15" t="n">
        <v>29.77</v>
      </c>
      <c r="AJ1121" s="34" t="n">
        <v>45911</v>
      </c>
      <c r="AK1121" s="15" t="n">
        <v>21.76</v>
      </c>
      <c r="AL1121" s="15" t="n">
        <v>45.9</v>
      </c>
      <c r="AM1121" s="34" t="n">
        <v>45911</v>
      </c>
      <c r="AN1121" s="15" t="n">
        <v>428.8</v>
      </c>
      <c r="AO1121" s="15" t="n">
        <v>322.55</v>
      </c>
      <c r="AP1121" s="34" t="n">
        <v>45911</v>
      </c>
      <c r="AQ1121" s="15" t="n">
        <v>83.09999999999999</v>
      </c>
      <c r="AR1121" s="15" t="n">
        <v>68.29000000000001</v>
      </c>
      <c r="AS1121" s="34" t="n">
        <v>45911</v>
      </c>
      <c r="AT1121" s="15" t="n">
        <v>18.1</v>
      </c>
      <c r="AU1121" s="15" t="n">
        <v>16.89</v>
      </c>
      <c r="AV1121" s="34" t="n">
        <v>45911</v>
      </c>
      <c r="AW1121" s="15" t="n">
        <v>34.88</v>
      </c>
      <c r="AX1121" s="15" t="n">
        <v>41.29</v>
      </c>
      <c r="AY1121" s="34" t="n">
        <v>45911</v>
      </c>
      <c r="AZ1121" s="15" t="n">
        <v>32.44</v>
      </c>
      <c r="BA1121" s="15" t="n">
        <v>34.76</v>
      </c>
      <c r="BB1121" s="34" t="n">
        <v>45911</v>
      </c>
      <c r="BC1121" s="15" t="n">
        <v>57.5</v>
      </c>
      <c r="BD1121" s="15" t="n">
        <v>75.11</v>
      </c>
      <c r="BE1121" s="34" t="n">
        <v>45911</v>
      </c>
      <c r="BF1121" s="15" t="n">
        <v>164.4</v>
      </c>
      <c r="BG1121" s="15" t="n">
        <v>202.4</v>
      </c>
      <c r="BH1121" s="34" t="n">
        <v>45911</v>
      </c>
      <c r="BI1121" s="15" t="n">
        <v>26.68</v>
      </c>
      <c r="BJ1121" s="15" t="n">
        <v>30.11</v>
      </c>
      <c r="BK1121" s="34" t="n">
        <v>45911</v>
      </c>
      <c r="BL1121" s="15" t="n">
        <v>53.3</v>
      </c>
      <c r="BM1121" s="15" t="n">
        <v>89.98999999999999</v>
      </c>
      <c r="BN1121" s="34" t="n">
        <v>45911</v>
      </c>
    </row>
    <row r="1122">
      <c r="A1122" s="34" t="n">
        <v>45912</v>
      </c>
      <c r="B1122" s="266" t="n">
        <v>1.094014048576355</v>
      </c>
      <c r="C1122" s="34" t="n">
        <v>45912</v>
      </c>
      <c r="D1122" s="15" t="n">
        <v>23.3</v>
      </c>
      <c r="E1122" s="15" t="n">
        <v>37.86</v>
      </c>
      <c r="F1122" s="34" t="n">
        <v>45912</v>
      </c>
      <c r="G1122" s="15" t="n">
        <v>97.09999999999999</v>
      </c>
      <c r="H1122" s="15" t="n">
        <v>112.08</v>
      </c>
      <c r="I1122" s="34" t="n">
        <v>45912</v>
      </c>
      <c r="J1122" s="15" t="n">
        <v>22.98</v>
      </c>
      <c r="K1122" s="15" t="n">
        <v>37.37</v>
      </c>
      <c r="L1122" s="34" t="n">
        <v>45912</v>
      </c>
      <c r="M1122" s="15" t="n">
        <v>39.8</v>
      </c>
      <c r="N1122" s="15" t="n">
        <v>44.03</v>
      </c>
      <c r="O1122" s="34" t="n">
        <v>45912</v>
      </c>
      <c r="P1122" s="15" t="n">
        <v>61.65</v>
      </c>
      <c r="Q1122" s="15" t="n">
        <v>70.40000000000001</v>
      </c>
      <c r="R1122" s="34" t="n">
        <v>45912</v>
      </c>
      <c r="S1122" s="15" t="n">
        <v>23</v>
      </c>
      <c r="V1122" s="15" t="n">
        <v>23.48</v>
      </c>
      <c r="W1122" s="15" t="n">
        <v>24.79</v>
      </c>
      <c r="X1122" s="34" t="n">
        <v>45912</v>
      </c>
      <c r="Y1122" s="15" t="n">
        <v>85.90000000000001</v>
      </c>
      <c r="Z1122" s="15" t="n">
        <v>75.56999999999999</v>
      </c>
      <c r="AA1122" s="34" t="n">
        <v>45912</v>
      </c>
      <c r="AB1122" s="15" t="n">
        <v>9.94</v>
      </c>
      <c r="AC1122" s="15" t="n">
        <v>15.65</v>
      </c>
      <c r="AD1122" s="34" t="n">
        <v>45912</v>
      </c>
      <c r="AE1122" s="15" t="n">
        <v>38.06</v>
      </c>
      <c r="AF1122" s="15" t="n">
        <v>41.72</v>
      </c>
      <c r="AG1122" s="34" t="n">
        <v>45912</v>
      </c>
      <c r="AH1122" s="15" t="n">
        <v>32.66</v>
      </c>
      <c r="AI1122" s="15" t="n">
        <v>29.75</v>
      </c>
      <c r="AJ1122" s="34" t="n">
        <v>45912</v>
      </c>
      <c r="AK1122" s="15" t="n">
        <v>21.6</v>
      </c>
      <c r="AL1122" s="15" t="n">
        <v>45.3</v>
      </c>
      <c r="AM1122" s="34" t="n">
        <v>45912</v>
      </c>
      <c r="AN1122" s="15" t="n">
        <v>432.8</v>
      </c>
      <c r="AO1122" s="15" t="n">
        <v>325</v>
      </c>
      <c r="AP1122" s="34" t="n">
        <v>45912</v>
      </c>
      <c r="AQ1122" s="15" t="n">
        <v>83.09999999999999</v>
      </c>
      <c r="AR1122" s="15" t="n">
        <v>69.01000000000001</v>
      </c>
      <c r="AS1122" s="34" t="n">
        <v>45912</v>
      </c>
      <c r="AT1122" s="15" t="n">
        <v>17.86</v>
      </c>
      <c r="AU1122" s="15" t="n">
        <v>16.66</v>
      </c>
      <c r="AV1122" s="34" t="n">
        <v>45912</v>
      </c>
      <c r="AW1122" s="15" t="n">
        <v>34.72</v>
      </c>
      <c r="AX1122" s="15" t="n">
        <v>40.65</v>
      </c>
      <c r="AY1122" s="34" t="n">
        <v>45912</v>
      </c>
      <c r="AZ1122" s="15" t="n">
        <v>32.12</v>
      </c>
      <c r="BA1122" s="15" t="n">
        <v>34.5</v>
      </c>
      <c r="BB1122" s="34" t="n">
        <v>45912</v>
      </c>
      <c r="BC1122" s="15" t="n">
        <v>57.1</v>
      </c>
      <c r="BD1122" s="15" t="n">
        <v>74.01000000000001</v>
      </c>
      <c r="BE1122" s="34" t="n">
        <v>45912</v>
      </c>
      <c r="BF1122" s="15" t="n">
        <v>170</v>
      </c>
      <c r="BG1122" s="15" t="n">
        <v>211.39</v>
      </c>
      <c r="BH1122" s="34" t="n">
        <v>45912</v>
      </c>
      <c r="BI1122" s="15" t="n">
        <v>26.32</v>
      </c>
      <c r="BJ1122" s="15" t="n">
        <v>29.49</v>
      </c>
      <c r="BK1122" s="34" t="n">
        <v>45912</v>
      </c>
      <c r="BL1122" s="15" t="n">
        <v>57.7</v>
      </c>
      <c r="BM1122" s="15" t="n">
        <v>90.70999999999999</v>
      </c>
      <c r="BN1122" s="34" t="n">
        <v>45912</v>
      </c>
    </row>
    <row r="1123">
      <c r="A1123" s="34" t="n">
        <v>45915</v>
      </c>
      <c r="B1123" s="266" t="n">
        <v>1.091848969459534</v>
      </c>
      <c r="C1123" s="34" t="n">
        <v>45915</v>
      </c>
      <c r="D1123" s="15" t="n">
        <v>25.18</v>
      </c>
      <c r="E1123" s="15" t="n">
        <v>41.65</v>
      </c>
      <c r="F1123" s="34" t="n">
        <v>45915</v>
      </c>
      <c r="G1123" s="15" t="n">
        <v>101.9</v>
      </c>
      <c r="H1123" s="15" t="n">
        <v>116.69</v>
      </c>
      <c r="I1123" s="34" t="n">
        <v>45915</v>
      </c>
      <c r="J1123" s="15" t="n">
        <v>22.5</v>
      </c>
      <c r="K1123" s="15" t="n">
        <v>36.83</v>
      </c>
      <c r="L1123" s="34" t="n">
        <v>45915</v>
      </c>
      <c r="M1123" s="15" t="n">
        <v>40.74</v>
      </c>
      <c r="N1123" s="15" t="n">
        <v>45.31</v>
      </c>
      <c r="O1123" s="34" t="n">
        <v>45915</v>
      </c>
      <c r="P1123" s="15" t="n">
        <v>60.1</v>
      </c>
      <c r="Q1123" s="15" t="n">
        <v>69.94</v>
      </c>
      <c r="R1123" s="34" t="n">
        <v>45915</v>
      </c>
      <c r="S1123" s="15" t="n">
        <v>25.54</v>
      </c>
      <c r="V1123" s="15" t="n">
        <v>23.46</v>
      </c>
      <c r="W1123" s="15" t="n">
        <v>24.38</v>
      </c>
      <c r="X1123" s="34" t="n">
        <v>45915</v>
      </c>
      <c r="Y1123" s="15" t="n">
        <v>85.75</v>
      </c>
      <c r="Z1123" s="15" t="n">
        <v>75.17</v>
      </c>
      <c r="AA1123" s="34" t="n">
        <v>45915</v>
      </c>
      <c r="AB1123" s="15" t="n">
        <v>10.03</v>
      </c>
      <c r="AC1123" s="15" t="n">
        <v>15.52</v>
      </c>
      <c r="AD1123" s="34" t="n">
        <v>45915</v>
      </c>
      <c r="AE1123" s="15" t="n">
        <v>38.16</v>
      </c>
      <c r="AF1123" s="15" t="n">
        <v>41.66</v>
      </c>
      <c r="AG1123" s="34" t="n">
        <v>45915</v>
      </c>
      <c r="AH1123" s="15" t="n">
        <v>31.04</v>
      </c>
      <c r="AI1123" s="15" t="n">
        <v>29.3</v>
      </c>
      <c r="AJ1123" s="34" t="n">
        <v>45915</v>
      </c>
      <c r="AK1123" s="15" t="n">
        <v>21.86</v>
      </c>
      <c r="AL1123" s="15" t="n">
        <v>45.91</v>
      </c>
      <c r="AM1123" s="34" t="n">
        <v>45915</v>
      </c>
      <c r="AN1123" s="15" t="n">
        <v>465</v>
      </c>
      <c r="AO1123" s="15" t="n">
        <v>354.7</v>
      </c>
      <c r="AP1123" s="34" t="n">
        <v>45915</v>
      </c>
      <c r="AQ1123" s="15" t="n">
        <v>84.34999999999999</v>
      </c>
      <c r="AR1123" s="15" t="n">
        <v>69.09999999999999</v>
      </c>
      <c r="AS1123" s="34" t="n">
        <v>45915</v>
      </c>
      <c r="AT1123" s="15" t="n">
        <v>17.98</v>
      </c>
      <c r="AU1123" s="15" t="n">
        <v>16.67</v>
      </c>
      <c r="AV1123" s="34" t="n">
        <v>45915</v>
      </c>
      <c r="AW1123" s="15" t="n">
        <v>34.6</v>
      </c>
      <c r="AX1123" s="15" t="n">
        <v>40.84</v>
      </c>
      <c r="AY1123" s="34" t="n">
        <v>45915</v>
      </c>
      <c r="AZ1123" s="15" t="n">
        <v>32.9</v>
      </c>
      <c r="BA1123" s="15" t="n">
        <v>35.66</v>
      </c>
      <c r="BB1123" s="34" t="n">
        <v>45915</v>
      </c>
      <c r="BC1123" s="15" t="n">
        <v>58.5</v>
      </c>
      <c r="BD1123" s="15" t="n">
        <v>74.58</v>
      </c>
      <c r="BE1123" s="34" t="n">
        <v>45915</v>
      </c>
      <c r="BF1123" s="15" t="n">
        <v>182.6</v>
      </c>
      <c r="BG1123" s="15" t="n">
        <v>213.8</v>
      </c>
      <c r="BH1123" s="34" t="n">
        <v>45915</v>
      </c>
      <c r="BI1123" s="15" t="n">
        <v>26.26</v>
      </c>
      <c r="BJ1123" s="15" t="n">
        <v>30.37</v>
      </c>
      <c r="BK1123" s="34" t="n">
        <v>45915</v>
      </c>
      <c r="BL1123" s="15" t="n">
        <v>58.95</v>
      </c>
      <c r="BM1123" s="15" t="n">
        <v>88.95</v>
      </c>
      <c r="BN1123" s="34" t="n">
        <v>45915</v>
      </c>
    </row>
    <row r="1124">
      <c r="A1124" s="34" t="n">
        <v>45916</v>
      </c>
      <c r="B1124" s="266" t="n">
        <v>1.092795968055725</v>
      </c>
      <c r="C1124" s="34" t="n">
        <v>45916</v>
      </c>
      <c r="D1124" s="15" t="n">
        <v>25.62</v>
      </c>
      <c r="E1124" s="15" t="n">
        <v>42.2</v>
      </c>
      <c r="F1124" s="34" t="n">
        <v>45916</v>
      </c>
      <c r="G1124" s="15" t="n">
        <v>107</v>
      </c>
      <c r="H1124" s="15" t="n">
        <v>118.2</v>
      </c>
      <c r="I1124" s="34" t="n">
        <v>45916</v>
      </c>
      <c r="J1124" s="15" t="n">
        <v>21.68</v>
      </c>
      <c r="K1124" s="15" t="n">
        <v>35.59</v>
      </c>
      <c r="L1124" s="34" t="n">
        <v>45916</v>
      </c>
      <c r="M1124" s="15" t="n">
        <v>39.88</v>
      </c>
      <c r="N1124" s="15" t="n">
        <v>44.49</v>
      </c>
      <c r="O1124" s="34" t="n">
        <v>45916</v>
      </c>
      <c r="P1124" s="15" t="n">
        <v>61.35</v>
      </c>
      <c r="Q1124" s="15" t="n">
        <v>71.54000000000001</v>
      </c>
      <c r="R1124" s="34" t="n">
        <v>45916</v>
      </c>
      <c r="S1124" s="15" t="n">
        <v>26.5</v>
      </c>
      <c r="V1124" s="15" t="n">
        <v>23.5</v>
      </c>
      <c r="W1124" s="15" t="n">
        <v>24.6</v>
      </c>
      <c r="X1124" s="34" t="n">
        <v>45916</v>
      </c>
      <c r="Y1124" s="15" t="n">
        <v>84.55</v>
      </c>
      <c r="Z1124" s="15" t="n">
        <v>74.45999999999999</v>
      </c>
      <c r="AA1124" s="34" t="n">
        <v>45916</v>
      </c>
      <c r="AB1124" s="15" t="n">
        <v>12.8</v>
      </c>
      <c r="AC1124" s="15" t="n">
        <v>17.07</v>
      </c>
      <c r="AD1124" s="34" t="n">
        <v>45916</v>
      </c>
      <c r="AE1124" s="15" t="n">
        <v>38.5</v>
      </c>
      <c r="AF1124" s="15" t="n">
        <v>41.19</v>
      </c>
      <c r="AG1124" s="34" t="n">
        <v>45916</v>
      </c>
      <c r="AH1124" s="15" t="n">
        <v>30.84</v>
      </c>
      <c r="AI1124" s="15" t="n">
        <v>29.58</v>
      </c>
      <c r="AJ1124" s="34" t="n">
        <v>45916</v>
      </c>
      <c r="AK1124" s="15" t="n">
        <v>21.68</v>
      </c>
      <c r="AL1124" s="15" t="n">
        <v>44.81</v>
      </c>
      <c r="AM1124" s="34" t="n">
        <v>45916</v>
      </c>
      <c r="AN1124" s="15" t="n">
        <v>477</v>
      </c>
      <c r="AO1124" s="15" t="n">
        <v>353.42</v>
      </c>
      <c r="AP1124" s="34" t="n">
        <v>45916</v>
      </c>
      <c r="AQ1124" s="15" t="n">
        <v>84.65000000000001</v>
      </c>
      <c r="AR1124" s="15" t="n">
        <v>69.15000000000001</v>
      </c>
      <c r="AS1124" s="34" t="n">
        <v>45916</v>
      </c>
      <c r="AT1124" s="15" t="n">
        <v>18.04</v>
      </c>
      <c r="AU1124" s="15" t="n">
        <v>17.01</v>
      </c>
      <c r="AV1124" s="34" t="n">
        <v>45916</v>
      </c>
      <c r="AW1124" s="15" t="n">
        <v>34.46</v>
      </c>
      <c r="AX1124" s="15" t="n">
        <v>40.33</v>
      </c>
      <c r="AY1124" s="34" t="n">
        <v>45916</v>
      </c>
      <c r="AZ1124" s="15" t="n">
        <v>37.12</v>
      </c>
      <c r="BA1124" s="15" t="n">
        <v>39.23</v>
      </c>
      <c r="BB1124" s="34" t="n">
        <v>45916</v>
      </c>
      <c r="BC1124" s="15" t="n">
        <v>58.45</v>
      </c>
      <c r="BD1124" s="15" t="n">
        <v>74.08</v>
      </c>
      <c r="BE1124" s="34" t="n">
        <v>45916</v>
      </c>
      <c r="BF1124" s="15" t="n">
        <v>178.2</v>
      </c>
      <c r="BG1124" s="15" t="n">
        <v>219.6</v>
      </c>
      <c r="BH1124" s="34" t="n">
        <v>45916</v>
      </c>
      <c r="BI1124" s="15" t="n">
        <v>25.92</v>
      </c>
      <c r="BJ1124" s="15" t="n">
        <v>30.3</v>
      </c>
      <c r="BK1124" s="34" t="n">
        <v>45916</v>
      </c>
      <c r="BL1124" s="15" t="n">
        <v>59.9</v>
      </c>
      <c r="BM1124" s="15" t="n">
        <v>87.90000000000001</v>
      </c>
      <c r="BN1124" s="34" t="n">
        <v>45916</v>
      </c>
    </row>
    <row r="1125">
      <c r="A1125" s="34" t="n">
        <v>45917</v>
      </c>
      <c r="B1125" s="266" t="n">
        <v>1.093690991401672</v>
      </c>
      <c r="C1125" s="34" t="n">
        <v>45917</v>
      </c>
      <c r="D1125" s="15" t="n">
        <v>24.88</v>
      </c>
      <c r="E1125" s="15" t="n">
        <v>40.4</v>
      </c>
      <c r="F1125" s="34" t="n">
        <v>45917</v>
      </c>
      <c r="G1125" s="15" t="n">
        <v>106.2</v>
      </c>
      <c r="H1125" s="15" t="n">
        <v>116.72</v>
      </c>
      <c r="I1125" s="34" t="n">
        <v>45917</v>
      </c>
      <c r="J1125" s="15" t="n">
        <v>22.62</v>
      </c>
      <c r="K1125" s="15" t="n">
        <v>37.9</v>
      </c>
      <c r="L1125" s="34" t="n">
        <v>45917</v>
      </c>
      <c r="M1125" s="15" t="n">
        <v>40.26</v>
      </c>
      <c r="N1125" s="15" t="n">
        <v>44.79</v>
      </c>
      <c r="O1125" s="34" t="n">
        <v>45917</v>
      </c>
      <c r="P1125" s="15" t="n">
        <v>62.25</v>
      </c>
      <c r="Q1125" s="15" t="n">
        <v>71.15000000000001</v>
      </c>
      <c r="R1125" s="34" t="n">
        <v>45917</v>
      </c>
      <c r="S1125" s="15" t="n">
        <v>24.9</v>
      </c>
      <c r="V1125" s="15" t="n">
        <v>23.82</v>
      </c>
      <c r="W1125" s="15" t="n">
        <v>24.36</v>
      </c>
      <c r="X1125" s="34" t="n">
        <v>45917</v>
      </c>
      <c r="Y1125" s="15" t="n">
        <v>85.75</v>
      </c>
      <c r="Z1125" s="15" t="n">
        <v>74.34999999999999</v>
      </c>
      <c r="AA1125" s="34" t="n">
        <v>45917</v>
      </c>
      <c r="AB1125" s="15" t="n">
        <v>12.19</v>
      </c>
      <c r="AC1125" s="15" t="n">
        <v>17.56</v>
      </c>
      <c r="AD1125" s="34" t="n">
        <v>45917</v>
      </c>
      <c r="AE1125" s="15" t="n">
        <v>38.22</v>
      </c>
      <c r="AF1125" s="15" t="n">
        <v>41.07</v>
      </c>
      <c r="AG1125" s="34" t="n">
        <v>45917</v>
      </c>
      <c r="AH1125" s="15" t="n">
        <v>29.44</v>
      </c>
      <c r="AI1125" s="15" t="n">
        <v>28.5</v>
      </c>
      <c r="AJ1125" s="34" t="n">
        <v>45917</v>
      </c>
      <c r="AK1125" s="15" t="n">
        <v>21.84</v>
      </c>
      <c r="AL1125" s="15" t="n">
        <v>45.08</v>
      </c>
      <c r="AM1125" s="34" t="n">
        <v>45917</v>
      </c>
      <c r="AN1125" s="15" t="n">
        <v>502.5</v>
      </c>
      <c r="AO1125" s="15" t="n">
        <v>377.1</v>
      </c>
      <c r="AP1125" s="34" t="n">
        <v>45917</v>
      </c>
      <c r="AQ1125" s="15" t="n">
        <v>84.90000000000001</v>
      </c>
      <c r="AR1125" s="15" t="n">
        <v>70.13</v>
      </c>
      <c r="AS1125" s="34" t="n">
        <v>45917</v>
      </c>
      <c r="AT1125" s="15" t="n">
        <v>17.66</v>
      </c>
      <c r="AU1125" s="15" t="n">
        <v>17.7</v>
      </c>
      <c r="AV1125" s="34" t="n">
        <v>45917</v>
      </c>
      <c r="AW1125" s="15" t="n">
        <v>33.94</v>
      </c>
      <c r="AX1125" s="15" t="n">
        <v>40.29</v>
      </c>
      <c r="AY1125" s="34" t="n">
        <v>45917</v>
      </c>
      <c r="AZ1125" s="15" t="n">
        <v>39.02</v>
      </c>
      <c r="BA1125" s="15" t="n">
        <v>41.9</v>
      </c>
      <c r="BB1125" s="34" t="n">
        <v>45917</v>
      </c>
      <c r="BC1125" s="15" t="n">
        <v>58.85</v>
      </c>
      <c r="BD1125" s="15" t="n">
        <v>73.78</v>
      </c>
      <c r="BE1125" s="34" t="n">
        <v>45917</v>
      </c>
      <c r="BF1125" s="15" t="n">
        <v>210.2</v>
      </c>
      <c r="BG1125" s="15" t="n">
        <v>263.52</v>
      </c>
      <c r="BH1125" s="34" t="n">
        <v>45917</v>
      </c>
      <c r="BI1125" s="15" t="n">
        <v>28.1</v>
      </c>
      <c r="BJ1125" s="15" t="n">
        <v>32.1</v>
      </c>
      <c r="BK1125" s="34" t="n">
        <v>45917</v>
      </c>
      <c r="BL1125" s="15" t="n">
        <v>58.55</v>
      </c>
      <c r="BM1125" s="15" t="n">
        <v>85.05</v>
      </c>
      <c r="BN1125" s="34" t="n">
        <v>45917</v>
      </c>
    </row>
    <row r="1126">
      <c r="A1126" s="34" t="n">
        <v>45918</v>
      </c>
      <c r="B1126" s="266" t="n">
        <v>1.094727993011475</v>
      </c>
      <c r="C1126" s="34" t="n">
        <v>45918</v>
      </c>
      <c r="D1126" s="15" t="n">
        <v>24.06</v>
      </c>
      <c r="E1126" s="15" t="n">
        <v>40.16</v>
      </c>
      <c r="F1126" s="34" t="n">
        <v>45918</v>
      </c>
      <c r="G1126" s="15" t="n">
        <v>102.2</v>
      </c>
      <c r="H1126" s="15" t="n">
        <v>114.18</v>
      </c>
      <c r="I1126" s="34" t="n">
        <v>45918</v>
      </c>
      <c r="J1126" s="15" t="n">
        <v>22.68</v>
      </c>
      <c r="K1126" s="15" t="n">
        <v>36.22</v>
      </c>
      <c r="L1126" s="34" t="n">
        <v>45918</v>
      </c>
      <c r="M1126" s="15" t="n">
        <v>39.32</v>
      </c>
      <c r="N1126" s="15" t="n">
        <v>43.15</v>
      </c>
      <c r="O1126" s="34" t="n">
        <v>45918</v>
      </c>
      <c r="P1126" s="15" t="n">
        <v>63.6</v>
      </c>
      <c r="Q1126" s="15" t="n">
        <v>71.68000000000001</v>
      </c>
      <c r="R1126" s="34" t="n">
        <v>45918</v>
      </c>
      <c r="S1126" s="15" t="n">
        <v>27.54</v>
      </c>
      <c r="V1126" s="15" t="n">
        <v>29.36</v>
      </c>
      <c r="W1126" s="15" t="n">
        <v>27.62</v>
      </c>
      <c r="X1126" s="34" t="n">
        <v>45918</v>
      </c>
      <c r="Y1126" s="15" t="n">
        <v>83.55</v>
      </c>
      <c r="Z1126" s="15" t="n">
        <v>73.73999999999999</v>
      </c>
      <c r="AA1126" s="34" t="n">
        <v>45918</v>
      </c>
      <c r="AB1126" s="15" t="n">
        <v>12</v>
      </c>
      <c r="AC1126" s="15" t="n">
        <v>16.86</v>
      </c>
      <c r="AD1126" s="34" t="n">
        <v>45918</v>
      </c>
      <c r="AE1126" s="15" t="n">
        <v>38.18</v>
      </c>
      <c r="AF1126" s="15" t="n">
        <v>40.53</v>
      </c>
      <c r="AG1126" s="34" t="n">
        <v>45918</v>
      </c>
      <c r="AH1126" s="15" t="n">
        <v>28.34</v>
      </c>
      <c r="AI1126" s="15" t="n">
        <v>27.4</v>
      </c>
      <c r="AJ1126" s="34" t="n">
        <v>45918</v>
      </c>
      <c r="AK1126" s="15" t="n">
        <v>21.2</v>
      </c>
      <c r="AL1126" s="15" t="n">
        <v>43.63</v>
      </c>
      <c r="AM1126" s="34" t="n">
        <v>45918</v>
      </c>
      <c r="AN1126" s="15" t="n">
        <v>505</v>
      </c>
      <c r="AO1126" s="15" t="n">
        <v>366.89</v>
      </c>
      <c r="AP1126" s="34" t="n">
        <v>45918</v>
      </c>
      <c r="AQ1126" s="15" t="n">
        <v>89.8</v>
      </c>
      <c r="AR1126" s="15" t="n">
        <v>71.09</v>
      </c>
      <c r="AS1126" s="34" t="n">
        <v>45918</v>
      </c>
      <c r="AT1126" s="15" t="n">
        <v>18.13</v>
      </c>
      <c r="AU1126" s="15" t="n">
        <v>18.15</v>
      </c>
      <c r="AV1126" s="34" t="n">
        <v>45918</v>
      </c>
      <c r="AW1126" s="15" t="n">
        <v>33.5</v>
      </c>
      <c r="AX1126" s="15" t="n">
        <v>39.79</v>
      </c>
      <c r="AY1126" s="34" t="n">
        <v>45918</v>
      </c>
      <c r="AZ1126" s="15" t="n">
        <v>40.92</v>
      </c>
      <c r="BA1126" s="15" t="n">
        <v>45.55</v>
      </c>
      <c r="BB1126" s="34" t="n">
        <v>45918</v>
      </c>
      <c r="BC1126" s="15" t="n">
        <v>58.45</v>
      </c>
      <c r="BD1126" s="15" t="n">
        <v>73.26000000000001</v>
      </c>
      <c r="BE1126" s="34" t="n">
        <v>45918</v>
      </c>
      <c r="BF1126" s="15" t="n">
        <v>197.6</v>
      </c>
      <c r="BG1126" s="15" t="n">
        <v>274</v>
      </c>
      <c r="BH1126" s="34" t="n">
        <v>45918</v>
      </c>
      <c r="BI1126" s="15" t="n">
        <v>27.98</v>
      </c>
      <c r="BJ1126" s="15" t="n">
        <v>31.41</v>
      </c>
      <c r="BK1126" s="34" t="n">
        <v>45918</v>
      </c>
      <c r="BL1126" s="15" t="n">
        <v>60.9</v>
      </c>
      <c r="BM1126" s="15" t="n">
        <v>84.90000000000001</v>
      </c>
      <c r="BN1126" s="34" t="n">
        <v>45918</v>
      </c>
    </row>
    <row r="1127">
      <c r="A1127" s="34" t="n">
        <v>45919</v>
      </c>
      <c r="B1127" s="266" t="n">
        <v>1.093201994895935</v>
      </c>
      <c r="C1127" s="34" t="n">
        <v>45919</v>
      </c>
      <c r="D1127" s="15" t="n">
        <v>23.38</v>
      </c>
      <c r="E1127" s="15" t="n">
        <v>38.38</v>
      </c>
      <c r="F1127" s="34" t="n">
        <v>45919</v>
      </c>
      <c r="G1127" s="15" t="n">
        <v>98.75</v>
      </c>
      <c r="H1127" s="15" t="n">
        <v>110.7</v>
      </c>
      <c r="I1127" s="34" t="n">
        <v>45919</v>
      </c>
      <c r="J1127" s="15" t="n">
        <v>22.7</v>
      </c>
      <c r="K1127" s="15" t="n">
        <v>35.27</v>
      </c>
      <c r="L1127" s="34" t="n">
        <v>45919</v>
      </c>
      <c r="M1127" s="15" t="n">
        <v>41.22</v>
      </c>
      <c r="N1127" s="15" t="n">
        <v>45.01</v>
      </c>
      <c r="O1127" s="34" t="n">
        <v>45919</v>
      </c>
      <c r="P1127" s="15" t="n">
        <v>66.2</v>
      </c>
      <c r="Q1127" s="15" t="n">
        <v>73.97</v>
      </c>
      <c r="R1127" s="34" t="n">
        <v>45919</v>
      </c>
      <c r="S1127" s="15" t="n">
        <v>27.5</v>
      </c>
      <c r="V1127" s="15" t="n">
        <v>25.78</v>
      </c>
      <c r="W1127" s="15" t="n">
        <v>25.95</v>
      </c>
      <c r="X1127" s="34" t="n">
        <v>45919</v>
      </c>
      <c r="Y1127" s="15" t="n">
        <v>85.05</v>
      </c>
      <c r="Z1127" s="15" t="n">
        <v>74.34999999999999</v>
      </c>
      <c r="AA1127" s="34" t="n">
        <v>45919</v>
      </c>
      <c r="AB1127" s="15" t="n">
        <v>11.71</v>
      </c>
      <c r="AC1127" s="15" t="n">
        <v>16.31</v>
      </c>
      <c r="AD1127" s="34" t="n">
        <v>45919</v>
      </c>
      <c r="AE1127" s="15" t="n">
        <v>37.96</v>
      </c>
      <c r="AF1127" s="15" t="n">
        <v>41.08</v>
      </c>
      <c r="AG1127" s="34" t="n">
        <v>45919</v>
      </c>
      <c r="AH1127" s="15" t="n">
        <v>29.24</v>
      </c>
      <c r="AI1127" s="15" t="n">
        <v>27.6</v>
      </c>
      <c r="AJ1127" s="34" t="n">
        <v>45919</v>
      </c>
      <c r="AK1127" s="15" t="n">
        <v>21.06</v>
      </c>
      <c r="AL1127" s="15" t="n">
        <v>42.74</v>
      </c>
      <c r="AM1127" s="34" t="n">
        <v>45919</v>
      </c>
      <c r="AN1127" s="15" t="n">
        <v>515.5</v>
      </c>
      <c r="AO1127" s="15" t="n">
        <v>368.49</v>
      </c>
      <c r="AP1127" s="34" t="n">
        <v>45919</v>
      </c>
      <c r="AQ1127" s="15" t="n">
        <v>87.59999999999999</v>
      </c>
      <c r="AR1127" s="15" t="n">
        <v>69.65000000000001</v>
      </c>
      <c r="AS1127" s="34" t="n">
        <v>45919</v>
      </c>
      <c r="AT1127" s="15" t="n">
        <v>18.47</v>
      </c>
      <c r="AU1127" s="15" t="n">
        <v>17.85</v>
      </c>
      <c r="AV1127" s="34" t="n">
        <v>45919</v>
      </c>
      <c r="AW1127" s="15" t="n">
        <v>33.34</v>
      </c>
      <c r="AX1127" s="15" t="n">
        <v>39.8</v>
      </c>
      <c r="AY1127" s="34" t="n">
        <v>45919</v>
      </c>
      <c r="AZ1127" s="15" t="n">
        <v>38.38</v>
      </c>
      <c r="BA1127" s="15" t="n">
        <v>41.65</v>
      </c>
      <c r="BB1127" s="34" t="n">
        <v>45919</v>
      </c>
      <c r="BC1127" s="15" t="n">
        <v>59.85</v>
      </c>
      <c r="BD1127" s="15" t="n">
        <v>74.04000000000001</v>
      </c>
      <c r="BE1127" s="34" t="n">
        <v>45919</v>
      </c>
      <c r="BF1127" s="15" t="n">
        <v>189</v>
      </c>
      <c r="BG1127" s="15" t="n">
        <v>245</v>
      </c>
      <c r="BH1127" s="34" t="n">
        <v>45919</v>
      </c>
      <c r="BI1127" s="15" t="n">
        <v>27.86</v>
      </c>
      <c r="BJ1127" s="15" t="n">
        <v>30.51</v>
      </c>
      <c r="BK1127" s="34" t="n">
        <v>45919</v>
      </c>
      <c r="BL1127" s="15" t="n">
        <v>62.3</v>
      </c>
      <c r="BM1127" s="15" t="n">
        <v>85.90000000000001</v>
      </c>
      <c r="BN1127" s="34" t="n">
        <v>45919</v>
      </c>
    </row>
    <row r="1128">
      <c r="A1128" s="34" t="n">
        <v>45922</v>
      </c>
      <c r="B1128" s="266" t="n">
        <v>1.092589020729065</v>
      </c>
      <c r="C1128" s="34" t="n">
        <v>45922</v>
      </c>
      <c r="D1128" s="15" t="n">
        <v>23.78</v>
      </c>
      <c r="E1128" s="15" t="n">
        <v>38.88</v>
      </c>
      <c r="F1128" s="34" t="n">
        <v>45922</v>
      </c>
      <c r="G1128" s="15" t="n">
        <v>99.8</v>
      </c>
      <c r="H1128" s="15" t="n">
        <v>111.12</v>
      </c>
      <c r="I1128" s="34" t="n">
        <v>45922</v>
      </c>
      <c r="J1128" s="15" t="n">
        <v>22.46</v>
      </c>
      <c r="K1128" s="15" t="n">
        <v>35.34</v>
      </c>
      <c r="L1128" s="34" t="n">
        <v>45922</v>
      </c>
      <c r="M1128" s="15" t="n">
        <v>40.48</v>
      </c>
      <c r="N1128" s="15" t="n">
        <v>43.87</v>
      </c>
      <c r="O1128" s="34" t="n">
        <v>45922</v>
      </c>
      <c r="P1128" s="15" t="n">
        <v>64.7</v>
      </c>
      <c r="Q1128" s="15" t="n">
        <v>73.04000000000001</v>
      </c>
      <c r="R1128" s="34" t="n">
        <v>45922</v>
      </c>
      <c r="S1128" s="15" t="n">
        <v>27.4</v>
      </c>
      <c r="V1128" s="15" t="n">
        <v>30.42</v>
      </c>
      <c r="W1128" s="15" t="n">
        <v>28.91</v>
      </c>
      <c r="X1128" s="34" t="n">
        <v>45922</v>
      </c>
      <c r="Y1128" s="15" t="n">
        <v>82.65000000000001</v>
      </c>
      <c r="Z1128" s="15" t="n">
        <v>73.26000000000001</v>
      </c>
      <c r="AA1128" s="34" t="n">
        <v>45922</v>
      </c>
      <c r="AB1128" s="15" t="n">
        <v>11.86</v>
      </c>
      <c r="AC1128" s="15" t="n">
        <v>16.01</v>
      </c>
      <c r="AD1128" s="34" t="n">
        <v>45922</v>
      </c>
      <c r="AE1128" s="15" t="n">
        <v>37.08</v>
      </c>
      <c r="AF1128" s="15" t="n">
        <v>40.32</v>
      </c>
      <c r="AG1128" s="34" t="n">
        <v>45922</v>
      </c>
      <c r="AH1128" s="15" t="n">
        <v>30.52</v>
      </c>
      <c r="AI1128" s="15" t="n">
        <v>28.8</v>
      </c>
      <c r="AJ1128" s="34" t="n">
        <v>45922</v>
      </c>
      <c r="AK1128" s="15" t="n">
        <v>20.5</v>
      </c>
      <c r="AL1128" s="15" t="n">
        <v>42.02</v>
      </c>
      <c r="AM1128" s="34" t="n">
        <v>45922</v>
      </c>
      <c r="AN1128" s="15" t="n">
        <v>511</v>
      </c>
      <c r="AO1128" s="15" t="n">
        <v>370.05</v>
      </c>
      <c r="AP1128" s="34" t="n">
        <v>45922</v>
      </c>
      <c r="AQ1128" s="15" t="n">
        <v>90</v>
      </c>
      <c r="AR1128" s="15" t="n">
        <v>71.05</v>
      </c>
      <c r="AS1128" s="34" t="n">
        <v>45922</v>
      </c>
      <c r="AT1128" s="15" t="n">
        <v>18.39</v>
      </c>
      <c r="AU1128" s="15" t="n">
        <v>18.43</v>
      </c>
      <c r="AV1128" s="34" t="n">
        <v>45922</v>
      </c>
      <c r="AW1128" s="15" t="n">
        <v>33</v>
      </c>
      <c r="AX1128" s="15" t="n">
        <v>39.51</v>
      </c>
      <c r="AY1128" s="34" t="n">
        <v>45922</v>
      </c>
      <c r="AZ1128" s="15" t="n">
        <v>39.8</v>
      </c>
      <c r="BA1128" s="15" t="n">
        <v>42.97</v>
      </c>
      <c r="BB1128" s="34" t="n">
        <v>45922</v>
      </c>
      <c r="BC1128" s="15" t="n">
        <v>60.8</v>
      </c>
      <c r="BD1128" s="15" t="n">
        <v>73.42</v>
      </c>
      <c r="BE1128" s="34" t="n">
        <v>45922</v>
      </c>
      <c r="BF1128" s="15" t="n">
        <v>193</v>
      </c>
      <c r="BG1128" s="15" t="n">
        <v>252.93</v>
      </c>
      <c r="BH1128" s="34" t="n">
        <v>45922</v>
      </c>
      <c r="BI1128" s="15" t="n">
        <v>31.38</v>
      </c>
      <c r="BJ1128" s="15" t="n">
        <v>33.05</v>
      </c>
      <c r="BK1128" s="34" t="n">
        <v>45922</v>
      </c>
      <c r="BL1128" s="15" t="n">
        <v>64</v>
      </c>
      <c r="BM1128" s="15" t="n">
        <v>87.58</v>
      </c>
      <c r="BN1128" s="34" t="n">
        <v>45922</v>
      </c>
    </row>
    <row r="1129">
      <c r="A1129" s="34" t="n">
        <v>45923</v>
      </c>
      <c r="B1129" s="266" t="n">
        <v>1.0920250415802</v>
      </c>
      <c r="C1129" s="34" t="n">
        <v>45923</v>
      </c>
      <c r="D1129" s="15" t="n">
        <v>22.52</v>
      </c>
      <c r="E1129" s="15" t="n">
        <v>36.53</v>
      </c>
      <c r="F1129" s="34" t="n">
        <v>45923</v>
      </c>
      <c r="G1129" s="15" t="n">
        <v>95</v>
      </c>
      <c r="H1129" s="15" t="n">
        <v>108.65</v>
      </c>
      <c r="I1129" s="34" t="n">
        <v>45923</v>
      </c>
      <c r="J1129" s="15" t="n">
        <v>21.42</v>
      </c>
      <c r="K1129" s="15" t="n">
        <v>34.08</v>
      </c>
      <c r="L1129" s="34" t="n">
        <v>45923</v>
      </c>
      <c r="M1129" s="15" t="n">
        <v>39.2</v>
      </c>
      <c r="N1129" s="15" t="n">
        <v>42.82</v>
      </c>
      <c r="O1129" s="34" t="n">
        <v>45923</v>
      </c>
      <c r="P1129" s="15" t="n">
        <v>62.65</v>
      </c>
      <c r="Q1129" s="15" t="n">
        <v>70.01000000000001</v>
      </c>
      <c r="R1129" s="34" t="n">
        <v>45923</v>
      </c>
      <c r="S1129" s="15" t="n">
        <v>26.82</v>
      </c>
      <c r="V1129" s="15" t="n">
        <v>30.74</v>
      </c>
      <c r="W1129" s="15" t="n">
        <v>28.45</v>
      </c>
      <c r="X1129" s="34" t="n">
        <v>45923</v>
      </c>
      <c r="Y1129" s="15" t="n">
        <v>82.40000000000001</v>
      </c>
      <c r="Z1129" s="15" t="n">
        <v>73.53</v>
      </c>
      <c r="AA1129" s="34" t="n">
        <v>45923</v>
      </c>
      <c r="AB1129" s="15" t="n">
        <v>11.81</v>
      </c>
      <c r="AC1129" s="15" t="n">
        <v>15.77</v>
      </c>
      <c r="AD1129" s="34" t="n">
        <v>45923</v>
      </c>
      <c r="AE1129" s="15" t="n">
        <v>36.48</v>
      </c>
      <c r="AF1129" s="15" t="n">
        <v>40.06</v>
      </c>
      <c r="AG1129" s="34" t="n">
        <v>45923</v>
      </c>
      <c r="AH1129" s="15" t="n">
        <v>30.74</v>
      </c>
      <c r="AI1129" s="15" t="n">
        <v>28.95</v>
      </c>
      <c r="AJ1129" s="34" t="n">
        <v>45923</v>
      </c>
      <c r="AK1129" s="15" t="n">
        <v>19.8</v>
      </c>
      <c r="AL1129" s="15" t="n">
        <v>40.6</v>
      </c>
      <c r="AM1129" s="34" t="n">
        <v>45923</v>
      </c>
      <c r="AN1129" s="15" t="n">
        <v>501.5</v>
      </c>
      <c r="AO1129" s="15" t="n">
        <v>368.15</v>
      </c>
      <c r="AP1129" s="34" t="n">
        <v>45923</v>
      </c>
      <c r="AQ1129" s="15" t="n">
        <v>87.5</v>
      </c>
      <c r="AR1129" s="15" t="n">
        <v>69.7</v>
      </c>
      <c r="AS1129" s="34" t="n">
        <v>45923</v>
      </c>
      <c r="AT1129" s="15" t="n">
        <v>17.85</v>
      </c>
      <c r="AU1129" s="15" t="n">
        <v>18.35</v>
      </c>
      <c r="AV1129" s="34" t="n">
        <v>45923</v>
      </c>
      <c r="AW1129" s="15" t="n">
        <v>32.82</v>
      </c>
      <c r="AX1129" s="15" t="n">
        <v>39.3</v>
      </c>
      <c r="AY1129" s="34" t="n">
        <v>45923</v>
      </c>
      <c r="AZ1129" s="15" t="n">
        <v>40.02</v>
      </c>
      <c r="BA1129" s="15" t="n">
        <v>45.03</v>
      </c>
      <c r="BB1129" s="34" t="n">
        <v>45923</v>
      </c>
      <c r="BC1129" s="15" t="n">
        <v>60.9</v>
      </c>
      <c r="BD1129" s="15" t="n">
        <v>70.77</v>
      </c>
      <c r="BE1129" s="34" t="n">
        <v>45923</v>
      </c>
      <c r="BF1129" s="15" t="n">
        <v>193</v>
      </c>
      <c r="BG1129" s="15" t="n">
        <v>247</v>
      </c>
      <c r="BH1129" s="34" t="n">
        <v>45923</v>
      </c>
      <c r="BI1129" s="15" t="n">
        <v>29.14</v>
      </c>
      <c r="BJ1129" s="15" t="n">
        <v>32.09</v>
      </c>
      <c r="BK1129" s="34" t="n">
        <v>45923</v>
      </c>
      <c r="BL1129" s="15" t="n">
        <v>61.1</v>
      </c>
      <c r="BM1129" s="15" t="n">
        <v>83.37</v>
      </c>
      <c r="BN1129" s="34" t="n">
        <v>45923</v>
      </c>
    </row>
    <row r="1130">
      <c r="A1130" s="34" t="n">
        <v>45924</v>
      </c>
      <c r="B1130" s="266" t="n">
        <v>1.093196988105774</v>
      </c>
      <c r="C1130" s="34" t="n">
        <v>45924</v>
      </c>
      <c r="D1130" s="15" t="n">
        <v>23.4</v>
      </c>
      <c r="E1130" s="15" t="n">
        <v>37.24</v>
      </c>
      <c r="F1130" s="34" t="n">
        <v>45924</v>
      </c>
      <c r="G1130" s="15" t="n">
        <v>95.3</v>
      </c>
      <c r="H1130" s="15" t="n">
        <v>109.25</v>
      </c>
      <c r="I1130" s="34" t="n">
        <v>45924</v>
      </c>
      <c r="J1130" s="15" t="n">
        <v>21</v>
      </c>
      <c r="K1130" s="15" t="n">
        <v>34.35</v>
      </c>
      <c r="L1130" s="34" t="n">
        <v>45924</v>
      </c>
      <c r="M1130" s="15" t="n">
        <v>39.4</v>
      </c>
      <c r="N1130" s="15" t="n">
        <v>43.34</v>
      </c>
      <c r="O1130" s="34" t="n">
        <v>45924</v>
      </c>
      <c r="P1130" s="15" t="n">
        <v>62.5</v>
      </c>
      <c r="Q1130" s="15" t="n">
        <v>70.26000000000001</v>
      </c>
      <c r="R1130" s="34" t="n">
        <v>45924</v>
      </c>
      <c r="S1130" s="15" t="n">
        <v>27.9</v>
      </c>
      <c r="V1130" s="15" t="n">
        <v>29.58</v>
      </c>
      <c r="W1130" s="15" t="n">
        <v>27.7</v>
      </c>
      <c r="X1130" s="34" t="n">
        <v>45924</v>
      </c>
      <c r="Y1130" s="15" t="n">
        <v>83.40000000000001</v>
      </c>
      <c r="Z1130" s="15" t="n">
        <v>74.09999999999999</v>
      </c>
      <c r="AA1130" s="34" t="n">
        <v>45924</v>
      </c>
      <c r="AB1130" s="15" t="n">
        <v>11.82</v>
      </c>
      <c r="AC1130" s="15" t="n">
        <v>16</v>
      </c>
      <c r="AD1130" s="34" t="n">
        <v>45924</v>
      </c>
      <c r="AE1130" s="15" t="n">
        <v>36.4</v>
      </c>
      <c r="AF1130" s="15" t="n">
        <v>40.39</v>
      </c>
      <c r="AG1130" s="34" t="n">
        <v>45924</v>
      </c>
      <c r="AH1130" s="15" t="n">
        <v>30.36</v>
      </c>
      <c r="AI1130" s="15" t="n">
        <v>29.19</v>
      </c>
      <c r="AJ1130" s="34" t="n">
        <v>45924</v>
      </c>
      <c r="AK1130" s="15" t="n">
        <v>20.02</v>
      </c>
      <c r="AL1130" s="15" t="n">
        <v>42.07</v>
      </c>
      <c r="AM1130" s="34" t="n">
        <v>45924</v>
      </c>
      <c r="AN1130" s="15" t="n">
        <v>506</v>
      </c>
      <c r="AO1130" s="15" t="n">
        <v>379.93</v>
      </c>
      <c r="AP1130" s="34" t="n">
        <v>45924</v>
      </c>
      <c r="AQ1130" s="15" t="n">
        <v>87.45</v>
      </c>
      <c r="AR1130" s="15" t="n">
        <v>70.11</v>
      </c>
      <c r="AS1130" s="34" t="n">
        <v>45924</v>
      </c>
      <c r="AT1130" s="15" t="n">
        <v>18.4</v>
      </c>
      <c r="AU1130" s="15" t="n">
        <v>19.04</v>
      </c>
      <c r="AV1130" s="34" t="n">
        <v>45924</v>
      </c>
      <c r="AW1130" s="15" t="n">
        <v>32.82</v>
      </c>
      <c r="AX1130" s="15" t="n">
        <v>38.8</v>
      </c>
      <c r="AY1130" s="34" t="n">
        <v>45924</v>
      </c>
      <c r="AZ1130" s="15" t="n">
        <v>39.48</v>
      </c>
      <c r="BA1130" s="15" t="n">
        <v>44.55</v>
      </c>
      <c r="BB1130" s="34" t="n">
        <v>45924</v>
      </c>
      <c r="BC1130" s="15" t="n">
        <v>60.75</v>
      </c>
      <c r="BD1130" s="15" t="n">
        <v>70.59999999999999</v>
      </c>
      <c r="BE1130" s="34" t="n">
        <v>45924</v>
      </c>
      <c r="BF1130" s="15" t="n">
        <v>199</v>
      </c>
      <c r="BG1130" s="15" t="n">
        <v>249.17</v>
      </c>
      <c r="BH1130" s="34" t="n">
        <v>45924</v>
      </c>
      <c r="BI1130" s="15" t="n">
        <v>31</v>
      </c>
      <c r="BJ1130" s="15" t="n">
        <v>33.32</v>
      </c>
      <c r="BK1130" s="34" t="n">
        <v>45924</v>
      </c>
      <c r="BL1130" s="15" t="n">
        <v>62.2</v>
      </c>
      <c r="BM1130" s="15" t="n">
        <v>85.12</v>
      </c>
      <c r="BN1130" s="34" t="n">
        <v>45924</v>
      </c>
    </row>
    <row r="1131">
      <c r="A1131" s="34" t="n">
        <v>45925</v>
      </c>
      <c r="B1131" s="266" t="n">
        <v>1.090371012687683</v>
      </c>
      <c r="C1131" s="34" t="n">
        <v>45925</v>
      </c>
      <c r="D1131" s="15" t="n">
        <v>24.24</v>
      </c>
      <c r="E1131" s="15" t="n">
        <v>38.3</v>
      </c>
      <c r="F1131" s="34" t="n">
        <v>45925</v>
      </c>
      <c r="G1131" s="15" t="n">
        <v>100.3</v>
      </c>
      <c r="H1131" s="15" t="n">
        <v>111.72</v>
      </c>
      <c r="I1131" s="34" t="n">
        <v>45925</v>
      </c>
      <c r="J1131" s="15" t="n">
        <v>22.26</v>
      </c>
      <c r="K1131" s="15" t="n">
        <v>35.34</v>
      </c>
      <c r="L1131" s="34" t="n">
        <v>45925</v>
      </c>
      <c r="M1131" s="15" t="n">
        <v>40.04</v>
      </c>
      <c r="N1131" s="15" t="n">
        <v>44.69</v>
      </c>
      <c r="O1131" s="34" t="n">
        <v>45925</v>
      </c>
      <c r="P1131" s="15" t="n">
        <v>62.05</v>
      </c>
      <c r="Q1131" s="15" t="n">
        <v>70.15000000000001</v>
      </c>
      <c r="R1131" s="34" t="n">
        <v>45925</v>
      </c>
      <c r="S1131" s="15" t="n">
        <v>29.5</v>
      </c>
      <c r="V1131" s="15" t="n">
        <v>27.7</v>
      </c>
      <c r="W1131" s="15" t="n">
        <v>27</v>
      </c>
      <c r="X1131" s="34" t="n">
        <v>45925</v>
      </c>
      <c r="Y1131" s="15" t="n">
        <v>81.55</v>
      </c>
      <c r="Z1131" s="15" t="n">
        <v>72.84</v>
      </c>
      <c r="AA1131" s="34" t="n">
        <v>45925</v>
      </c>
      <c r="AB1131" s="15" t="n">
        <v>11.62</v>
      </c>
      <c r="AC1131" s="15" t="n">
        <v>15.97</v>
      </c>
      <c r="AD1131" s="34" t="n">
        <v>45925</v>
      </c>
      <c r="AE1131" s="15" t="n">
        <v>36.1</v>
      </c>
      <c r="AF1131" s="15" t="n">
        <v>40.08</v>
      </c>
      <c r="AG1131" s="34" t="n">
        <v>45925</v>
      </c>
      <c r="AH1131" s="15" t="n">
        <v>29.46</v>
      </c>
      <c r="AI1131" s="15" t="n">
        <v>28.23</v>
      </c>
      <c r="AJ1131" s="34" t="n">
        <v>45925</v>
      </c>
      <c r="AK1131" s="15" t="n">
        <v>19.75</v>
      </c>
      <c r="AL1131" s="15" t="n">
        <v>42.11</v>
      </c>
      <c r="AM1131" s="34" t="n">
        <v>45925</v>
      </c>
      <c r="AN1131" s="15" t="n">
        <v>532</v>
      </c>
      <c r="AO1131" s="15" t="n">
        <v>392.85</v>
      </c>
      <c r="AP1131" s="34" t="n">
        <v>45925</v>
      </c>
      <c r="AQ1131" s="15" t="n">
        <v>89.7</v>
      </c>
      <c r="AR1131" s="15" t="n">
        <v>72.27</v>
      </c>
      <c r="AS1131" s="34" t="n">
        <v>45925</v>
      </c>
      <c r="AT1131" s="15" t="n">
        <v>17.95</v>
      </c>
      <c r="AU1131" s="15" t="n">
        <v>18.94</v>
      </c>
      <c r="AV1131" s="34" t="n">
        <v>45925</v>
      </c>
      <c r="AW1131" s="15" t="n">
        <v>32.3</v>
      </c>
      <c r="AX1131" s="15" t="n">
        <v>38.6</v>
      </c>
      <c r="AY1131" s="34" t="n">
        <v>45925</v>
      </c>
      <c r="AZ1131" s="15" t="n">
        <v>39.1</v>
      </c>
      <c r="BA1131" s="15" t="n">
        <v>44.05</v>
      </c>
      <c r="BB1131" s="34" t="n">
        <v>45925</v>
      </c>
      <c r="BC1131" s="15" t="n">
        <v>59.3</v>
      </c>
      <c r="BD1131" s="15" t="n">
        <v>70.27</v>
      </c>
      <c r="BE1131" s="34" t="n">
        <v>45925</v>
      </c>
      <c r="BF1131" s="15" t="n">
        <v>197.2</v>
      </c>
      <c r="BG1131" s="15" t="n">
        <v>242.92</v>
      </c>
      <c r="BH1131" s="34" t="n">
        <v>45925</v>
      </c>
      <c r="BI1131" s="15" t="n">
        <v>30.74</v>
      </c>
      <c r="BJ1131" s="15" t="n">
        <v>33.62</v>
      </c>
      <c r="BK1131" s="34" t="n">
        <v>45925</v>
      </c>
      <c r="BL1131" s="15" t="n">
        <v>61.3</v>
      </c>
      <c r="BM1131" s="15" t="n">
        <v>84.81999999999999</v>
      </c>
      <c r="BN1131" s="34" t="n">
        <v>45925</v>
      </c>
    </row>
    <row r="1132">
      <c r="A1132" s="34" t="n">
        <v>45926</v>
      </c>
      <c r="B1132" s="266" t="n">
        <v>1.090574979782104</v>
      </c>
      <c r="C1132" s="34" t="n">
        <v>45926</v>
      </c>
      <c r="D1132" s="15" t="n">
        <v>23.1</v>
      </c>
      <c r="E1132" s="15" t="n">
        <v>36.93</v>
      </c>
      <c r="F1132" s="34" t="n">
        <v>45926</v>
      </c>
      <c r="G1132" s="15" t="n">
        <v>92.8</v>
      </c>
      <c r="H1132" s="15" t="n">
        <v>107.76</v>
      </c>
      <c r="I1132" s="34" t="n">
        <v>45926</v>
      </c>
      <c r="J1132" s="15" t="n">
        <v>21.76</v>
      </c>
      <c r="K1132" s="15" t="n">
        <v>34.66</v>
      </c>
      <c r="L1132" s="34" t="n">
        <v>45926</v>
      </c>
      <c r="M1132" s="15" t="n">
        <v>40.26</v>
      </c>
      <c r="N1132" s="15" t="n">
        <v>44.77</v>
      </c>
      <c r="O1132" s="34" t="n">
        <v>45926</v>
      </c>
      <c r="P1132" s="15" t="n">
        <v>61.5</v>
      </c>
      <c r="Q1132" s="15" t="n">
        <v>70.2</v>
      </c>
      <c r="R1132" s="34" t="n">
        <v>45926</v>
      </c>
      <c r="S1132" s="15" t="n">
        <v>28.6</v>
      </c>
      <c r="V1132" s="15" t="n">
        <v>27.54</v>
      </c>
      <c r="W1132" s="15" t="n">
        <v>27.5</v>
      </c>
      <c r="X1132" s="34" t="n">
        <v>45926</v>
      </c>
      <c r="Y1132" s="15" t="n">
        <v>81.8</v>
      </c>
      <c r="Z1132" s="15" t="n">
        <v>74.2</v>
      </c>
      <c r="AA1132" s="34" t="n">
        <v>45926</v>
      </c>
      <c r="AB1132" s="15" t="n">
        <v>11.33</v>
      </c>
      <c r="AC1132" s="15" t="n">
        <v>16.51</v>
      </c>
      <c r="AD1132" s="34" t="n">
        <v>45926</v>
      </c>
      <c r="AE1132" s="15" t="n">
        <v>35.98</v>
      </c>
      <c r="AF1132" s="15" t="n">
        <v>40.07</v>
      </c>
      <c r="AG1132" s="34" t="n">
        <v>45926</v>
      </c>
      <c r="AH1132" s="15" t="n">
        <v>29.3</v>
      </c>
      <c r="AI1132" s="15" t="n">
        <v>28.1</v>
      </c>
      <c r="AJ1132" s="34" t="n">
        <v>45926</v>
      </c>
      <c r="AK1132" s="15" t="n">
        <v>19.28</v>
      </c>
      <c r="AL1132" s="15" t="n">
        <v>41.46</v>
      </c>
      <c r="AM1132" s="34" t="n">
        <v>45926</v>
      </c>
      <c r="AN1132" s="15" t="n">
        <v>530.5</v>
      </c>
      <c r="AO1132" s="15" t="n">
        <v>380.4</v>
      </c>
      <c r="AP1132" s="34" t="n">
        <v>45926</v>
      </c>
      <c r="AQ1132" s="15" t="n">
        <v>87.3</v>
      </c>
      <c r="AR1132" s="15" t="n">
        <v>70.08</v>
      </c>
      <c r="AS1132" s="34" t="n">
        <v>45926</v>
      </c>
      <c r="AT1132" s="15" t="n">
        <v>17.78</v>
      </c>
      <c r="AU1132" s="15" t="n">
        <v>20.83</v>
      </c>
      <c r="AV1132" s="34" t="n">
        <v>45926</v>
      </c>
      <c r="AW1132" s="15" t="n">
        <v>32.66</v>
      </c>
      <c r="AX1132" s="15" t="n">
        <v>38.8</v>
      </c>
      <c r="AY1132" s="34" t="n">
        <v>45926</v>
      </c>
      <c r="AZ1132" s="15" t="n">
        <v>37.84</v>
      </c>
      <c r="BA1132" s="15" t="n">
        <v>43.12</v>
      </c>
      <c r="BB1132" s="34" t="n">
        <v>45926</v>
      </c>
      <c r="BC1132" s="15" t="n">
        <v>59.4</v>
      </c>
      <c r="BD1132" s="15" t="n">
        <v>70.53</v>
      </c>
      <c r="BE1132" s="34" t="n">
        <v>45926</v>
      </c>
      <c r="BF1132" s="15" t="n">
        <v>181</v>
      </c>
      <c r="BG1132" s="15" t="n">
        <v>230.7</v>
      </c>
      <c r="BH1132" s="34" t="n">
        <v>45926</v>
      </c>
      <c r="BI1132" s="15" t="n">
        <v>28.7</v>
      </c>
      <c r="BJ1132" s="15" t="n">
        <v>31.98</v>
      </c>
      <c r="BK1132" s="34" t="n">
        <v>45926</v>
      </c>
      <c r="BL1132" s="15" t="n">
        <v>58.2</v>
      </c>
      <c r="BM1132" s="15" t="n">
        <v>86.33</v>
      </c>
      <c r="BN1132" s="34" t="n">
        <v>45926</v>
      </c>
    </row>
    <row r="1133">
      <c r="A1133" s="34" t="n">
        <v>45929</v>
      </c>
      <c r="B1133" s="266" t="n">
        <v>1.090520024299622</v>
      </c>
      <c r="C1133" s="34" t="n">
        <v>45929</v>
      </c>
      <c r="D1133" s="15" t="n">
        <v>22.92</v>
      </c>
      <c r="E1133" s="15" t="n">
        <v>35.31</v>
      </c>
      <c r="F1133" s="34" t="n">
        <v>45929</v>
      </c>
      <c r="G1133" s="15" t="n">
        <v>93.5</v>
      </c>
      <c r="H1133" s="15" t="n">
        <v>109.94</v>
      </c>
      <c r="I1133" s="34" t="n">
        <v>45929</v>
      </c>
      <c r="J1133" s="15" t="n">
        <v>22.4</v>
      </c>
      <c r="K1133" s="15" t="n">
        <v>34.51</v>
      </c>
      <c r="L1133" s="34" t="n">
        <v>45929</v>
      </c>
      <c r="M1133" s="15" t="n">
        <v>42.6</v>
      </c>
      <c r="N1133" s="15" t="n">
        <v>46.44</v>
      </c>
      <c r="O1133" s="34" t="n">
        <v>45929</v>
      </c>
      <c r="P1133" s="15" t="n">
        <v>63.4</v>
      </c>
      <c r="Q1133" s="15" t="n">
        <v>70.7</v>
      </c>
      <c r="R1133" s="34" t="n">
        <v>45929</v>
      </c>
      <c r="S1133" s="15" t="n">
        <v>28.7</v>
      </c>
      <c r="V1133" s="15" t="n">
        <v>29.88</v>
      </c>
      <c r="W1133" s="15" t="n">
        <v>30.05</v>
      </c>
      <c r="X1133" s="34" t="n">
        <v>45929</v>
      </c>
      <c r="Y1133" s="15" t="n">
        <v>82.40000000000001</v>
      </c>
      <c r="Z1133" s="15" t="n">
        <v>73.73</v>
      </c>
      <c r="AA1133" s="34" t="n">
        <v>45929</v>
      </c>
      <c r="AB1133" s="15" t="n">
        <v>11.83</v>
      </c>
      <c r="AC1133" s="15" t="n">
        <v>16.71</v>
      </c>
      <c r="AD1133" s="34" t="n">
        <v>45929</v>
      </c>
      <c r="AE1133" s="15" t="n">
        <v>36.48</v>
      </c>
      <c r="AF1133" s="15" t="n">
        <v>39.99</v>
      </c>
      <c r="AG1133" s="34" t="n">
        <v>45929</v>
      </c>
      <c r="AH1133" s="15" t="n">
        <v>30.4</v>
      </c>
      <c r="AI1133" s="15" t="n">
        <v>29</v>
      </c>
      <c r="AJ1133" s="34" t="n">
        <v>45929</v>
      </c>
      <c r="AK1133" s="15" t="n">
        <v>19.75</v>
      </c>
      <c r="AL1133" s="15" t="n">
        <v>41.81</v>
      </c>
      <c r="AM1133" s="34" t="n">
        <v>45929</v>
      </c>
      <c r="AN1133" s="15" t="n">
        <v>547</v>
      </c>
      <c r="AO1133" s="15" t="n">
        <v>397.37</v>
      </c>
      <c r="AP1133" s="34" t="n">
        <v>45929</v>
      </c>
      <c r="AQ1133" s="15" t="n">
        <v>84.8</v>
      </c>
      <c r="AR1133" s="15" t="n">
        <v>69.2</v>
      </c>
      <c r="AS1133" s="34" t="n">
        <v>45929</v>
      </c>
      <c r="AT1133" s="15" t="n">
        <v>15.56</v>
      </c>
      <c r="AU1133" s="15" t="n">
        <v>18.76</v>
      </c>
      <c r="AV1133" s="34" t="n">
        <v>45929</v>
      </c>
      <c r="AW1133" s="15" t="n">
        <v>32.9</v>
      </c>
      <c r="AX1133" s="15" t="n">
        <v>38.88</v>
      </c>
      <c r="AY1133" s="34" t="n">
        <v>45929</v>
      </c>
      <c r="AZ1133" s="15" t="n">
        <v>41.1</v>
      </c>
      <c r="BA1133" s="15" t="n">
        <v>46.6</v>
      </c>
      <c r="BB1133" s="34" t="n">
        <v>45929</v>
      </c>
      <c r="BC1133" s="15" t="n">
        <v>59.85</v>
      </c>
      <c r="BD1133" s="15" t="n">
        <v>70.25</v>
      </c>
      <c r="BE1133" s="34" t="n">
        <v>45929</v>
      </c>
      <c r="BF1133" s="15" t="n">
        <v>196.5</v>
      </c>
      <c r="BG1133" s="15" t="n">
        <v>242.5</v>
      </c>
      <c r="BH1133" s="34" t="n">
        <v>45929</v>
      </c>
      <c r="BI1133" s="15" t="n">
        <v>29.34</v>
      </c>
      <c r="BJ1133" s="15" t="n">
        <v>32.6</v>
      </c>
      <c r="BK1133" s="34" t="n">
        <v>45929</v>
      </c>
      <c r="BL1133" s="15" t="n">
        <v>56.45</v>
      </c>
      <c r="BM1133" s="15" t="n">
        <v>81.31999999999999</v>
      </c>
      <c r="BN1133" s="34" t="n">
        <v>45929</v>
      </c>
    </row>
    <row r="1134">
      <c r="A1134" s="34" t="n">
        <v>45930</v>
      </c>
      <c r="B1134" s="266" t="n">
        <v>1.093106031417847</v>
      </c>
      <c r="C1134" s="34" t="n">
        <v>45930</v>
      </c>
      <c r="D1134" s="15" t="n">
        <v>23.04</v>
      </c>
      <c r="E1134" s="15" t="n">
        <v>35.3</v>
      </c>
      <c r="F1134" s="34" t="n">
        <v>45930</v>
      </c>
      <c r="G1134" s="15" t="n">
        <v>98.65000000000001</v>
      </c>
      <c r="H1134" s="15" t="n">
        <v>113.7</v>
      </c>
      <c r="I1134" s="34" t="n">
        <v>45930</v>
      </c>
      <c r="J1134" s="15" t="n">
        <v>22.8</v>
      </c>
      <c r="K1134" s="15" t="n">
        <v>34.29</v>
      </c>
      <c r="L1134" s="34" t="n">
        <v>45930</v>
      </c>
      <c r="M1134" s="15" t="n">
        <v>44.94</v>
      </c>
      <c r="N1134" s="15" t="n">
        <v>47.57</v>
      </c>
      <c r="O1134" s="34" t="n">
        <v>45930</v>
      </c>
      <c r="P1134" s="15" t="n">
        <v>65.95</v>
      </c>
      <c r="Q1134" s="15" t="n">
        <v>71.56999999999999</v>
      </c>
      <c r="R1134" s="34" t="n">
        <v>45930</v>
      </c>
      <c r="S1134" s="15" t="n">
        <v>28.48</v>
      </c>
      <c r="V1134" s="15" t="n">
        <v>30.82</v>
      </c>
      <c r="W1134" s="15" t="n">
        <v>30.48</v>
      </c>
      <c r="X1134" s="34" t="n">
        <v>45930</v>
      </c>
      <c r="Y1134" s="15" t="n">
        <v>82.25</v>
      </c>
      <c r="Z1134" s="15" t="n">
        <v>72.66</v>
      </c>
      <c r="AA1134" s="34" t="n">
        <v>45930</v>
      </c>
      <c r="AB1134" s="15" t="n">
        <v>12.37</v>
      </c>
      <c r="AC1134" s="15" t="n">
        <v>17.23</v>
      </c>
      <c r="AD1134" s="34" t="n">
        <v>45930</v>
      </c>
      <c r="AE1134" s="15" t="n">
        <v>37.14</v>
      </c>
      <c r="AF1134" s="15" t="n">
        <v>40.33</v>
      </c>
      <c r="AG1134" s="34" t="n">
        <v>45930</v>
      </c>
      <c r="AH1134" s="15" t="n">
        <v>30.42</v>
      </c>
      <c r="AI1134" s="15" t="n">
        <v>29.58</v>
      </c>
      <c r="AJ1134" s="34" t="n">
        <v>45930</v>
      </c>
      <c r="AK1134" s="15" t="n">
        <v>19.99</v>
      </c>
      <c r="AL1134" s="15" t="n">
        <v>42.43</v>
      </c>
      <c r="AM1134" s="34" t="n">
        <v>45930</v>
      </c>
      <c r="AN1134" s="15" t="n">
        <v>571.5</v>
      </c>
      <c r="AO1134" s="15" t="n">
        <v>402</v>
      </c>
      <c r="AP1134" s="34" t="n">
        <v>45930</v>
      </c>
      <c r="AQ1134" s="15" t="n">
        <v>88.8</v>
      </c>
      <c r="AR1134" s="15" t="n">
        <v>71.55</v>
      </c>
      <c r="AS1134" s="34" t="n">
        <v>45930</v>
      </c>
      <c r="AT1134" s="15" t="n">
        <v>15.2</v>
      </c>
      <c r="AU1134" s="15" t="n">
        <v>18.58</v>
      </c>
      <c r="AV1134" s="34" t="n">
        <v>45930</v>
      </c>
      <c r="AW1134" s="15" t="n">
        <v>33.36</v>
      </c>
      <c r="AX1134" s="15" t="n">
        <v>38.96</v>
      </c>
      <c r="AY1134" s="34" t="n">
        <v>45930</v>
      </c>
      <c r="AZ1134" s="15" t="n">
        <v>43.82</v>
      </c>
      <c r="BA1134" s="15" t="n">
        <v>48.43</v>
      </c>
      <c r="BB1134" s="34" t="n">
        <v>45930</v>
      </c>
      <c r="BC1134" s="15" t="n">
        <v>60.8</v>
      </c>
      <c r="BD1134" s="15" t="n">
        <v>70.51000000000001</v>
      </c>
      <c r="BE1134" s="34" t="n">
        <v>45930</v>
      </c>
      <c r="BF1134" s="15" t="n">
        <v>198.1</v>
      </c>
      <c r="BG1134" s="15" t="n">
        <v>243.22</v>
      </c>
      <c r="BH1134" s="34" t="n">
        <v>45930</v>
      </c>
      <c r="BI1134" s="15" t="n">
        <v>30.7</v>
      </c>
      <c r="BJ1134" s="15" t="n">
        <v>33.48</v>
      </c>
      <c r="BK1134" s="34" t="n">
        <v>45930</v>
      </c>
      <c r="BL1134" s="15" t="n">
        <v>60.25</v>
      </c>
      <c r="BM1134" s="15" t="n">
        <v>82.16</v>
      </c>
      <c r="BN1134" s="34" t="n">
        <v>45930</v>
      </c>
    </row>
    <row r="1135">
      <c r="A1135" s="34" t="n">
        <v>45932</v>
      </c>
      <c r="B1135" s="266" t="n">
        <v>1.092823028564453</v>
      </c>
      <c r="C1135" s="34" t="n">
        <v>45932</v>
      </c>
      <c r="D1135" s="15" t="n">
        <v>23.5</v>
      </c>
      <c r="E1135" s="15" t="n">
        <v>35.3</v>
      </c>
      <c r="F1135" s="34" t="n">
        <v>45930</v>
      </c>
      <c r="G1135" s="15" t="n">
        <v>100.4</v>
      </c>
      <c r="H1135" s="15" t="n">
        <v>113.7</v>
      </c>
      <c r="I1135" s="34" t="n">
        <v>45930</v>
      </c>
      <c r="J1135" s="15" t="n">
        <v>23.42</v>
      </c>
      <c r="K1135" s="15" t="n">
        <v>34.29</v>
      </c>
      <c r="L1135" s="34" t="n">
        <v>45930</v>
      </c>
      <c r="M1135" s="15" t="n">
        <v>50.75</v>
      </c>
      <c r="N1135" s="15" t="n">
        <v>47.57</v>
      </c>
      <c r="O1135" s="34" t="n">
        <v>45930</v>
      </c>
      <c r="P1135" s="15" t="n">
        <v>64.09999999999999</v>
      </c>
      <c r="Q1135" s="15" t="n">
        <v>71.56999999999999</v>
      </c>
      <c r="R1135" s="34" t="n">
        <v>45930</v>
      </c>
      <c r="S1135" s="15" t="n">
        <v>28.66</v>
      </c>
      <c r="V1135" s="15" t="n">
        <v>29.7</v>
      </c>
      <c r="W1135" s="15" t="n">
        <v>30.48</v>
      </c>
      <c r="X1135" s="34" t="n">
        <v>45930</v>
      </c>
      <c r="Y1135" s="15" t="n">
        <v>82.75</v>
      </c>
      <c r="Z1135" s="15" t="n">
        <v>72.66</v>
      </c>
      <c r="AA1135" s="34" t="n">
        <v>45930</v>
      </c>
      <c r="AB1135" s="15" t="n">
        <v>13.35</v>
      </c>
      <c r="AC1135" s="15" t="n">
        <v>17.23</v>
      </c>
      <c r="AD1135" s="34" t="n">
        <v>45930</v>
      </c>
      <c r="AE1135" s="15" t="n">
        <v>36.64</v>
      </c>
      <c r="AF1135" s="15" t="n">
        <v>40.33</v>
      </c>
      <c r="AG1135" s="34" t="n">
        <v>45930</v>
      </c>
      <c r="AH1135" s="15" t="n">
        <v>32.52</v>
      </c>
      <c r="AI1135" s="15" t="n">
        <v>29.58</v>
      </c>
      <c r="AJ1135" s="34" t="n">
        <v>45930</v>
      </c>
      <c r="AK1135" s="15" t="n">
        <v>20.3</v>
      </c>
      <c r="AL1135" s="15" t="n">
        <v>42.43</v>
      </c>
      <c r="AM1135" s="34" t="n">
        <v>45930</v>
      </c>
      <c r="AN1135" s="15" t="n">
        <v>605.5</v>
      </c>
      <c r="AO1135" s="15" t="n">
        <v>402</v>
      </c>
      <c r="AP1135" s="34" t="n">
        <v>45930</v>
      </c>
      <c r="AQ1135" s="15" t="n">
        <v>94.09999999999999</v>
      </c>
      <c r="AR1135" s="15" t="n">
        <v>71.55</v>
      </c>
      <c r="AS1135" s="34" t="n">
        <v>45930</v>
      </c>
      <c r="AT1135" s="15" t="n">
        <v>16</v>
      </c>
      <c r="AU1135" s="15" t="n">
        <v>18.58</v>
      </c>
      <c r="AV1135" s="34" t="n">
        <v>45930</v>
      </c>
      <c r="AW1135" s="15" t="n">
        <v>32.7</v>
      </c>
      <c r="AX1135" s="15" t="n">
        <v>38.96</v>
      </c>
      <c r="AY1135" s="34" t="n">
        <v>45930</v>
      </c>
      <c r="AZ1135" s="15" t="n">
        <v>45.66</v>
      </c>
      <c r="BA1135" s="15" t="n">
        <v>48.43</v>
      </c>
      <c r="BB1135" s="34" t="n">
        <v>45930</v>
      </c>
      <c r="BC1135" s="15" t="n">
        <v>58.45</v>
      </c>
      <c r="BD1135" s="15" t="n">
        <v>70.51000000000001</v>
      </c>
      <c r="BE1135" s="34" t="n">
        <v>45930</v>
      </c>
      <c r="BF1135" s="15" t="n">
        <v>197.6</v>
      </c>
      <c r="BG1135" s="15" t="n">
        <v>243.22</v>
      </c>
      <c r="BH1135" s="34" t="n">
        <v>45930</v>
      </c>
      <c r="BI1135" s="15" t="n">
        <v>33.52</v>
      </c>
      <c r="BJ1135" s="15" t="n">
        <v>33.48</v>
      </c>
      <c r="BK1135" s="34" t="n">
        <v>45930</v>
      </c>
      <c r="BL1135" s="15" t="n">
        <v>61</v>
      </c>
      <c r="BM1135" s="15" t="n">
        <v>82.16</v>
      </c>
      <c r="BN1135" s="34" t="n">
        <v>45930</v>
      </c>
    </row>
    <row r="1136">
      <c r="A1136" s="34" t="n">
        <v>45933</v>
      </c>
      <c r="B1136" s="266" t="n">
        <v>1.09303605556488</v>
      </c>
      <c r="C1136" s="34" t="n">
        <v>45933</v>
      </c>
      <c r="D1136" s="15" t="n">
        <v>22.62</v>
      </c>
      <c r="E1136" s="15" t="n">
        <v>35.3</v>
      </c>
      <c r="F1136" s="34" t="n">
        <v>45930</v>
      </c>
      <c r="G1136" s="15" t="n">
        <v>99.95</v>
      </c>
      <c r="H1136" s="15" t="n">
        <v>113.7</v>
      </c>
      <c r="I1136" s="34" t="n">
        <v>45930</v>
      </c>
      <c r="J1136" s="15" t="n">
        <v>22.72</v>
      </c>
      <c r="K1136" s="15" t="n">
        <v>34.29</v>
      </c>
      <c r="L1136" s="34" t="n">
        <v>45930</v>
      </c>
      <c r="M1136" s="15" t="n">
        <v>50.4</v>
      </c>
      <c r="N1136" s="15" t="n">
        <v>47.57</v>
      </c>
      <c r="O1136" s="34" t="n">
        <v>45930</v>
      </c>
      <c r="P1136" s="15" t="n">
        <v>63.3</v>
      </c>
      <c r="Q1136" s="15" t="n">
        <v>71.56999999999999</v>
      </c>
      <c r="R1136" s="34" t="n">
        <v>45930</v>
      </c>
      <c r="S1136" s="15" t="n">
        <v>27.48</v>
      </c>
      <c r="V1136" s="15" t="n">
        <v>33.4</v>
      </c>
      <c r="W1136" s="15" t="n">
        <v>30.48</v>
      </c>
      <c r="X1136" s="34" t="n">
        <v>45930</v>
      </c>
      <c r="Y1136" s="15" t="n">
        <v>83.2</v>
      </c>
      <c r="Z1136" s="15" t="n">
        <v>72.66</v>
      </c>
      <c r="AA1136" s="34" t="n">
        <v>45930</v>
      </c>
      <c r="AB1136" s="15" t="n">
        <v>13.28</v>
      </c>
      <c r="AC1136" s="15" t="n">
        <v>17.23</v>
      </c>
      <c r="AD1136" s="34" t="n">
        <v>45930</v>
      </c>
      <c r="AE1136" s="15" t="n">
        <v>36.56</v>
      </c>
      <c r="AF1136" s="15" t="n">
        <v>40.33</v>
      </c>
      <c r="AG1136" s="34" t="n">
        <v>45930</v>
      </c>
      <c r="AH1136" s="15" t="n">
        <v>31.64</v>
      </c>
      <c r="AI1136" s="15" t="n">
        <v>29.58</v>
      </c>
      <c r="AJ1136" s="34" t="n">
        <v>45930</v>
      </c>
      <c r="AK1136" s="15" t="n">
        <v>20</v>
      </c>
      <c r="AL1136" s="15" t="n">
        <v>42.43</v>
      </c>
      <c r="AM1136" s="34" t="n">
        <v>45930</v>
      </c>
      <c r="AN1136" s="15" t="n">
        <v>610.5</v>
      </c>
      <c r="AO1136" s="15" t="n">
        <v>402</v>
      </c>
      <c r="AP1136" s="34" t="n">
        <v>45930</v>
      </c>
      <c r="AQ1136" s="15" t="n">
        <v>93.90000000000001</v>
      </c>
      <c r="AR1136" s="15" t="n">
        <v>71.55</v>
      </c>
      <c r="AS1136" s="34" t="n">
        <v>45930</v>
      </c>
      <c r="AT1136" s="15" t="n">
        <v>17.55</v>
      </c>
      <c r="AU1136" s="15" t="n">
        <v>18.58</v>
      </c>
      <c r="AV1136" s="34" t="n">
        <v>45930</v>
      </c>
      <c r="AW1136" s="15" t="n">
        <v>32.8</v>
      </c>
      <c r="AX1136" s="15" t="n">
        <v>38.96</v>
      </c>
      <c r="AY1136" s="34" t="n">
        <v>45930</v>
      </c>
      <c r="AZ1136" s="15" t="n">
        <v>44.86</v>
      </c>
      <c r="BA1136" s="15" t="n">
        <v>48.43</v>
      </c>
      <c r="BB1136" s="34" t="n">
        <v>45930</v>
      </c>
      <c r="BC1136" s="15" t="n">
        <v>58</v>
      </c>
      <c r="BD1136" s="15" t="n">
        <v>70.51000000000001</v>
      </c>
      <c r="BE1136" s="34" t="n">
        <v>45930</v>
      </c>
      <c r="BF1136" s="15" t="n">
        <v>195.2</v>
      </c>
      <c r="BG1136" s="15" t="n">
        <v>243.22</v>
      </c>
      <c r="BH1136" s="34" t="n">
        <v>45930</v>
      </c>
      <c r="BI1136" s="15" t="n">
        <v>32.62</v>
      </c>
      <c r="BJ1136" s="15" t="n">
        <v>33.48</v>
      </c>
      <c r="BK1136" s="34" t="n">
        <v>45930</v>
      </c>
      <c r="BL1136" s="15" t="n">
        <v>60.3</v>
      </c>
      <c r="BM1136" s="15" t="n">
        <v>82.16</v>
      </c>
      <c r="BN1136" s="34" t="n">
        <v>45930</v>
      </c>
    </row>
    <row r="1137">
      <c r="A1137" s="34" t="n">
        <v>45936</v>
      </c>
      <c r="B1137" s="266" t="n">
        <v>1.092857956886292</v>
      </c>
      <c r="C1137" s="34" t="n">
        <v>45936</v>
      </c>
      <c r="D1137" s="15" t="n">
        <v>22.36</v>
      </c>
      <c r="E1137" s="15" t="n">
        <v>35.3</v>
      </c>
      <c r="F1137" s="34" t="n">
        <v>45930</v>
      </c>
      <c r="G1137" s="15" t="n">
        <v>98.3</v>
      </c>
      <c r="H1137" s="15" t="n">
        <v>113.7</v>
      </c>
      <c r="I1137" s="34" t="n">
        <v>45930</v>
      </c>
      <c r="J1137" s="15" t="n">
        <v>21.98</v>
      </c>
      <c r="K1137" s="15" t="n">
        <v>34.29</v>
      </c>
      <c r="L1137" s="34" t="n">
        <v>45930</v>
      </c>
      <c r="M1137" s="15" t="n">
        <v>48.44</v>
      </c>
      <c r="N1137" s="15" t="n">
        <v>47.57</v>
      </c>
      <c r="O1137" s="34" t="n">
        <v>45930</v>
      </c>
      <c r="P1137" s="15" t="n">
        <v>62.15</v>
      </c>
      <c r="Q1137" s="15" t="n">
        <v>71.56999999999999</v>
      </c>
      <c r="R1137" s="34" t="n">
        <v>45930</v>
      </c>
      <c r="S1137" s="15" t="n">
        <v>27.52</v>
      </c>
      <c r="V1137" s="15" t="n">
        <v>32</v>
      </c>
      <c r="W1137" s="15" t="n">
        <v>30.48</v>
      </c>
      <c r="X1137" s="34" t="n">
        <v>45930</v>
      </c>
      <c r="Y1137" s="15" t="n">
        <v>81.25</v>
      </c>
      <c r="Z1137" s="15" t="n">
        <v>72.66</v>
      </c>
      <c r="AA1137" s="34" t="n">
        <v>45930</v>
      </c>
      <c r="AB1137" s="15" t="n">
        <v>13.11</v>
      </c>
      <c r="AC1137" s="15" t="n">
        <v>17.23</v>
      </c>
      <c r="AD1137" s="34" t="n">
        <v>45930</v>
      </c>
      <c r="AE1137" s="15" t="n">
        <v>36.8</v>
      </c>
      <c r="AF1137" s="15" t="n">
        <v>40.33</v>
      </c>
      <c r="AG1137" s="34" t="n">
        <v>45930</v>
      </c>
      <c r="AH1137" s="15" t="n">
        <v>33.18</v>
      </c>
      <c r="AI1137" s="15" t="n">
        <v>29.58</v>
      </c>
      <c r="AJ1137" s="34" t="n">
        <v>45930</v>
      </c>
      <c r="AK1137" s="15" t="n">
        <v>19.82</v>
      </c>
      <c r="AL1137" s="15" t="n">
        <v>42.43</v>
      </c>
      <c r="AM1137" s="34" t="n">
        <v>45930</v>
      </c>
      <c r="AN1137" s="15" t="n">
        <v>596.5</v>
      </c>
      <c r="AO1137" s="15" t="n">
        <v>402</v>
      </c>
      <c r="AP1137" s="34" t="n">
        <v>45930</v>
      </c>
      <c r="AQ1137" s="15" t="n">
        <v>92.2</v>
      </c>
      <c r="AR1137" s="15" t="n">
        <v>71.55</v>
      </c>
      <c r="AS1137" s="34" t="n">
        <v>45930</v>
      </c>
      <c r="AT1137" s="15" t="n">
        <v>19.09</v>
      </c>
      <c r="AU1137" s="15" t="n">
        <v>18.58</v>
      </c>
      <c r="AV1137" s="34" t="n">
        <v>45930</v>
      </c>
      <c r="AW1137" s="15" t="n">
        <v>32.64</v>
      </c>
      <c r="AX1137" s="15" t="n">
        <v>38.96</v>
      </c>
      <c r="AY1137" s="34" t="n">
        <v>45930</v>
      </c>
      <c r="AZ1137" s="15" t="n">
        <v>44.7</v>
      </c>
      <c r="BA1137" s="15" t="n">
        <v>48.43</v>
      </c>
      <c r="BB1137" s="34" t="n">
        <v>45930</v>
      </c>
      <c r="BC1137" s="15" t="n">
        <v>58</v>
      </c>
      <c r="BD1137" s="15" t="n">
        <v>70.51000000000001</v>
      </c>
      <c r="BE1137" s="34" t="n">
        <v>45930</v>
      </c>
      <c r="BF1137" s="15" t="n">
        <v>195.8</v>
      </c>
      <c r="BG1137" s="15" t="n">
        <v>243.22</v>
      </c>
      <c r="BH1137" s="34" t="n">
        <v>45930</v>
      </c>
      <c r="BI1137" s="15" t="n">
        <v>33.5</v>
      </c>
      <c r="BJ1137" s="15" t="n">
        <v>33.48</v>
      </c>
      <c r="BK1137" s="34" t="n">
        <v>45930</v>
      </c>
      <c r="BL1137" s="15" t="n">
        <v>59.05</v>
      </c>
      <c r="BM1137" s="15" t="n">
        <v>82.16</v>
      </c>
      <c r="BN1137" s="34" t="n">
        <v>45930</v>
      </c>
    </row>
    <row r="1138">
      <c r="A1138" s="34" t="n">
        <v>45938</v>
      </c>
      <c r="B1138" s="266" t="n">
        <v>1.093148946762085</v>
      </c>
      <c r="C1138" s="34" t="n">
        <v>45938</v>
      </c>
      <c r="D1138" s="15" t="n">
        <v>22.4</v>
      </c>
      <c r="E1138" s="15" t="n">
        <v>35.3</v>
      </c>
      <c r="F1138" s="34" t="n">
        <v>45930</v>
      </c>
      <c r="G1138" s="15" t="n">
        <v>98.5</v>
      </c>
      <c r="H1138" s="15" t="n">
        <v>113.7</v>
      </c>
      <c r="I1138" s="34" t="n">
        <v>45930</v>
      </c>
      <c r="J1138" s="15" t="n">
        <v>24</v>
      </c>
      <c r="K1138" s="15" t="n">
        <v>34.29</v>
      </c>
      <c r="L1138" s="34" t="n">
        <v>45930</v>
      </c>
      <c r="M1138" s="15" t="n">
        <v>48.96</v>
      </c>
      <c r="N1138" s="15" t="n">
        <v>47.57</v>
      </c>
      <c r="O1138" s="34" t="n">
        <v>45930</v>
      </c>
      <c r="P1138" s="15" t="n">
        <v>62.5</v>
      </c>
      <c r="Q1138" s="15" t="n">
        <v>71.56999999999999</v>
      </c>
      <c r="R1138" s="34" t="n">
        <v>45930</v>
      </c>
      <c r="S1138" s="15" t="n">
        <v>26.88</v>
      </c>
      <c r="V1138" s="15" t="n">
        <v>32.2</v>
      </c>
      <c r="W1138" s="15" t="n">
        <v>30.48</v>
      </c>
      <c r="X1138" s="34" t="n">
        <v>45930</v>
      </c>
      <c r="Y1138" s="15" t="n">
        <v>81.15000000000001</v>
      </c>
      <c r="Z1138" s="15" t="n">
        <v>72.66</v>
      </c>
      <c r="AA1138" s="34" t="n">
        <v>45930</v>
      </c>
      <c r="AB1138" s="15" t="n">
        <v>13.72</v>
      </c>
      <c r="AC1138" s="15" t="n">
        <v>17.23</v>
      </c>
      <c r="AD1138" s="34" t="n">
        <v>45930</v>
      </c>
      <c r="AE1138" s="15" t="n">
        <v>36.7</v>
      </c>
      <c r="AF1138" s="15" t="n">
        <v>40.33</v>
      </c>
      <c r="AG1138" s="34" t="n">
        <v>45930</v>
      </c>
      <c r="AH1138" s="15" t="n">
        <v>37.58</v>
      </c>
      <c r="AI1138" s="15" t="n">
        <v>29.58</v>
      </c>
      <c r="AJ1138" s="34" t="n">
        <v>45930</v>
      </c>
      <c r="AK1138" s="15" t="n">
        <v>19.32</v>
      </c>
      <c r="AL1138" s="15" t="n">
        <v>42.43</v>
      </c>
      <c r="AM1138" s="34" t="n">
        <v>45930</v>
      </c>
      <c r="AN1138" s="15" t="n">
        <v>581</v>
      </c>
      <c r="AO1138" s="15" t="n">
        <v>402</v>
      </c>
      <c r="AP1138" s="34" t="n">
        <v>45930</v>
      </c>
      <c r="AQ1138" s="15" t="n">
        <v>91</v>
      </c>
      <c r="AR1138" s="15" t="n">
        <v>71.55</v>
      </c>
      <c r="AS1138" s="34" t="n">
        <v>45930</v>
      </c>
      <c r="AT1138" s="15" t="n">
        <v>19.17</v>
      </c>
      <c r="AU1138" s="15" t="n">
        <v>18.58</v>
      </c>
      <c r="AV1138" s="34" t="n">
        <v>45930</v>
      </c>
      <c r="AW1138" s="15" t="n">
        <v>32.84</v>
      </c>
      <c r="AX1138" s="15" t="n">
        <v>38.96</v>
      </c>
      <c r="AY1138" s="34" t="n">
        <v>45930</v>
      </c>
      <c r="AZ1138" s="15" t="n">
        <v>45.12</v>
      </c>
      <c r="BA1138" s="15" t="n">
        <v>48.43</v>
      </c>
      <c r="BB1138" s="34" t="n">
        <v>45930</v>
      </c>
      <c r="BC1138" s="15" t="n">
        <v>57.4</v>
      </c>
      <c r="BD1138" s="15" t="n">
        <v>70.51000000000001</v>
      </c>
      <c r="BE1138" s="34" t="n">
        <v>45930</v>
      </c>
      <c r="BF1138" s="15" t="n">
        <v>198.9</v>
      </c>
      <c r="BG1138" s="15" t="n">
        <v>243.22</v>
      </c>
      <c r="BH1138" s="34" t="n">
        <v>45930</v>
      </c>
      <c r="BI1138" s="15" t="n">
        <v>32.14</v>
      </c>
      <c r="BJ1138" s="15" t="n">
        <v>33.48</v>
      </c>
      <c r="BK1138" s="34" t="n">
        <v>45930</v>
      </c>
      <c r="BL1138" s="15" t="n">
        <v>58.5</v>
      </c>
      <c r="BM1138" s="15" t="n">
        <v>82.16</v>
      </c>
      <c r="BN1138" s="34" t="n">
        <v>45930</v>
      </c>
    </row>
    <row r="1139">
      <c r="A1139" s="34" t="n">
        <v>45939</v>
      </c>
      <c r="B1139" s="266" t="n">
        <v>1.092933058738708</v>
      </c>
      <c r="C1139" s="34" t="n">
        <v>45939</v>
      </c>
      <c r="D1139" s="15" t="n">
        <v>21.6</v>
      </c>
      <c r="E1139" s="15" t="n">
        <v>35.63</v>
      </c>
      <c r="F1139" s="34" t="n">
        <v>45939</v>
      </c>
      <c r="G1139" s="15" t="n">
        <v>96.40000000000001</v>
      </c>
      <c r="H1139" s="15" t="n">
        <v>113.48</v>
      </c>
      <c r="I1139" s="34" t="n">
        <v>45939</v>
      </c>
      <c r="J1139" s="15" t="n">
        <v>26.08</v>
      </c>
      <c r="K1139" s="15" t="n">
        <v>39.49</v>
      </c>
      <c r="L1139" s="34" t="n">
        <v>45939</v>
      </c>
      <c r="M1139" s="15" t="n">
        <v>48.6</v>
      </c>
      <c r="N1139" s="15" t="n">
        <v>51.33</v>
      </c>
      <c r="O1139" s="34" t="n">
        <v>45939</v>
      </c>
      <c r="P1139" s="15" t="n">
        <v>61.25</v>
      </c>
      <c r="Q1139" s="15" t="n">
        <v>69.66</v>
      </c>
      <c r="R1139" s="34" t="n">
        <v>45939</v>
      </c>
      <c r="S1139" s="15" t="n">
        <v>25.56</v>
      </c>
      <c r="V1139" s="15" t="n">
        <v>31.54</v>
      </c>
      <c r="W1139" s="15" t="n">
        <v>32.41</v>
      </c>
      <c r="X1139" s="34" t="n">
        <v>45939</v>
      </c>
      <c r="Y1139" s="15" t="n">
        <v>82.34999999999999</v>
      </c>
      <c r="Z1139" s="15" t="n">
        <v>72.63</v>
      </c>
      <c r="AA1139" s="34" t="n">
        <v>45939</v>
      </c>
      <c r="AB1139" s="15" t="n">
        <v>12.6</v>
      </c>
      <c r="AC1139" s="15" t="n">
        <v>17.21</v>
      </c>
      <c r="AD1139" s="34" t="n">
        <v>45939</v>
      </c>
      <c r="AE1139" s="15" t="n">
        <v>37.58</v>
      </c>
      <c r="AF1139" s="15" t="n">
        <v>40.45</v>
      </c>
      <c r="AG1139" s="34" t="n">
        <v>45939</v>
      </c>
      <c r="AH1139" s="15" t="n">
        <v>35.18</v>
      </c>
      <c r="AI1139" s="15" t="n">
        <v>32.1</v>
      </c>
      <c r="AJ1139" s="34" t="n">
        <v>45939</v>
      </c>
      <c r="AK1139" s="15" t="n">
        <v>20.1</v>
      </c>
      <c r="AL1139" s="15" t="n">
        <v>42.8</v>
      </c>
      <c r="AM1139" s="34" t="n">
        <v>45939</v>
      </c>
      <c r="AN1139" s="15" t="n">
        <v>585</v>
      </c>
      <c r="AO1139" s="15" t="n">
        <v>409.89</v>
      </c>
      <c r="AP1139" s="34" t="n">
        <v>45939</v>
      </c>
      <c r="AQ1139" s="15" t="n">
        <v>87.8</v>
      </c>
      <c r="AR1139" s="15" t="n">
        <v>71.15000000000001</v>
      </c>
      <c r="AS1139" s="34" t="n">
        <v>45939</v>
      </c>
      <c r="AT1139" s="15" t="n">
        <v>17.22</v>
      </c>
      <c r="AU1139" s="15" t="n">
        <v>19.07</v>
      </c>
      <c r="AV1139" s="34" t="n">
        <v>45939</v>
      </c>
      <c r="AW1139" s="15" t="n">
        <v>32.82</v>
      </c>
      <c r="AX1139" s="15" t="n">
        <v>39.34</v>
      </c>
      <c r="AY1139" s="34" t="n">
        <v>45939</v>
      </c>
      <c r="AZ1139" s="15" t="n">
        <v>43.2</v>
      </c>
      <c r="BA1139" s="15" t="n">
        <v>49.39</v>
      </c>
      <c r="BB1139" s="34" t="n">
        <v>45939</v>
      </c>
      <c r="BC1139" s="15" t="n">
        <v>57.65</v>
      </c>
      <c r="BD1139" s="15" t="n">
        <v>70.25</v>
      </c>
      <c r="BE1139" s="34" t="n">
        <v>45939</v>
      </c>
      <c r="BF1139" s="15" t="n">
        <v>192</v>
      </c>
      <c r="BG1139" s="15" t="n">
        <v>237</v>
      </c>
      <c r="BH1139" s="34" t="n">
        <v>45939</v>
      </c>
      <c r="BI1139" s="15" t="n">
        <v>31.28</v>
      </c>
      <c r="BJ1139" s="15" t="n">
        <v>33.87</v>
      </c>
      <c r="BK1139" s="34" t="n">
        <v>45939</v>
      </c>
      <c r="BL1139" s="15" t="n">
        <v>62.75</v>
      </c>
      <c r="BM1139" s="15" t="n">
        <v>84.90000000000001</v>
      </c>
      <c r="BN1139" s="34" t="n">
        <v>45939</v>
      </c>
    </row>
    <row r="1140">
      <c r="A1140" s="34" t="n">
        <v>45940</v>
      </c>
      <c r="B1140" s="266" t="n">
        <v>1.091662049293518</v>
      </c>
      <c r="C1140" s="34" t="n">
        <v>45940</v>
      </c>
      <c r="D1140" s="15" t="n">
        <v>20.04</v>
      </c>
      <c r="E1140" s="15" t="n">
        <v>33.7</v>
      </c>
      <c r="F1140" s="34" t="n">
        <v>45940</v>
      </c>
      <c r="G1140" s="15" t="n">
        <v>97.5</v>
      </c>
      <c r="H1140" s="15" t="n">
        <v>111.01</v>
      </c>
      <c r="I1140" s="34" t="n">
        <v>45940</v>
      </c>
      <c r="J1140" s="15" t="n">
        <v>25.4</v>
      </c>
      <c r="K1140" s="15" t="n">
        <v>39.88</v>
      </c>
      <c r="L1140" s="34" t="n">
        <v>45940</v>
      </c>
      <c r="M1140" s="15" t="n">
        <v>43.78</v>
      </c>
      <c r="N1140" s="15" t="n">
        <v>47.65</v>
      </c>
      <c r="O1140" s="34" t="n">
        <v>45940</v>
      </c>
      <c r="P1140" s="15" t="n">
        <v>59.15</v>
      </c>
      <c r="Q1140" s="15" t="n">
        <v>68.59999999999999</v>
      </c>
      <c r="R1140" s="34" t="n">
        <v>45940</v>
      </c>
      <c r="S1140" s="15" t="n">
        <v>25.08</v>
      </c>
      <c r="V1140" s="15" t="n">
        <v>29.96</v>
      </c>
      <c r="W1140" s="15" t="n">
        <v>30.69</v>
      </c>
      <c r="X1140" s="34" t="n">
        <v>45940</v>
      </c>
      <c r="Y1140" s="15" t="n">
        <v>81.34999999999999</v>
      </c>
      <c r="Z1140" s="15" t="n">
        <v>72.83</v>
      </c>
      <c r="AA1140" s="34" t="n">
        <v>45940</v>
      </c>
      <c r="AB1140" s="15" t="n">
        <v>12.17</v>
      </c>
      <c r="AC1140" s="15" t="n">
        <v>17.17</v>
      </c>
      <c r="AD1140" s="34" t="n">
        <v>45940</v>
      </c>
      <c r="AE1140" s="15" t="n">
        <v>38</v>
      </c>
      <c r="AF1140" s="15" t="n">
        <v>41.17</v>
      </c>
      <c r="AG1140" s="34" t="n">
        <v>45940</v>
      </c>
      <c r="AH1140" s="15" t="n">
        <v>32.56</v>
      </c>
      <c r="AI1140" s="15" t="n">
        <v>29.86</v>
      </c>
      <c r="AJ1140" s="34" t="n">
        <v>45940</v>
      </c>
      <c r="AK1140" s="15" t="n">
        <v>19.3</v>
      </c>
      <c r="AL1140" s="15" t="n">
        <v>41.48</v>
      </c>
      <c r="AM1140" s="34" t="n">
        <v>45940</v>
      </c>
      <c r="AN1140" s="15" t="n">
        <v>543</v>
      </c>
      <c r="AO1140" s="15" t="n">
        <v>381.95</v>
      </c>
      <c r="AP1140" s="34" t="n">
        <v>45940</v>
      </c>
      <c r="AQ1140" s="15" t="n">
        <v>84.3</v>
      </c>
      <c r="AR1140" s="15" t="n">
        <v>68.2</v>
      </c>
      <c r="AS1140" s="34" t="n">
        <v>45940</v>
      </c>
      <c r="AT1140" s="15" t="n">
        <v>16.55</v>
      </c>
      <c r="AU1140" s="15" t="n">
        <v>18.97</v>
      </c>
      <c r="AV1140" s="34" t="n">
        <v>45940</v>
      </c>
      <c r="AW1140" s="15" t="n">
        <v>32.76</v>
      </c>
      <c r="AX1140" s="15" t="n">
        <v>39.28</v>
      </c>
      <c r="AY1140" s="34" t="n">
        <v>45940</v>
      </c>
      <c r="AZ1140" s="15" t="n">
        <v>40.2</v>
      </c>
      <c r="BA1140" s="15" t="n">
        <v>45.54</v>
      </c>
      <c r="BB1140" s="34" t="n">
        <v>45940</v>
      </c>
      <c r="BC1140" s="15" t="n">
        <v>58.3</v>
      </c>
      <c r="BD1140" s="15" t="n">
        <v>70.70999999999999</v>
      </c>
      <c r="BE1140" s="34" t="n">
        <v>45940</v>
      </c>
      <c r="BF1140" s="15" t="n">
        <v>177.3</v>
      </c>
      <c r="BG1140" s="15" t="n">
        <v>220.76</v>
      </c>
      <c r="BH1140" s="34" t="n">
        <v>45940</v>
      </c>
      <c r="BI1140" s="15" t="n">
        <v>29.18</v>
      </c>
      <c r="BJ1140" s="15" t="n">
        <v>31.9</v>
      </c>
      <c r="BK1140" s="34" t="n">
        <v>45940</v>
      </c>
      <c r="BL1140" s="15" t="n">
        <v>56.5</v>
      </c>
      <c r="BM1140" s="15" t="n">
        <v>78.7</v>
      </c>
      <c r="BN1140" s="34" t="n">
        <v>45940</v>
      </c>
    </row>
    <row r="1141">
      <c r="A1141" s="34" t="n">
        <v>45943</v>
      </c>
      <c r="B1141" s="266" t="n">
        <v>1.093768000602722</v>
      </c>
      <c r="C1141" s="34" t="n">
        <v>45943</v>
      </c>
      <c r="D1141" s="15" t="n">
        <v>19.7</v>
      </c>
      <c r="E1141" s="15" t="n">
        <v>32.6</v>
      </c>
      <c r="F1141" s="34" t="n">
        <v>45943</v>
      </c>
      <c r="G1141" s="15" t="n">
        <v>90.59999999999999</v>
      </c>
      <c r="H1141" s="15" t="n">
        <v>105.42</v>
      </c>
      <c r="I1141" s="34" t="n">
        <v>45943</v>
      </c>
      <c r="J1141" s="15" t="n">
        <v>28.72</v>
      </c>
      <c r="K1141" s="15" t="n">
        <v>46.9</v>
      </c>
      <c r="L1141" s="34" t="n">
        <v>45943</v>
      </c>
      <c r="M1141" s="15" t="n">
        <v>45.9</v>
      </c>
      <c r="N1141" s="15" t="n">
        <v>49.77</v>
      </c>
      <c r="O1141" s="34" t="n">
        <v>45943</v>
      </c>
      <c r="P1141" s="15" t="n">
        <v>58.55</v>
      </c>
      <c r="Q1141" s="15" t="n">
        <v>68.06999999999999</v>
      </c>
      <c r="R1141" s="34" t="n">
        <v>45943</v>
      </c>
      <c r="S1141" s="15" t="n">
        <v>24.6</v>
      </c>
      <c r="V1141" s="15" t="n">
        <v>29.02</v>
      </c>
      <c r="W1141" s="15" t="n">
        <v>29.46</v>
      </c>
      <c r="X1141" s="34" t="n">
        <v>45943</v>
      </c>
      <c r="Y1141" s="15" t="n">
        <v>80.09999999999999</v>
      </c>
      <c r="Z1141" s="15" t="n">
        <v>71.81</v>
      </c>
      <c r="AA1141" s="34" t="n">
        <v>45943</v>
      </c>
      <c r="AB1141" s="15" t="n">
        <v>12.18</v>
      </c>
      <c r="AC1141" s="15" t="n">
        <v>17.09</v>
      </c>
      <c r="AD1141" s="34" t="n">
        <v>45943</v>
      </c>
      <c r="AE1141" s="15" t="n">
        <v>37.24</v>
      </c>
      <c r="AF1141" s="15" t="n">
        <v>41</v>
      </c>
      <c r="AG1141" s="34" t="n">
        <v>45943</v>
      </c>
      <c r="AH1141" s="15" t="n">
        <v>35.6</v>
      </c>
      <c r="AI1141" s="15" t="n">
        <v>32.1</v>
      </c>
      <c r="AJ1141" s="34" t="n">
        <v>45943</v>
      </c>
      <c r="AK1141" s="15" t="n">
        <v>18.62</v>
      </c>
      <c r="AL1141" s="15" t="n">
        <v>40.95</v>
      </c>
      <c r="AM1141" s="34" t="n">
        <v>45943</v>
      </c>
      <c r="AN1141" s="15" t="n">
        <v>547.5</v>
      </c>
      <c r="AO1141" s="15" t="n">
        <v>374.5</v>
      </c>
      <c r="AP1141" s="34" t="n">
        <v>45943</v>
      </c>
      <c r="AQ1141" s="15" t="n">
        <v>82.84999999999999</v>
      </c>
      <c r="AR1141" s="15" t="n">
        <v>66.98</v>
      </c>
      <c r="AS1141" s="34" t="n">
        <v>45943</v>
      </c>
      <c r="AT1141" s="15" t="n">
        <v>16.27</v>
      </c>
      <c r="AU1141" s="15" t="n">
        <v>18.59</v>
      </c>
      <c r="AV1141" s="34" t="n">
        <v>45943</v>
      </c>
      <c r="AW1141" s="15" t="n">
        <v>32.46</v>
      </c>
      <c r="AX1141" s="15" t="n">
        <v>38.9</v>
      </c>
      <c r="AY1141" s="34" t="n">
        <v>45943</v>
      </c>
      <c r="AZ1141" s="15" t="n">
        <v>37.9</v>
      </c>
      <c r="BA1141" s="15" t="n">
        <v>43.16</v>
      </c>
      <c r="BB1141" s="34" t="n">
        <v>45943</v>
      </c>
      <c r="BC1141" s="15" t="n">
        <v>58.1</v>
      </c>
      <c r="BD1141" s="15" t="n">
        <v>69.93000000000001</v>
      </c>
      <c r="BE1141" s="34" t="n">
        <v>45943</v>
      </c>
      <c r="BF1141" s="15" t="n">
        <v>180.2</v>
      </c>
      <c r="BG1141" s="15" t="n">
        <v>212.84</v>
      </c>
      <c r="BH1141" s="34" t="n">
        <v>45943</v>
      </c>
      <c r="BI1141" s="15" t="n">
        <v>27.4</v>
      </c>
      <c r="BJ1141" s="15" t="n">
        <v>30.23</v>
      </c>
      <c r="BK1141" s="34" t="n">
        <v>45943</v>
      </c>
      <c r="BL1141" s="15" t="n">
        <v>57.45</v>
      </c>
      <c r="BM1141" s="15" t="n">
        <v>79.15000000000001</v>
      </c>
      <c r="BN1141" s="34" t="n">
        <v>45943</v>
      </c>
    </row>
    <row r="1142">
      <c r="A1142" s="34" t="n">
        <v>45944</v>
      </c>
      <c r="B1142" s="266" t="n">
        <v>1.093292951583862</v>
      </c>
      <c r="C1142" s="34" t="n">
        <v>45944</v>
      </c>
      <c r="D1142" s="15" t="n">
        <v>19.18</v>
      </c>
      <c r="E1142" s="15" t="n">
        <v>31.98</v>
      </c>
      <c r="F1142" s="34" t="n">
        <v>45944</v>
      </c>
      <c r="G1142" s="15" t="n">
        <v>84.65000000000001</v>
      </c>
      <c r="H1142" s="15" t="n">
        <v>102</v>
      </c>
      <c r="I1142" s="34" t="n">
        <v>45944</v>
      </c>
      <c r="J1142" s="15" t="n">
        <v>25.48</v>
      </c>
      <c r="K1142" s="15" t="n">
        <v>42.86</v>
      </c>
      <c r="L1142" s="34" t="n">
        <v>45944</v>
      </c>
      <c r="M1142" s="15" t="n">
        <v>42.86</v>
      </c>
      <c r="N1142" s="15" t="n">
        <v>46.98</v>
      </c>
      <c r="O1142" s="34" t="n">
        <v>45944</v>
      </c>
      <c r="P1142" s="15" t="n">
        <v>57.9</v>
      </c>
      <c r="Q1142" s="15" t="n">
        <v>68.45999999999999</v>
      </c>
      <c r="R1142" s="34" t="n">
        <v>45944</v>
      </c>
      <c r="S1142" s="15" t="n">
        <v>22.66</v>
      </c>
      <c r="V1142" s="15" t="n">
        <v>29.18</v>
      </c>
      <c r="W1142" s="15" t="n">
        <v>29.39</v>
      </c>
      <c r="X1142" s="34" t="n">
        <v>45944</v>
      </c>
      <c r="Y1142" s="15" t="n">
        <v>79.90000000000001</v>
      </c>
      <c r="Z1142" s="15" t="n">
        <v>72.59999999999999</v>
      </c>
      <c r="AA1142" s="34" t="n">
        <v>45944</v>
      </c>
      <c r="AB1142" s="15" t="n">
        <v>11.67</v>
      </c>
      <c r="AC1142" s="15" t="n">
        <v>16.28</v>
      </c>
      <c r="AD1142" s="34" t="n">
        <v>45944</v>
      </c>
      <c r="AE1142" s="15" t="n">
        <v>37.12</v>
      </c>
      <c r="AF1142" s="15" t="n">
        <v>40.73</v>
      </c>
      <c r="AG1142" s="34" t="n">
        <v>45944</v>
      </c>
      <c r="AH1142" s="15" t="n">
        <v>33.18</v>
      </c>
      <c r="AI1142" s="15" t="n">
        <v>30.58</v>
      </c>
      <c r="AJ1142" s="34" t="n">
        <v>45944</v>
      </c>
      <c r="AK1142" s="15" t="n">
        <v>19.26</v>
      </c>
      <c r="AL1142" s="15" t="n">
        <v>41.6</v>
      </c>
      <c r="AM1142" s="34" t="n">
        <v>45944</v>
      </c>
      <c r="AN1142" s="15" t="n">
        <v>532.5</v>
      </c>
      <c r="AO1142" s="15" t="n">
        <v>358</v>
      </c>
      <c r="AP1142" s="34" t="n">
        <v>45944</v>
      </c>
      <c r="AQ1142" s="15" t="n">
        <v>79.84999999999999</v>
      </c>
      <c r="AR1142" s="15" t="n">
        <v>64.27</v>
      </c>
      <c r="AS1142" s="34" t="n">
        <v>45944</v>
      </c>
      <c r="AT1142" s="15" t="n">
        <v>16.22</v>
      </c>
      <c r="AU1142" s="15" t="n">
        <v>17.95</v>
      </c>
      <c r="AV1142" s="34" t="n">
        <v>45944</v>
      </c>
      <c r="AW1142" s="15" t="n">
        <v>32.48</v>
      </c>
      <c r="AX1142" s="15" t="n">
        <v>39.1</v>
      </c>
      <c r="AY1142" s="34" t="n">
        <v>45944</v>
      </c>
      <c r="AZ1142" s="15" t="n">
        <v>34.98</v>
      </c>
      <c r="BA1142" s="15" t="n">
        <v>40.16</v>
      </c>
      <c r="BB1142" s="34" t="n">
        <v>45944</v>
      </c>
      <c r="BC1142" s="15" t="n">
        <v>58</v>
      </c>
      <c r="BD1142" s="15" t="n">
        <v>70.05</v>
      </c>
      <c r="BE1142" s="34" t="n">
        <v>45944</v>
      </c>
      <c r="BF1142" s="15" t="n">
        <v>168.6</v>
      </c>
      <c r="BG1142" s="15" t="n">
        <v>205.5</v>
      </c>
      <c r="BH1142" s="34" t="n">
        <v>45944</v>
      </c>
      <c r="BI1142" s="15" t="n">
        <v>26</v>
      </c>
      <c r="BJ1142" s="15" t="n">
        <v>29.29</v>
      </c>
      <c r="BK1142" s="34" t="n">
        <v>45944</v>
      </c>
      <c r="BL1142" s="15" t="n">
        <v>54.1</v>
      </c>
      <c r="BM1142" s="15" t="n">
        <v>76.81999999999999</v>
      </c>
      <c r="BN1142" s="34" t="n">
        <v>45944</v>
      </c>
    </row>
    <row r="1143">
      <c r="A1143" s="34" t="n">
        <v>45945</v>
      </c>
      <c r="B1143" s="266" t="n">
        <v>1.088750958442688</v>
      </c>
      <c r="C1143" s="34" t="n">
        <v>45945</v>
      </c>
      <c r="D1143" s="15" t="n">
        <v>19.9</v>
      </c>
      <c r="E1143" s="15" t="n">
        <v>33.32</v>
      </c>
      <c r="F1143" s="34" t="n">
        <v>45945</v>
      </c>
      <c r="G1143" s="15" t="n">
        <v>91.09999999999999</v>
      </c>
      <c r="H1143" s="15" t="n">
        <v>106.07</v>
      </c>
      <c r="I1143" s="34" t="n">
        <v>45945</v>
      </c>
      <c r="J1143" s="15" t="n">
        <v>25.32</v>
      </c>
      <c r="K1143" s="15" t="n">
        <v>43.12</v>
      </c>
      <c r="L1143" s="34" t="n">
        <v>45945</v>
      </c>
      <c r="M1143" s="15" t="n">
        <v>43.4</v>
      </c>
      <c r="N1143" s="15" t="n">
        <v>47.3</v>
      </c>
      <c r="O1143" s="34" t="n">
        <v>45945</v>
      </c>
      <c r="P1143" s="15" t="n">
        <v>59.15</v>
      </c>
      <c r="Q1143" s="15" t="n">
        <v>69.48999999999999</v>
      </c>
      <c r="R1143" s="34" t="n">
        <v>45945</v>
      </c>
      <c r="S1143" s="15" t="n">
        <v>23.2</v>
      </c>
      <c r="V1143" s="15" t="n">
        <v>29.88</v>
      </c>
      <c r="W1143" s="15" t="n">
        <v>29.12</v>
      </c>
      <c r="X1143" s="34" t="n">
        <v>45945</v>
      </c>
      <c r="Y1143" s="15" t="n">
        <v>82.2</v>
      </c>
      <c r="Z1143" s="15" t="n">
        <v>72.92</v>
      </c>
      <c r="AA1143" s="34" t="n">
        <v>45945</v>
      </c>
      <c r="AB1143" s="15" t="n">
        <v>11.76</v>
      </c>
      <c r="AC1143" s="15" t="n">
        <v>16.67</v>
      </c>
      <c r="AD1143" s="34" t="n">
        <v>45945</v>
      </c>
      <c r="AE1143" s="15" t="n">
        <v>37.88</v>
      </c>
      <c r="AF1143" s="15" t="n">
        <v>41.01</v>
      </c>
      <c r="AG1143" s="34" t="n">
        <v>45945</v>
      </c>
      <c r="AH1143" s="15" t="n">
        <v>33.82</v>
      </c>
      <c r="AI1143" s="15" t="n">
        <v>31.55</v>
      </c>
      <c r="AJ1143" s="34" t="n">
        <v>45945</v>
      </c>
      <c r="AK1143" s="15" t="n">
        <v>19.46</v>
      </c>
      <c r="AL1143" s="15" t="n">
        <v>42.92</v>
      </c>
      <c r="AM1143" s="34" t="n">
        <v>45945</v>
      </c>
      <c r="AN1143" s="15" t="n">
        <v>542</v>
      </c>
      <c r="AO1143" s="15" t="n">
        <v>369.3</v>
      </c>
      <c r="AP1143" s="34" t="n">
        <v>45945</v>
      </c>
      <c r="AQ1143" s="15" t="n">
        <v>81.8</v>
      </c>
      <c r="AR1143" s="15" t="n">
        <v>66.40000000000001</v>
      </c>
      <c r="AS1143" s="34" t="n">
        <v>45945</v>
      </c>
      <c r="AT1143" s="15" t="n">
        <v>16.6</v>
      </c>
      <c r="AU1143" s="15" t="n">
        <v>18.46</v>
      </c>
      <c r="AV1143" s="34" t="n">
        <v>45945</v>
      </c>
      <c r="AW1143" s="15" t="n">
        <v>32.84</v>
      </c>
      <c r="AX1143" s="15" t="n">
        <v>39.49</v>
      </c>
      <c r="AY1143" s="34" t="n">
        <v>45945</v>
      </c>
      <c r="AZ1143" s="15" t="n">
        <v>39.5</v>
      </c>
      <c r="BA1143" s="15" t="n">
        <v>44.18</v>
      </c>
      <c r="BB1143" s="34" t="n">
        <v>45945</v>
      </c>
      <c r="BC1143" s="15" t="n">
        <v>59</v>
      </c>
      <c r="BD1143" s="15" t="n">
        <v>70.56999999999999</v>
      </c>
      <c r="BE1143" s="34" t="n">
        <v>45945</v>
      </c>
      <c r="BF1143" s="15" t="n">
        <v>174</v>
      </c>
      <c r="BG1143" s="15" t="n">
        <v>207.6</v>
      </c>
      <c r="BH1143" s="34" t="n">
        <v>45945</v>
      </c>
      <c r="BI1143" s="15" t="n">
        <v>26.54</v>
      </c>
      <c r="BJ1143" s="15" t="n">
        <v>29.44</v>
      </c>
      <c r="BK1143" s="34" t="n">
        <v>45945</v>
      </c>
      <c r="BL1143" s="15" t="n">
        <v>54.15</v>
      </c>
      <c r="BM1143" s="15" t="n">
        <v>76.93000000000001</v>
      </c>
      <c r="BN1143" s="34" t="n">
        <v>45945</v>
      </c>
    </row>
    <row r="1144">
      <c r="A1144" s="34" t="n">
        <v>45946</v>
      </c>
      <c r="B1144" s="266" t="n">
        <v>1.090903043746948</v>
      </c>
      <c r="C1144" s="34" t="n">
        <v>45946</v>
      </c>
      <c r="D1144" s="15" t="n">
        <v>19.94</v>
      </c>
      <c r="E1144" s="15" t="n">
        <v>33.1</v>
      </c>
      <c r="F1144" s="34" t="n">
        <v>45946</v>
      </c>
      <c r="G1144" s="15" t="n">
        <v>95.15000000000001</v>
      </c>
      <c r="H1144" s="15" t="n">
        <v>105.44</v>
      </c>
      <c r="I1144" s="34" t="n">
        <v>45946</v>
      </c>
      <c r="J1144" s="15" t="n">
        <v>24.26</v>
      </c>
      <c r="K1144" s="15" t="n">
        <v>40.86</v>
      </c>
      <c r="L1144" s="34" t="n">
        <v>45946</v>
      </c>
      <c r="M1144" s="15" t="n">
        <v>44.4</v>
      </c>
      <c r="N1144" s="15" t="n">
        <v>47.5</v>
      </c>
      <c r="O1144" s="34" t="n">
        <v>45946</v>
      </c>
      <c r="P1144" s="15" t="n">
        <v>61</v>
      </c>
      <c r="Q1144" s="15" t="n">
        <v>69.95999999999999</v>
      </c>
      <c r="R1144" s="34" t="n">
        <v>45946</v>
      </c>
      <c r="S1144" s="15" t="n">
        <v>23.32</v>
      </c>
      <c r="V1144" s="15" t="n">
        <v>28.12</v>
      </c>
      <c r="W1144" s="15" t="n">
        <v>28.24</v>
      </c>
      <c r="X1144" s="34" t="n">
        <v>45946</v>
      </c>
      <c r="Y1144" s="15" t="n">
        <v>82</v>
      </c>
      <c r="Z1144" s="15" t="n">
        <v>73.18000000000001</v>
      </c>
      <c r="AA1144" s="34" t="n">
        <v>45946</v>
      </c>
      <c r="AB1144" s="15" t="n">
        <v>11.49</v>
      </c>
      <c r="AC1144" s="15" t="n">
        <v>16.25</v>
      </c>
      <c r="AD1144" s="34" t="n">
        <v>45946</v>
      </c>
      <c r="AE1144" s="15" t="n">
        <v>37.94</v>
      </c>
      <c r="AF1144" s="15" t="n">
        <v>40.85</v>
      </c>
      <c r="AG1144" s="34" t="n">
        <v>45946</v>
      </c>
      <c r="AH1144" s="15" t="n">
        <v>32.64</v>
      </c>
      <c r="AI1144" s="15" t="n">
        <v>31.13</v>
      </c>
      <c r="AJ1144" s="34" t="n">
        <v>45946</v>
      </c>
      <c r="AK1144" s="15" t="n">
        <v>18.95</v>
      </c>
      <c r="AL1144" s="15" t="n">
        <v>42.39</v>
      </c>
      <c r="AM1144" s="34" t="n">
        <v>45946</v>
      </c>
      <c r="AN1144" s="15" t="n">
        <v>535.5</v>
      </c>
      <c r="AO1144" s="15" t="n">
        <v>368.5</v>
      </c>
      <c r="AP1144" s="34" t="n">
        <v>45946</v>
      </c>
      <c r="AQ1144" s="15" t="n">
        <v>82</v>
      </c>
      <c r="AR1144" s="15" t="n">
        <v>66.84</v>
      </c>
      <c r="AS1144" s="34" t="n">
        <v>45946</v>
      </c>
      <c r="AT1144" s="15" t="n">
        <v>15.7</v>
      </c>
      <c r="AU1144" s="15" t="n">
        <v>18.09</v>
      </c>
      <c r="AV1144" s="34" t="n">
        <v>45946</v>
      </c>
      <c r="AW1144" s="15" t="n">
        <v>32.7</v>
      </c>
      <c r="AX1144" s="15" t="n">
        <v>39.77</v>
      </c>
      <c r="AY1144" s="34" t="n">
        <v>45946</v>
      </c>
      <c r="AZ1144" s="15" t="n">
        <v>37.08</v>
      </c>
      <c r="BA1144" s="15" t="n">
        <v>42.92</v>
      </c>
      <c r="BB1144" s="34" t="n">
        <v>45946</v>
      </c>
      <c r="BC1144" s="15" t="n">
        <v>60.2</v>
      </c>
      <c r="BD1144" s="15" t="n">
        <v>70.7</v>
      </c>
      <c r="BE1144" s="34" t="n">
        <v>45946</v>
      </c>
      <c r="BF1144" s="15" t="n">
        <v>168.4</v>
      </c>
      <c r="BG1144" s="15" t="n">
        <v>200.88</v>
      </c>
      <c r="BH1144" s="34" t="n">
        <v>45946</v>
      </c>
      <c r="BI1144" s="15" t="n">
        <v>26.44</v>
      </c>
      <c r="BJ1144" s="15" t="n">
        <v>28.59</v>
      </c>
      <c r="BK1144" s="34" t="n">
        <v>45946</v>
      </c>
      <c r="BL1144" s="15" t="n">
        <v>53.65</v>
      </c>
      <c r="BM1144" s="15" t="n">
        <v>75.31</v>
      </c>
      <c r="BN1144" s="34" t="n">
        <v>45946</v>
      </c>
    </row>
    <row r="1145">
      <c r="A1145" s="34" t="n">
        <v>45947</v>
      </c>
      <c r="B1145" s="266" t="n">
        <v>1.09073805809021</v>
      </c>
      <c r="C1145" s="34" t="n">
        <v>45947</v>
      </c>
      <c r="D1145" s="15" t="n">
        <v>18.77</v>
      </c>
      <c r="E1145" s="15" t="n">
        <v>32.5</v>
      </c>
      <c r="F1145" s="34" t="n">
        <v>45947</v>
      </c>
      <c r="G1145" s="15" t="n">
        <v>89.40000000000001</v>
      </c>
      <c r="H1145" s="15" t="n">
        <v>103</v>
      </c>
      <c r="I1145" s="34" t="n">
        <v>45947</v>
      </c>
      <c r="J1145" s="15" t="n">
        <v>23.32</v>
      </c>
      <c r="K1145" s="15" t="n">
        <v>40</v>
      </c>
      <c r="L1145" s="34" t="n">
        <v>45947</v>
      </c>
      <c r="M1145" s="15" t="n">
        <v>43.3</v>
      </c>
      <c r="N1145" s="15" t="n">
        <v>46.55</v>
      </c>
      <c r="O1145" s="34" t="n">
        <v>45947</v>
      </c>
      <c r="P1145" s="15" t="n">
        <v>62.25</v>
      </c>
      <c r="Q1145" s="15" t="n">
        <v>70.02</v>
      </c>
      <c r="R1145" s="34" t="n">
        <v>45947</v>
      </c>
      <c r="S1145" s="15" t="n">
        <v>22.76</v>
      </c>
      <c r="V1145" s="15" t="n">
        <v>27.24</v>
      </c>
      <c r="W1145" s="15" t="n">
        <v>26.89</v>
      </c>
      <c r="X1145" s="34" t="n">
        <v>45947</v>
      </c>
      <c r="Y1145" s="15" t="n">
        <v>81.09999999999999</v>
      </c>
      <c r="Z1145" s="15" t="n">
        <v>72.8</v>
      </c>
      <c r="AA1145" s="34" t="n">
        <v>45947</v>
      </c>
      <c r="AB1145" s="15" t="n">
        <v>10.7</v>
      </c>
      <c r="AC1145" s="15" t="n">
        <v>15.6</v>
      </c>
      <c r="AD1145" s="34" t="n">
        <v>45947</v>
      </c>
      <c r="AE1145" s="15" t="n">
        <v>37.42</v>
      </c>
      <c r="AF1145" s="15" t="n">
        <v>40.09</v>
      </c>
      <c r="AG1145" s="34" t="n">
        <v>45947</v>
      </c>
      <c r="AH1145" s="15" t="n">
        <v>31.72</v>
      </c>
      <c r="AI1145" s="15" t="n">
        <v>31</v>
      </c>
      <c r="AJ1145" s="34" t="n">
        <v>45947</v>
      </c>
      <c r="AK1145" s="15" t="n">
        <v>18.1</v>
      </c>
      <c r="AL1145" s="15" t="n">
        <v>40.41</v>
      </c>
      <c r="AM1145" s="34" t="n">
        <v>45947</v>
      </c>
      <c r="AN1145" s="15" t="n">
        <v>521.5</v>
      </c>
      <c r="AO1145" s="15" t="n">
        <v>358.14</v>
      </c>
      <c r="AP1145" s="34" t="n">
        <v>45947</v>
      </c>
      <c r="AQ1145" s="15" t="n">
        <v>78.55</v>
      </c>
      <c r="AR1145" s="15" t="n">
        <v>65.09999999999999</v>
      </c>
      <c r="AS1145" s="34" t="n">
        <v>45947</v>
      </c>
      <c r="AT1145" s="15" t="n">
        <v>15.18</v>
      </c>
      <c r="AU1145" s="15" t="n">
        <v>17.54</v>
      </c>
      <c r="AV1145" s="34" t="n">
        <v>45947</v>
      </c>
      <c r="AW1145" s="15" t="n">
        <v>32.56</v>
      </c>
      <c r="AX1145" s="15" t="n">
        <v>39.08</v>
      </c>
      <c r="AY1145" s="34" t="n">
        <v>45947</v>
      </c>
      <c r="AZ1145" s="15" t="n">
        <v>35.94</v>
      </c>
      <c r="BA1145" s="15" t="n">
        <v>43.32</v>
      </c>
      <c r="BB1145" s="34" t="n">
        <v>45947</v>
      </c>
      <c r="BC1145" s="15" t="n">
        <v>58.75</v>
      </c>
      <c r="BD1145" s="15" t="n">
        <v>70.18000000000001</v>
      </c>
      <c r="BE1145" s="34" t="n">
        <v>45947</v>
      </c>
      <c r="BF1145" s="15" t="n">
        <v>164.9</v>
      </c>
      <c r="BG1145" s="15" t="n">
        <v>193.8</v>
      </c>
      <c r="BH1145" s="34" t="n">
        <v>45947</v>
      </c>
      <c r="BI1145" s="15" t="n">
        <v>25.1</v>
      </c>
      <c r="BJ1145" s="15" t="n">
        <v>27.35</v>
      </c>
      <c r="BK1145" s="34" t="n">
        <v>45947</v>
      </c>
      <c r="BL1145" s="15" t="n">
        <v>49.76</v>
      </c>
      <c r="BM1145" s="15" t="n">
        <v>71.65000000000001</v>
      </c>
      <c r="BN1145" s="34" t="n">
        <v>45947</v>
      </c>
    </row>
    <row r="1146">
      <c r="A1146" s="34" t="n">
        <v>45950</v>
      </c>
      <c r="B1146" s="266" t="n">
        <v>1.089843988418579</v>
      </c>
      <c r="C1146" s="34" t="n">
        <v>45950</v>
      </c>
      <c r="D1146" s="15" t="n">
        <v>18.95</v>
      </c>
      <c r="E1146" s="15" t="n">
        <v>33.2</v>
      </c>
      <c r="F1146" s="34" t="n">
        <v>45950</v>
      </c>
      <c r="G1146" s="15" t="n">
        <v>91.75</v>
      </c>
      <c r="H1146" s="15" t="n">
        <v>105.8</v>
      </c>
      <c r="I1146" s="34" t="n">
        <v>45950</v>
      </c>
      <c r="J1146" s="15" t="n">
        <v>23.28</v>
      </c>
      <c r="K1146" s="15" t="n">
        <v>40.32</v>
      </c>
      <c r="L1146" s="34" t="n">
        <v>45950</v>
      </c>
      <c r="M1146" s="15" t="n">
        <v>42.22</v>
      </c>
      <c r="N1146" s="15" t="n">
        <v>45.49</v>
      </c>
      <c r="O1146" s="34" t="n">
        <v>45950</v>
      </c>
      <c r="P1146" s="15" t="n">
        <v>61.35</v>
      </c>
      <c r="Q1146" s="15" t="n">
        <v>70.31999999999999</v>
      </c>
      <c r="R1146" s="34" t="n">
        <v>45950</v>
      </c>
      <c r="S1146" s="15" t="n">
        <v>23.8</v>
      </c>
      <c r="V1146" s="15" t="n">
        <v>27.84</v>
      </c>
      <c r="W1146" s="15" t="n">
        <v>27.16</v>
      </c>
      <c r="X1146" s="34" t="n">
        <v>45950</v>
      </c>
      <c r="Y1146" s="15" t="n">
        <v>82.2</v>
      </c>
      <c r="Z1146" s="15" t="n">
        <v>72.87</v>
      </c>
      <c r="AA1146" s="34" t="n">
        <v>45950</v>
      </c>
      <c r="AB1146" s="15" t="n">
        <v>10.73</v>
      </c>
      <c r="AC1146" s="15" t="n">
        <v>15.8</v>
      </c>
      <c r="AD1146" s="34" t="n">
        <v>45950</v>
      </c>
      <c r="AE1146" s="15" t="n">
        <v>37.6</v>
      </c>
      <c r="AF1146" s="15" t="n">
        <v>40.33</v>
      </c>
      <c r="AG1146" s="34" t="n">
        <v>45950</v>
      </c>
      <c r="AH1146" s="15" t="n">
        <v>29.76</v>
      </c>
      <c r="AI1146" s="15" t="n">
        <v>28.88</v>
      </c>
      <c r="AJ1146" s="34" t="n">
        <v>45950</v>
      </c>
      <c r="AK1146" s="15" t="n">
        <v>18.2</v>
      </c>
      <c r="AL1146" s="15" t="n">
        <v>40.7</v>
      </c>
      <c r="AM1146" s="34" t="n">
        <v>45950</v>
      </c>
      <c r="AN1146" s="15" t="n">
        <v>528</v>
      </c>
      <c r="AO1146" s="15" t="n">
        <v>366.5</v>
      </c>
      <c r="AP1146" s="34" t="n">
        <v>45950</v>
      </c>
      <c r="AQ1146" s="15" t="n">
        <v>79.25</v>
      </c>
      <c r="AR1146" s="15" t="n">
        <v>65.13</v>
      </c>
      <c r="AS1146" s="34" t="n">
        <v>45950</v>
      </c>
      <c r="AT1146" s="15" t="n">
        <v>15.25</v>
      </c>
      <c r="AU1146" s="15" t="n">
        <v>18.15</v>
      </c>
      <c r="AV1146" s="34" t="n">
        <v>45950</v>
      </c>
      <c r="AW1146" s="15" t="n">
        <v>32.86</v>
      </c>
      <c r="AX1146" s="15" t="n">
        <v>38.94</v>
      </c>
      <c r="AY1146" s="34" t="n">
        <v>45950</v>
      </c>
      <c r="AZ1146" s="15" t="n">
        <v>38.98</v>
      </c>
      <c r="BA1146" s="15" t="n">
        <v>46.1</v>
      </c>
      <c r="BB1146" s="34" t="n">
        <v>45950</v>
      </c>
      <c r="BC1146" s="15" t="n">
        <v>59.2</v>
      </c>
      <c r="BD1146" s="15" t="n">
        <v>70.67</v>
      </c>
      <c r="BE1146" s="34" t="n">
        <v>45950</v>
      </c>
      <c r="BF1146" s="15" t="n">
        <v>162.6</v>
      </c>
      <c r="BG1146" s="15" t="n">
        <v>189.38</v>
      </c>
      <c r="BH1146" s="34" t="n">
        <v>45950</v>
      </c>
      <c r="BI1146" s="15" t="n">
        <v>25.62</v>
      </c>
      <c r="BJ1146" s="15" t="n">
        <v>27.53</v>
      </c>
      <c r="BK1146" s="34" t="n">
        <v>45950</v>
      </c>
      <c r="BL1146" s="15" t="n">
        <v>51.35</v>
      </c>
      <c r="BM1146" s="15" t="n">
        <v>71.94</v>
      </c>
      <c r="BN1146" s="34" t="n">
        <v>45950</v>
      </c>
    </row>
    <row r="1147">
      <c r="A1147" s="34" t="n">
        <v>45951</v>
      </c>
      <c r="B1147" s="266" t="n">
        <v>1.091038942337036</v>
      </c>
      <c r="C1147" s="34" t="n">
        <v>45951</v>
      </c>
      <c r="D1147" s="15" t="n">
        <v>19.17</v>
      </c>
      <c r="E1147" s="15" t="n">
        <v>33.28</v>
      </c>
      <c r="F1147" s="34" t="n">
        <v>45951</v>
      </c>
      <c r="G1147" s="15" t="n">
        <v>91.05</v>
      </c>
      <c r="H1147" s="15" t="n">
        <v>107.06</v>
      </c>
      <c r="I1147" s="34" t="n">
        <v>45951</v>
      </c>
      <c r="J1147" s="15" t="n">
        <v>23.28</v>
      </c>
      <c r="K1147" s="15" t="n">
        <v>39.91</v>
      </c>
      <c r="L1147" s="34" t="n">
        <v>45951</v>
      </c>
      <c r="M1147" s="15" t="n">
        <v>42.1</v>
      </c>
      <c r="N1147" s="15" t="n">
        <v>45.61</v>
      </c>
      <c r="O1147" s="34" t="n">
        <v>45951</v>
      </c>
      <c r="P1147" s="15" t="n">
        <v>61.7</v>
      </c>
      <c r="Q1147" s="15" t="n">
        <v>70.70999999999999</v>
      </c>
      <c r="R1147" s="34" t="n">
        <v>45951</v>
      </c>
      <c r="S1147" s="15" t="n">
        <v>23.8</v>
      </c>
      <c r="V1147" s="15" t="n">
        <v>28.24</v>
      </c>
      <c r="W1147" s="15" t="n">
        <v>27.17</v>
      </c>
      <c r="X1147" s="34" t="n">
        <v>45951</v>
      </c>
      <c r="Y1147" s="15" t="n">
        <v>82.34999999999999</v>
      </c>
      <c r="Z1147" s="15" t="n">
        <v>72.91</v>
      </c>
      <c r="AA1147" s="34" t="n">
        <v>45951</v>
      </c>
      <c r="AB1147" s="15" t="n">
        <v>10.68</v>
      </c>
      <c r="AC1147" s="15" t="n">
        <v>15.6</v>
      </c>
      <c r="AD1147" s="34" t="n">
        <v>45951</v>
      </c>
      <c r="AE1147" s="15" t="n">
        <v>37.74</v>
      </c>
      <c r="AF1147" s="15" t="n">
        <v>40.33</v>
      </c>
      <c r="AG1147" s="34" t="n">
        <v>45951</v>
      </c>
      <c r="AH1147" s="15" t="n">
        <v>29.38</v>
      </c>
      <c r="AI1147" s="15" t="n">
        <v>29.47</v>
      </c>
      <c r="AJ1147" s="34" t="n">
        <v>45951</v>
      </c>
      <c r="AK1147" s="15" t="n">
        <v>18.05</v>
      </c>
      <c r="AL1147" s="15" t="n">
        <v>40.43</v>
      </c>
      <c r="AM1147" s="34" t="n">
        <v>45951</v>
      </c>
      <c r="AN1147" s="15" t="n">
        <v>544</v>
      </c>
      <c r="AO1147" s="15" t="n">
        <v>375.9</v>
      </c>
      <c r="AP1147" s="34" t="n">
        <v>45951</v>
      </c>
      <c r="AQ1147" s="15" t="n">
        <v>78.09999999999999</v>
      </c>
      <c r="AR1147" s="15" t="n">
        <v>66</v>
      </c>
      <c r="AS1147" s="34" t="n">
        <v>45951</v>
      </c>
      <c r="AT1147" s="15" t="n">
        <v>15.4</v>
      </c>
      <c r="AU1147" s="15" t="n">
        <v>18.17</v>
      </c>
      <c r="AV1147" s="34" t="n">
        <v>45951</v>
      </c>
      <c r="AW1147" s="15" t="n">
        <v>32.78</v>
      </c>
      <c r="AX1147" s="15" t="n">
        <v>38.95</v>
      </c>
      <c r="AY1147" s="34" t="n">
        <v>45951</v>
      </c>
      <c r="AZ1147" s="15" t="n">
        <v>39.94</v>
      </c>
      <c r="BA1147" s="15" t="n">
        <v>46.93</v>
      </c>
      <c r="BB1147" s="34" t="n">
        <v>45951</v>
      </c>
      <c r="BC1147" s="15" t="n">
        <v>58.95</v>
      </c>
      <c r="BD1147" s="15" t="n">
        <v>70.83</v>
      </c>
      <c r="BE1147" s="34" t="n">
        <v>45951</v>
      </c>
      <c r="BF1147" s="15" t="n">
        <v>163.3</v>
      </c>
      <c r="BG1147" s="15" t="n">
        <v>189.68</v>
      </c>
      <c r="BH1147" s="34" t="n">
        <v>45951</v>
      </c>
      <c r="BI1147" s="15" t="n">
        <v>26.88</v>
      </c>
      <c r="BJ1147" s="15" t="n">
        <v>28.93</v>
      </c>
      <c r="BK1147" s="34" t="n">
        <v>45951</v>
      </c>
      <c r="BL1147" s="15" t="n">
        <v>51.9</v>
      </c>
      <c r="BM1147" s="15" t="n">
        <v>72.53</v>
      </c>
      <c r="BN1147" s="34" t="n">
        <v>45951</v>
      </c>
    </row>
    <row r="1148">
      <c r="A1148" s="34" t="n">
        <v>45952</v>
      </c>
      <c r="B1148" s="266" t="n">
        <v>1.091071009635925</v>
      </c>
      <c r="C1148" s="34" t="n">
        <v>45952</v>
      </c>
      <c r="D1148" s="15" t="n">
        <v>18.65</v>
      </c>
      <c r="E1148" s="15" t="n">
        <v>32.67</v>
      </c>
      <c r="F1148" s="34" t="n">
        <v>45952</v>
      </c>
      <c r="G1148" s="15" t="n">
        <v>90.40000000000001</v>
      </c>
      <c r="H1148" s="15" t="n">
        <v>105.51</v>
      </c>
      <c r="I1148" s="34" t="n">
        <v>45952</v>
      </c>
      <c r="J1148" s="15" t="n">
        <v>22.64</v>
      </c>
      <c r="K1148" s="15" t="n">
        <v>38.48</v>
      </c>
      <c r="L1148" s="34" t="n">
        <v>45952</v>
      </c>
      <c r="M1148" s="15" t="n">
        <v>42.32</v>
      </c>
      <c r="N1148" s="15" t="n">
        <v>45.97</v>
      </c>
      <c r="O1148" s="34" t="n">
        <v>45952</v>
      </c>
      <c r="P1148" s="15" t="n">
        <v>60.85</v>
      </c>
      <c r="Q1148" s="15" t="n">
        <v>69.67</v>
      </c>
      <c r="R1148" s="34" t="n">
        <v>45952</v>
      </c>
      <c r="S1148" s="15" t="n">
        <v>23.28</v>
      </c>
      <c r="V1148" s="15" t="n">
        <v>27.44</v>
      </c>
      <c r="W1148" s="15" t="n">
        <v>26.95</v>
      </c>
      <c r="X1148" s="34" t="n">
        <v>45952</v>
      </c>
      <c r="Y1148" s="15" t="n">
        <v>82.59999999999999</v>
      </c>
      <c r="Z1148" s="15" t="n">
        <v>73.88</v>
      </c>
      <c r="AA1148" s="34" t="n">
        <v>45952</v>
      </c>
      <c r="AB1148" s="15" t="n">
        <v>10.5</v>
      </c>
      <c r="AC1148" s="15" t="n">
        <v>15.32</v>
      </c>
      <c r="AD1148" s="34" t="n">
        <v>45952</v>
      </c>
      <c r="AE1148" s="15" t="n">
        <v>37.38</v>
      </c>
      <c r="AF1148" s="15" t="n">
        <v>40.18</v>
      </c>
      <c r="AG1148" s="34" t="n">
        <v>45952</v>
      </c>
      <c r="AH1148" s="15" t="n">
        <v>28.52</v>
      </c>
      <c r="AI1148" s="15" t="n">
        <v>28.47</v>
      </c>
      <c r="AJ1148" s="34" t="n">
        <v>45952</v>
      </c>
      <c r="AK1148" s="15" t="n">
        <v>17.63</v>
      </c>
      <c r="AL1148" s="15" t="n">
        <v>39.9</v>
      </c>
      <c r="AM1148" s="34" t="n">
        <v>45952</v>
      </c>
      <c r="AN1148" s="15" t="n">
        <v>546</v>
      </c>
      <c r="AO1148" s="15" t="n">
        <v>372.86</v>
      </c>
      <c r="AP1148" s="34" t="n">
        <v>45952</v>
      </c>
      <c r="AQ1148" s="15" t="n">
        <v>78.05</v>
      </c>
      <c r="AR1148" s="15" t="n">
        <v>65.26000000000001</v>
      </c>
      <c r="AS1148" s="34" t="n">
        <v>45952</v>
      </c>
      <c r="AT1148" s="15" t="n">
        <v>15.48</v>
      </c>
      <c r="AU1148" s="15" t="n">
        <v>17.96</v>
      </c>
      <c r="AV1148" s="34" t="n">
        <v>45952</v>
      </c>
      <c r="AW1148" s="15" t="n">
        <v>32.54</v>
      </c>
      <c r="AX1148" s="15" t="n">
        <v>38.65</v>
      </c>
      <c r="AY1148" s="34" t="n">
        <v>45952</v>
      </c>
      <c r="AZ1148" s="15" t="n">
        <v>40.4</v>
      </c>
      <c r="BA1148" s="15" t="n">
        <v>48.1</v>
      </c>
      <c r="BB1148" s="34" t="n">
        <v>45952</v>
      </c>
      <c r="BC1148" s="15" t="n">
        <v>59.4</v>
      </c>
      <c r="BD1148" s="15" t="n">
        <v>70.81999999999999</v>
      </c>
      <c r="BE1148" s="34" t="n">
        <v>45952</v>
      </c>
      <c r="BF1148" s="15" t="n">
        <v>163.1</v>
      </c>
      <c r="BG1148" s="15" t="n">
        <v>188.35</v>
      </c>
      <c r="BH1148" s="34" t="n">
        <v>45952</v>
      </c>
      <c r="BI1148" s="15" t="n">
        <v>26.96</v>
      </c>
      <c r="BJ1148" s="15" t="n">
        <v>29.45</v>
      </c>
      <c r="BK1148" s="34" t="n">
        <v>45952</v>
      </c>
      <c r="BL1148" s="15" t="n">
        <v>52</v>
      </c>
      <c r="BM1148" s="15" t="n">
        <v>72.54000000000001</v>
      </c>
      <c r="BN1148" s="34" t="n">
        <v>45952</v>
      </c>
      <c r="BO1148" s="15" t="n">
        <v>18.98</v>
      </c>
      <c r="BP1148" s="15" t="n">
        <v>27.57</v>
      </c>
      <c r="BQ1148" s="34" t="n">
        <v>45952</v>
      </c>
    </row>
    <row r="1149">
      <c r="A1149" s="34" t="n">
        <v>45953</v>
      </c>
      <c r="B1149" s="266" t="n">
        <v>1.090343952178955</v>
      </c>
      <c r="C1149" s="34" t="n">
        <v>45953</v>
      </c>
      <c r="D1149" s="15" t="n">
        <v>18</v>
      </c>
      <c r="E1149" s="15" t="n">
        <v>32.06</v>
      </c>
      <c r="F1149" s="34" t="n">
        <v>45953</v>
      </c>
      <c r="G1149" s="15" t="n">
        <v>88.84999999999999</v>
      </c>
      <c r="H1149" s="15" t="n">
        <v>104.4</v>
      </c>
      <c r="I1149" s="34" t="n">
        <v>45953</v>
      </c>
      <c r="J1149" s="15" t="n">
        <v>22.3</v>
      </c>
      <c r="K1149" s="15" t="n">
        <v>37.88</v>
      </c>
      <c r="L1149" s="34" t="n">
        <v>45953</v>
      </c>
      <c r="M1149" s="15" t="n">
        <v>44.48</v>
      </c>
      <c r="N1149" s="15" t="n">
        <v>48.01</v>
      </c>
      <c r="O1149" s="34" t="n">
        <v>45953</v>
      </c>
      <c r="P1149" s="15" t="n">
        <v>60.8</v>
      </c>
      <c r="Q1149" s="15" t="n">
        <v>70.09999999999999</v>
      </c>
      <c r="R1149" s="34" t="n">
        <v>45953</v>
      </c>
      <c r="S1149" s="15" t="n">
        <v>23.4</v>
      </c>
      <c r="V1149" s="15" t="n">
        <v>27.86</v>
      </c>
      <c r="W1149" s="15" t="n">
        <v>27.7</v>
      </c>
      <c r="X1149" s="34" t="n">
        <v>45953</v>
      </c>
      <c r="Y1149" s="15" t="n">
        <v>83.40000000000001</v>
      </c>
      <c r="Z1149" s="15" t="n">
        <v>74.89</v>
      </c>
      <c r="AA1149" s="34" t="n">
        <v>45953</v>
      </c>
      <c r="AB1149" s="15" t="n">
        <v>10.66</v>
      </c>
      <c r="AC1149" s="15" t="n">
        <v>15.39</v>
      </c>
      <c r="AD1149" s="34" t="n">
        <v>45953</v>
      </c>
      <c r="AE1149" s="15" t="n">
        <v>37.06</v>
      </c>
      <c r="AF1149" s="15" t="n">
        <v>39.96</v>
      </c>
      <c r="AG1149" s="34" t="n">
        <v>45953</v>
      </c>
      <c r="AH1149" s="15" t="n">
        <v>29.02</v>
      </c>
      <c r="AI1149" s="15" t="n">
        <v>28.78</v>
      </c>
      <c r="AJ1149" s="34" t="n">
        <v>45953</v>
      </c>
      <c r="AK1149" s="15" t="n">
        <v>17.25</v>
      </c>
      <c r="AL1149" s="15" t="n">
        <v>39.6</v>
      </c>
      <c r="AM1149" s="34" t="n">
        <v>45953</v>
      </c>
      <c r="AN1149" s="15" t="n">
        <v>535</v>
      </c>
      <c r="AO1149" s="15" t="n">
        <v>376.45</v>
      </c>
      <c r="AP1149" s="34" t="n">
        <v>45953</v>
      </c>
      <c r="AQ1149" s="15" t="n">
        <v>76.3</v>
      </c>
      <c r="AR1149" s="15" t="n">
        <v>65.14</v>
      </c>
      <c r="AS1149" s="34" t="n">
        <v>45953</v>
      </c>
      <c r="AT1149" s="15" t="n">
        <v>15.4</v>
      </c>
      <c r="AU1149" s="15" t="n">
        <v>18</v>
      </c>
      <c r="AV1149" s="34" t="n">
        <v>45953</v>
      </c>
      <c r="AW1149" s="15" t="n">
        <v>32.48</v>
      </c>
      <c r="AX1149" s="15" t="n">
        <v>38.63</v>
      </c>
      <c r="AY1149" s="34" t="n">
        <v>45953</v>
      </c>
      <c r="AZ1149" s="15" t="n">
        <v>39.26</v>
      </c>
      <c r="BA1149" s="15" t="n">
        <v>47.96</v>
      </c>
      <c r="BB1149" s="34" t="n">
        <v>45953</v>
      </c>
      <c r="BC1149" s="15" t="n">
        <v>58.65</v>
      </c>
      <c r="BD1149" s="15" t="n">
        <v>70.5</v>
      </c>
      <c r="BE1149" s="34" t="n">
        <v>45953</v>
      </c>
      <c r="BF1149" s="15" t="n">
        <v>158.1</v>
      </c>
      <c r="BG1149" s="15" t="n">
        <v>189.89</v>
      </c>
      <c r="BH1149" s="34" t="n">
        <v>45953</v>
      </c>
      <c r="BI1149" s="15" t="n">
        <v>26</v>
      </c>
      <c r="BJ1149" s="15" t="n">
        <v>28.93</v>
      </c>
      <c r="BK1149" s="34" t="n">
        <v>45953</v>
      </c>
      <c r="BL1149" s="15" t="n">
        <v>50.5</v>
      </c>
      <c r="BM1149" s="15" t="n">
        <v>71.54000000000001</v>
      </c>
      <c r="BN1149" s="34" t="n">
        <v>45953</v>
      </c>
      <c r="BO1149" s="15" t="n">
        <v>17.66</v>
      </c>
      <c r="BP1149" s="15" t="n">
        <v>27.22</v>
      </c>
      <c r="BQ1149" s="34" t="n">
        <v>45953</v>
      </c>
    </row>
    <row r="1150">
      <c r="A1150" s="34" t="n">
        <v>45954</v>
      </c>
      <c r="B1150" s="266" t="n">
        <v>1.090456962585449</v>
      </c>
      <c r="C1150" s="34" t="n">
        <v>45954</v>
      </c>
      <c r="D1150" s="15" t="n">
        <v>18.25</v>
      </c>
      <c r="E1150" s="15" t="n">
        <v>32.45</v>
      </c>
      <c r="F1150" s="34" t="n">
        <v>45954</v>
      </c>
      <c r="G1150" s="15" t="n">
        <v>91.59999999999999</v>
      </c>
      <c r="H1150" s="15" t="n">
        <v>105.76</v>
      </c>
      <c r="I1150" s="34" t="n">
        <v>45954</v>
      </c>
      <c r="J1150" s="15" t="n">
        <v>23.46</v>
      </c>
      <c r="K1150" s="15" t="n">
        <v>39.98</v>
      </c>
      <c r="L1150" s="34" t="n">
        <v>45954</v>
      </c>
      <c r="M1150" s="15" t="n">
        <v>46.22</v>
      </c>
      <c r="N1150" s="15" t="n">
        <v>48.61</v>
      </c>
      <c r="O1150" s="34" t="n">
        <v>45954</v>
      </c>
      <c r="P1150" s="15" t="n">
        <v>60.95</v>
      </c>
      <c r="Q1150" s="15" t="n">
        <v>70.52</v>
      </c>
      <c r="R1150" s="34" t="n">
        <v>45954</v>
      </c>
      <c r="S1150" s="15" t="n">
        <v>22.94</v>
      </c>
      <c r="V1150" s="15" t="n">
        <v>28.6</v>
      </c>
      <c r="W1150" s="15" t="n">
        <v>28.76</v>
      </c>
      <c r="X1150" s="34" t="n">
        <v>45954</v>
      </c>
      <c r="Y1150" s="15" t="n">
        <v>84</v>
      </c>
      <c r="Z1150" s="15" t="n">
        <v>74.61</v>
      </c>
      <c r="AA1150" s="34" t="n">
        <v>45954</v>
      </c>
      <c r="AB1150" s="15" t="n">
        <v>11.08</v>
      </c>
      <c r="AC1150" s="15" t="n">
        <v>15.63</v>
      </c>
      <c r="AD1150" s="34" t="n">
        <v>45954</v>
      </c>
      <c r="AE1150" s="15" t="n">
        <v>36.86</v>
      </c>
      <c r="AF1150" s="15" t="n">
        <v>39.88</v>
      </c>
      <c r="AG1150" s="34" t="n">
        <v>45954</v>
      </c>
      <c r="AH1150" s="15" t="n">
        <v>29.2</v>
      </c>
      <c r="AI1150" s="15" t="n">
        <v>28.88</v>
      </c>
      <c r="AJ1150" s="34" t="n">
        <v>45954</v>
      </c>
      <c r="AK1150" s="15" t="n">
        <v>17.41</v>
      </c>
      <c r="AL1150" s="15" t="n">
        <v>39.6</v>
      </c>
      <c r="AM1150" s="34" t="n">
        <v>45954</v>
      </c>
      <c r="AN1150" s="15" t="n">
        <v>553.5</v>
      </c>
      <c r="AO1150" s="15" t="n">
        <v>385.77</v>
      </c>
      <c r="AP1150" s="34" t="n">
        <v>45954</v>
      </c>
      <c r="AQ1150" s="15" t="n">
        <v>76.8</v>
      </c>
      <c r="AR1150" s="15" t="n">
        <v>65.5</v>
      </c>
      <c r="AS1150" s="34" t="n">
        <v>45954</v>
      </c>
      <c r="AT1150" s="15" t="n">
        <v>15.39</v>
      </c>
      <c r="AU1150" s="15" t="n">
        <v>18.22</v>
      </c>
      <c r="AV1150" s="34" t="n">
        <v>45954</v>
      </c>
      <c r="AW1150" s="15" t="n">
        <v>32.44</v>
      </c>
      <c r="AX1150" s="15" t="n">
        <v>38.6</v>
      </c>
      <c r="AY1150" s="34" t="n">
        <v>45954</v>
      </c>
      <c r="AZ1150" s="15" t="n">
        <v>40.06</v>
      </c>
      <c r="BA1150" s="15" t="n">
        <v>48.63</v>
      </c>
      <c r="BB1150" s="34" t="n">
        <v>45954</v>
      </c>
      <c r="BC1150" s="15" t="n">
        <v>58.55</v>
      </c>
      <c r="BD1150" s="15" t="n">
        <v>70.09</v>
      </c>
      <c r="BE1150" s="34" t="n">
        <v>45954</v>
      </c>
      <c r="BF1150" s="15" t="n">
        <v>163.9</v>
      </c>
      <c r="BG1150" s="15" t="n">
        <v>194.07</v>
      </c>
      <c r="BH1150" s="34" t="n">
        <v>45954</v>
      </c>
      <c r="BI1150" s="15" t="n">
        <v>26.96</v>
      </c>
      <c r="BJ1150" s="15" t="n">
        <v>29.77</v>
      </c>
      <c r="BK1150" s="34" t="n">
        <v>45954</v>
      </c>
      <c r="BL1150" s="15" t="n">
        <v>52.5</v>
      </c>
      <c r="BM1150" s="15" t="n">
        <v>73.76000000000001</v>
      </c>
      <c r="BN1150" s="34" t="n">
        <v>45954</v>
      </c>
      <c r="BO1150" s="15" t="n">
        <v>19.47</v>
      </c>
      <c r="BP1150" s="15" t="n">
        <v>27.38</v>
      </c>
      <c r="BQ1150" s="34" t="n">
        <v>45954</v>
      </c>
    </row>
    <row r="1151">
      <c r="A1151" s="34" t="n">
        <v>45957</v>
      </c>
      <c r="B1151" s="266" t="n">
        <v>1.090957045555115</v>
      </c>
      <c r="C1151" s="34" t="n">
        <v>45957</v>
      </c>
      <c r="D1151" s="15" t="n">
        <v>19.83</v>
      </c>
      <c r="E1151" s="15" t="n">
        <v>33.69</v>
      </c>
      <c r="F1151" s="34" t="n">
        <v>45957</v>
      </c>
      <c r="G1151" s="15" t="n">
        <v>89.84999999999999</v>
      </c>
      <c r="H1151" s="15" t="n">
        <v>104.74</v>
      </c>
      <c r="I1151" s="34" t="n">
        <v>45957</v>
      </c>
      <c r="J1151" s="15" t="n">
        <v>24.14</v>
      </c>
      <c r="K1151" s="15" t="n">
        <v>40.24</v>
      </c>
      <c r="L1151" s="34" t="n">
        <v>45957</v>
      </c>
      <c r="M1151" s="15" t="n">
        <v>47.38</v>
      </c>
      <c r="N1151" s="15" t="n">
        <v>49.21</v>
      </c>
      <c r="O1151" s="34" t="n">
        <v>45957</v>
      </c>
      <c r="P1151" s="15" t="n">
        <v>60.1</v>
      </c>
      <c r="Q1151" s="15" t="n">
        <v>69.93000000000001</v>
      </c>
      <c r="R1151" s="34" t="n">
        <v>45957</v>
      </c>
      <c r="S1151" s="15" t="n">
        <v>25.46</v>
      </c>
      <c r="V1151" s="15" t="n">
        <v>29.64</v>
      </c>
      <c r="W1151" s="15" t="n">
        <v>28.96</v>
      </c>
      <c r="X1151" s="34" t="n">
        <v>45957</v>
      </c>
      <c r="Y1151" s="15" t="n">
        <v>84</v>
      </c>
      <c r="Z1151" s="15" t="n">
        <v>74.88</v>
      </c>
      <c r="AA1151" s="34" t="n">
        <v>45957</v>
      </c>
      <c r="AB1151" s="15" t="n">
        <v>11.3</v>
      </c>
      <c r="AC1151" s="15" t="n">
        <v>15.79</v>
      </c>
      <c r="AD1151" s="34" t="n">
        <v>45957</v>
      </c>
      <c r="AE1151" s="15" t="n">
        <v>37.6</v>
      </c>
      <c r="AF1151" s="15" t="n">
        <v>40.58</v>
      </c>
      <c r="AG1151" s="34" t="n">
        <v>45957</v>
      </c>
      <c r="AH1151" s="15" t="n">
        <v>29.38</v>
      </c>
      <c r="AI1151" s="15" t="n">
        <v>29.76</v>
      </c>
      <c r="AJ1151" s="34" t="n">
        <v>45957</v>
      </c>
      <c r="AK1151" s="15" t="n">
        <v>18.12</v>
      </c>
      <c r="AL1151" s="15" t="n">
        <v>40.25</v>
      </c>
      <c r="AM1151" s="34" t="n">
        <v>45957</v>
      </c>
      <c r="AN1151" s="15" t="n">
        <v>561.5</v>
      </c>
      <c r="AO1151" s="15" t="n">
        <v>386.18</v>
      </c>
      <c r="AP1151" s="34" t="n">
        <v>45957</v>
      </c>
      <c r="AQ1151" s="15" t="n">
        <v>79.75</v>
      </c>
      <c r="AR1151" s="15" t="n">
        <v>67.01000000000001</v>
      </c>
      <c r="AS1151" s="34" t="n">
        <v>45957</v>
      </c>
      <c r="AT1151" s="15" t="n">
        <v>15.57</v>
      </c>
      <c r="AU1151" s="15" t="n">
        <v>18.33</v>
      </c>
      <c r="AV1151" s="34" t="n">
        <v>45957</v>
      </c>
      <c r="AW1151" s="15" t="n">
        <v>32.62</v>
      </c>
      <c r="AX1151" s="15" t="n">
        <v>38.71</v>
      </c>
      <c r="AY1151" s="34" t="n">
        <v>45957</v>
      </c>
      <c r="AZ1151" s="15" t="n">
        <v>40.12</v>
      </c>
      <c r="BA1151" s="15" t="n">
        <v>48.62</v>
      </c>
      <c r="BB1151" s="34" t="n">
        <v>45957</v>
      </c>
      <c r="BC1151" s="15" t="n">
        <v>58</v>
      </c>
      <c r="BD1151" s="15" t="n">
        <v>70.08</v>
      </c>
      <c r="BE1151" s="34" t="n">
        <v>45957</v>
      </c>
      <c r="BF1151" s="15" t="n">
        <v>173.9</v>
      </c>
      <c r="BG1151" s="15" t="n">
        <v>198</v>
      </c>
      <c r="BH1151" s="34" t="n">
        <v>45957</v>
      </c>
      <c r="BI1151" s="15" t="n">
        <v>27.68</v>
      </c>
      <c r="BJ1151" s="15" t="n">
        <v>29.88</v>
      </c>
      <c r="BK1151" s="34" t="n">
        <v>45957</v>
      </c>
      <c r="BL1151" s="15" t="n">
        <v>51.6</v>
      </c>
      <c r="BM1151" s="15" t="n">
        <v>73.86</v>
      </c>
      <c r="BN1151" s="34" t="n">
        <v>45957</v>
      </c>
      <c r="BO1151" s="15" t="n">
        <v>19.96</v>
      </c>
      <c r="BP1151" s="15" t="n">
        <v>27.8</v>
      </c>
      <c r="BQ1151" s="34" t="n">
        <v>45957</v>
      </c>
    </row>
    <row r="1152">
      <c r="A1152" s="34" t="n">
        <v>45958</v>
      </c>
      <c r="B1152" s="266" t="n">
        <v>1.092440009117126</v>
      </c>
      <c r="C1152" s="34" t="n">
        <v>45958</v>
      </c>
      <c r="D1152" s="15" t="n">
        <v>19.25</v>
      </c>
      <c r="E1152" s="15" t="n">
        <v>33.4</v>
      </c>
      <c r="F1152" s="34" t="n">
        <v>45958</v>
      </c>
      <c r="G1152" s="15" t="n">
        <v>87.7</v>
      </c>
      <c r="H1152" s="15" t="n">
        <v>103.33</v>
      </c>
      <c r="I1152" s="34" t="n">
        <v>45958</v>
      </c>
      <c r="J1152" s="15" t="n">
        <v>23.44</v>
      </c>
      <c r="K1152" s="15" t="n">
        <v>39.15</v>
      </c>
      <c r="L1152" s="34" t="n">
        <v>45958</v>
      </c>
      <c r="M1152" s="15" t="n">
        <v>45.62</v>
      </c>
      <c r="N1152" s="15" t="n">
        <v>48.51</v>
      </c>
      <c r="O1152" s="34" t="n">
        <v>45958</v>
      </c>
      <c r="P1152" s="15" t="n">
        <v>60.3</v>
      </c>
      <c r="Q1152" s="15" t="n">
        <v>69.45999999999999</v>
      </c>
      <c r="R1152" s="34" t="n">
        <v>45958</v>
      </c>
      <c r="S1152" s="15" t="n">
        <v>24.94</v>
      </c>
      <c r="V1152" s="15" t="n">
        <v>30.04</v>
      </c>
      <c r="W1152" s="15" t="n">
        <v>29.78</v>
      </c>
      <c r="X1152" s="34" t="n">
        <v>45958</v>
      </c>
      <c r="Y1152" s="15" t="n">
        <v>82.25</v>
      </c>
      <c r="Z1152" s="15" t="n">
        <v>74.41</v>
      </c>
      <c r="AA1152" s="34" t="n">
        <v>45958</v>
      </c>
      <c r="AB1152" s="15" t="n">
        <v>11.35</v>
      </c>
      <c r="AC1152" s="15" t="n">
        <v>15.86</v>
      </c>
      <c r="AD1152" s="34" t="n">
        <v>45958</v>
      </c>
      <c r="AE1152" s="15" t="n">
        <v>38.24</v>
      </c>
      <c r="AF1152" s="15" t="n">
        <v>40.46</v>
      </c>
      <c r="AG1152" s="34" t="n">
        <v>45958</v>
      </c>
      <c r="AH1152" s="15" t="n">
        <v>27.6</v>
      </c>
      <c r="AI1152" s="15" t="n">
        <v>28.48</v>
      </c>
      <c r="AJ1152" s="34" t="n">
        <v>45958</v>
      </c>
      <c r="AK1152" s="15" t="n">
        <v>17.9</v>
      </c>
      <c r="AL1152" s="15" t="n">
        <v>40.02</v>
      </c>
      <c r="AM1152" s="34" t="n">
        <v>45958</v>
      </c>
      <c r="AN1152" s="15" t="n">
        <v>560.5</v>
      </c>
      <c r="AO1152" s="15" t="n">
        <v>386.48</v>
      </c>
      <c r="AP1152" s="34" t="n">
        <v>45958</v>
      </c>
      <c r="AQ1152" s="15" t="n">
        <v>75.59999999999999</v>
      </c>
      <c r="AR1152" s="15" t="n">
        <v>63.62</v>
      </c>
      <c r="AS1152" s="34" t="n">
        <v>45958</v>
      </c>
      <c r="AT1152" s="15" t="n">
        <v>15.05</v>
      </c>
      <c r="AU1152" s="15" t="n">
        <v>18.48</v>
      </c>
      <c r="AV1152" s="34" t="n">
        <v>45958</v>
      </c>
      <c r="AW1152" s="15" t="n">
        <v>32.62</v>
      </c>
      <c r="AX1152" s="15" t="n">
        <v>38.4</v>
      </c>
      <c r="AY1152" s="34" t="n">
        <v>45958</v>
      </c>
      <c r="AZ1152" s="15" t="n">
        <v>42.2</v>
      </c>
      <c r="BA1152" s="15" t="n">
        <v>52.61</v>
      </c>
      <c r="BB1152" s="34" t="n">
        <v>45958</v>
      </c>
      <c r="BC1152" s="15" t="n">
        <v>57.7</v>
      </c>
      <c r="BD1152" s="15" t="n">
        <v>69.83</v>
      </c>
      <c r="BE1152" s="34" t="n">
        <v>45958</v>
      </c>
      <c r="BF1152" s="15" t="n">
        <v>169</v>
      </c>
      <c r="BG1152" s="15" t="n">
        <v>196</v>
      </c>
      <c r="BH1152" s="34" t="n">
        <v>45958</v>
      </c>
      <c r="BI1152" s="15" t="n">
        <v>27.36</v>
      </c>
      <c r="BJ1152" s="15" t="n">
        <v>29.68</v>
      </c>
      <c r="BK1152" s="34" t="n">
        <v>45958</v>
      </c>
      <c r="BL1152" s="15" t="n">
        <v>50.2</v>
      </c>
      <c r="BM1152" s="15" t="n">
        <v>73.17</v>
      </c>
      <c r="BN1152" s="34" t="n">
        <v>45958</v>
      </c>
      <c r="BO1152" s="15" t="n">
        <v>19.06</v>
      </c>
      <c r="BP1152" s="15" t="n">
        <v>27.3</v>
      </c>
      <c r="BQ1152" s="34" t="n">
        <v>45958</v>
      </c>
      <c r="BR1152" s="15" t="n">
        <v>21.9</v>
      </c>
      <c r="BS1152" s="15" t="n">
        <v>21.95</v>
      </c>
      <c r="BT1152" s="34" t="n">
        <v>45958</v>
      </c>
      <c r="BU1152" s="15" t="n">
        <v>92.2</v>
      </c>
      <c r="BV1152" s="15" t="n">
        <v>119.28</v>
      </c>
      <c r="BW1152" s="34" t="n">
        <v>45958</v>
      </c>
    </row>
    <row r="1153">
      <c r="A1153" s="34" t="n">
        <v>45960</v>
      </c>
      <c r="B1153" s="266" t="n">
        <v>1.09463894367218</v>
      </c>
      <c r="C1153" s="34" t="n">
        <v>45960</v>
      </c>
      <c r="D1153" s="15" t="n">
        <v>20.76</v>
      </c>
      <c r="E1153" s="15" t="n">
        <v>35.37</v>
      </c>
      <c r="F1153" s="34" t="n">
        <v>45960</v>
      </c>
      <c r="G1153" s="15" t="n">
        <v>85.8</v>
      </c>
      <c r="H1153" s="15" t="n">
        <v>102.53</v>
      </c>
      <c r="I1153" s="34" t="n">
        <v>45960</v>
      </c>
      <c r="J1153" s="15" t="n">
        <v>24.6</v>
      </c>
      <c r="K1153" s="15" t="n">
        <v>42.07</v>
      </c>
      <c r="L1153" s="34" t="n">
        <v>45960</v>
      </c>
      <c r="M1153" s="15" t="n">
        <v>49.78</v>
      </c>
      <c r="N1153" s="15" t="n">
        <v>55.68</v>
      </c>
      <c r="O1153" s="34" t="n">
        <v>45960</v>
      </c>
      <c r="P1153" s="15" t="n">
        <v>63.15</v>
      </c>
      <c r="Q1153" s="15" t="n">
        <v>73.09999999999999</v>
      </c>
      <c r="R1153" s="34" t="n">
        <v>45960</v>
      </c>
      <c r="S1153" s="15" t="n">
        <v>25.88</v>
      </c>
      <c r="V1153" s="15" t="n">
        <v>30.9</v>
      </c>
      <c r="W1153" s="15" t="n">
        <v>30.95</v>
      </c>
      <c r="X1153" s="34" t="n">
        <v>45960</v>
      </c>
      <c r="Y1153" s="15" t="n">
        <v>83.15000000000001</v>
      </c>
      <c r="Z1153" s="15" t="n">
        <v>75.3</v>
      </c>
      <c r="AA1153" s="34" t="n">
        <v>45960</v>
      </c>
      <c r="AB1153" s="15" t="n">
        <v>11.94</v>
      </c>
      <c r="AC1153" s="15" t="n">
        <v>16.88</v>
      </c>
      <c r="AD1153" s="34" t="n">
        <v>45960</v>
      </c>
      <c r="AE1153" s="15" t="n">
        <v>37.92</v>
      </c>
      <c r="AF1153" s="15" t="n">
        <v>40.93</v>
      </c>
      <c r="AG1153" s="34" t="n">
        <v>45960</v>
      </c>
      <c r="AH1153" s="15" t="n">
        <v>28.88</v>
      </c>
      <c r="AI1153" s="15" t="n">
        <v>29.66</v>
      </c>
      <c r="AJ1153" s="34" t="n">
        <v>45960</v>
      </c>
      <c r="AK1153" s="15" t="n">
        <v>18.51</v>
      </c>
      <c r="AL1153" s="15" t="n">
        <v>41.51</v>
      </c>
      <c r="AM1153" s="34" t="n">
        <v>45960</v>
      </c>
      <c r="AN1153" s="15" t="n">
        <v>574.5</v>
      </c>
      <c r="AO1153" s="15" t="n">
        <v>398.29</v>
      </c>
      <c r="AP1153" s="34" t="n">
        <v>45960</v>
      </c>
      <c r="AQ1153" s="15" t="n">
        <v>72.59999999999999</v>
      </c>
      <c r="AR1153" s="15" t="n">
        <v>62.88</v>
      </c>
      <c r="AS1153" s="34" t="n">
        <v>45960</v>
      </c>
      <c r="AT1153" s="15" t="n">
        <v>14.7</v>
      </c>
      <c r="AU1153" s="15" t="n">
        <v>18.1</v>
      </c>
      <c r="AV1153" s="34" t="n">
        <v>45960</v>
      </c>
      <c r="AW1153" s="15" t="n">
        <v>32.1</v>
      </c>
      <c r="AX1153" s="15" t="n">
        <v>37.98</v>
      </c>
      <c r="AY1153" s="34" t="n">
        <v>45960</v>
      </c>
      <c r="AZ1153" s="15" t="n">
        <v>41.7</v>
      </c>
      <c r="BA1153" s="15" t="n">
        <v>51.22</v>
      </c>
      <c r="BB1153" s="34" t="n">
        <v>45960</v>
      </c>
      <c r="BC1153" s="15" t="n">
        <v>62.05</v>
      </c>
      <c r="BD1153" s="15" t="n">
        <v>73.11</v>
      </c>
      <c r="BE1153" s="34" t="n">
        <v>45960</v>
      </c>
      <c r="BF1153" s="15" t="n">
        <v>164.4</v>
      </c>
      <c r="BG1153" s="15" t="n">
        <v>190.57</v>
      </c>
      <c r="BH1153" s="34" t="n">
        <v>45960</v>
      </c>
      <c r="BI1153" s="15" t="n">
        <v>26.64</v>
      </c>
      <c r="BJ1153" s="15" t="n">
        <v>29.73</v>
      </c>
      <c r="BK1153" s="34" t="n">
        <v>45960</v>
      </c>
      <c r="BL1153" s="15" t="n">
        <v>48.72</v>
      </c>
      <c r="BM1153" s="15" t="n">
        <v>71</v>
      </c>
      <c r="BN1153" s="34" t="n">
        <v>45960</v>
      </c>
      <c r="BO1153" s="15" t="n">
        <v>19.3</v>
      </c>
      <c r="BP1153" s="15" t="n">
        <v>26.82</v>
      </c>
      <c r="BQ1153" s="34" t="n">
        <v>45960</v>
      </c>
      <c r="BR1153" s="15" t="n">
        <v>24.56</v>
      </c>
      <c r="BS1153" s="15" t="n">
        <v>22.51</v>
      </c>
      <c r="BT1153" s="34" t="n">
        <v>45960</v>
      </c>
      <c r="BU1153" s="15" t="n">
        <v>88.8</v>
      </c>
      <c r="BV1153" s="15" t="n">
        <v>111</v>
      </c>
      <c r="BW1153" s="34" t="n">
        <v>45960</v>
      </c>
    </row>
    <row r="1154">
      <c r="A1154" s="34" t="n">
        <v>45961</v>
      </c>
      <c r="B1154" s="266" t="n">
        <v>1.092543959617615</v>
      </c>
      <c r="C1154" s="34" t="n">
        <v>45961</v>
      </c>
      <c r="D1154" s="15" t="n">
        <v>21.44</v>
      </c>
      <c r="E1154" s="15" t="n">
        <v>36.99</v>
      </c>
      <c r="F1154" s="34" t="n">
        <v>45961</v>
      </c>
      <c r="G1154" s="15" t="n">
        <v>83.7</v>
      </c>
      <c r="H1154" s="15" t="n">
        <v>98.09</v>
      </c>
      <c r="I1154" s="34" t="n">
        <v>45961</v>
      </c>
      <c r="J1154" s="15" t="n">
        <v>22.9</v>
      </c>
      <c r="K1154" s="15" t="n">
        <v>39.18</v>
      </c>
      <c r="L1154" s="34" t="n">
        <v>45961</v>
      </c>
      <c r="M1154" s="15" t="n">
        <v>47.7</v>
      </c>
      <c r="N1154" s="15" t="n">
        <v>53.4</v>
      </c>
      <c r="O1154" s="34" t="n">
        <v>45961</v>
      </c>
      <c r="P1154" s="15" t="n">
        <v>66.8</v>
      </c>
      <c r="Q1154" s="15" t="n">
        <v>76.06999999999999</v>
      </c>
      <c r="R1154" s="34" t="n">
        <v>45961</v>
      </c>
      <c r="S1154" s="15" t="n">
        <v>28</v>
      </c>
      <c r="V1154" s="15" t="n">
        <v>29.5</v>
      </c>
      <c r="W1154" s="15" t="n">
        <v>29.95</v>
      </c>
      <c r="X1154" s="34" t="n">
        <v>45961</v>
      </c>
      <c r="Y1154" s="15" t="n">
        <v>84</v>
      </c>
      <c r="Z1154" s="15" t="n">
        <v>76.40000000000001</v>
      </c>
      <c r="AA1154" s="34" t="n">
        <v>45961</v>
      </c>
      <c r="AB1154" s="15" t="n">
        <v>11.75</v>
      </c>
      <c r="AC1154" s="15" t="n">
        <v>17.87</v>
      </c>
      <c r="AD1154" s="34" t="n">
        <v>45961</v>
      </c>
      <c r="AE1154" s="15" t="n">
        <v>36.06</v>
      </c>
      <c r="AF1154" s="15" t="n">
        <v>40.33</v>
      </c>
      <c r="AG1154" s="34" t="n">
        <v>45961</v>
      </c>
      <c r="AH1154" s="15" t="n">
        <v>28.8</v>
      </c>
      <c r="AI1154" s="15" t="n">
        <v>29.79</v>
      </c>
      <c r="AJ1154" s="34" t="n">
        <v>45961</v>
      </c>
      <c r="AK1154" s="15" t="n">
        <v>19.06</v>
      </c>
      <c r="AL1154" s="15" t="n">
        <v>42.32</v>
      </c>
      <c r="AM1154" s="34" t="n">
        <v>45961</v>
      </c>
      <c r="AN1154" s="15" t="n">
        <v>558.5</v>
      </c>
      <c r="AO1154" s="15" t="n">
        <v>388.77</v>
      </c>
      <c r="AP1154" s="34" t="n">
        <v>45961</v>
      </c>
      <c r="AQ1154" s="15" t="n">
        <v>75.2</v>
      </c>
      <c r="AR1154" s="15" t="n">
        <v>64.15000000000001</v>
      </c>
      <c r="AS1154" s="34" t="n">
        <v>45961</v>
      </c>
      <c r="AT1154" s="15" t="n">
        <v>14.43</v>
      </c>
      <c r="AU1154" s="15" t="n">
        <v>18.63</v>
      </c>
      <c r="AV1154" s="34" t="n">
        <v>45961</v>
      </c>
      <c r="AW1154" s="15" t="n">
        <v>32</v>
      </c>
      <c r="AX1154" s="15" t="n">
        <v>38.11</v>
      </c>
      <c r="AY1154" s="34" t="n">
        <v>45961</v>
      </c>
      <c r="AZ1154" s="15" t="n">
        <v>40.88</v>
      </c>
      <c r="BA1154" s="15" t="n">
        <v>49.93</v>
      </c>
      <c r="BB1154" s="34" t="n">
        <v>45961</v>
      </c>
      <c r="BC1154" s="15" t="n">
        <v>62</v>
      </c>
      <c r="BD1154" s="15" t="n">
        <v>73.89</v>
      </c>
      <c r="BE1154" s="34" t="n">
        <v>45961</v>
      </c>
      <c r="BF1154" s="15" t="n">
        <v>158</v>
      </c>
      <c r="BG1154" s="15" t="n">
        <v>193.63</v>
      </c>
      <c r="BH1154" s="34" t="n">
        <v>45961</v>
      </c>
      <c r="BI1154" s="15" t="n">
        <v>26.6</v>
      </c>
      <c r="BJ1154" s="15" t="n">
        <v>29.43</v>
      </c>
      <c r="BK1154" s="34" t="n">
        <v>45961</v>
      </c>
      <c r="BL1154" s="15" t="n">
        <v>47.82</v>
      </c>
      <c r="BM1154" s="15" t="n">
        <v>69.87</v>
      </c>
      <c r="BN1154" s="34" t="n">
        <v>45961</v>
      </c>
      <c r="BO1154" s="15" t="n">
        <v>19.51</v>
      </c>
      <c r="BP1154" s="15" t="n">
        <v>27.31</v>
      </c>
      <c r="BQ1154" s="34" t="n">
        <v>45961</v>
      </c>
      <c r="BR1154" s="15" t="n">
        <v>23.38</v>
      </c>
      <c r="BS1154" s="15" t="n">
        <v>22.14</v>
      </c>
      <c r="BT1154" s="34" t="n">
        <v>45961</v>
      </c>
      <c r="BU1154" s="15" t="n">
        <v>82</v>
      </c>
      <c r="BV1154" s="15" t="n">
        <v>103.04</v>
      </c>
      <c r="BW1154" s="34" t="n">
        <v>45961</v>
      </c>
    </row>
    <row r="1155">
      <c r="A1155" s="34" t="n">
        <v>45964</v>
      </c>
      <c r="B1155" s="266" t="n">
        <v>1.091722965240479</v>
      </c>
      <c r="C1155" s="34" t="n">
        <v>45964</v>
      </c>
      <c r="D1155" s="15" t="n">
        <v>20.74</v>
      </c>
      <c r="E1155" s="15" t="n">
        <v>36.18</v>
      </c>
      <c r="F1155" s="34" t="n">
        <v>45964</v>
      </c>
      <c r="G1155" s="15" t="n">
        <v>85.65000000000001</v>
      </c>
      <c r="H1155" s="15" t="n">
        <v>98.95999999999999</v>
      </c>
      <c r="I1155" s="34" t="n">
        <v>45964</v>
      </c>
      <c r="J1155" s="15" t="n">
        <v>21</v>
      </c>
      <c r="K1155" s="15" t="n">
        <v>36.45</v>
      </c>
      <c r="L1155" s="34" t="n">
        <v>45964</v>
      </c>
      <c r="M1155" s="15" t="n">
        <v>46.58</v>
      </c>
      <c r="N1155" s="15" t="n">
        <v>53.83</v>
      </c>
      <c r="O1155" s="34" t="n">
        <v>45964</v>
      </c>
      <c r="P1155" s="15" t="n">
        <v>67.59999999999999</v>
      </c>
      <c r="Q1155" s="15" t="n">
        <v>76.67</v>
      </c>
      <c r="R1155" s="34" t="n">
        <v>45964</v>
      </c>
      <c r="S1155" s="15" t="n">
        <v>29.24</v>
      </c>
      <c r="V1155" s="15" t="n">
        <v>29.4</v>
      </c>
      <c r="W1155" s="15" t="n">
        <v>30.06</v>
      </c>
      <c r="X1155" s="34" t="n">
        <v>45964</v>
      </c>
      <c r="Y1155" s="15" t="n">
        <v>82.40000000000001</v>
      </c>
      <c r="Z1155" s="15" t="n">
        <v>75.39</v>
      </c>
      <c r="AA1155" s="34" t="n">
        <v>45964</v>
      </c>
      <c r="AB1155" s="15" t="n">
        <v>11.53</v>
      </c>
      <c r="AC1155" s="15" t="n">
        <v>17.89</v>
      </c>
      <c r="AD1155" s="34" t="n">
        <v>45964</v>
      </c>
      <c r="AE1155" s="15" t="n">
        <v>35.9</v>
      </c>
      <c r="AF1155" s="15" t="n">
        <v>40.01</v>
      </c>
      <c r="AG1155" s="34" t="n">
        <v>45964</v>
      </c>
      <c r="AH1155" s="15" t="n">
        <v>29.06</v>
      </c>
      <c r="AI1155" s="15" t="n">
        <v>29.92</v>
      </c>
      <c r="AJ1155" s="34" t="n">
        <v>45964</v>
      </c>
      <c r="AK1155" s="15" t="n">
        <v>19.43</v>
      </c>
      <c r="AL1155" s="15" t="n">
        <v>43.15</v>
      </c>
      <c r="AM1155" s="34" t="n">
        <v>45964</v>
      </c>
      <c r="AN1155" s="15" t="n">
        <v>555</v>
      </c>
      <c r="AO1155" s="15" t="n">
        <v>386.86</v>
      </c>
      <c r="AP1155" s="34" t="n">
        <v>45964</v>
      </c>
      <c r="AQ1155" s="15" t="n">
        <v>74</v>
      </c>
      <c r="AR1155" s="15" t="n">
        <v>63.4</v>
      </c>
      <c r="AS1155" s="34" t="n">
        <v>45964</v>
      </c>
      <c r="AT1155" s="15" t="n">
        <v>14.1</v>
      </c>
      <c r="AU1155" s="15" t="n">
        <v>18.05</v>
      </c>
      <c r="AV1155" s="34" t="n">
        <v>45964</v>
      </c>
      <c r="AW1155" s="15" t="n">
        <v>32.06</v>
      </c>
      <c r="AX1155" s="15" t="n">
        <v>38.15</v>
      </c>
      <c r="AY1155" s="34" t="n">
        <v>45964</v>
      </c>
      <c r="AZ1155" s="15" t="n">
        <v>38.46</v>
      </c>
      <c r="BA1155" s="15" t="n">
        <v>48.79</v>
      </c>
      <c r="BB1155" s="34" t="n">
        <v>45964</v>
      </c>
      <c r="BC1155" s="15" t="n">
        <v>65.8</v>
      </c>
      <c r="BD1155" s="15" t="n">
        <v>74.87</v>
      </c>
      <c r="BE1155" s="34" t="n">
        <v>45964</v>
      </c>
      <c r="BF1155" s="15" t="n">
        <v>159.2</v>
      </c>
      <c r="BG1155" s="15" t="n">
        <v>186.88</v>
      </c>
      <c r="BH1155" s="34" t="n">
        <v>45964</v>
      </c>
      <c r="BI1155" s="15" t="n">
        <v>26.5</v>
      </c>
      <c r="BJ1155" s="15" t="n">
        <v>29.57</v>
      </c>
      <c r="BK1155" s="34" t="n">
        <v>45964</v>
      </c>
      <c r="BL1155" s="15" t="n">
        <v>46.4</v>
      </c>
      <c r="BM1155" s="15" t="n">
        <v>70.16</v>
      </c>
      <c r="BN1155" s="34" t="n">
        <v>45964</v>
      </c>
      <c r="BO1155" s="15" t="n">
        <v>19.64</v>
      </c>
      <c r="BP1155" s="15" t="n">
        <v>27.8</v>
      </c>
      <c r="BQ1155" s="34" t="n">
        <v>45964</v>
      </c>
      <c r="BR1155" s="15" t="n">
        <v>23.36</v>
      </c>
      <c r="BS1155" s="15" t="n">
        <v>21.88</v>
      </c>
      <c r="BT1155" s="34" t="n">
        <v>45964</v>
      </c>
      <c r="BU1155" s="15" t="n">
        <v>83.5</v>
      </c>
      <c r="BV1155" s="15" t="n">
        <v>103.57</v>
      </c>
      <c r="BW1155" s="34" t="n">
        <v>45964</v>
      </c>
    </row>
    <row r="1156">
      <c r="A1156" s="34" t="n">
        <v>45965</v>
      </c>
      <c r="B1156" s="266" t="n">
        <v>1.083533048629761</v>
      </c>
      <c r="C1156" s="34" t="n">
        <v>45965</v>
      </c>
      <c r="D1156" s="15" t="n">
        <v>19.66</v>
      </c>
      <c r="E1156" s="15" t="n">
        <v>34.44</v>
      </c>
      <c r="F1156" s="34" t="n">
        <v>45965</v>
      </c>
      <c r="G1156" s="15" t="n">
        <v>83.15000000000001</v>
      </c>
      <c r="H1156" s="15" t="n">
        <v>95.36</v>
      </c>
      <c r="I1156" s="34" t="n">
        <v>45965</v>
      </c>
      <c r="J1156" s="15" t="n">
        <v>20.14</v>
      </c>
      <c r="K1156" s="15" t="n">
        <v>36.13</v>
      </c>
      <c r="L1156" s="34" t="n">
        <v>45965</v>
      </c>
      <c r="M1156" s="15" t="n">
        <v>44.4</v>
      </c>
      <c r="N1156" s="15" t="n">
        <v>52.25</v>
      </c>
      <c r="O1156" s="34" t="n">
        <v>45965</v>
      </c>
      <c r="P1156" s="15" t="n">
        <v>64.40000000000001</v>
      </c>
      <c r="Q1156" s="15" t="n">
        <v>75.45</v>
      </c>
      <c r="R1156" s="34" t="n">
        <v>45965</v>
      </c>
      <c r="S1156" s="15" t="n">
        <v>29.48</v>
      </c>
      <c r="V1156" s="15" t="n">
        <v>32.36</v>
      </c>
      <c r="W1156" s="15" t="n">
        <v>30.99</v>
      </c>
      <c r="X1156" s="34" t="n">
        <v>45965</v>
      </c>
      <c r="Y1156" s="15" t="n">
        <v>84.15000000000001</v>
      </c>
      <c r="Z1156" s="15" t="n">
        <v>75.16</v>
      </c>
      <c r="AA1156" s="34" t="n">
        <v>45965</v>
      </c>
      <c r="AB1156" s="15" t="n">
        <v>11.09</v>
      </c>
      <c r="AC1156" s="15" t="n">
        <v>17.39</v>
      </c>
      <c r="AD1156" s="34" t="n">
        <v>45965</v>
      </c>
      <c r="AE1156" s="15" t="n">
        <v>35.36</v>
      </c>
      <c r="AF1156" s="15" t="n">
        <v>39.85</v>
      </c>
      <c r="AG1156" s="34" t="n">
        <v>45965</v>
      </c>
      <c r="AH1156" s="15" t="n">
        <v>27.6</v>
      </c>
      <c r="AI1156" s="15" t="n">
        <v>28.57</v>
      </c>
      <c r="AJ1156" s="34" t="n">
        <v>45965</v>
      </c>
      <c r="AK1156" s="15" t="n">
        <v>18.63</v>
      </c>
      <c r="AL1156" s="15" t="n">
        <v>41.96</v>
      </c>
      <c r="AM1156" s="34" t="n">
        <v>45965</v>
      </c>
      <c r="AN1156" s="15" t="n">
        <v>548</v>
      </c>
      <c r="AO1156" s="15" t="n">
        <v>378.95</v>
      </c>
      <c r="AP1156" s="34" t="n">
        <v>45965</v>
      </c>
      <c r="AQ1156" s="15" t="n">
        <v>71.45</v>
      </c>
      <c r="AR1156" s="15" t="n">
        <v>61.92</v>
      </c>
      <c r="AS1156" s="34" t="n">
        <v>45965</v>
      </c>
      <c r="AT1156" s="15" t="n">
        <v>13.12</v>
      </c>
      <c r="AU1156" s="15" t="n">
        <v>17</v>
      </c>
      <c r="AV1156" s="34" t="n">
        <v>45965</v>
      </c>
      <c r="AW1156" s="15" t="n">
        <v>32</v>
      </c>
      <c r="AX1156" s="15" t="n">
        <v>37.75</v>
      </c>
      <c r="AY1156" s="34" t="n">
        <v>45965</v>
      </c>
      <c r="AZ1156" s="15" t="n">
        <v>36</v>
      </c>
      <c r="BA1156" s="15" t="n">
        <v>46.95</v>
      </c>
      <c r="BB1156" s="34" t="n">
        <v>45965</v>
      </c>
      <c r="BC1156" s="15" t="n">
        <v>64.5</v>
      </c>
      <c r="BD1156" s="15" t="n">
        <v>73.81999999999999</v>
      </c>
      <c r="BE1156" s="34" t="n">
        <v>45965</v>
      </c>
      <c r="BF1156" s="15" t="n">
        <v>149.4</v>
      </c>
      <c r="BG1156" s="15" t="n">
        <v>179.5</v>
      </c>
      <c r="BH1156" s="34" t="n">
        <v>45965</v>
      </c>
      <c r="BI1156" s="15" t="n">
        <v>24.9</v>
      </c>
      <c r="BJ1156" s="15" t="n">
        <v>28.59</v>
      </c>
      <c r="BK1156" s="34" t="n">
        <v>45965</v>
      </c>
      <c r="BL1156" s="15" t="n">
        <v>45.12</v>
      </c>
      <c r="BM1156" s="15" t="n">
        <v>68.55</v>
      </c>
      <c r="BN1156" s="34" t="n">
        <v>45965</v>
      </c>
      <c r="BO1156" s="15" t="n">
        <v>19.25</v>
      </c>
      <c r="BP1156" s="15" t="n">
        <v>26.91</v>
      </c>
      <c r="BQ1156" s="34" t="n">
        <v>45965</v>
      </c>
      <c r="BR1156" s="15" t="n">
        <v>22.46</v>
      </c>
      <c r="BS1156" s="15" t="n">
        <v>21.71</v>
      </c>
      <c r="BT1156" s="34" t="n">
        <v>45965</v>
      </c>
      <c r="BU1156" s="15" t="n">
        <v>76.59999999999999</v>
      </c>
      <c r="BV1156" s="15" t="n">
        <v>102.19</v>
      </c>
      <c r="BW1156" s="34" t="n">
        <v>45965</v>
      </c>
    </row>
    <row r="1157">
      <c r="A1157" s="34" t="n">
        <v>45966</v>
      </c>
      <c r="B1157" s="266" t="n">
        <v>1.090273976325989</v>
      </c>
      <c r="C1157" s="34" t="n">
        <v>45966</v>
      </c>
      <c r="D1157" s="15" t="n">
        <v>19.01</v>
      </c>
      <c r="E1157" s="15" t="n">
        <v>33.18</v>
      </c>
      <c r="F1157" s="34" t="n">
        <v>45966</v>
      </c>
      <c r="G1157" s="15" t="n">
        <v>82.09999999999999</v>
      </c>
      <c r="H1157" s="15" t="n">
        <v>93.91</v>
      </c>
      <c r="I1157" s="34" t="n">
        <v>45966</v>
      </c>
      <c r="J1157" s="15" t="n">
        <v>19.9</v>
      </c>
      <c r="K1157" s="15" t="n">
        <v>36.07</v>
      </c>
      <c r="L1157" s="34" t="n">
        <v>45966</v>
      </c>
      <c r="M1157" s="15" t="n">
        <v>46.48</v>
      </c>
      <c r="N1157" s="15" t="n">
        <v>54.27</v>
      </c>
      <c r="O1157" s="34" t="n">
        <v>45966</v>
      </c>
      <c r="P1157" s="15" t="n">
        <v>66.95</v>
      </c>
      <c r="Q1157" s="15" t="n">
        <v>77.59999999999999</v>
      </c>
      <c r="R1157" s="34" t="n">
        <v>45966</v>
      </c>
      <c r="S1157" s="15" t="n">
        <v>28.46</v>
      </c>
      <c r="V1157" s="15" t="n">
        <v>34.94</v>
      </c>
      <c r="W1157" s="15" t="n">
        <v>31.64</v>
      </c>
      <c r="X1157" s="34" t="n">
        <v>45966</v>
      </c>
      <c r="Y1157" s="15" t="n">
        <v>84.45</v>
      </c>
      <c r="Z1157" s="15" t="n">
        <v>75.94</v>
      </c>
      <c r="AA1157" s="34" t="n">
        <v>45966</v>
      </c>
      <c r="AB1157" s="15" t="n">
        <v>12.25</v>
      </c>
      <c r="AC1157" s="15" t="n">
        <v>19.13</v>
      </c>
      <c r="AD1157" s="34" t="n">
        <v>45966</v>
      </c>
      <c r="AE1157" s="15" t="n">
        <v>35.3</v>
      </c>
      <c r="AF1157" s="15" t="n">
        <v>39.63</v>
      </c>
      <c r="AG1157" s="34" t="n">
        <v>45966</v>
      </c>
      <c r="AH1157" s="15" t="n">
        <v>27.96</v>
      </c>
      <c r="AI1157" s="15" t="n">
        <v>29.26</v>
      </c>
      <c r="AJ1157" s="34" t="n">
        <v>45966</v>
      </c>
      <c r="AK1157" s="15" t="n">
        <v>19.1</v>
      </c>
      <c r="AL1157" s="15" t="n">
        <v>43.5</v>
      </c>
      <c r="AM1157" s="34" t="n">
        <v>45966</v>
      </c>
      <c r="AN1157" s="15" t="n">
        <v>547.5</v>
      </c>
      <c r="AO1157" s="15" t="n">
        <v>388.7</v>
      </c>
      <c r="AP1157" s="34" t="n">
        <v>45966</v>
      </c>
      <c r="AQ1157" s="15" t="n">
        <v>72.3</v>
      </c>
      <c r="AR1157" s="15" t="n">
        <v>61.96</v>
      </c>
      <c r="AS1157" s="34" t="n">
        <v>45966</v>
      </c>
      <c r="AT1157" s="15" t="n">
        <v>12.9</v>
      </c>
      <c r="AU1157" s="15" t="n">
        <v>16.66</v>
      </c>
      <c r="AV1157" s="34" t="n">
        <v>45966</v>
      </c>
      <c r="AW1157" s="15" t="n">
        <v>32.56</v>
      </c>
      <c r="AX1157" s="15" t="n">
        <v>37.69</v>
      </c>
      <c r="AY1157" s="34" t="n">
        <v>45966</v>
      </c>
      <c r="AZ1157" s="15" t="n">
        <v>35.9</v>
      </c>
      <c r="BA1157" s="15" t="n">
        <v>46.62</v>
      </c>
      <c r="BB1157" s="34" t="n">
        <v>45966</v>
      </c>
      <c r="BC1157" s="15" t="n">
        <v>66.3</v>
      </c>
      <c r="BD1157" s="15" t="n">
        <v>74.81</v>
      </c>
      <c r="BE1157" s="34" t="n">
        <v>45966</v>
      </c>
      <c r="BF1157" s="15" t="n">
        <v>148.9</v>
      </c>
      <c r="BG1157" s="15" t="n">
        <v>179.32</v>
      </c>
      <c r="BH1157" s="34" t="n">
        <v>45966</v>
      </c>
      <c r="BI1157" s="15" t="n">
        <v>25.3</v>
      </c>
      <c r="BJ1157" s="15" t="n">
        <v>28.53</v>
      </c>
      <c r="BK1157" s="34" t="n">
        <v>45966</v>
      </c>
      <c r="BL1157" s="15" t="n">
        <v>44.4</v>
      </c>
      <c r="BM1157" s="15" t="n">
        <v>68.09999999999999</v>
      </c>
      <c r="BN1157" s="34" t="n">
        <v>45966</v>
      </c>
      <c r="BO1157" s="15" t="n">
        <v>19.4</v>
      </c>
      <c r="BP1157" s="15" t="n">
        <v>26.57</v>
      </c>
      <c r="BQ1157" s="34" t="n">
        <v>45966</v>
      </c>
      <c r="BR1157" s="15" t="n">
        <v>22.72</v>
      </c>
      <c r="BS1157" s="15" t="n">
        <v>21.82</v>
      </c>
      <c r="BT1157" s="34" t="n">
        <v>45966</v>
      </c>
      <c r="BU1157" s="15" t="n">
        <v>78.2</v>
      </c>
      <c r="BV1157" s="15" t="n">
        <v>100.1</v>
      </c>
      <c r="BW1157" s="34" t="n">
        <v>45966</v>
      </c>
      <c r="BX1157" s="15" t="n">
        <v>131.5</v>
      </c>
      <c r="BY1157" s="15" t="n">
        <v>146.03</v>
      </c>
      <c r="BZ1157" s="34" t="n">
        <v>45966</v>
      </c>
    </row>
    <row r="1158">
      <c r="A1158" s="34" t="n">
        <v>45967</v>
      </c>
      <c r="B1158" s="266" t="n">
        <v>1.090808033943176</v>
      </c>
      <c r="C1158" s="34" t="n">
        <v>45967</v>
      </c>
      <c r="D1158" s="15" t="n">
        <v>19.74</v>
      </c>
      <c r="E1158" s="15" t="n">
        <v>33.6</v>
      </c>
      <c r="F1158" s="34" t="n">
        <v>45967</v>
      </c>
      <c r="G1158" s="15" t="n">
        <v>83.25</v>
      </c>
      <c r="H1158" s="15" t="n">
        <v>94.90000000000001</v>
      </c>
      <c r="I1158" s="34" t="n">
        <v>45967</v>
      </c>
      <c r="J1158" s="15" t="n">
        <v>20.68</v>
      </c>
      <c r="K1158" s="15" t="n">
        <v>36.42</v>
      </c>
      <c r="L1158" s="34" t="n">
        <v>45967</v>
      </c>
      <c r="M1158" s="15" t="n">
        <v>48.88</v>
      </c>
      <c r="N1158" s="15" t="n">
        <v>55.14</v>
      </c>
      <c r="O1158" s="34" t="n">
        <v>45967</v>
      </c>
      <c r="P1158" s="15" t="n">
        <v>67.8</v>
      </c>
      <c r="Q1158" s="15" t="n">
        <v>75.34</v>
      </c>
      <c r="R1158" s="34" t="n">
        <v>45967</v>
      </c>
      <c r="S1158" s="15" t="n">
        <v>28.4</v>
      </c>
      <c r="V1158" s="15" t="n">
        <v>33.64</v>
      </c>
      <c r="W1158" s="15" t="n">
        <v>32.45</v>
      </c>
      <c r="X1158" s="34" t="n">
        <v>45967</v>
      </c>
      <c r="Y1158" s="15" t="n">
        <v>87.05</v>
      </c>
      <c r="Z1158" s="15" t="n">
        <v>77.03</v>
      </c>
      <c r="AA1158" s="34" t="n">
        <v>45967</v>
      </c>
      <c r="AB1158" s="15" t="n">
        <v>11.8</v>
      </c>
      <c r="AC1158" s="15" t="n">
        <v>18.94</v>
      </c>
      <c r="AD1158" s="34" t="n">
        <v>45967</v>
      </c>
      <c r="AE1158" s="15" t="n">
        <v>35.56</v>
      </c>
      <c r="AF1158" s="15" t="n">
        <v>40.03</v>
      </c>
      <c r="AG1158" s="34" t="n">
        <v>45967</v>
      </c>
      <c r="AH1158" s="15" t="n">
        <v>28.88</v>
      </c>
      <c r="AI1158" s="15" t="n">
        <v>29.7</v>
      </c>
      <c r="AJ1158" s="34" t="n">
        <v>45967</v>
      </c>
      <c r="AK1158" s="15" t="n">
        <v>18.87</v>
      </c>
      <c r="AL1158" s="15" t="n">
        <v>42.88</v>
      </c>
      <c r="AM1158" s="34" t="n">
        <v>45967</v>
      </c>
      <c r="AN1158" s="15" t="n">
        <v>554.5</v>
      </c>
      <c r="AO1158" s="15" t="n">
        <v>394.68</v>
      </c>
      <c r="AP1158" s="34" t="n">
        <v>45967</v>
      </c>
      <c r="AQ1158" s="15" t="n">
        <v>72.45</v>
      </c>
      <c r="AR1158" s="15" t="n">
        <v>62.42</v>
      </c>
      <c r="AS1158" s="34" t="n">
        <v>45967</v>
      </c>
      <c r="AT1158" s="15" t="n">
        <v>12.9</v>
      </c>
      <c r="AU1158" s="15" t="n">
        <v>16.53</v>
      </c>
      <c r="AV1158" s="34" t="n">
        <v>45967</v>
      </c>
      <c r="AW1158" s="15" t="n">
        <v>32.04</v>
      </c>
      <c r="AX1158" s="15" t="n">
        <v>37.71</v>
      </c>
      <c r="AY1158" s="34" t="n">
        <v>45967</v>
      </c>
      <c r="AZ1158" s="15" t="n">
        <v>38.54</v>
      </c>
      <c r="BA1158" s="15" t="n">
        <v>50.36</v>
      </c>
      <c r="BB1158" s="34" t="n">
        <v>45967</v>
      </c>
      <c r="BC1158" s="15" t="n">
        <v>64.15000000000001</v>
      </c>
      <c r="BD1158" s="15" t="n">
        <v>74.5</v>
      </c>
      <c r="BE1158" s="34" t="n">
        <v>45967</v>
      </c>
      <c r="BF1158" s="15" t="n">
        <v>161.2</v>
      </c>
      <c r="BG1158" s="15" t="n">
        <v>196.1</v>
      </c>
      <c r="BH1158" s="34" t="n">
        <v>45967</v>
      </c>
      <c r="BI1158" s="15" t="n">
        <v>26.92</v>
      </c>
      <c r="BJ1158" s="15" t="n">
        <v>31.27</v>
      </c>
      <c r="BK1158" s="34" t="n">
        <v>45967</v>
      </c>
      <c r="BL1158" s="15" t="n">
        <v>45.9</v>
      </c>
      <c r="BM1158" s="15" t="n">
        <v>70.39</v>
      </c>
      <c r="BN1158" s="34" t="n">
        <v>45967</v>
      </c>
      <c r="BO1158" s="15" t="n">
        <v>19.13</v>
      </c>
      <c r="BP1158" s="15" t="n">
        <v>26.94</v>
      </c>
      <c r="BQ1158" s="34" t="n">
        <v>45967</v>
      </c>
      <c r="BR1158" s="15" t="n">
        <v>23.76</v>
      </c>
      <c r="BS1158" s="15" t="n">
        <v>21.99</v>
      </c>
      <c r="BT1158" s="34" t="n">
        <v>45967</v>
      </c>
      <c r="BU1158" s="15" t="n">
        <v>82.2</v>
      </c>
      <c r="BV1158" s="15" t="n">
        <v>104.3</v>
      </c>
      <c r="BW1158" s="34" t="n">
        <v>45967</v>
      </c>
      <c r="BX1158" s="15" t="n">
        <v>123.9</v>
      </c>
      <c r="BY1158" s="15" t="n">
        <v>142.13</v>
      </c>
      <c r="BZ1158" s="34" t="n">
        <v>45967</v>
      </c>
      <c r="CA1158" s="15" t="n">
        <v>20.24</v>
      </c>
      <c r="CB1158" s="15" t="n">
        <v>30.07</v>
      </c>
      <c r="CC1158" s="34" t="n">
        <v>45967</v>
      </c>
    </row>
    <row r="1159">
      <c r="A1159" s="34" t="n">
        <v>45968</v>
      </c>
      <c r="B1159" s="266" t="n">
        <v>1.092054009437561</v>
      </c>
      <c r="C1159" s="34" t="n">
        <v>45968</v>
      </c>
      <c r="D1159" s="15" t="n">
        <v>18.88</v>
      </c>
      <c r="E1159" s="15" t="n">
        <v>32.49</v>
      </c>
      <c r="F1159" s="34" t="n">
        <v>45968</v>
      </c>
      <c r="G1159" s="15" t="n">
        <v>83.59999999999999</v>
      </c>
      <c r="H1159" s="15" t="n">
        <v>95.19</v>
      </c>
      <c r="I1159" s="34" t="n">
        <v>45968</v>
      </c>
      <c r="J1159" s="15" t="n">
        <v>20.72</v>
      </c>
      <c r="K1159" s="15" t="n">
        <v>36.58</v>
      </c>
      <c r="L1159" s="34" t="n">
        <v>45968</v>
      </c>
      <c r="M1159" s="15" t="n">
        <v>52.55</v>
      </c>
      <c r="N1159" s="15" t="n">
        <v>56.99</v>
      </c>
      <c r="O1159" s="34" t="n">
        <v>45968</v>
      </c>
      <c r="P1159" s="15" t="n">
        <v>70.75</v>
      </c>
      <c r="Q1159" s="15" t="n">
        <v>78.98999999999999</v>
      </c>
      <c r="R1159" s="34" t="n">
        <v>45968</v>
      </c>
      <c r="S1159" s="15" t="n">
        <v>28</v>
      </c>
      <c r="V1159" s="15" t="n">
        <v>32.5</v>
      </c>
      <c r="W1159" s="15" t="n">
        <v>31.27</v>
      </c>
      <c r="X1159" s="34" t="n">
        <v>45968</v>
      </c>
      <c r="Y1159" s="15" t="n">
        <v>86.15000000000001</v>
      </c>
      <c r="Z1159" s="15" t="n">
        <v>76.2</v>
      </c>
      <c r="AA1159" s="34" t="n">
        <v>45968</v>
      </c>
      <c r="AB1159" s="15" t="n">
        <v>12.75</v>
      </c>
      <c r="AC1159" s="15" t="n">
        <v>20.24</v>
      </c>
      <c r="AD1159" s="34" t="n">
        <v>45968</v>
      </c>
      <c r="AE1159" s="15" t="n">
        <v>35.32</v>
      </c>
      <c r="AF1159" s="15" t="n">
        <v>39.98</v>
      </c>
      <c r="AG1159" s="34" t="n">
        <v>45968</v>
      </c>
      <c r="AH1159" s="15" t="n">
        <v>28.86</v>
      </c>
      <c r="AI1159" s="15" t="n">
        <v>29.63</v>
      </c>
      <c r="AJ1159" s="34" t="n">
        <v>45968</v>
      </c>
      <c r="AK1159" s="15" t="n">
        <v>19.03</v>
      </c>
      <c r="AL1159" s="15" t="n">
        <v>43.23</v>
      </c>
      <c r="AM1159" s="34" t="n">
        <v>45968</v>
      </c>
      <c r="AN1159" s="15" t="n">
        <v>558.5</v>
      </c>
      <c r="AO1159" s="15" t="n">
        <v>395.37</v>
      </c>
      <c r="AP1159" s="34" t="n">
        <v>45968</v>
      </c>
      <c r="AQ1159" s="15" t="n">
        <v>69.95</v>
      </c>
      <c r="AR1159" s="15" t="n">
        <v>61.58</v>
      </c>
      <c r="AS1159" s="34" t="n">
        <v>45968</v>
      </c>
      <c r="AT1159" s="15" t="n">
        <v>12.78</v>
      </c>
      <c r="AU1159" s="15" t="n">
        <v>16.4</v>
      </c>
      <c r="AV1159" s="34" t="n">
        <v>45968</v>
      </c>
      <c r="AW1159" s="15" t="n">
        <v>32.64</v>
      </c>
      <c r="AX1159" s="15" t="n">
        <v>37.97</v>
      </c>
      <c r="AY1159" s="34" t="n">
        <v>45968</v>
      </c>
      <c r="AZ1159" s="15" t="n">
        <v>37.68</v>
      </c>
      <c r="BA1159" s="15" t="n">
        <v>48.42</v>
      </c>
      <c r="BB1159" s="34" t="n">
        <v>45968</v>
      </c>
      <c r="BC1159" s="15" t="n">
        <v>64.8</v>
      </c>
      <c r="BD1159" s="15" t="n">
        <v>74.18000000000001</v>
      </c>
      <c r="BE1159" s="34" t="n">
        <v>45968</v>
      </c>
      <c r="BF1159" s="15" t="n">
        <v>153</v>
      </c>
      <c r="BG1159" s="15" t="n">
        <v>188.5</v>
      </c>
      <c r="BH1159" s="34" t="n">
        <v>45968</v>
      </c>
      <c r="BI1159" s="15" t="n">
        <v>26.54</v>
      </c>
      <c r="BJ1159" s="15" t="n">
        <v>31.12</v>
      </c>
      <c r="BK1159" s="34" t="n">
        <v>45968</v>
      </c>
      <c r="BL1159" s="15" t="n">
        <v>45.68</v>
      </c>
      <c r="BM1159" s="15" t="n">
        <v>70.17</v>
      </c>
      <c r="BN1159" s="34" t="n">
        <v>45968</v>
      </c>
      <c r="BO1159" s="15" t="n">
        <v>18.37</v>
      </c>
      <c r="BP1159" s="15" t="n">
        <v>25.82</v>
      </c>
      <c r="BQ1159" s="34" t="n">
        <v>45968</v>
      </c>
      <c r="BR1159" s="15" t="n">
        <v>23.56</v>
      </c>
      <c r="BS1159" s="15" t="n">
        <v>22.13</v>
      </c>
      <c r="BT1159" s="34" t="n">
        <v>45968</v>
      </c>
      <c r="BU1159" s="15" t="n">
        <v>78.09999999999999</v>
      </c>
      <c r="BV1159" s="15" t="n">
        <v>101.7</v>
      </c>
      <c r="BW1159" s="34" t="n">
        <v>45968</v>
      </c>
      <c r="BX1159" s="15" t="n">
        <v>114</v>
      </c>
      <c r="BY1159" s="15" t="n">
        <v>138.57</v>
      </c>
      <c r="BZ1159" s="34" t="n">
        <v>45968</v>
      </c>
      <c r="CA1159" s="15" t="n">
        <v>18.5</v>
      </c>
      <c r="CB1159" s="15" t="n">
        <v>28.93</v>
      </c>
      <c r="CC1159" s="34" t="n">
        <v>45968</v>
      </c>
    </row>
    <row r="1160">
      <c r="A1160" s="34" t="n">
        <v>45971</v>
      </c>
      <c r="B1160" s="266" t="n">
        <v>1.092267036437988</v>
      </c>
      <c r="C1160" s="34" t="n">
        <v>45971</v>
      </c>
      <c r="D1160" s="15" t="n">
        <v>19.57</v>
      </c>
      <c r="E1160" s="15" t="n">
        <v>33.03</v>
      </c>
      <c r="F1160" s="34" t="n">
        <v>45971</v>
      </c>
      <c r="G1160" s="15" t="n">
        <v>84</v>
      </c>
      <c r="H1160" s="15" t="n">
        <v>95.43000000000001</v>
      </c>
      <c r="I1160" s="34" t="n">
        <v>45971</v>
      </c>
      <c r="J1160" s="15" t="n">
        <v>20.48</v>
      </c>
      <c r="K1160" s="15" t="n">
        <v>35.84</v>
      </c>
      <c r="L1160" s="34" t="n">
        <v>45971</v>
      </c>
      <c r="M1160" s="15" t="n">
        <v>54.15</v>
      </c>
      <c r="N1160" s="15" t="n">
        <v>57.51</v>
      </c>
      <c r="O1160" s="34" t="n">
        <v>45971</v>
      </c>
      <c r="P1160" s="15" t="n">
        <v>81.59999999999999</v>
      </c>
      <c r="Q1160" s="15" t="n">
        <v>86.89</v>
      </c>
      <c r="R1160" s="34" t="n">
        <v>45971</v>
      </c>
      <c r="S1160" s="15" t="n">
        <v>28</v>
      </c>
      <c r="V1160" s="15" t="n">
        <v>31.96</v>
      </c>
      <c r="W1160" s="15" t="n">
        <v>30.81</v>
      </c>
      <c r="X1160" s="34" t="n">
        <v>45971</v>
      </c>
      <c r="Y1160" s="15" t="n">
        <v>87.34999999999999</v>
      </c>
      <c r="Z1160" s="15" t="n">
        <v>77.33</v>
      </c>
      <c r="AA1160" s="34" t="n">
        <v>45971</v>
      </c>
      <c r="AB1160" s="15" t="n">
        <v>12.92</v>
      </c>
      <c r="AC1160" s="15" t="n">
        <v>19.71</v>
      </c>
      <c r="AD1160" s="34" t="n">
        <v>45971</v>
      </c>
      <c r="AE1160" s="15" t="n">
        <v>36.08</v>
      </c>
      <c r="AF1160" s="15" t="n">
        <v>40.8</v>
      </c>
      <c r="AG1160" s="34" t="n">
        <v>45971</v>
      </c>
      <c r="AH1160" s="15" t="n">
        <v>30.76</v>
      </c>
      <c r="AI1160" s="15" t="n">
        <v>30.93</v>
      </c>
      <c r="AJ1160" s="34" t="n">
        <v>45971</v>
      </c>
      <c r="AK1160" s="15" t="n">
        <v>19.45</v>
      </c>
      <c r="AL1160" s="15" t="n">
        <v>44.07</v>
      </c>
      <c r="AM1160" s="34" t="n">
        <v>45971</v>
      </c>
      <c r="AN1160" s="15" t="n">
        <v>548</v>
      </c>
      <c r="AO1160" s="15" t="n">
        <v>384.51</v>
      </c>
      <c r="AP1160" s="34" t="n">
        <v>45971</v>
      </c>
      <c r="AQ1160" s="15" t="n">
        <v>71.2</v>
      </c>
      <c r="AR1160" s="15" t="n">
        <v>61.83</v>
      </c>
      <c r="AS1160" s="34" t="n">
        <v>45971</v>
      </c>
      <c r="AT1160" s="15" t="n">
        <v>13.13</v>
      </c>
      <c r="AU1160" s="15" t="n">
        <v>16.44</v>
      </c>
      <c r="AV1160" s="34" t="n">
        <v>45971</v>
      </c>
      <c r="AW1160" s="15" t="n">
        <v>33.46</v>
      </c>
      <c r="AX1160" s="15" t="n">
        <v>38.65</v>
      </c>
      <c r="AY1160" s="34" t="n">
        <v>45971</v>
      </c>
      <c r="AZ1160" s="15" t="n">
        <v>36.32</v>
      </c>
      <c r="BA1160" s="15" t="n">
        <v>45.51</v>
      </c>
      <c r="BB1160" s="34" t="n">
        <v>45971</v>
      </c>
      <c r="BC1160" s="15" t="n">
        <v>68.09999999999999</v>
      </c>
      <c r="BD1160" s="15" t="n">
        <v>78.08</v>
      </c>
      <c r="BE1160" s="34" t="n">
        <v>45971</v>
      </c>
      <c r="BF1160" s="15" t="n">
        <v>153.8</v>
      </c>
      <c r="BG1160" s="15" t="n">
        <v>189.28</v>
      </c>
      <c r="BH1160" s="34" t="n">
        <v>45971</v>
      </c>
      <c r="BI1160" s="15" t="n">
        <v>26.6</v>
      </c>
      <c r="BJ1160" s="15" t="n">
        <v>29.85</v>
      </c>
      <c r="BK1160" s="34" t="n">
        <v>45971</v>
      </c>
      <c r="BL1160" s="15" t="n">
        <v>46.52</v>
      </c>
      <c r="BM1160" s="15" t="n">
        <v>69.53</v>
      </c>
      <c r="BN1160" s="34" t="n">
        <v>45971</v>
      </c>
      <c r="BO1160" s="15" t="n">
        <v>18.51</v>
      </c>
      <c r="BP1160" s="15" t="n">
        <v>25.7</v>
      </c>
      <c r="BQ1160" s="34" t="n">
        <v>45971</v>
      </c>
      <c r="BR1160" s="15" t="n">
        <v>22.86</v>
      </c>
      <c r="BS1160" s="15" t="n">
        <v>21.13</v>
      </c>
      <c r="BT1160" s="34" t="n">
        <v>45971</v>
      </c>
      <c r="BU1160" s="15" t="n">
        <v>84</v>
      </c>
      <c r="BV1160" s="15" t="n">
        <v>110.51</v>
      </c>
      <c r="BW1160" s="34" t="n">
        <v>45971</v>
      </c>
      <c r="BX1160" s="15" t="n">
        <v>115.6</v>
      </c>
      <c r="BY1160" s="15" t="n">
        <v>138.65</v>
      </c>
      <c r="BZ1160" s="34" t="n">
        <v>45971</v>
      </c>
      <c r="CA1160" s="15" t="n">
        <v>18.31</v>
      </c>
      <c r="CB1160" s="15" t="n">
        <v>28.55</v>
      </c>
      <c r="CC1160" s="34" t="n">
        <v>45971</v>
      </c>
    </row>
    <row r="1161">
      <c r="A1161" s="34" t="n">
        <v>45972</v>
      </c>
      <c r="B1161" s="266" t="n">
        <v>1.091644048690796</v>
      </c>
      <c r="C1161" s="34" t="n">
        <v>45972</v>
      </c>
      <c r="D1161" s="15" t="n">
        <v>19.1</v>
      </c>
      <c r="E1161" s="15" t="n">
        <v>32.42</v>
      </c>
      <c r="F1161" s="34" t="n">
        <v>45972</v>
      </c>
      <c r="G1161" s="15" t="n">
        <v>82.45</v>
      </c>
      <c r="H1161" s="15" t="n">
        <v>94.05</v>
      </c>
      <c r="I1161" s="34" t="n">
        <v>45972</v>
      </c>
      <c r="J1161" s="15" t="n">
        <v>20.22</v>
      </c>
      <c r="K1161" s="15" t="n">
        <v>35.15</v>
      </c>
      <c r="L1161" s="34" t="n">
        <v>45972</v>
      </c>
      <c r="M1161" s="15" t="n">
        <v>51.75</v>
      </c>
      <c r="N1161" s="15" t="n">
        <v>55.32</v>
      </c>
      <c r="O1161" s="34" t="n">
        <v>45972</v>
      </c>
      <c r="P1161" s="15" t="n">
        <v>80.65000000000001</v>
      </c>
      <c r="Q1161" s="15" t="n">
        <v>90.53</v>
      </c>
      <c r="R1161" s="34" t="n">
        <v>45972</v>
      </c>
      <c r="S1161" s="15" t="n">
        <v>28.8</v>
      </c>
      <c r="V1161" s="15" t="n">
        <v>34.2</v>
      </c>
      <c r="W1161" s="15" t="n">
        <v>33.18</v>
      </c>
      <c r="X1161" s="34" t="n">
        <v>45972</v>
      </c>
      <c r="Y1161" s="15" t="n">
        <v>86.09999999999999</v>
      </c>
      <c r="Z1161" s="15" t="n">
        <v>77.23</v>
      </c>
      <c r="AA1161" s="34" t="n">
        <v>45972</v>
      </c>
      <c r="AB1161" s="15" t="n">
        <v>13.07</v>
      </c>
      <c r="AC1161" s="15" t="n">
        <v>19.73</v>
      </c>
      <c r="AD1161" s="34" t="n">
        <v>45972</v>
      </c>
      <c r="AE1161" s="15" t="n">
        <v>36.04</v>
      </c>
      <c r="AF1161" s="15" t="n">
        <v>40.51</v>
      </c>
      <c r="AG1161" s="34" t="n">
        <v>45972</v>
      </c>
      <c r="AH1161" s="15" t="n">
        <v>30.46</v>
      </c>
      <c r="AI1161" s="15" t="n">
        <v>30.58</v>
      </c>
      <c r="AJ1161" s="34" t="n">
        <v>45972</v>
      </c>
      <c r="AK1161" s="15" t="n">
        <v>19.62</v>
      </c>
      <c r="AL1161" s="15" t="n">
        <v>44.12</v>
      </c>
      <c r="AM1161" s="34" t="n">
        <v>45972</v>
      </c>
      <c r="AN1161" s="15" t="n">
        <v>542.5</v>
      </c>
      <c r="AO1161" s="15" t="n">
        <v>385.6</v>
      </c>
      <c r="AP1161" s="34" t="n">
        <v>45972</v>
      </c>
      <c r="AQ1161" s="15" t="n">
        <v>70.84999999999999</v>
      </c>
      <c r="AR1161" s="15" t="n">
        <v>61.06</v>
      </c>
      <c r="AS1161" s="34" t="n">
        <v>45972</v>
      </c>
      <c r="AT1161" s="15" t="n">
        <v>13.35</v>
      </c>
      <c r="AU1161" s="15" t="n">
        <v>16.38</v>
      </c>
      <c r="AV1161" s="34" t="n">
        <v>45972</v>
      </c>
      <c r="AW1161" s="15" t="n">
        <v>33.26</v>
      </c>
      <c r="AX1161" s="15" t="n">
        <v>38.62</v>
      </c>
      <c r="AY1161" s="34" t="n">
        <v>45972</v>
      </c>
      <c r="AZ1161" s="15" t="n">
        <v>35.72</v>
      </c>
      <c r="BA1161" s="15" t="n">
        <v>43.9</v>
      </c>
      <c r="BB1161" s="34" t="n">
        <v>45972</v>
      </c>
      <c r="BC1161" s="15" t="n">
        <v>67.45</v>
      </c>
      <c r="BD1161" s="15" t="n">
        <v>77.20999999999999</v>
      </c>
      <c r="BE1161" s="34" t="n">
        <v>45972</v>
      </c>
      <c r="BF1161" s="15" t="n">
        <v>149</v>
      </c>
      <c r="BG1161" s="15" t="n">
        <v>188.89</v>
      </c>
      <c r="BH1161" s="34" t="n">
        <v>45972</v>
      </c>
      <c r="BI1161" s="15" t="n">
        <v>26.18</v>
      </c>
      <c r="BJ1161" s="15" t="n">
        <v>28.8</v>
      </c>
      <c r="BK1161" s="34" t="n">
        <v>45972</v>
      </c>
      <c r="BL1161" s="15" t="n">
        <v>50.85</v>
      </c>
      <c r="BM1161" s="15" t="n">
        <v>73.84999999999999</v>
      </c>
      <c r="BN1161" s="34" t="n">
        <v>45972</v>
      </c>
      <c r="BO1161" s="15" t="n">
        <v>18.52</v>
      </c>
      <c r="BP1161" s="15" t="n">
        <v>25.35</v>
      </c>
      <c r="BQ1161" s="34" t="n">
        <v>45972</v>
      </c>
      <c r="BR1161" s="15" t="n">
        <v>22.84</v>
      </c>
      <c r="BS1161" s="15" t="n">
        <v>20.91</v>
      </c>
      <c r="BT1161" s="34" t="n">
        <v>45972</v>
      </c>
      <c r="BU1161" s="15" t="n">
        <v>80.34999999999999</v>
      </c>
      <c r="BV1161" s="15" t="n">
        <v>105.14</v>
      </c>
      <c r="BW1161" s="34" t="n">
        <v>45972</v>
      </c>
      <c r="BX1161" s="15" t="n">
        <v>110</v>
      </c>
      <c r="BY1161" s="15" t="n">
        <v>133.84</v>
      </c>
      <c r="BZ1161" s="34" t="n">
        <v>45972</v>
      </c>
      <c r="CA1161" s="15" t="n">
        <v>17.66</v>
      </c>
      <c r="CB1161" s="15" t="n">
        <v>28.15</v>
      </c>
      <c r="CC1161" s="34" t="n">
        <v>45972</v>
      </c>
    </row>
    <row r="1162">
      <c r="A1162" s="34" t="n">
        <v>45973</v>
      </c>
      <c r="B1162" s="266" t="n">
        <v>1.091495990753174</v>
      </c>
      <c r="C1162" s="34" t="n">
        <v>45973</v>
      </c>
      <c r="D1162" s="15" t="n">
        <v>19.72</v>
      </c>
      <c r="E1162" s="15" t="n">
        <v>33.07</v>
      </c>
      <c r="F1162" s="34" t="n">
        <v>45973</v>
      </c>
      <c r="G1162" s="15" t="n">
        <v>84.25</v>
      </c>
      <c r="H1162" s="15" t="n">
        <v>94.31</v>
      </c>
      <c r="I1162" s="34" t="n">
        <v>45973</v>
      </c>
      <c r="J1162" s="15" t="n">
        <v>19.68</v>
      </c>
      <c r="K1162" s="15" t="n">
        <v>34.33</v>
      </c>
      <c r="L1162" s="34" t="n">
        <v>45973</v>
      </c>
      <c r="M1162" s="15" t="n">
        <v>51.45</v>
      </c>
      <c r="N1162" s="15" t="n">
        <v>54.1</v>
      </c>
      <c r="O1162" s="34" t="n">
        <v>45973</v>
      </c>
      <c r="P1162" s="15" t="n">
        <v>78.90000000000001</v>
      </c>
      <c r="Q1162" s="15" t="n">
        <v>89.20999999999999</v>
      </c>
      <c r="R1162" s="34" t="n">
        <v>45973</v>
      </c>
      <c r="S1162" s="15" t="n">
        <v>30.4</v>
      </c>
      <c r="V1162" s="15" t="n">
        <v>32.64</v>
      </c>
      <c r="W1162" s="15" t="n">
        <v>32.17</v>
      </c>
      <c r="X1162" s="34" t="n">
        <v>45973</v>
      </c>
      <c r="Y1162" s="15" t="n">
        <v>89.84999999999999</v>
      </c>
      <c r="Z1162" s="15" t="n">
        <v>79.48999999999999</v>
      </c>
      <c r="AA1162" s="34" t="n">
        <v>45973</v>
      </c>
      <c r="AB1162" s="15" t="n">
        <v>13.28</v>
      </c>
      <c r="AC1162" s="15" t="n">
        <v>19.62</v>
      </c>
      <c r="AD1162" s="34" t="n">
        <v>45973</v>
      </c>
      <c r="AE1162" s="15" t="n">
        <v>36.06</v>
      </c>
      <c r="AF1162" s="15" t="n">
        <v>40.4</v>
      </c>
      <c r="AG1162" s="34" t="n">
        <v>45973</v>
      </c>
      <c r="AH1162" s="15" t="n">
        <v>30.22</v>
      </c>
      <c r="AI1162" s="15" t="n">
        <v>30.49</v>
      </c>
      <c r="AJ1162" s="34" t="n">
        <v>45973</v>
      </c>
      <c r="AK1162" s="15" t="n">
        <v>18.75</v>
      </c>
      <c r="AL1162" s="15" t="n">
        <v>42.27</v>
      </c>
      <c r="AM1162" s="34" t="n">
        <v>45973</v>
      </c>
      <c r="AN1162" s="15" t="n">
        <v>550</v>
      </c>
      <c r="AO1162" s="15" t="n">
        <v>386.38</v>
      </c>
      <c r="AP1162" s="34" t="n">
        <v>45973</v>
      </c>
      <c r="AQ1162" s="15" t="n">
        <v>71.8</v>
      </c>
      <c r="AR1162" s="15" t="n">
        <v>62.1</v>
      </c>
      <c r="AS1162" s="34" t="n">
        <v>45973</v>
      </c>
      <c r="AT1162" s="15" t="n">
        <v>13.19</v>
      </c>
      <c r="AU1162" s="15" t="n">
        <v>16.32</v>
      </c>
      <c r="AV1162" s="34" t="n">
        <v>45973</v>
      </c>
      <c r="AW1162" s="15" t="n">
        <v>33.58</v>
      </c>
      <c r="AX1162" s="15" t="n">
        <v>38.46</v>
      </c>
      <c r="AY1162" s="34" t="n">
        <v>45973</v>
      </c>
      <c r="AZ1162" s="15" t="n">
        <v>35.44</v>
      </c>
      <c r="BA1162" s="15" t="n">
        <v>43.88</v>
      </c>
      <c r="BB1162" s="34" t="n">
        <v>45973</v>
      </c>
      <c r="BC1162" s="15" t="n">
        <v>70.59999999999999</v>
      </c>
      <c r="BD1162" s="15" t="n">
        <v>81.22</v>
      </c>
      <c r="BE1162" s="34" t="n">
        <v>45973</v>
      </c>
      <c r="BF1162" s="15" t="n">
        <v>145.7</v>
      </c>
      <c r="BG1162" s="15" t="n">
        <v>182.22</v>
      </c>
      <c r="BH1162" s="34" t="n">
        <v>45973</v>
      </c>
      <c r="BI1162" s="15" t="n">
        <v>26.6</v>
      </c>
      <c r="BJ1162" s="15" t="n">
        <v>29.83</v>
      </c>
      <c r="BK1162" s="34" t="n">
        <v>45973</v>
      </c>
      <c r="BL1162" s="15" t="n">
        <v>49.4</v>
      </c>
      <c r="BM1162" s="15" t="n">
        <v>72.3</v>
      </c>
      <c r="BN1162" s="34" t="n">
        <v>45973</v>
      </c>
      <c r="BO1162" s="15" t="n">
        <v>19.4</v>
      </c>
      <c r="BP1162" s="15" t="n">
        <v>25.53</v>
      </c>
      <c r="BQ1162" s="34" t="n">
        <v>45973</v>
      </c>
      <c r="BR1162" s="15" t="n">
        <v>22.2</v>
      </c>
      <c r="BS1162" s="15" t="n">
        <v>20.65</v>
      </c>
      <c r="BT1162" s="34" t="n">
        <v>45973</v>
      </c>
      <c r="BU1162" s="15" t="n">
        <v>77.84999999999999</v>
      </c>
      <c r="BV1162" s="15" t="n">
        <v>102.69</v>
      </c>
      <c r="BW1162" s="34" t="n">
        <v>45973</v>
      </c>
      <c r="BX1162" s="15" t="n">
        <v>115.5</v>
      </c>
      <c r="BY1162" s="15" t="n">
        <v>135.69</v>
      </c>
      <c r="BZ1162" s="34" t="n">
        <v>45973</v>
      </c>
      <c r="CA1162" s="15" t="n">
        <v>17.44</v>
      </c>
      <c r="CB1162" s="15" t="n">
        <v>27.61</v>
      </c>
      <c r="CC1162" s="34" t="n">
        <v>45973</v>
      </c>
    </row>
    <row r="1163">
      <c r="A1163" s="34" t="n">
        <v>45974</v>
      </c>
      <c r="B1163" s="266" t="n">
        <v>1.092489004135132</v>
      </c>
      <c r="C1163" s="34" t="n">
        <v>45974</v>
      </c>
      <c r="D1163" s="15" t="n">
        <v>19.88</v>
      </c>
      <c r="E1163" s="15" t="n">
        <v>33.54</v>
      </c>
      <c r="F1163" s="34" t="n">
        <v>45974</v>
      </c>
      <c r="G1163" s="15" t="n">
        <v>84.34999999999999</v>
      </c>
      <c r="H1163" s="15" t="n">
        <v>96.19</v>
      </c>
      <c r="I1163" s="34" t="n">
        <v>45974</v>
      </c>
      <c r="J1163" s="15" t="n">
        <v>19.9</v>
      </c>
      <c r="K1163" s="15" t="n">
        <v>35.24</v>
      </c>
      <c r="L1163" s="34" t="n">
        <v>45974</v>
      </c>
      <c r="M1163" s="15" t="n">
        <v>56.7</v>
      </c>
      <c r="N1163" s="15" t="n">
        <v>59.5</v>
      </c>
      <c r="O1163" s="34" t="n">
        <v>45974</v>
      </c>
      <c r="P1163" s="15" t="n">
        <v>79</v>
      </c>
      <c r="Q1163" s="15" t="n">
        <v>90.52</v>
      </c>
      <c r="R1163" s="34" t="n">
        <v>45974</v>
      </c>
      <c r="S1163" s="15" t="n">
        <v>32.5</v>
      </c>
      <c r="V1163" s="15" t="n">
        <v>32.66</v>
      </c>
      <c r="W1163" s="15" t="n">
        <v>31.45</v>
      </c>
      <c r="X1163" s="34" t="n">
        <v>45974</v>
      </c>
      <c r="Y1163" s="15" t="n">
        <v>89.65000000000001</v>
      </c>
      <c r="Z1163" s="15" t="n">
        <v>79.59999999999999</v>
      </c>
      <c r="AA1163" s="34" t="n">
        <v>45974</v>
      </c>
      <c r="AB1163" s="15" t="n">
        <v>15.72</v>
      </c>
      <c r="AC1163" s="15" t="n">
        <v>21.24</v>
      </c>
      <c r="AD1163" s="34" t="n">
        <v>45974</v>
      </c>
      <c r="AE1163" s="15" t="n">
        <v>35.98</v>
      </c>
      <c r="AF1163" s="15" t="n">
        <v>40.58</v>
      </c>
      <c r="AG1163" s="34" t="n">
        <v>45974</v>
      </c>
      <c r="AH1163" s="15" t="n">
        <v>31.18</v>
      </c>
      <c r="AI1163" s="15" t="n">
        <v>31.44</v>
      </c>
      <c r="AJ1163" s="34" t="n">
        <v>45974</v>
      </c>
      <c r="AK1163" s="15" t="n">
        <v>18.84</v>
      </c>
      <c r="AL1163" s="15" t="n">
        <v>42.52</v>
      </c>
      <c r="AM1163" s="34" t="n">
        <v>45974</v>
      </c>
      <c r="AN1163" s="15" t="n">
        <v>567.5</v>
      </c>
      <c r="AO1163" s="15" t="n">
        <v>415.6</v>
      </c>
      <c r="AP1163" s="34" t="n">
        <v>45974</v>
      </c>
      <c r="AQ1163" s="15" t="n">
        <v>72.65000000000001</v>
      </c>
      <c r="AR1163" s="15" t="n">
        <v>63.56</v>
      </c>
      <c r="AS1163" s="34" t="n">
        <v>45974</v>
      </c>
      <c r="AT1163" s="15" t="n">
        <v>13.49</v>
      </c>
      <c r="AU1163" s="15" t="n">
        <v>16.42</v>
      </c>
      <c r="AV1163" s="34" t="n">
        <v>45974</v>
      </c>
      <c r="AW1163" s="15" t="n">
        <v>33.76</v>
      </c>
      <c r="AX1163" s="15" t="n">
        <v>38.6</v>
      </c>
      <c r="AY1163" s="34" t="n">
        <v>45974</v>
      </c>
      <c r="AZ1163" s="15" t="n">
        <v>35.62</v>
      </c>
      <c r="BA1163" s="15" t="n">
        <v>44.29</v>
      </c>
      <c r="BB1163" s="34" t="n">
        <v>45974</v>
      </c>
      <c r="BC1163" s="15" t="n">
        <v>71.5</v>
      </c>
      <c r="BD1163" s="15" t="n">
        <v>83.5</v>
      </c>
      <c r="BE1163" s="34" t="n">
        <v>45974</v>
      </c>
      <c r="BF1163" s="15" t="n">
        <v>148</v>
      </c>
      <c r="BG1163" s="15" t="n">
        <v>183.68</v>
      </c>
      <c r="BH1163" s="34" t="n">
        <v>45974</v>
      </c>
      <c r="BI1163" s="15" t="n">
        <v>26.36</v>
      </c>
      <c r="BJ1163" s="15" t="n">
        <v>29.16</v>
      </c>
      <c r="BK1163" s="34" t="n">
        <v>45974</v>
      </c>
      <c r="BL1163" s="15" t="n">
        <v>52.1</v>
      </c>
      <c r="BM1163" s="15" t="n">
        <v>73.93000000000001</v>
      </c>
      <c r="BN1163" s="34" t="n">
        <v>45974</v>
      </c>
      <c r="BO1163" s="15" t="n">
        <v>20.4</v>
      </c>
      <c r="BP1163" s="15" t="n">
        <v>26.11</v>
      </c>
      <c r="BQ1163" s="34" t="n">
        <v>45974</v>
      </c>
      <c r="BR1163" s="15" t="n">
        <v>22.44</v>
      </c>
      <c r="BS1163" s="15" t="n">
        <v>20.89</v>
      </c>
      <c r="BT1163" s="34" t="n">
        <v>45974</v>
      </c>
      <c r="BU1163" s="15" t="n">
        <v>83.90000000000001</v>
      </c>
      <c r="BV1163" s="15" t="n">
        <v>107.06</v>
      </c>
      <c r="BW1163" s="34" t="n">
        <v>45974</v>
      </c>
      <c r="BX1163" s="15" t="n">
        <v>119.6</v>
      </c>
      <c r="BY1163" s="15" t="n">
        <v>136.35</v>
      </c>
      <c r="BZ1163" s="34" t="n">
        <v>45974</v>
      </c>
      <c r="CA1163" s="15" t="n">
        <v>17.5</v>
      </c>
      <c r="CB1163" s="15" t="n">
        <v>27.73</v>
      </c>
      <c r="CC1163" s="34" t="n">
        <v>45974</v>
      </c>
    </row>
    <row r="1164">
      <c r="A1164" s="34" t="n">
        <v>45975</v>
      </c>
      <c r="B1164" s="266" t="n">
        <v>1.092411994934082</v>
      </c>
      <c r="C1164" s="34" t="n">
        <v>45975</v>
      </c>
      <c r="D1164" s="15" t="n">
        <v>19.43</v>
      </c>
      <c r="E1164" s="15" t="n">
        <v>33.1</v>
      </c>
      <c r="F1164" s="34" t="n">
        <v>45975</v>
      </c>
      <c r="G1164" s="15" t="n">
        <v>82</v>
      </c>
      <c r="H1164" s="15" t="n">
        <v>95.31</v>
      </c>
      <c r="I1164" s="34" t="n">
        <v>45975</v>
      </c>
      <c r="J1164" s="15" t="n">
        <v>19.69</v>
      </c>
      <c r="K1164" s="15" t="n">
        <v>34.5</v>
      </c>
      <c r="L1164" s="34" t="n">
        <v>45975</v>
      </c>
      <c r="M1164" s="15" t="n">
        <v>53.95</v>
      </c>
      <c r="N1164" s="15" t="n">
        <v>56.61</v>
      </c>
      <c r="O1164" s="34" t="n">
        <v>45975</v>
      </c>
      <c r="P1164" s="15" t="n">
        <v>77.09999999999999</v>
      </c>
      <c r="Q1164" s="15" t="n">
        <v>88.28</v>
      </c>
      <c r="R1164" s="34" t="n">
        <v>45975</v>
      </c>
      <c r="S1164" s="15" t="n">
        <v>32.54</v>
      </c>
      <c r="V1164" s="15" t="n">
        <v>33.66</v>
      </c>
      <c r="W1164" s="15" t="n">
        <v>33.5</v>
      </c>
      <c r="X1164" s="34" t="n">
        <v>45975</v>
      </c>
      <c r="Y1164" s="15" t="n">
        <v>88.84999999999999</v>
      </c>
      <c r="Z1164" s="15" t="n">
        <v>79.23</v>
      </c>
      <c r="AA1164" s="34" t="n">
        <v>45975</v>
      </c>
      <c r="AB1164" s="15" t="n">
        <v>14.67</v>
      </c>
      <c r="AC1164" s="15" t="n">
        <v>20.27</v>
      </c>
      <c r="AD1164" s="34" t="n">
        <v>45975</v>
      </c>
      <c r="AE1164" s="15" t="n">
        <v>35.8</v>
      </c>
      <c r="AF1164" s="15" t="n">
        <v>40.29</v>
      </c>
      <c r="AG1164" s="34" t="n">
        <v>45975</v>
      </c>
      <c r="AH1164" s="15" t="n">
        <v>30.44</v>
      </c>
      <c r="AI1164" s="15" t="n">
        <v>30.62</v>
      </c>
      <c r="AJ1164" s="34" t="n">
        <v>45975</v>
      </c>
      <c r="AK1164" s="15" t="n">
        <v>18.91</v>
      </c>
      <c r="AL1164" s="15" t="n">
        <v>43.21</v>
      </c>
      <c r="AM1164" s="34" t="n">
        <v>45975</v>
      </c>
      <c r="AN1164" s="15" t="n">
        <v>542</v>
      </c>
      <c r="AO1164" s="15" t="n">
        <v>404.12</v>
      </c>
      <c r="AP1164" s="34" t="n">
        <v>45975</v>
      </c>
      <c r="AQ1164" s="15" t="n">
        <v>71.59999999999999</v>
      </c>
      <c r="AR1164" s="15" t="n">
        <v>62.9</v>
      </c>
      <c r="AS1164" s="34" t="n">
        <v>45975</v>
      </c>
      <c r="AT1164" s="15" t="n">
        <v>13.36</v>
      </c>
      <c r="AU1164" s="15" t="n">
        <v>16.23</v>
      </c>
      <c r="AV1164" s="34" t="n">
        <v>45975</v>
      </c>
      <c r="AW1164" s="15" t="n">
        <v>33.4</v>
      </c>
      <c r="AX1164" s="15" t="n">
        <v>38.42</v>
      </c>
      <c r="AY1164" s="34" t="n">
        <v>45975</v>
      </c>
      <c r="AZ1164" s="15" t="n">
        <v>33.56</v>
      </c>
      <c r="BA1164" s="15" t="n">
        <v>42.48</v>
      </c>
      <c r="BB1164" s="34" t="n">
        <v>45975</v>
      </c>
      <c r="BC1164" s="15" t="n">
        <v>68.40000000000001</v>
      </c>
      <c r="BD1164" s="15" t="n">
        <v>81.53</v>
      </c>
      <c r="BE1164" s="34" t="n">
        <v>45975</v>
      </c>
      <c r="BF1164" s="15" t="n">
        <v>140.6</v>
      </c>
      <c r="BG1164" s="15" t="n">
        <v>179.16</v>
      </c>
      <c r="BH1164" s="34" t="n">
        <v>45975</v>
      </c>
      <c r="BI1164" s="15" t="n">
        <v>25.34</v>
      </c>
      <c r="BJ1164" s="15" t="n">
        <v>27.9</v>
      </c>
      <c r="BK1164" s="34" t="n">
        <v>45975</v>
      </c>
      <c r="BL1164" s="15" t="n">
        <v>52.2</v>
      </c>
      <c r="BM1164" s="15" t="n">
        <v>76.26000000000001</v>
      </c>
      <c r="BN1164" s="34" t="n">
        <v>45975</v>
      </c>
      <c r="BO1164" s="15" t="n">
        <v>19.94</v>
      </c>
      <c r="BP1164" s="15" t="n">
        <v>25.19</v>
      </c>
      <c r="BQ1164" s="34" t="n">
        <v>45975</v>
      </c>
      <c r="BR1164" s="15" t="n">
        <v>22.56</v>
      </c>
      <c r="BS1164" s="15" t="n">
        <v>20.66</v>
      </c>
      <c r="BT1164" s="34" t="n">
        <v>45975</v>
      </c>
      <c r="BU1164" s="15" t="n">
        <v>80.15000000000001</v>
      </c>
      <c r="BV1164" s="15" t="n">
        <v>108.41</v>
      </c>
      <c r="BW1164" s="34" t="n">
        <v>45975</v>
      </c>
      <c r="BX1164" s="15" t="n">
        <v>120.3</v>
      </c>
      <c r="BY1164" s="15" t="n">
        <v>135.2</v>
      </c>
      <c r="BZ1164" s="34" t="n">
        <v>45975</v>
      </c>
      <c r="CA1164" s="15" t="n">
        <v>16.87</v>
      </c>
      <c r="CB1164" s="15" t="n">
        <v>27.01</v>
      </c>
      <c r="CC1164" s="34" t="n">
        <v>45975</v>
      </c>
    </row>
    <row r="1165">
      <c r="A1165" s="34" t="n">
        <v>45978</v>
      </c>
      <c r="B1165" s="266" t="n">
        <v>1.094588041305542</v>
      </c>
      <c r="C1165" s="34" t="n">
        <v>45978</v>
      </c>
      <c r="D1165" s="15" t="n">
        <v>18.38</v>
      </c>
      <c r="E1165" s="15" t="n">
        <v>31.81</v>
      </c>
      <c r="F1165" s="34" t="n">
        <v>45978</v>
      </c>
      <c r="G1165" s="15" t="n">
        <v>80.34999999999999</v>
      </c>
      <c r="H1165" s="15" t="n">
        <v>92.7</v>
      </c>
      <c r="I1165" s="34" t="n">
        <v>45978</v>
      </c>
      <c r="J1165" s="15" t="n">
        <v>19.97</v>
      </c>
      <c r="K1165" s="15" t="n">
        <v>35.05</v>
      </c>
      <c r="L1165" s="34" t="n">
        <v>45978</v>
      </c>
      <c r="M1165" s="15" t="n">
        <v>57</v>
      </c>
      <c r="N1165" s="15" t="n">
        <v>62.2</v>
      </c>
      <c r="O1165" s="34" t="n">
        <v>45978</v>
      </c>
      <c r="P1165" s="15" t="n">
        <v>77.65000000000001</v>
      </c>
      <c r="Q1165" s="15" t="n">
        <v>87.8</v>
      </c>
      <c r="R1165" s="34" t="n">
        <v>45978</v>
      </c>
      <c r="S1165" s="15" t="n">
        <v>33.58</v>
      </c>
      <c r="V1165" s="15" t="n">
        <v>35.12</v>
      </c>
      <c r="W1165" s="15" t="n">
        <v>35.8</v>
      </c>
      <c r="X1165" s="34" t="n">
        <v>45978</v>
      </c>
      <c r="Y1165" s="15" t="n">
        <v>87.55</v>
      </c>
      <c r="Z1165" s="15" t="n">
        <v>78.42</v>
      </c>
      <c r="AA1165" s="34" t="n">
        <v>45978</v>
      </c>
      <c r="AB1165" s="15" t="n">
        <v>15.33</v>
      </c>
      <c r="AC1165" s="15" t="n">
        <v>20.41</v>
      </c>
      <c r="AD1165" s="34" t="n">
        <v>45978</v>
      </c>
      <c r="AE1165" s="15" t="n">
        <v>35.52</v>
      </c>
      <c r="AF1165" s="15" t="n">
        <v>39.76</v>
      </c>
      <c r="AG1165" s="34" t="n">
        <v>45978</v>
      </c>
      <c r="AH1165" s="15" t="n">
        <v>29.44</v>
      </c>
      <c r="AI1165" s="15" t="n">
        <v>29.96</v>
      </c>
      <c r="AJ1165" s="34" t="n">
        <v>45978</v>
      </c>
      <c r="AK1165" s="15" t="n">
        <v>18.46</v>
      </c>
      <c r="AL1165" s="15" t="n">
        <v>42.53</v>
      </c>
      <c r="AM1165" s="34" t="n">
        <v>45978</v>
      </c>
      <c r="AN1165" s="15" t="n">
        <v>526</v>
      </c>
      <c r="AO1165" s="15" t="n">
        <v>390.78</v>
      </c>
      <c r="AP1165" s="34" t="n">
        <v>45978</v>
      </c>
      <c r="AQ1165" s="15" t="n">
        <v>71.09999999999999</v>
      </c>
      <c r="AR1165" s="15" t="n">
        <v>61.8</v>
      </c>
      <c r="AS1165" s="34" t="n">
        <v>45978</v>
      </c>
      <c r="AT1165" s="15" t="n">
        <v>12.99</v>
      </c>
      <c r="AU1165" s="15" t="n">
        <v>16.03</v>
      </c>
      <c r="AV1165" s="34" t="n">
        <v>45978</v>
      </c>
      <c r="AW1165" s="15" t="n">
        <v>33.26</v>
      </c>
      <c r="AX1165" s="15" t="n">
        <v>38.19</v>
      </c>
      <c r="AY1165" s="34" t="n">
        <v>45978</v>
      </c>
      <c r="AZ1165" s="15" t="n">
        <v>33.34</v>
      </c>
      <c r="BA1165" s="15" t="n">
        <v>41.85</v>
      </c>
      <c r="BB1165" s="34" t="n">
        <v>45978</v>
      </c>
      <c r="BC1165" s="15" t="n">
        <v>69.5</v>
      </c>
      <c r="BD1165" s="15" t="n">
        <v>82.09999999999999</v>
      </c>
      <c r="BE1165" s="34" t="n">
        <v>45978</v>
      </c>
      <c r="BF1165" s="15" t="n">
        <v>138.9</v>
      </c>
      <c r="BG1165" s="15" t="n">
        <v>176.99</v>
      </c>
      <c r="BH1165" s="34" t="n">
        <v>45978</v>
      </c>
      <c r="BI1165" s="15" t="n">
        <v>24.56</v>
      </c>
      <c r="BJ1165" s="15" t="n">
        <v>27.23</v>
      </c>
      <c r="BK1165" s="34" t="n">
        <v>45978</v>
      </c>
      <c r="BL1165" s="15" t="n">
        <v>54</v>
      </c>
      <c r="BM1165" s="15" t="n">
        <v>80.45</v>
      </c>
      <c r="BN1165" s="34" t="n">
        <v>45978</v>
      </c>
      <c r="BO1165" s="15" t="n">
        <v>19.02</v>
      </c>
      <c r="BP1165" s="15" t="n">
        <v>25.11</v>
      </c>
      <c r="BQ1165" s="34" t="n">
        <v>45978</v>
      </c>
      <c r="BR1165" s="15" t="n">
        <v>22.7</v>
      </c>
      <c r="BS1165" s="15" t="n">
        <v>20.57</v>
      </c>
      <c r="BT1165" s="34" t="n">
        <v>45978</v>
      </c>
      <c r="BU1165" s="15" t="n">
        <v>80.40000000000001</v>
      </c>
      <c r="BV1165" s="15" t="n">
        <v>107</v>
      </c>
      <c r="BW1165" s="34" t="n">
        <v>45978</v>
      </c>
      <c r="BX1165" s="15" t="n">
        <v>120.1</v>
      </c>
      <c r="BY1165" s="15" t="n">
        <v>133.62</v>
      </c>
      <c r="BZ1165" s="34" t="n">
        <v>45978</v>
      </c>
      <c r="CA1165" s="15" t="n">
        <v>17.01</v>
      </c>
      <c r="CB1165" s="15" t="n">
        <v>26.95</v>
      </c>
      <c r="CC1165" s="34" t="n">
        <v>45978</v>
      </c>
      <c r="CD1165" s="15" t="n">
        <v>33.96</v>
      </c>
      <c r="CE1165" s="15" t="n">
        <v>50.22</v>
      </c>
      <c r="CF1165" s="34" t="n">
        <v>45978</v>
      </c>
    </row>
    <row r="1166">
      <c r="A1166" s="34" t="n">
        <v>45979</v>
      </c>
      <c r="B1166" s="266" t="n">
        <v>1.093616008758545</v>
      </c>
      <c r="C1166" s="34" t="n">
        <v>45979</v>
      </c>
      <c r="D1166" s="15" t="n">
        <v>17.86</v>
      </c>
      <c r="E1166" s="15" t="n">
        <v>31.33</v>
      </c>
      <c r="F1166" s="34" t="n">
        <v>45979</v>
      </c>
      <c r="G1166" s="15" t="n">
        <v>79.34999999999999</v>
      </c>
      <c r="H1166" s="15" t="n">
        <v>92.95</v>
      </c>
      <c r="I1166" s="34" t="n">
        <v>45979</v>
      </c>
      <c r="J1166" s="15" t="n">
        <v>19.11</v>
      </c>
      <c r="K1166" s="15" t="n">
        <v>34.52</v>
      </c>
      <c r="L1166" s="34" t="n">
        <v>45979</v>
      </c>
      <c r="M1166" s="15" t="n">
        <v>53.05</v>
      </c>
      <c r="N1166" s="15" t="n">
        <v>59.94</v>
      </c>
      <c r="O1166" s="34" t="n">
        <v>45979</v>
      </c>
      <c r="P1166" s="15" t="n">
        <v>73.05</v>
      </c>
      <c r="Q1166" s="15" t="n">
        <v>85.04000000000001</v>
      </c>
      <c r="R1166" s="34" t="n">
        <v>45979</v>
      </c>
      <c r="S1166" s="15" t="n">
        <v>33.24</v>
      </c>
      <c r="V1166" s="15" t="n">
        <v>32.8</v>
      </c>
      <c r="W1166" s="15" t="n">
        <v>32.78</v>
      </c>
      <c r="X1166" s="34" t="n">
        <v>45979</v>
      </c>
      <c r="Y1166" s="15" t="n">
        <v>85.75</v>
      </c>
      <c r="Z1166" s="15" t="n">
        <v>77.40000000000001</v>
      </c>
      <c r="AA1166" s="34" t="n">
        <v>45979</v>
      </c>
      <c r="AB1166" s="15" t="n">
        <v>14.44</v>
      </c>
      <c r="AC1166" s="15" t="n">
        <v>19.39</v>
      </c>
      <c r="AD1166" s="34" t="n">
        <v>45979</v>
      </c>
      <c r="AE1166" s="15" t="n">
        <v>35.04</v>
      </c>
      <c r="AF1166" s="15" t="n">
        <v>39.64</v>
      </c>
      <c r="AG1166" s="34" t="n">
        <v>45979</v>
      </c>
      <c r="AH1166" s="15" t="n">
        <v>28.22</v>
      </c>
      <c r="AI1166" s="15" t="n">
        <v>29.3</v>
      </c>
      <c r="AJ1166" s="34" t="n">
        <v>45979</v>
      </c>
      <c r="AK1166" s="15" t="n">
        <v>18.25</v>
      </c>
      <c r="AL1166" s="15" t="n">
        <v>43.07</v>
      </c>
      <c r="AM1166" s="34" t="n">
        <v>45979</v>
      </c>
      <c r="AN1166" s="15" t="n">
        <v>504</v>
      </c>
      <c r="AO1166" s="15" t="n">
        <v>385</v>
      </c>
      <c r="AP1166" s="34" t="n">
        <v>45979</v>
      </c>
      <c r="AQ1166" s="15" t="n">
        <v>70.8</v>
      </c>
      <c r="AR1166" s="15" t="n">
        <v>61.78</v>
      </c>
      <c r="AS1166" s="34" t="n">
        <v>45979</v>
      </c>
      <c r="AT1166" s="15" t="n">
        <v>13.16</v>
      </c>
      <c r="AU1166" s="15" t="n">
        <v>16.25</v>
      </c>
      <c r="AV1166" s="34" t="n">
        <v>45979</v>
      </c>
      <c r="AW1166" s="15" t="n">
        <v>32.98</v>
      </c>
      <c r="AX1166" s="15" t="n">
        <v>37.97</v>
      </c>
      <c r="AY1166" s="34" t="n">
        <v>45979</v>
      </c>
      <c r="AZ1166" s="15" t="n">
        <v>32.96</v>
      </c>
      <c r="BA1166" s="15" t="n">
        <v>42.14</v>
      </c>
      <c r="BB1166" s="34" t="n">
        <v>45979</v>
      </c>
      <c r="BC1166" s="15" t="n">
        <v>67.5</v>
      </c>
      <c r="BD1166" s="15" t="n">
        <v>80.5</v>
      </c>
      <c r="BE1166" s="34" t="n">
        <v>45979</v>
      </c>
      <c r="BF1166" s="15" t="n">
        <v>136.7</v>
      </c>
      <c r="BG1166" s="15" t="n">
        <v>174.85</v>
      </c>
      <c r="BH1166" s="34" t="n">
        <v>45979</v>
      </c>
      <c r="BI1166" s="15" t="n">
        <v>24.4</v>
      </c>
      <c r="BJ1166" s="15" t="n">
        <v>26.98</v>
      </c>
      <c r="BK1166" s="34" t="n">
        <v>45979</v>
      </c>
      <c r="BL1166" s="15" t="n">
        <v>51.35</v>
      </c>
      <c r="BM1166" s="15" t="n">
        <v>78.38</v>
      </c>
      <c r="BN1166" s="34" t="n">
        <v>45979</v>
      </c>
      <c r="BO1166" s="15" t="n">
        <v>18.31</v>
      </c>
      <c r="BP1166" s="15" t="n">
        <v>25.04</v>
      </c>
      <c r="BQ1166" s="34" t="n">
        <v>45979</v>
      </c>
      <c r="BR1166" s="15" t="n">
        <v>22.36</v>
      </c>
      <c r="BS1166" s="15" t="n">
        <v>20.86</v>
      </c>
      <c r="BT1166" s="34" t="n">
        <v>45979</v>
      </c>
      <c r="BU1166" s="15" t="n">
        <v>86.45</v>
      </c>
      <c r="BV1166" s="15" t="n">
        <v>113.7</v>
      </c>
      <c r="BW1166" s="34" t="n">
        <v>45979</v>
      </c>
      <c r="BX1166" s="15" t="n">
        <v>114.7</v>
      </c>
      <c r="BY1166" s="15" t="n">
        <v>131.37</v>
      </c>
      <c r="BZ1166" s="34" t="n">
        <v>45979</v>
      </c>
      <c r="CA1166" s="15" t="n">
        <v>15.72</v>
      </c>
      <c r="CB1166" s="15" t="n">
        <v>26.67</v>
      </c>
      <c r="CC1166" s="34" t="n">
        <v>45979</v>
      </c>
      <c r="CD1166" s="15" t="n">
        <v>32.4</v>
      </c>
      <c r="CE1166" s="15" t="n">
        <v>47.42</v>
      </c>
      <c r="CF1166" s="34" t="n">
        <v>45979</v>
      </c>
    </row>
    <row r="1167">
      <c r="A1167" s="34" t="n">
        <v>45980</v>
      </c>
      <c r="B1167" s="266" t="n">
        <v>1.095010995864868</v>
      </c>
      <c r="C1167" s="34" t="n">
        <v>45980</v>
      </c>
      <c r="D1167" s="15" t="n">
        <v>17.17</v>
      </c>
      <c r="E1167" s="15" t="n">
        <v>29.74</v>
      </c>
      <c r="F1167" s="34" t="n">
        <v>45980</v>
      </c>
      <c r="G1167" s="15" t="n">
        <v>77.84999999999999</v>
      </c>
      <c r="H1167" s="15" t="n">
        <v>91.61</v>
      </c>
      <c r="I1167" s="34" t="n">
        <v>45980</v>
      </c>
      <c r="J1167" s="15" t="n">
        <v>19.38</v>
      </c>
      <c r="K1167" s="15" t="n">
        <v>35.32</v>
      </c>
      <c r="L1167" s="34" t="n">
        <v>45980</v>
      </c>
      <c r="M1167" s="15" t="n">
        <v>54.55</v>
      </c>
      <c r="N1167" s="15" t="n">
        <v>63.59</v>
      </c>
      <c r="O1167" s="34" t="n">
        <v>45980</v>
      </c>
      <c r="P1167" s="15" t="n">
        <v>71.2</v>
      </c>
      <c r="Q1167" s="15" t="n">
        <v>82.40000000000001</v>
      </c>
      <c r="R1167" s="34" t="n">
        <v>45980</v>
      </c>
      <c r="S1167" s="15" t="n">
        <v>30.3</v>
      </c>
      <c r="V1167" s="15" t="n">
        <v>32.24</v>
      </c>
      <c r="W1167" s="15" t="n">
        <v>32.07</v>
      </c>
      <c r="X1167" s="34" t="n">
        <v>45980</v>
      </c>
      <c r="Y1167" s="15" t="n">
        <v>86.34999999999999</v>
      </c>
      <c r="Z1167" s="15" t="n">
        <v>77.40000000000001</v>
      </c>
      <c r="AA1167" s="34" t="n">
        <v>45980</v>
      </c>
      <c r="AB1167" s="15" t="n">
        <v>14.01</v>
      </c>
      <c r="AC1167" s="15" t="n">
        <v>19.09</v>
      </c>
      <c r="AD1167" s="34" t="n">
        <v>45980</v>
      </c>
      <c r="AE1167" s="15" t="n">
        <v>35.1</v>
      </c>
      <c r="AF1167" s="15" t="n">
        <v>39.68</v>
      </c>
      <c r="AG1167" s="34" t="n">
        <v>45980</v>
      </c>
      <c r="AH1167" s="15" t="n">
        <v>29.7</v>
      </c>
      <c r="AI1167" s="15" t="n">
        <v>31.35</v>
      </c>
      <c r="AJ1167" s="34" t="n">
        <v>45980</v>
      </c>
      <c r="AK1167" s="15" t="n">
        <v>18.05</v>
      </c>
      <c r="AL1167" s="15" t="n">
        <v>43.4</v>
      </c>
      <c r="AM1167" s="34" t="n">
        <v>45980</v>
      </c>
      <c r="AN1167" s="15" t="n">
        <v>512</v>
      </c>
      <c r="AO1167" s="15" t="n">
        <v>391.1</v>
      </c>
      <c r="AP1167" s="34" t="n">
        <v>45980</v>
      </c>
      <c r="AQ1167" s="15" t="n">
        <v>70.65000000000001</v>
      </c>
      <c r="AR1167" s="15" t="n">
        <v>61.11</v>
      </c>
      <c r="AS1167" s="34" t="n">
        <v>45980</v>
      </c>
      <c r="AT1167" s="15" t="n">
        <v>12.99</v>
      </c>
      <c r="AU1167" s="15" t="n">
        <v>15.77</v>
      </c>
      <c r="AV1167" s="34" t="n">
        <v>45980</v>
      </c>
      <c r="AW1167" s="15" t="n">
        <v>32.7</v>
      </c>
      <c r="AX1167" s="15" t="n">
        <v>37.8</v>
      </c>
      <c r="AY1167" s="34" t="n">
        <v>45980</v>
      </c>
      <c r="AZ1167" s="15" t="n">
        <v>32.28</v>
      </c>
      <c r="BA1167" s="15" t="n">
        <v>42.03</v>
      </c>
      <c r="BB1167" s="34" t="n">
        <v>45980</v>
      </c>
      <c r="BC1167" s="15" t="n">
        <v>70.05</v>
      </c>
      <c r="BD1167" s="15" t="n">
        <v>80.22</v>
      </c>
      <c r="BE1167" s="34" t="n">
        <v>45980</v>
      </c>
      <c r="BF1167" s="15" t="n">
        <v>136</v>
      </c>
      <c r="BG1167" s="15" t="n">
        <v>174.8</v>
      </c>
      <c r="BH1167" s="34" t="n">
        <v>45980</v>
      </c>
      <c r="BI1167" s="15" t="n">
        <v>24.14</v>
      </c>
      <c r="BJ1167" s="15" t="n">
        <v>26.55</v>
      </c>
      <c r="BK1167" s="34" t="n">
        <v>45980</v>
      </c>
      <c r="BL1167" s="15" t="n">
        <v>50.1</v>
      </c>
      <c r="BM1167" s="15" t="n">
        <v>75.62</v>
      </c>
      <c r="BN1167" s="34" t="n">
        <v>45980</v>
      </c>
      <c r="BO1167" s="15" t="n">
        <v>17.37</v>
      </c>
      <c r="BP1167" s="15" t="n">
        <v>24.67</v>
      </c>
      <c r="BQ1167" s="34" t="n">
        <v>45980</v>
      </c>
      <c r="BR1167" s="15" t="n">
        <v>22.66</v>
      </c>
      <c r="BS1167" s="15" t="n">
        <v>20.77</v>
      </c>
      <c r="BT1167" s="34" t="n">
        <v>45980</v>
      </c>
      <c r="BU1167" s="15" t="n">
        <v>86.5</v>
      </c>
      <c r="BV1167" s="15" t="n">
        <v>112.7</v>
      </c>
      <c r="BW1167" s="34" t="n">
        <v>45980</v>
      </c>
      <c r="BX1167" s="15" t="n">
        <v>116.7</v>
      </c>
      <c r="BY1167" s="15" t="n">
        <v>129.93</v>
      </c>
      <c r="BZ1167" s="34" t="n">
        <v>45980</v>
      </c>
      <c r="CA1167" s="15" t="n">
        <v>15.2</v>
      </c>
      <c r="CB1167" s="15" t="n">
        <v>26.65</v>
      </c>
      <c r="CC1167" s="34" t="n">
        <v>45980</v>
      </c>
      <c r="CD1167" s="15" t="n">
        <v>30.24</v>
      </c>
      <c r="CE1167" s="15" t="n">
        <v>46.9</v>
      </c>
      <c r="CF1167" s="34" t="n">
        <v>45980</v>
      </c>
    </row>
    <row r="1168">
      <c r="A1168" s="34" t="n">
        <v>45981</v>
      </c>
      <c r="B1168" s="266" t="n">
        <v>1.095402002334595</v>
      </c>
      <c r="C1168" s="34" t="n">
        <v>45981</v>
      </c>
      <c r="D1168" s="15" t="n">
        <v>16.77</v>
      </c>
      <c r="E1168" s="15" t="n">
        <v>28.28</v>
      </c>
      <c r="F1168" s="34" t="n">
        <v>45981</v>
      </c>
      <c r="G1168" s="15" t="n">
        <v>78</v>
      </c>
      <c r="H1168" s="15" t="n">
        <v>91</v>
      </c>
      <c r="I1168" s="34" t="n">
        <v>45981</v>
      </c>
      <c r="J1168" s="15" t="n">
        <v>18.69</v>
      </c>
      <c r="K1168" s="15" t="n">
        <v>34.5</v>
      </c>
      <c r="L1168" s="34" t="n">
        <v>45981</v>
      </c>
      <c r="M1168" s="15" t="n">
        <v>53.55</v>
      </c>
      <c r="N1168" s="15" t="n">
        <v>62.31</v>
      </c>
      <c r="O1168" s="34" t="n">
        <v>45981</v>
      </c>
      <c r="P1168" s="15" t="n">
        <v>73.3</v>
      </c>
      <c r="Q1168" s="15" t="n">
        <v>81.73</v>
      </c>
      <c r="R1168" s="34" t="n">
        <v>45981</v>
      </c>
      <c r="S1168" s="15" t="n">
        <v>32</v>
      </c>
      <c r="V1168" s="15" t="n">
        <v>30.96</v>
      </c>
      <c r="W1168" s="15" t="n">
        <v>31.05</v>
      </c>
      <c r="X1168" s="34" t="n">
        <v>45981</v>
      </c>
      <c r="Y1168" s="15" t="n">
        <v>87.95</v>
      </c>
      <c r="Z1168" s="15" t="n">
        <v>77.94</v>
      </c>
      <c r="AA1168" s="34" t="n">
        <v>45981</v>
      </c>
      <c r="AB1168" s="15" t="n">
        <v>13.6</v>
      </c>
      <c r="AC1168" s="15" t="n">
        <v>18.74</v>
      </c>
      <c r="AD1168" s="34" t="n">
        <v>45981</v>
      </c>
      <c r="AE1168" s="15" t="n">
        <v>35.28</v>
      </c>
      <c r="AF1168" s="15" t="n">
        <v>39.63</v>
      </c>
      <c r="AG1168" s="34" t="n">
        <v>45981</v>
      </c>
      <c r="AH1168" s="15" t="n">
        <v>29.3</v>
      </c>
      <c r="AI1168" s="15" t="n">
        <v>30.95</v>
      </c>
      <c r="AJ1168" s="34" t="n">
        <v>45981</v>
      </c>
      <c r="AK1168" s="15" t="n">
        <v>18.17</v>
      </c>
      <c r="AL1168" s="15" t="n">
        <v>44.29</v>
      </c>
      <c r="AM1168" s="34" t="n">
        <v>45981</v>
      </c>
      <c r="AN1168" s="15" t="n">
        <v>483</v>
      </c>
      <c r="AO1168" s="15" t="n">
        <v>379.39</v>
      </c>
      <c r="AP1168" s="34" t="n">
        <v>45981</v>
      </c>
      <c r="AQ1168" s="15" t="n">
        <v>68.15000000000001</v>
      </c>
      <c r="AR1168" s="15" t="n">
        <v>60.63</v>
      </c>
      <c r="AS1168" s="34" t="n">
        <v>45981</v>
      </c>
      <c r="AT1168" s="15" t="n">
        <v>12.77</v>
      </c>
      <c r="AU1168" s="15" t="n">
        <v>15.61</v>
      </c>
      <c r="AV1168" s="34" t="n">
        <v>45981</v>
      </c>
      <c r="AW1168" s="15" t="n">
        <v>33.04</v>
      </c>
      <c r="AX1168" s="15" t="n">
        <v>37.75</v>
      </c>
      <c r="AY1168" s="34" t="n">
        <v>45981</v>
      </c>
      <c r="AZ1168" s="15" t="n">
        <v>31.78</v>
      </c>
      <c r="BA1168" s="15" t="n">
        <v>41.17</v>
      </c>
      <c r="BB1168" s="34" t="n">
        <v>45981</v>
      </c>
      <c r="BC1168" s="15" t="n">
        <v>67.90000000000001</v>
      </c>
      <c r="BD1168" s="15" t="n">
        <v>78.73999999999999</v>
      </c>
      <c r="BE1168" s="34" t="n">
        <v>45981</v>
      </c>
      <c r="BF1168" s="15" t="n">
        <v>131.2</v>
      </c>
      <c r="BG1168" s="15" t="n">
        <v>169.5</v>
      </c>
      <c r="BH1168" s="34" t="n">
        <v>45981</v>
      </c>
      <c r="BI1168" s="15" t="n">
        <v>23.6</v>
      </c>
      <c r="BJ1168" s="15" t="n">
        <v>26.57</v>
      </c>
      <c r="BK1168" s="34" t="n">
        <v>45981</v>
      </c>
      <c r="BL1168" s="15" t="n">
        <v>52.75</v>
      </c>
      <c r="BM1168" s="15" t="n">
        <v>79.98</v>
      </c>
      <c r="BN1168" s="34" t="n">
        <v>45981</v>
      </c>
      <c r="BO1168" s="15" t="n">
        <v>16.46</v>
      </c>
      <c r="BP1168" s="15" t="n">
        <v>24.4</v>
      </c>
      <c r="BQ1168" s="34" t="n">
        <v>45981</v>
      </c>
      <c r="BR1168" s="15" t="n">
        <v>22.8</v>
      </c>
      <c r="BS1168" s="15" t="n">
        <v>20.86</v>
      </c>
      <c r="BT1168" s="34" t="n">
        <v>45981</v>
      </c>
      <c r="BU1168" s="15" t="n">
        <v>85.8</v>
      </c>
      <c r="BV1168" s="15" t="n">
        <v>108.89</v>
      </c>
      <c r="BW1168" s="34" t="n">
        <v>45981</v>
      </c>
      <c r="BX1168" s="15" t="n">
        <v>115.2</v>
      </c>
      <c r="BY1168" s="15" t="n">
        <v>126.67</v>
      </c>
      <c r="BZ1168" s="34" t="n">
        <v>45981</v>
      </c>
      <c r="CA1168" s="15" t="n">
        <v>15.11</v>
      </c>
      <c r="CB1168" s="15" t="n">
        <v>26.25</v>
      </c>
      <c r="CC1168" s="34" t="n">
        <v>45981</v>
      </c>
      <c r="CD1168" s="15" t="n">
        <v>30.3</v>
      </c>
      <c r="CE1168" s="15" t="n">
        <v>45.63</v>
      </c>
      <c r="CF1168" s="34" t="n">
        <v>45981</v>
      </c>
    </row>
    <row r="1169">
      <c r="A1169" s="34" t="n">
        <v>45982</v>
      </c>
      <c r="B1169" s="266" t="n">
        <v>1.094982981681824</v>
      </c>
      <c r="C1169" s="34" t="n">
        <v>45982</v>
      </c>
      <c r="D1169" s="15" t="n">
        <v>16.44</v>
      </c>
      <c r="E1169" s="15" t="n">
        <v>27.4</v>
      </c>
      <c r="F1169" s="34" t="n">
        <v>45982</v>
      </c>
      <c r="G1169" s="15" t="n">
        <v>76.09999999999999</v>
      </c>
      <c r="H1169" s="15" t="n">
        <v>89.5</v>
      </c>
      <c r="I1169" s="34" t="n">
        <v>45982</v>
      </c>
      <c r="J1169" s="15" t="n">
        <v>17.45</v>
      </c>
      <c r="K1169" s="15" t="n">
        <v>32.91</v>
      </c>
      <c r="L1169" s="34" t="n">
        <v>45982</v>
      </c>
      <c r="M1169" s="15" t="n">
        <v>47.16</v>
      </c>
      <c r="N1169" s="15" t="n">
        <v>56.08</v>
      </c>
      <c r="O1169" s="34" t="n">
        <v>45982</v>
      </c>
      <c r="P1169" s="15" t="n">
        <v>70.25</v>
      </c>
      <c r="Q1169" s="15" t="n">
        <v>79.05</v>
      </c>
      <c r="R1169" s="34" t="n">
        <v>45982</v>
      </c>
      <c r="S1169" s="15" t="n">
        <v>30.42</v>
      </c>
      <c r="V1169" s="15" t="n">
        <v>29.02</v>
      </c>
      <c r="W1169" s="15" t="n">
        <v>29.7</v>
      </c>
      <c r="X1169" s="34" t="n">
        <v>45982</v>
      </c>
      <c r="Y1169" s="15" t="n">
        <v>87.25</v>
      </c>
      <c r="Z1169" s="15" t="n">
        <v>78.75</v>
      </c>
      <c r="AA1169" s="34" t="n">
        <v>45982</v>
      </c>
      <c r="AB1169" s="15" t="n">
        <v>12.22</v>
      </c>
      <c r="AC1169" s="15" t="n">
        <v>16.87</v>
      </c>
      <c r="AD1169" s="34" t="n">
        <v>45982</v>
      </c>
      <c r="AE1169" s="15" t="n">
        <v>34.62</v>
      </c>
      <c r="AF1169" s="15" t="n">
        <v>39.11</v>
      </c>
      <c r="AG1169" s="34" t="n">
        <v>45982</v>
      </c>
      <c r="AH1169" s="15" t="n">
        <v>27.9</v>
      </c>
      <c r="AI1169" s="15" t="n">
        <v>30.25</v>
      </c>
      <c r="AJ1169" s="34" t="n">
        <v>45982</v>
      </c>
      <c r="AK1169" s="15" t="n">
        <v>17.35</v>
      </c>
      <c r="AL1169" s="15" t="n">
        <v>41.2</v>
      </c>
      <c r="AM1169" s="34" t="n">
        <v>45982</v>
      </c>
      <c r="AN1169" s="15" t="n">
        <v>465</v>
      </c>
      <c r="AO1169" s="15" t="n">
        <v>370</v>
      </c>
      <c r="AP1169" s="34" t="n">
        <v>45982</v>
      </c>
      <c r="AQ1169" s="15" t="n">
        <v>65.95</v>
      </c>
      <c r="AR1169" s="15" t="n">
        <v>59.5</v>
      </c>
      <c r="AS1169" s="34" t="n">
        <v>45982</v>
      </c>
      <c r="AT1169" s="15" t="n">
        <v>12.25</v>
      </c>
      <c r="AU1169" s="15" t="n">
        <v>15.55</v>
      </c>
      <c r="AV1169" s="34" t="n">
        <v>45982</v>
      </c>
      <c r="AW1169" s="15" t="n">
        <v>32.5</v>
      </c>
      <c r="AX1169" s="15" t="n">
        <v>37.29</v>
      </c>
      <c r="AY1169" s="34" t="n">
        <v>45982</v>
      </c>
      <c r="AZ1169" s="15" t="n">
        <v>31.46</v>
      </c>
      <c r="BA1169" s="15" t="n">
        <v>41.9</v>
      </c>
      <c r="BB1169" s="34" t="n">
        <v>45982</v>
      </c>
      <c r="BC1169" s="15" t="n">
        <v>67</v>
      </c>
      <c r="BD1169" s="15" t="n">
        <v>78.53</v>
      </c>
      <c r="BE1169" s="34" t="n">
        <v>45982</v>
      </c>
      <c r="BF1169" s="15" t="n">
        <v>124.2</v>
      </c>
      <c r="BG1169" s="15" t="n">
        <v>163.73</v>
      </c>
      <c r="BH1169" s="34" t="n">
        <v>45982</v>
      </c>
      <c r="BI1169" s="15" t="n">
        <v>22.82</v>
      </c>
      <c r="BJ1169" s="15" t="n">
        <v>26.24</v>
      </c>
      <c r="BK1169" s="34" t="n">
        <v>45982</v>
      </c>
      <c r="BL1169" s="15" t="n">
        <v>50.9</v>
      </c>
      <c r="BM1169" s="15" t="n">
        <v>77</v>
      </c>
      <c r="BN1169" s="34" t="n">
        <v>45982</v>
      </c>
      <c r="BO1169" s="15" t="n">
        <v>15.5</v>
      </c>
      <c r="BP1169" s="15" t="n">
        <v>23.64</v>
      </c>
      <c r="BQ1169" s="34" t="n">
        <v>45982</v>
      </c>
      <c r="BR1169" s="15" t="n">
        <v>22.3</v>
      </c>
      <c r="BS1169" s="15" t="n">
        <v>20.26</v>
      </c>
      <c r="BT1169" s="34" t="n">
        <v>45982</v>
      </c>
      <c r="BU1169" s="15" t="n">
        <v>78.65000000000001</v>
      </c>
      <c r="BV1169" s="15" t="n">
        <v>98</v>
      </c>
      <c r="BW1169" s="34" t="n">
        <v>45982</v>
      </c>
      <c r="BX1169" s="15" t="n">
        <v>109.5</v>
      </c>
      <c r="BY1169" s="15" t="n">
        <v>123.4</v>
      </c>
      <c r="BZ1169" s="34" t="n">
        <v>45982</v>
      </c>
      <c r="CA1169" s="15" t="n">
        <v>14.75</v>
      </c>
      <c r="CB1169" s="15" t="n">
        <v>25.71</v>
      </c>
      <c r="CC1169" s="34" t="n">
        <v>45982</v>
      </c>
      <c r="CD1169" s="15" t="n">
        <v>28.56</v>
      </c>
      <c r="CE1169" s="15" t="n">
        <v>41.13</v>
      </c>
      <c r="CF1169" s="34" t="n">
        <v>45982</v>
      </c>
    </row>
    <row r="1170">
      <c r="A1170" s="34" t="n">
        <v>45985</v>
      </c>
      <c r="B1170" s="266" t="n">
        <v>1.094988942146301</v>
      </c>
      <c r="C1170" s="34" t="n">
        <v>45985</v>
      </c>
      <c r="D1170" s="15" t="n">
        <v>16.64</v>
      </c>
      <c r="E1170" s="15" t="n">
        <v>27.67</v>
      </c>
      <c r="F1170" s="34" t="n">
        <v>45985</v>
      </c>
      <c r="G1170" s="15" t="n">
        <v>77.65000000000001</v>
      </c>
      <c r="H1170" s="15" t="n">
        <v>90.73999999999999</v>
      </c>
      <c r="I1170" s="34" t="n">
        <v>45985</v>
      </c>
      <c r="J1170" s="15" t="n">
        <v>17.91</v>
      </c>
      <c r="K1170" s="15" t="n">
        <v>33.75</v>
      </c>
      <c r="L1170" s="34" t="n">
        <v>45985</v>
      </c>
      <c r="M1170" s="15" t="n">
        <v>45.76</v>
      </c>
      <c r="N1170" s="15" t="n">
        <v>51.59</v>
      </c>
      <c r="O1170" s="34" t="n">
        <v>45985</v>
      </c>
      <c r="P1170" s="15" t="n">
        <v>70.15000000000001</v>
      </c>
      <c r="Q1170" s="15" t="n">
        <v>78.53</v>
      </c>
      <c r="R1170" s="34" t="n">
        <v>45985</v>
      </c>
      <c r="S1170" s="15" t="n">
        <v>32.7</v>
      </c>
      <c r="V1170" s="15" t="n">
        <v>30.06</v>
      </c>
      <c r="W1170" s="15" t="n">
        <v>29.97</v>
      </c>
      <c r="X1170" s="34" t="n">
        <v>45985</v>
      </c>
      <c r="Y1170" s="15" t="n">
        <v>88.8</v>
      </c>
      <c r="Z1170" s="15" t="n">
        <v>78.56</v>
      </c>
      <c r="AA1170" s="34" t="n">
        <v>45985</v>
      </c>
      <c r="AB1170" s="15" t="n">
        <v>12.32</v>
      </c>
      <c r="AC1170" s="15" t="n">
        <v>16.42</v>
      </c>
      <c r="AD1170" s="34" t="n">
        <v>45985</v>
      </c>
      <c r="AE1170" s="15" t="n">
        <v>35.02</v>
      </c>
      <c r="AF1170" s="15" t="n">
        <v>39.41</v>
      </c>
      <c r="AG1170" s="34" t="n">
        <v>45985</v>
      </c>
      <c r="AH1170" s="15" t="n">
        <v>28</v>
      </c>
      <c r="AI1170" s="15" t="n">
        <v>29.77</v>
      </c>
      <c r="AJ1170" s="34" t="n">
        <v>45985</v>
      </c>
      <c r="AK1170" s="15" t="n">
        <v>17.07</v>
      </c>
      <c r="AL1170" s="15" t="n">
        <v>39.41</v>
      </c>
      <c r="AM1170" s="34" t="n">
        <v>45985</v>
      </c>
      <c r="AN1170" s="15" t="n">
        <v>465</v>
      </c>
      <c r="AO1170" s="15" t="n">
        <v>370.55</v>
      </c>
      <c r="AP1170" s="34" t="n">
        <v>45985</v>
      </c>
      <c r="AQ1170" s="15" t="n">
        <v>69.65000000000001</v>
      </c>
      <c r="AR1170" s="15" t="n">
        <v>60.66</v>
      </c>
      <c r="AS1170" s="34" t="n">
        <v>45985</v>
      </c>
      <c r="AT1170" s="15" t="n">
        <v>12.43</v>
      </c>
      <c r="AU1170" s="15" t="n">
        <v>16.07</v>
      </c>
      <c r="AV1170" s="34" t="n">
        <v>45985</v>
      </c>
      <c r="AW1170" s="15" t="n">
        <v>32.06</v>
      </c>
      <c r="AX1170" s="15" t="n">
        <v>36.88</v>
      </c>
      <c r="AY1170" s="34" t="n">
        <v>45985</v>
      </c>
      <c r="AZ1170" s="15" t="n">
        <v>31.5</v>
      </c>
      <c r="BA1170" s="15" t="n">
        <v>41.39</v>
      </c>
      <c r="BB1170" s="34" t="n">
        <v>45985</v>
      </c>
      <c r="BC1170" s="15" t="n">
        <v>68.15000000000001</v>
      </c>
      <c r="BD1170" s="15" t="n">
        <v>78.83</v>
      </c>
      <c r="BE1170" s="34" t="n">
        <v>45985</v>
      </c>
      <c r="BF1170" s="15" t="n">
        <v>127.3</v>
      </c>
      <c r="BG1170" s="15" t="n">
        <v>176</v>
      </c>
      <c r="BH1170" s="34" t="n">
        <v>45985</v>
      </c>
      <c r="BI1170" s="15" t="n">
        <v>23.04</v>
      </c>
      <c r="BJ1170" s="15" t="n">
        <v>26.5</v>
      </c>
      <c r="BK1170" s="34" t="n">
        <v>45985</v>
      </c>
      <c r="BL1170" s="15" t="n">
        <v>52.9</v>
      </c>
      <c r="BM1170" s="15" t="n">
        <v>81.31</v>
      </c>
      <c r="BN1170" s="34" t="n">
        <v>45985</v>
      </c>
      <c r="BO1170" s="15" t="n">
        <v>14.86</v>
      </c>
      <c r="BP1170" s="15" t="n">
        <v>23.91</v>
      </c>
      <c r="BQ1170" s="34" t="n">
        <v>45985</v>
      </c>
      <c r="BR1170" s="15" t="n">
        <v>22.24</v>
      </c>
      <c r="BS1170" s="15" t="n">
        <v>20.51</v>
      </c>
      <c r="BT1170" s="34" t="n">
        <v>45985</v>
      </c>
      <c r="BU1170" s="15" t="n">
        <v>75.15000000000001</v>
      </c>
      <c r="BV1170" s="15" t="n">
        <v>94.31</v>
      </c>
      <c r="BW1170" s="34" t="n">
        <v>45985</v>
      </c>
      <c r="BX1170" s="15" t="n">
        <v>110.2</v>
      </c>
      <c r="BY1170" s="15" t="n">
        <v>124.5</v>
      </c>
      <c r="BZ1170" s="34" t="n">
        <v>45985</v>
      </c>
      <c r="CA1170" s="15" t="n">
        <v>14.62</v>
      </c>
      <c r="CB1170" s="15" t="n">
        <v>25.96</v>
      </c>
      <c r="CC1170" s="34" t="n">
        <v>45985</v>
      </c>
      <c r="CD1170" s="15" t="n">
        <v>30.3</v>
      </c>
      <c r="CE1170" s="15" t="n">
        <v>41.41</v>
      </c>
      <c r="CF1170" s="34" t="n">
        <v>45985</v>
      </c>
    </row>
    <row r="1171">
      <c r="A1171" s="34" t="n">
        <v>45986</v>
      </c>
      <c r="B1171" s="266" t="n">
        <v>1.095428943634033</v>
      </c>
      <c r="C1171" s="34" t="n">
        <v>45986</v>
      </c>
      <c r="D1171" s="15" t="n">
        <v>16.46</v>
      </c>
      <c r="E1171" s="15" t="n">
        <v>27.86</v>
      </c>
      <c r="F1171" s="34" t="n">
        <v>45986</v>
      </c>
      <c r="G1171" s="15" t="n">
        <v>77.45</v>
      </c>
      <c r="H1171" s="15" t="n">
        <v>90.90000000000001</v>
      </c>
      <c r="I1171" s="34" t="n">
        <v>45986</v>
      </c>
      <c r="J1171" s="15" t="n">
        <v>18.1</v>
      </c>
      <c r="K1171" s="15" t="n">
        <v>33.97</v>
      </c>
      <c r="L1171" s="34" t="n">
        <v>45986</v>
      </c>
      <c r="M1171" s="15" t="n">
        <v>47.96</v>
      </c>
      <c r="N1171" s="15" t="n">
        <v>53.7</v>
      </c>
      <c r="O1171" s="34" t="n">
        <v>45986</v>
      </c>
      <c r="P1171" s="15" t="n">
        <v>71.8</v>
      </c>
      <c r="Q1171" s="15" t="n">
        <v>79.69</v>
      </c>
      <c r="R1171" s="34" t="n">
        <v>45986</v>
      </c>
      <c r="S1171" s="15" t="n">
        <v>33.48</v>
      </c>
      <c r="V1171" s="15" t="n">
        <v>32.06</v>
      </c>
      <c r="W1171" s="15" t="n">
        <v>31.83</v>
      </c>
      <c r="X1171" s="34" t="n">
        <v>45986</v>
      </c>
      <c r="Y1171" s="15" t="n">
        <v>87.65000000000001</v>
      </c>
      <c r="Z1171" s="15" t="n">
        <v>78.7</v>
      </c>
      <c r="AA1171" s="34" t="n">
        <v>45986</v>
      </c>
      <c r="AB1171" s="15" t="n">
        <v>15.14</v>
      </c>
      <c r="AC1171" s="15" t="n">
        <v>18.06</v>
      </c>
      <c r="AD1171" s="34" t="n">
        <v>45986</v>
      </c>
      <c r="AE1171" s="15" t="n">
        <v>35.12</v>
      </c>
      <c r="AF1171" s="15" t="n">
        <v>39.25</v>
      </c>
      <c r="AG1171" s="34" t="n">
        <v>45986</v>
      </c>
      <c r="AH1171" s="15" t="n">
        <v>29.36</v>
      </c>
      <c r="AI1171" s="15" t="n">
        <v>30.67</v>
      </c>
      <c r="AJ1171" s="34" t="n">
        <v>45986</v>
      </c>
      <c r="AK1171" s="15" t="n">
        <v>17.18</v>
      </c>
      <c r="AL1171" s="15" t="n">
        <v>40.34</v>
      </c>
      <c r="AM1171" s="34" t="n">
        <v>45986</v>
      </c>
      <c r="AN1171" s="15" t="n">
        <v>468.2</v>
      </c>
      <c r="AO1171" s="15" t="n">
        <v>372.36</v>
      </c>
      <c r="AP1171" s="34" t="n">
        <v>45986</v>
      </c>
      <c r="AQ1171" s="15" t="n">
        <v>70.34999999999999</v>
      </c>
      <c r="AR1171" s="15" t="n">
        <v>60.88</v>
      </c>
      <c r="AS1171" s="34" t="n">
        <v>45986</v>
      </c>
      <c r="AT1171" s="15" t="n">
        <v>12.4</v>
      </c>
      <c r="AU1171" s="15" t="n">
        <v>16.52</v>
      </c>
      <c r="AV1171" s="34" t="n">
        <v>45986</v>
      </c>
      <c r="AW1171" s="15" t="n">
        <v>32.26</v>
      </c>
      <c r="AX1171" s="15" t="n">
        <v>37.1</v>
      </c>
      <c r="AY1171" s="34" t="n">
        <v>45986</v>
      </c>
      <c r="AZ1171" s="15" t="n">
        <v>32.44</v>
      </c>
      <c r="BA1171" s="15" t="n">
        <v>42.17</v>
      </c>
      <c r="BB1171" s="34" t="n">
        <v>45986</v>
      </c>
      <c r="BC1171" s="15" t="n">
        <v>71.2</v>
      </c>
      <c r="BD1171" s="15" t="n">
        <v>80.55</v>
      </c>
      <c r="BE1171" s="34" t="n">
        <v>45986</v>
      </c>
      <c r="BF1171" s="15" t="n">
        <v>133.6</v>
      </c>
      <c r="BG1171" s="15" t="n">
        <v>176.59</v>
      </c>
      <c r="BH1171" s="34" t="n">
        <v>45986</v>
      </c>
      <c r="BI1171" s="15" t="n">
        <v>23.54</v>
      </c>
      <c r="BJ1171" s="15" t="n">
        <v>27.14</v>
      </c>
      <c r="BK1171" s="34" t="n">
        <v>45986</v>
      </c>
      <c r="BL1171" s="15" t="n">
        <v>51.45</v>
      </c>
      <c r="BM1171" s="15" t="n">
        <v>78.98</v>
      </c>
      <c r="BN1171" s="34" t="n">
        <v>45986</v>
      </c>
      <c r="BO1171" s="15" t="n">
        <v>14.86</v>
      </c>
      <c r="BP1171" s="15" t="n">
        <v>24.26</v>
      </c>
      <c r="BQ1171" s="34" t="n">
        <v>45986</v>
      </c>
      <c r="BR1171" s="15" t="n">
        <v>21.54</v>
      </c>
      <c r="BS1171" s="15" t="n">
        <v>20.44</v>
      </c>
      <c r="BT1171" s="34" t="n">
        <v>45986</v>
      </c>
      <c r="BU1171" s="15" t="n">
        <v>76.15000000000001</v>
      </c>
      <c r="BV1171" s="15" t="n">
        <v>97.79000000000001</v>
      </c>
      <c r="BW1171" s="34" t="n">
        <v>45986</v>
      </c>
      <c r="BX1171" s="15" t="n">
        <v>114.4</v>
      </c>
      <c r="BY1171" s="15" t="n">
        <v>124.85</v>
      </c>
      <c r="BZ1171" s="34" t="n">
        <v>45986</v>
      </c>
      <c r="CA1171" s="15" t="n">
        <v>15.7</v>
      </c>
      <c r="CB1171" s="15" t="n">
        <v>26.35</v>
      </c>
      <c r="CC1171" s="34" t="n">
        <v>45986</v>
      </c>
      <c r="CD1171" s="15" t="n">
        <v>28.76</v>
      </c>
      <c r="CE1171" s="15" t="n">
        <v>42.83</v>
      </c>
      <c r="CF1171" s="34" t="n">
        <v>45986</v>
      </c>
    </row>
    <row r="1172">
      <c r="A1172" s="34" t="n">
        <v>45987</v>
      </c>
      <c r="B1172" s="266" t="n">
        <v>1.097422003746033</v>
      </c>
      <c r="C1172" s="34" t="n">
        <v>45987</v>
      </c>
      <c r="D1172" s="15" t="n">
        <v>16.85</v>
      </c>
      <c r="E1172" s="15" t="n">
        <v>28.31</v>
      </c>
      <c r="F1172" s="34" t="n">
        <v>45987</v>
      </c>
      <c r="G1172" s="15" t="n">
        <v>79.45</v>
      </c>
      <c r="H1172" s="15" t="n">
        <v>92.73999999999999</v>
      </c>
      <c r="I1172" s="34" t="n">
        <v>45987</v>
      </c>
      <c r="J1172" s="15" t="n">
        <v>17.82</v>
      </c>
      <c r="K1172" s="15" t="n">
        <v>33.39</v>
      </c>
      <c r="L1172" s="34" t="n">
        <v>45987</v>
      </c>
      <c r="M1172" s="15" t="n">
        <v>48.1</v>
      </c>
      <c r="N1172" s="15" t="n">
        <v>54.16</v>
      </c>
      <c r="O1172" s="34" t="n">
        <v>45987</v>
      </c>
      <c r="P1172" s="15" t="n">
        <v>74.2</v>
      </c>
      <c r="Q1172" s="15" t="n">
        <v>80.34</v>
      </c>
      <c r="R1172" s="34" t="n">
        <v>45987</v>
      </c>
      <c r="S1172" s="15" t="n">
        <v>33.06</v>
      </c>
      <c r="V1172" s="15" t="n">
        <v>32.12</v>
      </c>
      <c r="W1172" s="15" t="n">
        <v>32.03</v>
      </c>
      <c r="X1172" s="34" t="n">
        <v>45987</v>
      </c>
      <c r="Y1172" s="15" t="n">
        <v>89.05</v>
      </c>
      <c r="Z1172" s="15" t="n">
        <v>79.8</v>
      </c>
      <c r="AA1172" s="34" t="n">
        <v>45987</v>
      </c>
      <c r="AB1172" s="15" t="n">
        <v>15.2</v>
      </c>
      <c r="AC1172" s="15" t="n">
        <v>19.87</v>
      </c>
      <c r="AD1172" s="34" t="n">
        <v>45987</v>
      </c>
      <c r="AE1172" s="15" t="n">
        <v>35.6</v>
      </c>
      <c r="AF1172" s="15" t="n">
        <v>39.25</v>
      </c>
      <c r="AG1172" s="34" t="n">
        <v>45987</v>
      </c>
      <c r="AH1172" s="15" t="n">
        <v>29.36</v>
      </c>
      <c r="AI1172" s="15" t="n">
        <v>30.73</v>
      </c>
      <c r="AJ1172" s="34" t="n">
        <v>45987</v>
      </c>
      <c r="AK1172" s="15" t="n">
        <v>17.05</v>
      </c>
      <c r="AL1172" s="15" t="n">
        <v>39.79</v>
      </c>
      <c r="AM1172" s="34" t="n">
        <v>45987</v>
      </c>
      <c r="AN1172" s="15" t="n">
        <v>467.2</v>
      </c>
      <c r="AO1172" s="15" t="n">
        <v>372.82</v>
      </c>
      <c r="AP1172" s="34" t="n">
        <v>45987</v>
      </c>
      <c r="AQ1172" s="15" t="n">
        <v>73.55</v>
      </c>
      <c r="AR1172" s="15" t="n">
        <v>62.36</v>
      </c>
      <c r="AS1172" s="34" t="n">
        <v>45987</v>
      </c>
      <c r="AT1172" s="15" t="n">
        <v>12.55</v>
      </c>
      <c r="AU1172" s="15" t="n">
        <v>16.49</v>
      </c>
      <c r="AV1172" s="34" t="n">
        <v>45987</v>
      </c>
      <c r="AW1172" s="15" t="n">
        <v>32.06</v>
      </c>
      <c r="AX1172" s="15" t="n">
        <v>36.83</v>
      </c>
      <c r="AY1172" s="34" t="n">
        <v>45987</v>
      </c>
      <c r="AZ1172" s="15" t="n">
        <v>33.72</v>
      </c>
      <c r="BA1172" s="15" t="n">
        <v>43.19</v>
      </c>
      <c r="BB1172" s="34" t="n">
        <v>45987</v>
      </c>
      <c r="BC1172" s="15" t="n">
        <v>71.05</v>
      </c>
      <c r="BD1172" s="15" t="n">
        <v>80.38</v>
      </c>
      <c r="BE1172" s="34" t="n">
        <v>45987</v>
      </c>
      <c r="BF1172" s="15" t="n">
        <v>133</v>
      </c>
      <c r="BG1172" s="15" t="n">
        <v>181.27</v>
      </c>
      <c r="BH1172" s="34" t="n">
        <v>45987</v>
      </c>
      <c r="BI1172" s="15" t="n">
        <v>23.68</v>
      </c>
      <c r="BJ1172" s="15" t="n">
        <v>27.47</v>
      </c>
      <c r="BK1172" s="34" t="n">
        <v>45987</v>
      </c>
      <c r="BL1172" s="15" t="n">
        <v>53.8</v>
      </c>
      <c r="BM1172" s="15" t="n">
        <v>84.56</v>
      </c>
      <c r="BN1172" s="34" t="n">
        <v>45987</v>
      </c>
      <c r="BO1172" s="15" t="n">
        <v>15.18</v>
      </c>
      <c r="BP1172" s="15" t="n">
        <v>24.54</v>
      </c>
      <c r="BQ1172" s="34" t="n">
        <v>45987</v>
      </c>
      <c r="BR1172" s="15" t="n">
        <v>21.66</v>
      </c>
      <c r="BS1172" s="15" t="n">
        <v>20.88</v>
      </c>
      <c r="BT1172" s="34" t="n">
        <v>45987</v>
      </c>
      <c r="BU1172" s="15" t="n">
        <v>77.65000000000001</v>
      </c>
      <c r="BV1172" s="15" t="n">
        <v>103.95</v>
      </c>
      <c r="BW1172" s="34" t="n">
        <v>45987</v>
      </c>
      <c r="BX1172" s="15" t="n">
        <v>114</v>
      </c>
      <c r="BY1172" s="15" t="n">
        <v>125.1</v>
      </c>
      <c r="BZ1172" s="34" t="n">
        <v>45987</v>
      </c>
      <c r="CA1172" s="15" t="n">
        <v>16.08</v>
      </c>
      <c r="CB1172" s="15" t="n">
        <v>26.5</v>
      </c>
      <c r="CC1172" s="34" t="n">
        <v>45987</v>
      </c>
      <c r="CD1172" s="15" t="n">
        <v>28.48</v>
      </c>
      <c r="CE1172" s="15" t="n">
        <v>41.77</v>
      </c>
      <c r="CF1172" s="34" t="n">
        <v>45987</v>
      </c>
    </row>
    <row r="1173">
      <c r="A1173" s="34" t="n">
        <v>45988</v>
      </c>
      <c r="B1173" s="266" t="n">
        <v>1.098397016525269</v>
      </c>
      <c r="C1173" s="34" t="n">
        <v>45988</v>
      </c>
      <c r="D1173" s="15" t="n">
        <v>16.64</v>
      </c>
      <c r="E1173" s="15" t="n">
        <v>27.9</v>
      </c>
      <c r="F1173" s="34" t="n">
        <v>45988</v>
      </c>
      <c r="G1173" s="15" t="n">
        <v>78.15000000000001</v>
      </c>
      <c r="H1173" s="15" t="n">
        <v>92</v>
      </c>
      <c r="I1173" s="34" t="n">
        <v>45988</v>
      </c>
      <c r="J1173" s="15" t="n">
        <v>17.88</v>
      </c>
      <c r="K1173" s="15" t="n">
        <v>33.27</v>
      </c>
      <c r="L1173" s="34" t="n">
        <v>45988</v>
      </c>
      <c r="M1173" s="15" t="n">
        <v>47.56</v>
      </c>
      <c r="N1173" s="15" t="n">
        <v>53.75</v>
      </c>
      <c r="O1173" s="34" t="n">
        <v>45988</v>
      </c>
      <c r="P1173" s="15" t="n">
        <v>73.75</v>
      </c>
      <c r="Q1173" s="15" t="n">
        <v>78.5</v>
      </c>
      <c r="R1173" s="34" t="n">
        <v>45988</v>
      </c>
      <c r="S1173" s="15" t="n">
        <v>32.4</v>
      </c>
      <c r="V1173" s="15" t="n">
        <v>32.12</v>
      </c>
      <c r="W1173" s="15" t="n">
        <v>31.42</v>
      </c>
      <c r="X1173" s="34" t="n">
        <v>45988</v>
      </c>
      <c r="Y1173" s="15" t="n">
        <v>89</v>
      </c>
      <c r="Z1173" s="15" t="n">
        <v>79.8</v>
      </c>
      <c r="AA1173" s="34" t="n">
        <v>45988</v>
      </c>
      <c r="AB1173" s="15" t="n">
        <v>14.5</v>
      </c>
      <c r="AC1173" s="15" t="n">
        <v>20.22</v>
      </c>
      <c r="AD1173" s="34" t="n">
        <v>45988</v>
      </c>
      <c r="AE1173" s="15" t="n">
        <v>35.7</v>
      </c>
      <c r="AF1173" s="15" t="n">
        <v>38.79</v>
      </c>
      <c r="AG1173" s="34" t="n">
        <v>45988</v>
      </c>
      <c r="AH1173" s="15" t="n">
        <v>29.72</v>
      </c>
      <c r="AI1173" s="15" t="n">
        <v>31.08</v>
      </c>
      <c r="AJ1173" s="34" t="n">
        <v>45988</v>
      </c>
      <c r="AK1173" s="15" t="n">
        <v>17.04</v>
      </c>
      <c r="AL1173" s="15" t="n">
        <v>39.5</v>
      </c>
      <c r="AM1173" s="34" t="n">
        <v>45988</v>
      </c>
      <c r="AN1173" s="15" t="n">
        <v>470</v>
      </c>
      <c r="AO1173" s="15" t="n">
        <v>371.2</v>
      </c>
      <c r="AP1173" s="34" t="n">
        <v>45988</v>
      </c>
      <c r="AQ1173" s="15" t="n">
        <v>74.65000000000001</v>
      </c>
      <c r="AR1173" s="15" t="n">
        <v>62.09</v>
      </c>
      <c r="AS1173" s="34" t="n">
        <v>45988</v>
      </c>
      <c r="AT1173" s="15" t="n">
        <v>12.2</v>
      </c>
      <c r="AU1173" s="15" t="n">
        <v>16.26</v>
      </c>
      <c r="AV1173" s="34" t="n">
        <v>45988</v>
      </c>
      <c r="AW1173" s="15" t="n">
        <v>32.2</v>
      </c>
      <c r="AX1173" s="15" t="n">
        <v>36.99</v>
      </c>
      <c r="AY1173" s="34" t="n">
        <v>45988</v>
      </c>
      <c r="AZ1173" s="15" t="n">
        <v>34</v>
      </c>
      <c r="BA1173" s="15" t="n">
        <v>42.79</v>
      </c>
      <c r="BB1173" s="34" t="n">
        <v>45988</v>
      </c>
      <c r="BC1173" s="15" t="n">
        <v>70.75</v>
      </c>
      <c r="BD1173" s="15" t="n">
        <v>79.78</v>
      </c>
      <c r="BE1173" s="34" t="n">
        <v>45988</v>
      </c>
      <c r="BF1173" s="15" t="n">
        <v>134.8</v>
      </c>
      <c r="BG1173" s="15" t="n">
        <v>180.27</v>
      </c>
      <c r="BH1173" s="34" t="n">
        <v>45988</v>
      </c>
      <c r="BI1173" s="15" t="n">
        <v>23.7</v>
      </c>
      <c r="BJ1173" s="15" t="n">
        <v>27.18</v>
      </c>
      <c r="BK1173" s="34" t="n">
        <v>45988</v>
      </c>
      <c r="BL1173" s="15" t="n">
        <v>53.8</v>
      </c>
      <c r="BM1173" s="15" t="n">
        <v>83.59</v>
      </c>
      <c r="BN1173" s="34" t="n">
        <v>45988</v>
      </c>
      <c r="BO1173" s="15" t="n">
        <v>16.43</v>
      </c>
      <c r="BP1173" s="15" t="n">
        <v>26.28</v>
      </c>
      <c r="BQ1173" s="34" t="n">
        <v>45988</v>
      </c>
      <c r="BR1173" s="15" t="n">
        <v>21.34</v>
      </c>
      <c r="BS1173" s="15" t="n">
        <v>20.13</v>
      </c>
      <c r="BT1173" s="34" t="n">
        <v>45988</v>
      </c>
      <c r="BU1173" s="15" t="n">
        <v>79.05</v>
      </c>
      <c r="BV1173" s="15" t="n">
        <v>110.14</v>
      </c>
      <c r="BW1173" s="34" t="n">
        <v>45988</v>
      </c>
      <c r="BX1173" s="15" t="n">
        <v>125.2</v>
      </c>
      <c r="BY1173" s="15" t="n">
        <v>125.57</v>
      </c>
      <c r="BZ1173" s="34" t="n">
        <v>45988</v>
      </c>
      <c r="CA1173" s="15" t="n">
        <v>15.7</v>
      </c>
      <c r="CB1173" s="15" t="n">
        <v>26.46</v>
      </c>
      <c r="CC1173" s="34" t="n">
        <v>45988</v>
      </c>
      <c r="CD1173" s="15" t="n">
        <v>28.5</v>
      </c>
      <c r="CE1173" s="15" t="n">
        <v>41.62</v>
      </c>
      <c r="CF1173" s="34" t="n">
        <v>45988</v>
      </c>
    </row>
    <row r="1174">
      <c r="A1174" s="34" t="n">
        <v>45989</v>
      </c>
      <c r="B1174" s="266" t="n">
        <v>1.098330020904541</v>
      </c>
      <c r="C1174" s="34" t="n">
        <v>45989</v>
      </c>
      <c r="D1174" s="15" t="n">
        <v>16.62</v>
      </c>
      <c r="E1174" s="15" t="n">
        <v>27.93</v>
      </c>
      <c r="F1174" s="34" t="n">
        <v>45989</v>
      </c>
      <c r="G1174" s="15" t="n">
        <v>79.5</v>
      </c>
      <c r="H1174" s="15" t="n">
        <v>92.75</v>
      </c>
      <c r="I1174" s="34" t="n">
        <v>45989</v>
      </c>
      <c r="J1174" s="15" t="n">
        <v>18.15</v>
      </c>
      <c r="K1174" s="15" t="n">
        <v>33.78</v>
      </c>
      <c r="L1174" s="34" t="n">
        <v>45989</v>
      </c>
      <c r="M1174" s="15" t="n">
        <v>49.26</v>
      </c>
      <c r="N1174" s="15" t="n">
        <v>55.03</v>
      </c>
      <c r="O1174" s="34" t="n">
        <v>45989</v>
      </c>
      <c r="P1174" s="15" t="n">
        <v>72.8</v>
      </c>
      <c r="Q1174" s="15" t="n">
        <v>79.03</v>
      </c>
      <c r="R1174" s="34" t="n">
        <v>45989</v>
      </c>
      <c r="S1174" s="15" t="n">
        <v>31.8</v>
      </c>
      <c r="V1174" s="15" t="n">
        <v>32.94</v>
      </c>
      <c r="W1174" s="15" t="n">
        <v>32.83</v>
      </c>
      <c r="X1174" s="34" t="n">
        <v>45989</v>
      </c>
      <c r="Y1174" s="15" t="n">
        <v>88.5</v>
      </c>
      <c r="Z1174" s="15" t="n">
        <v>79.86</v>
      </c>
      <c r="AA1174" s="34" t="n">
        <v>45989</v>
      </c>
      <c r="AB1174" s="15" t="n">
        <v>14.83</v>
      </c>
      <c r="AC1174" s="15" t="n">
        <v>20.88</v>
      </c>
      <c r="AD1174" s="34" t="n">
        <v>45989</v>
      </c>
      <c r="AE1174" s="15" t="n">
        <v>35.78</v>
      </c>
      <c r="AF1174" s="15" t="n">
        <v>38.37</v>
      </c>
      <c r="AG1174" s="34" t="n">
        <v>45989</v>
      </c>
      <c r="AH1174" s="15" t="n">
        <v>30.58</v>
      </c>
      <c r="AI1174" s="15" t="n">
        <v>32</v>
      </c>
      <c r="AJ1174" s="34" t="n">
        <v>45989</v>
      </c>
      <c r="AK1174" s="15" t="n">
        <v>17.19</v>
      </c>
      <c r="AL1174" s="15" t="n">
        <v>39.66</v>
      </c>
      <c r="AM1174" s="34" t="n">
        <v>45989</v>
      </c>
      <c r="AN1174" s="15" t="n">
        <v>472</v>
      </c>
      <c r="AO1174" s="15" t="n">
        <v>373.2</v>
      </c>
      <c r="AP1174" s="34" t="n">
        <v>45989</v>
      </c>
      <c r="AQ1174" s="15" t="n">
        <v>73.8</v>
      </c>
      <c r="AR1174" s="15" t="n">
        <v>62.08</v>
      </c>
      <c r="AS1174" s="34" t="n">
        <v>45989</v>
      </c>
      <c r="AT1174" s="15" t="n">
        <v>12.09</v>
      </c>
      <c r="AU1174" s="15" t="n">
        <v>16.16</v>
      </c>
      <c r="AV1174" s="34" t="n">
        <v>45989</v>
      </c>
      <c r="AW1174" s="15" t="n">
        <v>32.24</v>
      </c>
      <c r="AX1174" s="15" t="n">
        <v>36.96</v>
      </c>
      <c r="AY1174" s="34" t="n">
        <v>45989</v>
      </c>
      <c r="AZ1174" s="15" t="n">
        <v>34.8</v>
      </c>
      <c r="BA1174" s="15" t="n">
        <v>42.98</v>
      </c>
      <c r="BB1174" s="34" t="n">
        <v>45989</v>
      </c>
      <c r="BC1174" s="15" t="n">
        <v>73.09999999999999</v>
      </c>
      <c r="BD1174" s="15" t="n">
        <v>81.45</v>
      </c>
      <c r="BE1174" s="34" t="n">
        <v>45989</v>
      </c>
      <c r="BF1174" s="15" t="n">
        <v>132.7</v>
      </c>
      <c r="BG1174" s="15" t="n">
        <v>180</v>
      </c>
      <c r="BH1174" s="34" t="n">
        <v>45989</v>
      </c>
      <c r="BI1174" s="15" t="n">
        <v>24.06</v>
      </c>
      <c r="BJ1174" s="15" t="n">
        <v>27.5</v>
      </c>
      <c r="BK1174" s="34" t="n">
        <v>45989</v>
      </c>
      <c r="BL1174" s="15" t="n">
        <v>57</v>
      </c>
      <c r="BM1174" s="15" t="n">
        <v>88.64</v>
      </c>
      <c r="BN1174" s="34" t="n">
        <v>45989</v>
      </c>
      <c r="BO1174" s="15" t="n">
        <v>16.5</v>
      </c>
      <c r="BP1174" s="15" t="n">
        <v>26.98</v>
      </c>
      <c r="BQ1174" s="34" t="n">
        <v>45989</v>
      </c>
      <c r="BR1174" s="15" t="n">
        <v>21.16</v>
      </c>
      <c r="BS1174" s="15" t="n">
        <v>20.32</v>
      </c>
      <c r="BT1174" s="34" t="n">
        <v>45989</v>
      </c>
      <c r="BU1174" s="15" t="n">
        <v>83</v>
      </c>
      <c r="BV1174" s="15" t="n">
        <v>109.62</v>
      </c>
      <c r="BW1174" s="34" t="n">
        <v>45989</v>
      </c>
      <c r="BX1174" s="15" t="n">
        <v>115</v>
      </c>
      <c r="BY1174" s="15" t="n">
        <v>126.19</v>
      </c>
      <c r="BZ1174" s="34" t="n">
        <v>45989</v>
      </c>
      <c r="CA1174" s="15" t="n">
        <v>16.57</v>
      </c>
      <c r="CB1174" s="15" t="n">
        <v>26.72</v>
      </c>
      <c r="CC1174" s="34" t="n">
        <v>45989</v>
      </c>
      <c r="CD1174" s="15" t="n">
        <v>29.52</v>
      </c>
      <c r="CE1174" s="15" t="n">
        <v>42.06</v>
      </c>
      <c r="CF1174" s="34" t="n">
        <v>45989</v>
      </c>
    </row>
    <row r="1175">
      <c r="A1175" s="34" t="n">
        <v>45992</v>
      </c>
      <c r="B1175" s="266" t="n">
        <v>1.10015594959259</v>
      </c>
      <c r="C1175" s="34" t="n">
        <v>45992</v>
      </c>
      <c r="D1175" s="15" t="n">
        <v>16.64</v>
      </c>
      <c r="E1175" s="15" t="n">
        <v>28.33</v>
      </c>
      <c r="F1175" s="34" t="n">
        <v>45992</v>
      </c>
      <c r="G1175" s="15" t="n">
        <v>80.8</v>
      </c>
      <c r="H1175" s="15" t="n">
        <v>94.55</v>
      </c>
      <c r="I1175" s="34" t="n">
        <v>45992</v>
      </c>
      <c r="J1175" s="15" t="n">
        <v>18.72</v>
      </c>
      <c r="K1175" s="15" t="n">
        <v>34.8</v>
      </c>
      <c r="L1175" s="34" t="n">
        <v>45992</v>
      </c>
      <c r="M1175" s="15" t="n">
        <v>48.72</v>
      </c>
      <c r="N1175" s="15" t="n">
        <v>54.62</v>
      </c>
      <c r="O1175" s="34" t="n">
        <v>45992</v>
      </c>
      <c r="P1175" s="15" t="n">
        <v>76.7</v>
      </c>
      <c r="Q1175" s="15" t="n">
        <v>84.45999999999999</v>
      </c>
      <c r="R1175" s="34" t="n">
        <v>45992</v>
      </c>
      <c r="S1175" s="15" t="n">
        <v>34.4</v>
      </c>
      <c r="V1175" s="15" t="n">
        <v>32.28</v>
      </c>
      <c r="W1175" s="15" t="n">
        <v>32.9</v>
      </c>
      <c r="X1175" s="34" t="n">
        <v>45992</v>
      </c>
      <c r="Y1175" s="15" t="n">
        <v>89</v>
      </c>
      <c r="Z1175" s="15" t="n">
        <v>80</v>
      </c>
      <c r="AA1175" s="34" t="n">
        <v>45992</v>
      </c>
      <c r="AB1175" s="15" t="n">
        <v>14.16</v>
      </c>
      <c r="AC1175" s="15" t="n">
        <v>20.02</v>
      </c>
      <c r="AD1175" s="34" t="n">
        <v>45992</v>
      </c>
      <c r="AE1175" s="15" t="n">
        <v>36.06</v>
      </c>
      <c r="AF1175" s="15" t="n">
        <v>38.41</v>
      </c>
      <c r="AG1175" s="34" t="n">
        <v>45992</v>
      </c>
      <c r="AH1175" s="15" t="n">
        <v>31.06</v>
      </c>
      <c r="AI1175" s="15" t="n">
        <v>32.2</v>
      </c>
      <c r="AJ1175" s="34" t="n">
        <v>45992</v>
      </c>
      <c r="AK1175" s="15" t="n">
        <v>17.13</v>
      </c>
      <c r="AL1175" s="15" t="n">
        <v>39.34</v>
      </c>
      <c r="AM1175" s="34" t="n">
        <v>45992</v>
      </c>
      <c r="AN1175" s="15" t="n">
        <v>483</v>
      </c>
      <c r="AO1175" s="15" t="n">
        <v>382.97</v>
      </c>
      <c r="AP1175" s="34" t="n">
        <v>45992</v>
      </c>
      <c r="AQ1175" s="15" t="n">
        <v>72.84999999999999</v>
      </c>
      <c r="AR1175" s="15" t="n">
        <v>61.94</v>
      </c>
      <c r="AS1175" s="34" t="n">
        <v>45992</v>
      </c>
      <c r="AT1175" s="15" t="n">
        <v>11.81</v>
      </c>
      <c r="AU1175" s="15" t="n">
        <v>15.88</v>
      </c>
      <c r="AV1175" s="34" t="n">
        <v>45992</v>
      </c>
      <c r="AW1175" s="15" t="n">
        <v>32.3</v>
      </c>
      <c r="AX1175" s="15" t="n">
        <v>37.16</v>
      </c>
      <c r="AY1175" s="34" t="n">
        <v>45992</v>
      </c>
      <c r="AZ1175" s="15" t="n">
        <v>35.06</v>
      </c>
      <c r="BA1175" s="15" t="n">
        <v>43.79</v>
      </c>
      <c r="BB1175" s="34" t="n">
        <v>45992</v>
      </c>
      <c r="BC1175" s="15" t="n">
        <v>76.34999999999999</v>
      </c>
      <c r="BD1175" s="15" t="n">
        <v>83.84999999999999</v>
      </c>
      <c r="BE1175" s="34" t="n">
        <v>45992</v>
      </c>
      <c r="BF1175" s="15" t="n">
        <v>132.4</v>
      </c>
      <c r="BG1175" s="15" t="n">
        <v>182.31</v>
      </c>
      <c r="BH1175" s="34" t="n">
        <v>45992</v>
      </c>
      <c r="BI1175" s="15" t="n">
        <v>25.24</v>
      </c>
      <c r="BJ1175" s="15" t="n">
        <v>28.66</v>
      </c>
      <c r="BK1175" s="34" t="n">
        <v>45992</v>
      </c>
      <c r="BL1175" s="15" t="n">
        <v>58.9</v>
      </c>
      <c r="BM1175" s="15" t="n">
        <v>88.58</v>
      </c>
      <c r="BN1175" s="34" t="n">
        <v>45992</v>
      </c>
      <c r="BO1175" s="15" t="n">
        <v>18.9</v>
      </c>
      <c r="BP1175" s="15" t="n">
        <v>32.38</v>
      </c>
      <c r="BQ1175" s="34" t="n">
        <v>45992</v>
      </c>
      <c r="BR1175" s="15" t="n">
        <v>20.64</v>
      </c>
      <c r="BS1175" s="15" t="n">
        <v>20.12</v>
      </c>
      <c r="BT1175" s="34" t="n">
        <v>45992</v>
      </c>
      <c r="BU1175" s="15" t="n">
        <v>83.09999999999999</v>
      </c>
      <c r="BV1175" s="15" t="n">
        <v>108.73</v>
      </c>
      <c r="BW1175" s="34" t="n">
        <v>45992</v>
      </c>
      <c r="BX1175" s="15" t="n">
        <v>121</v>
      </c>
      <c r="BY1175" s="15" t="n">
        <v>131.22</v>
      </c>
      <c r="BZ1175" s="34" t="n">
        <v>45992</v>
      </c>
      <c r="CA1175" s="15" t="n">
        <v>17.61</v>
      </c>
      <c r="CB1175" s="15" t="n">
        <v>27.4</v>
      </c>
      <c r="CC1175" s="34" t="n">
        <v>45992</v>
      </c>
      <c r="CD1175" s="15" t="n">
        <v>28.88</v>
      </c>
      <c r="CE1175" s="15" t="n">
        <v>41.59</v>
      </c>
      <c r="CF1175" s="34" t="n">
        <v>45992</v>
      </c>
    </row>
    <row r="1176">
      <c r="A1176" s="34" t="n">
        <v>45993</v>
      </c>
      <c r="B1176" s="266" t="n">
        <v>1.101189017295837</v>
      </c>
      <c r="C1176" s="34" t="n">
        <v>45993</v>
      </c>
      <c r="D1176" s="15" t="n">
        <v>16.26</v>
      </c>
      <c r="E1176" s="15" t="n">
        <v>27.7</v>
      </c>
      <c r="F1176" s="34" t="n">
        <v>45993</v>
      </c>
      <c r="G1176" s="15" t="n">
        <v>77.90000000000001</v>
      </c>
      <c r="H1176" s="15" t="n">
        <v>92.59999999999999</v>
      </c>
      <c r="I1176" s="34" t="n">
        <v>45993</v>
      </c>
      <c r="J1176" s="15" t="n">
        <v>18.63</v>
      </c>
      <c r="K1176" s="15" t="n">
        <v>33.86</v>
      </c>
      <c r="L1176" s="34" t="n">
        <v>45993</v>
      </c>
      <c r="M1176" s="15" t="n">
        <v>47.28</v>
      </c>
      <c r="N1176" s="15" t="n">
        <v>52.61</v>
      </c>
      <c r="O1176" s="34" t="n">
        <v>45993</v>
      </c>
      <c r="P1176" s="15" t="n">
        <v>75.95</v>
      </c>
      <c r="Q1176" s="15" t="n">
        <v>83.42</v>
      </c>
      <c r="R1176" s="34" t="n">
        <v>45993</v>
      </c>
      <c r="S1176" s="15" t="n">
        <v>32.08</v>
      </c>
      <c r="V1176" s="15" t="n">
        <v>30.58</v>
      </c>
      <c r="W1176" s="15" t="n">
        <v>32.14</v>
      </c>
      <c r="X1176" s="34" t="n">
        <v>45993</v>
      </c>
      <c r="Y1176" s="15" t="n">
        <v>90.45</v>
      </c>
      <c r="Z1176" s="15" t="n">
        <v>81.56</v>
      </c>
      <c r="AA1176" s="34" t="n">
        <v>45993</v>
      </c>
      <c r="AB1176" s="15" t="n">
        <v>14.74</v>
      </c>
      <c r="AC1176" s="15" t="n">
        <v>21.28</v>
      </c>
      <c r="AD1176" s="34" t="n">
        <v>45993</v>
      </c>
      <c r="AE1176" s="15" t="n">
        <v>35.74</v>
      </c>
      <c r="AF1176" s="15" t="n">
        <v>37.91</v>
      </c>
      <c r="AG1176" s="34" t="n">
        <v>45993</v>
      </c>
      <c r="AH1176" s="15" t="n">
        <v>30.56</v>
      </c>
      <c r="AI1176" s="15" t="n">
        <v>31.61</v>
      </c>
      <c r="AJ1176" s="34" t="n">
        <v>45993</v>
      </c>
      <c r="AK1176" s="15" t="n">
        <v>16.57</v>
      </c>
      <c r="AL1176" s="15" t="n">
        <v>37.77</v>
      </c>
      <c r="AM1176" s="34" t="n">
        <v>45993</v>
      </c>
      <c r="AN1176" s="15" t="n">
        <v>477.8</v>
      </c>
      <c r="AO1176" s="15" t="n">
        <v>380.08</v>
      </c>
      <c r="AP1176" s="34" t="n">
        <v>45993</v>
      </c>
      <c r="AQ1176" s="15" t="n">
        <v>71.8</v>
      </c>
      <c r="AR1176" s="15" t="n">
        <v>61.12</v>
      </c>
      <c r="AS1176" s="34" t="n">
        <v>45993</v>
      </c>
      <c r="AT1176" s="15" t="n">
        <v>12.32</v>
      </c>
      <c r="AU1176" s="15" t="n">
        <v>16.47</v>
      </c>
      <c r="AV1176" s="34" t="n">
        <v>45993</v>
      </c>
      <c r="AW1176" s="15" t="n">
        <v>32.28</v>
      </c>
      <c r="AX1176" s="15" t="n">
        <v>36.87</v>
      </c>
      <c r="AY1176" s="34" t="n">
        <v>45993</v>
      </c>
      <c r="AZ1176" s="15" t="n">
        <v>33.78</v>
      </c>
      <c r="BA1176" s="15" t="n">
        <v>42.03</v>
      </c>
      <c r="BB1176" s="34" t="n">
        <v>45993</v>
      </c>
      <c r="BC1176" s="15" t="n">
        <v>73.84999999999999</v>
      </c>
      <c r="BD1176" s="15" t="n">
        <v>83.75</v>
      </c>
      <c r="BE1176" s="34" t="n">
        <v>45993</v>
      </c>
      <c r="BF1176" s="15" t="n">
        <v>129.3</v>
      </c>
      <c r="BG1176" s="15" t="n">
        <v>180</v>
      </c>
      <c r="BH1176" s="34" t="n">
        <v>45993</v>
      </c>
      <c r="BI1176" s="15" t="n">
        <v>25.08</v>
      </c>
      <c r="BJ1176" s="15" t="n">
        <v>28.97</v>
      </c>
      <c r="BK1176" s="34" t="n">
        <v>45993</v>
      </c>
      <c r="BL1176" s="15" t="n">
        <v>56.9</v>
      </c>
      <c r="BM1176" s="15" t="n">
        <v>83.89</v>
      </c>
      <c r="BN1176" s="34" t="n">
        <v>45993</v>
      </c>
      <c r="BO1176" s="15" t="n">
        <v>18.87</v>
      </c>
      <c r="BP1176" s="15" t="n">
        <v>34.4</v>
      </c>
      <c r="BQ1176" s="34" t="n">
        <v>45993</v>
      </c>
      <c r="BR1176" s="15" t="n">
        <v>21.8</v>
      </c>
      <c r="BS1176" s="15" t="n">
        <v>20.16</v>
      </c>
      <c r="BT1176" s="34" t="n">
        <v>45993</v>
      </c>
      <c r="BU1176" s="15" t="n">
        <v>80.3</v>
      </c>
      <c r="BV1176" s="15" t="n">
        <v>106.88</v>
      </c>
      <c r="BW1176" s="34" t="n">
        <v>45993</v>
      </c>
      <c r="BX1176" s="15" t="n">
        <v>117.2</v>
      </c>
      <c r="BY1176" s="15" t="n">
        <v>128.9</v>
      </c>
      <c r="BZ1176" s="34" t="n">
        <v>45993</v>
      </c>
      <c r="CA1176" s="15" t="n">
        <v>17.85</v>
      </c>
      <c r="CB1176" s="15" t="n">
        <v>26.98</v>
      </c>
      <c r="CC1176" s="34" t="n">
        <v>45993</v>
      </c>
      <c r="CD1176" s="15" t="n">
        <v>27.76</v>
      </c>
      <c r="CE1176" s="15" t="n">
        <v>40.89</v>
      </c>
      <c r="CF1176" s="34" t="n">
        <v>45993</v>
      </c>
    </row>
    <row r="1177">
      <c r="A1177" s="34" t="n">
        <v>45994</v>
      </c>
      <c r="B1177" s="266" t="n">
        <v>1.100834012031555</v>
      </c>
      <c r="C1177" s="34" t="n">
        <v>45994</v>
      </c>
      <c r="D1177" s="15" t="n">
        <v>16.11</v>
      </c>
      <c r="E1177" s="15" t="n">
        <v>27.64</v>
      </c>
      <c r="F1177" s="34" t="n">
        <v>45994</v>
      </c>
      <c r="G1177" s="15" t="n">
        <v>76.55</v>
      </c>
      <c r="H1177" s="15" t="n">
        <v>92.56</v>
      </c>
      <c r="I1177" s="34" t="n">
        <v>45994</v>
      </c>
      <c r="J1177" s="15" t="n">
        <v>18.8</v>
      </c>
      <c r="K1177" s="15" t="n">
        <v>34.26</v>
      </c>
      <c r="L1177" s="34" t="n">
        <v>45994</v>
      </c>
      <c r="M1177" s="15" t="n">
        <v>46.48</v>
      </c>
      <c r="N1177" s="15" t="n">
        <v>51.2</v>
      </c>
      <c r="O1177" s="34" t="n">
        <v>45994</v>
      </c>
      <c r="P1177" s="15" t="n">
        <v>75.65000000000001</v>
      </c>
      <c r="Q1177" s="15" t="n">
        <v>81.83</v>
      </c>
      <c r="R1177" s="34" t="n">
        <v>45994</v>
      </c>
      <c r="S1177" s="15" t="n">
        <v>30.78</v>
      </c>
      <c r="V1177" s="15" t="n">
        <v>29.74</v>
      </c>
      <c r="W1177" s="15" t="n">
        <v>30.83</v>
      </c>
      <c r="X1177" s="34" t="n">
        <v>45994</v>
      </c>
      <c r="Y1177" s="15" t="n">
        <v>91</v>
      </c>
      <c r="Z1177" s="15" t="n">
        <v>82.17</v>
      </c>
      <c r="AA1177" s="34" t="n">
        <v>45994</v>
      </c>
      <c r="AB1177" s="15" t="n">
        <v>16.54</v>
      </c>
      <c r="AC1177" s="15" t="n">
        <v>23.41</v>
      </c>
      <c r="AD1177" s="34" t="n">
        <v>45994</v>
      </c>
      <c r="AE1177" s="15" t="n">
        <v>35.46</v>
      </c>
      <c r="AF1177" s="15" t="n">
        <v>38</v>
      </c>
      <c r="AG1177" s="34" t="n">
        <v>45994</v>
      </c>
      <c r="AH1177" s="15" t="n">
        <v>30.42</v>
      </c>
      <c r="AI1177" s="15" t="n">
        <v>30.88</v>
      </c>
      <c r="AJ1177" s="34" t="n">
        <v>45994</v>
      </c>
      <c r="AK1177" s="15" t="n">
        <v>16.09</v>
      </c>
      <c r="AL1177" s="15" t="n">
        <v>36.84</v>
      </c>
      <c r="AM1177" s="34" t="n">
        <v>45994</v>
      </c>
      <c r="AN1177" s="15" t="n">
        <v>473.6</v>
      </c>
      <c r="AO1177" s="15" t="n">
        <v>376.08</v>
      </c>
      <c r="AP1177" s="34" t="n">
        <v>45994</v>
      </c>
      <c r="AQ1177" s="15" t="n">
        <v>71.8</v>
      </c>
      <c r="AR1177" s="15" t="n">
        <v>60.97</v>
      </c>
      <c r="AS1177" s="34" t="n">
        <v>45994</v>
      </c>
      <c r="AT1177" s="15" t="n">
        <v>12.42</v>
      </c>
      <c r="AU1177" s="15" t="n">
        <v>16.4</v>
      </c>
      <c r="AV1177" s="34" t="n">
        <v>45994</v>
      </c>
      <c r="AW1177" s="15" t="n">
        <v>32.18</v>
      </c>
      <c r="AX1177" s="15" t="n">
        <v>36.41</v>
      </c>
      <c r="AY1177" s="34" t="n">
        <v>45994</v>
      </c>
      <c r="AZ1177" s="15" t="n">
        <v>32.46</v>
      </c>
      <c r="BA1177" s="15" t="n">
        <v>41.66</v>
      </c>
      <c r="BB1177" s="34" t="n">
        <v>45994</v>
      </c>
      <c r="BC1177" s="15" t="n">
        <v>71.8</v>
      </c>
      <c r="BD1177" s="15" t="n">
        <v>81.48999999999999</v>
      </c>
      <c r="BE1177" s="34" t="n">
        <v>45994</v>
      </c>
      <c r="BF1177" s="15" t="n">
        <v>128.4</v>
      </c>
      <c r="BG1177" s="15" t="n">
        <v>183.87</v>
      </c>
      <c r="BH1177" s="34" t="n">
        <v>45994</v>
      </c>
      <c r="BI1177" s="15" t="n">
        <v>24.56</v>
      </c>
      <c r="BJ1177" s="15" t="n">
        <v>28.22</v>
      </c>
      <c r="BK1177" s="34" t="n">
        <v>45994</v>
      </c>
      <c r="BL1177" s="15" t="n">
        <v>58.9</v>
      </c>
      <c r="BM1177" s="15" t="n">
        <v>85.45999999999999</v>
      </c>
      <c r="BN1177" s="34" t="n">
        <v>45994</v>
      </c>
      <c r="BO1177" s="15" t="n">
        <v>17.56</v>
      </c>
      <c r="BP1177" s="15" t="n">
        <v>31.96</v>
      </c>
      <c r="BQ1177" s="34" t="n">
        <v>45994</v>
      </c>
      <c r="BR1177" s="15" t="n">
        <v>21.52</v>
      </c>
      <c r="BS1177" s="15" t="n">
        <v>20.4</v>
      </c>
      <c r="BT1177" s="34" t="n">
        <v>45994</v>
      </c>
      <c r="BU1177" s="15" t="n">
        <v>78.7</v>
      </c>
      <c r="BV1177" s="15" t="n">
        <v>108.58</v>
      </c>
      <c r="BW1177" s="34" t="n">
        <v>45994</v>
      </c>
      <c r="BX1177" s="15" t="n">
        <v>116.5</v>
      </c>
      <c r="BY1177" s="15" t="n">
        <v>126.87</v>
      </c>
      <c r="BZ1177" s="34" t="n">
        <v>45994</v>
      </c>
      <c r="CA1177" s="15" t="n">
        <v>17.8</v>
      </c>
      <c r="CB1177" s="15" t="n">
        <v>26.57</v>
      </c>
      <c r="CC1177" s="34" t="n">
        <v>45994</v>
      </c>
      <c r="CD1177" s="15" t="n">
        <v>27.1</v>
      </c>
      <c r="CE1177" s="15" t="n">
        <v>39.91</v>
      </c>
      <c r="CF1177" s="34" t="n">
        <v>45994</v>
      </c>
    </row>
    <row r="1178">
      <c r="A1178" s="34" t="n">
        <v>45995</v>
      </c>
      <c r="B1178" s="266" t="n">
        <v>1.101611018180847</v>
      </c>
      <c r="C1178" s="34" t="n">
        <v>45995</v>
      </c>
      <c r="D1178" s="15" t="n">
        <v>16.25</v>
      </c>
      <c r="E1178" s="15" t="n">
        <v>27.86</v>
      </c>
      <c r="F1178" s="34" t="n">
        <v>45995</v>
      </c>
      <c r="G1178" s="15" t="n">
        <v>77.65000000000001</v>
      </c>
      <c r="H1178" s="15" t="n">
        <v>90.84</v>
      </c>
      <c r="I1178" s="34" t="n">
        <v>45995</v>
      </c>
      <c r="J1178" s="15" t="n">
        <v>18.89</v>
      </c>
      <c r="K1178" s="15" t="n">
        <v>33.72</v>
      </c>
      <c r="L1178" s="34" t="n">
        <v>45995</v>
      </c>
      <c r="M1178" s="15" t="n">
        <v>46.54</v>
      </c>
      <c r="N1178" s="15" t="n">
        <v>51.39</v>
      </c>
      <c r="O1178" s="34" t="n">
        <v>45995</v>
      </c>
      <c r="P1178" s="15" t="n">
        <v>74.84999999999999</v>
      </c>
      <c r="Q1178" s="15" t="n">
        <v>81.22</v>
      </c>
      <c r="R1178" s="34" t="n">
        <v>45995</v>
      </c>
      <c r="S1178" s="15" t="n">
        <v>30.98</v>
      </c>
      <c r="V1178" s="15" t="n">
        <v>28.92</v>
      </c>
      <c r="W1178" s="15" t="n">
        <v>30.5</v>
      </c>
      <c r="X1178" s="34" t="n">
        <v>45995</v>
      </c>
      <c r="Y1178" s="15" t="n">
        <v>90.95</v>
      </c>
      <c r="Z1178" s="15" t="n">
        <v>81.89</v>
      </c>
      <c r="AA1178" s="34" t="n">
        <v>45995</v>
      </c>
      <c r="AB1178" s="15" t="n">
        <v>15.25</v>
      </c>
      <c r="AC1178" s="15" t="n">
        <v>22</v>
      </c>
      <c r="AD1178" s="34" t="n">
        <v>45995</v>
      </c>
      <c r="AE1178" s="15" t="n">
        <v>35.68</v>
      </c>
      <c r="AF1178" s="15" t="n">
        <v>37.86</v>
      </c>
      <c r="AG1178" s="34" t="n">
        <v>45995</v>
      </c>
      <c r="AH1178" s="15" t="n">
        <v>29.78</v>
      </c>
      <c r="AI1178" s="15" t="n">
        <v>30.37</v>
      </c>
      <c r="AJ1178" s="34" t="n">
        <v>45995</v>
      </c>
      <c r="AK1178" s="15" t="n">
        <v>15.74</v>
      </c>
      <c r="AL1178" s="15" t="n">
        <v>36.14</v>
      </c>
      <c r="AM1178" s="34" t="n">
        <v>45995</v>
      </c>
      <c r="AN1178" s="15" t="n">
        <v>483</v>
      </c>
      <c r="AO1178" s="15" t="n">
        <v>383.35</v>
      </c>
      <c r="AP1178" s="34" t="n">
        <v>45995</v>
      </c>
      <c r="AQ1178" s="15" t="n">
        <v>72.90000000000001</v>
      </c>
      <c r="AR1178" s="15" t="n">
        <v>61.25</v>
      </c>
      <c r="AS1178" s="34" t="n">
        <v>45995</v>
      </c>
      <c r="AT1178" s="15" t="n">
        <v>12.53</v>
      </c>
      <c r="AU1178" s="15" t="n">
        <v>15.97</v>
      </c>
      <c r="AV1178" s="34" t="n">
        <v>45995</v>
      </c>
      <c r="AW1178" s="15" t="n">
        <v>32.12</v>
      </c>
      <c r="AX1178" s="15" t="n">
        <v>36.22</v>
      </c>
      <c r="AY1178" s="34" t="n">
        <v>45995</v>
      </c>
      <c r="AZ1178" s="15" t="n">
        <v>34.96</v>
      </c>
      <c r="BA1178" s="15" t="n">
        <v>44.79</v>
      </c>
      <c r="BB1178" s="34" t="n">
        <v>45995</v>
      </c>
      <c r="BC1178" s="15" t="n">
        <v>71.5</v>
      </c>
      <c r="BD1178" s="15" t="n">
        <v>80.06999999999999</v>
      </c>
      <c r="BE1178" s="34" t="n">
        <v>45995</v>
      </c>
      <c r="BF1178" s="15" t="n">
        <v>131</v>
      </c>
      <c r="BG1178" s="15" t="n">
        <v>184.2</v>
      </c>
      <c r="BH1178" s="34" t="n">
        <v>45995</v>
      </c>
      <c r="BI1178" s="15" t="n">
        <v>25.2</v>
      </c>
      <c r="BJ1178" s="15" t="n">
        <v>28.32</v>
      </c>
      <c r="BK1178" s="34" t="n">
        <v>45995</v>
      </c>
      <c r="BL1178" s="15" t="n">
        <v>61.75</v>
      </c>
      <c r="BM1178" s="15" t="n">
        <v>85.48999999999999</v>
      </c>
      <c r="BN1178" s="34" t="n">
        <v>45995</v>
      </c>
      <c r="BO1178" s="15" t="n">
        <v>16.84</v>
      </c>
      <c r="BP1178" s="15" t="n">
        <v>29.88</v>
      </c>
      <c r="BQ1178" s="34" t="n">
        <v>45995</v>
      </c>
      <c r="BR1178" s="15" t="n">
        <v>22.2</v>
      </c>
      <c r="BS1178" s="15" t="n">
        <v>20.97</v>
      </c>
      <c r="BT1178" s="34" t="n">
        <v>45995</v>
      </c>
      <c r="BU1178" s="15" t="n">
        <v>79.65000000000001</v>
      </c>
      <c r="BV1178" s="15" t="n">
        <v>107.66</v>
      </c>
      <c r="BW1178" s="34" t="n">
        <v>45995</v>
      </c>
      <c r="BX1178" s="15" t="n">
        <v>115.8</v>
      </c>
      <c r="BY1178" s="15" t="n">
        <v>125.99</v>
      </c>
      <c r="BZ1178" s="34" t="n">
        <v>45995</v>
      </c>
      <c r="CA1178" s="15" t="n">
        <v>17.42</v>
      </c>
      <c r="CB1178" s="15" t="n">
        <v>26.9</v>
      </c>
      <c r="CC1178" s="34" t="n">
        <v>45995</v>
      </c>
      <c r="CD1178" s="15" t="n">
        <v>28.08</v>
      </c>
      <c r="CE1178" s="15" t="n">
        <v>40.47</v>
      </c>
      <c r="CF1178" s="34" t="n">
        <v>45995</v>
      </c>
    </row>
    <row r="1179">
      <c r="A1179" s="34" t="n">
        <v>45996</v>
      </c>
      <c r="B1179" s="266" t="n">
        <v>1.100373983383179</v>
      </c>
      <c r="C1179" s="34" t="n">
        <v>45996</v>
      </c>
      <c r="D1179" s="15" t="n">
        <v>16.3</v>
      </c>
      <c r="E1179" s="15" t="n">
        <v>27.84</v>
      </c>
      <c r="F1179" s="34" t="n">
        <v>45996</v>
      </c>
      <c r="G1179" s="15" t="n">
        <v>78.05</v>
      </c>
      <c r="H1179" s="15" t="n">
        <v>92.23999999999999</v>
      </c>
      <c r="I1179" s="34" t="n">
        <v>45996</v>
      </c>
      <c r="J1179" s="15" t="n">
        <v>19.7</v>
      </c>
      <c r="K1179" s="15" t="n">
        <v>36.44</v>
      </c>
      <c r="L1179" s="34" t="n">
        <v>45996</v>
      </c>
      <c r="M1179" s="15" t="n">
        <v>46.8</v>
      </c>
      <c r="N1179" s="15" t="n">
        <v>51.05</v>
      </c>
      <c r="O1179" s="34" t="n">
        <v>45996</v>
      </c>
      <c r="P1179" s="15" t="n">
        <v>74.2</v>
      </c>
      <c r="Q1179" s="15" t="n">
        <v>81.02</v>
      </c>
      <c r="R1179" s="34" t="n">
        <v>45996</v>
      </c>
      <c r="S1179" s="15" t="n">
        <v>32.2</v>
      </c>
      <c r="V1179" s="15" t="n">
        <v>29.06</v>
      </c>
      <c r="W1179" s="15" t="n">
        <v>31.21</v>
      </c>
      <c r="X1179" s="34" t="n">
        <v>45996</v>
      </c>
      <c r="Y1179" s="15" t="n">
        <v>91.45</v>
      </c>
      <c r="Z1179" s="15" t="n">
        <v>82.23</v>
      </c>
      <c r="AA1179" s="34" t="n">
        <v>45996</v>
      </c>
      <c r="AB1179" s="15" t="n">
        <v>14.74</v>
      </c>
      <c r="AC1179" s="15" t="n">
        <v>21.15</v>
      </c>
      <c r="AD1179" s="34" t="n">
        <v>45996</v>
      </c>
      <c r="AE1179" s="15" t="n">
        <v>35.48</v>
      </c>
      <c r="AF1179" s="15" t="n">
        <v>38.22</v>
      </c>
      <c r="AG1179" s="34" t="n">
        <v>45996</v>
      </c>
      <c r="AH1179" s="15" t="n">
        <v>30.4</v>
      </c>
      <c r="AI1179" s="15" t="n">
        <v>31.04</v>
      </c>
      <c r="AJ1179" s="34" t="n">
        <v>45996</v>
      </c>
      <c r="AK1179" s="15" t="n">
        <v>15.99</v>
      </c>
      <c r="AL1179" s="15" t="n">
        <v>36.68</v>
      </c>
      <c r="AM1179" s="34" t="n">
        <v>45996</v>
      </c>
      <c r="AN1179" s="15" t="n">
        <v>490.4</v>
      </c>
      <c r="AO1179" s="15" t="n">
        <v>389.09</v>
      </c>
      <c r="AP1179" s="34" t="n">
        <v>45996</v>
      </c>
      <c r="AQ1179" s="15" t="n">
        <v>73.7</v>
      </c>
      <c r="AR1179" s="15" t="n">
        <v>61.62</v>
      </c>
      <c r="AS1179" s="34" t="n">
        <v>45996</v>
      </c>
      <c r="AT1179" s="15" t="n">
        <v>13.11</v>
      </c>
      <c r="AU1179" s="15" t="n">
        <v>16.45</v>
      </c>
      <c r="AV1179" s="34" t="n">
        <v>45996</v>
      </c>
      <c r="AW1179" s="15" t="n">
        <v>31.82</v>
      </c>
      <c r="AX1179" s="15" t="n">
        <v>36.51</v>
      </c>
      <c r="AY1179" s="34" t="n">
        <v>45996</v>
      </c>
      <c r="AZ1179" s="15" t="n">
        <v>35.86</v>
      </c>
      <c r="BA1179" s="15" t="n">
        <v>45.1</v>
      </c>
      <c r="BB1179" s="34" t="n">
        <v>45996</v>
      </c>
      <c r="BC1179" s="15" t="n">
        <v>70.84999999999999</v>
      </c>
      <c r="BD1179" s="15" t="n">
        <v>80.04000000000001</v>
      </c>
      <c r="BE1179" s="34" t="n">
        <v>45996</v>
      </c>
      <c r="BF1179" s="15" t="n">
        <v>131.5</v>
      </c>
      <c r="BG1179" s="15" t="n">
        <v>186.5</v>
      </c>
      <c r="BH1179" s="34" t="n">
        <v>45996</v>
      </c>
      <c r="BI1179" s="15" t="n">
        <v>25.66</v>
      </c>
      <c r="BJ1179" s="15" t="n">
        <v>28.86</v>
      </c>
      <c r="BK1179" s="34" t="n">
        <v>45996</v>
      </c>
      <c r="BL1179" s="15" t="n">
        <v>58.55</v>
      </c>
      <c r="BM1179" s="15" t="n">
        <v>81.88</v>
      </c>
      <c r="BN1179" s="34" t="n">
        <v>45996</v>
      </c>
      <c r="BO1179" s="15" t="n">
        <v>16.98</v>
      </c>
      <c r="BP1179" s="15" t="n">
        <v>29.65</v>
      </c>
      <c r="BQ1179" s="34" t="n">
        <v>45996</v>
      </c>
      <c r="BR1179" s="15" t="n">
        <v>22</v>
      </c>
      <c r="BS1179" s="15" t="n">
        <v>21.3</v>
      </c>
      <c r="BT1179" s="34" t="n">
        <v>45996</v>
      </c>
      <c r="BU1179" s="15" t="n">
        <v>81.84999999999999</v>
      </c>
      <c r="BV1179" s="15" t="n">
        <v>110.27</v>
      </c>
      <c r="BW1179" s="34" t="n">
        <v>45996</v>
      </c>
      <c r="BX1179" s="15" t="n">
        <v>114.6</v>
      </c>
      <c r="BY1179" s="15" t="n">
        <v>126.11</v>
      </c>
      <c r="BZ1179" s="34" t="n">
        <v>45996</v>
      </c>
      <c r="CA1179" s="15" t="n">
        <v>17.42</v>
      </c>
      <c r="CB1179" s="15" t="n">
        <v>27.08</v>
      </c>
      <c r="CC1179" s="34" t="n">
        <v>45996</v>
      </c>
      <c r="CD1179" s="15" t="n">
        <v>27.88</v>
      </c>
      <c r="CE1179" s="15" t="n">
        <v>40.8</v>
      </c>
      <c r="CF1179" s="34" t="n">
        <v>45996</v>
      </c>
    </row>
    <row r="1180">
      <c r="A1180" s="34" t="n">
        <v>45999</v>
      </c>
      <c r="B1180" s="266" t="n">
        <v>1.1008620262146</v>
      </c>
      <c r="C1180" s="34" t="n">
        <v>45999</v>
      </c>
      <c r="D1180" s="15" t="n">
        <v>16.24</v>
      </c>
      <c r="E1180" s="15" t="n">
        <v>27.97</v>
      </c>
      <c r="F1180" s="34" t="n">
        <v>45999</v>
      </c>
      <c r="G1180" s="15" t="n">
        <v>78.8</v>
      </c>
      <c r="H1180" s="15" t="n">
        <v>93.31999999999999</v>
      </c>
      <c r="I1180" s="34" t="n">
        <v>45999</v>
      </c>
      <c r="J1180" s="15" t="n">
        <v>19.59</v>
      </c>
      <c r="K1180" s="15" t="n">
        <v>36.4</v>
      </c>
      <c r="L1180" s="34" t="n">
        <v>45999</v>
      </c>
      <c r="M1180" s="15" t="n">
        <v>48.28</v>
      </c>
      <c r="N1180" s="15" t="n">
        <v>53.1</v>
      </c>
      <c r="O1180" s="34" t="n">
        <v>45999</v>
      </c>
      <c r="P1180" s="15" t="n">
        <v>75.05</v>
      </c>
      <c r="Q1180" s="15" t="n">
        <v>82.11</v>
      </c>
      <c r="R1180" s="34" t="n">
        <v>45999</v>
      </c>
      <c r="S1180" s="15" t="n">
        <v>31.78</v>
      </c>
      <c r="V1180" s="15" t="n">
        <v>28.64</v>
      </c>
      <c r="W1180" s="15" t="n">
        <v>30.86</v>
      </c>
      <c r="X1180" s="34" t="n">
        <v>45999</v>
      </c>
      <c r="Y1180" s="15" t="n">
        <v>90.65000000000001</v>
      </c>
      <c r="Z1180" s="15" t="n">
        <v>81.81</v>
      </c>
      <c r="AA1180" s="34" t="n">
        <v>45999</v>
      </c>
      <c r="AB1180" s="15" t="n">
        <v>14.91</v>
      </c>
      <c r="AC1180" s="15" t="n">
        <v>21</v>
      </c>
      <c r="AD1180" s="34" t="n">
        <v>45999</v>
      </c>
      <c r="AE1180" s="15" t="n">
        <v>35.14</v>
      </c>
      <c r="AF1180" s="15" t="n">
        <v>38.08</v>
      </c>
      <c r="AG1180" s="34" t="n">
        <v>45999</v>
      </c>
      <c r="AH1180" s="15" t="n">
        <v>29.94</v>
      </c>
      <c r="AI1180" s="15" t="n">
        <v>30.74</v>
      </c>
      <c r="AJ1180" s="34" t="n">
        <v>45999</v>
      </c>
      <c r="AK1180" s="15" t="n">
        <v>16.01</v>
      </c>
      <c r="AL1180" s="15" t="n">
        <v>36.87</v>
      </c>
      <c r="AM1180" s="34" t="n">
        <v>45999</v>
      </c>
      <c r="AN1180" s="15" t="n">
        <v>506.5</v>
      </c>
      <c r="AO1180" s="15" t="n">
        <v>392.5</v>
      </c>
      <c r="AP1180" s="34" t="n">
        <v>45999</v>
      </c>
      <c r="AQ1180" s="15" t="n">
        <v>72.55</v>
      </c>
      <c r="AR1180" s="15" t="n">
        <v>62.46</v>
      </c>
      <c r="AS1180" s="34" t="n">
        <v>45999</v>
      </c>
      <c r="AT1180" s="15" t="n">
        <v>13.08</v>
      </c>
      <c r="AU1180" s="15" t="n">
        <v>16.78</v>
      </c>
      <c r="AV1180" s="34" t="n">
        <v>45999</v>
      </c>
      <c r="AW1180" s="15" t="n">
        <v>31.78</v>
      </c>
      <c r="AX1180" s="15" t="n">
        <v>36.51</v>
      </c>
      <c r="AY1180" s="34" t="n">
        <v>45999</v>
      </c>
      <c r="AZ1180" s="15" t="n">
        <v>36.92</v>
      </c>
      <c r="BA1180" s="15" t="n">
        <v>46.8</v>
      </c>
      <c r="BB1180" s="34" t="n">
        <v>45999</v>
      </c>
      <c r="BC1180" s="15" t="n">
        <v>70.7</v>
      </c>
      <c r="BD1180" s="15" t="n">
        <v>80.45</v>
      </c>
      <c r="BE1180" s="34" t="n">
        <v>45999</v>
      </c>
      <c r="BF1180" s="15" t="n">
        <v>131.2</v>
      </c>
      <c r="BG1180" s="15" t="n">
        <v>187.97</v>
      </c>
      <c r="BH1180" s="34" t="n">
        <v>45999</v>
      </c>
      <c r="BI1180" s="15" t="n">
        <v>25.86</v>
      </c>
      <c r="BJ1180" s="15" t="n">
        <v>29.38</v>
      </c>
      <c r="BK1180" s="34" t="n">
        <v>45999</v>
      </c>
      <c r="BL1180" s="15" t="n">
        <v>57.65</v>
      </c>
      <c r="BM1180" s="15" t="n">
        <v>80.54000000000001</v>
      </c>
      <c r="BN1180" s="34" t="n">
        <v>45999</v>
      </c>
      <c r="BO1180" s="15" t="n">
        <v>17.54</v>
      </c>
      <c r="BP1180" s="15" t="n">
        <v>30.54</v>
      </c>
      <c r="BQ1180" s="34" t="n">
        <v>45999</v>
      </c>
      <c r="BR1180" s="15" t="n">
        <v>21.52</v>
      </c>
      <c r="BS1180" s="15" t="n">
        <v>21.23</v>
      </c>
      <c r="BT1180" s="34" t="n">
        <v>45999</v>
      </c>
      <c r="BU1180" s="15" t="n">
        <v>86.5</v>
      </c>
      <c r="BV1180" s="15" t="n">
        <v>118</v>
      </c>
      <c r="BW1180" s="34" t="n">
        <v>45999</v>
      </c>
      <c r="BX1180" s="15" t="n">
        <v>115</v>
      </c>
      <c r="BY1180" s="15" t="n">
        <v>125.58</v>
      </c>
      <c r="BZ1180" s="34" t="n">
        <v>45999</v>
      </c>
      <c r="CA1180" s="15" t="n">
        <v>17.37</v>
      </c>
      <c r="CB1180" s="15" t="n">
        <v>27.28</v>
      </c>
      <c r="CC1180" s="34" t="n">
        <v>45999</v>
      </c>
      <c r="CD1180" s="15" t="n">
        <v>26.7</v>
      </c>
      <c r="CE1180" s="15" t="n">
        <v>41.12</v>
      </c>
      <c r="CF1180" s="34" t="n">
        <v>45999</v>
      </c>
      <c r="CG1180" s="15" t="n">
        <v>111</v>
      </c>
      <c r="CH1180" s="15" t="n">
        <v>155.74</v>
      </c>
      <c r="CI1180" s="34" t="n">
        <v>45999</v>
      </c>
    </row>
    <row r="1181">
      <c r="A1181" s="34" t="n">
        <v>46000</v>
      </c>
      <c r="B1181" s="266" t="n">
        <v>1.10008704662323</v>
      </c>
      <c r="C1181" s="34" t="n">
        <v>46000</v>
      </c>
      <c r="D1181" s="15" t="n">
        <v>17.2</v>
      </c>
      <c r="E1181" s="15" t="n">
        <v>29.96</v>
      </c>
      <c r="F1181" s="34" t="n">
        <v>46000</v>
      </c>
      <c r="G1181" s="15" t="n">
        <v>78.45</v>
      </c>
      <c r="H1181" s="15" t="n">
        <v>92.76000000000001</v>
      </c>
      <c r="I1181" s="34" t="n">
        <v>46000</v>
      </c>
      <c r="J1181" s="15" t="n">
        <v>19.05</v>
      </c>
      <c r="K1181" s="15" t="n">
        <v>34.94</v>
      </c>
      <c r="L1181" s="34" t="n">
        <v>46000</v>
      </c>
      <c r="M1181" s="15" t="n">
        <v>46.46</v>
      </c>
      <c r="N1181" s="15" t="n">
        <v>52.25</v>
      </c>
      <c r="O1181" s="34" t="n">
        <v>46000</v>
      </c>
      <c r="P1181" s="15" t="n">
        <v>72.2</v>
      </c>
      <c r="Q1181" s="15" t="n">
        <v>80.23999999999999</v>
      </c>
      <c r="R1181" s="34" t="n">
        <v>46000</v>
      </c>
      <c r="S1181" s="15" t="n">
        <v>33</v>
      </c>
      <c r="V1181" s="15" t="n">
        <v>26.58</v>
      </c>
      <c r="W1181" s="15" t="n">
        <v>29.94</v>
      </c>
      <c r="X1181" s="34" t="n">
        <v>46000</v>
      </c>
      <c r="Y1181" s="15" t="n">
        <v>88.90000000000001</v>
      </c>
      <c r="Z1181" s="15" t="n">
        <v>80.2</v>
      </c>
      <c r="AA1181" s="34" t="n">
        <v>46000</v>
      </c>
      <c r="AB1181" s="15" t="n">
        <v>14.29</v>
      </c>
      <c r="AC1181" s="15" t="n">
        <v>20.22</v>
      </c>
      <c r="AD1181" s="34" t="n">
        <v>46000</v>
      </c>
      <c r="AE1181" s="15" t="n">
        <v>34.34</v>
      </c>
      <c r="AF1181" s="15" t="n">
        <v>37.51</v>
      </c>
      <c r="AG1181" s="34" t="n">
        <v>46000</v>
      </c>
      <c r="AH1181" s="15" t="n">
        <v>28.82</v>
      </c>
      <c r="AI1181" s="15" t="n">
        <v>29.81</v>
      </c>
      <c r="AJ1181" s="34" t="n">
        <v>46000</v>
      </c>
      <c r="AK1181" s="15" t="n">
        <v>15.85</v>
      </c>
      <c r="AL1181" s="15" t="n">
        <v>36.68</v>
      </c>
      <c r="AM1181" s="34" t="n">
        <v>46000</v>
      </c>
      <c r="AN1181" s="15" t="n">
        <v>496</v>
      </c>
      <c r="AO1181" s="15" t="n">
        <v>387.59</v>
      </c>
      <c r="AP1181" s="34" t="n">
        <v>46000</v>
      </c>
      <c r="AQ1181" s="15" t="n">
        <v>74.3</v>
      </c>
      <c r="AR1181" s="15" t="n">
        <v>63.08</v>
      </c>
      <c r="AS1181" s="34" t="n">
        <v>46000</v>
      </c>
      <c r="AT1181" s="15" t="n">
        <v>13.28</v>
      </c>
      <c r="AU1181" s="15" t="n">
        <v>16.88</v>
      </c>
      <c r="AV1181" s="34" t="n">
        <v>46000</v>
      </c>
      <c r="AW1181" s="15" t="n">
        <v>32.14</v>
      </c>
      <c r="AX1181" s="15" t="n">
        <v>36.47</v>
      </c>
      <c r="AY1181" s="34" t="n">
        <v>46000</v>
      </c>
      <c r="AZ1181" s="15" t="n">
        <v>36.28</v>
      </c>
      <c r="BA1181" s="15" t="n">
        <v>45.96</v>
      </c>
      <c r="BB1181" s="34" t="n">
        <v>46000</v>
      </c>
      <c r="BC1181" s="15" t="n">
        <v>69.15000000000001</v>
      </c>
      <c r="BD1181" s="15" t="n">
        <v>79.78</v>
      </c>
      <c r="BE1181" s="34" t="n">
        <v>46000</v>
      </c>
      <c r="BF1181" s="15" t="n">
        <v>125.6</v>
      </c>
      <c r="BG1181" s="15" t="n">
        <v>184.02</v>
      </c>
      <c r="BH1181" s="34" t="n">
        <v>46000</v>
      </c>
      <c r="BI1181" s="15" t="n">
        <v>25.4</v>
      </c>
      <c r="BJ1181" s="15" t="n">
        <v>29.26</v>
      </c>
      <c r="BK1181" s="34" t="n">
        <v>46000</v>
      </c>
      <c r="BL1181" s="15" t="n">
        <v>58</v>
      </c>
      <c r="BM1181" s="15" t="n">
        <v>81.90000000000001</v>
      </c>
      <c r="BN1181" s="34" t="n">
        <v>46000</v>
      </c>
      <c r="BO1181" s="15" t="n">
        <v>17.15</v>
      </c>
      <c r="BP1181" s="15" t="n">
        <v>29.8</v>
      </c>
      <c r="BQ1181" s="34" t="n">
        <v>46000</v>
      </c>
      <c r="BR1181" s="15" t="n">
        <v>21.84</v>
      </c>
      <c r="BS1181" s="15" t="n">
        <v>21.18</v>
      </c>
      <c r="BT1181" s="34" t="n">
        <v>46000</v>
      </c>
      <c r="BU1181" s="15" t="n">
        <v>86.45</v>
      </c>
      <c r="BV1181" s="15" t="n">
        <v>120.16</v>
      </c>
      <c r="BW1181" s="34" t="n">
        <v>46000</v>
      </c>
      <c r="BX1181" s="15" t="n">
        <v>111</v>
      </c>
      <c r="BY1181" s="15" t="n">
        <v>124</v>
      </c>
      <c r="BZ1181" s="34" t="n">
        <v>46000</v>
      </c>
      <c r="CA1181" s="15" t="n">
        <v>16.81</v>
      </c>
      <c r="CB1181" s="15" t="n">
        <v>26.99</v>
      </c>
      <c r="CC1181" s="34" t="n">
        <v>46000</v>
      </c>
      <c r="CD1181" s="15" t="n">
        <v>27.08</v>
      </c>
      <c r="CE1181" s="15" t="n">
        <v>40.57</v>
      </c>
      <c r="CF1181" s="34" t="n">
        <v>46000</v>
      </c>
      <c r="CG1181" s="15" t="n">
        <v>113.8</v>
      </c>
      <c r="CH1181" s="15" t="n">
        <v>150.9</v>
      </c>
      <c r="CI1181" s="34" t="n">
        <v>46000</v>
      </c>
    </row>
    <row r="1182">
      <c r="A1182" s="34" t="n">
        <v>46001</v>
      </c>
      <c r="B1182" s="266" t="n">
        <v>1.101711988449097</v>
      </c>
      <c r="C1182" s="34" t="n">
        <v>46001</v>
      </c>
      <c r="D1182" s="15" t="n">
        <v>17.33</v>
      </c>
      <c r="E1182" s="15" t="n">
        <v>30.32</v>
      </c>
      <c r="F1182" s="34" t="n">
        <v>46001</v>
      </c>
      <c r="G1182" s="15" t="n">
        <v>78</v>
      </c>
      <c r="H1182" s="15" t="n">
        <v>93.45</v>
      </c>
      <c r="I1182" s="34" t="n">
        <v>46001</v>
      </c>
      <c r="J1182" s="15" t="n">
        <v>19.08</v>
      </c>
      <c r="K1182" s="15" t="n">
        <v>34.83</v>
      </c>
      <c r="L1182" s="34" t="n">
        <v>46001</v>
      </c>
      <c r="M1182" s="15" t="n">
        <v>47.88</v>
      </c>
      <c r="N1182" s="15" t="n">
        <v>52.89</v>
      </c>
      <c r="O1182" s="34" t="n">
        <v>46001</v>
      </c>
      <c r="P1182" s="15" t="n">
        <v>74.45</v>
      </c>
      <c r="Q1182" s="15" t="n">
        <v>82.83</v>
      </c>
      <c r="R1182" s="34" t="n">
        <v>46001</v>
      </c>
      <c r="S1182" s="15" t="n">
        <v>29.2</v>
      </c>
      <c r="T1182" s="15" t="n">
        <v>65.8</v>
      </c>
      <c r="U1182" s="34" t="n">
        <v>46001</v>
      </c>
      <c r="V1182" s="15" t="n">
        <v>25.78</v>
      </c>
      <c r="W1182" s="15" t="n">
        <v>28.78</v>
      </c>
      <c r="X1182" s="34" t="n">
        <v>46001</v>
      </c>
      <c r="Y1182" s="15" t="n">
        <v>89</v>
      </c>
      <c r="Z1182" s="15" t="n">
        <v>80.06999999999999</v>
      </c>
      <c r="AA1182" s="34" t="n">
        <v>46001</v>
      </c>
      <c r="AB1182" s="15" t="n">
        <v>14.5</v>
      </c>
      <c r="AC1182" s="15" t="n">
        <v>20.25</v>
      </c>
      <c r="AD1182" s="34" t="n">
        <v>46001</v>
      </c>
      <c r="AE1182" s="15" t="n">
        <v>34.58</v>
      </c>
      <c r="AF1182" s="15" t="n">
        <v>37.81</v>
      </c>
      <c r="AG1182" s="34" t="n">
        <v>46001</v>
      </c>
      <c r="AH1182" s="15" t="n">
        <v>29.2</v>
      </c>
      <c r="AI1182" s="15" t="n">
        <v>30.32</v>
      </c>
      <c r="AJ1182" s="34" t="n">
        <v>46001</v>
      </c>
      <c r="AK1182" s="15" t="n">
        <v>15.96</v>
      </c>
      <c r="AL1182" s="15" t="n">
        <v>37.59</v>
      </c>
      <c r="AM1182" s="34" t="n">
        <v>46001</v>
      </c>
      <c r="AN1182" s="15" t="n">
        <v>498.4</v>
      </c>
      <c r="AO1182" s="15" t="n">
        <v>382.38</v>
      </c>
      <c r="AP1182" s="34" t="n">
        <v>46001</v>
      </c>
      <c r="AQ1182" s="15" t="n">
        <v>75.15000000000001</v>
      </c>
      <c r="AR1182" s="15" t="n">
        <v>63.38</v>
      </c>
      <c r="AS1182" s="34" t="n">
        <v>46001</v>
      </c>
      <c r="AT1182" s="15" t="n">
        <v>13.19</v>
      </c>
      <c r="AU1182" s="15" t="n">
        <v>16.81</v>
      </c>
      <c r="AV1182" s="34" t="n">
        <v>46001</v>
      </c>
      <c r="AW1182" s="15" t="n">
        <v>31.62</v>
      </c>
      <c r="AX1182" s="15" t="n">
        <v>36.42</v>
      </c>
      <c r="AY1182" s="34" t="n">
        <v>46001</v>
      </c>
      <c r="AZ1182" s="15" t="n">
        <v>36.7</v>
      </c>
      <c r="BA1182" s="15" t="n">
        <v>46.6</v>
      </c>
      <c r="BB1182" s="34" t="n">
        <v>46001</v>
      </c>
      <c r="BC1182" s="15" t="n">
        <v>69.7</v>
      </c>
      <c r="BD1182" s="15" t="n">
        <v>79.5</v>
      </c>
      <c r="BE1182" s="34" t="n">
        <v>46001</v>
      </c>
      <c r="BF1182" s="15" t="n">
        <v>129.3</v>
      </c>
      <c r="BG1182" s="15" t="n">
        <v>192.95</v>
      </c>
      <c r="BH1182" s="34" t="n">
        <v>46001</v>
      </c>
      <c r="BI1182" s="15" t="n">
        <v>25.4</v>
      </c>
      <c r="BJ1182" s="15" t="n">
        <v>28.9</v>
      </c>
      <c r="BK1182" s="34" t="n">
        <v>46001</v>
      </c>
      <c r="BL1182" s="15" t="n">
        <v>57</v>
      </c>
      <c r="BM1182" s="15" t="n">
        <v>80.87</v>
      </c>
      <c r="BN1182" s="34" t="n">
        <v>46001</v>
      </c>
      <c r="BO1182" s="15" t="n">
        <v>17.14</v>
      </c>
      <c r="BP1182" s="15" t="n">
        <v>29.49</v>
      </c>
      <c r="BQ1182" s="34" t="n">
        <v>46001</v>
      </c>
      <c r="BR1182" s="15" t="n">
        <v>22.2</v>
      </c>
      <c r="BS1182" s="15" t="n">
        <v>21.47</v>
      </c>
      <c r="BT1182" s="34" t="n">
        <v>46001</v>
      </c>
      <c r="BU1182" s="15" t="n">
        <v>86.05</v>
      </c>
      <c r="BV1182" s="15" t="n">
        <v>117.9</v>
      </c>
      <c r="BW1182" s="34" t="n">
        <v>46001</v>
      </c>
      <c r="BX1182" s="15" t="n">
        <v>111</v>
      </c>
      <c r="BY1182" s="15" t="n">
        <v>124.44</v>
      </c>
      <c r="BZ1182" s="34" t="n">
        <v>46001</v>
      </c>
      <c r="CA1182" s="15" t="n">
        <v>16.99</v>
      </c>
      <c r="CB1182" s="15" t="n">
        <v>27.3</v>
      </c>
      <c r="CC1182" s="34" t="n">
        <v>46001</v>
      </c>
      <c r="CD1182" s="15" t="n">
        <v>27.16</v>
      </c>
      <c r="CE1182" s="15" t="n">
        <v>40.31</v>
      </c>
      <c r="CF1182" s="34" t="n">
        <v>46001</v>
      </c>
      <c r="CG1182" s="15" t="n">
        <v>115.7</v>
      </c>
      <c r="CH1182" s="15" t="n">
        <v>153.78</v>
      </c>
      <c r="CI1182" s="34" t="n">
        <v>46001</v>
      </c>
    </row>
    <row r="1183">
      <c r="A1183" s="34" t="n">
        <v>46002</v>
      </c>
      <c r="B1183" s="266" t="n">
        <v>1.10112202167511</v>
      </c>
      <c r="C1183" s="34" t="n">
        <v>46002</v>
      </c>
      <c r="D1183" s="15" t="n">
        <v>17.77</v>
      </c>
      <c r="E1183" s="15" t="n">
        <v>31.23</v>
      </c>
      <c r="F1183" s="34" t="n">
        <v>46002</v>
      </c>
      <c r="G1183" s="15" t="n">
        <v>76.59999999999999</v>
      </c>
      <c r="H1183" s="15" t="n">
        <v>93.5</v>
      </c>
      <c r="I1183" s="34" t="n">
        <v>46002</v>
      </c>
      <c r="J1183" s="15" t="n">
        <v>18.62</v>
      </c>
      <c r="K1183" s="15" t="n">
        <v>34.56</v>
      </c>
      <c r="L1183" s="34" t="n">
        <v>46002</v>
      </c>
      <c r="M1183" s="15" t="n">
        <v>48.2</v>
      </c>
      <c r="N1183" s="15" t="n">
        <v>53.1</v>
      </c>
      <c r="O1183" s="34" t="n">
        <v>46002</v>
      </c>
      <c r="P1183" s="15" t="n">
        <v>70.90000000000001</v>
      </c>
      <c r="Q1183" s="15" t="n">
        <v>79.48</v>
      </c>
      <c r="R1183" s="34" t="n">
        <v>46002</v>
      </c>
      <c r="S1183" s="15" t="n">
        <v>27</v>
      </c>
      <c r="T1183" s="15" t="n">
        <v>64.48</v>
      </c>
      <c r="U1183" s="34" t="n">
        <v>46002</v>
      </c>
      <c r="V1183" s="15" t="n">
        <v>25.34</v>
      </c>
      <c r="W1183" s="15" t="n">
        <v>27.97</v>
      </c>
      <c r="X1183" s="34" t="n">
        <v>46002</v>
      </c>
      <c r="Y1183" s="15" t="n">
        <v>88.2</v>
      </c>
      <c r="Z1183" s="15" t="n">
        <v>79.3</v>
      </c>
      <c r="AA1183" s="34" t="n">
        <v>46002</v>
      </c>
      <c r="AB1183" s="15" t="n">
        <v>14.51</v>
      </c>
      <c r="AC1183" s="15" t="n">
        <v>20.01</v>
      </c>
      <c r="AD1183" s="34" t="n">
        <v>46002</v>
      </c>
      <c r="AE1183" s="15" t="n">
        <v>34.2</v>
      </c>
      <c r="AF1183" s="15" t="n">
        <v>37.08</v>
      </c>
      <c r="AG1183" s="34" t="n">
        <v>46002</v>
      </c>
      <c r="AH1183" s="15" t="n">
        <v>29.48</v>
      </c>
      <c r="AI1183" s="15" t="n">
        <v>30.56</v>
      </c>
      <c r="AJ1183" s="34" t="n">
        <v>46002</v>
      </c>
      <c r="AK1183" s="15" t="n">
        <v>15.57</v>
      </c>
      <c r="AL1183" s="15" t="n">
        <v>36.66</v>
      </c>
      <c r="AM1183" s="34" t="n">
        <v>46002</v>
      </c>
      <c r="AN1183" s="15" t="n">
        <v>508</v>
      </c>
      <c r="AO1183" s="15" t="n">
        <v>388.99</v>
      </c>
      <c r="AP1183" s="34" t="n">
        <v>46002</v>
      </c>
      <c r="AQ1183" s="15" t="n">
        <v>74.7</v>
      </c>
      <c r="AR1183" s="15" t="n">
        <v>63.4</v>
      </c>
      <c r="AS1183" s="34" t="n">
        <v>46002</v>
      </c>
      <c r="AT1183" s="15" t="n">
        <v>13</v>
      </c>
      <c r="AU1183" s="15" t="n">
        <v>16.08</v>
      </c>
      <c r="AV1183" s="34" t="n">
        <v>46002</v>
      </c>
      <c r="AW1183" s="15" t="n">
        <v>31.6</v>
      </c>
      <c r="AX1183" s="15" t="n">
        <v>36.34</v>
      </c>
      <c r="AY1183" s="34" t="n">
        <v>46002</v>
      </c>
      <c r="AZ1183" s="15" t="n">
        <v>36.36</v>
      </c>
      <c r="BA1183" s="15" t="n">
        <v>45.17</v>
      </c>
      <c r="BB1183" s="34" t="n">
        <v>46002</v>
      </c>
      <c r="BC1183" s="15" t="n">
        <v>67.59999999999999</v>
      </c>
      <c r="BD1183" s="15" t="n">
        <v>78.09999999999999</v>
      </c>
      <c r="BE1183" s="34" t="n">
        <v>46002</v>
      </c>
      <c r="BF1183" s="15" t="n">
        <v>122.4</v>
      </c>
      <c r="BG1183" s="15" t="n">
        <v>190.25</v>
      </c>
      <c r="BH1183" s="34" t="n">
        <v>46002</v>
      </c>
      <c r="BI1183" s="15" t="n">
        <v>25.92</v>
      </c>
      <c r="BJ1183" s="15" t="n">
        <v>30.65</v>
      </c>
      <c r="BK1183" s="34" t="n">
        <v>46002</v>
      </c>
      <c r="BL1183" s="15" t="n">
        <v>55.65</v>
      </c>
      <c r="BM1183" s="15" t="n">
        <v>81.43000000000001</v>
      </c>
      <c r="BN1183" s="34" t="n">
        <v>46002</v>
      </c>
      <c r="BO1183" s="15" t="n">
        <v>16.39</v>
      </c>
      <c r="BP1183" s="15" t="n">
        <v>28.01</v>
      </c>
      <c r="BQ1183" s="34" t="n">
        <v>46002</v>
      </c>
      <c r="BR1183" s="15" t="n">
        <v>22.84</v>
      </c>
      <c r="BS1183" s="15" t="n">
        <v>21.09</v>
      </c>
      <c r="BT1183" s="34" t="n">
        <v>46002</v>
      </c>
      <c r="BU1183" s="15" t="n">
        <v>82.7</v>
      </c>
      <c r="BV1183" s="15" t="n">
        <v>114.74</v>
      </c>
      <c r="BW1183" s="34" t="n">
        <v>46002</v>
      </c>
      <c r="BX1183" s="15" t="n">
        <v>109.9</v>
      </c>
      <c r="BY1183" s="15" t="n">
        <v>122.3</v>
      </c>
      <c r="BZ1183" s="34" t="n">
        <v>46002</v>
      </c>
      <c r="CA1183" s="15" t="n">
        <v>16.48</v>
      </c>
      <c r="CB1183" s="15" t="n">
        <v>26.77</v>
      </c>
      <c r="CC1183" s="34" t="n">
        <v>46002</v>
      </c>
      <c r="CD1183" s="15" t="n">
        <v>26.86</v>
      </c>
      <c r="CE1183" s="15" t="n">
        <v>39.72</v>
      </c>
      <c r="CF1183" s="34" t="n">
        <v>46002</v>
      </c>
      <c r="CG1183" s="15" t="n">
        <v>115.3</v>
      </c>
      <c r="CH1183" s="15" t="n">
        <v>148.8</v>
      </c>
      <c r="CI1183" s="34" t="n">
        <v>46002</v>
      </c>
    </row>
    <row r="1184">
      <c r="A1184" s="34" t="n">
        <v>46003</v>
      </c>
      <c r="B1184" s="266" t="n">
        <v>1.102499008178711</v>
      </c>
      <c r="C1184" s="34" t="n">
        <v>46003</v>
      </c>
      <c r="D1184" s="15" t="n">
        <v>21.28</v>
      </c>
      <c r="E1184" s="15" t="n">
        <v>34.35</v>
      </c>
      <c r="F1184" s="34" t="n">
        <v>46003</v>
      </c>
      <c r="G1184" s="15" t="n">
        <v>77.25</v>
      </c>
      <c r="H1184" s="15" t="n">
        <v>94.08</v>
      </c>
      <c r="I1184" s="34" t="n">
        <v>46003</v>
      </c>
      <c r="J1184" s="15" t="n">
        <v>18.98</v>
      </c>
      <c r="K1184" s="15" t="n">
        <v>35.04</v>
      </c>
      <c r="L1184" s="34" t="n">
        <v>46003</v>
      </c>
      <c r="M1184" s="15" t="n">
        <v>47.04</v>
      </c>
      <c r="N1184" s="15" t="n">
        <v>51.64</v>
      </c>
      <c r="O1184" s="34" t="n">
        <v>46003</v>
      </c>
      <c r="P1184" s="15" t="n">
        <v>71.40000000000001</v>
      </c>
      <c r="Q1184" s="15" t="n">
        <v>79.2</v>
      </c>
      <c r="R1184" s="34" t="n">
        <v>46003</v>
      </c>
      <c r="S1184" s="15" t="n">
        <v>28.3</v>
      </c>
      <c r="T1184" s="15" t="n">
        <v>58.23</v>
      </c>
      <c r="U1184" s="34" t="n">
        <v>46003</v>
      </c>
      <c r="V1184" s="15" t="n">
        <v>25.92</v>
      </c>
      <c r="W1184" s="15" t="n">
        <v>28.22</v>
      </c>
      <c r="X1184" s="34" t="n">
        <v>46003</v>
      </c>
      <c r="Y1184" s="15" t="n">
        <v>89.05</v>
      </c>
      <c r="Z1184" s="15" t="n">
        <v>79.31999999999999</v>
      </c>
      <c r="AA1184" s="34" t="n">
        <v>46003</v>
      </c>
      <c r="AB1184" s="15" t="n">
        <v>14.01</v>
      </c>
      <c r="AC1184" s="15" t="n">
        <v>19.23</v>
      </c>
      <c r="AD1184" s="34" t="n">
        <v>46003</v>
      </c>
      <c r="AE1184" s="15" t="n">
        <v>35</v>
      </c>
      <c r="AF1184" s="15" t="n">
        <v>37.43</v>
      </c>
      <c r="AG1184" s="34" t="n">
        <v>46003</v>
      </c>
      <c r="AH1184" s="15" t="n">
        <v>30.42</v>
      </c>
      <c r="AI1184" s="15" t="n">
        <v>31.2</v>
      </c>
      <c r="AJ1184" s="34" t="n">
        <v>46003</v>
      </c>
      <c r="AK1184" s="15" t="n">
        <v>16.86</v>
      </c>
      <c r="AL1184" s="15" t="n">
        <v>40.33</v>
      </c>
      <c r="AM1184" s="34" t="n">
        <v>46003</v>
      </c>
      <c r="AN1184" s="15" t="n">
        <v>516</v>
      </c>
      <c r="AO1184" s="15" t="n">
        <v>391.8</v>
      </c>
      <c r="AP1184" s="34" t="n">
        <v>46003</v>
      </c>
      <c r="AQ1184" s="15" t="n">
        <v>72.45</v>
      </c>
      <c r="AR1184" s="15" t="n">
        <v>63.28</v>
      </c>
      <c r="AS1184" s="34" t="n">
        <v>46003</v>
      </c>
      <c r="AT1184" s="15" t="n">
        <v>12.92</v>
      </c>
      <c r="AU1184" s="15" t="n">
        <v>15.79</v>
      </c>
      <c r="AV1184" s="34" t="n">
        <v>46003</v>
      </c>
      <c r="AW1184" s="15" t="n">
        <v>31.76</v>
      </c>
      <c r="AX1184" s="15" t="n">
        <v>36.49</v>
      </c>
      <c r="AY1184" s="34" t="n">
        <v>46003</v>
      </c>
      <c r="AZ1184" s="15" t="n">
        <v>36.42</v>
      </c>
      <c r="BA1184" s="15" t="n">
        <v>45.04</v>
      </c>
      <c r="BB1184" s="34" t="n">
        <v>46003</v>
      </c>
      <c r="BC1184" s="15" t="n">
        <v>70.95</v>
      </c>
      <c r="BD1184" s="15" t="n">
        <v>79.38</v>
      </c>
      <c r="BE1184" s="34" t="n">
        <v>46003</v>
      </c>
      <c r="BF1184" s="15" t="n">
        <v>126.7</v>
      </c>
      <c r="BG1184" s="15" t="n">
        <v>192.3</v>
      </c>
      <c r="BH1184" s="34" t="n">
        <v>46003</v>
      </c>
      <c r="BI1184" s="15" t="n">
        <v>25.66</v>
      </c>
      <c r="BJ1184" s="15" t="n">
        <v>30</v>
      </c>
      <c r="BK1184" s="34" t="n">
        <v>46003</v>
      </c>
      <c r="BL1184" s="15" t="n">
        <v>59.25</v>
      </c>
      <c r="BM1184" s="15" t="n">
        <v>90.75</v>
      </c>
      <c r="BN1184" s="34" t="n">
        <v>46003</v>
      </c>
      <c r="BO1184" s="15" t="n">
        <v>17.05</v>
      </c>
      <c r="BP1184" s="15" t="n">
        <v>28.83</v>
      </c>
      <c r="BQ1184" s="34" t="n">
        <v>46003</v>
      </c>
      <c r="BR1184" s="15" t="n">
        <v>22.9</v>
      </c>
      <c r="BS1184" s="15" t="n">
        <v>21.32</v>
      </c>
      <c r="BT1184" s="34" t="n">
        <v>46003</v>
      </c>
      <c r="BU1184" s="15" t="n">
        <v>89.09999999999999</v>
      </c>
      <c r="BV1184" s="15" t="n">
        <v>119.4</v>
      </c>
      <c r="BW1184" s="34" t="n">
        <v>46003</v>
      </c>
      <c r="BX1184" s="15" t="n">
        <v>111.6</v>
      </c>
      <c r="BY1184" s="15" t="n">
        <v>122.37</v>
      </c>
      <c r="BZ1184" s="34" t="n">
        <v>46003</v>
      </c>
      <c r="CA1184" s="15" t="n">
        <v>16.55</v>
      </c>
      <c r="CB1184" s="15" t="n">
        <v>26.95</v>
      </c>
      <c r="CC1184" s="34" t="n">
        <v>46003</v>
      </c>
      <c r="CD1184" s="15" t="n">
        <v>27</v>
      </c>
      <c r="CE1184" s="15" t="n">
        <v>40.1</v>
      </c>
      <c r="CF1184" s="34" t="n">
        <v>46003</v>
      </c>
      <c r="CG1184" s="15" t="n">
        <v>111</v>
      </c>
      <c r="CH1184" s="15" t="n">
        <v>153.83</v>
      </c>
      <c r="CI1184" s="34" t="n">
        <v>46003</v>
      </c>
    </row>
    <row r="1185">
      <c r="A1185" s="34" t="n">
        <v>46006</v>
      </c>
      <c r="B1185" s="266" t="n">
        <v>1.103397965431213</v>
      </c>
      <c r="C1185" s="34" t="n">
        <v>46006</v>
      </c>
      <c r="D1185" s="15" t="n">
        <v>21.7</v>
      </c>
      <c r="E1185" s="15" t="n">
        <v>35.5</v>
      </c>
      <c r="F1185" s="34" t="n">
        <v>46006</v>
      </c>
      <c r="G1185" s="15" t="n">
        <v>74.65000000000001</v>
      </c>
      <c r="H1185" s="15" t="n">
        <v>92.15000000000001</v>
      </c>
      <c r="I1185" s="34" t="n">
        <v>46006</v>
      </c>
      <c r="J1185" s="15" t="n">
        <v>18.45</v>
      </c>
      <c r="K1185" s="15" t="n">
        <v>34.41</v>
      </c>
      <c r="L1185" s="34" t="n">
        <v>46006</v>
      </c>
      <c r="M1185" s="15" t="n">
        <v>46.88</v>
      </c>
      <c r="N1185" s="15" t="n">
        <v>50.41</v>
      </c>
      <c r="O1185" s="34" t="n">
        <v>46006</v>
      </c>
      <c r="P1185" s="15" t="n">
        <v>72.3</v>
      </c>
      <c r="Q1185" s="15" t="n">
        <v>79.42</v>
      </c>
      <c r="R1185" s="34" t="n">
        <v>46006</v>
      </c>
      <c r="S1185" s="15" t="n">
        <v>27.04</v>
      </c>
      <c r="T1185" s="15" t="n">
        <v>55.96</v>
      </c>
      <c r="U1185" s="34" t="n">
        <v>46006</v>
      </c>
      <c r="V1185" s="15" t="n">
        <v>26.68</v>
      </c>
      <c r="W1185" s="15" t="n">
        <v>29.27</v>
      </c>
      <c r="X1185" s="34" t="n">
        <v>46006</v>
      </c>
      <c r="Y1185" s="15" t="n">
        <v>88.34999999999999</v>
      </c>
      <c r="Z1185" s="15" t="n">
        <v>80.41</v>
      </c>
      <c r="AA1185" s="34" t="n">
        <v>46006</v>
      </c>
      <c r="AB1185" s="15" t="n">
        <v>13.8</v>
      </c>
      <c r="AC1185" s="15" t="n">
        <v>19.08</v>
      </c>
      <c r="AD1185" s="34" t="n">
        <v>46006</v>
      </c>
      <c r="AE1185" s="15" t="n">
        <v>34.76</v>
      </c>
      <c r="AF1185" s="15" t="n">
        <v>37.41</v>
      </c>
      <c r="AG1185" s="34" t="n">
        <v>46006</v>
      </c>
      <c r="AH1185" s="15" t="n">
        <v>32.12</v>
      </c>
      <c r="AI1185" s="15" t="n">
        <v>32.69</v>
      </c>
      <c r="AJ1185" s="34" t="n">
        <v>46006</v>
      </c>
      <c r="AK1185" s="15" t="n">
        <v>16.44</v>
      </c>
      <c r="AL1185" s="15" t="n">
        <v>40.77</v>
      </c>
      <c r="AM1185" s="34" t="n">
        <v>46006</v>
      </c>
      <c r="AN1185" s="15" t="n">
        <v>519</v>
      </c>
      <c r="AO1185" s="15" t="n">
        <v>385.5</v>
      </c>
      <c r="AP1185" s="34" t="n">
        <v>46006</v>
      </c>
      <c r="AQ1185" s="15" t="n">
        <v>72.34999999999999</v>
      </c>
      <c r="AR1185" s="15" t="n">
        <v>61.38</v>
      </c>
      <c r="AS1185" s="34" t="n">
        <v>46006</v>
      </c>
      <c r="AT1185" s="15" t="n">
        <v>13.02</v>
      </c>
      <c r="AU1185" s="15" t="n">
        <v>16.11</v>
      </c>
      <c r="AV1185" s="34" t="n">
        <v>46006</v>
      </c>
      <c r="AW1185" s="15" t="n">
        <v>31.9</v>
      </c>
      <c r="AX1185" s="15" t="n">
        <v>36.51</v>
      </c>
      <c r="AY1185" s="34" t="n">
        <v>46006</v>
      </c>
      <c r="AZ1185" s="15" t="n">
        <v>33.78</v>
      </c>
      <c r="BA1185" s="15" t="n">
        <v>43.54</v>
      </c>
      <c r="BB1185" s="34" t="n">
        <v>46006</v>
      </c>
      <c r="BC1185" s="15" t="n">
        <v>70</v>
      </c>
      <c r="BD1185" s="15" t="n">
        <v>78.75</v>
      </c>
      <c r="BE1185" s="34" t="n">
        <v>46006</v>
      </c>
      <c r="BF1185" s="15" t="n">
        <v>121.6</v>
      </c>
      <c r="BG1185" s="15" t="n">
        <v>186.5</v>
      </c>
      <c r="BH1185" s="34" t="n">
        <v>46006</v>
      </c>
      <c r="BI1185" s="15" t="n">
        <v>25.46</v>
      </c>
      <c r="BJ1185" s="15" t="n">
        <v>29</v>
      </c>
      <c r="BK1185" s="34" t="n">
        <v>46006</v>
      </c>
      <c r="BL1185" s="15" t="n">
        <v>59.3</v>
      </c>
      <c r="BM1185" s="15" t="n">
        <v>86.79000000000001</v>
      </c>
      <c r="BN1185" s="34" t="n">
        <v>46006</v>
      </c>
      <c r="BO1185" s="15" t="n">
        <v>17.04</v>
      </c>
      <c r="BP1185" s="15" t="n">
        <v>28.55</v>
      </c>
      <c r="BQ1185" s="34" t="n">
        <v>46006</v>
      </c>
      <c r="BR1185" s="15" t="n">
        <v>22.36</v>
      </c>
      <c r="BS1185" s="15" t="n">
        <v>21.07</v>
      </c>
      <c r="BT1185" s="34" t="n">
        <v>46006</v>
      </c>
      <c r="BU1185" s="15" t="n">
        <v>84.59999999999999</v>
      </c>
      <c r="BV1185" s="15" t="n">
        <v>111.88</v>
      </c>
      <c r="BW1185" s="34" t="n">
        <v>46006</v>
      </c>
      <c r="BX1185" s="15" t="n">
        <v>110.5</v>
      </c>
      <c r="BY1185" s="15" t="n">
        <v>119.5</v>
      </c>
      <c r="BZ1185" s="34" t="n">
        <v>46006</v>
      </c>
      <c r="CA1185" s="15" t="n">
        <v>16.3</v>
      </c>
      <c r="CB1185" s="15" t="n">
        <v>26.55</v>
      </c>
      <c r="CC1185" s="34" t="n">
        <v>46006</v>
      </c>
      <c r="CD1185" s="15" t="n">
        <v>26.44</v>
      </c>
      <c r="CE1185" s="15" t="n">
        <v>39.17</v>
      </c>
      <c r="CF1185" s="34" t="n">
        <v>46006</v>
      </c>
      <c r="CG1185" s="15" t="n">
        <v>113.1</v>
      </c>
      <c r="CH1185" s="15" t="n">
        <v>152.02</v>
      </c>
      <c r="CI1185" s="34" t="n">
        <v>46006</v>
      </c>
    </row>
    <row r="1186">
      <c r="A1186" s="34" t="n">
        <v>46007</v>
      </c>
      <c r="B1186" s="266" t="n">
        <v>1.104179978370667</v>
      </c>
      <c r="C1186" s="34" t="n">
        <v>46007</v>
      </c>
      <c r="D1186" s="15" t="n">
        <v>20.46</v>
      </c>
      <c r="E1186" s="15" t="n">
        <v>34.38</v>
      </c>
      <c r="F1186" s="34" t="n">
        <v>46007</v>
      </c>
      <c r="G1186" s="15" t="n">
        <v>73.05</v>
      </c>
      <c r="H1186" s="15" t="n">
        <v>90.45999999999999</v>
      </c>
      <c r="I1186" s="34" t="n">
        <v>46007</v>
      </c>
      <c r="J1186" s="15" t="n">
        <v>17.89</v>
      </c>
      <c r="K1186" s="15" t="n">
        <v>32.6</v>
      </c>
      <c r="L1186" s="34" t="n">
        <v>46007</v>
      </c>
      <c r="M1186" s="15" t="n">
        <v>46.62</v>
      </c>
      <c r="N1186" s="15" t="n">
        <v>50.13</v>
      </c>
      <c r="O1186" s="34" t="n">
        <v>46007</v>
      </c>
      <c r="P1186" s="15" t="n">
        <v>71.5</v>
      </c>
      <c r="Q1186" s="15" t="n">
        <v>80.09999999999999</v>
      </c>
      <c r="R1186" s="34" t="n">
        <v>46007</v>
      </c>
      <c r="S1186" s="15" t="n">
        <v>26.4</v>
      </c>
      <c r="T1186" s="15" t="n">
        <v>50.1</v>
      </c>
      <c r="U1186" s="34" t="n">
        <v>46007</v>
      </c>
      <c r="V1186" s="15" t="n">
        <v>24.92</v>
      </c>
      <c r="W1186" s="15" t="n">
        <v>27.53</v>
      </c>
      <c r="X1186" s="34" t="n">
        <v>46007</v>
      </c>
      <c r="Y1186" s="15" t="n">
        <v>88.09999999999999</v>
      </c>
      <c r="Z1186" s="15" t="n">
        <v>79.95999999999999</v>
      </c>
      <c r="AA1186" s="34" t="n">
        <v>46007</v>
      </c>
      <c r="AB1186" s="15" t="n">
        <v>13.14</v>
      </c>
      <c r="AC1186" s="15" t="n">
        <v>18.64</v>
      </c>
      <c r="AD1186" s="34" t="n">
        <v>46007</v>
      </c>
      <c r="AE1186" s="15" t="n">
        <v>34.86</v>
      </c>
      <c r="AF1186" s="15" t="n">
        <v>37.63</v>
      </c>
      <c r="AG1186" s="34" t="n">
        <v>46007</v>
      </c>
      <c r="AH1186" s="15" t="n">
        <v>30.3</v>
      </c>
      <c r="AI1186" s="15" t="n">
        <v>30.93</v>
      </c>
      <c r="AJ1186" s="34" t="n">
        <v>46007</v>
      </c>
      <c r="AK1186" s="15" t="n">
        <v>15.95</v>
      </c>
      <c r="AL1186" s="15" t="n">
        <v>39.37</v>
      </c>
      <c r="AM1186" s="34" t="n">
        <v>46007</v>
      </c>
      <c r="AN1186" s="15" t="n">
        <v>506</v>
      </c>
      <c r="AO1186" s="15" t="n">
        <v>378.41</v>
      </c>
      <c r="AP1186" s="34" t="n">
        <v>46007</v>
      </c>
      <c r="AQ1186" s="15" t="n">
        <v>70.84999999999999</v>
      </c>
      <c r="AR1186" s="15" t="n">
        <v>59.15</v>
      </c>
      <c r="AS1186" s="34" t="n">
        <v>46007</v>
      </c>
      <c r="AT1186" s="15" t="n">
        <v>12.42</v>
      </c>
      <c r="AU1186" s="15" t="n">
        <v>15.62</v>
      </c>
      <c r="AV1186" s="34" t="n">
        <v>46007</v>
      </c>
      <c r="AW1186" s="15" t="n">
        <v>31.66</v>
      </c>
      <c r="AX1186" s="15" t="n">
        <v>36.74</v>
      </c>
      <c r="AY1186" s="34" t="n">
        <v>46007</v>
      </c>
      <c r="AZ1186" s="15" t="n">
        <v>32.58</v>
      </c>
      <c r="BA1186" s="15" t="n">
        <v>42.87</v>
      </c>
      <c r="BB1186" s="34" t="n">
        <v>46007</v>
      </c>
      <c r="BC1186" s="15" t="n">
        <v>69.55</v>
      </c>
      <c r="BD1186" s="15" t="n">
        <v>79.98999999999999</v>
      </c>
      <c r="BE1186" s="34" t="n">
        <v>46007</v>
      </c>
      <c r="BF1186" s="15" t="n">
        <v>122.6</v>
      </c>
      <c r="BG1186" s="15" t="n">
        <v>184</v>
      </c>
      <c r="BH1186" s="34" t="n">
        <v>46007</v>
      </c>
      <c r="BI1186" s="15" t="n">
        <v>24.88</v>
      </c>
      <c r="BJ1186" s="15" t="n">
        <v>28.79</v>
      </c>
      <c r="BK1186" s="34" t="n">
        <v>46007</v>
      </c>
      <c r="BL1186" s="15" t="n">
        <v>58.2</v>
      </c>
      <c r="BM1186" s="15" t="n">
        <v>84.84999999999999</v>
      </c>
      <c r="BN1186" s="34" t="n">
        <v>46007</v>
      </c>
      <c r="BO1186" s="15" t="n">
        <v>16.08</v>
      </c>
      <c r="BP1186" s="15" t="n">
        <v>27.4</v>
      </c>
      <c r="BQ1186" s="34" t="n">
        <v>46007</v>
      </c>
      <c r="BR1186" s="15" t="n">
        <v>22.08</v>
      </c>
      <c r="BS1186" s="15" t="n">
        <v>20.76</v>
      </c>
      <c r="BT1186" s="34" t="n">
        <v>46007</v>
      </c>
      <c r="BU1186" s="15" t="n">
        <v>80.8</v>
      </c>
      <c r="BV1186" s="15" t="n">
        <v>106.6</v>
      </c>
      <c r="BW1186" s="34" t="n">
        <v>46007</v>
      </c>
      <c r="BX1186" s="15" t="n">
        <v>108.8</v>
      </c>
      <c r="BY1186" s="15" t="n">
        <v>123.31</v>
      </c>
      <c r="BZ1186" s="34" t="n">
        <v>46007</v>
      </c>
      <c r="CA1186" s="15" t="n">
        <v>16.57</v>
      </c>
      <c r="CB1186" s="15" t="n">
        <v>27.14</v>
      </c>
      <c r="CC1186" s="34" t="n">
        <v>46007</v>
      </c>
      <c r="CD1186" s="15" t="n">
        <v>26.3</v>
      </c>
      <c r="CE1186" s="15" t="n">
        <v>39.38</v>
      </c>
      <c r="CF1186" s="34" t="n">
        <v>46007</v>
      </c>
      <c r="CG1186" s="15" t="n">
        <v>113.9</v>
      </c>
      <c r="CH1186" s="15" t="n">
        <v>148.16</v>
      </c>
      <c r="CI1186" s="34" t="n">
        <v>46007</v>
      </c>
    </row>
    <row r="1187">
      <c r="A1187" s="34" t="n">
        <v>46008</v>
      </c>
      <c r="B1187" s="266" t="n">
        <v>1.104655981063843</v>
      </c>
      <c r="C1187" s="34" t="n">
        <v>46008</v>
      </c>
      <c r="D1187" s="15" t="n">
        <v>22.58</v>
      </c>
      <c r="E1187" s="15" t="n">
        <v>36.85</v>
      </c>
      <c r="F1187" s="34" t="n">
        <v>46008</v>
      </c>
      <c r="G1187" s="15" t="n">
        <v>72.40000000000001</v>
      </c>
      <c r="H1187" s="15" t="n">
        <v>91.79000000000001</v>
      </c>
      <c r="I1187" s="34" t="n">
        <v>46008</v>
      </c>
      <c r="J1187" s="15" t="n">
        <v>18.15</v>
      </c>
      <c r="K1187" s="15" t="n">
        <v>33.05</v>
      </c>
      <c r="L1187" s="34" t="n">
        <v>46008</v>
      </c>
      <c r="M1187" s="15" t="n">
        <v>49.34</v>
      </c>
      <c r="N1187" s="15" t="n">
        <v>53.14</v>
      </c>
      <c r="O1187" s="34" t="n">
        <v>46008</v>
      </c>
      <c r="P1187" s="15" t="n">
        <v>70.2</v>
      </c>
      <c r="Q1187" s="15" t="n">
        <v>79.72</v>
      </c>
      <c r="R1187" s="34" t="n">
        <v>46008</v>
      </c>
      <c r="S1187" s="15" t="n">
        <v>25.76</v>
      </c>
      <c r="T1187" s="15" t="n">
        <v>50.25</v>
      </c>
      <c r="U1187" s="34" t="n">
        <v>46008</v>
      </c>
      <c r="V1187" s="15" t="n">
        <v>24.52</v>
      </c>
      <c r="W1187" s="15" t="n">
        <v>27.78</v>
      </c>
      <c r="X1187" s="34" t="n">
        <v>46008</v>
      </c>
      <c r="Y1187" s="15" t="n">
        <v>87.90000000000001</v>
      </c>
      <c r="Z1187" s="15" t="n">
        <v>80.47</v>
      </c>
      <c r="AA1187" s="34" t="n">
        <v>46008</v>
      </c>
      <c r="AB1187" s="15" t="n">
        <v>13.52</v>
      </c>
      <c r="AC1187" s="15" t="n">
        <v>19.42</v>
      </c>
      <c r="AD1187" s="34" t="n">
        <v>46008</v>
      </c>
      <c r="AE1187" s="15" t="n">
        <v>34.72</v>
      </c>
      <c r="AF1187" s="15" t="n">
        <v>37.93</v>
      </c>
      <c r="AG1187" s="34" t="n">
        <v>46008</v>
      </c>
      <c r="AH1187" s="15" t="n">
        <v>30.86</v>
      </c>
      <c r="AI1187" s="15" t="n">
        <v>32</v>
      </c>
      <c r="AJ1187" s="34" t="n">
        <v>46008</v>
      </c>
      <c r="AK1187" s="15" t="n">
        <v>17.85</v>
      </c>
      <c r="AL1187" s="15" t="n">
        <v>43.31</v>
      </c>
      <c r="AM1187" s="34" t="n">
        <v>46008</v>
      </c>
      <c r="AN1187" s="15" t="n">
        <v>511</v>
      </c>
      <c r="AO1187" s="15" t="n">
        <v>383.42</v>
      </c>
      <c r="AP1187" s="34" t="n">
        <v>46008</v>
      </c>
      <c r="AQ1187" s="15" t="n">
        <v>71.3</v>
      </c>
      <c r="AR1187" s="15" t="n">
        <v>60.3</v>
      </c>
      <c r="AS1187" s="34" t="n">
        <v>46008</v>
      </c>
      <c r="AT1187" s="15" t="n">
        <v>12.53</v>
      </c>
      <c r="AU1187" s="15" t="n">
        <v>15.67</v>
      </c>
      <c r="AV1187" s="34" t="n">
        <v>46008</v>
      </c>
      <c r="AW1187" s="15" t="n">
        <v>32.04</v>
      </c>
      <c r="AX1187" s="15" t="n">
        <v>37.03</v>
      </c>
      <c r="AY1187" s="34" t="n">
        <v>46008</v>
      </c>
      <c r="AZ1187" s="15" t="n">
        <v>33.76</v>
      </c>
      <c r="BA1187" s="15" t="n">
        <v>44.02</v>
      </c>
      <c r="BB1187" s="34" t="n">
        <v>46008</v>
      </c>
      <c r="BC1187" s="15" t="n">
        <v>69.90000000000001</v>
      </c>
      <c r="BD1187" s="15" t="n">
        <v>82.2</v>
      </c>
      <c r="BE1187" s="34" t="n">
        <v>46008</v>
      </c>
      <c r="BF1187" s="15" t="n">
        <v>122.5</v>
      </c>
      <c r="BG1187" s="15" t="n">
        <v>186.3</v>
      </c>
      <c r="BH1187" s="34" t="n">
        <v>46008</v>
      </c>
      <c r="BI1187" s="15" t="n">
        <v>25.92</v>
      </c>
      <c r="BJ1187" s="15" t="n">
        <v>29.65</v>
      </c>
      <c r="BK1187" s="34" t="n">
        <v>46008</v>
      </c>
      <c r="BL1187" s="15" t="n">
        <v>58.65</v>
      </c>
      <c r="BM1187" s="15" t="n">
        <v>86.40000000000001</v>
      </c>
      <c r="BN1187" s="34" t="n">
        <v>46008</v>
      </c>
      <c r="BO1187" s="15" t="n">
        <v>15.92</v>
      </c>
      <c r="BP1187" s="15" t="n">
        <v>28</v>
      </c>
      <c r="BQ1187" s="34" t="n">
        <v>46008</v>
      </c>
      <c r="BR1187" s="15" t="n">
        <v>21.8</v>
      </c>
      <c r="BS1187" s="15" t="n">
        <v>21.07</v>
      </c>
      <c r="BT1187" s="34" t="n">
        <v>46008</v>
      </c>
      <c r="BU1187" s="15" t="n">
        <v>84.40000000000001</v>
      </c>
      <c r="BV1187" s="15" t="n">
        <v>113</v>
      </c>
      <c r="BW1187" s="34" t="n">
        <v>46008</v>
      </c>
      <c r="BX1187" s="15" t="n">
        <v>108.1</v>
      </c>
      <c r="BY1187" s="15" t="n">
        <v>121.55</v>
      </c>
      <c r="BZ1187" s="34" t="n">
        <v>46008</v>
      </c>
      <c r="CA1187" s="15" t="n">
        <v>17.19</v>
      </c>
      <c r="CB1187" s="15" t="n">
        <v>28.5</v>
      </c>
      <c r="CC1187" s="34" t="n">
        <v>46008</v>
      </c>
      <c r="CD1187" s="15" t="n">
        <v>26.88</v>
      </c>
      <c r="CE1187" s="15" t="n">
        <v>40.87</v>
      </c>
      <c r="CF1187" s="34" t="n">
        <v>46008</v>
      </c>
      <c r="CG1187" s="15" t="n">
        <v>112.1</v>
      </c>
      <c r="CH1187" s="15" t="n">
        <v>149.77</v>
      </c>
      <c r="CI1187" s="34" t="n">
        <v>46008</v>
      </c>
    </row>
    <row r="1188">
      <c r="A1188" s="34" t="n">
        <v>46009</v>
      </c>
      <c r="B1188" s="266" t="n">
        <v>1.104357004165649</v>
      </c>
      <c r="C1188" s="34" t="n">
        <v>46009</v>
      </c>
      <c r="D1188" s="15" t="n">
        <v>22.42</v>
      </c>
      <c r="E1188" s="15" t="n">
        <v>35.7</v>
      </c>
      <c r="F1188" s="34" t="n">
        <v>46009</v>
      </c>
      <c r="G1188" s="15" t="n">
        <v>72.45</v>
      </c>
      <c r="H1188" s="15" t="n">
        <v>91.03</v>
      </c>
      <c r="I1188" s="34" t="n">
        <v>46009</v>
      </c>
      <c r="J1188" s="15" t="n">
        <v>18.22</v>
      </c>
      <c r="K1188" s="15" t="n">
        <v>32.3</v>
      </c>
      <c r="L1188" s="34" t="n">
        <v>46009</v>
      </c>
      <c r="M1188" s="15" t="n">
        <v>48.92</v>
      </c>
      <c r="N1188" s="15" t="n">
        <v>52.1</v>
      </c>
      <c r="O1188" s="34" t="n">
        <v>46009</v>
      </c>
      <c r="P1188" s="15" t="n">
        <v>66.15000000000001</v>
      </c>
      <c r="Q1188" s="15" t="n">
        <v>76.5</v>
      </c>
      <c r="R1188" s="34" t="n">
        <v>46009</v>
      </c>
      <c r="S1188" s="15" t="n">
        <v>26</v>
      </c>
      <c r="T1188" s="15" t="n">
        <v>50.45</v>
      </c>
      <c r="U1188" s="34" t="n">
        <v>46009</v>
      </c>
      <c r="V1188" s="15" t="n">
        <v>23.88</v>
      </c>
      <c r="W1188" s="15" t="n">
        <v>27.32</v>
      </c>
      <c r="X1188" s="34" t="n">
        <v>46009</v>
      </c>
      <c r="Y1188" s="15" t="n">
        <v>87</v>
      </c>
      <c r="Z1188" s="15" t="n">
        <v>79.83</v>
      </c>
      <c r="AA1188" s="34" t="n">
        <v>46009</v>
      </c>
      <c r="AB1188" s="15" t="n">
        <v>13.15</v>
      </c>
      <c r="AC1188" s="15" t="n">
        <v>18.71</v>
      </c>
      <c r="AD1188" s="34" t="n">
        <v>46009</v>
      </c>
      <c r="AE1188" s="15" t="n">
        <v>34.6</v>
      </c>
      <c r="AF1188" s="15" t="n">
        <v>38.19</v>
      </c>
      <c r="AG1188" s="34" t="n">
        <v>46009</v>
      </c>
      <c r="AH1188" s="15" t="n">
        <v>30.76</v>
      </c>
      <c r="AI1188" s="15" t="n">
        <v>32.26</v>
      </c>
      <c r="AJ1188" s="34" t="n">
        <v>46009</v>
      </c>
      <c r="AK1188" s="15" t="n">
        <v>18.52</v>
      </c>
      <c r="AL1188" s="15" t="n">
        <v>47.64</v>
      </c>
      <c r="AM1188" s="34" t="n">
        <v>46009</v>
      </c>
      <c r="AN1188" s="15" t="n">
        <v>494</v>
      </c>
      <c r="AO1188" s="15" t="n">
        <v>372</v>
      </c>
      <c r="AP1188" s="34" t="n">
        <v>46009</v>
      </c>
      <c r="AQ1188" s="15" t="n">
        <v>70.7</v>
      </c>
      <c r="AR1188" s="15" t="n">
        <v>60</v>
      </c>
      <c r="AS1188" s="34" t="n">
        <v>46009</v>
      </c>
      <c r="AT1188" s="15" t="n">
        <v>12.4</v>
      </c>
      <c r="AU1188" s="15" t="n">
        <v>15.67</v>
      </c>
      <c r="AV1188" s="34" t="n">
        <v>46009</v>
      </c>
      <c r="AW1188" s="15" t="n">
        <v>32.46</v>
      </c>
      <c r="AX1188" s="15" t="n">
        <v>37.01</v>
      </c>
      <c r="AY1188" s="34" t="n">
        <v>46009</v>
      </c>
      <c r="AZ1188" s="15" t="n">
        <v>33.3</v>
      </c>
      <c r="BA1188" s="15" t="n">
        <v>42.88</v>
      </c>
      <c r="BB1188" s="34" t="n">
        <v>46009</v>
      </c>
      <c r="BC1188" s="15" t="n">
        <v>70.55</v>
      </c>
      <c r="BD1188" s="15" t="n">
        <v>81.83</v>
      </c>
      <c r="BE1188" s="34" t="n">
        <v>46009</v>
      </c>
      <c r="BF1188" s="15" t="n">
        <v>121.2</v>
      </c>
      <c r="BG1188" s="15" t="n">
        <v>182.05</v>
      </c>
      <c r="BH1188" s="34" t="n">
        <v>46009</v>
      </c>
      <c r="BI1188" s="15" t="n">
        <v>25.24</v>
      </c>
      <c r="BJ1188" s="15" t="n">
        <v>28.59</v>
      </c>
      <c r="BK1188" s="34" t="n">
        <v>46009</v>
      </c>
      <c r="BL1188" s="15" t="n">
        <v>57.65</v>
      </c>
      <c r="BM1188" s="15" t="n">
        <v>84</v>
      </c>
      <c r="BN1188" s="34" t="n">
        <v>46009</v>
      </c>
      <c r="BO1188" s="15" t="n">
        <v>15.48</v>
      </c>
      <c r="BP1188" s="15" t="n">
        <v>27.16</v>
      </c>
      <c r="BQ1188" s="34" t="n">
        <v>46009</v>
      </c>
      <c r="BR1188" s="15" t="n">
        <v>21.42</v>
      </c>
      <c r="BS1188" s="15" t="n">
        <v>21</v>
      </c>
      <c r="BT1188" s="34" t="n">
        <v>46009</v>
      </c>
      <c r="BU1188" s="15" t="n">
        <v>82.7</v>
      </c>
      <c r="BV1188" s="15" t="n">
        <v>112.51</v>
      </c>
      <c r="BW1188" s="34" t="n">
        <v>46009</v>
      </c>
      <c r="BX1188" s="15" t="n">
        <v>105</v>
      </c>
      <c r="BY1188" s="15" t="n">
        <v>119.5</v>
      </c>
      <c r="BZ1188" s="34" t="n">
        <v>46009</v>
      </c>
      <c r="CA1188" s="15" t="n">
        <v>16.97</v>
      </c>
      <c r="CB1188" s="15" t="n">
        <v>27.65</v>
      </c>
      <c r="CC1188" s="34" t="n">
        <v>46009</v>
      </c>
      <c r="CD1188" s="15" t="n">
        <v>26.38</v>
      </c>
      <c r="CE1188" s="15" t="n">
        <v>40.11</v>
      </c>
      <c r="CF1188" s="34" t="n">
        <v>46009</v>
      </c>
      <c r="CG1188" s="15" t="n">
        <v>113</v>
      </c>
      <c r="CH1188" s="15" t="n">
        <v>149.38</v>
      </c>
      <c r="CI1188" s="34" t="n">
        <v>46009</v>
      </c>
    </row>
    <row r="1189">
      <c r="A1189" s="34" t="n">
        <v>46010</v>
      </c>
      <c r="B1189" s="266" t="n">
        <v>1.104962944984436</v>
      </c>
      <c r="C1189" s="34" t="n">
        <v>46010</v>
      </c>
      <c r="D1189" s="15" t="n">
        <v>21.88</v>
      </c>
      <c r="E1189" s="15" t="n">
        <v>35.42</v>
      </c>
      <c r="F1189" s="34" t="n">
        <v>46010</v>
      </c>
      <c r="G1189" s="15" t="n">
        <v>80</v>
      </c>
      <c r="H1189" s="15" t="n">
        <v>94.79000000000001</v>
      </c>
      <c r="I1189" s="34" t="n">
        <v>46010</v>
      </c>
      <c r="J1189" s="15" t="n">
        <v>18.4</v>
      </c>
      <c r="K1189" s="15" t="n">
        <v>33.33</v>
      </c>
      <c r="L1189" s="34" t="n">
        <v>46010</v>
      </c>
      <c r="M1189" s="15" t="n">
        <v>49.76</v>
      </c>
      <c r="N1189" s="15" t="n">
        <v>52.9</v>
      </c>
      <c r="O1189" s="34" t="n">
        <v>46010</v>
      </c>
      <c r="P1189" s="15" t="n">
        <v>70.7</v>
      </c>
      <c r="Q1189" s="15" t="n">
        <v>82.81</v>
      </c>
      <c r="R1189" s="34" t="n">
        <v>46010</v>
      </c>
      <c r="S1189" s="15" t="n">
        <v>28.16</v>
      </c>
      <c r="T1189" s="15" t="n">
        <v>50.07</v>
      </c>
      <c r="U1189" s="34" t="n">
        <v>46010</v>
      </c>
      <c r="V1189" s="15" t="n">
        <v>23.9</v>
      </c>
      <c r="W1189" s="15" t="n">
        <v>27.93</v>
      </c>
      <c r="X1189" s="34" t="n">
        <v>46010</v>
      </c>
      <c r="Y1189" s="15" t="n">
        <v>87.2</v>
      </c>
      <c r="Z1189" s="15" t="n">
        <v>79.45</v>
      </c>
      <c r="AA1189" s="34" t="n">
        <v>46010</v>
      </c>
      <c r="AB1189" s="15" t="n">
        <v>13.45</v>
      </c>
      <c r="AC1189" s="15" t="n">
        <v>18.88</v>
      </c>
      <c r="AD1189" s="34" t="n">
        <v>46010</v>
      </c>
      <c r="AE1189" s="15" t="n">
        <v>34.96</v>
      </c>
      <c r="AF1189" s="15" t="n">
        <v>37.85</v>
      </c>
      <c r="AG1189" s="34" t="n">
        <v>46010</v>
      </c>
      <c r="AH1189" s="15" t="n">
        <v>30.42</v>
      </c>
      <c r="AI1189" s="15" t="n">
        <v>31.95</v>
      </c>
      <c r="AJ1189" s="34" t="n">
        <v>46010</v>
      </c>
      <c r="AK1189" s="15" t="n">
        <v>18.31</v>
      </c>
      <c r="AL1189" s="15" t="n">
        <v>48.05</v>
      </c>
      <c r="AM1189" s="34" t="n">
        <v>46010</v>
      </c>
      <c r="AN1189" s="15" t="n">
        <v>505</v>
      </c>
      <c r="AO1189" s="15" t="n">
        <v>374</v>
      </c>
      <c r="AP1189" s="34" t="n">
        <v>46010</v>
      </c>
      <c r="AQ1189" s="15" t="n">
        <v>70.75</v>
      </c>
      <c r="AR1189" s="15" t="n">
        <v>60.85</v>
      </c>
      <c r="AS1189" s="34" t="n">
        <v>46010</v>
      </c>
      <c r="AT1189" s="15" t="n">
        <v>13.26</v>
      </c>
      <c r="AU1189" s="15" t="n">
        <v>16.62</v>
      </c>
      <c r="AV1189" s="34" t="n">
        <v>46010</v>
      </c>
      <c r="AW1189" s="15" t="n">
        <v>33.4</v>
      </c>
      <c r="AX1189" s="15" t="n">
        <v>37.78</v>
      </c>
      <c r="AY1189" s="34" t="n">
        <v>46010</v>
      </c>
      <c r="AZ1189" s="15" t="n">
        <v>34.8</v>
      </c>
      <c r="BA1189" s="15" t="n">
        <v>43.47</v>
      </c>
      <c r="BB1189" s="34" t="n">
        <v>46010</v>
      </c>
      <c r="BC1189" s="15" t="n">
        <v>68.59999999999999</v>
      </c>
      <c r="BD1189" s="15" t="n">
        <v>83.20999999999999</v>
      </c>
      <c r="BE1189" s="34" t="n">
        <v>46010</v>
      </c>
      <c r="BF1189" s="15" t="n">
        <v>119.1</v>
      </c>
      <c r="BG1189" s="15" t="n">
        <v>182.82</v>
      </c>
      <c r="BH1189" s="34" t="n">
        <v>46010</v>
      </c>
      <c r="BI1189" s="15" t="n">
        <v>25.84</v>
      </c>
      <c r="BJ1189" s="15" t="n">
        <v>28.71</v>
      </c>
      <c r="BK1189" s="34" t="n">
        <v>46010</v>
      </c>
      <c r="BL1189" s="15" t="n">
        <v>57.9</v>
      </c>
      <c r="BM1189" s="15" t="n">
        <v>82.97</v>
      </c>
      <c r="BN1189" s="34" t="n">
        <v>46010</v>
      </c>
      <c r="BO1189" s="15" t="n">
        <v>15.76</v>
      </c>
      <c r="BP1189" s="15" t="n">
        <v>27.1</v>
      </c>
      <c r="BQ1189" s="34" t="n">
        <v>46010</v>
      </c>
      <c r="BR1189" s="15" t="n">
        <v>21.58</v>
      </c>
      <c r="BS1189" s="15" t="n">
        <v>21.24</v>
      </c>
      <c r="BT1189" s="34" t="n">
        <v>46010</v>
      </c>
      <c r="BU1189" s="15" t="n">
        <v>81.15000000000001</v>
      </c>
      <c r="BV1189" s="15" t="n">
        <v>111.03</v>
      </c>
      <c r="BW1189" s="34" t="n">
        <v>46010</v>
      </c>
      <c r="BX1189" s="15" t="n">
        <v>108.2</v>
      </c>
      <c r="BY1189" s="15" t="n">
        <v>120.6</v>
      </c>
      <c r="BZ1189" s="34" t="n">
        <v>46010</v>
      </c>
      <c r="CA1189" s="15" t="n">
        <v>17.92</v>
      </c>
      <c r="CB1189" s="15" t="n">
        <v>29.68</v>
      </c>
      <c r="CC1189" s="34" t="n">
        <v>46010</v>
      </c>
      <c r="CD1189" s="15" t="n">
        <v>26.9</v>
      </c>
      <c r="CE1189" s="15" t="n">
        <v>41</v>
      </c>
      <c r="CF1189" s="34" t="n">
        <v>46010</v>
      </c>
      <c r="CG1189" s="15" t="n">
        <v>110.2</v>
      </c>
      <c r="CH1189" s="15" t="n">
        <v>148.95</v>
      </c>
      <c r="CI1189" s="34" t="n">
        <v>46010</v>
      </c>
    </row>
    <row r="1190">
      <c r="A1190" s="34" t="n">
        <v>46013</v>
      </c>
      <c r="B1190" s="266" t="n">
        <v>1.105054020881653</v>
      </c>
      <c r="C1190" s="34" t="n">
        <v>46013</v>
      </c>
      <c r="D1190" s="15" t="n">
        <v>21.28</v>
      </c>
      <c r="E1190" s="15" t="n">
        <v>35.4</v>
      </c>
      <c r="F1190" s="34" t="n">
        <v>46013</v>
      </c>
      <c r="G1190" s="15" t="n">
        <v>77.90000000000001</v>
      </c>
      <c r="H1190" s="15" t="n">
        <v>94.7</v>
      </c>
      <c r="I1190" s="34" t="n">
        <v>46013</v>
      </c>
      <c r="J1190" s="15" t="n">
        <v>18.88</v>
      </c>
      <c r="K1190" s="15" t="n">
        <v>33.81</v>
      </c>
      <c r="L1190" s="34" t="n">
        <v>46013</v>
      </c>
      <c r="M1190" s="15" t="n">
        <v>51.95</v>
      </c>
      <c r="N1190" s="15" t="n">
        <v>53.92</v>
      </c>
      <c r="O1190" s="34" t="n">
        <v>46013</v>
      </c>
      <c r="P1190" s="15" t="n">
        <v>81.84999999999999</v>
      </c>
      <c r="Q1190" s="15" t="n">
        <v>91.09</v>
      </c>
      <c r="R1190" s="34" t="n">
        <v>46013</v>
      </c>
      <c r="S1190" s="15" t="n">
        <v>28.3</v>
      </c>
      <c r="T1190" s="15" t="n">
        <v>51.64</v>
      </c>
      <c r="U1190" s="34" t="n">
        <v>46013</v>
      </c>
      <c r="V1190" s="15" t="n">
        <v>23.98</v>
      </c>
      <c r="W1190" s="15" t="n">
        <v>28.2</v>
      </c>
      <c r="X1190" s="34" t="n">
        <v>46013</v>
      </c>
      <c r="Y1190" s="15" t="n">
        <v>87.3</v>
      </c>
      <c r="Z1190" s="15" t="n">
        <v>79.16</v>
      </c>
      <c r="AA1190" s="34" t="n">
        <v>46013</v>
      </c>
      <c r="AB1190" s="15" t="n">
        <v>13.83</v>
      </c>
      <c r="AC1190" s="15" t="n">
        <v>19.25</v>
      </c>
      <c r="AD1190" s="34" t="n">
        <v>46013</v>
      </c>
      <c r="AE1190" s="15" t="n">
        <v>34.9</v>
      </c>
      <c r="AF1190" s="15" t="n">
        <v>38.31</v>
      </c>
      <c r="AG1190" s="34" t="n">
        <v>46013</v>
      </c>
      <c r="AH1190" s="15" t="n">
        <v>31.84</v>
      </c>
      <c r="AI1190" s="15" t="n">
        <v>33.1</v>
      </c>
      <c r="AJ1190" s="34" t="n">
        <v>46013</v>
      </c>
      <c r="AK1190" s="15" t="n">
        <v>18.01</v>
      </c>
      <c r="AL1190" s="15" t="n">
        <v>49.5</v>
      </c>
      <c r="AM1190" s="34" t="n">
        <v>46013</v>
      </c>
      <c r="AN1190" s="15" t="n">
        <v>509.5</v>
      </c>
      <c r="AO1190" s="15" t="n">
        <v>371.84</v>
      </c>
      <c r="AP1190" s="34" t="n">
        <v>46013</v>
      </c>
      <c r="AQ1190" s="15" t="n">
        <v>70.55</v>
      </c>
      <c r="AR1190" s="15" t="n">
        <v>60.93</v>
      </c>
      <c r="AS1190" s="34" t="n">
        <v>46013</v>
      </c>
      <c r="AT1190" s="15" t="n">
        <v>13.23</v>
      </c>
      <c r="AU1190" s="15" t="n">
        <v>16.48</v>
      </c>
      <c r="AV1190" s="34" t="n">
        <v>46013</v>
      </c>
      <c r="AW1190" s="15" t="n">
        <v>33.7</v>
      </c>
      <c r="AX1190" s="15" t="n">
        <v>37.85</v>
      </c>
      <c r="AY1190" s="34" t="n">
        <v>46013</v>
      </c>
      <c r="AZ1190" s="15" t="n">
        <v>35.42</v>
      </c>
      <c r="BA1190" s="15" t="n">
        <v>45.42</v>
      </c>
      <c r="BB1190" s="34" t="n">
        <v>46013</v>
      </c>
      <c r="BC1190" s="15" t="n">
        <v>70</v>
      </c>
      <c r="BD1190" s="15" t="n">
        <v>82.95999999999999</v>
      </c>
      <c r="BE1190" s="34" t="n">
        <v>46013</v>
      </c>
      <c r="BF1190" s="15" t="n">
        <v>122.8</v>
      </c>
      <c r="BG1190" s="15" t="n">
        <v>185.56</v>
      </c>
      <c r="BH1190" s="34" t="n">
        <v>46013</v>
      </c>
      <c r="BI1190" s="15" t="n">
        <v>25.7</v>
      </c>
      <c r="BJ1190" s="15" t="n">
        <v>28.88</v>
      </c>
      <c r="BK1190" s="34" t="n">
        <v>46013</v>
      </c>
      <c r="BL1190" s="15" t="n">
        <v>59</v>
      </c>
      <c r="BM1190" s="15" t="n">
        <v>86.26000000000001</v>
      </c>
      <c r="BN1190" s="34" t="n">
        <v>46013</v>
      </c>
      <c r="BO1190" s="15" t="n">
        <v>15.87</v>
      </c>
      <c r="BP1190" s="15" t="n">
        <v>27.26</v>
      </c>
      <c r="BQ1190" s="34" t="n">
        <v>46013</v>
      </c>
      <c r="BR1190" s="15" t="n">
        <v>21.4</v>
      </c>
      <c r="BS1190" s="15" t="n">
        <v>20.89</v>
      </c>
      <c r="BT1190" s="34" t="n">
        <v>46013</v>
      </c>
      <c r="BU1190" s="15" t="n">
        <v>86.3</v>
      </c>
      <c r="BV1190" s="15" t="n">
        <v>117.58</v>
      </c>
      <c r="BW1190" s="34" t="n">
        <v>46013</v>
      </c>
      <c r="BX1190" s="15" t="n">
        <v>107.1</v>
      </c>
      <c r="BY1190" s="15" t="n">
        <v>121.42</v>
      </c>
      <c r="BZ1190" s="34" t="n">
        <v>46013</v>
      </c>
      <c r="CA1190" s="15" t="n">
        <v>17.91</v>
      </c>
      <c r="CB1190" s="15" t="n">
        <v>30.1</v>
      </c>
      <c r="CC1190" s="34" t="n">
        <v>46013</v>
      </c>
      <c r="CD1190" s="15" t="n">
        <v>27.04</v>
      </c>
      <c r="CE1190" s="15" t="n">
        <v>41.53</v>
      </c>
      <c r="CF1190" s="34" t="n">
        <v>46013</v>
      </c>
      <c r="CG1190" s="15" t="n">
        <v>110.3</v>
      </c>
      <c r="CH1190" s="15" t="n">
        <v>149.63</v>
      </c>
      <c r="CI1190" s="34" t="n">
        <v>46013</v>
      </c>
      <c r="CJ1190" s="15" t="n">
        <v>9.1</v>
      </c>
      <c r="CK1190" s="15" t="n">
        <v>19.61</v>
      </c>
      <c r="CL1190" s="34" t="n">
        <v>46013</v>
      </c>
    </row>
    <row r="1191">
      <c r="A1191" s="34" t="n">
        <v>46014</v>
      </c>
      <c r="B1191" s="266" t="n">
        <v>1.104820013046265</v>
      </c>
      <c r="C1191" s="34" t="n">
        <v>46014</v>
      </c>
      <c r="D1191" s="15" t="n">
        <v>22.18</v>
      </c>
      <c r="E1191" s="15" t="n">
        <v>35.85</v>
      </c>
      <c r="F1191" s="34" t="n">
        <v>46014</v>
      </c>
      <c r="G1191" s="15" t="n">
        <v>76.59999999999999</v>
      </c>
      <c r="H1191" s="15" t="n">
        <v>95.54000000000001</v>
      </c>
      <c r="I1191" s="34" t="n">
        <v>46014</v>
      </c>
      <c r="J1191" s="15" t="n">
        <v>18.68</v>
      </c>
      <c r="K1191" s="15" t="n">
        <v>33.67</v>
      </c>
      <c r="L1191" s="34" t="n">
        <v>46014</v>
      </c>
      <c r="M1191" s="15" t="n">
        <v>53</v>
      </c>
      <c r="N1191" s="15" t="n">
        <v>55.78</v>
      </c>
      <c r="O1191" s="34" t="n">
        <v>46014</v>
      </c>
      <c r="P1191" s="15" t="n">
        <v>78.25</v>
      </c>
      <c r="Q1191" s="15" t="n">
        <v>88.91</v>
      </c>
      <c r="R1191" s="34" t="n">
        <v>46014</v>
      </c>
      <c r="S1191" s="15" t="n">
        <v>28.7</v>
      </c>
      <c r="T1191" s="15" t="n">
        <v>50.86</v>
      </c>
      <c r="U1191" s="34" t="n">
        <v>46014</v>
      </c>
      <c r="V1191" s="15" t="n">
        <v>22.48</v>
      </c>
      <c r="W1191" s="15" t="n">
        <v>27.5</v>
      </c>
      <c r="X1191" s="34" t="n">
        <v>46014</v>
      </c>
      <c r="Y1191" s="15" t="n">
        <v>87.15000000000001</v>
      </c>
      <c r="Z1191" s="15" t="n">
        <v>79.65000000000001</v>
      </c>
      <c r="AA1191" s="34" t="n">
        <v>46014</v>
      </c>
      <c r="AB1191" s="15" t="n">
        <v>14.51</v>
      </c>
      <c r="AC1191" s="15" t="n">
        <v>20.61</v>
      </c>
      <c r="AD1191" s="34" t="n">
        <v>46014</v>
      </c>
      <c r="AE1191" s="15" t="n">
        <v>35.5</v>
      </c>
      <c r="AF1191" s="15" t="n">
        <v>38.27</v>
      </c>
      <c r="AG1191" s="34" t="n">
        <v>46014</v>
      </c>
      <c r="AH1191" s="15" t="n">
        <v>32.38</v>
      </c>
      <c r="AI1191" s="15" t="n">
        <v>33.36</v>
      </c>
      <c r="AJ1191" s="34" t="n">
        <v>46014</v>
      </c>
      <c r="AK1191" s="15" t="n">
        <v>16.24</v>
      </c>
      <c r="AL1191" s="15" t="n">
        <v>44.55</v>
      </c>
      <c r="AM1191" s="34" t="n">
        <v>46014</v>
      </c>
      <c r="AN1191" s="15" t="n">
        <v>515</v>
      </c>
      <c r="AO1191" s="15" t="n">
        <v>378.1</v>
      </c>
      <c r="AP1191" s="34" t="n">
        <v>46014</v>
      </c>
      <c r="AQ1191" s="15" t="n">
        <v>71.34999999999999</v>
      </c>
      <c r="AR1191" s="15" t="n">
        <v>61.8</v>
      </c>
      <c r="AS1191" s="34" t="n">
        <v>46014</v>
      </c>
      <c r="AT1191" s="15" t="n">
        <v>13.19</v>
      </c>
      <c r="AU1191" s="15" t="n">
        <v>16.57</v>
      </c>
      <c r="AV1191" s="34" t="n">
        <v>46014</v>
      </c>
      <c r="AW1191" s="15" t="n">
        <v>33.68</v>
      </c>
      <c r="AX1191" s="15" t="n">
        <v>37.78</v>
      </c>
      <c r="AY1191" s="34" t="n">
        <v>46014</v>
      </c>
      <c r="AZ1191" s="15" t="n">
        <v>33.1</v>
      </c>
      <c r="BA1191" s="15" t="n">
        <v>44.88</v>
      </c>
      <c r="BB1191" s="34" t="n">
        <v>46014</v>
      </c>
      <c r="BC1191" s="15" t="n">
        <v>68.8</v>
      </c>
      <c r="BD1191" s="15" t="n">
        <v>82</v>
      </c>
      <c r="BE1191" s="34" t="n">
        <v>46014</v>
      </c>
      <c r="BF1191" s="15" t="n">
        <v>122.6</v>
      </c>
      <c r="BG1191" s="15" t="n">
        <v>184.85</v>
      </c>
      <c r="BH1191" s="34" t="n">
        <v>46014</v>
      </c>
      <c r="BI1191" s="15" t="n">
        <v>24.88</v>
      </c>
      <c r="BJ1191" s="15" t="n">
        <v>28.44</v>
      </c>
      <c r="BK1191" s="34" t="n">
        <v>46014</v>
      </c>
      <c r="BL1191" s="15" t="n">
        <v>61.3</v>
      </c>
      <c r="BM1191" s="15" t="n">
        <v>86.25</v>
      </c>
      <c r="BN1191" s="34" t="n">
        <v>46014</v>
      </c>
      <c r="BO1191" s="15" t="n">
        <v>15.32</v>
      </c>
      <c r="BP1191" s="15" t="n">
        <v>26.75</v>
      </c>
      <c r="BQ1191" s="34" t="n">
        <v>46014</v>
      </c>
      <c r="BR1191" s="15" t="n">
        <v>21.3</v>
      </c>
      <c r="BS1191" s="15" t="n">
        <v>20.68</v>
      </c>
      <c r="BT1191" s="34" t="n">
        <v>46014</v>
      </c>
      <c r="BU1191" s="15" t="n">
        <v>88.45</v>
      </c>
      <c r="BV1191" s="15" t="n">
        <v>120.27</v>
      </c>
      <c r="BW1191" s="34" t="n">
        <v>46014</v>
      </c>
      <c r="BX1191" s="15" t="n">
        <v>105.9</v>
      </c>
      <c r="BY1191" s="15" t="n">
        <v>119.64</v>
      </c>
      <c r="BZ1191" s="34" t="n">
        <v>46014</v>
      </c>
      <c r="CA1191" s="15" t="n">
        <v>18</v>
      </c>
      <c r="CB1191" s="15" t="n">
        <v>29.19</v>
      </c>
      <c r="CC1191" s="34" t="n">
        <v>46014</v>
      </c>
      <c r="CD1191" s="15" t="n">
        <v>28.6</v>
      </c>
      <c r="CE1191" s="15" t="n">
        <v>42.32</v>
      </c>
      <c r="CF1191" s="34" t="n">
        <v>46014</v>
      </c>
      <c r="CG1191" s="15" t="n">
        <v>111.9</v>
      </c>
      <c r="CH1191" s="15" t="n">
        <v>153.46</v>
      </c>
      <c r="CI1191" s="34" t="n">
        <v>46014</v>
      </c>
      <c r="CJ1191" s="15" t="n">
        <v>9.130000000000001</v>
      </c>
      <c r="CK1191" s="15" t="n">
        <v>18.86</v>
      </c>
      <c r="CL1191" s="34" t="n">
        <v>46014</v>
      </c>
    </row>
    <row r="1192">
      <c r="A1192" s="34" t="n">
        <v>46015</v>
      </c>
      <c r="B1192" s="266" t="n">
        <v>1.106441974639893</v>
      </c>
      <c r="C1192" s="34" t="n">
        <v>46015</v>
      </c>
      <c r="D1192" s="15" t="n">
        <v>21.64</v>
      </c>
      <c r="E1192" s="15" t="n">
        <v>35.86</v>
      </c>
      <c r="F1192" s="34" t="n">
        <v>46015</v>
      </c>
      <c r="G1192" s="15" t="n">
        <v>73.8</v>
      </c>
      <c r="H1192" s="15" t="n">
        <v>95.28</v>
      </c>
      <c r="I1192" s="34" t="n">
        <v>46015</v>
      </c>
      <c r="J1192" s="15" t="n">
        <v>18.5</v>
      </c>
      <c r="K1192" s="15" t="n">
        <v>33.82</v>
      </c>
      <c r="L1192" s="34" t="n">
        <v>46015</v>
      </c>
      <c r="M1192" s="15" t="n">
        <v>52.7</v>
      </c>
      <c r="N1192" s="15" t="n">
        <v>56.26</v>
      </c>
      <c r="O1192" s="34" t="n">
        <v>46015</v>
      </c>
      <c r="P1192" s="15" t="n">
        <v>75.95</v>
      </c>
      <c r="Q1192" s="15" t="n">
        <v>87.86</v>
      </c>
      <c r="R1192" s="34" t="n">
        <v>46015</v>
      </c>
      <c r="S1192" s="15" t="n">
        <v>35.08</v>
      </c>
      <c r="T1192" s="15" t="n">
        <v>52.6</v>
      </c>
      <c r="U1192" s="34" t="n">
        <v>46015</v>
      </c>
      <c r="V1192" s="15" t="n">
        <v>21.86</v>
      </c>
      <c r="W1192" s="15" t="n">
        <v>27.78</v>
      </c>
      <c r="X1192" s="34" t="n">
        <v>46015</v>
      </c>
      <c r="Y1192" s="15" t="n">
        <v>86.90000000000001</v>
      </c>
      <c r="Z1192" s="15" t="n">
        <v>78.8</v>
      </c>
      <c r="AA1192" s="34" t="n">
        <v>46015</v>
      </c>
      <c r="AB1192" s="15" t="n">
        <v>14.09</v>
      </c>
      <c r="AC1192" s="15" t="n">
        <v>20.33</v>
      </c>
      <c r="AD1192" s="34" t="n">
        <v>46015</v>
      </c>
      <c r="AE1192" s="15" t="n">
        <v>35.02</v>
      </c>
      <c r="AF1192" s="15" t="n">
        <v>38.19</v>
      </c>
      <c r="AG1192" s="34" t="n">
        <v>46015</v>
      </c>
      <c r="AH1192" s="15" t="n">
        <v>31.84</v>
      </c>
      <c r="AI1192" s="15" t="n">
        <v>32.63</v>
      </c>
      <c r="AJ1192" s="34" t="n">
        <v>46015</v>
      </c>
      <c r="AK1192" s="15" t="n">
        <v>17</v>
      </c>
      <c r="AL1192" s="15" t="n">
        <v>49.01</v>
      </c>
      <c r="AM1192" s="34" t="n">
        <v>46015</v>
      </c>
      <c r="AN1192" s="15" t="n">
        <v>508.5</v>
      </c>
      <c r="AO1192" s="15" t="n">
        <v>375.6</v>
      </c>
      <c r="AP1192" s="34" t="n">
        <v>46015</v>
      </c>
      <c r="AQ1192" s="15" t="n">
        <v>71.2</v>
      </c>
      <c r="AR1192" s="15" t="n">
        <v>61.23</v>
      </c>
      <c r="AS1192" s="34" t="n">
        <v>46015</v>
      </c>
      <c r="AT1192" s="15" t="n">
        <v>13.35</v>
      </c>
      <c r="AU1192" s="15" t="n">
        <v>17.13</v>
      </c>
      <c r="AV1192" s="34" t="n">
        <v>46015</v>
      </c>
      <c r="AW1192" s="15" t="n">
        <v>33.26</v>
      </c>
      <c r="AX1192" s="15" t="n">
        <v>37.35</v>
      </c>
      <c r="AY1192" s="34" t="n">
        <v>46015</v>
      </c>
      <c r="AZ1192" s="15" t="n">
        <v>33.46</v>
      </c>
      <c r="BA1192" s="15" t="n">
        <v>45.08</v>
      </c>
      <c r="BB1192" s="34" t="n">
        <v>46015</v>
      </c>
      <c r="BC1192" s="15" t="n">
        <v>68.05</v>
      </c>
      <c r="BD1192" s="15" t="n">
        <v>80.84999999999999</v>
      </c>
      <c r="BE1192" s="34" t="n">
        <v>46015</v>
      </c>
      <c r="BF1192" s="15" t="n">
        <v>123.8</v>
      </c>
      <c r="BG1192" s="15" t="n">
        <v>184.68</v>
      </c>
      <c r="BH1192" s="34" t="n">
        <v>46015</v>
      </c>
      <c r="BI1192" s="15" t="n">
        <v>24.74</v>
      </c>
      <c r="BJ1192" s="15" t="n">
        <v>28.98</v>
      </c>
      <c r="BK1192" s="34" t="n">
        <v>46015</v>
      </c>
      <c r="BL1192" s="15" t="n">
        <v>63.05</v>
      </c>
      <c r="BM1192" s="15" t="n">
        <v>91.95</v>
      </c>
      <c r="BN1192" s="34" t="n">
        <v>46015</v>
      </c>
      <c r="BO1192" s="15" t="n">
        <v>15.5</v>
      </c>
      <c r="BP1192" s="15" t="n">
        <v>27.42</v>
      </c>
      <c r="BQ1192" s="34" t="n">
        <v>46015</v>
      </c>
      <c r="BR1192" s="15" t="n">
        <v>21.2</v>
      </c>
      <c r="BS1192" s="15" t="n">
        <v>20.8</v>
      </c>
      <c r="BT1192" s="34" t="n">
        <v>46015</v>
      </c>
      <c r="BU1192" s="15" t="n">
        <v>93.34999999999999</v>
      </c>
      <c r="BV1192" s="15" t="n">
        <v>129.11</v>
      </c>
      <c r="BW1192" s="34" t="n">
        <v>46015</v>
      </c>
      <c r="BX1192" s="15" t="n">
        <v>104.7</v>
      </c>
      <c r="BY1192" s="15" t="n">
        <v>119.7</v>
      </c>
      <c r="BZ1192" s="34" t="n">
        <v>46015</v>
      </c>
      <c r="CA1192" s="15" t="n">
        <v>17.98</v>
      </c>
      <c r="CB1192" s="15" t="n">
        <v>29.34</v>
      </c>
      <c r="CC1192" s="34" t="n">
        <v>46015</v>
      </c>
      <c r="CD1192" s="15" t="n">
        <v>31.2</v>
      </c>
      <c r="CE1192" s="15" t="n">
        <v>45.77</v>
      </c>
      <c r="CF1192" s="34" t="n">
        <v>46015</v>
      </c>
      <c r="CG1192" s="15" t="n">
        <v>117</v>
      </c>
      <c r="CH1192" s="15" t="n">
        <v>160.69</v>
      </c>
      <c r="CI1192" s="34" t="n">
        <v>46015</v>
      </c>
      <c r="CJ1192" s="15" t="n">
        <v>9.43</v>
      </c>
      <c r="CK1192" s="15" t="n">
        <v>19.39</v>
      </c>
      <c r="CL1192" s="34" t="n">
        <v>46015</v>
      </c>
    </row>
    <row r="1193">
      <c r="A1193" s="34" t="n">
        <v>46020</v>
      </c>
      <c r="B1193" s="266" t="n">
        <v>1.10552704334259</v>
      </c>
      <c r="C1193" s="34" t="n">
        <v>46020</v>
      </c>
      <c r="D1193" s="15" t="n">
        <v>21.12</v>
      </c>
      <c r="E1193" s="15" t="n">
        <v>37.1</v>
      </c>
      <c r="F1193" s="34" t="n">
        <v>46020</v>
      </c>
      <c r="G1193" s="15" t="n">
        <v>75.05</v>
      </c>
      <c r="H1193" s="15" t="n">
        <v>95.2</v>
      </c>
      <c r="I1193" s="34" t="n">
        <v>46020</v>
      </c>
      <c r="J1193" s="15" t="n">
        <v>18.73</v>
      </c>
      <c r="K1193" s="15" t="n">
        <v>34.34</v>
      </c>
      <c r="L1193" s="34" t="n">
        <v>46020</v>
      </c>
      <c r="M1193" s="15" t="n">
        <v>51</v>
      </c>
      <c r="N1193" s="15" t="n">
        <v>55.3</v>
      </c>
      <c r="O1193" s="34" t="n">
        <v>46020</v>
      </c>
      <c r="P1193" s="15" t="n">
        <v>78.25</v>
      </c>
      <c r="Q1193" s="15" t="n">
        <v>91.48</v>
      </c>
      <c r="R1193" s="34" t="n">
        <v>46020</v>
      </c>
      <c r="S1193" s="15" t="n">
        <v>34.9</v>
      </c>
      <c r="T1193" s="15" t="n">
        <v>51.85</v>
      </c>
      <c r="U1193" s="34" t="n">
        <v>46020</v>
      </c>
      <c r="V1193" s="15" t="n">
        <v>21.96</v>
      </c>
      <c r="W1193" s="15" t="n">
        <v>28.06</v>
      </c>
      <c r="X1193" s="34" t="n">
        <v>46020</v>
      </c>
      <c r="Y1193" s="15" t="n">
        <v>84.25</v>
      </c>
      <c r="Z1193" s="15" t="n">
        <v>78.41</v>
      </c>
      <c r="AA1193" s="34" t="n">
        <v>46020</v>
      </c>
      <c r="AB1193" s="15" t="n">
        <v>13.81</v>
      </c>
      <c r="AC1193" s="15" t="n">
        <v>20.41</v>
      </c>
      <c r="AD1193" s="34" t="n">
        <v>46020</v>
      </c>
      <c r="AE1193" s="15" t="n">
        <v>35</v>
      </c>
      <c r="AF1193" s="15" t="n">
        <v>38.63</v>
      </c>
      <c r="AG1193" s="34" t="n">
        <v>46020</v>
      </c>
      <c r="AH1193" s="15" t="n">
        <v>30.12</v>
      </c>
      <c r="AI1193" s="15" t="n">
        <v>31.74</v>
      </c>
      <c r="AJ1193" s="34" t="n">
        <v>46020</v>
      </c>
      <c r="AK1193" s="15" t="n">
        <v>20.68</v>
      </c>
      <c r="AL1193" s="15" t="n">
        <v>58</v>
      </c>
      <c r="AM1193" s="34" t="n">
        <v>46020</v>
      </c>
      <c r="AN1193" s="15" t="n">
        <v>497.8</v>
      </c>
      <c r="AO1193" s="15" t="n">
        <v>369.31</v>
      </c>
      <c r="AP1193" s="34" t="n">
        <v>46020</v>
      </c>
      <c r="AQ1193" s="15" t="n">
        <v>70.25</v>
      </c>
      <c r="AR1193" s="15" t="n">
        <v>60.51</v>
      </c>
      <c r="AS1193" s="34" t="n">
        <v>46020</v>
      </c>
      <c r="AT1193" s="15" t="n">
        <v>12.79</v>
      </c>
      <c r="AU1193" s="15" t="n">
        <v>16.4</v>
      </c>
      <c r="AV1193" s="34" t="n">
        <v>46020</v>
      </c>
      <c r="AW1193" s="15" t="n">
        <v>32.92</v>
      </c>
      <c r="AX1193" s="15" t="n">
        <v>37.22</v>
      </c>
      <c r="AY1193" s="34" t="n">
        <v>46020</v>
      </c>
      <c r="AZ1193" s="15" t="n">
        <v>34.16</v>
      </c>
      <c r="BA1193" s="15" t="n">
        <v>47.73</v>
      </c>
      <c r="BB1193" s="34" t="n">
        <v>46020</v>
      </c>
      <c r="BC1193" s="15" t="n">
        <v>67.90000000000001</v>
      </c>
      <c r="BD1193" s="15" t="n">
        <v>79.92</v>
      </c>
      <c r="BE1193" s="34" t="n">
        <v>46020</v>
      </c>
      <c r="BF1193" s="15" t="n">
        <v>125.1</v>
      </c>
      <c r="BG1193" s="15" t="n">
        <v>189.88</v>
      </c>
      <c r="BH1193" s="34" t="n">
        <v>46020</v>
      </c>
      <c r="BI1193" s="15" t="n">
        <v>24.12</v>
      </c>
      <c r="BJ1193" s="15" t="n">
        <v>28.5</v>
      </c>
      <c r="BK1193" s="34" t="n">
        <v>46020</v>
      </c>
      <c r="BL1193" s="15" t="n">
        <v>60.8</v>
      </c>
      <c r="BM1193" s="15" t="n">
        <v>91.93000000000001</v>
      </c>
      <c r="BN1193" s="34" t="n">
        <v>46020</v>
      </c>
      <c r="BO1193" s="15" t="n">
        <v>15.32</v>
      </c>
      <c r="BP1193" s="15" t="n">
        <v>27.8</v>
      </c>
      <c r="BQ1193" s="34" t="n">
        <v>46020</v>
      </c>
      <c r="BR1193" s="15" t="n">
        <v>21.3</v>
      </c>
      <c r="BS1193" s="15" t="n">
        <v>20.72</v>
      </c>
      <c r="BT1193" s="34" t="n">
        <v>46020</v>
      </c>
      <c r="BU1193" s="15" t="n">
        <v>97.7</v>
      </c>
      <c r="BV1193" s="15" t="n">
        <v>134.8</v>
      </c>
      <c r="BW1193" s="34" t="n">
        <v>46020</v>
      </c>
      <c r="BX1193" s="15" t="n">
        <v>106.8</v>
      </c>
      <c r="BY1193" s="15" t="n">
        <v>120.36</v>
      </c>
      <c r="BZ1193" s="34" t="n">
        <v>46020</v>
      </c>
      <c r="CA1193" s="15" t="n">
        <v>18.19</v>
      </c>
      <c r="CB1193" s="15" t="n">
        <v>29.73</v>
      </c>
      <c r="CC1193" s="34" t="n">
        <v>46020</v>
      </c>
      <c r="CD1193" s="15" t="n">
        <v>29.8</v>
      </c>
      <c r="CE1193" s="15" t="n">
        <v>44.45</v>
      </c>
      <c r="CF1193" s="34" t="n">
        <v>46020</v>
      </c>
      <c r="CG1193" s="15" t="n">
        <v>116.9</v>
      </c>
      <c r="CH1193" s="15" t="n">
        <v>161.49</v>
      </c>
      <c r="CI1193" s="34" t="n">
        <v>46020</v>
      </c>
      <c r="CJ1193" s="15" t="n">
        <v>10.33</v>
      </c>
      <c r="CK1193" s="15" t="n">
        <v>19.66</v>
      </c>
      <c r="CL1193" s="34" t="n">
        <v>46020</v>
      </c>
    </row>
    <row r="1194">
      <c r="A1194" s="34" t="n">
        <v>46021</v>
      </c>
      <c r="B1194" s="266" t="n">
        <v>1.109460949897766</v>
      </c>
      <c r="C1194" s="34" t="n">
        <v>46021</v>
      </c>
      <c r="D1194" s="15" t="n">
        <v>19.97</v>
      </c>
      <c r="E1194" s="15" t="n">
        <v>34.8</v>
      </c>
      <c r="F1194" s="34" t="n">
        <v>46021</v>
      </c>
      <c r="G1194" s="15" t="n">
        <v>72.25</v>
      </c>
      <c r="H1194" s="15" t="n">
        <v>93</v>
      </c>
      <c r="I1194" s="34" t="n">
        <v>46021</v>
      </c>
      <c r="J1194" s="15" t="n">
        <v>18.69</v>
      </c>
      <c r="K1194" s="15" t="n">
        <v>34.4</v>
      </c>
      <c r="L1194" s="34" t="n">
        <v>46021</v>
      </c>
      <c r="M1194" s="15" t="n">
        <v>52.65</v>
      </c>
      <c r="N1194" s="15" t="n">
        <v>56.38</v>
      </c>
      <c r="O1194" s="34" t="n">
        <v>46021</v>
      </c>
      <c r="P1194" s="15" t="n">
        <v>77.8</v>
      </c>
      <c r="Q1194" s="15" t="n">
        <v>90.20999999999999</v>
      </c>
      <c r="R1194" s="34" t="n">
        <v>46021</v>
      </c>
      <c r="S1194" s="15" t="n">
        <v>34.38</v>
      </c>
      <c r="T1194" s="15" t="n">
        <v>51.28</v>
      </c>
      <c r="U1194" s="34" t="n">
        <v>46021</v>
      </c>
      <c r="V1194" s="15" t="n">
        <v>21.02</v>
      </c>
      <c r="W1194" s="15" t="n">
        <v>27.64</v>
      </c>
      <c r="X1194" s="34" t="n">
        <v>46021</v>
      </c>
      <c r="Y1194" s="15" t="n">
        <v>85.7</v>
      </c>
      <c r="Z1194" s="15" t="n">
        <v>78.84999999999999</v>
      </c>
      <c r="AA1194" s="34" t="n">
        <v>46021</v>
      </c>
      <c r="AB1194" s="15" t="n">
        <v>13.78</v>
      </c>
      <c r="AC1194" s="15" t="n">
        <v>20.2</v>
      </c>
      <c r="AD1194" s="34" t="n">
        <v>46021</v>
      </c>
      <c r="AE1194" s="15" t="n">
        <v>34.74</v>
      </c>
      <c r="AF1194" s="15" t="n">
        <v>38.38</v>
      </c>
      <c r="AG1194" s="34" t="n">
        <v>46021</v>
      </c>
      <c r="AH1194" s="15" t="n">
        <v>30.12</v>
      </c>
      <c r="AI1194" s="15" t="n">
        <v>31.63</v>
      </c>
      <c r="AJ1194" s="34" t="n">
        <v>46021</v>
      </c>
      <c r="AK1194" s="15" t="n">
        <v>20.5</v>
      </c>
      <c r="AL1194" s="15" t="n">
        <v>53.63</v>
      </c>
      <c r="AM1194" s="34" t="n">
        <v>46021</v>
      </c>
      <c r="AN1194" s="15" t="n">
        <v>503</v>
      </c>
      <c r="AO1194" s="15" t="n">
        <v>369.2</v>
      </c>
      <c r="AP1194" s="34" t="n">
        <v>46021</v>
      </c>
      <c r="AQ1194" s="15" t="n">
        <v>71.3</v>
      </c>
      <c r="AR1194" s="15" t="n">
        <v>60.18</v>
      </c>
      <c r="AS1194" s="34" t="n">
        <v>46021</v>
      </c>
      <c r="AT1194" s="15" t="n">
        <v>13.02</v>
      </c>
      <c r="AU1194" s="15" t="n">
        <v>16.24</v>
      </c>
      <c r="AV1194" s="34" t="n">
        <v>46021</v>
      </c>
      <c r="AW1194" s="15" t="n">
        <v>32.82</v>
      </c>
      <c r="AX1194" s="15" t="n">
        <v>37.28</v>
      </c>
      <c r="AY1194" s="34" t="n">
        <v>46021</v>
      </c>
      <c r="AZ1194" s="15" t="n">
        <v>38.44</v>
      </c>
      <c r="BA1194" s="15" t="n">
        <v>52.5</v>
      </c>
      <c r="BB1194" s="34" t="n">
        <v>46021</v>
      </c>
      <c r="BC1194" s="15" t="n">
        <v>66.59999999999999</v>
      </c>
      <c r="BD1194" s="15" t="n">
        <v>79.79000000000001</v>
      </c>
      <c r="BE1194" s="34" t="n">
        <v>46021</v>
      </c>
      <c r="BF1194" s="15" t="n">
        <v>130.9</v>
      </c>
      <c r="BG1194" s="15" t="n">
        <v>193.7</v>
      </c>
      <c r="BH1194" s="34" t="n">
        <v>46021</v>
      </c>
      <c r="BI1194" s="15" t="n">
        <v>25.34</v>
      </c>
      <c r="BJ1194" s="15" t="n">
        <v>29.66</v>
      </c>
      <c r="BK1194" s="34" t="n">
        <v>46021</v>
      </c>
      <c r="BL1194" s="15" t="n">
        <v>59.55</v>
      </c>
      <c r="BM1194" s="15" t="n">
        <v>92.91</v>
      </c>
      <c r="BN1194" s="34" t="n">
        <v>46021</v>
      </c>
      <c r="BO1194" s="15" t="n">
        <v>15.71</v>
      </c>
      <c r="BP1194" s="15" t="n">
        <v>28.31</v>
      </c>
      <c r="BQ1194" s="34" t="n">
        <v>46021</v>
      </c>
      <c r="BR1194" s="15" t="n">
        <v>22</v>
      </c>
      <c r="BS1194" s="15" t="n">
        <v>21.04</v>
      </c>
      <c r="BT1194" s="34" t="n">
        <v>46021</v>
      </c>
      <c r="BU1194" s="15" t="n">
        <v>96.15000000000001</v>
      </c>
      <c r="BV1194" s="15" t="n">
        <v>138.11</v>
      </c>
      <c r="BW1194" s="34" t="n">
        <v>46021</v>
      </c>
      <c r="BX1194" s="15" t="n">
        <v>108.3</v>
      </c>
      <c r="BY1194" s="15" t="n">
        <v>121.34</v>
      </c>
      <c r="BZ1194" s="34" t="n">
        <v>46021</v>
      </c>
      <c r="CA1194" s="15" t="n">
        <v>19.2</v>
      </c>
      <c r="CB1194" s="15" t="n">
        <v>30.99</v>
      </c>
      <c r="CC1194" s="34" t="n">
        <v>46021</v>
      </c>
      <c r="CD1194" s="15" t="n">
        <v>31.88</v>
      </c>
      <c r="CE1194" s="15" t="n">
        <v>45.75</v>
      </c>
      <c r="CF1194" s="34" t="n">
        <v>46021</v>
      </c>
      <c r="CG1194" s="15" t="n">
        <v>116.8</v>
      </c>
      <c r="CH1194" s="15" t="n">
        <v>161.9</v>
      </c>
      <c r="CI1194" s="34" t="n">
        <v>46021</v>
      </c>
      <c r="CJ1194" s="15" t="n">
        <v>9.85</v>
      </c>
      <c r="CK1194" s="15" t="n">
        <v>19.75</v>
      </c>
      <c r="CL1194" s="34" t="n">
        <v>46021</v>
      </c>
    </row>
    <row r="1195">
      <c r="A1195" s="34" t="n">
        <v>46022</v>
      </c>
      <c r="B1195" s="266" t="n">
        <v>1.111927032470703</v>
      </c>
      <c r="C1195" s="34" t="n">
        <v>46022</v>
      </c>
      <c r="D1195" s="15" t="n">
        <v>20.6</v>
      </c>
      <c r="E1195" s="15" t="n">
        <v>35.01</v>
      </c>
      <c r="F1195" s="34" t="n">
        <v>46022</v>
      </c>
      <c r="G1195" s="15" t="n">
        <v>71.2</v>
      </c>
      <c r="H1195" s="15" t="n">
        <v>92.93000000000001</v>
      </c>
      <c r="I1195" s="34" t="n">
        <v>46022</v>
      </c>
      <c r="J1195" s="15" t="n">
        <v>18.45</v>
      </c>
      <c r="K1195" s="15" t="n">
        <v>34.11</v>
      </c>
      <c r="L1195" s="34" t="n">
        <v>46022</v>
      </c>
      <c r="M1195" s="15" t="n">
        <v>51.05</v>
      </c>
      <c r="N1195" s="15" t="n">
        <v>55.38</v>
      </c>
      <c r="O1195" s="34" t="n">
        <v>46022</v>
      </c>
      <c r="P1195" s="15" t="n">
        <v>78.84999999999999</v>
      </c>
      <c r="Q1195" s="15" t="n">
        <v>94.56</v>
      </c>
      <c r="R1195" s="34" t="n">
        <v>46022</v>
      </c>
      <c r="S1195" s="15" t="n">
        <v>35.3</v>
      </c>
      <c r="T1195" s="15" t="n">
        <v>52.6</v>
      </c>
      <c r="U1195" s="34" t="n">
        <v>46022</v>
      </c>
      <c r="V1195" s="15" t="n">
        <v>20.48</v>
      </c>
      <c r="W1195" s="15" t="n">
        <v>26.96</v>
      </c>
      <c r="X1195" s="34" t="n">
        <v>46022</v>
      </c>
      <c r="Y1195" s="15" t="n">
        <v>84.95</v>
      </c>
      <c r="Z1195" s="15" t="n">
        <v>78.15000000000001</v>
      </c>
      <c r="AA1195" s="34" t="n">
        <v>46022</v>
      </c>
      <c r="AB1195" s="15" t="n">
        <v>13.76</v>
      </c>
      <c r="AC1195" s="15" t="n">
        <v>20.01</v>
      </c>
      <c r="AD1195" s="34" t="n">
        <v>46022</v>
      </c>
      <c r="AE1195" s="15" t="n">
        <v>34.68</v>
      </c>
      <c r="AF1195" s="15" t="n">
        <v>38.32</v>
      </c>
      <c r="AG1195" s="34" t="n">
        <v>46022</v>
      </c>
      <c r="AH1195" s="15" t="n">
        <v>29.76</v>
      </c>
      <c r="AI1195" s="15" t="n">
        <v>31.24</v>
      </c>
      <c r="AJ1195" s="34" t="n">
        <v>46022</v>
      </c>
      <c r="AK1195" s="15" t="n">
        <v>21.5</v>
      </c>
      <c r="AL1195" s="15" t="n">
        <v>54.61</v>
      </c>
      <c r="AM1195" s="34" t="n">
        <v>46022</v>
      </c>
      <c r="AN1195" s="15" t="n">
        <v>505.5</v>
      </c>
      <c r="AO1195" s="15" t="n">
        <v>367.26</v>
      </c>
      <c r="AP1195" s="34" t="n">
        <v>46022</v>
      </c>
      <c r="AQ1195" s="15" t="n">
        <v>71.25</v>
      </c>
      <c r="AR1195" s="15" t="n">
        <v>59.57</v>
      </c>
      <c r="AS1195" s="34" t="n">
        <v>46022</v>
      </c>
      <c r="AT1195" s="15" t="n">
        <v>13.05</v>
      </c>
      <c r="AU1195" s="15" t="n">
        <v>16.36</v>
      </c>
      <c r="AV1195" s="34" t="n">
        <v>46022</v>
      </c>
      <c r="AW1195" s="15" t="n">
        <v>32.4</v>
      </c>
      <c r="AX1195" s="15" t="n">
        <v>37.02</v>
      </c>
      <c r="AY1195" s="34" t="n">
        <v>46022</v>
      </c>
      <c r="AZ1195" s="15" t="n">
        <v>38.32</v>
      </c>
      <c r="BA1195" s="15" t="n">
        <v>55.31</v>
      </c>
      <c r="BB1195" s="34" t="n">
        <v>46022</v>
      </c>
      <c r="BC1195" s="15" t="n">
        <v>66.15000000000001</v>
      </c>
      <c r="BD1195" s="15" t="n">
        <v>79.28</v>
      </c>
      <c r="BE1195" s="34" t="n">
        <v>46022</v>
      </c>
      <c r="BF1195" s="15" t="n">
        <v>139</v>
      </c>
      <c r="BG1195" s="15" t="n">
        <v>203.49</v>
      </c>
      <c r="BH1195" s="34" t="n">
        <v>46022</v>
      </c>
      <c r="BI1195" s="15" t="n">
        <v>25.24</v>
      </c>
      <c r="BJ1195" s="15" t="n">
        <v>30.27</v>
      </c>
      <c r="BK1195" s="34" t="n">
        <v>46022</v>
      </c>
      <c r="BL1195" s="15" t="n">
        <v>58.55</v>
      </c>
      <c r="BM1195" s="15" t="n">
        <v>88.88</v>
      </c>
      <c r="BN1195" s="34" t="n">
        <v>46022</v>
      </c>
      <c r="BO1195" s="15" t="n">
        <v>16.34</v>
      </c>
      <c r="BP1195" s="15" t="n">
        <v>29.64</v>
      </c>
      <c r="BQ1195" s="34" t="n">
        <v>46022</v>
      </c>
      <c r="BR1195" s="15" t="n">
        <v>22.6</v>
      </c>
      <c r="BS1195" s="15" t="n">
        <v>21.13</v>
      </c>
      <c r="BT1195" s="34" t="n">
        <v>46022</v>
      </c>
      <c r="BU1195" s="15" t="n">
        <v>93.5</v>
      </c>
      <c r="BV1195" s="15" t="n">
        <v>134.38</v>
      </c>
      <c r="BW1195" s="34" t="n">
        <v>46022</v>
      </c>
      <c r="BX1195" s="15" t="n">
        <v>107.1</v>
      </c>
      <c r="BY1195" s="15" t="n">
        <v>120.96</v>
      </c>
      <c r="BZ1195" s="34" t="n">
        <v>46022</v>
      </c>
      <c r="CA1195" s="15" t="n">
        <v>19.2</v>
      </c>
      <c r="CB1195" s="15" t="n">
        <v>31.36</v>
      </c>
      <c r="CC1195" s="34" t="n">
        <v>46022</v>
      </c>
      <c r="CD1195" s="15" t="n">
        <v>32.92</v>
      </c>
      <c r="CE1195" s="15" t="n">
        <v>46.33</v>
      </c>
      <c r="CF1195" s="34" t="n">
        <v>46022</v>
      </c>
      <c r="CG1195" s="15" t="n">
        <v>116.8</v>
      </c>
      <c r="CH1195" s="15" t="n">
        <v>158.18</v>
      </c>
      <c r="CI1195" s="34" t="n">
        <v>46022</v>
      </c>
      <c r="CJ1195" s="15" t="n">
        <v>9.91</v>
      </c>
      <c r="CK1195" s="15" t="n">
        <v>19.49</v>
      </c>
      <c r="CL1195" s="34" t="n">
        <v>46022</v>
      </c>
    </row>
    <row r="1196">
      <c r="A1196" s="34" t="n">
        <v>46024</v>
      </c>
      <c r="B1196" s="266" t="n">
        <v>1.112754940986633</v>
      </c>
      <c r="C1196" s="34" t="n">
        <v>46024</v>
      </c>
      <c r="D1196" s="15" t="n">
        <v>19.96</v>
      </c>
      <c r="E1196" s="15" t="n">
        <v>35.01</v>
      </c>
      <c r="F1196" s="34" t="n">
        <v>46022</v>
      </c>
      <c r="G1196" s="15" t="n">
        <v>73.59999999999999</v>
      </c>
      <c r="H1196" s="15" t="n">
        <v>92.93000000000001</v>
      </c>
      <c r="I1196" s="34" t="n">
        <v>46022</v>
      </c>
      <c r="J1196" s="15" t="n">
        <v>19.28</v>
      </c>
      <c r="K1196" s="15" t="n">
        <v>34.11</v>
      </c>
      <c r="L1196" s="34" t="n">
        <v>46022</v>
      </c>
      <c r="M1196" s="15" t="n">
        <v>52.35</v>
      </c>
      <c r="N1196" s="15" t="n">
        <v>55.38</v>
      </c>
      <c r="O1196" s="34" t="n">
        <v>46022</v>
      </c>
      <c r="P1196" s="15" t="n">
        <v>80.59999999999999</v>
      </c>
      <c r="Q1196" s="15" t="n">
        <v>94.56</v>
      </c>
      <c r="R1196" s="34" t="n">
        <v>46022</v>
      </c>
      <c r="S1196" s="15" t="n">
        <v>34.74</v>
      </c>
      <c r="T1196" s="15" t="n">
        <v>52.6</v>
      </c>
      <c r="U1196" s="34" t="n">
        <v>46022</v>
      </c>
      <c r="V1196" s="15" t="n">
        <v>20.62</v>
      </c>
      <c r="W1196" s="15" t="n">
        <v>26.96</v>
      </c>
      <c r="X1196" s="34" t="n">
        <v>46022</v>
      </c>
      <c r="Y1196" s="15" t="n">
        <v>89.3</v>
      </c>
      <c r="Z1196" s="15" t="n">
        <v>78.15000000000001</v>
      </c>
      <c r="AA1196" s="34" t="n">
        <v>46022</v>
      </c>
      <c r="AB1196" s="15" t="n">
        <v>14.14</v>
      </c>
      <c r="AC1196" s="15" t="n">
        <v>20.01</v>
      </c>
      <c r="AD1196" s="34" t="n">
        <v>46022</v>
      </c>
      <c r="AE1196" s="15" t="n">
        <v>35.18</v>
      </c>
      <c r="AF1196" s="15" t="n">
        <v>38.32</v>
      </c>
      <c r="AG1196" s="34" t="n">
        <v>46022</v>
      </c>
      <c r="AH1196" s="15" t="n">
        <v>30.68</v>
      </c>
      <c r="AI1196" s="15" t="n">
        <v>31.24</v>
      </c>
      <c r="AJ1196" s="34" t="n">
        <v>46022</v>
      </c>
      <c r="AK1196" s="15" t="n">
        <v>22</v>
      </c>
      <c r="AL1196" s="15" t="n">
        <v>54.61</v>
      </c>
      <c r="AM1196" s="34" t="n">
        <v>46022</v>
      </c>
      <c r="AN1196" s="15" t="n">
        <v>514.5</v>
      </c>
      <c r="AO1196" s="15" t="n">
        <v>367.26</v>
      </c>
      <c r="AP1196" s="34" t="n">
        <v>46022</v>
      </c>
      <c r="AQ1196" s="15" t="n">
        <v>74.09999999999999</v>
      </c>
      <c r="AR1196" s="15" t="n">
        <v>59.57</v>
      </c>
      <c r="AS1196" s="34" t="n">
        <v>46022</v>
      </c>
      <c r="AT1196" s="15" t="n">
        <v>13.16</v>
      </c>
      <c r="AU1196" s="15" t="n">
        <v>16.36</v>
      </c>
      <c r="AV1196" s="34" t="n">
        <v>46022</v>
      </c>
      <c r="AW1196" s="15" t="n">
        <v>32.4</v>
      </c>
      <c r="AX1196" s="15" t="n">
        <v>37.02</v>
      </c>
      <c r="AY1196" s="34" t="n">
        <v>46022</v>
      </c>
      <c r="AZ1196" s="15" t="n">
        <v>40.04</v>
      </c>
      <c r="BA1196" s="15" t="n">
        <v>55.31</v>
      </c>
      <c r="BB1196" s="34" t="n">
        <v>46022</v>
      </c>
      <c r="BC1196" s="15" t="n">
        <v>67.3</v>
      </c>
      <c r="BD1196" s="15" t="n">
        <v>79.28</v>
      </c>
      <c r="BE1196" s="34" t="n">
        <v>46022</v>
      </c>
      <c r="BF1196" s="15" t="n">
        <v>138.3</v>
      </c>
      <c r="BG1196" s="15" t="n">
        <v>203.49</v>
      </c>
      <c r="BH1196" s="34" t="n">
        <v>46022</v>
      </c>
      <c r="BI1196" s="15" t="n">
        <v>25.88</v>
      </c>
      <c r="BJ1196" s="15" t="n">
        <v>30.27</v>
      </c>
      <c r="BK1196" s="34" t="n">
        <v>46022</v>
      </c>
      <c r="BL1196" s="15" t="n">
        <v>59.4</v>
      </c>
      <c r="BM1196" s="15" t="n">
        <v>88.88</v>
      </c>
      <c r="BN1196" s="34" t="n">
        <v>46022</v>
      </c>
      <c r="BO1196" s="15" t="n">
        <v>15.75</v>
      </c>
      <c r="BP1196" s="15" t="n">
        <v>29.64</v>
      </c>
      <c r="BQ1196" s="34" t="n">
        <v>46022</v>
      </c>
      <c r="BR1196" s="15" t="n">
        <v>22.1</v>
      </c>
      <c r="BS1196" s="15" t="n">
        <v>21.13</v>
      </c>
      <c r="BT1196" s="34" t="n">
        <v>46022</v>
      </c>
      <c r="BU1196" s="15" t="n">
        <v>96.09999999999999</v>
      </c>
      <c r="BV1196" s="15" t="n">
        <v>134.38</v>
      </c>
      <c r="BW1196" s="34" t="n">
        <v>46022</v>
      </c>
      <c r="BX1196" s="15" t="n">
        <v>107.2</v>
      </c>
      <c r="BY1196" s="15" t="n">
        <v>120.96</v>
      </c>
      <c r="BZ1196" s="34" t="n">
        <v>46022</v>
      </c>
      <c r="CA1196" s="15" t="n">
        <v>19.11</v>
      </c>
      <c r="CB1196" s="15" t="n">
        <v>31.36</v>
      </c>
      <c r="CC1196" s="34" t="n">
        <v>46022</v>
      </c>
      <c r="CD1196" s="15" t="n">
        <v>32.4</v>
      </c>
      <c r="CE1196" s="15" t="n">
        <v>46.33</v>
      </c>
      <c r="CF1196" s="34" t="n">
        <v>46022</v>
      </c>
      <c r="CG1196" s="15" t="n">
        <v>119.8</v>
      </c>
      <c r="CH1196" s="15" t="n">
        <v>158.18</v>
      </c>
      <c r="CI1196" s="34" t="n">
        <v>46022</v>
      </c>
      <c r="CJ1196" s="15" t="n">
        <v>10.16</v>
      </c>
      <c r="CK1196" s="15" t="n">
        <v>19.49</v>
      </c>
      <c r="CL1196" s="34" t="n">
        <v>46022</v>
      </c>
    </row>
    <row r="1197">
      <c r="A1197" s="34" t="n">
        <v>46027</v>
      </c>
      <c r="B1197" s="266" t="n">
        <v>1.113860011100769</v>
      </c>
      <c r="C1197" s="34" t="n">
        <v>46027</v>
      </c>
      <c r="D1197" s="15" t="n">
        <v>22.7</v>
      </c>
      <c r="E1197" s="15" t="n">
        <v>38.51</v>
      </c>
      <c r="F1197" s="34" t="n">
        <v>46027</v>
      </c>
      <c r="G1197" s="15" t="n">
        <v>76.15000000000001</v>
      </c>
      <c r="H1197" s="15" t="n">
        <v>95.88</v>
      </c>
      <c r="I1197" s="34" t="n">
        <v>46027</v>
      </c>
      <c r="J1197" s="15" t="n">
        <v>19.07</v>
      </c>
      <c r="K1197" s="15" t="n">
        <v>34.7</v>
      </c>
      <c r="L1197" s="34" t="n">
        <v>46027</v>
      </c>
      <c r="M1197" s="15" t="n">
        <v>52.7</v>
      </c>
      <c r="N1197" s="15" t="n">
        <v>57</v>
      </c>
      <c r="O1197" s="34" t="n">
        <v>46027</v>
      </c>
      <c r="P1197" s="15" t="n">
        <v>76.59999999999999</v>
      </c>
      <c r="Q1197" s="15" t="n">
        <v>90.29000000000001</v>
      </c>
      <c r="R1197" s="34" t="n">
        <v>46027</v>
      </c>
      <c r="S1197" s="15" t="n">
        <v>35.8</v>
      </c>
      <c r="T1197" s="15" t="n">
        <v>55.05</v>
      </c>
      <c r="U1197" s="34" t="n">
        <v>46027</v>
      </c>
      <c r="V1197" s="15" t="n">
        <v>20.94</v>
      </c>
      <c r="W1197" s="15" t="n">
        <v>27.61</v>
      </c>
      <c r="X1197" s="34" t="n">
        <v>46027</v>
      </c>
      <c r="Y1197" s="15" t="n">
        <v>87.40000000000001</v>
      </c>
      <c r="Z1197" s="15" t="n">
        <v>78.68000000000001</v>
      </c>
      <c r="AA1197" s="34" t="n">
        <v>46027</v>
      </c>
      <c r="AB1197" s="15" t="n">
        <v>14.13</v>
      </c>
      <c r="AC1197" s="15" t="n">
        <v>20.39</v>
      </c>
      <c r="AD1197" s="34" t="n">
        <v>46027</v>
      </c>
      <c r="AE1197" s="15" t="n">
        <v>35.06</v>
      </c>
      <c r="AF1197" s="15" t="n">
        <v>38.25</v>
      </c>
      <c r="AG1197" s="34" t="n">
        <v>46027</v>
      </c>
      <c r="AH1197" s="15" t="n">
        <v>30.94</v>
      </c>
      <c r="AI1197" s="15" t="n">
        <v>31.99</v>
      </c>
      <c r="AJ1197" s="34" t="n">
        <v>46027</v>
      </c>
      <c r="AK1197" s="15" t="n">
        <v>20.72</v>
      </c>
      <c r="AL1197" s="15" t="n">
        <v>52.7</v>
      </c>
      <c r="AM1197" s="34" t="n">
        <v>46027</v>
      </c>
      <c r="AN1197" s="15" t="n">
        <v>514.5</v>
      </c>
      <c r="AO1197" s="15" t="n">
        <v>377.5</v>
      </c>
      <c r="AP1197" s="34" t="n">
        <v>46027</v>
      </c>
      <c r="AQ1197" s="15" t="n">
        <v>75.09999999999999</v>
      </c>
      <c r="AR1197" s="15" t="n">
        <v>63.08</v>
      </c>
      <c r="AS1197" s="34" t="n">
        <v>46027</v>
      </c>
      <c r="AT1197" s="15" t="n">
        <v>13.14</v>
      </c>
      <c r="AU1197" s="15" t="n">
        <v>17.25</v>
      </c>
      <c r="AV1197" s="34" t="n">
        <v>46027</v>
      </c>
      <c r="AW1197" s="15" t="n">
        <v>32.78</v>
      </c>
      <c r="AX1197" s="15" t="n">
        <v>37.93</v>
      </c>
      <c r="AY1197" s="34" t="n">
        <v>46027</v>
      </c>
      <c r="AZ1197" s="15" t="n">
        <v>39.4</v>
      </c>
      <c r="BA1197" s="15" t="n">
        <v>56.28</v>
      </c>
      <c r="BB1197" s="34" t="n">
        <v>46027</v>
      </c>
      <c r="BC1197" s="15" t="n">
        <v>67.55</v>
      </c>
      <c r="BD1197" s="15" t="n">
        <v>81.41</v>
      </c>
      <c r="BE1197" s="34" t="n">
        <v>46027</v>
      </c>
      <c r="BF1197" s="15" t="n">
        <v>138.5</v>
      </c>
      <c r="BG1197" s="15" t="n">
        <v>200.46</v>
      </c>
      <c r="BH1197" s="34" t="n">
        <v>46027</v>
      </c>
      <c r="BI1197" s="15" t="n">
        <v>26.62</v>
      </c>
      <c r="BJ1197" s="15" t="n">
        <v>32.04</v>
      </c>
      <c r="BK1197" s="34" t="n">
        <v>46027</v>
      </c>
      <c r="BL1197" s="15" t="n">
        <v>58.8</v>
      </c>
      <c r="BM1197" s="15" t="n">
        <v>88.19</v>
      </c>
      <c r="BN1197" s="34" t="n">
        <v>46027</v>
      </c>
      <c r="BO1197" s="15" t="n">
        <v>16.53</v>
      </c>
      <c r="BP1197" s="15" t="n">
        <v>30.48</v>
      </c>
      <c r="BQ1197" s="34" t="n">
        <v>46027</v>
      </c>
      <c r="BR1197" s="15" t="n">
        <v>22.08</v>
      </c>
      <c r="BS1197" s="15" t="n">
        <v>21.26</v>
      </c>
      <c r="BT1197" s="34" t="n">
        <v>46027</v>
      </c>
      <c r="BU1197" s="15" t="n">
        <v>91.75</v>
      </c>
      <c r="BV1197" s="15" t="n">
        <v>130.03</v>
      </c>
      <c r="BW1197" s="34" t="n">
        <v>46027</v>
      </c>
      <c r="BX1197" s="15" t="n">
        <v>105.9</v>
      </c>
      <c r="BY1197" s="15" t="n">
        <v>121.31</v>
      </c>
      <c r="BZ1197" s="34" t="n">
        <v>46027</v>
      </c>
      <c r="CA1197" s="15" t="n">
        <v>18.86</v>
      </c>
      <c r="CB1197" s="15" t="n">
        <v>31.27</v>
      </c>
      <c r="CC1197" s="34" t="n">
        <v>46027</v>
      </c>
      <c r="CD1197" s="15" t="n">
        <v>31.9</v>
      </c>
      <c r="CE1197" s="15" t="n">
        <v>46.65</v>
      </c>
      <c r="CF1197" s="34" t="n">
        <v>46027</v>
      </c>
      <c r="CG1197" s="15" t="n">
        <v>120.6</v>
      </c>
      <c r="CH1197" s="15" t="n">
        <v>162.4</v>
      </c>
      <c r="CI1197" s="34" t="n">
        <v>46027</v>
      </c>
      <c r="CJ1197" s="15" t="n">
        <v>10.6</v>
      </c>
      <c r="CK1197" s="15" t="n">
        <v>19.67</v>
      </c>
      <c r="CL1197" s="34" t="n">
        <v>46027</v>
      </c>
    </row>
    <row r="1198">
      <c r="A1198" s="34" t="n">
        <v>46028</v>
      </c>
      <c r="B1198" s="266" t="n">
        <v>1.11367404460907</v>
      </c>
      <c r="C1198" s="34" t="n">
        <v>46028</v>
      </c>
      <c r="D1198" s="15" t="n">
        <v>22.36</v>
      </c>
      <c r="E1198" s="15" t="n">
        <v>38.45</v>
      </c>
      <c r="F1198" s="34" t="n">
        <v>46028</v>
      </c>
      <c r="G1198" s="15" t="n">
        <v>77.34999999999999</v>
      </c>
      <c r="H1198" s="15" t="n">
        <v>96.61</v>
      </c>
      <c r="I1198" s="34" t="n">
        <v>46028</v>
      </c>
      <c r="J1198" s="15" t="n">
        <v>19.45</v>
      </c>
      <c r="K1198" s="15" t="n">
        <v>35.51</v>
      </c>
      <c r="L1198" s="34" t="n">
        <v>46028</v>
      </c>
      <c r="M1198" s="15" t="n">
        <v>54.75</v>
      </c>
      <c r="N1198" s="15" t="n">
        <v>59.28</v>
      </c>
      <c r="O1198" s="34" t="n">
        <v>46028</v>
      </c>
      <c r="P1198" s="15" t="n">
        <v>78.3</v>
      </c>
      <c r="Q1198" s="15" t="n">
        <v>90.59</v>
      </c>
      <c r="R1198" s="34" t="n">
        <v>46028</v>
      </c>
      <c r="S1198" s="15" t="n">
        <v>36.6</v>
      </c>
      <c r="T1198" s="15" t="n">
        <v>54.8</v>
      </c>
      <c r="U1198" s="34" t="n">
        <v>46028</v>
      </c>
      <c r="V1198" s="15" t="n">
        <v>21.56</v>
      </c>
      <c r="W1198" s="15" t="n">
        <v>28.57</v>
      </c>
      <c r="X1198" s="34" t="n">
        <v>46028</v>
      </c>
      <c r="Y1198" s="15" t="n">
        <v>87.2</v>
      </c>
      <c r="Z1198" s="15" t="n">
        <v>78.84</v>
      </c>
      <c r="AA1198" s="34" t="n">
        <v>46028</v>
      </c>
      <c r="AB1198" s="15" t="n">
        <v>14.41</v>
      </c>
      <c r="AC1198" s="15" t="n">
        <v>20.94</v>
      </c>
      <c r="AD1198" s="34" t="n">
        <v>46028</v>
      </c>
      <c r="AE1198" s="15" t="n">
        <v>35.44</v>
      </c>
      <c r="AF1198" s="15" t="n">
        <v>39.09</v>
      </c>
      <c r="AG1198" s="34" t="n">
        <v>46028</v>
      </c>
      <c r="AH1198" s="15" t="n">
        <v>31.04</v>
      </c>
      <c r="AI1198" s="15" t="n">
        <v>32.01</v>
      </c>
      <c r="AJ1198" s="34" t="n">
        <v>46028</v>
      </c>
      <c r="AK1198" s="15" t="n">
        <v>22.38</v>
      </c>
      <c r="AL1198" s="15" t="n">
        <v>57.97</v>
      </c>
      <c r="AM1198" s="34" t="n">
        <v>46028</v>
      </c>
      <c r="AN1198" s="15" t="n">
        <v>510.5</v>
      </c>
      <c r="AO1198" s="15" t="n">
        <v>373.99</v>
      </c>
      <c r="AP1198" s="34" t="n">
        <v>46028</v>
      </c>
      <c r="AQ1198" s="15" t="n">
        <v>74.55</v>
      </c>
      <c r="AR1198" s="15" t="n">
        <v>63.06</v>
      </c>
      <c r="AS1198" s="34" t="n">
        <v>46028</v>
      </c>
      <c r="AT1198" s="15" t="n">
        <v>12.92</v>
      </c>
      <c r="AU1198" s="15" t="n">
        <v>17.26</v>
      </c>
      <c r="AV1198" s="34" t="n">
        <v>46028</v>
      </c>
      <c r="AW1198" s="15" t="n">
        <v>32.88</v>
      </c>
      <c r="AX1198" s="15" t="n">
        <v>38.38</v>
      </c>
      <c r="AY1198" s="34" t="n">
        <v>46028</v>
      </c>
      <c r="AZ1198" s="15" t="n">
        <v>39.74</v>
      </c>
      <c r="BA1198" s="15" t="n">
        <v>56.84</v>
      </c>
      <c r="BB1198" s="34" t="n">
        <v>46028</v>
      </c>
      <c r="BC1198" s="15" t="n">
        <v>68.75</v>
      </c>
      <c r="BD1198" s="15" t="n">
        <v>82.73</v>
      </c>
      <c r="BE1198" s="34" t="n">
        <v>46028</v>
      </c>
      <c r="BF1198" s="15" t="n">
        <v>136.8</v>
      </c>
      <c r="BG1198" s="15" t="n">
        <v>199.24</v>
      </c>
      <c r="BH1198" s="34" t="n">
        <v>46028</v>
      </c>
      <c r="BI1198" s="15" t="n">
        <v>27.42</v>
      </c>
      <c r="BJ1198" s="15" t="n">
        <v>33.93</v>
      </c>
      <c r="BK1198" s="34" t="n">
        <v>46028</v>
      </c>
      <c r="BL1198" s="15" t="n">
        <v>60.85</v>
      </c>
      <c r="BM1198" s="15" t="n">
        <v>89.86</v>
      </c>
      <c r="BN1198" s="34" t="n">
        <v>46028</v>
      </c>
      <c r="BO1198" s="15" t="n">
        <v>16.46</v>
      </c>
      <c r="BP1198" s="15" t="n">
        <v>29.82</v>
      </c>
      <c r="BQ1198" s="34" t="n">
        <v>46028</v>
      </c>
      <c r="BR1198" s="15" t="n">
        <v>22.66</v>
      </c>
      <c r="BS1198" s="15" t="n">
        <v>21.88</v>
      </c>
      <c r="BT1198" s="34" t="n">
        <v>46028</v>
      </c>
      <c r="BU1198" s="15" t="n">
        <v>85.55</v>
      </c>
      <c r="BV1198" s="15" t="n">
        <v>124.36</v>
      </c>
      <c r="BW1198" s="34" t="n">
        <v>46028</v>
      </c>
      <c r="BX1198" s="15" t="n">
        <v>109.5</v>
      </c>
      <c r="BY1198" s="15" t="n">
        <v>125.32</v>
      </c>
      <c r="BZ1198" s="34" t="n">
        <v>46028</v>
      </c>
      <c r="CA1198" s="15" t="n">
        <v>19.53</v>
      </c>
      <c r="CB1198" s="15" t="n">
        <v>32.71</v>
      </c>
      <c r="CC1198" s="34" t="n">
        <v>46028</v>
      </c>
      <c r="CD1198" s="15" t="n">
        <v>34</v>
      </c>
      <c r="CE1198" s="15" t="n">
        <v>51.04</v>
      </c>
      <c r="CF1198" s="34" t="n">
        <v>46028</v>
      </c>
      <c r="CG1198" s="15" t="n">
        <v>126.3</v>
      </c>
      <c r="CH1198" s="15" t="n">
        <v>165.53</v>
      </c>
      <c r="CI1198" s="34" t="n">
        <v>46028</v>
      </c>
      <c r="CJ1198" s="15" t="n">
        <v>11.04</v>
      </c>
      <c r="CK1198" s="15" t="n">
        <v>20.39</v>
      </c>
      <c r="CL1198" s="34" t="n">
        <v>46028</v>
      </c>
    </row>
    <row r="1199">
      <c r="A1199" s="34" t="n">
        <v>46029</v>
      </c>
      <c r="B1199" s="266" t="n">
        <v>1.114913940429688</v>
      </c>
      <c r="C1199" s="34" t="n">
        <v>46029</v>
      </c>
      <c r="D1199" s="15" t="n">
        <v>23.22</v>
      </c>
      <c r="E1199" s="15" t="n">
        <v>41.3</v>
      </c>
      <c r="F1199" s="34" t="n">
        <v>46029</v>
      </c>
      <c r="G1199" s="15" t="n">
        <v>84.25</v>
      </c>
      <c r="H1199" s="15" t="n">
        <v>101.06</v>
      </c>
      <c r="I1199" s="34" t="n">
        <v>46029</v>
      </c>
      <c r="J1199" s="15" t="n">
        <v>20.16</v>
      </c>
      <c r="K1199" s="15" t="n">
        <v>36.51</v>
      </c>
      <c r="L1199" s="34" t="n">
        <v>46029</v>
      </c>
      <c r="M1199" s="15" t="n">
        <v>54.45</v>
      </c>
      <c r="N1199" s="15" t="n">
        <v>59.24</v>
      </c>
      <c r="O1199" s="34" t="n">
        <v>46029</v>
      </c>
      <c r="P1199" s="15" t="n">
        <v>83</v>
      </c>
      <c r="Q1199" s="15" t="n">
        <v>93.41</v>
      </c>
      <c r="R1199" s="34" t="n">
        <v>46029</v>
      </c>
      <c r="S1199" s="15" t="n">
        <v>35.82</v>
      </c>
      <c r="T1199" s="15" t="n">
        <v>55.76</v>
      </c>
      <c r="U1199" s="34" t="n">
        <v>46029</v>
      </c>
      <c r="V1199" s="15" t="n">
        <v>22.02</v>
      </c>
      <c r="W1199" s="15" t="n">
        <v>28.7</v>
      </c>
      <c r="X1199" s="34" t="n">
        <v>46029</v>
      </c>
      <c r="Y1199" s="15" t="n">
        <v>88.09999999999999</v>
      </c>
      <c r="Z1199" s="15" t="n">
        <v>79.37</v>
      </c>
      <c r="AA1199" s="34" t="n">
        <v>46029</v>
      </c>
      <c r="AB1199" s="15" t="n">
        <v>13.74</v>
      </c>
      <c r="AC1199" s="15" t="n">
        <v>20.54</v>
      </c>
      <c r="AD1199" s="34" t="n">
        <v>46029</v>
      </c>
      <c r="AE1199" s="15" t="n">
        <v>35.38</v>
      </c>
      <c r="AF1199" s="15" t="n">
        <v>38.9</v>
      </c>
      <c r="AG1199" s="34" t="n">
        <v>46029</v>
      </c>
      <c r="AH1199" s="15" t="n">
        <v>29.36</v>
      </c>
      <c r="AI1199" s="15" t="n">
        <v>31.01</v>
      </c>
      <c r="AJ1199" s="34" t="n">
        <v>46029</v>
      </c>
      <c r="AK1199" s="15" t="n">
        <v>23.78</v>
      </c>
      <c r="AL1199" s="15" t="n">
        <v>62.3</v>
      </c>
      <c r="AM1199" s="34" t="n">
        <v>46029</v>
      </c>
      <c r="AN1199" s="15" t="n">
        <v>506</v>
      </c>
      <c r="AO1199" s="15" t="n">
        <v>371.01</v>
      </c>
      <c r="AP1199" s="34" t="n">
        <v>46029</v>
      </c>
      <c r="AQ1199" s="15" t="n">
        <v>77.75</v>
      </c>
      <c r="AR1199" s="15" t="n">
        <v>63.85</v>
      </c>
      <c r="AS1199" s="34" t="n">
        <v>46029</v>
      </c>
      <c r="AT1199" s="15" t="n">
        <v>12.85</v>
      </c>
      <c r="AU1199" s="15" t="n">
        <v>17.41</v>
      </c>
      <c r="AV1199" s="34" t="n">
        <v>46029</v>
      </c>
      <c r="AW1199" s="15" t="n">
        <v>33.26</v>
      </c>
      <c r="AX1199" s="15" t="n">
        <v>38.19</v>
      </c>
      <c r="AY1199" s="34" t="n">
        <v>46029</v>
      </c>
      <c r="AZ1199" s="15" t="n">
        <v>38.84</v>
      </c>
      <c r="BA1199" s="15" t="n">
        <v>55.75</v>
      </c>
      <c r="BB1199" s="34" t="n">
        <v>46029</v>
      </c>
      <c r="BC1199" s="15" t="n">
        <v>68</v>
      </c>
      <c r="BD1199" s="15" t="n">
        <v>81.89</v>
      </c>
      <c r="BE1199" s="34" t="n">
        <v>46029</v>
      </c>
      <c r="BF1199" s="15" t="n">
        <v>130.9</v>
      </c>
      <c r="BG1199" s="15" t="n">
        <v>192.75</v>
      </c>
      <c r="BH1199" s="34" t="n">
        <v>46029</v>
      </c>
      <c r="BI1199" s="15" t="n">
        <v>27.04</v>
      </c>
      <c r="BJ1199" s="15" t="n">
        <v>34.01</v>
      </c>
      <c r="BK1199" s="34" t="n">
        <v>46029</v>
      </c>
      <c r="BL1199" s="15" t="n">
        <v>62.9</v>
      </c>
      <c r="BM1199" s="15" t="n">
        <v>94.05</v>
      </c>
      <c r="BN1199" s="34" t="n">
        <v>46029</v>
      </c>
      <c r="BO1199" s="15" t="n">
        <v>16.22</v>
      </c>
      <c r="BP1199" s="15" t="n">
        <v>29.4</v>
      </c>
      <c r="BQ1199" s="34" t="n">
        <v>46029</v>
      </c>
      <c r="BR1199" s="15" t="n">
        <v>22.96</v>
      </c>
      <c r="BS1199" s="15" t="n">
        <v>21.73</v>
      </c>
      <c r="BT1199" s="34" t="n">
        <v>46029</v>
      </c>
      <c r="BU1199" s="15" t="n">
        <v>89</v>
      </c>
      <c r="BV1199" s="15" t="n">
        <v>126</v>
      </c>
      <c r="BW1199" s="34" t="n">
        <v>46029</v>
      </c>
      <c r="BX1199" s="15" t="n">
        <v>110.6</v>
      </c>
      <c r="BY1199" s="15" t="n">
        <v>128.35</v>
      </c>
      <c r="BZ1199" s="34" t="n">
        <v>46029</v>
      </c>
      <c r="CA1199" s="15" t="n">
        <v>18.75</v>
      </c>
      <c r="CB1199" s="15" t="n">
        <v>31.82</v>
      </c>
      <c r="CC1199" s="34" t="n">
        <v>46029</v>
      </c>
      <c r="CD1199" s="15" t="n">
        <v>37.4</v>
      </c>
      <c r="CE1199" s="15" t="n">
        <v>57.15</v>
      </c>
      <c r="CF1199" s="34" t="n">
        <v>46029</v>
      </c>
      <c r="CG1199" s="15" t="n">
        <v>142.9</v>
      </c>
      <c r="CH1199" s="15" t="n">
        <v>183.87</v>
      </c>
      <c r="CI1199" s="34" t="n">
        <v>46029</v>
      </c>
      <c r="CJ1199" s="15" t="n">
        <v>11.6</v>
      </c>
      <c r="CK1199" s="15" t="n">
        <v>20</v>
      </c>
      <c r="CL1199" s="34" t="n">
        <v>46029</v>
      </c>
    </row>
    <row r="1200">
      <c r="A1200" s="34" t="n">
        <v>46030</v>
      </c>
      <c r="B1200" s="266" t="n">
        <v>1.112563014030457</v>
      </c>
      <c r="C1200" s="34" t="n">
        <v>46030</v>
      </c>
      <c r="D1200" s="15" t="n">
        <v>24.22</v>
      </c>
      <c r="E1200" s="15" t="n">
        <v>42.18</v>
      </c>
      <c r="F1200" s="34" t="n">
        <v>46030</v>
      </c>
      <c r="G1200" s="15" t="n">
        <v>83.2</v>
      </c>
      <c r="H1200" s="15" t="n">
        <v>100.36</v>
      </c>
      <c r="I1200" s="34" t="n">
        <v>46030</v>
      </c>
      <c r="J1200" s="15" t="n">
        <v>20.02</v>
      </c>
      <c r="K1200" s="15" t="n">
        <v>35.5</v>
      </c>
      <c r="L1200" s="34" t="n">
        <v>46030</v>
      </c>
      <c r="M1200" s="15" t="n">
        <v>53.7</v>
      </c>
      <c r="N1200" s="15" t="n">
        <v>58.62</v>
      </c>
      <c r="O1200" s="34" t="n">
        <v>46030</v>
      </c>
      <c r="P1200" s="15" t="n">
        <v>81</v>
      </c>
      <c r="Q1200" s="15" t="n">
        <v>92.95</v>
      </c>
      <c r="R1200" s="34" t="n">
        <v>46030</v>
      </c>
      <c r="S1200" s="15" t="n">
        <v>34.96</v>
      </c>
      <c r="T1200" s="15" t="n">
        <v>56.17</v>
      </c>
      <c r="U1200" s="34" t="n">
        <v>46030</v>
      </c>
      <c r="V1200" s="15" t="n">
        <v>22.8</v>
      </c>
      <c r="W1200" s="15" t="n">
        <v>29.14</v>
      </c>
      <c r="X1200" s="34" t="n">
        <v>46030</v>
      </c>
      <c r="Y1200" s="15" t="n">
        <v>87.34999999999999</v>
      </c>
      <c r="Z1200" s="15" t="n">
        <v>79.03</v>
      </c>
      <c r="AA1200" s="34" t="n">
        <v>46030</v>
      </c>
      <c r="AB1200" s="15" t="n">
        <v>13.45</v>
      </c>
      <c r="AC1200" s="15" t="n">
        <v>20.08</v>
      </c>
      <c r="AD1200" s="34" t="n">
        <v>46030</v>
      </c>
      <c r="AE1200" s="15" t="n">
        <v>35.14</v>
      </c>
      <c r="AF1200" s="15" t="n">
        <v>38.9</v>
      </c>
      <c r="AG1200" s="34" t="n">
        <v>46030</v>
      </c>
      <c r="AH1200" s="15" t="n">
        <v>28.9</v>
      </c>
      <c r="AI1200" s="15" t="n">
        <v>30.41</v>
      </c>
      <c r="AJ1200" s="34" t="n">
        <v>46030</v>
      </c>
      <c r="AK1200" s="15" t="n">
        <v>26.94</v>
      </c>
      <c r="AL1200" s="15" t="n">
        <v>68.53</v>
      </c>
      <c r="AM1200" s="34" t="n">
        <v>46030</v>
      </c>
      <c r="AN1200" s="15" t="n">
        <v>503.5</v>
      </c>
      <c r="AO1200" s="15" t="n">
        <v>369.21</v>
      </c>
      <c r="AP1200" s="34" t="n">
        <v>46030</v>
      </c>
      <c r="AQ1200" s="15" t="n">
        <v>77.55</v>
      </c>
      <c r="AR1200" s="15" t="n">
        <v>63.6</v>
      </c>
      <c r="AS1200" s="34" t="n">
        <v>46030</v>
      </c>
      <c r="AT1200" s="15" t="n">
        <v>12.51</v>
      </c>
      <c r="AU1200" s="15" t="n">
        <v>17.33</v>
      </c>
      <c r="AV1200" s="34" t="n">
        <v>46030</v>
      </c>
      <c r="AW1200" s="15" t="n">
        <v>32.88</v>
      </c>
      <c r="AX1200" s="15" t="n">
        <v>38.02</v>
      </c>
      <c r="AY1200" s="34" t="n">
        <v>46030</v>
      </c>
      <c r="AZ1200" s="15" t="n">
        <v>38.02</v>
      </c>
      <c r="BA1200" s="15" t="n">
        <v>54.37</v>
      </c>
      <c r="BB1200" s="34" t="n">
        <v>46030</v>
      </c>
      <c r="BC1200" s="15" t="n">
        <v>69.95</v>
      </c>
      <c r="BD1200" s="15" t="n">
        <v>84.81</v>
      </c>
      <c r="BE1200" s="34" t="n">
        <v>46030</v>
      </c>
      <c r="BF1200" s="15" t="n">
        <v>130</v>
      </c>
      <c r="BG1200" s="15" t="n">
        <v>194.73</v>
      </c>
      <c r="BH1200" s="34" t="n">
        <v>46030</v>
      </c>
      <c r="BI1200" s="15" t="n">
        <v>26.42</v>
      </c>
      <c r="BJ1200" s="15" t="n">
        <v>33.9</v>
      </c>
      <c r="BK1200" s="34" t="n">
        <v>46030</v>
      </c>
      <c r="BL1200" s="15" t="n">
        <v>63.45</v>
      </c>
      <c r="BM1200" s="15" t="n">
        <v>92.34</v>
      </c>
      <c r="BN1200" s="34" t="n">
        <v>46030</v>
      </c>
      <c r="BO1200" s="15" t="n">
        <v>16.43</v>
      </c>
      <c r="BP1200" s="15" t="n">
        <v>30.06</v>
      </c>
      <c r="BQ1200" s="34" t="n">
        <v>46030</v>
      </c>
      <c r="BR1200" s="15" t="n">
        <v>22.8</v>
      </c>
      <c r="BS1200" s="15" t="n">
        <v>21.43</v>
      </c>
      <c r="BT1200" s="34" t="n">
        <v>46030</v>
      </c>
      <c r="BU1200" s="15" t="n">
        <v>86.55</v>
      </c>
      <c r="BV1200" s="15" t="n">
        <v>123.86</v>
      </c>
      <c r="BW1200" s="34" t="n">
        <v>46030</v>
      </c>
      <c r="BX1200" s="15" t="n">
        <v>108.7</v>
      </c>
      <c r="BY1200" s="15" t="n">
        <v>125.3</v>
      </c>
      <c r="BZ1200" s="34" t="n">
        <v>46030</v>
      </c>
      <c r="CA1200" s="15" t="n">
        <v>18.68</v>
      </c>
      <c r="CB1200" s="15" t="n">
        <v>31.67</v>
      </c>
      <c r="CC1200" s="34" t="n">
        <v>46030</v>
      </c>
      <c r="CD1200" s="15" t="n">
        <v>34.28</v>
      </c>
      <c r="CE1200" s="15" t="n">
        <v>53.9</v>
      </c>
      <c r="CF1200" s="34" t="n">
        <v>46030</v>
      </c>
      <c r="CG1200" s="15" t="n">
        <v>144.7</v>
      </c>
      <c r="CH1200" s="15" t="n">
        <v>177.5</v>
      </c>
      <c r="CI1200" s="34" t="n">
        <v>46030</v>
      </c>
      <c r="CJ1200" s="15" t="n">
        <v>11.11</v>
      </c>
      <c r="CK1200" s="15" t="n">
        <v>19.75</v>
      </c>
      <c r="CL1200" s="34" t="n">
        <v>46030</v>
      </c>
    </row>
    <row r="1201">
      <c r="A1201" s="34" t="n">
        <v>46031</v>
      </c>
      <c r="B1201" s="266" t="n">
        <v>1.115561008453369</v>
      </c>
      <c r="C1201" s="34" t="n">
        <v>46031</v>
      </c>
      <c r="D1201" s="15" t="n">
        <v>26.1</v>
      </c>
      <c r="E1201" s="15" t="n">
        <v>42.11</v>
      </c>
      <c r="F1201" s="34" t="n">
        <v>46031</v>
      </c>
      <c r="G1201" s="15" t="n">
        <v>85.25</v>
      </c>
      <c r="H1201" s="15" t="n">
        <v>103.97</v>
      </c>
      <c r="I1201" s="34" t="n">
        <v>46031</v>
      </c>
      <c r="J1201" s="15" t="n">
        <v>21.1</v>
      </c>
      <c r="K1201" s="15" t="n">
        <v>37.8</v>
      </c>
      <c r="L1201" s="34" t="n">
        <v>46031</v>
      </c>
      <c r="M1201" s="15" t="n">
        <v>52.65</v>
      </c>
      <c r="N1201" s="15" t="n">
        <v>58.63</v>
      </c>
      <c r="O1201" s="34" t="n">
        <v>46031</v>
      </c>
      <c r="P1201" s="15" t="n">
        <v>85.2</v>
      </c>
      <c r="Q1201" s="15" t="n">
        <v>95.78</v>
      </c>
      <c r="R1201" s="34" t="n">
        <v>46031</v>
      </c>
      <c r="S1201" s="15" t="n">
        <v>35.9</v>
      </c>
      <c r="T1201" s="15" t="n">
        <v>59.79</v>
      </c>
      <c r="U1201" s="34" t="n">
        <v>46031</v>
      </c>
      <c r="V1201" s="15" t="n">
        <v>22.54</v>
      </c>
      <c r="W1201" s="15" t="n">
        <v>29</v>
      </c>
      <c r="X1201" s="34" t="n">
        <v>46031</v>
      </c>
      <c r="Y1201" s="15" t="n">
        <v>89</v>
      </c>
      <c r="Z1201" s="15" t="n">
        <v>79.77</v>
      </c>
      <c r="AA1201" s="34" t="n">
        <v>46031</v>
      </c>
      <c r="AB1201" s="15" t="n">
        <v>13.33</v>
      </c>
      <c r="AC1201" s="15" t="n">
        <v>20.15</v>
      </c>
      <c r="AD1201" s="34" t="n">
        <v>46031</v>
      </c>
      <c r="AE1201" s="15" t="n">
        <v>35.12</v>
      </c>
      <c r="AF1201" s="15" t="n">
        <v>38.97</v>
      </c>
      <c r="AG1201" s="34" t="n">
        <v>46031</v>
      </c>
      <c r="AH1201" s="15" t="n">
        <v>29.48</v>
      </c>
      <c r="AI1201" s="15" t="n">
        <v>31.03</v>
      </c>
      <c r="AJ1201" s="34" t="n">
        <v>46031</v>
      </c>
      <c r="AK1201" s="15" t="n">
        <v>25.38</v>
      </c>
      <c r="AL1201" s="15" t="n">
        <v>70.66</v>
      </c>
      <c r="AM1201" s="34" t="n">
        <v>46031</v>
      </c>
      <c r="AN1201" s="15" t="n">
        <v>497.4</v>
      </c>
      <c r="AO1201" s="15" t="n">
        <v>369.23</v>
      </c>
      <c r="AP1201" s="34" t="n">
        <v>46031</v>
      </c>
      <c r="AQ1201" s="15" t="n">
        <v>76.75</v>
      </c>
      <c r="AR1201" s="15" t="n">
        <v>63.78</v>
      </c>
      <c r="AS1201" s="34" t="n">
        <v>46031</v>
      </c>
      <c r="AT1201" s="15" t="n">
        <v>12.68</v>
      </c>
      <c r="AU1201" s="15" t="n">
        <v>17.97</v>
      </c>
      <c r="AV1201" s="34" t="n">
        <v>46031</v>
      </c>
      <c r="AW1201" s="15" t="n">
        <v>32.06</v>
      </c>
      <c r="AX1201" s="15" t="n">
        <v>37.89</v>
      </c>
      <c r="AY1201" s="34" t="n">
        <v>46031</v>
      </c>
      <c r="AZ1201" s="15" t="n">
        <v>39.02</v>
      </c>
      <c r="BA1201" s="15" t="n">
        <v>57.14</v>
      </c>
      <c r="BB1201" s="34" t="n">
        <v>46031</v>
      </c>
      <c r="BC1201" s="15" t="n">
        <v>70.5</v>
      </c>
      <c r="BD1201" s="15" t="n">
        <v>86.15000000000001</v>
      </c>
      <c r="BE1201" s="34" t="n">
        <v>46031</v>
      </c>
      <c r="BF1201" s="15" t="n">
        <v>130</v>
      </c>
      <c r="BG1201" s="15" t="n">
        <v>199</v>
      </c>
      <c r="BH1201" s="34" t="n">
        <v>46031</v>
      </c>
      <c r="BI1201" s="15" t="n">
        <v>28.8</v>
      </c>
      <c r="BJ1201" s="15" t="n">
        <v>38.69</v>
      </c>
      <c r="BK1201" s="34" t="n">
        <v>46031</v>
      </c>
      <c r="BL1201" s="15" t="n">
        <v>61.8</v>
      </c>
      <c r="BM1201" s="15" t="n">
        <v>92.95</v>
      </c>
      <c r="BN1201" s="34" t="n">
        <v>46031</v>
      </c>
      <c r="BO1201" s="15" t="n">
        <v>16.79</v>
      </c>
      <c r="BP1201" s="15" t="n">
        <v>30.89</v>
      </c>
      <c r="BQ1201" s="34" t="n">
        <v>46031</v>
      </c>
      <c r="BR1201" s="15" t="n">
        <v>23.14</v>
      </c>
      <c r="BS1201" s="15" t="n">
        <v>22.28</v>
      </c>
      <c r="BT1201" s="34" t="n">
        <v>46031</v>
      </c>
      <c r="BU1201" s="15" t="n">
        <v>86.7</v>
      </c>
      <c r="BV1201" s="15" t="n">
        <v>123.68</v>
      </c>
      <c r="BW1201" s="34" t="n">
        <v>46031</v>
      </c>
      <c r="BX1201" s="15" t="n">
        <v>107.8</v>
      </c>
      <c r="BY1201" s="15" t="n">
        <v>124.72</v>
      </c>
      <c r="BZ1201" s="34" t="n">
        <v>46031</v>
      </c>
      <c r="CA1201" s="15" t="n">
        <v>18.54</v>
      </c>
      <c r="CB1201" s="15" t="n">
        <v>31.52</v>
      </c>
      <c r="CC1201" s="34" t="n">
        <v>46031</v>
      </c>
      <c r="CD1201" s="15" t="n">
        <v>36</v>
      </c>
      <c r="CE1201" s="15" t="n">
        <v>54.08</v>
      </c>
      <c r="CF1201" s="34" t="n">
        <v>46031</v>
      </c>
      <c r="CG1201" s="15" t="n">
        <v>140.1</v>
      </c>
      <c r="CH1201" s="15" t="n">
        <v>177.14</v>
      </c>
      <c r="CI1201" s="34" t="n">
        <v>46031</v>
      </c>
      <c r="CJ1201" s="15" t="n">
        <v>11.33</v>
      </c>
      <c r="CK1201" s="15" t="n">
        <v>19.84</v>
      </c>
      <c r="CL1201" s="34" t="n">
        <v>46031</v>
      </c>
    </row>
    <row r="1202">
      <c r="A1202" s="34" t="n">
        <v>46034</v>
      </c>
      <c r="B1202" s="266" t="n">
        <v>1.117015957832336</v>
      </c>
      <c r="C1202" s="34" t="n">
        <v>46034</v>
      </c>
      <c r="D1202" s="15" t="n">
        <v>24.98</v>
      </c>
      <c r="E1202" s="15" t="n">
        <v>40.38</v>
      </c>
      <c r="F1202" s="34" t="n">
        <v>46034</v>
      </c>
      <c r="G1202" s="15" t="n">
        <v>85.09999999999999</v>
      </c>
      <c r="H1202" s="15" t="n">
        <v>104.49</v>
      </c>
      <c r="I1202" s="34" t="n">
        <v>46034</v>
      </c>
      <c r="J1202" s="15" t="n">
        <v>22.1</v>
      </c>
      <c r="K1202" s="15" t="n">
        <v>38.48</v>
      </c>
      <c r="L1202" s="34" t="n">
        <v>46034</v>
      </c>
      <c r="M1202" s="15" t="n">
        <v>55.05</v>
      </c>
      <c r="N1202" s="15" t="n">
        <v>61.3</v>
      </c>
      <c r="O1202" s="34" t="n">
        <v>46034</v>
      </c>
      <c r="P1202" s="15" t="n">
        <v>88.09999999999999</v>
      </c>
      <c r="Q1202" s="15" t="n">
        <v>95.40000000000001</v>
      </c>
      <c r="R1202" s="34" t="n">
        <v>46034</v>
      </c>
      <c r="S1202" s="15" t="n">
        <v>39.5</v>
      </c>
      <c r="T1202" s="15" t="n">
        <v>68.68000000000001</v>
      </c>
      <c r="U1202" s="34" t="n">
        <v>46034</v>
      </c>
      <c r="V1202" s="15" t="n">
        <v>22.7</v>
      </c>
      <c r="W1202" s="15" t="n">
        <v>29.2</v>
      </c>
      <c r="X1202" s="34" t="n">
        <v>46034</v>
      </c>
      <c r="Y1202" s="15" t="n">
        <v>86.5</v>
      </c>
      <c r="Z1202" s="15" t="n">
        <v>78.62</v>
      </c>
      <c r="AA1202" s="34" t="n">
        <v>46034</v>
      </c>
      <c r="AB1202" s="15" t="n">
        <v>13.1</v>
      </c>
      <c r="AC1202" s="15" t="n">
        <v>19.91</v>
      </c>
      <c r="AD1202" s="34" t="n">
        <v>46034</v>
      </c>
      <c r="AE1202" s="15" t="n">
        <v>35.42</v>
      </c>
      <c r="AF1202" s="15" t="n">
        <v>39.01</v>
      </c>
      <c r="AG1202" s="34" t="n">
        <v>46034</v>
      </c>
      <c r="AH1202" s="15" t="n">
        <v>30.2</v>
      </c>
      <c r="AI1202" s="15" t="n">
        <v>31.28</v>
      </c>
      <c r="AJ1202" s="34" t="n">
        <v>46034</v>
      </c>
      <c r="AK1202" s="15" t="n">
        <v>25.32</v>
      </c>
      <c r="AL1202" s="15" t="n">
        <v>72.81</v>
      </c>
      <c r="AM1202" s="34" t="n">
        <v>46034</v>
      </c>
      <c r="AN1202" s="15" t="n">
        <v>485.2</v>
      </c>
      <c r="AO1202" s="15" t="n">
        <v>361.68</v>
      </c>
      <c r="AP1202" s="34" t="n">
        <v>46034</v>
      </c>
      <c r="AQ1202" s="15" t="n">
        <v>76.95</v>
      </c>
      <c r="AR1202" s="15" t="n">
        <v>63.85</v>
      </c>
      <c r="AS1202" s="34" t="n">
        <v>46034</v>
      </c>
      <c r="AT1202" s="15" t="n">
        <v>13.76</v>
      </c>
      <c r="AU1202" s="15" t="n">
        <v>19.43</v>
      </c>
      <c r="AV1202" s="34" t="n">
        <v>46034</v>
      </c>
      <c r="AW1202" s="15" t="n">
        <v>32.66</v>
      </c>
      <c r="AX1202" s="15" t="n">
        <v>38.32</v>
      </c>
      <c r="AY1202" s="34" t="n">
        <v>46034</v>
      </c>
      <c r="AZ1202" s="15" t="n">
        <v>38.8</v>
      </c>
      <c r="BA1202" s="15" t="n">
        <v>57</v>
      </c>
      <c r="BB1202" s="34" t="n">
        <v>46034</v>
      </c>
      <c r="BC1202" s="15" t="n">
        <v>72.8</v>
      </c>
      <c r="BD1202" s="15" t="n">
        <v>87.95999999999999</v>
      </c>
      <c r="BE1202" s="34" t="n">
        <v>46034</v>
      </c>
      <c r="BF1202" s="15" t="n">
        <v>129.9</v>
      </c>
      <c r="BG1202" s="15" t="n">
        <v>202.8</v>
      </c>
      <c r="BH1202" s="34" t="n">
        <v>46034</v>
      </c>
      <c r="BI1202" s="15" t="n">
        <v>29.98</v>
      </c>
      <c r="BJ1202" s="15" t="n">
        <v>42.66</v>
      </c>
      <c r="BK1202" s="34" t="n">
        <v>46034</v>
      </c>
      <c r="BL1202" s="15" t="n">
        <v>61.75</v>
      </c>
      <c r="BM1202" s="15" t="n">
        <v>96</v>
      </c>
      <c r="BN1202" s="34" t="n">
        <v>46034</v>
      </c>
      <c r="BO1202" s="15" t="n">
        <v>17.9</v>
      </c>
      <c r="BP1202" s="15" t="n">
        <v>36</v>
      </c>
      <c r="BQ1202" s="34" t="n">
        <v>46034</v>
      </c>
      <c r="BR1202" s="15" t="n">
        <v>24.2</v>
      </c>
      <c r="BS1202" s="15" t="n">
        <v>22.56</v>
      </c>
      <c r="BT1202" s="34" t="n">
        <v>46034</v>
      </c>
      <c r="BU1202" s="15" t="n">
        <v>85.7</v>
      </c>
      <c r="BV1202" s="15" t="n">
        <v>121.92</v>
      </c>
      <c r="BW1202" s="34" t="n">
        <v>46034</v>
      </c>
      <c r="BX1202" s="15" t="n">
        <v>107.4</v>
      </c>
      <c r="BY1202" s="15" t="n">
        <v>124.03</v>
      </c>
      <c r="BZ1202" s="34" t="n">
        <v>46034</v>
      </c>
      <c r="CA1202" s="15" t="n">
        <v>18.37</v>
      </c>
      <c r="CB1202" s="15" t="n">
        <v>30.6</v>
      </c>
      <c r="CC1202" s="34" t="n">
        <v>46034</v>
      </c>
      <c r="CD1202" s="15" t="n">
        <v>35.86</v>
      </c>
      <c r="CE1202" s="15" t="n">
        <v>53.78</v>
      </c>
      <c r="CF1202" s="34" t="n">
        <v>46034</v>
      </c>
      <c r="CG1202" s="15" t="n">
        <v>139.8</v>
      </c>
      <c r="CH1202" s="15" t="n">
        <v>174.31</v>
      </c>
      <c r="CI1202" s="34" t="n">
        <v>46034</v>
      </c>
      <c r="CJ1202" s="15" t="n">
        <v>11.91</v>
      </c>
      <c r="CK1202" s="15" t="n">
        <v>20.15</v>
      </c>
      <c r="CL1202" s="34" t="n">
        <v>46034</v>
      </c>
      <c r="CM1202" s="15" t="n">
        <v>121.8</v>
      </c>
      <c r="CN1202" s="15" t="n">
        <v>133.55</v>
      </c>
      <c r="CO1202" s="34" t="n">
        <v>46034</v>
      </c>
    </row>
    <row r="1203">
      <c r="A1203" s="34" t="n">
        <v>46035</v>
      </c>
      <c r="B1203" s="266" t="n">
        <v>1.117892026901245</v>
      </c>
      <c r="C1203" s="34" t="n">
        <v>46035</v>
      </c>
      <c r="D1203" s="15" t="n">
        <v>25.28</v>
      </c>
      <c r="E1203" s="15" t="n">
        <v>41.83</v>
      </c>
      <c r="F1203" s="34" t="n">
        <v>46035</v>
      </c>
      <c r="G1203" s="15" t="n">
        <v>88.45</v>
      </c>
      <c r="H1203" s="15" t="n">
        <v>105.87</v>
      </c>
      <c r="I1203" s="34" t="n">
        <v>46035</v>
      </c>
      <c r="J1203" s="15" t="n">
        <v>21.62</v>
      </c>
      <c r="K1203" s="15" t="n">
        <v>37.14</v>
      </c>
      <c r="L1203" s="34" t="n">
        <v>46035</v>
      </c>
      <c r="M1203" s="15" t="n">
        <v>55.5</v>
      </c>
      <c r="N1203" s="15" t="n">
        <v>62.36</v>
      </c>
      <c r="O1203" s="34" t="n">
        <v>46035</v>
      </c>
      <c r="P1203" s="15" t="n">
        <v>85.45</v>
      </c>
      <c r="Q1203" s="15" t="n">
        <v>91.91</v>
      </c>
      <c r="R1203" s="34" t="n">
        <v>46035</v>
      </c>
      <c r="S1203" s="15" t="n">
        <v>42.76</v>
      </c>
      <c r="T1203" s="15" t="n">
        <v>69.81</v>
      </c>
      <c r="U1203" s="34" t="n">
        <v>46035</v>
      </c>
      <c r="V1203" s="15" t="n">
        <v>22.2</v>
      </c>
      <c r="W1203" s="15" t="n">
        <v>28.64</v>
      </c>
      <c r="X1203" s="34" t="n">
        <v>46035</v>
      </c>
      <c r="Y1203" s="15" t="n">
        <v>84.3</v>
      </c>
      <c r="Z1203" s="15" t="n">
        <v>76.2</v>
      </c>
      <c r="AA1203" s="34" t="n">
        <v>46035</v>
      </c>
      <c r="AB1203" s="15" t="n">
        <v>13.16</v>
      </c>
      <c r="AC1203" s="15" t="n">
        <v>19.52</v>
      </c>
      <c r="AD1203" s="34" t="n">
        <v>46035</v>
      </c>
      <c r="AE1203" s="15" t="n">
        <v>35.74</v>
      </c>
      <c r="AF1203" s="15" t="n">
        <v>38.93</v>
      </c>
      <c r="AG1203" s="34" t="n">
        <v>46035</v>
      </c>
      <c r="AH1203" s="15" t="n">
        <v>30.8</v>
      </c>
      <c r="AI1203" s="15" t="n">
        <v>31.81</v>
      </c>
      <c r="AJ1203" s="34" t="n">
        <v>46035</v>
      </c>
      <c r="AK1203" s="15" t="n">
        <v>25.66</v>
      </c>
      <c r="AL1203" s="15" t="n">
        <v>80.09</v>
      </c>
      <c r="AM1203" s="34" t="n">
        <v>46035</v>
      </c>
      <c r="AN1203" s="15" t="n">
        <v>489.8</v>
      </c>
      <c r="AO1203" s="15" t="n">
        <v>359</v>
      </c>
      <c r="AP1203" s="34" t="n">
        <v>46035</v>
      </c>
      <c r="AQ1203" s="15" t="n">
        <v>78.7</v>
      </c>
      <c r="AR1203" s="15" t="n">
        <v>64.52</v>
      </c>
      <c r="AS1203" s="34" t="n">
        <v>46035</v>
      </c>
      <c r="AT1203" s="15" t="n">
        <v>13.51</v>
      </c>
      <c r="AU1203" s="15" t="n">
        <v>18.75</v>
      </c>
      <c r="AV1203" s="34" t="n">
        <v>46035</v>
      </c>
      <c r="AW1203" s="15" t="n">
        <v>32.72</v>
      </c>
      <c r="AX1203" s="15" t="n">
        <v>38.18</v>
      </c>
      <c r="AY1203" s="34" t="n">
        <v>46035</v>
      </c>
      <c r="AZ1203" s="15" t="n">
        <v>38.66</v>
      </c>
      <c r="BA1203" s="15" t="n">
        <v>57.15</v>
      </c>
      <c r="BB1203" s="34" t="n">
        <v>46035</v>
      </c>
      <c r="BC1203" s="15" t="n">
        <v>71.90000000000001</v>
      </c>
      <c r="BD1203" s="15" t="n">
        <v>85.94</v>
      </c>
      <c r="BE1203" s="34" t="n">
        <v>46035</v>
      </c>
      <c r="BF1203" s="15" t="n">
        <v>127.4</v>
      </c>
      <c r="BG1203" s="15" t="n">
        <v>192.01</v>
      </c>
      <c r="BH1203" s="34" t="n">
        <v>46035</v>
      </c>
      <c r="BI1203" s="15" t="n">
        <v>28.26</v>
      </c>
      <c r="BJ1203" s="15" t="n">
        <v>39.18</v>
      </c>
      <c r="BK1203" s="34" t="n">
        <v>46035</v>
      </c>
      <c r="BL1203" s="15" t="n">
        <v>59</v>
      </c>
      <c r="BM1203" s="15" t="n">
        <v>90.8</v>
      </c>
      <c r="BN1203" s="34" t="n">
        <v>46035</v>
      </c>
      <c r="BO1203" s="15" t="n">
        <v>17</v>
      </c>
      <c r="BP1203" s="15" t="n">
        <v>33.12</v>
      </c>
      <c r="BQ1203" s="34" t="n">
        <v>46035</v>
      </c>
      <c r="BR1203" s="15" t="n">
        <v>24.3</v>
      </c>
      <c r="BS1203" s="15" t="n">
        <v>22.62</v>
      </c>
      <c r="BT1203" s="34" t="n">
        <v>46035</v>
      </c>
      <c r="BU1203" s="15" t="n">
        <v>82.8</v>
      </c>
      <c r="BV1203" s="15" t="n">
        <v>117.4</v>
      </c>
      <c r="BW1203" s="34" t="n">
        <v>46035</v>
      </c>
      <c r="BX1203" s="15" t="n">
        <v>107.4</v>
      </c>
      <c r="BY1203" s="15" t="n">
        <v>122.7</v>
      </c>
      <c r="BZ1203" s="34" t="n">
        <v>46035</v>
      </c>
      <c r="CA1203" s="15" t="n">
        <v>18.18</v>
      </c>
      <c r="CB1203" s="15" t="n">
        <v>30.16</v>
      </c>
      <c r="CC1203" s="34" t="n">
        <v>46035</v>
      </c>
      <c r="CD1203" s="15" t="n">
        <v>36</v>
      </c>
      <c r="CE1203" s="15" t="n">
        <v>52.79</v>
      </c>
      <c r="CF1203" s="34" t="n">
        <v>46035</v>
      </c>
      <c r="CG1203" s="15" t="n">
        <v>134</v>
      </c>
      <c r="CH1203" s="15" t="n">
        <v>170.33</v>
      </c>
      <c r="CI1203" s="34" t="n">
        <v>46035</v>
      </c>
      <c r="CJ1203" s="15" t="n">
        <v>11.33</v>
      </c>
      <c r="CK1203" s="15" t="n">
        <v>19.54</v>
      </c>
      <c r="CL1203" s="34" t="n">
        <v>46035</v>
      </c>
      <c r="CM1203" s="15" t="n">
        <v>114.9</v>
      </c>
      <c r="CN1203" s="15" t="n">
        <v>128.38</v>
      </c>
      <c r="CO1203" s="34" t="n">
        <v>46035</v>
      </c>
      <c r="CP1203" s="15" t="n">
        <v>222.8</v>
      </c>
      <c r="CQ1203" s="15" t="n">
        <v>263.5</v>
      </c>
      <c r="CR1203" s="34" t="n">
        <v>46035</v>
      </c>
    </row>
    <row r="1204">
      <c r="A1204" s="34" t="n">
        <v>46036</v>
      </c>
      <c r="B1204" s="266" t="n">
        <v>1.117897987365723</v>
      </c>
      <c r="C1204" s="34" t="n">
        <v>46036</v>
      </c>
      <c r="D1204" s="15" t="n">
        <v>26.12</v>
      </c>
      <c r="E1204" s="15" t="n">
        <v>43.01</v>
      </c>
      <c r="F1204" s="34" t="n">
        <v>46036</v>
      </c>
      <c r="G1204" s="15" t="n">
        <v>86.09999999999999</v>
      </c>
      <c r="H1204" s="15" t="n">
        <v>104.04</v>
      </c>
      <c r="I1204" s="34" t="n">
        <v>46036</v>
      </c>
      <c r="J1204" s="15" t="n">
        <v>21.2</v>
      </c>
      <c r="K1204" s="15" t="n">
        <v>36.66</v>
      </c>
      <c r="L1204" s="34" t="n">
        <v>46036</v>
      </c>
      <c r="M1204" s="15" t="n">
        <v>54.5</v>
      </c>
      <c r="N1204" s="15" t="n">
        <v>59.82</v>
      </c>
      <c r="O1204" s="34" t="n">
        <v>46036</v>
      </c>
      <c r="P1204" s="15" t="n">
        <v>83.09999999999999</v>
      </c>
      <c r="Q1204" s="15" t="n">
        <v>90.05</v>
      </c>
      <c r="R1204" s="34" t="n">
        <v>46036</v>
      </c>
      <c r="S1204" s="15" t="n">
        <v>44.74</v>
      </c>
      <c r="T1204" s="15" t="n">
        <v>69.91</v>
      </c>
      <c r="U1204" s="34" t="n">
        <v>46036</v>
      </c>
      <c r="V1204" s="15" t="n">
        <v>25.7</v>
      </c>
      <c r="W1204" s="15" t="n">
        <v>32.22</v>
      </c>
      <c r="X1204" s="34" t="n">
        <v>46036</v>
      </c>
      <c r="Y1204" s="15" t="n">
        <v>84.59999999999999</v>
      </c>
      <c r="Z1204" s="15" t="n">
        <v>77.15000000000001</v>
      </c>
      <c r="AA1204" s="34" t="n">
        <v>46036</v>
      </c>
      <c r="AB1204" s="15" t="n">
        <v>13.27</v>
      </c>
      <c r="AC1204" s="15" t="n">
        <v>19.71</v>
      </c>
      <c r="AD1204" s="34" t="n">
        <v>46036</v>
      </c>
      <c r="AE1204" s="15" t="n">
        <v>35.36</v>
      </c>
      <c r="AF1204" s="15" t="n">
        <v>38.55</v>
      </c>
      <c r="AG1204" s="34" t="n">
        <v>46036</v>
      </c>
      <c r="AH1204" s="15" t="n">
        <v>32.14</v>
      </c>
      <c r="AI1204" s="15" t="n">
        <v>32.32</v>
      </c>
      <c r="AJ1204" s="34" t="n">
        <v>46036</v>
      </c>
      <c r="AK1204" s="15" t="n">
        <v>24.56</v>
      </c>
      <c r="AL1204" s="15" t="n">
        <v>82.34999999999999</v>
      </c>
      <c r="AM1204" s="34" t="n">
        <v>46036</v>
      </c>
      <c r="AN1204" s="15" t="n">
        <v>484</v>
      </c>
      <c r="AO1204" s="15" t="n">
        <v>353.98</v>
      </c>
      <c r="AP1204" s="34" t="n">
        <v>46036</v>
      </c>
      <c r="AQ1204" s="15" t="n">
        <v>79.09999999999999</v>
      </c>
      <c r="AR1204" s="15" t="n">
        <v>63.61</v>
      </c>
      <c r="AS1204" s="34" t="n">
        <v>46036</v>
      </c>
      <c r="AT1204" s="15" t="n">
        <v>14.17</v>
      </c>
      <c r="AU1204" s="15" t="n">
        <v>19.7</v>
      </c>
      <c r="AV1204" s="34" t="n">
        <v>46036</v>
      </c>
      <c r="AW1204" s="15" t="n">
        <v>33.4</v>
      </c>
      <c r="AX1204" s="15" t="n">
        <v>37.79</v>
      </c>
      <c r="AY1204" s="34" t="n">
        <v>46036</v>
      </c>
      <c r="AZ1204" s="15" t="n">
        <v>37.82</v>
      </c>
      <c r="BA1204" s="15" t="n">
        <v>54.86</v>
      </c>
      <c r="BB1204" s="34" t="n">
        <v>46036</v>
      </c>
      <c r="BC1204" s="15" t="n">
        <v>74.3</v>
      </c>
      <c r="BD1204" s="15" t="n">
        <v>85.98</v>
      </c>
      <c r="BE1204" s="34" t="n">
        <v>46036</v>
      </c>
      <c r="BF1204" s="15" t="n">
        <v>130</v>
      </c>
      <c r="BG1204" s="15" t="n">
        <v>200.01</v>
      </c>
      <c r="BH1204" s="34" t="n">
        <v>46036</v>
      </c>
      <c r="BI1204" s="15" t="n">
        <v>28.16</v>
      </c>
      <c r="BJ1204" s="15" t="n">
        <v>38.37</v>
      </c>
      <c r="BK1204" s="34" t="n">
        <v>46036</v>
      </c>
      <c r="BL1204" s="15" t="n">
        <v>58.7</v>
      </c>
      <c r="BM1204" s="15" t="n">
        <v>91.48999999999999</v>
      </c>
      <c r="BN1204" s="34" t="n">
        <v>46036</v>
      </c>
      <c r="BO1204" s="15" t="n">
        <v>17.07</v>
      </c>
      <c r="BP1204" s="15" t="n">
        <v>33.47</v>
      </c>
      <c r="BQ1204" s="34" t="n">
        <v>46036</v>
      </c>
      <c r="BR1204" s="15" t="n">
        <v>23.96</v>
      </c>
      <c r="BS1204" s="15" t="n">
        <v>22.24</v>
      </c>
      <c r="BT1204" s="34" t="n">
        <v>46036</v>
      </c>
      <c r="BU1204" s="15" t="n">
        <v>83.2</v>
      </c>
      <c r="BV1204" s="15" t="n">
        <v>119.25</v>
      </c>
      <c r="BW1204" s="34" t="n">
        <v>46036</v>
      </c>
      <c r="BX1204" s="15" t="n">
        <v>106.9</v>
      </c>
      <c r="BY1204" s="15" t="n">
        <v>121.7</v>
      </c>
      <c r="BZ1204" s="34" t="n">
        <v>46036</v>
      </c>
      <c r="CA1204" s="15" t="n">
        <v>18.16</v>
      </c>
      <c r="CB1204" s="15" t="n">
        <v>29.61</v>
      </c>
      <c r="CC1204" s="34" t="n">
        <v>46036</v>
      </c>
      <c r="CD1204" s="15" t="n">
        <v>35.88</v>
      </c>
      <c r="CE1204" s="15" t="n">
        <v>51.88</v>
      </c>
      <c r="CF1204" s="34" t="n">
        <v>46036</v>
      </c>
      <c r="CG1204" s="15" t="n">
        <v>137.6</v>
      </c>
      <c r="CH1204" s="15" t="n">
        <v>171.87</v>
      </c>
      <c r="CI1204" s="34" t="n">
        <v>46036</v>
      </c>
      <c r="CJ1204" s="15" t="n">
        <v>11.79</v>
      </c>
      <c r="CK1204" s="15" t="n">
        <v>19.77</v>
      </c>
      <c r="CL1204" s="34" t="n">
        <v>46036</v>
      </c>
      <c r="CM1204" s="15" t="n">
        <v>114.8</v>
      </c>
      <c r="CN1204" s="15" t="n">
        <v>127.71</v>
      </c>
      <c r="CO1204" s="34" t="n">
        <v>46036</v>
      </c>
      <c r="CP1204" s="15" t="n">
        <v>225</v>
      </c>
      <c r="CQ1204" s="15" t="n">
        <v>253</v>
      </c>
      <c r="CR1204" s="34" t="n">
        <v>46036</v>
      </c>
    </row>
    <row r="1205">
      <c r="A1205" s="34" t="n">
        <v>46037</v>
      </c>
      <c r="B1205" s="266" t="n">
        <v>1.118072032928467</v>
      </c>
      <c r="C1205" s="34" t="n">
        <v>46037</v>
      </c>
      <c r="D1205" s="15" t="n">
        <v>25.72</v>
      </c>
      <c r="E1205" s="15" t="n">
        <v>42.82</v>
      </c>
      <c r="F1205" s="34" t="n">
        <v>46037</v>
      </c>
      <c r="G1205" s="15" t="n">
        <v>89.7</v>
      </c>
      <c r="H1205" s="15" t="n">
        <v>106.5</v>
      </c>
      <c r="I1205" s="34" t="n">
        <v>46037</v>
      </c>
      <c r="J1205" s="15" t="n">
        <v>21.5</v>
      </c>
      <c r="K1205" s="15" t="n">
        <v>36.71</v>
      </c>
      <c r="L1205" s="34" t="n">
        <v>46037</v>
      </c>
      <c r="M1205" s="15" t="n">
        <v>57.1</v>
      </c>
      <c r="N1205" s="15" t="n">
        <v>61.32</v>
      </c>
      <c r="O1205" s="34" t="n">
        <v>46037</v>
      </c>
      <c r="P1205" s="15" t="n">
        <v>82.59999999999999</v>
      </c>
      <c r="Q1205" s="15" t="n">
        <v>89.61</v>
      </c>
      <c r="R1205" s="34" t="n">
        <v>46037</v>
      </c>
      <c r="S1205" s="15" t="n">
        <v>43</v>
      </c>
      <c r="T1205" s="15" t="n">
        <v>68.90000000000001</v>
      </c>
      <c r="U1205" s="34" t="n">
        <v>46037</v>
      </c>
      <c r="V1205" s="15" t="n">
        <v>28.2</v>
      </c>
      <c r="W1205" s="15" t="n">
        <v>33.99</v>
      </c>
      <c r="X1205" s="34" t="n">
        <v>46037</v>
      </c>
      <c r="Y1205" s="15" t="n">
        <v>85.25</v>
      </c>
      <c r="Z1205" s="15" t="n">
        <v>77.22</v>
      </c>
      <c r="AA1205" s="34" t="n">
        <v>46037</v>
      </c>
      <c r="AB1205" s="15" t="n">
        <v>13.82</v>
      </c>
      <c r="AC1205" s="15" t="n">
        <v>20.01</v>
      </c>
      <c r="AD1205" s="34" t="n">
        <v>46037</v>
      </c>
      <c r="AE1205" s="15" t="n">
        <v>36.2</v>
      </c>
      <c r="AF1205" s="15" t="n">
        <v>39.19</v>
      </c>
      <c r="AG1205" s="34" t="n">
        <v>46037</v>
      </c>
      <c r="AH1205" s="15" t="n">
        <v>32.5</v>
      </c>
      <c r="AI1205" s="15" t="n">
        <v>32.94</v>
      </c>
      <c r="AJ1205" s="34" t="n">
        <v>46037</v>
      </c>
      <c r="AK1205" s="15" t="n">
        <v>24.32</v>
      </c>
      <c r="AL1205" s="15" t="n">
        <v>82.62</v>
      </c>
      <c r="AM1205" s="34" t="n">
        <v>46037</v>
      </c>
      <c r="AN1205" s="15" t="n">
        <v>487.4</v>
      </c>
      <c r="AO1205" s="15" t="n">
        <v>353.75</v>
      </c>
      <c r="AP1205" s="34" t="n">
        <v>46037</v>
      </c>
      <c r="AQ1205" s="15" t="n">
        <v>78</v>
      </c>
      <c r="AR1205" s="15" t="n">
        <v>63.17</v>
      </c>
      <c r="AS1205" s="34" t="n">
        <v>46037</v>
      </c>
      <c r="AT1205" s="15" t="n">
        <v>14.38</v>
      </c>
      <c r="AU1205" s="15" t="n">
        <v>19.53</v>
      </c>
      <c r="AV1205" s="34" t="n">
        <v>46037</v>
      </c>
      <c r="AW1205" s="15" t="n">
        <v>33.5</v>
      </c>
      <c r="AX1205" s="15" t="n">
        <v>37.59</v>
      </c>
      <c r="AY1205" s="34" t="n">
        <v>46037</v>
      </c>
      <c r="AZ1205" s="15" t="n">
        <v>37.52</v>
      </c>
      <c r="BA1205" s="15" t="n">
        <v>54.59</v>
      </c>
      <c r="BB1205" s="34" t="n">
        <v>46037</v>
      </c>
      <c r="BC1205" s="15" t="n">
        <v>74</v>
      </c>
      <c r="BD1205" s="15" t="n">
        <v>84.93000000000001</v>
      </c>
      <c r="BE1205" s="34" t="n">
        <v>46037</v>
      </c>
      <c r="BF1205" s="15" t="n">
        <v>126.6</v>
      </c>
      <c r="BG1205" s="15" t="n">
        <v>203.5</v>
      </c>
      <c r="BH1205" s="34" t="n">
        <v>46037</v>
      </c>
      <c r="BI1205" s="15" t="n">
        <v>28.62</v>
      </c>
      <c r="BJ1205" s="15" t="n">
        <v>38.41</v>
      </c>
      <c r="BK1205" s="34" t="n">
        <v>46037</v>
      </c>
      <c r="BL1205" s="15" t="n">
        <v>59.65</v>
      </c>
      <c r="BM1205" s="15" t="n">
        <v>92.66</v>
      </c>
      <c r="BN1205" s="34" t="n">
        <v>46037</v>
      </c>
      <c r="BO1205" s="15" t="n">
        <v>16.51</v>
      </c>
      <c r="BP1205" s="15" t="n">
        <v>32.46</v>
      </c>
      <c r="BQ1205" s="34" t="n">
        <v>46037</v>
      </c>
      <c r="BR1205" s="15" t="n">
        <v>23.38</v>
      </c>
      <c r="BS1205" s="15" t="n">
        <v>22.25</v>
      </c>
      <c r="BT1205" s="34" t="n">
        <v>46037</v>
      </c>
      <c r="BU1205" s="15" t="n">
        <v>89.65000000000001</v>
      </c>
      <c r="BV1205" s="15" t="n">
        <v>125.84</v>
      </c>
      <c r="BW1205" s="34" t="n">
        <v>46037</v>
      </c>
      <c r="BX1205" s="15" t="n">
        <v>107.5</v>
      </c>
      <c r="BY1205" s="15" t="n">
        <v>121.32</v>
      </c>
      <c r="BZ1205" s="34" t="n">
        <v>46037</v>
      </c>
      <c r="CA1205" s="15" t="n">
        <v>18.12</v>
      </c>
      <c r="CB1205" s="15" t="n">
        <v>29.85</v>
      </c>
      <c r="CC1205" s="34" t="n">
        <v>46037</v>
      </c>
      <c r="CD1205" s="15" t="n">
        <v>37.72</v>
      </c>
      <c r="CE1205" s="15" t="n">
        <v>55.69</v>
      </c>
      <c r="CF1205" s="34" t="n">
        <v>46037</v>
      </c>
      <c r="CG1205" s="15" t="n">
        <v>139</v>
      </c>
      <c r="CH1205" s="15" t="n">
        <v>171.73</v>
      </c>
      <c r="CI1205" s="34" t="n">
        <v>46037</v>
      </c>
      <c r="CJ1205" s="15" t="n">
        <v>12.18</v>
      </c>
      <c r="CK1205" s="15" t="n">
        <v>19.06</v>
      </c>
      <c r="CL1205" s="34" t="n">
        <v>46037</v>
      </c>
      <c r="CM1205" s="15" t="n">
        <v>111.6</v>
      </c>
      <c r="CN1205" s="15" t="n">
        <v>128.47</v>
      </c>
      <c r="CO1205" s="34" t="n">
        <v>46037</v>
      </c>
      <c r="CP1205" s="15" t="n">
        <v>233</v>
      </c>
      <c r="CQ1205" s="15" t="n">
        <v>254.96</v>
      </c>
      <c r="CR1205" s="34" t="n">
        <v>46037</v>
      </c>
    </row>
    <row r="1206">
      <c r="A1206" s="34" t="n">
        <v>46038</v>
      </c>
      <c r="B1206" s="266" t="n">
        <v>1.119040012359619</v>
      </c>
      <c r="C1206" s="34" t="n">
        <v>46038</v>
      </c>
      <c r="D1206" s="15" t="n">
        <v>25.68</v>
      </c>
      <c r="E1206" s="15" t="n">
        <v>42.03</v>
      </c>
      <c r="F1206" s="34" t="n">
        <v>46038</v>
      </c>
      <c r="G1206" s="15" t="n">
        <v>88.15000000000001</v>
      </c>
      <c r="H1206" s="15" t="n">
        <v>107.33</v>
      </c>
      <c r="I1206" s="34" t="n">
        <v>46038</v>
      </c>
      <c r="J1206" s="15" t="n">
        <v>22.62</v>
      </c>
      <c r="K1206" s="15" t="n">
        <v>37.81</v>
      </c>
      <c r="L1206" s="34" t="n">
        <v>46038</v>
      </c>
      <c r="M1206" s="15" t="n">
        <v>55.4</v>
      </c>
      <c r="N1206" s="15" t="n">
        <v>58.73</v>
      </c>
      <c r="O1206" s="34" t="n">
        <v>46038</v>
      </c>
      <c r="P1206" s="15" t="n">
        <v>81.95</v>
      </c>
      <c r="Q1206" s="15" t="n">
        <v>88.43000000000001</v>
      </c>
      <c r="R1206" s="34" t="n">
        <v>46038</v>
      </c>
      <c r="S1206" s="15" t="n">
        <v>43.28</v>
      </c>
      <c r="T1206" s="15" t="n">
        <v>68.55</v>
      </c>
      <c r="U1206" s="34" t="n">
        <v>46038</v>
      </c>
      <c r="V1206" s="15" t="n">
        <v>29.32</v>
      </c>
      <c r="W1206" s="15" t="n">
        <v>33.73</v>
      </c>
      <c r="X1206" s="34" t="n">
        <v>46038</v>
      </c>
      <c r="Y1206" s="15" t="n">
        <v>85.90000000000001</v>
      </c>
      <c r="Z1206" s="15" t="n">
        <v>77.31</v>
      </c>
      <c r="AA1206" s="34" t="n">
        <v>46038</v>
      </c>
      <c r="AB1206" s="15" t="n">
        <v>13.4</v>
      </c>
      <c r="AC1206" s="15" t="n">
        <v>19.87</v>
      </c>
      <c r="AD1206" s="34" t="n">
        <v>46038</v>
      </c>
      <c r="AE1206" s="15" t="n">
        <v>36.1</v>
      </c>
      <c r="AF1206" s="15" t="n">
        <v>38.81</v>
      </c>
      <c r="AG1206" s="34" t="n">
        <v>46038</v>
      </c>
      <c r="AH1206" s="15" t="n">
        <v>32.18</v>
      </c>
      <c r="AI1206" s="15" t="n">
        <v>32.3</v>
      </c>
      <c r="AJ1206" s="34" t="n">
        <v>46038</v>
      </c>
      <c r="AK1206" s="15" t="n">
        <v>25</v>
      </c>
      <c r="AL1206" s="15" t="n">
        <v>89.7</v>
      </c>
      <c r="AM1206" s="34" t="n">
        <v>46038</v>
      </c>
      <c r="AN1206" s="15" t="n">
        <v>484.6</v>
      </c>
      <c r="AO1206" s="15" t="n">
        <v>352.32</v>
      </c>
      <c r="AP1206" s="34" t="n">
        <v>46038</v>
      </c>
      <c r="AQ1206" s="15" t="n">
        <v>77.3</v>
      </c>
      <c r="AR1206" s="15" t="n">
        <v>61.94</v>
      </c>
      <c r="AS1206" s="34" t="n">
        <v>46038</v>
      </c>
      <c r="AT1206" s="15" t="n">
        <v>14.79</v>
      </c>
      <c r="AU1206" s="15" t="n">
        <v>19.88</v>
      </c>
      <c r="AV1206" s="34" t="n">
        <v>46038</v>
      </c>
      <c r="AW1206" s="15" t="n">
        <v>32.66</v>
      </c>
      <c r="AX1206" s="15" t="n">
        <v>36.99</v>
      </c>
      <c r="AY1206" s="34" t="n">
        <v>46038</v>
      </c>
      <c r="AZ1206" s="15" t="n">
        <v>38.52</v>
      </c>
      <c r="BA1206" s="15" t="n">
        <v>57.46</v>
      </c>
      <c r="BB1206" s="34" t="n">
        <v>46038</v>
      </c>
      <c r="BC1206" s="15" t="n">
        <v>72.3</v>
      </c>
      <c r="BD1206" s="15" t="n">
        <v>84.65000000000001</v>
      </c>
      <c r="BE1206" s="34" t="n">
        <v>46038</v>
      </c>
      <c r="BF1206" s="15" t="n">
        <v>137</v>
      </c>
      <c r="BG1206" s="15" t="n">
        <v>220</v>
      </c>
      <c r="BH1206" s="34" t="n">
        <v>46038</v>
      </c>
      <c r="BI1206" s="15" t="n">
        <v>29.86</v>
      </c>
      <c r="BJ1206" s="15" t="n">
        <v>39.22</v>
      </c>
      <c r="BK1206" s="34" t="n">
        <v>46038</v>
      </c>
      <c r="BL1206" s="15" t="n">
        <v>67.7</v>
      </c>
      <c r="BM1206" s="15" t="n">
        <v>111.19</v>
      </c>
      <c r="BN1206" s="34" t="n">
        <v>46038</v>
      </c>
      <c r="BO1206" s="15" t="n">
        <v>16.4</v>
      </c>
      <c r="BP1206" s="15" t="n">
        <v>32.09</v>
      </c>
      <c r="BQ1206" s="34" t="n">
        <v>46038</v>
      </c>
      <c r="BR1206" s="15" t="n">
        <v>23.22</v>
      </c>
      <c r="BS1206" s="15" t="n">
        <v>22.11</v>
      </c>
      <c r="BT1206" s="34" t="n">
        <v>46038</v>
      </c>
      <c r="BU1206" s="15" t="n">
        <v>93.45</v>
      </c>
      <c r="BV1206" s="15" t="n">
        <v>129.8</v>
      </c>
      <c r="BW1206" s="34" t="n">
        <v>46038</v>
      </c>
      <c r="BX1206" s="15" t="n">
        <v>107.7</v>
      </c>
      <c r="BY1206" s="15" t="n">
        <v>120.92</v>
      </c>
      <c r="BZ1206" s="34" t="n">
        <v>46038</v>
      </c>
      <c r="CA1206" s="15" t="n">
        <v>19.02</v>
      </c>
      <c r="CB1206" s="15" t="n">
        <v>30.98</v>
      </c>
      <c r="CC1206" s="34" t="n">
        <v>46038</v>
      </c>
      <c r="CD1206" s="15" t="n">
        <v>38.32</v>
      </c>
      <c r="CE1206" s="15" t="n">
        <v>54.27</v>
      </c>
      <c r="CF1206" s="34" t="n">
        <v>46038</v>
      </c>
      <c r="CG1206" s="15" t="n">
        <v>139</v>
      </c>
      <c r="CH1206" s="15" t="n">
        <v>174.98</v>
      </c>
      <c r="CI1206" s="34" t="n">
        <v>46038</v>
      </c>
      <c r="CJ1206" s="15" t="n">
        <v>12.29</v>
      </c>
      <c r="CK1206" s="15" t="n">
        <v>18.75</v>
      </c>
      <c r="CL1206" s="34" t="n">
        <v>46038</v>
      </c>
      <c r="CM1206" s="15" t="n">
        <v>113.2</v>
      </c>
      <c r="CN1206" s="15" t="n">
        <v>130.83</v>
      </c>
      <c r="CO1206" s="34" t="n">
        <v>46038</v>
      </c>
      <c r="CP1206" s="15" t="n">
        <v>272</v>
      </c>
      <c r="CQ1206" s="15" t="n">
        <v>280.46</v>
      </c>
      <c r="CR1206" s="34" t="n">
        <v>46038</v>
      </c>
    </row>
    <row r="1207">
      <c r="A1207" s="34" t="n">
        <v>46041</v>
      </c>
      <c r="B1207" s="266" t="n">
        <v>1.118916034698486</v>
      </c>
      <c r="C1207" s="34" t="n">
        <v>46041</v>
      </c>
      <c r="D1207" s="15" t="n">
        <v>25.72</v>
      </c>
      <c r="E1207" s="15" t="n">
        <v>41.88</v>
      </c>
      <c r="F1207" s="34" t="n">
        <v>46041</v>
      </c>
      <c r="G1207" s="15" t="n">
        <v>86.75</v>
      </c>
      <c r="H1207" s="15" t="n">
        <v>103.95</v>
      </c>
      <c r="I1207" s="34" t="n">
        <v>46041</v>
      </c>
      <c r="J1207" s="15" t="n">
        <v>22.64</v>
      </c>
      <c r="K1207" s="15" t="n">
        <v>38.12</v>
      </c>
      <c r="L1207" s="34" t="n">
        <v>46041</v>
      </c>
      <c r="M1207" s="15" t="n">
        <v>54.1</v>
      </c>
      <c r="N1207" s="15" t="n">
        <v>58.61</v>
      </c>
      <c r="O1207" s="34" t="n">
        <v>46041</v>
      </c>
      <c r="P1207" s="15" t="n">
        <v>87.40000000000001</v>
      </c>
      <c r="Q1207" s="15" t="n">
        <v>93.40000000000001</v>
      </c>
      <c r="R1207" s="34" t="n">
        <v>46041</v>
      </c>
      <c r="S1207" s="15" t="n">
        <v>39.72</v>
      </c>
      <c r="T1207" s="15" t="n">
        <v>65.33</v>
      </c>
      <c r="U1207" s="34" t="n">
        <v>46041</v>
      </c>
      <c r="V1207" s="15" t="n">
        <v>29.22</v>
      </c>
      <c r="W1207" s="15" t="n">
        <v>34.23</v>
      </c>
      <c r="X1207" s="34" t="n">
        <v>46041</v>
      </c>
      <c r="Y1207" s="15" t="n">
        <v>85.84999999999999</v>
      </c>
      <c r="Z1207" s="15" t="n">
        <v>77.62</v>
      </c>
      <c r="AA1207" s="34" t="n">
        <v>46041</v>
      </c>
      <c r="AB1207" s="15" t="n">
        <v>13.15</v>
      </c>
      <c r="AC1207" s="15" t="n">
        <v>19.73</v>
      </c>
      <c r="AD1207" s="34" t="n">
        <v>46041</v>
      </c>
      <c r="AE1207" s="15" t="n">
        <v>36.32</v>
      </c>
      <c r="AF1207" s="15" t="n">
        <v>38.88</v>
      </c>
      <c r="AG1207" s="34" t="n">
        <v>46041</v>
      </c>
      <c r="AH1207" s="15" t="n">
        <v>32.76</v>
      </c>
      <c r="AI1207" s="15" t="n">
        <v>33.38</v>
      </c>
      <c r="AJ1207" s="34" t="n">
        <v>46041</v>
      </c>
      <c r="AK1207" s="15" t="n">
        <v>23.66</v>
      </c>
      <c r="AL1207" s="15" t="n">
        <v>90.8</v>
      </c>
      <c r="AM1207" s="34" t="n">
        <v>46041</v>
      </c>
      <c r="AN1207" s="15" t="n">
        <v>477.6</v>
      </c>
      <c r="AO1207" s="15" t="n">
        <v>348.9</v>
      </c>
      <c r="AP1207" s="34" t="n">
        <v>46041</v>
      </c>
      <c r="AQ1207" s="15" t="n">
        <v>76.90000000000001</v>
      </c>
      <c r="AR1207" s="15" t="n">
        <v>61.12</v>
      </c>
      <c r="AS1207" s="34" t="n">
        <v>46041</v>
      </c>
      <c r="AT1207" s="15" t="n">
        <v>14.5</v>
      </c>
      <c r="AU1207" s="15" t="n">
        <v>19.5</v>
      </c>
      <c r="AV1207" s="34" t="n">
        <v>46041</v>
      </c>
      <c r="AW1207" s="15" t="n">
        <v>32.52</v>
      </c>
      <c r="AX1207" s="15" t="n">
        <v>36.86</v>
      </c>
      <c r="AY1207" s="34" t="n">
        <v>46041</v>
      </c>
      <c r="AZ1207" s="15" t="n">
        <v>38.26</v>
      </c>
      <c r="BA1207" s="15" t="n">
        <v>58.56</v>
      </c>
      <c r="BB1207" s="34" t="n">
        <v>46041</v>
      </c>
      <c r="BC1207" s="15" t="n">
        <v>75.8</v>
      </c>
      <c r="BD1207" s="15" t="n">
        <v>89.38</v>
      </c>
      <c r="BE1207" s="34" t="n">
        <v>46041</v>
      </c>
      <c r="BF1207" s="15" t="n">
        <v>133.6</v>
      </c>
      <c r="BG1207" s="15" t="n">
        <v>218.15</v>
      </c>
      <c r="BH1207" s="34" t="n">
        <v>46041</v>
      </c>
      <c r="BI1207" s="15" t="n">
        <v>29.54</v>
      </c>
      <c r="BJ1207" s="15" t="n">
        <v>39.71</v>
      </c>
      <c r="BK1207" s="34" t="n">
        <v>46041</v>
      </c>
      <c r="BL1207" s="15" t="n">
        <v>69.05</v>
      </c>
      <c r="BM1207" s="15" t="n">
        <v>109.43</v>
      </c>
      <c r="BN1207" s="34" t="n">
        <v>46041</v>
      </c>
      <c r="BO1207" s="15" t="n">
        <v>16.07</v>
      </c>
      <c r="BP1207" s="15" t="n">
        <v>31.3</v>
      </c>
      <c r="BQ1207" s="34" t="n">
        <v>46041</v>
      </c>
      <c r="BR1207" s="15" t="n">
        <v>22.64</v>
      </c>
      <c r="BS1207" s="15" t="n">
        <v>22.1</v>
      </c>
      <c r="BT1207" s="34" t="n">
        <v>46041</v>
      </c>
      <c r="BU1207" s="15" t="n">
        <v>82.05</v>
      </c>
      <c r="BV1207" s="15" t="n">
        <v>116.82</v>
      </c>
      <c r="BW1207" s="34" t="n">
        <v>46041</v>
      </c>
      <c r="BX1207" s="15" t="n">
        <v>108.1</v>
      </c>
      <c r="BY1207" s="15" t="n">
        <v>121.15</v>
      </c>
      <c r="BZ1207" s="34" t="n">
        <v>46041</v>
      </c>
      <c r="CA1207" s="15" t="n">
        <v>18.98</v>
      </c>
      <c r="CB1207" s="15" t="n">
        <v>30.87</v>
      </c>
      <c r="CC1207" s="34" t="n">
        <v>46041</v>
      </c>
      <c r="CD1207" s="15" t="n">
        <v>37.76</v>
      </c>
      <c r="CE1207" s="15" t="n">
        <v>53.7</v>
      </c>
      <c r="CF1207" s="34" t="n">
        <v>46041</v>
      </c>
      <c r="CG1207" s="15" t="n">
        <v>135.4</v>
      </c>
      <c r="CH1207" s="15" t="n">
        <v>172.5</v>
      </c>
      <c r="CI1207" s="34" t="n">
        <v>46041</v>
      </c>
      <c r="CJ1207" s="15" t="n">
        <v>11.41</v>
      </c>
      <c r="CK1207" s="15" t="n">
        <v>19.06</v>
      </c>
      <c r="CL1207" s="34" t="n">
        <v>46041</v>
      </c>
      <c r="CM1207" s="15" t="n">
        <v>116.5</v>
      </c>
      <c r="CN1207" s="15" t="n">
        <v>128.92</v>
      </c>
      <c r="CO1207" s="34" t="n">
        <v>46041</v>
      </c>
      <c r="CP1207" s="15" t="n">
        <v>290</v>
      </c>
      <c r="CQ1207" s="15" t="n">
        <v>288.45</v>
      </c>
      <c r="CR1207" s="34" t="n">
        <v>46041</v>
      </c>
    </row>
    <row r="1208">
      <c r="A1208" s="34" t="n">
        <v>46042</v>
      </c>
      <c r="B1208" s="266" t="n">
        <v>1.118687987327576</v>
      </c>
      <c r="C1208" s="34" t="n">
        <v>46042</v>
      </c>
      <c r="D1208" s="15" t="n">
        <v>24.9</v>
      </c>
      <c r="E1208" s="15" t="n">
        <v>40.25</v>
      </c>
      <c r="F1208" s="34" t="n">
        <v>46042</v>
      </c>
      <c r="G1208" s="15" t="n">
        <v>84</v>
      </c>
      <c r="H1208" s="15" t="n">
        <v>103.2</v>
      </c>
      <c r="I1208" s="34" t="n">
        <v>46042</v>
      </c>
      <c r="J1208" s="15" t="n">
        <v>21.98</v>
      </c>
      <c r="K1208" s="15" t="n">
        <v>37.39</v>
      </c>
      <c r="L1208" s="34" t="n">
        <v>46042</v>
      </c>
      <c r="M1208" s="15" t="n">
        <v>54.4</v>
      </c>
      <c r="N1208" s="15" t="n">
        <v>59.49</v>
      </c>
      <c r="O1208" s="34" t="n">
        <v>46042</v>
      </c>
      <c r="P1208" s="15" t="n">
        <v>90.65000000000001</v>
      </c>
      <c r="Q1208" s="15" t="n">
        <v>96.09</v>
      </c>
      <c r="R1208" s="34" t="n">
        <v>46042</v>
      </c>
      <c r="S1208" s="15" t="n">
        <v>37.8</v>
      </c>
      <c r="T1208" s="15" t="n">
        <v>63.22</v>
      </c>
      <c r="U1208" s="34" t="n">
        <v>46042</v>
      </c>
      <c r="V1208" s="15" t="n">
        <v>28.36</v>
      </c>
      <c r="W1208" s="15" t="n">
        <v>32.56</v>
      </c>
      <c r="X1208" s="34" t="n">
        <v>46042</v>
      </c>
      <c r="Y1208" s="15" t="n">
        <v>87.09999999999999</v>
      </c>
      <c r="Z1208" s="15" t="n">
        <v>79</v>
      </c>
      <c r="AA1208" s="34" t="n">
        <v>46042</v>
      </c>
      <c r="AB1208" s="15" t="n">
        <v>12.83</v>
      </c>
      <c r="AC1208" s="15" t="n">
        <v>19.24</v>
      </c>
      <c r="AD1208" s="34" t="n">
        <v>46042</v>
      </c>
      <c r="AE1208" s="15" t="n">
        <v>37.1</v>
      </c>
      <c r="AF1208" s="15" t="n">
        <v>39.8</v>
      </c>
      <c r="AG1208" s="34" t="n">
        <v>46042</v>
      </c>
      <c r="AH1208" s="15" t="n">
        <v>33.94</v>
      </c>
      <c r="AI1208" s="15" t="n">
        <v>34.96</v>
      </c>
      <c r="AJ1208" s="34" t="n">
        <v>46042</v>
      </c>
      <c r="AK1208" s="15" t="n">
        <v>22.24</v>
      </c>
      <c r="AL1208" s="15" t="n">
        <v>84.25</v>
      </c>
      <c r="AM1208" s="34" t="n">
        <v>46042</v>
      </c>
      <c r="AN1208" s="15" t="n">
        <v>479.6</v>
      </c>
      <c r="AO1208" s="15" t="n">
        <v>349.6</v>
      </c>
      <c r="AP1208" s="34" t="n">
        <v>46042</v>
      </c>
      <c r="AQ1208" s="15" t="n">
        <v>73.55</v>
      </c>
      <c r="AR1208" s="15" t="n">
        <v>60.5</v>
      </c>
      <c r="AS1208" s="34" t="n">
        <v>46042</v>
      </c>
      <c r="AT1208" s="15" t="n">
        <v>14.55</v>
      </c>
      <c r="AU1208" s="15" t="n">
        <v>19.81</v>
      </c>
      <c r="AV1208" s="34" t="n">
        <v>46042</v>
      </c>
      <c r="AW1208" s="15" t="n">
        <v>33.1</v>
      </c>
      <c r="AX1208" s="15" t="n">
        <v>36.88</v>
      </c>
      <c r="AY1208" s="34" t="n">
        <v>46042</v>
      </c>
      <c r="AZ1208" s="15" t="n">
        <v>37.54</v>
      </c>
      <c r="BA1208" s="15" t="n">
        <v>57.87</v>
      </c>
      <c r="BB1208" s="34" t="n">
        <v>46042</v>
      </c>
      <c r="BC1208" s="15" t="n">
        <v>77.65000000000001</v>
      </c>
      <c r="BD1208" s="15" t="n">
        <v>90.51000000000001</v>
      </c>
      <c r="BE1208" s="34" t="n">
        <v>46042</v>
      </c>
      <c r="BF1208" s="15" t="n">
        <v>135.1</v>
      </c>
      <c r="BG1208" s="15" t="n">
        <v>228.89</v>
      </c>
      <c r="BH1208" s="34" t="n">
        <v>46042</v>
      </c>
      <c r="BI1208" s="15" t="n">
        <v>28.9</v>
      </c>
      <c r="BJ1208" s="15" t="n">
        <v>38.38</v>
      </c>
      <c r="BK1208" s="34" t="n">
        <v>46042</v>
      </c>
      <c r="BL1208" s="15" t="n">
        <v>67.09999999999999</v>
      </c>
      <c r="BM1208" s="15" t="n">
        <v>109.6</v>
      </c>
      <c r="BN1208" s="34" t="n">
        <v>46042</v>
      </c>
      <c r="BO1208" s="15" t="n">
        <v>15.85</v>
      </c>
      <c r="BP1208" s="15" t="n">
        <v>31.14</v>
      </c>
      <c r="BQ1208" s="34" t="n">
        <v>46042</v>
      </c>
      <c r="BR1208" s="15" t="n">
        <v>23.22</v>
      </c>
      <c r="BS1208" s="15" t="n">
        <v>22.55</v>
      </c>
      <c r="BT1208" s="34" t="n">
        <v>46042</v>
      </c>
      <c r="BU1208" s="15" t="n">
        <v>77.7</v>
      </c>
      <c r="BV1208" s="15" t="n">
        <v>107.3</v>
      </c>
      <c r="BW1208" s="34" t="n">
        <v>46042</v>
      </c>
      <c r="BX1208" s="15" t="n">
        <v>107</v>
      </c>
      <c r="BY1208" s="15" t="n">
        <v>119.18</v>
      </c>
      <c r="BZ1208" s="34" t="n">
        <v>46042</v>
      </c>
      <c r="CA1208" s="15" t="n">
        <v>18.31</v>
      </c>
      <c r="CB1208" s="15" t="n">
        <v>30.38</v>
      </c>
      <c r="CC1208" s="34" t="n">
        <v>46042</v>
      </c>
      <c r="CD1208" s="15" t="n">
        <v>36.1</v>
      </c>
      <c r="CE1208" s="15" t="n">
        <v>52.99</v>
      </c>
      <c r="CF1208" s="34" t="n">
        <v>46042</v>
      </c>
      <c r="CG1208" s="15" t="n">
        <v>138</v>
      </c>
      <c r="CH1208" s="15" t="n">
        <v>174.45</v>
      </c>
      <c r="CI1208" s="34" t="n">
        <v>46042</v>
      </c>
      <c r="CJ1208" s="15" t="n">
        <v>11.04</v>
      </c>
      <c r="CK1208" s="15" t="n">
        <v>18.69</v>
      </c>
      <c r="CL1208" s="34" t="n">
        <v>46042</v>
      </c>
      <c r="CM1208" s="15" t="n">
        <v>114.4</v>
      </c>
      <c r="CN1208" s="15" t="n">
        <v>128.99</v>
      </c>
      <c r="CO1208" s="34" t="n">
        <v>46042</v>
      </c>
      <c r="CP1208" s="15" t="n">
        <v>306</v>
      </c>
      <c r="CQ1208" s="15" t="n">
        <v>292</v>
      </c>
      <c r="CR1208" s="34" t="n">
        <v>46042</v>
      </c>
    </row>
    <row r="1209">
      <c r="A1209" s="34" t="n">
        <v>46043</v>
      </c>
      <c r="B1209" s="266" t="n">
        <v>1.12024998664856</v>
      </c>
      <c r="C1209" s="34" t="n">
        <v>46043</v>
      </c>
      <c r="D1209" s="15" t="n">
        <v>25.16</v>
      </c>
      <c r="E1209" s="15" t="n">
        <v>40.7</v>
      </c>
      <c r="F1209" s="34" t="n">
        <v>46043</v>
      </c>
      <c r="G1209" s="15" t="n">
        <v>84.75</v>
      </c>
      <c r="H1209" s="15" t="n">
        <v>103.8</v>
      </c>
      <c r="I1209" s="34" t="n">
        <v>46043</v>
      </c>
      <c r="J1209" s="15" t="n">
        <v>22.32</v>
      </c>
      <c r="K1209" s="15" t="n">
        <v>37.71</v>
      </c>
      <c r="L1209" s="34" t="n">
        <v>46043</v>
      </c>
      <c r="M1209" s="15" t="n">
        <v>57</v>
      </c>
      <c r="N1209" s="15" t="n">
        <v>61.43</v>
      </c>
      <c r="O1209" s="34" t="n">
        <v>46043</v>
      </c>
      <c r="P1209" s="15" t="n">
        <v>91.09999999999999</v>
      </c>
      <c r="Q1209" s="15" t="n">
        <v>95.09</v>
      </c>
      <c r="R1209" s="34" t="n">
        <v>46043</v>
      </c>
      <c r="S1209" s="15" t="n">
        <v>39.9</v>
      </c>
      <c r="T1209" s="15" t="n">
        <v>65.26000000000001</v>
      </c>
      <c r="U1209" s="34" t="n">
        <v>46043</v>
      </c>
      <c r="V1209" s="15" t="n">
        <v>28.1</v>
      </c>
      <c r="W1209" s="15" t="n">
        <v>32.99</v>
      </c>
      <c r="X1209" s="34" t="n">
        <v>46043</v>
      </c>
      <c r="Y1209" s="15" t="n">
        <v>87.40000000000001</v>
      </c>
      <c r="Z1209" s="15" t="n">
        <v>77.78</v>
      </c>
      <c r="AA1209" s="34" t="n">
        <v>46043</v>
      </c>
      <c r="AB1209" s="15" t="n">
        <v>12.92</v>
      </c>
      <c r="AC1209" s="15" t="n">
        <v>19.38</v>
      </c>
      <c r="AD1209" s="34" t="n">
        <v>46043</v>
      </c>
      <c r="AE1209" s="15" t="n">
        <v>37.18</v>
      </c>
      <c r="AF1209" s="15" t="n">
        <v>39.5</v>
      </c>
      <c r="AG1209" s="34" t="n">
        <v>46043</v>
      </c>
      <c r="AH1209" s="15" t="n">
        <v>37.02</v>
      </c>
      <c r="AI1209" s="15" t="n">
        <v>38.39</v>
      </c>
      <c r="AJ1209" s="34" t="n">
        <v>46043</v>
      </c>
      <c r="AK1209" s="15" t="n">
        <v>22.24</v>
      </c>
      <c r="AL1209" s="15" t="n">
        <v>82.18000000000001</v>
      </c>
      <c r="AM1209" s="34" t="n">
        <v>46043</v>
      </c>
      <c r="AN1209" s="15" t="n">
        <v>486</v>
      </c>
      <c r="AO1209" s="15" t="n">
        <v>349.81</v>
      </c>
      <c r="AP1209" s="34" t="n">
        <v>46043</v>
      </c>
      <c r="AQ1209" s="15" t="n">
        <v>73.84999999999999</v>
      </c>
      <c r="AR1209" s="15" t="n">
        <v>60.1</v>
      </c>
      <c r="AS1209" s="34" t="n">
        <v>46043</v>
      </c>
      <c r="AT1209" s="15" t="n">
        <v>14.79</v>
      </c>
      <c r="AU1209" s="15" t="n">
        <v>19.51</v>
      </c>
      <c r="AV1209" s="34" t="n">
        <v>46043</v>
      </c>
      <c r="AW1209" s="15" t="n">
        <v>32.92</v>
      </c>
      <c r="AX1209" s="15" t="n">
        <v>36.5</v>
      </c>
      <c r="AY1209" s="34" t="n">
        <v>46043</v>
      </c>
      <c r="AZ1209" s="15" t="n">
        <v>38.22</v>
      </c>
      <c r="BA1209" s="15" t="n">
        <v>57.95</v>
      </c>
      <c r="BB1209" s="34" t="n">
        <v>46043</v>
      </c>
      <c r="BC1209" s="15" t="n">
        <v>76.90000000000001</v>
      </c>
      <c r="BD1209" s="15" t="n">
        <v>89</v>
      </c>
      <c r="BE1209" s="34" t="n">
        <v>46043</v>
      </c>
      <c r="BF1209" s="15" t="n">
        <v>137</v>
      </c>
      <c r="BG1209" s="15" t="n">
        <v>228.47</v>
      </c>
      <c r="BH1209" s="34" t="n">
        <v>46043</v>
      </c>
      <c r="BI1209" s="15" t="n">
        <v>29.32</v>
      </c>
      <c r="BJ1209" s="15" t="n">
        <v>37.75</v>
      </c>
      <c r="BK1209" s="34" t="n">
        <v>46043</v>
      </c>
      <c r="BL1209" s="15" t="n">
        <v>69.75</v>
      </c>
      <c r="BM1209" s="15" t="n">
        <v>114.64</v>
      </c>
      <c r="BN1209" s="34" t="n">
        <v>46043</v>
      </c>
      <c r="BO1209" s="15" t="n">
        <v>15.7</v>
      </c>
      <c r="BP1209" s="15" t="n">
        <v>31.35</v>
      </c>
      <c r="BQ1209" s="34" t="n">
        <v>46043</v>
      </c>
      <c r="BR1209" s="15" t="n">
        <v>23.56</v>
      </c>
      <c r="BS1209" s="15" t="n">
        <v>22.58</v>
      </c>
      <c r="BT1209" s="34" t="n">
        <v>46043</v>
      </c>
      <c r="BU1209" s="15" t="n">
        <v>82.45</v>
      </c>
      <c r="BV1209" s="15" t="n">
        <v>112.93</v>
      </c>
      <c r="BW1209" s="34" t="n">
        <v>46043</v>
      </c>
      <c r="BX1209" s="15" t="n">
        <v>105.4</v>
      </c>
      <c r="BY1209" s="15" t="n">
        <v>118.27</v>
      </c>
      <c r="BZ1209" s="34" t="n">
        <v>46043</v>
      </c>
      <c r="CA1209" s="15" t="n">
        <v>18.42</v>
      </c>
      <c r="CB1209" s="15" t="n">
        <v>30.83</v>
      </c>
      <c r="CC1209" s="34" t="n">
        <v>46043</v>
      </c>
      <c r="CD1209" s="15" t="n">
        <v>36.8</v>
      </c>
      <c r="CE1209" s="15" t="n">
        <v>53.91</v>
      </c>
      <c r="CF1209" s="34" t="n">
        <v>46043</v>
      </c>
      <c r="CG1209" s="15" t="n">
        <v>147.8</v>
      </c>
      <c r="CH1209" s="15" t="n">
        <v>185.22</v>
      </c>
      <c r="CI1209" s="34" t="n">
        <v>46043</v>
      </c>
      <c r="CJ1209" s="15" t="n">
        <v>10.6</v>
      </c>
      <c r="CK1209" s="15" t="n">
        <v>18.42</v>
      </c>
      <c r="CL1209" s="34" t="n">
        <v>46043</v>
      </c>
      <c r="CM1209" s="15" t="n">
        <v>114.1</v>
      </c>
      <c r="CN1209" s="15" t="n">
        <v>130.42</v>
      </c>
      <c r="CO1209" s="34" t="n">
        <v>46043</v>
      </c>
      <c r="CP1209" s="15" t="n">
        <v>324.8</v>
      </c>
      <c r="CQ1209" s="15" t="n">
        <v>307.65</v>
      </c>
      <c r="CR1209" s="34" t="n">
        <v>46043</v>
      </c>
    </row>
    <row r="1210">
      <c r="A1210" s="34" t="n">
        <v>46044</v>
      </c>
      <c r="B1210" s="266" t="n">
        <v>1.11942195892334</v>
      </c>
      <c r="C1210" s="34" t="n">
        <v>46044</v>
      </c>
      <c r="D1210" s="15" t="n">
        <v>24.5</v>
      </c>
      <c r="E1210" s="15" t="n">
        <v>39.78</v>
      </c>
      <c r="F1210" s="34" t="n">
        <v>46044</v>
      </c>
      <c r="G1210" s="15" t="n">
        <v>84.40000000000001</v>
      </c>
      <c r="H1210" s="15" t="n">
        <v>102.86</v>
      </c>
      <c r="I1210" s="34" t="n">
        <v>46044</v>
      </c>
      <c r="J1210" s="15" t="n">
        <v>22.54</v>
      </c>
      <c r="K1210" s="15" t="n">
        <v>37.81</v>
      </c>
      <c r="L1210" s="34" t="n">
        <v>46044</v>
      </c>
      <c r="M1210" s="15" t="n">
        <v>55.55</v>
      </c>
      <c r="N1210" s="15" t="n">
        <v>60.65</v>
      </c>
      <c r="O1210" s="34" t="n">
        <v>46044</v>
      </c>
      <c r="P1210" s="15" t="n">
        <v>89.55</v>
      </c>
      <c r="Q1210" s="15" t="n">
        <v>93.61</v>
      </c>
      <c r="R1210" s="34" t="n">
        <v>46044</v>
      </c>
      <c r="S1210" s="15" t="n">
        <v>40.14</v>
      </c>
      <c r="T1210" s="15" t="n">
        <v>66.15000000000001</v>
      </c>
      <c r="U1210" s="34" t="n">
        <v>46044</v>
      </c>
      <c r="V1210" s="15" t="n">
        <v>28.4</v>
      </c>
      <c r="W1210" s="15" t="n">
        <v>32.82</v>
      </c>
      <c r="X1210" s="34" t="n">
        <v>46044</v>
      </c>
      <c r="Y1210" s="15" t="n">
        <v>85.7</v>
      </c>
      <c r="Z1210" s="15" t="n">
        <v>77.48999999999999</v>
      </c>
      <c r="AA1210" s="34" t="n">
        <v>46044</v>
      </c>
      <c r="AB1210" s="15" t="n">
        <v>12.74</v>
      </c>
      <c r="AC1210" s="15" t="n">
        <v>19.21</v>
      </c>
      <c r="AD1210" s="34" t="n">
        <v>46044</v>
      </c>
      <c r="AE1210" s="15" t="n">
        <v>36.8</v>
      </c>
      <c r="AF1210" s="15" t="n">
        <v>39.67</v>
      </c>
      <c r="AG1210" s="34" t="n">
        <v>46044</v>
      </c>
      <c r="AH1210" s="15" t="n">
        <v>36.92</v>
      </c>
      <c r="AI1210" s="15" t="n">
        <v>37.33</v>
      </c>
      <c r="AJ1210" s="34" t="n">
        <v>46044</v>
      </c>
      <c r="AK1210" s="15" t="n">
        <v>25.76</v>
      </c>
      <c r="AL1210" s="15" t="n">
        <v>90.40000000000001</v>
      </c>
      <c r="AM1210" s="34" t="n">
        <v>46044</v>
      </c>
      <c r="AN1210" s="15" t="n">
        <v>472.2</v>
      </c>
      <c r="AO1210" s="15" t="n">
        <v>345.8</v>
      </c>
      <c r="AP1210" s="34" t="n">
        <v>46044</v>
      </c>
      <c r="AQ1210" s="15" t="n">
        <v>73.75</v>
      </c>
      <c r="AR1210" s="15" t="n">
        <v>59.44</v>
      </c>
      <c r="AS1210" s="34" t="n">
        <v>46044</v>
      </c>
      <c r="AT1210" s="15" t="n">
        <v>15.34</v>
      </c>
      <c r="AU1210" s="15" t="n">
        <v>19.78</v>
      </c>
      <c r="AV1210" s="34" t="n">
        <v>46044</v>
      </c>
      <c r="AW1210" s="15" t="n">
        <v>32.42</v>
      </c>
      <c r="AX1210" s="15" t="n">
        <v>36.14</v>
      </c>
      <c r="AY1210" s="34" t="n">
        <v>46044</v>
      </c>
      <c r="AZ1210" s="15" t="n">
        <v>37.46</v>
      </c>
      <c r="BA1210" s="15" t="n">
        <v>56.03</v>
      </c>
      <c r="BB1210" s="34" t="n">
        <v>46044</v>
      </c>
      <c r="BC1210" s="15" t="n">
        <v>77.5</v>
      </c>
      <c r="BD1210" s="15" t="n">
        <v>89.34</v>
      </c>
      <c r="BE1210" s="34" t="n">
        <v>46044</v>
      </c>
      <c r="BF1210" s="15" t="n">
        <v>137</v>
      </c>
      <c r="BG1210" s="15" t="n">
        <v>222</v>
      </c>
      <c r="BH1210" s="34" t="n">
        <v>46044</v>
      </c>
      <c r="BI1210" s="15" t="n">
        <v>29.06</v>
      </c>
      <c r="BJ1210" s="15" t="n">
        <v>37.06</v>
      </c>
      <c r="BK1210" s="34" t="n">
        <v>46044</v>
      </c>
      <c r="BL1210" s="15" t="n">
        <v>66.59999999999999</v>
      </c>
      <c r="BM1210" s="15" t="n">
        <v>111.58</v>
      </c>
      <c r="BN1210" s="34" t="n">
        <v>46044</v>
      </c>
      <c r="BO1210" s="15" t="n">
        <v>15.85</v>
      </c>
      <c r="BP1210" s="15" t="n">
        <v>31.24</v>
      </c>
      <c r="BQ1210" s="34" t="n">
        <v>46044</v>
      </c>
      <c r="BR1210" s="15" t="n">
        <v>24.3</v>
      </c>
      <c r="BS1210" s="15" t="n">
        <v>22.61</v>
      </c>
      <c r="BT1210" s="34" t="n">
        <v>46044</v>
      </c>
      <c r="BU1210" s="15" t="n">
        <v>82.25</v>
      </c>
      <c r="BV1210" s="15" t="n">
        <v>112.84</v>
      </c>
      <c r="BW1210" s="34" t="n">
        <v>46044</v>
      </c>
      <c r="BX1210" s="15" t="n">
        <v>102.5</v>
      </c>
      <c r="BY1210" s="15" t="n">
        <v>115.12</v>
      </c>
      <c r="BZ1210" s="34" t="n">
        <v>46044</v>
      </c>
      <c r="CA1210" s="15" t="n">
        <v>18.19</v>
      </c>
      <c r="CB1210" s="15" t="n">
        <v>30.26</v>
      </c>
      <c r="CC1210" s="34" t="n">
        <v>46044</v>
      </c>
      <c r="CD1210" s="15" t="n">
        <v>35.98</v>
      </c>
      <c r="CE1210" s="15" t="n">
        <v>53.36</v>
      </c>
      <c r="CF1210" s="34" t="n">
        <v>46044</v>
      </c>
      <c r="CG1210" s="15" t="n">
        <v>136.1</v>
      </c>
      <c r="CH1210" s="15" t="n">
        <v>185.82</v>
      </c>
      <c r="CI1210" s="34" t="n">
        <v>46044</v>
      </c>
      <c r="CJ1210" s="15" t="n">
        <v>10.63</v>
      </c>
      <c r="CK1210" s="15" t="n">
        <v>18.47</v>
      </c>
      <c r="CL1210" s="34" t="n">
        <v>46044</v>
      </c>
      <c r="CM1210" s="15" t="n">
        <v>111.6</v>
      </c>
      <c r="CN1210" s="15" t="n">
        <v>128.84</v>
      </c>
      <c r="CO1210" s="34" t="n">
        <v>46044</v>
      </c>
      <c r="CP1210" s="15" t="n">
        <v>298</v>
      </c>
      <c r="CQ1210" s="15" t="n">
        <v>301.47</v>
      </c>
      <c r="CR1210" s="34" t="n">
        <v>46044</v>
      </c>
      <c r="CS1210" s="15" t="n">
        <v>32.1</v>
      </c>
      <c r="CT1210" s="15" t="n">
        <v>48.16</v>
      </c>
      <c r="CU1210" s="34" t="n">
        <v>46044</v>
      </c>
    </row>
    <row r="1211">
      <c r="A1211" s="34" t="n">
        <v>46045</v>
      </c>
      <c r="B1211" s="266" t="n">
        <v>1.117977976799011</v>
      </c>
      <c r="C1211" s="34" t="n">
        <v>46045</v>
      </c>
      <c r="D1211" s="15" t="n">
        <v>25.66</v>
      </c>
      <c r="E1211" s="15" t="n">
        <v>41.07</v>
      </c>
      <c r="F1211" s="34" t="n">
        <v>46045</v>
      </c>
      <c r="G1211" s="15" t="n">
        <v>85.59999999999999</v>
      </c>
      <c r="H1211" s="15" t="n">
        <v>104.3</v>
      </c>
      <c r="I1211" s="34" t="n">
        <v>46045</v>
      </c>
      <c r="J1211" s="15" t="n">
        <v>23.64</v>
      </c>
      <c r="K1211" s="15" t="n">
        <v>38.88</v>
      </c>
      <c r="L1211" s="34" t="n">
        <v>46045</v>
      </c>
      <c r="M1211" s="15" t="n">
        <v>58</v>
      </c>
      <c r="N1211" s="15" t="n">
        <v>62.8</v>
      </c>
      <c r="O1211" s="34" t="n">
        <v>46045</v>
      </c>
      <c r="P1211" s="15" t="n">
        <v>91.59999999999999</v>
      </c>
      <c r="Q1211" s="15" t="n">
        <v>93.31999999999999</v>
      </c>
      <c r="R1211" s="34" t="n">
        <v>46045</v>
      </c>
      <c r="S1211" s="15" t="n">
        <v>43.98</v>
      </c>
      <c r="T1211" s="15" t="n">
        <v>69.88</v>
      </c>
      <c r="U1211" s="34" t="n">
        <v>46045</v>
      </c>
      <c r="V1211" s="15" t="n">
        <v>29.56</v>
      </c>
      <c r="W1211" s="15" t="n">
        <v>34.78</v>
      </c>
      <c r="X1211" s="34" t="n">
        <v>46045</v>
      </c>
      <c r="Y1211" s="15" t="n">
        <v>85.3</v>
      </c>
      <c r="Z1211" s="15" t="n">
        <v>76.78</v>
      </c>
      <c r="AA1211" s="34" t="n">
        <v>46045</v>
      </c>
      <c r="AB1211" s="15" t="n">
        <v>12.97</v>
      </c>
      <c r="AC1211" s="15" t="n">
        <v>19.87</v>
      </c>
      <c r="AD1211" s="34" t="n">
        <v>46045</v>
      </c>
      <c r="AE1211" s="15" t="n">
        <v>36.78</v>
      </c>
      <c r="AF1211" s="15" t="n">
        <v>39.15</v>
      </c>
      <c r="AG1211" s="34" t="n">
        <v>46045</v>
      </c>
      <c r="AH1211" s="15" t="n">
        <v>39.8</v>
      </c>
      <c r="AI1211" s="15" t="n">
        <v>38.82</v>
      </c>
      <c r="AJ1211" s="34" t="n">
        <v>46045</v>
      </c>
      <c r="AK1211" s="15" t="n">
        <v>39</v>
      </c>
      <c r="AL1211" s="15" t="n">
        <v>99.44</v>
      </c>
      <c r="AM1211" s="34" t="n">
        <v>46045</v>
      </c>
      <c r="AN1211" s="15" t="n">
        <v>471.4</v>
      </c>
      <c r="AO1211" s="15" t="n">
        <v>347</v>
      </c>
      <c r="AP1211" s="34" t="n">
        <v>46045</v>
      </c>
      <c r="AQ1211" s="15" t="n">
        <v>73.25</v>
      </c>
      <c r="AR1211" s="15" t="n">
        <v>58.99</v>
      </c>
      <c r="AS1211" s="34" t="n">
        <v>46045</v>
      </c>
      <c r="AT1211" s="15" t="n">
        <v>15.9</v>
      </c>
      <c r="AU1211" s="15" t="n">
        <v>20.4</v>
      </c>
      <c r="AV1211" s="34" t="n">
        <v>46045</v>
      </c>
      <c r="AW1211" s="15" t="n">
        <v>32.24</v>
      </c>
      <c r="AX1211" s="15" t="n">
        <v>35.84</v>
      </c>
      <c r="AY1211" s="34" t="n">
        <v>46045</v>
      </c>
      <c r="AZ1211" s="15" t="n">
        <v>36.4</v>
      </c>
      <c r="BA1211" s="15" t="n">
        <v>54.04</v>
      </c>
      <c r="BB1211" s="34" t="n">
        <v>46045</v>
      </c>
      <c r="BC1211" s="15" t="n">
        <v>75.84999999999999</v>
      </c>
      <c r="BD1211" s="15" t="n">
        <v>89.51000000000001</v>
      </c>
      <c r="BE1211" s="34" t="n">
        <v>46045</v>
      </c>
      <c r="BF1211" s="15" t="n">
        <v>137.4</v>
      </c>
      <c r="BG1211" s="15" t="n">
        <v>220.47</v>
      </c>
      <c r="BH1211" s="34" t="n">
        <v>46045</v>
      </c>
      <c r="BI1211" s="15" t="n">
        <v>31.78</v>
      </c>
      <c r="BJ1211" s="15" t="n">
        <v>42.6</v>
      </c>
      <c r="BK1211" s="34" t="n">
        <v>46045</v>
      </c>
      <c r="BL1211" s="15" t="n">
        <v>67.34999999999999</v>
      </c>
      <c r="BM1211" s="15" t="n">
        <v>111.9</v>
      </c>
      <c r="BN1211" s="34" t="n">
        <v>46045</v>
      </c>
      <c r="BO1211" s="15" t="n">
        <v>16.15</v>
      </c>
      <c r="BP1211" s="15" t="n">
        <v>31.87</v>
      </c>
      <c r="BQ1211" s="34" t="n">
        <v>46045</v>
      </c>
      <c r="BR1211" s="15" t="n">
        <v>25.66</v>
      </c>
      <c r="BS1211" s="15" t="n">
        <v>22.98</v>
      </c>
      <c r="BT1211" s="34" t="n">
        <v>46045</v>
      </c>
      <c r="BU1211" s="15" t="n">
        <v>80.34999999999999</v>
      </c>
      <c r="BV1211" s="15" t="n">
        <v>109.38</v>
      </c>
      <c r="BW1211" s="34" t="n">
        <v>46045</v>
      </c>
      <c r="BX1211" s="15" t="n">
        <v>104.5</v>
      </c>
      <c r="BY1211" s="15" t="n">
        <v>118</v>
      </c>
      <c r="BZ1211" s="34" t="n">
        <v>46045</v>
      </c>
      <c r="CA1211" s="15" t="n">
        <v>19.07</v>
      </c>
      <c r="CB1211" s="15" t="n">
        <v>31.25</v>
      </c>
      <c r="CC1211" s="34" t="n">
        <v>46045</v>
      </c>
      <c r="CD1211" s="15" t="n">
        <v>38.2</v>
      </c>
      <c r="CE1211" s="15" t="n">
        <v>57.89</v>
      </c>
      <c r="CF1211" s="34" t="n">
        <v>46045</v>
      </c>
      <c r="CG1211" s="15" t="n">
        <v>139.7</v>
      </c>
      <c r="CH1211" s="15" t="n">
        <v>190.37</v>
      </c>
      <c r="CI1211" s="34" t="n">
        <v>46045</v>
      </c>
      <c r="CJ1211" s="15" t="n">
        <v>10.47</v>
      </c>
      <c r="CK1211" s="15" t="n">
        <v>18.63</v>
      </c>
      <c r="CL1211" s="34" t="n">
        <v>46045</v>
      </c>
      <c r="CM1211" s="15" t="n">
        <v>113.4</v>
      </c>
      <c r="CN1211" s="15" t="n">
        <v>129.4</v>
      </c>
      <c r="CO1211" s="34" t="n">
        <v>46045</v>
      </c>
      <c r="CP1211" s="15" t="n">
        <v>315.8</v>
      </c>
      <c r="CQ1211" s="15" t="n">
        <v>297.25</v>
      </c>
      <c r="CR1211" s="34" t="n">
        <v>46045</v>
      </c>
      <c r="CS1211" s="15" t="n">
        <v>31.1</v>
      </c>
      <c r="CT1211" s="15" t="n">
        <v>49.42</v>
      </c>
      <c r="CU1211" s="34" t="n">
        <v>46045</v>
      </c>
    </row>
    <row r="1212">
      <c r="A1212" s="34" t="n">
        <v>46048</v>
      </c>
      <c r="B1212" s="266" t="n">
        <v>1.117916941642761</v>
      </c>
      <c r="C1212" s="34" t="n">
        <v>46048</v>
      </c>
      <c r="D1212" s="15" t="n">
        <v>25.74</v>
      </c>
      <c r="E1212" s="15" t="n">
        <v>41.39</v>
      </c>
      <c r="F1212" s="34" t="n">
        <v>46048</v>
      </c>
      <c r="G1212" s="15" t="n">
        <v>83.5</v>
      </c>
      <c r="H1212" s="15" t="n">
        <v>101.33</v>
      </c>
      <c r="I1212" s="34" t="n">
        <v>46048</v>
      </c>
      <c r="J1212" s="15" t="n">
        <v>23.18</v>
      </c>
      <c r="K1212" s="15" t="n">
        <v>38.83</v>
      </c>
      <c r="L1212" s="34" t="n">
        <v>46048</v>
      </c>
      <c r="M1212" s="15" t="n">
        <v>57.35</v>
      </c>
      <c r="N1212" s="15" t="n">
        <v>61.71</v>
      </c>
      <c r="O1212" s="34" t="n">
        <v>46048</v>
      </c>
      <c r="P1212" s="15" t="n">
        <v>92.75</v>
      </c>
      <c r="Q1212" s="15" t="n">
        <v>92.66</v>
      </c>
      <c r="R1212" s="34" t="n">
        <v>46048</v>
      </c>
      <c r="S1212" s="15" t="n">
        <v>42.8</v>
      </c>
      <c r="T1212" s="15" t="n">
        <v>68.7</v>
      </c>
      <c r="U1212" s="34" t="n">
        <v>46048</v>
      </c>
      <c r="V1212" s="15" t="n">
        <v>28.1</v>
      </c>
      <c r="W1212" s="15" t="n">
        <v>33.49</v>
      </c>
      <c r="X1212" s="34" t="n">
        <v>46048</v>
      </c>
      <c r="Y1212" s="15" t="n">
        <v>85.3</v>
      </c>
      <c r="Z1212" s="15" t="n">
        <v>76.34999999999999</v>
      </c>
      <c r="AA1212" s="34" t="n">
        <v>46048</v>
      </c>
      <c r="AB1212" s="15" t="n">
        <v>12.78</v>
      </c>
      <c r="AC1212" s="15" t="n">
        <v>19.3</v>
      </c>
      <c r="AD1212" s="34" t="n">
        <v>46048</v>
      </c>
      <c r="AE1212" s="15" t="n">
        <v>36.4</v>
      </c>
      <c r="AF1212" s="15" t="n">
        <v>38.75</v>
      </c>
      <c r="AG1212" s="34" t="n">
        <v>46048</v>
      </c>
      <c r="AH1212" s="15" t="n">
        <v>42.76</v>
      </c>
      <c r="AI1212" s="15" t="n">
        <v>42.69</v>
      </c>
      <c r="AJ1212" s="34" t="n">
        <v>46048</v>
      </c>
      <c r="AK1212" s="15" t="n">
        <v>36.44</v>
      </c>
      <c r="AL1212" s="15" t="n">
        <v>107.4</v>
      </c>
      <c r="AM1212" s="34" t="n">
        <v>46048</v>
      </c>
      <c r="AN1212" s="15" t="n">
        <v>466</v>
      </c>
      <c r="AO1212" s="15" t="n">
        <v>342.05</v>
      </c>
      <c r="AP1212" s="34" t="n">
        <v>46048</v>
      </c>
      <c r="AQ1212" s="15" t="n">
        <v>71.95</v>
      </c>
      <c r="AR1212" s="15" t="n">
        <v>58.16</v>
      </c>
      <c r="AS1212" s="34" t="n">
        <v>46048</v>
      </c>
      <c r="AT1212" s="15" t="n">
        <v>15.45</v>
      </c>
      <c r="AU1212" s="15" t="n">
        <v>19.49</v>
      </c>
      <c r="AV1212" s="34" t="n">
        <v>46048</v>
      </c>
      <c r="AW1212" s="15" t="n">
        <v>31.72</v>
      </c>
      <c r="AX1212" s="15" t="n">
        <v>35.68</v>
      </c>
      <c r="AY1212" s="34" t="n">
        <v>46048</v>
      </c>
      <c r="AZ1212" s="15" t="n">
        <v>36</v>
      </c>
      <c r="BA1212" s="15" t="n">
        <v>51.94</v>
      </c>
      <c r="BB1212" s="34" t="n">
        <v>46048</v>
      </c>
      <c r="BC1212" s="15" t="n">
        <v>77.05</v>
      </c>
      <c r="BD1212" s="15" t="n">
        <v>89.68000000000001</v>
      </c>
      <c r="BE1212" s="34" t="n">
        <v>46048</v>
      </c>
      <c r="BF1212" s="15" t="n">
        <v>129</v>
      </c>
      <c r="BG1212" s="15" t="n">
        <v>207</v>
      </c>
      <c r="BH1212" s="34" t="n">
        <v>46048</v>
      </c>
      <c r="BI1212" s="15" t="n">
        <v>30.14</v>
      </c>
      <c r="BJ1212" s="15" t="n">
        <v>38.93</v>
      </c>
      <c r="BK1212" s="34" t="n">
        <v>46048</v>
      </c>
      <c r="BL1212" s="15" t="n">
        <v>61.3</v>
      </c>
      <c r="BM1212" s="15" t="n">
        <v>101.27</v>
      </c>
      <c r="BN1212" s="34" t="n">
        <v>46048</v>
      </c>
      <c r="BO1212" s="15" t="n">
        <v>15.34</v>
      </c>
      <c r="BP1212" s="15" t="n">
        <v>29.92</v>
      </c>
      <c r="BQ1212" s="34" t="n">
        <v>46048</v>
      </c>
      <c r="BR1212" s="15" t="n">
        <v>25.02</v>
      </c>
      <c r="BS1212" s="15" t="n">
        <v>23.05</v>
      </c>
      <c r="BT1212" s="34" t="n">
        <v>46048</v>
      </c>
      <c r="BU1212" s="15" t="n">
        <v>80.5</v>
      </c>
      <c r="BV1212" s="15" t="n">
        <v>110.95</v>
      </c>
      <c r="BW1212" s="34" t="n">
        <v>46048</v>
      </c>
      <c r="BX1212" s="15" t="n">
        <v>101.1</v>
      </c>
      <c r="BY1212" s="15" t="n">
        <v>114.6</v>
      </c>
      <c r="BZ1212" s="34" t="n">
        <v>46048</v>
      </c>
      <c r="CA1212" s="15" t="n">
        <v>17.82</v>
      </c>
      <c r="CB1212" s="15" t="n">
        <v>29.68</v>
      </c>
      <c r="CC1212" s="34" t="n">
        <v>46048</v>
      </c>
      <c r="CD1212" s="15" t="n">
        <v>39.74</v>
      </c>
      <c r="CE1212" s="15" t="n">
        <v>57.69</v>
      </c>
      <c r="CF1212" s="34" t="n">
        <v>46048</v>
      </c>
      <c r="CG1212" s="15" t="n">
        <v>133.7</v>
      </c>
      <c r="CH1212" s="15" t="n">
        <v>179.3</v>
      </c>
      <c r="CI1212" s="34" t="n">
        <v>46048</v>
      </c>
      <c r="CJ1212" s="15" t="n">
        <v>11.37</v>
      </c>
      <c r="CK1212" s="15" t="n">
        <v>19.24</v>
      </c>
      <c r="CL1212" s="34" t="n">
        <v>46048</v>
      </c>
      <c r="CM1212" s="15" t="n">
        <v>108.8</v>
      </c>
      <c r="CN1212" s="15" t="n">
        <v>124.62</v>
      </c>
      <c r="CO1212" s="34" t="n">
        <v>46048</v>
      </c>
      <c r="CP1212" s="15" t="n">
        <v>307</v>
      </c>
      <c r="CQ1212" s="15" t="n">
        <v>292.6</v>
      </c>
      <c r="CR1212" s="34" t="n">
        <v>46048</v>
      </c>
      <c r="CS1212" s="15" t="n">
        <v>31</v>
      </c>
      <c r="CT1212" s="15" t="n">
        <v>46.95</v>
      </c>
      <c r="CU1212" s="34" t="n">
        <v>46048</v>
      </c>
    </row>
    <row r="1213">
      <c r="A1213" s="34" t="n">
        <v>46049</v>
      </c>
      <c r="B1213" s="266" t="n">
        <v>1.121191024780273</v>
      </c>
      <c r="C1213" s="34" t="n">
        <v>46049</v>
      </c>
      <c r="D1213" s="15" t="n">
        <v>23.96</v>
      </c>
      <c r="E1213" s="15" t="n">
        <v>38.64</v>
      </c>
      <c r="F1213" s="34" t="n">
        <v>46049</v>
      </c>
      <c r="G1213" s="15" t="n">
        <v>81.59999999999999</v>
      </c>
      <c r="H1213" s="15" t="n">
        <v>99.98</v>
      </c>
      <c r="I1213" s="34" t="n">
        <v>46049</v>
      </c>
      <c r="J1213" s="15" t="n">
        <v>22.44</v>
      </c>
      <c r="K1213" s="15" t="n">
        <v>38.06</v>
      </c>
      <c r="L1213" s="34" t="n">
        <v>46049</v>
      </c>
      <c r="M1213" s="15" t="n">
        <v>57.25</v>
      </c>
      <c r="N1213" s="15" t="n">
        <v>61</v>
      </c>
      <c r="O1213" s="34" t="n">
        <v>46049</v>
      </c>
      <c r="P1213" s="15" t="n">
        <v>90.09999999999999</v>
      </c>
      <c r="Q1213" s="15" t="n">
        <v>90.8</v>
      </c>
      <c r="R1213" s="34" t="n">
        <v>46049</v>
      </c>
      <c r="S1213" s="15" t="n">
        <v>42.98</v>
      </c>
      <c r="T1213" s="15" t="n">
        <v>70.86</v>
      </c>
      <c r="U1213" s="34" t="n">
        <v>46049</v>
      </c>
      <c r="V1213" s="15" t="n">
        <v>25.26</v>
      </c>
      <c r="W1213" s="15" t="n">
        <v>31.67</v>
      </c>
      <c r="X1213" s="34" t="n">
        <v>46049</v>
      </c>
      <c r="Y1213" s="15" t="n">
        <v>84.34999999999999</v>
      </c>
      <c r="Z1213" s="15" t="n">
        <v>76.09999999999999</v>
      </c>
      <c r="AA1213" s="34" t="n">
        <v>46049</v>
      </c>
      <c r="AB1213" s="15" t="n">
        <v>12.58</v>
      </c>
      <c r="AC1213" s="15" t="n">
        <v>18.76</v>
      </c>
      <c r="AD1213" s="34" t="n">
        <v>46049</v>
      </c>
      <c r="AE1213" s="15" t="n">
        <v>35.88</v>
      </c>
      <c r="AF1213" s="15" t="n">
        <v>37.86</v>
      </c>
      <c r="AG1213" s="34" t="n">
        <v>46049</v>
      </c>
      <c r="AH1213" s="15" t="n">
        <v>41.7</v>
      </c>
      <c r="AI1213" s="15" t="n">
        <v>42.6</v>
      </c>
      <c r="AJ1213" s="34" t="n">
        <v>46049</v>
      </c>
      <c r="AK1213" s="15" t="n">
        <v>35.26</v>
      </c>
      <c r="AL1213" s="15" t="n">
        <v>104.12</v>
      </c>
      <c r="AM1213" s="34" t="n">
        <v>46049</v>
      </c>
      <c r="AN1213" s="15" t="n">
        <v>467</v>
      </c>
      <c r="AO1213" s="15" t="n">
        <v>339.4</v>
      </c>
      <c r="AP1213" s="34" t="n">
        <v>46049</v>
      </c>
      <c r="AQ1213" s="15" t="n">
        <v>70.65000000000001</v>
      </c>
      <c r="AR1213" s="15" t="n">
        <v>57.2</v>
      </c>
      <c r="AS1213" s="34" t="n">
        <v>46049</v>
      </c>
      <c r="AT1213" s="15" t="n">
        <v>16.28</v>
      </c>
      <c r="AU1213" s="15" t="n">
        <v>20.15</v>
      </c>
      <c r="AV1213" s="34" t="n">
        <v>46049</v>
      </c>
      <c r="AW1213" s="15" t="n">
        <v>31.48</v>
      </c>
      <c r="AX1213" s="15" t="n">
        <v>35.41</v>
      </c>
      <c r="AY1213" s="34" t="n">
        <v>46049</v>
      </c>
      <c r="AZ1213" s="15" t="n">
        <v>35.72</v>
      </c>
      <c r="BA1213" s="15" t="n">
        <v>52.27</v>
      </c>
      <c r="BB1213" s="34" t="n">
        <v>46049</v>
      </c>
      <c r="BC1213" s="15" t="n">
        <v>75.65000000000001</v>
      </c>
      <c r="BD1213" s="15" t="n">
        <v>87.90000000000001</v>
      </c>
      <c r="BE1213" s="34" t="n">
        <v>46049</v>
      </c>
      <c r="BF1213" s="15" t="n">
        <v>132.2</v>
      </c>
      <c r="BG1213" s="15" t="n">
        <v>205.31</v>
      </c>
      <c r="BH1213" s="34" t="n">
        <v>46049</v>
      </c>
      <c r="BI1213" s="15" t="n">
        <v>30.48</v>
      </c>
      <c r="BJ1213" s="15" t="n">
        <v>38.72</v>
      </c>
      <c r="BK1213" s="34" t="n">
        <v>46049</v>
      </c>
      <c r="BL1213" s="15" t="n">
        <v>59.35</v>
      </c>
      <c r="BM1213" s="15" t="n">
        <v>96.87</v>
      </c>
      <c r="BN1213" s="34" t="n">
        <v>46049</v>
      </c>
      <c r="BO1213" s="15" t="n">
        <v>15.53</v>
      </c>
      <c r="BP1213" s="15" t="n">
        <v>30.33</v>
      </c>
      <c r="BQ1213" s="34" t="n">
        <v>46049</v>
      </c>
      <c r="BR1213" s="15" t="n">
        <v>25.2</v>
      </c>
      <c r="BS1213" s="15" t="n">
        <v>22.83</v>
      </c>
      <c r="BT1213" s="34" t="n">
        <v>46049</v>
      </c>
      <c r="BU1213" s="15" t="n">
        <v>82.15000000000001</v>
      </c>
      <c r="BV1213" s="15" t="n">
        <v>112.4</v>
      </c>
      <c r="BW1213" s="34" t="n">
        <v>46049</v>
      </c>
      <c r="BX1213" s="15" t="n">
        <v>98.65000000000001</v>
      </c>
      <c r="BY1213" s="15" t="n">
        <v>112.58</v>
      </c>
      <c r="BZ1213" s="34" t="n">
        <v>46049</v>
      </c>
      <c r="CA1213" s="15" t="n">
        <v>17.97</v>
      </c>
      <c r="CB1213" s="15" t="n">
        <v>30.04</v>
      </c>
      <c r="CC1213" s="34" t="n">
        <v>46049</v>
      </c>
      <c r="CD1213" s="15" t="n">
        <v>38.48</v>
      </c>
      <c r="CE1213" s="15" t="n">
        <v>56.17</v>
      </c>
      <c r="CF1213" s="34" t="n">
        <v>46049</v>
      </c>
      <c r="CG1213" s="15" t="n">
        <v>141.2</v>
      </c>
      <c r="CH1213" s="15" t="n">
        <v>186.96</v>
      </c>
      <c r="CI1213" s="34" t="n">
        <v>46049</v>
      </c>
      <c r="CJ1213" s="15" t="n">
        <v>11.99</v>
      </c>
      <c r="CK1213" s="15" t="n">
        <v>19.29</v>
      </c>
      <c r="CL1213" s="34" t="n">
        <v>46049</v>
      </c>
      <c r="CM1213" s="15" t="n">
        <v>106.3</v>
      </c>
      <c r="CN1213" s="15" t="n">
        <v>124.86</v>
      </c>
      <c r="CO1213" s="34" t="n">
        <v>46049</v>
      </c>
      <c r="CP1213" s="15" t="n">
        <v>321</v>
      </c>
      <c r="CQ1213" s="15" t="n">
        <v>307.26</v>
      </c>
      <c r="CR1213" s="34" t="n">
        <v>46049</v>
      </c>
      <c r="CS1213" s="15" t="n">
        <v>31</v>
      </c>
      <c r="CT1213" s="15" t="n">
        <v>48.22</v>
      </c>
      <c r="CU1213" s="34" t="n">
        <v>46049</v>
      </c>
    </row>
    <row r="1214">
      <c r="A1214" s="34" t="n">
        <v>46050</v>
      </c>
      <c r="B1214" s="266" t="n">
        <v>1.121533036231995</v>
      </c>
      <c r="C1214" s="34" t="n">
        <v>46050</v>
      </c>
      <c r="D1214" s="15" t="n">
        <v>23.42</v>
      </c>
      <c r="E1214" s="15" t="n">
        <v>37.93</v>
      </c>
      <c r="F1214" s="34" t="n">
        <v>46050</v>
      </c>
      <c r="G1214" s="15" t="n">
        <v>80.25</v>
      </c>
      <c r="H1214" s="15" t="n">
        <v>98.73</v>
      </c>
      <c r="I1214" s="34" t="n">
        <v>46050</v>
      </c>
      <c r="J1214" s="15" t="n">
        <v>22.82</v>
      </c>
      <c r="K1214" s="15" t="n">
        <v>38.95</v>
      </c>
      <c r="L1214" s="34" t="n">
        <v>46050</v>
      </c>
      <c r="M1214" s="15" t="n">
        <v>57</v>
      </c>
      <c r="N1214" s="15" t="n">
        <v>61.11</v>
      </c>
      <c r="O1214" s="34" t="n">
        <v>46050</v>
      </c>
      <c r="P1214" s="15" t="n">
        <v>89.65000000000001</v>
      </c>
      <c r="Q1214" s="15" t="n">
        <v>89.84</v>
      </c>
      <c r="R1214" s="34" t="n">
        <v>46050</v>
      </c>
      <c r="S1214" s="15" t="n">
        <v>47</v>
      </c>
      <c r="T1214" s="15" t="n">
        <v>68.90000000000001</v>
      </c>
      <c r="U1214" s="34" t="n">
        <v>46050</v>
      </c>
      <c r="V1214" s="15" t="n">
        <v>25.02</v>
      </c>
      <c r="W1214" s="15" t="n">
        <v>31.2</v>
      </c>
      <c r="X1214" s="34" t="n">
        <v>46050</v>
      </c>
      <c r="Y1214" s="15" t="n">
        <v>84.3</v>
      </c>
      <c r="Z1214" s="15" t="n">
        <v>75.34</v>
      </c>
      <c r="AA1214" s="34" t="n">
        <v>46050</v>
      </c>
      <c r="AB1214" s="15" t="n">
        <v>12.14</v>
      </c>
      <c r="AC1214" s="15" t="n">
        <v>18.42</v>
      </c>
      <c r="AD1214" s="34" t="n">
        <v>46050</v>
      </c>
      <c r="AE1214" s="15" t="n">
        <v>35.86</v>
      </c>
      <c r="AF1214" s="15" t="n">
        <v>37.68</v>
      </c>
      <c r="AG1214" s="34" t="n">
        <v>46050</v>
      </c>
      <c r="AH1214" s="15" t="n">
        <v>46.14</v>
      </c>
      <c r="AI1214" s="15" t="n">
        <v>46.86</v>
      </c>
      <c r="AJ1214" s="34" t="n">
        <v>46050</v>
      </c>
      <c r="AK1214" s="15" t="n">
        <v>34.7</v>
      </c>
      <c r="AL1214" s="15" t="n">
        <v>98.7</v>
      </c>
      <c r="AM1214" s="34" t="n">
        <v>46050</v>
      </c>
      <c r="AN1214" s="15" t="n">
        <v>475.4</v>
      </c>
      <c r="AO1214" s="15" t="n">
        <v>339.99</v>
      </c>
      <c r="AP1214" s="34" t="n">
        <v>46050</v>
      </c>
      <c r="AQ1214" s="15" t="n">
        <v>69.45</v>
      </c>
      <c r="AR1214" s="15" t="n">
        <v>56.55</v>
      </c>
      <c r="AS1214" s="34" t="n">
        <v>46050</v>
      </c>
      <c r="AT1214" s="15" t="n">
        <v>16.29</v>
      </c>
      <c r="AU1214" s="15" t="n">
        <v>19.69</v>
      </c>
      <c r="AV1214" s="34" t="n">
        <v>46050</v>
      </c>
      <c r="AW1214" s="15" t="n">
        <v>30.82</v>
      </c>
      <c r="AX1214" s="15" t="n">
        <v>34.97</v>
      </c>
      <c r="AY1214" s="34" t="n">
        <v>46050</v>
      </c>
      <c r="AZ1214" s="15" t="n">
        <v>35.24</v>
      </c>
      <c r="BA1214" s="15" t="n">
        <v>51.41</v>
      </c>
      <c r="BB1214" s="34" t="n">
        <v>46050</v>
      </c>
      <c r="BC1214" s="15" t="n">
        <v>77.05</v>
      </c>
      <c r="BD1214" s="15" t="n">
        <v>88.7</v>
      </c>
      <c r="BE1214" s="34" t="n">
        <v>46050</v>
      </c>
      <c r="BF1214" s="15" t="n">
        <v>138.1</v>
      </c>
      <c r="BG1214" s="15" t="n">
        <v>210.9</v>
      </c>
      <c r="BH1214" s="34" t="n">
        <v>46050</v>
      </c>
      <c r="BI1214" s="15" t="n">
        <v>30.62</v>
      </c>
      <c r="BJ1214" s="15" t="n">
        <v>37.92</v>
      </c>
      <c r="BK1214" s="34" t="n">
        <v>46050</v>
      </c>
      <c r="BL1214" s="15" t="n">
        <v>61.5</v>
      </c>
      <c r="BM1214" s="15" t="n">
        <v>95.73999999999999</v>
      </c>
      <c r="BN1214" s="34" t="n">
        <v>46050</v>
      </c>
      <c r="BO1214" s="15" t="n">
        <v>15.37</v>
      </c>
      <c r="BP1214" s="15" t="n">
        <v>29.83</v>
      </c>
      <c r="BQ1214" s="34" t="n">
        <v>46050</v>
      </c>
      <c r="BR1214" s="15" t="n">
        <v>24.96</v>
      </c>
      <c r="BS1214" s="15" t="n">
        <v>22.25</v>
      </c>
      <c r="BT1214" s="34" t="n">
        <v>46050</v>
      </c>
      <c r="BU1214" s="15" t="n">
        <v>83.40000000000001</v>
      </c>
      <c r="BV1214" s="15" t="n">
        <v>112.2</v>
      </c>
      <c r="BW1214" s="34" t="n">
        <v>46050</v>
      </c>
      <c r="BX1214" s="15" t="n">
        <v>97.25</v>
      </c>
      <c r="BY1214" s="15" t="n">
        <v>108.36</v>
      </c>
      <c r="BZ1214" s="34" t="n">
        <v>46050</v>
      </c>
      <c r="CA1214" s="15" t="n">
        <v>17.51</v>
      </c>
      <c r="CB1214" s="15" t="n">
        <v>29.09</v>
      </c>
      <c r="CC1214" s="34" t="n">
        <v>46050</v>
      </c>
      <c r="CD1214" s="15" t="n">
        <v>38.94</v>
      </c>
      <c r="CE1214" s="15" t="n">
        <v>56.54</v>
      </c>
      <c r="CF1214" s="34" t="n">
        <v>46050</v>
      </c>
      <c r="CG1214" s="15" t="n">
        <v>156.7</v>
      </c>
      <c r="CH1214" s="15" t="n">
        <v>196.06</v>
      </c>
      <c r="CI1214" s="34" t="n">
        <v>46050</v>
      </c>
      <c r="CJ1214" s="15" t="n">
        <v>12.01</v>
      </c>
      <c r="CK1214" s="15" t="n">
        <v>18.97</v>
      </c>
      <c r="CL1214" s="34" t="n">
        <v>46050</v>
      </c>
      <c r="CM1214" s="15" t="n">
        <v>106.3</v>
      </c>
      <c r="CN1214" s="15" t="n">
        <v>128.08</v>
      </c>
      <c r="CO1214" s="34" t="n">
        <v>46050</v>
      </c>
      <c r="CP1214" s="15" t="n">
        <v>344.2</v>
      </c>
      <c r="CQ1214" s="15" t="n">
        <v>323.68</v>
      </c>
      <c r="CR1214" s="34" t="n">
        <v>46050</v>
      </c>
      <c r="CS1214" s="15" t="n">
        <v>31</v>
      </c>
      <c r="CT1214" s="15" t="n">
        <v>47.43</v>
      </c>
      <c r="CU1214" s="34" t="n">
        <v>46050</v>
      </c>
    </row>
    <row r="1215">
      <c r="A1215" s="34" t="n">
        <v>46051</v>
      </c>
      <c r="B1215" s="266" t="n">
        <v>1.121621966362</v>
      </c>
      <c r="C1215" s="34" t="n">
        <v>46051</v>
      </c>
      <c r="D1215" s="15" t="n">
        <v>23.3</v>
      </c>
      <c r="E1215" s="15" t="n">
        <v>37.41</v>
      </c>
      <c r="F1215" s="34" t="n">
        <v>46051</v>
      </c>
      <c r="G1215" s="15" t="n">
        <v>81.90000000000001</v>
      </c>
      <c r="H1215" s="15" t="n">
        <v>100.1</v>
      </c>
      <c r="I1215" s="34" t="n">
        <v>46051</v>
      </c>
      <c r="J1215" s="15" t="n">
        <v>23.66</v>
      </c>
      <c r="K1215" s="15" t="n">
        <v>41.16</v>
      </c>
      <c r="L1215" s="34" t="n">
        <v>46051</v>
      </c>
      <c r="M1215" s="15" t="n">
        <v>55.1</v>
      </c>
      <c r="N1215" s="15" t="n">
        <v>59.12</v>
      </c>
      <c r="O1215" s="34" t="n">
        <v>46051</v>
      </c>
      <c r="P1215" s="15" t="n">
        <v>96.8</v>
      </c>
      <c r="Q1215" s="15" t="n">
        <v>92.3</v>
      </c>
      <c r="R1215" s="34" t="n">
        <v>46051</v>
      </c>
      <c r="S1215" s="15" t="n">
        <v>44</v>
      </c>
      <c r="T1215" s="15" t="n">
        <v>66.58</v>
      </c>
      <c r="U1215" s="34" t="n">
        <v>46051</v>
      </c>
      <c r="V1215" s="15" t="n">
        <v>23.82</v>
      </c>
      <c r="W1215" s="15" t="n">
        <v>29.9</v>
      </c>
      <c r="X1215" s="34" t="n">
        <v>46051</v>
      </c>
      <c r="Y1215" s="15" t="n">
        <v>86.25</v>
      </c>
      <c r="Z1215" s="15" t="n">
        <v>77.88</v>
      </c>
      <c r="AA1215" s="34" t="n">
        <v>46051</v>
      </c>
      <c r="AB1215" s="15" t="n">
        <v>12.11</v>
      </c>
      <c r="AC1215" s="15" t="n">
        <v>18.22</v>
      </c>
      <c r="AD1215" s="34" t="n">
        <v>46051</v>
      </c>
      <c r="AE1215" s="15" t="n">
        <v>36.06</v>
      </c>
      <c r="AF1215" s="15" t="n">
        <v>38.12</v>
      </c>
      <c r="AG1215" s="34" t="n">
        <v>46051</v>
      </c>
      <c r="AH1215" s="15" t="n">
        <v>46.6</v>
      </c>
      <c r="AI1215" s="15" t="n">
        <v>48</v>
      </c>
      <c r="AJ1215" s="34" t="n">
        <v>46051</v>
      </c>
      <c r="AK1215" s="15" t="n">
        <v>36.78</v>
      </c>
      <c r="AL1215" s="15" t="n">
        <v>105.03</v>
      </c>
      <c r="AM1215" s="34" t="n">
        <v>46051</v>
      </c>
      <c r="AN1215" s="15" t="n">
        <v>477.4</v>
      </c>
      <c r="AO1215" s="15" t="n">
        <v>341.89</v>
      </c>
      <c r="AP1215" s="34" t="n">
        <v>46051</v>
      </c>
      <c r="AQ1215" s="15" t="n">
        <v>69.95</v>
      </c>
      <c r="AR1215" s="15" t="n">
        <v>58.11</v>
      </c>
      <c r="AS1215" s="34" t="n">
        <v>46051</v>
      </c>
      <c r="AT1215" s="15" t="n">
        <v>15.97</v>
      </c>
      <c r="AU1215" s="15" t="n">
        <v>19.9</v>
      </c>
      <c r="AV1215" s="34" t="n">
        <v>46051</v>
      </c>
      <c r="AW1215" s="15" t="n">
        <v>31.92</v>
      </c>
      <c r="AX1215" s="15" t="n">
        <v>36.4</v>
      </c>
      <c r="AY1215" s="34" t="n">
        <v>46051</v>
      </c>
      <c r="AZ1215" s="15" t="n">
        <v>34.8</v>
      </c>
      <c r="BA1215" s="15" t="n">
        <v>50.07</v>
      </c>
      <c r="BB1215" s="34" t="n">
        <v>46051</v>
      </c>
      <c r="BC1215" s="15" t="n">
        <v>79.15000000000001</v>
      </c>
      <c r="BD1215" s="15" t="n">
        <v>91.09999999999999</v>
      </c>
      <c r="BE1215" s="34" t="n">
        <v>46051</v>
      </c>
      <c r="BF1215" s="15" t="n">
        <v>130.9</v>
      </c>
      <c r="BG1215" s="15" t="n">
        <v>196.47</v>
      </c>
      <c r="BH1215" s="34" t="n">
        <v>46051</v>
      </c>
      <c r="BI1215" s="15" t="n">
        <v>30.02</v>
      </c>
      <c r="BJ1215" s="15" t="n">
        <v>37.54</v>
      </c>
      <c r="BK1215" s="34" t="n">
        <v>46051</v>
      </c>
      <c r="BL1215" s="15" t="n">
        <v>58.65</v>
      </c>
      <c r="BM1215" s="15" t="n">
        <v>89.31</v>
      </c>
      <c r="BN1215" s="34" t="n">
        <v>46051</v>
      </c>
      <c r="BO1215" s="15" t="n">
        <v>15.15</v>
      </c>
      <c r="BP1215" s="15" t="n">
        <v>29.68</v>
      </c>
      <c r="BQ1215" s="34" t="n">
        <v>46051</v>
      </c>
      <c r="BR1215" s="15" t="n">
        <v>25.3</v>
      </c>
      <c r="BS1215" s="15" t="n">
        <v>22.12</v>
      </c>
      <c r="BT1215" s="34" t="n">
        <v>46051</v>
      </c>
      <c r="BU1215" s="15" t="n">
        <v>82</v>
      </c>
      <c r="BV1215" s="15" t="n">
        <v>110.31</v>
      </c>
      <c r="BW1215" s="34" t="n">
        <v>46051</v>
      </c>
      <c r="BX1215" s="15" t="n">
        <v>97.84999999999999</v>
      </c>
      <c r="BY1215" s="15" t="n">
        <v>108.95</v>
      </c>
      <c r="BZ1215" s="34" t="n">
        <v>46051</v>
      </c>
      <c r="CA1215" s="15" t="n">
        <v>17.19</v>
      </c>
      <c r="CB1215" s="15" t="n">
        <v>28.18</v>
      </c>
      <c r="CC1215" s="34" t="n">
        <v>46051</v>
      </c>
      <c r="CD1215" s="15" t="n">
        <v>41.6</v>
      </c>
      <c r="CE1215" s="15" t="n">
        <v>59.49</v>
      </c>
      <c r="CF1215" s="34" t="n">
        <v>46051</v>
      </c>
      <c r="CG1215" s="15" t="n">
        <v>152.3</v>
      </c>
      <c r="CH1215" s="15" t="n">
        <v>186.97</v>
      </c>
      <c r="CI1215" s="34" t="n">
        <v>46051</v>
      </c>
      <c r="CJ1215" s="15" t="n">
        <v>11.86</v>
      </c>
      <c r="CK1215" s="15" t="n">
        <v>18.94</v>
      </c>
      <c r="CL1215" s="34" t="n">
        <v>46051</v>
      </c>
      <c r="CM1215" s="15" t="n">
        <v>105.1</v>
      </c>
      <c r="CN1215" s="15" t="n">
        <v>122.88</v>
      </c>
      <c r="CO1215" s="34" t="n">
        <v>46051</v>
      </c>
      <c r="CP1215" s="15" t="n">
        <v>331.8</v>
      </c>
      <c r="CQ1215" s="15" t="n">
        <v>307.5</v>
      </c>
      <c r="CR1215" s="34" t="n">
        <v>46051</v>
      </c>
      <c r="CS1215" s="15" t="n">
        <v>30.5</v>
      </c>
      <c r="CT1215" s="15" t="n">
        <v>46.41</v>
      </c>
      <c r="CU1215" s="34" t="n">
        <v>46051</v>
      </c>
    </row>
    <row r="1216">
      <c r="A1216" s="34" t="n">
        <v>46052</v>
      </c>
      <c r="B1216" s="266" t="n">
        <v>1.123343944549561</v>
      </c>
      <c r="C1216" s="34" t="n">
        <v>46052</v>
      </c>
      <c r="D1216" s="15" t="n">
        <v>24.32</v>
      </c>
      <c r="E1216" s="15" t="n">
        <v>38.01</v>
      </c>
      <c r="F1216" s="34" t="n">
        <v>46052</v>
      </c>
      <c r="G1216" s="15" t="n">
        <v>81.45</v>
      </c>
      <c r="H1216" s="15" t="n">
        <v>99.13</v>
      </c>
      <c r="I1216" s="34" t="n">
        <v>46052</v>
      </c>
      <c r="J1216" s="15" t="n">
        <v>22.04</v>
      </c>
      <c r="K1216" s="15" t="n">
        <v>37.65</v>
      </c>
      <c r="L1216" s="34" t="n">
        <v>46052</v>
      </c>
      <c r="M1216" s="15" t="n">
        <v>49.42</v>
      </c>
      <c r="N1216" s="15" t="n">
        <v>54.55</v>
      </c>
      <c r="O1216" s="34" t="n">
        <v>46052</v>
      </c>
      <c r="P1216" s="15" t="n">
        <v>90.7</v>
      </c>
      <c r="Q1216" s="15" t="n">
        <v>89.37</v>
      </c>
      <c r="R1216" s="34" t="n">
        <v>46052</v>
      </c>
      <c r="S1216" s="15" t="n">
        <v>43.88</v>
      </c>
      <c r="T1216" s="15" t="n">
        <v>72.59</v>
      </c>
      <c r="U1216" s="34" t="n">
        <v>46052</v>
      </c>
      <c r="V1216" s="15" t="n">
        <v>24.86</v>
      </c>
      <c r="W1216" s="15" t="n">
        <v>30.93</v>
      </c>
      <c r="X1216" s="34" t="n">
        <v>46052</v>
      </c>
      <c r="Y1216" s="15" t="n">
        <v>85.65000000000001</v>
      </c>
      <c r="Z1216" s="15" t="n">
        <v>77.59</v>
      </c>
      <c r="AA1216" s="34" t="n">
        <v>46052</v>
      </c>
      <c r="AB1216" s="15" t="n">
        <v>11.66</v>
      </c>
      <c r="AC1216" s="15" t="n">
        <v>18</v>
      </c>
      <c r="AD1216" s="34" t="n">
        <v>46052</v>
      </c>
      <c r="AE1216" s="15" t="n">
        <v>35.62</v>
      </c>
      <c r="AF1216" s="15" t="n">
        <v>37.5</v>
      </c>
      <c r="AG1216" s="34" t="n">
        <v>46052</v>
      </c>
      <c r="AH1216" s="15" t="n">
        <v>39.9</v>
      </c>
      <c r="AI1216" s="15" t="n">
        <v>43.2</v>
      </c>
      <c r="AJ1216" s="34" t="n">
        <v>46052</v>
      </c>
      <c r="AK1216" s="15" t="n">
        <v>35.98</v>
      </c>
      <c r="AL1216" s="15" t="n">
        <v>100.82</v>
      </c>
      <c r="AM1216" s="34" t="n">
        <v>46052</v>
      </c>
      <c r="AN1216" s="15" t="n">
        <v>491</v>
      </c>
      <c r="AO1216" s="15" t="n">
        <v>350</v>
      </c>
      <c r="AP1216" s="34" t="n">
        <v>46052</v>
      </c>
      <c r="AQ1216" s="15" t="n">
        <v>68.45</v>
      </c>
      <c r="AR1216" s="15" t="n">
        <v>58.16</v>
      </c>
      <c r="AS1216" s="34" t="n">
        <v>46052</v>
      </c>
      <c r="AT1216" s="15" t="n">
        <v>15.74</v>
      </c>
      <c r="AU1216" s="15" t="n">
        <v>19.85</v>
      </c>
      <c r="AV1216" s="34" t="n">
        <v>46052</v>
      </c>
      <c r="AW1216" s="15" t="n">
        <v>30.12</v>
      </c>
      <c r="AX1216" s="15" t="n">
        <v>35.3</v>
      </c>
      <c r="AY1216" s="34" t="n">
        <v>46052</v>
      </c>
      <c r="AZ1216" s="15" t="n">
        <v>35.2</v>
      </c>
      <c r="BA1216" s="15" t="n">
        <v>50.94</v>
      </c>
      <c r="BB1216" s="34" t="n">
        <v>46052</v>
      </c>
      <c r="BC1216" s="15" t="n">
        <v>76.59999999999999</v>
      </c>
      <c r="BD1216" s="15" t="n">
        <v>89.31</v>
      </c>
      <c r="BE1216" s="34" t="n">
        <v>46052</v>
      </c>
      <c r="BF1216" s="15" t="n">
        <v>135.9</v>
      </c>
      <c r="BG1216" s="15" t="n">
        <v>203.08</v>
      </c>
      <c r="BH1216" s="34" t="n">
        <v>46052</v>
      </c>
      <c r="BI1216" s="15" t="n">
        <v>29.34</v>
      </c>
      <c r="BJ1216" s="15" t="n">
        <v>36.35</v>
      </c>
      <c r="BK1216" s="34" t="n">
        <v>46052</v>
      </c>
      <c r="BL1216" s="15" t="n">
        <v>55.6</v>
      </c>
      <c r="BM1216" s="15" t="n">
        <v>87.22</v>
      </c>
      <c r="BN1216" s="34" t="n">
        <v>46052</v>
      </c>
      <c r="BO1216" s="15" t="n">
        <v>15.15</v>
      </c>
      <c r="BP1216" s="15" t="n">
        <v>28.93</v>
      </c>
      <c r="BQ1216" s="34" t="n">
        <v>46052</v>
      </c>
      <c r="BR1216" s="15" t="n">
        <v>23.76</v>
      </c>
      <c r="BS1216" s="15" t="n">
        <v>21.92</v>
      </c>
      <c r="BT1216" s="34" t="n">
        <v>46052</v>
      </c>
      <c r="BU1216" s="15" t="n">
        <v>81.3</v>
      </c>
      <c r="BV1216" s="15" t="n">
        <v>113.69</v>
      </c>
      <c r="BW1216" s="34" t="n">
        <v>46052</v>
      </c>
      <c r="BX1216" s="15" t="n">
        <v>95.8</v>
      </c>
      <c r="BY1216" s="15" t="n">
        <v>104.09</v>
      </c>
      <c r="BZ1216" s="34" t="n">
        <v>46052</v>
      </c>
      <c r="CA1216" s="15" t="n">
        <v>16.86</v>
      </c>
      <c r="CB1216" s="15" t="n">
        <v>27.98</v>
      </c>
      <c r="CC1216" s="34" t="n">
        <v>46052</v>
      </c>
      <c r="CD1216" s="15" t="n">
        <v>38.64</v>
      </c>
      <c r="CE1216" s="15" t="n">
        <v>54.77</v>
      </c>
      <c r="CF1216" s="34" t="n">
        <v>46052</v>
      </c>
      <c r="CG1216" s="15" t="n">
        <v>147.7</v>
      </c>
      <c r="CH1216" s="15" t="n">
        <v>185.9</v>
      </c>
      <c r="CI1216" s="34" t="n">
        <v>46052</v>
      </c>
      <c r="CJ1216" s="15" t="n">
        <v>11.56</v>
      </c>
      <c r="CK1216" s="15" t="n">
        <v>18.44</v>
      </c>
      <c r="CL1216" s="34" t="n">
        <v>46052</v>
      </c>
      <c r="CM1216" s="15" t="n">
        <v>104.8</v>
      </c>
      <c r="CN1216" s="15" t="n">
        <v>121.2</v>
      </c>
      <c r="CO1216" s="34" t="n">
        <v>46052</v>
      </c>
      <c r="CP1216" s="15" t="n">
        <v>335</v>
      </c>
      <c r="CQ1216" s="15" t="n">
        <v>314.88</v>
      </c>
      <c r="CR1216" s="34" t="n">
        <v>46052</v>
      </c>
      <c r="CS1216" s="15" t="n">
        <v>30</v>
      </c>
      <c r="CT1216" s="15" t="n">
        <v>45.32</v>
      </c>
      <c r="CU1216" s="34" t="n">
        <v>46052</v>
      </c>
    </row>
    <row r="1217">
      <c r="A1217" s="34" t="n">
        <v>46055</v>
      </c>
      <c r="B1217" s="266" t="n">
        <v>1.123572945594788</v>
      </c>
      <c r="C1217" s="34" t="n">
        <v>46055</v>
      </c>
      <c r="D1217" s="15" t="n">
        <v>21.68</v>
      </c>
      <c r="E1217" s="15" t="n">
        <v>35.86</v>
      </c>
      <c r="F1217" s="34" t="n">
        <v>46055</v>
      </c>
      <c r="G1217" s="15" t="n">
        <v>78</v>
      </c>
      <c r="H1217" s="15" t="n">
        <v>95.31</v>
      </c>
      <c r="I1217" s="34" t="n">
        <v>46055</v>
      </c>
      <c r="J1217" s="15" t="n">
        <v>20.52</v>
      </c>
      <c r="K1217" s="15" t="n">
        <v>35.2</v>
      </c>
      <c r="L1217" s="34" t="n">
        <v>46055</v>
      </c>
      <c r="M1217" s="15" t="n">
        <v>48.18</v>
      </c>
      <c r="N1217" s="15" t="n">
        <v>52.29</v>
      </c>
      <c r="O1217" s="34" t="n">
        <v>46055</v>
      </c>
      <c r="P1217" s="15" t="n">
        <v>90</v>
      </c>
      <c r="Q1217" s="15" t="n">
        <v>88.95</v>
      </c>
      <c r="R1217" s="34" t="n">
        <v>46055</v>
      </c>
      <c r="S1217" s="15" t="n">
        <v>41.96</v>
      </c>
      <c r="T1217" s="15" t="n">
        <v>67.76000000000001</v>
      </c>
      <c r="U1217" s="34" t="n">
        <v>46055</v>
      </c>
      <c r="V1217" s="15" t="n">
        <v>22.9</v>
      </c>
      <c r="W1217" s="15" t="n">
        <v>29.25</v>
      </c>
      <c r="X1217" s="34" t="n">
        <v>46055</v>
      </c>
      <c r="Y1217" s="15" t="n">
        <v>85.75</v>
      </c>
      <c r="Z1217" s="15" t="n">
        <v>77.84999999999999</v>
      </c>
      <c r="AA1217" s="34" t="n">
        <v>46055</v>
      </c>
      <c r="AB1217" s="15" t="n">
        <v>11.43</v>
      </c>
      <c r="AC1217" s="15" t="n">
        <v>17.69</v>
      </c>
      <c r="AD1217" s="34" t="n">
        <v>46055</v>
      </c>
      <c r="AE1217" s="15" t="n">
        <v>35</v>
      </c>
      <c r="AF1217" s="15" t="n">
        <v>37.36</v>
      </c>
      <c r="AG1217" s="34" t="n">
        <v>46055</v>
      </c>
      <c r="AH1217" s="15" t="n">
        <v>35.04</v>
      </c>
      <c r="AI1217" s="15" t="n">
        <v>38.88</v>
      </c>
      <c r="AJ1217" s="34" t="n">
        <v>46055</v>
      </c>
      <c r="AK1217" s="15" t="n">
        <v>36.9</v>
      </c>
      <c r="AL1217" s="15" t="n">
        <v>100.2</v>
      </c>
      <c r="AM1217" s="34" t="n">
        <v>46055</v>
      </c>
      <c r="AN1217" s="15" t="n">
        <v>486.6</v>
      </c>
      <c r="AO1217" s="15" t="n">
        <v>348.98</v>
      </c>
      <c r="AP1217" s="34" t="n">
        <v>46055</v>
      </c>
      <c r="AQ1217" s="15" t="n">
        <v>67</v>
      </c>
      <c r="AR1217" s="15" t="n">
        <v>56.49</v>
      </c>
      <c r="AS1217" s="34" t="n">
        <v>46055</v>
      </c>
      <c r="AT1217" s="15" t="n">
        <v>15.13</v>
      </c>
      <c r="AU1217" s="15" t="n">
        <v>19.33</v>
      </c>
      <c r="AV1217" s="34" t="n">
        <v>46055</v>
      </c>
      <c r="AW1217" s="15" t="n">
        <v>30.86</v>
      </c>
      <c r="AX1217" s="15" t="n">
        <v>35.57</v>
      </c>
      <c r="AY1217" s="34" t="n">
        <v>46055</v>
      </c>
      <c r="AZ1217" s="15" t="n">
        <v>34.48</v>
      </c>
      <c r="BA1217" s="15" t="n">
        <v>50.74</v>
      </c>
      <c r="BB1217" s="34" t="n">
        <v>46055</v>
      </c>
      <c r="BC1217" s="15" t="n">
        <v>77.05</v>
      </c>
      <c r="BD1217" s="15" t="n">
        <v>87.02</v>
      </c>
      <c r="BE1217" s="34" t="n">
        <v>46055</v>
      </c>
      <c r="BF1217" s="15" t="n">
        <v>130.4</v>
      </c>
      <c r="BG1217" s="15" t="n">
        <v>190.83</v>
      </c>
      <c r="BH1217" s="34" t="n">
        <v>46055</v>
      </c>
      <c r="BI1217" s="15" t="n">
        <v>28.18</v>
      </c>
      <c r="BJ1217" s="15" t="n">
        <v>35.8</v>
      </c>
      <c r="BK1217" s="34" t="n">
        <v>46055</v>
      </c>
      <c r="BL1217" s="15" t="n">
        <v>54.5</v>
      </c>
      <c r="BM1217" s="15" t="n">
        <v>83.94</v>
      </c>
      <c r="BN1217" s="34" t="n">
        <v>46055</v>
      </c>
      <c r="BO1217" s="15" t="n">
        <v>14.68</v>
      </c>
      <c r="BP1217" s="15" t="n">
        <v>28.18</v>
      </c>
      <c r="BQ1217" s="34" t="n">
        <v>46055</v>
      </c>
      <c r="BR1217" s="15" t="n">
        <v>23.52</v>
      </c>
      <c r="BS1217" s="15" t="n">
        <v>21.38</v>
      </c>
      <c r="BT1217" s="34" t="n">
        <v>46055</v>
      </c>
      <c r="BU1217" s="15" t="n">
        <v>75.95</v>
      </c>
      <c r="BV1217" s="15" t="n">
        <v>107.01</v>
      </c>
      <c r="BW1217" s="34" t="n">
        <v>46055</v>
      </c>
      <c r="BX1217" s="15" t="n">
        <v>95.7</v>
      </c>
      <c r="BY1217" s="15" t="n">
        <v>104.45</v>
      </c>
      <c r="BZ1217" s="34" t="n">
        <v>46055</v>
      </c>
      <c r="CA1217" s="15" t="n">
        <v>16.77</v>
      </c>
      <c r="CB1217" s="15" t="n">
        <v>27.21</v>
      </c>
      <c r="CC1217" s="34" t="n">
        <v>46055</v>
      </c>
      <c r="CD1217" s="15" t="n">
        <v>34.5</v>
      </c>
      <c r="CE1217" s="15" t="n">
        <v>51.59</v>
      </c>
      <c r="CF1217" s="34" t="n">
        <v>46055</v>
      </c>
      <c r="CG1217" s="15" t="n">
        <v>134.9</v>
      </c>
      <c r="CH1217" s="15" t="n">
        <v>170.98</v>
      </c>
      <c r="CI1217" s="34" t="n">
        <v>46055</v>
      </c>
      <c r="CJ1217" s="15" t="n">
        <v>12</v>
      </c>
      <c r="CK1217" s="15" t="n">
        <v>18.32</v>
      </c>
      <c r="CL1217" s="34" t="n">
        <v>46055</v>
      </c>
      <c r="CM1217" s="15" t="n">
        <v>104.6</v>
      </c>
      <c r="CN1217" s="15" t="n">
        <v>117.95</v>
      </c>
      <c r="CO1217" s="34" t="n">
        <v>46055</v>
      </c>
      <c r="CP1217" s="15" t="n">
        <v>304</v>
      </c>
      <c r="CQ1217" s="15" t="n">
        <v>283.39</v>
      </c>
      <c r="CR1217" s="34" t="n">
        <v>46055</v>
      </c>
      <c r="CS1217" s="15" t="n">
        <v>29.84</v>
      </c>
      <c r="CT1217" s="15" t="n">
        <v>43.57</v>
      </c>
      <c r="CU1217" s="34" t="n">
        <v>46055</v>
      </c>
    </row>
    <row r="1218">
      <c r="A1218" s="34" t="n">
        <v>46056</v>
      </c>
      <c r="B1218" s="266" t="n">
        <v>1.124274969100952</v>
      </c>
      <c r="C1218" s="34" t="n">
        <v>46056</v>
      </c>
      <c r="D1218" s="15" t="n">
        <v>22.14</v>
      </c>
      <c r="E1218" s="15" t="n">
        <v>37.78</v>
      </c>
      <c r="F1218" s="34" t="n">
        <v>46056</v>
      </c>
      <c r="G1218" s="15" t="n">
        <v>80.8</v>
      </c>
      <c r="H1218" s="15" t="n">
        <v>99</v>
      </c>
      <c r="I1218" s="34" t="n">
        <v>46056</v>
      </c>
      <c r="J1218" s="15" t="n">
        <v>21.46</v>
      </c>
      <c r="K1218" s="15" t="n">
        <v>36.97</v>
      </c>
      <c r="L1218" s="34" t="n">
        <v>46056</v>
      </c>
      <c r="M1218" s="15" t="n">
        <v>49.5</v>
      </c>
      <c r="N1218" s="15" t="n">
        <v>53.47</v>
      </c>
      <c r="O1218" s="34" t="n">
        <v>46056</v>
      </c>
      <c r="P1218" s="15" t="n">
        <v>92.55</v>
      </c>
      <c r="Q1218" s="15" t="n">
        <v>91.59999999999999</v>
      </c>
      <c r="R1218" s="34" t="n">
        <v>46056</v>
      </c>
      <c r="S1218" s="15" t="n">
        <v>45.5</v>
      </c>
      <c r="T1218" s="15" t="n">
        <v>71.64</v>
      </c>
      <c r="U1218" s="34" t="n">
        <v>46056</v>
      </c>
      <c r="V1218" s="15" t="n">
        <v>23.2</v>
      </c>
      <c r="W1218" s="15" t="n">
        <v>30.08</v>
      </c>
      <c r="X1218" s="34" t="n">
        <v>46056</v>
      </c>
      <c r="Y1218" s="15" t="n">
        <v>87.05</v>
      </c>
      <c r="Z1218" s="15" t="n">
        <v>77.91</v>
      </c>
      <c r="AA1218" s="34" t="n">
        <v>46056</v>
      </c>
      <c r="AB1218" s="15" t="n">
        <v>11.53</v>
      </c>
      <c r="AC1218" s="15" t="n">
        <v>18.08</v>
      </c>
      <c r="AD1218" s="34" t="n">
        <v>46056</v>
      </c>
      <c r="AE1218" s="15" t="n">
        <v>35.02</v>
      </c>
      <c r="AF1218" s="15" t="n">
        <v>37.67</v>
      </c>
      <c r="AG1218" s="34" t="n">
        <v>46056</v>
      </c>
      <c r="AH1218" s="15" t="n">
        <v>37.54</v>
      </c>
      <c r="AI1218" s="15" t="n">
        <v>39.78</v>
      </c>
      <c r="AJ1218" s="34" t="n">
        <v>46056</v>
      </c>
      <c r="AK1218" s="15" t="n">
        <v>45.7</v>
      </c>
      <c r="AL1218" s="15" t="n">
        <v>110.22</v>
      </c>
      <c r="AM1218" s="34" t="n">
        <v>46056</v>
      </c>
      <c r="AN1218" s="15" t="n">
        <v>481.6</v>
      </c>
      <c r="AO1218" s="15" t="n">
        <v>347.91</v>
      </c>
      <c r="AP1218" s="34" t="n">
        <v>46056</v>
      </c>
      <c r="AQ1218" s="15" t="n">
        <v>67</v>
      </c>
      <c r="AR1218" s="15" t="n">
        <v>57.47</v>
      </c>
      <c r="AS1218" s="34" t="n">
        <v>46056</v>
      </c>
      <c r="AT1218" s="15" t="n">
        <v>15.14</v>
      </c>
      <c r="AU1218" s="15" t="n">
        <v>20</v>
      </c>
      <c r="AV1218" s="34" t="n">
        <v>46056</v>
      </c>
      <c r="AW1218" s="15" t="n">
        <v>31.58</v>
      </c>
      <c r="AX1218" s="15" t="n">
        <v>35.87</v>
      </c>
      <c r="AY1218" s="34" t="n">
        <v>46056</v>
      </c>
      <c r="AZ1218" s="15" t="n">
        <v>35.3</v>
      </c>
      <c r="BA1218" s="15" t="n">
        <v>52.33</v>
      </c>
      <c r="BB1218" s="34" t="n">
        <v>46056</v>
      </c>
      <c r="BC1218" s="15" t="n">
        <v>75.55</v>
      </c>
      <c r="BD1218" s="15" t="n">
        <v>87.22</v>
      </c>
      <c r="BE1218" s="34" t="n">
        <v>46056</v>
      </c>
      <c r="BF1218" s="15" t="n">
        <v>131.9</v>
      </c>
      <c r="BG1218" s="15" t="n">
        <v>193.34</v>
      </c>
      <c r="BH1218" s="34" t="n">
        <v>46056</v>
      </c>
      <c r="BI1218" s="15" t="n">
        <v>29</v>
      </c>
      <c r="BJ1218" s="15" t="n">
        <v>37.36</v>
      </c>
      <c r="BK1218" s="34" t="n">
        <v>46056</v>
      </c>
      <c r="BL1218" s="15" t="n">
        <v>59.4</v>
      </c>
      <c r="BM1218" s="15" t="n">
        <v>89.98999999999999</v>
      </c>
      <c r="BN1218" s="34" t="n">
        <v>46056</v>
      </c>
      <c r="BO1218" s="15" t="n">
        <v>14.73</v>
      </c>
      <c r="BP1218" s="15" t="n">
        <v>29.37</v>
      </c>
      <c r="BQ1218" s="34" t="n">
        <v>46056</v>
      </c>
      <c r="BR1218" s="15" t="n">
        <v>25.18</v>
      </c>
      <c r="BS1218" s="15" t="n">
        <v>23.08</v>
      </c>
      <c r="BT1218" s="34" t="n">
        <v>46056</v>
      </c>
      <c r="BU1218" s="15" t="n">
        <v>79.34999999999999</v>
      </c>
      <c r="BV1218" s="15" t="n">
        <v>112.54</v>
      </c>
      <c r="BW1218" s="34" t="n">
        <v>46056</v>
      </c>
      <c r="BX1218" s="15" t="n">
        <v>97</v>
      </c>
      <c r="BY1218" s="15" t="n">
        <v>107.4</v>
      </c>
      <c r="BZ1218" s="34" t="n">
        <v>46056</v>
      </c>
      <c r="CA1218" s="15" t="n">
        <v>16.92</v>
      </c>
      <c r="CB1218" s="15" t="n">
        <v>28.15</v>
      </c>
      <c r="CC1218" s="34" t="n">
        <v>46056</v>
      </c>
      <c r="CD1218" s="15" t="n">
        <v>35.14</v>
      </c>
      <c r="CE1218" s="15" t="n">
        <v>52.92</v>
      </c>
      <c r="CF1218" s="34" t="n">
        <v>46056</v>
      </c>
      <c r="CG1218" s="15" t="n">
        <v>148.6</v>
      </c>
      <c r="CH1218" s="15" t="n">
        <v>176.33</v>
      </c>
      <c r="CI1218" s="34" t="n">
        <v>46056</v>
      </c>
      <c r="CJ1218" s="15" t="n">
        <v>11.78</v>
      </c>
      <c r="CK1218" s="15" t="n">
        <v>18.3</v>
      </c>
      <c r="CL1218" s="34" t="n">
        <v>46056</v>
      </c>
      <c r="CM1218" s="15" t="n">
        <v>104.8</v>
      </c>
      <c r="CN1218" s="15" t="n">
        <v>118.43</v>
      </c>
      <c r="CO1218" s="34" t="n">
        <v>46056</v>
      </c>
      <c r="CP1218" s="15" t="n">
        <v>316.6</v>
      </c>
      <c r="CQ1218" s="15" t="n">
        <v>292.57</v>
      </c>
      <c r="CR1218" s="34" t="n">
        <v>46056</v>
      </c>
      <c r="CS1218" s="15" t="n">
        <v>30.4</v>
      </c>
      <c r="CT1218" s="15" t="n">
        <v>44.88</v>
      </c>
      <c r="CU1218" s="34" t="n">
        <v>46056</v>
      </c>
      <c r="CV1218" s="15" t="n">
        <v>251.8</v>
      </c>
      <c r="CW1218" s="15" t="n">
        <v>253.96</v>
      </c>
      <c r="CX1218" s="34" t="n">
        <v>46056</v>
      </c>
    </row>
    <row r="1219">
      <c r="A1219" s="34" t="n">
        <v>46057</v>
      </c>
      <c r="B1219" s="266" t="n">
        <v>1.12601101398468</v>
      </c>
      <c r="C1219" s="34" t="n">
        <v>46057</v>
      </c>
      <c r="D1219" s="15" t="n">
        <v>22.56</v>
      </c>
      <c r="E1219" s="15" t="n">
        <v>38.02</v>
      </c>
      <c r="F1219" s="34" t="n">
        <v>46057</v>
      </c>
      <c r="G1219" s="15" t="n">
        <v>81.59999999999999</v>
      </c>
      <c r="H1219" s="15" t="n">
        <v>100.02</v>
      </c>
      <c r="I1219" s="34" t="n">
        <v>46057</v>
      </c>
      <c r="J1219" s="15" t="n">
        <v>21.14</v>
      </c>
      <c r="K1219" s="15" t="n">
        <v>36.38</v>
      </c>
      <c r="L1219" s="34" t="n">
        <v>46057</v>
      </c>
      <c r="P1219" s="15" t="n">
        <v>91.75</v>
      </c>
      <c r="Q1219" s="15" t="n">
        <v>91.48999999999999</v>
      </c>
      <c r="R1219" s="34" t="n">
        <v>46057</v>
      </c>
      <c r="S1219" s="15" t="n">
        <v>47.5</v>
      </c>
      <c r="T1219" s="15" t="n">
        <v>70.25</v>
      </c>
      <c r="U1219" s="34" t="n">
        <v>46057</v>
      </c>
      <c r="V1219" s="15" t="n">
        <v>24.9</v>
      </c>
      <c r="W1219" s="15" t="n">
        <v>33.36</v>
      </c>
      <c r="X1219" s="34" t="n">
        <v>46057</v>
      </c>
      <c r="Y1219" s="15" t="n">
        <v>88.3</v>
      </c>
      <c r="Z1219" s="15" t="n">
        <v>79.81</v>
      </c>
      <c r="AA1219" s="34" t="n">
        <v>46057</v>
      </c>
      <c r="AB1219" s="15" t="n">
        <v>11.5</v>
      </c>
      <c r="AC1219" s="15" t="n">
        <v>18.16</v>
      </c>
      <c r="AD1219" s="34" t="n">
        <v>46057</v>
      </c>
      <c r="AE1219" s="15" t="n">
        <v>36.66</v>
      </c>
      <c r="AF1219" s="15" t="n">
        <v>38.47</v>
      </c>
      <c r="AG1219" s="34" t="n">
        <v>46057</v>
      </c>
      <c r="AH1219" s="15" t="n">
        <v>37.7</v>
      </c>
      <c r="AI1219" s="15" t="n">
        <v>38.53</v>
      </c>
      <c r="AJ1219" s="34" t="n">
        <v>46057</v>
      </c>
      <c r="AK1219" s="15" t="n">
        <v>45.02</v>
      </c>
      <c r="AL1219" s="15" t="n">
        <v>114.29</v>
      </c>
      <c r="AM1219" s="34" t="n">
        <v>46057</v>
      </c>
      <c r="AN1219" s="15" t="n">
        <v>502.5</v>
      </c>
      <c r="AO1219" s="15" t="n">
        <v>365.03</v>
      </c>
      <c r="AP1219" s="34" t="n">
        <v>46057</v>
      </c>
      <c r="AQ1219" s="15" t="n">
        <v>66.75</v>
      </c>
      <c r="AR1219" s="15" t="n">
        <v>57.6</v>
      </c>
      <c r="AS1219" s="34" t="n">
        <v>46057</v>
      </c>
      <c r="AT1219" s="15" t="n">
        <v>14.96</v>
      </c>
      <c r="AU1219" s="15" t="n">
        <v>19.14</v>
      </c>
      <c r="AV1219" s="34" t="n">
        <v>46057</v>
      </c>
      <c r="AW1219" s="15" t="n">
        <v>31.5</v>
      </c>
      <c r="AX1219" s="15" t="n">
        <v>36.28</v>
      </c>
      <c r="AY1219" s="34" t="n">
        <v>46057</v>
      </c>
      <c r="AZ1219" s="15" t="n">
        <v>33.9</v>
      </c>
      <c r="BA1219" s="15" t="n">
        <v>51.66</v>
      </c>
      <c r="BB1219" s="34" t="n">
        <v>46057</v>
      </c>
      <c r="BC1219" s="15" t="n">
        <v>77.95</v>
      </c>
      <c r="BD1219" s="15" t="n">
        <v>89.34</v>
      </c>
      <c r="BE1219" s="34" t="n">
        <v>46057</v>
      </c>
      <c r="BF1219" s="15" t="n">
        <v>128.4</v>
      </c>
      <c r="BG1219" s="15" t="n">
        <v>189.07</v>
      </c>
      <c r="BH1219" s="34" t="n">
        <v>46057</v>
      </c>
      <c r="BI1219" s="15" t="n">
        <v>27.94</v>
      </c>
      <c r="BJ1219" s="15" t="n">
        <v>36.96</v>
      </c>
      <c r="BK1219" s="34" t="n">
        <v>46057</v>
      </c>
      <c r="BL1219" s="15" t="n">
        <v>58.35</v>
      </c>
      <c r="BM1219" s="15" t="n">
        <v>91.08</v>
      </c>
      <c r="BN1219" s="34" t="n">
        <v>46057</v>
      </c>
      <c r="BO1219" s="15" t="n">
        <v>14.31</v>
      </c>
      <c r="BP1219" s="15" t="n">
        <v>29.01</v>
      </c>
      <c r="BQ1219" s="34" t="n">
        <v>46057</v>
      </c>
      <c r="BR1219" s="15" t="n">
        <v>25.7</v>
      </c>
      <c r="BS1219" s="15" t="n">
        <v>23.26</v>
      </c>
      <c r="BT1219" s="34" t="n">
        <v>46057</v>
      </c>
      <c r="BU1219" s="15" t="n">
        <v>73.5</v>
      </c>
      <c r="BV1219" s="15" t="n">
        <v>107.13</v>
      </c>
      <c r="BW1219" s="34" t="n">
        <v>46057</v>
      </c>
      <c r="BX1219" s="15" t="n">
        <v>97.90000000000001</v>
      </c>
      <c r="BY1219" s="15" t="n">
        <v>110.29</v>
      </c>
      <c r="BZ1219" s="34" t="n">
        <v>46057</v>
      </c>
      <c r="CA1219" s="15" t="n">
        <v>17.19</v>
      </c>
      <c r="CB1219" s="15" t="n">
        <v>28.54</v>
      </c>
      <c r="CC1219" s="34" t="n">
        <v>46057</v>
      </c>
      <c r="CD1219" s="15" t="n">
        <v>36.64</v>
      </c>
      <c r="CE1219" s="15" t="n">
        <v>53.26</v>
      </c>
      <c r="CF1219" s="34" t="n">
        <v>46057</v>
      </c>
      <c r="CG1219" s="15" t="n">
        <v>138.7</v>
      </c>
      <c r="CH1219" s="15" t="n">
        <v>170.32</v>
      </c>
      <c r="CI1219" s="34" t="n">
        <v>46057</v>
      </c>
      <c r="CJ1219" s="15" t="n">
        <v>11.7</v>
      </c>
      <c r="CK1219" s="15" t="n">
        <v>18.2</v>
      </c>
      <c r="CL1219" s="34" t="n">
        <v>46057</v>
      </c>
      <c r="CM1219" s="15" t="n">
        <v>105.2</v>
      </c>
      <c r="CN1219" s="15" t="n">
        <v>117.29</v>
      </c>
      <c r="CO1219" s="34" t="n">
        <v>46057</v>
      </c>
      <c r="CP1219" s="15" t="n">
        <v>304.4</v>
      </c>
      <c r="CQ1219" s="15" t="n">
        <v>282.33</v>
      </c>
      <c r="CR1219" s="34" t="n">
        <v>46057</v>
      </c>
      <c r="CS1219" s="15" t="n">
        <v>30.14</v>
      </c>
      <c r="CT1219" s="15" t="n">
        <v>45.08</v>
      </c>
      <c r="CU1219" s="34" t="n">
        <v>46057</v>
      </c>
      <c r="CV1219" s="15" t="n">
        <v>275.8</v>
      </c>
      <c r="CW1219" s="15" t="n">
        <v>268.65</v>
      </c>
      <c r="CX1219" s="34" t="n">
        <v>46057</v>
      </c>
      <c r="CY1219" s="15" t="n">
        <v>40.16</v>
      </c>
      <c r="CZ1219" s="15" t="n">
        <v>55.18</v>
      </c>
      <c r="DA1219" s="34" t="n">
        <v>46057</v>
      </c>
    </row>
    <row r="1220">
      <c r="A1220" s="34" t="n">
        <v>46058</v>
      </c>
      <c r="B1220" s="266" t="n">
        <v>1.125892996788025</v>
      </c>
      <c r="C1220" s="34" t="n">
        <v>46058</v>
      </c>
      <c r="D1220" s="15" t="n">
        <v>22.18</v>
      </c>
      <c r="E1220" s="15" t="n">
        <v>37.46</v>
      </c>
      <c r="F1220" s="34" t="n">
        <v>46058</v>
      </c>
      <c r="G1220" s="15" t="n">
        <v>83.65000000000001</v>
      </c>
      <c r="H1220" s="15" t="n">
        <v>102.5</v>
      </c>
      <c r="I1220" s="34" t="n">
        <v>46058</v>
      </c>
      <c r="J1220" s="15" t="n">
        <v>20.28</v>
      </c>
      <c r="K1220" s="15" t="n">
        <v>34.71</v>
      </c>
      <c r="L1220" s="34" t="n">
        <v>46058</v>
      </c>
      <c r="M1220" s="15" t="n">
        <v>42.9</v>
      </c>
      <c r="N1220" s="15" t="n">
        <v>49.44</v>
      </c>
      <c r="O1220" s="34" t="n">
        <v>46058</v>
      </c>
      <c r="P1220" s="15" t="n">
        <v>92.15000000000001</v>
      </c>
      <c r="Q1220" s="15" t="n">
        <v>92.47</v>
      </c>
      <c r="R1220" s="34" t="n">
        <v>46058</v>
      </c>
      <c r="S1220" s="15" t="n">
        <v>47</v>
      </c>
      <c r="T1220" s="15" t="n">
        <v>72.83</v>
      </c>
      <c r="U1220" s="34" t="n">
        <v>46058</v>
      </c>
      <c r="V1220" s="15" t="n">
        <v>24.34</v>
      </c>
      <c r="W1220" s="15" t="n">
        <v>32.1</v>
      </c>
      <c r="X1220" s="34" t="n">
        <v>46058</v>
      </c>
      <c r="Y1220" s="15" t="n">
        <v>89.09999999999999</v>
      </c>
      <c r="Z1220" s="15" t="n">
        <v>80.45</v>
      </c>
      <c r="AA1220" s="34" t="n">
        <v>46058</v>
      </c>
      <c r="AB1220" s="15" t="n">
        <v>11.03</v>
      </c>
      <c r="AC1220" s="15" t="n">
        <v>17.78</v>
      </c>
      <c r="AD1220" s="34" t="n">
        <v>46058</v>
      </c>
      <c r="AE1220" s="15" t="n">
        <v>37.08</v>
      </c>
      <c r="AF1220" s="15" t="n">
        <v>39.22</v>
      </c>
      <c r="AG1220" s="34" t="n">
        <v>46058</v>
      </c>
      <c r="AH1220" s="15" t="n">
        <v>35.48</v>
      </c>
      <c r="AI1220" s="15" t="n">
        <v>36.83</v>
      </c>
      <c r="AJ1220" s="34" t="n">
        <v>46058</v>
      </c>
      <c r="AK1220" s="15" t="n">
        <v>39.46</v>
      </c>
      <c r="AL1220" s="15" t="n">
        <v>102.86</v>
      </c>
      <c r="AM1220" s="34" t="n">
        <v>46058</v>
      </c>
      <c r="AN1220" s="15" t="n">
        <v>492.8</v>
      </c>
      <c r="AO1220" s="15" t="n">
        <v>362.94</v>
      </c>
      <c r="AP1220" s="34" t="n">
        <v>46058</v>
      </c>
      <c r="AQ1220" s="15" t="n">
        <v>68.55</v>
      </c>
      <c r="AR1220" s="15" t="n">
        <v>58.16</v>
      </c>
      <c r="AS1220" s="34" t="n">
        <v>46058</v>
      </c>
      <c r="AT1220" s="15" t="n">
        <v>14.95</v>
      </c>
      <c r="AU1220" s="15" t="n">
        <v>18.99</v>
      </c>
      <c r="AV1220" s="34" t="n">
        <v>46058</v>
      </c>
      <c r="AW1220" s="15" t="n">
        <v>33.26</v>
      </c>
      <c r="AX1220" s="15" t="n">
        <v>37.96</v>
      </c>
      <c r="AY1220" s="34" t="n">
        <v>46058</v>
      </c>
      <c r="AZ1220" s="15" t="n">
        <v>33.2</v>
      </c>
      <c r="BA1220" s="15" t="n">
        <v>50.09</v>
      </c>
      <c r="BB1220" s="34" t="n">
        <v>46058</v>
      </c>
      <c r="BC1220" s="15" t="n">
        <v>77.65000000000001</v>
      </c>
      <c r="BD1220" s="15" t="n">
        <v>90.39</v>
      </c>
      <c r="BE1220" s="34" t="n">
        <v>46058</v>
      </c>
      <c r="BF1220" s="15" t="n">
        <v>126.7</v>
      </c>
      <c r="BG1220" s="15" t="n">
        <v>189.48</v>
      </c>
      <c r="BH1220" s="34" t="n">
        <v>46058</v>
      </c>
      <c r="BI1220" s="15" t="n">
        <v>26.76</v>
      </c>
      <c r="BJ1220" s="15" t="n">
        <v>35.44</v>
      </c>
      <c r="BK1220" s="34" t="n">
        <v>46058</v>
      </c>
      <c r="BL1220" s="15" t="n">
        <v>58</v>
      </c>
      <c r="BM1220" s="15" t="n">
        <v>93.58</v>
      </c>
      <c r="BN1220" s="34" t="n">
        <v>46058</v>
      </c>
      <c r="BO1220" s="15" t="n">
        <v>14.08</v>
      </c>
      <c r="BP1220" s="15" t="n">
        <v>28.75</v>
      </c>
      <c r="BQ1220" s="34" t="n">
        <v>46058</v>
      </c>
      <c r="BR1220" s="15" t="n">
        <v>24.82</v>
      </c>
      <c r="BS1220" s="15" t="n">
        <v>23.27</v>
      </c>
      <c r="BT1220" s="34" t="n">
        <v>46058</v>
      </c>
      <c r="BU1220" s="15" t="n">
        <v>71.55</v>
      </c>
      <c r="BV1220" s="15" t="n">
        <v>102.5</v>
      </c>
      <c r="BW1220" s="34" t="n">
        <v>46058</v>
      </c>
      <c r="BX1220" s="15" t="n">
        <v>97.05</v>
      </c>
      <c r="BY1220" s="15" t="n">
        <v>109.3</v>
      </c>
      <c r="BZ1220" s="34" t="n">
        <v>46058</v>
      </c>
      <c r="CA1220" s="15" t="n">
        <v>17</v>
      </c>
      <c r="CB1220" s="15" t="n">
        <v>27.79</v>
      </c>
      <c r="CC1220" s="34" t="n">
        <v>46058</v>
      </c>
      <c r="CD1220" s="15" t="n">
        <v>33.36</v>
      </c>
      <c r="CE1220" s="15" t="n">
        <v>50.51</v>
      </c>
      <c r="CF1220" s="34" t="n">
        <v>46058</v>
      </c>
      <c r="CG1220" s="15" t="n">
        <v>143.9</v>
      </c>
      <c r="CH1220" s="15" t="n">
        <v>181.01</v>
      </c>
      <c r="CI1220" s="34" t="n">
        <v>46058</v>
      </c>
      <c r="CJ1220" s="15" t="n">
        <v>11.54</v>
      </c>
      <c r="CK1220" s="15" t="n">
        <v>18.15</v>
      </c>
      <c r="CL1220" s="34" t="n">
        <v>46058</v>
      </c>
      <c r="CM1220" s="15" t="n">
        <v>105</v>
      </c>
      <c r="CN1220" s="15" t="n">
        <v>117.63</v>
      </c>
      <c r="CO1220" s="34" t="n">
        <v>46058</v>
      </c>
      <c r="CP1220" s="15" t="n">
        <v>290.8</v>
      </c>
      <c r="CQ1220" s="15" t="n">
        <v>277.74</v>
      </c>
      <c r="CR1220" s="34" t="n">
        <v>46058</v>
      </c>
      <c r="CS1220" s="15" t="n">
        <v>30</v>
      </c>
      <c r="CT1220" s="15" t="n">
        <v>44.53</v>
      </c>
      <c r="CU1220" s="34" t="n">
        <v>46058</v>
      </c>
      <c r="CV1220" s="15" t="n">
        <v>275.8</v>
      </c>
      <c r="CW1220" s="15" t="n">
        <v>274.51</v>
      </c>
      <c r="CX1220" s="34" t="n">
        <v>46058</v>
      </c>
      <c r="CY1220" s="15" t="n">
        <v>40.38</v>
      </c>
      <c r="CZ1220" s="15" t="n">
        <v>51.71</v>
      </c>
      <c r="DA1220" s="34" t="n">
        <v>46058</v>
      </c>
    </row>
    <row r="1221">
      <c r="A1221" s="34" t="n">
        <v>46059</v>
      </c>
      <c r="B1221" s="266" t="n">
        <v>1.126062035560608</v>
      </c>
      <c r="C1221" s="34" t="n">
        <v>46059</v>
      </c>
      <c r="D1221" s="15" t="n">
        <v>22.56</v>
      </c>
      <c r="E1221" s="15" t="n">
        <v>37.81</v>
      </c>
      <c r="F1221" s="34" t="n">
        <v>46059</v>
      </c>
      <c r="G1221" s="15" t="n">
        <v>83.8</v>
      </c>
      <c r="H1221" s="15" t="n">
        <v>102.06</v>
      </c>
      <c r="I1221" s="34" t="n">
        <v>46059</v>
      </c>
      <c r="J1221" s="15" t="n">
        <v>20.2</v>
      </c>
      <c r="K1221" s="15" t="n">
        <v>34.99</v>
      </c>
      <c r="L1221" s="34" t="n">
        <v>46059</v>
      </c>
      <c r="M1221" s="15" t="n">
        <v>42.86</v>
      </c>
      <c r="N1221" s="15" t="n">
        <v>50.2</v>
      </c>
      <c r="O1221" s="34" t="n">
        <v>46059</v>
      </c>
      <c r="P1221" s="15" t="n">
        <v>93.90000000000001</v>
      </c>
      <c r="Q1221" s="15" t="n">
        <v>92.34999999999999</v>
      </c>
      <c r="R1221" s="34" t="n">
        <v>46059</v>
      </c>
      <c r="S1221" s="15" t="n">
        <v>47.7</v>
      </c>
      <c r="T1221" s="15" t="n">
        <v>70.95999999999999</v>
      </c>
      <c r="U1221" s="34" t="n">
        <v>46059</v>
      </c>
      <c r="V1221" s="15" t="n">
        <v>23.06</v>
      </c>
      <c r="W1221" s="15" t="n">
        <v>31</v>
      </c>
      <c r="X1221" s="34" t="n">
        <v>46059</v>
      </c>
      <c r="Y1221" s="15" t="n">
        <v>88.05</v>
      </c>
      <c r="Z1221" s="15" t="n">
        <v>79.54000000000001</v>
      </c>
      <c r="AA1221" s="34" t="n">
        <v>46059</v>
      </c>
      <c r="AB1221" s="15" t="n">
        <v>10.94</v>
      </c>
      <c r="AC1221" s="15" t="n">
        <v>18.21</v>
      </c>
      <c r="AD1221" s="34" t="n">
        <v>46059</v>
      </c>
      <c r="AE1221" s="15" t="n">
        <v>36.88</v>
      </c>
      <c r="AF1221" s="15" t="n">
        <v>38.86</v>
      </c>
      <c r="AG1221" s="34" t="n">
        <v>46059</v>
      </c>
      <c r="AH1221" s="15" t="n">
        <v>35.1</v>
      </c>
      <c r="AI1221" s="15" t="n">
        <v>37.01</v>
      </c>
      <c r="AJ1221" s="34" t="n">
        <v>46059</v>
      </c>
      <c r="AK1221" s="15" t="n">
        <v>37.22</v>
      </c>
      <c r="AL1221" s="15" t="n">
        <v>97.83</v>
      </c>
      <c r="AM1221" s="34" t="n">
        <v>46059</v>
      </c>
      <c r="AN1221" s="15" t="n">
        <v>501.5</v>
      </c>
      <c r="AO1221" s="15" t="n">
        <v>369.11</v>
      </c>
      <c r="AP1221" s="34" t="n">
        <v>46059</v>
      </c>
      <c r="AQ1221" s="15" t="n">
        <v>67.65000000000001</v>
      </c>
      <c r="AR1221" s="15" t="n">
        <v>57.31</v>
      </c>
      <c r="AS1221" s="34" t="n">
        <v>46059</v>
      </c>
      <c r="AT1221" s="15" t="n">
        <v>14.73</v>
      </c>
      <c r="AU1221" s="15" t="n">
        <v>18.63</v>
      </c>
      <c r="AV1221" s="34" t="n">
        <v>46059</v>
      </c>
      <c r="AW1221" s="15" t="n">
        <v>32.8</v>
      </c>
      <c r="AX1221" s="15" t="n">
        <v>37.09</v>
      </c>
      <c r="AY1221" s="34" t="n">
        <v>46059</v>
      </c>
      <c r="AZ1221" s="15" t="n">
        <v>33.3</v>
      </c>
      <c r="BA1221" s="15" t="n">
        <v>51.12</v>
      </c>
      <c r="BB1221" s="34" t="n">
        <v>46059</v>
      </c>
      <c r="BC1221" s="15" t="n">
        <v>79.15000000000001</v>
      </c>
      <c r="BD1221" s="15" t="n">
        <v>91.73</v>
      </c>
      <c r="BE1221" s="34" t="n">
        <v>46059</v>
      </c>
      <c r="BF1221" s="15" t="n">
        <v>130.7</v>
      </c>
      <c r="BG1221" s="15" t="n">
        <v>195.12</v>
      </c>
      <c r="BH1221" s="34" t="n">
        <v>46059</v>
      </c>
      <c r="BI1221" s="15" t="n">
        <v>26.72</v>
      </c>
      <c r="BJ1221" s="15" t="n">
        <v>35.2</v>
      </c>
      <c r="BK1221" s="34" t="n">
        <v>46059</v>
      </c>
      <c r="BL1221" s="15" t="n">
        <v>57.3</v>
      </c>
      <c r="BM1221" s="15" t="n">
        <v>93.18000000000001</v>
      </c>
      <c r="BN1221" s="34" t="n">
        <v>46059</v>
      </c>
      <c r="BO1221" s="15" t="n">
        <v>13.95</v>
      </c>
      <c r="BP1221" s="15" t="n">
        <v>28.59</v>
      </c>
      <c r="BQ1221" s="34" t="n">
        <v>46059</v>
      </c>
      <c r="BR1221" s="15" t="n">
        <v>24.16</v>
      </c>
      <c r="BS1221" s="15" t="n">
        <v>22.98</v>
      </c>
      <c r="BT1221" s="34" t="n">
        <v>46059</v>
      </c>
      <c r="BU1221" s="15" t="n">
        <v>68.8</v>
      </c>
      <c r="BV1221" s="15" t="n">
        <v>100.88</v>
      </c>
      <c r="BW1221" s="34" t="n">
        <v>46059</v>
      </c>
      <c r="BX1221" s="15" t="n">
        <v>96.8</v>
      </c>
      <c r="BY1221" s="15" t="n">
        <v>109.08</v>
      </c>
      <c r="BZ1221" s="34" t="n">
        <v>46059</v>
      </c>
      <c r="CA1221" s="15" t="n">
        <v>16.97</v>
      </c>
      <c r="CB1221" s="15" t="n">
        <v>27.91</v>
      </c>
      <c r="CC1221" s="34" t="n">
        <v>46059</v>
      </c>
      <c r="CD1221" s="15" t="n">
        <v>32.98</v>
      </c>
      <c r="CE1221" s="15" t="n">
        <v>51.18</v>
      </c>
      <c r="CF1221" s="34" t="n">
        <v>46059</v>
      </c>
      <c r="CG1221" s="15" t="n">
        <v>136.2</v>
      </c>
      <c r="CH1221" s="15" t="n">
        <v>174.17</v>
      </c>
      <c r="CI1221" s="34" t="n">
        <v>46059</v>
      </c>
      <c r="CJ1221" s="15" t="n">
        <v>11.39</v>
      </c>
      <c r="CK1221" s="15" t="n">
        <v>18.13</v>
      </c>
      <c r="CL1221" s="34" t="n">
        <v>46059</v>
      </c>
      <c r="CM1221" s="15" t="n">
        <v>104.8</v>
      </c>
      <c r="CN1221" s="15" t="n">
        <v>115.95</v>
      </c>
      <c r="CO1221" s="34" t="n">
        <v>46059</v>
      </c>
      <c r="CP1221" s="15" t="n">
        <v>281.8</v>
      </c>
      <c r="CQ1221" s="15" t="n">
        <v>276.17</v>
      </c>
      <c r="CR1221" s="34" t="n">
        <v>46059</v>
      </c>
      <c r="CS1221" s="15" t="n">
        <v>28.4</v>
      </c>
      <c r="CT1221" s="15" t="n">
        <v>44.52</v>
      </c>
      <c r="CU1221" s="34" t="n">
        <v>46059</v>
      </c>
      <c r="CV1221" s="15" t="n">
        <v>268.4</v>
      </c>
      <c r="CW1221" s="15" t="n">
        <v>275.79</v>
      </c>
      <c r="CX1221" s="34" t="n">
        <v>46059</v>
      </c>
      <c r="CY1221" s="15" t="n">
        <v>41.36</v>
      </c>
      <c r="CZ1221" s="15" t="n">
        <v>51.08</v>
      </c>
      <c r="DA1221" s="34" t="n">
        <v>46059</v>
      </c>
      <c r="DB1221" s="15" t="n">
        <v>110</v>
      </c>
      <c r="DC1221" s="15" t="n">
        <v>147.16</v>
      </c>
      <c r="DD1221" s="34" t="n">
        <v>46059</v>
      </c>
      <c r="DE1221" s="15" t="n">
        <v>40.52</v>
      </c>
      <c r="DF1221" s="15" t="n">
        <v>46.41</v>
      </c>
      <c r="DG1221" s="34" t="n">
        <v>46059</v>
      </c>
    </row>
    <row r="1222">
      <c r="A1222" s="34" t="n">
        <v>46062</v>
      </c>
      <c r="B1222" s="266" t="n">
        <v>1.125753998756409</v>
      </c>
      <c r="C1222" s="34" t="n">
        <v>46062</v>
      </c>
      <c r="D1222" s="15" t="n">
        <v>22.48</v>
      </c>
      <c r="E1222" s="15" t="n">
        <v>37.3</v>
      </c>
      <c r="F1222" s="34" t="n">
        <v>46062</v>
      </c>
      <c r="G1222" s="15" t="n">
        <v>85.15000000000001</v>
      </c>
      <c r="H1222" s="15" t="n">
        <v>103.08</v>
      </c>
      <c r="I1222" s="34" t="n">
        <v>46062</v>
      </c>
      <c r="J1222" s="15" t="n">
        <v>21.5</v>
      </c>
      <c r="K1222" s="15" t="n">
        <v>36.64</v>
      </c>
      <c r="L1222" s="34" t="n">
        <v>46062</v>
      </c>
      <c r="M1222" s="15" t="n">
        <v>43.34</v>
      </c>
      <c r="N1222" s="15" t="n">
        <v>50.35</v>
      </c>
      <c r="O1222" s="34" t="n">
        <v>46062</v>
      </c>
      <c r="P1222" s="15" t="n">
        <v>101.7</v>
      </c>
      <c r="Q1222" s="15" t="n">
        <v>97.09999999999999</v>
      </c>
      <c r="R1222" s="34" t="n">
        <v>46062</v>
      </c>
      <c r="S1222" s="15" t="n">
        <v>49.02</v>
      </c>
      <c r="T1222" s="15" t="n">
        <v>71.65000000000001</v>
      </c>
      <c r="U1222" s="34" t="n">
        <v>46062</v>
      </c>
      <c r="V1222" s="15" t="n">
        <v>23.68</v>
      </c>
      <c r="W1222" s="15" t="n">
        <v>31.79</v>
      </c>
      <c r="X1222" s="34" t="n">
        <v>46062</v>
      </c>
      <c r="Y1222" s="15" t="n">
        <v>88.15000000000001</v>
      </c>
      <c r="Z1222" s="15" t="n">
        <v>79.16</v>
      </c>
      <c r="AA1222" s="34" t="n">
        <v>46062</v>
      </c>
      <c r="AB1222" s="15" t="n">
        <v>10.95</v>
      </c>
      <c r="AC1222" s="15" t="n">
        <v>18.26</v>
      </c>
      <c r="AD1222" s="34" t="n">
        <v>46062</v>
      </c>
      <c r="AE1222" s="15" t="n">
        <v>36.88</v>
      </c>
      <c r="AF1222" s="15" t="n">
        <v>38.97</v>
      </c>
      <c r="AG1222" s="34" t="n">
        <v>46062</v>
      </c>
      <c r="AH1222" s="15" t="n">
        <v>35.94</v>
      </c>
      <c r="AI1222" s="15" t="n">
        <v>37.13</v>
      </c>
      <c r="AJ1222" s="34" t="n">
        <v>46062</v>
      </c>
      <c r="AK1222" s="15" t="n">
        <v>41.26</v>
      </c>
      <c r="AL1222" s="15" t="n">
        <v>97.15000000000001</v>
      </c>
      <c r="AM1222" s="34" t="n">
        <v>46062</v>
      </c>
      <c r="AN1222" s="15" t="n">
        <v>513.5</v>
      </c>
      <c r="AO1222" s="15" t="n">
        <v>368.82</v>
      </c>
      <c r="AP1222" s="34" t="n">
        <v>46062</v>
      </c>
      <c r="AQ1222" s="15" t="n">
        <v>69.05</v>
      </c>
      <c r="AR1222" s="15" t="n">
        <v>57.45</v>
      </c>
      <c r="AS1222" s="34" t="n">
        <v>46062</v>
      </c>
      <c r="AT1222" s="15" t="n">
        <v>15.01</v>
      </c>
      <c r="AU1222" s="15" t="n">
        <v>19.01</v>
      </c>
      <c r="AV1222" s="34" t="n">
        <v>46062</v>
      </c>
      <c r="AW1222" s="15" t="n">
        <v>33.68</v>
      </c>
      <c r="AX1222" s="15" t="n">
        <v>37.16</v>
      </c>
      <c r="AY1222" s="34" t="n">
        <v>46062</v>
      </c>
      <c r="AZ1222" s="15" t="n">
        <v>34.18</v>
      </c>
      <c r="BA1222" s="15" t="n">
        <v>51.58</v>
      </c>
      <c r="BB1222" s="34" t="n">
        <v>46062</v>
      </c>
      <c r="BC1222" s="15" t="n">
        <v>80.75</v>
      </c>
      <c r="BD1222" s="15" t="n">
        <v>93.56999999999999</v>
      </c>
      <c r="BE1222" s="34" t="n">
        <v>46062</v>
      </c>
      <c r="BF1222" s="15" t="n">
        <v>137.9</v>
      </c>
      <c r="BG1222" s="15" t="n">
        <v>206.1</v>
      </c>
      <c r="BH1222" s="34" t="n">
        <v>46062</v>
      </c>
      <c r="BI1222" s="15" t="n">
        <v>27.32</v>
      </c>
      <c r="BJ1222" s="15" t="n">
        <v>35.36</v>
      </c>
      <c r="BK1222" s="34" t="n">
        <v>46062</v>
      </c>
      <c r="BL1222" s="15" t="n">
        <v>60.15</v>
      </c>
      <c r="BM1222" s="15" t="n">
        <v>96.48999999999999</v>
      </c>
      <c r="BN1222" s="34" t="n">
        <v>46062</v>
      </c>
      <c r="BO1222" s="15" t="n">
        <v>14.44</v>
      </c>
      <c r="BP1222" s="15" t="n">
        <v>29.76</v>
      </c>
      <c r="BQ1222" s="34" t="n">
        <v>46062</v>
      </c>
      <c r="BR1222" s="15" t="n">
        <v>25.88</v>
      </c>
      <c r="BS1222" s="15" t="n">
        <v>23.58</v>
      </c>
      <c r="BT1222" s="34" t="n">
        <v>46062</v>
      </c>
      <c r="BU1222" s="15" t="n">
        <v>72.15000000000001</v>
      </c>
      <c r="BV1222" s="15" t="n">
        <v>105.11</v>
      </c>
      <c r="BW1222" s="34" t="n">
        <v>46062</v>
      </c>
      <c r="BX1222" s="15" t="n">
        <v>99.40000000000001</v>
      </c>
      <c r="BY1222" s="15" t="n">
        <v>110.98</v>
      </c>
      <c r="BZ1222" s="34" t="n">
        <v>46062</v>
      </c>
      <c r="CA1222" s="15" t="n">
        <v>17.09</v>
      </c>
      <c r="CB1222" s="15" t="n">
        <v>27.94</v>
      </c>
      <c r="CC1222" s="34" t="n">
        <v>46062</v>
      </c>
      <c r="CD1222" s="15" t="n">
        <v>34.84</v>
      </c>
      <c r="CE1222" s="15" t="n">
        <v>51.8</v>
      </c>
      <c r="CF1222" s="34" t="n">
        <v>46062</v>
      </c>
      <c r="CG1222" s="15" t="n">
        <v>143.4</v>
      </c>
      <c r="CH1222" s="15" t="n">
        <v>178.5</v>
      </c>
      <c r="CI1222" s="34" t="n">
        <v>46062</v>
      </c>
      <c r="CJ1222" s="15" t="n">
        <v>11.7</v>
      </c>
      <c r="CK1222" s="15" t="n">
        <v>18.23</v>
      </c>
      <c r="CL1222" s="34" t="n">
        <v>46062</v>
      </c>
      <c r="CM1222" s="15" t="n">
        <v>104.3</v>
      </c>
      <c r="CN1222" s="15" t="n">
        <v>117.01</v>
      </c>
      <c r="CO1222" s="34" t="n">
        <v>46062</v>
      </c>
      <c r="CP1222" s="15" t="n">
        <v>314</v>
      </c>
      <c r="CQ1222" s="15" t="n">
        <v>292.98</v>
      </c>
      <c r="CR1222" s="34" t="n">
        <v>46062</v>
      </c>
      <c r="CS1222" s="15" t="n">
        <v>29.06</v>
      </c>
      <c r="CT1222" s="15" t="n">
        <v>46.15</v>
      </c>
      <c r="CU1222" s="34" t="n">
        <v>46062</v>
      </c>
      <c r="CV1222" s="15" t="n">
        <v>258</v>
      </c>
      <c r="CW1222" s="15" t="n">
        <v>274</v>
      </c>
      <c r="CX1222" s="34" t="n">
        <v>46062</v>
      </c>
      <c r="CY1222" s="15" t="n">
        <v>41.22</v>
      </c>
      <c r="CZ1222" s="15" t="n">
        <v>50.29</v>
      </c>
      <c r="DA1222" s="34" t="n">
        <v>46062</v>
      </c>
      <c r="DB1222" s="15" t="n">
        <v>120.8</v>
      </c>
      <c r="DC1222" s="15" t="n">
        <v>149.62</v>
      </c>
      <c r="DD1222" s="34" t="n">
        <v>46062</v>
      </c>
      <c r="DE1222" s="15" t="n">
        <v>40.04</v>
      </c>
      <c r="DF1222" s="15" t="n">
        <v>46.65</v>
      </c>
      <c r="DG1222" s="34" t="n">
        <v>46062</v>
      </c>
      <c r="DH1222" s="15" t="n">
        <v>175</v>
      </c>
      <c r="DI1222" s="15" t="n">
        <v>173.45</v>
      </c>
      <c r="DJ1222" s="34" t="n">
        <v>46062</v>
      </c>
    </row>
    <row r="1223">
      <c r="A1223" s="34" t="n">
        <v>46063</v>
      </c>
      <c r="B1223" s="266" t="n">
        <v>1.129003047943115</v>
      </c>
      <c r="C1223" s="34" t="n">
        <v>46063</v>
      </c>
      <c r="D1223" s="15" t="n">
        <v>22.78</v>
      </c>
      <c r="E1223" s="15" t="n">
        <v>37.32</v>
      </c>
      <c r="F1223" s="34" t="n">
        <v>46063</v>
      </c>
      <c r="G1223" s="15" t="n">
        <v>88.15000000000001</v>
      </c>
      <c r="H1223" s="15" t="n">
        <v>104.8</v>
      </c>
      <c r="I1223" s="34" t="n">
        <v>46063</v>
      </c>
      <c r="J1223" s="15" t="n">
        <v>21.42</v>
      </c>
      <c r="K1223" s="15" t="n">
        <v>36.69</v>
      </c>
      <c r="L1223" s="34" t="n">
        <v>46063</v>
      </c>
      <c r="M1223" s="15" t="n">
        <v>42.5</v>
      </c>
      <c r="N1223" s="15" t="n">
        <v>50.19</v>
      </c>
      <c r="O1223" s="34" t="n">
        <v>46063</v>
      </c>
      <c r="P1223" s="15" t="n">
        <v>98.55</v>
      </c>
      <c r="Q1223" s="15" t="n">
        <v>95.09999999999999</v>
      </c>
      <c r="R1223" s="34" t="n">
        <v>46063</v>
      </c>
      <c r="S1223" s="15" t="n">
        <v>49.8</v>
      </c>
      <c r="T1223" s="15" t="n">
        <v>75.15000000000001</v>
      </c>
      <c r="U1223" s="34" t="n">
        <v>46063</v>
      </c>
      <c r="V1223" s="15" t="n">
        <v>23.76</v>
      </c>
      <c r="W1223" s="15" t="n">
        <v>31.77</v>
      </c>
      <c r="X1223" s="34" t="n">
        <v>46063</v>
      </c>
      <c r="Y1223" s="15" t="n">
        <v>89.75</v>
      </c>
      <c r="Z1223" s="15" t="n">
        <v>80.19</v>
      </c>
      <c r="AA1223" s="34" t="n">
        <v>46063</v>
      </c>
      <c r="AB1223" s="15" t="n">
        <v>10.88</v>
      </c>
      <c r="AC1223" s="15" t="n">
        <v>18.13</v>
      </c>
      <c r="AD1223" s="34" t="n">
        <v>46063</v>
      </c>
      <c r="AE1223" s="15" t="n">
        <v>36.9</v>
      </c>
      <c r="AF1223" s="15" t="n">
        <v>38.82</v>
      </c>
      <c r="AG1223" s="34" t="n">
        <v>46063</v>
      </c>
      <c r="AH1223" s="15" t="n">
        <v>35.64</v>
      </c>
      <c r="AI1223" s="15" t="n">
        <v>36.78</v>
      </c>
      <c r="AJ1223" s="34" t="n">
        <v>46063</v>
      </c>
      <c r="AK1223" s="15" t="n">
        <v>42.14</v>
      </c>
      <c r="AL1223" s="15" t="n">
        <v>98.31</v>
      </c>
      <c r="AM1223" s="34" t="n">
        <v>46063</v>
      </c>
      <c r="AN1223" s="15" t="n">
        <v>511</v>
      </c>
      <c r="AO1223" s="15" t="n">
        <v>364.97</v>
      </c>
      <c r="AP1223" s="34" t="n">
        <v>46063</v>
      </c>
      <c r="AQ1223" s="15" t="n">
        <v>69.25</v>
      </c>
      <c r="AR1223" s="15" t="n">
        <v>58.4</v>
      </c>
      <c r="AS1223" s="34" t="n">
        <v>46063</v>
      </c>
      <c r="AT1223" s="15" t="n">
        <v>14.56</v>
      </c>
      <c r="AU1223" s="15" t="n">
        <v>19.19</v>
      </c>
      <c r="AV1223" s="34" t="n">
        <v>46063</v>
      </c>
      <c r="AW1223" s="15" t="n">
        <v>33.04</v>
      </c>
      <c r="AX1223" s="15" t="n">
        <v>36.62</v>
      </c>
      <c r="AY1223" s="34" t="n">
        <v>46063</v>
      </c>
      <c r="AZ1223" s="15" t="n">
        <v>35</v>
      </c>
      <c r="BA1223" s="15" t="n">
        <v>53.3</v>
      </c>
      <c r="BB1223" s="34" t="n">
        <v>46063</v>
      </c>
      <c r="BC1223" s="15" t="n">
        <v>79.40000000000001</v>
      </c>
      <c r="BD1223" s="15" t="n">
        <v>90.01000000000001</v>
      </c>
      <c r="BE1223" s="34" t="n">
        <v>46063</v>
      </c>
      <c r="BF1223" s="15" t="n">
        <v>134.5</v>
      </c>
      <c r="BG1223" s="15" t="n">
        <v>203.33</v>
      </c>
      <c r="BH1223" s="34" t="n">
        <v>46063</v>
      </c>
      <c r="BI1223" s="15" t="n">
        <v>27.36</v>
      </c>
      <c r="BJ1223" s="15" t="n">
        <v>35.1</v>
      </c>
      <c r="BK1223" s="34" t="n">
        <v>46063</v>
      </c>
      <c r="BL1223" s="15" t="n">
        <v>60</v>
      </c>
      <c r="BM1223" s="15" t="n">
        <v>94.29000000000001</v>
      </c>
      <c r="BN1223" s="34" t="n">
        <v>46063</v>
      </c>
      <c r="BO1223" s="15" t="n">
        <v>14.58</v>
      </c>
      <c r="BP1223" s="15" t="n">
        <v>30</v>
      </c>
      <c r="BQ1223" s="34" t="n">
        <v>46063</v>
      </c>
      <c r="BR1223" s="15" t="n">
        <v>26.16</v>
      </c>
      <c r="BS1223" s="15" t="n">
        <v>23.78</v>
      </c>
      <c r="BT1223" s="34" t="n">
        <v>46063</v>
      </c>
      <c r="BU1223" s="15" t="n">
        <v>72.90000000000001</v>
      </c>
      <c r="BV1223" s="15" t="n">
        <v>104.59</v>
      </c>
      <c r="BW1223" s="34" t="n">
        <v>46063</v>
      </c>
      <c r="BX1223" s="15" t="n">
        <v>99</v>
      </c>
      <c r="BY1223" s="15" t="n">
        <v>110.36</v>
      </c>
      <c r="BZ1223" s="34" t="n">
        <v>46063</v>
      </c>
      <c r="CA1223" s="15" t="n">
        <v>16.59</v>
      </c>
      <c r="CB1223" s="15" t="n">
        <v>27.57</v>
      </c>
      <c r="CC1223" s="34" t="n">
        <v>46063</v>
      </c>
      <c r="CD1223" s="15" t="n">
        <v>33.92</v>
      </c>
      <c r="CE1223" s="15" t="n">
        <v>50.66</v>
      </c>
      <c r="CF1223" s="34" t="n">
        <v>46063</v>
      </c>
      <c r="CG1223" s="15" t="n">
        <v>136.1</v>
      </c>
      <c r="CH1223" s="15" t="n">
        <v>175.73</v>
      </c>
      <c r="CI1223" s="34" t="n">
        <v>46063</v>
      </c>
      <c r="CJ1223" s="15" t="n">
        <v>11.78</v>
      </c>
      <c r="CK1223" s="15" t="n">
        <v>18.28</v>
      </c>
      <c r="CL1223" s="34" t="n">
        <v>46063</v>
      </c>
      <c r="CM1223" s="15" t="n">
        <v>104.7</v>
      </c>
      <c r="CN1223" s="15" t="n">
        <v>117.83</v>
      </c>
      <c r="CO1223" s="34" t="n">
        <v>46063</v>
      </c>
      <c r="CP1223" s="15" t="n">
        <v>302</v>
      </c>
      <c r="CQ1223" s="15" t="n">
        <v>289.9</v>
      </c>
      <c r="CR1223" s="34" t="n">
        <v>46063</v>
      </c>
      <c r="CS1223" s="15" t="n">
        <v>29</v>
      </c>
      <c r="CT1223" s="15" t="n">
        <v>45.7</v>
      </c>
      <c r="CU1223" s="34" t="n">
        <v>46063</v>
      </c>
      <c r="CV1223" s="15" t="n">
        <v>250</v>
      </c>
      <c r="CW1223" s="15" t="n">
        <v>270.73</v>
      </c>
      <c r="CX1223" s="34" t="n">
        <v>46063</v>
      </c>
      <c r="CY1223" s="15" t="n">
        <v>44.44</v>
      </c>
      <c r="CZ1223" s="15" t="n">
        <v>50.69</v>
      </c>
      <c r="DA1223" s="34" t="n">
        <v>46063</v>
      </c>
      <c r="DB1223" s="15" t="n">
        <v>118.8</v>
      </c>
      <c r="DC1223" s="15" t="n">
        <v>148.7</v>
      </c>
      <c r="DD1223" s="34" t="n">
        <v>46063</v>
      </c>
      <c r="DE1223" s="15" t="n">
        <v>40.16</v>
      </c>
      <c r="DF1223" s="15" t="n">
        <v>45.92</v>
      </c>
      <c r="DG1223" s="34" t="n">
        <v>46063</v>
      </c>
      <c r="DH1223" s="15" t="n">
        <v>178</v>
      </c>
      <c r="DI1223" s="15" t="n">
        <v>177.5</v>
      </c>
      <c r="DJ1223" s="34" t="n">
        <v>46063</v>
      </c>
    </row>
    <row r="1224">
      <c r="A1224" s="34" t="n">
        <v>46064</v>
      </c>
      <c r="B1224" s="266" t="n">
        <v>1.130962014198303</v>
      </c>
      <c r="C1224" s="34" t="n">
        <v>46064</v>
      </c>
      <c r="D1224" s="15" t="n">
        <v>22.62</v>
      </c>
      <c r="E1224" s="15" t="n">
        <v>37.06</v>
      </c>
      <c r="F1224" s="34" t="n">
        <v>46064</v>
      </c>
      <c r="G1224" s="15" t="n">
        <v>85.84999999999999</v>
      </c>
      <c r="H1224" s="15" t="n">
        <v>103.82</v>
      </c>
      <c r="I1224" s="34" t="n">
        <v>46064</v>
      </c>
      <c r="J1224" s="15" t="n">
        <v>22.48</v>
      </c>
      <c r="K1224" s="15" t="n">
        <v>37.76</v>
      </c>
      <c r="L1224" s="34" t="n">
        <v>46064</v>
      </c>
      <c r="M1224" s="15" t="n">
        <v>43.42</v>
      </c>
      <c r="N1224" s="15" t="n">
        <v>51.15</v>
      </c>
      <c r="O1224" s="34" t="n">
        <v>46064</v>
      </c>
      <c r="P1224" s="15" t="n">
        <v>101.6</v>
      </c>
      <c r="Q1224" s="15" t="n">
        <v>97</v>
      </c>
      <c r="R1224" s="34" t="n">
        <v>46064</v>
      </c>
      <c r="S1224" s="15" t="n">
        <v>52.9</v>
      </c>
      <c r="T1224" s="15" t="n">
        <v>76.34999999999999</v>
      </c>
      <c r="U1224" s="34" t="n">
        <v>46064</v>
      </c>
      <c r="V1224" s="15" t="n">
        <v>23.22</v>
      </c>
      <c r="W1224" s="15" t="n">
        <v>30.6</v>
      </c>
      <c r="X1224" s="34" t="n">
        <v>46064</v>
      </c>
      <c r="Y1224" s="15" t="n">
        <v>89.59999999999999</v>
      </c>
      <c r="Z1224" s="15" t="n">
        <v>79.69</v>
      </c>
      <c r="AA1224" s="34" t="n">
        <v>46064</v>
      </c>
      <c r="AB1224" s="15" t="n">
        <v>11.26</v>
      </c>
      <c r="AC1224" s="15" t="n">
        <v>18.32</v>
      </c>
      <c r="AD1224" s="34" t="n">
        <v>46064</v>
      </c>
      <c r="AE1224" s="15" t="n">
        <v>36.84</v>
      </c>
      <c r="AF1224" s="15" t="n">
        <v>38.56</v>
      </c>
      <c r="AG1224" s="34" t="n">
        <v>46064</v>
      </c>
      <c r="AH1224" s="15" t="n">
        <v>37.76</v>
      </c>
      <c r="AI1224" s="15" t="n">
        <v>38.22</v>
      </c>
      <c r="AJ1224" s="34" t="n">
        <v>46064</v>
      </c>
      <c r="AK1224" s="15" t="n">
        <v>40.84</v>
      </c>
      <c r="AL1224" s="15" t="n">
        <v>96.5</v>
      </c>
      <c r="AM1224" s="34" t="n">
        <v>46064</v>
      </c>
      <c r="AN1224" s="15" t="n">
        <v>507</v>
      </c>
      <c r="AO1224" s="15" t="n">
        <v>368</v>
      </c>
      <c r="AP1224" s="34" t="n">
        <v>46064</v>
      </c>
      <c r="AQ1224" s="15" t="n">
        <v>70.09999999999999</v>
      </c>
      <c r="AR1224" s="15" t="n">
        <v>58.9</v>
      </c>
      <c r="AS1224" s="34" t="n">
        <v>46064</v>
      </c>
      <c r="AT1224" s="15" t="n">
        <v>14.19</v>
      </c>
      <c r="AU1224" s="15" t="n">
        <v>18.82</v>
      </c>
      <c r="AV1224" s="34" t="n">
        <v>46064</v>
      </c>
      <c r="AW1224" s="15" t="n">
        <v>33.52</v>
      </c>
      <c r="AX1224" s="15" t="n">
        <v>36.42</v>
      </c>
      <c r="AY1224" s="34" t="n">
        <v>46064</v>
      </c>
      <c r="AZ1224" s="15" t="n">
        <v>35.02</v>
      </c>
      <c r="BA1224" s="15" t="n">
        <v>52.16</v>
      </c>
      <c r="BB1224" s="34" t="n">
        <v>46064</v>
      </c>
      <c r="BC1224" s="15" t="n">
        <v>80.2</v>
      </c>
      <c r="BD1224" s="15" t="n">
        <v>89.88</v>
      </c>
      <c r="BE1224" s="34" t="n">
        <v>46064</v>
      </c>
      <c r="BF1224" s="15" t="n">
        <v>130.6</v>
      </c>
      <c r="BG1224" s="15" t="n">
        <v>198.23</v>
      </c>
      <c r="BH1224" s="34" t="n">
        <v>46064</v>
      </c>
      <c r="BI1224" s="15" t="n">
        <v>27</v>
      </c>
      <c r="BJ1224" s="15" t="n">
        <v>34.49</v>
      </c>
      <c r="BK1224" s="34" t="n">
        <v>46064</v>
      </c>
      <c r="BL1224" s="15" t="n">
        <v>58.7</v>
      </c>
      <c r="BM1224" s="15" t="n">
        <v>92.19</v>
      </c>
      <c r="BN1224" s="34" t="n">
        <v>46064</v>
      </c>
      <c r="BO1224" s="15" t="n">
        <v>14.62</v>
      </c>
      <c r="BP1224" s="15" t="n">
        <v>30.63</v>
      </c>
      <c r="BQ1224" s="34" t="n">
        <v>46064</v>
      </c>
      <c r="BR1224" s="15" t="n">
        <v>26.84</v>
      </c>
      <c r="BS1224" s="15" t="n">
        <v>23.92</v>
      </c>
      <c r="BT1224" s="34" t="n">
        <v>46064</v>
      </c>
      <c r="BU1224" s="15" t="n">
        <v>68.75</v>
      </c>
      <c r="BV1224" s="15" t="n">
        <v>101.47</v>
      </c>
      <c r="BW1224" s="34" t="n">
        <v>46064</v>
      </c>
      <c r="BX1224" s="15" t="n">
        <v>99.25</v>
      </c>
      <c r="BY1224" s="15" t="n">
        <v>110.45</v>
      </c>
      <c r="BZ1224" s="34" t="n">
        <v>46064</v>
      </c>
      <c r="CA1224" s="15" t="n">
        <v>16.76</v>
      </c>
      <c r="CB1224" s="15" t="n">
        <v>27.52</v>
      </c>
      <c r="CC1224" s="34" t="n">
        <v>46064</v>
      </c>
      <c r="CD1224" s="15" t="n">
        <v>37.82</v>
      </c>
      <c r="CE1224" s="15" t="n">
        <v>55.06</v>
      </c>
      <c r="CF1224" s="34" t="n">
        <v>46064</v>
      </c>
      <c r="CG1224" s="15" t="n">
        <v>135.9</v>
      </c>
      <c r="CH1224" s="15" t="n">
        <v>176</v>
      </c>
      <c r="CI1224" s="34" t="n">
        <v>46064</v>
      </c>
      <c r="CJ1224" s="15" t="n">
        <v>11.23</v>
      </c>
      <c r="CK1224" s="15" t="n">
        <v>18.04</v>
      </c>
      <c r="CL1224" s="34" t="n">
        <v>46064</v>
      </c>
      <c r="CM1224" s="15" t="n">
        <v>103.9</v>
      </c>
      <c r="CN1224" s="15" t="n">
        <v>117.29</v>
      </c>
      <c r="CO1224" s="34" t="n">
        <v>46064</v>
      </c>
      <c r="CP1224" s="15" t="n">
        <v>296</v>
      </c>
      <c r="CQ1224" s="15" t="n">
        <v>284.59</v>
      </c>
      <c r="CR1224" s="34" t="n">
        <v>46064</v>
      </c>
      <c r="CS1224" s="15" t="n">
        <v>28.1</v>
      </c>
      <c r="CT1224" s="15" t="n">
        <v>45.43</v>
      </c>
      <c r="CU1224" s="34" t="n">
        <v>46064</v>
      </c>
      <c r="CV1224" s="15" t="n">
        <v>260</v>
      </c>
      <c r="CW1224" s="15" t="n">
        <v>269.18</v>
      </c>
      <c r="CX1224" s="34" t="n">
        <v>46064</v>
      </c>
      <c r="CY1224" s="15" t="n">
        <v>45.8</v>
      </c>
      <c r="CZ1224" s="15" t="n">
        <v>50.74</v>
      </c>
      <c r="DA1224" s="34" t="n">
        <v>46064</v>
      </c>
      <c r="DB1224" s="15" t="n">
        <v>122.2</v>
      </c>
      <c r="DC1224" s="15" t="n">
        <v>150.7</v>
      </c>
      <c r="DD1224" s="34" t="n">
        <v>46064</v>
      </c>
      <c r="DE1224" s="15" t="n">
        <v>40.26</v>
      </c>
      <c r="DF1224" s="15" t="n">
        <v>46.03</v>
      </c>
      <c r="DG1224" s="34" t="n">
        <v>46064</v>
      </c>
      <c r="DH1224" s="15" t="n">
        <v>172.7</v>
      </c>
      <c r="DI1224" s="15" t="n">
        <v>169.9</v>
      </c>
      <c r="DJ1224" s="34" t="n">
        <v>46064</v>
      </c>
      <c r="DK1224" s="15" t="n">
        <v>45.8</v>
      </c>
      <c r="DL1224" s="15" t="n">
        <v>55.35</v>
      </c>
      <c r="DM1224" s="34" t="n">
        <v>46064</v>
      </c>
    </row>
    <row r="1225">
      <c r="A1225" s="34" t="n">
        <v>46065</v>
      </c>
      <c r="B1225" s="266" t="n">
        <v>1.130671977996826</v>
      </c>
      <c r="C1225" s="34" t="n">
        <v>46065</v>
      </c>
      <c r="D1225" s="15" t="n">
        <v>22.44</v>
      </c>
      <c r="E1225" s="15" t="n">
        <v>37.6</v>
      </c>
      <c r="F1225" s="34" t="n">
        <v>46065</v>
      </c>
      <c r="G1225" s="15" t="n">
        <v>83.05</v>
      </c>
      <c r="H1225" s="15" t="n">
        <v>103.45</v>
      </c>
      <c r="I1225" s="34" t="n">
        <v>46065</v>
      </c>
      <c r="J1225" s="15" t="n">
        <v>23.28</v>
      </c>
      <c r="K1225" s="15" t="n">
        <v>38.43</v>
      </c>
      <c r="L1225" s="34" t="n">
        <v>46065</v>
      </c>
      <c r="M1225" s="15" t="n">
        <v>43.4</v>
      </c>
      <c r="N1225" s="15" t="n">
        <v>51.29</v>
      </c>
      <c r="O1225" s="34" t="n">
        <v>46065</v>
      </c>
      <c r="P1225" s="15" t="n">
        <v>99.7</v>
      </c>
      <c r="Q1225" s="15" t="n">
        <v>94.17</v>
      </c>
      <c r="R1225" s="34" t="n">
        <v>46065</v>
      </c>
      <c r="S1225" s="15" t="n">
        <v>53</v>
      </c>
      <c r="T1225" s="15" t="n">
        <v>76.75</v>
      </c>
      <c r="U1225" s="34" t="n">
        <v>46065</v>
      </c>
      <c r="V1225" s="15" t="n">
        <v>25</v>
      </c>
      <c r="W1225" s="15" t="n">
        <v>31.7</v>
      </c>
      <c r="X1225" s="34" t="n">
        <v>46065</v>
      </c>
      <c r="Y1225" s="15" t="n">
        <v>90.8</v>
      </c>
      <c r="Z1225" s="15" t="n">
        <v>79.8</v>
      </c>
      <c r="AA1225" s="34" t="n">
        <v>46065</v>
      </c>
      <c r="AB1225" s="15" t="n">
        <v>10.96</v>
      </c>
      <c r="AC1225" s="15" t="n">
        <v>18.09</v>
      </c>
      <c r="AD1225" s="34" t="n">
        <v>46065</v>
      </c>
      <c r="AE1225" s="15" t="n">
        <v>36.4</v>
      </c>
      <c r="AF1225" s="15" t="n">
        <v>38.18</v>
      </c>
      <c r="AG1225" s="34" t="n">
        <v>46065</v>
      </c>
      <c r="AH1225" s="15" t="n">
        <v>37.26</v>
      </c>
      <c r="AI1225" s="15" t="n">
        <v>38.25</v>
      </c>
      <c r="AJ1225" s="34" t="n">
        <v>46065</v>
      </c>
      <c r="AK1225" s="15" t="n">
        <v>40.38</v>
      </c>
      <c r="AL1225" s="15" t="n">
        <v>93.7</v>
      </c>
      <c r="AM1225" s="34" t="n">
        <v>46065</v>
      </c>
      <c r="AN1225" s="15" t="n">
        <v>528</v>
      </c>
      <c r="AO1225" s="15" t="n">
        <v>375.87</v>
      </c>
      <c r="AP1225" s="34" t="n">
        <v>46065</v>
      </c>
      <c r="AQ1225" s="15" t="n">
        <v>70.59999999999999</v>
      </c>
      <c r="AR1225" s="15" t="n">
        <v>58.74</v>
      </c>
      <c r="AS1225" s="34" t="n">
        <v>46065</v>
      </c>
      <c r="AT1225" s="15" t="n">
        <v>14.3</v>
      </c>
      <c r="AU1225" s="15" t="n">
        <v>18.65</v>
      </c>
      <c r="AV1225" s="34" t="n">
        <v>46065</v>
      </c>
      <c r="AW1225" s="15" t="n">
        <v>33.5</v>
      </c>
      <c r="AX1225" s="15" t="n">
        <v>35.94</v>
      </c>
      <c r="AY1225" s="34" t="n">
        <v>46065</v>
      </c>
      <c r="AZ1225" s="15" t="n">
        <v>35.34</v>
      </c>
      <c r="BA1225" s="15" t="n">
        <v>52.67</v>
      </c>
      <c r="BB1225" s="34" t="n">
        <v>46065</v>
      </c>
      <c r="BC1225" s="15" t="n">
        <v>79.5</v>
      </c>
      <c r="BD1225" s="15" t="n">
        <v>88.12</v>
      </c>
      <c r="BE1225" s="34" t="n">
        <v>46065</v>
      </c>
      <c r="BF1225" s="15" t="n">
        <v>136</v>
      </c>
      <c r="BG1225" s="15" t="n">
        <v>200.13</v>
      </c>
      <c r="BH1225" s="34" t="n">
        <v>46065</v>
      </c>
      <c r="BI1225" s="15" t="n">
        <v>27.6</v>
      </c>
      <c r="BJ1225" s="15" t="n">
        <v>34.77</v>
      </c>
      <c r="BK1225" s="34" t="n">
        <v>46065</v>
      </c>
      <c r="BL1225" s="15" t="n">
        <v>59.8</v>
      </c>
      <c r="BM1225" s="15" t="n">
        <v>92.59999999999999</v>
      </c>
      <c r="BN1225" s="34" t="n">
        <v>46065</v>
      </c>
      <c r="BO1225" s="15" t="n">
        <v>14.67</v>
      </c>
      <c r="BP1225" s="15" t="n">
        <v>30.72</v>
      </c>
      <c r="BQ1225" s="34" t="n">
        <v>46065</v>
      </c>
      <c r="BR1225" s="15" t="n">
        <v>26.54</v>
      </c>
      <c r="BS1225" s="15" t="n">
        <v>23.96</v>
      </c>
      <c r="BT1225" s="34" t="n">
        <v>46065</v>
      </c>
      <c r="BU1225" s="15" t="n">
        <v>67.55</v>
      </c>
      <c r="BV1225" s="15" t="n">
        <v>103.6</v>
      </c>
      <c r="BW1225" s="34" t="n">
        <v>46065</v>
      </c>
      <c r="BX1225" s="15" t="n">
        <v>99.2</v>
      </c>
      <c r="BY1225" s="15" t="n">
        <v>108.88</v>
      </c>
      <c r="BZ1225" s="34" t="n">
        <v>46065</v>
      </c>
      <c r="CA1225" s="15" t="n">
        <v>17.38</v>
      </c>
      <c r="CB1225" s="15" t="n">
        <v>27.93</v>
      </c>
      <c r="CC1225" s="34" t="n">
        <v>46065</v>
      </c>
      <c r="CD1225" s="15" t="n">
        <v>37.38</v>
      </c>
      <c r="CE1225" s="15" t="n">
        <v>55.39</v>
      </c>
      <c r="CF1225" s="34" t="n">
        <v>46065</v>
      </c>
      <c r="CG1225" s="15" t="n">
        <v>138.8</v>
      </c>
      <c r="CH1225" s="15" t="n">
        <v>183</v>
      </c>
      <c r="CI1225" s="34" t="n">
        <v>46065</v>
      </c>
      <c r="CJ1225" s="15" t="n">
        <v>10.7</v>
      </c>
      <c r="CK1225" s="15" t="n">
        <v>17.88</v>
      </c>
      <c r="CL1225" s="34" t="n">
        <v>46065</v>
      </c>
      <c r="CM1225" s="15" t="n">
        <v>100.4</v>
      </c>
      <c r="CN1225" s="15" t="n">
        <v>117.05</v>
      </c>
      <c r="CO1225" s="34" t="n">
        <v>46065</v>
      </c>
      <c r="CP1225" s="15" t="n">
        <v>358</v>
      </c>
      <c r="CQ1225" s="15" t="n">
        <v>303.24</v>
      </c>
      <c r="CR1225" s="34" t="n">
        <v>46065</v>
      </c>
      <c r="CS1225" s="15" t="n">
        <v>28.12</v>
      </c>
      <c r="CT1225" s="15" t="n">
        <v>46.08</v>
      </c>
      <c r="CU1225" s="34" t="n">
        <v>46065</v>
      </c>
      <c r="CV1225" s="15" t="n">
        <v>262.8</v>
      </c>
      <c r="CW1225" s="15" t="n">
        <v>267.9</v>
      </c>
      <c r="CX1225" s="34" t="n">
        <v>46065</v>
      </c>
      <c r="CY1225" s="15" t="n">
        <v>47.04</v>
      </c>
      <c r="CZ1225" s="15" t="n">
        <v>51.55</v>
      </c>
      <c r="DA1225" s="34" t="n">
        <v>46065</v>
      </c>
      <c r="DB1225" s="15" t="n">
        <v>118.8</v>
      </c>
      <c r="DC1225" s="15" t="n">
        <v>151.7</v>
      </c>
      <c r="DD1225" s="34" t="n">
        <v>46065</v>
      </c>
      <c r="DE1225" s="15" t="n">
        <v>39.2</v>
      </c>
      <c r="DF1225" s="15" t="n">
        <v>45.24</v>
      </c>
      <c r="DG1225" s="34" t="n">
        <v>46065</v>
      </c>
      <c r="DH1225" s="15" t="n">
        <v>182.3</v>
      </c>
      <c r="DI1225" s="15" t="n">
        <v>168.11</v>
      </c>
      <c r="DJ1225" s="34" t="n">
        <v>46065</v>
      </c>
      <c r="DK1225" s="15" t="n">
        <v>43.8</v>
      </c>
      <c r="DL1225" s="15" t="n">
        <v>55.2</v>
      </c>
      <c r="DM1225" s="34" t="n">
        <v>46065</v>
      </c>
    </row>
    <row r="1226">
      <c r="A1226" s="34" t="n">
        <v>46066</v>
      </c>
      <c r="B1226" s="266" t="n">
        <v>1.132490992546082</v>
      </c>
      <c r="C1226" s="34" t="n">
        <v>46066</v>
      </c>
      <c r="D1226" s="15" t="n">
        <v>21.58</v>
      </c>
      <c r="E1226" s="15" t="n">
        <v>36.06</v>
      </c>
      <c r="F1226" s="34" t="n">
        <v>46066</v>
      </c>
      <c r="G1226" s="15" t="n">
        <v>81.05</v>
      </c>
      <c r="H1226" s="15" t="n">
        <v>100.58</v>
      </c>
      <c r="I1226" s="34" t="n">
        <v>46066</v>
      </c>
      <c r="J1226" s="15" t="n">
        <v>22.42</v>
      </c>
      <c r="K1226" s="15" t="n">
        <v>37.28</v>
      </c>
      <c r="L1226" s="34" t="n">
        <v>46066</v>
      </c>
      <c r="M1226" s="15" t="n">
        <v>42.8</v>
      </c>
      <c r="N1226" s="15" t="n">
        <v>51.24</v>
      </c>
      <c r="O1226" s="34" t="n">
        <v>46066</v>
      </c>
      <c r="P1226" s="15" t="n">
        <v>103.5</v>
      </c>
      <c r="Q1226" s="15" t="n">
        <v>94.64</v>
      </c>
      <c r="R1226" s="34" t="n">
        <v>46066</v>
      </c>
      <c r="S1226" s="15" t="n">
        <v>53.5</v>
      </c>
      <c r="T1226" s="15" t="n">
        <v>75.59999999999999</v>
      </c>
      <c r="U1226" s="34" t="n">
        <v>46066</v>
      </c>
      <c r="V1226" s="15" t="n">
        <v>24.72</v>
      </c>
      <c r="W1226" s="15" t="n">
        <v>31.11</v>
      </c>
      <c r="X1226" s="34" t="n">
        <v>46066</v>
      </c>
      <c r="Y1226" s="15" t="n">
        <v>90.25</v>
      </c>
      <c r="Z1226" s="15" t="n">
        <v>79.05</v>
      </c>
      <c r="AA1226" s="34" t="n">
        <v>46066</v>
      </c>
      <c r="AB1226" s="15" t="n">
        <v>11.12</v>
      </c>
      <c r="AC1226" s="15" t="n">
        <v>18.1</v>
      </c>
      <c r="AD1226" s="34" t="n">
        <v>46066</v>
      </c>
      <c r="AE1226" s="15" t="n">
        <v>36.2</v>
      </c>
      <c r="AF1226" s="15" t="n">
        <v>37.84</v>
      </c>
      <c r="AG1226" s="34" t="n">
        <v>46066</v>
      </c>
      <c r="AH1226" s="15" t="n">
        <v>35.92</v>
      </c>
      <c r="AI1226" s="15" t="n">
        <v>37.3</v>
      </c>
      <c r="AJ1226" s="34" t="n">
        <v>46066</v>
      </c>
      <c r="AK1226" s="15" t="n">
        <v>36.76</v>
      </c>
      <c r="AL1226" s="15" t="n">
        <v>89.48999999999999</v>
      </c>
      <c r="AM1226" s="34" t="n">
        <v>46066</v>
      </c>
      <c r="AN1226" s="15" t="n">
        <v>517.5</v>
      </c>
      <c r="AO1226" s="15" t="n">
        <v>365.34</v>
      </c>
      <c r="AP1226" s="34" t="n">
        <v>46066</v>
      </c>
      <c r="AQ1226" s="15" t="n">
        <v>70.25</v>
      </c>
      <c r="AR1226" s="15" t="n">
        <v>58.23</v>
      </c>
      <c r="AS1226" s="34" t="n">
        <v>46066</v>
      </c>
      <c r="AT1226" s="15" t="n">
        <v>14.25</v>
      </c>
      <c r="AU1226" s="15" t="n">
        <v>18.53</v>
      </c>
      <c r="AV1226" s="34" t="n">
        <v>46066</v>
      </c>
      <c r="AW1226" s="15" t="n">
        <v>32.94</v>
      </c>
      <c r="AX1226" s="15" t="n">
        <v>35.64</v>
      </c>
      <c r="AY1226" s="34" t="n">
        <v>46066</v>
      </c>
      <c r="AZ1226" s="15" t="n">
        <v>36.1</v>
      </c>
      <c r="BA1226" s="15" t="n">
        <v>53.48</v>
      </c>
      <c r="BB1226" s="34" t="n">
        <v>46066</v>
      </c>
      <c r="BC1226" s="15" t="n">
        <v>78.84999999999999</v>
      </c>
      <c r="BD1226" s="15" t="n">
        <v>87.7</v>
      </c>
      <c r="BE1226" s="34" t="n">
        <v>46066</v>
      </c>
      <c r="BF1226" s="15" t="n">
        <v>145.9</v>
      </c>
      <c r="BG1226" s="15" t="n">
        <v>203.96</v>
      </c>
      <c r="BH1226" s="34" t="n">
        <v>46066</v>
      </c>
      <c r="BI1226" s="15" t="n">
        <v>27.62</v>
      </c>
      <c r="BJ1226" s="15" t="n">
        <v>34.29</v>
      </c>
      <c r="BK1226" s="34" t="n">
        <v>46066</v>
      </c>
      <c r="BL1226" s="15" t="n">
        <v>57.9</v>
      </c>
      <c r="BM1226" s="15" t="n">
        <v>91.23999999999999</v>
      </c>
      <c r="BN1226" s="34" t="n">
        <v>46066</v>
      </c>
      <c r="BO1226" s="15" t="n">
        <v>14.68</v>
      </c>
      <c r="BP1226" s="15" t="n">
        <v>30.15</v>
      </c>
      <c r="BQ1226" s="34" t="n">
        <v>46066</v>
      </c>
      <c r="BR1226" s="15" t="n">
        <v>25.38</v>
      </c>
      <c r="BS1226" s="15" t="n">
        <v>23.12</v>
      </c>
      <c r="BT1226" s="34" t="n">
        <v>46066</v>
      </c>
      <c r="BU1226" s="15" t="n">
        <v>66.34999999999999</v>
      </c>
      <c r="BV1226" s="15" t="n">
        <v>101.65</v>
      </c>
      <c r="BW1226" s="34" t="n">
        <v>46066</v>
      </c>
      <c r="BX1226" s="15" t="n">
        <v>100.1</v>
      </c>
      <c r="BY1226" s="15" t="n">
        <v>109.22</v>
      </c>
      <c r="BZ1226" s="34" t="n">
        <v>46066</v>
      </c>
      <c r="CA1226" s="15" t="n">
        <v>17.52</v>
      </c>
      <c r="CB1226" s="15" t="n">
        <v>27.9</v>
      </c>
      <c r="CC1226" s="34" t="n">
        <v>46066</v>
      </c>
      <c r="CD1226" s="15" t="n">
        <v>36.16</v>
      </c>
      <c r="CE1226" s="15" t="n">
        <v>54.81</v>
      </c>
      <c r="CF1226" s="34" t="n">
        <v>46066</v>
      </c>
      <c r="CG1226" s="15" t="n">
        <v>138</v>
      </c>
      <c r="CH1226" s="15" t="n">
        <v>179.25</v>
      </c>
      <c r="CI1226" s="34" t="n">
        <v>46066</v>
      </c>
      <c r="CJ1226" s="15" t="n">
        <v>10.66</v>
      </c>
      <c r="CK1226" s="15" t="n">
        <v>17.68</v>
      </c>
      <c r="CL1226" s="34" t="n">
        <v>46066</v>
      </c>
      <c r="CM1226" s="15" t="n">
        <v>101.2</v>
      </c>
      <c r="CN1226" s="15" t="n">
        <v>115.82</v>
      </c>
      <c r="CO1226" s="34" t="n">
        <v>46066</v>
      </c>
      <c r="CP1226" s="15" t="n">
        <v>370</v>
      </c>
      <c r="CQ1226" s="15" t="n">
        <v>308.7</v>
      </c>
      <c r="CR1226" s="34" t="n">
        <v>46066</v>
      </c>
      <c r="CS1226" s="15" t="n">
        <v>30.36</v>
      </c>
      <c r="CT1226" s="15" t="n">
        <v>46.83</v>
      </c>
      <c r="CU1226" s="34" t="n">
        <v>46066</v>
      </c>
      <c r="CV1226" s="15" t="n">
        <v>257.2</v>
      </c>
      <c r="CW1226" s="15" t="n">
        <v>264.8</v>
      </c>
      <c r="CX1226" s="34" t="n">
        <v>46066</v>
      </c>
      <c r="CY1226" s="15" t="n">
        <v>51.55</v>
      </c>
      <c r="CZ1226" s="15" t="n">
        <v>53.3</v>
      </c>
      <c r="DA1226" s="34" t="n">
        <v>46066</v>
      </c>
      <c r="DB1226" s="15" t="n">
        <v>112.6</v>
      </c>
      <c r="DC1226" s="15" t="n">
        <v>149</v>
      </c>
      <c r="DD1226" s="34" t="n">
        <v>46066</v>
      </c>
      <c r="DE1226" s="15" t="n">
        <v>39.2</v>
      </c>
      <c r="DF1226" s="15" t="n">
        <v>45.35</v>
      </c>
      <c r="DG1226" s="34" t="n">
        <v>46066</v>
      </c>
      <c r="DH1226" s="15" t="n">
        <v>185</v>
      </c>
      <c r="DI1226" s="15" t="n">
        <v>164.6</v>
      </c>
      <c r="DJ1226" s="34" t="n">
        <v>46066</v>
      </c>
      <c r="DK1226" s="15" t="n">
        <v>45.4</v>
      </c>
      <c r="DL1226" s="15" t="n">
        <v>54.8</v>
      </c>
      <c r="DM1226" s="34" t="n">
        <v>46066</v>
      </c>
      <c r="DN1226" s="15" t="n">
        <v>20.68</v>
      </c>
      <c r="DO1226" s="15" t="n">
        <v>27.36</v>
      </c>
      <c r="DP1226" s="34" t="n">
        <v>46066</v>
      </c>
    </row>
    <row r="1227">
      <c r="A1227" s="34" t="n">
        <v>46069</v>
      </c>
      <c r="B1227" s="266" t="n">
        <v>1.131224036216736</v>
      </c>
      <c r="C1227" s="34" t="n">
        <v>46069</v>
      </c>
      <c r="D1227" s="15" t="n">
        <v>22.12</v>
      </c>
      <c r="E1227" s="15" t="n">
        <v>36.06</v>
      </c>
      <c r="F1227" s="34" t="n">
        <v>46066</v>
      </c>
      <c r="G1227" s="15" t="n">
        <v>81.05</v>
      </c>
      <c r="H1227" s="15" t="n">
        <v>100.58</v>
      </c>
      <c r="I1227" s="34" t="n">
        <v>46066</v>
      </c>
      <c r="J1227" s="15" t="n">
        <v>22.18</v>
      </c>
      <c r="K1227" s="15" t="n">
        <v>37.28</v>
      </c>
      <c r="L1227" s="34" t="n">
        <v>46066</v>
      </c>
      <c r="M1227" s="15" t="n">
        <v>44.14</v>
      </c>
      <c r="N1227" s="15" t="n">
        <v>51.24</v>
      </c>
      <c r="O1227" s="34" t="n">
        <v>46066</v>
      </c>
      <c r="P1227" s="15" t="n">
        <v>106.6</v>
      </c>
      <c r="Q1227" s="15" t="n">
        <v>94.64</v>
      </c>
      <c r="R1227" s="34" t="n">
        <v>46066</v>
      </c>
      <c r="S1227" s="15" t="n">
        <v>50.95</v>
      </c>
      <c r="T1227" s="15" t="n">
        <v>75.59999999999999</v>
      </c>
      <c r="U1227" s="34" t="n">
        <v>46066</v>
      </c>
      <c r="V1227" s="15" t="n">
        <v>25.04</v>
      </c>
      <c r="W1227" s="15" t="n">
        <v>31.11</v>
      </c>
      <c r="X1227" s="34" t="n">
        <v>46066</v>
      </c>
      <c r="Y1227" s="15" t="n">
        <v>91.7</v>
      </c>
      <c r="Z1227" s="15" t="n">
        <v>79.05</v>
      </c>
      <c r="AA1227" s="34" t="n">
        <v>46066</v>
      </c>
      <c r="AB1227" s="15" t="n">
        <v>10.79</v>
      </c>
      <c r="AC1227" s="15" t="n">
        <v>18.1</v>
      </c>
      <c r="AD1227" s="34" t="n">
        <v>46066</v>
      </c>
      <c r="AE1227" s="15" t="n">
        <v>36.28</v>
      </c>
      <c r="AF1227" s="15" t="n">
        <v>37.84</v>
      </c>
      <c r="AG1227" s="34" t="n">
        <v>46066</v>
      </c>
      <c r="AH1227" s="15" t="n">
        <v>37.18</v>
      </c>
      <c r="AI1227" s="15" t="n">
        <v>37.3</v>
      </c>
      <c r="AJ1227" s="34" t="n">
        <v>46066</v>
      </c>
      <c r="AK1227" s="15" t="n">
        <v>37.44</v>
      </c>
      <c r="AL1227" s="15" t="n">
        <v>89.48999999999999</v>
      </c>
      <c r="AM1227" s="34" t="n">
        <v>46066</v>
      </c>
      <c r="AN1227" s="15" t="n">
        <v>531.5</v>
      </c>
      <c r="AO1227" s="15" t="n">
        <v>365.34</v>
      </c>
      <c r="AP1227" s="34" t="n">
        <v>46066</v>
      </c>
      <c r="AQ1227" s="15" t="n">
        <v>70.90000000000001</v>
      </c>
      <c r="AR1227" s="15" t="n">
        <v>58.23</v>
      </c>
      <c r="AS1227" s="34" t="n">
        <v>46066</v>
      </c>
      <c r="AT1227" s="15" t="n">
        <v>14.75</v>
      </c>
      <c r="AU1227" s="15" t="n">
        <v>18.53</v>
      </c>
      <c r="AV1227" s="34" t="n">
        <v>46066</v>
      </c>
      <c r="AW1227" s="15" t="n">
        <v>33.32</v>
      </c>
      <c r="AX1227" s="15" t="n">
        <v>35.64</v>
      </c>
      <c r="AY1227" s="34" t="n">
        <v>46066</v>
      </c>
      <c r="AZ1227" s="15" t="n">
        <v>35.52</v>
      </c>
      <c r="BA1227" s="15" t="n">
        <v>53.48</v>
      </c>
      <c r="BB1227" s="34" t="n">
        <v>46066</v>
      </c>
      <c r="BC1227" s="15" t="n">
        <v>80</v>
      </c>
      <c r="BD1227" s="15" t="n">
        <v>87.7</v>
      </c>
      <c r="BE1227" s="34" t="n">
        <v>46066</v>
      </c>
      <c r="BF1227" s="15" t="n">
        <v>138.8</v>
      </c>
      <c r="BG1227" s="15" t="n">
        <v>203.96</v>
      </c>
      <c r="BH1227" s="34" t="n">
        <v>46066</v>
      </c>
      <c r="BI1227" s="15" t="n">
        <v>27.2</v>
      </c>
      <c r="BJ1227" s="15" t="n">
        <v>34.29</v>
      </c>
      <c r="BK1227" s="34" t="n">
        <v>46066</v>
      </c>
      <c r="BL1227" s="15" t="n">
        <v>57.2</v>
      </c>
      <c r="BM1227" s="15" t="n">
        <v>91.23999999999999</v>
      </c>
      <c r="BN1227" s="34" t="n">
        <v>46066</v>
      </c>
      <c r="BO1227" s="15" t="n">
        <v>14.37</v>
      </c>
      <c r="BP1227" s="15" t="n">
        <v>30.15</v>
      </c>
      <c r="BQ1227" s="34" t="n">
        <v>46066</v>
      </c>
      <c r="BR1227" s="15" t="n">
        <v>26.4</v>
      </c>
      <c r="BS1227" s="15" t="n">
        <v>23.12</v>
      </c>
      <c r="BT1227" s="34" t="n">
        <v>46066</v>
      </c>
      <c r="BU1227" s="15" t="n">
        <v>68</v>
      </c>
      <c r="BV1227" s="15" t="n">
        <v>101.65</v>
      </c>
      <c r="BW1227" s="34" t="n">
        <v>46066</v>
      </c>
      <c r="BX1227" s="15" t="n">
        <v>96.90000000000001</v>
      </c>
      <c r="BY1227" s="15" t="n">
        <v>109.22</v>
      </c>
      <c r="BZ1227" s="34" t="n">
        <v>46066</v>
      </c>
      <c r="CA1227" s="15" t="n">
        <v>17.11</v>
      </c>
      <c r="CB1227" s="15" t="n">
        <v>27.9</v>
      </c>
      <c r="CC1227" s="34" t="n">
        <v>46066</v>
      </c>
      <c r="CD1227" s="15" t="n">
        <v>35.7</v>
      </c>
      <c r="CE1227" s="15" t="n">
        <v>54.81</v>
      </c>
      <c r="CF1227" s="34" t="n">
        <v>46066</v>
      </c>
      <c r="CG1227" s="15" t="n">
        <v>138</v>
      </c>
      <c r="CH1227" s="15" t="n">
        <v>179.25</v>
      </c>
      <c r="CI1227" s="34" t="n">
        <v>46066</v>
      </c>
      <c r="CJ1227" s="15" t="n">
        <v>10.24</v>
      </c>
      <c r="CK1227" s="15" t="n">
        <v>17.68</v>
      </c>
      <c r="CL1227" s="34" t="n">
        <v>46066</v>
      </c>
      <c r="CM1227" s="15" t="n">
        <v>105.8</v>
      </c>
      <c r="CN1227" s="15" t="n">
        <v>115.82</v>
      </c>
      <c r="CO1227" s="34" t="n">
        <v>46066</v>
      </c>
      <c r="CP1227" s="15" t="n">
        <v>406.2</v>
      </c>
      <c r="CQ1227" s="15" t="n">
        <v>308.7</v>
      </c>
      <c r="CR1227" s="34" t="n">
        <v>46066</v>
      </c>
      <c r="CS1227" s="15" t="n">
        <v>30.72</v>
      </c>
      <c r="CT1227" s="15" t="n">
        <v>46.83</v>
      </c>
      <c r="CU1227" s="34" t="n">
        <v>46066</v>
      </c>
      <c r="CV1227" s="15" t="n">
        <v>252</v>
      </c>
      <c r="CW1227" s="15" t="n">
        <v>264.8</v>
      </c>
      <c r="CX1227" s="34" t="n">
        <v>46066</v>
      </c>
      <c r="CY1227" s="15" t="n">
        <v>51.8</v>
      </c>
      <c r="CZ1227" s="15" t="n">
        <v>53.3</v>
      </c>
      <c r="DA1227" s="34" t="n">
        <v>46066</v>
      </c>
      <c r="DB1227" s="15" t="n">
        <v>117.2</v>
      </c>
      <c r="DC1227" s="15" t="n">
        <v>149</v>
      </c>
      <c r="DD1227" s="34" t="n">
        <v>46066</v>
      </c>
      <c r="DE1227" s="15" t="n">
        <v>39.34</v>
      </c>
      <c r="DF1227" s="15" t="n">
        <v>45.35</v>
      </c>
      <c r="DG1227" s="34" t="n">
        <v>46066</v>
      </c>
      <c r="DH1227" s="15" t="n">
        <v>211</v>
      </c>
      <c r="DI1227" s="15" t="n">
        <v>164.6</v>
      </c>
      <c r="DJ1227" s="34" t="n">
        <v>46066</v>
      </c>
      <c r="DK1227" s="15" t="n">
        <v>46</v>
      </c>
      <c r="DL1227" s="15" t="n">
        <v>54.8</v>
      </c>
      <c r="DM1227" s="34" t="n">
        <v>46066</v>
      </c>
      <c r="DN1227" s="15" t="n">
        <v>20.8</v>
      </c>
      <c r="DO1227" s="15" t="n">
        <v>27.36</v>
      </c>
      <c r="DP1227" s="34" t="n">
        <v>46066</v>
      </c>
    </row>
    <row r="1228">
      <c r="A1228" s="34" t="n">
        <v>46073</v>
      </c>
      <c r="B1228" s="266" t="n">
        <v>1.131005048751831</v>
      </c>
      <c r="C1228" s="34" t="n">
        <v>46073</v>
      </c>
      <c r="D1228" s="15" t="n">
        <v>21.62</v>
      </c>
      <c r="E1228" s="15" t="n">
        <v>36.06</v>
      </c>
      <c r="F1228" s="34" t="n">
        <v>46066</v>
      </c>
      <c r="G1228" s="15" t="n">
        <v>79.8</v>
      </c>
      <c r="H1228" s="15" t="n">
        <v>100.58</v>
      </c>
      <c r="I1228" s="34" t="n">
        <v>46066</v>
      </c>
      <c r="J1228" s="15" t="n">
        <v>21.86</v>
      </c>
      <c r="K1228" s="15" t="n">
        <v>37.28</v>
      </c>
      <c r="L1228" s="34" t="n">
        <v>46066</v>
      </c>
      <c r="M1228" s="15" t="n">
        <v>44.1</v>
      </c>
      <c r="N1228" s="15" t="n">
        <v>51.24</v>
      </c>
      <c r="O1228" s="34" t="n">
        <v>46066</v>
      </c>
      <c r="P1228" s="15" t="n">
        <v>100.8</v>
      </c>
      <c r="Q1228" s="15" t="n">
        <v>94.64</v>
      </c>
      <c r="R1228" s="34" t="n">
        <v>46066</v>
      </c>
      <c r="S1228" s="15" t="n">
        <v>52.6</v>
      </c>
      <c r="T1228" s="15" t="n">
        <v>75.59999999999999</v>
      </c>
      <c r="U1228" s="34" t="n">
        <v>46066</v>
      </c>
      <c r="V1228" s="15" t="n">
        <v>24.48</v>
      </c>
      <c r="W1228" s="15" t="n">
        <v>31.11</v>
      </c>
      <c r="X1228" s="34" t="n">
        <v>46066</v>
      </c>
      <c r="Y1228" s="15" t="n">
        <v>94.2</v>
      </c>
      <c r="Z1228" s="15" t="n">
        <v>79.05</v>
      </c>
      <c r="AA1228" s="34" t="n">
        <v>46066</v>
      </c>
      <c r="AB1228" s="15" t="n">
        <v>10.58</v>
      </c>
      <c r="AC1228" s="15" t="n">
        <v>18.1</v>
      </c>
      <c r="AD1228" s="34" t="n">
        <v>46066</v>
      </c>
      <c r="AE1228" s="15" t="n">
        <v>35.82</v>
      </c>
      <c r="AF1228" s="15" t="n">
        <v>37.84</v>
      </c>
      <c r="AG1228" s="34" t="n">
        <v>46066</v>
      </c>
      <c r="AH1228" s="15" t="n">
        <v>36.94</v>
      </c>
      <c r="AI1228" s="15" t="n">
        <v>37.3</v>
      </c>
      <c r="AJ1228" s="34" t="n">
        <v>46066</v>
      </c>
      <c r="AK1228" s="15" t="n">
        <v>36.4</v>
      </c>
      <c r="AL1228" s="15" t="n">
        <v>89.48999999999999</v>
      </c>
      <c r="AM1228" s="34" t="n">
        <v>46066</v>
      </c>
      <c r="AN1228" s="15" t="n">
        <v>526</v>
      </c>
      <c r="AO1228" s="15" t="n">
        <v>365.34</v>
      </c>
      <c r="AP1228" s="34" t="n">
        <v>46066</v>
      </c>
      <c r="AQ1228" s="15" t="n">
        <v>69.59999999999999</v>
      </c>
      <c r="AR1228" s="15" t="n">
        <v>58.23</v>
      </c>
      <c r="AS1228" s="34" t="n">
        <v>46066</v>
      </c>
      <c r="AT1228" s="15" t="n">
        <v>14.85</v>
      </c>
      <c r="AU1228" s="15" t="n">
        <v>18.53</v>
      </c>
      <c r="AV1228" s="34" t="n">
        <v>46066</v>
      </c>
      <c r="AW1228" s="15" t="n">
        <v>32.86</v>
      </c>
      <c r="AX1228" s="15" t="n">
        <v>35.64</v>
      </c>
      <c r="AY1228" s="34" t="n">
        <v>46066</v>
      </c>
      <c r="AZ1228" s="15" t="n">
        <v>37.5</v>
      </c>
      <c r="BA1228" s="15" t="n">
        <v>53.48</v>
      </c>
      <c r="BB1228" s="34" t="n">
        <v>46066</v>
      </c>
      <c r="BC1228" s="15" t="n">
        <v>77.40000000000001</v>
      </c>
      <c r="BD1228" s="15" t="n">
        <v>87.7</v>
      </c>
      <c r="BE1228" s="34" t="n">
        <v>46066</v>
      </c>
      <c r="BF1228" s="15" t="n">
        <v>136.7</v>
      </c>
      <c r="BG1228" s="15" t="n">
        <v>203.96</v>
      </c>
      <c r="BH1228" s="34" t="n">
        <v>46066</v>
      </c>
      <c r="BI1228" s="15" t="n">
        <v>27.58</v>
      </c>
      <c r="BJ1228" s="15" t="n">
        <v>34.29</v>
      </c>
      <c r="BK1228" s="34" t="n">
        <v>46066</v>
      </c>
      <c r="BL1228" s="15" t="n">
        <v>57</v>
      </c>
      <c r="BM1228" s="15" t="n">
        <v>91.23999999999999</v>
      </c>
      <c r="BN1228" s="34" t="n">
        <v>46066</v>
      </c>
      <c r="BO1228" s="15" t="n">
        <v>14.45</v>
      </c>
      <c r="BP1228" s="15" t="n">
        <v>30.15</v>
      </c>
      <c r="BQ1228" s="34" t="n">
        <v>46066</v>
      </c>
      <c r="BR1228" s="15" t="n">
        <v>26.08</v>
      </c>
      <c r="BS1228" s="15" t="n">
        <v>23.12</v>
      </c>
      <c r="BT1228" s="34" t="n">
        <v>46066</v>
      </c>
      <c r="BU1228" s="15" t="n">
        <v>64.05</v>
      </c>
      <c r="BV1228" s="15" t="n">
        <v>101.65</v>
      </c>
      <c r="BW1228" s="34" t="n">
        <v>46066</v>
      </c>
      <c r="BX1228" s="15" t="n">
        <v>92.34999999999999</v>
      </c>
      <c r="BY1228" s="15" t="n">
        <v>109.22</v>
      </c>
      <c r="BZ1228" s="34" t="n">
        <v>46066</v>
      </c>
      <c r="CA1228" s="15" t="n">
        <v>17.25</v>
      </c>
      <c r="CB1228" s="15" t="n">
        <v>27.9</v>
      </c>
      <c r="CC1228" s="34" t="n">
        <v>46066</v>
      </c>
      <c r="CD1228" s="15" t="n">
        <v>34.86</v>
      </c>
      <c r="CE1228" s="15" t="n">
        <v>54.81</v>
      </c>
      <c r="CF1228" s="34" t="n">
        <v>46066</v>
      </c>
      <c r="CG1228" s="15" t="n">
        <v>130.5</v>
      </c>
      <c r="CH1228" s="15" t="n">
        <v>179.25</v>
      </c>
      <c r="CI1228" s="34" t="n">
        <v>46066</v>
      </c>
      <c r="CJ1228" s="15" t="n">
        <v>10.2</v>
      </c>
      <c r="CK1228" s="15" t="n">
        <v>17.68</v>
      </c>
      <c r="CL1228" s="34" t="n">
        <v>46066</v>
      </c>
      <c r="CM1228" s="15" t="n">
        <v>103.2</v>
      </c>
      <c r="CN1228" s="15" t="n">
        <v>115.82</v>
      </c>
      <c r="CO1228" s="34" t="n">
        <v>46066</v>
      </c>
      <c r="CP1228" s="15" t="n">
        <v>403</v>
      </c>
      <c r="CQ1228" s="15" t="n">
        <v>308.7</v>
      </c>
      <c r="CR1228" s="34" t="n">
        <v>46066</v>
      </c>
      <c r="CS1228" s="15" t="n">
        <v>29.44</v>
      </c>
      <c r="CT1228" s="15" t="n">
        <v>46.83</v>
      </c>
      <c r="CU1228" s="34" t="n">
        <v>46066</v>
      </c>
      <c r="CV1228" s="15" t="n">
        <v>250</v>
      </c>
      <c r="CW1228" s="15" t="n">
        <v>264.8</v>
      </c>
      <c r="CX1228" s="34" t="n">
        <v>46066</v>
      </c>
      <c r="CY1228" s="15" t="n">
        <v>50.8</v>
      </c>
      <c r="CZ1228" s="15" t="n">
        <v>53.3</v>
      </c>
      <c r="DA1228" s="34" t="n">
        <v>46066</v>
      </c>
      <c r="DB1228" s="15" t="n">
        <v>114.2</v>
      </c>
      <c r="DC1228" s="15" t="n">
        <v>149</v>
      </c>
      <c r="DD1228" s="34" t="n">
        <v>46066</v>
      </c>
      <c r="DE1228" s="15" t="n">
        <v>39</v>
      </c>
      <c r="DF1228" s="15" t="n">
        <v>45.35</v>
      </c>
      <c r="DG1228" s="34" t="n">
        <v>46066</v>
      </c>
      <c r="DH1228" s="15" t="n">
        <v>212</v>
      </c>
      <c r="DI1228" s="15" t="n">
        <v>164.6</v>
      </c>
      <c r="DJ1228" s="34" t="n">
        <v>46066</v>
      </c>
      <c r="DK1228" s="15" t="n">
        <v>45.52</v>
      </c>
      <c r="DL1228" s="15" t="n">
        <v>54.8</v>
      </c>
      <c r="DM1228" s="34" t="n">
        <v>46066</v>
      </c>
      <c r="DN1228" s="15" t="n">
        <v>20.4</v>
      </c>
      <c r="DO1228" s="15" t="n">
        <v>27.36</v>
      </c>
      <c r="DP1228" s="34" t="n">
        <v>46066</v>
      </c>
    </row>
    <row r="1229">
      <c r="A1229" s="34" t="n">
        <v>46076</v>
      </c>
      <c r="B1229" s="266" t="n">
        <v>1.130877017974854</v>
      </c>
      <c r="C1229" s="34" t="n">
        <v>46076</v>
      </c>
      <c r="D1229" s="15" t="n">
        <v>22</v>
      </c>
      <c r="E1229" s="15" t="n">
        <v>36.06</v>
      </c>
      <c r="F1229" s="34" t="n">
        <v>46066</v>
      </c>
      <c r="G1229" s="15" t="n">
        <v>83</v>
      </c>
      <c r="H1229" s="15" t="n">
        <v>100.58</v>
      </c>
      <c r="I1229" s="34" t="n">
        <v>46066</v>
      </c>
      <c r="J1229" s="15" t="n">
        <v>22.5</v>
      </c>
      <c r="K1229" s="15" t="n">
        <v>37.28</v>
      </c>
      <c r="L1229" s="34" t="n">
        <v>46066</v>
      </c>
      <c r="M1229" s="15" t="n">
        <v>45.32</v>
      </c>
      <c r="N1229" s="15" t="n">
        <v>51.24</v>
      </c>
      <c r="O1229" s="34" t="n">
        <v>46066</v>
      </c>
      <c r="P1229" s="15" t="n">
        <v>91.84999999999999</v>
      </c>
      <c r="Q1229" s="15" t="n">
        <v>94.64</v>
      </c>
      <c r="R1229" s="34" t="n">
        <v>46066</v>
      </c>
      <c r="S1229" s="15" t="n">
        <v>51.75</v>
      </c>
      <c r="T1229" s="15" t="n">
        <v>75.59999999999999</v>
      </c>
      <c r="U1229" s="34" t="n">
        <v>46066</v>
      </c>
      <c r="V1229" s="15" t="n">
        <v>24.42</v>
      </c>
      <c r="W1229" s="15" t="n">
        <v>31.11</v>
      </c>
      <c r="X1229" s="34" t="n">
        <v>46066</v>
      </c>
      <c r="Y1229" s="15" t="n">
        <v>93.5</v>
      </c>
      <c r="Z1229" s="15" t="n">
        <v>79.05</v>
      </c>
      <c r="AA1229" s="34" t="n">
        <v>46066</v>
      </c>
      <c r="AB1229" s="15" t="n">
        <v>10.91</v>
      </c>
      <c r="AC1229" s="15" t="n">
        <v>18.1</v>
      </c>
      <c r="AD1229" s="34" t="n">
        <v>46066</v>
      </c>
      <c r="AE1229" s="15" t="n">
        <v>36.16</v>
      </c>
      <c r="AF1229" s="15" t="n">
        <v>37.84</v>
      </c>
      <c r="AG1229" s="34" t="n">
        <v>46066</v>
      </c>
      <c r="AH1229" s="15" t="n">
        <v>39.88</v>
      </c>
      <c r="AI1229" s="15" t="n">
        <v>37.3</v>
      </c>
      <c r="AJ1229" s="34" t="n">
        <v>46066</v>
      </c>
      <c r="AK1229" s="15" t="n">
        <v>38.16</v>
      </c>
      <c r="AL1229" s="15" t="n">
        <v>89.48999999999999</v>
      </c>
      <c r="AM1229" s="34" t="n">
        <v>46066</v>
      </c>
      <c r="AN1229" s="15" t="n">
        <v>542.5</v>
      </c>
      <c r="AO1229" s="15" t="n">
        <v>365.34</v>
      </c>
      <c r="AP1229" s="34" t="n">
        <v>46066</v>
      </c>
      <c r="AQ1229" s="15" t="n">
        <v>69.65000000000001</v>
      </c>
      <c r="AR1229" s="15" t="n">
        <v>58.23</v>
      </c>
      <c r="AS1229" s="34" t="n">
        <v>46066</v>
      </c>
      <c r="AT1229" s="15" t="n">
        <v>15.42</v>
      </c>
      <c r="AU1229" s="15" t="n">
        <v>18.53</v>
      </c>
      <c r="AV1229" s="34" t="n">
        <v>46066</v>
      </c>
      <c r="AW1229" s="15" t="n">
        <v>33.68</v>
      </c>
      <c r="AX1229" s="15" t="n">
        <v>35.64</v>
      </c>
      <c r="AY1229" s="34" t="n">
        <v>46066</v>
      </c>
      <c r="AZ1229" s="15" t="n">
        <v>38.34</v>
      </c>
      <c r="BA1229" s="15" t="n">
        <v>53.48</v>
      </c>
      <c r="BB1229" s="34" t="n">
        <v>46066</v>
      </c>
      <c r="BC1229" s="15" t="n">
        <v>80.3</v>
      </c>
      <c r="BD1229" s="15" t="n">
        <v>87.7</v>
      </c>
      <c r="BE1229" s="34" t="n">
        <v>46066</v>
      </c>
      <c r="BF1229" s="15" t="n">
        <v>139.4</v>
      </c>
      <c r="BG1229" s="15" t="n">
        <v>203.96</v>
      </c>
      <c r="BH1229" s="34" t="n">
        <v>46066</v>
      </c>
      <c r="BI1229" s="15" t="n">
        <v>28.4</v>
      </c>
      <c r="BJ1229" s="15" t="n">
        <v>34.29</v>
      </c>
      <c r="BK1229" s="34" t="n">
        <v>46066</v>
      </c>
      <c r="BL1229" s="15" t="n">
        <v>60</v>
      </c>
      <c r="BM1229" s="15" t="n">
        <v>91.23999999999999</v>
      </c>
      <c r="BN1229" s="34" t="n">
        <v>46066</v>
      </c>
      <c r="BO1229" s="15" t="n">
        <v>14.6</v>
      </c>
      <c r="BP1229" s="15" t="n">
        <v>30.15</v>
      </c>
      <c r="BQ1229" s="34" t="n">
        <v>46066</v>
      </c>
      <c r="BR1229" s="15" t="n">
        <v>26.1</v>
      </c>
      <c r="BS1229" s="15" t="n">
        <v>23.12</v>
      </c>
      <c r="BT1229" s="34" t="n">
        <v>46066</v>
      </c>
      <c r="BU1229" s="15" t="n">
        <v>68.05</v>
      </c>
      <c r="BV1229" s="15" t="n">
        <v>101.65</v>
      </c>
      <c r="BW1229" s="34" t="n">
        <v>46066</v>
      </c>
      <c r="BX1229" s="15" t="n">
        <v>95.75</v>
      </c>
      <c r="BY1229" s="15" t="n">
        <v>109.22</v>
      </c>
      <c r="BZ1229" s="34" t="n">
        <v>46066</v>
      </c>
      <c r="CA1229" s="15" t="n">
        <v>17.7</v>
      </c>
      <c r="CB1229" s="15" t="n">
        <v>27.9</v>
      </c>
      <c r="CC1229" s="34" t="n">
        <v>46066</v>
      </c>
      <c r="CD1229" s="15" t="n">
        <v>36.4</v>
      </c>
      <c r="CE1229" s="15" t="n">
        <v>54.81</v>
      </c>
      <c r="CF1229" s="34" t="n">
        <v>46066</v>
      </c>
      <c r="CG1229" s="15" t="n">
        <v>136.8</v>
      </c>
      <c r="CH1229" s="15" t="n">
        <v>179.25</v>
      </c>
      <c r="CI1229" s="34" t="n">
        <v>46066</v>
      </c>
      <c r="CJ1229" s="15" t="n">
        <v>10.63</v>
      </c>
      <c r="CK1229" s="15" t="n">
        <v>17.68</v>
      </c>
      <c r="CL1229" s="34" t="n">
        <v>46066</v>
      </c>
      <c r="CM1229" s="15" t="n">
        <v>107.1</v>
      </c>
      <c r="CN1229" s="15" t="n">
        <v>115.82</v>
      </c>
      <c r="CO1229" s="34" t="n">
        <v>46066</v>
      </c>
      <c r="CP1229" s="15" t="n">
        <v>386.2</v>
      </c>
      <c r="CQ1229" s="15" t="n">
        <v>308.7</v>
      </c>
      <c r="CR1229" s="34" t="n">
        <v>46066</v>
      </c>
      <c r="CS1229" s="15" t="n">
        <v>30.56</v>
      </c>
      <c r="CT1229" s="15" t="n">
        <v>46.83</v>
      </c>
      <c r="CU1229" s="34" t="n">
        <v>46066</v>
      </c>
      <c r="CV1229" s="15" t="n">
        <v>254</v>
      </c>
      <c r="CW1229" s="15" t="n">
        <v>264.8</v>
      </c>
      <c r="CX1229" s="34" t="n">
        <v>46066</v>
      </c>
      <c r="CY1229" s="15" t="n">
        <v>50.8</v>
      </c>
      <c r="CZ1229" s="15" t="n">
        <v>53.3</v>
      </c>
      <c r="DA1229" s="34" t="n">
        <v>46066</v>
      </c>
      <c r="DB1229" s="15" t="n">
        <v>118.5</v>
      </c>
      <c r="DC1229" s="15" t="n">
        <v>149</v>
      </c>
      <c r="DD1229" s="34" t="n">
        <v>46066</v>
      </c>
      <c r="DE1229" s="15" t="n">
        <v>39.16</v>
      </c>
      <c r="DF1229" s="15" t="n">
        <v>45.35</v>
      </c>
      <c r="DG1229" s="34" t="n">
        <v>46066</v>
      </c>
      <c r="DH1229" s="15" t="n">
        <v>197.1</v>
      </c>
      <c r="DI1229" s="15" t="n">
        <v>164.6</v>
      </c>
      <c r="DJ1229" s="34" t="n">
        <v>46066</v>
      </c>
      <c r="DK1229" s="15" t="n">
        <v>46.08</v>
      </c>
      <c r="DL1229" s="15" t="n">
        <v>54.8</v>
      </c>
      <c r="DM1229" s="34" t="n">
        <v>46066</v>
      </c>
      <c r="DN1229" s="15" t="n">
        <v>22.14</v>
      </c>
      <c r="DO1229" s="15" t="n">
        <v>27.36</v>
      </c>
      <c r="DP1229" s="34" t="n">
        <v>46066</v>
      </c>
    </row>
    <row r="1230">
      <c r="A1230" s="34" t="n">
        <v>46077</v>
      </c>
      <c r="B1230" s="266" t="n">
        <v>1.131631016731262</v>
      </c>
      <c r="C1230" s="34" t="n">
        <v>46077</v>
      </c>
      <c r="D1230" s="15" t="n">
        <v>20.38</v>
      </c>
      <c r="E1230" s="15" t="n">
        <v>34.77</v>
      </c>
      <c r="F1230" s="34" t="n">
        <v>46077</v>
      </c>
      <c r="G1230" s="15" t="n">
        <v>80.55</v>
      </c>
      <c r="H1230" s="15" t="n">
        <v>99.36</v>
      </c>
      <c r="I1230" s="34" t="n">
        <v>46077</v>
      </c>
      <c r="J1230" s="15" t="n">
        <v>22.28</v>
      </c>
      <c r="K1230" s="15" t="n">
        <v>37.54</v>
      </c>
      <c r="L1230" s="34" t="n">
        <v>46077</v>
      </c>
      <c r="M1230" s="15" t="n">
        <v>46.3</v>
      </c>
      <c r="N1230" s="15" t="n">
        <v>53.31</v>
      </c>
      <c r="O1230" s="34" t="n">
        <v>46077</v>
      </c>
      <c r="P1230" s="15" t="n">
        <v>82.2</v>
      </c>
      <c r="Q1230" s="15" t="n">
        <v>85.18000000000001</v>
      </c>
      <c r="R1230" s="34" t="n">
        <v>46077</v>
      </c>
      <c r="S1230" s="15" t="n">
        <v>49.82</v>
      </c>
      <c r="T1230" s="15" t="n">
        <v>71.34999999999999</v>
      </c>
      <c r="U1230" s="34" t="n">
        <v>46077</v>
      </c>
      <c r="V1230" s="15" t="n">
        <v>24.98</v>
      </c>
      <c r="W1230" s="15" t="n">
        <v>31.8</v>
      </c>
      <c r="X1230" s="34" t="n">
        <v>46077</v>
      </c>
      <c r="Y1230" s="15" t="n">
        <v>92.25</v>
      </c>
      <c r="Z1230" s="15" t="n">
        <v>79.52</v>
      </c>
      <c r="AA1230" s="34" t="n">
        <v>46077</v>
      </c>
      <c r="AB1230" s="15" t="n">
        <v>11.53</v>
      </c>
      <c r="AC1230" s="15" t="n">
        <v>18.6</v>
      </c>
      <c r="AD1230" s="34" t="n">
        <v>46077</v>
      </c>
      <c r="AE1230" s="15" t="n">
        <v>36.04</v>
      </c>
      <c r="AF1230" s="15" t="n">
        <v>37.65</v>
      </c>
      <c r="AG1230" s="34" t="n">
        <v>46077</v>
      </c>
      <c r="AH1230" s="15" t="n">
        <v>39.12</v>
      </c>
      <c r="AI1230" s="15" t="n">
        <v>39.33</v>
      </c>
      <c r="AJ1230" s="34" t="n">
        <v>46077</v>
      </c>
      <c r="AK1230" s="15" t="n">
        <v>35.7</v>
      </c>
      <c r="AL1230" s="15" t="n">
        <v>86.17</v>
      </c>
      <c r="AM1230" s="34" t="n">
        <v>46077</v>
      </c>
      <c r="AN1230" s="15" t="n">
        <v>525.5</v>
      </c>
      <c r="AO1230" s="15" t="n">
        <v>361.95</v>
      </c>
      <c r="AP1230" s="34" t="n">
        <v>46077</v>
      </c>
      <c r="AQ1230" s="15" t="n">
        <v>67.84999999999999</v>
      </c>
      <c r="AR1230" s="15" t="n">
        <v>58.01</v>
      </c>
      <c r="AS1230" s="34" t="n">
        <v>46077</v>
      </c>
      <c r="AT1230" s="15" t="n">
        <v>14.93</v>
      </c>
      <c r="AU1230" s="15" t="n">
        <v>18.05</v>
      </c>
      <c r="AV1230" s="34" t="n">
        <v>46077</v>
      </c>
      <c r="AW1230" s="15" t="n">
        <v>34.98</v>
      </c>
      <c r="AX1230" s="15" t="n">
        <v>36.17</v>
      </c>
      <c r="AY1230" s="34" t="n">
        <v>46077</v>
      </c>
      <c r="AZ1230" s="15" t="n">
        <v>35.8</v>
      </c>
      <c r="BA1230" s="15" t="n">
        <v>52.73</v>
      </c>
      <c r="BB1230" s="34" t="n">
        <v>46077</v>
      </c>
      <c r="BC1230" s="15" t="n">
        <v>78.3</v>
      </c>
      <c r="BD1230" s="15" t="n">
        <v>88.13</v>
      </c>
      <c r="BE1230" s="34" t="n">
        <v>46077</v>
      </c>
      <c r="BF1230" s="15" t="n">
        <v>139</v>
      </c>
      <c r="BG1230" s="15" t="n">
        <v>196.99</v>
      </c>
      <c r="BH1230" s="34" t="n">
        <v>46077</v>
      </c>
      <c r="BI1230" s="15" t="n">
        <v>27.26</v>
      </c>
      <c r="BJ1230" s="15" t="n">
        <v>34.34</v>
      </c>
      <c r="BK1230" s="34" t="n">
        <v>46077</v>
      </c>
      <c r="BL1230" s="15" t="n">
        <v>64</v>
      </c>
      <c r="BM1230" s="15" t="n">
        <v>94.22</v>
      </c>
      <c r="BN1230" s="34" t="n">
        <v>46077</v>
      </c>
      <c r="BO1230" s="15" t="n">
        <v>14.33</v>
      </c>
      <c r="BP1230" s="15" t="n">
        <v>29.82</v>
      </c>
      <c r="BQ1230" s="34" t="n">
        <v>46077</v>
      </c>
      <c r="BR1230" s="15" t="n">
        <v>26.56</v>
      </c>
      <c r="BS1230" s="15" t="n">
        <v>23.95</v>
      </c>
      <c r="BT1230" s="34" t="n">
        <v>46077</v>
      </c>
      <c r="BU1230" s="15" t="n">
        <v>67.59999999999999</v>
      </c>
      <c r="BV1230" s="15" t="n">
        <v>105.01</v>
      </c>
      <c r="BW1230" s="34" t="n">
        <v>46077</v>
      </c>
      <c r="BX1230" s="15" t="n">
        <v>97</v>
      </c>
      <c r="BY1230" s="15" t="n">
        <v>108.04</v>
      </c>
      <c r="BZ1230" s="34" t="n">
        <v>46077</v>
      </c>
      <c r="CA1230" s="15" t="n">
        <v>17.27</v>
      </c>
      <c r="CB1230" s="15" t="n">
        <v>27.77</v>
      </c>
      <c r="CC1230" s="34" t="n">
        <v>46077</v>
      </c>
      <c r="CD1230" s="15" t="n">
        <v>37.02</v>
      </c>
      <c r="CE1230" s="15" t="n">
        <v>54</v>
      </c>
      <c r="CF1230" s="34" t="n">
        <v>46077</v>
      </c>
      <c r="CG1230" s="15" t="n">
        <v>137.6</v>
      </c>
      <c r="CH1230" s="15" t="n">
        <v>173.63</v>
      </c>
      <c r="CI1230" s="34" t="n">
        <v>46077</v>
      </c>
      <c r="CJ1230" s="15" t="n">
        <v>11</v>
      </c>
      <c r="CK1230" s="15" t="n">
        <v>17.76</v>
      </c>
      <c r="CL1230" s="34" t="n">
        <v>46077</v>
      </c>
      <c r="CM1230" s="15" t="n">
        <v>103.7</v>
      </c>
      <c r="CN1230" s="15" t="n">
        <v>117.28</v>
      </c>
      <c r="CO1230" s="34" t="n">
        <v>46077</v>
      </c>
      <c r="CP1230" s="15" t="n">
        <v>432.2</v>
      </c>
      <c r="CQ1230" s="15" t="n">
        <v>323.05</v>
      </c>
      <c r="CR1230" s="34" t="n">
        <v>46077</v>
      </c>
      <c r="CS1230" s="15" t="n">
        <v>29.16</v>
      </c>
      <c r="CT1230" s="15" t="n">
        <v>45.38</v>
      </c>
      <c r="CU1230" s="34" t="n">
        <v>46077</v>
      </c>
      <c r="CV1230" s="15" t="n">
        <v>249</v>
      </c>
      <c r="CW1230" s="15" t="n">
        <v>260.9</v>
      </c>
      <c r="CX1230" s="34" t="n">
        <v>46077</v>
      </c>
      <c r="CY1230" s="15" t="n">
        <v>50.7</v>
      </c>
      <c r="CZ1230" s="15" t="n">
        <v>52.88</v>
      </c>
      <c r="DA1230" s="34" t="n">
        <v>46077</v>
      </c>
      <c r="DB1230" s="15" t="n">
        <v>120.7</v>
      </c>
      <c r="DC1230" s="15" t="n">
        <v>153.92</v>
      </c>
      <c r="DD1230" s="34" t="n">
        <v>46077</v>
      </c>
      <c r="DE1230" s="15" t="n">
        <v>39.1</v>
      </c>
      <c r="DF1230" s="15" t="n">
        <v>44.56</v>
      </c>
      <c r="DG1230" s="34" t="n">
        <v>46077</v>
      </c>
      <c r="DH1230" s="15" t="n">
        <v>206.8</v>
      </c>
      <c r="DI1230" s="15" t="n">
        <v>174.61</v>
      </c>
      <c r="DJ1230" s="34" t="n">
        <v>46077</v>
      </c>
      <c r="DK1230" s="15" t="n">
        <v>45.78</v>
      </c>
      <c r="DL1230" s="15" t="n">
        <v>54.31</v>
      </c>
      <c r="DM1230" s="34" t="n">
        <v>46077</v>
      </c>
      <c r="DN1230" s="15" t="n">
        <v>21</v>
      </c>
      <c r="DO1230" s="15" t="n">
        <v>27.45</v>
      </c>
      <c r="DP1230" s="34" t="n">
        <v>46077</v>
      </c>
    </row>
    <row r="1231">
      <c r="A1231" s="34" t="n">
        <v>46078</v>
      </c>
      <c r="B1231" s="266" t="n">
        <v>1.136234045028687</v>
      </c>
      <c r="C1231" s="34" t="n">
        <v>46078</v>
      </c>
      <c r="D1231" s="15" t="n">
        <v>20.7</v>
      </c>
      <c r="E1231" s="15" t="n">
        <v>35.23</v>
      </c>
      <c r="F1231" s="34" t="n">
        <v>46078</v>
      </c>
      <c r="G1231" s="15" t="n">
        <v>81.40000000000001</v>
      </c>
      <c r="H1231" s="15" t="n">
        <v>99.54000000000001</v>
      </c>
      <c r="I1231" s="34" t="n">
        <v>46078</v>
      </c>
      <c r="J1231" s="15" t="n">
        <v>23.8</v>
      </c>
      <c r="K1231" s="15" t="n">
        <v>40.39</v>
      </c>
      <c r="L1231" s="34" t="n">
        <v>46078</v>
      </c>
      <c r="M1231" s="15" t="n">
        <v>47.5</v>
      </c>
      <c r="N1231" s="15" t="n">
        <v>54.32</v>
      </c>
      <c r="O1231" s="34" t="n">
        <v>46078</v>
      </c>
      <c r="P1231" s="15" t="n">
        <v>82.3</v>
      </c>
      <c r="Q1231" s="15" t="n">
        <v>82.09999999999999</v>
      </c>
      <c r="R1231" s="34" t="n">
        <v>46078</v>
      </c>
      <c r="S1231" s="15" t="n">
        <v>50.1</v>
      </c>
      <c r="T1231" s="15" t="n">
        <v>71.67</v>
      </c>
      <c r="U1231" s="34" t="n">
        <v>46078</v>
      </c>
      <c r="V1231" s="15" t="n">
        <v>24.96</v>
      </c>
      <c r="W1231" s="15" t="n">
        <v>31.81</v>
      </c>
      <c r="X1231" s="34" t="n">
        <v>46078</v>
      </c>
      <c r="Y1231" s="15" t="n">
        <v>92.3</v>
      </c>
      <c r="Z1231" s="15" t="n">
        <v>79.7</v>
      </c>
      <c r="AA1231" s="34" t="n">
        <v>46078</v>
      </c>
      <c r="AB1231" s="15" t="n">
        <v>11.45</v>
      </c>
      <c r="AC1231" s="15" t="n">
        <v>18.8</v>
      </c>
      <c r="AD1231" s="34" t="n">
        <v>46078</v>
      </c>
      <c r="AE1231" s="15" t="n">
        <v>36.34</v>
      </c>
      <c r="AF1231" s="15" t="n">
        <v>37.6</v>
      </c>
      <c r="AG1231" s="34" t="n">
        <v>46078</v>
      </c>
      <c r="AH1231" s="15" t="n">
        <v>39.76</v>
      </c>
      <c r="AI1231" s="15" t="n">
        <v>39.2</v>
      </c>
      <c r="AJ1231" s="34" t="n">
        <v>46078</v>
      </c>
      <c r="AK1231" s="15" t="n">
        <v>35.84</v>
      </c>
      <c r="AL1231" s="15" t="n">
        <v>86.17</v>
      </c>
      <c r="AM1231" s="34" t="n">
        <v>46078</v>
      </c>
      <c r="AN1231" s="15" t="n">
        <v>533</v>
      </c>
      <c r="AO1231" s="15" t="n">
        <v>362.18</v>
      </c>
      <c r="AP1231" s="34" t="n">
        <v>46078</v>
      </c>
      <c r="AQ1231" s="15" t="n">
        <v>68</v>
      </c>
      <c r="AR1231" s="15" t="n">
        <v>57.86</v>
      </c>
      <c r="AS1231" s="34" t="n">
        <v>46078</v>
      </c>
      <c r="AT1231" s="15" t="n">
        <v>14.86</v>
      </c>
      <c r="AU1231" s="15" t="n">
        <v>18.19</v>
      </c>
      <c r="AV1231" s="34" t="n">
        <v>46078</v>
      </c>
      <c r="AW1231" s="15" t="n">
        <v>34.8</v>
      </c>
      <c r="AX1231" s="15" t="n">
        <v>35.88</v>
      </c>
      <c r="AY1231" s="34" t="n">
        <v>46078</v>
      </c>
      <c r="AZ1231" s="15" t="n">
        <v>36.48</v>
      </c>
      <c r="BA1231" s="15" t="n">
        <v>52.15</v>
      </c>
      <c r="BB1231" s="34" t="n">
        <v>46078</v>
      </c>
      <c r="BC1231" s="15" t="n">
        <v>80.7</v>
      </c>
      <c r="BD1231" s="15" t="n">
        <v>90.11</v>
      </c>
      <c r="BE1231" s="34" t="n">
        <v>46078</v>
      </c>
      <c r="BF1231" s="15" t="n">
        <v>136.4</v>
      </c>
      <c r="BG1231" s="15" t="n">
        <v>196.13</v>
      </c>
      <c r="BH1231" s="34" t="n">
        <v>46078</v>
      </c>
      <c r="BI1231" s="15" t="n">
        <v>28.08</v>
      </c>
      <c r="BJ1231" s="15" t="n">
        <v>34.68</v>
      </c>
      <c r="BK1231" s="34" t="n">
        <v>46078</v>
      </c>
      <c r="BL1231" s="15" t="n">
        <v>63.3</v>
      </c>
      <c r="BM1231" s="15" t="n">
        <v>95.31999999999999</v>
      </c>
      <c r="BN1231" s="34" t="n">
        <v>46078</v>
      </c>
      <c r="BO1231" s="15" t="n">
        <v>14.3</v>
      </c>
      <c r="BP1231" s="15" t="n">
        <v>29.92</v>
      </c>
      <c r="BQ1231" s="34" t="n">
        <v>46078</v>
      </c>
      <c r="BR1231" s="15" t="n">
        <v>25.94</v>
      </c>
      <c r="BS1231" s="15" t="n">
        <v>23.98</v>
      </c>
      <c r="BT1231" s="34" t="n">
        <v>46078</v>
      </c>
      <c r="BU1231" s="15" t="n">
        <v>67.7</v>
      </c>
      <c r="BV1231" s="15" t="n">
        <v>105.98</v>
      </c>
      <c r="BW1231" s="34" t="n">
        <v>46078</v>
      </c>
      <c r="BX1231" s="15" t="n">
        <v>96.7</v>
      </c>
      <c r="BY1231" s="15" t="n">
        <v>109.14</v>
      </c>
      <c r="BZ1231" s="34" t="n">
        <v>46078</v>
      </c>
      <c r="CA1231" s="15" t="n">
        <v>17.49</v>
      </c>
      <c r="CB1231" s="15" t="n">
        <v>28.26</v>
      </c>
      <c r="CC1231" s="34" t="n">
        <v>46078</v>
      </c>
      <c r="CD1231" s="15" t="n">
        <v>37.62</v>
      </c>
      <c r="CE1231" s="15" t="n">
        <v>57.11</v>
      </c>
      <c r="CF1231" s="34" t="n">
        <v>46078</v>
      </c>
      <c r="CG1231" s="15" t="n">
        <v>136.1</v>
      </c>
      <c r="CH1231" s="15" t="n">
        <v>171.15</v>
      </c>
      <c r="CI1231" s="34" t="n">
        <v>46078</v>
      </c>
      <c r="CJ1231" s="15" t="n">
        <v>10.92</v>
      </c>
      <c r="CK1231" s="15" t="n">
        <v>18.05</v>
      </c>
      <c r="CL1231" s="34" t="n">
        <v>46078</v>
      </c>
      <c r="CM1231" s="15" t="n">
        <v>102.7</v>
      </c>
      <c r="CN1231" s="15" t="n">
        <v>117.84</v>
      </c>
      <c r="CO1231" s="34" t="n">
        <v>46078</v>
      </c>
      <c r="CP1231" s="15" t="n">
        <v>412.6</v>
      </c>
      <c r="CQ1231" s="15" t="n">
        <v>311.32</v>
      </c>
      <c r="CR1231" s="34" t="n">
        <v>46078</v>
      </c>
      <c r="CS1231" s="15" t="n">
        <v>29.86</v>
      </c>
      <c r="CT1231" s="15" t="n">
        <v>45.6</v>
      </c>
      <c r="CU1231" s="34" t="n">
        <v>46078</v>
      </c>
      <c r="CV1231" s="15" t="n">
        <v>252</v>
      </c>
      <c r="CW1231" s="15" t="n">
        <v>260.49</v>
      </c>
      <c r="CX1231" s="34" t="n">
        <v>46078</v>
      </c>
      <c r="CY1231" s="15" t="n">
        <v>53</v>
      </c>
      <c r="CZ1231" s="15" t="n">
        <v>53.29</v>
      </c>
      <c r="DA1231" s="34" t="n">
        <v>46078</v>
      </c>
      <c r="DB1231" s="15" t="n">
        <v>126.5</v>
      </c>
      <c r="DC1231" s="15" t="n">
        <v>162.3</v>
      </c>
      <c r="DD1231" s="34" t="n">
        <v>46078</v>
      </c>
      <c r="DE1231" s="15" t="n">
        <v>39.28</v>
      </c>
      <c r="DF1231" s="15" t="n">
        <v>44.79</v>
      </c>
      <c r="DG1231" s="34" t="n">
        <v>46078</v>
      </c>
      <c r="DH1231" s="15" t="n">
        <v>192.1</v>
      </c>
      <c r="DI1231" s="15" t="n">
        <v>167.74</v>
      </c>
      <c r="DJ1231" s="34" t="n">
        <v>46078</v>
      </c>
      <c r="DK1231" s="15" t="n">
        <v>45.8</v>
      </c>
      <c r="DL1231" s="15" t="n">
        <v>55.45</v>
      </c>
      <c r="DM1231" s="34" t="n">
        <v>46078</v>
      </c>
      <c r="DN1231" s="15" t="n">
        <v>20.7</v>
      </c>
      <c r="DO1231" s="15" t="n">
        <v>27.9</v>
      </c>
      <c r="DP1231" s="34" t="n">
        <v>46078</v>
      </c>
    </row>
    <row r="1232">
      <c r="A1232" s="34" t="n">
        <v>46079</v>
      </c>
      <c r="B1232" s="266" t="n">
        <v>1.138198971748352</v>
      </c>
      <c r="C1232" s="34" t="n">
        <v>46079</v>
      </c>
      <c r="D1232" s="15" t="n">
        <v>20.2</v>
      </c>
      <c r="E1232" s="15" t="n">
        <v>35.92</v>
      </c>
      <c r="F1232" s="34" t="n">
        <v>46079</v>
      </c>
      <c r="G1232" s="15" t="n">
        <v>77.5</v>
      </c>
      <c r="H1232" s="15" t="n">
        <v>99.05</v>
      </c>
      <c r="I1232" s="34" t="n">
        <v>46079</v>
      </c>
      <c r="J1232" s="15" t="n">
        <v>23.88</v>
      </c>
      <c r="K1232" s="15" t="n">
        <v>39.3</v>
      </c>
      <c r="L1232" s="34" t="n">
        <v>46079</v>
      </c>
      <c r="M1232" s="15" t="n">
        <v>47.8</v>
      </c>
      <c r="N1232" s="15" t="n">
        <v>56.04</v>
      </c>
      <c r="O1232" s="34" t="n">
        <v>46079</v>
      </c>
      <c r="P1232" s="15" t="n">
        <v>79.15000000000001</v>
      </c>
      <c r="Q1232" s="15" t="n">
        <v>80.09999999999999</v>
      </c>
      <c r="R1232" s="34" t="n">
        <v>46079</v>
      </c>
      <c r="S1232" s="15" t="n">
        <v>53.05</v>
      </c>
      <c r="T1232" s="15" t="n">
        <v>77.51000000000001</v>
      </c>
      <c r="U1232" s="34" t="n">
        <v>46079</v>
      </c>
      <c r="V1232" s="15" t="n">
        <v>24.16</v>
      </c>
      <c r="W1232" s="15" t="n">
        <v>31.93</v>
      </c>
      <c r="X1232" s="34" t="n">
        <v>46079</v>
      </c>
      <c r="Y1232" s="15" t="n">
        <v>92.09999999999999</v>
      </c>
      <c r="Z1232" s="15" t="n">
        <v>79.25</v>
      </c>
      <c r="AA1232" s="34" t="n">
        <v>46079</v>
      </c>
      <c r="AB1232" s="15" t="n">
        <v>11.18</v>
      </c>
      <c r="AC1232" s="15" t="n">
        <v>18.66</v>
      </c>
      <c r="AD1232" s="34" t="n">
        <v>46079</v>
      </c>
      <c r="AE1232" s="15" t="n">
        <v>35.72</v>
      </c>
      <c r="AF1232" s="15" t="n">
        <v>37.5</v>
      </c>
      <c r="AG1232" s="34" t="n">
        <v>46079</v>
      </c>
      <c r="AH1232" s="15" t="n">
        <v>38.62</v>
      </c>
      <c r="AI1232" s="15" t="n">
        <v>38.77</v>
      </c>
      <c r="AJ1232" s="34" t="n">
        <v>46079</v>
      </c>
      <c r="AK1232" s="15" t="n">
        <v>32.5</v>
      </c>
      <c r="AL1232" s="15" t="n">
        <v>84.48999999999999</v>
      </c>
      <c r="AM1232" s="34" t="n">
        <v>46079</v>
      </c>
      <c r="AN1232" s="15" t="n">
        <v>498.4</v>
      </c>
      <c r="AO1232" s="15" t="n">
        <v>346</v>
      </c>
      <c r="AP1232" s="34" t="n">
        <v>46079</v>
      </c>
      <c r="AQ1232" s="15" t="n">
        <v>66</v>
      </c>
      <c r="AR1232" s="15" t="n">
        <v>56.72</v>
      </c>
      <c r="AS1232" s="34" t="n">
        <v>46079</v>
      </c>
      <c r="AT1232" s="15" t="n">
        <v>15.1</v>
      </c>
      <c r="AU1232" s="15" t="n">
        <v>18.36</v>
      </c>
      <c r="AV1232" s="34" t="n">
        <v>46079</v>
      </c>
      <c r="AW1232" s="15" t="n">
        <v>34.32</v>
      </c>
      <c r="AX1232" s="15" t="n">
        <v>35.84</v>
      </c>
      <c r="AY1232" s="34" t="n">
        <v>46079</v>
      </c>
      <c r="AZ1232" s="15" t="n">
        <v>34.78</v>
      </c>
      <c r="BA1232" s="15" t="n">
        <v>51.94</v>
      </c>
      <c r="BB1232" s="34" t="n">
        <v>46079</v>
      </c>
      <c r="BC1232" s="15" t="n">
        <v>83.34999999999999</v>
      </c>
      <c r="BD1232" s="15" t="n">
        <v>92.5</v>
      </c>
      <c r="BE1232" s="34" t="n">
        <v>46079</v>
      </c>
      <c r="BF1232" s="15" t="n">
        <v>127</v>
      </c>
      <c r="BG1232" s="15" t="n">
        <v>195.11</v>
      </c>
      <c r="BH1232" s="34" t="n">
        <v>46079</v>
      </c>
      <c r="BI1232" s="15" t="n">
        <v>27.98</v>
      </c>
      <c r="BJ1232" s="15" t="n">
        <v>35.53</v>
      </c>
      <c r="BK1232" s="34" t="n">
        <v>46079</v>
      </c>
      <c r="BL1232" s="15" t="n">
        <v>67.40000000000001</v>
      </c>
      <c r="BM1232" s="15" t="n">
        <v>96.45</v>
      </c>
      <c r="BN1232" s="34" t="n">
        <v>46079</v>
      </c>
      <c r="BO1232" s="15" t="n">
        <v>14.26</v>
      </c>
      <c r="BP1232" s="15" t="n">
        <v>30.2</v>
      </c>
      <c r="BQ1232" s="34" t="n">
        <v>46079</v>
      </c>
      <c r="BR1232" s="15" t="n">
        <v>25.24</v>
      </c>
      <c r="BS1232" s="15" t="n">
        <v>23.35</v>
      </c>
      <c r="BT1232" s="34" t="n">
        <v>46079</v>
      </c>
      <c r="BU1232" s="15" t="n">
        <v>73.05</v>
      </c>
      <c r="BV1232" s="15" t="n">
        <v>108.33</v>
      </c>
      <c r="BW1232" s="34" t="n">
        <v>46079</v>
      </c>
      <c r="BX1232" s="15" t="n">
        <v>93.59999999999999</v>
      </c>
      <c r="BY1232" s="15" t="n">
        <v>106.08</v>
      </c>
      <c r="BZ1232" s="34" t="n">
        <v>46079</v>
      </c>
      <c r="CA1232" s="15" t="n">
        <v>17.42</v>
      </c>
      <c r="CB1232" s="15" t="n">
        <v>27.96</v>
      </c>
      <c r="CC1232" s="34" t="n">
        <v>46079</v>
      </c>
      <c r="CD1232" s="15" t="n">
        <v>37.52</v>
      </c>
      <c r="CE1232" s="15" t="n">
        <v>56.34</v>
      </c>
      <c r="CF1232" s="34" t="n">
        <v>46079</v>
      </c>
      <c r="CG1232" s="15" t="n">
        <v>136.8</v>
      </c>
      <c r="CH1232" s="15" t="n">
        <v>175.01</v>
      </c>
      <c r="CI1232" s="34" t="n">
        <v>46079</v>
      </c>
      <c r="CJ1232" s="15" t="n">
        <v>10.6</v>
      </c>
      <c r="CK1232" s="15" t="n">
        <v>17.87</v>
      </c>
      <c r="CL1232" s="34" t="n">
        <v>46079</v>
      </c>
      <c r="CM1232" s="15" t="n">
        <v>109.8</v>
      </c>
      <c r="CN1232" s="15" t="n">
        <v>122.6</v>
      </c>
      <c r="CO1232" s="34" t="n">
        <v>46079</v>
      </c>
      <c r="CP1232" s="15" t="n">
        <v>425.6</v>
      </c>
      <c r="CQ1232" s="15" t="n">
        <v>309.4</v>
      </c>
      <c r="CR1232" s="34" t="n">
        <v>46079</v>
      </c>
      <c r="CS1232" s="15" t="n">
        <v>30.2</v>
      </c>
      <c r="CT1232" s="15" t="n">
        <v>46.77</v>
      </c>
      <c r="CU1232" s="34" t="n">
        <v>46079</v>
      </c>
      <c r="CV1232" s="15" t="n">
        <v>248</v>
      </c>
      <c r="CW1232" s="15" t="n">
        <v>253.76</v>
      </c>
      <c r="CX1232" s="34" t="n">
        <v>46079</v>
      </c>
      <c r="CY1232" s="15" t="n">
        <v>51.75</v>
      </c>
      <c r="CZ1232" s="15" t="n">
        <v>55.98</v>
      </c>
      <c r="DA1232" s="34" t="n">
        <v>46079</v>
      </c>
      <c r="DB1232" s="15" t="n">
        <v>128.6</v>
      </c>
      <c r="DC1232" s="15" t="n">
        <v>165.91</v>
      </c>
      <c r="DD1232" s="34" t="n">
        <v>46079</v>
      </c>
      <c r="DE1232" s="15" t="n">
        <v>39.88</v>
      </c>
      <c r="DF1232" s="15" t="n">
        <v>45.13</v>
      </c>
      <c r="DG1232" s="34" t="n">
        <v>46079</v>
      </c>
      <c r="DH1232" s="15" t="n">
        <v>188</v>
      </c>
      <c r="DI1232" s="15" t="n">
        <v>165.12</v>
      </c>
      <c r="DJ1232" s="34" t="n">
        <v>46079</v>
      </c>
      <c r="DK1232" s="15" t="n">
        <v>45.8</v>
      </c>
      <c r="DL1232" s="15" t="n">
        <v>55.08</v>
      </c>
      <c r="DM1232" s="34" t="n">
        <v>46079</v>
      </c>
      <c r="DN1232" s="15" t="n">
        <v>21.2</v>
      </c>
      <c r="DO1232" s="15" t="n">
        <v>28.73</v>
      </c>
      <c r="DP1232" s="34" t="n">
        <v>46079</v>
      </c>
    </row>
    <row r="1233">
      <c r="A1233" s="34" t="n">
        <v>46080</v>
      </c>
      <c r="B1233" s="266" t="n">
        <v>1.143396973609924</v>
      </c>
      <c r="C1233" s="34" t="n">
        <v>46080</v>
      </c>
      <c r="D1233" s="15" t="n">
        <v>21.4</v>
      </c>
      <c r="E1233" s="15" t="n">
        <v>36.73</v>
      </c>
      <c r="F1233" s="34" t="n">
        <v>46080</v>
      </c>
      <c r="G1233" s="15" t="n">
        <v>78.5</v>
      </c>
      <c r="H1233" s="15" t="n">
        <v>97.5</v>
      </c>
      <c r="I1233" s="34" t="n">
        <v>46080</v>
      </c>
      <c r="J1233" s="15" t="n">
        <v>25.5</v>
      </c>
      <c r="K1233" s="15" t="n">
        <v>41.08</v>
      </c>
      <c r="L1233" s="34" t="n">
        <v>46080</v>
      </c>
      <c r="M1233" s="15" t="n">
        <v>48.14</v>
      </c>
      <c r="N1233" s="15" t="n">
        <v>56.6</v>
      </c>
      <c r="O1233" s="34" t="n">
        <v>46080</v>
      </c>
      <c r="P1233" s="15" t="n">
        <v>78.90000000000001</v>
      </c>
      <c r="Q1233" s="15" t="n">
        <v>80.58</v>
      </c>
      <c r="R1233" s="34" t="n">
        <v>46080</v>
      </c>
      <c r="S1233" s="15" t="n">
        <v>52.3</v>
      </c>
      <c r="T1233" s="15" t="n">
        <v>76.75</v>
      </c>
      <c r="U1233" s="34" t="n">
        <v>46080</v>
      </c>
      <c r="V1233" s="15" t="n">
        <v>25.76</v>
      </c>
      <c r="W1233" s="15" t="n">
        <v>33.88</v>
      </c>
      <c r="X1233" s="34" t="n">
        <v>46080</v>
      </c>
      <c r="Y1233" s="15" t="n">
        <v>90.84999999999999</v>
      </c>
      <c r="Z1233" s="15" t="n">
        <v>78.64</v>
      </c>
      <c r="AA1233" s="34" t="n">
        <v>46080</v>
      </c>
      <c r="AB1233" s="15" t="n">
        <v>11.4</v>
      </c>
      <c r="AC1233" s="15" t="n">
        <v>18.7</v>
      </c>
      <c r="AD1233" s="34" t="n">
        <v>46080</v>
      </c>
      <c r="AE1233" s="15" t="n">
        <v>35.98</v>
      </c>
      <c r="AF1233" s="15" t="n">
        <v>37.87</v>
      </c>
      <c r="AG1233" s="34" t="n">
        <v>46080</v>
      </c>
      <c r="AH1233" s="15" t="n">
        <v>39.66</v>
      </c>
      <c r="AI1233" s="15" t="n">
        <v>39.92</v>
      </c>
      <c r="AJ1233" s="34" t="n">
        <v>46080</v>
      </c>
      <c r="AK1233" s="15" t="n">
        <v>40.2</v>
      </c>
      <c r="AL1233" s="15" t="n">
        <v>92.94</v>
      </c>
      <c r="AM1233" s="34" t="n">
        <v>46080</v>
      </c>
      <c r="AN1233" s="15" t="n">
        <v>496</v>
      </c>
      <c r="AO1233" s="15" t="n">
        <v>342.01</v>
      </c>
      <c r="AP1233" s="34" t="n">
        <v>46080</v>
      </c>
      <c r="AQ1233" s="15" t="n">
        <v>66.5</v>
      </c>
      <c r="AR1233" s="15" t="n">
        <v>56.56</v>
      </c>
      <c r="AS1233" s="34" t="n">
        <v>46080</v>
      </c>
      <c r="AT1233" s="15" t="n">
        <v>15.77</v>
      </c>
      <c r="AU1233" s="15" t="n">
        <v>19.03</v>
      </c>
      <c r="AV1233" s="34" t="n">
        <v>46080</v>
      </c>
      <c r="AW1233" s="15" t="n">
        <v>33.78</v>
      </c>
      <c r="AX1233" s="15" t="n">
        <v>35.96</v>
      </c>
      <c r="AY1233" s="34" t="n">
        <v>46080</v>
      </c>
      <c r="AZ1233" s="15" t="n">
        <v>33.84</v>
      </c>
      <c r="BA1233" s="15" t="n">
        <v>51.21</v>
      </c>
      <c r="BB1233" s="34" t="n">
        <v>46080</v>
      </c>
      <c r="BC1233" s="15" t="n">
        <v>80.75</v>
      </c>
      <c r="BD1233" s="15" t="n">
        <v>95.91</v>
      </c>
      <c r="BE1233" s="34" t="n">
        <v>46080</v>
      </c>
      <c r="BF1233" s="15" t="n">
        <v>128.9</v>
      </c>
      <c r="BG1233" s="15" t="n">
        <v>193</v>
      </c>
      <c r="BH1233" s="34" t="n">
        <v>46080</v>
      </c>
      <c r="BI1233" s="15" t="n">
        <v>27.48</v>
      </c>
      <c r="BJ1233" s="15" t="n">
        <v>35.17</v>
      </c>
      <c r="BK1233" s="34" t="n">
        <v>46080</v>
      </c>
      <c r="BL1233" s="15" t="n">
        <v>64.59999999999999</v>
      </c>
      <c r="BM1233" s="15" t="n">
        <v>93.3</v>
      </c>
      <c r="BN1233" s="34" t="n">
        <v>46080</v>
      </c>
      <c r="BO1233" s="15" t="n">
        <v>14.01</v>
      </c>
      <c r="BP1233" s="15" t="n">
        <v>30.5</v>
      </c>
      <c r="BQ1233" s="34" t="n">
        <v>46080</v>
      </c>
      <c r="BR1233" s="15" t="n">
        <v>25.16</v>
      </c>
      <c r="BS1233" s="15" t="n">
        <v>23.15</v>
      </c>
      <c r="BT1233" s="34" t="n">
        <v>46080</v>
      </c>
      <c r="BU1233" s="15" t="n">
        <v>67</v>
      </c>
      <c r="BV1233" s="15" t="n">
        <v>103.4</v>
      </c>
      <c r="BW1233" s="34" t="n">
        <v>46080</v>
      </c>
      <c r="BX1233" s="15" t="n">
        <v>95.25</v>
      </c>
      <c r="BY1233" s="15" t="n">
        <v>107.32</v>
      </c>
      <c r="BZ1233" s="34" t="n">
        <v>46080</v>
      </c>
      <c r="CA1233" s="15" t="n">
        <v>16.94</v>
      </c>
      <c r="CB1233" s="15" t="n">
        <v>27.99</v>
      </c>
      <c r="CC1233" s="34" t="n">
        <v>46080</v>
      </c>
      <c r="CD1233" s="15" t="n">
        <v>37.68</v>
      </c>
      <c r="CE1233" s="15" t="n">
        <v>57.39</v>
      </c>
      <c r="CF1233" s="34" t="n">
        <v>46080</v>
      </c>
      <c r="CG1233" s="15" t="n">
        <v>133.8</v>
      </c>
      <c r="CH1233" s="15" t="n">
        <v>170</v>
      </c>
      <c r="CI1233" s="34" t="n">
        <v>46080</v>
      </c>
      <c r="CJ1233" s="15" t="n">
        <v>11.68</v>
      </c>
      <c r="CK1233" s="15" t="n">
        <v>19.66</v>
      </c>
      <c r="CL1233" s="34" t="n">
        <v>46080</v>
      </c>
      <c r="CM1233" s="15" t="n">
        <v>111</v>
      </c>
      <c r="CN1233" s="15" t="n">
        <v>123</v>
      </c>
      <c r="CO1233" s="34" t="n">
        <v>46080</v>
      </c>
      <c r="CP1233" s="15" t="n">
        <v>392</v>
      </c>
      <c r="CQ1233" s="15" t="n">
        <v>300</v>
      </c>
      <c r="CR1233" s="34" t="n">
        <v>46080</v>
      </c>
      <c r="CS1233" s="15" t="n">
        <v>29.24</v>
      </c>
      <c r="CT1233" s="15" t="n">
        <v>47</v>
      </c>
      <c r="CU1233" s="34" t="n">
        <v>46080</v>
      </c>
      <c r="CV1233" s="15" t="n">
        <v>248</v>
      </c>
      <c r="CW1233" s="15" t="n">
        <v>241.56</v>
      </c>
      <c r="CX1233" s="34" t="n">
        <v>46080</v>
      </c>
      <c r="CY1233" s="15" t="n">
        <v>54.6</v>
      </c>
      <c r="CZ1233" s="15" t="n">
        <v>55.95</v>
      </c>
      <c r="DA1233" s="34" t="n">
        <v>46080</v>
      </c>
      <c r="DB1233" s="15" t="n">
        <v>125.8</v>
      </c>
      <c r="DC1233" s="15" t="n">
        <v>156.41</v>
      </c>
      <c r="DD1233" s="34" t="n">
        <v>46080</v>
      </c>
      <c r="DE1233" s="15" t="n">
        <v>40.84</v>
      </c>
      <c r="DF1233" s="15" t="n">
        <v>46.9</v>
      </c>
      <c r="DG1233" s="34" t="n">
        <v>46080</v>
      </c>
      <c r="DH1233" s="15" t="n">
        <v>179.2</v>
      </c>
      <c r="DI1233" s="15" t="n">
        <v>163.55</v>
      </c>
      <c r="DJ1233" s="34" t="n">
        <v>46080</v>
      </c>
      <c r="DK1233" s="15" t="n">
        <v>45.8</v>
      </c>
      <c r="DL1233" s="15" t="n">
        <v>54.8</v>
      </c>
      <c r="DM1233" s="34" t="n">
        <v>46080</v>
      </c>
      <c r="DN1233" s="15" t="n">
        <v>22</v>
      </c>
      <c r="DO1233" s="15" t="n">
        <v>28.53</v>
      </c>
      <c r="DP1233" s="34" t="n">
        <v>46080</v>
      </c>
    </row>
    <row r="1234">
      <c r="A1234" s="34" t="n">
        <v>46083</v>
      </c>
      <c r="B1234" s="266" t="n">
        <v>1.140552043914795</v>
      </c>
      <c r="C1234" s="34" t="n">
        <v>46083</v>
      </c>
      <c r="D1234" s="15" t="n">
        <v>19.74</v>
      </c>
      <c r="E1234" s="15" t="n">
        <v>35.08</v>
      </c>
      <c r="F1234" s="34" t="n">
        <v>46083</v>
      </c>
      <c r="G1234" s="15" t="n">
        <v>76.09999999999999</v>
      </c>
      <c r="H1234" s="15" t="n">
        <v>94.44</v>
      </c>
      <c r="I1234" s="34" t="n">
        <v>46083</v>
      </c>
      <c r="J1234" s="15" t="n">
        <v>25.12</v>
      </c>
      <c r="K1234" s="15" t="n">
        <v>39.97</v>
      </c>
      <c r="L1234" s="34" t="n">
        <v>46083</v>
      </c>
      <c r="M1234" s="15" t="n">
        <v>46.42</v>
      </c>
      <c r="N1234" s="15" t="n">
        <v>55.18</v>
      </c>
      <c r="O1234" s="34" t="n">
        <v>46083</v>
      </c>
      <c r="P1234" s="15" t="n">
        <v>75.8</v>
      </c>
      <c r="Q1234" s="15" t="n">
        <v>78.09999999999999</v>
      </c>
      <c r="R1234" s="34" t="n">
        <v>46083</v>
      </c>
      <c r="S1234" s="15" t="n">
        <v>52.15</v>
      </c>
      <c r="T1234" s="15" t="n">
        <v>75.55</v>
      </c>
      <c r="U1234" s="34" t="n">
        <v>46083</v>
      </c>
      <c r="V1234" s="15" t="n">
        <v>25.12</v>
      </c>
      <c r="W1234" s="15" t="n">
        <v>32.53</v>
      </c>
      <c r="X1234" s="34" t="n">
        <v>46083</v>
      </c>
      <c r="Y1234" s="15" t="n">
        <v>87.40000000000001</v>
      </c>
      <c r="Z1234" s="15" t="n">
        <v>77.45</v>
      </c>
      <c r="AA1234" s="34" t="n">
        <v>46083</v>
      </c>
      <c r="AB1234" s="15" t="n">
        <v>10.66</v>
      </c>
      <c r="AC1234" s="15" t="n">
        <v>18.08</v>
      </c>
      <c r="AD1234" s="34" t="n">
        <v>46083</v>
      </c>
      <c r="AE1234" s="15" t="n">
        <v>34.72</v>
      </c>
      <c r="AF1234" s="15" t="n">
        <v>37.03</v>
      </c>
      <c r="AG1234" s="34" t="n">
        <v>46083</v>
      </c>
      <c r="AH1234" s="15" t="n">
        <v>44.48</v>
      </c>
      <c r="AI1234" s="15" t="n">
        <v>43.91</v>
      </c>
      <c r="AJ1234" s="34" t="n">
        <v>46083</v>
      </c>
      <c r="AK1234" s="15" t="n">
        <v>38.9</v>
      </c>
      <c r="AL1234" s="15" t="n">
        <v>90.3</v>
      </c>
      <c r="AM1234" s="34" t="n">
        <v>46083</v>
      </c>
      <c r="AN1234" s="15" t="n">
        <v>484.4</v>
      </c>
      <c r="AO1234" s="15" t="n">
        <v>340.22</v>
      </c>
      <c r="AP1234" s="34" t="n">
        <v>46083</v>
      </c>
      <c r="AQ1234" s="15" t="n">
        <v>64</v>
      </c>
      <c r="AR1234" s="15" t="n">
        <v>54.54</v>
      </c>
      <c r="AS1234" s="34" t="n">
        <v>46083</v>
      </c>
      <c r="AT1234" s="15" t="n">
        <v>15.32</v>
      </c>
      <c r="AU1234" s="15" t="n">
        <v>18.06</v>
      </c>
      <c r="AV1234" s="34" t="n">
        <v>46083</v>
      </c>
      <c r="AW1234" s="15" t="n">
        <v>33.44</v>
      </c>
      <c r="AX1234" s="15" t="n">
        <v>35.65</v>
      </c>
      <c r="AY1234" s="34" t="n">
        <v>46083</v>
      </c>
      <c r="AZ1234" s="15" t="n">
        <v>32.46</v>
      </c>
      <c r="BA1234" s="15" t="n">
        <v>49.4</v>
      </c>
      <c r="BB1234" s="34" t="n">
        <v>46083</v>
      </c>
      <c r="BC1234" s="15" t="n">
        <v>80.5</v>
      </c>
      <c r="BD1234" s="15" t="n">
        <v>96.90000000000001</v>
      </c>
      <c r="BE1234" s="34" t="n">
        <v>46083</v>
      </c>
      <c r="BF1234" s="15" t="n">
        <v>120.1</v>
      </c>
      <c r="BG1234" s="15" t="n">
        <v>185.18</v>
      </c>
      <c r="BH1234" s="34" t="n">
        <v>46083</v>
      </c>
      <c r="BI1234" s="15" t="n">
        <v>25.34</v>
      </c>
      <c r="BJ1234" s="15" t="n">
        <v>33.95</v>
      </c>
      <c r="BK1234" s="34" t="n">
        <v>46083</v>
      </c>
      <c r="BL1234" s="15" t="n">
        <v>60.6</v>
      </c>
      <c r="BM1234" s="15" t="n">
        <v>89.45999999999999</v>
      </c>
      <c r="BN1234" s="34" t="n">
        <v>46083</v>
      </c>
      <c r="BO1234" s="15" t="n">
        <v>13.17</v>
      </c>
      <c r="BP1234" s="15" t="n">
        <v>28.9</v>
      </c>
      <c r="BQ1234" s="34" t="n">
        <v>46083</v>
      </c>
      <c r="BR1234" s="15" t="n">
        <v>25</v>
      </c>
      <c r="BS1234" s="15" t="n">
        <v>22.97</v>
      </c>
      <c r="BT1234" s="34" t="n">
        <v>46083</v>
      </c>
      <c r="BU1234" s="15" t="n">
        <v>73.2</v>
      </c>
      <c r="BV1234" s="15" t="n">
        <v>113.74</v>
      </c>
      <c r="BW1234" s="34" t="n">
        <v>46083</v>
      </c>
      <c r="BX1234" s="15" t="n">
        <v>92.05</v>
      </c>
      <c r="BY1234" s="15" t="n">
        <v>106.19</v>
      </c>
      <c r="BZ1234" s="34" t="n">
        <v>46083</v>
      </c>
      <c r="CA1234" s="15" t="n">
        <v>16.42</v>
      </c>
      <c r="CB1234" s="15" t="n">
        <v>27.37</v>
      </c>
      <c r="CC1234" s="34" t="n">
        <v>46083</v>
      </c>
      <c r="CD1234" s="15" t="n">
        <v>36.82</v>
      </c>
      <c r="CE1234" s="15" t="n">
        <v>56.11</v>
      </c>
      <c r="CF1234" s="34" t="n">
        <v>46083</v>
      </c>
      <c r="CJ1234" s="15" t="n">
        <v>11.55</v>
      </c>
      <c r="CK1234" s="15" t="n">
        <v>21</v>
      </c>
      <c r="CL1234" s="34" t="n">
        <v>46083</v>
      </c>
      <c r="CM1234" s="15" t="n">
        <v>104.4</v>
      </c>
      <c r="CN1234" s="15" t="n">
        <v>118.93</v>
      </c>
      <c r="CO1234" s="34" t="n">
        <v>46083</v>
      </c>
      <c r="CP1234" s="15" t="n">
        <v>375</v>
      </c>
      <c r="CQ1234" s="15" t="n">
        <v>293.15</v>
      </c>
      <c r="CR1234" s="34" t="n">
        <v>46083</v>
      </c>
      <c r="CS1234" s="15" t="n">
        <v>27.02</v>
      </c>
      <c r="CT1234" s="15" t="n">
        <v>45.19</v>
      </c>
      <c r="CU1234" s="34" t="n">
        <v>46083</v>
      </c>
      <c r="CV1234" s="15" t="n">
        <v>233.8</v>
      </c>
      <c r="CW1234" s="15" t="n">
        <v>237.29</v>
      </c>
      <c r="CX1234" s="34" t="n">
        <v>46083</v>
      </c>
      <c r="CY1234" s="15" t="n">
        <v>50.8</v>
      </c>
      <c r="CZ1234" s="15" t="n">
        <v>54.88</v>
      </c>
      <c r="DA1234" s="34" t="n">
        <v>46083</v>
      </c>
      <c r="DB1234" s="15" t="n">
        <v>125.6</v>
      </c>
      <c r="DC1234" s="15" t="n">
        <v>153.38</v>
      </c>
      <c r="DD1234" s="34" t="n">
        <v>46083</v>
      </c>
      <c r="DE1234" s="15" t="n">
        <v>40.88</v>
      </c>
      <c r="DF1234" s="15" t="n">
        <v>46.81</v>
      </c>
      <c r="DG1234" s="34" t="n">
        <v>46083</v>
      </c>
      <c r="DH1234" s="15" t="n">
        <v>177</v>
      </c>
      <c r="DI1234" s="15" t="n">
        <v>159.44</v>
      </c>
      <c r="DJ1234" s="34" t="n">
        <v>46083</v>
      </c>
      <c r="DK1234" s="15" t="n">
        <v>44.58</v>
      </c>
      <c r="DL1234" s="15" t="n">
        <v>53.28</v>
      </c>
      <c r="DM1234" s="34" t="n">
        <v>46083</v>
      </c>
      <c r="DN1234" s="15" t="n">
        <v>21.04</v>
      </c>
      <c r="DO1234" s="15" t="n">
        <v>27.82</v>
      </c>
      <c r="DP1234" s="34" t="n">
        <v>46083</v>
      </c>
    </row>
    <row r="1235">
      <c r="A1235" s="34" t="n">
        <v>46084</v>
      </c>
      <c r="B1235" s="266" t="n">
        <v>1.136399984359741</v>
      </c>
      <c r="C1235" s="34" t="n">
        <v>46084</v>
      </c>
      <c r="D1235" s="15" t="n">
        <v>18.33</v>
      </c>
      <c r="E1235" s="15" t="n">
        <v>31.82</v>
      </c>
      <c r="F1235" s="34" t="n">
        <v>46084</v>
      </c>
      <c r="G1235" s="15" t="n">
        <v>73.84999999999999</v>
      </c>
      <c r="H1235" s="15" t="n">
        <v>92.5</v>
      </c>
      <c r="I1235" s="34" t="n">
        <v>46084</v>
      </c>
      <c r="J1235" s="15" t="n">
        <v>22.88</v>
      </c>
      <c r="K1235" s="15" t="n">
        <v>37.03</v>
      </c>
      <c r="L1235" s="34" t="n">
        <v>46084</v>
      </c>
      <c r="M1235" s="15" t="n">
        <v>42.68</v>
      </c>
      <c r="N1235" s="15" t="n">
        <v>51.58</v>
      </c>
      <c r="O1235" s="34" t="n">
        <v>46084</v>
      </c>
      <c r="P1235" s="15" t="n">
        <v>73.09999999999999</v>
      </c>
      <c r="Q1235" s="15" t="n">
        <v>75.73</v>
      </c>
      <c r="R1235" s="34" t="n">
        <v>46084</v>
      </c>
      <c r="S1235" s="15" t="n">
        <v>46.2</v>
      </c>
      <c r="T1235" s="15" t="n">
        <v>69.98999999999999</v>
      </c>
      <c r="U1235" s="34" t="n">
        <v>46084</v>
      </c>
      <c r="V1235" s="15" t="n">
        <v>24.1</v>
      </c>
      <c r="W1235" s="15" t="n">
        <v>31.11</v>
      </c>
      <c r="X1235" s="34" t="n">
        <v>46084</v>
      </c>
      <c r="Y1235" s="15" t="n">
        <v>85.84999999999999</v>
      </c>
      <c r="Z1235" s="15" t="n">
        <v>76.56</v>
      </c>
      <c r="AA1235" s="34" t="n">
        <v>46084</v>
      </c>
      <c r="AB1235" s="15" t="n">
        <v>9.789999999999999</v>
      </c>
      <c r="AC1235" s="15" t="n">
        <v>17.4</v>
      </c>
      <c r="AD1235" s="34" t="n">
        <v>46084</v>
      </c>
      <c r="AE1235" s="15" t="n">
        <v>34.76</v>
      </c>
      <c r="AF1235" s="15" t="n">
        <v>37.03</v>
      </c>
      <c r="AG1235" s="34" t="n">
        <v>46084</v>
      </c>
      <c r="AH1235" s="15" t="n">
        <v>42.06</v>
      </c>
      <c r="AI1235" s="15" t="n">
        <v>42.7</v>
      </c>
      <c r="AJ1235" s="34" t="n">
        <v>46084</v>
      </c>
      <c r="AK1235" s="15" t="n">
        <v>35.2</v>
      </c>
      <c r="AL1235" s="15" t="n">
        <v>83.02</v>
      </c>
      <c r="AM1235" s="34" t="n">
        <v>46084</v>
      </c>
      <c r="AN1235" s="15" t="n">
        <v>487</v>
      </c>
      <c r="AO1235" s="15" t="n">
        <v>344.07</v>
      </c>
      <c r="AP1235" s="34" t="n">
        <v>46084</v>
      </c>
      <c r="AQ1235" s="15" t="n">
        <v>62.5</v>
      </c>
      <c r="AR1235" s="15" t="n">
        <v>53.61</v>
      </c>
      <c r="AS1235" s="34" t="n">
        <v>46084</v>
      </c>
      <c r="AT1235" s="15" t="n">
        <v>15.32</v>
      </c>
      <c r="AU1235" s="15" t="n">
        <v>17.23</v>
      </c>
      <c r="AV1235" s="34" t="n">
        <v>46084</v>
      </c>
      <c r="AW1235" s="15" t="n">
        <v>33.5</v>
      </c>
      <c r="AX1235" s="15" t="n">
        <v>36.06</v>
      </c>
      <c r="AY1235" s="34" t="n">
        <v>46084</v>
      </c>
      <c r="AZ1235" s="15" t="n">
        <v>29.58</v>
      </c>
      <c r="BA1235" s="15" t="n">
        <v>46.58</v>
      </c>
      <c r="BB1235" s="34" t="n">
        <v>46084</v>
      </c>
      <c r="BC1235" s="15" t="n">
        <v>77.5</v>
      </c>
      <c r="BD1235" s="15" t="n">
        <v>94.36</v>
      </c>
      <c r="BE1235" s="34" t="n">
        <v>46084</v>
      </c>
      <c r="BF1235" s="15" t="n">
        <v>105.3</v>
      </c>
      <c r="BG1235" s="15" t="n">
        <v>170.59</v>
      </c>
      <c r="BH1235" s="34" t="n">
        <v>46084</v>
      </c>
      <c r="BI1235" s="15" t="n">
        <v>23.98</v>
      </c>
      <c r="BJ1235" s="15" t="n">
        <v>32.51</v>
      </c>
      <c r="BK1235" s="34" t="n">
        <v>46084</v>
      </c>
      <c r="BL1235" s="15" t="n">
        <v>56.65</v>
      </c>
      <c r="BM1235" s="15" t="n">
        <v>85.04000000000001</v>
      </c>
      <c r="BN1235" s="34" t="n">
        <v>46084</v>
      </c>
      <c r="BO1235" s="15" t="n">
        <v>12.33</v>
      </c>
      <c r="BP1235" s="15" t="n">
        <v>26.62</v>
      </c>
      <c r="BQ1235" s="34" t="n">
        <v>46084</v>
      </c>
      <c r="BR1235" s="15" t="n">
        <v>23.72</v>
      </c>
      <c r="BS1235" s="15" t="n">
        <v>22.19</v>
      </c>
      <c r="BT1235" s="34" t="n">
        <v>46084</v>
      </c>
      <c r="BU1235" s="15" t="n">
        <v>73.8</v>
      </c>
      <c r="BV1235" s="15" t="n">
        <v>110.41</v>
      </c>
      <c r="BW1235" s="34" t="n">
        <v>46084</v>
      </c>
      <c r="BX1235" s="15" t="n">
        <v>90.09999999999999</v>
      </c>
      <c r="BY1235" s="15" t="n">
        <v>102.4</v>
      </c>
      <c r="BZ1235" s="34" t="n">
        <v>46084</v>
      </c>
      <c r="CA1235" s="15" t="n">
        <v>15.78</v>
      </c>
      <c r="CB1235" s="15" t="n">
        <v>26.3</v>
      </c>
      <c r="CC1235" s="34" t="n">
        <v>46084</v>
      </c>
      <c r="CD1235" s="15" t="n">
        <v>34</v>
      </c>
      <c r="CE1235" s="15" t="n">
        <v>52.98</v>
      </c>
      <c r="CF1235" s="34" t="n">
        <v>46084</v>
      </c>
      <c r="CG1235" s="15" t="n">
        <v>124</v>
      </c>
      <c r="CH1235" s="15" t="n">
        <v>155.62</v>
      </c>
      <c r="CI1235" s="34" t="n">
        <v>46084</v>
      </c>
      <c r="CJ1235" s="15" t="n">
        <v>11.01</v>
      </c>
      <c r="CK1235" s="15" t="n">
        <v>21.16</v>
      </c>
      <c r="CL1235" s="34" t="n">
        <v>46084</v>
      </c>
      <c r="CM1235" s="15" t="n">
        <v>98.7</v>
      </c>
      <c r="CN1235" s="15" t="n">
        <v>116.35</v>
      </c>
      <c r="CO1235" s="34" t="n">
        <v>46084</v>
      </c>
      <c r="CP1235" s="15" t="n">
        <v>346</v>
      </c>
      <c r="CQ1235" s="15" t="n">
        <v>272.89</v>
      </c>
      <c r="CR1235" s="34" t="n">
        <v>46084</v>
      </c>
      <c r="CS1235" s="15" t="n">
        <v>24.8</v>
      </c>
      <c r="CT1235" s="15" t="n">
        <v>42.64</v>
      </c>
      <c r="CU1235" s="34" t="n">
        <v>46084</v>
      </c>
      <c r="CV1235" s="15" t="n">
        <v>229</v>
      </c>
      <c r="CW1235" s="15" t="n">
        <v>234.98</v>
      </c>
      <c r="CX1235" s="34" t="n">
        <v>46084</v>
      </c>
      <c r="CY1235" s="15" t="n">
        <v>47.4</v>
      </c>
      <c r="CZ1235" s="15" t="n">
        <v>55.01</v>
      </c>
      <c r="DA1235" s="34" t="n">
        <v>46084</v>
      </c>
      <c r="DB1235" s="15" t="n">
        <v>113.5</v>
      </c>
      <c r="DC1235" s="15" t="n">
        <v>144.11</v>
      </c>
      <c r="DD1235" s="34" t="n">
        <v>46084</v>
      </c>
      <c r="DE1235" s="15" t="n">
        <v>39.58</v>
      </c>
      <c r="DF1235" s="15" t="n">
        <v>46.53</v>
      </c>
      <c r="DG1235" s="34" t="n">
        <v>46084</v>
      </c>
      <c r="DH1235" s="15" t="n">
        <v>166</v>
      </c>
      <c r="DI1235" s="15" t="n">
        <v>147.89</v>
      </c>
      <c r="DJ1235" s="34" t="n">
        <v>46084</v>
      </c>
      <c r="DK1235" s="15" t="n">
        <v>42</v>
      </c>
      <c r="DL1235" s="15" t="n">
        <v>50.15</v>
      </c>
      <c r="DM1235" s="34" t="n">
        <v>46084</v>
      </c>
      <c r="DN1235" s="15" t="n">
        <v>19.1</v>
      </c>
      <c r="DO1235" s="15" t="n">
        <v>25.56</v>
      </c>
      <c r="DP1235" s="34" t="n">
        <v>46084</v>
      </c>
    </row>
    <row r="1236">
      <c r="A1236" s="34" t="n">
        <v>46085</v>
      </c>
      <c r="B1236" s="266" t="n">
        <v>1.130928993225098</v>
      </c>
      <c r="C1236" s="34" t="n">
        <v>46085</v>
      </c>
      <c r="D1236" s="15" t="n">
        <v>18.76</v>
      </c>
      <c r="E1236" s="15" t="n">
        <v>31.81</v>
      </c>
      <c r="F1236" s="34" t="n">
        <v>46085</v>
      </c>
      <c r="G1236" s="15" t="n">
        <v>78</v>
      </c>
      <c r="H1236" s="15" t="n">
        <v>97.2</v>
      </c>
      <c r="I1236" s="34" t="n">
        <v>46085</v>
      </c>
      <c r="J1236" s="15" t="n">
        <v>23</v>
      </c>
      <c r="K1236" s="15" t="n">
        <v>37.08</v>
      </c>
      <c r="L1236" s="34" t="n">
        <v>46085</v>
      </c>
      <c r="M1236" s="15" t="n">
        <v>42.94</v>
      </c>
      <c r="N1236" s="15" t="n">
        <v>52.07</v>
      </c>
      <c r="O1236" s="34" t="n">
        <v>46085</v>
      </c>
      <c r="P1236" s="15" t="n">
        <v>73.34999999999999</v>
      </c>
      <c r="Q1236" s="15" t="n">
        <v>76.76000000000001</v>
      </c>
      <c r="R1236" s="34" t="n">
        <v>46085</v>
      </c>
      <c r="S1236" s="15" t="n">
        <v>45.2</v>
      </c>
      <c r="T1236" s="15" t="n">
        <v>69.69</v>
      </c>
      <c r="U1236" s="34" t="n">
        <v>46085</v>
      </c>
      <c r="V1236" s="15" t="n">
        <v>25</v>
      </c>
      <c r="W1236" s="15" t="n">
        <v>33.75</v>
      </c>
      <c r="X1236" s="34" t="n">
        <v>46085</v>
      </c>
      <c r="Y1236" s="15" t="n">
        <v>85.15000000000001</v>
      </c>
      <c r="Z1236" s="15" t="n">
        <v>76.16</v>
      </c>
      <c r="AA1236" s="34" t="n">
        <v>46085</v>
      </c>
      <c r="AB1236" s="15" t="n">
        <v>9.789999999999999</v>
      </c>
      <c r="AC1236" s="15" t="n">
        <v>17.13</v>
      </c>
      <c r="AD1236" s="34" t="n">
        <v>46085</v>
      </c>
      <c r="AE1236" s="15" t="n">
        <v>33.94</v>
      </c>
      <c r="AF1236" s="15" t="n">
        <v>36.29</v>
      </c>
      <c r="AG1236" s="34" t="n">
        <v>46085</v>
      </c>
      <c r="AH1236" s="15" t="n">
        <v>40.64</v>
      </c>
      <c r="AI1236" s="15" t="n">
        <v>41.58</v>
      </c>
      <c r="AJ1236" s="34" t="n">
        <v>46085</v>
      </c>
      <c r="AK1236" s="15" t="n">
        <v>35.22</v>
      </c>
      <c r="AL1236" s="15" t="n">
        <v>83.58</v>
      </c>
      <c r="AM1236" s="34" t="n">
        <v>46085</v>
      </c>
      <c r="AN1236" s="15" t="n">
        <v>479.2</v>
      </c>
      <c r="AO1236" s="15" t="n">
        <v>338.9</v>
      </c>
      <c r="AP1236" s="34" t="n">
        <v>46085</v>
      </c>
      <c r="AQ1236" s="15" t="n">
        <v>60.2</v>
      </c>
      <c r="AR1236" s="15" t="n">
        <v>52.98</v>
      </c>
      <c r="AS1236" s="34" t="n">
        <v>46085</v>
      </c>
      <c r="AT1236" s="15" t="n">
        <v>15.24</v>
      </c>
      <c r="AU1236" s="15" t="n">
        <v>17.23</v>
      </c>
      <c r="AV1236" s="34" t="n">
        <v>46085</v>
      </c>
      <c r="AW1236" s="15" t="n">
        <v>32.88</v>
      </c>
      <c r="AX1236" s="15" t="n">
        <v>35.5</v>
      </c>
      <c r="AY1236" s="34" t="n">
        <v>46085</v>
      </c>
      <c r="AZ1236" s="15" t="n">
        <v>29.66</v>
      </c>
      <c r="BA1236" s="15" t="n">
        <v>47.5</v>
      </c>
      <c r="BB1236" s="34" t="n">
        <v>46085</v>
      </c>
      <c r="BC1236" s="15" t="n">
        <v>78</v>
      </c>
      <c r="BD1236" s="15" t="n">
        <v>92.58</v>
      </c>
      <c r="BE1236" s="34" t="n">
        <v>46085</v>
      </c>
      <c r="BF1236" s="15" t="n">
        <v>101.9</v>
      </c>
      <c r="BG1236" s="15" t="n">
        <v>169.67</v>
      </c>
      <c r="BH1236" s="34" t="n">
        <v>46085</v>
      </c>
      <c r="BI1236" s="15" t="n">
        <v>23.18</v>
      </c>
      <c r="BJ1236" s="15" t="n">
        <v>32.06</v>
      </c>
      <c r="BK1236" s="34" t="n">
        <v>46085</v>
      </c>
      <c r="BL1236" s="15" t="n">
        <v>53.3</v>
      </c>
      <c r="BM1236" s="15" t="n">
        <v>82.37</v>
      </c>
      <c r="BN1236" s="34" t="n">
        <v>46085</v>
      </c>
      <c r="BO1236" s="15" t="n">
        <v>12.41</v>
      </c>
      <c r="BP1236" s="15" t="n">
        <v>26.61</v>
      </c>
      <c r="BQ1236" s="34" t="n">
        <v>46085</v>
      </c>
      <c r="BR1236" s="15" t="n">
        <v>23.56</v>
      </c>
      <c r="BS1236" s="15" t="n">
        <v>22.01</v>
      </c>
      <c r="BT1236" s="34" t="n">
        <v>46085</v>
      </c>
      <c r="BU1236" s="15" t="n">
        <v>71.25</v>
      </c>
      <c r="BV1236" s="15" t="n">
        <v>109.19</v>
      </c>
      <c r="BW1236" s="34" t="n">
        <v>46085</v>
      </c>
      <c r="BX1236" s="15" t="n">
        <v>87.09999999999999</v>
      </c>
      <c r="BY1236" s="15" t="n">
        <v>101.51</v>
      </c>
      <c r="BZ1236" s="34" t="n">
        <v>46085</v>
      </c>
      <c r="CA1236" s="15" t="n">
        <v>15.46</v>
      </c>
      <c r="CB1236" s="15" t="n">
        <v>25.94</v>
      </c>
      <c r="CC1236" s="34" t="n">
        <v>46085</v>
      </c>
      <c r="CD1236" s="15" t="n">
        <v>33.44</v>
      </c>
      <c r="CE1236" s="15" t="n">
        <v>52.76</v>
      </c>
      <c r="CF1236" s="34" t="n">
        <v>46085</v>
      </c>
      <c r="CG1236" s="15" t="n">
        <v>121.7</v>
      </c>
      <c r="CH1236" s="15" t="n">
        <v>156.87</v>
      </c>
      <c r="CI1236" s="34" t="n">
        <v>46085</v>
      </c>
      <c r="CJ1236" s="15" t="n">
        <v>10.72</v>
      </c>
      <c r="CK1236" s="15" t="n">
        <v>21.62</v>
      </c>
      <c r="CL1236" s="34" t="n">
        <v>46085</v>
      </c>
      <c r="CM1236" s="15" t="n">
        <v>97.2</v>
      </c>
      <c r="CN1236" s="15" t="n">
        <v>113.52</v>
      </c>
      <c r="CO1236" s="34" t="n">
        <v>46085</v>
      </c>
      <c r="CP1236" s="15" t="n">
        <v>367.2</v>
      </c>
      <c r="CQ1236" s="15" t="n">
        <v>279.07</v>
      </c>
      <c r="CR1236" s="34" t="n">
        <v>46085</v>
      </c>
      <c r="CS1236" s="15" t="n">
        <v>24.3</v>
      </c>
      <c r="CT1236" s="15" t="n">
        <v>41.84</v>
      </c>
      <c r="CU1236" s="34" t="n">
        <v>46085</v>
      </c>
      <c r="CV1236" s="15" t="n">
        <v>210.4</v>
      </c>
      <c r="CW1236" s="15" t="n">
        <v>230.4</v>
      </c>
      <c r="CX1236" s="34" t="n">
        <v>46085</v>
      </c>
      <c r="CY1236" s="15" t="n">
        <v>47.42</v>
      </c>
      <c r="CZ1236" s="15" t="n">
        <v>53.16</v>
      </c>
      <c r="DA1236" s="34" t="n">
        <v>46085</v>
      </c>
      <c r="DB1236" s="15" t="n">
        <v>109.8</v>
      </c>
      <c r="DC1236" s="15" t="n">
        <v>144.46</v>
      </c>
      <c r="DD1236" s="34" t="n">
        <v>46085</v>
      </c>
      <c r="DE1236" s="15" t="n">
        <v>41.5</v>
      </c>
      <c r="DF1236" s="15" t="n">
        <v>47.13</v>
      </c>
      <c r="DG1236" s="34" t="n">
        <v>46085</v>
      </c>
      <c r="DH1236" s="15" t="n">
        <v>167.2</v>
      </c>
      <c r="DI1236" s="15" t="n">
        <v>150.31</v>
      </c>
      <c r="DJ1236" s="34" t="n">
        <v>46085</v>
      </c>
      <c r="DK1236" s="15" t="n">
        <v>38.32</v>
      </c>
      <c r="DL1236" s="15" t="n">
        <v>49.82</v>
      </c>
      <c r="DM1236" s="34" t="n">
        <v>46085</v>
      </c>
      <c r="DN1236" s="15" t="n">
        <v>18.86</v>
      </c>
      <c r="DO1236" s="15" t="n">
        <v>25.64</v>
      </c>
      <c r="DP1236" s="34" t="n">
        <v>46085</v>
      </c>
    </row>
    <row r="1237">
      <c r="A1237" s="34" t="n">
        <v>46086</v>
      </c>
      <c r="B1237" s="266" t="n">
        <v>1.133169054985046</v>
      </c>
      <c r="C1237" s="34" t="n">
        <v>46086</v>
      </c>
      <c r="D1237" s="15" t="n">
        <v>19.16</v>
      </c>
      <c r="E1237" s="15" t="n">
        <v>32.2</v>
      </c>
      <c r="F1237" s="34" t="n">
        <v>46086</v>
      </c>
      <c r="G1237" s="15" t="n">
        <v>81.34999999999999</v>
      </c>
      <c r="H1237" s="15" t="n">
        <v>97.39</v>
      </c>
      <c r="I1237" s="34" t="n">
        <v>46086</v>
      </c>
      <c r="J1237" s="15" t="n">
        <v>23</v>
      </c>
      <c r="K1237" s="15" t="n">
        <v>36.48</v>
      </c>
      <c r="L1237" s="34" t="n">
        <v>46086</v>
      </c>
      <c r="M1237" s="15" t="n">
        <v>43.36</v>
      </c>
      <c r="N1237" s="15" t="n">
        <v>52.35</v>
      </c>
      <c r="O1237" s="34" t="n">
        <v>46086</v>
      </c>
      <c r="P1237" s="15" t="n">
        <v>72.75</v>
      </c>
      <c r="Q1237" s="15" t="n">
        <v>76.45</v>
      </c>
      <c r="R1237" s="34" t="n">
        <v>46086</v>
      </c>
      <c r="S1237" s="15" t="n">
        <v>45.18</v>
      </c>
      <c r="T1237" s="15" t="n">
        <v>71.06999999999999</v>
      </c>
      <c r="U1237" s="34" t="n">
        <v>46086</v>
      </c>
      <c r="V1237" s="15" t="n">
        <v>26.12</v>
      </c>
      <c r="W1237" s="15" t="n">
        <v>35.13</v>
      </c>
      <c r="X1237" s="34" t="n">
        <v>46086</v>
      </c>
      <c r="Y1237" s="15" t="n">
        <v>85.09999999999999</v>
      </c>
      <c r="Z1237" s="15" t="n">
        <v>76.27</v>
      </c>
      <c r="AA1237" s="34" t="n">
        <v>46086</v>
      </c>
      <c r="AB1237" s="15" t="n">
        <v>10.14</v>
      </c>
      <c r="AC1237" s="15" t="n">
        <v>17.5</v>
      </c>
      <c r="AD1237" s="34" t="n">
        <v>46086</v>
      </c>
      <c r="AE1237" s="15" t="n">
        <v>34.26</v>
      </c>
      <c r="AF1237" s="15" t="n">
        <v>36.72</v>
      </c>
      <c r="AG1237" s="34" t="n">
        <v>46086</v>
      </c>
      <c r="AH1237" s="15" t="n">
        <v>39.14</v>
      </c>
      <c r="AI1237" s="15" t="n">
        <v>40.34</v>
      </c>
      <c r="AJ1237" s="34" t="n">
        <v>46086</v>
      </c>
      <c r="AK1237" s="15" t="n">
        <v>36.02</v>
      </c>
      <c r="AL1237" s="15" t="n">
        <v>87.02</v>
      </c>
      <c r="AM1237" s="34" t="n">
        <v>46086</v>
      </c>
      <c r="AN1237" s="15" t="n">
        <v>499.8</v>
      </c>
      <c r="AO1237" s="15" t="n">
        <v>350.25</v>
      </c>
      <c r="AP1237" s="34" t="n">
        <v>46086</v>
      </c>
      <c r="AQ1237" s="15" t="n">
        <v>62.35</v>
      </c>
      <c r="AR1237" s="15" t="n">
        <v>53.72</v>
      </c>
      <c r="AS1237" s="34" t="n">
        <v>46086</v>
      </c>
      <c r="AT1237" s="15" t="n">
        <v>15.38</v>
      </c>
      <c r="AU1237" s="15" t="n">
        <v>17.45</v>
      </c>
      <c r="AV1237" s="34" t="n">
        <v>46086</v>
      </c>
      <c r="AW1237" s="15" t="n">
        <v>33.8</v>
      </c>
      <c r="AX1237" s="15" t="n">
        <v>35.98</v>
      </c>
      <c r="AY1237" s="34" t="n">
        <v>46086</v>
      </c>
      <c r="AZ1237" s="15" t="n">
        <v>30.42</v>
      </c>
      <c r="BA1237" s="15" t="n">
        <v>47.59</v>
      </c>
      <c r="BB1237" s="34" t="n">
        <v>46086</v>
      </c>
      <c r="BC1237" s="15" t="n">
        <v>75.7</v>
      </c>
      <c r="BD1237" s="15" t="n">
        <v>91.8</v>
      </c>
      <c r="BE1237" s="34" t="n">
        <v>46086</v>
      </c>
      <c r="BF1237" s="15" t="n">
        <v>105.7</v>
      </c>
      <c r="BG1237" s="15" t="n">
        <v>171.8</v>
      </c>
      <c r="BH1237" s="34" t="n">
        <v>46086</v>
      </c>
      <c r="BI1237" s="15" t="n">
        <v>23.36</v>
      </c>
      <c r="BJ1237" s="15" t="n">
        <v>32.39</v>
      </c>
      <c r="BK1237" s="34" t="n">
        <v>46086</v>
      </c>
      <c r="BL1237" s="15" t="n">
        <v>52.15</v>
      </c>
      <c r="BM1237" s="15" t="n">
        <v>81.90000000000001</v>
      </c>
      <c r="BN1237" s="34" t="n">
        <v>46086</v>
      </c>
      <c r="BO1237" s="15" t="n">
        <v>13.2</v>
      </c>
      <c r="BP1237" s="15" t="n">
        <v>26.91</v>
      </c>
      <c r="BQ1237" s="34" t="n">
        <v>46086</v>
      </c>
      <c r="BR1237" s="15" t="n">
        <v>23.24</v>
      </c>
      <c r="BS1237" s="15" t="n">
        <v>22.08</v>
      </c>
      <c r="BT1237" s="34" t="n">
        <v>46086</v>
      </c>
      <c r="BU1237" s="15" t="n">
        <v>76.84999999999999</v>
      </c>
      <c r="BV1237" s="15" t="n">
        <v>113.18</v>
      </c>
      <c r="BW1237" s="34" t="n">
        <v>46086</v>
      </c>
      <c r="BX1237" s="15" t="n">
        <v>87.3</v>
      </c>
      <c r="BY1237" s="15" t="n">
        <v>101</v>
      </c>
      <c r="BZ1237" s="34" t="n">
        <v>46086</v>
      </c>
      <c r="CA1237" s="15" t="n">
        <v>15.62</v>
      </c>
      <c r="CB1237" s="15" t="n">
        <v>26.49</v>
      </c>
      <c r="CC1237" s="34" t="n">
        <v>46086</v>
      </c>
      <c r="CD1237" s="15" t="n">
        <v>33.58</v>
      </c>
      <c r="CE1237" s="15" t="n">
        <v>52.4</v>
      </c>
      <c r="CF1237" s="34" t="n">
        <v>46086</v>
      </c>
      <c r="CG1237" s="15" t="n">
        <v>123</v>
      </c>
      <c r="CH1237" s="15" t="n">
        <v>152.99</v>
      </c>
      <c r="CI1237" s="34" t="n">
        <v>46086</v>
      </c>
      <c r="CJ1237" s="15" t="n">
        <v>11.6</v>
      </c>
      <c r="CK1237" s="15" t="n">
        <v>21.7</v>
      </c>
      <c r="CL1237" s="34" t="n">
        <v>46086</v>
      </c>
      <c r="CM1237" s="15" t="n">
        <v>99.3</v>
      </c>
      <c r="CN1237" s="15" t="n">
        <v>114.17</v>
      </c>
      <c r="CO1237" s="34" t="n">
        <v>46086</v>
      </c>
      <c r="CP1237" s="15" t="n">
        <v>373.6</v>
      </c>
      <c r="CQ1237" s="15" t="n">
        <v>282.8</v>
      </c>
      <c r="CR1237" s="34" t="n">
        <v>46086</v>
      </c>
      <c r="CS1237" s="15" t="n">
        <v>24.66</v>
      </c>
      <c r="CT1237" s="15" t="n">
        <v>42.32</v>
      </c>
      <c r="CU1237" s="34" t="n">
        <v>46086</v>
      </c>
      <c r="CV1237" s="15" t="n">
        <v>223.6</v>
      </c>
      <c r="CW1237" s="15" t="n">
        <v>234.31</v>
      </c>
      <c r="CX1237" s="34" t="n">
        <v>46086</v>
      </c>
      <c r="CY1237" s="15" t="n">
        <v>46.8</v>
      </c>
      <c r="CZ1237" s="15" t="n">
        <v>53.19</v>
      </c>
      <c r="DA1237" s="34" t="n">
        <v>46086</v>
      </c>
      <c r="DB1237" s="15" t="n">
        <v>118.8</v>
      </c>
      <c r="DC1237" s="15" t="n">
        <v>147.64</v>
      </c>
      <c r="DD1237" s="34" t="n">
        <v>46086</v>
      </c>
      <c r="DE1237" s="15" t="n">
        <v>42.36</v>
      </c>
      <c r="DF1237" s="15" t="n">
        <v>46.8</v>
      </c>
      <c r="DG1237" s="34" t="n">
        <v>46086</v>
      </c>
      <c r="DH1237" s="15" t="n">
        <v>173.8</v>
      </c>
      <c r="DI1237" s="15" t="n">
        <v>152.63</v>
      </c>
      <c r="DJ1237" s="34" t="n">
        <v>46086</v>
      </c>
      <c r="DK1237" s="15" t="n">
        <v>40.66</v>
      </c>
      <c r="DL1237" s="15" t="n">
        <v>50.5</v>
      </c>
      <c r="DM1237" s="34" t="n">
        <v>46086</v>
      </c>
      <c r="DN1237" s="15" t="n">
        <v>19.57</v>
      </c>
      <c r="DO1237" s="15" t="n">
        <v>26.69</v>
      </c>
      <c r="DP1237" s="34" t="n">
        <v>46086</v>
      </c>
    </row>
    <row r="1238">
      <c r="A1238" s="34" t="n">
        <v>46087</v>
      </c>
      <c r="B1238" s="266" t="n">
        <v>1.133442044258118</v>
      </c>
      <c r="C1238" s="34" t="n">
        <v>46087</v>
      </c>
      <c r="D1238" s="15" t="n">
        <v>20.12</v>
      </c>
      <c r="E1238" s="15" t="n">
        <v>33.36</v>
      </c>
      <c r="F1238" s="34" t="n">
        <v>46087</v>
      </c>
      <c r="G1238" s="15" t="n">
        <v>83.15000000000001</v>
      </c>
      <c r="H1238" s="15" t="n">
        <v>99.31</v>
      </c>
      <c r="I1238" s="34" t="n">
        <v>46087</v>
      </c>
      <c r="J1238" s="15" t="n">
        <v>22.34</v>
      </c>
      <c r="K1238" s="15" t="n">
        <v>35.97</v>
      </c>
      <c r="L1238" s="34" t="n">
        <v>46087</v>
      </c>
      <c r="M1238" s="15" t="n">
        <v>43.08</v>
      </c>
      <c r="N1238" s="15" t="n">
        <v>51.99</v>
      </c>
      <c r="O1238" s="34" t="n">
        <v>46087</v>
      </c>
      <c r="P1238" s="15" t="n">
        <v>73.7</v>
      </c>
      <c r="Q1238" s="15" t="n">
        <v>76.62</v>
      </c>
      <c r="R1238" s="34" t="n">
        <v>46087</v>
      </c>
      <c r="S1238" s="15" t="n">
        <v>54.65</v>
      </c>
      <c r="T1238" s="15" t="n">
        <v>77.5</v>
      </c>
      <c r="U1238" s="34" t="n">
        <v>46087</v>
      </c>
      <c r="V1238" s="15" t="n">
        <v>25.08</v>
      </c>
      <c r="W1238" s="15" t="n">
        <v>33.3</v>
      </c>
      <c r="X1238" s="34" t="n">
        <v>46087</v>
      </c>
      <c r="Y1238" s="15" t="n">
        <v>86.05</v>
      </c>
      <c r="Z1238" s="15" t="n">
        <v>76.52</v>
      </c>
      <c r="AA1238" s="34" t="n">
        <v>46087</v>
      </c>
      <c r="AB1238" s="15" t="n">
        <v>10.09</v>
      </c>
      <c r="AC1238" s="15" t="n">
        <v>17.46</v>
      </c>
      <c r="AD1238" s="34" t="n">
        <v>46087</v>
      </c>
      <c r="AE1238" s="15" t="n">
        <v>35.08</v>
      </c>
      <c r="AF1238" s="15" t="n">
        <v>37.25</v>
      </c>
      <c r="AG1238" s="34" t="n">
        <v>46087</v>
      </c>
      <c r="AH1238" s="15" t="n">
        <v>39.8</v>
      </c>
      <c r="AI1238" s="15" t="n">
        <v>39.94</v>
      </c>
      <c r="AJ1238" s="34" t="n">
        <v>46087</v>
      </c>
      <c r="AK1238" s="15" t="n">
        <v>38.52</v>
      </c>
      <c r="AL1238" s="15" t="n">
        <v>92</v>
      </c>
      <c r="AM1238" s="34" t="n">
        <v>46087</v>
      </c>
      <c r="AN1238" s="15" t="n">
        <v>513</v>
      </c>
      <c r="AO1238" s="15" t="n">
        <v>354.77</v>
      </c>
      <c r="AP1238" s="34" t="n">
        <v>46087</v>
      </c>
      <c r="AQ1238" s="15" t="n">
        <v>65.34999999999999</v>
      </c>
      <c r="AR1238" s="15" t="n">
        <v>55.56</v>
      </c>
      <c r="AS1238" s="34" t="n">
        <v>46087</v>
      </c>
      <c r="AT1238" s="15" t="n">
        <v>15.75</v>
      </c>
      <c r="AU1238" s="15" t="n">
        <v>17.75</v>
      </c>
      <c r="AV1238" s="34" t="n">
        <v>46087</v>
      </c>
      <c r="AW1238" s="15" t="n">
        <v>34.32</v>
      </c>
      <c r="AX1238" s="15" t="n">
        <v>37.02</v>
      </c>
      <c r="AY1238" s="34" t="n">
        <v>46087</v>
      </c>
      <c r="AZ1238" s="15" t="n">
        <v>31.2</v>
      </c>
      <c r="BA1238" s="15" t="n">
        <v>47.71</v>
      </c>
      <c r="BB1238" s="34" t="n">
        <v>46087</v>
      </c>
      <c r="BC1238" s="15" t="n">
        <v>74.84999999999999</v>
      </c>
      <c r="BD1238" s="15" t="n">
        <v>92.13</v>
      </c>
      <c r="BE1238" s="34" t="n">
        <v>46087</v>
      </c>
      <c r="BF1238" s="15" t="n">
        <v>105.7</v>
      </c>
      <c r="BG1238" s="15" t="n">
        <v>170.66</v>
      </c>
      <c r="BH1238" s="34" t="n">
        <v>46087</v>
      </c>
      <c r="BI1238" s="15" t="n">
        <v>23.38</v>
      </c>
      <c r="BJ1238" s="15" t="n">
        <v>32.41</v>
      </c>
      <c r="BK1238" s="34" t="n">
        <v>46087</v>
      </c>
      <c r="BL1238" s="15" t="n">
        <v>53.1</v>
      </c>
      <c r="BM1238" s="15" t="n">
        <v>81.17</v>
      </c>
      <c r="BN1238" s="34" t="n">
        <v>46087</v>
      </c>
      <c r="BO1238" s="15" t="n">
        <v>13.05</v>
      </c>
      <c r="BP1238" s="15" t="n">
        <v>27.18</v>
      </c>
      <c r="BQ1238" s="34" t="n">
        <v>46087</v>
      </c>
      <c r="BR1238" s="15" t="n">
        <v>23.68</v>
      </c>
      <c r="BS1238" s="15" t="n">
        <v>22.03</v>
      </c>
      <c r="BT1238" s="34" t="n">
        <v>46087</v>
      </c>
      <c r="BU1238" s="15" t="n">
        <v>75.95</v>
      </c>
      <c r="BV1238" s="15" t="n">
        <v>114.78</v>
      </c>
      <c r="BW1238" s="34" t="n">
        <v>46087</v>
      </c>
      <c r="BX1238" s="15" t="n">
        <v>88</v>
      </c>
      <c r="BY1238" s="15" t="n">
        <v>100.25</v>
      </c>
      <c r="BZ1238" s="34" t="n">
        <v>46087</v>
      </c>
      <c r="CA1238" s="15" t="n">
        <v>15.8</v>
      </c>
      <c r="CB1238" s="15" t="n">
        <v>26.44</v>
      </c>
      <c r="CC1238" s="34" t="n">
        <v>46087</v>
      </c>
      <c r="CD1238" s="15" t="n">
        <v>33.08</v>
      </c>
      <c r="CE1238" s="15" t="n">
        <v>51.53</v>
      </c>
      <c r="CF1238" s="34" t="n">
        <v>46087</v>
      </c>
      <c r="CG1238" s="15" t="n">
        <v>127.1</v>
      </c>
      <c r="CH1238" s="15" t="n">
        <v>164.33</v>
      </c>
      <c r="CI1238" s="34" t="n">
        <v>46087</v>
      </c>
      <c r="CJ1238" s="15" t="n">
        <v>11.9</v>
      </c>
      <c r="CK1238" s="15" t="n">
        <v>22.31</v>
      </c>
      <c r="CL1238" s="34" t="n">
        <v>46087</v>
      </c>
      <c r="CM1238" s="15" t="n">
        <v>100.3</v>
      </c>
      <c r="CN1238" s="15" t="n">
        <v>115.05</v>
      </c>
      <c r="CO1238" s="34" t="n">
        <v>46087</v>
      </c>
      <c r="CP1238" s="15" t="n">
        <v>391.6</v>
      </c>
      <c r="CQ1238" s="15" t="n">
        <v>284.99</v>
      </c>
      <c r="CR1238" s="34" t="n">
        <v>46087</v>
      </c>
      <c r="CS1238" s="15" t="n">
        <v>25.8</v>
      </c>
      <c r="CT1238" s="15" t="n">
        <v>42.91</v>
      </c>
      <c r="CU1238" s="34" t="n">
        <v>46087</v>
      </c>
      <c r="CV1238" s="15" t="n">
        <v>219</v>
      </c>
      <c r="CW1238" s="15" t="n">
        <v>235</v>
      </c>
      <c r="CX1238" s="34" t="n">
        <v>46087</v>
      </c>
      <c r="CY1238" s="15" t="n">
        <v>47.52</v>
      </c>
      <c r="CZ1238" s="15" t="n">
        <v>53.7</v>
      </c>
      <c r="DA1238" s="34" t="n">
        <v>46087</v>
      </c>
      <c r="DB1238" s="15" t="n">
        <v>120</v>
      </c>
      <c r="DC1238" s="15" t="n">
        <v>147.3</v>
      </c>
      <c r="DD1238" s="34" t="n">
        <v>46087</v>
      </c>
      <c r="DE1238" s="15" t="n">
        <v>44.72</v>
      </c>
      <c r="DF1238" s="15" t="n">
        <v>49.34</v>
      </c>
      <c r="DG1238" s="34" t="n">
        <v>46087</v>
      </c>
      <c r="DH1238" s="15" t="n">
        <v>170</v>
      </c>
      <c r="DI1238" s="15" t="n">
        <v>151.61</v>
      </c>
      <c r="DJ1238" s="34" t="n">
        <v>46087</v>
      </c>
      <c r="DK1238" s="15" t="n">
        <v>40.3</v>
      </c>
      <c r="DL1238" s="15" t="n">
        <v>50.14</v>
      </c>
      <c r="DM1238" s="34" t="n">
        <v>46087</v>
      </c>
      <c r="DN1238" s="15" t="n">
        <v>18.83</v>
      </c>
      <c r="DO1238" s="15" t="n">
        <v>26.25</v>
      </c>
      <c r="DP1238" s="34" t="n">
        <v>46087</v>
      </c>
    </row>
    <row r="1239">
      <c r="A1239" s="34" t="n">
        <v>46090</v>
      </c>
      <c r="B1239" s="266" t="n">
        <v>1.133231043815613</v>
      </c>
      <c r="C1239" s="34" t="n">
        <v>46090</v>
      </c>
      <c r="D1239" s="15" t="n">
        <v>19.42</v>
      </c>
      <c r="E1239" s="15" t="n">
        <v>33.18</v>
      </c>
      <c r="F1239" s="34" t="n">
        <v>46090</v>
      </c>
      <c r="G1239" s="15" t="n">
        <v>80.7</v>
      </c>
      <c r="H1239" s="15" t="n">
        <v>98</v>
      </c>
      <c r="I1239" s="34" t="n">
        <v>46090</v>
      </c>
      <c r="J1239" s="15" t="n">
        <v>21.46</v>
      </c>
      <c r="K1239" s="15" t="n">
        <v>35.14</v>
      </c>
      <c r="L1239" s="34" t="n">
        <v>46090</v>
      </c>
      <c r="M1239" s="15" t="n">
        <v>43.06</v>
      </c>
      <c r="N1239" s="15" t="n">
        <v>53.09</v>
      </c>
      <c r="O1239" s="34" t="n">
        <v>46090</v>
      </c>
      <c r="P1239" s="15" t="n">
        <v>72.5</v>
      </c>
      <c r="Q1239" s="15" t="n">
        <v>75.09999999999999</v>
      </c>
      <c r="R1239" s="34" t="n">
        <v>46090</v>
      </c>
      <c r="S1239" s="15" t="n">
        <v>53.95</v>
      </c>
      <c r="T1239" s="15" t="n">
        <v>77</v>
      </c>
      <c r="U1239" s="34" t="n">
        <v>46090</v>
      </c>
      <c r="V1239" s="15" t="n">
        <v>24.9</v>
      </c>
      <c r="W1239" s="15" t="n">
        <v>32.89</v>
      </c>
      <c r="X1239" s="34" t="n">
        <v>46090</v>
      </c>
      <c r="Y1239" s="15" t="n">
        <v>84.34999999999999</v>
      </c>
      <c r="Z1239" s="15" t="n">
        <v>75.41</v>
      </c>
      <c r="AA1239" s="34" t="n">
        <v>46090</v>
      </c>
      <c r="AB1239" s="15" t="n">
        <v>10.33</v>
      </c>
      <c r="AC1239" s="15" t="n">
        <v>17.7</v>
      </c>
      <c r="AD1239" s="34" t="n">
        <v>46090</v>
      </c>
      <c r="AE1239" s="15" t="n">
        <v>34.4</v>
      </c>
      <c r="AF1239" s="15" t="n">
        <v>36.91</v>
      </c>
      <c r="AG1239" s="34" t="n">
        <v>46090</v>
      </c>
      <c r="AH1239" s="15" t="n">
        <v>39.94</v>
      </c>
      <c r="AI1239" s="15" t="n">
        <v>40.55</v>
      </c>
      <c r="AJ1239" s="34" t="n">
        <v>46090</v>
      </c>
      <c r="AK1239" s="15" t="n">
        <v>38.28</v>
      </c>
      <c r="AL1239" s="15" t="n">
        <v>87.42</v>
      </c>
      <c r="AM1239" s="34" t="n">
        <v>46090</v>
      </c>
      <c r="AN1239" s="15" t="n">
        <v>503</v>
      </c>
      <c r="AO1239" s="15" t="n">
        <v>357.5</v>
      </c>
      <c r="AP1239" s="34" t="n">
        <v>46090</v>
      </c>
      <c r="AQ1239" s="15" t="n">
        <v>64.75</v>
      </c>
      <c r="AR1239" s="15" t="n">
        <v>54.94</v>
      </c>
      <c r="AS1239" s="34" t="n">
        <v>46090</v>
      </c>
      <c r="AT1239" s="15" t="n">
        <v>16.2</v>
      </c>
      <c r="AU1239" s="15" t="n">
        <v>18.85</v>
      </c>
      <c r="AV1239" s="34" t="n">
        <v>46090</v>
      </c>
      <c r="AW1239" s="15" t="n">
        <v>34.24</v>
      </c>
      <c r="AX1239" s="15" t="n">
        <v>37.31</v>
      </c>
      <c r="AY1239" s="34" t="n">
        <v>46090</v>
      </c>
      <c r="AZ1239" s="15" t="n">
        <v>30.58</v>
      </c>
      <c r="BA1239" s="15" t="n">
        <v>46.99</v>
      </c>
      <c r="BB1239" s="34" t="n">
        <v>46090</v>
      </c>
      <c r="BC1239" s="15" t="n">
        <v>75.55</v>
      </c>
      <c r="BD1239" s="15" t="n">
        <v>89.12</v>
      </c>
      <c r="BE1239" s="34" t="n">
        <v>46090</v>
      </c>
      <c r="BF1239" s="15" t="n">
        <v>103.2</v>
      </c>
      <c r="BG1239" s="15" t="n">
        <v>165.7</v>
      </c>
      <c r="BH1239" s="34" t="n">
        <v>46090</v>
      </c>
      <c r="BI1239" s="15" t="n">
        <v>22.4</v>
      </c>
      <c r="BJ1239" s="15" t="n">
        <v>31.45</v>
      </c>
      <c r="BK1239" s="34" t="n">
        <v>46090</v>
      </c>
      <c r="BL1239" s="15" t="n">
        <v>51</v>
      </c>
      <c r="BM1239" s="15" t="n">
        <v>78.79000000000001</v>
      </c>
      <c r="BN1239" s="34" t="n">
        <v>46090</v>
      </c>
      <c r="BO1239" s="15" t="n">
        <v>12.86</v>
      </c>
      <c r="BP1239" s="15" t="n">
        <v>27.07</v>
      </c>
      <c r="BQ1239" s="34" t="n">
        <v>46090</v>
      </c>
      <c r="BR1239" s="15" t="n">
        <v>22.9</v>
      </c>
      <c r="BS1239" s="15" t="n">
        <v>21.27</v>
      </c>
      <c r="BT1239" s="34" t="n">
        <v>46090</v>
      </c>
      <c r="BU1239" s="15" t="n">
        <v>73.09999999999999</v>
      </c>
      <c r="BV1239" s="15" t="n">
        <v>111.27</v>
      </c>
      <c r="BW1239" s="34" t="n">
        <v>46090</v>
      </c>
      <c r="BX1239" s="15" t="n">
        <v>86.7</v>
      </c>
      <c r="BY1239" s="15" t="n">
        <v>97.8</v>
      </c>
      <c r="BZ1239" s="34" t="n">
        <v>46090</v>
      </c>
      <c r="CA1239" s="15" t="n">
        <v>15.61</v>
      </c>
      <c r="CB1239" s="15" t="n">
        <v>25.9</v>
      </c>
      <c r="CC1239" s="34" t="n">
        <v>46090</v>
      </c>
      <c r="CD1239" s="15" t="n">
        <v>33.34</v>
      </c>
      <c r="CE1239" s="15" t="n">
        <v>52.2</v>
      </c>
      <c r="CF1239" s="34" t="n">
        <v>46090</v>
      </c>
      <c r="CG1239" s="15" t="n">
        <v>128.8</v>
      </c>
      <c r="CH1239" s="15" t="n">
        <v>171.3</v>
      </c>
      <c r="CI1239" s="34" t="n">
        <v>46090</v>
      </c>
      <c r="CJ1239" s="15" t="n">
        <v>12</v>
      </c>
      <c r="CK1239" s="15" t="n">
        <v>21.93</v>
      </c>
      <c r="CL1239" s="34" t="n">
        <v>46090</v>
      </c>
      <c r="CM1239" s="15" t="n">
        <v>96.09999999999999</v>
      </c>
      <c r="CN1239" s="15" t="n">
        <v>112.2</v>
      </c>
      <c r="CO1239" s="34" t="n">
        <v>46090</v>
      </c>
      <c r="CP1239" s="15" t="n">
        <v>365.8</v>
      </c>
      <c r="CQ1239" s="15" t="n">
        <v>276.09</v>
      </c>
      <c r="CR1239" s="34" t="n">
        <v>46090</v>
      </c>
      <c r="CS1239" s="15" t="n">
        <v>24.76</v>
      </c>
      <c r="CT1239" s="15" t="n">
        <v>42.2</v>
      </c>
      <c r="CU1239" s="34" t="n">
        <v>46090</v>
      </c>
      <c r="CV1239" s="15" t="n">
        <v>213.6</v>
      </c>
      <c r="CW1239" s="15" t="n">
        <v>235.84</v>
      </c>
      <c r="CX1239" s="34" t="n">
        <v>46090</v>
      </c>
      <c r="CY1239" s="15" t="n">
        <v>48.96</v>
      </c>
      <c r="CZ1239" s="15" t="n">
        <v>52.3</v>
      </c>
      <c r="DA1239" s="34" t="n">
        <v>46090</v>
      </c>
      <c r="DB1239" s="15" t="n">
        <v>112.7</v>
      </c>
      <c r="DC1239" s="15" t="n">
        <v>142.88</v>
      </c>
      <c r="DD1239" s="34" t="n">
        <v>46090</v>
      </c>
      <c r="DE1239" s="15" t="n">
        <v>46.06</v>
      </c>
      <c r="DF1239" s="15" t="n">
        <v>49.41</v>
      </c>
      <c r="DG1239" s="34" t="n">
        <v>46090</v>
      </c>
      <c r="DH1239" s="15" t="n">
        <v>165.9</v>
      </c>
      <c r="DI1239" s="15" t="n">
        <v>148.18</v>
      </c>
      <c r="DJ1239" s="34" t="n">
        <v>46090</v>
      </c>
      <c r="DK1239" s="15" t="n">
        <v>40.28</v>
      </c>
      <c r="DL1239" s="15" t="n">
        <v>49.65</v>
      </c>
      <c r="DM1239" s="34" t="n">
        <v>46090</v>
      </c>
      <c r="DN1239" s="15" t="n">
        <v>18.01</v>
      </c>
      <c r="DO1239" s="15" t="n">
        <v>25.49</v>
      </c>
      <c r="DP1239" s="34" t="n">
        <v>46090</v>
      </c>
      <c r="DQ1239" s="15" t="n">
        <v>12.9</v>
      </c>
      <c r="DR1239" s="15" t="n">
        <v>21.88</v>
      </c>
      <c r="DS1239" s="34" t="n">
        <v>46090</v>
      </c>
      <c r="DT1239" s="15" t="n">
        <v>73</v>
      </c>
      <c r="DU1239" s="15" t="n">
        <v>113.07</v>
      </c>
      <c r="DV1239" s="34" t="n">
        <v>46090</v>
      </c>
    </row>
    <row r="1240">
      <c r="A1240" s="34" t="n">
        <v>46091</v>
      </c>
      <c r="B1240" s="266" t="n">
        <v>1.131595015525818</v>
      </c>
      <c r="C1240" s="34" t="n">
        <v>46091</v>
      </c>
      <c r="D1240" s="15" t="n">
        <v>20.34</v>
      </c>
      <c r="E1240" s="15" t="n">
        <v>34.33</v>
      </c>
      <c r="F1240" s="34" t="n">
        <v>46091</v>
      </c>
      <c r="G1240" s="15" t="n">
        <v>84</v>
      </c>
      <c r="H1240" s="15" t="n">
        <v>101.3</v>
      </c>
      <c r="I1240" s="34" t="n">
        <v>46091</v>
      </c>
      <c r="J1240" s="15" t="n">
        <v>22.16</v>
      </c>
      <c r="K1240" s="15" t="n">
        <v>35.82</v>
      </c>
      <c r="L1240" s="34" t="n">
        <v>46091</v>
      </c>
      <c r="M1240" s="15" t="n">
        <v>44.4</v>
      </c>
      <c r="N1240" s="15" t="n">
        <v>53.85</v>
      </c>
      <c r="O1240" s="34" t="n">
        <v>46091</v>
      </c>
      <c r="P1240" s="15" t="n">
        <v>72.5</v>
      </c>
      <c r="Q1240" s="15" t="n">
        <v>75.40000000000001</v>
      </c>
      <c r="R1240" s="34" t="n">
        <v>46091</v>
      </c>
      <c r="S1240" s="15" t="n">
        <v>59.5</v>
      </c>
      <c r="T1240" s="15" t="n">
        <v>82.88</v>
      </c>
      <c r="U1240" s="34" t="n">
        <v>46091</v>
      </c>
      <c r="V1240" s="15" t="n">
        <v>25.4</v>
      </c>
      <c r="W1240" s="15" t="n">
        <v>34.15</v>
      </c>
      <c r="X1240" s="34" t="n">
        <v>46091</v>
      </c>
      <c r="Y1240" s="15" t="n">
        <v>85.95</v>
      </c>
      <c r="Z1240" s="15" t="n">
        <v>76.59999999999999</v>
      </c>
      <c r="AA1240" s="34" t="n">
        <v>46091</v>
      </c>
      <c r="AB1240" s="15" t="n">
        <v>10.86</v>
      </c>
      <c r="AC1240" s="15" t="n">
        <v>17.98</v>
      </c>
      <c r="AD1240" s="34" t="n">
        <v>46091</v>
      </c>
      <c r="AE1240" s="15" t="n">
        <v>35.04</v>
      </c>
      <c r="AF1240" s="15" t="n">
        <v>37.32</v>
      </c>
      <c r="AG1240" s="34" t="n">
        <v>46091</v>
      </c>
      <c r="AH1240" s="15" t="n">
        <v>42.1</v>
      </c>
      <c r="AI1240" s="15" t="n">
        <v>40.86</v>
      </c>
      <c r="AJ1240" s="34" t="n">
        <v>46091</v>
      </c>
      <c r="AK1240" s="15" t="n">
        <v>39.56</v>
      </c>
      <c r="AL1240" s="15" t="n">
        <v>91.02</v>
      </c>
      <c r="AM1240" s="34" t="n">
        <v>46091</v>
      </c>
      <c r="AN1240" s="15" t="n">
        <v>550</v>
      </c>
      <c r="AO1240" s="15" t="n">
        <v>376.3</v>
      </c>
      <c r="AP1240" s="34" t="n">
        <v>46091</v>
      </c>
      <c r="AQ1240" s="15" t="n">
        <v>66.45</v>
      </c>
      <c r="AR1240" s="15" t="n">
        <v>56.55</v>
      </c>
      <c r="AS1240" s="34" t="n">
        <v>46091</v>
      </c>
      <c r="AT1240" s="15" t="n">
        <v>16.38</v>
      </c>
      <c r="AU1240" s="15" t="n">
        <v>18.65</v>
      </c>
      <c r="AV1240" s="34" t="n">
        <v>46091</v>
      </c>
      <c r="AW1240" s="15" t="n">
        <v>34.24</v>
      </c>
      <c r="AX1240" s="15" t="n">
        <v>37.28</v>
      </c>
      <c r="AY1240" s="34" t="n">
        <v>46091</v>
      </c>
      <c r="AZ1240" s="15" t="n">
        <v>31.86</v>
      </c>
      <c r="BA1240" s="15" t="n">
        <v>48.44</v>
      </c>
      <c r="BB1240" s="34" t="n">
        <v>46091</v>
      </c>
      <c r="BC1240" s="15" t="n">
        <v>77.95</v>
      </c>
      <c r="BD1240" s="15" t="n">
        <v>90.27</v>
      </c>
      <c r="BE1240" s="34" t="n">
        <v>46091</v>
      </c>
      <c r="BF1240" s="15" t="n">
        <v>109.7</v>
      </c>
      <c r="BG1240" s="15" t="n">
        <v>175.6</v>
      </c>
      <c r="BH1240" s="34" t="n">
        <v>46091</v>
      </c>
      <c r="BI1240" s="15" t="n">
        <v>23.86</v>
      </c>
      <c r="BJ1240" s="15" t="n">
        <v>32.56</v>
      </c>
      <c r="BK1240" s="34" t="n">
        <v>46091</v>
      </c>
      <c r="BL1240" s="15" t="n">
        <v>54.7</v>
      </c>
      <c r="BM1240" s="15" t="n">
        <v>80.88</v>
      </c>
      <c r="BN1240" s="34" t="n">
        <v>46091</v>
      </c>
      <c r="BO1240" s="15" t="n">
        <v>13.55</v>
      </c>
      <c r="BP1240" s="15" t="n">
        <v>27.73</v>
      </c>
      <c r="BQ1240" s="34" t="n">
        <v>46091</v>
      </c>
      <c r="BR1240" s="15" t="n">
        <v>24.72</v>
      </c>
      <c r="BS1240" s="15" t="n">
        <v>22.06</v>
      </c>
      <c r="BT1240" s="34" t="n">
        <v>46091</v>
      </c>
      <c r="BU1240" s="15" t="n">
        <v>82.34999999999999</v>
      </c>
      <c r="BV1240" s="15" t="n">
        <v>120.1</v>
      </c>
      <c r="BW1240" s="34" t="n">
        <v>46091</v>
      </c>
      <c r="BX1240" s="15" t="n">
        <v>89.05</v>
      </c>
      <c r="BY1240" s="15" t="n">
        <v>99.51000000000001</v>
      </c>
      <c r="BZ1240" s="34" t="n">
        <v>46091</v>
      </c>
      <c r="CA1240" s="15" t="n">
        <v>16.08</v>
      </c>
      <c r="CB1240" s="15" t="n">
        <v>26.54</v>
      </c>
      <c r="CC1240" s="34" t="n">
        <v>46091</v>
      </c>
      <c r="CD1240" s="15" t="n">
        <v>33.76</v>
      </c>
      <c r="CE1240" s="15" t="n">
        <v>52.6</v>
      </c>
      <c r="CF1240" s="34" t="n">
        <v>46091</v>
      </c>
      <c r="CG1240" s="15" t="n">
        <v>137.2</v>
      </c>
      <c r="CH1240" s="15" t="n">
        <v>177.22</v>
      </c>
      <c r="CI1240" s="34" t="n">
        <v>46091</v>
      </c>
      <c r="CJ1240" s="15" t="n">
        <v>11.8</v>
      </c>
      <c r="CK1240" s="15" t="n">
        <v>21.35</v>
      </c>
      <c r="CL1240" s="34" t="n">
        <v>46091</v>
      </c>
      <c r="CM1240" s="15" t="n">
        <v>100.3</v>
      </c>
      <c r="CN1240" s="15" t="n">
        <v>114.08</v>
      </c>
      <c r="CO1240" s="34" t="n">
        <v>46091</v>
      </c>
      <c r="CP1240" s="15" t="n">
        <v>378</v>
      </c>
      <c r="CQ1240" s="15" t="n">
        <v>285.44</v>
      </c>
      <c r="CR1240" s="34" t="n">
        <v>46091</v>
      </c>
      <c r="CS1240" s="15" t="n">
        <v>25.2</v>
      </c>
      <c r="CT1240" s="15" t="n">
        <v>43.13</v>
      </c>
      <c r="CU1240" s="34" t="n">
        <v>46091</v>
      </c>
      <c r="CV1240" s="15" t="n">
        <v>235</v>
      </c>
      <c r="CW1240" s="15" t="n">
        <v>239.08</v>
      </c>
      <c r="CX1240" s="34" t="n">
        <v>46091</v>
      </c>
      <c r="CY1240" s="15" t="n">
        <v>47.96</v>
      </c>
      <c r="CZ1240" s="15" t="n">
        <v>53.12</v>
      </c>
      <c r="DA1240" s="34" t="n">
        <v>46091</v>
      </c>
      <c r="DB1240" s="15" t="n">
        <v>118.6</v>
      </c>
      <c r="DC1240" s="15" t="n">
        <v>149.93</v>
      </c>
      <c r="DD1240" s="34" t="n">
        <v>46091</v>
      </c>
      <c r="DE1240" s="15" t="n">
        <v>45.02</v>
      </c>
      <c r="DF1240" s="15" t="n">
        <v>48.33</v>
      </c>
      <c r="DG1240" s="34" t="n">
        <v>46091</v>
      </c>
      <c r="DH1240" s="15" t="n">
        <v>183.9</v>
      </c>
      <c r="DI1240" s="15" t="n">
        <v>152.98</v>
      </c>
      <c r="DJ1240" s="34" t="n">
        <v>46091</v>
      </c>
      <c r="DK1240" s="15" t="n">
        <v>41.5</v>
      </c>
      <c r="DL1240" s="15" t="n">
        <v>50.87</v>
      </c>
      <c r="DM1240" s="34" t="n">
        <v>46091</v>
      </c>
      <c r="DN1240" s="15" t="n">
        <v>19.2</v>
      </c>
      <c r="DO1240" s="15" t="n">
        <v>26.38</v>
      </c>
      <c r="DP1240" s="34" t="n">
        <v>46091</v>
      </c>
      <c r="DQ1240" s="15" t="n">
        <v>13.33</v>
      </c>
      <c r="DR1240" s="15" t="n">
        <v>22.34</v>
      </c>
      <c r="DS1240" s="34" t="n">
        <v>46091</v>
      </c>
      <c r="DT1240" s="15" t="n">
        <v>92</v>
      </c>
      <c r="DU1240" s="15" t="n">
        <v>124.38</v>
      </c>
      <c r="DV1240" s="34" t="n">
        <v>46091</v>
      </c>
      <c r="DW1240" s="15" t="n">
        <v>29.3</v>
      </c>
      <c r="DX1240" s="15" t="n">
        <v>49.14</v>
      </c>
      <c r="DY1240" s="34" t="n">
        <v>46091</v>
      </c>
    </row>
    <row r="1241">
      <c r="A1241" s="34" t="n">
        <v>46092</v>
      </c>
      <c r="B1241" s="266" t="n">
        <v>1.137585043907166</v>
      </c>
      <c r="C1241" s="34" t="n">
        <v>46092</v>
      </c>
      <c r="D1241" s="15" t="n">
        <v>20.78</v>
      </c>
      <c r="E1241" s="15" t="n">
        <v>33.9</v>
      </c>
      <c r="F1241" s="34" t="n">
        <v>46092</v>
      </c>
      <c r="G1241" s="15" t="n">
        <v>83.59999999999999</v>
      </c>
      <c r="H1241" s="15" t="n">
        <v>99.93000000000001</v>
      </c>
      <c r="I1241" s="34" t="n">
        <v>46092</v>
      </c>
      <c r="J1241" s="15" t="n">
        <v>22</v>
      </c>
      <c r="K1241" s="15" t="n">
        <v>35.27</v>
      </c>
      <c r="L1241" s="34" t="n">
        <v>46092</v>
      </c>
      <c r="M1241" s="15" t="n">
        <v>44.2</v>
      </c>
      <c r="N1241" s="15" t="n">
        <v>54.54</v>
      </c>
      <c r="O1241" s="34" t="n">
        <v>46092</v>
      </c>
      <c r="P1241" s="15" t="n">
        <v>71.09999999999999</v>
      </c>
      <c r="Q1241" s="15" t="n">
        <v>74.33</v>
      </c>
      <c r="R1241" s="34" t="n">
        <v>46092</v>
      </c>
      <c r="S1241" s="15" t="n">
        <v>56.5</v>
      </c>
      <c r="T1241" s="15" t="n">
        <v>81.20999999999999</v>
      </c>
      <c r="U1241" s="34" t="n">
        <v>46092</v>
      </c>
      <c r="V1241" s="15" t="n">
        <v>24.24</v>
      </c>
      <c r="W1241" s="15" t="n">
        <v>33.59</v>
      </c>
      <c r="X1241" s="34" t="n">
        <v>46092</v>
      </c>
      <c r="Y1241" s="15" t="n">
        <v>86.65000000000001</v>
      </c>
      <c r="Z1241" s="15" t="n">
        <v>77.39</v>
      </c>
      <c r="AA1241" s="34" t="n">
        <v>46092</v>
      </c>
      <c r="AB1241" s="15" t="n">
        <v>11.07</v>
      </c>
      <c r="AC1241" s="15" t="n">
        <v>18.48</v>
      </c>
      <c r="AD1241" s="34" t="n">
        <v>46092</v>
      </c>
      <c r="AE1241" s="15" t="n">
        <v>35.06</v>
      </c>
      <c r="AF1241" s="15" t="n">
        <v>37.32</v>
      </c>
      <c r="AG1241" s="34" t="n">
        <v>46092</v>
      </c>
      <c r="AH1241" s="15" t="n">
        <v>43.02</v>
      </c>
      <c r="AI1241" s="15" t="n">
        <v>41.73</v>
      </c>
      <c r="AJ1241" s="34" t="n">
        <v>46092</v>
      </c>
      <c r="AK1241" s="15" t="n">
        <v>39.56</v>
      </c>
      <c r="AL1241" s="15" t="n">
        <v>89.15000000000001</v>
      </c>
      <c r="AM1241" s="34" t="n">
        <v>46092</v>
      </c>
      <c r="AN1241" s="15" t="n">
        <v>599.5</v>
      </c>
      <c r="AO1241" s="15" t="n">
        <v>396.8</v>
      </c>
      <c r="AP1241" s="34" t="n">
        <v>46092</v>
      </c>
      <c r="AQ1241" s="15" t="n">
        <v>65.84999999999999</v>
      </c>
      <c r="AR1241" s="15" t="n">
        <v>55.83</v>
      </c>
      <c r="AS1241" s="34" t="n">
        <v>46092</v>
      </c>
      <c r="AT1241" s="15" t="n">
        <v>15.9</v>
      </c>
      <c r="AU1241" s="15" t="n">
        <v>18.3</v>
      </c>
      <c r="AV1241" s="34" t="n">
        <v>46092</v>
      </c>
      <c r="AW1241" s="15" t="n">
        <v>34.2</v>
      </c>
      <c r="AX1241" s="15" t="n">
        <v>37.39</v>
      </c>
      <c r="AY1241" s="34" t="n">
        <v>46092</v>
      </c>
      <c r="AZ1241" s="15" t="n">
        <v>31.4</v>
      </c>
      <c r="BA1241" s="15" t="n">
        <v>48.21</v>
      </c>
      <c r="BB1241" s="34" t="n">
        <v>46092</v>
      </c>
      <c r="BC1241" s="15" t="n">
        <v>78</v>
      </c>
      <c r="BD1241" s="15" t="n">
        <v>91.52</v>
      </c>
      <c r="BE1241" s="34" t="n">
        <v>46092</v>
      </c>
      <c r="BF1241" s="15" t="n">
        <v>111.5</v>
      </c>
      <c r="BG1241" s="15" t="n">
        <v>176</v>
      </c>
      <c r="BH1241" s="34" t="n">
        <v>46092</v>
      </c>
      <c r="BI1241" s="15" t="n">
        <v>23.44</v>
      </c>
      <c r="BJ1241" s="15" t="n">
        <v>32.49</v>
      </c>
      <c r="BK1241" s="34" t="n">
        <v>46092</v>
      </c>
      <c r="BL1241" s="15" t="n">
        <v>55.85</v>
      </c>
      <c r="BM1241" s="15" t="n">
        <v>80.95</v>
      </c>
      <c r="BN1241" s="34" t="n">
        <v>46092</v>
      </c>
      <c r="BO1241" s="15" t="n">
        <v>13.53</v>
      </c>
      <c r="BP1241" s="15" t="n">
        <v>27.48</v>
      </c>
      <c r="BQ1241" s="34" t="n">
        <v>46092</v>
      </c>
      <c r="BR1241" s="15" t="n">
        <v>24.4</v>
      </c>
      <c r="BS1241" s="15" t="n">
        <v>22.25</v>
      </c>
      <c r="BT1241" s="34" t="n">
        <v>46092</v>
      </c>
      <c r="BU1241" s="15" t="n">
        <v>87.59999999999999</v>
      </c>
      <c r="BV1241" s="15" t="n">
        <v>126.26</v>
      </c>
      <c r="BW1241" s="34" t="n">
        <v>46092</v>
      </c>
      <c r="BX1241" s="15" t="n">
        <v>92.2</v>
      </c>
      <c r="BY1241" s="15" t="n">
        <v>101.52</v>
      </c>
      <c r="BZ1241" s="34" t="n">
        <v>46092</v>
      </c>
      <c r="CA1241" s="15" t="n">
        <v>16</v>
      </c>
      <c r="CB1241" s="15" t="n">
        <v>26.36</v>
      </c>
      <c r="CC1241" s="34" t="n">
        <v>46092</v>
      </c>
      <c r="CD1241" s="15" t="n">
        <v>34.84</v>
      </c>
      <c r="CE1241" s="15" t="n">
        <v>53.75</v>
      </c>
      <c r="CF1241" s="34" t="n">
        <v>46092</v>
      </c>
      <c r="CG1241" s="15" t="n">
        <v>135.1</v>
      </c>
      <c r="CH1241" s="15" t="n">
        <v>175.12</v>
      </c>
      <c r="CI1241" s="34" t="n">
        <v>46092</v>
      </c>
      <c r="CJ1241" s="15" t="n">
        <v>11.81</v>
      </c>
      <c r="CK1241" s="15" t="n">
        <v>21.37</v>
      </c>
      <c r="CL1241" s="34" t="n">
        <v>46092</v>
      </c>
      <c r="CM1241" s="15" t="n">
        <v>98.65000000000001</v>
      </c>
      <c r="CN1241" s="15" t="n">
        <v>114.3</v>
      </c>
      <c r="CO1241" s="34" t="n">
        <v>46092</v>
      </c>
      <c r="CP1241" s="15" t="n">
        <v>371.8</v>
      </c>
      <c r="CQ1241" s="15" t="n">
        <v>281.53</v>
      </c>
      <c r="CR1241" s="34" t="n">
        <v>46092</v>
      </c>
      <c r="CS1241" s="15" t="n">
        <v>24.56</v>
      </c>
      <c r="CT1241" s="15" t="n">
        <v>42.77</v>
      </c>
      <c r="CU1241" s="34" t="n">
        <v>46092</v>
      </c>
      <c r="CV1241" s="15" t="n">
        <v>229</v>
      </c>
      <c r="CW1241" s="15" t="n">
        <v>237.53</v>
      </c>
      <c r="CX1241" s="34" t="n">
        <v>46092</v>
      </c>
      <c r="CY1241" s="15" t="n">
        <v>47.18</v>
      </c>
      <c r="CZ1241" s="15" t="n">
        <v>52.67</v>
      </c>
      <c r="DA1241" s="34" t="n">
        <v>46092</v>
      </c>
      <c r="DB1241" s="15" t="n">
        <v>115.5</v>
      </c>
      <c r="DC1241" s="15" t="n">
        <v>151.6</v>
      </c>
      <c r="DD1241" s="34" t="n">
        <v>46092</v>
      </c>
      <c r="DE1241" s="15" t="n">
        <v>45.76</v>
      </c>
      <c r="DF1241" s="15" t="n">
        <v>49.31</v>
      </c>
      <c r="DG1241" s="34" t="n">
        <v>46092</v>
      </c>
      <c r="DH1241" s="15" t="n">
        <v>178.9</v>
      </c>
      <c r="DI1241" s="15" t="n">
        <v>149.8</v>
      </c>
      <c r="DJ1241" s="34" t="n">
        <v>46092</v>
      </c>
      <c r="DK1241" s="15" t="n">
        <v>43.4</v>
      </c>
      <c r="DL1241" s="15" t="n">
        <v>52.15</v>
      </c>
      <c r="DM1241" s="34" t="n">
        <v>46092</v>
      </c>
      <c r="DN1241" s="15" t="n">
        <v>18.96</v>
      </c>
      <c r="DO1241" s="15" t="n">
        <v>26.28</v>
      </c>
      <c r="DP1241" s="34" t="n">
        <v>46092</v>
      </c>
      <c r="DQ1241" s="15" t="n">
        <v>14.06</v>
      </c>
      <c r="DR1241" s="15" t="n">
        <v>22.35</v>
      </c>
      <c r="DS1241" s="34" t="n">
        <v>46092</v>
      </c>
      <c r="DT1241" s="15" t="n">
        <v>83</v>
      </c>
      <c r="DU1241" s="15" t="n">
        <v>123.4</v>
      </c>
      <c r="DV1241" s="34" t="n">
        <v>46092</v>
      </c>
      <c r="DW1241" s="15" t="n">
        <v>29.58</v>
      </c>
      <c r="DX1241" s="15" t="n">
        <v>48.26</v>
      </c>
      <c r="DY1241" s="34" t="n">
        <v>46092</v>
      </c>
    </row>
    <row r="1242">
      <c r="A1242" s="34" t="n">
        <v>46093</v>
      </c>
      <c r="B1242" s="266" t="n">
        <v>1.139600038528442</v>
      </c>
      <c r="C1242" s="34" t="n">
        <v>46093</v>
      </c>
      <c r="D1242" s="15" t="n">
        <v>20.64</v>
      </c>
      <c r="E1242" s="15" t="n">
        <v>33.38</v>
      </c>
      <c r="F1242" s="34" t="n">
        <v>46093</v>
      </c>
      <c r="G1242" s="15" t="n">
        <v>81.55</v>
      </c>
      <c r="H1242" s="15" t="n">
        <v>98.75</v>
      </c>
      <c r="I1242" s="34" t="n">
        <v>46093</v>
      </c>
      <c r="J1242" s="15" t="n">
        <v>21.6</v>
      </c>
      <c r="K1242" s="15" t="n">
        <v>34.88</v>
      </c>
      <c r="L1242" s="34" t="n">
        <v>46093</v>
      </c>
      <c r="M1242" s="15" t="n">
        <v>43.2</v>
      </c>
      <c r="N1242" s="15" t="n">
        <v>53.6</v>
      </c>
      <c r="O1242" s="34" t="n">
        <v>46093</v>
      </c>
      <c r="P1242" s="15" t="n">
        <v>69.8</v>
      </c>
      <c r="Q1242" s="15" t="n">
        <v>73.73999999999999</v>
      </c>
      <c r="R1242" s="34" t="n">
        <v>46093</v>
      </c>
      <c r="S1242" s="15" t="n">
        <v>55.45</v>
      </c>
      <c r="T1242" s="15" t="n">
        <v>77.89</v>
      </c>
      <c r="U1242" s="34" t="n">
        <v>46093</v>
      </c>
      <c r="V1242" s="15" t="n">
        <v>24.16</v>
      </c>
      <c r="W1242" s="15" t="n">
        <v>32.76</v>
      </c>
      <c r="X1242" s="34" t="n">
        <v>46093</v>
      </c>
      <c r="Y1242" s="15" t="n">
        <v>86.5</v>
      </c>
      <c r="Z1242" s="15" t="n">
        <v>77.40000000000001</v>
      </c>
      <c r="AA1242" s="34" t="n">
        <v>46093</v>
      </c>
      <c r="AB1242" s="15" t="n">
        <v>11.12</v>
      </c>
      <c r="AC1242" s="15" t="n">
        <v>18.64</v>
      </c>
      <c r="AD1242" s="34" t="n">
        <v>46093</v>
      </c>
      <c r="AE1242" s="15" t="n">
        <v>34.62</v>
      </c>
      <c r="AF1242" s="15" t="n">
        <v>37.34</v>
      </c>
      <c r="AG1242" s="34" t="n">
        <v>46093</v>
      </c>
      <c r="AH1242" s="15" t="n">
        <v>43.68</v>
      </c>
      <c r="AI1242" s="15" t="n">
        <v>42.35</v>
      </c>
      <c r="AJ1242" s="34" t="n">
        <v>46093</v>
      </c>
      <c r="AK1242" s="15" t="n">
        <v>37</v>
      </c>
      <c r="AL1242" s="15" t="n">
        <v>84.88</v>
      </c>
      <c r="AM1242" s="34" t="n">
        <v>46093</v>
      </c>
      <c r="AN1242" s="15" t="n">
        <v>610</v>
      </c>
      <c r="AO1242" s="15" t="n">
        <v>395.5</v>
      </c>
      <c r="AP1242" s="34" t="n">
        <v>46093</v>
      </c>
      <c r="AQ1242" s="15" t="n">
        <v>65.2</v>
      </c>
      <c r="AR1242" s="15" t="n">
        <v>55.3</v>
      </c>
      <c r="AS1242" s="34" t="n">
        <v>46093</v>
      </c>
      <c r="AT1242" s="15" t="n">
        <v>16.13</v>
      </c>
      <c r="AU1242" s="15" t="n">
        <v>18.36</v>
      </c>
      <c r="AV1242" s="34" t="n">
        <v>46093</v>
      </c>
      <c r="AW1242" s="15" t="n">
        <v>32.94</v>
      </c>
      <c r="AX1242" s="15" t="n">
        <v>37.02</v>
      </c>
      <c r="AY1242" s="34" t="n">
        <v>46093</v>
      </c>
      <c r="AZ1242" s="15" t="n">
        <v>31.98</v>
      </c>
      <c r="BA1242" s="15" t="n">
        <v>48.78</v>
      </c>
      <c r="BB1242" s="34" t="n">
        <v>46093</v>
      </c>
      <c r="BC1242" s="15" t="n">
        <v>76.90000000000001</v>
      </c>
      <c r="BD1242" s="15" t="n">
        <v>87.79000000000001</v>
      </c>
      <c r="BE1242" s="34" t="n">
        <v>46093</v>
      </c>
      <c r="BF1242" s="15" t="n">
        <v>113</v>
      </c>
      <c r="BG1242" s="15" t="n">
        <v>172.02</v>
      </c>
      <c r="BH1242" s="34" t="n">
        <v>46093</v>
      </c>
      <c r="BI1242" s="15" t="n">
        <v>23.16</v>
      </c>
      <c r="BJ1242" s="15" t="n">
        <v>32.02</v>
      </c>
      <c r="BK1242" s="34" t="n">
        <v>46093</v>
      </c>
      <c r="BL1242" s="15" t="n">
        <v>55.45</v>
      </c>
      <c r="BM1242" s="15" t="n">
        <v>83.08</v>
      </c>
      <c r="BN1242" s="34" t="n">
        <v>46093</v>
      </c>
      <c r="BO1242" s="15" t="n">
        <v>13.41</v>
      </c>
      <c r="BP1242" s="15" t="n">
        <v>27.23</v>
      </c>
      <c r="BQ1242" s="34" t="n">
        <v>46093</v>
      </c>
      <c r="BR1242" s="15" t="n">
        <v>23.38</v>
      </c>
      <c r="BS1242" s="15" t="n">
        <v>21.51</v>
      </c>
      <c r="BT1242" s="34" t="n">
        <v>46093</v>
      </c>
      <c r="BU1242" s="15" t="n">
        <v>84.40000000000001</v>
      </c>
      <c r="BV1242" s="15" t="n">
        <v>122.6</v>
      </c>
      <c r="BW1242" s="34" t="n">
        <v>46093</v>
      </c>
      <c r="BX1242" s="15" t="n">
        <v>89.95</v>
      </c>
      <c r="BY1242" s="15" t="n">
        <v>99.88</v>
      </c>
      <c r="BZ1242" s="34" t="n">
        <v>46093</v>
      </c>
      <c r="CA1242" s="15" t="n">
        <v>16.09</v>
      </c>
      <c r="CB1242" s="15" t="n">
        <v>26</v>
      </c>
      <c r="CC1242" s="34" t="n">
        <v>46093</v>
      </c>
      <c r="CD1242" s="15" t="n">
        <v>34.28</v>
      </c>
      <c r="CE1242" s="15" t="n">
        <v>53.55</v>
      </c>
      <c r="CF1242" s="34" t="n">
        <v>46093</v>
      </c>
      <c r="CG1242" s="15" t="n">
        <v>131.8</v>
      </c>
      <c r="CH1242" s="15" t="n">
        <v>173.81</v>
      </c>
      <c r="CI1242" s="34" t="n">
        <v>46093</v>
      </c>
      <c r="CJ1242" s="15" t="n">
        <v>11.96</v>
      </c>
      <c r="CK1242" s="15" t="n">
        <v>22.97</v>
      </c>
      <c r="CL1242" s="34" t="n">
        <v>46093</v>
      </c>
      <c r="CM1242" s="15" t="n">
        <v>96.5</v>
      </c>
      <c r="CN1242" s="15" t="n">
        <v>112.82</v>
      </c>
      <c r="CO1242" s="34" t="n">
        <v>46093</v>
      </c>
      <c r="CP1242" s="15" t="n">
        <v>360</v>
      </c>
      <c r="CQ1242" s="15" t="n">
        <v>274.78</v>
      </c>
      <c r="CR1242" s="34" t="n">
        <v>46093</v>
      </c>
      <c r="CS1242" s="15" t="n">
        <v>24.42</v>
      </c>
      <c r="CT1242" s="15" t="n">
        <v>41.98</v>
      </c>
      <c r="CU1242" s="34" t="n">
        <v>46093</v>
      </c>
      <c r="CV1242" s="15" t="n">
        <v>221.8</v>
      </c>
      <c r="CW1242" s="15" t="n">
        <v>226.62</v>
      </c>
      <c r="CX1242" s="34" t="n">
        <v>46093</v>
      </c>
      <c r="CY1242" s="15" t="n">
        <v>49.28</v>
      </c>
      <c r="CZ1242" s="15" t="n">
        <v>52.74</v>
      </c>
      <c r="DA1242" s="34" t="n">
        <v>46093</v>
      </c>
      <c r="DB1242" s="15" t="n">
        <v>116.8</v>
      </c>
      <c r="DC1242" s="15" t="n">
        <v>147.7</v>
      </c>
      <c r="DD1242" s="34" t="n">
        <v>46093</v>
      </c>
      <c r="DE1242" s="15" t="n">
        <v>46.68</v>
      </c>
      <c r="DF1242" s="15" t="n">
        <v>50.59</v>
      </c>
      <c r="DG1242" s="34" t="n">
        <v>46093</v>
      </c>
      <c r="DH1242" s="15" t="n">
        <v>185.5</v>
      </c>
      <c r="DI1242" s="15" t="n">
        <v>147.85</v>
      </c>
      <c r="DJ1242" s="34" t="n">
        <v>46093</v>
      </c>
      <c r="DK1242" s="15" t="n">
        <v>45.62</v>
      </c>
      <c r="DL1242" s="15" t="n">
        <v>52.5</v>
      </c>
      <c r="DM1242" s="34" t="n">
        <v>46093</v>
      </c>
      <c r="DN1242" s="15" t="n">
        <v>18.54</v>
      </c>
      <c r="DO1242" s="15" t="n">
        <v>25.78</v>
      </c>
      <c r="DP1242" s="34" t="n">
        <v>46093</v>
      </c>
      <c r="DQ1242" s="15" t="n">
        <v>13.61</v>
      </c>
      <c r="DR1242" s="15" t="n">
        <v>22.01</v>
      </c>
      <c r="DS1242" s="34" t="n">
        <v>46093</v>
      </c>
      <c r="DT1242" s="15" t="n">
        <v>78.75</v>
      </c>
      <c r="DU1242" s="15" t="n">
        <v>119</v>
      </c>
      <c r="DV1242" s="34" t="n">
        <v>46093</v>
      </c>
      <c r="DW1242" s="15" t="n">
        <v>28.26</v>
      </c>
      <c r="DX1242" s="15" t="n">
        <v>46.26</v>
      </c>
      <c r="DY1242" s="34" t="n">
        <v>46093</v>
      </c>
    </row>
    <row r="1243">
      <c r="A1243" s="34" t="n">
        <v>46094</v>
      </c>
      <c r="B1243" s="266" t="n">
        <v>1.139310002326965</v>
      </c>
      <c r="C1243" s="34" t="n">
        <v>46094</v>
      </c>
      <c r="D1243" s="15" t="n">
        <v>19.45</v>
      </c>
      <c r="E1243" s="15" t="n">
        <v>32.41</v>
      </c>
      <c r="F1243" s="34" t="n">
        <v>46094</v>
      </c>
      <c r="G1243" s="15" t="n">
        <v>80.2</v>
      </c>
      <c r="H1243" s="15" t="n">
        <v>99.31</v>
      </c>
      <c r="I1243" s="34" t="n">
        <v>46094</v>
      </c>
      <c r="J1243" s="15" t="n">
        <v>21.02</v>
      </c>
      <c r="K1243" s="15" t="n">
        <v>33.91</v>
      </c>
      <c r="L1243" s="34" t="n">
        <v>46094</v>
      </c>
      <c r="M1243" s="15" t="n">
        <v>43.66</v>
      </c>
      <c r="N1243" s="15" t="n">
        <v>54.15</v>
      </c>
      <c r="O1243" s="34" t="n">
        <v>46094</v>
      </c>
      <c r="P1243" s="15" t="n">
        <v>69</v>
      </c>
      <c r="Q1243" s="15" t="n">
        <v>73.29000000000001</v>
      </c>
      <c r="R1243" s="34" t="n">
        <v>46094</v>
      </c>
      <c r="S1243" s="15" t="n">
        <v>54.25</v>
      </c>
      <c r="T1243" s="15" t="n">
        <v>77.2</v>
      </c>
      <c r="U1243" s="34" t="n">
        <v>46094</v>
      </c>
      <c r="V1243" s="15" t="n">
        <v>23.74</v>
      </c>
      <c r="W1243" s="15" t="n">
        <v>32.73</v>
      </c>
      <c r="X1243" s="34" t="n">
        <v>46094</v>
      </c>
      <c r="Y1243" s="15" t="n">
        <v>85.45</v>
      </c>
      <c r="Z1243" s="15" t="n">
        <v>76.86</v>
      </c>
      <c r="AA1243" s="34" t="n">
        <v>46094</v>
      </c>
      <c r="AB1243" s="15" t="n">
        <v>11</v>
      </c>
      <c r="AC1243" s="15" t="n">
        <v>18.69</v>
      </c>
      <c r="AD1243" s="34" t="n">
        <v>46094</v>
      </c>
      <c r="AE1243" s="15" t="n">
        <v>34.76</v>
      </c>
      <c r="AF1243" s="15" t="n">
        <v>38.06</v>
      </c>
      <c r="AG1243" s="34" t="n">
        <v>46094</v>
      </c>
      <c r="AH1243" s="15" t="n">
        <v>40.3</v>
      </c>
      <c r="AI1243" s="15" t="n">
        <v>40.91</v>
      </c>
      <c r="AJ1243" s="34" t="n">
        <v>46094</v>
      </c>
      <c r="AK1243" s="15" t="n">
        <v>36</v>
      </c>
      <c r="AL1243" s="15" t="n">
        <v>82.89</v>
      </c>
      <c r="AM1243" s="34" t="n">
        <v>46094</v>
      </c>
      <c r="AN1243" s="15" t="n">
        <v>621</v>
      </c>
      <c r="AO1243" s="15" t="n">
        <v>397</v>
      </c>
      <c r="AP1243" s="34" t="n">
        <v>46094</v>
      </c>
      <c r="AQ1243" s="15" t="n">
        <v>64</v>
      </c>
      <c r="AR1243" s="15" t="n">
        <v>55.11</v>
      </c>
      <c r="AS1243" s="34" t="n">
        <v>46094</v>
      </c>
      <c r="AT1243" s="15" t="n">
        <v>15.43</v>
      </c>
      <c r="AU1243" s="15" t="n">
        <v>18.28</v>
      </c>
      <c r="AV1243" s="34" t="n">
        <v>46094</v>
      </c>
      <c r="AW1243" s="15" t="n">
        <v>33.32</v>
      </c>
      <c r="AX1243" s="15" t="n">
        <v>37.79</v>
      </c>
      <c r="AY1243" s="34" t="n">
        <v>46094</v>
      </c>
      <c r="AZ1243" s="15" t="n">
        <v>30.86</v>
      </c>
      <c r="BA1243" s="15" t="n">
        <v>47.3</v>
      </c>
      <c r="BB1243" s="34" t="n">
        <v>46094</v>
      </c>
      <c r="BC1243" s="15" t="n">
        <v>73.34999999999999</v>
      </c>
      <c r="BD1243" s="15" t="n">
        <v>86.79000000000001</v>
      </c>
      <c r="BE1243" s="34" t="n">
        <v>46094</v>
      </c>
      <c r="BF1243" s="15" t="n">
        <v>106.3</v>
      </c>
      <c r="BG1243" s="15" t="n">
        <v>168.37</v>
      </c>
      <c r="BH1243" s="34" t="n">
        <v>46094</v>
      </c>
      <c r="BI1243" s="15" t="n">
        <v>22.6</v>
      </c>
      <c r="BJ1243" s="15" t="n">
        <v>31.51</v>
      </c>
      <c r="BK1243" s="34" t="n">
        <v>46094</v>
      </c>
      <c r="BL1243" s="15" t="n">
        <v>53.9</v>
      </c>
      <c r="BM1243" s="15" t="n">
        <v>82.91</v>
      </c>
      <c r="BN1243" s="34" t="n">
        <v>46094</v>
      </c>
      <c r="BO1243" s="15" t="n">
        <v>13.28</v>
      </c>
      <c r="BP1243" s="15" t="n">
        <v>27.17</v>
      </c>
      <c r="BQ1243" s="34" t="n">
        <v>46094</v>
      </c>
      <c r="BR1243" s="15" t="n">
        <v>23.18</v>
      </c>
      <c r="BS1243" s="15" t="n">
        <v>21.29</v>
      </c>
      <c r="BT1243" s="34" t="n">
        <v>46094</v>
      </c>
      <c r="BU1243" s="15" t="n">
        <v>80.40000000000001</v>
      </c>
      <c r="BV1243" s="15" t="n">
        <v>117.71</v>
      </c>
      <c r="BW1243" s="34" t="n">
        <v>46094</v>
      </c>
      <c r="BX1243" s="15" t="n">
        <v>90.5</v>
      </c>
      <c r="BY1243" s="15" t="n">
        <v>100.23</v>
      </c>
      <c r="BZ1243" s="34" t="n">
        <v>46094</v>
      </c>
      <c r="CA1243" s="15" t="n">
        <v>15.91</v>
      </c>
      <c r="CB1243" s="15" t="n">
        <v>25.44</v>
      </c>
      <c r="CC1243" s="34" t="n">
        <v>46094</v>
      </c>
      <c r="CD1243" s="15" t="n">
        <v>34.14</v>
      </c>
      <c r="CE1243" s="15" t="n">
        <v>54.01</v>
      </c>
      <c r="CF1243" s="34" t="n">
        <v>46094</v>
      </c>
      <c r="CG1243" s="15" t="n">
        <v>126</v>
      </c>
      <c r="CH1243" s="15" t="n">
        <v>164</v>
      </c>
      <c r="CI1243" s="34" t="n">
        <v>46094</v>
      </c>
      <c r="CJ1243" s="15" t="n">
        <v>11.34</v>
      </c>
      <c r="CK1243" s="15" t="n">
        <v>21.24</v>
      </c>
      <c r="CL1243" s="34" t="n">
        <v>46094</v>
      </c>
      <c r="CM1243" s="15" t="n">
        <v>94.3</v>
      </c>
      <c r="CN1243" s="15" t="n">
        <v>111.73</v>
      </c>
      <c r="CO1243" s="34" t="n">
        <v>46094</v>
      </c>
      <c r="CP1243" s="15" t="n">
        <v>364</v>
      </c>
      <c r="CQ1243" s="15" t="n">
        <v>278.33</v>
      </c>
      <c r="CR1243" s="34" t="n">
        <v>46094</v>
      </c>
      <c r="CS1243" s="15" t="n">
        <v>23.76</v>
      </c>
      <c r="CT1243" s="15" t="n">
        <v>41.47</v>
      </c>
      <c r="CU1243" s="34" t="n">
        <v>46094</v>
      </c>
      <c r="CV1243" s="15" t="n">
        <v>214.4</v>
      </c>
      <c r="CW1243" s="15" t="n">
        <v>227.2</v>
      </c>
      <c r="CX1243" s="34" t="n">
        <v>46094</v>
      </c>
      <c r="CY1243" s="15" t="n">
        <v>49.88</v>
      </c>
      <c r="CZ1243" s="15" t="n">
        <v>53.86</v>
      </c>
      <c r="DA1243" s="34" t="n">
        <v>46094</v>
      </c>
      <c r="DB1243" s="15" t="n">
        <v>109</v>
      </c>
      <c r="DC1243" s="15" t="n">
        <v>149.42</v>
      </c>
      <c r="DD1243" s="34" t="n">
        <v>46094</v>
      </c>
      <c r="DE1243" s="15" t="n">
        <v>45.8</v>
      </c>
      <c r="DF1243" s="15" t="n">
        <v>49.79</v>
      </c>
      <c r="DG1243" s="34" t="n">
        <v>46094</v>
      </c>
      <c r="DH1243" s="15" t="n">
        <v>175.5</v>
      </c>
      <c r="DI1243" s="15" t="n">
        <v>146.5</v>
      </c>
      <c r="DJ1243" s="34" t="n">
        <v>46094</v>
      </c>
      <c r="DK1243" s="15" t="n">
        <v>45.72</v>
      </c>
      <c r="DL1243" s="15" t="n">
        <v>51.9</v>
      </c>
      <c r="DM1243" s="34" t="n">
        <v>46094</v>
      </c>
      <c r="DN1243" s="15" t="n">
        <v>18.25</v>
      </c>
      <c r="DO1243" s="15" t="n">
        <v>25.58</v>
      </c>
      <c r="DP1243" s="34" t="n">
        <v>46094</v>
      </c>
      <c r="DQ1243" s="15" t="n">
        <v>12.9</v>
      </c>
      <c r="DR1243" s="15" t="n">
        <v>21.94</v>
      </c>
      <c r="DS1243" s="34" t="n">
        <v>46094</v>
      </c>
      <c r="DT1243" s="15" t="n">
        <v>76.84999999999999</v>
      </c>
      <c r="DU1243" s="15" t="n">
        <v>114.22</v>
      </c>
      <c r="DV1243" s="34" t="n">
        <v>46094</v>
      </c>
      <c r="DW1243" s="15" t="n">
        <v>26.22</v>
      </c>
      <c r="DX1243" s="15" t="n">
        <v>44.78</v>
      </c>
      <c r="DY1243" s="34" t="n">
        <v>46094</v>
      </c>
    </row>
    <row r="1244">
      <c r="A1244" s="34" t="n">
        <v>46097</v>
      </c>
      <c r="B1244" s="266" t="n">
        <v>1.134883999824524</v>
      </c>
      <c r="C1244" s="34" t="n">
        <v>46097</v>
      </c>
      <c r="D1244" s="15" t="n">
        <v>19.01</v>
      </c>
      <c r="E1244" s="15" t="n">
        <v>32.58</v>
      </c>
      <c r="F1244" s="34" t="n">
        <v>46097</v>
      </c>
      <c r="G1244" s="15" t="n">
        <v>81.15000000000001</v>
      </c>
      <c r="H1244" s="15" t="n">
        <v>99.08</v>
      </c>
      <c r="I1244" s="34" t="n">
        <v>46097</v>
      </c>
      <c r="J1244" s="15" t="n">
        <v>20.66</v>
      </c>
      <c r="K1244" s="15" t="n">
        <v>33.41</v>
      </c>
      <c r="L1244" s="34" t="n">
        <v>46097</v>
      </c>
      <c r="M1244" s="15" t="n">
        <v>43.14</v>
      </c>
      <c r="N1244" s="15" t="n">
        <v>53.58</v>
      </c>
      <c r="O1244" s="34" t="n">
        <v>46097</v>
      </c>
      <c r="P1244" s="15" t="n">
        <v>72.75</v>
      </c>
      <c r="Q1244" s="15" t="n">
        <v>75.17</v>
      </c>
      <c r="R1244" s="34" t="n">
        <v>46097</v>
      </c>
      <c r="S1244" s="15" t="n">
        <v>57.7</v>
      </c>
      <c r="T1244" s="15" t="n">
        <v>82.26000000000001</v>
      </c>
      <c r="U1244" s="34" t="n">
        <v>46097</v>
      </c>
      <c r="V1244" s="15" t="n">
        <v>24.82</v>
      </c>
      <c r="W1244" s="15" t="n">
        <v>33.26</v>
      </c>
      <c r="X1244" s="34" t="n">
        <v>46097</v>
      </c>
      <c r="Y1244" s="15" t="n">
        <v>85.34999999999999</v>
      </c>
      <c r="Z1244" s="15" t="n">
        <v>76.64</v>
      </c>
      <c r="AA1244" s="34" t="n">
        <v>46097</v>
      </c>
      <c r="AB1244" s="15" t="n">
        <v>11.01</v>
      </c>
      <c r="AC1244" s="15" t="n">
        <v>18.96</v>
      </c>
      <c r="AD1244" s="34" t="n">
        <v>46097</v>
      </c>
      <c r="AE1244" s="15" t="n">
        <v>34.98</v>
      </c>
      <c r="AF1244" s="15" t="n">
        <v>37.7</v>
      </c>
      <c r="AG1244" s="34" t="n">
        <v>46097</v>
      </c>
      <c r="AH1244" s="15" t="n">
        <v>37.68</v>
      </c>
      <c r="AI1244" s="15" t="n">
        <v>39.6</v>
      </c>
      <c r="AJ1244" s="34" t="n">
        <v>46097</v>
      </c>
      <c r="AK1244" s="15" t="n">
        <v>35.14</v>
      </c>
      <c r="AL1244" s="15" t="n">
        <v>81.2</v>
      </c>
      <c r="AM1244" s="34" t="n">
        <v>46097</v>
      </c>
      <c r="AN1244" s="15" t="n">
        <v>670</v>
      </c>
      <c r="AO1244" s="15" t="n">
        <v>408.4</v>
      </c>
      <c r="AP1244" s="34" t="n">
        <v>46097</v>
      </c>
      <c r="AQ1244" s="15" t="n">
        <v>64.84999999999999</v>
      </c>
      <c r="AR1244" s="15" t="n">
        <v>55.59</v>
      </c>
      <c r="AS1244" s="34" t="n">
        <v>46097</v>
      </c>
      <c r="AT1244" s="15" t="n">
        <v>15.2</v>
      </c>
      <c r="AU1244" s="15" t="n">
        <v>18.2</v>
      </c>
      <c r="AV1244" s="34" t="n">
        <v>46097</v>
      </c>
      <c r="AW1244" s="15" t="n">
        <v>35.24</v>
      </c>
      <c r="AX1244" s="15" t="n">
        <v>38.51</v>
      </c>
      <c r="AY1244" s="34" t="n">
        <v>46097</v>
      </c>
      <c r="AZ1244" s="15" t="n">
        <v>30.38</v>
      </c>
      <c r="BA1244" s="15" t="n">
        <v>46.67</v>
      </c>
      <c r="BB1244" s="34" t="n">
        <v>46097</v>
      </c>
      <c r="BC1244" s="15" t="n">
        <v>74.3</v>
      </c>
      <c r="BD1244" s="15" t="n">
        <v>87.84999999999999</v>
      </c>
      <c r="BE1244" s="34" t="n">
        <v>46097</v>
      </c>
      <c r="BF1244" s="15" t="n">
        <v>106.4</v>
      </c>
      <c r="BG1244" s="15" t="n">
        <v>167.81</v>
      </c>
      <c r="BH1244" s="34" t="n">
        <v>46097</v>
      </c>
      <c r="BI1244" s="15" t="n">
        <v>22.74</v>
      </c>
      <c r="BJ1244" s="15" t="n">
        <v>31.19</v>
      </c>
      <c r="BK1244" s="34" t="n">
        <v>46097</v>
      </c>
      <c r="BL1244" s="15" t="n">
        <v>56.1</v>
      </c>
      <c r="BM1244" s="15" t="n">
        <v>86</v>
      </c>
      <c r="BN1244" s="34" t="n">
        <v>46097</v>
      </c>
      <c r="BO1244" s="15" t="n">
        <v>12.99</v>
      </c>
      <c r="BP1244" s="15" t="n">
        <v>27.4</v>
      </c>
      <c r="BQ1244" s="34" t="n">
        <v>46097</v>
      </c>
      <c r="BR1244" s="15" t="n">
        <v>22.78</v>
      </c>
      <c r="BS1244" s="15" t="n">
        <v>20.85</v>
      </c>
      <c r="BT1244" s="34" t="n">
        <v>46097</v>
      </c>
      <c r="BU1244" s="15" t="n">
        <v>78.25</v>
      </c>
      <c r="BV1244" s="15" t="n">
        <v>118.88</v>
      </c>
      <c r="BW1244" s="34" t="n">
        <v>46097</v>
      </c>
      <c r="BX1244" s="15" t="n">
        <v>92.59999999999999</v>
      </c>
      <c r="BY1244" s="15" t="n">
        <v>103.24</v>
      </c>
      <c r="BZ1244" s="34" t="n">
        <v>46097</v>
      </c>
      <c r="CA1244" s="15" t="n">
        <v>15.54</v>
      </c>
      <c r="CB1244" s="15" t="n">
        <v>25.15</v>
      </c>
      <c r="CC1244" s="34" t="n">
        <v>46097</v>
      </c>
      <c r="CD1244" s="15" t="n">
        <v>33.16</v>
      </c>
      <c r="CE1244" s="15" t="n">
        <v>52.73</v>
      </c>
      <c r="CF1244" s="34" t="n">
        <v>46097</v>
      </c>
      <c r="CG1244" s="15" t="n">
        <v>125.2</v>
      </c>
      <c r="CH1244" s="15" t="n">
        <v>166.81</v>
      </c>
      <c r="CI1244" s="34" t="n">
        <v>46097</v>
      </c>
      <c r="CJ1244" s="15" t="n">
        <v>11.5</v>
      </c>
      <c r="CK1244" s="15" t="n">
        <v>20.49</v>
      </c>
      <c r="CL1244" s="34" t="n">
        <v>46097</v>
      </c>
      <c r="CM1244" s="15" t="n">
        <v>97.5</v>
      </c>
      <c r="CN1244" s="15" t="n">
        <v>110.3</v>
      </c>
      <c r="CO1244" s="34" t="n">
        <v>46097</v>
      </c>
      <c r="CP1244" s="15" t="n">
        <v>431</v>
      </c>
      <c r="CQ1244" s="15" t="n">
        <v>306.16</v>
      </c>
      <c r="CR1244" s="34" t="n">
        <v>46097</v>
      </c>
      <c r="CS1244" s="15" t="n">
        <v>24.78</v>
      </c>
      <c r="CT1244" s="15" t="n">
        <v>41.82</v>
      </c>
      <c r="CU1244" s="34" t="n">
        <v>46097</v>
      </c>
      <c r="CV1244" s="15" t="n">
        <v>223</v>
      </c>
      <c r="CW1244" s="15" t="n">
        <v>238.95</v>
      </c>
      <c r="CX1244" s="34" t="n">
        <v>46097</v>
      </c>
      <c r="CY1244" s="15" t="n">
        <v>50.5</v>
      </c>
      <c r="CZ1244" s="15" t="n">
        <v>54.26</v>
      </c>
      <c r="DA1244" s="34" t="n">
        <v>46097</v>
      </c>
      <c r="DB1244" s="15" t="n">
        <v>113.2</v>
      </c>
      <c r="DC1244" s="15" t="n">
        <v>155.26</v>
      </c>
      <c r="DD1244" s="34" t="n">
        <v>46097</v>
      </c>
      <c r="DE1244" s="15" t="n">
        <v>46.48</v>
      </c>
      <c r="DF1244" s="15" t="n">
        <v>49.74</v>
      </c>
      <c r="DG1244" s="34" t="n">
        <v>46097</v>
      </c>
      <c r="DH1244" s="15" t="n">
        <v>189.5</v>
      </c>
      <c r="DI1244" s="15" t="n">
        <v>152.5</v>
      </c>
      <c r="DJ1244" s="34" t="n">
        <v>46097</v>
      </c>
      <c r="DK1244" s="15" t="n">
        <v>43.66</v>
      </c>
      <c r="DL1244" s="15" t="n">
        <v>51.35</v>
      </c>
      <c r="DM1244" s="34" t="n">
        <v>46097</v>
      </c>
      <c r="DN1244" s="15" t="n">
        <v>20.02</v>
      </c>
      <c r="DO1244" s="15" t="n">
        <v>26.64</v>
      </c>
      <c r="DP1244" s="34" t="n">
        <v>46097</v>
      </c>
      <c r="DQ1244" s="15" t="n">
        <v>12.84</v>
      </c>
      <c r="DR1244" s="15" t="n">
        <v>21.94</v>
      </c>
      <c r="DS1244" s="34" t="n">
        <v>46097</v>
      </c>
      <c r="DT1244" s="15" t="n">
        <v>79.40000000000001</v>
      </c>
      <c r="DU1244" s="15" t="n">
        <v>111.9</v>
      </c>
      <c r="DV1244" s="34" t="n">
        <v>46097</v>
      </c>
      <c r="DW1244" s="15" t="n">
        <v>27</v>
      </c>
      <c r="DX1244" s="15" t="n">
        <v>45.23</v>
      </c>
      <c r="DY1244" s="34" t="n">
        <v>46097</v>
      </c>
    </row>
    <row r="1245">
      <c r="A1245" s="34" t="n">
        <v>46098</v>
      </c>
      <c r="B1245" s="266" t="n">
        <v>1.125375986099243</v>
      </c>
      <c r="C1245" s="34" t="n">
        <v>46098</v>
      </c>
      <c r="D1245" s="15" t="n">
        <v>16.78</v>
      </c>
      <c r="E1245" s="15" t="n">
        <v>29.32</v>
      </c>
      <c r="F1245" s="34" t="n">
        <v>46098</v>
      </c>
      <c r="G1245" s="15" t="n">
        <v>80.34999999999999</v>
      </c>
      <c r="H1245" s="15" t="n">
        <v>98.7</v>
      </c>
      <c r="I1245" s="34" t="n">
        <v>46098</v>
      </c>
      <c r="J1245" s="15" t="n">
        <v>20.28</v>
      </c>
      <c r="K1245" s="15" t="n">
        <v>32.6</v>
      </c>
      <c r="L1245" s="34" t="n">
        <v>46098</v>
      </c>
      <c r="M1245" s="15" t="n">
        <v>41.8</v>
      </c>
      <c r="N1245" s="15" t="n">
        <v>52.11</v>
      </c>
      <c r="O1245" s="34" t="n">
        <v>46098</v>
      </c>
      <c r="P1245" s="15" t="n">
        <v>71.3</v>
      </c>
      <c r="Q1245" s="15" t="n">
        <v>75.34999999999999</v>
      </c>
      <c r="R1245" s="34" t="n">
        <v>46098</v>
      </c>
      <c r="S1245" s="15" t="n">
        <v>55.1</v>
      </c>
      <c r="T1245" s="15" t="n">
        <v>80.58</v>
      </c>
      <c r="U1245" s="34" t="n">
        <v>46098</v>
      </c>
      <c r="V1245" s="15" t="n">
        <v>22.62</v>
      </c>
      <c r="W1245" s="15" t="n">
        <v>31</v>
      </c>
      <c r="X1245" s="34" t="n">
        <v>46098</v>
      </c>
      <c r="Y1245" s="15" t="n">
        <v>85.15000000000001</v>
      </c>
      <c r="Z1245" s="15" t="n">
        <v>76.59999999999999</v>
      </c>
      <c r="AA1245" s="34" t="n">
        <v>46098</v>
      </c>
      <c r="AB1245" s="15" t="n">
        <v>10.86</v>
      </c>
      <c r="AC1245" s="15" t="n">
        <v>18.41</v>
      </c>
      <c r="AD1245" s="34" t="n">
        <v>46098</v>
      </c>
      <c r="AE1245" s="15" t="n">
        <v>34.94</v>
      </c>
      <c r="AF1245" s="15" t="n">
        <v>37.49</v>
      </c>
      <c r="AG1245" s="34" t="n">
        <v>46098</v>
      </c>
      <c r="AH1245" s="15" t="n">
        <v>39.06</v>
      </c>
      <c r="AI1245" s="15" t="n">
        <v>40.01</v>
      </c>
      <c r="AJ1245" s="34" t="n">
        <v>46098</v>
      </c>
      <c r="AK1245" s="15" t="n">
        <v>36.2</v>
      </c>
      <c r="AL1245" s="15" t="n">
        <v>82.45</v>
      </c>
      <c r="AM1245" s="34" t="n">
        <v>46098</v>
      </c>
      <c r="AN1245" s="15" t="n">
        <v>648</v>
      </c>
      <c r="AO1245" s="15" t="n">
        <v>405</v>
      </c>
      <c r="AP1245" s="34" t="n">
        <v>46098</v>
      </c>
      <c r="AQ1245" s="15" t="n">
        <v>65.45</v>
      </c>
      <c r="AR1245" s="15" t="n">
        <v>56.3</v>
      </c>
      <c r="AS1245" s="34" t="n">
        <v>46098</v>
      </c>
      <c r="AT1245" s="15" t="n">
        <v>14.64</v>
      </c>
      <c r="AU1245" s="15" t="n">
        <v>17.78</v>
      </c>
      <c r="AV1245" s="34" t="n">
        <v>46098</v>
      </c>
      <c r="AW1245" s="15" t="n">
        <v>35.76</v>
      </c>
      <c r="AX1245" s="15" t="n">
        <v>38.95</v>
      </c>
      <c r="AY1245" s="34" t="n">
        <v>46098</v>
      </c>
      <c r="AZ1245" s="15" t="n">
        <v>29.8</v>
      </c>
      <c r="BA1245" s="15" t="n">
        <v>45.89</v>
      </c>
      <c r="BB1245" s="34" t="n">
        <v>46098</v>
      </c>
      <c r="BC1245" s="15" t="n">
        <v>72.90000000000001</v>
      </c>
      <c r="BD1245" s="15" t="n">
        <v>87.66</v>
      </c>
      <c r="BE1245" s="34" t="n">
        <v>46098</v>
      </c>
      <c r="BF1245" s="15" t="n">
        <v>103.9</v>
      </c>
      <c r="BG1245" s="15" t="n">
        <v>168.31</v>
      </c>
      <c r="BH1245" s="34" t="n">
        <v>46098</v>
      </c>
      <c r="BI1245" s="15" t="n">
        <v>22.68</v>
      </c>
      <c r="BJ1245" s="15" t="n">
        <v>30.56</v>
      </c>
      <c r="BK1245" s="34" t="n">
        <v>46098</v>
      </c>
      <c r="BL1245" s="15" t="n">
        <v>53.6</v>
      </c>
      <c r="BM1245" s="15" t="n">
        <v>80.93000000000001</v>
      </c>
      <c r="BN1245" s="34" t="n">
        <v>46098</v>
      </c>
      <c r="BO1245" s="15" t="n">
        <v>12.99</v>
      </c>
      <c r="BP1245" s="15" t="n">
        <v>26.84</v>
      </c>
      <c r="BQ1245" s="34" t="n">
        <v>46098</v>
      </c>
      <c r="BR1245" s="15" t="n">
        <v>22.5</v>
      </c>
      <c r="BS1245" s="15" t="n">
        <v>20.76</v>
      </c>
      <c r="BT1245" s="34" t="n">
        <v>46098</v>
      </c>
      <c r="BU1245" s="15" t="n">
        <v>70.59999999999999</v>
      </c>
      <c r="BV1245" s="15" t="n">
        <v>109.09</v>
      </c>
      <c r="BW1245" s="34" t="n">
        <v>46098</v>
      </c>
      <c r="BX1245" s="15" t="n">
        <v>93.05</v>
      </c>
      <c r="BY1245" s="15" t="n">
        <v>102.9</v>
      </c>
      <c r="BZ1245" s="34" t="n">
        <v>46098</v>
      </c>
      <c r="CA1245" s="15" t="n">
        <v>15.54</v>
      </c>
      <c r="CB1245" s="15" t="n">
        <v>24.93</v>
      </c>
      <c r="CC1245" s="34" t="n">
        <v>46098</v>
      </c>
      <c r="CD1245" s="15" t="n">
        <v>33.14</v>
      </c>
      <c r="CE1245" s="15" t="n">
        <v>50.55</v>
      </c>
      <c r="CF1245" s="34" t="n">
        <v>46098</v>
      </c>
      <c r="CG1245" s="15" t="n">
        <v>122.8</v>
      </c>
      <c r="CH1245" s="15" t="n">
        <v>160.22</v>
      </c>
      <c r="CI1245" s="34" t="n">
        <v>46098</v>
      </c>
      <c r="CJ1245" s="15" t="n">
        <v>11.88</v>
      </c>
      <c r="CK1245" s="15" t="n">
        <v>21.83</v>
      </c>
      <c r="CL1245" s="34" t="n">
        <v>46098</v>
      </c>
      <c r="CM1245" s="15" t="n">
        <v>94.09999999999999</v>
      </c>
      <c r="CN1245" s="15" t="n">
        <v>108.92</v>
      </c>
      <c r="CO1245" s="34" t="n">
        <v>46098</v>
      </c>
      <c r="CP1245" s="15" t="n">
        <v>403.4</v>
      </c>
      <c r="CQ1245" s="15" t="n">
        <v>296</v>
      </c>
      <c r="CR1245" s="34" t="n">
        <v>46098</v>
      </c>
      <c r="CS1245" s="15" t="n">
        <v>23.8</v>
      </c>
      <c r="CT1245" s="15" t="n">
        <v>40.6</v>
      </c>
      <c r="CU1245" s="34" t="n">
        <v>46098</v>
      </c>
      <c r="CV1245" s="15" t="n">
        <v>218.2</v>
      </c>
      <c r="CW1245" s="15" t="n">
        <v>237.5</v>
      </c>
      <c r="CX1245" s="34" t="n">
        <v>46098</v>
      </c>
      <c r="CY1245" s="15" t="n">
        <v>47.48</v>
      </c>
      <c r="CZ1245" s="15" t="n">
        <v>50.65</v>
      </c>
      <c r="DA1245" s="34" t="n">
        <v>46098</v>
      </c>
      <c r="DB1245" s="15" t="n">
        <v>110.1</v>
      </c>
      <c r="DC1245" s="15" t="n">
        <v>149.48</v>
      </c>
      <c r="DD1245" s="34" t="n">
        <v>46098</v>
      </c>
      <c r="DE1245" s="15" t="n">
        <v>47.4</v>
      </c>
      <c r="DF1245" s="15" t="n">
        <v>50.24</v>
      </c>
      <c r="DG1245" s="34" t="n">
        <v>46098</v>
      </c>
      <c r="DH1245" s="15" t="n">
        <v>179.3</v>
      </c>
      <c r="DI1245" s="15" t="n">
        <v>146.59</v>
      </c>
      <c r="DJ1245" s="34" t="n">
        <v>46098</v>
      </c>
      <c r="DK1245" s="15" t="n">
        <v>41.66</v>
      </c>
      <c r="DL1245" s="15" t="n">
        <v>49.84</v>
      </c>
      <c r="DM1245" s="34" t="n">
        <v>46098</v>
      </c>
      <c r="DN1245" s="15" t="n">
        <v>20.6</v>
      </c>
      <c r="DO1245" s="15" t="n">
        <v>27.51</v>
      </c>
      <c r="DP1245" s="34" t="n">
        <v>46098</v>
      </c>
      <c r="DQ1245" s="15" t="n">
        <v>12.68</v>
      </c>
      <c r="DR1245" s="15" t="n">
        <v>21.82</v>
      </c>
      <c r="DS1245" s="34" t="n">
        <v>46098</v>
      </c>
      <c r="DT1245" s="15" t="n">
        <v>76.34999999999999</v>
      </c>
      <c r="DU1245" s="15" t="n">
        <v>108</v>
      </c>
      <c r="DV1245" s="34" t="n">
        <v>46098</v>
      </c>
      <c r="DW1245" s="15" t="n">
        <v>25.96</v>
      </c>
      <c r="DX1245" s="15" t="n">
        <v>43.4</v>
      </c>
      <c r="DY1245" s="34" t="n">
        <v>46098</v>
      </c>
    </row>
    <row r="1246">
      <c r="A1246" s="34" t="n">
        <v>46099</v>
      </c>
      <c r="B1246" s="266" t="n">
        <v>1.137819051742554</v>
      </c>
      <c r="C1246" s="34" t="n">
        <v>46099</v>
      </c>
      <c r="D1246" s="15" t="n">
        <v>17.11</v>
      </c>
      <c r="E1246" s="15" t="n">
        <v>29.28</v>
      </c>
      <c r="F1246" s="34" t="n">
        <v>46099</v>
      </c>
      <c r="G1246" s="15" t="n">
        <v>81</v>
      </c>
      <c r="H1246" s="15" t="n">
        <v>99.45999999999999</v>
      </c>
      <c r="I1246" s="34" t="n">
        <v>46099</v>
      </c>
      <c r="J1246" s="15" t="n">
        <v>20.82</v>
      </c>
      <c r="K1246" s="15" t="n">
        <v>32.83</v>
      </c>
      <c r="L1246" s="34" t="n">
        <v>46099</v>
      </c>
      <c r="M1246" s="15" t="n">
        <v>41.12</v>
      </c>
      <c r="N1246" s="15" t="n">
        <v>51.15</v>
      </c>
      <c r="O1246" s="34" t="n">
        <v>46099</v>
      </c>
      <c r="P1246" s="15" t="n">
        <v>70.65000000000001</v>
      </c>
      <c r="Q1246" s="15" t="n">
        <v>74.95999999999999</v>
      </c>
      <c r="R1246" s="34" t="n">
        <v>46099</v>
      </c>
      <c r="S1246" s="15" t="n">
        <v>55</v>
      </c>
      <c r="T1246" s="15" t="n">
        <v>83.11</v>
      </c>
      <c r="U1246" s="34" t="n">
        <v>46099</v>
      </c>
      <c r="V1246" s="15" t="n">
        <v>21.98</v>
      </c>
      <c r="W1246" s="15" t="n">
        <v>29.7</v>
      </c>
      <c r="X1246" s="34" t="n">
        <v>46099</v>
      </c>
      <c r="Y1246" s="15" t="n">
        <v>86.25</v>
      </c>
      <c r="Z1246" s="15" t="n">
        <v>77.06</v>
      </c>
      <c r="AA1246" s="34" t="n">
        <v>46099</v>
      </c>
      <c r="AB1246" s="15" t="n">
        <v>10.67</v>
      </c>
      <c r="AC1246" s="15" t="n">
        <v>18.08</v>
      </c>
      <c r="AD1246" s="34" t="n">
        <v>46099</v>
      </c>
      <c r="AE1246" s="15" t="n">
        <v>34.6</v>
      </c>
      <c r="AF1246" s="15" t="n">
        <v>37.12</v>
      </c>
      <c r="AG1246" s="34" t="n">
        <v>46099</v>
      </c>
      <c r="AH1246" s="15" t="n">
        <v>42.08</v>
      </c>
      <c r="AI1246" s="15" t="n">
        <v>40.82</v>
      </c>
      <c r="AJ1246" s="34" t="n">
        <v>46099</v>
      </c>
      <c r="AK1246" s="15" t="n">
        <v>37.18</v>
      </c>
      <c r="AL1246" s="15" t="n">
        <v>85.65000000000001</v>
      </c>
      <c r="AM1246" s="34" t="n">
        <v>46099</v>
      </c>
      <c r="AN1246" s="15" t="n">
        <v>650.5</v>
      </c>
      <c r="AO1246" s="15" t="n">
        <v>402.02</v>
      </c>
      <c r="AP1246" s="34" t="n">
        <v>46099</v>
      </c>
      <c r="AQ1246" s="15" t="n">
        <v>65.5</v>
      </c>
      <c r="AR1246" s="15" t="n">
        <v>56.88</v>
      </c>
      <c r="AS1246" s="34" t="n">
        <v>46099</v>
      </c>
      <c r="AT1246" s="15" t="n">
        <v>15</v>
      </c>
      <c r="AU1246" s="15" t="n">
        <v>18.35</v>
      </c>
      <c r="AV1246" s="34" t="n">
        <v>46099</v>
      </c>
      <c r="AW1246" s="15" t="n">
        <v>35.5</v>
      </c>
      <c r="AX1246" s="15" t="n">
        <v>38.56</v>
      </c>
      <c r="AY1246" s="34" t="n">
        <v>46099</v>
      </c>
      <c r="AZ1246" s="15" t="n">
        <v>30.44</v>
      </c>
      <c r="BA1246" s="15" t="n">
        <v>46.41</v>
      </c>
      <c r="BB1246" s="34" t="n">
        <v>46099</v>
      </c>
      <c r="BC1246" s="15" t="n">
        <v>72.09999999999999</v>
      </c>
      <c r="BD1246" s="15" t="n">
        <v>86.42</v>
      </c>
      <c r="BE1246" s="34" t="n">
        <v>46099</v>
      </c>
      <c r="BF1246" s="15" t="n">
        <v>107.4</v>
      </c>
      <c r="BG1246" s="15" t="n">
        <v>170.6</v>
      </c>
      <c r="BH1246" s="34" t="n">
        <v>46099</v>
      </c>
      <c r="BI1246" s="15" t="n">
        <v>22.5</v>
      </c>
      <c r="BJ1246" s="15" t="n">
        <v>30.63</v>
      </c>
      <c r="BK1246" s="34" t="n">
        <v>46099</v>
      </c>
      <c r="BL1246" s="15" t="n">
        <v>52.8</v>
      </c>
      <c r="BM1246" s="15" t="n">
        <v>81.11</v>
      </c>
      <c r="BN1246" s="34" t="n">
        <v>46099</v>
      </c>
      <c r="BO1246" s="15" t="n">
        <v>13.07</v>
      </c>
      <c r="BP1246" s="15" t="n">
        <v>27.24</v>
      </c>
      <c r="BQ1246" s="34" t="n">
        <v>46099</v>
      </c>
      <c r="BR1246" s="15" t="n">
        <v>22.38</v>
      </c>
      <c r="BS1246" s="15" t="n">
        <v>20.7</v>
      </c>
      <c r="BT1246" s="34" t="n">
        <v>46099</v>
      </c>
      <c r="BU1246" s="15" t="n">
        <v>76.2</v>
      </c>
      <c r="BV1246" s="15" t="n">
        <v>112.53</v>
      </c>
      <c r="BW1246" s="34" t="n">
        <v>46099</v>
      </c>
      <c r="BX1246" s="15" t="n">
        <v>91.90000000000001</v>
      </c>
      <c r="BY1246" s="15" t="n">
        <v>101.47</v>
      </c>
      <c r="BZ1246" s="34" t="n">
        <v>46099</v>
      </c>
      <c r="CA1246" s="15" t="n">
        <v>15.67</v>
      </c>
      <c r="CB1246" s="15" t="n">
        <v>25.01</v>
      </c>
      <c r="CC1246" s="34" t="n">
        <v>46099</v>
      </c>
      <c r="CD1246" s="15" t="n">
        <v>33.56</v>
      </c>
      <c r="CE1246" s="15" t="n">
        <v>49.8</v>
      </c>
      <c r="CF1246" s="34" t="n">
        <v>46099</v>
      </c>
      <c r="CG1246" s="15" t="n">
        <v>124.8</v>
      </c>
      <c r="CH1246" s="15" t="n">
        <v>158.86</v>
      </c>
      <c r="CI1246" s="34" t="n">
        <v>46099</v>
      </c>
      <c r="CJ1246" s="15" t="n">
        <v>11.66</v>
      </c>
      <c r="CK1246" s="15" t="n">
        <v>21.25</v>
      </c>
      <c r="CL1246" s="34" t="n">
        <v>46099</v>
      </c>
      <c r="CM1246" s="15" t="n">
        <v>95.05</v>
      </c>
      <c r="CN1246" s="15" t="n">
        <v>108.28</v>
      </c>
      <c r="CO1246" s="34" t="n">
        <v>46099</v>
      </c>
      <c r="CP1246" s="15" t="n">
        <v>449.8</v>
      </c>
      <c r="CQ1246" s="15" t="n">
        <v>311.25</v>
      </c>
      <c r="CR1246" s="34" t="n">
        <v>46099</v>
      </c>
      <c r="CS1246" s="15" t="n">
        <v>24.14</v>
      </c>
      <c r="CT1246" s="15" t="n">
        <v>40.98</v>
      </c>
      <c r="CU1246" s="34" t="n">
        <v>46099</v>
      </c>
      <c r="CV1246" s="15" t="n">
        <v>216.4</v>
      </c>
      <c r="CW1246" s="15" t="n">
        <v>234.3</v>
      </c>
      <c r="CX1246" s="34" t="n">
        <v>46099</v>
      </c>
      <c r="CY1246" s="15" t="n">
        <v>49.86</v>
      </c>
      <c r="CZ1246" s="15" t="n">
        <v>51.78</v>
      </c>
      <c r="DA1246" s="34" t="n">
        <v>46099</v>
      </c>
      <c r="DB1246" s="15" t="n">
        <v>117</v>
      </c>
      <c r="DC1246" s="15" t="n">
        <v>157.99</v>
      </c>
      <c r="DD1246" s="34" t="n">
        <v>46099</v>
      </c>
      <c r="DE1246" s="15" t="n">
        <v>45.64</v>
      </c>
      <c r="DF1246" s="15" t="n">
        <v>49.69</v>
      </c>
      <c r="DG1246" s="34" t="n">
        <v>46099</v>
      </c>
      <c r="DH1246" s="15" t="n">
        <v>194.7</v>
      </c>
      <c r="DI1246" s="15" t="n">
        <v>153.62</v>
      </c>
      <c r="DJ1246" s="34" t="n">
        <v>46099</v>
      </c>
      <c r="DK1246" s="15" t="n">
        <v>42.24</v>
      </c>
      <c r="DL1246" s="15" t="n">
        <v>49.5</v>
      </c>
      <c r="DM1246" s="34" t="n">
        <v>46099</v>
      </c>
      <c r="DN1246" s="15" t="n">
        <v>21.3</v>
      </c>
      <c r="DO1246" s="15" t="n">
        <v>26.5</v>
      </c>
      <c r="DP1246" s="34" t="n">
        <v>46099</v>
      </c>
      <c r="DQ1246" s="15" t="n">
        <v>12.57</v>
      </c>
      <c r="DR1246" s="15" t="n">
        <v>21.71</v>
      </c>
      <c r="DS1246" s="34" t="n">
        <v>46099</v>
      </c>
      <c r="DT1246" s="15" t="n">
        <v>75.90000000000001</v>
      </c>
      <c r="DU1246" s="15" t="n">
        <v>108.28</v>
      </c>
      <c r="DV1246" s="34" t="n">
        <v>46099</v>
      </c>
      <c r="DW1246" s="15" t="n">
        <v>26.72</v>
      </c>
      <c r="DX1246" s="15" t="n">
        <v>43.99</v>
      </c>
      <c r="DY1246" s="34" t="n">
        <v>46099</v>
      </c>
    </row>
    <row r="1247">
      <c r="A1247" s="34" t="n">
        <v>46100</v>
      </c>
      <c r="B1247" s="266" t="n">
        <v>1.140079021453857</v>
      </c>
      <c r="C1247" s="34" t="n">
        <v>46100</v>
      </c>
      <c r="D1247" s="15" t="n">
        <v>16.7</v>
      </c>
      <c r="E1247" s="15" t="n">
        <v>28.55</v>
      </c>
      <c r="F1247" s="34" t="n">
        <v>46100</v>
      </c>
      <c r="G1247" s="15" t="n">
        <v>75</v>
      </c>
      <c r="H1247" s="15" t="n">
        <v>96.06</v>
      </c>
      <c r="I1247" s="34" t="n">
        <v>46100</v>
      </c>
      <c r="J1247" s="15" t="n">
        <v>19.88</v>
      </c>
      <c r="K1247" s="15" t="n">
        <v>31.35</v>
      </c>
      <c r="L1247" s="34" t="n">
        <v>46100</v>
      </c>
      <c r="M1247" s="15" t="n">
        <v>40.02</v>
      </c>
      <c r="N1247" s="15" t="n">
        <v>48.93</v>
      </c>
      <c r="O1247" s="34" t="n">
        <v>46100</v>
      </c>
      <c r="P1247" s="15" t="n">
        <v>68.3</v>
      </c>
      <c r="Q1247" s="15" t="n">
        <v>72.56</v>
      </c>
      <c r="R1247" s="34" t="n">
        <v>46100</v>
      </c>
      <c r="S1247" s="15" t="n">
        <v>51.65</v>
      </c>
      <c r="T1247" s="15" t="n">
        <v>76.29000000000001</v>
      </c>
      <c r="U1247" s="34" t="n">
        <v>46100</v>
      </c>
      <c r="V1247" s="15" t="n">
        <v>21.06</v>
      </c>
      <c r="W1247" s="15" t="n">
        <v>28.63</v>
      </c>
      <c r="X1247" s="34" t="n">
        <v>46100</v>
      </c>
      <c r="Y1247" s="15" t="n">
        <v>84</v>
      </c>
      <c r="Z1247" s="15" t="n">
        <v>76</v>
      </c>
      <c r="AA1247" s="34" t="n">
        <v>46100</v>
      </c>
      <c r="AB1247" s="15" t="n">
        <v>10.41</v>
      </c>
      <c r="AC1247" s="15" t="n">
        <v>17.67</v>
      </c>
      <c r="AD1247" s="34" t="n">
        <v>46100</v>
      </c>
      <c r="AE1247" s="15" t="n">
        <v>34.08</v>
      </c>
      <c r="AF1247" s="15" t="n">
        <v>36.57</v>
      </c>
      <c r="AG1247" s="34" t="n">
        <v>46100</v>
      </c>
      <c r="AK1247" s="15" t="n">
        <v>35.2</v>
      </c>
      <c r="AL1247" s="15" t="n">
        <v>82.92</v>
      </c>
      <c r="AM1247" s="34" t="n">
        <v>46100</v>
      </c>
      <c r="AN1247" s="15" t="n">
        <v>644</v>
      </c>
      <c r="AO1247" s="15" t="n">
        <v>400.5</v>
      </c>
      <c r="AP1247" s="34" t="n">
        <v>46100</v>
      </c>
      <c r="AQ1247" s="15" t="n">
        <v>65.3</v>
      </c>
      <c r="AR1247" s="15" t="n">
        <v>56.02</v>
      </c>
      <c r="AS1247" s="34" t="n">
        <v>46100</v>
      </c>
      <c r="AT1247" s="15" t="n">
        <v>14.79</v>
      </c>
      <c r="AU1247" s="15" t="n">
        <v>17.83</v>
      </c>
      <c r="AV1247" s="34" t="n">
        <v>46100</v>
      </c>
      <c r="AW1247" s="15" t="n">
        <v>33.84</v>
      </c>
      <c r="AX1247" s="15" t="n">
        <v>38.21</v>
      </c>
      <c r="AY1247" s="34" t="n">
        <v>46100</v>
      </c>
      <c r="AZ1247" s="15" t="n">
        <v>29.46</v>
      </c>
      <c r="BA1247" s="15" t="n">
        <v>44.98</v>
      </c>
      <c r="BB1247" s="34" t="n">
        <v>46100</v>
      </c>
      <c r="BC1247" s="15" t="n">
        <v>70.45</v>
      </c>
      <c r="BD1247" s="15" t="n">
        <v>84.40000000000001</v>
      </c>
      <c r="BE1247" s="34" t="n">
        <v>46100</v>
      </c>
      <c r="BF1247" s="15" t="n">
        <v>104</v>
      </c>
      <c r="BG1247" s="15" t="n">
        <v>168.3</v>
      </c>
      <c r="BH1247" s="34" t="n">
        <v>46100</v>
      </c>
      <c r="BI1247" s="15" t="n">
        <v>21.72</v>
      </c>
      <c r="BJ1247" s="15" t="n">
        <v>29.73</v>
      </c>
      <c r="BK1247" s="34" t="n">
        <v>46100</v>
      </c>
      <c r="BL1247" s="15" t="n">
        <v>49.46</v>
      </c>
      <c r="BM1247" s="15" t="n">
        <v>79</v>
      </c>
      <c r="BN1247" s="34" t="n">
        <v>46100</v>
      </c>
      <c r="BO1247" s="15" t="n">
        <v>12.35</v>
      </c>
      <c r="BP1247" s="15" t="n">
        <v>26.72</v>
      </c>
      <c r="BQ1247" s="34" t="n">
        <v>46100</v>
      </c>
      <c r="BR1247" s="15" t="n">
        <v>21.84</v>
      </c>
      <c r="BS1247" s="15" t="n">
        <v>19.76</v>
      </c>
      <c r="BT1247" s="34" t="n">
        <v>46100</v>
      </c>
      <c r="BU1247" s="15" t="n">
        <v>76.2</v>
      </c>
      <c r="BV1247" s="15" t="n">
        <v>115.67</v>
      </c>
      <c r="BW1247" s="34" t="n">
        <v>46100</v>
      </c>
      <c r="BX1247" s="15" t="n">
        <v>90.95</v>
      </c>
      <c r="BY1247" s="15" t="n">
        <v>100.9</v>
      </c>
      <c r="BZ1247" s="34" t="n">
        <v>46100</v>
      </c>
      <c r="CA1247" s="15" t="n">
        <v>15.42</v>
      </c>
      <c r="CB1247" s="15" t="n">
        <v>24.12</v>
      </c>
      <c r="CC1247" s="34" t="n">
        <v>46100</v>
      </c>
      <c r="CD1247" s="15" t="n">
        <v>32</v>
      </c>
      <c r="CE1247" s="15" t="n">
        <v>47.85</v>
      </c>
      <c r="CF1247" s="34" t="n">
        <v>46100</v>
      </c>
      <c r="CG1247" s="15" t="n">
        <v>121.3</v>
      </c>
      <c r="CH1247" s="15" t="n">
        <v>155.8</v>
      </c>
      <c r="CI1247" s="34" t="n">
        <v>46100</v>
      </c>
      <c r="CJ1247" s="15" t="n">
        <v>11.85</v>
      </c>
      <c r="CK1247" s="15" t="n">
        <v>20.93</v>
      </c>
      <c r="CL1247" s="34" t="n">
        <v>46100</v>
      </c>
      <c r="CM1247" s="15" t="n">
        <v>91</v>
      </c>
      <c r="CN1247" s="15" t="n">
        <v>105.84</v>
      </c>
      <c r="CO1247" s="34" t="n">
        <v>46100</v>
      </c>
      <c r="CP1247" s="15" t="n">
        <v>433.8</v>
      </c>
      <c r="CQ1247" s="15" t="n">
        <v>303.68</v>
      </c>
      <c r="CR1247" s="34" t="n">
        <v>46100</v>
      </c>
      <c r="CS1247" s="15" t="n">
        <v>23.9</v>
      </c>
      <c r="CT1247" s="15" t="n">
        <v>39.96</v>
      </c>
      <c r="CU1247" s="34" t="n">
        <v>46100</v>
      </c>
      <c r="CV1247" s="15" t="n">
        <v>214</v>
      </c>
      <c r="CW1247" s="15" t="n">
        <v>229.95</v>
      </c>
      <c r="CX1247" s="34" t="n">
        <v>46100</v>
      </c>
      <c r="CY1247" s="15" t="n">
        <v>48.38</v>
      </c>
      <c r="CZ1247" s="15" t="n">
        <v>50.95</v>
      </c>
      <c r="DA1247" s="34" t="n">
        <v>46100</v>
      </c>
      <c r="DB1247" s="15" t="n">
        <v>112.8</v>
      </c>
      <c r="DC1247" s="15" t="n">
        <v>152.81</v>
      </c>
      <c r="DD1247" s="34" t="n">
        <v>46100</v>
      </c>
      <c r="DE1247" s="15" t="n">
        <v>44.78</v>
      </c>
      <c r="DF1247" s="15" t="n">
        <v>48.8</v>
      </c>
      <c r="DG1247" s="34" t="n">
        <v>46100</v>
      </c>
      <c r="DH1247" s="15" t="n">
        <v>195.4</v>
      </c>
      <c r="DI1247" s="15" t="n">
        <v>149.68</v>
      </c>
      <c r="DJ1247" s="34" t="n">
        <v>46100</v>
      </c>
      <c r="DK1247" s="15" t="n">
        <v>42.3</v>
      </c>
      <c r="DL1247" s="15" t="n">
        <v>48.17</v>
      </c>
      <c r="DM1247" s="34" t="n">
        <v>46100</v>
      </c>
      <c r="DN1247" s="15" t="n">
        <v>20.3</v>
      </c>
      <c r="DO1247" s="15" t="n">
        <v>25.2</v>
      </c>
      <c r="DP1247" s="34" t="n">
        <v>46100</v>
      </c>
      <c r="DQ1247" s="15" t="n">
        <v>12.31</v>
      </c>
      <c r="DR1247" s="15" t="n">
        <v>21</v>
      </c>
      <c r="DS1247" s="34" t="n">
        <v>46100</v>
      </c>
      <c r="DT1247" s="15" t="n">
        <v>71</v>
      </c>
      <c r="DU1247" s="15" t="n">
        <v>103.66</v>
      </c>
      <c r="DV1247" s="34" t="n">
        <v>46100</v>
      </c>
      <c r="DW1247" s="15" t="n">
        <v>24.86</v>
      </c>
      <c r="DX1247" s="15" t="n">
        <v>42.39</v>
      </c>
      <c r="DY1247" s="34" t="n">
        <v>46100</v>
      </c>
    </row>
    <row r="1248">
      <c r="A1248" s="34" t="n">
        <v>46101</v>
      </c>
      <c r="B1248" s="266" t="n">
        <v>1.13490903377533</v>
      </c>
      <c r="C1248" s="34" t="n">
        <v>46101</v>
      </c>
      <c r="D1248" s="15" t="n">
        <v>16.5</v>
      </c>
      <c r="E1248" s="15" t="n">
        <v>28.1</v>
      </c>
      <c r="F1248" s="34" t="n">
        <v>46101</v>
      </c>
      <c r="G1248" s="15" t="n">
        <v>76.59999999999999</v>
      </c>
      <c r="H1248" s="15" t="n">
        <v>95</v>
      </c>
      <c r="I1248" s="34" t="n">
        <v>46101</v>
      </c>
      <c r="J1248" s="15" t="n">
        <v>19.48</v>
      </c>
      <c r="K1248" s="15" t="n">
        <v>30.74</v>
      </c>
      <c r="L1248" s="34" t="n">
        <v>46101</v>
      </c>
      <c r="M1248" s="15" t="n">
        <v>40.46</v>
      </c>
      <c r="N1248" s="15" t="n">
        <v>50.1</v>
      </c>
      <c r="O1248" s="34" t="n">
        <v>46101</v>
      </c>
      <c r="P1248" s="15" t="n">
        <v>69.5</v>
      </c>
      <c r="Q1248" s="15" t="n">
        <v>72.2</v>
      </c>
      <c r="R1248" s="34" t="n">
        <v>46101</v>
      </c>
      <c r="S1248" s="15" t="n">
        <v>51.8</v>
      </c>
      <c r="T1248" s="15" t="n">
        <v>77.40000000000001</v>
      </c>
      <c r="U1248" s="34" t="n">
        <v>46101</v>
      </c>
      <c r="V1248" s="15" t="n">
        <v>20.4</v>
      </c>
      <c r="W1248" s="15" t="n">
        <v>27.66</v>
      </c>
      <c r="X1248" s="34" t="n">
        <v>46101</v>
      </c>
      <c r="Y1248" s="15" t="n">
        <v>83.7</v>
      </c>
      <c r="Z1248" s="15" t="n">
        <v>75.12</v>
      </c>
      <c r="AA1248" s="34" t="n">
        <v>46101</v>
      </c>
      <c r="AB1248" s="15" t="n">
        <v>10.46</v>
      </c>
      <c r="AC1248" s="15" t="n">
        <v>17.8</v>
      </c>
      <c r="AD1248" s="34" t="n">
        <v>46101</v>
      </c>
      <c r="AE1248" s="15" t="n">
        <v>34.52</v>
      </c>
      <c r="AF1248" s="15" t="n">
        <v>36.79</v>
      </c>
      <c r="AG1248" s="34" t="n">
        <v>46101</v>
      </c>
      <c r="AK1248" s="15" t="n">
        <v>35.64</v>
      </c>
      <c r="AL1248" s="15" t="n">
        <v>84.77</v>
      </c>
      <c r="AM1248" s="34" t="n">
        <v>46101</v>
      </c>
      <c r="AN1248" s="15" t="n">
        <v>698</v>
      </c>
      <c r="AO1248" s="15" t="n">
        <v>413</v>
      </c>
      <c r="AP1248" s="34" t="n">
        <v>46101</v>
      </c>
      <c r="AQ1248" s="15" t="n">
        <v>64.75</v>
      </c>
      <c r="AR1248" s="15" t="n">
        <v>55.14</v>
      </c>
      <c r="AS1248" s="34" t="n">
        <v>46101</v>
      </c>
      <c r="AT1248" s="15" t="n">
        <v>14.43</v>
      </c>
      <c r="AU1248" s="15" t="n">
        <v>17.58</v>
      </c>
      <c r="AV1248" s="34" t="n">
        <v>46101</v>
      </c>
      <c r="AW1248" s="15" t="n">
        <v>34.6</v>
      </c>
      <c r="AX1248" s="15" t="n">
        <v>37.85</v>
      </c>
      <c r="AY1248" s="34" t="n">
        <v>46101</v>
      </c>
      <c r="AZ1248" s="15" t="n">
        <v>29.86</v>
      </c>
      <c r="BA1248" s="15" t="n">
        <v>44.23</v>
      </c>
      <c r="BB1248" s="34" t="n">
        <v>46101</v>
      </c>
      <c r="BC1248" s="15" t="n">
        <v>69.5</v>
      </c>
      <c r="BD1248" s="15" t="n">
        <v>82.29000000000001</v>
      </c>
      <c r="BE1248" s="34" t="n">
        <v>46101</v>
      </c>
      <c r="BF1248" s="15" t="n">
        <v>102.9</v>
      </c>
      <c r="BG1248" s="15" t="n">
        <v>164.13</v>
      </c>
      <c r="BH1248" s="34" t="n">
        <v>46101</v>
      </c>
      <c r="BI1248" s="15" t="n">
        <v>21.58</v>
      </c>
      <c r="BJ1248" s="15" t="n">
        <v>29.35</v>
      </c>
      <c r="BK1248" s="34" t="n">
        <v>46101</v>
      </c>
      <c r="BL1248" s="15" t="n">
        <v>49.28</v>
      </c>
      <c r="BM1248" s="15" t="n">
        <v>78.13</v>
      </c>
      <c r="BN1248" s="34" t="n">
        <v>46101</v>
      </c>
      <c r="BO1248" s="15" t="n">
        <v>12.21</v>
      </c>
      <c r="BP1248" s="15" t="n">
        <v>26.47</v>
      </c>
      <c r="BQ1248" s="34" t="n">
        <v>46101</v>
      </c>
      <c r="BR1248" s="15" t="n">
        <v>21.3</v>
      </c>
      <c r="BS1248" s="15" t="n">
        <v>19.43</v>
      </c>
      <c r="BT1248" s="34" t="n">
        <v>46101</v>
      </c>
      <c r="BU1248" s="15" t="n">
        <v>75.7</v>
      </c>
      <c r="BV1248" s="15" t="n">
        <v>115.33</v>
      </c>
      <c r="BW1248" s="34" t="n">
        <v>46101</v>
      </c>
      <c r="BX1248" s="15" t="n">
        <v>90.3</v>
      </c>
      <c r="BY1248" s="15" t="n">
        <v>99.76000000000001</v>
      </c>
      <c r="BZ1248" s="34" t="n">
        <v>46101</v>
      </c>
      <c r="CA1248" s="15" t="n">
        <v>15.14</v>
      </c>
      <c r="CB1248" s="15" t="n">
        <v>23.75</v>
      </c>
      <c r="CC1248" s="34" t="n">
        <v>46101</v>
      </c>
      <c r="CD1248" s="15" t="n">
        <v>32.38</v>
      </c>
      <c r="CE1248" s="15" t="n">
        <v>48.15</v>
      </c>
      <c r="CF1248" s="34" t="n">
        <v>46101</v>
      </c>
      <c r="CG1248" s="15" t="n">
        <v>120.8</v>
      </c>
      <c r="CH1248" s="15" t="n">
        <v>161.65</v>
      </c>
      <c r="CI1248" s="34" t="n">
        <v>46101</v>
      </c>
      <c r="CJ1248" s="15" t="n">
        <v>11.47</v>
      </c>
      <c r="CK1248" s="15" t="n">
        <v>19.91</v>
      </c>
      <c r="CL1248" s="34" t="n">
        <v>46101</v>
      </c>
      <c r="CM1248" s="15" t="n">
        <v>89.15000000000001</v>
      </c>
      <c r="CN1248" s="15" t="n">
        <v>103.55</v>
      </c>
      <c r="CO1248" s="34" t="n">
        <v>46101</v>
      </c>
      <c r="CP1248" s="15" t="n">
        <v>420</v>
      </c>
      <c r="CQ1248" s="15" t="n">
        <v>290.2</v>
      </c>
      <c r="CR1248" s="34" t="n">
        <v>46101</v>
      </c>
      <c r="CS1248" s="15" t="n">
        <v>23.6</v>
      </c>
      <c r="CT1248" s="15" t="n">
        <v>39.18</v>
      </c>
      <c r="CU1248" s="34" t="n">
        <v>46101</v>
      </c>
      <c r="CV1248" s="15" t="n">
        <v>210</v>
      </c>
      <c r="CW1248" s="15" t="n">
        <v>228.09</v>
      </c>
      <c r="CX1248" s="34" t="n">
        <v>46101</v>
      </c>
      <c r="CY1248" s="15" t="n">
        <v>48.88</v>
      </c>
      <c r="CZ1248" s="15" t="n">
        <v>49.2</v>
      </c>
      <c r="DA1248" s="34" t="n">
        <v>46101</v>
      </c>
      <c r="DB1248" s="15" t="n">
        <v>112.5</v>
      </c>
      <c r="DC1248" s="15" t="n">
        <v>159.15</v>
      </c>
      <c r="DD1248" s="34" t="n">
        <v>46101</v>
      </c>
      <c r="DE1248" s="15" t="n">
        <v>44.7</v>
      </c>
      <c r="DF1248" s="15" t="n">
        <v>49.45</v>
      </c>
      <c r="DG1248" s="34" t="n">
        <v>46101</v>
      </c>
      <c r="DH1248" s="15" t="n">
        <v>188.7</v>
      </c>
      <c r="DI1248" s="15" t="n">
        <v>144.9</v>
      </c>
      <c r="DJ1248" s="34" t="n">
        <v>46101</v>
      </c>
      <c r="DK1248" s="15" t="n">
        <v>42.42</v>
      </c>
      <c r="DL1248" s="15" t="n">
        <v>49.01</v>
      </c>
      <c r="DM1248" s="34" t="n">
        <v>46101</v>
      </c>
      <c r="DN1248" s="15" t="n">
        <v>19.15</v>
      </c>
      <c r="DO1248" s="15" t="n">
        <v>24.61</v>
      </c>
      <c r="DP1248" s="34" t="n">
        <v>46101</v>
      </c>
      <c r="DQ1248" s="15" t="n">
        <v>12.39</v>
      </c>
      <c r="DR1248" s="15" t="n">
        <v>20.42</v>
      </c>
      <c r="DS1248" s="34" t="n">
        <v>46101</v>
      </c>
      <c r="DT1248" s="15" t="n">
        <v>70.55</v>
      </c>
      <c r="DU1248" s="15" t="n">
        <v>103.53</v>
      </c>
      <c r="DV1248" s="34" t="n">
        <v>46101</v>
      </c>
      <c r="DW1248" s="15" t="n">
        <v>24.22</v>
      </c>
      <c r="DX1248" s="15" t="n">
        <v>41.24</v>
      </c>
      <c r="DY1248" s="34" t="n">
        <v>46101</v>
      </c>
      <c r="DZ1248" s="15" t="n">
        <v>96</v>
      </c>
      <c r="EA1248" s="15" t="n">
        <v>110.03</v>
      </c>
      <c r="EB1248" s="34" t="n">
        <v>46101</v>
      </c>
    </row>
    <row r="1249">
      <c r="A1249" s="34" t="n">
        <v>46104</v>
      </c>
      <c r="B1249" s="266" t="n">
        <v>1.137529969215393</v>
      </c>
      <c r="C1249" s="34" t="n">
        <v>46104</v>
      </c>
      <c r="D1249" s="15" t="n">
        <v>15.71</v>
      </c>
      <c r="E1249" s="15" t="n">
        <v>26.5</v>
      </c>
      <c r="F1249" s="34" t="n">
        <v>46104</v>
      </c>
      <c r="G1249" s="15" t="n">
        <v>70.8</v>
      </c>
      <c r="H1249" s="15" t="n">
        <v>91.92</v>
      </c>
      <c r="I1249" s="34" t="n">
        <v>46104</v>
      </c>
      <c r="J1249" s="15" t="n">
        <v>18.44</v>
      </c>
      <c r="K1249" s="15" t="n">
        <v>29.35</v>
      </c>
      <c r="L1249" s="34" t="n">
        <v>46104</v>
      </c>
      <c r="M1249" s="15" t="n">
        <v>39.88</v>
      </c>
      <c r="N1249" s="15" t="n">
        <v>49</v>
      </c>
      <c r="O1249" s="34" t="n">
        <v>46104</v>
      </c>
      <c r="P1249" s="15" t="n">
        <v>66.75</v>
      </c>
      <c r="Q1249" s="15" t="n">
        <v>70.77</v>
      </c>
      <c r="R1249" s="34" t="n">
        <v>46104</v>
      </c>
      <c r="S1249" s="15" t="n">
        <v>48.6</v>
      </c>
      <c r="T1249" s="15" t="n">
        <v>74.40000000000001</v>
      </c>
      <c r="U1249" s="34" t="n">
        <v>46104</v>
      </c>
      <c r="V1249" s="15" t="n">
        <v>20</v>
      </c>
      <c r="W1249" s="15" t="n">
        <v>25.87</v>
      </c>
      <c r="X1249" s="34" t="n">
        <v>46104</v>
      </c>
      <c r="Y1249" s="15" t="n">
        <v>80.7</v>
      </c>
      <c r="Z1249" s="15" t="n">
        <v>73.37</v>
      </c>
      <c r="AA1249" s="34" t="n">
        <v>46104</v>
      </c>
      <c r="AB1249" s="15" t="n">
        <v>10.72</v>
      </c>
      <c r="AC1249" s="15" t="n">
        <v>18.57</v>
      </c>
      <c r="AD1249" s="34" t="n">
        <v>46104</v>
      </c>
      <c r="AE1249" s="15" t="n">
        <v>33.02</v>
      </c>
      <c r="AF1249" s="15" t="n">
        <v>35.28</v>
      </c>
      <c r="AG1249" s="34" t="n">
        <v>46104</v>
      </c>
      <c r="AH1249" s="15" t="n">
        <v>31.52</v>
      </c>
      <c r="AI1249" s="15" t="n">
        <v>36.74</v>
      </c>
      <c r="AJ1249" s="34" t="n">
        <v>46104</v>
      </c>
      <c r="AK1249" s="15" t="n">
        <v>34.24</v>
      </c>
      <c r="AL1249" s="15" t="n">
        <v>78.55</v>
      </c>
      <c r="AM1249" s="34" t="n">
        <v>46104</v>
      </c>
      <c r="AN1249" s="15" t="n">
        <v>662</v>
      </c>
      <c r="AO1249" s="15" t="n">
        <v>401.99</v>
      </c>
      <c r="AP1249" s="34" t="n">
        <v>46104</v>
      </c>
      <c r="AQ1249" s="15" t="n">
        <v>61.8</v>
      </c>
      <c r="AR1249" s="15" t="n">
        <v>52.78</v>
      </c>
      <c r="AS1249" s="34" t="n">
        <v>46104</v>
      </c>
      <c r="AT1249" s="15" t="n">
        <v>14</v>
      </c>
      <c r="AU1249" s="15" t="n">
        <v>16.38</v>
      </c>
      <c r="AV1249" s="34" t="n">
        <v>46104</v>
      </c>
      <c r="AW1249" s="15" t="n">
        <v>33.6</v>
      </c>
      <c r="AX1249" s="15" t="n">
        <v>36.29</v>
      </c>
      <c r="AY1249" s="34" t="n">
        <v>46104</v>
      </c>
      <c r="AZ1249" s="15" t="n">
        <v>28.76</v>
      </c>
      <c r="BA1249" s="15" t="n">
        <v>43</v>
      </c>
      <c r="BB1249" s="34" t="n">
        <v>46104</v>
      </c>
      <c r="BC1249" s="15" t="n">
        <v>70.34999999999999</v>
      </c>
      <c r="BD1249" s="15" t="n">
        <v>81.8</v>
      </c>
      <c r="BE1249" s="34" t="n">
        <v>46104</v>
      </c>
      <c r="BF1249" s="15" t="n">
        <v>97.15000000000001</v>
      </c>
      <c r="BG1249" s="15" t="n">
        <v>149.2</v>
      </c>
      <c r="BH1249" s="34" t="n">
        <v>46104</v>
      </c>
      <c r="BI1249" s="15" t="n">
        <v>20.58</v>
      </c>
      <c r="BJ1249" s="15" t="n">
        <v>27.88</v>
      </c>
      <c r="BK1249" s="34" t="n">
        <v>46104</v>
      </c>
      <c r="BL1249" s="15" t="n">
        <v>46.12</v>
      </c>
      <c r="BM1249" s="15" t="n">
        <v>73.3</v>
      </c>
      <c r="BN1249" s="34" t="n">
        <v>46104</v>
      </c>
      <c r="BO1249" s="15" t="n">
        <v>11.66</v>
      </c>
      <c r="BP1249" s="15" t="n">
        <v>24.98</v>
      </c>
      <c r="BQ1249" s="34" t="n">
        <v>46104</v>
      </c>
      <c r="BR1249" s="15" t="n">
        <v>20.3</v>
      </c>
      <c r="BS1249" s="15" t="n">
        <v>18.65</v>
      </c>
      <c r="BT1249" s="34" t="n">
        <v>46104</v>
      </c>
      <c r="BU1249" s="15" t="n">
        <v>71.40000000000001</v>
      </c>
      <c r="BV1249" s="15" t="n">
        <v>103.84</v>
      </c>
      <c r="BW1249" s="34" t="n">
        <v>46104</v>
      </c>
      <c r="BX1249" s="15" t="n">
        <v>87.8</v>
      </c>
      <c r="BY1249" s="15" t="n">
        <v>99.27</v>
      </c>
      <c r="BZ1249" s="34" t="n">
        <v>46104</v>
      </c>
      <c r="CA1249" s="15" t="n">
        <v>14.53</v>
      </c>
      <c r="CB1249" s="15" t="n">
        <v>23.06</v>
      </c>
      <c r="CC1249" s="34" t="n">
        <v>46104</v>
      </c>
      <c r="CD1249" s="15" t="n">
        <v>31.32</v>
      </c>
      <c r="CE1249" s="15" t="n">
        <v>46.77</v>
      </c>
      <c r="CF1249" s="34" t="n">
        <v>46104</v>
      </c>
      <c r="CG1249" s="15" t="n">
        <v>120</v>
      </c>
      <c r="CH1249" s="15" t="n">
        <v>152.21</v>
      </c>
      <c r="CI1249" s="34" t="n">
        <v>46104</v>
      </c>
      <c r="CJ1249" s="15" t="n">
        <v>11.5</v>
      </c>
      <c r="CK1249" s="15" t="n">
        <v>20.5</v>
      </c>
      <c r="CL1249" s="34" t="n">
        <v>46104</v>
      </c>
      <c r="CM1249" s="15" t="n">
        <v>84.55</v>
      </c>
      <c r="CN1249" s="15" t="n">
        <v>98.62</v>
      </c>
      <c r="CO1249" s="34" t="n">
        <v>46104</v>
      </c>
      <c r="CP1249" s="15" t="n">
        <v>388.2</v>
      </c>
      <c r="CQ1249" s="15" t="n">
        <v>273.35</v>
      </c>
      <c r="CR1249" s="34" t="n">
        <v>46104</v>
      </c>
      <c r="CS1249" s="15" t="n">
        <v>21.7</v>
      </c>
      <c r="CT1249" s="15" t="n">
        <v>36.98</v>
      </c>
      <c r="CU1249" s="34" t="n">
        <v>46104</v>
      </c>
      <c r="CV1249" s="15" t="n">
        <v>208.4</v>
      </c>
      <c r="CW1249" s="15" t="n">
        <v>219.46</v>
      </c>
      <c r="CX1249" s="34" t="n">
        <v>46104</v>
      </c>
      <c r="CY1249" s="15" t="n">
        <v>48.68</v>
      </c>
      <c r="CZ1249" s="15" t="n">
        <v>47.42</v>
      </c>
      <c r="DA1249" s="34" t="n">
        <v>46104</v>
      </c>
      <c r="DB1249" s="15" t="n">
        <v>102.4</v>
      </c>
      <c r="DC1249" s="15" t="n">
        <v>144.9</v>
      </c>
      <c r="DD1249" s="34" t="n">
        <v>46104</v>
      </c>
      <c r="DE1249" s="15" t="n">
        <v>41.36</v>
      </c>
      <c r="DF1249" s="15" t="n">
        <v>45.2</v>
      </c>
      <c r="DG1249" s="34" t="n">
        <v>46104</v>
      </c>
      <c r="DH1249" s="15" t="n">
        <v>172.9</v>
      </c>
      <c r="DI1249" s="15" t="n">
        <v>136.8</v>
      </c>
      <c r="DJ1249" s="34" t="n">
        <v>46104</v>
      </c>
      <c r="DK1249" s="15" t="n">
        <v>41.5</v>
      </c>
      <c r="DL1249" s="15" t="n">
        <v>47.19</v>
      </c>
      <c r="DM1249" s="34" t="n">
        <v>46104</v>
      </c>
      <c r="DN1249" s="15" t="n">
        <v>18.89</v>
      </c>
      <c r="DO1249" s="15" t="n">
        <v>23.13</v>
      </c>
      <c r="DP1249" s="34" t="n">
        <v>46104</v>
      </c>
      <c r="DQ1249" s="15" t="n">
        <v>13</v>
      </c>
      <c r="DR1249" s="15" t="n">
        <v>19.78</v>
      </c>
      <c r="DS1249" s="34" t="n">
        <v>46104</v>
      </c>
      <c r="DT1249" s="15" t="n">
        <v>65.40000000000001</v>
      </c>
      <c r="DU1249" s="15" t="n">
        <v>97.8</v>
      </c>
      <c r="DV1249" s="34" t="n">
        <v>46104</v>
      </c>
      <c r="DW1249" s="15" t="n">
        <v>22.6</v>
      </c>
      <c r="DX1249" s="15" t="n">
        <v>38.03</v>
      </c>
      <c r="DY1249" s="34" t="n">
        <v>46104</v>
      </c>
      <c r="DZ1249" s="15" t="n">
        <v>83.45</v>
      </c>
      <c r="EA1249" s="15" t="n">
        <v>99.03</v>
      </c>
      <c r="EB1249" s="34" t="n">
        <v>46104</v>
      </c>
      <c r="EC1249" s="15" t="n">
        <v>11.25</v>
      </c>
      <c r="ED1249" s="15" t="n">
        <v>20.64</v>
      </c>
      <c r="EE1249" s="34" t="n">
        <v>46104</v>
      </c>
    </row>
    <row r="1250">
      <c r="A1250" s="34" t="n">
        <v>46105</v>
      </c>
      <c r="B1250" s="266" t="n">
        <v>1.138481974601746</v>
      </c>
      <c r="C1250" s="34" t="n">
        <v>46105</v>
      </c>
      <c r="D1250" s="15" t="n">
        <v>16.24</v>
      </c>
      <c r="E1250" s="15" t="n">
        <v>26.97</v>
      </c>
      <c r="F1250" s="34" t="n">
        <v>46105</v>
      </c>
      <c r="G1250" s="15" t="n">
        <v>74.59999999999999</v>
      </c>
      <c r="H1250" s="15" t="n">
        <v>95.59</v>
      </c>
      <c r="I1250" s="34" t="n">
        <v>46105</v>
      </c>
      <c r="J1250" s="15" t="n">
        <v>18.7</v>
      </c>
      <c r="K1250" s="15" t="n">
        <v>30.13</v>
      </c>
      <c r="L1250" s="34" t="n">
        <v>46105</v>
      </c>
      <c r="M1250" s="15" t="n">
        <v>42.22</v>
      </c>
      <c r="N1250" s="15" t="n">
        <v>51.63</v>
      </c>
      <c r="O1250" s="34" t="n">
        <v>46105</v>
      </c>
      <c r="P1250" s="15" t="n">
        <v>66.8</v>
      </c>
      <c r="Q1250" s="15" t="n">
        <v>70.81999999999999</v>
      </c>
      <c r="R1250" s="34" t="n">
        <v>46105</v>
      </c>
      <c r="S1250" s="15" t="n">
        <v>54.45</v>
      </c>
      <c r="T1250" s="15" t="n">
        <v>82.44</v>
      </c>
      <c r="U1250" s="34" t="n">
        <v>46105</v>
      </c>
      <c r="V1250" s="15" t="n">
        <v>20.78</v>
      </c>
      <c r="W1250" s="15" t="n">
        <v>27.4</v>
      </c>
      <c r="X1250" s="34" t="n">
        <v>46105</v>
      </c>
      <c r="Y1250" s="15" t="n">
        <v>82.65000000000001</v>
      </c>
      <c r="Z1250" s="15" t="n">
        <v>74.23</v>
      </c>
      <c r="AA1250" s="34" t="n">
        <v>46105</v>
      </c>
      <c r="AB1250" s="15" t="n">
        <v>11.27</v>
      </c>
      <c r="AC1250" s="15" t="n">
        <v>19.9</v>
      </c>
      <c r="AD1250" s="34" t="n">
        <v>46105</v>
      </c>
      <c r="AE1250" s="15" t="n">
        <v>33.6</v>
      </c>
      <c r="AF1250" s="15" t="n">
        <v>35.71</v>
      </c>
      <c r="AG1250" s="34" t="n">
        <v>46105</v>
      </c>
      <c r="AH1250" s="15" t="n">
        <v>35.6</v>
      </c>
      <c r="AI1250" s="15" t="n">
        <v>36.12</v>
      </c>
      <c r="AJ1250" s="34" t="n">
        <v>46105</v>
      </c>
      <c r="AK1250" s="15" t="n">
        <v>33.58</v>
      </c>
      <c r="AL1250" s="15" t="n">
        <v>76.51000000000001</v>
      </c>
      <c r="AM1250" s="34" t="n">
        <v>46105</v>
      </c>
      <c r="AN1250" s="15" t="n">
        <v>645</v>
      </c>
      <c r="AO1250" s="15" t="n">
        <v>396.99</v>
      </c>
      <c r="AP1250" s="34" t="n">
        <v>46105</v>
      </c>
      <c r="AQ1250" s="15" t="n">
        <v>63.95</v>
      </c>
      <c r="AR1250" s="15" t="n">
        <v>53.64</v>
      </c>
      <c r="AS1250" s="34" t="n">
        <v>46105</v>
      </c>
      <c r="AT1250" s="15" t="n">
        <v>14.32</v>
      </c>
      <c r="AU1250" s="15" t="n">
        <v>16.88</v>
      </c>
      <c r="AV1250" s="34" t="n">
        <v>46105</v>
      </c>
      <c r="AW1250" s="15" t="n">
        <v>34.12</v>
      </c>
      <c r="AX1250" s="15" t="n">
        <v>36.65</v>
      </c>
      <c r="AY1250" s="34" t="n">
        <v>46105</v>
      </c>
      <c r="AZ1250" s="15" t="n">
        <v>28.86</v>
      </c>
      <c r="BA1250" s="15" t="n">
        <v>42.57</v>
      </c>
      <c r="BB1250" s="34" t="n">
        <v>46105</v>
      </c>
      <c r="BC1250" s="15" t="n">
        <v>71.8</v>
      </c>
      <c r="BD1250" s="15" t="n">
        <v>83.02</v>
      </c>
      <c r="BE1250" s="34" t="n">
        <v>46105</v>
      </c>
      <c r="BF1250" s="15" t="n">
        <v>99.95</v>
      </c>
      <c r="BG1250" s="15" t="n">
        <v>153.5</v>
      </c>
      <c r="BH1250" s="34" t="n">
        <v>46105</v>
      </c>
      <c r="BI1250" s="15" t="n">
        <v>21.38</v>
      </c>
      <c r="BJ1250" s="15" t="n">
        <v>28</v>
      </c>
      <c r="BK1250" s="34" t="n">
        <v>46105</v>
      </c>
      <c r="BL1250" s="15" t="n">
        <v>47.76</v>
      </c>
      <c r="BM1250" s="15" t="n">
        <v>74.59999999999999</v>
      </c>
      <c r="BN1250" s="34" t="n">
        <v>46105</v>
      </c>
      <c r="BO1250" s="15" t="n">
        <v>12.02</v>
      </c>
      <c r="BP1250" s="15" t="n">
        <v>26.05</v>
      </c>
      <c r="BQ1250" s="34" t="n">
        <v>46105</v>
      </c>
      <c r="BR1250" s="15" t="n">
        <v>21.24</v>
      </c>
      <c r="BS1250" s="15" t="n">
        <v>19.13</v>
      </c>
      <c r="BT1250" s="34" t="n">
        <v>46105</v>
      </c>
      <c r="BU1250" s="15" t="n">
        <v>76.65000000000001</v>
      </c>
      <c r="BV1250" s="15" t="n">
        <v>105.85</v>
      </c>
      <c r="BW1250" s="34" t="n">
        <v>46105</v>
      </c>
      <c r="BX1250" s="15" t="n">
        <v>89.5</v>
      </c>
      <c r="BY1250" s="15" t="n">
        <v>97.06999999999999</v>
      </c>
      <c r="BZ1250" s="34" t="n">
        <v>46105</v>
      </c>
      <c r="CA1250" s="15" t="n">
        <v>14.5</v>
      </c>
      <c r="CB1250" s="15" t="n">
        <v>23.19</v>
      </c>
      <c r="CC1250" s="34" t="n">
        <v>46105</v>
      </c>
      <c r="CD1250" s="15" t="n">
        <v>31.82</v>
      </c>
      <c r="CE1250" s="15" t="n">
        <v>47.35</v>
      </c>
      <c r="CF1250" s="34" t="n">
        <v>46105</v>
      </c>
      <c r="CG1250" s="15" t="n">
        <v>121.7</v>
      </c>
      <c r="CH1250" s="15" t="n">
        <v>156.18</v>
      </c>
      <c r="CI1250" s="34" t="n">
        <v>46105</v>
      </c>
      <c r="CJ1250" s="15" t="n">
        <v>11.54</v>
      </c>
      <c r="CK1250" s="15" t="n">
        <v>20.34</v>
      </c>
      <c r="CL1250" s="34" t="n">
        <v>46105</v>
      </c>
      <c r="CM1250" s="15" t="n">
        <v>86.59999999999999</v>
      </c>
      <c r="CN1250" s="15" t="n">
        <v>99.98</v>
      </c>
      <c r="CO1250" s="34" t="n">
        <v>46105</v>
      </c>
      <c r="CP1250" s="15" t="n">
        <v>401.6</v>
      </c>
      <c r="CQ1250" s="15" t="n">
        <v>273.71</v>
      </c>
      <c r="CR1250" s="34" t="n">
        <v>46105</v>
      </c>
      <c r="CS1250" s="15" t="n">
        <v>22.16</v>
      </c>
      <c r="CT1250" s="15" t="n">
        <v>37.66</v>
      </c>
      <c r="CU1250" s="34" t="n">
        <v>46105</v>
      </c>
      <c r="CV1250" s="15" t="n">
        <v>228.8</v>
      </c>
      <c r="CW1250" s="15" t="n">
        <v>224.5</v>
      </c>
      <c r="CX1250" s="34" t="n">
        <v>46105</v>
      </c>
      <c r="CY1250" s="15" t="n">
        <v>51.8</v>
      </c>
      <c r="CZ1250" s="15" t="n">
        <v>48.89</v>
      </c>
      <c r="DA1250" s="34" t="n">
        <v>46105</v>
      </c>
      <c r="DB1250" s="15" t="n">
        <v>105.3</v>
      </c>
      <c r="DC1250" s="15" t="n">
        <v>159.5</v>
      </c>
      <c r="DD1250" s="34" t="n">
        <v>46105</v>
      </c>
      <c r="DE1250" s="15" t="n">
        <v>42.52</v>
      </c>
      <c r="DF1250" s="15" t="n">
        <v>43.5</v>
      </c>
      <c r="DG1250" s="34" t="n">
        <v>46105</v>
      </c>
      <c r="DH1250" s="15" t="n">
        <v>174</v>
      </c>
      <c r="DI1250" s="15" t="n">
        <v>137.57</v>
      </c>
      <c r="DJ1250" s="34" t="n">
        <v>46105</v>
      </c>
      <c r="DK1250" s="15" t="n">
        <v>42.5</v>
      </c>
      <c r="DL1250" s="15" t="n">
        <v>47.26</v>
      </c>
      <c r="DM1250" s="34" t="n">
        <v>46105</v>
      </c>
      <c r="DN1250" s="15" t="n">
        <v>19.64</v>
      </c>
      <c r="DO1250" s="15" t="n">
        <v>23.7</v>
      </c>
      <c r="DP1250" s="34" t="n">
        <v>46105</v>
      </c>
      <c r="DQ1250" s="15" t="n">
        <v>12.15</v>
      </c>
      <c r="DR1250" s="15" t="n">
        <v>20.01</v>
      </c>
      <c r="DS1250" s="34" t="n">
        <v>46105</v>
      </c>
      <c r="DT1250" s="15" t="n">
        <v>67.25</v>
      </c>
      <c r="DU1250" s="15" t="n">
        <v>97.40000000000001</v>
      </c>
      <c r="DV1250" s="34" t="n">
        <v>46105</v>
      </c>
      <c r="DW1250" s="15" t="n">
        <v>24.38</v>
      </c>
      <c r="DX1250" s="15" t="n">
        <v>38.78</v>
      </c>
      <c r="DY1250" s="34" t="n">
        <v>46105</v>
      </c>
      <c r="DZ1250" s="15" t="n">
        <v>87.90000000000001</v>
      </c>
      <c r="EA1250" s="15" t="n">
        <v>102.88</v>
      </c>
      <c r="EB1250" s="34" t="n">
        <v>46105</v>
      </c>
      <c r="EC1250" s="15" t="n">
        <v>10.64</v>
      </c>
      <c r="ED1250" s="15" t="n">
        <v>20.7</v>
      </c>
      <c r="EE1250" s="34" t="n">
        <v>46105</v>
      </c>
    </row>
    <row r="1251">
      <c r="A1251" s="34" t="n">
        <v>46106</v>
      </c>
      <c r="B1251" s="266" t="n">
        <v>1.135548949241638</v>
      </c>
      <c r="C1251" s="34" t="n">
        <v>46106</v>
      </c>
      <c r="D1251" s="15" t="n">
        <v>17</v>
      </c>
      <c r="E1251" s="15" t="n">
        <v>28.09</v>
      </c>
      <c r="F1251" s="34" t="n">
        <v>46106</v>
      </c>
      <c r="G1251" s="15" t="n">
        <v>75.8</v>
      </c>
      <c r="H1251" s="15" t="n">
        <v>96.5</v>
      </c>
      <c r="I1251" s="34" t="n">
        <v>46106</v>
      </c>
      <c r="J1251" s="15" t="n">
        <v>19.26</v>
      </c>
      <c r="K1251" s="15" t="n">
        <v>30.83</v>
      </c>
      <c r="L1251" s="34" t="n">
        <v>46106</v>
      </c>
      <c r="M1251" s="15" t="n">
        <v>45</v>
      </c>
      <c r="N1251" s="15" t="n">
        <v>53.46</v>
      </c>
      <c r="O1251" s="34" t="n">
        <v>46106</v>
      </c>
      <c r="P1251" s="15" t="n">
        <v>66.40000000000001</v>
      </c>
      <c r="Q1251" s="15" t="n">
        <v>71.81999999999999</v>
      </c>
      <c r="R1251" s="34" t="n">
        <v>46106</v>
      </c>
      <c r="S1251" s="15" t="n">
        <v>55.35</v>
      </c>
      <c r="T1251" s="15" t="n">
        <v>84.81999999999999</v>
      </c>
      <c r="U1251" s="34" t="n">
        <v>46106</v>
      </c>
      <c r="V1251" s="15" t="n">
        <v>20.54</v>
      </c>
      <c r="W1251" s="15" t="n">
        <v>27.18</v>
      </c>
      <c r="X1251" s="34" t="n">
        <v>46106</v>
      </c>
      <c r="Y1251" s="15" t="n">
        <v>83</v>
      </c>
      <c r="Z1251" s="15" t="n">
        <v>74.8</v>
      </c>
      <c r="AA1251" s="34" t="n">
        <v>46106</v>
      </c>
      <c r="AB1251" s="15" t="n">
        <v>11.57</v>
      </c>
      <c r="AC1251" s="15" t="n">
        <v>20.42</v>
      </c>
      <c r="AD1251" s="34" t="n">
        <v>46106</v>
      </c>
      <c r="AE1251" s="15" t="n">
        <v>33.88</v>
      </c>
      <c r="AF1251" s="15" t="n">
        <v>36.43</v>
      </c>
      <c r="AG1251" s="34" t="n">
        <v>46106</v>
      </c>
      <c r="AH1251" s="15" t="n">
        <v>37</v>
      </c>
      <c r="AI1251" s="15" t="n">
        <v>38.33</v>
      </c>
      <c r="AJ1251" s="34" t="n">
        <v>46106</v>
      </c>
      <c r="AK1251" s="15" t="n">
        <v>33.48</v>
      </c>
      <c r="AL1251" s="15" t="n">
        <v>75.84</v>
      </c>
      <c r="AM1251" s="34" t="n">
        <v>46106</v>
      </c>
      <c r="AN1251" s="15" t="n">
        <v>637.5</v>
      </c>
      <c r="AO1251" s="15" t="n">
        <v>397.81</v>
      </c>
      <c r="AP1251" s="34" t="n">
        <v>46106</v>
      </c>
      <c r="AQ1251" s="15" t="n">
        <v>63.35</v>
      </c>
      <c r="AR1251" s="15" t="n">
        <v>54.1</v>
      </c>
      <c r="AS1251" s="34" t="n">
        <v>46106</v>
      </c>
      <c r="AT1251" s="15" t="n">
        <v>14.6</v>
      </c>
      <c r="AU1251" s="15" t="n">
        <v>17.33</v>
      </c>
      <c r="AV1251" s="34" t="n">
        <v>46106</v>
      </c>
      <c r="AW1251" s="15" t="n">
        <v>34.12</v>
      </c>
      <c r="AX1251" s="15" t="n">
        <v>37</v>
      </c>
      <c r="AY1251" s="34" t="n">
        <v>46106</v>
      </c>
      <c r="AZ1251" s="15" t="n">
        <v>29.8</v>
      </c>
      <c r="BA1251" s="15" t="n">
        <v>43.49</v>
      </c>
      <c r="BB1251" s="34" t="n">
        <v>46106</v>
      </c>
      <c r="BC1251" s="15" t="n">
        <v>73.2</v>
      </c>
      <c r="BD1251" s="15" t="n">
        <v>84.11</v>
      </c>
      <c r="BE1251" s="34" t="n">
        <v>46106</v>
      </c>
      <c r="BF1251" s="15" t="n">
        <v>103.2</v>
      </c>
      <c r="BG1251" s="15" t="n">
        <v>155.09</v>
      </c>
      <c r="BH1251" s="34" t="n">
        <v>46106</v>
      </c>
      <c r="BI1251" s="15" t="n">
        <v>22.46</v>
      </c>
      <c r="BJ1251" s="15" t="n">
        <v>29.4</v>
      </c>
      <c r="BK1251" s="34" t="n">
        <v>46106</v>
      </c>
      <c r="BL1251" s="15" t="n">
        <v>48.7</v>
      </c>
      <c r="BM1251" s="15" t="n">
        <v>77.92</v>
      </c>
      <c r="BN1251" s="34" t="n">
        <v>46106</v>
      </c>
      <c r="BO1251" s="15" t="n">
        <v>12.56</v>
      </c>
      <c r="BP1251" s="15" t="n">
        <v>27.44</v>
      </c>
      <c r="BQ1251" s="34" t="n">
        <v>46106</v>
      </c>
      <c r="BR1251" s="15" t="n">
        <v>21.84</v>
      </c>
      <c r="BS1251" s="15" t="n">
        <v>19.73</v>
      </c>
      <c r="BT1251" s="34" t="n">
        <v>46106</v>
      </c>
      <c r="BU1251" s="15" t="n">
        <v>78.45</v>
      </c>
      <c r="BV1251" s="15" t="n">
        <v>109.94</v>
      </c>
      <c r="BW1251" s="34" t="n">
        <v>46106</v>
      </c>
      <c r="BX1251" s="15" t="n">
        <v>89</v>
      </c>
      <c r="BY1251" s="15" t="n">
        <v>96.55</v>
      </c>
      <c r="BZ1251" s="34" t="n">
        <v>46106</v>
      </c>
      <c r="CA1251" s="15" t="n">
        <v>14.85</v>
      </c>
      <c r="CB1251" s="15" t="n">
        <v>24.68</v>
      </c>
      <c r="CC1251" s="34" t="n">
        <v>46106</v>
      </c>
      <c r="CD1251" s="15" t="n">
        <v>32.4</v>
      </c>
      <c r="CE1251" s="15" t="n">
        <v>47.62</v>
      </c>
      <c r="CF1251" s="34" t="n">
        <v>46106</v>
      </c>
      <c r="CG1251" s="15" t="n">
        <v>123.5</v>
      </c>
      <c r="CH1251" s="15" t="n">
        <v>163.1</v>
      </c>
      <c r="CI1251" s="34" t="n">
        <v>46106</v>
      </c>
      <c r="CJ1251" s="15" t="n">
        <v>11.63</v>
      </c>
      <c r="CK1251" s="15" t="n">
        <v>20.4</v>
      </c>
      <c r="CL1251" s="34" t="n">
        <v>46106</v>
      </c>
      <c r="CM1251" s="15" t="n">
        <v>90.09999999999999</v>
      </c>
      <c r="CN1251" s="15" t="n">
        <v>102.35</v>
      </c>
      <c r="CO1251" s="34" t="n">
        <v>46106</v>
      </c>
      <c r="CP1251" s="15" t="n">
        <v>407.6</v>
      </c>
      <c r="CQ1251" s="15" t="n">
        <v>278.4</v>
      </c>
      <c r="CR1251" s="34" t="n">
        <v>46106</v>
      </c>
      <c r="CS1251" s="15" t="n">
        <v>23.78</v>
      </c>
      <c r="CT1251" s="15" t="n">
        <v>38.52</v>
      </c>
      <c r="CU1251" s="34" t="n">
        <v>46106</v>
      </c>
      <c r="CV1251" s="15" t="n">
        <v>237</v>
      </c>
      <c r="CW1251" s="15" t="n">
        <v>228.9</v>
      </c>
      <c r="CX1251" s="34" t="n">
        <v>46106</v>
      </c>
      <c r="CY1251" s="15" t="n">
        <v>55.6</v>
      </c>
      <c r="CZ1251" s="15" t="n">
        <v>49.55</v>
      </c>
      <c r="DA1251" s="34" t="n">
        <v>46106</v>
      </c>
      <c r="DB1251" s="15" t="n">
        <v>109.6</v>
      </c>
      <c r="DC1251" s="15" t="n">
        <v>162</v>
      </c>
      <c r="DD1251" s="34" t="n">
        <v>46106</v>
      </c>
      <c r="DE1251" s="15" t="n">
        <v>42.5</v>
      </c>
      <c r="DF1251" s="15" t="n">
        <v>44.52</v>
      </c>
      <c r="DG1251" s="34" t="n">
        <v>46106</v>
      </c>
      <c r="DH1251" s="15" t="n">
        <v>182</v>
      </c>
      <c r="DI1251" s="15" t="n">
        <v>142</v>
      </c>
      <c r="DJ1251" s="34" t="n">
        <v>46106</v>
      </c>
      <c r="DK1251" s="15" t="n">
        <v>43.6</v>
      </c>
      <c r="DL1251" s="15" t="n">
        <v>48.19</v>
      </c>
      <c r="DM1251" s="34" t="n">
        <v>46106</v>
      </c>
      <c r="DN1251" s="15" t="n">
        <v>20.32</v>
      </c>
      <c r="DO1251" s="15" t="n">
        <v>24.62</v>
      </c>
      <c r="DP1251" s="34" t="n">
        <v>46106</v>
      </c>
      <c r="DQ1251" s="15" t="n">
        <v>11.73</v>
      </c>
      <c r="DR1251" s="15" t="n">
        <v>20.28</v>
      </c>
      <c r="DS1251" s="34" t="n">
        <v>46106</v>
      </c>
      <c r="DT1251" s="15" t="n">
        <v>70.55</v>
      </c>
      <c r="DU1251" s="15" t="n">
        <v>99.16</v>
      </c>
      <c r="DV1251" s="34" t="n">
        <v>46106</v>
      </c>
      <c r="DW1251" s="15" t="n">
        <v>24.52</v>
      </c>
      <c r="DX1251" s="15" t="n">
        <v>39.26</v>
      </c>
      <c r="DY1251" s="34" t="n">
        <v>46106</v>
      </c>
      <c r="DZ1251" s="15" t="n">
        <v>98</v>
      </c>
      <c r="EA1251" s="15" t="n">
        <v>106.47</v>
      </c>
      <c r="EB1251" s="34" t="n">
        <v>46106</v>
      </c>
      <c r="EC1251" s="15" t="n">
        <v>12.92</v>
      </c>
      <c r="ED1251" s="15" t="n">
        <v>21.58</v>
      </c>
      <c r="EE1251" s="34" t="n">
        <v>46106</v>
      </c>
    </row>
    <row r="1252">
      <c r="A1252" s="34" t="n">
        <v>46107</v>
      </c>
      <c r="B1252" s="266" t="n">
        <v>1.132627010345459</v>
      </c>
      <c r="C1252" s="34" t="n">
        <v>46107</v>
      </c>
      <c r="D1252" s="15" t="n">
        <v>16.87</v>
      </c>
      <c r="E1252" s="15" t="n">
        <v>27.49</v>
      </c>
      <c r="F1252" s="34" t="n">
        <v>46107</v>
      </c>
      <c r="G1252" s="15" t="n">
        <v>75.75</v>
      </c>
      <c r="H1252" s="15" t="n">
        <v>96.8</v>
      </c>
      <c r="I1252" s="34" t="n">
        <v>46107</v>
      </c>
      <c r="J1252" s="15" t="n">
        <v>18.9</v>
      </c>
      <c r="K1252" s="15" t="n">
        <v>30.5</v>
      </c>
      <c r="L1252" s="34" t="n">
        <v>46107</v>
      </c>
      <c r="M1252" s="15" t="n">
        <v>44.98</v>
      </c>
      <c r="N1252" s="15" t="n">
        <v>54.2</v>
      </c>
      <c r="O1252" s="34" t="n">
        <v>46107</v>
      </c>
      <c r="P1252" s="15" t="n">
        <v>64.2</v>
      </c>
      <c r="Q1252" s="15" t="n">
        <v>70.69</v>
      </c>
      <c r="R1252" s="34" t="n">
        <v>46107</v>
      </c>
      <c r="S1252" s="15" t="n">
        <v>53.8</v>
      </c>
      <c r="T1252" s="15" t="n">
        <v>82.43000000000001</v>
      </c>
      <c r="U1252" s="34" t="n">
        <v>46107</v>
      </c>
      <c r="V1252" s="15" t="n">
        <v>20.12</v>
      </c>
      <c r="W1252" s="15" t="n">
        <v>26.74</v>
      </c>
      <c r="X1252" s="34" t="n">
        <v>46107</v>
      </c>
      <c r="Y1252" s="15" t="n">
        <v>81.40000000000001</v>
      </c>
      <c r="Z1252" s="15" t="n">
        <v>74.31999999999999</v>
      </c>
      <c r="AA1252" s="34" t="n">
        <v>46107</v>
      </c>
      <c r="AB1252" s="15" t="n">
        <v>11.55</v>
      </c>
      <c r="AC1252" s="15" t="n">
        <v>20.92</v>
      </c>
      <c r="AD1252" s="34" t="n">
        <v>46107</v>
      </c>
      <c r="AE1252" s="15" t="n">
        <v>33.46</v>
      </c>
      <c r="AF1252" s="15" t="n">
        <v>36.68</v>
      </c>
      <c r="AG1252" s="34" t="n">
        <v>46107</v>
      </c>
      <c r="AH1252" s="15" t="n">
        <v>35.1</v>
      </c>
      <c r="AI1252" s="15" t="n">
        <v>37.3</v>
      </c>
      <c r="AJ1252" s="34" t="n">
        <v>46107</v>
      </c>
      <c r="AK1252" s="15" t="n">
        <v>31.52</v>
      </c>
      <c r="AL1252" s="15" t="n">
        <v>73.31</v>
      </c>
      <c r="AM1252" s="34" t="n">
        <v>46107</v>
      </c>
      <c r="AN1252" s="15" t="n">
        <v>616</v>
      </c>
      <c r="AO1252" s="15" t="n">
        <v>402.5</v>
      </c>
      <c r="AP1252" s="34" t="n">
        <v>46107</v>
      </c>
      <c r="AQ1252" s="15" t="n">
        <v>61.25</v>
      </c>
      <c r="AR1252" s="15" t="n">
        <v>51.63</v>
      </c>
      <c r="AS1252" s="34" t="n">
        <v>46107</v>
      </c>
      <c r="AT1252" s="15" t="n">
        <v>14.17</v>
      </c>
      <c r="AU1252" s="15" t="n">
        <v>17.13</v>
      </c>
      <c r="AV1252" s="34" t="n">
        <v>46107</v>
      </c>
      <c r="AW1252" s="15" t="n">
        <v>33.58</v>
      </c>
      <c r="AX1252" s="15" t="n">
        <v>36.95</v>
      </c>
      <c r="AY1252" s="34" t="n">
        <v>46107</v>
      </c>
      <c r="AZ1252" s="15" t="n">
        <v>29.12</v>
      </c>
      <c r="BA1252" s="15" t="n">
        <v>43.87</v>
      </c>
      <c r="BB1252" s="34" t="n">
        <v>46107</v>
      </c>
      <c r="BC1252" s="15" t="n">
        <v>72</v>
      </c>
      <c r="BD1252" s="15" t="n">
        <v>84.48</v>
      </c>
      <c r="BE1252" s="34" t="n">
        <v>46107</v>
      </c>
      <c r="BF1252" s="15" t="n">
        <v>98.95</v>
      </c>
      <c r="BG1252" s="15" t="n">
        <v>152.9</v>
      </c>
      <c r="BH1252" s="34" t="n">
        <v>46107</v>
      </c>
      <c r="BI1252" s="15" t="n">
        <v>21.7</v>
      </c>
      <c r="BJ1252" s="15" t="n">
        <v>28.95</v>
      </c>
      <c r="BK1252" s="34" t="n">
        <v>46107</v>
      </c>
      <c r="BL1252" s="15" t="n">
        <v>46.84</v>
      </c>
      <c r="BM1252" s="15" t="n">
        <v>78.02</v>
      </c>
      <c r="BN1252" s="34" t="n">
        <v>46107</v>
      </c>
      <c r="BO1252" s="15" t="n">
        <v>12.02</v>
      </c>
      <c r="BP1252" s="15" t="n">
        <v>26.18</v>
      </c>
      <c r="BQ1252" s="34" t="n">
        <v>46107</v>
      </c>
      <c r="BR1252" s="15" t="n">
        <v>20.72</v>
      </c>
      <c r="BS1252" s="15" t="n">
        <v>19.26</v>
      </c>
      <c r="BT1252" s="34" t="n">
        <v>46107</v>
      </c>
      <c r="BU1252" s="15" t="n">
        <v>75.25</v>
      </c>
      <c r="BV1252" s="15" t="n">
        <v>105.43</v>
      </c>
      <c r="BW1252" s="34" t="n">
        <v>46107</v>
      </c>
      <c r="BX1252" s="15" t="n">
        <v>87.05</v>
      </c>
      <c r="BY1252" s="15" t="n">
        <v>94</v>
      </c>
      <c r="BZ1252" s="34" t="n">
        <v>46107</v>
      </c>
      <c r="CA1252" s="15" t="n">
        <v>14.26</v>
      </c>
      <c r="CB1252" s="15" t="n">
        <v>24.26</v>
      </c>
      <c r="CC1252" s="34" t="n">
        <v>46107</v>
      </c>
      <c r="CD1252" s="15" t="n">
        <v>31.6</v>
      </c>
      <c r="CE1252" s="15" t="n">
        <v>47.76</v>
      </c>
      <c r="CF1252" s="34" t="n">
        <v>46107</v>
      </c>
      <c r="CG1252" s="15" t="n">
        <v>118.4</v>
      </c>
      <c r="CH1252" s="15" t="n">
        <v>158.8</v>
      </c>
      <c r="CI1252" s="34" t="n">
        <v>46107</v>
      </c>
      <c r="CJ1252" s="15" t="n">
        <v>11.05</v>
      </c>
      <c r="CK1252" s="15" t="n">
        <v>19.75</v>
      </c>
      <c r="CL1252" s="34" t="n">
        <v>46107</v>
      </c>
      <c r="CM1252" s="15" t="n">
        <v>86.15000000000001</v>
      </c>
      <c r="CN1252" s="15" t="n">
        <v>100</v>
      </c>
      <c r="CO1252" s="34" t="n">
        <v>46107</v>
      </c>
      <c r="CP1252" s="15" t="n">
        <v>376.8</v>
      </c>
      <c r="CQ1252" s="15" t="n">
        <v>262</v>
      </c>
      <c r="CR1252" s="34" t="n">
        <v>46107</v>
      </c>
      <c r="CS1252" s="15" t="n">
        <v>22.62</v>
      </c>
      <c r="CT1252" s="15" t="n">
        <v>37.86</v>
      </c>
      <c r="CU1252" s="34" t="n">
        <v>46107</v>
      </c>
      <c r="CV1252" s="15" t="n">
        <v>215.2</v>
      </c>
      <c r="CW1252" s="15" t="n">
        <v>218.75</v>
      </c>
      <c r="CX1252" s="34" t="n">
        <v>46107</v>
      </c>
      <c r="CY1252" s="15" t="n">
        <v>55.05</v>
      </c>
      <c r="CZ1252" s="15" t="n">
        <v>49.26</v>
      </c>
      <c r="DA1252" s="34" t="n">
        <v>46107</v>
      </c>
      <c r="DB1252" s="15" t="n">
        <v>103.2</v>
      </c>
      <c r="DC1252" s="15" t="n">
        <v>164.15</v>
      </c>
      <c r="DD1252" s="34" t="n">
        <v>46107</v>
      </c>
      <c r="DE1252" s="15" t="n">
        <v>40.66</v>
      </c>
      <c r="DF1252" s="15" t="n">
        <v>44</v>
      </c>
      <c r="DG1252" s="34" t="n">
        <v>46107</v>
      </c>
      <c r="DH1252" s="15" t="n">
        <v>181</v>
      </c>
      <c r="DI1252" s="15" t="n">
        <v>136.99</v>
      </c>
      <c r="DJ1252" s="34" t="n">
        <v>46107</v>
      </c>
      <c r="DK1252" s="15" t="n">
        <v>42.74</v>
      </c>
      <c r="DL1252" s="15" t="n">
        <v>48.16</v>
      </c>
      <c r="DM1252" s="34" t="n">
        <v>46107</v>
      </c>
      <c r="DN1252" s="15" t="n">
        <v>19.03</v>
      </c>
      <c r="DO1252" s="15" t="n">
        <v>23.69</v>
      </c>
      <c r="DP1252" s="34" t="n">
        <v>46107</v>
      </c>
      <c r="DQ1252" s="15" t="n">
        <v>11.45</v>
      </c>
      <c r="DR1252" s="15" t="n">
        <v>20.09</v>
      </c>
      <c r="DS1252" s="34" t="n">
        <v>46107</v>
      </c>
      <c r="DT1252" s="15" t="n">
        <v>66.2</v>
      </c>
      <c r="DU1252" s="15" t="n">
        <v>97.90000000000001</v>
      </c>
      <c r="DV1252" s="34" t="n">
        <v>46107</v>
      </c>
      <c r="DW1252" s="15" t="n">
        <v>23.94</v>
      </c>
      <c r="DX1252" s="15" t="n">
        <v>37.93</v>
      </c>
      <c r="DY1252" s="34" t="n">
        <v>46107</v>
      </c>
      <c r="DZ1252" s="15" t="n">
        <v>101</v>
      </c>
      <c r="EA1252" s="15" t="n">
        <v>114.93</v>
      </c>
      <c r="EB1252" s="34" t="n">
        <v>46107</v>
      </c>
      <c r="EC1252" s="15" t="n">
        <v>13.07</v>
      </c>
      <c r="ED1252" s="15" t="n">
        <v>20.89</v>
      </c>
      <c r="EE1252" s="34" t="n">
        <v>46107</v>
      </c>
    </row>
    <row r="1253">
      <c r="A1253" s="34" t="n">
        <v>46108</v>
      </c>
      <c r="B1253" s="266" t="n">
        <v>1.132115960121155</v>
      </c>
      <c r="C1253" s="34" t="n">
        <v>46108</v>
      </c>
      <c r="D1253" s="15" t="n">
        <v>18.96</v>
      </c>
      <c r="E1253" s="15" t="n">
        <v>30.24</v>
      </c>
      <c r="F1253" s="34" t="n">
        <v>46108</v>
      </c>
      <c r="G1253" s="15" t="n">
        <v>79.75</v>
      </c>
      <c r="H1253" s="15" t="n">
        <v>99.90000000000001</v>
      </c>
      <c r="I1253" s="34" t="n">
        <v>46108</v>
      </c>
      <c r="J1253" s="15" t="n">
        <v>19.29</v>
      </c>
      <c r="K1253" s="15" t="n">
        <v>31.18</v>
      </c>
      <c r="L1253" s="34" t="n">
        <v>46108</v>
      </c>
      <c r="M1253" s="15" t="n">
        <v>47.74</v>
      </c>
      <c r="N1253" s="15" t="n">
        <v>57.96</v>
      </c>
      <c r="O1253" s="34" t="n">
        <v>46108</v>
      </c>
      <c r="P1253" s="15" t="n">
        <v>65.09999999999999</v>
      </c>
      <c r="Q1253" s="15" t="n">
        <v>71.65000000000001</v>
      </c>
      <c r="R1253" s="34" t="n">
        <v>46108</v>
      </c>
      <c r="S1253" s="15" t="n">
        <v>58.45</v>
      </c>
      <c r="T1253" s="15" t="n">
        <v>92.88</v>
      </c>
      <c r="U1253" s="34" t="n">
        <v>46108</v>
      </c>
      <c r="V1253" s="15" t="n">
        <v>20.08</v>
      </c>
      <c r="W1253" s="15" t="n">
        <v>26.98</v>
      </c>
      <c r="X1253" s="34" t="n">
        <v>46108</v>
      </c>
      <c r="Y1253" s="15" t="n">
        <v>81.3</v>
      </c>
      <c r="Z1253" s="15" t="n">
        <v>74.78</v>
      </c>
      <c r="AA1253" s="34" t="n">
        <v>46108</v>
      </c>
      <c r="AB1253" s="15" t="n">
        <v>12.67</v>
      </c>
      <c r="AC1253" s="15" t="n">
        <v>22.41</v>
      </c>
      <c r="AD1253" s="34" t="n">
        <v>46108</v>
      </c>
      <c r="AE1253" s="15" t="n">
        <v>33.82</v>
      </c>
      <c r="AF1253" s="15" t="n">
        <v>37.07</v>
      </c>
      <c r="AG1253" s="34" t="n">
        <v>46108</v>
      </c>
      <c r="AH1253" s="15" t="n">
        <v>37.1</v>
      </c>
      <c r="AI1253" s="15" t="n">
        <v>39.8</v>
      </c>
      <c r="AJ1253" s="34" t="n">
        <v>46108</v>
      </c>
      <c r="AK1253" s="15" t="n">
        <v>28.58</v>
      </c>
      <c r="AL1253" s="15" t="n">
        <v>71.91</v>
      </c>
      <c r="AM1253" s="34" t="n">
        <v>46108</v>
      </c>
      <c r="AN1253" s="15" t="n">
        <v>634</v>
      </c>
      <c r="AO1253" s="15" t="n">
        <v>416.18</v>
      </c>
      <c r="AP1253" s="34" t="n">
        <v>46108</v>
      </c>
      <c r="AQ1253" s="15" t="n">
        <v>66</v>
      </c>
      <c r="AR1253" s="15" t="n">
        <v>55.18</v>
      </c>
      <c r="AS1253" s="34" t="n">
        <v>46108</v>
      </c>
      <c r="AT1253" s="15" t="n">
        <v>14.58</v>
      </c>
      <c r="AU1253" s="15" t="n">
        <v>17.65</v>
      </c>
      <c r="AV1253" s="34" t="n">
        <v>46108</v>
      </c>
      <c r="AW1253" s="15" t="n">
        <v>36.3</v>
      </c>
      <c r="AX1253" s="15" t="n">
        <v>39.7</v>
      </c>
      <c r="AY1253" s="34" t="n">
        <v>46108</v>
      </c>
      <c r="AZ1253" s="15" t="n">
        <v>28.98</v>
      </c>
      <c r="BA1253" s="15" t="n">
        <v>43.35</v>
      </c>
      <c r="BB1253" s="34" t="n">
        <v>46108</v>
      </c>
      <c r="BC1253" s="15" t="n">
        <v>75.7</v>
      </c>
      <c r="BD1253" s="15" t="n">
        <v>87.44</v>
      </c>
      <c r="BE1253" s="34" t="n">
        <v>46108</v>
      </c>
      <c r="BF1253" s="15" t="n">
        <v>99.34999999999999</v>
      </c>
      <c r="BG1253" s="15" t="n">
        <v>155</v>
      </c>
      <c r="BH1253" s="34" t="n">
        <v>46108</v>
      </c>
      <c r="BI1253" s="15" t="n">
        <v>21.36</v>
      </c>
      <c r="BJ1253" s="15" t="n">
        <v>28.7</v>
      </c>
      <c r="BK1253" s="34" t="n">
        <v>46108</v>
      </c>
      <c r="BL1253" s="15" t="n">
        <v>47.28</v>
      </c>
      <c r="BM1253" s="15" t="n">
        <v>78.23999999999999</v>
      </c>
      <c r="BN1253" s="34" t="n">
        <v>46108</v>
      </c>
      <c r="BO1253" s="15" t="n">
        <v>12.12</v>
      </c>
      <c r="BP1253" s="15" t="n">
        <v>25.95</v>
      </c>
      <c r="BQ1253" s="34" t="n">
        <v>46108</v>
      </c>
      <c r="BR1253" s="15" t="n">
        <v>21.14</v>
      </c>
      <c r="BS1253" s="15" t="n">
        <v>19.16</v>
      </c>
      <c r="BT1253" s="34" t="n">
        <v>46108</v>
      </c>
      <c r="BU1253" s="15" t="n">
        <v>73.90000000000001</v>
      </c>
      <c r="BV1253" s="15" t="n">
        <v>104.53</v>
      </c>
      <c r="BW1253" s="34" t="n">
        <v>46108</v>
      </c>
      <c r="BX1253" s="15" t="n">
        <v>86.95</v>
      </c>
      <c r="BY1253" s="15" t="n">
        <v>95.42</v>
      </c>
      <c r="BZ1253" s="34" t="n">
        <v>46108</v>
      </c>
      <c r="CA1253" s="15" t="n">
        <v>14.86</v>
      </c>
      <c r="CB1253" s="15" t="n">
        <v>24.36</v>
      </c>
      <c r="CC1253" s="34" t="n">
        <v>46108</v>
      </c>
      <c r="CD1253" s="15" t="n">
        <v>33.88</v>
      </c>
      <c r="CE1253" s="15" t="n">
        <v>51.11</v>
      </c>
      <c r="CF1253" s="34" t="n">
        <v>46108</v>
      </c>
      <c r="CG1253" s="15" t="n">
        <v>119.2</v>
      </c>
      <c r="CH1253" s="15" t="n">
        <v>159</v>
      </c>
      <c r="CI1253" s="34" t="n">
        <v>46108</v>
      </c>
      <c r="CJ1253" s="15" t="n">
        <v>10.86</v>
      </c>
      <c r="CK1253" s="15" t="n">
        <v>19.76</v>
      </c>
      <c r="CL1253" s="34" t="n">
        <v>46108</v>
      </c>
      <c r="CM1253" s="15" t="n">
        <v>86.59999999999999</v>
      </c>
      <c r="CN1253" s="15" t="n">
        <v>101.02</v>
      </c>
      <c r="CO1253" s="34" t="n">
        <v>46108</v>
      </c>
      <c r="CP1253" s="15" t="n">
        <v>365.8</v>
      </c>
      <c r="CQ1253" s="15" t="n">
        <v>258.66</v>
      </c>
      <c r="CR1253" s="34" t="n">
        <v>46108</v>
      </c>
      <c r="CS1253" s="15" t="n">
        <v>22.76</v>
      </c>
      <c r="CT1253" s="15" t="n">
        <v>38.17</v>
      </c>
      <c r="CU1253" s="34" t="n">
        <v>46108</v>
      </c>
      <c r="CV1253" s="15" t="n">
        <v>212.6</v>
      </c>
      <c r="CW1253" s="15" t="n">
        <v>225</v>
      </c>
      <c r="CX1253" s="34" t="n">
        <v>46108</v>
      </c>
      <c r="CY1253" s="15" t="n">
        <v>56</v>
      </c>
      <c r="CZ1253" s="15" t="n">
        <v>49.68</v>
      </c>
      <c r="DA1253" s="34" t="n">
        <v>46108</v>
      </c>
      <c r="DB1253" s="15" t="n">
        <v>99.09999999999999</v>
      </c>
      <c r="DC1253" s="15" t="n">
        <v>168.69</v>
      </c>
      <c r="DD1253" s="34" t="n">
        <v>46108</v>
      </c>
      <c r="DE1253" s="15" t="n">
        <v>41.38</v>
      </c>
      <c r="DF1253" s="15" t="n">
        <v>45.2</v>
      </c>
      <c r="DG1253" s="34" t="n">
        <v>46108</v>
      </c>
      <c r="DH1253" s="15" t="n">
        <v>177.3</v>
      </c>
      <c r="DI1253" s="15" t="n">
        <v>135.1</v>
      </c>
      <c r="DJ1253" s="34" t="n">
        <v>46108</v>
      </c>
      <c r="DK1253" s="15" t="n">
        <v>44.74</v>
      </c>
      <c r="DL1253" s="15" t="n">
        <v>49.6</v>
      </c>
      <c r="DM1253" s="34" t="n">
        <v>46108</v>
      </c>
      <c r="DN1253" s="15" t="n">
        <v>18.93</v>
      </c>
      <c r="DO1253" s="15" t="n">
        <v>23.8</v>
      </c>
      <c r="DP1253" s="34" t="n">
        <v>46108</v>
      </c>
      <c r="DQ1253" s="15" t="n">
        <v>12.03</v>
      </c>
      <c r="DR1253" s="15" t="n">
        <v>20.13</v>
      </c>
      <c r="DS1253" s="34" t="n">
        <v>46108</v>
      </c>
      <c r="DT1253" s="15" t="n">
        <v>66.55</v>
      </c>
      <c r="DU1253" s="15" t="n">
        <v>99.45999999999999</v>
      </c>
      <c r="DV1253" s="34" t="n">
        <v>46108</v>
      </c>
      <c r="DW1253" s="15" t="n">
        <v>23.1</v>
      </c>
      <c r="DX1253" s="15" t="n">
        <v>38.31</v>
      </c>
      <c r="DY1253" s="34" t="n">
        <v>46108</v>
      </c>
      <c r="DZ1253" s="15" t="n">
        <v>97.75</v>
      </c>
      <c r="EA1253" s="15" t="n">
        <v>114.87</v>
      </c>
      <c r="EB1253" s="34" t="n">
        <v>46108</v>
      </c>
      <c r="EC1253" s="15" t="n">
        <v>12.87</v>
      </c>
      <c r="ED1253" s="15" t="n">
        <v>20.8</v>
      </c>
      <c r="EE1253" s="34" t="n">
        <v>46108</v>
      </c>
    </row>
    <row r="1254">
      <c r="A1254" s="34" t="n">
        <v>46111</v>
      </c>
      <c r="B1254" s="266" t="n">
        <v>1.13311505317688</v>
      </c>
      <c r="C1254" s="34" t="n">
        <v>46111</v>
      </c>
      <c r="D1254" s="15" t="n">
        <v>19.47</v>
      </c>
      <c r="E1254" s="15" t="n">
        <v>32.1</v>
      </c>
      <c r="F1254" s="34" t="n">
        <v>46111</v>
      </c>
      <c r="G1254" s="15" t="n">
        <v>80.15000000000001</v>
      </c>
      <c r="H1254" s="15" t="n">
        <v>100.7</v>
      </c>
      <c r="I1254" s="34" t="n">
        <v>46111</v>
      </c>
      <c r="J1254" s="15" t="n">
        <v>19.4</v>
      </c>
      <c r="K1254" s="15" t="n">
        <v>31.05</v>
      </c>
      <c r="L1254" s="34" t="n">
        <v>46111</v>
      </c>
      <c r="M1254" s="15" t="n">
        <v>47.8</v>
      </c>
      <c r="N1254" s="15" t="n">
        <v>57.24</v>
      </c>
      <c r="O1254" s="34" t="n">
        <v>46111</v>
      </c>
      <c r="P1254" s="15" t="n">
        <v>64</v>
      </c>
      <c r="Q1254" s="15" t="n">
        <v>70.86</v>
      </c>
      <c r="R1254" s="34" t="n">
        <v>46111</v>
      </c>
      <c r="S1254" s="15" t="n">
        <v>57.25</v>
      </c>
      <c r="T1254" s="15" t="n">
        <v>93.90000000000001</v>
      </c>
      <c r="U1254" s="34" t="n">
        <v>46111</v>
      </c>
      <c r="V1254" s="15" t="n">
        <v>19.89</v>
      </c>
      <c r="W1254" s="15" t="n">
        <v>26.76</v>
      </c>
      <c r="X1254" s="34" t="n">
        <v>46111</v>
      </c>
      <c r="Y1254" s="15" t="n">
        <v>78.45</v>
      </c>
      <c r="Z1254" s="15" t="n">
        <v>72.09999999999999</v>
      </c>
      <c r="AA1254" s="34" t="n">
        <v>46111</v>
      </c>
      <c r="AB1254" s="15" t="n">
        <v>12.88</v>
      </c>
      <c r="AC1254" s="15" t="n">
        <v>22.42</v>
      </c>
      <c r="AD1254" s="34" t="n">
        <v>46111</v>
      </c>
      <c r="AE1254" s="15" t="n">
        <v>33.32</v>
      </c>
      <c r="AF1254" s="15" t="n">
        <v>36.76</v>
      </c>
      <c r="AG1254" s="34" t="n">
        <v>46111</v>
      </c>
      <c r="AH1254" s="15" t="n">
        <v>40.92</v>
      </c>
      <c r="AI1254" s="15" t="n">
        <v>42.94</v>
      </c>
      <c r="AJ1254" s="34" t="n">
        <v>46111</v>
      </c>
      <c r="AK1254" s="15" t="n">
        <v>27.58</v>
      </c>
      <c r="AL1254" s="15" t="n">
        <v>72.61</v>
      </c>
      <c r="AM1254" s="34" t="n">
        <v>46111</v>
      </c>
      <c r="AN1254" s="15" t="n">
        <v>632</v>
      </c>
      <c r="AO1254" s="15" t="n">
        <v>413</v>
      </c>
      <c r="AP1254" s="34" t="n">
        <v>46111</v>
      </c>
      <c r="AQ1254" s="15" t="n">
        <v>65.65000000000001</v>
      </c>
      <c r="AR1254" s="15" t="n">
        <v>55.76</v>
      </c>
      <c r="AS1254" s="34" t="n">
        <v>46111</v>
      </c>
      <c r="AT1254" s="15" t="n">
        <v>14.34</v>
      </c>
      <c r="AU1254" s="15" t="n">
        <v>17.82</v>
      </c>
      <c r="AV1254" s="34" t="n">
        <v>46111</v>
      </c>
      <c r="AW1254" s="15" t="n">
        <v>36.84</v>
      </c>
      <c r="AX1254" s="15" t="n">
        <v>40.34</v>
      </c>
      <c r="AY1254" s="34" t="n">
        <v>46111</v>
      </c>
      <c r="AZ1254" s="15" t="n">
        <v>28.3</v>
      </c>
      <c r="BA1254" s="15" t="n">
        <v>43.03</v>
      </c>
      <c r="BB1254" s="34" t="n">
        <v>46111</v>
      </c>
      <c r="BC1254" s="15" t="n">
        <v>75.7</v>
      </c>
      <c r="BD1254" s="15" t="n">
        <v>90</v>
      </c>
      <c r="BE1254" s="34" t="n">
        <v>46111</v>
      </c>
      <c r="BF1254" s="15" t="n">
        <v>95.45</v>
      </c>
      <c r="BG1254" s="15" t="n">
        <v>152.42</v>
      </c>
      <c r="BH1254" s="34" t="n">
        <v>46111</v>
      </c>
      <c r="BI1254" s="15" t="n">
        <v>20.82</v>
      </c>
      <c r="BJ1254" s="15" t="n">
        <v>28.3</v>
      </c>
      <c r="BK1254" s="34" t="n">
        <v>46111</v>
      </c>
      <c r="BL1254" s="15" t="n">
        <v>48.36</v>
      </c>
      <c r="BM1254" s="15" t="n">
        <v>79.42</v>
      </c>
      <c r="BN1254" s="34" t="n">
        <v>46111</v>
      </c>
      <c r="BO1254" s="15" t="n">
        <v>12.27</v>
      </c>
      <c r="BP1254" s="15" t="n">
        <v>25.7</v>
      </c>
      <c r="BQ1254" s="34" t="n">
        <v>46111</v>
      </c>
      <c r="BR1254" s="15" t="n">
        <v>20.54</v>
      </c>
      <c r="BS1254" s="15" t="n">
        <v>18.87</v>
      </c>
      <c r="BT1254" s="34" t="n">
        <v>46111</v>
      </c>
      <c r="BU1254" s="15" t="n">
        <v>74.25</v>
      </c>
      <c r="BV1254" s="15" t="n">
        <v>105.29</v>
      </c>
      <c r="BW1254" s="34" t="n">
        <v>46111</v>
      </c>
      <c r="BX1254" s="15" t="n">
        <v>84.25</v>
      </c>
      <c r="BY1254" s="15" t="n">
        <v>94.23999999999999</v>
      </c>
      <c r="BZ1254" s="34" t="n">
        <v>46111</v>
      </c>
      <c r="CA1254" s="15" t="n">
        <v>15.45</v>
      </c>
      <c r="CB1254" s="15" t="n">
        <v>25.52</v>
      </c>
      <c r="CC1254" s="34" t="n">
        <v>46111</v>
      </c>
      <c r="CD1254" s="15" t="n">
        <v>33.7</v>
      </c>
      <c r="CE1254" s="15" t="n">
        <v>50.37</v>
      </c>
      <c r="CF1254" s="34" t="n">
        <v>46111</v>
      </c>
      <c r="CG1254" s="15" t="n">
        <v>115.9</v>
      </c>
      <c r="CH1254" s="15" t="n">
        <v>151.89</v>
      </c>
      <c r="CI1254" s="34" t="n">
        <v>46111</v>
      </c>
      <c r="CJ1254" s="15" t="n">
        <v>11.04</v>
      </c>
      <c r="CK1254" s="15" t="n">
        <v>20.45</v>
      </c>
      <c r="CL1254" s="34" t="n">
        <v>46111</v>
      </c>
      <c r="CM1254" s="15" t="n">
        <v>85.8</v>
      </c>
      <c r="CN1254" s="15" t="n">
        <v>100.32</v>
      </c>
      <c r="CO1254" s="34" t="n">
        <v>46111</v>
      </c>
      <c r="CP1254" s="15" t="n">
        <v>374.2</v>
      </c>
      <c r="CQ1254" s="15" t="n">
        <v>255.85</v>
      </c>
      <c r="CR1254" s="34" t="n">
        <v>46111</v>
      </c>
      <c r="CS1254" s="15" t="n">
        <v>22.38</v>
      </c>
      <c r="CT1254" s="15" t="n">
        <v>37.83</v>
      </c>
      <c r="CU1254" s="34" t="n">
        <v>46111</v>
      </c>
      <c r="CV1254" s="15" t="n">
        <v>215.2</v>
      </c>
      <c r="CW1254" s="15" t="n">
        <v>227.99</v>
      </c>
      <c r="CX1254" s="34" t="n">
        <v>46111</v>
      </c>
      <c r="CY1254" s="15" t="n">
        <v>55.95</v>
      </c>
      <c r="CZ1254" s="15" t="n">
        <v>49.37</v>
      </c>
      <c r="DA1254" s="34" t="n">
        <v>46111</v>
      </c>
      <c r="DB1254" s="15" t="n">
        <v>103.9</v>
      </c>
      <c r="DC1254" s="15" t="n">
        <v>176.17</v>
      </c>
      <c r="DD1254" s="34" t="n">
        <v>46111</v>
      </c>
      <c r="DE1254" s="15" t="n">
        <v>38.88</v>
      </c>
      <c r="DF1254" s="15" t="n">
        <v>43.23</v>
      </c>
      <c r="DG1254" s="34" t="n">
        <v>46111</v>
      </c>
      <c r="DH1254" s="15" t="n">
        <v>165.1</v>
      </c>
      <c r="DI1254" s="15" t="n">
        <v>132</v>
      </c>
      <c r="DJ1254" s="34" t="n">
        <v>46111</v>
      </c>
      <c r="DK1254" s="15" t="n">
        <v>44.6</v>
      </c>
      <c r="DL1254" s="15" t="n">
        <v>49.52</v>
      </c>
      <c r="DM1254" s="34" t="n">
        <v>46111</v>
      </c>
      <c r="DN1254" s="15" t="n">
        <v>18.36</v>
      </c>
      <c r="DO1254" s="15" t="n">
        <v>23.71</v>
      </c>
      <c r="DP1254" s="34" t="n">
        <v>46111</v>
      </c>
      <c r="DQ1254" s="15" t="n">
        <v>12.09</v>
      </c>
      <c r="DR1254" s="15" t="n">
        <v>20.13</v>
      </c>
      <c r="DS1254" s="34" t="n">
        <v>46111</v>
      </c>
      <c r="DT1254" s="15" t="n">
        <v>62.4</v>
      </c>
      <c r="DU1254" s="15" t="n">
        <v>97.39</v>
      </c>
      <c r="DV1254" s="34" t="n">
        <v>46111</v>
      </c>
      <c r="DW1254" s="15" t="n">
        <v>22.54</v>
      </c>
      <c r="DX1254" s="15" t="n">
        <v>38.09</v>
      </c>
      <c r="DY1254" s="34" t="n">
        <v>46111</v>
      </c>
      <c r="DZ1254" s="15" t="n">
        <v>100.5</v>
      </c>
      <c r="EA1254" s="15" t="n">
        <v>117.35</v>
      </c>
      <c r="EB1254" s="34" t="n">
        <v>46111</v>
      </c>
      <c r="EC1254" s="15" t="n">
        <v>13.08</v>
      </c>
      <c r="ED1254" s="15" t="n">
        <v>20.58</v>
      </c>
      <c r="EE1254" s="34" t="n">
        <v>46111</v>
      </c>
    </row>
    <row r="1255">
      <c r="A1255" s="34" t="n">
        <v>46112</v>
      </c>
      <c r="B1255" s="266" t="n">
        <v>1.133540987968445</v>
      </c>
      <c r="C1255" s="34" t="n">
        <v>46112</v>
      </c>
      <c r="D1255" s="15" t="n">
        <v>19.6</v>
      </c>
      <c r="E1255" s="15" t="n">
        <v>34.2</v>
      </c>
      <c r="F1255" s="34" t="n">
        <v>46112</v>
      </c>
      <c r="G1255" s="15" t="n">
        <v>91</v>
      </c>
      <c r="H1255" s="15" t="n">
        <v>110.77</v>
      </c>
      <c r="I1255" s="34" t="n">
        <v>46112</v>
      </c>
      <c r="J1255" s="15" t="n">
        <v>18.68</v>
      </c>
      <c r="K1255" s="15" t="n">
        <v>30.69</v>
      </c>
      <c r="L1255" s="34" t="n">
        <v>46112</v>
      </c>
      <c r="M1255" s="15" t="n">
        <v>45.94</v>
      </c>
      <c r="N1255" s="15" t="n">
        <v>55.48</v>
      </c>
      <c r="O1255" s="34" t="n">
        <v>46112</v>
      </c>
      <c r="P1255" s="15" t="n">
        <v>64.95</v>
      </c>
      <c r="Q1255" s="15" t="n">
        <v>70.38</v>
      </c>
      <c r="R1255" s="34" t="n">
        <v>46112</v>
      </c>
      <c r="S1255" s="15" t="n">
        <v>55.35</v>
      </c>
      <c r="T1255" s="15" t="n">
        <v>93.02</v>
      </c>
      <c r="U1255" s="34" t="n">
        <v>46112</v>
      </c>
      <c r="V1255" s="15" t="n">
        <v>19.21</v>
      </c>
      <c r="W1255" s="15" t="n">
        <v>26.08</v>
      </c>
      <c r="X1255" s="34" t="n">
        <v>46112</v>
      </c>
      <c r="Y1255" s="15" t="n">
        <v>83.8</v>
      </c>
      <c r="Z1255" s="15" t="n">
        <v>76.34999999999999</v>
      </c>
      <c r="AA1255" s="34" t="n">
        <v>46112</v>
      </c>
      <c r="AB1255" s="15" t="n">
        <v>12.46</v>
      </c>
      <c r="AC1255" s="15" t="n">
        <v>22.52</v>
      </c>
      <c r="AD1255" s="34" t="n">
        <v>46112</v>
      </c>
      <c r="AE1255" s="15" t="n">
        <v>35.24</v>
      </c>
      <c r="AF1255" s="15" t="n">
        <v>38.04</v>
      </c>
      <c r="AG1255" s="34" t="n">
        <v>46112</v>
      </c>
      <c r="AH1255" s="15" t="n">
        <v>41.34</v>
      </c>
      <c r="AI1255" s="15" t="n">
        <v>43.15</v>
      </c>
      <c r="AJ1255" s="34" t="n">
        <v>46112</v>
      </c>
      <c r="AK1255" s="15" t="n">
        <v>27.22</v>
      </c>
      <c r="AL1255" s="15" t="n">
        <v>71.98</v>
      </c>
      <c r="AM1255" s="34" t="n">
        <v>46112</v>
      </c>
      <c r="AN1255" s="15" t="n">
        <v>613.5</v>
      </c>
      <c r="AO1255" s="15" t="n">
        <v>401.7</v>
      </c>
      <c r="AP1255" s="34" t="n">
        <v>46112</v>
      </c>
      <c r="AQ1255" s="15" t="n">
        <v>64.5</v>
      </c>
      <c r="AR1255" s="15" t="n">
        <v>55.22</v>
      </c>
      <c r="AS1255" s="34" t="n">
        <v>46112</v>
      </c>
      <c r="AT1255" s="15" t="n">
        <v>14.04</v>
      </c>
      <c r="AU1255" s="15" t="n">
        <v>17.11</v>
      </c>
      <c r="AV1255" s="34" t="n">
        <v>46112</v>
      </c>
      <c r="AW1255" s="15" t="n">
        <v>36.54</v>
      </c>
      <c r="AX1255" s="15" t="n">
        <v>41</v>
      </c>
      <c r="AY1255" s="34" t="n">
        <v>46112</v>
      </c>
      <c r="AZ1255" s="15" t="n">
        <v>28.04</v>
      </c>
      <c r="BA1255" s="15" t="n">
        <v>42.53</v>
      </c>
      <c r="BB1255" s="34" t="n">
        <v>46112</v>
      </c>
      <c r="BC1255" s="15" t="n">
        <v>79</v>
      </c>
      <c r="BD1255" s="15" t="n">
        <v>93.26000000000001</v>
      </c>
      <c r="BE1255" s="34" t="n">
        <v>46112</v>
      </c>
      <c r="BF1255" s="15" t="n">
        <v>93.2</v>
      </c>
      <c r="BG1255" s="15" t="n">
        <v>152.31</v>
      </c>
      <c r="BH1255" s="34" t="n">
        <v>46112</v>
      </c>
      <c r="BI1255" s="15" t="n">
        <v>20.2</v>
      </c>
      <c r="BJ1255" s="15" t="n">
        <v>27.98</v>
      </c>
      <c r="BK1255" s="34" t="n">
        <v>46112</v>
      </c>
      <c r="BL1255" s="15" t="n">
        <v>48.78</v>
      </c>
      <c r="BM1255" s="15" t="n">
        <v>81.90000000000001</v>
      </c>
      <c r="BN1255" s="34" t="n">
        <v>46112</v>
      </c>
      <c r="BO1255" s="15" t="n">
        <v>11.92</v>
      </c>
      <c r="BP1255" s="15" t="n">
        <v>24.92</v>
      </c>
      <c r="BQ1255" s="34" t="n">
        <v>46112</v>
      </c>
      <c r="BR1255" s="15" t="n">
        <v>21.06</v>
      </c>
      <c r="BS1255" s="15" t="n">
        <v>19.22</v>
      </c>
      <c r="BT1255" s="34" t="n">
        <v>46112</v>
      </c>
      <c r="BU1255" s="15" t="n">
        <v>67</v>
      </c>
      <c r="BV1255" s="15" t="n">
        <v>101.6</v>
      </c>
      <c r="BW1255" s="34" t="n">
        <v>46112</v>
      </c>
      <c r="BX1255" s="15" t="n">
        <v>80.65000000000001</v>
      </c>
      <c r="BY1255" s="15" t="n">
        <v>90.83</v>
      </c>
      <c r="BZ1255" s="34" t="n">
        <v>46112</v>
      </c>
      <c r="CA1255" s="15" t="n">
        <v>14.85</v>
      </c>
      <c r="CB1255" s="15" t="n">
        <v>24.78</v>
      </c>
      <c r="CC1255" s="34" t="n">
        <v>46112</v>
      </c>
      <c r="CD1255" s="15" t="n">
        <v>32.62</v>
      </c>
      <c r="CE1255" s="15" t="n">
        <v>49.4</v>
      </c>
      <c r="CF1255" s="34" t="n">
        <v>46112</v>
      </c>
      <c r="CG1255" s="15" t="n">
        <v>115.1</v>
      </c>
      <c r="CH1255" s="15" t="n">
        <v>147.88</v>
      </c>
      <c r="CI1255" s="34" t="n">
        <v>46112</v>
      </c>
      <c r="CJ1255" s="15" t="n">
        <v>10.94</v>
      </c>
      <c r="CK1255" s="15" t="n">
        <v>19.54</v>
      </c>
      <c r="CL1255" s="34" t="n">
        <v>46112</v>
      </c>
      <c r="CM1255" s="15" t="n">
        <v>80</v>
      </c>
      <c r="CN1255" s="15" t="n">
        <v>94.95999999999999</v>
      </c>
      <c r="CO1255" s="34" t="n">
        <v>46112</v>
      </c>
      <c r="CP1255" s="15" t="n">
        <v>343</v>
      </c>
      <c r="CQ1255" s="15" t="n">
        <v>238.1</v>
      </c>
      <c r="CR1255" s="34" t="n">
        <v>46112</v>
      </c>
      <c r="CS1255" s="15" t="n">
        <v>23.14</v>
      </c>
      <c r="CT1255" s="15" t="n">
        <v>37.7</v>
      </c>
      <c r="CU1255" s="34" t="n">
        <v>46112</v>
      </c>
      <c r="CV1255" s="15" t="n">
        <v>201.8</v>
      </c>
      <c r="CW1255" s="15" t="n">
        <v>205.27</v>
      </c>
      <c r="CX1255" s="34" t="n">
        <v>46112</v>
      </c>
      <c r="CY1255" s="15" t="n">
        <v>54.85</v>
      </c>
      <c r="CZ1255" s="15" t="n">
        <v>47.02</v>
      </c>
      <c r="DA1255" s="34" t="n">
        <v>46112</v>
      </c>
      <c r="DB1255" s="15" t="n">
        <v>98</v>
      </c>
      <c r="DC1255" s="15" t="n">
        <v>162.2</v>
      </c>
      <c r="DD1255" s="34" t="n">
        <v>46112</v>
      </c>
      <c r="DE1255" s="15" t="n">
        <v>37.82</v>
      </c>
      <c r="DF1255" s="15" t="n">
        <v>41.71</v>
      </c>
      <c r="DG1255" s="34" t="n">
        <v>46112</v>
      </c>
      <c r="DH1255" s="15" t="n">
        <v>154</v>
      </c>
      <c r="DI1255" s="15" t="n">
        <v>125.28</v>
      </c>
      <c r="DJ1255" s="34" t="n">
        <v>46112</v>
      </c>
      <c r="DK1255" s="15" t="n">
        <v>41.32</v>
      </c>
      <c r="DL1255" s="15" t="n">
        <v>47.7</v>
      </c>
      <c r="DM1255" s="34" t="n">
        <v>46112</v>
      </c>
      <c r="DN1255" s="15" t="n">
        <v>18</v>
      </c>
      <c r="DO1255" s="15" t="n">
        <v>23.47</v>
      </c>
      <c r="DP1255" s="34" t="n">
        <v>46112</v>
      </c>
      <c r="DQ1255" s="15" t="n">
        <v>11.25</v>
      </c>
      <c r="DR1255" s="15" t="n">
        <v>20.03</v>
      </c>
      <c r="DS1255" s="34" t="n">
        <v>46112</v>
      </c>
      <c r="DT1255" s="15" t="n">
        <v>58.95</v>
      </c>
      <c r="DU1255" s="15" t="n">
        <v>96</v>
      </c>
      <c r="DV1255" s="34" t="n">
        <v>46112</v>
      </c>
      <c r="DW1255" s="15" t="n">
        <v>22.3</v>
      </c>
      <c r="DX1255" s="15" t="n">
        <v>38.24</v>
      </c>
      <c r="DY1255" s="34" t="n">
        <v>46112</v>
      </c>
      <c r="DZ1255" s="15" t="n">
        <v>93.8</v>
      </c>
      <c r="EA1255" s="15" t="n">
        <v>116.33</v>
      </c>
      <c r="EB1255" s="34" t="n">
        <v>46112</v>
      </c>
      <c r="EC1255" s="15" t="n">
        <v>12.83</v>
      </c>
      <c r="ED1255" s="15" t="n">
        <v>20.01</v>
      </c>
      <c r="EE1255" s="34" t="n">
        <v>46112</v>
      </c>
    </row>
    <row r="1256">
      <c r="A1256" s="34" t="n">
        <v>46113</v>
      </c>
      <c r="B1256" s="266" t="n">
        <v>1.136669993400574</v>
      </c>
      <c r="C1256" s="34" t="n">
        <v>46113</v>
      </c>
      <c r="D1256" s="15" t="n">
        <v>20.92</v>
      </c>
      <c r="E1256" s="15" t="n">
        <v>36.96</v>
      </c>
      <c r="F1256" s="34" t="n">
        <v>46113</v>
      </c>
      <c r="G1256" s="15" t="n">
        <v>102.5</v>
      </c>
      <c r="H1256" s="15" t="n">
        <v>121.85</v>
      </c>
      <c r="I1256" s="34" t="n">
        <v>46113</v>
      </c>
      <c r="J1256" s="15" t="n">
        <v>19.84</v>
      </c>
      <c r="K1256" s="15" t="n">
        <v>31.6</v>
      </c>
      <c r="L1256" s="34" t="n">
        <v>46113</v>
      </c>
      <c r="M1256" s="15" t="n">
        <v>45.58</v>
      </c>
      <c r="N1256" s="15" t="n">
        <v>55.45</v>
      </c>
      <c r="O1256" s="34" t="n">
        <v>46113</v>
      </c>
      <c r="P1256" s="15" t="n">
        <v>66.45</v>
      </c>
      <c r="Q1256" s="15" t="n">
        <v>71.40000000000001</v>
      </c>
      <c r="R1256" s="34" t="n">
        <v>46113</v>
      </c>
      <c r="S1256" s="15" t="n">
        <v>59.55</v>
      </c>
      <c r="T1256" s="15" t="n">
        <v>99</v>
      </c>
      <c r="U1256" s="34" t="n">
        <v>46113</v>
      </c>
      <c r="Y1256" s="15" t="n">
        <v>84</v>
      </c>
      <c r="Z1256" s="15" t="n">
        <v>76.84</v>
      </c>
      <c r="AA1256" s="34" t="n">
        <v>46113</v>
      </c>
      <c r="AB1256" s="15" t="n">
        <v>11.72</v>
      </c>
      <c r="AC1256" s="15" t="n">
        <v>21.88</v>
      </c>
      <c r="AD1256" s="34" t="n">
        <v>46113</v>
      </c>
      <c r="AE1256" s="15" t="n">
        <v>35.68</v>
      </c>
      <c r="AF1256" s="15" t="n">
        <v>38.09</v>
      </c>
      <c r="AG1256" s="34" t="n">
        <v>46113</v>
      </c>
      <c r="AH1256" s="15" t="n">
        <v>44.24</v>
      </c>
      <c r="AI1256" s="15" t="n">
        <v>45.35</v>
      </c>
      <c r="AJ1256" s="34" t="n">
        <v>46113</v>
      </c>
      <c r="AK1256" s="15" t="n">
        <v>28.4</v>
      </c>
      <c r="AL1256" s="15" t="n">
        <v>73.18000000000001</v>
      </c>
      <c r="AM1256" s="34" t="n">
        <v>46113</v>
      </c>
      <c r="AN1256" s="15" t="n">
        <v>632.5</v>
      </c>
      <c r="AO1256" s="15" t="n">
        <v>405.71</v>
      </c>
      <c r="AP1256" s="34" t="n">
        <v>46113</v>
      </c>
      <c r="AQ1256" s="15" t="n">
        <v>66.90000000000001</v>
      </c>
      <c r="AR1256" s="15" t="n">
        <v>57.73</v>
      </c>
      <c r="AS1256" s="34" t="n">
        <v>46113</v>
      </c>
      <c r="AT1256" s="15" t="n">
        <v>13.87</v>
      </c>
      <c r="AU1256" s="15" t="n">
        <v>16.44</v>
      </c>
      <c r="AV1256" s="34" t="n">
        <v>46113</v>
      </c>
      <c r="AW1256" s="15" t="n">
        <v>37.36</v>
      </c>
      <c r="AX1256" s="15" t="n">
        <v>41.76</v>
      </c>
      <c r="AY1256" s="34" t="n">
        <v>46113</v>
      </c>
      <c r="AZ1256" s="15" t="n">
        <v>29.54</v>
      </c>
      <c r="BA1256" s="15" t="n">
        <v>43.59</v>
      </c>
      <c r="BB1256" s="34" t="n">
        <v>46113</v>
      </c>
      <c r="BC1256" s="15" t="n">
        <v>79</v>
      </c>
      <c r="BD1256" s="15" t="n">
        <v>94.3</v>
      </c>
      <c r="BE1256" s="34" t="n">
        <v>46113</v>
      </c>
      <c r="BF1256" s="15" t="n">
        <v>97.3</v>
      </c>
      <c r="BG1256" s="15" t="n">
        <v>154.27</v>
      </c>
      <c r="BH1256" s="34" t="n">
        <v>46113</v>
      </c>
      <c r="BI1256" s="15" t="n">
        <v>20.76</v>
      </c>
      <c r="BJ1256" s="15" t="n">
        <v>28.62</v>
      </c>
      <c r="BK1256" s="34" t="n">
        <v>46113</v>
      </c>
      <c r="BL1256" s="15" t="n">
        <v>51.3</v>
      </c>
      <c r="BM1256" s="15" t="n">
        <v>86.8</v>
      </c>
      <c r="BN1256" s="34" t="n">
        <v>46113</v>
      </c>
      <c r="BO1256" s="15" t="n">
        <v>12.07</v>
      </c>
      <c r="BP1256" s="15" t="n">
        <v>25.12</v>
      </c>
      <c r="BQ1256" s="34" t="n">
        <v>46113</v>
      </c>
      <c r="BR1256" s="15" t="n">
        <v>21.62</v>
      </c>
      <c r="BS1256" s="15" t="n">
        <v>20.3</v>
      </c>
      <c r="BT1256" s="34" t="n">
        <v>46113</v>
      </c>
      <c r="BU1256" s="15" t="n">
        <v>71.59999999999999</v>
      </c>
      <c r="BV1256" s="15" t="n">
        <v>105.24</v>
      </c>
      <c r="BW1256" s="34" t="n">
        <v>46113</v>
      </c>
      <c r="BX1256" s="15" t="n">
        <v>81.7</v>
      </c>
      <c r="BY1256" s="15" t="n">
        <v>91.76000000000001</v>
      </c>
      <c r="BZ1256" s="34" t="n">
        <v>46113</v>
      </c>
      <c r="CA1256" s="15" t="n">
        <v>15.49</v>
      </c>
      <c r="CB1256" s="15" t="n">
        <v>25.2</v>
      </c>
      <c r="CC1256" s="34" t="n">
        <v>46113</v>
      </c>
      <c r="CD1256" s="15" t="n">
        <v>33.38</v>
      </c>
      <c r="CE1256" s="15" t="n">
        <v>49.98</v>
      </c>
      <c r="CF1256" s="34" t="n">
        <v>46113</v>
      </c>
      <c r="CG1256" s="15" t="n">
        <v>117.8</v>
      </c>
      <c r="CH1256" s="15" t="n">
        <v>152.7</v>
      </c>
      <c r="CI1256" s="34" t="n">
        <v>46113</v>
      </c>
      <c r="CJ1256" s="15" t="n">
        <v>11.25</v>
      </c>
      <c r="CK1256" s="15" t="n">
        <v>19.9</v>
      </c>
      <c r="CL1256" s="34" t="n">
        <v>46113</v>
      </c>
      <c r="CM1256" s="15" t="n">
        <v>81.5</v>
      </c>
      <c r="CN1256" s="15" t="n">
        <v>96.05</v>
      </c>
      <c r="CO1256" s="34" t="n">
        <v>46113</v>
      </c>
      <c r="CP1256" s="15" t="n">
        <v>366</v>
      </c>
      <c r="CQ1256" s="15" t="n">
        <v>255</v>
      </c>
      <c r="CR1256" s="34" t="n">
        <v>46113</v>
      </c>
      <c r="CS1256" s="15" t="n">
        <v>23.78</v>
      </c>
      <c r="CT1256" s="15" t="n">
        <v>38.17</v>
      </c>
      <c r="CU1256" s="34" t="n">
        <v>46113</v>
      </c>
      <c r="CV1256" s="15" t="n">
        <v>216.6</v>
      </c>
      <c r="CW1256" s="15" t="n">
        <v>210.4</v>
      </c>
      <c r="CX1256" s="34" t="n">
        <v>46113</v>
      </c>
      <c r="CY1256" s="15" t="n">
        <v>51.3</v>
      </c>
      <c r="CZ1256" s="15" t="n">
        <v>46.92</v>
      </c>
      <c r="DA1256" s="34" t="n">
        <v>46113</v>
      </c>
      <c r="DB1256" s="15" t="n">
        <v>104.3</v>
      </c>
      <c r="DC1256" s="15" t="n">
        <v>159.76</v>
      </c>
      <c r="DD1256" s="34" t="n">
        <v>46113</v>
      </c>
      <c r="DE1256" s="15" t="n">
        <v>38.54</v>
      </c>
      <c r="DF1256" s="15" t="n">
        <v>42.2</v>
      </c>
      <c r="DG1256" s="34" t="n">
        <v>46113</v>
      </c>
      <c r="DH1256" s="15" t="n">
        <v>171</v>
      </c>
      <c r="DI1256" s="15" t="n">
        <v>129.97</v>
      </c>
      <c r="DJ1256" s="34" t="n">
        <v>46113</v>
      </c>
      <c r="DK1256" s="15" t="n">
        <v>42.24</v>
      </c>
      <c r="DL1256" s="15" t="n">
        <v>48.4</v>
      </c>
      <c r="DM1256" s="34" t="n">
        <v>46113</v>
      </c>
      <c r="DN1256" s="15" t="n">
        <v>18.7</v>
      </c>
      <c r="DO1256" s="15" t="n">
        <v>23.85</v>
      </c>
      <c r="DP1256" s="34" t="n">
        <v>46113</v>
      </c>
      <c r="DQ1256" s="15" t="n">
        <v>11.43</v>
      </c>
      <c r="DR1256" s="15" t="n">
        <v>20.25</v>
      </c>
      <c r="DS1256" s="34" t="n">
        <v>46113</v>
      </c>
      <c r="DT1256" s="15" t="n">
        <v>62.9</v>
      </c>
      <c r="DU1256" s="15" t="n">
        <v>98.55</v>
      </c>
      <c r="DV1256" s="34" t="n">
        <v>46113</v>
      </c>
      <c r="DW1256" s="15" t="n">
        <v>22.16</v>
      </c>
      <c r="DX1256" s="15" t="n">
        <v>38.58</v>
      </c>
      <c r="DY1256" s="34" t="n">
        <v>46113</v>
      </c>
      <c r="DZ1256" s="15" t="n">
        <v>102.8</v>
      </c>
      <c r="EA1256" s="15" t="n">
        <v>120.35</v>
      </c>
      <c r="EB1256" s="34" t="n">
        <v>46113</v>
      </c>
      <c r="EC1256" s="15" t="n">
        <v>12.83</v>
      </c>
      <c r="ED1256" s="15" t="n">
        <v>20.34</v>
      </c>
      <c r="EE1256" s="34" t="n">
        <v>46113</v>
      </c>
    </row>
    <row r="1257">
      <c r="A1257" s="34" t="n">
        <v>46114</v>
      </c>
      <c r="B1257" s="266" t="n">
        <v>1.140197992324829</v>
      </c>
      <c r="C1257" s="34" t="n">
        <v>46114</v>
      </c>
      <c r="D1257" s="15" t="n">
        <v>21.22</v>
      </c>
      <c r="E1257" s="15" t="n">
        <v>36.45</v>
      </c>
      <c r="F1257" s="34" t="n">
        <v>46114</v>
      </c>
      <c r="G1257" s="15" t="n">
        <v>102.5</v>
      </c>
      <c r="H1257" s="15" t="n">
        <v>126.65</v>
      </c>
      <c r="I1257" s="34" t="n">
        <v>46114</v>
      </c>
      <c r="J1257" s="15" t="n">
        <v>19.26</v>
      </c>
      <c r="K1257" s="15" t="n">
        <v>30.63</v>
      </c>
      <c r="L1257" s="34" t="n">
        <v>46114</v>
      </c>
      <c r="M1257" s="15" t="n">
        <v>46.52</v>
      </c>
      <c r="N1257" s="15" t="n">
        <v>56.17</v>
      </c>
      <c r="O1257" s="34" t="n">
        <v>46114</v>
      </c>
      <c r="P1257" s="15" t="n">
        <v>66.55</v>
      </c>
      <c r="Q1257" s="15" t="n">
        <v>70</v>
      </c>
      <c r="R1257" s="34" t="n">
        <v>46114</v>
      </c>
      <c r="S1257" s="15" t="n">
        <v>63.5</v>
      </c>
      <c r="T1257" s="15" t="n">
        <v>103.5</v>
      </c>
      <c r="U1257" s="34" t="n">
        <v>46114</v>
      </c>
      <c r="Y1257" s="15" t="n">
        <v>84.2</v>
      </c>
      <c r="Z1257" s="15" t="n">
        <v>77.37</v>
      </c>
      <c r="AA1257" s="34" t="n">
        <v>46114</v>
      </c>
      <c r="AB1257" s="15" t="n">
        <v>11.98</v>
      </c>
      <c r="AC1257" s="15" t="n">
        <v>22.15</v>
      </c>
      <c r="AD1257" s="34" t="n">
        <v>46114</v>
      </c>
      <c r="AE1257" s="15" t="n">
        <v>35.5</v>
      </c>
      <c r="AF1257" s="15" t="n">
        <v>38.14</v>
      </c>
      <c r="AG1257" s="34" t="n">
        <v>46114</v>
      </c>
      <c r="AH1257" s="15" t="n">
        <v>41.88</v>
      </c>
      <c r="AI1257" s="15" t="n">
        <v>45</v>
      </c>
      <c r="AJ1257" s="34" t="n">
        <v>46114</v>
      </c>
      <c r="AK1257" s="15" t="n">
        <v>27.08</v>
      </c>
      <c r="AL1257" s="15" t="n">
        <v>71.61</v>
      </c>
      <c r="AM1257" s="34" t="n">
        <v>46114</v>
      </c>
      <c r="AN1257" s="15" t="n">
        <v>627.5</v>
      </c>
      <c r="AO1257" s="15" t="n">
        <v>401.17</v>
      </c>
      <c r="AP1257" s="34" t="n">
        <v>46114</v>
      </c>
      <c r="AQ1257" s="15" t="n">
        <v>66.65000000000001</v>
      </c>
      <c r="AR1257" s="15" t="n">
        <v>57.37</v>
      </c>
      <c r="AS1257" s="34" t="n">
        <v>46114</v>
      </c>
      <c r="AT1257" s="15" t="n">
        <v>12.8</v>
      </c>
      <c r="AU1257" s="15" t="n">
        <v>16.1</v>
      </c>
      <c r="AV1257" s="34" t="n">
        <v>46114</v>
      </c>
      <c r="AW1257" s="15" t="n">
        <v>38.14</v>
      </c>
      <c r="AX1257" s="15" t="n">
        <v>42.22</v>
      </c>
      <c r="AY1257" s="34" t="n">
        <v>46114</v>
      </c>
      <c r="AZ1257" s="15" t="n">
        <v>29.8</v>
      </c>
      <c r="BA1257" s="15" t="n">
        <v>42.81</v>
      </c>
      <c r="BB1257" s="34" t="n">
        <v>46114</v>
      </c>
      <c r="BC1257" s="15" t="n">
        <v>80.7</v>
      </c>
      <c r="BD1257" s="15" t="n">
        <v>96.37</v>
      </c>
      <c r="BE1257" s="34" t="n">
        <v>46114</v>
      </c>
      <c r="BF1257" s="15" t="n">
        <v>93.34999999999999</v>
      </c>
      <c r="BG1257" s="15" t="n">
        <v>146.99</v>
      </c>
      <c r="BH1257" s="34" t="n">
        <v>46114</v>
      </c>
      <c r="BI1257" s="15" t="n">
        <v>18.81</v>
      </c>
      <c r="BJ1257" s="15" t="n">
        <v>27.48</v>
      </c>
      <c r="BK1257" s="34" t="n">
        <v>46114</v>
      </c>
      <c r="BL1257" s="15" t="n">
        <v>49.86</v>
      </c>
      <c r="BM1257" s="15" t="n">
        <v>85.55</v>
      </c>
      <c r="BN1257" s="34" t="n">
        <v>46114</v>
      </c>
      <c r="BO1257" s="15" t="n">
        <v>11.99</v>
      </c>
      <c r="BP1257" s="15" t="n">
        <v>24.02</v>
      </c>
      <c r="BQ1257" s="34" t="n">
        <v>46114</v>
      </c>
      <c r="BR1257" s="15" t="n">
        <v>20.9</v>
      </c>
      <c r="BS1257" s="15" t="n">
        <v>20.07</v>
      </c>
      <c r="BT1257" s="34" t="n">
        <v>46114</v>
      </c>
      <c r="BU1257" s="15" t="n">
        <v>69.34999999999999</v>
      </c>
      <c r="BV1257" s="15" t="n">
        <v>102.23</v>
      </c>
      <c r="BW1257" s="34" t="n">
        <v>46114</v>
      </c>
      <c r="BX1257" s="15" t="n">
        <v>78.8</v>
      </c>
      <c r="BY1257" s="15" t="n">
        <v>89.08</v>
      </c>
      <c r="BZ1257" s="34" t="n">
        <v>46114</v>
      </c>
      <c r="CA1257" s="15" t="n">
        <v>15.6</v>
      </c>
      <c r="CB1257" s="15" t="n">
        <v>25.23</v>
      </c>
      <c r="CC1257" s="34" t="n">
        <v>46114</v>
      </c>
      <c r="CD1257" s="15" t="n">
        <v>33</v>
      </c>
      <c r="CE1257" s="15" t="n">
        <v>47.89</v>
      </c>
      <c r="CF1257" s="34" t="n">
        <v>46114</v>
      </c>
      <c r="CG1257" s="15" t="n">
        <v>117</v>
      </c>
      <c r="CH1257" s="15" t="n">
        <v>151.09</v>
      </c>
      <c r="CI1257" s="34" t="n">
        <v>46114</v>
      </c>
      <c r="CJ1257" s="15" t="n">
        <v>10.6</v>
      </c>
      <c r="CK1257" s="15" t="n">
        <v>19.02</v>
      </c>
      <c r="CL1257" s="34" t="n">
        <v>46114</v>
      </c>
      <c r="CM1257" s="15" t="n">
        <v>76.65000000000001</v>
      </c>
      <c r="CN1257" s="15" t="n">
        <v>91.34999999999999</v>
      </c>
      <c r="CO1257" s="34" t="n">
        <v>46114</v>
      </c>
      <c r="CP1257" s="15" t="n">
        <v>346</v>
      </c>
      <c r="CQ1257" s="15" t="n">
        <v>246.99</v>
      </c>
      <c r="CR1257" s="34" t="n">
        <v>46114</v>
      </c>
      <c r="CS1257" s="15" t="n">
        <v>23.2</v>
      </c>
      <c r="CT1257" s="15" t="n">
        <v>37.22</v>
      </c>
      <c r="CU1257" s="34" t="n">
        <v>46114</v>
      </c>
      <c r="CV1257" s="15" t="n">
        <v>203.6</v>
      </c>
      <c r="CW1257" s="15" t="n">
        <v>206.88</v>
      </c>
      <c r="CX1257" s="34" t="n">
        <v>46114</v>
      </c>
      <c r="CY1257" s="15" t="n">
        <v>50</v>
      </c>
      <c r="CZ1257" s="15" t="n">
        <v>46</v>
      </c>
      <c r="DA1257" s="34" t="n">
        <v>46114</v>
      </c>
      <c r="DB1257" s="15" t="n">
        <v>107</v>
      </c>
      <c r="DC1257" s="15" t="n">
        <v>157.05</v>
      </c>
      <c r="DD1257" s="34" t="n">
        <v>46114</v>
      </c>
      <c r="DE1257" s="15" t="n">
        <v>40.2</v>
      </c>
      <c r="DF1257" s="15" t="n">
        <v>43.65</v>
      </c>
      <c r="DG1257" s="34" t="n">
        <v>46114</v>
      </c>
      <c r="DH1257" s="15" t="n">
        <v>175</v>
      </c>
      <c r="DI1257" s="15" t="n">
        <v>129</v>
      </c>
      <c r="DJ1257" s="34" t="n">
        <v>46114</v>
      </c>
      <c r="DK1257" s="15" t="n">
        <v>42.4</v>
      </c>
      <c r="DL1257" s="15" t="n">
        <v>47.19</v>
      </c>
      <c r="DM1257" s="34" t="n">
        <v>46114</v>
      </c>
      <c r="DN1257" s="15" t="n">
        <v>18.37</v>
      </c>
      <c r="DO1257" s="15" t="n">
        <v>23.18</v>
      </c>
      <c r="DP1257" s="34" t="n">
        <v>46114</v>
      </c>
      <c r="DQ1257" s="15" t="n">
        <v>11.86</v>
      </c>
      <c r="DR1257" s="15" t="n">
        <v>19.78</v>
      </c>
      <c r="DS1257" s="34" t="n">
        <v>46114</v>
      </c>
      <c r="DT1257" s="15" t="n">
        <v>57.15</v>
      </c>
      <c r="DU1257" s="15" t="n">
        <v>95.75</v>
      </c>
      <c r="DV1257" s="34" t="n">
        <v>46114</v>
      </c>
      <c r="DW1257" s="15" t="n">
        <v>21.92</v>
      </c>
      <c r="DX1257" s="15" t="n">
        <v>36.78</v>
      </c>
      <c r="DY1257" s="34" t="n">
        <v>46114</v>
      </c>
      <c r="DZ1257" s="15" t="n">
        <v>99.34999999999999</v>
      </c>
      <c r="EA1257" s="15" t="n">
        <v>115.79</v>
      </c>
      <c r="EB1257" s="34" t="n">
        <v>46114</v>
      </c>
      <c r="EC1257" s="15" t="n">
        <v>12.49</v>
      </c>
      <c r="ED1257" s="15" t="n">
        <v>19.52</v>
      </c>
      <c r="EE1257" s="34" t="n">
        <v>46114</v>
      </c>
    </row>
    <row r="1258">
      <c r="A1258" s="34" t="n">
        <v>46120</v>
      </c>
      <c r="B1258" s="266" t="n">
        <v>1.1423499584198</v>
      </c>
      <c r="C1258" s="34" t="n">
        <v>46120</v>
      </c>
      <c r="D1258" s="15" t="n">
        <v>21.22</v>
      </c>
      <c r="E1258" s="15" t="n">
        <v>35.95</v>
      </c>
      <c r="F1258" s="34" t="n">
        <v>46120</v>
      </c>
      <c r="G1258" s="15" t="n">
        <v>96.5</v>
      </c>
      <c r="H1258" s="15" t="n">
        <v>118.72</v>
      </c>
      <c r="I1258" s="34" t="n">
        <v>46120</v>
      </c>
      <c r="J1258" s="15" t="n">
        <v>20.7</v>
      </c>
      <c r="K1258" s="15" t="n">
        <v>32.47</v>
      </c>
      <c r="L1258" s="34" t="n">
        <v>46120</v>
      </c>
      <c r="M1258" s="15" t="n">
        <v>49.12</v>
      </c>
      <c r="N1258" s="15" t="n">
        <v>58.27</v>
      </c>
      <c r="O1258" s="34" t="n">
        <v>46120</v>
      </c>
      <c r="P1258" s="15" t="n">
        <v>67.90000000000001</v>
      </c>
      <c r="Q1258" s="15" t="n">
        <v>69.98999999999999</v>
      </c>
      <c r="R1258" s="34" t="n">
        <v>46120</v>
      </c>
      <c r="S1258" s="15" t="n">
        <v>63.1</v>
      </c>
      <c r="T1258" s="15" t="n">
        <v>110.29</v>
      </c>
      <c r="U1258" s="34" t="n">
        <v>46120</v>
      </c>
      <c r="Y1258" s="15" t="n">
        <v>85.45</v>
      </c>
      <c r="Z1258" s="15" t="n">
        <v>76.73</v>
      </c>
      <c r="AA1258" s="34" t="n">
        <v>46120</v>
      </c>
      <c r="AB1258" s="15" t="n">
        <v>12.78</v>
      </c>
      <c r="AC1258" s="15" t="n">
        <v>22.41</v>
      </c>
      <c r="AD1258" s="34" t="n">
        <v>46120</v>
      </c>
      <c r="AE1258" s="15" t="n">
        <v>35.66</v>
      </c>
      <c r="AF1258" s="15" t="n">
        <v>37.95</v>
      </c>
      <c r="AG1258" s="34" t="n">
        <v>46120</v>
      </c>
      <c r="AH1258" s="15" t="n">
        <v>45.32</v>
      </c>
      <c r="AI1258" s="15" t="n">
        <v>47.36</v>
      </c>
      <c r="AJ1258" s="34" t="n">
        <v>46120</v>
      </c>
      <c r="AK1258" s="15" t="n">
        <v>28.46</v>
      </c>
      <c r="AL1258" s="15" t="n">
        <v>72.92</v>
      </c>
      <c r="AM1258" s="34" t="n">
        <v>46120</v>
      </c>
      <c r="AN1258" s="15" t="n">
        <v>639.5</v>
      </c>
      <c r="AO1258" s="15" t="n">
        <v>391.3</v>
      </c>
      <c r="AP1258" s="34" t="n">
        <v>46120</v>
      </c>
      <c r="AQ1258" s="15" t="n">
        <v>66.65000000000001</v>
      </c>
      <c r="AR1258" s="15" t="n">
        <v>57.45</v>
      </c>
      <c r="AS1258" s="34" t="n">
        <v>46120</v>
      </c>
      <c r="AT1258" s="15" t="n">
        <v>13.42</v>
      </c>
      <c r="AU1258" s="15" t="n">
        <v>16.58</v>
      </c>
      <c r="AV1258" s="34" t="n">
        <v>46120</v>
      </c>
      <c r="AW1258" s="15" t="n">
        <v>37.8</v>
      </c>
      <c r="AX1258" s="15" t="n">
        <v>41.15</v>
      </c>
      <c r="AY1258" s="34" t="n">
        <v>46120</v>
      </c>
      <c r="AZ1258" s="15" t="n">
        <v>31.2</v>
      </c>
      <c r="BA1258" s="15" t="n">
        <v>44.28</v>
      </c>
      <c r="BB1258" s="34" t="n">
        <v>46120</v>
      </c>
      <c r="BC1258" s="15" t="n">
        <v>83.09999999999999</v>
      </c>
      <c r="BD1258" s="15" t="n">
        <v>96.5</v>
      </c>
      <c r="BE1258" s="34" t="n">
        <v>46120</v>
      </c>
      <c r="BF1258" s="15" t="n">
        <v>100.3</v>
      </c>
      <c r="BG1258" s="15" t="n">
        <v>154.67</v>
      </c>
      <c r="BH1258" s="34" t="n">
        <v>46120</v>
      </c>
      <c r="BI1258" s="15" t="n">
        <v>20.78</v>
      </c>
      <c r="BJ1258" s="15" t="n">
        <v>29.97</v>
      </c>
      <c r="BK1258" s="34" t="n">
        <v>46120</v>
      </c>
      <c r="BL1258" s="15" t="n">
        <v>56.05</v>
      </c>
      <c r="BM1258" s="15" t="n">
        <v>91.62</v>
      </c>
      <c r="BN1258" s="34" t="n">
        <v>46120</v>
      </c>
      <c r="BO1258" s="15" t="n">
        <v>13.16</v>
      </c>
      <c r="BP1258" s="15" t="n">
        <v>25.37</v>
      </c>
      <c r="BQ1258" s="34" t="n">
        <v>46120</v>
      </c>
      <c r="BR1258" s="15" t="n">
        <v>22.68</v>
      </c>
      <c r="BS1258" s="15" t="n">
        <v>20.86</v>
      </c>
      <c r="BT1258" s="34" t="n">
        <v>46120</v>
      </c>
      <c r="BU1258" s="15" t="n">
        <v>81.25</v>
      </c>
      <c r="BV1258" s="15" t="n">
        <v>111.55</v>
      </c>
      <c r="BW1258" s="34" t="n">
        <v>46120</v>
      </c>
      <c r="BX1258" s="15" t="n">
        <v>82</v>
      </c>
      <c r="BY1258" s="15" t="n">
        <v>90</v>
      </c>
      <c r="BZ1258" s="34" t="n">
        <v>46120</v>
      </c>
      <c r="CA1258" s="15" t="n">
        <v>16.36</v>
      </c>
      <c r="CB1258" s="15" t="n">
        <v>26.18</v>
      </c>
      <c r="CC1258" s="34" t="n">
        <v>46120</v>
      </c>
      <c r="CD1258" s="15" t="n">
        <v>36.36</v>
      </c>
      <c r="CE1258" s="15" t="n">
        <v>50.5</v>
      </c>
      <c r="CF1258" s="34" t="n">
        <v>46120</v>
      </c>
      <c r="CG1258" s="15" t="n">
        <v>125.7</v>
      </c>
      <c r="CH1258" s="15" t="n">
        <v>156.9</v>
      </c>
      <c r="CI1258" s="34" t="n">
        <v>46120</v>
      </c>
      <c r="CJ1258" s="15" t="n">
        <v>11</v>
      </c>
      <c r="CK1258" s="15" t="n">
        <v>17.82</v>
      </c>
      <c r="CL1258" s="34" t="n">
        <v>46120</v>
      </c>
      <c r="CM1258" s="15" t="n">
        <v>81.8</v>
      </c>
      <c r="CN1258" s="15" t="n">
        <v>95.45</v>
      </c>
      <c r="CO1258" s="34" t="n">
        <v>46120</v>
      </c>
      <c r="CP1258" s="15" t="n">
        <v>366</v>
      </c>
      <c r="CQ1258" s="15" t="n">
        <v>255.96</v>
      </c>
      <c r="CR1258" s="34" t="n">
        <v>46120</v>
      </c>
      <c r="CS1258" s="15" t="n">
        <v>24.5</v>
      </c>
      <c r="CT1258" s="15" t="n">
        <v>38.72</v>
      </c>
      <c r="CU1258" s="34" t="n">
        <v>46120</v>
      </c>
      <c r="CV1258" s="15" t="n">
        <v>206.8</v>
      </c>
      <c r="CW1258" s="15" t="n">
        <v>206.33</v>
      </c>
      <c r="CX1258" s="34" t="n">
        <v>46120</v>
      </c>
      <c r="CY1258" s="15" t="n">
        <v>49.4</v>
      </c>
      <c r="CZ1258" s="15" t="n">
        <v>48.56</v>
      </c>
      <c r="DA1258" s="34" t="n">
        <v>46120</v>
      </c>
      <c r="DB1258" s="15" t="n">
        <v>119.8</v>
      </c>
      <c r="DC1258" s="15" t="n">
        <v>174.73</v>
      </c>
      <c r="DD1258" s="34" t="n">
        <v>46120</v>
      </c>
      <c r="DE1258" s="15" t="n">
        <v>40.4</v>
      </c>
      <c r="DF1258" s="15" t="n">
        <v>44.34</v>
      </c>
      <c r="DG1258" s="34" t="n">
        <v>46120</v>
      </c>
      <c r="DH1258" s="15" t="n">
        <v>200</v>
      </c>
      <c r="DI1258" s="15" t="n">
        <v>139.21</v>
      </c>
      <c r="DJ1258" s="34" t="n">
        <v>46120</v>
      </c>
      <c r="DK1258" s="15" t="n">
        <v>47.7</v>
      </c>
      <c r="DL1258" s="15" t="n">
        <v>50.91</v>
      </c>
      <c r="DM1258" s="34" t="n">
        <v>46120</v>
      </c>
      <c r="DN1258" s="15" t="n">
        <v>19.9</v>
      </c>
      <c r="DO1258" s="15" t="n">
        <v>24.43</v>
      </c>
      <c r="DP1258" s="34" t="n">
        <v>46120</v>
      </c>
      <c r="DQ1258" s="15" t="n">
        <v>12.87</v>
      </c>
      <c r="DR1258" s="15" t="n">
        <v>20.5</v>
      </c>
      <c r="DS1258" s="34" t="n">
        <v>46120</v>
      </c>
      <c r="DT1258" s="15" t="n">
        <v>66.7</v>
      </c>
      <c r="DU1258" s="15" t="n">
        <v>99.12</v>
      </c>
      <c r="DV1258" s="34" t="n">
        <v>46120</v>
      </c>
      <c r="DW1258" s="15" t="n">
        <v>22.76</v>
      </c>
      <c r="DX1258" s="15" t="n">
        <v>38.4</v>
      </c>
      <c r="DY1258" s="34" t="n">
        <v>46120</v>
      </c>
      <c r="DZ1258" s="15" t="n">
        <v>121</v>
      </c>
      <c r="EA1258" s="15" t="n">
        <v>125.62</v>
      </c>
      <c r="EB1258" s="34" t="n">
        <v>46120</v>
      </c>
      <c r="EC1258" s="15" t="n">
        <v>12.78</v>
      </c>
      <c r="ED1258" s="15" t="n">
        <v>20.68</v>
      </c>
      <c r="EE1258" s="34" t="n">
        <v>46120</v>
      </c>
    </row>
    <row r="1259">
      <c r="A1259" s="34" t="n">
        <v>46121</v>
      </c>
      <c r="B1259" s="266" t="n">
        <v>1.146731972694397</v>
      </c>
      <c r="C1259" s="34" t="n">
        <v>46121</v>
      </c>
      <c r="D1259" s="15" t="n">
        <v>21.68</v>
      </c>
      <c r="E1259" s="15" t="n">
        <v>37</v>
      </c>
      <c r="F1259" s="34" t="n">
        <v>46121</v>
      </c>
      <c r="G1259" s="15" t="n">
        <v>98.34999999999999</v>
      </c>
      <c r="H1259" s="15" t="n">
        <v>121.25</v>
      </c>
      <c r="I1259" s="34" t="n">
        <v>46121</v>
      </c>
      <c r="J1259" s="15" t="n">
        <v>21.6</v>
      </c>
      <c r="K1259" s="15" t="n">
        <v>32.7</v>
      </c>
      <c r="L1259" s="34" t="n">
        <v>46121</v>
      </c>
      <c r="M1259" s="15" t="n">
        <v>49.42</v>
      </c>
      <c r="N1259" s="15" t="n">
        <v>57.65</v>
      </c>
      <c r="O1259" s="34" t="n">
        <v>46121</v>
      </c>
      <c r="P1259" s="15" t="n">
        <v>64.84999999999999</v>
      </c>
      <c r="Q1259" s="15" t="n">
        <v>67.89</v>
      </c>
      <c r="R1259" s="34" t="n">
        <v>46121</v>
      </c>
      <c r="S1259" s="15" t="n">
        <v>61.7</v>
      </c>
      <c r="T1259" s="15" t="n">
        <v>103.31</v>
      </c>
      <c r="U1259" s="34" t="n">
        <v>46121</v>
      </c>
      <c r="Y1259" s="15" t="n">
        <v>85.59999999999999</v>
      </c>
      <c r="Z1259" s="15" t="n">
        <v>76.52</v>
      </c>
      <c r="AA1259" s="34" t="n">
        <v>46121</v>
      </c>
      <c r="AB1259" s="15" t="n">
        <v>12.48</v>
      </c>
      <c r="AC1259" s="15" t="n">
        <v>22.03</v>
      </c>
      <c r="AD1259" s="34" t="n">
        <v>46121</v>
      </c>
      <c r="AE1259" s="15" t="n">
        <v>35.44</v>
      </c>
      <c r="AF1259" s="15" t="n">
        <v>37.53</v>
      </c>
      <c r="AG1259" s="34" t="n">
        <v>46121</v>
      </c>
      <c r="AH1259" s="15" t="n">
        <v>43.24</v>
      </c>
      <c r="AI1259" s="15" t="n">
        <v>45.85</v>
      </c>
      <c r="AJ1259" s="34" t="n">
        <v>46121</v>
      </c>
      <c r="AK1259" s="15" t="n">
        <v>29.12</v>
      </c>
      <c r="AL1259" s="15" t="n">
        <v>75.53</v>
      </c>
      <c r="AM1259" s="34" t="n">
        <v>46121</v>
      </c>
      <c r="AN1259" s="15" t="n">
        <v>633</v>
      </c>
      <c r="AO1259" s="15" t="n">
        <v>389.99</v>
      </c>
      <c r="AP1259" s="34" t="n">
        <v>46121</v>
      </c>
      <c r="AQ1259" s="15" t="n">
        <v>66.65000000000001</v>
      </c>
      <c r="AR1259" s="15" t="n">
        <v>56.96</v>
      </c>
      <c r="AS1259" s="34" t="n">
        <v>46121</v>
      </c>
      <c r="AT1259" s="15" t="n">
        <v>13.14</v>
      </c>
      <c r="AU1259" s="15" t="n">
        <v>16.11</v>
      </c>
      <c r="AV1259" s="34" t="n">
        <v>46121</v>
      </c>
      <c r="AW1259" s="15" t="n">
        <v>37.44</v>
      </c>
      <c r="AX1259" s="15" t="n">
        <v>41.15</v>
      </c>
      <c r="AY1259" s="34" t="n">
        <v>46121</v>
      </c>
      <c r="AZ1259" s="15" t="n">
        <v>30.82</v>
      </c>
      <c r="BA1259" s="15" t="n">
        <v>43.78</v>
      </c>
      <c r="BB1259" s="34" t="n">
        <v>46121</v>
      </c>
      <c r="BC1259" s="15" t="n">
        <v>83.75</v>
      </c>
      <c r="BD1259" s="15" t="n">
        <v>97.83</v>
      </c>
      <c r="BE1259" s="34" t="n">
        <v>46121</v>
      </c>
      <c r="BF1259" s="15" t="n">
        <v>101</v>
      </c>
      <c r="BG1259" s="15" t="n">
        <v>156.64</v>
      </c>
      <c r="BH1259" s="34" t="n">
        <v>46121</v>
      </c>
      <c r="BI1259" s="15" t="n">
        <v>20.32</v>
      </c>
      <c r="BJ1259" s="15" t="n">
        <v>29.67</v>
      </c>
      <c r="BK1259" s="34" t="n">
        <v>46121</v>
      </c>
      <c r="BL1259" s="15" t="n">
        <v>56.1</v>
      </c>
      <c r="BM1259" s="15" t="n">
        <v>90.28</v>
      </c>
      <c r="BN1259" s="34" t="n">
        <v>46121</v>
      </c>
      <c r="BO1259" s="15" t="n">
        <v>12.86</v>
      </c>
      <c r="BP1259" s="15" t="n">
        <v>25.01</v>
      </c>
      <c r="BQ1259" s="34" t="n">
        <v>46121</v>
      </c>
      <c r="BR1259" s="15" t="n">
        <v>22.32</v>
      </c>
      <c r="BS1259" s="15" t="n">
        <v>20.66</v>
      </c>
      <c r="BT1259" s="34" t="n">
        <v>46121</v>
      </c>
      <c r="BU1259" s="15" t="n">
        <v>80.5</v>
      </c>
      <c r="BV1259" s="15" t="n">
        <v>115.55</v>
      </c>
      <c r="BW1259" s="34" t="n">
        <v>46121</v>
      </c>
      <c r="BX1259" s="15" t="n">
        <v>79.59999999999999</v>
      </c>
      <c r="BY1259" s="15" t="n">
        <v>88.58</v>
      </c>
      <c r="BZ1259" s="34" t="n">
        <v>46121</v>
      </c>
      <c r="CA1259" s="15" t="n">
        <v>16.31</v>
      </c>
      <c r="CB1259" s="15" t="n">
        <v>26.62</v>
      </c>
      <c r="CC1259" s="34" t="n">
        <v>46121</v>
      </c>
      <c r="CD1259" s="15" t="n">
        <v>36.5</v>
      </c>
      <c r="CE1259" s="15" t="n">
        <v>51.2</v>
      </c>
      <c r="CF1259" s="34" t="n">
        <v>46121</v>
      </c>
      <c r="CG1259" s="15" t="n">
        <v>125.1</v>
      </c>
      <c r="CH1259" s="15" t="n">
        <v>153.49</v>
      </c>
      <c r="CI1259" s="34" t="n">
        <v>46121</v>
      </c>
      <c r="CJ1259" s="15" t="n">
        <v>10.9</v>
      </c>
      <c r="CK1259" s="15" t="n">
        <v>17.55</v>
      </c>
      <c r="CL1259" s="34" t="n">
        <v>46121</v>
      </c>
      <c r="CM1259" s="15" t="n">
        <v>80.3</v>
      </c>
      <c r="CN1259" s="15" t="n">
        <v>94.23999999999999</v>
      </c>
      <c r="CO1259" s="34" t="n">
        <v>46121</v>
      </c>
      <c r="CP1259" s="15" t="n">
        <v>350</v>
      </c>
      <c r="CQ1259" s="15" t="n">
        <v>250.49</v>
      </c>
      <c r="CR1259" s="34" t="n">
        <v>46121</v>
      </c>
      <c r="CS1259" s="15" t="n">
        <v>23.82</v>
      </c>
      <c r="CT1259" s="15" t="n">
        <v>38.36</v>
      </c>
      <c r="CU1259" s="34" t="n">
        <v>46121</v>
      </c>
      <c r="CV1259" s="15" t="n">
        <v>205</v>
      </c>
      <c r="CW1259" s="15" t="n">
        <v>201.61</v>
      </c>
      <c r="CX1259" s="34" t="n">
        <v>46121</v>
      </c>
      <c r="CY1259" s="15" t="n">
        <v>50.15</v>
      </c>
      <c r="CZ1259" s="15" t="n">
        <v>48</v>
      </c>
      <c r="DA1259" s="34" t="n">
        <v>46121</v>
      </c>
      <c r="DB1259" s="15" t="n">
        <v>119.8</v>
      </c>
      <c r="DC1259" s="15" t="n">
        <v>182.89</v>
      </c>
      <c r="DD1259" s="34" t="n">
        <v>46121</v>
      </c>
      <c r="DE1259" s="15" t="n">
        <v>39.66</v>
      </c>
      <c r="DF1259" s="15" t="n">
        <v>43.8</v>
      </c>
      <c r="DG1259" s="34" t="n">
        <v>46121</v>
      </c>
      <c r="DH1259" s="15" t="n">
        <v>194.8</v>
      </c>
      <c r="DI1259" s="15" t="n">
        <v>139.17</v>
      </c>
      <c r="DJ1259" s="34" t="n">
        <v>46121</v>
      </c>
      <c r="DK1259" s="15" t="n">
        <v>47.7</v>
      </c>
      <c r="DL1259" s="15" t="n">
        <v>50.28</v>
      </c>
      <c r="DM1259" s="34" t="n">
        <v>46121</v>
      </c>
      <c r="DN1259" s="15" t="n">
        <v>18.97</v>
      </c>
      <c r="DO1259" s="15" t="n">
        <v>24.3</v>
      </c>
      <c r="DP1259" s="34" t="n">
        <v>46121</v>
      </c>
      <c r="DQ1259" s="15" t="n">
        <v>12.57</v>
      </c>
      <c r="DR1259" s="15" t="n">
        <v>20.04</v>
      </c>
      <c r="DS1259" s="34" t="n">
        <v>46121</v>
      </c>
      <c r="DT1259" s="15" t="n">
        <v>65</v>
      </c>
      <c r="DU1259" s="15" t="n">
        <v>97.47</v>
      </c>
      <c r="DV1259" s="34" t="n">
        <v>46121</v>
      </c>
      <c r="DW1259" s="15" t="n">
        <v>21.8</v>
      </c>
      <c r="DX1259" s="15" t="n">
        <v>37.79</v>
      </c>
      <c r="DY1259" s="34" t="n">
        <v>46121</v>
      </c>
      <c r="DZ1259" s="15" t="n">
        <v>117.8</v>
      </c>
      <c r="EA1259" s="15" t="n">
        <v>127.12</v>
      </c>
      <c r="EB1259" s="34" t="n">
        <v>46121</v>
      </c>
      <c r="EC1259" s="15" t="n">
        <v>13.2</v>
      </c>
      <c r="ED1259" s="15" t="n">
        <v>22.34</v>
      </c>
      <c r="EE1259" s="34" t="n">
        <v>46121</v>
      </c>
    </row>
    <row r="1260">
      <c r="A1260" s="34" t="n">
        <v>46122</v>
      </c>
      <c r="B1260" s="266" t="n">
        <v>1.146558046340942</v>
      </c>
      <c r="C1260" s="34" t="n">
        <v>46122</v>
      </c>
      <c r="D1260" s="15" t="n">
        <v>22.48</v>
      </c>
      <c r="E1260" s="15" t="n">
        <v>38.28</v>
      </c>
      <c r="F1260" s="34" t="n">
        <v>46122</v>
      </c>
      <c r="G1260" s="15" t="n">
        <v>96.8</v>
      </c>
      <c r="H1260" s="15" t="n">
        <v>121.27</v>
      </c>
      <c r="I1260" s="34" t="n">
        <v>46122</v>
      </c>
      <c r="J1260" s="15" t="n">
        <v>21.48</v>
      </c>
      <c r="K1260" s="15" t="n">
        <v>32.68</v>
      </c>
      <c r="L1260" s="34" t="n">
        <v>46122</v>
      </c>
      <c r="M1260" s="15" t="n">
        <v>50.35</v>
      </c>
      <c r="N1260" s="15" t="n">
        <v>59.64</v>
      </c>
      <c r="O1260" s="34" t="n">
        <v>46122</v>
      </c>
      <c r="P1260" s="15" t="n">
        <v>64.95</v>
      </c>
      <c r="Q1260" s="15" t="n">
        <v>69.04000000000001</v>
      </c>
      <c r="R1260" s="34" t="n">
        <v>46122</v>
      </c>
      <c r="S1260" s="15" t="n">
        <v>60</v>
      </c>
      <c r="T1260" s="15" t="n">
        <v>101.13</v>
      </c>
      <c r="U1260" s="34" t="n">
        <v>46122</v>
      </c>
      <c r="Y1260" s="15" t="n">
        <v>85.90000000000001</v>
      </c>
      <c r="Z1260" s="15" t="n">
        <v>76.41</v>
      </c>
      <c r="AA1260" s="34" t="n">
        <v>46122</v>
      </c>
      <c r="AB1260" s="15" t="n">
        <v>13.08</v>
      </c>
      <c r="AC1260" s="15" t="n">
        <v>22.1</v>
      </c>
      <c r="AD1260" s="34" t="n">
        <v>46122</v>
      </c>
      <c r="AE1260" s="15" t="n">
        <v>35.5</v>
      </c>
      <c r="AF1260" s="15" t="n">
        <v>37.35</v>
      </c>
      <c r="AG1260" s="34" t="n">
        <v>46122</v>
      </c>
      <c r="AH1260" s="15" t="n">
        <v>42.1</v>
      </c>
      <c r="AI1260" s="15" t="n">
        <v>45.08</v>
      </c>
      <c r="AJ1260" s="34" t="n">
        <v>46122</v>
      </c>
      <c r="AK1260" s="15" t="n">
        <v>29.4</v>
      </c>
      <c r="AL1260" s="15" t="n">
        <v>74.09999999999999</v>
      </c>
      <c r="AM1260" s="34" t="n">
        <v>46122</v>
      </c>
      <c r="AN1260" s="15" t="n">
        <v>681.5</v>
      </c>
      <c r="AO1260" s="15" t="n">
        <v>416</v>
      </c>
      <c r="AP1260" s="34" t="n">
        <v>46122</v>
      </c>
      <c r="AQ1260" s="15" t="n">
        <v>67.5</v>
      </c>
      <c r="AR1260" s="15" t="n">
        <v>57.06</v>
      </c>
      <c r="AS1260" s="34" t="n">
        <v>46122</v>
      </c>
      <c r="AT1260" s="15" t="n">
        <v>13.08</v>
      </c>
      <c r="AU1260" s="15" t="n">
        <v>16.23</v>
      </c>
      <c r="AV1260" s="34" t="n">
        <v>46122</v>
      </c>
      <c r="AW1260" s="15" t="n">
        <v>37.82</v>
      </c>
      <c r="AX1260" s="15" t="n">
        <v>41.35</v>
      </c>
      <c r="AY1260" s="34" t="n">
        <v>46122</v>
      </c>
      <c r="AZ1260" s="15" t="n">
        <v>30.84</v>
      </c>
      <c r="BA1260" s="15" t="n">
        <v>44.87</v>
      </c>
      <c r="BB1260" s="34" t="n">
        <v>46122</v>
      </c>
      <c r="BC1260" s="15" t="n">
        <v>79.65000000000001</v>
      </c>
      <c r="BD1260" s="15" t="n">
        <v>96.91</v>
      </c>
      <c r="BE1260" s="34" t="n">
        <v>46122</v>
      </c>
      <c r="BF1260" s="15" t="n">
        <v>109</v>
      </c>
      <c r="BG1260" s="15" t="n">
        <v>170.48</v>
      </c>
      <c r="BH1260" s="34" t="n">
        <v>46122</v>
      </c>
      <c r="BI1260" s="15" t="n">
        <v>20.56</v>
      </c>
      <c r="BJ1260" s="15" t="n">
        <v>30.13</v>
      </c>
      <c r="BK1260" s="34" t="n">
        <v>46122</v>
      </c>
      <c r="BL1260" s="15" t="n">
        <v>58.25</v>
      </c>
      <c r="BM1260" s="15" t="n">
        <v>96.90000000000001</v>
      </c>
      <c r="BN1260" s="34" t="n">
        <v>46122</v>
      </c>
      <c r="BO1260" s="15" t="n">
        <v>13.05</v>
      </c>
      <c r="BP1260" s="15" t="n">
        <v>25.24</v>
      </c>
      <c r="BQ1260" s="34" t="n">
        <v>46122</v>
      </c>
      <c r="BR1260" s="15" t="n">
        <v>22.86</v>
      </c>
      <c r="BS1260" s="15" t="n">
        <v>20.66</v>
      </c>
      <c r="BT1260" s="34" t="n">
        <v>46122</v>
      </c>
      <c r="BU1260" s="15" t="n">
        <v>79.15000000000001</v>
      </c>
      <c r="BV1260" s="15" t="n">
        <v>116.24</v>
      </c>
      <c r="BW1260" s="34" t="n">
        <v>46122</v>
      </c>
      <c r="BX1260" s="15" t="n">
        <v>79.95</v>
      </c>
      <c r="BY1260" s="15" t="n">
        <v>90.06999999999999</v>
      </c>
      <c r="BZ1260" s="34" t="n">
        <v>46122</v>
      </c>
      <c r="CA1260" s="15" t="n">
        <v>16.36</v>
      </c>
      <c r="CB1260" s="15" t="n">
        <v>26.33</v>
      </c>
      <c r="CC1260" s="34" t="n">
        <v>46122</v>
      </c>
      <c r="CD1260" s="15" t="n">
        <v>36.6</v>
      </c>
      <c r="CE1260" s="15" t="n">
        <v>52.53</v>
      </c>
      <c r="CF1260" s="34" t="n">
        <v>46122</v>
      </c>
      <c r="CG1260" s="15" t="n">
        <v>124.2</v>
      </c>
      <c r="CH1260" s="15" t="n">
        <v>151.6</v>
      </c>
      <c r="CI1260" s="34" t="n">
        <v>46122</v>
      </c>
      <c r="CJ1260" s="15" t="n">
        <v>11.51</v>
      </c>
      <c r="CK1260" s="15" t="n">
        <v>19.31</v>
      </c>
      <c r="CL1260" s="34" t="n">
        <v>46122</v>
      </c>
      <c r="CM1260" s="15" t="n">
        <v>80.2</v>
      </c>
      <c r="CN1260" s="15" t="n">
        <v>95.34999999999999</v>
      </c>
      <c r="CO1260" s="34" t="n">
        <v>46122</v>
      </c>
      <c r="CP1260" s="15" t="n">
        <v>392.2</v>
      </c>
      <c r="CQ1260" s="15" t="n">
        <v>265.09</v>
      </c>
      <c r="CR1260" s="34" t="n">
        <v>46122</v>
      </c>
      <c r="CS1260" s="15" t="n">
        <v>24.12</v>
      </c>
      <c r="CT1260" s="15" t="n">
        <v>38.55</v>
      </c>
      <c r="CU1260" s="34" t="n">
        <v>46122</v>
      </c>
      <c r="CV1260" s="15" t="n">
        <v>199</v>
      </c>
      <c r="CW1260" s="15" t="n">
        <v>200.12</v>
      </c>
      <c r="CX1260" s="34" t="n">
        <v>46122</v>
      </c>
      <c r="CY1260" s="15" t="n">
        <v>49.56</v>
      </c>
      <c r="CZ1260" s="15" t="n">
        <v>48.27</v>
      </c>
      <c r="DA1260" s="34" t="n">
        <v>46122</v>
      </c>
      <c r="DB1260" s="15" t="n">
        <v>119.8</v>
      </c>
      <c r="DC1260" s="15" t="n">
        <v>181.82</v>
      </c>
      <c r="DD1260" s="34" t="n">
        <v>46122</v>
      </c>
      <c r="DE1260" s="15" t="n">
        <v>40.1</v>
      </c>
      <c r="DF1260" s="15" t="n">
        <v>43.01</v>
      </c>
      <c r="DG1260" s="34" t="n">
        <v>46122</v>
      </c>
      <c r="DH1260" s="15" t="n">
        <v>199.4</v>
      </c>
      <c r="DI1260" s="15" t="n">
        <v>143.53</v>
      </c>
      <c r="DJ1260" s="34" t="n">
        <v>46122</v>
      </c>
      <c r="DK1260" s="15" t="n">
        <v>48.08</v>
      </c>
      <c r="DL1260" s="15" t="n">
        <v>52.31</v>
      </c>
      <c r="DM1260" s="34" t="n">
        <v>46122</v>
      </c>
      <c r="DN1260" s="15" t="n">
        <v>19.25</v>
      </c>
      <c r="DO1260" s="15" t="n">
        <v>24.63</v>
      </c>
      <c r="DP1260" s="34" t="n">
        <v>46122</v>
      </c>
      <c r="DQ1260" s="15" t="n">
        <v>12.79</v>
      </c>
      <c r="DR1260" s="15" t="n">
        <v>20.47</v>
      </c>
      <c r="DS1260" s="34" t="n">
        <v>46122</v>
      </c>
      <c r="DT1260" s="15" t="n">
        <v>65.95</v>
      </c>
      <c r="DU1260" s="15" t="n">
        <v>99.8</v>
      </c>
      <c r="DV1260" s="34" t="n">
        <v>46122</v>
      </c>
      <c r="DW1260" s="15" t="n">
        <v>22.16</v>
      </c>
      <c r="DX1260" s="15" t="n">
        <v>38.54</v>
      </c>
      <c r="DY1260" s="34" t="n">
        <v>46122</v>
      </c>
      <c r="DZ1260" s="15" t="n">
        <v>117.2</v>
      </c>
      <c r="EA1260" s="15" t="n">
        <v>126.81</v>
      </c>
      <c r="EB1260" s="34" t="n">
        <v>46122</v>
      </c>
      <c r="EC1260" s="15" t="n">
        <v>12.68</v>
      </c>
      <c r="ED1260" s="15" t="n">
        <v>21.84</v>
      </c>
      <c r="EE1260" s="34" t="n">
        <v>46122</v>
      </c>
    </row>
    <row r="1261">
      <c r="A1261" s="34" t="n">
        <v>46125</v>
      </c>
      <c r="B1261" s="266" t="n">
        <v>1.147117972373962</v>
      </c>
      <c r="C1261" s="34" t="n">
        <v>46125</v>
      </c>
      <c r="D1261" s="15" t="n">
        <v>21.64</v>
      </c>
      <c r="E1261" s="15" t="n">
        <v>36.34</v>
      </c>
      <c r="F1261" s="34" t="n">
        <v>46125</v>
      </c>
      <c r="G1261" s="15" t="n">
        <v>100</v>
      </c>
      <c r="H1261" s="15" t="n">
        <v>120.96</v>
      </c>
      <c r="I1261" s="34" t="n">
        <v>46125</v>
      </c>
      <c r="J1261" s="15" t="n">
        <v>21.04</v>
      </c>
      <c r="K1261" s="15" t="n">
        <v>32.84</v>
      </c>
      <c r="L1261" s="34" t="n">
        <v>46125</v>
      </c>
      <c r="M1261" s="15" t="n">
        <v>53.8</v>
      </c>
      <c r="N1261" s="15" t="n">
        <v>62.1</v>
      </c>
      <c r="O1261" s="34" t="n">
        <v>46125</v>
      </c>
      <c r="P1261" s="15" t="n">
        <v>64.59999999999999</v>
      </c>
      <c r="Q1261" s="15" t="n">
        <v>68.90000000000001</v>
      </c>
      <c r="R1261" s="34" t="n">
        <v>46125</v>
      </c>
      <c r="S1261" s="15" t="n">
        <v>57</v>
      </c>
      <c r="T1261" s="15" t="n">
        <v>99.59999999999999</v>
      </c>
      <c r="U1261" s="34" t="n">
        <v>46125</v>
      </c>
      <c r="Y1261" s="15" t="n">
        <v>84.40000000000001</v>
      </c>
      <c r="Z1261" s="15" t="n">
        <v>75.78</v>
      </c>
      <c r="AA1261" s="34" t="n">
        <v>46125</v>
      </c>
      <c r="AB1261" s="15" t="n">
        <v>13.05</v>
      </c>
      <c r="AC1261" s="15" t="n">
        <v>22.41</v>
      </c>
      <c r="AD1261" s="34" t="n">
        <v>46125</v>
      </c>
      <c r="AE1261" s="15" t="n">
        <v>35.12</v>
      </c>
      <c r="AF1261" s="15" t="n">
        <v>36.97</v>
      </c>
      <c r="AG1261" s="34" t="n">
        <v>46125</v>
      </c>
      <c r="AH1261" s="15" t="n">
        <v>41.86</v>
      </c>
      <c r="AI1261" s="15" t="n">
        <v>44.18</v>
      </c>
      <c r="AJ1261" s="34" t="n">
        <v>46125</v>
      </c>
      <c r="AK1261" s="15" t="n">
        <v>29.94</v>
      </c>
      <c r="AL1261" s="15" t="n">
        <v>73.09</v>
      </c>
      <c r="AM1261" s="34" t="n">
        <v>46125</v>
      </c>
      <c r="AN1261" s="15" t="n">
        <v>682.5</v>
      </c>
      <c r="AO1261" s="15" t="n">
        <v>427.13</v>
      </c>
      <c r="AP1261" s="34" t="n">
        <v>46125</v>
      </c>
      <c r="AQ1261" s="15" t="n">
        <v>64.7</v>
      </c>
      <c r="AR1261" s="15" t="n">
        <v>55.2</v>
      </c>
      <c r="AS1261" s="34" t="n">
        <v>46125</v>
      </c>
      <c r="AT1261" s="15" t="n">
        <v>13.02</v>
      </c>
      <c r="AU1261" s="15" t="n">
        <v>16.37</v>
      </c>
      <c r="AV1261" s="34" t="n">
        <v>46125</v>
      </c>
      <c r="AW1261" s="15" t="n">
        <v>37.14</v>
      </c>
      <c r="AX1261" s="15" t="n">
        <v>40.99</v>
      </c>
      <c r="AY1261" s="34" t="n">
        <v>46125</v>
      </c>
      <c r="AZ1261" s="15" t="n">
        <v>30.16</v>
      </c>
      <c r="BA1261" s="15" t="n">
        <v>44.45</v>
      </c>
      <c r="BB1261" s="34" t="n">
        <v>46125</v>
      </c>
      <c r="BC1261" s="15" t="n">
        <v>79</v>
      </c>
      <c r="BD1261" s="15" t="n">
        <v>96.18000000000001</v>
      </c>
      <c r="BE1261" s="34" t="n">
        <v>46125</v>
      </c>
      <c r="BF1261" s="15" t="n">
        <v>114</v>
      </c>
      <c r="BG1261" s="15" t="n">
        <v>170.75</v>
      </c>
      <c r="BH1261" s="34" t="n">
        <v>46125</v>
      </c>
      <c r="BI1261" s="15" t="n">
        <v>19.8</v>
      </c>
      <c r="BJ1261" s="15" t="n">
        <v>29.71</v>
      </c>
      <c r="BK1261" s="34" t="n">
        <v>46125</v>
      </c>
      <c r="BL1261" s="15" t="n">
        <v>57.5</v>
      </c>
      <c r="BM1261" s="15" t="n">
        <v>93.31999999999999</v>
      </c>
      <c r="BN1261" s="34" t="n">
        <v>46125</v>
      </c>
      <c r="BO1261" s="15" t="n">
        <v>12.86</v>
      </c>
      <c r="BP1261" s="15" t="n">
        <v>25.15</v>
      </c>
      <c r="BQ1261" s="34" t="n">
        <v>46125</v>
      </c>
      <c r="BR1261" s="15" t="n">
        <v>22.3</v>
      </c>
      <c r="BS1261" s="15" t="n">
        <v>20.36</v>
      </c>
      <c r="BT1261" s="34" t="n">
        <v>46125</v>
      </c>
      <c r="BU1261" s="15" t="n">
        <v>80.90000000000001</v>
      </c>
      <c r="BV1261" s="15" t="n">
        <v>118.58</v>
      </c>
      <c r="BW1261" s="34" t="n">
        <v>46125</v>
      </c>
      <c r="BX1261" s="15" t="n">
        <v>80.5</v>
      </c>
      <c r="BY1261" s="15" t="n">
        <v>90.11</v>
      </c>
      <c r="BZ1261" s="34" t="n">
        <v>46125</v>
      </c>
      <c r="CA1261" s="15" t="n">
        <v>16.09</v>
      </c>
      <c r="CB1261" s="15" t="n">
        <v>25.86</v>
      </c>
      <c r="CC1261" s="34" t="n">
        <v>46125</v>
      </c>
      <c r="CD1261" s="15" t="n">
        <v>38</v>
      </c>
      <c r="CE1261" s="15" t="n">
        <v>54.52</v>
      </c>
      <c r="CF1261" s="34" t="n">
        <v>46125</v>
      </c>
      <c r="CG1261" s="15" t="n">
        <v>121.8</v>
      </c>
      <c r="CH1261" s="15" t="n">
        <v>150.63</v>
      </c>
      <c r="CI1261" s="34" t="n">
        <v>46125</v>
      </c>
      <c r="CJ1261" s="15" t="n">
        <v>10.69</v>
      </c>
      <c r="CK1261" s="15" t="n">
        <v>19.12</v>
      </c>
      <c r="CL1261" s="34" t="n">
        <v>46125</v>
      </c>
      <c r="CM1261" s="15" t="n">
        <v>79.65000000000001</v>
      </c>
      <c r="CN1261" s="15" t="n">
        <v>94.83</v>
      </c>
      <c r="CO1261" s="34" t="n">
        <v>46125</v>
      </c>
      <c r="CP1261" s="15" t="n">
        <v>391.6</v>
      </c>
      <c r="CQ1261" s="15" t="n">
        <v>262.14</v>
      </c>
      <c r="CR1261" s="34" t="n">
        <v>46125</v>
      </c>
      <c r="CS1261" s="15" t="n">
        <v>23.74</v>
      </c>
      <c r="CT1261" s="15" t="n">
        <v>38.34</v>
      </c>
      <c r="CU1261" s="34" t="n">
        <v>46125</v>
      </c>
      <c r="CV1261" s="15" t="n">
        <v>200</v>
      </c>
      <c r="CW1261" s="15" t="n">
        <v>193.95</v>
      </c>
      <c r="CX1261" s="34" t="n">
        <v>46125</v>
      </c>
      <c r="CY1261" s="15" t="n">
        <v>50.7</v>
      </c>
      <c r="CZ1261" s="15" t="n">
        <v>48.45</v>
      </c>
      <c r="DA1261" s="34" t="n">
        <v>46125</v>
      </c>
      <c r="DB1261" s="15" t="n">
        <v>125</v>
      </c>
      <c r="DC1261" s="15" t="n">
        <v>183.25</v>
      </c>
      <c r="DD1261" s="34" t="n">
        <v>46125</v>
      </c>
      <c r="DE1261" s="15" t="n">
        <v>40.88</v>
      </c>
      <c r="DF1261" s="15" t="n">
        <v>44.17</v>
      </c>
      <c r="DG1261" s="34" t="n">
        <v>46125</v>
      </c>
      <c r="DH1261" s="15" t="n">
        <v>213</v>
      </c>
      <c r="DI1261" s="15" t="n">
        <v>152.3</v>
      </c>
      <c r="DJ1261" s="34" t="n">
        <v>46125</v>
      </c>
      <c r="DK1261" s="15" t="n">
        <v>48.1</v>
      </c>
      <c r="DL1261" s="15" t="n">
        <v>53.21</v>
      </c>
      <c r="DM1261" s="34" t="n">
        <v>46125</v>
      </c>
      <c r="DN1261" s="15" t="n">
        <v>19.3</v>
      </c>
      <c r="DO1261" s="15" t="n">
        <v>25.13</v>
      </c>
      <c r="DP1261" s="34" t="n">
        <v>46125</v>
      </c>
      <c r="DQ1261" s="15" t="n">
        <v>13.6</v>
      </c>
      <c r="DR1261" s="15" t="n">
        <v>20.63</v>
      </c>
      <c r="DS1261" s="34" t="n">
        <v>46125</v>
      </c>
      <c r="DT1261" s="15" t="n">
        <v>64.59999999999999</v>
      </c>
      <c r="DU1261" s="15" t="n">
        <v>99.63</v>
      </c>
      <c r="DV1261" s="34" t="n">
        <v>46125</v>
      </c>
      <c r="DW1261" s="15" t="n">
        <v>23.08</v>
      </c>
      <c r="DX1261" s="15" t="n">
        <v>38.5</v>
      </c>
      <c r="DY1261" s="34" t="n">
        <v>46125</v>
      </c>
      <c r="DZ1261" s="15" t="n">
        <v>133.5</v>
      </c>
      <c r="EA1261" s="15" t="n">
        <v>132</v>
      </c>
      <c r="EB1261" s="34" t="n">
        <v>46125</v>
      </c>
      <c r="EC1261" s="15" t="n">
        <v>12.96</v>
      </c>
      <c r="ED1261" s="15" t="n">
        <v>22.72</v>
      </c>
      <c r="EE1261" s="34" t="n">
        <v>46125</v>
      </c>
    </row>
    <row r="1262">
      <c r="A1262" s="34" t="n">
        <v>46126</v>
      </c>
      <c r="B1262" s="266" t="n">
        <v>1.146226048469543</v>
      </c>
      <c r="C1262" s="34" t="n">
        <v>46126</v>
      </c>
      <c r="D1262" s="15" t="n">
        <v>22.84</v>
      </c>
      <c r="E1262" s="15" t="n">
        <v>38.38</v>
      </c>
      <c r="F1262" s="34" t="n">
        <v>46126</v>
      </c>
      <c r="G1262" s="15" t="n">
        <v>100.6</v>
      </c>
      <c r="H1262" s="15" t="n">
        <v>121.33</v>
      </c>
      <c r="I1262" s="34" t="n">
        <v>46126</v>
      </c>
      <c r="J1262" s="15" t="n">
        <v>21</v>
      </c>
      <c r="K1262" s="15" t="n">
        <v>32.73</v>
      </c>
      <c r="L1262" s="34" t="n">
        <v>46126</v>
      </c>
      <c r="M1262" s="15" t="n">
        <v>56.7</v>
      </c>
      <c r="N1262" s="15" t="n">
        <v>64.53</v>
      </c>
      <c r="O1262" s="34" t="n">
        <v>46126</v>
      </c>
      <c r="P1262" s="15" t="n">
        <v>65.09999999999999</v>
      </c>
      <c r="Q1262" s="15" t="n">
        <v>69.08</v>
      </c>
      <c r="R1262" s="34" t="n">
        <v>46126</v>
      </c>
      <c r="S1262" s="15" t="n">
        <v>61.8</v>
      </c>
      <c r="T1262" s="15" t="n">
        <v>102.1</v>
      </c>
      <c r="U1262" s="34" t="n">
        <v>46126</v>
      </c>
      <c r="Y1262" s="15" t="n">
        <v>85.40000000000001</v>
      </c>
      <c r="Z1262" s="15" t="n">
        <v>76.55</v>
      </c>
      <c r="AA1262" s="34" t="n">
        <v>46126</v>
      </c>
      <c r="AB1262" s="15" t="n">
        <v>13.73</v>
      </c>
      <c r="AC1262" s="15" t="n">
        <v>23.68</v>
      </c>
      <c r="AD1262" s="34" t="n">
        <v>46126</v>
      </c>
      <c r="AE1262" s="15" t="n">
        <v>35.76</v>
      </c>
      <c r="AF1262" s="15" t="n">
        <v>37.18</v>
      </c>
      <c r="AG1262" s="34" t="n">
        <v>46126</v>
      </c>
      <c r="AH1262" s="15" t="n">
        <v>41.8</v>
      </c>
      <c r="AI1262" s="15" t="n">
        <v>44.01</v>
      </c>
      <c r="AJ1262" s="34" t="n">
        <v>46126</v>
      </c>
      <c r="AK1262" s="15" t="n">
        <v>30.8</v>
      </c>
      <c r="AL1262" s="15" t="n">
        <v>71.14</v>
      </c>
      <c r="AM1262" s="34" t="n">
        <v>46126</v>
      </c>
      <c r="AN1262" s="15" t="n">
        <v>660</v>
      </c>
      <c r="AO1262" s="15" t="n">
        <v>430.79</v>
      </c>
      <c r="AP1262" s="34" t="n">
        <v>46126</v>
      </c>
      <c r="AQ1262" s="15" t="n">
        <v>65.65000000000001</v>
      </c>
      <c r="AR1262" s="15" t="n">
        <v>56.18</v>
      </c>
      <c r="AS1262" s="34" t="n">
        <v>46126</v>
      </c>
      <c r="AT1262" s="15" t="n">
        <v>12.86</v>
      </c>
      <c r="AU1262" s="15" t="n">
        <v>16.43</v>
      </c>
      <c r="AV1262" s="34" t="n">
        <v>46126</v>
      </c>
      <c r="AW1262" s="15" t="n">
        <v>36.8</v>
      </c>
      <c r="AX1262" s="15" t="n">
        <v>40.77</v>
      </c>
      <c r="AY1262" s="34" t="n">
        <v>46126</v>
      </c>
      <c r="AZ1262" s="15" t="n">
        <v>31.02</v>
      </c>
      <c r="BA1262" s="15" t="n">
        <v>45.54</v>
      </c>
      <c r="BB1262" s="34" t="n">
        <v>46126</v>
      </c>
      <c r="BC1262" s="15" t="n">
        <v>80.65000000000001</v>
      </c>
      <c r="BD1262" s="15" t="n">
        <v>95.5</v>
      </c>
      <c r="BE1262" s="34" t="n">
        <v>46126</v>
      </c>
      <c r="BF1262" s="15" t="n">
        <v>112.7</v>
      </c>
      <c r="BG1262" s="15" t="n">
        <v>169.28</v>
      </c>
      <c r="BH1262" s="34" t="n">
        <v>46126</v>
      </c>
      <c r="BI1262" s="15" t="n">
        <v>20.16</v>
      </c>
      <c r="BJ1262" s="15" t="n">
        <v>30.15</v>
      </c>
      <c r="BK1262" s="34" t="n">
        <v>46126</v>
      </c>
      <c r="BL1262" s="15" t="n">
        <v>56.7</v>
      </c>
      <c r="BM1262" s="15" t="n">
        <v>92.44</v>
      </c>
      <c r="BN1262" s="34" t="n">
        <v>46126</v>
      </c>
      <c r="BO1262" s="15" t="n">
        <v>13.37</v>
      </c>
      <c r="BP1262" s="15" t="n">
        <v>25.36</v>
      </c>
      <c r="BQ1262" s="34" t="n">
        <v>46126</v>
      </c>
      <c r="BR1262" s="15" t="n">
        <v>22.5</v>
      </c>
      <c r="BS1262" s="15" t="n">
        <v>20.86</v>
      </c>
      <c r="BT1262" s="34" t="n">
        <v>46126</v>
      </c>
      <c r="BU1262" s="15" t="n">
        <v>89.15000000000001</v>
      </c>
      <c r="BV1262" s="15" t="n">
        <v>120.62</v>
      </c>
      <c r="BW1262" s="34" t="n">
        <v>46126</v>
      </c>
      <c r="BX1262" s="15" t="n">
        <v>80.34999999999999</v>
      </c>
      <c r="BY1262" s="15" t="n">
        <v>89.89</v>
      </c>
      <c r="BZ1262" s="34" t="n">
        <v>46126</v>
      </c>
      <c r="CA1262" s="15" t="n">
        <v>16.22</v>
      </c>
      <c r="CB1262" s="15" t="n">
        <v>25.81</v>
      </c>
      <c r="CC1262" s="34" t="n">
        <v>46126</v>
      </c>
      <c r="CD1262" s="15" t="n">
        <v>39.1</v>
      </c>
      <c r="CE1262" s="15" t="n">
        <v>56.49</v>
      </c>
      <c r="CF1262" s="34" t="n">
        <v>46126</v>
      </c>
      <c r="CG1262" s="15" t="n">
        <v>120.8</v>
      </c>
      <c r="CH1262" s="15" t="n">
        <v>154.35</v>
      </c>
      <c r="CI1262" s="34" t="n">
        <v>46126</v>
      </c>
      <c r="CJ1262" s="15" t="n">
        <v>10.96</v>
      </c>
      <c r="CK1262" s="15" t="n">
        <v>19.7</v>
      </c>
      <c r="CL1262" s="34" t="n">
        <v>46126</v>
      </c>
      <c r="CM1262" s="15" t="n">
        <v>80.5</v>
      </c>
      <c r="CN1262" s="15" t="n">
        <v>94.66</v>
      </c>
      <c r="CO1262" s="34" t="n">
        <v>46126</v>
      </c>
      <c r="CP1262" s="15" t="n">
        <v>427</v>
      </c>
      <c r="CQ1262" s="15" t="n">
        <v>280.01</v>
      </c>
      <c r="CR1262" s="34" t="n">
        <v>46126</v>
      </c>
      <c r="CS1262" s="15" t="n">
        <v>25.6</v>
      </c>
      <c r="CT1262" s="15" t="n">
        <v>39.29</v>
      </c>
      <c r="CU1262" s="34" t="n">
        <v>46126</v>
      </c>
      <c r="CV1262" s="15" t="n">
        <v>201</v>
      </c>
      <c r="CW1262" s="15" t="n">
        <v>191.23</v>
      </c>
      <c r="CX1262" s="34" t="n">
        <v>46126</v>
      </c>
      <c r="CY1262" s="15" t="n">
        <v>49.52</v>
      </c>
      <c r="CZ1262" s="15" t="n">
        <v>50.07</v>
      </c>
      <c r="DA1262" s="34" t="n">
        <v>46126</v>
      </c>
      <c r="DB1262" s="15" t="n">
        <v>135</v>
      </c>
      <c r="DC1262" s="15" t="n">
        <v>192.44</v>
      </c>
      <c r="DD1262" s="34" t="n">
        <v>46126</v>
      </c>
      <c r="DE1262" s="15" t="n">
        <v>42.5</v>
      </c>
      <c r="DF1262" s="15" t="n">
        <v>45.78</v>
      </c>
      <c r="DG1262" s="34" t="n">
        <v>46126</v>
      </c>
      <c r="DH1262" s="15" t="n">
        <v>209.8</v>
      </c>
      <c r="DI1262" s="15" t="n">
        <v>153.36</v>
      </c>
      <c r="DJ1262" s="34" t="n">
        <v>46126</v>
      </c>
      <c r="DK1262" s="15" t="n">
        <v>49.6</v>
      </c>
      <c r="DL1262" s="15" t="n">
        <v>54.18</v>
      </c>
      <c r="DM1262" s="34" t="n">
        <v>46126</v>
      </c>
      <c r="DN1262" s="15" t="n">
        <v>19.77</v>
      </c>
      <c r="DO1262" s="15" t="n">
        <v>25.64</v>
      </c>
      <c r="DP1262" s="34" t="n">
        <v>46126</v>
      </c>
      <c r="DQ1262" s="15" t="n">
        <v>13.28</v>
      </c>
      <c r="DR1262" s="15" t="n">
        <v>20.91</v>
      </c>
      <c r="DS1262" s="34" t="n">
        <v>46126</v>
      </c>
      <c r="DT1262" s="15" t="n">
        <v>68.09999999999999</v>
      </c>
      <c r="DU1262" s="15" t="n">
        <v>101.08</v>
      </c>
      <c r="DV1262" s="34" t="n">
        <v>46126</v>
      </c>
      <c r="DW1262" s="15" t="n">
        <v>23.1</v>
      </c>
      <c r="DX1262" s="15" t="n">
        <v>38.93</v>
      </c>
      <c r="DY1262" s="34" t="n">
        <v>46126</v>
      </c>
      <c r="DZ1262" s="15" t="n">
        <v>129.5</v>
      </c>
      <c r="EA1262" s="15" t="n">
        <v>133.08</v>
      </c>
      <c r="EB1262" s="34" t="n">
        <v>46126</v>
      </c>
      <c r="EC1262" s="15" t="n">
        <v>12.87</v>
      </c>
      <c r="ED1262" s="15" t="n">
        <v>22.61</v>
      </c>
      <c r="EE1262" s="34" t="n">
        <v>46126</v>
      </c>
    </row>
    <row r="1263">
      <c r="A1263" s="34" t="n">
        <v>46127</v>
      </c>
      <c r="B1263" s="266" t="n">
        <v>1.149266004562378</v>
      </c>
      <c r="C1263" s="34" t="n">
        <v>46127</v>
      </c>
      <c r="D1263" s="15" t="n">
        <v>22.82</v>
      </c>
      <c r="E1263" s="15" t="n">
        <v>39.27</v>
      </c>
      <c r="F1263" s="34" t="n">
        <v>46127</v>
      </c>
      <c r="G1263" s="15" t="n">
        <v>98.65000000000001</v>
      </c>
      <c r="H1263" s="15" t="n">
        <v>117.85</v>
      </c>
      <c r="I1263" s="34" t="n">
        <v>46127</v>
      </c>
      <c r="J1263" s="15" t="n">
        <v>20.58</v>
      </c>
      <c r="K1263" s="15" t="n">
        <v>32.12</v>
      </c>
      <c r="L1263" s="34" t="n">
        <v>46127</v>
      </c>
      <c r="M1263" s="15" t="n">
        <v>53.85</v>
      </c>
      <c r="N1263" s="15" t="n">
        <v>61.8</v>
      </c>
      <c r="O1263" s="34" t="n">
        <v>46127</v>
      </c>
      <c r="P1263" s="15" t="n">
        <v>65.7</v>
      </c>
      <c r="Q1263" s="15" t="n">
        <v>68.38</v>
      </c>
      <c r="R1263" s="34" t="n">
        <v>46127</v>
      </c>
      <c r="S1263" s="15" t="n">
        <v>61.1</v>
      </c>
      <c r="T1263" s="15" t="n">
        <v>107.35</v>
      </c>
      <c r="U1263" s="34" t="n">
        <v>46127</v>
      </c>
      <c r="Y1263" s="15" t="n">
        <v>86.34999999999999</v>
      </c>
      <c r="Z1263" s="15" t="n">
        <v>77.48999999999999</v>
      </c>
      <c r="AA1263" s="34" t="n">
        <v>46127</v>
      </c>
      <c r="AB1263" s="15" t="n">
        <v>13.27</v>
      </c>
      <c r="AC1263" s="15" t="n">
        <v>22.77</v>
      </c>
      <c r="AD1263" s="34" t="n">
        <v>46127</v>
      </c>
      <c r="AE1263" s="15" t="n">
        <v>36.14</v>
      </c>
      <c r="AF1263" s="15" t="n">
        <v>37.66</v>
      </c>
      <c r="AG1263" s="34" t="n">
        <v>46127</v>
      </c>
      <c r="AH1263" s="15" t="n">
        <v>41.8</v>
      </c>
      <c r="AI1263" s="15" t="n">
        <v>43.3</v>
      </c>
      <c r="AJ1263" s="34" t="n">
        <v>46127</v>
      </c>
      <c r="AK1263" s="15" t="n">
        <v>31.78</v>
      </c>
      <c r="AL1263" s="15" t="n">
        <v>72.95999999999999</v>
      </c>
      <c r="AM1263" s="34" t="n">
        <v>46127</v>
      </c>
      <c r="AN1263" s="15" t="n">
        <v>655.5</v>
      </c>
      <c r="AO1263" s="15" t="n">
        <v>431</v>
      </c>
      <c r="AP1263" s="34" t="n">
        <v>46127</v>
      </c>
      <c r="AQ1263" s="15" t="n">
        <v>68.3</v>
      </c>
      <c r="AR1263" s="15" t="n">
        <v>57.73</v>
      </c>
      <c r="AS1263" s="34" t="n">
        <v>46127</v>
      </c>
      <c r="AT1263" s="15" t="n">
        <v>12.88</v>
      </c>
      <c r="AU1263" s="15" t="n">
        <v>16.37</v>
      </c>
      <c r="AV1263" s="34" t="n">
        <v>46127</v>
      </c>
      <c r="AW1263" s="15" t="n">
        <v>36.5</v>
      </c>
      <c r="AX1263" s="15" t="n">
        <v>40.92</v>
      </c>
      <c r="AY1263" s="34" t="n">
        <v>46127</v>
      </c>
      <c r="AZ1263" s="15" t="n">
        <v>31.04</v>
      </c>
      <c r="BA1263" s="15" t="n">
        <v>45.11</v>
      </c>
      <c r="BB1263" s="34" t="n">
        <v>46127</v>
      </c>
      <c r="BC1263" s="15" t="n">
        <v>80.3</v>
      </c>
      <c r="BD1263" s="15" t="n">
        <v>94.8</v>
      </c>
      <c r="BE1263" s="34" t="n">
        <v>46127</v>
      </c>
      <c r="BF1263" s="15" t="n">
        <v>115.9</v>
      </c>
      <c r="BG1263" s="15" t="n">
        <v>171.39</v>
      </c>
      <c r="BH1263" s="34" t="n">
        <v>46127</v>
      </c>
      <c r="BI1263" s="15" t="n">
        <v>19.66</v>
      </c>
      <c r="BJ1263" s="15" t="n">
        <v>29.59</v>
      </c>
      <c r="BK1263" s="34" t="n">
        <v>46127</v>
      </c>
      <c r="BL1263" s="15" t="n">
        <v>55.45</v>
      </c>
      <c r="BM1263" s="15" t="n">
        <v>90.47</v>
      </c>
      <c r="BN1263" s="34" t="n">
        <v>46127</v>
      </c>
      <c r="BO1263" s="15" t="n">
        <v>13.56</v>
      </c>
      <c r="BP1263" s="15" t="n">
        <v>24.9</v>
      </c>
      <c r="BQ1263" s="34" t="n">
        <v>46127</v>
      </c>
      <c r="BR1263" s="15" t="n">
        <v>22.2</v>
      </c>
      <c r="BS1263" s="15" t="n">
        <v>20.66</v>
      </c>
      <c r="BT1263" s="34" t="n">
        <v>46127</v>
      </c>
      <c r="BU1263" s="15" t="n">
        <v>86.34999999999999</v>
      </c>
      <c r="BV1263" s="15" t="n">
        <v>125.8</v>
      </c>
      <c r="BW1263" s="34" t="n">
        <v>46127</v>
      </c>
      <c r="BX1263" s="15" t="n">
        <v>79.09999999999999</v>
      </c>
      <c r="BY1263" s="15" t="n">
        <v>88.31999999999999</v>
      </c>
      <c r="BZ1263" s="34" t="n">
        <v>46127</v>
      </c>
      <c r="CA1263" s="15" t="n">
        <v>16.06</v>
      </c>
      <c r="CB1263" s="15" t="n">
        <v>25.55</v>
      </c>
      <c r="CC1263" s="34" t="n">
        <v>46127</v>
      </c>
      <c r="CD1263" s="15" t="n">
        <v>38.3</v>
      </c>
      <c r="CE1263" s="15" t="n">
        <v>55.87</v>
      </c>
      <c r="CF1263" s="34" t="n">
        <v>46127</v>
      </c>
      <c r="CG1263" s="15" t="n">
        <v>124.2</v>
      </c>
      <c r="CH1263" s="15" t="n">
        <v>156.21</v>
      </c>
      <c r="CI1263" s="34" t="n">
        <v>46127</v>
      </c>
      <c r="CJ1263" s="15" t="n">
        <v>10.89</v>
      </c>
      <c r="CK1263" s="15" t="n">
        <v>19.4</v>
      </c>
      <c r="CL1263" s="34" t="n">
        <v>46127</v>
      </c>
      <c r="CM1263" s="15" t="n">
        <v>78.65000000000001</v>
      </c>
      <c r="CN1263" s="15" t="n">
        <v>92.31</v>
      </c>
      <c r="CO1263" s="34" t="n">
        <v>46127</v>
      </c>
      <c r="CP1263" s="15" t="n">
        <v>407.6</v>
      </c>
      <c r="CQ1263" s="15" t="n">
        <v>274</v>
      </c>
      <c r="CR1263" s="34" t="n">
        <v>46127</v>
      </c>
      <c r="CS1263" s="15" t="n">
        <v>24.52</v>
      </c>
      <c r="CT1263" s="15" t="n">
        <v>38.75</v>
      </c>
      <c r="CU1263" s="34" t="n">
        <v>46127</v>
      </c>
      <c r="CV1263" s="15" t="n">
        <v>206</v>
      </c>
      <c r="CW1263" s="15" t="n">
        <v>193.5</v>
      </c>
      <c r="CX1263" s="34" t="n">
        <v>46127</v>
      </c>
      <c r="CY1263" s="15" t="n">
        <v>47.6</v>
      </c>
      <c r="CZ1263" s="15" t="n">
        <v>49.64</v>
      </c>
      <c r="DA1263" s="34" t="n">
        <v>46127</v>
      </c>
      <c r="DB1263" s="15" t="n">
        <v>130</v>
      </c>
      <c r="DC1263" s="15" t="n">
        <v>188.77</v>
      </c>
      <c r="DD1263" s="34" t="n">
        <v>46127</v>
      </c>
      <c r="DE1263" s="15" t="n">
        <v>43</v>
      </c>
      <c r="DF1263" s="15" t="n">
        <v>46.05</v>
      </c>
      <c r="DG1263" s="34" t="n">
        <v>46127</v>
      </c>
      <c r="DH1263" s="15" t="n">
        <v>202.4</v>
      </c>
      <c r="DI1263" s="15" t="n">
        <v>147.18</v>
      </c>
      <c r="DJ1263" s="34" t="n">
        <v>46127</v>
      </c>
      <c r="DK1263" s="15" t="n">
        <v>48.84</v>
      </c>
      <c r="DL1263" s="15" t="n">
        <v>52.86</v>
      </c>
      <c r="DM1263" s="34" t="n">
        <v>46127</v>
      </c>
      <c r="DN1263" s="15" t="n">
        <v>19.26</v>
      </c>
      <c r="DO1263" s="15" t="n">
        <v>25.2</v>
      </c>
      <c r="DP1263" s="34" t="n">
        <v>46127</v>
      </c>
      <c r="DQ1263" s="15" t="n">
        <v>12.94</v>
      </c>
      <c r="DR1263" s="15" t="n">
        <v>20.72</v>
      </c>
      <c r="DS1263" s="34" t="n">
        <v>46127</v>
      </c>
      <c r="DT1263" s="15" t="n">
        <v>65.05</v>
      </c>
      <c r="DU1263" s="15" t="n">
        <v>99.91</v>
      </c>
      <c r="DV1263" s="34" t="n">
        <v>46127</v>
      </c>
      <c r="DW1263" s="15" t="n">
        <v>22.64</v>
      </c>
      <c r="DX1263" s="15" t="n">
        <v>38.66</v>
      </c>
      <c r="DY1263" s="34" t="n">
        <v>46127</v>
      </c>
      <c r="DZ1263" s="15" t="n">
        <v>128.3</v>
      </c>
      <c r="EA1263" s="15" t="n">
        <v>127.86</v>
      </c>
      <c r="EB1263" s="34" t="n">
        <v>46127</v>
      </c>
      <c r="EC1263" s="15" t="n">
        <v>12.72</v>
      </c>
      <c r="ED1263" s="15" t="n">
        <v>21.93</v>
      </c>
      <c r="EE1263" s="34" t="n">
        <v>46127</v>
      </c>
    </row>
    <row r="1264">
      <c r="A1264" s="34" t="n">
        <v>46128</v>
      </c>
      <c r="B1264" s="266" t="n">
        <v>1.148550033569336</v>
      </c>
      <c r="C1264" s="34" t="n">
        <v>46128</v>
      </c>
      <c r="D1264" s="15" t="n">
        <v>23.04</v>
      </c>
      <c r="E1264" s="15" t="n">
        <v>38.53</v>
      </c>
      <c r="F1264" s="34" t="n">
        <v>46128</v>
      </c>
      <c r="G1264" s="15" t="n">
        <v>100.7</v>
      </c>
      <c r="H1264" s="15" t="n">
        <v>117.41</v>
      </c>
      <c r="I1264" s="34" t="n">
        <v>46128</v>
      </c>
      <c r="J1264" s="15" t="n">
        <v>21.02</v>
      </c>
      <c r="K1264" s="15" t="n">
        <v>32.67</v>
      </c>
      <c r="L1264" s="34" t="n">
        <v>46128</v>
      </c>
      <c r="M1264" s="15" t="n">
        <v>56.65</v>
      </c>
      <c r="N1264" s="15" t="n">
        <v>65.31999999999999</v>
      </c>
      <c r="O1264" s="34" t="n">
        <v>46128</v>
      </c>
      <c r="P1264" s="15" t="n">
        <v>67.05</v>
      </c>
      <c r="Q1264" s="15" t="n">
        <v>68.48999999999999</v>
      </c>
      <c r="R1264" s="34" t="n">
        <v>46128</v>
      </c>
      <c r="S1264" s="15" t="n">
        <v>59</v>
      </c>
      <c r="T1264" s="15" t="n">
        <v>100.88</v>
      </c>
      <c r="U1264" s="34" t="n">
        <v>46128</v>
      </c>
      <c r="Y1264" s="15" t="n">
        <v>88.3</v>
      </c>
      <c r="Z1264" s="15" t="n">
        <v>77.90000000000001</v>
      </c>
      <c r="AA1264" s="34" t="n">
        <v>46128</v>
      </c>
      <c r="AB1264" s="15" t="n">
        <v>16.32</v>
      </c>
      <c r="AC1264" s="15" t="n">
        <v>25.05</v>
      </c>
      <c r="AD1264" s="34" t="n">
        <v>46128</v>
      </c>
      <c r="AE1264" s="15" t="n">
        <v>35.98</v>
      </c>
      <c r="AF1264" s="15" t="n">
        <v>37.56</v>
      </c>
      <c r="AG1264" s="34" t="n">
        <v>46128</v>
      </c>
      <c r="AH1264" s="15" t="n">
        <v>42.28</v>
      </c>
      <c r="AI1264" s="15" t="n">
        <v>44.1</v>
      </c>
      <c r="AJ1264" s="34" t="n">
        <v>46128</v>
      </c>
      <c r="AK1264" s="15" t="n">
        <v>33.14</v>
      </c>
      <c r="AL1264" s="15" t="n">
        <v>75.11</v>
      </c>
      <c r="AM1264" s="34" t="n">
        <v>46128</v>
      </c>
      <c r="AN1264" s="15" t="n">
        <v>714.5</v>
      </c>
      <c r="AO1264" s="15" t="n">
        <v>453.98</v>
      </c>
      <c r="AP1264" s="34" t="n">
        <v>46128</v>
      </c>
      <c r="AQ1264" s="15" t="n">
        <v>68.55</v>
      </c>
      <c r="AR1264" s="15" t="n">
        <v>57.47</v>
      </c>
      <c r="AS1264" s="34" t="n">
        <v>46128</v>
      </c>
      <c r="AT1264" s="15" t="n">
        <v>13.26</v>
      </c>
      <c r="AU1264" s="15" t="n">
        <v>17.28</v>
      </c>
      <c r="AV1264" s="34" t="n">
        <v>46128</v>
      </c>
      <c r="AW1264" s="15" t="n">
        <v>36.38</v>
      </c>
      <c r="AX1264" s="15" t="n">
        <v>40.74</v>
      </c>
      <c r="AY1264" s="34" t="n">
        <v>46128</v>
      </c>
      <c r="AZ1264" s="15" t="n">
        <v>31.62</v>
      </c>
      <c r="BA1264" s="15" t="n">
        <v>45.78</v>
      </c>
      <c r="BB1264" s="34" t="n">
        <v>46128</v>
      </c>
      <c r="BC1264" s="15" t="n">
        <v>79.2</v>
      </c>
      <c r="BD1264" s="15" t="n">
        <v>94.89</v>
      </c>
      <c r="BE1264" s="34" t="n">
        <v>46128</v>
      </c>
      <c r="BF1264" s="15" t="n">
        <v>121.8</v>
      </c>
      <c r="BG1264" s="15" t="n">
        <v>181.2</v>
      </c>
      <c r="BH1264" s="34" t="n">
        <v>46128</v>
      </c>
      <c r="BI1264" s="15" t="n">
        <v>17.17</v>
      </c>
      <c r="BJ1264" s="15" t="n">
        <v>25.64</v>
      </c>
      <c r="BK1264" s="34" t="n">
        <v>46128</v>
      </c>
      <c r="BL1264" s="15" t="n">
        <v>58</v>
      </c>
      <c r="BM1264" s="15" t="n">
        <v>91.70999999999999</v>
      </c>
      <c r="BN1264" s="34" t="n">
        <v>46128</v>
      </c>
      <c r="BO1264" s="15" t="n">
        <v>13.85</v>
      </c>
      <c r="BP1264" s="15" t="n">
        <v>25.68</v>
      </c>
      <c r="BQ1264" s="34" t="n">
        <v>46128</v>
      </c>
      <c r="BR1264" s="15" t="n">
        <v>22.02</v>
      </c>
      <c r="BS1264" s="15" t="n">
        <v>20.39</v>
      </c>
      <c r="BT1264" s="34" t="n">
        <v>46128</v>
      </c>
      <c r="BU1264" s="15" t="n">
        <v>91.05</v>
      </c>
      <c r="BV1264" s="15" t="n">
        <v>132.08</v>
      </c>
      <c r="BW1264" s="34" t="n">
        <v>46128</v>
      </c>
      <c r="BX1264" s="15" t="n">
        <v>81.40000000000001</v>
      </c>
      <c r="BY1264" s="15" t="n">
        <v>89.91</v>
      </c>
      <c r="BZ1264" s="34" t="n">
        <v>46128</v>
      </c>
      <c r="CA1264" s="15" t="n">
        <v>16.35</v>
      </c>
      <c r="CB1264" s="15" t="n">
        <v>25.98</v>
      </c>
      <c r="CC1264" s="34" t="n">
        <v>46128</v>
      </c>
      <c r="CD1264" s="15" t="n">
        <v>38.78</v>
      </c>
      <c r="CE1264" s="15" t="n">
        <v>56.49</v>
      </c>
      <c r="CF1264" s="34" t="n">
        <v>46128</v>
      </c>
      <c r="CG1264" s="15" t="n">
        <v>136.6</v>
      </c>
      <c r="CH1264" s="15" t="n">
        <v>162.27</v>
      </c>
      <c r="CI1264" s="34" t="n">
        <v>46128</v>
      </c>
      <c r="CJ1264" s="15" t="n">
        <v>11.07</v>
      </c>
      <c r="CK1264" s="15" t="n">
        <v>19.9</v>
      </c>
      <c r="CL1264" s="34" t="n">
        <v>46128</v>
      </c>
      <c r="CM1264" s="15" t="n">
        <v>80.09999999999999</v>
      </c>
      <c r="CN1264" s="15" t="n">
        <v>93.70999999999999</v>
      </c>
      <c r="CO1264" s="34" t="n">
        <v>46128</v>
      </c>
      <c r="CP1264" s="15" t="n">
        <v>462.4</v>
      </c>
      <c r="CQ1264" s="15" t="n">
        <v>286.73</v>
      </c>
      <c r="CR1264" s="34" t="n">
        <v>46128</v>
      </c>
      <c r="CS1264" s="15" t="n">
        <v>25</v>
      </c>
      <c r="CT1264" s="15" t="n">
        <v>39.03</v>
      </c>
      <c r="CU1264" s="34" t="n">
        <v>46128</v>
      </c>
      <c r="CV1264" s="15" t="n">
        <v>207</v>
      </c>
      <c r="CW1264" s="15" t="n">
        <v>194.26</v>
      </c>
      <c r="CX1264" s="34" t="n">
        <v>46128</v>
      </c>
      <c r="CY1264" s="15" t="n">
        <v>47.56</v>
      </c>
      <c r="CZ1264" s="15" t="n">
        <v>50.5</v>
      </c>
      <c r="DA1264" s="34" t="n">
        <v>46128</v>
      </c>
      <c r="DB1264" s="15" t="n">
        <v>145</v>
      </c>
      <c r="DC1264" s="15" t="n">
        <v>196.26</v>
      </c>
      <c r="DD1264" s="34" t="n">
        <v>46128</v>
      </c>
      <c r="DE1264" s="15" t="n">
        <v>43.04</v>
      </c>
      <c r="DF1264" s="15" t="n">
        <v>46.44</v>
      </c>
      <c r="DG1264" s="34" t="n">
        <v>46128</v>
      </c>
      <c r="DH1264" s="15" t="n">
        <v>218.6</v>
      </c>
      <c r="DI1264" s="15" t="n">
        <v>151</v>
      </c>
      <c r="DJ1264" s="34" t="n">
        <v>46128</v>
      </c>
      <c r="DK1264" s="15" t="n">
        <v>51</v>
      </c>
      <c r="DL1264" s="15" t="n">
        <v>53.66</v>
      </c>
      <c r="DM1264" s="34" t="n">
        <v>46128</v>
      </c>
      <c r="DN1264" s="15" t="n">
        <v>19.72</v>
      </c>
      <c r="DO1264" s="15" t="n">
        <v>25.57</v>
      </c>
      <c r="DP1264" s="34" t="n">
        <v>46128</v>
      </c>
      <c r="DQ1264" s="15" t="n">
        <v>13.1</v>
      </c>
      <c r="DR1264" s="15" t="n">
        <v>20.97</v>
      </c>
      <c r="DS1264" s="34" t="n">
        <v>46128</v>
      </c>
      <c r="DT1264" s="15" t="n">
        <v>68.8</v>
      </c>
      <c r="DU1264" s="15" t="n">
        <v>101.89</v>
      </c>
      <c r="DV1264" s="34" t="n">
        <v>46128</v>
      </c>
      <c r="DW1264" s="15" t="n">
        <v>25.3</v>
      </c>
      <c r="DX1264" s="15" t="n">
        <v>40.15</v>
      </c>
      <c r="DY1264" s="34" t="n">
        <v>46128</v>
      </c>
      <c r="DZ1264" s="15" t="n">
        <v>140</v>
      </c>
      <c r="EA1264" s="15" t="n">
        <v>135.65</v>
      </c>
      <c r="EB1264" s="34" t="n">
        <v>46128</v>
      </c>
      <c r="EC1264" s="15" t="n">
        <v>12.61</v>
      </c>
      <c r="ED1264" s="15" t="n">
        <v>21.94</v>
      </c>
      <c r="EE1264" s="34" t="n">
        <v>46128</v>
      </c>
    </row>
    <row r="1265">
      <c r="A1265" s="34" t="n">
        <v>46129</v>
      </c>
      <c r="B1265" s="266" t="n">
        <v>1.146605014801025</v>
      </c>
      <c r="C1265" s="34" t="n">
        <v>46129</v>
      </c>
      <c r="D1265" s="15" t="n">
        <v>21.98</v>
      </c>
      <c r="E1265" s="15" t="n">
        <v>36.93</v>
      </c>
      <c r="F1265" s="34" t="n">
        <v>46129</v>
      </c>
      <c r="G1265" s="15" t="n">
        <v>98.45</v>
      </c>
      <c r="H1265" s="15" t="n">
        <v>114.41</v>
      </c>
      <c r="I1265" s="34" t="n">
        <v>46129</v>
      </c>
      <c r="J1265" s="15" t="n">
        <v>21.36</v>
      </c>
      <c r="K1265" s="15" t="n">
        <v>33</v>
      </c>
      <c r="L1265" s="34" t="n">
        <v>46129</v>
      </c>
      <c r="M1265" s="15" t="n">
        <v>58.6</v>
      </c>
      <c r="N1265" s="15" t="n">
        <v>66.65000000000001</v>
      </c>
      <c r="O1265" s="34" t="n">
        <v>46129</v>
      </c>
      <c r="P1265" s="15" t="n">
        <v>65.65000000000001</v>
      </c>
      <c r="Q1265" s="15" t="n">
        <v>66.79000000000001</v>
      </c>
      <c r="R1265" s="34" t="n">
        <v>46129</v>
      </c>
      <c r="S1265" s="15" t="n">
        <v>58.55</v>
      </c>
      <c r="T1265" s="15" t="n">
        <v>98.66</v>
      </c>
      <c r="U1265" s="34" t="n">
        <v>46129</v>
      </c>
      <c r="Y1265" s="15" t="n">
        <v>89.40000000000001</v>
      </c>
      <c r="Z1265" s="15" t="n">
        <v>78.65000000000001</v>
      </c>
      <c r="AA1265" s="34" t="n">
        <v>46129</v>
      </c>
      <c r="AB1265" s="15" t="n">
        <v>16.36</v>
      </c>
      <c r="AC1265" s="15" t="n">
        <v>25.99</v>
      </c>
      <c r="AD1265" s="34" t="n">
        <v>46129</v>
      </c>
      <c r="AE1265" s="15" t="n">
        <v>35.48</v>
      </c>
      <c r="AF1265" s="15" t="n">
        <v>36.7</v>
      </c>
      <c r="AG1265" s="34" t="n">
        <v>46129</v>
      </c>
      <c r="AH1265" s="15" t="n">
        <v>41.1</v>
      </c>
      <c r="AI1265" s="15" t="n">
        <v>43.42</v>
      </c>
      <c r="AJ1265" s="34" t="n">
        <v>46129</v>
      </c>
      <c r="AK1265" s="15" t="n">
        <v>32.12</v>
      </c>
      <c r="AL1265" s="15" t="n">
        <v>74.29000000000001</v>
      </c>
      <c r="AM1265" s="34" t="n">
        <v>46129</v>
      </c>
      <c r="AN1265" s="15" t="n">
        <v>692</v>
      </c>
      <c r="AO1265" s="15" t="n">
        <v>444.2</v>
      </c>
      <c r="AP1265" s="34" t="n">
        <v>46129</v>
      </c>
      <c r="AQ1265" s="15" t="n">
        <v>66.40000000000001</v>
      </c>
      <c r="AR1265" s="15" t="n">
        <v>56.33</v>
      </c>
      <c r="AS1265" s="34" t="n">
        <v>46129</v>
      </c>
      <c r="AT1265" s="15" t="n">
        <v>13.65</v>
      </c>
      <c r="AU1265" s="15" t="n">
        <v>17.45</v>
      </c>
      <c r="AV1265" s="34" t="n">
        <v>46129</v>
      </c>
      <c r="AW1265" s="15" t="n">
        <v>36.06</v>
      </c>
      <c r="AX1265" s="15" t="n">
        <v>39.94</v>
      </c>
      <c r="AY1265" s="34" t="n">
        <v>46129</v>
      </c>
      <c r="AZ1265" s="15" t="n">
        <v>31.84</v>
      </c>
      <c r="BA1265" s="15" t="n">
        <v>45.54</v>
      </c>
      <c r="BB1265" s="34" t="n">
        <v>46129</v>
      </c>
      <c r="BC1265" s="15" t="n">
        <v>78.2</v>
      </c>
      <c r="BD1265" s="15" t="n">
        <v>92.79000000000001</v>
      </c>
      <c r="BE1265" s="34" t="n">
        <v>46129</v>
      </c>
      <c r="BF1265" s="15" t="n">
        <v>120.4</v>
      </c>
      <c r="BG1265" s="15" t="n">
        <v>178.42</v>
      </c>
      <c r="BH1265" s="34" t="n">
        <v>46129</v>
      </c>
      <c r="BI1265" s="15" t="n">
        <v>17.6</v>
      </c>
      <c r="BJ1265" s="15" t="n">
        <v>25.99</v>
      </c>
      <c r="BK1265" s="34" t="n">
        <v>46129</v>
      </c>
      <c r="BL1265" s="15" t="n">
        <v>63.1</v>
      </c>
      <c r="BM1265" s="15" t="n">
        <v>95.2</v>
      </c>
      <c r="BN1265" s="34" t="n">
        <v>46129</v>
      </c>
      <c r="BO1265" s="15" t="n">
        <v>13.73</v>
      </c>
      <c r="BP1265" s="15" t="n">
        <v>25.79</v>
      </c>
      <c r="BQ1265" s="34" t="n">
        <v>46129</v>
      </c>
      <c r="BR1265" s="15" t="n">
        <v>21.52</v>
      </c>
      <c r="BS1265" s="15" t="n">
        <v>20.16</v>
      </c>
      <c r="BT1265" s="34" t="n">
        <v>46129</v>
      </c>
      <c r="BU1265" s="15" t="n">
        <v>122.8</v>
      </c>
      <c r="BV1265" s="15" t="n">
        <v>145.29</v>
      </c>
      <c r="BW1265" s="34" t="n">
        <v>46129</v>
      </c>
      <c r="BX1265" s="15" t="n">
        <v>80.55</v>
      </c>
      <c r="BY1265" s="15" t="n">
        <v>89.47</v>
      </c>
      <c r="BZ1265" s="34" t="n">
        <v>46129</v>
      </c>
      <c r="CA1265" s="15" t="n">
        <v>16.3</v>
      </c>
      <c r="CB1265" s="15" t="n">
        <v>26.5</v>
      </c>
      <c r="CC1265" s="34" t="n">
        <v>46129</v>
      </c>
      <c r="CD1265" s="15" t="n">
        <v>39.34</v>
      </c>
      <c r="CE1265" s="15" t="n">
        <v>57.94</v>
      </c>
      <c r="CF1265" s="34" t="n">
        <v>46129</v>
      </c>
      <c r="CG1265" s="15" t="n">
        <v>141.3</v>
      </c>
      <c r="CH1265" s="15" t="n">
        <v>169.7</v>
      </c>
      <c r="CI1265" s="34" t="n">
        <v>46129</v>
      </c>
      <c r="CJ1265" s="15" t="n">
        <v>11.31</v>
      </c>
      <c r="CK1265" s="15" t="n">
        <v>20.18</v>
      </c>
      <c r="CL1265" s="34" t="n">
        <v>46129</v>
      </c>
      <c r="CM1265" s="15" t="n">
        <v>78.55</v>
      </c>
      <c r="CN1265" s="15" t="n">
        <v>93.04000000000001</v>
      </c>
      <c r="CO1265" s="34" t="n">
        <v>46129</v>
      </c>
      <c r="CP1265" s="15" t="n">
        <v>430.8</v>
      </c>
      <c r="CQ1265" s="15" t="n">
        <v>288.96</v>
      </c>
      <c r="CR1265" s="34" t="n">
        <v>46129</v>
      </c>
      <c r="CS1265" s="15" t="n">
        <v>24.94</v>
      </c>
      <c r="CT1265" s="15" t="n">
        <v>38.95</v>
      </c>
      <c r="CU1265" s="34" t="n">
        <v>46129</v>
      </c>
      <c r="CV1265" s="15" t="n">
        <v>208.6</v>
      </c>
      <c r="CW1265" s="15" t="n">
        <v>199.8</v>
      </c>
      <c r="CX1265" s="34" t="n">
        <v>46129</v>
      </c>
      <c r="CY1265" s="15" t="n">
        <v>47.08</v>
      </c>
      <c r="CZ1265" s="15" t="n">
        <v>50.44</v>
      </c>
      <c r="DA1265" s="34" t="n">
        <v>46129</v>
      </c>
      <c r="DB1265" s="15" t="n">
        <v>147.1</v>
      </c>
      <c r="DC1265" s="15" t="n">
        <v>202.79</v>
      </c>
      <c r="DD1265" s="34" t="n">
        <v>46129</v>
      </c>
      <c r="DE1265" s="15" t="n">
        <v>41.72</v>
      </c>
      <c r="DF1265" s="15" t="n">
        <v>45.53</v>
      </c>
      <c r="DG1265" s="34" t="n">
        <v>46129</v>
      </c>
      <c r="DH1265" s="15" t="n">
        <v>209.4</v>
      </c>
      <c r="DI1265" s="15" t="n">
        <v>150.78</v>
      </c>
      <c r="DJ1265" s="34" t="n">
        <v>46129</v>
      </c>
      <c r="DK1265" s="15" t="n">
        <v>51.6</v>
      </c>
      <c r="DL1265" s="15" t="n">
        <v>56</v>
      </c>
      <c r="DM1265" s="34" t="n">
        <v>46129</v>
      </c>
      <c r="DN1265" s="15" t="n">
        <v>20.02</v>
      </c>
      <c r="DO1265" s="15" t="n">
        <v>25.62</v>
      </c>
      <c r="DP1265" s="34" t="n">
        <v>46129</v>
      </c>
      <c r="DQ1265" s="15" t="n">
        <v>13.37</v>
      </c>
      <c r="DR1265" s="15" t="n">
        <v>21.37</v>
      </c>
      <c r="DS1265" s="34" t="n">
        <v>46129</v>
      </c>
      <c r="DT1265" s="15" t="n">
        <v>68.15000000000001</v>
      </c>
      <c r="DU1265" s="15" t="n">
        <v>101.71</v>
      </c>
      <c r="DV1265" s="34" t="n">
        <v>46129</v>
      </c>
      <c r="DW1265" s="15" t="n">
        <v>24.92</v>
      </c>
      <c r="DX1265" s="15" t="n">
        <v>40</v>
      </c>
      <c r="DY1265" s="34" t="n">
        <v>46129</v>
      </c>
      <c r="DZ1265" s="15" t="n">
        <v>158.3</v>
      </c>
      <c r="EA1265" s="15" t="n">
        <v>149.22</v>
      </c>
      <c r="EB1265" s="34" t="n">
        <v>46129</v>
      </c>
      <c r="EC1265" s="15" t="n">
        <v>12.69</v>
      </c>
      <c r="ED1265" s="15" t="n">
        <v>21.97</v>
      </c>
      <c r="EE1265" s="34" t="n">
        <v>46129</v>
      </c>
    </row>
    <row r="1266">
      <c r="A1266" s="34" t="n">
        <v>46132</v>
      </c>
      <c r="B1266" s="266" t="n">
        <v>1.148360967636108</v>
      </c>
      <c r="C1266" s="34" t="n">
        <v>46132</v>
      </c>
      <c r="D1266" s="15" t="n">
        <v>22.76</v>
      </c>
      <c r="E1266" s="15" t="n">
        <v>37.66</v>
      </c>
      <c r="F1266" s="34" t="n">
        <v>46132</v>
      </c>
      <c r="G1266" s="15" t="n">
        <v>95.5</v>
      </c>
      <c r="H1266" s="15" t="n">
        <v>113.72</v>
      </c>
      <c r="I1266" s="34" t="n">
        <v>46132</v>
      </c>
      <c r="J1266" s="15" t="n">
        <v>21.26</v>
      </c>
      <c r="K1266" s="15" t="n">
        <v>33.7</v>
      </c>
      <c r="L1266" s="34" t="n">
        <v>46132</v>
      </c>
      <c r="M1266" s="15" t="n">
        <v>58.25</v>
      </c>
      <c r="N1266" s="15" t="n">
        <v>66.81999999999999</v>
      </c>
      <c r="O1266" s="34" t="n">
        <v>46132</v>
      </c>
      <c r="P1266" s="15" t="n">
        <v>66.90000000000001</v>
      </c>
      <c r="Q1266" s="15" t="n">
        <v>67.69</v>
      </c>
      <c r="R1266" s="34" t="n">
        <v>46132</v>
      </c>
      <c r="S1266" s="15" t="n">
        <v>59.8</v>
      </c>
      <c r="T1266" s="15" t="n">
        <v>97.90000000000001</v>
      </c>
      <c r="U1266" s="34" t="n">
        <v>46132</v>
      </c>
      <c r="Y1266" s="15" t="n">
        <v>90.3</v>
      </c>
      <c r="Z1266" s="15" t="n">
        <v>79.58</v>
      </c>
      <c r="AA1266" s="34" t="n">
        <v>46132</v>
      </c>
      <c r="AB1266" s="15" t="n">
        <v>16.2</v>
      </c>
      <c r="AC1266" s="15" t="n">
        <v>27.31</v>
      </c>
      <c r="AD1266" s="34" t="n">
        <v>46132</v>
      </c>
      <c r="AE1266" s="15" t="n">
        <v>35.44</v>
      </c>
      <c r="AF1266" s="15" t="n">
        <v>36.66</v>
      </c>
      <c r="AG1266" s="34" t="n">
        <v>46132</v>
      </c>
      <c r="AH1266" s="15" t="n">
        <v>41.52</v>
      </c>
      <c r="AI1266" s="15" t="n">
        <v>44.24</v>
      </c>
      <c r="AJ1266" s="34" t="n">
        <v>46132</v>
      </c>
      <c r="AK1266" s="15" t="n">
        <v>33.36</v>
      </c>
      <c r="AL1266" s="15" t="n">
        <v>78.2</v>
      </c>
      <c r="AM1266" s="34" t="n">
        <v>46132</v>
      </c>
      <c r="AN1266" s="15" t="n">
        <v>702.5</v>
      </c>
      <c r="AO1266" s="15" t="n">
        <v>432.5</v>
      </c>
      <c r="AP1266" s="34" t="n">
        <v>46132</v>
      </c>
      <c r="AQ1266" s="15" t="n">
        <v>67.8</v>
      </c>
      <c r="AR1266" s="15" t="n">
        <v>56.34</v>
      </c>
      <c r="AS1266" s="34" t="n">
        <v>46132</v>
      </c>
      <c r="AT1266" s="15" t="n">
        <v>13.54</v>
      </c>
      <c r="AU1266" s="15" t="n">
        <v>19.2</v>
      </c>
      <c r="AV1266" s="34" t="n">
        <v>46132</v>
      </c>
      <c r="AW1266" s="15" t="n">
        <v>36.92</v>
      </c>
      <c r="AX1266" s="15" t="n">
        <v>40.29</v>
      </c>
      <c r="AY1266" s="34" t="n">
        <v>46132</v>
      </c>
      <c r="AZ1266" s="15" t="n">
        <v>31.7</v>
      </c>
      <c r="BA1266" s="15" t="n">
        <v>45.94</v>
      </c>
      <c r="BB1266" s="34" t="n">
        <v>46132</v>
      </c>
      <c r="BC1266" s="15" t="n">
        <v>78.84999999999999</v>
      </c>
      <c r="BD1266" s="15" t="n">
        <v>92.77</v>
      </c>
      <c r="BE1266" s="34" t="n">
        <v>46132</v>
      </c>
      <c r="BF1266" s="15" t="n">
        <v>124.7</v>
      </c>
      <c r="BG1266" s="15" t="n">
        <v>177.58</v>
      </c>
      <c r="BH1266" s="34" t="n">
        <v>46132</v>
      </c>
      <c r="BI1266" s="15" t="n">
        <v>17.9</v>
      </c>
      <c r="BJ1266" s="15" t="n">
        <v>27.2</v>
      </c>
      <c r="BK1266" s="34" t="n">
        <v>46132</v>
      </c>
      <c r="BL1266" s="15" t="n">
        <v>61.45</v>
      </c>
      <c r="BM1266" s="15" t="n">
        <v>97.81999999999999</v>
      </c>
      <c r="BN1266" s="34" t="n">
        <v>46132</v>
      </c>
      <c r="BO1266" s="15" t="n">
        <v>13.86</v>
      </c>
      <c r="BP1266" s="15" t="n">
        <v>26.32</v>
      </c>
      <c r="BQ1266" s="34" t="n">
        <v>46132</v>
      </c>
      <c r="BR1266" s="15" t="n">
        <v>21.58</v>
      </c>
      <c r="BS1266" s="15" t="n">
        <v>19.92</v>
      </c>
      <c r="BT1266" s="34" t="n">
        <v>46132</v>
      </c>
      <c r="BU1266" s="15" t="n">
        <v>113.7</v>
      </c>
      <c r="BV1266" s="15" t="n">
        <v>152.3</v>
      </c>
      <c r="BW1266" s="34" t="n">
        <v>46132</v>
      </c>
      <c r="BX1266" s="15" t="n">
        <v>81.2</v>
      </c>
      <c r="BY1266" s="15" t="n">
        <v>90.06999999999999</v>
      </c>
      <c r="BZ1266" s="34" t="n">
        <v>46132</v>
      </c>
      <c r="CA1266" s="15" t="n">
        <v>15.8</v>
      </c>
      <c r="CB1266" s="15" t="n">
        <v>26.1</v>
      </c>
      <c r="CC1266" s="34" t="n">
        <v>46132</v>
      </c>
      <c r="CD1266" s="15" t="n">
        <v>37.86</v>
      </c>
      <c r="CE1266" s="15" t="n">
        <v>56.64</v>
      </c>
      <c r="CF1266" s="34" t="n">
        <v>46132</v>
      </c>
      <c r="CG1266" s="15" t="n">
        <v>142.8</v>
      </c>
      <c r="CH1266" s="15" t="n">
        <v>169.57</v>
      </c>
      <c r="CI1266" s="34" t="n">
        <v>46132</v>
      </c>
      <c r="CJ1266" s="15" t="n">
        <v>11.42</v>
      </c>
      <c r="CK1266" s="15" t="n">
        <v>20.39</v>
      </c>
      <c r="CL1266" s="34" t="n">
        <v>46132</v>
      </c>
      <c r="CM1266" s="15" t="n">
        <v>81.15000000000001</v>
      </c>
      <c r="CN1266" s="15" t="n">
        <v>93.78</v>
      </c>
      <c r="CO1266" s="34" t="n">
        <v>46132</v>
      </c>
      <c r="CP1266" s="15" t="n">
        <v>423</v>
      </c>
      <c r="CQ1266" s="15" t="n">
        <v>290.54</v>
      </c>
      <c r="CR1266" s="34" t="n">
        <v>46132</v>
      </c>
      <c r="CS1266" s="15" t="n">
        <v>24.82</v>
      </c>
      <c r="CT1266" s="15" t="n">
        <v>39.01</v>
      </c>
      <c r="CU1266" s="34" t="n">
        <v>46132</v>
      </c>
      <c r="CV1266" s="15" t="n">
        <v>215</v>
      </c>
      <c r="CW1266" s="15" t="n">
        <v>203.71</v>
      </c>
      <c r="CX1266" s="34" t="n">
        <v>46132</v>
      </c>
      <c r="CY1266" s="15" t="n">
        <v>52.95</v>
      </c>
      <c r="CZ1266" s="15" t="n">
        <v>51.5</v>
      </c>
      <c r="DA1266" s="34" t="n">
        <v>46132</v>
      </c>
      <c r="DB1266" s="15" t="n">
        <v>148.8</v>
      </c>
      <c r="DC1266" s="15" t="n">
        <v>206.12</v>
      </c>
      <c r="DD1266" s="34" t="n">
        <v>46132</v>
      </c>
      <c r="DE1266" s="15" t="n">
        <v>40.44</v>
      </c>
      <c r="DF1266" s="15" t="n">
        <v>45.32</v>
      </c>
      <c r="DG1266" s="34" t="n">
        <v>46132</v>
      </c>
      <c r="DH1266" s="15" t="n">
        <v>205</v>
      </c>
      <c r="DI1266" s="15" t="n">
        <v>154.66</v>
      </c>
      <c r="DJ1266" s="34" t="n">
        <v>46132</v>
      </c>
      <c r="DK1266" s="15" t="n">
        <v>53.3</v>
      </c>
      <c r="DL1266" s="15" t="n">
        <v>56.7</v>
      </c>
      <c r="DM1266" s="34" t="n">
        <v>46132</v>
      </c>
      <c r="DN1266" s="15" t="n">
        <v>21.44</v>
      </c>
      <c r="DO1266" s="15" t="n">
        <v>26.2</v>
      </c>
      <c r="DP1266" s="34" t="n">
        <v>46132</v>
      </c>
      <c r="DQ1266" s="15" t="n">
        <v>13.02</v>
      </c>
      <c r="DR1266" s="15" t="n">
        <v>21.43</v>
      </c>
      <c r="DS1266" s="34" t="n">
        <v>46132</v>
      </c>
      <c r="DT1266" s="15" t="n">
        <v>68.40000000000001</v>
      </c>
      <c r="DU1266" s="15" t="n">
        <v>101.55</v>
      </c>
      <c r="DV1266" s="34" t="n">
        <v>46132</v>
      </c>
      <c r="DW1266" s="15" t="n">
        <v>25.82</v>
      </c>
      <c r="DX1266" s="15" t="n">
        <v>40.15</v>
      </c>
      <c r="DY1266" s="34" t="n">
        <v>46132</v>
      </c>
      <c r="DZ1266" s="15" t="n">
        <v>150.5</v>
      </c>
      <c r="EA1266" s="15" t="n">
        <v>148.3</v>
      </c>
      <c r="EB1266" s="34" t="n">
        <v>46132</v>
      </c>
      <c r="EC1266" s="15" t="n">
        <v>12.4</v>
      </c>
      <c r="ED1266" s="15" t="n">
        <v>21.71</v>
      </c>
      <c r="EE1266" s="34" t="n">
        <v>46132</v>
      </c>
    </row>
    <row r="1267">
      <c r="A1267" s="34" t="n">
        <v>46133</v>
      </c>
      <c r="B1267" s="266" t="n">
        <v>1.148368000984192</v>
      </c>
      <c r="C1267" s="34" t="n">
        <v>46133</v>
      </c>
      <c r="D1267" s="15" t="n">
        <v>22.76</v>
      </c>
      <c r="E1267" s="15" t="n">
        <v>37.38</v>
      </c>
      <c r="F1267" s="34" t="n">
        <v>46133</v>
      </c>
      <c r="G1267" s="15" t="n">
        <v>93.55</v>
      </c>
      <c r="H1267" s="15" t="n">
        <v>111.33</v>
      </c>
      <c r="I1267" s="34" t="n">
        <v>46133</v>
      </c>
      <c r="J1267" s="15" t="n">
        <v>21.18</v>
      </c>
      <c r="K1267" s="15" t="n">
        <v>33.88</v>
      </c>
      <c r="L1267" s="34" t="n">
        <v>46133</v>
      </c>
      <c r="M1267" s="15" t="n">
        <v>58.7</v>
      </c>
      <c r="N1267" s="15" t="n">
        <v>70.70999999999999</v>
      </c>
      <c r="O1267" s="34" t="n">
        <v>46133</v>
      </c>
      <c r="P1267" s="15" t="n">
        <v>66.90000000000001</v>
      </c>
      <c r="Q1267" s="15" t="n">
        <v>67.27</v>
      </c>
      <c r="R1267" s="34" t="n">
        <v>46133</v>
      </c>
      <c r="S1267" s="15" t="n">
        <v>57.1</v>
      </c>
      <c r="T1267" s="15" t="n">
        <v>97.3</v>
      </c>
      <c r="U1267" s="34" t="n">
        <v>46133</v>
      </c>
      <c r="Y1267" s="15" t="n">
        <v>90.95</v>
      </c>
      <c r="Z1267" s="15" t="n">
        <v>79.5</v>
      </c>
      <c r="AA1267" s="34" t="n">
        <v>46133</v>
      </c>
      <c r="AB1267" s="15" t="n">
        <v>14.96</v>
      </c>
      <c r="AC1267" s="15" t="n">
        <v>26.02</v>
      </c>
      <c r="AD1267" s="34" t="n">
        <v>46133</v>
      </c>
      <c r="AE1267" s="15" t="n">
        <v>35.38</v>
      </c>
      <c r="AF1267" s="15" t="n">
        <v>36.87</v>
      </c>
      <c r="AG1267" s="34" t="n">
        <v>46133</v>
      </c>
      <c r="AH1267" s="15" t="n">
        <v>42.42</v>
      </c>
      <c r="AI1267" s="15" t="n">
        <v>44.33</v>
      </c>
      <c r="AJ1267" s="34" t="n">
        <v>46133</v>
      </c>
      <c r="AK1267" s="15" t="n">
        <v>34.1</v>
      </c>
      <c r="AL1267" s="15" t="n">
        <v>81.25</v>
      </c>
      <c r="AM1267" s="34" t="n">
        <v>46133</v>
      </c>
      <c r="AN1267" s="15" t="n">
        <v>736</v>
      </c>
      <c r="AO1267" s="15" t="n">
        <v>447.6</v>
      </c>
      <c r="AP1267" s="34" t="n">
        <v>46133</v>
      </c>
      <c r="AQ1267" s="15" t="n">
        <v>66.90000000000001</v>
      </c>
      <c r="AR1267" s="15" t="n">
        <v>55.75</v>
      </c>
      <c r="AS1267" s="34" t="n">
        <v>46133</v>
      </c>
      <c r="AT1267" s="15" t="n">
        <v>13.12</v>
      </c>
      <c r="AU1267" s="15" t="n">
        <v>18.23</v>
      </c>
      <c r="AV1267" s="34" t="n">
        <v>46133</v>
      </c>
      <c r="AW1267" s="15" t="n">
        <v>36.9</v>
      </c>
      <c r="AX1267" s="15" t="n">
        <v>40.65</v>
      </c>
      <c r="AY1267" s="34" t="n">
        <v>46133</v>
      </c>
      <c r="AZ1267" s="15" t="n">
        <v>31.52</v>
      </c>
      <c r="BA1267" s="15" t="n">
        <v>46.11</v>
      </c>
      <c r="BB1267" s="34" t="n">
        <v>46133</v>
      </c>
      <c r="BC1267" s="15" t="n">
        <v>78.90000000000001</v>
      </c>
      <c r="BD1267" s="15" t="n">
        <v>95.53</v>
      </c>
      <c r="BE1267" s="34" t="n">
        <v>46133</v>
      </c>
      <c r="BF1267" s="15" t="n">
        <v>122.8</v>
      </c>
      <c r="BG1267" s="15" t="n">
        <v>179.2</v>
      </c>
      <c r="BH1267" s="34" t="n">
        <v>46133</v>
      </c>
      <c r="BI1267" s="15" t="n">
        <v>17.95</v>
      </c>
      <c r="BJ1267" s="15" t="n">
        <v>26.84</v>
      </c>
      <c r="BK1267" s="34" t="n">
        <v>46133</v>
      </c>
      <c r="BL1267" s="15" t="n">
        <v>61.05</v>
      </c>
      <c r="BM1267" s="15" t="n">
        <v>96.54000000000001</v>
      </c>
      <c r="BN1267" s="34" t="n">
        <v>46133</v>
      </c>
      <c r="BO1267" s="15" t="n">
        <v>13.59</v>
      </c>
      <c r="BP1267" s="15" t="n">
        <v>25.85</v>
      </c>
      <c r="BQ1267" s="34" t="n">
        <v>46133</v>
      </c>
      <c r="BR1267" s="15" t="n">
        <v>21.92</v>
      </c>
      <c r="BS1267" s="15" t="n">
        <v>19.93</v>
      </c>
      <c r="BT1267" s="34" t="n">
        <v>46133</v>
      </c>
      <c r="BU1267" s="15" t="n">
        <v>125.7</v>
      </c>
      <c r="BV1267" s="15" t="n">
        <v>161.17</v>
      </c>
      <c r="BW1267" s="34" t="n">
        <v>46133</v>
      </c>
      <c r="BX1267" s="15" t="n">
        <v>80.90000000000001</v>
      </c>
      <c r="BY1267" s="15" t="n">
        <v>89.95</v>
      </c>
      <c r="BZ1267" s="34" t="n">
        <v>46133</v>
      </c>
      <c r="CA1267" s="15" t="n">
        <v>18.11</v>
      </c>
      <c r="CB1267" s="15" t="n">
        <v>28.71</v>
      </c>
      <c r="CC1267" s="34" t="n">
        <v>46133</v>
      </c>
      <c r="CD1267" s="15" t="n">
        <v>37.72</v>
      </c>
      <c r="CE1267" s="15" t="n">
        <v>57.65</v>
      </c>
      <c r="CF1267" s="34" t="n">
        <v>46133</v>
      </c>
      <c r="CG1267" s="15" t="n">
        <v>138.1</v>
      </c>
      <c r="CH1267" s="15" t="n">
        <v>170.2</v>
      </c>
      <c r="CI1267" s="34" t="n">
        <v>46133</v>
      </c>
      <c r="CJ1267" s="15" t="n">
        <v>10.86</v>
      </c>
      <c r="CK1267" s="15" t="n">
        <v>20.48</v>
      </c>
      <c r="CL1267" s="34" t="n">
        <v>46133</v>
      </c>
      <c r="CM1267" s="15" t="n">
        <v>83.45</v>
      </c>
      <c r="CN1267" s="15" t="n">
        <v>92.84999999999999</v>
      </c>
      <c r="CO1267" s="34" t="n">
        <v>46133</v>
      </c>
      <c r="CP1267" s="15" t="n">
        <v>441</v>
      </c>
      <c r="CQ1267" s="15" t="n">
        <v>306.27</v>
      </c>
      <c r="CR1267" s="34" t="n">
        <v>46133</v>
      </c>
      <c r="CS1267" s="15" t="n">
        <v>23.86</v>
      </c>
      <c r="CT1267" s="15" t="n">
        <v>38.76</v>
      </c>
      <c r="CU1267" s="34" t="n">
        <v>46133</v>
      </c>
      <c r="CV1267" s="15" t="n">
        <v>210</v>
      </c>
      <c r="CW1267" s="15" t="n">
        <v>201.33</v>
      </c>
      <c r="CX1267" s="34" t="n">
        <v>46133</v>
      </c>
      <c r="CY1267" s="15" t="n">
        <v>51.8</v>
      </c>
      <c r="CZ1267" s="15" t="n">
        <v>51.5</v>
      </c>
      <c r="DA1267" s="34" t="n">
        <v>46133</v>
      </c>
      <c r="DB1267" s="15" t="n">
        <v>141.8</v>
      </c>
      <c r="DC1267" s="15" t="n">
        <v>200.6</v>
      </c>
      <c r="DD1267" s="34" t="n">
        <v>46133</v>
      </c>
      <c r="DE1267" s="15" t="n">
        <v>42.64</v>
      </c>
      <c r="DF1267" s="15" t="n">
        <v>45.48</v>
      </c>
      <c r="DG1267" s="34" t="n">
        <v>46133</v>
      </c>
      <c r="DH1267" s="15" t="n">
        <v>207.2</v>
      </c>
      <c r="DI1267" s="15" t="n">
        <v>158.4</v>
      </c>
      <c r="DJ1267" s="34" t="n">
        <v>46133</v>
      </c>
      <c r="DK1267" s="15" t="n">
        <v>56.7</v>
      </c>
      <c r="DL1267" s="15" t="n">
        <v>58.58</v>
      </c>
      <c r="DM1267" s="34" t="n">
        <v>46133</v>
      </c>
      <c r="DN1267" s="15" t="n">
        <v>20.72</v>
      </c>
      <c r="DO1267" s="15" t="n">
        <v>26</v>
      </c>
      <c r="DP1267" s="34" t="n">
        <v>46133</v>
      </c>
      <c r="DQ1267" s="15" t="n">
        <v>12.63</v>
      </c>
      <c r="DR1267" s="15" t="n">
        <v>21.18</v>
      </c>
      <c r="DS1267" s="34" t="n">
        <v>46133</v>
      </c>
      <c r="DT1267" s="15" t="n">
        <v>66.09999999999999</v>
      </c>
      <c r="DU1267" s="15" t="n">
        <v>100.28</v>
      </c>
      <c r="DV1267" s="34" t="n">
        <v>46133</v>
      </c>
      <c r="DW1267" s="15" t="n">
        <v>24.42</v>
      </c>
      <c r="DX1267" s="15" t="n">
        <v>39.43</v>
      </c>
      <c r="DY1267" s="34" t="n">
        <v>46133</v>
      </c>
      <c r="DZ1267" s="15" t="n">
        <v>149.4</v>
      </c>
      <c r="EA1267" s="15" t="n">
        <v>158.3</v>
      </c>
      <c r="EB1267" s="34" t="n">
        <v>46133</v>
      </c>
      <c r="EC1267" s="15" t="n">
        <v>11.95</v>
      </c>
      <c r="ED1267" s="15" t="n">
        <v>21.14</v>
      </c>
      <c r="EE1267" s="34" t="n">
        <v>46133</v>
      </c>
      <c r="EF1267" s="15" t="n">
        <v>315</v>
      </c>
      <c r="EG1267" s="15" t="n">
        <v>330.9</v>
      </c>
      <c r="EH1267" s="34" t="n">
        <v>46133</v>
      </c>
    </row>
    <row r="1268">
      <c r="A1268" s="34" t="n">
        <v>46134</v>
      </c>
      <c r="B1268" s="266" t="n">
        <v>1.147838950157166</v>
      </c>
      <c r="C1268" s="34" t="n">
        <v>46134</v>
      </c>
      <c r="D1268" s="15" t="n">
        <v>23</v>
      </c>
      <c r="E1268" s="15" t="n">
        <v>37.72</v>
      </c>
      <c r="F1268" s="34" t="n">
        <v>46134</v>
      </c>
      <c r="G1268" s="15" t="n">
        <v>93.09999999999999</v>
      </c>
      <c r="H1268" s="15" t="n">
        <v>113.04</v>
      </c>
      <c r="I1268" s="34" t="n">
        <v>46134</v>
      </c>
      <c r="J1268" s="15" t="n">
        <v>20.64</v>
      </c>
      <c r="K1268" s="15" t="n">
        <v>33.59</v>
      </c>
      <c r="L1268" s="34" t="n">
        <v>46134</v>
      </c>
      <c r="M1268" s="15" t="n">
        <v>59</v>
      </c>
      <c r="N1268" s="15" t="n">
        <v>70.73</v>
      </c>
      <c r="O1268" s="34" t="n">
        <v>46134</v>
      </c>
      <c r="P1268" s="15" t="n">
        <v>66.65000000000001</v>
      </c>
      <c r="Q1268" s="15" t="n">
        <v>66.63</v>
      </c>
      <c r="R1268" s="34" t="n">
        <v>46134</v>
      </c>
      <c r="S1268" s="15" t="n">
        <v>56.35</v>
      </c>
      <c r="T1268" s="15" t="n">
        <v>98.22</v>
      </c>
      <c r="U1268" s="34" t="n">
        <v>46134</v>
      </c>
      <c r="Y1268" s="15" t="n">
        <v>89.75</v>
      </c>
      <c r="Z1268" s="15" t="n">
        <v>79.3</v>
      </c>
      <c r="AA1268" s="34" t="n">
        <v>46134</v>
      </c>
      <c r="AB1268" s="15" t="n">
        <v>15.8</v>
      </c>
      <c r="AC1268" s="15" t="n">
        <v>28.62</v>
      </c>
      <c r="AD1268" s="34" t="n">
        <v>46134</v>
      </c>
      <c r="AE1268" s="15" t="n">
        <v>35.26</v>
      </c>
      <c r="AF1268" s="15" t="n">
        <v>36.8</v>
      </c>
      <c r="AG1268" s="34" t="n">
        <v>46134</v>
      </c>
      <c r="AH1268" s="15" t="n">
        <v>41.94</v>
      </c>
      <c r="AI1268" s="15" t="n">
        <v>43.22</v>
      </c>
      <c r="AJ1268" s="34" t="n">
        <v>46134</v>
      </c>
      <c r="AK1268" s="15" t="n">
        <v>32.36</v>
      </c>
      <c r="AL1268" s="15" t="n">
        <v>79.09999999999999</v>
      </c>
      <c r="AM1268" s="34" t="n">
        <v>46134</v>
      </c>
      <c r="AN1268" s="15" t="n">
        <v>699</v>
      </c>
      <c r="AO1268" s="15" t="n">
        <v>436.35</v>
      </c>
      <c r="AP1268" s="34" t="n">
        <v>46134</v>
      </c>
      <c r="AQ1268" s="15" t="n">
        <v>66.84999999999999</v>
      </c>
      <c r="AR1268" s="15" t="n">
        <v>55.44</v>
      </c>
      <c r="AS1268" s="34" t="n">
        <v>46134</v>
      </c>
      <c r="AT1268" s="15" t="n">
        <v>13.44</v>
      </c>
      <c r="AU1268" s="15" t="n">
        <v>18.79</v>
      </c>
      <c r="AV1268" s="34" t="n">
        <v>46134</v>
      </c>
      <c r="AW1268" s="15" t="n">
        <v>36.36</v>
      </c>
      <c r="AX1268" s="15" t="n">
        <v>39.83</v>
      </c>
      <c r="AY1268" s="34" t="n">
        <v>46134</v>
      </c>
      <c r="AZ1268" s="15" t="n">
        <v>30.86</v>
      </c>
      <c r="BA1268" s="15" t="n">
        <v>46.09</v>
      </c>
      <c r="BB1268" s="34" t="n">
        <v>46134</v>
      </c>
      <c r="BC1268" s="15" t="n">
        <v>78.7</v>
      </c>
      <c r="BD1268" s="15" t="n">
        <v>94.59999999999999</v>
      </c>
      <c r="BE1268" s="34" t="n">
        <v>46134</v>
      </c>
      <c r="BF1268" s="15" t="n">
        <v>130.8</v>
      </c>
      <c r="BG1268" s="15" t="n">
        <v>194.69</v>
      </c>
      <c r="BH1268" s="34" t="n">
        <v>46134</v>
      </c>
      <c r="BI1268" s="15" t="n">
        <v>17.92</v>
      </c>
      <c r="BJ1268" s="15" t="n">
        <v>27.25</v>
      </c>
      <c r="BK1268" s="34" t="n">
        <v>46134</v>
      </c>
      <c r="BL1268" s="15" t="n">
        <v>62.5</v>
      </c>
      <c r="BM1268" s="15" t="n">
        <v>103.36</v>
      </c>
      <c r="BN1268" s="34" t="n">
        <v>46134</v>
      </c>
      <c r="BO1268" s="15" t="n">
        <v>13.95</v>
      </c>
      <c r="BP1268" s="15" t="n">
        <v>26.57</v>
      </c>
      <c r="BQ1268" s="34" t="n">
        <v>46134</v>
      </c>
      <c r="BR1268" s="15" t="n">
        <v>21.36</v>
      </c>
      <c r="BS1268" s="15" t="n">
        <v>19.78</v>
      </c>
      <c r="BT1268" s="34" t="n">
        <v>46134</v>
      </c>
      <c r="BU1268" s="15" t="n">
        <v>152.2</v>
      </c>
      <c r="BV1268" s="15" t="n">
        <v>172.18</v>
      </c>
      <c r="BW1268" s="34" t="n">
        <v>46134</v>
      </c>
      <c r="BX1268" s="15" t="n">
        <v>80.05</v>
      </c>
      <c r="BY1268" s="15" t="n">
        <v>90.47</v>
      </c>
      <c r="BZ1268" s="34" t="n">
        <v>46134</v>
      </c>
      <c r="CA1268" s="15" t="n">
        <v>17.59</v>
      </c>
      <c r="CB1268" s="15" t="n">
        <v>29.18</v>
      </c>
      <c r="CC1268" s="34" t="n">
        <v>46134</v>
      </c>
      <c r="CD1268" s="15" t="n">
        <v>37.48</v>
      </c>
      <c r="CE1268" s="15" t="n">
        <v>58.2</v>
      </c>
      <c r="CF1268" s="34" t="n">
        <v>46134</v>
      </c>
      <c r="CG1268" s="15" t="n">
        <v>138.4</v>
      </c>
      <c r="CH1268" s="15" t="n">
        <v>173.8</v>
      </c>
      <c r="CI1268" s="34" t="n">
        <v>46134</v>
      </c>
      <c r="CJ1268" s="15" t="n">
        <v>10.91</v>
      </c>
      <c r="CK1268" s="15" t="n">
        <v>21.29</v>
      </c>
      <c r="CL1268" s="34" t="n">
        <v>46134</v>
      </c>
      <c r="CM1268" s="15" t="n">
        <v>84.75</v>
      </c>
      <c r="CN1268" s="15" t="n">
        <v>94.2</v>
      </c>
      <c r="CO1268" s="34" t="n">
        <v>46134</v>
      </c>
      <c r="CP1268" s="15" t="n">
        <v>450</v>
      </c>
      <c r="CQ1268" s="15" t="n">
        <v>313.98</v>
      </c>
      <c r="CR1268" s="34" t="n">
        <v>46134</v>
      </c>
      <c r="CS1268" s="15" t="n">
        <v>22.8</v>
      </c>
      <c r="CT1268" s="15" t="n">
        <v>38.29</v>
      </c>
      <c r="CU1268" s="34" t="n">
        <v>46134</v>
      </c>
      <c r="CV1268" s="15" t="n">
        <v>205.6</v>
      </c>
      <c r="CW1268" s="15" t="n">
        <v>201.4</v>
      </c>
      <c r="CX1268" s="34" t="n">
        <v>46134</v>
      </c>
      <c r="CY1268" s="15" t="n">
        <v>52</v>
      </c>
      <c r="CZ1268" s="15" t="n">
        <v>52.26</v>
      </c>
      <c r="DA1268" s="34" t="n">
        <v>46134</v>
      </c>
      <c r="DB1268" s="15" t="n">
        <v>140.4</v>
      </c>
      <c r="DC1268" s="15" t="n">
        <v>198.32</v>
      </c>
      <c r="DD1268" s="34" t="n">
        <v>46134</v>
      </c>
      <c r="DE1268" s="15" t="n">
        <v>40.02</v>
      </c>
      <c r="DF1268" s="15" t="n">
        <v>44.72</v>
      </c>
      <c r="DG1268" s="34" t="n">
        <v>46134</v>
      </c>
      <c r="DH1268" s="15" t="n">
        <v>224.4</v>
      </c>
      <c r="DI1268" s="15" t="n">
        <v>163.35</v>
      </c>
      <c r="DJ1268" s="34" t="n">
        <v>46134</v>
      </c>
      <c r="DK1268" s="15" t="n">
        <v>57.95</v>
      </c>
      <c r="DL1268" s="15" t="n">
        <v>58.8</v>
      </c>
      <c r="DM1268" s="34" t="n">
        <v>46134</v>
      </c>
      <c r="DN1268" s="15" t="n">
        <v>20.8</v>
      </c>
      <c r="DO1268" s="15" t="n">
        <v>26.27</v>
      </c>
      <c r="DP1268" s="34" t="n">
        <v>46134</v>
      </c>
      <c r="DQ1268" s="15" t="n">
        <v>12.6</v>
      </c>
      <c r="DR1268" s="15" t="n">
        <v>21.18</v>
      </c>
      <c r="DS1268" s="34" t="n">
        <v>46134</v>
      </c>
      <c r="DT1268" s="15" t="n">
        <v>66.05</v>
      </c>
      <c r="DU1268" s="15" t="n">
        <v>100.68</v>
      </c>
      <c r="DV1268" s="34" t="n">
        <v>46134</v>
      </c>
      <c r="DW1268" s="15" t="n">
        <v>23.76</v>
      </c>
      <c r="DX1268" s="15" t="n">
        <v>39.74</v>
      </c>
      <c r="DY1268" s="34" t="n">
        <v>46134</v>
      </c>
      <c r="DZ1268" s="15" t="n">
        <v>148.8</v>
      </c>
      <c r="EA1268" s="15" t="n">
        <v>158.52</v>
      </c>
      <c r="EB1268" s="34" t="n">
        <v>46134</v>
      </c>
      <c r="EC1268" s="15" t="n">
        <v>12.49</v>
      </c>
      <c r="ED1268" s="15" t="n">
        <v>22.55</v>
      </c>
      <c r="EE1268" s="34" t="n">
        <v>46134</v>
      </c>
      <c r="EF1268" s="15" t="n">
        <v>336.8</v>
      </c>
      <c r="EG1268" s="15" t="n">
        <v>342.78</v>
      </c>
      <c r="EH1268" s="34" t="n">
        <v>46134</v>
      </c>
    </row>
    <row r="1269">
      <c r="A1269" s="34" t="n">
        <v>46135</v>
      </c>
      <c r="B1269" s="266" t="n">
        <v>1.147513031959534</v>
      </c>
      <c r="C1269" s="34" t="n">
        <v>46135</v>
      </c>
      <c r="D1269" s="15" t="n">
        <v>22.08</v>
      </c>
      <c r="E1269" s="15" t="n">
        <v>37.3</v>
      </c>
      <c r="F1269" s="34" t="n">
        <v>46135</v>
      </c>
      <c r="G1269" s="15" t="n">
        <v>92.05</v>
      </c>
      <c r="H1269" s="15" t="n">
        <v>112.01</v>
      </c>
      <c r="I1269" s="34" t="n">
        <v>46135</v>
      </c>
      <c r="J1269" s="15" t="n">
        <v>20</v>
      </c>
      <c r="K1269" s="15" t="n">
        <v>32.25</v>
      </c>
      <c r="L1269" s="34" t="n">
        <v>46135</v>
      </c>
      <c r="M1269" s="15" t="n">
        <v>57</v>
      </c>
      <c r="N1269" s="15" t="n">
        <v>67.97</v>
      </c>
      <c r="O1269" s="34" t="n">
        <v>46135</v>
      </c>
      <c r="P1269" s="15" t="n">
        <v>65.5</v>
      </c>
      <c r="Q1269" s="15" t="n">
        <v>66.28</v>
      </c>
      <c r="R1269" s="34" t="n">
        <v>46135</v>
      </c>
      <c r="S1269" s="15" t="n">
        <v>57.25</v>
      </c>
      <c r="T1269" s="15" t="n">
        <v>99.41</v>
      </c>
      <c r="U1269" s="34" t="n">
        <v>46135</v>
      </c>
      <c r="Y1269" s="15" t="n">
        <v>89.55</v>
      </c>
      <c r="Z1269" s="15" t="n">
        <v>79.84999999999999</v>
      </c>
      <c r="AA1269" s="34" t="n">
        <v>46135</v>
      </c>
      <c r="AB1269" s="15" t="n">
        <v>17.15</v>
      </c>
      <c r="AC1269" s="15" t="n">
        <v>30.45</v>
      </c>
      <c r="AD1269" s="34" t="n">
        <v>46135</v>
      </c>
      <c r="AE1269" s="15" t="n">
        <v>35.3</v>
      </c>
      <c r="AF1269" s="15" t="n">
        <v>36.7</v>
      </c>
      <c r="AG1269" s="34" t="n">
        <v>46135</v>
      </c>
      <c r="AH1269" s="15" t="n">
        <v>39.12</v>
      </c>
      <c r="AI1269" s="15" t="n">
        <v>41.17</v>
      </c>
      <c r="AJ1269" s="34" t="n">
        <v>46135</v>
      </c>
      <c r="AK1269" s="15" t="n">
        <v>30.8</v>
      </c>
      <c r="AL1269" s="15" t="n">
        <v>76.38</v>
      </c>
      <c r="AM1269" s="34" t="n">
        <v>46135</v>
      </c>
      <c r="AN1269" s="15" t="n">
        <v>702.5</v>
      </c>
      <c r="AO1269" s="15" t="n">
        <v>438.9</v>
      </c>
      <c r="AP1269" s="34" t="n">
        <v>46135</v>
      </c>
      <c r="AQ1269" s="15" t="n">
        <v>68.7</v>
      </c>
      <c r="AR1269" s="15" t="n">
        <v>56.4</v>
      </c>
      <c r="AS1269" s="34" t="n">
        <v>46135</v>
      </c>
      <c r="AT1269" s="15" t="n">
        <v>13.81</v>
      </c>
      <c r="AU1269" s="15" t="n">
        <v>19.45</v>
      </c>
      <c r="AV1269" s="34" t="n">
        <v>46135</v>
      </c>
      <c r="AW1269" s="15" t="n">
        <v>36.1</v>
      </c>
      <c r="AX1269" s="15" t="n">
        <v>39.58</v>
      </c>
      <c r="AY1269" s="34" t="n">
        <v>46135</v>
      </c>
      <c r="AZ1269" s="15" t="n">
        <v>30</v>
      </c>
      <c r="BA1269" s="15" t="n">
        <v>45.16</v>
      </c>
      <c r="BB1269" s="34" t="n">
        <v>46135</v>
      </c>
      <c r="BC1269" s="15" t="n">
        <v>81</v>
      </c>
      <c r="BD1269" s="15" t="n">
        <v>96.73</v>
      </c>
      <c r="BE1269" s="34" t="n">
        <v>46135</v>
      </c>
      <c r="BF1269" s="15" t="n">
        <v>125.6</v>
      </c>
      <c r="BG1269" s="15" t="n">
        <v>196.32</v>
      </c>
      <c r="BH1269" s="34" t="n">
        <v>46135</v>
      </c>
      <c r="BI1269" s="15" t="n">
        <v>17.14</v>
      </c>
      <c r="BJ1269" s="15" t="n">
        <v>26.6</v>
      </c>
      <c r="BK1269" s="34" t="n">
        <v>46135</v>
      </c>
      <c r="BL1269" s="15" t="n">
        <v>64.34999999999999</v>
      </c>
      <c r="BM1269" s="15" t="n">
        <v>107.41</v>
      </c>
      <c r="BN1269" s="34" t="n">
        <v>46135</v>
      </c>
      <c r="BO1269" s="15" t="n">
        <v>13.36</v>
      </c>
      <c r="BP1269" s="15" t="n">
        <v>26</v>
      </c>
      <c r="BQ1269" s="34" t="n">
        <v>46135</v>
      </c>
      <c r="BR1269" s="15" t="n">
        <v>21.22</v>
      </c>
      <c r="BS1269" s="15" t="n">
        <v>19.6</v>
      </c>
      <c r="BT1269" s="34" t="n">
        <v>46135</v>
      </c>
      <c r="BU1269" s="15" t="n">
        <v>145.1</v>
      </c>
      <c r="BV1269" s="15" t="n">
        <v>164.33</v>
      </c>
      <c r="BW1269" s="34" t="n">
        <v>46135</v>
      </c>
      <c r="BX1269" s="15" t="n">
        <v>81.2</v>
      </c>
      <c r="BY1269" s="15" t="n">
        <v>92.48</v>
      </c>
      <c r="BZ1269" s="34" t="n">
        <v>46135</v>
      </c>
      <c r="CA1269" s="15" t="n">
        <v>17.38</v>
      </c>
      <c r="CB1269" s="15" t="n">
        <v>29.51</v>
      </c>
      <c r="CC1269" s="34" t="n">
        <v>46135</v>
      </c>
      <c r="CD1269" s="15" t="n">
        <v>36.22</v>
      </c>
      <c r="CE1269" s="15" t="n">
        <v>57.1</v>
      </c>
      <c r="CF1269" s="34" t="n">
        <v>46135</v>
      </c>
      <c r="CG1269" s="15" t="n">
        <v>142.2</v>
      </c>
      <c r="CH1269" s="15" t="n">
        <v>177.61</v>
      </c>
      <c r="CI1269" s="34" t="n">
        <v>46135</v>
      </c>
      <c r="CJ1269" s="15" t="n">
        <v>10.79</v>
      </c>
      <c r="CK1269" s="15" t="n">
        <v>20.66</v>
      </c>
      <c r="CL1269" s="34" t="n">
        <v>46135</v>
      </c>
      <c r="CM1269" s="15" t="n">
        <v>81.75</v>
      </c>
      <c r="CN1269" s="15" t="n">
        <v>92.44</v>
      </c>
      <c r="CO1269" s="34" t="n">
        <v>46135</v>
      </c>
      <c r="CP1269" s="15" t="n">
        <v>451.6</v>
      </c>
      <c r="CQ1269" s="15" t="n">
        <v>304.8</v>
      </c>
      <c r="CR1269" s="34" t="n">
        <v>46135</v>
      </c>
      <c r="CS1269" s="15" t="n">
        <v>21.62</v>
      </c>
      <c r="CT1269" s="15" t="n">
        <v>37.49</v>
      </c>
      <c r="CU1269" s="34" t="n">
        <v>46135</v>
      </c>
      <c r="CV1269" s="15" t="n">
        <v>205.6</v>
      </c>
      <c r="CW1269" s="15" t="n">
        <v>204.18</v>
      </c>
      <c r="CX1269" s="34" t="n">
        <v>46135</v>
      </c>
      <c r="CY1269" s="15" t="n">
        <v>51.8</v>
      </c>
      <c r="CZ1269" s="15" t="n">
        <v>52.27</v>
      </c>
      <c r="DA1269" s="34" t="n">
        <v>46135</v>
      </c>
      <c r="DB1269" s="15" t="n">
        <v>132.5</v>
      </c>
      <c r="DC1269" s="15" t="n">
        <v>191.1</v>
      </c>
      <c r="DD1269" s="34" t="n">
        <v>46135</v>
      </c>
      <c r="DE1269" s="15" t="n">
        <v>39.58</v>
      </c>
      <c r="DF1269" s="15" t="n">
        <v>43.49</v>
      </c>
      <c r="DG1269" s="34" t="n">
        <v>46135</v>
      </c>
      <c r="DH1269" s="15" t="n">
        <v>229.6</v>
      </c>
      <c r="DI1269" s="15" t="n">
        <v>159.7</v>
      </c>
      <c r="DJ1269" s="34" t="n">
        <v>46135</v>
      </c>
      <c r="DK1269" s="15" t="n">
        <v>57.9</v>
      </c>
      <c r="DL1269" s="15" t="n">
        <v>57.08</v>
      </c>
      <c r="DM1269" s="34" t="n">
        <v>46135</v>
      </c>
      <c r="DN1269" s="15" t="n">
        <v>20.58</v>
      </c>
      <c r="DO1269" s="15" t="n">
        <v>26.06</v>
      </c>
      <c r="DP1269" s="34" t="n">
        <v>46135</v>
      </c>
      <c r="DQ1269" s="15" t="n">
        <v>12.36</v>
      </c>
      <c r="DR1269" s="15" t="n">
        <v>20.87</v>
      </c>
      <c r="DS1269" s="34" t="n">
        <v>46135</v>
      </c>
      <c r="DT1269" s="15" t="n">
        <v>62.1</v>
      </c>
      <c r="DU1269" s="15" t="n">
        <v>97.54000000000001</v>
      </c>
      <c r="DV1269" s="34" t="n">
        <v>46135</v>
      </c>
      <c r="DW1269" s="15" t="n">
        <v>23.26</v>
      </c>
      <c r="DX1269" s="15" t="n">
        <v>39.18</v>
      </c>
      <c r="DY1269" s="34" t="n">
        <v>46135</v>
      </c>
      <c r="DZ1269" s="15" t="n">
        <v>151.9</v>
      </c>
      <c r="EA1269" s="15" t="n">
        <v>168.38</v>
      </c>
      <c r="EB1269" s="34" t="n">
        <v>46135</v>
      </c>
      <c r="EC1269" s="15" t="n">
        <v>12.9</v>
      </c>
      <c r="ED1269" s="15" t="n">
        <v>23.71</v>
      </c>
      <c r="EE1269" s="34" t="n">
        <v>46135</v>
      </c>
      <c r="EF1269" s="15" t="n">
        <v>317.8</v>
      </c>
      <c r="EG1269" s="15" t="n">
        <v>331.95</v>
      </c>
      <c r="EH1269" s="34" t="n">
        <v>46135</v>
      </c>
      <c r="EI1269" s="15" t="n">
        <v>88</v>
      </c>
      <c r="EJ1269" s="15" t="n">
        <v>103.86</v>
      </c>
      <c r="EK1269" s="34" t="n">
        <v>46135</v>
      </c>
    </row>
    <row r="1270">
      <c r="A1270" s="34" t="n">
        <v>46136</v>
      </c>
      <c r="B1270" s="266" t="n">
        <v>1.147369027137756</v>
      </c>
      <c r="C1270" s="34" t="n">
        <v>46136</v>
      </c>
      <c r="D1270" s="15" t="n">
        <v>22.12</v>
      </c>
      <c r="E1270" s="15" t="n">
        <v>37.61</v>
      </c>
      <c r="F1270" s="34" t="n">
        <v>46136</v>
      </c>
      <c r="G1270" s="15" t="n">
        <v>99.40000000000001</v>
      </c>
      <c r="H1270" s="15" t="n">
        <v>117.08</v>
      </c>
      <c r="I1270" s="34" t="n">
        <v>46136</v>
      </c>
      <c r="J1270" s="15" t="n">
        <v>19.3</v>
      </c>
      <c r="K1270" s="15" t="n">
        <v>31.92</v>
      </c>
      <c r="L1270" s="34" t="n">
        <v>46136</v>
      </c>
      <c r="M1270" s="15" t="n">
        <v>60.45</v>
      </c>
      <c r="N1270" s="15" t="n">
        <v>73.7</v>
      </c>
      <c r="O1270" s="34" t="n">
        <v>46136</v>
      </c>
      <c r="P1270" s="15" t="n">
        <v>64.3</v>
      </c>
      <c r="Q1270" s="15" t="n">
        <v>65.42</v>
      </c>
      <c r="R1270" s="34" t="n">
        <v>46136</v>
      </c>
      <c r="S1270" s="15" t="n">
        <v>60</v>
      </c>
      <c r="T1270" s="15" t="n">
        <v>102.88</v>
      </c>
      <c r="U1270" s="34" t="n">
        <v>46136</v>
      </c>
      <c r="Y1270" s="15" t="n">
        <v>89.2</v>
      </c>
      <c r="Z1270" s="15" t="n">
        <v>79.66</v>
      </c>
      <c r="AA1270" s="34" t="n">
        <v>46136</v>
      </c>
      <c r="AB1270" s="15" t="n">
        <v>17.91</v>
      </c>
      <c r="AC1270" s="15" t="n">
        <v>32.56</v>
      </c>
      <c r="AD1270" s="34" t="n">
        <v>46136</v>
      </c>
      <c r="AE1270" s="15" t="n">
        <v>35.36</v>
      </c>
      <c r="AF1270" s="15" t="n">
        <v>36.5</v>
      </c>
      <c r="AG1270" s="34" t="n">
        <v>46136</v>
      </c>
      <c r="AH1270" s="15" t="n">
        <v>38.98</v>
      </c>
      <c r="AI1270" s="15" t="n">
        <v>40.69</v>
      </c>
      <c r="AJ1270" s="34" t="n">
        <v>46136</v>
      </c>
      <c r="AK1270" s="15" t="n">
        <v>30.46</v>
      </c>
      <c r="AL1270" s="15" t="n">
        <v>74.87</v>
      </c>
      <c r="AM1270" s="34" t="n">
        <v>46136</v>
      </c>
      <c r="AN1270" s="15" t="n">
        <v>695</v>
      </c>
      <c r="AO1270" s="15" t="n">
        <v>444.9</v>
      </c>
      <c r="AP1270" s="34" t="n">
        <v>46136</v>
      </c>
      <c r="AQ1270" s="15" t="n">
        <v>68.84999999999999</v>
      </c>
      <c r="AR1270" s="15" t="n">
        <v>56.05</v>
      </c>
      <c r="AS1270" s="34" t="n">
        <v>46136</v>
      </c>
      <c r="AT1270" s="15" t="n">
        <v>13.86</v>
      </c>
      <c r="AU1270" s="15" t="n">
        <v>19.56</v>
      </c>
      <c r="AV1270" s="34" t="n">
        <v>46136</v>
      </c>
      <c r="AW1270" s="15" t="n">
        <v>36.14</v>
      </c>
      <c r="AX1270" s="15" t="n">
        <v>39.92</v>
      </c>
      <c r="AY1270" s="34" t="n">
        <v>46136</v>
      </c>
      <c r="AZ1270" s="15" t="n">
        <v>30.66</v>
      </c>
      <c r="BA1270" s="15" t="n">
        <v>44.94</v>
      </c>
      <c r="BB1270" s="34" t="n">
        <v>46136</v>
      </c>
      <c r="BC1270" s="15" t="n">
        <v>82.15000000000001</v>
      </c>
      <c r="BD1270" s="15" t="n">
        <v>98.8</v>
      </c>
      <c r="BE1270" s="34" t="n">
        <v>46136</v>
      </c>
      <c r="BF1270" s="15" t="n">
        <v>127.3</v>
      </c>
      <c r="BG1270" s="15" t="n">
        <v>200.88</v>
      </c>
      <c r="BH1270" s="34" t="n">
        <v>46136</v>
      </c>
      <c r="BI1270" s="15" t="n">
        <v>16.88</v>
      </c>
      <c r="BJ1270" s="15" t="n">
        <v>25.96</v>
      </c>
      <c r="BK1270" s="34" t="n">
        <v>46136</v>
      </c>
      <c r="BL1270" s="15" t="n">
        <v>63.3</v>
      </c>
      <c r="BM1270" s="15" t="n">
        <v>105.55</v>
      </c>
      <c r="BN1270" s="34" t="n">
        <v>46136</v>
      </c>
      <c r="BO1270" s="15" t="n">
        <v>12.09</v>
      </c>
      <c r="BP1270" s="15" t="n">
        <v>22.64</v>
      </c>
      <c r="BQ1270" s="34" t="n">
        <v>46136</v>
      </c>
      <c r="BR1270" s="15" t="n">
        <v>21.1</v>
      </c>
      <c r="BS1270" s="15" t="n">
        <v>19.52</v>
      </c>
      <c r="BT1270" s="34" t="n">
        <v>46136</v>
      </c>
      <c r="BU1270" s="15" t="n">
        <v>126.9</v>
      </c>
      <c r="BV1270" s="15" t="n">
        <v>153.64</v>
      </c>
      <c r="BW1270" s="34" t="n">
        <v>46136</v>
      </c>
      <c r="BX1270" s="15" t="n">
        <v>79.25</v>
      </c>
      <c r="BY1270" s="15" t="n">
        <v>90.84999999999999</v>
      </c>
      <c r="BZ1270" s="34" t="n">
        <v>46136</v>
      </c>
      <c r="CA1270" s="15" t="n">
        <v>17.09</v>
      </c>
      <c r="CB1270" s="15" t="n">
        <v>28.88</v>
      </c>
      <c r="CC1270" s="34" t="n">
        <v>46136</v>
      </c>
      <c r="CD1270" s="15" t="n">
        <v>39.48</v>
      </c>
      <c r="CE1270" s="15" t="n">
        <v>61.38</v>
      </c>
      <c r="CF1270" s="34" t="n">
        <v>46136</v>
      </c>
      <c r="CG1270" s="15" t="n">
        <v>155</v>
      </c>
      <c r="CH1270" s="15" t="n">
        <v>182.81</v>
      </c>
      <c r="CI1270" s="34" t="n">
        <v>46136</v>
      </c>
      <c r="CJ1270" s="15" t="n">
        <v>10.38</v>
      </c>
      <c r="CK1270" s="15" t="n">
        <v>20.33</v>
      </c>
      <c r="CL1270" s="34" t="n">
        <v>46136</v>
      </c>
      <c r="CM1270" s="15" t="n">
        <v>87.75</v>
      </c>
      <c r="CN1270" s="15" t="n">
        <v>95.12</v>
      </c>
      <c r="CO1270" s="34" t="n">
        <v>46136</v>
      </c>
      <c r="CP1270" s="15" t="n">
        <v>449.4</v>
      </c>
      <c r="CQ1270" s="15" t="n">
        <v>297.7</v>
      </c>
      <c r="CR1270" s="34" t="n">
        <v>46136</v>
      </c>
      <c r="CS1270" s="15" t="n">
        <v>20.78</v>
      </c>
      <c r="CT1270" s="15" t="n">
        <v>36.52</v>
      </c>
      <c r="CU1270" s="34" t="n">
        <v>46136</v>
      </c>
      <c r="CV1270" s="15" t="n">
        <v>205.2</v>
      </c>
      <c r="CW1270" s="15" t="n">
        <v>199.96</v>
      </c>
      <c r="CX1270" s="34" t="n">
        <v>46136</v>
      </c>
      <c r="CY1270" s="15" t="n">
        <v>50.5</v>
      </c>
      <c r="CZ1270" s="15" t="n">
        <v>51.22</v>
      </c>
      <c r="DA1270" s="34" t="n">
        <v>46136</v>
      </c>
      <c r="DB1270" s="15" t="n">
        <v>139.1</v>
      </c>
      <c r="DC1270" s="15" t="n">
        <v>186.56</v>
      </c>
      <c r="DD1270" s="34" t="n">
        <v>46136</v>
      </c>
      <c r="DE1270" s="15" t="n">
        <v>39.12</v>
      </c>
      <c r="DF1270" s="15" t="n">
        <v>43.14</v>
      </c>
      <c r="DG1270" s="34" t="n">
        <v>46136</v>
      </c>
      <c r="DH1270" s="15" t="n">
        <v>227.8</v>
      </c>
      <c r="DI1270" s="15" t="n">
        <v>163.5</v>
      </c>
      <c r="DJ1270" s="34" t="n">
        <v>46136</v>
      </c>
      <c r="DK1270" s="15" t="n">
        <v>57.15</v>
      </c>
      <c r="DL1270" s="15" t="n">
        <v>56.96</v>
      </c>
      <c r="DM1270" s="34" t="n">
        <v>46136</v>
      </c>
      <c r="DN1270" s="15" t="n">
        <v>17.66</v>
      </c>
      <c r="DO1270" s="15" t="n">
        <v>23.62</v>
      </c>
      <c r="DP1270" s="34" t="n">
        <v>46136</v>
      </c>
      <c r="DQ1270" s="15" t="n">
        <v>12.19</v>
      </c>
      <c r="DR1270" s="15" t="n">
        <v>20.62</v>
      </c>
      <c r="DS1270" s="34" t="n">
        <v>46136</v>
      </c>
      <c r="DT1270" s="15" t="n">
        <v>61.9</v>
      </c>
      <c r="DU1270" s="15" t="n">
        <v>96.3</v>
      </c>
      <c r="DV1270" s="34" t="n">
        <v>46136</v>
      </c>
      <c r="DW1270" s="15" t="n">
        <v>23.3</v>
      </c>
      <c r="DX1270" s="15" t="n">
        <v>39.5</v>
      </c>
      <c r="DY1270" s="34" t="n">
        <v>46136</v>
      </c>
      <c r="DZ1270" s="15" t="n">
        <v>167.1</v>
      </c>
      <c r="EA1270" s="15" t="n">
        <v>170.6</v>
      </c>
      <c r="EB1270" s="34" t="n">
        <v>46136</v>
      </c>
      <c r="EC1270" s="15" t="n">
        <v>12.37</v>
      </c>
      <c r="ED1270" s="15" t="n">
        <v>23.1</v>
      </c>
      <c r="EE1270" s="34" t="n">
        <v>46136</v>
      </c>
      <c r="EF1270" s="15" t="n">
        <v>315.6</v>
      </c>
      <c r="EG1270" s="15" t="n">
        <v>315.59</v>
      </c>
      <c r="EH1270" s="34" t="n">
        <v>46136</v>
      </c>
      <c r="EI1270" s="15" t="n">
        <v>88.75</v>
      </c>
      <c r="EJ1270" s="15" t="n">
        <v>107.54</v>
      </c>
      <c r="EK1270" s="34" t="n">
        <v>46136</v>
      </c>
    </row>
    <row r="1271">
      <c r="A1271" s="34" t="n">
        <v>46139</v>
      </c>
      <c r="B1271" s="266" t="n">
        <v>1.146002054214478</v>
      </c>
      <c r="C1271" s="34" t="n">
        <v>46139</v>
      </c>
      <c r="D1271" s="15" t="n">
        <v>21.6</v>
      </c>
      <c r="E1271" s="15" t="n">
        <v>37.23</v>
      </c>
      <c r="F1271" s="34" t="n">
        <v>46139</v>
      </c>
      <c r="G1271" s="15" t="n">
        <v>105</v>
      </c>
      <c r="H1271" s="15" t="n">
        <v>117.72</v>
      </c>
      <c r="I1271" s="34" t="n">
        <v>46139</v>
      </c>
      <c r="J1271" s="15" t="n">
        <v>19.1</v>
      </c>
      <c r="K1271" s="15" t="n">
        <v>31.99</v>
      </c>
      <c r="L1271" s="34" t="n">
        <v>46139</v>
      </c>
      <c r="M1271" s="15" t="n">
        <v>58.7</v>
      </c>
      <c r="N1271" s="15" t="n">
        <v>73.65000000000001</v>
      </c>
      <c r="O1271" s="34" t="n">
        <v>46139</v>
      </c>
      <c r="P1271" s="15" t="n">
        <v>63.6</v>
      </c>
      <c r="Q1271" s="15" t="n">
        <v>65.62</v>
      </c>
      <c r="R1271" s="34" t="n">
        <v>46139</v>
      </c>
      <c r="S1271" s="15" t="n">
        <v>58.85</v>
      </c>
      <c r="T1271" s="15" t="n">
        <v>98.69</v>
      </c>
      <c r="U1271" s="34" t="n">
        <v>46139</v>
      </c>
      <c r="Y1271" s="15" t="n">
        <v>88.84999999999999</v>
      </c>
      <c r="Z1271" s="15" t="n">
        <v>79.5</v>
      </c>
      <c r="AA1271" s="34" t="n">
        <v>46139</v>
      </c>
      <c r="AB1271" s="15" t="n">
        <v>18.51</v>
      </c>
      <c r="AC1271" s="15" t="n">
        <v>31.51</v>
      </c>
      <c r="AD1271" s="34" t="n">
        <v>46139</v>
      </c>
      <c r="AE1271" s="15" t="n">
        <v>35.8</v>
      </c>
      <c r="AF1271" s="15" t="n">
        <v>36.88</v>
      </c>
      <c r="AG1271" s="34" t="n">
        <v>46139</v>
      </c>
      <c r="AH1271" s="15" t="n">
        <v>37.78</v>
      </c>
      <c r="AI1271" s="15" t="n">
        <v>38.98</v>
      </c>
      <c r="AJ1271" s="34" t="n">
        <v>46139</v>
      </c>
      <c r="AK1271" s="15" t="n">
        <v>31.42</v>
      </c>
      <c r="AL1271" s="15" t="n">
        <v>74.7</v>
      </c>
      <c r="AM1271" s="34" t="n">
        <v>46139</v>
      </c>
      <c r="AN1271" s="15" t="n">
        <v>675.5</v>
      </c>
      <c r="AO1271" s="15" t="n">
        <v>434.88</v>
      </c>
      <c r="AP1271" s="34" t="n">
        <v>46139</v>
      </c>
      <c r="AQ1271" s="15" t="n">
        <v>67.59999999999999</v>
      </c>
      <c r="AR1271" s="15" t="n">
        <v>55.38</v>
      </c>
      <c r="AS1271" s="34" t="n">
        <v>46139</v>
      </c>
      <c r="AT1271" s="15" t="n">
        <v>14.14</v>
      </c>
      <c r="AU1271" s="15" t="n">
        <v>19.62</v>
      </c>
      <c r="AV1271" s="34" t="n">
        <v>46139</v>
      </c>
      <c r="AW1271" s="15" t="n">
        <v>36.56</v>
      </c>
      <c r="AX1271" s="15" t="n">
        <v>39.85</v>
      </c>
      <c r="AY1271" s="34" t="n">
        <v>46139</v>
      </c>
      <c r="AZ1271" s="15" t="n">
        <v>31.9</v>
      </c>
      <c r="BA1271" s="15" t="n">
        <v>45.91</v>
      </c>
      <c r="BB1271" s="34" t="n">
        <v>46139</v>
      </c>
      <c r="BC1271" s="15" t="n">
        <v>82.84999999999999</v>
      </c>
      <c r="BD1271" s="15" t="n">
        <v>99.5</v>
      </c>
      <c r="BE1271" s="34" t="n">
        <v>46139</v>
      </c>
      <c r="BF1271" s="15" t="n">
        <v>127.6</v>
      </c>
      <c r="BG1271" s="15" t="n">
        <v>204.69</v>
      </c>
      <c r="BH1271" s="34" t="n">
        <v>46139</v>
      </c>
      <c r="BI1271" s="15" t="n">
        <v>17.48</v>
      </c>
      <c r="BJ1271" s="15" t="n">
        <v>26.71</v>
      </c>
      <c r="BK1271" s="34" t="n">
        <v>46139</v>
      </c>
      <c r="BL1271" s="15" t="n">
        <v>64.90000000000001</v>
      </c>
      <c r="BM1271" s="15" t="n">
        <v>107.7</v>
      </c>
      <c r="BN1271" s="34" t="n">
        <v>46139</v>
      </c>
      <c r="BO1271" s="15" t="n">
        <v>12.44</v>
      </c>
      <c r="BP1271" s="15" t="n">
        <v>23.26</v>
      </c>
      <c r="BQ1271" s="34" t="n">
        <v>46139</v>
      </c>
      <c r="BR1271" s="15" t="n">
        <v>21.5</v>
      </c>
      <c r="BS1271" s="15" t="n">
        <v>19.5</v>
      </c>
      <c r="BT1271" s="34" t="n">
        <v>46139</v>
      </c>
      <c r="BU1271" s="15" t="n">
        <v>133.1</v>
      </c>
      <c r="BV1271" s="15" t="n">
        <v>153.59</v>
      </c>
      <c r="BW1271" s="34" t="n">
        <v>46139</v>
      </c>
      <c r="BX1271" s="15" t="n">
        <v>79.5</v>
      </c>
      <c r="BY1271" s="15" t="n">
        <v>90.68000000000001</v>
      </c>
      <c r="BZ1271" s="34" t="n">
        <v>46139</v>
      </c>
      <c r="CA1271" s="15" t="n">
        <v>17.18</v>
      </c>
      <c r="CB1271" s="15" t="n">
        <v>28.59</v>
      </c>
      <c r="CC1271" s="34" t="n">
        <v>46139</v>
      </c>
      <c r="CD1271" s="15" t="n">
        <v>43</v>
      </c>
      <c r="CE1271" s="15" t="n">
        <v>61.86</v>
      </c>
      <c r="CF1271" s="34" t="n">
        <v>46139</v>
      </c>
      <c r="CG1271" s="15" t="n">
        <v>156.9</v>
      </c>
      <c r="CH1271" s="15" t="n">
        <v>187.5</v>
      </c>
      <c r="CI1271" s="34" t="n">
        <v>46139</v>
      </c>
      <c r="CJ1271" s="15" t="n">
        <v>10.3</v>
      </c>
      <c r="CK1271" s="15" t="n">
        <v>20.69</v>
      </c>
      <c r="CL1271" s="34" t="n">
        <v>46139</v>
      </c>
      <c r="CM1271" s="15" t="n">
        <v>95.84999999999999</v>
      </c>
      <c r="CN1271" s="15" t="n">
        <v>104.63</v>
      </c>
      <c r="CO1271" s="34" t="n">
        <v>46139</v>
      </c>
      <c r="CP1271" s="15" t="n">
        <v>452</v>
      </c>
      <c r="CQ1271" s="15" t="n">
        <v>303.42</v>
      </c>
      <c r="CR1271" s="34" t="n">
        <v>46139</v>
      </c>
      <c r="CS1271" s="15" t="n">
        <v>22.38</v>
      </c>
      <c r="CT1271" s="15" t="n">
        <v>38.24</v>
      </c>
      <c r="CU1271" s="34" t="n">
        <v>46139</v>
      </c>
      <c r="CV1271" s="15" t="n">
        <v>207</v>
      </c>
      <c r="CW1271" s="15" t="n">
        <v>197.75</v>
      </c>
      <c r="CX1271" s="34" t="n">
        <v>46139</v>
      </c>
      <c r="CY1271" s="15" t="n">
        <v>49.5</v>
      </c>
      <c r="CZ1271" s="15" t="n">
        <v>52.98</v>
      </c>
      <c r="DA1271" s="34" t="n">
        <v>46139</v>
      </c>
      <c r="DB1271" s="15" t="n">
        <v>140.6</v>
      </c>
      <c r="DC1271" s="15" t="n">
        <v>188.26</v>
      </c>
      <c r="DD1271" s="34" t="n">
        <v>46139</v>
      </c>
      <c r="DE1271" s="15" t="n">
        <v>39</v>
      </c>
      <c r="DF1271" s="15" t="n">
        <v>42.26</v>
      </c>
      <c r="DG1271" s="34" t="n">
        <v>46139</v>
      </c>
      <c r="DH1271" s="15" t="n">
        <v>259.2</v>
      </c>
      <c r="DI1271" s="15" t="n">
        <v>178.09</v>
      </c>
      <c r="DJ1271" s="34" t="n">
        <v>46139</v>
      </c>
      <c r="DK1271" s="15" t="n">
        <v>58</v>
      </c>
      <c r="DL1271" s="15" t="n">
        <v>57.43</v>
      </c>
      <c r="DM1271" s="34" t="n">
        <v>46139</v>
      </c>
      <c r="DN1271" s="15" t="n">
        <v>17.5</v>
      </c>
      <c r="DO1271" s="15" t="n">
        <v>23.7</v>
      </c>
      <c r="DP1271" s="34" t="n">
        <v>46139</v>
      </c>
      <c r="DQ1271" s="15" t="n">
        <v>12.58</v>
      </c>
      <c r="DR1271" s="15" t="n">
        <v>20.95</v>
      </c>
      <c r="DS1271" s="34" t="n">
        <v>46139</v>
      </c>
      <c r="DT1271" s="15" t="n">
        <v>66.84999999999999</v>
      </c>
      <c r="DU1271" s="15" t="n">
        <v>100.18</v>
      </c>
      <c r="DV1271" s="34" t="n">
        <v>46139</v>
      </c>
      <c r="DW1271" s="15" t="n">
        <v>24.02</v>
      </c>
      <c r="DX1271" s="15" t="n">
        <v>39.39</v>
      </c>
      <c r="DY1271" s="34" t="n">
        <v>46139</v>
      </c>
      <c r="DZ1271" s="15" t="n">
        <v>170.8</v>
      </c>
      <c r="EA1271" s="15" t="n">
        <v>172.2</v>
      </c>
      <c r="EB1271" s="34" t="n">
        <v>46139</v>
      </c>
      <c r="EC1271" s="15" t="n">
        <v>12.49</v>
      </c>
      <c r="ED1271" s="15" t="n">
        <v>23.08</v>
      </c>
      <c r="EE1271" s="34" t="n">
        <v>46139</v>
      </c>
      <c r="EF1271" s="15" t="n">
        <v>307</v>
      </c>
      <c r="EG1271" s="15" t="n">
        <v>317.4</v>
      </c>
      <c r="EH1271" s="34" t="n">
        <v>46139</v>
      </c>
      <c r="EI1271" s="15" t="n">
        <v>98</v>
      </c>
      <c r="EJ1271" s="15" t="n">
        <v>108.1</v>
      </c>
      <c r="EK1271" s="34" t="n">
        <v>46139</v>
      </c>
    </row>
    <row r="1272">
      <c r="A1272" s="34" t="n">
        <v>46140</v>
      </c>
      <c r="B1272" s="266" t="n">
        <v>1.148522019386292</v>
      </c>
      <c r="C1272" s="34" t="n">
        <v>46140</v>
      </c>
      <c r="D1272" s="15" t="n">
        <v>23.6</v>
      </c>
      <c r="E1272" s="15" t="n">
        <v>39.95</v>
      </c>
      <c r="F1272" s="34" t="n">
        <v>46140</v>
      </c>
      <c r="G1272" s="15" t="n">
        <v>112.4</v>
      </c>
      <c r="H1272" s="15" t="n">
        <v>129.49</v>
      </c>
      <c r="I1272" s="34" t="n">
        <v>46140</v>
      </c>
      <c r="J1272" s="15" t="n">
        <v>18.68</v>
      </c>
      <c r="K1272" s="15" t="n">
        <v>30.98</v>
      </c>
      <c r="L1272" s="34" t="n">
        <v>46140</v>
      </c>
      <c r="M1272" s="15" t="n">
        <v>58.2</v>
      </c>
      <c r="N1272" s="15" t="n">
        <v>72.53</v>
      </c>
      <c r="O1272" s="34" t="n">
        <v>46140</v>
      </c>
      <c r="P1272" s="15" t="n">
        <v>62.3</v>
      </c>
      <c r="Q1272" s="15" t="n">
        <v>64.56</v>
      </c>
      <c r="R1272" s="34" t="n">
        <v>46140</v>
      </c>
      <c r="S1272" s="15" t="n">
        <v>51.7</v>
      </c>
      <c r="T1272" s="15" t="n">
        <v>96.2</v>
      </c>
      <c r="U1272" s="34" t="n">
        <v>46140</v>
      </c>
      <c r="Y1272" s="15" t="n">
        <v>87.5</v>
      </c>
      <c r="Z1272" s="15" t="n">
        <v>80.45</v>
      </c>
      <c r="AA1272" s="34" t="n">
        <v>46140</v>
      </c>
      <c r="AB1272" s="15" t="n">
        <v>18.33</v>
      </c>
      <c r="AC1272" s="15" t="n">
        <v>29.99</v>
      </c>
      <c r="AD1272" s="34" t="n">
        <v>46140</v>
      </c>
      <c r="AE1272" s="15" t="n">
        <v>35.96</v>
      </c>
      <c r="AF1272" s="15" t="n">
        <v>37.02</v>
      </c>
      <c r="AG1272" s="34" t="n">
        <v>46140</v>
      </c>
      <c r="AH1272" s="15" t="n">
        <v>36.94</v>
      </c>
      <c r="AI1272" s="15" t="n">
        <v>37.37</v>
      </c>
      <c r="AJ1272" s="34" t="n">
        <v>46140</v>
      </c>
      <c r="AK1272" s="15" t="n">
        <v>31.1</v>
      </c>
      <c r="AL1272" s="15" t="n">
        <v>72.87</v>
      </c>
      <c r="AM1272" s="34" t="n">
        <v>46140</v>
      </c>
      <c r="AN1272" s="15" t="n">
        <v>629</v>
      </c>
      <c r="AO1272" s="15" t="n">
        <v>427.67</v>
      </c>
      <c r="AP1272" s="34" t="n">
        <v>46140</v>
      </c>
      <c r="AQ1272" s="15" t="n">
        <v>65.7</v>
      </c>
      <c r="AR1272" s="15" t="n">
        <v>54.84</v>
      </c>
      <c r="AS1272" s="34" t="n">
        <v>46140</v>
      </c>
      <c r="AT1272" s="15" t="n">
        <v>14.05</v>
      </c>
      <c r="AU1272" s="15" t="n">
        <v>19.7</v>
      </c>
      <c r="AV1272" s="34" t="n">
        <v>46140</v>
      </c>
      <c r="AW1272" s="15" t="n">
        <v>36.7</v>
      </c>
      <c r="AX1272" s="15" t="n">
        <v>39.26</v>
      </c>
      <c r="AY1272" s="34" t="n">
        <v>46140</v>
      </c>
      <c r="AZ1272" s="15" t="n">
        <v>31.18</v>
      </c>
      <c r="BA1272" s="15" t="n">
        <v>44.16</v>
      </c>
      <c r="BB1272" s="34" t="n">
        <v>46140</v>
      </c>
      <c r="BC1272" s="15" t="n">
        <v>83</v>
      </c>
      <c r="BD1272" s="15" t="n">
        <v>99.84</v>
      </c>
      <c r="BE1272" s="34" t="n">
        <v>46140</v>
      </c>
      <c r="BF1272" s="15" t="n">
        <v>122.1</v>
      </c>
      <c r="BG1272" s="15" t="n">
        <v>202.15</v>
      </c>
      <c r="BH1272" s="34" t="n">
        <v>46140</v>
      </c>
      <c r="BI1272" s="15" t="n">
        <v>16.7</v>
      </c>
      <c r="BJ1272" s="15" t="n">
        <v>25.62</v>
      </c>
      <c r="BK1272" s="34" t="n">
        <v>46140</v>
      </c>
      <c r="BL1272" s="15" t="n">
        <v>62.7</v>
      </c>
      <c r="BM1272" s="15" t="n">
        <v>104.62</v>
      </c>
      <c r="BN1272" s="34" t="n">
        <v>46140</v>
      </c>
      <c r="BO1272" s="15" t="n">
        <v>11.87</v>
      </c>
      <c r="BP1272" s="15" t="n">
        <v>22.55</v>
      </c>
      <c r="BQ1272" s="34" t="n">
        <v>46140</v>
      </c>
      <c r="BR1272" s="15" t="n">
        <v>21.52</v>
      </c>
      <c r="BS1272" s="15" t="n">
        <v>20.14</v>
      </c>
      <c r="BT1272" s="34" t="n">
        <v>46140</v>
      </c>
      <c r="BU1272" s="15" t="n">
        <v>111.2</v>
      </c>
      <c r="BV1272" s="15" t="n">
        <v>155.19</v>
      </c>
      <c r="BW1272" s="34" t="n">
        <v>46140</v>
      </c>
      <c r="BX1272" s="15" t="n">
        <v>77.55</v>
      </c>
      <c r="BY1272" s="15" t="n">
        <v>88.95</v>
      </c>
      <c r="BZ1272" s="34" t="n">
        <v>46140</v>
      </c>
      <c r="CA1272" s="15" t="n">
        <v>16.8</v>
      </c>
      <c r="CB1272" s="15" t="n">
        <v>28.18</v>
      </c>
      <c r="CC1272" s="34" t="n">
        <v>46140</v>
      </c>
      <c r="CD1272" s="15" t="n">
        <v>43</v>
      </c>
      <c r="CE1272" s="15" t="n">
        <v>60.94</v>
      </c>
      <c r="CF1272" s="34" t="n">
        <v>46140</v>
      </c>
      <c r="CG1272" s="15" t="n">
        <v>155.2</v>
      </c>
      <c r="CH1272" s="15" t="n">
        <v>185.5</v>
      </c>
      <c r="CI1272" s="34" t="n">
        <v>46140</v>
      </c>
      <c r="CJ1272" s="15" t="n">
        <v>10.18</v>
      </c>
      <c r="CK1272" s="15" t="n">
        <v>20.51</v>
      </c>
      <c r="CL1272" s="34" t="n">
        <v>46140</v>
      </c>
      <c r="CM1272" s="15" t="n">
        <v>93.15000000000001</v>
      </c>
      <c r="CN1272" s="15" t="n">
        <v>103.89</v>
      </c>
      <c r="CO1272" s="34" t="n">
        <v>46140</v>
      </c>
      <c r="CP1272" s="15" t="n">
        <v>445.2</v>
      </c>
      <c r="CQ1272" s="15" t="n">
        <v>307.5</v>
      </c>
      <c r="CR1272" s="34" t="n">
        <v>46140</v>
      </c>
      <c r="CS1272" s="15" t="n">
        <v>21.2</v>
      </c>
      <c r="CT1272" s="15" t="n">
        <v>36.63</v>
      </c>
      <c r="CU1272" s="34" t="n">
        <v>46140</v>
      </c>
      <c r="CV1272" s="15" t="n">
        <v>206.2</v>
      </c>
      <c r="CW1272" s="15" t="n">
        <v>196.58</v>
      </c>
      <c r="CX1272" s="34" t="n">
        <v>46140</v>
      </c>
      <c r="CY1272" s="15" t="n">
        <v>50.1</v>
      </c>
      <c r="CZ1272" s="15" t="n">
        <v>54.21</v>
      </c>
      <c r="DA1272" s="34" t="n">
        <v>46140</v>
      </c>
      <c r="DB1272" s="15" t="n">
        <v>137.7</v>
      </c>
      <c r="DC1272" s="15" t="n">
        <v>185.1</v>
      </c>
      <c r="DD1272" s="34" t="n">
        <v>46140</v>
      </c>
      <c r="DE1272" s="15" t="n">
        <v>40.8</v>
      </c>
      <c r="DF1272" s="15" t="n">
        <v>43.3</v>
      </c>
      <c r="DG1272" s="34" t="n">
        <v>46140</v>
      </c>
      <c r="DH1272" s="15" t="n">
        <v>264.8</v>
      </c>
      <c r="DI1272" s="15" t="n">
        <v>173.61</v>
      </c>
      <c r="DJ1272" s="34" t="n">
        <v>46140</v>
      </c>
      <c r="DK1272" s="15" t="n">
        <v>57.6</v>
      </c>
      <c r="DL1272" s="15" t="n">
        <v>55.36</v>
      </c>
      <c r="DM1272" s="34" t="n">
        <v>46140</v>
      </c>
      <c r="DN1272" s="15" t="n">
        <v>16.47</v>
      </c>
      <c r="DO1272" s="15" t="n">
        <v>22.86</v>
      </c>
      <c r="DP1272" s="34" t="n">
        <v>46140</v>
      </c>
      <c r="DQ1272" s="15" t="n">
        <v>11.96</v>
      </c>
      <c r="DR1272" s="15" t="n">
        <v>20.38</v>
      </c>
      <c r="DS1272" s="34" t="n">
        <v>46140</v>
      </c>
      <c r="DT1272" s="15" t="n">
        <v>60.65</v>
      </c>
      <c r="DU1272" s="15" t="n">
        <v>92.75</v>
      </c>
      <c r="DV1272" s="34" t="n">
        <v>46140</v>
      </c>
      <c r="DW1272" s="15" t="n">
        <v>22.54</v>
      </c>
      <c r="DX1272" s="15" t="n">
        <v>38.2</v>
      </c>
      <c r="DY1272" s="34" t="n">
        <v>46140</v>
      </c>
      <c r="DZ1272" s="15" t="n">
        <v>174.3</v>
      </c>
      <c r="EA1272" s="15" t="n">
        <v>165.11</v>
      </c>
      <c r="EB1272" s="34" t="n">
        <v>46140</v>
      </c>
      <c r="EC1272" s="15" t="n">
        <v>12.3</v>
      </c>
      <c r="ED1272" s="15" t="n">
        <v>22.22</v>
      </c>
      <c r="EE1272" s="34" t="n">
        <v>46140</v>
      </c>
      <c r="EF1272" s="15" t="n">
        <v>300</v>
      </c>
      <c r="EG1272" s="15" t="n">
        <v>313.06</v>
      </c>
      <c r="EH1272" s="34" t="n">
        <v>46140</v>
      </c>
      <c r="EI1272" s="15" t="n">
        <v>91.5</v>
      </c>
      <c r="EJ1272" s="15" t="n">
        <v>103.9</v>
      </c>
      <c r="EK1272" s="34" t="n">
        <v>46140</v>
      </c>
      <c r="EL1272" s="15" t="n">
        <v>27.8</v>
      </c>
      <c r="EM1272" s="15" t="n">
        <v>35.07</v>
      </c>
      <c r="EN1272" s="34" t="n">
        <v>46140</v>
      </c>
    </row>
    <row r="1273">
      <c r="A1273" s="34" t="n">
        <v>46141</v>
      </c>
      <c r="B1273" s="266" t="n">
        <v>1.145936012268066</v>
      </c>
      <c r="C1273" s="34" t="n">
        <v>46141</v>
      </c>
      <c r="D1273" s="15" t="n">
        <v>23.26</v>
      </c>
      <c r="E1273" s="15" t="n">
        <v>38.64</v>
      </c>
      <c r="F1273" s="34" t="n">
        <v>46141</v>
      </c>
      <c r="G1273" s="15" t="n">
        <v>109.6</v>
      </c>
      <c r="H1273" s="15" t="n">
        <v>126.8</v>
      </c>
      <c r="I1273" s="34" t="n">
        <v>46141</v>
      </c>
      <c r="J1273" s="15" t="n">
        <v>20.08</v>
      </c>
      <c r="K1273" s="15" t="n">
        <v>33.49</v>
      </c>
      <c r="L1273" s="34" t="n">
        <v>46141</v>
      </c>
      <c r="M1273" s="15" t="n">
        <v>63.25</v>
      </c>
      <c r="N1273" s="15" t="n">
        <v>75.52</v>
      </c>
      <c r="O1273" s="34" t="n">
        <v>46141</v>
      </c>
      <c r="P1273" s="15" t="n">
        <v>65.34999999999999</v>
      </c>
      <c r="Q1273" s="15" t="n">
        <v>65.95</v>
      </c>
      <c r="R1273" s="34" t="n">
        <v>46141</v>
      </c>
      <c r="S1273" s="15" t="n">
        <v>50.2</v>
      </c>
      <c r="T1273" s="15" t="n">
        <v>93.76000000000001</v>
      </c>
      <c r="U1273" s="34" t="n">
        <v>46141</v>
      </c>
      <c r="Y1273" s="15" t="n">
        <v>89.15000000000001</v>
      </c>
      <c r="Z1273" s="15" t="n">
        <v>81.31</v>
      </c>
      <c r="AA1273" s="34" t="n">
        <v>46141</v>
      </c>
      <c r="AB1273" s="15" t="n">
        <v>21.88</v>
      </c>
      <c r="AC1273" s="15" t="n">
        <v>32.99</v>
      </c>
      <c r="AD1273" s="34" t="n">
        <v>46141</v>
      </c>
      <c r="AE1273" s="15" t="n">
        <v>35.78</v>
      </c>
      <c r="AF1273" s="15" t="n">
        <v>36.84</v>
      </c>
      <c r="AG1273" s="34" t="n">
        <v>46141</v>
      </c>
      <c r="AH1273" s="15" t="n">
        <v>38.08</v>
      </c>
      <c r="AI1273" s="15" t="n">
        <v>38.88</v>
      </c>
      <c r="AJ1273" s="34" t="n">
        <v>46141</v>
      </c>
      <c r="AK1273" s="15" t="n">
        <v>33.1</v>
      </c>
      <c r="AL1273" s="15" t="n">
        <v>76.86</v>
      </c>
      <c r="AM1273" s="34" t="n">
        <v>46141</v>
      </c>
      <c r="AN1273" s="15" t="n">
        <v>627.5</v>
      </c>
      <c r="AO1273" s="15" t="n">
        <v>445</v>
      </c>
      <c r="AP1273" s="34" t="n">
        <v>46141</v>
      </c>
      <c r="AQ1273" s="15" t="n">
        <v>66.55</v>
      </c>
      <c r="AR1273" s="15" t="n">
        <v>54.99</v>
      </c>
      <c r="AS1273" s="34" t="n">
        <v>46141</v>
      </c>
      <c r="AT1273" s="15" t="n">
        <v>14.43</v>
      </c>
      <c r="AU1273" s="15" t="n">
        <v>19.59</v>
      </c>
      <c r="AV1273" s="34" t="n">
        <v>46141</v>
      </c>
      <c r="AW1273" s="15" t="n">
        <v>36.5</v>
      </c>
      <c r="AX1273" s="15" t="n">
        <v>39.27</v>
      </c>
      <c r="AY1273" s="34" t="n">
        <v>46141</v>
      </c>
      <c r="AZ1273" s="15" t="n">
        <v>31.88</v>
      </c>
      <c r="BA1273" s="15" t="n">
        <v>44.82</v>
      </c>
      <c r="BB1273" s="34" t="n">
        <v>46141</v>
      </c>
      <c r="BC1273" s="15" t="n">
        <v>90.09999999999999</v>
      </c>
      <c r="BD1273" s="15" t="n">
        <v>109.82</v>
      </c>
      <c r="BE1273" s="34" t="n">
        <v>46141</v>
      </c>
      <c r="BF1273" s="15" t="n">
        <v>124.9</v>
      </c>
      <c r="BG1273" s="15" t="n">
        <v>195.99</v>
      </c>
      <c r="BH1273" s="34" t="n">
        <v>46141</v>
      </c>
      <c r="BI1273" s="15" t="n">
        <v>17</v>
      </c>
      <c r="BJ1273" s="15" t="n">
        <v>25.82</v>
      </c>
      <c r="BK1273" s="34" t="n">
        <v>46141</v>
      </c>
      <c r="BL1273" s="15" t="n">
        <v>62.7</v>
      </c>
      <c r="BM1273" s="15" t="n">
        <v>105.22</v>
      </c>
      <c r="BN1273" s="34" t="n">
        <v>46141</v>
      </c>
      <c r="BO1273" s="15" t="n">
        <v>11.97</v>
      </c>
      <c r="BP1273" s="15" t="n">
        <v>22.5</v>
      </c>
      <c r="BQ1273" s="34" t="n">
        <v>46141</v>
      </c>
      <c r="BR1273" s="15" t="n">
        <v>22.32</v>
      </c>
      <c r="BS1273" s="15" t="n">
        <v>20.5</v>
      </c>
      <c r="BT1273" s="34" t="n">
        <v>46141</v>
      </c>
      <c r="BU1273" s="15" t="n">
        <v>127.7</v>
      </c>
      <c r="BV1273" s="15" t="n">
        <v>170.71</v>
      </c>
      <c r="BW1273" s="34" t="n">
        <v>46141</v>
      </c>
      <c r="BX1273" s="15" t="n">
        <v>79.40000000000001</v>
      </c>
      <c r="BY1273" s="15" t="n">
        <v>90.45</v>
      </c>
      <c r="BZ1273" s="34" t="n">
        <v>46141</v>
      </c>
      <c r="CA1273" s="15" t="n">
        <v>17.1</v>
      </c>
      <c r="CB1273" s="15" t="n">
        <v>28.47</v>
      </c>
      <c r="CC1273" s="34" t="n">
        <v>46141</v>
      </c>
      <c r="CD1273" s="15" t="n">
        <v>45.8</v>
      </c>
      <c r="CE1273" s="15" t="n">
        <v>65.36</v>
      </c>
      <c r="CF1273" s="34" t="n">
        <v>46141</v>
      </c>
      <c r="CG1273" s="15" t="n">
        <v>154.8</v>
      </c>
      <c r="CH1273" s="15" t="n">
        <v>188.99</v>
      </c>
      <c r="CI1273" s="34" t="n">
        <v>46141</v>
      </c>
      <c r="CJ1273" s="15" t="n">
        <v>10.3</v>
      </c>
      <c r="CK1273" s="15" t="n">
        <v>20.71</v>
      </c>
      <c r="CL1273" s="34" t="n">
        <v>46141</v>
      </c>
      <c r="CM1273" s="15" t="n">
        <v>90.7</v>
      </c>
      <c r="CN1273" s="15" t="n">
        <v>101.59</v>
      </c>
      <c r="CO1273" s="34" t="n">
        <v>46141</v>
      </c>
      <c r="CP1273" s="15" t="n">
        <v>477</v>
      </c>
      <c r="CQ1273" s="15" t="n">
        <v>308.89</v>
      </c>
      <c r="CR1273" s="34" t="n">
        <v>46141</v>
      </c>
      <c r="CS1273" s="15" t="n">
        <v>21.98</v>
      </c>
      <c r="CT1273" s="15" t="n">
        <v>36.1</v>
      </c>
      <c r="CU1273" s="34" t="n">
        <v>46141</v>
      </c>
      <c r="CV1273" s="15" t="n">
        <v>224</v>
      </c>
      <c r="CW1273" s="15" t="n">
        <v>208.33</v>
      </c>
      <c r="CX1273" s="34" t="n">
        <v>46141</v>
      </c>
      <c r="CY1273" s="15" t="n">
        <v>48.3</v>
      </c>
      <c r="CZ1273" s="15" t="n">
        <v>54.33</v>
      </c>
      <c r="DA1273" s="34" t="n">
        <v>46141</v>
      </c>
      <c r="DB1273" s="15" t="n">
        <v>139.1</v>
      </c>
      <c r="DC1273" s="15" t="n">
        <v>185.11</v>
      </c>
      <c r="DD1273" s="34" t="n">
        <v>46141</v>
      </c>
      <c r="DE1273" s="15" t="n">
        <v>41.82</v>
      </c>
      <c r="DF1273" s="15" t="n">
        <v>44.62</v>
      </c>
      <c r="DG1273" s="34" t="n">
        <v>46141</v>
      </c>
      <c r="DH1273" s="15" t="n">
        <v>254.8</v>
      </c>
      <c r="DI1273" s="15" t="n">
        <v>169.9</v>
      </c>
      <c r="DJ1273" s="34" t="n">
        <v>46141</v>
      </c>
      <c r="DK1273" s="15" t="n">
        <v>56.55</v>
      </c>
      <c r="DL1273" s="15" t="n">
        <v>55.81</v>
      </c>
      <c r="DM1273" s="34" t="n">
        <v>46141</v>
      </c>
      <c r="DN1273" s="15" t="n">
        <v>16.72</v>
      </c>
      <c r="DO1273" s="15" t="n">
        <v>22.9</v>
      </c>
      <c r="DP1273" s="34" t="n">
        <v>46141</v>
      </c>
      <c r="DQ1273" s="15" t="n">
        <v>12.39</v>
      </c>
      <c r="DR1273" s="15" t="n">
        <v>20.8</v>
      </c>
      <c r="DS1273" s="34" t="n">
        <v>46141</v>
      </c>
      <c r="DT1273" s="15" t="n">
        <v>62.45</v>
      </c>
      <c r="DU1273" s="15" t="n">
        <v>93.90000000000001</v>
      </c>
      <c r="DV1273" s="34" t="n">
        <v>46141</v>
      </c>
      <c r="DW1273" s="15" t="n">
        <v>22.82</v>
      </c>
      <c r="DX1273" s="15" t="n">
        <v>38.82</v>
      </c>
      <c r="DY1273" s="34" t="n">
        <v>46141</v>
      </c>
      <c r="DZ1273" s="15" t="n">
        <v>176.6</v>
      </c>
      <c r="EA1273" s="15" t="n">
        <v>164</v>
      </c>
      <c r="EB1273" s="34" t="n">
        <v>46141</v>
      </c>
      <c r="EC1273" s="15" t="n">
        <v>12.25</v>
      </c>
      <c r="ED1273" s="15" t="n">
        <v>22.16</v>
      </c>
      <c r="EE1273" s="34" t="n">
        <v>46141</v>
      </c>
      <c r="EF1273" s="15" t="n">
        <v>321</v>
      </c>
      <c r="EG1273" s="15" t="n">
        <v>333.87</v>
      </c>
      <c r="EH1273" s="34" t="n">
        <v>46141</v>
      </c>
      <c r="EI1273" s="15" t="n">
        <v>87.8</v>
      </c>
      <c r="EJ1273" s="15" t="n">
        <v>102.46</v>
      </c>
      <c r="EK1273" s="34" t="n">
        <v>46141</v>
      </c>
      <c r="EL1273" s="15" t="n">
        <v>25.48</v>
      </c>
      <c r="EM1273" s="15" t="n">
        <v>34.45</v>
      </c>
      <c r="EN1273" s="34" t="n">
        <v>46141</v>
      </c>
    </row>
    <row r="1274">
      <c r="A1274" s="34" t="n">
        <v>46142</v>
      </c>
      <c r="B1274" s="266" t="n">
        <v>1.145792007446289</v>
      </c>
      <c r="C1274" s="34" t="n">
        <v>46142</v>
      </c>
      <c r="D1274" s="15" t="n">
        <v>21.5</v>
      </c>
      <c r="E1274" s="15" t="n">
        <v>38.87</v>
      </c>
      <c r="F1274" s="34" t="n">
        <v>46142</v>
      </c>
      <c r="G1274" s="15" t="n">
        <v>105.4</v>
      </c>
      <c r="H1274" s="15" t="n">
        <v>125.56</v>
      </c>
      <c r="I1274" s="34" t="n">
        <v>46142</v>
      </c>
      <c r="J1274" s="15" t="n">
        <v>19.52</v>
      </c>
      <c r="K1274" s="15" t="n">
        <v>32.96</v>
      </c>
      <c r="L1274" s="34" t="n">
        <v>46142</v>
      </c>
      <c r="M1274" s="15" t="n">
        <v>66.45</v>
      </c>
      <c r="N1274" s="15" t="n">
        <v>80.03</v>
      </c>
      <c r="O1274" s="34" t="n">
        <v>46142</v>
      </c>
      <c r="P1274" s="15" t="n">
        <v>63.45</v>
      </c>
      <c r="Q1274" s="15" t="n">
        <v>65.62</v>
      </c>
      <c r="R1274" s="34" t="n">
        <v>46142</v>
      </c>
      <c r="S1274" s="15" t="n">
        <v>52.4</v>
      </c>
      <c r="T1274" s="15" t="n">
        <v>96.33</v>
      </c>
      <c r="U1274" s="34" t="n">
        <v>46142</v>
      </c>
      <c r="Y1274" s="15" t="n">
        <v>89.7</v>
      </c>
      <c r="Z1274" s="15" t="n">
        <v>81.09999999999999</v>
      </c>
      <c r="AA1274" s="34" t="n">
        <v>46142</v>
      </c>
      <c r="AB1274" s="15" t="n">
        <v>21</v>
      </c>
      <c r="AC1274" s="15" t="n">
        <v>33.17</v>
      </c>
      <c r="AD1274" s="34" t="n">
        <v>46142</v>
      </c>
      <c r="AE1274" s="15" t="n">
        <v>35.4</v>
      </c>
      <c r="AF1274" s="15" t="n">
        <v>37.1</v>
      </c>
      <c r="AG1274" s="34" t="n">
        <v>46142</v>
      </c>
      <c r="AH1274" s="15" t="n">
        <v>36</v>
      </c>
      <c r="AI1274" s="15" t="n">
        <v>38</v>
      </c>
      <c r="AJ1274" s="34" t="n">
        <v>46142</v>
      </c>
      <c r="AK1274" s="15" t="n">
        <v>33.74</v>
      </c>
      <c r="AL1274" s="15" t="n">
        <v>80.65000000000001</v>
      </c>
      <c r="AM1274" s="34" t="n">
        <v>46142</v>
      </c>
      <c r="AN1274" s="15" t="n">
        <v>608</v>
      </c>
      <c r="AO1274" s="15" t="n">
        <v>436</v>
      </c>
      <c r="AP1274" s="34" t="n">
        <v>46142</v>
      </c>
      <c r="AQ1274" s="15" t="n">
        <v>65</v>
      </c>
      <c r="AR1274" s="15" t="n">
        <v>53.88</v>
      </c>
      <c r="AS1274" s="34" t="n">
        <v>46142</v>
      </c>
      <c r="AT1274" s="15" t="n">
        <v>15.12</v>
      </c>
      <c r="AU1274" s="15" t="n">
        <v>19.92</v>
      </c>
      <c r="AV1274" s="34" t="n">
        <v>46142</v>
      </c>
      <c r="AW1274" s="15" t="n">
        <v>35</v>
      </c>
      <c r="AX1274" s="15" t="n">
        <v>38.64</v>
      </c>
      <c r="AY1274" s="34" t="n">
        <v>46142</v>
      </c>
      <c r="AZ1274" s="15" t="n">
        <v>33.2</v>
      </c>
      <c r="BA1274" s="15" t="n">
        <v>46.92</v>
      </c>
      <c r="BB1274" s="34" t="n">
        <v>46142</v>
      </c>
      <c r="BC1274" s="15" t="n">
        <v>91.05</v>
      </c>
      <c r="BD1274" s="15" t="n">
        <v>109.39</v>
      </c>
      <c r="BE1274" s="34" t="n">
        <v>46142</v>
      </c>
      <c r="BF1274" s="15" t="n">
        <v>128.9</v>
      </c>
      <c r="BG1274" s="15" t="n">
        <v>197.45</v>
      </c>
      <c r="BH1274" s="34" t="n">
        <v>46142</v>
      </c>
      <c r="BI1274" s="15" t="n">
        <v>16.74</v>
      </c>
      <c r="BJ1274" s="15" t="n">
        <v>25.69</v>
      </c>
      <c r="BK1274" s="34" t="n">
        <v>46142</v>
      </c>
      <c r="BL1274" s="15" t="n">
        <v>58.95</v>
      </c>
      <c r="BM1274" s="15" t="n">
        <v>101</v>
      </c>
      <c r="BN1274" s="34" t="n">
        <v>46142</v>
      </c>
      <c r="BO1274" s="15" t="n">
        <v>11.83</v>
      </c>
      <c r="BP1274" s="15" t="n">
        <v>22.45</v>
      </c>
      <c r="BQ1274" s="34" t="n">
        <v>46142</v>
      </c>
      <c r="BR1274" s="15" t="n">
        <v>21.68</v>
      </c>
      <c r="BS1274" s="15" t="n">
        <v>20.35</v>
      </c>
      <c r="BT1274" s="34" t="n">
        <v>46142</v>
      </c>
      <c r="BU1274" s="15" t="n">
        <v>122</v>
      </c>
      <c r="BV1274" s="15" t="n">
        <v>174.97</v>
      </c>
      <c r="BW1274" s="34" t="n">
        <v>46142</v>
      </c>
      <c r="BX1274" s="15" t="n">
        <v>76.40000000000001</v>
      </c>
      <c r="BY1274" s="15" t="n">
        <v>88.75</v>
      </c>
      <c r="BZ1274" s="34" t="n">
        <v>46142</v>
      </c>
      <c r="CA1274" s="15" t="n">
        <v>16.71</v>
      </c>
      <c r="CB1274" s="15" t="n">
        <v>28.52</v>
      </c>
      <c r="CC1274" s="34" t="n">
        <v>46142</v>
      </c>
      <c r="CD1274" s="15" t="n">
        <v>44.1</v>
      </c>
      <c r="CE1274" s="15" t="n">
        <v>63.73</v>
      </c>
      <c r="CF1274" s="34" t="n">
        <v>46142</v>
      </c>
      <c r="CG1274" s="15" t="n">
        <v>158.9</v>
      </c>
      <c r="CH1274" s="15" t="n">
        <v>198</v>
      </c>
      <c r="CI1274" s="34" t="n">
        <v>46142</v>
      </c>
      <c r="CJ1274" s="15" t="n">
        <v>10.14</v>
      </c>
      <c r="CK1274" s="15" t="n">
        <v>20.95</v>
      </c>
      <c r="CL1274" s="34" t="n">
        <v>46142</v>
      </c>
      <c r="CM1274" s="15" t="n">
        <v>85.7</v>
      </c>
      <c r="CN1274" s="15" t="n">
        <v>98.3</v>
      </c>
      <c r="CO1274" s="34" t="n">
        <v>46142</v>
      </c>
      <c r="CP1274" s="15" t="n">
        <v>468.4</v>
      </c>
      <c r="CQ1274" s="15" t="n">
        <v>312.99</v>
      </c>
      <c r="CR1274" s="34" t="n">
        <v>46142</v>
      </c>
      <c r="CS1274" s="15" t="n">
        <v>21.84</v>
      </c>
      <c r="CT1274" s="15" t="n">
        <v>36.81</v>
      </c>
      <c r="CU1274" s="34" t="n">
        <v>46142</v>
      </c>
      <c r="CV1274" s="15" t="n">
        <v>202.2</v>
      </c>
      <c r="CW1274" s="15" t="n">
        <v>203.84</v>
      </c>
      <c r="CX1274" s="34" t="n">
        <v>46142</v>
      </c>
      <c r="CY1274" s="15" t="n">
        <v>48.8</v>
      </c>
      <c r="CZ1274" s="15" t="n">
        <v>52.8</v>
      </c>
      <c r="DA1274" s="34" t="n">
        <v>46142</v>
      </c>
      <c r="DB1274" s="15" t="n">
        <v>140.3</v>
      </c>
      <c r="DC1274" s="15" t="n">
        <v>182.59</v>
      </c>
      <c r="DD1274" s="34" t="n">
        <v>46142</v>
      </c>
      <c r="DE1274" s="15" t="n">
        <v>41.46</v>
      </c>
      <c r="DF1274" s="15" t="n">
        <v>44.7</v>
      </c>
      <c r="DG1274" s="34" t="n">
        <v>46142</v>
      </c>
      <c r="DH1274" s="15" t="n">
        <v>261.8</v>
      </c>
      <c r="DI1274" s="15" t="n">
        <v>173.3</v>
      </c>
      <c r="DJ1274" s="34" t="n">
        <v>46142</v>
      </c>
      <c r="DK1274" s="15" t="n">
        <v>59.4</v>
      </c>
      <c r="DL1274" s="15" t="n">
        <v>55.22</v>
      </c>
      <c r="DM1274" s="34" t="n">
        <v>46142</v>
      </c>
      <c r="DN1274" s="15" t="n">
        <v>16.52</v>
      </c>
      <c r="DO1274" s="15" t="n">
        <v>22.74</v>
      </c>
      <c r="DP1274" s="34" t="n">
        <v>46142</v>
      </c>
      <c r="DQ1274" s="15" t="n">
        <v>12.83</v>
      </c>
      <c r="DR1274" s="15" t="n">
        <v>21.87</v>
      </c>
      <c r="DS1274" s="34" t="n">
        <v>46142</v>
      </c>
      <c r="DT1274" s="15" t="n">
        <v>66.09999999999999</v>
      </c>
      <c r="DU1274" s="15" t="n">
        <v>96.59</v>
      </c>
      <c r="DV1274" s="34" t="n">
        <v>46142</v>
      </c>
      <c r="DW1274" s="15" t="n">
        <v>22.86</v>
      </c>
      <c r="DX1274" s="15" t="n">
        <v>39.07</v>
      </c>
      <c r="DY1274" s="34" t="n">
        <v>46142</v>
      </c>
      <c r="DZ1274" s="15" t="n">
        <v>174.2</v>
      </c>
      <c r="EA1274" s="15" t="n">
        <v>163.25</v>
      </c>
      <c r="EB1274" s="34" t="n">
        <v>46142</v>
      </c>
      <c r="EC1274" s="15" t="n">
        <v>12.27</v>
      </c>
      <c r="ED1274" s="15" t="n">
        <v>23.05</v>
      </c>
      <c r="EE1274" s="34" t="n">
        <v>46142</v>
      </c>
      <c r="EF1274" s="15" t="n">
        <v>319.4</v>
      </c>
      <c r="EG1274" s="15" t="n">
        <v>328.49</v>
      </c>
      <c r="EH1274" s="34" t="n">
        <v>46142</v>
      </c>
      <c r="EI1274" s="15" t="n">
        <v>91</v>
      </c>
      <c r="EJ1274" s="15" t="n">
        <v>103.61</v>
      </c>
      <c r="EK1274" s="34" t="n">
        <v>46142</v>
      </c>
      <c r="EL1274" s="15" t="n">
        <v>25.96</v>
      </c>
      <c r="EM1274" s="15" t="n">
        <v>35.73</v>
      </c>
      <c r="EN1274" s="34" t="n">
        <v>46142</v>
      </c>
    </row>
    <row r="1275">
      <c r="A1275" s="34" t="n">
        <v>46146</v>
      </c>
      <c r="B1275" s="266" t="n">
        <v>1.147340059280396</v>
      </c>
      <c r="C1275" s="34" t="n">
        <v>46146</v>
      </c>
      <c r="D1275" s="15" t="n">
        <v>21.04</v>
      </c>
      <c r="E1275" s="15" t="n">
        <v>38.87</v>
      </c>
      <c r="F1275" s="34" t="n">
        <v>46142</v>
      </c>
      <c r="G1275" s="15" t="n">
        <v>103.8</v>
      </c>
      <c r="H1275" s="15" t="n">
        <v>125.56</v>
      </c>
      <c r="I1275" s="34" t="n">
        <v>46142</v>
      </c>
      <c r="J1275" s="15" t="n">
        <v>20.1</v>
      </c>
      <c r="K1275" s="15" t="n">
        <v>32.96</v>
      </c>
      <c r="L1275" s="34" t="n">
        <v>46142</v>
      </c>
      <c r="M1275" s="15" t="n">
        <v>67.59999999999999</v>
      </c>
      <c r="N1275" s="15" t="n">
        <v>80.03</v>
      </c>
      <c r="O1275" s="34" t="n">
        <v>46142</v>
      </c>
      <c r="P1275" s="15" t="n">
        <v>63.15</v>
      </c>
      <c r="Q1275" s="15" t="n">
        <v>65.62</v>
      </c>
      <c r="R1275" s="34" t="n">
        <v>46142</v>
      </c>
      <c r="S1275" s="15" t="n">
        <v>52.8</v>
      </c>
      <c r="T1275" s="15" t="n">
        <v>96.33</v>
      </c>
      <c r="U1275" s="34" t="n">
        <v>46142</v>
      </c>
      <c r="V1275" s="15" t="n">
        <v>17.79</v>
      </c>
      <c r="W1275" s="15" t="n">
        <v>26.15</v>
      </c>
      <c r="X1275" s="34" t="n">
        <v>46142</v>
      </c>
      <c r="Y1275" s="15" t="n">
        <v>88.40000000000001</v>
      </c>
      <c r="Z1275" s="15" t="n">
        <v>81.09999999999999</v>
      </c>
      <c r="AA1275" s="34" t="n">
        <v>46142</v>
      </c>
      <c r="AB1275" s="15" t="n">
        <v>22.18</v>
      </c>
      <c r="AC1275" s="15" t="n">
        <v>33.17</v>
      </c>
      <c r="AD1275" s="34" t="n">
        <v>46142</v>
      </c>
      <c r="AE1275" s="15" t="n">
        <v>35.24</v>
      </c>
      <c r="AF1275" s="15" t="n">
        <v>37.1</v>
      </c>
      <c r="AG1275" s="34" t="n">
        <v>46142</v>
      </c>
      <c r="AH1275" s="15" t="n">
        <v>35.54</v>
      </c>
      <c r="AI1275" s="15" t="n">
        <v>38</v>
      </c>
      <c r="AJ1275" s="34" t="n">
        <v>46142</v>
      </c>
      <c r="AK1275" s="15" t="n">
        <v>35.2</v>
      </c>
      <c r="AL1275" s="15" t="n">
        <v>80.65000000000001</v>
      </c>
      <c r="AM1275" s="34" t="n">
        <v>46142</v>
      </c>
      <c r="AN1275" s="15" t="n">
        <v>631.5</v>
      </c>
      <c r="AO1275" s="15" t="n">
        <v>436</v>
      </c>
      <c r="AP1275" s="34" t="n">
        <v>46142</v>
      </c>
      <c r="AQ1275" s="15" t="n">
        <v>67.40000000000001</v>
      </c>
      <c r="AR1275" s="15" t="n">
        <v>53.88</v>
      </c>
      <c r="AS1275" s="34" t="n">
        <v>46142</v>
      </c>
      <c r="AT1275" s="15" t="n">
        <v>14.62</v>
      </c>
      <c r="AU1275" s="15" t="n">
        <v>19.92</v>
      </c>
      <c r="AV1275" s="34" t="n">
        <v>46142</v>
      </c>
      <c r="AW1275" s="15" t="n">
        <v>34.8</v>
      </c>
      <c r="AX1275" s="15" t="n">
        <v>38.64</v>
      </c>
      <c r="AY1275" s="34" t="n">
        <v>46142</v>
      </c>
      <c r="AZ1275" s="15" t="n">
        <v>34.4</v>
      </c>
      <c r="BA1275" s="15" t="n">
        <v>46.92</v>
      </c>
      <c r="BB1275" s="34" t="n">
        <v>46142</v>
      </c>
      <c r="BC1275" s="15" t="n">
        <v>90.05</v>
      </c>
      <c r="BD1275" s="15" t="n">
        <v>109.39</v>
      </c>
      <c r="BE1275" s="34" t="n">
        <v>46142</v>
      </c>
      <c r="BF1275" s="15" t="n">
        <v>128.1</v>
      </c>
      <c r="BG1275" s="15" t="n">
        <v>197.45</v>
      </c>
      <c r="BH1275" s="34" t="n">
        <v>46142</v>
      </c>
      <c r="BI1275" s="15" t="n">
        <v>17.19</v>
      </c>
      <c r="BJ1275" s="15" t="n">
        <v>25.69</v>
      </c>
      <c r="BK1275" s="34" t="n">
        <v>46142</v>
      </c>
      <c r="BL1275" s="15" t="n">
        <v>65.7</v>
      </c>
      <c r="BM1275" s="15" t="n">
        <v>101</v>
      </c>
      <c r="BN1275" s="34" t="n">
        <v>46142</v>
      </c>
      <c r="BO1275" s="15" t="n">
        <v>11.33</v>
      </c>
      <c r="BP1275" s="15" t="n">
        <v>22.45</v>
      </c>
      <c r="BQ1275" s="34" t="n">
        <v>46142</v>
      </c>
      <c r="BR1275" s="15" t="n">
        <v>21.98</v>
      </c>
      <c r="BS1275" s="15" t="n">
        <v>20.35</v>
      </c>
      <c r="BT1275" s="34" t="n">
        <v>46142</v>
      </c>
      <c r="BU1275" s="15" t="n">
        <v>142</v>
      </c>
      <c r="BV1275" s="15" t="n">
        <v>174.97</v>
      </c>
      <c r="BW1275" s="34" t="n">
        <v>46142</v>
      </c>
      <c r="BX1275" s="15" t="n">
        <v>75.34999999999999</v>
      </c>
      <c r="BY1275" s="15" t="n">
        <v>88.75</v>
      </c>
      <c r="BZ1275" s="34" t="n">
        <v>46142</v>
      </c>
      <c r="CA1275" s="15" t="n">
        <v>16.59</v>
      </c>
      <c r="CB1275" s="15" t="n">
        <v>28.52</v>
      </c>
      <c r="CC1275" s="34" t="n">
        <v>46142</v>
      </c>
      <c r="CD1275" s="15" t="n">
        <v>44.54</v>
      </c>
      <c r="CE1275" s="15" t="n">
        <v>63.73</v>
      </c>
      <c r="CF1275" s="34" t="n">
        <v>46142</v>
      </c>
      <c r="CG1275" s="15" t="n">
        <v>154.5</v>
      </c>
      <c r="CH1275" s="15" t="n">
        <v>198</v>
      </c>
      <c r="CI1275" s="34" t="n">
        <v>46142</v>
      </c>
      <c r="CJ1275" s="15" t="n">
        <v>9.890000000000001</v>
      </c>
      <c r="CK1275" s="15" t="n">
        <v>20.95</v>
      </c>
      <c r="CL1275" s="34" t="n">
        <v>46142</v>
      </c>
      <c r="CM1275" s="15" t="n">
        <v>89.40000000000001</v>
      </c>
      <c r="CN1275" s="15" t="n">
        <v>98.3</v>
      </c>
      <c r="CO1275" s="34" t="n">
        <v>46142</v>
      </c>
      <c r="CP1275" s="15" t="n">
        <v>482.8</v>
      </c>
      <c r="CQ1275" s="15" t="n">
        <v>312.99</v>
      </c>
      <c r="CR1275" s="34" t="n">
        <v>46142</v>
      </c>
      <c r="CS1275" s="15" t="n">
        <v>21.56</v>
      </c>
      <c r="CT1275" s="15" t="n">
        <v>36.81</v>
      </c>
      <c r="CU1275" s="34" t="n">
        <v>46142</v>
      </c>
      <c r="CV1275" s="15" t="n">
        <v>211</v>
      </c>
      <c r="CW1275" s="15" t="n">
        <v>203.84</v>
      </c>
      <c r="CX1275" s="34" t="n">
        <v>46142</v>
      </c>
      <c r="CY1275" s="15" t="n">
        <v>50.1</v>
      </c>
      <c r="CZ1275" s="15" t="n">
        <v>52.8</v>
      </c>
      <c r="DA1275" s="34" t="n">
        <v>46142</v>
      </c>
      <c r="DB1275" s="15" t="n">
        <v>140.6</v>
      </c>
      <c r="DC1275" s="15" t="n">
        <v>182.59</v>
      </c>
      <c r="DD1275" s="34" t="n">
        <v>46142</v>
      </c>
      <c r="DE1275" s="15" t="n">
        <v>41.06</v>
      </c>
      <c r="DF1275" s="15" t="n">
        <v>44.7</v>
      </c>
      <c r="DG1275" s="34" t="n">
        <v>46142</v>
      </c>
      <c r="DH1275" s="15" t="n">
        <v>270.4</v>
      </c>
      <c r="DI1275" s="15" t="n">
        <v>173.3</v>
      </c>
      <c r="DJ1275" s="34" t="n">
        <v>46142</v>
      </c>
      <c r="DK1275" s="15" t="n">
        <v>54.25</v>
      </c>
      <c r="DL1275" s="15" t="n">
        <v>55.22</v>
      </c>
      <c r="DM1275" s="34" t="n">
        <v>46142</v>
      </c>
      <c r="DN1275" s="15" t="n">
        <v>16.08</v>
      </c>
      <c r="DO1275" s="15" t="n">
        <v>22.74</v>
      </c>
      <c r="DP1275" s="34" t="n">
        <v>46142</v>
      </c>
      <c r="DQ1275" s="15" t="n">
        <v>13.67</v>
      </c>
      <c r="DR1275" s="15" t="n">
        <v>21.87</v>
      </c>
      <c r="DS1275" s="34" t="n">
        <v>46142</v>
      </c>
      <c r="DT1275" s="15" t="n">
        <v>64.90000000000001</v>
      </c>
      <c r="DU1275" s="15" t="n">
        <v>96.59</v>
      </c>
      <c r="DV1275" s="34" t="n">
        <v>46142</v>
      </c>
      <c r="DW1275" s="15" t="n">
        <v>22.1</v>
      </c>
      <c r="DX1275" s="15" t="n">
        <v>39.07</v>
      </c>
      <c r="DY1275" s="34" t="n">
        <v>46142</v>
      </c>
      <c r="DZ1275" s="15" t="n">
        <v>182.4</v>
      </c>
      <c r="EA1275" s="15" t="n">
        <v>163.25</v>
      </c>
      <c r="EB1275" s="34" t="n">
        <v>46142</v>
      </c>
      <c r="EC1275" s="15" t="n">
        <v>12.27</v>
      </c>
      <c r="ED1275" s="15" t="n">
        <v>23.05</v>
      </c>
      <c r="EE1275" s="34" t="n">
        <v>46142</v>
      </c>
      <c r="EF1275" s="15" t="n">
        <v>320.6</v>
      </c>
      <c r="EG1275" s="15" t="n">
        <v>328.49</v>
      </c>
      <c r="EH1275" s="34" t="n">
        <v>46142</v>
      </c>
      <c r="EI1275" s="15" t="n">
        <v>91.5</v>
      </c>
      <c r="EJ1275" s="15" t="n">
        <v>103.61</v>
      </c>
      <c r="EK1275" s="34" t="n">
        <v>46142</v>
      </c>
      <c r="EL1275" s="15" t="n">
        <v>27.84</v>
      </c>
      <c r="EM1275" s="15" t="n">
        <v>35.73</v>
      </c>
      <c r="EN1275" s="34" t="n">
        <v>46142</v>
      </c>
    </row>
    <row r="1276">
      <c r="A1276" s="34" t="n">
        <v>46147</v>
      </c>
      <c r="B1276" s="266" t="n">
        <v>1.146813988685608</v>
      </c>
      <c r="C1276" s="34" t="n">
        <v>46147</v>
      </c>
      <c r="D1276" s="15" t="n">
        <v>20.62</v>
      </c>
      <c r="E1276" s="15" t="n">
        <v>38.87</v>
      </c>
      <c r="F1276" s="34" t="n">
        <v>46142</v>
      </c>
      <c r="G1276" s="15" t="n">
        <v>99.95</v>
      </c>
      <c r="H1276" s="15" t="n">
        <v>125.56</v>
      </c>
      <c r="I1276" s="34" t="n">
        <v>46142</v>
      </c>
      <c r="J1276" s="15" t="n">
        <v>19.34</v>
      </c>
      <c r="K1276" s="15" t="n">
        <v>32.96</v>
      </c>
      <c r="L1276" s="34" t="n">
        <v>46142</v>
      </c>
      <c r="M1276" s="15" t="n">
        <v>65.45</v>
      </c>
      <c r="N1276" s="15" t="n">
        <v>80.03</v>
      </c>
      <c r="O1276" s="34" t="n">
        <v>46142</v>
      </c>
      <c r="P1276" s="15" t="n">
        <v>60.35</v>
      </c>
      <c r="Q1276" s="15" t="n">
        <v>65.62</v>
      </c>
      <c r="R1276" s="34" t="n">
        <v>46142</v>
      </c>
      <c r="S1276" s="15" t="n">
        <v>52.3</v>
      </c>
      <c r="T1276" s="15" t="n">
        <v>96.33</v>
      </c>
      <c r="U1276" s="34" t="n">
        <v>46142</v>
      </c>
      <c r="V1276" s="15" t="n">
        <v>16.48</v>
      </c>
      <c r="W1276" s="15" t="n">
        <v>26.15</v>
      </c>
      <c r="X1276" s="34" t="n">
        <v>46142</v>
      </c>
      <c r="Y1276" s="15" t="n">
        <v>86.65000000000001</v>
      </c>
      <c r="Z1276" s="15" t="n">
        <v>81.09999999999999</v>
      </c>
      <c r="AA1276" s="34" t="n">
        <v>46142</v>
      </c>
      <c r="AB1276" s="15" t="n">
        <v>22.96</v>
      </c>
      <c r="AC1276" s="15" t="n">
        <v>33.17</v>
      </c>
      <c r="AD1276" s="34" t="n">
        <v>46142</v>
      </c>
      <c r="AE1276" s="15" t="n">
        <v>35.08</v>
      </c>
      <c r="AF1276" s="15" t="n">
        <v>37.1</v>
      </c>
      <c r="AG1276" s="34" t="n">
        <v>46142</v>
      </c>
      <c r="AH1276" s="15" t="n">
        <v>36.44</v>
      </c>
      <c r="AI1276" s="15" t="n">
        <v>38</v>
      </c>
      <c r="AJ1276" s="34" t="n">
        <v>46142</v>
      </c>
      <c r="AK1276" s="15" t="n">
        <v>34.16</v>
      </c>
      <c r="AL1276" s="15" t="n">
        <v>80.65000000000001</v>
      </c>
      <c r="AM1276" s="34" t="n">
        <v>46142</v>
      </c>
      <c r="AN1276" s="15" t="n">
        <v>655</v>
      </c>
      <c r="AO1276" s="15" t="n">
        <v>436</v>
      </c>
      <c r="AP1276" s="34" t="n">
        <v>46142</v>
      </c>
      <c r="AQ1276" s="15" t="n">
        <v>66.3</v>
      </c>
      <c r="AR1276" s="15" t="n">
        <v>53.88</v>
      </c>
      <c r="AS1276" s="34" t="n">
        <v>46142</v>
      </c>
      <c r="AT1276" s="15" t="n">
        <v>14.58</v>
      </c>
      <c r="AU1276" s="15" t="n">
        <v>19.92</v>
      </c>
      <c r="AV1276" s="34" t="n">
        <v>46142</v>
      </c>
      <c r="AW1276" s="15" t="n">
        <v>34.44</v>
      </c>
      <c r="AX1276" s="15" t="n">
        <v>38.64</v>
      </c>
      <c r="AY1276" s="34" t="n">
        <v>46142</v>
      </c>
      <c r="AZ1276" s="15" t="n">
        <v>34.82</v>
      </c>
      <c r="BA1276" s="15" t="n">
        <v>46.92</v>
      </c>
      <c r="BB1276" s="34" t="n">
        <v>46142</v>
      </c>
      <c r="BC1276" s="15" t="n">
        <v>90</v>
      </c>
      <c r="BD1276" s="15" t="n">
        <v>109.39</v>
      </c>
      <c r="BE1276" s="34" t="n">
        <v>46142</v>
      </c>
      <c r="BF1276" s="15" t="n">
        <v>126.4</v>
      </c>
      <c r="BG1276" s="15" t="n">
        <v>197.45</v>
      </c>
      <c r="BH1276" s="34" t="n">
        <v>46142</v>
      </c>
      <c r="BI1276" s="15" t="n">
        <v>17.03</v>
      </c>
      <c r="BJ1276" s="15" t="n">
        <v>25.69</v>
      </c>
      <c r="BK1276" s="34" t="n">
        <v>46142</v>
      </c>
      <c r="BL1276" s="15" t="n">
        <v>64.40000000000001</v>
      </c>
      <c r="BM1276" s="15" t="n">
        <v>101</v>
      </c>
      <c r="BN1276" s="34" t="n">
        <v>46142</v>
      </c>
      <c r="BO1276" s="15" t="n">
        <v>11.11</v>
      </c>
      <c r="BP1276" s="15" t="n">
        <v>22.45</v>
      </c>
      <c r="BQ1276" s="34" t="n">
        <v>46142</v>
      </c>
      <c r="BR1276" s="15" t="n">
        <v>21.28</v>
      </c>
      <c r="BS1276" s="15" t="n">
        <v>20.35</v>
      </c>
      <c r="BT1276" s="34" t="n">
        <v>46142</v>
      </c>
      <c r="BU1276" s="15" t="n">
        <v>137.6</v>
      </c>
      <c r="BV1276" s="15" t="n">
        <v>174.97</v>
      </c>
      <c r="BW1276" s="34" t="n">
        <v>46142</v>
      </c>
      <c r="BX1276" s="15" t="n">
        <v>70.09999999999999</v>
      </c>
      <c r="BY1276" s="15" t="n">
        <v>88.75</v>
      </c>
      <c r="BZ1276" s="34" t="n">
        <v>46142</v>
      </c>
      <c r="CA1276" s="15" t="n">
        <v>16.9</v>
      </c>
      <c r="CB1276" s="15" t="n">
        <v>28.52</v>
      </c>
      <c r="CC1276" s="34" t="n">
        <v>46142</v>
      </c>
      <c r="CD1276" s="15" t="n">
        <v>43.14</v>
      </c>
      <c r="CE1276" s="15" t="n">
        <v>63.73</v>
      </c>
      <c r="CF1276" s="34" t="n">
        <v>46142</v>
      </c>
      <c r="CG1276" s="15" t="n">
        <v>150</v>
      </c>
      <c r="CH1276" s="15" t="n">
        <v>198</v>
      </c>
      <c r="CI1276" s="34" t="n">
        <v>46142</v>
      </c>
      <c r="CJ1276" s="15" t="n">
        <v>9.859999999999999</v>
      </c>
      <c r="CK1276" s="15" t="n">
        <v>20.95</v>
      </c>
      <c r="CL1276" s="34" t="n">
        <v>46142</v>
      </c>
      <c r="CM1276" s="15" t="n">
        <v>84.5</v>
      </c>
      <c r="CN1276" s="15" t="n">
        <v>98.3</v>
      </c>
      <c r="CO1276" s="34" t="n">
        <v>46142</v>
      </c>
      <c r="CP1276" s="15" t="n">
        <v>466</v>
      </c>
      <c r="CQ1276" s="15" t="n">
        <v>312.99</v>
      </c>
      <c r="CR1276" s="34" t="n">
        <v>46142</v>
      </c>
      <c r="CS1276" s="15" t="n">
        <v>21.56</v>
      </c>
      <c r="CT1276" s="15" t="n">
        <v>36.81</v>
      </c>
      <c r="CU1276" s="34" t="n">
        <v>46142</v>
      </c>
      <c r="CV1276" s="15" t="n">
        <v>164.1</v>
      </c>
      <c r="CW1276" s="15" t="n">
        <v>203.84</v>
      </c>
      <c r="CX1276" s="34" t="n">
        <v>46142</v>
      </c>
      <c r="CY1276" s="15" t="n">
        <v>47.58</v>
      </c>
      <c r="CZ1276" s="15" t="n">
        <v>52.8</v>
      </c>
      <c r="DA1276" s="34" t="n">
        <v>46142</v>
      </c>
      <c r="DB1276" s="15" t="n">
        <v>137.8</v>
      </c>
      <c r="DC1276" s="15" t="n">
        <v>182.59</v>
      </c>
      <c r="DD1276" s="34" t="n">
        <v>46142</v>
      </c>
      <c r="DE1276" s="15" t="n">
        <v>40.88</v>
      </c>
      <c r="DF1276" s="15" t="n">
        <v>44.7</v>
      </c>
      <c r="DG1276" s="34" t="n">
        <v>46142</v>
      </c>
      <c r="DH1276" s="15" t="n">
        <v>275.4</v>
      </c>
      <c r="DI1276" s="15" t="n">
        <v>173.3</v>
      </c>
      <c r="DJ1276" s="34" t="n">
        <v>46142</v>
      </c>
      <c r="DK1276" s="15" t="n">
        <v>52.25</v>
      </c>
      <c r="DL1276" s="15" t="n">
        <v>55.22</v>
      </c>
      <c r="DM1276" s="34" t="n">
        <v>46142</v>
      </c>
      <c r="DN1276" s="15" t="n">
        <v>15.84</v>
      </c>
      <c r="DO1276" s="15" t="n">
        <v>22.74</v>
      </c>
      <c r="DP1276" s="34" t="n">
        <v>46142</v>
      </c>
      <c r="DQ1276" s="15" t="n">
        <v>13.29</v>
      </c>
      <c r="DR1276" s="15" t="n">
        <v>21.87</v>
      </c>
      <c r="DS1276" s="34" t="n">
        <v>46142</v>
      </c>
      <c r="DT1276" s="15" t="n">
        <v>63.85</v>
      </c>
      <c r="DU1276" s="15" t="n">
        <v>96.59</v>
      </c>
      <c r="DV1276" s="34" t="n">
        <v>46142</v>
      </c>
      <c r="DW1276" s="15" t="n">
        <v>21.62</v>
      </c>
      <c r="DX1276" s="15" t="n">
        <v>39.07</v>
      </c>
      <c r="DY1276" s="34" t="n">
        <v>46142</v>
      </c>
      <c r="DZ1276" s="15" t="n">
        <v>187.6</v>
      </c>
      <c r="EA1276" s="15" t="n">
        <v>163.25</v>
      </c>
      <c r="EB1276" s="34" t="n">
        <v>46142</v>
      </c>
      <c r="EC1276" s="15" t="n">
        <v>12.3</v>
      </c>
      <c r="ED1276" s="15" t="n">
        <v>23.05</v>
      </c>
      <c r="EE1276" s="34" t="n">
        <v>46142</v>
      </c>
      <c r="EF1276" s="15" t="n">
        <v>319</v>
      </c>
      <c r="EG1276" s="15" t="n">
        <v>328.49</v>
      </c>
      <c r="EH1276" s="34" t="n">
        <v>46142</v>
      </c>
      <c r="EI1276" s="15" t="n">
        <v>98.59999999999999</v>
      </c>
      <c r="EJ1276" s="15" t="n">
        <v>103.61</v>
      </c>
      <c r="EK1276" s="34" t="n">
        <v>46142</v>
      </c>
      <c r="EL1276" s="15" t="n">
        <v>27.24</v>
      </c>
      <c r="EM1276" s="15" t="n">
        <v>35.73</v>
      </c>
      <c r="EN1276" s="34" t="n">
        <v>46142</v>
      </c>
    </row>
    <row r="1277">
      <c r="A1277" s="34" t="n">
        <v>46148</v>
      </c>
      <c r="B1277" s="266" t="n">
        <v>1.14708399772644</v>
      </c>
      <c r="C1277" s="34" t="n">
        <v>46148</v>
      </c>
      <c r="D1277" s="15" t="n">
        <v>20.88</v>
      </c>
      <c r="E1277" s="15" t="n">
        <v>39.7</v>
      </c>
      <c r="F1277" s="34" t="n">
        <v>46148</v>
      </c>
      <c r="G1277" s="15" t="n">
        <v>98.84999999999999</v>
      </c>
      <c r="H1277" s="15" t="n">
        <v>124.68</v>
      </c>
      <c r="I1277" s="34" t="n">
        <v>46148</v>
      </c>
      <c r="J1277" s="15" t="n">
        <v>19.75</v>
      </c>
      <c r="K1277" s="15" t="n">
        <v>34.8</v>
      </c>
      <c r="L1277" s="34" t="n">
        <v>46148</v>
      </c>
      <c r="M1277" s="15" t="n">
        <v>66.95</v>
      </c>
      <c r="N1277" s="15" t="n">
        <v>81.70999999999999</v>
      </c>
      <c r="O1277" s="34" t="n">
        <v>46148</v>
      </c>
      <c r="P1277" s="15" t="n">
        <v>58.05</v>
      </c>
      <c r="Q1277" s="15" t="n">
        <v>63.03</v>
      </c>
      <c r="R1277" s="34" t="n">
        <v>46148</v>
      </c>
      <c r="S1277" s="15" t="n">
        <v>49.3</v>
      </c>
      <c r="T1277" s="15" t="n">
        <v>95.81</v>
      </c>
      <c r="U1277" s="34" t="n">
        <v>46148</v>
      </c>
      <c r="V1277" s="15" t="n">
        <v>18.18</v>
      </c>
      <c r="W1277" s="15" t="n">
        <v>26.25</v>
      </c>
      <c r="X1277" s="34" t="n">
        <v>46148</v>
      </c>
      <c r="Y1277" s="15" t="n">
        <v>87.7</v>
      </c>
      <c r="Z1277" s="15" t="n">
        <v>80.44</v>
      </c>
      <c r="AA1277" s="34" t="n">
        <v>46148</v>
      </c>
      <c r="AB1277" s="15" t="n">
        <v>22.94</v>
      </c>
      <c r="AC1277" s="15" t="n">
        <v>33.6</v>
      </c>
      <c r="AD1277" s="34" t="n">
        <v>46148</v>
      </c>
      <c r="AE1277" s="15" t="n">
        <v>35.46</v>
      </c>
      <c r="AF1277" s="15" t="n">
        <v>37.28</v>
      </c>
      <c r="AG1277" s="34" t="n">
        <v>46148</v>
      </c>
      <c r="AH1277" s="15" t="n">
        <v>40.5</v>
      </c>
      <c r="AI1277" s="15" t="n">
        <v>41.11</v>
      </c>
      <c r="AJ1277" s="34" t="n">
        <v>46148</v>
      </c>
      <c r="AK1277" s="15" t="n">
        <v>35.1</v>
      </c>
      <c r="AL1277" s="15" t="n">
        <v>81.87</v>
      </c>
      <c r="AM1277" s="34" t="n">
        <v>46148</v>
      </c>
      <c r="AN1277" s="15" t="n">
        <v>669</v>
      </c>
      <c r="AO1277" s="15" t="n">
        <v>460</v>
      </c>
      <c r="AP1277" s="34" t="n">
        <v>46148</v>
      </c>
      <c r="AQ1277" s="15" t="n">
        <v>65.45</v>
      </c>
      <c r="AR1277" s="15" t="n">
        <v>53.63</v>
      </c>
      <c r="AS1277" s="34" t="n">
        <v>46148</v>
      </c>
      <c r="AT1277" s="15" t="n">
        <v>14.46</v>
      </c>
      <c r="AU1277" s="15" t="n">
        <v>19.83</v>
      </c>
      <c r="AV1277" s="34" t="n">
        <v>46148</v>
      </c>
      <c r="AW1277" s="15" t="n">
        <v>34.34</v>
      </c>
      <c r="AX1277" s="15" t="n">
        <v>38.74</v>
      </c>
      <c r="AY1277" s="34" t="n">
        <v>46148</v>
      </c>
      <c r="AZ1277" s="15" t="n">
        <v>33.46</v>
      </c>
      <c r="BA1277" s="15" t="n">
        <v>48.16</v>
      </c>
      <c r="BB1277" s="34" t="n">
        <v>46148</v>
      </c>
      <c r="BC1277" s="15" t="n">
        <v>87.7</v>
      </c>
      <c r="BD1277" s="15" t="n">
        <v>109.46</v>
      </c>
      <c r="BE1277" s="34" t="n">
        <v>46148</v>
      </c>
      <c r="BF1277" s="15" t="n">
        <v>131.7</v>
      </c>
      <c r="BG1277" s="15" t="n">
        <v>198.88</v>
      </c>
      <c r="BH1277" s="34" t="n">
        <v>46148</v>
      </c>
      <c r="BI1277" s="15" t="n">
        <v>18.25</v>
      </c>
      <c r="BJ1277" s="15" t="n">
        <v>26.62</v>
      </c>
      <c r="BK1277" s="34" t="n">
        <v>46148</v>
      </c>
      <c r="BL1277" s="15" t="n">
        <v>68.65000000000001</v>
      </c>
      <c r="BM1277" s="15" t="n">
        <v>109.66</v>
      </c>
      <c r="BN1277" s="34" t="n">
        <v>46148</v>
      </c>
      <c r="BO1277" s="15" t="n">
        <v>11.53</v>
      </c>
      <c r="BP1277" s="15" t="n">
        <v>22.61</v>
      </c>
      <c r="BQ1277" s="34" t="n">
        <v>46148</v>
      </c>
      <c r="BR1277" s="15" t="n">
        <v>22.88</v>
      </c>
      <c r="BS1277" s="15" t="n">
        <v>20.91</v>
      </c>
      <c r="BT1277" s="34" t="n">
        <v>46148</v>
      </c>
      <c r="BU1277" s="15" t="n">
        <v>133</v>
      </c>
      <c r="BV1277" s="15" t="n">
        <v>179.22</v>
      </c>
      <c r="BW1277" s="34" t="n">
        <v>46148</v>
      </c>
      <c r="BX1277" s="15" t="n">
        <v>70.05</v>
      </c>
      <c r="BY1277" s="15" t="n">
        <v>88.06999999999999</v>
      </c>
      <c r="BZ1277" s="34" t="n">
        <v>46148</v>
      </c>
      <c r="CA1277" s="15" t="n">
        <v>17.57</v>
      </c>
      <c r="CB1277" s="15" t="n">
        <v>29.73</v>
      </c>
      <c r="CC1277" s="34" t="n">
        <v>46148</v>
      </c>
      <c r="CD1277" s="15" t="n">
        <v>45.04</v>
      </c>
      <c r="CE1277" s="15" t="n">
        <v>65.15000000000001</v>
      </c>
      <c r="CF1277" s="34" t="n">
        <v>46148</v>
      </c>
      <c r="CG1277" s="15" t="n">
        <v>146.3</v>
      </c>
      <c r="CH1277" s="15" t="n">
        <v>199.4</v>
      </c>
      <c r="CI1277" s="34" t="n">
        <v>46148</v>
      </c>
      <c r="CJ1277" s="15" t="n">
        <v>9.800000000000001</v>
      </c>
      <c r="CK1277" s="15" t="n">
        <v>21.08</v>
      </c>
      <c r="CL1277" s="34" t="n">
        <v>46148</v>
      </c>
      <c r="CM1277" s="15" t="n">
        <v>88</v>
      </c>
      <c r="CN1277" s="15" t="n">
        <v>100.9</v>
      </c>
      <c r="CO1277" s="34" t="n">
        <v>46148</v>
      </c>
      <c r="CP1277" s="15" t="n">
        <v>533.5</v>
      </c>
      <c r="CQ1277" s="15" t="n">
        <v>344.29</v>
      </c>
      <c r="CR1277" s="34" t="n">
        <v>46148</v>
      </c>
      <c r="CS1277" s="15" t="n">
        <v>21.68</v>
      </c>
      <c r="CT1277" s="15" t="n">
        <v>36.8</v>
      </c>
      <c r="CU1277" s="34" t="n">
        <v>46148</v>
      </c>
      <c r="CV1277" s="15" t="n">
        <v>166.6</v>
      </c>
      <c r="CW1277" s="15" t="n">
        <v>200.65</v>
      </c>
      <c r="CX1277" s="34" t="n">
        <v>46148</v>
      </c>
      <c r="CY1277" s="15" t="n">
        <v>47.06</v>
      </c>
      <c r="CZ1277" s="15" t="n">
        <v>54.81</v>
      </c>
      <c r="DA1277" s="34" t="n">
        <v>46148</v>
      </c>
      <c r="DB1277" s="15" t="n">
        <v>141.3</v>
      </c>
      <c r="DC1277" s="15" t="n">
        <v>184.74</v>
      </c>
      <c r="DD1277" s="34" t="n">
        <v>46148</v>
      </c>
      <c r="DE1277" s="15" t="n">
        <v>41.34</v>
      </c>
      <c r="DF1277" s="15" t="n">
        <v>44.64</v>
      </c>
      <c r="DG1277" s="34" t="n">
        <v>46148</v>
      </c>
      <c r="DH1277" s="15" t="n">
        <v>321.6</v>
      </c>
      <c r="DI1277" s="15" t="n">
        <v>198.98</v>
      </c>
      <c r="DJ1277" s="34" t="n">
        <v>46148</v>
      </c>
      <c r="DK1277" s="15" t="n">
        <v>58</v>
      </c>
      <c r="DL1277" s="15" t="n">
        <v>57.01</v>
      </c>
      <c r="DM1277" s="34" t="n">
        <v>46148</v>
      </c>
      <c r="DN1277" s="15" t="n">
        <v>15.99</v>
      </c>
      <c r="DO1277" s="15" t="n">
        <v>23.37</v>
      </c>
      <c r="DP1277" s="34" t="n">
        <v>46148</v>
      </c>
      <c r="DQ1277" s="15" t="n">
        <v>13.8</v>
      </c>
      <c r="DR1277" s="15" t="n">
        <v>22.83</v>
      </c>
      <c r="DS1277" s="34" t="n">
        <v>46148</v>
      </c>
      <c r="DT1277" s="15" t="n">
        <v>65.95</v>
      </c>
      <c r="DU1277" s="15" t="n">
        <v>97.53</v>
      </c>
      <c r="DV1277" s="34" t="n">
        <v>46148</v>
      </c>
      <c r="DW1277" s="15" t="n">
        <v>22.4</v>
      </c>
      <c r="DX1277" s="15" t="n">
        <v>39.81</v>
      </c>
      <c r="DY1277" s="34" t="n">
        <v>46148</v>
      </c>
      <c r="DZ1277" s="15" t="n">
        <v>214.8</v>
      </c>
      <c r="EA1277" s="15" t="n">
        <v>179.58</v>
      </c>
      <c r="EB1277" s="34" t="n">
        <v>46148</v>
      </c>
      <c r="EC1277" s="15" t="n">
        <v>12.7</v>
      </c>
      <c r="ED1277" s="15" t="n">
        <v>24.14</v>
      </c>
      <c r="EE1277" s="34" t="n">
        <v>46148</v>
      </c>
      <c r="EF1277" s="15" t="n">
        <v>320.6</v>
      </c>
      <c r="EG1277" s="15" t="n">
        <v>325.92</v>
      </c>
      <c r="EH1277" s="34" t="n">
        <v>46148</v>
      </c>
      <c r="EI1277" s="15" t="n">
        <v>106.5</v>
      </c>
      <c r="EJ1277" s="15" t="n">
        <v>109.8</v>
      </c>
      <c r="EK1277" s="34" t="n">
        <v>46148</v>
      </c>
      <c r="EL1277" s="15" t="n">
        <v>27.08</v>
      </c>
      <c r="EM1277" s="15" t="n">
        <v>35.36</v>
      </c>
      <c r="EN1277" s="34" t="n">
        <v>46148</v>
      </c>
      <c r="EO1277" s="15" t="n">
        <v>38.9</v>
      </c>
      <c r="EP1277" s="15" t="n">
        <v>49.75</v>
      </c>
      <c r="EQ1277" s="34" t="n">
        <v>46148</v>
      </c>
    </row>
    <row r="1278">
      <c r="A1278" s="34" t="n">
        <v>46149</v>
      </c>
      <c r="B1278" s="266" t="n">
        <v>1.150125026702881</v>
      </c>
      <c r="C1278" s="34" t="n">
        <v>46149</v>
      </c>
      <c r="D1278" s="15" t="n">
        <v>21.72</v>
      </c>
      <c r="E1278" s="15" t="n">
        <v>39.37</v>
      </c>
      <c r="F1278" s="34" t="n">
        <v>46149</v>
      </c>
      <c r="G1278" s="15" t="n">
        <v>105.6</v>
      </c>
      <c r="H1278" s="15" t="n">
        <v>128.08</v>
      </c>
      <c r="I1278" s="34" t="n">
        <v>46149</v>
      </c>
      <c r="J1278" s="15" t="n">
        <v>20.16</v>
      </c>
      <c r="K1278" s="15" t="n">
        <v>34.74</v>
      </c>
      <c r="L1278" s="34" t="n">
        <v>46149</v>
      </c>
      <c r="M1278" s="15" t="n">
        <v>67</v>
      </c>
      <c r="N1278" s="15" t="n">
        <v>79.06</v>
      </c>
      <c r="O1278" s="34" t="n">
        <v>46149</v>
      </c>
      <c r="P1278" s="15" t="n">
        <v>59.3</v>
      </c>
      <c r="Q1278" s="15" t="n">
        <v>63.05</v>
      </c>
      <c r="R1278" s="34" t="n">
        <v>46149</v>
      </c>
      <c r="S1278" s="15" t="n">
        <v>53.05</v>
      </c>
      <c r="T1278" s="15" t="n">
        <v>98.06999999999999</v>
      </c>
      <c r="U1278" s="34" t="n">
        <v>46149</v>
      </c>
      <c r="V1278" s="15" t="n">
        <v>18.17</v>
      </c>
      <c r="W1278" s="15" t="n">
        <v>25.89</v>
      </c>
      <c r="X1278" s="34" t="n">
        <v>46149</v>
      </c>
      <c r="Y1278" s="15" t="n">
        <v>85.3</v>
      </c>
      <c r="Z1278" s="15" t="n">
        <v>79.81</v>
      </c>
      <c r="AA1278" s="34" t="n">
        <v>46149</v>
      </c>
      <c r="AB1278" s="15" t="n">
        <v>20.72</v>
      </c>
      <c r="AC1278" s="15" t="n">
        <v>31.6</v>
      </c>
      <c r="AD1278" s="34" t="n">
        <v>46149</v>
      </c>
      <c r="AE1278" s="15" t="n">
        <v>36</v>
      </c>
      <c r="AF1278" s="15" t="n">
        <v>37.57</v>
      </c>
      <c r="AG1278" s="34" t="n">
        <v>46149</v>
      </c>
      <c r="AH1278" s="15" t="n">
        <v>42.94</v>
      </c>
      <c r="AI1278" s="15" t="n">
        <v>42.36</v>
      </c>
      <c r="AJ1278" s="34" t="n">
        <v>46149</v>
      </c>
      <c r="AK1278" s="15" t="n">
        <v>38.12</v>
      </c>
      <c r="AL1278" s="15" t="n">
        <v>87.75</v>
      </c>
      <c r="AM1278" s="34" t="n">
        <v>46149</v>
      </c>
      <c r="AN1278" s="15" t="n">
        <v>665</v>
      </c>
      <c r="AO1278" s="15" t="n">
        <v>451.64</v>
      </c>
      <c r="AP1278" s="34" t="n">
        <v>46149</v>
      </c>
      <c r="AQ1278" s="15" t="n">
        <v>65.55</v>
      </c>
      <c r="AR1278" s="15" t="n">
        <v>53.68</v>
      </c>
      <c r="AS1278" s="34" t="n">
        <v>46149</v>
      </c>
      <c r="AT1278" s="15" t="n">
        <v>15.02</v>
      </c>
      <c r="AU1278" s="15" t="n">
        <v>21.4</v>
      </c>
      <c r="AV1278" s="34" t="n">
        <v>46149</v>
      </c>
      <c r="AW1278" s="15" t="n">
        <v>34.48</v>
      </c>
      <c r="AX1278" s="15" t="n">
        <v>38.73</v>
      </c>
      <c r="AY1278" s="34" t="n">
        <v>46149</v>
      </c>
      <c r="AZ1278" s="15" t="n">
        <v>35.4</v>
      </c>
      <c r="BA1278" s="15" t="n">
        <v>50.32</v>
      </c>
      <c r="BB1278" s="34" t="n">
        <v>46149</v>
      </c>
      <c r="BC1278" s="15" t="n">
        <v>86.65000000000001</v>
      </c>
      <c r="BD1278" s="15" t="n">
        <v>104.26</v>
      </c>
      <c r="BE1278" s="34" t="n">
        <v>46149</v>
      </c>
      <c r="BF1278" s="15" t="n">
        <v>138.1</v>
      </c>
      <c r="BG1278" s="15" t="n">
        <v>204.91</v>
      </c>
      <c r="BH1278" s="34" t="n">
        <v>46149</v>
      </c>
      <c r="BI1278" s="15" t="n">
        <v>19.12</v>
      </c>
      <c r="BJ1278" s="15" t="n">
        <v>27.62</v>
      </c>
      <c r="BK1278" s="34" t="n">
        <v>46149</v>
      </c>
      <c r="BL1278" s="15" t="n">
        <v>70.15000000000001</v>
      </c>
      <c r="BM1278" s="15" t="n">
        <v>111.12</v>
      </c>
      <c r="BN1278" s="34" t="n">
        <v>46149</v>
      </c>
      <c r="BO1278" s="15" t="n">
        <v>11.89</v>
      </c>
      <c r="BP1278" s="15" t="n">
        <v>23.41</v>
      </c>
      <c r="BQ1278" s="34" t="n">
        <v>46149</v>
      </c>
      <c r="BR1278" s="15" t="n">
        <v>23.06</v>
      </c>
      <c r="BS1278" s="15" t="n">
        <v>20.98</v>
      </c>
      <c r="BT1278" s="34" t="n">
        <v>46149</v>
      </c>
      <c r="BU1278" s="15" t="n">
        <v>139.3</v>
      </c>
      <c r="BV1278" s="15" t="n">
        <v>184.07</v>
      </c>
      <c r="BW1278" s="34" t="n">
        <v>46149</v>
      </c>
      <c r="BX1278" s="15" t="n">
        <v>71.8</v>
      </c>
      <c r="BY1278" s="15" t="n">
        <v>89.19</v>
      </c>
      <c r="BZ1278" s="34" t="n">
        <v>46149</v>
      </c>
      <c r="CA1278" s="15" t="n">
        <v>17.6</v>
      </c>
      <c r="CB1278" s="15" t="n">
        <v>29.46</v>
      </c>
      <c r="CC1278" s="34" t="n">
        <v>46149</v>
      </c>
      <c r="CD1278" s="15" t="n">
        <v>41.12</v>
      </c>
      <c r="CE1278" s="15" t="n">
        <v>63.58</v>
      </c>
      <c r="CF1278" s="34" t="n">
        <v>46149</v>
      </c>
      <c r="CG1278" s="15" t="n">
        <v>160</v>
      </c>
      <c r="CH1278" s="15" t="n">
        <v>200.17</v>
      </c>
      <c r="CI1278" s="34" t="n">
        <v>46149</v>
      </c>
      <c r="CJ1278" s="15" t="n">
        <v>9.99</v>
      </c>
      <c r="CK1278" s="15" t="n">
        <v>21.27</v>
      </c>
      <c r="CL1278" s="34" t="n">
        <v>46149</v>
      </c>
      <c r="CM1278" s="15" t="n">
        <v>89.8</v>
      </c>
      <c r="CN1278" s="15" t="n">
        <v>100.26</v>
      </c>
      <c r="CO1278" s="34" t="n">
        <v>46149</v>
      </c>
      <c r="CP1278" s="15" t="n">
        <v>518.5</v>
      </c>
      <c r="CQ1278" s="15" t="n">
        <v>350.16</v>
      </c>
      <c r="CR1278" s="34" t="n">
        <v>46149</v>
      </c>
      <c r="CS1278" s="15" t="n">
        <v>22.8</v>
      </c>
      <c r="CT1278" s="15" t="n">
        <v>37.49</v>
      </c>
      <c r="CU1278" s="34" t="n">
        <v>46149</v>
      </c>
      <c r="CV1278" s="15" t="n">
        <v>172.6</v>
      </c>
      <c r="CW1278" s="15" t="n">
        <v>201.45</v>
      </c>
      <c r="CX1278" s="34" t="n">
        <v>46149</v>
      </c>
      <c r="CY1278" s="15" t="n">
        <v>47.12</v>
      </c>
      <c r="CZ1278" s="15" t="n">
        <v>56.64</v>
      </c>
      <c r="DA1278" s="34" t="n">
        <v>46149</v>
      </c>
      <c r="DB1278" s="15" t="n">
        <v>142.6</v>
      </c>
      <c r="DC1278" s="15" t="n">
        <v>193.95</v>
      </c>
      <c r="DD1278" s="34" t="n">
        <v>46149</v>
      </c>
      <c r="DE1278" s="15" t="n">
        <v>43.94</v>
      </c>
      <c r="DF1278" s="15" t="n">
        <v>44.07</v>
      </c>
      <c r="DG1278" s="34" t="n">
        <v>46149</v>
      </c>
      <c r="DH1278" s="15" t="n">
        <v>357.6</v>
      </c>
      <c r="DI1278" s="15" t="n">
        <v>209.91</v>
      </c>
      <c r="DJ1278" s="34" t="n">
        <v>46149</v>
      </c>
      <c r="DK1278" s="15" t="n">
        <v>57.25</v>
      </c>
      <c r="DL1278" s="15" t="n">
        <v>56.31</v>
      </c>
      <c r="DM1278" s="34" t="n">
        <v>46149</v>
      </c>
      <c r="DN1278" s="15" t="n">
        <v>16.26</v>
      </c>
      <c r="DO1278" s="15" t="n">
        <v>23.78</v>
      </c>
      <c r="DP1278" s="34" t="n">
        <v>46149</v>
      </c>
      <c r="DQ1278" s="15" t="n">
        <v>14.64</v>
      </c>
      <c r="DR1278" s="15" t="n">
        <v>23.46</v>
      </c>
      <c r="DS1278" s="34" t="n">
        <v>46149</v>
      </c>
      <c r="DT1278" s="15" t="n">
        <v>69.45</v>
      </c>
      <c r="DU1278" s="15" t="n">
        <v>100.6</v>
      </c>
      <c r="DV1278" s="34" t="n">
        <v>46149</v>
      </c>
      <c r="DW1278" s="15" t="n">
        <v>23.16</v>
      </c>
      <c r="DX1278" s="15" t="n">
        <v>40.72</v>
      </c>
      <c r="DY1278" s="34" t="n">
        <v>46149</v>
      </c>
      <c r="DZ1278" s="15" t="n">
        <v>210</v>
      </c>
      <c r="EA1278" s="15" t="n">
        <v>180.32</v>
      </c>
      <c r="EB1278" s="34" t="n">
        <v>46149</v>
      </c>
      <c r="EC1278" s="15" t="n">
        <v>12.87</v>
      </c>
      <c r="ED1278" s="15" t="n">
        <v>24.74</v>
      </c>
      <c r="EE1278" s="34" t="n">
        <v>46149</v>
      </c>
      <c r="EF1278" s="15" t="n">
        <v>330</v>
      </c>
      <c r="EG1278" s="15" t="n">
        <v>338.06</v>
      </c>
      <c r="EH1278" s="34" t="n">
        <v>46149</v>
      </c>
      <c r="EI1278" s="15" t="n">
        <v>109</v>
      </c>
      <c r="EJ1278" s="15" t="n">
        <v>112.18</v>
      </c>
      <c r="EK1278" s="34" t="n">
        <v>46149</v>
      </c>
      <c r="EL1278" s="15" t="n">
        <v>26.54</v>
      </c>
      <c r="EM1278" s="15" t="n">
        <v>35.58</v>
      </c>
      <c r="EN1278" s="34" t="n">
        <v>46149</v>
      </c>
      <c r="EO1278" s="15" t="n">
        <v>37.88</v>
      </c>
      <c r="EP1278" s="15" t="n">
        <v>50.81</v>
      </c>
      <c r="EQ1278" s="34" t="n">
        <v>46149</v>
      </c>
    </row>
    <row r="1279">
      <c r="A1279" s="34" t="n">
        <v>46150</v>
      </c>
      <c r="B1279" s="266" t="n">
        <v>1.15172004699707</v>
      </c>
      <c r="C1279" s="34" t="n">
        <v>46150</v>
      </c>
      <c r="D1279" s="15" t="n">
        <v>20.5</v>
      </c>
      <c r="E1279" s="15" t="n">
        <v>38.61</v>
      </c>
      <c r="F1279" s="34" t="n">
        <v>46150</v>
      </c>
      <c r="G1279" s="15" t="n">
        <v>101</v>
      </c>
      <c r="H1279" s="15" t="n">
        <v>123.58</v>
      </c>
      <c r="I1279" s="34" t="n">
        <v>46150</v>
      </c>
      <c r="J1279" s="15" t="n">
        <v>20</v>
      </c>
      <c r="K1279" s="15" t="n">
        <v>34.66</v>
      </c>
      <c r="L1279" s="34" t="n">
        <v>46150</v>
      </c>
      <c r="M1279" s="15" t="n">
        <v>62.25</v>
      </c>
      <c r="N1279" s="15" t="n">
        <v>76.05</v>
      </c>
      <c r="O1279" s="34" t="n">
        <v>46150</v>
      </c>
      <c r="P1279" s="15" t="n">
        <v>58.45</v>
      </c>
      <c r="Q1279" s="15" t="n">
        <v>62.68</v>
      </c>
      <c r="R1279" s="34" t="n">
        <v>46150</v>
      </c>
      <c r="S1279" s="15" t="n">
        <v>51.45</v>
      </c>
      <c r="T1279" s="15" t="n">
        <v>95.5</v>
      </c>
      <c r="U1279" s="34" t="n">
        <v>46150</v>
      </c>
      <c r="V1279" s="15" t="n">
        <v>18.02</v>
      </c>
      <c r="W1279" s="15" t="n">
        <v>26.29</v>
      </c>
      <c r="X1279" s="34" t="n">
        <v>46150</v>
      </c>
      <c r="Y1279" s="15" t="n">
        <v>85.3</v>
      </c>
      <c r="Z1279" s="15" t="n">
        <v>80.40000000000001</v>
      </c>
      <c r="AA1279" s="34" t="n">
        <v>46150</v>
      </c>
      <c r="AB1279" s="15" t="n">
        <v>19.26</v>
      </c>
      <c r="AC1279" s="15" t="n">
        <v>30.12</v>
      </c>
      <c r="AD1279" s="34" t="n">
        <v>46150</v>
      </c>
      <c r="AE1279" s="15" t="n">
        <v>35.64</v>
      </c>
      <c r="AF1279" s="15" t="n">
        <v>37.7</v>
      </c>
      <c r="AG1279" s="34" t="n">
        <v>46150</v>
      </c>
      <c r="AH1279" s="15" t="n">
        <v>45.7</v>
      </c>
      <c r="AI1279" s="15" t="n">
        <v>44.4</v>
      </c>
      <c r="AJ1279" s="34" t="n">
        <v>46150</v>
      </c>
      <c r="AK1279" s="15" t="n">
        <v>44.22</v>
      </c>
      <c r="AL1279" s="15" t="n">
        <v>96.53</v>
      </c>
      <c r="AM1279" s="34" t="n">
        <v>46150</v>
      </c>
      <c r="AN1279" s="15" t="n">
        <v>651</v>
      </c>
      <c r="AO1279" s="15" t="n">
        <v>437</v>
      </c>
      <c r="AP1279" s="34" t="n">
        <v>46150</v>
      </c>
      <c r="AQ1279" s="15" t="n">
        <v>64.55</v>
      </c>
      <c r="AR1279" s="15" t="n">
        <v>52.8</v>
      </c>
      <c r="AS1279" s="34" t="n">
        <v>46150</v>
      </c>
      <c r="AT1279" s="15" t="n">
        <v>15.12</v>
      </c>
      <c r="AU1279" s="15" t="n">
        <v>21.84</v>
      </c>
      <c r="AV1279" s="34" t="n">
        <v>46150</v>
      </c>
      <c r="AW1279" s="15" t="n">
        <v>34.1</v>
      </c>
      <c r="AX1279" s="15" t="n">
        <v>38.18</v>
      </c>
      <c r="AY1279" s="34" t="n">
        <v>46150</v>
      </c>
      <c r="AZ1279" s="15" t="n">
        <v>35.54</v>
      </c>
      <c r="BA1279" s="15" t="n">
        <v>51.69</v>
      </c>
      <c r="BB1279" s="34" t="n">
        <v>46150</v>
      </c>
      <c r="BC1279" s="15" t="n">
        <v>87</v>
      </c>
      <c r="BD1279" s="15" t="n">
        <v>103</v>
      </c>
      <c r="BE1279" s="34" t="n">
        <v>46150</v>
      </c>
      <c r="BF1279" s="15" t="n">
        <v>150.4</v>
      </c>
      <c r="BG1279" s="15" t="n">
        <v>215.26</v>
      </c>
      <c r="BH1279" s="34" t="n">
        <v>46150</v>
      </c>
      <c r="BI1279" s="15" t="n">
        <v>19.45</v>
      </c>
      <c r="BJ1279" s="15" t="n">
        <v>28.55</v>
      </c>
      <c r="BK1279" s="34" t="n">
        <v>46150</v>
      </c>
      <c r="BL1279" s="15" t="n">
        <v>70.5</v>
      </c>
      <c r="BM1279" s="15" t="n">
        <v>108.66</v>
      </c>
      <c r="BN1279" s="34" t="n">
        <v>46150</v>
      </c>
      <c r="BO1279" s="15" t="n">
        <v>11.72</v>
      </c>
      <c r="BP1279" s="15" t="n">
        <v>23.51</v>
      </c>
      <c r="BQ1279" s="34" t="n">
        <v>46150</v>
      </c>
      <c r="BR1279" s="15" t="n">
        <v>22.36</v>
      </c>
      <c r="BS1279" s="15" t="n">
        <v>20.53</v>
      </c>
      <c r="BT1279" s="34" t="n">
        <v>46150</v>
      </c>
      <c r="BU1279" s="15" t="n">
        <v>143.7</v>
      </c>
      <c r="BV1279" s="15" t="n">
        <v>189.84</v>
      </c>
      <c r="BW1279" s="34" t="n">
        <v>46150</v>
      </c>
      <c r="BX1279" s="15" t="n">
        <v>73.45</v>
      </c>
      <c r="BY1279" s="15" t="n">
        <v>90.3</v>
      </c>
      <c r="BZ1279" s="34" t="n">
        <v>46150</v>
      </c>
      <c r="CA1279" s="15" t="n">
        <v>17.37</v>
      </c>
      <c r="CB1279" s="15" t="n">
        <v>29.63</v>
      </c>
      <c r="CC1279" s="34" t="n">
        <v>46150</v>
      </c>
      <c r="CD1279" s="15" t="n">
        <v>38.1</v>
      </c>
      <c r="CE1279" s="15" t="n">
        <v>60.94</v>
      </c>
      <c r="CF1279" s="34" t="n">
        <v>46150</v>
      </c>
      <c r="CG1279" s="15" t="n">
        <v>170</v>
      </c>
      <c r="CH1279" s="15" t="n">
        <v>201</v>
      </c>
      <c r="CI1279" s="34" t="n">
        <v>46150</v>
      </c>
      <c r="CJ1279" s="15" t="n">
        <v>9.93</v>
      </c>
      <c r="CK1279" s="15" t="n">
        <v>21.74</v>
      </c>
      <c r="CL1279" s="34" t="n">
        <v>46150</v>
      </c>
      <c r="CM1279" s="15" t="n">
        <v>87.59999999999999</v>
      </c>
      <c r="CN1279" s="15" t="n">
        <v>99.18000000000001</v>
      </c>
      <c r="CO1279" s="34" t="n">
        <v>46150</v>
      </c>
      <c r="CP1279" s="15" t="n">
        <v>490</v>
      </c>
      <c r="CQ1279" s="15" t="n">
        <v>334.1</v>
      </c>
      <c r="CR1279" s="34" t="n">
        <v>46150</v>
      </c>
      <c r="CS1279" s="15" t="n">
        <v>24.04</v>
      </c>
      <c r="CT1279" s="15" t="n">
        <v>39.44</v>
      </c>
      <c r="CU1279" s="34" t="n">
        <v>46150</v>
      </c>
      <c r="CV1279" s="15" t="n">
        <v>168.5</v>
      </c>
      <c r="CW1279" s="15" t="n">
        <v>199.98</v>
      </c>
      <c r="CX1279" s="34" t="n">
        <v>46150</v>
      </c>
      <c r="CY1279" s="15" t="n">
        <v>50</v>
      </c>
      <c r="CZ1279" s="15" t="n">
        <v>57.82</v>
      </c>
      <c r="DA1279" s="34" t="n">
        <v>46150</v>
      </c>
      <c r="DB1279" s="15" t="n">
        <v>142.6</v>
      </c>
      <c r="DC1279" s="15" t="n">
        <v>187.78</v>
      </c>
      <c r="DD1279" s="34" t="n">
        <v>46150</v>
      </c>
      <c r="DE1279" s="15" t="n">
        <v>41.78</v>
      </c>
      <c r="DF1279" s="15" t="n">
        <v>43.51</v>
      </c>
      <c r="DG1279" s="34" t="n">
        <v>46150</v>
      </c>
      <c r="DH1279" s="15" t="n">
        <v>375.6</v>
      </c>
      <c r="DI1279" s="15" t="n">
        <v>210.27</v>
      </c>
      <c r="DJ1279" s="34" t="n">
        <v>46150</v>
      </c>
      <c r="DK1279" s="15" t="n">
        <v>54.5</v>
      </c>
      <c r="DL1279" s="15" t="n">
        <v>54.75</v>
      </c>
      <c r="DM1279" s="34" t="n">
        <v>46150</v>
      </c>
      <c r="DN1279" s="15" t="n">
        <v>16.51</v>
      </c>
      <c r="DO1279" s="15" t="n">
        <v>23.58</v>
      </c>
      <c r="DP1279" s="34" t="n">
        <v>46150</v>
      </c>
      <c r="DQ1279" s="15" t="n">
        <v>14.7</v>
      </c>
      <c r="DR1279" s="15" t="n">
        <v>24.08</v>
      </c>
      <c r="DS1279" s="34" t="n">
        <v>46150</v>
      </c>
      <c r="DT1279" s="15" t="n">
        <v>70.25</v>
      </c>
      <c r="DU1279" s="15" t="n">
        <v>103.35</v>
      </c>
      <c r="DV1279" s="34" t="n">
        <v>46150</v>
      </c>
      <c r="DW1279" s="15" t="n">
        <v>23.48</v>
      </c>
      <c r="DX1279" s="15" t="n">
        <v>41.31</v>
      </c>
      <c r="DY1279" s="34" t="n">
        <v>46150</v>
      </c>
      <c r="DZ1279" s="15" t="n">
        <v>196</v>
      </c>
      <c r="EA1279" s="15" t="n">
        <v>173</v>
      </c>
      <c r="EB1279" s="34" t="n">
        <v>46150</v>
      </c>
      <c r="EC1279" s="15" t="n">
        <v>13.16</v>
      </c>
      <c r="ED1279" s="15" t="n">
        <v>25.59</v>
      </c>
      <c r="EE1279" s="34" t="n">
        <v>46150</v>
      </c>
      <c r="EF1279" s="15" t="n">
        <v>345.4</v>
      </c>
      <c r="EG1279" s="15" t="n">
        <v>358.66</v>
      </c>
      <c r="EH1279" s="34" t="n">
        <v>46150</v>
      </c>
      <c r="EI1279" s="15" t="n">
        <v>120</v>
      </c>
      <c r="EJ1279" s="15" t="n">
        <v>118.6</v>
      </c>
      <c r="EK1279" s="34" t="n">
        <v>46150</v>
      </c>
      <c r="EL1279" s="15" t="n">
        <v>26.58</v>
      </c>
      <c r="EM1279" s="15" t="n">
        <v>35.16</v>
      </c>
      <c r="EN1279" s="34" t="n">
        <v>46150</v>
      </c>
      <c r="EO1279" s="15" t="n">
        <v>36.38</v>
      </c>
      <c r="EP1279" s="15" t="n">
        <v>50.15</v>
      </c>
      <c r="EQ1279" s="34" t="n">
        <v>46150</v>
      </c>
    </row>
    <row r="1280">
      <c r="A1280" s="34" t="n">
        <v>46153</v>
      </c>
      <c r="B1280" s="266" t="n">
        <v>1.151090025901794</v>
      </c>
      <c r="C1280" s="34" t="n">
        <v>46153</v>
      </c>
      <c r="D1280" s="15" t="n">
        <v>21.34</v>
      </c>
      <c r="E1280" s="15" t="n">
        <v>40.13</v>
      </c>
      <c r="F1280" s="34" t="n">
        <v>46153</v>
      </c>
      <c r="G1280" s="15" t="n">
        <v>106</v>
      </c>
      <c r="H1280" s="15" t="n">
        <v>130.08</v>
      </c>
      <c r="I1280" s="34" t="n">
        <v>46153</v>
      </c>
      <c r="J1280" s="15" t="n">
        <v>21</v>
      </c>
      <c r="K1280" s="15" t="n">
        <v>37.21</v>
      </c>
      <c r="L1280" s="34" t="n">
        <v>46153</v>
      </c>
      <c r="M1280" s="15" t="n">
        <v>62.75</v>
      </c>
      <c r="N1280" s="15" t="n">
        <v>77.37</v>
      </c>
      <c r="O1280" s="34" t="n">
        <v>46153</v>
      </c>
      <c r="P1280" s="15" t="n">
        <v>58.65</v>
      </c>
      <c r="Q1280" s="15" t="n">
        <v>62.69</v>
      </c>
      <c r="R1280" s="34" t="n">
        <v>46153</v>
      </c>
      <c r="S1280" s="15" t="n">
        <v>51.6</v>
      </c>
      <c r="T1280" s="15" t="n">
        <v>96.26000000000001</v>
      </c>
      <c r="U1280" s="34" t="n">
        <v>46153</v>
      </c>
      <c r="V1280" s="15" t="n">
        <v>17.36</v>
      </c>
      <c r="W1280" s="15" t="n">
        <v>26.18</v>
      </c>
      <c r="X1280" s="34" t="n">
        <v>46153</v>
      </c>
      <c r="Y1280" s="15" t="n">
        <v>86.65000000000001</v>
      </c>
      <c r="Z1280" s="15" t="n">
        <v>80.67</v>
      </c>
      <c r="AA1280" s="34" t="n">
        <v>46153</v>
      </c>
      <c r="AB1280" s="15" t="n">
        <v>19.42</v>
      </c>
      <c r="AC1280" s="15" t="n">
        <v>30.1</v>
      </c>
      <c r="AD1280" s="34" t="n">
        <v>46153</v>
      </c>
      <c r="AE1280" s="15" t="n">
        <v>35.54</v>
      </c>
      <c r="AF1280" s="15" t="n">
        <v>37.42</v>
      </c>
      <c r="AG1280" s="34" t="n">
        <v>46153</v>
      </c>
      <c r="AH1280" s="15" t="n">
        <v>41.28</v>
      </c>
      <c r="AI1280" s="15" t="n">
        <v>42.04</v>
      </c>
      <c r="AJ1280" s="34" t="n">
        <v>46153</v>
      </c>
      <c r="AK1280" s="15" t="n">
        <v>44.64</v>
      </c>
      <c r="AL1280" s="15" t="n">
        <v>106.18</v>
      </c>
      <c r="AM1280" s="34" t="n">
        <v>46153</v>
      </c>
      <c r="AN1280" s="15" t="n">
        <v>657.5</v>
      </c>
      <c r="AO1280" s="15" t="n">
        <v>446.11</v>
      </c>
      <c r="AP1280" s="34" t="n">
        <v>46153</v>
      </c>
      <c r="AQ1280" s="15" t="n">
        <v>66.05</v>
      </c>
      <c r="AR1280" s="15" t="n">
        <v>53.52</v>
      </c>
      <c r="AS1280" s="34" t="n">
        <v>46153</v>
      </c>
      <c r="AT1280" s="15" t="n">
        <v>15.9</v>
      </c>
      <c r="AU1280" s="15" t="n">
        <v>22.15</v>
      </c>
      <c r="AV1280" s="34" t="n">
        <v>46153</v>
      </c>
      <c r="AW1280" s="15" t="n">
        <v>34.2</v>
      </c>
      <c r="AX1280" s="15" t="n">
        <v>38.15</v>
      </c>
      <c r="AY1280" s="34" t="n">
        <v>46153</v>
      </c>
      <c r="AZ1280" s="15" t="n">
        <v>35.22</v>
      </c>
      <c r="BA1280" s="15" t="n">
        <v>51.21</v>
      </c>
      <c r="BB1280" s="34" t="n">
        <v>46153</v>
      </c>
      <c r="BC1280" s="15" t="n">
        <v>85</v>
      </c>
      <c r="BD1280" s="15" t="n">
        <v>103.1</v>
      </c>
      <c r="BE1280" s="34" t="n">
        <v>46153</v>
      </c>
      <c r="BF1280" s="15" t="n">
        <v>166</v>
      </c>
      <c r="BG1280" s="15" t="n">
        <v>229.53</v>
      </c>
      <c r="BH1280" s="34" t="n">
        <v>46153</v>
      </c>
      <c r="BI1280" s="15" t="n">
        <v>20.68</v>
      </c>
      <c r="BJ1280" s="15" t="n">
        <v>30.82</v>
      </c>
      <c r="BK1280" s="34" t="n">
        <v>46153</v>
      </c>
      <c r="BL1280" s="15" t="n">
        <v>88.55</v>
      </c>
      <c r="BM1280" s="15" t="n">
        <v>125.25</v>
      </c>
      <c r="BN1280" s="34" t="n">
        <v>46153</v>
      </c>
      <c r="BO1280" s="15" t="n">
        <v>11.78</v>
      </c>
      <c r="BP1280" s="15" t="n">
        <v>23.92</v>
      </c>
      <c r="BQ1280" s="34" t="n">
        <v>46153</v>
      </c>
      <c r="BR1280" s="15" t="n">
        <v>23.6</v>
      </c>
      <c r="BS1280" s="15" t="n">
        <v>21.84</v>
      </c>
      <c r="BT1280" s="34" t="n">
        <v>46153</v>
      </c>
      <c r="BU1280" s="15" t="n">
        <v>145.6</v>
      </c>
      <c r="BV1280" s="15" t="n">
        <v>197.8</v>
      </c>
      <c r="BW1280" s="34" t="n">
        <v>46153</v>
      </c>
      <c r="BX1280" s="15" t="n">
        <v>71.3</v>
      </c>
      <c r="BY1280" s="15" t="n">
        <v>89.19</v>
      </c>
      <c r="BZ1280" s="34" t="n">
        <v>46153</v>
      </c>
      <c r="CA1280" s="15" t="n">
        <v>17.46</v>
      </c>
      <c r="CB1280" s="15" t="n">
        <v>28.93</v>
      </c>
      <c r="CC1280" s="34" t="n">
        <v>46153</v>
      </c>
      <c r="CD1280" s="15" t="n">
        <v>38.46</v>
      </c>
      <c r="CE1280" s="15" t="n">
        <v>61.8</v>
      </c>
      <c r="CF1280" s="34" t="n">
        <v>46153</v>
      </c>
      <c r="CG1280" s="15" t="n">
        <v>196.3</v>
      </c>
      <c r="CH1280" s="15" t="n">
        <v>226.45</v>
      </c>
      <c r="CI1280" s="34" t="n">
        <v>46153</v>
      </c>
      <c r="CJ1280" s="15" t="n">
        <v>10.05</v>
      </c>
      <c r="CK1280" s="15" t="n">
        <v>21.94</v>
      </c>
      <c r="CL1280" s="34" t="n">
        <v>46153</v>
      </c>
      <c r="CM1280" s="15" t="n">
        <v>90.7</v>
      </c>
      <c r="CN1280" s="15" t="n">
        <v>101.38</v>
      </c>
      <c r="CO1280" s="34" t="n">
        <v>46153</v>
      </c>
      <c r="CP1280" s="15" t="n">
        <v>529</v>
      </c>
      <c r="CQ1280" s="15" t="n">
        <v>362.13</v>
      </c>
      <c r="CR1280" s="34" t="n">
        <v>46153</v>
      </c>
      <c r="CS1280" s="15" t="n">
        <v>25.68</v>
      </c>
      <c r="CT1280" s="15" t="n">
        <v>40.23</v>
      </c>
      <c r="CU1280" s="34" t="n">
        <v>46153</v>
      </c>
      <c r="CV1280" s="15" t="n">
        <v>167.5</v>
      </c>
      <c r="CW1280" s="15" t="n">
        <v>197.75</v>
      </c>
      <c r="CX1280" s="34" t="n">
        <v>46153</v>
      </c>
      <c r="CY1280" s="15" t="n">
        <v>51.1</v>
      </c>
      <c r="CZ1280" s="15" t="n">
        <v>60.54</v>
      </c>
      <c r="DA1280" s="34" t="n">
        <v>46153</v>
      </c>
      <c r="DB1280" s="15" t="n">
        <v>140.6</v>
      </c>
      <c r="DC1280" s="15" t="n">
        <v>201.91</v>
      </c>
      <c r="DD1280" s="34" t="n">
        <v>46153</v>
      </c>
      <c r="DE1280" s="15" t="n">
        <v>41.3</v>
      </c>
      <c r="DF1280" s="15" t="n">
        <v>44.32</v>
      </c>
      <c r="DG1280" s="34" t="n">
        <v>46153</v>
      </c>
      <c r="DH1280" s="15" t="n">
        <v>418.6</v>
      </c>
      <c r="DI1280" s="15" t="n">
        <v>249.22</v>
      </c>
      <c r="DJ1280" s="34" t="n">
        <v>46153</v>
      </c>
      <c r="DK1280" s="15" t="n">
        <v>59.05</v>
      </c>
      <c r="DL1280" s="15" t="n">
        <v>56.55</v>
      </c>
      <c r="DM1280" s="34" t="n">
        <v>46153</v>
      </c>
      <c r="DN1280" s="15" t="n">
        <v>16.34</v>
      </c>
      <c r="DO1280" s="15" t="n">
        <v>23.5</v>
      </c>
      <c r="DP1280" s="34" t="n">
        <v>46153</v>
      </c>
      <c r="DQ1280" s="15" t="n">
        <v>15.01</v>
      </c>
      <c r="DR1280" s="15" t="n">
        <v>24.23</v>
      </c>
      <c r="DS1280" s="34" t="n">
        <v>46153</v>
      </c>
      <c r="DT1280" s="15" t="n">
        <v>67.5</v>
      </c>
      <c r="DU1280" s="15" t="n">
        <v>102.45</v>
      </c>
      <c r="DV1280" s="34" t="n">
        <v>46153</v>
      </c>
      <c r="DW1280" s="15" t="n">
        <v>24</v>
      </c>
      <c r="DX1280" s="15" t="n">
        <v>41.86</v>
      </c>
      <c r="DY1280" s="34" t="n">
        <v>46153</v>
      </c>
      <c r="DZ1280" s="15" t="n">
        <v>209.8</v>
      </c>
      <c r="EA1280" s="15" t="n">
        <v>190.3</v>
      </c>
      <c r="EB1280" s="34" t="n">
        <v>46153</v>
      </c>
      <c r="EC1280" s="15" t="n">
        <v>12.96</v>
      </c>
      <c r="ED1280" s="15" t="n">
        <v>25.24</v>
      </c>
      <c r="EE1280" s="34" t="n">
        <v>46153</v>
      </c>
      <c r="EF1280" s="15" t="n">
        <v>392.6</v>
      </c>
      <c r="EG1280" s="15" t="n">
        <v>378.24</v>
      </c>
      <c r="EH1280" s="34" t="n">
        <v>46153</v>
      </c>
      <c r="EI1280" s="15" t="n">
        <v>112.1</v>
      </c>
      <c r="EJ1280" s="15" t="n">
        <v>114.85</v>
      </c>
      <c r="EK1280" s="34" t="n">
        <v>46153</v>
      </c>
      <c r="EL1280" s="15" t="n">
        <v>26.64</v>
      </c>
      <c r="EM1280" s="15" t="n">
        <v>37.2</v>
      </c>
      <c r="EN1280" s="34" t="n">
        <v>46153</v>
      </c>
      <c r="EO1280" s="15" t="n">
        <v>38</v>
      </c>
      <c r="EP1280" s="15" t="n">
        <v>52.16</v>
      </c>
      <c r="EQ1280" s="34" t="n">
        <v>46153</v>
      </c>
    </row>
    <row r="1281">
      <c r="A1281" s="34" t="n">
        <v>46154</v>
      </c>
      <c r="B1281" s="266" t="n">
        <v>1.152078986167908</v>
      </c>
      <c r="C1281" s="34" t="n">
        <v>46154</v>
      </c>
      <c r="D1281" s="15" t="n">
        <v>20.84</v>
      </c>
      <c r="E1281" s="15" t="n">
        <v>39.2</v>
      </c>
      <c r="F1281" s="34" t="n">
        <v>46154</v>
      </c>
      <c r="G1281" s="15" t="n">
        <v>102.8</v>
      </c>
      <c r="H1281" s="15" t="n">
        <v>128.89</v>
      </c>
      <c r="I1281" s="34" t="n">
        <v>46154</v>
      </c>
      <c r="J1281" s="15" t="n">
        <v>20.18</v>
      </c>
      <c r="K1281" s="15" t="n">
        <v>35.73</v>
      </c>
      <c r="L1281" s="34" t="n">
        <v>46154</v>
      </c>
      <c r="M1281" s="15" t="n">
        <v>61.05</v>
      </c>
      <c r="N1281" s="15" t="n">
        <v>74.75</v>
      </c>
      <c r="O1281" s="34" t="n">
        <v>46154</v>
      </c>
      <c r="P1281" s="15" t="n">
        <v>58.25</v>
      </c>
      <c r="Q1281" s="15" t="n">
        <v>61.55</v>
      </c>
      <c r="R1281" s="34" t="n">
        <v>46154</v>
      </c>
      <c r="S1281" s="15" t="n">
        <v>55.5</v>
      </c>
      <c r="T1281" s="15" t="n">
        <v>102.22</v>
      </c>
      <c r="U1281" s="34" t="n">
        <v>46154</v>
      </c>
      <c r="V1281" s="15" t="n">
        <v>16.97</v>
      </c>
      <c r="W1281" s="15" t="n">
        <v>25.96</v>
      </c>
      <c r="X1281" s="34" t="n">
        <v>46154</v>
      </c>
      <c r="Y1281" s="15" t="n">
        <v>87.84999999999999</v>
      </c>
      <c r="Z1281" s="15" t="n">
        <v>80.09</v>
      </c>
      <c r="AA1281" s="34" t="n">
        <v>46154</v>
      </c>
      <c r="AB1281" s="15" t="n">
        <v>18.97</v>
      </c>
      <c r="AC1281" s="15" t="n">
        <v>29.47</v>
      </c>
      <c r="AD1281" s="34" t="n">
        <v>46154</v>
      </c>
      <c r="AE1281" s="15" t="n">
        <v>34.94</v>
      </c>
      <c r="AF1281" s="15" t="n">
        <v>36.96</v>
      </c>
      <c r="AG1281" s="34" t="n">
        <v>46154</v>
      </c>
      <c r="AH1281" s="15" t="n">
        <v>41.64</v>
      </c>
      <c r="AI1281" s="15" t="n">
        <v>40.95</v>
      </c>
      <c r="AJ1281" s="34" t="n">
        <v>46154</v>
      </c>
      <c r="AK1281" s="15" t="n">
        <v>43.42</v>
      </c>
      <c r="AL1281" s="15" t="n">
        <v>103.92</v>
      </c>
      <c r="AM1281" s="34" t="n">
        <v>46154</v>
      </c>
      <c r="AN1281" s="15" t="n">
        <v>651.5</v>
      </c>
      <c r="AO1281" s="15" t="n">
        <v>431.25</v>
      </c>
      <c r="AP1281" s="34" t="n">
        <v>46154</v>
      </c>
      <c r="AQ1281" s="15" t="n">
        <v>69.25</v>
      </c>
      <c r="AR1281" s="15" t="n">
        <v>56.11</v>
      </c>
      <c r="AS1281" s="34" t="n">
        <v>46154</v>
      </c>
      <c r="AT1281" s="15" t="n">
        <v>15.8</v>
      </c>
      <c r="AU1281" s="15" t="n">
        <v>22.47</v>
      </c>
      <c r="AV1281" s="34" t="n">
        <v>46154</v>
      </c>
      <c r="AW1281" s="15" t="n">
        <v>33.98</v>
      </c>
      <c r="AX1281" s="15" t="n">
        <v>37.84</v>
      </c>
      <c r="AY1281" s="34" t="n">
        <v>46154</v>
      </c>
      <c r="AZ1281" s="15" t="n">
        <v>34.64</v>
      </c>
      <c r="BA1281" s="15" t="n">
        <v>50.92</v>
      </c>
      <c r="BB1281" s="34" t="n">
        <v>46154</v>
      </c>
      <c r="BC1281" s="15" t="n">
        <v>84.45</v>
      </c>
      <c r="BD1281" s="15" t="n">
        <v>102.5</v>
      </c>
      <c r="BE1281" s="34" t="n">
        <v>46154</v>
      </c>
      <c r="BF1281" s="15" t="n">
        <v>169</v>
      </c>
      <c r="BG1281" s="15" t="n">
        <v>229.72</v>
      </c>
      <c r="BH1281" s="34" t="n">
        <v>46154</v>
      </c>
      <c r="BI1281" s="15" t="n">
        <v>21.1</v>
      </c>
      <c r="BJ1281" s="15" t="n">
        <v>30.48</v>
      </c>
      <c r="BK1281" s="34" t="n">
        <v>46154</v>
      </c>
      <c r="BL1281" s="15" t="n">
        <v>97.2</v>
      </c>
      <c r="BM1281" s="15" t="n">
        <v>130.01</v>
      </c>
      <c r="BN1281" s="34" t="n">
        <v>46154</v>
      </c>
      <c r="BO1281" s="15" t="n">
        <v>11.41</v>
      </c>
      <c r="BP1281" s="15" t="n">
        <v>23.42</v>
      </c>
      <c r="BQ1281" s="34" t="n">
        <v>46154</v>
      </c>
      <c r="BR1281" s="15" t="n">
        <v>23.36</v>
      </c>
      <c r="BS1281" s="15" t="n">
        <v>21.36</v>
      </c>
      <c r="BT1281" s="34" t="n">
        <v>46154</v>
      </c>
      <c r="BU1281" s="15" t="n">
        <v>140.1</v>
      </c>
      <c r="BV1281" s="15" t="n">
        <v>189.42</v>
      </c>
      <c r="BW1281" s="34" t="n">
        <v>46154</v>
      </c>
      <c r="BX1281" s="15" t="n">
        <v>71.34999999999999</v>
      </c>
      <c r="BY1281" s="15" t="n">
        <v>86.75</v>
      </c>
      <c r="BZ1281" s="34" t="n">
        <v>46154</v>
      </c>
      <c r="CA1281" s="15" t="n">
        <v>17</v>
      </c>
      <c r="CB1281" s="15" t="n">
        <v>28.34</v>
      </c>
      <c r="CC1281" s="34" t="n">
        <v>46154</v>
      </c>
      <c r="CD1281" s="15" t="n">
        <v>39.26</v>
      </c>
      <c r="CE1281" s="15" t="n">
        <v>60.4</v>
      </c>
      <c r="CF1281" s="34" t="n">
        <v>46154</v>
      </c>
      <c r="CG1281" s="15" t="n">
        <v>190.7</v>
      </c>
      <c r="CH1281" s="15" t="n">
        <v>222.1</v>
      </c>
      <c r="CI1281" s="34" t="n">
        <v>46154</v>
      </c>
      <c r="CJ1281" s="15" t="n">
        <v>9.880000000000001</v>
      </c>
      <c r="CK1281" s="15" t="n">
        <v>21.4</v>
      </c>
      <c r="CL1281" s="34" t="n">
        <v>46154</v>
      </c>
      <c r="CM1281" s="15" t="n">
        <v>91.95</v>
      </c>
      <c r="CN1281" s="15" t="n">
        <v>103.31</v>
      </c>
      <c r="CO1281" s="34" t="n">
        <v>46154</v>
      </c>
      <c r="CP1281" s="15" t="n">
        <v>505</v>
      </c>
      <c r="CQ1281" s="15" t="n">
        <v>353.55</v>
      </c>
      <c r="CR1281" s="34" t="n">
        <v>46154</v>
      </c>
      <c r="CS1281" s="15" t="n">
        <v>25.2</v>
      </c>
      <c r="CT1281" s="15" t="n">
        <v>39.46</v>
      </c>
      <c r="CU1281" s="34" t="n">
        <v>46154</v>
      </c>
      <c r="CV1281" s="15" t="n">
        <v>167</v>
      </c>
      <c r="CW1281" s="15" t="n">
        <v>194.72</v>
      </c>
      <c r="CX1281" s="34" t="n">
        <v>46154</v>
      </c>
      <c r="CY1281" s="15" t="n">
        <v>52.5</v>
      </c>
      <c r="CZ1281" s="15" t="n">
        <v>61</v>
      </c>
      <c r="DA1281" s="34" t="n">
        <v>46154</v>
      </c>
      <c r="DB1281" s="15" t="n">
        <v>142</v>
      </c>
      <c r="DC1281" s="15" t="n">
        <v>210.2</v>
      </c>
      <c r="DD1281" s="34" t="n">
        <v>46154</v>
      </c>
      <c r="DE1281" s="15" t="n">
        <v>40.24</v>
      </c>
      <c r="DF1281" s="15" t="n">
        <v>42.93</v>
      </c>
      <c r="DG1281" s="34" t="n">
        <v>46154</v>
      </c>
      <c r="DH1281" s="15" t="n">
        <v>413</v>
      </c>
      <c r="DI1281" s="15" t="n">
        <v>240.7</v>
      </c>
      <c r="DJ1281" s="34" t="n">
        <v>46154</v>
      </c>
      <c r="DK1281" s="15" t="n">
        <v>53.15</v>
      </c>
      <c r="DL1281" s="15" t="n">
        <v>54.06</v>
      </c>
      <c r="DM1281" s="34" t="n">
        <v>46154</v>
      </c>
      <c r="DN1281" s="15" t="n">
        <v>16.24</v>
      </c>
      <c r="DO1281" s="15" t="n">
        <v>23.85</v>
      </c>
      <c r="DP1281" s="34" t="n">
        <v>46154</v>
      </c>
      <c r="DQ1281" s="15" t="n">
        <v>14.88</v>
      </c>
      <c r="DR1281" s="15" t="n">
        <v>24.57</v>
      </c>
      <c r="DS1281" s="34" t="n">
        <v>46154</v>
      </c>
      <c r="DT1281" s="15" t="n">
        <v>66.7</v>
      </c>
      <c r="DU1281" s="15" t="n">
        <v>101.23</v>
      </c>
      <c r="DV1281" s="34" t="n">
        <v>46154</v>
      </c>
      <c r="DW1281" s="15" t="n">
        <v>23.08</v>
      </c>
      <c r="DX1281" s="15" t="n">
        <v>41.05</v>
      </c>
      <c r="DY1281" s="34" t="n">
        <v>46154</v>
      </c>
      <c r="DZ1281" s="15" t="n">
        <v>194.8</v>
      </c>
      <c r="EA1281" s="15" t="n">
        <v>190.68</v>
      </c>
      <c r="EB1281" s="34" t="n">
        <v>46154</v>
      </c>
      <c r="EC1281" s="15" t="n">
        <v>12.88</v>
      </c>
      <c r="ED1281" s="15" t="n">
        <v>25.03</v>
      </c>
      <c r="EE1281" s="34" t="n">
        <v>46154</v>
      </c>
      <c r="EF1281" s="15" t="n">
        <v>374</v>
      </c>
      <c r="EG1281" s="15" t="n">
        <v>375.43</v>
      </c>
      <c r="EH1281" s="34" t="n">
        <v>46154</v>
      </c>
      <c r="EI1281" s="15" t="n">
        <v>108</v>
      </c>
      <c r="EJ1281" s="15" t="n">
        <v>109.63</v>
      </c>
      <c r="EK1281" s="34" t="n">
        <v>46154</v>
      </c>
      <c r="EL1281" s="15" t="n">
        <v>26.02</v>
      </c>
      <c r="EM1281" s="15" t="n">
        <v>35.98</v>
      </c>
      <c r="EN1281" s="34" t="n">
        <v>46154</v>
      </c>
      <c r="EO1281" s="15" t="n">
        <v>37.4</v>
      </c>
      <c r="EP1281" s="15" t="n">
        <v>51.3</v>
      </c>
      <c r="EQ1281" s="34" t="n">
        <v>46154</v>
      </c>
    </row>
    <row r="1282">
      <c r="A1282" s="34" t="n">
        <v>46155</v>
      </c>
      <c r="B1282" s="266" t="n">
        <v>1.152537941932678</v>
      </c>
      <c r="C1282" s="34" t="n">
        <v>46155</v>
      </c>
      <c r="D1282" s="15" t="n">
        <v>20.58</v>
      </c>
      <c r="E1282" s="15" t="n">
        <v>39.48</v>
      </c>
      <c r="F1282" s="34" t="n">
        <v>46155</v>
      </c>
      <c r="G1282" s="15" t="n">
        <v>99.3</v>
      </c>
      <c r="H1282" s="15" t="n">
        <v>126.68</v>
      </c>
      <c r="I1282" s="34" t="n">
        <v>46155</v>
      </c>
      <c r="J1282" s="15" t="n">
        <v>20.8</v>
      </c>
      <c r="K1282" s="15" t="n">
        <v>35.93</v>
      </c>
      <c r="L1282" s="34" t="n">
        <v>46155</v>
      </c>
      <c r="M1282" s="15" t="n">
        <v>59.3</v>
      </c>
      <c r="N1282" s="15" t="n">
        <v>74.38</v>
      </c>
      <c r="O1282" s="34" t="n">
        <v>46155</v>
      </c>
      <c r="P1282" s="15" t="n">
        <v>57.3</v>
      </c>
      <c r="Q1282" s="15" t="n">
        <v>61.38</v>
      </c>
      <c r="R1282" s="34" t="n">
        <v>46155</v>
      </c>
      <c r="S1282" s="15" t="n">
        <v>53.25</v>
      </c>
      <c r="T1282" s="15" t="n">
        <v>97.52</v>
      </c>
      <c r="U1282" s="34" t="n">
        <v>46155</v>
      </c>
      <c r="V1282" s="15" t="n">
        <v>17.69</v>
      </c>
      <c r="W1282" s="15" t="n">
        <v>27.47</v>
      </c>
      <c r="X1282" s="34" t="n">
        <v>46155</v>
      </c>
      <c r="Y1282" s="15" t="n">
        <v>87.34999999999999</v>
      </c>
      <c r="Z1282" s="15" t="n">
        <v>80.38</v>
      </c>
      <c r="AA1282" s="34" t="n">
        <v>46155</v>
      </c>
      <c r="AB1282" s="15" t="n">
        <v>18.39</v>
      </c>
      <c r="AC1282" s="15" t="n">
        <v>29.35</v>
      </c>
      <c r="AD1282" s="34" t="n">
        <v>46155</v>
      </c>
      <c r="AE1282" s="15" t="n">
        <v>34.38</v>
      </c>
      <c r="AF1282" s="15" t="n">
        <v>36.66</v>
      </c>
      <c r="AG1282" s="34" t="n">
        <v>46155</v>
      </c>
      <c r="AH1282" s="15" t="n">
        <v>40.9</v>
      </c>
      <c r="AI1282" s="15" t="n">
        <v>40.8</v>
      </c>
      <c r="AJ1282" s="34" t="n">
        <v>46155</v>
      </c>
      <c r="AK1282" s="15" t="n">
        <v>43.46</v>
      </c>
      <c r="AL1282" s="15" t="n">
        <v>101.5</v>
      </c>
      <c r="AM1282" s="34" t="n">
        <v>46155</v>
      </c>
      <c r="AN1282" s="15" t="n">
        <v>673</v>
      </c>
      <c r="AO1282" s="15" t="n">
        <v>434.05</v>
      </c>
      <c r="AP1282" s="34" t="n">
        <v>46155</v>
      </c>
      <c r="AQ1282" s="15" t="n">
        <v>68.84999999999999</v>
      </c>
      <c r="AR1282" s="15" t="n">
        <v>55.86</v>
      </c>
      <c r="AS1282" s="34" t="n">
        <v>46155</v>
      </c>
      <c r="AT1282" s="15" t="n">
        <v>16.95</v>
      </c>
      <c r="AU1282" s="15" t="n">
        <v>23.49</v>
      </c>
      <c r="AV1282" s="34" t="n">
        <v>46155</v>
      </c>
      <c r="AW1282" s="15" t="n">
        <v>32.9</v>
      </c>
      <c r="AX1282" s="15" t="n">
        <v>37.74</v>
      </c>
      <c r="AY1282" s="34" t="n">
        <v>46155</v>
      </c>
      <c r="AZ1282" s="15" t="n">
        <v>35</v>
      </c>
      <c r="BA1282" s="15" t="n">
        <v>51.5</v>
      </c>
      <c r="BB1282" s="34" t="n">
        <v>46155</v>
      </c>
      <c r="BC1282" s="15" t="n">
        <v>84.75</v>
      </c>
      <c r="BD1282" s="15" t="n">
        <v>102.82</v>
      </c>
      <c r="BE1282" s="34" t="n">
        <v>46155</v>
      </c>
      <c r="BF1282" s="15" t="n">
        <v>167.4</v>
      </c>
      <c r="BG1282" s="15" t="n">
        <v>232.8</v>
      </c>
      <c r="BH1282" s="34" t="n">
        <v>46155</v>
      </c>
      <c r="BI1282" s="15" t="n">
        <v>22.38</v>
      </c>
      <c r="BJ1282" s="15" t="n">
        <v>32.69</v>
      </c>
      <c r="BK1282" s="34" t="n">
        <v>46155</v>
      </c>
      <c r="BL1282" s="15" t="n">
        <v>108.8</v>
      </c>
      <c r="BM1282" s="15" t="n">
        <v>146.63</v>
      </c>
      <c r="BN1282" s="34" t="n">
        <v>46155</v>
      </c>
      <c r="BO1282" s="15" t="n">
        <v>11.91</v>
      </c>
      <c r="BP1282" s="15" t="n">
        <v>24.8</v>
      </c>
      <c r="BQ1282" s="34" t="n">
        <v>46155</v>
      </c>
      <c r="BR1282" s="15" t="n">
        <v>23.58</v>
      </c>
      <c r="BS1282" s="15" t="n">
        <v>21.39</v>
      </c>
      <c r="BT1282" s="34" t="n">
        <v>46155</v>
      </c>
      <c r="BU1282" s="15" t="n">
        <v>149.9</v>
      </c>
      <c r="BV1282" s="15" t="n">
        <v>191.64</v>
      </c>
      <c r="BW1282" s="34" t="n">
        <v>46155</v>
      </c>
      <c r="BX1282" s="15" t="n">
        <v>70.7</v>
      </c>
      <c r="BY1282" s="15" t="n">
        <v>87.45999999999999</v>
      </c>
      <c r="BZ1282" s="34" t="n">
        <v>46155</v>
      </c>
      <c r="CA1282" s="15" t="n">
        <v>17.91</v>
      </c>
      <c r="CB1282" s="15" t="n">
        <v>30</v>
      </c>
      <c r="CC1282" s="34" t="n">
        <v>46155</v>
      </c>
      <c r="CD1282" s="15" t="n">
        <v>39.48</v>
      </c>
      <c r="CE1282" s="15" t="n">
        <v>61</v>
      </c>
      <c r="CF1282" s="34" t="n">
        <v>46155</v>
      </c>
      <c r="CG1282" s="15" t="n">
        <v>188.6</v>
      </c>
      <c r="CH1282" s="15" t="n">
        <v>219.2</v>
      </c>
      <c r="CI1282" s="34" t="n">
        <v>46155</v>
      </c>
      <c r="CJ1282" s="15" t="n">
        <v>11.28</v>
      </c>
      <c r="CK1282" s="15" t="n">
        <v>23.54</v>
      </c>
      <c r="CL1282" s="34" t="n">
        <v>46155</v>
      </c>
      <c r="CM1282" s="15" t="n">
        <v>94.8</v>
      </c>
      <c r="CN1282" s="15" t="n">
        <v>103.51</v>
      </c>
      <c r="CO1282" s="34" t="n">
        <v>46155</v>
      </c>
      <c r="CP1282" s="15" t="n">
        <v>548</v>
      </c>
      <c r="CQ1282" s="15" t="n">
        <v>365</v>
      </c>
      <c r="CR1282" s="34" t="n">
        <v>46155</v>
      </c>
      <c r="CS1282" s="15" t="n">
        <v>26.56</v>
      </c>
      <c r="CT1282" s="15" t="n">
        <v>40.14</v>
      </c>
      <c r="CU1282" s="34" t="n">
        <v>46155</v>
      </c>
      <c r="CV1282" s="15" t="n">
        <v>169.3</v>
      </c>
      <c r="CW1282" s="15" t="n">
        <v>192.83</v>
      </c>
      <c r="CX1282" s="34" t="n">
        <v>46155</v>
      </c>
      <c r="CY1282" s="15" t="n">
        <v>51.75</v>
      </c>
      <c r="CZ1282" s="15" t="n">
        <v>61.76</v>
      </c>
      <c r="DA1282" s="34" t="n">
        <v>46155</v>
      </c>
      <c r="DB1282" s="15" t="n">
        <v>185</v>
      </c>
      <c r="DC1282" s="15" t="n">
        <v>233.97</v>
      </c>
      <c r="DD1282" s="34" t="n">
        <v>46155</v>
      </c>
      <c r="DE1282" s="15" t="n">
        <v>39.36</v>
      </c>
      <c r="DF1282" s="15" t="n">
        <v>42.38</v>
      </c>
      <c r="DG1282" s="34" t="n">
        <v>46155</v>
      </c>
      <c r="DH1282" s="15" t="n">
        <v>501</v>
      </c>
      <c r="DI1282" s="15" t="n">
        <v>258.8</v>
      </c>
      <c r="DJ1282" s="34" t="n">
        <v>46155</v>
      </c>
      <c r="DK1282" s="15" t="n">
        <v>54.35</v>
      </c>
      <c r="DL1282" s="15" t="n">
        <v>54.77</v>
      </c>
      <c r="DM1282" s="34" t="n">
        <v>46155</v>
      </c>
      <c r="DN1282" s="15" t="n">
        <v>16.07</v>
      </c>
      <c r="DO1282" s="15" t="n">
        <v>23.8</v>
      </c>
      <c r="DP1282" s="34" t="n">
        <v>46155</v>
      </c>
      <c r="DQ1282" s="15" t="n">
        <v>14.6</v>
      </c>
      <c r="DR1282" s="15" t="n">
        <v>24.2</v>
      </c>
      <c r="DS1282" s="34" t="n">
        <v>46155</v>
      </c>
      <c r="DT1282" s="15" t="n">
        <v>68.55</v>
      </c>
      <c r="DU1282" s="15" t="n">
        <v>102.24</v>
      </c>
      <c r="DV1282" s="34" t="n">
        <v>46155</v>
      </c>
      <c r="DW1282" s="15" t="n">
        <v>23.94</v>
      </c>
      <c r="DX1282" s="15" t="n">
        <v>41.56</v>
      </c>
      <c r="DY1282" s="34" t="n">
        <v>46155</v>
      </c>
      <c r="DZ1282" s="15" t="n">
        <v>199.3</v>
      </c>
      <c r="EA1282" s="15" t="n">
        <v>194.78</v>
      </c>
      <c r="EB1282" s="34" t="n">
        <v>46155</v>
      </c>
      <c r="EC1282" s="15" t="n">
        <v>13.88</v>
      </c>
      <c r="ED1282" s="15" t="n">
        <v>25.93</v>
      </c>
      <c r="EE1282" s="34" t="n">
        <v>46155</v>
      </c>
      <c r="EF1282" s="15" t="n">
        <v>385</v>
      </c>
      <c r="EG1282" s="15" t="n">
        <v>387.4</v>
      </c>
      <c r="EH1282" s="34" t="n">
        <v>46155</v>
      </c>
      <c r="EI1282" s="15" t="n">
        <v>118.2</v>
      </c>
      <c r="EJ1282" s="15" t="n">
        <v>116.18</v>
      </c>
      <c r="EK1282" s="34" t="n">
        <v>46155</v>
      </c>
      <c r="EL1282" s="15" t="n">
        <v>25.14</v>
      </c>
      <c r="EM1282" s="15" t="n">
        <v>35.2</v>
      </c>
      <c r="EN1282" s="34" t="n">
        <v>46155</v>
      </c>
      <c r="EO1282" s="15" t="n">
        <v>36.7</v>
      </c>
      <c r="EP1282" s="15" t="n">
        <v>51.7</v>
      </c>
      <c r="EQ1282" s="34" t="n">
        <v>46155</v>
      </c>
    </row>
    <row r="1283">
      <c r="A1283" s="34" t="n">
        <v>46156</v>
      </c>
      <c r="B1283" s="266" t="n">
        <v>1.152662992477417</v>
      </c>
      <c r="C1283" s="34" t="n">
        <v>46156</v>
      </c>
      <c r="D1283" s="15" t="n">
        <v>19.81</v>
      </c>
      <c r="E1283" s="15" t="n">
        <v>37.95</v>
      </c>
      <c r="F1283" s="34" t="n">
        <v>46156</v>
      </c>
      <c r="G1283" s="15" t="n">
        <v>96.65000000000001</v>
      </c>
      <c r="H1283" s="15" t="n">
        <v>122.19</v>
      </c>
      <c r="I1283" s="34" t="n">
        <v>46156</v>
      </c>
      <c r="J1283" s="15" t="n">
        <v>20.38</v>
      </c>
      <c r="K1283" s="15" t="n">
        <v>34.62</v>
      </c>
      <c r="L1283" s="34" t="n">
        <v>46156</v>
      </c>
      <c r="M1283" s="15" t="n">
        <v>57.45</v>
      </c>
      <c r="N1283" s="15" t="n">
        <v>70.69</v>
      </c>
      <c r="O1283" s="34" t="n">
        <v>46156</v>
      </c>
      <c r="P1283" s="15" t="n">
        <v>57.4</v>
      </c>
      <c r="Q1283" s="15" t="n">
        <v>60.8</v>
      </c>
      <c r="R1283" s="34" t="n">
        <v>46156</v>
      </c>
      <c r="S1283" s="15" t="n">
        <v>51.85</v>
      </c>
      <c r="T1283" s="15" t="n">
        <v>96.33</v>
      </c>
      <c r="U1283" s="34" t="n">
        <v>46156</v>
      </c>
      <c r="V1283" s="15" t="n">
        <v>19.1</v>
      </c>
      <c r="W1283" s="15" t="n">
        <v>27.47</v>
      </c>
      <c r="X1283" s="34" t="n">
        <v>46156</v>
      </c>
      <c r="Y1283" s="15" t="n">
        <v>90</v>
      </c>
      <c r="Z1283" s="15" t="n">
        <v>81.81</v>
      </c>
      <c r="AA1283" s="34" t="n">
        <v>46156</v>
      </c>
      <c r="AB1283" s="15" t="n">
        <v>17.23</v>
      </c>
      <c r="AC1283" s="15" t="n">
        <v>27.84</v>
      </c>
      <c r="AD1283" s="34" t="n">
        <v>46156</v>
      </c>
      <c r="AE1283" s="15" t="n">
        <v>34.24</v>
      </c>
      <c r="AF1283" s="15" t="n">
        <v>36.23</v>
      </c>
      <c r="AG1283" s="34" t="n">
        <v>46156</v>
      </c>
      <c r="AH1283" s="15" t="n">
        <v>40.04</v>
      </c>
      <c r="AI1283" s="15" t="n">
        <v>39.68</v>
      </c>
      <c r="AJ1283" s="34" t="n">
        <v>46156</v>
      </c>
      <c r="AK1283" s="15" t="n">
        <v>42.26</v>
      </c>
      <c r="AL1283" s="15" t="n">
        <v>100.28</v>
      </c>
      <c r="AM1283" s="34" t="n">
        <v>46156</v>
      </c>
      <c r="AN1283" s="15" t="n">
        <v>686</v>
      </c>
      <c r="AO1283" s="15" t="n">
        <v>427</v>
      </c>
      <c r="AP1283" s="34" t="n">
        <v>46156</v>
      </c>
      <c r="AQ1283" s="15" t="n">
        <v>66.40000000000001</v>
      </c>
      <c r="AR1283" s="15" t="n">
        <v>54.32</v>
      </c>
      <c r="AS1283" s="34" t="n">
        <v>46156</v>
      </c>
      <c r="AT1283" s="15" t="n">
        <v>16.52</v>
      </c>
      <c r="AU1283" s="15" t="n">
        <v>22.77</v>
      </c>
      <c r="AV1283" s="34" t="n">
        <v>46156</v>
      </c>
      <c r="AW1283" s="15" t="n">
        <v>32.5</v>
      </c>
      <c r="AX1283" s="15" t="n">
        <v>37.35</v>
      </c>
      <c r="AY1283" s="34" t="n">
        <v>46156</v>
      </c>
      <c r="AZ1283" s="15" t="n">
        <v>33.62</v>
      </c>
      <c r="BA1283" s="15" t="n">
        <v>49.43</v>
      </c>
      <c r="BB1283" s="34" t="n">
        <v>46156</v>
      </c>
      <c r="BC1283" s="15" t="n">
        <v>83.7</v>
      </c>
      <c r="BD1283" s="15" t="n">
        <v>103.36</v>
      </c>
      <c r="BE1283" s="34" t="n">
        <v>46156</v>
      </c>
      <c r="BF1283" s="15" t="n">
        <v>164</v>
      </c>
      <c r="BG1283" s="15" t="n">
        <v>229.23</v>
      </c>
      <c r="BH1283" s="34" t="n">
        <v>46156</v>
      </c>
      <c r="BI1283" s="15" t="n">
        <v>21.34</v>
      </c>
      <c r="BJ1283" s="15" t="n">
        <v>32.31</v>
      </c>
      <c r="BK1283" s="34" t="n">
        <v>46156</v>
      </c>
      <c r="BL1283" s="15" t="n">
        <v>128.7</v>
      </c>
      <c r="BM1283" s="15" t="n">
        <v>169</v>
      </c>
      <c r="BN1283" s="34" t="n">
        <v>46156</v>
      </c>
      <c r="BO1283" s="15" t="n">
        <v>11.43</v>
      </c>
      <c r="BP1283" s="15" t="n">
        <v>24.07</v>
      </c>
      <c r="BQ1283" s="34" t="n">
        <v>46156</v>
      </c>
      <c r="BR1283" s="15" t="n">
        <v>22.7</v>
      </c>
      <c r="BS1283" s="15" t="n">
        <v>20.61</v>
      </c>
      <c r="BT1283" s="34" t="n">
        <v>46156</v>
      </c>
      <c r="BU1283" s="15" t="n">
        <v>153</v>
      </c>
      <c r="BV1283" s="15" t="n">
        <v>191.87</v>
      </c>
      <c r="BW1283" s="34" t="n">
        <v>46156</v>
      </c>
      <c r="BX1283" s="15" t="n">
        <v>68.7</v>
      </c>
      <c r="BY1283" s="15" t="n">
        <v>85.05</v>
      </c>
      <c r="BZ1283" s="34" t="n">
        <v>46156</v>
      </c>
      <c r="CA1283" s="15" t="n">
        <v>17.45</v>
      </c>
      <c r="CB1283" s="15" t="n">
        <v>29.18</v>
      </c>
      <c r="CC1283" s="34" t="n">
        <v>46156</v>
      </c>
      <c r="CD1283" s="15" t="n">
        <v>38.32</v>
      </c>
      <c r="CE1283" s="15" t="n">
        <v>58.5</v>
      </c>
      <c r="CF1283" s="34" t="n">
        <v>46156</v>
      </c>
      <c r="CG1283" s="15" t="n">
        <v>207.6</v>
      </c>
      <c r="CH1283" s="15" t="n">
        <v>216.92</v>
      </c>
      <c r="CI1283" s="34" t="n">
        <v>46156</v>
      </c>
      <c r="CJ1283" s="15" t="n">
        <v>10.7</v>
      </c>
      <c r="CK1283" s="15" t="n">
        <v>25.89</v>
      </c>
      <c r="CL1283" s="34" t="n">
        <v>46156</v>
      </c>
      <c r="CM1283" s="15" t="n">
        <v>90</v>
      </c>
      <c r="CN1283" s="15" t="n">
        <v>100.5</v>
      </c>
      <c r="CO1283" s="34" t="n">
        <v>46156</v>
      </c>
      <c r="CP1283" s="15" t="n">
        <v>524.5</v>
      </c>
      <c r="CQ1283" s="15" t="n">
        <v>356.19</v>
      </c>
      <c r="CR1283" s="34" t="n">
        <v>46156</v>
      </c>
      <c r="CS1283" s="15" t="n">
        <v>26.58</v>
      </c>
      <c r="CT1283" s="15" t="n">
        <v>39.48</v>
      </c>
      <c r="CU1283" s="34" t="n">
        <v>46156</v>
      </c>
      <c r="CV1283" s="15" t="n">
        <v>173.4</v>
      </c>
      <c r="CW1283" s="15" t="n">
        <v>193.5</v>
      </c>
      <c r="CX1283" s="34" t="n">
        <v>46156</v>
      </c>
      <c r="CY1283" s="15" t="n">
        <v>55.65</v>
      </c>
      <c r="CZ1283" s="15" t="n">
        <v>61.23</v>
      </c>
      <c r="DA1283" s="34" t="n">
        <v>46156</v>
      </c>
      <c r="DB1283" s="15" t="n">
        <v>162.3</v>
      </c>
      <c r="DC1283" s="15" t="n">
        <v>218.39</v>
      </c>
      <c r="DD1283" s="34" t="n">
        <v>46156</v>
      </c>
      <c r="DE1283" s="15" t="n">
        <v>39.2</v>
      </c>
      <c r="DF1283" s="15" t="n">
        <v>42.63</v>
      </c>
      <c r="DG1283" s="34" t="n">
        <v>46156</v>
      </c>
      <c r="DH1283" s="15" t="n">
        <v>482.4</v>
      </c>
      <c r="DI1283" s="15" t="n">
        <v>265.08</v>
      </c>
      <c r="DJ1283" s="34" t="n">
        <v>46156</v>
      </c>
      <c r="DK1283" s="15" t="n">
        <v>52.5</v>
      </c>
      <c r="DL1283" s="15" t="n">
        <v>52.4</v>
      </c>
      <c r="DM1283" s="34" t="n">
        <v>46156</v>
      </c>
      <c r="DN1283" s="15" t="n">
        <v>15.36</v>
      </c>
      <c r="DO1283" s="15" t="n">
        <v>22.84</v>
      </c>
      <c r="DP1283" s="34" t="n">
        <v>46156</v>
      </c>
      <c r="DQ1283" s="15" t="n">
        <v>14.27</v>
      </c>
      <c r="DR1283" s="15" t="n">
        <v>23.74</v>
      </c>
      <c r="DS1283" s="34" t="n">
        <v>46156</v>
      </c>
      <c r="DT1283" s="15" t="n">
        <v>63.85</v>
      </c>
      <c r="DU1283" s="15" t="n">
        <v>99.52</v>
      </c>
      <c r="DV1283" s="34" t="n">
        <v>46156</v>
      </c>
      <c r="DW1283" s="15" t="n">
        <v>22.9</v>
      </c>
      <c r="DX1283" s="15" t="n">
        <v>40.57</v>
      </c>
      <c r="DY1283" s="34" t="n">
        <v>46156</v>
      </c>
      <c r="DZ1283" s="15" t="n">
        <v>184.7</v>
      </c>
      <c r="EA1283" s="15" t="n">
        <v>186</v>
      </c>
      <c r="EB1283" s="34" t="n">
        <v>46156</v>
      </c>
      <c r="EC1283" s="15" t="n">
        <v>13.62</v>
      </c>
      <c r="ED1283" s="15" t="n">
        <v>25.25</v>
      </c>
      <c r="EE1283" s="34" t="n">
        <v>46156</v>
      </c>
      <c r="EF1283" s="15" t="n">
        <v>354.4</v>
      </c>
      <c r="EG1283" s="15" t="n">
        <v>354.83</v>
      </c>
      <c r="EH1283" s="34" t="n">
        <v>46156</v>
      </c>
      <c r="EI1283" s="15" t="n">
        <v>114.8</v>
      </c>
      <c r="EJ1283" s="15" t="n">
        <v>114.7</v>
      </c>
      <c r="EK1283" s="34" t="n">
        <v>46156</v>
      </c>
      <c r="EL1283" s="15" t="n">
        <v>25.38</v>
      </c>
      <c r="EM1283" s="15" t="n">
        <v>34.65</v>
      </c>
      <c r="EN1283" s="34" t="n">
        <v>46156</v>
      </c>
      <c r="EO1283" s="15" t="n">
        <v>34.1</v>
      </c>
      <c r="EP1283" s="15" t="n">
        <v>50.45</v>
      </c>
      <c r="EQ1283" s="34" t="n">
        <v>46156</v>
      </c>
    </row>
    <row r="1284">
      <c r="A1284" s="34" t="n">
        <v>46157</v>
      </c>
      <c r="B1284" s="266" t="n">
        <v>1.154320001602173</v>
      </c>
      <c r="C1284" s="34" t="n">
        <v>46157</v>
      </c>
      <c r="D1284" s="15" t="n">
        <v>20.52</v>
      </c>
      <c r="E1284" s="15" t="n">
        <v>39.96</v>
      </c>
      <c r="F1284" s="34" t="n">
        <v>46157</v>
      </c>
      <c r="G1284" s="15" t="n">
        <v>95.40000000000001</v>
      </c>
      <c r="H1284" s="15" t="n">
        <v>117.97</v>
      </c>
      <c r="I1284" s="34" t="n">
        <v>46157</v>
      </c>
      <c r="J1284" s="15" t="n">
        <v>20.92</v>
      </c>
      <c r="K1284" s="15" t="n">
        <v>35.43</v>
      </c>
      <c r="L1284" s="34" t="n">
        <v>46157</v>
      </c>
      <c r="M1284" s="15" t="n">
        <v>54.85</v>
      </c>
      <c r="N1284" s="15" t="n">
        <v>69.11</v>
      </c>
      <c r="O1284" s="34" t="n">
        <v>46157</v>
      </c>
      <c r="P1284" s="15" t="n">
        <v>57.1</v>
      </c>
      <c r="Q1284" s="15" t="n">
        <v>59</v>
      </c>
      <c r="R1284" s="34" t="n">
        <v>46157</v>
      </c>
      <c r="S1284" s="15" t="n">
        <v>51.1</v>
      </c>
      <c r="T1284" s="15" t="n">
        <v>96.2</v>
      </c>
      <c r="U1284" s="34" t="n">
        <v>46157</v>
      </c>
      <c r="V1284" s="15" t="n">
        <v>18.28</v>
      </c>
      <c r="W1284" s="15" t="n">
        <v>26.6</v>
      </c>
      <c r="X1284" s="34" t="n">
        <v>46157</v>
      </c>
      <c r="Y1284" s="15" t="n">
        <v>91.65000000000001</v>
      </c>
      <c r="Z1284" s="15" t="n">
        <v>82.56999999999999</v>
      </c>
      <c r="AA1284" s="34" t="n">
        <v>46157</v>
      </c>
      <c r="AB1284" s="15" t="n">
        <v>16.7</v>
      </c>
      <c r="AC1284" s="15" t="n">
        <v>27.77</v>
      </c>
      <c r="AD1284" s="34" t="n">
        <v>46157</v>
      </c>
      <c r="AE1284" s="15" t="n">
        <v>33.9</v>
      </c>
      <c r="AF1284" s="15" t="n">
        <v>35.85</v>
      </c>
      <c r="AG1284" s="34" t="n">
        <v>46157</v>
      </c>
      <c r="AH1284" s="15" t="n">
        <v>37.64</v>
      </c>
      <c r="AI1284" s="15" t="n">
        <v>37.64</v>
      </c>
      <c r="AJ1284" s="34" t="n">
        <v>46157</v>
      </c>
      <c r="AK1284" s="15" t="n">
        <v>42.6</v>
      </c>
      <c r="AL1284" s="15" t="n">
        <v>97.20999999999999</v>
      </c>
      <c r="AM1284" s="34" t="n">
        <v>46157</v>
      </c>
      <c r="AN1284" s="15" t="n">
        <v>680</v>
      </c>
      <c r="AO1284" s="15" t="n">
        <v>423.6</v>
      </c>
      <c r="AP1284" s="34" t="n">
        <v>46157</v>
      </c>
      <c r="AQ1284" s="15" t="n">
        <v>65.75</v>
      </c>
      <c r="AR1284" s="15" t="n">
        <v>53.99</v>
      </c>
      <c r="AS1284" s="34" t="n">
        <v>46157</v>
      </c>
      <c r="AT1284" s="15" t="n">
        <v>16.08</v>
      </c>
      <c r="AU1284" s="15" t="n">
        <v>22.52</v>
      </c>
      <c r="AV1284" s="34" t="n">
        <v>46157</v>
      </c>
      <c r="AW1284" s="15" t="n">
        <v>32.42</v>
      </c>
      <c r="AX1284" s="15" t="n">
        <v>36.81</v>
      </c>
      <c r="AY1284" s="34" t="n">
        <v>46157</v>
      </c>
      <c r="AZ1284" s="15" t="n">
        <v>35.92</v>
      </c>
      <c r="BA1284" s="15" t="n">
        <v>52.06</v>
      </c>
      <c r="BB1284" s="34" t="n">
        <v>46157</v>
      </c>
      <c r="BC1284" s="15" t="n">
        <v>81.59999999999999</v>
      </c>
      <c r="BD1284" s="15" t="n">
        <v>100.25</v>
      </c>
      <c r="BE1284" s="34" t="n">
        <v>46157</v>
      </c>
      <c r="BF1284" s="15" t="n">
        <v>162.8</v>
      </c>
      <c r="BG1284" s="15" t="n">
        <v>234.67</v>
      </c>
      <c r="BH1284" s="34" t="n">
        <v>46157</v>
      </c>
      <c r="BI1284" s="15" t="n">
        <v>21.92</v>
      </c>
      <c r="BJ1284" s="15" t="n">
        <v>34.21</v>
      </c>
      <c r="BK1284" s="34" t="n">
        <v>46157</v>
      </c>
      <c r="BL1284" s="15" t="n">
        <v>115.2</v>
      </c>
      <c r="BM1284" s="15" t="n">
        <v>158.8</v>
      </c>
      <c r="BN1284" s="34" t="n">
        <v>46157</v>
      </c>
      <c r="BO1284" s="15" t="n">
        <v>11.44</v>
      </c>
      <c r="BP1284" s="15" t="n">
        <v>24.29</v>
      </c>
      <c r="BQ1284" s="34" t="n">
        <v>46157</v>
      </c>
      <c r="BR1284" s="15" t="n">
        <v>22.9</v>
      </c>
      <c r="BS1284" s="15" t="n">
        <v>20.46</v>
      </c>
      <c r="BT1284" s="34" t="n">
        <v>46157</v>
      </c>
      <c r="BU1284" s="15" t="n">
        <v>141.8</v>
      </c>
      <c r="BV1284" s="15" t="n">
        <v>188.12</v>
      </c>
      <c r="BW1284" s="34" t="n">
        <v>46157</v>
      </c>
      <c r="BX1284" s="15" t="n">
        <v>67.59999999999999</v>
      </c>
      <c r="BY1284" s="15" t="n">
        <v>83.26000000000001</v>
      </c>
      <c r="BZ1284" s="34" t="n">
        <v>46157</v>
      </c>
      <c r="CA1284" s="15" t="n">
        <v>18.35</v>
      </c>
      <c r="CB1284" s="15" t="n">
        <v>30.37</v>
      </c>
      <c r="CC1284" s="34" t="n">
        <v>46157</v>
      </c>
      <c r="CD1284" s="15" t="n">
        <v>37.18</v>
      </c>
      <c r="CE1284" s="15" t="n">
        <v>56.41</v>
      </c>
      <c r="CF1284" s="34" t="n">
        <v>46157</v>
      </c>
      <c r="CG1284" s="15" t="n">
        <v>200.4</v>
      </c>
      <c r="CH1284" s="15" t="n">
        <v>220.42</v>
      </c>
      <c r="CI1284" s="34" t="n">
        <v>46157</v>
      </c>
      <c r="CJ1284" s="15" t="n">
        <v>10.08</v>
      </c>
      <c r="CK1284" s="15" t="n">
        <v>23.3</v>
      </c>
      <c r="CL1284" s="34" t="n">
        <v>46157</v>
      </c>
      <c r="CM1284" s="15" t="n">
        <v>91.8</v>
      </c>
      <c r="CN1284" s="15" t="n">
        <v>101.39</v>
      </c>
      <c r="CO1284" s="34" t="n">
        <v>46157</v>
      </c>
      <c r="CP1284" s="15" t="n">
        <v>544</v>
      </c>
      <c r="CQ1284" s="15" t="n">
        <v>375.34</v>
      </c>
      <c r="CR1284" s="34" t="n">
        <v>46157</v>
      </c>
      <c r="CS1284" s="15" t="n">
        <v>26.38</v>
      </c>
      <c r="CT1284" s="15" t="n">
        <v>39.29</v>
      </c>
      <c r="CU1284" s="34" t="n">
        <v>46157</v>
      </c>
      <c r="CV1284" s="15" t="n">
        <v>169.1</v>
      </c>
      <c r="CW1284" s="15" t="n">
        <v>186.09</v>
      </c>
      <c r="CX1284" s="34" t="n">
        <v>46157</v>
      </c>
      <c r="CY1284" s="15" t="n">
        <v>60.1</v>
      </c>
      <c r="CZ1284" s="15" t="n">
        <v>62.32</v>
      </c>
      <c r="DA1284" s="34" t="n">
        <v>46157</v>
      </c>
      <c r="DB1284" s="15" t="n">
        <v>162.3</v>
      </c>
      <c r="DC1284" s="15" t="n">
        <v>221.95</v>
      </c>
      <c r="DD1284" s="34" t="n">
        <v>46157</v>
      </c>
      <c r="DE1284" s="15" t="n">
        <v>39.26</v>
      </c>
      <c r="DF1284" s="15" t="n">
        <v>42.5</v>
      </c>
      <c r="DG1284" s="34" t="n">
        <v>46157</v>
      </c>
      <c r="DH1284" s="15" t="n">
        <v>448.6</v>
      </c>
      <c r="DI1284" s="15" t="n">
        <v>247.98</v>
      </c>
      <c r="DJ1284" s="34" t="n">
        <v>46157</v>
      </c>
      <c r="DK1284" s="15" t="n">
        <v>52.35</v>
      </c>
      <c r="DL1284" s="15" t="n">
        <v>52.2</v>
      </c>
      <c r="DM1284" s="34" t="n">
        <v>46157</v>
      </c>
      <c r="DN1284" s="15" t="n">
        <v>15.09</v>
      </c>
      <c r="DO1284" s="15" t="n">
        <v>22.49</v>
      </c>
      <c r="DP1284" s="34" t="n">
        <v>46157</v>
      </c>
      <c r="DQ1284" s="15" t="n">
        <v>15.24</v>
      </c>
      <c r="DR1284" s="15" t="n">
        <v>25.43</v>
      </c>
      <c r="DS1284" s="34" t="n">
        <v>46157</v>
      </c>
      <c r="DT1284" s="15" t="n">
        <v>70</v>
      </c>
      <c r="DU1284" s="15" t="n">
        <v>105.99</v>
      </c>
      <c r="DV1284" s="34" t="n">
        <v>46157</v>
      </c>
      <c r="DW1284" s="15" t="n">
        <v>22.64</v>
      </c>
      <c r="DX1284" s="15" t="n">
        <v>40.58</v>
      </c>
      <c r="DY1284" s="34" t="n">
        <v>46157</v>
      </c>
      <c r="DZ1284" s="15" t="n">
        <v>179</v>
      </c>
      <c r="EA1284" s="15" t="n">
        <v>180.68</v>
      </c>
      <c r="EB1284" s="34" t="n">
        <v>46157</v>
      </c>
      <c r="EC1284" s="15" t="n">
        <v>13.48</v>
      </c>
      <c r="ED1284" s="15" t="n">
        <v>24.9</v>
      </c>
      <c r="EE1284" s="34" t="n">
        <v>46157</v>
      </c>
      <c r="EF1284" s="15" t="n">
        <v>340</v>
      </c>
      <c r="EG1284" s="15" t="n">
        <v>340.22</v>
      </c>
      <c r="EH1284" s="34" t="n">
        <v>46157</v>
      </c>
      <c r="EI1284" s="15" t="n">
        <v>112.8</v>
      </c>
      <c r="EJ1284" s="15" t="n">
        <v>113.85</v>
      </c>
      <c r="EK1284" s="34" t="n">
        <v>46157</v>
      </c>
      <c r="EL1284" s="15" t="n">
        <v>25.4</v>
      </c>
      <c r="EM1284" s="15" t="n">
        <v>34.34</v>
      </c>
      <c r="EN1284" s="34" t="n">
        <v>46157</v>
      </c>
      <c r="EO1284" s="15" t="n">
        <v>32.92</v>
      </c>
      <c r="EP1284" s="15" t="n">
        <v>50.46</v>
      </c>
      <c r="EQ1284" s="34" t="n">
        <v>46157</v>
      </c>
    </row>
    <row r="1285">
      <c r="A1285" s="34" t="n">
        <v>46160</v>
      </c>
      <c r="B1285" s="266" t="n">
        <v>1.149821996688843</v>
      </c>
      <c r="C1285" s="34" t="n">
        <v>46160</v>
      </c>
      <c r="D1285" s="15" t="n">
        <v>19.73</v>
      </c>
      <c r="E1285" s="15" t="n">
        <v>39.17</v>
      </c>
      <c r="F1285" s="34" t="n">
        <v>46160</v>
      </c>
      <c r="G1285" s="15" t="n">
        <v>96</v>
      </c>
      <c r="H1285" s="15" t="n">
        <v>118.77</v>
      </c>
      <c r="I1285" s="34" t="n">
        <v>46160</v>
      </c>
      <c r="J1285" s="15" t="n">
        <v>20.18</v>
      </c>
      <c r="K1285" s="15" t="n">
        <v>34.39</v>
      </c>
      <c r="L1285" s="34" t="n">
        <v>46160</v>
      </c>
      <c r="M1285" s="15" t="n">
        <v>54.3</v>
      </c>
      <c r="N1285" s="15" t="n">
        <v>69.38</v>
      </c>
      <c r="O1285" s="34" t="n">
        <v>46160</v>
      </c>
      <c r="P1285" s="15" t="n">
        <v>56.05</v>
      </c>
      <c r="Q1285" s="15" t="n">
        <v>58.11</v>
      </c>
      <c r="R1285" s="34" t="n">
        <v>46160</v>
      </c>
      <c r="S1285" s="15" t="n">
        <v>48.4</v>
      </c>
      <c r="T1285" s="15" t="n">
        <v>94.8</v>
      </c>
      <c r="U1285" s="34" t="n">
        <v>46160</v>
      </c>
      <c r="V1285" s="15" t="n">
        <v>18.07</v>
      </c>
      <c r="W1285" s="15" t="n">
        <v>26.28</v>
      </c>
      <c r="X1285" s="34" t="n">
        <v>46160</v>
      </c>
      <c r="Y1285" s="15" t="n">
        <v>91.7</v>
      </c>
      <c r="Z1285" s="15" t="n">
        <v>82.83</v>
      </c>
      <c r="AA1285" s="34" t="n">
        <v>46160</v>
      </c>
      <c r="AB1285" s="15" t="n">
        <v>16.21</v>
      </c>
      <c r="AC1285" s="15" t="n">
        <v>27.6</v>
      </c>
      <c r="AD1285" s="34" t="n">
        <v>46160</v>
      </c>
      <c r="AE1285" s="15" t="n">
        <v>33.2</v>
      </c>
      <c r="AF1285" s="15" t="n">
        <v>35.73</v>
      </c>
      <c r="AG1285" s="34" t="n">
        <v>46160</v>
      </c>
      <c r="AH1285" s="15" t="n">
        <v>35.9</v>
      </c>
      <c r="AI1285" s="15" t="n">
        <v>36.66</v>
      </c>
      <c r="AJ1285" s="34" t="n">
        <v>46160</v>
      </c>
      <c r="AK1285" s="15" t="n">
        <v>41.76</v>
      </c>
      <c r="AL1285" s="15" t="n">
        <v>99.5</v>
      </c>
      <c r="AM1285" s="34" t="n">
        <v>46160</v>
      </c>
      <c r="AN1285" s="15" t="n">
        <v>674.5</v>
      </c>
      <c r="AO1285" s="15" t="n">
        <v>417.23</v>
      </c>
      <c r="AP1285" s="34" t="n">
        <v>46160</v>
      </c>
      <c r="AQ1285" s="15" t="n">
        <v>63.2</v>
      </c>
      <c r="AR1285" s="15" t="n">
        <v>52.43</v>
      </c>
      <c r="AS1285" s="34" t="n">
        <v>46160</v>
      </c>
      <c r="AT1285" s="15" t="n">
        <v>15.26</v>
      </c>
      <c r="AU1285" s="15" t="n">
        <v>22.37</v>
      </c>
      <c r="AV1285" s="34" t="n">
        <v>46160</v>
      </c>
      <c r="AW1285" s="15" t="n">
        <v>31.9</v>
      </c>
      <c r="AX1285" s="15" t="n">
        <v>36.38</v>
      </c>
      <c r="AY1285" s="34" t="n">
        <v>46160</v>
      </c>
      <c r="AZ1285" s="15" t="n">
        <v>34.94</v>
      </c>
      <c r="BA1285" s="15" t="n">
        <v>52.92</v>
      </c>
      <c r="BB1285" s="34" t="n">
        <v>46160</v>
      </c>
      <c r="BC1285" s="15" t="n">
        <v>82</v>
      </c>
      <c r="BD1285" s="15" t="n">
        <v>99.25</v>
      </c>
      <c r="BE1285" s="34" t="n">
        <v>46160</v>
      </c>
      <c r="BF1285" s="15" t="n">
        <v>166</v>
      </c>
      <c r="BG1285" s="15" t="n">
        <v>241.67</v>
      </c>
      <c r="BH1285" s="34" t="n">
        <v>46160</v>
      </c>
      <c r="BI1285" s="15" t="n">
        <v>23.56</v>
      </c>
      <c r="BJ1285" s="15" t="n">
        <v>38.7</v>
      </c>
      <c r="BK1285" s="34" t="n">
        <v>46160</v>
      </c>
      <c r="BL1285" s="15" t="n">
        <v>109.9</v>
      </c>
      <c r="BM1285" s="15" t="n">
        <v>149.84</v>
      </c>
      <c r="BN1285" s="34" t="n">
        <v>46160</v>
      </c>
      <c r="BO1285" s="15" t="n">
        <v>11.45</v>
      </c>
      <c r="BP1285" s="15" t="n">
        <v>24.75</v>
      </c>
      <c r="BQ1285" s="34" t="n">
        <v>46160</v>
      </c>
      <c r="BR1285" s="15" t="n">
        <v>21.84</v>
      </c>
      <c r="BS1285" s="15" t="n">
        <v>19.39</v>
      </c>
      <c r="BT1285" s="34" t="n">
        <v>46160</v>
      </c>
      <c r="BU1285" s="15" t="n">
        <v>138.6</v>
      </c>
      <c r="BV1285" s="15" t="n">
        <v>184.3</v>
      </c>
      <c r="BW1285" s="34" t="n">
        <v>46160</v>
      </c>
      <c r="BX1285" s="15" t="n">
        <v>66.90000000000001</v>
      </c>
      <c r="BY1285" s="15" t="n">
        <v>81.8</v>
      </c>
      <c r="BZ1285" s="34" t="n">
        <v>46160</v>
      </c>
      <c r="CA1285" s="15" t="n">
        <v>18.2</v>
      </c>
      <c r="CB1285" s="15" t="n">
        <v>30.93</v>
      </c>
      <c r="CC1285" s="34" t="n">
        <v>46160</v>
      </c>
      <c r="CD1285" s="15" t="n">
        <v>36.98</v>
      </c>
      <c r="CE1285" s="15" t="n">
        <v>56.22</v>
      </c>
      <c r="CF1285" s="34" t="n">
        <v>46160</v>
      </c>
      <c r="CG1285" s="15" t="n">
        <v>202.4</v>
      </c>
      <c r="CH1285" s="15" t="n">
        <v>219.36</v>
      </c>
      <c r="CI1285" s="34" t="n">
        <v>46160</v>
      </c>
      <c r="CJ1285" s="15" t="n">
        <v>10.19</v>
      </c>
      <c r="CK1285" s="15" t="n">
        <v>23.66</v>
      </c>
      <c r="CL1285" s="34" t="n">
        <v>46160</v>
      </c>
      <c r="CM1285" s="15" t="n">
        <v>89.25</v>
      </c>
      <c r="CN1285" s="15" t="n">
        <v>99.79000000000001</v>
      </c>
      <c r="CO1285" s="34" t="n">
        <v>46160</v>
      </c>
      <c r="CP1285" s="15" t="n">
        <v>588</v>
      </c>
      <c r="CQ1285" s="15" t="n">
        <v>400</v>
      </c>
      <c r="CR1285" s="34" t="n">
        <v>46160</v>
      </c>
      <c r="CS1285" s="15" t="n">
        <v>26.12</v>
      </c>
      <c r="CT1285" s="15" t="n">
        <v>38.93</v>
      </c>
      <c r="CU1285" s="34" t="n">
        <v>46160</v>
      </c>
      <c r="CV1285" s="15" t="n">
        <v>165.6</v>
      </c>
      <c r="CW1285" s="15" t="n">
        <v>142.2</v>
      </c>
      <c r="CX1285" s="34" t="n">
        <v>46160</v>
      </c>
      <c r="CY1285" s="15" t="n">
        <v>59.8</v>
      </c>
      <c r="CZ1285" s="15" t="n">
        <v>62.67</v>
      </c>
      <c r="DA1285" s="34" t="n">
        <v>46160</v>
      </c>
      <c r="DB1285" s="15" t="n">
        <v>156.8</v>
      </c>
      <c r="DC1285" s="15" t="n">
        <v>216.55</v>
      </c>
      <c r="DD1285" s="34" t="n">
        <v>46160</v>
      </c>
      <c r="DE1285" s="15" t="n">
        <v>37.32</v>
      </c>
      <c r="DF1285" s="15" t="n">
        <v>40.43</v>
      </c>
      <c r="DG1285" s="34" t="n">
        <v>46160</v>
      </c>
      <c r="DH1285" s="15" t="n">
        <v>440.8</v>
      </c>
      <c r="DI1285" s="15" t="n">
        <v>247.99</v>
      </c>
      <c r="DJ1285" s="34" t="n">
        <v>46160</v>
      </c>
      <c r="DK1285" s="15" t="n">
        <v>52.7</v>
      </c>
      <c r="DL1285" s="15" t="n">
        <v>52.91</v>
      </c>
      <c r="DM1285" s="34" t="n">
        <v>46160</v>
      </c>
      <c r="DN1285" s="15" t="n">
        <v>14.68</v>
      </c>
      <c r="DO1285" s="15" t="n">
        <v>21.73</v>
      </c>
      <c r="DP1285" s="34" t="n">
        <v>46160</v>
      </c>
      <c r="DQ1285" s="15" t="n">
        <v>15.3</v>
      </c>
      <c r="DR1285" s="15" t="n">
        <v>26.07</v>
      </c>
      <c r="DS1285" s="34" t="n">
        <v>46160</v>
      </c>
      <c r="DT1285" s="15" t="n">
        <v>73.8</v>
      </c>
      <c r="DU1285" s="15" t="n">
        <v>111.89</v>
      </c>
      <c r="DV1285" s="34" t="n">
        <v>46160</v>
      </c>
      <c r="DW1285" s="15" t="n">
        <v>25.5</v>
      </c>
      <c r="DX1285" s="15" t="n">
        <v>44.64</v>
      </c>
      <c r="DY1285" s="34" t="n">
        <v>46160</v>
      </c>
      <c r="DZ1285" s="15" t="n">
        <v>172</v>
      </c>
      <c r="EA1285" s="15" t="n">
        <v>178.8</v>
      </c>
      <c r="EB1285" s="34" t="n">
        <v>46160</v>
      </c>
      <c r="EC1285" s="15" t="n">
        <v>14.9</v>
      </c>
      <c r="ED1285" s="15" t="n">
        <v>27.64</v>
      </c>
      <c r="EE1285" s="34" t="n">
        <v>46160</v>
      </c>
      <c r="EF1285" s="15" t="n">
        <v>368.8</v>
      </c>
      <c r="EG1285" s="15" t="n">
        <v>346.2</v>
      </c>
      <c r="EH1285" s="34" t="n">
        <v>46160</v>
      </c>
      <c r="EI1285" s="15" t="n">
        <v>110.2</v>
      </c>
      <c r="EJ1285" s="15" t="n">
        <v>112.32</v>
      </c>
      <c r="EK1285" s="34" t="n">
        <v>46160</v>
      </c>
      <c r="EL1285" s="15" t="n">
        <v>24.86</v>
      </c>
      <c r="EM1285" s="15" t="n">
        <v>33.4</v>
      </c>
      <c r="EN1285" s="34" t="n">
        <v>46160</v>
      </c>
      <c r="EO1285" s="15" t="n">
        <v>31.9</v>
      </c>
      <c r="EP1285" s="15" t="n">
        <v>47.96</v>
      </c>
      <c r="EQ1285" s="34" t="n">
        <v>46160</v>
      </c>
    </row>
    <row r="1286">
      <c r="A1286" s="34" t="n">
        <v>46161</v>
      </c>
      <c r="B1286" s="266" t="n">
        <v>1.151532053947449</v>
      </c>
      <c r="C1286" s="34" t="n">
        <v>46161</v>
      </c>
      <c r="D1286" s="15" t="n">
        <v>18.99</v>
      </c>
      <c r="E1286" s="15" t="n">
        <v>38.43</v>
      </c>
      <c r="F1286" s="34" t="n">
        <v>46161</v>
      </c>
      <c r="G1286" s="15" t="n">
        <v>93.8</v>
      </c>
      <c r="H1286" s="15" t="n">
        <v>117.89</v>
      </c>
      <c r="I1286" s="34" t="n">
        <v>46161</v>
      </c>
      <c r="J1286" s="15" t="n">
        <v>19.46</v>
      </c>
      <c r="K1286" s="15" t="n">
        <v>33.44</v>
      </c>
      <c r="L1286" s="34" t="n">
        <v>46161</v>
      </c>
      <c r="M1286" s="15" t="n">
        <v>52.35</v>
      </c>
      <c r="N1286" s="15" t="n">
        <v>66.58</v>
      </c>
      <c r="O1286" s="34" t="n">
        <v>46161</v>
      </c>
      <c r="P1286" s="15" t="n">
        <v>55.95</v>
      </c>
      <c r="Q1286" s="15" t="n">
        <v>58.36</v>
      </c>
      <c r="R1286" s="34" t="n">
        <v>46161</v>
      </c>
      <c r="S1286" s="15" t="n">
        <v>47.96</v>
      </c>
      <c r="T1286" s="15" t="n">
        <v>94.88</v>
      </c>
      <c r="U1286" s="34" t="n">
        <v>46161</v>
      </c>
      <c r="V1286" s="15" t="n">
        <v>17.73</v>
      </c>
      <c r="W1286" s="15" t="n">
        <v>25.9</v>
      </c>
      <c r="X1286" s="34" t="n">
        <v>46161</v>
      </c>
      <c r="Y1286" s="15" t="n">
        <v>89.75</v>
      </c>
      <c r="Z1286" s="15" t="n">
        <v>81</v>
      </c>
      <c r="AA1286" s="34" t="n">
        <v>46161</v>
      </c>
      <c r="AB1286" s="15" t="n">
        <v>15.4</v>
      </c>
      <c r="AC1286" s="15" t="n">
        <v>26.86</v>
      </c>
      <c r="AD1286" s="34" t="n">
        <v>46161</v>
      </c>
      <c r="AE1286" s="15" t="n">
        <v>33.14</v>
      </c>
      <c r="AF1286" s="15" t="n">
        <v>35.29</v>
      </c>
      <c r="AG1286" s="34" t="n">
        <v>46161</v>
      </c>
      <c r="AH1286" s="15" t="n">
        <v>34.98</v>
      </c>
      <c r="AI1286" s="15" t="n">
        <v>36.26</v>
      </c>
      <c r="AJ1286" s="34" t="n">
        <v>46161</v>
      </c>
      <c r="AK1286" s="15" t="n">
        <v>40</v>
      </c>
      <c r="AL1286" s="15" t="n">
        <v>95.12</v>
      </c>
      <c r="AM1286" s="34" t="n">
        <v>46161</v>
      </c>
      <c r="AN1286" s="15" t="n">
        <v>660</v>
      </c>
      <c r="AO1286" s="15" t="n">
        <v>417.92</v>
      </c>
      <c r="AP1286" s="34" t="n">
        <v>46161</v>
      </c>
      <c r="AQ1286" s="15" t="n">
        <v>61.5</v>
      </c>
      <c r="AR1286" s="15" t="n">
        <v>51.59</v>
      </c>
      <c r="AS1286" s="34" t="n">
        <v>46161</v>
      </c>
      <c r="AT1286" s="15" t="n">
        <v>15.37</v>
      </c>
      <c r="AU1286" s="15" t="n">
        <v>22.86</v>
      </c>
      <c r="AV1286" s="34" t="n">
        <v>46161</v>
      </c>
      <c r="AW1286" s="15" t="n">
        <v>31.36</v>
      </c>
      <c r="AX1286" s="15" t="n">
        <v>36.19</v>
      </c>
      <c r="AY1286" s="34" t="n">
        <v>46161</v>
      </c>
      <c r="AZ1286" s="15" t="n">
        <v>34.34</v>
      </c>
      <c r="BA1286" s="15" t="n">
        <v>52.33</v>
      </c>
      <c r="BB1286" s="34" t="n">
        <v>46161</v>
      </c>
      <c r="BC1286" s="15" t="n">
        <v>83.2</v>
      </c>
      <c r="BD1286" s="15" t="n">
        <v>98</v>
      </c>
      <c r="BE1286" s="34" t="n">
        <v>46161</v>
      </c>
      <c r="BF1286" s="15" t="n">
        <v>168.2</v>
      </c>
      <c r="BG1286" s="15" t="n">
        <v>243.9</v>
      </c>
      <c r="BH1286" s="34" t="n">
        <v>46161</v>
      </c>
      <c r="BI1286" s="15" t="n">
        <v>22.46</v>
      </c>
      <c r="BJ1286" s="15" t="n">
        <v>37.96</v>
      </c>
      <c r="BK1286" s="34" t="n">
        <v>46161</v>
      </c>
      <c r="BL1286" s="15" t="n">
        <v>104.1</v>
      </c>
      <c r="BM1286" s="15" t="n">
        <v>148.76</v>
      </c>
      <c r="BN1286" s="34" t="n">
        <v>46161</v>
      </c>
      <c r="BO1286" s="15" t="n">
        <v>11.52</v>
      </c>
      <c r="BP1286" s="15" t="n">
        <v>25.18</v>
      </c>
      <c r="BQ1286" s="34" t="n">
        <v>46161</v>
      </c>
      <c r="BR1286" s="15" t="n">
        <v>21.78</v>
      </c>
      <c r="BS1286" s="15" t="n">
        <v>19.31</v>
      </c>
      <c r="BT1286" s="34" t="n">
        <v>46161</v>
      </c>
      <c r="BU1286" s="15" t="n">
        <v>157</v>
      </c>
      <c r="BV1286" s="15" t="n">
        <v>202.42</v>
      </c>
      <c r="BW1286" s="34" t="n">
        <v>46161</v>
      </c>
      <c r="BX1286" s="15" t="n">
        <v>67.55</v>
      </c>
      <c r="BY1286" s="15" t="n">
        <v>80.08</v>
      </c>
      <c r="BZ1286" s="34" t="n">
        <v>46161</v>
      </c>
      <c r="CA1286" s="15" t="n">
        <v>17.66</v>
      </c>
      <c r="CB1286" s="15" t="n">
        <v>30.17</v>
      </c>
      <c r="CC1286" s="34" t="n">
        <v>46161</v>
      </c>
      <c r="CD1286" s="15" t="n">
        <v>35.84</v>
      </c>
      <c r="CE1286" s="15" t="n">
        <v>55.4</v>
      </c>
      <c r="CF1286" s="34" t="n">
        <v>46161</v>
      </c>
      <c r="CG1286" s="15" t="n">
        <v>207.6</v>
      </c>
      <c r="CH1286" s="15" t="n">
        <v>226.94</v>
      </c>
      <c r="CI1286" s="34" t="n">
        <v>46161</v>
      </c>
      <c r="CJ1286" s="15" t="n">
        <v>10.04</v>
      </c>
      <c r="CK1286" s="15" t="n">
        <v>23.33</v>
      </c>
      <c r="CL1286" s="34" t="n">
        <v>46161</v>
      </c>
      <c r="CM1286" s="15" t="n">
        <v>90</v>
      </c>
      <c r="CN1286" s="15" t="n">
        <v>102.62</v>
      </c>
      <c r="CO1286" s="34" t="n">
        <v>46161</v>
      </c>
      <c r="CP1286" s="15" t="n">
        <v>602</v>
      </c>
      <c r="CQ1286" s="15" t="n">
        <v>404.56</v>
      </c>
      <c r="CR1286" s="34" t="n">
        <v>46161</v>
      </c>
      <c r="CS1286" s="15" t="n">
        <v>25.24</v>
      </c>
      <c r="CT1286" s="15" t="n">
        <v>38.86</v>
      </c>
      <c r="CU1286" s="34" t="n">
        <v>46161</v>
      </c>
      <c r="CV1286" s="15" t="n">
        <v>158.4</v>
      </c>
      <c r="CW1286" s="15" t="n">
        <v>145.61</v>
      </c>
      <c r="CX1286" s="34" t="n">
        <v>46161</v>
      </c>
      <c r="CY1286" s="15" t="n">
        <v>60.3</v>
      </c>
      <c r="CZ1286" s="15" t="n">
        <v>64</v>
      </c>
      <c r="DA1286" s="34" t="n">
        <v>46161</v>
      </c>
      <c r="DB1286" s="15" t="n">
        <v>159.5</v>
      </c>
      <c r="DC1286" s="15" t="n">
        <v>218.31</v>
      </c>
      <c r="DD1286" s="34" t="n">
        <v>46161</v>
      </c>
      <c r="DE1286" s="15" t="n">
        <v>36.42</v>
      </c>
      <c r="DF1286" s="15" t="n">
        <v>40.3</v>
      </c>
      <c r="DG1286" s="34" t="n">
        <v>46161</v>
      </c>
      <c r="DH1286" s="15" t="n">
        <v>423.6</v>
      </c>
      <c r="DI1286" s="15" t="n">
        <v>247.11</v>
      </c>
      <c r="DJ1286" s="34" t="n">
        <v>46161</v>
      </c>
      <c r="DK1286" s="15" t="n">
        <v>50.75</v>
      </c>
      <c r="DL1286" s="15" t="n">
        <v>50.95</v>
      </c>
      <c r="DM1286" s="34" t="n">
        <v>46161</v>
      </c>
      <c r="DN1286" s="15" t="n">
        <v>14.71</v>
      </c>
      <c r="DO1286" s="15" t="n">
        <v>21.89</v>
      </c>
      <c r="DP1286" s="34" t="n">
        <v>46161</v>
      </c>
      <c r="DQ1286" s="15" t="n">
        <v>15.51</v>
      </c>
      <c r="DR1286" s="15" t="n">
        <v>26.86</v>
      </c>
      <c r="DS1286" s="34" t="n">
        <v>46161</v>
      </c>
      <c r="DT1286" s="15" t="n">
        <v>76.45</v>
      </c>
      <c r="DU1286" s="15" t="n">
        <v>111.97</v>
      </c>
      <c r="DV1286" s="34" t="n">
        <v>46161</v>
      </c>
      <c r="DW1286" s="15" t="n">
        <v>25.16</v>
      </c>
      <c r="DX1286" s="15" t="n">
        <v>45.65</v>
      </c>
      <c r="DY1286" s="34" t="n">
        <v>46161</v>
      </c>
      <c r="DZ1286" s="15" t="n">
        <v>168.6</v>
      </c>
      <c r="EA1286" s="15" t="n">
        <v>176.32</v>
      </c>
      <c r="EB1286" s="34" t="n">
        <v>46161</v>
      </c>
      <c r="EC1286" s="15" t="n">
        <v>16.23</v>
      </c>
      <c r="ED1286" s="15" t="n">
        <v>28.39</v>
      </c>
      <c r="EE1286" s="34" t="n">
        <v>46161</v>
      </c>
      <c r="EF1286" s="15" t="n">
        <v>371.2</v>
      </c>
      <c r="EG1286" s="15" t="n">
        <v>336.98</v>
      </c>
      <c r="EH1286" s="34" t="n">
        <v>46161</v>
      </c>
      <c r="EI1286" s="15" t="n">
        <v>104.5</v>
      </c>
      <c r="EJ1286" s="15" t="n">
        <v>108.9</v>
      </c>
      <c r="EK1286" s="34" t="n">
        <v>46161</v>
      </c>
      <c r="EL1286" s="15" t="n">
        <v>24.92</v>
      </c>
      <c r="EM1286" s="15" t="n">
        <v>33.4</v>
      </c>
      <c r="EN1286" s="34" t="n">
        <v>46161</v>
      </c>
      <c r="EO1286" s="15" t="n">
        <v>32.42</v>
      </c>
      <c r="EP1286" s="15" t="n">
        <v>48.9</v>
      </c>
      <c r="EQ1286" s="34" t="n">
        <v>46161</v>
      </c>
    </row>
    <row r="1287">
      <c r="A1287" s="34" t="n">
        <v>46162</v>
      </c>
      <c r="B1287" s="266" t="n">
        <v>1.149292945861816</v>
      </c>
      <c r="C1287" s="34" t="n">
        <v>46162</v>
      </c>
      <c r="D1287" s="15" t="n">
        <v>19.63</v>
      </c>
      <c r="E1287" s="15" t="n">
        <v>38.88</v>
      </c>
      <c r="F1287" s="34" t="n">
        <v>46162</v>
      </c>
      <c r="G1287" s="15" t="n">
        <v>92.40000000000001</v>
      </c>
      <c r="H1287" s="15" t="n">
        <v>118.86</v>
      </c>
      <c r="I1287" s="34" t="n">
        <v>46162</v>
      </c>
      <c r="J1287" s="15" t="n">
        <v>19.51</v>
      </c>
      <c r="K1287" s="15" t="n">
        <v>33.7</v>
      </c>
      <c r="L1287" s="34" t="n">
        <v>46162</v>
      </c>
      <c r="M1287" s="15" t="n">
        <v>53.9</v>
      </c>
      <c r="N1287" s="15" t="n">
        <v>68.16</v>
      </c>
      <c r="O1287" s="34" t="n">
        <v>46162</v>
      </c>
      <c r="P1287" s="15" t="n">
        <v>55.1</v>
      </c>
      <c r="Q1287" s="15" t="n">
        <v>57.81</v>
      </c>
      <c r="R1287" s="34" t="n">
        <v>46162</v>
      </c>
      <c r="S1287" s="15" t="n">
        <v>50.6</v>
      </c>
      <c r="T1287" s="15" t="n">
        <v>103.46</v>
      </c>
      <c r="U1287" s="34" t="n">
        <v>46162</v>
      </c>
      <c r="V1287" s="15" t="n">
        <v>17.27</v>
      </c>
      <c r="W1287" s="15" t="n">
        <v>25.39</v>
      </c>
      <c r="X1287" s="34" t="n">
        <v>46162</v>
      </c>
      <c r="Y1287" s="15" t="n">
        <v>90.65000000000001</v>
      </c>
      <c r="Z1287" s="15" t="n">
        <v>81.5</v>
      </c>
      <c r="AA1287" s="34" t="n">
        <v>46162</v>
      </c>
      <c r="AB1287" s="15" t="n">
        <v>16.24</v>
      </c>
      <c r="AC1287" s="15" t="n">
        <v>27.83</v>
      </c>
      <c r="AD1287" s="34" t="n">
        <v>46162</v>
      </c>
      <c r="AE1287" s="15" t="n">
        <v>32.42</v>
      </c>
      <c r="AF1287" s="15" t="n">
        <v>35.72</v>
      </c>
      <c r="AG1287" s="34" t="n">
        <v>46162</v>
      </c>
      <c r="AH1287" s="15" t="n">
        <v>33.88</v>
      </c>
      <c r="AI1287" s="15" t="n">
        <v>35.68</v>
      </c>
      <c r="AJ1287" s="34" t="n">
        <v>46162</v>
      </c>
      <c r="AK1287" s="15" t="n">
        <v>39.76</v>
      </c>
      <c r="AL1287" s="15" t="n">
        <v>98.86</v>
      </c>
      <c r="AM1287" s="34" t="n">
        <v>46162</v>
      </c>
      <c r="AN1287" s="15" t="n">
        <v>662.5</v>
      </c>
      <c r="AO1287" s="15" t="n">
        <v>414.75</v>
      </c>
      <c r="AP1287" s="34" t="n">
        <v>46162</v>
      </c>
      <c r="AQ1287" s="15" t="n">
        <v>61.05</v>
      </c>
      <c r="AR1287" s="15" t="n">
        <v>50.95</v>
      </c>
      <c r="AS1287" s="34" t="n">
        <v>46162</v>
      </c>
      <c r="AT1287" s="15" t="n">
        <v>15.25</v>
      </c>
      <c r="AU1287" s="15" t="n">
        <v>22.1</v>
      </c>
      <c r="AV1287" s="34" t="n">
        <v>46162</v>
      </c>
      <c r="AW1287" s="15" t="n">
        <v>31.32</v>
      </c>
      <c r="AX1287" s="15" t="n">
        <v>35.88</v>
      </c>
      <c r="AY1287" s="34" t="n">
        <v>46162</v>
      </c>
      <c r="AZ1287" s="15" t="n">
        <v>33.68</v>
      </c>
      <c r="BA1287" s="15" t="n">
        <v>50.55</v>
      </c>
      <c r="BB1287" s="34" t="n">
        <v>46162</v>
      </c>
      <c r="BC1287" s="15" t="n">
        <v>83.5</v>
      </c>
      <c r="BD1287" s="15" t="n">
        <v>98.52</v>
      </c>
      <c r="BE1287" s="34" t="n">
        <v>46162</v>
      </c>
      <c r="BF1287" s="15" t="n">
        <v>172.1</v>
      </c>
      <c r="BG1287" s="15" t="n">
        <v>250</v>
      </c>
      <c r="BH1287" s="34" t="n">
        <v>46162</v>
      </c>
      <c r="BI1287" s="15" t="n">
        <v>21.34</v>
      </c>
      <c r="BJ1287" s="15" t="n">
        <v>36.31</v>
      </c>
      <c r="BK1287" s="34" t="n">
        <v>46162</v>
      </c>
      <c r="BL1287" s="15" t="n">
        <v>111.9</v>
      </c>
      <c r="BM1287" s="15" t="n">
        <v>155.1</v>
      </c>
      <c r="BN1287" s="34" t="n">
        <v>46162</v>
      </c>
      <c r="BO1287" s="15" t="n">
        <v>10.9</v>
      </c>
      <c r="BP1287" s="15" t="n">
        <v>24.16</v>
      </c>
      <c r="BQ1287" s="34" t="n">
        <v>46162</v>
      </c>
      <c r="BR1287" s="15" t="n">
        <v>21.22</v>
      </c>
      <c r="BS1287" s="15" t="n">
        <v>19.4</v>
      </c>
      <c r="BT1287" s="34" t="n">
        <v>46162</v>
      </c>
      <c r="BU1287" s="15" t="n">
        <v>146.9</v>
      </c>
      <c r="BV1287" s="15" t="n">
        <v>193.88</v>
      </c>
      <c r="BW1287" s="34" t="n">
        <v>46162</v>
      </c>
      <c r="BX1287" s="15" t="n">
        <v>66.8</v>
      </c>
      <c r="BY1287" s="15" t="n">
        <v>78.56</v>
      </c>
      <c r="BZ1287" s="34" t="n">
        <v>46162</v>
      </c>
      <c r="CA1287" s="15" t="n">
        <v>17</v>
      </c>
      <c r="CB1287" s="15" t="n">
        <v>28.79</v>
      </c>
      <c r="CC1287" s="34" t="n">
        <v>46162</v>
      </c>
      <c r="CD1287" s="15" t="n">
        <v>37.14</v>
      </c>
      <c r="CE1287" s="15" t="n">
        <v>56.87</v>
      </c>
      <c r="CF1287" s="34" t="n">
        <v>46162</v>
      </c>
      <c r="CG1287" s="15" t="n">
        <v>224.4</v>
      </c>
      <c r="CH1287" s="15" t="n">
        <v>251.5</v>
      </c>
      <c r="CI1287" s="34" t="n">
        <v>46162</v>
      </c>
      <c r="CJ1287" s="15" t="n">
        <v>9.859999999999999</v>
      </c>
      <c r="CK1287" s="15" t="n">
        <v>22.86</v>
      </c>
      <c r="CL1287" s="34" t="n">
        <v>46162</v>
      </c>
      <c r="CM1287" s="15" t="n">
        <v>90</v>
      </c>
      <c r="CN1287" s="15" t="n">
        <v>101.3</v>
      </c>
      <c r="CO1287" s="34" t="n">
        <v>46162</v>
      </c>
      <c r="CP1287" s="15" t="n">
        <v>704.5</v>
      </c>
      <c r="CQ1287" s="15" t="n">
        <v>445.02</v>
      </c>
      <c r="CR1287" s="34" t="n">
        <v>46162</v>
      </c>
      <c r="CS1287" s="15" t="n">
        <v>26.64</v>
      </c>
      <c r="CT1287" s="15" t="n">
        <v>38.19</v>
      </c>
      <c r="CU1287" s="34" t="n">
        <v>46162</v>
      </c>
      <c r="CV1287" s="15" t="n">
        <v>155.3</v>
      </c>
      <c r="CW1287" s="15" t="n">
        <v>149</v>
      </c>
      <c r="CX1287" s="34" t="n">
        <v>46162</v>
      </c>
      <c r="CY1287" s="15" t="n">
        <v>60.55</v>
      </c>
      <c r="CZ1287" s="15" t="n">
        <v>65.25</v>
      </c>
      <c r="DA1287" s="34" t="n">
        <v>46162</v>
      </c>
      <c r="DB1287" s="15" t="n">
        <v>164.5</v>
      </c>
      <c r="DC1287" s="15" t="n">
        <v>224</v>
      </c>
      <c r="DD1287" s="34" t="n">
        <v>46162</v>
      </c>
      <c r="DE1287" s="15" t="n">
        <v>34.78</v>
      </c>
      <c r="DF1287" s="15" t="n">
        <v>39.54</v>
      </c>
      <c r="DG1287" s="34" t="n">
        <v>46162</v>
      </c>
      <c r="DH1287" s="15" t="n">
        <v>446.8</v>
      </c>
      <c r="DI1287" s="15" t="n">
        <v>257.3</v>
      </c>
      <c r="DJ1287" s="34" t="n">
        <v>46162</v>
      </c>
      <c r="DK1287" s="15" t="n">
        <v>52.9</v>
      </c>
      <c r="DL1287" s="15" t="n">
        <v>51.66</v>
      </c>
      <c r="DM1287" s="34" t="n">
        <v>46162</v>
      </c>
      <c r="DN1287" s="15" t="n">
        <v>14.45</v>
      </c>
      <c r="DO1287" s="15" t="n">
        <v>21.44</v>
      </c>
      <c r="DP1287" s="34" t="n">
        <v>46162</v>
      </c>
      <c r="DQ1287" s="15" t="n">
        <v>14.38</v>
      </c>
      <c r="DR1287" s="15" t="n">
        <v>26.1</v>
      </c>
      <c r="DS1287" s="34" t="n">
        <v>46162</v>
      </c>
      <c r="DT1287" s="15" t="n">
        <v>73.2</v>
      </c>
      <c r="DU1287" s="15" t="n">
        <v>109.6</v>
      </c>
      <c r="DV1287" s="34" t="n">
        <v>46162</v>
      </c>
      <c r="DW1287" s="15" t="n">
        <v>24.46</v>
      </c>
      <c r="DX1287" s="15" t="n">
        <v>44.74</v>
      </c>
      <c r="DY1287" s="34" t="n">
        <v>46162</v>
      </c>
      <c r="DZ1287" s="15" t="n">
        <v>175</v>
      </c>
      <c r="EA1287" s="15" t="n">
        <v>179.33</v>
      </c>
      <c r="EB1287" s="34" t="n">
        <v>46162</v>
      </c>
      <c r="EC1287" s="15" t="n">
        <v>15.61</v>
      </c>
      <c r="ED1287" s="15" t="n">
        <v>27.91</v>
      </c>
      <c r="EE1287" s="34" t="n">
        <v>46162</v>
      </c>
      <c r="EF1287" s="15" t="n">
        <v>351.2</v>
      </c>
      <c r="EG1287" s="15" t="n">
        <v>334.2</v>
      </c>
      <c r="EH1287" s="34" t="n">
        <v>46162</v>
      </c>
      <c r="EI1287" s="15" t="n">
        <v>109.6</v>
      </c>
      <c r="EJ1287" s="15" t="n">
        <v>109.81</v>
      </c>
      <c r="EK1287" s="34" t="n">
        <v>46162</v>
      </c>
      <c r="EL1287" s="15" t="n">
        <v>24.06</v>
      </c>
      <c r="EM1287" s="15" t="n">
        <v>33.12</v>
      </c>
      <c r="EN1287" s="34" t="n">
        <v>46162</v>
      </c>
      <c r="EO1287" s="15" t="n">
        <v>32</v>
      </c>
      <c r="EP1287" s="15" t="n">
        <v>48.27</v>
      </c>
      <c r="EQ1287" s="34" t="n">
        <v>46162</v>
      </c>
    </row>
    <row r="1288">
      <c r="A1288" s="34" t="n">
        <v>46163</v>
      </c>
      <c r="B1288" s="266" t="n">
        <v>1.151231050491333</v>
      </c>
      <c r="C1288" s="34" t="n">
        <v>46163</v>
      </c>
      <c r="D1288" s="15" t="n">
        <v>20.68</v>
      </c>
      <c r="E1288" s="15" t="n">
        <v>42.77</v>
      </c>
      <c r="F1288" s="34" t="n">
        <v>46163</v>
      </c>
      <c r="G1288" s="15" t="n">
        <v>99</v>
      </c>
      <c r="H1288" s="15" t="n">
        <v>126.15</v>
      </c>
      <c r="I1288" s="34" t="n">
        <v>46163</v>
      </c>
      <c r="J1288" s="15" t="n">
        <v>19.11</v>
      </c>
      <c r="K1288" s="15" t="n">
        <v>33.06</v>
      </c>
      <c r="L1288" s="34" t="n">
        <v>46163</v>
      </c>
      <c r="M1288" s="15" t="n">
        <v>52.1</v>
      </c>
      <c r="N1288" s="15" t="n">
        <v>65.78</v>
      </c>
      <c r="O1288" s="34" t="n">
        <v>46163</v>
      </c>
      <c r="P1288" s="15" t="n">
        <v>54.6</v>
      </c>
      <c r="Q1288" s="15" t="n">
        <v>57.1</v>
      </c>
      <c r="R1288" s="34" t="n">
        <v>46163</v>
      </c>
      <c r="S1288" s="15" t="n">
        <v>51</v>
      </c>
      <c r="T1288" s="15" t="n">
        <v>105.78</v>
      </c>
      <c r="U1288" s="34" t="n">
        <v>46163</v>
      </c>
      <c r="V1288" s="15" t="n">
        <v>17.19</v>
      </c>
      <c r="W1288" s="15" t="n">
        <v>24.07</v>
      </c>
      <c r="X1288" s="34" t="n">
        <v>46163</v>
      </c>
      <c r="Y1288" s="15" t="n">
        <v>89.90000000000001</v>
      </c>
      <c r="Z1288" s="15" t="n">
        <v>81.5</v>
      </c>
      <c r="AA1288" s="34" t="n">
        <v>46163</v>
      </c>
      <c r="AB1288" s="15" t="n">
        <v>16.37</v>
      </c>
      <c r="AC1288" s="15" t="n">
        <v>29.3</v>
      </c>
      <c r="AD1288" s="34" t="n">
        <v>46163</v>
      </c>
      <c r="AE1288" s="15" t="n">
        <v>32.2</v>
      </c>
      <c r="AF1288" s="15" t="n">
        <v>35.48</v>
      </c>
      <c r="AG1288" s="34" t="n">
        <v>46163</v>
      </c>
      <c r="AH1288" s="15" t="n">
        <v>33.2</v>
      </c>
      <c r="AI1288" s="15" t="n">
        <v>34.5</v>
      </c>
      <c r="AJ1288" s="34" t="n">
        <v>46163</v>
      </c>
      <c r="AK1288" s="15" t="n">
        <v>38.52</v>
      </c>
      <c r="AL1288" s="15" t="n">
        <v>97.66</v>
      </c>
      <c r="AM1288" s="34" t="n">
        <v>46163</v>
      </c>
      <c r="AN1288" s="15" t="n">
        <v>673.5</v>
      </c>
      <c r="AO1288" s="15" t="n">
        <v>411.63</v>
      </c>
      <c r="AP1288" s="34" t="n">
        <v>46163</v>
      </c>
      <c r="AQ1288" s="15" t="n">
        <v>62.4</v>
      </c>
      <c r="AR1288" s="15" t="n">
        <v>51.45</v>
      </c>
      <c r="AS1288" s="34" t="n">
        <v>46163</v>
      </c>
      <c r="AT1288" s="15" t="n">
        <v>14.78</v>
      </c>
      <c r="AU1288" s="15" t="n">
        <v>21.32</v>
      </c>
      <c r="AV1288" s="34" t="n">
        <v>46163</v>
      </c>
      <c r="AW1288" s="15" t="n">
        <v>30.92</v>
      </c>
      <c r="AX1288" s="15" t="n">
        <v>35.34</v>
      </c>
      <c r="AY1288" s="34" t="n">
        <v>46163</v>
      </c>
      <c r="AZ1288" s="15" t="n">
        <v>34.7</v>
      </c>
      <c r="BA1288" s="15" t="n">
        <v>52.83</v>
      </c>
      <c r="BB1288" s="34" t="n">
        <v>46163</v>
      </c>
      <c r="BC1288" s="15" t="n">
        <v>84</v>
      </c>
      <c r="BD1288" s="15" t="n">
        <v>98.20999999999999</v>
      </c>
      <c r="BE1288" s="34" t="n">
        <v>46163</v>
      </c>
      <c r="BF1288" s="15" t="n">
        <v>171.7</v>
      </c>
      <c r="BG1288" s="15" t="n">
        <v>239</v>
      </c>
      <c r="BH1288" s="34" t="n">
        <v>46163</v>
      </c>
      <c r="BI1288" s="15" t="n">
        <v>20.18</v>
      </c>
      <c r="BJ1288" s="15" t="n">
        <v>36.51</v>
      </c>
      <c r="BK1288" s="34" t="n">
        <v>46163</v>
      </c>
      <c r="BL1288" s="15" t="n">
        <v>96.45</v>
      </c>
      <c r="BM1288" s="15" t="n">
        <v>139.61</v>
      </c>
      <c r="BN1288" s="34" t="n">
        <v>46163</v>
      </c>
      <c r="BO1288" s="15" t="n">
        <v>10.88</v>
      </c>
      <c r="BP1288" s="15" t="n">
        <v>23.36</v>
      </c>
      <c r="BQ1288" s="34" t="n">
        <v>46163</v>
      </c>
      <c r="BR1288" s="15" t="n">
        <v>21.28</v>
      </c>
      <c r="BS1288" s="15" t="n">
        <v>18.96</v>
      </c>
      <c r="BT1288" s="34" t="n">
        <v>46163</v>
      </c>
      <c r="BU1288" s="15" t="n">
        <v>134.4</v>
      </c>
      <c r="BV1288" s="15" t="n">
        <v>179.19</v>
      </c>
      <c r="BW1288" s="34" t="n">
        <v>46163</v>
      </c>
      <c r="BX1288" s="15" t="n">
        <v>70.2</v>
      </c>
      <c r="BY1288" s="15" t="n">
        <v>83.38</v>
      </c>
      <c r="BZ1288" s="34" t="n">
        <v>46163</v>
      </c>
      <c r="CA1288" s="15" t="n">
        <v>17.46</v>
      </c>
      <c r="CB1288" s="15" t="n">
        <v>30.18</v>
      </c>
      <c r="CC1288" s="34" t="n">
        <v>46163</v>
      </c>
      <c r="CD1288" s="15" t="n">
        <v>35.9</v>
      </c>
      <c r="CE1288" s="15" t="n">
        <v>54.51</v>
      </c>
      <c r="CF1288" s="34" t="n">
        <v>46163</v>
      </c>
      <c r="CG1288" s="15" t="n">
        <v>205.4</v>
      </c>
      <c r="CH1288" s="15" t="n">
        <v>238</v>
      </c>
      <c r="CI1288" s="34" t="n">
        <v>46163</v>
      </c>
      <c r="CJ1288" s="15" t="n">
        <v>10.04</v>
      </c>
      <c r="CK1288" s="15" t="n">
        <v>22.04</v>
      </c>
      <c r="CL1288" s="34" t="n">
        <v>46163</v>
      </c>
      <c r="CM1288" s="15" t="n">
        <v>94.5</v>
      </c>
      <c r="CN1288" s="15" t="n">
        <v>102.66</v>
      </c>
      <c r="CO1288" s="34" t="n">
        <v>46163</v>
      </c>
      <c r="CP1288" s="15" t="n">
        <v>689</v>
      </c>
      <c r="CQ1288" s="15" t="n">
        <v>431.9</v>
      </c>
      <c r="CR1288" s="34" t="n">
        <v>46163</v>
      </c>
      <c r="CS1288" s="15" t="n">
        <v>25.16</v>
      </c>
      <c r="CT1288" s="15" t="n">
        <v>36.83</v>
      </c>
      <c r="CU1288" s="34" t="n">
        <v>46163</v>
      </c>
      <c r="CV1288" s="15" t="n">
        <v>155</v>
      </c>
      <c r="CW1288" s="15" t="n">
        <v>147.23</v>
      </c>
      <c r="CX1288" s="34" t="n">
        <v>46163</v>
      </c>
      <c r="CY1288" s="15" t="n">
        <v>59.25</v>
      </c>
      <c r="CZ1288" s="15" t="n">
        <v>63.64</v>
      </c>
      <c r="DA1288" s="34" t="n">
        <v>46163</v>
      </c>
      <c r="DB1288" s="15" t="n">
        <v>179.2</v>
      </c>
      <c r="DC1288" s="15" t="n">
        <v>249.46</v>
      </c>
      <c r="DD1288" s="34" t="n">
        <v>46163</v>
      </c>
      <c r="DE1288" s="15" t="n">
        <v>35.24</v>
      </c>
      <c r="DF1288" s="15" t="n">
        <v>39.49</v>
      </c>
      <c r="DG1288" s="34" t="n">
        <v>46163</v>
      </c>
      <c r="DH1288" s="15" t="n">
        <v>446.2</v>
      </c>
      <c r="DI1288" s="15" t="n">
        <v>262.17</v>
      </c>
      <c r="DJ1288" s="34" t="n">
        <v>46163</v>
      </c>
      <c r="DK1288" s="15" t="n">
        <v>51.2</v>
      </c>
      <c r="DL1288" s="15" t="n">
        <v>50.1</v>
      </c>
      <c r="DM1288" s="34" t="n">
        <v>46163</v>
      </c>
      <c r="DN1288" s="15" t="n">
        <v>13.78</v>
      </c>
      <c r="DO1288" s="15" t="n">
        <v>20.46</v>
      </c>
      <c r="DP1288" s="34" t="n">
        <v>46163</v>
      </c>
      <c r="DQ1288" s="15" t="n">
        <v>15.9</v>
      </c>
      <c r="DR1288" s="15" t="n">
        <v>28.7</v>
      </c>
      <c r="DS1288" s="34" t="n">
        <v>46163</v>
      </c>
      <c r="DT1288" s="15" t="n">
        <v>76.7</v>
      </c>
      <c r="DU1288" s="15" t="n">
        <v>111.47</v>
      </c>
      <c r="DV1288" s="34" t="n">
        <v>46163</v>
      </c>
      <c r="DW1288" s="15" t="n">
        <v>24.82</v>
      </c>
      <c r="DX1288" s="15" t="n">
        <v>45.85</v>
      </c>
      <c r="DY1288" s="34" t="n">
        <v>46163</v>
      </c>
      <c r="DZ1288" s="15" t="n">
        <v>179.9</v>
      </c>
      <c r="EA1288" s="15" t="n">
        <v>178.9</v>
      </c>
      <c r="EB1288" s="34" t="n">
        <v>46163</v>
      </c>
      <c r="EC1288" s="15" t="n">
        <v>14.02</v>
      </c>
      <c r="ED1288" s="15" t="n">
        <v>26.06</v>
      </c>
      <c r="EE1288" s="34" t="n">
        <v>46163</v>
      </c>
      <c r="EF1288" s="15" t="n">
        <v>346.2</v>
      </c>
      <c r="EG1288" s="15" t="n">
        <v>331.4</v>
      </c>
      <c r="EH1288" s="34" t="n">
        <v>46163</v>
      </c>
      <c r="EI1288" s="15" t="n">
        <v>104.1</v>
      </c>
      <c r="EJ1288" s="15" t="n">
        <v>105.04</v>
      </c>
      <c r="EK1288" s="34" t="n">
        <v>46163</v>
      </c>
      <c r="EL1288" s="15" t="n">
        <v>24.52</v>
      </c>
      <c r="EM1288" s="15" t="n">
        <v>33.48</v>
      </c>
      <c r="EN1288" s="34" t="n">
        <v>46163</v>
      </c>
      <c r="EO1288" s="15" t="n">
        <v>31.52</v>
      </c>
      <c r="EP1288" s="15" t="n">
        <v>47.45</v>
      </c>
      <c r="EQ1288" s="34" t="n">
        <v>46163</v>
      </c>
    </row>
    <row r="1289">
      <c r="A1289" s="34" t="n">
        <v>46164</v>
      </c>
      <c r="B1289" s="266" t="n">
        <v>1.151487946510315</v>
      </c>
      <c r="C1289" s="34" t="n">
        <v>46164</v>
      </c>
      <c r="D1289" s="15" t="n">
        <v>19.86</v>
      </c>
      <c r="E1289" s="15" t="n">
        <v>41.35</v>
      </c>
      <c r="F1289" s="34" t="n">
        <v>46164</v>
      </c>
      <c r="G1289" s="15" t="n">
        <v>97.7</v>
      </c>
      <c r="H1289" s="15" t="n">
        <v>126.85</v>
      </c>
      <c r="I1289" s="34" t="n">
        <v>46164</v>
      </c>
      <c r="J1289" s="15" t="n">
        <v>20.66</v>
      </c>
      <c r="K1289" s="15" t="n">
        <v>34.34</v>
      </c>
      <c r="L1289" s="34" t="n">
        <v>46164</v>
      </c>
      <c r="M1289" s="15" t="n">
        <v>52.15</v>
      </c>
      <c r="N1289" s="15" t="n">
        <v>66.52</v>
      </c>
      <c r="O1289" s="34" t="n">
        <v>46164</v>
      </c>
      <c r="P1289" s="15" t="n">
        <v>54.45</v>
      </c>
      <c r="Q1289" s="15" t="n">
        <v>56.65</v>
      </c>
      <c r="R1289" s="34" t="n">
        <v>46164</v>
      </c>
      <c r="S1289" s="15" t="n">
        <v>49.86</v>
      </c>
      <c r="T1289" s="15" t="n">
        <v>104.53</v>
      </c>
      <c r="U1289" s="34" t="n">
        <v>46164</v>
      </c>
      <c r="V1289" s="15" t="n">
        <v>17.7</v>
      </c>
      <c r="W1289" s="15" t="n">
        <v>25.02</v>
      </c>
      <c r="X1289" s="34" t="n">
        <v>46164</v>
      </c>
      <c r="Y1289" s="15" t="n">
        <v>89.05</v>
      </c>
      <c r="Z1289" s="15" t="n">
        <v>80.28</v>
      </c>
      <c r="AA1289" s="34" t="n">
        <v>46164</v>
      </c>
      <c r="AB1289" s="15" t="n">
        <v>16.02</v>
      </c>
      <c r="AC1289" s="15" t="n">
        <v>28.58</v>
      </c>
      <c r="AD1289" s="34" t="n">
        <v>46164</v>
      </c>
      <c r="AE1289" s="15" t="n">
        <v>32.28</v>
      </c>
      <c r="AF1289" s="15" t="n">
        <v>35.15</v>
      </c>
      <c r="AG1289" s="34" t="n">
        <v>46164</v>
      </c>
      <c r="AH1289" s="15" t="n">
        <v>33.62</v>
      </c>
      <c r="AI1289" s="15" t="n">
        <v>35.15</v>
      </c>
      <c r="AJ1289" s="34" t="n">
        <v>46164</v>
      </c>
      <c r="AK1289" s="15" t="n">
        <v>39.9</v>
      </c>
      <c r="AL1289" s="15" t="n">
        <v>99.39</v>
      </c>
      <c r="AM1289" s="34" t="n">
        <v>46164</v>
      </c>
      <c r="AN1289" s="15" t="n">
        <v>686</v>
      </c>
      <c r="AO1289" s="15" t="n">
        <v>411.16</v>
      </c>
      <c r="AP1289" s="34" t="n">
        <v>46164</v>
      </c>
      <c r="AQ1289" s="15" t="n">
        <v>61.35</v>
      </c>
      <c r="AR1289" s="15" t="n">
        <v>50.47</v>
      </c>
      <c r="AS1289" s="34" t="n">
        <v>46164</v>
      </c>
      <c r="AT1289" s="15" t="n">
        <v>15.9</v>
      </c>
      <c r="AU1289" s="15" t="n">
        <v>22.02</v>
      </c>
      <c r="AV1289" s="34" t="n">
        <v>46164</v>
      </c>
      <c r="AW1289" s="15" t="n">
        <v>30.88</v>
      </c>
      <c r="AX1289" s="15" t="n">
        <v>35.29</v>
      </c>
      <c r="AY1289" s="34" t="n">
        <v>46164</v>
      </c>
      <c r="AZ1289" s="15" t="n">
        <v>36.18</v>
      </c>
      <c r="BA1289" s="15" t="n">
        <v>54.05</v>
      </c>
      <c r="BB1289" s="34" t="n">
        <v>46164</v>
      </c>
      <c r="BC1289" s="15" t="n">
        <v>84.25</v>
      </c>
      <c r="BD1289" s="15" t="n">
        <v>99.43000000000001</v>
      </c>
      <c r="BE1289" s="34" t="n">
        <v>46164</v>
      </c>
      <c r="BF1289" s="15" t="n">
        <v>172.6</v>
      </c>
      <c r="BG1289" s="15" t="n">
        <v>250.19</v>
      </c>
      <c r="BH1289" s="34" t="n">
        <v>46164</v>
      </c>
      <c r="BI1289" s="15" t="n">
        <v>21.8</v>
      </c>
      <c r="BJ1289" s="15" t="n">
        <v>38.4</v>
      </c>
      <c r="BK1289" s="34" t="n">
        <v>46164</v>
      </c>
      <c r="BL1289" s="15" t="n">
        <v>109.7</v>
      </c>
      <c r="BM1289" s="15" t="n">
        <v>153.74</v>
      </c>
      <c r="BN1289" s="34" t="n">
        <v>46164</v>
      </c>
      <c r="BO1289" s="15" t="n">
        <v>11.23</v>
      </c>
      <c r="BP1289" s="15" t="n">
        <v>23.46</v>
      </c>
      <c r="BQ1289" s="34" t="n">
        <v>46164</v>
      </c>
      <c r="BR1289" s="15" t="n">
        <v>20.88</v>
      </c>
      <c r="BS1289" s="15" t="n">
        <v>18.96</v>
      </c>
      <c r="BT1289" s="34" t="n">
        <v>46164</v>
      </c>
      <c r="BU1289" s="15" t="n">
        <v>142.7</v>
      </c>
      <c r="BV1289" s="15" t="n">
        <v>190</v>
      </c>
      <c r="BW1289" s="34" t="n">
        <v>46164</v>
      </c>
      <c r="BX1289" s="15" t="n">
        <v>70.2</v>
      </c>
      <c r="BY1289" s="15" t="n">
        <v>82.03</v>
      </c>
      <c r="BZ1289" s="34" t="n">
        <v>46164</v>
      </c>
      <c r="CA1289" s="15" t="n">
        <v>18.19</v>
      </c>
      <c r="CB1289" s="15" t="n">
        <v>30.82</v>
      </c>
      <c r="CC1289" s="34" t="n">
        <v>46164</v>
      </c>
      <c r="CD1289" s="15" t="n">
        <v>36.46</v>
      </c>
      <c r="CE1289" s="15" t="n">
        <v>54.99</v>
      </c>
      <c r="CF1289" s="34" t="n">
        <v>46164</v>
      </c>
      <c r="CG1289" s="15" t="n">
        <v>207</v>
      </c>
      <c r="CH1289" s="15" t="n">
        <v>236.51</v>
      </c>
      <c r="CI1289" s="34" t="n">
        <v>46164</v>
      </c>
      <c r="CJ1289" s="15" t="n">
        <v>9.869999999999999</v>
      </c>
      <c r="CK1289" s="15" t="n">
        <v>21.58</v>
      </c>
      <c r="CL1289" s="34" t="n">
        <v>46164</v>
      </c>
      <c r="CM1289" s="15" t="n">
        <v>97.90000000000001</v>
      </c>
      <c r="CN1289" s="15" t="n">
        <v>104.25</v>
      </c>
      <c r="CO1289" s="34" t="n">
        <v>46164</v>
      </c>
      <c r="CP1289" s="15" t="n">
        <v>778</v>
      </c>
      <c r="CQ1289" s="15" t="n">
        <v>468.74</v>
      </c>
      <c r="CR1289" s="34" t="n">
        <v>46164</v>
      </c>
      <c r="CS1289" s="15" t="n">
        <v>26.22</v>
      </c>
      <c r="CT1289" s="15" t="n">
        <v>37.65</v>
      </c>
      <c r="CU1289" s="34" t="n">
        <v>46164</v>
      </c>
      <c r="CV1289" s="15" t="n">
        <v>150.3</v>
      </c>
      <c r="CW1289" s="15" t="n">
        <v>144.58</v>
      </c>
      <c r="CX1289" s="34" t="n">
        <v>46164</v>
      </c>
      <c r="CY1289" s="15" t="n">
        <v>57.35</v>
      </c>
      <c r="CZ1289" s="15" t="n">
        <v>64.14</v>
      </c>
      <c r="DA1289" s="34" t="n">
        <v>46164</v>
      </c>
      <c r="DB1289" s="15" t="n">
        <v>188</v>
      </c>
      <c r="DC1289" s="15" t="n">
        <v>274</v>
      </c>
      <c r="DD1289" s="34" t="n">
        <v>46164</v>
      </c>
      <c r="DE1289" s="15" t="n">
        <v>35.24</v>
      </c>
      <c r="DF1289" s="15" t="n">
        <v>38.84</v>
      </c>
      <c r="DG1289" s="34" t="n">
        <v>46164</v>
      </c>
      <c r="DH1289" s="15" t="n">
        <v>471.8</v>
      </c>
      <c r="DI1289" s="15" t="n">
        <v>271.83</v>
      </c>
      <c r="DJ1289" s="34" t="n">
        <v>46164</v>
      </c>
      <c r="DK1289" s="15" t="n">
        <v>52.5</v>
      </c>
      <c r="DL1289" s="15" t="n">
        <v>51.25</v>
      </c>
      <c r="DM1289" s="34" t="n">
        <v>46164</v>
      </c>
      <c r="DN1289" s="15" t="n">
        <v>14.45</v>
      </c>
      <c r="DO1289" s="15" t="n">
        <v>20.99</v>
      </c>
      <c r="DP1289" s="34" t="n">
        <v>46164</v>
      </c>
      <c r="DQ1289" s="15" t="n">
        <v>16.59</v>
      </c>
      <c r="DR1289" s="15" t="n">
        <v>29.07</v>
      </c>
      <c r="DS1289" s="34" t="n">
        <v>46164</v>
      </c>
      <c r="DT1289" s="15" t="n">
        <v>76.95</v>
      </c>
      <c r="DU1289" s="15" t="n">
        <v>111.68</v>
      </c>
      <c r="DV1289" s="34" t="n">
        <v>46164</v>
      </c>
      <c r="DW1289" s="15" t="n">
        <v>26.5</v>
      </c>
      <c r="DX1289" s="15" t="n">
        <v>47.48</v>
      </c>
      <c r="DY1289" s="34" t="n">
        <v>46164</v>
      </c>
      <c r="DZ1289" s="15" t="n">
        <v>190.6</v>
      </c>
      <c r="EA1289" s="15" t="n">
        <v>195.01</v>
      </c>
      <c r="EB1289" s="34" t="n">
        <v>46164</v>
      </c>
      <c r="EC1289" s="15" t="n">
        <v>14.16</v>
      </c>
      <c r="ED1289" s="15" t="n">
        <v>26.31</v>
      </c>
      <c r="EE1289" s="34" t="n">
        <v>46164</v>
      </c>
      <c r="EF1289" s="15" t="n">
        <v>403.6</v>
      </c>
      <c r="EG1289" s="15" t="n">
        <v>375.5</v>
      </c>
      <c r="EH1289" s="34" t="n">
        <v>46164</v>
      </c>
      <c r="EI1289" s="15" t="n">
        <v>82.45</v>
      </c>
      <c r="EJ1289" s="15" t="n">
        <v>108.94</v>
      </c>
      <c r="EK1289" s="34" t="n">
        <v>46164</v>
      </c>
      <c r="EL1289" s="15" t="n">
        <v>24.42</v>
      </c>
      <c r="EM1289" s="15" t="n">
        <v>33.31</v>
      </c>
      <c r="EN1289" s="34" t="n">
        <v>46164</v>
      </c>
      <c r="EO1289" s="15" t="n">
        <v>31.72</v>
      </c>
      <c r="EP1289" s="15" t="n">
        <v>47.3</v>
      </c>
      <c r="EQ1289" s="34" t="n">
        <v>46164</v>
      </c>
    </row>
    <row r="1290">
      <c r="A1290" s="34" t="n">
        <v>46168</v>
      </c>
      <c r="B1290" s="266" t="n">
        <v>1.152968049049377</v>
      </c>
      <c r="C1290" s="34" t="n">
        <v>46168</v>
      </c>
      <c r="D1290" s="15" t="n">
        <v>18.94</v>
      </c>
      <c r="E1290" s="15" t="n">
        <v>37.48</v>
      </c>
      <c r="F1290" s="34" t="n">
        <v>46168</v>
      </c>
      <c r="G1290" s="15" t="n">
        <v>96.40000000000001</v>
      </c>
      <c r="H1290" s="15" t="n">
        <v>123.49</v>
      </c>
      <c r="I1290" s="34" t="n">
        <v>46168</v>
      </c>
      <c r="J1290" s="15" t="n">
        <v>20.24</v>
      </c>
      <c r="K1290" s="15" t="n">
        <v>34.63</v>
      </c>
      <c r="L1290" s="34" t="n">
        <v>46168</v>
      </c>
      <c r="M1290" s="15" t="n">
        <v>51.55</v>
      </c>
      <c r="N1290" s="15" t="n">
        <v>66.40000000000001</v>
      </c>
      <c r="O1290" s="34" t="n">
        <v>46168</v>
      </c>
      <c r="P1290" s="15" t="n">
        <v>54.25</v>
      </c>
      <c r="Q1290" s="15" t="n">
        <v>56.53</v>
      </c>
      <c r="R1290" s="34" t="n">
        <v>46168</v>
      </c>
      <c r="S1290" s="15" t="n">
        <v>49.22</v>
      </c>
      <c r="T1290" s="15" t="n">
        <v>105.7</v>
      </c>
      <c r="U1290" s="34" t="n">
        <v>46168</v>
      </c>
      <c r="V1290" s="15" t="n">
        <v>16.47</v>
      </c>
      <c r="W1290" s="15" t="n">
        <v>23.35</v>
      </c>
      <c r="X1290" s="34" t="n">
        <v>46168</v>
      </c>
      <c r="Y1290" s="15" t="n">
        <v>86.95</v>
      </c>
      <c r="Z1290" s="15" t="n">
        <v>79.55</v>
      </c>
      <c r="AA1290" s="34" t="n">
        <v>46168</v>
      </c>
      <c r="AB1290" s="15" t="n">
        <v>15.61</v>
      </c>
      <c r="AC1290" s="15" t="n">
        <v>26.31</v>
      </c>
      <c r="AD1290" s="34" t="n">
        <v>46168</v>
      </c>
      <c r="AE1290" s="15" t="n">
        <v>32.4</v>
      </c>
      <c r="AF1290" s="15" t="n">
        <v>35.93</v>
      </c>
      <c r="AG1290" s="34" t="n">
        <v>46168</v>
      </c>
      <c r="AH1290" s="15" t="n">
        <v>34.88</v>
      </c>
      <c r="AI1290" s="15" t="n">
        <v>38.17</v>
      </c>
      <c r="AJ1290" s="34" t="n">
        <v>46168</v>
      </c>
      <c r="AK1290" s="15" t="n">
        <v>36.2</v>
      </c>
      <c r="AL1290" s="15" t="n">
        <v>88</v>
      </c>
      <c r="AM1290" s="34" t="n">
        <v>46168</v>
      </c>
      <c r="AN1290" s="15" t="n">
        <v>658</v>
      </c>
      <c r="AO1290" s="15" t="n">
        <v>402.5</v>
      </c>
      <c r="AP1290" s="34" t="n">
        <v>46168</v>
      </c>
      <c r="AQ1290" s="15" t="n">
        <v>59.65</v>
      </c>
      <c r="AR1290" s="15" t="n">
        <v>49.2</v>
      </c>
      <c r="AS1290" s="34" t="n">
        <v>46168</v>
      </c>
      <c r="AT1290" s="15" t="n">
        <v>15.8</v>
      </c>
      <c r="AU1290" s="15" t="n">
        <v>22.17</v>
      </c>
      <c r="AV1290" s="34" t="n">
        <v>46168</v>
      </c>
      <c r="AW1290" s="15" t="n">
        <v>31.56</v>
      </c>
      <c r="AX1290" s="15" t="n">
        <v>35.63</v>
      </c>
      <c r="AY1290" s="34" t="n">
        <v>46168</v>
      </c>
      <c r="AZ1290" s="15" t="n">
        <v>36.4</v>
      </c>
      <c r="BA1290" s="15" t="n">
        <v>54.44</v>
      </c>
      <c r="BB1290" s="34" t="n">
        <v>46168</v>
      </c>
      <c r="BC1290" s="15" t="n">
        <v>79.59999999999999</v>
      </c>
      <c r="BD1290" s="15" t="n">
        <v>96.03</v>
      </c>
      <c r="BE1290" s="34" t="n">
        <v>46168</v>
      </c>
      <c r="BF1290" s="15" t="n">
        <v>169.8</v>
      </c>
      <c r="BG1290" s="15" t="n">
        <v>243.7</v>
      </c>
      <c r="BH1290" s="34" t="n">
        <v>46168</v>
      </c>
      <c r="BI1290" s="15" t="n">
        <v>22.2</v>
      </c>
      <c r="BJ1290" s="15" t="n">
        <v>38.48</v>
      </c>
      <c r="BK1290" s="34" t="n">
        <v>46168</v>
      </c>
      <c r="BL1290" s="15" t="n">
        <v>109.1</v>
      </c>
      <c r="BM1290" s="15" t="n">
        <v>154</v>
      </c>
      <c r="BN1290" s="34" t="n">
        <v>46168</v>
      </c>
      <c r="BO1290" s="15" t="n">
        <v>11.31</v>
      </c>
      <c r="BP1290" s="15" t="n">
        <v>23.53</v>
      </c>
      <c r="BQ1290" s="34" t="n">
        <v>46168</v>
      </c>
      <c r="BR1290" s="15" t="n">
        <v>20.88</v>
      </c>
      <c r="BS1290" s="15" t="n">
        <v>18.88</v>
      </c>
      <c r="BT1290" s="34" t="n">
        <v>46168</v>
      </c>
      <c r="BU1290" s="15" t="n">
        <v>146.2</v>
      </c>
      <c r="BV1290" s="15" t="n">
        <v>204.94</v>
      </c>
      <c r="BW1290" s="34" t="n">
        <v>46168</v>
      </c>
      <c r="BX1290" s="15" t="n">
        <v>73.7</v>
      </c>
      <c r="BY1290" s="15" t="n">
        <v>86.41</v>
      </c>
      <c r="BZ1290" s="34" t="n">
        <v>46168</v>
      </c>
      <c r="CA1290" s="15" t="n">
        <v>18.37</v>
      </c>
      <c r="CB1290" s="15" t="n">
        <v>31.95</v>
      </c>
      <c r="CC1290" s="34" t="n">
        <v>46168</v>
      </c>
      <c r="CD1290" s="15" t="n">
        <v>36.34</v>
      </c>
      <c r="CE1290" s="15" t="n">
        <v>54.4</v>
      </c>
      <c r="CF1290" s="34" t="n">
        <v>46168</v>
      </c>
      <c r="CG1290" s="15" t="n">
        <v>220</v>
      </c>
      <c r="CH1290" s="15" t="n">
        <v>252.12</v>
      </c>
      <c r="CI1290" s="34" t="n">
        <v>46168</v>
      </c>
      <c r="CJ1290" s="15" t="n">
        <v>9.869999999999999</v>
      </c>
      <c r="CK1290" s="15" t="n">
        <v>22.25</v>
      </c>
      <c r="CL1290" s="34" t="n">
        <v>46168</v>
      </c>
      <c r="CM1290" s="15" t="n">
        <v>95.55</v>
      </c>
      <c r="CN1290" s="15" t="n">
        <v>106.07</v>
      </c>
      <c r="CO1290" s="34" t="n">
        <v>46168</v>
      </c>
      <c r="CP1290" s="15" t="n">
        <v>825</v>
      </c>
      <c r="CQ1290" s="15" t="n">
        <v>526.22</v>
      </c>
      <c r="CR1290" s="34" t="n">
        <v>46168</v>
      </c>
      <c r="CS1290" s="15" t="n">
        <v>25.86</v>
      </c>
      <c r="CT1290" s="15" t="n">
        <v>37.25</v>
      </c>
      <c r="CU1290" s="34" t="n">
        <v>46168</v>
      </c>
      <c r="CV1290" s="15" t="n">
        <v>136.9</v>
      </c>
      <c r="CW1290" s="15" t="n">
        <v>141.62</v>
      </c>
      <c r="CX1290" s="34" t="n">
        <v>46168</v>
      </c>
      <c r="CY1290" s="15" t="n">
        <v>53.1</v>
      </c>
      <c r="CZ1290" s="15" t="n">
        <v>61.95</v>
      </c>
      <c r="DA1290" s="34" t="n">
        <v>46168</v>
      </c>
      <c r="DB1290" s="15" t="n">
        <v>192.4</v>
      </c>
      <c r="DC1290" s="15" t="n">
        <v>285.36</v>
      </c>
      <c r="DD1290" s="34" t="n">
        <v>46168</v>
      </c>
      <c r="DE1290" s="15" t="n">
        <v>35.66</v>
      </c>
      <c r="DF1290" s="15" t="n">
        <v>38.71</v>
      </c>
      <c r="DG1290" s="34" t="n">
        <v>46168</v>
      </c>
      <c r="DH1290" s="15" t="n">
        <v>462</v>
      </c>
      <c r="DI1290" s="15" t="n">
        <v>272.29</v>
      </c>
      <c r="DJ1290" s="34" t="n">
        <v>46168</v>
      </c>
      <c r="DK1290" s="15" t="n">
        <v>48.94</v>
      </c>
      <c r="DL1290" s="15" t="n">
        <v>49.35</v>
      </c>
      <c r="DM1290" s="34" t="n">
        <v>46168</v>
      </c>
      <c r="DN1290" s="15" t="n">
        <v>14.7</v>
      </c>
      <c r="DO1290" s="15" t="n">
        <v>21.52</v>
      </c>
      <c r="DP1290" s="34" t="n">
        <v>46168</v>
      </c>
      <c r="DQ1290" s="15" t="n">
        <v>19.93</v>
      </c>
      <c r="DR1290" s="15" t="n">
        <v>30.03</v>
      </c>
      <c r="DS1290" s="34" t="n">
        <v>46168</v>
      </c>
      <c r="DT1290" s="15" t="n">
        <v>75.84999999999999</v>
      </c>
      <c r="DU1290" s="15" t="n">
        <v>114.4</v>
      </c>
      <c r="DV1290" s="34" t="n">
        <v>46168</v>
      </c>
      <c r="DW1290" s="15" t="n">
        <v>26.02</v>
      </c>
      <c r="DX1290" s="15" t="n">
        <v>45.26</v>
      </c>
      <c r="DY1290" s="34" t="n">
        <v>46168</v>
      </c>
      <c r="DZ1290" s="15" t="n">
        <v>191.5</v>
      </c>
      <c r="EA1290" s="15" t="n">
        <v>193.41</v>
      </c>
      <c r="EB1290" s="34" t="n">
        <v>46168</v>
      </c>
      <c r="EC1290" s="15" t="n">
        <v>13.52</v>
      </c>
      <c r="ED1290" s="15" t="n">
        <v>26</v>
      </c>
      <c r="EE1290" s="34" t="n">
        <v>46168</v>
      </c>
      <c r="EF1290" s="15" t="n">
        <v>437.2</v>
      </c>
      <c r="EG1290" s="15" t="n">
        <v>392.95</v>
      </c>
      <c r="EH1290" s="34" t="n">
        <v>46168</v>
      </c>
      <c r="EI1290" s="15" t="n">
        <v>84.45</v>
      </c>
      <c r="EJ1290" s="15" t="n">
        <v>109.95</v>
      </c>
      <c r="EK1290" s="34" t="n">
        <v>46168</v>
      </c>
      <c r="EL1290" s="15" t="n">
        <v>23.4</v>
      </c>
      <c r="EM1290" s="15" t="n">
        <v>32.12</v>
      </c>
      <c r="EN1290" s="34" t="n">
        <v>46168</v>
      </c>
      <c r="EO1290" s="15" t="n">
        <v>30.58</v>
      </c>
      <c r="EP1290" s="15" t="n">
        <v>47.7</v>
      </c>
      <c r="EQ1290" s="34" t="n">
        <v>46168</v>
      </c>
    </row>
    <row r="1291">
      <c r="A1291" s="34" t="n">
        <v>46169</v>
      </c>
      <c r="B1291" s="266" t="n">
        <v>1.154562950134277</v>
      </c>
      <c r="C1291" s="34" t="n">
        <v>46169</v>
      </c>
      <c r="D1291" s="15" t="n">
        <v>18.28</v>
      </c>
      <c r="E1291" s="15" t="n">
        <v>36.84</v>
      </c>
      <c r="F1291" s="34" t="n">
        <v>46169</v>
      </c>
      <c r="G1291" s="15" t="n">
        <v>94.55</v>
      </c>
      <c r="H1291" s="15" t="n">
        <v>122.16</v>
      </c>
      <c r="I1291" s="34" t="n">
        <v>46169</v>
      </c>
      <c r="J1291" s="15" t="n">
        <v>19.7</v>
      </c>
      <c r="K1291" s="15" t="n">
        <v>33.1</v>
      </c>
      <c r="L1291" s="34" t="n">
        <v>46169</v>
      </c>
      <c r="M1291" s="15" t="n">
        <v>50.9</v>
      </c>
      <c r="N1291" s="15" t="n">
        <v>64.48</v>
      </c>
      <c r="O1291" s="34" t="n">
        <v>46169</v>
      </c>
      <c r="P1291" s="15" t="n">
        <v>53.75</v>
      </c>
      <c r="Q1291" s="15" t="n">
        <v>56.23</v>
      </c>
      <c r="R1291" s="34" t="n">
        <v>46169</v>
      </c>
      <c r="S1291" s="15" t="n">
        <v>52.45</v>
      </c>
      <c r="T1291" s="15" t="n">
        <v>112.54</v>
      </c>
      <c r="U1291" s="34" t="n">
        <v>46169</v>
      </c>
      <c r="V1291" s="15" t="n">
        <v>15.45</v>
      </c>
      <c r="W1291" s="15" t="n">
        <v>22.75</v>
      </c>
      <c r="X1291" s="34" t="n">
        <v>46169</v>
      </c>
      <c r="Y1291" s="15" t="n">
        <v>86.7</v>
      </c>
      <c r="Z1291" s="15" t="n">
        <v>80.03</v>
      </c>
      <c r="AA1291" s="34" t="n">
        <v>46169</v>
      </c>
      <c r="AB1291" s="15" t="n">
        <v>15.24</v>
      </c>
      <c r="AC1291" s="15" t="n">
        <v>26.16</v>
      </c>
      <c r="AD1291" s="34" t="n">
        <v>46169</v>
      </c>
      <c r="AE1291" s="15" t="n">
        <v>31.62</v>
      </c>
      <c r="AF1291" s="15" t="n">
        <v>35.73</v>
      </c>
      <c r="AG1291" s="34" t="n">
        <v>46169</v>
      </c>
      <c r="AH1291" s="15" t="n">
        <v>32.86</v>
      </c>
      <c r="AI1291" s="15" t="n">
        <v>35.74</v>
      </c>
      <c r="AJ1291" s="34" t="n">
        <v>46169</v>
      </c>
      <c r="AK1291" s="15" t="n">
        <v>34.74</v>
      </c>
      <c r="AL1291" s="15" t="n">
        <v>85.65000000000001</v>
      </c>
      <c r="AM1291" s="34" t="n">
        <v>46169</v>
      </c>
      <c r="AN1291" s="15" t="n">
        <v>700</v>
      </c>
      <c r="AO1291" s="15" t="n">
        <v>414.8</v>
      </c>
      <c r="AP1291" s="34" t="n">
        <v>46169</v>
      </c>
      <c r="AQ1291" s="15" t="n">
        <v>60.15</v>
      </c>
      <c r="AR1291" s="15" t="n">
        <v>50.37</v>
      </c>
      <c r="AS1291" s="34" t="n">
        <v>46169</v>
      </c>
      <c r="AT1291" s="15" t="n">
        <v>15.29</v>
      </c>
      <c r="AU1291" s="15" t="n">
        <v>22</v>
      </c>
      <c r="AV1291" s="34" t="n">
        <v>46169</v>
      </c>
      <c r="AW1291" s="15" t="n">
        <v>31</v>
      </c>
      <c r="AX1291" s="15" t="n">
        <v>35.85</v>
      </c>
      <c r="AY1291" s="34" t="n">
        <v>46169</v>
      </c>
      <c r="AZ1291" s="15" t="n">
        <v>34.62</v>
      </c>
      <c r="BA1291" s="15" t="n">
        <v>51.02</v>
      </c>
      <c r="BB1291" s="34" t="n">
        <v>46169</v>
      </c>
      <c r="BC1291" s="15" t="n">
        <v>81.05</v>
      </c>
      <c r="BD1291" s="15" t="n">
        <v>98.06</v>
      </c>
      <c r="BE1291" s="34" t="n">
        <v>46169</v>
      </c>
      <c r="BF1291" s="15" t="n">
        <v>161.9</v>
      </c>
      <c r="BG1291" s="15" t="n">
        <v>231.34</v>
      </c>
      <c r="BH1291" s="34" t="n">
        <v>46169</v>
      </c>
      <c r="BI1291" s="15" t="n">
        <v>23.56</v>
      </c>
      <c r="BJ1291" s="15" t="n">
        <v>40.28</v>
      </c>
      <c r="BK1291" s="34" t="n">
        <v>46169</v>
      </c>
      <c r="BL1291" s="15" t="n">
        <v>127.4</v>
      </c>
      <c r="BM1291" s="15" t="n">
        <v>166.99</v>
      </c>
      <c r="BN1291" s="34" t="n">
        <v>46169</v>
      </c>
      <c r="BO1291" s="15" t="n">
        <v>10.89</v>
      </c>
      <c r="BP1291" s="15" t="n">
        <v>23.06</v>
      </c>
      <c r="BQ1291" s="34" t="n">
        <v>46169</v>
      </c>
      <c r="BR1291" s="15" t="n">
        <v>20.36</v>
      </c>
      <c r="BS1291" s="15" t="n">
        <v>18.47</v>
      </c>
      <c r="BT1291" s="34" t="n">
        <v>46169</v>
      </c>
      <c r="BU1291" s="15" t="n">
        <v>139</v>
      </c>
      <c r="BV1291" s="15" t="n">
        <v>188.5</v>
      </c>
      <c r="BW1291" s="34" t="n">
        <v>46169</v>
      </c>
      <c r="BX1291" s="15" t="n">
        <v>72.5</v>
      </c>
      <c r="BY1291" s="15" t="n">
        <v>84.62</v>
      </c>
      <c r="BZ1291" s="34" t="n">
        <v>46169</v>
      </c>
      <c r="CA1291" s="15" t="n">
        <v>17.71</v>
      </c>
      <c r="CB1291" s="15" t="n">
        <v>30.22</v>
      </c>
      <c r="CC1291" s="34" t="n">
        <v>46169</v>
      </c>
      <c r="CD1291" s="15" t="n">
        <v>35.66</v>
      </c>
      <c r="CE1291" s="15" t="n">
        <v>54.93</v>
      </c>
      <c r="CF1291" s="34" t="n">
        <v>46169</v>
      </c>
      <c r="CG1291" s="15" t="n">
        <v>235</v>
      </c>
      <c r="CH1291" s="15" t="n">
        <v>263</v>
      </c>
      <c r="CI1291" s="34" t="n">
        <v>46169</v>
      </c>
      <c r="CJ1291" s="15" t="n">
        <v>9.300000000000001</v>
      </c>
      <c r="CK1291" s="15" t="n">
        <v>21.04</v>
      </c>
      <c r="CL1291" s="34" t="n">
        <v>46169</v>
      </c>
      <c r="CM1291" s="15" t="n">
        <v>94.90000000000001</v>
      </c>
      <c r="CN1291" s="15" t="n">
        <v>104.96</v>
      </c>
      <c r="CO1291" s="34" t="n">
        <v>46169</v>
      </c>
      <c r="CP1291" s="15" t="n">
        <v>842.5</v>
      </c>
      <c r="CQ1291" s="15" t="n">
        <v>514.1799999999999</v>
      </c>
      <c r="CR1291" s="34" t="n">
        <v>46169</v>
      </c>
      <c r="CS1291" s="15" t="n">
        <v>25.52</v>
      </c>
      <c r="CT1291" s="15" t="n">
        <v>36.45</v>
      </c>
      <c r="CU1291" s="34" t="n">
        <v>46169</v>
      </c>
      <c r="CV1291" s="15" t="n">
        <v>129.9</v>
      </c>
      <c r="CW1291" s="15" t="n">
        <v>139.1</v>
      </c>
      <c r="CX1291" s="34" t="n">
        <v>46169</v>
      </c>
      <c r="CY1291" s="15" t="n">
        <v>54.45</v>
      </c>
      <c r="CZ1291" s="15" t="n">
        <v>63.92</v>
      </c>
      <c r="DA1291" s="34" t="n">
        <v>46169</v>
      </c>
      <c r="DB1291" s="15" t="n">
        <v>191.3</v>
      </c>
      <c r="DC1291" s="15" t="n">
        <v>303</v>
      </c>
      <c r="DD1291" s="34" t="n">
        <v>46169</v>
      </c>
      <c r="DE1291" s="15" t="n">
        <v>34.6</v>
      </c>
      <c r="DF1291" s="15" t="n">
        <v>37.76</v>
      </c>
      <c r="DG1291" s="34" t="n">
        <v>46169</v>
      </c>
      <c r="DH1291" s="15" t="n">
        <v>469</v>
      </c>
      <c r="DI1291" s="15" t="n">
        <v>265.5</v>
      </c>
      <c r="DJ1291" s="34" t="n">
        <v>46169</v>
      </c>
      <c r="DK1291" s="15" t="n">
        <v>51</v>
      </c>
      <c r="DL1291" s="15" t="n">
        <v>49.44</v>
      </c>
      <c r="DM1291" s="34" t="n">
        <v>46169</v>
      </c>
      <c r="DN1291" s="15" t="n">
        <v>15.65</v>
      </c>
      <c r="DO1291" s="15" t="n">
        <v>22</v>
      </c>
      <c r="DP1291" s="34" t="n">
        <v>46169</v>
      </c>
      <c r="DQ1291" s="15" t="n">
        <v>18.64</v>
      </c>
      <c r="DR1291" s="15" t="n">
        <v>28.43</v>
      </c>
      <c r="DS1291" s="34" t="n">
        <v>46169</v>
      </c>
      <c r="DT1291" s="15" t="n">
        <v>71.7</v>
      </c>
      <c r="DU1291" s="15" t="n">
        <v>106.09</v>
      </c>
      <c r="DV1291" s="34" t="n">
        <v>46169</v>
      </c>
      <c r="DW1291" s="15" t="n">
        <v>28.22</v>
      </c>
      <c r="DX1291" s="15" t="n">
        <v>49.79</v>
      </c>
      <c r="DY1291" s="34" t="n">
        <v>46169</v>
      </c>
      <c r="DZ1291" s="15" t="n">
        <v>181.3</v>
      </c>
      <c r="EA1291" s="15" t="n">
        <v>182.09</v>
      </c>
      <c r="EB1291" s="34" t="n">
        <v>46169</v>
      </c>
      <c r="EC1291" s="15" t="n">
        <v>13.39</v>
      </c>
      <c r="ED1291" s="15" t="n">
        <v>24.97</v>
      </c>
      <c r="EE1291" s="34" t="n">
        <v>46169</v>
      </c>
      <c r="EF1291" s="15" t="n">
        <v>436.8</v>
      </c>
      <c r="EG1291" s="15" t="n">
        <v>379.3</v>
      </c>
      <c r="EH1291" s="34" t="n">
        <v>46169</v>
      </c>
      <c r="EI1291" s="15" t="n">
        <v>83.15000000000001</v>
      </c>
      <c r="EJ1291" s="15" t="n">
        <v>106.68</v>
      </c>
      <c r="EK1291" s="34" t="n">
        <v>46169</v>
      </c>
      <c r="EL1291" s="15" t="n">
        <v>23.56</v>
      </c>
      <c r="EM1291" s="15" t="n">
        <v>32.11</v>
      </c>
      <c r="EN1291" s="34" t="n">
        <v>46169</v>
      </c>
      <c r="EO1291" s="15" t="n">
        <v>30.04</v>
      </c>
      <c r="EP1291" s="15" t="n">
        <v>48.48</v>
      </c>
      <c r="EQ1291" s="34" t="n">
        <v>46169</v>
      </c>
    </row>
    <row r="1292">
      <c r="A1292" s="34" t="n">
        <v>46170</v>
      </c>
      <c r="B1292" s="266" t="n">
        <v>1.155385971069336</v>
      </c>
      <c r="C1292" s="34" t="n">
        <v>46170</v>
      </c>
      <c r="D1292" s="15" t="n">
        <v>17.75</v>
      </c>
      <c r="E1292" s="15" t="n">
        <v>36.46</v>
      </c>
      <c r="F1292" s="34" t="n">
        <v>46170</v>
      </c>
      <c r="G1292" s="15" t="n">
        <v>91.5</v>
      </c>
      <c r="H1292" s="15" t="n">
        <v>117.62</v>
      </c>
      <c r="I1292" s="34" t="n">
        <v>46170</v>
      </c>
      <c r="J1292" s="15" t="n">
        <v>20.08</v>
      </c>
      <c r="K1292" s="15" t="n">
        <v>34</v>
      </c>
      <c r="L1292" s="34" t="n">
        <v>46170</v>
      </c>
      <c r="M1292" s="15" t="n">
        <v>50.15</v>
      </c>
      <c r="N1292" s="15" t="n">
        <v>64.39</v>
      </c>
      <c r="O1292" s="34" t="n">
        <v>46170</v>
      </c>
      <c r="P1292" s="15" t="n">
        <v>52.1</v>
      </c>
      <c r="Q1292" s="15" t="n">
        <v>54.76</v>
      </c>
      <c r="R1292" s="34" t="n">
        <v>46170</v>
      </c>
      <c r="S1292" s="15" t="n">
        <v>50.25</v>
      </c>
      <c r="T1292" s="15" t="n">
        <v>112.5</v>
      </c>
      <c r="U1292" s="34" t="n">
        <v>46170</v>
      </c>
      <c r="V1292" s="15" t="n">
        <v>15.71</v>
      </c>
      <c r="W1292" s="15" t="n">
        <v>23.31</v>
      </c>
      <c r="X1292" s="34" t="n">
        <v>46170</v>
      </c>
      <c r="Y1292" s="15" t="n">
        <v>85.05</v>
      </c>
      <c r="Z1292" s="15" t="n">
        <v>78.95</v>
      </c>
      <c r="AA1292" s="34" t="n">
        <v>46170</v>
      </c>
      <c r="AB1292" s="15" t="n">
        <v>14.39</v>
      </c>
      <c r="AC1292" s="15" t="n">
        <v>25.83</v>
      </c>
      <c r="AD1292" s="34" t="n">
        <v>46170</v>
      </c>
      <c r="AE1292" s="15" t="n">
        <v>30.9</v>
      </c>
      <c r="AF1292" s="15" t="n">
        <v>35.24</v>
      </c>
      <c r="AG1292" s="34" t="n">
        <v>46170</v>
      </c>
      <c r="AH1292" s="15" t="n">
        <v>31.3</v>
      </c>
      <c r="AI1292" s="15" t="n">
        <v>34</v>
      </c>
      <c r="AJ1292" s="34" t="n">
        <v>46170</v>
      </c>
      <c r="AK1292" s="15" t="n">
        <v>33.6</v>
      </c>
      <c r="AL1292" s="15" t="n">
        <v>84.09</v>
      </c>
      <c r="AM1292" s="34" t="n">
        <v>46170</v>
      </c>
      <c r="AN1292" s="15" t="n">
        <v>717</v>
      </c>
      <c r="AO1292" s="15" t="n">
        <v>415.68</v>
      </c>
      <c r="AP1292" s="34" t="n">
        <v>46170</v>
      </c>
      <c r="AQ1292" s="15" t="n">
        <v>58.2</v>
      </c>
      <c r="AR1292" s="15" t="n">
        <v>48</v>
      </c>
      <c r="AS1292" s="34" t="n">
        <v>46170</v>
      </c>
      <c r="AT1292" s="15" t="n">
        <v>15.44</v>
      </c>
      <c r="AU1292" s="15" t="n">
        <v>21.94</v>
      </c>
      <c r="AV1292" s="34" t="n">
        <v>46170</v>
      </c>
      <c r="AW1292" s="15" t="n">
        <v>31.66</v>
      </c>
      <c r="AX1292" s="15" t="n">
        <v>35.29</v>
      </c>
      <c r="AY1292" s="34" t="n">
        <v>46170</v>
      </c>
      <c r="AZ1292" s="15" t="n">
        <v>32.92</v>
      </c>
      <c r="BA1292" s="15" t="n">
        <v>48.61</v>
      </c>
      <c r="BB1292" s="34" t="n">
        <v>46170</v>
      </c>
      <c r="BC1292" s="15" t="n">
        <v>80.5</v>
      </c>
      <c r="BD1292" s="15" t="n">
        <v>97.33</v>
      </c>
      <c r="BE1292" s="34" t="n">
        <v>46170</v>
      </c>
      <c r="BF1292" s="15" t="n">
        <v>158.6</v>
      </c>
      <c r="BG1292" s="15" t="n">
        <v>234.4</v>
      </c>
      <c r="BH1292" s="34" t="n">
        <v>46170</v>
      </c>
      <c r="BI1292" s="15" t="n">
        <v>24.12</v>
      </c>
      <c r="BJ1292" s="15" t="n">
        <v>40.23</v>
      </c>
      <c r="BK1292" s="34" t="n">
        <v>46170</v>
      </c>
      <c r="BL1292" s="15" t="n">
        <v>122.2</v>
      </c>
      <c r="BM1292" s="15" t="n">
        <v>163.55</v>
      </c>
      <c r="BN1292" s="34" t="n">
        <v>46170</v>
      </c>
      <c r="BO1292" s="15" t="n">
        <v>10.58</v>
      </c>
      <c r="BP1292" s="15" t="n">
        <v>22.82</v>
      </c>
      <c r="BQ1292" s="34" t="n">
        <v>46170</v>
      </c>
      <c r="BR1292" s="15" t="n">
        <v>19.62</v>
      </c>
      <c r="BS1292" s="15" t="n">
        <v>17.9</v>
      </c>
      <c r="BT1292" s="34" t="n">
        <v>46170</v>
      </c>
      <c r="BU1292" s="15" t="n">
        <v>154.8</v>
      </c>
      <c r="BV1292" s="15" t="n">
        <v>203.04</v>
      </c>
      <c r="BW1292" s="34" t="n">
        <v>46170</v>
      </c>
      <c r="BX1292" s="15" t="n">
        <v>70.5</v>
      </c>
      <c r="BY1292" s="15" t="n">
        <v>82.98</v>
      </c>
      <c r="BZ1292" s="34" t="n">
        <v>46170</v>
      </c>
      <c r="CA1292" s="15" t="n">
        <v>16.94</v>
      </c>
      <c r="CB1292" s="15" t="n">
        <v>28.31</v>
      </c>
      <c r="CC1292" s="34" t="n">
        <v>46170</v>
      </c>
      <c r="CD1292" s="15" t="n">
        <v>34.6</v>
      </c>
      <c r="CE1292" s="15" t="n">
        <v>54.52</v>
      </c>
      <c r="CF1292" s="34" t="n">
        <v>46170</v>
      </c>
      <c r="CG1292" s="15" t="n">
        <v>233.8</v>
      </c>
      <c r="CH1292" s="15" t="n">
        <v>266.01</v>
      </c>
      <c r="CI1292" s="34" t="n">
        <v>46170</v>
      </c>
      <c r="CJ1292" s="15" t="n">
        <v>9.19</v>
      </c>
      <c r="CK1292" s="15" t="n">
        <v>20.66</v>
      </c>
      <c r="CL1292" s="34" t="n">
        <v>46170</v>
      </c>
      <c r="CM1292" s="15" t="n">
        <v>91.7</v>
      </c>
      <c r="CN1292" s="15" t="n">
        <v>101.9</v>
      </c>
      <c r="CO1292" s="34" t="n">
        <v>46170</v>
      </c>
      <c r="CP1292" s="15" t="n">
        <v>790</v>
      </c>
      <c r="CQ1292" s="15" t="n">
        <v>483</v>
      </c>
      <c r="CR1292" s="34" t="n">
        <v>46170</v>
      </c>
      <c r="CS1292" s="15" t="n">
        <v>25.16</v>
      </c>
      <c r="CT1292" s="15" t="n">
        <v>36.9</v>
      </c>
      <c r="CU1292" s="34" t="n">
        <v>46170</v>
      </c>
      <c r="CV1292" s="15" t="n">
        <v>129</v>
      </c>
      <c r="CW1292" s="15" t="n">
        <v>141.01</v>
      </c>
      <c r="CX1292" s="34" t="n">
        <v>46170</v>
      </c>
      <c r="CY1292" s="15" t="n">
        <v>59</v>
      </c>
      <c r="CZ1292" s="15" t="n">
        <v>68.05</v>
      </c>
      <c r="DA1292" s="34" t="n">
        <v>46170</v>
      </c>
      <c r="DB1292" s="15" t="n">
        <v>187.2</v>
      </c>
      <c r="DC1292" s="15" t="n">
        <v>294.99</v>
      </c>
      <c r="DD1292" s="34" t="n">
        <v>46170</v>
      </c>
      <c r="DE1292" s="15" t="n">
        <v>34.56</v>
      </c>
      <c r="DF1292" s="15" t="n">
        <v>37.05</v>
      </c>
      <c r="DG1292" s="34" t="n">
        <v>46170</v>
      </c>
      <c r="DH1292" s="15" t="n">
        <v>458.8</v>
      </c>
      <c r="DI1292" s="15" t="n">
        <v>260.98</v>
      </c>
      <c r="DJ1292" s="34" t="n">
        <v>46170</v>
      </c>
      <c r="DK1292" s="15" t="n">
        <v>52.15</v>
      </c>
      <c r="DL1292" s="15" t="n">
        <v>51.41</v>
      </c>
      <c r="DM1292" s="34" t="n">
        <v>46170</v>
      </c>
      <c r="DN1292" s="15" t="n">
        <v>15.5</v>
      </c>
      <c r="DO1292" s="15" t="n">
        <v>22.17</v>
      </c>
      <c r="DP1292" s="34" t="n">
        <v>46170</v>
      </c>
      <c r="DQ1292" s="15" t="n">
        <v>18.14</v>
      </c>
      <c r="DR1292" s="15" t="n">
        <v>28.32</v>
      </c>
      <c r="DS1292" s="34" t="n">
        <v>46170</v>
      </c>
      <c r="DT1292" s="15" t="n">
        <v>68.40000000000001</v>
      </c>
      <c r="DU1292" s="15" t="n">
        <v>102.77</v>
      </c>
      <c r="DV1292" s="34" t="n">
        <v>46170</v>
      </c>
      <c r="DW1292" s="15" t="n">
        <v>27.56</v>
      </c>
      <c r="DX1292" s="15" t="n">
        <v>49.54</v>
      </c>
      <c r="DY1292" s="34" t="n">
        <v>46170</v>
      </c>
      <c r="DZ1292" s="15" t="n">
        <v>185</v>
      </c>
      <c r="EA1292" s="15" t="n">
        <v>185.3</v>
      </c>
      <c r="EB1292" s="34" t="n">
        <v>46170</v>
      </c>
      <c r="EC1292" s="15" t="n">
        <v>13.41</v>
      </c>
      <c r="ED1292" s="15" t="n">
        <v>24.9</v>
      </c>
      <c r="EE1292" s="34" t="n">
        <v>46170</v>
      </c>
      <c r="EF1292" s="15" t="n">
        <v>438.2</v>
      </c>
      <c r="EG1292" s="15" t="n">
        <v>375.3</v>
      </c>
      <c r="EH1292" s="34" t="n">
        <v>46170</v>
      </c>
      <c r="EI1292" s="15" t="n">
        <v>80.15000000000001</v>
      </c>
      <c r="EJ1292" s="15" t="n">
        <v>106</v>
      </c>
      <c r="EK1292" s="34" t="n">
        <v>46170</v>
      </c>
      <c r="EL1292" s="15" t="n">
        <v>22.82</v>
      </c>
      <c r="EM1292" s="15" t="n">
        <v>30.59</v>
      </c>
      <c r="EN1292" s="34" t="n">
        <v>46170</v>
      </c>
      <c r="EO1292" s="15" t="n">
        <v>28.8</v>
      </c>
      <c r="EP1292" s="15" t="n">
        <v>46.92</v>
      </c>
      <c r="EQ1292" s="34" t="n">
        <v>46170</v>
      </c>
    </row>
    <row r="1293">
      <c r="A1293" s="34" t="n">
        <v>46171</v>
      </c>
      <c r="B1293" s="266" t="n">
        <v>1.155282974243164</v>
      </c>
      <c r="C1293" s="34" t="n">
        <v>46171</v>
      </c>
      <c r="D1293" s="15" t="n">
        <v>17.99</v>
      </c>
      <c r="E1293" s="15" t="n">
        <v>35.17</v>
      </c>
      <c r="F1293" s="34" t="n">
        <v>46171</v>
      </c>
      <c r="G1293" s="15" t="n">
        <v>92</v>
      </c>
      <c r="H1293" s="15" t="n">
        <v>117.42</v>
      </c>
      <c r="I1293" s="34" t="n">
        <v>46171</v>
      </c>
      <c r="J1293" s="15" t="n">
        <v>19.09</v>
      </c>
      <c r="K1293" s="15" t="n">
        <v>32.27</v>
      </c>
      <c r="L1293" s="34" t="n">
        <v>46171</v>
      </c>
      <c r="M1293" s="15" t="n">
        <v>49.08</v>
      </c>
      <c r="N1293" s="15" t="n">
        <v>62.88</v>
      </c>
      <c r="O1293" s="34" t="n">
        <v>46171</v>
      </c>
      <c r="P1293" s="15" t="n">
        <v>55.95</v>
      </c>
      <c r="Q1293" s="15" t="n">
        <v>59.58</v>
      </c>
      <c r="R1293" s="34" t="n">
        <v>46171</v>
      </c>
      <c r="S1293" s="15" t="n">
        <v>49.42</v>
      </c>
      <c r="T1293" s="15" t="n">
        <v>109.6</v>
      </c>
      <c r="U1293" s="34" t="n">
        <v>46171</v>
      </c>
      <c r="V1293" s="15" t="n">
        <v>15.34</v>
      </c>
      <c r="W1293" s="15" t="n">
        <v>21.87</v>
      </c>
      <c r="X1293" s="34" t="n">
        <v>46171</v>
      </c>
      <c r="Y1293" s="15" t="n">
        <v>85.75</v>
      </c>
      <c r="Z1293" s="15" t="n">
        <v>80.84999999999999</v>
      </c>
      <c r="AA1293" s="34" t="n">
        <v>46171</v>
      </c>
      <c r="AB1293" s="15" t="n">
        <v>14.15</v>
      </c>
      <c r="AC1293" s="15" t="n">
        <v>25.24</v>
      </c>
      <c r="AD1293" s="34" t="n">
        <v>46171</v>
      </c>
      <c r="AE1293" s="15" t="n">
        <v>31.28</v>
      </c>
      <c r="AF1293" s="15" t="n">
        <v>34.95</v>
      </c>
      <c r="AG1293" s="34" t="n">
        <v>46171</v>
      </c>
      <c r="AH1293" s="15" t="n">
        <v>30.66</v>
      </c>
      <c r="AI1293" s="15" t="n">
        <v>33.37</v>
      </c>
      <c r="AJ1293" s="34" t="n">
        <v>46171</v>
      </c>
      <c r="AK1293" s="15" t="n">
        <v>31.28</v>
      </c>
      <c r="AL1293" s="15" t="n">
        <v>77.05</v>
      </c>
      <c r="AM1293" s="34" t="n">
        <v>46171</v>
      </c>
      <c r="AN1293" s="15" t="n">
        <v>744.5</v>
      </c>
      <c r="AO1293" s="15" t="n">
        <v>424</v>
      </c>
      <c r="AP1293" s="34" t="n">
        <v>46171</v>
      </c>
      <c r="AQ1293" s="15" t="n">
        <v>60.2</v>
      </c>
      <c r="AR1293" s="15" t="n">
        <v>50.19</v>
      </c>
      <c r="AS1293" s="34" t="n">
        <v>46171</v>
      </c>
      <c r="AT1293" s="15" t="n">
        <v>15.42</v>
      </c>
      <c r="AU1293" s="15" t="n">
        <v>21.8</v>
      </c>
      <c r="AV1293" s="34" t="n">
        <v>46171</v>
      </c>
      <c r="AW1293" s="15" t="n">
        <v>32.62</v>
      </c>
      <c r="AX1293" s="15" t="n">
        <v>35.92</v>
      </c>
      <c r="AY1293" s="34" t="n">
        <v>46171</v>
      </c>
      <c r="AZ1293" s="15" t="n">
        <v>31.42</v>
      </c>
      <c r="BA1293" s="15" t="n">
        <v>46.34</v>
      </c>
      <c r="BB1293" s="34" t="n">
        <v>46171</v>
      </c>
      <c r="BC1293" s="15" t="n">
        <v>83.15000000000001</v>
      </c>
      <c r="BD1293" s="15" t="n">
        <v>99.65000000000001</v>
      </c>
      <c r="BE1293" s="34" t="n">
        <v>46171</v>
      </c>
      <c r="BF1293" s="15" t="n">
        <v>140.1</v>
      </c>
      <c r="BG1293" s="15" t="n">
        <v>216.94</v>
      </c>
      <c r="BH1293" s="34" t="n">
        <v>46171</v>
      </c>
      <c r="BI1293" s="15" t="n">
        <v>24.08</v>
      </c>
      <c r="BJ1293" s="15" t="n">
        <v>40.5</v>
      </c>
      <c r="BK1293" s="34" t="n">
        <v>46171</v>
      </c>
      <c r="BL1293" s="15" t="n">
        <v>108.6</v>
      </c>
      <c r="BM1293" s="15" t="n">
        <v>147.1</v>
      </c>
      <c r="BN1293" s="34" t="n">
        <v>46171</v>
      </c>
      <c r="BO1293" s="15" t="n">
        <v>9.960000000000001</v>
      </c>
      <c r="BP1293" s="15" t="n">
        <v>21.35</v>
      </c>
      <c r="BQ1293" s="34" t="n">
        <v>46171</v>
      </c>
      <c r="BR1293" s="15" t="n">
        <v>19.4</v>
      </c>
      <c r="BS1293" s="15" t="n">
        <v>17.94</v>
      </c>
      <c r="BT1293" s="34" t="n">
        <v>46171</v>
      </c>
      <c r="BU1293" s="15" t="n">
        <v>146.4</v>
      </c>
      <c r="BV1293" s="15" t="n">
        <v>207.7</v>
      </c>
      <c r="BW1293" s="34" t="n">
        <v>46171</v>
      </c>
      <c r="BX1293" s="15" t="n">
        <v>67.7</v>
      </c>
      <c r="BY1293" s="15" t="n">
        <v>81.45999999999999</v>
      </c>
      <c r="BZ1293" s="34" t="n">
        <v>46171</v>
      </c>
      <c r="CA1293" s="15" t="n">
        <v>16.06</v>
      </c>
      <c r="CB1293" s="15" t="n">
        <v>26.22</v>
      </c>
      <c r="CC1293" s="34" t="n">
        <v>46171</v>
      </c>
      <c r="CD1293" s="15" t="n">
        <v>33.16</v>
      </c>
      <c r="CE1293" s="15" t="n">
        <v>52.36</v>
      </c>
      <c r="CF1293" s="34" t="n">
        <v>46171</v>
      </c>
      <c r="CG1293" s="15" t="n">
        <v>208.2</v>
      </c>
      <c r="CH1293" s="15" t="n">
        <v>256.82</v>
      </c>
      <c r="CI1293" s="34" t="n">
        <v>46171</v>
      </c>
      <c r="CJ1293" s="15" t="n">
        <v>9.52</v>
      </c>
      <c r="CK1293" s="15" t="n">
        <v>22</v>
      </c>
      <c r="CL1293" s="34" t="n">
        <v>46171</v>
      </c>
      <c r="CM1293" s="15" t="n">
        <v>83.95</v>
      </c>
      <c r="CN1293" s="15" t="n">
        <v>95</v>
      </c>
      <c r="CO1293" s="34" t="n">
        <v>46171</v>
      </c>
      <c r="CP1293" s="15" t="n">
        <v>740</v>
      </c>
      <c r="CQ1293" s="15" t="n">
        <v>467.01</v>
      </c>
      <c r="CR1293" s="34" t="n">
        <v>46171</v>
      </c>
      <c r="CS1293" s="15" t="n">
        <v>23.3</v>
      </c>
      <c r="CT1293" s="15" t="n">
        <v>34.46</v>
      </c>
      <c r="CU1293" s="34" t="n">
        <v>46171</v>
      </c>
      <c r="CV1293" s="15" t="n">
        <v>132.3</v>
      </c>
      <c r="CW1293" s="15" t="n">
        <v>142.44</v>
      </c>
      <c r="CX1293" s="34" t="n">
        <v>46171</v>
      </c>
      <c r="CY1293" s="15" t="n">
        <v>57.85</v>
      </c>
      <c r="CZ1293" s="15" t="n">
        <v>63.26</v>
      </c>
      <c r="DA1293" s="34" t="n">
        <v>46171</v>
      </c>
      <c r="DB1293" s="15" t="n">
        <v>180</v>
      </c>
      <c r="DC1293" s="15" t="n">
        <v>279</v>
      </c>
      <c r="DD1293" s="34" t="n">
        <v>46171</v>
      </c>
      <c r="DE1293" s="15" t="n">
        <v>35.3</v>
      </c>
      <c r="DF1293" s="15" t="n">
        <v>38.07</v>
      </c>
      <c r="DG1293" s="34" t="n">
        <v>46171</v>
      </c>
      <c r="DH1293" s="15" t="n">
        <v>400</v>
      </c>
      <c r="DI1293" s="15" t="n">
        <v>253</v>
      </c>
      <c r="DJ1293" s="34" t="n">
        <v>46171</v>
      </c>
      <c r="DK1293" s="15" t="n">
        <v>52.7</v>
      </c>
      <c r="DL1293" s="15" t="n">
        <v>50.81</v>
      </c>
      <c r="DM1293" s="34" t="n">
        <v>46171</v>
      </c>
      <c r="DN1293" s="15" t="n">
        <v>15.29</v>
      </c>
      <c r="DO1293" s="15" t="n">
        <v>21.99</v>
      </c>
      <c r="DP1293" s="34" t="n">
        <v>46171</v>
      </c>
      <c r="DQ1293" s="15" t="n">
        <v>16.84</v>
      </c>
      <c r="DR1293" s="15" t="n">
        <v>27.72</v>
      </c>
      <c r="DS1293" s="34" t="n">
        <v>46171</v>
      </c>
      <c r="DT1293" s="15" t="n">
        <v>63</v>
      </c>
      <c r="DU1293" s="15" t="n">
        <v>96.83</v>
      </c>
      <c r="DV1293" s="34" t="n">
        <v>46171</v>
      </c>
      <c r="DW1293" s="15" t="n">
        <v>23.84</v>
      </c>
      <c r="DX1293" s="15" t="n">
        <v>45.44</v>
      </c>
      <c r="DY1293" s="34" t="n">
        <v>46171</v>
      </c>
      <c r="DZ1293" s="15" t="n">
        <v>184</v>
      </c>
      <c r="EA1293" s="15" t="n">
        <v>196.48</v>
      </c>
      <c r="EB1293" s="34" t="n">
        <v>46171</v>
      </c>
      <c r="EC1293" s="15" t="n">
        <v>12.3</v>
      </c>
      <c r="ED1293" s="15" t="n">
        <v>22.97</v>
      </c>
      <c r="EE1293" s="34" t="n">
        <v>46171</v>
      </c>
      <c r="EF1293" s="15" t="n">
        <v>426</v>
      </c>
      <c r="EG1293" s="15" t="n">
        <v>368.52</v>
      </c>
      <c r="EH1293" s="34" t="n">
        <v>46171</v>
      </c>
      <c r="EI1293" s="15" t="n">
        <v>78.75</v>
      </c>
      <c r="EJ1293" s="15" t="n">
        <v>106.4</v>
      </c>
      <c r="EK1293" s="34" t="n">
        <v>46171</v>
      </c>
      <c r="EL1293" s="15" t="n">
        <v>22.78</v>
      </c>
      <c r="EM1293" s="15" t="n">
        <v>30.4</v>
      </c>
      <c r="EN1293" s="34" t="n">
        <v>46171</v>
      </c>
      <c r="EO1293" s="15" t="n">
        <v>28.7</v>
      </c>
      <c r="EP1293" s="15" t="n">
        <v>47.09</v>
      </c>
      <c r="EQ1293" s="34" t="n">
        <v>46171</v>
      </c>
    </row>
    <row r="1294">
      <c r="A1294" s="34" t="n">
        <v>46174</v>
      </c>
      <c r="B1294" s="266" t="n">
        <v>1.158049941062927</v>
      </c>
      <c r="C1294" s="34" t="n">
        <v>46174</v>
      </c>
      <c r="D1294" s="15" t="n">
        <v>17.47</v>
      </c>
      <c r="E1294" s="15" t="n">
        <v>33.56</v>
      </c>
      <c r="F1294" s="34" t="n">
        <v>46174</v>
      </c>
      <c r="G1294" s="15" t="n">
        <v>89.55</v>
      </c>
      <c r="H1294" s="15" t="n">
        <v>115.39</v>
      </c>
      <c r="I1294" s="34" t="n">
        <v>46174</v>
      </c>
      <c r="J1294" s="15" t="n">
        <v>18.74</v>
      </c>
      <c r="K1294" s="15" t="n">
        <v>30.77</v>
      </c>
      <c r="L1294" s="34" t="n">
        <v>46174</v>
      </c>
      <c r="M1294" s="15" t="n">
        <v>49.04</v>
      </c>
      <c r="N1294" s="15" t="n">
        <v>62.17</v>
      </c>
      <c r="O1294" s="34" t="n">
        <v>46174</v>
      </c>
      <c r="P1294" s="15" t="n">
        <v>57.1</v>
      </c>
      <c r="Q1294" s="15" t="n">
        <v>58.68</v>
      </c>
      <c r="R1294" s="34" t="n">
        <v>46174</v>
      </c>
      <c r="S1294" s="15" t="n">
        <v>44.7</v>
      </c>
      <c r="T1294" s="15" t="n">
        <v>100</v>
      </c>
      <c r="U1294" s="34" t="n">
        <v>46174</v>
      </c>
      <c r="V1294" s="15" t="n">
        <v>16.06</v>
      </c>
      <c r="W1294" s="15" t="n">
        <v>22.28</v>
      </c>
      <c r="X1294" s="34" t="n">
        <v>46174</v>
      </c>
      <c r="Y1294" s="15" t="n">
        <v>89.3</v>
      </c>
      <c r="Z1294" s="15" t="n">
        <v>81.7</v>
      </c>
      <c r="AA1294" s="34" t="n">
        <v>46174</v>
      </c>
      <c r="AB1294" s="15" t="n">
        <v>14.62</v>
      </c>
      <c r="AC1294" s="15" t="n">
        <v>25.3</v>
      </c>
      <c r="AD1294" s="34" t="n">
        <v>46174</v>
      </c>
      <c r="AE1294" s="15" t="n">
        <v>31.72</v>
      </c>
      <c r="AF1294" s="15" t="n">
        <v>35.13</v>
      </c>
      <c r="AG1294" s="34" t="n">
        <v>46174</v>
      </c>
      <c r="AH1294" s="15" t="n">
        <v>30.56</v>
      </c>
      <c r="AI1294" s="15" t="n">
        <v>33.5</v>
      </c>
      <c r="AJ1294" s="34" t="n">
        <v>46174</v>
      </c>
      <c r="AK1294" s="15" t="n">
        <v>30.54</v>
      </c>
      <c r="AL1294" s="15" t="n">
        <v>75.06999999999999</v>
      </c>
      <c r="AM1294" s="34" t="n">
        <v>46174</v>
      </c>
      <c r="AN1294" s="15" t="n">
        <v>753.5</v>
      </c>
      <c r="AO1294" s="15" t="n">
        <v>420.1</v>
      </c>
      <c r="AP1294" s="34" t="n">
        <v>46174</v>
      </c>
      <c r="AQ1294" s="15" t="n">
        <v>58.5</v>
      </c>
      <c r="AR1294" s="15" t="n">
        <v>49.17</v>
      </c>
      <c r="AS1294" s="34" t="n">
        <v>46174</v>
      </c>
      <c r="AT1294" s="15" t="n">
        <v>16.22</v>
      </c>
      <c r="AU1294" s="15" t="n">
        <v>22.3</v>
      </c>
      <c r="AV1294" s="34" t="n">
        <v>46174</v>
      </c>
      <c r="AW1294" s="15" t="n">
        <v>31.9</v>
      </c>
      <c r="AX1294" s="15" t="n">
        <v>35.71</v>
      </c>
      <c r="AY1294" s="34" t="n">
        <v>46174</v>
      </c>
      <c r="AZ1294" s="15" t="n">
        <v>30.72</v>
      </c>
      <c r="BA1294" s="15" t="n">
        <v>44.57</v>
      </c>
      <c r="BB1294" s="34" t="n">
        <v>46174</v>
      </c>
      <c r="BC1294" s="15" t="n">
        <v>83.2</v>
      </c>
      <c r="BD1294" s="15" t="n">
        <v>100</v>
      </c>
      <c r="BE1294" s="34" t="n">
        <v>46174</v>
      </c>
      <c r="BF1294" s="15" t="n">
        <v>140.9</v>
      </c>
      <c r="BG1294" s="15" t="n">
        <v>212.87</v>
      </c>
      <c r="BH1294" s="34" t="n">
        <v>46174</v>
      </c>
      <c r="BI1294" s="15" t="n">
        <v>27.3</v>
      </c>
      <c r="BJ1294" s="15" t="n">
        <v>41.83</v>
      </c>
      <c r="BK1294" s="34" t="n">
        <v>46174</v>
      </c>
      <c r="BL1294" s="15" t="n">
        <v>101.2</v>
      </c>
      <c r="BM1294" s="15" t="n">
        <v>135.98</v>
      </c>
      <c r="BN1294" s="34" t="n">
        <v>46174</v>
      </c>
      <c r="BO1294" s="15" t="n">
        <v>11.41</v>
      </c>
      <c r="BP1294" s="15" t="n">
        <v>23.28</v>
      </c>
      <c r="BQ1294" s="34" t="n">
        <v>46174</v>
      </c>
      <c r="BR1294" s="15" t="n">
        <v>19.34</v>
      </c>
      <c r="BS1294" s="15" t="n">
        <v>18.07</v>
      </c>
      <c r="BT1294" s="34" t="n">
        <v>46174</v>
      </c>
      <c r="BU1294" s="15" t="n">
        <v>133</v>
      </c>
      <c r="BV1294" s="15" t="n">
        <v>187</v>
      </c>
      <c r="BW1294" s="34" t="n">
        <v>46174</v>
      </c>
      <c r="BX1294" s="15" t="n">
        <v>68.8</v>
      </c>
      <c r="BY1294" s="15" t="n">
        <v>80.09</v>
      </c>
      <c r="BZ1294" s="34" t="n">
        <v>46174</v>
      </c>
      <c r="CA1294" s="15" t="n">
        <v>16.12</v>
      </c>
      <c r="CB1294" s="15" t="n">
        <v>26.17</v>
      </c>
      <c r="CC1294" s="34" t="n">
        <v>46174</v>
      </c>
      <c r="CD1294" s="15" t="n">
        <v>33.54</v>
      </c>
      <c r="CE1294" s="15" t="n">
        <v>51.9</v>
      </c>
      <c r="CF1294" s="34" t="n">
        <v>46174</v>
      </c>
      <c r="CG1294" s="15" t="n">
        <v>191.3</v>
      </c>
      <c r="CH1294" s="15" t="n">
        <v>236.5</v>
      </c>
      <c r="CI1294" s="34" t="n">
        <v>46174</v>
      </c>
      <c r="CJ1294" s="15" t="n">
        <v>9.550000000000001</v>
      </c>
      <c r="CK1294" s="15" t="n">
        <v>21.8</v>
      </c>
      <c r="CL1294" s="34" t="n">
        <v>46174</v>
      </c>
      <c r="CM1294" s="15" t="n">
        <v>81.5</v>
      </c>
      <c r="CN1294" s="15" t="n">
        <v>92.23</v>
      </c>
      <c r="CO1294" s="34" t="n">
        <v>46174</v>
      </c>
      <c r="CP1294" s="15" t="n">
        <v>708.5</v>
      </c>
      <c r="CQ1294" s="15" t="n">
        <v>468</v>
      </c>
      <c r="CR1294" s="34" t="n">
        <v>46174</v>
      </c>
      <c r="CS1294" s="15" t="n">
        <v>26.42</v>
      </c>
      <c r="CT1294" s="15" t="n">
        <v>37.91</v>
      </c>
      <c r="CU1294" s="34" t="n">
        <v>46174</v>
      </c>
      <c r="CV1294" s="15" t="n">
        <v>144.4</v>
      </c>
      <c r="CW1294" s="15" t="n">
        <v>152.3</v>
      </c>
      <c r="CX1294" s="34" t="n">
        <v>46174</v>
      </c>
      <c r="CY1294" s="15" t="n">
        <v>53.95</v>
      </c>
      <c r="CZ1294" s="15" t="n">
        <v>63.49</v>
      </c>
      <c r="DA1294" s="34" t="n">
        <v>46174</v>
      </c>
      <c r="DB1294" s="15" t="n">
        <v>180.3</v>
      </c>
      <c r="DC1294" s="15" t="n">
        <v>275.8</v>
      </c>
      <c r="DD1294" s="34" t="n">
        <v>46174</v>
      </c>
      <c r="DE1294" s="15" t="n">
        <v>35.76</v>
      </c>
      <c r="DF1294" s="15" t="n">
        <v>37.82</v>
      </c>
      <c r="DG1294" s="34" t="n">
        <v>46174</v>
      </c>
      <c r="DH1294" s="15" t="n">
        <v>372.4</v>
      </c>
      <c r="DI1294" s="15" t="n">
        <v>232.3</v>
      </c>
      <c r="DJ1294" s="34" t="n">
        <v>46174</v>
      </c>
      <c r="DK1294" s="15" t="n">
        <v>48.6</v>
      </c>
      <c r="DL1294" s="15" t="n">
        <v>49.19</v>
      </c>
      <c r="DM1294" s="34" t="n">
        <v>46174</v>
      </c>
      <c r="DN1294" s="15" t="n">
        <v>15.81</v>
      </c>
      <c r="DO1294" s="15" t="n">
        <v>22.36</v>
      </c>
      <c r="DP1294" s="34" t="n">
        <v>46174</v>
      </c>
      <c r="DQ1294" s="15" t="n">
        <v>16.33</v>
      </c>
      <c r="DR1294" s="15" t="n">
        <v>26.77</v>
      </c>
      <c r="DS1294" s="34" t="n">
        <v>46174</v>
      </c>
      <c r="DT1294" s="15" t="n">
        <v>63.95</v>
      </c>
      <c r="DU1294" s="15" t="n">
        <v>95.89</v>
      </c>
      <c r="DV1294" s="34" t="n">
        <v>46174</v>
      </c>
      <c r="DW1294" s="15" t="n">
        <v>24.8</v>
      </c>
      <c r="DX1294" s="15" t="n">
        <v>46</v>
      </c>
      <c r="DY1294" s="34" t="n">
        <v>46174</v>
      </c>
      <c r="DZ1294" s="15" t="n">
        <v>165.2</v>
      </c>
      <c r="EA1294" s="15" t="n">
        <v>182.3</v>
      </c>
      <c r="EB1294" s="34" t="n">
        <v>46174</v>
      </c>
      <c r="EC1294" s="15" t="n">
        <v>12.16</v>
      </c>
      <c r="ED1294" s="15" t="n">
        <v>22.65</v>
      </c>
      <c r="EE1294" s="34" t="n">
        <v>46174</v>
      </c>
      <c r="EF1294" s="15" t="n">
        <v>412.8</v>
      </c>
      <c r="EG1294" s="15" t="n">
        <v>342.35</v>
      </c>
      <c r="EH1294" s="34" t="n">
        <v>46174</v>
      </c>
      <c r="EI1294" s="15" t="n">
        <v>93.75</v>
      </c>
      <c r="EJ1294" s="15" t="n">
        <v>117.04</v>
      </c>
      <c r="EK1294" s="34" t="n">
        <v>46174</v>
      </c>
      <c r="EL1294" s="15" t="n">
        <v>22.44</v>
      </c>
      <c r="EM1294" s="15" t="n">
        <v>28.98</v>
      </c>
      <c r="EN1294" s="34" t="n">
        <v>46174</v>
      </c>
      <c r="EO1294" s="15" t="n">
        <v>29.9</v>
      </c>
      <c r="EP1294" s="15" t="n">
        <v>47.01</v>
      </c>
      <c r="EQ1294" s="34" t="n">
        <v>46174</v>
      </c>
    </row>
    <row r="1295">
      <c r="A1295" s="34" t="n">
        <v>46175</v>
      </c>
      <c r="B1295" s="266" t="n">
        <v>1.158406972885132</v>
      </c>
      <c r="C1295" s="34" t="n">
        <v>46175</v>
      </c>
      <c r="D1295" s="15" t="n">
        <v>17.63</v>
      </c>
      <c r="E1295" s="15" t="n">
        <v>32.97</v>
      </c>
      <c r="F1295" s="34" t="n">
        <v>46175</v>
      </c>
      <c r="G1295" s="15" t="n">
        <v>90</v>
      </c>
      <c r="H1295" s="15" t="n">
        <v>113.91</v>
      </c>
      <c r="I1295" s="34" t="n">
        <v>46175</v>
      </c>
      <c r="J1295" s="15" t="n">
        <v>18.99</v>
      </c>
      <c r="K1295" s="15" t="n">
        <v>31.32</v>
      </c>
      <c r="L1295" s="34" t="n">
        <v>46175</v>
      </c>
      <c r="M1295" s="15" t="n">
        <v>48.24</v>
      </c>
      <c r="N1295" s="15" t="n">
        <v>61.29</v>
      </c>
      <c r="O1295" s="34" t="n">
        <v>46175</v>
      </c>
      <c r="P1295" s="15" t="n">
        <v>56.65</v>
      </c>
      <c r="Q1295" s="15" t="n">
        <v>56.94</v>
      </c>
      <c r="R1295" s="34" t="n">
        <v>46175</v>
      </c>
      <c r="S1295" s="15" t="n">
        <v>42.34</v>
      </c>
      <c r="T1295" s="15" t="n">
        <v>96.95999999999999</v>
      </c>
      <c r="U1295" s="34" t="n">
        <v>46175</v>
      </c>
      <c r="V1295" s="15" t="n">
        <v>16.6</v>
      </c>
      <c r="W1295" s="15" t="n">
        <v>21.9</v>
      </c>
      <c r="X1295" s="34" t="n">
        <v>46175</v>
      </c>
      <c r="Y1295" s="15" t="n">
        <v>89.7</v>
      </c>
      <c r="Z1295" s="15" t="n">
        <v>82.59999999999999</v>
      </c>
      <c r="AA1295" s="34" t="n">
        <v>46175</v>
      </c>
      <c r="AB1295" s="15" t="n">
        <v>14.66</v>
      </c>
      <c r="AC1295" s="15" t="n">
        <v>24.87</v>
      </c>
      <c r="AD1295" s="34" t="n">
        <v>46175</v>
      </c>
      <c r="AE1295" s="15" t="n">
        <v>32.08</v>
      </c>
      <c r="AF1295" s="15" t="n">
        <v>34.9</v>
      </c>
      <c r="AG1295" s="34" t="n">
        <v>46175</v>
      </c>
      <c r="AH1295" s="15" t="n">
        <v>31.5</v>
      </c>
      <c r="AI1295" s="15" t="n">
        <v>34.15</v>
      </c>
      <c r="AJ1295" s="34" t="n">
        <v>46175</v>
      </c>
      <c r="AK1295" s="15" t="n">
        <v>31.7</v>
      </c>
      <c r="AL1295" s="15" t="n">
        <v>72.52</v>
      </c>
      <c r="AM1295" s="34" t="n">
        <v>46175</v>
      </c>
      <c r="AN1295" s="15" t="n">
        <v>779.5</v>
      </c>
      <c r="AO1295" s="15" t="n">
        <v>433.89</v>
      </c>
      <c r="AP1295" s="34" t="n">
        <v>46175</v>
      </c>
      <c r="AQ1295" s="15" t="n">
        <v>58.85</v>
      </c>
      <c r="AR1295" s="15" t="n">
        <v>48.4</v>
      </c>
      <c r="AS1295" s="34" t="n">
        <v>46175</v>
      </c>
      <c r="AT1295" s="15" t="n">
        <v>16.35</v>
      </c>
      <c r="AU1295" s="15" t="n">
        <v>22.3</v>
      </c>
      <c r="AV1295" s="34" t="n">
        <v>46175</v>
      </c>
      <c r="AW1295" s="15" t="n">
        <v>31.2</v>
      </c>
      <c r="AX1295" s="15" t="n">
        <v>34.68</v>
      </c>
      <c r="AY1295" s="34" t="n">
        <v>46175</v>
      </c>
      <c r="AZ1295" s="15" t="n">
        <v>31.24</v>
      </c>
      <c r="BA1295" s="15" t="n">
        <v>45.17</v>
      </c>
      <c r="BB1295" s="34" t="n">
        <v>46175</v>
      </c>
      <c r="BC1295" s="15" t="n">
        <v>75.8</v>
      </c>
      <c r="BD1295" s="15" t="n">
        <v>93.97</v>
      </c>
      <c r="BE1295" s="34" t="n">
        <v>46175</v>
      </c>
      <c r="BF1295" s="15" t="n">
        <v>145</v>
      </c>
      <c r="BG1295" s="15" t="n">
        <v>211.54</v>
      </c>
      <c r="BH1295" s="34" t="n">
        <v>46175</v>
      </c>
      <c r="BI1295" s="15" t="n">
        <v>28.7</v>
      </c>
      <c r="BJ1295" s="15" t="n">
        <v>41.23</v>
      </c>
      <c r="BK1295" s="34" t="n">
        <v>46175</v>
      </c>
      <c r="BL1295" s="15" t="n">
        <v>97.5</v>
      </c>
      <c r="BM1295" s="15" t="n">
        <v>135</v>
      </c>
      <c r="BN1295" s="34" t="n">
        <v>46175</v>
      </c>
      <c r="BO1295" s="15" t="n">
        <v>11.2</v>
      </c>
      <c r="BP1295" s="15" t="n">
        <v>22.83</v>
      </c>
      <c r="BQ1295" s="34" t="n">
        <v>46175</v>
      </c>
      <c r="BR1295" s="15" t="n">
        <v>19.64</v>
      </c>
      <c r="BS1295" s="15" t="n">
        <v>18.14</v>
      </c>
      <c r="BT1295" s="34" t="n">
        <v>46175</v>
      </c>
      <c r="BU1295" s="15" t="n">
        <v>134.5</v>
      </c>
      <c r="BV1295" s="15" t="n">
        <v>189.85</v>
      </c>
      <c r="BW1295" s="34" t="n">
        <v>46175</v>
      </c>
      <c r="BX1295" s="15" t="n">
        <v>70.3</v>
      </c>
      <c r="BY1295" s="15" t="n">
        <v>82.01000000000001</v>
      </c>
      <c r="BZ1295" s="34" t="n">
        <v>46175</v>
      </c>
      <c r="CA1295" s="15" t="n">
        <v>16.51</v>
      </c>
      <c r="CB1295" s="15" t="n">
        <v>26.35</v>
      </c>
      <c r="CC1295" s="34" t="n">
        <v>46175</v>
      </c>
      <c r="CD1295" s="15" t="n">
        <v>33.92</v>
      </c>
      <c r="CE1295" s="15" t="n">
        <v>51.29</v>
      </c>
      <c r="CF1295" s="34" t="n">
        <v>46175</v>
      </c>
      <c r="CG1295" s="15" t="n">
        <v>188.2</v>
      </c>
      <c r="CH1295" s="15" t="n">
        <v>239.58</v>
      </c>
      <c r="CI1295" s="34" t="n">
        <v>46175</v>
      </c>
      <c r="CJ1295" s="15" t="n">
        <v>9.380000000000001</v>
      </c>
      <c r="CK1295" s="15" t="n">
        <v>21.48</v>
      </c>
      <c r="CL1295" s="34" t="n">
        <v>46175</v>
      </c>
      <c r="CM1295" s="15" t="n">
        <v>82.3</v>
      </c>
      <c r="CN1295" s="15" t="n">
        <v>92.65000000000001</v>
      </c>
      <c r="CO1295" s="34" t="n">
        <v>46175</v>
      </c>
      <c r="CP1295" s="15" t="n">
        <v>711</v>
      </c>
      <c r="CQ1295" s="15" t="n">
        <v>474.69</v>
      </c>
      <c r="CR1295" s="34" t="n">
        <v>46175</v>
      </c>
      <c r="CS1295" s="15" t="n">
        <v>26.56</v>
      </c>
      <c r="CT1295" s="15" t="n">
        <v>39.67</v>
      </c>
      <c r="CU1295" s="34" t="n">
        <v>46175</v>
      </c>
      <c r="CV1295" s="15" t="n">
        <v>144.4</v>
      </c>
      <c r="CW1295" s="15" t="n">
        <v>149.6</v>
      </c>
      <c r="CX1295" s="34" t="n">
        <v>46175</v>
      </c>
      <c r="CY1295" s="15" t="n">
        <v>55.25</v>
      </c>
      <c r="CZ1295" s="15" t="n">
        <v>65.41</v>
      </c>
      <c r="DA1295" s="34" t="n">
        <v>46175</v>
      </c>
      <c r="DB1295" s="15" t="n">
        <v>174</v>
      </c>
      <c r="DC1295" s="15" t="n">
        <v>279.1</v>
      </c>
      <c r="DD1295" s="34" t="n">
        <v>46175</v>
      </c>
      <c r="DE1295" s="15" t="n">
        <v>35.26</v>
      </c>
      <c r="DF1295" s="15" t="n">
        <v>36.76</v>
      </c>
      <c r="DG1295" s="34" t="n">
        <v>46175</v>
      </c>
      <c r="DH1295" s="15" t="n">
        <v>380.2</v>
      </c>
      <c r="DI1295" s="15" t="n">
        <v>237</v>
      </c>
      <c r="DJ1295" s="34" t="n">
        <v>46175</v>
      </c>
      <c r="DK1295" s="15" t="n">
        <v>46.9</v>
      </c>
      <c r="DL1295" s="15" t="n">
        <v>48.19</v>
      </c>
      <c r="DM1295" s="34" t="n">
        <v>46175</v>
      </c>
      <c r="DN1295" s="15" t="n">
        <v>15.08</v>
      </c>
      <c r="DO1295" s="15" t="n">
        <v>21.46</v>
      </c>
      <c r="DP1295" s="34" t="n">
        <v>46175</v>
      </c>
      <c r="DQ1295" s="15" t="n">
        <v>16.62</v>
      </c>
      <c r="DR1295" s="15" t="n">
        <v>26.96</v>
      </c>
      <c r="DS1295" s="34" t="n">
        <v>46175</v>
      </c>
      <c r="DT1295" s="15" t="n">
        <v>64.59999999999999</v>
      </c>
      <c r="DU1295" s="15" t="n">
        <v>97.25</v>
      </c>
      <c r="DV1295" s="34" t="n">
        <v>46175</v>
      </c>
      <c r="DW1295" s="15" t="n">
        <v>24.68</v>
      </c>
      <c r="DX1295" s="15" t="n">
        <v>45.58</v>
      </c>
      <c r="DY1295" s="34" t="n">
        <v>46175</v>
      </c>
      <c r="DZ1295" s="15" t="n">
        <v>165.1</v>
      </c>
      <c r="EA1295" s="15" t="n">
        <v>181.06</v>
      </c>
      <c r="EB1295" s="34" t="n">
        <v>46175</v>
      </c>
      <c r="EC1295" s="15" t="n">
        <v>12.24</v>
      </c>
      <c r="ED1295" s="15" t="n">
        <v>23.38</v>
      </c>
      <c r="EE1295" s="34" t="n">
        <v>46175</v>
      </c>
      <c r="EF1295" s="15" t="n">
        <v>407.6</v>
      </c>
      <c r="EG1295" s="15" t="n">
        <v>349.08</v>
      </c>
      <c r="EH1295" s="34" t="n">
        <v>46175</v>
      </c>
      <c r="EI1295" s="15" t="n">
        <v>93</v>
      </c>
      <c r="EJ1295" s="15" t="n">
        <v>124.6</v>
      </c>
      <c r="EK1295" s="34" t="n">
        <v>46175</v>
      </c>
      <c r="EL1295" s="15" t="n">
        <v>22.7</v>
      </c>
      <c r="EM1295" s="15" t="n">
        <v>28.51</v>
      </c>
      <c r="EN1295" s="34" t="n">
        <v>46175</v>
      </c>
      <c r="EO1295" s="15" t="n">
        <v>30.02</v>
      </c>
      <c r="EP1295" s="15" t="n">
        <v>46.08</v>
      </c>
      <c r="EQ1295" s="34" t="n">
        <v>46175</v>
      </c>
    </row>
    <row r="1296">
      <c r="A1296" s="34" t="n">
        <v>46176</v>
      </c>
      <c r="B1296" s="266" t="n">
        <v>1.15879499912262</v>
      </c>
      <c r="C1296" s="34" t="n">
        <v>46176</v>
      </c>
      <c r="D1296" s="15" t="n">
        <v>18.18</v>
      </c>
      <c r="E1296" s="15" t="n">
        <v>33.71</v>
      </c>
      <c r="F1296" s="34" t="n">
        <v>46176</v>
      </c>
      <c r="G1296" s="15" t="n">
        <v>90.59999999999999</v>
      </c>
      <c r="H1296" s="15" t="n">
        <v>116.63</v>
      </c>
      <c r="I1296" s="34" t="n">
        <v>46176</v>
      </c>
      <c r="J1296" s="15" t="n">
        <v>18.8</v>
      </c>
      <c r="K1296" s="15" t="n">
        <v>31.19</v>
      </c>
      <c r="L1296" s="34" t="n">
        <v>46176</v>
      </c>
      <c r="M1296" s="15" t="n">
        <v>47.5</v>
      </c>
      <c r="N1296" s="15" t="n">
        <v>60.98</v>
      </c>
      <c r="O1296" s="34" t="n">
        <v>46176</v>
      </c>
      <c r="P1296" s="15" t="n">
        <v>56.1</v>
      </c>
      <c r="Q1296" s="15" t="n">
        <v>57.05</v>
      </c>
      <c r="R1296" s="34" t="n">
        <v>46176</v>
      </c>
      <c r="S1296" s="15" t="n">
        <v>42.48</v>
      </c>
      <c r="T1296" s="15" t="n">
        <v>96.64</v>
      </c>
      <c r="U1296" s="34" t="n">
        <v>46176</v>
      </c>
      <c r="V1296" s="15" t="n">
        <v>15.85</v>
      </c>
      <c r="W1296" s="15" t="n">
        <v>21.6</v>
      </c>
      <c r="X1296" s="34" t="n">
        <v>46176</v>
      </c>
      <c r="Y1296" s="15" t="n">
        <v>91</v>
      </c>
      <c r="Z1296" s="15" t="n">
        <v>82.61</v>
      </c>
      <c r="AA1296" s="34" t="n">
        <v>46176</v>
      </c>
      <c r="AB1296" s="15" t="n">
        <v>14.29</v>
      </c>
      <c r="AC1296" s="15" t="n">
        <v>24.65</v>
      </c>
      <c r="AD1296" s="34" t="n">
        <v>46176</v>
      </c>
      <c r="AE1296" s="15" t="n">
        <v>31.62</v>
      </c>
      <c r="AF1296" s="15" t="n">
        <v>34.57</v>
      </c>
      <c r="AG1296" s="34" t="n">
        <v>46176</v>
      </c>
      <c r="AH1296" s="15" t="n">
        <v>30.64</v>
      </c>
      <c r="AI1296" s="15" t="n">
        <v>33.45</v>
      </c>
      <c r="AJ1296" s="34" t="n">
        <v>46176</v>
      </c>
      <c r="AK1296" s="15" t="n">
        <v>32.34</v>
      </c>
      <c r="AL1296" s="15" t="n">
        <v>74.06999999999999</v>
      </c>
      <c r="AM1296" s="34" t="n">
        <v>46176</v>
      </c>
      <c r="AN1296" s="15" t="n">
        <v>778</v>
      </c>
      <c r="AO1296" s="15" t="n">
        <v>426.42</v>
      </c>
      <c r="AP1296" s="34" t="n">
        <v>46176</v>
      </c>
      <c r="AQ1296" s="15" t="n">
        <v>54.7</v>
      </c>
      <c r="AR1296" s="15" t="n">
        <v>47.2</v>
      </c>
      <c r="AS1296" s="34" t="n">
        <v>46176</v>
      </c>
      <c r="AT1296" s="15" t="n">
        <v>16.46</v>
      </c>
      <c r="AU1296" s="15" t="n">
        <v>21.81</v>
      </c>
      <c r="AV1296" s="34" t="n">
        <v>46176</v>
      </c>
      <c r="AW1296" s="15" t="n">
        <v>30.84</v>
      </c>
      <c r="AX1296" s="15" t="n">
        <v>34.4</v>
      </c>
      <c r="AY1296" s="34" t="n">
        <v>46176</v>
      </c>
      <c r="AZ1296" s="15" t="n">
        <v>31</v>
      </c>
      <c r="BA1296" s="15" t="n">
        <v>45.08</v>
      </c>
      <c r="BB1296" s="34" t="n">
        <v>46176</v>
      </c>
      <c r="BC1296" s="15" t="n">
        <v>69.05</v>
      </c>
      <c r="BD1296" s="15" t="n">
        <v>89.78</v>
      </c>
      <c r="BE1296" s="34" t="n">
        <v>46176</v>
      </c>
      <c r="BF1296" s="15" t="n">
        <v>144.2</v>
      </c>
      <c r="BG1296" s="15" t="n">
        <v>209.35</v>
      </c>
      <c r="BH1296" s="34" t="n">
        <v>46176</v>
      </c>
      <c r="BI1296" s="15" t="n">
        <v>29.2</v>
      </c>
      <c r="BJ1296" s="15" t="n">
        <v>44.39</v>
      </c>
      <c r="BK1296" s="34" t="n">
        <v>46176</v>
      </c>
      <c r="BL1296" s="15" t="n">
        <v>100.8</v>
      </c>
      <c r="BM1296" s="15" t="n">
        <v>136.42</v>
      </c>
      <c r="BN1296" s="34" t="n">
        <v>46176</v>
      </c>
      <c r="BO1296" s="15" t="n">
        <v>11</v>
      </c>
      <c r="BP1296" s="15" t="n">
        <v>23.02</v>
      </c>
      <c r="BQ1296" s="34" t="n">
        <v>46176</v>
      </c>
      <c r="BR1296" s="15" t="n">
        <v>19.81</v>
      </c>
      <c r="BS1296" s="15" t="n">
        <v>17.96</v>
      </c>
      <c r="BT1296" s="34" t="n">
        <v>46176</v>
      </c>
      <c r="BU1296" s="15" t="n">
        <v>144.1</v>
      </c>
      <c r="BV1296" s="15" t="n">
        <v>202.6</v>
      </c>
      <c r="BW1296" s="34" t="n">
        <v>46176</v>
      </c>
      <c r="BX1296" s="15" t="n">
        <v>66.95</v>
      </c>
      <c r="BY1296" s="15" t="n">
        <v>79.09999999999999</v>
      </c>
      <c r="BZ1296" s="34" t="n">
        <v>46176</v>
      </c>
      <c r="CA1296" s="15" t="n">
        <v>16.8</v>
      </c>
      <c r="CB1296" s="15" t="n">
        <v>26.93</v>
      </c>
      <c r="CC1296" s="34" t="n">
        <v>46176</v>
      </c>
      <c r="CD1296" s="15" t="n">
        <v>33.22</v>
      </c>
      <c r="CE1296" s="15" t="n">
        <v>50.78</v>
      </c>
      <c r="CF1296" s="34" t="n">
        <v>46176</v>
      </c>
      <c r="CG1296" s="15" t="n">
        <v>189</v>
      </c>
      <c r="CH1296" s="15" t="n">
        <v>243.21</v>
      </c>
      <c r="CI1296" s="34" t="n">
        <v>46176</v>
      </c>
      <c r="CJ1296" s="15" t="n">
        <v>9.27</v>
      </c>
      <c r="CK1296" s="15" t="n">
        <v>20.26</v>
      </c>
      <c r="CL1296" s="34" t="n">
        <v>46176</v>
      </c>
      <c r="CM1296" s="15" t="n">
        <v>85.75</v>
      </c>
      <c r="CN1296" s="15" t="n">
        <v>100.91</v>
      </c>
      <c r="CO1296" s="34" t="n">
        <v>46176</v>
      </c>
      <c r="CP1296" s="15" t="n">
        <v>735.5</v>
      </c>
      <c r="CQ1296" s="15" t="n">
        <v>492.23</v>
      </c>
      <c r="CR1296" s="34" t="n">
        <v>46176</v>
      </c>
      <c r="CS1296" s="15" t="n">
        <v>27.2</v>
      </c>
      <c r="CT1296" s="15" t="n">
        <v>40.05</v>
      </c>
      <c r="CU1296" s="34" t="n">
        <v>46176</v>
      </c>
      <c r="CV1296" s="15" t="n">
        <v>139.2</v>
      </c>
      <c r="CW1296" s="15" t="n">
        <v>143.96</v>
      </c>
      <c r="CX1296" s="34" t="n">
        <v>46176</v>
      </c>
      <c r="CY1296" s="15" t="n">
        <v>52.1</v>
      </c>
      <c r="CZ1296" s="15" t="n">
        <v>63.6</v>
      </c>
      <c r="DA1296" s="34" t="n">
        <v>46176</v>
      </c>
      <c r="DB1296" s="15" t="n">
        <v>173</v>
      </c>
      <c r="DC1296" s="15" t="n">
        <v>285.99</v>
      </c>
      <c r="DD1296" s="34" t="n">
        <v>46176</v>
      </c>
      <c r="DE1296" s="15" t="n">
        <v>34.7</v>
      </c>
      <c r="DF1296" s="15" t="n">
        <v>36.2</v>
      </c>
      <c r="DG1296" s="34" t="n">
        <v>46176</v>
      </c>
      <c r="DH1296" s="15" t="n">
        <v>403</v>
      </c>
      <c r="DI1296" s="15" t="n">
        <v>253.9</v>
      </c>
      <c r="DJ1296" s="34" t="n">
        <v>46176</v>
      </c>
      <c r="DK1296" s="15" t="n">
        <v>45.98</v>
      </c>
      <c r="DL1296" s="15" t="n">
        <v>47.7</v>
      </c>
      <c r="DM1296" s="34" t="n">
        <v>46176</v>
      </c>
      <c r="DN1296" s="15" t="n">
        <v>14.98</v>
      </c>
      <c r="DO1296" s="15" t="n">
        <v>21.64</v>
      </c>
      <c r="DP1296" s="34" t="n">
        <v>46176</v>
      </c>
      <c r="DQ1296" s="15" t="n">
        <v>17.16</v>
      </c>
      <c r="DR1296" s="15" t="n">
        <v>29.04</v>
      </c>
      <c r="DS1296" s="34" t="n">
        <v>46176</v>
      </c>
      <c r="DT1296" s="15" t="n">
        <v>62.95</v>
      </c>
      <c r="DU1296" s="15" t="n">
        <v>96.61</v>
      </c>
      <c r="DV1296" s="34" t="n">
        <v>46176</v>
      </c>
      <c r="DW1296" s="15" t="n">
        <v>23.56</v>
      </c>
      <c r="DX1296" s="15" t="n">
        <v>42.88</v>
      </c>
      <c r="DY1296" s="34" t="n">
        <v>46176</v>
      </c>
      <c r="DZ1296" s="15" t="n">
        <v>174</v>
      </c>
      <c r="EA1296" s="15" t="n">
        <v>177.55</v>
      </c>
      <c r="EB1296" s="34" t="n">
        <v>46176</v>
      </c>
      <c r="EC1296" s="15" t="n">
        <v>12.7</v>
      </c>
      <c r="ED1296" s="15" t="n">
        <v>24.7</v>
      </c>
      <c r="EE1296" s="34" t="n">
        <v>46176</v>
      </c>
      <c r="EF1296" s="15" t="n">
        <v>417</v>
      </c>
      <c r="EG1296" s="15" t="n">
        <v>353.44</v>
      </c>
      <c r="EH1296" s="34" t="n">
        <v>46176</v>
      </c>
      <c r="EI1296" s="15" t="n">
        <v>88.25</v>
      </c>
      <c r="EJ1296" s="15" t="n">
        <v>117.6</v>
      </c>
      <c r="EK1296" s="34" t="n">
        <v>46176</v>
      </c>
      <c r="EL1296" s="15" t="n">
        <v>22.22</v>
      </c>
      <c r="EM1296" s="15" t="n">
        <v>27.39</v>
      </c>
      <c r="EN1296" s="34" t="n">
        <v>46176</v>
      </c>
      <c r="EO1296" s="15" t="n">
        <v>29.6</v>
      </c>
      <c r="EP1296" s="15" t="n">
        <v>45.66</v>
      </c>
      <c r="EQ1296" s="34" t="n">
        <v>46176</v>
      </c>
    </row>
    <row r="1297">
      <c r="A1297" s="34" t="n">
        <v>46177</v>
      </c>
      <c r="B1297" s="266" t="n">
        <v>1.157420039176941</v>
      </c>
      <c r="C1297" s="34" t="n">
        <v>46177</v>
      </c>
      <c r="D1297" s="15" t="n">
        <v>17.42</v>
      </c>
      <c r="E1297" s="15" t="n">
        <v>33.42</v>
      </c>
      <c r="F1297" s="34" t="n">
        <v>46177</v>
      </c>
      <c r="G1297" s="15" t="n">
        <v>91.45</v>
      </c>
      <c r="H1297" s="15" t="n">
        <v>119.62</v>
      </c>
      <c r="I1297" s="34" t="n">
        <v>46177</v>
      </c>
      <c r="J1297" s="15" t="n">
        <v>18.57</v>
      </c>
      <c r="K1297" s="15" t="n">
        <v>30.81</v>
      </c>
      <c r="L1297" s="34" t="n">
        <v>46177</v>
      </c>
      <c r="M1297" s="15" t="n">
        <v>45.76</v>
      </c>
      <c r="N1297" s="15" t="n">
        <v>59.46</v>
      </c>
      <c r="O1297" s="34" t="n">
        <v>46177</v>
      </c>
      <c r="P1297" s="15" t="n">
        <v>54.95</v>
      </c>
      <c r="Q1297" s="15" t="n">
        <v>55.59</v>
      </c>
      <c r="R1297" s="34" t="n">
        <v>46177</v>
      </c>
      <c r="S1297" s="15" t="n">
        <v>41.06</v>
      </c>
      <c r="T1297" s="15" t="n">
        <v>95.84999999999999</v>
      </c>
      <c r="U1297" s="34" t="n">
        <v>46177</v>
      </c>
      <c r="V1297" s="15" t="n">
        <v>15.13</v>
      </c>
      <c r="W1297" s="15" t="n">
        <v>21.19</v>
      </c>
      <c r="X1297" s="34" t="n">
        <v>46177</v>
      </c>
      <c r="Y1297" s="15" t="n">
        <v>88.8</v>
      </c>
      <c r="Z1297" s="15" t="n">
        <v>82.42</v>
      </c>
      <c r="AA1297" s="34" t="n">
        <v>46177</v>
      </c>
      <c r="AB1297" s="15" t="n">
        <v>13.62</v>
      </c>
      <c r="AC1297" s="15" t="n">
        <v>23.76</v>
      </c>
      <c r="AD1297" s="34" t="n">
        <v>46177</v>
      </c>
      <c r="AE1297" s="15" t="n">
        <v>31.38</v>
      </c>
      <c r="AF1297" s="15" t="n">
        <v>34.25</v>
      </c>
      <c r="AG1297" s="34" t="n">
        <v>46177</v>
      </c>
      <c r="AH1297" s="15" t="n">
        <v>29.74</v>
      </c>
      <c r="AI1297" s="15" t="n">
        <v>32.23</v>
      </c>
      <c r="AJ1297" s="34" t="n">
        <v>46177</v>
      </c>
      <c r="AK1297" s="15" t="n">
        <v>31.02</v>
      </c>
      <c r="AL1297" s="15" t="n">
        <v>73.47</v>
      </c>
      <c r="AM1297" s="34" t="n">
        <v>46177</v>
      </c>
      <c r="AN1297" s="15" t="n">
        <v>723.5</v>
      </c>
      <c r="AO1297" s="15" t="n">
        <v>408.2</v>
      </c>
      <c r="AP1297" s="34" t="n">
        <v>46177</v>
      </c>
      <c r="AQ1297" s="15" t="n">
        <v>53.35</v>
      </c>
      <c r="AR1297" s="15" t="n">
        <v>46.63</v>
      </c>
      <c r="AS1297" s="34" t="n">
        <v>46177</v>
      </c>
      <c r="AT1297" s="15" t="n">
        <v>16.05</v>
      </c>
      <c r="AU1297" s="15" t="n">
        <v>21.41</v>
      </c>
      <c r="AV1297" s="34" t="n">
        <v>46177</v>
      </c>
      <c r="AW1297" s="15" t="n">
        <v>30.44</v>
      </c>
      <c r="AX1297" s="15" t="n">
        <v>33.8</v>
      </c>
      <c r="AY1297" s="34" t="n">
        <v>46177</v>
      </c>
      <c r="AZ1297" s="15" t="n">
        <v>31.62</v>
      </c>
      <c r="BA1297" s="15" t="n">
        <v>47.01</v>
      </c>
      <c r="BB1297" s="34" t="n">
        <v>46177</v>
      </c>
      <c r="BC1297" s="15" t="n">
        <v>67.59999999999999</v>
      </c>
      <c r="BD1297" s="15" t="n">
        <v>86.88</v>
      </c>
      <c r="BE1297" s="34" t="n">
        <v>46177</v>
      </c>
      <c r="BF1297" s="15" t="n">
        <v>145.8</v>
      </c>
      <c r="BG1297" s="15" t="n">
        <v>211.53</v>
      </c>
      <c r="BH1297" s="34" t="n">
        <v>46177</v>
      </c>
      <c r="BI1297" s="15" t="n">
        <v>27.2</v>
      </c>
      <c r="BJ1297" s="15" t="n">
        <v>43.64</v>
      </c>
      <c r="BK1297" s="34" t="n">
        <v>46177</v>
      </c>
      <c r="BL1297" s="15" t="n">
        <v>104.9</v>
      </c>
      <c r="BM1297" s="15" t="n">
        <v>139.1</v>
      </c>
      <c r="BN1297" s="34" t="n">
        <v>46177</v>
      </c>
      <c r="BO1297" s="15" t="n">
        <v>10.64</v>
      </c>
      <c r="BP1297" s="15" t="n">
        <v>22.36</v>
      </c>
      <c r="BQ1297" s="34" t="n">
        <v>46177</v>
      </c>
      <c r="BR1297" s="15" t="n">
        <v>19.68</v>
      </c>
      <c r="BS1297" s="15" t="n">
        <v>18.14</v>
      </c>
      <c r="BT1297" s="34" t="n">
        <v>46177</v>
      </c>
      <c r="BU1297" s="15" t="n">
        <v>138.5</v>
      </c>
      <c r="BV1297" s="15" t="n">
        <v>204.17</v>
      </c>
      <c r="BW1297" s="34" t="n">
        <v>46177</v>
      </c>
      <c r="BX1297" s="15" t="n">
        <v>63.95</v>
      </c>
      <c r="BY1297" s="15" t="n">
        <v>76.37</v>
      </c>
      <c r="BZ1297" s="34" t="n">
        <v>46177</v>
      </c>
      <c r="CA1297" s="15" t="n">
        <v>16.43</v>
      </c>
      <c r="CB1297" s="15" t="n">
        <v>26.53</v>
      </c>
      <c r="CC1297" s="34" t="n">
        <v>46177</v>
      </c>
      <c r="CD1297" s="15" t="n">
        <v>33.62</v>
      </c>
      <c r="CE1297" s="15" t="n">
        <v>49.35</v>
      </c>
      <c r="CF1297" s="34" t="n">
        <v>46177</v>
      </c>
      <c r="CG1297" s="15" t="n">
        <v>189.2</v>
      </c>
      <c r="CH1297" s="15" t="n">
        <v>246</v>
      </c>
      <c r="CI1297" s="34" t="n">
        <v>46177</v>
      </c>
      <c r="CJ1297" s="15" t="n">
        <v>8.81</v>
      </c>
      <c r="CK1297" s="15" t="n">
        <v>19.24</v>
      </c>
      <c r="CL1297" s="34" t="n">
        <v>46177</v>
      </c>
      <c r="CM1297" s="15" t="n">
        <v>84.40000000000001</v>
      </c>
      <c r="CN1297" s="15" t="n">
        <v>98.86</v>
      </c>
      <c r="CO1297" s="34" t="n">
        <v>46177</v>
      </c>
      <c r="CP1297" s="15" t="n">
        <v>786</v>
      </c>
      <c r="CQ1297" s="15" t="n">
        <v>529.3099999999999</v>
      </c>
      <c r="CR1297" s="34" t="n">
        <v>46177</v>
      </c>
      <c r="CS1297" s="15" t="n">
        <v>25.36</v>
      </c>
      <c r="CT1297" s="15" t="n">
        <v>38.48</v>
      </c>
      <c r="CU1297" s="34" t="n">
        <v>46177</v>
      </c>
      <c r="CV1297" s="15" t="n">
        <v>138.2</v>
      </c>
      <c r="CW1297" s="15" t="n">
        <v>139.43</v>
      </c>
      <c r="CX1297" s="34" t="n">
        <v>46177</v>
      </c>
      <c r="CY1297" s="15" t="n">
        <v>51.7</v>
      </c>
      <c r="CZ1297" s="15" t="n">
        <v>64.08</v>
      </c>
      <c r="DA1297" s="34" t="n">
        <v>46177</v>
      </c>
      <c r="DB1297" s="15" t="n">
        <v>176</v>
      </c>
      <c r="DC1297" s="15" t="n">
        <v>298.8</v>
      </c>
      <c r="DD1297" s="34" t="n">
        <v>46177</v>
      </c>
      <c r="DE1297" s="15" t="n">
        <v>32.6</v>
      </c>
      <c r="DF1297" s="15" t="n">
        <v>35.13</v>
      </c>
      <c r="DG1297" s="34" t="n">
        <v>46177</v>
      </c>
      <c r="DH1297" s="15" t="n">
        <v>406.2</v>
      </c>
      <c r="DI1297" s="15" t="n">
        <v>259.67</v>
      </c>
      <c r="DJ1297" s="34" t="n">
        <v>46177</v>
      </c>
      <c r="DK1297" s="15" t="n">
        <v>43.86</v>
      </c>
      <c r="DL1297" s="15" t="n">
        <v>46.88</v>
      </c>
      <c r="DM1297" s="34" t="n">
        <v>46177</v>
      </c>
      <c r="DN1297" s="15" t="n">
        <v>14.42</v>
      </c>
      <c r="DO1297" s="15" t="n">
        <v>20.96</v>
      </c>
      <c r="DP1297" s="34" t="n">
        <v>46177</v>
      </c>
      <c r="DQ1297" s="15" t="n">
        <v>16.53</v>
      </c>
      <c r="DR1297" s="15" t="n">
        <v>29.49</v>
      </c>
      <c r="DS1297" s="34" t="n">
        <v>46177</v>
      </c>
      <c r="DT1297" s="15" t="n">
        <v>64.40000000000001</v>
      </c>
      <c r="DU1297" s="15" t="n">
        <v>98.58</v>
      </c>
      <c r="DV1297" s="34" t="n">
        <v>46177</v>
      </c>
      <c r="DW1297" s="15" t="n">
        <v>23.64</v>
      </c>
      <c r="DX1297" s="15" t="n">
        <v>42.63</v>
      </c>
      <c r="DY1297" s="34" t="n">
        <v>46177</v>
      </c>
      <c r="DZ1297" s="15" t="n">
        <v>172.1</v>
      </c>
      <c r="EA1297" s="15" t="n">
        <v>182.61</v>
      </c>
      <c r="EB1297" s="34" t="n">
        <v>46177</v>
      </c>
      <c r="EC1297" s="15" t="n">
        <v>12.5</v>
      </c>
      <c r="ED1297" s="15" t="n">
        <v>24.19</v>
      </c>
      <c r="EE1297" s="34" t="n">
        <v>46177</v>
      </c>
      <c r="EF1297" s="15" t="n">
        <v>415</v>
      </c>
      <c r="EG1297" s="15" t="n">
        <v>366.72</v>
      </c>
      <c r="EH1297" s="34" t="n">
        <v>46177</v>
      </c>
      <c r="EI1297" s="15" t="n">
        <v>82.15000000000001</v>
      </c>
      <c r="EJ1297" s="15" t="n">
        <v>114.45</v>
      </c>
      <c r="EK1297" s="34" t="n">
        <v>46177</v>
      </c>
      <c r="EL1297" s="15" t="n">
        <v>22.66</v>
      </c>
      <c r="EM1297" s="15" t="n">
        <v>26.93</v>
      </c>
      <c r="EN1297" s="34" t="n">
        <v>46177</v>
      </c>
      <c r="EO1297" s="15" t="n">
        <v>31.1</v>
      </c>
      <c r="EP1297" s="15" t="n">
        <v>46.37</v>
      </c>
      <c r="EQ1297" s="34" t="n">
        <v>46177</v>
      </c>
    </row>
    <row r="1298">
      <c r="A1298" s="34" t="n">
        <v>46178</v>
      </c>
      <c r="B1298" s="266" t="n">
        <v>1.156491994857788</v>
      </c>
      <c r="C1298" s="34" t="n">
        <v>46178</v>
      </c>
      <c r="D1298" s="15" t="n">
        <v>17</v>
      </c>
      <c r="E1298" s="15" t="n">
        <v>32.6</v>
      </c>
      <c r="F1298" s="34" t="n">
        <v>46178</v>
      </c>
      <c r="G1298" s="15" t="n">
        <v>93.5</v>
      </c>
      <c r="H1298" s="15" t="n">
        <v>116.27</v>
      </c>
      <c r="I1298" s="34" t="n">
        <v>46178</v>
      </c>
      <c r="J1298" s="15" t="n">
        <v>18.37</v>
      </c>
      <c r="K1298" s="15" t="n">
        <v>31.12</v>
      </c>
      <c r="L1298" s="34" t="n">
        <v>46178</v>
      </c>
      <c r="M1298" s="15" t="n">
        <v>43.78</v>
      </c>
      <c r="N1298" s="15" t="n">
        <v>59.06</v>
      </c>
      <c r="O1298" s="34" t="n">
        <v>46178</v>
      </c>
      <c r="P1298" s="15" t="n">
        <v>55.8</v>
      </c>
      <c r="Q1298" s="15" t="n">
        <v>57.2</v>
      </c>
      <c r="R1298" s="34" t="n">
        <v>46178</v>
      </c>
      <c r="S1298" s="15" t="n">
        <v>41.82</v>
      </c>
      <c r="T1298" s="15" t="n">
        <v>93.8</v>
      </c>
      <c r="U1298" s="34" t="n">
        <v>46178</v>
      </c>
      <c r="V1298" s="15" t="n">
        <v>15.3</v>
      </c>
      <c r="W1298" s="15" t="n">
        <v>21.14</v>
      </c>
      <c r="X1298" s="34" t="n">
        <v>46178</v>
      </c>
      <c r="Y1298" s="15" t="n">
        <v>88.2</v>
      </c>
      <c r="Z1298" s="15" t="n">
        <v>81.69</v>
      </c>
      <c r="AA1298" s="34" t="n">
        <v>46178</v>
      </c>
      <c r="AB1298" s="15" t="n">
        <v>13.34</v>
      </c>
      <c r="AC1298" s="15" t="n">
        <v>23.99</v>
      </c>
      <c r="AD1298" s="34" t="n">
        <v>46178</v>
      </c>
      <c r="AE1298" s="15" t="n">
        <v>31.22</v>
      </c>
      <c r="AF1298" s="15" t="n">
        <v>34.86</v>
      </c>
      <c r="AG1298" s="34" t="n">
        <v>46178</v>
      </c>
      <c r="AH1298" s="15" t="n">
        <v>28.9</v>
      </c>
      <c r="AI1298" s="15" t="n">
        <v>31.36</v>
      </c>
      <c r="AJ1298" s="34" t="n">
        <v>46178</v>
      </c>
      <c r="AK1298" s="15" t="n">
        <v>30.44</v>
      </c>
      <c r="AL1298" s="15" t="n">
        <v>72.86</v>
      </c>
      <c r="AM1298" s="34" t="n">
        <v>46178</v>
      </c>
      <c r="AN1298" s="15" t="n">
        <v>711</v>
      </c>
      <c r="AO1298" s="15" t="n">
        <v>403</v>
      </c>
      <c r="AP1298" s="34" t="n">
        <v>46178</v>
      </c>
      <c r="AQ1298" s="15" t="n">
        <v>54.5</v>
      </c>
      <c r="AR1298" s="15" t="n">
        <v>47.08</v>
      </c>
      <c r="AS1298" s="34" t="n">
        <v>46178</v>
      </c>
      <c r="AT1298" s="15" t="n">
        <v>15.77</v>
      </c>
      <c r="AU1298" s="15" t="n">
        <v>20.93</v>
      </c>
      <c r="AV1298" s="34" t="n">
        <v>46178</v>
      </c>
      <c r="AW1298" s="15" t="n">
        <v>30.54</v>
      </c>
      <c r="AX1298" s="15" t="n">
        <v>34.03</v>
      </c>
      <c r="AY1298" s="34" t="n">
        <v>46178</v>
      </c>
      <c r="AZ1298" s="15" t="n">
        <v>30.72</v>
      </c>
      <c r="BA1298" s="15" t="n">
        <v>47.51</v>
      </c>
      <c r="BB1298" s="34" t="n">
        <v>46178</v>
      </c>
      <c r="BC1298" s="15" t="n">
        <v>70</v>
      </c>
      <c r="BD1298" s="15" t="n">
        <v>86.68000000000001</v>
      </c>
      <c r="BE1298" s="34" t="n">
        <v>46178</v>
      </c>
      <c r="BF1298" s="15" t="n">
        <v>142.9</v>
      </c>
      <c r="BG1298" s="15" t="n">
        <v>212</v>
      </c>
      <c r="BH1298" s="34" t="n">
        <v>46178</v>
      </c>
      <c r="BI1298" s="15" t="n">
        <v>27.36</v>
      </c>
      <c r="BJ1298" s="15" t="n">
        <v>45.61</v>
      </c>
      <c r="BK1298" s="34" t="n">
        <v>46178</v>
      </c>
      <c r="BL1298" s="15" t="n">
        <v>95.59999999999999</v>
      </c>
      <c r="BM1298" s="15" t="n">
        <v>130.93</v>
      </c>
      <c r="BN1298" s="34" t="n">
        <v>46178</v>
      </c>
      <c r="BO1298" s="15" t="n">
        <v>10.13</v>
      </c>
      <c r="BP1298" s="15" t="n">
        <v>22.73</v>
      </c>
      <c r="BQ1298" s="34" t="n">
        <v>46178</v>
      </c>
      <c r="BR1298" s="15" t="n">
        <v>19.91</v>
      </c>
      <c r="BS1298" s="15" t="n">
        <v>18.65</v>
      </c>
      <c r="BT1298" s="34" t="n">
        <v>46178</v>
      </c>
      <c r="BU1298" s="15" t="n">
        <v>133.3</v>
      </c>
      <c r="BV1298" s="15" t="n">
        <v>192.02</v>
      </c>
      <c r="BW1298" s="34" t="n">
        <v>46178</v>
      </c>
      <c r="BX1298" s="15" t="n">
        <v>61.8</v>
      </c>
      <c r="BY1298" s="15" t="n">
        <v>75.01000000000001</v>
      </c>
      <c r="BZ1298" s="34" t="n">
        <v>46178</v>
      </c>
      <c r="CA1298" s="15" t="n">
        <v>16.18</v>
      </c>
      <c r="CB1298" s="15" t="n">
        <v>26.4</v>
      </c>
      <c r="CC1298" s="34" t="n">
        <v>46178</v>
      </c>
      <c r="CD1298" s="15" t="n">
        <v>31.62</v>
      </c>
      <c r="CE1298" s="15" t="n">
        <v>48.58</v>
      </c>
      <c r="CF1298" s="34" t="n">
        <v>46178</v>
      </c>
      <c r="CG1298" s="15" t="n">
        <v>178.9</v>
      </c>
      <c r="CH1298" s="15" t="n">
        <v>234.49</v>
      </c>
      <c r="CI1298" s="34" t="n">
        <v>46178</v>
      </c>
      <c r="CJ1298" s="15" t="n">
        <v>8.789999999999999</v>
      </c>
      <c r="CK1298" s="15" t="n">
        <v>18.84</v>
      </c>
      <c r="CL1298" s="34" t="n">
        <v>46178</v>
      </c>
      <c r="CM1298" s="15" t="n">
        <v>80.7</v>
      </c>
      <c r="CN1298" s="15" t="n">
        <v>95.39</v>
      </c>
      <c r="CO1298" s="34" t="n">
        <v>46178</v>
      </c>
      <c r="CP1298" s="15" t="n">
        <v>723</v>
      </c>
      <c r="CQ1298" s="15" t="n">
        <v>488</v>
      </c>
      <c r="CR1298" s="34" t="n">
        <v>46178</v>
      </c>
      <c r="CS1298" s="15" t="n">
        <v>26.4</v>
      </c>
      <c r="CT1298" s="15" t="n">
        <v>38.7</v>
      </c>
      <c r="CU1298" s="34" t="n">
        <v>46178</v>
      </c>
      <c r="CV1298" s="15" t="n">
        <v>129.8</v>
      </c>
      <c r="CW1298" s="15" t="n">
        <v>134.39</v>
      </c>
      <c r="CX1298" s="34" t="n">
        <v>46178</v>
      </c>
      <c r="CY1298" s="15" t="n">
        <v>51.7</v>
      </c>
      <c r="CZ1298" s="15" t="n">
        <v>64.47</v>
      </c>
      <c r="DA1298" s="34" t="n">
        <v>46178</v>
      </c>
      <c r="DB1298" s="15" t="n">
        <v>166.9</v>
      </c>
      <c r="DC1298" s="15" t="n">
        <v>277.2</v>
      </c>
      <c r="DD1298" s="34" t="n">
        <v>46178</v>
      </c>
      <c r="DE1298" s="15" t="n">
        <v>32.34</v>
      </c>
      <c r="DF1298" s="15" t="n">
        <v>35.06</v>
      </c>
      <c r="DG1298" s="34" t="n">
        <v>46178</v>
      </c>
      <c r="DH1298" s="15" t="n">
        <v>368.8</v>
      </c>
      <c r="DI1298" s="15" t="n">
        <v>239.39</v>
      </c>
      <c r="DJ1298" s="34" t="n">
        <v>46178</v>
      </c>
      <c r="DK1298" s="15" t="n">
        <v>43.26</v>
      </c>
      <c r="DL1298" s="15" t="n">
        <v>46.98</v>
      </c>
      <c r="DM1298" s="34" t="n">
        <v>46178</v>
      </c>
      <c r="DN1298" s="15" t="n">
        <v>13.96</v>
      </c>
      <c r="DO1298" s="15" t="n">
        <v>20.56</v>
      </c>
      <c r="DP1298" s="34" t="n">
        <v>46178</v>
      </c>
      <c r="DQ1298" s="15" t="n">
        <v>18.16</v>
      </c>
      <c r="DR1298" s="15" t="n">
        <v>31.02</v>
      </c>
      <c r="DS1298" s="34" t="n">
        <v>46178</v>
      </c>
      <c r="DT1298" s="15" t="n">
        <v>67.59999999999999</v>
      </c>
      <c r="DU1298" s="15" t="n">
        <v>105.07</v>
      </c>
      <c r="DV1298" s="34" t="n">
        <v>46178</v>
      </c>
      <c r="DW1298" s="15" t="n">
        <v>23.8</v>
      </c>
      <c r="DX1298" s="15" t="n">
        <v>44.05</v>
      </c>
      <c r="DY1298" s="34" t="n">
        <v>46178</v>
      </c>
      <c r="DZ1298" s="15" t="n">
        <v>161</v>
      </c>
      <c r="EA1298" s="15" t="n">
        <v>174.02</v>
      </c>
      <c r="EB1298" s="34" t="n">
        <v>46178</v>
      </c>
      <c r="EC1298" s="15" t="n">
        <v>11.92</v>
      </c>
      <c r="ED1298" s="15" t="n">
        <v>23.52</v>
      </c>
      <c r="EE1298" s="34" t="n">
        <v>46178</v>
      </c>
      <c r="EF1298" s="15" t="n">
        <v>368.6</v>
      </c>
      <c r="EG1298" s="15" t="n">
        <v>338.9</v>
      </c>
      <c r="EH1298" s="34" t="n">
        <v>46178</v>
      </c>
      <c r="EI1298" s="15" t="n">
        <v>76.5</v>
      </c>
      <c r="EJ1298" s="15" t="n">
        <v>107.54</v>
      </c>
      <c r="EK1298" s="34" t="n">
        <v>46178</v>
      </c>
      <c r="EL1298" s="15" t="n">
        <v>22.4</v>
      </c>
      <c r="EM1298" s="15" t="n">
        <v>26.6</v>
      </c>
      <c r="EN1298" s="34" t="n">
        <v>46178</v>
      </c>
      <c r="EO1298" s="15" t="n">
        <v>33</v>
      </c>
      <c r="EP1298" s="15" t="n">
        <v>46.77</v>
      </c>
      <c r="EQ1298" s="34" t="n">
        <v>46178</v>
      </c>
      <c r="ER1298" s="15" t="n">
        <v>66.40000000000001</v>
      </c>
      <c r="ES1298" s="15" t="n">
        <v>63.67</v>
      </c>
      <c r="ET1298" s="34" t="n">
        <v>46178</v>
      </c>
    </row>
    <row r="1299">
      <c r="A1299" s="34" t="n">
        <v>46181</v>
      </c>
      <c r="B1299" s="266" t="n">
        <v>1.157665967941284</v>
      </c>
      <c r="C1299" s="34" t="n">
        <v>46181</v>
      </c>
      <c r="D1299" s="15" t="n">
        <v>15.91</v>
      </c>
      <c r="E1299" s="15" t="n">
        <v>31.37</v>
      </c>
      <c r="F1299" s="34" t="n">
        <v>46181</v>
      </c>
      <c r="G1299" s="15" t="n">
        <v>88.5</v>
      </c>
      <c r="H1299" s="15" t="n">
        <v>112.56</v>
      </c>
      <c r="I1299" s="34" t="n">
        <v>46181</v>
      </c>
      <c r="J1299" s="15" t="n">
        <v>17.85</v>
      </c>
      <c r="K1299" s="15" t="n">
        <v>29.19</v>
      </c>
      <c r="L1299" s="34" t="n">
        <v>46181</v>
      </c>
      <c r="M1299" s="15" t="n">
        <v>43.04</v>
      </c>
      <c r="N1299" s="15" t="n">
        <v>56.2</v>
      </c>
      <c r="O1299" s="34" t="n">
        <v>46181</v>
      </c>
      <c r="P1299" s="15" t="n">
        <v>54.5</v>
      </c>
      <c r="Q1299" s="15" t="n">
        <v>57.45</v>
      </c>
      <c r="R1299" s="34" t="n">
        <v>46181</v>
      </c>
      <c r="S1299" s="15" t="n">
        <v>38.9</v>
      </c>
      <c r="T1299" s="15" t="n">
        <v>90.87</v>
      </c>
      <c r="U1299" s="34" t="n">
        <v>46181</v>
      </c>
      <c r="V1299" s="15" t="n">
        <v>14.74</v>
      </c>
      <c r="W1299" s="15" t="n">
        <v>20.22</v>
      </c>
      <c r="X1299" s="34" t="n">
        <v>46181</v>
      </c>
      <c r="Y1299" s="15" t="n">
        <v>89</v>
      </c>
      <c r="Z1299" s="15" t="n">
        <v>82.84999999999999</v>
      </c>
      <c r="AA1299" s="34" t="n">
        <v>46181</v>
      </c>
      <c r="AB1299" s="15" t="n">
        <v>12.65</v>
      </c>
      <c r="AC1299" s="15" t="n">
        <v>22.99</v>
      </c>
      <c r="AD1299" s="34" t="n">
        <v>46181</v>
      </c>
      <c r="AE1299" s="15" t="n">
        <v>31.38</v>
      </c>
      <c r="AF1299" s="15" t="n">
        <v>34.58</v>
      </c>
      <c r="AG1299" s="34" t="n">
        <v>46181</v>
      </c>
      <c r="AH1299" s="15" t="n">
        <v>27.12</v>
      </c>
      <c r="AI1299" s="15" t="n">
        <v>29.2</v>
      </c>
      <c r="AJ1299" s="34" t="n">
        <v>46181</v>
      </c>
      <c r="AK1299" s="15" t="n">
        <v>27.84</v>
      </c>
      <c r="AL1299" s="15" t="n">
        <v>67.08</v>
      </c>
      <c r="AM1299" s="34" t="n">
        <v>46181</v>
      </c>
      <c r="AN1299" s="15" t="n">
        <v>683</v>
      </c>
      <c r="AO1299" s="15" t="n">
        <v>393.02</v>
      </c>
      <c r="AP1299" s="34" t="n">
        <v>46181</v>
      </c>
      <c r="AQ1299" s="15" t="n">
        <v>52.45</v>
      </c>
      <c r="AR1299" s="15" t="n">
        <v>45.94</v>
      </c>
      <c r="AS1299" s="34" t="n">
        <v>46181</v>
      </c>
      <c r="AT1299" s="15" t="n">
        <v>15.16</v>
      </c>
      <c r="AU1299" s="15" t="n">
        <v>19.79</v>
      </c>
      <c r="AV1299" s="34" t="n">
        <v>46181</v>
      </c>
      <c r="AW1299" s="15" t="n">
        <v>31.2</v>
      </c>
      <c r="AX1299" s="15" t="n">
        <v>34.07</v>
      </c>
      <c r="AY1299" s="34" t="n">
        <v>46181</v>
      </c>
      <c r="AZ1299" s="15" t="n">
        <v>30.3</v>
      </c>
      <c r="BA1299" s="15" t="n">
        <v>47.38</v>
      </c>
      <c r="BB1299" s="34" t="n">
        <v>46181</v>
      </c>
      <c r="BC1299" s="15" t="n">
        <v>74.34999999999999</v>
      </c>
      <c r="BD1299" s="15" t="n">
        <v>88.09999999999999</v>
      </c>
      <c r="BE1299" s="34" t="n">
        <v>46181</v>
      </c>
      <c r="BF1299" s="15" t="n">
        <v>135.6</v>
      </c>
      <c r="BG1299" s="15" t="n">
        <v>200.33</v>
      </c>
      <c r="BH1299" s="34" t="n">
        <v>46181</v>
      </c>
      <c r="BI1299" s="15" t="n">
        <v>25.08</v>
      </c>
      <c r="BJ1299" s="15" t="n">
        <v>42.64</v>
      </c>
      <c r="BK1299" s="34" t="n">
        <v>46181</v>
      </c>
      <c r="BL1299" s="15" t="n">
        <v>89.90000000000001</v>
      </c>
      <c r="BM1299" s="15" t="n">
        <v>121.7</v>
      </c>
      <c r="BN1299" s="34" t="n">
        <v>46181</v>
      </c>
      <c r="BO1299" s="15" t="n">
        <v>9.92</v>
      </c>
      <c r="BP1299" s="15" t="n">
        <v>21.83</v>
      </c>
      <c r="BQ1299" s="34" t="n">
        <v>46181</v>
      </c>
      <c r="BR1299" s="15" t="n">
        <v>21.44</v>
      </c>
      <c r="BS1299" s="15" t="n">
        <v>19.51</v>
      </c>
      <c r="BT1299" s="34" t="n">
        <v>46181</v>
      </c>
      <c r="BU1299" s="15" t="n">
        <v>126</v>
      </c>
      <c r="BV1299" s="15" t="n">
        <v>174.76</v>
      </c>
      <c r="BW1299" s="34" t="n">
        <v>46181</v>
      </c>
      <c r="BX1299" s="15" t="n">
        <v>61.05</v>
      </c>
      <c r="BY1299" s="15" t="n">
        <v>72.90000000000001</v>
      </c>
      <c r="BZ1299" s="34" t="n">
        <v>46181</v>
      </c>
      <c r="CA1299" s="15" t="n">
        <v>15.81</v>
      </c>
      <c r="CB1299" s="15" t="n">
        <v>25.37</v>
      </c>
      <c r="CC1299" s="34" t="n">
        <v>46181</v>
      </c>
      <c r="CD1299" s="15" t="n">
        <v>30.26</v>
      </c>
      <c r="CE1299" s="15" t="n">
        <v>45.6</v>
      </c>
      <c r="CF1299" s="34" t="n">
        <v>46181</v>
      </c>
      <c r="CG1299" s="15" t="n">
        <v>172.6</v>
      </c>
      <c r="CH1299" s="15" t="n">
        <v>223.63</v>
      </c>
      <c r="CI1299" s="34" t="n">
        <v>46181</v>
      </c>
      <c r="CJ1299" s="15" t="n">
        <v>8.68</v>
      </c>
      <c r="CK1299" s="15" t="n">
        <v>18.14</v>
      </c>
      <c r="CL1299" s="34" t="n">
        <v>46181</v>
      </c>
      <c r="CM1299" s="15" t="n">
        <v>78.7</v>
      </c>
      <c r="CN1299" s="15" t="n">
        <v>92.02</v>
      </c>
      <c r="CO1299" s="34" t="n">
        <v>46181</v>
      </c>
      <c r="CP1299" s="15" t="n">
        <v>695</v>
      </c>
      <c r="CQ1299" s="15" t="n">
        <v>474.01</v>
      </c>
      <c r="CR1299" s="34" t="n">
        <v>46181</v>
      </c>
      <c r="CS1299" s="15" t="n">
        <v>25.22</v>
      </c>
      <c r="CT1299" s="15" t="n">
        <v>37.16</v>
      </c>
      <c r="CU1299" s="34" t="n">
        <v>46181</v>
      </c>
      <c r="CV1299" s="15" t="n">
        <v>131.7</v>
      </c>
      <c r="CW1299" s="15" t="n">
        <v>136.23</v>
      </c>
      <c r="CX1299" s="34" t="n">
        <v>46181</v>
      </c>
      <c r="CY1299" s="15" t="n">
        <v>52</v>
      </c>
      <c r="CZ1299" s="15" t="n">
        <v>61.46</v>
      </c>
      <c r="DA1299" s="34" t="n">
        <v>46181</v>
      </c>
      <c r="DB1299" s="15" t="n">
        <v>165</v>
      </c>
      <c r="DC1299" s="15" t="n">
        <v>277.67</v>
      </c>
      <c r="DD1299" s="34" t="n">
        <v>46181</v>
      </c>
      <c r="DE1299" s="15" t="n">
        <v>31.56</v>
      </c>
      <c r="DF1299" s="15" t="n">
        <v>34.15</v>
      </c>
      <c r="DG1299" s="34" t="n">
        <v>46181</v>
      </c>
      <c r="DH1299" s="15" t="n">
        <v>347.4</v>
      </c>
      <c r="DI1299" s="15" t="n">
        <v>224.31</v>
      </c>
      <c r="DJ1299" s="34" t="n">
        <v>46181</v>
      </c>
      <c r="DK1299" s="15" t="n">
        <v>41.24</v>
      </c>
      <c r="DL1299" s="15" t="n">
        <v>43.81</v>
      </c>
      <c r="DM1299" s="34" t="n">
        <v>46181</v>
      </c>
      <c r="DN1299" s="15" t="n">
        <v>12.95</v>
      </c>
      <c r="DO1299" s="15" t="n">
        <v>19.05</v>
      </c>
      <c r="DP1299" s="34" t="n">
        <v>46181</v>
      </c>
      <c r="DQ1299" s="15" t="n">
        <v>20.4</v>
      </c>
      <c r="DR1299" s="15" t="n">
        <v>34.12</v>
      </c>
      <c r="DS1299" s="34" t="n">
        <v>46181</v>
      </c>
      <c r="DT1299" s="15" t="n">
        <v>70.45</v>
      </c>
      <c r="DU1299" s="15" t="n">
        <v>107.98</v>
      </c>
      <c r="DV1299" s="34" t="n">
        <v>46181</v>
      </c>
      <c r="DW1299" s="15" t="n">
        <v>23.9</v>
      </c>
      <c r="DX1299" s="15" t="n">
        <v>44.71</v>
      </c>
      <c r="DY1299" s="34" t="n">
        <v>46181</v>
      </c>
      <c r="DZ1299" s="15" t="n">
        <v>159.7</v>
      </c>
      <c r="EA1299" s="15" t="n">
        <v>175.6</v>
      </c>
      <c r="EB1299" s="34" t="n">
        <v>46181</v>
      </c>
      <c r="EC1299" s="15" t="n">
        <v>11.22</v>
      </c>
      <c r="ED1299" s="15" t="n">
        <v>21.49</v>
      </c>
      <c r="EE1299" s="34" t="n">
        <v>46181</v>
      </c>
      <c r="EF1299" s="15" t="n">
        <v>338.4</v>
      </c>
      <c r="EG1299" s="15" t="n">
        <v>314.8</v>
      </c>
      <c r="EH1299" s="34" t="n">
        <v>46181</v>
      </c>
      <c r="EI1299" s="15" t="n">
        <v>74.09999999999999</v>
      </c>
      <c r="EJ1299" s="15" t="n">
        <v>99.18000000000001</v>
      </c>
      <c r="EK1299" s="34" t="n">
        <v>46181</v>
      </c>
      <c r="EL1299" s="15" t="n">
        <v>21.32</v>
      </c>
      <c r="EM1299" s="15" t="n">
        <v>25.91</v>
      </c>
      <c r="EN1299" s="34" t="n">
        <v>46181</v>
      </c>
      <c r="EO1299" s="15" t="n">
        <v>31.7</v>
      </c>
      <c r="EP1299" s="15" t="n">
        <v>45.22</v>
      </c>
      <c r="EQ1299" s="34" t="n">
        <v>46181</v>
      </c>
      <c r="ER1299" s="15" t="n">
        <v>63</v>
      </c>
      <c r="ES1299" s="15" t="n">
        <v>59.15</v>
      </c>
      <c r="ET1299" s="34" t="n">
        <v>46181</v>
      </c>
    </row>
    <row r="1300">
      <c r="A1300" s="34" t="n">
        <v>46182</v>
      </c>
      <c r="B1300" s="266" t="n">
        <v>1.158027052879333</v>
      </c>
      <c r="C1300" s="34" t="n">
        <v>46182</v>
      </c>
      <c r="D1300" s="15" t="n">
        <v>16.23</v>
      </c>
      <c r="E1300" s="15" t="n">
        <v>31.43</v>
      </c>
      <c r="F1300" s="34" t="n">
        <v>46182</v>
      </c>
      <c r="G1300" s="15" t="n">
        <v>88.3</v>
      </c>
      <c r="H1300" s="15" t="n">
        <v>111.38</v>
      </c>
      <c r="I1300" s="34" t="n">
        <v>46182</v>
      </c>
      <c r="J1300" s="15" t="n">
        <v>18.35</v>
      </c>
      <c r="K1300" s="15" t="n">
        <v>30.09</v>
      </c>
      <c r="L1300" s="34" t="n">
        <v>46182</v>
      </c>
      <c r="M1300" s="15" t="n">
        <v>44.9</v>
      </c>
      <c r="N1300" s="15" t="n">
        <v>60.01</v>
      </c>
      <c r="O1300" s="34" t="n">
        <v>46182</v>
      </c>
      <c r="P1300" s="15" t="n">
        <v>54.05</v>
      </c>
      <c r="Q1300" s="15" t="n">
        <v>57.38</v>
      </c>
      <c r="R1300" s="34" t="n">
        <v>46182</v>
      </c>
      <c r="S1300" s="15" t="n">
        <v>40.8</v>
      </c>
      <c r="T1300" s="15" t="n">
        <v>96.13</v>
      </c>
      <c r="U1300" s="34" t="n">
        <v>46182</v>
      </c>
      <c r="V1300" s="15" t="n">
        <v>14.7</v>
      </c>
      <c r="W1300" s="15" t="n">
        <v>20.8</v>
      </c>
      <c r="X1300" s="34" t="n">
        <v>46182</v>
      </c>
      <c r="Y1300" s="15" t="n">
        <v>90.2</v>
      </c>
      <c r="Z1300" s="15" t="n">
        <v>82.36</v>
      </c>
      <c r="AA1300" s="34" t="n">
        <v>46182</v>
      </c>
      <c r="AB1300" s="15" t="n">
        <v>13.07</v>
      </c>
      <c r="AC1300" s="15" t="n">
        <v>23.65</v>
      </c>
      <c r="AD1300" s="34" t="n">
        <v>46182</v>
      </c>
      <c r="AE1300" s="15" t="n">
        <v>31.04</v>
      </c>
      <c r="AF1300" s="15" t="n">
        <v>34.04</v>
      </c>
      <c r="AG1300" s="34" t="n">
        <v>46182</v>
      </c>
      <c r="AH1300" s="15" t="n">
        <v>27.06</v>
      </c>
      <c r="AI1300" s="15" t="n">
        <v>29.37</v>
      </c>
      <c r="AJ1300" s="34" t="n">
        <v>46182</v>
      </c>
      <c r="AK1300" s="15" t="n">
        <v>27.58</v>
      </c>
      <c r="AL1300" s="15" t="n">
        <v>68.86</v>
      </c>
      <c r="AM1300" s="34" t="n">
        <v>46182</v>
      </c>
      <c r="AN1300" s="15" t="n">
        <v>691</v>
      </c>
      <c r="AO1300" s="15" t="n">
        <v>399.5</v>
      </c>
      <c r="AP1300" s="34" t="n">
        <v>46182</v>
      </c>
      <c r="AQ1300" s="15" t="n">
        <v>52.9</v>
      </c>
      <c r="AR1300" s="15" t="n">
        <v>46.38</v>
      </c>
      <c r="AS1300" s="34" t="n">
        <v>46182</v>
      </c>
      <c r="AT1300" s="15" t="n">
        <v>15.2</v>
      </c>
      <c r="AU1300" s="15" t="n">
        <v>20.66</v>
      </c>
      <c r="AV1300" s="34" t="n">
        <v>46182</v>
      </c>
      <c r="AW1300" s="15" t="n">
        <v>31.76</v>
      </c>
      <c r="AX1300" s="15" t="n">
        <v>34.89</v>
      </c>
      <c r="AY1300" s="34" t="n">
        <v>46182</v>
      </c>
      <c r="AZ1300" s="15" t="n">
        <v>30.3</v>
      </c>
      <c r="BA1300" s="15" t="n">
        <v>47.49</v>
      </c>
      <c r="BB1300" s="34" t="n">
        <v>46182</v>
      </c>
      <c r="BC1300" s="15" t="n">
        <v>73.09999999999999</v>
      </c>
      <c r="BD1300" s="15" t="n">
        <v>89.01000000000001</v>
      </c>
      <c r="BE1300" s="34" t="n">
        <v>46182</v>
      </c>
      <c r="BF1300" s="15" t="n">
        <v>133.5</v>
      </c>
      <c r="BG1300" s="15" t="n">
        <v>209.21</v>
      </c>
      <c r="BH1300" s="34" t="n">
        <v>46182</v>
      </c>
      <c r="BI1300" s="15" t="n">
        <v>25.2</v>
      </c>
      <c r="BJ1300" s="15" t="n">
        <v>44.78</v>
      </c>
      <c r="BK1300" s="34" t="n">
        <v>46182</v>
      </c>
      <c r="BL1300" s="15" t="n">
        <v>97.59999999999999</v>
      </c>
      <c r="BM1300" s="15" t="n">
        <v>137.06</v>
      </c>
      <c r="BN1300" s="34" t="n">
        <v>46182</v>
      </c>
      <c r="BO1300" s="15" t="n">
        <v>9.77</v>
      </c>
      <c r="BP1300" s="15" t="n">
        <v>21.58</v>
      </c>
      <c r="BQ1300" s="34" t="n">
        <v>46182</v>
      </c>
      <c r="BR1300" s="15" t="n">
        <v>21.8</v>
      </c>
      <c r="BS1300" s="15" t="n">
        <v>19.92</v>
      </c>
      <c r="BT1300" s="34" t="n">
        <v>46182</v>
      </c>
      <c r="BU1300" s="15" t="n">
        <v>131.1</v>
      </c>
      <c r="BV1300" s="15" t="n">
        <v>180.97</v>
      </c>
      <c r="BW1300" s="34" t="n">
        <v>46182</v>
      </c>
      <c r="BX1300" s="15" t="n">
        <v>59.9</v>
      </c>
      <c r="BY1300" s="15" t="n">
        <v>71.70999999999999</v>
      </c>
      <c r="BZ1300" s="34" t="n">
        <v>46182</v>
      </c>
      <c r="CA1300" s="15" t="n">
        <v>15.99</v>
      </c>
      <c r="CB1300" s="15" t="n">
        <v>25.81</v>
      </c>
      <c r="CC1300" s="34" t="n">
        <v>46182</v>
      </c>
      <c r="CD1300" s="15" t="n">
        <v>30.56</v>
      </c>
      <c r="CE1300" s="15" t="n">
        <v>47.08</v>
      </c>
      <c r="CF1300" s="34" t="n">
        <v>46182</v>
      </c>
      <c r="CG1300" s="15" t="n">
        <v>182.7</v>
      </c>
      <c r="CH1300" s="15" t="n">
        <v>241.12</v>
      </c>
      <c r="CI1300" s="34" t="n">
        <v>46182</v>
      </c>
      <c r="CJ1300" s="15" t="n">
        <v>8.619999999999999</v>
      </c>
      <c r="CK1300" s="15" t="n">
        <v>18</v>
      </c>
      <c r="CL1300" s="34" t="n">
        <v>46182</v>
      </c>
      <c r="CM1300" s="15" t="n">
        <v>78.15000000000001</v>
      </c>
      <c r="CN1300" s="15" t="n">
        <v>93.31999999999999</v>
      </c>
      <c r="CO1300" s="34" t="n">
        <v>46182</v>
      </c>
      <c r="CP1300" s="15" t="n">
        <v>707</v>
      </c>
      <c r="CQ1300" s="15" t="n">
        <v>500.5</v>
      </c>
      <c r="CR1300" s="34" t="n">
        <v>46182</v>
      </c>
      <c r="CS1300" s="15" t="n">
        <v>25.32</v>
      </c>
      <c r="CT1300" s="15" t="n">
        <v>36.5</v>
      </c>
      <c r="CU1300" s="34" t="n">
        <v>46182</v>
      </c>
      <c r="CV1300" s="15" t="n">
        <v>128.8</v>
      </c>
      <c r="CW1300" s="15" t="n">
        <v>133.2</v>
      </c>
      <c r="CX1300" s="34" t="n">
        <v>46182</v>
      </c>
      <c r="CY1300" s="15" t="n">
        <v>55.7</v>
      </c>
      <c r="CZ1300" s="15" t="n">
        <v>63.16</v>
      </c>
      <c r="DA1300" s="34" t="n">
        <v>46182</v>
      </c>
      <c r="DB1300" s="15" t="n">
        <v>162.6</v>
      </c>
      <c r="DC1300" s="15" t="n">
        <v>288.68</v>
      </c>
      <c r="DD1300" s="34" t="n">
        <v>46182</v>
      </c>
      <c r="DE1300" s="15" t="n">
        <v>31.96</v>
      </c>
      <c r="DF1300" s="15" t="n">
        <v>34.23</v>
      </c>
      <c r="DG1300" s="34" t="n">
        <v>46182</v>
      </c>
      <c r="DH1300" s="15" t="n">
        <v>360.4</v>
      </c>
      <c r="DI1300" s="15" t="n">
        <v>236.4</v>
      </c>
      <c r="DJ1300" s="34" t="n">
        <v>46182</v>
      </c>
      <c r="DK1300" s="15" t="n">
        <v>42.68</v>
      </c>
      <c r="DL1300" s="15" t="n">
        <v>44.96</v>
      </c>
      <c r="DM1300" s="34" t="n">
        <v>46182</v>
      </c>
      <c r="DN1300" s="15" t="n">
        <v>13.05</v>
      </c>
      <c r="DO1300" s="15" t="n">
        <v>19.48</v>
      </c>
      <c r="DP1300" s="34" t="n">
        <v>46182</v>
      </c>
      <c r="DQ1300" s="15" t="n">
        <v>21.06</v>
      </c>
      <c r="DR1300" s="15" t="n">
        <v>37.53</v>
      </c>
      <c r="DS1300" s="34" t="n">
        <v>46182</v>
      </c>
      <c r="DT1300" s="15" t="n">
        <v>68.45</v>
      </c>
      <c r="DU1300" s="15" t="n">
        <v>106.87</v>
      </c>
      <c r="DV1300" s="34" t="n">
        <v>46182</v>
      </c>
      <c r="DW1300" s="15" t="n">
        <v>23.06</v>
      </c>
      <c r="DX1300" s="15" t="n">
        <v>44.3</v>
      </c>
      <c r="DY1300" s="34" t="n">
        <v>46182</v>
      </c>
      <c r="DZ1300" s="15" t="n">
        <v>184.8</v>
      </c>
      <c r="EA1300" s="15" t="n">
        <v>189.25</v>
      </c>
      <c r="EB1300" s="34" t="n">
        <v>46182</v>
      </c>
      <c r="EC1300" s="15" t="n">
        <v>11.58</v>
      </c>
      <c r="ED1300" s="15" t="n">
        <v>22.77</v>
      </c>
      <c r="EE1300" s="34" t="n">
        <v>46182</v>
      </c>
      <c r="EF1300" s="15" t="n">
        <v>380.8</v>
      </c>
      <c r="EG1300" s="15" t="n">
        <v>342.55</v>
      </c>
      <c r="EH1300" s="34" t="n">
        <v>46182</v>
      </c>
      <c r="EI1300" s="15" t="n">
        <v>82</v>
      </c>
      <c r="EJ1300" s="15" t="n">
        <v>102.51</v>
      </c>
      <c r="EK1300" s="34" t="n">
        <v>46182</v>
      </c>
      <c r="EL1300" s="15" t="n">
        <v>22.32</v>
      </c>
      <c r="EM1300" s="15" t="n">
        <v>26.43</v>
      </c>
      <c r="EN1300" s="34" t="n">
        <v>46182</v>
      </c>
      <c r="EO1300" s="15" t="n">
        <v>31.08</v>
      </c>
      <c r="EP1300" s="15" t="n">
        <v>45.17</v>
      </c>
      <c r="EQ1300" s="34" t="n">
        <v>46182</v>
      </c>
      <c r="ER1300" s="15" t="n">
        <v>63.4</v>
      </c>
      <c r="ES1300" s="15" t="n">
        <v>61.37</v>
      </c>
      <c r="ET1300" s="34" t="n">
        <v>46182</v>
      </c>
    </row>
    <row r="1301">
      <c r="A1301" s="34" t="n">
        <v>46183</v>
      </c>
      <c r="B1301" s="266" t="n">
        <v>1.157112002372742</v>
      </c>
      <c r="C1301" s="34" t="n">
        <v>46183</v>
      </c>
      <c r="D1301" s="15" t="n">
        <v>16.5</v>
      </c>
      <c r="E1301" s="15" t="n">
        <v>31.91</v>
      </c>
      <c r="F1301" s="34" t="n">
        <v>46183</v>
      </c>
      <c r="G1301" s="15" t="n">
        <v>90.5</v>
      </c>
      <c r="H1301" s="15" t="n">
        <v>113.4</v>
      </c>
      <c r="I1301" s="34" t="n">
        <v>46183</v>
      </c>
      <c r="J1301" s="15" t="n">
        <v>17.74</v>
      </c>
      <c r="K1301" s="15" t="n">
        <v>29.41</v>
      </c>
      <c r="L1301" s="34" t="n">
        <v>46183</v>
      </c>
      <c r="M1301" s="15" t="n">
        <v>43.76</v>
      </c>
      <c r="N1301" s="15" t="n">
        <v>59.48</v>
      </c>
      <c r="O1301" s="34" t="n">
        <v>46183</v>
      </c>
      <c r="P1301" s="15" t="n">
        <v>55</v>
      </c>
      <c r="Q1301" s="15" t="n">
        <v>58.05</v>
      </c>
      <c r="R1301" s="34" t="n">
        <v>46183</v>
      </c>
      <c r="S1301" s="15" t="n">
        <v>39.88</v>
      </c>
      <c r="T1301" s="15" t="n">
        <v>91.47</v>
      </c>
      <c r="U1301" s="34" t="n">
        <v>46183</v>
      </c>
      <c r="V1301" s="15" t="n">
        <v>14.16</v>
      </c>
      <c r="W1301" s="15" t="n">
        <v>19.8</v>
      </c>
      <c r="X1301" s="34" t="n">
        <v>46183</v>
      </c>
      <c r="Y1301" s="15" t="n">
        <v>90.65000000000001</v>
      </c>
      <c r="Z1301" s="15" t="n">
        <v>83.90000000000001</v>
      </c>
      <c r="AA1301" s="34" t="n">
        <v>46183</v>
      </c>
      <c r="AB1301" s="15" t="n">
        <v>12.15</v>
      </c>
      <c r="AC1301" s="15" t="n">
        <v>23.18</v>
      </c>
      <c r="AD1301" s="34" t="n">
        <v>46183</v>
      </c>
      <c r="AE1301" s="15" t="n">
        <v>31.66</v>
      </c>
      <c r="AF1301" s="15" t="n">
        <v>34.83</v>
      </c>
      <c r="AG1301" s="34" t="n">
        <v>46183</v>
      </c>
      <c r="AH1301" s="15" t="n">
        <v>24.96</v>
      </c>
      <c r="AI1301" s="15" t="n">
        <v>28.17</v>
      </c>
      <c r="AJ1301" s="34" t="n">
        <v>46183</v>
      </c>
      <c r="AK1301" s="15" t="n">
        <v>26.22</v>
      </c>
      <c r="AL1301" s="15" t="n">
        <v>64.79000000000001</v>
      </c>
      <c r="AM1301" s="34" t="n">
        <v>46183</v>
      </c>
      <c r="AN1301" s="15" t="n">
        <v>653.5</v>
      </c>
      <c r="AO1301" s="15" t="n">
        <v>388.5</v>
      </c>
      <c r="AP1301" s="34" t="n">
        <v>46183</v>
      </c>
      <c r="AQ1301" s="15" t="n">
        <v>53.85</v>
      </c>
      <c r="AR1301" s="15" t="n">
        <v>47.01</v>
      </c>
      <c r="AS1301" s="34" t="n">
        <v>46183</v>
      </c>
      <c r="AT1301" s="15" t="n">
        <v>14.38</v>
      </c>
      <c r="AU1301" s="15" t="n">
        <v>20.94</v>
      </c>
      <c r="AV1301" s="34" t="n">
        <v>46183</v>
      </c>
      <c r="AW1301" s="15" t="n">
        <v>31.62</v>
      </c>
      <c r="AX1301" s="15" t="n">
        <v>35.1</v>
      </c>
      <c r="AY1301" s="34" t="n">
        <v>46183</v>
      </c>
      <c r="AZ1301" s="15" t="n">
        <v>29.28</v>
      </c>
      <c r="BA1301" s="15" t="n">
        <v>45.36</v>
      </c>
      <c r="BB1301" s="34" t="n">
        <v>46183</v>
      </c>
      <c r="BC1301" s="15" t="n">
        <v>73.5</v>
      </c>
      <c r="BD1301" s="15" t="n">
        <v>89.91</v>
      </c>
      <c r="BE1301" s="34" t="n">
        <v>46183</v>
      </c>
      <c r="BF1301" s="15" t="n">
        <v>124.3</v>
      </c>
      <c r="BG1301" s="15" t="n">
        <v>203.79</v>
      </c>
      <c r="BH1301" s="34" t="n">
        <v>46183</v>
      </c>
      <c r="BI1301" s="15" t="n">
        <v>23.82</v>
      </c>
      <c r="BJ1301" s="15" t="n">
        <v>42.11</v>
      </c>
      <c r="BK1301" s="34" t="n">
        <v>46183</v>
      </c>
      <c r="BL1301" s="15" t="n">
        <v>80.90000000000001</v>
      </c>
      <c r="BM1301" s="15" t="n">
        <v>125.1</v>
      </c>
      <c r="BN1301" s="34" t="n">
        <v>46183</v>
      </c>
      <c r="BO1301" s="15" t="n">
        <v>9.27</v>
      </c>
      <c r="BP1301" s="15" t="n">
        <v>20.49</v>
      </c>
      <c r="BQ1301" s="34" t="n">
        <v>46183</v>
      </c>
      <c r="BR1301" s="15" t="n">
        <v>20.9</v>
      </c>
      <c r="BS1301" s="15" t="n">
        <v>18.85</v>
      </c>
      <c r="BT1301" s="34" t="n">
        <v>46183</v>
      </c>
      <c r="BU1301" s="15" t="n">
        <v>121.5</v>
      </c>
      <c r="BV1301" s="15" t="n">
        <v>175.99</v>
      </c>
      <c r="BW1301" s="34" t="n">
        <v>46183</v>
      </c>
      <c r="BX1301" s="15" t="n">
        <v>58.8</v>
      </c>
      <c r="BY1301" s="15" t="n">
        <v>68.88</v>
      </c>
      <c r="BZ1301" s="34" t="n">
        <v>46183</v>
      </c>
      <c r="CA1301" s="15" t="n">
        <v>15.22</v>
      </c>
      <c r="CB1301" s="15" t="n">
        <v>24.2</v>
      </c>
      <c r="CC1301" s="34" t="n">
        <v>46183</v>
      </c>
      <c r="CD1301" s="15" t="n">
        <v>29.52</v>
      </c>
      <c r="CE1301" s="15" t="n">
        <v>45.84</v>
      </c>
      <c r="CF1301" s="34" t="n">
        <v>46183</v>
      </c>
      <c r="CG1301" s="15" t="n">
        <v>181.7</v>
      </c>
      <c r="CH1301" s="15" t="n">
        <v>240</v>
      </c>
      <c r="CI1301" s="34" t="n">
        <v>46183</v>
      </c>
      <c r="CJ1301" s="15" t="n">
        <v>8.74</v>
      </c>
      <c r="CK1301" s="15" t="n">
        <v>18.19</v>
      </c>
      <c r="CL1301" s="34" t="n">
        <v>46183</v>
      </c>
      <c r="CM1301" s="15" t="n">
        <v>75.90000000000001</v>
      </c>
      <c r="CN1301" s="15" t="n">
        <v>90.18000000000001</v>
      </c>
      <c r="CO1301" s="34" t="n">
        <v>46183</v>
      </c>
      <c r="CP1301" s="15" t="n">
        <v>654</v>
      </c>
      <c r="CQ1301" s="15" t="n">
        <v>480.84</v>
      </c>
      <c r="CR1301" s="34" t="n">
        <v>46183</v>
      </c>
      <c r="CS1301" s="15" t="n">
        <v>24.9</v>
      </c>
      <c r="CT1301" s="15" t="n">
        <v>34.97</v>
      </c>
      <c r="CU1301" s="34" t="n">
        <v>46183</v>
      </c>
      <c r="CV1301" s="15" t="n">
        <v>128.6</v>
      </c>
      <c r="CW1301" s="15" t="n">
        <v>131.88</v>
      </c>
      <c r="CX1301" s="34" t="n">
        <v>46183</v>
      </c>
      <c r="CY1301" s="15" t="n">
        <v>61.5</v>
      </c>
      <c r="CZ1301" s="15" t="n">
        <v>65.43000000000001</v>
      </c>
      <c r="DA1301" s="34" t="n">
        <v>46183</v>
      </c>
      <c r="DB1301" s="15" t="n">
        <v>155.8</v>
      </c>
      <c r="DC1301" s="15" t="n">
        <v>270.81</v>
      </c>
      <c r="DD1301" s="34" t="n">
        <v>46183</v>
      </c>
      <c r="DE1301" s="15" t="n">
        <v>32.22</v>
      </c>
      <c r="DF1301" s="15" t="n">
        <v>34.43</v>
      </c>
      <c r="DG1301" s="34" t="n">
        <v>46183</v>
      </c>
      <c r="DH1301" s="15" t="n">
        <v>345.2</v>
      </c>
      <c r="DI1301" s="15" t="n">
        <v>231</v>
      </c>
      <c r="DJ1301" s="34" t="n">
        <v>46183</v>
      </c>
      <c r="DK1301" s="15" t="n">
        <v>40.16</v>
      </c>
      <c r="DL1301" s="15" t="n">
        <v>42.8</v>
      </c>
      <c r="DM1301" s="34" t="n">
        <v>46183</v>
      </c>
      <c r="DN1301" s="15" t="n">
        <v>12.78</v>
      </c>
      <c r="DO1301" s="15" t="n">
        <v>19.35</v>
      </c>
      <c r="DP1301" s="34" t="n">
        <v>46183</v>
      </c>
      <c r="DQ1301" s="15" t="n">
        <v>17.65</v>
      </c>
      <c r="DR1301" s="15" t="n">
        <v>35.8</v>
      </c>
      <c r="DS1301" s="34" t="n">
        <v>46183</v>
      </c>
      <c r="DT1301" s="15" t="n">
        <v>63.6</v>
      </c>
      <c r="DU1301" s="15" t="n">
        <v>101.5</v>
      </c>
      <c r="DV1301" s="34" t="n">
        <v>46183</v>
      </c>
      <c r="DW1301" s="15" t="n">
        <v>22.16</v>
      </c>
      <c r="DX1301" s="15" t="n">
        <v>43.66</v>
      </c>
      <c r="DY1301" s="34" t="n">
        <v>46183</v>
      </c>
      <c r="DZ1301" s="15" t="n">
        <v>167</v>
      </c>
      <c r="EA1301" s="15" t="n">
        <v>181.4</v>
      </c>
      <c r="EB1301" s="34" t="n">
        <v>46183</v>
      </c>
      <c r="EC1301" s="15" t="n">
        <v>11.23</v>
      </c>
      <c r="ED1301" s="15" t="n">
        <v>21.71</v>
      </c>
      <c r="EE1301" s="34" t="n">
        <v>46183</v>
      </c>
      <c r="EF1301" s="15" t="n">
        <v>359</v>
      </c>
      <c r="EG1301" s="15" t="n">
        <v>330.26</v>
      </c>
      <c r="EH1301" s="34" t="n">
        <v>46183</v>
      </c>
      <c r="EI1301" s="15" t="n">
        <v>81</v>
      </c>
      <c r="EJ1301" s="15" t="n">
        <v>103.17</v>
      </c>
      <c r="EK1301" s="34" t="n">
        <v>46183</v>
      </c>
      <c r="EL1301" s="15" t="n">
        <v>24.5</v>
      </c>
      <c r="EM1301" s="15" t="n">
        <v>27.27</v>
      </c>
      <c r="EN1301" s="34" t="n">
        <v>46183</v>
      </c>
      <c r="EO1301" s="15" t="n">
        <v>31.58</v>
      </c>
      <c r="EP1301" s="15" t="n">
        <v>44.85</v>
      </c>
      <c r="EQ1301" s="34" t="n">
        <v>46183</v>
      </c>
      <c r="ER1301" s="15" t="n">
        <v>62.6</v>
      </c>
      <c r="ES1301" s="15" t="n">
        <v>59.64</v>
      </c>
      <c r="ET1301" s="34" t="n">
        <v>46183</v>
      </c>
    </row>
    <row r="1302">
      <c r="A1302" s="34" t="n">
        <v>46184</v>
      </c>
      <c r="B1302" s="266" t="n">
        <v>1.156929016113281</v>
      </c>
      <c r="C1302" s="34" t="n">
        <v>46184</v>
      </c>
      <c r="D1302" s="15" t="n">
        <v>16.07</v>
      </c>
      <c r="E1302" s="15" t="n">
        <v>31.39</v>
      </c>
      <c r="F1302" s="34" t="n">
        <v>46184</v>
      </c>
      <c r="G1302" s="15" t="n">
        <v>90.75</v>
      </c>
      <c r="H1302" s="15" t="n">
        <v>113.61</v>
      </c>
      <c r="I1302" s="34" t="n">
        <v>46184</v>
      </c>
      <c r="J1302" s="15" t="n">
        <v>17.5</v>
      </c>
      <c r="K1302" s="15" t="n">
        <v>29.24</v>
      </c>
      <c r="L1302" s="34" t="n">
        <v>46184</v>
      </c>
      <c r="M1302" s="15" t="n">
        <v>44.72</v>
      </c>
      <c r="N1302" s="15" t="n">
        <v>61</v>
      </c>
      <c r="O1302" s="34" t="n">
        <v>46184</v>
      </c>
      <c r="P1302" s="15" t="n">
        <v>54.3</v>
      </c>
      <c r="Q1302" s="15" t="n">
        <v>57.01</v>
      </c>
      <c r="R1302" s="34" t="n">
        <v>46184</v>
      </c>
      <c r="S1302" s="15" t="n">
        <v>38.5</v>
      </c>
      <c r="T1302" s="15" t="n">
        <v>87.40000000000001</v>
      </c>
      <c r="U1302" s="34" t="n">
        <v>46184</v>
      </c>
      <c r="V1302" s="15" t="n">
        <v>13.49</v>
      </c>
      <c r="W1302" s="15" t="n">
        <v>19.26</v>
      </c>
      <c r="X1302" s="34" t="n">
        <v>46184</v>
      </c>
      <c r="Y1302" s="15" t="n">
        <v>90.59999999999999</v>
      </c>
      <c r="Z1302" s="15" t="n">
        <v>85.34999999999999</v>
      </c>
      <c r="AA1302" s="34" t="n">
        <v>46184</v>
      </c>
      <c r="AB1302" s="15" t="n">
        <v>12.55</v>
      </c>
      <c r="AC1302" s="15" t="n">
        <v>23.38</v>
      </c>
      <c r="AD1302" s="34" t="n">
        <v>46184</v>
      </c>
      <c r="AE1302" s="15" t="n">
        <v>30.86</v>
      </c>
      <c r="AF1302" s="15" t="n">
        <v>34.33</v>
      </c>
      <c r="AG1302" s="34" t="n">
        <v>46184</v>
      </c>
      <c r="AH1302" s="15" t="n">
        <v>25.02</v>
      </c>
      <c r="AI1302" s="15" t="n">
        <v>28.26</v>
      </c>
      <c r="AJ1302" s="34" t="n">
        <v>46184</v>
      </c>
      <c r="AK1302" s="15" t="n">
        <v>26.74</v>
      </c>
      <c r="AL1302" s="15" t="n">
        <v>63.88</v>
      </c>
      <c r="AM1302" s="34" t="n">
        <v>46184</v>
      </c>
      <c r="AN1302" s="15" t="n">
        <v>662</v>
      </c>
      <c r="AO1302" s="15" t="n">
        <v>382.2</v>
      </c>
      <c r="AP1302" s="34" t="n">
        <v>46184</v>
      </c>
      <c r="AQ1302" s="15" t="n">
        <v>52.55</v>
      </c>
      <c r="AR1302" s="15" t="n">
        <v>46.98</v>
      </c>
      <c r="AS1302" s="34" t="n">
        <v>46184</v>
      </c>
      <c r="AT1302" s="15" t="n">
        <v>14.42</v>
      </c>
      <c r="AU1302" s="15" t="n">
        <v>21.07</v>
      </c>
      <c r="AV1302" s="34" t="n">
        <v>46184</v>
      </c>
      <c r="AW1302" s="15" t="n">
        <v>31.9</v>
      </c>
      <c r="AX1302" s="15" t="n">
        <v>35.17</v>
      </c>
      <c r="AY1302" s="34" t="n">
        <v>46184</v>
      </c>
      <c r="AZ1302" s="15" t="n">
        <v>28.74</v>
      </c>
      <c r="BA1302" s="15" t="n">
        <v>45.69</v>
      </c>
      <c r="BB1302" s="34" t="n">
        <v>46184</v>
      </c>
      <c r="BC1302" s="15" t="n">
        <v>73.25</v>
      </c>
      <c r="BD1302" s="15" t="n">
        <v>88.5</v>
      </c>
      <c r="BE1302" s="34" t="n">
        <v>46184</v>
      </c>
      <c r="BF1302" s="15" t="n">
        <v>121.7</v>
      </c>
      <c r="BG1302" s="15" t="n">
        <v>207.1</v>
      </c>
      <c r="BH1302" s="34" t="n">
        <v>46184</v>
      </c>
      <c r="BI1302" s="15" t="n">
        <v>24.3</v>
      </c>
      <c r="BJ1302" s="15" t="n">
        <v>42.68</v>
      </c>
      <c r="BK1302" s="34" t="n">
        <v>46184</v>
      </c>
      <c r="BL1302" s="15" t="n">
        <v>86.15000000000001</v>
      </c>
      <c r="BM1302" s="15" t="n">
        <v>125.93</v>
      </c>
      <c r="BN1302" s="34" t="n">
        <v>46184</v>
      </c>
      <c r="BO1302" s="15" t="n">
        <v>9.050000000000001</v>
      </c>
      <c r="BP1302" s="15" t="n">
        <v>19.4</v>
      </c>
      <c r="BQ1302" s="34" t="n">
        <v>46184</v>
      </c>
      <c r="BR1302" s="15" t="n">
        <v>20</v>
      </c>
      <c r="BS1302" s="15" t="n">
        <v>18.22</v>
      </c>
      <c r="BT1302" s="34" t="n">
        <v>46184</v>
      </c>
      <c r="BU1302" s="15" t="n">
        <v>117.9</v>
      </c>
      <c r="BV1302" s="15" t="n">
        <v>171.08</v>
      </c>
      <c r="BW1302" s="34" t="n">
        <v>46184</v>
      </c>
      <c r="BX1302" s="15" t="n">
        <v>57</v>
      </c>
      <c r="BY1302" s="15" t="n">
        <v>67.70999999999999</v>
      </c>
      <c r="BZ1302" s="34" t="n">
        <v>46184</v>
      </c>
      <c r="CA1302" s="15" t="n">
        <v>15.07</v>
      </c>
      <c r="CB1302" s="15" t="n">
        <v>23.53</v>
      </c>
      <c r="CC1302" s="34" t="n">
        <v>46184</v>
      </c>
      <c r="CD1302" s="15" t="n">
        <v>29.3</v>
      </c>
      <c r="CE1302" s="15" t="n">
        <v>45.65</v>
      </c>
      <c r="CF1302" s="34" t="n">
        <v>46184</v>
      </c>
      <c r="CG1302" s="15" t="n">
        <v>179.1</v>
      </c>
      <c r="CH1302" s="15" t="n">
        <v>237.32</v>
      </c>
      <c r="CI1302" s="34" t="n">
        <v>46184</v>
      </c>
      <c r="CJ1302" s="15" t="n">
        <v>8.65</v>
      </c>
      <c r="CK1302" s="15" t="n">
        <v>18.07</v>
      </c>
      <c r="CL1302" s="34" t="n">
        <v>46184</v>
      </c>
      <c r="CM1302" s="15" t="n">
        <v>73.59999999999999</v>
      </c>
      <c r="CN1302" s="15" t="n">
        <v>85.17</v>
      </c>
      <c r="CO1302" s="34" t="n">
        <v>46184</v>
      </c>
      <c r="CP1302" s="15" t="n">
        <v>687</v>
      </c>
      <c r="CQ1302" s="15" t="n">
        <v>483.5</v>
      </c>
      <c r="CR1302" s="34" t="n">
        <v>46184</v>
      </c>
      <c r="CS1302" s="15" t="n">
        <v>25.3</v>
      </c>
      <c r="CT1302" s="15" t="n">
        <v>35.39</v>
      </c>
      <c r="CU1302" s="34" t="n">
        <v>46184</v>
      </c>
      <c r="CV1302" s="15" t="n">
        <v>131.6</v>
      </c>
      <c r="CW1302" s="15" t="n">
        <v>133.12</v>
      </c>
      <c r="CX1302" s="34" t="n">
        <v>46184</v>
      </c>
      <c r="CY1302" s="15" t="n">
        <v>70.05</v>
      </c>
      <c r="CZ1302" s="15" t="n">
        <v>66.98999999999999</v>
      </c>
      <c r="DA1302" s="34" t="n">
        <v>46184</v>
      </c>
      <c r="DB1302" s="15" t="n">
        <v>151.5</v>
      </c>
      <c r="DC1302" s="15" t="n">
        <v>263.09</v>
      </c>
      <c r="DD1302" s="34" t="n">
        <v>46184</v>
      </c>
      <c r="DE1302" s="15" t="n">
        <v>31.68</v>
      </c>
      <c r="DF1302" s="15" t="n">
        <v>34.16</v>
      </c>
      <c r="DG1302" s="34" t="n">
        <v>46184</v>
      </c>
      <c r="DH1302" s="15" t="n">
        <v>365</v>
      </c>
      <c r="DI1302" s="15" t="n">
        <v>228.7</v>
      </c>
      <c r="DJ1302" s="34" t="n">
        <v>46184</v>
      </c>
      <c r="DK1302" s="15" t="n">
        <v>39.38</v>
      </c>
      <c r="DL1302" s="15" t="n">
        <v>41.77</v>
      </c>
      <c r="DM1302" s="34" t="n">
        <v>46184</v>
      </c>
      <c r="DN1302" s="15" t="n">
        <v>12.58</v>
      </c>
      <c r="DO1302" s="15" t="n">
        <v>18.66</v>
      </c>
      <c r="DP1302" s="34" t="n">
        <v>46184</v>
      </c>
      <c r="DQ1302" s="15" t="n">
        <v>16.63</v>
      </c>
      <c r="DR1302" s="15" t="n">
        <v>33.35</v>
      </c>
      <c r="DS1302" s="34" t="n">
        <v>46184</v>
      </c>
      <c r="DT1302" s="15" t="n">
        <v>61.95</v>
      </c>
      <c r="DU1302" s="15" t="n">
        <v>97.61</v>
      </c>
      <c r="DV1302" s="34" t="n">
        <v>46184</v>
      </c>
      <c r="DW1302" s="15" t="n">
        <v>21.02</v>
      </c>
      <c r="DX1302" s="15" t="n">
        <v>41.03</v>
      </c>
      <c r="DY1302" s="34" t="n">
        <v>46184</v>
      </c>
      <c r="DZ1302" s="15" t="n">
        <v>164.5</v>
      </c>
      <c r="EA1302" s="15" t="n">
        <v>176.72</v>
      </c>
      <c r="EB1302" s="34" t="n">
        <v>46184</v>
      </c>
      <c r="EC1302" s="15" t="n">
        <v>11.54</v>
      </c>
      <c r="ED1302" s="15" t="n">
        <v>22.56</v>
      </c>
      <c r="EE1302" s="34" t="n">
        <v>46184</v>
      </c>
      <c r="EF1302" s="15" t="n">
        <v>378.8</v>
      </c>
      <c r="EG1302" s="15" t="n">
        <v>325.48</v>
      </c>
      <c r="EH1302" s="34" t="n">
        <v>46184</v>
      </c>
      <c r="EI1302" s="15" t="n">
        <v>79.95</v>
      </c>
      <c r="EJ1302" s="15" t="n">
        <v>104.78</v>
      </c>
      <c r="EK1302" s="34" t="n">
        <v>46184</v>
      </c>
      <c r="EL1302" s="15" t="n">
        <v>25.56</v>
      </c>
      <c r="EM1302" s="15" t="n">
        <v>27.23</v>
      </c>
      <c r="EN1302" s="34" t="n">
        <v>46184</v>
      </c>
      <c r="EO1302" s="15" t="n">
        <v>30.06</v>
      </c>
      <c r="EP1302" s="15" t="n">
        <v>43.67</v>
      </c>
      <c r="EQ1302" s="34" t="n">
        <v>46184</v>
      </c>
      <c r="ER1302" s="15" t="n">
        <v>59.9</v>
      </c>
      <c r="ES1302" s="15" t="n">
        <v>58.48</v>
      </c>
      <c r="ET1302" s="34" t="n">
        <v>46184</v>
      </c>
    </row>
    <row r="1303">
      <c r="A1303" s="34" t="n">
        <v>46185</v>
      </c>
      <c r="B1303" s="266" t="n">
        <v>1.156345963478088</v>
      </c>
      <c r="C1303" s="34" t="n">
        <v>46185</v>
      </c>
      <c r="D1303" s="15" t="n">
        <v>16.42</v>
      </c>
      <c r="E1303" s="15" t="n">
        <v>32.52</v>
      </c>
      <c r="F1303" s="34" t="n">
        <v>46185</v>
      </c>
      <c r="G1303" s="15" t="n">
        <v>92.75</v>
      </c>
      <c r="H1303" s="15" t="n">
        <v>117.01</v>
      </c>
      <c r="I1303" s="34" t="n">
        <v>46185</v>
      </c>
      <c r="J1303" s="15" t="n">
        <v>18.38</v>
      </c>
      <c r="K1303" s="15" t="n">
        <v>30.19</v>
      </c>
      <c r="L1303" s="34" t="n">
        <v>46185</v>
      </c>
      <c r="M1303" s="15" t="n">
        <v>47.5</v>
      </c>
      <c r="N1303" s="15" t="n">
        <v>62.5</v>
      </c>
      <c r="O1303" s="34" t="n">
        <v>46185</v>
      </c>
      <c r="P1303" s="15" t="n">
        <v>55.85</v>
      </c>
      <c r="Q1303" s="15" t="n">
        <v>58.49</v>
      </c>
      <c r="R1303" s="34" t="n">
        <v>46185</v>
      </c>
      <c r="S1303" s="15" t="n">
        <v>38.54</v>
      </c>
      <c r="T1303" s="15" t="n">
        <v>89.09999999999999</v>
      </c>
      <c r="U1303" s="34" t="n">
        <v>46185</v>
      </c>
      <c r="V1303" s="15" t="n">
        <v>13.93</v>
      </c>
      <c r="W1303" s="15" t="n">
        <v>19.79</v>
      </c>
      <c r="X1303" s="34" t="n">
        <v>46185</v>
      </c>
      <c r="Y1303" s="15" t="n">
        <v>91.55</v>
      </c>
      <c r="Z1303" s="15" t="n">
        <v>83.23</v>
      </c>
      <c r="AA1303" s="34" t="n">
        <v>46185</v>
      </c>
      <c r="AB1303" s="15" t="n">
        <v>13.86</v>
      </c>
      <c r="AC1303" s="15" t="n">
        <v>24.32</v>
      </c>
      <c r="AD1303" s="34" t="n">
        <v>46185</v>
      </c>
      <c r="AE1303" s="15" t="n">
        <v>31.08</v>
      </c>
      <c r="AF1303" s="15" t="n">
        <v>34.36</v>
      </c>
      <c r="AG1303" s="34" t="n">
        <v>46185</v>
      </c>
      <c r="AH1303" s="15" t="n">
        <v>27.68</v>
      </c>
      <c r="AI1303" s="15" t="n">
        <v>30.37</v>
      </c>
      <c r="AJ1303" s="34" t="n">
        <v>46185</v>
      </c>
      <c r="AK1303" s="15" t="n">
        <v>26.84</v>
      </c>
      <c r="AL1303" s="15" t="n">
        <v>64.22</v>
      </c>
      <c r="AM1303" s="34" t="n">
        <v>46185</v>
      </c>
      <c r="AN1303" s="15" t="n">
        <v>672.5</v>
      </c>
      <c r="AO1303" s="15" t="n">
        <v>394.85</v>
      </c>
      <c r="AP1303" s="34" t="n">
        <v>46185</v>
      </c>
      <c r="AQ1303" s="15" t="n">
        <v>55.15</v>
      </c>
      <c r="AR1303" s="15" t="n">
        <v>48.49</v>
      </c>
      <c r="AS1303" s="34" t="n">
        <v>46185</v>
      </c>
      <c r="AT1303" s="15" t="n">
        <v>14.98</v>
      </c>
      <c r="AU1303" s="15" t="n">
        <v>21.57</v>
      </c>
      <c r="AV1303" s="34" t="n">
        <v>46185</v>
      </c>
      <c r="AW1303" s="15" t="n">
        <v>31.94</v>
      </c>
      <c r="AX1303" s="15" t="n">
        <v>35.53</v>
      </c>
      <c r="AY1303" s="34" t="n">
        <v>46185</v>
      </c>
      <c r="AZ1303" s="15" t="n">
        <v>28.38</v>
      </c>
      <c r="BA1303" s="15" t="n">
        <v>44.81</v>
      </c>
      <c r="BB1303" s="34" t="n">
        <v>46185</v>
      </c>
      <c r="BC1303" s="15" t="n">
        <v>74.09999999999999</v>
      </c>
      <c r="BD1303" s="15" t="n">
        <v>90.18000000000001</v>
      </c>
      <c r="BE1303" s="34" t="n">
        <v>46185</v>
      </c>
      <c r="BF1303" s="15" t="n">
        <v>124.4</v>
      </c>
      <c r="BG1303" s="15" t="n">
        <v>203.6</v>
      </c>
      <c r="BH1303" s="34" t="n">
        <v>46185</v>
      </c>
      <c r="BI1303" s="15" t="n">
        <v>23.52</v>
      </c>
      <c r="BJ1303" s="15" t="n">
        <v>41.14</v>
      </c>
      <c r="BK1303" s="34" t="n">
        <v>46185</v>
      </c>
      <c r="BL1303" s="15" t="n">
        <v>84.5</v>
      </c>
      <c r="BM1303" s="15" t="n">
        <v>123.7</v>
      </c>
      <c r="BN1303" s="34" t="n">
        <v>46185</v>
      </c>
      <c r="BO1303" s="15" t="n">
        <v>9.119999999999999</v>
      </c>
      <c r="BP1303" s="15" t="n">
        <v>19.69</v>
      </c>
      <c r="BQ1303" s="34" t="n">
        <v>46185</v>
      </c>
      <c r="BR1303" s="15" t="n">
        <v>20.82</v>
      </c>
      <c r="BS1303" s="15" t="n">
        <v>18.91</v>
      </c>
      <c r="BT1303" s="34" t="n">
        <v>46185</v>
      </c>
      <c r="BU1303" s="15" t="n">
        <v>122.4</v>
      </c>
      <c r="BV1303" s="15" t="n">
        <v>182.99</v>
      </c>
      <c r="BW1303" s="34" t="n">
        <v>46185</v>
      </c>
      <c r="BX1303" s="15" t="n">
        <v>58.8</v>
      </c>
      <c r="BY1303" s="15" t="n">
        <v>68.67</v>
      </c>
      <c r="BZ1303" s="34" t="n">
        <v>46185</v>
      </c>
      <c r="CA1303" s="15" t="n">
        <v>15.17</v>
      </c>
      <c r="CB1303" s="15" t="n">
        <v>23.86</v>
      </c>
      <c r="CC1303" s="34" t="n">
        <v>46185</v>
      </c>
      <c r="CD1303" s="15" t="n">
        <v>30.1</v>
      </c>
      <c r="CE1303" s="15" t="n">
        <v>47.59</v>
      </c>
      <c r="CF1303" s="34" t="n">
        <v>46185</v>
      </c>
      <c r="CG1303" s="15" t="n">
        <v>171.3</v>
      </c>
      <c r="CH1303" s="15" t="n">
        <v>235.18</v>
      </c>
      <c r="CI1303" s="34" t="n">
        <v>46185</v>
      </c>
      <c r="CJ1303" s="15" t="n">
        <v>8.6</v>
      </c>
      <c r="CK1303" s="15" t="n">
        <v>19.12</v>
      </c>
      <c r="CL1303" s="34" t="n">
        <v>46185</v>
      </c>
      <c r="CM1303" s="15" t="n">
        <v>73.2</v>
      </c>
      <c r="CN1303" s="15" t="n">
        <v>86.01000000000001</v>
      </c>
      <c r="CO1303" s="34" t="n">
        <v>46185</v>
      </c>
      <c r="CP1303" s="15" t="n">
        <v>653.5</v>
      </c>
      <c r="CQ1303" s="15" t="n">
        <v>481.47</v>
      </c>
      <c r="CR1303" s="34" t="n">
        <v>46185</v>
      </c>
      <c r="CS1303" s="15" t="n">
        <v>24.92</v>
      </c>
      <c r="CT1303" s="15" t="n">
        <v>35.65</v>
      </c>
      <c r="CU1303" s="34" t="n">
        <v>46185</v>
      </c>
      <c r="CV1303" s="15" t="n">
        <v>128.1</v>
      </c>
      <c r="CW1303" s="15" t="n">
        <v>131.84</v>
      </c>
      <c r="CX1303" s="34" t="n">
        <v>46185</v>
      </c>
      <c r="CY1303" s="15" t="n">
        <v>72.59999999999999</v>
      </c>
      <c r="CZ1303" s="15" t="n">
        <v>69.94</v>
      </c>
      <c r="DA1303" s="34" t="n">
        <v>46185</v>
      </c>
      <c r="DB1303" s="15" t="n">
        <v>154.2</v>
      </c>
      <c r="DC1303" s="15" t="n">
        <v>277</v>
      </c>
      <c r="DD1303" s="34" t="n">
        <v>46185</v>
      </c>
      <c r="DE1303" s="15" t="n">
        <v>32.26</v>
      </c>
      <c r="DF1303" s="15" t="n">
        <v>34.86</v>
      </c>
      <c r="DG1303" s="34" t="n">
        <v>46185</v>
      </c>
      <c r="DH1303" s="15" t="n">
        <v>355</v>
      </c>
      <c r="DI1303" s="15" t="n">
        <v>224.88</v>
      </c>
      <c r="DJ1303" s="34" t="n">
        <v>46185</v>
      </c>
      <c r="DK1303" s="15" t="n">
        <v>39.82</v>
      </c>
      <c r="DL1303" s="15" t="n">
        <v>41.19</v>
      </c>
      <c r="DM1303" s="34" t="n">
        <v>46185</v>
      </c>
      <c r="DN1303" s="15" t="n">
        <v>13.2</v>
      </c>
      <c r="DO1303" s="15" t="n">
        <v>19.19</v>
      </c>
      <c r="DP1303" s="34" t="n">
        <v>46185</v>
      </c>
      <c r="DQ1303" s="15" t="n">
        <v>17</v>
      </c>
      <c r="DR1303" s="15" t="n">
        <v>32.22</v>
      </c>
      <c r="DS1303" s="34" t="n">
        <v>46185</v>
      </c>
      <c r="DT1303" s="15" t="n">
        <v>62.8</v>
      </c>
      <c r="DU1303" s="15" t="n">
        <v>97.23</v>
      </c>
      <c r="DV1303" s="34" t="n">
        <v>46185</v>
      </c>
      <c r="DW1303" s="15" t="n">
        <v>20.46</v>
      </c>
      <c r="DX1303" s="15" t="n">
        <v>40.36</v>
      </c>
      <c r="DY1303" s="34" t="n">
        <v>46185</v>
      </c>
      <c r="DZ1303" s="15" t="n">
        <v>162.3</v>
      </c>
      <c r="EA1303" s="15" t="n">
        <v>178.4</v>
      </c>
      <c r="EB1303" s="34" t="n">
        <v>46185</v>
      </c>
      <c r="EC1303" s="15" t="n">
        <v>11.23</v>
      </c>
      <c r="ED1303" s="15" t="n">
        <v>21.47</v>
      </c>
      <c r="EE1303" s="34" t="n">
        <v>46185</v>
      </c>
      <c r="EF1303" s="15" t="n">
        <v>378.8</v>
      </c>
      <c r="EG1303" s="15" t="n">
        <v>327.21</v>
      </c>
      <c r="EH1303" s="34" t="n">
        <v>46185</v>
      </c>
      <c r="EI1303" s="15" t="n">
        <v>78.5</v>
      </c>
      <c r="EJ1303" s="15" t="n">
        <v>102.77</v>
      </c>
      <c r="EK1303" s="34" t="n">
        <v>46185</v>
      </c>
      <c r="EL1303" s="15" t="n">
        <v>25.1</v>
      </c>
      <c r="EM1303" s="15" t="n">
        <v>28.53</v>
      </c>
      <c r="EN1303" s="34" t="n">
        <v>46185</v>
      </c>
      <c r="EO1303" s="15" t="n">
        <v>30.04</v>
      </c>
      <c r="EP1303" s="15" t="n">
        <v>45</v>
      </c>
      <c r="EQ1303" s="34" t="n">
        <v>46185</v>
      </c>
      <c r="ER1303" s="15" t="n">
        <v>63.95</v>
      </c>
      <c r="ES1303" s="15" t="n">
        <v>59.55</v>
      </c>
      <c r="ET1303" s="34" t="n">
        <v>46185</v>
      </c>
    </row>
    <row r="1304">
      <c r="A1304" s="34" t="n">
        <v>46188</v>
      </c>
      <c r="B1304" s="266" t="n">
        <v>1.156880021095276</v>
      </c>
      <c r="C1304" s="34" t="n">
        <v>46188</v>
      </c>
      <c r="D1304" s="15" t="n">
        <v>16.53</v>
      </c>
      <c r="E1304" s="15" t="n">
        <v>32.74</v>
      </c>
      <c r="F1304" s="34" t="n">
        <v>46188</v>
      </c>
      <c r="G1304" s="15" t="n">
        <v>90.7</v>
      </c>
      <c r="H1304" s="15" t="n">
        <v>114.56</v>
      </c>
      <c r="I1304" s="34" t="n">
        <v>46188</v>
      </c>
      <c r="J1304" s="15" t="n">
        <v>18.99</v>
      </c>
      <c r="K1304" s="15" t="n">
        <v>31.41</v>
      </c>
      <c r="L1304" s="34" t="n">
        <v>46188</v>
      </c>
      <c r="M1304" s="15" t="n">
        <v>48.3</v>
      </c>
      <c r="N1304" s="15" t="n">
        <v>63.72</v>
      </c>
      <c r="O1304" s="34" t="n">
        <v>46188</v>
      </c>
      <c r="P1304" s="15" t="n">
        <v>56.75</v>
      </c>
      <c r="Q1304" s="15" t="n">
        <v>59.08</v>
      </c>
      <c r="R1304" s="34" t="n">
        <v>46188</v>
      </c>
      <c r="S1304" s="15" t="n">
        <v>41.1</v>
      </c>
      <c r="T1304" s="15" t="n">
        <v>89.22</v>
      </c>
      <c r="U1304" s="34" t="n">
        <v>46188</v>
      </c>
      <c r="V1304" s="15" t="n">
        <v>13.8</v>
      </c>
      <c r="W1304" s="15" t="n">
        <v>20.15</v>
      </c>
      <c r="X1304" s="34" t="n">
        <v>46188</v>
      </c>
      <c r="Y1304" s="15" t="n">
        <v>90.84999999999999</v>
      </c>
      <c r="Z1304" s="15" t="n">
        <v>80.93000000000001</v>
      </c>
      <c r="AA1304" s="34" t="n">
        <v>46188</v>
      </c>
      <c r="AB1304" s="15" t="n">
        <v>13.82</v>
      </c>
      <c r="AC1304" s="15" t="n">
        <v>24.35</v>
      </c>
      <c r="AD1304" s="34" t="n">
        <v>46188</v>
      </c>
      <c r="AE1304" s="15" t="n">
        <v>30.94</v>
      </c>
      <c r="AF1304" s="15" t="n">
        <v>33.59</v>
      </c>
      <c r="AG1304" s="34" t="n">
        <v>46188</v>
      </c>
      <c r="AH1304" s="15" t="n">
        <v>29.08</v>
      </c>
      <c r="AI1304" s="15" t="n">
        <v>32.63</v>
      </c>
      <c r="AJ1304" s="34" t="n">
        <v>46188</v>
      </c>
      <c r="AK1304" s="15" t="n">
        <v>27.44</v>
      </c>
      <c r="AL1304" s="15" t="n">
        <v>65.17</v>
      </c>
      <c r="AM1304" s="34" t="n">
        <v>46188</v>
      </c>
      <c r="AN1304" s="15" t="n">
        <v>705</v>
      </c>
      <c r="AO1304" s="15" t="n">
        <v>398.1</v>
      </c>
      <c r="AP1304" s="34" t="n">
        <v>46188</v>
      </c>
      <c r="AQ1304" s="15" t="n">
        <v>54.05</v>
      </c>
      <c r="AR1304" s="15" t="n">
        <v>47.88</v>
      </c>
      <c r="AS1304" s="34" t="n">
        <v>46188</v>
      </c>
      <c r="AT1304" s="15" t="n">
        <v>14.81</v>
      </c>
      <c r="AU1304" s="15" t="n">
        <v>22.01</v>
      </c>
      <c r="AV1304" s="34" t="n">
        <v>46188</v>
      </c>
      <c r="AW1304" s="15" t="n">
        <v>31.48</v>
      </c>
      <c r="AX1304" s="15" t="n">
        <v>34.14</v>
      </c>
      <c r="AY1304" s="34" t="n">
        <v>46188</v>
      </c>
      <c r="AZ1304" s="15" t="n">
        <v>29.3</v>
      </c>
      <c r="BA1304" s="15" t="n">
        <v>45.75</v>
      </c>
      <c r="BB1304" s="34" t="n">
        <v>46188</v>
      </c>
      <c r="BC1304" s="15" t="n">
        <v>73.25</v>
      </c>
      <c r="BD1304" s="15" t="n">
        <v>88.84999999999999</v>
      </c>
      <c r="BE1304" s="34" t="n">
        <v>46188</v>
      </c>
      <c r="BF1304" s="15" t="n">
        <v>128</v>
      </c>
      <c r="BG1304" s="15" t="n">
        <v>212.56</v>
      </c>
      <c r="BH1304" s="34" t="n">
        <v>46188</v>
      </c>
      <c r="BI1304" s="15" t="n">
        <v>26.34</v>
      </c>
      <c r="BJ1304" s="15" t="n">
        <v>45.98</v>
      </c>
      <c r="BK1304" s="34" t="n">
        <v>46188</v>
      </c>
      <c r="BL1304" s="15" t="n">
        <v>93.45</v>
      </c>
      <c r="BM1304" s="15" t="n">
        <v>134.97</v>
      </c>
      <c r="BN1304" s="34" t="n">
        <v>46188</v>
      </c>
      <c r="BO1304" s="15" t="n">
        <v>9.369999999999999</v>
      </c>
      <c r="BP1304" s="15" t="n">
        <v>20.38</v>
      </c>
      <c r="BQ1304" s="34" t="n">
        <v>46188</v>
      </c>
      <c r="BR1304" s="15" t="n">
        <v>21.94</v>
      </c>
      <c r="BS1304" s="15" t="n">
        <v>19.19</v>
      </c>
      <c r="BT1304" s="34" t="n">
        <v>46188</v>
      </c>
      <c r="BU1304" s="15" t="n">
        <v>135.5</v>
      </c>
      <c r="BV1304" s="15" t="n">
        <v>201.29</v>
      </c>
      <c r="BW1304" s="34" t="n">
        <v>46188</v>
      </c>
      <c r="BX1304" s="15" t="n">
        <v>57.6</v>
      </c>
      <c r="BY1304" s="15" t="n">
        <v>68.2</v>
      </c>
      <c r="BZ1304" s="34" t="n">
        <v>46188</v>
      </c>
      <c r="CA1304" s="15" t="n">
        <v>15.65</v>
      </c>
      <c r="CB1304" s="15" t="n">
        <v>24.65</v>
      </c>
      <c r="CC1304" s="34" t="n">
        <v>46188</v>
      </c>
      <c r="CD1304" s="15" t="n">
        <v>31.24</v>
      </c>
      <c r="CE1304" s="15" t="n">
        <v>48.79</v>
      </c>
      <c r="CF1304" s="34" t="n">
        <v>46188</v>
      </c>
      <c r="CG1304" s="15" t="n">
        <v>184.2</v>
      </c>
      <c r="CH1304" s="15" t="n">
        <v>252.49</v>
      </c>
      <c r="CI1304" s="34" t="n">
        <v>46188</v>
      </c>
      <c r="CJ1304" s="15" t="n">
        <v>9.27</v>
      </c>
      <c r="CK1304" s="15" t="n">
        <v>21.03</v>
      </c>
      <c r="CL1304" s="34" t="n">
        <v>46188</v>
      </c>
      <c r="CM1304" s="15" t="n">
        <v>75.15000000000001</v>
      </c>
      <c r="CN1304" s="15" t="n">
        <v>88.72</v>
      </c>
      <c r="CO1304" s="34" t="n">
        <v>46188</v>
      </c>
      <c r="CP1304" s="15" t="n">
        <v>723</v>
      </c>
      <c r="CQ1304" s="15" t="n">
        <v>518</v>
      </c>
      <c r="CR1304" s="34" t="n">
        <v>46188</v>
      </c>
      <c r="CS1304" s="15" t="n">
        <v>25.66</v>
      </c>
      <c r="CT1304" s="15" t="n">
        <v>37.26</v>
      </c>
      <c r="CU1304" s="34" t="n">
        <v>46188</v>
      </c>
      <c r="CV1304" s="15" t="n">
        <v>125.2</v>
      </c>
      <c r="CW1304" s="15" t="n">
        <v>128.26</v>
      </c>
      <c r="CX1304" s="34" t="n">
        <v>46188</v>
      </c>
      <c r="CY1304" s="15" t="n">
        <v>82.84999999999999</v>
      </c>
      <c r="CZ1304" s="15" t="n">
        <v>75.81</v>
      </c>
      <c r="DA1304" s="34" t="n">
        <v>46188</v>
      </c>
      <c r="DB1304" s="15" t="n">
        <v>171.2</v>
      </c>
      <c r="DC1304" s="15" t="n">
        <v>304.4</v>
      </c>
      <c r="DD1304" s="34" t="n">
        <v>46188</v>
      </c>
      <c r="DE1304" s="15" t="n">
        <v>32.18</v>
      </c>
      <c r="DF1304" s="15" t="n">
        <v>35.28</v>
      </c>
      <c r="DG1304" s="34" t="n">
        <v>46188</v>
      </c>
      <c r="DH1304" s="15" t="n">
        <v>384.6</v>
      </c>
      <c r="DI1304" s="15" t="n">
        <v>240.1</v>
      </c>
      <c r="DJ1304" s="34" t="n">
        <v>46188</v>
      </c>
      <c r="DK1304" s="15" t="n">
        <v>39.1</v>
      </c>
      <c r="DL1304" s="15" t="n">
        <v>42.6</v>
      </c>
      <c r="DM1304" s="34" t="n">
        <v>46188</v>
      </c>
      <c r="DN1304" s="15" t="n">
        <v>13.7</v>
      </c>
      <c r="DO1304" s="15" t="n">
        <v>20.53</v>
      </c>
      <c r="DP1304" s="34" t="n">
        <v>46188</v>
      </c>
      <c r="DQ1304" s="15" t="n">
        <v>18.15</v>
      </c>
      <c r="DR1304" s="15" t="n">
        <v>33.23</v>
      </c>
      <c r="DS1304" s="34" t="n">
        <v>46188</v>
      </c>
      <c r="DT1304" s="15" t="n">
        <v>65.3</v>
      </c>
      <c r="DU1304" s="15" t="n">
        <v>99.15000000000001</v>
      </c>
      <c r="DV1304" s="34" t="n">
        <v>46188</v>
      </c>
      <c r="DW1304" s="15" t="n">
        <v>20.86</v>
      </c>
      <c r="DX1304" s="15" t="n">
        <v>40.73</v>
      </c>
      <c r="DY1304" s="34" t="n">
        <v>46188</v>
      </c>
      <c r="DZ1304" s="15" t="n">
        <v>180</v>
      </c>
      <c r="EA1304" s="15" t="n">
        <v>192.46</v>
      </c>
      <c r="EB1304" s="34" t="n">
        <v>46188</v>
      </c>
      <c r="EC1304" s="15" t="n">
        <v>11.73</v>
      </c>
      <c r="ED1304" s="15" t="n">
        <v>22.22</v>
      </c>
      <c r="EE1304" s="34" t="n">
        <v>46188</v>
      </c>
      <c r="EF1304" s="15" t="n">
        <v>415</v>
      </c>
      <c r="EG1304" s="15" t="n">
        <v>344.5</v>
      </c>
      <c r="EH1304" s="34" t="n">
        <v>46188</v>
      </c>
      <c r="EI1304" s="15" t="n">
        <v>82.55</v>
      </c>
      <c r="EJ1304" s="15" t="n">
        <v>106.21</v>
      </c>
      <c r="EK1304" s="34" t="n">
        <v>46188</v>
      </c>
      <c r="EL1304" s="15" t="n">
        <v>26.74</v>
      </c>
      <c r="EM1304" s="15" t="n">
        <v>27.66</v>
      </c>
      <c r="EN1304" s="34" t="n">
        <v>46188</v>
      </c>
      <c r="EO1304" s="15" t="n">
        <v>30.18</v>
      </c>
      <c r="EP1304" s="15" t="n">
        <v>45.09</v>
      </c>
      <c r="EQ1304" s="34" t="n">
        <v>46188</v>
      </c>
      <c r="ER1304" s="15" t="n">
        <v>64.2</v>
      </c>
      <c r="ES1304" s="15" t="n">
        <v>59.32</v>
      </c>
      <c r="ET1304" s="34" t="n">
        <v>46188</v>
      </c>
    </row>
    <row r="1305">
      <c r="A1305" s="34" t="n">
        <v>46189</v>
      </c>
      <c r="B1305" s="266" t="n">
        <v>1.158604025840759</v>
      </c>
      <c r="C1305" s="34" t="n">
        <v>46189</v>
      </c>
      <c r="D1305" s="15" t="n">
        <v>16.32</v>
      </c>
      <c r="E1305" s="15" t="n">
        <v>32.38</v>
      </c>
      <c r="F1305" s="34" t="n">
        <v>46189</v>
      </c>
      <c r="G1305" s="15" t="n">
        <v>87.05</v>
      </c>
      <c r="H1305" s="15" t="n">
        <v>112.07</v>
      </c>
      <c r="I1305" s="34" t="n">
        <v>46189</v>
      </c>
      <c r="J1305" s="15" t="n">
        <v>19.93</v>
      </c>
      <c r="K1305" s="15" t="n">
        <v>33.13</v>
      </c>
      <c r="L1305" s="34" t="n">
        <v>46189</v>
      </c>
      <c r="M1305" s="15" t="n">
        <v>46.94</v>
      </c>
      <c r="N1305" s="15" t="n">
        <v>63.99</v>
      </c>
      <c r="O1305" s="34" t="n">
        <v>46189</v>
      </c>
      <c r="P1305" s="15" t="n">
        <v>55.4</v>
      </c>
      <c r="Q1305" s="15" t="n">
        <v>58.4</v>
      </c>
      <c r="R1305" s="34" t="n">
        <v>46189</v>
      </c>
      <c r="S1305" s="15" t="n">
        <v>40.08</v>
      </c>
      <c r="T1305" s="15" t="n">
        <v>88.34999999999999</v>
      </c>
      <c r="U1305" s="34" t="n">
        <v>46189</v>
      </c>
      <c r="V1305" s="15" t="n">
        <v>14.27</v>
      </c>
      <c r="W1305" s="15" t="n">
        <v>20.48</v>
      </c>
      <c r="X1305" s="34" t="n">
        <v>46189</v>
      </c>
      <c r="Y1305" s="15" t="n">
        <v>90.15000000000001</v>
      </c>
      <c r="Z1305" s="15" t="n">
        <v>78.95999999999999</v>
      </c>
      <c r="AA1305" s="34" t="n">
        <v>46189</v>
      </c>
      <c r="AB1305" s="15" t="n">
        <v>14.37</v>
      </c>
      <c r="AC1305" s="15" t="n">
        <v>25.74</v>
      </c>
      <c r="AD1305" s="34" t="n">
        <v>46189</v>
      </c>
      <c r="AE1305" s="15" t="n">
        <v>30.18</v>
      </c>
      <c r="AF1305" s="15" t="n">
        <v>32.46</v>
      </c>
      <c r="AG1305" s="34" t="n">
        <v>46189</v>
      </c>
      <c r="AH1305" s="15" t="n">
        <v>28.84</v>
      </c>
      <c r="AI1305" s="15" t="n">
        <v>31.98</v>
      </c>
      <c r="AJ1305" s="34" t="n">
        <v>46189</v>
      </c>
      <c r="AK1305" s="15" t="n">
        <v>29.56</v>
      </c>
      <c r="AL1305" s="15" t="n">
        <v>67.70999999999999</v>
      </c>
      <c r="AM1305" s="34" t="n">
        <v>46189</v>
      </c>
      <c r="AN1305" s="15" t="n">
        <v>716</v>
      </c>
      <c r="AO1305" s="15" t="n">
        <v>403.53</v>
      </c>
      <c r="AP1305" s="34" t="n">
        <v>46189</v>
      </c>
      <c r="AQ1305" s="15" t="n">
        <v>54.05</v>
      </c>
      <c r="AR1305" s="15" t="n">
        <v>47.35</v>
      </c>
      <c r="AS1305" s="34" t="n">
        <v>46189</v>
      </c>
      <c r="AT1305" s="15" t="n">
        <v>14.49</v>
      </c>
      <c r="AU1305" s="15" t="n">
        <v>22.01</v>
      </c>
      <c r="AV1305" s="34" t="n">
        <v>46189</v>
      </c>
      <c r="AW1305" s="15" t="n">
        <v>31.22</v>
      </c>
      <c r="AX1305" s="15" t="n">
        <v>33.79</v>
      </c>
      <c r="AY1305" s="34" t="n">
        <v>46189</v>
      </c>
      <c r="AZ1305" s="15" t="n">
        <v>28.1</v>
      </c>
      <c r="BA1305" s="15" t="n">
        <v>45.12</v>
      </c>
      <c r="BB1305" s="34" t="n">
        <v>46189</v>
      </c>
      <c r="BC1305" s="15" t="n">
        <v>69.55</v>
      </c>
      <c r="BD1305" s="15" t="n">
        <v>86.36</v>
      </c>
      <c r="BE1305" s="34" t="n">
        <v>46189</v>
      </c>
      <c r="BF1305" s="15" t="n">
        <v>124.4</v>
      </c>
      <c r="BG1305" s="15" t="n">
        <v>211.3</v>
      </c>
      <c r="BH1305" s="34" t="n">
        <v>46189</v>
      </c>
      <c r="BI1305" s="15" t="n">
        <v>27.82</v>
      </c>
      <c r="BJ1305" s="15" t="n">
        <v>48.35</v>
      </c>
      <c r="BK1305" s="34" t="n">
        <v>46189</v>
      </c>
      <c r="BL1305" s="15" t="n">
        <v>93.40000000000001</v>
      </c>
      <c r="BM1305" s="15" t="n">
        <v>140.7</v>
      </c>
      <c r="BN1305" s="34" t="n">
        <v>46189</v>
      </c>
      <c r="BO1305" s="15" t="n">
        <v>9.199999999999999</v>
      </c>
      <c r="BP1305" s="15" t="n">
        <v>20.59</v>
      </c>
      <c r="BQ1305" s="34" t="n">
        <v>46189</v>
      </c>
      <c r="BR1305" s="15" t="n">
        <v>21.2</v>
      </c>
      <c r="BS1305" s="15" t="n">
        <v>18.65</v>
      </c>
      <c r="BT1305" s="34" t="n">
        <v>46189</v>
      </c>
      <c r="BU1305" s="15" t="n">
        <v>128.4</v>
      </c>
      <c r="BV1305" s="15" t="n">
        <v>198.07</v>
      </c>
      <c r="BW1305" s="34" t="n">
        <v>46189</v>
      </c>
      <c r="BX1305" s="15" t="n">
        <v>57.95</v>
      </c>
      <c r="BY1305" s="15" t="n">
        <v>68.78</v>
      </c>
      <c r="BZ1305" s="34" t="n">
        <v>46189</v>
      </c>
      <c r="CA1305" s="15" t="n">
        <v>15.35</v>
      </c>
      <c r="CB1305" s="15" t="n">
        <v>24.88</v>
      </c>
      <c r="CC1305" s="34" t="n">
        <v>46189</v>
      </c>
      <c r="CD1305" s="15" t="n">
        <v>31.14</v>
      </c>
      <c r="CE1305" s="15" t="n">
        <v>49.92</v>
      </c>
      <c r="CF1305" s="34" t="n">
        <v>46189</v>
      </c>
      <c r="CG1305" s="15" t="n">
        <v>182</v>
      </c>
      <c r="CH1305" s="15" t="n">
        <v>257.78</v>
      </c>
      <c r="CI1305" s="34" t="n">
        <v>46189</v>
      </c>
      <c r="CJ1305" s="15" t="n">
        <v>9.23</v>
      </c>
      <c r="CK1305" s="15" t="n">
        <v>21.65</v>
      </c>
      <c r="CL1305" s="34" t="n">
        <v>46189</v>
      </c>
      <c r="CM1305" s="15" t="n">
        <v>71.55</v>
      </c>
      <c r="CN1305" s="15" t="n">
        <v>88.2</v>
      </c>
      <c r="CO1305" s="34" t="n">
        <v>46189</v>
      </c>
      <c r="CP1305" s="15" t="n">
        <v>736</v>
      </c>
      <c r="CQ1305" s="15" t="n">
        <v>532.76</v>
      </c>
      <c r="CR1305" s="34" t="n">
        <v>46189</v>
      </c>
      <c r="CS1305" s="15" t="n">
        <v>25.2</v>
      </c>
      <c r="CT1305" s="15" t="n">
        <v>38.21</v>
      </c>
      <c r="CU1305" s="34" t="n">
        <v>46189</v>
      </c>
      <c r="CV1305" s="15" t="n">
        <v>120.3</v>
      </c>
      <c r="CW1305" s="15" t="n">
        <v>124.78</v>
      </c>
      <c r="CX1305" s="34" t="n">
        <v>46189</v>
      </c>
      <c r="CY1305" s="15" t="n">
        <v>81.25</v>
      </c>
      <c r="CZ1305" s="15" t="n">
        <v>77.67</v>
      </c>
      <c r="DA1305" s="34" t="n">
        <v>46189</v>
      </c>
      <c r="DB1305" s="15" t="n">
        <v>174.2</v>
      </c>
      <c r="DC1305" s="15" t="n">
        <v>326</v>
      </c>
      <c r="DD1305" s="34" t="n">
        <v>46189</v>
      </c>
      <c r="DE1305" s="15" t="n">
        <v>31.32</v>
      </c>
      <c r="DF1305" s="15" t="n">
        <v>35.05</v>
      </c>
      <c r="DG1305" s="34" t="n">
        <v>46189</v>
      </c>
      <c r="DH1305" s="15" t="n">
        <v>378.4</v>
      </c>
      <c r="DI1305" s="15" t="n">
        <v>244.17</v>
      </c>
      <c r="DJ1305" s="34" t="n">
        <v>46189</v>
      </c>
      <c r="DK1305" s="15" t="n">
        <v>43.48</v>
      </c>
      <c r="DL1305" s="15" t="n">
        <v>49.4</v>
      </c>
      <c r="DM1305" s="34" t="n">
        <v>46189</v>
      </c>
      <c r="DN1305" s="15" t="n">
        <v>13.71</v>
      </c>
      <c r="DO1305" s="15" t="n">
        <v>20.84</v>
      </c>
      <c r="DP1305" s="34" t="n">
        <v>46189</v>
      </c>
      <c r="DQ1305" s="15" t="n">
        <v>18.43</v>
      </c>
      <c r="DR1305" s="15" t="n">
        <v>33.9</v>
      </c>
      <c r="DS1305" s="34" t="n">
        <v>46189</v>
      </c>
      <c r="DT1305" s="15" t="n">
        <v>63</v>
      </c>
      <c r="DU1305" s="15" t="n">
        <v>97.93000000000001</v>
      </c>
      <c r="DV1305" s="34" t="n">
        <v>46189</v>
      </c>
      <c r="DW1305" s="15" t="n">
        <v>21.12</v>
      </c>
      <c r="DX1305" s="15" t="n">
        <v>42.01</v>
      </c>
      <c r="DY1305" s="34" t="n">
        <v>46189</v>
      </c>
      <c r="DZ1305" s="15" t="n">
        <v>171.8</v>
      </c>
      <c r="EA1305" s="15" t="n">
        <v>194.95</v>
      </c>
      <c r="EB1305" s="34" t="n">
        <v>46189</v>
      </c>
      <c r="EC1305" s="15" t="n">
        <v>11.76</v>
      </c>
      <c r="ED1305" s="15" t="n">
        <v>23.12</v>
      </c>
      <c r="EE1305" s="34" t="n">
        <v>46189</v>
      </c>
      <c r="EF1305" s="15" t="n">
        <v>411</v>
      </c>
      <c r="EG1305" s="15" t="n">
        <v>355.48</v>
      </c>
      <c r="EH1305" s="34" t="n">
        <v>46189</v>
      </c>
      <c r="EI1305" s="15" t="n">
        <v>79.05</v>
      </c>
      <c r="EJ1305" s="15" t="n">
        <v>105.97</v>
      </c>
      <c r="EK1305" s="34" t="n">
        <v>46189</v>
      </c>
      <c r="EL1305" s="15" t="n">
        <v>25.78</v>
      </c>
      <c r="EM1305" s="15" t="n">
        <v>27.03</v>
      </c>
      <c r="EN1305" s="34" t="n">
        <v>46189</v>
      </c>
      <c r="EO1305" s="15" t="n">
        <v>29.16</v>
      </c>
      <c r="EP1305" s="15" t="n">
        <v>44.99</v>
      </c>
      <c r="EQ1305" s="34" t="n">
        <v>46189</v>
      </c>
      <c r="ER1305" s="15" t="n">
        <v>64.34999999999999</v>
      </c>
      <c r="ES1305" s="15" t="n">
        <v>60.2</v>
      </c>
      <c r="ET1305" s="34" t="n">
        <v>46189</v>
      </c>
    </row>
    <row r="1306">
      <c r="A1306" s="34" t="n">
        <v>46190</v>
      </c>
      <c r="B1306" s="266" t="n">
        <v>1.158974051475525</v>
      </c>
      <c r="C1306" s="34" t="n">
        <v>46190</v>
      </c>
      <c r="D1306" s="15" t="n">
        <v>16.34</v>
      </c>
      <c r="E1306" s="15" t="n">
        <v>32.42</v>
      </c>
      <c r="F1306" s="34" t="n">
        <v>46190</v>
      </c>
      <c r="G1306" s="15" t="n">
        <v>88.84999999999999</v>
      </c>
      <c r="H1306" s="15" t="n">
        <v>115</v>
      </c>
      <c r="I1306" s="34" t="n">
        <v>46190</v>
      </c>
      <c r="J1306" s="15" t="n">
        <v>19.31</v>
      </c>
      <c r="K1306" s="15" t="n">
        <v>32.29</v>
      </c>
      <c r="L1306" s="34" t="n">
        <v>46190</v>
      </c>
      <c r="M1306" s="15" t="n">
        <v>46.44</v>
      </c>
      <c r="N1306" s="15" t="n">
        <v>64.04000000000001</v>
      </c>
      <c r="O1306" s="34" t="n">
        <v>46190</v>
      </c>
      <c r="P1306" s="15" t="n">
        <v>53.95</v>
      </c>
      <c r="Q1306" s="15" t="n">
        <v>56.83</v>
      </c>
      <c r="R1306" s="34" t="n">
        <v>46190</v>
      </c>
      <c r="S1306" s="15" t="n">
        <v>40</v>
      </c>
      <c r="T1306" s="15" t="n">
        <v>88.27</v>
      </c>
      <c r="U1306" s="34" t="n">
        <v>46190</v>
      </c>
      <c r="V1306" s="15" t="n">
        <v>13.89</v>
      </c>
      <c r="W1306" s="15" t="n">
        <v>20.06</v>
      </c>
      <c r="X1306" s="34" t="n">
        <v>46190</v>
      </c>
      <c r="Y1306" s="15" t="n">
        <v>89.15000000000001</v>
      </c>
      <c r="Z1306" s="15" t="n">
        <v>79.22</v>
      </c>
      <c r="AA1306" s="34" t="n">
        <v>46190</v>
      </c>
      <c r="AB1306" s="15" t="n">
        <v>13.64</v>
      </c>
      <c r="AC1306" s="15" t="n">
        <v>24.97</v>
      </c>
      <c r="AD1306" s="34" t="n">
        <v>46190</v>
      </c>
      <c r="AE1306" s="15" t="n">
        <v>29.84</v>
      </c>
      <c r="AF1306" s="15" t="n">
        <v>32.2</v>
      </c>
      <c r="AG1306" s="34" t="n">
        <v>46190</v>
      </c>
      <c r="AH1306" s="15" t="n">
        <v>28.86</v>
      </c>
      <c r="AI1306" s="15" t="n">
        <v>32.5</v>
      </c>
      <c r="AJ1306" s="34" t="n">
        <v>46190</v>
      </c>
      <c r="AK1306" s="15" t="n">
        <v>27.64</v>
      </c>
      <c r="AL1306" s="15" t="n">
        <v>66.83</v>
      </c>
      <c r="AM1306" s="34" t="n">
        <v>46190</v>
      </c>
      <c r="AN1306" s="15" t="n">
        <v>711</v>
      </c>
      <c r="AO1306" s="15" t="n">
        <v>399</v>
      </c>
      <c r="AP1306" s="34" t="n">
        <v>46190</v>
      </c>
      <c r="AQ1306" s="15" t="n">
        <v>53</v>
      </c>
      <c r="AR1306" s="15" t="n">
        <v>46.99</v>
      </c>
      <c r="AS1306" s="34" t="n">
        <v>46190</v>
      </c>
      <c r="AT1306" s="15" t="n">
        <v>15.4</v>
      </c>
      <c r="AU1306" s="15" t="n">
        <v>22.67</v>
      </c>
      <c r="AV1306" s="34" t="n">
        <v>46190</v>
      </c>
      <c r="AW1306" s="15" t="n">
        <v>30</v>
      </c>
      <c r="AX1306" s="15" t="n">
        <v>33.32</v>
      </c>
      <c r="AY1306" s="34" t="n">
        <v>46190</v>
      </c>
      <c r="AZ1306" s="15" t="n">
        <v>27.5</v>
      </c>
      <c r="BA1306" s="15" t="n">
        <v>44.6</v>
      </c>
      <c r="BB1306" s="34" t="n">
        <v>46190</v>
      </c>
      <c r="BC1306" s="15" t="n">
        <v>67.95</v>
      </c>
      <c r="BD1306" s="15" t="n">
        <v>84.94</v>
      </c>
      <c r="BE1306" s="34" t="n">
        <v>46190</v>
      </c>
      <c r="BF1306" s="15" t="n">
        <v>121.3</v>
      </c>
      <c r="BG1306" s="15" t="n">
        <v>210.37</v>
      </c>
      <c r="BH1306" s="34" t="n">
        <v>46190</v>
      </c>
      <c r="BI1306" s="15" t="n">
        <v>28.28</v>
      </c>
      <c r="BJ1306" s="15" t="n">
        <v>51.21</v>
      </c>
      <c r="BK1306" s="34" t="n">
        <v>46190</v>
      </c>
      <c r="BL1306" s="15" t="n">
        <v>102.8</v>
      </c>
      <c r="BM1306" s="15" t="n">
        <v>149.66</v>
      </c>
      <c r="BN1306" s="34" t="n">
        <v>46190</v>
      </c>
      <c r="BO1306" s="15" t="n">
        <v>8.92</v>
      </c>
      <c r="BP1306" s="15" t="n">
        <v>20.08</v>
      </c>
      <c r="BQ1306" s="34" t="n">
        <v>46190</v>
      </c>
      <c r="BR1306" s="15" t="n">
        <v>21.3</v>
      </c>
      <c r="BS1306" s="15" t="n">
        <v>18.91</v>
      </c>
      <c r="BT1306" s="34" t="n">
        <v>46190</v>
      </c>
      <c r="BU1306" s="15" t="n">
        <v>131.3</v>
      </c>
      <c r="BV1306" s="15" t="n">
        <v>203.29</v>
      </c>
      <c r="BW1306" s="34" t="n">
        <v>46190</v>
      </c>
      <c r="BX1306" s="15" t="n">
        <v>54.75</v>
      </c>
      <c r="BY1306" s="15" t="n">
        <v>66.14</v>
      </c>
      <c r="BZ1306" s="34" t="n">
        <v>46190</v>
      </c>
      <c r="CA1306" s="15" t="n">
        <v>14.89</v>
      </c>
      <c r="CB1306" s="15" t="n">
        <v>24.84</v>
      </c>
      <c r="CC1306" s="34" t="n">
        <v>46190</v>
      </c>
      <c r="CD1306" s="15" t="n">
        <v>29.94</v>
      </c>
      <c r="CE1306" s="15" t="n">
        <v>49.27</v>
      </c>
      <c r="CF1306" s="34" t="n">
        <v>46190</v>
      </c>
      <c r="CG1306" s="15" t="n">
        <v>188.3</v>
      </c>
      <c r="CH1306" s="15" t="n">
        <v>264.8</v>
      </c>
      <c r="CI1306" s="34" t="n">
        <v>46190</v>
      </c>
      <c r="CJ1306" s="15" t="n">
        <v>6.42</v>
      </c>
      <c r="CK1306" s="15" t="n">
        <v>20.77</v>
      </c>
      <c r="CL1306" s="34" t="n">
        <v>46190</v>
      </c>
      <c r="CM1306" s="15" t="n">
        <v>71.90000000000001</v>
      </c>
      <c r="CN1306" s="15" t="n">
        <v>90.12</v>
      </c>
      <c r="CO1306" s="34" t="n">
        <v>46190</v>
      </c>
      <c r="CP1306" s="15" t="n">
        <v>843</v>
      </c>
      <c r="CQ1306" s="15" t="n">
        <v>586.04</v>
      </c>
      <c r="CR1306" s="34" t="n">
        <v>46190</v>
      </c>
      <c r="CS1306" s="15" t="n">
        <v>25.06</v>
      </c>
      <c r="CT1306" s="15" t="n">
        <v>37.89</v>
      </c>
      <c r="CU1306" s="34" t="n">
        <v>46190</v>
      </c>
      <c r="CV1306" s="15" t="n">
        <v>118.3</v>
      </c>
      <c r="CW1306" s="15" t="n">
        <v>125.39</v>
      </c>
      <c r="CX1306" s="34" t="n">
        <v>46190</v>
      </c>
      <c r="CY1306" s="15" t="n">
        <v>53.9</v>
      </c>
      <c r="CZ1306" s="15" t="n">
        <v>78.36</v>
      </c>
      <c r="DA1306" s="34" t="n">
        <v>46190</v>
      </c>
      <c r="DB1306" s="15" t="n">
        <v>182</v>
      </c>
      <c r="DC1306" s="15" t="n">
        <v>328.08</v>
      </c>
      <c r="DD1306" s="34" t="n">
        <v>46190</v>
      </c>
      <c r="DE1306" s="15" t="n">
        <v>30.8</v>
      </c>
      <c r="DF1306" s="15" t="n">
        <v>34.66</v>
      </c>
      <c r="DG1306" s="34" t="n">
        <v>46190</v>
      </c>
      <c r="DH1306" s="15" t="n">
        <v>420.6</v>
      </c>
      <c r="DI1306" s="15" t="n">
        <v>262.5</v>
      </c>
      <c r="DJ1306" s="34" t="n">
        <v>46190</v>
      </c>
      <c r="DK1306" s="15" t="n">
        <v>40.82</v>
      </c>
      <c r="DL1306" s="15" t="n">
        <v>48.13</v>
      </c>
      <c r="DM1306" s="34" t="n">
        <v>46190</v>
      </c>
      <c r="DN1306" s="15" t="n">
        <v>13.17</v>
      </c>
      <c r="DO1306" s="15" t="n">
        <v>20.63</v>
      </c>
      <c r="DP1306" s="34" t="n">
        <v>46190</v>
      </c>
      <c r="DQ1306" s="15" t="n">
        <v>18.62</v>
      </c>
      <c r="DR1306" s="15" t="n">
        <v>33.18</v>
      </c>
      <c r="DS1306" s="34" t="n">
        <v>46190</v>
      </c>
      <c r="DT1306" s="15" t="n">
        <v>60.65</v>
      </c>
      <c r="DU1306" s="15" t="n">
        <v>96.75</v>
      </c>
      <c r="DV1306" s="34" t="n">
        <v>46190</v>
      </c>
      <c r="DW1306" s="15" t="n">
        <v>20.38</v>
      </c>
      <c r="DX1306" s="15" t="n">
        <v>41.6</v>
      </c>
      <c r="DY1306" s="34" t="n">
        <v>46190</v>
      </c>
      <c r="DZ1306" s="15" t="n">
        <v>183.5</v>
      </c>
      <c r="EA1306" s="15" t="n">
        <v>205.8</v>
      </c>
      <c r="EB1306" s="34" t="n">
        <v>46190</v>
      </c>
      <c r="EC1306" s="15" t="n">
        <v>11.5</v>
      </c>
      <c r="ED1306" s="15" t="n">
        <v>23.15</v>
      </c>
      <c r="EE1306" s="34" t="n">
        <v>46190</v>
      </c>
      <c r="EF1306" s="15" t="n">
        <v>410</v>
      </c>
      <c r="EG1306" s="15" t="n">
        <v>361.7</v>
      </c>
      <c r="EH1306" s="34" t="n">
        <v>46190</v>
      </c>
      <c r="EI1306" s="15" t="n">
        <v>82.15000000000001</v>
      </c>
      <c r="EJ1306" s="15" t="n">
        <v>79.45999999999999</v>
      </c>
      <c r="EK1306" s="34" t="n">
        <v>46190</v>
      </c>
      <c r="EL1306" s="15" t="n">
        <v>25.5</v>
      </c>
      <c r="EM1306" s="15" t="n">
        <v>27.11</v>
      </c>
      <c r="EN1306" s="34" t="n">
        <v>46190</v>
      </c>
      <c r="EO1306" s="15" t="n">
        <v>28.8</v>
      </c>
      <c r="EP1306" s="15" t="n">
        <v>44.64</v>
      </c>
      <c r="EQ1306" s="34" t="n">
        <v>46190</v>
      </c>
      <c r="ER1306" s="15" t="n">
        <v>65.25</v>
      </c>
      <c r="ES1306" s="15" t="n">
        <v>60.57</v>
      </c>
      <c r="ET1306" s="34" t="n">
        <v>46190</v>
      </c>
    </row>
    <row r="1307">
      <c r="A1307" s="34" t="n">
        <v>46191</v>
      </c>
      <c r="B1307" s="266" t="n">
        <v>1.159355998039246</v>
      </c>
      <c r="C1307" s="34" t="n">
        <v>46191</v>
      </c>
      <c r="D1307" s="15" t="n">
        <v>17.44</v>
      </c>
      <c r="E1307" s="15" t="n">
        <v>35.66</v>
      </c>
      <c r="F1307" s="34" t="n">
        <v>46191</v>
      </c>
      <c r="G1307" s="15" t="n">
        <v>94.15000000000001</v>
      </c>
      <c r="H1307" s="15" t="n">
        <v>123.82</v>
      </c>
      <c r="I1307" s="34" t="n">
        <v>46191</v>
      </c>
      <c r="J1307" s="15" t="n">
        <v>19.4</v>
      </c>
      <c r="K1307" s="15" t="n">
        <v>33.43</v>
      </c>
      <c r="L1307" s="34" t="n">
        <v>46191</v>
      </c>
      <c r="M1307" s="15" t="n">
        <v>43.8</v>
      </c>
      <c r="N1307" s="15" t="n">
        <v>62.18</v>
      </c>
      <c r="O1307" s="34" t="n">
        <v>46191</v>
      </c>
      <c r="P1307" s="15" t="n">
        <v>51.7</v>
      </c>
      <c r="Q1307" s="15" t="n">
        <v>55.33</v>
      </c>
      <c r="R1307" s="34" t="n">
        <v>46191</v>
      </c>
      <c r="S1307" s="15" t="n">
        <v>40.94</v>
      </c>
      <c r="T1307" s="15" t="n">
        <v>94.15000000000001</v>
      </c>
      <c r="U1307" s="34" t="n">
        <v>46191</v>
      </c>
      <c r="V1307" s="15" t="n">
        <v>13.9</v>
      </c>
      <c r="W1307" s="15" t="n">
        <v>19.91</v>
      </c>
      <c r="X1307" s="34" t="n">
        <v>46191</v>
      </c>
      <c r="Y1307" s="15" t="n">
        <v>84.2</v>
      </c>
      <c r="Z1307" s="15" t="n">
        <v>78</v>
      </c>
      <c r="AA1307" s="34" t="n">
        <v>46191</v>
      </c>
      <c r="AB1307" s="15" t="n">
        <v>12.34</v>
      </c>
      <c r="AC1307" s="15" t="n">
        <v>23.8</v>
      </c>
      <c r="AD1307" s="34" t="n">
        <v>46191</v>
      </c>
      <c r="AE1307" s="15" t="n">
        <v>28.98</v>
      </c>
      <c r="AF1307" s="15" t="n">
        <v>31.55</v>
      </c>
      <c r="AG1307" s="34" t="n">
        <v>46191</v>
      </c>
      <c r="AH1307" s="15" t="n">
        <v>27.5</v>
      </c>
      <c r="AI1307" s="15" t="n">
        <v>30.59</v>
      </c>
      <c r="AJ1307" s="34" t="n">
        <v>46191</v>
      </c>
      <c r="AK1307" s="15" t="n">
        <v>25.16</v>
      </c>
      <c r="AL1307" s="15" t="n">
        <v>63.88</v>
      </c>
      <c r="AM1307" s="34" t="n">
        <v>46191</v>
      </c>
      <c r="AN1307" s="15" t="n">
        <v>708.5</v>
      </c>
      <c r="AO1307" s="15" t="n">
        <v>391.55</v>
      </c>
      <c r="AP1307" s="34" t="n">
        <v>46191</v>
      </c>
      <c r="AQ1307" s="15" t="n">
        <v>54.65</v>
      </c>
      <c r="AR1307" s="15" t="n">
        <v>48.42</v>
      </c>
      <c r="AS1307" s="34" t="n">
        <v>46191</v>
      </c>
      <c r="AT1307" s="15" t="n">
        <v>15.28</v>
      </c>
      <c r="AU1307" s="15" t="n">
        <v>23.9</v>
      </c>
      <c r="AV1307" s="34" t="n">
        <v>46191</v>
      </c>
      <c r="AW1307" s="15" t="n">
        <v>29.56</v>
      </c>
      <c r="AX1307" s="15" t="n">
        <v>32.44</v>
      </c>
      <c r="AY1307" s="34" t="n">
        <v>46191</v>
      </c>
      <c r="AZ1307" s="15" t="n">
        <v>27.76</v>
      </c>
      <c r="BA1307" s="15" t="n">
        <v>45.74</v>
      </c>
      <c r="BB1307" s="34" t="n">
        <v>46191</v>
      </c>
      <c r="BC1307" s="15" t="n">
        <v>67.55</v>
      </c>
      <c r="BD1307" s="15" t="n">
        <v>83.93000000000001</v>
      </c>
      <c r="BE1307" s="34" t="n">
        <v>46191</v>
      </c>
      <c r="BF1307" s="15" t="n">
        <v>120.2</v>
      </c>
      <c r="BG1307" s="15" t="n">
        <v>209.19</v>
      </c>
      <c r="BH1307" s="34" t="n">
        <v>46191</v>
      </c>
      <c r="BI1307" s="15" t="n">
        <v>29.96</v>
      </c>
      <c r="BJ1307" s="15" t="n">
        <v>55.77</v>
      </c>
      <c r="BK1307" s="34" t="n">
        <v>46191</v>
      </c>
      <c r="BL1307" s="15" t="n">
        <v>98.75</v>
      </c>
      <c r="BM1307" s="15" t="n">
        <v>149.2</v>
      </c>
      <c r="BN1307" s="34" t="n">
        <v>46191</v>
      </c>
      <c r="BO1307" s="15" t="n">
        <v>8.67</v>
      </c>
      <c r="BP1307" s="15" t="n">
        <v>20.3</v>
      </c>
      <c r="BQ1307" s="34" t="n">
        <v>46191</v>
      </c>
      <c r="BR1307" s="15" t="n">
        <v>20.52</v>
      </c>
      <c r="BS1307" s="15" t="n">
        <v>18.37</v>
      </c>
      <c r="BT1307" s="34" t="n">
        <v>46191</v>
      </c>
      <c r="BU1307" s="15" t="n">
        <v>138.9</v>
      </c>
      <c r="BV1307" s="15" t="n">
        <v>214.54</v>
      </c>
      <c r="BW1307" s="34" t="n">
        <v>46191</v>
      </c>
      <c r="BX1307" s="15" t="n">
        <v>52.65</v>
      </c>
      <c r="BY1307" s="15" t="n">
        <v>64.81</v>
      </c>
      <c r="BZ1307" s="34" t="n">
        <v>46191</v>
      </c>
      <c r="CA1307" s="15" t="n">
        <v>14.39</v>
      </c>
      <c r="CB1307" s="15" t="n">
        <v>24.67</v>
      </c>
      <c r="CC1307" s="34" t="n">
        <v>46191</v>
      </c>
      <c r="CD1307" s="15" t="n">
        <v>28.84</v>
      </c>
      <c r="CE1307" s="15" t="n">
        <v>48.64</v>
      </c>
      <c r="CF1307" s="34" t="n">
        <v>46191</v>
      </c>
      <c r="CG1307" s="15" t="n">
        <v>196</v>
      </c>
      <c r="CH1307" s="15" t="n">
        <v>266.6</v>
      </c>
      <c r="CI1307" s="34" t="n">
        <v>46191</v>
      </c>
      <c r="CJ1307" s="15" t="n">
        <v>6.14</v>
      </c>
      <c r="CK1307" s="15" t="n">
        <v>20.22</v>
      </c>
      <c r="CL1307" s="34" t="n">
        <v>46191</v>
      </c>
      <c r="CM1307" s="15" t="n">
        <v>71.2</v>
      </c>
      <c r="CN1307" s="15" t="n">
        <v>89.97</v>
      </c>
      <c r="CO1307" s="34" t="n">
        <v>46191</v>
      </c>
      <c r="CP1307" s="15" t="n">
        <v>939</v>
      </c>
      <c r="CQ1307" s="15" t="n">
        <v>629</v>
      </c>
      <c r="CR1307" s="34" t="n">
        <v>46191</v>
      </c>
      <c r="CS1307" s="15" t="n">
        <v>23.98</v>
      </c>
      <c r="CT1307" s="15" t="n">
        <v>37.88</v>
      </c>
      <c r="CU1307" s="34" t="n">
        <v>46191</v>
      </c>
      <c r="CV1307" s="15" t="n">
        <v>115</v>
      </c>
      <c r="CW1307" s="15" t="n">
        <v>120.6</v>
      </c>
      <c r="CX1307" s="34" t="n">
        <v>46191</v>
      </c>
      <c r="CY1307" s="15" t="n">
        <v>52.1</v>
      </c>
      <c r="CZ1307" s="15" t="n">
        <v>54.5</v>
      </c>
      <c r="DA1307" s="34" t="n">
        <v>46191</v>
      </c>
      <c r="DB1307" s="15" t="n">
        <v>192.4</v>
      </c>
      <c r="DC1307" s="15" t="n">
        <v>337</v>
      </c>
      <c r="DD1307" s="34" t="n">
        <v>46191</v>
      </c>
      <c r="DE1307" s="15" t="n">
        <v>29.62</v>
      </c>
      <c r="DF1307" s="15" t="n">
        <v>33.63</v>
      </c>
      <c r="DG1307" s="34" t="n">
        <v>46191</v>
      </c>
      <c r="DH1307" s="15" t="n">
        <v>446.4</v>
      </c>
      <c r="DI1307" s="15" t="n">
        <v>269.9</v>
      </c>
      <c r="DJ1307" s="34" t="n">
        <v>46191</v>
      </c>
      <c r="DK1307" s="15" t="n">
        <v>37.86</v>
      </c>
      <c r="DL1307" s="15" t="n">
        <v>46.73</v>
      </c>
      <c r="DM1307" s="34" t="n">
        <v>46191</v>
      </c>
      <c r="DN1307" s="15" t="n">
        <v>12.8</v>
      </c>
      <c r="DO1307" s="15" t="n">
        <v>20.47</v>
      </c>
      <c r="DP1307" s="34" t="n">
        <v>46191</v>
      </c>
      <c r="DQ1307" s="15" t="n">
        <v>21</v>
      </c>
      <c r="DR1307" s="15" t="n">
        <v>36.5</v>
      </c>
      <c r="DS1307" s="34" t="n">
        <v>46191</v>
      </c>
      <c r="DT1307" s="15" t="n">
        <v>61.55</v>
      </c>
      <c r="DU1307" s="15" t="n">
        <v>98.23</v>
      </c>
      <c r="DV1307" s="34" t="n">
        <v>46191</v>
      </c>
      <c r="DW1307" s="15" t="n">
        <v>21.2</v>
      </c>
      <c r="DX1307" s="15" t="n">
        <v>43.68</v>
      </c>
      <c r="DY1307" s="34" t="n">
        <v>46191</v>
      </c>
      <c r="DZ1307" s="15" t="n">
        <v>184.1</v>
      </c>
      <c r="EA1307" s="15" t="n">
        <v>201.46</v>
      </c>
      <c r="EB1307" s="34" t="n">
        <v>46191</v>
      </c>
      <c r="EC1307" s="15" t="n">
        <v>11.28</v>
      </c>
      <c r="ED1307" s="15" t="n">
        <v>23.33</v>
      </c>
      <c r="EE1307" s="34" t="n">
        <v>46191</v>
      </c>
      <c r="EF1307" s="15" t="n">
        <v>411.6</v>
      </c>
      <c r="EG1307" s="15" t="n">
        <v>369</v>
      </c>
      <c r="EH1307" s="34" t="n">
        <v>46191</v>
      </c>
      <c r="EI1307" s="15" t="n">
        <v>79.5</v>
      </c>
      <c r="EJ1307" s="15" t="n">
        <v>80.40000000000001</v>
      </c>
      <c r="EK1307" s="34" t="n">
        <v>46191</v>
      </c>
      <c r="EL1307" s="15" t="n">
        <v>25.28</v>
      </c>
      <c r="EM1307" s="15" t="n">
        <v>27.42</v>
      </c>
      <c r="EN1307" s="34" t="n">
        <v>46191</v>
      </c>
      <c r="EO1307" s="15" t="n">
        <v>27.42</v>
      </c>
      <c r="EP1307" s="15" t="n">
        <v>44.9</v>
      </c>
      <c r="EQ1307" s="34" t="n">
        <v>46191</v>
      </c>
      <c r="ER1307" s="15" t="n">
        <v>63.6</v>
      </c>
      <c r="ES1307" s="15" t="n">
        <v>58.32</v>
      </c>
      <c r="ET1307" s="34" t="n">
        <v>46191</v>
      </c>
    </row>
    <row r="1308">
      <c r="A1308" s="34" t="n">
        <v>46195</v>
      </c>
      <c r="B1308" s="266" t="n">
        <v>1.157493948936462</v>
      </c>
      <c r="C1308" s="34" t="n">
        <v>46195</v>
      </c>
      <c r="D1308" s="15" t="n">
        <v>16.82</v>
      </c>
      <c r="E1308" s="15" t="n">
        <v>36.67</v>
      </c>
      <c r="F1308" s="34" t="n">
        <v>46195</v>
      </c>
      <c r="G1308" s="15" t="n">
        <v>97.3</v>
      </c>
      <c r="H1308" s="15" t="n">
        <v>125.81</v>
      </c>
      <c r="I1308" s="34" t="n">
        <v>46195</v>
      </c>
      <c r="J1308" s="15" t="n">
        <v>19.69</v>
      </c>
      <c r="K1308" s="15" t="n">
        <v>34.39</v>
      </c>
      <c r="L1308" s="34" t="n">
        <v>46195</v>
      </c>
      <c r="M1308" s="15" t="n">
        <v>44.76</v>
      </c>
      <c r="N1308" s="15" t="n">
        <v>64.97</v>
      </c>
      <c r="O1308" s="34" t="n">
        <v>46195</v>
      </c>
      <c r="P1308" s="15" t="n">
        <v>52.95</v>
      </c>
      <c r="Q1308" s="15" t="n">
        <v>56.79</v>
      </c>
      <c r="R1308" s="34" t="n">
        <v>46195</v>
      </c>
      <c r="S1308" s="15" t="n">
        <v>41.68</v>
      </c>
      <c r="T1308" s="15" t="n">
        <v>93.56</v>
      </c>
      <c r="U1308" s="34" t="n">
        <v>46195</v>
      </c>
      <c r="V1308" s="15" t="n">
        <v>13.92</v>
      </c>
      <c r="W1308" s="15" t="n">
        <v>20.34</v>
      </c>
      <c r="X1308" s="34" t="n">
        <v>46195</v>
      </c>
      <c r="Y1308" s="15" t="n">
        <v>82.65000000000001</v>
      </c>
      <c r="Z1308" s="15" t="n">
        <v>78.28</v>
      </c>
      <c r="AA1308" s="34" t="n">
        <v>46195</v>
      </c>
      <c r="AB1308" s="15" t="n">
        <v>13.53</v>
      </c>
      <c r="AC1308" s="15" t="n">
        <v>26.18</v>
      </c>
      <c r="AD1308" s="34" t="n">
        <v>46195</v>
      </c>
      <c r="AE1308" s="15" t="n">
        <v>29.6</v>
      </c>
      <c r="AF1308" s="15" t="n">
        <v>31.86</v>
      </c>
      <c r="AG1308" s="34" t="n">
        <v>46195</v>
      </c>
      <c r="AH1308" s="15" t="n">
        <v>26.58</v>
      </c>
      <c r="AI1308" s="15" t="n">
        <v>31.09</v>
      </c>
      <c r="AJ1308" s="34" t="n">
        <v>46195</v>
      </c>
      <c r="AK1308" s="15" t="n">
        <v>23.6</v>
      </c>
      <c r="AL1308" s="15" t="n">
        <v>63.06</v>
      </c>
      <c r="AM1308" s="34" t="n">
        <v>46195</v>
      </c>
      <c r="AN1308" s="15" t="n">
        <v>742</v>
      </c>
      <c r="AO1308" s="15" t="n">
        <v>408.98</v>
      </c>
      <c r="AP1308" s="34" t="n">
        <v>46195</v>
      </c>
      <c r="AQ1308" s="15" t="n">
        <v>54.95</v>
      </c>
      <c r="AR1308" s="15" t="n">
        <v>49.36</v>
      </c>
      <c r="AS1308" s="34" t="n">
        <v>46195</v>
      </c>
      <c r="AT1308" s="15" t="n">
        <v>14.74</v>
      </c>
      <c r="AU1308" s="15" t="n">
        <v>23.27</v>
      </c>
      <c r="AV1308" s="34" t="n">
        <v>46195</v>
      </c>
      <c r="AW1308" s="15" t="n">
        <v>29.14</v>
      </c>
      <c r="AX1308" s="15" t="n">
        <v>33.04</v>
      </c>
      <c r="AY1308" s="34" t="n">
        <v>46195</v>
      </c>
      <c r="AZ1308" s="15" t="n">
        <v>26.7</v>
      </c>
      <c r="BA1308" s="15" t="n">
        <v>45.23</v>
      </c>
      <c r="BB1308" s="34" t="n">
        <v>46195</v>
      </c>
      <c r="BC1308" s="15" t="n">
        <v>67.55</v>
      </c>
      <c r="BD1308" s="15" t="n">
        <v>85.5</v>
      </c>
      <c r="BE1308" s="34" t="n">
        <v>46195</v>
      </c>
      <c r="BF1308" s="15" t="n">
        <v>118</v>
      </c>
      <c r="BG1308" s="15" t="n">
        <v>203.19</v>
      </c>
      <c r="BH1308" s="34" t="n">
        <v>46195</v>
      </c>
      <c r="BI1308" s="15" t="n">
        <v>27.52</v>
      </c>
      <c r="BJ1308" s="15" t="n">
        <v>53.81</v>
      </c>
      <c r="BK1308" s="34" t="n">
        <v>46195</v>
      </c>
      <c r="BL1308" s="15" t="n">
        <v>108.7</v>
      </c>
      <c r="BM1308" s="15" t="n">
        <v>158</v>
      </c>
      <c r="BN1308" s="34" t="n">
        <v>46195</v>
      </c>
      <c r="BO1308" s="15" t="n">
        <v>8.56</v>
      </c>
      <c r="BP1308" s="15" t="n">
        <v>20.24</v>
      </c>
      <c r="BQ1308" s="34" t="n">
        <v>46195</v>
      </c>
      <c r="BR1308" s="15" t="n">
        <v>20.04</v>
      </c>
      <c r="BS1308" s="15" t="n">
        <v>18.95</v>
      </c>
      <c r="BT1308" s="34" t="n">
        <v>46195</v>
      </c>
      <c r="BU1308" s="15" t="n">
        <v>157.9</v>
      </c>
      <c r="BV1308" s="15" t="n">
        <v>235.99</v>
      </c>
      <c r="BW1308" s="34" t="n">
        <v>46195</v>
      </c>
      <c r="BX1308" s="15" t="n">
        <v>50.35</v>
      </c>
      <c r="BY1308" s="15" t="n">
        <v>65.3</v>
      </c>
      <c r="BZ1308" s="34" t="n">
        <v>46195</v>
      </c>
      <c r="CA1308" s="15" t="n">
        <v>14.08</v>
      </c>
      <c r="CB1308" s="15" t="n">
        <v>23.79</v>
      </c>
      <c r="CC1308" s="34" t="n">
        <v>46195</v>
      </c>
      <c r="CD1308" s="15" t="n">
        <v>29.4</v>
      </c>
      <c r="CE1308" s="15" t="n">
        <v>51.23</v>
      </c>
      <c r="CF1308" s="34" t="n">
        <v>46195</v>
      </c>
      <c r="CG1308" s="15" t="n">
        <v>213.2</v>
      </c>
      <c r="CH1308" s="15" t="n">
        <v>291.68</v>
      </c>
      <c r="CI1308" s="34" t="n">
        <v>46195</v>
      </c>
      <c r="CJ1308" s="15" t="n">
        <v>6.4</v>
      </c>
      <c r="CK1308" s="15" t="n">
        <v>21.88</v>
      </c>
      <c r="CL1308" s="34" t="n">
        <v>46195</v>
      </c>
      <c r="CM1308" s="15" t="n">
        <v>71.55</v>
      </c>
      <c r="CN1308" s="15" t="n">
        <v>90.56</v>
      </c>
      <c r="CO1308" s="34" t="n">
        <v>46195</v>
      </c>
      <c r="CP1308" s="15" t="n">
        <v>1044</v>
      </c>
      <c r="CQ1308" s="15" t="n">
        <v>689.7</v>
      </c>
      <c r="CR1308" s="34" t="n">
        <v>46195</v>
      </c>
      <c r="CS1308" s="15" t="n">
        <v>22.84</v>
      </c>
      <c r="CT1308" s="15" t="n">
        <v>36.87</v>
      </c>
      <c r="CU1308" s="34" t="n">
        <v>46195</v>
      </c>
      <c r="CV1308" s="15" t="n">
        <v>108.9</v>
      </c>
      <c r="CW1308" s="15" t="n">
        <v>120.63</v>
      </c>
      <c r="CX1308" s="34" t="n">
        <v>46195</v>
      </c>
      <c r="CY1308" s="15" t="n">
        <v>49.86</v>
      </c>
      <c r="CZ1308" s="15" t="n">
        <v>52.95</v>
      </c>
      <c r="DA1308" s="34" t="n">
        <v>46195</v>
      </c>
      <c r="DB1308" s="15" t="n">
        <v>193</v>
      </c>
      <c r="DC1308" s="15" t="n">
        <v>338.96</v>
      </c>
      <c r="DD1308" s="34" t="n">
        <v>46195</v>
      </c>
      <c r="DE1308" s="15" t="n">
        <v>29.62</v>
      </c>
      <c r="DF1308" s="15" t="n">
        <v>33.95</v>
      </c>
      <c r="DG1308" s="34" t="n">
        <v>46195</v>
      </c>
      <c r="DH1308" s="15" t="n">
        <v>466.2</v>
      </c>
      <c r="DI1308" s="15" t="n">
        <v>280.05</v>
      </c>
      <c r="DJ1308" s="34" t="n">
        <v>46195</v>
      </c>
      <c r="DK1308" s="15" t="n">
        <v>38</v>
      </c>
      <c r="DL1308" s="15" t="n">
        <v>47.35</v>
      </c>
      <c r="DM1308" s="34" t="n">
        <v>46195</v>
      </c>
      <c r="DN1308" s="15" t="n">
        <v>12.43</v>
      </c>
      <c r="DO1308" s="15" t="n">
        <v>20.44</v>
      </c>
      <c r="DP1308" s="34" t="n">
        <v>46195</v>
      </c>
      <c r="DQ1308" s="15" t="n">
        <v>19.79</v>
      </c>
      <c r="DR1308" s="15" t="n">
        <v>37.19</v>
      </c>
      <c r="DS1308" s="34" t="n">
        <v>46195</v>
      </c>
      <c r="DT1308" s="15" t="n">
        <v>58.3</v>
      </c>
      <c r="DU1308" s="15" t="n">
        <v>94.34999999999999</v>
      </c>
      <c r="DV1308" s="34" t="n">
        <v>46195</v>
      </c>
      <c r="DW1308" s="15" t="n">
        <v>19.92</v>
      </c>
      <c r="DX1308" s="15" t="n">
        <v>41.08</v>
      </c>
      <c r="DY1308" s="34" t="n">
        <v>46195</v>
      </c>
      <c r="DZ1308" s="15" t="n">
        <v>186.2</v>
      </c>
      <c r="EA1308" s="15" t="n">
        <v>192.1</v>
      </c>
      <c r="EB1308" s="34" t="n">
        <v>46195</v>
      </c>
      <c r="EC1308" s="15" t="n">
        <v>10.88</v>
      </c>
      <c r="ED1308" s="15" t="n">
        <v>23.1</v>
      </c>
      <c r="EE1308" s="34" t="n">
        <v>46195</v>
      </c>
      <c r="EF1308" s="15" t="n">
        <v>421.6</v>
      </c>
      <c r="EG1308" s="15" t="n">
        <v>365.4</v>
      </c>
      <c r="EH1308" s="34" t="n">
        <v>46195</v>
      </c>
      <c r="EI1308" s="15" t="n">
        <v>74.55</v>
      </c>
      <c r="EJ1308" s="15" t="n">
        <v>79.36</v>
      </c>
      <c r="EK1308" s="34" t="n">
        <v>46195</v>
      </c>
      <c r="EL1308" s="15" t="n">
        <v>26.4</v>
      </c>
      <c r="EM1308" s="15" t="n">
        <v>27.08</v>
      </c>
      <c r="EN1308" s="34" t="n">
        <v>46195</v>
      </c>
      <c r="EO1308" s="15" t="n">
        <v>27.02</v>
      </c>
      <c r="EP1308" s="15" t="n">
        <v>44.8</v>
      </c>
      <c r="EQ1308" s="34" t="n">
        <v>46195</v>
      </c>
      <c r="ER1308" s="15" t="n">
        <v>66.75</v>
      </c>
      <c r="ES1308" s="15" t="n">
        <v>60.95</v>
      </c>
      <c r="ET1308" s="34" t="n">
        <v>46195</v>
      </c>
    </row>
    <row r="1309">
      <c r="A1309" s="34" t="n">
        <v>46196</v>
      </c>
      <c r="B1309" s="266" t="n">
        <v>1.156896948814392</v>
      </c>
      <c r="C1309" s="34" t="n">
        <v>46196</v>
      </c>
      <c r="D1309" s="15" t="n">
        <v>16.77</v>
      </c>
      <c r="E1309" s="15" t="n">
        <v>36.53</v>
      </c>
      <c r="F1309" s="34" t="n">
        <v>46196</v>
      </c>
      <c r="G1309" s="15" t="n">
        <v>96.8</v>
      </c>
      <c r="H1309" s="15" t="n">
        <v>128.7</v>
      </c>
      <c r="I1309" s="34" t="n">
        <v>46196</v>
      </c>
      <c r="J1309" s="15" t="n">
        <v>18.9</v>
      </c>
      <c r="K1309" s="15" t="n">
        <v>32.7</v>
      </c>
      <c r="L1309" s="34" t="n">
        <v>46196</v>
      </c>
      <c r="M1309" s="15" t="n">
        <v>42.34</v>
      </c>
      <c r="N1309" s="15" t="n">
        <v>61.32</v>
      </c>
      <c r="O1309" s="34" t="n">
        <v>46196</v>
      </c>
      <c r="P1309" s="15" t="n">
        <v>51.75</v>
      </c>
      <c r="Q1309" s="15" t="n">
        <v>56</v>
      </c>
      <c r="R1309" s="34" t="n">
        <v>46196</v>
      </c>
      <c r="S1309" s="15" t="n">
        <v>41.5</v>
      </c>
      <c r="T1309" s="15" t="n">
        <v>92.15000000000001</v>
      </c>
      <c r="U1309" s="34" t="n">
        <v>46196</v>
      </c>
      <c r="V1309" s="15" t="n">
        <v>14.5</v>
      </c>
      <c r="W1309" s="15" t="n">
        <v>19.94</v>
      </c>
      <c r="X1309" s="34" t="n">
        <v>46196</v>
      </c>
      <c r="Y1309" s="15" t="n">
        <v>81.7</v>
      </c>
      <c r="Z1309" s="15" t="n">
        <v>78.06999999999999</v>
      </c>
      <c r="AA1309" s="34" t="n">
        <v>46196</v>
      </c>
      <c r="AB1309" s="15" t="n">
        <v>13.11</v>
      </c>
      <c r="AC1309" s="15" t="n">
        <v>27.46</v>
      </c>
      <c r="AD1309" s="34" t="n">
        <v>46196</v>
      </c>
      <c r="AE1309" s="15" t="n">
        <v>29.44</v>
      </c>
      <c r="AF1309" s="15" t="n">
        <v>31.36</v>
      </c>
      <c r="AG1309" s="34" t="n">
        <v>46196</v>
      </c>
      <c r="AH1309" s="15" t="n">
        <v>24.98</v>
      </c>
      <c r="AI1309" s="15" t="n">
        <v>27.98</v>
      </c>
      <c r="AJ1309" s="34" t="n">
        <v>46196</v>
      </c>
      <c r="AK1309" s="15" t="n">
        <v>21.9</v>
      </c>
      <c r="AL1309" s="15" t="n">
        <v>59.35</v>
      </c>
      <c r="AM1309" s="34" t="n">
        <v>46196</v>
      </c>
      <c r="AN1309" s="15" t="n">
        <v>704</v>
      </c>
      <c r="AO1309" s="15" t="n">
        <v>392.51</v>
      </c>
      <c r="AP1309" s="34" t="n">
        <v>46196</v>
      </c>
      <c r="AQ1309" s="15" t="n">
        <v>56.15</v>
      </c>
      <c r="AR1309" s="15" t="n">
        <v>48.98</v>
      </c>
      <c r="AS1309" s="34" t="n">
        <v>46196</v>
      </c>
      <c r="AT1309" s="15" t="n">
        <v>16.35</v>
      </c>
      <c r="AU1309" s="15" t="n">
        <v>23.93</v>
      </c>
      <c r="AV1309" s="34" t="n">
        <v>46196</v>
      </c>
      <c r="AW1309" s="15" t="n">
        <v>30</v>
      </c>
      <c r="AX1309" s="15" t="n">
        <v>34.18</v>
      </c>
      <c r="AY1309" s="34" t="n">
        <v>46196</v>
      </c>
      <c r="AZ1309" s="15" t="n">
        <v>25.72</v>
      </c>
      <c r="BA1309" s="15" t="n">
        <v>43.19</v>
      </c>
      <c r="BB1309" s="34" t="n">
        <v>46196</v>
      </c>
      <c r="BC1309" s="15" t="n">
        <v>68.40000000000001</v>
      </c>
      <c r="BD1309" s="15" t="n">
        <v>83.40000000000001</v>
      </c>
      <c r="BE1309" s="34" t="n">
        <v>46196</v>
      </c>
      <c r="BF1309" s="15" t="n">
        <v>116.5</v>
      </c>
      <c r="BG1309" s="15" t="n">
        <v>204.13</v>
      </c>
      <c r="BH1309" s="34" t="n">
        <v>46196</v>
      </c>
      <c r="BI1309" s="15" t="n">
        <v>27.3</v>
      </c>
      <c r="BJ1309" s="15" t="n">
        <v>53.32</v>
      </c>
      <c r="BK1309" s="34" t="n">
        <v>46196</v>
      </c>
      <c r="BL1309" s="15" t="n">
        <v>103.7</v>
      </c>
      <c r="BM1309" s="15" t="n">
        <v>163.37</v>
      </c>
      <c r="BN1309" s="34" t="n">
        <v>46196</v>
      </c>
      <c r="BO1309" s="15" t="n">
        <v>8.5</v>
      </c>
      <c r="BP1309" s="15" t="n">
        <v>19.97</v>
      </c>
      <c r="BQ1309" s="34" t="n">
        <v>46196</v>
      </c>
      <c r="BR1309" s="15" t="n">
        <v>19.15</v>
      </c>
      <c r="BS1309" s="15" t="n">
        <v>18.05</v>
      </c>
      <c r="BT1309" s="34" t="n">
        <v>46196</v>
      </c>
      <c r="BU1309" s="15" t="n">
        <v>147</v>
      </c>
      <c r="BV1309" s="15" t="n">
        <v>238.37</v>
      </c>
      <c r="BW1309" s="34" t="n">
        <v>46196</v>
      </c>
      <c r="BX1309" s="15" t="n">
        <v>49.56</v>
      </c>
      <c r="BY1309" s="15" t="n">
        <v>63</v>
      </c>
      <c r="BZ1309" s="34" t="n">
        <v>46196</v>
      </c>
      <c r="CA1309" s="15" t="n">
        <v>13.86</v>
      </c>
      <c r="CB1309" s="15" t="n">
        <v>22.99</v>
      </c>
      <c r="CC1309" s="34" t="n">
        <v>46196</v>
      </c>
      <c r="CD1309" s="15" t="n">
        <v>28.4</v>
      </c>
      <c r="CE1309" s="15" t="n">
        <v>48.01</v>
      </c>
      <c r="CF1309" s="34" t="n">
        <v>46196</v>
      </c>
      <c r="CG1309" s="15" t="n">
        <v>207.2</v>
      </c>
      <c r="CH1309" s="15" t="n">
        <v>300</v>
      </c>
      <c r="CI1309" s="34" t="n">
        <v>46196</v>
      </c>
      <c r="CJ1309" s="15" t="n">
        <v>6.19</v>
      </c>
      <c r="CK1309" s="15" t="n">
        <v>21.17</v>
      </c>
      <c r="CL1309" s="34" t="n">
        <v>46196</v>
      </c>
      <c r="CM1309" s="15" t="n">
        <v>68.8</v>
      </c>
      <c r="CN1309" s="15" t="n">
        <v>87.7</v>
      </c>
      <c r="CO1309" s="34" t="n">
        <v>46196</v>
      </c>
      <c r="CP1309" s="15" t="n">
        <v>936.5</v>
      </c>
      <c r="CQ1309" s="15" t="n">
        <v>640.99</v>
      </c>
      <c r="CR1309" s="34" t="n">
        <v>46196</v>
      </c>
      <c r="CS1309" s="15" t="n">
        <v>23.84</v>
      </c>
      <c r="CT1309" s="15" t="n">
        <v>38.5</v>
      </c>
      <c r="CU1309" s="34" t="n">
        <v>46196</v>
      </c>
      <c r="CV1309" s="15" t="n">
        <v>109.8</v>
      </c>
      <c r="CW1309" s="15" t="n">
        <v>116.15</v>
      </c>
      <c r="CX1309" s="34" t="n">
        <v>46196</v>
      </c>
      <c r="CY1309" s="15" t="n">
        <v>50.3</v>
      </c>
      <c r="CZ1309" s="15" t="n">
        <v>55.65</v>
      </c>
      <c r="DA1309" s="34" t="n">
        <v>46196</v>
      </c>
      <c r="DB1309" s="15" t="n">
        <v>180.7</v>
      </c>
      <c r="DC1309" s="15" t="n">
        <v>346.44</v>
      </c>
      <c r="DD1309" s="34" t="n">
        <v>46196</v>
      </c>
      <c r="DE1309" s="15" t="n">
        <v>29.48</v>
      </c>
      <c r="DF1309" s="15" t="n">
        <v>33.02</v>
      </c>
      <c r="DG1309" s="34" t="n">
        <v>46196</v>
      </c>
      <c r="DH1309" s="15" t="n">
        <v>408.2</v>
      </c>
      <c r="DI1309" s="15" t="n">
        <v>258</v>
      </c>
      <c r="DJ1309" s="34" t="n">
        <v>46196</v>
      </c>
      <c r="DK1309" s="15" t="n">
        <v>34.7</v>
      </c>
      <c r="DL1309" s="15" t="n">
        <v>44.31</v>
      </c>
      <c r="DM1309" s="34" t="n">
        <v>46196</v>
      </c>
      <c r="DN1309" s="15" t="n">
        <v>12.43</v>
      </c>
      <c r="DO1309" s="15" t="n">
        <v>19.71</v>
      </c>
      <c r="DP1309" s="34" t="n">
        <v>46196</v>
      </c>
      <c r="DQ1309" s="15" t="n">
        <v>19.68</v>
      </c>
      <c r="DR1309" s="15" t="n">
        <v>38.25</v>
      </c>
      <c r="DS1309" s="34" t="n">
        <v>46196</v>
      </c>
      <c r="DT1309" s="15" t="n">
        <v>56.6</v>
      </c>
      <c r="DU1309" s="15" t="n">
        <v>92.95999999999999</v>
      </c>
      <c r="DV1309" s="34" t="n">
        <v>46196</v>
      </c>
      <c r="DW1309" s="15" t="n">
        <v>19.16</v>
      </c>
      <c r="DX1309" s="15" t="n">
        <v>39.2</v>
      </c>
      <c r="DY1309" s="34" t="n">
        <v>46196</v>
      </c>
      <c r="DZ1309" s="15" t="n">
        <v>170.2</v>
      </c>
      <c r="EA1309" s="15" t="n">
        <v>182.9</v>
      </c>
      <c r="EB1309" s="34" t="n">
        <v>46196</v>
      </c>
      <c r="EC1309" s="15" t="n">
        <v>12.07</v>
      </c>
      <c r="ED1309" s="15" t="n">
        <v>26.73</v>
      </c>
      <c r="EE1309" s="34" t="n">
        <v>46196</v>
      </c>
      <c r="EF1309" s="15" t="n">
        <v>370.2</v>
      </c>
      <c r="EG1309" s="15" t="n">
        <v>338.2</v>
      </c>
      <c r="EH1309" s="34" t="n">
        <v>46196</v>
      </c>
      <c r="EI1309" s="15" t="n">
        <v>68</v>
      </c>
      <c r="EJ1309" s="15" t="n">
        <v>76.06</v>
      </c>
      <c r="EK1309" s="34" t="n">
        <v>46196</v>
      </c>
      <c r="EL1309" s="15" t="n">
        <v>26</v>
      </c>
      <c r="EM1309" s="15" t="n">
        <v>27.58</v>
      </c>
      <c r="EN1309" s="34" t="n">
        <v>46196</v>
      </c>
      <c r="EO1309" s="15" t="n">
        <v>26.74</v>
      </c>
      <c r="EP1309" s="15" t="n">
        <v>45.4</v>
      </c>
      <c r="EQ1309" s="34" t="n">
        <v>46196</v>
      </c>
      <c r="ER1309" s="15" t="n">
        <v>64.40000000000001</v>
      </c>
      <c r="ES1309" s="15" t="n">
        <v>59.79</v>
      </c>
      <c r="ET1309" s="34" t="n">
        <v>46196</v>
      </c>
      <c r="EU1309" s="15" t="n">
        <v>11</v>
      </c>
      <c r="EV1309" s="15" t="n">
        <v>18.94</v>
      </c>
      <c r="EW1309" s="34" t="n">
        <v>46196</v>
      </c>
    </row>
    <row r="1310">
      <c r="A1310" s="34" t="n">
        <v>46197</v>
      </c>
      <c r="B1310" s="266" t="n">
        <v>1.154508948326111</v>
      </c>
      <c r="C1310" s="34" t="n">
        <v>46197</v>
      </c>
      <c r="D1310" s="15" t="n">
        <v>17.14</v>
      </c>
      <c r="E1310" s="15" t="n">
        <v>38.08</v>
      </c>
      <c r="F1310" s="34" t="n">
        <v>46197</v>
      </c>
      <c r="G1310" s="15" t="n">
        <v>109.5</v>
      </c>
      <c r="H1310" s="15" t="n">
        <v>141.57</v>
      </c>
      <c r="I1310" s="34" t="n">
        <v>46197</v>
      </c>
      <c r="J1310" s="15" t="n">
        <v>18.08</v>
      </c>
      <c r="K1310" s="15" t="n">
        <v>31.91</v>
      </c>
      <c r="L1310" s="34" t="n">
        <v>46197</v>
      </c>
      <c r="M1310" s="15" t="n">
        <v>43.32</v>
      </c>
      <c r="N1310" s="15" t="n">
        <v>66.13</v>
      </c>
      <c r="O1310" s="34" t="n">
        <v>46197</v>
      </c>
      <c r="P1310" s="15" t="n">
        <v>50.15</v>
      </c>
      <c r="Q1310" s="15" t="n">
        <v>54.62</v>
      </c>
      <c r="R1310" s="34" t="n">
        <v>46197</v>
      </c>
      <c r="S1310" s="15" t="n">
        <v>42.58</v>
      </c>
      <c r="T1310" s="15" t="n">
        <v>98.47</v>
      </c>
      <c r="U1310" s="34" t="n">
        <v>46197</v>
      </c>
      <c r="V1310" s="15" t="n">
        <v>13.65</v>
      </c>
      <c r="W1310" s="15" t="n">
        <v>19.37</v>
      </c>
      <c r="X1310" s="34" t="n">
        <v>46197</v>
      </c>
      <c r="Y1310" s="15" t="n">
        <v>79.90000000000001</v>
      </c>
      <c r="Z1310" s="15" t="n">
        <v>76.63</v>
      </c>
      <c r="AA1310" s="34" t="n">
        <v>46197</v>
      </c>
      <c r="AB1310" s="15" t="n">
        <v>13.63</v>
      </c>
      <c r="AC1310" s="15" t="n">
        <v>29.1</v>
      </c>
      <c r="AD1310" s="34" t="n">
        <v>46197</v>
      </c>
      <c r="AE1310" s="15" t="n">
        <v>29.54</v>
      </c>
      <c r="AF1310" s="15" t="n">
        <v>30.98</v>
      </c>
      <c r="AG1310" s="34" t="n">
        <v>46197</v>
      </c>
      <c r="AH1310" s="15" t="n">
        <v>24.62</v>
      </c>
      <c r="AI1310" s="15" t="n">
        <v>28.19</v>
      </c>
      <c r="AJ1310" s="34" t="n">
        <v>46197</v>
      </c>
      <c r="AK1310" s="15" t="n">
        <v>22.26</v>
      </c>
      <c r="AL1310" s="15" t="n">
        <v>60.05</v>
      </c>
      <c r="AM1310" s="34" t="n">
        <v>46197</v>
      </c>
      <c r="AN1310" s="15" t="n">
        <v>721.5</v>
      </c>
      <c r="AO1310" s="15" t="n">
        <v>395.36</v>
      </c>
      <c r="AP1310" s="34" t="n">
        <v>46197</v>
      </c>
      <c r="AQ1310" s="15" t="n">
        <v>56.6</v>
      </c>
      <c r="AR1310" s="15" t="n">
        <v>50.25</v>
      </c>
      <c r="AS1310" s="34" t="n">
        <v>46197</v>
      </c>
      <c r="AT1310" s="15" t="n">
        <v>17.8</v>
      </c>
      <c r="AU1310" s="15" t="n">
        <v>26.13</v>
      </c>
      <c r="AV1310" s="34" t="n">
        <v>46197</v>
      </c>
      <c r="AW1310" s="15" t="n">
        <v>30.1</v>
      </c>
      <c r="AX1310" s="15" t="n">
        <v>35.01</v>
      </c>
      <c r="AY1310" s="34" t="n">
        <v>46197</v>
      </c>
      <c r="AZ1310" s="15" t="n">
        <v>25.5</v>
      </c>
      <c r="BA1310" s="15" t="n">
        <v>43.9</v>
      </c>
      <c r="BB1310" s="34" t="n">
        <v>46197</v>
      </c>
      <c r="BC1310" s="15" t="n">
        <v>68.59999999999999</v>
      </c>
      <c r="BD1310" s="15" t="n">
        <v>84.5</v>
      </c>
      <c r="BE1310" s="34" t="n">
        <v>46197</v>
      </c>
      <c r="BF1310" s="15" t="n">
        <v>121.3</v>
      </c>
      <c r="BG1310" s="15" t="n">
        <v>211.08</v>
      </c>
      <c r="BH1310" s="34" t="n">
        <v>46197</v>
      </c>
      <c r="BI1310" s="15" t="n">
        <v>26.32</v>
      </c>
      <c r="BJ1310" s="15" t="n">
        <v>52.92</v>
      </c>
      <c r="BK1310" s="34" t="n">
        <v>46197</v>
      </c>
      <c r="BL1310" s="15" t="n">
        <v>109</v>
      </c>
      <c r="BM1310" s="15" t="n">
        <v>175.69</v>
      </c>
      <c r="BN1310" s="34" t="n">
        <v>46197</v>
      </c>
      <c r="BO1310" s="15" t="n">
        <v>8.109999999999999</v>
      </c>
      <c r="BP1310" s="15" t="n">
        <v>19.45</v>
      </c>
      <c r="BQ1310" s="34" t="n">
        <v>46197</v>
      </c>
      <c r="BR1310" s="15" t="n">
        <v>18.55</v>
      </c>
      <c r="BS1310" s="15" t="n">
        <v>17.62</v>
      </c>
      <c r="BT1310" s="34" t="n">
        <v>46197</v>
      </c>
      <c r="BU1310" s="15" t="n">
        <v>159</v>
      </c>
      <c r="BV1310" s="15" t="n">
        <v>262.21</v>
      </c>
      <c r="BW1310" s="34" t="n">
        <v>46197</v>
      </c>
      <c r="BX1310" s="15" t="n">
        <v>48.98</v>
      </c>
      <c r="BY1310" s="15" t="n">
        <v>61.8</v>
      </c>
      <c r="BZ1310" s="34" t="n">
        <v>46197</v>
      </c>
      <c r="CA1310" s="15" t="n">
        <v>13.69</v>
      </c>
      <c r="CB1310" s="15" t="n">
        <v>22.76</v>
      </c>
      <c r="CC1310" s="34" t="n">
        <v>46197</v>
      </c>
      <c r="CD1310" s="15" t="n">
        <v>27.8</v>
      </c>
      <c r="CE1310" s="15" t="n">
        <v>48.43</v>
      </c>
      <c r="CF1310" s="34" t="n">
        <v>46197</v>
      </c>
      <c r="CG1310" s="15" t="n">
        <v>213</v>
      </c>
      <c r="CH1310" s="15" t="n">
        <v>289</v>
      </c>
      <c r="CI1310" s="34" t="n">
        <v>46197</v>
      </c>
      <c r="CJ1310" s="15" t="n">
        <v>6.17</v>
      </c>
      <c r="CK1310" s="15" t="n">
        <v>20.72</v>
      </c>
      <c r="CL1310" s="34" t="n">
        <v>46197</v>
      </c>
      <c r="CM1310" s="15" t="n">
        <v>74.05</v>
      </c>
      <c r="CN1310" s="15" t="n">
        <v>90.3</v>
      </c>
      <c r="CO1310" s="34" t="n">
        <v>46197</v>
      </c>
      <c r="CP1310" s="15" t="n">
        <v>986.5</v>
      </c>
      <c r="CQ1310" s="15" t="n">
        <v>705.09</v>
      </c>
      <c r="CR1310" s="34" t="n">
        <v>46197</v>
      </c>
      <c r="CS1310" s="15" t="n">
        <v>24.2</v>
      </c>
      <c r="CT1310" s="15" t="n">
        <v>40.61</v>
      </c>
      <c r="CU1310" s="34" t="n">
        <v>46197</v>
      </c>
      <c r="CV1310" s="15" t="n">
        <v>106.3</v>
      </c>
      <c r="CW1310" s="15" t="n">
        <v>114.05</v>
      </c>
      <c r="CX1310" s="34" t="n">
        <v>46197</v>
      </c>
      <c r="CY1310" s="15" t="n">
        <v>49.56</v>
      </c>
      <c r="CZ1310" s="15" t="n">
        <v>54.45</v>
      </c>
      <c r="DA1310" s="34" t="n">
        <v>46197</v>
      </c>
      <c r="DB1310" s="15" t="n">
        <v>184.3</v>
      </c>
      <c r="DC1310" s="15" t="n">
        <v>357.46</v>
      </c>
      <c r="DD1310" s="34" t="n">
        <v>46197</v>
      </c>
      <c r="DE1310" s="15" t="n">
        <v>28.48</v>
      </c>
      <c r="DF1310" s="15" t="n">
        <v>32.53</v>
      </c>
      <c r="DG1310" s="34" t="n">
        <v>46197</v>
      </c>
      <c r="DH1310" s="15" t="n">
        <v>430.2</v>
      </c>
      <c r="DI1310" s="15" t="n">
        <v>266.49</v>
      </c>
      <c r="DJ1310" s="34" t="n">
        <v>46197</v>
      </c>
      <c r="DK1310" s="15" t="n">
        <v>34.94</v>
      </c>
      <c r="DL1310" s="15" t="n">
        <v>45.28</v>
      </c>
      <c r="DM1310" s="34" t="n">
        <v>46197</v>
      </c>
      <c r="DN1310" s="15" t="n">
        <v>11.7</v>
      </c>
      <c r="DO1310" s="15" t="n">
        <v>19.56</v>
      </c>
      <c r="DP1310" s="34" t="n">
        <v>46197</v>
      </c>
      <c r="DQ1310" s="15" t="n">
        <v>19.05</v>
      </c>
      <c r="DR1310" s="15" t="n">
        <v>37.62</v>
      </c>
      <c r="DS1310" s="34" t="n">
        <v>46197</v>
      </c>
      <c r="DT1310" s="15" t="n">
        <v>56.1</v>
      </c>
      <c r="DU1310" s="15" t="n">
        <v>91.16</v>
      </c>
      <c r="DV1310" s="34" t="n">
        <v>46197</v>
      </c>
      <c r="DW1310" s="15" t="n">
        <v>18.83</v>
      </c>
      <c r="DX1310" s="15" t="n">
        <v>39.19</v>
      </c>
      <c r="DY1310" s="34" t="n">
        <v>46197</v>
      </c>
      <c r="DZ1310" s="15" t="n">
        <v>170.6</v>
      </c>
      <c r="EA1310" s="15" t="n">
        <v>184</v>
      </c>
      <c r="EB1310" s="34" t="n">
        <v>46197</v>
      </c>
      <c r="EC1310" s="15" t="n">
        <v>11.57</v>
      </c>
      <c r="ED1310" s="15" t="n">
        <v>25.78</v>
      </c>
      <c r="EE1310" s="34" t="n">
        <v>46197</v>
      </c>
      <c r="EF1310" s="15" t="n">
        <v>368</v>
      </c>
      <c r="EG1310" s="15" t="n">
        <v>343.43</v>
      </c>
      <c r="EH1310" s="34" t="n">
        <v>46197</v>
      </c>
      <c r="EI1310" s="15" t="n">
        <v>69.05</v>
      </c>
      <c r="EJ1310" s="15" t="n">
        <v>76.78</v>
      </c>
      <c r="EK1310" s="34" t="n">
        <v>46197</v>
      </c>
      <c r="EL1310" s="15" t="n">
        <v>25.06</v>
      </c>
      <c r="EM1310" s="15" t="n">
        <v>27.68</v>
      </c>
      <c r="EN1310" s="34" t="n">
        <v>46197</v>
      </c>
      <c r="EO1310" s="15" t="n">
        <v>26.32</v>
      </c>
      <c r="EP1310" s="15" t="n">
        <v>43.9</v>
      </c>
      <c r="EQ1310" s="34" t="n">
        <v>46197</v>
      </c>
      <c r="ER1310" s="15" t="n">
        <v>64.55</v>
      </c>
      <c r="ES1310" s="15" t="n">
        <v>58.2</v>
      </c>
      <c r="ET1310" s="34" t="n">
        <v>46197</v>
      </c>
      <c r="EU1310" s="15" t="n">
        <v>9.56</v>
      </c>
      <c r="EV1310" s="15" t="n">
        <v>18.3</v>
      </c>
      <c r="EW1310" s="34" t="n">
        <v>46197</v>
      </c>
    </row>
    <row r="1311">
      <c r="A1311" s="34" t="n">
        <v>46198</v>
      </c>
      <c r="B1311" s="266" t="n">
        <v>1.154152035713196</v>
      </c>
      <c r="C1311" s="34" t="n">
        <v>46198</v>
      </c>
      <c r="D1311" s="15" t="n">
        <v>17.7</v>
      </c>
      <c r="E1311" s="15" t="n">
        <v>38.61</v>
      </c>
      <c r="F1311" s="34" t="n">
        <v>46198</v>
      </c>
      <c r="G1311" s="15" t="n">
        <v>108.5</v>
      </c>
      <c r="H1311" s="15" t="n">
        <v>151.46</v>
      </c>
      <c r="I1311" s="34" t="n">
        <v>46198</v>
      </c>
      <c r="J1311" s="15" t="n">
        <v>17.85</v>
      </c>
      <c r="K1311" s="15" t="n">
        <v>32.38</v>
      </c>
      <c r="L1311" s="34" t="n">
        <v>46198</v>
      </c>
      <c r="M1311" s="15" t="n">
        <v>41.42</v>
      </c>
      <c r="N1311" s="15" t="n">
        <v>64.64</v>
      </c>
      <c r="O1311" s="34" t="n">
        <v>46198</v>
      </c>
      <c r="P1311" s="15" t="n">
        <v>49.74</v>
      </c>
      <c r="Q1311" s="15" t="n">
        <v>55.66</v>
      </c>
      <c r="R1311" s="34" t="n">
        <v>46198</v>
      </c>
      <c r="S1311" s="15" t="n">
        <v>41.5</v>
      </c>
      <c r="T1311" s="15" t="n">
        <v>94.98</v>
      </c>
      <c r="U1311" s="34" t="n">
        <v>46198</v>
      </c>
      <c r="V1311" s="15" t="n">
        <v>13.72</v>
      </c>
      <c r="W1311" s="15" t="n">
        <v>19.01</v>
      </c>
      <c r="X1311" s="34" t="n">
        <v>46198</v>
      </c>
      <c r="Y1311" s="15" t="n">
        <v>79.2</v>
      </c>
      <c r="Z1311" s="15" t="n">
        <v>76.5</v>
      </c>
      <c r="AA1311" s="34" t="n">
        <v>46198</v>
      </c>
      <c r="AB1311" s="15" t="n">
        <v>12.77</v>
      </c>
      <c r="AC1311" s="15" t="n">
        <v>28.27</v>
      </c>
      <c r="AD1311" s="34" t="n">
        <v>46198</v>
      </c>
      <c r="AE1311" s="15" t="n">
        <v>30.14</v>
      </c>
      <c r="AF1311" s="15" t="n">
        <v>31.28</v>
      </c>
      <c r="AG1311" s="34" t="n">
        <v>46198</v>
      </c>
      <c r="AH1311" s="15" t="n">
        <v>23.4</v>
      </c>
      <c r="AI1311" s="15" t="n">
        <v>26.62</v>
      </c>
      <c r="AJ1311" s="34" t="n">
        <v>46198</v>
      </c>
      <c r="AK1311" s="15" t="n">
        <v>21.3</v>
      </c>
      <c r="AL1311" s="15" t="n">
        <v>58.1</v>
      </c>
      <c r="AM1311" s="34" t="n">
        <v>46198</v>
      </c>
      <c r="AN1311" s="15" t="n">
        <v>716.5</v>
      </c>
      <c r="AO1311" s="15" t="n">
        <v>401.9</v>
      </c>
      <c r="AP1311" s="34" t="n">
        <v>46198</v>
      </c>
      <c r="AQ1311" s="15" t="n">
        <v>56.6</v>
      </c>
      <c r="AR1311" s="15" t="n">
        <v>50.04</v>
      </c>
      <c r="AS1311" s="34" t="n">
        <v>46198</v>
      </c>
      <c r="AT1311" s="15" t="n">
        <v>17.8</v>
      </c>
      <c r="AU1311" s="15" t="n">
        <v>27.29</v>
      </c>
      <c r="AV1311" s="34" t="n">
        <v>46198</v>
      </c>
      <c r="AW1311" s="15" t="n">
        <v>29.64</v>
      </c>
      <c r="AX1311" s="15" t="n">
        <v>33.92</v>
      </c>
      <c r="AY1311" s="34" t="n">
        <v>46198</v>
      </c>
      <c r="AZ1311" s="15" t="n">
        <v>25.8</v>
      </c>
      <c r="BA1311" s="15" t="n">
        <v>43.94</v>
      </c>
      <c r="BB1311" s="34" t="n">
        <v>46198</v>
      </c>
      <c r="BC1311" s="15" t="n">
        <v>67.45</v>
      </c>
      <c r="BD1311" s="15" t="n">
        <v>82.84999999999999</v>
      </c>
      <c r="BE1311" s="34" t="n">
        <v>46198</v>
      </c>
      <c r="BF1311" s="15" t="n">
        <v>127.3</v>
      </c>
      <c r="BG1311" s="15" t="n">
        <v>208.92</v>
      </c>
      <c r="BH1311" s="34" t="n">
        <v>46198</v>
      </c>
      <c r="BI1311" s="15" t="n">
        <v>27.62</v>
      </c>
      <c r="BJ1311" s="15" t="n">
        <v>55.72</v>
      </c>
      <c r="BK1311" s="34" t="n">
        <v>46198</v>
      </c>
      <c r="BL1311" s="15" t="n">
        <v>105</v>
      </c>
      <c r="BM1311" s="15" t="n">
        <v>172.28</v>
      </c>
      <c r="BN1311" s="34" t="n">
        <v>46198</v>
      </c>
      <c r="BO1311" s="15" t="n">
        <v>7.71</v>
      </c>
      <c r="BP1311" s="15" t="n">
        <v>19</v>
      </c>
      <c r="BQ1311" s="34" t="n">
        <v>46198</v>
      </c>
      <c r="BR1311" s="15" t="n">
        <v>18.7</v>
      </c>
      <c r="BS1311" s="15" t="n">
        <v>17.75</v>
      </c>
      <c r="BT1311" s="34" t="n">
        <v>46198</v>
      </c>
      <c r="BU1311" s="15" t="n">
        <v>160.2</v>
      </c>
      <c r="BV1311" s="15" t="n">
        <v>260.4</v>
      </c>
      <c r="BW1311" s="34" t="n">
        <v>46198</v>
      </c>
      <c r="BX1311" s="15" t="n">
        <v>48.8</v>
      </c>
      <c r="BY1311" s="15" t="n">
        <v>62.7</v>
      </c>
      <c r="BZ1311" s="34" t="n">
        <v>46198</v>
      </c>
      <c r="CA1311" s="15" t="n">
        <v>13.16</v>
      </c>
      <c r="CB1311" s="15" t="n">
        <v>22.77</v>
      </c>
      <c r="CC1311" s="34" t="n">
        <v>46198</v>
      </c>
      <c r="CD1311" s="15" t="n">
        <v>25.82</v>
      </c>
      <c r="CE1311" s="15" t="n">
        <v>46.77</v>
      </c>
      <c r="CF1311" s="34" t="n">
        <v>46198</v>
      </c>
      <c r="CG1311" s="15" t="n">
        <v>223.4</v>
      </c>
      <c r="CH1311" s="15" t="n">
        <v>283.55</v>
      </c>
      <c r="CI1311" s="34" t="n">
        <v>46198</v>
      </c>
      <c r="CJ1311" s="15" t="n">
        <v>6.28</v>
      </c>
      <c r="CK1311" s="15" t="n">
        <v>20.39</v>
      </c>
      <c r="CL1311" s="34" t="n">
        <v>46198</v>
      </c>
      <c r="CM1311" s="15" t="n">
        <v>72</v>
      </c>
      <c r="CN1311" s="15" t="n">
        <v>89.70999999999999</v>
      </c>
      <c r="CO1311" s="34" t="n">
        <v>46198</v>
      </c>
      <c r="CP1311" s="15" t="n">
        <v>1108</v>
      </c>
      <c r="CQ1311" s="15" t="n">
        <v>775.21</v>
      </c>
      <c r="CR1311" s="34" t="n">
        <v>46198</v>
      </c>
      <c r="CS1311" s="15" t="n">
        <v>26.46</v>
      </c>
      <c r="CT1311" s="15" t="n">
        <v>41.94</v>
      </c>
      <c r="CU1311" s="34" t="n">
        <v>46198</v>
      </c>
      <c r="CV1311" s="15" t="n">
        <v>106.1</v>
      </c>
      <c r="CW1311" s="15" t="n">
        <v>112.73</v>
      </c>
      <c r="CX1311" s="34" t="n">
        <v>46198</v>
      </c>
      <c r="CY1311" s="15" t="n">
        <v>47.58</v>
      </c>
      <c r="CZ1311" s="15" t="n">
        <v>53.13</v>
      </c>
      <c r="DA1311" s="34" t="n">
        <v>46198</v>
      </c>
      <c r="DB1311" s="15" t="n">
        <v>195.5</v>
      </c>
      <c r="DC1311" s="15" t="n">
        <v>387.54</v>
      </c>
      <c r="DD1311" s="34" t="n">
        <v>46198</v>
      </c>
      <c r="DE1311" s="15" t="n">
        <v>27.96</v>
      </c>
      <c r="DF1311" s="15" t="n">
        <v>32.36</v>
      </c>
      <c r="DG1311" s="34" t="n">
        <v>46198</v>
      </c>
      <c r="DH1311" s="15" t="n">
        <v>459</v>
      </c>
      <c r="DI1311" s="15" t="n">
        <v>279.16</v>
      </c>
      <c r="DJ1311" s="34" t="n">
        <v>46198</v>
      </c>
      <c r="DK1311" s="15" t="n">
        <v>33.52</v>
      </c>
      <c r="DL1311" s="15" t="n">
        <v>43.95</v>
      </c>
      <c r="DM1311" s="34" t="n">
        <v>46198</v>
      </c>
      <c r="DN1311" s="15" t="n">
        <v>11.17</v>
      </c>
      <c r="DO1311" s="15" t="n">
        <v>19.16</v>
      </c>
      <c r="DP1311" s="34" t="n">
        <v>46198</v>
      </c>
      <c r="DQ1311" s="15" t="n">
        <v>18.2</v>
      </c>
      <c r="DR1311" s="15" t="n">
        <v>36.87</v>
      </c>
      <c r="DS1311" s="34" t="n">
        <v>46198</v>
      </c>
      <c r="DT1311" s="15" t="n">
        <v>51.05</v>
      </c>
      <c r="DU1311" s="15" t="n">
        <v>87.66</v>
      </c>
      <c r="DV1311" s="34" t="n">
        <v>46198</v>
      </c>
      <c r="DW1311" s="15" t="n">
        <v>17.88</v>
      </c>
      <c r="DX1311" s="15" t="n">
        <v>37.48</v>
      </c>
      <c r="DY1311" s="34" t="n">
        <v>46198</v>
      </c>
      <c r="DZ1311" s="15" t="n">
        <v>189.5</v>
      </c>
      <c r="EA1311" s="15" t="n">
        <v>200.8</v>
      </c>
      <c r="EB1311" s="34" t="n">
        <v>46198</v>
      </c>
      <c r="EC1311" s="15" t="n">
        <v>12.88</v>
      </c>
      <c r="ED1311" s="15" t="n">
        <v>29.03</v>
      </c>
      <c r="EE1311" s="34" t="n">
        <v>46198</v>
      </c>
      <c r="EF1311" s="15" t="n">
        <v>367.6</v>
      </c>
      <c r="EG1311" s="15" t="n">
        <v>350.16</v>
      </c>
      <c r="EH1311" s="34" t="n">
        <v>46198</v>
      </c>
      <c r="EI1311" s="15" t="n">
        <v>69.2</v>
      </c>
      <c r="EJ1311" s="15" t="n">
        <v>76.94</v>
      </c>
      <c r="EK1311" s="34" t="n">
        <v>46198</v>
      </c>
      <c r="EL1311" s="15" t="n">
        <v>22.84</v>
      </c>
      <c r="EM1311" s="15" t="n">
        <v>27.72</v>
      </c>
      <c r="EN1311" s="34" t="n">
        <v>46198</v>
      </c>
      <c r="EO1311" s="15" t="n">
        <v>27.52</v>
      </c>
      <c r="EP1311" s="15" t="n">
        <v>44.43</v>
      </c>
      <c r="EQ1311" s="34" t="n">
        <v>46198</v>
      </c>
      <c r="ER1311" s="15" t="n">
        <v>64.15000000000001</v>
      </c>
      <c r="ES1311" s="15" t="n">
        <v>56.6</v>
      </c>
      <c r="ET1311" s="34" t="n">
        <v>46198</v>
      </c>
      <c r="EU1311" s="15" t="n">
        <v>9.619999999999999</v>
      </c>
      <c r="EV1311" s="15" t="n">
        <v>17.82</v>
      </c>
      <c r="EW1311" s="34" t="n">
        <v>46198</v>
      </c>
    </row>
    <row r="1312">
      <c r="A1312" s="34" t="n">
        <v>46199</v>
      </c>
      <c r="B1312" s="266" t="n">
        <v>1.154500961303711</v>
      </c>
      <c r="C1312" s="34" t="n">
        <v>46199</v>
      </c>
      <c r="D1312" s="15" t="n">
        <v>18.12</v>
      </c>
      <c r="E1312" s="15" t="n">
        <v>37.08</v>
      </c>
      <c r="F1312" s="34" t="n">
        <v>46199</v>
      </c>
      <c r="G1312" s="15" t="n">
        <v>111.3</v>
      </c>
      <c r="H1312" s="15" t="n">
        <v>152.5</v>
      </c>
      <c r="I1312" s="34" t="n">
        <v>46199</v>
      </c>
      <c r="J1312" s="15" t="n">
        <v>16.39</v>
      </c>
      <c r="K1312" s="15" t="n">
        <v>30.07</v>
      </c>
      <c r="L1312" s="34" t="n">
        <v>46199</v>
      </c>
      <c r="M1312" s="15" t="n">
        <v>38.64</v>
      </c>
      <c r="N1312" s="15" t="n">
        <v>58.92</v>
      </c>
      <c r="O1312" s="34" t="n">
        <v>46199</v>
      </c>
      <c r="P1312" s="15" t="n">
        <v>47.74</v>
      </c>
      <c r="Q1312" s="15" t="n">
        <v>53.32</v>
      </c>
      <c r="R1312" s="34" t="n">
        <v>46199</v>
      </c>
      <c r="S1312" s="15" t="n">
        <v>40.5</v>
      </c>
      <c r="T1312" s="15" t="n">
        <v>92.13</v>
      </c>
      <c r="U1312" s="34" t="n">
        <v>46199</v>
      </c>
      <c r="V1312" s="15" t="n">
        <v>13.4</v>
      </c>
      <c r="W1312" s="15" t="n">
        <v>19.17</v>
      </c>
      <c r="X1312" s="34" t="n">
        <v>46199</v>
      </c>
      <c r="Y1312" s="15" t="n">
        <v>80.34999999999999</v>
      </c>
      <c r="Z1312" s="15" t="n">
        <v>78.55</v>
      </c>
      <c r="AA1312" s="34" t="n">
        <v>46199</v>
      </c>
      <c r="AB1312" s="15" t="n">
        <v>10.75</v>
      </c>
      <c r="AC1312" s="15" t="n">
        <v>25.9</v>
      </c>
      <c r="AD1312" s="34" t="n">
        <v>46199</v>
      </c>
      <c r="AE1312" s="15" t="n">
        <v>29.22</v>
      </c>
      <c r="AF1312" s="15" t="n">
        <v>30.82</v>
      </c>
      <c r="AG1312" s="34" t="n">
        <v>46199</v>
      </c>
      <c r="AH1312" s="15" t="n">
        <v>23.4</v>
      </c>
      <c r="AI1312" s="15" t="n">
        <v>25.93</v>
      </c>
      <c r="AJ1312" s="34" t="n">
        <v>46199</v>
      </c>
      <c r="AK1312" s="15" t="n">
        <v>20.46</v>
      </c>
      <c r="AL1312" s="15" t="n">
        <v>57.13</v>
      </c>
      <c r="AM1312" s="34" t="n">
        <v>46199</v>
      </c>
      <c r="AN1312" s="15" t="n">
        <v>680.5</v>
      </c>
      <c r="AO1312" s="15" t="n">
        <v>381</v>
      </c>
      <c r="AP1312" s="34" t="n">
        <v>46199</v>
      </c>
      <c r="AQ1312" s="15" t="n">
        <v>52.95</v>
      </c>
      <c r="AR1312" s="15" t="n">
        <v>48.67</v>
      </c>
      <c r="AS1312" s="34" t="n">
        <v>46199</v>
      </c>
      <c r="AT1312" s="15" t="n">
        <v>17.55</v>
      </c>
      <c r="AU1312" s="15" t="n">
        <v>26.41</v>
      </c>
      <c r="AV1312" s="34" t="n">
        <v>46199</v>
      </c>
      <c r="AW1312" s="15" t="n">
        <v>29</v>
      </c>
      <c r="AX1312" s="15" t="n">
        <v>32.98</v>
      </c>
      <c r="AY1312" s="34" t="n">
        <v>46199</v>
      </c>
      <c r="AZ1312" s="15" t="n">
        <v>24.42</v>
      </c>
      <c r="BA1312" s="15" t="n">
        <v>41.5</v>
      </c>
      <c r="BB1312" s="34" t="n">
        <v>46199</v>
      </c>
      <c r="BC1312" s="15" t="n">
        <v>65.25</v>
      </c>
      <c r="BD1312" s="15" t="n">
        <v>79.77</v>
      </c>
      <c r="BE1312" s="34" t="n">
        <v>46199</v>
      </c>
      <c r="BF1312" s="15" t="n">
        <v>121</v>
      </c>
      <c r="BG1312" s="15" t="n">
        <v>199.53</v>
      </c>
      <c r="BH1312" s="34" t="n">
        <v>46199</v>
      </c>
      <c r="BI1312" s="15" t="n">
        <v>27.34</v>
      </c>
      <c r="BJ1312" s="15" t="n">
        <v>55.59</v>
      </c>
      <c r="BK1312" s="34" t="n">
        <v>46199</v>
      </c>
      <c r="BL1312" s="15" t="n">
        <v>101.9</v>
      </c>
      <c r="BM1312" s="15" t="n">
        <v>168.63</v>
      </c>
      <c r="BN1312" s="34" t="n">
        <v>46199</v>
      </c>
      <c r="BO1312" s="15" t="n">
        <v>7.83</v>
      </c>
      <c r="BP1312" s="15" t="n">
        <v>19</v>
      </c>
      <c r="BQ1312" s="34" t="n">
        <v>46199</v>
      </c>
      <c r="BR1312" s="15" t="n">
        <v>18.49</v>
      </c>
      <c r="BS1312" s="15" t="n">
        <v>17.68</v>
      </c>
      <c r="BT1312" s="34" t="n">
        <v>46199</v>
      </c>
      <c r="BU1312" s="15" t="n">
        <v>148.3</v>
      </c>
      <c r="BV1312" s="15" t="n">
        <v>245.92</v>
      </c>
      <c r="BW1312" s="34" t="n">
        <v>46199</v>
      </c>
      <c r="BX1312" s="15" t="n">
        <v>46.46</v>
      </c>
      <c r="BY1312" s="15" t="n">
        <v>59.8</v>
      </c>
      <c r="BZ1312" s="34" t="n">
        <v>46199</v>
      </c>
      <c r="CA1312" s="15" t="n">
        <v>12.51</v>
      </c>
      <c r="CB1312" s="15" t="n">
        <v>21.1</v>
      </c>
      <c r="CC1312" s="34" t="n">
        <v>46199</v>
      </c>
      <c r="CD1312" s="15" t="n">
        <v>24.36</v>
      </c>
      <c r="CE1312" s="15" t="n">
        <v>42.72</v>
      </c>
      <c r="CF1312" s="34" t="n">
        <v>46199</v>
      </c>
      <c r="CG1312" s="15" t="n">
        <v>195.2</v>
      </c>
      <c r="CH1312" s="15" t="n">
        <v>273.33</v>
      </c>
      <c r="CI1312" s="34" t="n">
        <v>46199</v>
      </c>
      <c r="CJ1312" s="15" t="n">
        <v>6.02</v>
      </c>
      <c r="CK1312" s="15" t="n">
        <v>18.5</v>
      </c>
      <c r="CL1312" s="34" t="n">
        <v>46199</v>
      </c>
      <c r="CM1312" s="15" t="n">
        <v>71.3</v>
      </c>
      <c r="CN1312" s="15" t="n">
        <v>86.72</v>
      </c>
      <c r="CO1312" s="34" t="n">
        <v>46199</v>
      </c>
      <c r="CP1312" s="15" t="n">
        <v>1083</v>
      </c>
      <c r="CQ1312" s="15" t="n">
        <v>770</v>
      </c>
      <c r="CR1312" s="34" t="n">
        <v>46199</v>
      </c>
      <c r="CS1312" s="15" t="n">
        <v>25.26</v>
      </c>
      <c r="CT1312" s="15" t="n">
        <v>42.55</v>
      </c>
      <c r="CU1312" s="34" t="n">
        <v>46199</v>
      </c>
      <c r="CV1312" s="15" t="n">
        <v>104.4</v>
      </c>
      <c r="CW1312" s="15" t="n">
        <v>110.9</v>
      </c>
      <c r="CX1312" s="34" t="n">
        <v>46199</v>
      </c>
      <c r="CY1312" s="15" t="n">
        <v>45.6</v>
      </c>
      <c r="CZ1312" s="15" t="n">
        <v>51.1</v>
      </c>
      <c r="DA1312" s="34" t="n">
        <v>46199</v>
      </c>
      <c r="DB1312" s="15" t="n">
        <v>180</v>
      </c>
      <c r="DC1312" s="15" t="n">
        <v>370.78</v>
      </c>
      <c r="DD1312" s="34" t="n">
        <v>46199</v>
      </c>
      <c r="DE1312" s="15" t="n">
        <v>29.06</v>
      </c>
      <c r="DF1312" s="15" t="n">
        <v>33.56</v>
      </c>
      <c r="DG1312" s="34" t="n">
        <v>46199</v>
      </c>
      <c r="DH1312" s="15" t="n">
        <v>419.8</v>
      </c>
      <c r="DI1312" s="15" t="n">
        <v>261.82</v>
      </c>
      <c r="DJ1312" s="34" t="n">
        <v>46199</v>
      </c>
      <c r="DK1312" s="15" t="n">
        <v>31.04</v>
      </c>
      <c r="DL1312" s="15" t="n">
        <v>40.83</v>
      </c>
      <c r="DM1312" s="34" t="n">
        <v>46199</v>
      </c>
      <c r="DN1312" s="15" t="n">
        <v>10.95</v>
      </c>
      <c r="DO1312" s="15" t="n">
        <v>17.77</v>
      </c>
      <c r="DP1312" s="34" t="n">
        <v>46199</v>
      </c>
      <c r="DQ1312" s="15" t="n">
        <v>17.48</v>
      </c>
      <c r="DR1312" s="15" t="n">
        <v>34.67</v>
      </c>
      <c r="DS1312" s="34" t="n">
        <v>46199</v>
      </c>
      <c r="DT1312" s="15" t="n">
        <v>44.22</v>
      </c>
      <c r="DU1312" s="15" t="n">
        <v>81.55</v>
      </c>
      <c r="DV1312" s="34" t="n">
        <v>46199</v>
      </c>
      <c r="DW1312" s="15" t="n">
        <v>16.89</v>
      </c>
      <c r="DX1312" s="15" t="n">
        <v>35.65</v>
      </c>
      <c r="DY1312" s="34" t="n">
        <v>46199</v>
      </c>
      <c r="DZ1312" s="15" t="n">
        <v>206.2</v>
      </c>
      <c r="EA1312" s="15" t="n">
        <v>220.88</v>
      </c>
      <c r="EB1312" s="34" t="n">
        <v>46199</v>
      </c>
      <c r="EC1312" s="15" t="n">
        <v>12.72</v>
      </c>
      <c r="ED1312" s="15" t="n">
        <v>28.11</v>
      </c>
      <c r="EE1312" s="34" t="n">
        <v>46199</v>
      </c>
      <c r="EF1312" s="15" t="n">
        <v>342.4</v>
      </c>
      <c r="EG1312" s="15" t="n">
        <v>319.55</v>
      </c>
      <c r="EH1312" s="34" t="n">
        <v>46199</v>
      </c>
      <c r="EI1312" s="15" t="n">
        <v>63.5</v>
      </c>
      <c r="EJ1312" s="15" t="n">
        <v>69.25</v>
      </c>
      <c r="EK1312" s="34" t="n">
        <v>46199</v>
      </c>
      <c r="EL1312" s="15" t="n">
        <v>22.78</v>
      </c>
      <c r="EM1312" s="15" t="n">
        <v>25.82</v>
      </c>
      <c r="EN1312" s="34" t="n">
        <v>46199</v>
      </c>
      <c r="EO1312" s="15" t="n">
        <v>26.6</v>
      </c>
      <c r="EP1312" s="15" t="n">
        <v>43.46</v>
      </c>
      <c r="EQ1312" s="34" t="n">
        <v>46199</v>
      </c>
      <c r="ER1312" s="15" t="n">
        <v>64.55</v>
      </c>
      <c r="ES1312" s="15" t="n">
        <v>55.55</v>
      </c>
      <c r="ET1312" s="34" t="n">
        <v>46199</v>
      </c>
      <c r="EU1312" s="15" t="n">
        <v>9.130000000000001</v>
      </c>
      <c r="EV1312" s="15" t="n">
        <v>16.59</v>
      </c>
      <c r="EW1312" s="34" t="n">
        <v>46199</v>
      </c>
      <c r="EX1312" s="15" t="n">
        <v>125.3</v>
      </c>
      <c r="EY1312" s="15" t="n">
        <v>131.55</v>
      </c>
      <c r="EZ1312" s="34" t="n">
        <v>46199</v>
      </c>
      <c r="FA1312" s="15" t="n">
        <v>9.710000000000001</v>
      </c>
      <c r="FB1312" s="15" t="n">
        <v>16.41</v>
      </c>
      <c r="FC1312" s="34" t="n">
        <v>46199</v>
      </c>
      <c r="FD1312" s="15" t="n">
        <v>515</v>
      </c>
      <c r="FE1312" s="15" t="n">
        <v>527.97</v>
      </c>
      <c r="FF1312" s="34" t="n">
        <v>46199</v>
      </c>
    </row>
    <row r="1313">
      <c r="A1313" s="34" t="n">
        <v>46202</v>
      </c>
      <c r="B1313" s="266" t="n">
        <v>1.153512001037598</v>
      </c>
      <c r="C1313" s="34" t="n">
        <v>46202</v>
      </c>
      <c r="D1313" s="15" t="n">
        <v>19.5</v>
      </c>
      <c r="E1313" s="15" t="n">
        <v>39.6</v>
      </c>
      <c r="F1313" s="34" t="n">
        <v>46202</v>
      </c>
      <c r="G1313" s="15" t="n">
        <v>123.7</v>
      </c>
      <c r="H1313" s="15" t="n">
        <v>167.75</v>
      </c>
      <c r="I1313" s="34" t="n">
        <v>46202</v>
      </c>
      <c r="J1313" s="15" t="n">
        <v>16.12</v>
      </c>
      <c r="K1313" s="15" t="n">
        <v>29.43</v>
      </c>
      <c r="L1313" s="34" t="n">
        <v>46202</v>
      </c>
      <c r="M1313" s="15" t="n">
        <v>39.6</v>
      </c>
      <c r="N1313" s="15" t="n">
        <v>59.87</v>
      </c>
      <c r="O1313" s="34" t="n">
        <v>46202</v>
      </c>
      <c r="P1313" s="15" t="n">
        <v>48.24</v>
      </c>
      <c r="Q1313" s="15" t="n">
        <v>53.6</v>
      </c>
      <c r="R1313" s="34" t="n">
        <v>46202</v>
      </c>
      <c r="S1313" s="15" t="n">
        <v>46.88</v>
      </c>
      <c r="T1313" s="15" t="n">
        <v>110.56</v>
      </c>
      <c r="U1313" s="34" t="n">
        <v>46202</v>
      </c>
      <c r="V1313" s="15" t="n">
        <v>12.91</v>
      </c>
      <c r="W1313" s="15" t="n">
        <v>18.53</v>
      </c>
      <c r="X1313" s="34" t="n">
        <v>46202</v>
      </c>
      <c r="Y1313" s="15" t="n">
        <v>84.05</v>
      </c>
      <c r="Z1313" s="15" t="n">
        <v>77.27</v>
      </c>
      <c r="AA1313" s="34" t="n">
        <v>46202</v>
      </c>
      <c r="AB1313" s="15" t="n">
        <v>11.06</v>
      </c>
      <c r="AC1313" s="15" t="n">
        <v>25.68</v>
      </c>
      <c r="AD1313" s="34" t="n">
        <v>46202</v>
      </c>
      <c r="AE1313" s="15" t="n">
        <v>30.16</v>
      </c>
      <c r="AF1313" s="15" t="n">
        <v>31.33</v>
      </c>
      <c r="AG1313" s="34" t="n">
        <v>46202</v>
      </c>
      <c r="AH1313" s="15" t="n">
        <v>23.58</v>
      </c>
      <c r="AI1313" s="15" t="n">
        <v>26.68</v>
      </c>
      <c r="AJ1313" s="34" t="n">
        <v>46202</v>
      </c>
      <c r="AK1313" s="15" t="n">
        <v>20.56</v>
      </c>
      <c r="AL1313" s="15" t="n">
        <v>56.55</v>
      </c>
      <c r="AM1313" s="34" t="n">
        <v>46202</v>
      </c>
      <c r="AN1313" s="15" t="n">
        <v>695</v>
      </c>
      <c r="AO1313" s="15" t="n">
        <v>392.36</v>
      </c>
      <c r="AP1313" s="34" t="n">
        <v>46202</v>
      </c>
      <c r="AQ1313" s="15" t="n">
        <v>58.15</v>
      </c>
      <c r="AR1313" s="15" t="n">
        <v>52.93</v>
      </c>
      <c r="AS1313" s="34" t="n">
        <v>46202</v>
      </c>
      <c r="AT1313" s="15" t="n">
        <v>17.05</v>
      </c>
      <c r="AU1313" s="15" t="n">
        <v>26.03</v>
      </c>
      <c r="AV1313" s="34" t="n">
        <v>46202</v>
      </c>
      <c r="AW1313" s="15" t="n">
        <v>30.8</v>
      </c>
      <c r="AX1313" s="15" t="n">
        <v>34.08</v>
      </c>
      <c r="AY1313" s="34" t="n">
        <v>46202</v>
      </c>
      <c r="AZ1313" s="15" t="n">
        <v>25.16</v>
      </c>
      <c r="BA1313" s="15" t="n">
        <v>41.27</v>
      </c>
      <c r="BB1313" s="34" t="n">
        <v>46202</v>
      </c>
      <c r="BC1313" s="15" t="n">
        <v>68.34999999999999</v>
      </c>
      <c r="BD1313" s="15" t="n">
        <v>82.81</v>
      </c>
      <c r="BE1313" s="34" t="n">
        <v>46202</v>
      </c>
      <c r="BF1313" s="15" t="n">
        <v>127.2</v>
      </c>
      <c r="BG1313" s="15" t="n">
        <v>201.45</v>
      </c>
      <c r="BH1313" s="34" t="n">
        <v>46202</v>
      </c>
      <c r="BI1313" s="15" t="n">
        <v>26.36</v>
      </c>
      <c r="BJ1313" s="15" t="n">
        <v>51.83</v>
      </c>
      <c r="BK1313" s="34" t="n">
        <v>46202</v>
      </c>
      <c r="BL1313" s="15" t="n">
        <v>104.9</v>
      </c>
      <c r="BM1313" s="15" t="n">
        <v>175.28</v>
      </c>
      <c r="BN1313" s="34" t="n">
        <v>46202</v>
      </c>
      <c r="BO1313" s="15" t="n">
        <v>7.66</v>
      </c>
      <c r="BP1313" s="15" t="n">
        <v>17.95</v>
      </c>
      <c r="BQ1313" s="34" t="n">
        <v>46202</v>
      </c>
      <c r="BR1313" s="15" t="n">
        <v>18.64</v>
      </c>
      <c r="BS1313" s="15" t="n">
        <v>18.02</v>
      </c>
      <c r="BT1313" s="34" t="n">
        <v>46202</v>
      </c>
      <c r="BU1313" s="15" t="n">
        <v>144.3</v>
      </c>
      <c r="BV1313" s="15" t="n">
        <v>247.78</v>
      </c>
      <c r="BW1313" s="34" t="n">
        <v>46202</v>
      </c>
      <c r="BX1313" s="15" t="n">
        <v>46.16</v>
      </c>
      <c r="BY1313" s="15" t="n">
        <v>60.72</v>
      </c>
      <c r="BZ1313" s="34" t="n">
        <v>46202</v>
      </c>
      <c r="CA1313" s="15" t="n">
        <v>12.43</v>
      </c>
      <c r="CB1313" s="15" t="n">
        <v>20.9</v>
      </c>
      <c r="CC1313" s="34" t="n">
        <v>46202</v>
      </c>
      <c r="CD1313" s="15" t="n">
        <v>25.22</v>
      </c>
      <c r="CE1313" s="15" t="n">
        <v>42.93</v>
      </c>
      <c r="CF1313" s="34" t="n">
        <v>46202</v>
      </c>
      <c r="CG1313" s="15" t="n">
        <v>196.5</v>
      </c>
      <c r="CH1313" s="15" t="n">
        <v>268.3</v>
      </c>
      <c r="CI1313" s="34" t="n">
        <v>46202</v>
      </c>
      <c r="CJ1313" s="15" t="n">
        <v>6.1</v>
      </c>
      <c r="CK1313" s="15" t="n">
        <v>18.34</v>
      </c>
      <c r="CL1313" s="34" t="n">
        <v>46202</v>
      </c>
      <c r="CM1313" s="15" t="n">
        <v>73.09999999999999</v>
      </c>
      <c r="CN1313" s="15" t="n">
        <v>88.3</v>
      </c>
      <c r="CO1313" s="34" t="n">
        <v>46202</v>
      </c>
      <c r="CP1313" s="15" t="n">
        <v>1241</v>
      </c>
      <c r="CQ1313" s="15" t="n">
        <v>840</v>
      </c>
      <c r="CR1313" s="34" t="n">
        <v>46202</v>
      </c>
      <c r="CS1313" s="15" t="n">
        <v>24.58</v>
      </c>
      <c r="CT1313" s="15" t="n">
        <v>41.31</v>
      </c>
      <c r="CU1313" s="34" t="n">
        <v>46202</v>
      </c>
      <c r="CV1313" s="15" t="n">
        <v>110</v>
      </c>
      <c r="CW1313" s="15" t="n">
        <v>121.99</v>
      </c>
      <c r="CX1313" s="34" t="n">
        <v>46202</v>
      </c>
      <c r="CY1313" s="15" t="n">
        <v>42.96</v>
      </c>
      <c r="CZ1313" s="15" t="n">
        <v>51.42</v>
      </c>
      <c r="DA1313" s="34" t="n">
        <v>46202</v>
      </c>
      <c r="DB1313" s="15" t="n">
        <v>173.4</v>
      </c>
      <c r="DC1313" s="15" t="n">
        <v>343.45</v>
      </c>
      <c r="DD1313" s="34" t="n">
        <v>46202</v>
      </c>
      <c r="DE1313" s="15" t="n">
        <v>30.26</v>
      </c>
      <c r="DF1313" s="15" t="n">
        <v>35.99</v>
      </c>
      <c r="DG1313" s="34" t="n">
        <v>46202</v>
      </c>
      <c r="DH1313" s="15" t="n">
        <v>447.6</v>
      </c>
      <c r="DI1313" s="15" t="n">
        <v>296.06</v>
      </c>
      <c r="DJ1313" s="34" t="n">
        <v>46202</v>
      </c>
      <c r="DK1313" s="15" t="n">
        <v>31.48</v>
      </c>
      <c r="DL1313" s="15" t="n">
        <v>40.02</v>
      </c>
      <c r="DM1313" s="34" t="n">
        <v>46202</v>
      </c>
      <c r="DN1313" s="15" t="n">
        <v>10.87</v>
      </c>
      <c r="DO1313" s="15" t="n">
        <v>17.54</v>
      </c>
      <c r="DP1313" s="34" t="n">
        <v>46202</v>
      </c>
      <c r="DQ1313" s="15" t="n">
        <v>17</v>
      </c>
      <c r="DR1313" s="15" t="n">
        <v>33.94</v>
      </c>
      <c r="DS1313" s="34" t="n">
        <v>46202</v>
      </c>
      <c r="DT1313" s="15" t="n">
        <v>46</v>
      </c>
      <c r="DU1313" s="15" t="n">
        <v>82.27</v>
      </c>
      <c r="DV1313" s="34" t="n">
        <v>46202</v>
      </c>
      <c r="DW1313" s="15" t="n">
        <v>16.91</v>
      </c>
      <c r="DX1313" s="15" t="n">
        <v>34.23</v>
      </c>
      <c r="DY1313" s="34" t="n">
        <v>46202</v>
      </c>
      <c r="DZ1313" s="15" t="n">
        <v>196.4</v>
      </c>
      <c r="EA1313" s="15" t="n">
        <v>220.49</v>
      </c>
      <c r="EB1313" s="34" t="n">
        <v>46202</v>
      </c>
      <c r="EC1313" s="15" t="n">
        <v>12.43</v>
      </c>
      <c r="ED1313" s="15" t="n">
        <v>27.53</v>
      </c>
      <c r="EE1313" s="34" t="n">
        <v>46202</v>
      </c>
      <c r="EF1313" s="15" t="n">
        <v>326</v>
      </c>
      <c r="EG1313" s="15" t="n">
        <v>315.37</v>
      </c>
      <c r="EH1313" s="34" t="n">
        <v>46202</v>
      </c>
      <c r="EI1313" s="15" t="n">
        <v>62.4</v>
      </c>
      <c r="EJ1313" s="15" t="n">
        <v>68.43000000000001</v>
      </c>
      <c r="EK1313" s="34" t="n">
        <v>46202</v>
      </c>
      <c r="EL1313" s="15" t="n">
        <v>23.9</v>
      </c>
      <c r="EM1313" s="15" t="n">
        <v>28.47</v>
      </c>
      <c r="EN1313" s="34" t="n">
        <v>46202</v>
      </c>
      <c r="EO1313" s="15" t="n">
        <v>28.64</v>
      </c>
      <c r="EP1313" s="15" t="n">
        <v>47.62</v>
      </c>
      <c r="EQ1313" s="34" t="n">
        <v>46202</v>
      </c>
      <c r="ER1313" s="15" t="n">
        <v>63.25</v>
      </c>
      <c r="ES1313" s="15" t="n">
        <v>57.17</v>
      </c>
      <c r="ET1313" s="34" t="n">
        <v>46202</v>
      </c>
      <c r="EU1313" s="15" t="n">
        <v>9.300000000000001</v>
      </c>
      <c r="EV1313" s="15" t="n">
        <v>16.95</v>
      </c>
      <c r="EW1313" s="34" t="n">
        <v>46202</v>
      </c>
      <c r="EX1313" s="15" t="n">
        <v>117.1</v>
      </c>
      <c r="EY1313" s="15" t="n">
        <v>133.6</v>
      </c>
      <c r="EZ1313" s="34" t="n">
        <v>46202</v>
      </c>
      <c r="FA1313" s="15" t="n">
        <v>9.380000000000001</v>
      </c>
      <c r="FB1313" s="15" t="n">
        <v>15.76</v>
      </c>
      <c r="FC1313" s="34" t="n">
        <v>46202</v>
      </c>
      <c r="FD1313" s="15" t="n">
        <v>531</v>
      </c>
      <c r="FE1313" s="15" t="n">
        <v>548.0700000000001</v>
      </c>
      <c r="FF1313" s="34" t="n">
        <v>46202</v>
      </c>
    </row>
    <row r="1314">
      <c r="A1314" s="34" t="n">
        <v>46203</v>
      </c>
      <c r="B1314" s="266" t="n">
        <v>1.153959035873413</v>
      </c>
      <c r="C1314" s="34" t="n">
        <v>46203</v>
      </c>
      <c r="D1314" s="15" t="n">
        <v>18.59</v>
      </c>
      <c r="E1314" s="15" t="n">
        <v>38.22</v>
      </c>
      <c r="F1314" s="34" t="n">
        <v>46203</v>
      </c>
      <c r="G1314" s="15" t="n">
        <v>108.8</v>
      </c>
      <c r="H1314" s="15" t="n">
        <v>162</v>
      </c>
      <c r="I1314" s="34" t="n">
        <v>46203</v>
      </c>
      <c r="J1314" s="15" t="n">
        <v>16.63</v>
      </c>
      <c r="K1314" s="15" t="n">
        <v>30.85</v>
      </c>
      <c r="L1314" s="34" t="n">
        <v>46203</v>
      </c>
      <c r="M1314" s="15" t="n">
        <v>40.18</v>
      </c>
      <c r="N1314" s="15" t="n">
        <v>61.32</v>
      </c>
      <c r="O1314" s="34" t="n">
        <v>46203</v>
      </c>
      <c r="P1314" s="15" t="n">
        <v>47.56</v>
      </c>
      <c r="Q1314" s="15" t="n">
        <v>53.71</v>
      </c>
      <c r="R1314" s="34" t="n">
        <v>46203</v>
      </c>
      <c r="S1314" s="15" t="n">
        <v>46.74</v>
      </c>
      <c r="T1314" s="15" t="n">
        <v>109.4</v>
      </c>
      <c r="U1314" s="34" t="n">
        <v>46203</v>
      </c>
      <c r="V1314" s="15" t="n">
        <v>12.69</v>
      </c>
      <c r="W1314" s="15" t="n">
        <v>18.7</v>
      </c>
      <c r="X1314" s="34" t="n">
        <v>46203</v>
      </c>
      <c r="Y1314" s="15" t="n">
        <v>82.59999999999999</v>
      </c>
      <c r="Z1314" s="15" t="n">
        <v>75.53</v>
      </c>
      <c r="AA1314" s="34" t="n">
        <v>46203</v>
      </c>
      <c r="AB1314" s="15" t="n">
        <v>11.28</v>
      </c>
      <c r="AC1314" s="15" t="n">
        <v>26.53</v>
      </c>
      <c r="AD1314" s="34" t="n">
        <v>46203</v>
      </c>
      <c r="AE1314" s="15" t="n">
        <v>30.14</v>
      </c>
      <c r="AF1314" s="15" t="n">
        <v>31.26</v>
      </c>
      <c r="AG1314" s="34" t="n">
        <v>46203</v>
      </c>
      <c r="AH1314" s="15" t="n">
        <v>22.98</v>
      </c>
      <c r="AI1314" s="15" t="n">
        <v>26.32</v>
      </c>
      <c r="AJ1314" s="34" t="n">
        <v>46203</v>
      </c>
      <c r="AK1314" s="15" t="n">
        <v>21.42</v>
      </c>
      <c r="AL1314" s="15" t="n">
        <v>59.68</v>
      </c>
      <c r="AM1314" s="34" t="n">
        <v>46203</v>
      </c>
      <c r="AN1314" s="15" t="n">
        <v>702</v>
      </c>
      <c r="AO1314" s="15" t="n">
        <v>393.01</v>
      </c>
      <c r="AP1314" s="34" t="n">
        <v>46203</v>
      </c>
      <c r="AQ1314" s="15" t="n">
        <v>57.85</v>
      </c>
      <c r="AR1314" s="15" t="n">
        <v>52.04</v>
      </c>
      <c r="AS1314" s="34" t="n">
        <v>46203</v>
      </c>
      <c r="AT1314" s="15" t="n">
        <v>16.99</v>
      </c>
      <c r="AU1314" s="15" t="n">
        <v>25.84</v>
      </c>
      <c r="AV1314" s="34" t="n">
        <v>46203</v>
      </c>
      <c r="AW1314" s="15" t="n">
        <v>29.88</v>
      </c>
      <c r="AX1314" s="15" t="n">
        <v>33.16</v>
      </c>
      <c r="AY1314" s="34" t="n">
        <v>46203</v>
      </c>
      <c r="AZ1314" s="15" t="n">
        <v>26.44</v>
      </c>
      <c r="BA1314" s="15" t="n">
        <v>43.83</v>
      </c>
      <c r="BB1314" s="34" t="n">
        <v>46203</v>
      </c>
      <c r="BC1314" s="15" t="n">
        <v>65.15000000000001</v>
      </c>
      <c r="BD1314" s="15" t="n">
        <v>80.19</v>
      </c>
      <c r="BE1314" s="34" t="n">
        <v>46203</v>
      </c>
      <c r="BF1314" s="15" t="n">
        <v>140.6</v>
      </c>
      <c r="BG1314" s="15" t="n">
        <v>224.44</v>
      </c>
      <c r="BH1314" s="34" t="n">
        <v>46203</v>
      </c>
      <c r="BI1314" s="15" t="n">
        <v>27.96</v>
      </c>
      <c r="BJ1314" s="15" t="n">
        <v>53.66</v>
      </c>
      <c r="BK1314" s="34" t="n">
        <v>46203</v>
      </c>
      <c r="BL1314" s="15" t="n">
        <v>101.1</v>
      </c>
      <c r="BM1314" s="15" t="n">
        <v>173.51</v>
      </c>
      <c r="BN1314" s="34" t="n">
        <v>46203</v>
      </c>
      <c r="BO1314" s="15" t="n">
        <v>7.55</v>
      </c>
      <c r="BP1314" s="15" t="n">
        <v>18.51</v>
      </c>
      <c r="BQ1314" s="34" t="n">
        <v>46203</v>
      </c>
      <c r="BR1314" s="15" t="n">
        <v>18.54</v>
      </c>
      <c r="BS1314" s="15" t="n">
        <v>17.28</v>
      </c>
      <c r="BT1314" s="34" t="n">
        <v>46203</v>
      </c>
      <c r="BU1314" s="15" t="n">
        <v>150.9</v>
      </c>
      <c r="BV1314" s="15" t="n">
        <v>254.87</v>
      </c>
      <c r="BW1314" s="34" t="n">
        <v>46203</v>
      </c>
      <c r="BX1314" s="15" t="n">
        <v>45.96</v>
      </c>
      <c r="BY1314" s="15" t="n">
        <v>61.25</v>
      </c>
      <c r="BZ1314" s="34" t="n">
        <v>46203</v>
      </c>
      <c r="CA1314" s="15" t="n">
        <v>12.81</v>
      </c>
      <c r="CB1314" s="15" t="n">
        <v>21.61</v>
      </c>
      <c r="CC1314" s="34" t="n">
        <v>46203</v>
      </c>
      <c r="CD1314" s="15" t="n">
        <v>25.44</v>
      </c>
      <c r="CE1314" s="15" t="n">
        <v>43.75</v>
      </c>
      <c r="CF1314" s="34" t="n">
        <v>46203</v>
      </c>
      <c r="CG1314" s="15" t="n">
        <v>208</v>
      </c>
      <c r="CH1314" s="15" t="n">
        <v>288.31</v>
      </c>
      <c r="CI1314" s="34" t="n">
        <v>46203</v>
      </c>
      <c r="CJ1314" s="15" t="n">
        <v>6.09</v>
      </c>
      <c r="CK1314" s="15" t="n">
        <v>18.15</v>
      </c>
      <c r="CL1314" s="34" t="n">
        <v>46203</v>
      </c>
      <c r="CM1314" s="15" t="n">
        <v>78.34999999999999</v>
      </c>
      <c r="CN1314" s="15" t="n">
        <v>94.84999999999999</v>
      </c>
      <c r="CO1314" s="34" t="n">
        <v>46203</v>
      </c>
      <c r="CP1314" s="15" t="n">
        <v>1188</v>
      </c>
      <c r="CQ1314" s="15" t="n">
        <v>815</v>
      </c>
      <c r="CR1314" s="34" t="n">
        <v>46203</v>
      </c>
      <c r="CS1314" s="15" t="n">
        <v>25</v>
      </c>
      <c r="CT1314" s="15" t="n">
        <v>42.49</v>
      </c>
      <c r="CU1314" s="34" t="n">
        <v>46203</v>
      </c>
      <c r="CV1314" s="15" t="n">
        <v>107.2</v>
      </c>
      <c r="CW1314" s="15" t="n">
        <v>123.43</v>
      </c>
      <c r="CX1314" s="34" t="n">
        <v>46203</v>
      </c>
      <c r="CY1314" s="15" t="n">
        <v>44.98</v>
      </c>
      <c r="CZ1314" s="15" t="n">
        <v>52.06</v>
      </c>
      <c r="DA1314" s="34" t="n">
        <v>46203</v>
      </c>
      <c r="DB1314" s="15" t="n">
        <v>181.7</v>
      </c>
      <c r="DC1314" s="15" t="n">
        <v>360.65</v>
      </c>
      <c r="DD1314" s="34" t="n">
        <v>46203</v>
      </c>
      <c r="DE1314" s="15" t="n">
        <v>29.04</v>
      </c>
      <c r="DF1314" s="15" t="n">
        <v>34.99</v>
      </c>
      <c r="DG1314" s="34" t="n">
        <v>46203</v>
      </c>
      <c r="DH1314" s="15" t="n">
        <v>464.6</v>
      </c>
      <c r="DI1314" s="15" t="n">
        <v>309.9</v>
      </c>
      <c r="DJ1314" s="34" t="n">
        <v>46203</v>
      </c>
      <c r="DK1314" s="15" t="n">
        <v>33.52</v>
      </c>
      <c r="DL1314" s="15" t="n">
        <v>40.72</v>
      </c>
      <c r="DM1314" s="34" t="n">
        <v>46203</v>
      </c>
      <c r="DN1314" s="15" t="n">
        <v>11.4</v>
      </c>
      <c r="DO1314" s="15" t="n">
        <v>18.96</v>
      </c>
      <c r="DP1314" s="34" t="n">
        <v>46203</v>
      </c>
      <c r="DQ1314" s="15" t="n">
        <v>18.68</v>
      </c>
      <c r="DR1314" s="15" t="n">
        <v>37.33</v>
      </c>
      <c r="DS1314" s="34" t="n">
        <v>46203</v>
      </c>
      <c r="DT1314" s="15" t="n">
        <v>49.36</v>
      </c>
      <c r="DU1314" s="15" t="n">
        <v>87.34999999999999</v>
      </c>
      <c r="DV1314" s="34" t="n">
        <v>46203</v>
      </c>
      <c r="DW1314" s="15" t="n">
        <v>17.57</v>
      </c>
      <c r="DX1314" s="15" t="n">
        <v>36.44</v>
      </c>
      <c r="DY1314" s="34" t="n">
        <v>46203</v>
      </c>
      <c r="DZ1314" s="15" t="n">
        <v>213.8</v>
      </c>
      <c r="EA1314" s="15" t="n">
        <v>237.25</v>
      </c>
      <c r="EB1314" s="34" t="n">
        <v>46203</v>
      </c>
      <c r="EC1314" s="15" t="n">
        <v>13.32</v>
      </c>
      <c r="ED1314" s="15" t="n">
        <v>31.35</v>
      </c>
      <c r="EE1314" s="34" t="n">
        <v>46203</v>
      </c>
      <c r="EF1314" s="15" t="n">
        <v>349.4</v>
      </c>
      <c r="EG1314" s="15" t="n">
        <v>346.43</v>
      </c>
      <c r="EH1314" s="34" t="n">
        <v>46203</v>
      </c>
      <c r="EI1314" s="15" t="n">
        <v>68.34999999999999</v>
      </c>
      <c r="EJ1314" s="15" t="n">
        <v>74.27</v>
      </c>
      <c r="EK1314" s="34" t="n">
        <v>46203</v>
      </c>
      <c r="EL1314" s="15" t="n">
        <v>23.32</v>
      </c>
      <c r="EM1314" s="15" t="n">
        <v>28.25</v>
      </c>
      <c r="EN1314" s="34" t="n">
        <v>46203</v>
      </c>
      <c r="EO1314" s="15" t="n">
        <v>29.5</v>
      </c>
      <c r="EP1314" s="15" t="n">
        <v>47.65</v>
      </c>
      <c r="EQ1314" s="34" t="n">
        <v>46203</v>
      </c>
      <c r="ER1314" s="15" t="n">
        <v>63.55</v>
      </c>
      <c r="ES1314" s="15" t="n">
        <v>57.97</v>
      </c>
      <c r="ET1314" s="34" t="n">
        <v>46203</v>
      </c>
      <c r="EU1314" s="15" t="n">
        <v>9.9</v>
      </c>
      <c r="EV1314" s="15" t="n">
        <v>18.72</v>
      </c>
      <c r="EW1314" s="34" t="n">
        <v>46203</v>
      </c>
      <c r="EX1314" s="15" t="n">
        <v>121.4</v>
      </c>
      <c r="EY1314" s="15" t="n">
        <v>143.48</v>
      </c>
      <c r="EZ1314" s="34" t="n">
        <v>46203</v>
      </c>
      <c r="FA1314" s="15" t="n">
        <v>10.67</v>
      </c>
      <c r="FB1314" s="15" t="n">
        <v>17.34</v>
      </c>
      <c r="FC1314" s="34" t="n">
        <v>46203</v>
      </c>
      <c r="FD1314" s="15" t="n">
        <v>520</v>
      </c>
      <c r="FE1314" s="15" t="n">
        <v>549.39</v>
      </c>
      <c r="FF1314" s="34" t="n">
        <v>46203</v>
      </c>
    </row>
    <row r="1315">
      <c r="A1315" s="34" t="n">
        <v>46205</v>
      </c>
      <c r="B1315" s="266" t="n">
        <v>1.154355049133301</v>
      </c>
      <c r="C1315" s="34" t="n">
        <v>46205</v>
      </c>
      <c r="D1315" s="15" t="n">
        <v>19</v>
      </c>
      <c r="E1315" s="15" t="n">
        <v>39.62</v>
      </c>
      <c r="F1315" s="34" t="n">
        <v>46205</v>
      </c>
      <c r="G1315" s="15" t="n">
        <v>106.5</v>
      </c>
      <c r="H1315" s="15" t="n">
        <v>153.19</v>
      </c>
      <c r="I1315" s="34" t="n">
        <v>46205</v>
      </c>
      <c r="J1315" s="15" t="n">
        <v>18.63</v>
      </c>
      <c r="K1315" s="15" t="n">
        <v>33</v>
      </c>
      <c r="L1315" s="34" t="n">
        <v>46205</v>
      </c>
      <c r="M1315" s="15" t="n">
        <v>39.5</v>
      </c>
      <c r="N1315" s="15" t="n">
        <v>60.01</v>
      </c>
      <c r="O1315" s="34" t="n">
        <v>46205</v>
      </c>
      <c r="P1315" s="15" t="n">
        <v>48.02</v>
      </c>
      <c r="Q1315" s="15" t="n">
        <v>53.69</v>
      </c>
      <c r="R1315" s="34" t="n">
        <v>46205</v>
      </c>
      <c r="S1315" s="15" t="n">
        <v>46.6</v>
      </c>
      <c r="T1315" s="15" t="n">
        <v>114</v>
      </c>
      <c r="U1315" s="34" t="n">
        <v>46205</v>
      </c>
      <c r="V1315" s="15" t="n">
        <v>12.91</v>
      </c>
      <c r="W1315" s="15" t="n">
        <v>19.08</v>
      </c>
      <c r="X1315" s="34" t="n">
        <v>46205</v>
      </c>
      <c r="Y1315" s="15" t="n">
        <v>86</v>
      </c>
      <c r="Z1315" s="15" t="n">
        <v>77.01000000000001</v>
      </c>
      <c r="AA1315" s="34" t="n">
        <v>46205</v>
      </c>
      <c r="AB1315" s="15" t="n">
        <v>12.12</v>
      </c>
      <c r="AC1315" s="15" t="n">
        <v>29.63</v>
      </c>
      <c r="AD1315" s="34" t="n">
        <v>46205</v>
      </c>
      <c r="AE1315" s="15" t="n">
        <v>30.58</v>
      </c>
      <c r="AF1315" s="15" t="n">
        <v>32.42</v>
      </c>
      <c r="AG1315" s="34" t="n">
        <v>46205</v>
      </c>
      <c r="AH1315" s="15" t="n">
        <v>25.4</v>
      </c>
      <c r="AI1315" s="15" t="n">
        <v>28.39</v>
      </c>
      <c r="AJ1315" s="34" t="n">
        <v>46205</v>
      </c>
      <c r="AK1315" s="15" t="n">
        <v>20.14</v>
      </c>
      <c r="AL1315" s="15" t="n">
        <v>57.94</v>
      </c>
      <c r="AM1315" s="34" t="n">
        <v>46205</v>
      </c>
      <c r="AN1315" s="15" t="n">
        <v>681</v>
      </c>
      <c r="AO1315" s="15" t="n">
        <v>382.35</v>
      </c>
      <c r="AP1315" s="34" t="n">
        <v>46205</v>
      </c>
      <c r="AQ1315" s="15" t="n">
        <v>59.4</v>
      </c>
      <c r="AR1315" s="15" t="n">
        <v>53.49</v>
      </c>
      <c r="AS1315" s="34" t="n">
        <v>46205</v>
      </c>
      <c r="AT1315" s="15" t="n">
        <v>16.91</v>
      </c>
      <c r="AU1315" s="15" t="n">
        <v>25.55</v>
      </c>
      <c r="AV1315" s="34" t="n">
        <v>46205</v>
      </c>
      <c r="AW1315" s="15" t="n">
        <v>30.26</v>
      </c>
      <c r="AX1315" s="15" t="n">
        <v>33.56</v>
      </c>
      <c r="AY1315" s="34" t="n">
        <v>46205</v>
      </c>
      <c r="AZ1315" s="15" t="n">
        <v>27.48</v>
      </c>
      <c r="BA1315" s="15" t="n">
        <v>44.92</v>
      </c>
      <c r="BB1315" s="34" t="n">
        <v>46205</v>
      </c>
      <c r="BC1315" s="15" t="n">
        <v>65.90000000000001</v>
      </c>
      <c r="BD1315" s="15" t="n">
        <v>78.91</v>
      </c>
      <c r="BE1315" s="34" t="n">
        <v>46205</v>
      </c>
      <c r="BF1315" s="15" t="n">
        <v>135.8</v>
      </c>
      <c r="BG1315" s="15" t="n">
        <v>228</v>
      </c>
      <c r="BH1315" s="34" t="n">
        <v>46205</v>
      </c>
      <c r="BI1315" s="15" t="n">
        <v>25.8</v>
      </c>
      <c r="BJ1315" s="15" t="n">
        <v>50.69</v>
      </c>
      <c r="BK1315" s="34" t="n">
        <v>46205</v>
      </c>
      <c r="BL1315" s="15" t="n">
        <v>87.09999999999999</v>
      </c>
      <c r="BM1315" s="15" t="n">
        <v>152.88</v>
      </c>
      <c r="BN1315" s="34" t="n">
        <v>46205</v>
      </c>
      <c r="BO1315" s="15" t="n">
        <v>7.3</v>
      </c>
      <c r="BP1315" s="15" t="n">
        <v>18.06</v>
      </c>
      <c r="BQ1315" s="34" t="n">
        <v>46205</v>
      </c>
      <c r="BR1315" s="15" t="n">
        <v>18.86</v>
      </c>
      <c r="BS1315" s="15" t="n">
        <v>17.77</v>
      </c>
      <c r="BT1315" s="34" t="n">
        <v>46205</v>
      </c>
      <c r="BU1315" s="15" t="n">
        <v>114.4</v>
      </c>
      <c r="BV1315" s="15" t="n">
        <v>218.43</v>
      </c>
      <c r="BW1315" s="34" t="n">
        <v>46205</v>
      </c>
      <c r="BX1315" s="15" t="n">
        <v>45.92</v>
      </c>
      <c r="BY1315" s="15" t="n">
        <v>60.38</v>
      </c>
      <c r="BZ1315" s="34" t="n">
        <v>46205</v>
      </c>
      <c r="CA1315" s="15" t="n">
        <v>12.92</v>
      </c>
      <c r="CB1315" s="15" t="n">
        <v>21.86</v>
      </c>
      <c r="CC1315" s="34" t="n">
        <v>46205</v>
      </c>
      <c r="CD1315" s="15" t="n">
        <v>24.74</v>
      </c>
      <c r="CE1315" s="15" t="n">
        <v>41.85</v>
      </c>
      <c r="CF1315" s="34" t="n">
        <v>46205</v>
      </c>
      <c r="CG1315" s="15" t="n">
        <v>198.6</v>
      </c>
      <c r="CH1315" s="15" t="n">
        <v>260.42</v>
      </c>
      <c r="CI1315" s="34" t="n">
        <v>46205</v>
      </c>
      <c r="CJ1315" s="15" t="n">
        <v>6.1</v>
      </c>
      <c r="CK1315" s="15" t="n">
        <v>18.4</v>
      </c>
      <c r="CL1315" s="34" t="n">
        <v>46205</v>
      </c>
      <c r="CM1315" s="15" t="n">
        <v>80</v>
      </c>
      <c r="CN1315" s="15" t="n">
        <v>101.27</v>
      </c>
      <c r="CO1315" s="34" t="n">
        <v>46205</v>
      </c>
      <c r="CP1315" s="15" t="n">
        <v>969.5</v>
      </c>
      <c r="CQ1315" s="15" t="n">
        <v>694.8099999999999</v>
      </c>
      <c r="CR1315" s="34" t="n">
        <v>46205</v>
      </c>
      <c r="CS1315" s="15" t="n">
        <v>23.18</v>
      </c>
      <c r="CT1315" s="15" t="n">
        <v>39.66</v>
      </c>
      <c r="CU1315" s="34" t="n">
        <v>46205</v>
      </c>
      <c r="CV1315" s="15" t="n">
        <v>107.1</v>
      </c>
      <c r="CW1315" s="15" t="n">
        <v>124.08</v>
      </c>
      <c r="CX1315" s="34" t="n">
        <v>46205</v>
      </c>
      <c r="CY1315" s="15" t="n">
        <v>44.88</v>
      </c>
      <c r="CZ1315" s="15" t="n">
        <v>52.74</v>
      </c>
      <c r="DA1315" s="34" t="n">
        <v>46205</v>
      </c>
      <c r="DB1315" s="15" t="n">
        <v>163.3</v>
      </c>
      <c r="DC1315" s="15" t="n">
        <v>348.6</v>
      </c>
      <c r="DD1315" s="34" t="n">
        <v>46205</v>
      </c>
      <c r="DE1315" s="15" t="n">
        <v>31.94</v>
      </c>
      <c r="DF1315" s="15" t="n">
        <v>37.35</v>
      </c>
      <c r="DG1315" s="34" t="n">
        <v>46205</v>
      </c>
      <c r="DH1315" s="15" t="n">
        <v>388.4</v>
      </c>
      <c r="DI1315" s="15" t="n">
        <v>269.15</v>
      </c>
      <c r="DJ1315" s="34" t="n">
        <v>46205</v>
      </c>
      <c r="DK1315" s="15" t="n">
        <v>31.68</v>
      </c>
      <c r="DL1315" s="15" t="n">
        <v>38.52</v>
      </c>
      <c r="DM1315" s="34" t="n">
        <v>46205</v>
      </c>
      <c r="DN1315" s="15" t="n">
        <v>11.08</v>
      </c>
      <c r="DO1315" s="15" t="n">
        <v>17.61</v>
      </c>
      <c r="DP1315" s="34" t="n">
        <v>46205</v>
      </c>
      <c r="DQ1315" s="15" t="n">
        <v>19.16</v>
      </c>
      <c r="DR1315" s="15" t="n">
        <v>40.7</v>
      </c>
      <c r="DS1315" s="34" t="n">
        <v>46205</v>
      </c>
      <c r="DT1315" s="15" t="n">
        <v>48.66</v>
      </c>
      <c r="DU1315" s="15" t="n">
        <v>91.64</v>
      </c>
      <c r="DV1315" s="34" t="n">
        <v>46205</v>
      </c>
      <c r="DW1315" s="15" t="n">
        <v>17.88</v>
      </c>
      <c r="DX1315" s="15" t="n">
        <v>37.66</v>
      </c>
      <c r="DY1315" s="34" t="n">
        <v>46205</v>
      </c>
      <c r="DZ1315" s="15" t="n">
        <v>161.8</v>
      </c>
      <c r="EA1315" s="15" t="n">
        <v>196.8</v>
      </c>
      <c r="EB1315" s="34" t="n">
        <v>46205</v>
      </c>
      <c r="EC1315" s="15" t="n">
        <v>13.46</v>
      </c>
      <c r="ED1315" s="15" t="n">
        <v>30.38</v>
      </c>
      <c r="EE1315" s="34" t="n">
        <v>46205</v>
      </c>
      <c r="EF1315" s="15" t="n">
        <v>292.4</v>
      </c>
      <c r="EG1315" s="15" t="n">
        <v>306.09</v>
      </c>
      <c r="EH1315" s="34" t="n">
        <v>46205</v>
      </c>
      <c r="EI1315" s="15" t="n">
        <v>61.4</v>
      </c>
      <c r="EJ1315" s="15" t="n">
        <v>68.67</v>
      </c>
      <c r="EK1315" s="34" t="n">
        <v>46205</v>
      </c>
      <c r="EL1315" s="15" t="n">
        <v>23.9</v>
      </c>
      <c r="EM1315" s="15" t="n">
        <v>30.58</v>
      </c>
      <c r="EN1315" s="34" t="n">
        <v>46205</v>
      </c>
      <c r="EO1315" s="15" t="n">
        <v>31.78</v>
      </c>
      <c r="EP1315" s="15" t="n">
        <v>49.92</v>
      </c>
      <c r="EQ1315" s="34" t="n">
        <v>46205</v>
      </c>
      <c r="ER1315" s="15" t="n">
        <v>63.75</v>
      </c>
      <c r="ES1315" s="15" t="n">
        <v>54.67</v>
      </c>
      <c r="ET1315" s="34" t="n">
        <v>46205</v>
      </c>
      <c r="EU1315" s="15" t="n">
        <v>9.960000000000001</v>
      </c>
      <c r="EV1315" s="15" t="n">
        <v>20.34</v>
      </c>
      <c r="EW1315" s="34" t="n">
        <v>46205</v>
      </c>
      <c r="EX1315" s="15" t="n">
        <v>125.9</v>
      </c>
      <c r="EY1315" s="15" t="n">
        <v>142</v>
      </c>
      <c r="EZ1315" s="34" t="n">
        <v>46205</v>
      </c>
      <c r="FA1315" s="15" t="n">
        <v>10.18</v>
      </c>
      <c r="FB1315" s="15" t="n">
        <v>17.18</v>
      </c>
      <c r="FC1315" s="34" t="n">
        <v>46205</v>
      </c>
      <c r="FD1315" s="15" t="n">
        <v>423.2</v>
      </c>
      <c r="FE1315" s="15" t="n">
        <v>468</v>
      </c>
      <c r="FF1315" s="34" t="n">
        <v>46205</v>
      </c>
      <c r="FG1315" s="15" t="n">
        <v>114.9</v>
      </c>
      <c r="FH1315" s="15" t="n">
        <v>100.41</v>
      </c>
      <c r="FI1315" s="34" t="n">
        <v>46205</v>
      </c>
    </row>
    <row r="1316">
      <c r="A1316" s="34" t="n">
        <v>46206</v>
      </c>
      <c r="B1316" s="266" t="n">
        <v>1.155220985412598</v>
      </c>
      <c r="C1316" s="34" t="n">
        <v>46206</v>
      </c>
      <c r="D1316" s="15" t="n">
        <v>19.49</v>
      </c>
      <c r="E1316" s="15" t="n">
        <v>40.56</v>
      </c>
      <c r="F1316" s="34" t="n">
        <v>46206</v>
      </c>
      <c r="G1316" s="15" t="n">
        <v>118.7</v>
      </c>
      <c r="H1316" s="15" t="n">
        <v>165.8</v>
      </c>
      <c r="I1316" s="34" t="n">
        <v>46206</v>
      </c>
      <c r="J1316" s="15" t="n">
        <v>19.3</v>
      </c>
      <c r="K1316" s="15" t="n">
        <v>34.25</v>
      </c>
      <c r="L1316" s="34" t="n">
        <v>46206</v>
      </c>
      <c r="M1316" s="15" t="n">
        <v>40.3</v>
      </c>
      <c r="N1316" s="15" t="n">
        <v>58.66</v>
      </c>
      <c r="O1316" s="34" t="n">
        <v>46206</v>
      </c>
      <c r="P1316" s="15" t="n">
        <v>48.2</v>
      </c>
      <c r="Q1316" s="15" t="n">
        <v>53.11</v>
      </c>
      <c r="R1316" s="34" t="n">
        <v>46206</v>
      </c>
      <c r="S1316" s="15" t="n">
        <v>44.82</v>
      </c>
      <c r="T1316" s="15" t="n">
        <v>111.16</v>
      </c>
      <c r="U1316" s="34" t="n">
        <v>46206</v>
      </c>
      <c r="V1316" s="15" t="n">
        <v>13.4</v>
      </c>
      <c r="W1316" s="15" t="n">
        <v>19.25</v>
      </c>
      <c r="X1316" s="34" t="n">
        <v>46206</v>
      </c>
      <c r="Y1316" s="15" t="n">
        <v>87.09999999999999</v>
      </c>
      <c r="Z1316" s="15" t="n">
        <v>77.95999999999999</v>
      </c>
      <c r="AA1316" s="34" t="n">
        <v>46206</v>
      </c>
      <c r="AB1316" s="15" t="n">
        <v>12.54</v>
      </c>
      <c r="AC1316" s="15" t="n">
        <v>29.3</v>
      </c>
      <c r="AD1316" s="34" t="n">
        <v>46206</v>
      </c>
      <c r="AE1316" s="15" t="n">
        <v>31.1</v>
      </c>
      <c r="AF1316" s="15" t="n">
        <v>32.47</v>
      </c>
      <c r="AG1316" s="34" t="n">
        <v>46206</v>
      </c>
      <c r="AH1316" s="15" t="n">
        <v>30.26</v>
      </c>
      <c r="AI1316" s="15" t="n">
        <v>31.23</v>
      </c>
      <c r="AJ1316" s="34" t="n">
        <v>46206</v>
      </c>
      <c r="AK1316" s="15" t="n">
        <v>21.36</v>
      </c>
      <c r="AL1316" s="15" t="n">
        <v>58.99</v>
      </c>
      <c r="AM1316" s="34" t="n">
        <v>46206</v>
      </c>
      <c r="AN1316" s="15" t="n">
        <v>675.5</v>
      </c>
      <c r="AO1316" s="15" t="n">
        <v>380</v>
      </c>
      <c r="AP1316" s="34" t="n">
        <v>46206</v>
      </c>
      <c r="AQ1316" s="15" t="n">
        <v>59.9</v>
      </c>
      <c r="AR1316" s="15" t="n">
        <v>54.45</v>
      </c>
      <c r="AS1316" s="34" t="n">
        <v>46206</v>
      </c>
      <c r="AT1316" s="15" t="n">
        <v>15.93</v>
      </c>
      <c r="AU1316" s="15" t="n">
        <v>24.13</v>
      </c>
      <c r="AV1316" s="34" t="n">
        <v>46206</v>
      </c>
      <c r="AW1316" s="15" t="n">
        <v>30.88</v>
      </c>
      <c r="AX1316" s="15" t="n">
        <v>34.01</v>
      </c>
      <c r="AY1316" s="34" t="n">
        <v>46206</v>
      </c>
      <c r="AZ1316" s="15" t="n">
        <v>30.32</v>
      </c>
      <c r="BA1316" s="15" t="n">
        <v>48.99</v>
      </c>
      <c r="BB1316" s="34" t="n">
        <v>46206</v>
      </c>
      <c r="BC1316" s="15" t="n">
        <v>68.3</v>
      </c>
      <c r="BD1316" s="15" t="n">
        <v>81.2</v>
      </c>
      <c r="BE1316" s="34" t="n">
        <v>46206</v>
      </c>
      <c r="BF1316" s="15" t="n">
        <v>140.8</v>
      </c>
      <c r="BG1316" s="15" t="n">
        <v>241.35</v>
      </c>
      <c r="BH1316" s="34" t="n">
        <v>46206</v>
      </c>
      <c r="BI1316" s="15" t="n">
        <v>26.12</v>
      </c>
      <c r="BJ1316" s="15" t="n">
        <v>52.42</v>
      </c>
      <c r="BK1316" s="34" t="n">
        <v>46206</v>
      </c>
      <c r="BL1316" s="15" t="n">
        <v>84.05</v>
      </c>
      <c r="BM1316" s="15" t="n">
        <v>145.6</v>
      </c>
      <c r="BN1316" s="34" t="n">
        <v>46206</v>
      </c>
      <c r="BO1316" s="15" t="n">
        <v>7.53</v>
      </c>
      <c r="BP1316" s="15" t="n">
        <v>18.5</v>
      </c>
      <c r="BQ1316" s="34" t="n">
        <v>46206</v>
      </c>
      <c r="BR1316" s="15" t="n">
        <v>19.68</v>
      </c>
      <c r="BS1316" s="15" t="n">
        <v>18.56</v>
      </c>
      <c r="BT1316" s="34" t="n">
        <v>46206</v>
      </c>
      <c r="BU1316" s="15" t="n">
        <v>111.4</v>
      </c>
      <c r="BV1316" s="15" t="n">
        <v>209.37</v>
      </c>
      <c r="BW1316" s="34" t="n">
        <v>46206</v>
      </c>
      <c r="BX1316" s="15" t="n">
        <v>48.56</v>
      </c>
      <c r="BY1316" s="15" t="n">
        <v>61.84</v>
      </c>
      <c r="BZ1316" s="34" t="n">
        <v>46206</v>
      </c>
      <c r="CA1316" s="15" t="n">
        <v>14.13</v>
      </c>
      <c r="CB1316" s="15" t="n">
        <v>23.45</v>
      </c>
      <c r="CC1316" s="34" t="n">
        <v>46206</v>
      </c>
      <c r="CD1316" s="15" t="n">
        <v>25.48</v>
      </c>
      <c r="CE1316" s="15" t="n">
        <v>41.95</v>
      </c>
      <c r="CF1316" s="34" t="n">
        <v>46206</v>
      </c>
      <c r="CG1316" s="15" t="n">
        <v>199.8</v>
      </c>
      <c r="CH1316" s="15" t="n">
        <v>257</v>
      </c>
      <c r="CI1316" s="34" t="n">
        <v>46206</v>
      </c>
      <c r="CJ1316" s="15" t="n">
        <v>6.18</v>
      </c>
      <c r="CK1316" s="15" t="n">
        <v>18.7</v>
      </c>
      <c r="CL1316" s="34" t="n">
        <v>46206</v>
      </c>
      <c r="CM1316" s="15" t="n">
        <v>80.40000000000001</v>
      </c>
      <c r="CN1316" s="15" t="n">
        <v>102.3</v>
      </c>
      <c r="CO1316" s="34" t="n">
        <v>46206</v>
      </c>
      <c r="CP1316" s="15" t="n">
        <v>917.5</v>
      </c>
      <c r="CQ1316" s="15" t="n">
        <v>677.77</v>
      </c>
      <c r="CR1316" s="34" t="n">
        <v>46206</v>
      </c>
      <c r="CS1316" s="15" t="n">
        <v>23.12</v>
      </c>
      <c r="CT1316" s="15" t="n">
        <v>39</v>
      </c>
      <c r="CU1316" s="34" t="n">
        <v>46206</v>
      </c>
      <c r="CV1316" s="15" t="n">
        <v>112.8</v>
      </c>
      <c r="CW1316" s="15" t="n">
        <v>126.35</v>
      </c>
      <c r="CX1316" s="34" t="n">
        <v>46206</v>
      </c>
      <c r="CY1316" s="15" t="n">
        <v>45.6</v>
      </c>
      <c r="CZ1316" s="15" t="n">
        <v>54.6</v>
      </c>
      <c r="DA1316" s="34" t="n">
        <v>46206</v>
      </c>
      <c r="DB1316" s="15" t="n">
        <v>160</v>
      </c>
      <c r="DC1316" s="15" t="n">
        <v>343</v>
      </c>
      <c r="DD1316" s="34" t="n">
        <v>46206</v>
      </c>
      <c r="DE1316" s="15" t="n">
        <v>31.62</v>
      </c>
      <c r="DF1316" s="15" t="n">
        <v>36.9</v>
      </c>
      <c r="DG1316" s="34" t="n">
        <v>46206</v>
      </c>
      <c r="DH1316" s="15" t="n">
        <v>382.6</v>
      </c>
      <c r="DI1316" s="15" t="n">
        <v>266.8</v>
      </c>
      <c r="DJ1316" s="34" t="n">
        <v>46206</v>
      </c>
      <c r="DK1316" s="15" t="n">
        <v>32.74</v>
      </c>
      <c r="DL1316" s="15" t="n">
        <v>39.29</v>
      </c>
      <c r="DM1316" s="34" t="n">
        <v>46206</v>
      </c>
      <c r="DN1316" s="15" t="n">
        <v>11.89</v>
      </c>
      <c r="DO1316" s="15" t="n">
        <v>18.28</v>
      </c>
      <c r="DP1316" s="34" t="n">
        <v>46206</v>
      </c>
      <c r="DQ1316" s="15" t="n">
        <v>25.5</v>
      </c>
      <c r="DR1316" s="15" t="n">
        <v>44.77</v>
      </c>
      <c r="DS1316" s="34" t="n">
        <v>46206</v>
      </c>
      <c r="DT1316" s="15" t="n">
        <v>61.3</v>
      </c>
      <c r="DU1316" s="15" t="n">
        <v>100.8</v>
      </c>
      <c r="DV1316" s="34" t="n">
        <v>46206</v>
      </c>
      <c r="DW1316" s="15" t="n">
        <v>18.26</v>
      </c>
      <c r="DX1316" s="15" t="n">
        <v>38.72</v>
      </c>
      <c r="DY1316" s="34" t="n">
        <v>46206</v>
      </c>
      <c r="DZ1316" s="15" t="n">
        <v>164.5</v>
      </c>
      <c r="EA1316" s="15" t="n">
        <v>203</v>
      </c>
      <c r="EB1316" s="34" t="n">
        <v>46206</v>
      </c>
      <c r="EC1316" s="15" t="n">
        <v>12.92</v>
      </c>
      <c r="ED1316" s="15" t="n">
        <v>29.05</v>
      </c>
      <c r="EE1316" s="34" t="n">
        <v>46206</v>
      </c>
      <c r="EF1316" s="15" t="n">
        <v>297</v>
      </c>
      <c r="EG1316" s="15" t="n">
        <v>308.07</v>
      </c>
      <c r="EH1316" s="34" t="n">
        <v>46206</v>
      </c>
      <c r="EI1316" s="15" t="n">
        <v>63.55</v>
      </c>
      <c r="EJ1316" s="15" t="n">
        <v>68.88</v>
      </c>
      <c r="EK1316" s="34" t="n">
        <v>46206</v>
      </c>
      <c r="EL1316" s="15" t="n">
        <v>24.56</v>
      </c>
      <c r="EM1316" s="15" t="n">
        <v>32.06</v>
      </c>
      <c r="EN1316" s="34" t="n">
        <v>46206</v>
      </c>
      <c r="EO1316" s="15" t="n">
        <v>31.42</v>
      </c>
      <c r="EP1316" s="15" t="n">
        <v>51.23</v>
      </c>
      <c r="EQ1316" s="34" t="n">
        <v>46206</v>
      </c>
      <c r="ER1316" s="15" t="n">
        <v>57.4</v>
      </c>
      <c r="ES1316" s="15" t="n">
        <v>56.05</v>
      </c>
      <c r="ET1316" s="34" t="n">
        <v>46206</v>
      </c>
      <c r="EU1316" s="15" t="n">
        <v>10.43</v>
      </c>
      <c r="EV1316" s="15" t="n">
        <v>20</v>
      </c>
      <c r="EW1316" s="34" t="n">
        <v>46206</v>
      </c>
      <c r="EX1316" s="15" t="n">
        <v>120</v>
      </c>
      <c r="EY1316" s="15" t="n">
        <v>139.6</v>
      </c>
      <c r="EZ1316" s="34" t="n">
        <v>46206</v>
      </c>
      <c r="FA1316" s="15" t="n">
        <v>10.53</v>
      </c>
      <c r="FB1316" s="15" t="n">
        <v>18.02</v>
      </c>
      <c r="FC1316" s="34" t="n">
        <v>46206</v>
      </c>
      <c r="FD1316" s="15" t="n">
        <v>455.4</v>
      </c>
      <c r="FE1316" s="15" t="n">
        <v>480.32</v>
      </c>
      <c r="FF1316" s="34" t="n">
        <v>46206</v>
      </c>
      <c r="FG1316" s="15" t="n">
        <v>99.84999999999999</v>
      </c>
      <c r="FH1316" s="15" t="n">
        <v>107.84</v>
      </c>
      <c r="FI1316" s="34" t="n">
        <v>46206</v>
      </c>
    </row>
    <row r="1317">
      <c r="A1317" s="34" t="n">
        <v>46209</v>
      </c>
      <c r="B1317" s="266" t="n">
        <v>1.155068039894104</v>
      </c>
      <c r="C1317" s="34" t="n">
        <v>46209</v>
      </c>
      <c r="D1317" s="15" t="n">
        <v>19.7</v>
      </c>
      <c r="E1317" s="15" t="n">
        <v>41.24</v>
      </c>
      <c r="F1317" s="34" t="n">
        <v>46209</v>
      </c>
      <c r="G1317" s="15" t="n">
        <v>115.2</v>
      </c>
      <c r="H1317" s="15" t="n">
        <v>162.1</v>
      </c>
      <c r="I1317" s="34" t="n">
        <v>46209</v>
      </c>
      <c r="J1317" s="15" t="n">
        <v>18.78</v>
      </c>
      <c r="K1317" s="15" t="n">
        <v>32.57</v>
      </c>
      <c r="L1317" s="34" t="n">
        <v>46209</v>
      </c>
      <c r="M1317" s="15" t="n">
        <v>40.7</v>
      </c>
      <c r="N1317" s="15" t="n">
        <v>58.91</v>
      </c>
      <c r="O1317" s="34" t="n">
        <v>46209</v>
      </c>
      <c r="P1317" s="15" t="n">
        <v>48</v>
      </c>
      <c r="Q1317" s="15" t="n">
        <v>53.02</v>
      </c>
      <c r="R1317" s="34" t="n">
        <v>46209</v>
      </c>
      <c r="S1317" s="15" t="n">
        <v>50</v>
      </c>
      <c r="T1317" s="15" t="n">
        <v>112.98</v>
      </c>
      <c r="U1317" s="34" t="n">
        <v>46209</v>
      </c>
      <c r="V1317" s="15" t="n">
        <v>13.35</v>
      </c>
      <c r="W1317" s="15" t="n">
        <v>20.47</v>
      </c>
      <c r="X1317" s="34" t="n">
        <v>46209</v>
      </c>
      <c r="Y1317" s="15" t="n">
        <v>88.34999999999999</v>
      </c>
      <c r="Z1317" s="15" t="n">
        <v>80</v>
      </c>
      <c r="AA1317" s="34" t="n">
        <v>46209</v>
      </c>
      <c r="AB1317" s="15" t="n">
        <v>11.86</v>
      </c>
      <c r="AC1317" s="15" t="n">
        <v>28.99</v>
      </c>
      <c r="AD1317" s="34" t="n">
        <v>46209</v>
      </c>
      <c r="AE1317" s="15" t="n">
        <v>31.32</v>
      </c>
      <c r="AF1317" s="15" t="n">
        <v>32.93</v>
      </c>
      <c r="AG1317" s="34" t="n">
        <v>46209</v>
      </c>
      <c r="AH1317" s="15" t="n">
        <v>28.7</v>
      </c>
      <c r="AI1317" s="15" t="n">
        <v>31.6</v>
      </c>
      <c r="AJ1317" s="34" t="n">
        <v>46209</v>
      </c>
      <c r="AK1317" s="15" t="n">
        <v>19.96</v>
      </c>
      <c r="AL1317" s="15" t="n">
        <v>54.88</v>
      </c>
      <c r="AM1317" s="34" t="n">
        <v>46209</v>
      </c>
      <c r="AN1317" s="15" t="n">
        <v>668</v>
      </c>
      <c r="AO1317" s="15" t="n">
        <v>374.51</v>
      </c>
      <c r="AP1317" s="34" t="n">
        <v>46209</v>
      </c>
      <c r="AQ1317" s="15" t="n">
        <v>60.75</v>
      </c>
      <c r="AR1317" s="15" t="n">
        <v>56.77</v>
      </c>
      <c r="AS1317" s="34" t="n">
        <v>46209</v>
      </c>
      <c r="AT1317" s="15" t="n">
        <v>15.81</v>
      </c>
      <c r="AU1317" s="15" t="n">
        <v>22.95</v>
      </c>
      <c r="AV1317" s="34" t="n">
        <v>46209</v>
      </c>
      <c r="AW1317" s="15" t="n">
        <v>31.22</v>
      </c>
      <c r="AX1317" s="15" t="n">
        <v>34.36</v>
      </c>
      <c r="AY1317" s="34" t="n">
        <v>46209</v>
      </c>
      <c r="AZ1317" s="15" t="n">
        <v>28.96</v>
      </c>
      <c r="BA1317" s="15" t="n">
        <v>46.15</v>
      </c>
      <c r="BB1317" s="34" t="n">
        <v>46209</v>
      </c>
      <c r="BC1317" s="15" t="n">
        <v>70.65000000000001</v>
      </c>
      <c r="BD1317" s="15" t="n">
        <v>84.19</v>
      </c>
      <c r="BE1317" s="34" t="n">
        <v>46209</v>
      </c>
      <c r="BF1317" s="15" t="n">
        <v>135.5</v>
      </c>
      <c r="BG1317" s="15" t="n">
        <v>227.24</v>
      </c>
      <c r="BH1317" s="34" t="n">
        <v>46209</v>
      </c>
      <c r="BI1317" s="15" t="n">
        <v>25</v>
      </c>
      <c r="BJ1317" s="15" t="n">
        <v>51.31</v>
      </c>
      <c r="BK1317" s="34" t="n">
        <v>46209</v>
      </c>
      <c r="BL1317" s="15" t="n">
        <v>79.2</v>
      </c>
      <c r="BM1317" s="15" t="n">
        <v>141.41</v>
      </c>
      <c r="BN1317" s="34" t="n">
        <v>46209</v>
      </c>
      <c r="BO1317" s="15" t="n">
        <v>7.28</v>
      </c>
      <c r="BP1317" s="15" t="n">
        <v>17.67</v>
      </c>
      <c r="BQ1317" s="34" t="n">
        <v>46209</v>
      </c>
      <c r="BR1317" s="15" t="n">
        <v>19.74</v>
      </c>
      <c r="BS1317" s="15" t="n">
        <v>18.89</v>
      </c>
      <c r="BT1317" s="34" t="n">
        <v>46209</v>
      </c>
      <c r="BU1317" s="15" t="n">
        <v>104.7</v>
      </c>
      <c r="BV1317" s="15" t="n">
        <v>196.56</v>
      </c>
      <c r="BW1317" s="34" t="n">
        <v>46209</v>
      </c>
      <c r="BX1317" s="15" t="n">
        <v>47.08</v>
      </c>
      <c r="BY1317" s="15" t="n">
        <v>59.98</v>
      </c>
      <c r="BZ1317" s="34" t="n">
        <v>46209</v>
      </c>
      <c r="CA1317" s="15" t="n">
        <v>13.59</v>
      </c>
      <c r="CB1317" s="15" t="n">
        <v>22.77</v>
      </c>
      <c r="CC1317" s="34" t="n">
        <v>46209</v>
      </c>
      <c r="CD1317" s="15" t="n">
        <v>25.5</v>
      </c>
      <c r="CE1317" s="15" t="n">
        <v>41.97</v>
      </c>
      <c r="CF1317" s="34" t="n">
        <v>46209</v>
      </c>
      <c r="CG1317" s="15" t="n">
        <v>206.4</v>
      </c>
      <c r="CH1317" s="15" t="n">
        <v>262.68</v>
      </c>
      <c r="CI1317" s="34" t="n">
        <v>46209</v>
      </c>
      <c r="CJ1317" s="15" t="n">
        <v>6.12</v>
      </c>
      <c r="CK1317" s="15" t="n">
        <v>18.41</v>
      </c>
      <c r="CL1317" s="34" t="n">
        <v>46209</v>
      </c>
      <c r="CM1317" s="15" t="n">
        <v>77.5</v>
      </c>
      <c r="CN1317" s="15" t="n">
        <v>97</v>
      </c>
      <c r="CO1317" s="34" t="n">
        <v>46209</v>
      </c>
      <c r="CP1317" s="15" t="n">
        <v>876.5</v>
      </c>
      <c r="CQ1317" s="15" t="n">
        <v>654.29</v>
      </c>
      <c r="CR1317" s="34" t="n">
        <v>46209</v>
      </c>
      <c r="CS1317" s="15" t="n">
        <v>22.24</v>
      </c>
      <c r="CT1317" s="15" t="n">
        <v>39.29</v>
      </c>
      <c r="CU1317" s="34" t="n">
        <v>46209</v>
      </c>
      <c r="CV1317" s="15" t="n">
        <v>112</v>
      </c>
      <c r="CW1317" s="15" t="n">
        <v>127.9</v>
      </c>
      <c r="CX1317" s="34" t="n">
        <v>46209</v>
      </c>
      <c r="CY1317" s="15" t="n">
        <v>51</v>
      </c>
      <c r="CZ1317" s="15" t="n">
        <v>54.6</v>
      </c>
      <c r="DA1317" s="34" t="n">
        <v>46209</v>
      </c>
      <c r="DB1317" s="15" t="n">
        <v>148.8</v>
      </c>
      <c r="DC1317" s="15" t="n">
        <v>342.9</v>
      </c>
      <c r="DD1317" s="34" t="n">
        <v>46209</v>
      </c>
      <c r="DE1317" s="15" t="n">
        <v>32.82</v>
      </c>
      <c r="DF1317" s="15" t="n">
        <v>38.68</v>
      </c>
      <c r="DG1317" s="34" t="n">
        <v>46209</v>
      </c>
      <c r="DH1317" s="15" t="n">
        <v>372</v>
      </c>
      <c r="DI1317" s="15" t="n">
        <v>268.68</v>
      </c>
      <c r="DJ1317" s="34" t="n">
        <v>46209</v>
      </c>
      <c r="DK1317" s="15" t="n">
        <v>31.58</v>
      </c>
      <c r="DL1317" s="15" t="n">
        <v>37.88</v>
      </c>
      <c r="DM1317" s="34" t="n">
        <v>46209</v>
      </c>
      <c r="DN1317" s="15" t="n">
        <v>11.87</v>
      </c>
      <c r="DO1317" s="15" t="n">
        <v>18.52</v>
      </c>
      <c r="DP1317" s="34" t="n">
        <v>46209</v>
      </c>
      <c r="DQ1317" s="15" t="n">
        <v>23.32</v>
      </c>
      <c r="DR1317" s="15" t="n">
        <v>46.03</v>
      </c>
      <c r="DS1317" s="34" t="n">
        <v>46209</v>
      </c>
      <c r="DT1317" s="15" t="n">
        <v>56.85</v>
      </c>
      <c r="DU1317" s="15" t="n">
        <v>95.38</v>
      </c>
      <c r="DV1317" s="34" t="n">
        <v>46209</v>
      </c>
      <c r="DW1317" s="15" t="n">
        <v>17.85</v>
      </c>
      <c r="DX1317" s="15" t="n">
        <v>37.57</v>
      </c>
      <c r="DY1317" s="34" t="n">
        <v>46209</v>
      </c>
      <c r="DZ1317" s="15" t="n">
        <v>152.9</v>
      </c>
      <c r="EA1317" s="15" t="n">
        <v>191.74</v>
      </c>
      <c r="EB1317" s="34" t="n">
        <v>46209</v>
      </c>
      <c r="EC1317" s="15" t="n">
        <v>13.37</v>
      </c>
      <c r="ED1317" s="15" t="n">
        <v>28.36</v>
      </c>
      <c r="EE1317" s="34" t="n">
        <v>46209</v>
      </c>
      <c r="EF1317" s="15" t="n">
        <v>272</v>
      </c>
      <c r="EG1317" s="15" t="n">
        <v>292.77</v>
      </c>
      <c r="EH1317" s="34" t="n">
        <v>46209</v>
      </c>
      <c r="EI1317" s="15" t="n">
        <v>61.9</v>
      </c>
      <c r="EJ1317" s="15" t="n">
        <v>71.19</v>
      </c>
      <c r="EK1317" s="34" t="n">
        <v>46209</v>
      </c>
      <c r="EL1317" s="15" t="n">
        <v>25.28</v>
      </c>
      <c r="EM1317" s="15" t="n">
        <v>33.88</v>
      </c>
      <c r="EN1317" s="34" t="n">
        <v>46209</v>
      </c>
      <c r="EO1317" s="15" t="n">
        <v>32.72</v>
      </c>
      <c r="EP1317" s="15" t="n">
        <v>51.56</v>
      </c>
      <c r="EQ1317" s="34" t="n">
        <v>46209</v>
      </c>
      <c r="ER1317" s="15" t="n">
        <v>50.85</v>
      </c>
      <c r="ES1317" s="15" t="n">
        <v>52.14</v>
      </c>
      <c r="ET1317" s="34" t="n">
        <v>46209</v>
      </c>
      <c r="EU1317" s="15" t="n">
        <v>11.2</v>
      </c>
      <c r="EV1317" s="15" t="n">
        <v>20.13</v>
      </c>
      <c r="EW1317" s="34" t="n">
        <v>46209</v>
      </c>
      <c r="EX1317" s="15" t="n">
        <v>117.5</v>
      </c>
      <c r="EY1317" s="15" t="n">
        <v>135.97</v>
      </c>
      <c r="EZ1317" s="34" t="n">
        <v>46209</v>
      </c>
      <c r="FA1317" s="15" t="n">
        <v>9.66</v>
      </c>
      <c r="FB1317" s="15" t="n">
        <v>16.23</v>
      </c>
      <c r="FC1317" s="34" t="n">
        <v>46209</v>
      </c>
      <c r="FD1317" s="15" t="n">
        <v>392</v>
      </c>
      <c r="FE1317" s="15" t="n">
        <v>470</v>
      </c>
      <c r="FF1317" s="34" t="n">
        <v>46209</v>
      </c>
      <c r="FG1317" s="15" t="n">
        <v>99.59999999999999</v>
      </c>
      <c r="FH1317" s="15" t="n">
        <v>107.03</v>
      </c>
      <c r="FI1317" s="34" t="n">
        <v>46209</v>
      </c>
    </row>
    <row r="1318">
      <c r="A1318" s="34" t="n">
        <v>46210</v>
      </c>
      <c r="B1318" s="266" t="n">
        <v>1.153807997703552</v>
      </c>
      <c r="C1318" s="34" t="n">
        <v>46210</v>
      </c>
      <c r="D1318" s="15" t="n">
        <v>18.5</v>
      </c>
      <c r="E1318" s="15" t="n">
        <v>39.23</v>
      </c>
      <c r="F1318" s="34" t="n">
        <v>46210</v>
      </c>
      <c r="G1318" s="15" t="n">
        <v>111.1</v>
      </c>
      <c r="H1318" s="15" t="n">
        <v>153.1</v>
      </c>
      <c r="I1318" s="34" t="n">
        <v>46210</v>
      </c>
      <c r="J1318" s="15" t="n">
        <v>18.58</v>
      </c>
      <c r="K1318" s="15" t="n">
        <v>31.69</v>
      </c>
      <c r="L1318" s="34" t="n">
        <v>46210</v>
      </c>
      <c r="M1318" s="15" t="n">
        <v>39.54</v>
      </c>
      <c r="N1318" s="15" t="n">
        <v>59.19</v>
      </c>
      <c r="O1318" s="34" t="n">
        <v>46210</v>
      </c>
      <c r="P1318" s="15" t="n">
        <v>46.52</v>
      </c>
      <c r="Q1318" s="15" t="n">
        <v>50.97</v>
      </c>
      <c r="R1318" s="34" t="n">
        <v>46210</v>
      </c>
      <c r="S1318" s="15" t="n">
        <v>48.44</v>
      </c>
      <c r="T1318" s="15" t="n">
        <v>109.27</v>
      </c>
      <c r="U1318" s="34" t="n">
        <v>46210</v>
      </c>
      <c r="V1318" s="15" t="n">
        <v>13.15</v>
      </c>
      <c r="W1318" s="15" t="n">
        <v>20.84</v>
      </c>
      <c r="X1318" s="34" t="n">
        <v>46210</v>
      </c>
      <c r="Y1318" s="15" t="n">
        <v>87.34999999999999</v>
      </c>
      <c r="Z1318" s="15" t="n">
        <v>79.12</v>
      </c>
      <c r="AA1318" s="34" t="n">
        <v>46210</v>
      </c>
      <c r="AB1318" s="15" t="n">
        <v>12.81</v>
      </c>
      <c r="AC1318" s="15" t="n">
        <v>30.39</v>
      </c>
      <c r="AD1318" s="34" t="n">
        <v>46210</v>
      </c>
      <c r="AE1318" s="15" t="n">
        <v>31.16</v>
      </c>
      <c r="AF1318" s="15" t="n">
        <v>32.79</v>
      </c>
      <c r="AG1318" s="34" t="n">
        <v>46210</v>
      </c>
      <c r="AH1318" s="15" t="n">
        <v>27.4</v>
      </c>
      <c r="AI1318" s="15" t="n">
        <v>30.42</v>
      </c>
      <c r="AJ1318" s="34" t="n">
        <v>46210</v>
      </c>
      <c r="AK1318" s="15" t="n">
        <v>19.24</v>
      </c>
      <c r="AL1318" s="15" t="n">
        <v>53.33</v>
      </c>
      <c r="AM1318" s="34" t="n">
        <v>46210</v>
      </c>
      <c r="AN1318" s="15" t="n">
        <v>652</v>
      </c>
      <c r="AO1318" s="15" t="n">
        <v>372.49</v>
      </c>
      <c r="AP1318" s="34" t="n">
        <v>46210</v>
      </c>
      <c r="AQ1318" s="15" t="n">
        <v>59.7</v>
      </c>
      <c r="AR1318" s="15" t="n">
        <v>55.36</v>
      </c>
      <c r="AS1318" s="34" t="n">
        <v>46210</v>
      </c>
      <c r="AT1318" s="15" t="n">
        <v>15.82</v>
      </c>
      <c r="AU1318" s="15" t="n">
        <v>23.88</v>
      </c>
      <c r="AV1318" s="34" t="n">
        <v>46210</v>
      </c>
      <c r="AW1318" s="15" t="n">
        <v>30.54</v>
      </c>
      <c r="AX1318" s="15" t="n">
        <v>34.11</v>
      </c>
      <c r="AY1318" s="34" t="n">
        <v>46210</v>
      </c>
      <c r="AZ1318" s="15" t="n">
        <v>28.54</v>
      </c>
      <c r="BA1318" s="15" t="n">
        <v>45.51</v>
      </c>
      <c r="BB1318" s="34" t="n">
        <v>46210</v>
      </c>
      <c r="BC1318" s="15" t="n">
        <v>69.34999999999999</v>
      </c>
      <c r="BD1318" s="15" t="n">
        <v>82.78</v>
      </c>
      <c r="BE1318" s="34" t="n">
        <v>46210</v>
      </c>
      <c r="BF1318" s="15" t="n">
        <v>132.8</v>
      </c>
      <c r="BG1318" s="15" t="n">
        <v>233.96</v>
      </c>
      <c r="BH1318" s="34" t="n">
        <v>46210</v>
      </c>
      <c r="BI1318" s="15" t="n">
        <v>24.12</v>
      </c>
      <c r="BJ1318" s="15" t="n">
        <v>51.85</v>
      </c>
      <c r="BK1318" s="34" t="n">
        <v>46210</v>
      </c>
      <c r="BL1318" s="15" t="n">
        <v>78.15000000000001</v>
      </c>
      <c r="BM1318" s="15" t="n">
        <v>146</v>
      </c>
      <c r="BN1318" s="34" t="n">
        <v>46210</v>
      </c>
      <c r="BO1318" s="15" t="n">
        <v>6.89</v>
      </c>
      <c r="BP1318" s="15" t="n">
        <v>17.22</v>
      </c>
      <c r="BQ1318" s="34" t="n">
        <v>46210</v>
      </c>
      <c r="BR1318" s="15" t="n">
        <v>20.1</v>
      </c>
      <c r="BS1318" s="15" t="n">
        <v>19.44</v>
      </c>
      <c r="BT1318" s="34" t="n">
        <v>46210</v>
      </c>
      <c r="BU1318" s="15" t="n">
        <v>100.5</v>
      </c>
      <c r="BV1318" s="15" t="n">
        <v>197.2</v>
      </c>
      <c r="BW1318" s="34" t="n">
        <v>46210</v>
      </c>
      <c r="BX1318" s="15" t="n">
        <v>47</v>
      </c>
      <c r="BY1318" s="15" t="n">
        <v>59.04</v>
      </c>
      <c r="BZ1318" s="34" t="n">
        <v>46210</v>
      </c>
      <c r="CA1318" s="15" t="n">
        <v>13.27</v>
      </c>
      <c r="CB1318" s="15" t="n">
        <v>22.29</v>
      </c>
      <c r="CC1318" s="34" t="n">
        <v>46210</v>
      </c>
      <c r="CD1318" s="15" t="n">
        <v>25.02</v>
      </c>
      <c r="CE1318" s="15" t="n">
        <v>41.97</v>
      </c>
      <c r="CF1318" s="34" t="n">
        <v>46210</v>
      </c>
      <c r="CG1318" s="15" t="n">
        <v>189.6</v>
      </c>
      <c r="CH1318" s="15" t="n">
        <v>251.55</v>
      </c>
      <c r="CI1318" s="34" t="n">
        <v>46210</v>
      </c>
      <c r="CJ1318" s="15" t="n">
        <v>6.03</v>
      </c>
      <c r="CK1318" s="15" t="n">
        <v>17.43</v>
      </c>
      <c r="CL1318" s="34" t="n">
        <v>46210</v>
      </c>
      <c r="CM1318" s="15" t="n">
        <v>77.84999999999999</v>
      </c>
      <c r="CN1318" s="15" t="n">
        <v>99.45999999999999</v>
      </c>
      <c r="CO1318" s="34" t="n">
        <v>46210</v>
      </c>
      <c r="CP1318" s="15" t="n">
        <v>770</v>
      </c>
      <c r="CQ1318" s="15" t="n">
        <v>620</v>
      </c>
      <c r="CR1318" s="34" t="n">
        <v>46210</v>
      </c>
      <c r="CS1318" s="15" t="n">
        <v>21.7</v>
      </c>
      <c r="CT1318" s="15" t="n">
        <v>38.1</v>
      </c>
      <c r="CU1318" s="34" t="n">
        <v>46210</v>
      </c>
      <c r="CV1318" s="15" t="n">
        <v>111</v>
      </c>
      <c r="CW1318" s="15" t="n">
        <v>124.45</v>
      </c>
      <c r="CX1318" s="34" t="n">
        <v>46210</v>
      </c>
      <c r="CY1318" s="15" t="n">
        <v>56.25</v>
      </c>
      <c r="CZ1318" s="15" t="n">
        <v>58</v>
      </c>
      <c r="DA1318" s="34" t="n">
        <v>46210</v>
      </c>
      <c r="DB1318" s="15" t="n">
        <v>136.3</v>
      </c>
      <c r="DC1318" s="15" t="n">
        <v>336.63</v>
      </c>
      <c r="DD1318" s="34" t="n">
        <v>46210</v>
      </c>
      <c r="DE1318" s="15" t="n">
        <v>32.28</v>
      </c>
      <c r="DF1318" s="15" t="n">
        <v>38.49</v>
      </c>
      <c r="DG1318" s="34" t="n">
        <v>46210</v>
      </c>
      <c r="DH1318" s="15" t="n">
        <v>333.6</v>
      </c>
      <c r="DI1318" s="15" t="n">
        <v>253.2</v>
      </c>
      <c r="DJ1318" s="34" t="n">
        <v>46210</v>
      </c>
      <c r="DK1318" s="15" t="n">
        <v>31.46</v>
      </c>
      <c r="DL1318" s="15" t="n">
        <v>37.25</v>
      </c>
      <c r="DM1318" s="34" t="n">
        <v>46210</v>
      </c>
      <c r="DN1318" s="15" t="n">
        <v>11.32</v>
      </c>
      <c r="DO1318" s="15" t="n">
        <v>17.64</v>
      </c>
      <c r="DP1318" s="34" t="n">
        <v>46210</v>
      </c>
      <c r="DQ1318" s="15" t="n">
        <v>23.6</v>
      </c>
      <c r="DR1318" s="15" t="n">
        <v>49</v>
      </c>
      <c r="DS1318" s="34" t="n">
        <v>46210</v>
      </c>
      <c r="DT1318" s="15" t="n">
        <v>54.65</v>
      </c>
      <c r="DU1318" s="15" t="n">
        <v>90.90000000000001</v>
      </c>
      <c r="DV1318" s="34" t="n">
        <v>46210</v>
      </c>
      <c r="DW1318" s="15" t="n">
        <v>17.41</v>
      </c>
      <c r="DX1318" s="15" t="n">
        <v>36.3</v>
      </c>
      <c r="DY1318" s="34" t="n">
        <v>46210</v>
      </c>
      <c r="DZ1318" s="15" t="n">
        <v>139</v>
      </c>
      <c r="EA1318" s="15" t="n">
        <v>184.37</v>
      </c>
      <c r="EB1318" s="34" t="n">
        <v>46210</v>
      </c>
      <c r="EC1318" s="15" t="n">
        <v>13.52</v>
      </c>
      <c r="ED1318" s="15" t="n">
        <v>27.54</v>
      </c>
      <c r="EE1318" s="34" t="n">
        <v>46210</v>
      </c>
      <c r="EF1318" s="15" t="n">
        <v>257.2</v>
      </c>
      <c r="EG1318" s="15" t="n">
        <v>284.92</v>
      </c>
      <c r="EH1318" s="34" t="n">
        <v>46210</v>
      </c>
      <c r="EI1318" s="15" t="n">
        <v>57.95</v>
      </c>
      <c r="EJ1318" s="15" t="n">
        <v>71.17</v>
      </c>
      <c r="EK1318" s="34" t="n">
        <v>46210</v>
      </c>
      <c r="EL1318" s="15" t="n">
        <v>24</v>
      </c>
      <c r="EM1318" s="15" t="n">
        <v>32.41</v>
      </c>
      <c r="EN1318" s="34" t="n">
        <v>46210</v>
      </c>
      <c r="EO1318" s="15" t="n">
        <v>31.24</v>
      </c>
      <c r="EP1318" s="15" t="n">
        <v>49.96</v>
      </c>
      <c r="EQ1318" s="34" t="n">
        <v>46210</v>
      </c>
      <c r="ER1318" s="15" t="n">
        <v>47.8</v>
      </c>
      <c r="ES1318" s="15" t="n">
        <v>49.7</v>
      </c>
      <c r="ET1318" s="34" t="n">
        <v>46210</v>
      </c>
      <c r="EU1318" s="15" t="n">
        <v>10.4</v>
      </c>
      <c r="EV1318" s="15" t="n">
        <v>20.35</v>
      </c>
      <c r="EW1318" s="34" t="n">
        <v>46210</v>
      </c>
      <c r="EX1318" s="15" t="n">
        <v>110.5</v>
      </c>
      <c r="EY1318" s="15" t="n">
        <v>129.1</v>
      </c>
      <c r="EZ1318" s="34" t="n">
        <v>46210</v>
      </c>
      <c r="FA1318" s="15" t="n">
        <v>8.51</v>
      </c>
      <c r="FB1318" s="15" t="n">
        <v>15.93</v>
      </c>
      <c r="FC1318" s="34" t="n">
        <v>46210</v>
      </c>
      <c r="FD1318" s="15" t="n">
        <v>385</v>
      </c>
      <c r="FE1318" s="15" t="n">
        <v>462.23</v>
      </c>
      <c r="FF1318" s="34" t="n">
        <v>46210</v>
      </c>
      <c r="FG1318" s="15" t="n">
        <v>106.1</v>
      </c>
      <c r="FH1318" s="15" t="n">
        <v>106.23</v>
      </c>
      <c r="FI1318" s="34" t="n">
        <v>46210</v>
      </c>
    </row>
    <row r="1319">
      <c r="A1319" s="34" t="n">
        <v>46211</v>
      </c>
      <c r="B1319" s="266" t="n">
        <v>1.154153943061829</v>
      </c>
      <c r="C1319" s="34" t="n">
        <v>46211</v>
      </c>
      <c r="D1319" s="15" t="n">
        <v>17.97</v>
      </c>
      <c r="E1319" s="15" t="n">
        <v>37.9</v>
      </c>
      <c r="F1319" s="34" t="n">
        <v>46211</v>
      </c>
      <c r="G1319" s="15" t="n">
        <v>109.5</v>
      </c>
      <c r="H1319" s="15" t="n">
        <v>149.53</v>
      </c>
      <c r="I1319" s="34" t="n">
        <v>46211</v>
      </c>
      <c r="J1319" s="15" t="n">
        <v>17.5</v>
      </c>
      <c r="K1319" s="15" t="n">
        <v>29.7</v>
      </c>
      <c r="L1319" s="34" t="n">
        <v>46211</v>
      </c>
      <c r="M1319" s="15" t="n">
        <v>36.36</v>
      </c>
      <c r="N1319" s="15" t="n">
        <v>53.27</v>
      </c>
      <c r="O1319" s="34" t="n">
        <v>46211</v>
      </c>
      <c r="P1319" s="15" t="n">
        <v>48</v>
      </c>
      <c r="Q1319" s="15" t="n">
        <v>51.53</v>
      </c>
      <c r="R1319" s="34" t="n">
        <v>46211</v>
      </c>
      <c r="S1319" s="15" t="n">
        <v>46.6</v>
      </c>
      <c r="T1319" s="15" t="n">
        <v>103.45</v>
      </c>
      <c r="U1319" s="34" t="n">
        <v>46211</v>
      </c>
      <c r="V1319" s="15" t="n">
        <v>12.5</v>
      </c>
      <c r="W1319" s="15" t="n">
        <v>19.03</v>
      </c>
      <c r="X1319" s="34" t="n">
        <v>46211</v>
      </c>
      <c r="Y1319" s="15" t="n">
        <v>88.15000000000001</v>
      </c>
      <c r="Z1319" s="15" t="n">
        <v>79.41</v>
      </c>
      <c r="AA1319" s="34" t="n">
        <v>46211</v>
      </c>
      <c r="AB1319" s="15" t="n">
        <v>11.16</v>
      </c>
      <c r="AC1319" s="15" t="n">
        <v>27.35</v>
      </c>
      <c r="AD1319" s="34" t="n">
        <v>46211</v>
      </c>
      <c r="AE1319" s="15" t="n">
        <v>31.6</v>
      </c>
      <c r="AF1319" s="15" t="n">
        <v>32.59</v>
      </c>
      <c r="AG1319" s="34" t="n">
        <v>46211</v>
      </c>
      <c r="AH1319" s="15" t="n">
        <v>28.06</v>
      </c>
      <c r="AI1319" s="15" t="n">
        <v>31.32</v>
      </c>
      <c r="AJ1319" s="34" t="n">
        <v>46211</v>
      </c>
      <c r="AK1319" s="15" t="n">
        <v>18.77</v>
      </c>
      <c r="AL1319" s="15" t="n">
        <v>50.4</v>
      </c>
      <c r="AM1319" s="34" t="n">
        <v>46211</v>
      </c>
      <c r="AN1319" s="15" t="n">
        <v>628</v>
      </c>
      <c r="AO1319" s="15" t="n">
        <v>361</v>
      </c>
      <c r="AP1319" s="34" t="n">
        <v>46211</v>
      </c>
      <c r="AQ1319" s="15" t="n">
        <v>59.1</v>
      </c>
      <c r="AR1319" s="15" t="n">
        <v>54.01</v>
      </c>
      <c r="AS1319" s="34" t="n">
        <v>46211</v>
      </c>
      <c r="AT1319" s="15" t="n">
        <v>15.17</v>
      </c>
      <c r="AU1319" s="15" t="n">
        <v>23.06</v>
      </c>
      <c r="AV1319" s="34" t="n">
        <v>46211</v>
      </c>
      <c r="AW1319" s="15" t="n">
        <v>30.04</v>
      </c>
      <c r="AX1319" s="15" t="n">
        <v>34.1</v>
      </c>
      <c r="AY1319" s="34" t="n">
        <v>46211</v>
      </c>
      <c r="AZ1319" s="15" t="n">
        <v>27.86</v>
      </c>
      <c r="BA1319" s="15" t="n">
        <v>42.01</v>
      </c>
      <c r="BB1319" s="34" t="n">
        <v>46211</v>
      </c>
      <c r="BC1319" s="15" t="n">
        <v>69.3</v>
      </c>
      <c r="BD1319" s="15" t="n">
        <v>82.03</v>
      </c>
      <c r="BE1319" s="34" t="n">
        <v>46211</v>
      </c>
      <c r="BF1319" s="15" t="n">
        <v>134.7</v>
      </c>
      <c r="BG1319" s="15" t="n">
        <v>230</v>
      </c>
      <c r="BH1319" s="34" t="n">
        <v>46211</v>
      </c>
      <c r="BI1319" s="15" t="n">
        <v>23.14</v>
      </c>
      <c r="BJ1319" s="15" t="n">
        <v>46.05</v>
      </c>
      <c r="BK1319" s="34" t="n">
        <v>46211</v>
      </c>
      <c r="BL1319" s="15" t="n">
        <v>77.2</v>
      </c>
      <c r="BM1319" s="15" t="n">
        <v>145.45</v>
      </c>
      <c r="BN1319" s="34" t="n">
        <v>46211</v>
      </c>
      <c r="BO1319" s="15" t="n">
        <v>6.95</v>
      </c>
      <c r="BP1319" s="15" t="n">
        <v>17.3</v>
      </c>
      <c r="BQ1319" s="34" t="n">
        <v>46211</v>
      </c>
      <c r="BR1319" s="15" t="n">
        <v>19.22</v>
      </c>
      <c r="BS1319" s="15" t="n">
        <v>18.85</v>
      </c>
      <c r="BT1319" s="34" t="n">
        <v>46211</v>
      </c>
      <c r="BU1319" s="15" t="n">
        <v>99.84999999999999</v>
      </c>
      <c r="BV1319" s="15" t="n">
        <v>189.99</v>
      </c>
      <c r="BW1319" s="34" t="n">
        <v>46211</v>
      </c>
      <c r="BX1319" s="15" t="n">
        <v>47.7</v>
      </c>
      <c r="BY1319" s="15" t="n">
        <v>58.53</v>
      </c>
      <c r="BZ1319" s="34" t="n">
        <v>46211</v>
      </c>
      <c r="CA1319" s="15" t="n">
        <v>12.91</v>
      </c>
      <c r="CB1319" s="15" t="n">
        <v>21.08</v>
      </c>
      <c r="CC1319" s="34" t="n">
        <v>46211</v>
      </c>
      <c r="CD1319" s="15" t="n">
        <v>24.3</v>
      </c>
      <c r="CE1319" s="15" t="n">
        <v>39.7</v>
      </c>
      <c r="CF1319" s="34" t="n">
        <v>46211</v>
      </c>
      <c r="CG1319" s="15" t="n">
        <v>188.8</v>
      </c>
      <c r="CH1319" s="15" t="n">
        <v>249.19</v>
      </c>
      <c r="CI1319" s="34" t="n">
        <v>46211</v>
      </c>
      <c r="CJ1319" s="15" t="n">
        <v>6.09</v>
      </c>
      <c r="CK1319" s="15" t="n">
        <v>17.2</v>
      </c>
      <c r="CL1319" s="34" t="n">
        <v>46211</v>
      </c>
      <c r="CM1319" s="15" t="n">
        <v>78.34999999999999</v>
      </c>
      <c r="CN1319" s="15" t="n">
        <v>100.95</v>
      </c>
      <c r="CO1319" s="34" t="n">
        <v>46211</v>
      </c>
      <c r="CP1319" s="15" t="n">
        <v>772.5</v>
      </c>
      <c r="CQ1319" s="15" t="n">
        <v>603.17</v>
      </c>
      <c r="CR1319" s="34" t="n">
        <v>46211</v>
      </c>
      <c r="CS1319" s="15" t="n">
        <v>22.44</v>
      </c>
      <c r="CT1319" s="15" t="n">
        <v>39.85</v>
      </c>
      <c r="CU1319" s="34" t="n">
        <v>46211</v>
      </c>
      <c r="CV1319" s="15" t="n">
        <v>114.5</v>
      </c>
      <c r="CW1319" s="15" t="n">
        <v>127.81</v>
      </c>
      <c r="CX1319" s="34" t="n">
        <v>46211</v>
      </c>
      <c r="CY1319" s="15" t="n">
        <v>54.45</v>
      </c>
      <c r="CZ1319" s="15" t="n">
        <v>60.01</v>
      </c>
      <c r="DA1319" s="34" t="n">
        <v>46211</v>
      </c>
      <c r="DB1319" s="15" t="n">
        <v>133.3</v>
      </c>
      <c r="DC1319" s="15" t="n">
        <v>314</v>
      </c>
      <c r="DD1319" s="34" t="n">
        <v>46211</v>
      </c>
      <c r="DE1319" s="15" t="n">
        <v>31.06</v>
      </c>
      <c r="DF1319" s="15" t="n">
        <v>36.8</v>
      </c>
      <c r="DG1319" s="34" t="n">
        <v>46211</v>
      </c>
      <c r="DH1319" s="15" t="n">
        <v>321.4</v>
      </c>
      <c r="DI1319" s="15" t="n">
        <v>247.15</v>
      </c>
      <c r="DJ1319" s="34" t="n">
        <v>46211</v>
      </c>
      <c r="DK1319" s="15" t="n">
        <v>30.8</v>
      </c>
      <c r="DL1319" s="15" t="n">
        <v>36.95</v>
      </c>
      <c r="DM1319" s="34" t="n">
        <v>46211</v>
      </c>
      <c r="DN1319" s="15" t="n">
        <v>11.48</v>
      </c>
      <c r="DO1319" s="15" t="n">
        <v>17.47</v>
      </c>
      <c r="DP1319" s="34" t="n">
        <v>46211</v>
      </c>
      <c r="DQ1319" s="15" t="n">
        <v>19.27</v>
      </c>
      <c r="DR1319" s="15" t="n">
        <v>44.1</v>
      </c>
      <c r="DS1319" s="34" t="n">
        <v>46211</v>
      </c>
      <c r="DT1319" s="15" t="n">
        <v>51.65</v>
      </c>
      <c r="DU1319" s="15" t="n">
        <v>85.06</v>
      </c>
      <c r="DV1319" s="34" t="n">
        <v>46211</v>
      </c>
      <c r="DW1319" s="15" t="n">
        <v>17.51</v>
      </c>
      <c r="DX1319" s="15" t="n">
        <v>36.12</v>
      </c>
      <c r="DY1319" s="34" t="n">
        <v>46211</v>
      </c>
      <c r="DZ1319" s="15" t="n">
        <v>141.9</v>
      </c>
      <c r="EA1319" s="15" t="n">
        <v>181.5</v>
      </c>
      <c r="EB1319" s="34" t="n">
        <v>46211</v>
      </c>
      <c r="EC1319" s="15" t="n">
        <v>13.08</v>
      </c>
      <c r="ED1319" s="15" t="n">
        <v>27.06</v>
      </c>
      <c r="EE1319" s="34" t="n">
        <v>46211</v>
      </c>
      <c r="EF1319" s="15" t="n">
        <v>248</v>
      </c>
      <c r="EG1319" s="15" t="n">
        <v>279.66</v>
      </c>
      <c r="EH1319" s="34" t="n">
        <v>46211</v>
      </c>
      <c r="EI1319" s="15" t="n">
        <v>68.84999999999999</v>
      </c>
      <c r="EJ1319" s="15" t="n">
        <v>78.29000000000001</v>
      </c>
      <c r="EK1319" s="34" t="n">
        <v>46211</v>
      </c>
      <c r="EL1319" s="15" t="n">
        <v>22.8</v>
      </c>
      <c r="EM1319" s="15" t="n">
        <v>31.27</v>
      </c>
      <c r="EN1319" s="34" t="n">
        <v>46211</v>
      </c>
      <c r="EO1319" s="15" t="n">
        <v>30.5</v>
      </c>
      <c r="EP1319" s="15" t="n">
        <v>49.34</v>
      </c>
      <c r="EQ1319" s="34" t="n">
        <v>46211</v>
      </c>
      <c r="ER1319" s="15" t="n">
        <v>46</v>
      </c>
      <c r="ES1319" s="15" t="n">
        <v>46.7</v>
      </c>
      <c r="ET1319" s="34" t="n">
        <v>46211</v>
      </c>
      <c r="EU1319" s="15" t="n">
        <v>9.56</v>
      </c>
      <c r="EV1319" s="15" t="n">
        <v>18.46</v>
      </c>
      <c r="EW1319" s="34" t="n">
        <v>46211</v>
      </c>
      <c r="EX1319" s="15" t="n">
        <v>113.6</v>
      </c>
      <c r="EY1319" s="15" t="n">
        <v>129.74</v>
      </c>
      <c r="EZ1319" s="34" t="n">
        <v>46211</v>
      </c>
      <c r="FA1319" s="15" t="n">
        <v>7.56</v>
      </c>
      <c r="FB1319" s="15" t="n">
        <v>15.06</v>
      </c>
      <c r="FC1319" s="34" t="n">
        <v>46211</v>
      </c>
      <c r="FD1319" s="15" t="n">
        <v>406.2</v>
      </c>
      <c r="FE1319" s="15" t="n">
        <v>473.26</v>
      </c>
      <c r="FF1319" s="34" t="n">
        <v>46211</v>
      </c>
      <c r="FG1319" s="15" t="n">
        <v>104.9</v>
      </c>
      <c r="FH1319" s="15" t="n">
        <v>103.5</v>
      </c>
      <c r="FI1319" s="34" t="n">
        <v>46211</v>
      </c>
    </row>
    <row r="1320">
      <c r="A1320" s="34" t="n">
        <v>46212</v>
      </c>
      <c r="B1320" s="266" t="n">
        <v>1.152119994163513</v>
      </c>
      <c r="C1320" s="34" t="n">
        <v>46212</v>
      </c>
      <c r="D1320" s="15" t="n">
        <v>18.23</v>
      </c>
      <c r="E1320" s="15" t="n">
        <v>39.29</v>
      </c>
      <c r="F1320" s="34" t="n">
        <v>46212</v>
      </c>
      <c r="G1320" s="15" t="n">
        <v>115.3</v>
      </c>
      <c r="H1320" s="15" t="n">
        <v>161.23</v>
      </c>
      <c r="I1320" s="34" t="n">
        <v>46212</v>
      </c>
      <c r="J1320" s="15" t="n">
        <v>17.35</v>
      </c>
      <c r="K1320" s="15" t="n">
        <v>28.58</v>
      </c>
      <c r="L1320" s="34" t="n">
        <v>46212</v>
      </c>
      <c r="M1320" s="15" t="n">
        <v>35.22</v>
      </c>
      <c r="N1320" s="15" t="n">
        <v>49.79</v>
      </c>
      <c r="O1320" s="34" t="n">
        <v>46212</v>
      </c>
      <c r="P1320" s="15" t="n">
        <v>46.9</v>
      </c>
      <c r="Q1320" s="15" t="n">
        <v>50.99</v>
      </c>
      <c r="R1320" s="34" t="n">
        <v>46212</v>
      </c>
      <c r="S1320" s="15" t="n">
        <v>47</v>
      </c>
      <c r="T1320" s="15" t="n">
        <v>106.5</v>
      </c>
      <c r="U1320" s="34" t="n">
        <v>46212</v>
      </c>
      <c r="V1320" s="15" t="n">
        <v>12.65</v>
      </c>
      <c r="W1320" s="15" t="n">
        <v>18.76</v>
      </c>
      <c r="X1320" s="34" t="n">
        <v>46212</v>
      </c>
      <c r="Y1320" s="15" t="n">
        <v>88.45</v>
      </c>
      <c r="Z1320" s="15" t="n">
        <v>79.33</v>
      </c>
      <c r="AA1320" s="34" t="n">
        <v>46212</v>
      </c>
      <c r="AB1320" s="15" t="n">
        <v>10.38</v>
      </c>
      <c r="AC1320" s="15" t="n">
        <v>24.62</v>
      </c>
      <c r="AD1320" s="34" t="n">
        <v>46212</v>
      </c>
      <c r="AE1320" s="15" t="n">
        <v>30.94</v>
      </c>
      <c r="AF1320" s="15" t="n">
        <v>31.91</v>
      </c>
      <c r="AG1320" s="34" t="n">
        <v>46212</v>
      </c>
      <c r="AH1320" s="15" t="n">
        <v>27.54</v>
      </c>
      <c r="AI1320" s="15" t="n">
        <v>31.35</v>
      </c>
      <c r="AJ1320" s="34" t="n">
        <v>46212</v>
      </c>
      <c r="AK1320" s="15" t="n">
        <v>18.68</v>
      </c>
      <c r="AL1320" s="15" t="n">
        <v>50.85</v>
      </c>
      <c r="AM1320" s="34" t="n">
        <v>46212</v>
      </c>
      <c r="AN1320" s="15" t="n">
        <v>637.5</v>
      </c>
      <c r="AO1320" s="15" t="n">
        <v>375.5</v>
      </c>
      <c r="AP1320" s="34" t="n">
        <v>46212</v>
      </c>
      <c r="AQ1320" s="15" t="n">
        <v>58.5</v>
      </c>
      <c r="AR1320" s="15" t="n">
        <v>55.61</v>
      </c>
      <c r="AS1320" s="34" t="n">
        <v>46212</v>
      </c>
      <c r="AT1320" s="15" t="n">
        <v>15.65</v>
      </c>
      <c r="AU1320" s="15" t="n">
        <v>23.42</v>
      </c>
      <c r="AV1320" s="34" t="n">
        <v>46212</v>
      </c>
      <c r="AW1320" s="15" t="n">
        <v>29.52</v>
      </c>
      <c r="AX1320" s="15" t="n">
        <v>33.33</v>
      </c>
      <c r="AY1320" s="34" t="n">
        <v>46212</v>
      </c>
      <c r="AZ1320" s="15" t="n">
        <v>27.7</v>
      </c>
      <c r="BA1320" s="15" t="n">
        <v>42.85</v>
      </c>
      <c r="BB1320" s="34" t="n">
        <v>46212</v>
      </c>
      <c r="BC1320" s="15" t="n">
        <v>65.05</v>
      </c>
      <c r="BD1320" s="15" t="n">
        <v>79.75</v>
      </c>
      <c r="BE1320" s="34" t="n">
        <v>46212</v>
      </c>
      <c r="BF1320" s="15" t="n">
        <v>133.8</v>
      </c>
      <c r="BG1320" s="15" t="n">
        <v>234.32</v>
      </c>
      <c r="BH1320" s="34" t="n">
        <v>46212</v>
      </c>
      <c r="BI1320" s="15" t="n">
        <v>23.36</v>
      </c>
      <c r="BJ1320" s="15" t="n">
        <v>46.73</v>
      </c>
      <c r="BK1320" s="34" t="n">
        <v>46212</v>
      </c>
      <c r="BL1320" s="15" t="n">
        <v>82</v>
      </c>
      <c r="BM1320" s="15" t="n">
        <v>156.67</v>
      </c>
      <c r="BN1320" s="34" t="n">
        <v>46212</v>
      </c>
      <c r="BO1320" s="15" t="n">
        <v>7.19</v>
      </c>
      <c r="BP1320" s="15" t="n">
        <v>17.7</v>
      </c>
      <c r="BQ1320" s="34" t="n">
        <v>46212</v>
      </c>
      <c r="BR1320" s="15" t="n">
        <v>18.79</v>
      </c>
      <c r="BS1320" s="15" t="n">
        <v>18.57</v>
      </c>
      <c r="BT1320" s="34" t="n">
        <v>46212</v>
      </c>
      <c r="BU1320" s="15" t="n">
        <v>115.7</v>
      </c>
      <c r="BV1320" s="15" t="n">
        <v>202</v>
      </c>
      <c r="BW1320" s="34" t="n">
        <v>46212</v>
      </c>
      <c r="BX1320" s="15" t="n">
        <v>47.66</v>
      </c>
      <c r="BY1320" s="15" t="n">
        <v>58.97</v>
      </c>
      <c r="BZ1320" s="34" t="n">
        <v>46212</v>
      </c>
      <c r="CA1320" s="15" t="n">
        <v>12.84</v>
      </c>
      <c r="CB1320" s="15" t="n">
        <v>21.21</v>
      </c>
      <c r="CC1320" s="34" t="n">
        <v>46212</v>
      </c>
      <c r="CD1320" s="15" t="n">
        <v>24.22</v>
      </c>
      <c r="CE1320" s="15" t="n">
        <v>39.55</v>
      </c>
      <c r="CF1320" s="34" t="n">
        <v>46212</v>
      </c>
      <c r="CG1320" s="15" t="n">
        <v>198.7</v>
      </c>
      <c r="CH1320" s="15" t="n">
        <v>256.3</v>
      </c>
      <c r="CI1320" s="34" t="n">
        <v>46212</v>
      </c>
      <c r="CJ1320" s="15" t="n">
        <v>6.05</v>
      </c>
      <c r="CK1320" s="15" t="n">
        <v>17.06</v>
      </c>
      <c r="CL1320" s="34" t="n">
        <v>46212</v>
      </c>
      <c r="CM1320" s="15" t="n">
        <v>82</v>
      </c>
      <c r="CN1320" s="15" t="n">
        <v>107.14</v>
      </c>
      <c r="CO1320" s="34" t="n">
        <v>46212</v>
      </c>
      <c r="CP1320" s="15" t="n">
        <v>940.5</v>
      </c>
      <c r="CQ1320" s="15" t="n">
        <v>663.49</v>
      </c>
      <c r="CR1320" s="34" t="n">
        <v>46212</v>
      </c>
      <c r="CS1320" s="15" t="n">
        <v>23.18</v>
      </c>
      <c r="CT1320" s="15" t="n">
        <v>42.38</v>
      </c>
      <c r="CU1320" s="34" t="n">
        <v>46212</v>
      </c>
      <c r="CV1320" s="15" t="n">
        <v>107.3</v>
      </c>
      <c r="CW1320" s="15" t="n">
        <v>121.44</v>
      </c>
      <c r="CX1320" s="34" t="n">
        <v>46212</v>
      </c>
      <c r="CY1320" s="15" t="n">
        <v>53.95</v>
      </c>
      <c r="CZ1320" s="15" t="n">
        <v>59.55</v>
      </c>
      <c r="DA1320" s="34" t="n">
        <v>46212</v>
      </c>
      <c r="DB1320" s="15" t="n">
        <v>145</v>
      </c>
      <c r="DC1320" s="15" t="n">
        <v>328</v>
      </c>
      <c r="DD1320" s="34" t="n">
        <v>46212</v>
      </c>
      <c r="DE1320" s="15" t="n">
        <v>31.3</v>
      </c>
      <c r="DF1320" s="15" t="n">
        <v>37.11</v>
      </c>
      <c r="DG1320" s="34" t="n">
        <v>46212</v>
      </c>
      <c r="DH1320" s="15" t="n">
        <v>383.8</v>
      </c>
      <c r="DI1320" s="15" t="n">
        <v>285.8</v>
      </c>
      <c r="DJ1320" s="34" t="n">
        <v>46212</v>
      </c>
      <c r="DK1320" s="15" t="n">
        <v>29.8</v>
      </c>
      <c r="DL1320" s="15" t="n">
        <v>37.05</v>
      </c>
      <c r="DM1320" s="34" t="n">
        <v>46212</v>
      </c>
      <c r="DN1320" s="15" t="n">
        <v>11.23</v>
      </c>
      <c r="DO1320" s="15" t="n">
        <v>17.31</v>
      </c>
      <c r="DP1320" s="34" t="n">
        <v>46212</v>
      </c>
      <c r="DQ1320" s="15" t="n">
        <v>20.6</v>
      </c>
      <c r="DR1320" s="15" t="n">
        <v>41.53</v>
      </c>
      <c r="DS1320" s="34" t="n">
        <v>46212</v>
      </c>
      <c r="DT1320" s="15" t="n">
        <v>52</v>
      </c>
      <c r="DU1320" s="15" t="n">
        <v>86.90000000000001</v>
      </c>
      <c r="DV1320" s="34" t="n">
        <v>46212</v>
      </c>
      <c r="DW1320" s="15" t="n">
        <v>17.73</v>
      </c>
      <c r="DX1320" s="15" t="n">
        <v>36.38</v>
      </c>
      <c r="DY1320" s="34" t="n">
        <v>46212</v>
      </c>
      <c r="DZ1320" s="15" t="n">
        <v>148.9</v>
      </c>
      <c r="EA1320" s="15" t="n">
        <v>183.32</v>
      </c>
      <c r="EB1320" s="34" t="n">
        <v>46212</v>
      </c>
      <c r="EC1320" s="15" t="n">
        <v>13.51</v>
      </c>
      <c r="ED1320" s="15" t="n">
        <v>27.65</v>
      </c>
      <c r="EE1320" s="34" t="n">
        <v>46212</v>
      </c>
      <c r="EF1320" s="15" t="n">
        <v>264.2</v>
      </c>
      <c r="EG1320" s="15" t="n">
        <v>296.7</v>
      </c>
      <c r="EH1320" s="34" t="n">
        <v>46212</v>
      </c>
      <c r="EI1320" s="15" t="n">
        <v>66.2</v>
      </c>
      <c r="EJ1320" s="15" t="n">
        <v>82.14</v>
      </c>
      <c r="EK1320" s="34" t="n">
        <v>46212</v>
      </c>
      <c r="EL1320" s="15" t="n">
        <v>22.5</v>
      </c>
      <c r="EM1320" s="15" t="n">
        <v>31.05</v>
      </c>
      <c r="EN1320" s="34" t="n">
        <v>46212</v>
      </c>
      <c r="EO1320" s="15" t="n">
        <v>29.86</v>
      </c>
      <c r="EP1320" s="15" t="n">
        <v>48.38</v>
      </c>
      <c r="EQ1320" s="34" t="n">
        <v>46212</v>
      </c>
      <c r="ER1320" s="15" t="n">
        <v>46.92</v>
      </c>
      <c r="ES1320" s="15" t="n">
        <v>47</v>
      </c>
      <c r="ET1320" s="34" t="n">
        <v>46212</v>
      </c>
      <c r="EU1320" s="15" t="n">
        <v>9.529999999999999</v>
      </c>
      <c r="EV1320" s="15" t="n">
        <v>18.11</v>
      </c>
      <c r="EW1320" s="34" t="n">
        <v>46212</v>
      </c>
      <c r="EX1320" s="15" t="n">
        <v>107.1</v>
      </c>
      <c r="EY1320" s="15" t="n">
        <v>134.86</v>
      </c>
      <c r="EZ1320" s="34" t="n">
        <v>46212</v>
      </c>
      <c r="FA1320" s="15" t="n">
        <v>7.91</v>
      </c>
      <c r="FB1320" s="15" t="n">
        <v>15.6</v>
      </c>
      <c r="FC1320" s="34" t="n">
        <v>46212</v>
      </c>
      <c r="FD1320" s="15" t="n">
        <v>436</v>
      </c>
      <c r="FE1320" s="15" t="n">
        <v>517.8</v>
      </c>
      <c r="FF1320" s="34" t="n">
        <v>46212</v>
      </c>
      <c r="FG1320" s="15" t="n">
        <v>100.6</v>
      </c>
      <c r="FH1320" s="15" t="n">
        <v>108.6</v>
      </c>
      <c r="FI1320" s="34" t="n">
        <v>46212</v>
      </c>
      <c r="FJ1320" s="15" t="n">
        <v>28.8</v>
      </c>
      <c r="FK1320" s="15" t="n">
        <v>55.57</v>
      </c>
      <c r="FL1320" s="34" t="n">
        <v>46212</v>
      </c>
      <c r="FM1320" s="15" t="n">
        <v>62.3</v>
      </c>
      <c r="FN1320" s="15" t="n">
        <v>64.45999999999999</v>
      </c>
      <c r="FO1320" s="34" t="n">
        <v>46212</v>
      </c>
      <c r="FP1320" s="15" t="n">
        <v>105</v>
      </c>
      <c r="FQ1320" s="15" t="n">
        <v>133.81</v>
      </c>
      <c r="FR1320" s="34" t="n">
        <v>46212</v>
      </c>
      <c r="FS1320" s="15" t="n">
        <v>373.2</v>
      </c>
      <c r="FT1320" s="15" t="n">
        <v>484.08</v>
      </c>
      <c r="FU1320" s="34" t="n">
        <v>46212</v>
      </c>
    </row>
    <row r="1321">
      <c r="A1321" s="34" t="n">
        <v>46213</v>
      </c>
      <c r="B1321" s="266" t="n">
        <v>1.153550028800964</v>
      </c>
      <c r="C1321" s="34" t="n">
        <v>46213</v>
      </c>
      <c r="D1321" s="15" t="n">
        <v>20.32</v>
      </c>
      <c r="E1321" s="15" t="n">
        <v>43.22</v>
      </c>
      <c r="F1321" s="34" t="n">
        <v>46213</v>
      </c>
      <c r="G1321" s="15" t="n">
        <v>121.9</v>
      </c>
      <c r="H1321" s="15" t="n">
        <v>165.41</v>
      </c>
      <c r="I1321" s="34" t="n">
        <v>46213</v>
      </c>
      <c r="J1321" s="15" t="n">
        <v>17.19</v>
      </c>
      <c r="K1321" s="15" t="n">
        <v>28.69</v>
      </c>
      <c r="L1321" s="34" t="n">
        <v>46213</v>
      </c>
      <c r="M1321" s="15" t="n">
        <v>33.74</v>
      </c>
      <c r="N1321" s="15" t="n">
        <v>47.8</v>
      </c>
      <c r="O1321" s="34" t="n">
        <v>46213</v>
      </c>
      <c r="P1321" s="15" t="n">
        <v>48.4</v>
      </c>
      <c r="Q1321" s="15" t="n">
        <v>52.73</v>
      </c>
      <c r="R1321" s="34" t="n">
        <v>46213</v>
      </c>
      <c r="S1321" s="15" t="n">
        <v>52.2</v>
      </c>
      <c r="T1321" s="15" t="n">
        <v>112.4</v>
      </c>
      <c r="U1321" s="34" t="n">
        <v>46213</v>
      </c>
      <c r="V1321" s="15" t="n">
        <v>12.55</v>
      </c>
      <c r="W1321" s="15" t="n">
        <v>19.05</v>
      </c>
      <c r="X1321" s="34" t="n">
        <v>46213</v>
      </c>
      <c r="Y1321" s="15" t="n">
        <v>88.75</v>
      </c>
      <c r="Z1321" s="15" t="n">
        <v>78.98999999999999</v>
      </c>
      <c r="AA1321" s="34" t="n">
        <v>46213</v>
      </c>
      <c r="AB1321" s="15" t="n">
        <v>10.18</v>
      </c>
      <c r="AC1321" s="15" t="n">
        <v>22.16</v>
      </c>
      <c r="AD1321" s="34" t="n">
        <v>46213</v>
      </c>
      <c r="AE1321" s="15" t="n">
        <v>30.58</v>
      </c>
      <c r="AF1321" s="15" t="n">
        <v>32.03</v>
      </c>
      <c r="AG1321" s="34" t="n">
        <v>46213</v>
      </c>
      <c r="AH1321" s="15" t="n">
        <v>28.48</v>
      </c>
      <c r="AI1321" s="15" t="n">
        <v>32.84</v>
      </c>
      <c r="AJ1321" s="34" t="n">
        <v>46213</v>
      </c>
      <c r="AK1321" s="15" t="n">
        <v>23.2</v>
      </c>
      <c r="AL1321" s="15" t="n">
        <v>55.94</v>
      </c>
      <c r="AM1321" s="34" t="n">
        <v>46213</v>
      </c>
      <c r="AN1321" s="15" t="n">
        <v>587</v>
      </c>
      <c r="AO1321" s="15" t="n">
        <v>348.76</v>
      </c>
      <c r="AP1321" s="34" t="n">
        <v>46213</v>
      </c>
      <c r="AQ1321" s="15" t="n">
        <v>59.25</v>
      </c>
      <c r="AR1321" s="15" t="n">
        <v>55.75</v>
      </c>
      <c r="AS1321" s="34" t="n">
        <v>46213</v>
      </c>
      <c r="AT1321" s="15" t="n">
        <v>14.13</v>
      </c>
      <c r="AU1321" s="15" t="n">
        <v>22.81</v>
      </c>
      <c r="AV1321" s="34" t="n">
        <v>46213</v>
      </c>
      <c r="AW1321" s="15" t="n">
        <v>30.16</v>
      </c>
      <c r="AX1321" s="15" t="n">
        <v>33.72</v>
      </c>
      <c r="AY1321" s="34" t="n">
        <v>46213</v>
      </c>
      <c r="AZ1321" s="15" t="n">
        <v>28.1</v>
      </c>
      <c r="BA1321" s="15" t="n">
        <v>43.2</v>
      </c>
      <c r="BB1321" s="34" t="n">
        <v>46213</v>
      </c>
      <c r="BC1321" s="15" t="n">
        <v>66.90000000000001</v>
      </c>
      <c r="BD1321" s="15" t="n">
        <v>81.51000000000001</v>
      </c>
      <c r="BE1321" s="34" t="n">
        <v>46213</v>
      </c>
      <c r="BF1321" s="15" t="n">
        <v>132</v>
      </c>
      <c r="BG1321" s="15" t="n">
        <v>228.01</v>
      </c>
      <c r="BH1321" s="34" t="n">
        <v>46213</v>
      </c>
      <c r="BI1321" s="15" t="n">
        <v>22</v>
      </c>
      <c r="BJ1321" s="15" t="n">
        <v>43.64</v>
      </c>
      <c r="BK1321" s="34" t="n">
        <v>46213</v>
      </c>
      <c r="BL1321" s="15" t="n">
        <v>75</v>
      </c>
      <c r="BM1321" s="15" t="n">
        <v>141.78</v>
      </c>
      <c r="BN1321" s="34" t="n">
        <v>46213</v>
      </c>
      <c r="BO1321" s="15" t="n">
        <v>7.55</v>
      </c>
      <c r="BP1321" s="15" t="n">
        <v>18.11</v>
      </c>
      <c r="BQ1321" s="34" t="n">
        <v>46213</v>
      </c>
      <c r="BR1321" s="15" t="n">
        <v>19.02</v>
      </c>
      <c r="BS1321" s="15" t="n">
        <v>18.86</v>
      </c>
      <c r="BT1321" s="34" t="n">
        <v>46213</v>
      </c>
      <c r="BU1321" s="15" t="n">
        <v>109</v>
      </c>
      <c r="BV1321" s="15" t="n">
        <v>199.09</v>
      </c>
      <c r="BW1321" s="34" t="n">
        <v>46213</v>
      </c>
      <c r="BX1321" s="15" t="n">
        <v>47.8</v>
      </c>
      <c r="BY1321" s="15" t="n">
        <v>59.9</v>
      </c>
      <c r="BZ1321" s="34" t="n">
        <v>46213</v>
      </c>
      <c r="CA1321" s="15" t="n">
        <v>12.99</v>
      </c>
      <c r="CB1321" s="15" t="n">
        <v>21.55</v>
      </c>
      <c r="CC1321" s="34" t="n">
        <v>46213</v>
      </c>
      <c r="CD1321" s="15" t="n">
        <v>24.2</v>
      </c>
      <c r="CE1321" s="15" t="n">
        <v>38.6</v>
      </c>
      <c r="CF1321" s="34" t="n">
        <v>46213</v>
      </c>
      <c r="CG1321" s="15" t="n">
        <v>184.3</v>
      </c>
      <c r="CH1321" s="15" t="n">
        <v>250.6</v>
      </c>
      <c r="CI1321" s="34" t="n">
        <v>46213</v>
      </c>
      <c r="CJ1321" s="15" t="n">
        <v>5.98</v>
      </c>
      <c r="CK1321" s="15" t="n">
        <v>17.04</v>
      </c>
      <c r="CL1321" s="34" t="n">
        <v>46213</v>
      </c>
      <c r="CM1321" s="15" t="n">
        <v>78.65000000000001</v>
      </c>
      <c r="CN1321" s="15" t="n">
        <v>103.21</v>
      </c>
      <c r="CO1321" s="34" t="n">
        <v>46213</v>
      </c>
      <c r="CP1321" s="15" t="n">
        <v>742.5</v>
      </c>
      <c r="CQ1321" s="15" t="n">
        <v>612</v>
      </c>
      <c r="CR1321" s="34" t="n">
        <v>46213</v>
      </c>
      <c r="CS1321" s="15" t="n">
        <v>23.1</v>
      </c>
      <c r="CT1321" s="15" t="n">
        <v>42.47</v>
      </c>
      <c r="CU1321" s="34" t="n">
        <v>46213</v>
      </c>
      <c r="CV1321" s="15" t="n">
        <v>108.1</v>
      </c>
      <c r="CW1321" s="15" t="n">
        <v>121.51</v>
      </c>
      <c r="CX1321" s="34" t="n">
        <v>46213</v>
      </c>
      <c r="CY1321" s="15" t="n">
        <v>52.7</v>
      </c>
      <c r="CZ1321" s="15" t="n">
        <v>56.85</v>
      </c>
      <c r="DA1321" s="34" t="n">
        <v>46213</v>
      </c>
      <c r="DB1321" s="15" t="n">
        <v>137</v>
      </c>
      <c r="DC1321" s="15" t="n">
        <v>336</v>
      </c>
      <c r="DD1321" s="34" t="n">
        <v>46213</v>
      </c>
      <c r="DE1321" s="15" t="n">
        <v>32.4</v>
      </c>
      <c r="DF1321" s="15" t="n">
        <v>38.14</v>
      </c>
      <c r="DG1321" s="34" t="n">
        <v>46213</v>
      </c>
      <c r="DH1321" s="15" t="n">
        <v>350.4</v>
      </c>
      <c r="DI1321" s="15" t="n">
        <v>268.06</v>
      </c>
      <c r="DJ1321" s="34" t="n">
        <v>46213</v>
      </c>
      <c r="DK1321" s="15" t="n">
        <v>28.96</v>
      </c>
      <c r="DL1321" s="15" t="n">
        <v>36.25</v>
      </c>
      <c r="DM1321" s="34" t="n">
        <v>46213</v>
      </c>
      <c r="DN1321" s="15" t="n">
        <v>11.31</v>
      </c>
      <c r="DO1321" s="15" t="n">
        <v>17.62</v>
      </c>
      <c r="DP1321" s="34" t="n">
        <v>46213</v>
      </c>
      <c r="DQ1321" s="15" t="n">
        <v>21.44</v>
      </c>
      <c r="DR1321" s="15" t="n">
        <v>42.78</v>
      </c>
      <c r="DS1321" s="34" t="n">
        <v>46213</v>
      </c>
      <c r="DT1321" s="15" t="n">
        <v>50.15</v>
      </c>
      <c r="DU1321" s="15" t="n">
        <v>86.73</v>
      </c>
      <c r="DV1321" s="34" t="n">
        <v>46213</v>
      </c>
      <c r="DW1321" s="15" t="n">
        <v>18.31</v>
      </c>
      <c r="DX1321" s="15" t="n">
        <v>37.71</v>
      </c>
      <c r="DY1321" s="34" t="n">
        <v>46213</v>
      </c>
      <c r="DZ1321" s="15" t="n">
        <v>136</v>
      </c>
      <c r="EA1321" s="15" t="n">
        <v>175.26</v>
      </c>
      <c r="EB1321" s="34" t="n">
        <v>46213</v>
      </c>
      <c r="EC1321" s="15" t="n">
        <v>12.6</v>
      </c>
      <c r="ED1321" s="15" t="n">
        <v>25.59</v>
      </c>
      <c r="EE1321" s="34" t="n">
        <v>46213</v>
      </c>
      <c r="EF1321" s="15" t="n">
        <v>230.2</v>
      </c>
      <c r="EG1321" s="15" t="n">
        <v>272</v>
      </c>
      <c r="EH1321" s="34" t="n">
        <v>46213</v>
      </c>
      <c r="EI1321" s="15" t="n">
        <v>70</v>
      </c>
      <c r="EJ1321" s="15" t="n">
        <v>82.8</v>
      </c>
      <c r="EK1321" s="34" t="n">
        <v>46213</v>
      </c>
      <c r="EL1321" s="15" t="n">
        <v>23.5</v>
      </c>
      <c r="EM1321" s="15" t="n">
        <v>31.87</v>
      </c>
      <c r="EN1321" s="34" t="n">
        <v>46213</v>
      </c>
      <c r="EO1321" s="15" t="n">
        <v>29.58</v>
      </c>
      <c r="EP1321" s="15" t="n">
        <v>48.67</v>
      </c>
      <c r="EQ1321" s="34" t="n">
        <v>46213</v>
      </c>
      <c r="ER1321" s="15" t="n">
        <v>45.4</v>
      </c>
      <c r="ES1321" s="15" t="n">
        <v>46.21</v>
      </c>
      <c r="ET1321" s="34" t="n">
        <v>46213</v>
      </c>
      <c r="EU1321" s="15" t="n">
        <v>9.300000000000001</v>
      </c>
      <c r="EV1321" s="15" t="n">
        <v>17.57</v>
      </c>
      <c r="EW1321" s="34" t="n">
        <v>46213</v>
      </c>
      <c r="EX1321" s="15" t="n">
        <v>102.5</v>
      </c>
      <c r="EY1321" s="15" t="n">
        <v>124.25</v>
      </c>
      <c r="EZ1321" s="34" t="n">
        <v>46213</v>
      </c>
      <c r="FA1321" s="15" t="n">
        <v>7.78</v>
      </c>
      <c r="FB1321" s="15" t="n">
        <v>15.16</v>
      </c>
      <c r="FC1321" s="34" t="n">
        <v>46213</v>
      </c>
      <c r="FD1321" s="15" t="n">
        <v>376.6</v>
      </c>
      <c r="FE1321" s="15" t="n">
        <v>465.02</v>
      </c>
      <c r="FF1321" s="34" t="n">
        <v>46213</v>
      </c>
      <c r="FG1321" s="15" t="n">
        <v>102.9</v>
      </c>
      <c r="FH1321" s="15" t="n">
        <v>105.92</v>
      </c>
      <c r="FI1321" s="34" t="n">
        <v>46213</v>
      </c>
      <c r="FJ1321" s="15" t="n">
        <v>27.3</v>
      </c>
      <c r="FK1321" s="15" t="n">
        <v>54.58</v>
      </c>
      <c r="FL1321" s="34" t="n">
        <v>46213</v>
      </c>
      <c r="FM1321" s="15" t="n">
        <v>63</v>
      </c>
      <c r="FN1321" s="15" t="n">
        <v>62.14</v>
      </c>
      <c r="FO1321" s="34" t="n">
        <v>46213</v>
      </c>
      <c r="FP1321" s="15" t="n">
        <v>105</v>
      </c>
      <c r="FQ1321" s="15" t="n">
        <v>127.05</v>
      </c>
      <c r="FR1321" s="34" t="n">
        <v>46213</v>
      </c>
      <c r="FS1321" s="15" t="n">
        <v>386</v>
      </c>
      <c r="FT1321" s="15" t="n">
        <v>466.94</v>
      </c>
      <c r="FU1321" s="34" t="n">
        <v>46213</v>
      </c>
      <c r="FV1321" s="15" t="n">
        <v>2.83</v>
      </c>
      <c r="FW1321" s="15" t="n">
        <v>5.44</v>
      </c>
      <c r="FX1321" s="34" t="n">
        <v>46213</v>
      </c>
      <c r="FY1321" s="15" t="n">
        <v>32.3</v>
      </c>
      <c r="FZ1321" s="15" t="n">
        <v>54.12</v>
      </c>
      <c r="GA1321" s="34" t="n">
        <v>46213</v>
      </c>
    </row>
    <row r="1322">
      <c r="A1322" s="34" t="n">
        <v>46216</v>
      </c>
      <c r="B1322" s="266" t="n">
        <v>1.156761050224304</v>
      </c>
      <c r="C1322" s="34" t="n">
        <v>46216</v>
      </c>
      <c r="D1322" s="15" t="n">
        <v>20.62</v>
      </c>
      <c r="E1322" s="15" t="n">
        <v>43.01</v>
      </c>
      <c r="F1322" s="34" t="n">
        <v>46216</v>
      </c>
      <c r="G1322" s="15" t="n">
        <v>121.7</v>
      </c>
      <c r="H1322" s="15" t="n">
        <v>165.33</v>
      </c>
      <c r="I1322" s="34" t="n">
        <v>46216</v>
      </c>
      <c r="J1322" s="15" t="n">
        <v>16.85</v>
      </c>
      <c r="K1322" s="15" t="n">
        <v>26.55</v>
      </c>
      <c r="L1322" s="34" t="n">
        <v>46216</v>
      </c>
      <c r="M1322" s="15" t="n">
        <v>33.08</v>
      </c>
      <c r="N1322" s="15" t="n">
        <v>45.61</v>
      </c>
      <c r="O1322" s="34" t="n">
        <v>46216</v>
      </c>
      <c r="P1322" s="15" t="n">
        <v>47.48</v>
      </c>
      <c r="Q1322" s="15" t="n">
        <v>50.91</v>
      </c>
      <c r="R1322" s="34" t="n">
        <v>46216</v>
      </c>
      <c r="S1322" s="15" t="n">
        <v>53.3</v>
      </c>
      <c r="T1322" s="15" t="n">
        <v>116.66</v>
      </c>
      <c r="U1322" s="34" t="n">
        <v>46216</v>
      </c>
      <c r="V1322" s="15" t="n">
        <v>12.65</v>
      </c>
      <c r="W1322" s="15" t="n">
        <v>17.39</v>
      </c>
      <c r="X1322" s="34" t="n">
        <v>46216</v>
      </c>
      <c r="Y1322" s="15" t="n">
        <v>88.8</v>
      </c>
      <c r="Z1322" s="15" t="n">
        <v>80.40000000000001</v>
      </c>
      <c r="AA1322" s="34" t="n">
        <v>46216</v>
      </c>
      <c r="AB1322" s="15" t="n">
        <v>10.6</v>
      </c>
      <c r="AC1322" s="15" t="n">
        <v>20.74</v>
      </c>
      <c r="AD1322" s="34" t="n">
        <v>46216</v>
      </c>
      <c r="AE1322" s="15" t="n">
        <v>30.66</v>
      </c>
      <c r="AF1322" s="15" t="n">
        <v>31.96</v>
      </c>
      <c r="AG1322" s="34" t="n">
        <v>46216</v>
      </c>
      <c r="AH1322" s="15" t="n">
        <v>27.76</v>
      </c>
      <c r="AI1322" s="15" t="n">
        <v>32.33</v>
      </c>
      <c r="AJ1322" s="34" t="n">
        <v>46216</v>
      </c>
      <c r="AK1322" s="15" t="n">
        <v>18.9</v>
      </c>
      <c r="AL1322" s="15" t="n">
        <v>50.35</v>
      </c>
      <c r="AM1322" s="34" t="n">
        <v>46216</v>
      </c>
      <c r="AN1322" s="15" t="n">
        <v>603</v>
      </c>
      <c r="AO1322" s="15" t="n">
        <v>359.06</v>
      </c>
      <c r="AP1322" s="34" t="n">
        <v>46216</v>
      </c>
      <c r="AQ1322" s="15" t="n">
        <v>59.05</v>
      </c>
      <c r="AR1322" s="15" t="n">
        <v>55.75</v>
      </c>
      <c r="AS1322" s="34" t="n">
        <v>46216</v>
      </c>
      <c r="AT1322" s="15" t="n">
        <v>14.12</v>
      </c>
      <c r="AU1322" s="15" t="n">
        <v>22.12</v>
      </c>
      <c r="AV1322" s="34" t="n">
        <v>46216</v>
      </c>
      <c r="AW1322" s="15" t="n">
        <v>30.32</v>
      </c>
      <c r="AX1322" s="15" t="n">
        <v>34.4</v>
      </c>
      <c r="AY1322" s="34" t="n">
        <v>46216</v>
      </c>
      <c r="AZ1322" s="15" t="n">
        <v>27.56</v>
      </c>
      <c r="BA1322" s="15" t="n">
        <v>41.6</v>
      </c>
      <c r="BB1322" s="34" t="n">
        <v>46216</v>
      </c>
      <c r="BC1322" s="15" t="n">
        <v>68</v>
      </c>
      <c r="BD1322" s="15" t="n">
        <v>83.86</v>
      </c>
      <c r="BE1322" s="34" t="n">
        <v>46216</v>
      </c>
      <c r="BF1322" s="15" t="n">
        <v>128.1</v>
      </c>
      <c r="BG1322" s="15" t="n">
        <v>226.33</v>
      </c>
      <c r="BH1322" s="34" t="n">
        <v>46216</v>
      </c>
      <c r="BI1322" s="15" t="n">
        <v>21.32</v>
      </c>
      <c r="BJ1322" s="15" t="n">
        <v>39.53</v>
      </c>
      <c r="BK1322" s="34" t="n">
        <v>46216</v>
      </c>
      <c r="BL1322" s="15" t="n">
        <v>72.8</v>
      </c>
      <c r="BM1322" s="15" t="n">
        <v>138.59</v>
      </c>
      <c r="BN1322" s="34" t="n">
        <v>46216</v>
      </c>
      <c r="BO1322" s="15" t="n">
        <v>7.28</v>
      </c>
      <c r="BP1322" s="15" t="n">
        <v>17.44</v>
      </c>
      <c r="BQ1322" s="34" t="n">
        <v>46216</v>
      </c>
      <c r="BR1322" s="15" t="n">
        <v>18.65</v>
      </c>
      <c r="BS1322" s="15" t="n">
        <v>18.71</v>
      </c>
      <c r="BT1322" s="34" t="n">
        <v>46216</v>
      </c>
      <c r="BU1322" s="15" t="n">
        <v>102.8</v>
      </c>
      <c r="BV1322" s="15" t="n">
        <v>185.32</v>
      </c>
      <c r="BW1322" s="34" t="n">
        <v>46216</v>
      </c>
      <c r="BX1322" s="15" t="n">
        <v>41.32</v>
      </c>
      <c r="BY1322" s="15" t="n">
        <v>53.91</v>
      </c>
      <c r="BZ1322" s="34" t="n">
        <v>46216</v>
      </c>
      <c r="CA1322" s="15" t="n">
        <v>12.34</v>
      </c>
      <c r="CB1322" s="15" t="n">
        <v>20.06</v>
      </c>
      <c r="CC1322" s="34" t="n">
        <v>46216</v>
      </c>
      <c r="CD1322" s="15" t="n">
        <v>23.46</v>
      </c>
      <c r="CE1322" s="15" t="n">
        <v>37.4</v>
      </c>
      <c r="CF1322" s="34" t="n">
        <v>46216</v>
      </c>
      <c r="CG1322" s="15" t="n">
        <v>165.5</v>
      </c>
      <c r="CH1322" s="15" t="n">
        <v>238.78</v>
      </c>
      <c r="CI1322" s="34" t="n">
        <v>46216</v>
      </c>
      <c r="CJ1322" s="15" t="n">
        <v>5.95</v>
      </c>
      <c r="CK1322" s="15" t="n">
        <v>16.72</v>
      </c>
      <c r="CL1322" s="34" t="n">
        <v>46216</v>
      </c>
      <c r="CM1322" s="15" t="n">
        <v>77.55</v>
      </c>
      <c r="CN1322" s="15" t="n">
        <v>102.49</v>
      </c>
      <c r="CO1322" s="34" t="n">
        <v>46216</v>
      </c>
      <c r="CP1322" s="15" t="n">
        <v>629</v>
      </c>
      <c r="CQ1322" s="15" t="n">
        <v>550.8</v>
      </c>
      <c r="CR1322" s="34" t="n">
        <v>46216</v>
      </c>
      <c r="CS1322" s="15" t="n">
        <v>22.06</v>
      </c>
      <c r="CT1322" s="15" t="n">
        <v>40.31</v>
      </c>
      <c r="CU1322" s="34" t="n">
        <v>46216</v>
      </c>
      <c r="CV1322" s="15" t="n">
        <v>107</v>
      </c>
      <c r="CW1322" s="15" t="n">
        <v>120.6</v>
      </c>
      <c r="CX1322" s="34" t="n">
        <v>46216</v>
      </c>
      <c r="CY1322" s="15" t="n">
        <v>44.86</v>
      </c>
      <c r="CZ1322" s="15" t="n">
        <v>52.23</v>
      </c>
      <c r="DA1322" s="34" t="n">
        <v>46216</v>
      </c>
      <c r="DB1322" s="15" t="n">
        <v>121.1</v>
      </c>
      <c r="DC1322" s="15" t="n">
        <v>303.01</v>
      </c>
      <c r="DD1322" s="34" t="n">
        <v>46216</v>
      </c>
      <c r="DE1322" s="15" t="n">
        <v>32.16</v>
      </c>
      <c r="DF1322" s="15" t="n">
        <v>38.55</v>
      </c>
      <c r="DG1322" s="34" t="n">
        <v>46216</v>
      </c>
      <c r="DH1322" s="15" t="n">
        <v>332.2</v>
      </c>
      <c r="DI1322" s="15" t="n">
        <v>252.79</v>
      </c>
      <c r="DJ1322" s="34" t="n">
        <v>46216</v>
      </c>
      <c r="DK1322" s="15" t="n">
        <v>27.9</v>
      </c>
      <c r="DL1322" s="15" t="n">
        <v>33.98</v>
      </c>
      <c r="DM1322" s="34" t="n">
        <v>46216</v>
      </c>
      <c r="DN1322" s="15" t="n">
        <v>10.53</v>
      </c>
      <c r="DO1322" s="15" t="n">
        <v>16.33</v>
      </c>
      <c r="DP1322" s="34" t="n">
        <v>46216</v>
      </c>
      <c r="DQ1322" s="15" t="n">
        <v>19.6</v>
      </c>
      <c r="DR1322" s="15" t="n">
        <v>38.5</v>
      </c>
      <c r="DS1322" s="34" t="n">
        <v>46216</v>
      </c>
      <c r="DT1322" s="15" t="n">
        <v>48</v>
      </c>
      <c r="DU1322" s="15" t="n">
        <v>80.05</v>
      </c>
      <c r="DV1322" s="34" t="n">
        <v>46216</v>
      </c>
      <c r="DW1322" s="15" t="n">
        <v>17.87</v>
      </c>
      <c r="DX1322" s="15" t="n">
        <v>37.65</v>
      </c>
      <c r="DY1322" s="34" t="n">
        <v>46216</v>
      </c>
      <c r="DZ1322" s="15" t="n">
        <v>126.3</v>
      </c>
      <c r="EA1322" s="15" t="n">
        <v>169.1</v>
      </c>
      <c r="EB1322" s="34" t="n">
        <v>46216</v>
      </c>
      <c r="EC1322" s="15" t="n">
        <v>11.61</v>
      </c>
      <c r="ED1322" s="15" t="n">
        <v>23.64</v>
      </c>
      <c r="EE1322" s="34" t="n">
        <v>46216</v>
      </c>
      <c r="EF1322" s="15" t="n">
        <v>236.6</v>
      </c>
      <c r="EG1322" s="15" t="n">
        <v>273.01</v>
      </c>
      <c r="EH1322" s="34" t="n">
        <v>46216</v>
      </c>
      <c r="EI1322" s="15" t="n">
        <v>66.5</v>
      </c>
      <c r="EJ1322" s="15" t="n">
        <v>79.19</v>
      </c>
      <c r="EK1322" s="34" t="n">
        <v>46216</v>
      </c>
      <c r="EL1322" s="15" t="n">
        <v>23</v>
      </c>
      <c r="EM1322" s="15" t="n">
        <v>31.72</v>
      </c>
      <c r="EN1322" s="34" t="n">
        <v>46216</v>
      </c>
      <c r="EO1322" s="15" t="n">
        <v>28.94</v>
      </c>
      <c r="EP1322" s="15" t="n">
        <v>47.08</v>
      </c>
      <c r="EQ1322" s="34" t="n">
        <v>46216</v>
      </c>
      <c r="ER1322" s="15" t="n">
        <v>42</v>
      </c>
      <c r="ES1322" s="15" t="n">
        <v>42.45</v>
      </c>
      <c r="ET1322" s="34" t="n">
        <v>46216</v>
      </c>
      <c r="EU1322" s="15" t="n">
        <v>7.83</v>
      </c>
      <c r="EV1322" s="15" t="n">
        <v>15.58</v>
      </c>
      <c r="EW1322" s="34" t="n">
        <v>46216</v>
      </c>
      <c r="EX1322" s="15" t="n">
        <v>99.40000000000001</v>
      </c>
      <c r="EY1322" s="15" t="n">
        <v>116.26</v>
      </c>
      <c r="EZ1322" s="34" t="n">
        <v>46216</v>
      </c>
      <c r="FA1322" s="15" t="n">
        <v>6.83</v>
      </c>
      <c r="FB1322" s="15" t="n">
        <v>13.64</v>
      </c>
      <c r="FC1322" s="34" t="n">
        <v>46216</v>
      </c>
      <c r="FD1322" s="15" t="n">
        <v>384</v>
      </c>
      <c r="FE1322" s="15" t="n">
        <v>446.58</v>
      </c>
      <c r="FF1322" s="34" t="n">
        <v>46216</v>
      </c>
      <c r="FG1322" s="15" t="n">
        <v>96.2</v>
      </c>
      <c r="FH1322" s="15" t="n">
        <v>107.75</v>
      </c>
      <c r="FI1322" s="34" t="n">
        <v>46216</v>
      </c>
      <c r="FJ1322" s="15" t="n">
        <v>24.66</v>
      </c>
      <c r="FK1322" s="15" t="n">
        <v>49.4</v>
      </c>
      <c r="FL1322" s="34" t="n">
        <v>46216</v>
      </c>
      <c r="FM1322" s="15" t="n">
        <v>61.4</v>
      </c>
      <c r="FN1322" s="15" t="n">
        <v>58.98</v>
      </c>
      <c r="FO1322" s="34" t="n">
        <v>46216</v>
      </c>
      <c r="FP1322" s="15" t="n">
        <v>99</v>
      </c>
      <c r="FQ1322" s="15" t="n">
        <v>111.8</v>
      </c>
      <c r="FR1322" s="34" t="n">
        <v>46216</v>
      </c>
      <c r="FS1322" s="15" t="n">
        <v>398.4</v>
      </c>
      <c r="FT1322" s="15" t="n">
        <v>437.7</v>
      </c>
      <c r="FU1322" s="34" t="n">
        <v>46216</v>
      </c>
      <c r="FV1322" s="15" t="n">
        <v>2.88</v>
      </c>
      <c r="FW1322" s="15" t="n">
        <v>5.1</v>
      </c>
      <c r="FX1322" s="34" t="n">
        <v>46216</v>
      </c>
      <c r="FY1322" s="15" t="n">
        <v>30</v>
      </c>
      <c r="FZ1322" s="15" t="n">
        <v>51.09</v>
      </c>
      <c r="GA1322" s="34" t="n">
        <v>46216</v>
      </c>
    </row>
    <row r="1323">
      <c r="A1323" s="34" t="n">
        <v>46217</v>
      </c>
      <c r="B1323" s="266" t="n">
        <v>1.155825972557068</v>
      </c>
      <c r="C1323" s="34" t="n">
        <v>46217</v>
      </c>
      <c r="D1323" s="15" t="n">
        <v>22.2</v>
      </c>
      <c r="E1323" s="15" t="n">
        <v>46.02</v>
      </c>
      <c r="F1323" s="34" t="n">
        <v>46217</v>
      </c>
      <c r="G1323" s="15" t="n">
        <v>127.6</v>
      </c>
      <c r="H1323" s="15" t="n">
        <v>177.95</v>
      </c>
      <c r="I1323" s="34" t="n">
        <v>46217</v>
      </c>
      <c r="J1323" s="15" t="n">
        <v>16.86</v>
      </c>
      <c r="K1323" s="15" t="n">
        <v>27.26</v>
      </c>
      <c r="L1323" s="34" t="n">
        <v>46217</v>
      </c>
      <c r="M1323" s="15" t="n">
        <v>34.16</v>
      </c>
      <c r="N1323" s="15" t="n">
        <v>47.35</v>
      </c>
      <c r="O1323" s="34" t="n">
        <v>46217</v>
      </c>
      <c r="P1323" s="15" t="n">
        <v>47.94</v>
      </c>
      <c r="Q1323" s="15" t="n">
        <v>50.92</v>
      </c>
      <c r="R1323" s="34" t="n">
        <v>46217</v>
      </c>
      <c r="S1323" s="15" t="n">
        <v>52.8</v>
      </c>
      <c r="T1323" s="15" t="n">
        <v>117.4</v>
      </c>
      <c r="U1323" s="34" t="n">
        <v>46217</v>
      </c>
      <c r="V1323" s="15" t="n">
        <v>12.65</v>
      </c>
      <c r="W1323" s="15" t="n">
        <v>17.79</v>
      </c>
      <c r="X1323" s="34" t="n">
        <v>46217</v>
      </c>
      <c r="Y1323" s="15" t="n">
        <v>89.55</v>
      </c>
      <c r="Z1323" s="15" t="n">
        <v>81.18000000000001</v>
      </c>
      <c r="AA1323" s="34" t="n">
        <v>46217</v>
      </c>
      <c r="AB1323" s="15" t="n">
        <v>10.32</v>
      </c>
      <c r="AC1323" s="15" t="n">
        <v>20.81</v>
      </c>
      <c r="AD1323" s="34" t="n">
        <v>46217</v>
      </c>
      <c r="AE1323" s="15" t="n">
        <v>31.38</v>
      </c>
      <c r="AF1323" s="15" t="n">
        <v>32.67</v>
      </c>
      <c r="AG1323" s="34" t="n">
        <v>46217</v>
      </c>
      <c r="AH1323" s="15" t="n">
        <v>28.86</v>
      </c>
      <c r="AI1323" s="15" t="n">
        <v>34.95</v>
      </c>
      <c r="AJ1323" s="34" t="n">
        <v>46217</v>
      </c>
      <c r="AK1323" s="15" t="n">
        <v>17.85</v>
      </c>
      <c r="AL1323" s="15" t="n">
        <v>47.66</v>
      </c>
      <c r="AM1323" s="34" t="n">
        <v>46217</v>
      </c>
      <c r="AN1323" s="15" t="n">
        <v>605.5</v>
      </c>
      <c r="AO1323" s="15" t="n">
        <v>364.01</v>
      </c>
      <c r="AP1323" s="34" t="n">
        <v>46217</v>
      </c>
      <c r="AQ1323" s="15" t="n">
        <v>58.3</v>
      </c>
      <c r="AR1323" s="15" t="n">
        <v>54.82</v>
      </c>
      <c r="AS1323" s="34" t="n">
        <v>46217</v>
      </c>
      <c r="AT1323" s="15" t="n">
        <v>14.38</v>
      </c>
      <c r="AU1323" s="15" t="n">
        <v>22.32</v>
      </c>
      <c r="AV1323" s="34" t="n">
        <v>46217</v>
      </c>
      <c r="AW1323" s="15" t="n">
        <v>30.48</v>
      </c>
      <c r="AX1323" s="15" t="n">
        <v>34.56</v>
      </c>
      <c r="AY1323" s="34" t="n">
        <v>46217</v>
      </c>
      <c r="AZ1323" s="15" t="n">
        <v>27.3</v>
      </c>
      <c r="BA1323" s="15" t="n">
        <v>41.94</v>
      </c>
      <c r="BB1323" s="34" t="n">
        <v>46217</v>
      </c>
      <c r="BC1323" s="15" t="n">
        <v>68.5</v>
      </c>
      <c r="BD1323" s="15" t="n">
        <v>84.75</v>
      </c>
      <c r="BE1323" s="34" t="n">
        <v>46217</v>
      </c>
      <c r="BF1323" s="15" t="n">
        <v>125.9</v>
      </c>
      <c r="BG1323" s="15" t="n">
        <v>221.51</v>
      </c>
      <c r="BH1323" s="34" t="n">
        <v>46217</v>
      </c>
      <c r="BI1323" s="15" t="n">
        <v>21.4</v>
      </c>
      <c r="BJ1323" s="15" t="n">
        <v>40.32</v>
      </c>
      <c r="BK1323" s="34" t="n">
        <v>46217</v>
      </c>
      <c r="BL1323" s="15" t="n">
        <v>72.40000000000001</v>
      </c>
      <c r="BM1323" s="15" t="n">
        <v>134.02</v>
      </c>
      <c r="BN1323" s="34" t="n">
        <v>46217</v>
      </c>
      <c r="BO1323" s="15" t="n">
        <v>7.06</v>
      </c>
      <c r="BP1323" s="15" t="n">
        <v>17.43</v>
      </c>
      <c r="BQ1323" s="34" t="n">
        <v>46217</v>
      </c>
      <c r="BR1323" s="15" t="n">
        <v>18.59</v>
      </c>
      <c r="BS1323" s="15" t="n">
        <v>18.63</v>
      </c>
      <c r="BT1323" s="34" t="n">
        <v>46217</v>
      </c>
      <c r="BU1323" s="15" t="n">
        <v>110.5</v>
      </c>
      <c r="BV1323" s="15" t="n">
        <v>200.23</v>
      </c>
      <c r="BW1323" s="34" t="n">
        <v>46217</v>
      </c>
      <c r="BX1323" s="15" t="n">
        <v>41.4</v>
      </c>
      <c r="BY1323" s="15" t="n">
        <v>53.38</v>
      </c>
      <c r="BZ1323" s="34" t="n">
        <v>46217</v>
      </c>
      <c r="CA1323" s="15" t="n">
        <v>12.45</v>
      </c>
      <c r="CB1323" s="15" t="n">
        <v>20.29</v>
      </c>
      <c r="CC1323" s="34" t="n">
        <v>46217</v>
      </c>
      <c r="CD1323" s="15" t="n">
        <v>25.38</v>
      </c>
      <c r="CE1323" s="15" t="n">
        <v>38.27</v>
      </c>
      <c r="CF1323" s="34" t="n">
        <v>46217</v>
      </c>
      <c r="CG1323" s="15" t="n">
        <v>170.3</v>
      </c>
      <c r="CH1323" s="15" t="n">
        <v>242.91</v>
      </c>
      <c r="CI1323" s="34" t="n">
        <v>46217</v>
      </c>
      <c r="CJ1323" s="15" t="n">
        <v>6.11</v>
      </c>
      <c r="CK1323" s="15" t="n">
        <v>16.79</v>
      </c>
      <c r="CL1323" s="34" t="n">
        <v>46217</v>
      </c>
      <c r="CM1323" s="15" t="n">
        <v>78.90000000000001</v>
      </c>
      <c r="CN1323" s="15" t="n">
        <v>106.15</v>
      </c>
      <c r="CO1323" s="34" t="n">
        <v>46217</v>
      </c>
      <c r="CP1323" s="15" t="n">
        <v>689</v>
      </c>
      <c r="CQ1323" s="15" t="n">
        <v>583.99</v>
      </c>
      <c r="CR1323" s="34" t="n">
        <v>46217</v>
      </c>
      <c r="CS1323" s="15" t="n">
        <v>23</v>
      </c>
      <c r="CT1323" s="15" t="n">
        <v>39.8</v>
      </c>
      <c r="CU1323" s="34" t="n">
        <v>46217</v>
      </c>
      <c r="CV1323" s="15" t="n">
        <v>106</v>
      </c>
      <c r="CW1323" s="15" t="n">
        <v>119.18</v>
      </c>
      <c r="CX1323" s="34" t="n">
        <v>46217</v>
      </c>
      <c r="CY1323" s="15" t="n">
        <v>48</v>
      </c>
      <c r="CZ1323" s="15" t="n">
        <v>56.61</v>
      </c>
      <c r="DA1323" s="34" t="n">
        <v>46217</v>
      </c>
      <c r="DB1323" s="15" t="n">
        <v>126.9</v>
      </c>
      <c r="DC1323" s="15" t="n">
        <v>327</v>
      </c>
      <c r="DD1323" s="34" t="n">
        <v>46217</v>
      </c>
      <c r="DE1323" s="15" t="n">
        <v>31.88</v>
      </c>
      <c r="DF1323" s="15" t="n">
        <v>38.08</v>
      </c>
      <c r="DG1323" s="34" t="n">
        <v>46217</v>
      </c>
      <c r="DH1323" s="15" t="n">
        <v>358.8</v>
      </c>
      <c r="DI1323" s="15" t="n">
        <v>270</v>
      </c>
      <c r="DJ1323" s="34" t="n">
        <v>46217</v>
      </c>
      <c r="DK1323" s="15" t="n">
        <v>28.96</v>
      </c>
      <c r="DL1323" s="15" t="n">
        <v>34.47</v>
      </c>
      <c r="DM1323" s="34" t="n">
        <v>46217</v>
      </c>
      <c r="DN1323" s="15" t="n">
        <v>10.86</v>
      </c>
      <c r="DO1323" s="15" t="n">
        <v>16.42</v>
      </c>
      <c r="DP1323" s="34" t="n">
        <v>46217</v>
      </c>
      <c r="DQ1323" s="15" t="n">
        <v>20.5</v>
      </c>
      <c r="DR1323" s="15" t="n">
        <v>38.4</v>
      </c>
      <c r="DS1323" s="34" t="n">
        <v>46217</v>
      </c>
      <c r="DT1323" s="15" t="n">
        <v>49.28</v>
      </c>
      <c r="DU1323" s="15" t="n">
        <v>81.90000000000001</v>
      </c>
      <c r="DV1323" s="34" t="n">
        <v>46217</v>
      </c>
      <c r="DW1323" s="15" t="n">
        <v>17.33</v>
      </c>
      <c r="DX1323" s="15" t="n">
        <v>35.78</v>
      </c>
      <c r="DY1323" s="34" t="n">
        <v>46217</v>
      </c>
      <c r="DZ1323" s="15" t="n">
        <v>140.6</v>
      </c>
      <c r="EA1323" s="15" t="n">
        <v>186.01</v>
      </c>
      <c r="EB1323" s="34" t="n">
        <v>46217</v>
      </c>
      <c r="EC1323" s="15" t="n">
        <v>11.52</v>
      </c>
      <c r="ED1323" s="15" t="n">
        <v>23.5</v>
      </c>
      <c r="EE1323" s="34" t="n">
        <v>46217</v>
      </c>
      <c r="EF1323" s="15" t="n">
        <v>243.8</v>
      </c>
      <c r="EG1323" s="15" t="n">
        <v>290.28</v>
      </c>
      <c r="EH1323" s="34" t="n">
        <v>46217</v>
      </c>
      <c r="EI1323" s="15" t="n">
        <v>68.8</v>
      </c>
      <c r="EJ1323" s="15" t="n">
        <v>77.79000000000001</v>
      </c>
      <c r="EK1323" s="34" t="n">
        <v>46217</v>
      </c>
      <c r="EL1323" s="15" t="n">
        <v>23.28</v>
      </c>
      <c r="EM1323" s="15" t="n">
        <v>32.86</v>
      </c>
      <c r="EN1323" s="34" t="n">
        <v>46217</v>
      </c>
      <c r="EO1323" s="15" t="n">
        <v>31.68</v>
      </c>
      <c r="EP1323" s="15" t="n">
        <v>49.69</v>
      </c>
      <c r="EQ1323" s="34" t="n">
        <v>46217</v>
      </c>
      <c r="ER1323" s="15" t="n">
        <v>39.16</v>
      </c>
      <c r="ES1323" s="15" t="n">
        <v>43.7</v>
      </c>
      <c r="ET1323" s="34" t="n">
        <v>46217</v>
      </c>
      <c r="EU1323" s="15" t="n">
        <v>8.25</v>
      </c>
      <c r="EV1323" s="15" t="n">
        <v>15.44</v>
      </c>
      <c r="EW1323" s="34" t="n">
        <v>46217</v>
      </c>
      <c r="EX1323" s="15" t="n">
        <v>99.15000000000001</v>
      </c>
      <c r="EY1323" s="15" t="n">
        <v>117.31</v>
      </c>
      <c r="EZ1323" s="34" t="n">
        <v>46217</v>
      </c>
      <c r="FA1323" s="15" t="n">
        <v>7.6</v>
      </c>
      <c r="FB1323" s="15" t="n">
        <v>12.97</v>
      </c>
      <c r="FC1323" s="34" t="n">
        <v>46217</v>
      </c>
      <c r="FD1323" s="15" t="n">
        <v>369.6</v>
      </c>
      <c r="FE1323" s="15" t="n">
        <v>455.6</v>
      </c>
      <c r="FF1323" s="34" t="n">
        <v>46217</v>
      </c>
      <c r="FG1323" s="15" t="n">
        <v>102</v>
      </c>
      <c r="FH1323" s="15" t="n">
        <v>111.32</v>
      </c>
      <c r="FI1323" s="34" t="n">
        <v>46217</v>
      </c>
      <c r="FJ1323" s="15" t="n">
        <v>25.54</v>
      </c>
      <c r="FK1323" s="15" t="n">
        <v>50.7</v>
      </c>
      <c r="FL1323" s="34" t="n">
        <v>46217</v>
      </c>
      <c r="FM1323" s="15" t="n">
        <v>63.2</v>
      </c>
      <c r="FN1323" s="15" t="n">
        <v>61.67</v>
      </c>
      <c r="FO1323" s="34" t="n">
        <v>46217</v>
      </c>
      <c r="FP1323" s="15" t="n">
        <v>107.1</v>
      </c>
      <c r="FQ1323" s="15" t="n">
        <v>121.88</v>
      </c>
      <c r="FR1323" s="34" t="n">
        <v>46217</v>
      </c>
      <c r="FS1323" s="15" t="n">
        <v>443</v>
      </c>
      <c r="FT1323" s="15" t="n">
        <v>495.85</v>
      </c>
      <c r="FU1323" s="34" t="n">
        <v>46217</v>
      </c>
      <c r="FV1323" s="15" t="n">
        <v>2.96</v>
      </c>
      <c r="FW1323" s="15" t="n">
        <v>5.18</v>
      </c>
      <c r="FX1323" s="34" t="n">
        <v>46217</v>
      </c>
      <c r="FY1323" s="15" t="n">
        <v>29.52</v>
      </c>
      <c r="FZ1323" s="15" t="n">
        <v>51.3</v>
      </c>
      <c r="GA1323" s="34" t="n">
        <v>46217</v>
      </c>
    </row>
    <row r="1324">
      <c r="A1324" s="34" t="n">
        <v>46218</v>
      </c>
      <c r="B1324" s="266" t="n">
        <v>1.157556056976318</v>
      </c>
      <c r="C1324" s="34" t="n">
        <v>46218</v>
      </c>
      <c r="D1324" s="15" t="n">
        <v>27.48</v>
      </c>
      <c r="E1324" s="15" t="n">
        <v>50.62</v>
      </c>
      <c r="F1324" s="34" t="n">
        <v>46218</v>
      </c>
      <c r="G1324" s="15" t="n">
        <v>133.7</v>
      </c>
      <c r="H1324" s="15" t="n">
        <v>195.75</v>
      </c>
      <c r="I1324" s="34" t="n">
        <v>46218</v>
      </c>
      <c r="J1324" s="15" t="n">
        <v>16.9</v>
      </c>
      <c r="K1324" s="15" t="n">
        <v>26.88</v>
      </c>
      <c r="L1324" s="34" t="n">
        <v>46218</v>
      </c>
      <c r="M1324" s="15" t="n">
        <v>33.2</v>
      </c>
      <c r="N1324" s="15" t="n">
        <v>47.43</v>
      </c>
      <c r="O1324" s="34" t="n">
        <v>46218</v>
      </c>
      <c r="P1324" s="15" t="n">
        <v>50.55</v>
      </c>
      <c r="Q1324" s="15" t="n">
        <v>54.41</v>
      </c>
      <c r="R1324" s="34" t="n">
        <v>46218</v>
      </c>
      <c r="S1324" s="15" t="n">
        <v>58.85</v>
      </c>
      <c r="T1324" s="15" t="n">
        <v>131.93</v>
      </c>
      <c r="U1324" s="34" t="n">
        <v>46218</v>
      </c>
      <c r="V1324" s="15" t="n">
        <v>12.66</v>
      </c>
      <c r="W1324" s="15" t="n">
        <v>17.9</v>
      </c>
      <c r="X1324" s="34" t="n">
        <v>46218</v>
      </c>
      <c r="Y1324" s="15" t="n">
        <v>91.90000000000001</v>
      </c>
      <c r="Z1324" s="15" t="n">
        <v>82.67</v>
      </c>
      <c r="AA1324" s="34" t="n">
        <v>46218</v>
      </c>
      <c r="AB1324" s="15" t="n">
        <v>10.16</v>
      </c>
      <c r="AC1324" s="15" t="n">
        <v>19.78</v>
      </c>
      <c r="AD1324" s="34" t="n">
        <v>46218</v>
      </c>
      <c r="AE1324" s="15" t="n">
        <v>32.12</v>
      </c>
      <c r="AF1324" s="15" t="n">
        <v>33.48</v>
      </c>
      <c r="AG1324" s="34" t="n">
        <v>46218</v>
      </c>
      <c r="AH1324" s="15" t="n">
        <v>27.38</v>
      </c>
      <c r="AI1324" s="15" t="n">
        <v>33.4</v>
      </c>
      <c r="AJ1324" s="34" t="n">
        <v>46218</v>
      </c>
      <c r="AK1324" s="15" t="n">
        <v>17.02</v>
      </c>
      <c r="AL1324" s="15" t="n">
        <v>46.27</v>
      </c>
      <c r="AM1324" s="34" t="n">
        <v>46218</v>
      </c>
      <c r="AN1324" s="15" t="n">
        <v>622</v>
      </c>
      <c r="AO1324" s="15" t="n">
        <v>373</v>
      </c>
      <c r="AP1324" s="34" t="n">
        <v>46218</v>
      </c>
      <c r="AQ1324" s="15" t="n">
        <v>58.45</v>
      </c>
      <c r="AR1324" s="15" t="n">
        <v>57.5</v>
      </c>
      <c r="AS1324" s="34" t="n">
        <v>46218</v>
      </c>
      <c r="AT1324" s="15" t="n">
        <v>14.75</v>
      </c>
      <c r="AU1324" s="15" t="n">
        <v>22.22</v>
      </c>
      <c r="AV1324" s="34" t="n">
        <v>46218</v>
      </c>
      <c r="AW1324" s="15" t="n">
        <v>31.42</v>
      </c>
      <c r="AX1324" s="15" t="n">
        <v>35.55</v>
      </c>
      <c r="AY1324" s="34" t="n">
        <v>46218</v>
      </c>
      <c r="AZ1324" s="15" t="n">
        <v>27.5</v>
      </c>
      <c r="BA1324" s="15" t="n">
        <v>41.5</v>
      </c>
      <c r="BB1324" s="34" t="n">
        <v>46218</v>
      </c>
      <c r="BC1324" s="15" t="n">
        <v>73.84999999999999</v>
      </c>
      <c r="BD1324" s="15" t="n">
        <v>90.05</v>
      </c>
      <c r="BE1324" s="34" t="n">
        <v>46218</v>
      </c>
      <c r="BF1324" s="15" t="n">
        <v>124.2</v>
      </c>
      <c r="BG1324" s="15" t="n">
        <v>210.59</v>
      </c>
      <c r="BH1324" s="34" t="n">
        <v>46218</v>
      </c>
      <c r="BI1324" s="15" t="n">
        <v>21.54</v>
      </c>
      <c r="BJ1324" s="15" t="n">
        <v>38.81</v>
      </c>
      <c r="BK1324" s="34" t="n">
        <v>46218</v>
      </c>
      <c r="BL1324" s="15" t="n">
        <v>77.2</v>
      </c>
      <c r="BM1324" s="15" t="n">
        <v>129.83</v>
      </c>
      <c r="BN1324" s="34" t="n">
        <v>46218</v>
      </c>
      <c r="BO1324" s="15" t="n">
        <v>7.51</v>
      </c>
      <c r="BP1324" s="15" t="n">
        <v>18.18</v>
      </c>
      <c r="BQ1324" s="34" t="n">
        <v>46218</v>
      </c>
      <c r="BR1324" s="15" t="n">
        <v>18.78</v>
      </c>
      <c r="BS1324" s="15" t="n">
        <v>19.16</v>
      </c>
      <c r="BT1324" s="34" t="n">
        <v>46218</v>
      </c>
      <c r="BU1324" s="15" t="n">
        <v>113.4</v>
      </c>
      <c r="BV1324" s="15" t="n">
        <v>208.1</v>
      </c>
      <c r="BW1324" s="34" t="n">
        <v>46218</v>
      </c>
      <c r="BX1324" s="15" t="n">
        <v>43.56</v>
      </c>
      <c r="BY1324" s="15" t="n">
        <v>55.89</v>
      </c>
      <c r="BZ1324" s="34" t="n">
        <v>46218</v>
      </c>
      <c r="CA1324" s="15" t="n">
        <v>12.75</v>
      </c>
      <c r="CB1324" s="15" t="n">
        <v>20.84</v>
      </c>
      <c r="CC1324" s="34" t="n">
        <v>46218</v>
      </c>
      <c r="CD1324" s="15" t="n">
        <v>24.78</v>
      </c>
      <c r="CE1324" s="15" t="n">
        <v>38.96</v>
      </c>
      <c r="CF1324" s="34" t="n">
        <v>46218</v>
      </c>
      <c r="CG1324" s="15" t="n">
        <v>170.2</v>
      </c>
      <c r="CH1324" s="15" t="n">
        <v>235.47</v>
      </c>
      <c r="CI1324" s="34" t="n">
        <v>46218</v>
      </c>
      <c r="CJ1324" s="15" t="n">
        <v>6.21</v>
      </c>
      <c r="CK1324" s="15" t="n">
        <v>17.05</v>
      </c>
      <c r="CL1324" s="34" t="n">
        <v>46218</v>
      </c>
      <c r="CM1324" s="15" t="n">
        <v>85</v>
      </c>
      <c r="CN1324" s="15" t="n">
        <v>111.12</v>
      </c>
      <c r="CO1324" s="34" t="n">
        <v>46218</v>
      </c>
      <c r="CP1324" s="15" t="n">
        <v>657</v>
      </c>
      <c r="CQ1324" s="15" t="n">
        <v>571.79</v>
      </c>
      <c r="CR1324" s="34" t="n">
        <v>46218</v>
      </c>
      <c r="CS1324" s="15" t="n">
        <v>22.96</v>
      </c>
      <c r="CT1324" s="15" t="n">
        <v>39.93</v>
      </c>
      <c r="CU1324" s="34" t="n">
        <v>46218</v>
      </c>
      <c r="CV1324" s="15" t="n">
        <v>112.4</v>
      </c>
      <c r="CW1324" s="15" t="n">
        <v>127.45</v>
      </c>
      <c r="CX1324" s="34" t="n">
        <v>46218</v>
      </c>
      <c r="CY1324" s="15" t="n">
        <v>45.86</v>
      </c>
      <c r="CZ1324" s="15" t="n">
        <v>59</v>
      </c>
      <c r="DA1324" s="34" t="n">
        <v>46218</v>
      </c>
      <c r="DB1324" s="15" t="n">
        <v>126.7</v>
      </c>
      <c r="DC1324" s="15" t="n">
        <v>312</v>
      </c>
      <c r="DD1324" s="34" t="n">
        <v>46218</v>
      </c>
      <c r="DE1324" s="15" t="n">
        <v>32.94</v>
      </c>
      <c r="DF1324" s="15" t="n">
        <v>39.65</v>
      </c>
      <c r="DG1324" s="34" t="n">
        <v>46218</v>
      </c>
      <c r="DH1324" s="15" t="n">
        <v>361.6</v>
      </c>
      <c r="DI1324" s="15" t="n">
        <v>252.68</v>
      </c>
      <c r="DJ1324" s="34" t="n">
        <v>46218</v>
      </c>
      <c r="DK1324" s="15" t="n">
        <v>28.24</v>
      </c>
      <c r="DL1324" s="15" t="n">
        <v>33.73</v>
      </c>
      <c r="DM1324" s="34" t="n">
        <v>46218</v>
      </c>
      <c r="DN1324" s="15" t="n">
        <v>10.9</v>
      </c>
      <c r="DO1324" s="15" t="n">
        <v>16.03</v>
      </c>
      <c r="DP1324" s="34" t="n">
        <v>46218</v>
      </c>
      <c r="DQ1324" s="15" t="n">
        <v>21.1</v>
      </c>
      <c r="DR1324" s="15" t="n">
        <v>40.9</v>
      </c>
      <c r="DS1324" s="34" t="n">
        <v>46218</v>
      </c>
      <c r="DT1324" s="15" t="n">
        <v>49.36</v>
      </c>
      <c r="DU1324" s="15" t="n">
        <v>81.98999999999999</v>
      </c>
      <c r="DV1324" s="34" t="n">
        <v>46218</v>
      </c>
      <c r="DW1324" s="15" t="n">
        <v>17.1</v>
      </c>
      <c r="DX1324" s="15" t="n">
        <v>35.5</v>
      </c>
      <c r="DY1324" s="34" t="n">
        <v>46218</v>
      </c>
      <c r="DZ1324" s="15" t="n">
        <v>141.7</v>
      </c>
      <c r="EA1324" s="15" t="n">
        <v>196.5</v>
      </c>
      <c r="EB1324" s="34" t="n">
        <v>46218</v>
      </c>
      <c r="EC1324" s="15" t="n">
        <v>11.28</v>
      </c>
      <c r="ED1324" s="15" t="n">
        <v>22.42</v>
      </c>
      <c r="EE1324" s="34" t="n">
        <v>46218</v>
      </c>
      <c r="EF1324" s="15" t="n">
        <v>236.2</v>
      </c>
      <c r="EG1324" s="15" t="n">
        <v>276.77</v>
      </c>
      <c r="EH1324" s="34" t="n">
        <v>46218</v>
      </c>
      <c r="EI1324" s="15" t="n">
        <v>65.3</v>
      </c>
      <c r="EJ1324" s="15" t="n">
        <v>78.2</v>
      </c>
      <c r="EK1324" s="34" t="n">
        <v>46218</v>
      </c>
      <c r="EL1324" s="15" t="n">
        <v>24.78</v>
      </c>
      <c r="EM1324" s="15" t="n">
        <v>35.38</v>
      </c>
      <c r="EN1324" s="34" t="n">
        <v>46218</v>
      </c>
      <c r="EO1324" s="15" t="n">
        <v>32.4</v>
      </c>
      <c r="EP1324" s="15" t="n">
        <v>50</v>
      </c>
      <c r="EQ1324" s="34" t="n">
        <v>46218</v>
      </c>
      <c r="ER1324" s="15" t="n">
        <v>39.28</v>
      </c>
      <c r="ES1324" s="15" t="n">
        <v>42.99</v>
      </c>
      <c r="ET1324" s="34" t="n">
        <v>46218</v>
      </c>
      <c r="EU1324" s="15" t="n">
        <v>8.06</v>
      </c>
      <c r="EV1324" s="15" t="n">
        <v>14.73</v>
      </c>
      <c r="EW1324" s="34" t="n">
        <v>46218</v>
      </c>
      <c r="EX1324" s="15" t="n">
        <v>102.1</v>
      </c>
      <c r="EY1324" s="15" t="n">
        <v>112.73</v>
      </c>
      <c r="EZ1324" s="34" t="n">
        <v>46218</v>
      </c>
      <c r="FA1324" s="15" t="n">
        <v>7.07</v>
      </c>
      <c r="FB1324" s="15" t="n">
        <v>12.71</v>
      </c>
      <c r="FC1324" s="34" t="n">
        <v>46218</v>
      </c>
      <c r="FD1324" s="15" t="n">
        <v>368.8</v>
      </c>
      <c r="FE1324" s="15" t="n">
        <v>430.77</v>
      </c>
      <c r="FF1324" s="34" t="n">
        <v>46218</v>
      </c>
      <c r="FG1324" s="15" t="n">
        <v>107</v>
      </c>
      <c r="FH1324" s="15" t="n">
        <v>110.77</v>
      </c>
      <c r="FI1324" s="34" t="n">
        <v>46218</v>
      </c>
      <c r="FJ1324" s="15" t="n">
        <v>27.02</v>
      </c>
      <c r="FK1324" s="15" t="n">
        <v>49.14</v>
      </c>
      <c r="FL1324" s="34" t="n">
        <v>46218</v>
      </c>
      <c r="FM1324" s="15" t="n">
        <v>63</v>
      </c>
      <c r="FN1324" s="15" t="n">
        <v>60.47</v>
      </c>
      <c r="FO1324" s="34" t="n">
        <v>46218</v>
      </c>
      <c r="FP1324" s="15" t="n">
        <v>103.2</v>
      </c>
      <c r="FQ1324" s="15" t="n">
        <v>114.6</v>
      </c>
      <c r="FR1324" s="34" t="n">
        <v>46218</v>
      </c>
      <c r="FS1324" s="15" t="n">
        <v>416.6</v>
      </c>
      <c r="FT1324" s="15" t="n">
        <v>467.88</v>
      </c>
      <c r="FU1324" s="34" t="n">
        <v>46218</v>
      </c>
      <c r="FV1324" s="15" t="n">
        <v>2.87</v>
      </c>
      <c r="FW1324" s="15" t="n">
        <v>5.1</v>
      </c>
      <c r="FX1324" s="34" t="n">
        <v>46218</v>
      </c>
      <c r="FY1324" s="15" t="n">
        <v>30.54</v>
      </c>
      <c r="FZ1324" s="15" t="n">
        <v>50.34</v>
      </c>
      <c r="GA1324" s="34" t="n">
        <v>46218</v>
      </c>
    </row>
    <row r="1325">
      <c r="A1325" s="34" t="n">
        <v>46219</v>
      </c>
      <c r="B1325" s="266" t="n">
        <v>1.157912969589233</v>
      </c>
      <c r="C1325" s="34" t="n">
        <v>46219</v>
      </c>
      <c r="D1325" s="15" t="n">
        <v>25.82</v>
      </c>
      <c r="E1325" s="15" t="n">
        <v>53.25</v>
      </c>
      <c r="F1325" s="34" t="n">
        <v>46219</v>
      </c>
      <c r="G1325" s="15" t="n">
        <v>128.7</v>
      </c>
      <c r="H1325" s="15" t="n">
        <v>179.99</v>
      </c>
      <c r="I1325" s="34" t="n">
        <v>46219</v>
      </c>
      <c r="J1325" s="15" t="n">
        <v>16.82</v>
      </c>
      <c r="K1325" s="15" t="n">
        <v>26.61</v>
      </c>
      <c r="L1325" s="34" t="n">
        <v>46219</v>
      </c>
      <c r="M1325" s="15" t="n">
        <v>33.68</v>
      </c>
      <c r="N1325" s="15" t="n">
        <v>49.34</v>
      </c>
      <c r="O1325" s="34" t="n">
        <v>46219</v>
      </c>
      <c r="P1325" s="15" t="n">
        <v>50.7</v>
      </c>
      <c r="Q1325" s="15" t="n">
        <v>54.52</v>
      </c>
      <c r="R1325" s="34" t="n">
        <v>46219</v>
      </c>
      <c r="S1325" s="15" t="n">
        <v>54.85</v>
      </c>
      <c r="T1325" s="15" t="n">
        <v>142.37</v>
      </c>
      <c r="U1325" s="34" t="n">
        <v>46219</v>
      </c>
      <c r="V1325" s="15" t="n">
        <v>12.65</v>
      </c>
      <c r="W1325" s="15" t="n">
        <v>17.76</v>
      </c>
      <c r="X1325" s="34" t="n">
        <v>46219</v>
      </c>
      <c r="Y1325" s="15" t="n">
        <v>91.75</v>
      </c>
      <c r="Z1325" s="15" t="n">
        <v>81.8</v>
      </c>
      <c r="AA1325" s="34" t="n">
        <v>46219</v>
      </c>
      <c r="AB1325" s="15" t="n">
        <v>10.17</v>
      </c>
      <c r="AC1325" s="15" t="n">
        <v>19.5</v>
      </c>
      <c r="AD1325" s="34" t="n">
        <v>46219</v>
      </c>
      <c r="AE1325" s="15" t="n">
        <v>32.48</v>
      </c>
      <c r="AF1325" s="15" t="n">
        <v>33.4</v>
      </c>
      <c r="AG1325" s="34" t="n">
        <v>46219</v>
      </c>
      <c r="AH1325" s="15" t="n">
        <v>27.66</v>
      </c>
      <c r="AI1325" s="15" t="n">
        <v>34.62</v>
      </c>
      <c r="AJ1325" s="34" t="n">
        <v>46219</v>
      </c>
      <c r="AK1325" s="15" t="n">
        <v>16.76</v>
      </c>
      <c r="AL1325" s="15" t="n">
        <v>44.88</v>
      </c>
      <c r="AM1325" s="34" t="n">
        <v>46219</v>
      </c>
      <c r="AN1325" s="15" t="n">
        <v>621</v>
      </c>
      <c r="AO1325" s="15" t="n">
        <v>366.2</v>
      </c>
      <c r="AP1325" s="34" t="n">
        <v>46219</v>
      </c>
      <c r="AQ1325" s="15" t="n">
        <v>57.95</v>
      </c>
      <c r="AR1325" s="15" t="n">
        <v>55.99</v>
      </c>
      <c r="AS1325" s="34" t="n">
        <v>46219</v>
      </c>
      <c r="AT1325" s="15" t="n">
        <v>15.5</v>
      </c>
      <c r="AU1325" s="15" t="n">
        <v>20.83</v>
      </c>
      <c r="AV1325" s="34" t="n">
        <v>46219</v>
      </c>
      <c r="AW1325" s="15" t="n">
        <v>31.9</v>
      </c>
      <c r="AX1325" s="15" t="n">
        <v>36.32</v>
      </c>
      <c r="AY1325" s="34" t="n">
        <v>46219</v>
      </c>
      <c r="AZ1325" s="15" t="n">
        <v>27.72</v>
      </c>
      <c r="BA1325" s="15" t="n">
        <v>41.83</v>
      </c>
      <c r="BB1325" s="34" t="n">
        <v>46219</v>
      </c>
      <c r="BC1325" s="15" t="n">
        <v>72.55</v>
      </c>
      <c r="BD1325" s="15" t="n">
        <v>88.90000000000001</v>
      </c>
      <c r="BE1325" s="34" t="n">
        <v>46219</v>
      </c>
      <c r="BF1325" s="15" t="n">
        <v>128.5</v>
      </c>
      <c r="BG1325" s="15" t="n">
        <v>208</v>
      </c>
      <c r="BH1325" s="34" t="n">
        <v>46219</v>
      </c>
      <c r="BI1325" s="15" t="n">
        <v>21.9</v>
      </c>
      <c r="BJ1325" s="15" t="n">
        <v>38.3</v>
      </c>
      <c r="BK1325" s="34" t="n">
        <v>46219</v>
      </c>
      <c r="BL1325" s="15" t="n">
        <v>74.65000000000001</v>
      </c>
      <c r="BM1325" s="15" t="n">
        <v>120.24</v>
      </c>
      <c r="BN1325" s="34" t="n">
        <v>46219</v>
      </c>
      <c r="BO1325" s="15" t="n">
        <v>7.95</v>
      </c>
      <c r="BP1325" s="15" t="n">
        <v>20.68</v>
      </c>
      <c r="BQ1325" s="34" t="n">
        <v>46219</v>
      </c>
      <c r="BR1325" s="15" t="n">
        <v>19.14</v>
      </c>
      <c r="BS1325" s="15" t="n">
        <v>18.95</v>
      </c>
      <c r="BT1325" s="34" t="n">
        <v>46219</v>
      </c>
      <c r="BU1325" s="15" t="n">
        <v>103.4</v>
      </c>
      <c r="BV1325" s="15" t="n">
        <v>195.7</v>
      </c>
      <c r="BW1325" s="34" t="n">
        <v>46219</v>
      </c>
      <c r="BX1325" s="15" t="n">
        <v>45.22</v>
      </c>
      <c r="BY1325" s="15" t="n">
        <v>56.37</v>
      </c>
      <c r="BZ1325" s="34" t="n">
        <v>46219</v>
      </c>
      <c r="CA1325" s="15" t="n">
        <v>13.1</v>
      </c>
      <c r="CB1325" s="15" t="n">
        <v>20.95</v>
      </c>
      <c r="CC1325" s="34" t="n">
        <v>46219</v>
      </c>
      <c r="CD1325" s="15" t="n">
        <v>24.78</v>
      </c>
      <c r="CE1325" s="15" t="n">
        <v>37.84</v>
      </c>
      <c r="CF1325" s="34" t="n">
        <v>46219</v>
      </c>
      <c r="CG1325" s="15" t="n">
        <v>164.2</v>
      </c>
      <c r="CH1325" s="15" t="n">
        <v>217.73</v>
      </c>
      <c r="CI1325" s="34" t="n">
        <v>46219</v>
      </c>
      <c r="CJ1325" s="15" t="n">
        <v>6.41</v>
      </c>
      <c r="CK1325" s="15" t="n">
        <v>16.93</v>
      </c>
      <c r="CL1325" s="34" t="n">
        <v>46219</v>
      </c>
      <c r="CM1325" s="15" t="n">
        <v>88.34999999999999</v>
      </c>
      <c r="CN1325" s="15" t="n">
        <v>109.85</v>
      </c>
      <c r="CO1325" s="34" t="n">
        <v>46219</v>
      </c>
      <c r="CP1325" s="15" t="n">
        <v>600</v>
      </c>
      <c r="CQ1325" s="15" t="n">
        <v>514.61</v>
      </c>
      <c r="CR1325" s="34" t="n">
        <v>46219</v>
      </c>
      <c r="CS1325" s="15" t="n">
        <v>22.7</v>
      </c>
      <c r="CT1325" s="15" t="n">
        <v>41.49</v>
      </c>
      <c r="CU1325" s="34" t="n">
        <v>46219</v>
      </c>
      <c r="CV1325" s="15" t="n">
        <v>114.9</v>
      </c>
      <c r="CW1325" s="15" t="n">
        <v>129.65</v>
      </c>
      <c r="CX1325" s="34" t="n">
        <v>46219</v>
      </c>
      <c r="CY1325" s="15" t="n">
        <v>43.96</v>
      </c>
      <c r="CZ1325" s="15" t="n">
        <v>55.59</v>
      </c>
      <c r="DA1325" s="34" t="n">
        <v>46219</v>
      </c>
      <c r="DB1325" s="15" t="n">
        <v>116.3</v>
      </c>
      <c r="DC1325" s="15" t="n">
        <v>287.88</v>
      </c>
      <c r="DD1325" s="34" t="n">
        <v>46219</v>
      </c>
      <c r="DE1325" s="15" t="n">
        <v>34.1</v>
      </c>
      <c r="DF1325" s="15" t="n">
        <v>40.9</v>
      </c>
      <c r="DG1325" s="34" t="n">
        <v>46219</v>
      </c>
      <c r="DH1325" s="15" t="n">
        <v>278.6</v>
      </c>
      <c r="DI1325" s="15" t="n">
        <v>211.13</v>
      </c>
      <c r="DJ1325" s="34" t="n">
        <v>46219</v>
      </c>
      <c r="DK1325" s="15" t="n">
        <v>28.2</v>
      </c>
      <c r="DL1325" s="15" t="n">
        <v>32.74</v>
      </c>
      <c r="DM1325" s="34" t="n">
        <v>46219</v>
      </c>
      <c r="DN1325" s="15" t="n">
        <v>11</v>
      </c>
      <c r="DO1325" s="15" t="n">
        <v>15.98</v>
      </c>
      <c r="DP1325" s="34" t="n">
        <v>46219</v>
      </c>
      <c r="DQ1325" s="15" t="n">
        <v>22.7</v>
      </c>
      <c r="DR1325" s="15" t="n">
        <v>42.43</v>
      </c>
      <c r="DS1325" s="34" t="n">
        <v>46219</v>
      </c>
      <c r="DT1325" s="15" t="n">
        <v>50</v>
      </c>
      <c r="DU1325" s="15" t="n">
        <v>82.98999999999999</v>
      </c>
      <c r="DV1325" s="34" t="n">
        <v>46219</v>
      </c>
      <c r="DW1325" s="15" t="n">
        <v>19.09</v>
      </c>
      <c r="DX1325" s="15" t="n">
        <v>39.05</v>
      </c>
      <c r="DY1325" s="34" t="n">
        <v>46219</v>
      </c>
      <c r="DZ1325" s="15" t="n">
        <v>133.9</v>
      </c>
      <c r="EA1325" s="15" t="n">
        <v>195.63</v>
      </c>
      <c r="EB1325" s="34" t="n">
        <v>46219</v>
      </c>
      <c r="EC1325" s="15" t="n">
        <v>11.1</v>
      </c>
      <c r="ED1325" s="15" t="n">
        <v>21.11</v>
      </c>
      <c r="EE1325" s="34" t="n">
        <v>46219</v>
      </c>
      <c r="EF1325" s="15" t="n">
        <v>240.8</v>
      </c>
      <c r="EG1325" s="15" t="n">
        <v>270.93</v>
      </c>
      <c r="EH1325" s="34" t="n">
        <v>46219</v>
      </c>
      <c r="EI1325" s="15" t="n">
        <v>62.95</v>
      </c>
      <c r="EJ1325" s="15" t="n">
        <v>78.66</v>
      </c>
      <c r="EK1325" s="34" t="n">
        <v>46219</v>
      </c>
      <c r="EL1325" s="15" t="n">
        <v>24.66</v>
      </c>
      <c r="EM1325" s="15" t="n">
        <v>34.52</v>
      </c>
      <c r="EN1325" s="34" t="n">
        <v>46219</v>
      </c>
      <c r="EO1325" s="15" t="n">
        <v>32.7</v>
      </c>
      <c r="EP1325" s="15" t="n">
        <v>50.14</v>
      </c>
      <c r="EQ1325" s="34" t="n">
        <v>46219</v>
      </c>
      <c r="ER1325" s="15" t="n">
        <v>38.04</v>
      </c>
      <c r="ES1325" s="15" t="n">
        <v>40.95</v>
      </c>
      <c r="ET1325" s="34" t="n">
        <v>46219</v>
      </c>
      <c r="EU1325" s="15" t="n">
        <v>8</v>
      </c>
      <c r="EV1325" s="15" t="n">
        <v>13.5</v>
      </c>
      <c r="EW1325" s="34" t="n">
        <v>46219</v>
      </c>
      <c r="EX1325" s="15" t="n">
        <v>101</v>
      </c>
      <c r="EY1325" s="15" t="n">
        <v>107.32</v>
      </c>
      <c r="EZ1325" s="34" t="n">
        <v>46219</v>
      </c>
      <c r="FA1325" s="15" t="n">
        <v>6.8</v>
      </c>
      <c r="FB1325" s="15" t="n">
        <v>12.61</v>
      </c>
      <c r="FC1325" s="34" t="n">
        <v>46219</v>
      </c>
      <c r="FD1325" s="15" t="n">
        <v>335.2</v>
      </c>
      <c r="FE1325" s="15" t="n">
        <v>384</v>
      </c>
      <c r="FF1325" s="34" t="n">
        <v>46219</v>
      </c>
      <c r="FG1325" s="15" t="n">
        <v>100.1</v>
      </c>
      <c r="FH1325" s="15" t="n">
        <v>113.8</v>
      </c>
      <c r="FI1325" s="34" t="n">
        <v>46219</v>
      </c>
      <c r="FJ1325" s="15" t="n">
        <v>25.6</v>
      </c>
      <c r="FK1325" s="15" t="n">
        <v>46.06</v>
      </c>
      <c r="FL1325" s="34" t="n">
        <v>46219</v>
      </c>
      <c r="FM1325" s="15" t="n">
        <v>60</v>
      </c>
      <c r="FN1325" s="15" t="n">
        <v>61.58</v>
      </c>
      <c r="FO1325" s="34" t="n">
        <v>46219</v>
      </c>
      <c r="FP1325" s="15" t="n">
        <v>98</v>
      </c>
      <c r="FQ1325" s="15" t="n">
        <v>106.86</v>
      </c>
      <c r="FR1325" s="34" t="n">
        <v>46219</v>
      </c>
      <c r="FS1325" s="15" t="n">
        <v>417.8</v>
      </c>
      <c r="FT1325" s="15" t="n">
        <v>463.19</v>
      </c>
      <c r="FU1325" s="34" t="n">
        <v>46219</v>
      </c>
      <c r="FV1325" s="15" t="n">
        <v>3.04</v>
      </c>
      <c r="FW1325" s="15" t="n">
        <v>5.07</v>
      </c>
      <c r="FX1325" s="34" t="n">
        <v>46219</v>
      </c>
      <c r="FY1325" s="15" t="n">
        <v>30.92</v>
      </c>
      <c r="FZ1325" s="15" t="n">
        <v>48.72</v>
      </c>
      <c r="GA1325" s="34" t="n">
        <v>46219</v>
      </c>
    </row>
    <row r="1326">
      <c r="A1326" s="34" t="n">
        <v>46220</v>
      </c>
      <c r="B1326" s="266" t="n">
        <v>1.157472014427185</v>
      </c>
      <c r="C1326" s="34" t="n">
        <v>46220</v>
      </c>
      <c r="D1326" s="15" t="n">
        <v>23.76</v>
      </c>
      <c r="E1326" s="15" t="n">
        <v>47.93</v>
      </c>
      <c r="F1326" s="34" t="n">
        <v>46220</v>
      </c>
      <c r="G1326" s="15" t="n">
        <v>117.2</v>
      </c>
      <c r="H1326" s="15" t="n">
        <v>161.99</v>
      </c>
      <c r="I1326" s="34" t="n">
        <v>46220</v>
      </c>
      <c r="J1326" s="15" t="n">
        <v>16.42</v>
      </c>
      <c r="K1326" s="15" t="n">
        <v>25.16</v>
      </c>
      <c r="L1326" s="34" t="n">
        <v>46220</v>
      </c>
      <c r="M1326" s="15" t="n">
        <v>32.46</v>
      </c>
      <c r="N1326" s="15" t="n">
        <v>46.99</v>
      </c>
      <c r="O1326" s="34" t="n">
        <v>46220</v>
      </c>
      <c r="P1326" s="15" t="n">
        <v>49.46</v>
      </c>
      <c r="Q1326" s="15" t="n">
        <v>52.9</v>
      </c>
      <c r="R1326" s="34" t="n">
        <v>46220</v>
      </c>
      <c r="S1326" s="15" t="n">
        <v>50.45</v>
      </c>
      <c r="T1326" s="15" t="n">
        <v>117</v>
      </c>
      <c r="U1326" s="34" t="n">
        <v>46220</v>
      </c>
      <c r="V1326" s="15" t="n">
        <v>11.76</v>
      </c>
      <c r="W1326" s="15" t="n">
        <v>16.81</v>
      </c>
      <c r="X1326" s="34" t="n">
        <v>46220</v>
      </c>
      <c r="Y1326" s="15" t="n">
        <v>92.25</v>
      </c>
      <c r="Z1326" s="15" t="n">
        <v>82.70999999999999</v>
      </c>
      <c r="AA1326" s="34" t="n">
        <v>46220</v>
      </c>
      <c r="AB1326" s="15" t="n">
        <v>9.52</v>
      </c>
      <c r="AC1326" s="15" t="n">
        <v>18.5</v>
      </c>
      <c r="AD1326" s="34" t="n">
        <v>46220</v>
      </c>
      <c r="AE1326" s="15" t="n">
        <v>32.2</v>
      </c>
      <c r="AF1326" s="15" t="n">
        <v>33.08</v>
      </c>
      <c r="AG1326" s="34" t="n">
        <v>46220</v>
      </c>
      <c r="AH1326" s="15" t="n">
        <v>25.5</v>
      </c>
      <c r="AI1326" s="15" t="n">
        <v>31.74</v>
      </c>
      <c r="AJ1326" s="34" t="n">
        <v>46220</v>
      </c>
      <c r="AK1326" s="15" t="n">
        <v>15.12</v>
      </c>
      <c r="AL1326" s="15" t="n">
        <v>41.52</v>
      </c>
      <c r="AM1326" s="34" t="n">
        <v>46220</v>
      </c>
      <c r="AN1326" s="15" t="n">
        <v>606.5</v>
      </c>
      <c r="AO1326" s="15" t="n">
        <v>360</v>
      </c>
      <c r="AP1326" s="34" t="n">
        <v>46220</v>
      </c>
      <c r="AQ1326" s="15" t="n">
        <v>55.05</v>
      </c>
      <c r="AR1326" s="15" t="n">
        <v>53.19</v>
      </c>
      <c r="AS1326" s="34" t="n">
        <v>46220</v>
      </c>
      <c r="AT1326" s="15" t="n">
        <v>14.08</v>
      </c>
      <c r="AU1326" s="15" t="n">
        <v>20.1</v>
      </c>
      <c r="AV1326" s="34" t="n">
        <v>46220</v>
      </c>
      <c r="AW1326" s="15" t="n">
        <v>31.44</v>
      </c>
      <c r="AX1326" s="15" t="n">
        <v>36</v>
      </c>
      <c r="AY1326" s="34" t="n">
        <v>46220</v>
      </c>
      <c r="AZ1326" s="15" t="n">
        <v>26.06</v>
      </c>
      <c r="BA1326" s="15" t="n">
        <v>39.75</v>
      </c>
      <c r="BB1326" s="34" t="n">
        <v>46220</v>
      </c>
      <c r="BC1326" s="15" t="n">
        <v>70.55</v>
      </c>
      <c r="BD1326" s="15" t="n">
        <v>85.75</v>
      </c>
      <c r="BE1326" s="34" t="n">
        <v>46220</v>
      </c>
      <c r="BF1326" s="15" t="n">
        <v>121.2</v>
      </c>
      <c r="BG1326" s="15" t="n">
        <v>188.57</v>
      </c>
      <c r="BH1326" s="34" t="n">
        <v>46220</v>
      </c>
      <c r="BI1326" s="15" t="n">
        <v>21.02</v>
      </c>
      <c r="BJ1326" s="15" t="n">
        <v>34.24</v>
      </c>
      <c r="BK1326" s="34" t="n">
        <v>46220</v>
      </c>
      <c r="BL1326" s="15" t="n">
        <v>67</v>
      </c>
      <c r="BM1326" s="15" t="n">
        <v>104.5</v>
      </c>
      <c r="BN1326" s="34" t="n">
        <v>46220</v>
      </c>
      <c r="BO1326" s="15" t="n">
        <v>7.38</v>
      </c>
      <c r="BP1326" s="15" t="n">
        <v>19.91</v>
      </c>
      <c r="BQ1326" s="34" t="n">
        <v>46220</v>
      </c>
      <c r="BR1326" s="15" t="n">
        <v>18.28</v>
      </c>
      <c r="BS1326" s="15" t="n">
        <v>18.65</v>
      </c>
      <c r="BT1326" s="34" t="n">
        <v>46220</v>
      </c>
      <c r="BU1326" s="15" t="n">
        <v>85.05</v>
      </c>
      <c r="BV1326" s="15" t="n">
        <v>176.13</v>
      </c>
      <c r="BW1326" s="34" t="n">
        <v>46220</v>
      </c>
      <c r="BX1326" s="15" t="n">
        <v>42.08</v>
      </c>
      <c r="BY1326" s="15" t="n">
        <v>54.3</v>
      </c>
      <c r="BZ1326" s="34" t="n">
        <v>46220</v>
      </c>
      <c r="CA1326" s="15" t="n">
        <v>12.39</v>
      </c>
      <c r="CB1326" s="15" t="n">
        <v>20</v>
      </c>
      <c r="CC1326" s="34" t="n">
        <v>46220</v>
      </c>
      <c r="CD1326" s="15" t="n">
        <v>24</v>
      </c>
      <c r="CE1326" s="15" t="n">
        <v>36.62</v>
      </c>
      <c r="CF1326" s="34" t="n">
        <v>46220</v>
      </c>
      <c r="CG1326" s="15" t="n">
        <v>147</v>
      </c>
      <c r="CH1326" s="15" t="n">
        <v>199.53</v>
      </c>
      <c r="CI1326" s="34" t="n">
        <v>46220</v>
      </c>
      <c r="CJ1326" s="15" t="n">
        <v>6.45</v>
      </c>
      <c r="CK1326" s="15" t="n">
        <v>16.58</v>
      </c>
      <c r="CL1326" s="34" t="n">
        <v>46220</v>
      </c>
      <c r="CM1326" s="15" t="n">
        <v>84.90000000000001</v>
      </c>
      <c r="CN1326" s="15" t="n">
        <v>104.12</v>
      </c>
      <c r="CO1326" s="34" t="n">
        <v>46220</v>
      </c>
      <c r="CP1326" s="15" t="n">
        <v>533.5</v>
      </c>
      <c r="CQ1326" s="15" t="n">
        <v>463.15</v>
      </c>
      <c r="CR1326" s="34" t="n">
        <v>46220</v>
      </c>
      <c r="CS1326" s="15" t="n">
        <v>21.34</v>
      </c>
      <c r="CT1326" s="15" t="n">
        <v>39.7</v>
      </c>
      <c r="CU1326" s="34" t="n">
        <v>46220</v>
      </c>
      <c r="CV1326" s="15" t="n">
        <v>109.8</v>
      </c>
      <c r="CW1326" s="15" t="n">
        <v>124.43</v>
      </c>
      <c r="CX1326" s="34" t="n">
        <v>46220</v>
      </c>
      <c r="CY1326" s="15" t="n">
        <v>35.52</v>
      </c>
      <c r="CZ1326" s="15" t="n">
        <v>50.75</v>
      </c>
      <c r="DA1326" s="34" t="n">
        <v>46220</v>
      </c>
      <c r="DB1326" s="15" t="n">
        <v>109.2</v>
      </c>
      <c r="DC1326" s="15" t="n">
        <v>256.3</v>
      </c>
      <c r="DD1326" s="34" t="n">
        <v>46220</v>
      </c>
      <c r="DE1326" s="15" t="n">
        <v>33.66</v>
      </c>
      <c r="DF1326" s="15" t="n">
        <v>39.83</v>
      </c>
      <c r="DG1326" s="34" t="n">
        <v>46220</v>
      </c>
      <c r="DH1326" s="15" t="n">
        <v>255</v>
      </c>
      <c r="DI1326" s="15" t="n">
        <v>183.6</v>
      </c>
      <c r="DJ1326" s="34" t="n">
        <v>46220</v>
      </c>
      <c r="DK1326" s="15" t="n">
        <v>26.44</v>
      </c>
      <c r="DL1326" s="15" t="n">
        <v>31.06</v>
      </c>
      <c r="DM1326" s="34" t="n">
        <v>46220</v>
      </c>
      <c r="DN1326" s="15" t="n">
        <v>10.32</v>
      </c>
      <c r="DO1326" s="15" t="n">
        <v>15.24</v>
      </c>
      <c r="DP1326" s="34" t="n">
        <v>46220</v>
      </c>
      <c r="DQ1326" s="15" t="n">
        <v>19.47</v>
      </c>
      <c r="DR1326" s="15" t="n">
        <v>38.19</v>
      </c>
      <c r="DS1326" s="34" t="n">
        <v>46220</v>
      </c>
      <c r="DT1326" s="15" t="n">
        <v>46.6</v>
      </c>
      <c r="DU1326" s="15" t="n">
        <v>79.94</v>
      </c>
      <c r="DV1326" s="34" t="n">
        <v>46220</v>
      </c>
      <c r="DW1326" s="15" t="n">
        <v>18.07</v>
      </c>
      <c r="DX1326" s="15" t="n">
        <v>40.68</v>
      </c>
      <c r="DY1326" s="34" t="n">
        <v>46220</v>
      </c>
      <c r="DZ1326" s="15" t="n">
        <v>116.2</v>
      </c>
      <c r="EA1326" s="15" t="n">
        <v>176.07</v>
      </c>
      <c r="EB1326" s="34" t="n">
        <v>46220</v>
      </c>
      <c r="EC1326" s="15" t="n">
        <v>10.05</v>
      </c>
      <c r="ED1326" s="15" t="n">
        <v>19.24</v>
      </c>
      <c r="EE1326" s="34" t="n">
        <v>46220</v>
      </c>
      <c r="EF1326" s="15" t="n">
        <v>215</v>
      </c>
      <c r="EG1326" s="15" t="n">
        <v>241.5</v>
      </c>
      <c r="EH1326" s="34" t="n">
        <v>46220</v>
      </c>
      <c r="EI1326" s="15" t="n">
        <v>57.85</v>
      </c>
      <c r="EJ1326" s="15" t="n">
        <v>71.76000000000001</v>
      </c>
      <c r="EK1326" s="34" t="n">
        <v>46220</v>
      </c>
      <c r="EL1326" s="15" t="n">
        <v>22.32</v>
      </c>
      <c r="EM1326" s="15" t="n">
        <v>31</v>
      </c>
      <c r="EN1326" s="34" t="n">
        <v>46220</v>
      </c>
      <c r="EO1326" s="15" t="n">
        <v>32.46</v>
      </c>
      <c r="EP1326" s="15" t="n">
        <v>48.16</v>
      </c>
      <c r="EQ1326" s="34" t="n">
        <v>46220</v>
      </c>
      <c r="ER1326" s="15" t="n">
        <v>31.6</v>
      </c>
      <c r="ES1326" s="15" t="n">
        <v>37.37</v>
      </c>
      <c r="ET1326" s="34" t="n">
        <v>46220</v>
      </c>
      <c r="EU1326" s="15" t="n">
        <v>7.22</v>
      </c>
      <c r="EV1326" s="15" t="n">
        <v>12.53</v>
      </c>
      <c r="EW1326" s="34" t="n">
        <v>46220</v>
      </c>
      <c r="EX1326" s="15" t="n">
        <v>96.05</v>
      </c>
      <c r="EY1326" s="15" t="n">
        <v>101</v>
      </c>
      <c r="EZ1326" s="34" t="n">
        <v>46220</v>
      </c>
      <c r="FA1326" s="15" t="n">
        <v>6.2</v>
      </c>
      <c r="FB1326" s="15" t="n">
        <v>11.41</v>
      </c>
      <c r="FC1326" s="34" t="n">
        <v>46220</v>
      </c>
      <c r="FD1326" s="15" t="n">
        <v>285.6</v>
      </c>
      <c r="FE1326" s="15" t="n">
        <v>359.78</v>
      </c>
      <c r="FF1326" s="34" t="n">
        <v>46220</v>
      </c>
      <c r="FG1326" s="15" t="n">
        <v>93.15000000000001</v>
      </c>
      <c r="FH1326" s="15" t="n">
        <v>110.6</v>
      </c>
      <c r="FI1326" s="34" t="n">
        <v>46220</v>
      </c>
      <c r="FJ1326" s="15" t="n">
        <v>23.96</v>
      </c>
      <c r="FK1326" s="15" t="n">
        <v>41.49</v>
      </c>
      <c r="FL1326" s="34" t="n">
        <v>46220</v>
      </c>
      <c r="FM1326" s="15" t="n">
        <v>53.45</v>
      </c>
      <c r="FN1326" s="15" t="n">
        <v>58.05</v>
      </c>
      <c r="FO1326" s="34" t="n">
        <v>46220</v>
      </c>
      <c r="FP1326" s="15" t="n">
        <v>90.5</v>
      </c>
      <c r="FQ1326" s="15" t="n">
        <v>99.01000000000001</v>
      </c>
      <c r="FR1326" s="34" t="n">
        <v>46220</v>
      </c>
      <c r="FS1326" s="15" t="n">
        <v>350</v>
      </c>
      <c r="FT1326" s="15" t="n">
        <v>425</v>
      </c>
      <c r="FU1326" s="34" t="n">
        <v>46220</v>
      </c>
      <c r="FV1326" s="15" t="n">
        <v>3.02</v>
      </c>
      <c r="FW1326" s="15" t="n">
        <v>5.19</v>
      </c>
      <c r="FX1326" s="34" t="n">
        <v>46220</v>
      </c>
      <c r="FY1326" s="15" t="n">
        <v>29.18</v>
      </c>
      <c r="FZ1326" s="15" t="n">
        <v>45.1</v>
      </c>
      <c r="GA1326" s="34" t="n">
        <v>46220</v>
      </c>
    </row>
    <row r="1327">
      <c r="A1327" s="34" t="n">
        <v>46223</v>
      </c>
      <c r="B1327" s="266" t="n">
        <v>1.157451033592224</v>
      </c>
      <c r="C1327" s="34" t="n">
        <v>46223</v>
      </c>
      <c r="D1327" s="15" t="n">
        <v>23.56</v>
      </c>
      <c r="E1327" s="15" t="n">
        <v>47</v>
      </c>
      <c r="F1327" s="34" t="n">
        <v>46223</v>
      </c>
      <c r="G1327" s="15" t="n">
        <v>121</v>
      </c>
      <c r="H1327" s="15" t="n">
        <v>162.51</v>
      </c>
      <c r="I1327" s="34" t="n">
        <v>46223</v>
      </c>
      <c r="J1327" s="15" t="n">
        <v>16.95</v>
      </c>
      <c r="K1327" s="15" t="n">
        <v>24.84</v>
      </c>
      <c r="L1327" s="34" t="n">
        <v>46223</v>
      </c>
      <c r="M1327" s="15" t="n">
        <v>30.88</v>
      </c>
      <c r="N1327" s="15" t="n">
        <v>42.29</v>
      </c>
      <c r="O1327" s="34" t="n">
        <v>46223</v>
      </c>
      <c r="P1327" s="15" t="n">
        <v>50.8</v>
      </c>
      <c r="Q1327" s="15" t="n">
        <v>54.67</v>
      </c>
      <c r="R1327" s="34" t="n">
        <v>46223</v>
      </c>
      <c r="S1327" s="15" t="n">
        <v>53</v>
      </c>
      <c r="T1327" s="15" t="n">
        <v>120.78</v>
      </c>
      <c r="U1327" s="34" t="n">
        <v>46223</v>
      </c>
      <c r="V1327" s="15" t="n">
        <v>12.7</v>
      </c>
      <c r="W1327" s="15" t="n">
        <v>15.95</v>
      </c>
      <c r="X1327" s="34" t="n">
        <v>46223</v>
      </c>
      <c r="Y1327" s="15" t="n">
        <v>94.34999999999999</v>
      </c>
      <c r="Z1327" s="15" t="n">
        <v>84.3</v>
      </c>
      <c r="AA1327" s="34" t="n">
        <v>46223</v>
      </c>
      <c r="AB1327" s="15" t="n">
        <v>9.25</v>
      </c>
      <c r="AC1327" s="15" t="n">
        <v>17.16</v>
      </c>
      <c r="AD1327" s="34" t="n">
        <v>46223</v>
      </c>
      <c r="AE1327" s="15" t="n">
        <v>32.98</v>
      </c>
      <c r="AF1327" s="15" t="n">
        <v>33.98</v>
      </c>
      <c r="AG1327" s="34" t="n">
        <v>46223</v>
      </c>
      <c r="AH1327" s="15" t="n">
        <v>26.4</v>
      </c>
      <c r="AI1327" s="15" t="n">
        <v>32.25</v>
      </c>
      <c r="AJ1327" s="34" t="n">
        <v>46223</v>
      </c>
      <c r="AK1327" s="15" t="n">
        <v>15.65</v>
      </c>
      <c r="AL1327" s="15" t="n">
        <v>40.62</v>
      </c>
      <c r="AM1327" s="34" t="n">
        <v>46223</v>
      </c>
      <c r="AN1327" s="15" t="n">
        <v>618.5</v>
      </c>
      <c r="AO1327" s="15" t="n">
        <v>376.43</v>
      </c>
      <c r="AP1327" s="34" t="n">
        <v>46223</v>
      </c>
      <c r="AQ1327" s="15" t="n">
        <v>57.5</v>
      </c>
      <c r="AR1327" s="15" t="n">
        <v>55.57</v>
      </c>
      <c r="AS1327" s="34" t="n">
        <v>46223</v>
      </c>
      <c r="AT1327" s="15" t="n">
        <v>12.28</v>
      </c>
      <c r="AU1327" s="15" t="n">
        <v>18.3</v>
      </c>
      <c r="AV1327" s="34" t="n">
        <v>46223</v>
      </c>
      <c r="AW1327" s="15" t="n">
        <v>32.4</v>
      </c>
      <c r="AX1327" s="15" t="n">
        <v>37</v>
      </c>
      <c r="AY1327" s="34" t="n">
        <v>46223</v>
      </c>
      <c r="AZ1327" s="15" t="n">
        <v>25.58</v>
      </c>
      <c r="BA1327" s="15" t="n">
        <v>36.12</v>
      </c>
      <c r="BB1327" s="34" t="n">
        <v>46223</v>
      </c>
      <c r="BC1327" s="15" t="n">
        <v>72.45</v>
      </c>
      <c r="BD1327" s="15" t="n">
        <v>87.78</v>
      </c>
      <c r="BE1327" s="34" t="n">
        <v>46223</v>
      </c>
      <c r="BF1327" s="15" t="n">
        <v>116</v>
      </c>
      <c r="BG1327" s="15" t="n">
        <v>181.43</v>
      </c>
      <c r="BH1327" s="34" t="n">
        <v>46223</v>
      </c>
      <c r="BI1327" s="15" t="n">
        <v>21.28</v>
      </c>
      <c r="BJ1327" s="15" t="n">
        <v>34.22</v>
      </c>
      <c r="BK1327" s="34" t="n">
        <v>46223</v>
      </c>
      <c r="BL1327" s="15" t="n">
        <v>66.75</v>
      </c>
      <c r="BM1327" s="15" t="n">
        <v>93</v>
      </c>
      <c r="BN1327" s="34" t="n">
        <v>46223</v>
      </c>
      <c r="BO1327" s="15" t="n">
        <v>7.44</v>
      </c>
      <c r="BP1327" s="15" t="n">
        <v>20</v>
      </c>
      <c r="BQ1327" s="34" t="n">
        <v>46223</v>
      </c>
      <c r="BR1327" s="15" t="n">
        <v>20.06</v>
      </c>
      <c r="BS1327" s="15" t="n">
        <v>19.56</v>
      </c>
      <c r="BT1327" s="34" t="n">
        <v>46223</v>
      </c>
      <c r="BU1327" s="15" t="n">
        <v>81.5</v>
      </c>
      <c r="BV1327" s="15" t="n">
        <v>158.52</v>
      </c>
      <c r="BW1327" s="34" t="n">
        <v>46223</v>
      </c>
      <c r="BX1327" s="15" t="n">
        <v>43.58</v>
      </c>
      <c r="BY1327" s="15" t="n">
        <v>55.61</v>
      </c>
      <c r="BZ1327" s="34" t="n">
        <v>46223</v>
      </c>
      <c r="CA1327" s="15" t="n">
        <v>12.58</v>
      </c>
      <c r="CB1327" s="15" t="n">
        <v>19.97</v>
      </c>
      <c r="CC1327" s="34" t="n">
        <v>46223</v>
      </c>
      <c r="CD1327" s="15" t="n">
        <v>23.76</v>
      </c>
      <c r="CE1327" s="15" t="n">
        <v>36.6</v>
      </c>
      <c r="CF1327" s="34" t="n">
        <v>46223</v>
      </c>
      <c r="CG1327" s="15" t="n">
        <v>142.2</v>
      </c>
      <c r="CH1327" s="15" t="n">
        <v>188.5</v>
      </c>
      <c r="CI1327" s="34" t="n">
        <v>46223</v>
      </c>
      <c r="CJ1327" s="15" t="n">
        <v>6.49</v>
      </c>
      <c r="CK1327" s="15" t="n">
        <v>16.46</v>
      </c>
      <c r="CL1327" s="34" t="n">
        <v>46223</v>
      </c>
      <c r="CM1327" s="15" t="n">
        <v>83.55</v>
      </c>
      <c r="CN1327" s="15" t="n">
        <v>101.16</v>
      </c>
      <c r="CO1327" s="34" t="n">
        <v>46223</v>
      </c>
      <c r="CP1327" s="15" t="n">
        <v>533.5</v>
      </c>
      <c r="CQ1327" s="15" t="n">
        <v>432.3</v>
      </c>
      <c r="CR1327" s="34" t="n">
        <v>46223</v>
      </c>
      <c r="CS1327" s="15" t="n">
        <v>21.2</v>
      </c>
      <c r="CT1327" s="15" t="n">
        <v>38.04</v>
      </c>
      <c r="CU1327" s="34" t="n">
        <v>46223</v>
      </c>
      <c r="CV1327" s="15" t="n">
        <v>112.6</v>
      </c>
      <c r="CW1327" s="15" t="n">
        <v>126.57</v>
      </c>
      <c r="CX1327" s="34" t="n">
        <v>46223</v>
      </c>
      <c r="CY1327" s="15" t="n">
        <v>27.38</v>
      </c>
      <c r="CZ1327" s="15" t="n">
        <v>45.68</v>
      </c>
      <c r="DA1327" s="34" t="n">
        <v>46223</v>
      </c>
      <c r="DB1327" s="15" t="n">
        <v>110</v>
      </c>
      <c r="DC1327" s="15" t="n">
        <v>225.5</v>
      </c>
      <c r="DD1327" s="34" t="n">
        <v>46223</v>
      </c>
      <c r="DE1327" s="15" t="n">
        <v>33.88</v>
      </c>
      <c r="DF1327" s="15" t="n">
        <v>40.61</v>
      </c>
      <c r="DG1327" s="34" t="n">
        <v>46223</v>
      </c>
      <c r="DH1327" s="15" t="n">
        <v>264</v>
      </c>
      <c r="DI1327" s="15" t="n">
        <v>189.94</v>
      </c>
      <c r="DJ1327" s="34" t="n">
        <v>46223</v>
      </c>
      <c r="DK1327" s="15" t="n">
        <v>27.7</v>
      </c>
      <c r="DL1327" s="15" t="n">
        <v>31.27</v>
      </c>
      <c r="DM1327" s="34" t="n">
        <v>46223</v>
      </c>
      <c r="DN1327" s="15" t="n">
        <v>10.38</v>
      </c>
      <c r="DO1327" s="15" t="n">
        <v>15.32</v>
      </c>
      <c r="DP1327" s="34" t="n">
        <v>46223</v>
      </c>
      <c r="DQ1327" s="15" t="n">
        <v>18.39</v>
      </c>
      <c r="DR1327" s="15" t="n">
        <v>34.37</v>
      </c>
      <c r="DS1327" s="34" t="n">
        <v>46223</v>
      </c>
      <c r="DT1327" s="15" t="n">
        <v>45.4</v>
      </c>
      <c r="DU1327" s="15" t="n">
        <v>74.81</v>
      </c>
      <c r="DV1327" s="34" t="n">
        <v>46223</v>
      </c>
      <c r="DW1327" s="15" t="n">
        <v>17.22</v>
      </c>
      <c r="DX1327" s="15" t="n">
        <v>39.23</v>
      </c>
      <c r="DY1327" s="34" t="n">
        <v>46223</v>
      </c>
      <c r="DZ1327" s="15" t="n">
        <v>117.7</v>
      </c>
      <c r="EA1327" s="15" t="n">
        <v>158.46</v>
      </c>
      <c r="EB1327" s="34" t="n">
        <v>46223</v>
      </c>
      <c r="EC1327" s="15" t="n">
        <v>9.1</v>
      </c>
      <c r="ED1327" s="15" t="n">
        <v>17.56</v>
      </c>
      <c r="EE1327" s="34" t="n">
        <v>46223</v>
      </c>
      <c r="EF1327" s="15" t="n">
        <v>212.4</v>
      </c>
      <c r="EG1327" s="15" t="n">
        <v>224.11</v>
      </c>
      <c r="EH1327" s="34" t="n">
        <v>46223</v>
      </c>
      <c r="EI1327" s="15" t="n">
        <v>61.45</v>
      </c>
      <c r="EJ1327" s="15" t="n">
        <v>73.28</v>
      </c>
      <c r="EK1327" s="34" t="n">
        <v>46223</v>
      </c>
      <c r="EL1327" s="15" t="n">
        <v>23.46</v>
      </c>
      <c r="EM1327" s="15" t="n">
        <v>33.29</v>
      </c>
      <c r="EN1327" s="34" t="n">
        <v>46223</v>
      </c>
      <c r="EO1327" s="15" t="n">
        <v>34.4</v>
      </c>
      <c r="EP1327" s="15" t="n">
        <v>50.7</v>
      </c>
      <c r="EQ1327" s="34" t="n">
        <v>46223</v>
      </c>
      <c r="ER1327" s="15" t="n">
        <v>32.78</v>
      </c>
      <c r="ES1327" s="15" t="n">
        <v>36.61</v>
      </c>
      <c r="ET1327" s="34" t="n">
        <v>46223</v>
      </c>
      <c r="EU1327" s="15" t="n">
        <v>7.5</v>
      </c>
      <c r="EV1327" s="15" t="n">
        <v>12.02</v>
      </c>
      <c r="EW1327" s="34" t="n">
        <v>46223</v>
      </c>
      <c r="EX1327" s="15" t="n">
        <v>95.75</v>
      </c>
      <c r="EY1327" s="15" t="n">
        <v>98.01000000000001</v>
      </c>
      <c r="EZ1327" s="34" t="n">
        <v>46223</v>
      </c>
      <c r="FA1327" s="15" t="n">
        <v>6.49</v>
      </c>
      <c r="FB1327" s="15" t="n">
        <v>11.55</v>
      </c>
      <c r="FC1327" s="34" t="n">
        <v>46223</v>
      </c>
      <c r="FD1327" s="15" t="n">
        <v>304.4</v>
      </c>
      <c r="FE1327" s="15" t="n">
        <v>344</v>
      </c>
      <c r="FF1327" s="34" t="n">
        <v>46223</v>
      </c>
      <c r="FG1327" s="15" t="n">
        <v>103.6</v>
      </c>
      <c r="FH1327" s="15" t="n">
        <v>117.97</v>
      </c>
      <c r="FI1327" s="34" t="n">
        <v>46223</v>
      </c>
      <c r="FJ1327" s="15" t="n">
        <v>23.92</v>
      </c>
      <c r="FK1327" s="15" t="n">
        <v>38.52</v>
      </c>
      <c r="FL1327" s="34" t="n">
        <v>46223</v>
      </c>
      <c r="FM1327" s="15" t="n">
        <v>52.2</v>
      </c>
      <c r="FN1327" s="15" t="n">
        <v>56.8</v>
      </c>
      <c r="FO1327" s="34" t="n">
        <v>46223</v>
      </c>
      <c r="FP1327" s="15" t="n">
        <v>90.5</v>
      </c>
      <c r="FQ1327" s="15" t="n">
        <v>91.02</v>
      </c>
      <c r="FR1327" s="34" t="n">
        <v>46223</v>
      </c>
      <c r="FS1327" s="15" t="n">
        <v>330.8</v>
      </c>
      <c r="FT1327" s="15" t="n">
        <v>372</v>
      </c>
      <c r="FU1327" s="34" t="n">
        <v>46223</v>
      </c>
      <c r="FV1327" s="15" t="n">
        <v>3.1</v>
      </c>
      <c r="FW1327" s="15" t="n">
        <v>5.56</v>
      </c>
      <c r="FX1327" s="34" t="n">
        <v>46223</v>
      </c>
      <c r="FY1327" s="15" t="n">
        <v>29.6</v>
      </c>
      <c r="FZ1327" s="15" t="n">
        <v>43.4</v>
      </c>
      <c r="GA1327" s="34" t="n">
        <v>46223</v>
      </c>
    </row>
    <row r="1328">
      <c r="A1328" s="34" t="n">
        <v>46224</v>
      </c>
      <c r="B1328" s="266" t="n">
        <v>1.157506942749023</v>
      </c>
      <c r="C1328" s="34" t="n">
        <v>46224</v>
      </c>
      <c r="D1328" s="15" t="n">
        <v>24.8</v>
      </c>
      <c r="E1328" s="15" t="n">
        <v>49.12</v>
      </c>
      <c r="F1328" s="34" t="n">
        <v>46224</v>
      </c>
      <c r="G1328" s="15" t="n">
        <v>122.4</v>
      </c>
      <c r="H1328" s="15" t="n">
        <v>169.5</v>
      </c>
      <c r="I1328" s="34" t="n">
        <v>46224</v>
      </c>
      <c r="J1328" s="15" t="n">
        <v>17.1</v>
      </c>
      <c r="K1328" s="15" t="n">
        <v>25.84</v>
      </c>
      <c r="L1328" s="34" t="n">
        <v>46224</v>
      </c>
      <c r="M1328" s="15" t="n">
        <v>32</v>
      </c>
      <c r="N1328" s="15" t="n">
        <v>43.69</v>
      </c>
      <c r="O1328" s="34" t="n">
        <v>46224</v>
      </c>
      <c r="P1328" s="15" t="n">
        <v>50.15</v>
      </c>
      <c r="Q1328" s="15" t="n">
        <v>54.08</v>
      </c>
      <c r="R1328" s="34" t="n">
        <v>46224</v>
      </c>
      <c r="S1328" s="15" t="n">
        <v>51.8</v>
      </c>
      <c r="T1328" s="15" t="n">
        <v>120</v>
      </c>
      <c r="U1328" s="34" t="n">
        <v>46224</v>
      </c>
      <c r="V1328" s="15" t="n">
        <v>12.79</v>
      </c>
      <c r="W1328" s="15" t="n">
        <v>16.86</v>
      </c>
      <c r="X1328" s="34" t="n">
        <v>46224</v>
      </c>
      <c r="Y1328" s="15" t="n">
        <v>95.15000000000001</v>
      </c>
      <c r="Z1328" s="15" t="n">
        <v>84.27</v>
      </c>
      <c r="AA1328" s="34" t="n">
        <v>46224</v>
      </c>
      <c r="AB1328" s="15" t="n">
        <v>9.470000000000001</v>
      </c>
      <c r="AC1328" s="15" t="n">
        <v>17.76</v>
      </c>
      <c r="AD1328" s="34" t="n">
        <v>46224</v>
      </c>
      <c r="AE1328" s="15" t="n">
        <v>32.9</v>
      </c>
      <c r="AF1328" s="15" t="n">
        <v>33.87</v>
      </c>
      <c r="AG1328" s="34" t="n">
        <v>46224</v>
      </c>
      <c r="AH1328" s="15" t="n">
        <v>27.76</v>
      </c>
      <c r="AI1328" s="15" t="n">
        <v>35.48</v>
      </c>
      <c r="AJ1328" s="34" t="n">
        <v>46224</v>
      </c>
      <c r="AK1328" s="15" t="n">
        <v>16.28</v>
      </c>
      <c r="AL1328" s="15" t="n">
        <v>41.36</v>
      </c>
      <c r="AM1328" s="34" t="n">
        <v>46224</v>
      </c>
      <c r="AN1328" s="15" t="n">
        <v>626</v>
      </c>
      <c r="AO1328" s="15" t="n">
        <v>382.2</v>
      </c>
      <c r="AP1328" s="34" t="n">
        <v>46224</v>
      </c>
      <c r="AQ1328" s="15" t="n">
        <v>56.7</v>
      </c>
      <c r="AR1328" s="15" t="n">
        <v>54.93</v>
      </c>
      <c r="AS1328" s="34" t="n">
        <v>46224</v>
      </c>
      <c r="AT1328" s="15" t="n">
        <v>13.39</v>
      </c>
      <c r="AU1328" s="15" t="n">
        <v>19.51</v>
      </c>
      <c r="AV1328" s="34" t="n">
        <v>46224</v>
      </c>
      <c r="AW1328" s="15" t="n">
        <v>32</v>
      </c>
      <c r="AX1328" s="15" t="n">
        <v>36.52</v>
      </c>
      <c r="AY1328" s="34" t="n">
        <v>46224</v>
      </c>
      <c r="AZ1328" s="15" t="n">
        <v>26.22</v>
      </c>
      <c r="BA1328" s="15" t="n">
        <v>38.1</v>
      </c>
      <c r="BB1328" s="34" t="n">
        <v>46224</v>
      </c>
      <c r="BC1328" s="15" t="n">
        <v>71.40000000000001</v>
      </c>
      <c r="BD1328" s="15" t="n">
        <v>86.8</v>
      </c>
      <c r="BE1328" s="34" t="n">
        <v>46224</v>
      </c>
      <c r="BF1328" s="15" t="n">
        <v>120.8</v>
      </c>
      <c r="BG1328" s="15" t="n">
        <v>184.6</v>
      </c>
      <c r="BH1328" s="34" t="n">
        <v>46224</v>
      </c>
      <c r="BI1328" s="15" t="n">
        <v>22.28</v>
      </c>
      <c r="BJ1328" s="15" t="n">
        <v>38.29</v>
      </c>
      <c r="BK1328" s="34" t="n">
        <v>46224</v>
      </c>
      <c r="BL1328" s="15" t="n">
        <v>69.34999999999999</v>
      </c>
      <c r="BM1328" s="15" t="n">
        <v>101.12</v>
      </c>
      <c r="BN1328" s="34" t="n">
        <v>46224</v>
      </c>
      <c r="BO1328" s="15" t="n">
        <v>7.58</v>
      </c>
      <c r="BP1328" s="15" t="n">
        <v>19.9</v>
      </c>
      <c r="BQ1328" s="34" t="n">
        <v>46224</v>
      </c>
      <c r="BR1328" s="15" t="n">
        <v>20.14</v>
      </c>
      <c r="BS1328" s="15" t="n">
        <v>19.69</v>
      </c>
      <c r="BT1328" s="34" t="n">
        <v>46224</v>
      </c>
      <c r="BU1328" s="15" t="n">
        <v>86.75</v>
      </c>
      <c r="BV1328" s="15" t="n">
        <v>171.05</v>
      </c>
      <c r="BW1328" s="34" t="n">
        <v>46224</v>
      </c>
      <c r="BX1328" s="15" t="n">
        <v>43.78</v>
      </c>
      <c r="BY1328" s="15" t="n">
        <v>55.51</v>
      </c>
      <c r="BZ1328" s="34" t="n">
        <v>46224</v>
      </c>
      <c r="CA1328" s="15" t="n">
        <v>12.9</v>
      </c>
      <c r="CB1328" s="15" t="n">
        <v>20.4</v>
      </c>
      <c r="CC1328" s="34" t="n">
        <v>46224</v>
      </c>
      <c r="CD1328" s="15" t="n">
        <v>24.68</v>
      </c>
      <c r="CE1328" s="15" t="n">
        <v>38.98</v>
      </c>
      <c r="CF1328" s="34" t="n">
        <v>46224</v>
      </c>
      <c r="CG1328" s="15" t="n">
        <v>159</v>
      </c>
      <c r="CH1328" s="15" t="n">
        <v>202.19</v>
      </c>
      <c r="CI1328" s="34" t="n">
        <v>46224</v>
      </c>
      <c r="CJ1328" s="15" t="n">
        <v>6.59</v>
      </c>
      <c r="CK1328" s="15" t="n">
        <v>16.81</v>
      </c>
      <c r="CL1328" s="34" t="n">
        <v>46224</v>
      </c>
      <c r="CM1328" s="15" t="n">
        <v>84.55</v>
      </c>
      <c r="CN1328" s="15" t="n">
        <v>102.42</v>
      </c>
      <c r="CO1328" s="34" t="n">
        <v>46224</v>
      </c>
      <c r="CP1328" s="15" t="n">
        <v>614</v>
      </c>
      <c r="CQ1328" s="15" t="n">
        <v>475.53</v>
      </c>
      <c r="CR1328" s="34" t="n">
        <v>46224</v>
      </c>
      <c r="CS1328" s="15" t="n">
        <v>21.92</v>
      </c>
      <c r="CT1328" s="15" t="n">
        <v>38.81</v>
      </c>
      <c r="CU1328" s="34" t="n">
        <v>46224</v>
      </c>
      <c r="CV1328" s="15" t="n">
        <v>112.6</v>
      </c>
      <c r="CW1328" s="15" t="n">
        <v>130.8</v>
      </c>
      <c r="CX1328" s="34" t="n">
        <v>46224</v>
      </c>
      <c r="CY1328" s="15" t="n">
        <v>30.48</v>
      </c>
      <c r="CZ1328" s="15" t="n">
        <v>46.9</v>
      </c>
      <c r="DA1328" s="34" t="n">
        <v>46224</v>
      </c>
      <c r="DB1328" s="15" t="n">
        <v>119.7</v>
      </c>
      <c r="DC1328" s="15" t="n">
        <v>259.46</v>
      </c>
      <c r="DD1328" s="34" t="n">
        <v>46224</v>
      </c>
      <c r="DE1328" s="15" t="n">
        <v>33.9</v>
      </c>
      <c r="DF1328" s="15" t="n">
        <v>39.42</v>
      </c>
      <c r="DG1328" s="34" t="n">
        <v>46224</v>
      </c>
      <c r="DH1328" s="15" t="n">
        <v>309</v>
      </c>
      <c r="DI1328" s="15" t="n">
        <v>219.6</v>
      </c>
      <c r="DJ1328" s="34" t="n">
        <v>46224</v>
      </c>
      <c r="DK1328" s="15" t="n">
        <v>29.44</v>
      </c>
      <c r="DL1328" s="15" t="n">
        <v>32.76</v>
      </c>
      <c r="DM1328" s="34" t="n">
        <v>46224</v>
      </c>
      <c r="DN1328" s="15" t="n">
        <v>10.54</v>
      </c>
      <c r="DO1328" s="15" t="n">
        <v>15.71</v>
      </c>
      <c r="DP1328" s="34" t="n">
        <v>46224</v>
      </c>
      <c r="DQ1328" s="15" t="n">
        <v>18.73</v>
      </c>
      <c r="DR1328" s="15" t="n">
        <v>33.43</v>
      </c>
      <c r="DS1328" s="34" t="n">
        <v>46224</v>
      </c>
      <c r="DT1328" s="15" t="n">
        <v>47.26</v>
      </c>
      <c r="DU1328" s="15" t="n">
        <v>78.29000000000001</v>
      </c>
      <c r="DV1328" s="34" t="n">
        <v>46224</v>
      </c>
      <c r="DW1328" s="15" t="n">
        <v>18.68</v>
      </c>
      <c r="DX1328" s="15" t="n">
        <v>41.91</v>
      </c>
      <c r="DY1328" s="34" t="n">
        <v>46224</v>
      </c>
      <c r="DZ1328" s="15" t="n">
        <v>126.8</v>
      </c>
      <c r="EA1328" s="15" t="n">
        <v>174.31</v>
      </c>
      <c r="EB1328" s="34" t="n">
        <v>46224</v>
      </c>
      <c r="EC1328" s="15" t="n">
        <v>9.49</v>
      </c>
      <c r="ED1328" s="15" t="n">
        <v>18.66</v>
      </c>
      <c r="EE1328" s="34" t="n">
        <v>46224</v>
      </c>
      <c r="EF1328" s="15" t="n">
        <v>227.6</v>
      </c>
      <c r="EG1328" s="15" t="n">
        <v>240.27</v>
      </c>
      <c r="EH1328" s="34" t="n">
        <v>46224</v>
      </c>
      <c r="EI1328" s="15" t="n">
        <v>69.2</v>
      </c>
      <c r="EJ1328" s="15" t="n">
        <v>79.7</v>
      </c>
      <c r="EK1328" s="34" t="n">
        <v>46224</v>
      </c>
      <c r="EL1328" s="15" t="n">
        <v>23.2</v>
      </c>
      <c r="EM1328" s="15" t="n">
        <v>32.68</v>
      </c>
      <c r="EN1328" s="34" t="n">
        <v>46224</v>
      </c>
      <c r="EO1328" s="15" t="n">
        <v>35.8</v>
      </c>
      <c r="EP1328" s="15" t="n">
        <v>52.48</v>
      </c>
      <c r="EQ1328" s="34" t="n">
        <v>46224</v>
      </c>
      <c r="ER1328" s="15" t="n">
        <v>33.92</v>
      </c>
      <c r="ES1328" s="15" t="n">
        <v>38.36</v>
      </c>
      <c r="ET1328" s="34" t="n">
        <v>46224</v>
      </c>
      <c r="EU1328" s="15" t="n">
        <v>7.82</v>
      </c>
      <c r="EV1328" s="15" t="n">
        <v>12.76</v>
      </c>
      <c r="EW1328" s="34" t="n">
        <v>46224</v>
      </c>
      <c r="EX1328" s="15" t="n">
        <v>101</v>
      </c>
      <c r="EY1328" s="15" t="n">
        <v>110.05</v>
      </c>
      <c r="EZ1328" s="34" t="n">
        <v>46224</v>
      </c>
      <c r="FA1328" s="15" t="n">
        <v>6.75</v>
      </c>
      <c r="FB1328" s="15" t="n">
        <v>12.35</v>
      </c>
      <c r="FC1328" s="34" t="n">
        <v>46224</v>
      </c>
      <c r="FD1328" s="15" t="n">
        <v>328.6</v>
      </c>
      <c r="FE1328" s="15" t="n">
        <v>403.45</v>
      </c>
      <c r="FF1328" s="34" t="n">
        <v>46224</v>
      </c>
      <c r="FG1328" s="15" t="n">
        <v>106.7</v>
      </c>
      <c r="FH1328" s="15" t="n">
        <v>122.09</v>
      </c>
      <c r="FI1328" s="34" t="n">
        <v>46224</v>
      </c>
      <c r="FJ1328" s="15" t="n">
        <v>25.7</v>
      </c>
      <c r="FK1328" s="15" t="n">
        <v>42.19</v>
      </c>
      <c r="FL1328" s="34" t="n">
        <v>46224</v>
      </c>
      <c r="FM1328" s="15" t="n">
        <v>57.95</v>
      </c>
      <c r="FN1328" s="15" t="n">
        <v>60.42</v>
      </c>
      <c r="FO1328" s="34" t="n">
        <v>46224</v>
      </c>
      <c r="FP1328" s="15" t="n">
        <v>101.8</v>
      </c>
      <c r="FQ1328" s="15" t="n">
        <v>107.54</v>
      </c>
      <c r="FR1328" s="34" t="n">
        <v>46224</v>
      </c>
      <c r="FS1328" s="15" t="n">
        <v>363</v>
      </c>
      <c r="FT1328" s="15" t="n">
        <v>416.5</v>
      </c>
      <c r="FU1328" s="34" t="n">
        <v>46224</v>
      </c>
      <c r="FV1328" s="15" t="n">
        <v>3.22</v>
      </c>
      <c r="FW1328" s="15" t="n">
        <v>5.9</v>
      </c>
      <c r="FX1328" s="34" t="n">
        <v>46224</v>
      </c>
      <c r="FY1328" s="15" t="n">
        <v>31.8</v>
      </c>
      <c r="FZ1328" s="15" t="n">
        <v>49.8</v>
      </c>
      <c r="GA1328" s="34" t="n">
        <v>46224</v>
      </c>
    </row>
    <row r="1329">
      <c r="A1329" s="34" t="n">
        <v>46225</v>
      </c>
      <c r="B1329" s="266" t="n">
        <v>1.158938050270081</v>
      </c>
      <c r="C1329" s="34" t="n">
        <v>46225</v>
      </c>
      <c r="D1329" s="15" t="n">
        <v>25.06</v>
      </c>
      <c r="E1329" s="15" t="n">
        <v>48.06</v>
      </c>
      <c r="F1329" s="34" t="n">
        <v>46225</v>
      </c>
      <c r="G1329" s="15" t="n">
        <v>118.9</v>
      </c>
      <c r="H1329" s="15" t="n">
        <v>164.28</v>
      </c>
      <c r="I1329" s="34" t="n">
        <v>46225</v>
      </c>
      <c r="J1329" s="15" t="n">
        <v>17</v>
      </c>
      <c r="K1329" s="15" t="n">
        <v>25.69</v>
      </c>
      <c r="L1329" s="34" t="n">
        <v>46225</v>
      </c>
      <c r="M1329" s="15" t="n">
        <v>32.18</v>
      </c>
      <c r="N1329" s="15" t="n">
        <v>43.92</v>
      </c>
      <c r="O1329" s="34" t="n">
        <v>46225</v>
      </c>
      <c r="P1329" s="15" t="n">
        <v>50.05</v>
      </c>
      <c r="Q1329" s="15" t="n">
        <v>55.7</v>
      </c>
      <c r="R1329" s="34" t="n">
        <v>46225</v>
      </c>
      <c r="S1329" s="15" t="n">
        <v>51.9</v>
      </c>
      <c r="T1329" s="15" t="n">
        <v>122.99</v>
      </c>
      <c r="U1329" s="34" t="n">
        <v>46225</v>
      </c>
      <c r="V1329" s="15" t="n">
        <v>12.3</v>
      </c>
      <c r="W1329" s="15" t="n">
        <v>16.17</v>
      </c>
      <c r="X1329" s="34" t="n">
        <v>46225</v>
      </c>
      <c r="Y1329" s="15" t="n">
        <v>94.90000000000001</v>
      </c>
      <c r="Z1329" s="15" t="n">
        <v>84.8</v>
      </c>
      <c r="AA1329" s="34" t="n">
        <v>46225</v>
      </c>
      <c r="AB1329" s="15" t="n">
        <v>9.52</v>
      </c>
      <c r="AC1329" s="15" t="n">
        <v>17.2</v>
      </c>
      <c r="AD1329" s="34" t="n">
        <v>46225</v>
      </c>
      <c r="AE1329" s="15" t="n">
        <v>32.68</v>
      </c>
      <c r="AF1329" s="15" t="n">
        <v>34.17</v>
      </c>
      <c r="AG1329" s="34" t="n">
        <v>46225</v>
      </c>
      <c r="AH1329" s="15" t="n">
        <v>32.04</v>
      </c>
      <c r="AI1329" s="15" t="n">
        <v>38.22</v>
      </c>
      <c r="AJ1329" s="34" t="n">
        <v>46225</v>
      </c>
      <c r="AK1329" s="15" t="n">
        <v>16.78</v>
      </c>
      <c r="AL1329" s="15" t="n">
        <v>41.63</v>
      </c>
      <c r="AM1329" s="34" t="n">
        <v>46225</v>
      </c>
      <c r="AN1329" s="15" t="n">
        <v>609.5</v>
      </c>
      <c r="AO1329" s="15" t="n">
        <v>372.26</v>
      </c>
      <c r="AP1329" s="34" t="n">
        <v>46225</v>
      </c>
      <c r="AQ1329" s="15" t="n">
        <v>57.5</v>
      </c>
      <c r="AR1329" s="15" t="n">
        <v>55.39</v>
      </c>
      <c r="AS1329" s="34" t="n">
        <v>46225</v>
      </c>
      <c r="AT1329" s="15" t="n">
        <v>12.42</v>
      </c>
      <c r="AU1329" s="15" t="n">
        <v>17.96</v>
      </c>
      <c r="AV1329" s="34" t="n">
        <v>46225</v>
      </c>
      <c r="AW1329" s="15" t="n">
        <v>31.82</v>
      </c>
      <c r="AX1329" s="15" t="n">
        <v>36.45</v>
      </c>
      <c r="AY1329" s="34" t="n">
        <v>46225</v>
      </c>
      <c r="AZ1329" s="15" t="n">
        <v>26.04</v>
      </c>
      <c r="BA1329" s="15" t="n">
        <v>38.36</v>
      </c>
      <c r="BB1329" s="34" t="n">
        <v>46225</v>
      </c>
      <c r="BC1329" s="15" t="n">
        <v>73.8</v>
      </c>
      <c r="BD1329" s="15" t="n">
        <v>87.7</v>
      </c>
      <c r="BE1329" s="34" t="n">
        <v>46225</v>
      </c>
      <c r="BF1329" s="15" t="n">
        <v>115.8</v>
      </c>
      <c r="BG1329" s="15" t="n">
        <v>183.21</v>
      </c>
      <c r="BH1329" s="34" t="n">
        <v>46225</v>
      </c>
      <c r="BI1329" s="15" t="n">
        <v>21.54</v>
      </c>
      <c r="BJ1329" s="15" t="n">
        <v>36.8</v>
      </c>
      <c r="BK1329" s="34" t="n">
        <v>46225</v>
      </c>
      <c r="BL1329" s="15" t="n">
        <v>67.3</v>
      </c>
      <c r="BM1329" s="15" t="n">
        <v>99.47</v>
      </c>
      <c r="BN1329" s="34" t="n">
        <v>46225</v>
      </c>
      <c r="BO1329" s="15" t="n">
        <v>7.93</v>
      </c>
      <c r="BP1329" s="15" t="n">
        <v>21.08</v>
      </c>
      <c r="BQ1329" s="34" t="n">
        <v>46225</v>
      </c>
      <c r="BR1329" s="15" t="n">
        <v>20.26</v>
      </c>
      <c r="BS1329" s="15" t="n">
        <v>19.85</v>
      </c>
      <c r="BT1329" s="34" t="n">
        <v>46225</v>
      </c>
      <c r="BU1329" s="15" t="n">
        <v>84.65000000000001</v>
      </c>
      <c r="BV1329" s="15" t="n">
        <v>167.06</v>
      </c>
      <c r="BW1329" s="34" t="n">
        <v>46225</v>
      </c>
      <c r="BX1329" s="15" t="n">
        <v>43.62</v>
      </c>
      <c r="BY1329" s="15" t="n">
        <v>55.98</v>
      </c>
      <c r="BZ1329" s="34" t="n">
        <v>46225</v>
      </c>
      <c r="CA1329" s="15" t="n">
        <v>12.71</v>
      </c>
      <c r="CB1329" s="15" t="n">
        <v>19.95</v>
      </c>
      <c r="CC1329" s="34" t="n">
        <v>46225</v>
      </c>
      <c r="CD1329" s="15" t="n">
        <v>24.7</v>
      </c>
      <c r="CE1329" s="15" t="n">
        <v>38.2</v>
      </c>
      <c r="CF1329" s="34" t="n">
        <v>46225</v>
      </c>
      <c r="CG1329" s="15" t="n">
        <v>155.2</v>
      </c>
      <c r="CH1329" s="15" t="n">
        <v>216.15</v>
      </c>
      <c r="CI1329" s="34" t="n">
        <v>46225</v>
      </c>
      <c r="CJ1329" s="15" t="n">
        <v>6.6</v>
      </c>
      <c r="CK1329" s="15" t="n">
        <v>16.54</v>
      </c>
      <c r="CL1329" s="34" t="n">
        <v>46225</v>
      </c>
      <c r="CM1329" s="15" t="n">
        <v>81.40000000000001</v>
      </c>
      <c r="CN1329" s="15" t="n">
        <v>101.98</v>
      </c>
      <c r="CO1329" s="34" t="n">
        <v>46225</v>
      </c>
      <c r="CP1329" s="15" t="n">
        <v>584</v>
      </c>
      <c r="CQ1329" s="15" t="n">
        <v>470</v>
      </c>
      <c r="CR1329" s="34" t="n">
        <v>46225</v>
      </c>
      <c r="CS1329" s="15" t="n">
        <v>21.74</v>
      </c>
      <c r="CT1329" s="15" t="n">
        <v>38.28</v>
      </c>
      <c r="CU1329" s="34" t="n">
        <v>46225</v>
      </c>
      <c r="CV1329" s="15" t="n">
        <v>112.4</v>
      </c>
      <c r="CW1329" s="15" t="n">
        <v>130.8</v>
      </c>
      <c r="CX1329" s="34" t="n">
        <v>46225</v>
      </c>
      <c r="CY1329" s="15" t="n">
        <v>32.6</v>
      </c>
      <c r="CZ1329" s="15" t="n">
        <v>50.1</v>
      </c>
      <c r="DA1329" s="34" t="n">
        <v>46225</v>
      </c>
      <c r="DB1329" s="15" t="n">
        <v>115.6</v>
      </c>
      <c r="DC1329" s="15" t="n">
        <v>250.05</v>
      </c>
      <c r="DD1329" s="34" t="n">
        <v>46225</v>
      </c>
      <c r="DE1329" s="15" t="n">
        <v>33.5</v>
      </c>
      <c r="DF1329" s="15" t="n">
        <v>39.44</v>
      </c>
      <c r="DG1329" s="34" t="n">
        <v>46225</v>
      </c>
      <c r="DH1329" s="15" t="n">
        <v>319.4</v>
      </c>
      <c r="DI1329" s="15" t="n">
        <v>223</v>
      </c>
      <c r="DJ1329" s="34" t="n">
        <v>46225</v>
      </c>
      <c r="DK1329" s="15" t="n">
        <v>29.24</v>
      </c>
      <c r="DL1329" s="15" t="n">
        <v>31.89</v>
      </c>
      <c r="DM1329" s="34" t="n">
        <v>46225</v>
      </c>
      <c r="DN1329" s="15" t="n">
        <v>10.32</v>
      </c>
      <c r="DO1329" s="15" t="n">
        <v>15.63</v>
      </c>
      <c r="DP1329" s="34" t="n">
        <v>46225</v>
      </c>
      <c r="DQ1329" s="15" t="n">
        <v>19.26</v>
      </c>
      <c r="DR1329" s="15" t="n">
        <v>32.99</v>
      </c>
      <c r="DS1329" s="34" t="n">
        <v>46225</v>
      </c>
      <c r="DT1329" s="15" t="n">
        <v>46</v>
      </c>
      <c r="DU1329" s="15" t="n">
        <v>77.02</v>
      </c>
      <c r="DV1329" s="34" t="n">
        <v>46225</v>
      </c>
      <c r="DW1329" s="15" t="n">
        <v>19</v>
      </c>
      <c r="DX1329" s="15" t="n">
        <v>42.99</v>
      </c>
      <c r="DY1329" s="34" t="n">
        <v>46225</v>
      </c>
      <c r="DZ1329" s="15" t="n">
        <v>122.4</v>
      </c>
      <c r="EA1329" s="15" t="n">
        <v>166.8</v>
      </c>
      <c r="EB1329" s="34" t="n">
        <v>46225</v>
      </c>
      <c r="EC1329" s="15" t="n">
        <v>9.210000000000001</v>
      </c>
      <c r="ED1329" s="15" t="n">
        <v>18.16</v>
      </c>
      <c r="EE1329" s="34" t="n">
        <v>46225</v>
      </c>
      <c r="EF1329" s="15" t="n">
        <v>226.8</v>
      </c>
      <c r="EG1329" s="15" t="n">
        <v>240.4</v>
      </c>
      <c r="EH1329" s="34" t="n">
        <v>46225</v>
      </c>
      <c r="EI1329" s="15" t="n">
        <v>74.2</v>
      </c>
      <c r="EJ1329" s="15" t="n">
        <v>87.67</v>
      </c>
      <c r="EK1329" s="34" t="n">
        <v>46225</v>
      </c>
      <c r="EL1329" s="15" t="n">
        <v>22.84</v>
      </c>
      <c r="EM1329" s="15" t="n">
        <v>33.69</v>
      </c>
      <c r="EN1329" s="34" t="n">
        <v>46225</v>
      </c>
      <c r="EO1329" s="15" t="n">
        <v>36.78</v>
      </c>
      <c r="EP1329" s="15" t="n">
        <v>52.89</v>
      </c>
      <c r="EQ1329" s="34" t="n">
        <v>46225</v>
      </c>
      <c r="ER1329" s="15" t="n">
        <v>31.6</v>
      </c>
      <c r="ES1329" s="15" t="n">
        <v>37.12</v>
      </c>
      <c r="ET1329" s="34" t="n">
        <v>46225</v>
      </c>
      <c r="EU1329" s="15" t="n">
        <v>7.38</v>
      </c>
      <c r="EV1329" s="15" t="n">
        <v>11.9</v>
      </c>
      <c r="EW1329" s="34" t="n">
        <v>46225</v>
      </c>
      <c r="EX1329" s="15" t="n">
        <v>89.59999999999999</v>
      </c>
      <c r="EY1329" s="15" t="n">
        <v>106.11</v>
      </c>
      <c r="EZ1329" s="34" t="n">
        <v>46225</v>
      </c>
      <c r="FA1329" s="15" t="n">
        <v>6.74</v>
      </c>
      <c r="FB1329" s="15" t="n">
        <v>12.13</v>
      </c>
      <c r="FC1329" s="34" t="n">
        <v>46225</v>
      </c>
      <c r="FD1329" s="15" t="n">
        <v>303</v>
      </c>
      <c r="FE1329" s="15" t="n">
        <v>401</v>
      </c>
      <c r="FF1329" s="34" t="n">
        <v>46225</v>
      </c>
      <c r="FG1329" s="15" t="n">
        <v>101.4</v>
      </c>
      <c r="FH1329" s="15" t="n">
        <v>116.67</v>
      </c>
      <c r="FI1329" s="34" t="n">
        <v>46225</v>
      </c>
      <c r="FJ1329" s="15" t="n">
        <v>26.2</v>
      </c>
      <c r="FK1329" s="15" t="n">
        <v>41.36</v>
      </c>
      <c r="FL1329" s="34" t="n">
        <v>46225</v>
      </c>
      <c r="FM1329" s="15" t="n">
        <v>56.5</v>
      </c>
      <c r="FN1329" s="15" t="n">
        <v>59.16</v>
      </c>
      <c r="FO1329" s="34" t="n">
        <v>46225</v>
      </c>
      <c r="FP1329" s="15" t="n">
        <v>98</v>
      </c>
      <c r="FQ1329" s="15" t="n">
        <v>102.98</v>
      </c>
      <c r="FR1329" s="34" t="n">
        <v>46225</v>
      </c>
      <c r="FS1329" s="15" t="n">
        <v>350</v>
      </c>
      <c r="FT1329" s="15" t="n">
        <v>401.38</v>
      </c>
      <c r="FU1329" s="34" t="n">
        <v>46225</v>
      </c>
      <c r="FV1329" s="15" t="n">
        <v>3.01</v>
      </c>
      <c r="FW1329" s="15" t="n">
        <v>5.65</v>
      </c>
      <c r="FX1329" s="34" t="n">
        <v>46225</v>
      </c>
      <c r="FY1329" s="15" t="n">
        <v>32.1</v>
      </c>
      <c r="FZ1329" s="15" t="n">
        <v>48.5</v>
      </c>
      <c r="GA1329" s="34" t="n">
        <v>46225</v>
      </c>
    </row>
    <row r="1330">
      <c r="A1330" s="34" t="n">
        <v>46226</v>
      </c>
      <c r="B1330" s="266" t="n">
        <v>1.157410979270935</v>
      </c>
      <c r="C1330" s="34" t="n">
        <v>46226</v>
      </c>
      <c r="D1330" s="15" t="n">
        <v>25.04</v>
      </c>
      <c r="E1330" s="15" t="n">
        <v>48.49</v>
      </c>
      <c r="F1330" s="34" t="n">
        <v>46226</v>
      </c>
      <c r="G1330" s="15" t="n">
        <v>118</v>
      </c>
      <c r="H1330" s="15" t="n">
        <v>163.54</v>
      </c>
      <c r="I1330" s="34" t="n">
        <v>46226</v>
      </c>
      <c r="J1330" s="15" t="n">
        <v>17.14</v>
      </c>
      <c r="K1330" s="15" t="n">
        <v>25.9</v>
      </c>
      <c r="L1330" s="34" t="n">
        <v>46226</v>
      </c>
      <c r="M1330" s="15" t="n">
        <v>34.42</v>
      </c>
      <c r="N1330" s="15" t="n">
        <v>46.38</v>
      </c>
      <c r="O1330" s="34" t="n">
        <v>46226</v>
      </c>
      <c r="P1330" s="15" t="n">
        <v>50.05</v>
      </c>
      <c r="Q1330" s="15" t="n">
        <v>55.24</v>
      </c>
      <c r="R1330" s="34" t="n">
        <v>46226</v>
      </c>
      <c r="S1330" s="15" t="n">
        <v>52.05</v>
      </c>
      <c r="T1330" s="15" t="n">
        <v>132.81</v>
      </c>
      <c r="U1330" s="34" t="n">
        <v>46226</v>
      </c>
      <c r="V1330" s="15" t="n">
        <v>12.72</v>
      </c>
      <c r="W1330" s="15" t="n">
        <v>16.69</v>
      </c>
      <c r="X1330" s="34" t="n">
        <v>46226</v>
      </c>
      <c r="Y1330" s="15" t="n">
        <v>96.25</v>
      </c>
      <c r="Z1330" s="15" t="n">
        <v>84.77</v>
      </c>
      <c r="AA1330" s="34" t="n">
        <v>46226</v>
      </c>
      <c r="AB1330" s="15" t="n">
        <v>9.98</v>
      </c>
      <c r="AC1330" s="15" t="n">
        <v>18.12</v>
      </c>
      <c r="AD1330" s="34" t="n">
        <v>46226</v>
      </c>
      <c r="AE1330" s="15" t="n">
        <v>33.02</v>
      </c>
      <c r="AF1330" s="15" t="n">
        <v>33.9</v>
      </c>
      <c r="AG1330" s="34" t="n">
        <v>46226</v>
      </c>
      <c r="AH1330" s="15" t="n">
        <v>32.02</v>
      </c>
      <c r="AI1330" s="15" t="n">
        <v>38.83</v>
      </c>
      <c r="AJ1330" s="34" t="n">
        <v>46226</v>
      </c>
      <c r="AK1330" s="15" t="n">
        <v>17</v>
      </c>
      <c r="AL1330" s="15" t="n">
        <v>43.25</v>
      </c>
      <c r="AM1330" s="34" t="n">
        <v>46226</v>
      </c>
      <c r="AN1330" s="15" t="n">
        <v>626.5</v>
      </c>
      <c r="AO1330" s="15" t="n">
        <v>385.99</v>
      </c>
      <c r="AP1330" s="34" t="n">
        <v>46226</v>
      </c>
      <c r="AQ1330" s="15" t="n">
        <v>57.7</v>
      </c>
      <c r="AR1330" s="15" t="n">
        <v>54.91</v>
      </c>
      <c r="AS1330" s="34" t="n">
        <v>46226</v>
      </c>
      <c r="AT1330" s="15" t="n">
        <v>12.2</v>
      </c>
      <c r="AU1330" s="15" t="n">
        <v>18.25</v>
      </c>
      <c r="AV1330" s="34" t="n">
        <v>46226</v>
      </c>
      <c r="AW1330" s="15" t="n">
        <v>31.88</v>
      </c>
      <c r="AX1330" s="15" t="n">
        <v>36.65</v>
      </c>
      <c r="AY1330" s="34" t="n">
        <v>46226</v>
      </c>
      <c r="AZ1330" s="15" t="n">
        <v>25.98</v>
      </c>
      <c r="BA1330" s="15" t="n">
        <v>37.19</v>
      </c>
      <c r="BB1330" s="34" t="n">
        <v>46226</v>
      </c>
      <c r="BC1330" s="15" t="n">
        <v>73.95</v>
      </c>
      <c r="BD1330" s="15" t="n">
        <v>87.12</v>
      </c>
      <c r="BE1330" s="34" t="n">
        <v>46226</v>
      </c>
      <c r="BF1330" s="15" t="n">
        <v>114.9</v>
      </c>
      <c r="BG1330" s="15" t="n">
        <v>172.26</v>
      </c>
      <c r="BH1330" s="34" t="n">
        <v>46226</v>
      </c>
      <c r="BI1330" s="15" t="n">
        <v>21.4</v>
      </c>
      <c r="BJ1330" s="15" t="n">
        <v>36.58</v>
      </c>
      <c r="BK1330" s="34" t="n">
        <v>46226</v>
      </c>
      <c r="BL1330" s="15" t="n">
        <v>65.8</v>
      </c>
      <c r="BM1330" s="15" t="n">
        <v>97.31999999999999</v>
      </c>
      <c r="BN1330" s="34" t="n">
        <v>46226</v>
      </c>
      <c r="BO1330" s="15" t="n">
        <v>7.63</v>
      </c>
      <c r="BP1330" s="15" t="n">
        <v>20.01</v>
      </c>
      <c r="BQ1330" s="34" t="n">
        <v>46226</v>
      </c>
      <c r="BR1330" s="15" t="n">
        <v>21</v>
      </c>
      <c r="BS1330" s="15" t="n">
        <v>19.97</v>
      </c>
      <c r="BT1330" s="34" t="n">
        <v>46226</v>
      </c>
      <c r="BU1330" s="15" t="n">
        <v>86.95</v>
      </c>
      <c r="BV1330" s="15" t="n">
        <v>169.03</v>
      </c>
      <c r="BW1330" s="34" t="n">
        <v>46226</v>
      </c>
      <c r="BX1330" s="15" t="n">
        <v>43.72</v>
      </c>
      <c r="BY1330" s="15" t="n">
        <v>56.38</v>
      </c>
      <c r="BZ1330" s="34" t="n">
        <v>46226</v>
      </c>
      <c r="CA1330" s="15" t="n">
        <v>12.94</v>
      </c>
      <c r="CB1330" s="15" t="n">
        <v>20.12</v>
      </c>
      <c r="CC1330" s="34" t="n">
        <v>46226</v>
      </c>
      <c r="CD1330" s="15" t="n">
        <v>26.94</v>
      </c>
      <c r="CE1330" s="15" t="n">
        <v>41.13</v>
      </c>
      <c r="CF1330" s="34" t="n">
        <v>46226</v>
      </c>
      <c r="CG1330" s="15" t="n">
        <v>145.2</v>
      </c>
      <c r="CH1330" s="15" t="n">
        <v>204.45</v>
      </c>
      <c r="CI1330" s="34" t="n">
        <v>46226</v>
      </c>
      <c r="CJ1330" s="15" t="n">
        <v>6.87</v>
      </c>
      <c r="CK1330" s="15" t="n">
        <v>17.12</v>
      </c>
      <c r="CL1330" s="34" t="n">
        <v>46226</v>
      </c>
      <c r="CM1330" s="15" t="n">
        <v>79.5</v>
      </c>
      <c r="CN1330" s="15" t="n">
        <v>96.66</v>
      </c>
      <c r="CO1330" s="34" t="n">
        <v>46226</v>
      </c>
      <c r="CP1330" s="15" t="n">
        <v>559.5</v>
      </c>
      <c r="CQ1330" s="15" t="n">
        <v>451.96</v>
      </c>
      <c r="CR1330" s="34" t="n">
        <v>46226</v>
      </c>
      <c r="CS1330" s="15" t="n">
        <v>21.6</v>
      </c>
      <c r="CT1330" s="15" t="n">
        <v>37.19</v>
      </c>
      <c r="CU1330" s="34" t="n">
        <v>46226</v>
      </c>
      <c r="CV1330" s="15" t="n">
        <v>109.8</v>
      </c>
      <c r="CW1330" s="15" t="n">
        <v>128.17</v>
      </c>
      <c r="CX1330" s="34" t="n">
        <v>46226</v>
      </c>
      <c r="CY1330" s="15" t="n">
        <v>31.16</v>
      </c>
      <c r="CZ1330" s="15" t="n">
        <v>49.41</v>
      </c>
      <c r="DA1330" s="34" t="n">
        <v>46226</v>
      </c>
      <c r="DB1330" s="15" t="n">
        <v>113</v>
      </c>
      <c r="DC1330" s="15" t="n">
        <v>249.58</v>
      </c>
      <c r="DD1330" s="34" t="n">
        <v>46226</v>
      </c>
      <c r="DE1330" s="15" t="n">
        <v>33.36</v>
      </c>
      <c r="DF1330" s="15" t="n">
        <v>39.7</v>
      </c>
      <c r="DG1330" s="34" t="n">
        <v>46226</v>
      </c>
      <c r="DH1330" s="15" t="n">
        <v>311.8</v>
      </c>
      <c r="DI1330" s="15" t="n">
        <v>225.5</v>
      </c>
      <c r="DJ1330" s="34" t="n">
        <v>46226</v>
      </c>
      <c r="DK1330" s="15" t="n">
        <v>29.84</v>
      </c>
      <c r="DL1330" s="15" t="n">
        <v>33.09</v>
      </c>
      <c r="DM1330" s="34" t="n">
        <v>46226</v>
      </c>
      <c r="DN1330" s="15" t="n">
        <v>10.49</v>
      </c>
      <c r="DO1330" s="15" t="n">
        <v>16.1</v>
      </c>
      <c r="DP1330" s="34" t="n">
        <v>46226</v>
      </c>
      <c r="DQ1330" s="15" t="n">
        <v>18.38</v>
      </c>
      <c r="DR1330" s="15" t="n">
        <v>31.31</v>
      </c>
      <c r="DS1330" s="34" t="n">
        <v>46226</v>
      </c>
      <c r="DT1330" s="15" t="n">
        <v>46</v>
      </c>
      <c r="DU1330" s="15" t="n">
        <v>76.66</v>
      </c>
      <c r="DV1330" s="34" t="n">
        <v>46226</v>
      </c>
      <c r="DW1330" s="15" t="n">
        <v>18.13</v>
      </c>
      <c r="DX1330" s="15" t="n">
        <v>40.36</v>
      </c>
      <c r="DY1330" s="34" t="n">
        <v>46226</v>
      </c>
      <c r="DZ1330" s="15" t="n">
        <v>116</v>
      </c>
      <c r="EA1330" s="15" t="n">
        <v>160.5</v>
      </c>
      <c r="EB1330" s="34" t="n">
        <v>46226</v>
      </c>
      <c r="EC1330" s="15" t="n">
        <v>9.17</v>
      </c>
      <c r="ED1330" s="15" t="n">
        <v>17.82</v>
      </c>
      <c r="EE1330" s="34" t="n">
        <v>46226</v>
      </c>
      <c r="EF1330" s="15" t="n">
        <v>230</v>
      </c>
      <c r="EG1330" s="15" t="n">
        <v>238.93</v>
      </c>
      <c r="EH1330" s="34" t="n">
        <v>46226</v>
      </c>
      <c r="EI1330" s="15" t="n">
        <v>69.34999999999999</v>
      </c>
      <c r="EJ1330" s="15" t="n">
        <v>88.88</v>
      </c>
      <c r="EK1330" s="34" t="n">
        <v>46226</v>
      </c>
      <c r="EL1330" s="15" t="n">
        <v>23.12</v>
      </c>
      <c r="EM1330" s="15" t="n">
        <v>33.15</v>
      </c>
      <c r="EN1330" s="34" t="n">
        <v>46226</v>
      </c>
      <c r="EO1330" s="15" t="n">
        <v>37.98</v>
      </c>
      <c r="EP1330" s="15" t="n">
        <v>53</v>
      </c>
      <c r="EQ1330" s="34" t="n">
        <v>46226</v>
      </c>
      <c r="ER1330" s="15" t="n">
        <v>37.72</v>
      </c>
      <c r="ES1330" s="15" t="n">
        <v>39.55</v>
      </c>
      <c r="ET1330" s="34" t="n">
        <v>46226</v>
      </c>
      <c r="EU1330" s="15" t="n">
        <v>7.88</v>
      </c>
      <c r="EV1330" s="15" t="n">
        <v>12.46</v>
      </c>
      <c r="EW1330" s="34" t="n">
        <v>46226</v>
      </c>
      <c r="EX1330" s="15" t="n">
        <v>98.7</v>
      </c>
      <c r="EY1330" s="15" t="n">
        <v>103.86</v>
      </c>
      <c r="EZ1330" s="34" t="n">
        <v>46226</v>
      </c>
      <c r="FA1330" s="15" t="n">
        <v>6.85</v>
      </c>
      <c r="FB1330" s="15" t="n">
        <v>12.2</v>
      </c>
      <c r="FC1330" s="34" t="n">
        <v>46226</v>
      </c>
      <c r="FD1330" s="15" t="n">
        <v>311</v>
      </c>
      <c r="FE1330" s="15" t="n">
        <v>384</v>
      </c>
      <c r="FF1330" s="34" t="n">
        <v>46226</v>
      </c>
      <c r="FG1330" s="15" t="n">
        <v>100.5</v>
      </c>
      <c r="FH1330" s="15" t="n">
        <v>117</v>
      </c>
      <c r="FI1330" s="34" t="n">
        <v>46226</v>
      </c>
      <c r="FJ1330" s="15" t="n">
        <v>28.16</v>
      </c>
      <c r="FK1330" s="15" t="n">
        <v>41.21</v>
      </c>
      <c r="FL1330" s="34" t="n">
        <v>46226</v>
      </c>
      <c r="FM1330" s="15" t="n">
        <v>59.05</v>
      </c>
      <c r="FN1330" s="15" t="n">
        <v>61.19</v>
      </c>
      <c r="FO1330" s="34" t="n">
        <v>46226</v>
      </c>
      <c r="FP1330" s="15" t="n">
        <v>100.7</v>
      </c>
      <c r="FQ1330" s="15" t="n">
        <v>105.55</v>
      </c>
      <c r="FR1330" s="34" t="n">
        <v>46226</v>
      </c>
      <c r="FS1330" s="15" t="n">
        <v>350</v>
      </c>
      <c r="FT1330" s="15" t="n">
        <v>402.1</v>
      </c>
      <c r="FU1330" s="34" t="n">
        <v>46226</v>
      </c>
      <c r="FV1330" s="15" t="n">
        <v>3.72</v>
      </c>
      <c r="FW1330" s="15" t="n">
        <v>6.22</v>
      </c>
      <c r="FX1330" s="34" t="n">
        <v>46226</v>
      </c>
      <c r="FY1330" s="15" t="n">
        <v>33.78</v>
      </c>
      <c r="FZ1330" s="15" t="n">
        <v>45.42</v>
      </c>
      <c r="GA1330" s="34" t="n">
        <v>46226</v>
      </c>
    </row>
    <row r="1331">
      <c r="A1331" s="34" t="n">
        <v>46227</v>
      </c>
      <c r="B1331" s="266" t="n">
        <v>1.15762197971344</v>
      </c>
      <c r="C1331" s="34" t="n">
        <v>46227</v>
      </c>
      <c r="D1331" s="15" t="n">
        <v>24.46</v>
      </c>
      <c r="E1331" s="15" t="n">
        <v>45.26</v>
      </c>
      <c r="F1331" s="34" t="n">
        <v>46227</v>
      </c>
      <c r="G1331" s="15" t="n">
        <v>115.5</v>
      </c>
      <c r="H1331" s="15" t="n">
        <v>158.22</v>
      </c>
      <c r="I1331" s="34" t="n">
        <v>46227</v>
      </c>
      <c r="J1331" s="15" t="n">
        <v>16.43</v>
      </c>
      <c r="K1331" s="15" t="n">
        <v>24.23</v>
      </c>
      <c r="L1331" s="34" t="n">
        <v>46227</v>
      </c>
      <c r="M1331" s="15" t="n">
        <v>32.94</v>
      </c>
      <c r="N1331" s="15" t="n">
        <v>43.88</v>
      </c>
      <c r="O1331" s="34" t="n">
        <v>46227</v>
      </c>
      <c r="P1331" s="15" t="n">
        <v>48.84</v>
      </c>
      <c r="Q1331" s="15" t="n">
        <v>53.2</v>
      </c>
      <c r="R1331" s="34" t="n">
        <v>46227</v>
      </c>
      <c r="S1331" s="15" t="n">
        <v>52.05</v>
      </c>
      <c r="T1331" s="15" t="n">
        <v>127.75</v>
      </c>
      <c r="U1331" s="34" t="n">
        <v>46227</v>
      </c>
      <c r="V1331" s="15" t="n">
        <v>12.68</v>
      </c>
      <c r="W1331" s="15" t="n">
        <v>16.12</v>
      </c>
      <c r="X1331" s="34" t="n">
        <v>46227</v>
      </c>
      <c r="Y1331" s="15" t="n">
        <v>94.75</v>
      </c>
      <c r="Z1331" s="15" t="n">
        <v>84.5</v>
      </c>
      <c r="AA1331" s="34" t="n">
        <v>46227</v>
      </c>
      <c r="AB1331" s="15" t="n">
        <v>9.59</v>
      </c>
      <c r="AC1331" s="15" t="n">
        <v>17.24</v>
      </c>
      <c r="AD1331" s="34" t="n">
        <v>46227</v>
      </c>
      <c r="AE1331" s="15" t="n">
        <v>32.76</v>
      </c>
      <c r="AF1331" s="15" t="n">
        <v>33.5</v>
      </c>
      <c r="AG1331" s="34" t="n">
        <v>46227</v>
      </c>
      <c r="AH1331" s="15" t="n">
        <v>31.24</v>
      </c>
      <c r="AI1331" s="15" t="n">
        <v>36.49</v>
      </c>
      <c r="AJ1331" s="34" t="n">
        <v>46227</v>
      </c>
      <c r="AK1331" s="15" t="n">
        <v>16.09</v>
      </c>
      <c r="AL1331" s="15" t="n">
        <v>41.34</v>
      </c>
      <c r="AM1331" s="34" t="n">
        <v>46227</v>
      </c>
      <c r="AN1331" s="15" t="n">
        <v>622</v>
      </c>
      <c r="AO1331" s="15" t="n">
        <v>383.01</v>
      </c>
      <c r="AP1331" s="34" t="n">
        <v>46227</v>
      </c>
      <c r="AQ1331" s="15" t="n">
        <v>56.65</v>
      </c>
      <c r="AR1331" s="15" t="n">
        <v>53.45</v>
      </c>
      <c r="AS1331" s="34" t="n">
        <v>46227</v>
      </c>
      <c r="AT1331" s="15" t="n">
        <v>11.83</v>
      </c>
      <c r="AU1331" s="15" t="n">
        <v>17.84</v>
      </c>
      <c r="AV1331" s="34" t="n">
        <v>46227</v>
      </c>
      <c r="AW1331" s="15" t="n">
        <v>31.52</v>
      </c>
      <c r="AX1331" s="15" t="n">
        <v>35.85</v>
      </c>
      <c r="AY1331" s="34" t="n">
        <v>46227</v>
      </c>
      <c r="AZ1331" s="15" t="n">
        <v>25.02</v>
      </c>
      <c r="BA1331" s="15" t="n">
        <v>35.05</v>
      </c>
      <c r="BB1331" s="34" t="n">
        <v>46227</v>
      </c>
      <c r="BC1331" s="15" t="n">
        <v>72.5</v>
      </c>
      <c r="BD1331" s="15" t="n">
        <v>84.59999999999999</v>
      </c>
      <c r="BE1331" s="34" t="n">
        <v>46227</v>
      </c>
      <c r="BF1331" s="15" t="n">
        <v>111</v>
      </c>
      <c r="BG1331" s="15" t="n">
        <v>163.37</v>
      </c>
      <c r="BH1331" s="34" t="n">
        <v>46227</v>
      </c>
      <c r="BI1331" s="15" t="n">
        <v>21.86</v>
      </c>
      <c r="BJ1331" s="15" t="n">
        <v>37.32</v>
      </c>
      <c r="BK1331" s="34" t="n">
        <v>46227</v>
      </c>
      <c r="BL1331" s="15" t="n">
        <v>61.85</v>
      </c>
      <c r="BM1331" s="15" t="n">
        <v>95.81</v>
      </c>
      <c r="BN1331" s="34" t="n">
        <v>46227</v>
      </c>
      <c r="BO1331" s="15" t="n">
        <v>7.48</v>
      </c>
      <c r="BP1331" s="15" t="n">
        <v>19.83</v>
      </c>
      <c r="BQ1331" s="34" t="n">
        <v>46227</v>
      </c>
      <c r="BR1331" s="15" t="n">
        <v>20.28</v>
      </c>
      <c r="BS1331" s="15" t="n">
        <v>19.58</v>
      </c>
      <c r="BT1331" s="34" t="n">
        <v>46227</v>
      </c>
      <c r="BU1331" s="15" t="n">
        <v>84.2</v>
      </c>
      <c r="BV1331" s="15" t="n">
        <v>166.8</v>
      </c>
      <c r="BW1331" s="34" t="n">
        <v>46227</v>
      </c>
      <c r="BX1331" s="15" t="n">
        <v>42.1</v>
      </c>
      <c r="BY1331" s="15" t="n">
        <v>54.33</v>
      </c>
      <c r="BZ1331" s="34" t="n">
        <v>46227</v>
      </c>
      <c r="CA1331" s="15" t="n">
        <v>12.87</v>
      </c>
      <c r="CB1331" s="15" t="n">
        <v>19.19</v>
      </c>
      <c r="CC1331" s="34" t="n">
        <v>46227</v>
      </c>
      <c r="CD1331" s="15" t="n">
        <v>26.32</v>
      </c>
      <c r="CE1331" s="15" t="n">
        <v>39.96</v>
      </c>
      <c r="CF1331" s="34" t="n">
        <v>46227</v>
      </c>
      <c r="CG1331" s="15" t="n">
        <v>140.4</v>
      </c>
      <c r="CH1331" s="15" t="n">
        <v>201.55</v>
      </c>
      <c r="CI1331" s="34" t="n">
        <v>46227</v>
      </c>
      <c r="CJ1331" s="15" t="n">
        <v>6.64</v>
      </c>
      <c r="CK1331" s="15" t="n">
        <v>16.39</v>
      </c>
      <c r="CL1331" s="34" t="n">
        <v>46227</v>
      </c>
      <c r="CM1331" s="15" t="n">
        <v>80.90000000000001</v>
      </c>
      <c r="CN1331" s="15" t="n">
        <v>96.90000000000001</v>
      </c>
      <c r="CO1331" s="34" t="n">
        <v>46227</v>
      </c>
      <c r="CP1331" s="15" t="n">
        <v>568</v>
      </c>
      <c r="CQ1331" s="15" t="n">
        <v>457</v>
      </c>
      <c r="CR1331" s="34" t="n">
        <v>46227</v>
      </c>
      <c r="CS1331" s="15" t="n">
        <v>21.14</v>
      </c>
      <c r="CT1331" s="15" t="n">
        <v>36.67</v>
      </c>
      <c r="CU1331" s="34" t="n">
        <v>46227</v>
      </c>
      <c r="CV1331" s="15" t="n">
        <v>108.6</v>
      </c>
      <c r="CW1331" s="15" t="n">
        <v>125.82</v>
      </c>
      <c r="CX1331" s="34" t="n">
        <v>46227</v>
      </c>
      <c r="CY1331" s="15" t="n">
        <v>29.84</v>
      </c>
      <c r="CZ1331" s="15" t="n">
        <v>46.5</v>
      </c>
      <c r="DA1331" s="34" t="n">
        <v>46227</v>
      </c>
      <c r="DB1331" s="15" t="n">
        <v>107</v>
      </c>
      <c r="DC1331" s="15" t="n">
        <v>260.34</v>
      </c>
      <c r="DD1331" s="34" t="n">
        <v>46227</v>
      </c>
      <c r="DE1331" s="15" t="n">
        <v>32.44</v>
      </c>
      <c r="DF1331" s="15" t="n">
        <v>38.68</v>
      </c>
      <c r="DG1331" s="34" t="n">
        <v>46227</v>
      </c>
      <c r="DH1331" s="15" t="n">
        <v>332.6</v>
      </c>
      <c r="DI1331" s="15" t="n">
        <v>233.66</v>
      </c>
      <c r="DJ1331" s="34" t="n">
        <v>46227</v>
      </c>
      <c r="DK1331" s="15" t="n">
        <v>28.82</v>
      </c>
      <c r="DL1331" s="15" t="n">
        <v>32.02</v>
      </c>
      <c r="DM1331" s="34" t="n">
        <v>46227</v>
      </c>
      <c r="DN1331" s="15" t="n">
        <v>10.14</v>
      </c>
      <c r="DO1331" s="15" t="n">
        <v>15.48</v>
      </c>
      <c r="DP1331" s="34" t="n">
        <v>46227</v>
      </c>
      <c r="DQ1331" s="15" t="n">
        <v>17.58</v>
      </c>
      <c r="DR1331" s="15" t="n">
        <v>30.04</v>
      </c>
      <c r="DS1331" s="34" t="n">
        <v>46227</v>
      </c>
      <c r="DT1331" s="15" t="n">
        <v>43.52</v>
      </c>
      <c r="DU1331" s="15" t="n">
        <v>73.62</v>
      </c>
      <c r="DV1331" s="34" t="n">
        <v>46227</v>
      </c>
      <c r="DW1331" s="15" t="n">
        <v>17.2</v>
      </c>
      <c r="DX1331" s="15" t="n">
        <v>38.24</v>
      </c>
      <c r="DY1331" s="34" t="n">
        <v>46227</v>
      </c>
      <c r="DZ1331" s="15" t="n">
        <v>113.3</v>
      </c>
      <c r="EA1331" s="15" t="n">
        <v>160.5</v>
      </c>
      <c r="EB1331" s="34" t="n">
        <v>46227</v>
      </c>
      <c r="EC1331" s="15" t="n">
        <v>8.869999999999999</v>
      </c>
      <c r="ED1331" s="15" t="n">
        <v>17.27</v>
      </c>
      <c r="EE1331" s="34" t="n">
        <v>46227</v>
      </c>
      <c r="EF1331" s="15" t="n">
        <v>214.4</v>
      </c>
      <c r="EG1331" s="15" t="n">
        <v>230.01</v>
      </c>
      <c r="EH1331" s="34" t="n">
        <v>46227</v>
      </c>
      <c r="EI1331" s="15" t="n">
        <v>68.34999999999999</v>
      </c>
      <c r="EJ1331" s="15" t="n">
        <v>88.19</v>
      </c>
      <c r="EK1331" s="34" t="n">
        <v>46227</v>
      </c>
      <c r="EL1331" s="15" t="n">
        <v>22</v>
      </c>
      <c r="EM1331" s="15" t="n">
        <v>31.09</v>
      </c>
      <c r="EN1331" s="34" t="n">
        <v>46227</v>
      </c>
      <c r="EO1331" s="15" t="n">
        <v>39</v>
      </c>
      <c r="EP1331" s="15" t="n">
        <v>53.73</v>
      </c>
      <c r="EQ1331" s="34" t="n">
        <v>46227</v>
      </c>
      <c r="ER1331" s="15" t="n">
        <v>32.8</v>
      </c>
      <c r="ES1331" s="15" t="n">
        <v>38.19</v>
      </c>
      <c r="ET1331" s="34" t="n">
        <v>46227</v>
      </c>
      <c r="EU1331" s="15" t="n">
        <v>7.6</v>
      </c>
      <c r="EV1331" s="15" t="n">
        <v>12.04</v>
      </c>
      <c r="EW1331" s="34" t="n">
        <v>46227</v>
      </c>
      <c r="EX1331" s="15" t="n">
        <v>89.5</v>
      </c>
      <c r="EY1331" s="15" t="n">
        <v>100.41</v>
      </c>
      <c r="EZ1331" s="34" t="n">
        <v>46227</v>
      </c>
      <c r="FA1331" s="15" t="n">
        <v>6.66</v>
      </c>
      <c r="FB1331" s="15" t="n">
        <v>12.09</v>
      </c>
      <c r="FC1331" s="34" t="n">
        <v>46227</v>
      </c>
      <c r="FD1331" s="15" t="n">
        <v>281.4</v>
      </c>
      <c r="FE1331" s="15" t="n">
        <v>408.8</v>
      </c>
      <c r="FF1331" s="34" t="n">
        <v>46227</v>
      </c>
      <c r="FG1331" s="15" t="n">
        <v>101.2</v>
      </c>
      <c r="FH1331" s="15" t="n">
        <v>114.26</v>
      </c>
      <c r="FI1331" s="34" t="n">
        <v>46227</v>
      </c>
      <c r="FJ1331" s="15" t="n">
        <v>26.68</v>
      </c>
      <c r="FK1331" s="15" t="n">
        <v>40.34</v>
      </c>
      <c r="FL1331" s="34" t="n">
        <v>46227</v>
      </c>
      <c r="FM1331" s="15" t="n">
        <v>62</v>
      </c>
      <c r="FN1331" s="15" t="n">
        <v>60.59</v>
      </c>
      <c r="FO1331" s="34" t="n">
        <v>46227</v>
      </c>
      <c r="FP1331" s="15" t="n">
        <v>101</v>
      </c>
      <c r="FQ1331" s="15" t="n">
        <v>100.84</v>
      </c>
      <c r="FR1331" s="34" t="n">
        <v>46227</v>
      </c>
      <c r="FS1331" s="15" t="n">
        <v>337.2</v>
      </c>
      <c r="FT1331" s="15" t="n">
        <v>396.6</v>
      </c>
      <c r="FU1331" s="34" t="n">
        <v>46227</v>
      </c>
      <c r="FV1331" s="15" t="n">
        <v>3.31</v>
      </c>
      <c r="FW1331" s="15" t="n">
        <v>6.54</v>
      </c>
      <c r="FX1331" s="34" t="n">
        <v>46227</v>
      </c>
      <c r="FY1331" s="15" t="n">
        <v>34.46</v>
      </c>
      <c r="FZ1331" s="15" t="n">
        <v>46.79</v>
      </c>
      <c r="GA1331" s="34" t="n">
        <v>46227</v>
      </c>
    </row>
    <row r="1332">
      <c r="A1332" s="34" t="n">
        <v>46230</v>
      </c>
      <c r="B1332" s="266" t="n">
        <v>1.15789794921875</v>
      </c>
      <c r="C1332" s="34" t="n">
        <v>46230</v>
      </c>
      <c r="D1332" s="15" t="n">
        <v>25.02</v>
      </c>
      <c r="E1332" s="15" t="n">
        <v>49.7</v>
      </c>
      <c r="F1332" s="34" t="n">
        <v>46230</v>
      </c>
      <c r="G1332" s="15" t="n">
        <v>118.2</v>
      </c>
      <c r="H1332" s="15" t="n">
        <v>162.95</v>
      </c>
      <c r="I1332" s="34" t="n">
        <v>46230</v>
      </c>
      <c r="J1332" s="15" t="n">
        <v>16.63</v>
      </c>
      <c r="K1332" s="15" t="n">
        <v>24.75</v>
      </c>
      <c r="L1332" s="34" t="n">
        <v>46230</v>
      </c>
      <c r="M1332" s="15" t="n">
        <v>33.32</v>
      </c>
      <c r="N1332" s="15" t="n">
        <v>45.21</v>
      </c>
      <c r="O1332" s="34" t="n">
        <v>46230</v>
      </c>
      <c r="P1332" s="15" t="n">
        <v>49.64</v>
      </c>
      <c r="Q1332" s="15" t="n">
        <v>54.44</v>
      </c>
      <c r="R1332" s="34" t="n">
        <v>46230</v>
      </c>
      <c r="S1332" s="15" t="n">
        <v>54.1</v>
      </c>
      <c r="T1332" s="15" t="n">
        <v>135.99</v>
      </c>
      <c r="U1332" s="34" t="n">
        <v>46230</v>
      </c>
      <c r="V1332" s="15" t="n">
        <v>12.87</v>
      </c>
      <c r="W1332" s="15" t="n">
        <v>16.89</v>
      </c>
      <c r="X1332" s="34" t="n">
        <v>46230</v>
      </c>
      <c r="Y1332" s="15" t="n">
        <v>94.84999999999999</v>
      </c>
      <c r="Z1332" s="15" t="n">
        <v>84.13</v>
      </c>
      <c r="AA1332" s="34" t="n">
        <v>46230</v>
      </c>
      <c r="AB1332" s="15" t="n">
        <v>10.3</v>
      </c>
      <c r="AC1332" s="15" t="n">
        <v>18.96</v>
      </c>
      <c r="AD1332" s="34" t="n">
        <v>46230</v>
      </c>
      <c r="AE1332" s="15" t="n">
        <v>33</v>
      </c>
      <c r="AF1332" s="15" t="n">
        <v>33.76</v>
      </c>
      <c r="AG1332" s="34" t="n">
        <v>46230</v>
      </c>
      <c r="AH1332" s="15" t="n">
        <v>32.02</v>
      </c>
      <c r="AI1332" s="15" t="n">
        <v>38.14</v>
      </c>
      <c r="AJ1332" s="34" t="n">
        <v>46230</v>
      </c>
      <c r="AK1332" s="15" t="n">
        <v>16.49</v>
      </c>
      <c r="AL1332" s="15" t="n">
        <v>42.7</v>
      </c>
      <c r="AM1332" s="34" t="n">
        <v>46230</v>
      </c>
      <c r="AN1332" s="15" t="n">
        <v>635</v>
      </c>
      <c r="AO1332" s="15" t="n">
        <v>400</v>
      </c>
      <c r="AP1332" s="34" t="n">
        <v>46230</v>
      </c>
      <c r="AQ1332" s="15" t="n">
        <v>57.05</v>
      </c>
      <c r="AR1332" s="15" t="n">
        <v>53.6</v>
      </c>
      <c r="AS1332" s="34" t="n">
        <v>46230</v>
      </c>
      <c r="AT1332" s="15" t="n">
        <v>12.17</v>
      </c>
      <c r="AU1332" s="15" t="n">
        <v>18.09</v>
      </c>
      <c r="AV1332" s="34" t="n">
        <v>46230</v>
      </c>
      <c r="AW1332" s="15" t="n">
        <v>31.88</v>
      </c>
      <c r="AX1332" s="15" t="n">
        <v>36.02</v>
      </c>
      <c r="AY1332" s="34" t="n">
        <v>46230</v>
      </c>
      <c r="AZ1332" s="15" t="n">
        <v>25.82</v>
      </c>
      <c r="BA1332" s="15" t="n">
        <v>36.03</v>
      </c>
      <c r="BB1332" s="34" t="n">
        <v>46230</v>
      </c>
      <c r="BC1332" s="15" t="n">
        <v>73.45</v>
      </c>
      <c r="BD1332" s="15" t="n">
        <v>85.48</v>
      </c>
      <c r="BE1332" s="34" t="n">
        <v>46230</v>
      </c>
      <c r="BF1332" s="15" t="n">
        <v>109.6</v>
      </c>
      <c r="BG1332" s="15" t="n">
        <v>168.27</v>
      </c>
      <c r="BH1332" s="34" t="n">
        <v>46230</v>
      </c>
      <c r="BI1332" s="15" t="n">
        <v>22.22</v>
      </c>
      <c r="BJ1332" s="15" t="n">
        <v>36.63</v>
      </c>
      <c r="BK1332" s="34" t="n">
        <v>46230</v>
      </c>
      <c r="BL1332" s="15" t="n">
        <v>62.65</v>
      </c>
      <c r="BM1332" s="15" t="n">
        <v>100</v>
      </c>
      <c r="BN1332" s="34" t="n">
        <v>46230</v>
      </c>
      <c r="BO1332" s="15" t="n">
        <v>7.59</v>
      </c>
      <c r="BP1332" s="15" t="n">
        <v>19.93</v>
      </c>
      <c r="BQ1332" s="34" t="n">
        <v>46230</v>
      </c>
      <c r="BR1332" s="15" t="n">
        <v>20.5</v>
      </c>
      <c r="BS1332" s="15" t="n">
        <v>19.4</v>
      </c>
      <c r="BT1332" s="34" t="n">
        <v>46230</v>
      </c>
      <c r="BU1332" s="15" t="n">
        <v>89.05</v>
      </c>
      <c r="BV1332" s="15" t="n">
        <v>173.78</v>
      </c>
      <c r="BW1332" s="34" t="n">
        <v>46230</v>
      </c>
      <c r="BX1332" s="15" t="n">
        <v>43.5</v>
      </c>
      <c r="BY1332" s="15" t="n">
        <v>55.41</v>
      </c>
      <c r="BZ1332" s="34" t="n">
        <v>46230</v>
      </c>
      <c r="CA1332" s="15" t="n">
        <v>13.17</v>
      </c>
      <c r="CB1332" s="15" t="n">
        <v>20.16</v>
      </c>
      <c r="CC1332" s="34" t="n">
        <v>46230</v>
      </c>
      <c r="CD1332" s="15" t="n">
        <v>26.7</v>
      </c>
      <c r="CE1332" s="15" t="n">
        <v>40.68</v>
      </c>
      <c r="CF1332" s="34" t="n">
        <v>46230</v>
      </c>
      <c r="CG1332" s="15" t="n">
        <v>145.5</v>
      </c>
      <c r="CH1332" s="15" t="n">
        <v>203.47</v>
      </c>
      <c r="CI1332" s="34" t="n">
        <v>46230</v>
      </c>
      <c r="CJ1332" s="15" t="n">
        <v>6.65</v>
      </c>
      <c r="CK1332" s="15" t="n">
        <v>16.69</v>
      </c>
      <c r="CL1332" s="34" t="n">
        <v>46230</v>
      </c>
      <c r="CM1332" s="15" t="n">
        <v>79.95</v>
      </c>
      <c r="CN1332" s="15" t="n">
        <v>95.31</v>
      </c>
      <c r="CO1332" s="34" t="n">
        <v>46230</v>
      </c>
      <c r="CP1332" s="15" t="n">
        <v>546</v>
      </c>
      <c r="CQ1332" s="15" t="n">
        <v>434.03</v>
      </c>
      <c r="CR1332" s="34" t="n">
        <v>46230</v>
      </c>
      <c r="CS1332" s="15" t="n">
        <v>21.58</v>
      </c>
      <c r="CT1332" s="15" t="n">
        <v>37.1</v>
      </c>
      <c r="CU1332" s="34" t="n">
        <v>46230</v>
      </c>
      <c r="CV1332" s="15" t="n">
        <v>109.9</v>
      </c>
      <c r="CW1332" s="15" t="n">
        <v>128.38</v>
      </c>
      <c r="CX1332" s="34" t="n">
        <v>46230</v>
      </c>
      <c r="CY1332" s="15" t="n">
        <v>33.1</v>
      </c>
      <c r="CZ1332" s="15" t="n">
        <v>49.06</v>
      </c>
      <c r="DA1332" s="34" t="n">
        <v>46230</v>
      </c>
      <c r="DB1332" s="15" t="n">
        <v>111.7</v>
      </c>
      <c r="DC1332" s="15" t="n">
        <v>265.17</v>
      </c>
      <c r="DD1332" s="34" t="n">
        <v>46230</v>
      </c>
      <c r="DE1332" s="15" t="n">
        <v>32.5</v>
      </c>
      <c r="DF1332" s="15" t="n">
        <v>39.33</v>
      </c>
      <c r="DG1332" s="34" t="n">
        <v>46230</v>
      </c>
      <c r="DH1332" s="15" t="n">
        <v>322</v>
      </c>
      <c r="DI1332" s="15" t="n">
        <v>227.45</v>
      </c>
      <c r="DJ1332" s="34" t="n">
        <v>46230</v>
      </c>
      <c r="DK1332" s="15" t="n">
        <v>29.7</v>
      </c>
      <c r="DL1332" s="15" t="n">
        <v>33.51</v>
      </c>
      <c r="DM1332" s="34" t="n">
        <v>46230</v>
      </c>
      <c r="DN1332" s="15" t="n">
        <v>10.38</v>
      </c>
      <c r="DO1332" s="15" t="n">
        <v>15.96</v>
      </c>
      <c r="DP1332" s="34" t="n">
        <v>46230</v>
      </c>
      <c r="DQ1332" s="15" t="n">
        <v>18.33</v>
      </c>
      <c r="DR1332" s="15" t="n">
        <v>31.55</v>
      </c>
      <c r="DS1332" s="34" t="n">
        <v>46230</v>
      </c>
      <c r="DT1332" s="15" t="n">
        <v>45.2</v>
      </c>
      <c r="DU1332" s="15" t="n">
        <v>75.81</v>
      </c>
      <c r="DV1332" s="34" t="n">
        <v>46230</v>
      </c>
      <c r="DW1332" s="15" t="n">
        <v>17.25</v>
      </c>
      <c r="DX1332" s="15" t="n">
        <v>38.66</v>
      </c>
      <c r="DY1332" s="34" t="n">
        <v>46230</v>
      </c>
      <c r="DZ1332" s="15" t="n">
        <v>118</v>
      </c>
      <c r="EA1332" s="15" t="n">
        <v>167.51</v>
      </c>
      <c r="EB1332" s="34" t="n">
        <v>46230</v>
      </c>
      <c r="EC1332" s="15" t="n">
        <v>9.039999999999999</v>
      </c>
      <c r="ED1332" s="15" t="n">
        <v>17.68</v>
      </c>
      <c r="EE1332" s="34" t="n">
        <v>46230</v>
      </c>
      <c r="EF1332" s="15" t="n">
        <v>227.8</v>
      </c>
      <c r="EG1332" s="15" t="n">
        <v>238.66</v>
      </c>
      <c r="EH1332" s="34" t="n">
        <v>46230</v>
      </c>
      <c r="EI1332" s="15" t="n">
        <v>67.25</v>
      </c>
      <c r="EJ1332" s="15" t="n">
        <v>86.93000000000001</v>
      </c>
      <c r="EK1332" s="34" t="n">
        <v>46230</v>
      </c>
      <c r="EL1332" s="15" t="n">
        <v>21.96</v>
      </c>
      <c r="EM1332" s="15" t="n">
        <v>31.61</v>
      </c>
      <c r="EN1332" s="34" t="n">
        <v>46230</v>
      </c>
      <c r="EO1332" s="15" t="n">
        <v>37</v>
      </c>
      <c r="EP1332" s="15" t="n">
        <v>54.05</v>
      </c>
      <c r="EQ1332" s="34" t="n">
        <v>46230</v>
      </c>
      <c r="ER1332" s="15" t="n">
        <v>36.6</v>
      </c>
      <c r="ES1332" s="15" t="n">
        <v>40.54</v>
      </c>
      <c r="ET1332" s="34" t="n">
        <v>46230</v>
      </c>
      <c r="EU1332" s="15" t="n">
        <v>7.78</v>
      </c>
      <c r="EV1332" s="15" t="n">
        <v>12.53</v>
      </c>
      <c r="EW1332" s="34" t="n">
        <v>46230</v>
      </c>
      <c r="EX1332" s="15" t="n">
        <v>96.90000000000001</v>
      </c>
      <c r="EY1332" s="15" t="n">
        <v>98.89</v>
      </c>
      <c r="EZ1332" s="34" t="n">
        <v>46230</v>
      </c>
      <c r="FA1332" s="15" t="n">
        <v>6.75</v>
      </c>
      <c r="FB1332" s="15" t="n">
        <v>12.4</v>
      </c>
      <c r="FC1332" s="34" t="n">
        <v>46230</v>
      </c>
      <c r="FD1332" s="15" t="n">
        <v>335.8</v>
      </c>
      <c r="FE1332" s="15" t="n">
        <v>420.9</v>
      </c>
      <c r="FF1332" s="34" t="n">
        <v>46230</v>
      </c>
      <c r="FG1332" s="15" t="n">
        <v>104.3</v>
      </c>
      <c r="FH1332" s="15" t="n">
        <v>119.22</v>
      </c>
      <c r="FI1332" s="34" t="n">
        <v>46230</v>
      </c>
      <c r="FJ1332" s="15" t="n">
        <v>27.08</v>
      </c>
      <c r="FK1332" s="15" t="n">
        <v>42.74</v>
      </c>
      <c r="FL1332" s="34" t="n">
        <v>46230</v>
      </c>
      <c r="FM1332" s="15" t="n">
        <v>63.25</v>
      </c>
      <c r="FN1332" s="15" t="n">
        <v>62.89</v>
      </c>
      <c r="FO1332" s="34" t="n">
        <v>46230</v>
      </c>
      <c r="FP1332" s="15" t="n">
        <v>103.9</v>
      </c>
      <c r="FQ1332" s="15" t="n">
        <v>111.57</v>
      </c>
      <c r="FR1332" s="34" t="n">
        <v>46230</v>
      </c>
      <c r="FS1332" s="15" t="n">
        <v>362</v>
      </c>
      <c r="FT1332" s="15" t="n">
        <v>414.38</v>
      </c>
      <c r="FU1332" s="34" t="n">
        <v>46230</v>
      </c>
      <c r="FV1332" s="15" t="n">
        <v>3.51</v>
      </c>
      <c r="FW1332" s="15" t="n">
        <v>7.06</v>
      </c>
      <c r="FX1332" s="34" t="n">
        <v>46230</v>
      </c>
      <c r="FY1332" s="15" t="n">
        <v>32.38</v>
      </c>
      <c r="FZ1332" s="15" t="n">
        <v>44.38</v>
      </c>
      <c r="GA1332" s="34" t="n">
        <v>46230</v>
      </c>
    </row>
    <row r="1333">
      <c r="A1333" s="34" t="n">
        <v>46231</v>
      </c>
      <c r="B1333" s="266" t="n">
        <v>1.158699035644531</v>
      </c>
      <c r="C1333" s="34" t="n">
        <v>46231</v>
      </c>
      <c r="D1333" s="15" t="n">
        <v>23.9</v>
      </c>
      <c r="E1333" s="15" t="n">
        <v>45.57</v>
      </c>
      <c r="F1333" s="34" t="n">
        <v>46231</v>
      </c>
      <c r="G1333" s="15" t="n">
        <v>117.2</v>
      </c>
      <c r="H1333" s="15" t="n">
        <v>157.36</v>
      </c>
      <c r="I1333" s="34" t="n">
        <v>46231</v>
      </c>
      <c r="J1333" s="15" t="n">
        <v>16.3</v>
      </c>
      <c r="K1333" s="15" t="n">
        <v>24.2</v>
      </c>
      <c r="L1333" s="34" t="n">
        <v>46231</v>
      </c>
      <c r="M1333" s="15" t="n">
        <v>32.34</v>
      </c>
      <c r="N1333" s="15" t="n">
        <v>44.44</v>
      </c>
      <c r="O1333" s="34" t="n">
        <v>46231</v>
      </c>
      <c r="P1333" s="15" t="n">
        <v>50.65</v>
      </c>
      <c r="Q1333" s="15" t="n">
        <v>55.51</v>
      </c>
      <c r="R1333" s="34" t="n">
        <v>46231</v>
      </c>
      <c r="S1333" s="15" t="n">
        <v>54.7</v>
      </c>
      <c r="T1333" s="15" t="n">
        <v>139</v>
      </c>
      <c r="U1333" s="34" t="n">
        <v>46231</v>
      </c>
      <c r="V1333" s="15" t="n">
        <v>12.42</v>
      </c>
      <c r="W1333" s="15" t="n">
        <v>16.7</v>
      </c>
      <c r="X1333" s="34" t="n">
        <v>46231</v>
      </c>
      <c r="Y1333" s="15" t="n">
        <v>96.34999999999999</v>
      </c>
      <c r="Z1333" s="15" t="n">
        <v>85.37</v>
      </c>
      <c r="AA1333" s="34" t="n">
        <v>46231</v>
      </c>
      <c r="AB1333" s="15" t="n">
        <v>9.880000000000001</v>
      </c>
      <c r="AC1333" s="15" t="n">
        <v>18.72</v>
      </c>
      <c r="AD1333" s="34" t="n">
        <v>46231</v>
      </c>
      <c r="AE1333" s="15" t="n">
        <v>33.7</v>
      </c>
      <c r="AF1333" s="15" t="n">
        <v>34.58</v>
      </c>
      <c r="AG1333" s="34" t="n">
        <v>46231</v>
      </c>
      <c r="AH1333" s="15" t="n">
        <v>31.54</v>
      </c>
      <c r="AI1333" s="15" t="n">
        <v>37.29</v>
      </c>
      <c r="AJ1333" s="34" t="n">
        <v>46231</v>
      </c>
      <c r="AK1333" s="15" t="n">
        <v>15.68</v>
      </c>
      <c r="AL1333" s="15" t="n">
        <v>41.85</v>
      </c>
      <c r="AM1333" s="34" t="n">
        <v>46231</v>
      </c>
      <c r="AN1333" s="15" t="n">
        <v>603.5</v>
      </c>
      <c r="AO1333" s="15" t="n">
        <v>390.86</v>
      </c>
      <c r="AP1333" s="34" t="n">
        <v>46231</v>
      </c>
      <c r="AQ1333" s="15" t="n">
        <v>57.6</v>
      </c>
      <c r="AR1333" s="15" t="n">
        <v>53.29</v>
      </c>
      <c r="AS1333" s="34" t="n">
        <v>46231</v>
      </c>
      <c r="AT1333" s="15" t="n">
        <v>12.12</v>
      </c>
      <c r="AU1333" s="15" t="n">
        <v>18</v>
      </c>
      <c r="AV1333" s="34" t="n">
        <v>46231</v>
      </c>
      <c r="AW1333" s="15" t="n">
        <v>32.54</v>
      </c>
      <c r="AX1333" s="15" t="n">
        <v>37.01</v>
      </c>
      <c r="AY1333" s="34" t="n">
        <v>46231</v>
      </c>
      <c r="AZ1333" s="15" t="n">
        <v>24.96</v>
      </c>
      <c r="BA1333" s="15" t="n">
        <v>35.58</v>
      </c>
      <c r="BB1333" s="34" t="n">
        <v>46231</v>
      </c>
      <c r="BC1333" s="15" t="n">
        <v>73.2</v>
      </c>
      <c r="BD1333" s="15" t="n">
        <v>86.65000000000001</v>
      </c>
      <c r="BE1333" s="34" t="n">
        <v>46231</v>
      </c>
      <c r="BF1333" s="15" t="n">
        <v>102.2</v>
      </c>
      <c r="BG1333" s="15" t="n">
        <v>159.99</v>
      </c>
      <c r="BH1333" s="34" t="n">
        <v>46231</v>
      </c>
      <c r="BI1333" s="15" t="n">
        <v>21.46</v>
      </c>
      <c r="BJ1333" s="15" t="n">
        <v>33.86</v>
      </c>
      <c r="BK1333" s="34" t="n">
        <v>46231</v>
      </c>
      <c r="BL1333" s="15" t="n">
        <v>55.75</v>
      </c>
      <c r="BM1333" s="15" t="n">
        <v>91.52</v>
      </c>
      <c r="BN1333" s="34" t="n">
        <v>46231</v>
      </c>
      <c r="BO1333" s="15" t="n">
        <v>7.25</v>
      </c>
      <c r="BP1333" s="15" t="n">
        <v>19.64</v>
      </c>
      <c r="BQ1333" s="34" t="n">
        <v>46231</v>
      </c>
      <c r="BR1333" s="15" t="n">
        <v>20.42</v>
      </c>
      <c r="BS1333" s="15" t="n">
        <v>19.7</v>
      </c>
      <c r="BT1333" s="34" t="n">
        <v>46231</v>
      </c>
      <c r="BU1333" s="15" t="n">
        <v>72.3</v>
      </c>
      <c r="BV1333" s="15" t="n">
        <v>156.4</v>
      </c>
      <c r="BW1333" s="34" t="n">
        <v>46231</v>
      </c>
      <c r="BX1333" s="15" t="n">
        <v>43.16</v>
      </c>
      <c r="BY1333" s="15" t="n">
        <v>55.93</v>
      </c>
      <c r="BZ1333" s="34" t="n">
        <v>46231</v>
      </c>
      <c r="CA1333" s="15" t="n">
        <v>12.93</v>
      </c>
      <c r="CB1333" s="15" t="n">
        <v>19.97</v>
      </c>
      <c r="CC1333" s="34" t="n">
        <v>46231</v>
      </c>
      <c r="CD1333" s="15" t="n">
        <v>25.72</v>
      </c>
      <c r="CE1333" s="15" t="n">
        <v>40.27</v>
      </c>
      <c r="CF1333" s="34" t="n">
        <v>46231</v>
      </c>
      <c r="CG1333" s="15" t="n">
        <v>130.3</v>
      </c>
      <c r="CH1333" s="15" t="n">
        <v>191.16</v>
      </c>
      <c r="CI1333" s="34" t="n">
        <v>46231</v>
      </c>
      <c r="CJ1333" s="15" t="n">
        <v>6.44</v>
      </c>
      <c r="CK1333" s="15" t="n">
        <v>16.59</v>
      </c>
      <c r="CL1333" s="34" t="n">
        <v>46231</v>
      </c>
      <c r="CM1333" s="15" t="n">
        <v>76.3</v>
      </c>
      <c r="CN1333" s="15" t="n">
        <v>91.8</v>
      </c>
      <c r="CO1333" s="34" t="n">
        <v>46231</v>
      </c>
      <c r="CP1333" s="15" t="n">
        <v>451.2</v>
      </c>
      <c r="CQ1333" s="15" t="n">
        <v>390.63</v>
      </c>
      <c r="CR1333" s="34" t="n">
        <v>46231</v>
      </c>
      <c r="CS1333" s="15" t="n">
        <v>22.28</v>
      </c>
      <c r="CT1333" s="15" t="n">
        <v>37.97</v>
      </c>
      <c r="CU1333" s="34" t="n">
        <v>46231</v>
      </c>
      <c r="CV1333" s="15" t="n">
        <v>117.7</v>
      </c>
      <c r="CW1333" s="15" t="n">
        <v>135.16</v>
      </c>
      <c r="CX1333" s="34" t="n">
        <v>46231</v>
      </c>
      <c r="CY1333" s="15" t="n">
        <v>30.02</v>
      </c>
      <c r="CZ1333" s="15" t="n">
        <v>47.48</v>
      </c>
      <c r="DA1333" s="34" t="n">
        <v>46231</v>
      </c>
      <c r="DB1333" s="15" t="n">
        <v>97.7</v>
      </c>
      <c r="DC1333" s="15" t="n">
        <v>236.32</v>
      </c>
      <c r="DD1333" s="34" t="n">
        <v>46231</v>
      </c>
      <c r="DE1333" s="15" t="n">
        <v>32.98</v>
      </c>
      <c r="DF1333" s="15" t="n">
        <v>39.3</v>
      </c>
      <c r="DG1333" s="34" t="n">
        <v>46231</v>
      </c>
      <c r="DH1333" s="15" t="n">
        <v>277.6</v>
      </c>
      <c r="DI1333" s="15" t="n">
        <v>206.04</v>
      </c>
      <c r="DJ1333" s="34" t="n">
        <v>46231</v>
      </c>
      <c r="DK1333" s="15" t="n">
        <v>28.8</v>
      </c>
      <c r="DL1333" s="15" t="n">
        <v>33.03</v>
      </c>
      <c r="DM1333" s="34" t="n">
        <v>46231</v>
      </c>
      <c r="DN1333" s="15" t="n">
        <v>10.08</v>
      </c>
      <c r="DO1333" s="15" t="n">
        <v>15.54</v>
      </c>
      <c r="DP1333" s="34" t="n">
        <v>46231</v>
      </c>
      <c r="DQ1333" s="15" t="n">
        <v>18.17</v>
      </c>
      <c r="DR1333" s="15" t="n">
        <v>30.34</v>
      </c>
      <c r="DS1333" s="34" t="n">
        <v>46231</v>
      </c>
      <c r="DT1333" s="15" t="n">
        <v>43.58</v>
      </c>
      <c r="DU1333" s="15" t="n">
        <v>74.41</v>
      </c>
      <c r="DV1333" s="34" t="n">
        <v>46231</v>
      </c>
      <c r="DW1333" s="15" t="n">
        <v>16.83</v>
      </c>
      <c r="DX1333" s="15" t="n">
        <v>37.34</v>
      </c>
      <c r="DY1333" s="34" t="n">
        <v>46231</v>
      </c>
      <c r="DZ1333" s="15" t="n">
        <v>98.5</v>
      </c>
      <c r="EA1333" s="15" t="n">
        <v>150.76</v>
      </c>
      <c r="EB1333" s="34" t="n">
        <v>46231</v>
      </c>
      <c r="EC1333" s="15" t="n">
        <v>8.4</v>
      </c>
      <c r="ED1333" s="15" t="n">
        <v>16.84</v>
      </c>
      <c r="EE1333" s="34" t="n">
        <v>46231</v>
      </c>
      <c r="EF1333" s="15" t="n">
        <v>193.6</v>
      </c>
      <c r="EG1333" s="15" t="n">
        <v>210.18</v>
      </c>
      <c r="EH1333" s="34" t="n">
        <v>46231</v>
      </c>
      <c r="EI1333" s="15" t="n">
        <v>63.35</v>
      </c>
      <c r="EJ1333" s="15" t="n">
        <v>84.16</v>
      </c>
      <c r="EK1333" s="34" t="n">
        <v>46231</v>
      </c>
      <c r="EL1333" s="15" t="n">
        <v>21.18</v>
      </c>
      <c r="EM1333" s="15" t="n">
        <v>29.45</v>
      </c>
      <c r="EN1333" s="34" t="n">
        <v>46231</v>
      </c>
      <c r="EO1333" s="15" t="n">
        <v>37.06</v>
      </c>
      <c r="EP1333" s="15" t="n">
        <v>52.75</v>
      </c>
      <c r="EQ1333" s="34" t="n">
        <v>46231</v>
      </c>
      <c r="ER1333" s="15" t="n">
        <v>34.18</v>
      </c>
      <c r="ES1333" s="15" t="n">
        <v>40.06</v>
      </c>
      <c r="ET1333" s="34" t="n">
        <v>46231</v>
      </c>
      <c r="EU1333" s="15" t="n">
        <v>7.16</v>
      </c>
      <c r="EV1333" s="15" t="n">
        <v>11.97</v>
      </c>
      <c r="EW1333" s="34" t="n">
        <v>46231</v>
      </c>
      <c r="EX1333" s="15" t="n">
        <v>89.40000000000001</v>
      </c>
      <c r="EY1333" s="15" t="n">
        <v>94.98999999999999</v>
      </c>
      <c r="EZ1333" s="34" t="n">
        <v>46231</v>
      </c>
      <c r="FA1333" s="15" t="n">
        <v>6.39</v>
      </c>
      <c r="FB1333" s="15" t="n">
        <v>12.03</v>
      </c>
      <c r="FC1333" s="34" t="n">
        <v>46231</v>
      </c>
      <c r="FD1333" s="15" t="n">
        <v>329.2</v>
      </c>
      <c r="FE1333" s="15" t="n">
        <v>378</v>
      </c>
      <c r="FF1333" s="34" t="n">
        <v>46231</v>
      </c>
      <c r="FG1333" s="15" t="n">
        <v>101.3</v>
      </c>
      <c r="FH1333" s="15" t="n">
        <v>118.4</v>
      </c>
      <c r="FI1333" s="34" t="n">
        <v>46231</v>
      </c>
      <c r="FJ1333" s="15" t="n">
        <v>24.64</v>
      </c>
      <c r="FK1333" s="15" t="n">
        <v>39.83</v>
      </c>
      <c r="FL1333" s="34" t="n">
        <v>46231</v>
      </c>
      <c r="FM1333" s="15" t="n">
        <v>57.2</v>
      </c>
      <c r="FN1333" s="15" t="n">
        <v>60.1</v>
      </c>
      <c r="FO1333" s="34" t="n">
        <v>46231</v>
      </c>
      <c r="FP1333" s="15" t="n">
        <v>88.59999999999999</v>
      </c>
      <c r="FQ1333" s="15" t="n">
        <v>100.83</v>
      </c>
      <c r="FR1333" s="34" t="n">
        <v>46231</v>
      </c>
      <c r="FS1333" s="15" t="n">
        <v>312.2</v>
      </c>
      <c r="FT1333" s="15" t="n">
        <v>372.81</v>
      </c>
      <c r="FU1333" s="34" t="n">
        <v>46231</v>
      </c>
      <c r="FV1333" s="15" t="n">
        <v>3.26</v>
      </c>
      <c r="FW1333" s="15" t="n">
        <v>6.5</v>
      </c>
      <c r="FX1333" s="34" t="n">
        <v>46231</v>
      </c>
      <c r="FY1333" s="15" t="n">
        <v>29.28</v>
      </c>
      <c r="FZ1333" s="15" t="n">
        <v>40.99</v>
      </c>
      <c r="GA1333" s="34" t="n">
        <v>46231</v>
      </c>
    </row>
    <row r="1334">
      <c r="A1334" s="34" t="n">
        <v>46232</v>
      </c>
      <c r="B1334" s="266" t="n">
        <v>1.157909989356995</v>
      </c>
      <c r="C1334" s="34" t="n">
        <v>46232</v>
      </c>
      <c r="D1334" s="15" t="n">
        <v>23.6</v>
      </c>
      <c r="E1334" s="15" t="n">
        <v>43.94</v>
      </c>
      <c r="F1334" s="34" t="n">
        <v>46232</v>
      </c>
      <c r="G1334" s="15" t="n">
        <v>116.3</v>
      </c>
      <c r="H1334" s="15" t="n">
        <v>155.01</v>
      </c>
      <c r="I1334" s="34" t="n">
        <v>46232</v>
      </c>
      <c r="J1334" s="15" t="n">
        <v>16.31</v>
      </c>
      <c r="K1334" s="15" t="n">
        <v>24.5</v>
      </c>
      <c r="L1334" s="34" t="n">
        <v>46232</v>
      </c>
      <c r="M1334" s="15" t="n">
        <v>33.88</v>
      </c>
      <c r="N1334" s="15" t="n">
        <v>46.08</v>
      </c>
      <c r="O1334" s="34" t="n">
        <v>46232</v>
      </c>
      <c r="P1334" s="15" t="n">
        <v>52.8</v>
      </c>
      <c r="Q1334" s="15" t="n">
        <v>57.38</v>
      </c>
      <c r="R1334" s="34" t="n">
        <v>46232</v>
      </c>
      <c r="S1334" s="15" t="n">
        <v>52.6</v>
      </c>
      <c r="T1334" s="15" t="n">
        <v>112.34</v>
      </c>
      <c r="U1334" s="34" t="n">
        <v>46232</v>
      </c>
      <c r="V1334" s="15" t="n">
        <v>12.69</v>
      </c>
      <c r="W1334" s="15" t="n">
        <v>16.99</v>
      </c>
      <c r="X1334" s="34" t="n">
        <v>46232</v>
      </c>
      <c r="Y1334" s="15" t="n">
        <v>98.40000000000001</v>
      </c>
      <c r="Z1334" s="15" t="n">
        <v>87.01000000000001</v>
      </c>
      <c r="AA1334" s="34" t="n">
        <v>46232</v>
      </c>
      <c r="AB1334" s="15" t="n">
        <v>10.03</v>
      </c>
      <c r="AC1334" s="15" t="n">
        <v>18.83</v>
      </c>
      <c r="AD1334" s="34" t="n">
        <v>46232</v>
      </c>
      <c r="AE1334" s="15" t="n">
        <v>33.82</v>
      </c>
      <c r="AF1334" s="15" t="n">
        <v>34.74</v>
      </c>
      <c r="AG1334" s="34" t="n">
        <v>46232</v>
      </c>
      <c r="AH1334" s="15" t="n">
        <v>33</v>
      </c>
      <c r="AI1334" s="15" t="n">
        <v>37.86</v>
      </c>
      <c r="AJ1334" s="34" t="n">
        <v>46232</v>
      </c>
      <c r="AK1334" s="15" t="n">
        <v>15.61</v>
      </c>
      <c r="AL1334" s="15" t="n">
        <v>41.5</v>
      </c>
      <c r="AM1334" s="34" t="n">
        <v>46232</v>
      </c>
      <c r="AN1334" s="15" t="n">
        <v>619.5</v>
      </c>
      <c r="AO1334" s="15" t="n">
        <v>396.84</v>
      </c>
      <c r="AP1334" s="34" t="n">
        <v>46232</v>
      </c>
      <c r="AQ1334" s="15" t="n">
        <v>58.3</v>
      </c>
      <c r="AR1334" s="15" t="n">
        <v>53.89</v>
      </c>
      <c r="AS1334" s="34" t="n">
        <v>46232</v>
      </c>
      <c r="AT1334" s="15" t="n">
        <v>12.11</v>
      </c>
      <c r="AU1334" s="15" t="n">
        <v>18.22</v>
      </c>
      <c r="AV1334" s="34" t="n">
        <v>46232</v>
      </c>
      <c r="AW1334" s="15" t="n">
        <v>33.14</v>
      </c>
      <c r="AX1334" s="15" t="n">
        <v>37.64</v>
      </c>
      <c r="AY1334" s="34" t="n">
        <v>46232</v>
      </c>
      <c r="AZ1334" s="15" t="n">
        <v>25.56</v>
      </c>
      <c r="BA1334" s="15" t="n">
        <v>36.02</v>
      </c>
      <c r="BB1334" s="34" t="n">
        <v>46232</v>
      </c>
      <c r="BC1334" s="15" t="n">
        <v>75.5</v>
      </c>
      <c r="BD1334" s="15" t="n">
        <v>89.26000000000001</v>
      </c>
      <c r="BE1334" s="34" t="n">
        <v>46232</v>
      </c>
      <c r="BF1334" s="15" t="n">
        <v>102.5</v>
      </c>
      <c r="BG1334" s="15" t="n">
        <v>157.51</v>
      </c>
      <c r="BH1334" s="34" t="n">
        <v>46232</v>
      </c>
      <c r="BI1334" s="15" t="n">
        <v>21.22</v>
      </c>
      <c r="BJ1334" s="15" t="n">
        <v>33.39</v>
      </c>
      <c r="BK1334" s="34" t="n">
        <v>46232</v>
      </c>
      <c r="BL1334" s="15" t="n">
        <v>53.65</v>
      </c>
      <c r="BM1334" s="15" t="n">
        <v>90.39</v>
      </c>
      <c r="BN1334" s="34" t="n">
        <v>46232</v>
      </c>
      <c r="BO1334" s="15" t="n">
        <v>7.52</v>
      </c>
      <c r="BP1334" s="15" t="n">
        <v>20.3</v>
      </c>
      <c r="BQ1334" s="34" t="n">
        <v>46232</v>
      </c>
      <c r="BR1334" s="15" t="n">
        <v>21.2</v>
      </c>
      <c r="BS1334" s="15" t="n">
        <v>20.4</v>
      </c>
      <c r="BT1334" s="34" t="n">
        <v>46232</v>
      </c>
      <c r="BU1334" s="15" t="n">
        <v>70.95</v>
      </c>
      <c r="BV1334" s="15" t="n">
        <v>144.59</v>
      </c>
      <c r="BW1334" s="34" t="n">
        <v>46232</v>
      </c>
      <c r="BX1334" s="15" t="n">
        <v>44.76</v>
      </c>
      <c r="BY1334" s="15" t="n">
        <v>58</v>
      </c>
      <c r="BZ1334" s="34" t="n">
        <v>46232</v>
      </c>
      <c r="CA1334" s="15" t="n">
        <v>13.03</v>
      </c>
      <c r="CB1334" s="15" t="n">
        <v>20.31</v>
      </c>
      <c r="CC1334" s="34" t="n">
        <v>46232</v>
      </c>
      <c r="CD1334" s="15" t="n">
        <v>25.86</v>
      </c>
      <c r="CE1334" s="15" t="n">
        <v>40.91</v>
      </c>
      <c r="CF1334" s="34" t="n">
        <v>46232</v>
      </c>
      <c r="CG1334" s="15" t="n">
        <v>134</v>
      </c>
      <c r="CH1334" s="15" t="n">
        <v>197.55</v>
      </c>
      <c r="CI1334" s="34" t="n">
        <v>46232</v>
      </c>
      <c r="CJ1334" s="15" t="n">
        <v>6.95</v>
      </c>
      <c r="CK1334" s="15" t="n">
        <v>17.27</v>
      </c>
      <c r="CL1334" s="34" t="n">
        <v>46232</v>
      </c>
      <c r="CM1334" s="15" t="n">
        <v>78.84999999999999</v>
      </c>
      <c r="CN1334" s="15" t="n">
        <v>91.69</v>
      </c>
      <c r="CO1334" s="34" t="n">
        <v>46232</v>
      </c>
      <c r="CP1334" s="15" t="n">
        <v>436.6</v>
      </c>
      <c r="CQ1334" s="15" t="n">
        <v>364.03</v>
      </c>
      <c r="CR1334" s="34" t="n">
        <v>46232</v>
      </c>
      <c r="CS1334" s="15" t="n">
        <v>22.14</v>
      </c>
      <c r="CT1334" s="15" t="n">
        <v>37.56</v>
      </c>
      <c r="CU1334" s="34" t="n">
        <v>46232</v>
      </c>
      <c r="CV1334" s="15" t="n">
        <v>125.2</v>
      </c>
      <c r="CW1334" s="15" t="n">
        <v>142.56</v>
      </c>
      <c r="CX1334" s="34" t="n">
        <v>46232</v>
      </c>
      <c r="CY1334" s="15" t="n">
        <v>31.76</v>
      </c>
      <c r="CZ1334" s="15" t="n">
        <v>47.76</v>
      </c>
      <c r="DA1334" s="34" t="n">
        <v>46232</v>
      </c>
      <c r="DB1334" s="15" t="n">
        <v>94.65000000000001</v>
      </c>
      <c r="DC1334" s="15" t="n">
        <v>230.56</v>
      </c>
      <c r="DD1334" s="34" t="n">
        <v>46232</v>
      </c>
      <c r="DE1334" s="15" t="n">
        <v>32.24</v>
      </c>
      <c r="DF1334" s="15" t="n">
        <v>38.88</v>
      </c>
      <c r="DG1334" s="34" t="n">
        <v>46232</v>
      </c>
      <c r="DH1334" s="15" t="n">
        <v>269.6</v>
      </c>
      <c r="DI1334" s="15" t="n">
        <v>207.5</v>
      </c>
      <c r="DJ1334" s="34" t="n">
        <v>46232</v>
      </c>
      <c r="DK1334" s="15" t="n">
        <v>28.78</v>
      </c>
      <c r="DL1334" s="15" t="n">
        <v>33.41</v>
      </c>
      <c r="DM1334" s="34" t="n">
        <v>46232</v>
      </c>
      <c r="DN1334" s="15" t="n">
        <v>10.52</v>
      </c>
      <c r="DO1334" s="15" t="n">
        <v>16.48</v>
      </c>
      <c r="DP1334" s="34" t="n">
        <v>46232</v>
      </c>
      <c r="DQ1334" s="15" t="n">
        <v>18.19</v>
      </c>
      <c r="DR1334" s="15" t="n">
        <v>31.06</v>
      </c>
      <c r="DS1334" s="34" t="n">
        <v>46232</v>
      </c>
      <c r="DT1334" s="15" t="n">
        <v>42.94</v>
      </c>
      <c r="DU1334" s="15" t="n">
        <v>75.34999999999999</v>
      </c>
      <c r="DV1334" s="34" t="n">
        <v>46232</v>
      </c>
      <c r="DW1334" s="15" t="n">
        <v>17.09</v>
      </c>
      <c r="DX1334" s="15" t="n">
        <v>37.7</v>
      </c>
      <c r="DY1334" s="34" t="n">
        <v>46232</v>
      </c>
      <c r="DZ1334" s="15" t="n">
        <v>93.09999999999999</v>
      </c>
      <c r="EA1334" s="15" t="n">
        <v>146</v>
      </c>
      <c r="EB1334" s="34" t="n">
        <v>46232</v>
      </c>
      <c r="EC1334" s="15" t="n">
        <v>8.06</v>
      </c>
      <c r="ED1334" s="15" t="n">
        <v>16.75</v>
      </c>
      <c r="EE1334" s="34" t="n">
        <v>46232</v>
      </c>
      <c r="EF1334" s="15" t="n">
        <v>178.3</v>
      </c>
      <c r="EG1334" s="15" t="n">
        <v>201.61</v>
      </c>
      <c r="EH1334" s="34" t="n">
        <v>46232</v>
      </c>
      <c r="EI1334" s="15" t="n">
        <v>64.2</v>
      </c>
      <c r="EJ1334" s="15" t="n">
        <v>83.65000000000001</v>
      </c>
      <c r="EK1334" s="34" t="n">
        <v>46232</v>
      </c>
      <c r="EL1334" s="15" t="n">
        <v>21.1</v>
      </c>
      <c r="EM1334" s="15" t="n">
        <v>30.04</v>
      </c>
      <c r="EN1334" s="34" t="n">
        <v>46232</v>
      </c>
      <c r="EO1334" s="15" t="n">
        <v>36.5</v>
      </c>
      <c r="EP1334" s="15" t="n">
        <v>53.31</v>
      </c>
      <c r="EQ1334" s="34" t="n">
        <v>46232</v>
      </c>
      <c r="ER1334" s="15" t="n">
        <v>36</v>
      </c>
      <c r="ES1334" s="15" t="n">
        <v>40.4</v>
      </c>
      <c r="ET1334" s="34" t="n">
        <v>46232</v>
      </c>
      <c r="EU1334" s="15" t="n">
        <v>7.31</v>
      </c>
      <c r="EV1334" s="15" t="n">
        <v>12.81</v>
      </c>
      <c r="EW1334" s="34" t="n">
        <v>46232</v>
      </c>
      <c r="EX1334" s="15" t="n">
        <v>88.55</v>
      </c>
      <c r="EY1334" s="15" t="n">
        <v>100.74</v>
      </c>
      <c r="EZ1334" s="34" t="n">
        <v>46232</v>
      </c>
      <c r="FA1334" s="15" t="n">
        <v>6.33</v>
      </c>
      <c r="FB1334" s="15" t="n">
        <v>12.23</v>
      </c>
      <c r="FC1334" s="34" t="n">
        <v>46232</v>
      </c>
      <c r="FD1334" s="15" t="n">
        <v>277.2</v>
      </c>
      <c r="FE1334" s="15" t="n">
        <v>349.92</v>
      </c>
      <c r="FF1334" s="34" t="n">
        <v>46232</v>
      </c>
      <c r="FG1334" s="15" t="n">
        <v>107.3</v>
      </c>
      <c r="FH1334" s="15" t="n">
        <v>119.96</v>
      </c>
      <c r="FI1334" s="34" t="n">
        <v>46232</v>
      </c>
      <c r="FJ1334" s="15" t="n">
        <v>24</v>
      </c>
      <c r="FK1334" s="15" t="n">
        <v>39.45</v>
      </c>
      <c r="FL1334" s="34" t="n">
        <v>46232</v>
      </c>
      <c r="FM1334" s="15" t="n">
        <v>59.15</v>
      </c>
      <c r="FN1334" s="15" t="n">
        <v>62.35</v>
      </c>
      <c r="FO1334" s="34" t="n">
        <v>46232</v>
      </c>
      <c r="FP1334" s="15" t="n">
        <v>91.7</v>
      </c>
      <c r="FQ1334" s="15" t="n">
        <v>108.89</v>
      </c>
      <c r="FR1334" s="34" t="n">
        <v>46232</v>
      </c>
      <c r="FS1334" s="15" t="n">
        <v>286</v>
      </c>
      <c r="FT1334" s="15" t="n">
        <v>361.28</v>
      </c>
      <c r="FU1334" s="34" t="n">
        <v>46232</v>
      </c>
      <c r="FV1334" s="15" t="n">
        <v>3.3</v>
      </c>
      <c r="FW1334" s="15" t="n">
        <v>6.57</v>
      </c>
      <c r="FX1334" s="34" t="n">
        <v>46232</v>
      </c>
      <c r="FY1334" s="15" t="n">
        <v>29.5</v>
      </c>
      <c r="FZ1334" s="15" t="n">
        <v>39.69</v>
      </c>
      <c r="GA1334" s="34" t="n">
        <v>46232</v>
      </c>
    </row>
    <row r="1335">
      <c r="A1335" s="34" t="n">
        <v>46233</v>
      </c>
      <c r="B1335" s="266" t="n">
        <v>1.158943057060242</v>
      </c>
      <c r="C1335" s="34" t="n">
        <v>46233</v>
      </c>
      <c r="D1335" s="15" t="n">
        <v>22.18</v>
      </c>
      <c r="E1335" s="15" t="n">
        <v>40.05</v>
      </c>
      <c r="F1335" s="34" t="n">
        <v>46233</v>
      </c>
      <c r="G1335" s="15" t="n">
        <v>108.3</v>
      </c>
      <c r="H1335" s="15" t="n">
        <v>145.95</v>
      </c>
      <c r="I1335" s="34" t="n">
        <v>46233</v>
      </c>
      <c r="J1335" s="15" t="n">
        <v>16.04</v>
      </c>
      <c r="K1335" s="15" t="n">
        <v>24.81</v>
      </c>
      <c r="L1335" s="34" t="n">
        <v>46233</v>
      </c>
      <c r="M1335" s="15" t="n">
        <v>33.26</v>
      </c>
      <c r="N1335" s="15" t="n">
        <v>45.46</v>
      </c>
      <c r="O1335" s="34" t="n">
        <v>46233</v>
      </c>
      <c r="P1335" s="15" t="n">
        <v>52.85</v>
      </c>
      <c r="Q1335" s="15" t="n">
        <v>58.08</v>
      </c>
      <c r="R1335" s="34" t="n">
        <v>46233</v>
      </c>
      <c r="S1335" s="15" t="n">
        <v>48.16</v>
      </c>
      <c r="T1335" s="15" t="n">
        <v>108</v>
      </c>
      <c r="U1335" s="34" t="n">
        <v>46233</v>
      </c>
      <c r="V1335" s="15" t="n">
        <v>12.14</v>
      </c>
      <c r="W1335" s="15" t="n">
        <v>16.7</v>
      </c>
      <c r="X1335" s="34" t="n">
        <v>46233</v>
      </c>
      <c r="Y1335" s="15" t="n">
        <v>98.90000000000001</v>
      </c>
      <c r="Z1335" s="15" t="n">
        <v>88.95</v>
      </c>
      <c r="AA1335" s="34" t="n">
        <v>46233</v>
      </c>
      <c r="AB1335" s="15" t="n">
        <v>9.630000000000001</v>
      </c>
      <c r="AC1335" s="15" t="n">
        <v>18.35</v>
      </c>
      <c r="AD1335" s="34" t="n">
        <v>46233</v>
      </c>
      <c r="AE1335" s="15" t="n">
        <v>34.04</v>
      </c>
      <c r="AF1335" s="15" t="n">
        <v>35.12</v>
      </c>
      <c r="AG1335" s="34" t="n">
        <v>46233</v>
      </c>
      <c r="AH1335" s="15" t="n">
        <v>32.62</v>
      </c>
      <c r="AI1335" s="15" t="n">
        <v>37.17</v>
      </c>
      <c r="AJ1335" s="34" t="n">
        <v>46233</v>
      </c>
      <c r="AK1335" s="15" t="n">
        <v>15.22</v>
      </c>
      <c r="AL1335" s="15" t="n">
        <v>39.53</v>
      </c>
      <c r="AM1335" s="34" t="n">
        <v>46233</v>
      </c>
      <c r="AN1335" s="15" t="n">
        <v>621</v>
      </c>
      <c r="AO1335" s="15" t="n">
        <v>401.88</v>
      </c>
      <c r="AP1335" s="34" t="n">
        <v>46233</v>
      </c>
      <c r="AQ1335" s="15" t="n">
        <v>57.4</v>
      </c>
      <c r="AR1335" s="15" t="n">
        <v>54.65</v>
      </c>
      <c r="AS1335" s="34" t="n">
        <v>46233</v>
      </c>
      <c r="AT1335" s="15" t="n">
        <v>12.13</v>
      </c>
      <c r="AU1335" s="15" t="n">
        <v>17.45</v>
      </c>
      <c r="AV1335" s="34" t="n">
        <v>46233</v>
      </c>
      <c r="AW1335" s="15" t="n">
        <v>33.78</v>
      </c>
      <c r="AX1335" s="15" t="n">
        <v>38.66</v>
      </c>
      <c r="AY1335" s="34" t="n">
        <v>46233</v>
      </c>
      <c r="AZ1335" s="15" t="n">
        <v>24.78</v>
      </c>
      <c r="BA1335" s="15" t="n">
        <v>35.46</v>
      </c>
      <c r="BB1335" s="34" t="n">
        <v>46233</v>
      </c>
      <c r="BC1335" s="15" t="n">
        <v>76.8</v>
      </c>
      <c r="BD1335" s="15" t="n">
        <v>90.84999999999999</v>
      </c>
      <c r="BE1335" s="34" t="n">
        <v>46233</v>
      </c>
      <c r="BF1335" s="15" t="n">
        <v>97.59999999999999</v>
      </c>
      <c r="BG1335" s="15" t="n">
        <v>150.41</v>
      </c>
      <c r="BH1335" s="34" t="n">
        <v>46233</v>
      </c>
      <c r="BI1335" s="15" t="n">
        <v>20</v>
      </c>
      <c r="BJ1335" s="15" t="n">
        <v>30.83</v>
      </c>
      <c r="BK1335" s="34" t="n">
        <v>46233</v>
      </c>
      <c r="BL1335" s="15" t="n">
        <v>51.7</v>
      </c>
      <c r="BM1335" s="15" t="n">
        <v>81.34999999999999</v>
      </c>
      <c r="BN1335" s="34" t="n">
        <v>46233</v>
      </c>
      <c r="BO1335" s="15" t="n">
        <v>7.43</v>
      </c>
      <c r="BP1335" s="15" t="n">
        <v>19.22</v>
      </c>
      <c r="BQ1335" s="34" t="n">
        <v>46233</v>
      </c>
      <c r="BR1335" s="15" t="n">
        <v>20.98</v>
      </c>
      <c r="BS1335" s="15" t="n">
        <v>20.83</v>
      </c>
      <c r="BT1335" s="34" t="n">
        <v>46233</v>
      </c>
      <c r="BU1335" s="15" t="n">
        <v>61.8</v>
      </c>
      <c r="BV1335" s="15" t="n">
        <v>130.13</v>
      </c>
      <c r="BW1335" s="34" t="n">
        <v>46233</v>
      </c>
      <c r="BX1335" s="15" t="n">
        <v>48.04</v>
      </c>
      <c r="BY1335" s="15" t="n">
        <v>61.45</v>
      </c>
      <c r="BZ1335" s="34" t="n">
        <v>46233</v>
      </c>
      <c r="CA1335" s="15" t="n">
        <v>13.01</v>
      </c>
      <c r="CB1335" s="15" t="n">
        <v>20.02</v>
      </c>
      <c r="CC1335" s="34" t="n">
        <v>46233</v>
      </c>
      <c r="CD1335" s="15" t="n">
        <v>26.08</v>
      </c>
      <c r="CE1335" s="15" t="n">
        <v>41.08</v>
      </c>
      <c r="CF1335" s="34" t="n">
        <v>46233</v>
      </c>
      <c r="CG1335" s="15" t="n">
        <v>127.4</v>
      </c>
      <c r="CH1335" s="15" t="n">
        <v>181.92</v>
      </c>
      <c r="CI1335" s="34" t="n">
        <v>46233</v>
      </c>
      <c r="CJ1335" s="15" t="n">
        <v>6.74</v>
      </c>
      <c r="CK1335" s="15" t="n">
        <v>17.52</v>
      </c>
      <c r="CL1335" s="34" t="n">
        <v>46233</v>
      </c>
      <c r="CM1335" s="15" t="n">
        <v>77.05</v>
      </c>
      <c r="CN1335" s="15" t="n">
        <v>88.5</v>
      </c>
      <c r="CO1335" s="34" t="n">
        <v>46233</v>
      </c>
      <c r="CP1335" s="15" t="n">
        <v>428.2</v>
      </c>
      <c r="CQ1335" s="15" t="n">
        <v>371.1</v>
      </c>
      <c r="CR1335" s="34" t="n">
        <v>46233</v>
      </c>
      <c r="CS1335" s="15" t="n">
        <v>21.04</v>
      </c>
      <c r="CT1335" s="15" t="n">
        <v>34.91</v>
      </c>
      <c r="CU1335" s="34" t="n">
        <v>46233</v>
      </c>
      <c r="CV1335" s="15" t="n">
        <v>124</v>
      </c>
      <c r="CW1335" s="15" t="n">
        <v>138.2</v>
      </c>
      <c r="CX1335" s="34" t="n">
        <v>46233</v>
      </c>
      <c r="CY1335" s="15" t="n">
        <v>29.5</v>
      </c>
      <c r="CZ1335" s="15" t="n">
        <v>44.09</v>
      </c>
      <c r="DA1335" s="34" t="n">
        <v>46233</v>
      </c>
      <c r="DB1335" s="15" t="n">
        <v>84.25</v>
      </c>
      <c r="DC1335" s="15" t="n">
        <v>211.4</v>
      </c>
      <c r="DD1335" s="34" t="n">
        <v>46233</v>
      </c>
      <c r="DE1335" s="15" t="n">
        <v>33.58</v>
      </c>
      <c r="DF1335" s="15" t="n">
        <v>39.92</v>
      </c>
      <c r="DG1335" s="34" t="n">
        <v>46233</v>
      </c>
      <c r="DH1335" s="15" t="n">
        <v>251.4</v>
      </c>
      <c r="DI1335" s="15" t="n">
        <v>196.78</v>
      </c>
      <c r="DJ1335" s="34" t="n">
        <v>46233</v>
      </c>
      <c r="DK1335" s="15" t="n">
        <v>28.2</v>
      </c>
      <c r="DL1335" s="15" t="n">
        <v>33.38</v>
      </c>
      <c r="DM1335" s="34" t="n">
        <v>46233</v>
      </c>
      <c r="DN1335" s="15" t="n">
        <v>10.85</v>
      </c>
      <c r="DO1335" s="15" t="n">
        <v>17.09</v>
      </c>
      <c r="DP1335" s="34" t="n">
        <v>46233</v>
      </c>
      <c r="DQ1335" s="15" t="n">
        <v>15.97</v>
      </c>
      <c r="DR1335" s="15" t="n">
        <v>27.95</v>
      </c>
      <c r="DS1335" s="34" t="n">
        <v>46233</v>
      </c>
      <c r="DT1335" s="15" t="n">
        <v>40.12</v>
      </c>
      <c r="DU1335" s="15" t="n">
        <v>72.73</v>
      </c>
      <c r="DV1335" s="34" t="n">
        <v>46233</v>
      </c>
      <c r="DW1335" s="15" t="n">
        <v>16.03</v>
      </c>
      <c r="DX1335" s="15" t="n">
        <v>33.93</v>
      </c>
      <c r="DY1335" s="34" t="n">
        <v>46233</v>
      </c>
      <c r="DZ1335" s="15" t="n">
        <v>83.34999999999999</v>
      </c>
      <c r="EA1335" s="15" t="n">
        <v>131.4</v>
      </c>
      <c r="EB1335" s="34" t="n">
        <v>46233</v>
      </c>
      <c r="EC1335" s="15" t="n">
        <v>7.49</v>
      </c>
      <c r="ED1335" s="15" t="n">
        <v>15.84</v>
      </c>
      <c r="EE1335" s="34" t="n">
        <v>46233</v>
      </c>
      <c r="EF1335" s="15" t="n">
        <v>168.3</v>
      </c>
      <c r="EG1335" s="15" t="n">
        <v>180.36</v>
      </c>
      <c r="EH1335" s="34" t="n">
        <v>46233</v>
      </c>
      <c r="EI1335" s="15" t="n">
        <v>63.5</v>
      </c>
      <c r="EJ1335" s="15" t="n">
        <v>78.8</v>
      </c>
      <c r="EK1335" s="34" t="n">
        <v>46233</v>
      </c>
      <c r="EL1335" s="15" t="n">
        <v>20.96</v>
      </c>
      <c r="EM1335" s="15" t="n">
        <v>28.55</v>
      </c>
      <c r="EN1335" s="34" t="n">
        <v>46233</v>
      </c>
      <c r="EO1335" s="15" t="n">
        <v>34.96</v>
      </c>
      <c r="EP1335" s="15" t="n">
        <v>52.28</v>
      </c>
      <c r="EQ1335" s="34" t="n">
        <v>46233</v>
      </c>
      <c r="ER1335" s="15" t="n">
        <v>35.58</v>
      </c>
      <c r="ES1335" s="15" t="n">
        <v>39.8</v>
      </c>
      <c r="ET1335" s="34" t="n">
        <v>46233</v>
      </c>
      <c r="EU1335" s="15" t="n">
        <v>7.15</v>
      </c>
      <c r="EV1335" s="15" t="n">
        <v>13.1</v>
      </c>
      <c r="EW1335" s="34" t="n">
        <v>46233</v>
      </c>
      <c r="EX1335" s="15" t="n">
        <v>78</v>
      </c>
      <c r="EY1335" s="15" t="n">
        <v>89.58</v>
      </c>
      <c r="EZ1335" s="34" t="n">
        <v>46233</v>
      </c>
      <c r="FA1335" s="15" t="n">
        <v>6.19</v>
      </c>
      <c r="FB1335" s="15" t="n">
        <v>12.21</v>
      </c>
      <c r="FC1335" s="34" t="n">
        <v>46233</v>
      </c>
      <c r="FD1335" s="15" t="n">
        <v>229</v>
      </c>
      <c r="FE1335" s="15" t="n">
        <v>299.9</v>
      </c>
      <c r="FF1335" s="34" t="n">
        <v>46233</v>
      </c>
      <c r="FG1335" s="15" t="n">
        <v>118.3</v>
      </c>
      <c r="FH1335" s="15" t="n">
        <v>124</v>
      </c>
      <c r="FI1335" s="34" t="n">
        <v>46233</v>
      </c>
      <c r="FJ1335" s="15" t="n">
        <v>22.68</v>
      </c>
      <c r="FK1335" s="15" t="n">
        <v>37.19</v>
      </c>
      <c r="FL1335" s="34" t="n">
        <v>46233</v>
      </c>
      <c r="FM1335" s="15" t="n">
        <v>58</v>
      </c>
      <c r="FN1335" s="15" t="n">
        <v>58.35</v>
      </c>
      <c r="FO1335" s="34" t="n">
        <v>46233</v>
      </c>
      <c r="FP1335" s="15" t="n">
        <v>92.45</v>
      </c>
      <c r="FQ1335" s="15" t="n">
        <v>105.3</v>
      </c>
      <c r="FR1335" s="34" t="n">
        <v>46233</v>
      </c>
      <c r="FS1335" s="15" t="n">
        <v>269.4</v>
      </c>
      <c r="FT1335" s="15" t="n">
        <v>333</v>
      </c>
      <c r="FU1335" s="34" t="n">
        <v>46233</v>
      </c>
      <c r="FV1335" s="15" t="n">
        <v>3.18</v>
      </c>
      <c r="FW1335" s="15" t="n">
        <v>6.29</v>
      </c>
      <c r="FX1335" s="34" t="n">
        <v>46233</v>
      </c>
      <c r="FY1335" s="15" t="n">
        <v>27.96</v>
      </c>
      <c r="FZ1335" s="15" t="n">
        <v>35.92</v>
      </c>
      <c r="GA1335" s="34" t="n">
        <v>46233</v>
      </c>
      <c r="GB1335" s="15" t="n">
        <v>960</v>
      </c>
      <c r="GC1335" s="15" t="n">
        <v>864</v>
      </c>
      <c r="GD1335" s="34" t="n">
        <v>46233</v>
      </c>
    </row>
    <row r="1336">
      <c r="A1336" s="34" t="n">
        <v>46234</v>
      </c>
      <c r="B1336" s="266" t="n">
        <v>1.160945057868958</v>
      </c>
      <c r="C1336" s="34" t="n">
        <v>46234</v>
      </c>
      <c r="D1336" s="15" t="n">
        <v>22.18</v>
      </c>
      <c r="E1336" s="15" t="n">
        <v>41.54</v>
      </c>
      <c r="F1336" s="34" t="n">
        <v>46234</v>
      </c>
      <c r="G1336" s="15" t="n">
        <v>111.3</v>
      </c>
      <c r="H1336" s="15" t="n">
        <v>152.65</v>
      </c>
      <c r="I1336" s="34" t="n">
        <v>46234</v>
      </c>
      <c r="J1336" s="15" t="n">
        <v>16.42</v>
      </c>
      <c r="K1336" s="15" t="n">
        <v>25.6</v>
      </c>
      <c r="L1336" s="34" t="n">
        <v>46234</v>
      </c>
      <c r="M1336" s="15" t="n">
        <v>33.42</v>
      </c>
      <c r="N1336" s="15" t="n">
        <v>45.35</v>
      </c>
      <c r="O1336" s="34" t="n">
        <v>46234</v>
      </c>
      <c r="P1336" s="15" t="n">
        <v>53.6</v>
      </c>
      <c r="Q1336" s="15" t="n">
        <v>58.01</v>
      </c>
      <c r="R1336" s="34" t="n">
        <v>46234</v>
      </c>
      <c r="S1336" s="15" t="n">
        <v>50.15</v>
      </c>
      <c r="T1336" s="15" t="n">
        <v>106.37</v>
      </c>
      <c r="U1336" s="34" t="n">
        <v>46234</v>
      </c>
      <c r="V1336" s="15" t="n">
        <v>12.67</v>
      </c>
      <c r="W1336" s="15" t="n">
        <v>16.91</v>
      </c>
      <c r="X1336" s="34" t="n">
        <v>46234</v>
      </c>
      <c r="Y1336" s="15" t="n">
        <v>99.34999999999999</v>
      </c>
      <c r="Z1336" s="15" t="n">
        <v>87.59999999999999</v>
      </c>
      <c r="AA1336" s="34" t="n">
        <v>46234</v>
      </c>
      <c r="AB1336" s="15" t="n">
        <v>9.82</v>
      </c>
      <c r="AC1336" s="15" t="n">
        <v>18.64</v>
      </c>
      <c r="AD1336" s="34" t="n">
        <v>46234</v>
      </c>
      <c r="AE1336" s="15" t="n">
        <v>33.82</v>
      </c>
      <c r="AF1336" s="15" t="n">
        <v>34.99</v>
      </c>
      <c r="AG1336" s="34" t="n">
        <v>46234</v>
      </c>
      <c r="AH1336" s="15" t="n">
        <v>33.38</v>
      </c>
      <c r="AI1336" s="15" t="n">
        <v>39.56</v>
      </c>
      <c r="AJ1336" s="34" t="n">
        <v>46234</v>
      </c>
      <c r="AK1336" s="15" t="n">
        <v>15.09</v>
      </c>
      <c r="AL1336" s="15" t="n">
        <v>40.27</v>
      </c>
      <c r="AM1336" s="34" t="n">
        <v>46234</v>
      </c>
      <c r="AN1336" s="15" t="n">
        <v>622.5</v>
      </c>
      <c r="AO1336" s="15" t="n">
        <v>395.3</v>
      </c>
      <c r="AP1336" s="34" t="n">
        <v>46234</v>
      </c>
      <c r="AQ1336" s="15" t="n">
        <v>57.1</v>
      </c>
      <c r="AR1336" s="15" t="n">
        <v>54.08</v>
      </c>
      <c r="AS1336" s="34" t="n">
        <v>46234</v>
      </c>
      <c r="AT1336" s="15" t="n">
        <v>12.14</v>
      </c>
      <c r="AU1336" s="15" t="n">
        <v>17.5</v>
      </c>
      <c r="AV1336" s="34" t="n">
        <v>46234</v>
      </c>
      <c r="AW1336" s="15" t="n">
        <v>32.88</v>
      </c>
      <c r="AX1336" s="15" t="n">
        <v>38.44</v>
      </c>
      <c r="AY1336" s="34" t="n">
        <v>46234</v>
      </c>
      <c r="AZ1336" s="15" t="n">
        <v>26.18</v>
      </c>
      <c r="BA1336" s="15" t="n">
        <v>37.53</v>
      </c>
      <c r="BB1336" s="34" t="n">
        <v>46234</v>
      </c>
      <c r="BC1336" s="15" t="n">
        <v>75.2</v>
      </c>
      <c r="BD1336" s="15" t="n">
        <v>89.89</v>
      </c>
      <c r="BE1336" s="34" t="n">
        <v>46234</v>
      </c>
      <c r="BF1336" s="15" t="n">
        <v>100.1</v>
      </c>
      <c r="BG1336" s="15" t="n">
        <v>155.61</v>
      </c>
      <c r="BH1336" s="34" t="n">
        <v>46234</v>
      </c>
      <c r="BI1336" s="15" t="n">
        <v>20.64</v>
      </c>
      <c r="BJ1336" s="15" t="n">
        <v>31.58</v>
      </c>
      <c r="BK1336" s="34" t="n">
        <v>46234</v>
      </c>
      <c r="BL1336" s="15" t="n">
        <v>55.5</v>
      </c>
      <c r="BM1336" s="15" t="n">
        <v>86.65000000000001</v>
      </c>
      <c r="BN1336" s="34" t="n">
        <v>46234</v>
      </c>
      <c r="BO1336" s="15" t="n">
        <v>7.9</v>
      </c>
      <c r="BP1336" s="15" t="n">
        <v>20.7</v>
      </c>
      <c r="BQ1336" s="34" t="n">
        <v>46234</v>
      </c>
      <c r="BR1336" s="15" t="n">
        <v>21.1</v>
      </c>
      <c r="BS1336" s="15" t="n">
        <v>20.55</v>
      </c>
      <c r="BT1336" s="34" t="n">
        <v>46234</v>
      </c>
      <c r="BU1336" s="15" t="n">
        <v>66.84999999999999</v>
      </c>
      <c r="BV1336" s="15" t="n">
        <v>130.25</v>
      </c>
      <c r="BW1336" s="34" t="n">
        <v>46234</v>
      </c>
      <c r="BX1336" s="15" t="n">
        <v>47.8</v>
      </c>
      <c r="BY1336" s="15" t="n">
        <v>62.25</v>
      </c>
      <c r="BZ1336" s="34" t="n">
        <v>46234</v>
      </c>
      <c r="CA1336" s="15" t="n">
        <v>13.3</v>
      </c>
      <c r="CB1336" s="15" t="n">
        <v>20.6</v>
      </c>
      <c r="CC1336" s="34" t="n">
        <v>46234</v>
      </c>
      <c r="CD1336" s="15" t="n">
        <v>25.84</v>
      </c>
      <c r="CE1336" s="15" t="n">
        <v>40.7</v>
      </c>
      <c r="CF1336" s="34" t="n">
        <v>46234</v>
      </c>
      <c r="CG1336" s="15" t="n">
        <v>131.4</v>
      </c>
      <c r="CH1336" s="15" t="n">
        <v>186.11</v>
      </c>
      <c r="CI1336" s="34" t="n">
        <v>46234</v>
      </c>
      <c r="CJ1336" s="15" t="n">
        <v>7.09</v>
      </c>
      <c r="CK1336" s="15" t="n">
        <v>17.42</v>
      </c>
      <c r="CL1336" s="34" t="n">
        <v>46234</v>
      </c>
      <c r="CM1336" s="15" t="n">
        <v>76.55</v>
      </c>
      <c r="CN1336" s="15" t="n">
        <v>88.7</v>
      </c>
      <c r="CO1336" s="34" t="n">
        <v>46234</v>
      </c>
      <c r="CP1336" s="15" t="n">
        <v>459</v>
      </c>
      <c r="CQ1336" s="15" t="n">
        <v>378.6</v>
      </c>
      <c r="CR1336" s="34" t="n">
        <v>46234</v>
      </c>
      <c r="CS1336" s="15" t="n">
        <v>21.4</v>
      </c>
      <c r="CT1336" s="15" t="n">
        <v>36.43</v>
      </c>
      <c r="CU1336" s="34" t="n">
        <v>46234</v>
      </c>
      <c r="CV1336" s="15" t="n">
        <v>125</v>
      </c>
      <c r="CW1336" s="15" t="n">
        <v>135.9</v>
      </c>
      <c r="CX1336" s="34" t="n">
        <v>46234</v>
      </c>
      <c r="CY1336" s="15" t="n">
        <v>29.8</v>
      </c>
      <c r="CZ1336" s="15" t="n">
        <v>46.95</v>
      </c>
      <c r="DA1336" s="34" t="n">
        <v>46234</v>
      </c>
      <c r="DB1336" s="15" t="n">
        <v>94.3</v>
      </c>
      <c r="DC1336" s="15" t="n">
        <v>233</v>
      </c>
      <c r="DD1336" s="34" t="n">
        <v>46234</v>
      </c>
      <c r="DE1336" s="15" t="n">
        <v>33.12</v>
      </c>
      <c r="DF1336" s="15" t="n">
        <v>39.26</v>
      </c>
      <c r="DG1336" s="34" t="n">
        <v>46234</v>
      </c>
      <c r="DH1336" s="15" t="n">
        <v>269</v>
      </c>
      <c r="DI1336" s="15" t="n">
        <v>204.9</v>
      </c>
      <c r="DJ1336" s="34" t="n">
        <v>46234</v>
      </c>
      <c r="DK1336" s="15" t="n">
        <v>28.6</v>
      </c>
      <c r="DL1336" s="15" t="n">
        <v>33.85</v>
      </c>
      <c r="DM1336" s="34" t="n">
        <v>46234</v>
      </c>
      <c r="DN1336" s="15" t="n">
        <v>10.99</v>
      </c>
      <c r="DO1336" s="15" t="n">
        <v>16.7</v>
      </c>
      <c r="DP1336" s="34" t="n">
        <v>46234</v>
      </c>
      <c r="DQ1336" s="15" t="n">
        <v>16.8</v>
      </c>
      <c r="DR1336" s="15" t="n">
        <v>29.74</v>
      </c>
      <c r="DS1336" s="34" t="n">
        <v>46234</v>
      </c>
      <c r="DT1336" s="15" t="n">
        <v>43.88</v>
      </c>
      <c r="DU1336" s="15" t="n">
        <v>77.54000000000001</v>
      </c>
      <c r="DV1336" s="34" t="n">
        <v>46234</v>
      </c>
      <c r="DW1336" s="15" t="n">
        <v>16.47</v>
      </c>
      <c r="DX1336" s="15" t="n">
        <v>35.1</v>
      </c>
      <c r="DY1336" s="34" t="n">
        <v>46234</v>
      </c>
      <c r="DZ1336" s="15" t="n">
        <v>100.4</v>
      </c>
      <c r="EA1336" s="15" t="n">
        <v>141.82</v>
      </c>
      <c r="EB1336" s="34" t="n">
        <v>46234</v>
      </c>
      <c r="EC1336" s="15" t="n">
        <v>7.69</v>
      </c>
      <c r="ED1336" s="15" t="n">
        <v>16.19</v>
      </c>
      <c r="EE1336" s="34" t="n">
        <v>46234</v>
      </c>
      <c r="EF1336" s="15" t="n">
        <v>184.4</v>
      </c>
      <c r="EG1336" s="15" t="n">
        <v>190.4</v>
      </c>
      <c r="EH1336" s="34" t="n">
        <v>46234</v>
      </c>
      <c r="EI1336" s="15" t="n">
        <v>69.34999999999999</v>
      </c>
      <c r="EJ1336" s="15" t="n">
        <v>81.28</v>
      </c>
      <c r="EK1336" s="34" t="n">
        <v>46234</v>
      </c>
      <c r="EL1336" s="15" t="n">
        <v>21.02</v>
      </c>
      <c r="EM1336" s="15" t="n">
        <v>28.68</v>
      </c>
      <c r="EN1336" s="34" t="n">
        <v>46234</v>
      </c>
      <c r="EO1336" s="15" t="n">
        <v>34.16</v>
      </c>
      <c r="EP1336" s="15" t="n">
        <v>53.5</v>
      </c>
      <c r="EQ1336" s="34" t="n">
        <v>46234</v>
      </c>
      <c r="ER1336" s="15" t="n">
        <v>36</v>
      </c>
      <c r="ES1336" s="15" t="n">
        <v>39.41</v>
      </c>
      <c r="ET1336" s="34" t="n">
        <v>46234</v>
      </c>
      <c r="EU1336" s="15" t="n">
        <v>7.26</v>
      </c>
      <c r="EV1336" s="15" t="n">
        <v>13.33</v>
      </c>
      <c r="EW1336" s="34" t="n">
        <v>46234</v>
      </c>
      <c r="EX1336" s="15" t="n">
        <v>83</v>
      </c>
      <c r="EY1336" s="15" t="n">
        <v>95.73</v>
      </c>
      <c r="EZ1336" s="34" t="n">
        <v>46234</v>
      </c>
      <c r="FA1336" s="15" t="n">
        <v>6.44</v>
      </c>
      <c r="FB1336" s="15" t="n">
        <v>12.4</v>
      </c>
      <c r="FC1336" s="34" t="n">
        <v>46234</v>
      </c>
      <c r="FD1336" s="15" t="n">
        <v>276.2</v>
      </c>
      <c r="FE1336" s="15" t="n">
        <v>325.23</v>
      </c>
      <c r="FF1336" s="34" t="n">
        <v>46234</v>
      </c>
      <c r="FG1336" s="15" t="n">
        <v>109.8</v>
      </c>
      <c r="FH1336" s="15" t="n">
        <v>122.01</v>
      </c>
      <c r="FI1336" s="34" t="n">
        <v>46234</v>
      </c>
      <c r="FJ1336" s="15" t="n">
        <v>23.68</v>
      </c>
      <c r="FK1336" s="15" t="n">
        <v>38.75</v>
      </c>
      <c r="FL1336" s="34" t="n">
        <v>46234</v>
      </c>
      <c r="FM1336" s="15" t="n">
        <v>55.7</v>
      </c>
      <c r="FN1336" s="15" t="n">
        <v>57.48</v>
      </c>
      <c r="FO1336" s="34" t="n">
        <v>46234</v>
      </c>
      <c r="FP1336" s="15" t="n">
        <v>100.7</v>
      </c>
      <c r="FQ1336" s="15" t="n">
        <v>111.68</v>
      </c>
      <c r="FR1336" s="34" t="n">
        <v>46234</v>
      </c>
      <c r="FS1336" s="15" t="n">
        <v>302.2</v>
      </c>
      <c r="FT1336" s="15" t="n">
        <v>350.1</v>
      </c>
      <c r="FU1336" s="34" t="n">
        <v>46234</v>
      </c>
      <c r="FV1336" s="15" t="n">
        <v>3.18</v>
      </c>
      <c r="FW1336" s="15" t="n">
        <v>6.29</v>
      </c>
      <c r="FX1336" s="34" t="n">
        <v>46234</v>
      </c>
      <c r="FY1336" s="15" t="n">
        <v>28.58</v>
      </c>
      <c r="FZ1336" s="15" t="n">
        <v>37.25</v>
      </c>
      <c r="GA1336" s="34" t="n">
        <v>46234</v>
      </c>
      <c r="GB1336" s="15" t="n">
        <v>1028</v>
      </c>
      <c r="GC1336" s="15" t="n">
        <v>902.01</v>
      </c>
      <c r="GD1336" s="34" t="n">
        <v>46234</v>
      </c>
    </row>
    <row r="1337">
      <c r="A1337" s="34" t="n">
        <v>46237</v>
      </c>
      <c r="B1337" s="266" t="n">
        <v>1.161579966545105</v>
      </c>
      <c r="C1337" s="34" t="n">
        <v>46237</v>
      </c>
      <c r="D1337" s="15" t="n">
        <v>22.72</v>
      </c>
      <c r="E1337" s="15" t="n">
        <v>41.05</v>
      </c>
      <c r="F1337" s="34" t="n">
        <v>46237</v>
      </c>
      <c r="G1337" s="15" t="n">
        <v>109</v>
      </c>
      <c r="H1337" s="15" t="n">
        <v>146.92</v>
      </c>
      <c r="I1337" s="34" t="n">
        <v>46237</v>
      </c>
      <c r="J1337" s="15" t="n">
        <v>16.98</v>
      </c>
      <c r="K1337" s="15" t="n">
        <v>26.11</v>
      </c>
      <c r="L1337" s="34" t="n">
        <v>46237</v>
      </c>
      <c r="M1337" s="15" t="n">
        <v>34.04</v>
      </c>
      <c r="N1337" s="15" t="n">
        <v>45.75</v>
      </c>
      <c r="O1337" s="34" t="n">
        <v>46237</v>
      </c>
      <c r="P1337" s="15" t="n">
        <v>52.4</v>
      </c>
      <c r="Q1337" s="15" t="n">
        <v>57.97</v>
      </c>
      <c r="R1337" s="34" t="n">
        <v>46237</v>
      </c>
      <c r="S1337" s="15" t="n">
        <v>52.45</v>
      </c>
      <c r="T1337" s="15" t="n">
        <v>109.11</v>
      </c>
      <c r="U1337" s="34" t="n">
        <v>46237</v>
      </c>
      <c r="V1337" s="15" t="n">
        <v>12.65</v>
      </c>
      <c r="W1337" s="15" t="n">
        <v>17.35</v>
      </c>
      <c r="X1337" s="34" t="n">
        <v>46237</v>
      </c>
      <c r="Y1337" s="15" t="n">
        <v>97.75</v>
      </c>
      <c r="Z1337" s="15" t="n">
        <v>85.90000000000001</v>
      </c>
      <c r="AA1337" s="34" t="n">
        <v>46237</v>
      </c>
      <c r="AB1337" s="15" t="n">
        <v>9.865</v>
      </c>
      <c r="AC1337" s="15" t="n">
        <v>18.78</v>
      </c>
      <c r="AD1337" s="34" t="n">
        <v>46237</v>
      </c>
      <c r="AE1337" s="15" t="n">
        <v>33.88</v>
      </c>
      <c r="AF1337" s="15" t="n">
        <v>35.05</v>
      </c>
      <c r="AG1337" s="34" t="n">
        <v>46237</v>
      </c>
      <c r="AH1337" s="15" t="n">
        <v>33.4</v>
      </c>
      <c r="AI1337" s="15" t="n">
        <v>38.86</v>
      </c>
      <c r="AJ1337" s="34" t="n">
        <v>46237</v>
      </c>
      <c r="AK1337" s="15" t="n">
        <v>15.99</v>
      </c>
      <c r="AL1337" s="15" t="n">
        <v>41.83</v>
      </c>
      <c r="AM1337" s="34" t="n">
        <v>46237</v>
      </c>
      <c r="AN1337" s="15" t="n">
        <v>625</v>
      </c>
      <c r="AO1337" s="15" t="n">
        <v>394.4</v>
      </c>
      <c r="AP1337" s="34" t="n">
        <v>46237</v>
      </c>
      <c r="AQ1337" s="15" t="n">
        <v>56.7</v>
      </c>
      <c r="AR1337" s="15" t="n">
        <v>53</v>
      </c>
      <c r="AS1337" s="34" t="n">
        <v>46237</v>
      </c>
      <c r="AT1337" s="15" t="n">
        <v>13.26</v>
      </c>
      <c r="AU1337" s="15" t="n">
        <v>19.25</v>
      </c>
      <c r="AV1337" s="34" t="n">
        <v>46237</v>
      </c>
      <c r="AW1337" s="15" t="n">
        <v>32.72</v>
      </c>
      <c r="AX1337" s="15" t="n">
        <v>38.02</v>
      </c>
      <c r="AY1337" s="34" t="n">
        <v>46237</v>
      </c>
      <c r="AZ1337" s="15" t="n">
        <v>26.54</v>
      </c>
      <c r="BA1337" s="15" t="n">
        <v>38.3</v>
      </c>
      <c r="BB1337" s="34" t="n">
        <v>46237</v>
      </c>
      <c r="BC1337" s="15" t="n">
        <v>72.65000000000001</v>
      </c>
      <c r="BD1337" s="15" t="n">
        <v>86.53</v>
      </c>
      <c r="BE1337" s="34" t="n">
        <v>46237</v>
      </c>
      <c r="BF1337" s="15" t="n">
        <v>103.5</v>
      </c>
      <c r="BG1337" s="15" t="n">
        <v>159.28</v>
      </c>
      <c r="BH1337" s="34" t="n">
        <v>46237</v>
      </c>
      <c r="BI1337" s="15" t="n">
        <v>20.8</v>
      </c>
      <c r="BJ1337" s="15" t="n">
        <v>31.57</v>
      </c>
      <c r="BK1337" s="34" t="n">
        <v>46237</v>
      </c>
      <c r="BL1337" s="15" t="n">
        <v>55.8</v>
      </c>
      <c r="BM1337" s="15" t="n">
        <v>81.39</v>
      </c>
      <c r="BN1337" s="34" t="n">
        <v>46237</v>
      </c>
      <c r="BO1337" s="15" t="n">
        <v>7.75</v>
      </c>
      <c r="BP1337" s="15" t="n">
        <v>20.62</v>
      </c>
      <c r="BQ1337" s="34" t="n">
        <v>46237</v>
      </c>
      <c r="BR1337" s="15" t="n">
        <v>21.02</v>
      </c>
      <c r="BS1337" s="15" t="n">
        <v>20.2</v>
      </c>
      <c r="BT1337" s="34" t="n">
        <v>46237</v>
      </c>
      <c r="BU1337" s="15" t="n">
        <v>71.95</v>
      </c>
      <c r="BV1337" s="15" t="n">
        <v>135.17</v>
      </c>
      <c r="BW1337" s="34" t="n">
        <v>46237</v>
      </c>
      <c r="BX1337" s="15" t="n">
        <v>46.04</v>
      </c>
      <c r="BY1337" s="15" t="n">
        <v>60.64</v>
      </c>
      <c r="BZ1337" s="34" t="n">
        <v>46237</v>
      </c>
      <c r="CA1337" s="15" t="n">
        <v>13.31</v>
      </c>
      <c r="CB1337" s="15" t="n">
        <v>21</v>
      </c>
      <c r="CC1337" s="34" t="n">
        <v>46237</v>
      </c>
      <c r="CD1337" s="15" t="n">
        <v>25.78</v>
      </c>
      <c r="CE1337" s="15" t="n">
        <v>40.5</v>
      </c>
      <c r="CF1337" s="34" t="n">
        <v>46237</v>
      </c>
      <c r="CG1337" s="15" t="n">
        <v>124.6</v>
      </c>
      <c r="CH1337" s="15" t="n">
        <v>181.44</v>
      </c>
      <c r="CI1337" s="34" t="n">
        <v>46237</v>
      </c>
      <c r="CJ1337" s="15" t="n">
        <v>7.7</v>
      </c>
      <c r="CK1337" s="15" t="n">
        <v>17.87</v>
      </c>
      <c r="CL1337" s="34" t="n">
        <v>46237</v>
      </c>
      <c r="CM1337" s="15" t="n">
        <v>76.8</v>
      </c>
      <c r="CN1337" s="15" t="n">
        <v>88.22</v>
      </c>
      <c r="CO1337" s="34" t="n">
        <v>46237</v>
      </c>
      <c r="CP1337" s="15" t="n">
        <v>424.6</v>
      </c>
      <c r="CQ1337" s="15" t="n">
        <v>340.74</v>
      </c>
      <c r="CR1337" s="34" t="n">
        <v>46237</v>
      </c>
      <c r="CS1337" s="15" t="n">
        <v>21.36</v>
      </c>
      <c r="CT1337" s="15" t="n">
        <v>35.72</v>
      </c>
      <c r="CU1337" s="34" t="n">
        <v>46237</v>
      </c>
      <c r="CV1337" s="15" t="n">
        <v>119.3</v>
      </c>
      <c r="CW1337" s="15" t="n">
        <v>129.64</v>
      </c>
      <c r="CX1337" s="34" t="n">
        <v>46237</v>
      </c>
      <c r="CY1337" s="15" t="n">
        <v>32.08</v>
      </c>
      <c r="CZ1337" s="15" t="n">
        <v>50.9</v>
      </c>
      <c r="DA1337" s="34" t="n">
        <v>46237</v>
      </c>
      <c r="DB1337" s="15" t="n">
        <v>90.05</v>
      </c>
      <c r="DC1337" s="15" t="n">
        <v>223.27</v>
      </c>
      <c r="DD1337" s="34" t="n">
        <v>46237</v>
      </c>
      <c r="DE1337" s="15" t="n">
        <v>32.8</v>
      </c>
      <c r="DF1337" s="15" t="n">
        <v>38.93</v>
      </c>
      <c r="DG1337" s="34" t="n">
        <v>46237</v>
      </c>
      <c r="DH1337" s="15" t="n">
        <v>248.8</v>
      </c>
      <c r="DI1337" s="15" t="n">
        <v>189.94</v>
      </c>
      <c r="DJ1337" s="34" t="n">
        <v>46237</v>
      </c>
      <c r="DK1337" s="15" t="n">
        <v>29.1</v>
      </c>
      <c r="DL1337" s="15" t="n">
        <v>33.92</v>
      </c>
      <c r="DM1337" s="34" t="n">
        <v>46237</v>
      </c>
      <c r="DN1337" s="15" t="n">
        <v>11.23</v>
      </c>
      <c r="DO1337" s="15" t="n">
        <v>17.13</v>
      </c>
      <c r="DP1337" s="34" t="n">
        <v>46237</v>
      </c>
      <c r="DQ1337" s="15" t="n">
        <v>17.57</v>
      </c>
      <c r="DR1337" s="15" t="n">
        <v>30.75</v>
      </c>
      <c r="DS1337" s="34" t="n">
        <v>46237</v>
      </c>
      <c r="DT1337" s="15" t="n">
        <v>44.54</v>
      </c>
      <c r="DU1337" s="15" t="n">
        <v>79.98999999999999</v>
      </c>
      <c r="DV1337" s="34" t="n">
        <v>46237</v>
      </c>
      <c r="DW1337" s="15" t="n">
        <v>16.76</v>
      </c>
      <c r="DX1337" s="15" t="n">
        <v>36.27</v>
      </c>
      <c r="DY1337" s="34" t="n">
        <v>46237</v>
      </c>
      <c r="DZ1337" s="15" t="n">
        <v>98.2</v>
      </c>
      <c r="EA1337" s="15" t="n">
        <v>140.58</v>
      </c>
      <c r="EB1337" s="34" t="n">
        <v>46237</v>
      </c>
      <c r="EC1337" s="15" t="n">
        <v>7.715</v>
      </c>
      <c r="ED1337" s="15" t="n">
        <v>16.42</v>
      </c>
      <c r="EE1337" s="34" t="n">
        <v>46237</v>
      </c>
      <c r="EF1337" s="15" t="n">
        <v>184</v>
      </c>
      <c r="EG1337" s="15" t="n">
        <v>189.3</v>
      </c>
      <c r="EH1337" s="34" t="n">
        <v>46237</v>
      </c>
      <c r="EI1337" s="15" t="n">
        <v>64</v>
      </c>
      <c r="EJ1337" s="15" t="n">
        <v>73.90000000000001</v>
      </c>
      <c r="EK1337" s="34" t="n">
        <v>46237</v>
      </c>
      <c r="EL1337" s="15" t="n">
        <v>20.8</v>
      </c>
      <c r="EM1337" s="15" t="n">
        <v>26.81</v>
      </c>
      <c r="EN1337" s="34" t="n">
        <v>46237</v>
      </c>
      <c r="EO1337" s="15" t="n">
        <v>34</v>
      </c>
      <c r="EP1337" s="15" t="n">
        <v>53.58</v>
      </c>
      <c r="EQ1337" s="34" t="n">
        <v>46237</v>
      </c>
      <c r="ER1337" s="15" t="n">
        <v>38.1</v>
      </c>
      <c r="ES1337" s="15" t="n">
        <v>40.8</v>
      </c>
      <c r="ET1337" s="34" t="n">
        <v>46237</v>
      </c>
      <c r="EU1337" s="15" t="n">
        <v>7.24</v>
      </c>
      <c r="EV1337" s="15" t="n">
        <v>13.19</v>
      </c>
      <c r="EW1337" s="34" t="n">
        <v>46237</v>
      </c>
      <c r="EX1337" s="15" t="n">
        <v>80.2</v>
      </c>
      <c r="EY1337" s="15" t="n">
        <v>94.40000000000001</v>
      </c>
      <c r="EZ1337" s="34" t="n">
        <v>46237</v>
      </c>
      <c r="FA1337" s="15" t="n">
        <v>6.36</v>
      </c>
      <c r="FB1337" s="15" t="n">
        <v>12.46</v>
      </c>
      <c r="FC1337" s="34" t="n">
        <v>46237</v>
      </c>
      <c r="FD1337" s="15" t="n">
        <v>253.8</v>
      </c>
      <c r="FE1337" s="15" t="n">
        <v>303.53</v>
      </c>
      <c r="FF1337" s="34" t="n">
        <v>46237</v>
      </c>
      <c r="FG1337" s="15" t="n">
        <v>108.2</v>
      </c>
      <c r="FH1337" s="15" t="n">
        <v>121.43</v>
      </c>
      <c r="FI1337" s="34" t="n">
        <v>46237</v>
      </c>
      <c r="FJ1337" s="15" t="n">
        <v>23.3</v>
      </c>
      <c r="FK1337" s="15" t="n">
        <v>37.11</v>
      </c>
      <c r="FL1337" s="34" t="n">
        <v>46237</v>
      </c>
      <c r="FM1337" s="15" t="n">
        <v>54.5</v>
      </c>
      <c r="FN1337" s="15" t="n">
        <v>53.71</v>
      </c>
      <c r="FO1337" s="34" t="n">
        <v>46237</v>
      </c>
      <c r="FP1337" s="15" t="n">
        <v>98.5</v>
      </c>
      <c r="FQ1337" s="15" t="n">
        <v>114</v>
      </c>
      <c r="FR1337" s="34" t="n">
        <v>46237</v>
      </c>
      <c r="FS1337" s="15" t="n">
        <v>304.4</v>
      </c>
      <c r="FT1337" s="15" t="n">
        <v>335</v>
      </c>
      <c r="FU1337" s="34" t="n">
        <v>46237</v>
      </c>
      <c r="FV1337" s="15" t="n">
        <v>3.14</v>
      </c>
      <c r="FW1337" s="15" t="n">
        <v>6.15</v>
      </c>
      <c r="FX1337" s="34" t="n">
        <v>46237</v>
      </c>
      <c r="FY1337" s="15" t="n">
        <v>28.26</v>
      </c>
      <c r="FZ1337" s="15" t="n">
        <v>34.59</v>
      </c>
      <c r="GA1337" s="34" t="n">
        <v>46237</v>
      </c>
      <c r="GB1337" s="15" t="n">
        <v>1006</v>
      </c>
      <c r="GC1337" s="15" t="n">
        <v>902.5</v>
      </c>
      <c r="GD1337" s="34" t="n">
        <v>46237</v>
      </c>
    </row>
    <row r="1338">
      <c r="A1338" s="34" t="n">
        <v>46238</v>
      </c>
      <c r="B1338" s="266" t="n">
        <v>1.161064982414246</v>
      </c>
      <c r="C1338" s="34" t="n">
        <v>46238</v>
      </c>
      <c r="D1338" s="15" t="n">
        <v>23.32</v>
      </c>
      <c r="E1338" s="15" t="n">
        <v>44.35</v>
      </c>
      <c r="F1338" s="34" t="n">
        <v>46238</v>
      </c>
      <c r="G1338" s="15" t="n">
        <v>115.8</v>
      </c>
      <c r="H1338" s="15" t="n">
        <v>161.61</v>
      </c>
      <c r="I1338" s="34" t="n">
        <v>46238</v>
      </c>
      <c r="J1338" s="15" t="n">
        <v>17.34</v>
      </c>
      <c r="K1338" s="15" t="n">
        <v>26.44</v>
      </c>
      <c r="L1338" s="34" t="n">
        <v>46238</v>
      </c>
      <c r="M1338" s="15" t="n">
        <v>35.3</v>
      </c>
      <c r="N1338" s="15" t="n">
        <v>46.8</v>
      </c>
      <c r="O1338" s="34" t="n">
        <v>46238</v>
      </c>
      <c r="P1338" s="15" t="n">
        <v>51.85</v>
      </c>
      <c r="Q1338" s="15" t="n">
        <v>56.82</v>
      </c>
      <c r="R1338" s="34" t="n">
        <v>46238</v>
      </c>
      <c r="S1338" s="15" t="n">
        <v>57.55</v>
      </c>
      <c r="T1338" s="15" t="n">
        <v>116.88</v>
      </c>
      <c r="U1338" s="34" t="n">
        <v>46238</v>
      </c>
      <c r="V1338" s="15" t="n">
        <v>12.65</v>
      </c>
      <c r="W1338" s="15" t="n">
        <v>17.51</v>
      </c>
      <c r="X1338" s="34" t="n">
        <v>46238</v>
      </c>
      <c r="Y1338" s="15" t="n">
        <v>96.95</v>
      </c>
      <c r="Z1338" s="15" t="n">
        <v>85.14</v>
      </c>
      <c r="AA1338" s="34" t="n">
        <v>46238</v>
      </c>
      <c r="AB1338" s="15" t="n">
        <v>10.05</v>
      </c>
      <c r="AC1338" s="15" t="n">
        <v>19.01</v>
      </c>
      <c r="AD1338" s="34" t="n">
        <v>46238</v>
      </c>
      <c r="AE1338" s="15" t="n">
        <v>33.06</v>
      </c>
      <c r="AF1338" s="15" t="n">
        <v>34.45</v>
      </c>
      <c r="AG1338" s="34" t="n">
        <v>46238</v>
      </c>
      <c r="AH1338" s="15" t="n">
        <v>33</v>
      </c>
      <c r="AI1338" s="15" t="n">
        <v>37.75</v>
      </c>
      <c r="AJ1338" s="34" t="n">
        <v>46238</v>
      </c>
      <c r="AK1338" s="15" t="n">
        <v>16.35</v>
      </c>
      <c r="AL1338" s="15" t="n">
        <v>42.95</v>
      </c>
      <c r="AM1338" s="34" t="n">
        <v>46238</v>
      </c>
      <c r="AN1338" s="15" t="n">
        <v>649.5</v>
      </c>
      <c r="AO1338" s="15" t="n">
        <v>395.1</v>
      </c>
      <c r="AP1338" s="34" t="n">
        <v>46238</v>
      </c>
      <c r="AQ1338" s="15" t="n">
        <v>57.65</v>
      </c>
      <c r="AR1338" s="15" t="n">
        <v>53.42</v>
      </c>
      <c r="AS1338" s="34" t="n">
        <v>46238</v>
      </c>
      <c r="AT1338" s="15" t="n">
        <v>13.43</v>
      </c>
      <c r="AU1338" s="15" t="n">
        <v>19.79</v>
      </c>
      <c r="AV1338" s="34" t="n">
        <v>46238</v>
      </c>
      <c r="AW1338" s="15" t="n">
        <v>32.24</v>
      </c>
      <c r="AX1338" s="15" t="n">
        <v>37.33</v>
      </c>
      <c r="AY1338" s="34" t="n">
        <v>46238</v>
      </c>
      <c r="AZ1338" s="15" t="n">
        <v>26.68</v>
      </c>
      <c r="BA1338" s="15" t="n">
        <v>38.74</v>
      </c>
      <c r="BB1338" s="34" t="n">
        <v>46238</v>
      </c>
      <c r="BC1338" s="15" t="n">
        <v>71.75</v>
      </c>
      <c r="BD1338" s="15" t="n">
        <v>85.8</v>
      </c>
      <c r="BE1338" s="34" t="n">
        <v>46238</v>
      </c>
      <c r="BF1338" s="15" t="n">
        <v>106.3</v>
      </c>
      <c r="BG1338" s="15" t="n">
        <v>156</v>
      </c>
      <c r="BH1338" s="34" t="n">
        <v>46238</v>
      </c>
      <c r="BI1338" s="15" t="n">
        <v>21.32</v>
      </c>
      <c r="BJ1338" s="15" t="n">
        <v>32.95</v>
      </c>
      <c r="BK1338" s="34" t="n">
        <v>46238</v>
      </c>
      <c r="BL1338" s="15" t="n">
        <v>57.6</v>
      </c>
      <c r="BM1338" s="15" t="n">
        <v>86.45</v>
      </c>
      <c r="BN1338" s="34" t="n">
        <v>46238</v>
      </c>
      <c r="BO1338" s="15" t="n">
        <v>7.765</v>
      </c>
      <c r="BP1338" s="15" t="n">
        <v>21.1</v>
      </c>
      <c r="BQ1338" s="34" t="n">
        <v>46238</v>
      </c>
      <c r="BR1338" s="15" t="n">
        <v>21.02</v>
      </c>
      <c r="BS1338" s="15" t="n">
        <v>19.53</v>
      </c>
      <c r="BT1338" s="34" t="n">
        <v>46238</v>
      </c>
      <c r="BU1338" s="15" t="n">
        <v>86.2</v>
      </c>
      <c r="BV1338" s="15" t="n">
        <v>148.69</v>
      </c>
      <c r="BW1338" s="34" t="n">
        <v>46238</v>
      </c>
      <c r="BX1338" s="15" t="n">
        <v>44.04</v>
      </c>
      <c r="BY1338" s="15" t="n">
        <v>58.62</v>
      </c>
      <c r="BZ1338" s="34" t="n">
        <v>46238</v>
      </c>
      <c r="CA1338" s="15" t="n">
        <v>13.27</v>
      </c>
      <c r="CB1338" s="15" t="n">
        <v>21.14</v>
      </c>
      <c r="CC1338" s="34" t="n">
        <v>46238</v>
      </c>
      <c r="CD1338" s="15" t="n">
        <v>26.14</v>
      </c>
      <c r="CE1338" s="15" t="n">
        <v>41.05</v>
      </c>
      <c r="CF1338" s="34" t="n">
        <v>46238</v>
      </c>
      <c r="CG1338" s="15" t="n">
        <v>136</v>
      </c>
      <c r="CH1338" s="15" t="n">
        <v>191.33</v>
      </c>
      <c r="CI1338" s="34" t="n">
        <v>46238</v>
      </c>
      <c r="CJ1338" s="15" t="n">
        <v>7.735</v>
      </c>
      <c r="CK1338" s="15" t="n">
        <v>17.81</v>
      </c>
      <c r="CL1338" s="34" t="n">
        <v>46238</v>
      </c>
      <c r="CM1338" s="15" t="n">
        <v>76.55</v>
      </c>
      <c r="CN1338" s="15" t="n">
        <v>87.95</v>
      </c>
      <c r="CO1338" s="34" t="n">
        <v>46238</v>
      </c>
      <c r="CP1338" s="15" t="n">
        <v>459.8</v>
      </c>
      <c r="CQ1338" s="15" t="n">
        <v>356.02</v>
      </c>
      <c r="CR1338" s="34" t="n">
        <v>46238</v>
      </c>
      <c r="CS1338" s="15" t="n">
        <v>21.54</v>
      </c>
      <c r="CT1338" s="15" t="n">
        <v>35.8</v>
      </c>
      <c r="CU1338" s="34" t="n">
        <v>46238</v>
      </c>
      <c r="CV1338" s="15" t="n">
        <v>119.3</v>
      </c>
      <c r="CW1338" s="15" t="n">
        <v>126.45</v>
      </c>
      <c r="CX1338" s="34" t="n">
        <v>46238</v>
      </c>
      <c r="CY1338" s="15" t="n">
        <v>31.14</v>
      </c>
      <c r="CZ1338" s="15" t="n">
        <v>53.6</v>
      </c>
      <c r="DA1338" s="34" t="n">
        <v>46238</v>
      </c>
      <c r="DB1338" s="15" t="n">
        <v>104.4</v>
      </c>
      <c r="DC1338" s="15" t="n">
        <v>247.49</v>
      </c>
      <c r="DD1338" s="34" t="n">
        <v>46238</v>
      </c>
      <c r="DE1338" s="15" t="n">
        <v>31.62</v>
      </c>
      <c r="DF1338" s="15" t="n">
        <v>38.02</v>
      </c>
      <c r="DG1338" s="34" t="n">
        <v>46238</v>
      </c>
      <c r="DH1338" s="15" t="n">
        <v>262.6</v>
      </c>
      <c r="DI1338" s="15" t="n">
        <v>203.25</v>
      </c>
      <c r="DJ1338" s="34" t="n">
        <v>46238</v>
      </c>
      <c r="DK1338" s="15" t="n">
        <v>30.76</v>
      </c>
      <c r="DL1338" s="15" t="n">
        <v>34.33</v>
      </c>
      <c r="DM1338" s="34" t="n">
        <v>46238</v>
      </c>
      <c r="DN1338" s="15" t="n">
        <v>11.45</v>
      </c>
      <c r="DO1338" s="15" t="n">
        <v>17.53</v>
      </c>
      <c r="DP1338" s="34" t="n">
        <v>46238</v>
      </c>
      <c r="DQ1338" s="15" t="n">
        <v>18.07</v>
      </c>
      <c r="DR1338" s="15" t="n">
        <v>32.3</v>
      </c>
      <c r="DS1338" s="34" t="n">
        <v>46238</v>
      </c>
      <c r="DT1338" s="15" t="n">
        <v>45.12</v>
      </c>
      <c r="DU1338" s="15" t="n">
        <v>79.90000000000001</v>
      </c>
      <c r="DV1338" s="34" t="n">
        <v>46238</v>
      </c>
      <c r="DW1338" s="15" t="n">
        <v>17.09</v>
      </c>
      <c r="DX1338" s="15" t="n">
        <v>36.82</v>
      </c>
      <c r="DY1338" s="34" t="n">
        <v>46238</v>
      </c>
      <c r="DZ1338" s="15" t="n">
        <v>110.2</v>
      </c>
      <c r="EA1338" s="15" t="n">
        <v>152.68</v>
      </c>
      <c r="EB1338" s="34" t="n">
        <v>46238</v>
      </c>
      <c r="EC1338" s="15" t="n">
        <v>8.369999999999999</v>
      </c>
      <c r="ED1338" s="15" t="n">
        <v>18.1</v>
      </c>
      <c r="EE1338" s="34" t="n">
        <v>46238</v>
      </c>
      <c r="EF1338" s="15" t="n">
        <v>190.4</v>
      </c>
      <c r="EG1338" s="15" t="n">
        <v>201.8</v>
      </c>
      <c r="EH1338" s="34" t="n">
        <v>46238</v>
      </c>
      <c r="EI1338" s="15" t="n">
        <v>67.84999999999999</v>
      </c>
      <c r="EJ1338" s="15" t="n">
        <v>76.55</v>
      </c>
      <c r="EK1338" s="34" t="n">
        <v>46238</v>
      </c>
      <c r="EL1338" s="15" t="n">
        <v>20.8</v>
      </c>
      <c r="EM1338" s="15" t="n">
        <v>27.12</v>
      </c>
      <c r="EN1338" s="34" t="n">
        <v>46238</v>
      </c>
      <c r="EO1338" s="15" t="n">
        <v>33.3</v>
      </c>
      <c r="EP1338" s="15" t="n">
        <v>54.35</v>
      </c>
      <c r="EQ1338" s="34" t="n">
        <v>46238</v>
      </c>
      <c r="ER1338" s="15" t="n">
        <v>38.58</v>
      </c>
      <c r="ES1338" s="15" t="n">
        <v>41.57</v>
      </c>
      <c r="ET1338" s="34" t="n">
        <v>46238</v>
      </c>
      <c r="EU1338" s="15" t="n">
        <v>7.27</v>
      </c>
      <c r="EV1338" s="15" t="n">
        <v>13.51</v>
      </c>
      <c r="EW1338" s="34" t="n">
        <v>46238</v>
      </c>
      <c r="EX1338" s="15" t="n">
        <v>84.25</v>
      </c>
      <c r="EY1338" s="15" t="n">
        <v>101.56</v>
      </c>
      <c r="EZ1338" s="34" t="n">
        <v>46238</v>
      </c>
      <c r="FA1338" s="15" t="n">
        <v>6.395</v>
      </c>
      <c r="FB1338" s="15" t="n">
        <v>12.66</v>
      </c>
      <c r="FC1338" s="34" t="n">
        <v>46238</v>
      </c>
      <c r="FD1338" s="15" t="n">
        <v>310</v>
      </c>
      <c r="FE1338" s="15" t="n">
        <v>340</v>
      </c>
      <c r="FF1338" s="34" t="n">
        <v>46238</v>
      </c>
      <c r="FG1338" s="15" t="n">
        <v>108.9</v>
      </c>
      <c r="FH1338" s="15" t="n">
        <v>119.45</v>
      </c>
      <c r="FI1338" s="34" t="n">
        <v>46238</v>
      </c>
      <c r="FJ1338" s="15" t="n">
        <v>24.52</v>
      </c>
      <c r="FK1338" s="15" t="n">
        <v>40.44</v>
      </c>
      <c r="FL1338" s="34" t="n">
        <v>46238</v>
      </c>
      <c r="FM1338" s="15" t="n">
        <v>57.9</v>
      </c>
      <c r="FN1338" s="15" t="n">
        <v>55.48</v>
      </c>
      <c r="FO1338" s="34" t="n">
        <v>46238</v>
      </c>
      <c r="FP1338" s="15" t="n">
        <v>103.8</v>
      </c>
      <c r="FQ1338" s="15" t="n">
        <v>120.98</v>
      </c>
      <c r="FR1338" s="34" t="n">
        <v>46238</v>
      </c>
      <c r="FS1338" s="15" t="n">
        <v>340</v>
      </c>
      <c r="FT1338" s="15" t="n">
        <v>375.71</v>
      </c>
      <c r="FU1338" s="34" t="n">
        <v>46238</v>
      </c>
      <c r="FV1338" s="15" t="n">
        <v>3.225</v>
      </c>
      <c r="FW1338" s="15" t="n">
        <v>6.46</v>
      </c>
      <c r="FX1338" s="34" t="n">
        <v>46238</v>
      </c>
      <c r="FY1338" s="15" t="n">
        <v>31.54</v>
      </c>
      <c r="FZ1338" s="15" t="n">
        <v>36.62</v>
      </c>
      <c r="GA1338" s="34" t="n">
        <v>46238</v>
      </c>
      <c r="GB1338" s="15" t="n">
        <v>1177</v>
      </c>
      <c r="GC1338" s="15" t="n">
        <v>1021.99</v>
      </c>
      <c r="GD1338" s="34" t="n">
        <v>46238</v>
      </c>
    </row>
    <row r="1339">
      <c r="A1339" s="34" t="n">
        <v>46239</v>
      </c>
      <c r="B1339" s="266" t="n">
        <v>1.161146998405457</v>
      </c>
      <c r="C1339" s="34" t="n">
        <v>46239</v>
      </c>
      <c r="D1339" s="15" t="n">
        <v>24.58</v>
      </c>
      <c r="E1339" s="15" t="n">
        <v>46.3</v>
      </c>
      <c r="F1339" s="34" t="n">
        <v>46239</v>
      </c>
      <c r="G1339" s="15" t="n">
        <v>113.6</v>
      </c>
      <c r="H1339" s="15" t="n">
        <v>163.38</v>
      </c>
      <c r="I1339" s="34" t="n">
        <v>46239</v>
      </c>
      <c r="J1339" s="15" t="n">
        <v>17.8</v>
      </c>
      <c r="K1339" s="15" t="n">
        <v>27.13</v>
      </c>
      <c r="L1339" s="34" t="n">
        <v>46239</v>
      </c>
      <c r="M1339" s="15" t="n">
        <v>36.34</v>
      </c>
      <c r="N1339" s="15" t="n">
        <v>47.77</v>
      </c>
      <c r="O1339" s="34" t="n">
        <v>46239</v>
      </c>
      <c r="P1339" s="15" t="n">
        <v>51.8</v>
      </c>
      <c r="Q1339" s="15" t="n">
        <v>56.39</v>
      </c>
      <c r="R1339" s="34" t="n">
        <v>46239</v>
      </c>
      <c r="S1339" s="15" t="n">
        <v>56.1</v>
      </c>
      <c r="T1339" s="15" t="n">
        <v>116.22</v>
      </c>
      <c r="U1339" s="34" t="n">
        <v>46239</v>
      </c>
      <c r="V1339" s="15" t="n">
        <v>13.1</v>
      </c>
      <c r="W1339" s="15" t="n">
        <v>17.7</v>
      </c>
      <c r="X1339" s="34" t="n">
        <v>46239</v>
      </c>
      <c r="Y1339" s="15" t="n">
        <v>97.55</v>
      </c>
      <c r="Z1339" s="15" t="n">
        <v>85.47</v>
      </c>
      <c r="AA1339" s="34" t="n">
        <v>46239</v>
      </c>
      <c r="AB1339" s="15" t="n">
        <v>10.4</v>
      </c>
      <c r="AC1339" s="15" t="n">
        <v>19.6</v>
      </c>
      <c r="AD1339" s="34" t="n">
        <v>46239</v>
      </c>
      <c r="AE1339" s="15" t="n">
        <v>33.04</v>
      </c>
      <c r="AF1339" s="15" t="n">
        <v>34.01</v>
      </c>
      <c r="AG1339" s="34" t="n">
        <v>46239</v>
      </c>
      <c r="AH1339" s="15" t="n">
        <v>35.7</v>
      </c>
      <c r="AI1339" s="15" t="n">
        <v>40.84</v>
      </c>
      <c r="AJ1339" s="34" t="n">
        <v>46239</v>
      </c>
      <c r="AK1339" s="15" t="n">
        <v>16.78</v>
      </c>
      <c r="AL1339" s="15" t="n">
        <v>44.3</v>
      </c>
      <c r="AM1339" s="34" t="n">
        <v>46239</v>
      </c>
      <c r="AN1339" s="15" t="n">
        <v>663</v>
      </c>
      <c r="AO1339" s="15" t="n">
        <v>405.2</v>
      </c>
      <c r="AP1339" s="34" t="n">
        <v>46239</v>
      </c>
      <c r="AQ1339" s="15" t="n">
        <v>58.3</v>
      </c>
      <c r="AR1339" s="15" t="n">
        <v>53.54</v>
      </c>
      <c r="AS1339" s="34" t="n">
        <v>46239</v>
      </c>
      <c r="AT1339" s="15" t="n">
        <v>13.01</v>
      </c>
      <c r="AU1339" s="15" t="n">
        <v>19.58</v>
      </c>
      <c r="AV1339" s="34" t="n">
        <v>46239</v>
      </c>
      <c r="AW1339" s="15" t="n">
        <v>32.34</v>
      </c>
      <c r="AX1339" s="15" t="n">
        <v>36.97</v>
      </c>
      <c r="AY1339" s="34" t="n">
        <v>46239</v>
      </c>
      <c r="AZ1339" s="15" t="n">
        <v>27</v>
      </c>
      <c r="BA1339" s="15" t="n">
        <v>39.41</v>
      </c>
      <c r="BB1339" s="34" t="n">
        <v>46239</v>
      </c>
      <c r="BC1339" s="15" t="n">
        <v>70.7</v>
      </c>
      <c r="BD1339" s="15" t="n">
        <v>85.11</v>
      </c>
      <c r="BE1339" s="34" t="n">
        <v>46239</v>
      </c>
      <c r="BF1339" s="15" t="n">
        <v>108.3</v>
      </c>
      <c r="BG1339" s="15" t="n">
        <v>166.35</v>
      </c>
      <c r="BH1339" s="34" t="n">
        <v>46239</v>
      </c>
      <c r="BI1339" s="15" t="n">
        <v>22.1</v>
      </c>
      <c r="BJ1339" s="15" t="n">
        <v>35.09</v>
      </c>
      <c r="BK1339" s="34" t="n">
        <v>46239</v>
      </c>
      <c r="BL1339" s="15" t="n">
        <v>64.40000000000001</v>
      </c>
      <c r="BM1339" s="15" t="n">
        <v>93.52</v>
      </c>
      <c r="BN1339" s="34" t="n">
        <v>46239</v>
      </c>
      <c r="BO1339" s="15" t="n">
        <v>7.89</v>
      </c>
      <c r="BP1339" s="15" t="n">
        <v>21.32</v>
      </c>
      <c r="BQ1339" s="34" t="n">
        <v>46239</v>
      </c>
      <c r="BR1339" s="15" t="n">
        <v>21.16</v>
      </c>
      <c r="BS1339" s="15" t="n">
        <v>19.62</v>
      </c>
      <c r="BT1339" s="34" t="n">
        <v>46239</v>
      </c>
      <c r="BU1339" s="15" t="n">
        <v>82.15000000000001</v>
      </c>
      <c r="BV1339" s="15" t="n">
        <v>149.56</v>
      </c>
      <c r="BW1339" s="34" t="n">
        <v>46239</v>
      </c>
      <c r="BX1339" s="15" t="n">
        <v>45.22</v>
      </c>
      <c r="BY1339" s="15" t="n">
        <v>58.85</v>
      </c>
      <c r="BZ1339" s="34" t="n">
        <v>46239</v>
      </c>
      <c r="CA1339" s="15" t="n">
        <v>13.64</v>
      </c>
      <c r="CB1339" s="15" t="n">
        <v>21.62</v>
      </c>
      <c r="CC1339" s="34" t="n">
        <v>46239</v>
      </c>
      <c r="CD1339" s="15" t="n">
        <v>26.66</v>
      </c>
      <c r="CE1339" s="15" t="n">
        <v>41.65</v>
      </c>
      <c r="CF1339" s="34" t="n">
        <v>46239</v>
      </c>
      <c r="CG1339" s="15" t="n">
        <v>143.2</v>
      </c>
      <c r="CH1339" s="15" t="n">
        <v>202.05</v>
      </c>
      <c r="CI1339" s="34" t="n">
        <v>46239</v>
      </c>
      <c r="CJ1339" s="15" t="n">
        <v>7.915</v>
      </c>
      <c r="CK1339" s="15" t="n">
        <v>18.19</v>
      </c>
      <c r="CL1339" s="34" t="n">
        <v>46239</v>
      </c>
      <c r="CM1339" s="15" t="n">
        <v>77.90000000000001</v>
      </c>
      <c r="CN1339" s="15" t="n">
        <v>90.83</v>
      </c>
      <c r="CO1339" s="34" t="n">
        <v>46239</v>
      </c>
      <c r="CP1339" s="15" t="n">
        <v>486</v>
      </c>
      <c r="CQ1339" s="15" t="n">
        <v>385.44</v>
      </c>
      <c r="CR1339" s="34" t="n">
        <v>46239</v>
      </c>
      <c r="CS1339" s="15" t="n">
        <v>22.2</v>
      </c>
      <c r="CT1339" s="15" t="n">
        <v>36.83</v>
      </c>
      <c r="CU1339" s="34" t="n">
        <v>46239</v>
      </c>
      <c r="CV1339" s="15" t="n">
        <v>115.4</v>
      </c>
      <c r="CW1339" s="15" t="n">
        <v>122.54</v>
      </c>
      <c r="CX1339" s="34" t="n">
        <v>46239</v>
      </c>
      <c r="CY1339" s="15" t="n">
        <v>33.26</v>
      </c>
      <c r="CZ1339" s="15" t="n">
        <v>57.1</v>
      </c>
      <c r="DA1339" s="34" t="n">
        <v>46239</v>
      </c>
      <c r="DB1339" s="15" t="n">
        <v>108.6</v>
      </c>
      <c r="DC1339" s="15" t="n">
        <v>261.39</v>
      </c>
      <c r="DD1339" s="34" t="n">
        <v>46239</v>
      </c>
      <c r="DE1339" s="15" t="n">
        <v>31.4</v>
      </c>
      <c r="DF1339" s="15" t="n">
        <v>38.36</v>
      </c>
      <c r="DG1339" s="34" t="n">
        <v>46239</v>
      </c>
      <c r="DH1339" s="15" t="n">
        <v>270.4</v>
      </c>
      <c r="DI1339" s="15" t="n">
        <v>212</v>
      </c>
      <c r="DJ1339" s="34" t="n">
        <v>46239</v>
      </c>
      <c r="DK1339" s="15" t="n">
        <v>32.54</v>
      </c>
      <c r="DL1339" s="15" t="n">
        <v>35.18</v>
      </c>
      <c r="DM1339" s="34" t="n">
        <v>46239</v>
      </c>
      <c r="DN1339" s="15" t="n">
        <v>11.57</v>
      </c>
      <c r="DO1339" s="15" t="n">
        <v>17.52</v>
      </c>
      <c r="DP1339" s="34" t="n">
        <v>46239</v>
      </c>
      <c r="DQ1339" s="15" t="n">
        <v>18.84</v>
      </c>
      <c r="DR1339" s="15" t="n">
        <v>34.27</v>
      </c>
      <c r="DS1339" s="34" t="n">
        <v>46239</v>
      </c>
      <c r="DT1339" s="15" t="n">
        <v>46.64</v>
      </c>
      <c r="DU1339" s="15" t="n">
        <v>81.17</v>
      </c>
      <c r="DV1339" s="34" t="n">
        <v>46239</v>
      </c>
      <c r="DW1339" s="15" t="n">
        <v>17.28</v>
      </c>
      <c r="DX1339" s="15" t="n">
        <v>37.87</v>
      </c>
      <c r="DY1339" s="34" t="n">
        <v>46239</v>
      </c>
      <c r="DZ1339" s="15" t="n">
        <v>117</v>
      </c>
      <c r="EA1339" s="15" t="n">
        <v>160.32</v>
      </c>
      <c r="EB1339" s="34" t="n">
        <v>46239</v>
      </c>
      <c r="EC1339" s="15" t="n">
        <v>8.58</v>
      </c>
      <c r="ED1339" s="15" t="n">
        <v>18.48</v>
      </c>
      <c r="EE1339" s="34" t="n">
        <v>46239</v>
      </c>
      <c r="EF1339" s="15" t="n">
        <v>221.2</v>
      </c>
      <c r="EG1339" s="15" t="n">
        <v>236.35</v>
      </c>
      <c r="EH1339" s="34" t="n">
        <v>46239</v>
      </c>
      <c r="EI1339" s="15" t="n">
        <v>69.15000000000001</v>
      </c>
      <c r="EJ1339" s="15" t="n">
        <v>80.04000000000001</v>
      </c>
      <c r="EK1339" s="34" t="n">
        <v>46239</v>
      </c>
      <c r="EL1339" s="15" t="n">
        <v>21.4</v>
      </c>
      <c r="EM1339" s="15" t="n">
        <v>28.51</v>
      </c>
      <c r="EN1339" s="34" t="n">
        <v>46239</v>
      </c>
      <c r="EO1339" s="15" t="n">
        <v>32.74</v>
      </c>
      <c r="EP1339" s="15" t="n">
        <v>53.06</v>
      </c>
      <c r="EQ1339" s="34" t="n">
        <v>46239</v>
      </c>
      <c r="ER1339" s="15" t="n">
        <v>39.06</v>
      </c>
      <c r="ES1339" s="15" t="n">
        <v>42.56</v>
      </c>
      <c r="ET1339" s="34" t="n">
        <v>46239</v>
      </c>
      <c r="EU1339" s="15" t="n">
        <v>7.475</v>
      </c>
      <c r="EV1339" s="15" t="n">
        <v>14.24</v>
      </c>
      <c r="EW1339" s="34" t="n">
        <v>46239</v>
      </c>
      <c r="EX1339" s="15" t="n">
        <v>88.09999999999999</v>
      </c>
      <c r="EY1339" s="15" t="n">
        <v>104.02</v>
      </c>
      <c r="EZ1339" s="34" t="n">
        <v>46239</v>
      </c>
      <c r="FA1339" s="15" t="n">
        <v>6.615</v>
      </c>
      <c r="FB1339" s="15" t="n">
        <v>12.97</v>
      </c>
      <c r="FC1339" s="34" t="n">
        <v>46239</v>
      </c>
      <c r="FD1339" s="15" t="n">
        <v>356</v>
      </c>
      <c r="FE1339" s="15" t="n">
        <v>361</v>
      </c>
      <c r="FF1339" s="34" t="n">
        <v>46239</v>
      </c>
      <c r="FG1339" s="15" t="n">
        <v>108.4</v>
      </c>
      <c r="FH1339" s="15" t="n">
        <v>117.6</v>
      </c>
      <c r="FI1339" s="34" t="n">
        <v>46239</v>
      </c>
      <c r="FJ1339" s="15" t="n">
        <v>25.72</v>
      </c>
      <c r="FK1339" s="15" t="n">
        <v>43.01</v>
      </c>
      <c r="FL1339" s="34" t="n">
        <v>46239</v>
      </c>
      <c r="FM1339" s="15" t="n">
        <v>58.55</v>
      </c>
      <c r="FN1339" s="15" t="n">
        <v>55.87</v>
      </c>
      <c r="FO1339" s="34" t="n">
        <v>46239</v>
      </c>
      <c r="FP1339" s="15" t="n">
        <v>111</v>
      </c>
      <c r="FQ1339" s="15" t="n">
        <v>128.19</v>
      </c>
      <c r="FR1339" s="34" t="n">
        <v>46239</v>
      </c>
      <c r="FS1339" s="15" t="n">
        <v>366</v>
      </c>
      <c r="FT1339" s="15" t="n">
        <v>416.07</v>
      </c>
      <c r="FU1339" s="34" t="n">
        <v>46239</v>
      </c>
      <c r="FV1339" s="15" t="n">
        <v>3.22</v>
      </c>
      <c r="FW1339" s="15" t="n">
        <v>6.62</v>
      </c>
      <c r="FX1339" s="34" t="n">
        <v>46239</v>
      </c>
      <c r="FY1339" s="15" t="n">
        <v>32.38</v>
      </c>
      <c r="FZ1339" s="15" t="n">
        <v>39.2</v>
      </c>
      <c r="GA1339" s="34" t="n">
        <v>46239</v>
      </c>
      <c r="GB1339" s="15" t="n">
        <v>1116</v>
      </c>
      <c r="GC1339" s="15" t="n">
        <v>947.74</v>
      </c>
      <c r="GD1339" s="34" t="n">
        <v>46239</v>
      </c>
    </row>
    <row r="1340">
      <c r="A1340" s="34" t="n">
        <v>46240</v>
      </c>
      <c r="B1340" s="266" t="n">
        <v>1.161936044692993</v>
      </c>
      <c r="C1340" s="34" t="n">
        <v>46240</v>
      </c>
      <c r="D1340" s="15" t="n">
        <v>24.52</v>
      </c>
      <c r="E1340" s="15" t="n">
        <v>46.26</v>
      </c>
      <c r="F1340" s="34" t="n">
        <v>46240</v>
      </c>
      <c r="G1340" s="15" t="n">
        <v>109.1</v>
      </c>
      <c r="H1340" s="15" t="n">
        <v>156.6</v>
      </c>
      <c r="I1340" s="34" t="n">
        <v>46240</v>
      </c>
      <c r="J1340" s="15" t="n">
        <v>17.38</v>
      </c>
      <c r="K1340" s="15" t="n">
        <v>27.03</v>
      </c>
      <c r="L1340" s="34" t="n">
        <v>46240</v>
      </c>
      <c r="M1340" s="15" t="n">
        <v>35.46</v>
      </c>
      <c r="N1340" s="15" t="n">
        <v>47.18</v>
      </c>
      <c r="O1340" s="34" t="n">
        <v>46240</v>
      </c>
      <c r="P1340" s="15" t="n">
        <v>51</v>
      </c>
      <c r="Q1340" s="15" t="n">
        <v>55.56</v>
      </c>
      <c r="R1340" s="34" t="n">
        <v>46240</v>
      </c>
      <c r="S1340" s="15" t="n">
        <v>55.55</v>
      </c>
      <c r="T1340" s="15" t="n">
        <v>114.5</v>
      </c>
      <c r="U1340" s="34" t="n">
        <v>46240</v>
      </c>
      <c r="V1340" s="15" t="n">
        <v>12.81</v>
      </c>
      <c r="W1340" s="15" t="n">
        <v>17.48</v>
      </c>
      <c r="X1340" s="34" t="n">
        <v>46240</v>
      </c>
      <c r="Y1340" s="15" t="n">
        <v>97.5</v>
      </c>
      <c r="Z1340" s="15" t="n">
        <v>85.31999999999999</v>
      </c>
      <c r="AA1340" s="34" t="n">
        <v>46240</v>
      </c>
      <c r="AB1340" s="15" t="n">
        <v>10.28</v>
      </c>
      <c r="AC1340" s="15" t="n">
        <v>19.62</v>
      </c>
      <c r="AD1340" s="34" t="n">
        <v>46240</v>
      </c>
      <c r="AE1340" s="15" t="n">
        <v>32.78</v>
      </c>
      <c r="AF1340" s="15" t="n">
        <v>33.72</v>
      </c>
      <c r="AG1340" s="34" t="n">
        <v>46240</v>
      </c>
      <c r="AH1340" s="15" t="n">
        <v>37.02</v>
      </c>
      <c r="AI1340" s="15" t="n">
        <v>41.3</v>
      </c>
      <c r="AJ1340" s="34" t="n">
        <v>46240</v>
      </c>
      <c r="AK1340" s="15" t="n">
        <v>16.41</v>
      </c>
      <c r="AL1340" s="15" t="n">
        <v>44.22</v>
      </c>
      <c r="AM1340" s="34" t="n">
        <v>46240</v>
      </c>
      <c r="AN1340" s="15" t="n">
        <v>628</v>
      </c>
      <c r="AO1340" s="15" t="n">
        <v>388</v>
      </c>
      <c r="AP1340" s="34" t="n">
        <v>46240</v>
      </c>
      <c r="AQ1340" s="15" t="n">
        <v>56.4</v>
      </c>
      <c r="AR1340" s="15" t="n">
        <v>52.11</v>
      </c>
      <c r="AS1340" s="34" t="n">
        <v>46240</v>
      </c>
      <c r="AT1340" s="15" t="n">
        <v>13</v>
      </c>
      <c r="AU1340" s="15" t="n">
        <v>19.98</v>
      </c>
      <c r="AV1340" s="34" t="n">
        <v>46240</v>
      </c>
      <c r="AW1340" s="15" t="n">
        <v>32.18</v>
      </c>
      <c r="AX1340" s="15" t="n">
        <v>36.55</v>
      </c>
      <c r="AY1340" s="34" t="n">
        <v>46240</v>
      </c>
      <c r="AZ1340" s="15" t="n">
        <v>26.38</v>
      </c>
      <c r="BA1340" s="15" t="n">
        <v>38.71</v>
      </c>
      <c r="BB1340" s="34" t="n">
        <v>46240</v>
      </c>
      <c r="BC1340" s="15" t="n">
        <v>70.90000000000001</v>
      </c>
      <c r="BD1340" s="15" t="n">
        <v>84.02</v>
      </c>
      <c r="BE1340" s="34" t="n">
        <v>46240</v>
      </c>
      <c r="BF1340" s="15" t="n">
        <v>107.4</v>
      </c>
      <c r="BG1340" s="15" t="n">
        <v>167.55</v>
      </c>
      <c r="BH1340" s="34" t="n">
        <v>46240</v>
      </c>
      <c r="BI1340" s="15" t="n">
        <v>21.64</v>
      </c>
      <c r="BJ1340" s="15" t="n">
        <v>34.82</v>
      </c>
      <c r="BK1340" s="34" t="n">
        <v>46240</v>
      </c>
      <c r="BL1340" s="15" t="n">
        <v>68.15000000000001</v>
      </c>
      <c r="BM1340" s="15" t="n">
        <v>95.59999999999999</v>
      </c>
      <c r="BN1340" s="34" t="n">
        <v>46240</v>
      </c>
      <c r="BO1340" s="15" t="n">
        <v>8.23</v>
      </c>
      <c r="BP1340" s="15" t="n">
        <v>21.42</v>
      </c>
      <c r="BQ1340" s="34" t="n">
        <v>46240</v>
      </c>
      <c r="BR1340" s="15" t="n">
        <v>20.68</v>
      </c>
      <c r="BS1340" s="15" t="n">
        <v>19.76</v>
      </c>
      <c r="BT1340" s="34" t="n">
        <v>46240</v>
      </c>
      <c r="BU1340" s="15" t="n">
        <v>80.90000000000001</v>
      </c>
      <c r="BV1340" s="15" t="n">
        <v>152.8</v>
      </c>
      <c r="BW1340" s="34" t="n">
        <v>46240</v>
      </c>
      <c r="BX1340" s="15" t="n">
        <v>43</v>
      </c>
      <c r="BY1340" s="15" t="n">
        <v>57.11</v>
      </c>
      <c r="BZ1340" s="34" t="n">
        <v>46240</v>
      </c>
      <c r="CA1340" s="15" t="n">
        <v>13.43</v>
      </c>
      <c r="CB1340" s="15" t="n">
        <v>21.28</v>
      </c>
      <c r="CC1340" s="34" t="n">
        <v>46240</v>
      </c>
      <c r="CD1340" s="15" t="n">
        <v>25.66</v>
      </c>
      <c r="CE1340" s="15" t="n">
        <v>40.85</v>
      </c>
      <c r="CF1340" s="34" t="n">
        <v>46240</v>
      </c>
      <c r="CG1340" s="15" t="n">
        <v>141.4</v>
      </c>
      <c r="CH1340" s="15" t="n">
        <v>200.5</v>
      </c>
      <c r="CI1340" s="34" t="n">
        <v>46240</v>
      </c>
      <c r="CJ1340" s="15" t="n">
        <v>7.12</v>
      </c>
      <c r="CK1340" s="15" t="n">
        <v>18.03</v>
      </c>
      <c r="CL1340" s="34" t="n">
        <v>46240</v>
      </c>
      <c r="CM1340" s="15" t="n">
        <v>77.40000000000001</v>
      </c>
      <c r="CN1340" s="15" t="n">
        <v>89.65000000000001</v>
      </c>
      <c r="CO1340" s="34" t="n">
        <v>46240</v>
      </c>
      <c r="CP1340" s="15" t="n">
        <v>494.4</v>
      </c>
      <c r="CQ1340" s="15" t="n">
        <v>385</v>
      </c>
      <c r="CR1340" s="34" t="n">
        <v>46240</v>
      </c>
      <c r="CS1340" s="15" t="n">
        <v>21.84</v>
      </c>
      <c r="CT1340" s="15" t="n">
        <v>36.58</v>
      </c>
      <c r="CU1340" s="34" t="n">
        <v>46240</v>
      </c>
      <c r="CV1340" s="15" t="n">
        <v>114.5</v>
      </c>
      <c r="CW1340" s="15" t="n">
        <v>120.89</v>
      </c>
      <c r="CX1340" s="34" t="n">
        <v>46240</v>
      </c>
      <c r="CY1340" s="15" t="n">
        <v>33.74</v>
      </c>
      <c r="CZ1340" s="15" t="n">
        <v>57.8</v>
      </c>
      <c r="DA1340" s="34" t="n">
        <v>46240</v>
      </c>
      <c r="DB1340" s="15" t="n">
        <v>102.5</v>
      </c>
      <c r="DC1340" s="15" t="n">
        <v>269.31</v>
      </c>
      <c r="DD1340" s="34" t="n">
        <v>46240</v>
      </c>
      <c r="DE1340" s="15" t="n">
        <v>31.52</v>
      </c>
      <c r="DF1340" s="15" t="n">
        <v>38.37</v>
      </c>
      <c r="DG1340" s="34" t="n">
        <v>46240</v>
      </c>
      <c r="DH1340" s="15" t="n">
        <v>261</v>
      </c>
      <c r="DI1340" s="15" t="n">
        <v>208.36</v>
      </c>
      <c r="DJ1340" s="34" t="n">
        <v>46240</v>
      </c>
      <c r="DK1340" s="15" t="n">
        <v>31.58</v>
      </c>
      <c r="DL1340" s="15" t="n">
        <v>34.5</v>
      </c>
      <c r="DM1340" s="34" t="n">
        <v>46240</v>
      </c>
      <c r="DN1340" s="15" t="n">
        <v>11.35</v>
      </c>
      <c r="DO1340" s="15" t="n">
        <v>17.23</v>
      </c>
      <c r="DP1340" s="34" t="n">
        <v>46240</v>
      </c>
      <c r="DQ1340" s="15" t="n">
        <v>18.5</v>
      </c>
      <c r="DR1340" s="15" t="n">
        <v>34.81</v>
      </c>
      <c r="DS1340" s="34" t="n">
        <v>46240</v>
      </c>
      <c r="DT1340" s="15" t="n">
        <v>45.88</v>
      </c>
      <c r="DU1340" s="15" t="n">
        <v>80.25</v>
      </c>
      <c r="DV1340" s="34" t="n">
        <v>46240</v>
      </c>
      <c r="DW1340" s="15" t="n">
        <v>17.2</v>
      </c>
      <c r="DX1340" s="15" t="n">
        <v>38.13</v>
      </c>
      <c r="DY1340" s="34" t="n">
        <v>46240</v>
      </c>
      <c r="DZ1340" s="15" t="n">
        <v>113.4</v>
      </c>
      <c r="EA1340" s="15" t="n">
        <v>160.77</v>
      </c>
      <c r="EB1340" s="34" t="n">
        <v>46240</v>
      </c>
      <c r="EC1340" s="15" t="n">
        <v>8.484999999999999</v>
      </c>
      <c r="ED1340" s="15" t="n">
        <v>18.82</v>
      </c>
      <c r="EE1340" s="34" t="n">
        <v>46240</v>
      </c>
      <c r="EF1340" s="15" t="n">
        <v>231</v>
      </c>
      <c r="EG1340" s="15" t="n">
        <v>250.15</v>
      </c>
      <c r="EH1340" s="34" t="n">
        <v>46240</v>
      </c>
      <c r="EI1340" s="15" t="n">
        <v>69.09999999999999</v>
      </c>
      <c r="EJ1340" s="15" t="n">
        <v>81.23</v>
      </c>
      <c r="EK1340" s="34" t="n">
        <v>46240</v>
      </c>
      <c r="EL1340" s="15" t="n">
        <v>21.76</v>
      </c>
      <c r="EM1340" s="15" t="n">
        <v>28.35</v>
      </c>
      <c r="EN1340" s="34" t="n">
        <v>46240</v>
      </c>
      <c r="EO1340" s="15" t="n">
        <v>32.36</v>
      </c>
      <c r="EP1340" s="15" t="n">
        <v>51.76</v>
      </c>
      <c r="EQ1340" s="34" t="n">
        <v>46240</v>
      </c>
      <c r="ER1340" s="15" t="n">
        <v>38.12</v>
      </c>
      <c r="ES1340" s="15" t="n">
        <v>41.76</v>
      </c>
      <c r="ET1340" s="34" t="n">
        <v>46240</v>
      </c>
      <c r="EU1340" s="15" t="n">
        <v>7.54</v>
      </c>
      <c r="EV1340" s="15" t="n">
        <v>13.81</v>
      </c>
      <c r="EW1340" s="34" t="n">
        <v>46240</v>
      </c>
      <c r="EX1340" s="15" t="n">
        <v>86.05</v>
      </c>
      <c r="EY1340" s="15" t="n">
        <v>106.24</v>
      </c>
      <c r="EZ1340" s="34" t="n">
        <v>46240</v>
      </c>
      <c r="FA1340" s="15" t="n">
        <v>6.315</v>
      </c>
      <c r="FB1340" s="15" t="n">
        <v>12.74</v>
      </c>
      <c r="FC1340" s="34" t="n">
        <v>46240</v>
      </c>
      <c r="FD1340" s="15" t="n">
        <v>341</v>
      </c>
      <c r="FE1340" s="15" t="n">
        <v>392.62</v>
      </c>
      <c r="FF1340" s="34" t="n">
        <v>46240</v>
      </c>
      <c r="FG1340" s="15" t="n">
        <v>104.9</v>
      </c>
      <c r="FH1340" s="15" t="n">
        <v>114.65</v>
      </c>
      <c r="FI1340" s="34" t="n">
        <v>46240</v>
      </c>
      <c r="FJ1340" s="15" t="n">
        <v>25.22</v>
      </c>
      <c r="FK1340" s="15" t="n">
        <v>43.79</v>
      </c>
      <c r="FL1340" s="34" t="n">
        <v>46240</v>
      </c>
      <c r="FM1340" s="15" t="n">
        <v>61</v>
      </c>
      <c r="FN1340" s="15" t="n">
        <v>55.9</v>
      </c>
      <c r="FO1340" s="34" t="n">
        <v>46240</v>
      </c>
      <c r="FP1340" s="15" t="n">
        <v>103.8</v>
      </c>
      <c r="FQ1340" s="15" t="n">
        <v>127</v>
      </c>
      <c r="FR1340" s="34" t="n">
        <v>46240</v>
      </c>
      <c r="FS1340" s="15" t="n">
        <v>374</v>
      </c>
      <c r="FT1340" s="15" t="n">
        <v>428</v>
      </c>
      <c r="FU1340" s="34" t="n">
        <v>46240</v>
      </c>
      <c r="FV1340" s="15" t="n">
        <v>3.46</v>
      </c>
      <c r="FW1340" s="15" t="n">
        <v>7.28</v>
      </c>
      <c r="FX1340" s="34" t="n">
        <v>46240</v>
      </c>
      <c r="FY1340" s="15" t="n">
        <v>31.8</v>
      </c>
      <c r="FZ1340" s="15" t="n">
        <v>39.69</v>
      </c>
      <c r="GA1340" s="34" t="n">
        <v>46240</v>
      </c>
      <c r="GB1340" s="15" t="n">
        <v>1151</v>
      </c>
      <c r="GC1340" s="15" t="n">
        <v>955</v>
      </c>
      <c r="GD1340" s="34" t="n">
        <v>46240</v>
      </c>
    </row>
    <row r="1341">
      <c r="A1341" s="34" t="n">
        <v>46241</v>
      </c>
      <c r="B1341" s="266" t="n">
        <v>1.162284016609192</v>
      </c>
      <c r="C1341" s="34" t="n">
        <v>46241</v>
      </c>
      <c r="D1341" s="15" t="n">
        <v>27.5</v>
      </c>
      <c r="E1341" s="15" t="n">
        <v>50.89</v>
      </c>
      <c r="F1341" s="34" t="n">
        <v>46241</v>
      </c>
      <c r="G1341" s="15" t="n">
        <v>118.8</v>
      </c>
      <c r="H1341" s="15" t="n">
        <v>172.26</v>
      </c>
      <c r="I1341" s="34" t="n">
        <v>46241</v>
      </c>
      <c r="J1341" s="15" t="n">
        <v>17.85</v>
      </c>
      <c r="K1341" s="15" t="n">
        <v>27.86</v>
      </c>
      <c r="L1341" s="34" t="n">
        <v>46241</v>
      </c>
      <c r="M1341" s="15" t="n">
        <v>35.78</v>
      </c>
      <c r="N1341" s="15" t="n">
        <v>47.87</v>
      </c>
      <c r="O1341" s="34" t="n">
        <v>46241</v>
      </c>
      <c r="P1341" s="15" t="n">
        <v>51.45</v>
      </c>
      <c r="Q1341" s="15" t="n">
        <v>55.82</v>
      </c>
      <c r="R1341" s="34" t="n">
        <v>46241</v>
      </c>
      <c r="S1341" s="15" t="n">
        <v>61.8</v>
      </c>
      <c r="T1341" s="15" t="n">
        <v>130.12</v>
      </c>
      <c r="U1341" s="34" t="n">
        <v>46241</v>
      </c>
      <c r="V1341" s="15" t="n">
        <v>13.09</v>
      </c>
      <c r="W1341" s="15" t="n">
        <v>17.8</v>
      </c>
      <c r="X1341" s="34" t="n">
        <v>46241</v>
      </c>
      <c r="Y1341" s="15" t="n">
        <v>95.7</v>
      </c>
      <c r="Z1341" s="15" t="n">
        <v>83.5</v>
      </c>
      <c r="AA1341" s="34" t="n">
        <v>46241</v>
      </c>
      <c r="AB1341" s="15" t="n">
        <v>10.21</v>
      </c>
      <c r="AC1341" s="15" t="n">
        <v>19.45</v>
      </c>
      <c r="AD1341" s="34" t="n">
        <v>46241</v>
      </c>
      <c r="AE1341" s="15" t="n">
        <v>32.38</v>
      </c>
      <c r="AF1341" s="15" t="n">
        <v>33.3</v>
      </c>
      <c r="AG1341" s="34" t="n">
        <v>46241</v>
      </c>
      <c r="AH1341" s="15" t="n">
        <v>37.52</v>
      </c>
      <c r="AI1341" s="15" t="n">
        <v>42.09</v>
      </c>
      <c r="AJ1341" s="34" t="n">
        <v>46241</v>
      </c>
      <c r="AK1341" s="15" t="n">
        <v>17.13</v>
      </c>
      <c r="AL1341" s="15" t="n">
        <v>45.5</v>
      </c>
      <c r="AM1341" s="34" t="n">
        <v>46241</v>
      </c>
      <c r="AN1341" s="15" t="n">
        <v>632.5</v>
      </c>
      <c r="AO1341" s="15" t="n">
        <v>388.07</v>
      </c>
      <c r="AP1341" s="34" t="n">
        <v>46241</v>
      </c>
      <c r="AQ1341" s="15" t="n">
        <v>58.5</v>
      </c>
      <c r="AR1341" s="15" t="n">
        <v>54.62</v>
      </c>
      <c r="AS1341" s="34" t="n">
        <v>46241</v>
      </c>
      <c r="AT1341" s="15" t="n">
        <v>12.7</v>
      </c>
      <c r="AU1341" s="15" t="n">
        <v>19.48</v>
      </c>
      <c r="AV1341" s="34" t="n">
        <v>46241</v>
      </c>
      <c r="AW1341" s="15" t="n">
        <v>31.8</v>
      </c>
      <c r="AX1341" s="15" t="n">
        <v>36.42</v>
      </c>
      <c r="AY1341" s="34" t="n">
        <v>46241</v>
      </c>
      <c r="AZ1341" s="15" t="n">
        <v>26.86</v>
      </c>
      <c r="BA1341" s="15" t="n">
        <v>39.12</v>
      </c>
      <c r="BB1341" s="34" t="n">
        <v>46241</v>
      </c>
      <c r="BC1341" s="15" t="n">
        <v>70.34999999999999</v>
      </c>
      <c r="BD1341" s="15" t="n">
        <v>85.2</v>
      </c>
      <c r="BE1341" s="34" t="n">
        <v>46241</v>
      </c>
      <c r="BF1341" s="15" t="n">
        <v>111.3</v>
      </c>
      <c r="BG1341" s="15" t="n">
        <v>170</v>
      </c>
      <c r="BH1341" s="34" t="n">
        <v>46241</v>
      </c>
      <c r="BI1341" s="15" t="n">
        <v>22.1</v>
      </c>
      <c r="BJ1341" s="15" t="n">
        <v>35.9</v>
      </c>
      <c r="BK1341" s="34" t="n">
        <v>46241</v>
      </c>
      <c r="BL1341" s="15" t="n">
        <v>72.09999999999999</v>
      </c>
      <c r="BM1341" s="15" t="n">
        <v>102.49</v>
      </c>
      <c r="BN1341" s="34" t="n">
        <v>46241</v>
      </c>
      <c r="BO1341" s="15" t="n">
        <v>7.975</v>
      </c>
      <c r="BP1341" s="15" t="n">
        <v>20.83</v>
      </c>
      <c r="BQ1341" s="34" t="n">
        <v>46241</v>
      </c>
      <c r="BR1341" s="15" t="n">
        <v>20.34</v>
      </c>
      <c r="BS1341" s="15" t="n">
        <v>19.58</v>
      </c>
      <c r="BT1341" s="34" t="n">
        <v>46241</v>
      </c>
      <c r="BU1341" s="15" t="n">
        <v>84.65000000000001</v>
      </c>
      <c r="BV1341" s="15" t="n">
        <v>154.78</v>
      </c>
      <c r="BW1341" s="34" t="n">
        <v>46241</v>
      </c>
      <c r="BX1341" s="15" t="n">
        <v>43.2</v>
      </c>
      <c r="BY1341" s="15" t="n">
        <v>56.82</v>
      </c>
      <c r="BZ1341" s="34" t="n">
        <v>46241</v>
      </c>
      <c r="CA1341" s="15" t="n">
        <v>13.47</v>
      </c>
      <c r="CB1341" s="15" t="n">
        <v>21.2</v>
      </c>
      <c r="CC1341" s="34" t="n">
        <v>46241</v>
      </c>
      <c r="CD1341" s="15" t="n">
        <v>26.1</v>
      </c>
      <c r="CE1341" s="15" t="n">
        <v>41.41</v>
      </c>
      <c r="CF1341" s="34" t="n">
        <v>46241</v>
      </c>
      <c r="CG1341" s="15" t="n">
        <v>145.6</v>
      </c>
      <c r="CH1341" s="15" t="n">
        <v>211.92</v>
      </c>
      <c r="CI1341" s="34" t="n">
        <v>46241</v>
      </c>
      <c r="CJ1341" s="15" t="n">
        <v>6.8</v>
      </c>
      <c r="CK1341" s="15" t="n">
        <v>18.05</v>
      </c>
      <c r="CL1341" s="34" t="n">
        <v>46241</v>
      </c>
      <c r="CM1341" s="15" t="n">
        <v>77.84999999999999</v>
      </c>
      <c r="CN1341" s="15" t="n">
        <v>89.76000000000001</v>
      </c>
      <c r="CO1341" s="34" t="n">
        <v>46241</v>
      </c>
      <c r="CP1341" s="15" t="n">
        <v>528</v>
      </c>
      <c r="CQ1341" s="15" t="n">
        <v>417.05</v>
      </c>
      <c r="CR1341" s="34" t="n">
        <v>46241</v>
      </c>
      <c r="CS1341" s="15" t="n">
        <v>22.2</v>
      </c>
      <c r="CT1341" s="15" t="n">
        <v>37.04</v>
      </c>
      <c r="CU1341" s="34" t="n">
        <v>46241</v>
      </c>
      <c r="CV1341" s="15" t="n">
        <v>118.9</v>
      </c>
      <c r="CW1341" s="15" t="n">
        <v>122.8</v>
      </c>
      <c r="CX1341" s="34" t="n">
        <v>46241</v>
      </c>
      <c r="CY1341" s="15" t="n">
        <v>34.38</v>
      </c>
      <c r="CZ1341" s="15" t="n">
        <v>58.5</v>
      </c>
      <c r="DA1341" s="34" t="n">
        <v>46241</v>
      </c>
      <c r="DB1341" s="15" t="n">
        <v>109.6</v>
      </c>
      <c r="DC1341" s="15" t="n">
        <v>283.8</v>
      </c>
      <c r="DD1341" s="34" t="n">
        <v>46241</v>
      </c>
      <c r="DE1341" s="15" t="n">
        <v>32.04</v>
      </c>
      <c r="DF1341" s="15" t="n">
        <v>38.47</v>
      </c>
      <c r="DG1341" s="34" t="n">
        <v>46241</v>
      </c>
      <c r="DH1341" s="15" t="n">
        <v>269.2</v>
      </c>
      <c r="DI1341" s="15" t="n">
        <v>215.52</v>
      </c>
      <c r="DJ1341" s="34" t="n">
        <v>46241</v>
      </c>
      <c r="DK1341" s="15" t="n">
        <v>31.14</v>
      </c>
      <c r="DL1341" s="15" t="n">
        <v>34.9</v>
      </c>
      <c r="DM1341" s="34" t="n">
        <v>46241</v>
      </c>
      <c r="DN1341" s="15" t="n">
        <v>11.34</v>
      </c>
      <c r="DO1341" s="15" t="n">
        <v>17.23</v>
      </c>
      <c r="DP1341" s="34" t="n">
        <v>46241</v>
      </c>
      <c r="DQ1341" s="15" t="n">
        <v>18.92</v>
      </c>
      <c r="DR1341" s="15" t="n">
        <v>35.13</v>
      </c>
      <c r="DS1341" s="34" t="n">
        <v>46241</v>
      </c>
      <c r="DT1341" s="15" t="n">
        <v>47.42</v>
      </c>
      <c r="DU1341" s="15" t="n">
        <v>81.15000000000001</v>
      </c>
      <c r="DV1341" s="34" t="n">
        <v>46241</v>
      </c>
      <c r="DW1341" s="15" t="n">
        <v>17</v>
      </c>
      <c r="DX1341" s="15" t="n">
        <v>37.67</v>
      </c>
      <c r="DY1341" s="34" t="n">
        <v>46241</v>
      </c>
      <c r="DZ1341" s="15" t="n">
        <v>125.8</v>
      </c>
      <c r="EA1341" s="15" t="n">
        <v>169.8</v>
      </c>
      <c r="EB1341" s="34" t="n">
        <v>46241</v>
      </c>
      <c r="EC1341" s="15" t="n">
        <v>8.885</v>
      </c>
      <c r="ED1341" s="15" t="n">
        <v>19.31</v>
      </c>
      <c r="EE1341" s="34" t="n">
        <v>46241</v>
      </c>
      <c r="EF1341" s="15" t="n">
        <v>256.2</v>
      </c>
      <c r="EG1341" s="15" t="n">
        <v>280.2</v>
      </c>
      <c r="EH1341" s="34" t="n">
        <v>46241</v>
      </c>
      <c r="EI1341" s="15" t="n">
        <v>70.65000000000001</v>
      </c>
      <c r="EJ1341" s="15" t="n">
        <v>81.81</v>
      </c>
      <c r="EK1341" s="34" t="n">
        <v>46241</v>
      </c>
      <c r="EL1341" s="15" t="n">
        <v>22.74</v>
      </c>
      <c r="EM1341" s="15" t="n">
        <v>30.51</v>
      </c>
      <c r="EN1341" s="34" t="n">
        <v>46241</v>
      </c>
      <c r="EO1341" s="15" t="n">
        <v>32.54</v>
      </c>
      <c r="EP1341" s="15" t="n">
        <v>51.55</v>
      </c>
      <c r="EQ1341" s="34" t="n">
        <v>46241</v>
      </c>
      <c r="ER1341" s="15" t="n">
        <v>38.54</v>
      </c>
      <c r="ES1341" s="15" t="n">
        <v>42.12</v>
      </c>
      <c r="ET1341" s="34" t="n">
        <v>46241</v>
      </c>
      <c r="EU1341" s="15" t="n">
        <v>7.305</v>
      </c>
      <c r="EV1341" s="15" t="n">
        <v>13.53</v>
      </c>
      <c r="EW1341" s="34" t="n">
        <v>46241</v>
      </c>
      <c r="EX1341" s="15" t="n">
        <v>91.40000000000001</v>
      </c>
      <c r="EY1341" s="15" t="n">
        <v>111.68</v>
      </c>
      <c r="EZ1341" s="34" t="n">
        <v>46241</v>
      </c>
      <c r="FA1341" s="15" t="n">
        <v>6.215</v>
      </c>
      <c r="FB1341" s="15" t="n">
        <v>12.72</v>
      </c>
      <c r="FC1341" s="34" t="n">
        <v>46241</v>
      </c>
      <c r="FD1341" s="15" t="n">
        <v>368.4</v>
      </c>
      <c r="FE1341" s="15" t="n">
        <v>426.99</v>
      </c>
      <c r="FF1341" s="34" t="n">
        <v>46241</v>
      </c>
      <c r="FG1341" s="15" t="n">
        <v>108.7</v>
      </c>
      <c r="FH1341" s="15" t="n">
        <v>117.17</v>
      </c>
      <c r="FI1341" s="34" t="n">
        <v>46241</v>
      </c>
      <c r="FJ1341" s="15" t="n">
        <v>25.26</v>
      </c>
      <c r="FK1341" s="15" t="n">
        <v>44.33</v>
      </c>
      <c r="FL1341" s="34" t="n">
        <v>46241</v>
      </c>
      <c r="FM1341" s="15" t="n">
        <v>63.35</v>
      </c>
      <c r="FN1341" s="15" t="n">
        <v>56.99</v>
      </c>
      <c r="FO1341" s="34" t="n">
        <v>46241</v>
      </c>
      <c r="FP1341" s="15" t="n">
        <v>107</v>
      </c>
      <c r="FQ1341" s="15" t="n">
        <v>127.39</v>
      </c>
      <c r="FR1341" s="34" t="n">
        <v>46241</v>
      </c>
      <c r="FS1341" s="15" t="n">
        <v>390</v>
      </c>
      <c r="FT1341" s="15" t="n">
        <v>451.84</v>
      </c>
      <c r="FU1341" s="34" t="n">
        <v>46241</v>
      </c>
      <c r="FV1341" s="15" t="n">
        <v>3.365</v>
      </c>
      <c r="FW1341" s="15" t="n">
        <v>7.29</v>
      </c>
      <c r="FX1341" s="34" t="n">
        <v>46241</v>
      </c>
      <c r="FY1341" s="15" t="n">
        <v>32.78</v>
      </c>
      <c r="FZ1341" s="15" t="n">
        <v>40.95</v>
      </c>
      <c r="GA1341" s="34" t="n">
        <v>46241</v>
      </c>
      <c r="GB1341" s="15" t="n">
        <v>1110</v>
      </c>
      <c r="GC1341" s="15" t="n">
        <v>919.87</v>
      </c>
      <c r="GD1341" s="34" t="n">
        <v>46241</v>
      </c>
    </row>
    <row r="1342">
      <c r="A1342" s="34" t="n">
        <v>46244</v>
      </c>
      <c r="B1342" s="266" t="n">
        <v>1.162629961967468</v>
      </c>
      <c r="C1342" s="34" t="n">
        <v>46244</v>
      </c>
      <c r="D1342" s="15" t="n">
        <v>26.64</v>
      </c>
      <c r="E1342" s="15" t="n">
        <v>52.8</v>
      </c>
      <c r="F1342" s="34" t="n">
        <v>46244</v>
      </c>
      <c r="G1342" s="15" t="n">
        <v>124.3</v>
      </c>
      <c r="H1342" s="15" t="n">
        <v>176</v>
      </c>
      <c r="I1342" s="34" t="n">
        <v>46244</v>
      </c>
      <c r="J1342" s="15" t="n">
        <v>17.9</v>
      </c>
      <c r="K1342" s="15" t="n">
        <v>28.4</v>
      </c>
      <c r="L1342" s="34" t="n">
        <v>46244</v>
      </c>
      <c r="M1342" s="15" t="n">
        <v>36.76</v>
      </c>
      <c r="N1342" s="15" t="n">
        <v>48.91</v>
      </c>
      <c r="O1342" s="34" t="n">
        <v>46244</v>
      </c>
      <c r="P1342" s="15" t="n">
        <v>52.1</v>
      </c>
      <c r="Q1342" s="15" t="n">
        <v>56.24</v>
      </c>
      <c r="R1342" s="34" t="n">
        <v>46244</v>
      </c>
      <c r="S1342" s="15" t="n">
        <v>68.65000000000001</v>
      </c>
      <c r="T1342" s="15" t="n">
        <v>137</v>
      </c>
      <c r="U1342" s="34" t="n">
        <v>46244</v>
      </c>
      <c r="V1342" s="15" t="n">
        <v>13.14</v>
      </c>
      <c r="W1342" s="15" t="n">
        <v>17.93</v>
      </c>
      <c r="X1342" s="34" t="n">
        <v>46244</v>
      </c>
      <c r="Y1342" s="15" t="n">
        <v>97.65000000000001</v>
      </c>
      <c r="Z1342" s="15" t="n">
        <v>85.3</v>
      </c>
      <c r="AA1342" s="34" t="n">
        <v>46244</v>
      </c>
      <c r="AB1342" s="15" t="n">
        <v>10.46</v>
      </c>
      <c r="AC1342" s="15" t="n">
        <v>20.29</v>
      </c>
      <c r="AD1342" s="34" t="n">
        <v>46244</v>
      </c>
      <c r="AE1342" s="15" t="n">
        <v>33.26</v>
      </c>
      <c r="AF1342" s="15" t="n">
        <v>33.8</v>
      </c>
      <c r="AG1342" s="34" t="n">
        <v>46244</v>
      </c>
      <c r="AH1342" s="15" t="n">
        <v>39.28</v>
      </c>
      <c r="AI1342" s="15" t="n">
        <v>43.73</v>
      </c>
      <c r="AJ1342" s="34" t="n">
        <v>46244</v>
      </c>
      <c r="AK1342" s="15" t="n">
        <v>18.35</v>
      </c>
      <c r="AL1342" s="15" t="n">
        <v>46.02</v>
      </c>
      <c r="AM1342" s="34" t="n">
        <v>46244</v>
      </c>
      <c r="AN1342" s="15" t="n">
        <v>641</v>
      </c>
      <c r="AO1342" s="15" t="n">
        <v>393.87</v>
      </c>
      <c r="AP1342" s="34" t="n">
        <v>46244</v>
      </c>
      <c r="AQ1342" s="15" t="n">
        <v>57.95</v>
      </c>
      <c r="AR1342" s="15" t="n">
        <v>54.18</v>
      </c>
      <c r="AS1342" s="34" t="n">
        <v>46244</v>
      </c>
      <c r="AT1342" s="15" t="n">
        <v>12.7</v>
      </c>
      <c r="AU1342" s="15" t="n">
        <v>19.54</v>
      </c>
      <c r="AV1342" s="34" t="n">
        <v>46244</v>
      </c>
      <c r="AW1342" s="15" t="n">
        <v>32.74</v>
      </c>
      <c r="AX1342" s="15" t="n">
        <v>36.78</v>
      </c>
      <c r="AY1342" s="34" t="n">
        <v>46244</v>
      </c>
      <c r="AZ1342" s="15" t="n">
        <v>26.1</v>
      </c>
      <c r="BA1342" s="15" t="n">
        <v>38.53</v>
      </c>
      <c r="BB1342" s="34" t="n">
        <v>46244</v>
      </c>
      <c r="BC1342" s="15" t="n">
        <v>72.15000000000001</v>
      </c>
      <c r="BD1342" s="15" t="n">
        <v>85.89</v>
      </c>
      <c r="BE1342" s="34" t="n">
        <v>46244</v>
      </c>
      <c r="BF1342" s="15" t="n">
        <v>107.9</v>
      </c>
      <c r="BG1342" s="15" t="n">
        <v>165.09</v>
      </c>
      <c r="BH1342" s="34" t="n">
        <v>46244</v>
      </c>
      <c r="BI1342" s="15" t="n">
        <v>21.36</v>
      </c>
      <c r="BJ1342" s="15" t="n">
        <v>34.89</v>
      </c>
      <c r="BK1342" s="34" t="n">
        <v>46244</v>
      </c>
      <c r="BL1342" s="15" t="n">
        <v>76.2</v>
      </c>
      <c r="BM1342" s="15" t="n">
        <v>103.77</v>
      </c>
      <c r="BN1342" s="34" t="n">
        <v>46244</v>
      </c>
      <c r="BO1342" s="15" t="n">
        <v>7.905</v>
      </c>
      <c r="BP1342" s="15" t="n">
        <v>20.43</v>
      </c>
      <c r="BQ1342" s="34" t="n">
        <v>46244</v>
      </c>
      <c r="BR1342" s="15" t="n">
        <v>19.92</v>
      </c>
      <c r="BS1342" s="15" t="n">
        <v>19.74</v>
      </c>
      <c r="BT1342" s="34" t="n">
        <v>46244</v>
      </c>
      <c r="BU1342" s="15" t="n">
        <v>80.95</v>
      </c>
      <c r="BV1342" s="15" t="n">
        <v>147.92</v>
      </c>
      <c r="BW1342" s="34" t="n">
        <v>46244</v>
      </c>
      <c r="BX1342" s="15" t="n">
        <v>43.44</v>
      </c>
      <c r="BY1342" s="15" t="n">
        <v>56.03</v>
      </c>
      <c r="BZ1342" s="34" t="n">
        <v>46244</v>
      </c>
      <c r="CA1342" s="15" t="n">
        <v>13.37</v>
      </c>
      <c r="CB1342" s="15" t="n">
        <v>21.18</v>
      </c>
      <c r="CC1342" s="34" t="n">
        <v>46244</v>
      </c>
      <c r="CD1342" s="15" t="n">
        <v>26.56</v>
      </c>
      <c r="CE1342" s="15" t="n">
        <v>41.8</v>
      </c>
      <c r="CF1342" s="34" t="n">
        <v>46244</v>
      </c>
      <c r="CG1342" s="15" t="n">
        <v>143.7</v>
      </c>
      <c r="CH1342" s="15" t="n">
        <v>206.33</v>
      </c>
      <c r="CI1342" s="34" t="n">
        <v>46244</v>
      </c>
      <c r="CJ1342" s="15" t="n">
        <v>6.895</v>
      </c>
      <c r="CK1342" s="15" t="n">
        <v>12.5</v>
      </c>
      <c r="CL1342" s="34" t="n">
        <v>46244</v>
      </c>
      <c r="CM1342" s="15" t="n">
        <v>77.8</v>
      </c>
      <c r="CN1342" s="15" t="n">
        <v>89.14</v>
      </c>
      <c r="CO1342" s="34" t="n">
        <v>46244</v>
      </c>
      <c r="CP1342" s="15" t="n">
        <v>501</v>
      </c>
      <c r="CQ1342" s="15" t="n">
        <v>403.03</v>
      </c>
      <c r="CR1342" s="34" t="n">
        <v>46244</v>
      </c>
      <c r="CS1342" s="15" t="n">
        <v>23.24</v>
      </c>
      <c r="CT1342" s="15" t="n">
        <v>39.22</v>
      </c>
      <c r="CU1342" s="34" t="n">
        <v>46244</v>
      </c>
      <c r="CV1342" s="15" t="n">
        <v>125.3</v>
      </c>
      <c r="CW1342" s="15" t="n">
        <v>130.83</v>
      </c>
      <c r="CX1342" s="34" t="n">
        <v>46244</v>
      </c>
      <c r="CY1342" s="15" t="n">
        <v>34.8</v>
      </c>
      <c r="CZ1342" s="15" t="n">
        <v>59.26</v>
      </c>
      <c r="DA1342" s="34" t="n">
        <v>46244</v>
      </c>
      <c r="DB1342" s="15" t="n">
        <v>107.4</v>
      </c>
      <c r="DC1342" s="15" t="n">
        <v>276.01</v>
      </c>
      <c r="DD1342" s="34" t="n">
        <v>46244</v>
      </c>
      <c r="DE1342" s="15" t="n">
        <v>33.7</v>
      </c>
      <c r="DF1342" s="15" t="n">
        <v>40.24</v>
      </c>
      <c r="DG1342" s="34" t="n">
        <v>46244</v>
      </c>
      <c r="DH1342" s="15" t="n">
        <v>257.6</v>
      </c>
      <c r="DI1342" s="15" t="n">
        <v>206.92</v>
      </c>
      <c r="DJ1342" s="34" t="n">
        <v>46244</v>
      </c>
      <c r="DK1342" s="15" t="n">
        <v>31.46</v>
      </c>
      <c r="DL1342" s="15" t="n">
        <v>35.05</v>
      </c>
      <c r="DM1342" s="34" t="n">
        <v>46244</v>
      </c>
      <c r="DN1342" s="15" t="n">
        <v>11.38</v>
      </c>
      <c r="DO1342" s="15" t="n">
        <v>17.23</v>
      </c>
      <c r="DP1342" s="34" t="n">
        <v>46244</v>
      </c>
      <c r="DQ1342" s="15" t="n">
        <v>18.37</v>
      </c>
      <c r="DR1342" s="15" t="n">
        <v>34.63</v>
      </c>
      <c r="DS1342" s="34" t="n">
        <v>46244</v>
      </c>
      <c r="DT1342" s="15" t="n">
        <v>46</v>
      </c>
      <c r="DU1342" s="15" t="n">
        <v>79.55</v>
      </c>
      <c r="DV1342" s="34" t="n">
        <v>46244</v>
      </c>
      <c r="DW1342" s="15" t="n">
        <v>17.15</v>
      </c>
      <c r="DX1342" s="15" t="n">
        <v>37.15</v>
      </c>
      <c r="DY1342" s="34" t="n">
        <v>46244</v>
      </c>
      <c r="DZ1342" s="15" t="n">
        <v>126.1</v>
      </c>
      <c r="EA1342" s="15" t="n">
        <v>168.24</v>
      </c>
      <c r="EB1342" s="34" t="n">
        <v>46244</v>
      </c>
      <c r="EC1342" s="15" t="n">
        <v>8.869999999999999</v>
      </c>
      <c r="ED1342" s="15" t="n">
        <v>19.17</v>
      </c>
      <c r="EE1342" s="34" t="n">
        <v>46244</v>
      </c>
      <c r="EF1342" s="15" t="n">
        <v>255.2</v>
      </c>
      <c r="EG1342" s="15" t="n">
        <v>286</v>
      </c>
      <c r="EH1342" s="34" t="n">
        <v>46244</v>
      </c>
      <c r="EI1342" s="15" t="n">
        <v>71.7</v>
      </c>
      <c r="EJ1342" s="15" t="n">
        <v>80.81</v>
      </c>
      <c r="EK1342" s="34" t="n">
        <v>46244</v>
      </c>
      <c r="EL1342" s="15" t="n">
        <v>22.5</v>
      </c>
      <c r="EM1342" s="15" t="n">
        <v>30.9</v>
      </c>
      <c r="EN1342" s="34" t="n">
        <v>46244</v>
      </c>
      <c r="EO1342" s="15" t="n">
        <v>31.62</v>
      </c>
      <c r="EP1342" s="15" t="n">
        <v>50.83</v>
      </c>
      <c r="EQ1342" s="34" t="n">
        <v>46244</v>
      </c>
      <c r="ER1342" s="15" t="n">
        <v>36.8</v>
      </c>
      <c r="ES1342" s="15" t="n">
        <v>42.1</v>
      </c>
      <c r="ET1342" s="34" t="n">
        <v>46244</v>
      </c>
      <c r="EU1342" s="15" t="n">
        <v>7.36</v>
      </c>
      <c r="EV1342" s="15" t="n">
        <v>14.13</v>
      </c>
      <c r="EW1342" s="34" t="n">
        <v>46244</v>
      </c>
      <c r="EX1342" s="15" t="n">
        <v>90.84999999999999</v>
      </c>
      <c r="EY1342" s="15" t="n">
        <v>110.27</v>
      </c>
      <c r="EZ1342" s="34" t="n">
        <v>46244</v>
      </c>
      <c r="FA1342" s="15" t="n">
        <v>6.16</v>
      </c>
      <c r="FB1342" s="15" t="n">
        <v>12.63</v>
      </c>
      <c r="FC1342" s="34" t="n">
        <v>46244</v>
      </c>
      <c r="FD1342" s="15" t="n">
        <v>360.2</v>
      </c>
      <c r="FE1342" s="15" t="n">
        <v>430.3</v>
      </c>
      <c r="FF1342" s="34" t="n">
        <v>46244</v>
      </c>
      <c r="FG1342" s="15" t="n">
        <v>110.1</v>
      </c>
      <c r="FH1342" s="15" t="n">
        <v>119.95</v>
      </c>
      <c r="FI1342" s="34" t="n">
        <v>46244</v>
      </c>
      <c r="FJ1342" s="15" t="n">
        <v>24.9</v>
      </c>
      <c r="FK1342" s="15" t="n">
        <v>43.56</v>
      </c>
      <c r="FL1342" s="34" t="n">
        <v>46244</v>
      </c>
      <c r="FM1342" s="15" t="n">
        <v>62.1</v>
      </c>
      <c r="FN1342" s="15" t="n">
        <v>55.79</v>
      </c>
      <c r="FO1342" s="34" t="n">
        <v>46244</v>
      </c>
      <c r="FP1342" s="15" t="n">
        <v>107.1</v>
      </c>
      <c r="FQ1342" s="15" t="n">
        <v>126.9</v>
      </c>
      <c r="FR1342" s="34" t="n">
        <v>46244</v>
      </c>
      <c r="FS1342" s="15" t="n">
        <v>362.4</v>
      </c>
      <c r="FT1342" s="15" t="n">
        <v>437.45</v>
      </c>
      <c r="FU1342" s="34" t="n">
        <v>46244</v>
      </c>
      <c r="FV1342" s="15" t="n">
        <v>3.37</v>
      </c>
      <c r="FW1342" s="15" t="n">
        <v>7.43</v>
      </c>
      <c r="FX1342" s="34" t="n">
        <v>46244</v>
      </c>
      <c r="FY1342" s="15" t="n">
        <v>32.26</v>
      </c>
      <c r="FZ1342" s="15" t="n">
        <v>40.18</v>
      </c>
      <c r="GA1342" s="34" t="n">
        <v>46244</v>
      </c>
      <c r="GB1342" s="15" t="n">
        <v>1033</v>
      </c>
      <c r="GC1342" s="15" t="n">
        <v>864.58</v>
      </c>
      <c r="GD1342" s="34" t="n">
        <v>46244</v>
      </c>
    </row>
    <row r="1343">
      <c r="A1343" s="34" t="n">
        <v>46245</v>
      </c>
      <c r="B1343" s="266" t="n">
        <v>1.162588000297546</v>
      </c>
      <c r="C1343" s="34" t="n">
        <v>46245</v>
      </c>
      <c r="D1343" s="15" t="n">
        <v>25.7</v>
      </c>
      <c r="E1343" s="15" t="n">
        <v>51.2</v>
      </c>
      <c r="F1343" s="34" t="n">
        <v>46245</v>
      </c>
      <c r="G1343" s="15" t="n">
        <v>127.4</v>
      </c>
      <c r="H1343" s="15" t="n">
        <v>175.64</v>
      </c>
      <c r="I1343" s="34" t="n">
        <v>46245</v>
      </c>
      <c r="J1343" s="15" t="n">
        <v>17.41</v>
      </c>
      <c r="K1343" s="15" t="n">
        <v>27.66</v>
      </c>
      <c r="L1343" s="34" t="n">
        <v>46245</v>
      </c>
      <c r="M1343" s="15" t="n">
        <v>35.92</v>
      </c>
      <c r="N1343" s="15" t="n">
        <v>48.09</v>
      </c>
      <c r="O1343" s="34" t="n">
        <v>46245</v>
      </c>
      <c r="P1343" s="15" t="n">
        <v>50.75</v>
      </c>
      <c r="Q1343" s="15" t="n">
        <v>55.45</v>
      </c>
      <c r="R1343" s="34" t="n">
        <v>46245</v>
      </c>
      <c r="S1343" s="15" t="n">
        <v>67.3</v>
      </c>
      <c r="T1343" s="15" t="n">
        <v>138.2</v>
      </c>
      <c r="U1343" s="34" t="n">
        <v>46245</v>
      </c>
      <c r="V1343" s="15" t="n">
        <v>13.02</v>
      </c>
      <c r="W1343" s="15" t="n">
        <v>17.72</v>
      </c>
      <c r="X1343" s="34" t="n">
        <v>46245</v>
      </c>
      <c r="Y1343" s="15" t="n">
        <v>97</v>
      </c>
      <c r="Z1343" s="15" t="n">
        <v>85.62</v>
      </c>
      <c r="AA1343" s="34" t="n">
        <v>46245</v>
      </c>
      <c r="AB1343" s="15" t="n">
        <v>10.15</v>
      </c>
      <c r="AC1343" s="15" t="n">
        <v>19.83</v>
      </c>
      <c r="AD1343" s="34" t="n">
        <v>46245</v>
      </c>
      <c r="AE1343" s="15" t="n">
        <v>33.24</v>
      </c>
      <c r="AF1343" s="15" t="n">
        <v>33.59</v>
      </c>
      <c r="AG1343" s="34" t="n">
        <v>46245</v>
      </c>
      <c r="AH1343" s="15" t="n">
        <v>36.92</v>
      </c>
      <c r="AI1343" s="15" t="n">
        <v>40.3</v>
      </c>
      <c r="AJ1343" s="34" t="n">
        <v>46245</v>
      </c>
      <c r="AK1343" s="15" t="n">
        <v>17.24</v>
      </c>
      <c r="AL1343" s="15" t="n">
        <v>44.85</v>
      </c>
      <c r="AM1343" s="34" t="n">
        <v>46245</v>
      </c>
      <c r="AN1343" s="15" t="n">
        <v>651.5</v>
      </c>
      <c r="AO1343" s="15" t="n">
        <v>390.4</v>
      </c>
      <c r="AP1343" s="34" t="n">
        <v>46245</v>
      </c>
      <c r="AQ1343" s="15" t="n">
        <v>57.6</v>
      </c>
      <c r="AR1343" s="15" t="n">
        <v>54.97</v>
      </c>
      <c r="AS1343" s="34" t="n">
        <v>46245</v>
      </c>
      <c r="AT1343" s="15" t="n">
        <v>12.41</v>
      </c>
      <c r="AU1343" s="15" t="n">
        <v>18.73</v>
      </c>
      <c r="AV1343" s="34" t="n">
        <v>46245</v>
      </c>
      <c r="AW1343" s="15" t="n">
        <v>32.3</v>
      </c>
      <c r="AX1343" s="15" t="n">
        <v>36.17</v>
      </c>
      <c r="AY1343" s="34" t="n">
        <v>46245</v>
      </c>
      <c r="AZ1343" s="15" t="n">
        <v>26.54</v>
      </c>
      <c r="BA1343" s="15" t="n">
        <v>39.7</v>
      </c>
      <c r="BB1343" s="34" t="n">
        <v>46245</v>
      </c>
      <c r="BC1343" s="15" t="n">
        <v>70.84999999999999</v>
      </c>
      <c r="BD1343" s="15" t="n">
        <v>84.81999999999999</v>
      </c>
      <c r="BE1343" s="34" t="n">
        <v>46245</v>
      </c>
      <c r="BF1343" s="15" t="n">
        <v>105.6</v>
      </c>
      <c r="BG1343" s="15" t="n">
        <v>169.13</v>
      </c>
      <c r="BH1343" s="34" t="n">
        <v>46245</v>
      </c>
      <c r="BI1343" s="15" t="n">
        <v>21.1</v>
      </c>
      <c r="BJ1343" s="15" t="n">
        <v>34.6</v>
      </c>
      <c r="BK1343" s="34" t="n">
        <v>46245</v>
      </c>
      <c r="BL1343" s="15" t="n">
        <v>79.7</v>
      </c>
      <c r="BM1343" s="15" t="n">
        <v>102.08</v>
      </c>
      <c r="BN1343" s="34" t="n">
        <v>46245</v>
      </c>
      <c r="BO1343" s="15" t="n">
        <v>8.02</v>
      </c>
      <c r="BP1343" s="15" t="n">
        <v>21.23</v>
      </c>
      <c r="BQ1343" s="34" t="n">
        <v>46245</v>
      </c>
      <c r="BR1343" s="15" t="n">
        <v>19.05</v>
      </c>
      <c r="BS1343" s="15" t="n">
        <v>19.04</v>
      </c>
      <c r="BT1343" s="34" t="n">
        <v>46245</v>
      </c>
      <c r="BU1343" s="15" t="n">
        <v>81.8</v>
      </c>
      <c r="BV1343" s="15" t="n">
        <v>152.35</v>
      </c>
      <c r="BW1343" s="34" t="n">
        <v>46245</v>
      </c>
      <c r="BX1343" s="15" t="n">
        <v>42.72</v>
      </c>
      <c r="BY1343" s="15" t="n">
        <v>55.21</v>
      </c>
      <c r="BZ1343" s="34" t="n">
        <v>46245</v>
      </c>
      <c r="CA1343" s="15" t="n">
        <v>13.23</v>
      </c>
      <c r="CB1343" s="15" t="n">
        <v>21.32</v>
      </c>
      <c r="CC1343" s="34" t="n">
        <v>46245</v>
      </c>
      <c r="CD1343" s="15" t="n">
        <v>25.76</v>
      </c>
      <c r="CE1343" s="15" t="n">
        <v>41.25</v>
      </c>
      <c r="CF1343" s="34" t="n">
        <v>46245</v>
      </c>
      <c r="CG1343" s="15" t="n">
        <v>150.8</v>
      </c>
      <c r="CH1343" s="15" t="n">
        <v>219</v>
      </c>
      <c r="CI1343" s="34" t="n">
        <v>46245</v>
      </c>
      <c r="CJ1343" s="15" t="n">
        <v>6.66</v>
      </c>
      <c r="CK1343" s="15" t="n">
        <v>12.18</v>
      </c>
      <c r="CL1343" s="34" t="n">
        <v>46245</v>
      </c>
      <c r="CM1343" s="15" t="n">
        <v>80</v>
      </c>
      <c r="CN1343" s="15" t="n">
        <v>93.26000000000001</v>
      </c>
      <c r="CO1343" s="34" t="n">
        <v>46245</v>
      </c>
      <c r="CP1343" s="15" t="n">
        <v>490</v>
      </c>
      <c r="CQ1343" s="15" t="n">
        <v>402.29</v>
      </c>
      <c r="CR1343" s="34" t="n">
        <v>46245</v>
      </c>
      <c r="CS1343" s="15" t="n">
        <v>22.8</v>
      </c>
      <c r="CT1343" s="15" t="n">
        <v>39.94</v>
      </c>
      <c r="CU1343" s="34" t="n">
        <v>46245</v>
      </c>
      <c r="CV1343" s="15" t="n">
        <v>118.5</v>
      </c>
      <c r="CW1343" s="15" t="n">
        <v>126.37</v>
      </c>
      <c r="CX1343" s="34" t="n">
        <v>46245</v>
      </c>
      <c r="CY1343" s="15" t="n">
        <v>36.18</v>
      </c>
      <c r="CZ1343" s="15" t="n">
        <v>58.86</v>
      </c>
      <c r="DA1343" s="34" t="n">
        <v>46245</v>
      </c>
      <c r="DB1343" s="15" t="n">
        <v>104.7</v>
      </c>
      <c r="DC1343" s="15" t="n">
        <v>272.76</v>
      </c>
      <c r="DD1343" s="34" t="n">
        <v>46245</v>
      </c>
      <c r="DE1343" s="15" t="n">
        <v>34.44</v>
      </c>
      <c r="DF1343" s="15" t="n">
        <v>40.11</v>
      </c>
      <c r="DG1343" s="34" t="n">
        <v>46245</v>
      </c>
      <c r="DH1343" s="15" t="n">
        <v>263</v>
      </c>
      <c r="DI1343" s="15" t="n">
        <v>206.7</v>
      </c>
      <c r="DJ1343" s="34" t="n">
        <v>46245</v>
      </c>
      <c r="DK1343" s="15" t="n">
        <v>31.38</v>
      </c>
      <c r="DL1343" s="15" t="n">
        <v>34.9</v>
      </c>
      <c r="DM1343" s="34" t="n">
        <v>46245</v>
      </c>
      <c r="DN1343" s="15" t="n">
        <v>11.11</v>
      </c>
      <c r="DO1343" s="15" t="n">
        <v>17.07</v>
      </c>
      <c r="DP1343" s="34" t="n">
        <v>46245</v>
      </c>
      <c r="DQ1343" s="15" t="n">
        <v>19.6</v>
      </c>
      <c r="DR1343" s="15" t="n">
        <v>36.12</v>
      </c>
      <c r="DS1343" s="34" t="n">
        <v>46245</v>
      </c>
      <c r="DT1343" s="15" t="n">
        <v>47.58</v>
      </c>
      <c r="DU1343" s="15" t="n">
        <v>81.04000000000001</v>
      </c>
      <c r="DV1343" s="34" t="n">
        <v>46245</v>
      </c>
      <c r="DW1343" s="15" t="n">
        <v>17.36</v>
      </c>
      <c r="DX1343" s="15" t="n">
        <v>38.16</v>
      </c>
      <c r="DY1343" s="34" t="n">
        <v>46245</v>
      </c>
      <c r="DZ1343" s="15" t="n">
        <v>121.7</v>
      </c>
      <c r="EA1343" s="15" t="n">
        <v>164.6</v>
      </c>
      <c r="EB1343" s="34" t="n">
        <v>46245</v>
      </c>
      <c r="EC1343" s="15" t="n">
        <v>9.08</v>
      </c>
      <c r="ED1343" s="15" t="n">
        <v>19.9</v>
      </c>
      <c r="EE1343" s="34" t="n">
        <v>46245</v>
      </c>
      <c r="EF1343" s="15" t="n">
        <v>242</v>
      </c>
      <c r="EG1343" s="15" t="n">
        <v>274.53</v>
      </c>
      <c r="EH1343" s="34" t="n">
        <v>46245</v>
      </c>
      <c r="EI1343" s="15" t="n">
        <v>71.25</v>
      </c>
      <c r="EJ1343" s="15" t="n">
        <v>80.03</v>
      </c>
      <c r="EK1343" s="34" t="n">
        <v>46245</v>
      </c>
      <c r="EL1343" s="15" t="n">
        <v>24.02</v>
      </c>
      <c r="EM1343" s="15" t="n">
        <v>33.19</v>
      </c>
      <c r="EN1343" s="34" t="n">
        <v>46245</v>
      </c>
      <c r="EO1343" s="15" t="n">
        <v>31</v>
      </c>
      <c r="EP1343" s="15" t="n">
        <v>50.09</v>
      </c>
      <c r="EQ1343" s="34" t="n">
        <v>46245</v>
      </c>
      <c r="ER1343" s="15" t="n">
        <v>35.68</v>
      </c>
      <c r="ES1343" s="15" t="n">
        <v>41.65</v>
      </c>
      <c r="ET1343" s="34" t="n">
        <v>46245</v>
      </c>
      <c r="EU1343" s="15" t="n">
        <v>7.135</v>
      </c>
      <c r="EV1343" s="15" t="n">
        <v>13.87</v>
      </c>
      <c r="EW1343" s="34" t="n">
        <v>46245</v>
      </c>
      <c r="EX1343" s="15" t="n">
        <v>98.2</v>
      </c>
      <c r="EY1343" s="15" t="n">
        <v>115.49</v>
      </c>
      <c r="EZ1343" s="34" t="n">
        <v>46245</v>
      </c>
      <c r="FA1343" s="15" t="n">
        <v>6.215</v>
      </c>
      <c r="FB1343" s="15" t="n">
        <v>12.68</v>
      </c>
      <c r="FC1343" s="34" t="n">
        <v>46245</v>
      </c>
      <c r="FD1343" s="15" t="n">
        <v>327.8</v>
      </c>
      <c r="FE1343" s="15" t="n">
        <v>415</v>
      </c>
      <c r="FF1343" s="34" t="n">
        <v>46245</v>
      </c>
      <c r="FG1343" s="15" t="n">
        <v>110</v>
      </c>
      <c r="FH1343" s="15" t="n">
        <v>121.01</v>
      </c>
      <c r="FI1343" s="34" t="n">
        <v>46245</v>
      </c>
      <c r="FJ1343" s="15" t="n">
        <v>24.46</v>
      </c>
      <c r="FK1343" s="15" t="n">
        <v>43.3</v>
      </c>
      <c r="FL1343" s="34" t="n">
        <v>46245</v>
      </c>
      <c r="FM1343" s="15" t="n">
        <v>61.6</v>
      </c>
      <c r="FN1343" s="15" t="n">
        <v>55.63</v>
      </c>
      <c r="FO1343" s="34" t="n">
        <v>46245</v>
      </c>
      <c r="FP1343" s="15" t="n">
        <v>117.4</v>
      </c>
      <c r="FQ1343" s="15" t="n">
        <v>130.05</v>
      </c>
      <c r="FR1343" s="34" t="n">
        <v>46245</v>
      </c>
      <c r="FS1343" s="15" t="n">
        <v>352.2</v>
      </c>
      <c r="FT1343" s="15" t="n">
        <v>429.01</v>
      </c>
      <c r="FU1343" s="34" t="n">
        <v>46245</v>
      </c>
      <c r="FV1343" s="15" t="n">
        <v>3.17</v>
      </c>
      <c r="FW1343" s="15" t="n">
        <v>7.11</v>
      </c>
      <c r="FX1343" s="34" t="n">
        <v>46245</v>
      </c>
      <c r="FY1343" s="15" t="n">
        <v>32.08</v>
      </c>
      <c r="FZ1343" s="15" t="n">
        <v>39.7</v>
      </c>
      <c r="GA1343" s="34" t="n">
        <v>46245</v>
      </c>
      <c r="GB1343" s="15" t="n">
        <v>1019</v>
      </c>
      <c r="GC1343" s="15" t="n">
        <v>886.96</v>
      </c>
      <c r="GD1343" s="34" t="n">
        <v>46245</v>
      </c>
    </row>
    <row r="1344">
      <c r="A1344" s="34" t="n">
        <v>46246</v>
      </c>
      <c r="B1344" s="266" t="n">
        <v>1.163135051727295</v>
      </c>
      <c r="C1344" s="34" t="n">
        <v>46246</v>
      </c>
      <c r="D1344" s="15" t="n">
        <v>25.92</v>
      </c>
      <c r="E1344" s="15" t="n">
        <v>51.15</v>
      </c>
      <c r="F1344" s="34" t="n">
        <v>46246</v>
      </c>
      <c r="G1344" s="15" t="n">
        <v>126.2</v>
      </c>
      <c r="H1344" s="15" t="n">
        <v>175</v>
      </c>
      <c r="I1344" s="34" t="n">
        <v>46246</v>
      </c>
      <c r="J1344" s="15" t="n">
        <v>17.39</v>
      </c>
      <c r="K1344" s="15" t="n">
        <v>27.68</v>
      </c>
      <c r="L1344" s="34" t="n">
        <v>46246</v>
      </c>
      <c r="M1344" s="15" t="n">
        <v>36.68</v>
      </c>
      <c r="N1344" s="15" t="n">
        <v>48.53</v>
      </c>
      <c r="O1344" s="34" t="n">
        <v>46246</v>
      </c>
      <c r="P1344" s="15" t="n">
        <v>50.7</v>
      </c>
      <c r="Q1344" s="15" t="n">
        <v>55.59</v>
      </c>
      <c r="R1344" s="34" t="n">
        <v>46246</v>
      </c>
      <c r="S1344" s="15" t="n">
        <v>67.09999999999999</v>
      </c>
      <c r="T1344" s="15" t="n">
        <v>134.46</v>
      </c>
      <c r="U1344" s="34" t="n">
        <v>46246</v>
      </c>
      <c r="V1344" s="15" t="n">
        <v>13.13</v>
      </c>
      <c r="W1344" s="15" t="n">
        <v>17.96</v>
      </c>
      <c r="X1344" s="34" t="n">
        <v>46246</v>
      </c>
      <c r="Y1344" s="15" t="n">
        <v>96.09999999999999</v>
      </c>
      <c r="Z1344" s="15" t="n">
        <v>84.34</v>
      </c>
      <c r="AA1344" s="34" t="n">
        <v>46246</v>
      </c>
      <c r="AB1344" s="15" t="n">
        <v>10.16</v>
      </c>
      <c r="AC1344" s="15" t="n">
        <v>20.02</v>
      </c>
      <c r="AD1344" s="34" t="n">
        <v>46246</v>
      </c>
      <c r="AE1344" s="15" t="n">
        <v>32.74</v>
      </c>
      <c r="AF1344" s="15" t="n">
        <v>33.23</v>
      </c>
      <c r="AG1344" s="34" t="n">
        <v>46246</v>
      </c>
      <c r="AH1344" s="15" t="n">
        <v>38.3</v>
      </c>
      <c r="AI1344" s="15" t="n">
        <v>40.98</v>
      </c>
      <c r="AJ1344" s="34" t="n">
        <v>46246</v>
      </c>
      <c r="AK1344" s="15" t="n">
        <v>18.6</v>
      </c>
      <c r="AL1344" s="15" t="n">
        <v>46.5</v>
      </c>
      <c r="AM1344" s="34" t="n">
        <v>46246</v>
      </c>
      <c r="AN1344" s="15" t="n">
        <v>654</v>
      </c>
      <c r="AO1344" s="15" t="n">
        <v>393.93</v>
      </c>
      <c r="AP1344" s="34" t="n">
        <v>46246</v>
      </c>
      <c r="AQ1344" s="15" t="n">
        <v>56.05</v>
      </c>
      <c r="AR1344" s="15" t="n">
        <v>54.36</v>
      </c>
      <c r="AS1344" s="34" t="n">
        <v>46246</v>
      </c>
      <c r="AT1344" s="15" t="n">
        <v>12.9</v>
      </c>
      <c r="AU1344" s="15" t="n">
        <v>19.82</v>
      </c>
      <c r="AV1344" s="34" t="n">
        <v>46246</v>
      </c>
      <c r="AW1344" s="15" t="n">
        <v>32.42</v>
      </c>
      <c r="AX1344" s="15" t="n">
        <v>36.24</v>
      </c>
      <c r="AY1344" s="34" t="n">
        <v>46246</v>
      </c>
      <c r="AZ1344" s="15" t="n">
        <v>26.38</v>
      </c>
      <c r="BA1344" s="15" t="n">
        <v>39.17</v>
      </c>
      <c r="BB1344" s="34" t="n">
        <v>46246</v>
      </c>
      <c r="BC1344" s="15" t="n">
        <v>70.25</v>
      </c>
      <c r="BD1344" s="15" t="n">
        <v>85.05</v>
      </c>
      <c r="BE1344" s="34" t="n">
        <v>46246</v>
      </c>
      <c r="BF1344" s="15" t="n">
        <v>106.1</v>
      </c>
      <c r="BG1344" s="15" t="n">
        <v>169.36</v>
      </c>
      <c r="BH1344" s="34" t="n">
        <v>46246</v>
      </c>
      <c r="BI1344" s="15" t="n">
        <v>21.34</v>
      </c>
      <c r="BJ1344" s="15" t="n">
        <v>35.25</v>
      </c>
      <c r="BK1344" s="34" t="n">
        <v>46246</v>
      </c>
      <c r="BL1344" s="15" t="n">
        <v>78.55</v>
      </c>
      <c r="BM1344" s="15" t="n">
        <v>110.36</v>
      </c>
      <c r="BN1344" s="34" t="n">
        <v>46246</v>
      </c>
      <c r="BO1344" s="15" t="n">
        <v>8.17</v>
      </c>
      <c r="BP1344" s="15" t="n">
        <v>21.26</v>
      </c>
      <c r="BQ1344" s="34" t="n">
        <v>46246</v>
      </c>
      <c r="BR1344" s="15" t="n">
        <v>19</v>
      </c>
      <c r="BS1344" s="15" t="n">
        <v>18.91</v>
      </c>
      <c r="BT1344" s="34" t="n">
        <v>46246</v>
      </c>
      <c r="BU1344" s="15" t="n">
        <v>86.2</v>
      </c>
      <c r="BV1344" s="15" t="n">
        <v>159.7</v>
      </c>
      <c r="BW1344" s="34" t="n">
        <v>46246</v>
      </c>
      <c r="BX1344" s="15" t="n">
        <v>42.98</v>
      </c>
      <c r="BY1344" s="15" t="n">
        <v>55.83</v>
      </c>
      <c r="BZ1344" s="34" t="n">
        <v>46246</v>
      </c>
      <c r="CA1344" s="15" t="n">
        <v>13.44</v>
      </c>
      <c r="CB1344" s="15" t="n">
        <v>21.23</v>
      </c>
      <c r="CC1344" s="34" t="n">
        <v>46246</v>
      </c>
      <c r="CD1344" s="15" t="n">
        <v>26.08</v>
      </c>
      <c r="CE1344" s="15" t="n">
        <v>41.56</v>
      </c>
      <c r="CF1344" s="34" t="n">
        <v>46246</v>
      </c>
      <c r="CG1344" s="15" t="n">
        <v>150.7</v>
      </c>
      <c r="CH1344" s="15" t="n">
        <v>227</v>
      </c>
      <c r="CI1344" s="34" t="n">
        <v>46246</v>
      </c>
      <c r="CJ1344" s="15" t="n">
        <v>6.6</v>
      </c>
      <c r="CK1344" s="15" t="n">
        <v>12.53</v>
      </c>
      <c r="CL1344" s="34" t="n">
        <v>46246</v>
      </c>
      <c r="CM1344" s="15" t="n">
        <v>79.09999999999999</v>
      </c>
      <c r="CN1344" s="15" t="n">
        <v>91.52</v>
      </c>
      <c r="CO1344" s="34" t="n">
        <v>46246</v>
      </c>
      <c r="CP1344" s="15" t="n">
        <v>515</v>
      </c>
      <c r="CQ1344" s="15" t="n">
        <v>413.17</v>
      </c>
      <c r="CR1344" s="34" t="n">
        <v>46246</v>
      </c>
      <c r="CS1344" s="15" t="n">
        <v>23.12</v>
      </c>
      <c r="CT1344" s="15" t="n">
        <v>39.57</v>
      </c>
      <c r="CU1344" s="34" t="n">
        <v>46246</v>
      </c>
      <c r="CV1344" s="15" t="n">
        <v>119.9</v>
      </c>
      <c r="CW1344" s="15" t="n">
        <v>127.9</v>
      </c>
      <c r="CX1344" s="34" t="n">
        <v>46246</v>
      </c>
      <c r="CY1344" s="15" t="n">
        <v>35.66</v>
      </c>
      <c r="CZ1344" s="15" t="n">
        <v>60.65</v>
      </c>
      <c r="DA1344" s="34" t="n">
        <v>46246</v>
      </c>
      <c r="DB1344" s="15" t="n">
        <v>108.1</v>
      </c>
      <c r="DC1344" s="15" t="n">
        <v>281.16</v>
      </c>
      <c r="DD1344" s="34" t="n">
        <v>46246</v>
      </c>
      <c r="DE1344" s="15" t="n">
        <v>34.48</v>
      </c>
      <c r="DF1344" s="15" t="n">
        <v>39.93</v>
      </c>
      <c r="DG1344" s="34" t="n">
        <v>46246</v>
      </c>
      <c r="DH1344" s="15" t="n">
        <v>283</v>
      </c>
      <c r="DI1344" s="15" t="n">
        <v>215.43</v>
      </c>
      <c r="DJ1344" s="34" t="n">
        <v>46246</v>
      </c>
      <c r="DK1344" s="15" t="n">
        <v>31.42</v>
      </c>
      <c r="DL1344" s="15" t="n">
        <v>35.39</v>
      </c>
      <c r="DM1344" s="34" t="n">
        <v>46246</v>
      </c>
      <c r="DN1344" s="15" t="n">
        <v>11.2</v>
      </c>
      <c r="DO1344" s="15" t="n">
        <v>17.41</v>
      </c>
      <c r="DP1344" s="34" t="n">
        <v>46246</v>
      </c>
      <c r="DQ1344" s="15" t="n">
        <v>19</v>
      </c>
      <c r="DR1344" s="15" t="n">
        <v>34.71</v>
      </c>
      <c r="DS1344" s="34" t="n">
        <v>46246</v>
      </c>
      <c r="DT1344" s="15" t="n">
        <v>47.02</v>
      </c>
      <c r="DU1344" s="15" t="n">
        <v>81.52</v>
      </c>
      <c r="DV1344" s="34" t="n">
        <v>46246</v>
      </c>
      <c r="DW1344" s="15" t="n">
        <v>17.49</v>
      </c>
      <c r="DX1344" s="15" t="n">
        <v>38.7</v>
      </c>
      <c r="DY1344" s="34" t="n">
        <v>46246</v>
      </c>
      <c r="DZ1344" s="15" t="n">
        <v>128.9</v>
      </c>
      <c r="EA1344" s="15" t="n">
        <v>166.7</v>
      </c>
      <c r="EB1344" s="34" t="n">
        <v>46246</v>
      </c>
      <c r="EC1344" s="15" t="n">
        <v>9.18</v>
      </c>
      <c r="ED1344" s="15" t="n">
        <v>20.08</v>
      </c>
      <c r="EE1344" s="34" t="n">
        <v>46246</v>
      </c>
      <c r="EF1344" s="15" t="n">
        <v>253.8</v>
      </c>
      <c r="EG1344" s="15" t="n">
        <v>279.39</v>
      </c>
      <c r="EH1344" s="34" t="n">
        <v>46246</v>
      </c>
      <c r="EI1344" s="15" t="n">
        <v>70.2</v>
      </c>
      <c r="EJ1344" s="15" t="n">
        <v>79.02</v>
      </c>
      <c r="EK1344" s="34" t="n">
        <v>46246</v>
      </c>
      <c r="EL1344" s="15" t="n">
        <v>23.08</v>
      </c>
      <c r="EM1344" s="15" t="n">
        <v>32.65</v>
      </c>
      <c r="EN1344" s="34" t="n">
        <v>46246</v>
      </c>
      <c r="EO1344" s="15" t="n">
        <v>31.88</v>
      </c>
      <c r="EP1344" s="15" t="n">
        <v>49.95</v>
      </c>
      <c r="EQ1344" s="34" t="n">
        <v>46246</v>
      </c>
      <c r="ER1344" s="15" t="n">
        <v>37.14</v>
      </c>
      <c r="ES1344" s="15" t="n">
        <v>43.63</v>
      </c>
      <c r="ET1344" s="34" t="n">
        <v>46246</v>
      </c>
      <c r="EU1344" s="15" t="n">
        <v>7.32</v>
      </c>
      <c r="EV1344" s="15" t="n">
        <v>14.78</v>
      </c>
      <c r="EW1344" s="34" t="n">
        <v>46246</v>
      </c>
      <c r="EX1344" s="15" t="n">
        <v>97.5</v>
      </c>
      <c r="EY1344" s="15" t="n">
        <v>116.02</v>
      </c>
      <c r="EZ1344" s="34" t="n">
        <v>46246</v>
      </c>
      <c r="FA1344" s="15" t="n">
        <v>6.15</v>
      </c>
      <c r="FB1344" s="15" t="n">
        <v>12.51</v>
      </c>
      <c r="FC1344" s="34" t="n">
        <v>46246</v>
      </c>
      <c r="FD1344" s="15" t="n">
        <v>338.8</v>
      </c>
      <c r="FE1344" s="15" t="n">
        <v>425.5</v>
      </c>
      <c r="FF1344" s="34" t="n">
        <v>46246</v>
      </c>
      <c r="FG1344" s="15" t="n">
        <v>117.7</v>
      </c>
      <c r="FH1344" s="15" t="n">
        <v>124.29</v>
      </c>
      <c r="FI1344" s="34" t="n">
        <v>46246</v>
      </c>
      <c r="FJ1344" s="15" t="n">
        <v>24.9</v>
      </c>
      <c r="FK1344" s="15" t="n">
        <v>44.15</v>
      </c>
      <c r="FL1344" s="34" t="n">
        <v>46246</v>
      </c>
      <c r="FM1344" s="15" t="n">
        <v>63.65</v>
      </c>
      <c r="FN1344" s="15" t="n">
        <v>57.35</v>
      </c>
      <c r="FO1344" s="34" t="n">
        <v>46246</v>
      </c>
      <c r="FP1344" s="15" t="n">
        <v>120</v>
      </c>
      <c r="FQ1344" s="15" t="n">
        <v>127.97</v>
      </c>
      <c r="FR1344" s="34" t="n">
        <v>46246</v>
      </c>
      <c r="FS1344" s="15" t="n">
        <v>356</v>
      </c>
      <c r="FT1344" s="15" t="n">
        <v>449.57</v>
      </c>
      <c r="FU1344" s="34" t="n">
        <v>46246</v>
      </c>
      <c r="FV1344" s="15" t="n">
        <v>3.175</v>
      </c>
      <c r="FW1344" s="15" t="n">
        <v>7.15</v>
      </c>
      <c r="FX1344" s="34" t="n">
        <v>46246</v>
      </c>
      <c r="FY1344" s="15" t="n">
        <v>33.04</v>
      </c>
      <c r="FZ1344" s="15" t="n">
        <v>40.21</v>
      </c>
      <c r="GA1344" s="34" t="n">
        <v>46246</v>
      </c>
      <c r="GB1344" s="15" t="n">
        <v>1109</v>
      </c>
      <c r="GC1344" s="15" t="n">
        <v>921</v>
      </c>
      <c r="GD1344" s="34" t="n">
        <v>46246</v>
      </c>
    </row>
    <row r="1345">
      <c r="A1345" s="34" t="n">
        <v>46247</v>
      </c>
      <c r="B1345" s="266" t="n">
        <v>1.163341045379639</v>
      </c>
      <c r="C1345" s="34" t="n">
        <v>46247</v>
      </c>
      <c r="D1345" s="15" t="n">
        <v>25.36</v>
      </c>
      <c r="E1345" s="15" t="n">
        <v>51.9</v>
      </c>
      <c r="F1345" s="34" t="n">
        <v>46247</v>
      </c>
      <c r="G1345" s="15" t="n">
        <v>119.8</v>
      </c>
      <c r="H1345" s="15" t="n">
        <v>173.81</v>
      </c>
      <c r="I1345" s="34" t="n">
        <v>46247</v>
      </c>
      <c r="J1345" s="15" t="n">
        <v>17.07</v>
      </c>
      <c r="K1345" s="15" t="n">
        <v>27.08</v>
      </c>
      <c r="L1345" s="34" t="n">
        <v>46247</v>
      </c>
      <c r="M1345" s="15" t="n">
        <v>35.28</v>
      </c>
      <c r="N1345" s="15" t="n">
        <v>47.76</v>
      </c>
      <c r="O1345" s="34" t="n">
        <v>46247</v>
      </c>
      <c r="P1345" s="15" t="n">
        <v>50.45</v>
      </c>
      <c r="Q1345" s="15" t="n">
        <v>54.97</v>
      </c>
      <c r="R1345" s="34" t="n">
        <v>46247</v>
      </c>
      <c r="S1345" s="15" t="n">
        <v>70.25</v>
      </c>
      <c r="T1345" s="15" t="n">
        <v>148.2</v>
      </c>
      <c r="U1345" s="34" t="n">
        <v>46247</v>
      </c>
      <c r="V1345" s="15" t="n">
        <v>13.2</v>
      </c>
      <c r="W1345" s="15" t="n">
        <v>17.76</v>
      </c>
      <c r="X1345" s="34" t="n">
        <v>46247</v>
      </c>
      <c r="Y1345" s="15" t="n">
        <v>96.40000000000001</v>
      </c>
      <c r="Z1345" s="15" t="n">
        <v>84.19</v>
      </c>
      <c r="AA1345" s="34" t="n">
        <v>46247</v>
      </c>
      <c r="AB1345" s="15" t="n">
        <v>9.960000000000001</v>
      </c>
      <c r="AC1345" s="15" t="n">
        <v>19.68</v>
      </c>
      <c r="AD1345" s="34" t="n">
        <v>46247</v>
      </c>
      <c r="AE1345" s="15" t="n">
        <v>32.42</v>
      </c>
      <c r="AF1345" s="15" t="n">
        <v>32.96</v>
      </c>
      <c r="AG1345" s="34" t="n">
        <v>46247</v>
      </c>
      <c r="AH1345" s="15" t="n">
        <v>36.62</v>
      </c>
      <c r="AI1345" s="15" t="n">
        <v>38.66</v>
      </c>
      <c r="AJ1345" s="34" t="n">
        <v>46247</v>
      </c>
      <c r="AK1345" s="15" t="n">
        <v>18.13</v>
      </c>
      <c r="AL1345" s="15" t="n">
        <v>45.31</v>
      </c>
      <c r="AM1345" s="34" t="n">
        <v>46247</v>
      </c>
      <c r="AN1345" s="15" t="n">
        <v>652.5</v>
      </c>
      <c r="AO1345" s="15" t="n">
        <v>396.3</v>
      </c>
      <c r="AP1345" s="34" t="n">
        <v>46247</v>
      </c>
      <c r="AQ1345" s="15" t="n">
        <v>54.85</v>
      </c>
      <c r="AR1345" s="15" t="n">
        <v>53.76</v>
      </c>
      <c r="AS1345" s="34" t="n">
        <v>46247</v>
      </c>
      <c r="AT1345" s="15" t="n">
        <v>12.3</v>
      </c>
      <c r="AU1345" s="15" t="n">
        <v>19.6</v>
      </c>
      <c r="AV1345" s="34" t="n">
        <v>46247</v>
      </c>
      <c r="AW1345" s="15" t="n">
        <v>32.3</v>
      </c>
      <c r="AX1345" s="15" t="n">
        <v>36.2</v>
      </c>
      <c r="AY1345" s="34" t="n">
        <v>46247</v>
      </c>
      <c r="AZ1345" s="15" t="n">
        <v>26.32</v>
      </c>
      <c r="BA1345" s="15" t="n">
        <v>38.53</v>
      </c>
      <c r="BB1345" s="34" t="n">
        <v>46247</v>
      </c>
      <c r="BC1345" s="15" t="n">
        <v>69.3</v>
      </c>
      <c r="BD1345" s="15" t="n">
        <v>84.12</v>
      </c>
      <c r="BE1345" s="34" t="n">
        <v>46247</v>
      </c>
      <c r="BF1345" s="15" t="n">
        <v>106</v>
      </c>
      <c r="BG1345" s="15" t="n">
        <v>163.4</v>
      </c>
      <c r="BH1345" s="34" t="n">
        <v>46247</v>
      </c>
      <c r="BI1345" s="15" t="n">
        <v>21.46</v>
      </c>
      <c r="BJ1345" s="15" t="n">
        <v>34.65</v>
      </c>
      <c r="BK1345" s="34" t="n">
        <v>46247</v>
      </c>
      <c r="BL1345" s="15" t="n">
        <v>81</v>
      </c>
      <c r="BM1345" s="15" t="n">
        <v>112.03</v>
      </c>
      <c r="BN1345" s="34" t="n">
        <v>46247</v>
      </c>
      <c r="BO1345" s="15" t="n">
        <v>7.95</v>
      </c>
      <c r="BP1345" s="15" t="n">
        <v>20.67</v>
      </c>
      <c r="BQ1345" s="34" t="n">
        <v>46247</v>
      </c>
      <c r="BR1345" s="15" t="n">
        <v>18.59</v>
      </c>
      <c r="BS1345" s="15" t="n">
        <v>18.72</v>
      </c>
      <c r="BT1345" s="34" t="n">
        <v>46247</v>
      </c>
      <c r="BU1345" s="15" t="n">
        <v>91.90000000000001</v>
      </c>
      <c r="BV1345" s="15" t="n">
        <v>169</v>
      </c>
      <c r="BW1345" s="34" t="n">
        <v>46247</v>
      </c>
      <c r="BX1345" s="15" t="n">
        <v>42.12</v>
      </c>
      <c r="BY1345" s="15" t="n">
        <v>54.28</v>
      </c>
      <c r="BZ1345" s="34" t="n">
        <v>46247</v>
      </c>
      <c r="CA1345" s="15" t="n">
        <v>13.24</v>
      </c>
      <c r="CB1345" s="15" t="n">
        <v>20.95</v>
      </c>
      <c r="CC1345" s="34" t="n">
        <v>46247</v>
      </c>
      <c r="CD1345" s="15" t="n">
        <v>25.18</v>
      </c>
      <c r="CE1345" s="15" t="n">
        <v>40.88</v>
      </c>
      <c r="CF1345" s="34" t="n">
        <v>46247</v>
      </c>
      <c r="CG1345" s="15" t="n">
        <v>150.2</v>
      </c>
      <c r="CH1345" s="15" t="n">
        <v>225.39</v>
      </c>
      <c r="CI1345" s="34" t="n">
        <v>46247</v>
      </c>
      <c r="CJ1345" s="15" t="n">
        <v>6.38</v>
      </c>
      <c r="CK1345" s="15" t="n">
        <v>12.2</v>
      </c>
      <c r="CL1345" s="34" t="n">
        <v>46247</v>
      </c>
      <c r="CM1345" s="15" t="n">
        <v>78.75</v>
      </c>
      <c r="CN1345" s="15" t="n">
        <v>90.02</v>
      </c>
      <c r="CO1345" s="34" t="n">
        <v>46247</v>
      </c>
      <c r="CP1345" s="15" t="n">
        <v>501</v>
      </c>
      <c r="CQ1345" s="15" t="n">
        <v>404.5</v>
      </c>
      <c r="CR1345" s="34" t="n">
        <v>46247</v>
      </c>
      <c r="CS1345" s="15" t="n">
        <v>25.78</v>
      </c>
      <c r="CT1345" s="15" t="n">
        <v>40.9</v>
      </c>
      <c r="CU1345" s="34" t="n">
        <v>46247</v>
      </c>
      <c r="CV1345" s="15" t="n">
        <v>118.3</v>
      </c>
      <c r="CW1345" s="15" t="n">
        <v>125.97</v>
      </c>
      <c r="CX1345" s="34" t="n">
        <v>46247</v>
      </c>
      <c r="CY1345" s="15" t="n">
        <v>36.02</v>
      </c>
      <c r="CZ1345" s="15" t="n">
        <v>59.99</v>
      </c>
      <c r="DA1345" s="34" t="n">
        <v>46247</v>
      </c>
      <c r="DB1345" s="15" t="n">
        <v>111.3</v>
      </c>
      <c r="DC1345" s="15" t="n">
        <v>287.06</v>
      </c>
      <c r="DD1345" s="34" t="n">
        <v>46247</v>
      </c>
      <c r="DE1345" s="15" t="n">
        <v>34.66</v>
      </c>
      <c r="DF1345" s="15" t="n">
        <v>40.15</v>
      </c>
      <c r="DG1345" s="34" t="n">
        <v>46247</v>
      </c>
      <c r="DH1345" s="15" t="n">
        <v>286.8</v>
      </c>
      <c r="DI1345" s="15" t="n">
        <v>210.22</v>
      </c>
      <c r="DJ1345" s="34" t="n">
        <v>46247</v>
      </c>
      <c r="DK1345" s="15" t="n">
        <v>31.28</v>
      </c>
      <c r="DL1345" s="15" t="n">
        <v>34.63</v>
      </c>
      <c r="DM1345" s="34" t="n">
        <v>46247</v>
      </c>
      <c r="DN1345" s="15" t="n">
        <v>10.65</v>
      </c>
      <c r="DO1345" s="15" t="n">
        <v>17.04</v>
      </c>
      <c r="DP1345" s="34" t="n">
        <v>46247</v>
      </c>
      <c r="DQ1345" s="15" t="n">
        <v>18.41</v>
      </c>
      <c r="DR1345" s="15" t="n">
        <v>34.67</v>
      </c>
      <c r="DS1345" s="34" t="n">
        <v>46247</v>
      </c>
      <c r="DT1345" s="15" t="n">
        <v>46.5</v>
      </c>
      <c r="DU1345" s="15" t="n">
        <v>81.33</v>
      </c>
      <c r="DV1345" s="34" t="n">
        <v>46247</v>
      </c>
      <c r="DW1345" s="15" t="n">
        <v>17.48</v>
      </c>
      <c r="DX1345" s="15" t="n">
        <v>38.05</v>
      </c>
      <c r="DY1345" s="34" t="n">
        <v>46247</v>
      </c>
      <c r="DZ1345" s="15" t="n">
        <v>133.4</v>
      </c>
      <c r="EA1345" s="15" t="n">
        <v>164.73</v>
      </c>
      <c r="EB1345" s="34" t="n">
        <v>46247</v>
      </c>
      <c r="EC1345" s="15" t="n">
        <v>9.295</v>
      </c>
      <c r="ED1345" s="15" t="n">
        <v>19.56</v>
      </c>
      <c r="EE1345" s="34" t="n">
        <v>46247</v>
      </c>
      <c r="EF1345" s="15" t="n">
        <v>238.6</v>
      </c>
      <c r="EG1345" s="15" t="n">
        <v>271.3</v>
      </c>
      <c r="EH1345" s="34" t="n">
        <v>46247</v>
      </c>
      <c r="EI1345" s="15" t="n">
        <v>77.5</v>
      </c>
      <c r="EJ1345" s="15" t="n">
        <v>85.97</v>
      </c>
      <c r="EK1345" s="34" t="n">
        <v>46247</v>
      </c>
      <c r="EL1345" s="15" t="n">
        <v>23.3</v>
      </c>
      <c r="EM1345" s="15" t="n">
        <v>34.12</v>
      </c>
      <c r="EN1345" s="34" t="n">
        <v>46247</v>
      </c>
      <c r="EO1345" s="15" t="n">
        <v>31.78</v>
      </c>
      <c r="EP1345" s="15" t="n">
        <v>50</v>
      </c>
      <c r="EQ1345" s="34" t="n">
        <v>46247</v>
      </c>
      <c r="ER1345" s="15" t="n">
        <v>35.46</v>
      </c>
      <c r="ES1345" s="15" t="n">
        <v>42.55</v>
      </c>
      <c r="ET1345" s="34" t="n">
        <v>46247</v>
      </c>
      <c r="EU1345" s="15" t="n">
        <v>7.62</v>
      </c>
      <c r="EV1345" s="15" t="n">
        <v>14.52</v>
      </c>
      <c r="EW1345" s="34" t="n">
        <v>46247</v>
      </c>
      <c r="EX1345" s="15" t="n">
        <v>106.8</v>
      </c>
      <c r="EY1345" s="15" t="n">
        <v>118.7</v>
      </c>
      <c r="EZ1345" s="34" t="n">
        <v>46247</v>
      </c>
      <c r="FA1345" s="15" t="n">
        <v>6.235</v>
      </c>
      <c r="FB1345" s="15" t="n">
        <v>12.55</v>
      </c>
      <c r="FC1345" s="34" t="n">
        <v>46247</v>
      </c>
      <c r="FD1345" s="15" t="n">
        <v>343</v>
      </c>
      <c r="FE1345" s="15" t="n">
        <v>419</v>
      </c>
      <c r="FF1345" s="34" t="n">
        <v>46247</v>
      </c>
      <c r="FG1345" s="15" t="n">
        <v>115.1</v>
      </c>
      <c r="FH1345" s="15" t="n">
        <v>118.42</v>
      </c>
      <c r="FI1345" s="34" t="n">
        <v>46247</v>
      </c>
      <c r="FJ1345" s="15" t="n">
        <v>25.06</v>
      </c>
      <c r="FK1345" s="15" t="n">
        <v>43.26</v>
      </c>
      <c r="FL1345" s="34" t="n">
        <v>46247</v>
      </c>
      <c r="FM1345" s="15" t="n">
        <v>60.5</v>
      </c>
      <c r="FN1345" s="15" t="n">
        <v>56.06</v>
      </c>
      <c r="FO1345" s="34" t="n">
        <v>46247</v>
      </c>
      <c r="FP1345" s="15" t="n">
        <v>130.8</v>
      </c>
      <c r="FQ1345" s="15" t="n">
        <v>128.4</v>
      </c>
      <c r="FR1345" s="34" t="n">
        <v>46247</v>
      </c>
      <c r="FS1345" s="15" t="n">
        <v>351</v>
      </c>
      <c r="FT1345" s="15" t="n">
        <v>445</v>
      </c>
      <c r="FU1345" s="34" t="n">
        <v>46247</v>
      </c>
      <c r="FV1345" s="15" t="n">
        <v>3.135</v>
      </c>
      <c r="FW1345" s="15" t="n">
        <v>7.12</v>
      </c>
      <c r="FX1345" s="34" t="n">
        <v>46247</v>
      </c>
      <c r="FY1345" s="15" t="n">
        <v>34</v>
      </c>
      <c r="FZ1345" s="15" t="n">
        <v>39.59</v>
      </c>
      <c r="GA1345" s="34" t="n">
        <v>46247</v>
      </c>
      <c r="GB1345" s="15" t="n">
        <v>1141</v>
      </c>
      <c r="GC1345" s="15" t="n">
        <v>921.04</v>
      </c>
      <c r="GD1345" s="34" t="n">
        <v>46247</v>
      </c>
    </row>
    <row r="1346">
      <c r="A1346" s="34" t="n">
        <v>46248</v>
      </c>
      <c r="B1346" s="266" t="n">
        <v>1.163571000099182</v>
      </c>
      <c r="C1346" s="34" t="n">
        <v>46248</v>
      </c>
      <c r="D1346" s="15" t="n">
        <v>25.08</v>
      </c>
      <c r="E1346" s="15" t="n">
        <v>51.3</v>
      </c>
      <c r="F1346" s="34" t="n">
        <v>46248</v>
      </c>
      <c r="G1346" s="15" t="n">
        <v>114.4</v>
      </c>
      <c r="H1346" s="15" t="n">
        <v>171.2</v>
      </c>
      <c r="I1346" s="34" t="n">
        <v>46248</v>
      </c>
      <c r="J1346" s="15" t="n">
        <v>17.16</v>
      </c>
      <c r="K1346" s="15" t="n">
        <v>27.66</v>
      </c>
      <c r="L1346" s="34" t="n">
        <v>46248</v>
      </c>
      <c r="M1346" s="15" t="n">
        <v>35.68</v>
      </c>
      <c r="N1346" s="15" t="n">
        <v>48.73</v>
      </c>
      <c r="O1346" s="34" t="n">
        <v>46248</v>
      </c>
      <c r="P1346" s="15" t="n">
        <v>49.7</v>
      </c>
      <c r="Q1346" s="15" t="n">
        <v>54.06</v>
      </c>
      <c r="R1346" s="34" t="n">
        <v>46248</v>
      </c>
      <c r="S1346" s="15" t="n">
        <v>69</v>
      </c>
      <c r="T1346" s="15" t="n">
        <v>148.37</v>
      </c>
      <c r="U1346" s="34" t="n">
        <v>46248</v>
      </c>
      <c r="V1346" s="15" t="n">
        <v>13.13</v>
      </c>
      <c r="W1346" s="15" t="n">
        <v>17.75</v>
      </c>
      <c r="X1346" s="34" t="n">
        <v>46248</v>
      </c>
      <c r="Y1346" s="15" t="n">
        <v>95.90000000000001</v>
      </c>
      <c r="Z1346" s="15" t="n">
        <v>83.03</v>
      </c>
      <c r="AA1346" s="34" t="n">
        <v>46248</v>
      </c>
      <c r="AB1346" s="15" t="n">
        <v>9.994999999999999</v>
      </c>
      <c r="AC1346" s="15" t="n">
        <v>19.98</v>
      </c>
      <c r="AD1346" s="34" t="n">
        <v>46248</v>
      </c>
      <c r="AE1346" s="15" t="n">
        <v>32.22</v>
      </c>
      <c r="AF1346" s="15" t="n">
        <v>32.74</v>
      </c>
      <c r="AG1346" s="34" t="n">
        <v>46248</v>
      </c>
      <c r="AH1346" s="15" t="n">
        <v>37</v>
      </c>
      <c r="AI1346" s="15" t="n">
        <v>39.78</v>
      </c>
      <c r="AJ1346" s="34" t="n">
        <v>46248</v>
      </c>
      <c r="AK1346" s="15" t="n">
        <v>18.1</v>
      </c>
      <c r="AL1346" s="15" t="n">
        <v>44.95</v>
      </c>
      <c r="AM1346" s="34" t="n">
        <v>46248</v>
      </c>
      <c r="AN1346" s="15" t="n">
        <v>641.5</v>
      </c>
      <c r="AO1346" s="15" t="n">
        <v>393.93</v>
      </c>
      <c r="AP1346" s="34" t="n">
        <v>46248</v>
      </c>
      <c r="AQ1346" s="15" t="n">
        <v>52.8</v>
      </c>
      <c r="AR1346" s="15" t="n">
        <v>52.62</v>
      </c>
      <c r="AS1346" s="34" t="n">
        <v>46248</v>
      </c>
      <c r="AT1346" s="15" t="n">
        <v>12.31</v>
      </c>
      <c r="AU1346" s="15" t="n">
        <v>19.48</v>
      </c>
      <c r="AV1346" s="34" t="n">
        <v>46248</v>
      </c>
      <c r="AW1346" s="15" t="n">
        <v>32.16</v>
      </c>
      <c r="AX1346" s="15" t="n">
        <v>35.82</v>
      </c>
      <c r="AY1346" s="34" t="n">
        <v>46248</v>
      </c>
      <c r="AZ1346" s="15" t="n">
        <v>26.14</v>
      </c>
      <c r="BA1346" s="15" t="n">
        <v>38.3</v>
      </c>
      <c r="BB1346" s="34" t="n">
        <v>46248</v>
      </c>
      <c r="BC1346" s="15" t="n">
        <v>69.75</v>
      </c>
      <c r="BD1346" s="15" t="n">
        <v>84.2</v>
      </c>
      <c r="BE1346" s="34" t="n">
        <v>46248</v>
      </c>
      <c r="BF1346" s="15" t="n">
        <v>107.2</v>
      </c>
      <c r="BG1346" s="15" t="n">
        <v>162.11</v>
      </c>
      <c r="BH1346" s="34" t="n">
        <v>46248</v>
      </c>
      <c r="BI1346" s="15" t="n">
        <v>22.54</v>
      </c>
      <c r="BJ1346" s="15" t="n">
        <v>35.74</v>
      </c>
      <c r="BK1346" s="34" t="n">
        <v>46248</v>
      </c>
      <c r="BL1346" s="15" t="n">
        <v>81.75</v>
      </c>
      <c r="BM1346" s="15" t="n">
        <v>111.15</v>
      </c>
      <c r="BN1346" s="34" t="n">
        <v>46248</v>
      </c>
      <c r="BO1346" s="15" t="n">
        <v>7.88</v>
      </c>
      <c r="BP1346" s="15" t="n">
        <v>20.02</v>
      </c>
      <c r="BQ1346" s="34" t="n">
        <v>46248</v>
      </c>
      <c r="BR1346" s="15" t="n">
        <v>18.34</v>
      </c>
      <c r="BS1346" s="15" t="n">
        <v>18.75</v>
      </c>
      <c r="BT1346" s="34" t="n">
        <v>46248</v>
      </c>
      <c r="BU1346" s="15" t="n">
        <v>100.2</v>
      </c>
      <c r="BV1346" s="15" t="n">
        <v>185.9</v>
      </c>
      <c r="BW1346" s="34" t="n">
        <v>46248</v>
      </c>
      <c r="BX1346" s="15" t="n">
        <v>41.5</v>
      </c>
      <c r="BY1346" s="15" t="n">
        <v>53.2</v>
      </c>
      <c r="BZ1346" s="34" t="n">
        <v>46248</v>
      </c>
      <c r="CA1346" s="15" t="n">
        <v>13.18</v>
      </c>
      <c r="CB1346" s="15" t="n">
        <v>20.84</v>
      </c>
      <c r="CC1346" s="34" t="n">
        <v>46248</v>
      </c>
      <c r="CD1346" s="15" t="n">
        <v>25.16</v>
      </c>
      <c r="CE1346" s="15" t="n">
        <v>40.99</v>
      </c>
      <c r="CF1346" s="34" t="n">
        <v>46248</v>
      </c>
      <c r="CG1346" s="15" t="n">
        <v>165</v>
      </c>
      <c r="CH1346" s="15" t="n">
        <v>237.3</v>
      </c>
      <c r="CI1346" s="34" t="n">
        <v>46248</v>
      </c>
      <c r="CJ1346" s="15" t="n">
        <v>6.37</v>
      </c>
      <c r="CK1346" s="15" t="n">
        <v>11.89</v>
      </c>
      <c r="CL1346" s="34" t="n">
        <v>46248</v>
      </c>
      <c r="CM1346" s="15" t="n">
        <v>77.59999999999999</v>
      </c>
      <c r="CN1346" s="15" t="n">
        <v>91.08</v>
      </c>
      <c r="CO1346" s="34" t="n">
        <v>46248</v>
      </c>
      <c r="CP1346" s="15" t="n">
        <v>511</v>
      </c>
      <c r="CQ1346" s="15" t="n">
        <v>417.48</v>
      </c>
      <c r="CR1346" s="34" t="n">
        <v>46248</v>
      </c>
      <c r="CS1346" s="15" t="n">
        <v>23.06</v>
      </c>
      <c r="CT1346" s="15" t="n">
        <v>39.8</v>
      </c>
      <c r="CU1346" s="34" t="n">
        <v>46248</v>
      </c>
      <c r="CV1346" s="15" t="n">
        <v>117.2</v>
      </c>
      <c r="CW1346" s="15" t="n">
        <v>122.93</v>
      </c>
      <c r="CX1346" s="34" t="n">
        <v>46248</v>
      </c>
      <c r="CY1346" s="15" t="n">
        <v>38.66</v>
      </c>
      <c r="CZ1346" s="15" t="n">
        <v>59.64</v>
      </c>
      <c r="DA1346" s="34" t="n">
        <v>46248</v>
      </c>
      <c r="DB1346" s="15" t="n">
        <v>109.6</v>
      </c>
      <c r="DC1346" s="15" t="n">
        <v>290.09</v>
      </c>
      <c r="DD1346" s="34" t="n">
        <v>46248</v>
      </c>
      <c r="DE1346" s="15" t="n">
        <v>34</v>
      </c>
      <c r="DF1346" s="15" t="n">
        <v>39.29</v>
      </c>
      <c r="DG1346" s="34" t="n">
        <v>46248</v>
      </c>
      <c r="DH1346" s="15" t="n">
        <v>283.8</v>
      </c>
      <c r="DI1346" s="15" t="n">
        <v>211.91</v>
      </c>
      <c r="DJ1346" s="34" t="n">
        <v>46248</v>
      </c>
      <c r="DK1346" s="15" t="n">
        <v>31.86</v>
      </c>
      <c r="DL1346" s="15" t="n">
        <v>34.78</v>
      </c>
      <c r="DM1346" s="34" t="n">
        <v>46248</v>
      </c>
      <c r="DN1346" s="15" t="n">
        <v>10.53</v>
      </c>
      <c r="DO1346" s="15" t="n">
        <v>16.95</v>
      </c>
      <c r="DP1346" s="34" t="n">
        <v>46248</v>
      </c>
      <c r="DQ1346" s="15" t="n">
        <v>18.22</v>
      </c>
      <c r="DR1346" s="15" t="n">
        <v>34.75</v>
      </c>
      <c r="DS1346" s="34" t="n">
        <v>46248</v>
      </c>
      <c r="DT1346" s="15" t="n">
        <v>46.94</v>
      </c>
      <c r="DU1346" s="15" t="n">
        <v>81.98</v>
      </c>
      <c r="DV1346" s="34" t="n">
        <v>46248</v>
      </c>
      <c r="DW1346" s="15" t="n">
        <v>17.36</v>
      </c>
      <c r="DX1346" s="15" t="n">
        <v>38</v>
      </c>
      <c r="DY1346" s="34" t="n">
        <v>46248</v>
      </c>
      <c r="DZ1346" s="15" t="n">
        <v>140</v>
      </c>
      <c r="EA1346" s="15" t="n">
        <v>169.46</v>
      </c>
      <c r="EB1346" s="34" t="n">
        <v>46248</v>
      </c>
      <c r="EC1346" s="15" t="n">
        <v>9.25</v>
      </c>
      <c r="ED1346" s="15" t="n">
        <v>19.69</v>
      </c>
      <c r="EE1346" s="34" t="n">
        <v>46248</v>
      </c>
      <c r="EF1346" s="15" t="n">
        <v>241</v>
      </c>
      <c r="EG1346" s="15" t="n">
        <v>269.33</v>
      </c>
      <c r="EH1346" s="34" t="n">
        <v>46248</v>
      </c>
      <c r="EI1346" s="15" t="n">
        <v>75.75</v>
      </c>
      <c r="EJ1346" s="15" t="n">
        <v>85.95999999999999</v>
      </c>
      <c r="EK1346" s="34" t="n">
        <v>46248</v>
      </c>
      <c r="EL1346" s="15" t="n">
        <v>23.6</v>
      </c>
      <c r="EM1346" s="15" t="n">
        <v>34</v>
      </c>
      <c r="EN1346" s="34" t="n">
        <v>46248</v>
      </c>
      <c r="EO1346" s="15" t="n">
        <v>31.36</v>
      </c>
      <c r="EP1346" s="15" t="n">
        <v>50.15</v>
      </c>
      <c r="EQ1346" s="34" t="n">
        <v>46248</v>
      </c>
      <c r="ER1346" s="15" t="n">
        <v>34.66</v>
      </c>
      <c r="ES1346" s="15" t="n">
        <v>41.85</v>
      </c>
      <c r="ET1346" s="34" t="n">
        <v>46248</v>
      </c>
      <c r="EU1346" s="15" t="n">
        <v>8.16</v>
      </c>
      <c r="EV1346" s="15" t="n">
        <v>14.95</v>
      </c>
      <c r="EW1346" s="34" t="n">
        <v>46248</v>
      </c>
      <c r="EX1346" s="15" t="n">
        <v>103.5</v>
      </c>
      <c r="EY1346" s="15" t="n">
        <v>123</v>
      </c>
      <c r="EZ1346" s="34" t="n">
        <v>46248</v>
      </c>
      <c r="FA1346" s="15" t="n">
        <v>6.41</v>
      </c>
      <c r="FB1346" s="15" t="n">
        <v>12.69</v>
      </c>
      <c r="FC1346" s="34" t="n">
        <v>46248</v>
      </c>
      <c r="FD1346" s="15" t="n">
        <v>330.2</v>
      </c>
      <c r="FE1346" s="15" t="n">
        <v>419</v>
      </c>
      <c r="FF1346" s="34" t="n">
        <v>46248</v>
      </c>
      <c r="FG1346" s="15" t="n">
        <v>116.9</v>
      </c>
      <c r="FH1346" s="15" t="n">
        <v>115.75</v>
      </c>
      <c r="FI1346" s="34" t="n">
        <v>46248</v>
      </c>
      <c r="FJ1346" s="15" t="n">
        <v>25.3</v>
      </c>
      <c r="FK1346" s="15" t="n">
        <v>44.44</v>
      </c>
      <c r="FL1346" s="34" t="n">
        <v>46248</v>
      </c>
      <c r="FM1346" s="15" t="n">
        <v>60.4</v>
      </c>
      <c r="FN1346" s="15" t="n">
        <v>56.58</v>
      </c>
      <c r="FO1346" s="34" t="n">
        <v>46248</v>
      </c>
      <c r="FP1346" s="15" t="n">
        <v>129.4</v>
      </c>
      <c r="FQ1346" s="15" t="n">
        <v>129.09</v>
      </c>
      <c r="FR1346" s="34" t="n">
        <v>46248</v>
      </c>
      <c r="FS1346" s="15" t="n">
        <v>367.6</v>
      </c>
      <c r="FT1346" s="15" t="n">
        <v>447.8</v>
      </c>
      <c r="FU1346" s="34" t="n">
        <v>46248</v>
      </c>
      <c r="FV1346" s="15" t="n">
        <v>3.13</v>
      </c>
      <c r="FW1346" s="15" t="n">
        <v>7.07</v>
      </c>
      <c r="FX1346" s="34" t="n">
        <v>46248</v>
      </c>
      <c r="FY1346" s="15" t="n">
        <v>34.62</v>
      </c>
      <c r="FZ1346" s="15" t="n">
        <v>40.09</v>
      </c>
      <c r="GA1346" s="34" t="n">
        <v>46248</v>
      </c>
      <c r="GB1346" s="15" t="n">
        <v>1174</v>
      </c>
      <c r="GC1346" s="15" t="n">
        <v>943</v>
      </c>
      <c r="GD1346" s="34" t="n">
        <v>46248</v>
      </c>
    </row>
    <row r="1347">
      <c r="A1347" s="34" t="n">
        <v>46251</v>
      </c>
      <c r="B1347" s="266" t="n">
        <v>1.163601994514465</v>
      </c>
      <c r="C1347" s="34" t="n">
        <v>46251</v>
      </c>
      <c r="D1347" s="15" t="n">
        <v>26.66</v>
      </c>
      <c r="E1347" s="15" t="n">
        <v>53.48</v>
      </c>
      <c r="F1347" s="34" t="n">
        <v>46251</v>
      </c>
      <c r="G1347" s="15" t="n">
        <v>121.9</v>
      </c>
      <c r="H1347" s="15" t="n">
        <v>177.12</v>
      </c>
      <c r="I1347" s="34" t="n">
        <v>46251</v>
      </c>
      <c r="J1347" s="15" t="n">
        <v>17.47</v>
      </c>
      <c r="K1347" s="15" t="n">
        <v>27.93</v>
      </c>
      <c r="L1347" s="34" t="n">
        <v>46251</v>
      </c>
      <c r="M1347" s="15" t="n">
        <v>36.16</v>
      </c>
      <c r="N1347" s="15" t="n">
        <v>48.82</v>
      </c>
      <c r="O1347" s="34" t="n">
        <v>46251</v>
      </c>
      <c r="P1347" s="15" t="n">
        <v>49.4</v>
      </c>
      <c r="Q1347" s="15" t="n">
        <v>54.03</v>
      </c>
      <c r="R1347" s="34" t="n">
        <v>46251</v>
      </c>
      <c r="S1347" s="15" t="n">
        <v>63.7</v>
      </c>
      <c r="T1347" s="15" t="n">
        <v>140.7</v>
      </c>
      <c r="U1347" s="34" t="n">
        <v>46251</v>
      </c>
      <c r="V1347" s="15" t="n">
        <v>13.25</v>
      </c>
      <c r="W1347" s="15" t="n">
        <v>17.9</v>
      </c>
      <c r="X1347" s="34" t="n">
        <v>46251</v>
      </c>
      <c r="Y1347" s="15" t="n">
        <v>95.5</v>
      </c>
      <c r="Z1347" s="15" t="n">
        <v>82.61</v>
      </c>
      <c r="AA1347" s="34" t="n">
        <v>46251</v>
      </c>
      <c r="AB1347" s="15" t="n">
        <v>10.44</v>
      </c>
      <c r="AC1347" s="15" t="n">
        <v>20.76</v>
      </c>
      <c r="AD1347" s="34" t="n">
        <v>46251</v>
      </c>
      <c r="AE1347" s="15" t="n">
        <v>32.12</v>
      </c>
      <c r="AF1347" s="15" t="n">
        <v>32.52</v>
      </c>
      <c r="AG1347" s="34" t="n">
        <v>46251</v>
      </c>
      <c r="AH1347" s="15" t="n">
        <v>38</v>
      </c>
      <c r="AI1347" s="15" t="n">
        <v>40.78</v>
      </c>
      <c r="AJ1347" s="34" t="n">
        <v>46251</v>
      </c>
      <c r="AK1347" s="15" t="n">
        <v>19.18</v>
      </c>
      <c r="AL1347" s="15" t="n">
        <v>46.63</v>
      </c>
      <c r="AM1347" s="34" t="n">
        <v>46251</v>
      </c>
      <c r="AN1347" s="15" t="n">
        <v>652</v>
      </c>
      <c r="AO1347" s="15" t="n">
        <v>399.98</v>
      </c>
      <c r="AP1347" s="34" t="n">
        <v>46251</v>
      </c>
      <c r="AQ1347" s="15" t="n">
        <v>53.7</v>
      </c>
      <c r="AR1347" s="15" t="n">
        <v>52.87</v>
      </c>
      <c r="AS1347" s="34" t="n">
        <v>46251</v>
      </c>
      <c r="AT1347" s="15" t="n">
        <v>12.62</v>
      </c>
      <c r="AU1347" s="15" t="n">
        <v>19.97</v>
      </c>
      <c r="AV1347" s="34" t="n">
        <v>46251</v>
      </c>
      <c r="AW1347" s="15" t="n">
        <v>31.88</v>
      </c>
      <c r="AX1347" s="15" t="n">
        <v>35.42</v>
      </c>
      <c r="AY1347" s="34" t="n">
        <v>46251</v>
      </c>
      <c r="AZ1347" s="15" t="n">
        <v>27</v>
      </c>
      <c r="BA1347" s="15" t="n">
        <v>39.02</v>
      </c>
      <c r="BB1347" s="34" t="n">
        <v>46251</v>
      </c>
      <c r="BC1347" s="15" t="n">
        <v>70.05</v>
      </c>
      <c r="BD1347" s="15" t="n">
        <v>84.23</v>
      </c>
      <c r="BE1347" s="34" t="n">
        <v>46251</v>
      </c>
      <c r="BF1347" s="15" t="n">
        <v>120.9</v>
      </c>
      <c r="BG1347" s="15" t="n">
        <v>178.64</v>
      </c>
      <c r="BH1347" s="34" t="n">
        <v>46251</v>
      </c>
      <c r="BI1347" s="15" t="n">
        <v>23.54</v>
      </c>
      <c r="BJ1347" s="15" t="n">
        <v>36.99</v>
      </c>
      <c r="BK1347" s="34" t="n">
        <v>46251</v>
      </c>
      <c r="BL1347" s="15" t="n">
        <v>84.2</v>
      </c>
      <c r="BM1347" s="15" t="n">
        <v>120.24</v>
      </c>
      <c r="BN1347" s="34" t="n">
        <v>46251</v>
      </c>
      <c r="BO1347" s="15" t="n">
        <v>7.975</v>
      </c>
      <c r="BP1347" s="15" t="n">
        <v>20.22</v>
      </c>
      <c r="BQ1347" s="34" t="n">
        <v>46251</v>
      </c>
      <c r="BR1347" s="15" t="n">
        <v>18.76</v>
      </c>
      <c r="BS1347" s="15" t="n">
        <v>18.7</v>
      </c>
      <c r="BT1347" s="34" t="n">
        <v>46251</v>
      </c>
      <c r="BU1347" s="15" t="n">
        <v>101.9</v>
      </c>
      <c r="BV1347" s="15" t="n">
        <v>190.21</v>
      </c>
      <c r="BW1347" s="34" t="n">
        <v>46251</v>
      </c>
      <c r="BX1347" s="15" t="n">
        <v>41.5</v>
      </c>
      <c r="BY1347" s="15" t="n">
        <v>53.14</v>
      </c>
      <c r="BZ1347" s="34" t="n">
        <v>46251</v>
      </c>
      <c r="CA1347" s="15" t="n">
        <v>13.29</v>
      </c>
      <c r="CB1347" s="15" t="n">
        <v>20.98</v>
      </c>
      <c r="CC1347" s="34" t="n">
        <v>46251</v>
      </c>
      <c r="CD1347" s="15" t="n">
        <v>25.68</v>
      </c>
      <c r="CE1347" s="15" t="n">
        <v>41.53</v>
      </c>
      <c r="CF1347" s="34" t="n">
        <v>46251</v>
      </c>
      <c r="CG1347" s="15" t="n">
        <v>172.5</v>
      </c>
      <c r="CH1347" s="15" t="n">
        <v>244</v>
      </c>
      <c r="CI1347" s="34" t="n">
        <v>46251</v>
      </c>
      <c r="CJ1347" s="15" t="n">
        <v>6.6</v>
      </c>
      <c r="CK1347" s="15" t="n">
        <v>12.21</v>
      </c>
      <c r="CL1347" s="34" t="n">
        <v>46251</v>
      </c>
      <c r="CM1347" s="15" t="n">
        <v>80</v>
      </c>
      <c r="CN1347" s="15" t="n">
        <v>92.14</v>
      </c>
      <c r="CO1347" s="34" t="n">
        <v>46251</v>
      </c>
      <c r="CP1347" s="15" t="n">
        <v>554</v>
      </c>
      <c r="CQ1347" s="15" t="n">
        <v>444</v>
      </c>
      <c r="CR1347" s="34" t="n">
        <v>46251</v>
      </c>
      <c r="CS1347" s="15" t="n">
        <v>24.12</v>
      </c>
      <c r="CT1347" s="15" t="n">
        <v>40.3</v>
      </c>
      <c r="CU1347" s="34" t="n">
        <v>46251</v>
      </c>
      <c r="CV1347" s="15" t="n">
        <v>117.8</v>
      </c>
      <c r="CW1347" s="15" t="n">
        <v>123.47</v>
      </c>
      <c r="CX1347" s="34" t="n">
        <v>46251</v>
      </c>
      <c r="CY1347" s="15" t="n">
        <v>41.18</v>
      </c>
      <c r="CZ1347" s="15" t="n">
        <v>64.2</v>
      </c>
      <c r="DA1347" s="34" t="n">
        <v>46251</v>
      </c>
      <c r="DB1347" s="15" t="n">
        <v>113.9</v>
      </c>
      <c r="DC1347" s="15" t="n">
        <v>300.88</v>
      </c>
      <c r="DD1347" s="34" t="n">
        <v>46251</v>
      </c>
      <c r="DE1347" s="15" t="n">
        <v>33.32</v>
      </c>
      <c r="DF1347" s="15" t="n">
        <v>39.29</v>
      </c>
      <c r="DG1347" s="34" t="n">
        <v>46251</v>
      </c>
      <c r="DH1347" s="15" t="n">
        <v>311</v>
      </c>
      <c r="DI1347" s="15" t="n">
        <v>224.37</v>
      </c>
      <c r="DJ1347" s="34" t="n">
        <v>46251</v>
      </c>
      <c r="DK1347" s="15" t="n">
        <v>32.08</v>
      </c>
      <c r="DL1347" s="15" t="n">
        <v>35.38</v>
      </c>
      <c r="DM1347" s="34" t="n">
        <v>46251</v>
      </c>
      <c r="DN1347" s="15" t="n">
        <v>10.74</v>
      </c>
      <c r="DO1347" s="15" t="n">
        <v>17.28</v>
      </c>
      <c r="DP1347" s="34" t="n">
        <v>46251</v>
      </c>
      <c r="DQ1347" s="15" t="n">
        <v>19.09</v>
      </c>
      <c r="DR1347" s="15" t="n">
        <v>36.4</v>
      </c>
      <c r="DS1347" s="34" t="n">
        <v>46251</v>
      </c>
      <c r="DT1347" s="15" t="n">
        <v>46.38</v>
      </c>
      <c r="DU1347" s="15" t="n">
        <v>81.95</v>
      </c>
      <c r="DV1347" s="34" t="n">
        <v>46251</v>
      </c>
      <c r="DW1347" s="15" t="n">
        <v>18.11</v>
      </c>
      <c r="DX1347" s="15" t="n">
        <v>39.06</v>
      </c>
      <c r="DY1347" s="34" t="n">
        <v>46251</v>
      </c>
      <c r="DZ1347" s="15" t="n">
        <v>149.5</v>
      </c>
      <c r="EA1347" s="15" t="n">
        <v>172.08</v>
      </c>
      <c r="EB1347" s="34" t="n">
        <v>46251</v>
      </c>
      <c r="EC1347" s="15" t="n">
        <v>9.609999999999999</v>
      </c>
      <c r="ED1347" s="15" t="n">
        <v>20.56</v>
      </c>
      <c r="EE1347" s="34" t="n">
        <v>46251</v>
      </c>
      <c r="EF1347" s="15" t="n">
        <v>256.6</v>
      </c>
      <c r="EG1347" s="15" t="n">
        <v>276</v>
      </c>
      <c r="EH1347" s="34" t="n">
        <v>46251</v>
      </c>
      <c r="EI1347" s="15" t="n">
        <v>78.2</v>
      </c>
      <c r="EJ1347" s="15" t="n">
        <v>86.90000000000001</v>
      </c>
      <c r="EK1347" s="34" t="n">
        <v>46251</v>
      </c>
      <c r="EL1347" s="15" t="n">
        <v>23.38</v>
      </c>
      <c r="EM1347" s="15" t="n">
        <v>33.8</v>
      </c>
      <c r="EN1347" s="34" t="n">
        <v>46251</v>
      </c>
      <c r="EO1347" s="15" t="n">
        <v>31.68</v>
      </c>
      <c r="EP1347" s="15" t="n">
        <v>50.99</v>
      </c>
      <c r="EQ1347" s="34" t="n">
        <v>46251</v>
      </c>
      <c r="ER1347" s="15" t="n">
        <v>35.8</v>
      </c>
      <c r="ES1347" s="15" t="n">
        <v>41.92</v>
      </c>
      <c r="ET1347" s="34" t="n">
        <v>46251</v>
      </c>
      <c r="EU1347" s="15" t="n">
        <v>8.380000000000001</v>
      </c>
      <c r="EV1347" s="15" t="n">
        <v>15.15</v>
      </c>
      <c r="EW1347" s="34" t="n">
        <v>46251</v>
      </c>
      <c r="EX1347" s="15" t="n">
        <v>105.4</v>
      </c>
      <c r="EY1347" s="15" t="n">
        <v>123.24</v>
      </c>
      <c r="EZ1347" s="34" t="n">
        <v>46251</v>
      </c>
      <c r="FA1347" s="15" t="n">
        <v>6.675</v>
      </c>
      <c r="FB1347" s="15" t="n">
        <v>12.98</v>
      </c>
      <c r="FC1347" s="34" t="n">
        <v>46251</v>
      </c>
      <c r="FD1347" s="15" t="n">
        <v>378</v>
      </c>
      <c r="FE1347" s="15" t="n">
        <v>448.79</v>
      </c>
      <c r="FF1347" s="34" t="n">
        <v>46251</v>
      </c>
      <c r="FG1347" s="15" t="n">
        <v>119.3</v>
      </c>
      <c r="FH1347" s="15" t="n">
        <v>118.2</v>
      </c>
      <c r="FI1347" s="34" t="n">
        <v>46251</v>
      </c>
      <c r="FJ1347" s="15" t="n">
        <v>27.3</v>
      </c>
      <c r="FK1347" s="15" t="n">
        <v>46.54</v>
      </c>
      <c r="FL1347" s="34" t="n">
        <v>46251</v>
      </c>
      <c r="FM1347" s="15" t="n">
        <v>63.4</v>
      </c>
      <c r="FN1347" s="15" t="n">
        <v>58.84</v>
      </c>
      <c r="FO1347" s="34" t="n">
        <v>46251</v>
      </c>
      <c r="FP1347" s="15" t="n">
        <v>127.6</v>
      </c>
      <c r="FQ1347" s="15" t="n">
        <v>130.15</v>
      </c>
      <c r="FR1347" s="34" t="n">
        <v>46251</v>
      </c>
      <c r="FS1347" s="15" t="n">
        <v>370.8</v>
      </c>
      <c r="FT1347" s="15" t="n">
        <v>462.9</v>
      </c>
      <c r="FU1347" s="34" t="n">
        <v>46251</v>
      </c>
      <c r="FV1347" s="15" t="n">
        <v>3.165</v>
      </c>
      <c r="FW1347" s="15" t="n">
        <v>6.98</v>
      </c>
      <c r="FX1347" s="34" t="n">
        <v>46251</v>
      </c>
      <c r="FY1347" s="15" t="n">
        <v>36.7</v>
      </c>
      <c r="FZ1347" s="15" t="n">
        <v>43.6</v>
      </c>
      <c r="GA1347" s="34" t="n">
        <v>46251</v>
      </c>
      <c r="GB1347" s="15" t="n">
        <v>1270</v>
      </c>
      <c r="GC1347" s="15" t="n">
        <v>1001.03</v>
      </c>
      <c r="GD1347" s="34" t="n">
        <v>46251</v>
      </c>
    </row>
    <row r="1348">
      <c r="A1348" s="34" t="n">
        <v>46252</v>
      </c>
      <c r="B1348" s="266" t="n">
        <v>1.163733005523682</v>
      </c>
      <c r="C1348" s="34" t="n">
        <v>46252</v>
      </c>
      <c r="D1348" s="15" t="n">
        <v>26.92</v>
      </c>
      <c r="E1348" s="15" t="n">
        <v>53.9</v>
      </c>
      <c r="F1348" s="34" t="n">
        <v>46252</v>
      </c>
      <c r="G1348" s="15" t="n">
        <v>128</v>
      </c>
      <c r="H1348" s="15" t="n">
        <v>177.25</v>
      </c>
      <c r="I1348" s="34" t="n">
        <v>46252</v>
      </c>
      <c r="J1348" s="15" t="n">
        <v>17.32</v>
      </c>
      <c r="K1348" s="15" t="n">
        <v>28.08</v>
      </c>
      <c r="L1348" s="34" t="n">
        <v>46252</v>
      </c>
      <c r="M1348" s="15" t="n">
        <v>35.1</v>
      </c>
      <c r="N1348" s="15" t="n">
        <v>47.93</v>
      </c>
      <c r="O1348" s="34" t="n">
        <v>46252</v>
      </c>
      <c r="P1348" s="15" t="n">
        <v>48.86</v>
      </c>
      <c r="Q1348" s="15" t="n">
        <v>53.88</v>
      </c>
      <c r="R1348" s="34" t="n">
        <v>46252</v>
      </c>
      <c r="S1348" s="15" t="n">
        <v>63.2</v>
      </c>
      <c r="T1348" s="15" t="n">
        <v>140.98</v>
      </c>
      <c r="U1348" s="34" t="n">
        <v>46252</v>
      </c>
      <c r="V1348" s="15" t="n">
        <v>12.89</v>
      </c>
      <c r="W1348" s="15" t="n">
        <v>17.48</v>
      </c>
      <c r="X1348" s="34" t="n">
        <v>46252</v>
      </c>
      <c r="Y1348" s="15" t="n">
        <v>96.25</v>
      </c>
      <c r="Z1348" s="15" t="n">
        <v>83.58</v>
      </c>
      <c r="AA1348" s="34" t="n">
        <v>46252</v>
      </c>
      <c r="AB1348" s="15" t="n">
        <v>9.859999999999999</v>
      </c>
      <c r="AC1348" s="15" t="n">
        <v>20.03</v>
      </c>
      <c r="AD1348" s="34" t="n">
        <v>46252</v>
      </c>
      <c r="AE1348" s="15" t="n">
        <v>32.48</v>
      </c>
      <c r="AF1348" s="15" t="n">
        <v>32.7</v>
      </c>
      <c r="AG1348" s="34" t="n">
        <v>46252</v>
      </c>
      <c r="AH1348" s="15" t="n">
        <v>38.32</v>
      </c>
      <c r="AI1348" s="15" t="n">
        <v>42.21</v>
      </c>
      <c r="AJ1348" s="34" t="n">
        <v>46252</v>
      </c>
      <c r="AK1348" s="15" t="n">
        <v>19.12</v>
      </c>
      <c r="AL1348" s="15" t="n">
        <v>46.98</v>
      </c>
      <c r="AM1348" s="34" t="n">
        <v>46252</v>
      </c>
      <c r="AN1348" s="15" t="n">
        <v>650.5</v>
      </c>
      <c r="AO1348" s="15" t="n">
        <v>396.26</v>
      </c>
      <c r="AP1348" s="34" t="n">
        <v>46252</v>
      </c>
      <c r="AQ1348" s="15" t="n">
        <v>54.25</v>
      </c>
      <c r="AR1348" s="15" t="n">
        <v>52.37</v>
      </c>
      <c r="AS1348" s="34" t="n">
        <v>46252</v>
      </c>
      <c r="AT1348" s="15" t="n">
        <v>12.25</v>
      </c>
      <c r="AU1348" s="15" t="n">
        <v>19.65</v>
      </c>
      <c r="AV1348" s="34" t="n">
        <v>46252</v>
      </c>
      <c r="AW1348" s="15" t="n">
        <v>32.06</v>
      </c>
      <c r="AX1348" s="15" t="n">
        <v>35.55</v>
      </c>
      <c r="AY1348" s="34" t="n">
        <v>46252</v>
      </c>
      <c r="AZ1348" s="15" t="n">
        <v>28.38</v>
      </c>
      <c r="BA1348" s="15" t="n">
        <v>39.6</v>
      </c>
      <c r="BB1348" s="34" t="n">
        <v>46252</v>
      </c>
      <c r="BC1348" s="15" t="n">
        <v>68.34999999999999</v>
      </c>
      <c r="BD1348" s="15" t="n">
        <v>82.31</v>
      </c>
      <c r="BE1348" s="34" t="n">
        <v>46252</v>
      </c>
      <c r="BF1348" s="15" t="n">
        <v>118.1</v>
      </c>
      <c r="BG1348" s="15" t="n">
        <v>185.48</v>
      </c>
      <c r="BH1348" s="34" t="n">
        <v>46252</v>
      </c>
      <c r="BI1348" s="15" t="n">
        <v>24</v>
      </c>
      <c r="BJ1348" s="15" t="n">
        <v>39.12</v>
      </c>
      <c r="BK1348" s="34" t="n">
        <v>46252</v>
      </c>
      <c r="BL1348" s="15" t="n">
        <v>80.25</v>
      </c>
      <c r="BM1348" s="15" t="n">
        <v>120.65</v>
      </c>
      <c r="BN1348" s="34" t="n">
        <v>46252</v>
      </c>
      <c r="BO1348" s="15" t="n">
        <v>7.88</v>
      </c>
      <c r="BP1348" s="15" t="n">
        <v>19.84</v>
      </c>
      <c r="BQ1348" s="34" t="n">
        <v>46252</v>
      </c>
      <c r="BR1348" s="15" t="n">
        <v>18.9</v>
      </c>
      <c r="BS1348" s="15" t="n">
        <v>18.97</v>
      </c>
      <c r="BT1348" s="34" t="n">
        <v>46252</v>
      </c>
      <c r="BU1348" s="15" t="n">
        <v>101</v>
      </c>
      <c r="BV1348" s="15" t="n">
        <v>186.05</v>
      </c>
      <c r="BW1348" s="34" t="n">
        <v>46252</v>
      </c>
      <c r="BX1348" s="15" t="n">
        <v>41.02</v>
      </c>
      <c r="BY1348" s="15" t="n">
        <v>51.84</v>
      </c>
      <c r="BZ1348" s="34" t="n">
        <v>46252</v>
      </c>
      <c r="CA1348" s="15" t="n">
        <v>13.39</v>
      </c>
      <c r="CB1348" s="15" t="n">
        <v>21.1</v>
      </c>
      <c r="CC1348" s="34" t="n">
        <v>46252</v>
      </c>
      <c r="CD1348" s="15" t="n">
        <v>25</v>
      </c>
      <c r="CE1348" s="15" t="n">
        <v>40.79</v>
      </c>
      <c r="CF1348" s="34" t="n">
        <v>46252</v>
      </c>
      <c r="CG1348" s="15" t="n">
        <v>162.8</v>
      </c>
      <c r="CH1348" s="15" t="n">
        <v>237.07</v>
      </c>
      <c r="CI1348" s="34" t="n">
        <v>46252</v>
      </c>
      <c r="CJ1348" s="15" t="n">
        <v>6.595</v>
      </c>
      <c r="CK1348" s="15" t="n">
        <v>11.8</v>
      </c>
      <c r="CL1348" s="34" t="n">
        <v>46252</v>
      </c>
      <c r="CM1348" s="15" t="n">
        <v>78.25</v>
      </c>
      <c r="CN1348" s="15" t="n">
        <v>90.54000000000001</v>
      </c>
      <c r="CO1348" s="34" t="n">
        <v>46252</v>
      </c>
      <c r="CP1348" s="15" t="n">
        <v>517.5</v>
      </c>
      <c r="CQ1348" s="15" t="n">
        <v>436.74</v>
      </c>
      <c r="CR1348" s="34" t="n">
        <v>46252</v>
      </c>
      <c r="CS1348" s="15" t="n">
        <v>22.6</v>
      </c>
      <c r="CT1348" s="15" t="n">
        <v>38.24</v>
      </c>
      <c r="CU1348" s="34" t="n">
        <v>46252</v>
      </c>
      <c r="CV1348" s="15" t="n">
        <v>114.6</v>
      </c>
      <c r="CW1348" s="15" t="n">
        <v>122.57</v>
      </c>
      <c r="CX1348" s="34" t="n">
        <v>46252</v>
      </c>
      <c r="CY1348" s="15" t="n">
        <v>41.8</v>
      </c>
      <c r="CZ1348" s="15" t="n">
        <v>66.58</v>
      </c>
      <c r="DA1348" s="34" t="n">
        <v>46252</v>
      </c>
      <c r="DB1348" s="15" t="n">
        <v>114.3</v>
      </c>
      <c r="DC1348" s="15" t="n">
        <v>309</v>
      </c>
      <c r="DD1348" s="34" t="n">
        <v>46252</v>
      </c>
      <c r="DE1348" s="15" t="n">
        <v>34.84</v>
      </c>
      <c r="DF1348" s="15" t="n">
        <v>39.93</v>
      </c>
      <c r="DG1348" s="34" t="n">
        <v>46252</v>
      </c>
      <c r="DH1348" s="15" t="n">
        <v>290.8</v>
      </c>
      <c r="DI1348" s="15" t="n">
        <v>218</v>
      </c>
      <c r="DJ1348" s="34" t="n">
        <v>46252</v>
      </c>
      <c r="DK1348" s="15" t="n">
        <v>32.38</v>
      </c>
      <c r="DL1348" s="15" t="n">
        <v>35.24</v>
      </c>
      <c r="DM1348" s="34" t="n">
        <v>46252</v>
      </c>
      <c r="DN1348" s="15" t="n">
        <v>10.63</v>
      </c>
      <c r="DO1348" s="15" t="n">
        <v>17.05</v>
      </c>
      <c r="DP1348" s="34" t="n">
        <v>46252</v>
      </c>
      <c r="DQ1348" s="15" t="n">
        <v>20.7</v>
      </c>
      <c r="DR1348" s="15" t="n">
        <v>40.04</v>
      </c>
      <c r="DS1348" s="34" t="n">
        <v>46252</v>
      </c>
      <c r="DT1348" s="15" t="n">
        <v>47.46</v>
      </c>
      <c r="DU1348" s="15" t="n">
        <v>81.8</v>
      </c>
      <c r="DV1348" s="34" t="n">
        <v>46252</v>
      </c>
      <c r="DW1348" s="15" t="n">
        <v>18.9</v>
      </c>
      <c r="DX1348" s="15" t="n">
        <v>40.15</v>
      </c>
      <c r="DY1348" s="34" t="n">
        <v>46252</v>
      </c>
      <c r="DZ1348" s="15" t="n">
        <v>137.2</v>
      </c>
      <c r="EA1348" s="15" t="n">
        <v>166.85</v>
      </c>
      <c r="EB1348" s="34" t="n">
        <v>46252</v>
      </c>
      <c r="EC1348" s="15" t="n">
        <v>9.425000000000001</v>
      </c>
      <c r="ED1348" s="15" t="n">
        <v>20.78</v>
      </c>
      <c r="EE1348" s="34" t="n">
        <v>46252</v>
      </c>
      <c r="EF1348" s="15" t="n">
        <v>241.4</v>
      </c>
      <c r="EG1348" s="15" t="n">
        <v>269.4</v>
      </c>
      <c r="EH1348" s="34" t="n">
        <v>46252</v>
      </c>
      <c r="EI1348" s="15" t="n">
        <v>75.84999999999999</v>
      </c>
      <c r="EJ1348" s="15" t="n">
        <v>84.84999999999999</v>
      </c>
      <c r="EK1348" s="34" t="n">
        <v>46252</v>
      </c>
      <c r="EL1348" s="15" t="n">
        <v>21.98</v>
      </c>
      <c r="EM1348" s="15" t="n">
        <v>33.19</v>
      </c>
      <c r="EN1348" s="34" t="n">
        <v>46252</v>
      </c>
      <c r="EO1348" s="15" t="n">
        <v>31.7</v>
      </c>
      <c r="EP1348" s="15" t="n">
        <v>49.74</v>
      </c>
      <c r="EQ1348" s="34" t="n">
        <v>46252</v>
      </c>
      <c r="ER1348" s="15" t="n">
        <v>34</v>
      </c>
      <c r="ES1348" s="15" t="n">
        <v>41.34</v>
      </c>
      <c r="ET1348" s="34" t="n">
        <v>46252</v>
      </c>
      <c r="EU1348" s="15" t="n">
        <v>8.19</v>
      </c>
      <c r="EV1348" s="15" t="n">
        <v>14.71</v>
      </c>
      <c r="EW1348" s="34" t="n">
        <v>46252</v>
      </c>
      <c r="EX1348" s="15" t="n">
        <v>100.2</v>
      </c>
      <c r="EY1348" s="15" t="n">
        <v>116.92</v>
      </c>
      <c r="EZ1348" s="34" t="n">
        <v>46252</v>
      </c>
      <c r="FA1348" s="15" t="n">
        <v>6.73</v>
      </c>
      <c r="FB1348" s="15" t="n">
        <v>12.94</v>
      </c>
      <c r="FC1348" s="34" t="n">
        <v>46252</v>
      </c>
      <c r="FD1348" s="15" t="n">
        <v>406</v>
      </c>
      <c r="FE1348" s="15" t="n">
        <v>471.2</v>
      </c>
      <c r="FF1348" s="34" t="n">
        <v>46252</v>
      </c>
      <c r="FG1348" s="15" t="n">
        <v>120.8</v>
      </c>
      <c r="FH1348" s="15" t="n">
        <v>116.29</v>
      </c>
      <c r="FI1348" s="34" t="n">
        <v>46252</v>
      </c>
      <c r="FJ1348" s="15" t="n">
        <v>27.78</v>
      </c>
      <c r="FK1348" s="15" t="n">
        <v>48.38</v>
      </c>
      <c r="FL1348" s="34" t="n">
        <v>46252</v>
      </c>
      <c r="FM1348" s="15" t="n">
        <v>61.6</v>
      </c>
      <c r="FN1348" s="15" t="n">
        <v>57.74</v>
      </c>
      <c r="FO1348" s="34" t="n">
        <v>46252</v>
      </c>
      <c r="FP1348" s="15" t="n">
        <v>124.9</v>
      </c>
      <c r="FQ1348" s="15" t="n">
        <v>123.99</v>
      </c>
      <c r="FR1348" s="34" t="n">
        <v>46252</v>
      </c>
      <c r="FS1348" s="15" t="n">
        <v>360.8</v>
      </c>
      <c r="FT1348" s="15" t="n">
        <v>471</v>
      </c>
      <c r="FU1348" s="34" t="n">
        <v>46252</v>
      </c>
      <c r="FV1348" s="15" t="n">
        <v>3.08</v>
      </c>
      <c r="FW1348" s="15" t="n">
        <v>6.85</v>
      </c>
      <c r="FX1348" s="34" t="n">
        <v>46252</v>
      </c>
      <c r="FY1348" s="15" t="n">
        <v>35</v>
      </c>
      <c r="FZ1348" s="15" t="n">
        <v>43.86</v>
      </c>
      <c r="GA1348" s="34" t="n">
        <v>46252</v>
      </c>
      <c r="GB1348" s="15" t="n">
        <v>1223</v>
      </c>
      <c r="GC1348" s="15" t="n">
        <v>988.1</v>
      </c>
      <c r="GD1348" s="34" t="n">
        <v>46252</v>
      </c>
    </row>
    <row r="1349">
      <c r="A1349" s="34" t="n">
        <v>46253</v>
      </c>
      <c r="B1349" s="266" t="n">
        <v>1.163092017173767</v>
      </c>
      <c r="C1349" s="34" t="n">
        <v>46253</v>
      </c>
      <c r="D1349" s="15" t="n">
        <v>25.38</v>
      </c>
      <c r="E1349" s="15" t="n">
        <v>49.8</v>
      </c>
      <c r="F1349" s="34" t="n">
        <v>46253</v>
      </c>
      <c r="G1349" s="15" t="n">
        <v>126.5</v>
      </c>
      <c r="H1349" s="15" t="n">
        <v>170.59</v>
      </c>
      <c r="I1349" s="34" t="n">
        <v>46253</v>
      </c>
      <c r="J1349" s="15" t="n">
        <v>16.63</v>
      </c>
      <c r="K1349" s="15" t="n">
        <v>26.52</v>
      </c>
      <c r="L1349" s="34" t="n">
        <v>46253</v>
      </c>
      <c r="M1349" s="15" t="n">
        <v>34.1</v>
      </c>
      <c r="N1349" s="15" t="n">
        <v>46.13</v>
      </c>
      <c r="O1349" s="34" t="n">
        <v>46253</v>
      </c>
      <c r="P1349" s="15" t="n">
        <v>48.42</v>
      </c>
      <c r="Q1349" s="15" t="n">
        <v>52.88</v>
      </c>
      <c r="R1349" s="34" t="n">
        <v>46253</v>
      </c>
      <c r="S1349" s="15" t="n">
        <v>60.45</v>
      </c>
      <c r="T1349" s="15" t="n">
        <v>131.6</v>
      </c>
      <c r="U1349" s="34" t="n">
        <v>46253</v>
      </c>
      <c r="V1349" s="15" t="n">
        <v>12.23</v>
      </c>
      <c r="W1349" s="15" t="n">
        <v>16.53</v>
      </c>
      <c r="X1349" s="34" t="n">
        <v>46253</v>
      </c>
      <c r="Y1349" s="15" t="n">
        <v>96.90000000000001</v>
      </c>
      <c r="Z1349" s="15" t="n">
        <v>84.72</v>
      </c>
      <c r="AA1349" s="34" t="n">
        <v>46253</v>
      </c>
      <c r="AB1349" s="15" t="n">
        <v>9.59</v>
      </c>
      <c r="AC1349" s="15" t="n">
        <v>19.35</v>
      </c>
      <c r="AD1349" s="34" t="n">
        <v>46253</v>
      </c>
      <c r="AE1349" s="15" t="n">
        <v>32.68</v>
      </c>
      <c r="AF1349" s="15" t="n">
        <v>32.78</v>
      </c>
      <c r="AG1349" s="34" t="n">
        <v>46253</v>
      </c>
      <c r="AH1349" s="15" t="n">
        <v>39.1</v>
      </c>
      <c r="AI1349" s="15" t="n">
        <v>42.72</v>
      </c>
      <c r="AJ1349" s="34" t="n">
        <v>46253</v>
      </c>
      <c r="AK1349" s="15" t="n">
        <v>17.45</v>
      </c>
      <c r="AL1349" s="15" t="n">
        <v>42.28</v>
      </c>
      <c r="AM1349" s="34" t="n">
        <v>46253</v>
      </c>
      <c r="AN1349" s="15" t="n">
        <v>628.5</v>
      </c>
      <c r="AO1349" s="15" t="n">
        <v>389</v>
      </c>
      <c r="AP1349" s="34" t="n">
        <v>46253</v>
      </c>
      <c r="AQ1349" s="15" t="n">
        <v>54.95</v>
      </c>
      <c r="AR1349" s="15" t="n">
        <v>52.66</v>
      </c>
      <c r="AS1349" s="34" t="n">
        <v>46253</v>
      </c>
      <c r="AT1349" s="15" t="n">
        <v>12</v>
      </c>
      <c r="AU1349" s="15" t="n">
        <v>18.3</v>
      </c>
      <c r="AV1349" s="34" t="n">
        <v>46253</v>
      </c>
      <c r="AW1349" s="15" t="n">
        <v>31.96</v>
      </c>
      <c r="AX1349" s="15" t="n">
        <v>35.32</v>
      </c>
      <c r="AY1349" s="34" t="n">
        <v>46253</v>
      </c>
      <c r="AZ1349" s="15" t="n">
        <v>26.74</v>
      </c>
      <c r="BA1349" s="15" t="n">
        <v>36.79</v>
      </c>
      <c r="BB1349" s="34" t="n">
        <v>46253</v>
      </c>
      <c r="BC1349" s="15" t="n">
        <v>67.05</v>
      </c>
      <c r="BD1349" s="15" t="n">
        <v>81</v>
      </c>
      <c r="BE1349" s="34" t="n">
        <v>46253</v>
      </c>
      <c r="BF1349" s="15" t="n">
        <v>107.9</v>
      </c>
      <c r="BG1349" s="15" t="n">
        <v>166.66</v>
      </c>
      <c r="BH1349" s="34" t="n">
        <v>46253</v>
      </c>
      <c r="BI1349" s="15" t="n">
        <v>22.8</v>
      </c>
      <c r="BJ1349" s="15" t="n">
        <v>36.15</v>
      </c>
      <c r="BK1349" s="34" t="n">
        <v>46253</v>
      </c>
      <c r="BL1349" s="15" t="n">
        <v>74.7</v>
      </c>
      <c r="BM1349" s="15" t="n">
        <v>112.63</v>
      </c>
      <c r="BN1349" s="34" t="n">
        <v>46253</v>
      </c>
      <c r="BO1349" s="15" t="n">
        <v>7.455</v>
      </c>
      <c r="BP1349" s="15" t="n">
        <v>18.65</v>
      </c>
      <c r="BQ1349" s="34" t="n">
        <v>46253</v>
      </c>
      <c r="BR1349" s="15" t="n">
        <v>18.57</v>
      </c>
      <c r="BS1349" s="15" t="n">
        <v>18.93</v>
      </c>
      <c r="BT1349" s="34" t="n">
        <v>46253</v>
      </c>
      <c r="BU1349" s="15" t="n">
        <v>89.15000000000001</v>
      </c>
      <c r="BV1349" s="15" t="n">
        <v>167.45</v>
      </c>
      <c r="BW1349" s="34" t="n">
        <v>46253</v>
      </c>
      <c r="BX1349" s="15" t="n">
        <v>40.14</v>
      </c>
      <c r="BY1349" s="15" t="n">
        <v>50.48</v>
      </c>
      <c r="BZ1349" s="34" t="n">
        <v>46253</v>
      </c>
      <c r="CA1349" s="15" t="n">
        <v>12.5</v>
      </c>
      <c r="CB1349" s="15" t="n">
        <v>19.42</v>
      </c>
      <c r="CC1349" s="34" t="n">
        <v>46253</v>
      </c>
      <c r="CD1349" s="15" t="n">
        <v>24.32</v>
      </c>
      <c r="CE1349" s="15" t="n">
        <v>39.77</v>
      </c>
      <c r="CF1349" s="34" t="n">
        <v>46253</v>
      </c>
      <c r="CG1349" s="15" t="n">
        <v>157</v>
      </c>
      <c r="CH1349" s="15" t="n">
        <v>222.3</v>
      </c>
      <c r="CI1349" s="34" t="n">
        <v>46253</v>
      </c>
      <c r="CJ1349" s="15" t="n">
        <v>6.395</v>
      </c>
      <c r="CK1349" s="15" t="n">
        <v>11.22</v>
      </c>
      <c r="CL1349" s="34" t="n">
        <v>46253</v>
      </c>
      <c r="CM1349" s="15" t="n">
        <v>75.34999999999999</v>
      </c>
      <c r="CN1349" s="15" t="n">
        <v>86.90000000000001</v>
      </c>
      <c r="CO1349" s="34" t="n">
        <v>46253</v>
      </c>
      <c r="CP1349" s="15" t="n">
        <v>496.8</v>
      </c>
      <c r="CQ1349" s="15" t="n">
        <v>403.71</v>
      </c>
      <c r="CR1349" s="34" t="n">
        <v>46253</v>
      </c>
      <c r="CS1349" s="15" t="n">
        <v>21.5</v>
      </c>
      <c r="CT1349" s="15" t="n">
        <v>36.27</v>
      </c>
      <c r="CU1349" s="34" t="n">
        <v>46253</v>
      </c>
      <c r="CV1349" s="15" t="n">
        <v>117.2</v>
      </c>
      <c r="CW1349" s="15" t="n">
        <v>122.75</v>
      </c>
      <c r="CX1349" s="34" t="n">
        <v>46253</v>
      </c>
      <c r="CY1349" s="15" t="n">
        <v>36.24</v>
      </c>
      <c r="CZ1349" s="15" t="n">
        <v>63.2</v>
      </c>
      <c r="DA1349" s="34" t="n">
        <v>46253</v>
      </c>
      <c r="DB1349" s="15" t="n">
        <v>105.6</v>
      </c>
      <c r="DC1349" s="15" t="n">
        <v>294.01</v>
      </c>
      <c r="DD1349" s="34" t="n">
        <v>46253</v>
      </c>
      <c r="DE1349" s="15" t="n">
        <v>34.1</v>
      </c>
      <c r="DF1349" s="15" t="n">
        <v>38.84</v>
      </c>
      <c r="DG1349" s="34" t="n">
        <v>46253</v>
      </c>
      <c r="DH1349" s="15" t="n">
        <v>270.4</v>
      </c>
      <c r="DI1349" s="15" t="n">
        <v>200</v>
      </c>
      <c r="DJ1349" s="34" t="n">
        <v>46253</v>
      </c>
      <c r="DK1349" s="15" t="n">
        <v>30.4</v>
      </c>
      <c r="DL1349" s="15" t="n">
        <v>33.52</v>
      </c>
      <c r="DM1349" s="34" t="n">
        <v>46253</v>
      </c>
      <c r="DN1349" s="15" t="n">
        <v>9.935</v>
      </c>
      <c r="DO1349" s="15" t="n">
        <v>16.1</v>
      </c>
      <c r="DP1349" s="34" t="n">
        <v>46253</v>
      </c>
      <c r="DQ1349" s="15" t="n">
        <v>17.76</v>
      </c>
      <c r="DR1349" s="15" t="n">
        <v>36.04</v>
      </c>
      <c r="DS1349" s="34" t="n">
        <v>46253</v>
      </c>
      <c r="DT1349" s="15" t="n">
        <v>45.56</v>
      </c>
      <c r="DU1349" s="15" t="n">
        <v>73.62</v>
      </c>
      <c r="DV1349" s="34" t="n">
        <v>46253</v>
      </c>
      <c r="DW1349" s="15" t="n">
        <v>18.28</v>
      </c>
      <c r="DX1349" s="15" t="n">
        <v>37.97</v>
      </c>
      <c r="DY1349" s="34" t="n">
        <v>46253</v>
      </c>
      <c r="DZ1349" s="15" t="n">
        <v>123.8</v>
      </c>
      <c r="EA1349" s="15" t="n">
        <v>152.02</v>
      </c>
      <c r="EB1349" s="34" t="n">
        <v>46253</v>
      </c>
      <c r="EC1349" s="15" t="n">
        <v>8.9</v>
      </c>
      <c r="ED1349" s="15" t="n">
        <v>19.37</v>
      </c>
      <c r="EE1349" s="34" t="n">
        <v>46253</v>
      </c>
      <c r="EF1349" s="15" t="n">
        <v>224.6</v>
      </c>
      <c r="EG1349" s="15" t="n">
        <v>245.38</v>
      </c>
      <c r="EH1349" s="34" t="n">
        <v>46253</v>
      </c>
      <c r="EI1349" s="15" t="n">
        <v>71.2</v>
      </c>
      <c r="EJ1349" s="15" t="n">
        <v>78.09999999999999</v>
      </c>
      <c r="EK1349" s="34" t="n">
        <v>46253</v>
      </c>
      <c r="EL1349" s="15" t="n">
        <v>21.04</v>
      </c>
      <c r="EM1349" s="15" t="n">
        <v>31.38</v>
      </c>
      <c r="EN1349" s="34" t="n">
        <v>46253</v>
      </c>
      <c r="EO1349" s="15" t="n">
        <v>31.64</v>
      </c>
      <c r="EP1349" s="15" t="n">
        <v>48.57</v>
      </c>
      <c r="EQ1349" s="34" t="n">
        <v>46253</v>
      </c>
      <c r="ER1349" s="15" t="n">
        <v>32.02</v>
      </c>
      <c r="ES1349" s="15" t="n">
        <v>38.82</v>
      </c>
      <c r="ET1349" s="34" t="n">
        <v>46253</v>
      </c>
      <c r="EU1349" s="15" t="n">
        <v>7.795</v>
      </c>
      <c r="EV1349" s="15" t="n">
        <v>14.41</v>
      </c>
      <c r="EW1349" s="34" t="n">
        <v>46253</v>
      </c>
      <c r="EX1349" s="15" t="n">
        <v>90.5</v>
      </c>
      <c r="EY1349" s="15" t="n">
        <v>106.49</v>
      </c>
      <c r="EZ1349" s="34" t="n">
        <v>46253</v>
      </c>
      <c r="FA1349" s="15" t="n">
        <v>6.235</v>
      </c>
      <c r="FB1349" s="15" t="n">
        <v>12.31</v>
      </c>
      <c r="FC1349" s="34" t="n">
        <v>46253</v>
      </c>
      <c r="FD1349" s="15" t="n">
        <v>377.6</v>
      </c>
      <c r="FE1349" s="15" t="n">
        <v>434</v>
      </c>
      <c r="FF1349" s="34" t="n">
        <v>46253</v>
      </c>
      <c r="FG1349" s="15" t="n">
        <v>114.8</v>
      </c>
      <c r="FH1349" s="15" t="n">
        <v>114.91</v>
      </c>
      <c r="FI1349" s="34" t="n">
        <v>46253</v>
      </c>
      <c r="FJ1349" s="15" t="n">
        <v>25.16</v>
      </c>
      <c r="FK1349" s="15" t="n">
        <v>43.79</v>
      </c>
      <c r="FL1349" s="34" t="n">
        <v>46253</v>
      </c>
      <c r="FM1349" s="15" t="n">
        <v>59</v>
      </c>
      <c r="FN1349" s="15" t="n">
        <v>53.5</v>
      </c>
      <c r="FO1349" s="34" t="n">
        <v>46253</v>
      </c>
      <c r="FP1349" s="15" t="n">
        <v>112.8</v>
      </c>
      <c r="FQ1349" s="15" t="n">
        <v>109.6</v>
      </c>
      <c r="FR1349" s="34" t="n">
        <v>46253</v>
      </c>
      <c r="FS1349" s="15" t="n">
        <v>337.2</v>
      </c>
      <c r="FT1349" s="15" t="n">
        <v>429.93</v>
      </c>
      <c r="FU1349" s="34" t="n">
        <v>46253</v>
      </c>
      <c r="FV1349" s="15" t="n">
        <v>3.02</v>
      </c>
      <c r="FW1349" s="15" t="n">
        <v>6.47</v>
      </c>
      <c r="FX1349" s="34" t="n">
        <v>46253</v>
      </c>
      <c r="FY1349" s="15" t="n">
        <v>31.02</v>
      </c>
      <c r="FZ1349" s="15" t="n">
        <v>39.75</v>
      </c>
      <c r="GA1349" s="34" t="n">
        <v>46253</v>
      </c>
      <c r="GB1349" s="15" t="n">
        <v>1100</v>
      </c>
      <c r="GC1349" s="15" t="n">
        <v>895.6</v>
      </c>
      <c r="GD1349" s="34" t="n">
        <v>46253</v>
      </c>
    </row>
    <row r="1350">
      <c r="A1350" s="34" t="n">
        <v>46254</v>
      </c>
      <c r="B1350" s="266" t="n">
        <v>1.164932012557983</v>
      </c>
      <c r="C1350" s="34" t="n">
        <v>46254</v>
      </c>
      <c r="D1350" s="15" t="n">
        <v>25.92</v>
      </c>
      <c r="E1350" s="15" t="n">
        <v>52.57</v>
      </c>
      <c r="F1350" s="34" t="n">
        <v>46254</v>
      </c>
      <c r="G1350" s="15" t="n">
        <v>129.5</v>
      </c>
      <c r="H1350" s="15" t="n">
        <v>182.4</v>
      </c>
      <c r="I1350" s="34" t="n">
        <v>46254</v>
      </c>
      <c r="J1350" s="15" t="n">
        <v>16.6</v>
      </c>
      <c r="K1350" s="15" t="n">
        <v>27.24</v>
      </c>
      <c r="L1350" s="34" t="n">
        <v>46254</v>
      </c>
      <c r="M1350" s="15" t="n">
        <v>33.74</v>
      </c>
      <c r="N1350" s="15" t="n">
        <v>46.03</v>
      </c>
      <c r="O1350" s="34" t="n">
        <v>46254</v>
      </c>
      <c r="P1350" s="15" t="n">
        <v>49.08</v>
      </c>
      <c r="Q1350" s="15" t="n">
        <v>53.1</v>
      </c>
      <c r="R1350" s="34" t="n">
        <v>46254</v>
      </c>
      <c r="S1350" s="15" t="n">
        <v>61.1</v>
      </c>
      <c r="T1350" s="15" t="n">
        <v>138.18</v>
      </c>
      <c r="U1350" s="34" t="n">
        <v>46254</v>
      </c>
      <c r="V1350" s="15" t="n">
        <v>12.66</v>
      </c>
      <c r="W1350" s="15" t="n">
        <v>17.05</v>
      </c>
      <c r="X1350" s="34" t="n">
        <v>46254</v>
      </c>
      <c r="Y1350" s="15" t="n">
        <v>97.25</v>
      </c>
      <c r="Z1350" s="15" t="n">
        <v>85.38</v>
      </c>
      <c r="AA1350" s="34" t="n">
        <v>46254</v>
      </c>
      <c r="AB1350" s="15" t="n">
        <v>9.33</v>
      </c>
      <c r="AC1350" s="15" t="n">
        <v>18.9</v>
      </c>
      <c r="AD1350" s="34" t="n">
        <v>46254</v>
      </c>
      <c r="AE1350" s="15" t="n">
        <v>32.64</v>
      </c>
      <c r="AF1350" s="15" t="n">
        <v>32.84</v>
      </c>
      <c r="AG1350" s="34" t="n">
        <v>46254</v>
      </c>
      <c r="AH1350" s="15" t="n">
        <v>40.8</v>
      </c>
      <c r="AI1350" s="15" t="n">
        <v>46.1</v>
      </c>
      <c r="AJ1350" s="34" t="n">
        <v>46254</v>
      </c>
      <c r="AK1350" s="15" t="n">
        <v>16.7</v>
      </c>
      <c r="AL1350" s="15" t="n">
        <v>41.68</v>
      </c>
      <c r="AM1350" s="34" t="n">
        <v>46254</v>
      </c>
      <c r="AN1350" s="15" t="n">
        <v>629</v>
      </c>
      <c r="AO1350" s="15" t="n">
        <v>385</v>
      </c>
      <c r="AP1350" s="34" t="n">
        <v>46254</v>
      </c>
      <c r="AQ1350" s="15" t="n">
        <v>49.66</v>
      </c>
      <c r="AR1350" s="15" t="n">
        <v>49.5</v>
      </c>
      <c r="AS1350" s="34" t="n">
        <v>46254</v>
      </c>
      <c r="AT1350" s="15" t="n">
        <v>12</v>
      </c>
      <c r="AU1350" s="15" t="n">
        <v>18.54</v>
      </c>
      <c r="AV1350" s="34" t="n">
        <v>46254</v>
      </c>
      <c r="AW1350" s="15" t="n">
        <v>32.2</v>
      </c>
      <c r="AX1350" s="15" t="n">
        <v>35.75</v>
      </c>
      <c r="AY1350" s="34" t="n">
        <v>46254</v>
      </c>
      <c r="AZ1350" s="15" t="n">
        <v>26.54</v>
      </c>
      <c r="BA1350" s="15" t="n">
        <v>36.14</v>
      </c>
      <c r="BB1350" s="34" t="n">
        <v>46254</v>
      </c>
      <c r="BC1350" s="15" t="n">
        <v>65.95</v>
      </c>
      <c r="BD1350" s="15" t="n">
        <v>81.45999999999999</v>
      </c>
      <c r="BE1350" s="34" t="n">
        <v>46254</v>
      </c>
      <c r="BF1350" s="15" t="n">
        <v>108.8</v>
      </c>
      <c r="BG1350" s="15" t="n">
        <v>168.04</v>
      </c>
      <c r="BH1350" s="34" t="n">
        <v>46254</v>
      </c>
      <c r="BI1350" s="15" t="n">
        <v>22.5</v>
      </c>
      <c r="BJ1350" s="15" t="n">
        <v>37.98</v>
      </c>
      <c r="BK1350" s="34" t="n">
        <v>46254</v>
      </c>
      <c r="BL1350" s="15" t="n">
        <v>70.65000000000001</v>
      </c>
      <c r="BM1350" s="15" t="n">
        <v>108.2</v>
      </c>
      <c r="BN1350" s="34" t="n">
        <v>46254</v>
      </c>
      <c r="BO1350" s="15" t="n">
        <v>7.6</v>
      </c>
      <c r="BP1350" s="15" t="n">
        <v>18.83</v>
      </c>
      <c r="BQ1350" s="34" t="n">
        <v>46254</v>
      </c>
      <c r="BR1350" s="15" t="n">
        <v>18.72</v>
      </c>
      <c r="BS1350" s="15" t="n">
        <v>19.05</v>
      </c>
      <c r="BT1350" s="34" t="n">
        <v>46254</v>
      </c>
      <c r="BU1350" s="15" t="n">
        <v>95.09999999999999</v>
      </c>
      <c r="BV1350" s="15" t="n">
        <v>179.09</v>
      </c>
      <c r="BW1350" s="34" t="n">
        <v>46254</v>
      </c>
      <c r="BX1350" s="15" t="n">
        <v>41.82</v>
      </c>
      <c r="BY1350" s="15" t="n">
        <v>51.49</v>
      </c>
      <c r="BZ1350" s="34" t="n">
        <v>46254</v>
      </c>
      <c r="CA1350" s="15" t="n">
        <v>12.81</v>
      </c>
      <c r="CB1350" s="15" t="n">
        <v>19.31</v>
      </c>
      <c r="CC1350" s="34" t="n">
        <v>46254</v>
      </c>
      <c r="CD1350" s="15" t="n">
        <v>24.58</v>
      </c>
      <c r="CE1350" s="15" t="n">
        <v>39.75</v>
      </c>
      <c r="CF1350" s="34" t="n">
        <v>46254</v>
      </c>
      <c r="CG1350" s="15" t="n">
        <v>167.1</v>
      </c>
      <c r="CH1350" s="15" t="n">
        <v>245.3</v>
      </c>
      <c r="CI1350" s="34" t="n">
        <v>46254</v>
      </c>
      <c r="CJ1350" s="15" t="n">
        <v>6.51</v>
      </c>
      <c r="CK1350" s="15" t="n">
        <v>11.27</v>
      </c>
      <c r="CL1350" s="34" t="n">
        <v>46254</v>
      </c>
      <c r="CM1350" s="15" t="n">
        <v>73.84999999999999</v>
      </c>
      <c r="CN1350" s="15" t="n">
        <v>85.98999999999999</v>
      </c>
      <c r="CO1350" s="34" t="n">
        <v>46254</v>
      </c>
      <c r="CP1350" s="15" t="n">
        <v>490.2</v>
      </c>
      <c r="CQ1350" s="15" t="n">
        <v>403.5</v>
      </c>
      <c r="CR1350" s="34" t="n">
        <v>46254</v>
      </c>
      <c r="CS1350" s="15" t="n">
        <v>22.88</v>
      </c>
      <c r="CT1350" s="15" t="n">
        <v>36.6</v>
      </c>
      <c r="CU1350" s="34" t="n">
        <v>46254</v>
      </c>
      <c r="CV1350" s="15" t="n">
        <v>116.4</v>
      </c>
      <c r="CW1350" s="15" t="n">
        <v>123.07</v>
      </c>
      <c r="CX1350" s="34" t="n">
        <v>46254</v>
      </c>
      <c r="CY1350" s="15" t="n">
        <v>37.26</v>
      </c>
      <c r="CZ1350" s="15" t="n">
        <v>65.5</v>
      </c>
      <c r="DA1350" s="34" t="n">
        <v>46254</v>
      </c>
      <c r="DB1350" s="15" t="n">
        <v>104.8</v>
      </c>
      <c r="DC1350" s="15" t="n">
        <v>286.93</v>
      </c>
      <c r="DD1350" s="34" t="n">
        <v>46254</v>
      </c>
      <c r="DE1350" s="15" t="n">
        <v>35.5</v>
      </c>
      <c r="DF1350" s="15" t="n">
        <v>39.82</v>
      </c>
      <c r="DG1350" s="34" t="n">
        <v>46254</v>
      </c>
      <c r="DH1350" s="15" t="n">
        <v>268.6</v>
      </c>
      <c r="DI1350" s="15" t="n">
        <v>199.11</v>
      </c>
      <c r="DJ1350" s="34" t="n">
        <v>46254</v>
      </c>
      <c r="DK1350" s="15" t="n">
        <v>30.6</v>
      </c>
      <c r="DL1350" s="15" t="n">
        <v>33.33</v>
      </c>
      <c r="DM1350" s="34" t="n">
        <v>46254</v>
      </c>
      <c r="DN1350" s="15" t="n">
        <v>9.94</v>
      </c>
      <c r="DO1350" s="15" t="n">
        <v>16.28</v>
      </c>
      <c r="DP1350" s="34" t="n">
        <v>46254</v>
      </c>
      <c r="DQ1350" s="15" t="n">
        <v>17.34</v>
      </c>
      <c r="DR1350" s="15" t="n">
        <v>32.77</v>
      </c>
      <c r="DS1350" s="34" t="n">
        <v>46254</v>
      </c>
      <c r="DT1350" s="15" t="n">
        <v>43.98</v>
      </c>
      <c r="DU1350" s="15" t="n">
        <v>68.04000000000001</v>
      </c>
      <c r="DV1350" s="34" t="n">
        <v>46254</v>
      </c>
      <c r="DW1350" s="15" t="n">
        <v>17.9</v>
      </c>
      <c r="DX1350" s="15" t="n">
        <v>38.02</v>
      </c>
      <c r="DY1350" s="34" t="n">
        <v>46254</v>
      </c>
      <c r="DZ1350" s="15" t="n">
        <v>123</v>
      </c>
      <c r="EA1350" s="15" t="n">
        <v>152.87</v>
      </c>
      <c r="EB1350" s="34" t="n">
        <v>46254</v>
      </c>
      <c r="EC1350" s="15" t="n">
        <v>8.779999999999999</v>
      </c>
      <c r="ED1350" s="15" t="n">
        <v>19.19</v>
      </c>
      <c r="EE1350" s="34" t="n">
        <v>46254</v>
      </c>
      <c r="EF1350" s="15" t="n">
        <v>226.8</v>
      </c>
      <c r="EG1350" s="15" t="n">
        <v>253.45</v>
      </c>
      <c r="EH1350" s="34" t="n">
        <v>46254</v>
      </c>
      <c r="EI1350" s="15" t="n">
        <v>71</v>
      </c>
      <c r="EJ1350" s="15" t="n">
        <v>78.31999999999999</v>
      </c>
      <c r="EK1350" s="34" t="n">
        <v>46254</v>
      </c>
      <c r="EL1350" s="15" t="n">
        <v>22.08</v>
      </c>
      <c r="EM1350" s="15" t="n">
        <v>34.1</v>
      </c>
      <c r="EN1350" s="34" t="n">
        <v>46254</v>
      </c>
      <c r="EO1350" s="15" t="n">
        <v>31.82</v>
      </c>
      <c r="EP1350" s="15" t="n">
        <v>50.09</v>
      </c>
      <c r="EQ1350" s="34" t="n">
        <v>46254</v>
      </c>
      <c r="ER1350" s="15" t="n">
        <v>32.96</v>
      </c>
      <c r="ES1350" s="15" t="n">
        <v>39.19</v>
      </c>
      <c r="ET1350" s="34" t="n">
        <v>46254</v>
      </c>
      <c r="EU1350" s="15" t="n">
        <v>7.86</v>
      </c>
      <c r="EV1350" s="15" t="n">
        <v>14.57</v>
      </c>
      <c r="EW1350" s="34" t="n">
        <v>46254</v>
      </c>
      <c r="EX1350" s="15" t="n">
        <v>96.34999999999999</v>
      </c>
      <c r="EY1350" s="15" t="n">
        <v>116.58</v>
      </c>
      <c r="EZ1350" s="34" t="n">
        <v>46254</v>
      </c>
      <c r="FA1350" s="15" t="n">
        <v>6.17</v>
      </c>
      <c r="FB1350" s="15" t="n">
        <v>12.2</v>
      </c>
      <c r="FC1350" s="34" t="n">
        <v>46254</v>
      </c>
      <c r="FD1350" s="15" t="n">
        <v>385</v>
      </c>
      <c r="FE1350" s="15" t="n">
        <v>433</v>
      </c>
      <c r="FF1350" s="34" t="n">
        <v>46254</v>
      </c>
      <c r="FG1350" s="15" t="n">
        <v>119.5</v>
      </c>
      <c r="FH1350" s="15" t="n">
        <v>115.58</v>
      </c>
      <c r="FI1350" s="34" t="n">
        <v>46254</v>
      </c>
      <c r="FJ1350" s="15" t="n">
        <v>25.36</v>
      </c>
      <c r="FK1350" s="15" t="n">
        <v>45.03</v>
      </c>
      <c r="FL1350" s="34" t="n">
        <v>46254</v>
      </c>
      <c r="FM1350" s="15" t="n">
        <v>59.3</v>
      </c>
      <c r="FN1350" s="15" t="n">
        <v>53.34</v>
      </c>
      <c r="FO1350" s="34" t="n">
        <v>46254</v>
      </c>
      <c r="FP1350" s="15" t="n">
        <v>110.2</v>
      </c>
      <c r="FQ1350" s="15" t="n">
        <v>111.51</v>
      </c>
      <c r="FR1350" s="34" t="n">
        <v>46254</v>
      </c>
      <c r="FS1350" s="15" t="n">
        <v>331.4</v>
      </c>
      <c r="FT1350" s="15" t="n">
        <v>412</v>
      </c>
      <c r="FU1350" s="34" t="n">
        <v>46254</v>
      </c>
      <c r="FV1350" s="15" t="n">
        <v>3.05</v>
      </c>
      <c r="FW1350" s="15" t="n">
        <v>6.44</v>
      </c>
      <c r="FX1350" s="34" t="n">
        <v>46254</v>
      </c>
      <c r="FY1350" s="15" t="n">
        <v>30.5</v>
      </c>
      <c r="FZ1350" s="15" t="n">
        <v>39.39</v>
      </c>
      <c r="GA1350" s="34" t="n">
        <v>46254</v>
      </c>
      <c r="GB1350" s="15" t="n">
        <v>1099</v>
      </c>
      <c r="GC1350" s="15" t="n">
        <v>904.2</v>
      </c>
      <c r="GD1350" s="34" t="n">
        <v>46254</v>
      </c>
    </row>
    <row r="1351">
      <c r="A1351" s="34" t="n">
        <v>46255</v>
      </c>
      <c r="B1351" s="266" t="n">
        <v>1.166555047035217</v>
      </c>
      <c r="C1351" s="34" t="n">
        <v>46255</v>
      </c>
      <c r="D1351" s="15" t="n">
        <v>25.3</v>
      </c>
      <c r="E1351" s="15" t="n">
        <v>49.27</v>
      </c>
      <c r="F1351" s="34" t="n">
        <v>46255</v>
      </c>
      <c r="G1351" s="15" t="n">
        <v>119.8</v>
      </c>
      <c r="H1351" s="15" t="n">
        <v>168.1</v>
      </c>
      <c r="I1351" s="34" t="n">
        <v>46255</v>
      </c>
      <c r="J1351" s="15" t="n">
        <v>17.24</v>
      </c>
      <c r="K1351" s="15" t="n">
        <v>27.57</v>
      </c>
      <c r="L1351" s="34" t="n">
        <v>46255</v>
      </c>
      <c r="M1351" s="15" t="n">
        <v>37.7</v>
      </c>
      <c r="N1351" s="15" t="n">
        <v>48.38</v>
      </c>
      <c r="O1351" s="34" t="n">
        <v>46255</v>
      </c>
      <c r="P1351" s="15" t="n">
        <v>48.76</v>
      </c>
      <c r="Q1351" s="15" t="n">
        <v>52.29</v>
      </c>
      <c r="R1351" s="34" t="n">
        <v>46255</v>
      </c>
      <c r="S1351" s="15" t="n">
        <v>65</v>
      </c>
      <c r="T1351" s="15" t="n">
        <v>134.24</v>
      </c>
      <c r="U1351" s="34" t="n">
        <v>46255</v>
      </c>
      <c r="V1351" s="15" t="n">
        <v>12.74</v>
      </c>
      <c r="W1351" s="15" t="n">
        <v>17.04</v>
      </c>
      <c r="X1351" s="34" t="n">
        <v>46255</v>
      </c>
      <c r="Y1351" s="15" t="n">
        <v>96.90000000000001</v>
      </c>
      <c r="Z1351" s="15" t="n">
        <v>84.3</v>
      </c>
      <c r="AA1351" s="34" t="n">
        <v>46255</v>
      </c>
      <c r="AB1351" s="15" t="n">
        <v>9.945</v>
      </c>
      <c r="AC1351" s="15" t="n">
        <v>19.65</v>
      </c>
      <c r="AD1351" s="34" t="n">
        <v>46255</v>
      </c>
      <c r="AE1351" s="15" t="n">
        <v>32.62</v>
      </c>
      <c r="AF1351" s="15" t="n">
        <v>32.5</v>
      </c>
      <c r="AG1351" s="34" t="n">
        <v>46255</v>
      </c>
      <c r="AH1351" s="15" t="n">
        <v>45.86</v>
      </c>
      <c r="AI1351" s="15" t="n">
        <v>49.43</v>
      </c>
      <c r="AJ1351" s="34" t="n">
        <v>46255</v>
      </c>
      <c r="AK1351" s="15" t="n">
        <v>16.61</v>
      </c>
      <c r="AL1351" s="15" t="n">
        <v>41.9</v>
      </c>
      <c r="AM1351" s="34" t="n">
        <v>46255</v>
      </c>
      <c r="AN1351" s="15" t="n">
        <v>652.5</v>
      </c>
      <c r="AO1351" s="15" t="n">
        <v>391.15</v>
      </c>
      <c r="AP1351" s="34" t="n">
        <v>46255</v>
      </c>
      <c r="AQ1351" s="15" t="n">
        <v>48.2</v>
      </c>
      <c r="AR1351" s="15" t="n">
        <v>47.74</v>
      </c>
      <c r="AS1351" s="34" t="n">
        <v>46255</v>
      </c>
      <c r="AT1351" s="15" t="n">
        <v>12.28</v>
      </c>
      <c r="AU1351" s="15" t="n">
        <v>18.53</v>
      </c>
      <c r="AV1351" s="34" t="n">
        <v>46255</v>
      </c>
      <c r="AW1351" s="15" t="n">
        <v>32.04</v>
      </c>
      <c r="AX1351" s="15" t="n">
        <v>35.05</v>
      </c>
      <c r="AY1351" s="34" t="n">
        <v>46255</v>
      </c>
      <c r="AZ1351" s="15" t="n">
        <v>27.52</v>
      </c>
      <c r="BA1351" s="15" t="n">
        <v>36.71</v>
      </c>
      <c r="BB1351" s="34" t="n">
        <v>46255</v>
      </c>
      <c r="BC1351" s="15" t="n">
        <v>64.09999999999999</v>
      </c>
      <c r="BD1351" s="15" t="n">
        <v>79</v>
      </c>
      <c r="BE1351" s="34" t="n">
        <v>46255</v>
      </c>
      <c r="BF1351" s="15" t="n">
        <v>117.9</v>
      </c>
      <c r="BG1351" s="15" t="n">
        <v>177.74</v>
      </c>
      <c r="BH1351" s="34" t="n">
        <v>46255</v>
      </c>
      <c r="BI1351" s="15" t="n">
        <v>22.96</v>
      </c>
      <c r="BJ1351" s="15" t="n">
        <v>37.19</v>
      </c>
      <c r="BK1351" s="34" t="n">
        <v>46255</v>
      </c>
      <c r="BL1351" s="15" t="n">
        <v>71.40000000000001</v>
      </c>
      <c r="BM1351" s="15" t="n">
        <v>109.95</v>
      </c>
      <c r="BN1351" s="34" t="n">
        <v>46255</v>
      </c>
      <c r="BO1351" s="15" t="n">
        <v>7.68</v>
      </c>
      <c r="BP1351" s="15" t="n">
        <v>18.88</v>
      </c>
      <c r="BQ1351" s="34" t="n">
        <v>46255</v>
      </c>
      <c r="BR1351" s="15" t="n">
        <v>19.05</v>
      </c>
      <c r="BS1351" s="15" t="n">
        <v>18.8</v>
      </c>
      <c r="BT1351" s="34" t="n">
        <v>46255</v>
      </c>
      <c r="BU1351" s="15" t="n">
        <v>96.40000000000001</v>
      </c>
      <c r="BV1351" s="15" t="n">
        <v>180.97</v>
      </c>
      <c r="BW1351" s="34" t="n">
        <v>46255</v>
      </c>
      <c r="BX1351" s="15" t="n">
        <v>41.14</v>
      </c>
      <c r="BY1351" s="15" t="n">
        <v>50.5</v>
      </c>
      <c r="BZ1351" s="34" t="n">
        <v>46255</v>
      </c>
      <c r="CA1351" s="15" t="n">
        <v>12.94</v>
      </c>
      <c r="CB1351" s="15" t="n">
        <v>19.42</v>
      </c>
      <c r="CC1351" s="34" t="n">
        <v>46255</v>
      </c>
      <c r="CD1351" s="15" t="n">
        <v>25.82</v>
      </c>
      <c r="CE1351" s="15" t="n">
        <v>40.47</v>
      </c>
      <c r="CF1351" s="34" t="n">
        <v>46255</v>
      </c>
      <c r="CG1351" s="15" t="n">
        <v>165.4</v>
      </c>
      <c r="CH1351" s="15" t="n">
        <v>244.36</v>
      </c>
      <c r="CI1351" s="34" t="n">
        <v>46255</v>
      </c>
      <c r="CJ1351" s="15" t="n">
        <v>6.62</v>
      </c>
      <c r="CK1351" s="15" t="n">
        <v>11.3</v>
      </c>
      <c r="CL1351" s="34" t="n">
        <v>46255</v>
      </c>
      <c r="CM1351" s="15" t="n">
        <v>76.5</v>
      </c>
      <c r="CN1351" s="15" t="n">
        <v>85.81999999999999</v>
      </c>
      <c r="CO1351" s="34" t="n">
        <v>46255</v>
      </c>
      <c r="CP1351" s="15" t="n">
        <v>503</v>
      </c>
      <c r="CQ1351" s="15" t="n">
        <v>409.06</v>
      </c>
      <c r="CR1351" s="34" t="n">
        <v>46255</v>
      </c>
      <c r="CS1351" s="15" t="n">
        <v>23.2</v>
      </c>
      <c r="CT1351" s="15" t="n">
        <v>37.29</v>
      </c>
      <c r="CU1351" s="34" t="n">
        <v>46255</v>
      </c>
      <c r="CV1351" s="15" t="n">
        <v>115.3</v>
      </c>
      <c r="CW1351" s="15" t="n">
        <v>120.03</v>
      </c>
      <c r="CX1351" s="34" t="n">
        <v>46255</v>
      </c>
      <c r="CY1351" s="15" t="n">
        <v>37.68</v>
      </c>
      <c r="CZ1351" s="15" t="n">
        <v>65.20999999999999</v>
      </c>
      <c r="DA1351" s="34" t="n">
        <v>46255</v>
      </c>
      <c r="DB1351" s="15" t="n">
        <v>104.5</v>
      </c>
      <c r="DC1351" s="15" t="n">
        <v>282.01</v>
      </c>
      <c r="DD1351" s="34" t="n">
        <v>46255</v>
      </c>
      <c r="DE1351" s="15" t="n">
        <v>33.7</v>
      </c>
      <c r="DF1351" s="15" t="n">
        <v>39.07</v>
      </c>
      <c r="DG1351" s="34" t="n">
        <v>46255</v>
      </c>
      <c r="DH1351" s="15" t="n">
        <v>272</v>
      </c>
      <c r="DI1351" s="15" t="n">
        <v>200.55</v>
      </c>
      <c r="DJ1351" s="34" t="n">
        <v>46255</v>
      </c>
      <c r="DK1351" s="15" t="n">
        <v>31.34</v>
      </c>
      <c r="DL1351" s="15" t="n">
        <v>33.91</v>
      </c>
      <c r="DM1351" s="34" t="n">
        <v>46255</v>
      </c>
      <c r="DN1351" s="15" t="n">
        <v>10.04</v>
      </c>
      <c r="DO1351" s="15" t="n">
        <v>16.29</v>
      </c>
      <c r="DP1351" s="34" t="n">
        <v>46255</v>
      </c>
      <c r="DQ1351" s="15" t="n">
        <v>17.84</v>
      </c>
      <c r="DR1351" s="15" t="n">
        <v>33.57</v>
      </c>
      <c r="DS1351" s="34" t="n">
        <v>46255</v>
      </c>
      <c r="DT1351" s="15" t="n">
        <v>42.8</v>
      </c>
      <c r="DU1351" s="15" t="n">
        <v>68.31</v>
      </c>
      <c r="DV1351" s="34" t="n">
        <v>46255</v>
      </c>
      <c r="DW1351" s="15" t="n">
        <v>17.97</v>
      </c>
      <c r="DX1351" s="15" t="n">
        <v>37.85</v>
      </c>
      <c r="DY1351" s="34" t="n">
        <v>46255</v>
      </c>
      <c r="DZ1351" s="15" t="n">
        <v>130</v>
      </c>
      <c r="EA1351" s="15" t="n">
        <v>155.95</v>
      </c>
      <c r="EB1351" s="34" t="n">
        <v>46255</v>
      </c>
      <c r="EC1351" s="15" t="n">
        <v>8.845000000000001</v>
      </c>
      <c r="ED1351" s="15" t="n">
        <v>19.41</v>
      </c>
      <c r="EE1351" s="34" t="n">
        <v>46255</v>
      </c>
      <c r="EF1351" s="15" t="n">
        <v>233.6</v>
      </c>
      <c r="EG1351" s="15" t="n">
        <v>253.74</v>
      </c>
      <c r="EH1351" s="34" t="n">
        <v>46255</v>
      </c>
      <c r="EI1351" s="15" t="n">
        <v>74.25</v>
      </c>
      <c r="EJ1351" s="15" t="n">
        <v>78.23999999999999</v>
      </c>
      <c r="EK1351" s="34" t="n">
        <v>46255</v>
      </c>
      <c r="EL1351" s="15" t="n">
        <v>21.94</v>
      </c>
      <c r="EM1351" s="15" t="n">
        <v>31.17</v>
      </c>
      <c r="EN1351" s="34" t="n">
        <v>46255</v>
      </c>
      <c r="EO1351" s="15" t="n">
        <v>31.76</v>
      </c>
      <c r="EP1351" s="15" t="n">
        <v>48.03</v>
      </c>
      <c r="EQ1351" s="34" t="n">
        <v>46255</v>
      </c>
      <c r="ER1351" s="15" t="n">
        <v>32.78</v>
      </c>
      <c r="ES1351" s="15" t="n">
        <v>39.18</v>
      </c>
      <c r="ET1351" s="34" t="n">
        <v>46255</v>
      </c>
      <c r="EU1351" s="15" t="n">
        <v>7.855</v>
      </c>
      <c r="EV1351" s="15" t="n">
        <v>14.48</v>
      </c>
      <c r="EW1351" s="34" t="n">
        <v>46255</v>
      </c>
      <c r="EX1351" s="15" t="n">
        <v>100</v>
      </c>
      <c r="EY1351" s="15" t="n">
        <v>116.6</v>
      </c>
      <c r="EZ1351" s="34" t="n">
        <v>46255</v>
      </c>
      <c r="FA1351" s="15" t="n">
        <v>6.24</v>
      </c>
      <c r="FB1351" s="15" t="n">
        <v>12.24</v>
      </c>
      <c r="FC1351" s="34" t="n">
        <v>46255</v>
      </c>
      <c r="FD1351" s="15" t="n">
        <v>371.2</v>
      </c>
      <c r="FE1351" s="15" t="n">
        <v>429.58</v>
      </c>
      <c r="FF1351" s="34" t="n">
        <v>46255</v>
      </c>
      <c r="FG1351" s="15" t="n">
        <v>119</v>
      </c>
      <c r="FH1351" s="15" t="n">
        <v>118.5</v>
      </c>
      <c r="FI1351" s="34" t="n">
        <v>46255</v>
      </c>
      <c r="FJ1351" s="15" t="n">
        <v>25.4</v>
      </c>
      <c r="FK1351" s="15" t="n">
        <v>44.82</v>
      </c>
      <c r="FL1351" s="34" t="n">
        <v>46255</v>
      </c>
      <c r="FM1351" s="15" t="n">
        <v>61.1</v>
      </c>
      <c r="FN1351" s="15" t="n">
        <v>54.65</v>
      </c>
      <c r="FO1351" s="34" t="n">
        <v>46255</v>
      </c>
      <c r="FP1351" s="15" t="n">
        <v>113.7</v>
      </c>
      <c r="FQ1351" s="15" t="n">
        <v>113.9</v>
      </c>
      <c r="FR1351" s="34" t="n">
        <v>46255</v>
      </c>
      <c r="FS1351" s="15" t="n">
        <v>347</v>
      </c>
      <c r="FT1351" s="15" t="n">
        <v>416.5</v>
      </c>
      <c r="FU1351" s="34" t="n">
        <v>46255</v>
      </c>
      <c r="FV1351" s="15" t="n">
        <v>3.08</v>
      </c>
      <c r="FW1351" s="15" t="n">
        <v>6.47</v>
      </c>
      <c r="FX1351" s="34" t="n">
        <v>46255</v>
      </c>
      <c r="FY1351" s="15" t="n">
        <v>30.88</v>
      </c>
      <c r="FZ1351" s="15" t="n">
        <v>39.12</v>
      </c>
      <c r="GA1351" s="34" t="n">
        <v>46255</v>
      </c>
      <c r="GB1351" s="15" t="n">
        <v>1140</v>
      </c>
      <c r="GC1351" s="15" t="n">
        <v>943</v>
      </c>
      <c r="GD1351" s="34" t="n">
        <v>46255</v>
      </c>
    </row>
    <row r="1352">
      <c r="A1352" s="34" t="n">
        <v>46258</v>
      </c>
      <c r="B1352" s="266" t="n">
        <v>1.166316986083984</v>
      </c>
      <c r="C1352" s="34" t="n">
        <v>46258</v>
      </c>
      <c r="D1352" s="15" t="n">
        <v>24.02</v>
      </c>
      <c r="E1352" s="15" t="n">
        <v>46.39</v>
      </c>
      <c r="F1352" s="34" t="n">
        <v>46258</v>
      </c>
      <c r="G1352" s="15" t="n">
        <v>111.1</v>
      </c>
      <c r="H1352" s="15" t="n">
        <v>156.57</v>
      </c>
      <c r="I1352" s="34" t="n">
        <v>46258</v>
      </c>
      <c r="J1352" s="15" t="n">
        <v>17.68</v>
      </c>
      <c r="K1352" s="15" t="n">
        <v>27.71</v>
      </c>
      <c r="L1352" s="34" t="n">
        <v>46258</v>
      </c>
      <c r="M1352" s="15" t="n">
        <v>38.2</v>
      </c>
      <c r="N1352" s="15" t="n">
        <v>49.1</v>
      </c>
      <c r="O1352" s="34" t="n">
        <v>46258</v>
      </c>
      <c r="P1352" s="15" t="n">
        <v>48.48</v>
      </c>
      <c r="Q1352" s="15" t="n">
        <v>52.06</v>
      </c>
      <c r="R1352" s="34" t="n">
        <v>46258</v>
      </c>
      <c r="S1352" s="15" t="n">
        <v>59.75</v>
      </c>
      <c r="T1352" s="15" t="n">
        <v>124.92</v>
      </c>
      <c r="U1352" s="34" t="n">
        <v>46258</v>
      </c>
      <c r="V1352" s="15" t="n">
        <v>11.85</v>
      </c>
      <c r="W1352" s="15" t="n">
        <v>16.61</v>
      </c>
      <c r="X1352" s="34" t="n">
        <v>46258</v>
      </c>
      <c r="Y1352" s="15" t="n">
        <v>98.34999999999999</v>
      </c>
      <c r="Z1352" s="15" t="n">
        <v>85.98999999999999</v>
      </c>
      <c r="AA1352" s="34" t="n">
        <v>46258</v>
      </c>
      <c r="AB1352" s="15" t="n">
        <v>9.945</v>
      </c>
      <c r="AC1352" s="15" t="n">
        <v>19.78</v>
      </c>
      <c r="AD1352" s="34" t="n">
        <v>46258</v>
      </c>
      <c r="AE1352" s="15" t="n">
        <v>32.5</v>
      </c>
      <c r="AF1352" s="15" t="n">
        <v>32.94</v>
      </c>
      <c r="AG1352" s="34" t="n">
        <v>46258</v>
      </c>
      <c r="AH1352" s="15" t="n">
        <v>43.46</v>
      </c>
      <c r="AI1352" s="15" t="n">
        <v>48.77</v>
      </c>
      <c r="AJ1352" s="34" t="n">
        <v>46258</v>
      </c>
      <c r="AK1352" s="15" t="n">
        <v>15.75</v>
      </c>
      <c r="AL1352" s="15" t="n">
        <v>39.8</v>
      </c>
      <c r="AM1352" s="34" t="n">
        <v>46258</v>
      </c>
      <c r="AN1352" s="15" t="n">
        <v>638.5</v>
      </c>
      <c r="AO1352" s="15" t="n">
        <v>387.89</v>
      </c>
      <c r="AP1352" s="34" t="n">
        <v>46258</v>
      </c>
      <c r="AQ1352" s="15" t="n">
        <v>46.46</v>
      </c>
      <c r="AR1352" s="15" t="n">
        <v>46.76</v>
      </c>
      <c r="AS1352" s="34" t="n">
        <v>46258</v>
      </c>
      <c r="AT1352" s="15" t="n">
        <v>12.15</v>
      </c>
      <c r="AU1352" s="15" t="n">
        <v>18.47</v>
      </c>
      <c r="AV1352" s="34" t="n">
        <v>46258</v>
      </c>
      <c r="AW1352" s="15" t="n">
        <v>32.08</v>
      </c>
      <c r="AX1352" s="15" t="n">
        <v>35.67</v>
      </c>
      <c r="AY1352" s="34" t="n">
        <v>46258</v>
      </c>
      <c r="AZ1352" s="15" t="n">
        <v>26.4</v>
      </c>
      <c r="BA1352" s="15" t="n">
        <v>35.71</v>
      </c>
      <c r="BB1352" s="34" t="n">
        <v>46258</v>
      </c>
      <c r="BC1352" s="15" t="n">
        <v>64.75</v>
      </c>
      <c r="BD1352" s="15" t="n">
        <v>78.59</v>
      </c>
      <c r="BE1352" s="34" t="n">
        <v>46258</v>
      </c>
      <c r="BF1352" s="15" t="n">
        <v>117.9</v>
      </c>
      <c r="BG1352" s="15" t="n">
        <v>179.12</v>
      </c>
      <c r="BH1352" s="34" t="n">
        <v>46258</v>
      </c>
      <c r="BI1352" s="15" t="n">
        <v>24.18</v>
      </c>
      <c r="BJ1352" s="15" t="n">
        <v>37.95</v>
      </c>
      <c r="BK1352" s="34" t="n">
        <v>46258</v>
      </c>
      <c r="BL1352" s="15" t="n">
        <v>63.95</v>
      </c>
      <c r="BM1352" s="15" t="n">
        <v>105.05</v>
      </c>
      <c r="BN1352" s="34" t="n">
        <v>46258</v>
      </c>
      <c r="BO1352" s="15" t="n">
        <v>7.46</v>
      </c>
      <c r="BP1352" s="15" t="n">
        <v>18.65</v>
      </c>
      <c r="BQ1352" s="34" t="n">
        <v>46258</v>
      </c>
      <c r="BR1352" s="15" t="n">
        <v>18.56</v>
      </c>
      <c r="BS1352" s="15" t="n">
        <v>18.61</v>
      </c>
      <c r="BT1352" s="34" t="n">
        <v>46258</v>
      </c>
      <c r="BU1352" s="15" t="n">
        <v>89.84999999999999</v>
      </c>
      <c r="BV1352" s="15" t="n">
        <v>174.99</v>
      </c>
      <c r="BW1352" s="34" t="n">
        <v>46258</v>
      </c>
      <c r="BX1352" s="15" t="n">
        <v>39.78</v>
      </c>
      <c r="BY1352" s="15" t="n">
        <v>49.75</v>
      </c>
      <c r="BZ1352" s="34" t="n">
        <v>46258</v>
      </c>
      <c r="CA1352" s="15" t="n">
        <v>12.45</v>
      </c>
      <c r="CB1352" s="15" t="n">
        <v>19.09</v>
      </c>
      <c r="CC1352" s="34" t="n">
        <v>46258</v>
      </c>
      <c r="CD1352" s="15" t="n">
        <v>25.28</v>
      </c>
      <c r="CE1352" s="15" t="n">
        <v>40</v>
      </c>
      <c r="CF1352" s="34" t="n">
        <v>46258</v>
      </c>
      <c r="CG1352" s="15" t="n">
        <v>159</v>
      </c>
      <c r="CH1352" s="15" t="n">
        <v>232</v>
      </c>
      <c r="CI1352" s="34" t="n">
        <v>46258</v>
      </c>
      <c r="CJ1352" s="15" t="n">
        <v>6.475</v>
      </c>
      <c r="CK1352" s="15" t="n">
        <v>11.31</v>
      </c>
      <c r="CL1352" s="34" t="n">
        <v>46258</v>
      </c>
      <c r="CM1352" s="15" t="n">
        <v>72.65000000000001</v>
      </c>
      <c r="CN1352" s="15" t="n">
        <v>82.5</v>
      </c>
      <c r="CO1352" s="34" t="n">
        <v>46258</v>
      </c>
      <c r="CP1352" s="15" t="n">
        <v>471</v>
      </c>
      <c r="CQ1352" s="15" t="n">
        <v>381.66</v>
      </c>
      <c r="CR1352" s="34" t="n">
        <v>46258</v>
      </c>
      <c r="CS1352" s="15" t="n">
        <v>22.28</v>
      </c>
      <c r="CT1352" s="15" t="n">
        <v>36.18</v>
      </c>
      <c r="CU1352" s="34" t="n">
        <v>46258</v>
      </c>
      <c r="CV1352" s="15" t="n">
        <v>118.2</v>
      </c>
      <c r="CW1352" s="15" t="n">
        <v>120.99</v>
      </c>
      <c r="CX1352" s="34" t="n">
        <v>46258</v>
      </c>
      <c r="CY1352" s="15" t="n">
        <v>34.04</v>
      </c>
      <c r="CZ1352" s="15" t="n">
        <v>60.05</v>
      </c>
      <c r="DA1352" s="34" t="n">
        <v>46258</v>
      </c>
      <c r="DB1352" s="15" t="n">
        <v>93.95</v>
      </c>
      <c r="DC1352" s="15" t="n">
        <v>267</v>
      </c>
      <c r="DD1352" s="34" t="n">
        <v>46258</v>
      </c>
      <c r="DE1352" s="15" t="n">
        <v>32.82</v>
      </c>
      <c r="DF1352" s="15" t="n">
        <v>38.83</v>
      </c>
      <c r="DG1352" s="34" t="n">
        <v>46258</v>
      </c>
      <c r="DH1352" s="15" t="n">
        <v>250</v>
      </c>
      <c r="DI1352" s="15" t="n">
        <v>191.83</v>
      </c>
      <c r="DJ1352" s="34" t="n">
        <v>46258</v>
      </c>
      <c r="DK1352" s="15" t="n">
        <v>31.36</v>
      </c>
      <c r="DL1352" s="15" t="n">
        <v>33.84</v>
      </c>
      <c r="DM1352" s="34" t="n">
        <v>46258</v>
      </c>
      <c r="DN1352" s="15" t="n">
        <v>9.654999999999999</v>
      </c>
      <c r="DO1352" s="15" t="n">
        <v>15.87</v>
      </c>
      <c r="DP1352" s="34" t="n">
        <v>46258</v>
      </c>
      <c r="DQ1352" s="15" t="n">
        <v>16.8</v>
      </c>
      <c r="DR1352" s="15" t="n">
        <v>30.82</v>
      </c>
      <c r="DS1352" s="34" t="n">
        <v>46258</v>
      </c>
      <c r="DT1352" s="15" t="n">
        <v>41.1</v>
      </c>
      <c r="DU1352" s="15" t="n">
        <v>66.16</v>
      </c>
      <c r="DV1352" s="34" t="n">
        <v>46258</v>
      </c>
      <c r="DW1352" s="15" t="n">
        <v>18.5</v>
      </c>
      <c r="DX1352" s="15" t="n">
        <v>39.96</v>
      </c>
      <c r="DY1352" s="34" t="n">
        <v>46258</v>
      </c>
      <c r="DZ1352" s="15" t="n">
        <v>126.8</v>
      </c>
      <c r="EA1352" s="15" t="n">
        <v>149.6</v>
      </c>
      <c r="EB1352" s="34" t="n">
        <v>46258</v>
      </c>
      <c r="EC1352" s="15" t="n">
        <v>8.699999999999999</v>
      </c>
      <c r="ED1352" s="15" t="n">
        <v>19.72</v>
      </c>
      <c r="EE1352" s="34" t="n">
        <v>46258</v>
      </c>
      <c r="EF1352" s="15" t="n">
        <v>223</v>
      </c>
      <c r="EG1352" s="15" t="n">
        <v>245</v>
      </c>
      <c r="EH1352" s="34" t="n">
        <v>46258</v>
      </c>
      <c r="EI1352" s="15" t="n">
        <v>71.45</v>
      </c>
      <c r="EJ1352" s="15" t="n">
        <v>75.22</v>
      </c>
      <c r="EK1352" s="34" t="n">
        <v>46258</v>
      </c>
      <c r="EL1352" s="15" t="n">
        <v>21.46</v>
      </c>
      <c r="EM1352" s="15" t="n">
        <v>29.23</v>
      </c>
      <c r="EN1352" s="34" t="n">
        <v>46258</v>
      </c>
      <c r="EO1352" s="15" t="n">
        <v>31.66</v>
      </c>
      <c r="EP1352" s="15" t="n">
        <v>47.42</v>
      </c>
      <c r="EQ1352" s="34" t="n">
        <v>46258</v>
      </c>
      <c r="ER1352" s="15" t="n">
        <v>29.5</v>
      </c>
      <c r="ES1352" s="15" t="n">
        <v>35.26</v>
      </c>
      <c r="ET1352" s="34" t="n">
        <v>46258</v>
      </c>
      <c r="EU1352" s="15" t="n">
        <v>7.525</v>
      </c>
      <c r="EV1352" s="15" t="n">
        <v>14.08</v>
      </c>
      <c r="EW1352" s="34" t="n">
        <v>46258</v>
      </c>
      <c r="EX1352" s="15" t="n">
        <v>92.90000000000001</v>
      </c>
      <c r="EY1352" s="15" t="n">
        <v>111.13</v>
      </c>
      <c r="EZ1352" s="34" t="n">
        <v>46258</v>
      </c>
      <c r="FA1352" s="15" t="n">
        <v>6.18</v>
      </c>
      <c r="FB1352" s="15" t="n">
        <v>12.08</v>
      </c>
      <c r="FC1352" s="34" t="n">
        <v>46258</v>
      </c>
      <c r="FD1352" s="15" t="n">
        <v>332.4</v>
      </c>
      <c r="FE1352" s="15" t="n">
        <v>426.15</v>
      </c>
      <c r="FF1352" s="34" t="n">
        <v>46258</v>
      </c>
      <c r="FG1352" s="15" t="n">
        <v>119.6</v>
      </c>
      <c r="FH1352" s="15" t="n">
        <v>115.43</v>
      </c>
      <c r="FI1352" s="34" t="n">
        <v>46258</v>
      </c>
      <c r="FJ1352" s="15" t="n">
        <v>24.02</v>
      </c>
      <c r="FK1352" s="15" t="n">
        <v>42.95</v>
      </c>
      <c r="FL1352" s="34" t="n">
        <v>46258</v>
      </c>
      <c r="FM1352" s="15" t="n">
        <v>58.85</v>
      </c>
      <c r="FN1352" s="15" t="n">
        <v>53.72</v>
      </c>
      <c r="FO1352" s="34" t="n">
        <v>46258</v>
      </c>
      <c r="FP1352" s="15" t="n">
        <v>105.3</v>
      </c>
      <c r="FQ1352" s="15" t="n">
        <v>108.94</v>
      </c>
      <c r="FR1352" s="34" t="n">
        <v>46258</v>
      </c>
      <c r="FS1352" s="15" t="n">
        <v>348</v>
      </c>
      <c r="FT1352" s="15" t="n">
        <v>393.01</v>
      </c>
      <c r="FU1352" s="34" t="n">
        <v>46258</v>
      </c>
      <c r="FV1352" s="15" t="n">
        <v>3.06</v>
      </c>
      <c r="FW1352" s="15" t="n">
        <v>6.33</v>
      </c>
      <c r="FX1352" s="34" t="n">
        <v>46258</v>
      </c>
      <c r="FY1352" s="15" t="n">
        <v>29</v>
      </c>
      <c r="FZ1352" s="15" t="n">
        <v>38.46</v>
      </c>
      <c r="GA1352" s="34" t="n">
        <v>46258</v>
      </c>
      <c r="GB1352" s="15" t="n">
        <v>1011</v>
      </c>
      <c r="GC1352" s="15" t="n">
        <v>870.22</v>
      </c>
      <c r="GD1352" s="34" t="n">
        <v>46258</v>
      </c>
    </row>
    <row r="1353">
      <c r="A1353" s="34" t="n">
        <v>46259</v>
      </c>
      <c r="B1353" s="266" t="n">
        <v>1.165253043174744</v>
      </c>
      <c r="C1353" s="34" t="n">
        <v>46259</v>
      </c>
      <c r="D1353" s="15" t="n">
        <v>25.26</v>
      </c>
      <c r="E1353" s="15" t="n">
        <v>48.29</v>
      </c>
      <c r="F1353" s="34" t="n">
        <v>46259</v>
      </c>
      <c r="G1353" s="15" t="n">
        <v>128.9</v>
      </c>
      <c r="H1353" s="15" t="n">
        <v>172.23</v>
      </c>
      <c r="I1353" s="34" t="n">
        <v>46259</v>
      </c>
      <c r="J1353" s="15" t="n">
        <v>17.03</v>
      </c>
      <c r="K1353" s="15" t="n">
        <v>27.07</v>
      </c>
      <c r="L1353" s="34" t="n">
        <v>46259</v>
      </c>
      <c r="M1353" s="15" t="n">
        <v>36.34</v>
      </c>
      <c r="N1353" s="15" t="n">
        <v>47.01</v>
      </c>
      <c r="O1353" s="34" t="n">
        <v>46259</v>
      </c>
      <c r="P1353" s="15" t="n">
        <v>48.94</v>
      </c>
      <c r="Q1353" s="15" t="n">
        <v>52.61</v>
      </c>
      <c r="R1353" s="34" t="n">
        <v>46259</v>
      </c>
      <c r="S1353" s="15" t="n">
        <v>62.05</v>
      </c>
      <c r="T1353" s="15" t="n">
        <v>124.65</v>
      </c>
      <c r="U1353" s="34" t="n">
        <v>46259</v>
      </c>
      <c r="V1353" s="15" t="n">
        <v>12.67</v>
      </c>
      <c r="W1353" s="15" t="n">
        <v>17.09</v>
      </c>
      <c r="X1353" s="34" t="n">
        <v>46259</v>
      </c>
      <c r="Y1353" s="15" t="n">
        <v>98.65000000000001</v>
      </c>
      <c r="Z1353" s="15" t="n">
        <v>86.69</v>
      </c>
      <c r="AA1353" s="34" t="n">
        <v>46259</v>
      </c>
      <c r="AB1353" s="15" t="n">
        <v>9.710000000000001</v>
      </c>
      <c r="AC1353" s="15" t="n">
        <v>19.24</v>
      </c>
      <c r="AD1353" s="34" t="n">
        <v>46259</v>
      </c>
      <c r="AE1353" s="15" t="n">
        <v>32.28</v>
      </c>
      <c r="AF1353" s="15" t="n">
        <v>32.92</v>
      </c>
      <c r="AG1353" s="34" t="n">
        <v>46259</v>
      </c>
      <c r="AH1353" s="15" t="n">
        <v>41.72</v>
      </c>
      <c r="AI1353" s="15" t="n">
        <v>47.66</v>
      </c>
      <c r="AJ1353" s="34" t="n">
        <v>46259</v>
      </c>
      <c r="AK1353" s="15" t="n">
        <v>15.95</v>
      </c>
      <c r="AL1353" s="15" t="n">
        <v>40.18</v>
      </c>
      <c r="AM1353" s="34" t="n">
        <v>46259</v>
      </c>
      <c r="AN1353" s="15" t="n">
        <v>621</v>
      </c>
      <c r="AO1353" s="15" t="n">
        <v>376.73</v>
      </c>
      <c r="AP1353" s="34" t="n">
        <v>46259</v>
      </c>
      <c r="AQ1353" s="15" t="n">
        <v>46.5</v>
      </c>
      <c r="AR1353" s="15" t="n">
        <v>46.49</v>
      </c>
      <c r="AS1353" s="34" t="n">
        <v>46259</v>
      </c>
      <c r="AT1353" s="15" t="n">
        <v>12.23</v>
      </c>
      <c r="AU1353" s="15" t="n">
        <v>18.58</v>
      </c>
      <c r="AV1353" s="34" t="n">
        <v>46259</v>
      </c>
      <c r="AW1353" s="15" t="n">
        <v>32.36</v>
      </c>
      <c r="AX1353" s="15" t="n">
        <v>35.96</v>
      </c>
      <c r="AY1353" s="34" t="n">
        <v>46259</v>
      </c>
      <c r="AZ1353" s="15" t="n">
        <v>26.32</v>
      </c>
      <c r="BA1353" s="15" t="n">
        <v>35.95</v>
      </c>
      <c r="BB1353" s="34" t="n">
        <v>46259</v>
      </c>
      <c r="BC1353" s="15" t="n">
        <v>63.6</v>
      </c>
      <c r="BD1353" s="15" t="n">
        <v>77.25</v>
      </c>
      <c r="BE1353" s="34" t="n">
        <v>46259</v>
      </c>
      <c r="BF1353" s="15" t="n">
        <v>117.9</v>
      </c>
      <c r="BG1353" s="15" t="n">
        <v>182.63</v>
      </c>
      <c r="BH1353" s="34" t="n">
        <v>46259</v>
      </c>
      <c r="BI1353" s="15" t="n">
        <v>23.6</v>
      </c>
      <c r="BJ1353" s="15" t="n">
        <v>37.9</v>
      </c>
      <c r="BK1353" s="34" t="n">
        <v>46259</v>
      </c>
      <c r="BL1353" s="15" t="n">
        <v>66</v>
      </c>
      <c r="BM1353" s="15" t="n">
        <v>106.41</v>
      </c>
      <c r="BN1353" s="34" t="n">
        <v>46259</v>
      </c>
      <c r="BO1353" s="15" t="n">
        <v>7.46</v>
      </c>
      <c r="BP1353" s="15" t="n">
        <v>18.69</v>
      </c>
      <c r="BQ1353" s="34" t="n">
        <v>46259</v>
      </c>
      <c r="BR1353" s="15" t="n">
        <v>19.31</v>
      </c>
      <c r="BS1353" s="15" t="n">
        <v>18.95</v>
      </c>
      <c r="BT1353" s="34" t="n">
        <v>46259</v>
      </c>
      <c r="BU1353" s="15" t="n">
        <v>91</v>
      </c>
      <c r="BV1353" s="15" t="n">
        <v>173.5</v>
      </c>
      <c r="BW1353" s="34" t="n">
        <v>46259</v>
      </c>
      <c r="BX1353" s="15" t="n">
        <v>40.26</v>
      </c>
      <c r="BY1353" s="15" t="n">
        <v>50.73</v>
      </c>
      <c r="BZ1353" s="34" t="n">
        <v>46259</v>
      </c>
      <c r="CA1353" s="15" t="n">
        <v>12.39</v>
      </c>
      <c r="CB1353" s="15" t="n">
        <v>19.14</v>
      </c>
      <c r="CC1353" s="34" t="n">
        <v>46259</v>
      </c>
      <c r="CD1353" s="15" t="n">
        <v>25.54</v>
      </c>
      <c r="CE1353" s="15" t="n">
        <v>40.13</v>
      </c>
      <c r="CF1353" s="34" t="n">
        <v>46259</v>
      </c>
      <c r="CG1353" s="15" t="n">
        <v>161.8</v>
      </c>
      <c r="CH1353" s="15" t="n">
        <v>235.18</v>
      </c>
      <c r="CI1353" s="34" t="n">
        <v>46259</v>
      </c>
      <c r="CJ1353" s="15" t="n">
        <v>6.44</v>
      </c>
      <c r="CK1353" s="15" t="n">
        <v>11.55</v>
      </c>
      <c r="CL1353" s="34" t="n">
        <v>46259</v>
      </c>
      <c r="CM1353" s="15" t="n">
        <v>74.90000000000001</v>
      </c>
      <c r="CN1353" s="15" t="n">
        <v>85.55</v>
      </c>
      <c r="CO1353" s="34" t="n">
        <v>46259</v>
      </c>
      <c r="CP1353" s="15" t="n">
        <v>494.2</v>
      </c>
      <c r="CQ1353" s="15" t="n">
        <v>395.51</v>
      </c>
      <c r="CR1353" s="34" t="n">
        <v>46259</v>
      </c>
      <c r="CS1353" s="15" t="n">
        <v>22.28</v>
      </c>
      <c r="CT1353" s="15" t="n">
        <v>36.92</v>
      </c>
      <c r="CU1353" s="34" t="n">
        <v>46259</v>
      </c>
      <c r="CV1353" s="15" t="n">
        <v>119.1</v>
      </c>
      <c r="CW1353" s="15" t="n">
        <v>123.7</v>
      </c>
      <c r="CX1353" s="34" t="n">
        <v>46259</v>
      </c>
      <c r="CY1353" s="15" t="n">
        <v>34.92</v>
      </c>
      <c r="CZ1353" s="15" t="n">
        <v>61.53</v>
      </c>
      <c r="DA1353" s="34" t="n">
        <v>46259</v>
      </c>
      <c r="DB1353" s="15" t="n">
        <v>100.8</v>
      </c>
      <c r="DC1353" s="15" t="n">
        <v>269.06</v>
      </c>
      <c r="DD1353" s="34" t="n">
        <v>46259</v>
      </c>
      <c r="DE1353" s="15" t="n">
        <v>33.36</v>
      </c>
      <c r="DF1353" s="15" t="n">
        <v>39.93</v>
      </c>
      <c r="DG1353" s="34" t="n">
        <v>46259</v>
      </c>
      <c r="DH1353" s="15" t="n">
        <v>262.4</v>
      </c>
      <c r="DI1353" s="15" t="n">
        <v>194.42</v>
      </c>
      <c r="DJ1353" s="34" t="n">
        <v>46259</v>
      </c>
      <c r="DK1353" s="15" t="n">
        <v>30.2</v>
      </c>
      <c r="DL1353" s="15" t="n">
        <v>33.4</v>
      </c>
      <c r="DM1353" s="34" t="n">
        <v>46259</v>
      </c>
      <c r="DN1353" s="15" t="n">
        <v>10.2</v>
      </c>
      <c r="DO1353" s="15" t="n">
        <v>17.05</v>
      </c>
      <c r="DP1353" s="34" t="n">
        <v>46259</v>
      </c>
      <c r="DQ1353" s="15" t="n">
        <v>17.22</v>
      </c>
      <c r="DR1353" s="15" t="n">
        <v>31.68</v>
      </c>
      <c r="DS1353" s="34" t="n">
        <v>46259</v>
      </c>
      <c r="DT1353" s="15" t="n">
        <v>42.42</v>
      </c>
      <c r="DU1353" s="15" t="n">
        <v>72.78</v>
      </c>
      <c r="DV1353" s="34" t="n">
        <v>46259</v>
      </c>
      <c r="DW1353" s="15" t="n">
        <v>18.64</v>
      </c>
      <c r="DX1353" s="15" t="n">
        <v>39.8</v>
      </c>
      <c r="DY1353" s="34" t="n">
        <v>46259</v>
      </c>
      <c r="DZ1353" s="15" t="n">
        <v>129.8</v>
      </c>
      <c r="EA1353" s="15" t="n">
        <v>151.08</v>
      </c>
      <c r="EB1353" s="34" t="n">
        <v>46259</v>
      </c>
      <c r="EC1353" s="15" t="n">
        <v>8.945</v>
      </c>
      <c r="ED1353" s="15" t="n">
        <v>20.22</v>
      </c>
      <c r="EE1353" s="34" t="n">
        <v>46259</v>
      </c>
      <c r="EF1353" s="15" t="n">
        <v>228</v>
      </c>
      <c r="EG1353" s="15" t="n">
        <v>244.99</v>
      </c>
      <c r="EH1353" s="34" t="n">
        <v>46259</v>
      </c>
      <c r="EI1353" s="15" t="n">
        <v>73.55</v>
      </c>
      <c r="EJ1353" s="15" t="n">
        <v>75</v>
      </c>
      <c r="EK1353" s="34" t="n">
        <v>46259</v>
      </c>
      <c r="EL1353" s="15" t="n">
        <v>22.1</v>
      </c>
      <c r="EM1353" s="15" t="n">
        <v>29.99</v>
      </c>
      <c r="EN1353" s="34" t="n">
        <v>46259</v>
      </c>
      <c r="EO1353" s="15" t="n">
        <v>32.02</v>
      </c>
      <c r="EP1353" s="15" t="n">
        <v>48.06</v>
      </c>
      <c r="EQ1353" s="34" t="n">
        <v>46259</v>
      </c>
      <c r="ER1353" s="15" t="n">
        <v>31.8</v>
      </c>
      <c r="ES1353" s="15" t="n">
        <v>35.16</v>
      </c>
      <c r="ET1353" s="34" t="n">
        <v>46259</v>
      </c>
      <c r="EU1353" s="15" t="n">
        <v>7.665</v>
      </c>
      <c r="EV1353" s="15" t="n">
        <v>14.4</v>
      </c>
      <c r="EW1353" s="34" t="n">
        <v>46259</v>
      </c>
      <c r="EX1353" s="15" t="n">
        <v>97.40000000000001</v>
      </c>
      <c r="EY1353" s="15" t="n">
        <v>114.86</v>
      </c>
      <c r="EZ1353" s="34" t="n">
        <v>46259</v>
      </c>
      <c r="FA1353" s="15" t="n">
        <v>6.21</v>
      </c>
      <c r="FB1353" s="15" t="n">
        <v>12.17</v>
      </c>
      <c r="FC1353" s="34" t="n">
        <v>46259</v>
      </c>
      <c r="FD1353" s="15" t="n">
        <v>340</v>
      </c>
      <c r="FE1353" s="15" t="n">
        <v>415</v>
      </c>
      <c r="FF1353" s="34" t="n">
        <v>46259</v>
      </c>
      <c r="FG1353" s="15" t="n">
        <v>126</v>
      </c>
      <c r="FH1353" s="15" t="n">
        <v>122.1</v>
      </c>
      <c r="FI1353" s="34" t="n">
        <v>46259</v>
      </c>
      <c r="FJ1353" s="15" t="n">
        <v>24.3</v>
      </c>
      <c r="FK1353" s="15" t="n">
        <v>43.63</v>
      </c>
      <c r="FL1353" s="34" t="n">
        <v>46259</v>
      </c>
      <c r="FM1353" s="15" t="n">
        <v>59.4</v>
      </c>
      <c r="FN1353" s="15" t="n">
        <v>54.86</v>
      </c>
      <c r="FO1353" s="34" t="n">
        <v>46259</v>
      </c>
      <c r="FP1353" s="15" t="n">
        <v>108.4</v>
      </c>
      <c r="FQ1353" s="15" t="n">
        <v>109.1</v>
      </c>
      <c r="FR1353" s="34" t="n">
        <v>46259</v>
      </c>
      <c r="FS1353" s="15" t="n">
        <v>352.8</v>
      </c>
      <c r="FT1353" s="15" t="n">
        <v>392.6</v>
      </c>
      <c r="FU1353" s="34" t="n">
        <v>46259</v>
      </c>
      <c r="FV1353" s="15" t="n">
        <v>3.035</v>
      </c>
      <c r="FW1353" s="15" t="n">
        <v>6.23</v>
      </c>
      <c r="FX1353" s="34" t="n">
        <v>46259</v>
      </c>
      <c r="FY1353" s="15" t="n">
        <v>30.42</v>
      </c>
      <c r="FZ1353" s="15" t="n">
        <v>37.37</v>
      </c>
      <c r="GA1353" s="34" t="n">
        <v>46259</v>
      </c>
      <c r="GB1353" s="15" t="n">
        <v>1009</v>
      </c>
      <c r="GC1353" s="15" t="n">
        <v>846</v>
      </c>
      <c r="GD1353" s="34" t="n">
        <v>46259</v>
      </c>
      <c r="GE1353" s="15" t="n">
        <v>100</v>
      </c>
      <c r="GF1353" s="15" t="n">
        <v>134.1</v>
      </c>
      <c r="GG1353" s="34" t="n">
        <v>46259</v>
      </c>
    </row>
    <row r="1354">
      <c r="A1354" s="34" t="n">
        <v>46260</v>
      </c>
      <c r="B1354" s="266" t="n">
        <v>1.166218996047974</v>
      </c>
      <c r="C1354" s="34" t="n">
        <v>46260</v>
      </c>
      <c r="D1354" s="15" t="n">
        <v>24.94</v>
      </c>
      <c r="E1354" s="15" t="n">
        <v>46.91</v>
      </c>
      <c r="F1354" s="34" t="n">
        <v>46260</v>
      </c>
      <c r="G1354" s="15" t="n">
        <v>131</v>
      </c>
      <c r="H1354" s="15" t="n">
        <v>171.9</v>
      </c>
      <c r="I1354" s="34" t="n">
        <v>46260</v>
      </c>
      <c r="J1354" s="15" t="n">
        <v>17.26</v>
      </c>
      <c r="K1354" s="15" t="n">
        <v>27</v>
      </c>
      <c r="L1354" s="34" t="n">
        <v>46260</v>
      </c>
      <c r="M1354" s="15" t="n">
        <v>36.44</v>
      </c>
      <c r="N1354" s="15" t="n">
        <v>47.56</v>
      </c>
      <c r="O1354" s="34" t="n">
        <v>46260</v>
      </c>
      <c r="P1354" s="15" t="n">
        <v>49.26</v>
      </c>
      <c r="Q1354" s="15" t="n">
        <v>53.08</v>
      </c>
      <c r="R1354" s="34" t="n">
        <v>46260</v>
      </c>
      <c r="S1354" s="15" t="n">
        <v>62</v>
      </c>
      <c r="T1354" s="15" t="n">
        <v>119.96</v>
      </c>
      <c r="U1354" s="34" t="n">
        <v>46260</v>
      </c>
      <c r="V1354" s="15" t="n">
        <v>12.22</v>
      </c>
      <c r="W1354" s="15" t="n">
        <v>17.08</v>
      </c>
      <c r="X1354" s="34" t="n">
        <v>46260</v>
      </c>
      <c r="Y1354" s="15" t="n">
        <v>98.65000000000001</v>
      </c>
      <c r="Z1354" s="15" t="n">
        <v>86.39</v>
      </c>
      <c r="AA1354" s="34" t="n">
        <v>46260</v>
      </c>
      <c r="AB1354" s="15" t="n">
        <v>9.965</v>
      </c>
      <c r="AC1354" s="15" t="n">
        <v>19.39</v>
      </c>
      <c r="AD1354" s="34" t="n">
        <v>46260</v>
      </c>
      <c r="AE1354" s="15" t="n">
        <v>32.8</v>
      </c>
      <c r="AF1354" s="15" t="n">
        <v>33.58</v>
      </c>
      <c r="AG1354" s="34" t="n">
        <v>46260</v>
      </c>
      <c r="AH1354" s="15" t="n">
        <v>41.88</v>
      </c>
      <c r="AI1354" s="15" t="n">
        <v>46.85</v>
      </c>
      <c r="AJ1354" s="34" t="n">
        <v>46260</v>
      </c>
      <c r="AK1354" s="15" t="n">
        <v>15.59</v>
      </c>
      <c r="AL1354" s="15" t="n">
        <v>40.1</v>
      </c>
      <c r="AM1354" s="34" t="n">
        <v>46260</v>
      </c>
      <c r="AN1354" s="15" t="n">
        <v>618</v>
      </c>
      <c r="AO1354" s="15" t="n">
        <v>379</v>
      </c>
      <c r="AP1354" s="34" t="n">
        <v>46260</v>
      </c>
      <c r="AQ1354" s="15" t="n">
        <v>46.72</v>
      </c>
      <c r="AR1354" s="15" t="n">
        <v>46.74</v>
      </c>
      <c r="AS1354" s="34" t="n">
        <v>46260</v>
      </c>
      <c r="AT1354" s="15" t="n">
        <v>12.44</v>
      </c>
      <c r="AU1354" s="15" t="n">
        <v>18.67</v>
      </c>
      <c r="AV1354" s="34" t="n">
        <v>46260</v>
      </c>
      <c r="AW1354" s="15" t="n">
        <v>32.66</v>
      </c>
      <c r="AX1354" s="15" t="n">
        <v>35.93</v>
      </c>
      <c r="AY1354" s="34" t="n">
        <v>46260</v>
      </c>
      <c r="AZ1354" s="15" t="n">
        <v>26.16</v>
      </c>
      <c r="BA1354" s="15" t="n">
        <v>36.14</v>
      </c>
      <c r="BB1354" s="34" t="n">
        <v>46260</v>
      </c>
      <c r="BC1354" s="15" t="n">
        <v>65.8</v>
      </c>
      <c r="BD1354" s="15" t="n">
        <v>77.22</v>
      </c>
      <c r="BE1354" s="34" t="n">
        <v>46260</v>
      </c>
      <c r="BF1354" s="15" t="n">
        <v>121</v>
      </c>
      <c r="BG1354" s="15" t="n">
        <v>189.17</v>
      </c>
      <c r="BH1354" s="34" t="n">
        <v>46260</v>
      </c>
      <c r="BI1354" s="15" t="n">
        <v>24.48</v>
      </c>
      <c r="BJ1354" s="15" t="n">
        <v>39.02</v>
      </c>
      <c r="BK1354" s="34" t="n">
        <v>46260</v>
      </c>
      <c r="BL1354" s="15" t="n">
        <v>65.90000000000001</v>
      </c>
      <c r="BM1354" s="15" t="n">
        <v>104.83</v>
      </c>
      <c r="BN1354" s="34" t="n">
        <v>46260</v>
      </c>
      <c r="BO1354" s="15" t="n">
        <v>7.6</v>
      </c>
      <c r="BP1354" s="15" t="n">
        <v>19.1</v>
      </c>
      <c r="BQ1354" s="34" t="n">
        <v>46260</v>
      </c>
      <c r="BR1354" s="15" t="n">
        <v>18.86</v>
      </c>
      <c r="BS1354" s="15" t="n">
        <v>18.86</v>
      </c>
      <c r="BT1354" s="34" t="n">
        <v>46260</v>
      </c>
      <c r="BU1354" s="15" t="n">
        <v>99.59999999999999</v>
      </c>
      <c r="BV1354" s="15" t="n">
        <v>190.85</v>
      </c>
      <c r="BW1354" s="34" t="n">
        <v>46260</v>
      </c>
      <c r="BX1354" s="15" t="n">
        <v>40.76</v>
      </c>
      <c r="BY1354" s="15" t="n">
        <v>50.61</v>
      </c>
      <c r="BZ1354" s="34" t="n">
        <v>46260</v>
      </c>
      <c r="CA1354" s="15" t="n">
        <v>12.19</v>
      </c>
      <c r="CB1354" s="15" t="n">
        <v>18.98</v>
      </c>
      <c r="CC1354" s="34" t="n">
        <v>46260</v>
      </c>
      <c r="CD1354" s="15" t="n">
        <v>25.84</v>
      </c>
      <c r="CE1354" s="15" t="n">
        <v>40.53</v>
      </c>
      <c r="CF1354" s="34" t="n">
        <v>46260</v>
      </c>
      <c r="CG1354" s="15" t="n">
        <v>159.6</v>
      </c>
      <c r="CH1354" s="15" t="n">
        <v>234.12</v>
      </c>
      <c r="CI1354" s="34" t="n">
        <v>46260</v>
      </c>
      <c r="CJ1354" s="15" t="n">
        <v>6.61</v>
      </c>
      <c r="CK1354" s="15" t="n">
        <v>12.29</v>
      </c>
      <c r="CL1354" s="34" t="n">
        <v>46260</v>
      </c>
      <c r="CM1354" s="15" t="n">
        <v>74.34999999999999</v>
      </c>
      <c r="CN1354" s="15" t="n">
        <v>84</v>
      </c>
      <c r="CO1354" s="34" t="n">
        <v>46260</v>
      </c>
      <c r="CP1354" s="15" t="n">
        <v>482</v>
      </c>
      <c r="CQ1354" s="15" t="n">
        <v>392.5</v>
      </c>
      <c r="CR1354" s="34" t="n">
        <v>46260</v>
      </c>
      <c r="CS1354" s="15" t="n">
        <v>22.4</v>
      </c>
      <c r="CT1354" s="15" t="n">
        <v>36.97</v>
      </c>
      <c r="CU1354" s="34" t="n">
        <v>46260</v>
      </c>
      <c r="CV1354" s="15" t="n">
        <v>112.8</v>
      </c>
      <c r="CW1354" s="15" t="n">
        <v>121.3</v>
      </c>
      <c r="CX1354" s="34" t="n">
        <v>46260</v>
      </c>
      <c r="CY1354" s="15" t="n">
        <v>35.28</v>
      </c>
      <c r="CZ1354" s="15" t="n">
        <v>61.68</v>
      </c>
      <c r="DA1354" s="34" t="n">
        <v>46260</v>
      </c>
      <c r="DB1354" s="15" t="n">
        <v>100.5</v>
      </c>
      <c r="DC1354" s="15" t="n">
        <v>268.6</v>
      </c>
      <c r="DD1354" s="34" t="n">
        <v>46260</v>
      </c>
      <c r="DE1354" s="15" t="n">
        <v>33.62</v>
      </c>
      <c r="DF1354" s="15" t="n">
        <v>39.99</v>
      </c>
      <c r="DG1354" s="34" t="n">
        <v>46260</v>
      </c>
      <c r="DH1354" s="15" t="n">
        <v>268.2</v>
      </c>
      <c r="DI1354" s="15" t="n">
        <v>201</v>
      </c>
      <c r="DJ1354" s="34" t="n">
        <v>46260</v>
      </c>
      <c r="DK1354" s="15" t="n">
        <v>29.98</v>
      </c>
      <c r="DL1354" s="15" t="n">
        <v>33.6</v>
      </c>
      <c r="DM1354" s="34" t="n">
        <v>46260</v>
      </c>
      <c r="DN1354" s="15" t="n">
        <v>10.08</v>
      </c>
      <c r="DO1354" s="15" t="n">
        <v>17.2</v>
      </c>
      <c r="DP1354" s="34" t="n">
        <v>46260</v>
      </c>
      <c r="DQ1354" s="15" t="n">
        <v>17.09</v>
      </c>
      <c r="DR1354" s="15" t="n">
        <v>31.25</v>
      </c>
      <c r="DS1354" s="34" t="n">
        <v>46260</v>
      </c>
      <c r="DT1354" s="15" t="n">
        <v>41</v>
      </c>
      <c r="DU1354" s="15" t="n">
        <v>70.95999999999999</v>
      </c>
      <c r="DV1354" s="34" t="n">
        <v>46260</v>
      </c>
      <c r="DW1354" s="15" t="n">
        <v>19.3</v>
      </c>
      <c r="DX1354" s="15" t="n">
        <v>40.9</v>
      </c>
      <c r="DY1354" s="34" t="n">
        <v>46260</v>
      </c>
      <c r="DZ1354" s="15" t="n">
        <v>127.2</v>
      </c>
      <c r="EA1354" s="15" t="n">
        <v>151.71</v>
      </c>
      <c r="EB1354" s="34" t="n">
        <v>46260</v>
      </c>
      <c r="EC1354" s="15" t="n">
        <v>9.06</v>
      </c>
      <c r="ED1354" s="15" t="n">
        <v>20.16</v>
      </c>
      <c r="EE1354" s="34" t="n">
        <v>46260</v>
      </c>
      <c r="EF1354" s="15" t="n">
        <v>236.6</v>
      </c>
      <c r="EG1354" s="15" t="n">
        <v>249.44</v>
      </c>
      <c r="EH1354" s="34" t="n">
        <v>46260</v>
      </c>
      <c r="EI1354" s="15" t="n">
        <v>77.3</v>
      </c>
      <c r="EJ1354" s="15" t="n">
        <v>77.19</v>
      </c>
      <c r="EK1354" s="34" t="n">
        <v>46260</v>
      </c>
      <c r="EL1354" s="15" t="n">
        <v>22.02</v>
      </c>
      <c r="EM1354" s="15" t="n">
        <v>29.75</v>
      </c>
      <c r="EN1354" s="34" t="n">
        <v>46260</v>
      </c>
      <c r="EO1354" s="15" t="n">
        <v>32.36</v>
      </c>
      <c r="EP1354" s="15" t="n">
        <v>49.82</v>
      </c>
      <c r="EQ1354" s="34" t="n">
        <v>46260</v>
      </c>
      <c r="ER1354" s="15" t="n">
        <v>31.36</v>
      </c>
      <c r="ES1354" s="15" t="n">
        <v>35.26</v>
      </c>
      <c r="ET1354" s="34" t="n">
        <v>46260</v>
      </c>
      <c r="EU1354" s="15" t="n">
        <v>8.095000000000001</v>
      </c>
      <c r="EV1354" s="15" t="n">
        <v>15.27</v>
      </c>
      <c r="EW1354" s="34" t="n">
        <v>46260</v>
      </c>
      <c r="EX1354" s="15" t="n">
        <v>98</v>
      </c>
      <c r="EY1354" s="15" t="n">
        <v>113.51</v>
      </c>
      <c r="EZ1354" s="34" t="n">
        <v>46260</v>
      </c>
      <c r="FA1354" s="15" t="n">
        <v>6.205</v>
      </c>
      <c r="FB1354" s="15" t="n">
        <v>12.25</v>
      </c>
      <c r="FC1354" s="34" t="n">
        <v>46260</v>
      </c>
      <c r="FD1354" s="15" t="n">
        <v>358.6</v>
      </c>
      <c r="FE1354" s="15" t="n">
        <v>430.6</v>
      </c>
      <c r="FF1354" s="34" t="n">
        <v>46260</v>
      </c>
      <c r="FG1354" s="15" t="n">
        <v>132</v>
      </c>
      <c r="FH1354" s="15" t="n">
        <v>124.89</v>
      </c>
      <c r="FI1354" s="34" t="n">
        <v>46260</v>
      </c>
      <c r="FJ1354" s="15" t="n">
        <v>23.72</v>
      </c>
      <c r="FK1354" s="15" t="n">
        <v>42.44</v>
      </c>
      <c r="FL1354" s="34" t="n">
        <v>46260</v>
      </c>
      <c r="FM1354" s="15" t="n">
        <v>63.35</v>
      </c>
      <c r="FN1354" s="15" t="n">
        <v>57.11</v>
      </c>
      <c r="FO1354" s="34" t="n">
        <v>46260</v>
      </c>
      <c r="FP1354" s="15" t="n">
        <v>106.6</v>
      </c>
      <c r="FQ1354" s="15" t="n">
        <v>108.69</v>
      </c>
      <c r="FR1354" s="34" t="n">
        <v>46260</v>
      </c>
      <c r="FS1354" s="15" t="n">
        <v>354.2</v>
      </c>
      <c r="FT1354" s="15" t="n">
        <v>394.6</v>
      </c>
      <c r="FU1354" s="34" t="n">
        <v>46260</v>
      </c>
      <c r="FV1354" s="15" t="n">
        <v>3.12</v>
      </c>
      <c r="FW1354" s="15" t="n">
        <v>6.29</v>
      </c>
      <c r="FX1354" s="34" t="n">
        <v>46260</v>
      </c>
      <c r="FY1354" s="15" t="n">
        <v>29.92</v>
      </c>
      <c r="FZ1354" s="15" t="n">
        <v>38.3</v>
      </c>
      <c r="GA1354" s="34" t="n">
        <v>46260</v>
      </c>
      <c r="GB1354" s="15" t="n">
        <v>1015</v>
      </c>
      <c r="GC1354" s="15" t="n">
        <v>850.9</v>
      </c>
      <c r="GD1354" s="34" t="n">
        <v>46260</v>
      </c>
      <c r="GE1354" s="15" t="n">
        <v>95.3</v>
      </c>
      <c r="GF1354" s="15" t="n">
        <v>132.07</v>
      </c>
      <c r="GG1354" s="34" t="n">
        <v>46260</v>
      </c>
    </row>
    <row r="1355">
      <c r="A1355" s="34" t="n">
        <v>46261</v>
      </c>
      <c r="B1355" s="266" t="n">
        <v>1.165971040725708</v>
      </c>
      <c r="C1355" s="34" t="n">
        <v>46261</v>
      </c>
      <c r="D1355" s="15" t="n">
        <v>25.82</v>
      </c>
      <c r="E1355" s="15" t="n">
        <v>48.14</v>
      </c>
      <c r="F1355" s="34" t="n">
        <v>46261</v>
      </c>
      <c r="G1355" s="15" t="n">
        <v>128.2</v>
      </c>
      <c r="H1355" s="15" t="n">
        <v>170.64</v>
      </c>
      <c r="I1355" s="34" t="n">
        <v>46261</v>
      </c>
      <c r="J1355" s="15" t="n">
        <v>17.46</v>
      </c>
      <c r="K1355" s="15" t="n">
        <v>27.41</v>
      </c>
      <c r="L1355" s="34" t="n">
        <v>46261</v>
      </c>
      <c r="M1355" s="15" t="n">
        <v>36.96</v>
      </c>
      <c r="N1355" s="15" t="n">
        <v>48.23</v>
      </c>
      <c r="O1355" s="34" t="n">
        <v>46261</v>
      </c>
      <c r="P1355" s="15" t="n">
        <v>49.16</v>
      </c>
      <c r="Q1355" s="15" t="n">
        <v>53.15</v>
      </c>
      <c r="R1355" s="34" t="n">
        <v>46261</v>
      </c>
      <c r="S1355" s="15" t="n">
        <v>60.2</v>
      </c>
      <c r="T1355" s="15" t="n">
        <v>121.7</v>
      </c>
      <c r="U1355" s="34" t="n">
        <v>46261</v>
      </c>
      <c r="V1355" s="15" t="n">
        <v>12.44</v>
      </c>
      <c r="W1355" s="15" t="n">
        <v>17.22</v>
      </c>
      <c r="X1355" s="34" t="n">
        <v>46261</v>
      </c>
      <c r="Y1355" s="15" t="n">
        <v>99.15000000000001</v>
      </c>
      <c r="Z1355" s="15" t="n">
        <v>86.18000000000001</v>
      </c>
      <c r="AA1355" s="34" t="n">
        <v>46261</v>
      </c>
      <c r="AB1355" s="15" t="n">
        <v>10.08</v>
      </c>
      <c r="AC1355" s="15" t="n">
        <v>19.63</v>
      </c>
      <c r="AD1355" s="34" t="n">
        <v>46261</v>
      </c>
      <c r="AE1355" s="15" t="n">
        <v>32.7</v>
      </c>
      <c r="AF1355" s="15" t="n">
        <v>33.41</v>
      </c>
      <c r="AG1355" s="34" t="n">
        <v>46261</v>
      </c>
      <c r="AH1355" s="15" t="n">
        <v>42.3</v>
      </c>
      <c r="AI1355" s="15" t="n">
        <v>48.22</v>
      </c>
      <c r="AJ1355" s="34" t="n">
        <v>46261</v>
      </c>
      <c r="AK1355" s="15" t="n">
        <v>15.69</v>
      </c>
      <c r="AL1355" s="15" t="n">
        <v>40.44</v>
      </c>
      <c r="AM1355" s="34" t="n">
        <v>46261</v>
      </c>
      <c r="AN1355" s="15" t="n">
        <v>613.5</v>
      </c>
      <c r="AO1355" s="15" t="n">
        <v>373</v>
      </c>
      <c r="AP1355" s="34" t="n">
        <v>46261</v>
      </c>
      <c r="AQ1355" s="15" t="n">
        <v>48.86</v>
      </c>
      <c r="AR1355" s="15" t="n">
        <v>47.61</v>
      </c>
      <c r="AS1355" s="34" t="n">
        <v>46261</v>
      </c>
      <c r="AT1355" s="15" t="n">
        <v>12.58</v>
      </c>
      <c r="AU1355" s="15" t="n">
        <v>18.75</v>
      </c>
      <c r="AV1355" s="34" t="n">
        <v>46261</v>
      </c>
      <c r="AW1355" s="15" t="n">
        <v>29</v>
      </c>
      <c r="AX1355" s="15" t="n">
        <v>34.1</v>
      </c>
      <c r="AY1355" s="34" t="n">
        <v>46261</v>
      </c>
      <c r="AZ1355" s="15" t="n">
        <v>26.06</v>
      </c>
      <c r="BA1355" s="15" t="n">
        <v>36.82</v>
      </c>
      <c r="BB1355" s="34" t="n">
        <v>46261</v>
      </c>
      <c r="BC1355" s="15" t="n">
        <v>66.59999999999999</v>
      </c>
      <c r="BD1355" s="15" t="n">
        <v>77.48</v>
      </c>
      <c r="BE1355" s="34" t="n">
        <v>46261</v>
      </c>
      <c r="BF1355" s="15" t="n">
        <v>127.1</v>
      </c>
      <c r="BG1355" s="15" t="n">
        <v>197.28</v>
      </c>
      <c r="BH1355" s="34" t="n">
        <v>46261</v>
      </c>
      <c r="BI1355" s="15" t="n">
        <v>24.52</v>
      </c>
      <c r="BJ1355" s="15" t="n">
        <v>39.05</v>
      </c>
      <c r="BK1355" s="34" t="n">
        <v>46261</v>
      </c>
      <c r="BL1355" s="15" t="n">
        <v>68.59999999999999</v>
      </c>
      <c r="BM1355" s="15" t="n">
        <v>109.56</v>
      </c>
      <c r="BN1355" s="34" t="n">
        <v>46261</v>
      </c>
      <c r="BO1355" s="15" t="n">
        <v>7.65</v>
      </c>
      <c r="BP1355" s="15" t="n">
        <v>18.98</v>
      </c>
      <c r="BQ1355" s="34" t="n">
        <v>46261</v>
      </c>
      <c r="BR1355" s="15" t="n">
        <v>18.88</v>
      </c>
      <c r="BS1355" s="15" t="n">
        <v>19.06</v>
      </c>
      <c r="BT1355" s="34" t="n">
        <v>46261</v>
      </c>
      <c r="BU1355" s="15" t="n">
        <v>104.8</v>
      </c>
      <c r="BV1355" s="15" t="n">
        <v>198.21</v>
      </c>
      <c r="BW1355" s="34" t="n">
        <v>46261</v>
      </c>
      <c r="BX1355" s="15" t="n">
        <v>40.62</v>
      </c>
      <c r="BY1355" s="15" t="n">
        <v>50.52</v>
      </c>
      <c r="BZ1355" s="34" t="n">
        <v>46261</v>
      </c>
      <c r="CA1355" s="15" t="n">
        <v>12.38</v>
      </c>
      <c r="CB1355" s="15" t="n">
        <v>19.2</v>
      </c>
      <c r="CC1355" s="34" t="n">
        <v>46261</v>
      </c>
      <c r="CD1355" s="15" t="n">
        <v>26.04</v>
      </c>
      <c r="CE1355" s="15" t="n">
        <v>40.66</v>
      </c>
      <c r="CF1355" s="34" t="n">
        <v>46261</v>
      </c>
      <c r="CG1355" s="15" t="n">
        <v>167.2</v>
      </c>
      <c r="CH1355" s="15" t="n">
        <v>250.46</v>
      </c>
      <c r="CI1355" s="34" t="n">
        <v>46261</v>
      </c>
      <c r="CJ1355" s="15" t="n">
        <v>6.9</v>
      </c>
      <c r="CK1355" s="15" t="n">
        <v>13.52</v>
      </c>
      <c r="CL1355" s="34" t="n">
        <v>46261</v>
      </c>
      <c r="CM1355" s="15" t="n">
        <v>75.59999999999999</v>
      </c>
      <c r="CN1355" s="15" t="n">
        <v>84.54000000000001</v>
      </c>
      <c r="CO1355" s="34" t="n">
        <v>46261</v>
      </c>
      <c r="CP1355" s="15" t="n">
        <v>516</v>
      </c>
      <c r="CQ1355" s="15" t="n">
        <v>411.2</v>
      </c>
      <c r="CR1355" s="34" t="n">
        <v>46261</v>
      </c>
      <c r="CS1355" s="15" t="n">
        <v>23.16</v>
      </c>
      <c r="CT1355" s="15" t="n">
        <v>38.1</v>
      </c>
      <c r="CU1355" s="34" t="n">
        <v>46261</v>
      </c>
      <c r="CV1355" s="15" t="n">
        <v>112.4</v>
      </c>
      <c r="CW1355" s="15" t="n">
        <v>120.38</v>
      </c>
      <c r="CX1355" s="34" t="n">
        <v>46261</v>
      </c>
      <c r="CY1355" s="15" t="n">
        <v>36.32</v>
      </c>
      <c r="CZ1355" s="15" t="n">
        <v>64.88</v>
      </c>
      <c r="DA1355" s="34" t="n">
        <v>46261</v>
      </c>
      <c r="DB1355" s="15" t="n">
        <v>106.6</v>
      </c>
      <c r="DC1355" s="15" t="n">
        <v>282.4</v>
      </c>
      <c r="DD1355" s="34" t="n">
        <v>46261</v>
      </c>
      <c r="DE1355" s="15" t="n">
        <v>34.1</v>
      </c>
      <c r="DF1355" s="15" t="n">
        <v>40.8</v>
      </c>
      <c r="DG1355" s="34" t="n">
        <v>46261</v>
      </c>
      <c r="DH1355" s="15" t="n">
        <v>301.2</v>
      </c>
      <c r="DI1355" s="15" t="n">
        <v>221.22</v>
      </c>
      <c r="DJ1355" s="34" t="n">
        <v>46261</v>
      </c>
      <c r="DK1355" s="15" t="n">
        <v>30.22</v>
      </c>
      <c r="DL1355" s="15" t="n">
        <v>33.77</v>
      </c>
      <c r="DM1355" s="34" t="n">
        <v>46261</v>
      </c>
      <c r="DN1355" s="15" t="n">
        <v>10.13</v>
      </c>
      <c r="DO1355" s="15" t="n">
        <v>17.23</v>
      </c>
      <c r="DP1355" s="34" t="n">
        <v>46261</v>
      </c>
      <c r="DQ1355" s="15" t="n">
        <v>17.4</v>
      </c>
      <c r="DR1355" s="15" t="n">
        <v>31.81</v>
      </c>
      <c r="DS1355" s="34" t="n">
        <v>46261</v>
      </c>
      <c r="DT1355" s="15" t="n">
        <v>41.1</v>
      </c>
      <c r="DU1355" s="15" t="n">
        <v>71.55</v>
      </c>
      <c r="DV1355" s="34" t="n">
        <v>46261</v>
      </c>
      <c r="DW1355" s="15" t="n">
        <v>19.61</v>
      </c>
      <c r="DX1355" s="15" t="n">
        <v>41.26</v>
      </c>
      <c r="DY1355" s="34" t="n">
        <v>46261</v>
      </c>
      <c r="DZ1355" s="15" t="n">
        <v>130</v>
      </c>
      <c r="EA1355" s="15" t="n">
        <v>157.95</v>
      </c>
      <c r="EB1355" s="34" t="n">
        <v>46261</v>
      </c>
      <c r="EC1355" s="15" t="n">
        <v>9.24</v>
      </c>
      <c r="ED1355" s="15" t="n">
        <v>20.47</v>
      </c>
      <c r="EE1355" s="34" t="n">
        <v>46261</v>
      </c>
      <c r="EF1355" s="15" t="n">
        <v>253</v>
      </c>
      <c r="EG1355" s="15" t="n">
        <v>263.05</v>
      </c>
      <c r="EH1355" s="34" t="n">
        <v>46261</v>
      </c>
      <c r="EI1355" s="15" t="n">
        <v>78.25</v>
      </c>
      <c r="EJ1355" s="15" t="n">
        <v>78.48999999999999</v>
      </c>
      <c r="EK1355" s="34" t="n">
        <v>46261</v>
      </c>
      <c r="EL1355" s="15" t="n">
        <v>21.84</v>
      </c>
      <c r="EM1355" s="15" t="n">
        <v>29.73</v>
      </c>
      <c r="EN1355" s="34" t="n">
        <v>46261</v>
      </c>
      <c r="EO1355" s="15" t="n">
        <v>34.02</v>
      </c>
      <c r="EP1355" s="15" t="n">
        <v>50.83</v>
      </c>
      <c r="EQ1355" s="34" t="n">
        <v>46261</v>
      </c>
      <c r="ER1355" s="15" t="n">
        <v>30.88</v>
      </c>
      <c r="ES1355" s="15" t="n">
        <v>35.41</v>
      </c>
      <c r="ET1355" s="34" t="n">
        <v>46261</v>
      </c>
      <c r="EU1355" s="15" t="n">
        <v>8.125</v>
      </c>
      <c r="EV1355" s="15" t="n">
        <v>15.53</v>
      </c>
      <c r="EW1355" s="34" t="n">
        <v>46261</v>
      </c>
      <c r="EX1355" s="15" t="n">
        <v>99.34999999999999</v>
      </c>
      <c r="EY1355" s="15" t="n">
        <v>116.9</v>
      </c>
      <c r="EZ1355" s="34" t="n">
        <v>46261</v>
      </c>
      <c r="FA1355" s="15" t="n">
        <v>6.38</v>
      </c>
      <c r="FB1355" s="15" t="n">
        <v>12.5</v>
      </c>
      <c r="FC1355" s="34" t="n">
        <v>46261</v>
      </c>
      <c r="FD1355" s="15" t="n">
        <v>373</v>
      </c>
      <c r="FE1355" s="15" t="n">
        <v>438.6</v>
      </c>
      <c r="FF1355" s="34" t="n">
        <v>46261</v>
      </c>
      <c r="FG1355" s="15" t="n">
        <v>126.7</v>
      </c>
      <c r="FH1355" s="15" t="n">
        <v>126.2</v>
      </c>
      <c r="FI1355" s="34" t="n">
        <v>46261</v>
      </c>
      <c r="FJ1355" s="15" t="n">
        <v>24.18</v>
      </c>
      <c r="FK1355" s="15" t="n">
        <v>43.53</v>
      </c>
      <c r="FL1355" s="34" t="n">
        <v>46261</v>
      </c>
      <c r="FM1355" s="15" t="n">
        <v>64.05</v>
      </c>
      <c r="FN1355" s="15" t="n">
        <v>57.18</v>
      </c>
      <c r="FO1355" s="34" t="n">
        <v>46261</v>
      </c>
      <c r="FP1355" s="15" t="n">
        <v>111.4</v>
      </c>
      <c r="FQ1355" s="15" t="n">
        <v>112.48</v>
      </c>
      <c r="FR1355" s="34" t="n">
        <v>46261</v>
      </c>
      <c r="FS1355" s="15" t="n">
        <v>355.6</v>
      </c>
      <c r="FT1355" s="15" t="n">
        <v>416.97</v>
      </c>
      <c r="FU1355" s="34" t="n">
        <v>46261</v>
      </c>
      <c r="FV1355" s="15" t="n">
        <v>3.165</v>
      </c>
      <c r="FW1355" s="15" t="n">
        <v>6.48</v>
      </c>
      <c r="FX1355" s="34" t="n">
        <v>46261</v>
      </c>
      <c r="FY1355" s="15" t="n">
        <v>31.56</v>
      </c>
      <c r="FZ1355" s="15" t="n">
        <v>41.03</v>
      </c>
      <c r="GA1355" s="34" t="n">
        <v>46261</v>
      </c>
      <c r="GB1355" s="15" t="n">
        <v>1046</v>
      </c>
      <c r="GC1355" s="15" t="n">
        <v>866.12</v>
      </c>
      <c r="GD1355" s="34" t="n">
        <v>46261</v>
      </c>
      <c r="GE1355" s="15" t="n">
        <v>101.1</v>
      </c>
      <c r="GF1355" s="15" t="n">
        <v>140.48</v>
      </c>
      <c r="GG1355" s="34" t="n">
        <v>46261</v>
      </c>
    </row>
    <row r="1356">
      <c r="A1356" s="34" t="n">
        <v>46262</v>
      </c>
      <c r="B1356" s="266" t="n">
        <v>1.165799975395203</v>
      </c>
      <c r="C1356" s="34" t="n">
        <v>46262</v>
      </c>
      <c r="D1356" s="15" t="n">
        <v>25.3</v>
      </c>
      <c r="E1356" s="15" t="n">
        <v>47.54</v>
      </c>
      <c r="F1356" s="34" t="n">
        <v>46262</v>
      </c>
      <c r="G1356" s="15" t="n">
        <v>128</v>
      </c>
      <c r="H1356" s="15" t="n">
        <v>164.94</v>
      </c>
      <c r="I1356" s="34" t="n">
        <v>46262</v>
      </c>
      <c r="J1356" s="15" t="n">
        <v>17.34</v>
      </c>
      <c r="K1356" s="15" t="n">
        <v>27.03</v>
      </c>
      <c r="L1356" s="34" t="n">
        <v>46262</v>
      </c>
      <c r="M1356" s="15" t="n">
        <v>38.2</v>
      </c>
      <c r="N1356" s="15" t="n">
        <v>50.1</v>
      </c>
      <c r="O1356" s="34" t="n">
        <v>46262</v>
      </c>
      <c r="P1356" s="15" t="n">
        <v>49.48</v>
      </c>
      <c r="Q1356" s="15" t="n">
        <v>53.35</v>
      </c>
      <c r="R1356" s="34" t="n">
        <v>46262</v>
      </c>
      <c r="S1356" s="15" t="n">
        <v>61.25</v>
      </c>
      <c r="T1356" s="15" t="n">
        <v>116.91</v>
      </c>
      <c r="U1356" s="34" t="n">
        <v>46262</v>
      </c>
      <c r="V1356" s="15" t="n">
        <v>12.5</v>
      </c>
      <c r="W1356" s="15" t="n">
        <v>17.08</v>
      </c>
      <c r="X1356" s="34" t="n">
        <v>46262</v>
      </c>
      <c r="Y1356" s="15" t="n">
        <v>98.75</v>
      </c>
      <c r="Z1356" s="15" t="n">
        <v>86.23</v>
      </c>
      <c r="AA1356" s="34" t="n">
        <v>46262</v>
      </c>
      <c r="AB1356" s="15" t="n">
        <v>10.15</v>
      </c>
      <c r="AC1356" s="15" t="n">
        <v>19.59</v>
      </c>
      <c r="AD1356" s="34" t="n">
        <v>46262</v>
      </c>
      <c r="AE1356" s="15" t="n">
        <v>32.82</v>
      </c>
      <c r="AF1356" s="15" t="n">
        <v>33.67</v>
      </c>
      <c r="AG1356" s="34" t="n">
        <v>46262</v>
      </c>
      <c r="AH1356" s="15" t="n">
        <v>43.8</v>
      </c>
      <c r="AI1356" s="15" t="n">
        <v>49.09</v>
      </c>
      <c r="AJ1356" s="34" t="n">
        <v>46262</v>
      </c>
      <c r="AK1356" s="15" t="n">
        <v>15.85</v>
      </c>
      <c r="AL1356" s="15" t="n">
        <v>40.57</v>
      </c>
      <c r="AM1356" s="34" t="n">
        <v>46262</v>
      </c>
      <c r="AN1356" s="15" t="n">
        <v>616.5</v>
      </c>
      <c r="AO1356" s="15" t="n">
        <v>368.5</v>
      </c>
      <c r="AP1356" s="34" t="n">
        <v>46262</v>
      </c>
      <c r="AQ1356" s="15" t="n">
        <v>47.94</v>
      </c>
      <c r="AR1356" s="15" t="n">
        <v>47.32</v>
      </c>
      <c r="AS1356" s="34" t="n">
        <v>46262</v>
      </c>
      <c r="AT1356" s="15" t="n">
        <v>12.78</v>
      </c>
      <c r="AU1356" s="15" t="n">
        <v>18.76</v>
      </c>
      <c r="AV1356" s="34" t="n">
        <v>46262</v>
      </c>
      <c r="AW1356" s="15" t="n">
        <v>28.68</v>
      </c>
      <c r="AX1356" s="15" t="n">
        <v>34.12</v>
      </c>
      <c r="AY1356" s="34" t="n">
        <v>46262</v>
      </c>
      <c r="AZ1356" s="15" t="n">
        <v>25.64</v>
      </c>
      <c r="BA1356" s="15" t="n">
        <v>36.17</v>
      </c>
      <c r="BB1356" s="34" t="n">
        <v>46262</v>
      </c>
      <c r="BC1356" s="15" t="n">
        <v>67</v>
      </c>
      <c r="BD1356" s="15" t="n">
        <v>77.52</v>
      </c>
      <c r="BE1356" s="34" t="n">
        <v>46262</v>
      </c>
      <c r="BF1356" s="15" t="n">
        <v>117.4</v>
      </c>
      <c r="BG1356" s="15" t="n">
        <v>189.67</v>
      </c>
      <c r="BH1356" s="34" t="n">
        <v>46262</v>
      </c>
      <c r="BI1356" s="15" t="n">
        <v>24.8</v>
      </c>
      <c r="BJ1356" s="15" t="n">
        <v>38.23</v>
      </c>
      <c r="BK1356" s="34" t="n">
        <v>46262</v>
      </c>
      <c r="BL1356" s="15" t="n">
        <v>66.2</v>
      </c>
      <c r="BM1356" s="15" t="n">
        <v>105.86</v>
      </c>
      <c r="BN1356" s="34" t="n">
        <v>46262</v>
      </c>
      <c r="BO1356" s="15" t="n">
        <v>7.535</v>
      </c>
      <c r="BP1356" s="15" t="n">
        <v>18.73</v>
      </c>
      <c r="BQ1356" s="34" t="n">
        <v>46262</v>
      </c>
      <c r="BR1356" s="15" t="n">
        <v>18.59</v>
      </c>
      <c r="BS1356" s="15" t="n">
        <v>19.1</v>
      </c>
      <c r="BT1356" s="34" t="n">
        <v>46262</v>
      </c>
      <c r="BU1356" s="15" t="n">
        <v>102.9</v>
      </c>
      <c r="BV1356" s="15" t="n">
        <v>192.31</v>
      </c>
      <c r="BW1356" s="34" t="n">
        <v>46262</v>
      </c>
      <c r="BX1356" s="15" t="n">
        <v>40.8</v>
      </c>
      <c r="BY1356" s="15" t="n">
        <v>50.59</v>
      </c>
      <c r="BZ1356" s="34" t="n">
        <v>46262</v>
      </c>
      <c r="CA1356" s="15" t="n">
        <v>12.2</v>
      </c>
      <c r="CB1356" s="15" t="n">
        <v>19.01</v>
      </c>
      <c r="CC1356" s="34" t="n">
        <v>46262</v>
      </c>
      <c r="CD1356" s="15" t="n">
        <v>26.38</v>
      </c>
      <c r="CE1356" s="15" t="n">
        <v>40.71</v>
      </c>
      <c r="CF1356" s="34" t="n">
        <v>46262</v>
      </c>
      <c r="CG1356" s="15" t="n">
        <v>162.4</v>
      </c>
      <c r="CH1356" s="15" t="n">
        <v>253.44</v>
      </c>
      <c r="CI1356" s="34" t="n">
        <v>46262</v>
      </c>
      <c r="CJ1356" s="15" t="n">
        <v>6.765</v>
      </c>
      <c r="CK1356" s="15" t="n">
        <v>13.22</v>
      </c>
      <c r="CL1356" s="34" t="n">
        <v>46262</v>
      </c>
      <c r="CM1356" s="15" t="n">
        <v>73.3</v>
      </c>
      <c r="CN1356" s="15" t="n">
        <v>82</v>
      </c>
      <c r="CO1356" s="34" t="n">
        <v>46262</v>
      </c>
      <c r="CP1356" s="15" t="n">
        <v>486</v>
      </c>
      <c r="CQ1356" s="15" t="n">
        <v>396.82</v>
      </c>
      <c r="CR1356" s="34" t="n">
        <v>46262</v>
      </c>
      <c r="CS1356" s="15" t="n">
        <v>22.58</v>
      </c>
      <c r="CT1356" s="15" t="n">
        <v>36.85</v>
      </c>
      <c r="CU1356" s="34" t="n">
        <v>46262</v>
      </c>
      <c r="CV1356" s="15" t="n">
        <v>112</v>
      </c>
      <c r="CW1356" s="15" t="n">
        <v>120.81</v>
      </c>
      <c r="CX1356" s="34" t="n">
        <v>46262</v>
      </c>
      <c r="CY1356" s="15" t="n">
        <v>37</v>
      </c>
      <c r="CZ1356" s="15" t="n">
        <v>64.97</v>
      </c>
      <c r="DA1356" s="34" t="n">
        <v>46262</v>
      </c>
      <c r="DB1356" s="15" t="n">
        <v>102.1</v>
      </c>
      <c r="DC1356" s="15" t="n">
        <v>268.36</v>
      </c>
      <c r="DD1356" s="34" t="n">
        <v>46262</v>
      </c>
      <c r="DE1356" s="15" t="n">
        <v>35.48</v>
      </c>
      <c r="DF1356" s="15" t="n">
        <v>41.68</v>
      </c>
      <c r="DG1356" s="34" t="n">
        <v>46262</v>
      </c>
      <c r="DH1356" s="15" t="n">
        <v>285</v>
      </c>
      <c r="DI1356" s="15" t="n">
        <v>213</v>
      </c>
      <c r="DJ1356" s="34" t="n">
        <v>46262</v>
      </c>
      <c r="DK1356" s="15" t="n">
        <v>30.1</v>
      </c>
      <c r="DL1356" s="15" t="n">
        <v>33.44</v>
      </c>
      <c r="DM1356" s="34" t="n">
        <v>46262</v>
      </c>
      <c r="DN1356" s="15" t="n">
        <v>10.13</v>
      </c>
      <c r="DO1356" s="15" t="n">
        <v>17.16</v>
      </c>
      <c r="DP1356" s="34" t="n">
        <v>46262</v>
      </c>
      <c r="DQ1356" s="15" t="n">
        <v>17.05</v>
      </c>
      <c r="DR1356" s="15" t="n">
        <v>31.49</v>
      </c>
      <c r="DS1356" s="34" t="n">
        <v>46262</v>
      </c>
      <c r="DT1356" s="15" t="n">
        <v>40.76</v>
      </c>
      <c r="DU1356" s="15" t="n">
        <v>70.43000000000001</v>
      </c>
      <c r="DV1356" s="34" t="n">
        <v>46262</v>
      </c>
      <c r="DW1356" s="15" t="n">
        <v>19.17</v>
      </c>
      <c r="DX1356" s="15" t="n">
        <v>40.82</v>
      </c>
      <c r="DY1356" s="34" t="n">
        <v>46262</v>
      </c>
      <c r="DZ1356" s="15" t="n">
        <v>126.7</v>
      </c>
      <c r="EA1356" s="15" t="n">
        <v>155.9</v>
      </c>
      <c r="EB1356" s="34" t="n">
        <v>46262</v>
      </c>
      <c r="EC1356" s="15" t="n">
        <v>9.154999999999999</v>
      </c>
      <c r="ED1356" s="15" t="n">
        <v>20.29</v>
      </c>
      <c r="EE1356" s="34" t="n">
        <v>46262</v>
      </c>
      <c r="EF1356" s="15" t="n">
        <v>220.2</v>
      </c>
      <c r="EG1356" s="15" t="n">
        <v>241.6</v>
      </c>
      <c r="EH1356" s="34" t="n">
        <v>46262</v>
      </c>
      <c r="EI1356" s="15" t="n">
        <v>75.59999999999999</v>
      </c>
      <c r="EJ1356" s="15" t="n">
        <v>78.2</v>
      </c>
      <c r="EK1356" s="34" t="n">
        <v>46262</v>
      </c>
      <c r="EL1356" s="15" t="n">
        <v>21.7</v>
      </c>
      <c r="EM1356" s="15" t="n">
        <v>29.49</v>
      </c>
      <c r="EN1356" s="34" t="n">
        <v>46262</v>
      </c>
      <c r="EO1356" s="15" t="n">
        <v>33.98</v>
      </c>
      <c r="EP1356" s="15" t="n">
        <v>50.9</v>
      </c>
      <c r="EQ1356" s="34" t="n">
        <v>46262</v>
      </c>
      <c r="ER1356" s="15" t="n">
        <v>30.52</v>
      </c>
      <c r="ES1356" s="15" t="n">
        <v>35.76</v>
      </c>
      <c r="ET1356" s="34" t="n">
        <v>46262</v>
      </c>
      <c r="EU1356" s="15" t="n">
        <v>8.01</v>
      </c>
      <c r="EV1356" s="15" t="n">
        <v>15.2</v>
      </c>
      <c r="EW1356" s="34" t="n">
        <v>46262</v>
      </c>
      <c r="EX1356" s="15" t="n">
        <v>96.5</v>
      </c>
      <c r="EY1356" s="15" t="n">
        <v>114.5</v>
      </c>
      <c r="EZ1356" s="34" t="n">
        <v>46262</v>
      </c>
      <c r="FA1356" s="15" t="n">
        <v>6.355</v>
      </c>
      <c r="FB1356" s="15" t="n">
        <v>12.47</v>
      </c>
      <c r="FC1356" s="34" t="n">
        <v>46262</v>
      </c>
      <c r="FD1356" s="15" t="n">
        <v>342</v>
      </c>
      <c r="FE1356" s="15" t="n">
        <v>418.8</v>
      </c>
      <c r="FF1356" s="34" t="n">
        <v>46262</v>
      </c>
      <c r="FG1356" s="15" t="n">
        <v>128.8</v>
      </c>
      <c r="FH1356" s="15" t="n">
        <v>124.1</v>
      </c>
      <c r="FI1356" s="34" t="n">
        <v>46262</v>
      </c>
      <c r="FJ1356" s="15" t="n">
        <v>24.18</v>
      </c>
      <c r="FK1356" s="15" t="n">
        <v>42.64</v>
      </c>
      <c r="FL1356" s="34" t="n">
        <v>46262</v>
      </c>
      <c r="FM1356" s="15" t="n">
        <v>63.55</v>
      </c>
      <c r="FN1356" s="15" t="n">
        <v>56.6</v>
      </c>
      <c r="FO1356" s="34" t="n">
        <v>46262</v>
      </c>
      <c r="FP1356" s="15" t="n">
        <v>114</v>
      </c>
      <c r="FQ1356" s="15" t="n">
        <v>112.24</v>
      </c>
      <c r="FR1356" s="34" t="n">
        <v>46262</v>
      </c>
      <c r="FS1356" s="15" t="n">
        <v>342.4</v>
      </c>
      <c r="FT1356" s="15" t="n">
        <v>406.38</v>
      </c>
      <c r="FU1356" s="34" t="n">
        <v>46262</v>
      </c>
      <c r="FV1356" s="15" t="n">
        <v>3.295</v>
      </c>
      <c r="FW1356" s="15" t="n">
        <v>6.81</v>
      </c>
      <c r="FX1356" s="34" t="n">
        <v>46262</v>
      </c>
      <c r="FY1356" s="15" t="n">
        <v>29.88</v>
      </c>
      <c r="FZ1356" s="15" t="n">
        <v>39.1</v>
      </c>
      <c r="GA1356" s="34" t="n">
        <v>46262</v>
      </c>
      <c r="GB1356" s="15" t="n">
        <v>1040</v>
      </c>
      <c r="GC1356" s="15" t="n">
        <v>858.35</v>
      </c>
      <c r="GD1356" s="34" t="n">
        <v>46262</v>
      </c>
      <c r="GE1356" s="15" t="n">
        <v>98.90000000000001</v>
      </c>
      <c r="GF1356" s="15" t="n">
        <v>135.7</v>
      </c>
      <c r="GG1356" s="34" t="n">
        <v>46262</v>
      </c>
    </row>
    <row r="1357">
      <c r="A1357" s="34" t="n">
        <v>46265</v>
      </c>
      <c r="B1357" s="266" t="n">
        <v>1.165387988090515</v>
      </c>
      <c r="C1357" s="34" t="n">
        <v>46265</v>
      </c>
      <c r="D1357" s="15" t="n">
        <v>24.46</v>
      </c>
      <c r="E1357" s="15" t="n">
        <v>46.47</v>
      </c>
      <c r="F1357" s="34" t="n">
        <v>46265</v>
      </c>
      <c r="G1357" s="15" t="n">
        <v>121.6</v>
      </c>
      <c r="H1357" s="15" t="n">
        <v>161.6</v>
      </c>
      <c r="I1357" s="34" t="n">
        <v>46265</v>
      </c>
      <c r="J1357" s="15" t="n">
        <v>17</v>
      </c>
      <c r="K1357" s="15" t="n">
        <v>26.98</v>
      </c>
      <c r="L1357" s="34" t="n">
        <v>46265</v>
      </c>
      <c r="M1357" s="15" t="n">
        <v>37.86</v>
      </c>
      <c r="N1357" s="15" t="n">
        <v>49.9</v>
      </c>
      <c r="O1357" s="34" t="n">
        <v>46265</v>
      </c>
      <c r="P1357" s="15" t="n">
        <v>48.32</v>
      </c>
      <c r="Q1357" s="15" t="n">
        <v>52.48</v>
      </c>
      <c r="R1357" s="34" t="n">
        <v>46265</v>
      </c>
      <c r="S1357" s="15" t="n">
        <v>56.4</v>
      </c>
      <c r="T1357" s="15" t="n">
        <v>117.04</v>
      </c>
      <c r="U1357" s="34" t="n">
        <v>46265</v>
      </c>
      <c r="V1357" s="15" t="n">
        <v>12.33</v>
      </c>
      <c r="W1357" s="15" t="n">
        <v>17.58</v>
      </c>
      <c r="X1357" s="34" t="n">
        <v>46265</v>
      </c>
      <c r="Y1357" s="15" t="n">
        <v>101.4</v>
      </c>
      <c r="Z1357" s="15" t="n">
        <v>87.73</v>
      </c>
      <c r="AA1357" s="34" t="n">
        <v>46265</v>
      </c>
      <c r="AB1357" s="15" t="n">
        <v>9.99</v>
      </c>
      <c r="AC1357" s="15" t="n">
        <v>19.39</v>
      </c>
      <c r="AD1357" s="34" t="n">
        <v>46265</v>
      </c>
      <c r="AE1357" s="15" t="n">
        <v>30.98</v>
      </c>
      <c r="AF1357" s="15" t="n">
        <v>31.8</v>
      </c>
      <c r="AG1357" s="34" t="n">
        <v>46265</v>
      </c>
      <c r="AH1357" s="15" t="n">
        <v>41.36</v>
      </c>
      <c r="AI1357" s="15" t="n">
        <v>46.81</v>
      </c>
      <c r="AJ1357" s="34" t="n">
        <v>46265</v>
      </c>
      <c r="AK1357" s="15" t="n">
        <v>15.42</v>
      </c>
      <c r="AL1357" s="15" t="n">
        <v>39.75</v>
      </c>
      <c r="AM1357" s="34" t="n">
        <v>46265</v>
      </c>
      <c r="AN1357" s="15" t="n">
        <v>599.5</v>
      </c>
      <c r="AO1357" s="15" t="n">
        <v>363.55</v>
      </c>
      <c r="AP1357" s="34" t="n">
        <v>46265</v>
      </c>
      <c r="AQ1357" s="15" t="n">
        <v>46.06</v>
      </c>
      <c r="AR1357" s="15" t="n">
        <v>46.07</v>
      </c>
      <c r="AS1357" s="34" t="n">
        <v>46265</v>
      </c>
      <c r="AT1357" s="15" t="n">
        <v>12.57</v>
      </c>
      <c r="AU1357" s="15" t="n">
        <v>19.43</v>
      </c>
      <c r="AV1357" s="34" t="n">
        <v>46265</v>
      </c>
      <c r="AW1357" s="15" t="n">
        <v>28.14</v>
      </c>
      <c r="AX1357" s="15" t="n">
        <v>33.63</v>
      </c>
      <c r="AY1357" s="34" t="n">
        <v>46265</v>
      </c>
      <c r="AZ1357" s="15" t="n">
        <v>25.12</v>
      </c>
      <c r="BA1357" s="15" t="n">
        <v>36.3</v>
      </c>
      <c r="BB1357" s="34" t="n">
        <v>46265</v>
      </c>
      <c r="BC1357" s="15" t="n">
        <v>64.8</v>
      </c>
      <c r="BD1357" s="15" t="n">
        <v>74.91</v>
      </c>
      <c r="BE1357" s="34" t="n">
        <v>46265</v>
      </c>
      <c r="BF1357" s="15" t="n">
        <v>123.8</v>
      </c>
      <c r="BG1357" s="15" t="n">
        <v>197.5</v>
      </c>
      <c r="BH1357" s="34" t="n">
        <v>46265</v>
      </c>
      <c r="BI1357" s="15" t="n">
        <v>25</v>
      </c>
      <c r="BJ1357" s="15" t="n">
        <v>38.93</v>
      </c>
      <c r="BK1357" s="34" t="n">
        <v>46265</v>
      </c>
      <c r="BL1357" s="15" t="n">
        <v>65.75</v>
      </c>
      <c r="BM1357" s="15" t="n">
        <v>107.41</v>
      </c>
      <c r="BN1357" s="34" t="n">
        <v>46265</v>
      </c>
      <c r="BO1357" s="15" t="n">
        <v>7.8</v>
      </c>
      <c r="BP1357" s="15" t="n">
        <v>19.88</v>
      </c>
      <c r="BQ1357" s="34" t="n">
        <v>46265</v>
      </c>
      <c r="BR1357" s="15" t="n">
        <v>19.61</v>
      </c>
      <c r="BS1357" s="15" t="n">
        <v>20.01</v>
      </c>
      <c r="BT1357" s="34" t="n">
        <v>46265</v>
      </c>
      <c r="BU1357" s="15" t="n">
        <v>100.5</v>
      </c>
      <c r="BV1357" s="15" t="n">
        <v>187.6</v>
      </c>
      <c r="BW1357" s="34" t="n">
        <v>46265</v>
      </c>
      <c r="BX1357" s="15" t="n">
        <v>39.48</v>
      </c>
      <c r="BY1357" s="15" t="n">
        <v>49.6</v>
      </c>
      <c r="BZ1357" s="34" t="n">
        <v>46265</v>
      </c>
      <c r="CA1357" s="15" t="n">
        <v>12.1</v>
      </c>
      <c r="CB1357" s="15" t="n">
        <v>19.16</v>
      </c>
      <c r="CC1357" s="34" t="n">
        <v>46265</v>
      </c>
      <c r="CD1357" s="15" t="n">
        <v>25.32</v>
      </c>
      <c r="CE1357" s="15" t="n">
        <v>39.98</v>
      </c>
      <c r="CF1357" s="34" t="n">
        <v>46265</v>
      </c>
      <c r="CG1357" s="15" t="n">
        <v>161</v>
      </c>
      <c r="CH1357" s="15" t="n">
        <v>253.56</v>
      </c>
      <c r="CI1357" s="34" t="n">
        <v>46265</v>
      </c>
      <c r="CJ1357" s="15" t="n">
        <v>6.605</v>
      </c>
      <c r="CK1357" s="15" t="n">
        <v>13.27</v>
      </c>
      <c r="CL1357" s="34" t="n">
        <v>46265</v>
      </c>
      <c r="CM1357" s="15" t="n">
        <v>72.55</v>
      </c>
      <c r="CN1357" s="15" t="n">
        <v>83.27</v>
      </c>
      <c r="CO1357" s="34" t="n">
        <v>46265</v>
      </c>
      <c r="CP1357" s="15" t="n">
        <v>486.2</v>
      </c>
      <c r="CQ1357" s="15" t="n">
        <v>406</v>
      </c>
      <c r="CR1357" s="34" t="n">
        <v>46265</v>
      </c>
      <c r="CS1357" s="15" t="n">
        <v>23.1</v>
      </c>
      <c r="CT1357" s="15" t="n">
        <v>37.35</v>
      </c>
      <c r="CU1357" s="34" t="n">
        <v>46265</v>
      </c>
      <c r="CV1357" s="15" t="n">
        <v>109</v>
      </c>
      <c r="CW1357" s="15" t="n">
        <v>119.98</v>
      </c>
      <c r="CX1357" s="34" t="n">
        <v>46265</v>
      </c>
      <c r="CY1357" s="15" t="n">
        <v>38.4</v>
      </c>
      <c r="CZ1357" s="15" t="n">
        <v>66.63</v>
      </c>
      <c r="DA1357" s="34" t="n">
        <v>46265</v>
      </c>
      <c r="DB1357" s="15" t="n">
        <v>114</v>
      </c>
      <c r="DC1357" s="15" t="n">
        <v>280</v>
      </c>
      <c r="DD1357" s="34" t="n">
        <v>46265</v>
      </c>
      <c r="DE1357" s="15" t="n">
        <v>35.54</v>
      </c>
      <c r="DF1357" s="15" t="n">
        <v>42.31</v>
      </c>
      <c r="DG1357" s="34" t="n">
        <v>46265</v>
      </c>
      <c r="DH1357" s="15" t="n">
        <v>269</v>
      </c>
      <c r="DI1357" s="15" t="n">
        <v>204.95</v>
      </c>
      <c r="DJ1357" s="34" t="n">
        <v>46265</v>
      </c>
      <c r="DK1357" s="15" t="n">
        <v>31.6</v>
      </c>
      <c r="DL1357" s="15" t="n">
        <v>33.62</v>
      </c>
      <c r="DM1357" s="34" t="n">
        <v>46265</v>
      </c>
      <c r="DN1357" s="15" t="n">
        <v>10.07</v>
      </c>
      <c r="DO1357" s="15" t="n">
        <v>17.12</v>
      </c>
      <c r="DP1357" s="34" t="n">
        <v>46265</v>
      </c>
      <c r="DQ1357" s="15" t="n">
        <v>17.15</v>
      </c>
      <c r="DR1357" s="15" t="n">
        <v>31.66</v>
      </c>
      <c r="DS1357" s="34" t="n">
        <v>46265</v>
      </c>
      <c r="DT1357" s="15" t="n">
        <v>41.3</v>
      </c>
      <c r="DU1357" s="15" t="n">
        <v>75.09999999999999</v>
      </c>
      <c r="DV1357" s="34" t="n">
        <v>46265</v>
      </c>
      <c r="DW1357" s="15" t="n">
        <v>22.98</v>
      </c>
      <c r="DX1357" s="15" t="n">
        <v>44.9</v>
      </c>
      <c r="DY1357" s="34" t="n">
        <v>46265</v>
      </c>
      <c r="DZ1357" s="15" t="n">
        <v>130.4</v>
      </c>
      <c r="EA1357" s="15" t="n">
        <v>162.73</v>
      </c>
      <c r="EB1357" s="34" t="n">
        <v>46265</v>
      </c>
      <c r="EC1357" s="15" t="n">
        <v>9.24</v>
      </c>
      <c r="ED1357" s="15" t="n">
        <v>20.85</v>
      </c>
      <c r="EE1357" s="34" t="n">
        <v>46265</v>
      </c>
      <c r="EF1357" s="15" t="n">
        <v>220.2</v>
      </c>
      <c r="EG1357" s="15" t="n">
        <v>243.14</v>
      </c>
      <c r="EH1357" s="34" t="n">
        <v>46265</v>
      </c>
      <c r="EI1357" s="15" t="n">
        <v>78.59999999999999</v>
      </c>
      <c r="EJ1357" s="15" t="n">
        <v>81.59999999999999</v>
      </c>
      <c r="EK1357" s="34" t="n">
        <v>46265</v>
      </c>
      <c r="EL1357" s="15" t="n">
        <v>20.7</v>
      </c>
      <c r="EM1357" s="15" t="n">
        <v>28.33</v>
      </c>
      <c r="EN1357" s="34" t="n">
        <v>46265</v>
      </c>
      <c r="EO1357" s="15" t="n">
        <v>32.84</v>
      </c>
      <c r="EP1357" s="15" t="n">
        <v>50.2</v>
      </c>
      <c r="EQ1357" s="34" t="n">
        <v>46265</v>
      </c>
      <c r="ER1357" s="15" t="n">
        <v>29.78</v>
      </c>
      <c r="ES1357" s="15" t="n">
        <v>35.25</v>
      </c>
      <c r="ET1357" s="34" t="n">
        <v>46265</v>
      </c>
      <c r="EU1357" s="15" t="n">
        <v>8</v>
      </c>
      <c r="EV1357" s="15" t="n">
        <v>15.04</v>
      </c>
      <c r="EW1357" s="34" t="n">
        <v>46265</v>
      </c>
      <c r="EX1357" s="15" t="n">
        <v>94.3</v>
      </c>
      <c r="EY1357" s="15" t="n">
        <v>114</v>
      </c>
      <c r="EZ1357" s="34" t="n">
        <v>46265</v>
      </c>
      <c r="FA1357" s="15" t="n">
        <v>6.54</v>
      </c>
      <c r="FB1357" s="15" t="n">
        <v>12.79</v>
      </c>
      <c r="FC1357" s="34" t="n">
        <v>46265</v>
      </c>
      <c r="FD1357" s="15" t="n">
        <v>342</v>
      </c>
      <c r="FE1357" s="15" t="n">
        <v>418.8</v>
      </c>
      <c r="FF1357" s="34" t="n">
        <v>46265</v>
      </c>
      <c r="FG1357" s="15" t="n">
        <v>120.1</v>
      </c>
      <c r="FH1357" s="15" t="n">
        <v>125.77</v>
      </c>
      <c r="FI1357" s="34" t="n">
        <v>46265</v>
      </c>
      <c r="FJ1357" s="15" t="n">
        <v>23.96</v>
      </c>
      <c r="FK1357" s="15" t="n">
        <v>43.81</v>
      </c>
      <c r="FL1357" s="34" t="n">
        <v>46265</v>
      </c>
      <c r="FM1357" s="15" t="n">
        <v>63</v>
      </c>
      <c r="FN1357" s="15" t="n">
        <v>57.62</v>
      </c>
      <c r="FO1357" s="34" t="n">
        <v>46265</v>
      </c>
      <c r="FP1357" s="15" t="n">
        <v>114.7</v>
      </c>
      <c r="FQ1357" s="15" t="n">
        <v>115</v>
      </c>
      <c r="FR1357" s="34" t="n">
        <v>46265</v>
      </c>
      <c r="FS1357" s="15" t="n">
        <v>348.4</v>
      </c>
      <c r="FT1357" s="15" t="n">
        <v>419.86</v>
      </c>
      <c r="FU1357" s="34" t="n">
        <v>46265</v>
      </c>
      <c r="FV1357" s="15" t="n">
        <v>3.245</v>
      </c>
      <c r="FW1357" s="15" t="n">
        <v>6.66</v>
      </c>
      <c r="FX1357" s="34" t="n">
        <v>46265</v>
      </c>
      <c r="FY1357" s="15" t="n">
        <v>29.9</v>
      </c>
      <c r="FZ1357" s="15" t="n">
        <v>38.77</v>
      </c>
      <c r="GA1357" s="34" t="n">
        <v>46265</v>
      </c>
      <c r="GB1357" s="15" t="n">
        <v>1029</v>
      </c>
      <c r="GC1357" s="15" t="n">
        <v>851.9</v>
      </c>
      <c r="GD1357" s="34" t="n">
        <v>46265</v>
      </c>
      <c r="GE1357" s="15" t="n">
        <v>101.5</v>
      </c>
      <c r="GF1357" s="15" t="n">
        <v>139.95</v>
      </c>
      <c r="GG1357" s="34" t="n">
        <v>46265</v>
      </c>
    </row>
    <row r="1358">
      <c r="A1358" s="34" t="n">
        <v>46266</v>
      </c>
      <c r="B1358" s="266" t="n">
        <v>1.165223956108093</v>
      </c>
      <c r="C1358" s="34" t="n">
        <v>46266</v>
      </c>
      <c r="D1358" s="15" t="n">
        <v>23.42</v>
      </c>
      <c r="E1358" s="15" t="n">
        <v>45.18</v>
      </c>
      <c r="F1358" s="34" t="n">
        <v>46266</v>
      </c>
      <c r="G1358" s="15" t="n">
        <v>123</v>
      </c>
      <c r="H1358" s="15" t="n">
        <v>160.88</v>
      </c>
      <c r="I1358" s="34" t="n">
        <v>46266</v>
      </c>
      <c r="J1358" s="15" t="n">
        <v>16.83</v>
      </c>
      <c r="K1358" s="15" t="n">
        <v>26.49</v>
      </c>
      <c r="L1358" s="34" t="n">
        <v>46266</v>
      </c>
      <c r="M1358" s="15" t="n">
        <v>37.58</v>
      </c>
      <c r="N1358" s="15" t="n">
        <v>49.22</v>
      </c>
      <c r="O1358" s="34" t="n">
        <v>46266</v>
      </c>
      <c r="P1358" s="15" t="n">
        <v>49.34</v>
      </c>
      <c r="Q1358" s="15" t="n">
        <v>53.51</v>
      </c>
      <c r="R1358" s="34" t="n">
        <v>46266</v>
      </c>
      <c r="S1358" s="15" t="n">
        <v>57.3</v>
      </c>
      <c r="T1358" s="15" t="n">
        <v>121.32</v>
      </c>
      <c r="U1358" s="34" t="n">
        <v>46266</v>
      </c>
      <c r="V1358" s="15" t="n">
        <v>12.5</v>
      </c>
      <c r="W1358" s="15" t="n">
        <v>17.71</v>
      </c>
      <c r="X1358" s="34" t="n">
        <v>46266</v>
      </c>
      <c r="Y1358" s="15" t="n">
        <v>100.4</v>
      </c>
      <c r="Z1358" s="15" t="n">
        <v>87.48999999999999</v>
      </c>
      <c r="AA1358" s="34" t="n">
        <v>46266</v>
      </c>
      <c r="AB1358" s="15" t="n">
        <v>9.789999999999999</v>
      </c>
      <c r="AC1358" s="15" t="n">
        <v>19.03</v>
      </c>
      <c r="AD1358" s="34" t="n">
        <v>46266</v>
      </c>
      <c r="AE1358" s="15" t="n">
        <v>30.9</v>
      </c>
      <c r="AF1358" s="15" t="n">
        <v>32.13</v>
      </c>
      <c r="AG1358" s="34" t="n">
        <v>46266</v>
      </c>
      <c r="AH1358" s="15" t="n">
        <v>39.7</v>
      </c>
      <c r="AI1358" s="15" t="n">
        <v>46</v>
      </c>
      <c r="AJ1358" s="34" t="n">
        <v>46266</v>
      </c>
      <c r="AK1358" s="15" t="n">
        <v>15.83</v>
      </c>
      <c r="AL1358" s="15" t="n">
        <v>39.24</v>
      </c>
      <c r="AM1358" s="34" t="n">
        <v>46266</v>
      </c>
      <c r="AN1358" s="15" t="n">
        <v>592</v>
      </c>
      <c r="AO1358" s="15" t="n">
        <v>358.1</v>
      </c>
      <c r="AP1358" s="34" t="n">
        <v>46266</v>
      </c>
      <c r="AQ1358" s="15" t="n">
        <v>46.32</v>
      </c>
      <c r="AR1358" s="15" t="n">
        <v>46.23</v>
      </c>
      <c r="AS1358" s="34" t="n">
        <v>46266</v>
      </c>
      <c r="AT1358" s="15" t="n">
        <v>12.58</v>
      </c>
      <c r="AU1358" s="15" t="n">
        <v>20.59</v>
      </c>
      <c r="AV1358" s="34" t="n">
        <v>46266</v>
      </c>
      <c r="AW1358" s="15" t="n">
        <v>28.08</v>
      </c>
      <c r="AX1358" s="15" t="n">
        <v>34</v>
      </c>
      <c r="AY1358" s="34" t="n">
        <v>46266</v>
      </c>
      <c r="AZ1358" s="15" t="n">
        <v>25.16</v>
      </c>
      <c r="BA1358" s="15" t="n">
        <v>35.96</v>
      </c>
      <c r="BB1358" s="34" t="n">
        <v>46266</v>
      </c>
      <c r="BC1358" s="15" t="n">
        <v>63.8</v>
      </c>
      <c r="BD1358" s="15" t="n">
        <v>75.78</v>
      </c>
      <c r="BE1358" s="34" t="n">
        <v>46266</v>
      </c>
      <c r="BF1358" s="15" t="n">
        <v>121.5</v>
      </c>
      <c r="BG1358" s="15" t="n">
        <v>193</v>
      </c>
      <c r="BH1358" s="34" t="n">
        <v>46266</v>
      </c>
      <c r="BI1358" s="15" t="n">
        <v>24.36</v>
      </c>
      <c r="BJ1358" s="15" t="n">
        <v>37.3</v>
      </c>
      <c r="BK1358" s="34" t="n">
        <v>46266</v>
      </c>
      <c r="BL1358" s="15" t="n">
        <v>65.90000000000001</v>
      </c>
      <c r="BM1358" s="15" t="n">
        <v>104.46</v>
      </c>
      <c r="BN1358" s="34" t="n">
        <v>46266</v>
      </c>
      <c r="BO1358" s="15" t="n">
        <v>7.69</v>
      </c>
      <c r="BP1358" s="15" t="n">
        <v>19.89</v>
      </c>
      <c r="BQ1358" s="34" t="n">
        <v>46266</v>
      </c>
      <c r="BR1358" s="15" t="n">
        <v>19.69</v>
      </c>
      <c r="BS1358" s="15" t="n">
        <v>20.22</v>
      </c>
      <c r="BT1358" s="34" t="n">
        <v>46266</v>
      </c>
      <c r="BU1358" s="15" t="n">
        <v>98.84999999999999</v>
      </c>
      <c r="BV1358" s="15" t="n">
        <v>184.52</v>
      </c>
      <c r="BW1358" s="34" t="n">
        <v>46266</v>
      </c>
      <c r="BX1358" s="15" t="n">
        <v>39.98</v>
      </c>
      <c r="BY1358" s="15" t="n">
        <v>50.55</v>
      </c>
      <c r="BZ1358" s="34" t="n">
        <v>46266</v>
      </c>
      <c r="CA1358" s="15" t="n">
        <v>12.05</v>
      </c>
      <c r="CB1358" s="15" t="n">
        <v>19.43</v>
      </c>
      <c r="CC1358" s="34" t="n">
        <v>46266</v>
      </c>
      <c r="CD1358" s="15" t="n">
        <v>26.36</v>
      </c>
      <c r="CE1358" s="15" t="n">
        <v>40.1</v>
      </c>
      <c r="CF1358" s="34" t="n">
        <v>46266</v>
      </c>
      <c r="CG1358" s="15" t="n">
        <v>155.2</v>
      </c>
      <c r="CH1358" s="15" t="n">
        <v>247.79</v>
      </c>
      <c r="CI1358" s="34" t="n">
        <v>46266</v>
      </c>
      <c r="CJ1358" s="15" t="n">
        <v>6.8</v>
      </c>
      <c r="CK1358" s="15" t="n">
        <v>13.87</v>
      </c>
      <c r="CL1358" s="34" t="n">
        <v>46266</v>
      </c>
      <c r="CM1358" s="15" t="n">
        <v>72.55</v>
      </c>
      <c r="CN1358" s="15" t="n">
        <v>82.84999999999999</v>
      </c>
      <c r="CO1358" s="34" t="n">
        <v>46266</v>
      </c>
      <c r="CP1358" s="15" t="n">
        <v>475.4</v>
      </c>
      <c r="CQ1358" s="15" t="n">
        <v>393</v>
      </c>
      <c r="CR1358" s="34" t="n">
        <v>46266</v>
      </c>
      <c r="CS1358" s="15" t="n">
        <v>22.26</v>
      </c>
      <c r="CT1358" s="15" t="n">
        <v>37.39</v>
      </c>
      <c r="CU1358" s="34" t="n">
        <v>46266</v>
      </c>
      <c r="CV1358" s="15" t="n">
        <v>110.4</v>
      </c>
      <c r="CW1358" s="15" t="n">
        <v>122.73</v>
      </c>
      <c r="CX1358" s="34" t="n">
        <v>46266</v>
      </c>
      <c r="CY1358" s="15" t="n">
        <v>38.14</v>
      </c>
      <c r="CZ1358" s="15" t="n">
        <v>63.93</v>
      </c>
      <c r="DA1358" s="34" t="n">
        <v>46266</v>
      </c>
      <c r="DB1358" s="15" t="n">
        <v>105.1</v>
      </c>
      <c r="DC1358" s="15" t="n">
        <v>268</v>
      </c>
      <c r="DD1358" s="34" t="n">
        <v>46266</v>
      </c>
      <c r="DE1358" s="15" t="n">
        <v>36.18</v>
      </c>
      <c r="DF1358" s="15" t="n">
        <v>42.4</v>
      </c>
      <c r="DG1358" s="34" t="n">
        <v>46266</v>
      </c>
      <c r="DH1358" s="15" t="n">
        <v>263.6</v>
      </c>
      <c r="DI1358" s="15" t="n">
        <v>198.35</v>
      </c>
      <c r="DJ1358" s="34" t="n">
        <v>46266</v>
      </c>
      <c r="DK1358" s="15" t="n">
        <v>30.06</v>
      </c>
      <c r="DL1358" s="15" t="n">
        <v>32.81</v>
      </c>
      <c r="DM1358" s="34" t="n">
        <v>46266</v>
      </c>
      <c r="DN1358" s="15" t="n">
        <v>9.9</v>
      </c>
      <c r="DO1358" s="15" t="n">
        <v>16.9</v>
      </c>
      <c r="DP1358" s="34" t="n">
        <v>46266</v>
      </c>
      <c r="DQ1358" s="15" t="n">
        <v>16.8</v>
      </c>
      <c r="DR1358" s="15" t="n">
        <v>31.01</v>
      </c>
      <c r="DS1358" s="34" t="n">
        <v>46266</v>
      </c>
      <c r="DT1358" s="15" t="n">
        <v>39.8</v>
      </c>
      <c r="DU1358" s="15" t="n">
        <v>73.63</v>
      </c>
      <c r="DV1358" s="34" t="n">
        <v>46266</v>
      </c>
      <c r="DW1358" s="15" t="n">
        <v>21.6</v>
      </c>
      <c r="DX1358" s="15" t="n">
        <v>44.75</v>
      </c>
      <c r="DY1358" s="34" t="n">
        <v>46266</v>
      </c>
      <c r="DZ1358" s="15" t="n">
        <v>121.9</v>
      </c>
      <c r="EA1358" s="15" t="n">
        <v>156.51</v>
      </c>
      <c r="EB1358" s="34" t="n">
        <v>46266</v>
      </c>
      <c r="EC1358" s="15" t="n">
        <v>9.109999999999999</v>
      </c>
      <c r="ED1358" s="15" t="n">
        <v>21.11</v>
      </c>
      <c r="EE1358" s="34" t="n">
        <v>46266</v>
      </c>
      <c r="EF1358" s="15" t="n">
        <v>215</v>
      </c>
      <c r="EG1358" s="15" t="n">
        <v>232.98</v>
      </c>
      <c r="EH1358" s="34" t="n">
        <v>46266</v>
      </c>
      <c r="EI1358" s="15" t="n">
        <v>76.55</v>
      </c>
      <c r="EJ1358" s="15" t="n">
        <v>79.22</v>
      </c>
      <c r="EK1358" s="34" t="n">
        <v>46266</v>
      </c>
      <c r="EL1358" s="15" t="n">
        <v>20.52</v>
      </c>
      <c r="EM1358" s="15" t="n">
        <v>27.87</v>
      </c>
      <c r="EN1358" s="34" t="n">
        <v>46266</v>
      </c>
      <c r="EO1358" s="15" t="n">
        <v>32.78</v>
      </c>
      <c r="EP1358" s="15" t="n">
        <v>49.62</v>
      </c>
      <c r="EQ1358" s="34" t="n">
        <v>46266</v>
      </c>
      <c r="ER1358" s="15" t="n">
        <v>28.42</v>
      </c>
      <c r="ES1358" s="15" t="n">
        <v>34.2</v>
      </c>
      <c r="ET1358" s="34" t="n">
        <v>46266</v>
      </c>
      <c r="EU1358" s="15" t="n">
        <v>7.525</v>
      </c>
      <c r="EV1358" s="15" t="n">
        <v>14.3</v>
      </c>
      <c r="EW1358" s="34" t="n">
        <v>46266</v>
      </c>
      <c r="EX1358" s="15" t="n">
        <v>90.3</v>
      </c>
      <c r="EY1358" s="15" t="n">
        <v>112.58</v>
      </c>
      <c r="EZ1358" s="34" t="n">
        <v>46266</v>
      </c>
      <c r="FA1358" s="15" t="n">
        <v>6.345</v>
      </c>
      <c r="FB1358" s="15" t="n">
        <v>12.52</v>
      </c>
      <c r="FC1358" s="34" t="n">
        <v>46266</v>
      </c>
      <c r="FD1358" s="15" t="n">
        <v>329</v>
      </c>
      <c r="FE1358" s="15" t="n">
        <v>404</v>
      </c>
      <c r="FF1358" s="34" t="n">
        <v>46266</v>
      </c>
      <c r="FG1358" s="15" t="n">
        <v>126.3</v>
      </c>
      <c r="FH1358" s="15" t="n">
        <v>128.4</v>
      </c>
      <c r="FI1358" s="34" t="n">
        <v>46266</v>
      </c>
      <c r="FJ1358" s="15" t="n">
        <v>23</v>
      </c>
      <c r="FK1358" s="15" t="n">
        <v>41.98</v>
      </c>
      <c r="FL1358" s="34" t="n">
        <v>46266</v>
      </c>
      <c r="FM1358" s="15" t="n">
        <v>63.5</v>
      </c>
      <c r="FN1358" s="15" t="n">
        <v>56.92</v>
      </c>
      <c r="FO1358" s="34" t="n">
        <v>46266</v>
      </c>
      <c r="FP1358" s="15" t="n">
        <v>110</v>
      </c>
      <c r="FQ1358" s="15" t="n">
        <v>109.22</v>
      </c>
      <c r="FR1358" s="34" t="n">
        <v>46266</v>
      </c>
      <c r="FS1358" s="15" t="n">
        <v>333</v>
      </c>
      <c r="FT1358" s="15" t="n">
        <v>388.13</v>
      </c>
      <c r="FU1358" s="34" t="n">
        <v>46266</v>
      </c>
      <c r="FV1358" s="15" t="n">
        <v>3.185</v>
      </c>
      <c r="FW1358" s="15" t="n">
        <v>6.5</v>
      </c>
      <c r="FX1358" s="34" t="n">
        <v>46266</v>
      </c>
      <c r="FY1358" s="15" t="n">
        <v>28.9</v>
      </c>
      <c r="FZ1358" s="15" t="n">
        <v>37.25</v>
      </c>
      <c r="GA1358" s="34" t="n">
        <v>46266</v>
      </c>
      <c r="GB1358" s="15" t="n">
        <v>1035</v>
      </c>
      <c r="GC1358" s="15" t="n">
        <v>859.3</v>
      </c>
      <c r="GD1358" s="34" t="n">
        <v>46266</v>
      </c>
      <c r="GE1358" s="15" t="n">
        <v>100</v>
      </c>
      <c r="GF1358" s="15" t="n">
        <v>134.79</v>
      </c>
      <c r="GG1358" s="34" t="n">
        <v>46266</v>
      </c>
    </row>
    <row r="1359">
      <c r="A1359" s="34" t="n">
        <v>46267</v>
      </c>
      <c r="B1359" s="266" t="n">
        <v>1.166425943374634</v>
      </c>
      <c r="C1359" s="34" t="n">
        <v>46267</v>
      </c>
      <c r="D1359" s="15" t="n">
        <v>23</v>
      </c>
      <c r="E1359" s="15" t="n">
        <v>44.6</v>
      </c>
      <c r="F1359" s="34" t="n">
        <v>46267</v>
      </c>
      <c r="G1359" s="15" t="n">
        <v>128.1</v>
      </c>
      <c r="H1359" s="15" t="n">
        <v>164.6</v>
      </c>
      <c r="I1359" s="34" t="n">
        <v>46267</v>
      </c>
      <c r="J1359" s="15" t="n">
        <v>16.37</v>
      </c>
      <c r="K1359" s="15" t="n">
        <v>25.85</v>
      </c>
      <c r="L1359" s="34" t="n">
        <v>46267</v>
      </c>
      <c r="M1359" s="15" t="n">
        <v>36.5</v>
      </c>
      <c r="N1359" s="15" t="n">
        <v>47.08</v>
      </c>
      <c r="O1359" s="34" t="n">
        <v>46267</v>
      </c>
      <c r="P1359" s="15" t="n">
        <v>48.2</v>
      </c>
      <c r="Q1359" s="15" t="n">
        <v>52.68</v>
      </c>
      <c r="R1359" s="34" t="n">
        <v>46267</v>
      </c>
      <c r="S1359" s="15" t="n">
        <v>63.9</v>
      </c>
      <c r="T1359" s="15" t="n">
        <v>126.1</v>
      </c>
      <c r="U1359" s="34" t="n">
        <v>46267</v>
      </c>
      <c r="V1359" s="15" t="n">
        <v>12.23</v>
      </c>
      <c r="W1359" s="15" t="n">
        <v>17.72</v>
      </c>
      <c r="X1359" s="34" t="n">
        <v>46267</v>
      </c>
      <c r="Y1359" s="15" t="n">
        <v>99.95</v>
      </c>
      <c r="Z1359" s="15" t="n">
        <v>86.98</v>
      </c>
      <c r="AA1359" s="34" t="n">
        <v>46267</v>
      </c>
      <c r="AB1359" s="15" t="n">
        <v>9.42</v>
      </c>
      <c r="AC1359" s="15" t="n">
        <v>18.62</v>
      </c>
      <c r="AD1359" s="34" t="n">
        <v>46267</v>
      </c>
      <c r="AE1359" s="15" t="n">
        <v>31.06</v>
      </c>
      <c r="AF1359" s="15" t="n">
        <v>31.96</v>
      </c>
      <c r="AG1359" s="34" t="n">
        <v>46267</v>
      </c>
      <c r="AH1359" s="15" t="n">
        <v>40.52</v>
      </c>
      <c r="AI1359" s="15" t="n">
        <v>45.77</v>
      </c>
      <c r="AJ1359" s="34" t="n">
        <v>46267</v>
      </c>
      <c r="AK1359" s="15" t="n">
        <v>15.2</v>
      </c>
      <c r="AL1359" s="15" t="n">
        <v>38.59</v>
      </c>
      <c r="AM1359" s="34" t="n">
        <v>46267</v>
      </c>
      <c r="AN1359" s="15" t="n">
        <v>564.5</v>
      </c>
      <c r="AO1359" s="15" t="n">
        <v>348.29</v>
      </c>
      <c r="AP1359" s="34" t="n">
        <v>46267</v>
      </c>
      <c r="AQ1359" s="15" t="n">
        <v>45.5</v>
      </c>
      <c r="AR1359" s="15" t="n">
        <v>45.57</v>
      </c>
      <c r="AS1359" s="34" t="n">
        <v>46267</v>
      </c>
      <c r="AT1359" s="15" t="n">
        <v>12.65</v>
      </c>
      <c r="AU1359" s="15" t="n">
        <v>20.58</v>
      </c>
      <c r="AV1359" s="34" t="n">
        <v>46267</v>
      </c>
      <c r="AW1359" s="15" t="n">
        <v>27.82</v>
      </c>
      <c r="AX1359" s="15" t="n">
        <v>33.87</v>
      </c>
      <c r="AY1359" s="34" t="n">
        <v>46267</v>
      </c>
      <c r="AZ1359" s="15" t="n">
        <v>24.9</v>
      </c>
      <c r="BA1359" s="15" t="n">
        <v>35.62</v>
      </c>
      <c r="BB1359" s="34" t="n">
        <v>46267</v>
      </c>
      <c r="BC1359" s="15" t="n">
        <v>63.5</v>
      </c>
      <c r="BD1359" s="15" t="n">
        <v>75.8</v>
      </c>
      <c r="BE1359" s="34" t="n">
        <v>46267</v>
      </c>
      <c r="BF1359" s="15" t="n">
        <v>117</v>
      </c>
      <c r="BG1359" s="15" t="n">
        <v>190</v>
      </c>
      <c r="BH1359" s="34" t="n">
        <v>46267</v>
      </c>
      <c r="BI1359" s="15" t="n">
        <v>24.36</v>
      </c>
      <c r="BJ1359" s="15" t="n">
        <v>36.91</v>
      </c>
      <c r="BK1359" s="34" t="n">
        <v>46267</v>
      </c>
      <c r="BL1359" s="15" t="n">
        <v>64</v>
      </c>
      <c r="BM1359" s="15" t="n">
        <v>101.2</v>
      </c>
      <c r="BN1359" s="34" t="n">
        <v>46267</v>
      </c>
      <c r="BO1359" s="15" t="n">
        <v>7.82</v>
      </c>
      <c r="BP1359" s="15" t="n">
        <v>20.07</v>
      </c>
      <c r="BQ1359" s="34" t="n">
        <v>46267</v>
      </c>
      <c r="BR1359" s="15" t="n">
        <v>19.12</v>
      </c>
      <c r="BS1359" s="15" t="n">
        <v>19.63</v>
      </c>
      <c r="BT1359" s="34" t="n">
        <v>46267</v>
      </c>
      <c r="BU1359" s="15" t="n">
        <v>95.59999999999999</v>
      </c>
      <c r="BV1359" s="15" t="n">
        <v>180</v>
      </c>
      <c r="BW1359" s="34" t="n">
        <v>46267</v>
      </c>
      <c r="BX1359" s="15" t="n">
        <v>38.58</v>
      </c>
      <c r="BY1359" s="15" t="n">
        <v>48.93</v>
      </c>
      <c r="BZ1359" s="34" t="n">
        <v>46267</v>
      </c>
      <c r="CA1359" s="15" t="n">
        <v>11.94</v>
      </c>
      <c r="CB1359" s="15" t="n">
        <v>19.59</v>
      </c>
      <c r="CC1359" s="34" t="n">
        <v>46267</v>
      </c>
      <c r="CD1359" s="15" t="n">
        <v>24.9</v>
      </c>
      <c r="CE1359" s="15" t="n">
        <v>38.9</v>
      </c>
      <c r="CF1359" s="34" t="n">
        <v>46267</v>
      </c>
      <c r="CG1359" s="15" t="n">
        <v>153</v>
      </c>
      <c r="CH1359" s="15" t="n">
        <v>242.32</v>
      </c>
      <c r="CI1359" s="34" t="n">
        <v>46267</v>
      </c>
      <c r="CJ1359" s="15" t="n">
        <v>6.635</v>
      </c>
      <c r="CK1359" s="15" t="n">
        <v>13.53</v>
      </c>
      <c r="CL1359" s="34" t="n">
        <v>46267</v>
      </c>
      <c r="CM1359" s="15" t="n">
        <v>71.2</v>
      </c>
      <c r="CN1359" s="15" t="n">
        <v>80.61</v>
      </c>
      <c r="CO1359" s="34" t="n">
        <v>46267</v>
      </c>
      <c r="CP1359" s="15" t="n">
        <v>472.2</v>
      </c>
      <c r="CQ1359" s="15" t="n">
        <v>388.86</v>
      </c>
      <c r="CR1359" s="34" t="n">
        <v>46267</v>
      </c>
      <c r="CS1359" s="15" t="n">
        <v>21.6</v>
      </c>
      <c r="CT1359" s="15" t="n">
        <v>37.15</v>
      </c>
      <c r="CU1359" s="34" t="n">
        <v>46267</v>
      </c>
      <c r="CV1359" s="15" t="n">
        <v>106.2</v>
      </c>
      <c r="CW1359" s="15" t="n">
        <v>120.12</v>
      </c>
      <c r="CX1359" s="34" t="n">
        <v>46267</v>
      </c>
      <c r="CY1359" s="15" t="n">
        <v>38.32</v>
      </c>
      <c r="CZ1359" s="15" t="n">
        <v>62.5</v>
      </c>
      <c r="DA1359" s="34" t="n">
        <v>46267</v>
      </c>
      <c r="DB1359" s="15" t="n">
        <v>102.6</v>
      </c>
      <c r="DC1359" s="15" t="n">
        <v>260.6</v>
      </c>
      <c r="DD1359" s="34" t="n">
        <v>46267</v>
      </c>
      <c r="DE1359" s="15" t="n">
        <v>36.48</v>
      </c>
      <c r="DF1359" s="15" t="n">
        <v>42.03</v>
      </c>
      <c r="DG1359" s="34" t="n">
        <v>46267</v>
      </c>
      <c r="DH1359" s="15" t="n">
        <v>261.8</v>
      </c>
      <c r="DI1359" s="15" t="n">
        <v>193.1</v>
      </c>
      <c r="DJ1359" s="34" t="n">
        <v>46267</v>
      </c>
      <c r="DK1359" s="15" t="n">
        <v>28.5</v>
      </c>
      <c r="DL1359" s="15" t="n">
        <v>31.93</v>
      </c>
      <c r="DM1359" s="34" t="n">
        <v>46267</v>
      </c>
      <c r="DN1359" s="15" t="n">
        <v>9.755000000000001</v>
      </c>
      <c r="DO1359" s="15" t="n">
        <v>16.67</v>
      </c>
      <c r="DP1359" s="34" t="n">
        <v>46267</v>
      </c>
      <c r="DQ1359" s="15" t="n">
        <v>16.34</v>
      </c>
      <c r="DR1359" s="15" t="n">
        <v>30.41</v>
      </c>
      <c r="DS1359" s="34" t="n">
        <v>46267</v>
      </c>
      <c r="DT1359" s="15" t="n">
        <v>38.5</v>
      </c>
      <c r="DU1359" s="15" t="n">
        <v>72.06999999999999</v>
      </c>
      <c r="DV1359" s="34" t="n">
        <v>46267</v>
      </c>
      <c r="DW1359" s="15" t="n">
        <v>21.2</v>
      </c>
      <c r="DX1359" s="15" t="n">
        <v>43.98</v>
      </c>
      <c r="DY1359" s="34" t="n">
        <v>46267</v>
      </c>
      <c r="DZ1359" s="15" t="n">
        <v>116</v>
      </c>
      <c r="EA1359" s="15" t="n">
        <v>155.32</v>
      </c>
      <c r="EB1359" s="34" t="n">
        <v>46267</v>
      </c>
      <c r="EC1359" s="15" t="n">
        <v>8.975</v>
      </c>
      <c r="ED1359" s="15" t="n">
        <v>20.94</v>
      </c>
      <c r="EE1359" s="34" t="n">
        <v>46267</v>
      </c>
      <c r="EF1359" s="15" t="n">
        <v>201.8</v>
      </c>
      <c r="EG1359" s="15" t="n">
        <v>225.18</v>
      </c>
      <c r="EH1359" s="34" t="n">
        <v>46267</v>
      </c>
      <c r="EI1359" s="15" t="n">
        <v>76</v>
      </c>
      <c r="EJ1359" s="15" t="n">
        <v>79.84</v>
      </c>
      <c r="EK1359" s="34" t="n">
        <v>46267</v>
      </c>
      <c r="EL1359" s="15" t="n">
        <v>20.78</v>
      </c>
      <c r="EM1359" s="15" t="n">
        <v>27.53</v>
      </c>
      <c r="EN1359" s="34" t="n">
        <v>46267</v>
      </c>
      <c r="EO1359" s="15" t="n">
        <v>31.84</v>
      </c>
      <c r="EP1359" s="15" t="n">
        <v>47.05</v>
      </c>
      <c r="EQ1359" s="34" t="n">
        <v>46267</v>
      </c>
      <c r="ER1359" s="15" t="n">
        <v>27.82</v>
      </c>
      <c r="ES1359" s="15" t="n">
        <v>33.25</v>
      </c>
      <c r="ET1359" s="34" t="n">
        <v>46267</v>
      </c>
      <c r="EU1359" s="15" t="n">
        <v>7.26</v>
      </c>
      <c r="EV1359" s="15" t="n">
        <v>13.9</v>
      </c>
      <c r="EW1359" s="34" t="n">
        <v>46267</v>
      </c>
      <c r="EX1359" s="15" t="n">
        <v>87.40000000000001</v>
      </c>
      <c r="EY1359" s="15" t="n">
        <v>110.73</v>
      </c>
      <c r="EZ1359" s="34" t="n">
        <v>46267</v>
      </c>
      <c r="FA1359" s="15" t="n">
        <v>6.53</v>
      </c>
      <c r="FB1359" s="15" t="n">
        <v>12.69</v>
      </c>
      <c r="FC1359" s="34" t="n">
        <v>46267</v>
      </c>
      <c r="FD1359" s="15" t="n">
        <v>308.4</v>
      </c>
      <c r="FE1359" s="15" t="n">
        <v>389.41</v>
      </c>
      <c r="FF1359" s="34" t="n">
        <v>46267</v>
      </c>
      <c r="FG1359" s="15" t="n">
        <v>134.8</v>
      </c>
      <c r="FH1359" s="15" t="n">
        <v>129</v>
      </c>
      <c r="FI1359" s="34" t="n">
        <v>46267</v>
      </c>
      <c r="FJ1359" s="15" t="n">
        <v>22.28</v>
      </c>
      <c r="FK1359" s="15" t="n">
        <v>41.23</v>
      </c>
      <c r="FL1359" s="34" t="n">
        <v>46267</v>
      </c>
      <c r="FM1359" s="15" t="n">
        <v>63.6</v>
      </c>
      <c r="FN1359" s="15" t="n">
        <v>57.08</v>
      </c>
      <c r="FO1359" s="34" t="n">
        <v>46267</v>
      </c>
      <c r="FP1359" s="15" t="n">
        <v>105.6</v>
      </c>
      <c r="FQ1359" s="15" t="n">
        <v>107.87</v>
      </c>
      <c r="FR1359" s="34" t="n">
        <v>46267</v>
      </c>
      <c r="FS1359" s="15" t="n">
        <v>320</v>
      </c>
      <c r="FT1359" s="15" t="n">
        <v>387.9</v>
      </c>
      <c r="FU1359" s="34" t="n">
        <v>46267</v>
      </c>
      <c r="FV1359" s="15" t="n">
        <v>3.12</v>
      </c>
      <c r="FW1359" s="15" t="n">
        <v>6.14</v>
      </c>
      <c r="FX1359" s="34" t="n">
        <v>46267</v>
      </c>
      <c r="FY1359" s="15" t="n">
        <v>28.52</v>
      </c>
      <c r="FZ1359" s="15" t="n">
        <v>36.02</v>
      </c>
      <c r="GA1359" s="34" t="n">
        <v>46267</v>
      </c>
      <c r="GB1359" s="15" t="n">
        <v>996</v>
      </c>
      <c r="GC1359" s="15" t="n">
        <v>822.4</v>
      </c>
      <c r="GD1359" s="34" t="n">
        <v>46267</v>
      </c>
      <c r="GE1359" s="15" t="n">
        <v>100</v>
      </c>
      <c r="GF1359" s="15" t="n">
        <v>132.37</v>
      </c>
      <c r="GG1359" s="34" t="n">
        <v>46267</v>
      </c>
    </row>
    <row r="1360">
      <c r="A1360" s="34" t="n">
        <v>46268</v>
      </c>
      <c r="B1360" s="266" t="n">
        <v>1.167057037353516</v>
      </c>
      <c r="C1360" s="34" t="n">
        <v>46268</v>
      </c>
      <c r="D1360" s="15" t="n">
        <v>23.62</v>
      </c>
      <c r="E1360" s="15" t="n">
        <v>44.6</v>
      </c>
      <c r="F1360" s="34" t="n">
        <v>46268</v>
      </c>
      <c r="G1360" s="15" t="n">
        <v>133.8</v>
      </c>
      <c r="H1360" s="15" t="n">
        <v>168.22</v>
      </c>
      <c r="I1360" s="34" t="n">
        <v>46268</v>
      </c>
      <c r="J1360" s="15" t="n">
        <v>16.87</v>
      </c>
      <c r="K1360" s="15" t="n">
        <v>26.56</v>
      </c>
      <c r="L1360" s="34" t="n">
        <v>46268</v>
      </c>
      <c r="M1360" s="15" t="n">
        <v>36.2</v>
      </c>
      <c r="N1360" s="15" t="n">
        <v>46.92</v>
      </c>
      <c r="O1360" s="34" t="n">
        <v>46268</v>
      </c>
      <c r="P1360" s="15" t="n">
        <v>48.68</v>
      </c>
      <c r="Q1360" s="15" t="n">
        <v>53.72</v>
      </c>
      <c r="R1360" s="34" t="n">
        <v>46268</v>
      </c>
      <c r="S1360" s="15" t="n">
        <v>64.15000000000001</v>
      </c>
      <c r="T1360" s="15" t="n">
        <v>127.08</v>
      </c>
      <c r="U1360" s="34" t="n">
        <v>46268</v>
      </c>
      <c r="V1360" s="15" t="n">
        <v>11.99</v>
      </c>
      <c r="W1360" s="15" t="n">
        <v>17.19</v>
      </c>
      <c r="X1360" s="34" t="n">
        <v>46268</v>
      </c>
      <c r="Y1360" s="15" t="n">
        <v>100.5</v>
      </c>
      <c r="Z1360" s="15" t="n">
        <v>87.25</v>
      </c>
      <c r="AA1360" s="34" t="n">
        <v>46268</v>
      </c>
      <c r="AB1360" s="15" t="n">
        <v>9.699999999999999</v>
      </c>
      <c r="AC1360" s="15" t="n">
        <v>19.54</v>
      </c>
      <c r="AD1360" s="34" t="n">
        <v>46268</v>
      </c>
      <c r="AE1360" s="15" t="n">
        <v>30.9</v>
      </c>
      <c r="AF1360" s="15" t="n">
        <v>32.05</v>
      </c>
      <c r="AG1360" s="34" t="n">
        <v>46268</v>
      </c>
      <c r="AH1360" s="15" t="n">
        <v>42.7</v>
      </c>
      <c r="AI1360" s="15" t="n">
        <v>46.6</v>
      </c>
      <c r="AJ1360" s="34" t="n">
        <v>46268</v>
      </c>
      <c r="AK1360" s="15" t="n">
        <v>14.95</v>
      </c>
      <c r="AL1360" s="15" t="n">
        <v>38.28</v>
      </c>
      <c r="AM1360" s="34" t="n">
        <v>46268</v>
      </c>
      <c r="AN1360" s="15" t="n">
        <v>567.5</v>
      </c>
      <c r="AO1360" s="15" t="n">
        <v>349.5</v>
      </c>
      <c r="AP1360" s="34" t="n">
        <v>46268</v>
      </c>
      <c r="AQ1360" s="15" t="n">
        <v>46.16</v>
      </c>
      <c r="AR1360" s="15" t="n">
        <v>45.96</v>
      </c>
      <c r="AS1360" s="34" t="n">
        <v>46268</v>
      </c>
      <c r="AT1360" s="15" t="n">
        <v>12.88</v>
      </c>
      <c r="AU1360" s="15" t="n">
        <v>20.77</v>
      </c>
      <c r="AV1360" s="34" t="n">
        <v>46268</v>
      </c>
      <c r="AW1360" s="15" t="n">
        <v>27.96</v>
      </c>
      <c r="AX1360" s="15" t="n">
        <v>34.12</v>
      </c>
      <c r="AY1360" s="34" t="n">
        <v>46268</v>
      </c>
      <c r="AZ1360" s="15" t="n">
        <v>24.74</v>
      </c>
      <c r="BA1360" s="15" t="n">
        <v>36.3</v>
      </c>
      <c r="BB1360" s="34" t="n">
        <v>46268</v>
      </c>
      <c r="BC1360" s="15" t="n">
        <v>63.6</v>
      </c>
      <c r="BD1360" s="15" t="n">
        <v>75.72</v>
      </c>
      <c r="BE1360" s="34" t="n">
        <v>46268</v>
      </c>
      <c r="BF1360" s="15" t="n">
        <v>120.8</v>
      </c>
      <c r="BG1360" s="15" t="n">
        <v>194.2</v>
      </c>
      <c r="BH1360" s="34" t="n">
        <v>46268</v>
      </c>
      <c r="BI1360" s="15" t="n">
        <v>23.74</v>
      </c>
      <c r="BJ1360" s="15" t="n">
        <v>35.87</v>
      </c>
      <c r="BK1360" s="34" t="n">
        <v>46268</v>
      </c>
      <c r="BL1360" s="15" t="n">
        <v>65.34999999999999</v>
      </c>
      <c r="BM1360" s="15" t="n">
        <v>100.66</v>
      </c>
      <c r="BN1360" s="34" t="n">
        <v>46268</v>
      </c>
      <c r="BO1360" s="15" t="n">
        <v>7.75</v>
      </c>
      <c r="BP1360" s="15" t="n">
        <v>19.53</v>
      </c>
      <c r="BQ1360" s="34" t="n">
        <v>46268</v>
      </c>
      <c r="BR1360" s="15" t="n">
        <v>19.57</v>
      </c>
      <c r="BS1360" s="15" t="n">
        <v>19.94</v>
      </c>
      <c r="BT1360" s="34" t="n">
        <v>46268</v>
      </c>
      <c r="BU1360" s="15" t="n">
        <v>96.84999999999999</v>
      </c>
      <c r="BV1360" s="15" t="n">
        <v>186.31</v>
      </c>
      <c r="BW1360" s="34" t="n">
        <v>46268</v>
      </c>
      <c r="BX1360" s="15" t="n">
        <v>38.3</v>
      </c>
      <c r="BY1360" s="15" t="n">
        <v>48.9</v>
      </c>
      <c r="BZ1360" s="34" t="n">
        <v>46268</v>
      </c>
      <c r="CA1360" s="15" t="n">
        <v>12.01</v>
      </c>
      <c r="CB1360" s="15" t="n">
        <v>19.52</v>
      </c>
      <c r="CC1360" s="34" t="n">
        <v>46268</v>
      </c>
      <c r="CD1360" s="15" t="n">
        <v>25.6</v>
      </c>
      <c r="CE1360" s="15" t="n">
        <v>40.08</v>
      </c>
      <c r="CF1360" s="34" t="n">
        <v>46268</v>
      </c>
      <c r="CG1360" s="15" t="n">
        <v>156</v>
      </c>
      <c r="CH1360" s="15" t="n">
        <v>247.61</v>
      </c>
      <c r="CI1360" s="34" t="n">
        <v>46268</v>
      </c>
      <c r="CJ1360" s="15" t="n">
        <v>6.625</v>
      </c>
      <c r="CK1360" s="15" t="n">
        <v>13.24</v>
      </c>
      <c r="CL1360" s="34" t="n">
        <v>46268</v>
      </c>
      <c r="CM1360" s="15" t="n">
        <v>71.15000000000001</v>
      </c>
      <c r="CN1360" s="15" t="n">
        <v>79.3</v>
      </c>
      <c r="CO1360" s="34" t="n">
        <v>46268</v>
      </c>
      <c r="CP1360" s="15" t="n">
        <v>466.8</v>
      </c>
      <c r="CQ1360" s="15" t="n">
        <v>383.2</v>
      </c>
      <c r="CR1360" s="34" t="n">
        <v>46268</v>
      </c>
      <c r="CS1360" s="15" t="n">
        <v>22.02</v>
      </c>
      <c r="CT1360" s="15" t="n">
        <v>37.13</v>
      </c>
      <c r="CU1360" s="34" t="n">
        <v>46268</v>
      </c>
      <c r="CV1360" s="15" t="n">
        <v>102.6</v>
      </c>
      <c r="CW1360" s="15" t="n">
        <v>118.92</v>
      </c>
      <c r="CX1360" s="34" t="n">
        <v>46268</v>
      </c>
      <c r="CY1360" s="15" t="n">
        <v>38.22</v>
      </c>
      <c r="CZ1360" s="15" t="n">
        <v>62.01</v>
      </c>
      <c r="DA1360" s="34" t="n">
        <v>46268</v>
      </c>
      <c r="DB1360" s="15" t="n">
        <v>105.1</v>
      </c>
      <c r="DC1360" s="15" t="n">
        <v>269.17</v>
      </c>
      <c r="DD1360" s="34" t="n">
        <v>46268</v>
      </c>
      <c r="DE1360" s="15" t="n">
        <v>35.82</v>
      </c>
      <c r="DF1360" s="15" t="n">
        <v>42.08</v>
      </c>
      <c r="DG1360" s="34" t="n">
        <v>46268</v>
      </c>
      <c r="DH1360" s="15" t="n">
        <v>258.4</v>
      </c>
      <c r="DI1360" s="15" t="n">
        <v>190.01</v>
      </c>
      <c r="DJ1360" s="34" t="n">
        <v>46268</v>
      </c>
      <c r="DK1360" s="15" t="n">
        <v>28.7</v>
      </c>
      <c r="DL1360" s="15" t="n">
        <v>32.09</v>
      </c>
      <c r="DM1360" s="34" t="n">
        <v>46268</v>
      </c>
      <c r="DN1360" s="15" t="n">
        <v>9.85</v>
      </c>
      <c r="DO1360" s="15" t="n">
        <v>17.03</v>
      </c>
      <c r="DP1360" s="34" t="n">
        <v>46268</v>
      </c>
      <c r="DQ1360" s="15" t="n">
        <v>16.45</v>
      </c>
      <c r="DR1360" s="15" t="n">
        <v>30.81</v>
      </c>
      <c r="DS1360" s="34" t="n">
        <v>46268</v>
      </c>
      <c r="DT1360" s="15" t="n">
        <v>39.26</v>
      </c>
      <c r="DU1360" s="15" t="n">
        <v>75.78</v>
      </c>
      <c r="DV1360" s="34" t="n">
        <v>46268</v>
      </c>
      <c r="DW1360" s="15" t="n">
        <v>19.17</v>
      </c>
      <c r="DX1360" s="15" t="n">
        <v>42.95</v>
      </c>
      <c r="DY1360" s="34" t="n">
        <v>46268</v>
      </c>
      <c r="DZ1360" s="15" t="n">
        <v>116.1</v>
      </c>
      <c r="EA1360" s="15" t="n">
        <v>158.15</v>
      </c>
      <c r="EB1360" s="34" t="n">
        <v>46268</v>
      </c>
      <c r="EC1360" s="15" t="n">
        <v>8.904999999999999</v>
      </c>
      <c r="ED1360" s="15" t="n">
        <v>20.61</v>
      </c>
      <c r="EE1360" s="34" t="n">
        <v>46268</v>
      </c>
      <c r="EF1360" s="15" t="n">
        <v>201</v>
      </c>
      <c r="EG1360" s="15" t="n">
        <v>222.5</v>
      </c>
      <c r="EH1360" s="34" t="n">
        <v>46268</v>
      </c>
      <c r="EI1360" s="15" t="n">
        <v>75.95</v>
      </c>
      <c r="EJ1360" s="15" t="n">
        <v>79.69</v>
      </c>
      <c r="EK1360" s="34" t="n">
        <v>46268</v>
      </c>
      <c r="EL1360" s="15" t="n">
        <v>20.84</v>
      </c>
      <c r="EM1360" s="15" t="n">
        <v>28.16</v>
      </c>
      <c r="EN1360" s="34" t="n">
        <v>46268</v>
      </c>
      <c r="EO1360" s="15" t="n">
        <v>31.5</v>
      </c>
      <c r="EP1360" s="15" t="n">
        <v>48.23</v>
      </c>
      <c r="EQ1360" s="34" t="n">
        <v>46268</v>
      </c>
      <c r="ER1360" s="15" t="n">
        <v>28.34</v>
      </c>
      <c r="ES1360" s="15" t="n">
        <v>33.35</v>
      </c>
      <c r="ET1360" s="34" t="n">
        <v>46268</v>
      </c>
      <c r="EU1360" s="15" t="n">
        <v>7.44</v>
      </c>
      <c r="EV1360" s="15" t="n">
        <v>14.43</v>
      </c>
      <c r="EW1360" s="34" t="n">
        <v>46268</v>
      </c>
      <c r="EX1360" s="15" t="n">
        <v>86</v>
      </c>
      <c r="EY1360" s="15" t="n">
        <v>109.76</v>
      </c>
      <c r="EZ1360" s="34" t="n">
        <v>46268</v>
      </c>
      <c r="FA1360" s="15" t="n">
        <v>6.61</v>
      </c>
      <c r="FB1360" s="15" t="n">
        <v>12.9</v>
      </c>
      <c r="FC1360" s="34" t="n">
        <v>46268</v>
      </c>
      <c r="FD1360" s="15" t="n">
        <v>319.8</v>
      </c>
      <c r="FE1360" s="15" t="n">
        <v>390</v>
      </c>
      <c r="FF1360" s="34" t="n">
        <v>46268</v>
      </c>
      <c r="FG1360" s="15" t="n">
        <v>138</v>
      </c>
      <c r="FH1360" s="15" t="n">
        <v>137.16</v>
      </c>
      <c r="FI1360" s="34" t="n">
        <v>46268</v>
      </c>
      <c r="FJ1360" s="15" t="n">
        <v>21.94</v>
      </c>
      <c r="FK1360" s="15" t="n">
        <v>41.05</v>
      </c>
      <c r="FL1360" s="34" t="n">
        <v>46268</v>
      </c>
      <c r="FM1360" s="15" t="n">
        <v>60.25</v>
      </c>
      <c r="FN1360" s="15" t="n">
        <v>56.17</v>
      </c>
      <c r="FO1360" s="34" t="n">
        <v>46268</v>
      </c>
      <c r="FP1360" s="15" t="n">
        <v>110.3</v>
      </c>
      <c r="FQ1360" s="15" t="n">
        <v>110.91</v>
      </c>
      <c r="FR1360" s="34" t="n">
        <v>46268</v>
      </c>
      <c r="FS1360" s="15" t="n">
        <v>313</v>
      </c>
      <c r="FT1360" s="15" t="n">
        <v>390</v>
      </c>
      <c r="FU1360" s="34" t="n">
        <v>46268</v>
      </c>
      <c r="FV1360" s="15" t="n">
        <v>3.145</v>
      </c>
      <c r="FW1360" s="15" t="n">
        <v>6.16</v>
      </c>
      <c r="FX1360" s="34" t="n">
        <v>46268</v>
      </c>
      <c r="FY1360" s="15" t="n">
        <v>28.3</v>
      </c>
      <c r="FZ1360" s="15" t="n">
        <v>36.34</v>
      </c>
      <c r="GA1360" s="34" t="n">
        <v>46268</v>
      </c>
      <c r="GB1360" s="15" t="n">
        <v>995</v>
      </c>
      <c r="GC1360" s="15" t="n">
        <v>813</v>
      </c>
      <c r="GD1360" s="34" t="n">
        <v>46268</v>
      </c>
      <c r="GE1360" s="15" t="n">
        <v>101</v>
      </c>
      <c r="GF1360" s="15" t="n">
        <v>131.99</v>
      </c>
      <c r="GG1360" s="34" t="n">
        <v>46268</v>
      </c>
    </row>
    <row r="1361">
      <c r="A1361" s="34" t="n">
        <v>46269</v>
      </c>
      <c r="B1361" s="266" t="n">
        <v>1.166767954826355</v>
      </c>
      <c r="C1361" s="34" t="n">
        <v>46269</v>
      </c>
      <c r="D1361" s="15" t="n">
        <v>22.74</v>
      </c>
      <c r="E1361" s="15" t="n">
        <v>42.94</v>
      </c>
      <c r="F1361" s="34" t="n">
        <v>46269</v>
      </c>
      <c r="G1361" s="15" t="n">
        <v>133.8</v>
      </c>
      <c r="H1361" s="15" t="n">
        <v>163.02</v>
      </c>
      <c r="I1361" s="34" t="n">
        <v>46269</v>
      </c>
      <c r="J1361" s="15" t="n">
        <v>16.63</v>
      </c>
      <c r="K1361" s="15" t="n">
        <v>26.11</v>
      </c>
      <c r="L1361" s="34" t="n">
        <v>46269</v>
      </c>
      <c r="M1361" s="15" t="n">
        <v>34.5</v>
      </c>
      <c r="N1361" s="15" t="n">
        <v>45.35</v>
      </c>
      <c r="O1361" s="34" t="n">
        <v>46269</v>
      </c>
      <c r="P1361" s="15" t="n">
        <v>50</v>
      </c>
      <c r="Q1361" s="15" t="n">
        <v>54.6</v>
      </c>
      <c r="R1361" s="34" t="n">
        <v>46269</v>
      </c>
      <c r="S1361" s="15" t="n">
        <v>60.6</v>
      </c>
      <c r="T1361" s="15" t="n">
        <v>119.89</v>
      </c>
      <c r="U1361" s="34" t="n">
        <v>46269</v>
      </c>
      <c r="V1361" s="15" t="n">
        <v>12.17</v>
      </c>
      <c r="W1361" s="15" t="n">
        <v>17.58</v>
      </c>
      <c r="X1361" s="34" t="n">
        <v>46269</v>
      </c>
      <c r="Y1361" s="15" t="n">
        <v>100.8</v>
      </c>
      <c r="Z1361" s="15" t="n">
        <v>87.56999999999999</v>
      </c>
      <c r="AA1361" s="34" t="n">
        <v>46269</v>
      </c>
      <c r="AB1361" s="15" t="n">
        <v>9.4</v>
      </c>
      <c r="AC1361" s="15" t="n">
        <v>18.7</v>
      </c>
      <c r="AD1361" s="34" t="n">
        <v>46269</v>
      </c>
      <c r="AE1361" s="15" t="n">
        <v>31.64</v>
      </c>
      <c r="AF1361" s="15" t="n">
        <v>32.22</v>
      </c>
      <c r="AG1361" s="34" t="n">
        <v>46269</v>
      </c>
      <c r="AH1361" s="15" t="n">
        <v>42.2</v>
      </c>
      <c r="AI1361" s="15" t="n">
        <v>45.69</v>
      </c>
      <c r="AJ1361" s="34" t="n">
        <v>46269</v>
      </c>
      <c r="AK1361" s="15" t="n">
        <v>14.68</v>
      </c>
      <c r="AL1361" s="15" t="n">
        <v>38.23</v>
      </c>
      <c r="AM1361" s="34" t="n">
        <v>46269</v>
      </c>
      <c r="AN1361" s="15" t="n">
        <v>574.5</v>
      </c>
      <c r="AO1361" s="15" t="n">
        <v>351</v>
      </c>
      <c r="AP1361" s="34" t="n">
        <v>46269</v>
      </c>
      <c r="AQ1361" s="15" t="n">
        <v>46.5</v>
      </c>
      <c r="AR1361" s="15" t="n">
        <v>46.02</v>
      </c>
      <c r="AS1361" s="34" t="n">
        <v>46269</v>
      </c>
      <c r="AT1361" s="15" t="n">
        <v>12.88</v>
      </c>
      <c r="AU1361" s="15" t="n">
        <v>20.81</v>
      </c>
      <c r="AV1361" s="34" t="n">
        <v>46269</v>
      </c>
      <c r="AW1361" s="15" t="n">
        <v>28.5</v>
      </c>
      <c r="AX1361" s="15" t="n">
        <v>34.4</v>
      </c>
      <c r="AY1361" s="34" t="n">
        <v>46269</v>
      </c>
      <c r="AZ1361" s="15" t="n">
        <v>24.66</v>
      </c>
      <c r="BA1361" s="15" t="n">
        <v>35.46</v>
      </c>
      <c r="BB1361" s="34" t="n">
        <v>46269</v>
      </c>
      <c r="BC1361" s="15" t="n">
        <v>63</v>
      </c>
      <c r="BD1361" s="15" t="n">
        <v>76.63</v>
      </c>
      <c r="BE1361" s="34" t="n">
        <v>46269</v>
      </c>
      <c r="BF1361" s="15" t="n">
        <v>117.6</v>
      </c>
      <c r="BG1361" s="15" t="n">
        <v>184.02</v>
      </c>
      <c r="BH1361" s="34" t="n">
        <v>46269</v>
      </c>
      <c r="BI1361" s="15" t="n">
        <v>23.84</v>
      </c>
      <c r="BJ1361" s="15" t="n">
        <v>35.14</v>
      </c>
      <c r="BK1361" s="34" t="n">
        <v>46269</v>
      </c>
      <c r="BL1361" s="15" t="n">
        <v>63.5</v>
      </c>
      <c r="BM1361" s="15" t="n">
        <v>97.43000000000001</v>
      </c>
      <c r="BN1361" s="34" t="n">
        <v>46269</v>
      </c>
      <c r="BO1361" s="15" t="n">
        <v>7.735</v>
      </c>
      <c r="BP1361" s="15" t="n">
        <v>19.08</v>
      </c>
      <c r="BQ1361" s="34" t="n">
        <v>46269</v>
      </c>
      <c r="BR1361" s="15" t="n">
        <v>20.06</v>
      </c>
      <c r="BS1361" s="15" t="n">
        <v>20</v>
      </c>
      <c r="BT1361" s="34" t="n">
        <v>46269</v>
      </c>
      <c r="BU1361" s="15" t="n">
        <v>96.65000000000001</v>
      </c>
      <c r="BV1361" s="15" t="n">
        <v>188.37</v>
      </c>
      <c r="BW1361" s="34" t="n">
        <v>46269</v>
      </c>
      <c r="BX1361" s="15" t="n">
        <v>38.58</v>
      </c>
      <c r="BY1361" s="15" t="n">
        <v>49.52</v>
      </c>
      <c r="BZ1361" s="34" t="n">
        <v>46269</v>
      </c>
      <c r="CA1361" s="15" t="n">
        <v>12.03</v>
      </c>
      <c r="CB1361" s="15" t="n">
        <v>19.12</v>
      </c>
      <c r="CC1361" s="34" t="n">
        <v>46269</v>
      </c>
      <c r="CD1361" s="15" t="n">
        <v>25.24</v>
      </c>
      <c r="CE1361" s="15" t="n">
        <v>39.4</v>
      </c>
      <c r="CF1361" s="34" t="n">
        <v>46269</v>
      </c>
      <c r="CG1361" s="15" t="n">
        <v>154.9</v>
      </c>
      <c r="CH1361" s="15" t="n">
        <v>240</v>
      </c>
      <c r="CI1361" s="34" t="n">
        <v>46269</v>
      </c>
      <c r="CJ1361" s="15" t="n">
        <v>7.08</v>
      </c>
      <c r="CK1361" s="15" t="n">
        <v>13.49</v>
      </c>
      <c r="CL1361" s="34" t="n">
        <v>46269</v>
      </c>
      <c r="CM1361" s="15" t="n">
        <v>72.45</v>
      </c>
      <c r="CN1361" s="15" t="n">
        <v>80.25</v>
      </c>
      <c r="CO1361" s="34" t="n">
        <v>46269</v>
      </c>
      <c r="CP1361" s="15" t="n">
        <v>464.8</v>
      </c>
      <c r="CQ1361" s="15" t="n">
        <v>371.88</v>
      </c>
      <c r="CR1361" s="34" t="n">
        <v>46269</v>
      </c>
      <c r="CS1361" s="15" t="n">
        <v>22.8</v>
      </c>
      <c r="CT1361" s="15" t="n">
        <v>37.31</v>
      </c>
      <c r="CU1361" s="34" t="n">
        <v>46269</v>
      </c>
      <c r="CV1361" s="15" t="n">
        <v>103.2</v>
      </c>
      <c r="CW1361" s="15" t="n">
        <v>120.41</v>
      </c>
      <c r="CX1361" s="34" t="n">
        <v>46269</v>
      </c>
      <c r="CY1361" s="15" t="n">
        <v>37.86</v>
      </c>
      <c r="CZ1361" s="15" t="n">
        <v>60.17</v>
      </c>
      <c r="DA1361" s="34" t="n">
        <v>46269</v>
      </c>
      <c r="DB1361" s="15" t="n">
        <v>100.8</v>
      </c>
      <c r="DC1361" s="15" t="n">
        <v>254.4</v>
      </c>
      <c r="DD1361" s="34" t="n">
        <v>46269</v>
      </c>
      <c r="DE1361" s="15" t="n">
        <v>39.12</v>
      </c>
      <c r="DF1361" s="15" t="n">
        <v>43.97</v>
      </c>
      <c r="DG1361" s="34" t="n">
        <v>46269</v>
      </c>
      <c r="DH1361" s="15" t="n">
        <v>261.6</v>
      </c>
      <c r="DI1361" s="15" t="n">
        <v>187.7</v>
      </c>
      <c r="DJ1361" s="34" t="n">
        <v>46269</v>
      </c>
      <c r="DK1361" s="15" t="n">
        <v>28.5</v>
      </c>
      <c r="DL1361" s="15" t="n">
        <v>31.57</v>
      </c>
      <c r="DM1361" s="34" t="n">
        <v>46269</v>
      </c>
      <c r="DN1361" s="15" t="n">
        <v>9.9</v>
      </c>
      <c r="DO1361" s="15" t="n">
        <v>17.17</v>
      </c>
      <c r="DP1361" s="34" t="n">
        <v>46269</v>
      </c>
      <c r="DQ1361" s="15" t="n">
        <v>16.08</v>
      </c>
      <c r="DR1361" s="15" t="n">
        <v>29.88</v>
      </c>
      <c r="DS1361" s="34" t="n">
        <v>46269</v>
      </c>
      <c r="DT1361" s="15" t="n">
        <v>38.9</v>
      </c>
      <c r="DU1361" s="15" t="n">
        <v>72.48</v>
      </c>
      <c r="DV1361" s="34" t="n">
        <v>46269</v>
      </c>
      <c r="DW1361" s="15" t="n">
        <v>18.88</v>
      </c>
      <c r="DX1361" s="15" t="n">
        <v>41.93</v>
      </c>
      <c r="DY1361" s="34" t="n">
        <v>46269</v>
      </c>
      <c r="DZ1361" s="15" t="n">
        <v>111</v>
      </c>
      <c r="EA1361" s="15" t="n">
        <v>152.62</v>
      </c>
      <c r="EB1361" s="34" t="n">
        <v>46269</v>
      </c>
      <c r="EC1361" s="15" t="n">
        <v>8.785</v>
      </c>
      <c r="ED1361" s="15" t="n">
        <v>19.94</v>
      </c>
      <c r="EE1361" s="34" t="n">
        <v>46269</v>
      </c>
      <c r="EF1361" s="15" t="n">
        <v>197.5</v>
      </c>
      <c r="EG1361" s="15" t="n">
        <v>219.5</v>
      </c>
      <c r="EH1361" s="34" t="n">
        <v>46269</v>
      </c>
      <c r="EI1361" s="15" t="n">
        <v>73.75</v>
      </c>
      <c r="EJ1361" s="15" t="n">
        <v>75.98</v>
      </c>
      <c r="EK1361" s="34" t="n">
        <v>46269</v>
      </c>
      <c r="EL1361" s="15" t="n">
        <v>20.76</v>
      </c>
      <c r="EM1361" s="15" t="n">
        <v>27.42</v>
      </c>
      <c r="EN1361" s="34" t="n">
        <v>46269</v>
      </c>
      <c r="EO1361" s="15" t="n">
        <v>32.12</v>
      </c>
      <c r="EP1361" s="15" t="n">
        <v>51.87</v>
      </c>
      <c r="EQ1361" s="34" t="n">
        <v>46269</v>
      </c>
      <c r="ER1361" s="15" t="n">
        <v>28.54</v>
      </c>
      <c r="ES1361" s="15" t="n">
        <v>33.22</v>
      </c>
      <c r="ET1361" s="34" t="n">
        <v>46269</v>
      </c>
      <c r="EU1361" s="15" t="n">
        <v>7.24</v>
      </c>
      <c r="EV1361" s="15" t="n">
        <v>13.92</v>
      </c>
      <c r="EW1361" s="34" t="n">
        <v>46269</v>
      </c>
      <c r="EX1361" s="15" t="n">
        <v>84.40000000000001</v>
      </c>
      <c r="EY1361" s="15" t="n">
        <v>106.92</v>
      </c>
      <c r="EZ1361" s="34" t="n">
        <v>46269</v>
      </c>
      <c r="FA1361" s="15" t="n">
        <v>6.63</v>
      </c>
      <c r="FB1361" s="15" t="n">
        <v>12.63</v>
      </c>
      <c r="FC1361" s="34" t="n">
        <v>46269</v>
      </c>
      <c r="FD1361" s="15" t="n">
        <v>317.2</v>
      </c>
      <c r="FE1361" s="15" t="n">
        <v>370.8</v>
      </c>
      <c r="FF1361" s="34" t="n">
        <v>46269</v>
      </c>
      <c r="FG1361" s="15" t="n">
        <v>138.8</v>
      </c>
      <c r="FH1361" s="15" t="n">
        <v>135.91</v>
      </c>
      <c r="FI1361" s="34" t="n">
        <v>46269</v>
      </c>
      <c r="FJ1361" s="15" t="n">
        <v>22.06</v>
      </c>
      <c r="FK1361" s="15" t="n">
        <v>40.15</v>
      </c>
      <c r="FL1361" s="34" t="n">
        <v>46269</v>
      </c>
      <c r="FM1361" s="15" t="n">
        <v>59</v>
      </c>
      <c r="FN1361" s="15" t="n">
        <v>54.3</v>
      </c>
      <c r="FO1361" s="34" t="n">
        <v>46269</v>
      </c>
      <c r="FP1361" s="15" t="n">
        <v>107.9</v>
      </c>
      <c r="FQ1361" s="15" t="n">
        <v>108.4</v>
      </c>
      <c r="FR1361" s="34" t="n">
        <v>46269</v>
      </c>
      <c r="FS1361" s="15" t="n">
        <v>320</v>
      </c>
      <c r="FT1361" s="15" t="n">
        <v>376.21</v>
      </c>
      <c r="FU1361" s="34" t="n">
        <v>46269</v>
      </c>
      <c r="FV1361" s="15" t="n">
        <v>3.08</v>
      </c>
      <c r="FW1361" s="15" t="n">
        <v>6.01</v>
      </c>
      <c r="FX1361" s="34" t="n">
        <v>46269</v>
      </c>
      <c r="FY1361" s="15" t="n">
        <v>27.3</v>
      </c>
      <c r="FZ1361" s="15" t="n">
        <v>35.07</v>
      </c>
      <c r="GA1361" s="34" t="n">
        <v>46269</v>
      </c>
      <c r="GB1361" s="15" t="n">
        <v>1006</v>
      </c>
      <c r="GC1361" s="15" t="n">
        <v>814</v>
      </c>
      <c r="GD1361" s="34" t="n">
        <v>46269</v>
      </c>
      <c r="GE1361" s="15" t="n">
        <v>100</v>
      </c>
      <c r="GF1361" s="15" t="n">
        <v>127.16</v>
      </c>
      <c r="GG1361" s="34" t="n">
        <v>46269</v>
      </c>
    </row>
    <row r="1362">
      <c r="A1362" s="34" t="n">
        <v>46272</v>
      </c>
      <c r="B1362" s="266" t="n">
        <v>1.168081045150757</v>
      </c>
      <c r="C1362" s="34" t="n">
        <v>46272</v>
      </c>
      <c r="D1362" s="15" t="n">
        <v>22.54</v>
      </c>
      <c r="E1362" s="15" t="n">
        <v>42.82</v>
      </c>
      <c r="F1362" s="34" t="n">
        <v>46272</v>
      </c>
      <c r="G1362" s="15" t="n">
        <v>131.7</v>
      </c>
      <c r="H1362" s="15" t="n">
        <v>166.6</v>
      </c>
      <c r="I1362" s="34" t="n">
        <v>46272</v>
      </c>
      <c r="J1362" s="15" t="n">
        <v>16.57</v>
      </c>
      <c r="K1362" s="15" t="n">
        <v>26.16</v>
      </c>
      <c r="L1362" s="34" t="n">
        <v>46272</v>
      </c>
      <c r="M1362" s="15" t="n">
        <v>34.56</v>
      </c>
      <c r="N1362" s="15" t="n">
        <v>45.26</v>
      </c>
      <c r="O1362" s="34" t="n">
        <v>46272</v>
      </c>
      <c r="P1362" s="15" t="n">
        <v>50.25</v>
      </c>
      <c r="Q1362" s="15" t="n">
        <v>54.83</v>
      </c>
      <c r="R1362" s="34" t="n">
        <v>46272</v>
      </c>
      <c r="S1362" s="15" t="n">
        <v>58</v>
      </c>
      <c r="T1362" s="15" t="n">
        <v>119.3</v>
      </c>
      <c r="U1362" s="34" t="n">
        <v>46272</v>
      </c>
      <c r="V1362" s="15" t="n">
        <v>12.14</v>
      </c>
      <c r="W1362" s="15" t="n">
        <v>17.91</v>
      </c>
      <c r="X1362" s="34" t="n">
        <v>46272</v>
      </c>
      <c r="Y1362" s="15" t="n">
        <v>99.65000000000001</v>
      </c>
      <c r="Z1362" s="15" t="n">
        <v>86.27</v>
      </c>
      <c r="AA1362" s="34" t="n">
        <v>46272</v>
      </c>
      <c r="AB1362" s="15" t="n">
        <v>9.365</v>
      </c>
      <c r="AC1362" s="15" t="n">
        <v>18.59</v>
      </c>
      <c r="AD1362" s="34" t="n">
        <v>46272</v>
      </c>
      <c r="AE1362" s="15" t="n">
        <v>31.1</v>
      </c>
      <c r="AF1362" s="15" t="n">
        <v>31.75</v>
      </c>
      <c r="AG1362" s="34" t="n">
        <v>46272</v>
      </c>
      <c r="AH1362" s="15" t="n">
        <v>40.98</v>
      </c>
      <c r="AI1362" s="15" t="n">
        <v>44.48</v>
      </c>
      <c r="AJ1362" s="34" t="n">
        <v>46272</v>
      </c>
      <c r="AK1362" s="15" t="n">
        <v>14.17</v>
      </c>
      <c r="AL1362" s="15" t="n">
        <v>38.31</v>
      </c>
      <c r="AM1362" s="34" t="n">
        <v>46272</v>
      </c>
      <c r="AN1362" s="15" t="n">
        <v>572.5</v>
      </c>
      <c r="AO1362" s="15" t="n">
        <v>348.2</v>
      </c>
      <c r="AP1362" s="34" t="n">
        <v>46272</v>
      </c>
      <c r="AQ1362" s="15" t="n">
        <v>46.94</v>
      </c>
      <c r="AR1362" s="15" t="n">
        <v>46.26</v>
      </c>
      <c r="AS1362" s="34" t="n">
        <v>46272</v>
      </c>
      <c r="AT1362" s="15" t="n">
        <v>12.65</v>
      </c>
      <c r="AU1362" s="15" t="n">
        <v>19.98</v>
      </c>
      <c r="AV1362" s="34" t="n">
        <v>46272</v>
      </c>
      <c r="AW1362" s="15" t="n">
        <v>28.34</v>
      </c>
      <c r="AX1362" s="15" t="n">
        <v>34.2</v>
      </c>
      <c r="AY1362" s="34" t="n">
        <v>46272</v>
      </c>
      <c r="AZ1362" s="15" t="n">
        <v>25.62</v>
      </c>
      <c r="BA1362" s="15" t="n">
        <v>36.5</v>
      </c>
      <c r="BB1362" s="34" t="n">
        <v>46272</v>
      </c>
      <c r="BC1362" s="15" t="n">
        <v>63.3</v>
      </c>
      <c r="BD1362" s="15" t="n">
        <v>76.23</v>
      </c>
      <c r="BE1362" s="34" t="n">
        <v>46272</v>
      </c>
      <c r="BF1362" s="15" t="n">
        <v>117.2</v>
      </c>
      <c r="BG1362" s="15" t="n">
        <v>189.12</v>
      </c>
      <c r="BH1362" s="34" t="n">
        <v>46272</v>
      </c>
      <c r="BI1362" s="15" t="n">
        <v>24.34</v>
      </c>
      <c r="BJ1362" s="15" t="n">
        <v>35.78</v>
      </c>
      <c r="BK1362" s="34" t="n">
        <v>46272</v>
      </c>
      <c r="BL1362" s="15" t="n">
        <v>66.40000000000001</v>
      </c>
      <c r="BM1362" s="15" t="n">
        <v>100.01</v>
      </c>
      <c r="BN1362" s="34" t="n">
        <v>46272</v>
      </c>
      <c r="BO1362" s="15" t="n">
        <v>7.72</v>
      </c>
      <c r="BP1362" s="15" t="n">
        <v>19.09</v>
      </c>
      <c r="BQ1362" s="34" t="n">
        <v>46272</v>
      </c>
      <c r="BR1362" s="15" t="n">
        <v>19.8</v>
      </c>
      <c r="BS1362" s="15" t="n">
        <v>19.89</v>
      </c>
      <c r="BT1362" s="34" t="n">
        <v>46272</v>
      </c>
      <c r="BU1362" s="15" t="n">
        <v>120.2</v>
      </c>
      <c r="BV1362" s="15" t="n">
        <v>207.21</v>
      </c>
      <c r="BW1362" s="34" t="n">
        <v>46272</v>
      </c>
      <c r="BX1362" s="15" t="n">
        <v>38</v>
      </c>
      <c r="BY1362" s="15" t="n">
        <v>49.24</v>
      </c>
      <c r="BZ1362" s="34" t="n">
        <v>46272</v>
      </c>
      <c r="CA1362" s="15" t="n">
        <v>12.25</v>
      </c>
      <c r="CB1362" s="15" t="n">
        <v>19.57</v>
      </c>
      <c r="CC1362" s="34" t="n">
        <v>46272</v>
      </c>
      <c r="CD1362" s="15" t="n">
        <v>24.78</v>
      </c>
      <c r="CE1362" s="15" t="n">
        <v>38.95</v>
      </c>
      <c r="CF1362" s="34" t="n">
        <v>46272</v>
      </c>
      <c r="CG1362" s="15" t="n">
        <v>157</v>
      </c>
      <c r="CH1362" s="15" t="n">
        <v>242.61</v>
      </c>
      <c r="CI1362" s="34" t="n">
        <v>46272</v>
      </c>
      <c r="CJ1362" s="15" t="n">
        <v>6.875</v>
      </c>
      <c r="CK1362" s="15" t="n">
        <v>13.14</v>
      </c>
      <c r="CL1362" s="34" t="n">
        <v>46272</v>
      </c>
      <c r="CM1362" s="15" t="n">
        <v>73.05</v>
      </c>
      <c r="CN1362" s="15" t="n">
        <v>81.08</v>
      </c>
      <c r="CO1362" s="34" t="n">
        <v>46272</v>
      </c>
      <c r="CP1362" s="15" t="n">
        <v>491.6</v>
      </c>
      <c r="CQ1362" s="15" t="n">
        <v>385.44</v>
      </c>
      <c r="CR1362" s="34" t="n">
        <v>46272</v>
      </c>
      <c r="CS1362" s="15" t="n">
        <v>22.52</v>
      </c>
      <c r="CT1362" s="15" t="n">
        <v>37.85</v>
      </c>
      <c r="CU1362" s="34" t="n">
        <v>46272</v>
      </c>
      <c r="CV1362" s="15" t="n">
        <v>104.6</v>
      </c>
      <c r="CW1362" s="15" t="n">
        <v>121.98</v>
      </c>
      <c r="CX1362" s="34" t="n">
        <v>46272</v>
      </c>
      <c r="CY1362" s="15" t="n">
        <v>38.16</v>
      </c>
      <c r="CZ1362" s="15" t="n">
        <v>61.28</v>
      </c>
      <c r="DA1362" s="34" t="n">
        <v>46272</v>
      </c>
      <c r="DB1362" s="15" t="n">
        <v>108.8</v>
      </c>
      <c r="DC1362" s="15" t="n">
        <v>267.9</v>
      </c>
      <c r="DD1362" s="34" t="n">
        <v>46272</v>
      </c>
      <c r="DE1362" s="15" t="n">
        <v>39.88</v>
      </c>
      <c r="DF1362" s="15" t="n">
        <v>43.91</v>
      </c>
      <c r="DG1362" s="34" t="n">
        <v>46272</v>
      </c>
      <c r="DH1362" s="15" t="n">
        <v>279</v>
      </c>
      <c r="DI1362" s="15" t="n">
        <v>197.82</v>
      </c>
      <c r="DJ1362" s="34" t="n">
        <v>46272</v>
      </c>
      <c r="DK1362" s="15" t="n">
        <v>28.42</v>
      </c>
      <c r="DL1362" s="15" t="n">
        <v>31.49</v>
      </c>
      <c r="DM1362" s="34" t="n">
        <v>46272</v>
      </c>
      <c r="DN1362" s="15" t="n">
        <v>10.03</v>
      </c>
      <c r="DO1362" s="15" t="n">
        <v>17.19</v>
      </c>
      <c r="DP1362" s="34" t="n">
        <v>46272</v>
      </c>
      <c r="DQ1362" s="15" t="n">
        <v>16.22</v>
      </c>
      <c r="DR1362" s="15" t="n">
        <v>30.58</v>
      </c>
      <c r="DS1362" s="34" t="n">
        <v>46272</v>
      </c>
      <c r="DT1362" s="15" t="n">
        <v>39.72</v>
      </c>
      <c r="DU1362" s="15" t="n">
        <v>73.02</v>
      </c>
      <c r="DV1362" s="34" t="n">
        <v>46272</v>
      </c>
      <c r="DW1362" s="15" t="n">
        <v>23.1</v>
      </c>
      <c r="DX1362" s="15" t="n">
        <v>46.12</v>
      </c>
      <c r="DY1362" s="34" t="n">
        <v>46272</v>
      </c>
      <c r="DZ1362" s="15" t="n">
        <v>127.3</v>
      </c>
      <c r="EA1362" s="15" t="n">
        <v>167.88</v>
      </c>
      <c r="EB1362" s="34" t="n">
        <v>46272</v>
      </c>
      <c r="EC1362" s="15" t="n">
        <v>8.85</v>
      </c>
      <c r="ED1362" s="15" t="n">
        <v>20.12</v>
      </c>
      <c r="EE1362" s="34" t="n">
        <v>46272</v>
      </c>
      <c r="EF1362" s="15" t="n">
        <v>216.2</v>
      </c>
      <c r="EG1362" s="15" t="n">
        <v>233.46</v>
      </c>
      <c r="EH1362" s="34" t="n">
        <v>46272</v>
      </c>
      <c r="EI1362" s="15" t="n">
        <v>76.40000000000001</v>
      </c>
      <c r="EJ1362" s="15" t="n">
        <v>78.25</v>
      </c>
      <c r="EK1362" s="34" t="n">
        <v>46272</v>
      </c>
      <c r="EL1362" s="15" t="n">
        <v>20.66</v>
      </c>
      <c r="EM1362" s="15" t="n">
        <v>27.1</v>
      </c>
      <c r="EN1362" s="34" t="n">
        <v>46272</v>
      </c>
      <c r="EO1362" s="15" t="n">
        <v>31.56</v>
      </c>
      <c r="EP1362" s="15" t="n">
        <v>52.35</v>
      </c>
      <c r="EQ1362" s="34" t="n">
        <v>46272</v>
      </c>
      <c r="ER1362" s="15" t="n">
        <v>27.92</v>
      </c>
      <c r="ES1362" s="15" t="n">
        <v>33.24</v>
      </c>
      <c r="ET1362" s="34" t="n">
        <v>46272</v>
      </c>
      <c r="EU1362" s="15" t="n">
        <v>7.355</v>
      </c>
      <c r="EV1362" s="15" t="n">
        <v>14.24</v>
      </c>
      <c r="EW1362" s="34" t="n">
        <v>46272</v>
      </c>
      <c r="EX1362" s="15" t="n">
        <v>88.45</v>
      </c>
      <c r="EY1362" s="15" t="n">
        <v>110.6</v>
      </c>
      <c r="EZ1362" s="34" t="n">
        <v>46272</v>
      </c>
      <c r="FA1362" s="15" t="n">
        <v>6.63</v>
      </c>
      <c r="FB1362" s="15" t="n">
        <v>12.65</v>
      </c>
      <c r="FC1362" s="34" t="n">
        <v>46272</v>
      </c>
      <c r="FD1362" s="15" t="n">
        <v>358</v>
      </c>
      <c r="FE1362" s="15" t="n">
        <v>410.05</v>
      </c>
      <c r="FF1362" s="34" t="n">
        <v>46272</v>
      </c>
      <c r="FG1362" s="15" t="n">
        <v>137.3</v>
      </c>
      <c r="FH1362" s="15" t="n">
        <v>132.24</v>
      </c>
      <c r="FI1362" s="34" t="n">
        <v>46272</v>
      </c>
      <c r="FJ1362" s="15" t="n">
        <v>22.52</v>
      </c>
      <c r="FK1362" s="15" t="n">
        <v>42.61</v>
      </c>
      <c r="FL1362" s="34" t="n">
        <v>46272</v>
      </c>
      <c r="FM1362" s="15" t="n">
        <v>61.4</v>
      </c>
      <c r="FN1362" s="15" t="n">
        <v>55.93</v>
      </c>
      <c r="FO1362" s="34" t="n">
        <v>46272</v>
      </c>
      <c r="FP1362" s="15" t="n">
        <v>121</v>
      </c>
      <c r="FQ1362" s="15" t="n">
        <v>114.92</v>
      </c>
      <c r="FR1362" s="34" t="n">
        <v>46272</v>
      </c>
      <c r="FS1362" s="15" t="n">
        <v>347.2</v>
      </c>
      <c r="FT1362" s="15" t="n">
        <v>396.76</v>
      </c>
      <c r="FU1362" s="34" t="n">
        <v>46272</v>
      </c>
      <c r="FV1362" s="15" t="n">
        <v>3.05</v>
      </c>
      <c r="FW1362" s="15" t="n">
        <v>6</v>
      </c>
      <c r="FX1362" s="34" t="n">
        <v>46272</v>
      </c>
      <c r="FY1362" s="15" t="n">
        <v>27.5</v>
      </c>
      <c r="FZ1362" s="15" t="n">
        <v>35.98</v>
      </c>
      <c r="GA1362" s="34" t="n">
        <v>46272</v>
      </c>
      <c r="GB1362" s="15" t="n">
        <v>1203</v>
      </c>
      <c r="GC1362" s="15" t="n">
        <v>898.46</v>
      </c>
      <c r="GD1362" s="34" t="n">
        <v>46272</v>
      </c>
      <c r="GE1362" s="15" t="n">
        <v>101.5</v>
      </c>
      <c r="GF1362" s="15" t="n">
        <v>133.8</v>
      </c>
      <c r="GG1362" s="34" t="n">
        <v>46272</v>
      </c>
    </row>
    <row r="1363">
      <c r="A1363" s="34" t="n">
        <v>46273</v>
      </c>
      <c r="B1363" s="266" t="n">
        <v>1.168115019798279</v>
      </c>
      <c r="C1363" s="34" t="n">
        <v>46273</v>
      </c>
      <c r="D1363" s="15" t="n">
        <v>22.48</v>
      </c>
      <c r="E1363" s="15" t="n">
        <v>43.62</v>
      </c>
      <c r="F1363" s="34" t="n">
        <v>46273</v>
      </c>
      <c r="G1363" s="15" t="n">
        <v>140.3</v>
      </c>
      <c r="H1363" s="15" t="n">
        <v>174.31</v>
      </c>
      <c r="I1363" s="34" t="n">
        <v>46273</v>
      </c>
      <c r="J1363" s="15" t="n">
        <v>16.46</v>
      </c>
      <c r="K1363" s="15" t="n">
        <v>25.79</v>
      </c>
      <c r="L1363" s="34" t="n">
        <v>46273</v>
      </c>
      <c r="M1363" s="15" t="n">
        <v>34.76</v>
      </c>
      <c r="N1363" s="15" t="n">
        <v>45.59</v>
      </c>
      <c r="O1363" s="34" t="n">
        <v>46273</v>
      </c>
      <c r="P1363" s="15" t="n">
        <v>49.8</v>
      </c>
      <c r="Q1363" s="15" t="n">
        <v>54.59</v>
      </c>
      <c r="R1363" s="34" t="n">
        <v>46273</v>
      </c>
      <c r="S1363" s="15" t="n">
        <v>61.75</v>
      </c>
      <c r="T1363" s="15" t="n">
        <v>128.56</v>
      </c>
      <c r="U1363" s="34" t="n">
        <v>46273</v>
      </c>
      <c r="V1363" s="15" t="n">
        <v>12.27</v>
      </c>
      <c r="W1363" s="15" t="n">
        <v>18.36</v>
      </c>
      <c r="X1363" s="34" t="n">
        <v>46273</v>
      </c>
      <c r="Y1363" s="15" t="n">
        <v>98.34999999999999</v>
      </c>
      <c r="Z1363" s="15" t="n">
        <v>85.15000000000001</v>
      </c>
      <c r="AA1363" s="34" t="n">
        <v>46273</v>
      </c>
      <c r="AB1363" s="15" t="n">
        <v>9.19</v>
      </c>
      <c r="AC1363" s="15" t="n">
        <v>18.41</v>
      </c>
      <c r="AD1363" s="34" t="n">
        <v>46273</v>
      </c>
      <c r="AE1363" s="15" t="n">
        <v>30.98</v>
      </c>
      <c r="AF1363" s="15" t="n">
        <v>31.84</v>
      </c>
      <c r="AG1363" s="34" t="n">
        <v>46273</v>
      </c>
      <c r="AH1363" s="15" t="n">
        <v>40.62</v>
      </c>
      <c r="AI1363" s="15" t="n">
        <v>44.2</v>
      </c>
      <c r="AJ1363" s="34" t="n">
        <v>46273</v>
      </c>
      <c r="AK1363" s="15" t="n">
        <v>13.96</v>
      </c>
      <c r="AL1363" s="15" t="n">
        <v>39.09</v>
      </c>
      <c r="AM1363" s="34" t="n">
        <v>46273</v>
      </c>
      <c r="AN1363" s="15" t="n">
        <v>562</v>
      </c>
      <c r="AO1363" s="15" t="n">
        <v>335.49</v>
      </c>
      <c r="AP1363" s="34" t="n">
        <v>46273</v>
      </c>
      <c r="AQ1363" s="15" t="n">
        <v>46.32</v>
      </c>
      <c r="AR1363" s="15" t="n">
        <v>45.71</v>
      </c>
      <c r="AS1363" s="34" t="n">
        <v>46273</v>
      </c>
      <c r="AT1363" s="15" t="n">
        <v>13.08</v>
      </c>
      <c r="AU1363" s="15" t="n">
        <v>20.58</v>
      </c>
      <c r="AV1363" s="34" t="n">
        <v>46273</v>
      </c>
      <c r="AW1363" s="15" t="n">
        <v>28.3</v>
      </c>
      <c r="AX1363" s="15" t="n">
        <v>34.06</v>
      </c>
      <c r="AY1363" s="34" t="n">
        <v>46273</v>
      </c>
      <c r="AZ1363" s="15" t="n">
        <v>25.18</v>
      </c>
      <c r="BA1363" s="15" t="n">
        <v>36.22</v>
      </c>
      <c r="BB1363" s="34" t="n">
        <v>46273</v>
      </c>
      <c r="BC1363" s="15" t="n">
        <v>63.45</v>
      </c>
      <c r="BD1363" s="15" t="n">
        <v>76.52</v>
      </c>
      <c r="BE1363" s="34" t="n">
        <v>46273</v>
      </c>
      <c r="BF1363" s="15" t="n">
        <v>114.9</v>
      </c>
      <c r="BG1363" s="15" t="n">
        <v>184.79</v>
      </c>
      <c r="BH1363" s="34" t="n">
        <v>46273</v>
      </c>
      <c r="BI1363" s="15" t="n">
        <v>23.2</v>
      </c>
      <c r="BJ1363" s="15" t="n">
        <v>34.6</v>
      </c>
      <c r="BK1363" s="34" t="n">
        <v>46273</v>
      </c>
      <c r="BL1363" s="15" t="n">
        <v>64.05</v>
      </c>
      <c r="BM1363" s="15" t="n">
        <v>97.8</v>
      </c>
      <c r="BN1363" s="34" t="n">
        <v>46273</v>
      </c>
      <c r="BO1363" s="15" t="n">
        <v>7.645</v>
      </c>
      <c r="BP1363" s="15" t="n">
        <v>18.95</v>
      </c>
      <c r="BQ1363" s="34" t="n">
        <v>46273</v>
      </c>
      <c r="BR1363" s="15" t="n">
        <v>19.85</v>
      </c>
      <c r="BS1363" s="15" t="n">
        <v>19.97</v>
      </c>
      <c r="BT1363" s="34" t="n">
        <v>46273</v>
      </c>
      <c r="BU1363" s="15" t="n">
        <v>120.9</v>
      </c>
      <c r="BV1363" s="15" t="n">
        <v>222.3</v>
      </c>
      <c r="BW1363" s="34" t="n">
        <v>46273</v>
      </c>
      <c r="BX1363" s="15" t="n">
        <v>37.5</v>
      </c>
      <c r="BY1363" s="15" t="n">
        <v>49.28</v>
      </c>
      <c r="BZ1363" s="34" t="n">
        <v>46273</v>
      </c>
      <c r="CA1363" s="15" t="n">
        <v>12.36</v>
      </c>
      <c r="CB1363" s="15" t="n">
        <v>20.09</v>
      </c>
      <c r="CC1363" s="34" t="n">
        <v>46273</v>
      </c>
      <c r="CD1363" s="15" t="n">
        <v>24.62</v>
      </c>
      <c r="CE1363" s="15" t="n">
        <v>38.69</v>
      </c>
      <c r="CF1363" s="34" t="n">
        <v>46273</v>
      </c>
      <c r="CG1363" s="15" t="n">
        <v>155.2</v>
      </c>
      <c r="CH1363" s="15" t="n">
        <v>239.03</v>
      </c>
      <c r="CI1363" s="34" t="n">
        <v>46273</v>
      </c>
      <c r="CJ1363" s="15" t="n">
        <v>6.975</v>
      </c>
      <c r="CK1363" s="15" t="n">
        <v>13.29</v>
      </c>
      <c r="CL1363" s="34" t="n">
        <v>46273</v>
      </c>
      <c r="CM1363" s="15" t="n">
        <v>71.7</v>
      </c>
      <c r="CN1363" s="15" t="n">
        <v>80.47</v>
      </c>
      <c r="CO1363" s="34" t="n">
        <v>46273</v>
      </c>
      <c r="CP1363" s="15" t="n">
        <v>485.6</v>
      </c>
      <c r="CQ1363" s="15" t="n">
        <v>385.96</v>
      </c>
      <c r="CR1363" s="34" t="n">
        <v>46273</v>
      </c>
      <c r="CS1363" s="15" t="n">
        <v>21.92</v>
      </c>
      <c r="CT1363" s="15" t="n">
        <v>37</v>
      </c>
      <c r="CU1363" s="34" t="n">
        <v>46273</v>
      </c>
      <c r="CV1363" s="15" t="n">
        <v>101.7</v>
      </c>
      <c r="CW1363" s="15" t="n">
        <v>120.2</v>
      </c>
      <c r="CX1363" s="34" t="n">
        <v>46273</v>
      </c>
      <c r="CY1363" s="15" t="n">
        <v>36.8</v>
      </c>
      <c r="CZ1363" s="15" t="n">
        <v>60.71</v>
      </c>
      <c r="DA1363" s="34" t="n">
        <v>46273</v>
      </c>
      <c r="DB1363" s="15" t="n">
        <v>106</v>
      </c>
      <c r="DC1363" s="15" t="n">
        <v>264.27</v>
      </c>
      <c r="DD1363" s="34" t="n">
        <v>46273</v>
      </c>
      <c r="DE1363" s="15" t="n">
        <v>39.52</v>
      </c>
      <c r="DF1363" s="15" t="n">
        <v>43.23</v>
      </c>
      <c r="DG1363" s="34" t="n">
        <v>46273</v>
      </c>
      <c r="DH1363" s="15" t="n">
        <v>276</v>
      </c>
      <c r="DI1363" s="15" t="n">
        <v>195.65</v>
      </c>
      <c r="DJ1363" s="34" t="n">
        <v>46273</v>
      </c>
      <c r="DK1363" s="15" t="n">
        <v>27.66</v>
      </c>
      <c r="DL1363" s="15" t="n">
        <v>30.88</v>
      </c>
      <c r="DM1363" s="34" t="n">
        <v>46273</v>
      </c>
      <c r="DN1363" s="15" t="n">
        <v>9.914999999999999</v>
      </c>
      <c r="DO1363" s="15" t="n">
        <v>16.93</v>
      </c>
      <c r="DP1363" s="34" t="n">
        <v>46273</v>
      </c>
      <c r="DQ1363" s="15" t="n">
        <v>15.91</v>
      </c>
      <c r="DR1363" s="15" t="n">
        <v>30.23</v>
      </c>
      <c r="DS1363" s="34" t="n">
        <v>46273</v>
      </c>
      <c r="DT1363" s="15" t="n">
        <v>38.74</v>
      </c>
      <c r="DU1363" s="15" t="n">
        <v>71.43000000000001</v>
      </c>
      <c r="DV1363" s="34" t="n">
        <v>46273</v>
      </c>
      <c r="DW1363" s="15" t="n">
        <v>21.92</v>
      </c>
      <c r="DX1363" s="15" t="n">
        <v>47.51</v>
      </c>
      <c r="DY1363" s="34" t="n">
        <v>46273</v>
      </c>
      <c r="DZ1363" s="15" t="n">
        <v>126.1</v>
      </c>
      <c r="EA1363" s="15" t="n">
        <v>169.19</v>
      </c>
      <c r="EB1363" s="34" t="n">
        <v>46273</v>
      </c>
      <c r="EC1363" s="15" t="n">
        <v>8.835000000000001</v>
      </c>
      <c r="ED1363" s="15" t="n">
        <v>19.85</v>
      </c>
      <c r="EE1363" s="34" t="n">
        <v>46273</v>
      </c>
      <c r="EF1363" s="15" t="n">
        <v>206.8</v>
      </c>
      <c r="EG1363" s="15" t="n">
        <v>229.01</v>
      </c>
      <c r="EH1363" s="34" t="n">
        <v>46273</v>
      </c>
      <c r="EI1363" s="15" t="n">
        <v>72.90000000000001</v>
      </c>
      <c r="EJ1363" s="15" t="n">
        <v>76.13</v>
      </c>
      <c r="EK1363" s="34" t="n">
        <v>46273</v>
      </c>
      <c r="EL1363" s="15" t="n">
        <v>20.84</v>
      </c>
      <c r="EM1363" s="15" t="n">
        <v>26.58</v>
      </c>
      <c r="EN1363" s="34" t="n">
        <v>46273</v>
      </c>
      <c r="EO1363" s="15" t="n">
        <v>31.84</v>
      </c>
      <c r="EP1363" s="15" t="n">
        <v>51.73</v>
      </c>
      <c r="EQ1363" s="34" t="n">
        <v>46273</v>
      </c>
      <c r="ER1363" s="15" t="n">
        <v>27.4</v>
      </c>
      <c r="ES1363" s="15" t="n">
        <v>33.11</v>
      </c>
      <c r="ET1363" s="34" t="n">
        <v>46273</v>
      </c>
      <c r="EU1363" s="15" t="n">
        <v>7.2</v>
      </c>
      <c r="EV1363" s="15" t="n">
        <v>13.88</v>
      </c>
      <c r="EW1363" s="34" t="n">
        <v>46273</v>
      </c>
      <c r="EX1363" s="15" t="n">
        <v>87.55</v>
      </c>
      <c r="EY1363" s="15" t="n">
        <v>107.13</v>
      </c>
      <c r="EZ1363" s="34" t="n">
        <v>46273</v>
      </c>
      <c r="FA1363" s="15" t="n">
        <v>6.5</v>
      </c>
      <c r="FB1363" s="15" t="n">
        <v>12.43</v>
      </c>
      <c r="FC1363" s="34" t="n">
        <v>46273</v>
      </c>
      <c r="FD1363" s="15" t="n">
        <v>341.4</v>
      </c>
      <c r="FE1363" s="15" t="n">
        <v>405</v>
      </c>
      <c r="FF1363" s="34" t="n">
        <v>46273</v>
      </c>
      <c r="FG1363" s="15" t="n">
        <v>128.2</v>
      </c>
      <c r="FH1363" s="15" t="n">
        <v>127.89</v>
      </c>
      <c r="FI1363" s="34" t="n">
        <v>46273</v>
      </c>
      <c r="FJ1363" s="15" t="n">
        <v>21.98</v>
      </c>
      <c r="FK1363" s="15" t="n">
        <v>42.31</v>
      </c>
      <c r="FL1363" s="34" t="n">
        <v>46273</v>
      </c>
      <c r="FM1363" s="15" t="n">
        <v>59.8</v>
      </c>
      <c r="FN1363" s="15" t="n">
        <v>55.06</v>
      </c>
      <c r="FO1363" s="34" t="n">
        <v>46273</v>
      </c>
      <c r="FP1363" s="15" t="n">
        <v>117.6</v>
      </c>
      <c r="FQ1363" s="15" t="n">
        <v>115.17</v>
      </c>
      <c r="FR1363" s="34" t="n">
        <v>46273</v>
      </c>
      <c r="FS1363" s="15" t="n">
        <v>336.4</v>
      </c>
      <c r="FT1363" s="15" t="n">
        <v>399</v>
      </c>
      <c r="FU1363" s="34" t="n">
        <v>46273</v>
      </c>
      <c r="FV1363" s="15" t="n">
        <v>3.18</v>
      </c>
      <c r="FW1363" s="15" t="n">
        <v>6.18</v>
      </c>
      <c r="FX1363" s="34" t="n">
        <v>46273</v>
      </c>
      <c r="FY1363" s="15" t="n">
        <v>27.18</v>
      </c>
      <c r="FZ1363" s="15" t="n">
        <v>35.6</v>
      </c>
      <c r="GA1363" s="34" t="n">
        <v>46273</v>
      </c>
      <c r="GB1363" s="15" t="n">
        <v>1161</v>
      </c>
      <c r="GC1363" s="15" t="n">
        <v>902.37</v>
      </c>
      <c r="GD1363" s="34" t="n">
        <v>46273</v>
      </c>
      <c r="GE1363" s="15" t="n">
        <v>100</v>
      </c>
      <c r="GF1363" s="15" t="n">
        <v>133.79</v>
      </c>
      <c r="GG1363" s="34" t="n">
        <v>46273</v>
      </c>
    </row>
    <row r="1364">
      <c r="A1364" s="34" t="n">
        <v>46274</v>
      </c>
      <c r="B1364" s="266" t="n">
        <v>1.168408989906311</v>
      </c>
      <c r="C1364" s="34" t="n">
        <v>46274</v>
      </c>
      <c r="D1364" s="15" t="n">
        <v>22.64</v>
      </c>
      <c r="E1364" s="15" t="n">
        <v>43.74</v>
      </c>
      <c r="F1364" s="34" t="n">
        <v>46274</v>
      </c>
      <c r="G1364" s="15" t="n">
        <v>140.4</v>
      </c>
      <c r="H1364" s="15" t="n">
        <v>173.05</v>
      </c>
      <c r="I1364" s="34" t="n">
        <v>46274</v>
      </c>
      <c r="J1364" s="15" t="n">
        <v>16.77</v>
      </c>
      <c r="K1364" s="15" t="n">
        <v>25.76</v>
      </c>
      <c r="L1364" s="34" t="n">
        <v>46274</v>
      </c>
      <c r="M1364" s="15" t="n">
        <v>34.92</v>
      </c>
      <c r="N1364" s="15" t="n">
        <v>45.56</v>
      </c>
      <c r="O1364" s="34" t="n">
        <v>46274</v>
      </c>
      <c r="P1364" s="15" t="n">
        <v>48.86</v>
      </c>
      <c r="Q1364" s="15" t="n">
        <v>53.74</v>
      </c>
      <c r="R1364" s="34" t="n">
        <v>46274</v>
      </c>
      <c r="S1364" s="15" t="n">
        <v>60.95</v>
      </c>
      <c r="T1364" s="15" t="n">
        <v>126.01</v>
      </c>
      <c r="U1364" s="34" t="n">
        <v>46274</v>
      </c>
      <c r="V1364" s="15" t="n">
        <v>12.21</v>
      </c>
      <c r="W1364" s="15" t="n">
        <v>18.11</v>
      </c>
      <c r="X1364" s="34" t="n">
        <v>46274</v>
      </c>
      <c r="Y1364" s="15" t="n">
        <v>98.65000000000001</v>
      </c>
      <c r="Z1364" s="15" t="n">
        <v>86.02</v>
      </c>
      <c r="AA1364" s="34" t="n">
        <v>46274</v>
      </c>
      <c r="AB1364" s="15" t="n">
        <v>9.220000000000001</v>
      </c>
      <c r="AC1364" s="15" t="n">
        <v>18.46</v>
      </c>
      <c r="AD1364" s="34" t="n">
        <v>46274</v>
      </c>
      <c r="AE1364" s="15" t="n">
        <v>30.78</v>
      </c>
      <c r="AF1364" s="15" t="n">
        <v>31.62</v>
      </c>
      <c r="AG1364" s="34" t="n">
        <v>46274</v>
      </c>
      <c r="AH1364" s="15" t="n">
        <v>39.72</v>
      </c>
      <c r="AI1364" s="15" t="n">
        <v>43.88</v>
      </c>
      <c r="AJ1364" s="34" t="n">
        <v>46274</v>
      </c>
      <c r="AK1364" s="15" t="n">
        <v>13.73</v>
      </c>
      <c r="AL1364" s="15" t="n">
        <v>38.6</v>
      </c>
      <c r="AM1364" s="34" t="n">
        <v>46274</v>
      </c>
      <c r="AN1364" s="15" t="n">
        <v>562</v>
      </c>
      <c r="AO1364" s="15" t="n">
        <v>336.84</v>
      </c>
      <c r="AP1364" s="34" t="n">
        <v>46274</v>
      </c>
      <c r="AQ1364" s="15" t="n">
        <v>45.94</v>
      </c>
      <c r="AR1364" s="15" t="n">
        <v>44.71</v>
      </c>
      <c r="AS1364" s="34" t="n">
        <v>46274</v>
      </c>
      <c r="AT1364" s="15" t="n">
        <v>12.8</v>
      </c>
      <c r="AU1364" s="15" t="n">
        <v>20.42</v>
      </c>
      <c r="AV1364" s="34" t="n">
        <v>46274</v>
      </c>
      <c r="AW1364" s="15" t="n">
        <v>27.92</v>
      </c>
      <c r="AX1364" s="15" t="n">
        <v>34.36</v>
      </c>
      <c r="AY1364" s="34" t="n">
        <v>46274</v>
      </c>
      <c r="AZ1364" s="15" t="n">
        <v>25.48</v>
      </c>
      <c r="BA1364" s="15" t="n">
        <v>36.19</v>
      </c>
      <c r="BB1364" s="34" t="n">
        <v>46274</v>
      </c>
      <c r="BC1364" s="15" t="n">
        <v>60.25</v>
      </c>
      <c r="BD1364" s="15" t="n">
        <v>74.34999999999999</v>
      </c>
      <c r="BE1364" s="34" t="n">
        <v>46274</v>
      </c>
      <c r="BF1364" s="15" t="n">
        <v>118.4</v>
      </c>
      <c r="BG1364" s="15" t="n">
        <v>179.45</v>
      </c>
      <c r="BH1364" s="34" t="n">
        <v>46274</v>
      </c>
      <c r="BI1364" s="15" t="n">
        <v>23.48</v>
      </c>
      <c r="BJ1364" s="15" t="n">
        <v>35.12</v>
      </c>
      <c r="BK1364" s="34" t="n">
        <v>46274</v>
      </c>
      <c r="BL1364" s="15" t="n">
        <v>65</v>
      </c>
      <c r="BM1364" s="15" t="n">
        <v>98.05</v>
      </c>
      <c r="BN1364" s="34" t="n">
        <v>46274</v>
      </c>
      <c r="BO1364" s="15" t="n">
        <v>7.33</v>
      </c>
      <c r="BP1364" s="15" t="n">
        <v>18.32</v>
      </c>
      <c r="BQ1364" s="34" t="n">
        <v>46274</v>
      </c>
      <c r="BR1364" s="15" t="n">
        <v>20.26</v>
      </c>
      <c r="BS1364" s="15" t="n">
        <v>20.22</v>
      </c>
      <c r="BT1364" s="34" t="n">
        <v>46274</v>
      </c>
      <c r="BU1364" s="15" t="n">
        <v>118.7</v>
      </c>
      <c r="BV1364" s="15" t="n">
        <v>218.99</v>
      </c>
      <c r="BW1364" s="34" t="n">
        <v>46274</v>
      </c>
      <c r="BX1364" s="15" t="n">
        <v>36.46</v>
      </c>
      <c r="BY1364" s="15" t="n">
        <v>48.42</v>
      </c>
      <c r="BZ1364" s="34" t="n">
        <v>46274</v>
      </c>
      <c r="CA1364" s="15" t="n">
        <v>12.13</v>
      </c>
      <c r="CB1364" s="15" t="n">
        <v>19.87</v>
      </c>
      <c r="CC1364" s="34" t="n">
        <v>46274</v>
      </c>
      <c r="CD1364" s="15" t="n">
        <v>24.54</v>
      </c>
      <c r="CE1364" s="15" t="n">
        <v>39.26</v>
      </c>
      <c r="CF1364" s="34" t="n">
        <v>46274</v>
      </c>
      <c r="CG1364" s="15" t="n">
        <v>160</v>
      </c>
      <c r="CH1364" s="15" t="n">
        <v>234.01</v>
      </c>
      <c r="CI1364" s="34" t="n">
        <v>46274</v>
      </c>
      <c r="CJ1364" s="15" t="n">
        <v>6.9</v>
      </c>
      <c r="CK1364" s="15" t="n">
        <v>13.33</v>
      </c>
      <c r="CL1364" s="34" t="n">
        <v>46274</v>
      </c>
      <c r="CM1364" s="15" t="n">
        <v>71.25</v>
      </c>
      <c r="CN1364" s="15" t="n">
        <v>80.01000000000001</v>
      </c>
      <c r="CO1364" s="34" t="n">
        <v>46274</v>
      </c>
      <c r="CP1364" s="15" t="n">
        <v>480.4</v>
      </c>
      <c r="CQ1364" s="15" t="n">
        <v>381.87</v>
      </c>
      <c r="CR1364" s="34" t="n">
        <v>46274</v>
      </c>
      <c r="CS1364" s="15" t="n">
        <v>21.78</v>
      </c>
      <c r="CT1364" s="15" t="n">
        <v>36.46</v>
      </c>
      <c r="CU1364" s="34" t="n">
        <v>46274</v>
      </c>
      <c r="CV1364" s="15" t="n">
        <v>102.2</v>
      </c>
      <c r="CW1364" s="15" t="n">
        <v>117.25</v>
      </c>
      <c r="CX1364" s="34" t="n">
        <v>46274</v>
      </c>
      <c r="CY1364" s="15" t="n">
        <v>36.62</v>
      </c>
      <c r="CZ1364" s="15" t="n">
        <v>61.08</v>
      </c>
      <c r="DA1364" s="34" t="n">
        <v>46274</v>
      </c>
      <c r="DB1364" s="15" t="n">
        <v>107</v>
      </c>
      <c r="DC1364" s="15" t="n">
        <v>263.04</v>
      </c>
      <c r="DD1364" s="34" t="n">
        <v>46274</v>
      </c>
      <c r="DE1364" s="15" t="n">
        <v>39.42</v>
      </c>
      <c r="DF1364" s="15" t="n">
        <v>43.25</v>
      </c>
      <c r="DG1364" s="34" t="n">
        <v>46274</v>
      </c>
      <c r="DH1364" s="15" t="n">
        <v>271.4</v>
      </c>
      <c r="DI1364" s="15" t="n">
        <v>195.3</v>
      </c>
      <c r="DJ1364" s="34" t="n">
        <v>46274</v>
      </c>
      <c r="DK1364" s="15" t="n">
        <v>27.9</v>
      </c>
      <c r="DL1364" s="15" t="n">
        <v>30.83</v>
      </c>
      <c r="DM1364" s="34" t="n">
        <v>46274</v>
      </c>
      <c r="DN1364" s="15" t="n">
        <v>10.2</v>
      </c>
      <c r="DO1364" s="15" t="n">
        <v>17.57</v>
      </c>
      <c r="DP1364" s="34" t="n">
        <v>46274</v>
      </c>
      <c r="DQ1364" s="15" t="n">
        <v>15.24</v>
      </c>
      <c r="DR1364" s="15" t="n">
        <v>30.06</v>
      </c>
      <c r="DS1364" s="34" t="n">
        <v>46274</v>
      </c>
      <c r="DT1364" s="15" t="n">
        <v>38.66</v>
      </c>
      <c r="DU1364" s="15" t="n">
        <v>70.40000000000001</v>
      </c>
      <c r="DV1364" s="34" t="n">
        <v>46274</v>
      </c>
      <c r="DW1364" s="15" t="n">
        <v>20.5</v>
      </c>
      <c r="DX1364" s="15" t="n">
        <v>44.35</v>
      </c>
      <c r="DY1364" s="34" t="n">
        <v>46274</v>
      </c>
      <c r="DZ1364" s="15" t="n">
        <v>127.6</v>
      </c>
      <c r="EA1364" s="15" t="n">
        <v>173.92</v>
      </c>
      <c r="EB1364" s="34" t="n">
        <v>46274</v>
      </c>
      <c r="EC1364" s="15" t="n">
        <v>8.5</v>
      </c>
      <c r="ED1364" s="15" t="n">
        <v>19.63</v>
      </c>
      <c r="EE1364" s="34" t="n">
        <v>46274</v>
      </c>
      <c r="EF1364" s="15" t="n">
        <v>211.4</v>
      </c>
      <c r="EG1364" s="15" t="n">
        <v>233.51</v>
      </c>
      <c r="EH1364" s="34" t="n">
        <v>46274</v>
      </c>
      <c r="EI1364" s="15" t="n">
        <v>74.45</v>
      </c>
      <c r="EJ1364" s="15" t="n">
        <v>76.53</v>
      </c>
      <c r="EK1364" s="34" t="n">
        <v>46274</v>
      </c>
      <c r="EL1364" s="15" t="n">
        <v>20.6</v>
      </c>
      <c r="EM1364" s="15" t="n">
        <v>26.02</v>
      </c>
      <c r="EN1364" s="34" t="n">
        <v>46274</v>
      </c>
      <c r="EO1364" s="15" t="n">
        <v>31.56</v>
      </c>
      <c r="EP1364" s="15" t="n">
        <v>51.87</v>
      </c>
      <c r="EQ1364" s="34" t="n">
        <v>46274</v>
      </c>
      <c r="ER1364" s="15" t="n">
        <v>26.94</v>
      </c>
      <c r="ES1364" s="15" t="n">
        <v>32.57</v>
      </c>
      <c r="ET1364" s="34" t="n">
        <v>46274</v>
      </c>
      <c r="EU1364" s="15" t="n">
        <v>7.47</v>
      </c>
      <c r="EV1364" s="15" t="n">
        <v>14.97</v>
      </c>
      <c r="EW1364" s="34" t="n">
        <v>46274</v>
      </c>
      <c r="EX1364" s="15" t="n">
        <v>89</v>
      </c>
      <c r="EY1364" s="15" t="n">
        <v>107.75</v>
      </c>
      <c r="EZ1364" s="34" t="n">
        <v>46274</v>
      </c>
      <c r="FA1364" s="15" t="n">
        <v>6.37</v>
      </c>
      <c r="FB1364" s="15" t="n">
        <v>12.44</v>
      </c>
      <c r="FC1364" s="34" t="n">
        <v>46274</v>
      </c>
      <c r="FD1364" s="15" t="n">
        <v>355.2</v>
      </c>
      <c r="FE1364" s="15" t="n">
        <v>410.78</v>
      </c>
      <c r="FF1364" s="34" t="n">
        <v>46274</v>
      </c>
      <c r="FG1364" s="15" t="n">
        <v>126.1</v>
      </c>
      <c r="FH1364" s="15" t="n">
        <v>128.2</v>
      </c>
      <c r="FI1364" s="34" t="n">
        <v>46274</v>
      </c>
      <c r="FJ1364" s="15" t="n">
        <v>22.06</v>
      </c>
      <c r="FK1364" s="15" t="n">
        <v>42.02</v>
      </c>
      <c r="FL1364" s="34" t="n">
        <v>46274</v>
      </c>
      <c r="FM1364" s="15" t="n">
        <v>61.9</v>
      </c>
      <c r="FN1364" s="15" t="n">
        <v>55.86</v>
      </c>
      <c r="FO1364" s="34" t="n">
        <v>46274</v>
      </c>
      <c r="FP1364" s="15" t="n">
        <v>116.4</v>
      </c>
      <c r="FQ1364" s="15" t="n">
        <v>117.77</v>
      </c>
      <c r="FR1364" s="34" t="n">
        <v>46274</v>
      </c>
      <c r="FS1364" s="15" t="n">
        <v>328</v>
      </c>
      <c r="FT1364" s="15" t="n">
        <v>392</v>
      </c>
      <c r="FU1364" s="34" t="n">
        <v>46274</v>
      </c>
      <c r="FV1364" s="15" t="n">
        <v>3.13</v>
      </c>
      <c r="FW1364" s="15" t="n">
        <v>6.1</v>
      </c>
      <c r="FX1364" s="34" t="n">
        <v>46274</v>
      </c>
      <c r="FY1364" s="15" t="n">
        <v>27.64</v>
      </c>
      <c r="FZ1364" s="15" t="n">
        <v>35.5</v>
      </c>
      <c r="GA1364" s="34" t="n">
        <v>46274</v>
      </c>
      <c r="GB1364" s="15" t="n">
        <v>1173</v>
      </c>
      <c r="GC1364" s="15" t="n">
        <v>908.9</v>
      </c>
      <c r="GD1364" s="34" t="n">
        <v>46274</v>
      </c>
      <c r="GE1364" s="15" t="n">
        <v>99.95</v>
      </c>
      <c r="GF1364" s="15" t="n">
        <v>131.98</v>
      </c>
      <c r="GG1364" s="34" t="n">
        <v>46274</v>
      </c>
    </row>
    <row r="1365">
      <c r="A1365" s="34" t="n">
        <v>46275</v>
      </c>
      <c r="B1365" s="266" t="n">
        <v>1.168462991714478</v>
      </c>
      <c r="C1365" s="34" t="n">
        <v>46275</v>
      </c>
      <c r="D1365" s="15" t="n">
        <v>21.84</v>
      </c>
      <c r="E1365" s="15" t="n">
        <v>42.57</v>
      </c>
      <c r="F1365" s="34" t="n">
        <v>46275</v>
      </c>
      <c r="G1365" s="15" t="n">
        <v>138.1</v>
      </c>
      <c r="H1365" s="15" t="n">
        <v>170.36</v>
      </c>
      <c r="I1365" s="34" t="n">
        <v>46275</v>
      </c>
      <c r="J1365" s="15" t="n">
        <v>16.12</v>
      </c>
      <c r="K1365" s="15" t="n">
        <v>25.31</v>
      </c>
      <c r="L1365" s="34" t="n">
        <v>46275</v>
      </c>
      <c r="M1365" s="15" t="n">
        <v>33.66</v>
      </c>
      <c r="N1365" s="15" t="n">
        <v>44.69</v>
      </c>
      <c r="O1365" s="34" t="n">
        <v>46275</v>
      </c>
      <c r="P1365" s="15" t="n">
        <v>47.72</v>
      </c>
      <c r="Q1365" s="15" t="n">
        <v>52.58</v>
      </c>
      <c r="R1365" s="34" t="n">
        <v>46275</v>
      </c>
      <c r="S1365" s="15" t="n">
        <v>58.1</v>
      </c>
      <c r="T1365" s="15" t="n">
        <v>122.5</v>
      </c>
      <c r="U1365" s="34" t="n">
        <v>46275</v>
      </c>
      <c r="V1365" s="15" t="n">
        <v>11.66</v>
      </c>
      <c r="W1365" s="15" t="n">
        <v>17.62</v>
      </c>
      <c r="X1365" s="34" t="n">
        <v>46275</v>
      </c>
      <c r="Y1365" s="15" t="n">
        <v>99.3</v>
      </c>
      <c r="Z1365" s="15" t="n">
        <v>86.2</v>
      </c>
      <c r="AA1365" s="34" t="n">
        <v>46275</v>
      </c>
      <c r="AB1365" s="15" t="n">
        <v>9.01</v>
      </c>
      <c r="AC1365" s="15" t="n">
        <v>18.06</v>
      </c>
      <c r="AD1365" s="34" t="n">
        <v>46275</v>
      </c>
      <c r="AE1365" s="15" t="n">
        <v>29.58</v>
      </c>
      <c r="AF1365" s="15" t="n">
        <v>31.41</v>
      </c>
      <c r="AG1365" s="34" t="n">
        <v>46275</v>
      </c>
      <c r="AH1365" s="15" t="n">
        <v>39.34</v>
      </c>
      <c r="AI1365" s="15" t="n">
        <v>44.3</v>
      </c>
      <c r="AJ1365" s="34" t="n">
        <v>46275</v>
      </c>
      <c r="AK1365" s="15" t="n">
        <v>12.74</v>
      </c>
      <c r="AL1365" s="15" t="n">
        <v>37.89</v>
      </c>
      <c r="AM1365" s="34" t="n">
        <v>46275</v>
      </c>
      <c r="AN1365" s="15" t="n">
        <v>561.5</v>
      </c>
      <c r="AO1365" s="15" t="n">
        <v>338.06</v>
      </c>
      <c r="AP1365" s="34" t="n">
        <v>46275</v>
      </c>
      <c r="AQ1365" s="15" t="n">
        <v>43.96</v>
      </c>
      <c r="AR1365" s="15" t="n">
        <v>42.93</v>
      </c>
      <c r="AS1365" s="34" t="n">
        <v>46275</v>
      </c>
      <c r="AT1365" s="15" t="n">
        <v>12.9</v>
      </c>
      <c r="AU1365" s="15" t="n">
        <v>20.41</v>
      </c>
      <c r="AV1365" s="34" t="n">
        <v>46275</v>
      </c>
      <c r="AW1365" s="15" t="n">
        <v>27.2</v>
      </c>
      <c r="AX1365" s="15" t="n">
        <v>33.9</v>
      </c>
      <c r="AY1365" s="34" t="n">
        <v>46275</v>
      </c>
      <c r="AZ1365" s="15" t="n">
        <v>24.6</v>
      </c>
      <c r="BA1365" s="15" t="n">
        <v>35.46</v>
      </c>
      <c r="BB1365" s="34" t="n">
        <v>46275</v>
      </c>
      <c r="BC1365" s="15" t="n">
        <v>61.5</v>
      </c>
      <c r="BD1365" s="15" t="n">
        <v>75.64</v>
      </c>
      <c r="BE1365" s="34" t="n">
        <v>46275</v>
      </c>
      <c r="BF1365" s="15" t="n">
        <v>113.9</v>
      </c>
      <c r="BG1365" s="15" t="n">
        <v>175.74</v>
      </c>
      <c r="BH1365" s="34" t="n">
        <v>46275</v>
      </c>
      <c r="BI1365" s="15" t="n">
        <v>22.78</v>
      </c>
      <c r="BJ1365" s="15" t="n">
        <v>33.81</v>
      </c>
      <c r="BK1365" s="34" t="n">
        <v>46275</v>
      </c>
      <c r="BL1365" s="15" t="n">
        <v>61.5</v>
      </c>
      <c r="BM1365" s="15" t="n">
        <v>96.55</v>
      </c>
      <c r="BN1365" s="34" t="n">
        <v>46275</v>
      </c>
      <c r="BO1365" s="15" t="n">
        <v>7.2</v>
      </c>
      <c r="BP1365" s="15" t="n">
        <v>18</v>
      </c>
      <c r="BQ1365" s="34" t="n">
        <v>46275</v>
      </c>
      <c r="BR1365" s="15" t="n">
        <v>19.76</v>
      </c>
      <c r="BS1365" s="15" t="n">
        <v>20.01</v>
      </c>
      <c r="BT1365" s="34" t="n">
        <v>46275</v>
      </c>
      <c r="BU1365" s="15" t="n">
        <v>123.5</v>
      </c>
      <c r="BV1365" s="15" t="n">
        <v>234.43</v>
      </c>
      <c r="BW1365" s="34" t="n">
        <v>46275</v>
      </c>
      <c r="BX1365" s="15" t="n">
        <v>35.94</v>
      </c>
      <c r="BY1365" s="15" t="n">
        <v>47.07</v>
      </c>
      <c r="BZ1365" s="34" t="n">
        <v>46275</v>
      </c>
      <c r="CA1365" s="15" t="n">
        <v>11.45</v>
      </c>
      <c r="CB1365" s="15" t="n">
        <v>19.16</v>
      </c>
      <c r="CC1365" s="34" t="n">
        <v>46275</v>
      </c>
      <c r="CD1365" s="15" t="n">
        <v>23.76</v>
      </c>
      <c r="CE1365" s="15" t="n">
        <v>38.65</v>
      </c>
      <c r="CF1365" s="34" t="n">
        <v>46275</v>
      </c>
      <c r="CG1365" s="15" t="n">
        <v>157.6</v>
      </c>
      <c r="CH1365" s="15" t="n">
        <v>229.2</v>
      </c>
      <c r="CI1365" s="34" t="n">
        <v>46275</v>
      </c>
      <c r="CJ1365" s="15" t="n">
        <v>6.875</v>
      </c>
      <c r="CK1365" s="15" t="n">
        <v>13.57</v>
      </c>
      <c r="CL1365" s="34" t="n">
        <v>46275</v>
      </c>
      <c r="CM1365" s="15" t="n">
        <v>69.59999999999999</v>
      </c>
      <c r="CN1365" s="15" t="n">
        <v>78.93000000000001</v>
      </c>
      <c r="CO1365" s="34" t="n">
        <v>46275</v>
      </c>
      <c r="CP1365" s="15" t="n">
        <v>476.4</v>
      </c>
      <c r="CQ1365" s="15" t="n">
        <v>380.64</v>
      </c>
      <c r="CR1365" s="34" t="n">
        <v>46275</v>
      </c>
      <c r="CS1365" s="15" t="n">
        <v>21.28</v>
      </c>
      <c r="CT1365" s="15" t="n">
        <v>35.81</v>
      </c>
      <c r="CU1365" s="34" t="n">
        <v>46275</v>
      </c>
      <c r="CV1365" s="15" t="n">
        <v>100.3</v>
      </c>
      <c r="CW1365" s="15" t="n">
        <v>113.43</v>
      </c>
      <c r="CX1365" s="34" t="n">
        <v>46275</v>
      </c>
      <c r="CY1365" s="15" t="n">
        <v>37.5</v>
      </c>
      <c r="CZ1365" s="15" t="n">
        <v>61.86</v>
      </c>
      <c r="DA1365" s="34" t="n">
        <v>46275</v>
      </c>
      <c r="DB1365" s="15" t="n">
        <v>105.7</v>
      </c>
      <c r="DC1365" s="15" t="n">
        <v>260.89</v>
      </c>
      <c r="DD1365" s="34" t="n">
        <v>46275</v>
      </c>
      <c r="DE1365" s="15" t="n">
        <v>37.94</v>
      </c>
      <c r="DF1365" s="15" t="n">
        <v>42.22</v>
      </c>
      <c r="DG1365" s="34" t="n">
        <v>46275</v>
      </c>
      <c r="DH1365" s="15" t="n">
        <v>270.4</v>
      </c>
      <c r="DI1365" s="15" t="n">
        <v>195.33</v>
      </c>
      <c r="DJ1365" s="34" t="n">
        <v>46275</v>
      </c>
      <c r="DK1365" s="15" t="n">
        <v>26.6</v>
      </c>
      <c r="DL1365" s="15" t="n">
        <v>30.07</v>
      </c>
      <c r="DM1365" s="34" t="n">
        <v>46275</v>
      </c>
      <c r="DN1365" s="15" t="n">
        <v>9.970000000000001</v>
      </c>
      <c r="DO1365" s="15" t="n">
        <v>17.17</v>
      </c>
      <c r="DP1365" s="34" t="n">
        <v>46275</v>
      </c>
      <c r="DQ1365" s="15" t="n">
        <v>14.75</v>
      </c>
      <c r="DR1365" s="15" t="n">
        <v>29.5</v>
      </c>
      <c r="DS1365" s="34" t="n">
        <v>46275</v>
      </c>
      <c r="DT1365" s="15" t="n">
        <v>38</v>
      </c>
      <c r="DU1365" s="15" t="n">
        <v>69.12</v>
      </c>
      <c r="DV1365" s="34" t="n">
        <v>46275</v>
      </c>
      <c r="DW1365" s="15" t="n">
        <v>19.75</v>
      </c>
      <c r="DX1365" s="15" t="n">
        <v>42.18</v>
      </c>
      <c r="DY1365" s="34" t="n">
        <v>46275</v>
      </c>
      <c r="DZ1365" s="15" t="n">
        <v>128</v>
      </c>
      <c r="EA1365" s="15" t="n">
        <v>174</v>
      </c>
      <c r="EB1365" s="34" t="n">
        <v>46275</v>
      </c>
      <c r="EC1365" s="15" t="n">
        <v>8.539999999999999</v>
      </c>
      <c r="ED1365" s="15" t="n">
        <v>19.64</v>
      </c>
      <c r="EE1365" s="34" t="n">
        <v>46275</v>
      </c>
      <c r="EF1365" s="15" t="n">
        <v>204.6</v>
      </c>
      <c r="EG1365" s="15" t="n">
        <v>229.95</v>
      </c>
      <c r="EH1365" s="34" t="n">
        <v>46275</v>
      </c>
      <c r="EI1365" s="15" t="n">
        <v>72.34999999999999</v>
      </c>
      <c r="EJ1365" s="15" t="n">
        <v>75.19</v>
      </c>
      <c r="EK1365" s="34" t="n">
        <v>46275</v>
      </c>
      <c r="EL1365" s="15" t="n">
        <v>20.58</v>
      </c>
      <c r="EM1365" s="15" t="n">
        <v>25.6</v>
      </c>
      <c r="EN1365" s="34" t="n">
        <v>46275</v>
      </c>
      <c r="EO1365" s="15" t="n">
        <v>31.7</v>
      </c>
      <c r="EP1365" s="15" t="n">
        <v>51.7</v>
      </c>
      <c r="EQ1365" s="34" t="n">
        <v>46275</v>
      </c>
      <c r="ER1365" s="15" t="n">
        <v>28.58</v>
      </c>
      <c r="ES1365" s="15" t="n">
        <v>33.54</v>
      </c>
      <c r="ET1365" s="34" t="n">
        <v>46275</v>
      </c>
      <c r="EU1365" s="15" t="n">
        <v>7.28</v>
      </c>
      <c r="EV1365" s="15" t="n">
        <v>14.74</v>
      </c>
      <c r="EW1365" s="34" t="n">
        <v>46275</v>
      </c>
      <c r="EX1365" s="15" t="n">
        <v>90.3</v>
      </c>
      <c r="EY1365" s="15" t="n">
        <v>106.69</v>
      </c>
      <c r="EZ1365" s="34" t="n">
        <v>46275</v>
      </c>
      <c r="FA1365" s="15" t="n">
        <v>6.55</v>
      </c>
      <c r="FB1365" s="15" t="n">
        <v>12.84</v>
      </c>
      <c r="FC1365" s="34" t="n">
        <v>46275</v>
      </c>
      <c r="FD1365" s="15" t="n">
        <v>334</v>
      </c>
      <c r="FE1365" s="15" t="n">
        <v>409.3</v>
      </c>
      <c r="FF1365" s="34" t="n">
        <v>46275</v>
      </c>
      <c r="FG1365" s="15" t="n">
        <v>124</v>
      </c>
      <c r="FH1365" s="15" t="n">
        <v>129.32</v>
      </c>
      <c r="FI1365" s="34" t="n">
        <v>46275</v>
      </c>
      <c r="FJ1365" s="15" t="n">
        <v>22.18</v>
      </c>
      <c r="FK1365" s="15" t="n">
        <v>41.08</v>
      </c>
      <c r="FL1365" s="34" t="n">
        <v>46275</v>
      </c>
      <c r="FM1365" s="15" t="n">
        <v>58.2</v>
      </c>
      <c r="FN1365" s="15" t="n">
        <v>54.45</v>
      </c>
      <c r="FO1365" s="34" t="n">
        <v>46275</v>
      </c>
      <c r="FP1365" s="15" t="n">
        <v>119.6</v>
      </c>
      <c r="FQ1365" s="15" t="n">
        <v>117.7</v>
      </c>
      <c r="FR1365" s="34" t="n">
        <v>46275</v>
      </c>
      <c r="FS1365" s="15" t="n">
        <v>319.2</v>
      </c>
      <c r="FT1365" s="15" t="n">
        <v>391.31</v>
      </c>
      <c r="FU1365" s="34" t="n">
        <v>46275</v>
      </c>
      <c r="FV1365" s="15" t="n">
        <v>3.12</v>
      </c>
      <c r="FW1365" s="15" t="n">
        <v>6</v>
      </c>
      <c r="FX1365" s="34" t="n">
        <v>46275</v>
      </c>
      <c r="FY1365" s="15" t="n">
        <v>28.52</v>
      </c>
      <c r="FZ1365" s="15" t="n">
        <v>35.5</v>
      </c>
      <c r="GA1365" s="34" t="n">
        <v>46275</v>
      </c>
      <c r="GB1365" s="15" t="n">
        <v>1121</v>
      </c>
      <c r="GC1365" s="15" t="n">
        <v>890.1</v>
      </c>
      <c r="GD1365" s="34" t="n">
        <v>46275</v>
      </c>
      <c r="GE1365" s="15" t="n">
        <v>98.75</v>
      </c>
      <c r="GF1365" s="15" t="n">
        <v>132.45</v>
      </c>
      <c r="GG1365" s="34" t="n">
        <v>46275</v>
      </c>
    </row>
    <row r="1366">
      <c r="A1366" s="34" t="n">
        <v>46276</v>
      </c>
      <c r="B1366" s="266" t="n">
        <v>1.169165015220642</v>
      </c>
      <c r="C1366" s="34" t="n">
        <v>46276</v>
      </c>
      <c r="D1366" s="15" t="n">
        <v>21.2</v>
      </c>
      <c r="E1366" s="15" t="n">
        <v>41.37</v>
      </c>
      <c r="F1366" s="34" t="n">
        <v>46276</v>
      </c>
      <c r="G1366" s="15" t="n">
        <v>134.2</v>
      </c>
      <c r="H1366" s="15" t="n">
        <v>164.13</v>
      </c>
      <c r="I1366" s="34" t="n">
        <v>46276</v>
      </c>
      <c r="J1366" s="15" t="n">
        <v>15.83</v>
      </c>
      <c r="K1366" s="15" t="n">
        <v>24.78</v>
      </c>
      <c r="L1366" s="34" t="n">
        <v>46276</v>
      </c>
      <c r="M1366" s="15" t="n">
        <v>31.82</v>
      </c>
      <c r="N1366" s="15" t="n">
        <v>43</v>
      </c>
      <c r="O1366" s="34" t="n">
        <v>46276</v>
      </c>
      <c r="P1366" s="15" t="n">
        <v>46.8</v>
      </c>
      <c r="Q1366" s="15" t="n">
        <v>51.67</v>
      </c>
      <c r="R1366" s="34" t="n">
        <v>46276</v>
      </c>
      <c r="S1366" s="15" t="n">
        <v>56.1</v>
      </c>
      <c r="T1366" s="15" t="n">
        <v>120.4</v>
      </c>
      <c r="U1366" s="34" t="n">
        <v>46276</v>
      </c>
      <c r="V1366" s="15" t="n">
        <v>11.44</v>
      </c>
      <c r="W1366" s="15" t="n">
        <v>17.2</v>
      </c>
      <c r="X1366" s="34" t="n">
        <v>46276</v>
      </c>
      <c r="Y1366" s="15" t="n">
        <v>99.2</v>
      </c>
      <c r="Z1366" s="15" t="n">
        <v>86.26000000000001</v>
      </c>
      <c r="AA1366" s="34" t="n">
        <v>46276</v>
      </c>
      <c r="AB1366" s="15" t="n">
        <v>8.82</v>
      </c>
      <c r="AC1366" s="15" t="n">
        <v>17.53</v>
      </c>
      <c r="AD1366" s="34" t="n">
        <v>46276</v>
      </c>
      <c r="AE1366" s="15" t="n">
        <v>29.42</v>
      </c>
      <c r="AF1366" s="15" t="n">
        <v>31.12</v>
      </c>
      <c r="AG1366" s="34" t="n">
        <v>46276</v>
      </c>
      <c r="AH1366" s="15" t="n">
        <v>39.12</v>
      </c>
      <c r="AI1366" s="15" t="n">
        <v>44.39</v>
      </c>
      <c r="AJ1366" s="34" t="n">
        <v>46276</v>
      </c>
      <c r="AK1366" s="15" t="n">
        <v>11.92</v>
      </c>
      <c r="AL1366" s="15" t="n">
        <v>36.7</v>
      </c>
      <c r="AM1366" s="34" t="n">
        <v>46276</v>
      </c>
      <c r="AN1366" s="15" t="n">
        <v>547.5</v>
      </c>
      <c r="AO1366" s="15" t="n">
        <v>330.51</v>
      </c>
      <c r="AP1366" s="34" t="n">
        <v>46276</v>
      </c>
      <c r="AQ1366" s="15" t="n">
        <v>43.76</v>
      </c>
      <c r="AR1366" s="15" t="n">
        <v>42.67</v>
      </c>
      <c r="AS1366" s="34" t="n">
        <v>46276</v>
      </c>
      <c r="AT1366" s="15" t="n">
        <v>12.75</v>
      </c>
      <c r="AU1366" s="15" t="n">
        <v>20.13</v>
      </c>
      <c r="AV1366" s="34" t="n">
        <v>46276</v>
      </c>
      <c r="AW1366" s="15" t="n">
        <v>27.08</v>
      </c>
      <c r="AX1366" s="15" t="n">
        <v>34.18</v>
      </c>
      <c r="AY1366" s="34" t="n">
        <v>46276</v>
      </c>
      <c r="AZ1366" s="15" t="n">
        <v>24.42</v>
      </c>
      <c r="BA1366" s="15" t="n">
        <v>34.87</v>
      </c>
      <c r="BB1366" s="34" t="n">
        <v>46276</v>
      </c>
      <c r="BC1366" s="15" t="n">
        <v>60.75</v>
      </c>
      <c r="BD1366" s="15" t="n">
        <v>74.75</v>
      </c>
      <c r="BE1366" s="34" t="n">
        <v>46276</v>
      </c>
      <c r="BF1366" s="15" t="n">
        <v>115.5</v>
      </c>
      <c r="BG1366" s="15" t="n">
        <v>185</v>
      </c>
      <c r="BH1366" s="34" t="n">
        <v>46276</v>
      </c>
      <c r="BI1366" s="15" t="n">
        <v>22.4</v>
      </c>
      <c r="BJ1366" s="15" t="n">
        <v>33.27</v>
      </c>
      <c r="BK1366" s="34" t="n">
        <v>46276</v>
      </c>
      <c r="BL1366" s="15" t="n">
        <v>60.05</v>
      </c>
      <c r="BM1366" s="15" t="n">
        <v>94.90000000000001</v>
      </c>
      <c r="BN1366" s="34" t="n">
        <v>46276</v>
      </c>
      <c r="BO1366" s="15" t="n">
        <v>7.12</v>
      </c>
      <c r="BP1366" s="15" t="n">
        <v>17.73</v>
      </c>
      <c r="BQ1366" s="34" t="n">
        <v>46276</v>
      </c>
      <c r="BR1366" s="15" t="n">
        <v>19.7</v>
      </c>
      <c r="BS1366" s="15" t="n">
        <v>19.78</v>
      </c>
      <c r="BT1366" s="34" t="n">
        <v>46276</v>
      </c>
      <c r="BU1366" s="15" t="n">
        <v>120.6</v>
      </c>
      <c r="BV1366" s="15" t="n">
        <v>224.46</v>
      </c>
      <c r="BW1366" s="34" t="n">
        <v>46276</v>
      </c>
      <c r="BX1366" s="15" t="n">
        <v>35.98</v>
      </c>
      <c r="BY1366" s="15" t="n">
        <v>46.38</v>
      </c>
      <c r="BZ1366" s="34" t="n">
        <v>46276</v>
      </c>
      <c r="CA1366" s="15" t="n">
        <v>11.3</v>
      </c>
      <c r="CB1366" s="15" t="n">
        <v>18.55</v>
      </c>
      <c r="CC1366" s="34" t="n">
        <v>46276</v>
      </c>
      <c r="CD1366" s="15" t="n">
        <v>23</v>
      </c>
      <c r="CE1366" s="15" t="n">
        <v>37.62</v>
      </c>
      <c r="CF1366" s="34" t="n">
        <v>46276</v>
      </c>
      <c r="CG1366" s="15" t="n">
        <v>156.7</v>
      </c>
      <c r="CH1366" s="15" t="n">
        <v>225</v>
      </c>
      <c r="CI1366" s="34" t="n">
        <v>46276</v>
      </c>
      <c r="CJ1366" s="15" t="n">
        <v>6.67</v>
      </c>
      <c r="CK1366" s="15" t="n">
        <v>12.42</v>
      </c>
      <c r="CL1366" s="34" t="n">
        <v>46276</v>
      </c>
      <c r="CM1366" s="15" t="n">
        <v>69</v>
      </c>
      <c r="CN1366" s="15" t="n">
        <v>76.88</v>
      </c>
      <c r="CO1366" s="34" t="n">
        <v>46276</v>
      </c>
      <c r="CP1366" s="15" t="n">
        <v>452.2</v>
      </c>
      <c r="CQ1366" s="15" t="n">
        <v>371.32</v>
      </c>
      <c r="CR1366" s="34" t="n">
        <v>46276</v>
      </c>
      <c r="CS1366" s="15" t="n">
        <v>20.58</v>
      </c>
      <c r="CT1366" s="15" t="n">
        <v>35.11</v>
      </c>
      <c r="CU1366" s="34" t="n">
        <v>46276</v>
      </c>
      <c r="CV1366" s="15" t="n">
        <v>101.2</v>
      </c>
      <c r="CW1366" s="15" t="n">
        <v>112.77</v>
      </c>
      <c r="CX1366" s="34" t="n">
        <v>46276</v>
      </c>
      <c r="CY1366" s="15" t="n">
        <v>36.64</v>
      </c>
      <c r="CZ1366" s="15" t="n">
        <v>60.94</v>
      </c>
      <c r="DA1366" s="34" t="n">
        <v>46276</v>
      </c>
      <c r="DB1366" s="15" t="n">
        <v>103.6</v>
      </c>
      <c r="DC1366" s="15" t="n">
        <v>259.21</v>
      </c>
      <c r="DD1366" s="34" t="n">
        <v>46276</v>
      </c>
      <c r="DE1366" s="15" t="n">
        <v>38.08</v>
      </c>
      <c r="DF1366" s="15" t="n">
        <v>42.18</v>
      </c>
      <c r="DG1366" s="34" t="n">
        <v>46276</v>
      </c>
      <c r="DH1366" s="15" t="n">
        <v>258</v>
      </c>
      <c r="DI1366" s="15" t="n">
        <v>191.96</v>
      </c>
      <c r="DJ1366" s="34" t="n">
        <v>46276</v>
      </c>
      <c r="DK1366" s="15" t="n">
        <v>26.48</v>
      </c>
      <c r="DL1366" s="15" t="n">
        <v>29.67</v>
      </c>
      <c r="DM1366" s="34" t="n">
        <v>46276</v>
      </c>
      <c r="DN1366" s="15" t="n">
        <v>10.1</v>
      </c>
      <c r="DO1366" s="15" t="n">
        <v>17.93</v>
      </c>
      <c r="DP1366" s="34" t="n">
        <v>46276</v>
      </c>
      <c r="DQ1366" s="15" t="n">
        <v>14.46</v>
      </c>
      <c r="DR1366" s="15" t="n">
        <v>28.89</v>
      </c>
      <c r="DS1366" s="34" t="n">
        <v>46276</v>
      </c>
      <c r="DT1366" s="15" t="n">
        <v>37.46</v>
      </c>
      <c r="DU1366" s="15" t="n">
        <v>67.68000000000001</v>
      </c>
      <c r="DV1366" s="34" t="n">
        <v>46276</v>
      </c>
      <c r="DW1366" s="15" t="n">
        <v>19.41</v>
      </c>
      <c r="DX1366" s="15" t="n">
        <v>40.82</v>
      </c>
      <c r="DY1366" s="34" t="n">
        <v>46276</v>
      </c>
      <c r="DZ1366" s="15" t="n">
        <v>124.8</v>
      </c>
      <c r="EA1366" s="15" t="n">
        <v>175</v>
      </c>
      <c r="EB1366" s="34" t="n">
        <v>46276</v>
      </c>
      <c r="EC1366" s="15" t="n">
        <v>8.105</v>
      </c>
      <c r="ED1366" s="15" t="n">
        <v>19.3</v>
      </c>
      <c r="EE1366" s="34" t="n">
        <v>46276</v>
      </c>
      <c r="EF1366" s="15" t="n">
        <v>200</v>
      </c>
      <c r="EG1366" s="15" t="n">
        <v>228.99</v>
      </c>
      <c r="EH1366" s="34" t="n">
        <v>46276</v>
      </c>
      <c r="EI1366" s="15" t="n">
        <v>71.05</v>
      </c>
      <c r="EJ1366" s="15" t="n">
        <v>76.81999999999999</v>
      </c>
      <c r="EK1366" s="34" t="n">
        <v>46276</v>
      </c>
      <c r="EL1366" s="15" t="n">
        <v>20.3</v>
      </c>
      <c r="EM1366" s="15" t="n">
        <v>24.06</v>
      </c>
      <c r="EN1366" s="34" t="n">
        <v>46276</v>
      </c>
      <c r="EO1366" s="15" t="n">
        <v>31.86</v>
      </c>
      <c r="EP1366" s="15" t="n">
        <v>52.77</v>
      </c>
      <c r="EQ1366" s="34" t="n">
        <v>46276</v>
      </c>
      <c r="ER1366" s="15" t="n">
        <v>31.66</v>
      </c>
      <c r="ES1366" s="15" t="n">
        <v>35.3</v>
      </c>
      <c r="ET1366" s="34" t="n">
        <v>46276</v>
      </c>
      <c r="EU1366" s="15" t="n">
        <v>7.535</v>
      </c>
      <c r="EV1366" s="15" t="n">
        <v>14.4</v>
      </c>
      <c r="EW1366" s="34" t="n">
        <v>46276</v>
      </c>
      <c r="EX1366" s="15" t="n">
        <v>91</v>
      </c>
      <c r="EY1366" s="15" t="n">
        <v>107.98</v>
      </c>
      <c r="EZ1366" s="34" t="n">
        <v>46276</v>
      </c>
      <c r="FA1366" s="15" t="n">
        <v>6.465</v>
      </c>
      <c r="FB1366" s="15" t="n">
        <v>13.1</v>
      </c>
      <c r="FC1366" s="34" t="n">
        <v>46276</v>
      </c>
      <c r="FD1366" s="15" t="n">
        <v>346.6</v>
      </c>
      <c r="FE1366" s="15" t="n">
        <v>402.3</v>
      </c>
      <c r="FF1366" s="34" t="n">
        <v>46276</v>
      </c>
      <c r="FG1366" s="15" t="n">
        <v>121</v>
      </c>
      <c r="FH1366" s="15" t="n">
        <v>127.43</v>
      </c>
      <c r="FI1366" s="34" t="n">
        <v>46276</v>
      </c>
      <c r="FJ1366" s="15" t="n">
        <v>21.2</v>
      </c>
      <c r="FK1366" s="15" t="n">
        <v>40.2</v>
      </c>
      <c r="FL1366" s="34" t="n">
        <v>46276</v>
      </c>
      <c r="FM1366" s="15" t="n">
        <v>59</v>
      </c>
      <c r="FN1366" s="15" t="n">
        <v>55.39</v>
      </c>
      <c r="FO1366" s="34" t="n">
        <v>46276</v>
      </c>
      <c r="FP1366" s="15" t="n">
        <v>124.4</v>
      </c>
      <c r="FQ1366" s="15" t="n">
        <v>124.36</v>
      </c>
      <c r="FR1366" s="34" t="n">
        <v>46276</v>
      </c>
      <c r="FS1366" s="15" t="n">
        <v>317.4</v>
      </c>
      <c r="FT1366" s="15" t="n">
        <v>390.3</v>
      </c>
      <c r="FU1366" s="34" t="n">
        <v>46276</v>
      </c>
      <c r="FV1366" s="15" t="n">
        <v>3.085</v>
      </c>
      <c r="FW1366" s="15" t="n">
        <v>5.89</v>
      </c>
      <c r="FX1366" s="34" t="n">
        <v>46276</v>
      </c>
      <c r="FY1366" s="15" t="n">
        <v>28</v>
      </c>
      <c r="FZ1366" s="15" t="n">
        <v>34.99</v>
      </c>
      <c r="GA1366" s="34" t="n">
        <v>46276</v>
      </c>
      <c r="GB1366" s="15" t="n">
        <v>1170</v>
      </c>
      <c r="GC1366" s="15" t="n">
        <v>926</v>
      </c>
      <c r="GD1366" s="34" t="n">
        <v>46276</v>
      </c>
      <c r="GE1366" s="15" t="n">
        <v>98</v>
      </c>
      <c r="GF1366" s="15" t="n">
        <v>128.78</v>
      </c>
      <c r="GG1366" s="34" t="n">
        <v>46276</v>
      </c>
    </row>
    <row r="1367">
      <c r="A1367" s="34" t="n">
        <v>46279</v>
      </c>
      <c r="B1367" s="266" t="n">
        <v>1.16893994808197</v>
      </c>
      <c r="C1367" s="34" t="n">
        <v>46279</v>
      </c>
      <c r="D1367" s="15" t="n">
        <v>22.34</v>
      </c>
      <c r="E1367" s="15" t="n">
        <v>42.8</v>
      </c>
      <c r="F1367" s="34" t="n">
        <v>46279</v>
      </c>
      <c r="G1367" s="15" t="n">
        <v>153.3</v>
      </c>
      <c r="H1367" s="15" t="n">
        <v>177.6</v>
      </c>
      <c r="I1367" s="34" t="n">
        <v>46279</v>
      </c>
      <c r="J1367" s="15" t="n">
        <v>15.78</v>
      </c>
      <c r="K1367" s="15" t="n">
        <v>24.83</v>
      </c>
      <c r="L1367" s="34" t="n">
        <v>46279</v>
      </c>
      <c r="M1367" s="15" t="n">
        <v>31.78</v>
      </c>
      <c r="N1367" s="15" t="n">
        <v>42.97</v>
      </c>
      <c r="O1367" s="34" t="n">
        <v>46279</v>
      </c>
      <c r="P1367" s="15" t="n">
        <v>46.36</v>
      </c>
      <c r="Q1367" s="15" t="n">
        <v>51.71</v>
      </c>
      <c r="R1367" s="34" t="n">
        <v>46279</v>
      </c>
      <c r="S1367" s="15" t="n">
        <v>59.45</v>
      </c>
      <c r="T1367" s="15" t="n">
        <v>123.3</v>
      </c>
      <c r="U1367" s="34" t="n">
        <v>46279</v>
      </c>
      <c r="V1367" s="15" t="n">
        <v>11.3</v>
      </c>
      <c r="W1367" s="15" t="n">
        <v>17.42</v>
      </c>
      <c r="X1367" s="34" t="n">
        <v>46279</v>
      </c>
      <c r="Y1367" s="15" t="n">
        <v>100</v>
      </c>
      <c r="Z1367" s="15" t="n">
        <v>86.8</v>
      </c>
      <c r="AA1367" s="34" t="n">
        <v>46279</v>
      </c>
      <c r="AB1367" s="15" t="n">
        <v>8.895</v>
      </c>
      <c r="AC1367" s="15" t="n">
        <v>17.84</v>
      </c>
      <c r="AD1367" s="34" t="n">
        <v>46279</v>
      </c>
      <c r="AE1367" s="15" t="n">
        <v>29.16</v>
      </c>
      <c r="AF1367" s="15" t="n">
        <v>30.98</v>
      </c>
      <c r="AG1367" s="34" t="n">
        <v>46279</v>
      </c>
      <c r="AH1367" s="15" t="n">
        <v>38.64</v>
      </c>
      <c r="AI1367" s="15" t="n">
        <v>44.48</v>
      </c>
      <c r="AJ1367" s="34" t="n">
        <v>46279</v>
      </c>
      <c r="AK1367" s="15" t="n">
        <v>11.78</v>
      </c>
      <c r="AL1367" s="15" t="n">
        <v>36.92</v>
      </c>
      <c r="AM1367" s="34" t="n">
        <v>46279</v>
      </c>
      <c r="AN1367" s="15" t="n">
        <v>549</v>
      </c>
      <c r="AO1367" s="15" t="n">
        <v>337.11</v>
      </c>
      <c r="AP1367" s="34" t="n">
        <v>46279</v>
      </c>
      <c r="AQ1367" s="15" t="n">
        <v>45</v>
      </c>
      <c r="AR1367" s="15" t="n">
        <v>43.15</v>
      </c>
      <c r="AS1367" s="34" t="n">
        <v>46279</v>
      </c>
      <c r="AT1367" s="15" t="n">
        <v>12.65</v>
      </c>
      <c r="AU1367" s="15" t="n">
        <v>19.76</v>
      </c>
      <c r="AV1367" s="34" t="n">
        <v>46279</v>
      </c>
      <c r="AW1367" s="15" t="n">
        <v>27.1</v>
      </c>
      <c r="AX1367" s="15" t="n">
        <v>34.15</v>
      </c>
      <c r="AY1367" s="34" t="n">
        <v>46279</v>
      </c>
      <c r="AZ1367" s="15" t="n">
        <v>24.16</v>
      </c>
      <c r="BA1367" s="15" t="n">
        <v>34.7</v>
      </c>
      <c r="BB1367" s="34" t="n">
        <v>46279</v>
      </c>
      <c r="BC1367" s="15" t="n">
        <v>60.65</v>
      </c>
      <c r="BD1367" s="15" t="n">
        <v>74.36</v>
      </c>
      <c r="BE1367" s="34" t="n">
        <v>46279</v>
      </c>
      <c r="BF1367" s="15" t="n">
        <v>115.1</v>
      </c>
      <c r="BG1367" s="15" t="n">
        <v>182.5</v>
      </c>
      <c r="BH1367" s="34" t="n">
        <v>46279</v>
      </c>
      <c r="BI1367" s="15" t="n">
        <v>21.94</v>
      </c>
      <c r="BJ1367" s="15" t="n">
        <v>33.27</v>
      </c>
      <c r="BK1367" s="34" t="n">
        <v>46279</v>
      </c>
      <c r="BL1367" s="15" t="n">
        <v>58.9</v>
      </c>
      <c r="BM1367" s="15" t="n">
        <v>95</v>
      </c>
      <c r="BN1367" s="34" t="n">
        <v>46279</v>
      </c>
      <c r="BO1367" s="15" t="n">
        <v>7.01</v>
      </c>
      <c r="BP1367" s="15" t="n">
        <v>17.65</v>
      </c>
      <c r="BQ1367" s="34" t="n">
        <v>46279</v>
      </c>
      <c r="BR1367" s="15" t="n">
        <v>19.93</v>
      </c>
      <c r="BS1367" s="15" t="n">
        <v>19.92</v>
      </c>
      <c r="BT1367" s="34" t="n">
        <v>46279</v>
      </c>
      <c r="BU1367" s="15" t="n">
        <v>110</v>
      </c>
      <c r="BV1367" s="15" t="n">
        <v>218.88</v>
      </c>
      <c r="BW1367" s="34" t="n">
        <v>46279</v>
      </c>
      <c r="BX1367" s="15" t="n">
        <v>36.94</v>
      </c>
      <c r="BY1367" s="15" t="n">
        <v>47.9</v>
      </c>
      <c r="BZ1367" s="34" t="n">
        <v>46279</v>
      </c>
      <c r="CA1367" s="15" t="n">
        <v>11.4</v>
      </c>
      <c r="CB1367" s="15" t="n">
        <v>18.56</v>
      </c>
      <c r="CC1367" s="34" t="n">
        <v>46279</v>
      </c>
      <c r="CD1367" s="15" t="n">
        <v>22.76</v>
      </c>
      <c r="CE1367" s="15" t="n">
        <v>37.81</v>
      </c>
      <c r="CF1367" s="34" t="n">
        <v>46279</v>
      </c>
      <c r="CG1367" s="15" t="n">
        <v>158.3</v>
      </c>
      <c r="CH1367" s="15" t="n">
        <v>228.72</v>
      </c>
      <c r="CI1367" s="34" t="n">
        <v>46279</v>
      </c>
      <c r="CJ1367" s="15" t="n">
        <v>6.625</v>
      </c>
      <c r="CK1367" s="15" t="n">
        <v>12.02</v>
      </c>
      <c r="CL1367" s="34" t="n">
        <v>46279</v>
      </c>
      <c r="CM1367" s="15" t="n">
        <v>68.34999999999999</v>
      </c>
      <c r="CN1367" s="15" t="n">
        <v>77.91</v>
      </c>
      <c r="CO1367" s="34" t="n">
        <v>46279</v>
      </c>
      <c r="CP1367" s="15" t="n">
        <v>420</v>
      </c>
      <c r="CQ1367" s="15" t="n">
        <v>356.88</v>
      </c>
      <c r="CR1367" s="34" t="n">
        <v>46279</v>
      </c>
      <c r="CS1367" s="15" t="n">
        <v>20.36</v>
      </c>
      <c r="CT1367" s="15" t="n">
        <v>34.97</v>
      </c>
      <c r="CU1367" s="34" t="n">
        <v>46279</v>
      </c>
      <c r="CV1367" s="15" t="n">
        <v>100</v>
      </c>
      <c r="CW1367" s="15" t="n">
        <v>112.63</v>
      </c>
      <c r="CX1367" s="34" t="n">
        <v>46279</v>
      </c>
      <c r="CY1367" s="15" t="n">
        <v>37.46</v>
      </c>
      <c r="CZ1367" s="15" t="n">
        <v>62.53</v>
      </c>
      <c r="DA1367" s="34" t="n">
        <v>46279</v>
      </c>
      <c r="DB1367" s="15" t="n">
        <v>99.34999999999999</v>
      </c>
      <c r="DC1367" s="15" t="n">
        <v>256.08</v>
      </c>
      <c r="DD1367" s="34" t="n">
        <v>46279</v>
      </c>
      <c r="DE1367" s="15" t="n">
        <v>38.2</v>
      </c>
      <c r="DF1367" s="15" t="n">
        <v>42.59</v>
      </c>
      <c r="DG1367" s="34" t="n">
        <v>46279</v>
      </c>
      <c r="DH1367" s="15" t="n">
        <v>243</v>
      </c>
      <c r="DI1367" s="15" t="n">
        <v>184.65</v>
      </c>
      <c r="DJ1367" s="34" t="n">
        <v>46279</v>
      </c>
      <c r="DK1367" s="15" t="n">
        <v>26.94</v>
      </c>
      <c r="DL1367" s="15" t="n">
        <v>29.88</v>
      </c>
      <c r="DM1367" s="34" t="n">
        <v>46279</v>
      </c>
      <c r="DN1367" s="15" t="n">
        <v>9.5</v>
      </c>
      <c r="DO1367" s="15" t="n">
        <v>17.58</v>
      </c>
      <c r="DP1367" s="34" t="n">
        <v>46279</v>
      </c>
      <c r="DQ1367" s="15" t="n">
        <v>14.42</v>
      </c>
      <c r="DR1367" s="15" t="n">
        <v>28.96</v>
      </c>
      <c r="DS1367" s="34" t="n">
        <v>46279</v>
      </c>
      <c r="DT1367" s="15" t="n">
        <v>37.3</v>
      </c>
      <c r="DU1367" s="15" t="n">
        <v>67.83</v>
      </c>
      <c r="DV1367" s="34" t="n">
        <v>46279</v>
      </c>
      <c r="DW1367" s="15" t="n">
        <v>18.92</v>
      </c>
      <c r="DX1367" s="15" t="n">
        <v>40.52</v>
      </c>
      <c r="DY1367" s="34" t="n">
        <v>46279</v>
      </c>
      <c r="DZ1367" s="15" t="n">
        <v>118.7</v>
      </c>
      <c r="EA1367" s="15" t="n">
        <v>171.44</v>
      </c>
      <c r="EB1367" s="34" t="n">
        <v>46279</v>
      </c>
      <c r="EC1367" s="15" t="n">
        <v>7.97</v>
      </c>
      <c r="ED1367" s="15" t="n">
        <v>19.57</v>
      </c>
      <c r="EE1367" s="34" t="n">
        <v>46279</v>
      </c>
      <c r="EF1367" s="15" t="n">
        <v>191.5</v>
      </c>
      <c r="EG1367" s="15" t="n">
        <v>225</v>
      </c>
      <c r="EH1367" s="34" t="n">
        <v>46279</v>
      </c>
      <c r="EI1367" s="15" t="n">
        <v>67.5</v>
      </c>
      <c r="EJ1367" s="15" t="n">
        <v>75.98</v>
      </c>
      <c r="EK1367" s="34" t="n">
        <v>46279</v>
      </c>
      <c r="EL1367" s="15" t="n">
        <v>20.62</v>
      </c>
      <c r="EM1367" s="15" t="n">
        <v>25.79</v>
      </c>
      <c r="EN1367" s="34" t="n">
        <v>46279</v>
      </c>
      <c r="EO1367" s="15" t="n">
        <v>32</v>
      </c>
      <c r="EP1367" s="15" t="n">
        <v>53.31</v>
      </c>
      <c r="EQ1367" s="34" t="n">
        <v>46279</v>
      </c>
      <c r="ER1367" s="15" t="n">
        <v>30.46</v>
      </c>
      <c r="ES1367" s="15" t="n">
        <v>35.85</v>
      </c>
      <c r="ET1367" s="34" t="n">
        <v>46279</v>
      </c>
      <c r="EU1367" s="15" t="n">
        <v>7.825</v>
      </c>
      <c r="EV1367" s="15" t="n">
        <v>15.32</v>
      </c>
      <c r="EW1367" s="34" t="n">
        <v>46279</v>
      </c>
      <c r="EX1367" s="15" t="n">
        <v>89.55</v>
      </c>
      <c r="EY1367" s="15" t="n">
        <v>107.6</v>
      </c>
      <c r="EZ1367" s="34" t="n">
        <v>46279</v>
      </c>
      <c r="FA1367" s="15" t="n">
        <v>6.41</v>
      </c>
      <c r="FB1367" s="15" t="n">
        <v>13.18</v>
      </c>
      <c r="FC1367" s="34" t="n">
        <v>46279</v>
      </c>
      <c r="FD1367" s="15" t="n">
        <v>344.6</v>
      </c>
      <c r="FE1367" s="15" t="n">
        <v>401.7</v>
      </c>
      <c r="FF1367" s="34" t="n">
        <v>46279</v>
      </c>
      <c r="FG1367" s="15" t="n">
        <v>122.3</v>
      </c>
      <c r="FH1367" s="15" t="n">
        <v>127.84</v>
      </c>
      <c r="FI1367" s="34" t="n">
        <v>46279</v>
      </c>
      <c r="FJ1367" s="15" t="n">
        <v>20.52</v>
      </c>
      <c r="FK1367" s="15" t="n">
        <v>41.5</v>
      </c>
      <c r="FL1367" s="34" t="n">
        <v>46279</v>
      </c>
      <c r="FM1367" s="15" t="n">
        <v>57</v>
      </c>
      <c r="FN1367" s="15" t="n">
        <v>52.78</v>
      </c>
      <c r="FO1367" s="34" t="n">
        <v>46279</v>
      </c>
      <c r="FP1367" s="15" t="n">
        <v>126.5</v>
      </c>
      <c r="FQ1367" s="15" t="n">
        <v>125.83</v>
      </c>
      <c r="FR1367" s="34" t="n">
        <v>46279</v>
      </c>
      <c r="FS1367" s="15" t="n">
        <v>291</v>
      </c>
      <c r="FT1367" s="15" t="n">
        <v>384.99</v>
      </c>
      <c r="FU1367" s="34" t="n">
        <v>46279</v>
      </c>
      <c r="FV1367" s="15" t="n">
        <v>3.065</v>
      </c>
      <c r="FW1367" s="15" t="n">
        <v>5.88</v>
      </c>
      <c r="FX1367" s="34" t="n">
        <v>46279</v>
      </c>
      <c r="FY1367" s="15" t="n">
        <v>26</v>
      </c>
      <c r="FZ1367" s="15" t="n">
        <v>34.21</v>
      </c>
      <c r="GA1367" s="34" t="n">
        <v>46279</v>
      </c>
      <c r="GB1367" s="15" t="n">
        <v>1070</v>
      </c>
      <c r="GC1367" s="15" t="n">
        <v>873</v>
      </c>
      <c r="GD1367" s="34" t="n">
        <v>46279</v>
      </c>
      <c r="GE1367" s="15" t="n">
        <v>94.2</v>
      </c>
      <c r="GF1367" s="15" t="n">
        <v>126.32</v>
      </c>
      <c r="GG1367" s="34" t="n">
        <v>46279</v>
      </c>
    </row>
    <row r="1368">
      <c r="A1368" s="34" t="n">
        <v>46280</v>
      </c>
      <c r="B1368" s="266" t="n">
        <v>1.169121026992798</v>
      </c>
      <c r="C1368" s="34" t="n">
        <v>46280</v>
      </c>
      <c r="D1368" s="15" t="n">
        <v>22.1</v>
      </c>
      <c r="E1368" s="15" t="n">
        <v>42.32</v>
      </c>
      <c r="F1368" s="34" t="n">
        <v>46280</v>
      </c>
      <c r="G1368" s="15" t="n">
        <v>156.4</v>
      </c>
      <c r="H1368" s="15" t="n">
        <v>177.2</v>
      </c>
      <c r="I1368" s="34" t="n">
        <v>46280</v>
      </c>
      <c r="J1368" s="15" t="n">
        <v>15.45</v>
      </c>
      <c r="K1368" s="15" t="n">
        <v>24.86</v>
      </c>
      <c r="L1368" s="34" t="n">
        <v>46280</v>
      </c>
      <c r="M1368" s="15" t="n">
        <v>30.14</v>
      </c>
      <c r="N1368" s="15" t="n">
        <v>42.1</v>
      </c>
      <c r="O1368" s="34" t="n">
        <v>46280</v>
      </c>
      <c r="P1368" s="15" t="n">
        <v>45.96</v>
      </c>
      <c r="Q1368" s="15" t="n">
        <v>51.05</v>
      </c>
      <c r="R1368" s="34" t="n">
        <v>46280</v>
      </c>
      <c r="S1368" s="15" t="n">
        <v>57</v>
      </c>
      <c r="T1368" s="15" t="n">
        <v>120.51</v>
      </c>
      <c r="U1368" s="34" t="n">
        <v>46280</v>
      </c>
      <c r="V1368" s="15" t="n">
        <v>10.41</v>
      </c>
      <c r="W1368" s="15" t="n">
        <v>16.52</v>
      </c>
      <c r="X1368" s="34" t="n">
        <v>46280</v>
      </c>
      <c r="Y1368" s="15" t="n">
        <v>99.7</v>
      </c>
      <c r="Z1368" s="15" t="n">
        <v>87.23</v>
      </c>
      <c r="AA1368" s="34" t="n">
        <v>46280</v>
      </c>
      <c r="AB1368" s="15" t="n">
        <v>8.83</v>
      </c>
      <c r="AC1368" s="15" t="n">
        <v>18.02</v>
      </c>
      <c r="AD1368" s="34" t="n">
        <v>46280</v>
      </c>
      <c r="AE1368" s="15" t="n">
        <v>28.84</v>
      </c>
      <c r="AF1368" s="15" t="n">
        <v>31.08</v>
      </c>
      <c r="AG1368" s="34" t="n">
        <v>46280</v>
      </c>
      <c r="AH1368" s="15" t="n">
        <v>36.58</v>
      </c>
      <c r="AI1368" s="15" t="n">
        <v>43.54</v>
      </c>
      <c r="AJ1368" s="34" t="n">
        <v>46280</v>
      </c>
      <c r="AK1368" s="15" t="n">
        <v>11.54</v>
      </c>
      <c r="AL1368" s="15" t="n">
        <v>36.68</v>
      </c>
      <c r="AM1368" s="34" t="n">
        <v>46280</v>
      </c>
      <c r="AN1368" s="15" t="n">
        <v>516</v>
      </c>
      <c r="AO1368" s="15" t="n">
        <v>316.36</v>
      </c>
      <c r="AP1368" s="34" t="n">
        <v>46280</v>
      </c>
      <c r="AQ1368" s="15" t="n">
        <v>43.8</v>
      </c>
      <c r="AR1368" s="15" t="n">
        <v>43.13</v>
      </c>
      <c r="AS1368" s="34" t="n">
        <v>46280</v>
      </c>
      <c r="AT1368" s="15" t="n">
        <v>12.57</v>
      </c>
      <c r="AU1368" s="15" t="n">
        <v>19.65</v>
      </c>
      <c r="AV1368" s="34" t="n">
        <v>46280</v>
      </c>
      <c r="AW1368" s="15" t="n">
        <v>26.92</v>
      </c>
      <c r="AX1368" s="15" t="n">
        <v>34.07</v>
      </c>
      <c r="AY1368" s="34" t="n">
        <v>46280</v>
      </c>
      <c r="AZ1368" s="15" t="n">
        <v>23.32</v>
      </c>
      <c r="BA1368" s="15" t="n">
        <v>33.8</v>
      </c>
      <c r="BB1368" s="34" t="n">
        <v>46280</v>
      </c>
      <c r="BC1368" s="15" t="n">
        <v>60.4</v>
      </c>
      <c r="BD1368" s="15" t="n">
        <v>74.56</v>
      </c>
      <c r="BE1368" s="34" t="n">
        <v>46280</v>
      </c>
      <c r="BF1368" s="15" t="n">
        <v>114.8</v>
      </c>
      <c r="BG1368" s="15" t="n">
        <v>181.3</v>
      </c>
      <c r="BH1368" s="34" t="n">
        <v>46280</v>
      </c>
      <c r="BI1368" s="15" t="n">
        <v>20.98</v>
      </c>
      <c r="BJ1368" s="15" t="n">
        <v>32.86</v>
      </c>
      <c r="BK1368" s="34" t="n">
        <v>46280</v>
      </c>
      <c r="BL1368" s="15" t="n">
        <v>59.3</v>
      </c>
      <c r="BM1368" s="15" t="n">
        <v>94.45</v>
      </c>
      <c r="BN1368" s="34" t="n">
        <v>46280</v>
      </c>
      <c r="BO1368" s="15" t="n">
        <v>7</v>
      </c>
      <c r="BP1368" s="15" t="n">
        <v>17.62</v>
      </c>
      <c r="BQ1368" s="34" t="n">
        <v>46280</v>
      </c>
      <c r="BR1368" s="15" t="n">
        <v>19.32</v>
      </c>
      <c r="BS1368" s="15" t="n">
        <v>19.49</v>
      </c>
      <c r="BT1368" s="34" t="n">
        <v>46280</v>
      </c>
      <c r="BU1368" s="15" t="n">
        <v>109.4</v>
      </c>
      <c r="BV1368" s="15" t="n">
        <v>216.4</v>
      </c>
      <c r="BW1368" s="34" t="n">
        <v>46280</v>
      </c>
      <c r="BX1368" s="15" t="n">
        <v>34.68</v>
      </c>
      <c r="BY1368" s="15" t="n">
        <v>45.46</v>
      </c>
      <c r="BZ1368" s="34" t="n">
        <v>46280</v>
      </c>
      <c r="CA1368" s="15" t="n">
        <v>11.3</v>
      </c>
      <c r="CB1368" s="15" t="n">
        <v>18.02</v>
      </c>
      <c r="CC1368" s="34" t="n">
        <v>46280</v>
      </c>
      <c r="CD1368" s="15" t="n">
        <v>22.42</v>
      </c>
      <c r="CE1368" s="15" t="n">
        <v>38.01</v>
      </c>
      <c r="CF1368" s="34" t="n">
        <v>46280</v>
      </c>
      <c r="CG1368" s="15" t="n">
        <v>157.2</v>
      </c>
      <c r="CH1368" s="15" t="n">
        <v>228.18</v>
      </c>
      <c r="CI1368" s="34" t="n">
        <v>46280</v>
      </c>
      <c r="CJ1368" s="15" t="n">
        <v>6.55</v>
      </c>
      <c r="CK1368" s="15" t="n">
        <v>12.13</v>
      </c>
      <c r="CL1368" s="34" t="n">
        <v>46280</v>
      </c>
      <c r="CM1368" s="15" t="n">
        <v>67</v>
      </c>
      <c r="CN1368" s="15" t="n">
        <v>77.52</v>
      </c>
      <c r="CO1368" s="34" t="n">
        <v>46280</v>
      </c>
      <c r="CP1368" s="15" t="n">
        <v>436.8</v>
      </c>
      <c r="CQ1368" s="15" t="n">
        <v>363.11</v>
      </c>
      <c r="CR1368" s="34" t="n">
        <v>46280</v>
      </c>
      <c r="CS1368" s="15" t="n">
        <v>20.28</v>
      </c>
      <c r="CT1368" s="15" t="n">
        <v>35.07</v>
      </c>
      <c r="CU1368" s="34" t="n">
        <v>46280</v>
      </c>
      <c r="CV1368" s="15" t="n">
        <v>100.5</v>
      </c>
      <c r="CW1368" s="15" t="n">
        <v>111.53</v>
      </c>
      <c r="CX1368" s="34" t="n">
        <v>46280</v>
      </c>
      <c r="CY1368" s="15" t="n">
        <v>37.08</v>
      </c>
      <c r="CZ1368" s="15" t="n">
        <v>61.77</v>
      </c>
      <c r="DA1368" s="34" t="n">
        <v>46280</v>
      </c>
      <c r="DB1368" s="15" t="n">
        <v>104.2</v>
      </c>
      <c r="DC1368" s="15" t="n">
        <v>258.4</v>
      </c>
      <c r="DD1368" s="34" t="n">
        <v>46280</v>
      </c>
      <c r="DE1368" s="15" t="n">
        <v>38.4</v>
      </c>
      <c r="DF1368" s="15" t="n">
        <v>42.37</v>
      </c>
      <c r="DG1368" s="34" t="n">
        <v>46280</v>
      </c>
      <c r="DH1368" s="15" t="n">
        <v>256.2</v>
      </c>
      <c r="DI1368" s="15" t="n">
        <v>187.83</v>
      </c>
      <c r="DJ1368" s="34" t="n">
        <v>46280</v>
      </c>
      <c r="DK1368" s="15" t="n">
        <v>28.06</v>
      </c>
      <c r="DL1368" s="15" t="n">
        <v>31.54</v>
      </c>
      <c r="DM1368" s="34" t="n">
        <v>46280</v>
      </c>
      <c r="DN1368" s="15" t="n">
        <v>9</v>
      </c>
      <c r="DO1368" s="15" t="n">
        <v>16.93</v>
      </c>
      <c r="DP1368" s="34" t="n">
        <v>46280</v>
      </c>
      <c r="DQ1368" s="15" t="n">
        <v>14.34</v>
      </c>
      <c r="DR1368" s="15" t="n">
        <v>28.63</v>
      </c>
      <c r="DS1368" s="34" t="n">
        <v>46280</v>
      </c>
      <c r="DT1368" s="15" t="n">
        <v>37.38</v>
      </c>
      <c r="DU1368" s="15" t="n">
        <v>66.87</v>
      </c>
      <c r="DV1368" s="34" t="n">
        <v>46280</v>
      </c>
      <c r="DW1368" s="15" t="n">
        <v>18.51</v>
      </c>
      <c r="DX1368" s="15" t="n">
        <v>40.33</v>
      </c>
      <c r="DY1368" s="34" t="n">
        <v>46280</v>
      </c>
      <c r="DZ1368" s="15" t="n">
        <v>121</v>
      </c>
      <c r="EA1368" s="15" t="n">
        <v>170.91</v>
      </c>
      <c r="EB1368" s="34" t="n">
        <v>46280</v>
      </c>
      <c r="EC1368" s="15" t="n">
        <v>7.905</v>
      </c>
      <c r="ED1368" s="15" t="n">
        <v>19.88</v>
      </c>
      <c r="EE1368" s="34" t="n">
        <v>46280</v>
      </c>
      <c r="EF1368" s="15" t="n">
        <v>195.2</v>
      </c>
      <c r="EG1368" s="15" t="n">
        <v>226.06</v>
      </c>
      <c r="EH1368" s="34" t="n">
        <v>46280</v>
      </c>
      <c r="EI1368" s="15" t="n">
        <v>69</v>
      </c>
      <c r="EJ1368" s="15" t="n">
        <v>76.22</v>
      </c>
      <c r="EK1368" s="34" t="n">
        <v>46280</v>
      </c>
      <c r="EL1368" s="15" t="n">
        <v>20.62</v>
      </c>
      <c r="EM1368" s="15" t="n">
        <v>25.24</v>
      </c>
      <c r="EN1368" s="34" t="n">
        <v>46280</v>
      </c>
      <c r="EO1368" s="15" t="n">
        <v>32.08</v>
      </c>
      <c r="EP1368" s="15" t="n">
        <v>52.15</v>
      </c>
      <c r="EQ1368" s="34" t="n">
        <v>46280</v>
      </c>
      <c r="ER1368" s="15" t="n">
        <v>33.78</v>
      </c>
      <c r="ES1368" s="15" t="n">
        <v>39.44</v>
      </c>
      <c r="ET1368" s="34" t="n">
        <v>46280</v>
      </c>
      <c r="EU1368" s="15" t="n">
        <v>7.57</v>
      </c>
      <c r="EV1368" s="15" t="n">
        <v>15.56</v>
      </c>
      <c r="EW1368" s="34" t="n">
        <v>46280</v>
      </c>
      <c r="EX1368" s="15" t="n">
        <v>92</v>
      </c>
      <c r="EY1368" s="15" t="n">
        <v>108.78</v>
      </c>
      <c r="EZ1368" s="34" t="n">
        <v>46280</v>
      </c>
      <c r="FA1368" s="15" t="n">
        <v>6.195</v>
      </c>
      <c r="FB1368" s="15" t="n">
        <v>12.61</v>
      </c>
      <c r="FC1368" s="34" t="n">
        <v>46280</v>
      </c>
      <c r="FD1368" s="15" t="n">
        <v>356.4</v>
      </c>
      <c r="FE1368" s="15" t="n">
        <v>412.77</v>
      </c>
      <c r="FF1368" s="34" t="n">
        <v>46280</v>
      </c>
      <c r="FG1368" s="15" t="n">
        <v>121.1</v>
      </c>
      <c r="FH1368" s="15" t="n">
        <v>127.3</v>
      </c>
      <c r="FI1368" s="34" t="n">
        <v>46280</v>
      </c>
      <c r="FJ1368" s="15" t="n">
        <v>20.44</v>
      </c>
      <c r="FK1368" s="15" t="n">
        <v>40.97</v>
      </c>
      <c r="FL1368" s="34" t="n">
        <v>46280</v>
      </c>
      <c r="FM1368" s="15" t="n">
        <v>56.35</v>
      </c>
      <c r="FN1368" s="15" t="n">
        <v>51.63</v>
      </c>
      <c r="FO1368" s="34" t="n">
        <v>46280</v>
      </c>
      <c r="FP1368" s="15" t="n">
        <v>124.9</v>
      </c>
      <c r="FQ1368" s="15" t="n">
        <v>126.21</v>
      </c>
      <c r="FR1368" s="34" t="n">
        <v>46280</v>
      </c>
      <c r="FS1368" s="15" t="n">
        <v>304</v>
      </c>
      <c r="FT1368" s="15" t="n">
        <v>402.4</v>
      </c>
      <c r="FU1368" s="34" t="n">
        <v>46280</v>
      </c>
      <c r="FV1368" s="15" t="n">
        <v>3.02</v>
      </c>
      <c r="FW1368" s="15" t="n">
        <v>5.81</v>
      </c>
      <c r="FX1368" s="34" t="n">
        <v>46280</v>
      </c>
      <c r="FY1368" s="15" t="n">
        <v>26.66</v>
      </c>
      <c r="FZ1368" s="15" t="n">
        <v>34.3</v>
      </c>
      <c r="GA1368" s="34" t="n">
        <v>46280</v>
      </c>
      <c r="GB1368" s="15" t="n">
        <v>1085</v>
      </c>
      <c r="GC1368" s="15" t="n">
        <v>864.01</v>
      </c>
      <c r="GD1368" s="34" t="n">
        <v>46280</v>
      </c>
      <c r="GE1368" s="15" t="n">
        <v>93.8</v>
      </c>
      <c r="GF1368" s="15" t="n">
        <v>127.58</v>
      </c>
      <c r="GG1368" s="34" t="n">
        <v>46280</v>
      </c>
    </row>
    <row r="1369">
      <c r="A1369" s="34" t="n">
        <v>46281</v>
      </c>
      <c r="B1369" s="266" t="n">
        <v>1.168769955635071</v>
      </c>
      <c r="C1369" s="34" t="n">
        <v>46281</v>
      </c>
      <c r="D1369" s="15" t="n">
        <v>22.16</v>
      </c>
      <c r="E1369" s="15" t="n">
        <v>43.83</v>
      </c>
      <c r="F1369" s="34" t="n">
        <v>46281</v>
      </c>
      <c r="G1369" s="15" t="n">
        <v>164.5</v>
      </c>
      <c r="H1369" s="15" t="n">
        <v>182.48</v>
      </c>
      <c r="I1369" s="34" t="n">
        <v>46281</v>
      </c>
      <c r="J1369" s="15" t="n">
        <v>15.63</v>
      </c>
      <c r="K1369" s="15" t="n">
        <v>25.3</v>
      </c>
      <c r="L1369" s="34" t="n">
        <v>46281</v>
      </c>
      <c r="M1369" s="15" t="n">
        <v>30.7</v>
      </c>
      <c r="N1369" s="15" t="n">
        <v>42.35</v>
      </c>
      <c r="O1369" s="34" t="n">
        <v>46281</v>
      </c>
      <c r="P1369" s="15" t="n">
        <v>46.52</v>
      </c>
      <c r="Q1369" s="15" t="n">
        <v>51.2</v>
      </c>
      <c r="R1369" s="34" t="n">
        <v>46281</v>
      </c>
      <c r="S1369" s="15" t="n">
        <v>58.6</v>
      </c>
      <c r="T1369" s="15" t="n">
        <v>126.5</v>
      </c>
      <c r="U1369" s="34" t="n">
        <v>46281</v>
      </c>
      <c r="V1369" s="15" t="n">
        <v>10.5</v>
      </c>
      <c r="W1369" s="15" t="n">
        <v>16.69</v>
      </c>
      <c r="X1369" s="34" t="n">
        <v>46281</v>
      </c>
      <c r="Y1369" s="15" t="n">
        <v>98.65000000000001</v>
      </c>
      <c r="Z1369" s="15" t="n">
        <v>85</v>
      </c>
      <c r="AA1369" s="34" t="n">
        <v>46281</v>
      </c>
      <c r="AB1369" s="15" t="n">
        <v>8.92</v>
      </c>
      <c r="AC1369" s="15" t="n">
        <v>18.36</v>
      </c>
      <c r="AD1369" s="34" t="n">
        <v>46281</v>
      </c>
      <c r="AE1369" s="15" t="n">
        <v>28.72</v>
      </c>
      <c r="AF1369" s="15" t="n">
        <v>30.75</v>
      </c>
      <c r="AG1369" s="34" t="n">
        <v>46281</v>
      </c>
      <c r="AH1369" s="15" t="n">
        <v>39.38</v>
      </c>
      <c r="AI1369" s="15" t="n">
        <v>45.44</v>
      </c>
      <c r="AJ1369" s="34" t="n">
        <v>46281</v>
      </c>
      <c r="AK1369" s="15" t="n">
        <v>11.97</v>
      </c>
      <c r="AL1369" s="15" t="n">
        <v>37.54</v>
      </c>
      <c r="AM1369" s="34" t="n">
        <v>46281</v>
      </c>
      <c r="AN1369" s="15" t="n">
        <v>501</v>
      </c>
      <c r="AO1369" s="15" t="n">
        <v>305.48</v>
      </c>
      <c r="AP1369" s="34" t="n">
        <v>46281</v>
      </c>
      <c r="AQ1369" s="15" t="n">
        <v>45.6</v>
      </c>
      <c r="AR1369" s="15" t="n">
        <v>43.52</v>
      </c>
      <c r="AS1369" s="34" t="n">
        <v>46281</v>
      </c>
      <c r="AT1369" s="15" t="n">
        <v>12.57</v>
      </c>
      <c r="AU1369" s="15" t="n">
        <v>19.61</v>
      </c>
      <c r="AV1369" s="34" t="n">
        <v>46281</v>
      </c>
      <c r="AW1369" s="15" t="n">
        <v>26.9</v>
      </c>
      <c r="AX1369" s="15" t="n">
        <v>33.93</v>
      </c>
      <c r="AY1369" s="34" t="n">
        <v>46281</v>
      </c>
      <c r="AZ1369" s="15" t="n">
        <v>23.78</v>
      </c>
      <c r="BA1369" s="15" t="n">
        <v>33.73</v>
      </c>
      <c r="BB1369" s="34" t="n">
        <v>46281</v>
      </c>
      <c r="BC1369" s="15" t="n">
        <v>61</v>
      </c>
      <c r="BD1369" s="15" t="n">
        <v>75.65000000000001</v>
      </c>
      <c r="BE1369" s="34" t="n">
        <v>46281</v>
      </c>
      <c r="BF1369" s="15" t="n">
        <v>117.7</v>
      </c>
      <c r="BG1369" s="15" t="n">
        <v>187.56</v>
      </c>
      <c r="BH1369" s="34" t="n">
        <v>46281</v>
      </c>
      <c r="BI1369" s="15" t="n">
        <v>21.48</v>
      </c>
      <c r="BJ1369" s="15" t="n">
        <v>33.31</v>
      </c>
      <c r="BK1369" s="34" t="n">
        <v>46281</v>
      </c>
      <c r="BL1369" s="15" t="n">
        <v>63.8</v>
      </c>
      <c r="BM1369" s="15" t="n">
        <v>105.1</v>
      </c>
      <c r="BN1369" s="34" t="n">
        <v>46281</v>
      </c>
      <c r="BO1369" s="15" t="n">
        <v>7.1</v>
      </c>
      <c r="BP1369" s="15" t="n">
        <v>17.97</v>
      </c>
      <c r="BQ1369" s="34" t="n">
        <v>46281</v>
      </c>
      <c r="BR1369" s="15" t="n">
        <v>18.46</v>
      </c>
      <c r="BS1369" s="15" t="n">
        <v>18.18</v>
      </c>
      <c r="BT1369" s="34" t="n">
        <v>46281</v>
      </c>
      <c r="BU1369" s="15" t="n">
        <v>121.1</v>
      </c>
      <c r="BV1369" s="15" t="n">
        <v>223.63</v>
      </c>
      <c r="BW1369" s="34" t="n">
        <v>46281</v>
      </c>
      <c r="BX1369" s="15" t="n">
        <v>33.5</v>
      </c>
      <c r="BY1369" s="15" t="n">
        <v>45.52</v>
      </c>
      <c r="BZ1369" s="34" t="n">
        <v>46281</v>
      </c>
      <c r="CA1369" s="15" t="n">
        <v>11.27</v>
      </c>
      <c r="CB1369" s="15" t="n">
        <v>18.06</v>
      </c>
      <c r="CC1369" s="34" t="n">
        <v>46281</v>
      </c>
      <c r="CD1369" s="15" t="n">
        <v>22.1</v>
      </c>
      <c r="CE1369" s="15" t="n">
        <v>37.71</v>
      </c>
      <c r="CF1369" s="34" t="n">
        <v>46281</v>
      </c>
      <c r="CG1369" s="15" t="n">
        <v>158.4</v>
      </c>
      <c r="CH1369" s="15" t="n">
        <v>235.35</v>
      </c>
      <c r="CI1369" s="34" t="n">
        <v>46281</v>
      </c>
      <c r="CJ1369" s="15" t="n">
        <v>6.64</v>
      </c>
      <c r="CK1369" s="15" t="n">
        <v>12.61</v>
      </c>
      <c r="CL1369" s="34" t="n">
        <v>46281</v>
      </c>
      <c r="CM1369" s="15" t="n">
        <v>69</v>
      </c>
      <c r="CN1369" s="15" t="n">
        <v>78.40000000000001</v>
      </c>
      <c r="CO1369" s="34" t="n">
        <v>46281</v>
      </c>
      <c r="CP1369" s="15" t="n">
        <v>450</v>
      </c>
      <c r="CQ1369" s="15" t="n">
        <v>373.14</v>
      </c>
      <c r="CR1369" s="34" t="n">
        <v>46281</v>
      </c>
      <c r="CS1369" s="15" t="n">
        <v>20.54</v>
      </c>
      <c r="CT1369" s="15" t="n">
        <v>35.44</v>
      </c>
      <c r="CU1369" s="34" t="n">
        <v>46281</v>
      </c>
      <c r="CV1369" s="15" t="n">
        <v>99.65000000000001</v>
      </c>
      <c r="CW1369" s="15" t="n">
        <v>111.55</v>
      </c>
      <c r="CX1369" s="34" t="n">
        <v>46281</v>
      </c>
      <c r="CY1369" s="15" t="n">
        <v>39</v>
      </c>
      <c r="CZ1369" s="15" t="n">
        <v>64.40000000000001</v>
      </c>
      <c r="DA1369" s="34" t="n">
        <v>46281</v>
      </c>
      <c r="DB1369" s="15" t="n">
        <v>110</v>
      </c>
      <c r="DC1369" s="15" t="n">
        <v>265.15</v>
      </c>
      <c r="DD1369" s="34" t="n">
        <v>46281</v>
      </c>
      <c r="DE1369" s="15" t="n">
        <v>37.28</v>
      </c>
      <c r="DF1369" s="15" t="n">
        <v>41.08</v>
      </c>
      <c r="DG1369" s="34" t="n">
        <v>46281</v>
      </c>
      <c r="DH1369" s="15" t="n">
        <v>270.2</v>
      </c>
      <c r="DI1369" s="15" t="n">
        <v>199.89</v>
      </c>
      <c r="DJ1369" s="34" t="n">
        <v>46281</v>
      </c>
      <c r="DK1369" s="15" t="n">
        <v>27.4</v>
      </c>
      <c r="DL1369" s="15" t="n">
        <v>31.7</v>
      </c>
      <c r="DM1369" s="34" t="n">
        <v>46281</v>
      </c>
      <c r="DN1369" s="15" t="n">
        <v>8.98</v>
      </c>
      <c r="DO1369" s="15" t="n">
        <v>17.07</v>
      </c>
      <c r="DP1369" s="34" t="n">
        <v>46281</v>
      </c>
      <c r="DQ1369" s="15" t="n">
        <v>14.61</v>
      </c>
      <c r="DR1369" s="15" t="n">
        <v>29.17</v>
      </c>
      <c r="DS1369" s="34" t="n">
        <v>46281</v>
      </c>
      <c r="DT1369" s="15" t="n">
        <v>37.28</v>
      </c>
      <c r="DU1369" s="15" t="n">
        <v>66.90000000000001</v>
      </c>
      <c r="DV1369" s="34" t="n">
        <v>46281</v>
      </c>
      <c r="DW1369" s="15" t="n">
        <v>18.66</v>
      </c>
      <c r="DX1369" s="15" t="n">
        <v>40.91</v>
      </c>
      <c r="DY1369" s="34" t="n">
        <v>46281</v>
      </c>
      <c r="DZ1369" s="15" t="n">
        <v>122.4</v>
      </c>
      <c r="EA1369" s="15" t="n">
        <v>172.36</v>
      </c>
      <c r="EB1369" s="34" t="n">
        <v>46281</v>
      </c>
      <c r="EC1369" s="15" t="n">
        <v>8.029999999999999</v>
      </c>
      <c r="ED1369" s="15" t="n">
        <v>20.4</v>
      </c>
      <c r="EE1369" s="34" t="n">
        <v>46281</v>
      </c>
      <c r="EF1369" s="15" t="n">
        <v>197.4</v>
      </c>
      <c r="EG1369" s="15" t="n">
        <v>230.36</v>
      </c>
      <c r="EH1369" s="34" t="n">
        <v>46281</v>
      </c>
      <c r="EI1369" s="15" t="n">
        <v>70.90000000000001</v>
      </c>
      <c r="EJ1369" s="15" t="n">
        <v>78.37</v>
      </c>
      <c r="EK1369" s="34" t="n">
        <v>46281</v>
      </c>
      <c r="EL1369" s="15" t="n">
        <v>20.62</v>
      </c>
      <c r="EM1369" s="15" t="n">
        <v>25.3</v>
      </c>
      <c r="EN1369" s="34" t="n">
        <v>46281</v>
      </c>
      <c r="EO1369" s="15" t="n">
        <v>32.38</v>
      </c>
      <c r="EP1369" s="15" t="n">
        <v>51.74</v>
      </c>
      <c r="EQ1369" s="34" t="n">
        <v>46281</v>
      </c>
      <c r="ER1369" s="15" t="n">
        <v>32.6</v>
      </c>
      <c r="ES1369" s="15" t="n">
        <v>39.16</v>
      </c>
      <c r="ET1369" s="34" t="n">
        <v>46281</v>
      </c>
      <c r="EU1369" s="15" t="n">
        <v>7.86</v>
      </c>
      <c r="EV1369" s="15" t="n">
        <v>15.47</v>
      </c>
      <c r="EW1369" s="34" t="n">
        <v>46281</v>
      </c>
      <c r="EX1369" s="15" t="n">
        <v>92.40000000000001</v>
      </c>
      <c r="EY1369" s="15" t="n">
        <v>111.8</v>
      </c>
      <c r="EZ1369" s="34" t="n">
        <v>46281</v>
      </c>
      <c r="FA1369" s="15" t="n">
        <v>6.14</v>
      </c>
      <c r="FB1369" s="15" t="n">
        <v>12.51</v>
      </c>
      <c r="FC1369" s="34" t="n">
        <v>46281</v>
      </c>
      <c r="FD1369" s="15" t="n">
        <v>361</v>
      </c>
      <c r="FE1369" s="15" t="n">
        <v>433</v>
      </c>
      <c r="FF1369" s="34" t="n">
        <v>46281</v>
      </c>
      <c r="FG1369" s="15" t="n">
        <v>120.1</v>
      </c>
      <c r="FH1369" s="15" t="n">
        <v>124.9</v>
      </c>
      <c r="FI1369" s="34" t="n">
        <v>46281</v>
      </c>
      <c r="FJ1369" s="15" t="n">
        <v>20.68</v>
      </c>
      <c r="FK1369" s="15" t="n">
        <v>42.43</v>
      </c>
      <c r="FL1369" s="34" t="n">
        <v>46281</v>
      </c>
      <c r="FM1369" s="15" t="n">
        <v>58.5</v>
      </c>
      <c r="FN1369" s="15" t="n">
        <v>52.89</v>
      </c>
      <c r="FO1369" s="34" t="n">
        <v>46281</v>
      </c>
      <c r="FP1369" s="15" t="n">
        <v>128</v>
      </c>
      <c r="FQ1369" s="15" t="n">
        <v>129.88</v>
      </c>
      <c r="FR1369" s="34" t="n">
        <v>46281</v>
      </c>
      <c r="FS1369" s="15" t="n">
        <v>293.8</v>
      </c>
      <c r="FT1369" s="15" t="n">
        <v>408.88</v>
      </c>
      <c r="FU1369" s="34" t="n">
        <v>46281</v>
      </c>
      <c r="FV1369" s="15" t="n">
        <v>3.08</v>
      </c>
      <c r="FW1369" s="15" t="n">
        <v>5.97</v>
      </c>
      <c r="FX1369" s="34" t="n">
        <v>46281</v>
      </c>
      <c r="FY1369" s="15" t="n">
        <v>27.24</v>
      </c>
      <c r="FZ1369" s="15" t="n">
        <v>35.67</v>
      </c>
      <c r="GA1369" s="34" t="n">
        <v>46281</v>
      </c>
      <c r="GB1369" s="15" t="n">
        <v>1137</v>
      </c>
      <c r="GC1369" s="15" t="n">
        <v>907.8</v>
      </c>
      <c r="GD1369" s="34" t="n">
        <v>46281</v>
      </c>
      <c r="GE1369" s="15" t="n">
        <v>98.8</v>
      </c>
      <c r="GF1369" s="15" t="n">
        <v>134.06</v>
      </c>
      <c r="GG1369" s="34" t="n">
        <v>46281</v>
      </c>
    </row>
    <row r="1370">
      <c r="A1370" s="34" t="n">
        <v>46282</v>
      </c>
      <c r="B1370" s="266" t="n">
        <v>1.169389963150024</v>
      </c>
      <c r="C1370" s="34" t="n">
        <v>46282</v>
      </c>
      <c r="D1370" s="15" t="n">
        <v>23.06</v>
      </c>
      <c r="E1370" s="15" t="n">
        <v>44.12</v>
      </c>
      <c r="F1370" s="34" t="n">
        <v>46282</v>
      </c>
      <c r="G1370" s="15" t="n">
        <v>162.2</v>
      </c>
      <c r="H1370" s="15" t="n">
        <v>186.23</v>
      </c>
      <c r="I1370" s="34" t="n">
        <v>46282</v>
      </c>
      <c r="J1370" s="15" t="n">
        <v>15.63</v>
      </c>
      <c r="K1370" s="15" t="n">
        <v>24.97</v>
      </c>
      <c r="L1370" s="34" t="n">
        <v>46282</v>
      </c>
      <c r="M1370" s="15" t="n">
        <v>30.7</v>
      </c>
      <c r="N1370" s="15" t="n">
        <v>42.74</v>
      </c>
      <c r="O1370" s="34" t="n">
        <v>46282</v>
      </c>
      <c r="P1370" s="15" t="n">
        <v>46.14</v>
      </c>
      <c r="Q1370" s="15" t="n">
        <v>51.15</v>
      </c>
      <c r="R1370" s="34" t="n">
        <v>46282</v>
      </c>
      <c r="S1370" s="15" t="n">
        <v>61.1</v>
      </c>
      <c r="T1370" s="15" t="n">
        <v>126.58</v>
      </c>
      <c r="U1370" s="34" t="n">
        <v>46282</v>
      </c>
      <c r="V1370" s="15" t="n">
        <v>10.49</v>
      </c>
      <c r="W1370" s="15" t="n">
        <v>16.71</v>
      </c>
      <c r="X1370" s="34" t="n">
        <v>46282</v>
      </c>
      <c r="Y1370" s="15" t="n">
        <v>99.2</v>
      </c>
      <c r="Z1370" s="15" t="n">
        <v>85.04000000000001</v>
      </c>
      <c r="AA1370" s="34" t="n">
        <v>46282</v>
      </c>
      <c r="AB1370" s="15" t="n">
        <v>8.785</v>
      </c>
      <c r="AC1370" s="15" t="n">
        <v>18.19</v>
      </c>
      <c r="AD1370" s="34" t="n">
        <v>46282</v>
      </c>
      <c r="AE1370" s="15" t="n">
        <v>29.04</v>
      </c>
      <c r="AF1370" s="15" t="n">
        <v>30.75</v>
      </c>
      <c r="AG1370" s="34" t="n">
        <v>46282</v>
      </c>
      <c r="AH1370" s="15" t="n">
        <v>37.48</v>
      </c>
      <c r="AI1370" s="15" t="n">
        <v>43.44</v>
      </c>
      <c r="AJ1370" s="34" t="n">
        <v>46282</v>
      </c>
      <c r="AK1370" s="15" t="n">
        <v>11.71</v>
      </c>
      <c r="AL1370" s="15" t="n">
        <v>37.13</v>
      </c>
      <c r="AM1370" s="34" t="n">
        <v>46282</v>
      </c>
      <c r="AN1370" s="15" t="n">
        <v>507</v>
      </c>
      <c r="AO1370" s="15" t="n">
        <v>304.3</v>
      </c>
      <c r="AP1370" s="34" t="n">
        <v>46282</v>
      </c>
      <c r="AQ1370" s="15" t="n">
        <v>44.42</v>
      </c>
      <c r="AR1370" s="15" t="n">
        <v>43.23</v>
      </c>
      <c r="AS1370" s="34" t="n">
        <v>46282</v>
      </c>
      <c r="AT1370" s="15" t="n">
        <v>12.43</v>
      </c>
      <c r="AU1370" s="15" t="n">
        <v>19.64</v>
      </c>
      <c r="AV1370" s="34" t="n">
        <v>46282</v>
      </c>
      <c r="AW1370" s="15" t="n">
        <v>26.6</v>
      </c>
      <c r="AX1370" s="15" t="n">
        <v>33.89</v>
      </c>
      <c r="AY1370" s="34" t="n">
        <v>46282</v>
      </c>
      <c r="AZ1370" s="15" t="n">
        <v>24.4</v>
      </c>
      <c r="BA1370" s="15" t="n">
        <v>34.64</v>
      </c>
      <c r="BB1370" s="34" t="n">
        <v>46282</v>
      </c>
      <c r="BC1370" s="15" t="n">
        <v>60.3</v>
      </c>
      <c r="BD1370" s="15" t="n">
        <v>74.43000000000001</v>
      </c>
      <c r="BE1370" s="34" t="n">
        <v>46282</v>
      </c>
      <c r="BF1370" s="15" t="n">
        <v>126.2</v>
      </c>
      <c r="BG1370" s="15" t="n">
        <v>205.65</v>
      </c>
      <c r="BH1370" s="34" t="n">
        <v>46282</v>
      </c>
      <c r="BI1370" s="15" t="n">
        <v>21.18</v>
      </c>
      <c r="BJ1370" s="15" t="n">
        <v>33.44</v>
      </c>
      <c r="BK1370" s="34" t="n">
        <v>46282</v>
      </c>
      <c r="BL1370" s="15" t="n">
        <v>64.5</v>
      </c>
      <c r="BM1370" s="15" t="n">
        <v>104.39</v>
      </c>
      <c r="BN1370" s="34" t="n">
        <v>46282</v>
      </c>
      <c r="BO1370" s="15" t="n">
        <v>7.185</v>
      </c>
      <c r="BP1370" s="15" t="n">
        <v>18.82</v>
      </c>
      <c r="BQ1370" s="34" t="n">
        <v>46282</v>
      </c>
      <c r="BR1370" s="15" t="n">
        <v>18.13</v>
      </c>
      <c r="BS1370" s="15" t="n">
        <v>18.07</v>
      </c>
      <c r="BT1370" s="34" t="n">
        <v>46282</v>
      </c>
      <c r="BU1370" s="15" t="n">
        <v>124.6</v>
      </c>
      <c r="BV1370" s="15" t="n">
        <v>219.03</v>
      </c>
      <c r="BW1370" s="34" t="n">
        <v>46282</v>
      </c>
      <c r="BX1370" s="15" t="n">
        <v>35</v>
      </c>
      <c r="BY1370" s="15" t="n">
        <v>47.12</v>
      </c>
      <c r="BZ1370" s="34" t="n">
        <v>46282</v>
      </c>
      <c r="CA1370" s="15" t="n">
        <v>11.9</v>
      </c>
      <c r="CB1370" s="15" t="n">
        <v>19.87</v>
      </c>
      <c r="CC1370" s="34" t="n">
        <v>46282</v>
      </c>
      <c r="CD1370" s="15" t="n">
        <v>21.86</v>
      </c>
      <c r="CE1370" s="15" t="n">
        <v>37.49</v>
      </c>
      <c r="CF1370" s="34" t="n">
        <v>46282</v>
      </c>
      <c r="CG1370" s="15" t="n">
        <v>159.8</v>
      </c>
      <c r="CH1370" s="15" t="n">
        <v>238.2</v>
      </c>
      <c r="CI1370" s="34" t="n">
        <v>46282</v>
      </c>
      <c r="CJ1370" s="15" t="n">
        <v>6.52</v>
      </c>
      <c r="CK1370" s="15" t="n">
        <v>12.64</v>
      </c>
      <c r="CL1370" s="34" t="n">
        <v>46282</v>
      </c>
      <c r="CM1370" s="15" t="n">
        <v>69.5</v>
      </c>
      <c r="CN1370" s="15" t="n">
        <v>78.62</v>
      </c>
      <c r="CO1370" s="34" t="n">
        <v>46282</v>
      </c>
      <c r="CP1370" s="15" t="n">
        <v>466.6</v>
      </c>
      <c r="CQ1370" s="15" t="n">
        <v>369.88</v>
      </c>
      <c r="CR1370" s="34" t="n">
        <v>46282</v>
      </c>
      <c r="CS1370" s="15" t="n">
        <v>20.42</v>
      </c>
      <c r="CT1370" s="15" t="n">
        <v>35.14</v>
      </c>
      <c r="CU1370" s="34" t="n">
        <v>46282</v>
      </c>
      <c r="CV1370" s="15" t="n">
        <v>96.2</v>
      </c>
      <c r="CW1370" s="15" t="n">
        <v>110.84</v>
      </c>
      <c r="CX1370" s="34" t="n">
        <v>46282</v>
      </c>
      <c r="CY1370" s="15" t="n">
        <v>39.62</v>
      </c>
      <c r="CZ1370" s="15" t="n">
        <v>65.22</v>
      </c>
      <c r="DA1370" s="34" t="n">
        <v>46282</v>
      </c>
      <c r="DB1370" s="15" t="n">
        <v>107.1</v>
      </c>
      <c r="DC1370" s="15" t="n">
        <v>258.88</v>
      </c>
      <c r="DD1370" s="34" t="n">
        <v>46282</v>
      </c>
      <c r="DE1370" s="15" t="n">
        <v>37.52</v>
      </c>
      <c r="DF1370" s="15" t="n">
        <v>41.28</v>
      </c>
      <c r="DG1370" s="34" t="n">
        <v>46282</v>
      </c>
      <c r="DH1370" s="15" t="n">
        <v>267.6</v>
      </c>
      <c r="DI1370" s="15" t="n">
        <v>194.33</v>
      </c>
      <c r="DJ1370" s="34" t="n">
        <v>46282</v>
      </c>
      <c r="DK1370" s="15" t="n">
        <v>27.4</v>
      </c>
      <c r="DL1370" s="15" t="n">
        <v>31.87</v>
      </c>
      <c r="DM1370" s="34" t="n">
        <v>46282</v>
      </c>
      <c r="DN1370" s="15" t="n">
        <v>8.83</v>
      </c>
      <c r="DO1370" s="15" t="n">
        <v>16.76</v>
      </c>
      <c r="DP1370" s="34" t="n">
        <v>46282</v>
      </c>
      <c r="DQ1370" s="15" t="n">
        <v>14.76</v>
      </c>
      <c r="DR1370" s="15" t="n">
        <v>29.57</v>
      </c>
      <c r="DS1370" s="34" t="n">
        <v>46282</v>
      </c>
      <c r="DT1370" s="15" t="n">
        <v>36.8</v>
      </c>
      <c r="DU1370" s="15" t="n">
        <v>68.43000000000001</v>
      </c>
      <c r="DV1370" s="34" t="n">
        <v>46282</v>
      </c>
      <c r="DW1370" s="15" t="n">
        <v>19.01</v>
      </c>
      <c r="DX1370" s="15" t="n">
        <v>42.82</v>
      </c>
      <c r="DY1370" s="34" t="n">
        <v>46282</v>
      </c>
      <c r="DZ1370" s="15" t="n">
        <v>116.8</v>
      </c>
      <c r="EA1370" s="15" t="n">
        <v>168.05</v>
      </c>
      <c r="EB1370" s="34" t="n">
        <v>46282</v>
      </c>
      <c r="EC1370" s="15" t="n">
        <v>7.955</v>
      </c>
      <c r="ED1370" s="15" t="n">
        <v>20</v>
      </c>
      <c r="EE1370" s="34" t="n">
        <v>46282</v>
      </c>
      <c r="EF1370" s="15" t="n">
        <v>193</v>
      </c>
      <c r="EG1370" s="15" t="n">
        <v>222.9</v>
      </c>
      <c r="EH1370" s="34" t="n">
        <v>46282</v>
      </c>
      <c r="EI1370" s="15" t="n">
        <v>69.95</v>
      </c>
      <c r="EJ1370" s="15" t="n">
        <v>79.5</v>
      </c>
      <c r="EK1370" s="34" t="n">
        <v>46282</v>
      </c>
      <c r="EL1370" s="15" t="n">
        <v>20.66</v>
      </c>
      <c r="EM1370" s="15" t="n">
        <v>25.73</v>
      </c>
      <c r="EN1370" s="34" t="n">
        <v>46282</v>
      </c>
      <c r="EO1370" s="15" t="n">
        <v>32.72</v>
      </c>
      <c r="EP1370" s="15" t="n">
        <v>53.28</v>
      </c>
      <c r="EQ1370" s="34" t="n">
        <v>46282</v>
      </c>
      <c r="ER1370" s="15" t="n">
        <v>33.74</v>
      </c>
      <c r="ES1370" s="15" t="n">
        <v>41.21</v>
      </c>
      <c r="ET1370" s="34" t="n">
        <v>46282</v>
      </c>
      <c r="EU1370" s="15" t="n">
        <v>7.645</v>
      </c>
      <c r="EV1370" s="15" t="n">
        <v>15.28</v>
      </c>
      <c r="EW1370" s="34" t="n">
        <v>46282</v>
      </c>
      <c r="EX1370" s="15" t="n">
        <v>94.75</v>
      </c>
      <c r="EY1370" s="15" t="n">
        <v>116.46</v>
      </c>
      <c r="EZ1370" s="34" t="n">
        <v>46282</v>
      </c>
      <c r="FA1370" s="15" t="n">
        <v>6.08</v>
      </c>
      <c r="FB1370" s="15" t="n">
        <v>12.47</v>
      </c>
      <c r="FC1370" s="34" t="n">
        <v>46282</v>
      </c>
      <c r="FD1370" s="15" t="n">
        <v>356.4</v>
      </c>
      <c r="FE1370" s="15" t="n">
        <v>431.2</v>
      </c>
      <c r="FF1370" s="34" t="n">
        <v>46282</v>
      </c>
      <c r="FG1370" s="15" t="n">
        <v>119.6</v>
      </c>
      <c r="FH1370" s="15" t="n">
        <v>125.44</v>
      </c>
      <c r="FI1370" s="34" t="n">
        <v>46282</v>
      </c>
      <c r="FJ1370" s="15" t="n">
        <v>20.44</v>
      </c>
      <c r="FK1370" s="15" t="n">
        <v>41.84</v>
      </c>
      <c r="FL1370" s="34" t="n">
        <v>46282</v>
      </c>
      <c r="FM1370" s="15" t="n">
        <v>56.7</v>
      </c>
      <c r="FN1370" s="15" t="n">
        <v>52.13</v>
      </c>
      <c r="FO1370" s="34" t="n">
        <v>46282</v>
      </c>
      <c r="FP1370" s="15" t="n">
        <v>124.6</v>
      </c>
      <c r="FQ1370" s="15" t="n">
        <v>128.01</v>
      </c>
      <c r="FR1370" s="34" t="n">
        <v>46282</v>
      </c>
      <c r="FS1370" s="15" t="n">
        <v>277</v>
      </c>
      <c r="FT1370" s="15" t="n">
        <v>399.2</v>
      </c>
      <c r="FU1370" s="34" t="n">
        <v>46282</v>
      </c>
      <c r="FV1370" s="15" t="n">
        <v>3.025</v>
      </c>
      <c r="FW1370" s="15" t="n">
        <v>5.83</v>
      </c>
      <c r="FX1370" s="34" t="n">
        <v>46282</v>
      </c>
      <c r="FY1370" s="15" t="n">
        <v>26.76</v>
      </c>
      <c r="FZ1370" s="15" t="n">
        <v>35.01</v>
      </c>
      <c r="GA1370" s="34" t="n">
        <v>46282</v>
      </c>
      <c r="GB1370" s="15" t="n">
        <v>1150</v>
      </c>
      <c r="GC1370" s="15" t="n">
        <v>896</v>
      </c>
      <c r="GD1370" s="34" t="n">
        <v>46282</v>
      </c>
      <c r="GE1370" s="15" t="n">
        <v>96.5</v>
      </c>
      <c r="GF1370" s="15" t="n">
        <v>135.06</v>
      </c>
      <c r="GG1370" s="34" t="n">
        <v>46282</v>
      </c>
    </row>
    <row r="1371">
      <c r="A1371" s="34" t="n">
        <v>46283</v>
      </c>
      <c r="B1371" s="266" t="n">
        <v>1.16942298412323</v>
      </c>
      <c r="C1371" s="34" t="n">
        <v>46283</v>
      </c>
      <c r="D1371" s="15" t="n">
        <v>25.4</v>
      </c>
      <c r="E1371" s="15" t="n">
        <v>45.76</v>
      </c>
      <c r="F1371" s="34" t="n">
        <v>46283</v>
      </c>
      <c r="G1371" s="15" t="n">
        <v>157.6</v>
      </c>
      <c r="H1371" s="15" t="n">
        <v>185.2</v>
      </c>
      <c r="I1371" s="34" t="n">
        <v>46283</v>
      </c>
      <c r="J1371" s="15" t="n">
        <v>15.69</v>
      </c>
      <c r="K1371" s="15" t="n">
        <v>25.36</v>
      </c>
      <c r="L1371" s="34" t="n">
        <v>46283</v>
      </c>
      <c r="M1371" s="15" t="n">
        <v>31.22</v>
      </c>
      <c r="N1371" s="15" t="n">
        <v>42.76</v>
      </c>
      <c r="O1371" s="34" t="n">
        <v>46283</v>
      </c>
      <c r="P1371" s="15" t="n">
        <v>46.22</v>
      </c>
      <c r="Q1371" s="15" t="n">
        <v>52</v>
      </c>
      <c r="R1371" s="34" t="n">
        <v>46283</v>
      </c>
      <c r="S1371" s="15" t="n">
        <v>61.25</v>
      </c>
      <c r="T1371" s="15" t="n">
        <v>134.27</v>
      </c>
      <c r="U1371" s="34" t="n">
        <v>46283</v>
      </c>
      <c r="V1371" s="15" t="n">
        <v>10.24</v>
      </c>
      <c r="W1371" s="15" t="n">
        <v>16.86</v>
      </c>
      <c r="X1371" s="34" t="n">
        <v>46283</v>
      </c>
      <c r="Y1371" s="15" t="n">
        <v>99.3</v>
      </c>
      <c r="Z1371" s="15" t="n">
        <v>84.40000000000001</v>
      </c>
      <c r="AA1371" s="34" t="n">
        <v>46283</v>
      </c>
      <c r="AB1371" s="15" t="n">
        <v>8.970000000000001</v>
      </c>
      <c r="AC1371" s="15" t="n">
        <v>18.29</v>
      </c>
      <c r="AD1371" s="34" t="n">
        <v>46283</v>
      </c>
      <c r="AE1371" s="15" t="n">
        <v>28.98</v>
      </c>
      <c r="AF1371" s="15" t="n">
        <v>30.78</v>
      </c>
      <c r="AG1371" s="34" t="n">
        <v>46283</v>
      </c>
      <c r="AH1371" s="15" t="n">
        <v>38.62</v>
      </c>
      <c r="AI1371" s="15" t="n">
        <v>44.26</v>
      </c>
      <c r="AJ1371" s="34" t="n">
        <v>46283</v>
      </c>
      <c r="AK1371" s="15" t="n">
        <v>12.3</v>
      </c>
      <c r="AL1371" s="15" t="n">
        <v>38.47</v>
      </c>
      <c r="AM1371" s="34" t="n">
        <v>46283</v>
      </c>
      <c r="AN1371" s="15" t="n">
        <v>507</v>
      </c>
      <c r="AO1371" s="15" t="n">
        <v>301.95</v>
      </c>
      <c r="AP1371" s="34" t="n">
        <v>46283</v>
      </c>
      <c r="AQ1371" s="15" t="n">
        <v>46.26</v>
      </c>
      <c r="AR1371" s="15" t="n">
        <v>43.91</v>
      </c>
      <c r="AS1371" s="34" t="n">
        <v>46283</v>
      </c>
      <c r="AT1371" s="15" t="n">
        <v>12.75</v>
      </c>
      <c r="AU1371" s="15" t="n">
        <v>20.49</v>
      </c>
      <c r="AV1371" s="34" t="n">
        <v>46283</v>
      </c>
      <c r="AW1371" s="15" t="n">
        <v>26.8</v>
      </c>
      <c r="AX1371" s="15" t="n">
        <v>33.85</v>
      </c>
      <c r="AY1371" s="34" t="n">
        <v>46283</v>
      </c>
      <c r="AZ1371" s="15" t="n">
        <v>24.9</v>
      </c>
      <c r="BA1371" s="15" t="n">
        <v>35.31</v>
      </c>
      <c r="BB1371" s="34" t="n">
        <v>46283</v>
      </c>
      <c r="BC1371" s="15" t="n">
        <v>64.8</v>
      </c>
      <c r="BD1371" s="15" t="n">
        <v>79.48</v>
      </c>
      <c r="BE1371" s="34" t="n">
        <v>46283</v>
      </c>
      <c r="BF1371" s="15" t="n">
        <v>135</v>
      </c>
      <c r="BG1371" s="15" t="n">
        <v>209.43</v>
      </c>
      <c r="BH1371" s="34" t="n">
        <v>46283</v>
      </c>
      <c r="BI1371" s="15" t="n">
        <v>21.22</v>
      </c>
      <c r="BJ1371" s="15" t="n">
        <v>33.48</v>
      </c>
      <c r="BK1371" s="34" t="n">
        <v>46283</v>
      </c>
      <c r="BL1371" s="15" t="n">
        <v>69.2</v>
      </c>
      <c r="BM1371" s="15" t="n">
        <v>107.3</v>
      </c>
      <c r="BN1371" s="34" t="n">
        <v>46283</v>
      </c>
      <c r="BO1371" s="15" t="n">
        <v>7.35</v>
      </c>
      <c r="BP1371" s="15" t="n">
        <v>19.79</v>
      </c>
      <c r="BQ1371" s="34" t="n">
        <v>46283</v>
      </c>
      <c r="BR1371" s="15" t="n">
        <v>18.15</v>
      </c>
      <c r="BS1371" s="15" t="n">
        <v>17.89</v>
      </c>
      <c r="BT1371" s="34" t="n">
        <v>46283</v>
      </c>
      <c r="BU1371" s="15" t="n">
        <v>125.1</v>
      </c>
      <c r="BV1371" s="15" t="n">
        <v>227.98</v>
      </c>
      <c r="BW1371" s="34" t="n">
        <v>46283</v>
      </c>
      <c r="BX1371" s="15" t="n">
        <v>34.8</v>
      </c>
      <c r="BY1371" s="15" t="n">
        <v>47.19</v>
      </c>
      <c r="BZ1371" s="34" t="n">
        <v>46283</v>
      </c>
      <c r="CA1371" s="15" t="n">
        <v>11.9</v>
      </c>
      <c r="CB1371" s="15" t="n">
        <v>20.14</v>
      </c>
      <c r="CC1371" s="34" t="n">
        <v>46283</v>
      </c>
      <c r="CD1371" s="15" t="n">
        <v>21.94</v>
      </c>
      <c r="CE1371" s="15" t="n">
        <v>38.03</v>
      </c>
      <c r="CF1371" s="34" t="n">
        <v>46283</v>
      </c>
      <c r="CG1371" s="15" t="n">
        <v>171.5</v>
      </c>
      <c r="CH1371" s="15" t="n">
        <v>250.47</v>
      </c>
      <c r="CI1371" s="34" t="n">
        <v>46283</v>
      </c>
      <c r="CJ1371" s="15" t="n">
        <v>6.59</v>
      </c>
      <c r="CK1371" s="15" t="n">
        <v>12.72</v>
      </c>
      <c r="CL1371" s="34" t="n">
        <v>46283</v>
      </c>
      <c r="CM1371" s="15" t="n">
        <v>72</v>
      </c>
      <c r="CN1371" s="15" t="n">
        <v>81.27</v>
      </c>
      <c r="CO1371" s="34" t="n">
        <v>46283</v>
      </c>
      <c r="CP1371" s="15" t="n">
        <v>512</v>
      </c>
      <c r="CQ1371" s="15" t="n">
        <v>388.18</v>
      </c>
      <c r="CR1371" s="34" t="n">
        <v>46283</v>
      </c>
      <c r="CS1371" s="15" t="n">
        <v>20.76</v>
      </c>
      <c r="CT1371" s="15" t="n">
        <v>35.47</v>
      </c>
      <c r="CU1371" s="34" t="n">
        <v>46283</v>
      </c>
      <c r="CV1371" s="15" t="n">
        <v>95</v>
      </c>
      <c r="CW1371" s="15" t="n">
        <v>111.54</v>
      </c>
      <c r="CX1371" s="34" t="n">
        <v>46283</v>
      </c>
      <c r="CY1371" s="15" t="n">
        <v>41.6</v>
      </c>
      <c r="CZ1371" s="15" t="n">
        <v>67.89</v>
      </c>
      <c r="DA1371" s="34" t="n">
        <v>46283</v>
      </c>
      <c r="DB1371" s="15" t="n">
        <v>113.8</v>
      </c>
      <c r="DC1371" s="15" t="n">
        <v>271.17</v>
      </c>
      <c r="DD1371" s="34" t="n">
        <v>46283</v>
      </c>
      <c r="DE1371" s="15" t="n">
        <v>37.2</v>
      </c>
      <c r="DF1371" s="15" t="n">
        <v>41.35</v>
      </c>
      <c r="DG1371" s="34" t="n">
        <v>46283</v>
      </c>
      <c r="DH1371" s="15" t="n">
        <v>283</v>
      </c>
      <c r="DI1371" s="15" t="n">
        <v>202.53</v>
      </c>
      <c r="DJ1371" s="34" t="n">
        <v>46283</v>
      </c>
      <c r="DK1371" s="15" t="n">
        <v>28.16</v>
      </c>
      <c r="DL1371" s="15" t="n">
        <v>32.53</v>
      </c>
      <c r="DM1371" s="34" t="n">
        <v>46283</v>
      </c>
      <c r="DN1371" s="15" t="n">
        <v>8.904999999999999</v>
      </c>
      <c r="DO1371" s="15" t="n">
        <v>17.14</v>
      </c>
      <c r="DP1371" s="34" t="n">
        <v>46283</v>
      </c>
      <c r="DQ1371" s="15" t="n">
        <v>15.03</v>
      </c>
      <c r="DR1371" s="15" t="n">
        <v>29.79</v>
      </c>
      <c r="DS1371" s="34" t="n">
        <v>46283</v>
      </c>
      <c r="DT1371" s="15" t="n">
        <v>38.24</v>
      </c>
      <c r="DU1371" s="15" t="n">
        <v>68.98</v>
      </c>
      <c r="DV1371" s="34" t="n">
        <v>46283</v>
      </c>
      <c r="DW1371" s="15" t="n">
        <v>19.59</v>
      </c>
      <c r="DX1371" s="15" t="n">
        <v>45.3</v>
      </c>
      <c r="DY1371" s="34" t="n">
        <v>46283</v>
      </c>
      <c r="DZ1371" s="15" t="n">
        <v>107.6</v>
      </c>
      <c r="EA1371" s="15" t="n">
        <v>169.03</v>
      </c>
      <c r="EB1371" s="34" t="n">
        <v>46283</v>
      </c>
      <c r="EC1371" s="15" t="n">
        <v>8.76</v>
      </c>
      <c r="ED1371" s="15" t="n">
        <v>22.18</v>
      </c>
      <c r="EE1371" s="34" t="n">
        <v>46283</v>
      </c>
      <c r="EF1371" s="15" t="n">
        <v>199.4</v>
      </c>
      <c r="EG1371" s="15" t="n">
        <v>227.05</v>
      </c>
      <c r="EH1371" s="34" t="n">
        <v>46283</v>
      </c>
      <c r="EI1371" s="15" t="n">
        <v>71.55</v>
      </c>
      <c r="EJ1371" s="15" t="n">
        <v>80.34999999999999</v>
      </c>
      <c r="EK1371" s="34" t="n">
        <v>46283</v>
      </c>
      <c r="EL1371" s="15" t="n">
        <v>20.78</v>
      </c>
      <c r="EM1371" s="15" t="n">
        <v>26.62</v>
      </c>
      <c r="EN1371" s="34" t="n">
        <v>46283</v>
      </c>
      <c r="EO1371" s="15" t="n">
        <v>30.54</v>
      </c>
      <c r="EP1371" s="15" t="n">
        <v>52.8</v>
      </c>
      <c r="EQ1371" s="34" t="n">
        <v>46283</v>
      </c>
      <c r="ER1371" s="15" t="n">
        <v>33.22</v>
      </c>
      <c r="ES1371" s="15" t="n">
        <v>39.6</v>
      </c>
      <c r="ET1371" s="34" t="n">
        <v>46283</v>
      </c>
      <c r="EU1371" s="15" t="n">
        <v>7.85</v>
      </c>
      <c r="EV1371" s="15" t="n">
        <v>15.9</v>
      </c>
      <c r="EW1371" s="34" t="n">
        <v>46283</v>
      </c>
      <c r="EX1371" s="15" t="n">
        <v>99.90000000000001</v>
      </c>
      <c r="EY1371" s="15" t="n">
        <v>125.13</v>
      </c>
      <c r="EZ1371" s="34" t="n">
        <v>46283</v>
      </c>
      <c r="FA1371" s="15" t="n">
        <v>6.1</v>
      </c>
      <c r="FB1371" s="15" t="n">
        <v>12.58</v>
      </c>
      <c r="FC1371" s="34" t="n">
        <v>46283</v>
      </c>
      <c r="FD1371" s="15" t="n">
        <v>379.6</v>
      </c>
      <c r="FE1371" s="15" t="n">
        <v>439.83</v>
      </c>
      <c r="FF1371" s="34" t="n">
        <v>46283</v>
      </c>
      <c r="FG1371" s="15" t="n">
        <v>117.3</v>
      </c>
      <c r="FH1371" s="15" t="n">
        <v>126.99</v>
      </c>
      <c r="FI1371" s="34" t="n">
        <v>46283</v>
      </c>
      <c r="FJ1371" s="15" t="n">
        <v>21.4</v>
      </c>
      <c r="FK1371" s="15" t="n">
        <v>44.09</v>
      </c>
      <c r="FL1371" s="34" t="n">
        <v>46283</v>
      </c>
      <c r="FM1371" s="15" t="n">
        <v>58.8</v>
      </c>
      <c r="FN1371" s="15" t="n">
        <v>54.1</v>
      </c>
      <c r="FO1371" s="34" t="n">
        <v>46283</v>
      </c>
      <c r="FP1371" s="15" t="n">
        <v>139.2</v>
      </c>
      <c r="FQ1371" s="15" t="n">
        <v>130.96</v>
      </c>
      <c r="FR1371" s="34" t="n">
        <v>46283</v>
      </c>
      <c r="FS1371" s="15" t="n">
        <v>291</v>
      </c>
      <c r="FT1371" s="15" t="n">
        <v>408.89</v>
      </c>
      <c r="FU1371" s="34" t="n">
        <v>46283</v>
      </c>
      <c r="FV1371" s="15" t="n">
        <v>3.075</v>
      </c>
      <c r="FW1371" s="15" t="n">
        <v>6</v>
      </c>
      <c r="FX1371" s="34" t="n">
        <v>46283</v>
      </c>
      <c r="FY1371" s="15" t="n">
        <v>28.74</v>
      </c>
      <c r="FZ1371" s="15" t="n">
        <v>36.75</v>
      </c>
      <c r="GA1371" s="34" t="n">
        <v>46283</v>
      </c>
      <c r="GB1371" s="15" t="n">
        <v>1205</v>
      </c>
      <c r="GC1371" s="15" t="n">
        <v>926.4299999999999</v>
      </c>
      <c r="GD1371" s="34" t="n">
        <v>46283</v>
      </c>
      <c r="GE1371" s="15" t="n">
        <v>100.5</v>
      </c>
      <c r="GF1371" s="15" t="n">
        <v>142.97</v>
      </c>
      <c r="GG1371" s="34" t="n">
        <v>46283</v>
      </c>
    </row>
    <row r="1372">
      <c r="A1372" s="34" t="n">
        <v>46286</v>
      </c>
      <c r="B1372" s="266" t="n">
        <v>1.171280026435852</v>
      </c>
      <c r="C1372" s="34" t="n">
        <v>46286</v>
      </c>
      <c r="D1372" s="15" t="n">
        <v>26.5</v>
      </c>
      <c r="E1372" s="15" t="n">
        <v>46.74</v>
      </c>
      <c r="F1372" s="34" t="n">
        <v>46286</v>
      </c>
      <c r="G1372" s="15" t="n">
        <v>159.6</v>
      </c>
      <c r="H1372" s="15" t="n">
        <v>190.99</v>
      </c>
      <c r="I1372" s="34" t="n">
        <v>46286</v>
      </c>
      <c r="J1372" s="15" t="n">
        <v>15.93</v>
      </c>
      <c r="K1372" s="15" t="n">
        <v>25.74</v>
      </c>
      <c r="L1372" s="34" t="n">
        <v>46286</v>
      </c>
      <c r="M1372" s="15" t="n">
        <v>31.7</v>
      </c>
      <c r="N1372" s="15" t="n">
        <v>43.26</v>
      </c>
      <c r="O1372" s="34" t="n">
        <v>46286</v>
      </c>
      <c r="P1372" s="15" t="n">
        <v>46.72</v>
      </c>
      <c r="Q1372" s="15" t="n">
        <v>52.23</v>
      </c>
      <c r="R1372" s="34" t="n">
        <v>46286</v>
      </c>
      <c r="S1372" s="15" t="n">
        <v>68.55</v>
      </c>
      <c r="T1372" s="15" t="n">
        <v>138</v>
      </c>
      <c r="U1372" s="34" t="n">
        <v>46286</v>
      </c>
      <c r="V1372" s="15" t="n">
        <v>10.4</v>
      </c>
      <c r="W1372" s="15" t="n">
        <v>17.07</v>
      </c>
      <c r="X1372" s="34" t="n">
        <v>46286</v>
      </c>
      <c r="Y1372" s="15" t="n">
        <v>95.8</v>
      </c>
      <c r="Z1372" s="15" t="n">
        <v>80.90000000000001</v>
      </c>
      <c r="AA1372" s="34" t="n">
        <v>46286</v>
      </c>
      <c r="AB1372" s="15" t="n">
        <v>9.01</v>
      </c>
      <c r="AC1372" s="15" t="n">
        <v>18.23</v>
      </c>
      <c r="AD1372" s="34" t="n">
        <v>46286</v>
      </c>
      <c r="AE1372" s="15" t="n">
        <v>29.06</v>
      </c>
      <c r="AF1372" s="15" t="n">
        <v>30.94</v>
      </c>
      <c r="AG1372" s="34" t="n">
        <v>46286</v>
      </c>
      <c r="AH1372" s="15" t="n">
        <v>38.04</v>
      </c>
      <c r="AI1372" s="15" t="n">
        <v>42.96</v>
      </c>
      <c r="AJ1372" s="34" t="n">
        <v>46286</v>
      </c>
      <c r="AK1372" s="15" t="n">
        <v>12.42</v>
      </c>
      <c r="AL1372" s="15" t="n">
        <v>38.8</v>
      </c>
      <c r="AM1372" s="34" t="n">
        <v>46286</v>
      </c>
      <c r="AN1372" s="15" t="n">
        <v>504</v>
      </c>
      <c r="AO1372" s="15" t="n">
        <v>297.1</v>
      </c>
      <c r="AP1372" s="34" t="n">
        <v>46286</v>
      </c>
      <c r="AQ1372" s="15" t="n">
        <v>49.4</v>
      </c>
      <c r="AR1372" s="15" t="n">
        <v>46.04</v>
      </c>
      <c r="AS1372" s="34" t="n">
        <v>46286</v>
      </c>
      <c r="AT1372" s="15" t="n">
        <v>12.91</v>
      </c>
      <c r="AU1372" s="15" t="n">
        <v>21.05</v>
      </c>
      <c r="AV1372" s="34" t="n">
        <v>46286</v>
      </c>
      <c r="AW1372" s="15" t="n">
        <v>27.12</v>
      </c>
      <c r="AX1372" s="15" t="n">
        <v>33.83</v>
      </c>
      <c r="AY1372" s="34" t="n">
        <v>46286</v>
      </c>
      <c r="AZ1372" s="15" t="n">
        <v>25.04</v>
      </c>
      <c r="BA1372" s="15" t="n">
        <v>36.18</v>
      </c>
      <c r="BB1372" s="34" t="n">
        <v>46286</v>
      </c>
      <c r="BC1372" s="15" t="n">
        <v>65.40000000000001</v>
      </c>
      <c r="BD1372" s="15" t="n">
        <v>80.91</v>
      </c>
      <c r="BE1372" s="34" t="n">
        <v>46286</v>
      </c>
      <c r="BF1372" s="15" t="n">
        <v>133.8</v>
      </c>
      <c r="BG1372" s="15" t="n">
        <v>215.13</v>
      </c>
      <c r="BH1372" s="34" t="n">
        <v>46286</v>
      </c>
      <c r="BI1372" s="15" t="n">
        <v>22.5</v>
      </c>
      <c r="BJ1372" s="15" t="n">
        <v>34.83</v>
      </c>
      <c r="BK1372" s="34" t="n">
        <v>46286</v>
      </c>
      <c r="BL1372" s="15" t="n">
        <v>68.40000000000001</v>
      </c>
      <c r="BM1372" s="15" t="n">
        <v>106.38</v>
      </c>
      <c r="BN1372" s="34" t="n">
        <v>46286</v>
      </c>
      <c r="BO1372" s="15" t="n">
        <v>7.505</v>
      </c>
      <c r="BP1372" s="15" t="n">
        <v>20.32</v>
      </c>
      <c r="BQ1372" s="34" t="n">
        <v>46286</v>
      </c>
      <c r="BR1372" s="15" t="n">
        <v>17.86</v>
      </c>
      <c r="BS1372" s="15" t="n">
        <v>17.76</v>
      </c>
      <c r="BT1372" s="34" t="n">
        <v>46286</v>
      </c>
      <c r="BU1372" s="15" t="n">
        <v>126.3</v>
      </c>
      <c r="BV1372" s="15" t="n">
        <v>223.32</v>
      </c>
      <c r="BW1372" s="34" t="n">
        <v>46286</v>
      </c>
      <c r="BX1372" s="15" t="n">
        <v>34.84</v>
      </c>
      <c r="BY1372" s="15" t="n">
        <v>47.76</v>
      </c>
      <c r="BZ1372" s="34" t="n">
        <v>46286</v>
      </c>
      <c r="CA1372" s="15" t="n">
        <v>12.21</v>
      </c>
      <c r="CB1372" s="15" t="n">
        <v>20.95</v>
      </c>
      <c r="CC1372" s="34" t="n">
        <v>46286</v>
      </c>
      <c r="CD1372" s="15" t="n">
        <v>22.58</v>
      </c>
      <c r="CE1372" s="15" t="n">
        <v>38.15</v>
      </c>
      <c r="CF1372" s="34" t="n">
        <v>46286</v>
      </c>
      <c r="CG1372" s="15" t="n">
        <v>170</v>
      </c>
      <c r="CH1372" s="15" t="n">
        <v>252.1</v>
      </c>
      <c r="CI1372" s="34" t="n">
        <v>46286</v>
      </c>
      <c r="CJ1372" s="15" t="n">
        <v>6.81</v>
      </c>
      <c r="CK1372" s="15" t="n">
        <v>13.99</v>
      </c>
      <c r="CL1372" s="34" t="n">
        <v>46286</v>
      </c>
      <c r="CM1372" s="15" t="n">
        <v>71.95</v>
      </c>
      <c r="CN1372" s="15" t="n">
        <v>80.78</v>
      </c>
      <c r="CO1372" s="34" t="n">
        <v>46286</v>
      </c>
      <c r="CP1372" s="15" t="n">
        <v>513.5</v>
      </c>
      <c r="CQ1372" s="15" t="n">
        <v>391.71</v>
      </c>
      <c r="CR1372" s="34" t="n">
        <v>46286</v>
      </c>
      <c r="CS1372" s="15" t="n">
        <v>21.3</v>
      </c>
      <c r="CT1372" s="15" t="n">
        <v>37.03</v>
      </c>
      <c r="CU1372" s="34" t="n">
        <v>46286</v>
      </c>
      <c r="CV1372" s="15" t="n">
        <v>95.75</v>
      </c>
      <c r="CW1372" s="15" t="n">
        <v>113.18</v>
      </c>
      <c r="CX1372" s="34" t="n">
        <v>46286</v>
      </c>
      <c r="CY1372" s="15" t="n">
        <v>43.32</v>
      </c>
      <c r="CZ1372" s="15" t="n">
        <v>68.05</v>
      </c>
      <c r="DA1372" s="34" t="n">
        <v>46286</v>
      </c>
      <c r="DB1372" s="15" t="n">
        <v>111.6</v>
      </c>
      <c r="DC1372" s="15" t="n">
        <v>261.96</v>
      </c>
      <c r="DD1372" s="34" t="n">
        <v>46286</v>
      </c>
      <c r="DE1372" s="15" t="n">
        <v>38.42</v>
      </c>
      <c r="DF1372" s="15" t="n">
        <v>42.38</v>
      </c>
      <c r="DG1372" s="34" t="n">
        <v>46286</v>
      </c>
      <c r="DH1372" s="15" t="n">
        <v>286.4</v>
      </c>
      <c r="DI1372" s="15" t="n">
        <v>210.1</v>
      </c>
      <c r="DJ1372" s="34" t="n">
        <v>46286</v>
      </c>
      <c r="DK1372" s="15" t="n">
        <v>27.82</v>
      </c>
      <c r="DL1372" s="15" t="n">
        <v>32.43</v>
      </c>
      <c r="DM1372" s="34" t="n">
        <v>46286</v>
      </c>
      <c r="DN1372" s="15" t="n">
        <v>8.994999999999999</v>
      </c>
      <c r="DO1372" s="15" t="n">
        <v>17.18</v>
      </c>
      <c r="DP1372" s="34" t="n">
        <v>46286</v>
      </c>
      <c r="DQ1372" s="15" t="n">
        <v>14.99</v>
      </c>
      <c r="DR1372" s="15" t="n">
        <v>29.78</v>
      </c>
      <c r="DS1372" s="34" t="n">
        <v>46286</v>
      </c>
      <c r="DT1372" s="15" t="n">
        <v>38.6</v>
      </c>
      <c r="DU1372" s="15" t="n">
        <v>69.8</v>
      </c>
      <c r="DV1372" s="34" t="n">
        <v>46286</v>
      </c>
      <c r="DW1372" s="15" t="n">
        <v>19.88</v>
      </c>
      <c r="DX1372" s="15" t="n">
        <v>46.47</v>
      </c>
      <c r="DY1372" s="34" t="n">
        <v>46286</v>
      </c>
      <c r="DZ1372" s="15" t="n">
        <v>123</v>
      </c>
      <c r="EA1372" s="15" t="n">
        <v>185.93</v>
      </c>
      <c r="EB1372" s="34" t="n">
        <v>46286</v>
      </c>
      <c r="EC1372" s="15" t="n">
        <v>8.875</v>
      </c>
      <c r="ED1372" s="15" t="n">
        <v>22.51</v>
      </c>
      <c r="EE1372" s="34" t="n">
        <v>46286</v>
      </c>
      <c r="EF1372" s="15" t="n">
        <v>225.2</v>
      </c>
      <c r="EG1372" s="15" t="n">
        <v>248</v>
      </c>
      <c r="EH1372" s="34" t="n">
        <v>46286</v>
      </c>
      <c r="EI1372" s="15" t="n">
        <v>73.34999999999999</v>
      </c>
      <c r="EJ1372" s="15" t="n">
        <v>80.13</v>
      </c>
      <c r="EK1372" s="34" t="n">
        <v>46286</v>
      </c>
      <c r="EL1372" s="15" t="n">
        <v>21.2</v>
      </c>
      <c r="EM1372" s="15" t="n">
        <v>28.06</v>
      </c>
      <c r="EN1372" s="34" t="n">
        <v>46286</v>
      </c>
      <c r="EO1372" s="15" t="n">
        <v>31.8</v>
      </c>
      <c r="EP1372" s="15" t="n">
        <v>55.14</v>
      </c>
      <c r="EQ1372" s="34" t="n">
        <v>46286</v>
      </c>
      <c r="ER1372" s="15" t="n">
        <v>31.62</v>
      </c>
      <c r="ES1372" s="15" t="n">
        <v>39.7</v>
      </c>
      <c r="ET1372" s="34" t="n">
        <v>46286</v>
      </c>
      <c r="EU1372" s="15" t="n">
        <v>7.875</v>
      </c>
      <c r="EV1372" s="15" t="n">
        <v>16.05</v>
      </c>
      <c r="EW1372" s="34" t="n">
        <v>46286</v>
      </c>
      <c r="EX1372" s="15" t="n">
        <v>96.90000000000001</v>
      </c>
      <c r="EY1372" s="15" t="n">
        <v>122.61</v>
      </c>
      <c r="EZ1372" s="34" t="n">
        <v>46286</v>
      </c>
      <c r="FA1372" s="15" t="n">
        <v>6.09</v>
      </c>
      <c r="FB1372" s="15" t="n">
        <v>12.54</v>
      </c>
      <c r="FC1372" s="34" t="n">
        <v>46286</v>
      </c>
      <c r="FD1372" s="15" t="n">
        <v>365</v>
      </c>
      <c r="FE1372" s="15" t="n">
        <v>422.9</v>
      </c>
      <c r="FF1372" s="34" t="n">
        <v>46286</v>
      </c>
      <c r="FG1372" s="15" t="n">
        <v>117.5</v>
      </c>
      <c r="FH1372" s="15" t="n">
        <v>128.15</v>
      </c>
      <c r="FI1372" s="34" t="n">
        <v>46286</v>
      </c>
      <c r="FJ1372" s="15" t="n">
        <v>23.1</v>
      </c>
      <c r="FK1372" s="15" t="n">
        <v>47.65</v>
      </c>
      <c r="FL1372" s="34" t="n">
        <v>46286</v>
      </c>
      <c r="FM1372" s="15" t="n">
        <v>59</v>
      </c>
      <c r="FN1372" s="15" t="n">
        <v>54.44</v>
      </c>
      <c r="FO1372" s="34" t="n">
        <v>46286</v>
      </c>
      <c r="FP1372" s="15" t="n">
        <v>133.9</v>
      </c>
      <c r="FQ1372" s="15" t="n">
        <v>129.84</v>
      </c>
      <c r="FR1372" s="34" t="n">
        <v>46286</v>
      </c>
      <c r="FS1372" s="15" t="n">
        <v>287</v>
      </c>
      <c r="FT1372" s="15" t="n">
        <v>399.85</v>
      </c>
      <c r="FU1372" s="34" t="n">
        <v>46286</v>
      </c>
      <c r="FV1372" s="15" t="n">
        <v>3.085</v>
      </c>
      <c r="FW1372" s="15" t="n">
        <v>6.03</v>
      </c>
      <c r="FX1372" s="34" t="n">
        <v>46286</v>
      </c>
      <c r="FY1372" s="15" t="n">
        <v>28.26</v>
      </c>
      <c r="FZ1372" s="15" t="n">
        <v>36.55</v>
      </c>
      <c r="GA1372" s="34" t="n">
        <v>46286</v>
      </c>
      <c r="GB1372" s="15" t="n">
        <v>1250</v>
      </c>
      <c r="GC1372" s="15" t="n">
        <v>941</v>
      </c>
      <c r="GD1372" s="34" t="n">
        <v>46286</v>
      </c>
      <c r="GE1372" s="15" t="n">
        <v>104.6</v>
      </c>
      <c r="GF1372" s="15" t="n">
        <v>146.1</v>
      </c>
      <c r="GG1372" s="34" t="n">
        <v>46286</v>
      </c>
    </row>
    <row r="1373">
      <c r="A1373" s="34" t="n">
        <v>46287</v>
      </c>
      <c r="B1373" s="266" t="n">
        <v>1.171705007553101</v>
      </c>
      <c r="C1373" s="34" t="n">
        <v>46287</v>
      </c>
      <c r="D1373" s="15" t="n">
        <v>26.52</v>
      </c>
      <c r="E1373" s="15" t="n">
        <v>46.12</v>
      </c>
      <c r="F1373" s="34" t="n">
        <v>46287</v>
      </c>
      <c r="G1373" s="15" t="n">
        <v>160.5</v>
      </c>
      <c r="H1373" s="15" t="n">
        <v>187.66</v>
      </c>
      <c r="I1373" s="34" t="n">
        <v>46287</v>
      </c>
      <c r="J1373" s="15" t="n">
        <v>15.89</v>
      </c>
      <c r="K1373" s="15" t="n">
        <v>25.84</v>
      </c>
      <c r="L1373" s="34" t="n">
        <v>46287</v>
      </c>
      <c r="M1373" s="15" t="n">
        <v>30.86</v>
      </c>
      <c r="N1373" s="15" t="n">
        <v>43.12</v>
      </c>
      <c r="O1373" s="34" t="n">
        <v>46287</v>
      </c>
      <c r="P1373" s="15" t="n">
        <v>46.72</v>
      </c>
      <c r="Q1373" s="15" t="n">
        <v>52.27</v>
      </c>
      <c r="R1373" s="34" t="n">
        <v>46287</v>
      </c>
      <c r="S1373" s="15" t="n">
        <v>67</v>
      </c>
      <c r="T1373" s="15" t="n">
        <v>134.13</v>
      </c>
      <c r="U1373" s="34" t="n">
        <v>46287</v>
      </c>
      <c r="V1373" s="15" t="n">
        <v>10.98</v>
      </c>
      <c r="W1373" s="15" t="n">
        <v>18.91</v>
      </c>
      <c r="X1373" s="34" t="n">
        <v>46287</v>
      </c>
      <c r="Y1373" s="15" t="n">
        <v>96.25</v>
      </c>
      <c r="Z1373" s="15" t="n">
        <v>82.54000000000001</v>
      </c>
      <c r="AA1373" s="34" t="n">
        <v>46287</v>
      </c>
      <c r="AB1373" s="15" t="n">
        <v>8.984999999999999</v>
      </c>
      <c r="AC1373" s="15" t="n">
        <v>18.18</v>
      </c>
      <c r="AD1373" s="34" t="n">
        <v>46287</v>
      </c>
      <c r="AE1373" s="15" t="n">
        <v>28.88</v>
      </c>
      <c r="AF1373" s="15" t="n">
        <v>30.94</v>
      </c>
      <c r="AG1373" s="34" t="n">
        <v>46287</v>
      </c>
      <c r="AH1373" s="15" t="n">
        <v>37.08</v>
      </c>
      <c r="AI1373" s="15" t="n">
        <v>42.4</v>
      </c>
      <c r="AJ1373" s="34" t="n">
        <v>46287</v>
      </c>
      <c r="AK1373" s="15" t="n">
        <v>12.28</v>
      </c>
      <c r="AL1373" s="15" t="n">
        <v>38.59</v>
      </c>
      <c r="AM1373" s="34" t="n">
        <v>46287</v>
      </c>
      <c r="AN1373" s="15" t="n">
        <v>507</v>
      </c>
      <c r="AO1373" s="15" t="n">
        <v>304.63</v>
      </c>
      <c r="AP1373" s="34" t="n">
        <v>46287</v>
      </c>
      <c r="AQ1373" s="15" t="n">
        <v>47.32</v>
      </c>
      <c r="AR1373" s="15" t="n">
        <v>45.72</v>
      </c>
      <c r="AS1373" s="34" t="n">
        <v>46287</v>
      </c>
      <c r="AT1373" s="15" t="n">
        <v>12.73</v>
      </c>
      <c r="AU1373" s="15" t="n">
        <v>21.08</v>
      </c>
      <c r="AV1373" s="34" t="n">
        <v>46287</v>
      </c>
      <c r="AW1373" s="15" t="n">
        <v>27.22</v>
      </c>
      <c r="AX1373" s="15" t="n">
        <v>34.29</v>
      </c>
      <c r="AY1373" s="34" t="n">
        <v>46287</v>
      </c>
      <c r="AZ1373" s="15" t="n">
        <v>24.78</v>
      </c>
      <c r="BA1373" s="15" t="n">
        <v>36.2</v>
      </c>
      <c r="BB1373" s="34" t="n">
        <v>46287</v>
      </c>
      <c r="BC1373" s="15" t="n">
        <v>63.9</v>
      </c>
      <c r="BD1373" s="15" t="n">
        <v>79.66</v>
      </c>
      <c r="BE1373" s="34" t="n">
        <v>46287</v>
      </c>
      <c r="BF1373" s="15" t="n">
        <v>132</v>
      </c>
      <c r="BG1373" s="15" t="n">
        <v>215.95</v>
      </c>
      <c r="BH1373" s="34" t="n">
        <v>46287</v>
      </c>
      <c r="BI1373" s="15" t="n">
        <v>22.26</v>
      </c>
      <c r="BJ1373" s="15" t="n">
        <v>34.44</v>
      </c>
      <c r="BK1373" s="34" t="n">
        <v>46287</v>
      </c>
      <c r="BL1373" s="15" t="n">
        <v>68.65000000000001</v>
      </c>
      <c r="BM1373" s="15" t="n">
        <v>109.4</v>
      </c>
      <c r="BN1373" s="34" t="n">
        <v>46287</v>
      </c>
      <c r="BO1373" s="15" t="n">
        <v>7.585</v>
      </c>
      <c r="BP1373" s="15" t="n">
        <v>20.75</v>
      </c>
      <c r="BQ1373" s="34" t="n">
        <v>46287</v>
      </c>
      <c r="BR1373" s="15" t="n">
        <v>17.57</v>
      </c>
      <c r="BS1373" s="15" t="n">
        <v>17.72</v>
      </c>
      <c r="BT1373" s="34" t="n">
        <v>46287</v>
      </c>
      <c r="BU1373" s="15" t="n">
        <v>126</v>
      </c>
      <c r="BV1373" s="15" t="n">
        <v>219</v>
      </c>
      <c r="BW1373" s="34" t="n">
        <v>46287</v>
      </c>
      <c r="BX1373" s="15" t="n">
        <v>35.14</v>
      </c>
      <c r="BY1373" s="15" t="n">
        <v>47.78</v>
      </c>
      <c r="BZ1373" s="34" t="n">
        <v>46287</v>
      </c>
      <c r="CA1373" s="15" t="n">
        <v>11.87</v>
      </c>
      <c r="CB1373" s="15" t="n">
        <v>20.8</v>
      </c>
      <c r="CC1373" s="34" t="n">
        <v>46287</v>
      </c>
      <c r="CD1373" s="15" t="n">
        <v>22.48</v>
      </c>
      <c r="CE1373" s="15" t="n">
        <v>38.28</v>
      </c>
      <c r="CF1373" s="34" t="n">
        <v>46287</v>
      </c>
      <c r="CG1373" s="15" t="n">
        <v>170</v>
      </c>
      <c r="CH1373" s="15" t="n">
        <v>255.5</v>
      </c>
      <c r="CI1373" s="34" t="n">
        <v>46287</v>
      </c>
      <c r="CJ1373" s="15" t="n">
        <v>6.71</v>
      </c>
      <c r="CK1373" s="15" t="n">
        <v>13.76</v>
      </c>
      <c r="CL1373" s="34" t="n">
        <v>46287</v>
      </c>
      <c r="CM1373" s="15" t="n">
        <v>72.2</v>
      </c>
      <c r="CN1373" s="15" t="n">
        <v>82.88</v>
      </c>
      <c r="CO1373" s="34" t="n">
        <v>46287</v>
      </c>
      <c r="CP1373" s="15" t="n">
        <v>516</v>
      </c>
      <c r="CQ1373" s="15" t="n">
        <v>402.1</v>
      </c>
      <c r="CR1373" s="34" t="n">
        <v>46287</v>
      </c>
      <c r="CS1373" s="15" t="n">
        <v>21.84</v>
      </c>
      <c r="CT1373" s="15" t="n">
        <v>39.3</v>
      </c>
      <c r="CU1373" s="34" t="n">
        <v>46287</v>
      </c>
      <c r="CV1373" s="15" t="n">
        <v>97.84999999999999</v>
      </c>
      <c r="CW1373" s="15" t="n">
        <v>115.45</v>
      </c>
      <c r="CX1373" s="34" t="n">
        <v>46287</v>
      </c>
      <c r="CY1373" s="15" t="n">
        <v>46.78</v>
      </c>
      <c r="CZ1373" s="15" t="n">
        <v>74.86</v>
      </c>
      <c r="DA1373" s="34" t="n">
        <v>46287</v>
      </c>
      <c r="DB1373" s="15" t="n">
        <v>109.3</v>
      </c>
      <c r="DC1373" s="15" t="n">
        <v>258.93</v>
      </c>
      <c r="DD1373" s="34" t="n">
        <v>46287</v>
      </c>
      <c r="DE1373" s="15" t="n">
        <v>37.7</v>
      </c>
      <c r="DF1373" s="15" t="n">
        <v>41.86</v>
      </c>
      <c r="DG1373" s="34" t="n">
        <v>46287</v>
      </c>
      <c r="DH1373" s="15" t="n">
        <v>309.6</v>
      </c>
      <c r="DI1373" s="15" t="n">
        <v>221.83</v>
      </c>
      <c r="DJ1373" s="34" t="n">
        <v>46287</v>
      </c>
      <c r="DK1373" s="15" t="n">
        <v>27.46</v>
      </c>
      <c r="DL1373" s="15" t="n">
        <v>32.3</v>
      </c>
      <c r="DM1373" s="34" t="n">
        <v>46287</v>
      </c>
      <c r="DN1373" s="15" t="n">
        <v>8.91</v>
      </c>
      <c r="DO1373" s="15" t="n">
        <v>16.84</v>
      </c>
      <c r="DP1373" s="34" t="n">
        <v>46287</v>
      </c>
      <c r="DQ1373" s="15" t="n">
        <v>14.78</v>
      </c>
      <c r="DR1373" s="15" t="n">
        <v>29.68</v>
      </c>
      <c r="DS1373" s="34" t="n">
        <v>46287</v>
      </c>
      <c r="DT1373" s="15" t="n">
        <v>38.6</v>
      </c>
      <c r="DU1373" s="15" t="n">
        <v>72.09999999999999</v>
      </c>
      <c r="DV1373" s="34" t="n">
        <v>46287</v>
      </c>
      <c r="DW1373" s="15" t="n">
        <v>20.1</v>
      </c>
      <c r="DX1373" s="15" t="n">
        <v>47.9</v>
      </c>
      <c r="DY1373" s="34" t="n">
        <v>46287</v>
      </c>
      <c r="DZ1373" s="15" t="n">
        <v>131.5</v>
      </c>
      <c r="EA1373" s="15" t="n">
        <v>198.65</v>
      </c>
      <c r="EB1373" s="34" t="n">
        <v>46287</v>
      </c>
      <c r="EC1373" s="15" t="n">
        <v>8.81</v>
      </c>
      <c r="ED1373" s="15" t="n">
        <v>22.7</v>
      </c>
      <c r="EE1373" s="34" t="n">
        <v>46287</v>
      </c>
      <c r="EF1373" s="15" t="n">
        <v>216.8</v>
      </c>
      <c r="EG1373" s="15" t="n">
        <v>242.1</v>
      </c>
      <c r="EH1373" s="34" t="n">
        <v>46287</v>
      </c>
      <c r="EI1373" s="15" t="n">
        <v>71.90000000000001</v>
      </c>
      <c r="EJ1373" s="15" t="n">
        <v>79.93000000000001</v>
      </c>
      <c r="EK1373" s="34" t="n">
        <v>46287</v>
      </c>
      <c r="EL1373" s="15" t="n">
        <v>21.38</v>
      </c>
      <c r="EM1373" s="15" t="n">
        <v>28.2</v>
      </c>
      <c r="EN1373" s="34" t="n">
        <v>46287</v>
      </c>
      <c r="EO1373" s="15" t="n">
        <v>31.2</v>
      </c>
      <c r="EP1373" s="15" t="n">
        <v>55.38</v>
      </c>
      <c r="EQ1373" s="34" t="n">
        <v>46287</v>
      </c>
      <c r="ER1373" s="15" t="n">
        <v>29.82</v>
      </c>
      <c r="ES1373" s="15" t="n">
        <v>38.08</v>
      </c>
      <c r="ET1373" s="34" t="n">
        <v>46287</v>
      </c>
      <c r="EU1373" s="15" t="n">
        <v>7.555</v>
      </c>
      <c r="EV1373" s="15" t="n">
        <v>15.96</v>
      </c>
      <c r="EW1373" s="34" t="n">
        <v>46287</v>
      </c>
      <c r="EX1373" s="15" t="n">
        <v>95.90000000000001</v>
      </c>
      <c r="EY1373" s="15" t="n">
        <v>121.68</v>
      </c>
      <c r="EZ1373" s="34" t="n">
        <v>46287</v>
      </c>
      <c r="FA1373" s="15" t="n">
        <v>6.085</v>
      </c>
      <c r="FB1373" s="15" t="n">
        <v>12.65</v>
      </c>
      <c r="FC1373" s="34" t="n">
        <v>46287</v>
      </c>
      <c r="FD1373" s="15" t="n">
        <v>356.2</v>
      </c>
      <c r="FE1373" s="15" t="n">
        <v>427.69</v>
      </c>
      <c r="FF1373" s="34" t="n">
        <v>46287</v>
      </c>
      <c r="FG1373" s="15" t="n">
        <v>116.5</v>
      </c>
      <c r="FH1373" s="15" t="n">
        <v>123.9</v>
      </c>
      <c r="FI1373" s="34" t="n">
        <v>46287</v>
      </c>
      <c r="FJ1373" s="15" t="n">
        <v>23.28</v>
      </c>
      <c r="FK1373" s="15" t="n">
        <v>47.65</v>
      </c>
      <c r="FL1373" s="34" t="n">
        <v>46287</v>
      </c>
      <c r="FM1373" s="15" t="n">
        <v>60.25</v>
      </c>
      <c r="FN1373" s="15" t="n">
        <v>54.84</v>
      </c>
      <c r="FO1373" s="34" t="n">
        <v>46287</v>
      </c>
      <c r="FP1373" s="15" t="n">
        <v>133</v>
      </c>
      <c r="FQ1373" s="15" t="n">
        <v>129.48</v>
      </c>
      <c r="FR1373" s="34" t="n">
        <v>46287</v>
      </c>
      <c r="FS1373" s="15" t="n">
        <v>274.4</v>
      </c>
      <c r="FT1373" s="15" t="n">
        <v>398</v>
      </c>
      <c r="FU1373" s="34" t="n">
        <v>46287</v>
      </c>
      <c r="FV1373" s="15" t="n">
        <v>3.06</v>
      </c>
      <c r="FW1373" s="15" t="n">
        <v>6.07</v>
      </c>
      <c r="FX1373" s="34" t="n">
        <v>46287</v>
      </c>
      <c r="FY1373" s="15" t="n">
        <v>27.84</v>
      </c>
      <c r="FZ1373" s="15" t="n">
        <v>36.61</v>
      </c>
      <c r="GA1373" s="34" t="n">
        <v>46287</v>
      </c>
      <c r="GB1373" s="15" t="n">
        <v>1219</v>
      </c>
      <c r="GC1373" s="15" t="n">
        <v>927.72</v>
      </c>
      <c r="GD1373" s="34" t="n">
        <v>46287</v>
      </c>
      <c r="GE1373" s="15" t="n">
        <v>101</v>
      </c>
      <c r="GF1373" s="15" t="n">
        <v>146.1</v>
      </c>
      <c r="GG1373" s="34" t="n">
        <v>46287</v>
      </c>
    </row>
    <row r="1374">
      <c r="A1374" s="34" t="n">
        <v>46288</v>
      </c>
      <c r="B1374" s="266" t="n">
        <v>1.170611023902893</v>
      </c>
      <c r="C1374" s="34" t="n">
        <v>46288</v>
      </c>
      <c r="D1374" s="15" t="n">
        <v>27.56</v>
      </c>
      <c r="E1374" s="15" t="n">
        <v>47.77</v>
      </c>
      <c r="F1374" s="34" t="n">
        <v>46288</v>
      </c>
      <c r="G1374" s="15" t="n">
        <v>157.3</v>
      </c>
      <c r="H1374" s="15" t="n">
        <v>188.01</v>
      </c>
      <c r="I1374" s="34" t="n">
        <v>46288</v>
      </c>
      <c r="J1374" s="15" t="n">
        <v>15.38</v>
      </c>
      <c r="K1374" s="15" t="n">
        <v>25.55</v>
      </c>
      <c r="L1374" s="34" t="n">
        <v>46288</v>
      </c>
      <c r="M1374" s="15" t="n">
        <v>30.6</v>
      </c>
      <c r="N1374" s="15" t="n">
        <v>42.42</v>
      </c>
      <c r="O1374" s="34" t="n">
        <v>46288</v>
      </c>
      <c r="P1374" s="15" t="n">
        <v>46.6</v>
      </c>
      <c r="Q1374" s="15" t="n">
        <v>52.19</v>
      </c>
      <c r="R1374" s="34" t="n">
        <v>46288</v>
      </c>
      <c r="S1374" s="15" t="n">
        <v>70.3</v>
      </c>
      <c r="T1374" s="15" t="n">
        <v>135.5</v>
      </c>
      <c r="U1374" s="34" t="n">
        <v>46288</v>
      </c>
      <c r="V1374" s="15" t="n">
        <v>10.42</v>
      </c>
      <c r="W1374" s="15" t="n">
        <v>18.22</v>
      </c>
      <c r="X1374" s="34" t="n">
        <v>46288</v>
      </c>
      <c r="Y1374" s="15" t="n">
        <v>96.40000000000001</v>
      </c>
      <c r="Z1374" s="15" t="n">
        <v>82.47</v>
      </c>
      <c r="AA1374" s="34" t="n">
        <v>46288</v>
      </c>
      <c r="AB1374" s="15" t="n">
        <v>8.9</v>
      </c>
      <c r="AC1374" s="15" t="n">
        <v>18.02</v>
      </c>
      <c r="AD1374" s="34" t="n">
        <v>46288</v>
      </c>
      <c r="AE1374" s="15" t="n">
        <v>28.88</v>
      </c>
      <c r="AF1374" s="15" t="n">
        <v>30.89</v>
      </c>
      <c r="AG1374" s="34" t="n">
        <v>46288</v>
      </c>
      <c r="AH1374" s="15" t="n">
        <v>37</v>
      </c>
      <c r="AI1374" s="15" t="n">
        <v>42.5</v>
      </c>
      <c r="AJ1374" s="34" t="n">
        <v>46288</v>
      </c>
      <c r="AK1374" s="15" t="n">
        <v>12.04</v>
      </c>
      <c r="AL1374" s="15" t="n">
        <v>38.28</v>
      </c>
      <c r="AM1374" s="34" t="n">
        <v>46288</v>
      </c>
      <c r="AN1374" s="15" t="n">
        <v>511.5</v>
      </c>
      <c r="AO1374" s="15" t="n">
        <v>301</v>
      </c>
      <c r="AP1374" s="34" t="n">
        <v>46288</v>
      </c>
      <c r="AQ1374" s="15" t="n">
        <v>47.22</v>
      </c>
      <c r="AR1374" s="15" t="n">
        <v>45.58</v>
      </c>
      <c r="AS1374" s="34" t="n">
        <v>46288</v>
      </c>
      <c r="AT1374" s="15" t="n">
        <v>12.12</v>
      </c>
      <c r="AU1374" s="15" t="n">
        <v>19.88</v>
      </c>
      <c r="AV1374" s="34" t="n">
        <v>46288</v>
      </c>
      <c r="AW1374" s="15" t="n">
        <v>27.16</v>
      </c>
      <c r="AX1374" s="15" t="n">
        <v>34.27</v>
      </c>
      <c r="AY1374" s="34" t="n">
        <v>46288</v>
      </c>
      <c r="AZ1374" s="15" t="n">
        <v>24.46</v>
      </c>
      <c r="BA1374" s="15" t="n">
        <v>35.99</v>
      </c>
      <c r="BB1374" s="34" t="n">
        <v>46288</v>
      </c>
      <c r="BC1374" s="15" t="n">
        <v>64.2</v>
      </c>
      <c r="BD1374" s="15" t="n">
        <v>79.48</v>
      </c>
      <c r="BE1374" s="34" t="n">
        <v>46288</v>
      </c>
      <c r="BF1374" s="15" t="n">
        <v>130.1</v>
      </c>
      <c r="BG1374" s="15" t="n">
        <v>215.42</v>
      </c>
      <c r="BH1374" s="34" t="n">
        <v>46288</v>
      </c>
      <c r="BI1374" s="15" t="n">
        <v>21.96</v>
      </c>
      <c r="BJ1374" s="15" t="n">
        <v>34.04</v>
      </c>
      <c r="BK1374" s="34" t="n">
        <v>46288</v>
      </c>
      <c r="BL1374" s="15" t="n">
        <v>70.2</v>
      </c>
      <c r="BM1374" s="15" t="n">
        <v>114.07</v>
      </c>
      <c r="BN1374" s="34" t="n">
        <v>46288</v>
      </c>
      <c r="BO1374" s="15" t="n">
        <v>7.515</v>
      </c>
      <c r="BP1374" s="15" t="n">
        <v>20.69</v>
      </c>
      <c r="BQ1374" s="34" t="n">
        <v>46288</v>
      </c>
      <c r="BR1374" s="15" t="n">
        <v>17.21</v>
      </c>
      <c r="BS1374" s="15" t="n">
        <v>17.51</v>
      </c>
      <c r="BT1374" s="34" t="n">
        <v>46288</v>
      </c>
      <c r="BU1374" s="15" t="n">
        <v>123.1</v>
      </c>
      <c r="BV1374" s="15" t="n">
        <v>218.17</v>
      </c>
      <c r="BW1374" s="34" t="n">
        <v>46288</v>
      </c>
      <c r="BX1374" s="15" t="n">
        <v>34.22</v>
      </c>
      <c r="BY1374" s="15" t="n">
        <v>47.2</v>
      </c>
      <c r="BZ1374" s="34" t="n">
        <v>46288</v>
      </c>
      <c r="CA1374" s="15" t="n">
        <v>12.2</v>
      </c>
      <c r="CB1374" s="15" t="n">
        <v>21.53</v>
      </c>
      <c r="CC1374" s="34" t="n">
        <v>46288</v>
      </c>
      <c r="CD1374" s="15" t="n">
        <v>22.42</v>
      </c>
      <c r="CE1374" s="15" t="n">
        <v>38.31</v>
      </c>
      <c r="CF1374" s="34" t="n">
        <v>46288</v>
      </c>
      <c r="CG1374" s="15" t="n">
        <v>182.5</v>
      </c>
      <c r="CH1374" s="15" t="n">
        <v>254.29</v>
      </c>
      <c r="CI1374" s="34" t="n">
        <v>46288</v>
      </c>
      <c r="CJ1374" s="15" t="n">
        <v>6.61</v>
      </c>
      <c r="CK1374" s="15" t="n">
        <v>13.6</v>
      </c>
      <c r="CL1374" s="34" t="n">
        <v>46288</v>
      </c>
      <c r="CM1374" s="15" t="n">
        <v>72.7</v>
      </c>
      <c r="CN1374" s="15" t="n">
        <v>82.77</v>
      </c>
      <c r="CO1374" s="34" t="n">
        <v>46288</v>
      </c>
      <c r="CP1374" s="15" t="n">
        <v>516</v>
      </c>
      <c r="CQ1374" s="15" t="n">
        <v>398.72</v>
      </c>
      <c r="CR1374" s="34" t="n">
        <v>46288</v>
      </c>
      <c r="CS1374" s="15" t="n">
        <v>21.46</v>
      </c>
      <c r="CT1374" s="15" t="n">
        <v>38.43</v>
      </c>
      <c r="CU1374" s="34" t="n">
        <v>46288</v>
      </c>
      <c r="CV1374" s="15" t="n">
        <v>96.34999999999999</v>
      </c>
      <c r="CW1374" s="15" t="n">
        <v>114.45</v>
      </c>
      <c r="CX1374" s="34" t="n">
        <v>46288</v>
      </c>
      <c r="CY1374" s="15" t="n">
        <v>46.92</v>
      </c>
      <c r="CZ1374" s="15" t="n">
        <v>79.02</v>
      </c>
      <c r="DA1374" s="34" t="n">
        <v>46288</v>
      </c>
      <c r="DB1374" s="15" t="n">
        <v>108.8</v>
      </c>
      <c r="DC1374" s="15" t="n">
        <v>256.98</v>
      </c>
      <c r="DD1374" s="34" t="n">
        <v>46288</v>
      </c>
      <c r="DE1374" s="15" t="n">
        <v>37.82</v>
      </c>
      <c r="DF1374" s="15" t="n">
        <v>41.4</v>
      </c>
      <c r="DG1374" s="34" t="n">
        <v>46288</v>
      </c>
      <c r="DH1374" s="15" t="n">
        <v>306.6</v>
      </c>
      <c r="DI1374" s="15" t="n">
        <v>223.37</v>
      </c>
      <c r="DJ1374" s="34" t="n">
        <v>46288</v>
      </c>
      <c r="DK1374" s="15" t="n">
        <v>27.36</v>
      </c>
      <c r="DL1374" s="15" t="n">
        <v>32.41</v>
      </c>
      <c r="DM1374" s="34" t="n">
        <v>46288</v>
      </c>
      <c r="DN1374" s="15" t="n">
        <v>8.795</v>
      </c>
      <c r="DO1374" s="15" t="n">
        <v>16.57</v>
      </c>
      <c r="DP1374" s="34" t="n">
        <v>46288</v>
      </c>
      <c r="DQ1374" s="15" t="n">
        <v>14.57</v>
      </c>
      <c r="DR1374" s="15" t="n">
        <v>29.47</v>
      </c>
      <c r="DS1374" s="34" t="n">
        <v>46288</v>
      </c>
      <c r="DT1374" s="15" t="n">
        <v>38.06</v>
      </c>
      <c r="DU1374" s="15" t="n">
        <v>70.75</v>
      </c>
      <c r="DV1374" s="34" t="n">
        <v>46288</v>
      </c>
      <c r="DW1374" s="15" t="n">
        <v>19.55</v>
      </c>
      <c r="DX1374" s="15" t="n">
        <v>46.25</v>
      </c>
      <c r="DY1374" s="34" t="n">
        <v>46288</v>
      </c>
      <c r="DZ1374" s="15" t="n">
        <v>127.2</v>
      </c>
      <c r="EA1374" s="15" t="n">
        <v>192.25</v>
      </c>
      <c r="EB1374" s="34" t="n">
        <v>46288</v>
      </c>
      <c r="EC1374" s="15" t="n">
        <v>8.744999999999999</v>
      </c>
      <c r="ED1374" s="15" t="n">
        <v>22.78</v>
      </c>
      <c r="EE1374" s="34" t="n">
        <v>46288</v>
      </c>
      <c r="EF1374" s="15" t="n">
        <v>225</v>
      </c>
      <c r="EG1374" s="15" t="n">
        <v>244.3</v>
      </c>
      <c r="EH1374" s="34" t="n">
        <v>46288</v>
      </c>
      <c r="EI1374" s="15" t="n">
        <v>71.25</v>
      </c>
      <c r="EJ1374" s="15" t="n">
        <v>79.89</v>
      </c>
      <c r="EK1374" s="34" t="n">
        <v>46288</v>
      </c>
      <c r="EL1374" s="15" t="n">
        <v>21.08</v>
      </c>
      <c r="EM1374" s="15" t="n">
        <v>27.8</v>
      </c>
      <c r="EN1374" s="34" t="n">
        <v>46288</v>
      </c>
      <c r="EO1374" s="15" t="n">
        <v>30.72</v>
      </c>
      <c r="EP1374" s="15" t="n">
        <v>54.94</v>
      </c>
      <c r="EQ1374" s="34" t="n">
        <v>46288</v>
      </c>
      <c r="ER1374" s="15" t="n">
        <v>29.66</v>
      </c>
      <c r="ES1374" s="15" t="n">
        <v>37.89</v>
      </c>
      <c r="ET1374" s="34" t="n">
        <v>46288</v>
      </c>
      <c r="EU1374" s="15" t="n">
        <v>8.015000000000001</v>
      </c>
      <c r="EV1374" s="15" t="n">
        <v>17</v>
      </c>
      <c r="EW1374" s="34" t="n">
        <v>46288</v>
      </c>
      <c r="EX1374" s="15" t="n">
        <v>94.55</v>
      </c>
      <c r="EY1374" s="15" t="n">
        <v>122.45</v>
      </c>
      <c r="EZ1374" s="34" t="n">
        <v>46288</v>
      </c>
      <c r="FA1374" s="15" t="n">
        <v>6.035</v>
      </c>
      <c r="FB1374" s="15" t="n">
        <v>12.37</v>
      </c>
      <c r="FC1374" s="34" t="n">
        <v>46288</v>
      </c>
      <c r="FD1374" s="15" t="n">
        <v>364.8</v>
      </c>
      <c r="FE1374" s="15" t="n">
        <v>440.68</v>
      </c>
      <c r="FF1374" s="34" t="n">
        <v>46288</v>
      </c>
      <c r="FG1374" s="15" t="n">
        <v>115.4</v>
      </c>
      <c r="FH1374" s="15" t="n">
        <v>124.55</v>
      </c>
      <c r="FI1374" s="34" t="n">
        <v>46288</v>
      </c>
      <c r="FJ1374" s="15" t="n">
        <v>28.02</v>
      </c>
      <c r="FK1374" s="15" t="n">
        <v>57.18</v>
      </c>
      <c r="FL1374" s="34" t="n">
        <v>46288</v>
      </c>
      <c r="FM1374" s="15" t="n">
        <v>59.25</v>
      </c>
      <c r="FN1374" s="15" t="n">
        <v>54.37</v>
      </c>
      <c r="FO1374" s="34" t="n">
        <v>46288</v>
      </c>
      <c r="FP1374" s="15" t="n">
        <v>137.5</v>
      </c>
      <c r="FQ1374" s="15" t="n">
        <v>130.4</v>
      </c>
      <c r="FR1374" s="34" t="n">
        <v>46288</v>
      </c>
      <c r="FS1374" s="15" t="n">
        <v>272.6</v>
      </c>
      <c r="FT1374" s="15" t="n">
        <v>392.36</v>
      </c>
      <c r="FU1374" s="34" t="n">
        <v>46288</v>
      </c>
      <c r="FV1374" s="15" t="n">
        <v>3.015</v>
      </c>
      <c r="FW1374" s="15" t="n">
        <v>5.96</v>
      </c>
      <c r="FX1374" s="34" t="n">
        <v>46288</v>
      </c>
      <c r="FY1374" s="15" t="n">
        <v>27.98</v>
      </c>
      <c r="FZ1374" s="15" t="n">
        <v>36.36</v>
      </c>
      <c r="GA1374" s="34" t="n">
        <v>46288</v>
      </c>
      <c r="GB1374" s="15" t="n">
        <v>1190</v>
      </c>
      <c r="GC1374" s="15" t="n">
        <v>922.5</v>
      </c>
      <c r="GD1374" s="34" t="n">
        <v>46288</v>
      </c>
      <c r="GE1374" s="15" t="n">
        <v>101.5</v>
      </c>
      <c r="GF1374" s="15" t="n">
        <v>146.97</v>
      </c>
      <c r="GG1374" s="34" t="n">
        <v>46288</v>
      </c>
    </row>
    <row r="1375">
      <c r="A1375" s="34" t="n">
        <v>46289</v>
      </c>
      <c r="B1375" s="266" t="n">
        <v>1.16852605342865</v>
      </c>
      <c r="C1375" s="34" t="n">
        <v>46289</v>
      </c>
      <c r="D1375" s="15" t="n">
        <v>27.24</v>
      </c>
      <c r="E1375" s="15" t="n">
        <v>46.39</v>
      </c>
      <c r="F1375" s="34" t="n">
        <v>46289</v>
      </c>
      <c r="G1375" s="15" t="n">
        <v>149.7</v>
      </c>
      <c r="H1375" s="15" t="n">
        <v>178.3</v>
      </c>
      <c r="I1375" s="34" t="n">
        <v>46289</v>
      </c>
      <c r="J1375" s="15" t="n">
        <v>15.76</v>
      </c>
      <c r="K1375" s="15" t="n">
        <v>25.29</v>
      </c>
      <c r="L1375" s="34" t="n">
        <v>46289</v>
      </c>
      <c r="M1375" s="15" t="n">
        <v>29.2</v>
      </c>
      <c r="N1375" s="15" t="n">
        <v>40.9</v>
      </c>
      <c r="O1375" s="34" t="n">
        <v>46289</v>
      </c>
      <c r="P1375" s="15" t="n">
        <v>46.26</v>
      </c>
      <c r="Q1375" s="15" t="n">
        <v>51.46</v>
      </c>
      <c r="R1375" s="34" t="n">
        <v>46289</v>
      </c>
      <c r="S1375" s="15" t="n">
        <v>67.65000000000001</v>
      </c>
      <c r="T1375" s="15" t="n">
        <v>126.54</v>
      </c>
      <c r="U1375" s="34" t="n">
        <v>46289</v>
      </c>
      <c r="V1375" s="15" t="n">
        <v>10.48</v>
      </c>
      <c r="W1375" s="15" t="n">
        <v>18.1</v>
      </c>
      <c r="X1375" s="34" t="n">
        <v>46289</v>
      </c>
      <c r="Y1375" s="15" t="n">
        <v>96.65000000000001</v>
      </c>
      <c r="Z1375" s="15" t="n">
        <v>82.65000000000001</v>
      </c>
      <c r="AA1375" s="34" t="n">
        <v>46289</v>
      </c>
      <c r="AB1375" s="15" t="n">
        <v>8.705</v>
      </c>
      <c r="AC1375" s="15" t="n">
        <v>17.62</v>
      </c>
      <c r="AD1375" s="34" t="n">
        <v>46289</v>
      </c>
      <c r="AE1375" s="15" t="n">
        <v>28.74</v>
      </c>
      <c r="AF1375" s="15" t="n">
        <v>30.54</v>
      </c>
      <c r="AG1375" s="34" t="n">
        <v>46289</v>
      </c>
      <c r="AH1375" s="15" t="n">
        <v>36.1</v>
      </c>
      <c r="AI1375" s="15" t="n">
        <v>40.28</v>
      </c>
      <c r="AJ1375" s="34" t="n">
        <v>46289</v>
      </c>
      <c r="AK1375" s="15" t="n">
        <v>12</v>
      </c>
      <c r="AL1375" s="15" t="n">
        <v>37.6</v>
      </c>
      <c r="AM1375" s="34" t="n">
        <v>46289</v>
      </c>
      <c r="AN1375" s="15" t="n">
        <v>492.8</v>
      </c>
      <c r="AO1375" s="15" t="n">
        <v>293.5</v>
      </c>
      <c r="AP1375" s="34" t="n">
        <v>46289</v>
      </c>
      <c r="AQ1375" s="15" t="n">
        <v>45.52</v>
      </c>
      <c r="AR1375" s="15" t="n">
        <v>44.86</v>
      </c>
      <c r="AS1375" s="34" t="n">
        <v>46289</v>
      </c>
      <c r="AT1375" s="15" t="n">
        <v>11.87</v>
      </c>
      <c r="AU1375" s="15" t="n">
        <v>19.42</v>
      </c>
      <c r="AV1375" s="34" t="n">
        <v>46289</v>
      </c>
      <c r="AW1375" s="15" t="n">
        <v>27.44</v>
      </c>
      <c r="AX1375" s="15" t="n">
        <v>33.93</v>
      </c>
      <c r="AY1375" s="34" t="n">
        <v>46289</v>
      </c>
      <c r="AZ1375" s="15" t="n">
        <v>24.58</v>
      </c>
      <c r="BA1375" s="15" t="n">
        <v>36.08</v>
      </c>
      <c r="BB1375" s="34" t="n">
        <v>46289</v>
      </c>
      <c r="BC1375" s="15" t="n">
        <v>63.55</v>
      </c>
      <c r="BD1375" s="15" t="n">
        <v>76.93000000000001</v>
      </c>
      <c r="BE1375" s="34" t="n">
        <v>46289</v>
      </c>
      <c r="BF1375" s="15" t="n">
        <v>128.1</v>
      </c>
      <c r="BG1375" s="15" t="n">
        <v>213.56</v>
      </c>
      <c r="BH1375" s="34" t="n">
        <v>46289</v>
      </c>
      <c r="BI1375" s="15" t="n">
        <v>21.76</v>
      </c>
      <c r="BJ1375" s="15" t="n">
        <v>32.87</v>
      </c>
      <c r="BK1375" s="34" t="n">
        <v>46289</v>
      </c>
      <c r="BL1375" s="15" t="n">
        <v>68</v>
      </c>
      <c r="BM1375" s="15" t="n">
        <v>110.35</v>
      </c>
      <c r="BN1375" s="34" t="n">
        <v>46289</v>
      </c>
      <c r="BO1375" s="15" t="n">
        <v>7.39</v>
      </c>
      <c r="BP1375" s="15" t="n">
        <v>20.38</v>
      </c>
      <c r="BQ1375" s="34" t="n">
        <v>46289</v>
      </c>
      <c r="BR1375" s="15" t="n">
        <v>17.02</v>
      </c>
      <c r="BS1375" s="15" t="n">
        <v>17.2</v>
      </c>
      <c r="BT1375" s="34" t="n">
        <v>46289</v>
      </c>
      <c r="BU1375" s="15" t="n">
        <v>117.8</v>
      </c>
      <c r="BV1375" s="15" t="n">
        <v>209.63</v>
      </c>
      <c r="BW1375" s="34" t="n">
        <v>46289</v>
      </c>
      <c r="BX1375" s="15" t="n">
        <v>34.3</v>
      </c>
      <c r="BY1375" s="15" t="n">
        <v>46.33</v>
      </c>
      <c r="BZ1375" s="34" t="n">
        <v>46289</v>
      </c>
      <c r="CA1375" s="15" t="n">
        <v>12.65</v>
      </c>
      <c r="CB1375" s="15" t="n">
        <v>22.62</v>
      </c>
      <c r="CC1375" s="34" t="n">
        <v>46289</v>
      </c>
      <c r="CD1375" s="15" t="n">
        <v>21.54</v>
      </c>
      <c r="CE1375" s="15" t="n">
        <v>37.6</v>
      </c>
      <c r="CF1375" s="34" t="n">
        <v>46289</v>
      </c>
      <c r="CG1375" s="15" t="n">
        <v>178</v>
      </c>
      <c r="CH1375" s="15" t="n">
        <v>253.01</v>
      </c>
      <c r="CI1375" s="34" t="n">
        <v>46289</v>
      </c>
      <c r="CJ1375" s="15" t="n">
        <v>6.52</v>
      </c>
      <c r="CK1375" s="15" t="n">
        <v>13.4</v>
      </c>
      <c r="CL1375" s="34" t="n">
        <v>46289</v>
      </c>
      <c r="CM1375" s="15" t="n">
        <v>70.90000000000001</v>
      </c>
      <c r="CN1375" s="15" t="n">
        <v>81.40000000000001</v>
      </c>
      <c r="CO1375" s="34" t="n">
        <v>46289</v>
      </c>
      <c r="CP1375" s="15" t="n">
        <v>489.6</v>
      </c>
      <c r="CQ1375" s="15" t="n">
        <v>383.77</v>
      </c>
      <c r="CR1375" s="34" t="n">
        <v>46289</v>
      </c>
      <c r="CS1375" s="15" t="n">
        <v>21.32</v>
      </c>
      <c r="CT1375" s="15" t="n">
        <v>37.33</v>
      </c>
      <c r="CU1375" s="34" t="n">
        <v>46289</v>
      </c>
      <c r="CV1375" s="15" t="n">
        <v>96.84999999999999</v>
      </c>
      <c r="CW1375" s="15" t="n">
        <v>110.83</v>
      </c>
      <c r="CX1375" s="34" t="n">
        <v>46289</v>
      </c>
      <c r="CY1375" s="15" t="n">
        <v>43.78</v>
      </c>
      <c r="CZ1375" s="15" t="n">
        <v>78.01000000000001</v>
      </c>
      <c r="DA1375" s="34" t="n">
        <v>46289</v>
      </c>
      <c r="DB1375" s="15" t="n">
        <v>103.9</v>
      </c>
      <c r="DC1375" s="15" t="n">
        <v>243.52</v>
      </c>
      <c r="DD1375" s="34" t="n">
        <v>46289</v>
      </c>
      <c r="DE1375" s="15" t="n">
        <v>36.3</v>
      </c>
      <c r="DF1375" s="15" t="n">
        <v>40.48</v>
      </c>
      <c r="DG1375" s="34" t="n">
        <v>46289</v>
      </c>
      <c r="DH1375" s="15" t="n">
        <v>300</v>
      </c>
      <c r="DI1375" s="15" t="n">
        <v>214.5</v>
      </c>
      <c r="DJ1375" s="34" t="n">
        <v>46289</v>
      </c>
      <c r="DK1375" s="15" t="n">
        <v>26.9</v>
      </c>
      <c r="DL1375" s="15" t="n">
        <v>32.11</v>
      </c>
      <c r="DM1375" s="34" t="n">
        <v>46289</v>
      </c>
      <c r="DN1375" s="15" t="n">
        <v>8.449999999999999</v>
      </c>
      <c r="DO1375" s="15" t="n">
        <v>16.09</v>
      </c>
      <c r="DP1375" s="34" t="n">
        <v>46289</v>
      </c>
      <c r="DQ1375" s="15" t="n">
        <v>14.59</v>
      </c>
      <c r="DR1375" s="15" t="n">
        <v>29.35</v>
      </c>
      <c r="DS1375" s="34" t="n">
        <v>46289</v>
      </c>
      <c r="DT1375" s="15" t="n">
        <v>38.66</v>
      </c>
      <c r="DU1375" s="15" t="n">
        <v>69.87</v>
      </c>
      <c r="DV1375" s="34" t="n">
        <v>46289</v>
      </c>
      <c r="DW1375" s="15" t="n">
        <v>18.74</v>
      </c>
      <c r="DX1375" s="15" t="n">
        <v>45.53</v>
      </c>
      <c r="DY1375" s="34" t="n">
        <v>46289</v>
      </c>
      <c r="DZ1375" s="15" t="n">
        <v>118.9</v>
      </c>
      <c r="EA1375" s="15" t="n">
        <v>181.16</v>
      </c>
      <c r="EB1375" s="34" t="n">
        <v>46289</v>
      </c>
      <c r="EC1375" s="15" t="n">
        <v>8.525</v>
      </c>
      <c r="ED1375" s="15" t="n">
        <v>22.3</v>
      </c>
      <c r="EE1375" s="34" t="n">
        <v>46289</v>
      </c>
      <c r="EF1375" s="15" t="n">
        <v>217.8</v>
      </c>
      <c r="EG1375" s="15" t="n">
        <v>232.69</v>
      </c>
      <c r="EH1375" s="34" t="n">
        <v>46289</v>
      </c>
      <c r="EI1375" s="15" t="n">
        <v>70.84999999999999</v>
      </c>
      <c r="EJ1375" s="15" t="n">
        <v>79.11</v>
      </c>
      <c r="EK1375" s="34" t="n">
        <v>46289</v>
      </c>
      <c r="EL1375" s="15" t="n">
        <v>20.5</v>
      </c>
      <c r="EM1375" s="15" t="n">
        <v>26.47</v>
      </c>
      <c r="EN1375" s="34" t="n">
        <v>46289</v>
      </c>
      <c r="EO1375" s="15" t="n">
        <v>29.9</v>
      </c>
      <c r="EP1375" s="15" t="n">
        <v>54.21</v>
      </c>
      <c r="EQ1375" s="34" t="n">
        <v>46289</v>
      </c>
      <c r="ER1375" s="15" t="n">
        <v>30.7</v>
      </c>
      <c r="ES1375" s="15" t="n">
        <v>39.77</v>
      </c>
      <c r="ET1375" s="34" t="n">
        <v>46289</v>
      </c>
      <c r="EU1375" s="15" t="n">
        <v>7.89</v>
      </c>
      <c r="EV1375" s="15" t="n">
        <v>17.5</v>
      </c>
      <c r="EW1375" s="34" t="n">
        <v>46289</v>
      </c>
      <c r="EX1375" s="15" t="n">
        <v>91.84999999999999</v>
      </c>
      <c r="EY1375" s="15" t="n">
        <v>120.55</v>
      </c>
      <c r="EZ1375" s="34" t="n">
        <v>46289</v>
      </c>
      <c r="FA1375" s="15" t="n">
        <v>5.815</v>
      </c>
      <c r="FB1375" s="15" t="n">
        <v>12.23</v>
      </c>
      <c r="FC1375" s="34" t="n">
        <v>46289</v>
      </c>
      <c r="FD1375" s="15" t="n">
        <v>349.2</v>
      </c>
      <c r="FE1375" s="15" t="n">
        <v>418</v>
      </c>
      <c r="FF1375" s="34" t="n">
        <v>46289</v>
      </c>
      <c r="FG1375" s="15" t="n">
        <v>119.3</v>
      </c>
      <c r="FH1375" s="15" t="n">
        <v>122.6</v>
      </c>
      <c r="FI1375" s="34" t="n">
        <v>46289</v>
      </c>
      <c r="FJ1375" s="15" t="n">
        <v>27.4</v>
      </c>
      <c r="FK1375" s="15" t="n">
        <v>58.61</v>
      </c>
      <c r="FL1375" s="34" t="n">
        <v>46289</v>
      </c>
      <c r="FM1375" s="15" t="n">
        <v>56.75</v>
      </c>
      <c r="FN1375" s="15" t="n">
        <v>52</v>
      </c>
      <c r="FO1375" s="34" t="n">
        <v>46289</v>
      </c>
      <c r="FP1375" s="15" t="n">
        <v>133.6</v>
      </c>
      <c r="FQ1375" s="15" t="n">
        <v>123.31</v>
      </c>
      <c r="FR1375" s="34" t="n">
        <v>46289</v>
      </c>
      <c r="FS1375" s="15" t="n">
        <v>278.6</v>
      </c>
      <c r="FT1375" s="15" t="n">
        <v>378.99</v>
      </c>
      <c r="FU1375" s="34" t="n">
        <v>46289</v>
      </c>
      <c r="FV1375" s="15" t="n">
        <v>2.92</v>
      </c>
      <c r="FW1375" s="15" t="n">
        <v>5.76</v>
      </c>
      <c r="FX1375" s="34" t="n">
        <v>46289</v>
      </c>
      <c r="FY1375" s="15" t="n">
        <v>27.4</v>
      </c>
      <c r="FZ1375" s="15" t="n">
        <v>34.82</v>
      </c>
      <c r="GA1375" s="34" t="n">
        <v>46289</v>
      </c>
      <c r="GB1375" s="15" t="n">
        <v>1174</v>
      </c>
      <c r="GC1375" s="15" t="n">
        <v>895.86</v>
      </c>
      <c r="GD1375" s="34" t="n">
        <v>46289</v>
      </c>
      <c r="GE1375" s="15" t="n">
        <v>99.2</v>
      </c>
      <c r="GF1375" s="15" t="n">
        <v>140.31</v>
      </c>
      <c r="GG1375" s="34" t="n">
        <v>46289</v>
      </c>
    </row>
    <row r="1376">
      <c r="A1376" s="34" t="n">
        <v>46290</v>
      </c>
      <c r="B1376" s="266" t="n">
        <v>1.168424010276794</v>
      </c>
      <c r="C1376" s="34" t="n">
        <v>46290</v>
      </c>
      <c r="D1376" s="15" t="n">
        <v>27.44</v>
      </c>
      <c r="E1376" s="15" t="n">
        <v>46.39</v>
      </c>
      <c r="F1376" s="34" t="n">
        <v>46289</v>
      </c>
      <c r="G1376" s="15" t="n">
        <v>155.6</v>
      </c>
      <c r="H1376" s="15" t="n">
        <v>178.3</v>
      </c>
      <c r="I1376" s="34" t="n">
        <v>46289</v>
      </c>
      <c r="J1376" s="15" t="n">
        <v>15.51</v>
      </c>
      <c r="K1376" s="15" t="n">
        <v>25.29</v>
      </c>
      <c r="L1376" s="34" t="n">
        <v>46289</v>
      </c>
      <c r="M1376" s="15" t="n">
        <v>28.78</v>
      </c>
      <c r="N1376" s="15" t="n">
        <v>40.9</v>
      </c>
      <c r="O1376" s="34" t="n">
        <v>46289</v>
      </c>
      <c r="P1376" s="15" t="n">
        <v>45.64</v>
      </c>
      <c r="Q1376" s="15" t="n">
        <v>51.46</v>
      </c>
      <c r="R1376" s="34" t="n">
        <v>46289</v>
      </c>
      <c r="S1376" s="15" t="n">
        <v>68.3</v>
      </c>
      <c r="T1376" s="15" t="n">
        <v>126.54</v>
      </c>
      <c r="U1376" s="34" t="n">
        <v>46289</v>
      </c>
      <c r="V1376" s="15" t="n">
        <v>10.99</v>
      </c>
      <c r="W1376" s="15" t="n">
        <v>18.1</v>
      </c>
      <c r="X1376" s="34" t="n">
        <v>46289</v>
      </c>
      <c r="Y1376" s="15" t="n">
        <v>95.34999999999999</v>
      </c>
      <c r="Z1376" s="15" t="n">
        <v>82.65000000000001</v>
      </c>
      <c r="AA1376" s="34" t="n">
        <v>46289</v>
      </c>
      <c r="AB1376" s="15" t="n">
        <v>8.935</v>
      </c>
      <c r="AC1376" s="15" t="n">
        <v>17.62</v>
      </c>
      <c r="AD1376" s="34" t="n">
        <v>46289</v>
      </c>
      <c r="AE1376" s="15" t="n">
        <v>28.56</v>
      </c>
      <c r="AF1376" s="15" t="n">
        <v>30.54</v>
      </c>
      <c r="AG1376" s="34" t="n">
        <v>46289</v>
      </c>
      <c r="AH1376" s="15" t="n">
        <v>35.66</v>
      </c>
      <c r="AI1376" s="15" t="n">
        <v>40.28</v>
      </c>
      <c r="AJ1376" s="34" t="n">
        <v>46289</v>
      </c>
      <c r="AK1376" s="15" t="n">
        <v>11.66</v>
      </c>
      <c r="AL1376" s="15" t="n">
        <v>37.6</v>
      </c>
      <c r="AM1376" s="34" t="n">
        <v>46289</v>
      </c>
      <c r="AN1376" s="15" t="n">
        <v>489.4</v>
      </c>
      <c r="AO1376" s="15" t="n">
        <v>293.5</v>
      </c>
      <c r="AP1376" s="34" t="n">
        <v>46289</v>
      </c>
      <c r="AQ1376" s="15" t="n">
        <v>45.18</v>
      </c>
      <c r="AR1376" s="15" t="n">
        <v>44.86</v>
      </c>
      <c r="AS1376" s="34" t="n">
        <v>46289</v>
      </c>
      <c r="AT1376" s="15" t="n">
        <v>11.6</v>
      </c>
      <c r="AU1376" s="15" t="n">
        <v>19.42</v>
      </c>
      <c r="AV1376" s="34" t="n">
        <v>46289</v>
      </c>
      <c r="AW1376" s="15" t="n">
        <v>26.92</v>
      </c>
      <c r="AX1376" s="15" t="n">
        <v>33.93</v>
      </c>
      <c r="AY1376" s="34" t="n">
        <v>46289</v>
      </c>
      <c r="AZ1376" s="15" t="n">
        <v>24.4</v>
      </c>
      <c r="BA1376" s="15" t="n">
        <v>36.08</v>
      </c>
      <c r="BB1376" s="34" t="n">
        <v>46289</v>
      </c>
      <c r="BC1376" s="15" t="n">
        <v>62.7</v>
      </c>
      <c r="BD1376" s="15" t="n">
        <v>76.93000000000001</v>
      </c>
      <c r="BE1376" s="34" t="n">
        <v>46289</v>
      </c>
      <c r="BF1376" s="15" t="n">
        <v>128.4</v>
      </c>
      <c r="BG1376" s="15" t="n">
        <v>213.56</v>
      </c>
      <c r="BH1376" s="34" t="n">
        <v>46289</v>
      </c>
      <c r="BI1376" s="15" t="n">
        <v>21.5</v>
      </c>
      <c r="BJ1376" s="15" t="n">
        <v>32.87</v>
      </c>
      <c r="BK1376" s="34" t="n">
        <v>46289</v>
      </c>
      <c r="BL1376" s="15" t="n">
        <v>67.95</v>
      </c>
      <c r="BM1376" s="15" t="n">
        <v>110.35</v>
      </c>
      <c r="BN1376" s="34" t="n">
        <v>46289</v>
      </c>
      <c r="BO1376" s="15" t="n">
        <v>7.305</v>
      </c>
      <c r="BP1376" s="15" t="n">
        <v>20.38</v>
      </c>
      <c r="BQ1376" s="34" t="n">
        <v>46289</v>
      </c>
      <c r="BR1376" s="15" t="n">
        <v>16.6</v>
      </c>
      <c r="BS1376" s="15" t="n">
        <v>17.2</v>
      </c>
      <c r="BT1376" s="34" t="n">
        <v>46289</v>
      </c>
      <c r="BU1376" s="15" t="n">
        <v>115.7</v>
      </c>
      <c r="BV1376" s="15" t="n">
        <v>209.63</v>
      </c>
      <c r="BW1376" s="34" t="n">
        <v>46289</v>
      </c>
      <c r="BX1376" s="15" t="n">
        <v>32.54</v>
      </c>
      <c r="BY1376" s="15" t="n">
        <v>46.33</v>
      </c>
      <c r="BZ1376" s="34" t="n">
        <v>46289</v>
      </c>
      <c r="CA1376" s="15" t="n">
        <v>12.24</v>
      </c>
      <c r="CB1376" s="15" t="n">
        <v>22.62</v>
      </c>
      <c r="CC1376" s="34" t="n">
        <v>46289</v>
      </c>
      <c r="CD1376" s="15" t="n">
        <v>21.34</v>
      </c>
      <c r="CE1376" s="15" t="n">
        <v>37.6</v>
      </c>
      <c r="CF1376" s="34" t="n">
        <v>46289</v>
      </c>
      <c r="CG1376" s="15" t="n">
        <v>179.8</v>
      </c>
      <c r="CH1376" s="15" t="n">
        <v>253.01</v>
      </c>
      <c r="CI1376" s="34" t="n">
        <v>46289</v>
      </c>
      <c r="CJ1376" s="15" t="n">
        <v>6.4</v>
      </c>
      <c r="CK1376" s="15" t="n">
        <v>13.4</v>
      </c>
      <c r="CL1376" s="34" t="n">
        <v>46289</v>
      </c>
      <c r="CM1376" s="15" t="n">
        <v>72.75</v>
      </c>
      <c r="CN1376" s="15" t="n">
        <v>81.40000000000001</v>
      </c>
      <c r="CO1376" s="34" t="n">
        <v>46289</v>
      </c>
      <c r="CP1376" s="15" t="n">
        <v>483</v>
      </c>
      <c r="CQ1376" s="15" t="n">
        <v>383.77</v>
      </c>
      <c r="CR1376" s="34" t="n">
        <v>46289</v>
      </c>
      <c r="CV1376" s="15" t="n">
        <v>94.2</v>
      </c>
      <c r="CW1376" s="15" t="n">
        <v>110.83</v>
      </c>
      <c r="CX1376" s="34" t="n">
        <v>46289</v>
      </c>
      <c r="CY1376" s="15" t="n">
        <v>43.02</v>
      </c>
      <c r="CZ1376" s="15" t="n">
        <v>78.01000000000001</v>
      </c>
      <c r="DA1376" s="34" t="n">
        <v>46289</v>
      </c>
      <c r="DB1376" s="15" t="n">
        <v>103.5</v>
      </c>
      <c r="DC1376" s="15" t="n">
        <v>243.52</v>
      </c>
      <c r="DD1376" s="34" t="n">
        <v>46289</v>
      </c>
      <c r="DE1376" s="15" t="n">
        <v>35.84</v>
      </c>
      <c r="DF1376" s="15" t="n">
        <v>40.48</v>
      </c>
      <c r="DG1376" s="34" t="n">
        <v>46289</v>
      </c>
      <c r="DH1376" s="15" t="n">
        <v>300.6</v>
      </c>
      <c r="DI1376" s="15" t="n">
        <v>214.5</v>
      </c>
      <c r="DJ1376" s="34" t="n">
        <v>46289</v>
      </c>
      <c r="DK1376" s="15" t="n">
        <v>26.24</v>
      </c>
      <c r="DL1376" s="15" t="n">
        <v>32.11</v>
      </c>
      <c r="DM1376" s="34" t="n">
        <v>46289</v>
      </c>
      <c r="DN1376" s="15" t="n">
        <v>8.205</v>
      </c>
      <c r="DO1376" s="15" t="n">
        <v>16.09</v>
      </c>
      <c r="DP1376" s="34" t="n">
        <v>46289</v>
      </c>
      <c r="DQ1376" s="15" t="n">
        <v>14.84</v>
      </c>
      <c r="DR1376" s="15" t="n">
        <v>29.35</v>
      </c>
      <c r="DS1376" s="34" t="n">
        <v>46289</v>
      </c>
      <c r="DT1376" s="15" t="n">
        <v>37.16</v>
      </c>
      <c r="DU1376" s="15" t="n">
        <v>69.87</v>
      </c>
      <c r="DV1376" s="34" t="n">
        <v>46289</v>
      </c>
      <c r="DW1376" s="15" t="n">
        <v>18.13</v>
      </c>
      <c r="DX1376" s="15" t="n">
        <v>45.53</v>
      </c>
      <c r="DY1376" s="34" t="n">
        <v>46289</v>
      </c>
      <c r="DZ1376" s="15" t="n">
        <v>121.1</v>
      </c>
      <c r="EA1376" s="15" t="n">
        <v>181.16</v>
      </c>
      <c r="EB1376" s="34" t="n">
        <v>46289</v>
      </c>
      <c r="EC1376" s="15" t="n">
        <v>8.199999999999999</v>
      </c>
      <c r="ED1376" s="15" t="n">
        <v>22.3</v>
      </c>
      <c r="EE1376" s="34" t="n">
        <v>46289</v>
      </c>
      <c r="EF1376" s="15" t="n">
        <v>216</v>
      </c>
      <c r="EG1376" s="15" t="n">
        <v>232.69</v>
      </c>
      <c r="EH1376" s="34" t="n">
        <v>46289</v>
      </c>
      <c r="EI1376" s="15" t="n">
        <v>70.15000000000001</v>
      </c>
      <c r="EJ1376" s="15" t="n">
        <v>79.11</v>
      </c>
      <c r="EK1376" s="34" t="n">
        <v>46289</v>
      </c>
      <c r="EL1376" s="15" t="n">
        <v>21.18</v>
      </c>
      <c r="EM1376" s="15" t="n">
        <v>26.47</v>
      </c>
      <c r="EN1376" s="34" t="n">
        <v>46289</v>
      </c>
      <c r="EO1376" s="15" t="n">
        <v>29.56</v>
      </c>
      <c r="EP1376" s="15" t="n">
        <v>54.21</v>
      </c>
      <c r="EQ1376" s="34" t="n">
        <v>46289</v>
      </c>
      <c r="ER1376" s="15" t="n">
        <v>30.3</v>
      </c>
      <c r="ES1376" s="15" t="n">
        <v>39.77</v>
      </c>
      <c r="ET1376" s="34" t="n">
        <v>46289</v>
      </c>
      <c r="EU1376" s="15" t="n">
        <v>7.61</v>
      </c>
      <c r="EV1376" s="15" t="n">
        <v>17.5</v>
      </c>
      <c r="EW1376" s="34" t="n">
        <v>46289</v>
      </c>
      <c r="EX1376" s="15" t="n">
        <v>92.15000000000001</v>
      </c>
      <c r="EY1376" s="15" t="n">
        <v>120.55</v>
      </c>
      <c r="EZ1376" s="34" t="n">
        <v>46289</v>
      </c>
      <c r="FA1376" s="15" t="n">
        <v>5.595</v>
      </c>
      <c r="FB1376" s="15" t="n">
        <v>12.23</v>
      </c>
      <c r="FC1376" s="34" t="n">
        <v>46289</v>
      </c>
      <c r="FD1376" s="15" t="n">
        <v>349</v>
      </c>
      <c r="FE1376" s="15" t="n">
        <v>418</v>
      </c>
      <c r="FF1376" s="34" t="n">
        <v>46289</v>
      </c>
      <c r="FG1376" s="15" t="n">
        <v>115.4</v>
      </c>
      <c r="FH1376" s="15" t="n">
        <v>122.6</v>
      </c>
      <c r="FI1376" s="34" t="n">
        <v>46289</v>
      </c>
      <c r="FJ1376" s="15" t="n">
        <v>28</v>
      </c>
      <c r="FK1376" s="15" t="n">
        <v>58.61</v>
      </c>
      <c r="FL1376" s="34" t="n">
        <v>46289</v>
      </c>
      <c r="FM1376" s="15" t="n">
        <v>56.05</v>
      </c>
      <c r="FN1376" s="15" t="n">
        <v>52</v>
      </c>
      <c r="FO1376" s="34" t="n">
        <v>46289</v>
      </c>
      <c r="FP1376" s="15" t="n">
        <v>129.9</v>
      </c>
      <c r="FQ1376" s="15" t="n">
        <v>123.31</v>
      </c>
      <c r="FR1376" s="34" t="n">
        <v>46289</v>
      </c>
      <c r="FS1376" s="15" t="n">
        <v>273.8</v>
      </c>
      <c r="FT1376" s="15" t="n">
        <v>378.99</v>
      </c>
      <c r="FU1376" s="34" t="n">
        <v>46289</v>
      </c>
      <c r="FV1376" s="15" t="n">
        <v>2.88</v>
      </c>
      <c r="FW1376" s="15" t="n">
        <v>5.76</v>
      </c>
      <c r="FX1376" s="34" t="n">
        <v>46289</v>
      </c>
      <c r="FY1376" s="15" t="n">
        <v>26.92</v>
      </c>
      <c r="FZ1376" s="15" t="n">
        <v>34.82</v>
      </c>
      <c r="GA1376" s="34" t="n">
        <v>46289</v>
      </c>
      <c r="GB1376" s="15" t="n">
        <v>1171</v>
      </c>
      <c r="GC1376" s="15" t="n">
        <v>895.86</v>
      </c>
      <c r="GD1376" s="34" t="n">
        <v>46289</v>
      </c>
      <c r="GE1376" s="15" t="n">
        <v>99.09999999999999</v>
      </c>
      <c r="GF1376" s="15" t="n">
        <v>140.31</v>
      </c>
      <c r="GG1376" s="34" t="n">
        <v>46289</v>
      </c>
    </row>
    <row r="1377">
      <c r="A1377" s="34" t="n">
        <v>46293</v>
      </c>
      <c r="B1377" s="266" t="n">
        <v>1.168378949165344</v>
      </c>
      <c r="C1377" s="34" t="n">
        <v>46293</v>
      </c>
      <c r="D1377" s="15" t="n">
        <v>26.52</v>
      </c>
      <c r="E1377" s="15" t="n">
        <v>45.44</v>
      </c>
      <c r="F1377" s="34" t="n">
        <v>46293</v>
      </c>
      <c r="G1377" s="15" t="n">
        <v>156.7</v>
      </c>
      <c r="H1377" s="15" t="n">
        <v>180.53</v>
      </c>
      <c r="I1377" s="34" t="n">
        <v>46293</v>
      </c>
      <c r="J1377" s="15" t="n">
        <v>14.95</v>
      </c>
      <c r="K1377" s="15" t="n">
        <v>24.1</v>
      </c>
      <c r="L1377" s="34" t="n">
        <v>46293</v>
      </c>
      <c r="M1377" s="15" t="n">
        <v>28.5</v>
      </c>
      <c r="N1377" s="15" t="n">
        <v>39.41</v>
      </c>
      <c r="O1377" s="34" t="n">
        <v>46293</v>
      </c>
      <c r="P1377" s="15" t="n">
        <v>45.64</v>
      </c>
      <c r="Q1377" s="15" t="n">
        <v>50.79</v>
      </c>
      <c r="R1377" s="34" t="n">
        <v>46293</v>
      </c>
      <c r="S1377" s="15" t="n">
        <v>67.34999999999999</v>
      </c>
      <c r="T1377" s="15" t="n">
        <v>127.21</v>
      </c>
      <c r="U1377" s="34" t="n">
        <v>46293</v>
      </c>
      <c r="V1377" s="15" t="n">
        <v>10.34</v>
      </c>
      <c r="W1377" s="15" t="n">
        <v>18.49</v>
      </c>
      <c r="X1377" s="34" t="n">
        <v>46293</v>
      </c>
      <c r="Y1377" s="15" t="n">
        <v>95.3</v>
      </c>
      <c r="Z1377" s="15" t="n">
        <v>82</v>
      </c>
      <c r="AA1377" s="34" t="n">
        <v>46293</v>
      </c>
      <c r="AB1377" s="15" t="n">
        <v>8.42</v>
      </c>
      <c r="AC1377" s="15" t="n">
        <v>16.85</v>
      </c>
      <c r="AD1377" s="34" t="n">
        <v>46293</v>
      </c>
      <c r="AE1377" s="15" t="n">
        <v>28.72</v>
      </c>
      <c r="AF1377" s="15" t="n">
        <v>30.44</v>
      </c>
      <c r="AG1377" s="34" t="n">
        <v>46293</v>
      </c>
      <c r="AH1377" s="15" t="n">
        <v>33.8</v>
      </c>
      <c r="AI1377" s="15" t="n">
        <v>38.07</v>
      </c>
      <c r="AJ1377" s="34" t="n">
        <v>46293</v>
      </c>
      <c r="AK1377" s="15" t="n">
        <v>11.37</v>
      </c>
      <c r="AL1377" s="15" t="n">
        <v>36.14</v>
      </c>
      <c r="AM1377" s="34" t="n">
        <v>46293</v>
      </c>
      <c r="AN1377" s="15" t="n">
        <v>484.6</v>
      </c>
      <c r="AO1377" s="15" t="n">
        <v>291.99</v>
      </c>
      <c r="AP1377" s="34" t="n">
        <v>46293</v>
      </c>
      <c r="AQ1377" s="15" t="n">
        <v>44.76</v>
      </c>
      <c r="AR1377" s="15" t="n">
        <v>44.47</v>
      </c>
      <c r="AS1377" s="34" t="n">
        <v>46293</v>
      </c>
      <c r="AT1377" s="15" t="n">
        <v>11.83</v>
      </c>
      <c r="AU1377" s="15" t="n">
        <v>20.21</v>
      </c>
      <c r="AV1377" s="34" t="n">
        <v>46293</v>
      </c>
      <c r="AW1377" s="15" t="n">
        <v>26.98</v>
      </c>
      <c r="AX1377" s="15" t="n">
        <v>32.93</v>
      </c>
      <c r="AY1377" s="34" t="n">
        <v>46293</v>
      </c>
      <c r="AZ1377" s="15" t="n">
        <v>23.96</v>
      </c>
      <c r="BA1377" s="15" t="n">
        <v>35.44</v>
      </c>
      <c r="BB1377" s="34" t="n">
        <v>46293</v>
      </c>
      <c r="BC1377" s="15" t="n">
        <v>63.55</v>
      </c>
      <c r="BD1377" s="15" t="n">
        <v>77.23999999999999</v>
      </c>
      <c r="BE1377" s="34" t="n">
        <v>46293</v>
      </c>
      <c r="BF1377" s="15" t="n">
        <v>119.4</v>
      </c>
      <c r="BG1377" s="15" t="n">
        <v>206.53</v>
      </c>
      <c r="BH1377" s="34" t="n">
        <v>46293</v>
      </c>
      <c r="BI1377" s="15" t="n">
        <v>20.94</v>
      </c>
      <c r="BJ1377" s="15" t="n">
        <v>31.6</v>
      </c>
      <c r="BK1377" s="34" t="n">
        <v>46293</v>
      </c>
      <c r="BL1377" s="15" t="n">
        <v>65.55</v>
      </c>
      <c r="BM1377" s="15" t="n">
        <v>105.28</v>
      </c>
      <c r="BN1377" s="34" t="n">
        <v>46293</v>
      </c>
      <c r="BO1377" s="15" t="n">
        <v>7.06</v>
      </c>
      <c r="BP1377" s="15" t="n">
        <v>19.97</v>
      </c>
      <c r="BQ1377" s="34" t="n">
        <v>46293</v>
      </c>
      <c r="BR1377" s="15" t="n">
        <v>16.94</v>
      </c>
      <c r="BS1377" s="15" t="n">
        <v>17.19</v>
      </c>
      <c r="BT1377" s="34" t="n">
        <v>46293</v>
      </c>
      <c r="BU1377" s="15" t="n">
        <v>101.9</v>
      </c>
      <c r="BV1377" s="15" t="n">
        <v>197.37</v>
      </c>
      <c r="BW1377" s="34" t="n">
        <v>46293</v>
      </c>
      <c r="BX1377" s="15" t="n">
        <v>32.56</v>
      </c>
      <c r="BY1377" s="15" t="n">
        <v>45.09</v>
      </c>
      <c r="BZ1377" s="34" t="n">
        <v>46293</v>
      </c>
      <c r="CA1377" s="15" t="n">
        <v>12.6</v>
      </c>
      <c r="CB1377" s="15" t="n">
        <v>24.02</v>
      </c>
      <c r="CC1377" s="34" t="n">
        <v>46293</v>
      </c>
      <c r="CD1377" s="15" t="n">
        <v>20.58</v>
      </c>
      <c r="CE1377" s="15" t="n">
        <v>36.17</v>
      </c>
      <c r="CF1377" s="34" t="n">
        <v>46293</v>
      </c>
      <c r="CG1377" s="15" t="n">
        <v>170</v>
      </c>
      <c r="CH1377" s="15" t="n">
        <v>246.15</v>
      </c>
      <c r="CI1377" s="34" t="n">
        <v>46293</v>
      </c>
      <c r="CJ1377" s="15" t="n">
        <v>6.24</v>
      </c>
      <c r="CK1377" s="15" t="n">
        <v>13.4</v>
      </c>
      <c r="CL1377" s="34" t="n">
        <v>46293</v>
      </c>
      <c r="CM1377" s="15" t="n">
        <v>70.2</v>
      </c>
      <c r="CN1377" s="15" t="n">
        <v>80.75</v>
      </c>
      <c r="CO1377" s="34" t="n">
        <v>46293</v>
      </c>
      <c r="CP1377" s="15" t="n">
        <v>448.2</v>
      </c>
      <c r="CQ1377" s="15" t="n">
        <v>358.51</v>
      </c>
      <c r="CR1377" s="34" t="n">
        <v>46293</v>
      </c>
      <c r="CS1377" s="15" t="n">
        <v>21.2</v>
      </c>
      <c r="CT1377" s="15" t="n">
        <v>35.72</v>
      </c>
      <c r="CU1377" s="34" t="n">
        <v>46293</v>
      </c>
      <c r="CV1377" s="15" t="n">
        <v>96.34999999999999</v>
      </c>
      <c r="CW1377" s="15" t="n">
        <v>111.12</v>
      </c>
      <c r="CX1377" s="34" t="n">
        <v>46293</v>
      </c>
      <c r="CY1377" s="15" t="n">
        <v>38.44</v>
      </c>
      <c r="CZ1377" s="15" t="n">
        <v>70.20999999999999</v>
      </c>
      <c r="DA1377" s="34" t="n">
        <v>46293</v>
      </c>
      <c r="DB1377" s="15" t="n">
        <v>93.8</v>
      </c>
      <c r="DC1377" s="15" t="n">
        <v>233.38</v>
      </c>
      <c r="DD1377" s="34" t="n">
        <v>46293</v>
      </c>
      <c r="DE1377" s="15" t="n">
        <v>37.12</v>
      </c>
      <c r="DF1377" s="15" t="n">
        <v>41.71</v>
      </c>
      <c r="DG1377" s="34" t="n">
        <v>46293</v>
      </c>
      <c r="DH1377" s="15" t="n">
        <v>285.2</v>
      </c>
      <c r="DI1377" s="15" t="n">
        <v>208.6</v>
      </c>
      <c r="DJ1377" s="34" t="n">
        <v>46293</v>
      </c>
      <c r="DK1377" s="15" t="n">
        <v>25.5</v>
      </c>
      <c r="DL1377" s="15" t="n">
        <v>31.2</v>
      </c>
      <c r="DM1377" s="34" t="n">
        <v>46293</v>
      </c>
      <c r="DN1377" s="15" t="n">
        <v>8.035</v>
      </c>
      <c r="DO1377" s="15" t="n">
        <v>15.68</v>
      </c>
      <c r="DP1377" s="34" t="n">
        <v>46293</v>
      </c>
      <c r="DQ1377" s="15" t="n">
        <v>14.12</v>
      </c>
      <c r="DR1377" s="15" t="n">
        <v>28.45</v>
      </c>
      <c r="DS1377" s="34" t="n">
        <v>46293</v>
      </c>
      <c r="DT1377" s="15" t="n">
        <v>36.4</v>
      </c>
      <c r="DU1377" s="15" t="n">
        <v>68.91</v>
      </c>
      <c r="DV1377" s="34" t="n">
        <v>46293</v>
      </c>
      <c r="DW1377" s="15" t="n">
        <v>17.49</v>
      </c>
      <c r="DX1377" s="15" t="n">
        <v>42.6</v>
      </c>
      <c r="DY1377" s="34" t="n">
        <v>46293</v>
      </c>
      <c r="DZ1377" s="15" t="n">
        <v>114.4</v>
      </c>
      <c r="EA1377" s="15" t="n">
        <v>177.59</v>
      </c>
      <c r="EB1377" s="34" t="n">
        <v>46293</v>
      </c>
      <c r="EC1377" s="15" t="n">
        <v>8.005000000000001</v>
      </c>
      <c r="ED1377" s="15" t="n">
        <v>21.35</v>
      </c>
      <c r="EE1377" s="34" t="n">
        <v>46293</v>
      </c>
      <c r="EF1377" s="15" t="n">
        <v>194.1</v>
      </c>
      <c r="EG1377" s="15" t="n">
        <v>213.5</v>
      </c>
      <c r="EH1377" s="34" t="n">
        <v>46293</v>
      </c>
      <c r="EI1377" s="15" t="n">
        <v>67.90000000000001</v>
      </c>
      <c r="EJ1377" s="15" t="n">
        <v>74.84</v>
      </c>
      <c r="EK1377" s="34" t="n">
        <v>46293</v>
      </c>
      <c r="EL1377" s="15" t="n">
        <v>20.58</v>
      </c>
      <c r="EM1377" s="15" t="n">
        <v>26</v>
      </c>
      <c r="EN1377" s="34" t="n">
        <v>46293</v>
      </c>
      <c r="EO1377" s="15" t="n">
        <v>28.7</v>
      </c>
      <c r="EP1377" s="15" t="n">
        <v>53.23</v>
      </c>
      <c r="EQ1377" s="34" t="n">
        <v>46293</v>
      </c>
      <c r="ER1377" s="15" t="n">
        <v>30.98</v>
      </c>
      <c r="ES1377" s="15" t="n">
        <v>41.38</v>
      </c>
      <c r="ET1377" s="34" t="n">
        <v>46293</v>
      </c>
      <c r="EU1377" s="15" t="n">
        <v>6.97</v>
      </c>
      <c r="EV1377" s="15" t="n">
        <v>16.12</v>
      </c>
      <c r="EW1377" s="34" t="n">
        <v>46293</v>
      </c>
      <c r="EX1377" s="15" t="n">
        <v>89.15000000000001</v>
      </c>
      <c r="EY1377" s="15" t="n">
        <v>117</v>
      </c>
      <c r="EZ1377" s="34" t="n">
        <v>46293</v>
      </c>
      <c r="FA1377" s="15" t="n">
        <v>5.515</v>
      </c>
      <c r="FB1377" s="15" t="n">
        <v>12.01</v>
      </c>
      <c r="FC1377" s="34" t="n">
        <v>46293</v>
      </c>
      <c r="FD1377" s="15" t="n">
        <v>311</v>
      </c>
      <c r="FE1377" s="15" t="n">
        <v>397.29</v>
      </c>
      <c r="FF1377" s="34" t="n">
        <v>46293</v>
      </c>
      <c r="FG1377" s="15" t="n">
        <v>115</v>
      </c>
      <c r="FH1377" s="15" t="n">
        <v>121.1</v>
      </c>
      <c r="FI1377" s="34" t="n">
        <v>46293</v>
      </c>
      <c r="FJ1377" s="15" t="n">
        <v>25.6</v>
      </c>
      <c r="FK1377" s="15" t="n">
        <v>51.62</v>
      </c>
      <c r="FL1377" s="34" t="n">
        <v>46293</v>
      </c>
      <c r="FM1377" s="15" t="n">
        <v>52.55</v>
      </c>
      <c r="FN1377" s="15" t="n">
        <v>49.92</v>
      </c>
      <c r="FO1377" s="34" t="n">
        <v>46293</v>
      </c>
      <c r="FP1377" s="15" t="n">
        <v>123</v>
      </c>
      <c r="FQ1377" s="15" t="n">
        <v>115.54</v>
      </c>
      <c r="FR1377" s="34" t="n">
        <v>46293</v>
      </c>
      <c r="FS1377" s="15" t="n">
        <v>266</v>
      </c>
      <c r="FT1377" s="15" t="n">
        <v>350.31</v>
      </c>
      <c r="FU1377" s="34" t="n">
        <v>46293</v>
      </c>
      <c r="FV1377" s="15" t="n">
        <v>2.87</v>
      </c>
      <c r="FW1377" s="15" t="n">
        <v>5.7</v>
      </c>
      <c r="FX1377" s="34" t="n">
        <v>46293</v>
      </c>
      <c r="FY1377" s="15" t="n">
        <v>26.08</v>
      </c>
      <c r="FZ1377" s="15" t="n">
        <v>33.21</v>
      </c>
      <c r="GA1377" s="34" t="n">
        <v>46293</v>
      </c>
      <c r="GB1377" s="15" t="n">
        <v>1028</v>
      </c>
      <c r="GC1377" s="15" t="n">
        <v>815</v>
      </c>
      <c r="GD1377" s="34" t="n">
        <v>46293</v>
      </c>
      <c r="GE1377" s="15" t="n">
        <v>92.95</v>
      </c>
      <c r="GF1377" s="15" t="n">
        <v>132.26</v>
      </c>
      <c r="GG1377" s="34" t="n">
        <v>46293</v>
      </c>
    </row>
    <row r="1378">
      <c r="A1378" s="34" t="n">
        <v>46294</v>
      </c>
      <c r="B1378" s="266" t="n">
        <v>1.168815970420837</v>
      </c>
      <c r="C1378" s="34" t="n">
        <v>46294</v>
      </c>
      <c r="D1378" s="15" t="n">
        <v>26.64</v>
      </c>
      <c r="E1378" s="15" t="n">
        <v>44.82</v>
      </c>
      <c r="F1378" s="34" t="n">
        <v>46294</v>
      </c>
      <c r="G1378" s="15" t="n">
        <v>159.8</v>
      </c>
      <c r="H1378" s="15" t="n">
        <v>179.12</v>
      </c>
      <c r="I1378" s="34" t="n">
        <v>46294</v>
      </c>
      <c r="J1378" s="15" t="n">
        <v>15.1</v>
      </c>
      <c r="K1378" s="15" t="n">
        <v>23.99</v>
      </c>
      <c r="L1378" s="34" t="n">
        <v>46294</v>
      </c>
      <c r="M1378" s="15" t="n">
        <v>28.58</v>
      </c>
      <c r="N1378" s="15" t="n">
        <v>40.55</v>
      </c>
      <c r="O1378" s="34" t="n">
        <v>46294</v>
      </c>
      <c r="P1378" s="15" t="n">
        <v>46.22</v>
      </c>
      <c r="Q1378" s="15" t="n">
        <v>50.93</v>
      </c>
      <c r="R1378" s="34" t="n">
        <v>46294</v>
      </c>
      <c r="S1378" s="15" t="n">
        <v>64.7</v>
      </c>
      <c r="T1378" s="15" t="n">
        <v>121.7</v>
      </c>
      <c r="U1378" s="34" t="n">
        <v>46294</v>
      </c>
      <c r="V1378" s="15" t="n">
        <v>10.4</v>
      </c>
      <c r="W1378" s="15" t="n">
        <v>19.92</v>
      </c>
      <c r="X1378" s="34" t="n">
        <v>46294</v>
      </c>
      <c r="Y1378" s="15" t="n">
        <v>94.84999999999999</v>
      </c>
      <c r="Z1378" s="15" t="n">
        <v>81.66</v>
      </c>
      <c r="AA1378" s="34" t="n">
        <v>46294</v>
      </c>
      <c r="AB1378" s="15" t="n">
        <v>8.69</v>
      </c>
      <c r="AC1378" s="15" t="n">
        <v>17.31</v>
      </c>
      <c r="AD1378" s="34" t="n">
        <v>46294</v>
      </c>
      <c r="AE1378" s="15" t="n">
        <v>28.52</v>
      </c>
      <c r="AF1378" s="15" t="n">
        <v>30.51</v>
      </c>
      <c r="AG1378" s="34" t="n">
        <v>46294</v>
      </c>
      <c r="AH1378" s="15" t="n">
        <v>34.6</v>
      </c>
      <c r="AI1378" s="15" t="n">
        <v>38.44</v>
      </c>
      <c r="AJ1378" s="34" t="n">
        <v>46294</v>
      </c>
      <c r="AK1378" s="15" t="n">
        <v>11.47</v>
      </c>
      <c r="AL1378" s="15" t="n">
        <v>36.01</v>
      </c>
      <c r="AM1378" s="34" t="n">
        <v>46294</v>
      </c>
      <c r="AN1378" s="15" t="n">
        <v>482.2</v>
      </c>
      <c r="AO1378" s="15" t="n">
        <v>286.8</v>
      </c>
      <c r="AP1378" s="34" t="n">
        <v>46294</v>
      </c>
      <c r="AQ1378" s="15" t="n">
        <v>45.6</v>
      </c>
      <c r="AR1378" s="15" t="n">
        <v>45.62</v>
      </c>
      <c r="AS1378" s="34" t="n">
        <v>46294</v>
      </c>
      <c r="AT1378" s="15" t="n">
        <v>12.2</v>
      </c>
      <c r="AU1378" s="15" t="n">
        <v>21.19</v>
      </c>
      <c r="AV1378" s="34" t="n">
        <v>46294</v>
      </c>
      <c r="AW1378" s="15" t="n">
        <v>26.78</v>
      </c>
      <c r="AX1378" s="15" t="n">
        <v>32.91</v>
      </c>
      <c r="AY1378" s="34" t="n">
        <v>46294</v>
      </c>
      <c r="AZ1378" s="15" t="n">
        <v>24.3</v>
      </c>
      <c r="BA1378" s="15" t="n">
        <v>35.65</v>
      </c>
      <c r="BB1378" s="34" t="n">
        <v>46294</v>
      </c>
      <c r="BC1378" s="15" t="n">
        <v>65.15000000000001</v>
      </c>
      <c r="BD1378" s="15" t="n">
        <v>79.05</v>
      </c>
      <c r="BE1378" s="34" t="n">
        <v>46294</v>
      </c>
      <c r="BF1378" s="15" t="n">
        <v>119.4</v>
      </c>
      <c r="BG1378" s="15" t="n">
        <v>204.33</v>
      </c>
      <c r="BH1378" s="34" t="n">
        <v>46294</v>
      </c>
      <c r="BI1378" s="15" t="n">
        <v>21.04</v>
      </c>
      <c r="BJ1378" s="15" t="n">
        <v>31.46</v>
      </c>
      <c r="BK1378" s="34" t="n">
        <v>46294</v>
      </c>
      <c r="BL1378" s="15" t="n">
        <v>69</v>
      </c>
      <c r="BM1378" s="15" t="n">
        <v>109</v>
      </c>
      <c r="BN1378" s="34" t="n">
        <v>46294</v>
      </c>
      <c r="BO1378" s="15" t="n">
        <v>7.105</v>
      </c>
      <c r="BP1378" s="15" t="n">
        <v>19.82</v>
      </c>
      <c r="BQ1378" s="34" t="n">
        <v>46294</v>
      </c>
      <c r="BR1378" s="15" t="n">
        <v>16.79</v>
      </c>
      <c r="BS1378" s="15" t="n">
        <v>17.06</v>
      </c>
      <c r="BT1378" s="34" t="n">
        <v>46294</v>
      </c>
      <c r="BU1378" s="15" t="n">
        <v>107</v>
      </c>
      <c r="BV1378" s="15" t="n">
        <v>201.1</v>
      </c>
      <c r="BW1378" s="34" t="n">
        <v>46294</v>
      </c>
      <c r="BX1378" s="15" t="n">
        <v>34.28</v>
      </c>
      <c r="BY1378" s="15" t="n">
        <v>46.81</v>
      </c>
      <c r="BZ1378" s="34" t="n">
        <v>46294</v>
      </c>
      <c r="CA1378" s="15" t="n">
        <v>11.94</v>
      </c>
      <c r="CB1378" s="15" t="n">
        <v>22.75</v>
      </c>
      <c r="CC1378" s="34" t="n">
        <v>46294</v>
      </c>
      <c r="CD1378" s="15" t="n">
        <v>21.36</v>
      </c>
      <c r="CE1378" s="15" t="n">
        <v>37.22</v>
      </c>
      <c r="CF1378" s="34" t="n">
        <v>46294</v>
      </c>
      <c r="CG1378" s="15" t="n">
        <v>169</v>
      </c>
      <c r="CH1378" s="15" t="n">
        <v>240.36</v>
      </c>
      <c r="CI1378" s="34" t="n">
        <v>46294</v>
      </c>
      <c r="CJ1378" s="15" t="n">
        <v>6.13</v>
      </c>
      <c r="CK1378" s="15" t="n">
        <v>13.31</v>
      </c>
      <c r="CL1378" s="34" t="n">
        <v>46294</v>
      </c>
      <c r="CM1378" s="15" t="n">
        <v>70.5</v>
      </c>
      <c r="CN1378" s="15" t="n">
        <v>80.36</v>
      </c>
      <c r="CO1378" s="34" t="n">
        <v>46294</v>
      </c>
      <c r="CP1378" s="15" t="n">
        <v>466</v>
      </c>
      <c r="CQ1378" s="15" t="n">
        <v>367.57</v>
      </c>
      <c r="CR1378" s="34" t="n">
        <v>46294</v>
      </c>
      <c r="CS1378" s="15" t="n">
        <v>21.2</v>
      </c>
      <c r="CT1378" s="15" t="n">
        <v>35.42</v>
      </c>
      <c r="CU1378" s="34" t="n">
        <v>46294</v>
      </c>
      <c r="CV1378" s="15" t="n">
        <v>94.2</v>
      </c>
      <c r="CW1378" s="15" t="n">
        <v>110.19</v>
      </c>
      <c r="CX1378" s="34" t="n">
        <v>46294</v>
      </c>
      <c r="CY1378" s="15" t="n">
        <v>38.28</v>
      </c>
      <c r="CZ1378" s="15" t="n">
        <v>71.02</v>
      </c>
      <c r="DA1378" s="34" t="n">
        <v>46294</v>
      </c>
      <c r="DB1378" s="15" t="n">
        <v>96.05</v>
      </c>
      <c r="DC1378" s="15" t="n">
        <v>230.9</v>
      </c>
      <c r="DD1378" s="34" t="n">
        <v>46294</v>
      </c>
      <c r="DE1378" s="15" t="n">
        <v>37.66</v>
      </c>
      <c r="DF1378" s="15" t="n">
        <v>42.29</v>
      </c>
      <c r="DG1378" s="34" t="n">
        <v>46294</v>
      </c>
      <c r="DH1378" s="15" t="n">
        <v>294</v>
      </c>
      <c r="DI1378" s="15" t="n">
        <v>212.6</v>
      </c>
      <c r="DJ1378" s="34" t="n">
        <v>46294</v>
      </c>
      <c r="DK1378" s="15" t="n">
        <v>27.46</v>
      </c>
      <c r="DL1378" s="15" t="n">
        <v>33.76</v>
      </c>
      <c r="DM1378" s="34" t="n">
        <v>46294</v>
      </c>
      <c r="DN1378" s="15" t="n">
        <v>8.105</v>
      </c>
      <c r="DO1378" s="15" t="n">
        <v>15.66</v>
      </c>
      <c r="DP1378" s="34" t="n">
        <v>46294</v>
      </c>
      <c r="DQ1378" s="15" t="n">
        <v>13.91</v>
      </c>
      <c r="DR1378" s="15" t="n">
        <v>28.16</v>
      </c>
      <c r="DS1378" s="34" t="n">
        <v>46294</v>
      </c>
      <c r="DT1378" s="15" t="n">
        <v>35.82</v>
      </c>
      <c r="DU1378" s="15" t="n">
        <v>69.09</v>
      </c>
      <c r="DV1378" s="34" t="n">
        <v>46294</v>
      </c>
      <c r="DW1378" s="15" t="n">
        <v>17.69</v>
      </c>
      <c r="DX1378" s="15" t="n">
        <v>41.95</v>
      </c>
      <c r="DY1378" s="34" t="n">
        <v>46294</v>
      </c>
      <c r="DZ1378" s="15" t="n">
        <v>125</v>
      </c>
      <c r="EA1378" s="15" t="n">
        <v>191.84</v>
      </c>
      <c r="EB1378" s="34" t="n">
        <v>46294</v>
      </c>
      <c r="EC1378" s="15" t="n">
        <v>7.96</v>
      </c>
      <c r="ED1378" s="15" t="n">
        <v>21.35</v>
      </c>
      <c r="EE1378" s="34" t="n">
        <v>46294</v>
      </c>
      <c r="EF1378" s="15" t="n">
        <v>200</v>
      </c>
      <c r="EG1378" s="15" t="n">
        <v>216.76</v>
      </c>
      <c r="EH1378" s="34" t="n">
        <v>46294</v>
      </c>
      <c r="EI1378" s="15" t="n">
        <v>68.40000000000001</v>
      </c>
      <c r="EJ1378" s="15" t="n">
        <v>75.34999999999999</v>
      </c>
      <c r="EK1378" s="34" t="n">
        <v>46294</v>
      </c>
      <c r="EL1378" s="15" t="n">
        <v>20.64</v>
      </c>
      <c r="EM1378" s="15" t="n">
        <v>26.01</v>
      </c>
      <c r="EN1378" s="34" t="n">
        <v>46294</v>
      </c>
      <c r="EO1378" s="15" t="n">
        <v>29.22</v>
      </c>
      <c r="EP1378" s="15" t="n">
        <v>52.69</v>
      </c>
      <c r="EQ1378" s="34" t="n">
        <v>46294</v>
      </c>
      <c r="ER1378" s="15" t="n">
        <v>31.78</v>
      </c>
      <c r="ES1378" s="15" t="n">
        <v>42.93</v>
      </c>
      <c r="ET1378" s="34" t="n">
        <v>46294</v>
      </c>
      <c r="EU1378" s="15" t="n">
        <v>6.935</v>
      </c>
      <c r="EV1378" s="15" t="n">
        <v>16.01</v>
      </c>
      <c r="EW1378" s="34" t="n">
        <v>46294</v>
      </c>
      <c r="EX1378" s="15" t="n">
        <v>88.65000000000001</v>
      </c>
      <c r="EY1378" s="15" t="n">
        <v>112.8</v>
      </c>
      <c r="EZ1378" s="34" t="n">
        <v>46294</v>
      </c>
      <c r="FA1378" s="15" t="n">
        <v>5.54</v>
      </c>
      <c r="FB1378" s="15" t="n">
        <v>11.98</v>
      </c>
      <c r="FC1378" s="34" t="n">
        <v>46294</v>
      </c>
      <c r="FD1378" s="15" t="n">
        <v>321</v>
      </c>
      <c r="FE1378" s="15" t="n">
        <v>397.17</v>
      </c>
      <c r="FF1378" s="34" t="n">
        <v>46294</v>
      </c>
      <c r="FG1378" s="15" t="n">
        <v>119.1</v>
      </c>
      <c r="FH1378" s="15" t="n">
        <v>124.63</v>
      </c>
      <c r="FI1378" s="34" t="n">
        <v>46294</v>
      </c>
      <c r="FJ1378" s="15" t="n">
        <v>25.4</v>
      </c>
      <c r="FK1378" s="15" t="n">
        <v>49.74</v>
      </c>
      <c r="FL1378" s="34" t="n">
        <v>46294</v>
      </c>
      <c r="FM1378" s="15" t="n">
        <v>54.15</v>
      </c>
      <c r="FN1378" s="15" t="n">
        <v>50.4</v>
      </c>
      <c r="FO1378" s="34" t="n">
        <v>46294</v>
      </c>
      <c r="FP1378" s="15" t="n">
        <v>130.5</v>
      </c>
      <c r="FQ1378" s="15" t="n">
        <v>118.63</v>
      </c>
      <c r="FR1378" s="34" t="n">
        <v>46294</v>
      </c>
      <c r="FS1378" s="15" t="n">
        <v>277</v>
      </c>
      <c r="FT1378" s="15" t="n">
        <v>348.72</v>
      </c>
      <c r="FU1378" s="34" t="n">
        <v>46294</v>
      </c>
      <c r="FV1378" s="15" t="n">
        <v>2.845</v>
      </c>
      <c r="FW1378" s="15" t="n">
        <v>5.64</v>
      </c>
      <c r="FX1378" s="34" t="n">
        <v>46294</v>
      </c>
      <c r="FY1378" s="15" t="n">
        <v>26.3</v>
      </c>
      <c r="FZ1378" s="15" t="n">
        <v>34.08</v>
      </c>
      <c r="GA1378" s="34" t="n">
        <v>46294</v>
      </c>
      <c r="GB1378" s="15" t="n">
        <v>1060</v>
      </c>
      <c r="GC1378" s="15" t="n">
        <v>813.01</v>
      </c>
      <c r="GD1378" s="34" t="n">
        <v>46294</v>
      </c>
      <c r="GE1378" s="15" t="n">
        <v>94.90000000000001</v>
      </c>
      <c r="GF1378" s="15" t="n">
        <v>134.6</v>
      </c>
      <c r="GG1378" s="34" t="n">
        <v>46294</v>
      </c>
    </row>
    <row r="1379">
      <c r="A1379" s="34" t="n">
        <v>46295</v>
      </c>
      <c r="B1379" s="266" t="n">
        <v>1.17059600353241</v>
      </c>
      <c r="C1379" s="34" t="n">
        <v>46295</v>
      </c>
      <c r="D1379" s="15" t="n">
        <v>30.8</v>
      </c>
      <c r="E1379" s="15" t="n">
        <v>49.3</v>
      </c>
      <c r="F1379" s="34" t="n">
        <v>46295</v>
      </c>
      <c r="G1379" s="15" t="n">
        <v>170.4</v>
      </c>
      <c r="H1379" s="15" t="n">
        <v>188.62</v>
      </c>
      <c r="I1379" s="34" t="n">
        <v>46295</v>
      </c>
      <c r="J1379" s="15" t="n">
        <v>14.99</v>
      </c>
      <c r="K1379" s="15" t="n">
        <v>24.11</v>
      </c>
      <c r="L1379" s="34" t="n">
        <v>46295</v>
      </c>
      <c r="M1379" s="15" t="n">
        <v>28.68</v>
      </c>
      <c r="N1379" s="15" t="n">
        <v>40.25</v>
      </c>
      <c r="O1379" s="34" t="n">
        <v>46295</v>
      </c>
      <c r="P1379" s="15" t="n">
        <v>46.78</v>
      </c>
      <c r="Q1379" s="15" t="n">
        <v>51.44</v>
      </c>
      <c r="R1379" s="34" t="n">
        <v>46295</v>
      </c>
      <c r="S1379" s="15" t="n">
        <v>70</v>
      </c>
      <c r="T1379" s="15" t="n">
        <v>126.77</v>
      </c>
      <c r="U1379" s="34" t="n">
        <v>46295</v>
      </c>
      <c r="V1379" s="15" t="n">
        <v>10.4</v>
      </c>
      <c r="W1379" s="15" t="n">
        <v>20.42</v>
      </c>
      <c r="X1379" s="34" t="n">
        <v>46295</v>
      </c>
      <c r="Y1379" s="15" t="n">
        <v>91.8</v>
      </c>
      <c r="Z1379" s="15" t="n">
        <v>80.09999999999999</v>
      </c>
      <c r="AA1379" s="34" t="n">
        <v>46295</v>
      </c>
      <c r="AB1379" s="15" t="n">
        <v>9.24</v>
      </c>
      <c r="AC1379" s="15" t="n">
        <v>19.04</v>
      </c>
      <c r="AD1379" s="34" t="n">
        <v>46295</v>
      </c>
      <c r="AE1379" s="15" t="n">
        <v>29</v>
      </c>
      <c r="AF1379" s="15" t="n">
        <v>30.67</v>
      </c>
      <c r="AG1379" s="34" t="n">
        <v>46295</v>
      </c>
      <c r="AH1379" s="15" t="n">
        <v>36.32</v>
      </c>
      <c r="AI1379" s="15" t="n">
        <v>39.56</v>
      </c>
      <c r="AJ1379" s="34" t="n">
        <v>46295</v>
      </c>
      <c r="AK1379" s="15" t="n">
        <v>11.99</v>
      </c>
      <c r="AL1379" s="15" t="n">
        <v>36.44</v>
      </c>
      <c r="AM1379" s="34" t="n">
        <v>46295</v>
      </c>
      <c r="AN1379" s="15" t="n">
        <v>484.2</v>
      </c>
      <c r="AO1379" s="15" t="n">
        <v>291.11</v>
      </c>
      <c r="AP1379" s="34" t="n">
        <v>46295</v>
      </c>
      <c r="AQ1379" s="15" t="n">
        <v>50.2</v>
      </c>
      <c r="AR1379" s="15" t="n">
        <v>47.2</v>
      </c>
      <c r="AS1379" s="34" t="n">
        <v>46295</v>
      </c>
      <c r="AT1379" s="15" t="n">
        <v>12.36</v>
      </c>
      <c r="AU1379" s="15" t="n">
        <v>20.24</v>
      </c>
      <c r="AV1379" s="34" t="n">
        <v>46295</v>
      </c>
      <c r="AW1379" s="15" t="n">
        <v>26.24</v>
      </c>
      <c r="AX1379" s="15" t="n">
        <v>33.17</v>
      </c>
      <c r="AY1379" s="34" t="n">
        <v>46295</v>
      </c>
      <c r="AZ1379" s="15" t="n">
        <v>24.44</v>
      </c>
      <c r="BA1379" s="15" t="n">
        <v>35.71</v>
      </c>
      <c r="BB1379" s="34" t="n">
        <v>46295</v>
      </c>
      <c r="BC1379" s="15" t="n">
        <v>63.35</v>
      </c>
      <c r="BD1379" s="15" t="n">
        <v>79.40000000000001</v>
      </c>
      <c r="BE1379" s="34" t="n">
        <v>46295</v>
      </c>
      <c r="BF1379" s="15" t="n">
        <v>117.8</v>
      </c>
      <c r="BG1379" s="15" t="n">
        <v>199.31</v>
      </c>
      <c r="BH1379" s="34" t="n">
        <v>46295</v>
      </c>
      <c r="BI1379" s="15" t="n">
        <v>21.6</v>
      </c>
      <c r="BJ1379" s="15" t="n">
        <v>32.31</v>
      </c>
      <c r="BK1379" s="34" t="n">
        <v>46295</v>
      </c>
      <c r="BL1379" s="15" t="n">
        <v>68</v>
      </c>
      <c r="BM1379" s="15" t="n">
        <v>104.39</v>
      </c>
      <c r="BN1379" s="34" t="n">
        <v>46295</v>
      </c>
      <c r="BO1379" s="15" t="n">
        <v>7.16</v>
      </c>
      <c r="BP1379" s="15" t="n">
        <v>19.72</v>
      </c>
      <c r="BQ1379" s="34" t="n">
        <v>46295</v>
      </c>
      <c r="BR1379" s="15" t="n">
        <v>17.07</v>
      </c>
      <c r="BS1379" s="15" t="n">
        <v>17.49</v>
      </c>
      <c r="BT1379" s="34" t="n">
        <v>46295</v>
      </c>
      <c r="BU1379" s="15" t="n">
        <v>110.8</v>
      </c>
      <c r="BV1379" s="15" t="n">
        <v>205.45</v>
      </c>
      <c r="BW1379" s="34" t="n">
        <v>46295</v>
      </c>
      <c r="BX1379" s="15" t="n">
        <v>35.08</v>
      </c>
      <c r="BY1379" s="15" t="n">
        <v>46.94</v>
      </c>
      <c r="BZ1379" s="34" t="n">
        <v>46295</v>
      </c>
      <c r="CA1379" s="15" t="n">
        <v>12.48</v>
      </c>
      <c r="CB1379" s="15" t="n">
        <v>23.46</v>
      </c>
      <c r="CC1379" s="34" t="n">
        <v>46295</v>
      </c>
      <c r="CD1379" s="15" t="n">
        <v>21.4</v>
      </c>
      <c r="CE1379" s="15" t="n">
        <v>37.24</v>
      </c>
      <c r="CF1379" s="34" t="n">
        <v>46295</v>
      </c>
      <c r="CG1379" s="15" t="n">
        <v>170</v>
      </c>
      <c r="CH1379" s="15" t="n">
        <v>236.32</v>
      </c>
      <c r="CI1379" s="34" t="n">
        <v>46295</v>
      </c>
      <c r="CJ1379" s="15" t="n">
        <v>6.095</v>
      </c>
      <c r="CK1379" s="15" t="n">
        <v>13.16</v>
      </c>
      <c r="CL1379" s="34" t="n">
        <v>46295</v>
      </c>
      <c r="CM1379" s="15" t="n">
        <v>72.3</v>
      </c>
      <c r="CN1379" s="15" t="n">
        <v>82.20999999999999</v>
      </c>
      <c r="CO1379" s="34" t="n">
        <v>46295</v>
      </c>
      <c r="CP1379" s="15" t="n">
        <v>449.6</v>
      </c>
      <c r="CQ1379" s="15" t="n">
        <v>353.9</v>
      </c>
      <c r="CR1379" s="34" t="n">
        <v>46295</v>
      </c>
      <c r="CS1379" s="15" t="n">
        <v>21.08</v>
      </c>
      <c r="CT1379" s="15" t="n">
        <v>35.21</v>
      </c>
      <c r="CU1379" s="34" t="n">
        <v>46295</v>
      </c>
      <c r="CV1379" s="15" t="n">
        <v>95.59999999999999</v>
      </c>
      <c r="CW1379" s="15" t="n">
        <v>112.25</v>
      </c>
      <c r="CX1379" s="34" t="n">
        <v>46295</v>
      </c>
      <c r="CY1379" s="15" t="n">
        <v>39.22</v>
      </c>
      <c r="CZ1379" s="15" t="n">
        <v>69.81</v>
      </c>
      <c r="DA1379" s="34" t="n">
        <v>46295</v>
      </c>
      <c r="DB1379" s="15" t="n">
        <v>96.59999999999999</v>
      </c>
      <c r="DC1379" s="15" t="n">
        <v>224.79</v>
      </c>
      <c r="DD1379" s="34" t="n">
        <v>46295</v>
      </c>
      <c r="DE1379" s="15" t="n">
        <v>37.84</v>
      </c>
      <c r="DF1379" s="15" t="n">
        <v>42.45</v>
      </c>
      <c r="DG1379" s="34" t="n">
        <v>46295</v>
      </c>
      <c r="DH1379" s="15" t="n">
        <v>287.4</v>
      </c>
      <c r="DI1379" s="15" t="n">
        <v>202.31</v>
      </c>
      <c r="DJ1379" s="34" t="n">
        <v>46295</v>
      </c>
      <c r="DK1379" s="15" t="n">
        <v>28.48</v>
      </c>
      <c r="DL1379" s="15" t="n">
        <v>34.94</v>
      </c>
      <c r="DM1379" s="34" t="n">
        <v>46295</v>
      </c>
      <c r="DN1379" s="15" t="n">
        <v>8.125</v>
      </c>
      <c r="DO1379" s="15" t="n">
        <v>15.71</v>
      </c>
      <c r="DP1379" s="34" t="n">
        <v>46295</v>
      </c>
      <c r="DQ1379" s="15" t="n">
        <v>14.08</v>
      </c>
      <c r="DR1379" s="15" t="n">
        <v>28.22</v>
      </c>
      <c r="DS1379" s="34" t="n">
        <v>46295</v>
      </c>
      <c r="DT1379" s="15" t="n">
        <v>36.14</v>
      </c>
      <c r="DU1379" s="15" t="n">
        <v>70.25</v>
      </c>
      <c r="DV1379" s="34" t="n">
        <v>46295</v>
      </c>
      <c r="DW1379" s="15" t="n">
        <v>17.87</v>
      </c>
      <c r="DX1379" s="15" t="n">
        <v>42.41</v>
      </c>
      <c r="DY1379" s="34" t="n">
        <v>46295</v>
      </c>
      <c r="DZ1379" s="15" t="n">
        <v>119.6</v>
      </c>
      <c r="EA1379" s="15" t="n">
        <v>176.66</v>
      </c>
      <c r="EB1379" s="34" t="n">
        <v>46295</v>
      </c>
      <c r="EC1379" s="15" t="n">
        <v>8.025</v>
      </c>
      <c r="ED1379" s="15" t="n">
        <v>20.86</v>
      </c>
      <c r="EE1379" s="34" t="n">
        <v>46295</v>
      </c>
      <c r="EF1379" s="15" t="n">
        <v>197.5</v>
      </c>
      <c r="EG1379" s="15" t="n">
        <v>210.3</v>
      </c>
      <c r="EH1379" s="34" t="n">
        <v>46295</v>
      </c>
      <c r="EI1379" s="15" t="n">
        <v>65.8</v>
      </c>
      <c r="EJ1379" s="15" t="n">
        <v>74.48999999999999</v>
      </c>
      <c r="EK1379" s="34" t="n">
        <v>46295</v>
      </c>
      <c r="EL1379" s="15" t="n">
        <v>20.7</v>
      </c>
      <c r="EM1379" s="15" t="n">
        <v>27.04</v>
      </c>
      <c r="EN1379" s="34" t="n">
        <v>46295</v>
      </c>
      <c r="EO1379" s="15" t="n">
        <v>28.7</v>
      </c>
      <c r="EP1379" s="15" t="n">
        <v>52.1</v>
      </c>
      <c r="EQ1379" s="34" t="n">
        <v>46295</v>
      </c>
      <c r="ER1379" s="15" t="n">
        <v>34.32</v>
      </c>
      <c r="ES1379" s="15" t="n">
        <v>46.29</v>
      </c>
      <c r="ET1379" s="34" t="n">
        <v>46295</v>
      </c>
      <c r="EU1379" s="15" t="n">
        <v>6.85</v>
      </c>
      <c r="EV1379" s="15" t="n">
        <v>15.74</v>
      </c>
      <c r="EW1379" s="34" t="n">
        <v>46295</v>
      </c>
      <c r="EX1379" s="15" t="n">
        <v>84.40000000000001</v>
      </c>
      <c r="EY1379" s="15" t="n">
        <v>110.21</v>
      </c>
      <c r="EZ1379" s="34" t="n">
        <v>46295</v>
      </c>
      <c r="FA1379" s="15" t="n">
        <v>5.54</v>
      </c>
      <c r="FB1379" s="15" t="n">
        <v>11.88</v>
      </c>
      <c r="FC1379" s="34" t="n">
        <v>46295</v>
      </c>
      <c r="FD1379" s="15" t="n">
        <v>327</v>
      </c>
      <c r="FE1379" s="15" t="n">
        <v>388.68</v>
      </c>
      <c r="FF1379" s="34" t="n">
        <v>46295</v>
      </c>
      <c r="FG1379" s="15" t="n">
        <v>117.9</v>
      </c>
      <c r="FH1379" s="15" t="n">
        <v>124.63</v>
      </c>
      <c r="FI1379" s="34" t="n">
        <v>46295</v>
      </c>
      <c r="FJ1379" s="15" t="n">
        <v>25.08</v>
      </c>
      <c r="FK1379" s="15" t="n">
        <v>47.8</v>
      </c>
      <c r="FL1379" s="34" t="n">
        <v>46295</v>
      </c>
      <c r="FM1379" s="15" t="n">
        <v>53.55</v>
      </c>
      <c r="FN1379" s="15" t="n">
        <v>49.43</v>
      </c>
      <c r="FO1379" s="34" t="n">
        <v>46295</v>
      </c>
      <c r="FP1379" s="15" t="n">
        <v>127.8</v>
      </c>
      <c r="FQ1379" s="15" t="n">
        <v>117.33</v>
      </c>
      <c r="FR1379" s="34" t="n">
        <v>46295</v>
      </c>
      <c r="FS1379" s="15" t="n">
        <v>259.4</v>
      </c>
      <c r="FT1379" s="15" t="n">
        <v>341</v>
      </c>
      <c r="FU1379" s="34" t="n">
        <v>46295</v>
      </c>
      <c r="FV1379" s="15" t="n">
        <v>2.9</v>
      </c>
      <c r="FW1379" s="15" t="n">
        <v>5.68</v>
      </c>
      <c r="FX1379" s="34" t="n">
        <v>46295</v>
      </c>
      <c r="FY1379" s="15" t="n">
        <v>26.68</v>
      </c>
      <c r="FZ1379" s="15" t="n">
        <v>32.81</v>
      </c>
      <c r="GA1379" s="34" t="n">
        <v>46295</v>
      </c>
      <c r="GB1379" s="15" t="n">
        <v>1062</v>
      </c>
      <c r="GC1379" s="15" t="n">
        <v>808.4400000000001</v>
      </c>
      <c r="GD1379" s="34" t="n">
        <v>46295</v>
      </c>
      <c r="GE1379" s="15" t="n">
        <v>93.55</v>
      </c>
      <c r="GF1379" s="15" t="n">
        <v>129.15</v>
      </c>
      <c r="GG1379" s="34" t="n">
        <v>46295</v>
      </c>
    </row>
    <row r="1380">
      <c r="A1380" s="34" t="n">
        <v>46297</v>
      </c>
      <c r="B1380" s="266" t="n">
        <v>1.170220971107483</v>
      </c>
      <c r="C1380" s="34" t="n">
        <v>46297</v>
      </c>
      <c r="D1380" s="15" t="n">
        <v>30.42</v>
      </c>
      <c r="E1380" s="15" t="n">
        <v>49.3</v>
      </c>
      <c r="F1380" s="34" t="n">
        <v>46295</v>
      </c>
      <c r="G1380" s="15" t="n">
        <v>166.6</v>
      </c>
      <c r="H1380" s="15" t="n">
        <v>188.62</v>
      </c>
      <c r="I1380" s="34" t="n">
        <v>46295</v>
      </c>
      <c r="J1380" s="15" t="n">
        <v>14.8</v>
      </c>
      <c r="K1380" s="15" t="n">
        <v>24.11</v>
      </c>
      <c r="L1380" s="34" t="n">
        <v>46295</v>
      </c>
      <c r="M1380" s="15" t="n">
        <v>28.2</v>
      </c>
      <c r="N1380" s="15" t="n">
        <v>40.25</v>
      </c>
      <c r="O1380" s="34" t="n">
        <v>46295</v>
      </c>
      <c r="P1380" s="15" t="n">
        <v>45.86</v>
      </c>
      <c r="Q1380" s="15" t="n">
        <v>51.44</v>
      </c>
      <c r="R1380" s="34" t="n">
        <v>46295</v>
      </c>
      <c r="S1380" s="15" t="n">
        <v>67.45</v>
      </c>
      <c r="T1380" s="15" t="n">
        <v>126.77</v>
      </c>
      <c r="U1380" s="34" t="n">
        <v>46295</v>
      </c>
      <c r="V1380" s="15" t="n">
        <v>9.994999999999999</v>
      </c>
      <c r="W1380" s="15" t="n">
        <v>20.42</v>
      </c>
      <c r="X1380" s="34" t="n">
        <v>46295</v>
      </c>
      <c r="Y1380" s="15" t="n">
        <v>91.15000000000001</v>
      </c>
      <c r="Z1380" s="15" t="n">
        <v>80.09999999999999</v>
      </c>
      <c r="AA1380" s="34" t="n">
        <v>46295</v>
      </c>
      <c r="AB1380" s="15" t="n">
        <v>9.029999999999999</v>
      </c>
      <c r="AC1380" s="15" t="n">
        <v>19.04</v>
      </c>
      <c r="AD1380" s="34" t="n">
        <v>46295</v>
      </c>
      <c r="AE1380" s="15" t="n">
        <v>28.56</v>
      </c>
      <c r="AF1380" s="15" t="n">
        <v>30.67</v>
      </c>
      <c r="AG1380" s="34" t="n">
        <v>46295</v>
      </c>
      <c r="AH1380" s="15" t="n">
        <v>35.38</v>
      </c>
      <c r="AI1380" s="15" t="n">
        <v>39.56</v>
      </c>
      <c r="AJ1380" s="34" t="n">
        <v>46295</v>
      </c>
      <c r="AK1380" s="15" t="n">
        <v>11.39</v>
      </c>
      <c r="AL1380" s="15" t="n">
        <v>36.44</v>
      </c>
      <c r="AM1380" s="34" t="n">
        <v>46295</v>
      </c>
      <c r="AN1380" s="15" t="n">
        <v>476.8</v>
      </c>
      <c r="AO1380" s="15" t="n">
        <v>291.11</v>
      </c>
      <c r="AP1380" s="34" t="n">
        <v>46295</v>
      </c>
      <c r="AQ1380" s="15" t="n">
        <v>49.66</v>
      </c>
      <c r="AR1380" s="15" t="n">
        <v>47.2</v>
      </c>
      <c r="AS1380" s="34" t="n">
        <v>46295</v>
      </c>
      <c r="AT1380" s="15" t="n">
        <v>11.93</v>
      </c>
      <c r="AU1380" s="15" t="n">
        <v>20.24</v>
      </c>
      <c r="AV1380" s="34" t="n">
        <v>46295</v>
      </c>
      <c r="AW1380" s="15" t="n">
        <v>25.28</v>
      </c>
      <c r="AX1380" s="15" t="n">
        <v>33.17</v>
      </c>
      <c r="AY1380" s="34" t="n">
        <v>46295</v>
      </c>
      <c r="AZ1380" s="15" t="n">
        <v>24.16</v>
      </c>
      <c r="BA1380" s="15" t="n">
        <v>35.71</v>
      </c>
      <c r="BB1380" s="34" t="n">
        <v>46295</v>
      </c>
      <c r="BC1380" s="15" t="n">
        <v>60.65</v>
      </c>
      <c r="BD1380" s="15" t="n">
        <v>79.40000000000001</v>
      </c>
      <c r="BE1380" s="34" t="n">
        <v>46295</v>
      </c>
      <c r="BF1380" s="15" t="n">
        <v>118.9</v>
      </c>
      <c r="BG1380" s="15" t="n">
        <v>199.31</v>
      </c>
      <c r="BH1380" s="34" t="n">
        <v>46295</v>
      </c>
      <c r="BI1380" s="15" t="n">
        <v>21.36</v>
      </c>
      <c r="BJ1380" s="15" t="n">
        <v>32.31</v>
      </c>
      <c r="BK1380" s="34" t="n">
        <v>46295</v>
      </c>
      <c r="BL1380" s="15" t="n">
        <v>68.59999999999999</v>
      </c>
      <c r="BM1380" s="15" t="n">
        <v>104.39</v>
      </c>
      <c r="BN1380" s="34" t="n">
        <v>46295</v>
      </c>
      <c r="BO1380" s="15" t="n">
        <v>6.81</v>
      </c>
      <c r="BP1380" s="15" t="n">
        <v>19.72</v>
      </c>
      <c r="BQ1380" s="34" t="n">
        <v>46295</v>
      </c>
      <c r="BR1380" s="15" t="n">
        <v>16.98</v>
      </c>
      <c r="BS1380" s="15" t="n">
        <v>17.49</v>
      </c>
      <c r="BT1380" s="34" t="n">
        <v>46295</v>
      </c>
      <c r="BU1380" s="15" t="n">
        <v>112.8</v>
      </c>
      <c r="BV1380" s="15" t="n">
        <v>205.45</v>
      </c>
      <c r="BW1380" s="34" t="n">
        <v>46295</v>
      </c>
      <c r="BX1380" s="15" t="n">
        <v>37.34</v>
      </c>
      <c r="BY1380" s="15" t="n">
        <v>46.94</v>
      </c>
      <c r="BZ1380" s="34" t="n">
        <v>46295</v>
      </c>
      <c r="CA1380" s="15" t="n">
        <v>12.19</v>
      </c>
      <c r="CB1380" s="15" t="n">
        <v>23.46</v>
      </c>
      <c r="CC1380" s="34" t="n">
        <v>46295</v>
      </c>
      <c r="CD1380" s="15" t="n">
        <v>20.7</v>
      </c>
      <c r="CE1380" s="15" t="n">
        <v>37.24</v>
      </c>
      <c r="CF1380" s="34" t="n">
        <v>46295</v>
      </c>
      <c r="CG1380" s="15" t="n">
        <v>170</v>
      </c>
      <c r="CH1380" s="15" t="n">
        <v>236.32</v>
      </c>
      <c r="CI1380" s="34" t="n">
        <v>46295</v>
      </c>
      <c r="CJ1380" s="15" t="n">
        <v>5.88</v>
      </c>
      <c r="CK1380" s="15" t="n">
        <v>13.16</v>
      </c>
      <c r="CL1380" s="34" t="n">
        <v>46295</v>
      </c>
      <c r="CM1380" s="15" t="n">
        <v>70.15000000000001</v>
      </c>
      <c r="CN1380" s="15" t="n">
        <v>82.20999999999999</v>
      </c>
      <c r="CO1380" s="34" t="n">
        <v>46295</v>
      </c>
      <c r="CP1380" s="15" t="n">
        <v>454.8</v>
      </c>
      <c r="CQ1380" s="15" t="n">
        <v>353.9</v>
      </c>
      <c r="CR1380" s="34" t="n">
        <v>46295</v>
      </c>
      <c r="CS1380" s="15" t="n">
        <v>20.16</v>
      </c>
      <c r="CT1380" s="15" t="n">
        <v>35.21</v>
      </c>
      <c r="CU1380" s="34" t="n">
        <v>46295</v>
      </c>
      <c r="CV1380" s="15" t="n">
        <v>94</v>
      </c>
      <c r="CW1380" s="15" t="n">
        <v>112.25</v>
      </c>
      <c r="CX1380" s="34" t="n">
        <v>46295</v>
      </c>
      <c r="CY1380" s="15" t="n">
        <v>37.66</v>
      </c>
      <c r="CZ1380" s="15" t="n">
        <v>69.81</v>
      </c>
      <c r="DA1380" s="34" t="n">
        <v>46295</v>
      </c>
      <c r="DB1380" s="15" t="n">
        <v>94</v>
      </c>
      <c r="DC1380" s="15" t="n">
        <v>224.79</v>
      </c>
      <c r="DD1380" s="34" t="n">
        <v>46295</v>
      </c>
      <c r="DE1380" s="15" t="n">
        <v>36.78</v>
      </c>
      <c r="DF1380" s="15" t="n">
        <v>42.45</v>
      </c>
      <c r="DG1380" s="34" t="n">
        <v>46295</v>
      </c>
      <c r="DH1380" s="15" t="n">
        <v>289.6</v>
      </c>
      <c r="DI1380" s="15" t="n">
        <v>202.31</v>
      </c>
      <c r="DJ1380" s="34" t="n">
        <v>46295</v>
      </c>
      <c r="DK1380" s="15" t="n">
        <v>27.4</v>
      </c>
      <c r="DL1380" s="15" t="n">
        <v>34.94</v>
      </c>
      <c r="DM1380" s="34" t="n">
        <v>46295</v>
      </c>
      <c r="DN1380" s="15" t="n">
        <v>8.1</v>
      </c>
      <c r="DO1380" s="15" t="n">
        <v>15.71</v>
      </c>
      <c r="DP1380" s="34" t="n">
        <v>46295</v>
      </c>
      <c r="DQ1380" s="15" t="n">
        <v>14.09</v>
      </c>
      <c r="DR1380" s="15" t="n">
        <v>28.22</v>
      </c>
      <c r="DS1380" s="34" t="n">
        <v>46295</v>
      </c>
      <c r="DT1380" s="15" t="n">
        <v>37.54</v>
      </c>
      <c r="DU1380" s="15" t="n">
        <v>70.25</v>
      </c>
      <c r="DV1380" s="34" t="n">
        <v>46295</v>
      </c>
      <c r="DW1380" s="15" t="n">
        <v>17.5</v>
      </c>
      <c r="DX1380" s="15" t="n">
        <v>42.41</v>
      </c>
      <c r="DY1380" s="34" t="n">
        <v>46295</v>
      </c>
      <c r="DZ1380" s="15" t="n">
        <v>118.1</v>
      </c>
      <c r="EA1380" s="15" t="n">
        <v>176.66</v>
      </c>
      <c r="EB1380" s="34" t="n">
        <v>46295</v>
      </c>
      <c r="EC1380" s="15" t="n">
        <v>7.765</v>
      </c>
      <c r="ED1380" s="15" t="n">
        <v>20.86</v>
      </c>
      <c r="EE1380" s="34" t="n">
        <v>46295</v>
      </c>
      <c r="EF1380" s="15" t="n">
        <v>195.1</v>
      </c>
      <c r="EG1380" s="15" t="n">
        <v>210.3</v>
      </c>
      <c r="EH1380" s="34" t="n">
        <v>46295</v>
      </c>
      <c r="EI1380" s="15" t="n">
        <v>66.05</v>
      </c>
      <c r="EJ1380" s="15" t="n">
        <v>74.48999999999999</v>
      </c>
      <c r="EK1380" s="34" t="n">
        <v>46295</v>
      </c>
      <c r="EL1380" s="15" t="n">
        <v>20.88</v>
      </c>
      <c r="EM1380" s="15" t="n">
        <v>27.04</v>
      </c>
      <c r="EN1380" s="34" t="n">
        <v>46295</v>
      </c>
      <c r="EO1380" s="15" t="n">
        <v>28.12</v>
      </c>
      <c r="EP1380" s="15" t="n">
        <v>52.1</v>
      </c>
      <c r="EQ1380" s="34" t="n">
        <v>46295</v>
      </c>
      <c r="ER1380" s="15" t="n">
        <v>31.86</v>
      </c>
      <c r="ES1380" s="15" t="n">
        <v>46.29</v>
      </c>
      <c r="ET1380" s="34" t="n">
        <v>46295</v>
      </c>
      <c r="EU1380" s="15" t="n">
        <v>6.965</v>
      </c>
      <c r="EV1380" s="15" t="n">
        <v>15.74</v>
      </c>
      <c r="EW1380" s="34" t="n">
        <v>46295</v>
      </c>
      <c r="EX1380" s="15" t="n">
        <v>83.84999999999999</v>
      </c>
      <c r="EY1380" s="15" t="n">
        <v>110.21</v>
      </c>
      <c r="EZ1380" s="34" t="n">
        <v>46295</v>
      </c>
      <c r="FA1380" s="15" t="n">
        <v>5.47</v>
      </c>
      <c r="FB1380" s="15" t="n">
        <v>11.88</v>
      </c>
      <c r="FC1380" s="34" t="n">
        <v>46295</v>
      </c>
      <c r="FD1380" s="15" t="n">
        <v>320</v>
      </c>
      <c r="FE1380" s="15" t="n">
        <v>388.68</v>
      </c>
      <c r="FF1380" s="34" t="n">
        <v>46295</v>
      </c>
      <c r="FG1380" s="15" t="n">
        <v>114</v>
      </c>
      <c r="FH1380" s="15" t="n">
        <v>124.63</v>
      </c>
      <c r="FI1380" s="34" t="n">
        <v>46295</v>
      </c>
      <c r="FJ1380" s="15" t="n">
        <v>23.82</v>
      </c>
      <c r="FK1380" s="15" t="n">
        <v>47.8</v>
      </c>
      <c r="FL1380" s="34" t="n">
        <v>46295</v>
      </c>
      <c r="FM1380" s="15" t="n">
        <v>52.95</v>
      </c>
      <c r="FN1380" s="15" t="n">
        <v>49.43</v>
      </c>
      <c r="FO1380" s="34" t="n">
        <v>46295</v>
      </c>
      <c r="FP1380" s="15" t="n">
        <v>124.1</v>
      </c>
      <c r="FQ1380" s="15" t="n">
        <v>117.33</v>
      </c>
      <c r="FR1380" s="34" t="n">
        <v>46295</v>
      </c>
      <c r="FS1380" s="15" t="n">
        <v>260.6</v>
      </c>
      <c r="FT1380" s="15" t="n">
        <v>341</v>
      </c>
      <c r="FU1380" s="34" t="n">
        <v>46295</v>
      </c>
      <c r="FV1380" s="15" t="n">
        <v>2.8</v>
      </c>
      <c r="FW1380" s="15" t="n">
        <v>5.68</v>
      </c>
      <c r="FX1380" s="34" t="n">
        <v>46295</v>
      </c>
      <c r="FY1380" s="15" t="n">
        <v>25.74</v>
      </c>
      <c r="FZ1380" s="15" t="n">
        <v>32.81</v>
      </c>
      <c r="GA1380" s="34" t="n">
        <v>46295</v>
      </c>
      <c r="GB1380" s="15" t="n">
        <v>1072</v>
      </c>
      <c r="GC1380" s="15" t="n">
        <v>808.4400000000001</v>
      </c>
      <c r="GD1380" s="34" t="n">
        <v>46295</v>
      </c>
      <c r="GE1380" s="15" t="n">
        <v>89</v>
      </c>
      <c r="GF1380" s="15" t="n">
        <v>129.15</v>
      </c>
      <c r="GG1380" s="34" t="n">
        <v>46295</v>
      </c>
    </row>
  </sheetData>
  <mergeCells count="1">
    <mergeCell ref="A1:I1"/>
  </mergeCells>
  <printOptions horizontalCentered="1"/>
  <pageMargins left="0.75" right="0.75" top="1" bottom="1" header="0.5" footer="0.5"/>
  <pageSetup orientation="landscape" paperSize="8" fitToHeight="0" fitToWidth="1"/>
</worksheet>
</file>

<file path=xl/worksheets/sheet17.xml><?xml version="1.0" encoding="utf-8"?>
<worksheet xmlns="http://schemas.openxmlformats.org/spreadsheetml/2006/main">
  <sheetPr>
    <tabColor rgb="00BFBFBF"/>
    <outlinePr summaryBelow="1" summaryRight="1"/>
    <pageSetUpPr fitToPage="1"/>
  </sheetPr>
  <dimension ref="A1:K3004"/>
  <sheetViews>
    <sheetView showGridLines="0" zoomScale="95" workbookViewId="0">
      <pane xSplit="2" ySplit="4" topLeftCell="C5" activePane="bottomRight" state="frozen"/>
      <selection pane="topRight"/>
      <selection pane="bottomLeft"/>
      <selection pane="bottomRight" activeCell="A1" sqref="A1"/>
    </sheetView>
  </sheetViews>
  <sheetFormatPr baseColWidth="8" defaultRowHeight="15"/>
  <cols>
    <col width="15" customWidth="1" min="1" max="1"/>
    <col width="15" customWidth="1" min="2" max="2"/>
    <col width="3" customWidth="1" min="3" max="3"/>
    <col width="15" customWidth="1" min="4" max="4"/>
    <col width="15" customWidth="1" min="5" max="5"/>
    <col width="3" customWidth="1" min="6" max="6"/>
    <col width="15" customWidth="1" min="7" max="7"/>
    <col width="15" customWidth="1" min="8" max="8"/>
  </cols>
  <sheetData>
    <row r="1" ht="30" customHeight="1">
      <c r="A1" s="267" t="inlineStr">
        <is>
          <t>RAW BLOOMBERG DAILY HISTORY; do not paste into the reserved output areas</t>
        </is>
      </c>
    </row>
    <row r="2" ht="30" customHeight="1">
      <c r="A2" s="267" t="inlineStr">
        <is>
          <t>Selected pair. H starts at debut; A and FX start 31 calendar days earlier to seed holiday carry. Refresh after changing pair.</t>
        </is>
      </c>
    </row>
    <row r="3" ht="30" customHeight="1">
      <c r="A3" s="267" t="inlineStr">
        <is>
          <t>Cash and capital adjustments disabled for H/A so these are traded prices, not adjusted total-return history. Await desk verification.</t>
        </is>
      </c>
    </row>
    <row r="4" ht="48" customHeight="1">
      <c r="A4" s="7" t="inlineStr">
        <is>
          <t>Date</t>
        </is>
      </c>
      <c r="B4" s="7" t="inlineStr">
        <is>
          <t>Raw PX_LAST</t>
        </is>
      </c>
      <c r="C4" s="7" t="n"/>
      <c r="D4" s="7" t="inlineStr">
        <is>
          <t>Date</t>
        </is>
      </c>
      <c r="E4" s="7" t="inlineStr">
        <is>
          <t>Raw PX_LAST</t>
        </is>
      </c>
      <c r="F4" s="7" t="n"/>
      <c r="G4" s="7" t="inlineStr">
        <is>
          <t>Date</t>
        </is>
      </c>
      <c r="H4" s="7" t="inlineStr">
        <is>
          <t>Raw PX_LAST</t>
        </is>
      </c>
    </row>
    <row r="5">
      <c r="A5" s="268">
        <f>IF(OR(AH!$M$5="Snapshot",AH!$U$4=0),"",IFERROR(BDH(AH!$E$6,"PX_LAST",AH!$U$8,TODAY(),"CshAdjNormal=N","CshAdjAbnormal=N","CapChg=N"),"run on terminal"))</f>
        <v/>
      </c>
      <c r="D5" s="268">
        <f>IF(OR(AH!$M$5="Snapshot",AH!$U$4=0),"",IFERROR(BDH(AH!$L$6,"PX_LAST",AH!$U$8-31,TODAY(),"CshAdjNormal=N","CshAdjAbnormal=N","CapChg=N"),"run on terminal"))</f>
        <v/>
      </c>
      <c r="G5" s="268">
        <f>IF(OR(AH!$M$5="Snapshot",AH!$U$4=0),"",IFERROR(BDH("CNYHKD Curncy","PX_LAST",AH!$U$8-31,TODAY()),"run on terminal"))</f>
        <v/>
      </c>
    </row>
    <row r="6">
      <c r="A6" s="268" t="n"/>
      <c r="D6" s="268" t="n"/>
      <c r="G6" s="268" t="n"/>
    </row>
    <row r="7">
      <c r="A7" s="268" t="n"/>
      <c r="D7" s="268" t="n"/>
      <c r="G7" s="268" t="n"/>
    </row>
    <row r="8">
      <c r="A8" s="268" t="n"/>
      <c r="D8" s="268" t="n"/>
      <c r="G8" s="268" t="n"/>
    </row>
    <row r="9">
      <c r="A9" s="268" t="n"/>
      <c r="D9" s="268" t="n"/>
      <c r="G9" s="268" t="n"/>
    </row>
    <row r="10">
      <c r="A10" s="268" t="n"/>
      <c r="D10" s="268" t="n"/>
      <c r="G10" s="268" t="n"/>
    </row>
    <row r="11">
      <c r="A11" s="268" t="n"/>
      <c r="D11" s="268" t="n"/>
      <c r="G11" s="268" t="n"/>
    </row>
    <row r="12">
      <c r="A12" s="268" t="n"/>
      <c r="D12" s="268" t="n"/>
      <c r="G12" s="268" t="n"/>
    </row>
    <row r="13">
      <c r="A13" s="268" t="n"/>
      <c r="D13" s="268" t="n"/>
      <c r="G13" s="268" t="n"/>
    </row>
    <row r="14">
      <c r="A14" s="268" t="n"/>
      <c r="D14" s="268" t="n"/>
      <c r="G14" s="268" t="n"/>
    </row>
    <row r="15">
      <c r="A15" s="268" t="n"/>
      <c r="D15" s="268" t="n"/>
      <c r="G15" s="268" t="n"/>
    </row>
    <row r="16">
      <c r="A16" s="268" t="n"/>
      <c r="D16" s="268" t="n"/>
      <c r="G16" s="268" t="n"/>
    </row>
    <row r="17">
      <c r="A17" s="268" t="n"/>
      <c r="D17" s="268" t="n"/>
      <c r="G17" s="268" t="n"/>
    </row>
    <row r="18">
      <c r="A18" s="268" t="n"/>
      <c r="D18" s="268" t="n"/>
      <c r="G18" s="268" t="n"/>
    </row>
    <row r="19">
      <c r="A19" s="268" t="n"/>
      <c r="D19" s="268" t="n"/>
      <c r="G19" s="268" t="n"/>
    </row>
    <row r="20">
      <c r="A20" s="268" t="n"/>
      <c r="D20" s="268" t="n"/>
      <c r="G20" s="268" t="n"/>
    </row>
    <row r="21">
      <c r="A21" s="268" t="n"/>
      <c r="D21" s="268" t="n"/>
      <c r="G21" s="268" t="n"/>
    </row>
    <row r="22">
      <c r="A22" s="268" t="n"/>
      <c r="D22" s="268" t="n"/>
      <c r="G22" s="268" t="n"/>
    </row>
    <row r="23">
      <c r="A23" s="268" t="n"/>
      <c r="D23" s="268" t="n"/>
      <c r="G23" s="268" t="n"/>
    </row>
    <row r="24">
      <c r="A24" s="268" t="n"/>
      <c r="D24" s="268" t="n"/>
      <c r="G24" s="268" t="n"/>
    </row>
    <row r="25">
      <c r="A25" s="268" t="n"/>
      <c r="D25" s="268" t="n"/>
      <c r="G25" s="268" t="n"/>
    </row>
    <row r="26">
      <c r="A26" s="268" t="n"/>
      <c r="D26" s="268" t="n"/>
      <c r="G26" s="268" t="n"/>
    </row>
    <row r="27">
      <c r="A27" s="268" t="n"/>
      <c r="D27" s="268" t="n"/>
      <c r="G27" s="268" t="n"/>
    </row>
    <row r="28">
      <c r="A28" s="268" t="n"/>
      <c r="D28" s="268" t="n"/>
      <c r="G28" s="268" t="n"/>
    </row>
    <row r="29">
      <c r="A29" s="268" t="n"/>
      <c r="D29" s="268" t="n"/>
      <c r="G29" s="268" t="n"/>
    </row>
    <row r="30">
      <c r="A30" s="268" t="n"/>
      <c r="D30" s="268" t="n"/>
      <c r="G30" s="268" t="n"/>
    </row>
    <row r="31">
      <c r="A31" s="268" t="n"/>
      <c r="D31" s="268" t="n"/>
      <c r="G31" s="268" t="n"/>
    </row>
    <row r="32">
      <c r="A32" s="268" t="n"/>
      <c r="D32" s="268" t="n"/>
      <c r="G32" s="268" t="n"/>
    </row>
    <row r="33">
      <c r="A33" s="268" t="n"/>
      <c r="D33" s="268" t="n"/>
      <c r="G33" s="268" t="n"/>
    </row>
    <row r="34">
      <c r="A34" s="268" t="n"/>
      <c r="D34" s="268" t="n"/>
      <c r="G34" s="268" t="n"/>
    </row>
    <row r="35">
      <c r="A35" s="268" t="n"/>
      <c r="D35" s="268" t="n"/>
      <c r="G35" s="268" t="n"/>
    </row>
    <row r="36">
      <c r="A36" s="268" t="n"/>
      <c r="D36" s="268" t="n"/>
      <c r="G36" s="268" t="n"/>
    </row>
    <row r="37">
      <c r="A37" s="268" t="n"/>
      <c r="D37" s="268" t="n"/>
      <c r="G37" s="268" t="n"/>
    </row>
    <row r="38">
      <c r="A38" s="268" t="n"/>
      <c r="D38" s="268" t="n"/>
      <c r="G38" s="268" t="n"/>
    </row>
    <row r="39">
      <c r="A39" s="268" t="n"/>
      <c r="D39" s="268" t="n"/>
      <c r="G39" s="268" t="n"/>
    </row>
    <row r="40">
      <c r="A40" s="268" t="n"/>
      <c r="D40" s="268" t="n"/>
      <c r="G40" s="268" t="n"/>
    </row>
    <row r="41">
      <c r="A41" s="268" t="n"/>
      <c r="D41" s="268" t="n"/>
      <c r="G41" s="268" t="n"/>
    </row>
    <row r="42">
      <c r="A42" s="268" t="n"/>
      <c r="D42" s="268" t="n"/>
      <c r="G42" s="268" t="n"/>
    </row>
    <row r="43">
      <c r="A43" s="268" t="n"/>
      <c r="D43" s="268" t="n"/>
      <c r="G43" s="268" t="n"/>
    </row>
    <row r="44">
      <c r="A44" s="268" t="n"/>
      <c r="D44" s="268" t="n"/>
      <c r="G44" s="268" t="n"/>
    </row>
    <row r="45">
      <c r="A45" s="268" t="n"/>
      <c r="D45" s="268" t="n"/>
      <c r="G45" s="268" t="n"/>
    </row>
    <row r="46">
      <c r="A46" s="268" t="n"/>
      <c r="D46" s="268" t="n"/>
      <c r="G46" s="268" t="n"/>
    </row>
    <row r="47">
      <c r="A47" s="268" t="n"/>
      <c r="D47" s="268" t="n"/>
      <c r="G47" s="268" t="n"/>
    </row>
    <row r="48">
      <c r="A48" s="268" t="n"/>
      <c r="D48" s="268" t="n"/>
      <c r="G48" s="268" t="n"/>
    </row>
    <row r="49">
      <c r="A49" s="268" t="n"/>
      <c r="D49" s="268" t="n"/>
      <c r="G49" s="268" t="n"/>
    </row>
    <row r="50">
      <c r="A50" s="268" t="n"/>
      <c r="D50" s="268" t="n"/>
      <c r="G50" s="268" t="n"/>
    </row>
    <row r="51">
      <c r="A51" s="268" t="n"/>
      <c r="D51" s="268" t="n"/>
      <c r="G51" s="268" t="n"/>
    </row>
    <row r="52">
      <c r="A52" s="268" t="n"/>
      <c r="D52" s="268" t="n"/>
      <c r="G52" s="268" t="n"/>
    </row>
    <row r="53">
      <c r="A53" s="268" t="n"/>
      <c r="D53" s="268" t="n"/>
      <c r="G53" s="268" t="n"/>
    </row>
    <row r="54">
      <c r="A54" s="268" t="n"/>
      <c r="D54" s="268" t="n"/>
      <c r="G54" s="268" t="n"/>
    </row>
    <row r="55">
      <c r="A55" s="268" t="n"/>
      <c r="D55" s="268" t="n"/>
      <c r="G55" s="268" t="n"/>
    </row>
    <row r="56">
      <c r="A56" s="268" t="n"/>
      <c r="D56" s="268" t="n"/>
      <c r="G56" s="268" t="n"/>
    </row>
    <row r="57">
      <c r="A57" s="268" t="n"/>
      <c r="D57" s="268" t="n"/>
      <c r="G57" s="268" t="n"/>
    </row>
    <row r="58">
      <c r="A58" s="268" t="n"/>
      <c r="D58" s="268" t="n"/>
      <c r="G58" s="268" t="n"/>
    </row>
    <row r="59">
      <c r="A59" s="268" t="n"/>
      <c r="D59" s="268" t="n"/>
      <c r="G59" s="268" t="n"/>
    </row>
    <row r="60">
      <c r="A60" s="268" t="n"/>
      <c r="D60" s="268" t="n"/>
      <c r="G60" s="268" t="n"/>
    </row>
    <row r="61">
      <c r="A61" s="268" t="n"/>
      <c r="D61" s="268" t="n"/>
      <c r="G61" s="268" t="n"/>
    </row>
    <row r="62">
      <c r="A62" s="268" t="n"/>
      <c r="D62" s="268" t="n"/>
      <c r="G62" s="268" t="n"/>
    </row>
    <row r="63">
      <c r="A63" s="268" t="n"/>
      <c r="D63" s="268" t="n"/>
      <c r="G63" s="268" t="n"/>
    </row>
    <row r="64">
      <c r="A64" s="268" t="n"/>
      <c r="D64" s="268" t="n"/>
      <c r="G64" s="268" t="n"/>
    </row>
    <row r="65">
      <c r="A65" s="268" t="n"/>
      <c r="D65" s="268" t="n"/>
      <c r="G65" s="268" t="n"/>
    </row>
    <row r="66">
      <c r="A66" s="268" t="n"/>
      <c r="D66" s="268" t="n"/>
      <c r="G66" s="268" t="n"/>
    </row>
    <row r="67">
      <c r="A67" s="268" t="n"/>
      <c r="D67" s="268" t="n"/>
      <c r="G67" s="268" t="n"/>
    </row>
    <row r="68">
      <c r="A68" s="268" t="n"/>
      <c r="D68" s="268" t="n"/>
      <c r="G68" s="268" t="n"/>
    </row>
    <row r="69">
      <c r="A69" s="268" t="n"/>
      <c r="D69" s="268" t="n"/>
      <c r="G69" s="268" t="n"/>
    </row>
    <row r="70">
      <c r="A70" s="268" t="n"/>
      <c r="D70" s="268" t="n"/>
      <c r="G70" s="268" t="n"/>
    </row>
    <row r="71">
      <c r="A71" s="268" t="n"/>
      <c r="D71" s="268" t="n"/>
      <c r="G71" s="268" t="n"/>
    </row>
    <row r="72">
      <c r="A72" s="268" t="n"/>
      <c r="D72" s="268" t="n"/>
      <c r="G72" s="268" t="n"/>
    </row>
    <row r="73">
      <c r="A73" s="268" t="n"/>
      <c r="D73" s="268" t="n"/>
      <c r="G73" s="268" t="n"/>
    </row>
    <row r="74">
      <c r="A74" s="268" t="n"/>
      <c r="D74" s="268" t="n"/>
      <c r="G74" s="268" t="n"/>
    </row>
    <row r="75">
      <c r="A75" s="268" t="n"/>
      <c r="D75" s="268" t="n"/>
      <c r="G75" s="268" t="n"/>
    </row>
    <row r="76">
      <c r="A76" s="268" t="n"/>
      <c r="D76" s="268" t="n"/>
      <c r="G76" s="268" t="n"/>
    </row>
    <row r="77">
      <c r="A77" s="268" t="n"/>
      <c r="D77" s="268" t="n"/>
      <c r="G77" s="268" t="n"/>
    </row>
    <row r="78">
      <c r="A78" s="268" t="n"/>
      <c r="D78" s="268" t="n"/>
      <c r="G78" s="268" t="n"/>
    </row>
    <row r="79">
      <c r="A79" s="268" t="n"/>
      <c r="D79" s="268" t="n"/>
      <c r="G79" s="268" t="n"/>
    </row>
    <row r="80">
      <c r="A80" s="268" t="n"/>
      <c r="D80" s="268" t="n"/>
      <c r="G80" s="268" t="n"/>
    </row>
    <row r="81">
      <c r="A81" s="268" t="n"/>
      <c r="D81" s="268" t="n"/>
      <c r="G81" s="268" t="n"/>
    </row>
    <row r="82">
      <c r="A82" s="268" t="n"/>
      <c r="D82" s="268" t="n"/>
      <c r="G82" s="268" t="n"/>
    </row>
    <row r="83">
      <c r="A83" s="268" t="n"/>
      <c r="D83" s="268" t="n"/>
      <c r="G83" s="268" t="n"/>
    </row>
    <row r="84">
      <c r="A84" s="268" t="n"/>
      <c r="D84" s="268" t="n"/>
      <c r="G84" s="268" t="n"/>
    </row>
    <row r="85">
      <c r="A85" s="268" t="n"/>
      <c r="D85" s="268" t="n"/>
      <c r="G85" s="268" t="n"/>
    </row>
    <row r="86">
      <c r="A86" s="268" t="n"/>
      <c r="D86" s="268" t="n"/>
      <c r="G86" s="268" t="n"/>
    </row>
    <row r="87">
      <c r="A87" s="268" t="n"/>
      <c r="D87" s="268" t="n"/>
      <c r="G87" s="268" t="n"/>
    </row>
    <row r="88">
      <c r="A88" s="268" t="n"/>
      <c r="D88" s="268" t="n"/>
      <c r="G88" s="268" t="n"/>
    </row>
    <row r="89">
      <c r="A89" s="268" t="n"/>
      <c r="D89" s="268" t="n"/>
      <c r="G89" s="268" t="n"/>
    </row>
    <row r="90">
      <c r="A90" s="268" t="n"/>
      <c r="D90" s="268" t="n"/>
      <c r="G90" s="268" t="n"/>
    </row>
    <row r="91">
      <c r="A91" s="268" t="n"/>
      <c r="D91" s="268" t="n"/>
      <c r="G91" s="268" t="n"/>
    </row>
    <row r="92">
      <c r="A92" s="268" t="n"/>
      <c r="D92" s="268" t="n"/>
      <c r="G92" s="268" t="n"/>
    </row>
    <row r="93">
      <c r="A93" s="268" t="n"/>
      <c r="D93" s="268" t="n"/>
      <c r="G93" s="268" t="n"/>
    </row>
    <row r="94">
      <c r="A94" s="268" t="n"/>
      <c r="D94" s="268" t="n"/>
      <c r="G94" s="268" t="n"/>
    </row>
    <row r="95">
      <c r="A95" s="268" t="n"/>
      <c r="D95" s="268" t="n"/>
      <c r="G95" s="268" t="n"/>
    </row>
    <row r="96">
      <c r="A96" s="268" t="n"/>
      <c r="D96" s="268" t="n"/>
      <c r="G96" s="268" t="n"/>
    </row>
    <row r="97">
      <c r="A97" s="268" t="n"/>
      <c r="D97" s="268" t="n"/>
      <c r="G97" s="268" t="n"/>
    </row>
    <row r="98">
      <c r="A98" s="268" t="n"/>
      <c r="D98" s="268" t="n"/>
      <c r="G98" s="268" t="n"/>
    </row>
    <row r="99">
      <c r="A99" s="268" t="n"/>
      <c r="D99" s="268" t="n"/>
      <c r="G99" s="268" t="n"/>
    </row>
    <row r="100">
      <c r="A100" s="268" t="n"/>
      <c r="D100" s="268" t="n"/>
      <c r="G100" s="268" t="n"/>
    </row>
    <row r="101">
      <c r="A101" s="268" t="n"/>
      <c r="D101" s="268" t="n"/>
      <c r="G101" s="268" t="n"/>
    </row>
    <row r="102">
      <c r="A102" s="268" t="n"/>
      <c r="D102" s="268" t="n"/>
      <c r="G102" s="268" t="n"/>
    </row>
    <row r="103">
      <c r="A103" s="268" t="n"/>
      <c r="D103" s="268" t="n"/>
      <c r="G103" s="268" t="n"/>
    </row>
    <row r="104">
      <c r="A104" s="268" t="n"/>
      <c r="D104" s="268" t="n"/>
      <c r="G104" s="268" t="n"/>
    </row>
    <row r="105">
      <c r="A105" s="268" t="n"/>
      <c r="D105" s="268" t="n"/>
      <c r="G105" s="268" t="n"/>
    </row>
    <row r="106">
      <c r="A106" s="268" t="n"/>
      <c r="D106" s="268" t="n"/>
      <c r="G106" s="268" t="n"/>
    </row>
    <row r="107">
      <c r="A107" s="268" t="n"/>
      <c r="D107" s="268" t="n"/>
      <c r="G107" s="268" t="n"/>
    </row>
    <row r="108">
      <c r="A108" s="268" t="n"/>
      <c r="D108" s="268" t="n"/>
      <c r="G108" s="268" t="n"/>
    </row>
    <row r="109">
      <c r="A109" s="268" t="n"/>
      <c r="D109" s="268" t="n"/>
      <c r="G109" s="268" t="n"/>
    </row>
    <row r="110">
      <c r="A110" s="268" t="n"/>
      <c r="D110" s="268" t="n"/>
      <c r="G110" s="268" t="n"/>
    </row>
    <row r="111">
      <c r="A111" s="268" t="n"/>
      <c r="D111" s="268" t="n"/>
      <c r="G111" s="268" t="n"/>
    </row>
    <row r="112">
      <c r="A112" s="268" t="n"/>
      <c r="D112" s="268" t="n"/>
      <c r="G112" s="268" t="n"/>
    </row>
    <row r="113">
      <c r="A113" s="268" t="n"/>
      <c r="D113" s="268" t="n"/>
      <c r="G113" s="268" t="n"/>
    </row>
    <row r="114">
      <c r="A114" s="268" t="n"/>
      <c r="D114" s="268" t="n"/>
      <c r="G114" s="268" t="n"/>
    </row>
    <row r="115">
      <c r="A115" s="268" t="n"/>
      <c r="D115" s="268" t="n"/>
      <c r="G115" s="268" t="n"/>
    </row>
    <row r="116">
      <c r="A116" s="268" t="n"/>
      <c r="D116" s="268" t="n"/>
      <c r="G116" s="268" t="n"/>
    </row>
    <row r="117">
      <c r="A117" s="268" t="n"/>
      <c r="D117" s="268" t="n"/>
      <c r="G117" s="268" t="n"/>
    </row>
    <row r="118">
      <c r="A118" s="268" t="n"/>
      <c r="D118" s="268" t="n"/>
      <c r="G118" s="268" t="n"/>
    </row>
    <row r="119">
      <c r="A119" s="268" t="n"/>
      <c r="D119" s="268" t="n"/>
      <c r="G119" s="268" t="n"/>
    </row>
    <row r="120">
      <c r="A120" s="268" t="n"/>
      <c r="D120" s="268" t="n"/>
      <c r="G120" s="268" t="n"/>
    </row>
    <row r="121">
      <c r="A121" s="268" t="n"/>
      <c r="D121" s="268" t="n"/>
      <c r="G121" s="268" t="n"/>
    </row>
    <row r="122">
      <c r="A122" s="268" t="n"/>
      <c r="D122" s="268" t="n"/>
      <c r="G122" s="268" t="n"/>
    </row>
    <row r="123">
      <c r="A123" s="268" t="n"/>
      <c r="D123" s="268" t="n"/>
      <c r="G123" s="268" t="n"/>
    </row>
    <row r="124">
      <c r="A124" s="268" t="n"/>
      <c r="D124" s="268" t="n"/>
      <c r="G124" s="268" t="n"/>
    </row>
    <row r="125">
      <c r="A125" s="268" t="n"/>
      <c r="D125" s="268" t="n"/>
      <c r="G125" s="268" t="n"/>
    </row>
    <row r="126">
      <c r="A126" s="268" t="n"/>
      <c r="D126" s="268" t="n"/>
      <c r="G126" s="268" t="n"/>
    </row>
    <row r="127">
      <c r="A127" s="268" t="n"/>
      <c r="D127" s="268" t="n"/>
      <c r="G127" s="268" t="n"/>
    </row>
    <row r="128">
      <c r="A128" s="268" t="n"/>
      <c r="D128" s="268" t="n"/>
      <c r="G128" s="268" t="n"/>
    </row>
    <row r="129">
      <c r="A129" s="268" t="n"/>
      <c r="D129" s="268" t="n"/>
      <c r="G129" s="268" t="n"/>
    </row>
    <row r="130">
      <c r="A130" s="268" t="n"/>
      <c r="D130" s="268" t="n"/>
      <c r="G130" s="268" t="n"/>
    </row>
    <row r="131">
      <c r="A131" s="268" t="n"/>
      <c r="D131" s="268" t="n"/>
      <c r="G131" s="268" t="n"/>
    </row>
    <row r="132">
      <c r="A132" s="268" t="n"/>
      <c r="D132" s="268" t="n"/>
      <c r="G132" s="268" t="n"/>
    </row>
    <row r="133">
      <c r="A133" s="268" t="n"/>
      <c r="D133" s="268" t="n"/>
      <c r="G133" s="268" t="n"/>
    </row>
    <row r="134">
      <c r="A134" s="268" t="n"/>
      <c r="D134" s="268" t="n"/>
      <c r="G134" s="268" t="n"/>
    </row>
    <row r="135">
      <c r="A135" s="268" t="n"/>
      <c r="D135" s="268" t="n"/>
      <c r="G135" s="268" t="n"/>
    </row>
    <row r="136">
      <c r="A136" s="268" t="n"/>
      <c r="D136" s="268" t="n"/>
      <c r="G136" s="268" t="n"/>
    </row>
    <row r="137">
      <c r="A137" s="268" t="n"/>
      <c r="D137" s="268" t="n"/>
      <c r="G137" s="268" t="n"/>
    </row>
    <row r="138">
      <c r="A138" s="268" t="n"/>
      <c r="D138" s="268" t="n"/>
      <c r="G138" s="268" t="n"/>
    </row>
    <row r="139">
      <c r="A139" s="268" t="n"/>
      <c r="D139" s="268" t="n"/>
      <c r="G139" s="268" t="n"/>
    </row>
    <row r="140">
      <c r="A140" s="268" t="n"/>
      <c r="D140" s="268" t="n"/>
      <c r="G140" s="268" t="n"/>
    </row>
    <row r="141">
      <c r="A141" s="268" t="n"/>
      <c r="D141" s="268" t="n"/>
      <c r="G141" s="268" t="n"/>
    </row>
    <row r="142">
      <c r="A142" s="268" t="n"/>
      <c r="D142" s="268" t="n"/>
      <c r="G142" s="268" t="n"/>
    </row>
    <row r="143">
      <c r="A143" s="268" t="n"/>
      <c r="D143" s="268" t="n"/>
      <c r="G143" s="268" t="n"/>
    </row>
    <row r="144">
      <c r="A144" s="268" t="n"/>
      <c r="D144" s="268" t="n"/>
      <c r="G144" s="268" t="n"/>
    </row>
    <row r="145">
      <c r="A145" s="268" t="n"/>
      <c r="D145" s="268" t="n"/>
      <c r="G145" s="268" t="n"/>
    </row>
    <row r="146">
      <c r="A146" s="268" t="n"/>
      <c r="D146" s="268" t="n"/>
      <c r="G146" s="268" t="n"/>
    </row>
    <row r="147">
      <c r="A147" s="268" t="n"/>
      <c r="D147" s="268" t="n"/>
      <c r="G147" s="268" t="n"/>
    </row>
    <row r="148">
      <c r="A148" s="268" t="n"/>
      <c r="D148" s="268" t="n"/>
      <c r="G148" s="268" t="n"/>
    </row>
    <row r="149">
      <c r="A149" s="268" t="n"/>
      <c r="D149" s="268" t="n"/>
      <c r="G149" s="268" t="n"/>
    </row>
    <row r="150">
      <c r="A150" s="268" t="n"/>
      <c r="D150" s="268" t="n"/>
      <c r="G150" s="268" t="n"/>
    </row>
    <row r="151">
      <c r="A151" s="268" t="n"/>
      <c r="D151" s="268" t="n"/>
      <c r="G151" s="268" t="n"/>
    </row>
    <row r="152">
      <c r="A152" s="268" t="n"/>
      <c r="D152" s="268" t="n"/>
      <c r="G152" s="268" t="n"/>
    </row>
    <row r="153">
      <c r="A153" s="268" t="n"/>
      <c r="D153" s="268" t="n"/>
      <c r="G153" s="268" t="n"/>
    </row>
    <row r="154">
      <c r="A154" s="268" t="n"/>
      <c r="D154" s="268" t="n"/>
      <c r="G154" s="268" t="n"/>
    </row>
    <row r="155">
      <c r="A155" s="268" t="n"/>
      <c r="D155" s="268" t="n"/>
      <c r="G155" s="268" t="n"/>
    </row>
    <row r="156">
      <c r="A156" s="268" t="n"/>
      <c r="D156" s="268" t="n"/>
      <c r="G156" s="268" t="n"/>
    </row>
    <row r="157">
      <c r="A157" s="268" t="n"/>
      <c r="D157" s="268" t="n"/>
      <c r="G157" s="268" t="n"/>
    </row>
    <row r="158">
      <c r="A158" s="268" t="n"/>
      <c r="D158" s="268" t="n"/>
      <c r="G158" s="268" t="n"/>
    </row>
    <row r="159">
      <c r="A159" s="268" t="n"/>
      <c r="D159" s="268" t="n"/>
      <c r="G159" s="268" t="n"/>
    </row>
    <row r="160">
      <c r="A160" s="268" t="n"/>
      <c r="D160" s="268" t="n"/>
      <c r="G160" s="268" t="n"/>
    </row>
    <row r="161">
      <c r="A161" s="268" t="n"/>
      <c r="D161" s="268" t="n"/>
      <c r="G161" s="268" t="n"/>
    </row>
    <row r="162">
      <c r="A162" s="268" t="n"/>
      <c r="D162" s="268" t="n"/>
      <c r="G162" s="268" t="n"/>
    </row>
    <row r="163">
      <c r="A163" s="268" t="n"/>
      <c r="D163" s="268" t="n"/>
      <c r="G163" s="268" t="n"/>
    </row>
    <row r="164">
      <c r="A164" s="268" t="n"/>
      <c r="D164" s="268" t="n"/>
      <c r="G164" s="268" t="n"/>
    </row>
    <row r="165">
      <c r="A165" s="268" t="n"/>
      <c r="D165" s="268" t="n"/>
      <c r="G165" s="268" t="n"/>
    </row>
    <row r="166">
      <c r="A166" s="268" t="n"/>
      <c r="D166" s="268" t="n"/>
      <c r="G166" s="268" t="n"/>
    </row>
    <row r="167">
      <c r="A167" s="268" t="n"/>
      <c r="D167" s="268" t="n"/>
      <c r="G167" s="268" t="n"/>
    </row>
    <row r="168">
      <c r="A168" s="268" t="n"/>
      <c r="D168" s="268" t="n"/>
      <c r="G168" s="268" t="n"/>
    </row>
    <row r="169">
      <c r="A169" s="268" t="n"/>
      <c r="D169" s="268" t="n"/>
      <c r="G169" s="268" t="n"/>
    </row>
    <row r="170">
      <c r="A170" s="268" t="n"/>
      <c r="D170" s="268" t="n"/>
      <c r="G170" s="268" t="n"/>
    </row>
    <row r="171">
      <c r="A171" s="268" t="n"/>
      <c r="D171" s="268" t="n"/>
      <c r="G171" s="268" t="n"/>
    </row>
    <row r="172">
      <c r="A172" s="268" t="n"/>
      <c r="D172" s="268" t="n"/>
      <c r="G172" s="268" t="n"/>
    </row>
    <row r="173">
      <c r="A173" s="268" t="n"/>
      <c r="D173" s="268" t="n"/>
      <c r="G173" s="268" t="n"/>
    </row>
    <row r="174">
      <c r="A174" s="268" t="n"/>
      <c r="D174" s="268" t="n"/>
      <c r="G174" s="268" t="n"/>
    </row>
    <row r="175">
      <c r="A175" s="268" t="n"/>
      <c r="D175" s="268" t="n"/>
      <c r="G175" s="268" t="n"/>
    </row>
    <row r="176">
      <c r="A176" s="268" t="n"/>
      <c r="D176" s="268" t="n"/>
      <c r="G176" s="268" t="n"/>
    </row>
    <row r="177">
      <c r="A177" s="268" t="n"/>
      <c r="D177" s="268" t="n"/>
      <c r="G177" s="268" t="n"/>
    </row>
    <row r="178">
      <c r="A178" s="268" t="n"/>
      <c r="D178" s="268" t="n"/>
      <c r="G178" s="268" t="n"/>
    </row>
    <row r="179">
      <c r="A179" s="268" t="n"/>
      <c r="D179" s="268" t="n"/>
      <c r="G179" s="268" t="n"/>
    </row>
    <row r="180">
      <c r="A180" s="268" t="n"/>
      <c r="D180" s="268" t="n"/>
      <c r="G180" s="268" t="n"/>
    </row>
    <row r="181">
      <c r="A181" s="268" t="n"/>
      <c r="D181" s="268" t="n"/>
      <c r="G181" s="268" t="n"/>
    </row>
    <row r="182">
      <c r="A182" s="268" t="n"/>
      <c r="D182" s="268" t="n"/>
      <c r="G182" s="268" t="n"/>
    </row>
    <row r="183">
      <c r="A183" s="268" t="n"/>
      <c r="D183" s="268" t="n"/>
      <c r="G183" s="268" t="n"/>
    </row>
    <row r="184">
      <c r="A184" s="268" t="n"/>
      <c r="D184" s="268" t="n"/>
      <c r="G184" s="268" t="n"/>
    </row>
    <row r="185">
      <c r="A185" s="268" t="n"/>
      <c r="D185" s="268" t="n"/>
      <c r="G185" s="268" t="n"/>
    </row>
    <row r="186">
      <c r="A186" s="268" t="n"/>
      <c r="D186" s="268" t="n"/>
      <c r="G186" s="268" t="n"/>
    </row>
    <row r="187">
      <c r="A187" s="268" t="n"/>
      <c r="D187" s="268" t="n"/>
      <c r="G187" s="268" t="n"/>
    </row>
    <row r="188">
      <c r="A188" s="268" t="n"/>
      <c r="D188" s="268" t="n"/>
      <c r="G188" s="268" t="n"/>
    </row>
    <row r="189">
      <c r="A189" s="268" t="n"/>
      <c r="D189" s="268" t="n"/>
      <c r="G189" s="268" t="n"/>
    </row>
    <row r="190">
      <c r="A190" s="268" t="n"/>
      <c r="D190" s="268" t="n"/>
      <c r="G190" s="268" t="n"/>
    </row>
    <row r="191">
      <c r="A191" s="268" t="n"/>
      <c r="D191" s="268" t="n"/>
      <c r="G191" s="268" t="n"/>
    </row>
    <row r="192">
      <c r="A192" s="268" t="n"/>
      <c r="D192" s="268" t="n"/>
      <c r="G192" s="268" t="n"/>
    </row>
    <row r="193">
      <c r="A193" s="268" t="n"/>
      <c r="D193" s="268" t="n"/>
      <c r="G193" s="268" t="n"/>
    </row>
    <row r="194">
      <c r="A194" s="268" t="n"/>
      <c r="D194" s="268" t="n"/>
      <c r="G194" s="268" t="n"/>
    </row>
    <row r="195">
      <c r="A195" s="268" t="n"/>
      <c r="D195" s="268" t="n"/>
      <c r="G195" s="268" t="n"/>
    </row>
    <row r="196">
      <c r="A196" s="268" t="n"/>
      <c r="D196" s="268" t="n"/>
      <c r="G196" s="268" t="n"/>
    </row>
    <row r="197">
      <c r="A197" s="268" t="n"/>
      <c r="D197" s="268" t="n"/>
      <c r="G197" s="268" t="n"/>
    </row>
    <row r="198">
      <c r="A198" s="268" t="n"/>
      <c r="D198" s="268" t="n"/>
      <c r="G198" s="268" t="n"/>
    </row>
    <row r="199">
      <c r="A199" s="268" t="n"/>
      <c r="D199" s="268" t="n"/>
      <c r="G199" s="268" t="n"/>
    </row>
    <row r="200">
      <c r="A200" s="268" t="n"/>
      <c r="D200" s="268" t="n"/>
      <c r="G200" s="268" t="n"/>
    </row>
    <row r="201">
      <c r="A201" s="268" t="n"/>
      <c r="D201" s="268" t="n"/>
      <c r="G201" s="268" t="n"/>
    </row>
    <row r="202">
      <c r="A202" s="268" t="n"/>
      <c r="D202" s="268" t="n"/>
      <c r="G202" s="268" t="n"/>
    </row>
    <row r="203">
      <c r="A203" s="268" t="n"/>
      <c r="D203" s="268" t="n"/>
      <c r="G203" s="268" t="n"/>
    </row>
    <row r="204">
      <c r="A204" s="268" t="n"/>
      <c r="D204" s="268" t="n"/>
      <c r="G204" s="268" t="n"/>
    </row>
    <row r="205">
      <c r="A205" s="268" t="n"/>
      <c r="D205" s="268" t="n"/>
      <c r="G205" s="268" t="n"/>
    </row>
    <row r="206">
      <c r="A206" s="268" t="n"/>
      <c r="D206" s="268" t="n"/>
      <c r="G206" s="268" t="n"/>
    </row>
    <row r="207">
      <c r="A207" s="268" t="n"/>
      <c r="D207" s="268" t="n"/>
      <c r="G207" s="268" t="n"/>
    </row>
    <row r="208">
      <c r="A208" s="268" t="n"/>
      <c r="D208" s="268" t="n"/>
      <c r="G208" s="268" t="n"/>
    </row>
    <row r="209">
      <c r="A209" s="268" t="n"/>
      <c r="D209" s="268" t="n"/>
      <c r="G209" s="268" t="n"/>
    </row>
    <row r="210">
      <c r="A210" s="268" t="n"/>
      <c r="D210" s="268" t="n"/>
      <c r="G210" s="268" t="n"/>
    </row>
    <row r="211">
      <c r="A211" s="268" t="n"/>
      <c r="D211" s="268" t="n"/>
      <c r="G211" s="268" t="n"/>
    </row>
    <row r="212">
      <c r="A212" s="268" t="n"/>
      <c r="D212" s="268" t="n"/>
      <c r="G212" s="268" t="n"/>
    </row>
    <row r="213">
      <c r="A213" s="268" t="n"/>
      <c r="D213" s="268" t="n"/>
      <c r="G213" s="268" t="n"/>
    </row>
    <row r="214">
      <c r="A214" s="268" t="n"/>
      <c r="D214" s="268" t="n"/>
      <c r="G214" s="268" t="n"/>
    </row>
    <row r="215">
      <c r="A215" s="268" t="n"/>
      <c r="D215" s="268" t="n"/>
      <c r="G215" s="268" t="n"/>
    </row>
    <row r="216">
      <c r="A216" s="268" t="n"/>
      <c r="D216" s="268" t="n"/>
      <c r="G216" s="268" t="n"/>
    </row>
    <row r="217">
      <c r="A217" s="268" t="n"/>
      <c r="D217" s="268" t="n"/>
      <c r="G217" s="268" t="n"/>
    </row>
    <row r="218">
      <c r="A218" s="268" t="n"/>
      <c r="D218" s="268" t="n"/>
      <c r="G218" s="268" t="n"/>
    </row>
    <row r="219">
      <c r="A219" s="268" t="n"/>
      <c r="D219" s="268" t="n"/>
      <c r="G219" s="268" t="n"/>
    </row>
    <row r="220">
      <c r="A220" s="268" t="n"/>
      <c r="D220" s="268" t="n"/>
      <c r="G220" s="268" t="n"/>
    </row>
    <row r="221">
      <c r="A221" s="268" t="n"/>
      <c r="D221" s="268" t="n"/>
      <c r="G221" s="268" t="n"/>
    </row>
    <row r="222">
      <c r="A222" s="268" t="n"/>
      <c r="D222" s="268" t="n"/>
      <c r="G222" s="268" t="n"/>
    </row>
    <row r="223">
      <c r="A223" s="268" t="n"/>
      <c r="D223" s="268" t="n"/>
      <c r="G223" s="268" t="n"/>
    </row>
    <row r="224">
      <c r="A224" s="268" t="n"/>
      <c r="D224" s="268" t="n"/>
      <c r="G224" s="268" t="n"/>
    </row>
    <row r="225">
      <c r="A225" s="268" t="n"/>
      <c r="D225" s="268" t="n"/>
      <c r="G225" s="268" t="n"/>
    </row>
    <row r="226">
      <c r="A226" s="268" t="n"/>
      <c r="D226" s="268" t="n"/>
      <c r="G226" s="268" t="n"/>
    </row>
    <row r="227">
      <c r="A227" s="268" t="n"/>
      <c r="D227" s="268" t="n"/>
      <c r="G227" s="268" t="n"/>
    </row>
    <row r="228">
      <c r="A228" s="268" t="n"/>
      <c r="D228" s="268" t="n"/>
      <c r="G228" s="268" t="n"/>
    </row>
    <row r="229">
      <c r="A229" s="268" t="n"/>
      <c r="D229" s="268" t="n"/>
      <c r="G229" s="268" t="n"/>
    </row>
    <row r="230">
      <c r="A230" s="268" t="n"/>
      <c r="D230" s="268" t="n"/>
      <c r="G230" s="268" t="n"/>
    </row>
    <row r="231">
      <c r="A231" s="268" t="n"/>
      <c r="D231" s="268" t="n"/>
      <c r="G231" s="268" t="n"/>
    </row>
    <row r="232">
      <c r="A232" s="268" t="n"/>
      <c r="D232" s="268" t="n"/>
      <c r="G232" s="268" t="n"/>
    </row>
    <row r="233">
      <c r="A233" s="268" t="n"/>
      <c r="D233" s="268" t="n"/>
      <c r="G233" s="268" t="n"/>
    </row>
    <row r="234">
      <c r="A234" s="268" t="n"/>
      <c r="D234" s="268" t="n"/>
      <c r="G234" s="268" t="n"/>
    </row>
    <row r="235">
      <c r="A235" s="268" t="n"/>
      <c r="D235" s="268" t="n"/>
      <c r="G235" s="268" t="n"/>
    </row>
    <row r="236">
      <c r="A236" s="268" t="n"/>
      <c r="D236" s="268" t="n"/>
      <c r="G236" s="268" t="n"/>
    </row>
    <row r="237">
      <c r="A237" s="268" t="n"/>
      <c r="D237" s="268" t="n"/>
      <c r="G237" s="268" t="n"/>
    </row>
    <row r="238">
      <c r="A238" s="268" t="n"/>
      <c r="D238" s="268" t="n"/>
      <c r="G238" s="268" t="n"/>
    </row>
    <row r="239">
      <c r="A239" s="268" t="n"/>
      <c r="D239" s="268" t="n"/>
      <c r="G239" s="268" t="n"/>
    </row>
    <row r="240">
      <c r="A240" s="268" t="n"/>
      <c r="D240" s="268" t="n"/>
      <c r="G240" s="268" t="n"/>
    </row>
    <row r="241">
      <c r="A241" s="268" t="n"/>
      <c r="D241" s="268" t="n"/>
      <c r="G241" s="268" t="n"/>
    </row>
    <row r="242">
      <c r="A242" s="268" t="n"/>
      <c r="D242" s="268" t="n"/>
      <c r="G242" s="268" t="n"/>
    </row>
    <row r="243">
      <c r="A243" s="268" t="n"/>
      <c r="D243" s="268" t="n"/>
      <c r="G243" s="268" t="n"/>
    </row>
    <row r="244">
      <c r="A244" s="268" t="n"/>
      <c r="D244" s="268" t="n"/>
      <c r="G244" s="268" t="n"/>
    </row>
    <row r="245">
      <c r="A245" s="268" t="n"/>
      <c r="D245" s="268" t="n"/>
      <c r="G245" s="268" t="n"/>
    </row>
    <row r="246">
      <c r="A246" s="268" t="n"/>
      <c r="D246" s="268" t="n"/>
      <c r="G246" s="268" t="n"/>
    </row>
    <row r="247">
      <c r="A247" s="268" t="n"/>
      <c r="D247" s="268" t="n"/>
      <c r="G247" s="268" t="n"/>
    </row>
    <row r="248">
      <c r="A248" s="268" t="n"/>
      <c r="D248" s="268" t="n"/>
      <c r="G248" s="268" t="n"/>
    </row>
    <row r="249">
      <c r="A249" s="268" t="n"/>
      <c r="D249" s="268" t="n"/>
      <c r="G249" s="268" t="n"/>
    </row>
    <row r="250">
      <c r="A250" s="268" t="n"/>
      <c r="D250" s="268" t="n"/>
      <c r="G250" s="268" t="n"/>
    </row>
    <row r="251">
      <c r="A251" s="268" t="n"/>
      <c r="D251" s="268" t="n"/>
      <c r="G251" s="268" t="n"/>
    </row>
    <row r="252">
      <c r="A252" s="268" t="n"/>
      <c r="D252" s="268" t="n"/>
      <c r="G252" s="268" t="n"/>
    </row>
    <row r="253">
      <c r="A253" s="268" t="n"/>
      <c r="D253" s="268" t="n"/>
      <c r="G253" s="268" t="n"/>
    </row>
    <row r="254">
      <c r="A254" s="268" t="n"/>
      <c r="D254" s="268" t="n"/>
      <c r="G254" s="268" t="n"/>
    </row>
    <row r="255">
      <c r="A255" s="268" t="n"/>
      <c r="D255" s="268" t="n"/>
      <c r="G255" s="268" t="n"/>
    </row>
    <row r="256">
      <c r="A256" s="268" t="n"/>
      <c r="D256" s="268" t="n"/>
      <c r="G256" s="268" t="n"/>
    </row>
    <row r="257">
      <c r="A257" s="268" t="n"/>
      <c r="D257" s="268" t="n"/>
      <c r="G257" s="268" t="n"/>
    </row>
    <row r="258">
      <c r="A258" s="268" t="n"/>
      <c r="D258" s="268" t="n"/>
      <c r="G258" s="268" t="n"/>
    </row>
    <row r="259">
      <c r="A259" s="268" t="n"/>
      <c r="D259" s="268" t="n"/>
      <c r="G259" s="268" t="n"/>
    </row>
    <row r="260">
      <c r="A260" s="268" t="n"/>
      <c r="D260" s="268" t="n"/>
      <c r="G260" s="268" t="n"/>
    </row>
    <row r="261">
      <c r="A261" s="268" t="n"/>
      <c r="D261" s="268" t="n"/>
      <c r="G261" s="268" t="n"/>
    </row>
    <row r="262">
      <c r="A262" s="268" t="n"/>
      <c r="D262" s="268" t="n"/>
      <c r="G262" s="268" t="n"/>
    </row>
    <row r="263">
      <c r="A263" s="268" t="n"/>
      <c r="D263" s="268" t="n"/>
      <c r="G263" s="268" t="n"/>
    </row>
    <row r="264">
      <c r="A264" s="268" t="n"/>
      <c r="D264" s="268" t="n"/>
      <c r="G264" s="268" t="n"/>
    </row>
    <row r="265">
      <c r="A265" s="268" t="n"/>
      <c r="D265" s="268" t="n"/>
      <c r="G265" s="268" t="n"/>
    </row>
    <row r="266">
      <c r="A266" s="268" t="n"/>
      <c r="D266" s="268" t="n"/>
      <c r="G266" s="268" t="n"/>
    </row>
    <row r="267">
      <c r="A267" s="268" t="n"/>
      <c r="D267" s="268" t="n"/>
      <c r="G267" s="268" t="n"/>
    </row>
    <row r="268">
      <c r="A268" s="268" t="n"/>
      <c r="D268" s="268" t="n"/>
      <c r="G268" s="268" t="n"/>
    </row>
    <row r="269">
      <c r="A269" s="268" t="n"/>
      <c r="D269" s="268" t="n"/>
      <c r="G269" s="268" t="n"/>
    </row>
    <row r="270">
      <c r="A270" s="268" t="n"/>
      <c r="D270" s="268" t="n"/>
      <c r="G270" s="268" t="n"/>
    </row>
    <row r="271">
      <c r="A271" s="268" t="n"/>
      <c r="D271" s="268" t="n"/>
      <c r="G271" s="268" t="n"/>
    </row>
    <row r="272">
      <c r="A272" s="268" t="n"/>
      <c r="D272" s="268" t="n"/>
      <c r="G272" s="268" t="n"/>
    </row>
    <row r="273">
      <c r="A273" s="268" t="n"/>
      <c r="D273" s="268" t="n"/>
      <c r="G273" s="268" t="n"/>
    </row>
    <row r="274">
      <c r="A274" s="268" t="n"/>
      <c r="D274" s="268" t="n"/>
      <c r="G274" s="268" t="n"/>
    </row>
    <row r="275">
      <c r="A275" s="268" t="n"/>
      <c r="D275" s="268" t="n"/>
      <c r="G275" s="268" t="n"/>
    </row>
    <row r="276">
      <c r="A276" s="268" t="n"/>
      <c r="D276" s="268" t="n"/>
      <c r="G276" s="268" t="n"/>
    </row>
    <row r="277">
      <c r="A277" s="268" t="n"/>
      <c r="D277" s="268" t="n"/>
      <c r="G277" s="268" t="n"/>
    </row>
    <row r="278">
      <c r="A278" s="268" t="n"/>
      <c r="D278" s="268" t="n"/>
      <c r="G278" s="268" t="n"/>
    </row>
    <row r="279">
      <c r="A279" s="268" t="n"/>
      <c r="D279" s="268" t="n"/>
      <c r="G279" s="268" t="n"/>
    </row>
    <row r="280">
      <c r="A280" s="268" t="n"/>
      <c r="D280" s="268" t="n"/>
      <c r="G280" s="268" t="n"/>
    </row>
    <row r="281">
      <c r="A281" s="268" t="n"/>
      <c r="D281" s="268" t="n"/>
      <c r="G281" s="268" t="n"/>
    </row>
    <row r="282">
      <c r="A282" s="268" t="n"/>
      <c r="D282" s="268" t="n"/>
      <c r="G282" s="268" t="n"/>
    </row>
    <row r="283">
      <c r="A283" s="268" t="n"/>
      <c r="D283" s="268" t="n"/>
      <c r="G283" s="268" t="n"/>
    </row>
    <row r="284">
      <c r="A284" s="268" t="n"/>
      <c r="D284" s="268" t="n"/>
      <c r="G284" s="268" t="n"/>
    </row>
    <row r="285">
      <c r="A285" s="268" t="n"/>
      <c r="D285" s="268" t="n"/>
      <c r="G285" s="268" t="n"/>
    </row>
    <row r="286">
      <c r="A286" s="268" t="n"/>
      <c r="D286" s="268" t="n"/>
      <c r="G286" s="268" t="n"/>
    </row>
    <row r="287">
      <c r="A287" s="268" t="n"/>
      <c r="D287" s="268" t="n"/>
      <c r="G287" s="268" t="n"/>
    </row>
    <row r="288">
      <c r="A288" s="268" t="n"/>
      <c r="D288" s="268" t="n"/>
      <c r="G288" s="268" t="n"/>
    </row>
    <row r="289">
      <c r="A289" s="268" t="n"/>
      <c r="D289" s="268" t="n"/>
      <c r="G289" s="268" t="n"/>
    </row>
    <row r="290">
      <c r="A290" s="268" t="n"/>
      <c r="D290" s="268" t="n"/>
      <c r="G290" s="268" t="n"/>
    </row>
    <row r="291">
      <c r="A291" s="268" t="n"/>
      <c r="D291" s="268" t="n"/>
      <c r="G291" s="268" t="n"/>
    </row>
    <row r="292">
      <c r="A292" s="268" t="n"/>
      <c r="D292" s="268" t="n"/>
      <c r="G292" s="268" t="n"/>
    </row>
    <row r="293">
      <c r="A293" s="268" t="n"/>
      <c r="D293" s="268" t="n"/>
      <c r="G293" s="268" t="n"/>
    </row>
    <row r="294">
      <c r="A294" s="268" t="n"/>
      <c r="D294" s="268" t="n"/>
      <c r="G294" s="268" t="n"/>
    </row>
    <row r="295">
      <c r="A295" s="268" t="n"/>
      <c r="D295" s="268" t="n"/>
      <c r="G295" s="268" t="n"/>
    </row>
    <row r="296">
      <c r="A296" s="268" t="n"/>
      <c r="D296" s="268" t="n"/>
      <c r="G296" s="268" t="n"/>
    </row>
    <row r="297">
      <c r="A297" s="268" t="n"/>
      <c r="D297" s="268" t="n"/>
      <c r="G297" s="268" t="n"/>
    </row>
    <row r="298">
      <c r="A298" s="268" t="n"/>
      <c r="D298" s="268" t="n"/>
      <c r="G298" s="268" t="n"/>
    </row>
    <row r="299">
      <c r="A299" s="268" t="n"/>
      <c r="D299" s="268" t="n"/>
      <c r="G299" s="268" t="n"/>
    </row>
    <row r="300">
      <c r="A300" s="268" t="n"/>
      <c r="D300" s="268" t="n"/>
      <c r="G300" s="268" t="n"/>
    </row>
    <row r="301">
      <c r="A301" s="268" t="n"/>
      <c r="D301" s="268" t="n"/>
      <c r="G301" s="268" t="n"/>
    </row>
    <row r="302">
      <c r="A302" s="268" t="n"/>
      <c r="D302" s="268" t="n"/>
      <c r="G302" s="268" t="n"/>
    </row>
    <row r="303">
      <c r="A303" s="268" t="n"/>
      <c r="D303" s="268" t="n"/>
      <c r="G303" s="268" t="n"/>
    </row>
    <row r="304">
      <c r="A304" s="268" t="n"/>
      <c r="D304" s="268" t="n"/>
      <c r="G304" s="268" t="n"/>
    </row>
    <row r="305">
      <c r="A305" s="268" t="n"/>
      <c r="D305" s="268" t="n"/>
      <c r="G305" s="268" t="n"/>
    </row>
    <row r="306">
      <c r="A306" s="268" t="n"/>
      <c r="D306" s="268" t="n"/>
      <c r="G306" s="268" t="n"/>
    </row>
    <row r="307">
      <c r="A307" s="268" t="n"/>
      <c r="D307" s="268" t="n"/>
      <c r="G307" s="268" t="n"/>
    </row>
    <row r="308">
      <c r="A308" s="268" t="n"/>
      <c r="D308" s="268" t="n"/>
      <c r="G308" s="268" t="n"/>
    </row>
    <row r="309">
      <c r="A309" s="268" t="n"/>
      <c r="D309" s="268" t="n"/>
      <c r="G309" s="268" t="n"/>
    </row>
    <row r="310">
      <c r="A310" s="268" t="n"/>
      <c r="D310" s="268" t="n"/>
      <c r="G310" s="268" t="n"/>
    </row>
    <row r="311">
      <c r="A311" s="268" t="n"/>
      <c r="D311" s="268" t="n"/>
      <c r="G311" s="268" t="n"/>
    </row>
    <row r="312">
      <c r="A312" s="268" t="n"/>
      <c r="D312" s="268" t="n"/>
      <c r="G312" s="268" t="n"/>
    </row>
    <row r="313">
      <c r="A313" s="268" t="n"/>
      <c r="D313" s="268" t="n"/>
      <c r="G313" s="268" t="n"/>
    </row>
    <row r="314">
      <c r="A314" s="268" t="n"/>
      <c r="D314" s="268" t="n"/>
      <c r="G314" s="268" t="n"/>
    </row>
    <row r="315">
      <c r="A315" s="268" t="n"/>
      <c r="D315" s="268" t="n"/>
      <c r="G315" s="268" t="n"/>
    </row>
    <row r="316">
      <c r="A316" s="268" t="n"/>
      <c r="D316" s="268" t="n"/>
      <c r="G316" s="268" t="n"/>
    </row>
    <row r="317">
      <c r="A317" s="268" t="n"/>
      <c r="D317" s="268" t="n"/>
      <c r="G317" s="268" t="n"/>
    </row>
    <row r="318">
      <c r="A318" s="268" t="n"/>
      <c r="D318" s="268" t="n"/>
      <c r="G318" s="268" t="n"/>
    </row>
    <row r="319">
      <c r="A319" s="268" t="n"/>
      <c r="D319" s="268" t="n"/>
      <c r="G319" s="268" t="n"/>
    </row>
    <row r="320">
      <c r="A320" s="268" t="n"/>
      <c r="D320" s="268" t="n"/>
      <c r="G320" s="268" t="n"/>
    </row>
    <row r="321">
      <c r="A321" s="268" t="n"/>
      <c r="D321" s="268" t="n"/>
      <c r="G321" s="268" t="n"/>
    </row>
    <row r="322">
      <c r="A322" s="268" t="n"/>
      <c r="D322" s="268" t="n"/>
      <c r="G322" s="268" t="n"/>
    </row>
    <row r="323">
      <c r="A323" s="268" t="n"/>
      <c r="D323" s="268" t="n"/>
      <c r="G323" s="268" t="n"/>
    </row>
    <row r="324">
      <c r="A324" s="268" t="n"/>
      <c r="D324" s="268" t="n"/>
      <c r="G324" s="268" t="n"/>
    </row>
    <row r="325">
      <c r="A325" s="268" t="n"/>
      <c r="D325" s="268" t="n"/>
      <c r="G325" s="268" t="n"/>
    </row>
    <row r="326">
      <c r="A326" s="268" t="n"/>
      <c r="D326" s="268" t="n"/>
      <c r="G326" s="268" t="n"/>
    </row>
    <row r="327">
      <c r="A327" s="268" t="n"/>
      <c r="D327" s="268" t="n"/>
      <c r="G327" s="268" t="n"/>
    </row>
    <row r="328">
      <c r="A328" s="268" t="n"/>
      <c r="D328" s="268" t="n"/>
      <c r="G328" s="268" t="n"/>
    </row>
    <row r="329">
      <c r="A329" s="268" t="n"/>
      <c r="D329" s="268" t="n"/>
      <c r="G329" s="268" t="n"/>
    </row>
    <row r="330">
      <c r="A330" s="268" t="n"/>
      <c r="D330" s="268" t="n"/>
      <c r="G330" s="268" t="n"/>
    </row>
    <row r="331">
      <c r="A331" s="268" t="n"/>
      <c r="D331" s="268" t="n"/>
      <c r="G331" s="268" t="n"/>
    </row>
    <row r="332">
      <c r="A332" s="268" t="n"/>
      <c r="D332" s="268" t="n"/>
      <c r="G332" s="268" t="n"/>
    </row>
    <row r="333">
      <c r="A333" s="268" t="n"/>
      <c r="D333" s="268" t="n"/>
      <c r="G333" s="268" t="n"/>
    </row>
    <row r="334">
      <c r="A334" s="268" t="n"/>
      <c r="D334" s="268" t="n"/>
      <c r="G334" s="268" t="n"/>
    </row>
    <row r="335">
      <c r="A335" s="268" t="n"/>
      <c r="D335" s="268" t="n"/>
      <c r="G335" s="268" t="n"/>
    </row>
    <row r="336">
      <c r="A336" s="268" t="n"/>
      <c r="D336" s="268" t="n"/>
      <c r="G336" s="268" t="n"/>
    </row>
    <row r="337">
      <c r="A337" s="268" t="n"/>
      <c r="D337" s="268" t="n"/>
      <c r="G337" s="268" t="n"/>
    </row>
    <row r="338">
      <c r="A338" s="268" t="n"/>
      <c r="D338" s="268" t="n"/>
      <c r="G338" s="268" t="n"/>
    </row>
    <row r="339">
      <c r="A339" s="268" t="n"/>
      <c r="D339" s="268" t="n"/>
      <c r="G339" s="268" t="n"/>
    </row>
    <row r="340">
      <c r="A340" s="268" t="n"/>
      <c r="D340" s="268" t="n"/>
      <c r="G340" s="268" t="n"/>
    </row>
    <row r="341">
      <c r="A341" s="268" t="n"/>
      <c r="D341" s="268" t="n"/>
      <c r="G341" s="268" t="n"/>
    </row>
    <row r="342">
      <c r="A342" s="268" t="n"/>
      <c r="D342" s="268" t="n"/>
      <c r="G342" s="268" t="n"/>
    </row>
    <row r="343">
      <c r="A343" s="268" t="n"/>
      <c r="D343" s="268" t="n"/>
      <c r="G343" s="268" t="n"/>
    </row>
    <row r="344">
      <c r="A344" s="268" t="n"/>
      <c r="D344" s="268" t="n"/>
      <c r="G344" s="268" t="n"/>
    </row>
    <row r="345">
      <c r="A345" s="268" t="n"/>
      <c r="D345" s="268" t="n"/>
      <c r="G345" s="268" t="n"/>
    </row>
    <row r="346">
      <c r="A346" s="268" t="n"/>
      <c r="D346" s="268" t="n"/>
      <c r="G346" s="268" t="n"/>
    </row>
    <row r="347">
      <c r="A347" s="268" t="n"/>
      <c r="D347" s="268" t="n"/>
      <c r="G347" s="268" t="n"/>
    </row>
    <row r="348">
      <c r="A348" s="268" t="n"/>
      <c r="D348" s="268" t="n"/>
      <c r="G348" s="268" t="n"/>
    </row>
    <row r="349">
      <c r="A349" s="268" t="n"/>
      <c r="D349" s="268" t="n"/>
      <c r="G349" s="268" t="n"/>
    </row>
    <row r="350">
      <c r="A350" s="268" t="n"/>
      <c r="D350" s="268" t="n"/>
      <c r="G350" s="268" t="n"/>
    </row>
    <row r="351">
      <c r="A351" s="268" t="n"/>
      <c r="D351" s="268" t="n"/>
      <c r="G351" s="268" t="n"/>
    </row>
    <row r="352">
      <c r="A352" s="268" t="n"/>
      <c r="D352" s="268" t="n"/>
      <c r="G352" s="268" t="n"/>
    </row>
    <row r="353">
      <c r="A353" s="268" t="n"/>
      <c r="D353" s="268" t="n"/>
      <c r="G353" s="268" t="n"/>
    </row>
    <row r="354">
      <c r="A354" s="268" t="n"/>
      <c r="D354" s="268" t="n"/>
      <c r="G354" s="268" t="n"/>
    </row>
    <row r="355">
      <c r="A355" s="268" t="n"/>
      <c r="D355" s="268" t="n"/>
      <c r="G355" s="268" t="n"/>
    </row>
    <row r="356">
      <c r="A356" s="268" t="n"/>
      <c r="D356" s="268" t="n"/>
      <c r="G356" s="268" t="n"/>
    </row>
    <row r="357">
      <c r="A357" s="268" t="n"/>
      <c r="D357" s="268" t="n"/>
      <c r="G357" s="268" t="n"/>
    </row>
    <row r="358">
      <c r="A358" s="268" t="n"/>
      <c r="D358" s="268" t="n"/>
      <c r="G358" s="268" t="n"/>
    </row>
    <row r="359">
      <c r="A359" s="268" t="n"/>
      <c r="D359" s="268" t="n"/>
      <c r="G359" s="268" t="n"/>
    </row>
    <row r="360">
      <c r="A360" s="268" t="n"/>
      <c r="D360" s="268" t="n"/>
      <c r="G360" s="268" t="n"/>
    </row>
    <row r="361">
      <c r="A361" s="268" t="n"/>
      <c r="D361" s="268" t="n"/>
      <c r="G361" s="268" t="n"/>
    </row>
    <row r="362">
      <c r="A362" s="268" t="n"/>
      <c r="D362" s="268" t="n"/>
      <c r="G362" s="268" t="n"/>
    </row>
    <row r="363">
      <c r="A363" s="268" t="n"/>
      <c r="D363" s="268" t="n"/>
      <c r="G363" s="268" t="n"/>
    </row>
    <row r="364">
      <c r="A364" s="268" t="n"/>
      <c r="D364" s="268" t="n"/>
      <c r="G364" s="268" t="n"/>
    </row>
    <row r="365">
      <c r="A365" s="268" t="n"/>
      <c r="D365" s="268" t="n"/>
      <c r="G365" s="268" t="n"/>
    </row>
    <row r="366">
      <c r="A366" s="268" t="n"/>
      <c r="D366" s="268" t="n"/>
      <c r="G366" s="268" t="n"/>
    </row>
    <row r="367">
      <c r="A367" s="268" t="n"/>
      <c r="D367" s="268" t="n"/>
      <c r="G367" s="268" t="n"/>
    </row>
    <row r="368">
      <c r="A368" s="268" t="n"/>
      <c r="D368" s="268" t="n"/>
      <c r="G368" s="268" t="n"/>
    </row>
    <row r="369">
      <c r="A369" s="268" t="n"/>
      <c r="D369" s="268" t="n"/>
      <c r="G369" s="268" t="n"/>
    </row>
    <row r="370">
      <c r="A370" s="268" t="n"/>
      <c r="D370" s="268" t="n"/>
      <c r="G370" s="268" t="n"/>
    </row>
    <row r="371">
      <c r="A371" s="268" t="n"/>
      <c r="D371" s="268" t="n"/>
      <c r="G371" s="268" t="n"/>
    </row>
    <row r="372">
      <c r="A372" s="268" t="n"/>
      <c r="D372" s="268" t="n"/>
      <c r="G372" s="268" t="n"/>
    </row>
    <row r="373">
      <c r="A373" s="268" t="n"/>
      <c r="D373" s="268" t="n"/>
      <c r="G373" s="268" t="n"/>
    </row>
    <row r="374">
      <c r="A374" s="268" t="n"/>
      <c r="D374" s="268" t="n"/>
      <c r="G374" s="268" t="n"/>
    </row>
    <row r="375">
      <c r="A375" s="268" t="n"/>
      <c r="D375" s="268" t="n"/>
      <c r="G375" s="268" t="n"/>
    </row>
    <row r="376">
      <c r="A376" s="268" t="n"/>
      <c r="D376" s="268" t="n"/>
      <c r="G376" s="268" t="n"/>
    </row>
    <row r="377">
      <c r="A377" s="268" t="n"/>
      <c r="D377" s="268" t="n"/>
      <c r="G377" s="268" t="n"/>
    </row>
    <row r="378">
      <c r="A378" s="268" t="n"/>
      <c r="D378" s="268" t="n"/>
      <c r="G378" s="268" t="n"/>
    </row>
    <row r="379">
      <c r="A379" s="268" t="n"/>
      <c r="D379" s="268" t="n"/>
      <c r="G379" s="268" t="n"/>
    </row>
    <row r="380">
      <c r="A380" s="268" t="n"/>
      <c r="D380" s="268" t="n"/>
      <c r="G380" s="268" t="n"/>
    </row>
    <row r="381">
      <c r="A381" s="268" t="n"/>
      <c r="D381" s="268" t="n"/>
      <c r="G381" s="268" t="n"/>
    </row>
    <row r="382">
      <c r="A382" s="268" t="n"/>
      <c r="D382" s="268" t="n"/>
      <c r="G382" s="268" t="n"/>
    </row>
    <row r="383">
      <c r="A383" s="268" t="n"/>
      <c r="D383" s="268" t="n"/>
      <c r="G383" s="268" t="n"/>
    </row>
    <row r="384">
      <c r="A384" s="268" t="n"/>
      <c r="D384" s="268" t="n"/>
      <c r="G384" s="268" t="n"/>
    </row>
    <row r="385">
      <c r="A385" s="268" t="n"/>
      <c r="D385" s="268" t="n"/>
      <c r="G385" s="268" t="n"/>
    </row>
    <row r="386">
      <c r="A386" s="268" t="n"/>
      <c r="D386" s="268" t="n"/>
      <c r="G386" s="268" t="n"/>
    </row>
    <row r="387">
      <c r="A387" s="268" t="n"/>
      <c r="D387" s="268" t="n"/>
      <c r="G387" s="268" t="n"/>
    </row>
    <row r="388">
      <c r="A388" s="268" t="n"/>
      <c r="D388" s="268" t="n"/>
      <c r="G388" s="268" t="n"/>
    </row>
    <row r="389">
      <c r="A389" s="268" t="n"/>
      <c r="D389" s="268" t="n"/>
      <c r="G389" s="268" t="n"/>
    </row>
    <row r="390">
      <c r="A390" s="268" t="n"/>
      <c r="D390" s="268" t="n"/>
      <c r="G390" s="268" t="n"/>
    </row>
    <row r="391">
      <c r="A391" s="268" t="n"/>
      <c r="D391" s="268" t="n"/>
      <c r="G391" s="268" t="n"/>
    </row>
    <row r="392">
      <c r="A392" s="268" t="n"/>
      <c r="D392" s="268" t="n"/>
      <c r="G392" s="268" t="n"/>
    </row>
    <row r="393">
      <c r="A393" s="268" t="n"/>
      <c r="D393" s="268" t="n"/>
      <c r="G393" s="268" t="n"/>
    </row>
    <row r="394">
      <c r="A394" s="268" t="n"/>
      <c r="D394" s="268" t="n"/>
      <c r="G394" s="268" t="n"/>
    </row>
    <row r="395">
      <c r="A395" s="268" t="n"/>
      <c r="D395" s="268" t="n"/>
      <c r="G395" s="268" t="n"/>
    </row>
    <row r="396">
      <c r="A396" s="268" t="n"/>
      <c r="D396" s="268" t="n"/>
      <c r="G396" s="268" t="n"/>
    </row>
    <row r="397">
      <c r="A397" s="268" t="n"/>
      <c r="D397" s="268" t="n"/>
      <c r="G397" s="268" t="n"/>
    </row>
    <row r="398">
      <c r="A398" s="268" t="n"/>
      <c r="D398" s="268" t="n"/>
      <c r="G398" s="268" t="n"/>
    </row>
    <row r="399">
      <c r="A399" s="268" t="n"/>
      <c r="D399" s="268" t="n"/>
      <c r="G399" s="268" t="n"/>
    </row>
    <row r="400">
      <c r="A400" s="268" t="n"/>
      <c r="D400" s="268" t="n"/>
      <c r="G400" s="268" t="n"/>
    </row>
    <row r="401">
      <c r="A401" s="268" t="n"/>
      <c r="D401" s="268" t="n"/>
      <c r="G401" s="268" t="n"/>
    </row>
    <row r="402">
      <c r="A402" s="268" t="n"/>
      <c r="D402" s="268" t="n"/>
      <c r="G402" s="268" t="n"/>
    </row>
    <row r="403">
      <c r="A403" s="268" t="n"/>
      <c r="D403" s="268" t="n"/>
      <c r="G403" s="268" t="n"/>
    </row>
    <row r="404">
      <c r="A404" s="268" t="n"/>
      <c r="D404" s="268" t="n"/>
      <c r="G404" s="268" t="n"/>
    </row>
    <row r="405">
      <c r="A405" s="268" t="n"/>
      <c r="D405" s="268" t="n"/>
      <c r="G405" s="268" t="n"/>
    </row>
    <row r="406">
      <c r="A406" s="268" t="n"/>
      <c r="D406" s="268" t="n"/>
      <c r="G406" s="268" t="n"/>
    </row>
    <row r="407">
      <c r="A407" s="268" t="n"/>
      <c r="D407" s="268" t="n"/>
      <c r="G407" s="268" t="n"/>
    </row>
    <row r="408">
      <c r="A408" s="268" t="n"/>
      <c r="D408" s="268" t="n"/>
      <c r="G408" s="268" t="n"/>
    </row>
    <row r="409">
      <c r="A409" s="268" t="n"/>
      <c r="D409" s="268" t="n"/>
      <c r="G409" s="268" t="n"/>
    </row>
    <row r="410">
      <c r="A410" s="268" t="n"/>
      <c r="D410" s="268" t="n"/>
      <c r="G410" s="268" t="n"/>
    </row>
    <row r="411">
      <c r="A411" s="268" t="n"/>
      <c r="D411" s="268" t="n"/>
      <c r="G411" s="268" t="n"/>
    </row>
    <row r="412">
      <c r="A412" s="268" t="n"/>
      <c r="D412" s="268" t="n"/>
      <c r="G412" s="268" t="n"/>
    </row>
    <row r="413">
      <c r="A413" s="268" t="n"/>
      <c r="D413" s="268" t="n"/>
      <c r="G413" s="268" t="n"/>
    </row>
    <row r="414">
      <c r="A414" s="268" t="n"/>
      <c r="D414" s="268" t="n"/>
      <c r="G414" s="268" t="n"/>
    </row>
    <row r="415">
      <c r="A415" s="268" t="n"/>
      <c r="D415" s="268" t="n"/>
      <c r="G415" s="268" t="n"/>
    </row>
    <row r="416">
      <c r="A416" s="268" t="n"/>
      <c r="D416" s="268" t="n"/>
      <c r="G416" s="268" t="n"/>
    </row>
    <row r="417">
      <c r="A417" s="268" t="n"/>
      <c r="D417" s="268" t="n"/>
      <c r="G417" s="268" t="n"/>
    </row>
    <row r="418">
      <c r="A418" s="268" t="n"/>
      <c r="D418" s="268" t="n"/>
      <c r="G418" s="268" t="n"/>
    </row>
    <row r="419">
      <c r="A419" s="268" t="n"/>
      <c r="D419" s="268" t="n"/>
      <c r="G419" s="268" t="n"/>
    </row>
    <row r="420">
      <c r="A420" s="268" t="n"/>
      <c r="D420" s="268" t="n"/>
      <c r="G420" s="268" t="n"/>
    </row>
    <row r="421">
      <c r="A421" s="268" t="n"/>
      <c r="D421" s="268" t="n"/>
      <c r="G421" s="268" t="n"/>
    </row>
    <row r="422">
      <c r="A422" s="268" t="n"/>
      <c r="D422" s="268" t="n"/>
      <c r="G422" s="268" t="n"/>
    </row>
    <row r="423">
      <c r="A423" s="268" t="n"/>
      <c r="D423" s="268" t="n"/>
      <c r="G423" s="268" t="n"/>
    </row>
    <row r="424">
      <c r="A424" s="268" t="n"/>
      <c r="D424" s="268" t="n"/>
      <c r="G424" s="268" t="n"/>
    </row>
    <row r="425">
      <c r="A425" s="268" t="n"/>
      <c r="D425" s="268" t="n"/>
      <c r="G425" s="268" t="n"/>
    </row>
    <row r="426">
      <c r="A426" s="268" t="n"/>
      <c r="D426" s="268" t="n"/>
      <c r="G426" s="268" t="n"/>
    </row>
    <row r="427">
      <c r="A427" s="268" t="n"/>
      <c r="D427" s="268" t="n"/>
      <c r="G427" s="268" t="n"/>
    </row>
    <row r="428">
      <c r="A428" s="268" t="n"/>
      <c r="D428" s="268" t="n"/>
      <c r="G428" s="268" t="n"/>
    </row>
    <row r="429">
      <c r="A429" s="268" t="n"/>
      <c r="D429" s="268" t="n"/>
      <c r="G429" s="268" t="n"/>
    </row>
    <row r="430">
      <c r="A430" s="268" t="n"/>
      <c r="D430" s="268" t="n"/>
      <c r="G430" s="268" t="n"/>
    </row>
    <row r="431">
      <c r="A431" s="268" t="n"/>
      <c r="D431" s="268" t="n"/>
      <c r="G431" s="268" t="n"/>
    </row>
    <row r="432">
      <c r="A432" s="268" t="n"/>
      <c r="D432" s="268" t="n"/>
      <c r="G432" s="268" t="n"/>
    </row>
    <row r="433">
      <c r="A433" s="268" t="n"/>
      <c r="D433" s="268" t="n"/>
      <c r="G433" s="268" t="n"/>
    </row>
    <row r="434">
      <c r="A434" s="268" t="n"/>
      <c r="D434" s="268" t="n"/>
      <c r="G434" s="268" t="n"/>
    </row>
    <row r="435">
      <c r="A435" s="268" t="n"/>
      <c r="D435" s="268" t="n"/>
      <c r="G435" s="268" t="n"/>
    </row>
    <row r="436">
      <c r="A436" s="268" t="n"/>
      <c r="D436" s="268" t="n"/>
      <c r="G436" s="268" t="n"/>
    </row>
    <row r="437">
      <c r="A437" s="268" t="n"/>
      <c r="D437" s="268" t="n"/>
      <c r="G437" s="268" t="n"/>
    </row>
    <row r="438">
      <c r="A438" s="268" t="n"/>
      <c r="D438" s="268" t="n"/>
      <c r="G438" s="268" t="n"/>
    </row>
    <row r="439">
      <c r="A439" s="268" t="n"/>
      <c r="D439" s="268" t="n"/>
      <c r="G439" s="268" t="n"/>
    </row>
    <row r="440">
      <c r="A440" s="268" t="n"/>
      <c r="D440" s="268" t="n"/>
      <c r="G440" s="268" t="n"/>
    </row>
    <row r="441">
      <c r="A441" s="268" t="n"/>
      <c r="D441" s="268" t="n"/>
      <c r="G441" s="268" t="n"/>
    </row>
    <row r="442">
      <c r="A442" s="268" t="n"/>
      <c r="D442" s="268" t="n"/>
      <c r="G442" s="268" t="n"/>
    </row>
    <row r="443">
      <c r="A443" s="268" t="n"/>
      <c r="D443" s="268" t="n"/>
      <c r="G443" s="268" t="n"/>
    </row>
    <row r="444">
      <c r="A444" s="268" t="n"/>
      <c r="D444" s="268" t="n"/>
      <c r="G444" s="268" t="n"/>
    </row>
    <row r="445">
      <c r="A445" s="268" t="n"/>
      <c r="D445" s="268" t="n"/>
      <c r="G445" s="268" t="n"/>
    </row>
    <row r="446">
      <c r="A446" s="268" t="n"/>
      <c r="D446" s="268" t="n"/>
      <c r="G446" s="268" t="n"/>
    </row>
    <row r="447">
      <c r="A447" s="268" t="n"/>
      <c r="D447" s="268" t="n"/>
      <c r="G447" s="268" t="n"/>
    </row>
    <row r="448">
      <c r="A448" s="268" t="n"/>
      <c r="D448" s="268" t="n"/>
      <c r="G448" s="268" t="n"/>
    </row>
    <row r="449">
      <c r="A449" s="268" t="n"/>
      <c r="D449" s="268" t="n"/>
      <c r="G449" s="268" t="n"/>
    </row>
    <row r="450">
      <c r="A450" s="268" t="n"/>
      <c r="D450" s="268" t="n"/>
      <c r="G450" s="268" t="n"/>
    </row>
    <row r="451">
      <c r="A451" s="268" t="n"/>
      <c r="D451" s="268" t="n"/>
      <c r="G451" s="268" t="n"/>
    </row>
    <row r="452">
      <c r="A452" s="268" t="n"/>
      <c r="D452" s="268" t="n"/>
      <c r="G452" s="268" t="n"/>
    </row>
    <row r="453">
      <c r="A453" s="268" t="n"/>
      <c r="D453" s="268" t="n"/>
      <c r="G453" s="268" t="n"/>
    </row>
    <row r="454">
      <c r="A454" s="268" t="n"/>
      <c r="D454" s="268" t="n"/>
      <c r="G454" s="268" t="n"/>
    </row>
    <row r="455">
      <c r="A455" s="268" t="n"/>
      <c r="D455" s="268" t="n"/>
      <c r="G455" s="268" t="n"/>
    </row>
    <row r="456">
      <c r="A456" s="268" t="n"/>
      <c r="D456" s="268" t="n"/>
      <c r="G456" s="268" t="n"/>
    </row>
    <row r="457">
      <c r="A457" s="268" t="n"/>
      <c r="D457" s="268" t="n"/>
      <c r="G457" s="268" t="n"/>
    </row>
    <row r="458">
      <c r="A458" s="268" t="n"/>
      <c r="D458" s="268" t="n"/>
      <c r="G458" s="268" t="n"/>
    </row>
    <row r="459">
      <c r="A459" s="268" t="n"/>
      <c r="D459" s="268" t="n"/>
      <c r="G459" s="268" t="n"/>
    </row>
    <row r="460">
      <c r="A460" s="268" t="n"/>
      <c r="D460" s="268" t="n"/>
      <c r="G460" s="268" t="n"/>
    </row>
    <row r="461">
      <c r="A461" s="268" t="n"/>
      <c r="D461" s="268" t="n"/>
      <c r="G461" s="268" t="n"/>
    </row>
    <row r="462">
      <c r="A462" s="268" t="n"/>
      <c r="D462" s="268" t="n"/>
      <c r="G462" s="268" t="n"/>
    </row>
    <row r="463">
      <c r="A463" s="268" t="n"/>
      <c r="D463" s="268" t="n"/>
      <c r="G463" s="268" t="n"/>
    </row>
    <row r="464">
      <c r="A464" s="268" t="n"/>
      <c r="D464" s="268" t="n"/>
      <c r="G464" s="268" t="n"/>
    </row>
    <row r="465">
      <c r="A465" s="268" t="n"/>
      <c r="D465" s="268" t="n"/>
      <c r="G465" s="268" t="n"/>
    </row>
    <row r="466">
      <c r="A466" s="268" t="n"/>
      <c r="D466" s="268" t="n"/>
      <c r="G466" s="268" t="n"/>
    </row>
    <row r="467">
      <c r="A467" s="268" t="n"/>
      <c r="D467" s="268" t="n"/>
      <c r="G467" s="268" t="n"/>
    </row>
    <row r="468">
      <c r="A468" s="268" t="n"/>
      <c r="D468" s="268" t="n"/>
      <c r="G468" s="268" t="n"/>
    </row>
    <row r="469">
      <c r="A469" s="268" t="n"/>
      <c r="D469" s="268" t="n"/>
      <c r="G469" s="268" t="n"/>
    </row>
    <row r="470">
      <c r="A470" s="268" t="n"/>
      <c r="D470" s="268" t="n"/>
      <c r="G470" s="268" t="n"/>
    </row>
    <row r="471">
      <c r="A471" s="268" t="n"/>
      <c r="D471" s="268" t="n"/>
      <c r="G471" s="268" t="n"/>
    </row>
    <row r="472">
      <c r="A472" s="268" t="n"/>
      <c r="D472" s="268" t="n"/>
      <c r="G472" s="268" t="n"/>
    </row>
    <row r="473">
      <c r="A473" s="268" t="n"/>
      <c r="D473" s="268" t="n"/>
      <c r="G473" s="268" t="n"/>
    </row>
    <row r="474">
      <c r="A474" s="268" t="n"/>
      <c r="D474" s="268" t="n"/>
      <c r="G474" s="268" t="n"/>
    </row>
    <row r="475">
      <c r="A475" s="268" t="n"/>
      <c r="D475" s="268" t="n"/>
      <c r="G475" s="268" t="n"/>
    </row>
    <row r="476">
      <c r="A476" s="268" t="n"/>
      <c r="D476" s="268" t="n"/>
      <c r="G476" s="268" t="n"/>
    </row>
    <row r="477">
      <c r="A477" s="268" t="n"/>
      <c r="D477" s="268" t="n"/>
      <c r="G477" s="268" t="n"/>
    </row>
    <row r="478">
      <c r="A478" s="268" t="n"/>
      <c r="D478" s="268" t="n"/>
      <c r="G478" s="268" t="n"/>
    </row>
    <row r="479">
      <c r="A479" s="268" t="n"/>
      <c r="D479" s="268" t="n"/>
      <c r="G479" s="268" t="n"/>
    </row>
    <row r="480">
      <c r="A480" s="268" t="n"/>
      <c r="D480" s="268" t="n"/>
      <c r="G480" s="268" t="n"/>
    </row>
    <row r="481">
      <c r="A481" s="268" t="n"/>
      <c r="D481" s="268" t="n"/>
      <c r="G481" s="268" t="n"/>
    </row>
    <row r="482">
      <c r="A482" s="268" t="n"/>
      <c r="D482" s="268" t="n"/>
      <c r="G482" s="268" t="n"/>
    </row>
    <row r="483">
      <c r="A483" s="268" t="n"/>
      <c r="D483" s="268" t="n"/>
      <c r="G483" s="268" t="n"/>
    </row>
    <row r="484">
      <c r="A484" s="268" t="n"/>
      <c r="D484" s="268" t="n"/>
      <c r="G484" s="268" t="n"/>
    </row>
    <row r="485">
      <c r="A485" s="268" t="n"/>
      <c r="D485" s="268" t="n"/>
      <c r="G485" s="268" t="n"/>
    </row>
    <row r="486">
      <c r="A486" s="268" t="n"/>
      <c r="D486" s="268" t="n"/>
      <c r="G486" s="268" t="n"/>
    </row>
    <row r="487">
      <c r="A487" s="268" t="n"/>
      <c r="D487" s="268" t="n"/>
      <c r="G487" s="268" t="n"/>
    </row>
    <row r="488">
      <c r="A488" s="268" t="n"/>
      <c r="D488" s="268" t="n"/>
      <c r="G488" s="268" t="n"/>
    </row>
    <row r="489">
      <c r="A489" s="268" t="n"/>
      <c r="D489" s="268" t="n"/>
      <c r="G489" s="268" t="n"/>
    </row>
    <row r="490">
      <c r="A490" s="268" t="n"/>
      <c r="D490" s="268" t="n"/>
      <c r="G490" s="268" t="n"/>
    </row>
    <row r="491">
      <c r="A491" s="268" t="n"/>
      <c r="D491" s="268" t="n"/>
      <c r="G491" s="268" t="n"/>
    </row>
    <row r="492">
      <c r="A492" s="268" t="n"/>
      <c r="D492" s="268" t="n"/>
      <c r="G492" s="268" t="n"/>
    </row>
    <row r="493">
      <c r="A493" s="268" t="n"/>
      <c r="D493" s="268" t="n"/>
      <c r="G493" s="268" t="n"/>
    </row>
    <row r="494">
      <c r="A494" s="268" t="n"/>
      <c r="D494" s="268" t="n"/>
      <c r="G494" s="268" t="n"/>
    </row>
    <row r="495">
      <c r="A495" s="268" t="n"/>
      <c r="D495" s="268" t="n"/>
      <c r="G495" s="268" t="n"/>
    </row>
    <row r="496">
      <c r="A496" s="268" t="n"/>
      <c r="D496" s="268" t="n"/>
      <c r="G496" s="268" t="n"/>
    </row>
    <row r="497">
      <c r="A497" s="268" t="n"/>
      <c r="D497" s="268" t="n"/>
      <c r="G497" s="268" t="n"/>
    </row>
    <row r="498">
      <c r="A498" s="268" t="n"/>
      <c r="D498" s="268" t="n"/>
      <c r="G498" s="268" t="n"/>
    </row>
    <row r="499">
      <c r="A499" s="268" t="n"/>
      <c r="D499" s="268" t="n"/>
      <c r="G499" s="268" t="n"/>
    </row>
    <row r="500">
      <c r="A500" s="268" t="n"/>
      <c r="D500" s="268" t="n"/>
      <c r="G500" s="268" t="n"/>
    </row>
    <row r="501">
      <c r="A501" s="268" t="n"/>
      <c r="D501" s="268" t="n"/>
      <c r="G501" s="268" t="n"/>
    </row>
    <row r="502">
      <c r="A502" s="268" t="n"/>
      <c r="D502" s="268" t="n"/>
      <c r="G502" s="268" t="n"/>
    </row>
    <row r="503">
      <c r="A503" s="268" t="n"/>
      <c r="D503" s="268" t="n"/>
      <c r="G503" s="268" t="n"/>
    </row>
    <row r="504">
      <c r="A504" s="268" t="n"/>
      <c r="D504" s="268" t="n"/>
      <c r="G504" s="268" t="n"/>
    </row>
    <row r="505">
      <c r="A505" s="268" t="n"/>
      <c r="D505" s="268" t="n"/>
      <c r="G505" s="268" t="n"/>
    </row>
    <row r="506">
      <c r="A506" s="268" t="n"/>
      <c r="D506" s="268" t="n"/>
      <c r="G506" s="268" t="n"/>
    </row>
    <row r="507">
      <c r="A507" s="268" t="n"/>
      <c r="D507" s="268" t="n"/>
      <c r="G507" s="268" t="n"/>
    </row>
    <row r="508">
      <c r="A508" s="268" t="n"/>
      <c r="D508" s="268" t="n"/>
      <c r="G508" s="268" t="n"/>
    </row>
    <row r="509">
      <c r="A509" s="268" t="n"/>
      <c r="D509" s="268" t="n"/>
      <c r="G509" s="268" t="n"/>
    </row>
    <row r="510">
      <c r="A510" s="268" t="n"/>
      <c r="D510" s="268" t="n"/>
      <c r="G510" s="268" t="n"/>
    </row>
    <row r="511">
      <c r="A511" s="268" t="n"/>
      <c r="D511" s="268" t="n"/>
      <c r="G511" s="268" t="n"/>
    </row>
    <row r="512">
      <c r="A512" s="268" t="n"/>
      <c r="D512" s="268" t="n"/>
      <c r="G512" s="268" t="n"/>
    </row>
    <row r="513">
      <c r="A513" s="268" t="n"/>
      <c r="D513" s="268" t="n"/>
      <c r="G513" s="268" t="n"/>
    </row>
    <row r="514">
      <c r="A514" s="268" t="n"/>
      <c r="D514" s="268" t="n"/>
      <c r="G514" s="268" t="n"/>
    </row>
    <row r="515">
      <c r="A515" s="268" t="n"/>
      <c r="D515" s="268" t="n"/>
      <c r="G515" s="268" t="n"/>
    </row>
    <row r="516">
      <c r="A516" s="268" t="n"/>
      <c r="D516" s="268" t="n"/>
      <c r="G516" s="268" t="n"/>
    </row>
    <row r="517">
      <c r="A517" s="268" t="n"/>
      <c r="D517" s="268" t="n"/>
      <c r="G517" s="268" t="n"/>
    </row>
    <row r="518">
      <c r="A518" s="268" t="n"/>
      <c r="D518" s="268" t="n"/>
      <c r="G518" s="268" t="n"/>
    </row>
    <row r="519">
      <c r="A519" s="268" t="n"/>
      <c r="D519" s="268" t="n"/>
      <c r="G519" s="268" t="n"/>
    </row>
    <row r="520">
      <c r="A520" s="268" t="n"/>
      <c r="D520" s="268" t="n"/>
      <c r="G520" s="268" t="n"/>
    </row>
    <row r="521">
      <c r="A521" s="268" t="n"/>
      <c r="D521" s="268" t="n"/>
      <c r="G521" s="268" t="n"/>
    </row>
    <row r="522">
      <c r="A522" s="268" t="n"/>
      <c r="D522" s="268" t="n"/>
      <c r="G522" s="268" t="n"/>
    </row>
    <row r="523">
      <c r="A523" s="268" t="n"/>
      <c r="D523" s="268" t="n"/>
      <c r="G523" s="268" t="n"/>
    </row>
    <row r="524">
      <c r="A524" s="268" t="n"/>
      <c r="D524" s="268" t="n"/>
      <c r="G524" s="268" t="n"/>
    </row>
    <row r="525">
      <c r="A525" s="268" t="n"/>
      <c r="D525" s="268" t="n"/>
      <c r="G525" s="268" t="n"/>
    </row>
    <row r="526">
      <c r="A526" s="268" t="n"/>
      <c r="D526" s="268" t="n"/>
      <c r="G526" s="268" t="n"/>
    </row>
    <row r="527">
      <c r="A527" s="268" t="n"/>
      <c r="D527" s="268" t="n"/>
      <c r="G527" s="268" t="n"/>
    </row>
    <row r="528">
      <c r="A528" s="268" t="n"/>
      <c r="D528" s="268" t="n"/>
      <c r="G528" s="268" t="n"/>
    </row>
    <row r="529">
      <c r="A529" s="268" t="n"/>
      <c r="D529" s="268" t="n"/>
      <c r="G529" s="268" t="n"/>
    </row>
    <row r="530">
      <c r="A530" s="268" t="n"/>
      <c r="D530" s="268" t="n"/>
      <c r="G530" s="268" t="n"/>
    </row>
    <row r="531">
      <c r="A531" s="268" t="n"/>
      <c r="D531" s="268" t="n"/>
      <c r="G531" s="268" t="n"/>
    </row>
    <row r="532">
      <c r="A532" s="268" t="n"/>
      <c r="D532" s="268" t="n"/>
      <c r="G532" s="268" t="n"/>
    </row>
    <row r="533">
      <c r="A533" s="268" t="n"/>
      <c r="D533" s="268" t="n"/>
      <c r="G533" s="268" t="n"/>
    </row>
    <row r="534">
      <c r="A534" s="268" t="n"/>
      <c r="D534" s="268" t="n"/>
      <c r="G534" s="268" t="n"/>
    </row>
    <row r="535">
      <c r="A535" s="268" t="n"/>
      <c r="D535" s="268" t="n"/>
      <c r="G535" s="268" t="n"/>
    </row>
    <row r="536">
      <c r="A536" s="268" t="n"/>
      <c r="D536" s="268" t="n"/>
      <c r="G536" s="268" t="n"/>
    </row>
    <row r="537">
      <c r="A537" s="268" t="n"/>
      <c r="D537" s="268" t="n"/>
      <c r="G537" s="268" t="n"/>
    </row>
    <row r="538">
      <c r="A538" s="268" t="n"/>
      <c r="D538" s="268" t="n"/>
      <c r="G538" s="268" t="n"/>
    </row>
    <row r="539">
      <c r="A539" s="268" t="n"/>
      <c r="D539" s="268" t="n"/>
      <c r="G539" s="268" t="n"/>
    </row>
    <row r="540">
      <c r="A540" s="268" t="n"/>
      <c r="D540" s="268" t="n"/>
      <c r="G540" s="268" t="n"/>
    </row>
    <row r="541">
      <c r="A541" s="268" t="n"/>
      <c r="D541" s="268" t="n"/>
      <c r="G541" s="268" t="n"/>
    </row>
    <row r="542">
      <c r="A542" s="268" t="n"/>
      <c r="D542" s="268" t="n"/>
      <c r="G542" s="268" t="n"/>
    </row>
    <row r="543">
      <c r="A543" s="268" t="n"/>
      <c r="D543" s="268" t="n"/>
      <c r="G543" s="268" t="n"/>
    </row>
    <row r="544">
      <c r="A544" s="268" t="n"/>
      <c r="D544" s="268" t="n"/>
      <c r="G544" s="268" t="n"/>
    </row>
    <row r="545">
      <c r="A545" s="268" t="n"/>
      <c r="D545" s="268" t="n"/>
      <c r="G545" s="268" t="n"/>
    </row>
    <row r="546">
      <c r="A546" s="268" t="n"/>
      <c r="D546" s="268" t="n"/>
      <c r="G546" s="268" t="n"/>
    </row>
    <row r="547">
      <c r="A547" s="268" t="n"/>
      <c r="D547" s="268" t="n"/>
      <c r="G547" s="268" t="n"/>
    </row>
    <row r="548">
      <c r="A548" s="268" t="n"/>
      <c r="D548" s="268" t="n"/>
      <c r="G548" s="268" t="n"/>
    </row>
    <row r="549">
      <c r="A549" s="268" t="n"/>
      <c r="D549" s="268" t="n"/>
      <c r="G549" s="268" t="n"/>
    </row>
    <row r="550">
      <c r="A550" s="268" t="n"/>
      <c r="D550" s="268" t="n"/>
      <c r="G550" s="268" t="n"/>
    </row>
    <row r="551">
      <c r="A551" s="268" t="n"/>
      <c r="D551" s="268" t="n"/>
      <c r="G551" s="268" t="n"/>
    </row>
    <row r="552">
      <c r="A552" s="268" t="n"/>
      <c r="D552" s="268" t="n"/>
      <c r="G552" s="268" t="n"/>
    </row>
    <row r="553">
      <c r="A553" s="268" t="n"/>
      <c r="D553" s="268" t="n"/>
      <c r="G553" s="268" t="n"/>
    </row>
    <row r="554">
      <c r="A554" s="268" t="n"/>
      <c r="D554" s="268" t="n"/>
      <c r="G554" s="268" t="n"/>
    </row>
    <row r="555">
      <c r="A555" s="268" t="n"/>
      <c r="D555" s="268" t="n"/>
      <c r="G555" s="268" t="n"/>
    </row>
    <row r="556">
      <c r="A556" s="268" t="n"/>
      <c r="D556" s="268" t="n"/>
      <c r="G556" s="268" t="n"/>
    </row>
    <row r="557">
      <c r="A557" s="268" t="n"/>
      <c r="D557" s="268" t="n"/>
      <c r="G557" s="268" t="n"/>
    </row>
    <row r="558">
      <c r="A558" s="268" t="n"/>
      <c r="D558" s="268" t="n"/>
      <c r="G558" s="268" t="n"/>
    </row>
    <row r="559">
      <c r="A559" s="268" t="n"/>
      <c r="D559" s="268" t="n"/>
      <c r="G559" s="268" t="n"/>
    </row>
    <row r="560">
      <c r="A560" s="268" t="n"/>
      <c r="D560" s="268" t="n"/>
      <c r="G560" s="268" t="n"/>
    </row>
    <row r="561">
      <c r="A561" s="268" t="n"/>
      <c r="D561" s="268" t="n"/>
      <c r="G561" s="268" t="n"/>
    </row>
    <row r="562">
      <c r="A562" s="268" t="n"/>
      <c r="D562" s="268" t="n"/>
      <c r="G562" s="268" t="n"/>
    </row>
    <row r="563">
      <c r="A563" s="268" t="n"/>
      <c r="D563" s="268" t="n"/>
      <c r="G563" s="268" t="n"/>
    </row>
    <row r="564">
      <c r="A564" s="268" t="n"/>
      <c r="D564" s="268" t="n"/>
      <c r="G564" s="268" t="n"/>
    </row>
    <row r="565">
      <c r="A565" s="268" t="n"/>
      <c r="D565" s="268" t="n"/>
      <c r="G565" s="268" t="n"/>
    </row>
    <row r="566">
      <c r="A566" s="268" t="n"/>
      <c r="D566" s="268" t="n"/>
      <c r="G566" s="268" t="n"/>
    </row>
    <row r="567">
      <c r="A567" s="268" t="n"/>
      <c r="D567" s="268" t="n"/>
      <c r="G567" s="268" t="n"/>
    </row>
    <row r="568">
      <c r="A568" s="268" t="n"/>
      <c r="D568" s="268" t="n"/>
      <c r="G568" s="268" t="n"/>
    </row>
    <row r="569">
      <c r="A569" s="268" t="n"/>
      <c r="D569" s="268" t="n"/>
      <c r="G569" s="268" t="n"/>
    </row>
    <row r="570">
      <c r="A570" s="268" t="n"/>
      <c r="D570" s="268" t="n"/>
      <c r="G570" s="268" t="n"/>
    </row>
    <row r="571">
      <c r="A571" s="268" t="n"/>
      <c r="D571" s="268" t="n"/>
      <c r="G571" s="268" t="n"/>
    </row>
    <row r="572">
      <c r="A572" s="268" t="n"/>
      <c r="D572" s="268" t="n"/>
      <c r="G572" s="268" t="n"/>
    </row>
    <row r="573">
      <c r="A573" s="268" t="n"/>
      <c r="D573" s="268" t="n"/>
      <c r="G573" s="268" t="n"/>
    </row>
    <row r="574">
      <c r="A574" s="268" t="n"/>
      <c r="D574" s="268" t="n"/>
      <c r="G574" s="268" t="n"/>
    </row>
    <row r="575">
      <c r="A575" s="268" t="n"/>
      <c r="D575" s="268" t="n"/>
      <c r="G575" s="268" t="n"/>
    </row>
    <row r="576">
      <c r="A576" s="268" t="n"/>
      <c r="D576" s="268" t="n"/>
      <c r="G576" s="268" t="n"/>
    </row>
    <row r="577">
      <c r="A577" s="268" t="n"/>
      <c r="D577" s="268" t="n"/>
      <c r="G577" s="268" t="n"/>
    </row>
    <row r="578">
      <c r="A578" s="268" t="n"/>
      <c r="D578" s="268" t="n"/>
      <c r="G578" s="268" t="n"/>
    </row>
    <row r="579">
      <c r="A579" s="268" t="n"/>
      <c r="D579" s="268" t="n"/>
      <c r="G579" s="268" t="n"/>
    </row>
    <row r="580">
      <c r="A580" s="268" t="n"/>
      <c r="D580" s="268" t="n"/>
      <c r="G580" s="268" t="n"/>
    </row>
    <row r="581">
      <c r="A581" s="268" t="n"/>
      <c r="D581" s="268" t="n"/>
      <c r="G581" s="268" t="n"/>
    </row>
    <row r="582">
      <c r="A582" s="268" t="n"/>
      <c r="D582" s="268" t="n"/>
      <c r="G582" s="268" t="n"/>
    </row>
    <row r="583">
      <c r="A583" s="268" t="n"/>
      <c r="D583" s="268" t="n"/>
      <c r="G583" s="268" t="n"/>
    </row>
    <row r="584">
      <c r="A584" s="268" t="n"/>
      <c r="D584" s="268" t="n"/>
      <c r="G584" s="268" t="n"/>
    </row>
    <row r="585">
      <c r="A585" s="268" t="n"/>
      <c r="D585" s="268" t="n"/>
      <c r="G585" s="268" t="n"/>
    </row>
    <row r="586">
      <c r="A586" s="268" t="n"/>
      <c r="D586" s="268" t="n"/>
      <c r="G586" s="268" t="n"/>
    </row>
    <row r="587">
      <c r="A587" s="268" t="n"/>
      <c r="D587" s="268" t="n"/>
      <c r="G587" s="268" t="n"/>
    </row>
    <row r="588">
      <c r="A588" s="268" t="n"/>
      <c r="D588" s="268" t="n"/>
      <c r="G588" s="268" t="n"/>
    </row>
    <row r="589">
      <c r="A589" s="268" t="n"/>
      <c r="D589" s="268" t="n"/>
      <c r="G589" s="268" t="n"/>
    </row>
    <row r="590">
      <c r="A590" s="268" t="n"/>
      <c r="D590" s="268" t="n"/>
      <c r="G590" s="268" t="n"/>
    </row>
    <row r="591">
      <c r="A591" s="268" t="n"/>
      <c r="D591" s="268" t="n"/>
      <c r="G591" s="268" t="n"/>
    </row>
    <row r="592">
      <c r="A592" s="268" t="n"/>
      <c r="D592" s="268" t="n"/>
      <c r="G592" s="268" t="n"/>
    </row>
    <row r="593">
      <c r="A593" s="268" t="n"/>
      <c r="D593" s="268" t="n"/>
      <c r="G593" s="268" t="n"/>
    </row>
    <row r="594">
      <c r="A594" s="268" t="n"/>
      <c r="D594" s="268" t="n"/>
      <c r="G594" s="268" t="n"/>
    </row>
    <row r="595">
      <c r="A595" s="268" t="n"/>
      <c r="D595" s="268" t="n"/>
      <c r="G595" s="268" t="n"/>
    </row>
    <row r="596">
      <c r="A596" s="268" t="n"/>
      <c r="D596" s="268" t="n"/>
      <c r="G596" s="268" t="n"/>
    </row>
    <row r="597">
      <c r="A597" s="268" t="n"/>
      <c r="D597" s="268" t="n"/>
      <c r="G597" s="268" t="n"/>
    </row>
    <row r="598">
      <c r="A598" s="268" t="n"/>
      <c r="D598" s="268" t="n"/>
      <c r="G598" s="268" t="n"/>
    </row>
    <row r="599">
      <c r="A599" s="268" t="n"/>
      <c r="D599" s="268" t="n"/>
      <c r="G599" s="268" t="n"/>
    </row>
    <row r="600">
      <c r="A600" s="268" t="n"/>
      <c r="D600" s="268" t="n"/>
      <c r="G600" s="268" t="n"/>
    </row>
    <row r="601">
      <c r="A601" s="268" t="n"/>
      <c r="D601" s="268" t="n"/>
      <c r="G601" s="268" t="n"/>
    </row>
    <row r="602">
      <c r="A602" s="268" t="n"/>
      <c r="D602" s="268" t="n"/>
      <c r="G602" s="268" t="n"/>
    </row>
    <row r="603">
      <c r="A603" s="268" t="n"/>
      <c r="D603" s="268" t="n"/>
      <c r="G603" s="268" t="n"/>
    </row>
    <row r="604">
      <c r="A604" s="268" t="n"/>
      <c r="D604" s="268" t="n"/>
      <c r="G604" s="268" t="n"/>
    </row>
    <row r="605">
      <c r="A605" s="268" t="n"/>
      <c r="D605" s="268" t="n"/>
      <c r="G605" s="268" t="n"/>
    </row>
    <row r="606">
      <c r="A606" s="268" t="n"/>
      <c r="D606" s="268" t="n"/>
      <c r="G606" s="268" t="n"/>
    </row>
    <row r="607">
      <c r="A607" s="268" t="n"/>
      <c r="D607" s="268" t="n"/>
      <c r="G607" s="268" t="n"/>
    </row>
    <row r="608">
      <c r="A608" s="268" t="n"/>
      <c r="D608" s="268" t="n"/>
      <c r="G608" s="268" t="n"/>
    </row>
    <row r="609">
      <c r="A609" s="268" t="n"/>
      <c r="D609" s="268" t="n"/>
      <c r="G609" s="268" t="n"/>
    </row>
    <row r="610">
      <c r="A610" s="268" t="n"/>
      <c r="D610" s="268" t="n"/>
      <c r="G610" s="268" t="n"/>
    </row>
    <row r="611">
      <c r="A611" s="268" t="n"/>
      <c r="D611" s="268" t="n"/>
      <c r="G611" s="268" t="n"/>
    </row>
    <row r="612">
      <c r="A612" s="268" t="n"/>
      <c r="D612" s="268" t="n"/>
      <c r="G612" s="268" t="n"/>
    </row>
    <row r="613">
      <c r="A613" s="268" t="n"/>
      <c r="D613" s="268" t="n"/>
      <c r="G613" s="268" t="n"/>
    </row>
    <row r="614">
      <c r="A614" s="268" t="n"/>
      <c r="D614" s="268" t="n"/>
      <c r="G614" s="268" t="n"/>
    </row>
    <row r="615">
      <c r="A615" s="268" t="n"/>
      <c r="D615" s="268" t="n"/>
      <c r="G615" s="268" t="n"/>
    </row>
    <row r="616">
      <c r="A616" s="268" t="n"/>
      <c r="D616" s="268" t="n"/>
      <c r="G616" s="268" t="n"/>
    </row>
    <row r="617">
      <c r="A617" s="268" t="n"/>
      <c r="D617" s="268" t="n"/>
      <c r="G617" s="268" t="n"/>
    </row>
    <row r="618">
      <c r="A618" s="268" t="n"/>
      <c r="D618" s="268" t="n"/>
      <c r="G618" s="268" t="n"/>
    </row>
    <row r="619">
      <c r="A619" s="268" t="n"/>
      <c r="D619" s="268" t="n"/>
      <c r="G619" s="268" t="n"/>
    </row>
    <row r="620">
      <c r="A620" s="268" t="n"/>
      <c r="D620" s="268" t="n"/>
      <c r="G620" s="268" t="n"/>
    </row>
    <row r="621">
      <c r="A621" s="268" t="n"/>
      <c r="D621" s="268" t="n"/>
      <c r="G621" s="268" t="n"/>
    </row>
    <row r="622">
      <c r="A622" s="268" t="n"/>
      <c r="D622" s="268" t="n"/>
      <c r="G622" s="268" t="n"/>
    </row>
    <row r="623">
      <c r="A623" s="268" t="n"/>
      <c r="D623" s="268" t="n"/>
      <c r="G623" s="268" t="n"/>
    </row>
    <row r="624">
      <c r="A624" s="268" t="n"/>
      <c r="D624" s="268" t="n"/>
      <c r="G624" s="268" t="n"/>
    </row>
    <row r="625">
      <c r="A625" s="268" t="n"/>
      <c r="D625" s="268" t="n"/>
      <c r="G625" s="268" t="n"/>
    </row>
    <row r="626">
      <c r="A626" s="268" t="n"/>
      <c r="D626" s="268" t="n"/>
      <c r="G626" s="268" t="n"/>
    </row>
    <row r="627">
      <c r="A627" s="268" t="n"/>
      <c r="D627" s="268" t="n"/>
      <c r="G627" s="268" t="n"/>
    </row>
    <row r="628">
      <c r="A628" s="268" t="n"/>
      <c r="D628" s="268" t="n"/>
      <c r="G628" s="268" t="n"/>
    </row>
    <row r="629">
      <c r="A629" s="268" t="n"/>
      <c r="D629" s="268" t="n"/>
      <c r="G629" s="268" t="n"/>
    </row>
    <row r="630">
      <c r="A630" s="268" t="n"/>
      <c r="D630" s="268" t="n"/>
      <c r="G630" s="268" t="n"/>
    </row>
    <row r="631">
      <c r="A631" s="268" t="n"/>
      <c r="D631" s="268" t="n"/>
      <c r="G631" s="268" t="n"/>
    </row>
    <row r="632">
      <c r="A632" s="268" t="n"/>
      <c r="D632" s="268" t="n"/>
      <c r="G632" s="268" t="n"/>
    </row>
    <row r="633">
      <c r="A633" s="268" t="n"/>
      <c r="D633" s="268" t="n"/>
      <c r="G633" s="268" t="n"/>
    </row>
    <row r="634">
      <c r="A634" s="268" t="n"/>
      <c r="D634" s="268" t="n"/>
      <c r="G634" s="268" t="n"/>
    </row>
    <row r="635">
      <c r="A635" s="268" t="n"/>
      <c r="D635" s="268" t="n"/>
      <c r="G635" s="268" t="n"/>
    </row>
    <row r="636">
      <c r="A636" s="268" t="n"/>
      <c r="D636" s="268" t="n"/>
      <c r="G636" s="268" t="n"/>
    </row>
    <row r="637">
      <c r="A637" s="268" t="n"/>
      <c r="D637" s="268" t="n"/>
      <c r="G637" s="268" t="n"/>
    </row>
    <row r="638">
      <c r="A638" s="268" t="n"/>
      <c r="D638" s="268" t="n"/>
      <c r="G638" s="268" t="n"/>
    </row>
    <row r="639">
      <c r="A639" s="268" t="n"/>
      <c r="D639" s="268" t="n"/>
      <c r="G639" s="268" t="n"/>
    </row>
    <row r="640">
      <c r="A640" s="268" t="n"/>
      <c r="D640" s="268" t="n"/>
      <c r="G640" s="268" t="n"/>
    </row>
    <row r="641">
      <c r="A641" s="268" t="n"/>
      <c r="D641" s="268" t="n"/>
      <c r="G641" s="268" t="n"/>
    </row>
    <row r="642">
      <c r="A642" s="268" t="n"/>
      <c r="D642" s="268" t="n"/>
      <c r="G642" s="268" t="n"/>
    </row>
    <row r="643">
      <c r="A643" s="268" t="n"/>
      <c r="D643" s="268" t="n"/>
      <c r="G643" s="268" t="n"/>
    </row>
    <row r="644">
      <c r="A644" s="268" t="n"/>
      <c r="D644" s="268" t="n"/>
      <c r="G644" s="268" t="n"/>
    </row>
    <row r="645">
      <c r="A645" s="268" t="n"/>
      <c r="D645" s="268" t="n"/>
      <c r="G645" s="268" t="n"/>
    </row>
    <row r="646">
      <c r="A646" s="268" t="n"/>
      <c r="D646" s="268" t="n"/>
      <c r="G646" s="268" t="n"/>
    </row>
    <row r="647">
      <c r="A647" s="268" t="n"/>
      <c r="D647" s="268" t="n"/>
      <c r="G647" s="268" t="n"/>
    </row>
    <row r="648">
      <c r="A648" s="268" t="n"/>
      <c r="D648" s="268" t="n"/>
      <c r="G648" s="268" t="n"/>
    </row>
    <row r="649">
      <c r="A649" s="268" t="n"/>
      <c r="D649" s="268" t="n"/>
      <c r="G649" s="268" t="n"/>
    </row>
    <row r="650">
      <c r="A650" s="268" t="n"/>
      <c r="D650" s="268" t="n"/>
      <c r="G650" s="268" t="n"/>
    </row>
    <row r="651">
      <c r="A651" s="268" t="n"/>
      <c r="D651" s="268" t="n"/>
      <c r="G651" s="268" t="n"/>
    </row>
    <row r="652">
      <c r="A652" s="268" t="n"/>
      <c r="D652" s="268" t="n"/>
      <c r="G652" s="268" t="n"/>
    </row>
    <row r="653">
      <c r="A653" s="268" t="n"/>
      <c r="D653" s="268" t="n"/>
      <c r="G653" s="268" t="n"/>
    </row>
    <row r="654">
      <c r="A654" s="268" t="n"/>
      <c r="D654" s="268" t="n"/>
      <c r="G654" s="268" t="n"/>
    </row>
    <row r="655">
      <c r="A655" s="268" t="n"/>
      <c r="D655" s="268" t="n"/>
      <c r="G655" s="268" t="n"/>
    </row>
    <row r="656">
      <c r="A656" s="268" t="n"/>
      <c r="D656" s="268" t="n"/>
      <c r="G656" s="268" t="n"/>
    </row>
    <row r="657">
      <c r="A657" s="268" t="n"/>
      <c r="D657" s="268" t="n"/>
      <c r="G657" s="268" t="n"/>
    </row>
    <row r="658">
      <c r="A658" s="268" t="n"/>
      <c r="D658" s="268" t="n"/>
      <c r="G658" s="268" t="n"/>
    </row>
    <row r="659">
      <c r="A659" s="268" t="n"/>
      <c r="D659" s="268" t="n"/>
      <c r="G659" s="268" t="n"/>
    </row>
    <row r="660">
      <c r="A660" s="268" t="n"/>
      <c r="D660" s="268" t="n"/>
      <c r="G660" s="268" t="n"/>
    </row>
    <row r="661">
      <c r="A661" s="268" t="n"/>
      <c r="D661" s="268" t="n"/>
      <c r="G661" s="268" t="n"/>
    </row>
    <row r="662">
      <c r="A662" s="268" t="n"/>
      <c r="D662" s="268" t="n"/>
      <c r="G662" s="268" t="n"/>
    </row>
    <row r="663">
      <c r="A663" s="268" t="n"/>
      <c r="D663" s="268" t="n"/>
      <c r="G663" s="268" t="n"/>
    </row>
    <row r="664">
      <c r="A664" s="268" t="n"/>
      <c r="D664" s="268" t="n"/>
      <c r="G664" s="268" t="n"/>
    </row>
    <row r="665">
      <c r="A665" s="268" t="n"/>
      <c r="D665" s="268" t="n"/>
      <c r="G665" s="268" t="n"/>
    </row>
    <row r="666">
      <c r="A666" s="268" t="n"/>
      <c r="D666" s="268" t="n"/>
      <c r="G666" s="268" t="n"/>
    </row>
    <row r="667">
      <c r="A667" s="268" t="n"/>
      <c r="D667" s="268" t="n"/>
      <c r="G667" s="268" t="n"/>
    </row>
    <row r="668">
      <c r="A668" s="268" t="n"/>
      <c r="D668" s="268" t="n"/>
      <c r="G668" s="268" t="n"/>
    </row>
    <row r="669">
      <c r="A669" s="268" t="n"/>
      <c r="D669" s="268" t="n"/>
      <c r="G669" s="268" t="n"/>
    </row>
    <row r="670">
      <c r="A670" s="268" t="n"/>
      <c r="D670" s="268" t="n"/>
      <c r="G670" s="268" t="n"/>
    </row>
    <row r="671">
      <c r="A671" s="268" t="n"/>
      <c r="D671" s="268" t="n"/>
      <c r="G671" s="268" t="n"/>
    </row>
    <row r="672">
      <c r="A672" s="268" t="n"/>
      <c r="D672" s="268" t="n"/>
      <c r="G672" s="268" t="n"/>
    </row>
    <row r="673">
      <c r="A673" s="268" t="n"/>
      <c r="D673" s="268" t="n"/>
      <c r="G673" s="268" t="n"/>
    </row>
    <row r="674">
      <c r="A674" s="268" t="n"/>
      <c r="D674" s="268" t="n"/>
      <c r="G674" s="268" t="n"/>
    </row>
    <row r="675">
      <c r="A675" s="268" t="n"/>
      <c r="D675" s="268" t="n"/>
      <c r="G675" s="268" t="n"/>
    </row>
    <row r="676">
      <c r="A676" s="268" t="n"/>
      <c r="D676" s="268" t="n"/>
      <c r="G676" s="268" t="n"/>
    </row>
    <row r="677">
      <c r="A677" s="268" t="n"/>
      <c r="D677" s="268" t="n"/>
      <c r="G677" s="268" t="n"/>
    </row>
    <row r="678">
      <c r="A678" s="268" t="n"/>
      <c r="D678" s="268" t="n"/>
      <c r="G678" s="268" t="n"/>
    </row>
    <row r="679">
      <c r="A679" s="268" t="n"/>
      <c r="D679" s="268" t="n"/>
      <c r="G679" s="268" t="n"/>
    </row>
    <row r="680">
      <c r="A680" s="268" t="n"/>
      <c r="D680" s="268" t="n"/>
      <c r="G680" s="268" t="n"/>
    </row>
    <row r="681">
      <c r="A681" s="268" t="n"/>
      <c r="D681" s="268" t="n"/>
      <c r="G681" s="268" t="n"/>
    </row>
    <row r="682">
      <c r="A682" s="268" t="n"/>
      <c r="D682" s="268" t="n"/>
      <c r="G682" s="268" t="n"/>
    </row>
    <row r="683">
      <c r="A683" s="268" t="n"/>
      <c r="D683" s="268" t="n"/>
      <c r="G683" s="268" t="n"/>
    </row>
    <row r="684">
      <c r="A684" s="268" t="n"/>
      <c r="D684" s="268" t="n"/>
      <c r="G684" s="268" t="n"/>
    </row>
    <row r="685">
      <c r="A685" s="268" t="n"/>
      <c r="D685" s="268" t="n"/>
      <c r="G685" s="268" t="n"/>
    </row>
    <row r="686">
      <c r="A686" s="268" t="n"/>
      <c r="D686" s="268" t="n"/>
      <c r="G686" s="268" t="n"/>
    </row>
    <row r="687">
      <c r="A687" s="268" t="n"/>
      <c r="D687" s="268" t="n"/>
      <c r="G687" s="268" t="n"/>
    </row>
    <row r="688">
      <c r="A688" s="268" t="n"/>
      <c r="D688" s="268" t="n"/>
      <c r="G688" s="268" t="n"/>
    </row>
    <row r="689">
      <c r="A689" s="268" t="n"/>
      <c r="D689" s="268" t="n"/>
      <c r="G689" s="268" t="n"/>
    </row>
    <row r="690">
      <c r="A690" s="268" t="n"/>
      <c r="D690" s="268" t="n"/>
      <c r="G690" s="268" t="n"/>
    </row>
    <row r="691">
      <c r="A691" s="268" t="n"/>
      <c r="D691" s="268" t="n"/>
      <c r="G691" s="268" t="n"/>
    </row>
    <row r="692">
      <c r="A692" s="268" t="n"/>
      <c r="D692" s="268" t="n"/>
      <c r="G692" s="268" t="n"/>
    </row>
    <row r="693">
      <c r="A693" s="268" t="n"/>
      <c r="D693" s="268" t="n"/>
      <c r="G693" s="268" t="n"/>
    </row>
    <row r="694">
      <c r="A694" s="268" t="n"/>
      <c r="D694" s="268" t="n"/>
      <c r="G694" s="268" t="n"/>
    </row>
    <row r="695">
      <c r="A695" s="268" t="n"/>
      <c r="D695" s="268" t="n"/>
      <c r="G695" s="268" t="n"/>
    </row>
    <row r="696">
      <c r="A696" s="268" t="n"/>
      <c r="D696" s="268" t="n"/>
      <c r="G696" s="268" t="n"/>
    </row>
    <row r="697">
      <c r="A697" s="268" t="n"/>
      <c r="D697" s="268" t="n"/>
      <c r="G697" s="268" t="n"/>
    </row>
    <row r="698">
      <c r="A698" s="268" t="n"/>
      <c r="D698" s="268" t="n"/>
      <c r="G698" s="268" t="n"/>
    </row>
    <row r="699">
      <c r="A699" s="268" t="n"/>
      <c r="D699" s="268" t="n"/>
      <c r="G699" s="268" t="n"/>
    </row>
    <row r="700">
      <c r="A700" s="268" t="n"/>
      <c r="D700" s="268" t="n"/>
      <c r="G700" s="268" t="n"/>
    </row>
    <row r="701">
      <c r="A701" s="268" t="n"/>
      <c r="D701" s="268" t="n"/>
      <c r="G701" s="268" t="n"/>
    </row>
    <row r="702">
      <c r="A702" s="268" t="n"/>
      <c r="D702" s="268" t="n"/>
      <c r="G702" s="268" t="n"/>
    </row>
    <row r="703">
      <c r="A703" s="268" t="n"/>
      <c r="D703" s="268" t="n"/>
      <c r="G703" s="268" t="n"/>
    </row>
    <row r="704">
      <c r="A704" s="268" t="n"/>
      <c r="D704" s="268" t="n"/>
      <c r="G704" s="268" t="n"/>
    </row>
    <row r="705">
      <c r="A705" s="268" t="n"/>
      <c r="D705" s="268" t="n"/>
      <c r="G705" s="268" t="n"/>
    </row>
    <row r="706">
      <c r="A706" s="268" t="n"/>
      <c r="D706" s="268" t="n"/>
      <c r="G706" s="268" t="n"/>
    </row>
    <row r="707">
      <c r="A707" s="268" t="n"/>
      <c r="D707" s="268" t="n"/>
      <c r="G707" s="268" t="n"/>
    </row>
    <row r="708">
      <c r="A708" s="268" t="n"/>
      <c r="D708" s="268" t="n"/>
      <c r="G708" s="268" t="n"/>
    </row>
    <row r="709">
      <c r="A709" s="268" t="n"/>
      <c r="D709" s="268" t="n"/>
      <c r="G709" s="268" t="n"/>
    </row>
    <row r="710">
      <c r="A710" s="268" t="n"/>
      <c r="D710" s="268" t="n"/>
      <c r="G710" s="268" t="n"/>
    </row>
    <row r="711">
      <c r="A711" s="268" t="n"/>
      <c r="D711" s="268" t="n"/>
      <c r="G711" s="268" t="n"/>
    </row>
    <row r="712">
      <c r="A712" s="268" t="n"/>
      <c r="D712" s="268" t="n"/>
      <c r="G712" s="268" t="n"/>
    </row>
    <row r="713">
      <c r="A713" s="268" t="n"/>
      <c r="D713" s="268" t="n"/>
      <c r="G713" s="268" t="n"/>
    </row>
    <row r="714">
      <c r="A714" s="268" t="n"/>
      <c r="D714" s="268" t="n"/>
      <c r="G714" s="268" t="n"/>
    </row>
    <row r="715">
      <c r="A715" s="268" t="n"/>
      <c r="D715" s="268" t="n"/>
      <c r="G715" s="268" t="n"/>
    </row>
    <row r="716">
      <c r="A716" s="268" t="n"/>
      <c r="D716" s="268" t="n"/>
      <c r="G716" s="268" t="n"/>
    </row>
    <row r="717">
      <c r="A717" s="268" t="n"/>
      <c r="D717" s="268" t="n"/>
      <c r="G717" s="268" t="n"/>
    </row>
    <row r="718">
      <c r="A718" s="268" t="n"/>
      <c r="D718" s="268" t="n"/>
      <c r="G718" s="268" t="n"/>
    </row>
    <row r="719">
      <c r="A719" s="268" t="n"/>
      <c r="D719" s="268" t="n"/>
      <c r="G719" s="268" t="n"/>
    </row>
    <row r="720">
      <c r="A720" s="268" t="n"/>
      <c r="D720" s="268" t="n"/>
      <c r="G720" s="268" t="n"/>
    </row>
    <row r="721">
      <c r="A721" s="268" t="n"/>
      <c r="D721" s="268" t="n"/>
      <c r="G721" s="268" t="n"/>
    </row>
    <row r="722">
      <c r="A722" s="268" t="n"/>
      <c r="D722" s="268" t="n"/>
      <c r="G722" s="268" t="n"/>
    </row>
    <row r="723">
      <c r="A723" s="268" t="n"/>
      <c r="D723" s="268" t="n"/>
      <c r="G723" s="268" t="n"/>
    </row>
    <row r="724">
      <c r="A724" s="268" t="n"/>
      <c r="D724" s="268" t="n"/>
      <c r="G724" s="268" t="n"/>
    </row>
    <row r="725">
      <c r="A725" s="268" t="n"/>
      <c r="D725" s="268" t="n"/>
      <c r="G725" s="268" t="n"/>
    </row>
    <row r="726">
      <c r="A726" s="268" t="n"/>
      <c r="D726" s="268" t="n"/>
      <c r="G726" s="268" t="n"/>
    </row>
    <row r="727">
      <c r="A727" s="268" t="n"/>
      <c r="D727" s="268" t="n"/>
      <c r="G727" s="268" t="n"/>
    </row>
    <row r="728">
      <c r="A728" s="268" t="n"/>
      <c r="D728" s="268" t="n"/>
      <c r="G728" s="268" t="n"/>
    </row>
    <row r="729">
      <c r="A729" s="268" t="n"/>
      <c r="D729" s="268" t="n"/>
      <c r="G729" s="268" t="n"/>
    </row>
    <row r="730">
      <c r="A730" s="268" t="n"/>
      <c r="D730" s="268" t="n"/>
      <c r="G730" s="268" t="n"/>
    </row>
    <row r="731">
      <c r="A731" s="268" t="n"/>
      <c r="D731" s="268" t="n"/>
      <c r="G731" s="268" t="n"/>
    </row>
    <row r="732">
      <c r="A732" s="268" t="n"/>
      <c r="D732" s="268" t="n"/>
      <c r="G732" s="268" t="n"/>
    </row>
    <row r="733">
      <c r="A733" s="268" t="n"/>
      <c r="D733" s="268" t="n"/>
      <c r="G733" s="268" t="n"/>
    </row>
    <row r="734">
      <c r="A734" s="268" t="n"/>
      <c r="D734" s="268" t="n"/>
      <c r="G734" s="268" t="n"/>
    </row>
    <row r="735">
      <c r="A735" s="268" t="n"/>
      <c r="D735" s="268" t="n"/>
      <c r="G735" s="268" t="n"/>
    </row>
    <row r="736">
      <c r="A736" s="268" t="n"/>
      <c r="D736" s="268" t="n"/>
      <c r="G736" s="268" t="n"/>
    </row>
    <row r="737">
      <c r="A737" s="268" t="n"/>
      <c r="D737" s="268" t="n"/>
      <c r="G737" s="268" t="n"/>
    </row>
    <row r="738">
      <c r="A738" s="268" t="n"/>
      <c r="D738" s="268" t="n"/>
      <c r="G738" s="268" t="n"/>
    </row>
    <row r="739">
      <c r="A739" s="268" t="n"/>
      <c r="D739" s="268" t="n"/>
      <c r="G739" s="268" t="n"/>
    </row>
    <row r="740">
      <c r="A740" s="268" t="n"/>
      <c r="D740" s="268" t="n"/>
      <c r="G740" s="268" t="n"/>
    </row>
    <row r="741">
      <c r="A741" s="268" t="n"/>
      <c r="D741" s="268" t="n"/>
      <c r="G741" s="268" t="n"/>
    </row>
    <row r="742">
      <c r="A742" s="268" t="n"/>
      <c r="D742" s="268" t="n"/>
      <c r="G742" s="268" t="n"/>
    </row>
    <row r="743">
      <c r="A743" s="268" t="n"/>
      <c r="D743" s="268" t="n"/>
      <c r="G743" s="268" t="n"/>
    </row>
    <row r="744">
      <c r="A744" s="268" t="n"/>
      <c r="D744" s="268" t="n"/>
      <c r="G744" s="268" t="n"/>
    </row>
    <row r="745">
      <c r="A745" s="268" t="n"/>
      <c r="D745" s="268" t="n"/>
      <c r="G745" s="268" t="n"/>
    </row>
    <row r="746">
      <c r="A746" s="268" t="n"/>
      <c r="D746" s="268" t="n"/>
      <c r="G746" s="268" t="n"/>
    </row>
    <row r="747">
      <c r="A747" s="268" t="n"/>
      <c r="D747" s="268" t="n"/>
      <c r="G747" s="268" t="n"/>
    </row>
    <row r="748">
      <c r="A748" s="268" t="n"/>
      <c r="D748" s="268" t="n"/>
      <c r="G748" s="268" t="n"/>
    </row>
    <row r="749">
      <c r="A749" s="268" t="n"/>
      <c r="D749" s="268" t="n"/>
      <c r="G749" s="268" t="n"/>
    </row>
    <row r="750">
      <c r="A750" s="268" t="n"/>
      <c r="D750" s="268" t="n"/>
      <c r="G750" s="268" t="n"/>
    </row>
    <row r="751">
      <c r="A751" s="268" t="n"/>
      <c r="D751" s="268" t="n"/>
      <c r="G751" s="268" t="n"/>
    </row>
    <row r="752">
      <c r="A752" s="268" t="n"/>
      <c r="D752" s="268" t="n"/>
      <c r="G752" s="268" t="n"/>
    </row>
    <row r="753">
      <c r="A753" s="268" t="n"/>
      <c r="D753" s="268" t="n"/>
      <c r="G753" s="268" t="n"/>
    </row>
    <row r="754">
      <c r="A754" s="268" t="n"/>
      <c r="D754" s="268" t="n"/>
      <c r="G754" s="268" t="n"/>
    </row>
    <row r="755">
      <c r="A755" s="268" t="n"/>
      <c r="D755" s="268" t="n"/>
      <c r="G755" s="268" t="n"/>
    </row>
    <row r="756">
      <c r="A756" s="268" t="n"/>
      <c r="D756" s="268" t="n"/>
      <c r="G756" s="268" t="n"/>
    </row>
    <row r="757">
      <c r="A757" s="268" t="n"/>
      <c r="D757" s="268" t="n"/>
      <c r="G757" s="268" t="n"/>
    </row>
    <row r="758">
      <c r="A758" s="268" t="n"/>
      <c r="D758" s="268" t="n"/>
      <c r="G758" s="268" t="n"/>
    </row>
    <row r="759">
      <c r="A759" s="268" t="n"/>
      <c r="D759" s="268" t="n"/>
      <c r="G759" s="268" t="n"/>
    </row>
    <row r="760">
      <c r="A760" s="268" t="n"/>
      <c r="D760" s="268" t="n"/>
      <c r="G760" s="268" t="n"/>
    </row>
    <row r="761">
      <c r="A761" s="268" t="n"/>
      <c r="D761" s="268" t="n"/>
      <c r="G761" s="268" t="n"/>
    </row>
    <row r="762">
      <c r="A762" s="268" t="n"/>
      <c r="D762" s="268" t="n"/>
      <c r="G762" s="268" t="n"/>
    </row>
    <row r="763">
      <c r="A763" s="268" t="n"/>
      <c r="D763" s="268" t="n"/>
      <c r="G763" s="268" t="n"/>
    </row>
    <row r="764">
      <c r="A764" s="268" t="n"/>
      <c r="D764" s="268" t="n"/>
      <c r="G764" s="268" t="n"/>
    </row>
    <row r="765">
      <c r="A765" s="268" t="n"/>
      <c r="D765" s="268" t="n"/>
      <c r="G765" s="268" t="n"/>
    </row>
    <row r="766">
      <c r="A766" s="268" t="n"/>
      <c r="D766" s="268" t="n"/>
      <c r="G766" s="268" t="n"/>
    </row>
    <row r="767">
      <c r="A767" s="268" t="n"/>
      <c r="D767" s="268" t="n"/>
      <c r="G767" s="268" t="n"/>
    </row>
    <row r="768">
      <c r="A768" s="268" t="n"/>
      <c r="D768" s="268" t="n"/>
      <c r="G768" s="268" t="n"/>
    </row>
    <row r="769">
      <c r="A769" s="268" t="n"/>
      <c r="D769" s="268" t="n"/>
      <c r="G769" s="268" t="n"/>
    </row>
    <row r="770">
      <c r="A770" s="268" t="n"/>
      <c r="D770" s="268" t="n"/>
      <c r="G770" s="268" t="n"/>
    </row>
    <row r="771">
      <c r="A771" s="268" t="n"/>
      <c r="D771" s="268" t="n"/>
      <c r="G771" s="268" t="n"/>
    </row>
    <row r="772">
      <c r="A772" s="268" t="n"/>
      <c r="D772" s="268" t="n"/>
      <c r="G772" s="268" t="n"/>
    </row>
    <row r="773">
      <c r="A773" s="268" t="n"/>
      <c r="D773" s="268" t="n"/>
      <c r="G773" s="268" t="n"/>
    </row>
    <row r="774">
      <c r="A774" s="268" t="n"/>
      <c r="D774" s="268" t="n"/>
      <c r="G774" s="268" t="n"/>
    </row>
    <row r="775">
      <c r="A775" s="268" t="n"/>
      <c r="D775" s="268" t="n"/>
      <c r="G775" s="268" t="n"/>
    </row>
    <row r="776">
      <c r="A776" s="268" t="n"/>
      <c r="D776" s="268" t="n"/>
      <c r="G776" s="268" t="n"/>
    </row>
    <row r="777">
      <c r="A777" s="268" t="n"/>
      <c r="D777" s="268" t="n"/>
      <c r="G777" s="268" t="n"/>
    </row>
    <row r="778">
      <c r="A778" s="268" t="n"/>
      <c r="D778" s="268" t="n"/>
      <c r="G778" s="268" t="n"/>
    </row>
    <row r="779">
      <c r="A779" s="268" t="n"/>
      <c r="D779" s="268" t="n"/>
      <c r="G779" s="268" t="n"/>
    </row>
    <row r="780">
      <c r="A780" s="268" t="n"/>
      <c r="D780" s="268" t="n"/>
      <c r="G780" s="268" t="n"/>
    </row>
    <row r="781">
      <c r="A781" s="268" t="n"/>
      <c r="D781" s="268" t="n"/>
      <c r="G781" s="268" t="n"/>
    </row>
    <row r="782">
      <c r="A782" s="268" t="n"/>
      <c r="D782" s="268" t="n"/>
      <c r="G782" s="268" t="n"/>
    </row>
    <row r="783">
      <c r="A783" s="268" t="n"/>
      <c r="D783" s="268" t="n"/>
      <c r="G783" s="268" t="n"/>
    </row>
    <row r="784">
      <c r="A784" s="268" t="n"/>
      <c r="D784" s="268" t="n"/>
      <c r="G784" s="268" t="n"/>
    </row>
    <row r="785">
      <c r="A785" s="268" t="n"/>
      <c r="D785" s="268" t="n"/>
      <c r="G785" s="268" t="n"/>
    </row>
    <row r="786">
      <c r="A786" s="268" t="n"/>
      <c r="D786" s="268" t="n"/>
      <c r="G786" s="268" t="n"/>
    </row>
    <row r="787">
      <c r="A787" s="268" t="n"/>
      <c r="D787" s="268" t="n"/>
      <c r="G787" s="268" t="n"/>
    </row>
    <row r="788">
      <c r="A788" s="268" t="n"/>
      <c r="D788" s="268" t="n"/>
      <c r="G788" s="268" t="n"/>
    </row>
    <row r="789">
      <c r="A789" s="268" t="n"/>
      <c r="D789" s="268" t="n"/>
      <c r="G789" s="268" t="n"/>
    </row>
    <row r="790">
      <c r="A790" s="268" t="n"/>
      <c r="D790" s="268" t="n"/>
      <c r="G790" s="268" t="n"/>
    </row>
    <row r="791">
      <c r="A791" s="268" t="n"/>
      <c r="D791" s="268" t="n"/>
      <c r="G791" s="268" t="n"/>
    </row>
    <row r="792">
      <c r="A792" s="268" t="n"/>
      <c r="D792" s="268" t="n"/>
      <c r="G792" s="268" t="n"/>
    </row>
    <row r="793">
      <c r="A793" s="268" t="n"/>
      <c r="D793" s="268" t="n"/>
      <c r="G793" s="268" t="n"/>
    </row>
    <row r="794">
      <c r="A794" s="268" t="n"/>
      <c r="D794" s="268" t="n"/>
      <c r="G794" s="268" t="n"/>
    </row>
    <row r="795">
      <c r="A795" s="268" t="n"/>
      <c r="D795" s="268" t="n"/>
      <c r="G795" s="268" t="n"/>
    </row>
    <row r="796">
      <c r="A796" s="268" t="n"/>
      <c r="D796" s="268" t="n"/>
      <c r="G796" s="268" t="n"/>
    </row>
    <row r="797">
      <c r="A797" s="268" t="n"/>
      <c r="D797" s="268" t="n"/>
      <c r="G797" s="268" t="n"/>
    </row>
    <row r="798">
      <c r="A798" s="268" t="n"/>
      <c r="D798" s="268" t="n"/>
      <c r="G798" s="268" t="n"/>
    </row>
    <row r="799">
      <c r="A799" s="268" t="n"/>
      <c r="D799" s="268" t="n"/>
      <c r="G799" s="268" t="n"/>
    </row>
    <row r="800">
      <c r="A800" s="268" t="n"/>
      <c r="D800" s="268" t="n"/>
      <c r="G800" s="268" t="n"/>
    </row>
    <row r="801">
      <c r="A801" s="268" t="n"/>
      <c r="D801" s="268" t="n"/>
      <c r="G801" s="268" t="n"/>
    </row>
    <row r="802">
      <c r="A802" s="268" t="n"/>
      <c r="D802" s="268" t="n"/>
      <c r="G802" s="268" t="n"/>
    </row>
    <row r="803">
      <c r="A803" s="268" t="n"/>
      <c r="D803" s="268" t="n"/>
      <c r="G803" s="268" t="n"/>
    </row>
    <row r="804">
      <c r="A804" s="268" t="n"/>
      <c r="D804" s="268" t="n"/>
      <c r="G804" s="268" t="n"/>
    </row>
    <row r="805">
      <c r="A805" s="268" t="n"/>
      <c r="D805" s="268" t="n"/>
      <c r="G805" s="268" t="n"/>
    </row>
    <row r="806">
      <c r="A806" s="268" t="n"/>
      <c r="D806" s="268" t="n"/>
      <c r="G806" s="268" t="n"/>
    </row>
    <row r="807">
      <c r="A807" s="268" t="n"/>
      <c r="D807" s="268" t="n"/>
      <c r="G807" s="268" t="n"/>
    </row>
    <row r="808">
      <c r="A808" s="268" t="n"/>
      <c r="D808" s="268" t="n"/>
      <c r="G808" s="268" t="n"/>
    </row>
    <row r="809">
      <c r="A809" s="268" t="n"/>
      <c r="D809" s="268" t="n"/>
      <c r="G809" s="268" t="n"/>
    </row>
    <row r="810">
      <c r="A810" s="268" t="n"/>
      <c r="D810" s="268" t="n"/>
      <c r="G810" s="268" t="n"/>
    </row>
    <row r="811">
      <c r="A811" s="268" t="n"/>
      <c r="D811" s="268" t="n"/>
      <c r="G811" s="268" t="n"/>
    </row>
    <row r="812">
      <c r="A812" s="268" t="n"/>
      <c r="D812" s="268" t="n"/>
      <c r="G812" s="268" t="n"/>
    </row>
    <row r="813">
      <c r="A813" s="268" t="n"/>
      <c r="D813" s="268" t="n"/>
      <c r="G813" s="268" t="n"/>
    </row>
    <row r="814">
      <c r="A814" s="268" t="n"/>
      <c r="D814" s="268" t="n"/>
      <c r="G814" s="268" t="n"/>
    </row>
    <row r="815">
      <c r="A815" s="268" t="n"/>
      <c r="D815" s="268" t="n"/>
      <c r="G815" s="268" t="n"/>
    </row>
    <row r="816">
      <c r="A816" s="268" t="n"/>
      <c r="D816" s="268" t="n"/>
      <c r="G816" s="268" t="n"/>
    </row>
    <row r="817">
      <c r="A817" s="268" t="n"/>
      <c r="D817" s="268" t="n"/>
      <c r="G817" s="268" t="n"/>
    </row>
    <row r="818">
      <c r="A818" s="268" t="n"/>
      <c r="D818" s="268" t="n"/>
      <c r="G818" s="268" t="n"/>
    </row>
    <row r="819">
      <c r="A819" s="268" t="n"/>
      <c r="D819" s="268" t="n"/>
      <c r="G819" s="268" t="n"/>
    </row>
    <row r="820">
      <c r="A820" s="268" t="n"/>
      <c r="D820" s="268" t="n"/>
      <c r="G820" s="268" t="n"/>
    </row>
    <row r="821">
      <c r="A821" s="268" t="n"/>
      <c r="D821" s="268" t="n"/>
      <c r="G821" s="268" t="n"/>
    </row>
    <row r="822">
      <c r="A822" s="268" t="n"/>
      <c r="D822" s="268" t="n"/>
      <c r="G822" s="268" t="n"/>
    </row>
    <row r="823">
      <c r="A823" s="268" t="n"/>
      <c r="D823" s="268" t="n"/>
      <c r="G823" s="268" t="n"/>
    </row>
    <row r="824">
      <c r="A824" s="268" t="n"/>
      <c r="D824" s="268" t="n"/>
      <c r="G824" s="268" t="n"/>
    </row>
    <row r="825">
      <c r="A825" s="268" t="n"/>
      <c r="D825" s="268" t="n"/>
      <c r="G825" s="268" t="n"/>
    </row>
    <row r="826">
      <c r="A826" s="268" t="n"/>
      <c r="D826" s="268" t="n"/>
      <c r="G826" s="268" t="n"/>
    </row>
    <row r="827">
      <c r="A827" s="268" t="n"/>
      <c r="D827" s="268" t="n"/>
      <c r="G827" s="268" t="n"/>
    </row>
    <row r="828">
      <c r="A828" s="268" t="n"/>
      <c r="D828" s="268" t="n"/>
      <c r="G828" s="268" t="n"/>
    </row>
    <row r="829">
      <c r="A829" s="268" t="n"/>
      <c r="D829" s="268" t="n"/>
      <c r="G829" s="268" t="n"/>
    </row>
    <row r="830">
      <c r="A830" s="268" t="n"/>
      <c r="D830" s="268" t="n"/>
      <c r="G830" s="268" t="n"/>
    </row>
    <row r="831">
      <c r="A831" s="268" t="n"/>
      <c r="D831" s="268" t="n"/>
      <c r="G831" s="268" t="n"/>
    </row>
    <row r="832">
      <c r="A832" s="268" t="n"/>
      <c r="D832" s="268" t="n"/>
      <c r="G832" s="268" t="n"/>
    </row>
    <row r="833">
      <c r="A833" s="268" t="n"/>
      <c r="D833" s="268" t="n"/>
      <c r="G833" s="268" t="n"/>
    </row>
    <row r="834">
      <c r="A834" s="268" t="n"/>
      <c r="D834" s="268" t="n"/>
      <c r="G834" s="268" t="n"/>
    </row>
    <row r="835">
      <c r="A835" s="268" t="n"/>
      <c r="D835" s="268" t="n"/>
      <c r="G835" s="268" t="n"/>
    </row>
    <row r="836">
      <c r="A836" s="268" t="n"/>
      <c r="D836" s="268" t="n"/>
      <c r="G836" s="268" t="n"/>
    </row>
    <row r="837">
      <c r="A837" s="268" t="n"/>
      <c r="D837" s="268" t="n"/>
      <c r="G837" s="268" t="n"/>
    </row>
    <row r="838">
      <c r="A838" s="268" t="n"/>
      <c r="D838" s="268" t="n"/>
      <c r="G838" s="268" t="n"/>
    </row>
    <row r="839">
      <c r="A839" s="268" t="n"/>
      <c r="D839" s="268" t="n"/>
      <c r="G839" s="268" t="n"/>
    </row>
    <row r="840">
      <c r="A840" s="268" t="n"/>
      <c r="D840" s="268" t="n"/>
      <c r="G840" s="268" t="n"/>
    </row>
    <row r="841">
      <c r="A841" s="268" t="n"/>
      <c r="D841" s="268" t="n"/>
      <c r="G841" s="268" t="n"/>
    </row>
    <row r="842">
      <c r="A842" s="268" t="n"/>
      <c r="D842" s="268" t="n"/>
      <c r="G842" s="268" t="n"/>
    </row>
    <row r="843">
      <c r="A843" s="268" t="n"/>
      <c r="D843" s="268" t="n"/>
      <c r="G843" s="268" t="n"/>
    </row>
    <row r="844">
      <c r="A844" s="268" t="n"/>
      <c r="D844" s="268" t="n"/>
      <c r="G844" s="268" t="n"/>
    </row>
    <row r="845">
      <c r="A845" s="268" t="n"/>
      <c r="D845" s="268" t="n"/>
      <c r="G845" s="268" t="n"/>
    </row>
    <row r="846">
      <c r="A846" s="268" t="n"/>
      <c r="D846" s="268" t="n"/>
      <c r="G846" s="268" t="n"/>
    </row>
    <row r="847">
      <c r="A847" s="268" t="n"/>
      <c r="D847" s="268" t="n"/>
      <c r="G847" s="268" t="n"/>
    </row>
    <row r="848">
      <c r="A848" s="268" t="n"/>
      <c r="D848" s="268" t="n"/>
      <c r="G848" s="268" t="n"/>
    </row>
    <row r="849">
      <c r="A849" s="268" t="n"/>
      <c r="D849" s="268" t="n"/>
      <c r="G849" s="268" t="n"/>
    </row>
    <row r="850">
      <c r="A850" s="268" t="n"/>
      <c r="D850" s="268" t="n"/>
      <c r="G850" s="268" t="n"/>
    </row>
    <row r="851">
      <c r="A851" s="268" t="n"/>
      <c r="D851" s="268" t="n"/>
      <c r="G851" s="268" t="n"/>
    </row>
    <row r="852">
      <c r="A852" s="268" t="n"/>
      <c r="D852" s="268" t="n"/>
      <c r="G852" s="268" t="n"/>
    </row>
    <row r="853">
      <c r="A853" s="268" t="n"/>
      <c r="D853" s="268" t="n"/>
      <c r="G853" s="268" t="n"/>
    </row>
    <row r="854">
      <c r="A854" s="268" t="n"/>
      <c r="D854" s="268" t="n"/>
      <c r="G854" s="268" t="n"/>
    </row>
    <row r="855">
      <c r="A855" s="268" t="n"/>
      <c r="D855" s="268" t="n"/>
      <c r="G855" s="268" t="n"/>
    </row>
    <row r="856">
      <c r="A856" s="268" t="n"/>
      <c r="D856" s="268" t="n"/>
      <c r="G856" s="268" t="n"/>
    </row>
    <row r="857">
      <c r="A857" s="268" t="n"/>
      <c r="D857" s="268" t="n"/>
      <c r="G857" s="268" t="n"/>
    </row>
    <row r="858">
      <c r="A858" s="268" t="n"/>
      <c r="D858" s="268" t="n"/>
      <c r="G858" s="268" t="n"/>
    </row>
    <row r="859">
      <c r="A859" s="268" t="n"/>
      <c r="D859" s="268" t="n"/>
      <c r="G859" s="268" t="n"/>
    </row>
    <row r="860">
      <c r="A860" s="268" t="n"/>
      <c r="D860" s="268" t="n"/>
      <c r="G860" s="268" t="n"/>
    </row>
    <row r="861">
      <c r="A861" s="268" t="n"/>
      <c r="D861" s="268" t="n"/>
      <c r="G861" s="268" t="n"/>
    </row>
    <row r="862">
      <c r="A862" s="268" t="n"/>
      <c r="D862" s="268" t="n"/>
      <c r="G862" s="268" t="n"/>
    </row>
    <row r="863">
      <c r="A863" s="268" t="n"/>
      <c r="D863" s="268" t="n"/>
      <c r="G863" s="268" t="n"/>
    </row>
    <row r="864">
      <c r="A864" s="268" t="n"/>
      <c r="D864" s="268" t="n"/>
      <c r="G864" s="268" t="n"/>
    </row>
    <row r="865">
      <c r="A865" s="268" t="n"/>
      <c r="D865" s="268" t="n"/>
      <c r="G865" s="268" t="n"/>
    </row>
    <row r="866">
      <c r="A866" s="268" t="n"/>
      <c r="D866" s="268" t="n"/>
      <c r="G866" s="268" t="n"/>
    </row>
    <row r="867">
      <c r="A867" s="268" t="n"/>
      <c r="D867" s="268" t="n"/>
      <c r="G867" s="268" t="n"/>
    </row>
    <row r="868">
      <c r="A868" s="268" t="n"/>
      <c r="D868" s="268" t="n"/>
      <c r="G868" s="268" t="n"/>
    </row>
    <row r="869">
      <c r="A869" s="268" t="n"/>
      <c r="D869" s="268" t="n"/>
      <c r="G869" s="268" t="n"/>
    </row>
    <row r="870">
      <c r="A870" s="268" t="n"/>
      <c r="D870" s="268" t="n"/>
      <c r="G870" s="268" t="n"/>
    </row>
    <row r="871">
      <c r="A871" s="268" t="n"/>
      <c r="D871" s="268" t="n"/>
      <c r="G871" s="268" t="n"/>
    </row>
    <row r="872">
      <c r="A872" s="268" t="n"/>
      <c r="D872" s="268" t="n"/>
      <c r="G872" s="268" t="n"/>
    </row>
    <row r="873">
      <c r="A873" s="268" t="n"/>
      <c r="D873" s="268" t="n"/>
      <c r="G873" s="268" t="n"/>
    </row>
    <row r="874">
      <c r="A874" s="268" t="n"/>
      <c r="D874" s="268" t="n"/>
      <c r="G874" s="268" t="n"/>
    </row>
    <row r="875">
      <c r="A875" s="268" t="n"/>
      <c r="D875" s="268" t="n"/>
      <c r="G875" s="268" t="n"/>
    </row>
    <row r="876">
      <c r="A876" s="268" t="n"/>
      <c r="D876" s="268" t="n"/>
      <c r="G876" s="268" t="n"/>
    </row>
    <row r="877">
      <c r="A877" s="268" t="n"/>
      <c r="D877" s="268" t="n"/>
      <c r="G877" s="268" t="n"/>
    </row>
    <row r="878">
      <c r="A878" s="268" t="n"/>
      <c r="D878" s="268" t="n"/>
      <c r="G878" s="268" t="n"/>
    </row>
    <row r="879">
      <c r="A879" s="268" t="n"/>
      <c r="D879" s="268" t="n"/>
      <c r="G879" s="268" t="n"/>
    </row>
    <row r="880">
      <c r="A880" s="268" t="n"/>
      <c r="D880" s="268" t="n"/>
      <c r="G880" s="268" t="n"/>
    </row>
    <row r="881">
      <c r="A881" s="268" t="n"/>
      <c r="D881" s="268" t="n"/>
      <c r="G881" s="268" t="n"/>
    </row>
    <row r="882">
      <c r="A882" s="268" t="n"/>
      <c r="D882" s="268" t="n"/>
      <c r="G882" s="268" t="n"/>
    </row>
    <row r="883">
      <c r="A883" s="268" t="n"/>
      <c r="D883" s="268" t="n"/>
      <c r="G883" s="268" t="n"/>
    </row>
    <row r="884">
      <c r="A884" s="268" t="n"/>
      <c r="D884" s="268" t="n"/>
      <c r="G884" s="268" t="n"/>
    </row>
    <row r="885">
      <c r="A885" s="268" t="n"/>
      <c r="D885" s="268" t="n"/>
      <c r="G885" s="268" t="n"/>
    </row>
    <row r="886">
      <c r="A886" s="268" t="n"/>
      <c r="D886" s="268" t="n"/>
      <c r="G886" s="268" t="n"/>
    </row>
    <row r="887">
      <c r="A887" s="268" t="n"/>
      <c r="D887" s="268" t="n"/>
      <c r="G887" s="268" t="n"/>
    </row>
    <row r="888">
      <c r="A888" s="268" t="n"/>
      <c r="D888" s="268" t="n"/>
      <c r="G888" s="268" t="n"/>
    </row>
    <row r="889">
      <c r="A889" s="268" t="n"/>
      <c r="D889" s="268" t="n"/>
      <c r="G889" s="268" t="n"/>
    </row>
    <row r="890">
      <c r="A890" s="268" t="n"/>
      <c r="D890" s="268" t="n"/>
      <c r="G890" s="268" t="n"/>
    </row>
    <row r="891">
      <c r="A891" s="268" t="n"/>
      <c r="D891" s="268" t="n"/>
      <c r="G891" s="268" t="n"/>
    </row>
    <row r="892">
      <c r="A892" s="268" t="n"/>
      <c r="D892" s="268" t="n"/>
      <c r="G892" s="268" t="n"/>
    </row>
    <row r="893">
      <c r="A893" s="268" t="n"/>
      <c r="D893" s="268" t="n"/>
      <c r="G893" s="268" t="n"/>
    </row>
    <row r="894">
      <c r="A894" s="268" t="n"/>
      <c r="D894" s="268" t="n"/>
      <c r="G894" s="268" t="n"/>
    </row>
    <row r="895">
      <c r="A895" s="268" t="n"/>
      <c r="D895" s="268" t="n"/>
      <c r="G895" s="268" t="n"/>
    </row>
    <row r="896">
      <c r="A896" s="268" t="n"/>
      <c r="D896" s="268" t="n"/>
      <c r="G896" s="268" t="n"/>
    </row>
    <row r="897">
      <c r="A897" s="268" t="n"/>
      <c r="D897" s="268" t="n"/>
      <c r="G897" s="268" t="n"/>
    </row>
    <row r="898">
      <c r="A898" s="268" t="n"/>
      <c r="D898" s="268" t="n"/>
      <c r="G898" s="268" t="n"/>
    </row>
    <row r="899">
      <c r="A899" s="268" t="n"/>
      <c r="D899" s="268" t="n"/>
      <c r="G899" s="268" t="n"/>
    </row>
    <row r="900">
      <c r="A900" s="268" t="n"/>
      <c r="D900" s="268" t="n"/>
      <c r="G900" s="268" t="n"/>
    </row>
    <row r="901">
      <c r="A901" s="268" t="n"/>
      <c r="D901" s="268" t="n"/>
      <c r="G901" s="268" t="n"/>
    </row>
    <row r="902">
      <c r="A902" s="268" t="n"/>
      <c r="D902" s="268" t="n"/>
      <c r="G902" s="268" t="n"/>
    </row>
    <row r="903">
      <c r="A903" s="268" t="n"/>
      <c r="D903" s="268" t="n"/>
      <c r="G903" s="268" t="n"/>
    </row>
    <row r="904">
      <c r="A904" s="268" t="n"/>
      <c r="D904" s="268" t="n"/>
      <c r="G904" s="268" t="n"/>
    </row>
    <row r="905">
      <c r="A905" s="268" t="n"/>
      <c r="D905" s="268" t="n"/>
      <c r="G905" s="268" t="n"/>
    </row>
    <row r="906">
      <c r="A906" s="268" t="n"/>
      <c r="D906" s="268" t="n"/>
      <c r="G906" s="268" t="n"/>
    </row>
    <row r="907">
      <c r="A907" s="268" t="n"/>
      <c r="D907" s="268" t="n"/>
      <c r="G907" s="268" t="n"/>
    </row>
    <row r="908">
      <c r="A908" s="268" t="n"/>
      <c r="D908" s="268" t="n"/>
      <c r="G908" s="268" t="n"/>
    </row>
    <row r="909">
      <c r="A909" s="268" t="n"/>
      <c r="D909" s="268" t="n"/>
      <c r="G909" s="268" t="n"/>
    </row>
    <row r="910">
      <c r="A910" s="268" t="n"/>
      <c r="D910" s="268" t="n"/>
      <c r="G910" s="268" t="n"/>
    </row>
    <row r="911">
      <c r="A911" s="268" t="n"/>
      <c r="D911" s="268" t="n"/>
      <c r="G911" s="268" t="n"/>
    </row>
    <row r="912">
      <c r="A912" s="268" t="n"/>
      <c r="D912" s="268" t="n"/>
      <c r="G912" s="268" t="n"/>
    </row>
    <row r="913">
      <c r="A913" s="268" t="n"/>
      <c r="D913" s="268" t="n"/>
      <c r="G913" s="268" t="n"/>
    </row>
    <row r="914">
      <c r="A914" s="268" t="n"/>
      <c r="D914" s="268" t="n"/>
      <c r="G914" s="268" t="n"/>
    </row>
    <row r="915">
      <c r="A915" s="268" t="n"/>
      <c r="D915" s="268" t="n"/>
      <c r="G915" s="268" t="n"/>
    </row>
    <row r="916">
      <c r="A916" s="268" t="n"/>
      <c r="D916" s="268" t="n"/>
      <c r="G916" s="268" t="n"/>
    </row>
    <row r="917">
      <c r="A917" s="268" t="n"/>
      <c r="D917" s="268" t="n"/>
      <c r="G917" s="268" t="n"/>
    </row>
    <row r="918">
      <c r="A918" s="268" t="n"/>
      <c r="D918" s="268" t="n"/>
      <c r="G918" s="268" t="n"/>
    </row>
    <row r="919">
      <c r="A919" s="268" t="n"/>
      <c r="D919" s="268" t="n"/>
      <c r="G919" s="268" t="n"/>
    </row>
    <row r="920">
      <c r="A920" s="268" t="n"/>
      <c r="D920" s="268" t="n"/>
      <c r="G920" s="268" t="n"/>
    </row>
    <row r="921">
      <c r="A921" s="268" t="n"/>
      <c r="D921" s="268" t="n"/>
      <c r="G921" s="268" t="n"/>
    </row>
    <row r="922">
      <c r="A922" s="268" t="n"/>
      <c r="D922" s="268" t="n"/>
      <c r="G922" s="268" t="n"/>
    </row>
    <row r="923">
      <c r="A923" s="268" t="n"/>
      <c r="D923" s="268" t="n"/>
      <c r="G923" s="268" t="n"/>
    </row>
    <row r="924">
      <c r="A924" s="268" t="n"/>
      <c r="D924" s="268" t="n"/>
      <c r="G924" s="268" t="n"/>
    </row>
    <row r="925">
      <c r="A925" s="268" t="n"/>
      <c r="D925" s="268" t="n"/>
      <c r="G925" s="268" t="n"/>
    </row>
    <row r="926">
      <c r="A926" s="268" t="n"/>
      <c r="D926" s="268" t="n"/>
      <c r="G926" s="268" t="n"/>
    </row>
    <row r="927">
      <c r="A927" s="268" t="n"/>
      <c r="D927" s="268" t="n"/>
      <c r="G927" s="268" t="n"/>
    </row>
    <row r="928">
      <c r="A928" s="268" t="n"/>
      <c r="D928" s="268" t="n"/>
      <c r="G928" s="268" t="n"/>
    </row>
    <row r="929">
      <c r="A929" s="268" t="n"/>
      <c r="D929" s="268" t="n"/>
      <c r="G929" s="268" t="n"/>
    </row>
    <row r="930">
      <c r="A930" s="268" t="n"/>
      <c r="D930" s="268" t="n"/>
      <c r="G930" s="268" t="n"/>
    </row>
    <row r="931">
      <c r="A931" s="268" t="n"/>
      <c r="D931" s="268" t="n"/>
      <c r="G931" s="268" t="n"/>
    </row>
    <row r="932">
      <c r="A932" s="268" t="n"/>
      <c r="D932" s="268" t="n"/>
      <c r="G932" s="268" t="n"/>
    </row>
    <row r="933">
      <c r="A933" s="268" t="n"/>
      <c r="D933" s="268" t="n"/>
      <c r="G933" s="268" t="n"/>
    </row>
    <row r="934">
      <c r="A934" s="268" t="n"/>
      <c r="D934" s="268" t="n"/>
      <c r="G934" s="268" t="n"/>
    </row>
    <row r="935">
      <c r="A935" s="268" t="n"/>
      <c r="D935" s="268" t="n"/>
      <c r="G935" s="268" t="n"/>
    </row>
    <row r="936">
      <c r="A936" s="268" t="n"/>
      <c r="D936" s="268" t="n"/>
      <c r="G936" s="268" t="n"/>
    </row>
    <row r="937">
      <c r="A937" s="268" t="n"/>
      <c r="D937" s="268" t="n"/>
      <c r="G937" s="268" t="n"/>
    </row>
    <row r="938">
      <c r="A938" s="268" t="n"/>
      <c r="D938" s="268" t="n"/>
      <c r="G938" s="268" t="n"/>
    </row>
    <row r="939">
      <c r="A939" s="268" t="n"/>
      <c r="D939" s="268" t="n"/>
      <c r="G939" s="268" t="n"/>
    </row>
    <row r="940">
      <c r="A940" s="268" t="n"/>
      <c r="D940" s="268" t="n"/>
      <c r="G940" s="268" t="n"/>
    </row>
    <row r="941">
      <c r="A941" s="268" t="n"/>
      <c r="D941" s="268" t="n"/>
      <c r="G941" s="268" t="n"/>
    </row>
    <row r="942">
      <c r="A942" s="268" t="n"/>
      <c r="D942" s="268" t="n"/>
      <c r="G942" s="268" t="n"/>
    </row>
    <row r="943">
      <c r="A943" s="268" t="n"/>
      <c r="D943" s="268" t="n"/>
      <c r="G943" s="268" t="n"/>
    </row>
    <row r="944">
      <c r="A944" s="268" t="n"/>
      <c r="D944" s="268" t="n"/>
      <c r="G944" s="268" t="n"/>
    </row>
    <row r="945">
      <c r="A945" s="268" t="n"/>
      <c r="D945" s="268" t="n"/>
      <c r="G945" s="268" t="n"/>
    </row>
    <row r="946">
      <c r="A946" s="268" t="n"/>
      <c r="D946" s="268" t="n"/>
      <c r="G946" s="268" t="n"/>
    </row>
    <row r="947">
      <c r="A947" s="268" t="n"/>
      <c r="D947" s="268" t="n"/>
      <c r="G947" s="268" t="n"/>
    </row>
    <row r="948">
      <c r="A948" s="268" t="n"/>
      <c r="D948" s="268" t="n"/>
      <c r="G948" s="268" t="n"/>
    </row>
    <row r="949">
      <c r="A949" s="268" t="n"/>
      <c r="D949" s="268" t="n"/>
      <c r="G949" s="268" t="n"/>
    </row>
    <row r="950">
      <c r="A950" s="268" t="n"/>
      <c r="D950" s="268" t="n"/>
      <c r="G950" s="268" t="n"/>
    </row>
    <row r="951">
      <c r="A951" s="268" t="n"/>
      <c r="D951" s="268" t="n"/>
      <c r="G951" s="268" t="n"/>
    </row>
    <row r="952">
      <c r="A952" s="268" t="n"/>
      <c r="D952" s="268" t="n"/>
      <c r="G952" s="268" t="n"/>
    </row>
    <row r="953">
      <c r="A953" s="268" t="n"/>
      <c r="D953" s="268" t="n"/>
      <c r="G953" s="268" t="n"/>
    </row>
    <row r="954">
      <c r="A954" s="268" t="n"/>
      <c r="D954" s="268" t="n"/>
      <c r="G954" s="268" t="n"/>
    </row>
    <row r="955">
      <c r="A955" s="268" t="n"/>
      <c r="D955" s="268" t="n"/>
      <c r="G955" s="268" t="n"/>
    </row>
    <row r="956">
      <c r="A956" s="268" t="n"/>
      <c r="D956" s="268" t="n"/>
      <c r="G956" s="268" t="n"/>
    </row>
    <row r="957">
      <c r="A957" s="268" t="n"/>
      <c r="D957" s="268" t="n"/>
      <c r="G957" s="268" t="n"/>
    </row>
    <row r="958">
      <c r="A958" s="268" t="n"/>
      <c r="D958" s="268" t="n"/>
      <c r="G958" s="268" t="n"/>
    </row>
    <row r="959">
      <c r="A959" s="268" t="n"/>
      <c r="D959" s="268" t="n"/>
      <c r="G959" s="268" t="n"/>
    </row>
    <row r="960">
      <c r="A960" s="268" t="n"/>
      <c r="D960" s="268" t="n"/>
      <c r="G960" s="268" t="n"/>
    </row>
    <row r="961">
      <c r="A961" s="268" t="n"/>
      <c r="D961" s="268" t="n"/>
      <c r="G961" s="268" t="n"/>
    </row>
    <row r="962">
      <c r="A962" s="268" t="n"/>
      <c r="D962" s="268" t="n"/>
      <c r="G962" s="268" t="n"/>
    </row>
    <row r="963">
      <c r="A963" s="268" t="n"/>
      <c r="D963" s="268" t="n"/>
      <c r="G963" s="268" t="n"/>
    </row>
    <row r="964">
      <c r="A964" s="268" t="n"/>
      <c r="D964" s="268" t="n"/>
      <c r="G964" s="268" t="n"/>
    </row>
    <row r="965">
      <c r="A965" s="268" t="n"/>
      <c r="D965" s="268" t="n"/>
      <c r="G965" s="268" t="n"/>
    </row>
    <row r="966">
      <c r="A966" s="268" t="n"/>
      <c r="D966" s="268" t="n"/>
      <c r="G966" s="268" t="n"/>
    </row>
    <row r="967">
      <c r="A967" s="268" t="n"/>
      <c r="D967" s="268" t="n"/>
      <c r="G967" s="268" t="n"/>
    </row>
    <row r="968">
      <c r="A968" s="268" t="n"/>
      <c r="D968" s="268" t="n"/>
      <c r="G968" s="268" t="n"/>
    </row>
    <row r="969">
      <c r="A969" s="268" t="n"/>
      <c r="D969" s="268" t="n"/>
      <c r="G969" s="268" t="n"/>
    </row>
    <row r="970">
      <c r="A970" s="268" t="n"/>
      <c r="D970" s="268" t="n"/>
      <c r="G970" s="268" t="n"/>
    </row>
    <row r="971">
      <c r="A971" s="268" t="n"/>
      <c r="D971" s="268" t="n"/>
      <c r="G971" s="268" t="n"/>
    </row>
    <row r="972">
      <c r="A972" s="268" t="n"/>
      <c r="D972" s="268" t="n"/>
      <c r="G972" s="268" t="n"/>
    </row>
    <row r="973">
      <c r="A973" s="268" t="n"/>
      <c r="D973" s="268" t="n"/>
      <c r="G973" s="268" t="n"/>
    </row>
    <row r="974">
      <c r="A974" s="268" t="n"/>
      <c r="D974" s="268" t="n"/>
      <c r="G974" s="268" t="n"/>
    </row>
    <row r="975">
      <c r="A975" s="268" t="n"/>
      <c r="D975" s="268" t="n"/>
      <c r="G975" s="268" t="n"/>
    </row>
    <row r="976">
      <c r="A976" s="268" t="n"/>
      <c r="D976" s="268" t="n"/>
      <c r="G976" s="268" t="n"/>
    </row>
    <row r="977">
      <c r="A977" s="268" t="n"/>
      <c r="D977" s="268" t="n"/>
      <c r="G977" s="268" t="n"/>
    </row>
    <row r="978">
      <c r="A978" s="268" t="n"/>
      <c r="D978" s="268" t="n"/>
      <c r="G978" s="268" t="n"/>
    </row>
    <row r="979">
      <c r="A979" s="268" t="n"/>
      <c r="D979" s="268" t="n"/>
      <c r="G979" s="268" t="n"/>
    </row>
    <row r="980">
      <c r="A980" s="268" t="n"/>
      <c r="D980" s="268" t="n"/>
      <c r="G980" s="268" t="n"/>
    </row>
    <row r="981">
      <c r="A981" s="268" t="n"/>
      <c r="D981" s="268" t="n"/>
      <c r="G981" s="268" t="n"/>
    </row>
    <row r="982">
      <c r="A982" s="268" t="n"/>
      <c r="D982" s="268" t="n"/>
      <c r="G982" s="268" t="n"/>
    </row>
    <row r="983">
      <c r="A983" s="268" t="n"/>
      <c r="D983" s="268" t="n"/>
      <c r="G983" s="268" t="n"/>
    </row>
    <row r="984">
      <c r="A984" s="268" t="n"/>
      <c r="D984" s="268" t="n"/>
      <c r="G984" s="268" t="n"/>
    </row>
    <row r="985">
      <c r="A985" s="268" t="n"/>
      <c r="D985" s="268" t="n"/>
      <c r="G985" s="268" t="n"/>
    </row>
    <row r="986">
      <c r="A986" s="268" t="n"/>
      <c r="D986" s="268" t="n"/>
      <c r="G986" s="268" t="n"/>
    </row>
    <row r="987">
      <c r="A987" s="268" t="n"/>
      <c r="D987" s="268" t="n"/>
      <c r="G987" s="268" t="n"/>
    </row>
    <row r="988">
      <c r="A988" s="268" t="n"/>
      <c r="D988" s="268" t="n"/>
      <c r="G988" s="268" t="n"/>
    </row>
    <row r="989">
      <c r="A989" s="268" t="n"/>
      <c r="D989" s="268" t="n"/>
      <c r="G989" s="268" t="n"/>
    </row>
    <row r="990">
      <c r="A990" s="268" t="n"/>
      <c r="D990" s="268" t="n"/>
      <c r="G990" s="268" t="n"/>
    </row>
    <row r="991">
      <c r="A991" s="268" t="n"/>
      <c r="D991" s="268" t="n"/>
      <c r="G991" s="268" t="n"/>
    </row>
    <row r="992">
      <c r="A992" s="268" t="n"/>
      <c r="D992" s="268" t="n"/>
      <c r="G992" s="268" t="n"/>
    </row>
    <row r="993">
      <c r="A993" s="268" t="n"/>
      <c r="D993" s="268" t="n"/>
      <c r="G993" s="268" t="n"/>
    </row>
    <row r="994">
      <c r="A994" s="268" t="n"/>
      <c r="D994" s="268" t="n"/>
      <c r="G994" s="268" t="n"/>
    </row>
    <row r="995">
      <c r="A995" s="268" t="n"/>
      <c r="D995" s="268" t="n"/>
      <c r="G995" s="268" t="n"/>
    </row>
    <row r="996">
      <c r="A996" s="268" t="n"/>
      <c r="D996" s="268" t="n"/>
      <c r="G996" s="268" t="n"/>
    </row>
    <row r="997">
      <c r="A997" s="268" t="n"/>
      <c r="D997" s="268" t="n"/>
      <c r="G997" s="268" t="n"/>
    </row>
    <row r="998">
      <c r="A998" s="268" t="n"/>
      <c r="D998" s="268" t="n"/>
      <c r="G998" s="268" t="n"/>
    </row>
    <row r="999">
      <c r="A999" s="268" t="n"/>
      <c r="D999" s="268" t="n"/>
      <c r="G999" s="268" t="n"/>
    </row>
    <row r="1000">
      <c r="A1000" s="268" t="n"/>
      <c r="D1000" s="268" t="n"/>
      <c r="G1000" s="268" t="n"/>
    </row>
    <row r="1001">
      <c r="A1001" s="268" t="n"/>
      <c r="D1001" s="268" t="n"/>
      <c r="G1001" s="268" t="n"/>
    </row>
    <row r="1002">
      <c r="A1002" s="268" t="n"/>
      <c r="D1002" s="268" t="n"/>
      <c r="G1002" s="268" t="n"/>
    </row>
    <row r="1003">
      <c r="A1003" s="268" t="n"/>
      <c r="D1003" s="268" t="n"/>
      <c r="G1003" s="268" t="n"/>
    </row>
    <row r="1004">
      <c r="A1004" s="268" t="n"/>
      <c r="D1004" s="268" t="n"/>
      <c r="G1004" s="268" t="n"/>
    </row>
    <row r="1005">
      <c r="A1005" s="268" t="n"/>
      <c r="D1005" s="268" t="n"/>
      <c r="G1005" s="268" t="n"/>
    </row>
    <row r="1006">
      <c r="A1006" s="268" t="n"/>
      <c r="D1006" s="268" t="n"/>
      <c r="G1006" s="268" t="n"/>
    </row>
    <row r="1007">
      <c r="A1007" s="268" t="n"/>
      <c r="D1007" s="268" t="n"/>
      <c r="G1007" s="268" t="n"/>
    </row>
    <row r="1008">
      <c r="A1008" s="268" t="n"/>
      <c r="D1008" s="268" t="n"/>
      <c r="G1008" s="268" t="n"/>
    </row>
    <row r="1009">
      <c r="A1009" s="268" t="n"/>
      <c r="D1009" s="268" t="n"/>
      <c r="G1009" s="268" t="n"/>
    </row>
    <row r="1010">
      <c r="A1010" s="268" t="n"/>
      <c r="D1010" s="268" t="n"/>
      <c r="G1010" s="268" t="n"/>
    </row>
    <row r="1011">
      <c r="A1011" s="268" t="n"/>
      <c r="D1011" s="268" t="n"/>
      <c r="G1011" s="268" t="n"/>
    </row>
    <row r="1012">
      <c r="A1012" s="268" t="n"/>
      <c r="D1012" s="268" t="n"/>
      <c r="G1012" s="268" t="n"/>
    </row>
    <row r="1013">
      <c r="A1013" s="268" t="n"/>
      <c r="D1013" s="268" t="n"/>
      <c r="G1013" s="268" t="n"/>
    </row>
    <row r="1014">
      <c r="A1014" s="268" t="n"/>
      <c r="D1014" s="268" t="n"/>
      <c r="G1014" s="268" t="n"/>
    </row>
    <row r="1015">
      <c r="A1015" s="268" t="n"/>
      <c r="D1015" s="268" t="n"/>
      <c r="G1015" s="268" t="n"/>
    </row>
    <row r="1016">
      <c r="A1016" s="268" t="n"/>
      <c r="D1016" s="268" t="n"/>
      <c r="G1016" s="268" t="n"/>
    </row>
    <row r="1017">
      <c r="A1017" s="268" t="n"/>
      <c r="D1017" s="268" t="n"/>
      <c r="G1017" s="268" t="n"/>
    </row>
    <row r="1018">
      <c r="A1018" s="268" t="n"/>
      <c r="D1018" s="268" t="n"/>
      <c r="G1018" s="268" t="n"/>
    </row>
    <row r="1019">
      <c r="A1019" s="268" t="n"/>
      <c r="D1019" s="268" t="n"/>
      <c r="G1019" s="268" t="n"/>
    </row>
    <row r="1020">
      <c r="A1020" s="268" t="n"/>
      <c r="D1020" s="268" t="n"/>
      <c r="G1020" s="268" t="n"/>
    </row>
    <row r="1021">
      <c r="A1021" s="268" t="n"/>
      <c r="D1021" s="268" t="n"/>
      <c r="G1021" s="268" t="n"/>
    </row>
    <row r="1022">
      <c r="A1022" s="268" t="n"/>
      <c r="D1022" s="268" t="n"/>
      <c r="G1022" s="268" t="n"/>
    </row>
    <row r="1023">
      <c r="A1023" s="268" t="n"/>
      <c r="D1023" s="268" t="n"/>
      <c r="G1023" s="268" t="n"/>
    </row>
    <row r="1024">
      <c r="A1024" s="268" t="n"/>
      <c r="D1024" s="268" t="n"/>
      <c r="G1024" s="268" t="n"/>
    </row>
    <row r="1025">
      <c r="A1025" s="268" t="n"/>
      <c r="D1025" s="268" t="n"/>
      <c r="G1025" s="268" t="n"/>
    </row>
    <row r="1026">
      <c r="A1026" s="268" t="n"/>
      <c r="D1026" s="268" t="n"/>
      <c r="G1026" s="268" t="n"/>
    </row>
    <row r="1027">
      <c r="A1027" s="268" t="n"/>
      <c r="D1027" s="268" t="n"/>
      <c r="G1027" s="268" t="n"/>
    </row>
    <row r="1028">
      <c r="A1028" s="268" t="n"/>
      <c r="D1028" s="268" t="n"/>
      <c r="G1028" s="268" t="n"/>
    </row>
    <row r="1029">
      <c r="A1029" s="268" t="n"/>
      <c r="D1029" s="268" t="n"/>
      <c r="G1029" s="268" t="n"/>
    </row>
    <row r="1030">
      <c r="A1030" s="268" t="n"/>
      <c r="D1030" s="268" t="n"/>
      <c r="G1030" s="268" t="n"/>
    </row>
    <row r="1031">
      <c r="A1031" s="268" t="n"/>
      <c r="D1031" s="268" t="n"/>
      <c r="G1031" s="268" t="n"/>
    </row>
    <row r="1032">
      <c r="A1032" s="268" t="n"/>
      <c r="D1032" s="268" t="n"/>
      <c r="G1032" s="268" t="n"/>
    </row>
    <row r="1033">
      <c r="A1033" s="268" t="n"/>
      <c r="D1033" s="268" t="n"/>
      <c r="G1033" s="268" t="n"/>
    </row>
    <row r="1034">
      <c r="A1034" s="268" t="n"/>
      <c r="D1034" s="268" t="n"/>
      <c r="G1034" s="268" t="n"/>
    </row>
    <row r="1035">
      <c r="A1035" s="268" t="n"/>
      <c r="D1035" s="268" t="n"/>
      <c r="G1035" s="268" t="n"/>
    </row>
    <row r="1036">
      <c r="A1036" s="268" t="n"/>
      <c r="D1036" s="268" t="n"/>
      <c r="G1036" s="268" t="n"/>
    </row>
    <row r="1037">
      <c r="A1037" s="268" t="n"/>
      <c r="D1037" s="268" t="n"/>
      <c r="G1037" s="268" t="n"/>
    </row>
    <row r="1038">
      <c r="A1038" s="268" t="n"/>
      <c r="D1038" s="268" t="n"/>
      <c r="G1038" s="268" t="n"/>
    </row>
    <row r="1039">
      <c r="A1039" s="268" t="n"/>
      <c r="D1039" s="268" t="n"/>
      <c r="G1039" s="268" t="n"/>
    </row>
    <row r="1040">
      <c r="A1040" s="268" t="n"/>
      <c r="D1040" s="268" t="n"/>
      <c r="G1040" s="268" t="n"/>
    </row>
    <row r="1041">
      <c r="A1041" s="268" t="n"/>
      <c r="D1041" s="268" t="n"/>
      <c r="G1041" s="268" t="n"/>
    </row>
    <row r="1042">
      <c r="A1042" s="268" t="n"/>
      <c r="D1042" s="268" t="n"/>
      <c r="G1042" s="268" t="n"/>
    </row>
    <row r="1043">
      <c r="A1043" s="268" t="n"/>
      <c r="D1043" s="268" t="n"/>
      <c r="G1043" s="268" t="n"/>
    </row>
    <row r="1044">
      <c r="A1044" s="268" t="n"/>
      <c r="D1044" s="268" t="n"/>
      <c r="G1044" s="268" t="n"/>
    </row>
    <row r="1045">
      <c r="A1045" s="268" t="n"/>
      <c r="D1045" s="268" t="n"/>
      <c r="G1045" s="268" t="n"/>
    </row>
    <row r="1046">
      <c r="A1046" s="268" t="n"/>
      <c r="D1046" s="268" t="n"/>
      <c r="G1046" s="268" t="n"/>
    </row>
    <row r="1047">
      <c r="A1047" s="268" t="n"/>
      <c r="D1047" s="268" t="n"/>
      <c r="G1047" s="268" t="n"/>
    </row>
    <row r="1048">
      <c r="A1048" s="268" t="n"/>
      <c r="D1048" s="268" t="n"/>
      <c r="G1048" s="268" t="n"/>
    </row>
    <row r="1049">
      <c r="A1049" s="268" t="n"/>
      <c r="D1049" s="268" t="n"/>
      <c r="G1049" s="268" t="n"/>
    </row>
    <row r="1050">
      <c r="A1050" s="268" t="n"/>
      <c r="D1050" s="268" t="n"/>
      <c r="G1050" s="268" t="n"/>
    </row>
    <row r="1051">
      <c r="A1051" s="268" t="n"/>
      <c r="D1051" s="268" t="n"/>
      <c r="G1051" s="268" t="n"/>
    </row>
    <row r="1052">
      <c r="A1052" s="268" t="n"/>
      <c r="D1052" s="268" t="n"/>
      <c r="G1052" s="268" t="n"/>
    </row>
    <row r="1053">
      <c r="A1053" s="268" t="n"/>
      <c r="D1053" s="268" t="n"/>
      <c r="G1053" s="268" t="n"/>
    </row>
    <row r="1054">
      <c r="A1054" s="268" t="n"/>
      <c r="D1054" s="268" t="n"/>
      <c r="G1054" s="268" t="n"/>
    </row>
    <row r="1055">
      <c r="A1055" s="268" t="n"/>
      <c r="D1055" s="268" t="n"/>
      <c r="G1055" s="268" t="n"/>
    </row>
    <row r="1056">
      <c r="A1056" s="268" t="n"/>
      <c r="D1056" s="268" t="n"/>
      <c r="G1056" s="268" t="n"/>
    </row>
    <row r="1057">
      <c r="A1057" s="268" t="n"/>
      <c r="D1057" s="268" t="n"/>
      <c r="G1057" s="268" t="n"/>
    </row>
    <row r="1058">
      <c r="A1058" s="268" t="n"/>
      <c r="D1058" s="268" t="n"/>
      <c r="G1058" s="268" t="n"/>
    </row>
    <row r="1059">
      <c r="A1059" s="268" t="n"/>
      <c r="D1059" s="268" t="n"/>
      <c r="G1059" s="268" t="n"/>
    </row>
    <row r="1060">
      <c r="A1060" s="268" t="n"/>
      <c r="D1060" s="268" t="n"/>
      <c r="G1060" s="268" t="n"/>
    </row>
    <row r="1061">
      <c r="A1061" s="268" t="n"/>
      <c r="D1061" s="268" t="n"/>
      <c r="G1061" s="268" t="n"/>
    </row>
    <row r="1062">
      <c r="A1062" s="268" t="n"/>
      <c r="D1062" s="268" t="n"/>
      <c r="G1062" s="268" t="n"/>
    </row>
    <row r="1063">
      <c r="A1063" s="268" t="n"/>
      <c r="D1063" s="268" t="n"/>
      <c r="G1063" s="268" t="n"/>
    </row>
    <row r="1064">
      <c r="A1064" s="268" t="n"/>
      <c r="D1064" s="268" t="n"/>
      <c r="G1064" s="268" t="n"/>
    </row>
    <row r="1065">
      <c r="A1065" s="268" t="n"/>
      <c r="D1065" s="268" t="n"/>
      <c r="G1065" s="268" t="n"/>
    </row>
    <row r="1066">
      <c r="A1066" s="268" t="n"/>
      <c r="D1066" s="268" t="n"/>
      <c r="G1066" s="268" t="n"/>
    </row>
    <row r="1067">
      <c r="A1067" s="268" t="n"/>
      <c r="D1067" s="268" t="n"/>
      <c r="G1067" s="268" t="n"/>
    </row>
    <row r="1068">
      <c r="A1068" s="268" t="n"/>
      <c r="D1068" s="268" t="n"/>
      <c r="G1068" s="268" t="n"/>
    </row>
    <row r="1069">
      <c r="A1069" s="268" t="n"/>
      <c r="D1069" s="268" t="n"/>
      <c r="G1069" s="268" t="n"/>
    </row>
    <row r="1070">
      <c r="A1070" s="268" t="n"/>
      <c r="D1070" s="268" t="n"/>
      <c r="G1070" s="268" t="n"/>
    </row>
    <row r="1071">
      <c r="A1071" s="268" t="n"/>
      <c r="D1071" s="268" t="n"/>
      <c r="G1071" s="268" t="n"/>
    </row>
    <row r="1072">
      <c r="A1072" s="268" t="n"/>
      <c r="D1072" s="268" t="n"/>
      <c r="G1072" s="268" t="n"/>
    </row>
    <row r="1073">
      <c r="A1073" s="268" t="n"/>
      <c r="D1073" s="268" t="n"/>
      <c r="G1073" s="268" t="n"/>
    </row>
    <row r="1074">
      <c r="A1074" s="268" t="n"/>
      <c r="D1074" s="268" t="n"/>
      <c r="G1074" s="268" t="n"/>
    </row>
    <row r="1075">
      <c r="A1075" s="268" t="n"/>
      <c r="D1075" s="268" t="n"/>
      <c r="G1075" s="268" t="n"/>
    </row>
    <row r="1076">
      <c r="A1076" s="268" t="n"/>
      <c r="D1076" s="268" t="n"/>
      <c r="G1076" s="268" t="n"/>
    </row>
    <row r="1077">
      <c r="A1077" s="268" t="n"/>
      <c r="D1077" s="268" t="n"/>
      <c r="G1077" s="268" t="n"/>
    </row>
    <row r="1078">
      <c r="A1078" s="268" t="n"/>
      <c r="D1078" s="268" t="n"/>
      <c r="G1078" s="268" t="n"/>
    </row>
    <row r="1079">
      <c r="A1079" s="268" t="n"/>
      <c r="D1079" s="268" t="n"/>
      <c r="G1079" s="268" t="n"/>
    </row>
    <row r="1080">
      <c r="A1080" s="268" t="n"/>
      <c r="D1080" s="268" t="n"/>
      <c r="G1080" s="268" t="n"/>
    </row>
    <row r="1081">
      <c r="A1081" s="268" t="n"/>
      <c r="D1081" s="268" t="n"/>
      <c r="G1081" s="268" t="n"/>
    </row>
    <row r="1082">
      <c r="A1082" s="268" t="n"/>
      <c r="D1082" s="268" t="n"/>
      <c r="G1082" s="268" t="n"/>
    </row>
    <row r="1083">
      <c r="A1083" s="268" t="n"/>
      <c r="D1083" s="268" t="n"/>
      <c r="G1083" s="268" t="n"/>
    </row>
    <row r="1084">
      <c r="A1084" s="268" t="n"/>
      <c r="D1084" s="268" t="n"/>
      <c r="G1084" s="268" t="n"/>
    </row>
    <row r="1085">
      <c r="A1085" s="268" t="n"/>
      <c r="D1085" s="268" t="n"/>
      <c r="G1085" s="268" t="n"/>
    </row>
    <row r="1086">
      <c r="A1086" s="268" t="n"/>
      <c r="D1086" s="268" t="n"/>
      <c r="G1086" s="268" t="n"/>
    </row>
    <row r="1087">
      <c r="A1087" s="268" t="n"/>
      <c r="D1087" s="268" t="n"/>
      <c r="G1087" s="268" t="n"/>
    </row>
    <row r="1088">
      <c r="A1088" s="268" t="n"/>
      <c r="D1088" s="268" t="n"/>
      <c r="G1088" s="268" t="n"/>
    </row>
    <row r="1089">
      <c r="A1089" s="268" t="n"/>
      <c r="D1089" s="268" t="n"/>
      <c r="G1089" s="268" t="n"/>
    </row>
    <row r="1090">
      <c r="A1090" s="268" t="n"/>
      <c r="D1090" s="268" t="n"/>
      <c r="G1090" s="268" t="n"/>
    </row>
    <row r="1091">
      <c r="A1091" s="268" t="n"/>
      <c r="D1091" s="268" t="n"/>
      <c r="G1091" s="268" t="n"/>
    </row>
    <row r="1092">
      <c r="A1092" s="268" t="n"/>
      <c r="D1092" s="268" t="n"/>
      <c r="G1092" s="268" t="n"/>
    </row>
    <row r="1093">
      <c r="A1093" s="268" t="n"/>
      <c r="D1093" s="268" t="n"/>
      <c r="G1093" s="268" t="n"/>
    </row>
    <row r="1094">
      <c r="A1094" s="268" t="n"/>
      <c r="D1094" s="268" t="n"/>
      <c r="G1094" s="268" t="n"/>
    </row>
    <row r="1095">
      <c r="A1095" s="268" t="n"/>
      <c r="D1095" s="268" t="n"/>
      <c r="G1095" s="268" t="n"/>
    </row>
    <row r="1096">
      <c r="A1096" s="268" t="n"/>
      <c r="D1096" s="268" t="n"/>
      <c r="G1096" s="268" t="n"/>
    </row>
    <row r="1097">
      <c r="A1097" s="268" t="n"/>
      <c r="D1097" s="268" t="n"/>
      <c r="G1097" s="268" t="n"/>
    </row>
    <row r="1098">
      <c r="A1098" s="268" t="n"/>
      <c r="D1098" s="268" t="n"/>
      <c r="G1098" s="268" t="n"/>
    </row>
    <row r="1099">
      <c r="A1099" s="268" t="n"/>
      <c r="D1099" s="268" t="n"/>
      <c r="G1099" s="268" t="n"/>
    </row>
    <row r="1100">
      <c r="A1100" s="268" t="n"/>
      <c r="D1100" s="268" t="n"/>
      <c r="G1100" s="268" t="n"/>
    </row>
    <row r="1101">
      <c r="A1101" s="268" t="n"/>
      <c r="D1101" s="268" t="n"/>
      <c r="G1101" s="268" t="n"/>
    </row>
    <row r="1102">
      <c r="A1102" s="268" t="n"/>
      <c r="D1102" s="268" t="n"/>
      <c r="G1102" s="268" t="n"/>
    </row>
    <row r="1103">
      <c r="A1103" s="268" t="n"/>
      <c r="D1103" s="268" t="n"/>
      <c r="G1103" s="268" t="n"/>
    </row>
    <row r="1104">
      <c r="A1104" s="268" t="n"/>
      <c r="D1104" s="268" t="n"/>
      <c r="G1104" s="268" t="n"/>
    </row>
    <row r="1105">
      <c r="A1105" s="268" t="n"/>
      <c r="D1105" s="268" t="n"/>
      <c r="G1105" s="268" t="n"/>
    </row>
    <row r="1106">
      <c r="A1106" s="268" t="n"/>
      <c r="D1106" s="268" t="n"/>
      <c r="G1106" s="268" t="n"/>
    </row>
    <row r="1107">
      <c r="A1107" s="268" t="n"/>
      <c r="D1107" s="268" t="n"/>
      <c r="G1107" s="268" t="n"/>
    </row>
    <row r="1108">
      <c r="A1108" s="268" t="n"/>
      <c r="D1108" s="268" t="n"/>
      <c r="G1108" s="268" t="n"/>
    </row>
    <row r="1109">
      <c r="A1109" s="268" t="n"/>
      <c r="D1109" s="268" t="n"/>
      <c r="G1109" s="268" t="n"/>
    </row>
    <row r="1110">
      <c r="A1110" s="268" t="n"/>
      <c r="D1110" s="268" t="n"/>
      <c r="G1110" s="268" t="n"/>
    </row>
    <row r="1111">
      <c r="A1111" s="268" t="n"/>
      <c r="D1111" s="268" t="n"/>
      <c r="G1111" s="268" t="n"/>
    </row>
    <row r="1112">
      <c r="A1112" s="268" t="n"/>
      <c r="D1112" s="268" t="n"/>
      <c r="G1112" s="268" t="n"/>
    </row>
    <row r="1113">
      <c r="A1113" s="268" t="n"/>
      <c r="D1113" s="268" t="n"/>
      <c r="G1113" s="268" t="n"/>
    </row>
    <row r="1114">
      <c r="A1114" s="268" t="n"/>
      <c r="D1114" s="268" t="n"/>
      <c r="G1114" s="268" t="n"/>
    </row>
    <row r="1115">
      <c r="A1115" s="268" t="n"/>
      <c r="D1115" s="268" t="n"/>
      <c r="G1115" s="268" t="n"/>
    </row>
    <row r="1116">
      <c r="A1116" s="268" t="n"/>
      <c r="D1116" s="268" t="n"/>
      <c r="G1116" s="268" t="n"/>
    </row>
    <row r="1117">
      <c r="A1117" s="268" t="n"/>
      <c r="D1117" s="268" t="n"/>
      <c r="G1117" s="268" t="n"/>
    </row>
    <row r="1118">
      <c r="A1118" s="268" t="n"/>
      <c r="D1118" s="268" t="n"/>
      <c r="G1118" s="268" t="n"/>
    </row>
    <row r="1119">
      <c r="A1119" s="268" t="n"/>
      <c r="D1119" s="268" t="n"/>
      <c r="G1119" s="268" t="n"/>
    </row>
    <row r="1120">
      <c r="A1120" s="268" t="n"/>
      <c r="D1120" s="268" t="n"/>
      <c r="G1120" s="268" t="n"/>
    </row>
    <row r="1121">
      <c r="A1121" s="268" t="n"/>
      <c r="D1121" s="268" t="n"/>
      <c r="G1121" s="268" t="n"/>
    </row>
    <row r="1122">
      <c r="A1122" s="268" t="n"/>
      <c r="D1122" s="268" t="n"/>
      <c r="G1122" s="268" t="n"/>
    </row>
    <row r="1123">
      <c r="A1123" s="268" t="n"/>
      <c r="D1123" s="268" t="n"/>
      <c r="G1123" s="268" t="n"/>
    </row>
    <row r="1124">
      <c r="A1124" s="268" t="n"/>
      <c r="D1124" s="268" t="n"/>
      <c r="G1124" s="268" t="n"/>
    </row>
    <row r="1125">
      <c r="A1125" s="268" t="n"/>
      <c r="D1125" s="268" t="n"/>
      <c r="G1125" s="268" t="n"/>
    </row>
    <row r="1126">
      <c r="A1126" s="268" t="n"/>
      <c r="D1126" s="268" t="n"/>
      <c r="G1126" s="268" t="n"/>
    </row>
    <row r="1127">
      <c r="A1127" s="268" t="n"/>
      <c r="D1127" s="268" t="n"/>
      <c r="G1127" s="268" t="n"/>
    </row>
    <row r="1128">
      <c r="A1128" s="268" t="n"/>
      <c r="D1128" s="268" t="n"/>
      <c r="G1128" s="268" t="n"/>
    </row>
    <row r="1129">
      <c r="A1129" s="268" t="n"/>
      <c r="D1129" s="268" t="n"/>
      <c r="G1129" s="268" t="n"/>
    </row>
    <row r="1130">
      <c r="A1130" s="268" t="n"/>
      <c r="D1130" s="268" t="n"/>
      <c r="G1130" s="268" t="n"/>
    </row>
    <row r="1131">
      <c r="A1131" s="268" t="n"/>
      <c r="D1131" s="268" t="n"/>
      <c r="G1131" s="268" t="n"/>
    </row>
    <row r="1132">
      <c r="A1132" s="268" t="n"/>
      <c r="D1132" s="268" t="n"/>
      <c r="G1132" s="268" t="n"/>
    </row>
    <row r="1133">
      <c r="A1133" s="268" t="n"/>
      <c r="D1133" s="268" t="n"/>
      <c r="G1133" s="268" t="n"/>
    </row>
    <row r="1134">
      <c r="A1134" s="268" t="n"/>
      <c r="D1134" s="268" t="n"/>
      <c r="G1134" s="268" t="n"/>
    </row>
    <row r="1135">
      <c r="A1135" s="268" t="n"/>
      <c r="D1135" s="268" t="n"/>
      <c r="G1135" s="268" t="n"/>
    </row>
    <row r="1136">
      <c r="A1136" s="268" t="n"/>
      <c r="D1136" s="268" t="n"/>
      <c r="G1136" s="268" t="n"/>
    </row>
    <row r="1137">
      <c r="A1137" s="268" t="n"/>
      <c r="D1137" s="268" t="n"/>
      <c r="G1137" s="268" t="n"/>
    </row>
    <row r="1138">
      <c r="A1138" s="268" t="n"/>
      <c r="D1138" s="268" t="n"/>
      <c r="G1138" s="268" t="n"/>
    </row>
    <row r="1139">
      <c r="A1139" s="268" t="n"/>
      <c r="D1139" s="268" t="n"/>
      <c r="G1139" s="268" t="n"/>
    </row>
    <row r="1140">
      <c r="A1140" s="268" t="n"/>
      <c r="D1140" s="268" t="n"/>
      <c r="G1140" s="268" t="n"/>
    </row>
    <row r="1141">
      <c r="A1141" s="268" t="n"/>
      <c r="D1141" s="268" t="n"/>
      <c r="G1141" s="268" t="n"/>
    </row>
    <row r="1142">
      <c r="A1142" s="268" t="n"/>
      <c r="D1142" s="268" t="n"/>
      <c r="G1142" s="268" t="n"/>
    </row>
    <row r="1143">
      <c r="A1143" s="268" t="n"/>
      <c r="D1143" s="268" t="n"/>
      <c r="G1143" s="268" t="n"/>
    </row>
    <row r="1144">
      <c r="A1144" s="268" t="n"/>
      <c r="D1144" s="268" t="n"/>
      <c r="G1144" s="268" t="n"/>
    </row>
    <row r="1145">
      <c r="A1145" s="268" t="n"/>
      <c r="D1145" s="268" t="n"/>
      <c r="G1145" s="268" t="n"/>
    </row>
    <row r="1146">
      <c r="A1146" s="268" t="n"/>
      <c r="D1146" s="268" t="n"/>
      <c r="G1146" s="268" t="n"/>
    </row>
    <row r="1147">
      <c r="A1147" s="268" t="n"/>
      <c r="D1147" s="268" t="n"/>
      <c r="G1147" s="268" t="n"/>
    </row>
    <row r="1148">
      <c r="A1148" s="268" t="n"/>
      <c r="D1148" s="268" t="n"/>
      <c r="G1148" s="268" t="n"/>
    </row>
    <row r="1149">
      <c r="A1149" s="268" t="n"/>
      <c r="D1149" s="268" t="n"/>
      <c r="G1149" s="268" t="n"/>
    </row>
    <row r="1150">
      <c r="A1150" s="268" t="n"/>
      <c r="D1150" s="268" t="n"/>
      <c r="G1150" s="268" t="n"/>
    </row>
    <row r="1151">
      <c r="A1151" s="268" t="n"/>
      <c r="D1151" s="268" t="n"/>
      <c r="G1151" s="268" t="n"/>
    </row>
    <row r="1152">
      <c r="A1152" s="268" t="n"/>
      <c r="D1152" s="268" t="n"/>
      <c r="G1152" s="268" t="n"/>
    </row>
    <row r="1153">
      <c r="A1153" s="268" t="n"/>
      <c r="D1153" s="268" t="n"/>
      <c r="G1153" s="268" t="n"/>
    </row>
    <row r="1154">
      <c r="A1154" s="268" t="n"/>
      <c r="D1154" s="268" t="n"/>
      <c r="G1154" s="268" t="n"/>
    </row>
    <row r="1155">
      <c r="A1155" s="268" t="n"/>
      <c r="D1155" s="268" t="n"/>
      <c r="G1155" s="268" t="n"/>
    </row>
    <row r="1156">
      <c r="A1156" s="268" t="n"/>
      <c r="D1156" s="268" t="n"/>
      <c r="G1156" s="268" t="n"/>
    </row>
    <row r="1157">
      <c r="A1157" s="268" t="n"/>
      <c r="D1157" s="268" t="n"/>
      <c r="G1157" s="268" t="n"/>
    </row>
    <row r="1158">
      <c r="A1158" s="268" t="n"/>
      <c r="D1158" s="268" t="n"/>
      <c r="G1158" s="268" t="n"/>
    </row>
    <row r="1159">
      <c r="A1159" s="268" t="n"/>
      <c r="D1159" s="268" t="n"/>
      <c r="G1159" s="268" t="n"/>
    </row>
    <row r="1160">
      <c r="A1160" s="268" t="n"/>
      <c r="D1160" s="268" t="n"/>
      <c r="G1160" s="268" t="n"/>
    </row>
    <row r="1161">
      <c r="A1161" s="268" t="n"/>
      <c r="D1161" s="268" t="n"/>
      <c r="G1161" s="268" t="n"/>
    </row>
    <row r="1162">
      <c r="A1162" s="268" t="n"/>
      <c r="D1162" s="268" t="n"/>
      <c r="G1162" s="268" t="n"/>
    </row>
    <row r="1163">
      <c r="A1163" s="268" t="n"/>
      <c r="D1163" s="268" t="n"/>
      <c r="G1163" s="268" t="n"/>
    </row>
    <row r="1164">
      <c r="A1164" s="268" t="n"/>
      <c r="D1164" s="268" t="n"/>
      <c r="G1164" s="268" t="n"/>
    </row>
    <row r="1165">
      <c r="A1165" s="268" t="n"/>
      <c r="D1165" s="268" t="n"/>
      <c r="G1165" s="268" t="n"/>
    </row>
    <row r="1166">
      <c r="A1166" s="268" t="n"/>
      <c r="D1166" s="268" t="n"/>
      <c r="G1166" s="268" t="n"/>
    </row>
    <row r="1167">
      <c r="A1167" s="268" t="n"/>
      <c r="D1167" s="268" t="n"/>
      <c r="G1167" s="268" t="n"/>
    </row>
    <row r="1168">
      <c r="A1168" s="268" t="n"/>
      <c r="D1168" s="268" t="n"/>
      <c r="G1168" s="268" t="n"/>
    </row>
    <row r="1169">
      <c r="A1169" s="268" t="n"/>
      <c r="D1169" s="268" t="n"/>
      <c r="G1169" s="268" t="n"/>
    </row>
    <row r="1170">
      <c r="A1170" s="268" t="n"/>
      <c r="D1170" s="268" t="n"/>
      <c r="G1170" s="268" t="n"/>
    </row>
    <row r="1171">
      <c r="A1171" s="268" t="n"/>
      <c r="D1171" s="268" t="n"/>
      <c r="G1171" s="268" t="n"/>
    </row>
    <row r="1172">
      <c r="A1172" s="268" t="n"/>
      <c r="D1172" s="268" t="n"/>
      <c r="G1172" s="268" t="n"/>
    </row>
    <row r="1173">
      <c r="A1173" s="268" t="n"/>
      <c r="D1173" s="268" t="n"/>
      <c r="G1173" s="268" t="n"/>
    </row>
    <row r="1174">
      <c r="A1174" s="268" t="n"/>
      <c r="D1174" s="268" t="n"/>
      <c r="G1174" s="268" t="n"/>
    </row>
    <row r="1175">
      <c r="A1175" s="268" t="n"/>
      <c r="D1175" s="268" t="n"/>
      <c r="G1175" s="268" t="n"/>
    </row>
    <row r="1176">
      <c r="A1176" s="268" t="n"/>
      <c r="D1176" s="268" t="n"/>
      <c r="G1176" s="268" t="n"/>
    </row>
    <row r="1177">
      <c r="A1177" s="268" t="n"/>
      <c r="D1177" s="268" t="n"/>
      <c r="G1177" s="268" t="n"/>
    </row>
    <row r="1178">
      <c r="A1178" s="268" t="n"/>
      <c r="D1178" s="268" t="n"/>
      <c r="G1178" s="268" t="n"/>
    </row>
    <row r="1179">
      <c r="A1179" s="268" t="n"/>
      <c r="D1179" s="268" t="n"/>
      <c r="G1179" s="268" t="n"/>
    </row>
    <row r="1180">
      <c r="A1180" s="268" t="n"/>
      <c r="D1180" s="268" t="n"/>
      <c r="G1180" s="268" t="n"/>
    </row>
    <row r="1181">
      <c r="A1181" s="268" t="n"/>
      <c r="D1181" s="268" t="n"/>
      <c r="G1181" s="268" t="n"/>
    </row>
    <row r="1182">
      <c r="A1182" s="268" t="n"/>
      <c r="D1182" s="268" t="n"/>
      <c r="G1182" s="268" t="n"/>
    </row>
    <row r="1183">
      <c r="A1183" s="268" t="n"/>
      <c r="D1183" s="268" t="n"/>
      <c r="G1183" s="268" t="n"/>
    </row>
    <row r="1184">
      <c r="A1184" s="268" t="n"/>
      <c r="D1184" s="268" t="n"/>
      <c r="G1184" s="268" t="n"/>
    </row>
    <row r="1185">
      <c r="A1185" s="268" t="n"/>
      <c r="D1185" s="268" t="n"/>
      <c r="G1185" s="268" t="n"/>
    </row>
    <row r="1186">
      <c r="A1186" s="268" t="n"/>
      <c r="D1186" s="268" t="n"/>
      <c r="G1186" s="268" t="n"/>
    </row>
    <row r="1187">
      <c r="A1187" s="268" t="n"/>
      <c r="D1187" s="268" t="n"/>
      <c r="G1187" s="268" t="n"/>
    </row>
    <row r="1188">
      <c r="A1188" s="268" t="n"/>
      <c r="D1188" s="268" t="n"/>
      <c r="G1188" s="268" t="n"/>
    </row>
    <row r="1189">
      <c r="A1189" s="268" t="n"/>
      <c r="D1189" s="268" t="n"/>
      <c r="G1189" s="268" t="n"/>
    </row>
    <row r="1190">
      <c r="A1190" s="268" t="n"/>
      <c r="D1190" s="268" t="n"/>
      <c r="G1190" s="268" t="n"/>
    </row>
    <row r="1191">
      <c r="A1191" s="268" t="n"/>
      <c r="D1191" s="268" t="n"/>
      <c r="G1191" s="268" t="n"/>
    </row>
    <row r="1192">
      <c r="A1192" s="268" t="n"/>
      <c r="D1192" s="268" t="n"/>
      <c r="G1192" s="268" t="n"/>
    </row>
    <row r="1193">
      <c r="A1193" s="268" t="n"/>
      <c r="D1193" s="268" t="n"/>
      <c r="G1193" s="268" t="n"/>
    </row>
    <row r="1194">
      <c r="A1194" s="268" t="n"/>
      <c r="D1194" s="268" t="n"/>
      <c r="G1194" s="268" t="n"/>
    </row>
    <row r="1195">
      <c r="A1195" s="268" t="n"/>
      <c r="D1195" s="268" t="n"/>
      <c r="G1195" s="268" t="n"/>
    </row>
    <row r="1196">
      <c r="A1196" s="268" t="n"/>
      <c r="D1196" s="268" t="n"/>
      <c r="G1196" s="268" t="n"/>
    </row>
    <row r="1197">
      <c r="A1197" s="268" t="n"/>
      <c r="D1197" s="268" t="n"/>
      <c r="G1197" s="268" t="n"/>
    </row>
    <row r="1198">
      <c r="A1198" s="268" t="n"/>
      <c r="D1198" s="268" t="n"/>
      <c r="G1198" s="268" t="n"/>
    </row>
    <row r="1199">
      <c r="A1199" s="268" t="n"/>
      <c r="D1199" s="268" t="n"/>
      <c r="G1199" s="268" t="n"/>
    </row>
    <row r="1200">
      <c r="A1200" s="268" t="n"/>
      <c r="D1200" s="268" t="n"/>
      <c r="G1200" s="268" t="n"/>
    </row>
    <row r="1201">
      <c r="A1201" s="268" t="n"/>
      <c r="D1201" s="268" t="n"/>
      <c r="G1201" s="268" t="n"/>
    </row>
    <row r="1202">
      <c r="A1202" s="268" t="n"/>
      <c r="D1202" s="268" t="n"/>
      <c r="G1202" s="268" t="n"/>
    </row>
    <row r="1203">
      <c r="A1203" s="268" t="n"/>
      <c r="D1203" s="268" t="n"/>
      <c r="G1203" s="268" t="n"/>
    </row>
    <row r="1204">
      <c r="A1204" s="268" t="n"/>
      <c r="D1204" s="268" t="n"/>
      <c r="G1204" s="268" t="n"/>
    </row>
    <row r="1205">
      <c r="A1205" s="268" t="n"/>
      <c r="D1205" s="268" t="n"/>
      <c r="G1205" s="268" t="n"/>
    </row>
    <row r="1206">
      <c r="A1206" s="268" t="n"/>
      <c r="D1206" s="268" t="n"/>
      <c r="G1206" s="268" t="n"/>
    </row>
    <row r="1207">
      <c r="A1207" s="268" t="n"/>
      <c r="D1207" s="268" t="n"/>
      <c r="G1207" s="268" t="n"/>
    </row>
    <row r="1208">
      <c r="A1208" s="268" t="n"/>
      <c r="D1208" s="268" t="n"/>
      <c r="G1208" s="268" t="n"/>
    </row>
    <row r="1209">
      <c r="A1209" s="268" t="n"/>
      <c r="D1209" s="268" t="n"/>
      <c r="G1209" s="268" t="n"/>
    </row>
    <row r="1210">
      <c r="A1210" s="268" t="n"/>
      <c r="D1210" s="268" t="n"/>
      <c r="G1210" s="268" t="n"/>
    </row>
    <row r="1211">
      <c r="A1211" s="268" t="n"/>
      <c r="D1211" s="268" t="n"/>
      <c r="G1211" s="268" t="n"/>
    </row>
    <row r="1212">
      <c r="A1212" s="268" t="n"/>
      <c r="D1212" s="268" t="n"/>
      <c r="G1212" s="268" t="n"/>
    </row>
    <row r="1213">
      <c r="A1213" s="268" t="n"/>
      <c r="D1213" s="268" t="n"/>
      <c r="G1213" s="268" t="n"/>
    </row>
    <row r="1214">
      <c r="A1214" s="268" t="n"/>
      <c r="D1214" s="268" t="n"/>
      <c r="G1214" s="268" t="n"/>
    </row>
    <row r="1215">
      <c r="A1215" s="268" t="n"/>
      <c r="D1215" s="268" t="n"/>
      <c r="G1215" s="268" t="n"/>
    </row>
    <row r="1216">
      <c r="A1216" s="268" t="n"/>
      <c r="D1216" s="268" t="n"/>
      <c r="G1216" s="268" t="n"/>
    </row>
    <row r="1217">
      <c r="A1217" s="268" t="n"/>
      <c r="D1217" s="268" t="n"/>
      <c r="G1217" s="268" t="n"/>
    </row>
    <row r="1218">
      <c r="A1218" s="268" t="n"/>
      <c r="D1218" s="268" t="n"/>
      <c r="G1218" s="268" t="n"/>
    </row>
    <row r="1219">
      <c r="A1219" s="268" t="n"/>
      <c r="D1219" s="268" t="n"/>
      <c r="G1219" s="268" t="n"/>
    </row>
    <row r="1220">
      <c r="A1220" s="268" t="n"/>
      <c r="D1220" s="268" t="n"/>
      <c r="G1220" s="268" t="n"/>
    </row>
    <row r="1221">
      <c r="A1221" s="268" t="n"/>
      <c r="D1221" s="268" t="n"/>
      <c r="G1221" s="268" t="n"/>
    </row>
    <row r="1222">
      <c r="A1222" s="268" t="n"/>
      <c r="D1222" s="268" t="n"/>
      <c r="G1222" s="268" t="n"/>
    </row>
    <row r="1223">
      <c r="A1223" s="268" t="n"/>
      <c r="D1223" s="268" t="n"/>
      <c r="G1223" s="268" t="n"/>
    </row>
    <row r="1224">
      <c r="A1224" s="268" t="n"/>
      <c r="D1224" s="268" t="n"/>
      <c r="G1224" s="268" t="n"/>
    </row>
    <row r="1225">
      <c r="A1225" s="268" t="n"/>
      <c r="D1225" s="268" t="n"/>
      <c r="G1225" s="268" t="n"/>
    </row>
    <row r="1226">
      <c r="A1226" s="268" t="n"/>
      <c r="D1226" s="268" t="n"/>
      <c r="G1226" s="268" t="n"/>
    </row>
    <row r="1227">
      <c r="A1227" s="268" t="n"/>
      <c r="D1227" s="268" t="n"/>
      <c r="G1227" s="268" t="n"/>
    </row>
    <row r="1228">
      <c r="A1228" s="268" t="n"/>
      <c r="D1228" s="268" t="n"/>
      <c r="G1228" s="268" t="n"/>
    </row>
    <row r="1229">
      <c r="A1229" s="268" t="n"/>
      <c r="D1229" s="268" t="n"/>
      <c r="G1229" s="268" t="n"/>
    </row>
    <row r="1230">
      <c r="A1230" s="268" t="n"/>
      <c r="D1230" s="268" t="n"/>
      <c r="G1230" s="268" t="n"/>
    </row>
    <row r="1231">
      <c r="A1231" s="268" t="n"/>
      <c r="D1231" s="268" t="n"/>
      <c r="G1231" s="268" t="n"/>
    </row>
    <row r="1232">
      <c r="A1232" s="268" t="n"/>
      <c r="D1232" s="268" t="n"/>
      <c r="G1232" s="268" t="n"/>
    </row>
    <row r="1233">
      <c r="A1233" s="268" t="n"/>
      <c r="D1233" s="268" t="n"/>
      <c r="G1233" s="268" t="n"/>
    </row>
    <row r="1234">
      <c r="A1234" s="268" t="n"/>
      <c r="D1234" s="268" t="n"/>
      <c r="G1234" s="268" t="n"/>
    </row>
    <row r="1235">
      <c r="A1235" s="268" t="n"/>
      <c r="D1235" s="268" t="n"/>
      <c r="G1235" s="268" t="n"/>
    </row>
    <row r="1236">
      <c r="A1236" s="268" t="n"/>
      <c r="D1236" s="268" t="n"/>
      <c r="G1236" s="268" t="n"/>
    </row>
    <row r="1237">
      <c r="A1237" s="268" t="n"/>
      <c r="D1237" s="268" t="n"/>
      <c r="G1237" s="268" t="n"/>
    </row>
    <row r="1238">
      <c r="A1238" s="268" t="n"/>
      <c r="D1238" s="268" t="n"/>
      <c r="G1238" s="268" t="n"/>
    </row>
    <row r="1239">
      <c r="A1239" s="268" t="n"/>
      <c r="D1239" s="268" t="n"/>
      <c r="G1239" s="268" t="n"/>
    </row>
    <row r="1240">
      <c r="A1240" s="268" t="n"/>
      <c r="D1240" s="268" t="n"/>
      <c r="G1240" s="268" t="n"/>
    </row>
    <row r="1241">
      <c r="A1241" s="268" t="n"/>
      <c r="D1241" s="268" t="n"/>
      <c r="G1241" s="268" t="n"/>
    </row>
    <row r="1242">
      <c r="A1242" s="268" t="n"/>
      <c r="D1242" s="268" t="n"/>
      <c r="G1242" s="268" t="n"/>
    </row>
    <row r="1243">
      <c r="A1243" s="268" t="n"/>
      <c r="D1243" s="268" t="n"/>
      <c r="G1243" s="268" t="n"/>
    </row>
    <row r="1244">
      <c r="A1244" s="268" t="n"/>
      <c r="D1244" s="268" t="n"/>
      <c r="G1244" s="268" t="n"/>
    </row>
    <row r="1245">
      <c r="A1245" s="268" t="n"/>
      <c r="D1245" s="268" t="n"/>
      <c r="G1245" s="268" t="n"/>
    </row>
    <row r="1246">
      <c r="A1246" s="268" t="n"/>
      <c r="D1246" s="268" t="n"/>
      <c r="G1246" s="268" t="n"/>
    </row>
    <row r="1247">
      <c r="A1247" s="268" t="n"/>
      <c r="D1247" s="268" t="n"/>
      <c r="G1247" s="268" t="n"/>
    </row>
    <row r="1248">
      <c r="A1248" s="268" t="n"/>
      <c r="D1248" s="268" t="n"/>
      <c r="G1248" s="268" t="n"/>
    </row>
    <row r="1249">
      <c r="A1249" s="268" t="n"/>
      <c r="D1249" s="268" t="n"/>
      <c r="G1249" s="268" t="n"/>
    </row>
    <row r="1250">
      <c r="A1250" s="268" t="n"/>
      <c r="D1250" s="268" t="n"/>
      <c r="G1250" s="268" t="n"/>
    </row>
    <row r="1251">
      <c r="A1251" s="268" t="n"/>
      <c r="D1251" s="268" t="n"/>
      <c r="G1251" s="268" t="n"/>
    </row>
    <row r="1252">
      <c r="A1252" s="268" t="n"/>
      <c r="D1252" s="268" t="n"/>
      <c r="G1252" s="268" t="n"/>
    </row>
    <row r="1253">
      <c r="A1253" s="268" t="n"/>
      <c r="D1253" s="268" t="n"/>
      <c r="G1253" s="268" t="n"/>
    </row>
    <row r="1254">
      <c r="A1254" s="268" t="n"/>
      <c r="D1254" s="268" t="n"/>
      <c r="G1254" s="268" t="n"/>
    </row>
    <row r="1255">
      <c r="A1255" s="268" t="n"/>
      <c r="D1255" s="268" t="n"/>
      <c r="G1255" s="268" t="n"/>
    </row>
    <row r="1256">
      <c r="A1256" s="268" t="n"/>
      <c r="D1256" s="268" t="n"/>
      <c r="G1256" s="268" t="n"/>
    </row>
    <row r="1257">
      <c r="A1257" s="268" t="n"/>
      <c r="D1257" s="268" t="n"/>
      <c r="G1257" s="268" t="n"/>
    </row>
    <row r="1258">
      <c r="A1258" s="268" t="n"/>
      <c r="D1258" s="268" t="n"/>
      <c r="G1258" s="268" t="n"/>
    </row>
    <row r="1259">
      <c r="A1259" s="268" t="n"/>
      <c r="D1259" s="268" t="n"/>
      <c r="G1259" s="268" t="n"/>
    </row>
    <row r="1260">
      <c r="A1260" s="268" t="n"/>
      <c r="D1260" s="268" t="n"/>
      <c r="G1260" s="268" t="n"/>
    </row>
    <row r="1261">
      <c r="A1261" s="268" t="n"/>
      <c r="D1261" s="268" t="n"/>
      <c r="G1261" s="268" t="n"/>
    </row>
    <row r="1262">
      <c r="A1262" s="268" t="n"/>
      <c r="D1262" s="268" t="n"/>
      <c r="G1262" s="268" t="n"/>
    </row>
    <row r="1263">
      <c r="A1263" s="268" t="n"/>
      <c r="D1263" s="268" t="n"/>
      <c r="G1263" s="268" t="n"/>
    </row>
    <row r="1264">
      <c r="A1264" s="268" t="n"/>
      <c r="D1264" s="268" t="n"/>
      <c r="G1264" s="268" t="n"/>
    </row>
    <row r="1265">
      <c r="A1265" s="268" t="n"/>
      <c r="D1265" s="268" t="n"/>
      <c r="G1265" s="268" t="n"/>
    </row>
    <row r="1266">
      <c r="A1266" s="268" t="n"/>
      <c r="D1266" s="268" t="n"/>
      <c r="G1266" s="268" t="n"/>
    </row>
    <row r="1267">
      <c r="A1267" s="268" t="n"/>
      <c r="D1267" s="268" t="n"/>
      <c r="G1267" s="268" t="n"/>
    </row>
    <row r="1268">
      <c r="A1268" s="268" t="n"/>
      <c r="D1268" s="268" t="n"/>
      <c r="G1268" s="268" t="n"/>
    </row>
    <row r="1269">
      <c r="A1269" s="268" t="n"/>
      <c r="D1269" s="268" t="n"/>
      <c r="G1269" s="268" t="n"/>
    </row>
    <row r="1270">
      <c r="A1270" s="268" t="n"/>
      <c r="D1270" s="268" t="n"/>
      <c r="G1270" s="268" t="n"/>
    </row>
    <row r="1271">
      <c r="A1271" s="268" t="n"/>
      <c r="D1271" s="268" t="n"/>
      <c r="G1271" s="268" t="n"/>
    </row>
    <row r="1272">
      <c r="A1272" s="268" t="n"/>
      <c r="D1272" s="268" t="n"/>
      <c r="G1272" s="268" t="n"/>
    </row>
    <row r="1273">
      <c r="A1273" s="268" t="n"/>
      <c r="D1273" s="268" t="n"/>
      <c r="G1273" s="268" t="n"/>
    </row>
    <row r="1274">
      <c r="A1274" s="268" t="n"/>
      <c r="D1274" s="268" t="n"/>
      <c r="G1274" s="268" t="n"/>
    </row>
    <row r="1275">
      <c r="A1275" s="268" t="n"/>
      <c r="D1275" s="268" t="n"/>
      <c r="G1275" s="268" t="n"/>
    </row>
    <row r="1276">
      <c r="A1276" s="268" t="n"/>
      <c r="D1276" s="268" t="n"/>
      <c r="G1276" s="268" t="n"/>
    </row>
    <row r="1277">
      <c r="A1277" s="268" t="n"/>
      <c r="D1277" s="268" t="n"/>
      <c r="G1277" s="268" t="n"/>
    </row>
    <row r="1278">
      <c r="A1278" s="268" t="n"/>
      <c r="D1278" s="268" t="n"/>
      <c r="G1278" s="268" t="n"/>
    </row>
    <row r="1279">
      <c r="A1279" s="268" t="n"/>
      <c r="D1279" s="268" t="n"/>
      <c r="G1279" s="268" t="n"/>
    </row>
    <row r="1280">
      <c r="A1280" s="268" t="n"/>
      <c r="D1280" s="268" t="n"/>
      <c r="G1280" s="268" t="n"/>
    </row>
    <row r="1281">
      <c r="A1281" s="268" t="n"/>
      <c r="D1281" s="268" t="n"/>
      <c r="G1281" s="268" t="n"/>
    </row>
    <row r="1282">
      <c r="A1282" s="268" t="n"/>
      <c r="D1282" s="268" t="n"/>
      <c r="G1282" s="268" t="n"/>
    </row>
    <row r="1283">
      <c r="A1283" s="268" t="n"/>
      <c r="D1283" s="268" t="n"/>
      <c r="G1283" s="268" t="n"/>
    </row>
    <row r="1284">
      <c r="A1284" s="268" t="n"/>
      <c r="D1284" s="268" t="n"/>
      <c r="G1284" s="268" t="n"/>
    </row>
    <row r="1285">
      <c r="A1285" s="268" t="n"/>
      <c r="D1285" s="268" t="n"/>
      <c r="G1285" s="268" t="n"/>
    </row>
    <row r="1286">
      <c r="A1286" s="268" t="n"/>
      <c r="D1286" s="268" t="n"/>
      <c r="G1286" s="268" t="n"/>
    </row>
    <row r="1287">
      <c r="A1287" s="268" t="n"/>
      <c r="D1287" s="268" t="n"/>
      <c r="G1287" s="268" t="n"/>
    </row>
    <row r="1288">
      <c r="A1288" s="268" t="n"/>
      <c r="D1288" s="268" t="n"/>
      <c r="G1288" s="268" t="n"/>
    </row>
    <row r="1289">
      <c r="A1289" s="268" t="n"/>
      <c r="D1289" s="268" t="n"/>
      <c r="G1289" s="268" t="n"/>
    </row>
    <row r="1290">
      <c r="A1290" s="268" t="n"/>
      <c r="D1290" s="268" t="n"/>
      <c r="G1290" s="268" t="n"/>
    </row>
    <row r="1291">
      <c r="A1291" s="268" t="n"/>
      <c r="D1291" s="268" t="n"/>
      <c r="G1291" s="268" t="n"/>
    </row>
    <row r="1292">
      <c r="A1292" s="268" t="n"/>
      <c r="D1292" s="268" t="n"/>
      <c r="G1292" s="268" t="n"/>
    </row>
    <row r="1293">
      <c r="A1293" s="268" t="n"/>
      <c r="D1293" s="268" t="n"/>
      <c r="G1293" s="268" t="n"/>
    </row>
    <row r="1294">
      <c r="A1294" s="268" t="n"/>
      <c r="D1294" s="268" t="n"/>
      <c r="G1294" s="268" t="n"/>
    </row>
    <row r="1295">
      <c r="A1295" s="268" t="n"/>
      <c r="D1295" s="268" t="n"/>
      <c r="G1295" s="268" t="n"/>
    </row>
    <row r="1296">
      <c r="A1296" s="268" t="n"/>
      <c r="D1296" s="268" t="n"/>
      <c r="G1296" s="268" t="n"/>
    </row>
    <row r="1297">
      <c r="A1297" s="268" t="n"/>
      <c r="D1297" s="268" t="n"/>
      <c r="G1297" s="268" t="n"/>
    </row>
    <row r="1298">
      <c r="A1298" s="268" t="n"/>
      <c r="D1298" s="268" t="n"/>
      <c r="G1298" s="268" t="n"/>
    </row>
    <row r="1299">
      <c r="A1299" s="268" t="n"/>
      <c r="D1299" s="268" t="n"/>
      <c r="G1299" s="268" t="n"/>
    </row>
    <row r="1300">
      <c r="A1300" s="268" t="n"/>
      <c r="D1300" s="268" t="n"/>
      <c r="G1300" s="268" t="n"/>
    </row>
    <row r="1301">
      <c r="A1301" s="268" t="n"/>
      <c r="D1301" s="268" t="n"/>
      <c r="G1301" s="268" t="n"/>
    </row>
    <row r="1302">
      <c r="A1302" s="268" t="n"/>
      <c r="D1302" s="268" t="n"/>
      <c r="G1302" s="268" t="n"/>
    </row>
    <row r="1303">
      <c r="A1303" s="268" t="n"/>
      <c r="D1303" s="268" t="n"/>
      <c r="G1303" s="268" t="n"/>
    </row>
    <row r="1304">
      <c r="A1304" s="268" t="n"/>
      <c r="D1304" s="268" t="n"/>
      <c r="G1304" s="268" t="n"/>
    </row>
    <row r="1305">
      <c r="A1305" s="268" t="n"/>
      <c r="D1305" s="268" t="n"/>
      <c r="G1305" s="268" t="n"/>
    </row>
    <row r="1306">
      <c r="A1306" s="268" t="n"/>
      <c r="D1306" s="268" t="n"/>
      <c r="G1306" s="268" t="n"/>
    </row>
    <row r="1307">
      <c r="A1307" s="268" t="n"/>
      <c r="D1307" s="268" t="n"/>
      <c r="G1307" s="268" t="n"/>
    </row>
    <row r="1308">
      <c r="A1308" s="268" t="n"/>
      <c r="D1308" s="268" t="n"/>
      <c r="G1308" s="268" t="n"/>
    </row>
    <row r="1309">
      <c r="A1309" s="268" t="n"/>
      <c r="D1309" s="268" t="n"/>
      <c r="G1309" s="268" t="n"/>
    </row>
    <row r="1310">
      <c r="A1310" s="268" t="n"/>
      <c r="D1310" s="268" t="n"/>
      <c r="G1310" s="268" t="n"/>
    </row>
    <row r="1311">
      <c r="A1311" s="268" t="n"/>
      <c r="D1311" s="268" t="n"/>
      <c r="G1311" s="268" t="n"/>
    </row>
    <row r="1312">
      <c r="A1312" s="268" t="n"/>
      <c r="D1312" s="268" t="n"/>
      <c r="G1312" s="268" t="n"/>
    </row>
    <row r="1313">
      <c r="A1313" s="268" t="n"/>
      <c r="D1313" s="268" t="n"/>
      <c r="G1313" s="268" t="n"/>
    </row>
    <row r="1314">
      <c r="A1314" s="268" t="n"/>
      <c r="D1314" s="268" t="n"/>
      <c r="G1314" s="268" t="n"/>
    </row>
    <row r="1315">
      <c r="A1315" s="268" t="n"/>
      <c r="D1315" s="268" t="n"/>
      <c r="G1315" s="268" t="n"/>
    </row>
    <row r="1316">
      <c r="A1316" s="268" t="n"/>
      <c r="D1316" s="268" t="n"/>
      <c r="G1316" s="268" t="n"/>
    </row>
    <row r="1317">
      <c r="A1317" s="268" t="n"/>
      <c r="D1317" s="268" t="n"/>
      <c r="G1317" s="268" t="n"/>
    </row>
    <row r="1318">
      <c r="A1318" s="268" t="n"/>
      <c r="D1318" s="268" t="n"/>
      <c r="G1318" s="268" t="n"/>
    </row>
    <row r="1319">
      <c r="A1319" s="268" t="n"/>
      <c r="D1319" s="268" t="n"/>
      <c r="G1319" s="268" t="n"/>
    </row>
    <row r="1320">
      <c r="A1320" s="268" t="n"/>
      <c r="D1320" s="268" t="n"/>
      <c r="G1320" s="268" t="n"/>
    </row>
    <row r="1321">
      <c r="A1321" s="268" t="n"/>
      <c r="D1321" s="268" t="n"/>
      <c r="G1321" s="268" t="n"/>
    </row>
    <row r="1322">
      <c r="A1322" s="268" t="n"/>
      <c r="D1322" s="268" t="n"/>
      <c r="G1322" s="268" t="n"/>
    </row>
    <row r="1323">
      <c r="A1323" s="268" t="n"/>
      <c r="D1323" s="268" t="n"/>
      <c r="G1323" s="268" t="n"/>
    </row>
    <row r="1324">
      <c r="A1324" s="268" t="n"/>
      <c r="D1324" s="268" t="n"/>
      <c r="G1324" s="268" t="n"/>
    </row>
    <row r="1325">
      <c r="A1325" s="268" t="n"/>
      <c r="D1325" s="268" t="n"/>
      <c r="G1325" s="268" t="n"/>
    </row>
    <row r="1326">
      <c r="A1326" s="268" t="n"/>
      <c r="D1326" s="268" t="n"/>
      <c r="G1326" s="268" t="n"/>
    </row>
    <row r="1327">
      <c r="A1327" s="268" t="n"/>
      <c r="D1327" s="268" t="n"/>
      <c r="G1327" s="268" t="n"/>
    </row>
    <row r="1328">
      <c r="A1328" s="268" t="n"/>
      <c r="D1328" s="268" t="n"/>
      <c r="G1328" s="268" t="n"/>
    </row>
    <row r="1329">
      <c r="A1329" s="268" t="n"/>
      <c r="D1329" s="268" t="n"/>
      <c r="G1329" s="268" t="n"/>
    </row>
    <row r="1330">
      <c r="A1330" s="268" t="n"/>
      <c r="D1330" s="268" t="n"/>
      <c r="G1330" s="268" t="n"/>
    </row>
    <row r="1331">
      <c r="A1331" s="268" t="n"/>
      <c r="D1331" s="268" t="n"/>
      <c r="G1331" s="268" t="n"/>
    </row>
    <row r="1332">
      <c r="A1332" s="268" t="n"/>
      <c r="D1332" s="268" t="n"/>
      <c r="G1332" s="268" t="n"/>
    </row>
    <row r="1333">
      <c r="A1333" s="268" t="n"/>
      <c r="D1333" s="268" t="n"/>
      <c r="G1333" s="268" t="n"/>
    </row>
    <row r="1334">
      <c r="A1334" s="268" t="n"/>
      <c r="D1334" s="268" t="n"/>
      <c r="G1334" s="268" t="n"/>
    </row>
    <row r="1335">
      <c r="A1335" s="268" t="n"/>
      <c r="D1335" s="268" t="n"/>
      <c r="G1335" s="268" t="n"/>
    </row>
    <row r="1336">
      <c r="A1336" s="268" t="n"/>
      <c r="D1336" s="268" t="n"/>
      <c r="G1336" s="268" t="n"/>
    </row>
    <row r="1337">
      <c r="A1337" s="268" t="n"/>
      <c r="D1337" s="268" t="n"/>
      <c r="G1337" s="268" t="n"/>
    </row>
    <row r="1338">
      <c r="A1338" s="268" t="n"/>
      <c r="D1338" s="268" t="n"/>
      <c r="G1338" s="268" t="n"/>
    </row>
    <row r="1339">
      <c r="A1339" s="268" t="n"/>
      <c r="D1339" s="268" t="n"/>
      <c r="G1339" s="268" t="n"/>
    </row>
    <row r="1340">
      <c r="A1340" s="268" t="n"/>
      <c r="D1340" s="268" t="n"/>
      <c r="G1340" s="268" t="n"/>
    </row>
    <row r="1341">
      <c r="A1341" s="268" t="n"/>
      <c r="D1341" s="268" t="n"/>
      <c r="G1341" s="268" t="n"/>
    </row>
    <row r="1342">
      <c r="A1342" s="268" t="n"/>
      <c r="D1342" s="268" t="n"/>
      <c r="G1342" s="268" t="n"/>
    </row>
    <row r="1343">
      <c r="A1343" s="268" t="n"/>
      <c r="D1343" s="268" t="n"/>
      <c r="G1343" s="268" t="n"/>
    </row>
    <row r="1344">
      <c r="A1344" s="268" t="n"/>
      <c r="D1344" s="268" t="n"/>
      <c r="G1344" s="268" t="n"/>
    </row>
    <row r="1345">
      <c r="A1345" s="268" t="n"/>
      <c r="D1345" s="268" t="n"/>
      <c r="G1345" s="268" t="n"/>
    </row>
    <row r="1346">
      <c r="A1346" s="268" t="n"/>
      <c r="D1346" s="268" t="n"/>
      <c r="G1346" s="268" t="n"/>
    </row>
    <row r="1347">
      <c r="A1347" s="268" t="n"/>
      <c r="D1347" s="268" t="n"/>
      <c r="G1347" s="268" t="n"/>
    </row>
    <row r="1348">
      <c r="A1348" s="268" t="n"/>
      <c r="D1348" s="268" t="n"/>
      <c r="G1348" s="268" t="n"/>
    </row>
    <row r="1349">
      <c r="A1349" s="268" t="n"/>
      <c r="D1349" s="268" t="n"/>
      <c r="G1349" s="268" t="n"/>
    </row>
    <row r="1350">
      <c r="A1350" s="268" t="n"/>
      <c r="D1350" s="268" t="n"/>
      <c r="G1350" s="268" t="n"/>
    </row>
    <row r="1351">
      <c r="A1351" s="268" t="n"/>
      <c r="D1351" s="268" t="n"/>
      <c r="G1351" s="268" t="n"/>
    </row>
    <row r="1352">
      <c r="A1352" s="268" t="n"/>
      <c r="D1352" s="268" t="n"/>
      <c r="G1352" s="268" t="n"/>
    </row>
    <row r="1353">
      <c r="A1353" s="268" t="n"/>
      <c r="D1353" s="268" t="n"/>
      <c r="G1353" s="268" t="n"/>
    </row>
    <row r="1354">
      <c r="A1354" s="268" t="n"/>
      <c r="D1354" s="268" t="n"/>
      <c r="G1354" s="268" t="n"/>
    </row>
    <row r="1355">
      <c r="A1355" s="268" t="n"/>
      <c r="D1355" s="268" t="n"/>
      <c r="G1355" s="268" t="n"/>
    </row>
    <row r="1356">
      <c r="A1356" s="268" t="n"/>
      <c r="D1356" s="268" t="n"/>
      <c r="G1356" s="268" t="n"/>
    </row>
    <row r="1357">
      <c r="A1357" s="268" t="n"/>
      <c r="D1357" s="268" t="n"/>
      <c r="G1357" s="268" t="n"/>
    </row>
    <row r="1358">
      <c r="A1358" s="268" t="n"/>
      <c r="D1358" s="268" t="n"/>
      <c r="G1358" s="268" t="n"/>
    </row>
    <row r="1359">
      <c r="A1359" s="268" t="n"/>
      <c r="D1359" s="268" t="n"/>
      <c r="G1359" s="268" t="n"/>
    </row>
    <row r="1360">
      <c r="A1360" s="268" t="n"/>
      <c r="D1360" s="268" t="n"/>
      <c r="G1360" s="268" t="n"/>
    </row>
    <row r="1361">
      <c r="A1361" s="268" t="n"/>
      <c r="D1361" s="268" t="n"/>
      <c r="G1361" s="268" t="n"/>
    </row>
    <row r="1362">
      <c r="A1362" s="268" t="n"/>
      <c r="D1362" s="268" t="n"/>
      <c r="G1362" s="268" t="n"/>
    </row>
    <row r="1363">
      <c r="A1363" s="268" t="n"/>
      <c r="D1363" s="268" t="n"/>
      <c r="G1363" s="268" t="n"/>
    </row>
    <row r="1364">
      <c r="A1364" s="268" t="n"/>
      <c r="D1364" s="268" t="n"/>
      <c r="G1364" s="268" t="n"/>
    </row>
    <row r="1365">
      <c r="A1365" s="268" t="n"/>
      <c r="D1365" s="268" t="n"/>
      <c r="G1365" s="268" t="n"/>
    </row>
    <row r="1366">
      <c r="A1366" s="268" t="n"/>
      <c r="D1366" s="268" t="n"/>
      <c r="G1366" s="268" t="n"/>
    </row>
    <row r="1367">
      <c r="A1367" s="268" t="n"/>
      <c r="D1367" s="268" t="n"/>
      <c r="G1367" s="268" t="n"/>
    </row>
    <row r="1368">
      <c r="A1368" s="268" t="n"/>
      <c r="D1368" s="268" t="n"/>
      <c r="G1368" s="268" t="n"/>
    </row>
    <row r="1369">
      <c r="A1369" s="268" t="n"/>
      <c r="D1369" s="268" t="n"/>
      <c r="G1369" s="268" t="n"/>
    </row>
    <row r="1370">
      <c r="A1370" s="268" t="n"/>
      <c r="D1370" s="268" t="n"/>
      <c r="G1370" s="268" t="n"/>
    </row>
    <row r="1371">
      <c r="A1371" s="268" t="n"/>
      <c r="D1371" s="268" t="n"/>
      <c r="G1371" s="268" t="n"/>
    </row>
    <row r="1372">
      <c r="A1372" s="268" t="n"/>
      <c r="D1372" s="268" t="n"/>
      <c r="G1372" s="268" t="n"/>
    </row>
    <row r="1373">
      <c r="A1373" s="268" t="n"/>
      <c r="D1373" s="268" t="n"/>
      <c r="G1373" s="268" t="n"/>
    </row>
    <row r="1374">
      <c r="A1374" s="268" t="n"/>
      <c r="D1374" s="268" t="n"/>
      <c r="G1374" s="268" t="n"/>
    </row>
    <row r="1375">
      <c r="A1375" s="268" t="n"/>
      <c r="D1375" s="268" t="n"/>
      <c r="G1375" s="268" t="n"/>
    </row>
    <row r="1376">
      <c r="A1376" s="268" t="n"/>
      <c r="D1376" s="268" t="n"/>
      <c r="G1376" s="268" t="n"/>
    </row>
    <row r="1377">
      <c r="A1377" s="268" t="n"/>
      <c r="D1377" s="268" t="n"/>
      <c r="G1377" s="268" t="n"/>
    </row>
    <row r="1378">
      <c r="A1378" s="268" t="n"/>
      <c r="D1378" s="268" t="n"/>
      <c r="G1378" s="268" t="n"/>
    </row>
    <row r="1379">
      <c r="A1379" s="268" t="n"/>
      <c r="D1379" s="268" t="n"/>
      <c r="G1379" s="268" t="n"/>
    </row>
    <row r="1380">
      <c r="A1380" s="268" t="n"/>
      <c r="D1380" s="268" t="n"/>
      <c r="G1380" s="268" t="n"/>
    </row>
    <row r="1381">
      <c r="A1381" s="268" t="n"/>
      <c r="D1381" s="268" t="n"/>
      <c r="G1381" s="268" t="n"/>
    </row>
    <row r="1382">
      <c r="A1382" s="268" t="n"/>
      <c r="D1382" s="268" t="n"/>
      <c r="G1382" s="268" t="n"/>
    </row>
    <row r="1383">
      <c r="A1383" s="268" t="n"/>
      <c r="D1383" s="268" t="n"/>
      <c r="G1383" s="268" t="n"/>
    </row>
    <row r="1384">
      <c r="A1384" s="268" t="n"/>
      <c r="D1384" s="268" t="n"/>
      <c r="G1384" s="268" t="n"/>
    </row>
    <row r="1385">
      <c r="A1385" s="268" t="n"/>
      <c r="D1385" s="268" t="n"/>
      <c r="G1385" s="268" t="n"/>
    </row>
    <row r="1386">
      <c r="A1386" s="268" t="n"/>
      <c r="D1386" s="268" t="n"/>
      <c r="G1386" s="268" t="n"/>
    </row>
    <row r="1387">
      <c r="A1387" s="268" t="n"/>
      <c r="D1387" s="268" t="n"/>
      <c r="G1387" s="268" t="n"/>
    </row>
    <row r="1388">
      <c r="A1388" s="268" t="n"/>
      <c r="D1388" s="268" t="n"/>
      <c r="G1388" s="268" t="n"/>
    </row>
    <row r="1389">
      <c r="A1389" s="268" t="n"/>
      <c r="D1389" s="268" t="n"/>
      <c r="G1389" s="268" t="n"/>
    </row>
    <row r="1390">
      <c r="A1390" s="268" t="n"/>
      <c r="D1390" s="268" t="n"/>
      <c r="G1390" s="268" t="n"/>
    </row>
    <row r="1391">
      <c r="A1391" s="268" t="n"/>
      <c r="D1391" s="268" t="n"/>
      <c r="G1391" s="268" t="n"/>
    </row>
    <row r="1392">
      <c r="A1392" s="268" t="n"/>
      <c r="D1392" s="268" t="n"/>
      <c r="G1392" s="268" t="n"/>
    </row>
    <row r="1393">
      <c r="A1393" s="268" t="n"/>
      <c r="D1393" s="268" t="n"/>
      <c r="G1393" s="268" t="n"/>
    </row>
    <row r="1394">
      <c r="A1394" s="268" t="n"/>
      <c r="D1394" s="268" t="n"/>
      <c r="G1394" s="268" t="n"/>
    </row>
    <row r="1395">
      <c r="A1395" s="268" t="n"/>
      <c r="D1395" s="268" t="n"/>
      <c r="G1395" s="268" t="n"/>
    </row>
    <row r="1396">
      <c r="A1396" s="268" t="n"/>
      <c r="D1396" s="268" t="n"/>
      <c r="G1396" s="268" t="n"/>
    </row>
    <row r="1397">
      <c r="A1397" s="268" t="n"/>
      <c r="D1397" s="268" t="n"/>
      <c r="G1397" s="268" t="n"/>
    </row>
    <row r="1398">
      <c r="A1398" s="268" t="n"/>
      <c r="D1398" s="268" t="n"/>
      <c r="G1398" s="268" t="n"/>
    </row>
    <row r="1399">
      <c r="A1399" s="268" t="n"/>
      <c r="D1399" s="268" t="n"/>
      <c r="G1399" s="268" t="n"/>
    </row>
    <row r="1400">
      <c r="A1400" s="268" t="n"/>
      <c r="D1400" s="268" t="n"/>
      <c r="G1400" s="268" t="n"/>
    </row>
    <row r="1401">
      <c r="A1401" s="268" t="n"/>
      <c r="D1401" s="268" t="n"/>
      <c r="G1401" s="268" t="n"/>
    </row>
    <row r="1402">
      <c r="A1402" s="268" t="n"/>
      <c r="D1402" s="268" t="n"/>
      <c r="G1402" s="268" t="n"/>
    </row>
    <row r="1403">
      <c r="A1403" s="268" t="n"/>
      <c r="D1403" s="268" t="n"/>
      <c r="G1403" s="268" t="n"/>
    </row>
    <row r="1404">
      <c r="A1404" s="268" t="n"/>
      <c r="D1404" s="268" t="n"/>
      <c r="G1404" s="268" t="n"/>
    </row>
    <row r="1405">
      <c r="A1405" s="268" t="n"/>
      <c r="D1405" s="268" t="n"/>
      <c r="G1405" s="268" t="n"/>
    </row>
    <row r="1406">
      <c r="A1406" s="268" t="n"/>
      <c r="D1406" s="268" t="n"/>
      <c r="G1406" s="268" t="n"/>
    </row>
    <row r="1407">
      <c r="A1407" s="268" t="n"/>
      <c r="D1407" s="268" t="n"/>
      <c r="G1407" s="268" t="n"/>
    </row>
    <row r="1408">
      <c r="A1408" s="268" t="n"/>
      <c r="D1408" s="268" t="n"/>
      <c r="G1408" s="268" t="n"/>
    </row>
    <row r="1409">
      <c r="A1409" s="268" t="n"/>
      <c r="D1409" s="268" t="n"/>
      <c r="G1409" s="268" t="n"/>
    </row>
    <row r="1410">
      <c r="A1410" s="268" t="n"/>
      <c r="D1410" s="268" t="n"/>
      <c r="G1410" s="268" t="n"/>
    </row>
    <row r="1411">
      <c r="A1411" s="268" t="n"/>
      <c r="D1411" s="268" t="n"/>
      <c r="G1411" s="268" t="n"/>
    </row>
    <row r="1412">
      <c r="A1412" s="268" t="n"/>
      <c r="D1412" s="268" t="n"/>
      <c r="G1412" s="268" t="n"/>
    </row>
    <row r="1413">
      <c r="A1413" s="268" t="n"/>
      <c r="D1413" s="268" t="n"/>
      <c r="G1413" s="268" t="n"/>
    </row>
    <row r="1414">
      <c r="A1414" s="268" t="n"/>
      <c r="D1414" s="268" t="n"/>
      <c r="G1414" s="268" t="n"/>
    </row>
    <row r="1415">
      <c r="A1415" s="268" t="n"/>
      <c r="D1415" s="268" t="n"/>
      <c r="G1415" s="268" t="n"/>
    </row>
    <row r="1416">
      <c r="A1416" s="268" t="n"/>
      <c r="D1416" s="268" t="n"/>
      <c r="G1416" s="268" t="n"/>
    </row>
    <row r="1417">
      <c r="A1417" s="268" t="n"/>
      <c r="D1417" s="268" t="n"/>
      <c r="G1417" s="268" t="n"/>
    </row>
    <row r="1418">
      <c r="A1418" s="268" t="n"/>
      <c r="D1418" s="268" t="n"/>
      <c r="G1418" s="268" t="n"/>
    </row>
    <row r="1419">
      <c r="A1419" s="268" t="n"/>
      <c r="D1419" s="268" t="n"/>
      <c r="G1419" s="268" t="n"/>
    </row>
    <row r="1420">
      <c r="A1420" s="268" t="n"/>
      <c r="D1420" s="268" t="n"/>
      <c r="G1420" s="268" t="n"/>
    </row>
    <row r="1421">
      <c r="A1421" s="268" t="n"/>
      <c r="D1421" s="268" t="n"/>
      <c r="G1421" s="268" t="n"/>
    </row>
    <row r="1422">
      <c r="A1422" s="268" t="n"/>
      <c r="D1422" s="268" t="n"/>
      <c r="G1422" s="268" t="n"/>
    </row>
    <row r="1423">
      <c r="A1423" s="268" t="n"/>
      <c r="D1423" s="268" t="n"/>
      <c r="G1423" s="268" t="n"/>
    </row>
    <row r="1424">
      <c r="A1424" s="268" t="n"/>
      <c r="D1424" s="268" t="n"/>
      <c r="G1424" s="268" t="n"/>
    </row>
    <row r="1425">
      <c r="A1425" s="268" t="n"/>
      <c r="D1425" s="268" t="n"/>
      <c r="G1425" s="268" t="n"/>
    </row>
    <row r="1426">
      <c r="A1426" s="268" t="n"/>
      <c r="D1426" s="268" t="n"/>
      <c r="G1426" s="268" t="n"/>
    </row>
    <row r="1427">
      <c r="A1427" s="268" t="n"/>
      <c r="D1427" s="268" t="n"/>
      <c r="G1427" s="268" t="n"/>
    </row>
    <row r="1428">
      <c r="A1428" s="268" t="n"/>
      <c r="D1428" s="268" t="n"/>
      <c r="G1428" s="268" t="n"/>
    </row>
    <row r="1429">
      <c r="A1429" s="268" t="n"/>
      <c r="D1429" s="268" t="n"/>
      <c r="G1429" s="268" t="n"/>
    </row>
    <row r="1430">
      <c r="A1430" s="268" t="n"/>
      <c r="D1430" s="268" t="n"/>
      <c r="G1430" s="268" t="n"/>
    </row>
    <row r="1431">
      <c r="A1431" s="268" t="n"/>
      <c r="D1431" s="268" t="n"/>
      <c r="G1431" s="268" t="n"/>
    </row>
    <row r="1432">
      <c r="A1432" s="268" t="n"/>
      <c r="D1432" s="268" t="n"/>
      <c r="G1432" s="268" t="n"/>
    </row>
    <row r="1433">
      <c r="A1433" s="268" t="n"/>
      <c r="D1433" s="268" t="n"/>
      <c r="G1433" s="268" t="n"/>
    </row>
    <row r="1434">
      <c r="A1434" s="268" t="n"/>
      <c r="D1434" s="268" t="n"/>
      <c r="G1434" s="268" t="n"/>
    </row>
    <row r="1435">
      <c r="A1435" s="268" t="n"/>
      <c r="D1435" s="268" t="n"/>
      <c r="G1435" s="268" t="n"/>
    </row>
    <row r="1436">
      <c r="A1436" s="268" t="n"/>
      <c r="D1436" s="268" t="n"/>
      <c r="G1436" s="268" t="n"/>
    </row>
    <row r="1437">
      <c r="A1437" s="268" t="n"/>
      <c r="D1437" s="268" t="n"/>
      <c r="G1437" s="268" t="n"/>
    </row>
    <row r="1438">
      <c r="A1438" s="268" t="n"/>
      <c r="D1438" s="268" t="n"/>
      <c r="G1438" s="268" t="n"/>
    </row>
    <row r="1439">
      <c r="A1439" s="268" t="n"/>
      <c r="D1439" s="268" t="n"/>
      <c r="G1439" s="268" t="n"/>
    </row>
    <row r="1440">
      <c r="A1440" s="268" t="n"/>
      <c r="D1440" s="268" t="n"/>
      <c r="G1440" s="268" t="n"/>
    </row>
    <row r="1441">
      <c r="A1441" s="268" t="n"/>
      <c r="D1441" s="268" t="n"/>
      <c r="G1441" s="268" t="n"/>
    </row>
    <row r="1442">
      <c r="A1442" s="268" t="n"/>
      <c r="D1442" s="268" t="n"/>
      <c r="G1442" s="268" t="n"/>
    </row>
    <row r="1443">
      <c r="A1443" s="268" t="n"/>
      <c r="D1443" s="268" t="n"/>
      <c r="G1443" s="268" t="n"/>
    </row>
    <row r="1444">
      <c r="A1444" s="268" t="n"/>
      <c r="D1444" s="268" t="n"/>
      <c r="G1444" s="268" t="n"/>
    </row>
    <row r="1445">
      <c r="A1445" s="268" t="n"/>
      <c r="D1445" s="268" t="n"/>
      <c r="G1445" s="268" t="n"/>
    </row>
    <row r="1446">
      <c r="A1446" s="268" t="n"/>
      <c r="D1446" s="268" t="n"/>
      <c r="G1446" s="268" t="n"/>
    </row>
    <row r="1447">
      <c r="A1447" s="268" t="n"/>
      <c r="D1447" s="268" t="n"/>
      <c r="G1447" s="268" t="n"/>
    </row>
    <row r="1448">
      <c r="A1448" s="268" t="n"/>
      <c r="D1448" s="268" t="n"/>
      <c r="G1448" s="268" t="n"/>
    </row>
    <row r="1449">
      <c r="A1449" s="268" t="n"/>
      <c r="D1449" s="268" t="n"/>
      <c r="G1449" s="268" t="n"/>
    </row>
    <row r="1450">
      <c r="A1450" s="268" t="n"/>
      <c r="D1450" s="268" t="n"/>
      <c r="G1450" s="268" t="n"/>
    </row>
    <row r="1451">
      <c r="A1451" s="268" t="n"/>
      <c r="D1451" s="268" t="n"/>
      <c r="G1451" s="268" t="n"/>
    </row>
    <row r="1452">
      <c r="A1452" s="268" t="n"/>
      <c r="D1452" s="268" t="n"/>
      <c r="G1452" s="268" t="n"/>
    </row>
    <row r="1453">
      <c r="A1453" s="268" t="n"/>
      <c r="D1453" s="268" t="n"/>
      <c r="G1453" s="268" t="n"/>
    </row>
    <row r="1454">
      <c r="A1454" s="268" t="n"/>
      <c r="D1454" s="268" t="n"/>
      <c r="G1454" s="268" t="n"/>
    </row>
    <row r="1455">
      <c r="A1455" s="268" t="n"/>
      <c r="D1455" s="268" t="n"/>
      <c r="G1455" s="268" t="n"/>
    </row>
    <row r="1456">
      <c r="A1456" s="268" t="n"/>
      <c r="D1456" s="268" t="n"/>
      <c r="G1456" s="268" t="n"/>
    </row>
    <row r="1457">
      <c r="A1457" s="268" t="n"/>
      <c r="D1457" s="268" t="n"/>
      <c r="G1457" s="268" t="n"/>
    </row>
    <row r="1458">
      <c r="A1458" s="268" t="n"/>
      <c r="D1458" s="268" t="n"/>
      <c r="G1458" s="268" t="n"/>
    </row>
    <row r="1459">
      <c r="A1459" s="268" t="n"/>
      <c r="D1459" s="268" t="n"/>
      <c r="G1459" s="268" t="n"/>
    </row>
    <row r="1460">
      <c r="A1460" s="268" t="n"/>
      <c r="D1460" s="268" t="n"/>
      <c r="G1460" s="268" t="n"/>
    </row>
    <row r="1461">
      <c r="A1461" s="268" t="n"/>
      <c r="D1461" s="268" t="n"/>
      <c r="G1461" s="268" t="n"/>
    </row>
    <row r="1462">
      <c r="A1462" s="268" t="n"/>
      <c r="D1462" s="268" t="n"/>
      <c r="G1462" s="268" t="n"/>
    </row>
    <row r="1463">
      <c r="A1463" s="268" t="n"/>
      <c r="D1463" s="268" t="n"/>
      <c r="G1463" s="268" t="n"/>
    </row>
    <row r="1464">
      <c r="A1464" s="268" t="n"/>
      <c r="D1464" s="268" t="n"/>
      <c r="G1464" s="268" t="n"/>
    </row>
    <row r="1465">
      <c r="A1465" s="268" t="n"/>
      <c r="D1465" s="268" t="n"/>
      <c r="G1465" s="268" t="n"/>
    </row>
    <row r="1466">
      <c r="A1466" s="268" t="n"/>
      <c r="D1466" s="268" t="n"/>
      <c r="G1466" s="268" t="n"/>
    </row>
    <row r="1467">
      <c r="A1467" s="268" t="n"/>
      <c r="D1467" s="268" t="n"/>
      <c r="G1467" s="268" t="n"/>
    </row>
    <row r="1468">
      <c r="A1468" s="268" t="n"/>
      <c r="D1468" s="268" t="n"/>
      <c r="G1468" s="268" t="n"/>
    </row>
    <row r="1469">
      <c r="A1469" s="268" t="n"/>
      <c r="D1469" s="268" t="n"/>
      <c r="G1469" s="268" t="n"/>
    </row>
    <row r="1470">
      <c r="A1470" s="268" t="n"/>
      <c r="D1470" s="268" t="n"/>
      <c r="G1470" s="268" t="n"/>
    </row>
    <row r="1471">
      <c r="A1471" s="268" t="n"/>
      <c r="D1471" s="268" t="n"/>
      <c r="G1471" s="268" t="n"/>
    </row>
    <row r="1472">
      <c r="A1472" s="268" t="n"/>
      <c r="D1472" s="268" t="n"/>
      <c r="G1472" s="268" t="n"/>
    </row>
    <row r="1473">
      <c r="A1473" s="268" t="n"/>
      <c r="D1473" s="268" t="n"/>
      <c r="G1473" s="268" t="n"/>
    </row>
    <row r="1474">
      <c r="A1474" s="268" t="n"/>
      <c r="D1474" s="268" t="n"/>
      <c r="G1474" s="268" t="n"/>
    </row>
    <row r="1475">
      <c r="A1475" s="268" t="n"/>
      <c r="D1475" s="268" t="n"/>
      <c r="G1475" s="268" t="n"/>
    </row>
    <row r="1476">
      <c r="A1476" s="268" t="n"/>
      <c r="D1476" s="268" t="n"/>
      <c r="G1476" s="268" t="n"/>
    </row>
    <row r="1477">
      <c r="A1477" s="268" t="n"/>
      <c r="D1477" s="268" t="n"/>
      <c r="G1477" s="268" t="n"/>
    </row>
    <row r="1478">
      <c r="A1478" s="268" t="n"/>
      <c r="D1478" s="268" t="n"/>
      <c r="G1478" s="268" t="n"/>
    </row>
    <row r="1479">
      <c r="A1479" s="268" t="n"/>
      <c r="D1479" s="268" t="n"/>
      <c r="G1479" s="268" t="n"/>
    </row>
    <row r="1480">
      <c r="A1480" s="268" t="n"/>
      <c r="D1480" s="268" t="n"/>
      <c r="G1480" s="268" t="n"/>
    </row>
    <row r="1481">
      <c r="A1481" s="268" t="n"/>
      <c r="D1481" s="268" t="n"/>
      <c r="G1481" s="268" t="n"/>
    </row>
    <row r="1482">
      <c r="A1482" s="268" t="n"/>
      <c r="D1482" s="268" t="n"/>
      <c r="G1482" s="268" t="n"/>
    </row>
    <row r="1483">
      <c r="A1483" s="268" t="n"/>
      <c r="D1483" s="268" t="n"/>
      <c r="G1483" s="268" t="n"/>
    </row>
    <row r="1484">
      <c r="A1484" s="268" t="n"/>
      <c r="D1484" s="268" t="n"/>
      <c r="G1484" s="268" t="n"/>
    </row>
    <row r="1485">
      <c r="A1485" s="268" t="n"/>
      <c r="D1485" s="268" t="n"/>
      <c r="G1485" s="268" t="n"/>
    </row>
    <row r="1486">
      <c r="A1486" s="268" t="n"/>
      <c r="D1486" s="268" t="n"/>
      <c r="G1486" s="268" t="n"/>
    </row>
    <row r="1487">
      <c r="A1487" s="268" t="n"/>
      <c r="D1487" s="268" t="n"/>
      <c r="G1487" s="268" t="n"/>
    </row>
    <row r="1488">
      <c r="A1488" s="268" t="n"/>
      <c r="D1488" s="268" t="n"/>
      <c r="G1488" s="268" t="n"/>
    </row>
    <row r="1489">
      <c r="A1489" s="268" t="n"/>
      <c r="D1489" s="268" t="n"/>
      <c r="G1489" s="268" t="n"/>
    </row>
    <row r="1490">
      <c r="A1490" s="268" t="n"/>
      <c r="D1490" s="268" t="n"/>
      <c r="G1490" s="268" t="n"/>
    </row>
    <row r="1491">
      <c r="A1491" s="268" t="n"/>
      <c r="D1491" s="268" t="n"/>
      <c r="G1491" s="268" t="n"/>
    </row>
    <row r="1492">
      <c r="A1492" s="268" t="n"/>
      <c r="D1492" s="268" t="n"/>
      <c r="G1492" s="268" t="n"/>
    </row>
    <row r="1493">
      <c r="A1493" s="268" t="n"/>
      <c r="D1493" s="268" t="n"/>
      <c r="G1493" s="268" t="n"/>
    </row>
    <row r="1494">
      <c r="A1494" s="268" t="n"/>
      <c r="D1494" s="268" t="n"/>
      <c r="G1494" s="268" t="n"/>
    </row>
    <row r="1495">
      <c r="A1495" s="268" t="n"/>
      <c r="D1495" s="268" t="n"/>
      <c r="G1495" s="268" t="n"/>
    </row>
    <row r="1496">
      <c r="A1496" s="268" t="n"/>
      <c r="D1496" s="268" t="n"/>
      <c r="G1496" s="268" t="n"/>
    </row>
    <row r="1497">
      <c r="A1497" s="268" t="n"/>
      <c r="D1497" s="268" t="n"/>
      <c r="G1497" s="268" t="n"/>
    </row>
    <row r="1498">
      <c r="A1498" s="268" t="n"/>
      <c r="D1498" s="268" t="n"/>
      <c r="G1498" s="268" t="n"/>
    </row>
    <row r="1499">
      <c r="A1499" s="268" t="n"/>
      <c r="D1499" s="268" t="n"/>
      <c r="G1499" s="268" t="n"/>
    </row>
    <row r="1500">
      <c r="A1500" s="268" t="n"/>
      <c r="D1500" s="268" t="n"/>
      <c r="G1500" s="268" t="n"/>
    </row>
    <row r="1501">
      <c r="A1501" s="268" t="n"/>
      <c r="D1501" s="268" t="n"/>
      <c r="G1501" s="268" t="n"/>
    </row>
    <row r="1502">
      <c r="A1502" s="268" t="n"/>
      <c r="D1502" s="268" t="n"/>
      <c r="G1502" s="268" t="n"/>
    </row>
    <row r="1503">
      <c r="A1503" s="268" t="n"/>
      <c r="D1503" s="268" t="n"/>
      <c r="G1503" s="268" t="n"/>
    </row>
    <row r="1504">
      <c r="A1504" s="268" t="n"/>
      <c r="D1504" s="268" t="n"/>
      <c r="G1504" s="268" t="n"/>
    </row>
    <row r="1505">
      <c r="A1505" s="268" t="n"/>
      <c r="D1505" s="268" t="n"/>
      <c r="G1505" s="268" t="n"/>
    </row>
    <row r="1506">
      <c r="A1506" s="268" t="n"/>
      <c r="D1506" s="268" t="n"/>
      <c r="G1506" s="268" t="n"/>
    </row>
    <row r="1507">
      <c r="A1507" s="268" t="n"/>
      <c r="D1507" s="268" t="n"/>
      <c r="G1507" s="268" t="n"/>
    </row>
    <row r="1508">
      <c r="A1508" s="268" t="n"/>
      <c r="D1508" s="268" t="n"/>
      <c r="G1508" s="268" t="n"/>
    </row>
    <row r="1509">
      <c r="A1509" s="268" t="n"/>
      <c r="D1509" s="268" t="n"/>
      <c r="G1509" s="268" t="n"/>
    </row>
    <row r="1510">
      <c r="A1510" s="268" t="n"/>
      <c r="D1510" s="268" t="n"/>
      <c r="G1510" s="268" t="n"/>
    </row>
    <row r="1511">
      <c r="A1511" s="268" t="n"/>
      <c r="D1511" s="268" t="n"/>
      <c r="G1511" s="268" t="n"/>
    </row>
    <row r="1512">
      <c r="A1512" s="268" t="n"/>
      <c r="D1512" s="268" t="n"/>
      <c r="G1512" s="268" t="n"/>
    </row>
    <row r="1513">
      <c r="A1513" s="268" t="n"/>
      <c r="D1513" s="268" t="n"/>
      <c r="G1513" s="268" t="n"/>
    </row>
    <row r="1514">
      <c r="A1514" s="268" t="n"/>
      <c r="D1514" s="268" t="n"/>
      <c r="G1514" s="268" t="n"/>
    </row>
    <row r="1515">
      <c r="A1515" s="268" t="n"/>
      <c r="D1515" s="268" t="n"/>
      <c r="G1515" s="268" t="n"/>
    </row>
    <row r="1516">
      <c r="A1516" s="268" t="n"/>
      <c r="D1516" s="268" t="n"/>
      <c r="G1516" s="268" t="n"/>
    </row>
    <row r="1517">
      <c r="A1517" s="268" t="n"/>
      <c r="D1517" s="268" t="n"/>
      <c r="G1517" s="268" t="n"/>
    </row>
    <row r="1518">
      <c r="A1518" s="268" t="n"/>
      <c r="D1518" s="268" t="n"/>
      <c r="G1518" s="268" t="n"/>
    </row>
    <row r="1519">
      <c r="A1519" s="268" t="n"/>
      <c r="D1519" s="268" t="n"/>
      <c r="G1519" s="268" t="n"/>
    </row>
    <row r="1520">
      <c r="A1520" s="268" t="n"/>
      <c r="D1520" s="268" t="n"/>
      <c r="G1520" s="268" t="n"/>
    </row>
    <row r="1521">
      <c r="A1521" s="268" t="n"/>
      <c r="D1521" s="268" t="n"/>
      <c r="G1521" s="268" t="n"/>
    </row>
    <row r="1522">
      <c r="A1522" s="268" t="n"/>
      <c r="D1522" s="268" t="n"/>
      <c r="G1522" s="268" t="n"/>
    </row>
    <row r="1523">
      <c r="A1523" s="268" t="n"/>
      <c r="D1523" s="268" t="n"/>
      <c r="G1523" s="268" t="n"/>
    </row>
    <row r="1524">
      <c r="A1524" s="268" t="n"/>
      <c r="D1524" s="268" t="n"/>
      <c r="G1524" s="268" t="n"/>
    </row>
    <row r="1525">
      <c r="A1525" s="268" t="n"/>
      <c r="D1525" s="268" t="n"/>
      <c r="G1525" s="268" t="n"/>
    </row>
    <row r="1526">
      <c r="A1526" s="268" t="n"/>
      <c r="D1526" s="268" t="n"/>
      <c r="G1526" s="268" t="n"/>
    </row>
    <row r="1527">
      <c r="A1527" s="268" t="n"/>
      <c r="D1527" s="268" t="n"/>
      <c r="G1527" s="268" t="n"/>
    </row>
    <row r="1528">
      <c r="A1528" s="268" t="n"/>
      <c r="D1528" s="268" t="n"/>
      <c r="G1528" s="268" t="n"/>
    </row>
    <row r="1529">
      <c r="A1529" s="268" t="n"/>
      <c r="D1529" s="268" t="n"/>
      <c r="G1529" s="268" t="n"/>
    </row>
    <row r="1530">
      <c r="A1530" s="268" t="n"/>
      <c r="D1530" s="268" t="n"/>
      <c r="G1530" s="268" t="n"/>
    </row>
    <row r="1531">
      <c r="A1531" s="268" t="n"/>
      <c r="D1531" s="268" t="n"/>
      <c r="G1531" s="268" t="n"/>
    </row>
    <row r="1532">
      <c r="A1532" s="268" t="n"/>
      <c r="D1532" s="268" t="n"/>
      <c r="G1532" s="268" t="n"/>
    </row>
    <row r="1533">
      <c r="A1533" s="268" t="n"/>
      <c r="D1533" s="268" t="n"/>
      <c r="G1533" s="268" t="n"/>
    </row>
    <row r="1534">
      <c r="A1534" s="268" t="n"/>
      <c r="D1534" s="268" t="n"/>
      <c r="G1534" s="268" t="n"/>
    </row>
    <row r="1535">
      <c r="A1535" s="268" t="n"/>
      <c r="D1535" s="268" t="n"/>
      <c r="G1535" s="268" t="n"/>
    </row>
    <row r="1536">
      <c r="A1536" s="268" t="n"/>
      <c r="D1536" s="268" t="n"/>
      <c r="G1536" s="268" t="n"/>
    </row>
    <row r="1537">
      <c r="A1537" s="268" t="n"/>
      <c r="D1537" s="268" t="n"/>
      <c r="G1537" s="268" t="n"/>
    </row>
    <row r="1538">
      <c r="A1538" s="268" t="n"/>
      <c r="D1538" s="268" t="n"/>
      <c r="G1538" s="268" t="n"/>
    </row>
    <row r="1539">
      <c r="A1539" s="268" t="n"/>
      <c r="D1539" s="268" t="n"/>
      <c r="G1539" s="268" t="n"/>
    </row>
    <row r="1540">
      <c r="A1540" s="268" t="n"/>
      <c r="D1540" s="268" t="n"/>
      <c r="G1540" s="268" t="n"/>
    </row>
    <row r="1541">
      <c r="A1541" s="268" t="n"/>
      <c r="D1541" s="268" t="n"/>
      <c r="G1541" s="268" t="n"/>
    </row>
    <row r="1542">
      <c r="A1542" s="268" t="n"/>
      <c r="D1542" s="268" t="n"/>
      <c r="G1542" s="268" t="n"/>
    </row>
    <row r="1543">
      <c r="A1543" s="268" t="n"/>
      <c r="D1543" s="268" t="n"/>
      <c r="G1543" s="268" t="n"/>
    </row>
    <row r="1544">
      <c r="A1544" s="268" t="n"/>
      <c r="D1544" s="268" t="n"/>
      <c r="G1544" s="268" t="n"/>
    </row>
    <row r="1545">
      <c r="A1545" s="268" t="n"/>
      <c r="D1545" s="268" t="n"/>
      <c r="G1545" s="268" t="n"/>
    </row>
    <row r="1546">
      <c r="A1546" s="268" t="n"/>
      <c r="D1546" s="268" t="n"/>
      <c r="G1546" s="268" t="n"/>
    </row>
    <row r="1547">
      <c r="A1547" s="268" t="n"/>
      <c r="D1547" s="268" t="n"/>
      <c r="G1547" s="268" t="n"/>
    </row>
    <row r="1548">
      <c r="A1548" s="268" t="n"/>
      <c r="D1548" s="268" t="n"/>
      <c r="G1548" s="268" t="n"/>
    </row>
    <row r="1549">
      <c r="A1549" s="268" t="n"/>
      <c r="D1549" s="268" t="n"/>
      <c r="G1549" s="268" t="n"/>
    </row>
    <row r="1550">
      <c r="A1550" s="268" t="n"/>
      <c r="D1550" s="268" t="n"/>
      <c r="G1550" s="268" t="n"/>
    </row>
    <row r="1551">
      <c r="A1551" s="268" t="n"/>
      <c r="D1551" s="268" t="n"/>
      <c r="G1551" s="268" t="n"/>
    </row>
    <row r="1552">
      <c r="A1552" s="268" t="n"/>
      <c r="D1552" s="268" t="n"/>
      <c r="G1552" s="268" t="n"/>
    </row>
    <row r="1553">
      <c r="A1553" s="268" t="n"/>
      <c r="D1553" s="268" t="n"/>
      <c r="G1553" s="268" t="n"/>
    </row>
    <row r="1554">
      <c r="A1554" s="268" t="n"/>
      <c r="D1554" s="268" t="n"/>
      <c r="G1554" s="268" t="n"/>
    </row>
    <row r="1555">
      <c r="A1555" s="268" t="n"/>
      <c r="D1555" s="268" t="n"/>
      <c r="G1555" s="268" t="n"/>
    </row>
    <row r="1556">
      <c r="A1556" s="268" t="n"/>
      <c r="D1556" s="268" t="n"/>
      <c r="G1556" s="268" t="n"/>
    </row>
    <row r="1557">
      <c r="A1557" s="268" t="n"/>
      <c r="D1557" s="268" t="n"/>
      <c r="G1557" s="268" t="n"/>
    </row>
    <row r="1558">
      <c r="A1558" s="268" t="n"/>
      <c r="D1558" s="268" t="n"/>
      <c r="G1558" s="268" t="n"/>
    </row>
    <row r="1559">
      <c r="A1559" s="268" t="n"/>
      <c r="D1559" s="268" t="n"/>
      <c r="G1559" s="268" t="n"/>
    </row>
    <row r="1560">
      <c r="A1560" s="268" t="n"/>
      <c r="D1560" s="268" t="n"/>
      <c r="G1560" s="268" t="n"/>
    </row>
    <row r="1561">
      <c r="A1561" s="268" t="n"/>
      <c r="D1561" s="268" t="n"/>
      <c r="G1561" s="268" t="n"/>
    </row>
    <row r="1562">
      <c r="A1562" s="268" t="n"/>
      <c r="D1562" s="268" t="n"/>
      <c r="G1562" s="268" t="n"/>
    </row>
    <row r="1563">
      <c r="A1563" s="268" t="n"/>
      <c r="D1563" s="268" t="n"/>
      <c r="G1563" s="268" t="n"/>
    </row>
    <row r="1564">
      <c r="A1564" s="268" t="n"/>
      <c r="D1564" s="268" t="n"/>
      <c r="G1564" s="268" t="n"/>
    </row>
    <row r="1565">
      <c r="A1565" s="268" t="n"/>
      <c r="D1565" s="268" t="n"/>
      <c r="G1565" s="268" t="n"/>
    </row>
    <row r="1566">
      <c r="A1566" s="268" t="n"/>
      <c r="D1566" s="268" t="n"/>
      <c r="G1566" s="268" t="n"/>
    </row>
    <row r="1567">
      <c r="A1567" s="268" t="n"/>
      <c r="D1567" s="268" t="n"/>
      <c r="G1567" s="268" t="n"/>
    </row>
    <row r="1568">
      <c r="A1568" s="268" t="n"/>
      <c r="D1568" s="268" t="n"/>
      <c r="G1568" s="268" t="n"/>
    </row>
    <row r="1569">
      <c r="A1569" s="268" t="n"/>
      <c r="D1569" s="268" t="n"/>
      <c r="G1569" s="268" t="n"/>
    </row>
    <row r="1570">
      <c r="A1570" s="268" t="n"/>
      <c r="D1570" s="268" t="n"/>
      <c r="G1570" s="268" t="n"/>
    </row>
    <row r="1571">
      <c r="A1571" s="268" t="n"/>
      <c r="D1571" s="268" t="n"/>
      <c r="G1571" s="268" t="n"/>
    </row>
    <row r="1572">
      <c r="A1572" s="268" t="n"/>
      <c r="D1572" s="268" t="n"/>
      <c r="G1572" s="268" t="n"/>
    </row>
    <row r="1573">
      <c r="A1573" s="268" t="n"/>
      <c r="D1573" s="268" t="n"/>
      <c r="G1573" s="268" t="n"/>
    </row>
    <row r="1574">
      <c r="A1574" s="268" t="n"/>
      <c r="D1574" s="268" t="n"/>
      <c r="G1574" s="268" t="n"/>
    </row>
    <row r="1575">
      <c r="A1575" s="268" t="n"/>
      <c r="D1575" s="268" t="n"/>
      <c r="G1575" s="268" t="n"/>
    </row>
    <row r="1576">
      <c r="A1576" s="268" t="n"/>
      <c r="D1576" s="268" t="n"/>
      <c r="G1576" s="268" t="n"/>
    </row>
    <row r="1577">
      <c r="A1577" s="268" t="n"/>
      <c r="D1577" s="268" t="n"/>
      <c r="G1577" s="268" t="n"/>
    </row>
    <row r="1578">
      <c r="A1578" s="268" t="n"/>
      <c r="D1578" s="268" t="n"/>
      <c r="G1578" s="268" t="n"/>
    </row>
    <row r="1579">
      <c r="A1579" s="268" t="n"/>
      <c r="D1579" s="268" t="n"/>
      <c r="G1579" s="268" t="n"/>
    </row>
    <row r="1580">
      <c r="A1580" s="268" t="n"/>
      <c r="D1580" s="268" t="n"/>
      <c r="G1580" s="268" t="n"/>
    </row>
    <row r="1581">
      <c r="A1581" s="268" t="n"/>
      <c r="D1581" s="268" t="n"/>
      <c r="G1581" s="268" t="n"/>
    </row>
    <row r="1582">
      <c r="A1582" s="268" t="n"/>
      <c r="D1582" s="268" t="n"/>
      <c r="G1582" s="268" t="n"/>
    </row>
    <row r="1583">
      <c r="A1583" s="268" t="n"/>
      <c r="D1583" s="268" t="n"/>
      <c r="G1583" s="268" t="n"/>
    </row>
    <row r="1584">
      <c r="A1584" s="268" t="n"/>
      <c r="D1584" s="268" t="n"/>
      <c r="G1584" s="268" t="n"/>
    </row>
    <row r="1585">
      <c r="A1585" s="268" t="n"/>
      <c r="D1585" s="268" t="n"/>
      <c r="G1585" s="268" t="n"/>
    </row>
    <row r="1586">
      <c r="A1586" s="268" t="n"/>
      <c r="D1586" s="268" t="n"/>
      <c r="G1586" s="268" t="n"/>
    </row>
    <row r="1587">
      <c r="A1587" s="268" t="n"/>
      <c r="D1587" s="268" t="n"/>
      <c r="G1587" s="268" t="n"/>
    </row>
    <row r="1588">
      <c r="A1588" s="268" t="n"/>
      <c r="D1588" s="268" t="n"/>
      <c r="G1588" s="268" t="n"/>
    </row>
    <row r="1589">
      <c r="A1589" s="268" t="n"/>
      <c r="D1589" s="268" t="n"/>
      <c r="G1589" s="268" t="n"/>
    </row>
    <row r="1590">
      <c r="A1590" s="268" t="n"/>
      <c r="D1590" s="268" t="n"/>
      <c r="G1590" s="268" t="n"/>
    </row>
    <row r="1591">
      <c r="A1591" s="268" t="n"/>
      <c r="D1591" s="268" t="n"/>
      <c r="G1591" s="268" t="n"/>
    </row>
    <row r="1592">
      <c r="A1592" s="268" t="n"/>
      <c r="D1592" s="268" t="n"/>
      <c r="G1592" s="268" t="n"/>
    </row>
    <row r="1593">
      <c r="A1593" s="268" t="n"/>
      <c r="D1593" s="268" t="n"/>
      <c r="G1593" s="268" t="n"/>
    </row>
    <row r="1594">
      <c r="A1594" s="268" t="n"/>
      <c r="D1594" s="268" t="n"/>
      <c r="G1594" s="268" t="n"/>
    </row>
    <row r="1595">
      <c r="A1595" s="268" t="n"/>
      <c r="D1595" s="268" t="n"/>
      <c r="G1595" s="268" t="n"/>
    </row>
    <row r="1596">
      <c r="A1596" s="268" t="n"/>
      <c r="D1596" s="268" t="n"/>
      <c r="G1596" s="268" t="n"/>
    </row>
    <row r="1597">
      <c r="A1597" s="268" t="n"/>
      <c r="D1597" s="268" t="n"/>
      <c r="G1597" s="268" t="n"/>
    </row>
    <row r="1598">
      <c r="A1598" s="268" t="n"/>
      <c r="D1598" s="268" t="n"/>
      <c r="G1598" s="268" t="n"/>
    </row>
    <row r="1599">
      <c r="A1599" s="268" t="n"/>
      <c r="D1599" s="268" t="n"/>
      <c r="G1599" s="268" t="n"/>
    </row>
    <row r="1600">
      <c r="A1600" s="268" t="n"/>
      <c r="D1600" s="268" t="n"/>
      <c r="G1600" s="268" t="n"/>
    </row>
    <row r="1601">
      <c r="A1601" s="268" t="n"/>
      <c r="D1601" s="268" t="n"/>
      <c r="G1601" s="268" t="n"/>
    </row>
    <row r="1602">
      <c r="A1602" s="268" t="n"/>
      <c r="D1602" s="268" t="n"/>
      <c r="G1602" s="268" t="n"/>
    </row>
    <row r="1603">
      <c r="A1603" s="268" t="n"/>
      <c r="D1603" s="268" t="n"/>
      <c r="G1603" s="268" t="n"/>
    </row>
    <row r="1604">
      <c r="A1604" s="268" t="n"/>
      <c r="D1604" s="268" t="n"/>
      <c r="G1604" s="268" t="n"/>
    </row>
    <row r="1605">
      <c r="A1605" s="268" t="n"/>
      <c r="D1605" s="268" t="n"/>
      <c r="G1605" s="268" t="n"/>
    </row>
    <row r="1606">
      <c r="A1606" s="268" t="n"/>
      <c r="D1606" s="268" t="n"/>
      <c r="G1606" s="268" t="n"/>
    </row>
    <row r="1607">
      <c r="A1607" s="268" t="n"/>
      <c r="D1607" s="268" t="n"/>
      <c r="G1607" s="268" t="n"/>
    </row>
    <row r="1608">
      <c r="A1608" s="268" t="n"/>
      <c r="D1608" s="268" t="n"/>
      <c r="G1608" s="268" t="n"/>
    </row>
    <row r="1609">
      <c r="A1609" s="268" t="n"/>
      <c r="D1609" s="268" t="n"/>
      <c r="G1609" s="268" t="n"/>
    </row>
    <row r="1610">
      <c r="A1610" s="268" t="n"/>
      <c r="D1610" s="268" t="n"/>
      <c r="G1610" s="268" t="n"/>
    </row>
    <row r="1611">
      <c r="A1611" s="268" t="n"/>
      <c r="D1611" s="268" t="n"/>
      <c r="G1611" s="268" t="n"/>
    </row>
    <row r="1612">
      <c r="A1612" s="268" t="n"/>
      <c r="D1612" s="268" t="n"/>
      <c r="G1612" s="268" t="n"/>
    </row>
    <row r="1613">
      <c r="A1613" s="268" t="n"/>
      <c r="D1613" s="268" t="n"/>
      <c r="G1613" s="268" t="n"/>
    </row>
    <row r="1614">
      <c r="A1614" s="268" t="n"/>
      <c r="D1614" s="268" t="n"/>
      <c r="G1614" s="268" t="n"/>
    </row>
    <row r="1615">
      <c r="A1615" s="268" t="n"/>
      <c r="D1615" s="268" t="n"/>
      <c r="G1615" s="268" t="n"/>
    </row>
    <row r="1616">
      <c r="A1616" s="268" t="n"/>
      <c r="D1616" s="268" t="n"/>
      <c r="G1616" s="268" t="n"/>
    </row>
    <row r="1617">
      <c r="A1617" s="268" t="n"/>
      <c r="D1617" s="268" t="n"/>
      <c r="G1617" s="268" t="n"/>
    </row>
    <row r="1618">
      <c r="A1618" s="268" t="n"/>
      <c r="D1618" s="268" t="n"/>
      <c r="G1618" s="268" t="n"/>
    </row>
    <row r="1619">
      <c r="A1619" s="268" t="n"/>
      <c r="D1619" s="268" t="n"/>
      <c r="G1619" s="268" t="n"/>
    </row>
    <row r="1620">
      <c r="A1620" s="268" t="n"/>
      <c r="D1620" s="268" t="n"/>
      <c r="G1620" s="268" t="n"/>
    </row>
    <row r="1621">
      <c r="A1621" s="268" t="n"/>
      <c r="D1621" s="268" t="n"/>
      <c r="G1621" s="268" t="n"/>
    </row>
    <row r="1622">
      <c r="A1622" s="268" t="n"/>
      <c r="D1622" s="268" t="n"/>
      <c r="G1622" s="268" t="n"/>
    </row>
    <row r="1623">
      <c r="A1623" s="268" t="n"/>
      <c r="D1623" s="268" t="n"/>
      <c r="G1623" s="268" t="n"/>
    </row>
    <row r="1624">
      <c r="A1624" s="268" t="n"/>
      <c r="D1624" s="268" t="n"/>
      <c r="G1624" s="268" t="n"/>
    </row>
    <row r="1625">
      <c r="A1625" s="268" t="n"/>
      <c r="D1625" s="268" t="n"/>
      <c r="G1625" s="268" t="n"/>
    </row>
    <row r="1626">
      <c r="A1626" s="268" t="n"/>
      <c r="D1626" s="268" t="n"/>
      <c r="G1626" s="268" t="n"/>
    </row>
    <row r="1627">
      <c r="A1627" s="268" t="n"/>
      <c r="D1627" s="268" t="n"/>
      <c r="G1627" s="268" t="n"/>
    </row>
    <row r="1628">
      <c r="A1628" s="268" t="n"/>
      <c r="D1628" s="268" t="n"/>
      <c r="G1628" s="268" t="n"/>
    </row>
    <row r="1629">
      <c r="A1629" s="268" t="n"/>
      <c r="D1629" s="268" t="n"/>
      <c r="G1629" s="268" t="n"/>
    </row>
    <row r="1630">
      <c r="A1630" s="268" t="n"/>
      <c r="D1630" s="268" t="n"/>
      <c r="G1630" s="268" t="n"/>
    </row>
    <row r="1631">
      <c r="A1631" s="268" t="n"/>
      <c r="D1631" s="268" t="n"/>
      <c r="G1631" s="268" t="n"/>
    </row>
    <row r="1632">
      <c r="A1632" s="268" t="n"/>
      <c r="D1632" s="268" t="n"/>
      <c r="G1632" s="268" t="n"/>
    </row>
    <row r="1633">
      <c r="A1633" s="268" t="n"/>
      <c r="D1633" s="268" t="n"/>
      <c r="G1633" s="268" t="n"/>
    </row>
    <row r="1634">
      <c r="A1634" s="268" t="n"/>
      <c r="D1634" s="268" t="n"/>
      <c r="G1634" s="268" t="n"/>
    </row>
    <row r="1635">
      <c r="A1635" s="268" t="n"/>
      <c r="D1635" s="268" t="n"/>
      <c r="G1635" s="268" t="n"/>
    </row>
    <row r="1636">
      <c r="A1636" s="268" t="n"/>
      <c r="D1636" s="268" t="n"/>
      <c r="G1636" s="268" t="n"/>
    </row>
    <row r="1637">
      <c r="A1637" s="268" t="n"/>
      <c r="D1637" s="268" t="n"/>
      <c r="G1637" s="268" t="n"/>
    </row>
    <row r="1638">
      <c r="A1638" s="268" t="n"/>
      <c r="D1638" s="268" t="n"/>
      <c r="G1638" s="268" t="n"/>
    </row>
    <row r="1639">
      <c r="A1639" s="268" t="n"/>
      <c r="D1639" s="268" t="n"/>
      <c r="G1639" s="268" t="n"/>
    </row>
    <row r="1640">
      <c r="A1640" s="268" t="n"/>
      <c r="D1640" s="268" t="n"/>
      <c r="G1640" s="268" t="n"/>
    </row>
    <row r="1641">
      <c r="A1641" s="268" t="n"/>
      <c r="D1641" s="268" t="n"/>
      <c r="G1641" s="268" t="n"/>
    </row>
    <row r="1642">
      <c r="A1642" s="268" t="n"/>
      <c r="D1642" s="268" t="n"/>
      <c r="G1642" s="268" t="n"/>
    </row>
    <row r="1643">
      <c r="A1643" s="268" t="n"/>
      <c r="D1643" s="268" t="n"/>
      <c r="G1643" s="268" t="n"/>
    </row>
    <row r="1644">
      <c r="A1644" s="268" t="n"/>
      <c r="D1644" s="268" t="n"/>
      <c r="G1644" s="268" t="n"/>
    </row>
    <row r="1645">
      <c r="A1645" s="268" t="n"/>
      <c r="D1645" s="268" t="n"/>
      <c r="G1645" s="268" t="n"/>
    </row>
    <row r="1646">
      <c r="A1646" s="268" t="n"/>
      <c r="D1646" s="268" t="n"/>
      <c r="G1646" s="268" t="n"/>
    </row>
    <row r="1647">
      <c r="A1647" s="268" t="n"/>
      <c r="D1647" s="268" t="n"/>
      <c r="G1647" s="268" t="n"/>
    </row>
    <row r="1648">
      <c r="A1648" s="268" t="n"/>
      <c r="D1648" s="268" t="n"/>
      <c r="G1648" s="268" t="n"/>
    </row>
    <row r="1649">
      <c r="A1649" s="268" t="n"/>
      <c r="D1649" s="268" t="n"/>
      <c r="G1649" s="268" t="n"/>
    </row>
    <row r="1650">
      <c r="A1650" s="268" t="n"/>
      <c r="D1650" s="268" t="n"/>
      <c r="G1650" s="268" t="n"/>
    </row>
    <row r="1651">
      <c r="A1651" s="268" t="n"/>
      <c r="D1651" s="268" t="n"/>
      <c r="G1651" s="268" t="n"/>
    </row>
    <row r="1652">
      <c r="A1652" s="268" t="n"/>
      <c r="D1652" s="268" t="n"/>
      <c r="G1652" s="268" t="n"/>
    </row>
    <row r="1653">
      <c r="A1653" s="268" t="n"/>
      <c r="D1653" s="268" t="n"/>
      <c r="G1653" s="268" t="n"/>
    </row>
    <row r="1654">
      <c r="A1654" s="268" t="n"/>
      <c r="D1654" s="268" t="n"/>
      <c r="G1654" s="268" t="n"/>
    </row>
    <row r="1655">
      <c r="A1655" s="268" t="n"/>
      <c r="D1655" s="268" t="n"/>
      <c r="G1655" s="268" t="n"/>
    </row>
    <row r="1656">
      <c r="A1656" s="268" t="n"/>
      <c r="D1656" s="268" t="n"/>
      <c r="G1656" s="268" t="n"/>
    </row>
    <row r="1657">
      <c r="A1657" s="268" t="n"/>
      <c r="D1657" s="268" t="n"/>
      <c r="G1657" s="268" t="n"/>
    </row>
    <row r="1658">
      <c r="A1658" s="268" t="n"/>
      <c r="D1658" s="268" t="n"/>
      <c r="G1658" s="268" t="n"/>
    </row>
    <row r="1659">
      <c r="A1659" s="268" t="n"/>
      <c r="D1659" s="268" t="n"/>
      <c r="G1659" s="268" t="n"/>
    </row>
    <row r="1660">
      <c r="A1660" s="268" t="n"/>
      <c r="D1660" s="268" t="n"/>
      <c r="G1660" s="268" t="n"/>
    </row>
    <row r="1661">
      <c r="A1661" s="268" t="n"/>
      <c r="D1661" s="268" t="n"/>
      <c r="G1661" s="268" t="n"/>
    </row>
    <row r="1662">
      <c r="A1662" s="268" t="n"/>
      <c r="D1662" s="268" t="n"/>
      <c r="G1662" s="268" t="n"/>
    </row>
    <row r="1663">
      <c r="A1663" s="268" t="n"/>
      <c r="D1663" s="268" t="n"/>
      <c r="G1663" s="268" t="n"/>
    </row>
    <row r="1664">
      <c r="A1664" s="268" t="n"/>
      <c r="D1664" s="268" t="n"/>
      <c r="G1664" s="268" t="n"/>
    </row>
    <row r="1665">
      <c r="A1665" s="268" t="n"/>
      <c r="D1665" s="268" t="n"/>
      <c r="G1665" s="268" t="n"/>
    </row>
    <row r="1666">
      <c r="A1666" s="268" t="n"/>
      <c r="D1666" s="268" t="n"/>
      <c r="G1666" s="268" t="n"/>
    </row>
    <row r="1667">
      <c r="A1667" s="268" t="n"/>
      <c r="D1667" s="268" t="n"/>
      <c r="G1667" s="268" t="n"/>
    </row>
    <row r="1668">
      <c r="A1668" s="268" t="n"/>
      <c r="D1668" s="268" t="n"/>
      <c r="G1668" s="268" t="n"/>
    </row>
    <row r="1669">
      <c r="A1669" s="268" t="n"/>
      <c r="D1669" s="268" t="n"/>
      <c r="G1669" s="268" t="n"/>
    </row>
    <row r="1670">
      <c r="A1670" s="268" t="n"/>
      <c r="D1670" s="268" t="n"/>
      <c r="G1670" s="268" t="n"/>
    </row>
    <row r="1671">
      <c r="A1671" s="268" t="n"/>
      <c r="D1671" s="268" t="n"/>
      <c r="G1671" s="268" t="n"/>
    </row>
    <row r="1672">
      <c r="A1672" s="268" t="n"/>
      <c r="D1672" s="268" t="n"/>
      <c r="G1672" s="268" t="n"/>
    </row>
    <row r="1673">
      <c r="A1673" s="268" t="n"/>
      <c r="D1673" s="268" t="n"/>
      <c r="G1673" s="268" t="n"/>
    </row>
    <row r="1674">
      <c r="A1674" s="268" t="n"/>
      <c r="D1674" s="268" t="n"/>
      <c r="G1674" s="268" t="n"/>
    </row>
    <row r="1675">
      <c r="A1675" s="268" t="n"/>
      <c r="D1675" s="268" t="n"/>
      <c r="G1675" s="268" t="n"/>
    </row>
    <row r="1676">
      <c r="A1676" s="268" t="n"/>
      <c r="D1676" s="268" t="n"/>
      <c r="G1676" s="268" t="n"/>
    </row>
    <row r="1677">
      <c r="A1677" s="268" t="n"/>
      <c r="D1677" s="268" t="n"/>
      <c r="G1677" s="268" t="n"/>
    </row>
    <row r="1678">
      <c r="A1678" s="268" t="n"/>
      <c r="D1678" s="268" t="n"/>
      <c r="G1678" s="268" t="n"/>
    </row>
    <row r="1679">
      <c r="A1679" s="268" t="n"/>
      <c r="D1679" s="268" t="n"/>
      <c r="G1679" s="268" t="n"/>
    </row>
    <row r="1680">
      <c r="A1680" s="268" t="n"/>
      <c r="D1680" s="268" t="n"/>
      <c r="G1680" s="268" t="n"/>
    </row>
    <row r="1681">
      <c r="A1681" s="268" t="n"/>
      <c r="D1681" s="268" t="n"/>
      <c r="G1681" s="268" t="n"/>
    </row>
    <row r="1682">
      <c r="A1682" s="268" t="n"/>
      <c r="D1682" s="268" t="n"/>
      <c r="G1682" s="268" t="n"/>
    </row>
    <row r="1683">
      <c r="A1683" s="268" t="n"/>
      <c r="D1683" s="268" t="n"/>
      <c r="G1683" s="268" t="n"/>
    </row>
    <row r="1684">
      <c r="A1684" s="268" t="n"/>
      <c r="D1684" s="268" t="n"/>
      <c r="G1684" s="268" t="n"/>
    </row>
    <row r="1685">
      <c r="A1685" s="268" t="n"/>
      <c r="D1685" s="268" t="n"/>
      <c r="G1685" s="268" t="n"/>
    </row>
    <row r="1686">
      <c r="A1686" s="268" t="n"/>
      <c r="D1686" s="268" t="n"/>
      <c r="G1686" s="268" t="n"/>
    </row>
    <row r="1687">
      <c r="A1687" s="268" t="n"/>
      <c r="D1687" s="268" t="n"/>
      <c r="G1687" s="268" t="n"/>
    </row>
    <row r="1688">
      <c r="A1688" s="268" t="n"/>
      <c r="D1688" s="268" t="n"/>
      <c r="G1688" s="268" t="n"/>
    </row>
    <row r="1689">
      <c r="A1689" s="268" t="n"/>
      <c r="D1689" s="268" t="n"/>
      <c r="G1689" s="268" t="n"/>
    </row>
    <row r="1690">
      <c r="A1690" s="268" t="n"/>
      <c r="D1690" s="268" t="n"/>
      <c r="G1690" s="268" t="n"/>
    </row>
    <row r="1691">
      <c r="A1691" s="268" t="n"/>
      <c r="D1691" s="268" t="n"/>
      <c r="G1691" s="268" t="n"/>
    </row>
    <row r="1692">
      <c r="A1692" s="268" t="n"/>
      <c r="D1692" s="268" t="n"/>
      <c r="G1692" s="268" t="n"/>
    </row>
    <row r="1693">
      <c r="A1693" s="268" t="n"/>
      <c r="D1693" s="268" t="n"/>
      <c r="G1693" s="268" t="n"/>
    </row>
    <row r="1694">
      <c r="A1694" s="268" t="n"/>
      <c r="D1694" s="268" t="n"/>
      <c r="G1694" s="268" t="n"/>
    </row>
    <row r="1695">
      <c r="A1695" s="268" t="n"/>
      <c r="D1695" s="268" t="n"/>
      <c r="G1695" s="268" t="n"/>
    </row>
    <row r="1696">
      <c r="A1696" s="268" t="n"/>
      <c r="D1696" s="268" t="n"/>
      <c r="G1696" s="268" t="n"/>
    </row>
    <row r="1697">
      <c r="A1697" s="268" t="n"/>
      <c r="D1697" s="268" t="n"/>
      <c r="G1697" s="268" t="n"/>
    </row>
    <row r="1698">
      <c r="A1698" s="268" t="n"/>
      <c r="D1698" s="268" t="n"/>
      <c r="G1698" s="268" t="n"/>
    </row>
    <row r="1699">
      <c r="A1699" s="268" t="n"/>
      <c r="D1699" s="268" t="n"/>
      <c r="G1699" s="268" t="n"/>
    </row>
    <row r="1700">
      <c r="A1700" s="268" t="n"/>
      <c r="D1700" s="268" t="n"/>
      <c r="G1700" s="268" t="n"/>
    </row>
    <row r="1701">
      <c r="A1701" s="268" t="n"/>
      <c r="D1701" s="268" t="n"/>
      <c r="G1701" s="268" t="n"/>
    </row>
    <row r="1702">
      <c r="A1702" s="268" t="n"/>
      <c r="D1702" s="268" t="n"/>
      <c r="G1702" s="268" t="n"/>
    </row>
    <row r="1703">
      <c r="A1703" s="268" t="n"/>
      <c r="D1703" s="268" t="n"/>
      <c r="G1703" s="268" t="n"/>
    </row>
    <row r="1704">
      <c r="A1704" s="268" t="n"/>
      <c r="D1704" s="268" t="n"/>
      <c r="G1704" s="268" t="n"/>
    </row>
    <row r="1705">
      <c r="A1705" s="268" t="n"/>
      <c r="D1705" s="268" t="n"/>
      <c r="G1705" s="268" t="n"/>
    </row>
    <row r="1706">
      <c r="A1706" s="268" t="n"/>
      <c r="D1706" s="268" t="n"/>
      <c r="G1706" s="268" t="n"/>
    </row>
    <row r="1707">
      <c r="A1707" s="268" t="n"/>
      <c r="D1707" s="268" t="n"/>
      <c r="G1707" s="268" t="n"/>
    </row>
    <row r="1708">
      <c r="A1708" s="268" t="n"/>
      <c r="D1708" s="268" t="n"/>
      <c r="G1708" s="268" t="n"/>
    </row>
    <row r="1709">
      <c r="A1709" s="268" t="n"/>
      <c r="D1709" s="268" t="n"/>
      <c r="G1709" s="268" t="n"/>
    </row>
    <row r="1710">
      <c r="A1710" s="268" t="n"/>
      <c r="D1710" s="268" t="n"/>
      <c r="G1710" s="268" t="n"/>
    </row>
    <row r="1711">
      <c r="A1711" s="268" t="n"/>
      <c r="D1711" s="268" t="n"/>
      <c r="G1711" s="268" t="n"/>
    </row>
    <row r="1712">
      <c r="A1712" s="268" t="n"/>
      <c r="D1712" s="268" t="n"/>
      <c r="G1712" s="268" t="n"/>
    </row>
    <row r="1713">
      <c r="A1713" s="268" t="n"/>
      <c r="D1713" s="268" t="n"/>
      <c r="G1713" s="268" t="n"/>
    </row>
    <row r="1714">
      <c r="A1714" s="268" t="n"/>
      <c r="D1714" s="268" t="n"/>
      <c r="G1714" s="268" t="n"/>
    </row>
    <row r="1715">
      <c r="A1715" s="268" t="n"/>
      <c r="D1715" s="268" t="n"/>
      <c r="G1715" s="268" t="n"/>
    </row>
    <row r="1716">
      <c r="A1716" s="268" t="n"/>
      <c r="D1716" s="268" t="n"/>
      <c r="G1716" s="268" t="n"/>
    </row>
    <row r="1717">
      <c r="A1717" s="268" t="n"/>
      <c r="D1717" s="268" t="n"/>
      <c r="G1717" s="268" t="n"/>
    </row>
    <row r="1718">
      <c r="A1718" s="268" t="n"/>
      <c r="D1718" s="268" t="n"/>
      <c r="G1718" s="268" t="n"/>
    </row>
    <row r="1719">
      <c r="A1719" s="268" t="n"/>
      <c r="D1719" s="268" t="n"/>
      <c r="G1719" s="268" t="n"/>
    </row>
    <row r="1720">
      <c r="A1720" s="268" t="n"/>
      <c r="D1720" s="268" t="n"/>
      <c r="G1720" s="268" t="n"/>
    </row>
    <row r="1721">
      <c r="A1721" s="268" t="n"/>
      <c r="D1721" s="268" t="n"/>
      <c r="G1721" s="268" t="n"/>
    </row>
    <row r="1722">
      <c r="A1722" s="268" t="n"/>
      <c r="D1722" s="268" t="n"/>
      <c r="G1722" s="268" t="n"/>
    </row>
    <row r="1723">
      <c r="A1723" s="268" t="n"/>
      <c r="D1723" s="268" t="n"/>
      <c r="G1723" s="268" t="n"/>
    </row>
    <row r="1724">
      <c r="A1724" s="268" t="n"/>
      <c r="D1724" s="268" t="n"/>
      <c r="G1724" s="268" t="n"/>
    </row>
    <row r="1725">
      <c r="A1725" s="268" t="n"/>
      <c r="D1725" s="268" t="n"/>
      <c r="G1725" s="268" t="n"/>
    </row>
    <row r="1726">
      <c r="A1726" s="268" t="n"/>
      <c r="D1726" s="268" t="n"/>
      <c r="G1726" s="268" t="n"/>
    </row>
    <row r="1727">
      <c r="A1727" s="268" t="n"/>
      <c r="D1727" s="268" t="n"/>
      <c r="G1727" s="268" t="n"/>
    </row>
    <row r="1728">
      <c r="A1728" s="268" t="n"/>
      <c r="D1728" s="268" t="n"/>
      <c r="G1728" s="268" t="n"/>
    </row>
    <row r="1729">
      <c r="A1729" s="268" t="n"/>
      <c r="D1729" s="268" t="n"/>
      <c r="G1729" s="268" t="n"/>
    </row>
    <row r="1730">
      <c r="A1730" s="268" t="n"/>
      <c r="D1730" s="268" t="n"/>
      <c r="G1730" s="268" t="n"/>
    </row>
    <row r="1731">
      <c r="A1731" s="268" t="n"/>
      <c r="D1731" s="268" t="n"/>
      <c r="G1731" s="268" t="n"/>
    </row>
    <row r="1732">
      <c r="A1732" s="268" t="n"/>
      <c r="D1732" s="268" t="n"/>
      <c r="G1732" s="268" t="n"/>
    </row>
    <row r="1733">
      <c r="A1733" s="268" t="n"/>
      <c r="D1733" s="268" t="n"/>
      <c r="G1733" s="268" t="n"/>
    </row>
    <row r="1734">
      <c r="A1734" s="268" t="n"/>
      <c r="D1734" s="268" t="n"/>
      <c r="G1734" s="268" t="n"/>
    </row>
    <row r="1735">
      <c r="A1735" s="268" t="n"/>
      <c r="D1735" s="268" t="n"/>
      <c r="G1735" s="268" t="n"/>
    </row>
    <row r="1736">
      <c r="A1736" s="268" t="n"/>
      <c r="D1736" s="268" t="n"/>
      <c r="G1736" s="268" t="n"/>
    </row>
    <row r="1737">
      <c r="A1737" s="268" t="n"/>
      <c r="D1737" s="268" t="n"/>
      <c r="G1737" s="268" t="n"/>
    </row>
    <row r="1738">
      <c r="A1738" s="268" t="n"/>
      <c r="D1738" s="268" t="n"/>
      <c r="G1738" s="268" t="n"/>
    </row>
    <row r="1739">
      <c r="A1739" s="268" t="n"/>
      <c r="D1739" s="268" t="n"/>
      <c r="G1739" s="268" t="n"/>
    </row>
    <row r="1740">
      <c r="A1740" s="268" t="n"/>
      <c r="D1740" s="268" t="n"/>
      <c r="G1740" s="268" t="n"/>
    </row>
    <row r="1741">
      <c r="A1741" s="268" t="n"/>
      <c r="D1741" s="268" t="n"/>
      <c r="G1741" s="268" t="n"/>
    </row>
    <row r="1742">
      <c r="A1742" s="268" t="n"/>
      <c r="D1742" s="268" t="n"/>
      <c r="G1742" s="268" t="n"/>
    </row>
    <row r="1743">
      <c r="A1743" s="268" t="n"/>
      <c r="D1743" s="268" t="n"/>
      <c r="G1743" s="268" t="n"/>
    </row>
    <row r="1744">
      <c r="A1744" s="268" t="n"/>
      <c r="D1744" s="268" t="n"/>
      <c r="G1744" s="268" t="n"/>
    </row>
    <row r="1745">
      <c r="A1745" s="268" t="n"/>
      <c r="D1745" s="268" t="n"/>
      <c r="G1745" s="268" t="n"/>
    </row>
    <row r="1746">
      <c r="A1746" s="268" t="n"/>
      <c r="D1746" s="268" t="n"/>
      <c r="G1746" s="268" t="n"/>
    </row>
    <row r="1747">
      <c r="A1747" s="268" t="n"/>
      <c r="D1747" s="268" t="n"/>
      <c r="G1747" s="268" t="n"/>
    </row>
    <row r="1748">
      <c r="A1748" s="268" t="n"/>
      <c r="D1748" s="268" t="n"/>
      <c r="G1748" s="268" t="n"/>
    </row>
    <row r="1749">
      <c r="A1749" s="268" t="n"/>
      <c r="D1749" s="268" t="n"/>
      <c r="G1749" s="268" t="n"/>
    </row>
    <row r="1750">
      <c r="A1750" s="268" t="n"/>
      <c r="D1750" s="268" t="n"/>
      <c r="G1750" s="268" t="n"/>
    </row>
    <row r="1751">
      <c r="A1751" s="268" t="n"/>
      <c r="D1751" s="268" t="n"/>
      <c r="G1751" s="268" t="n"/>
    </row>
    <row r="1752">
      <c r="A1752" s="268" t="n"/>
      <c r="D1752" s="268" t="n"/>
      <c r="G1752" s="268" t="n"/>
    </row>
    <row r="1753">
      <c r="A1753" s="268" t="n"/>
      <c r="D1753" s="268" t="n"/>
      <c r="G1753" s="268" t="n"/>
    </row>
    <row r="1754">
      <c r="A1754" s="268" t="n"/>
      <c r="D1754" s="268" t="n"/>
      <c r="G1754" s="268" t="n"/>
    </row>
    <row r="1755">
      <c r="A1755" s="268" t="n"/>
      <c r="D1755" s="268" t="n"/>
      <c r="G1755" s="268" t="n"/>
    </row>
    <row r="1756">
      <c r="A1756" s="268" t="n"/>
      <c r="D1756" s="268" t="n"/>
      <c r="G1756" s="268" t="n"/>
    </row>
    <row r="1757">
      <c r="A1757" s="268" t="n"/>
      <c r="D1757" s="268" t="n"/>
      <c r="G1757" s="268" t="n"/>
    </row>
    <row r="1758">
      <c r="A1758" s="268" t="n"/>
      <c r="D1758" s="268" t="n"/>
      <c r="G1758" s="268" t="n"/>
    </row>
    <row r="1759">
      <c r="A1759" s="268" t="n"/>
      <c r="D1759" s="268" t="n"/>
      <c r="G1759" s="268" t="n"/>
    </row>
    <row r="1760">
      <c r="A1760" s="268" t="n"/>
      <c r="D1760" s="268" t="n"/>
      <c r="G1760" s="268" t="n"/>
    </row>
    <row r="1761">
      <c r="A1761" s="268" t="n"/>
      <c r="D1761" s="268" t="n"/>
      <c r="G1761" s="268" t="n"/>
    </row>
    <row r="1762">
      <c r="A1762" s="268" t="n"/>
      <c r="D1762" s="268" t="n"/>
      <c r="G1762" s="268" t="n"/>
    </row>
    <row r="1763">
      <c r="A1763" s="268" t="n"/>
      <c r="D1763" s="268" t="n"/>
      <c r="G1763" s="268" t="n"/>
    </row>
    <row r="1764">
      <c r="A1764" s="268" t="n"/>
      <c r="D1764" s="268" t="n"/>
      <c r="G1764" s="268" t="n"/>
    </row>
    <row r="1765">
      <c r="A1765" s="268" t="n"/>
      <c r="D1765" s="268" t="n"/>
      <c r="G1765" s="268" t="n"/>
    </row>
    <row r="1766">
      <c r="A1766" s="268" t="n"/>
      <c r="D1766" s="268" t="n"/>
      <c r="G1766" s="268" t="n"/>
    </row>
    <row r="1767">
      <c r="A1767" s="268" t="n"/>
      <c r="D1767" s="268" t="n"/>
      <c r="G1767" s="268" t="n"/>
    </row>
    <row r="1768">
      <c r="A1768" s="268" t="n"/>
      <c r="D1768" s="268" t="n"/>
      <c r="G1768" s="268" t="n"/>
    </row>
    <row r="1769">
      <c r="A1769" s="268" t="n"/>
      <c r="D1769" s="268" t="n"/>
      <c r="G1769" s="268" t="n"/>
    </row>
    <row r="1770">
      <c r="A1770" s="268" t="n"/>
      <c r="D1770" s="268" t="n"/>
      <c r="G1770" s="268" t="n"/>
    </row>
    <row r="1771">
      <c r="A1771" s="268" t="n"/>
      <c r="D1771" s="268" t="n"/>
      <c r="G1771" s="268" t="n"/>
    </row>
    <row r="1772">
      <c r="A1772" s="268" t="n"/>
      <c r="D1772" s="268" t="n"/>
      <c r="G1772" s="268" t="n"/>
    </row>
    <row r="1773">
      <c r="A1773" s="268" t="n"/>
      <c r="D1773" s="268" t="n"/>
      <c r="G1773" s="268" t="n"/>
    </row>
    <row r="1774">
      <c r="A1774" s="268" t="n"/>
      <c r="D1774" s="268" t="n"/>
      <c r="G1774" s="268" t="n"/>
    </row>
    <row r="1775">
      <c r="A1775" s="268" t="n"/>
      <c r="D1775" s="268" t="n"/>
      <c r="G1775" s="268" t="n"/>
    </row>
    <row r="1776">
      <c r="A1776" s="268" t="n"/>
      <c r="D1776" s="268" t="n"/>
      <c r="G1776" s="268" t="n"/>
    </row>
    <row r="1777">
      <c r="A1777" s="268" t="n"/>
      <c r="D1777" s="268" t="n"/>
      <c r="G1777" s="268" t="n"/>
    </row>
    <row r="1778">
      <c r="A1778" s="268" t="n"/>
      <c r="D1778" s="268" t="n"/>
      <c r="G1778" s="268" t="n"/>
    </row>
    <row r="1779">
      <c r="A1779" s="268" t="n"/>
      <c r="D1779" s="268" t="n"/>
      <c r="G1779" s="268" t="n"/>
    </row>
    <row r="1780">
      <c r="A1780" s="268" t="n"/>
      <c r="D1780" s="268" t="n"/>
      <c r="G1780" s="268" t="n"/>
    </row>
    <row r="1781">
      <c r="A1781" s="268" t="n"/>
      <c r="D1781" s="268" t="n"/>
      <c r="G1781" s="268" t="n"/>
    </row>
    <row r="1782">
      <c r="A1782" s="268" t="n"/>
      <c r="D1782" s="268" t="n"/>
      <c r="G1782" s="268" t="n"/>
    </row>
    <row r="1783">
      <c r="A1783" s="268" t="n"/>
      <c r="D1783" s="268" t="n"/>
      <c r="G1783" s="268" t="n"/>
    </row>
    <row r="1784">
      <c r="A1784" s="268" t="n"/>
      <c r="D1784" s="268" t="n"/>
      <c r="G1784" s="268" t="n"/>
    </row>
    <row r="1785">
      <c r="A1785" s="268" t="n"/>
      <c r="D1785" s="268" t="n"/>
      <c r="G1785" s="268" t="n"/>
    </row>
    <row r="1786">
      <c r="A1786" s="268" t="n"/>
      <c r="D1786" s="268" t="n"/>
      <c r="G1786" s="268" t="n"/>
    </row>
    <row r="1787">
      <c r="A1787" s="268" t="n"/>
      <c r="D1787" s="268" t="n"/>
      <c r="G1787" s="268" t="n"/>
    </row>
    <row r="1788">
      <c r="A1788" s="268" t="n"/>
      <c r="D1788" s="268" t="n"/>
      <c r="G1788" s="268" t="n"/>
    </row>
    <row r="1789">
      <c r="A1789" s="268" t="n"/>
      <c r="D1789" s="268" t="n"/>
      <c r="G1789" s="268" t="n"/>
    </row>
    <row r="1790">
      <c r="A1790" s="268" t="n"/>
      <c r="D1790" s="268" t="n"/>
      <c r="G1790" s="268" t="n"/>
    </row>
    <row r="1791">
      <c r="A1791" s="268" t="n"/>
      <c r="D1791" s="268" t="n"/>
      <c r="G1791" s="268" t="n"/>
    </row>
    <row r="1792">
      <c r="A1792" s="268" t="n"/>
      <c r="D1792" s="268" t="n"/>
      <c r="G1792" s="268" t="n"/>
    </row>
    <row r="1793">
      <c r="A1793" s="268" t="n"/>
      <c r="D1793" s="268" t="n"/>
      <c r="G1793" s="268" t="n"/>
    </row>
    <row r="1794">
      <c r="A1794" s="268" t="n"/>
      <c r="D1794" s="268" t="n"/>
      <c r="G1794" s="268" t="n"/>
    </row>
    <row r="1795">
      <c r="A1795" s="268" t="n"/>
      <c r="D1795" s="268" t="n"/>
      <c r="G1795" s="268" t="n"/>
    </row>
    <row r="1796">
      <c r="A1796" s="268" t="n"/>
      <c r="D1796" s="268" t="n"/>
      <c r="G1796" s="268" t="n"/>
    </row>
    <row r="1797">
      <c r="A1797" s="268" t="n"/>
      <c r="D1797" s="268" t="n"/>
      <c r="G1797" s="268" t="n"/>
    </row>
    <row r="1798">
      <c r="A1798" s="268" t="n"/>
      <c r="D1798" s="268" t="n"/>
      <c r="G1798" s="268" t="n"/>
    </row>
    <row r="1799">
      <c r="A1799" s="268" t="n"/>
      <c r="D1799" s="268" t="n"/>
      <c r="G1799" s="268" t="n"/>
    </row>
    <row r="1800">
      <c r="A1800" s="268" t="n"/>
      <c r="D1800" s="268" t="n"/>
      <c r="G1800" s="268" t="n"/>
    </row>
    <row r="1801">
      <c r="A1801" s="268" t="n"/>
      <c r="D1801" s="268" t="n"/>
      <c r="G1801" s="268" t="n"/>
    </row>
    <row r="1802">
      <c r="A1802" s="268" t="n"/>
      <c r="D1802" s="268" t="n"/>
      <c r="G1802" s="268" t="n"/>
    </row>
    <row r="1803">
      <c r="A1803" s="268" t="n"/>
      <c r="D1803" s="268" t="n"/>
      <c r="G1803" s="268" t="n"/>
    </row>
    <row r="1804">
      <c r="A1804" s="268" t="n"/>
      <c r="D1804" s="268" t="n"/>
      <c r="G1804" s="268" t="n"/>
    </row>
    <row r="1805">
      <c r="A1805" s="268" t="n"/>
      <c r="D1805" s="268" t="n"/>
      <c r="G1805" s="268" t="n"/>
    </row>
    <row r="1806">
      <c r="A1806" s="268" t="n"/>
      <c r="D1806" s="268" t="n"/>
      <c r="G1806" s="268" t="n"/>
    </row>
    <row r="1807">
      <c r="A1807" s="268" t="n"/>
      <c r="D1807" s="268" t="n"/>
      <c r="G1807" s="268" t="n"/>
    </row>
    <row r="1808">
      <c r="A1808" s="268" t="n"/>
      <c r="D1808" s="268" t="n"/>
      <c r="G1808" s="268" t="n"/>
    </row>
    <row r="1809">
      <c r="A1809" s="268" t="n"/>
      <c r="D1809" s="268" t="n"/>
      <c r="G1809" s="268" t="n"/>
    </row>
    <row r="1810">
      <c r="A1810" s="268" t="n"/>
      <c r="D1810" s="268" t="n"/>
      <c r="G1810" s="268" t="n"/>
    </row>
    <row r="1811">
      <c r="A1811" s="268" t="n"/>
      <c r="D1811" s="268" t="n"/>
      <c r="G1811" s="268" t="n"/>
    </row>
    <row r="1812">
      <c r="A1812" s="268" t="n"/>
      <c r="D1812" s="268" t="n"/>
      <c r="G1812" s="268" t="n"/>
    </row>
    <row r="1813">
      <c r="A1813" s="268" t="n"/>
      <c r="D1813" s="268" t="n"/>
      <c r="G1813" s="268" t="n"/>
    </row>
    <row r="1814">
      <c r="A1814" s="268" t="n"/>
      <c r="D1814" s="268" t="n"/>
      <c r="G1814" s="268" t="n"/>
    </row>
    <row r="1815">
      <c r="A1815" s="268" t="n"/>
      <c r="D1815" s="268" t="n"/>
      <c r="G1815" s="268" t="n"/>
    </row>
    <row r="1816">
      <c r="A1816" s="268" t="n"/>
      <c r="D1816" s="268" t="n"/>
      <c r="G1816" s="268" t="n"/>
    </row>
    <row r="1817">
      <c r="A1817" s="268" t="n"/>
      <c r="D1817" s="268" t="n"/>
      <c r="G1817" s="268" t="n"/>
    </row>
    <row r="1818">
      <c r="A1818" s="268" t="n"/>
      <c r="D1818" s="268" t="n"/>
      <c r="G1818" s="268" t="n"/>
    </row>
    <row r="1819">
      <c r="A1819" s="268" t="n"/>
      <c r="D1819" s="268" t="n"/>
      <c r="G1819" s="268" t="n"/>
    </row>
    <row r="1820">
      <c r="A1820" s="268" t="n"/>
      <c r="D1820" s="268" t="n"/>
      <c r="G1820" s="268" t="n"/>
    </row>
    <row r="1821">
      <c r="A1821" s="268" t="n"/>
      <c r="D1821" s="268" t="n"/>
      <c r="G1821" s="268" t="n"/>
    </row>
    <row r="1822">
      <c r="A1822" s="268" t="n"/>
      <c r="D1822" s="268" t="n"/>
      <c r="G1822" s="268" t="n"/>
    </row>
    <row r="1823">
      <c r="A1823" s="268" t="n"/>
      <c r="D1823" s="268" t="n"/>
      <c r="G1823" s="268" t="n"/>
    </row>
    <row r="1824">
      <c r="A1824" s="268" t="n"/>
      <c r="D1824" s="268" t="n"/>
      <c r="G1824" s="268" t="n"/>
    </row>
    <row r="1825">
      <c r="A1825" s="268" t="n"/>
      <c r="D1825" s="268" t="n"/>
      <c r="G1825" s="268" t="n"/>
    </row>
    <row r="1826">
      <c r="A1826" s="268" t="n"/>
      <c r="D1826" s="268" t="n"/>
      <c r="G1826" s="268" t="n"/>
    </row>
    <row r="1827">
      <c r="A1827" s="268" t="n"/>
      <c r="D1827" s="268" t="n"/>
      <c r="G1827" s="268" t="n"/>
    </row>
    <row r="1828">
      <c r="A1828" s="268" t="n"/>
      <c r="D1828" s="268" t="n"/>
      <c r="G1828" s="268" t="n"/>
    </row>
    <row r="1829">
      <c r="A1829" s="268" t="n"/>
      <c r="D1829" s="268" t="n"/>
      <c r="G1829" s="268" t="n"/>
    </row>
    <row r="1830">
      <c r="A1830" s="268" t="n"/>
      <c r="D1830" s="268" t="n"/>
      <c r="G1830" s="268" t="n"/>
    </row>
    <row r="1831">
      <c r="A1831" s="268" t="n"/>
      <c r="D1831" s="268" t="n"/>
      <c r="G1831" s="268" t="n"/>
    </row>
    <row r="1832">
      <c r="A1832" s="268" t="n"/>
      <c r="D1832" s="268" t="n"/>
      <c r="G1832" s="268" t="n"/>
    </row>
    <row r="1833">
      <c r="A1833" s="268" t="n"/>
      <c r="D1833" s="268" t="n"/>
      <c r="G1833" s="268" t="n"/>
    </row>
    <row r="1834">
      <c r="A1834" s="268" t="n"/>
      <c r="D1834" s="268" t="n"/>
      <c r="G1834" s="268" t="n"/>
    </row>
    <row r="1835">
      <c r="A1835" s="268" t="n"/>
      <c r="D1835" s="268" t="n"/>
      <c r="G1835" s="268" t="n"/>
    </row>
    <row r="1836">
      <c r="A1836" s="268" t="n"/>
      <c r="D1836" s="268" t="n"/>
      <c r="G1836" s="268" t="n"/>
    </row>
    <row r="1837">
      <c r="A1837" s="268" t="n"/>
      <c r="D1837" s="268" t="n"/>
      <c r="G1837" s="268" t="n"/>
    </row>
    <row r="1838">
      <c r="A1838" s="268" t="n"/>
      <c r="D1838" s="268" t="n"/>
      <c r="G1838" s="268" t="n"/>
    </row>
    <row r="1839">
      <c r="A1839" s="268" t="n"/>
      <c r="D1839" s="268" t="n"/>
      <c r="G1839" s="268" t="n"/>
    </row>
    <row r="1840">
      <c r="A1840" s="268" t="n"/>
      <c r="D1840" s="268" t="n"/>
      <c r="G1840" s="268" t="n"/>
    </row>
    <row r="1841">
      <c r="A1841" s="268" t="n"/>
      <c r="D1841" s="268" t="n"/>
      <c r="G1841" s="268" t="n"/>
    </row>
    <row r="1842">
      <c r="A1842" s="268" t="n"/>
      <c r="D1842" s="268" t="n"/>
      <c r="G1842" s="268" t="n"/>
    </row>
    <row r="1843">
      <c r="A1843" s="268" t="n"/>
      <c r="D1843" s="268" t="n"/>
      <c r="G1843" s="268" t="n"/>
    </row>
    <row r="1844">
      <c r="A1844" s="268" t="n"/>
      <c r="D1844" s="268" t="n"/>
      <c r="G1844" s="268" t="n"/>
    </row>
    <row r="1845">
      <c r="A1845" s="268" t="n"/>
      <c r="D1845" s="268" t="n"/>
      <c r="G1845" s="268" t="n"/>
    </row>
    <row r="1846">
      <c r="A1846" s="268" t="n"/>
      <c r="D1846" s="268" t="n"/>
      <c r="G1846" s="268" t="n"/>
    </row>
    <row r="1847">
      <c r="A1847" s="268" t="n"/>
      <c r="D1847" s="268" t="n"/>
      <c r="G1847" s="268" t="n"/>
    </row>
    <row r="1848">
      <c r="A1848" s="268" t="n"/>
      <c r="D1848" s="268" t="n"/>
      <c r="G1848" s="268" t="n"/>
    </row>
    <row r="1849">
      <c r="A1849" s="268" t="n"/>
      <c r="D1849" s="268" t="n"/>
      <c r="G1849" s="268" t="n"/>
    </row>
    <row r="1850">
      <c r="A1850" s="268" t="n"/>
      <c r="D1850" s="268" t="n"/>
      <c r="G1850" s="268" t="n"/>
    </row>
    <row r="1851">
      <c r="A1851" s="268" t="n"/>
      <c r="D1851" s="268" t="n"/>
      <c r="G1851" s="268" t="n"/>
    </row>
    <row r="1852">
      <c r="A1852" s="268" t="n"/>
      <c r="D1852" s="268" t="n"/>
      <c r="G1852" s="268" t="n"/>
    </row>
    <row r="1853">
      <c r="A1853" s="268" t="n"/>
      <c r="D1853" s="268" t="n"/>
      <c r="G1853" s="268" t="n"/>
    </row>
    <row r="1854">
      <c r="A1854" s="268" t="n"/>
      <c r="D1854" s="268" t="n"/>
      <c r="G1854" s="268" t="n"/>
    </row>
    <row r="1855">
      <c r="A1855" s="268" t="n"/>
      <c r="D1855" s="268" t="n"/>
      <c r="G1855" s="268" t="n"/>
    </row>
    <row r="1856">
      <c r="A1856" s="268" t="n"/>
      <c r="D1856" s="268" t="n"/>
      <c r="G1856" s="268" t="n"/>
    </row>
    <row r="1857">
      <c r="A1857" s="268" t="n"/>
      <c r="D1857" s="268" t="n"/>
      <c r="G1857" s="268" t="n"/>
    </row>
    <row r="1858">
      <c r="A1858" s="268" t="n"/>
      <c r="D1858" s="268" t="n"/>
      <c r="G1858" s="268" t="n"/>
    </row>
    <row r="1859">
      <c r="A1859" s="268" t="n"/>
      <c r="D1859" s="268" t="n"/>
      <c r="G1859" s="268" t="n"/>
    </row>
    <row r="1860">
      <c r="A1860" s="268" t="n"/>
      <c r="D1860" s="268" t="n"/>
      <c r="G1860" s="268" t="n"/>
    </row>
    <row r="1861">
      <c r="A1861" s="268" t="n"/>
      <c r="D1861" s="268" t="n"/>
      <c r="G1861" s="268" t="n"/>
    </row>
    <row r="1862">
      <c r="A1862" s="268" t="n"/>
      <c r="D1862" s="268" t="n"/>
      <c r="G1862" s="268" t="n"/>
    </row>
    <row r="1863">
      <c r="A1863" s="268" t="n"/>
      <c r="D1863" s="268" t="n"/>
      <c r="G1863" s="268" t="n"/>
    </row>
    <row r="1864">
      <c r="A1864" s="268" t="n"/>
      <c r="D1864" s="268" t="n"/>
      <c r="G1864" s="268" t="n"/>
    </row>
    <row r="1865">
      <c r="A1865" s="268" t="n"/>
      <c r="D1865" s="268" t="n"/>
      <c r="G1865" s="268" t="n"/>
    </row>
    <row r="1866">
      <c r="A1866" s="268" t="n"/>
      <c r="D1866" s="268" t="n"/>
      <c r="G1866" s="268" t="n"/>
    </row>
    <row r="1867">
      <c r="A1867" s="268" t="n"/>
      <c r="D1867" s="268" t="n"/>
      <c r="G1867" s="268" t="n"/>
    </row>
    <row r="1868">
      <c r="A1868" s="268" t="n"/>
      <c r="D1868" s="268" t="n"/>
      <c r="G1868" s="268" t="n"/>
    </row>
    <row r="1869">
      <c r="A1869" s="268" t="n"/>
      <c r="D1869" s="268" t="n"/>
      <c r="G1869" s="268" t="n"/>
    </row>
    <row r="1870">
      <c r="A1870" s="268" t="n"/>
      <c r="D1870" s="268" t="n"/>
      <c r="G1870" s="268" t="n"/>
    </row>
    <row r="1871">
      <c r="A1871" s="268" t="n"/>
      <c r="D1871" s="268" t="n"/>
      <c r="G1871" s="268" t="n"/>
    </row>
    <row r="1872">
      <c r="A1872" s="268" t="n"/>
      <c r="D1872" s="268" t="n"/>
      <c r="G1872" s="268" t="n"/>
    </row>
    <row r="1873">
      <c r="A1873" s="268" t="n"/>
      <c r="D1873" s="268" t="n"/>
      <c r="G1873" s="268" t="n"/>
    </row>
    <row r="1874">
      <c r="A1874" s="268" t="n"/>
      <c r="D1874" s="268" t="n"/>
      <c r="G1874" s="268" t="n"/>
    </row>
    <row r="1875">
      <c r="A1875" s="268" t="n"/>
      <c r="D1875" s="268" t="n"/>
      <c r="G1875" s="268" t="n"/>
    </row>
    <row r="1876">
      <c r="A1876" s="268" t="n"/>
      <c r="D1876" s="268" t="n"/>
      <c r="G1876" s="268" t="n"/>
    </row>
    <row r="1877">
      <c r="A1877" s="268" t="n"/>
      <c r="D1877" s="268" t="n"/>
      <c r="G1877" s="268" t="n"/>
    </row>
    <row r="1878">
      <c r="A1878" s="268" t="n"/>
      <c r="D1878" s="268" t="n"/>
      <c r="G1878" s="268" t="n"/>
    </row>
    <row r="1879">
      <c r="A1879" s="268" t="n"/>
      <c r="D1879" s="268" t="n"/>
      <c r="G1879" s="268" t="n"/>
    </row>
    <row r="1880">
      <c r="A1880" s="268" t="n"/>
      <c r="D1880" s="268" t="n"/>
      <c r="G1880" s="268" t="n"/>
    </row>
    <row r="1881">
      <c r="A1881" s="268" t="n"/>
      <c r="D1881" s="268" t="n"/>
      <c r="G1881" s="268" t="n"/>
    </row>
    <row r="1882">
      <c r="A1882" s="268" t="n"/>
      <c r="D1882" s="268" t="n"/>
      <c r="G1882" s="268" t="n"/>
    </row>
    <row r="1883">
      <c r="A1883" s="268" t="n"/>
      <c r="D1883" s="268" t="n"/>
      <c r="G1883" s="268" t="n"/>
    </row>
    <row r="1884">
      <c r="A1884" s="268" t="n"/>
      <c r="D1884" s="268" t="n"/>
      <c r="G1884" s="268" t="n"/>
    </row>
    <row r="1885">
      <c r="A1885" s="268" t="n"/>
      <c r="D1885" s="268" t="n"/>
      <c r="G1885" s="268" t="n"/>
    </row>
    <row r="1886">
      <c r="A1886" s="268" t="n"/>
      <c r="D1886" s="268" t="n"/>
      <c r="G1886" s="268" t="n"/>
    </row>
    <row r="1887">
      <c r="A1887" s="268" t="n"/>
      <c r="D1887" s="268" t="n"/>
      <c r="G1887" s="268" t="n"/>
    </row>
    <row r="1888">
      <c r="A1888" s="268" t="n"/>
      <c r="D1888" s="268" t="n"/>
      <c r="G1888" s="268" t="n"/>
    </row>
    <row r="1889">
      <c r="A1889" s="268" t="n"/>
      <c r="D1889" s="268" t="n"/>
      <c r="G1889" s="268" t="n"/>
    </row>
    <row r="1890">
      <c r="A1890" s="268" t="n"/>
      <c r="D1890" s="268" t="n"/>
      <c r="G1890" s="268" t="n"/>
    </row>
    <row r="1891">
      <c r="A1891" s="268" t="n"/>
      <c r="D1891" s="268" t="n"/>
      <c r="G1891" s="268" t="n"/>
    </row>
    <row r="1892">
      <c r="A1892" s="268" t="n"/>
      <c r="D1892" s="268" t="n"/>
      <c r="G1892" s="268" t="n"/>
    </row>
    <row r="1893">
      <c r="A1893" s="268" t="n"/>
      <c r="D1893" s="268" t="n"/>
      <c r="G1893" s="268" t="n"/>
    </row>
    <row r="1894">
      <c r="A1894" s="268" t="n"/>
      <c r="D1894" s="268" t="n"/>
      <c r="G1894" s="268" t="n"/>
    </row>
    <row r="1895">
      <c r="A1895" s="268" t="n"/>
      <c r="D1895" s="268" t="n"/>
      <c r="G1895" s="268" t="n"/>
    </row>
    <row r="1896">
      <c r="A1896" s="268" t="n"/>
      <c r="D1896" s="268" t="n"/>
      <c r="G1896" s="268" t="n"/>
    </row>
    <row r="1897">
      <c r="A1897" s="268" t="n"/>
      <c r="D1897" s="268" t="n"/>
      <c r="G1897" s="268" t="n"/>
    </row>
    <row r="1898">
      <c r="A1898" s="268" t="n"/>
      <c r="D1898" s="268" t="n"/>
      <c r="G1898" s="268" t="n"/>
    </row>
    <row r="1899">
      <c r="A1899" s="268" t="n"/>
      <c r="D1899" s="268" t="n"/>
      <c r="G1899" s="268" t="n"/>
    </row>
    <row r="1900">
      <c r="A1900" s="268" t="n"/>
      <c r="D1900" s="268" t="n"/>
      <c r="G1900" s="268" t="n"/>
    </row>
    <row r="1901">
      <c r="A1901" s="268" t="n"/>
      <c r="D1901" s="268" t="n"/>
      <c r="G1901" s="268" t="n"/>
    </row>
    <row r="1902">
      <c r="A1902" s="268" t="n"/>
      <c r="D1902" s="268" t="n"/>
      <c r="G1902" s="268" t="n"/>
    </row>
    <row r="1903">
      <c r="A1903" s="268" t="n"/>
      <c r="D1903" s="268" t="n"/>
      <c r="G1903" s="268" t="n"/>
    </row>
    <row r="1904">
      <c r="A1904" s="268" t="n"/>
      <c r="D1904" s="268" t="n"/>
      <c r="G1904" s="268" t="n"/>
    </row>
    <row r="1905">
      <c r="A1905" s="268" t="n"/>
      <c r="D1905" s="268" t="n"/>
      <c r="G1905" s="268" t="n"/>
    </row>
    <row r="1906">
      <c r="A1906" s="268" t="n"/>
      <c r="D1906" s="268" t="n"/>
      <c r="G1906" s="268" t="n"/>
    </row>
    <row r="1907">
      <c r="A1907" s="268" t="n"/>
      <c r="D1907" s="268" t="n"/>
      <c r="G1907" s="268" t="n"/>
    </row>
    <row r="1908">
      <c r="A1908" s="268" t="n"/>
      <c r="D1908" s="268" t="n"/>
      <c r="G1908" s="268" t="n"/>
    </row>
    <row r="1909">
      <c r="A1909" s="268" t="n"/>
      <c r="D1909" s="268" t="n"/>
      <c r="G1909" s="268" t="n"/>
    </row>
    <row r="1910">
      <c r="A1910" s="268" t="n"/>
      <c r="D1910" s="268" t="n"/>
      <c r="G1910" s="268" t="n"/>
    </row>
    <row r="1911">
      <c r="A1911" s="268" t="n"/>
      <c r="D1911" s="268" t="n"/>
      <c r="G1911" s="268" t="n"/>
    </row>
    <row r="1912">
      <c r="A1912" s="268" t="n"/>
      <c r="D1912" s="268" t="n"/>
      <c r="G1912" s="268" t="n"/>
    </row>
    <row r="1913">
      <c r="A1913" s="268" t="n"/>
      <c r="D1913" s="268" t="n"/>
      <c r="G1913" s="268" t="n"/>
    </row>
    <row r="1914">
      <c r="A1914" s="268" t="n"/>
      <c r="D1914" s="268" t="n"/>
      <c r="G1914" s="268" t="n"/>
    </row>
    <row r="1915">
      <c r="A1915" s="268" t="n"/>
      <c r="D1915" s="268" t="n"/>
      <c r="G1915" s="268" t="n"/>
    </row>
    <row r="1916">
      <c r="A1916" s="268" t="n"/>
      <c r="D1916" s="268" t="n"/>
      <c r="G1916" s="268" t="n"/>
    </row>
    <row r="1917">
      <c r="A1917" s="268" t="n"/>
      <c r="D1917" s="268" t="n"/>
      <c r="G1917" s="268" t="n"/>
    </row>
    <row r="1918">
      <c r="A1918" s="268" t="n"/>
      <c r="D1918" s="268" t="n"/>
      <c r="G1918" s="268" t="n"/>
    </row>
    <row r="1919">
      <c r="A1919" s="268" t="n"/>
      <c r="D1919" s="268" t="n"/>
      <c r="G1919" s="268" t="n"/>
    </row>
    <row r="1920">
      <c r="A1920" s="268" t="n"/>
      <c r="D1920" s="268" t="n"/>
      <c r="G1920" s="268" t="n"/>
    </row>
    <row r="1921">
      <c r="A1921" s="268" t="n"/>
      <c r="D1921" s="268" t="n"/>
      <c r="G1921" s="268" t="n"/>
    </row>
    <row r="1922">
      <c r="A1922" s="268" t="n"/>
      <c r="D1922" s="268" t="n"/>
      <c r="G1922" s="268" t="n"/>
    </row>
    <row r="1923">
      <c r="A1923" s="268" t="n"/>
      <c r="D1923" s="268" t="n"/>
      <c r="G1923" s="268" t="n"/>
    </row>
    <row r="1924">
      <c r="A1924" s="268" t="n"/>
      <c r="D1924" s="268" t="n"/>
      <c r="G1924" s="268" t="n"/>
    </row>
    <row r="1925">
      <c r="A1925" s="268" t="n"/>
      <c r="D1925" s="268" t="n"/>
      <c r="G1925" s="268" t="n"/>
    </row>
    <row r="1926">
      <c r="A1926" s="268" t="n"/>
      <c r="D1926" s="268" t="n"/>
      <c r="G1926" s="268" t="n"/>
    </row>
    <row r="1927">
      <c r="A1927" s="268" t="n"/>
      <c r="D1927" s="268" t="n"/>
      <c r="G1927" s="268" t="n"/>
    </row>
    <row r="1928">
      <c r="A1928" s="268" t="n"/>
      <c r="D1928" s="268" t="n"/>
      <c r="G1928" s="268" t="n"/>
    </row>
    <row r="1929">
      <c r="A1929" s="268" t="n"/>
      <c r="D1929" s="268" t="n"/>
      <c r="G1929" s="268" t="n"/>
    </row>
    <row r="1930">
      <c r="A1930" s="268" t="n"/>
      <c r="D1930" s="268" t="n"/>
      <c r="G1930" s="268" t="n"/>
    </row>
    <row r="1931">
      <c r="A1931" s="268" t="n"/>
      <c r="D1931" s="268" t="n"/>
      <c r="G1931" s="268" t="n"/>
    </row>
    <row r="1932">
      <c r="A1932" s="268" t="n"/>
      <c r="D1932" s="268" t="n"/>
      <c r="G1932" s="268" t="n"/>
    </row>
    <row r="1933">
      <c r="A1933" s="268" t="n"/>
      <c r="D1933" s="268" t="n"/>
      <c r="G1933" s="268" t="n"/>
    </row>
    <row r="1934">
      <c r="A1934" s="268" t="n"/>
      <c r="D1934" s="268" t="n"/>
      <c r="G1934" s="268" t="n"/>
    </row>
    <row r="1935">
      <c r="A1935" s="268" t="n"/>
      <c r="D1935" s="268" t="n"/>
      <c r="G1935" s="268" t="n"/>
    </row>
    <row r="1936">
      <c r="A1936" s="268" t="n"/>
      <c r="D1936" s="268" t="n"/>
      <c r="G1936" s="268" t="n"/>
    </row>
    <row r="1937">
      <c r="A1937" s="268" t="n"/>
      <c r="D1937" s="268" t="n"/>
      <c r="G1937" s="268" t="n"/>
    </row>
    <row r="1938">
      <c r="A1938" s="268" t="n"/>
      <c r="D1938" s="268" t="n"/>
      <c r="G1938" s="268" t="n"/>
    </row>
    <row r="1939">
      <c r="A1939" s="268" t="n"/>
      <c r="D1939" s="268" t="n"/>
      <c r="G1939" s="268" t="n"/>
    </row>
    <row r="1940">
      <c r="A1940" s="268" t="n"/>
      <c r="D1940" s="268" t="n"/>
      <c r="G1940" s="268" t="n"/>
    </row>
    <row r="1941">
      <c r="A1941" s="268" t="n"/>
      <c r="D1941" s="268" t="n"/>
      <c r="G1941" s="268" t="n"/>
    </row>
    <row r="1942">
      <c r="A1942" s="268" t="n"/>
      <c r="D1942" s="268" t="n"/>
      <c r="G1942" s="268" t="n"/>
    </row>
    <row r="1943">
      <c r="A1943" s="268" t="n"/>
      <c r="D1943" s="268" t="n"/>
      <c r="G1943" s="268" t="n"/>
    </row>
    <row r="1944">
      <c r="A1944" s="268" t="n"/>
      <c r="D1944" s="268" t="n"/>
      <c r="G1944" s="268" t="n"/>
    </row>
    <row r="1945">
      <c r="A1945" s="268" t="n"/>
      <c r="D1945" s="268" t="n"/>
      <c r="G1945" s="268" t="n"/>
    </row>
    <row r="1946">
      <c r="A1946" s="268" t="n"/>
      <c r="D1946" s="268" t="n"/>
      <c r="G1946" s="268" t="n"/>
    </row>
    <row r="1947">
      <c r="A1947" s="268" t="n"/>
      <c r="D1947" s="268" t="n"/>
      <c r="G1947" s="268" t="n"/>
    </row>
    <row r="1948">
      <c r="A1948" s="268" t="n"/>
      <c r="D1948" s="268" t="n"/>
      <c r="G1948" s="268" t="n"/>
    </row>
    <row r="1949">
      <c r="A1949" s="268" t="n"/>
      <c r="D1949" s="268" t="n"/>
      <c r="G1949" s="268" t="n"/>
    </row>
    <row r="1950">
      <c r="A1950" s="268" t="n"/>
      <c r="D1950" s="268" t="n"/>
      <c r="G1950" s="268" t="n"/>
    </row>
    <row r="1951">
      <c r="A1951" s="268" t="n"/>
      <c r="D1951" s="268" t="n"/>
      <c r="G1951" s="268" t="n"/>
    </row>
    <row r="1952">
      <c r="A1952" s="268" t="n"/>
      <c r="D1952" s="268" t="n"/>
      <c r="G1952" s="268" t="n"/>
    </row>
    <row r="1953">
      <c r="A1953" s="268" t="n"/>
      <c r="D1953" s="268" t="n"/>
      <c r="G1953" s="268" t="n"/>
    </row>
    <row r="1954">
      <c r="A1954" s="268" t="n"/>
      <c r="D1954" s="268" t="n"/>
      <c r="G1954" s="268" t="n"/>
    </row>
    <row r="1955">
      <c r="A1955" s="268" t="n"/>
      <c r="D1955" s="268" t="n"/>
      <c r="G1955" s="268" t="n"/>
    </row>
    <row r="1956">
      <c r="A1956" s="268" t="n"/>
      <c r="D1956" s="268" t="n"/>
      <c r="G1956" s="268" t="n"/>
    </row>
    <row r="1957">
      <c r="A1957" s="268" t="n"/>
      <c r="D1957" s="268" t="n"/>
      <c r="G1957" s="268" t="n"/>
    </row>
    <row r="1958">
      <c r="A1958" s="268" t="n"/>
      <c r="D1958" s="268" t="n"/>
      <c r="G1958" s="268" t="n"/>
    </row>
    <row r="1959">
      <c r="A1959" s="268" t="n"/>
      <c r="D1959" s="268" t="n"/>
      <c r="G1959" s="268" t="n"/>
    </row>
    <row r="1960">
      <c r="A1960" s="268" t="n"/>
      <c r="D1960" s="268" t="n"/>
      <c r="G1960" s="268" t="n"/>
    </row>
    <row r="1961">
      <c r="A1961" s="268" t="n"/>
      <c r="D1961" s="268" t="n"/>
      <c r="G1961" s="268" t="n"/>
    </row>
    <row r="1962">
      <c r="A1962" s="268" t="n"/>
      <c r="D1962" s="268" t="n"/>
      <c r="G1962" s="268" t="n"/>
    </row>
    <row r="1963">
      <c r="A1963" s="268" t="n"/>
      <c r="D1963" s="268" t="n"/>
      <c r="G1963" s="268" t="n"/>
    </row>
    <row r="1964">
      <c r="A1964" s="268" t="n"/>
      <c r="D1964" s="268" t="n"/>
      <c r="G1964" s="268" t="n"/>
    </row>
    <row r="1965">
      <c r="A1965" s="268" t="n"/>
      <c r="D1965" s="268" t="n"/>
      <c r="G1965" s="268" t="n"/>
    </row>
    <row r="1966">
      <c r="A1966" s="268" t="n"/>
      <c r="D1966" s="268" t="n"/>
      <c r="G1966" s="268" t="n"/>
    </row>
    <row r="1967">
      <c r="A1967" s="268" t="n"/>
      <c r="D1967" s="268" t="n"/>
      <c r="G1967" s="268" t="n"/>
    </row>
    <row r="1968">
      <c r="A1968" s="268" t="n"/>
      <c r="D1968" s="268" t="n"/>
      <c r="G1968" s="268" t="n"/>
    </row>
    <row r="1969">
      <c r="A1969" s="268" t="n"/>
      <c r="D1969" s="268" t="n"/>
      <c r="G1969" s="268" t="n"/>
    </row>
    <row r="1970">
      <c r="A1970" s="268" t="n"/>
      <c r="D1970" s="268" t="n"/>
      <c r="G1970" s="268" t="n"/>
    </row>
    <row r="1971">
      <c r="A1971" s="268" t="n"/>
      <c r="D1971" s="268" t="n"/>
      <c r="G1971" s="268" t="n"/>
    </row>
    <row r="1972">
      <c r="A1972" s="268" t="n"/>
      <c r="D1972" s="268" t="n"/>
      <c r="G1972" s="268" t="n"/>
    </row>
    <row r="1973">
      <c r="A1973" s="268" t="n"/>
      <c r="D1973" s="268" t="n"/>
      <c r="G1973" s="268" t="n"/>
    </row>
    <row r="1974">
      <c r="A1974" s="268" t="n"/>
      <c r="D1974" s="268" t="n"/>
      <c r="G1974" s="268" t="n"/>
    </row>
    <row r="1975">
      <c r="A1975" s="268" t="n"/>
      <c r="D1975" s="268" t="n"/>
      <c r="G1975" s="268" t="n"/>
    </row>
    <row r="1976">
      <c r="A1976" s="268" t="n"/>
      <c r="D1976" s="268" t="n"/>
      <c r="G1976" s="268" t="n"/>
    </row>
    <row r="1977">
      <c r="A1977" s="268" t="n"/>
      <c r="D1977" s="268" t="n"/>
      <c r="G1977" s="268" t="n"/>
    </row>
    <row r="1978">
      <c r="A1978" s="268" t="n"/>
      <c r="D1978" s="268" t="n"/>
      <c r="G1978" s="268" t="n"/>
    </row>
    <row r="1979">
      <c r="A1979" s="268" t="n"/>
      <c r="D1979" s="268" t="n"/>
      <c r="G1979" s="268" t="n"/>
    </row>
    <row r="1980">
      <c r="A1980" s="268" t="n"/>
      <c r="D1980" s="268" t="n"/>
      <c r="G1980" s="268" t="n"/>
    </row>
    <row r="1981">
      <c r="A1981" s="268" t="n"/>
      <c r="D1981" s="268" t="n"/>
      <c r="G1981" s="268" t="n"/>
    </row>
    <row r="1982">
      <c r="A1982" s="268" t="n"/>
      <c r="D1982" s="268" t="n"/>
      <c r="G1982" s="268" t="n"/>
    </row>
    <row r="1983">
      <c r="A1983" s="268" t="n"/>
      <c r="D1983" s="268" t="n"/>
      <c r="G1983" s="268" t="n"/>
    </row>
    <row r="1984">
      <c r="A1984" s="268" t="n"/>
      <c r="D1984" s="268" t="n"/>
      <c r="G1984" s="268" t="n"/>
    </row>
    <row r="1985">
      <c r="A1985" s="268" t="n"/>
      <c r="D1985" s="268" t="n"/>
      <c r="G1985" s="268" t="n"/>
    </row>
    <row r="1986">
      <c r="A1986" s="268" t="n"/>
      <c r="D1986" s="268" t="n"/>
      <c r="G1986" s="268" t="n"/>
    </row>
    <row r="1987">
      <c r="A1987" s="268" t="n"/>
      <c r="D1987" s="268" t="n"/>
      <c r="G1987" s="268" t="n"/>
    </row>
    <row r="1988">
      <c r="A1988" s="268" t="n"/>
      <c r="D1988" s="268" t="n"/>
      <c r="G1988" s="268" t="n"/>
    </row>
    <row r="1989">
      <c r="A1989" s="268" t="n"/>
      <c r="D1989" s="268" t="n"/>
      <c r="G1989" s="268" t="n"/>
    </row>
    <row r="1990">
      <c r="A1990" s="268" t="n"/>
      <c r="D1990" s="268" t="n"/>
      <c r="G1990" s="268" t="n"/>
    </row>
    <row r="1991">
      <c r="A1991" s="268" t="n"/>
      <c r="D1991" s="268" t="n"/>
      <c r="G1991" s="268" t="n"/>
    </row>
    <row r="1992">
      <c r="A1992" s="268" t="n"/>
      <c r="D1992" s="268" t="n"/>
      <c r="G1992" s="268" t="n"/>
    </row>
    <row r="1993">
      <c r="A1993" s="268" t="n"/>
      <c r="D1993" s="268" t="n"/>
      <c r="G1993" s="268" t="n"/>
    </row>
    <row r="1994">
      <c r="A1994" s="268" t="n"/>
      <c r="D1994" s="268" t="n"/>
      <c r="G1994" s="268" t="n"/>
    </row>
    <row r="1995">
      <c r="A1995" s="268" t="n"/>
      <c r="D1995" s="268" t="n"/>
      <c r="G1995" s="268" t="n"/>
    </row>
    <row r="1996">
      <c r="A1996" s="268" t="n"/>
      <c r="D1996" s="268" t="n"/>
      <c r="G1996" s="268" t="n"/>
    </row>
    <row r="1997">
      <c r="A1997" s="268" t="n"/>
      <c r="D1997" s="268" t="n"/>
      <c r="G1997" s="268" t="n"/>
    </row>
    <row r="1998">
      <c r="A1998" s="268" t="n"/>
      <c r="D1998" s="268" t="n"/>
      <c r="G1998" s="268" t="n"/>
    </row>
    <row r="1999">
      <c r="A1999" s="268" t="n"/>
      <c r="D1999" s="268" t="n"/>
      <c r="G1999" s="268" t="n"/>
    </row>
    <row r="2000">
      <c r="A2000" s="268" t="n"/>
      <c r="D2000" s="268" t="n"/>
      <c r="G2000" s="268" t="n"/>
    </row>
    <row r="2001">
      <c r="A2001" s="268" t="n"/>
      <c r="D2001" s="268" t="n"/>
      <c r="G2001" s="268" t="n"/>
    </row>
    <row r="2002">
      <c r="A2002" s="268" t="n"/>
      <c r="D2002" s="268" t="n"/>
      <c r="G2002" s="268" t="n"/>
    </row>
    <row r="2003">
      <c r="A2003" s="268" t="n"/>
      <c r="D2003" s="268" t="n"/>
      <c r="G2003" s="268" t="n"/>
    </row>
    <row r="2004">
      <c r="A2004" s="268" t="n"/>
      <c r="D2004" s="268" t="n"/>
      <c r="G2004" s="268" t="n"/>
    </row>
    <row r="2005">
      <c r="A2005" s="268" t="n"/>
      <c r="D2005" s="268" t="n"/>
      <c r="G2005" s="268" t="n"/>
    </row>
    <row r="2006">
      <c r="A2006" s="268" t="n"/>
      <c r="D2006" s="268" t="n"/>
      <c r="G2006" s="268" t="n"/>
    </row>
    <row r="2007">
      <c r="A2007" s="268" t="n"/>
      <c r="D2007" s="268" t="n"/>
      <c r="G2007" s="268" t="n"/>
    </row>
    <row r="2008">
      <c r="A2008" s="268" t="n"/>
      <c r="D2008" s="268" t="n"/>
      <c r="G2008" s="268" t="n"/>
    </row>
    <row r="2009">
      <c r="A2009" s="268" t="n"/>
      <c r="D2009" s="268" t="n"/>
      <c r="G2009" s="268" t="n"/>
    </row>
    <row r="2010">
      <c r="A2010" s="268" t="n"/>
      <c r="D2010" s="268" t="n"/>
      <c r="G2010" s="268" t="n"/>
    </row>
    <row r="2011">
      <c r="A2011" s="268" t="n"/>
      <c r="D2011" s="268" t="n"/>
      <c r="G2011" s="268" t="n"/>
    </row>
    <row r="2012">
      <c r="A2012" s="268" t="n"/>
      <c r="D2012" s="268" t="n"/>
      <c r="G2012" s="268" t="n"/>
    </row>
    <row r="2013">
      <c r="A2013" s="268" t="n"/>
      <c r="D2013" s="268" t="n"/>
      <c r="G2013" s="268" t="n"/>
    </row>
    <row r="2014">
      <c r="A2014" s="268" t="n"/>
      <c r="D2014" s="268" t="n"/>
      <c r="G2014" s="268" t="n"/>
    </row>
    <row r="2015">
      <c r="A2015" s="268" t="n"/>
      <c r="D2015" s="268" t="n"/>
      <c r="G2015" s="268" t="n"/>
    </row>
    <row r="2016">
      <c r="A2016" s="268" t="n"/>
      <c r="D2016" s="268" t="n"/>
      <c r="G2016" s="268" t="n"/>
    </row>
    <row r="2017">
      <c r="A2017" s="268" t="n"/>
      <c r="D2017" s="268" t="n"/>
      <c r="G2017" s="268" t="n"/>
    </row>
    <row r="2018">
      <c r="A2018" s="268" t="n"/>
      <c r="D2018" s="268" t="n"/>
      <c r="G2018" s="268" t="n"/>
    </row>
    <row r="2019">
      <c r="A2019" s="268" t="n"/>
      <c r="D2019" s="268" t="n"/>
      <c r="G2019" s="268" t="n"/>
    </row>
    <row r="2020">
      <c r="A2020" s="268" t="n"/>
      <c r="D2020" s="268" t="n"/>
      <c r="G2020" s="268" t="n"/>
    </row>
    <row r="2021">
      <c r="A2021" s="268" t="n"/>
      <c r="D2021" s="268" t="n"/>
      <c r="G2021" s="268" t="n"/>
    </row>
    <row r="2022">
      <c r="A2022" s="268" t="n"/>
      <c r="D2022" s="268" t="n"/>
      <c r="G2022" s="268" t="n"/>
    </row>
    <row r="2023">
      <c r="A2023" s="268" t="n"/>
      <c r="D2023" s="268" t="n"/>
      <c r="G2023" s="268" t="n"/>
    </row>
    <row r="2024">
      <c r="A2024" s="268" t="n"/>
      <c r="D2024" s="268" t="n"/>
      <c r="G2024" s="268" t="n"/>
    </row>
    <row r="2025">
      <c r="A2025" s="268" t="n"/>
      <c r="D2025" s="268" t="n"/>
      <c r="G2025" s="268" t="n"/>
    </row>
    <row r="2026">
      <c r="A2026" s="268" t="n"/>
      <c r="D2026" s="268" t="n"/>
      <c r="G2026" s="268" t="n"/>
    </row>
    <row r="2027">
      <c r="A2027" s="268" t="n"/>
      <c r="D2027" s="268" t="n"/>
      <c r="G2027" s="268" t="n"/>
    </row>
    <row r="2028">
      <c r="A2028" s="268" t="n"/>
      <c r="D2028" s="268" t="n"/>
      <c r="G2028" s="268" t="n"/>
    </row>
    <row r="2029">
      <c r="A2029" s="268" t="n"/>
      <c r="D2029" s="268" t="n"/>
      <c r="G2029" s="268" t="n"/>
    </row>
    <row r="2030">
      <c r="A2030" s="268" t="n"/>
      <c r="D2030" s="268" t="n"/>
      <c r="G2030" s="268" t="n"/>
    </row>
    <row r="2031">
      <c r="A2031" s="268" t="n"/>
      <c r="D2031" s="268" t="n"/>
      <c r="G2031" s="268" t="n"/>
    </row>
    <row r="2032">
      <c r="A2032" s="268" t="n"/>
      <c r="D2032" s="268" t="n"/>
      <c r="G2032" s="268" t="n"/>
    </row>
    <row r="2033">
      <c r="A2033" s="268" t="n"/>
      <c r="D2033" s="268" t="n"/>
      <c r="G2033" s="268" t="n"/>
    </row>
    <row r="2034">
      <c r="A2034" s="268" t="n"/>
      <c r="D2034" s="268" t="n"/>
      <c r="G2034" s="268" t="n"/>
    </row>
    <row r="2035">
      <c r="A2035" s="268" t="n"/>
      <c r="D2035" s="268" t="n"/>
      <c r="G2035" s="268" t="n"/>
    </row>
    <row r="2036">
      <c r="A2036" s="268" t="n"/>
      <c r="D2036" s="268" t="n"/>
      <c r="G2036" s="268" t="n"/>
    </row>
    <row r="2037">
      <c r="A2037" s="268" t="n"/>
      <c r="D2037" s="268" t="n"/>
      <c r="G2037" s="268" t="n"/>
    </row>
    <row r="2038">
      <c r="A2038" s="268" t="n"/>
      <c r="D2038" s="268" t="n"/>
      <c r="G2038" s="268" t="n"/>
    </row>
    <row r="2039">
      <c r="A2039" s="268" t="n"/>
      <c r="D2039" s="268" t="n"/>
      <c r="G2039" s="268" t="n"/>
    </row>
    <row r="2040">
      <c r="A2040" s="268" t="n"/>
      <c r="D2040" s="268" t="n"/>
      <c r="G2040" s="268" t="n"/>
    </row>
    <row r="2041">
      <c r="A2041" s="268" t="n"/>
      <c r="D2041" s="268" t="n"/>
      <c r="G2041" s="268" t="n"/>
    </row>
    <row r="2042">
      <c r="A2042" s="268" t="n"/>
      <c r="D2042" s="268" t="n"/>
      <c r="G2042" s="268" t="n"/>
    </row>
    <row r="2043">
      <c r="A2043" s="268" t="n"/>
      <c r="D2043" s="268" t="n"/>
      <c r="G2043" s="268" t="n"/>
    </row>
    <row r="2044">
      <c r="A2044" s="268" t="n"/>
      <c r="D2044" s="268" t="n"/>
      <c r="G2044" s="268" t="n"/>
    </row>
    <row r="2045">
      <c r="A2045" s="268" t="n"/>
      <c r="D2045" s="268" t="n"/>
      <c r="G2045" s="268" t="n"/>
    </row>
    <row r="2046">
      <c r="A2046" s="268" t="n"/>
      <c r="D2046" s="268" t="n"/>
      <c r="G2046" s="268" t="n"/>
    </row>
    <row r="2047">
      <c r="A2047" s="268" t="n"/>
      <c r="D2047" s="268" t="n"/>
      <c r="G2047" s="268" t="n"/>
    </row>
    <row r="2048">
      <c r="A2048" s="268" t="n"/>
      <c r="D2048" s="268" t="n"/>
      <c r="G2048" s="268" t="n"/>
    </row>
    <row r="2049">
      <c r="A2049" s="268" t="n"/>
      <c r="D2049" s="268" t="n"/>
      <c r="G2049" s="268" t="n"/>
    </row>
    <row r="2050">
      <c r="A2050" s="268" t="n"/>
      <c r="D2050" s="268" t="n"/>
      <c r="G2050" s="268" t="n"/>
    </row>
    <row r="2051">
      <c r="A2051" s="268" t="n"/>
      <c r="D2051" s="268" t="n"/>
      <c r="G2051" s="268" t="n"/>
    </row>
    <row r="2052">
      <c r="A2052" s="268" t="n"/>
      <c r="D2052" s="268" t="n"/>
      <c r="G2052" s="268" t="n"/>
    </row>
    <row r="2053">
      <c r="A2053" s="268" t="n"/>
      <c r="D2053" s="268" t="n"/>
      <c r="G2053" s="268" t="n"/>
    </row>
    <row r="2054">
      <c r="A2054" s="268" t="n"/>
      <c r="D2054" s="268" t="n"/>
      <c r="G2054" s="268" t="n"/>
    </row>
    <row r="2055">
      <c r="A2055" s="268" t="n"/>
      <c r="D2055" s="268" t="n"/>
      <c r="G2055" s="268" t="n"/>
    </row>
    <row r="2056">
      <c r="A2056" s="268" t="n"/>
      <c r="D2056" s="268" t="n"/>
      <c r="G2056" s="268" t="n"/>
    </row>
    <row r="2057">
      <c r="A2057" s="268" t="n"/>
      <c r="D2057" s="268" t="n"/>
      <c r="G2057" s="268" t="n"/>
    </row>
    <row r="2058">
      <c r="A2058" s="268" t="n"/>
      <c r="D2058" s="268" t="n"/>
      <c r="G2058" s="268" t="n"/>
    </row>
    <row r="2059">
      <c r="A2059" s="268" t="n"/>
      <c r="D2059" s="268" t="n"/>
      <c r="G2059" s="268" t="n"/>
    </row>
    <row r="2060">
      <c r="A2060" s="268" t="n"/>
      <c r="D2060" s="268" t="n"/>
      <c r="G2060" s="268" t="n"/>
    </row>
    <row r="2061">
      <c r="A2061" s="268" t="n"/>
      <c r="D2061" s="268" t="n"/>
      <c r="G2061" s="268" t="n"/>
    </row>
    <row r="2062">
      <c r="A2062" s="268" t="n"/>
      <c r="D2062" s="268" t="n"/>
      <c r="G2062" s="268" t="n"/>
    </row>
    <row r="2063">
      <c r="A2063" s="268" t="n"/>
      <c r="D2063" s="268" t="n"/>
      <c r="G2063" s="268" t="n"/>
    </row>
    <row r="2064">
      <c r="A2064" s="268" t="n"/>
      <c r="D2064" s="268" t="n"/>
      <c r="G2064" s="268" t="n"/>
    </row>
    <row r="2065">
      <c r="A2065" s="268" t="n"/>
      <c r="D2065" s="268" t="n"/>
      <c r="G2065" s="268" t="n"/>
    </row>
    <row r="2066">
      <c r="A2066" s="268" t="n"/>
      <c r="D2066" s="268" t="n"/>
      <c r="G2066" s="268" t="n"/>
    </row>
    <row r="2067">
      <c r="A2067" s="268" t="n"/>
      <c r="D2067" s="268" t="n"/>
      <c r="G2067" s="268" t="n"/>
    </row>
    <row r="2068">
      <c r="A2068" s="268" t="n"/>
      <c r="D2068" s="268" t="n"/>
      <c r="G2068" s="268" t="n"/>
    </row>
    <row r="2069">
      <c r="A2069" s="268" t="n"/>
      <c r="D2069" s="268" t="n"/>
      <c r="G2069" s="268" t="n"/>
    </row>
    <row r="2070">
      <c r="A2070" s="268" t="n"/>
      <c r="D2070" s="268" t="n"/>
      <c r="G2070" s="268" t="n"/>
    </row>
    <row r="2071">
      <c r="A2071" s="268" t="n"/>
      <c r="D2071" s="268" t="n"/>
      <c r="G2071" s="268" t="n"/>
    </row>
    <row r="2072">
      <c r="A2072" s="268" t="n"/>
      <c r="D2072" s="268" t="n"/>
      <c r="G2072" s="268" t="n"/>
    </row>
    <row r="2073">
      <c r="A2073" s="268" t="n"/>
      <c r="D2073" s="268" t="n"/>
      <c r="G2073" s="268" t="n"/>
    </row>
    <row r="2074">
      <c r="A2074" s="268" t="n"/>
      <c r="D2074" s="268" t="n"/>
      <c r="G2074" s="268" t="n"/>
    </row>
    <row r="2075">
      <c r="A2075" s="268" t="n"/>
      <c r="D2075" s="268" t="n"/>
      <c r="G2075" s="268" t="n"/>
    </row>
    <row r="2076">
      <c r="A2076" s="268" t="n"/>
      <c r="D2076" s="268" t="n"/>
      <c r="G2076" s="268" t="n"/>
    </row>
    <row r="2077">
      <c r="A2077" s="268" t="n"/>
      <c r="D2077" s="268" t="n"/>
      <c r="G2077" s="268" t="n"/>
    </row>
    <row r="2078">
      <c r="A2078" s="268" t="n"/>
      <c r="D2078" s="268" t="n"/>
      <c r="G2078" s="268" t="n"/>
    </row>
    <row r="2079">
      <c r="A2079" s="268" t="n"/>
      <c r="D2079" s="268" t="n"/>
      <c r="G2079" s="268" t="n"/>
    </row>
    <row r="2080">
      <c r="A2080" s="268" t="n"/>
      <c r="D2080" s="268" t="n"/>
      <c r="G2080" s="268" t="n"/>
    </row>
    <row r="2081">
      <c r="A2081" s="268" t="n"/>
      <c r="D2081" s="268" t="n"/>
      <c r="G2081" s="268" t="n"/>
    </row>
    <row r="2082">
      <c r="A2082" s="268" t="n"/>
      <c r="D2082" s="268" t="n"/>
      <c r="G2082" s="268" t="n"/>
    </row>
    <row r="2083">
      <c r="A2083" s="268" t="n"/>
      <c r="D2083" s="268" t="n"/>
      <c r="G2083" s="268" t="n"/>
    </row>
    <row r="2084">
      <c r="A2084" s="268" t="n"/>
      <c r="D2084" s="268" t="n"/>
      <c r="G2084" s="268" t="n"/>
    </row>
    <row r="2085">
      <c r="A2085" s="268" t="n"/>
      <c r="D2085" s="268" t="n"/>
      <c r="G2085" s="268" t="n"/>
    </row>
    <row r="2086">
      <c r="A2086" s="268" t="n"/>
      <c r="D2086" s="268" t="n"/>
      <c r="G2086" s="268" t="n"/>
    </row>
    <row r="2087">
      <c r="A2087" s="268" t="n"/>
      <c r="D2087" s="268" t="n"/>
      <c r="G2087" s="268" t="n"/>
    </row>
    <row r="2088">
      <c r="A2088" s="268" t="n"/>
      <c r="D2088" s="268" t="n"/>
      <c r="G2088" s="268" t="n"/>
    </row>
    <row r="2089">
      <c r="A2089" s="268" t="n"/>
      <c r="D2089" s="268" t="n"/>
      <c r="G2089" s="268" t="n"/>
    </row>
    <row r="2090">
      <c r="A2090" s="268" t="n"/>
      <c r="D2090" s="268" t="n"/>
      <c r="G2090" s="268" t="n"/>
    </row>
    <row r="2091">
      <c r="A2091" s="268" t="n"/>
      <c r="D2091" s="268" t="n"/>
      <c r="G2091" s="268" t="n"/>
    </row>
    <row r="2092">
      <c r="A2092" s="268" t="n"/>
      <c r="D2092" s="268" t="n"/>
      <c r="G2092" s="268" t="n"/>
    </row>
    <row r="2093">
      <c r="A2093" s="268" t="n"/>
      <c r="D2093" s="268" t="n"/>
      <c r="G2093" s="268" t="n"/>
    </row>
    <row r="2094">
      <c r="A2094" s="268" t="n"/>
      <c r="D2094" s="268" t="n"/>
      <c r="G2094" s="268" t="n"/>
    </row>
    <row r="2095">
      <c r="A2095" s="268" t="n"/>
      <c r="D2095" s="268" t="n"/>
      <c r="G2095" s="268" t="n"/>
    </row>
    <row r="2096">
      <c r="A2096" s="268" t="n"/>
      <c r="D2096" s="268" t="n"/>
      <c r="G2096" s="268" t="n"/>
    </row>
    <row r="2097">
      <c r="A2097" s="268" t="n"/>
      <c r="D2097" s="268" t="n"/>
      <c r="G2097" s="268" t="n"/>
    </row>
    <row r="2098">
      <c r="A2098" s="268" t="n"/>
      <c r="D2098" s="268" t="n"/>
      <c r="G2098" s="268" t="n"/>
    </row>
    <row r="2099">
      <c r="A2099" s="268" t="n"/>
      <c r="D2099" s="268" t="n"/>
      <c r="G2099" s="268" t="n"/>
    </row>
    <row r="2100">
      <c r="A2100" s="268" t="n"/>
      <c r="D2100" s="268" t="n"/>
      <c r="G2100" s="268" t="n"/>
    </row>
    <row r="2101">
      <c r="A2101" s="268" t="n"/>
      <c r="D2101" s="268" t="n"/>
      <c r="G2101" s="268" t="n"/>
    </row>
    <row r="2102">
      <c r="A2102" s="268" t="n"/>
      <c r="D2102" s="268" t="n"/>
      <c r="G2102" s="268" t="n"/>
    </row>
    <row r="2103">
      <c r="A2103" s="268" t="n"/>
      <c r="D2103" s="268" t="n"/>
      <c r="G2103" s="268" t="n"/>
    </row>
    <row r="2104">
      <c r="A2104" s="268" t="n"/>
      <c r="D2104" s="268" t="n"/>
      <c r="G2104" s="268" t="n"/>
    </row>
    <row r="2105">
      <c r="A2105" s="268" t="n"/>
      <c r="D2105" s="268" t="n"/>
      <c r="G2105" s="268" t="n"/>
    </row>
    <row r="2106">
      <c r="A2106" s="268" t="n"/>
      <c r="D2106" s="268" t="n"/>
      <c r="G2106" s="268" t="n"/>
    </row>
    <row r="2107">
      <c r="A2107" s="268" t="n"/>
      <c r="D2107" s="268" t="n"/>
      <c r="G2107" s="268" t="n"/>
    </row>
    <row r="2108">
      <c r="A2108" s="268" t="n"/>
      <c r="D2108" s="268" t="n"/>
      <c r="G2108" s="268" t="n"/>
    </row>
    <row r="2109">
      <c r="A2109" s="268" t="n"/>
      <c r="D2109" s="268" t="n"/>
      <c r="G2109" s="268" t="n"/>
    </row>
    <row r="2110">
      <c r="A2110" s="268" t="n"/>
      <c r="D2110" s="268" t="n"/>
      <c r="G2110" s="268" t="n"/>
    </row>
    <row r="2111">
      <c r="A2111" s="268" t="n"/>
      <c r="D2111" s="268" t="n"/>
      <c r="G2111" s="268" t="n"/>
    </row>
    <row r="2112">
      <c r="A2112" s="268" t="n"/>
      <c r="D2112" s="268" t="n"/>
      <c r="G2112" s="268" t="n"/>
    </row>
    <row r="2113">
      <c r="A2113" s="268" t="n"/>
      <c r="D2113" s="268" t="n"/>
      <c r="G2113" s="268" t="n"/>
    </row>
    <row r="2114">
      <c r="A2114" s="268" t="n"/>
      <c r="D2114" s="268" t="n"/>
      <c r="G2114" s="268" t="n"/>
    </row>
    <row r="2115">
      <c r="A2115" s="268" t="n"/>
      <c r="D2115" s="268" t="n"/>
      <c r="G2115" s="268" t="n"/>
    </row>
    <row r="2116">
      <c r="A2116" s="268" t="n"/>
      <c r="D2116" s="268" t="n"/>
      <c r="G2116" s="268" t="n"/>
    </row>
    <row r="2117">
      <c r="A2117" s="268" t="n"/>
      <c r="D2117" s="268" t="n"/>
      <c r="G2117" s="268" t="n"/>
    </row>
    <row r="2118">
      <c r="A2118" s="268" t="n"/>
      <c r="D2118" s="268" t="n"/>
      <c r="G2118" s="268" t="n"/>
    </row>
    <row r="2119">
      <c r="A2119" s="268" t="n"/>
      <c r="D2119" s="268" t="n"/>
      <c r="G2119" s="268" t="n"/>
    </row>
    <row r="2120">
      <c r="A2120" s="268" t="n"/>
      <c r="D2120" s="268" t="n"/>
      <c r="G2120" s="268" t="n"/>
    </row>
    <row r="2121">
      <c r="A2121" s="268" t="n"/>
      <c r="D2121" s="268" t="n"/>
      <c r="G2121" s="268" t="n"/>
    </row>
    <row r="2122">
      <c r="A2122" s="268" t="n"/>
      <c r="D2122" s="268" t="n"/>
      <c r="G2122" s="268" t="n"/>
    </row>
    <row r="2123">
      <c r="A2123" s="268" t="n"/>
      <c r="D2123" s="268" t="n"/>
      <c r="G2123" s="268" t="n"/>
    </row>
    <row r="2124">
      <c r="A2124" s="268" t="n"/>
      <c r="D2124" s="268" t="n"/>
      <c r="G2124" s="268" t="n"/>
    </row>
    <row r="2125">
      <c r="A2125" s="268" t="n"/>
      <c r="D2125" s="268" t="n"/>
      <c r="G2125" s="268" t="n"/>
    </row>
    <row r="2126">
      <c r="A2126" s="268" t="n"/>
      <c r="D2126" s="268" t="n"/>
      <c r="G2126" s="268" t="n"/>
    </row>
    <row r="2127">
      <c r="A2127" s="268" t="n"/>
      <c r="D2127" s="268" t="n"/>
      <c r="G2127" s="268" t="n"/>
    </row>
    <row r="2128">
      <c r="A2128" s="268" t="n"/>
      <c r="D2128" s="268" t="n"/>
      <c r="G2128" s="268" t="n"/>
    </row>
    <row r="2129">
      <c r="A2129" s="268" t="n"/>
      <c r="D2129" s="268" t="n"/>
      <c r="G2129" s="268" t="n"/>
    </row>
    <row r="2130">
      <c r="A2130" s="268" t="n"/>
      <c r="D2130" s="268" t="n"/>
      <c r="G2130" s="268" t="n"/>
    </row>
    <row r="2131">
      <c r="A2131" s="268" t="n"/>
      <c r="D2131" s="268" t="n"/>
      <c r="G2131" s="268" t="n"/>
    </row>
    <row r="2132">
      <c r="A2132" s="268" t="n"/>
      <c r="D2132" s="268" t="n"/>
      <c r="G2132" s="268" t="n"/>
    </row>
    <row r="2133">
      <c r="A2133" s="268" t="n"/>
      <c r="D2133" s="268" t="n"/>
      <c r="G2133" s="268" t="n"/>
    </row>
    <row r="2134">
      <c r="A2134" s="268" t="n"/>
      <c r="D2134" s="268" t="n"/>
      <c r="G2134" s="268" t="n"/>
    </row>
    <row r="2135">
      <c r="A2135" s="268" t="n"/>
      <c r="D2135" s="268" t="n"/>
      <c r="G2135" s="268" t="n"/>
    </row>
    <row r="2136">
      <c r="A2136" s="268" t="n"/>
      <c r="D2136" s="268" t="n"/>
      <c r="G2136" s="268" t="n"/>
    </row>
    <row r="2137">
      <c r="A2137" s="268" t="n"/>
      <c r="D2137" s="268" t="n"/>
      <c r="G2137" s="268" t="n"/>
    </row>
    <row r="2138">
      <c r="A2138" s="268" t="n"/>
      <c r="D2138" s="268" t="n"/>
      <c r="G2138" s="268" t="n"/>
    </row>
    <row r="2139">
      <c r="A2139" s="268" t="n"/>
      <c r="D2139" s="268" t="n"/>
      <c r="G2139" s="268" t="n"/>
    </row>
    <row r="2140">
      <c r="A2140" s="268" t="n"/>
      <c r="D2140" s="268" t="n"/>
      <c r="G2140" s="268" t="n"/>
    </row>
    <row r="2141">
      <c r="A2141" s="268" t="n"/>
      <c r="D2141" s="268" t="n"/>
      <c r="G2141" s="268" t="n"/>
    </row>
    <row r="2142">
      <c r="A2142" s="268" t="n"/>
      <c r="D2142" s="268" t="n"/>
      <c r="G2142" s="268" t="n"/>
    </row>
    <row r="2143">
      <c r="A2143" s="268" t="n"/>
      <c r="D2143" s="268" t="n"/>
      <c r="G2143" s="268" t="n"/>
    </row>
    <row r="2144">
      <c r="A2144" s="268" t="n"/>
      <c r="D2144" s="268" t="n"/>
      <c r="G2144" s="268" t="n"/>
    </row>
    <row r="2145">
      <c r="A2145" s="268" t="n"/>
      <c r="D2145" s="268" t="n"/>
      <c r="G2145" s="268" t="n"/>
    </row>
    <row r="2146">
      <c r="A2146" s="268" t="n"/>
      <c r="D2146" s="268" t="n"/>
      <c r="G2146" s="268" t="n"/>
    </row>
    <row r="2147">
      <c r="A2147" s="268" t="n"/>
      <c r="D2147" s="268" t="n"/>
      <c r="G2147" s="268" t="n"/>
    </row>
    <row r="2148">
      <c r="A2148" s="268" t="n"/>
      <c r="D2148" s="268" t="n"/>
      <c r="G2148" s="268" t="n"/>
    </row>
    <row r="2149">
      <c r="A2149" s="268" t="n"/>
      <c r="D2149" s="268" t="n"/>
      <c r="G2149" s="268" t="n"/>
    </row>
    <row r="2150">
      <c r="A2150" s="268" t="n"/>
      <c r="D2150" s="268" t="n"/>
      <c r="G2150" s="268" t="n"/>
    </row>
    <row r="2151">
      <c r="A2151" s="268" t="n"/>
      <c r="D2151" s="268" t="n"/>
      <c r="G2151" s="268" t="n"/>
    </row>
    <row r="2152">
      <c r="A2152" s="268" t="n"/>
      <c r="D2152" s="268" t="n"/>
      <c r="G2152" s="268" t="n"/>
    </row>
    <row r="2153">
      <c r="A2153" s="268" t="n"/>
      <c r="D2153" s="268" t="n"/>
      <c r="G2153" s="268" t="n"/>
    </row>
    <row r="2154">
      <c r="A2154" s="268" t="n"/>
      <c r="D2154" s="268" t="n"/>
      <c r="G2154" s="268" t="n"/>
    </row>
    <row r="2155">
      <c r="A2155" s="268" t="n"/>
      <c r="D2155" s="268" t="n"/>
      <c r="G2155" s="268" t="n"/>
    </row>
    <row r="2156">
      <c r="A2156" s="268" t="n"/>
      <c r="D2156" s="268" t="n"/>
      <c r="G2156" s="268" t="n"/>
    </row>
    <row r="2157">
      <c r="A2157" s="268" t="n"/>
      <c r="D2157" s="268" t="n"/>
      <c r="G2157" s="268" t="n"/>
    </row>
    <row r="2158">
      <c r="A2158" s="268" t="n"/>
      <c r="D2158" s="268" t="n"/>
      <c r="G2158" s="268" t="n"/>
    </row>
    <row r="2159">
      <c r="A2159" s="268" t="n"/>
      <c r="D2159" s="268" t="n"/>
      <c r="G2159" s="268" t="n"/>
    </row>
    <row r="2160">
      <c r="A2160" s="268" t="n"/>
      <c r="D2160" s="268" t="n"/>
      <c r="G2160" s="268" t="n"/>
    </row>
    <row r="2161">
      <c r="A2161" s="268" t="n"/>
      <c r="D2161" s="268" t="n"/>
      <c r="G2161" s="268" t="n"/>
    </row>
    <row r="2162">
      <c r="A2162" s="268" t="n"/>
      <c r="D2162" s="268" t="n"/>
      <c r="G2162" s="268" t="n"/>
    </row>
    <row r="2163">
      <c r="A2163" s="268" t="n"/>
      <c r="D2163" s="268" t="n"/>
      <c r="G2163" s="268" t="n"/>
    </row>
    <row r="2164">
      <c r="A2164" s="268" t="n"/>
      <c r="D2164" s="268" t="n"/>
      <c r="G2164" s="268" t="n"/>
    </row>
    <row r="2165">
      <c r="A2165" s="268" t="n"/>
      <c r="D2165" s="268" t="n"/>
      <c r="G2165" s="268" t="n"/>
    </row>
    <row r="2166">
      <c r="A2166" s="268" t="n"/>
      <c r="D2166" s="268" t="n"/>
      <c r="G2166" s="268" t="n"/>
    </row>
    <row r="2167">
      <c r="A2167" s="268" t="n"/>
      <c r="D2167" s="268" t="n"/>
      <c r="G2167" s="268" t="n"/>
    </row>
    <row r="2168">
      <c r="A2168" s="268" t="n"/>
      <c r="D2168" s="268" t="n"/>
      <c r="G2168" s="268" t="n"/>
    </row>
    <row r="2169">
      <c r="A2169" s="268" t="n"/>
      <c r="D2169" s="268" t="n"/>
      <c r="G2169" s="268" t="n"/>
    </row>
    <row r="2170">
      <c r="A2170" s="268" t="n"/>
      <c r="D2170" s="268" t="n"/>
      <c r="G2170" s="268" t="n"/>
    </row>
    <row r="2171">
      <c r="A2171" s="268" t="n"/>
      <c r="D2171" s="268" t="n"/>
      <c r="G2171" s="268" t="n"/>
    </row>
    <row r="2172">
      <c r="A2172" s="268" t="n"/>
      <c r="D2172" s="268" t="n"/>
      <c r="G2172" s="268" t="n"/>
    </row>
    <row r="2173">
      <c r="A2173" s="268" t="n"/>
      <c r="D2173" s="268" t="n"/>
      <c r="G2173" s="268" t="n"/>
    </row>
    <row r="2174">
      <c r="A2174" s="268" t="n"/>
      <c r="D2174" s="268" t="n"/>
      <c r="G2174" s="268" t="n"/>
    </row>
    <row r="2175">
      <c r="A2175" s="268" t="n"/>
      <c r="D2175" s="268" t="n"/>
      <c r="G2175" s="268" t="n"/>
    </row>
    <row r="2176">
      <c r="A2176" s="268" t="n"/>
      <c r="D2176" s="268" t="n"/>
      <c r="G2176" s="268" t="n"/>
    </row>
    <row r="2177">
      <c r="A2177" s="268" t="n"/>
      <c r="D2177" s="268" t="n"/>
      <c r="G2177" s="268" t="n"/>
    </row>
    <row r="2178">
      <c r="A2178" s="268" t="n"/>
      <c r="D2178" s="268" t="n"/>
      <c r="G2178" s="268" t="n"/>
    </row>
    <row r="2179">
      <c r="A2179" s="268" t="n"/>
      <c r="D2179" s="268" t="n"/>
      <c r="G2179" s="268" t="n"/>
    </row>
    <row r="2180">
      <c r="A2180" s="268" t="n"/>
      <c r="D2180" s="268" t="n"/>
      <c r="G2180" s="268" t="n"/>
    </row>
    <row r="2181">
      <c r="A2181" s="268" t="n"/>
      <c r="D2181" s="268" t="n"/>
      <c r="G2181" s="268" t="n"/>
    </row>
    <row r="2182">
      <c r="A2182" s="268" t="n"/>
      <c r="D2182" s="268" t="n"/>
      <c r="G2182" s="268" t="n"/>
    </row>
    <row r="2183">
      <c r="A2183" s="268" t="n"/>
      <c r="D2183" s="268" t="n"/>
      <c r="G2183" s="268" t="n"/>
    </row>
    <row r="2184">
      <c r="A2184" s="268" t="n"/>
      <c r="D2184" s="268" t="n"/>
      <c r="G2184" s="268" t="n"/>
    </row>
    <row r="2185">
      <c r="A2185" s="268" t="n"/>
      <c r="D2185" s="268" t="n"/>
      <c r="G2185" s="268" t="n"/>
    </row>
    <row r="2186">
      <c r="A2186" s="268" t="n"/>
      <c r="D2186" s="268" t="n"/>
      <c r="G2186" s="268" t="n"/>
    </row>
    <row r="2187">
      <c r="A2187" s="268" t="n"/>
      <c r="D2187" s="268" t="n"/>
      <c r="G2187" s="268" t="n"/>
    </row>
    <row r="2188">
      <c r="A2188" s="268" t="n"/>
      <c r="D2188" s="268" t="n"/>
      <c r="G2188" s="268" t="n"/>
    </row>
    <row r="2189">
      <c r="A2189" s="268" t="n"/>
      <c r="D2189" s="268" t="n"/>
      <c r="G2189" s="268" t="n"/>
    </row>
    <row r="2190">
      <c r="A2190" s="268" t="n"/>
      <c r="D2190" s="268" t="n"/>
      <c r="G2190" s="268" t="n"/>
    </row>
    <row r="2191">
      <c r="A2191" s="268" t="n"/>
      <c r="D2191" s="268" t="n"/>
      <c r="G2191" s="268" t="n"/>
    </row>
    <row r="2192">
      <c r="A2192" s="268" t="n"/>
      <c r="D2192" s="268" t="n"/>
      <c r="G2192" s="268" t="n"/>
    </row>
    <row r="2193">
      <c r="A2193" s="268" t="n"/>
      <c r="D2193" s="268" t="n"/>
      <c r="G2193" s="268" t="n"/>
    </row>
    <row r="2194">
      <c r="A2194" s="268" t="n"/>
      <c r="D2194" s="268" t="n"/>
      <c r="G2194" s="268" t="n"/>
    </row>
    <row r="2195">
      <c r="A2195" s="268" t="n"/>
      <c r="D2195" s="268" t="n"/>
      <c r="G2195" s="268" t="n"/>
    </row>
    <row r="2196">
      <c r="A2196" s="268" t="n"/>
      <c r="D2196" s="268" t="n"/>
      <c r="G2196" s="268" t="n"/>
    </row>
    <row r="2197">
      <c r="A2197" s="268" t="n"/>
      <c r="D2197" s="268" t="n"/>
      <c r="G2197" s="268" t="n"/>
    </row>
    <row r="2198">
      <c r="A2198" s="268" t="n"/>
      <c r="D2198" s="268" t="n"/>
      <c r="G2198" s="268" t="n"/>
    </row>
    <row r="2199">
      <c r="A2199" s="268" t="n"/>
      <c r="D2199" s="268" t="n"/>
      <c r="G2199" s="268" t="n"/>
    </row>
    <row r="2200">
      <c r="A2200" s="268" t="n"/>
      <c r="D2200" s="268" t="n"/>
      <c r="G2200" s="268" t="n"/>
    </row>
    <row r="2201">
      <c r="A2201" s="268" t="n"/>
      <c r="D2201" s="268" t="n"/>
      <c r="G2201" s="268" t="n"/>
    </row>
    <row r="2202">
      <c r="A2202" s="268" t="n"/>
      <c r="D2202" s="268" t="n"/>
      <c r="G2202" s="268" t="n"/>
    </row>
    <row r="2203">
      <c r="A2203" s="268" t="n"/>
      <c r="D2203" s="268" t="n"/>
      <c r="G2203" s="268" t="n"/>
    </row>
    <row r="2204">
      <c r="A2204" s="268" t="n"/>
      <c r="D2204" s="268" t="n"/>
      <c r="G2204" s="268" t="n"/>
    </row>
    <row r="2205">
      <c r="A2205" s="268" t="n"/>
      <c r="D2205" s="268" t="n"/>
      <c r="G2205" s="268" t="n"/>
    </row>
    <row r="2206">
      <c r="A2206" s="268" t="n"/>
      <c r="D2206" s="268" t="n"/>
      <c r="G2206" s="268" t="n"/>
    </row>
    <row r="2207">
      <c r="A2207" s="268" t="n"/>
      <c r="D2207" s="268" t="n"/>
      <c r="G2207" s="268" t="n"/>
    </row>
    <row r="2208">
      <c r="A2208" s="268" t="n"/>
      <c r="D2208" s="268" t="n"/>
      <c r="G2208" s="268" t="n"/>
    </row>
    <row r="2209">
      <c r="A2209" s="268" t="n"/>
      <c r="D2209" s="268" t="n"/>
      <c r="G2209" s="268" t="n"/>
    </row>
    <row r="2210">
      <c r="A2210" s="268" t="n"/>
      <c r="D2210" s="268" t="n"/>
      <c r="G2210" s="268" t="n"/>
    </row>
    <row r="2211">
      <c r="A2211" s="268" t="n"/>
      <c r="D2211" s="268" t="n"/>
      <c r="G2211" s="268" t="n"/>
    </row>
    <row r="2212">
      <c r="A2212" s="268" t="n"/>
      <c r="D2212" s="268" t="n"/>
      <c r="G2212" s="268" t="n"/>
    </row>
    <row r="2213">
      <c r="A2213" s="268" t="n"/>
      <c r="D2213" s="268" t="n"/>
      <c r="G2213" s="268" t="n"/>
    </row>
    <row r="2214">
      <c r="A2214" s="268" t="n"/>
      <c r="D2214" s="268" t="n"/>
      <c r="G2214" s="268" t="n"/>
    </row>
    <row r="2215">
      <c r="A2215" s="268" t="n"/>
      <c r="D2215" s="268" t="n"/>
      <c r="G2215" s="268" t="n"/>
    </row>
    <row r="2216">
      <c r="A2216" s="268" t="n"/>
      <c r="D2216" s="268" t="n"/>
      <c r="G2216" s="268" t="n"/>
    </row>
    <row r="2217">
      <c r="A2217" s="268" t="n"/>
      <c r="D2217" s="268" t="n"/>
      <c r="G2217" s="268" t="n"/>
    </row>
    <row r="2218">
      <c r="A2218" s="268" t="n"/>
      <c r="D2218" s="268" t="n"/>
      <c r="G2218" s="268" t="n"/>
    </row>
    <row r="2219">
      <c r="A2219" s="268" t="n"/>
      <c r="D2219" s="268" t="n"/>
      <c r="G2219" s="268" t="n"/>
    </row>
    <row r="2220">
      <c r="A2220" s="268" t="n"/>
      <c r="D2220" s="268" t="n"/>
      <c r="G2220" s="268" t="n"/>
    </row>
    <row r="2221">
      <c r="A2221" s="268" t="n"/>
      <c r="D2221" s="268" t="n"/>
      <c r="G2221" s="268" t="n"/>
    </row>
    <row r="2222">
      <c r="A2222" s="268" t="n"/>
      <c r="D2222" s="268" t="n"/>
      <c r="G2222" s="268" t="n"/>
    </row>
    <row r="2223">
      <c r="A2223" s="268" t="n"/>
      <c r="D2223" s="268" t="n"/>
      <c r="G2223" s="268" t="n"/>
    </row>
    <row r="2224">
      <c r="A2224" s="268" t="n"/>
      <c r="D2224" s="268" t="n"/>
      <c r="G2224" s="268" t="n"/>
    </row>
    <row r="2225">
      <c r="A2225" s="268" t="n"/>
      <c r="D2225" s="268" t="n"/>
      <c r="G2225" s="268" t="n"/>
    </row>
    <row r="2226">
      <c r="A2226" s="268" t="n"/>
      <c r="D2226" s="268" t="n"/>
      <c r="G2226" s="268" t="n"/>
    </row>
    <row r="2227">
      <c r="A2227" s="268" t="n"/>
      <c r="D2227" s="268" t="n"/>
      <c r="G2227" s="268" t="n"/>
    </row>
    <row r="2228">
      <c r="A2228" s="268" t="n"/>
      <c r="D2228" s="268" t="n"/>
      <c r="G2228" s="268" t="n"/>
    </row>
    <row r="2229">
      <c r="A2229" s="268" t="n"/>
      <c r="D2229" s="268" t="n"/>
      <c r="G2229" s="268" t="n"/>
    </row>
    <row r="2230">
      <c r="A2230" s="268" t="n"/>
      <c r="D2230" s="268" t="n"/>
      <c r="G2230" s="268" t="n"/>
    </row>
    <row r="2231">
      <c r="A2231" s="268" t="n"/>
      <c r="D2231" s="268" t="n"/>
      <c r="G2231" s="268" t="n"/>
    </row>
    <row r="2232">
      <c r="A2232" s="268" t="n"/>
      <c r="D2232" s="268" t="n"/>
      <c r="G2232" s="268" t="n"/>
    </row>
    <row r="2233">
      <c r="A2233" s="268" t="n"/>
      <c r="D2233" s="268" t="n"/>
      <c r="G2233" s="268" t="n"/>
    </row>
    <row r="2234">
      <c r="A2234" s="268" t="n"/>
      <c r="D2234" s="268" t="n"/>
      <c r="G2234" s="268" t="n"/>
    </row>
    <row r="2235">
      <c r="A2235" s="268" t="n"/>
      <c r="D2235" s="268" t="n"/>
      <c r="G2235" s="268" t="n"/>
    </row>
    <row r="2236">
      <c r="A2236" s="268" t="n"/>
      <c r="D2236" s="268" t="n"/>
      <c r="G2236" s="268" t="n"/>
    </row>
    <row r="2237">
      <c r="A2237" s="268" t="n"/>
      <c r="D2237" s="268" t="n"/>
      <c r="G2237" s="268" t="n"/>
    </row>
    <row r="2238">
      <c r="A2238" s="268" t="n"/>
      <c r="D2238" s="268" t="n"/>
      <c r="G2238" s="268" t="n"/>
    </row>
    <row r="2239">
      <c r="A2239" s="268" t="n"/>
      <c r="D2239" s="268" t="n"/>
      <c r="G2239" s="268" t="n"/>
    </row>
    <row r="2240">
      <c r="A2240" s="268" t="n"/>
      <c r="D2240" s="268" t="n"/>
      <c r="G2240" s="268" t="n"/>
    </row>
    <row r="2241">
      <c r="A2241" s="268" t="n"/>
      <c r="D2241" s="268" t="n"/>
      <c r="G2241" s="268" t="n"/>
    </row>
    <row r="2242">
      <c r="A2242" s="268" t="n"/>
      <c r="D2242" s="268" t="n"/>
      <c r="G2242" s="268" t="n"/>
    </row>
    <row r="2243">
      <c r="A2243" s="268" t="n"/>
      <c r="D2243" s="268" t="n"/>
      <c r="G2243" s="268" t="n"/>
    </row>
    <row r="2244">
      <c r="A2244" s="268" t="n"/>
      <c r="D2244" s="268" t="n"/>
      <c r="G2244" s="268" t="n"/>
    </row>
    <row r="2245">
      <c r="A2245" s="268" t="n"/>
      <c r="D2245" s="268" t="n"/>
      <c r="G2245" s="268" t="n"/>
    </row>
    <row r="2246">
      <c r="A2246" s="268" t="n"/>
      <c r="D2246" s="268" t="n"/>
      <c r="G2246" s="268" t="n"/>
    </row>
    <row r="2247">
      <c r="A2247" s="268" t="n"/>
      <c r="D2247" s="268" t="n"/>
      <c r="G2247" s="268" t="n"/>
    </row>
    <row r="2248">
      <c r="A2248" s="268" t="n"/>
      <c r="D2248" s="268" t="n"/>
      <c r="G2248" s="268" t="n"/>
    </row>
    <row r="2249">
      <c r="A2249" s="268" t="n"/>
      <c r="D2249" s="268" t="n"/>
      <c r="G2249" s="268" t="n"/>
    </row>
    <row r="2250">
      <c r="A2250" s="268" t="n"/>
      <c r="D2250" s="268" t="n"/>
      <c r="G2250" s="268" t="n"/>
    </row>
    <row r="2251">
      <c r="A2251" s="268" t="n"/>
      <c r="D2251" s="268" t="n"/>
      <c r="G2251" s="268" t="n"/>
    </row>
    <row r="2252">
      <c r="A2252" s="268" t="n"/>
      <c r="D2252" s="268" t="n"/>
      <c r="G2252" s="268" t="n"/>
    </row>
    <row r="2253">
      <c r="A2253" s="268" t="n"/>
      <c r="D2253" s="268" t="n"/>
      <c r="G2253" s="268" t="n"/>
    </row>
    <row r="2254">
      <c r="A2254" s="268" t="n"/>
      <c r="D2254" s="268" t="n"/>
      <c r="G2254" s="268" t="n"/>
    </row>
    <row r="2255">
      <c r="A2255" s="268" t="n"/>
      <c r="D2255" s="268" t="n"/>
      <c r="G2255" s="268" t="n"/>
    </row>
    <row r="2256">
      <c r="A2256" s="268" t="n"/>
      <c r="D2256" s="268" t="n"/>
      <c r="G2256" s="268" t="n"/>
    </row>
    <row r="2257">
      <c r="A2257" s="268" t="n"/>
      <c r="D2257" s="268" t="n"/>
      <c r="G2257" s="268" t="n"/>
    </row>
    <row r="2258">
      <c r="A2258" s="268" t="n"/>
      <c r="D2258" s="268" t="n"/>
      <c r="G2258" s="268" t="n"/>
    </row>
    <row r="2259">
      <c r="A2259" s="268" t="n"/>
      <c r="D2259" s="268" t="n"/>
      <c r="G2259" s="268" t="n"/>
    </row>
    <row r="2260">
      <c r="A2260" s="268" t="n"/>
      <c r="D2260" s="268" t="n"/>
      <c r="G2260" s="268" t="n"/>
    </row>
    <row r="2261">
      <c r="A2261" s="268" t="n"/>
      <c r="D2261" s="268" t="n"/>
      <c r="G2261" s="268" t="n"/>
    </row>
    <row r="2262">
      <c r="A2262" s="268" t="n"/>
      <c r="D2262" s="268" t="n"/>
      <c r="G2262" s="268" t="n"/>
    </row>
    <row r="2263">
      <c r="A2263" s="268" t="n"/>
      <c r="D2263" s="268" t="n"/>
      <c r="G2263" s="268" t="n"/>
    </row>
    <row r="2264">
      <c r="A2264" s="268" t="n"/>
      <c r="D2264" s="268" t="n"/>
      <c r="G2264" s="268" t="n"/>
    </row>
    <row r="2265">
      <c r="A2265" s="268" t="n"/>
      <c r="D2265" s="268" t="n"/>
      <c r="G2265" s="268" t="n"/>
    </row>
    <row r="2266">
      <c r="A2266" s="268" t="n"/>
      <c r="D2266" s="268" t="n"/>
      <c r="G2266" s="268" t="n"/>
    </row>
    <row r="2267">
      <c r="A2267" s="268" t="n"/>
      <c r="D2267" s="268" t="n"/>
      <c r="G2267" s="268" t="n"/>
    </row>
    <row r="2268">
      <c r="A2268" s="268" t="n"/>
      <c r="D2268" s="268" t="n"/>
      <c r="G2268" s="268" t="n"/>
    </row>
    <row r="2269">
      <c r="A2269" s="268" t="n"/>
      <c r="D2269" s="268" t="n"/>
      <c r="G2269" s="268" t="n"/>
    </row>
    <row r="2270">
      <c r="A2270" s="268" t="n"/>
      <c r="D2270" s="268" t="n"/>
      <c r="G2270" s="268" t="n"/>
    </row>
    <row r="2271">
      <c r="A2271" s="268" t="n"/>
      <c r="D2271" s="268" t="n"/>
      <c r="G2271" s="268" t="n"/>
    </row>
    <row r="2272">
      <c r="A2272" s="268" t="n"/>
      <c r="D2272" s="268" t="n"/>
      <c r="G2272" s="268" t="n"/>
    </row>
    <row r="2273">
      <c r="A2273" s="268" t="n"/>
      <c r="D2273" s="268" t="n"/>
      <c r="G2273" s="268" t="n"/>
    </row>
    <row r="2274">
      <c r="A2274" s="268" t="n"/>
      <c r="D2274" s="268" t="n"/>
      <c r="G2274" s="268" t="n"/>
    </row>
    <row r="2275">
      <c r="A2275" s="268" t="n"/>
      <c r="D2275" s="268" t="n"/>
      <c r="G2275" s="268" t="n"/>
    </row>
    <row r="2276">
      <c r="A2276" s="268" t="n"/>
      <c r="D2276" s="268" t="n"/>
      <c r="G2276" s="268" t="n"/>
    </row>
    <row r="2277">
      <c r="A2277" s="268" t="n"/>
      <c r="D2277" s="268" t="n"/>
      <c r="G2277" s="268" t="n"/>
    </row>
    <row r="2278">
      <c r="A2278" s="268" t="n"/>
      <c r="D2278" s="268" t="n"/>
      <c r="G2278" s="268" t="n"/>
    </row>
    <row r="2279">
      <c r="A2279" s="268" t="n"/>
      <c r="D2279" s="268" t="n"/>
      <c r="G2279" s="268" t="n"/>
    </row>
    <row r="2280">
      <c r="A2280" s="268" t="n"/>
      <c r="D2280" s="268" t="n"/>
      <c r="G2280" s="268" t="n"/>
    </row>
    <row r="2281">
      <c r="A2281" s="268" t="n"/>
      <c r="D2281" s="268" t="n"/>
      <c r="G2281" s="268" t="n"/>
    </row>
    <row r="2282">
      <c r="A2282" s="268" t="n"/>
      <c r="D2282" s="268" t="n"/>
      <c r="G2282" s="268" t="n"/>
    </row>
    <row r="2283">
      <c r="A2283" s="268" t="n"/>
      <c r="D2283" s="268" t="n"/>
      <c r="G2283" s="268" t="n"/>
    </row>
    <row r="2284">
      <c r="A2284" s="268" t="n"/>
      <c r="D2284" s="268" t="n"/>
      <c r="G2284" s="268" t="n"/>
    </row>
    <row r="2285">
      <c r="A2285" s="268" t="n"/>
      <c r="D2285" s="268" t="n"/>
      <c r="G2285" s="268" t="n"/>
    </row>
    <row r="2286">
      <c r="A2286" s="268" t="n"/>
      <c r="D2286" s="268" t="n"/>
      <c r="G2286" s="268" t="n"/>
    </row>
    <row r="2287">
      <c r="A2287" s="268" t="n"/>
      <c r="D2287" s="268" t="n"/>
      <c r="G2287" s="268" t="n"/>
    </row>
    <row r="2288">
      <c r="A2288" s="268" t="n"/>
      <c r="D2288" s="268" t="n"/>
      <c r="G2288" s="268" t="n"/>
    </row>
    <row r="2289">
      <c r="A2289" s="268" t="n"/>
      <c r="D2289" s="268" t="n"/>
      <c r="G2289" s="268" t="n"/>
    </row>
    <row r="2290">
      <c r="A2290" s="268" t="n"/>
      <c r="D2290" s="268" t="n"/>
      <c r="G2290" s="268" t="n"/>
    </row>
    <row r="2291">
      <c r="A2291" s="268" t="n"/>
      <c r="D2291" s="268" t="n"/>
      <c r="G2291" s="268" t="n"/>
    </row>
    <row r="2292">
      <c r="A2292" s="268" t="n"/>
      <c r="D2292" s="268" t="n"/>
      <c r="G2292" s="268" t="n"/>
    </row>
    <row r="2293">
      <c r="A2293" s="268" t="n"/>
      <c r="D2293" s="268" t="n"/>
      <c r="G2293" s="268" t="n"/>
    </row>
    <row r="2294">
      <c r="A2294" s="268" t="n"/>
      <c r="D2294" s="268" t="n"/>
      <c r="G2294" s="268" t="n"/>
    </row>
    <row r="2295">
      <c r="A2295" s="268" t="n"/>
      <c r="D2295" s="268" t="n"/>
      <c r="G2295" s="268" t="n"/>
    </row>
    <row r="2296">
      <c r="A2296" s="268" t="n"/>
      <c r="D2296" s="268" t="n"/>
      <c r="G2296" s="268" t="n"/>
    </row>
    <row r="2297">
      <c r="A2297" s="268" t="n"/>
      <c r="D2297" s="268" t="n"/>
      <c r="G2297" s="268" t="n"/>
    </row>
    <row r="2298">
      <c r="A2298" s="268" t="n"/>
      <c r="D2298" s="268" t="n"/>
      <c r="G2298" s="268" t="n"/>
    </row>
    <row r="2299">
      <c r="A2299" s="268" t="n"/>
      <c r="D2299" s="268" t="n"/>
      <c r="G2299" s="268" t="n"/>
    </row>
    <row r="2300">
      <c r="A2300" s="268" t="n"/>
      <c r="D2300" s="268" t="n"/>
      <c r="G2300" s="268" t="n"/>
    </row>
    <row r="2301">
      <c r="A2301" s="268" t="n"/>
      <c r="D2301" s="268" t="n"/>
      <c r="G2301" s="268" t="n"/>
    </row>
    <row r="2302">
      <c r="A2302" s="268" t="n"/>
      <c r="D2302" s="268" t="n"/>
      <c r="G2302" s="268" t="n"/>
    </row>
    <row r="2303">
      <c r="A2303" s="268" t="n"/>
      <c r="D2303" s="268" t="n"/>
      <c r="G2303" s="268" t="n"/>
    </row>
    <row r="2304">
      <c r="A2304" s="268" t="n"/>
      <c r="D2304" s="268" t="n"/>
      <c r="G2304" s="268" t="n"/>
    </row>
    <row r="2305">
      <c r="A2305" s="268" t="n"/>
      <c r="D2305" s="268" t="n"/>
      <c r="G2305" s="268" t="n"/>
    </row>
    <row r="2306">
      <c r="A2306" s="268" t="n"/>
      <c r="D2306" s="268" t="n"/>
      <c r="G2306" s="268" t="n"/>
    </row>
    <row r="2307">
      <c r="A2307" s="268" t="n"/>
      <c r="D2307" s="268" t="n"/>
      <c r="G2307" s="268" t="n"/>
    </row>
    <row r="2308">
      <c r="A2308" s="268" t="n"/>
      <c r="D2308" s="268" t="n"/>
      <c r="G2308" s="268" t="n"/>
    </row>
    <row r="2309">
      <c r="A2309" s="268" t="n"/>
      <c r="D2309" s="268" t="n"/>
      <c r="G2309" s="268" t="n"/>
    </row>
    <row r="2310">
      <c r="A2310" s="268" t="n"/>
      <c r="D2310" s="268" t="n"/>
      <c r="G2310" s="268" t="n"/>
    </row>
    <row r="2311">
      <c r="A2311" s="268" t="n"/>
      <c r="D2311" s="268" t="n"/>
      <c r="G2311" s="268" t="n"/>
    </row>
    <row r="2312">
      <c r="A2312" s="268" t="n"/>
      <c r="D2312" s="268" t="n"/>
      <c r="G2312" s="268" t="n"/>
    </row>
    <row r="2313">
      <c r="A2313" s="268" t="n"/>
      <c r="D2313" s="268" t="n"/>
      <c r="G2313" s="268" t="n"/>
    </row>
    <row r="2314">
      <c r="A2314" s="268" t="n"/>
      <c r="D2314" s="268" t="n"/>
      <c r="G2314" s="268" t="n"/>
    </row>
    <row r="2315">
      <c r="A2315" s="268" t="n"/>
      <c r="D2315" s="268" t="n"/>
      <c r="G2315" s="268" t="n"/>
    </row>
    <row r="2316">
      <c r="A2316" s="268" t="n"/>
      <c r="D2316" s="268" t="n"/>
      <c r="G2316" s="268" t="n"/>
    </row>
    <row r="2317">
      <c r="A2317" s="268" t="n"/>
      <c r="D2317" s="268" t="n"/>
      <c r="G2317" s="268" t="n"/>
    </row>
    <row r="2318">
      <c r="A2318" s="268" t="n"/>
      <c r="D2318" s="268" t="n"/>
      <c r="G2318" s="268" t="n"/>
    </row>
    <row r="2319">
      <c r="A2319" s="268" t="n"/>
      <c r="D2319" s="268" t="n"/>
      <c r="G2319" s="268" t="n"/>
    </row>
    <row r="2320">
      <c r="A2320" s="268" t="n"/>
      <c r="D2320" s="268" t="n"/>
      <c r="G2320" s="268" t="n"/>
    </row>
    <row r="2321">
      <c r="A2321" s="268" t="n"/>
      <c r="D2321" s="268" t="n"/>
      <c r="G2321" s="268" t="n"/>
    </row>
    <row r="2322">
      <c r="A2322" s="268" t="n"/>
      <c r="D2322" s="268" t="n"/>
      <c r="G2322" s="268" t="n"/>
    </row>
    <row r="2323">
      <c r="A2323" s="268" t="n"/>
      <c r="D2323" s="268" t="n"/>
      <c r="G2323" s="268" t="n"/>
    </row>
    <row r="2324">
      <c r="A2324" s="268" t="n"/>
      <c r="D2324" s="268" t="n"/>
      <c r="G2324" s="268" t="n"/>
    </row>
    <row r="2325">
      <c r="A2325" s="268" t="n"/>
      <c r="D2325" s="268" t="n"/>
      <c r="G2325" s="268" t="n"/>
    </row>
    <row r="2326">
      <c r="A2326" s="268" t="n"/>
      <c r="D2326" s="268" t="n"/>
      <c r="G2326" s="268" t="n"/>
    </row>
    <row r="2327">
      <c r="A2327" s="268" t="n"/>
      <c r="D2327" s="268" t="n"/>
      <c r="G2327" s="268" t="n"/>
    </row>
    <row r="2328">
      <c r="A2328" s="268" t="n"/>
      <c r="D2328" s="268" t="n"/>
      <c r="G2328" s="268" t="n"/>
    </row>
    <row r="2329">
      <c r="A2329" s="268" t="n"/>
      <c r="D2329" s="268" t="n"/>
      <c r="G2329" s="268" t="n"/>
    </row>
    <row r="2330">
      <c r="A2330" s="268" t="n"/>
      <c r="D2330" s="268" t="n"/>
      <c r="G2330" s="268" t="n"/>
    </row>
    <row r="2331">
      <c r="A2331" s="268" t="n"/>
      <c r="D2331" s="268" t="n"/>
      <c r="G2331" s="268" t="n"/>
    </row>
    <row r="2332">
      <c r="A2332" s="268" t="n"/>
      <c r="D2332" s="268" t="n"/>
      <c r="G2332" s="268" t="n"/>
    </row>
    <row r="2333">
      <c r="A2333" s="268" t="n"/>
      <c r="D2333" s="268" t="n"/>
      <c r="G2333" s="268" t="n"/>
    </row>
    <row r="2334">
      <c r="A2334" s="268" t="n"/>
      <c r="D2334" s="268" t="n"/>
      <c r="G2334" s="268" t="n"/>
    </row>
    <row r="2335">
      <c r="A2335" s="268" t="n"/>
      <c r="D2335" s="268" t="n"/>
      <c r="G2335" s="268" t="n"/>
    </row>
    <row r="2336">
      <c r="A2336" s="268" t="n"/>
      <c r="D2336" s="268" t="n"/>
      <c r="G2336" s="268" t="n"/>
    </row>
    <row r="2337">
      <c r="A2337" s="268" t="n"/>
      <c r="D2337" s="268" t="n"/>
      <c r="G2337" s="268" t="n"/>
    </row>
    <row r="2338">
      <c r="A2338" s="268" t="n"/>
      <c r="D2338" s="268" t="n"/>
      <c r="G2338" s="268" t="n"/>
    </row>
    <row r="2339">
      <c r="A2339" s="268" t="n"/>
      <c r="D2339" s="268" t="n"/>
      <c r="G2339" s="268" t="n"/>
    </row>
    <row r="2340">
      <c r="A2340" s="268" t="n"/>
      <c r="D2340" s="268" t="n"/>
      <c r="G2340" s="268" t="n"/>
    </row>
    <row r="2341">
      <c r="A2341" s="268" t="n"/>
      <c r="D2341" s="268" t="n"/>
      <c r="G2341" s="268" t="n"/>
    </row>
    <row r="2342">
      <c r="A2342" s="268" t="n"/>
      <c r="D2342" s="268" t="n"/>
      <c r="G2342" s="268" t="n"/>
    </row>
    <row r="2343">
      <c r="A2343" s="268" t="n"/>
      <c r="D2343" s="268" t="n"/>
      <c r="G2343" s="268" t="n"/>
    </row>
    <row r="2344">
      <c r="A2344" s="268" t="n"/>
      <c r="D2344" s="268" t="n"/>
      <c r="G2344" s="268" t="n"/>
    </row>
    <row r="2345">
      <c r="A2345" s="268" t="n"/>
      <c r="D2345" s="268" t="n"/>
      <c r="G2345" s="268" t="n"/>
    </row>
    <row r="2346">
      <c r="A2346" s="268" t="n"/>
      <c r="D2346" s="268" t="n"/>
      <c r="G2346" s="268" t="n"/>
    </row>
    <row r="2347">
      <c r="A2347" s="268" t="n"/>
      <c r="D2347" s="268" t="n"/>
      <c r="G2347" s="268" t="n"/>
    </row>
    <row r="2348">
      <c r="A2348" s="268" t="n"/>
      <c r="D2348" s="268" t="n"/>
      <c r="G2348" s="268" t="n"/>
    </row>
    <row r="2349">
      <c r="A2349" s="268" t="n"/>
      <c r="D2349" s="268" t="n"/>
      <c r="G2349" s="268" t="n"/>
    </row>
    <row r="2350">
      <c r="A2350" s="268" t="n"/>
      <c r="D2350" s="268" t="n"/>
      <c r="G2350" s="268" t="n"/>
    </row>
    <row r="2351">
      <c r="A2351" s="268" t="n"/>
      <c r="D2351" s="268" t="n"/>
      <c r="G2351" s="268" t="n"/>
    </row>
    <row r="2352">
      <c r="A2352" s="268" t="n"/>
      <c r="D2352" s="268" t="n"/>
      <c r="G2352" s="268" t="n"/>
    </row>
    <row r="2353">
      <c r="A2353" s="268" t="n"/>
      <c r="D2353" s="268" t="n"/>
      <c r="G2353" s="268" t="n"/>
    </row>
    <row r="2354">
      <c r="A2354" s="268" t="n"/>
      <c r="D2354" s="268" t="n"/>
      <c r="G2354" s="268" t="n"/>
    </row>
    <row r="2355">
      <c r="A2355" s="268" t="n"/>
      <c r="D2355" s="268" t="n"/>
      <c r="G2355" s="268" t="n"/>
    </row>
    <row r="2356">
      <c r="A2356" s="268" t="n"/>
      <c r="D2356" s="268" t="n"/>
      <c r="G2356" s="268" t="n"/>
    </row>
    <row r="2357">
      <c r="A2357" s="268" t="n"/>
      <c r="D2357" s="268" t="n"/>
      <c r="G2357" s="268" t="n"/>
    </row>
    <row r="2358">
      <c r="A2358" s="268" t="n"/>
      <c r="D2358" s="268" t="n"/>
      <c r="G2358" s="268" t="n"/>
    </row>
    <row r="2359">
      <c r="A2359" s="268" t="n"/>
      <c r="D2359" s="268" t="n"/>
      <c r="G2359" s="268" t="n"/>
    </row>
    <row r="2360">
      <c r="A2360" s="268" t="n"/>
      <c r="D2360" s="268" t="n"/>
      <c r="G2360" s="268" t="n"/>
    </row>
    <row r="2361">
      <c r="A2361" s="268" t="n"/>
      <c r="D2361" s="268" t="n"/>
      <c r="G2361" s="268" t="n"/>
    </row>
    <row r="2362">
      <c r="A2362" s="268" t="n"/>
      <c r="D2362" s="268" t="n"/>
      <c r="G2362" s="268" t="n"/>
    </row>
    <row r="2363">
      <c r="A2363" s="268" t="n"/>
      <c r="D2363" s="268" t="n"/>
      <c r="G2363" s="268" t="n"/>
    </row>
    <row r="2364">
      <c r="A2364" s="268" t="n"/>
      <c r="D2364" s="268" t="n"/>
      <c r="G2364" s="268" t="n"/>
    </row>
    <row r="2365">
      <c r="A2365" s="268" t="n"/>
      <c r="D2365" s="268" t="n"/>
      <c r="G2365" s="268" t="n"/>
    </row>
    <row r="2366">
      <c r="A2366" s="268" t="n"/>
      <c r="D2366" s="268" t="n"/>
      <c r="G2366" s="268" t="n"/>
    </row>
    <row r="2367">
      <c r="A2367" s="268" t="n"/>
      <c r="D2367" s="268" t="n"/>
      <c r="G2367" s="268" t="n"/>
    </row>
    <row r="2368">
      <c r="A2368" s="268" t="n"/>
      <c r="D2368" s="268" t="n"/>
      <c r="G2368" s="268" t="n"/>
    </row>
    <row r="2369">
      <c r="A2369" s="268" t="n"/>
      <c r="D2369" s="268" t="n"/>
      <c r="G2369" s="268" t="n"/>
    </row>
    <row r="2370">
      <c r="A2370" s="268" t="n"/>
      <c r="D2370" s="268" t="n"/>
      <c r="G2370" s="268" t="n"/>
    </row>
    <row r="2371">
      <c r="A2371" s="268" t="n"/>
      <c r="D2371" s="268" t="n"/>
      <c r="G2371" s="268" t="n"/>
    </row>
    <row r="2372">
      <c r="A2372" s="268" t="n"/>
      <c r="D2372" s="268" t="n"/>
      <c r="G2372" s="268" t="n"/>
    </row>
    <row r="2373">
      <c r="A2373" s="268" t="n"/>
      <c r="D2373" s="268" t="n"/>
      <c r="G2373" s="268" t="n"/>
    </row>
    <row r="2374">
      <c r="A2374" s="268" t="n"/>
      <c r="D2374" s="268" t="n"/>
      <c r="G2374" s="268" t="n"/>
    </row>
    <row r="2375">
      <c r="A2375" s="268" t="n"/>
      <c r="D2375" s="268" t="n"/>
      <c r="G2375" s="268" t="n"/>
    </row>
    <row r="2376">
      <c r="A2376" s="268" t="n"/>
      <c r="D2376" s="268" t="n"/>
      <c r="G2376" s="268" t="n"/>
    </row>
    <row r="2377">
      <c r="A2377" s="268" t="n"/>
      <c r="D2377" s="268" t="n"/>
      <c r="G2377" s="268" t="n"/>
    </row>
    <row r="2378">
      <c r="A2378" s="268" t="n"/>
      <c r="D2378" s="268" t="n"/>
      <c r="G2378" s="268" t="n"/>
    </row>
    <row r="2379">
      <c r="A2379" s="268" t="n"/>
      <c r="D2379" s="268" t="n"/>
      <c r="G2379" s="268" t="n"/>
    </row>
    <row r="2380">
      <c r="A2380" s="268" t="n"/>
      <c r="D2380" s="268" t="n"/>
      <c r="G2380" s="268" t="n"/>
    </row>
    <row r="2381">
      <c r="A2381" s="268" t="n"/>
      <c r="D2381" s="268" t="n"/>
      <c r="G2381" s="268" t="n"/>
    </row>
    <row r="2382">
      <c r="A2382" s="268" t="n"/>
      <c r="D2382" s="268" t="n"/>
      <c r="G2382" s="268" t="n"/>
    </row>
    <row r="2383">
      <c r="A2383" s="268" t="n"/>
      <c r="D2383" s="268" t="n"/>
      <c r="G2383" s="268" t="n"/>
    </row>
    <row r="2384">
      <c r="A2384" s="268" t="n"/>
      <c r="D2384" s="268" t="n"/>
      <c r="G2384" s="268" t="n"/>
    </row>
    <row r="2385">
      <c r="A2385" s="268" t="n"/>
      <c r="D2385" s="268" t="n"/>
      <c r="G2385" s="268" t="n"/>
    </row>
    <row r="2386">
      <c r="A2386" s="268" t="n"/>
      <c r="D2386" s="268" t="n"/>
      <c r="G2386" s="268" t="n"/>
    </row>
    <row r="2387">
      <c r="A2387" s="268" t="n"/>
      <c r="D2387" s="268" t="n"/>
      <c r="G2387" s="268" t="n"/>
    </row>
    <row r="2388">
      <c r="A2388" s="268" t="n"/>
      <c r="D2388" s="268" t="n"/>
      <c r="G2388" s="268" t="n"/>
    </row>
    <row r="2389">
      <c r="A2389" s="268" t="n"/>
      <c r="D2389" s="268" t="n"/>
      <c r="G2389" s="268" t="n"/>
    </row>
    <row r="2390">
      <c r="A2390" s="268" t="n"/>
      <c r="D2390" s="268" t="n"/>
      <c r="G2390" s="268" t="n"/>
    </row>
    <row r="2391">
      <c r="A2391" s="268" t="n"/>
      <c r="D2391" s="268" t="n"/>
      <c r="G2391" s="268" t="n"/>
    </row>
    <row r="2392">
      <c r="A2392" s="268" t="n"/>
      <c r="D2392" s="268" t="n"/>
      <c r="G2392" s="268" t="n"/>
    </row>
    <row r="2393">
      <c r="A2393" s="268" t="n"/>
      <c r="D2393" s="268" t="n"/>
      <c r="G2393" s="268" t="n"/>
    </row>
    <row r="2394">
      <c r="A2394" s="268" t="n"/>
      <c r="D2394" s="268" t="n"/>
      <c r="G2394" s="268" t="n"/>
    </row>
    <row r="2395">
      <c r="A2395" s="268" t="n"/>
      <c r="D2395" s="268" t="n"/>
      <c r="G2395" s="268" t="n"/>
    </row>
    <row r="2396">
      <c r="A2396" s="268" t="n"/>
      <c r="D2396" s="268" t="n"/>
      <c r="G2396" s="268" t="n"/>
    </row>
    <row r="2397">
      <c r="A2397" s="268" t="n"/>
      <c r="D2397" s="268" t="n"/>
      <c r="G2397" s="268" t="n"/>
    </row>
    <row r="2398">
      <c r="A2398" s="268" t="n"/>
      <c r="D2398" s="268" t="n"/>
      <c r="G2398" s="268" t="n"/>
    </row>
    <row r="2399">
      <c r="A2399" s="268" t="n"/>
      <c r="D2399" s="268" t="n"/>
      <c r="G2399" s="268" t="n"/>
    </row>
    <row r="2400">
      <c r="A2400" s="268" t="n"/>
      <c r="D2400" s="268" t="n"/>
      <c r="G2400" s="268" t="n"/>
    </row>
    <row r="2401">
      <c r="A2401" s="268" t="n"/>
      <c r="D2401" s="268" t="n"/>
      <c r="G2401" s="268" t="n"/>
    </row>
    <row r="2402">
      <c r="A2402" s="268" t="n"/>
      <c r="D2402" s="268" t="n"/>
      <c r="G2402" s="268" t="n"/>
    </row>
    <row r="2403">
      <c r="A2403" s="268" t="n"/>
      <c r="D2403" s="268" t="n"/>
      <c r="G2403" s="268" t="n"/>
    </row>
    <row r="2404">
      <c r="A2404" s="268" t="n"/>
      <c r="D2404" s="268" t="n"/>
      <c r="G2404" s="268" t="n"/>
    </row>
    <row r="2405">
      <c r="A2405" s="268" t="n"/>
      <c r="D2405" s="268" t="n"/>
      <c r="G2405" s="268" t="n"/>
    </row>
    <row r="2406">
      <c r="A2406" s="268" t="n"/>
      <c r="D2406" s="268" t="n"/>
      <c r="G2406" s="268" t="n"/>
    </row>
    <row r="2407">
      <c r="A2407" s="268" t="n"/>
      <c r="D2407" s="268" t="n"/>
      <c r="G2407" s="268" t="n"/>
    </row>
    <row r="2408">
      <c r="A2408" s="268" t="n"/>
      <c r="D2408" s="268" t="n"/>
      <c r="G2408" s="268" t="n"/>
    </row>
    <row r="2409">
      <c r="A2409" s="268" t="n"/>
      <c r="D2409" s="268" t="n"/>
      <c r="G2409" s="268" t="n"/>
    </row>
    <row r="2410">
      <c r="A2410" s="268" t="n"/>
      <c r="D2410" s="268" t="n"/>
      <c r="G2410" s="268" t="n"/>
    </row>
    <row r="2411">
      <c r="A2411" s="268" t="n"/>
      <c r="D2411" s="268" t="n"/>
      <c r="G2411" s="268" t="n"/>
    </row>
    <row r="2412">
      <c r="A2412" s="268" t="n"/>
      <c r="D2412" s="268" t="n"/>
      <c r="G2412" s="268" t="n"/>
    </row>
    <row r="2413">
      <c r="A2413" s="268" t="n"/>
      <c r="D2413" s="268" t="n"/>
      <c r="G2413" s="268" t="n"/>
    </row>
    <row r="2414">
      <c r="A2414" s="268" t="n"/>
      <c r="D2414" s="268" t="n"/>
      <c r="G2414" s="268" t="n"/>
    </row>
    <row r="2415">
      <c r="A2415" s="268" t="n"/>
      <c r="D2415" s="268" t="n"/>
      <c r="G2415" s="268" t="n"/>
    </row>
    <row r="2416">
      <c r="A2416" s="268" t="n"/>
      <c r="D2416" s="268" t="n"/>
      <c r="G2416" s="268" t="n"/>
    </row>
    <row r="2417">
      <c r="A2417" s="268" t="n"/>
      <c r="D2417" s="268" t="n"/>
      <c r="G2417" s="268" t="n"/>
    </row>
    <row r="2418">
      <c r="A2418" s="268" t="n"/>
      <c r="D2418" s="268" t="n"/>
      <c r="G2418" s="268" t="n"/>
    </row>
    <row r="2419">
      <c r="A2419" s="268" t="n"/>
      <c r="D2419" s="268" t="n"/>
      <c r="G2419" s="268" t="n"/>
    </row>
    <row r="2420">
      <c r="A2420" s="268" t="n"/>
      <c r="D2420" s="268" t="n"/>
      <c r="G2420" s="268" t="n"/>
    </row>
    <row r="2421">
      <c r="A2421" s="268" t="n"/>
      <c r="D2421" s="268" t="n"/>
      <c r="G2421" s="268" t="n"/>
    </row>
    <row r="2422">
      <c r="A2422" s="268" t="n"/>
      <c r="D2422" s="268" t="n"/>
      <c r="G2422" s="268" t="n"/>
    </row>
    <row r="2423">
      <c r="A2423" s="268" t="n"/>
      <c r="D2423" s="268" t="n"/>
      <c r="G2423" s="268" t="n"/>
    </row>
    <row r="2424">
      <c r="A2424" s="268" t="n"/>
      <c r="D2424" s="268" t="n"/>
      <c r="G2424" s="268" t="n"/>
    </row>
    <row r="2425">
      <c r="A2425" s="268" t="n"/>
      <c r="D2425" s="268" t="n"/>
      <c r="G2425" s="268" t="n"/>
    </row>
    <row r="2426">
      <c r="A2426" s="268" t="n"/>
      <c r="D2426" s="268" t="n"/>
      <c r="G2426" s="268" t="n"/>
    </row>
    <row r="2427">
      <c r="A2427" s="268" t="n"/>
      <c r="D2427" s="268" t="n"/>
      <c r="G2427" s="268" t="n"/>
    </row>
    <row r="2428">
      <c r="A2428" s="268" t="n"/>
      <c r="D2428" s="268" t="n"/>
      <c r="G2428" s="268" t="n"/>
    </row>
    <row r="2429">
      <c r="A2429" s="268" t="n"/>
      <c r="D2429" s="268" t="n"/>
      <c r="G2429" s="268" t="n"/>
    </row>
    <row r="2430">
      <c r="A2430" s="268" t="n"/>
      <c r="D2430" s="268" t="n"/>
      <c r="G2430" s="268" t="n"/>
    </row>
    <row r="2431">
      <c r="A2431" s="268" t="n"/>
      <c r="D2431" s="268" t="n"/>
      <c r="G2431" s="268" t="n"/>
    </row>
    <row r="2432">
      <c r="A2432" s="268" t="n"/>
      <c r="D2432" s="268" t="n"/>
      <c r="G2432" s="268" t="n"/>
    </row>
    <row r="2433">
      <c r="A2433" s="268" t="n"/>
      <c r="D2433" s="268" t="n"/>
      <c r="G2433" s="268" t="n"/>
    </row>
    <row r="2434">
      <c r="A2434" s="268" t="n"/>
      <c r="D2434" s="268" t="n"/>
      <c r="G2434" s="268" t="n"/>
    </row>
    <row r="2435">
      <c r="A2435" s="268" t="n"/>
      <c r="D2435" s="268" t="n"/>
      <c r="G2435" s="268" t="n"/>
    </row>
    <row r="2436">
      <c r="A2436" s="268" t="n"/>
      <c r="D2436" s="268" t="n"/>
      <c r="G2436" s="268" t="n"/>
    </row>
    <row r="2437">
      <c r="A2437" s="268" t="n"/>
      <c r="D2437" s="268" t="n"/>
      <c r="G2437" s="268" t="n"/>
    </row>
    <row r="2438">
      <c r="A2438" s="268" t="n"/>
      <c r="D2438" s="268" t="n"/>
      <c r="G2438" s="268" t="n"/>
    </row>
    <row r="2439">
      <c r="A2439" s="268" t="n"/>
      <c r="D2439" s="268" t="n"/>
      <c r="G2439" s="268" t="n"/>
    </row>
    <row r="2440">
      <c r="A2440" s="268" t="n"/>
      <c r="D2440" s="268" t="n"/>
      <c r="G2440" s="268" t="n"/>
    </row>
    <row r="2441">
      <c r="A2441" s="268" t="n"/>
      <c r="D2441" s="268" t="n"/>
      <c r="G2441" s="268" t="n"/>
    </row>
    <row r="2442">
      <c r="A2442" s="268" t="n"/>
      <c r="D2442" s="268" t="n"/>
      <c r="G2442" s="268" t="n"/>
    </row>
    <row r="2443">
      <c r="A2443" s="268" t="n"/>
      <c r="D2443" s="268" t="n"/>
      <c r="G2443" s="268" t="n"/>
    </row>
    <row r="2444">
      <c r="A2444" s="268" t="n"/>
      <c r="D2444" s="268" t="n"/>
      <c r="G2444" s="268" t="n"/>
    </row>
    <row r="2445">
      <c r="A2445" s="268" t="n"/>
      <c r="D2445" s="268" t="n"/>
      <c r="G2445" s="268" t="n"/>
    </row>
    <row r="2446">
      <c r="A2446" s="268" t="n"/>
      <c r="D2446" s="268" t="n"/>
      <c r="G2446" s="268" t="n"/>
    </row>
    <row r="2447">
      <c r="A2447" s="268" t="n"/>
      <c r="D2447" s="268" t="n"/>
      <c r="G2447" s="268" t="n"/>
    </row>
    <row r="2448">
      <c r="A2448" s="268" t="n"/>
      <c r="D2448" s="268" t="n"/>
      <c r="G2448" s="268" t="n"/>
    </row>
    <row r="2449">
      <c r="A2449" s="268" t="n"/>
      <c r="D2449" s="268" t="n"/>
      <c r="G2449" s="268" t="n"/>
    </row>
    <row r="2450">
      <c r="A2450" s="268" t="n"/>
      <c r="D2450" s="268" t="n"/>
      <c r="G2450" s="268" t="n"/>
    </row>
    <row r="2451">
      <c r="A2451" s="268" t="n"/>
      <c r="D2451" s="268" t="n"/>
      <c r="G2451" s="268" t="n"/>
    </row>
    <row r="2452">
      <c r="A2452" s="268" t="n"/>
      <c r="D2452" s="268" t="n"/>
      <c r="G2452" s="268" t="n"/>
    </row>
    <row r="2453">
      <c r="A2453" s="268" t="n"/>
      <c r="D2453" s="268" t="n"/>
      <c r="G2453" s="268" t="n"/>
    </row>
    <row r="2454">
      <c r="A2454" s="268" t="n"/>
      <c r="D2454" s="268" t="n"/>
      <c r="G2454" s="268" t="n"/>
    </row>
    <row r="2455">
      <c r="A2455" s="268" t="n"/>
      <c r="D2455" s="268" t="n"/>
      <c r="G2455" s="268" t="n"/>
    </row>
    <row r="2456">
      <c r="A2456" s="268" t="n"/>
      <c r="D2456" s="268" t="n"/>
      <c r="G2456" s="268" t="n"/>
    </row>
    <row r="2457">
      <c r="A2457" s="268" t="n"/>
      <c r="D2457" s="268" t="n"/>
      <c r="G2457" s="268" t="n"/>
    </row>
    <row r="2458">
      <c r="A2458" s="268" t="n"/>
      <c r="D2458" s="268" t="n"/>
      <c r="G2458" s="268" t="n"/>
    </row>
    <row r="2459">
      <c r="A2459" s="268" t="n"/>
      <c r="D2459" s="268" t="n"/>
      <c r="G2459" s="268" t="n"/>
    </row>
    <row r="2460">
      <c r="A2460" s="268" t="n"/>
      <c r="D2460" s="268" t="n"/>
      <c r="G2460" s="268" t="n"/>
    </row>
    <row r="2461">
      <c r="A2461" s="268" t="n"/>
      <c r="D2461" s="268" t="n"/>
      <c r="G2461" s="268" t="n"/>
    </row>
    <row r="2462">
      <c r="A2462" s="268" t="n"/>
      <c r="D2462" s="268" t="n"/>
      <c r="G2462" s="268" t="n"/>
    </row>
    <row r="2463">
      <c r="A2463" s="268" t="n"/>
      <c r="D2463" s="268" t="n"/>
      <c r="G2463" s="268" t="n"/>
    </row>
    <row r="2464">
      <c r="A2464" s="268" t="n"/>
      <c r="D2464" s="268" t="n"/>
      <c r="G2464" s="268" t="n"/>
    </row>
    <row r="2465">
      <c r="A2465" s="268" t="n"/>
      <c r="D2465" s="268" t="n"/>
      <c r="G2465" s="268" t="n"/>
    </row>
    <row r="2466">
      <c r="A2466" s="268" t="n"/>
      <c r="D2466" s="268" t="n"/>
      <c r="G2466" s="268" t="n"/>
    </row>
    <row r="2467">
      <c r="A2467" s="268" t="n"/>
      <c r="D2467" s="268" t="n"/>
      <c r="G2467" s="268" t="n"/>
    </row>
    <row r="2468">
      <c r="A2468" s="268" t="n"/>
      <c r="D2468" s="268" t="n"/>
      <c r="G2468" s="268" t="n"/>
    </row>
    <row r="2469">
      <c r="A2469" s="268" t="n"/>
      <c r="D2469" s="268" t="n"/>
      <c r="G2469" s="268" t="n"/>
    </row>
    <row r="2470">
      <c r="A2470" s="268" t="n"/>
      <c r="D2470" s="268" t="n"/>
      <c r="G2470" s="268" t="n"/>
    </row>
    <row r="2471">
      <c r="A2471" s="268" t="n"/>
      <c r="D2471" s="268" t="n"/>
      <c r="G2471" s="268" t="n"/>
    </row>
    <row r="2472">
      <c r="A2472" s="268" t="n"/>
      <c r="D2472" s="268" t="n"/>
      <c r="G2472" s="268" t="n"/>
    </row>
    <row r="2473">
      <c r="A2473" s="268" t="n"/>
      <c r="D2473" s="268" t="n"/>
      <c r="G2473" s="268" t="n"/>
    </row>
    <row r="2474">
      <c r="A2474" s="268" t="n"/>
      <c r="D2474" s="268" t="n"/>
      <c r="G2474" s="268" t="n"/>
    </row>
    <row r="2475">
      <c r="A2475" s="268" t="n"/>
      <c r="D2475" s="268" t="n"/>
      <c r="G2475" s="268" t="n"/>
    </row>
    <row r="2476">
      <c r="A2476" s="268" t="n"/>
      <c r="D2476" s="268" t="n"/>
      <c r="G2476" s="268" t="n"/>
    </row>
    <row r="2477">
      <c r="A2477" s="268" t="n"/>
      <c r="D2477" s="268" t="n"/>
      <c r="G2477" s="268" t="n"/>
    </row>
    <row r="2478">
      <c r="A2478" s="268" t="n"/>
      <c r="D2478" s="268" t="n"/>
      <c r="G2478" s="268" t="n"/>
    </row>
    <row r="2479">
      <c r="A2479" s="268" t="n"/>
      <c r="D2479" s="268" t="n"/>
      <c r="G2479" s="268" t="n"/>
    </row>
    <row r="2480">
      <c r="A2480" s="268" t="n"/>
      <c r="D2480" s="268" t="n"/>
      <c r="G2480" s="268" t="n"/>
    </row>
    <row r="2481">
      <c r="A2481" s="268" t="n"/>
      <c r="D2481" s="268" t="n"/>
      <c r="G2481" s="268" t="n"/>
    </row>
    <row r="2482">
      <c r="A2482" s="268" t="n"/>
      <c r="D2482" s="268" t="n"/>
      <c r="G2482" s="268" t="n"/>
    </row>
    <row r="2483">
      <c r="A2483" s="268" t="n"/>
      <c r="D2483" s="268" t="n"/>
      <c r="G2483" s="268" t="n"/>
    </row>
    <row r="2484">
      <c r="A2484" s="268" t="n"/>
      <c r="D2484" s="268" t="n"/>
      <c r="G2484" s="268" t="n"/>
    </row>
    <row r="2485">
      <c r="A2485" s="268" t="n"/>
      <c r="D2485" s="268" t="n"/>
      <c r="G2485" s="268" t="n"/>
    </row>
    <row r="2486">
      <c r="A2486" s="268" t="n"/>
      <c r="D2486" s="268" t="n"/>
      <c r="G2486" s="268" t="n"/>
    </row>
    <row r="2487">
      <c r="A2487" s="268" t="n"/>
      <c r="D2487" s="268" t="n"/>
      <c r="G2487" s="268" t="n"/>
    </row>
    <row r="2488">
      <c r="A2488" s="268" t="n"/>
      <c r="D2488" s="268" t="n"/>
      <c r="G2488" s="268" t="n"/>
    </row>
    <row r="2489">
      <c r="A2489" s="268" t="n"/>
      <c r="D2489" s="268" t="n"/>
      <c r="G2489" s="268" t="n"/>
    </row>
    <row r="2490">
      <c r="A2490" s="268" t="n"/>
      <c r="D2490" s="268" t="n"/>
      <c r="G2490" s="268" t="n"/>
    </row>
    <row r="2491">
      <c r="A2491" s="268" t="n"/>
      <c r="D2491" s="268" t="n"/>
      <c r="G2491" s="268" t="n"/>
    </row>
    <row r="2492">
      <c r="A2492" s="268" t="n"/>
      <c r="D2492" s="268" t="n"/>
      <c r="G2492" s="268" t="n"/>
    </row>
    <row r="2493">
      <c r="A2493" s="268" t="n"/>
      <c r="D2493" s="268" t="n"/>
      <c r="G2493" s="268" t="n"/>
    </row>
    <row r="2494">
      <c r="A2494" s="268" t="n"/>
      <c r="D2494" s="268" t="n"/>
      <c r="G2494" s="268" t="n"/>
    </row>
    <row r="2495">
      <c r="A2495" s="268" t="n"/>
      <c r="D2495" s="268" t="n"/>
      <c r="G2495" s="268" t="n"/>
    </row>
    <row r="2496">
      <c r="A2496" s="268" t="n"/>
      <c r="D2496" s="268" t="n"/>
      <c r="G2496" s="268" t="n"/>
    </row>
    <row r="2497">
      <c r="A2497" s="268" t="n"/>
      <c r="D2497" s="268" t="n"/>
      <c r="G2497" s="268" t="n"/>
    </row>
    <row r="2498">
      <c r="A2498" s="268" t="n"/>
      <c r="D2498" s="268" t="n"/>
      <c r="G2498" s="268" t="n"/>
    </row>
    <row r="2499">
      <c r="A2499" s="268" t="n"/>
      <c r="D2499" s="268" t="n"/>
      <c r="G2499" s="268" t="n"/>
    </row>
    <row r="2500">
      <c r="A2500" s="268" t="n"/>
      <c r="D2500" s="268" t="n"/>
      <c r="G2500" s="268" t="n"/>
    </row>
    <row r="2501">
      <c r="A2501" s="268" t="n"/>
      <c r="D2501" s="268" t="n"/>
      <c r="G2501" s="268" t="n"/>
    </row>
    <row r="2502">
      <c r="A2502" s="268" t="n"/>
      <c r="D2502" s="268" t="n"/>
      <c r="G2502" s="268" t="n"/>
    </row>
    <row r="2503">
      <c r="A2503" s="268" t="n"/>
      <c r="D2503" s="268" t="n"/>
      <c r="G2503" s="268" t="n"/>
    </row>
    <row r="2504">
      <c r="A2504" s="268" t="n"/>
      <c r="D2504" s="268" t="n"/>
      <c r="G2504" s="268" t="n"/>
    </row>
    <row r="2505">
      <c r="A2505" s="268" t="n"/>
      <c r="D2505" s="268" t="n"/>
      <c r="G2505" s="268" t="n"/>
    </row>
    <row r="2506">
      <c r="A2506" s="268" t="n"/>
      <c r="D2506" s="268" t="n"/>
      <c r="G2506" s="268" t="n"/>
    </row>
    <row r="2507">
      <c r="A2507" s="268" t="n"/>
      <c r="D2507" s="268" t="n"/>
      <c r="G2507" s="268" t="n"/>
    </row>
    <row r="2508">
      <c r="A2508" s="268" t="n"/>
      <c r="D2508" s="268" t="n"/>
      <c r="G2508" s="268" t="n"/>
    </row>
    <row r="2509">
      <c r="A2509" s="268" t="n"/>
      <c r="D2509" s="268" t="n"/>
      <c r="G2509" s="268" t="n"/>
    </row>
    <row r="2510">
      <c r="A2510" s="268" t="n"/>
      <c r="D2510" s="268" t="n"/>
      <c r="G2510" s="268" t="n"/>
    </row>
    <row r="2511">
      <c r="A2511" s="268" t="n"/>
      <c r="D2511" s="268" t="n"/>
      <c r="G2511" s="268" t="n"/>
    </row>
    <row r="2512">
      <c r="A2512" s="268" t="n"/>
      <c r="D2512" s="268" t="n"/>
      <c r="G2512" s="268" t="n"/>
    </row>
    <row r="2513">
      <c r="A2513" s="268" t="n"/>
      <c r="D2513" s="268" t="n"/>
      <c r="G2513" s="268" t="n"/>
    </row>
    <row r="2514">
      <c r="A2514" s="268" t="n"/>
      <c r="D2514" s="268" t="n"/>
      <c r="G2514" s="268" t="n"/>
    </row>
    <row r="2515">
      <c r="A2515" s="268" t="n"/>
      <c r="D2515" s="268" t="n"/>
      <c r="G2515" s="268" t="n"/>
    </row>
    <row r="2516">
      <c r="A2516" s="268" t="n"/>
      <c r="D2516" s="268" t="n"/>
      <c r="G2516" s="268" t="n"/>
    </row>
    <row r="2517">
      <c r="A2517" s="268" t="n"/>
      <c r="D2517" s="268" t="n"/>
      <c r="G2517" s="268" t="n"/>
    </row>
    <row r="2518">
      <c r="A2518" s="268" t="n"/>
      <c r="D2518" s="268" t="n"/>
      <c r="G2518" s="268" t="n"/>
    </row>
    <row r="2519">
      <c r="A2519" s="268" t="n"/>
      <c r="D2519" s="268" t="n"/>
      <c r="G2519" s="268" t="n"/>
    </row>
    <row r="2520">
      <c r="A2520" s="268" t="n"/>
      <c r="D2520" s="268" t="n"/>
      <c r="G2520" s="268" t="n"/>
    </row>
    <row r="2521">
      <c r="A2521" s="268" t="n"/>
      <c r="D2521" s="268" t="n"/>
      <c r="G2521" s="268" t="n"/>
    </row>
    <row r="2522">
      <c r="A2522" s="268" t="n"/>
      <c r="D2522" s="268" t="n"/>
      <c r="G2522" s="268" t="n"/>
    </row>
    <row r="2523">
      <c r="A2523" s="268" t="n"/>
      <c r="D2523" s="268" t="n"/>
      <c r="G2523" s="268" t="n"/>
    </row>
    <row r="2524">
      <c r="A2524" s="268" t="n"/>
      <c r="D2524" s="268" t="n"/>
      <c r="G2524" s="268" t="n"/>
    </row>
    <row r="2525">
      <c r="A2525" s="268" t="n"/>
      <c r="D2525" s="268" t="n"/>
      <c r="G2525" s="268" t="n"/>
    </row>
    <row r="2526">
      <c r="A2526" s="268" t="n"/>
      <c r="D2526" s="268" t="n"/>
      <c r="G2526" s="268" t="n"/>
    </row>
    <row r="2527">
      <c r="A2527" s="268" t="n"/>
      <c r="D2527" s="268" t="n"/>
      <c r="G2527" s="268" t="n"/>
    </row>
    <row r="2528">
      <c r="A2528" s="268" t="n"/>
      <c r="D2528" s="268" t="n"/>
      <c r="G2528" s="268" t="n"/>
    </row>
    <row r="2529">
      <c r="A2529" s="268" t="n"/>
      <c r="D2529" s="268" t="n"/>
      <c r="G2529" s="268" t="n"/>
    </row>
    <row r="2530">
      <c r="A2530" s="268" t="n"/>
      <c r="D2530" s="268" t="n"/>
      <c r="G2530" s="268" t="n"/>
    </row>
    <row r="2531">
      <c r="A2531" s="268" t="n"/>
      <c r="D2531" s="268" t="n"/>
      <c r="G2531" s="268" t="n"/>
    </row>
    <row r="2532">
      <c r="A2532" s="268" t="n"/>
      <c r="D2532" s="268" t="n"/>
      <c r="G2532" s="268" t="n"/>
    </row>
    <row r="2533">
      <c r="A2533" s="268" t="n"/>
      <c r="D2533" s="268" t="n"/>
      <c r="G2533" s="268" t="n"/>
    </row>
    <row r="2534">
      <c r="A2534" s="268" t="n"/>
      <c r="D2534" s="268" t="n"/>
      <c r="G2534" s="268" t="n"/>
    </row>
    <row r="2535">
      <c r="A2535" s="268" t="n"/>
      <c r="D2535" s="268" t="n"/>
      <c r="G2535" s="268" t="n"/>
    </row>
    <row r="2536">
      <c r="A2536" s="268" t="n"/>
      <c r="D2536" s="268" t="n"/>
      <c r="G2536" s="268" t="n"/>
    </row>
    <row r="2537">
      <c r="A2537" s="268" t="n"/>
      <c r="D2537" s="268" t="n"/>
      <c r="G2537" s="268" t="n"/>
    </row>
    <row r="2538">
      <c r="A2538" s="268" t="n"/>
      <c r="D2538" s="268" t="n"/>
      <c r="G2538" s="268" t="n"/>
    </row>
    <row r="2539">
      <c r="A2539" s="268" t="n"/>
      <c r="D2539" s="268" t="n"/>
      <c r="G2539" s="268" t="n"/>
    </row>
    <row r="2540">
      <c r="A2540" s="268" t="n"/>
      <c r="D2540" s="268" t="n"/>
      <c r="G2540" s="268" t="n"/>
    </row>
    <row r="2541">
      <c r="A2541" s="268" t="n"/>
      <c r="D2541" s="268" t="n"/>
      <c r="G2541" s="268" t="n"/>
    </row>
    <row r="2542">
      <c r="A2542" s="268" t="n"/>
      <c r="D2542" s="268" t="n"/>
      <c r="G2542" s="268" t="n"/>
    </row>
    <row r="2543">
      <c r="A2543" s="268" t="n"/>
      <c r="D2543" s="268" t="n"/>
      <c r="G2543" s="268" t="n"/>
    </row>
    <row r="2544">
      <c r="A2544" s="268" t="n"/>
      <c r="D2544" s="268" t="n"/>
      <c r="G2544" s="268" t="n"/>
    </row>
    <row r="2545">
      <c r="A2545" s="268" t="n"/>
      <c r="D2545" s="268" t="n"/>
      <c r="G2545" s="268" t="n"/>
    </row>
    <row r="2546">
      <c r="A2546" s="268" t="n"/>
      <c r="D2546" s="268" t="n"/>
      <c r="G2546" s="268" t="n"/>
    </row>
    <row r="2547">
      <c r="A2547" s="268" t="n"/>
      <c r="D2547" s="268" t="n"/>
      <c r="G2547" s="268" t="n"/>
    </row>
    <row r="2548">
      <c r="A2548" s="268" t="n"/>
      <c r="D2548" s="268" t="n"/>
      <c r="G2548" s="268" t="n"/>
    </row>
    <row r="2549">
      <c r="A2549" s="268" t="n"/>
      <c r="D2549" s="268" t="n"/>
      <c r="G2549" s="268" t="n"/>
    </row>
    <row r="2550">
      <c r="A2550" s="268" t="n"/>
      <c r="D2550" s="268" t="n"/>
      <c r="G2550" s="268" t="n"/>
    </row>
    <row r="2551">
      <c r="A2551" s="268" t="n"/>
      <c r="D2551" s="268" t="n"/>
      <c r="G2551" s="268" t="n"/>
    </row>
    <row r="2552">
      <c r="A2552" s="268" t="n"/>
      <c r="D2552" s="268" t="n"/>
      <c r="G2552" s="268" t="n"/>
    </row>
    <row r="2553">
      <c r="A2553" s="268" t="n"/>
      <c r="D2553" s="268" t="n"/>
      <c r="G2553" s="268" t="n"/>
    </row>
    <row r="2554">
      <c r="A2554" s="268" t="n"/>
      <c r="D2554" s="268" t="n"/>
      <c r="G2554" s="268" t="n"/>
    </row>
    <row r="2555">
      <c r="A2555" s="268" t="n"/>
      <c r="D2555" s="268" t="n"/>
      <c r="G2555" s="268" t="n"/>
    </row>
    <row r="2556">
      <c r="A2556" s="268" t="n"/>
      <c r="D2556" s="268" t="n"/>
      <c r="G2556" s="268" t="n"/>
    </row>
    <row r="2557">
      <c r="A2557" s="268" t="n"/>
      <c r="D2557" s="268" t="n"/>
      <c r="G2557" s="268" t="n"/>
    </row>
    <row r="2558">
      <c r="A2558" s="268" t="n"/>
      <c r="D2558" s="268" t="n"/>
      <c r="G2558" s="268" t="n"/>
    </row>
    <row r="2559">
      <c r="A2559" s="268" t="n"/>
      <c r="D2559" s="268" t="n"/>
      <c r="G2559" s="268" t="n"/>
    </row>
    <row r="2560">
      <c r="A2560" s="268" t="n"/>
      <c r="D2560" s="268" t="n"/>
      <c r="G2560" s="268" t="n"/>
    </row>
    <row r="2561">
      <c r="A2561" s="268" t="n"/>
      <c r="D2561" s="268" t="n"/>
      <c r="G2561" s="268" t="n"/>
    </row>
    <row r="2562">
      <c r="A2562" s="268" t="n"/>
      <c r="D2562" s="268" t="n"/>
      <c r="G2562" s="268" t="n"/>
    </row>
    <row r="2563">
      <c r="A2563" s="268" t="n"/>
      <c r="D2563" s="268" t="n"/>
      <c r="G2563" s="268" t="n"/>
    </row>
    <row r="2564">
      <c r="A2564" s="268" t="n"/>
      <c r="D2564" s="268" t="n"/>
      <c r="G2564" s="268" t="n"/>
    </row>
    <row r="2565">
      <c r="A2565" s="268" t="n"/>
      <c r="D2565" s="268" t="n"/>
      <c r="G2565" s="268" t="n"/>
    </row>
    <row r="2566">
      <c r="A2566" s="268" t="n"/>
      <c r="D2566" s="268" t="n"/>
      <c r="G2566" s="268" t="n"/>
    </row>
    <row r="2567">
      <c r="A2567" s="268" t="n"/>
      <c r="D2567" s="268" t="n"/>
      <c r="G2567" s="268" t="n"/>
    </row>
    <row r="2568">
      <c r="A2568" s="268" t="n"/>
      <c r="D2568" s="268" t="n"/>
      <c r="G2568" s="268" t="n"/>
    </row>
    <row r="2569">
      <c r="A2569" s="268" t="n"/>
      <c r="D2569" s="268" t="n"/>
      <c r="G2569" s="268" t="n"/>
    </row>
    <row r="2570">
      <c r="A2570" s="268" t="n"/>
      <c r="D2570" s="268" t="n"/>
      <c r="G2570" s="268" t="n"/>
    </row>
    <row r="2571">
      <c r="A2571" s="268" t="n"/>
      <c r="D2571" s="268" t="n"/>
      <c r="G2571" s="268" t="n"/>
    </row>
    <row r="2572">
      <c r="A2572" s="268" t="n"/>
      <c r="D2572" s="268" t="n"/>
      <c r="G2572" s="268" t="n"/>
    </row>
    <row r="2573">
      <c r="A2573" s="268" t="n"/>
      <c r="D2573" s="268" t="n"/>
      <c r="G2573" s="268" t="n"/>
    </row>
    <row r="2574">
      <c r="A2574" s="268" t="n"/>
      <c r="D2574" s="268" t="n"/>
      <c r="G2574" s="268" t="n"/>
    </row>
    <row r="2575">
      <c r="A2575" s="268" t="n"/>
      <c r="D2575" s="268" t="n"/>
      <c r="G2575" s="268" t="n"/>
    </row>
    <row r="2576">
      <c r="A2576" s="268" t="n"/>
      <c r="D2576" s="268" t="n"/>
      <c r="G2576" s="268" t="n"/>
    </row>
    <row r="2577">
      <c r="A2577" s="268" t="n"/>
      <c r="D2577" s="268" t="n"/>
      <c r="G2577" s="268" t="n"/>
    </row>
    <row r="2578">
      <c r="A2578" s="268" t="n"/>
      <c r="D2578" s="268" t="n"/>
      <c r="G2578" s="268" t="n"/>
    </row>
    <row r="2579">
      <c r="A2579" s="268" t="n"/>
      <c r="D2579" s="268" t="n"/>
      <c r="G2579" s="268" t="n"/>
    </row>
    <row r="2580">
      <c r="A2580" s="268" t="n"/>
      <c r="D2580" s="268" t="n"/>
      <c r="G2580" s="268" t="n"/>
    </row>
    <row r="2581">
      <c r="A2581" s="268" t="n"/>
      <c r="D2581" s="268" t="n"/>
      <c r="G2581" s="268" t="n"/>
    </row>
    <row r="2582">
      <c r="A2582" s="268" t="n"/>
      <c r="D2582" s="268" t="n"/>
      <c r="G2582" s="268" t="n"/>
    </row>
    <row r="2583">
      <c r="A2583" s="268" t="n"/>
      <c r="D2583" s="268" t="n"/>
      <c r="G2583" s="268" t="n"/>
    </row>
    <row r="2584">
      <c r="A2584" s="268" t="n"/>
      <c r="D2584" s="268" t="n"/>
      <c r="G2584" s="268" t="n"/>
    </row>
    <row r="2585">
      <c r="A2585" s="268" t="n"/>
      <c r="D2585" s="268" t="n"/>
      <c r="G2585" s="268" t="n"/>
    </row>
    <row r="2586">
      <c r="A2586" s="268" t="n"/>
      <c r="D2586" s="268" t="n"/>
      <c r="G2586" s="268" t="n"/>
    </row>
    <row r="2587">
      <c r="A2587" s="268" t="n"/>
      <c r="D2587" s="268" t="n"/>
      <c r="G2587" s="268" t="n"/>
    </row>
    <row r="2588">
      <c r="A2588" s="268" t="n"/>
      <c r="D2588" s="268" t="n"/>
      <c r="G2588" s="268" t="n"/>
    </row>
    <row r="2589">
      <c r="A2589" s="268" t="n"/>
      <c r="D2589" s="268" t="n"/>
      <c r="G2589" s="268" t="n"/>
    </row>
    <row r="2590">
      <c r="A2590" s="268" t="n"/>
      <c r="D2590" s="268" t="n"/>
      <c r="G2590" s="268" t="n"/>
    </row>
    <row r="2591">
      <c r="A2591" s="268" t="n"/>
      <c r="D2591" s="268" t="n"/>
      <c r="G2591" s="268" t="n"/>
    </row>
    <row r="2592">
      <c r="A2592" s="268" t="n"/>
      <c r="D2592" s="268" t="n"/>
      <c r="G2592" s="268" t="n"/>
    </row>
    <row r="2593">
      <c r="A2593" s="268" t="n"/>
      <c r="D2593" s="268" t="n"/>
      <c r="G2593" s="268" t="n"/>
    </row>
    <row r="2594">
      <c r="A2594" s="268" t="n"/>
      <c r="D2594" s="268" t="n"/>
      <c r="G2594" s="268" t="n"/>
    </row>
    <row r="2595">
      <c r="A2595" s="268" t="n"/>
      <c r="D2595" s="268" t="n"/>
      <c r="G2595" s="268" t="n"/>
    </row>
    <row r="2596">
      <c r="A2596" s="268" t="n"/>
      <c r="D2596" s="268" t="n"/>
      <c r="G2596" s="268" t="n"/>
    </row>
    <row r="2597">
      <c r="A2597" s="268" t="n"/>
      <c r="D2597" s="268" t="n"/>
      <c r="G2597" s="268" t="n"/>
    </row>
    <row r="2598">
      <c r="A2598" s="268" t="n"/>
      <c r="D2598" s="268" t="n"/>
      <c r="G2598" s="268" t="n"/>
    </row>
    <row r="2599">
      <c r="A2599" s="268" t="n"/>
      <c r="D2599" s="268" t="n"/>
      <c r="G2599" s="268" t="n"/>
    </row>
    <row r="2600">
      <c r="A2600" s="268" t="n"/>
      <c r="D2600" s="268" t="n"/>
      <c r="G2600" s="268" t="n"/>
    </row>
    <row r="2601">
      <c r="A2601" s="268" t="n"/>
      <c r="D2601" s="268" t="n"/>
      <c r="G2601" s="268" t="n"/>
    </row>
    <row r="2602">
      <c r="A2602" s="268" t="n"/>
      <c r="D2602" s="268" t="n"/>
      <c r="G2602" s="268" t="n"/>
    </row>
    <row r="2603">
      <c r="A2603" s="268" t="n"/>
      <c r="D2603" s="268" t="n"/>
      <c r="G2603" s="268" t="n"/>
    </row>
    <row r="2604">
      <c r="A2604" s="268" t="n"/>
      <c r="D2604" s="268" t="n"/>
      <c r="G2604" s="268" t="n"/>
    </row>
    <row r="2605">
      <c r="A2605" s="268" t="n"/>
      <c r="D2605" s="268" t="n"/>
      <c r="G2605" s="268" t="n"/>
    </row>
    <row r="2606">
      <c r="A2606" s="268" t="n"/>
      <c r="D2606" s="268" t="n"/>
      <c r="G2606" s="268" t="n"/>
    </row>
    <row r="2607">
      <c r="A2607" s="268" t="n"/>
      <c r="D2607" s="268" t="n"/>
      <c r="G2607" s="268" t="n"/>
    </row>
    <row r="2608">
      <c r="A2608" s="268" t="n"/>
      <c r="D2608" s="268" t="n"/>
      <c r="G2608" s="268" t="n"/>
    </row>
    <row r="2609">
      <c r="A2609" s="268" t="n"/>
      <c r="D2609" s="268" t="n"/>
      <c r="G2609" s="268" t="n"/>
    </row>
    <row r="2610">
      <c r="A2610" s="268" t="n"/>
      <c r="D2610" s="268" t="n"/>
      <c r="G2610" s="268" t="n"/>
    </row>
    <row r="2611">
      <c r="A2611" s="268" t="n"/>
      <c r="D2611" s="268" t="n"/>
      <c r="G2611" s="268" t="n"/>
    </row>
    <row r="2612">
      <c r="A2612" s="268" t="n"/>
      <c r="D2612" s="268" t="n"/>
      <c r="G2612" s="268" t="n"/>
    </row>
    <row r="2613">
      <c r="A2613" s="268" t="n"/>
      <c r="D2613" s="268" t="n"/>
      <c r="G2613" s="268" t="n"/>
    </row>
    <row r="2614">
      <c r="A2614" s="268" t="n"/>
      <c r="D2614" s="268" t="n"/>
      <c r="G2614" s="268" t="n"/>
    </row>
    <row r="2615">
      <c r="A2615" s="268" t="n"/>
      <c r="D2615" s="268" t="n"/>
      <c r="G2615" s="268" t="n"/>
    </row>
    <row r="2616">
      <c r="A2616" s="268" t="n"/>
      <c r="D2616" s="268" t="n"/>
      <c r="G2616" s="268" t="n"/>
    </row>
    <row r="2617">
      <c r="A2617" s="268" t="n"/>
      <c r="D2617" s="268" t="n"/>
      <c r="G2617" s="268" t="n"/>
    </row>
    <row r="2618">
      <c r="A2618" s="268" t="n"/>
      <c r="D2618" s="268" t="n"/>
      <c r="G2618" s="268" t="n"/>
    </row>
    <row r="2619">
      <c r="A2619" s="268" t="n"/>
      <c r="D2619" s="268" t="n"/>
      <c r="G2619" s="268" t="n"/>
    </row>
    <row r="2620">
      <c r="A2620" s="268" t="n"/>
      <c r="D2620" s="268" t="n"/>
      <c r="G2620" s="268" t="n"/>
    </row>
    <row r="2621">
      <c r="A2621" s="268" t="n"/>
      <c r="D2621" s="268" t="n"/>
      <c r="G2621" s="268" t="n"/>
    </row>
    <row r="2622">
      <c r="A2622" s="268" t="n"/>
      <c r="D2622" s="268" t="n"/>
      <c r="G2622" s="268" t="n"/>
    </row>
    <row r="2623">
      <c r="A2623" s="268" t="n"/>
      <c r="D2623" s="268" t="n"/>
      <c r="G2623" s="268" t="n"/>
    </row>
    <row r="2624">
      <c r="A2624" s="268" t="n"/>
      <c r="D2624" s="268" t="n"/>
      <c r="G2624" s="268" t="n"/>
    </row>
    <row r="2625">
      <c r="A2625" s="268" t="n"/>
      <c r="D2625" s="268" t="n"/>
      <c r="G2625" s="268" t="n"/>
    </row>
    <row r="2626">
      <c r="A2626" s="268" t="n"/>
      <c r="D2626" s="268" t="n"/>
      <c r="G2626" s="268" t="n"/>
    </row>
    <row r="2627">
      <c r="A2627" s="268" t="n"/>
      <c r="D2627" s="268" t="n"/>
      <c r="G2627" s="268" t="n"/>
    </row>
    <row r="2628">
      <c r="A2628" s="268" t="n"/>
      <c r="D2628" s="268" t="n"/>
      <c r="G2628" s="268" t="n"/>
    </row>
    <row r="2629">
      <c r="A2629" s="268" t="n"/>
      <c r="D2629" s="268" t="n"/>
      <c r="G2629" s="268" t="n"/>
    </row>
    <row r="2630">
      <c r="A2630" s="268" t="n"/>
      <c r="D2630" s="268" t="n"/>
      <c r="G2630" s="268" t="n"/>
    </row>
    <row r="2631">
      <c r="A2631" s="268" t="n"/>
      <c r="D2631" s="268" t="n"/>
      <c r="G2631" s="268" t="n"/>
    </row>
    <row r="2632">
      <c r="A2632" s="268" t="n"/>
      <c r="D2632" s="268" t="n"/>
      <c r="G2632" s="268" t="n"/>
    </row>
    <row r="2633">
      <c r="A2633" s="268" t="n"/>
      <c r="D2633" s="268" t="n"/>
      <c r="G2633" s="268" t="n"/>
    </row>
    <row r="2634">
      <c r="A2634" s="268" t="n"/>
      <c r="D2634" s="268" t="n"/>
      <c r="G2634" s="268" t="n"/>
    </row>
    <row r="2635">
      <c r="A2635" s="268" t="n"/>
      <c r="D2635" s="268" t="n"/>
      <c r="G2635" s="268" t="n"/>
    </row>
    <row r="2636">
      <c r="A2636" s="268" t="n"/>
      <c r="D2636" s="268" t="n"/>
      <c r="G2636" s="268" t="n"/>
    </row>
    <row r="2637">
      <c r="A2637" s="268" t="n"/>
      <c r="D2637" s="268" t="n"/>
      <c r="G2637" s="268" t="n"/>
    </row>
    <row r="2638">
      <c r="A2638" s="268" t="n"/>
      <c r="D2638" s="268" t="n"/>
      <c r="G2638" s="268" t="n"/>
    </row>
    <row r="2639">
      <c r="A2639" s="268" t="n"/>
      <c r="D2639" s="268" t="n"/>
      <c r="G2639" s="268" t="n"/>
    </row>
    <row r="2640">
      <c r="A2640" s="268" t="n"/>
      <c r="D2640" s="268" t="n"/>
      <c r="G2640" s="268" t="n"/>
    </row>
    <row r="2641">
      <c r="A2641" s="268" t="n"/>
      <c r="D2641" s="268" t="n"/>
      <c r="G2641" s="268" t="n"/>
    </row>
    <row r="2642">
      <c r="A2642" s="268" t="n"/>
      <c r="D2642" s="268" t="n"/>
      <c r="G2642" s="268" t="n"/>
    </row>
    <row r="2643">
      <c r="A2643" s="268" t="n"/>
      <c r="D2643" s="268" t="n"/>
      <c r="G2643" s="268" t="n"/>
    </row>
    <row r="2644">
      <c r="A2644" s="268" t="n"/>
      <c r="D2644" s="268" t="n"/>
      <c r="G2644" s="268" t="n"/>
    </row>
    <row r="2645">
      <c r="A2645" s="268" t="n"/>
      <c r="D2645" s="268" t="n"/>
      <c r="G2645" s="268" t="n"/>
    </row>
    <row r="2646">
      <c r="A2646" s="268" t="n"/>
      <c r="D2646" s="268" t="n"/>
      <c r="G2646" s="268" t="n"/>
    </row>
    <row r="2647">
      <c r="A2647" s="268" t="n"/>
      <c r="D2647" s="268" t="n"/>
      <c r="G2647" s="268" t="n"/>
    </row>
    <row r="2648">
      <c r="A2648" s="268" t="n"/>
      <c r="D2648" s="268" t="n"/>
      <c r="G2648" s="268" t="n"/>
    </row>
    <row r="2649">
      <c r="A2649" s="268" t="n"/>
      <c r="D2649" s="268" t="n"/>
      <c r="G2649" s="268" t="n"/>
    </row>
    <row r="2650">
      <c r="A2650" s="268" t="n"/>
      <c r="D2650" s="268" t="n"/>
      <c r="G2650" s="268" t="n"/>
    </row>
    <row r="2651">
      <c r="A2651" s="268" t="n"/>
      <c r="D2651" s="268" t="n"/>
      <c r="G2651" s="268" t="n"/>
    </row>
    <row r="2652">
      <c r="A2652" s="268" t="n"/>
      <c r="D2652" s="268" t="n"/>
      <c r="G2652" s="268" t="n"/>
    </row>
    <row r="2653">
      <c r="A2653" s="268" t="n"/>
      <c r="D2653" s="268" t="n"/>
      <c r="G2653" s="268" t="n"/>
    </row>
    <row r="2654">
      <c r="A2654" s="268" t="n"/>
      <c r="D2654" s="268" t="n"/>
      <c r="G2654" s="268" t="n"/>
    </row>
    <row r="2655">
      <c r="A2655" s="268" t="n"/>
      <c r="D2655" s="268" t="n"/>
      <c r="G2655" s="268" t="n"/>
    </row>
    <row r="2656">
      <c r="A2656" s="268" t="n"/>
      <c r="D2656" s="268" t="n"/>
      <c r="G2656" s="268" t="n"/>
    </row>
    <row r="2657">
      <c r="A2657" s="268" t="n"/>
      <c r="D2657" s="268" t="n"/>
      <c r="G2657" s="268" t="n"/>
    </row>
    <row r="2658">
      <c r="A2658" s="268" t="n"/>
      <c r="D2658" s="268" t="n"/>
      <c r="G2658" s="268" t="n"/>
    </row>
    <row r="2659">
      <c r="A2659" s="268" t="n"/>
      <c r="D2659" s="268" t="n"/>
      <c r="G2659" s="268" t="n"/>
    </row>
    <row r="2660">
      <c r="A2660" s="268" t="n"/>
      <c r="D2660" s="268" t="n"/>
      <c r="G2660" s="268" t="n"/>
    </row>
    <row r="2661">
      <c r="A2661" s="268" t="n"/>
      <c r="D2661" s="268" t="n"/>
      <c r="G2661" s="268" t="n"/>
    </row>
    <row r="2662">
      <c r="A2662" s="268" t="n"/>
      <c r="D2662" s="268" t="n"/>
      <c r="G2662" s="268" t="n"/>
    </row>
    <row r="2663">
      <c r="A2663" s="268" t="n"/>
      <c r="D2663" s="268" t="n"/>
      <c r="G2663" s="268" t="n"/>
    </row>
    <row r="2664">
      <c r="A2664" s="268" t="n"/>
      <c r="D2664" s="268" t="n"/>
      <c r="G2664" s="268" t="n"/>
    </row>
    <row r="2665">
      <c r="A2665" s="268" t="n"/>
      <c r="D2665" s="268" t="n"/>
      <c r="G2665" s="268" t="n"/>
    </row>
    <row r="2666">
      <c r="A2666" s="268" t="n"/>
      <c r="D2666" s="268" t="n"/>
      <c r="G2666" s="268" t="n"/>
    </row>
    <row r="2667">
      <c r="A2667" s="268" t="n"/>
      <c r="D2667" s="268" t="n"/>
      <c r="G2667" s="268" t="n"/>
    </row>
    <row r="2668">
      <c r="A2668" s="268" t="n"/>
      <c r="D2668" s="268" t="n"/>
      <c r="G2668" s="268" t="n"/>
    </row>
    <row r="2669">
      <c r="A2669" s="268" t="n"/>
      <c r="D2669" s="268" t="n"/>
      <c r="G2669" s="268" t="n"/>
    </row>
    <row r="2670">
      <c r="A2670" s="268" t="n"/>
      <c r="D2670" s="268" t="n"/>
      <c r="G2670" s="268" t="n"/>
    </row>
    <row r="2671">
      <c r="A2671" s="268" t="n"/>
      <c r="D2671" s="268" t="n"/>
      <c r="G2671" s="268" t="n"/>
    </row>
    <row r="2672">
      <c r="A2672" s="268" t="n"/>
      <c r="D2672" s="268" t="n"/>
      <c r="G2672" s="268" t="n"/>
    </row>
    <row r="2673">
      <c r="A2673" s="268" t="n"/>
      <c r="D2673" s="268" t="n"/>
      <c r="G2673" s="268" t="n"/>
    </row>
    <row r="2674">
      <c r="A2674" s="268" t="n"/>
      <c r="D2674" s="268" t="n"/>
      <c r="G2674" s="268" t="n"/>
    </row>
    <row r="2675">
      <c r="A2675" s="268" t="n"/>
      <c r="D2675" s="268" t="n"/>
      <c r="G2675" s="268" t="n"/>
    </row>
    <row r="2676">
      <c r="A2676" s="268" t="n"/>
      <c r="D2676" s="268" t="n"/>
      <c r="G2676" s="268" t="n"/>
    </row>
    <row r="2677">
      <c r="A2677" s="268" t="n"/>
      <c r="D2677" s="268" t="n"/>
      <c r="G2677" s="268" t="n"/>
    </row>
    <row r="2678">
      <c r="A2678" s="268" t="n"/>
      <c r="D2678" s="268" t="n"/>
      <c r="G2678" s="268" t="n"/>
    </row>
    <row r="2679">
      <c r="A2679" s="268" t="n"/>
      <c r="D2679" s="268" t="n"/>
      <c r="G2679" s="268" t="n"/>
    </row>
    <row r="2680">
      <c r="A2680" s="268" t="n"/>
      <c r="D2680" s="268" t="n"/>
      <c r="G2680" s="268" t="n"/>
    </row>
    <row r="2681">
      <c r="A2681" s="268" t="n"/>
      <c r="D2681" s="268" t="n"/>
      <c r="G2681" s="268" t="n"/>
    </row>
    <row r="2682">
      <c r="A2682" s="268" t="n"/>
      <c r="D2682" s="268" t="n"/>
      <c r="G2682" s="268" t="n"/>
    </row>
    <row r="2683">
      <c r="A2683" s="268" t="n"/>
      <c r="D2683" s="268" t="n"/>
      <c r="G2683" s="268" t="n"/>
    </row>
    <row r="2684">
      <c r="A2684" s="268" t="n"/>
      <c r="D2684" s="268" t="n"/>
      <c r="G2684" s="268" t="n"/>
    </row>
    <row r="2685">
      <c r="A2685" s="268" t="n"/>
      <c r="D2685" s="268" t="n"/>
      <c r="G2685" s="268" t="n"/>
    </row>
    <row r="2686">
      <c r="A2686" s="268" t="n"/>
      <c r="D2686" s="268" t="n"/>
      <c r="G2686" s="268" t="n"/>
    </row>
    <row r="2687">
      <c r="A2687" s="268" t="n"/>
      <c r="D2687" s="268" t="n"/>
      <c r="G2687" s="268" t="n"/>
    </row>
    <row r="2688">
      <c r="A2688" s="268" t="n"/>
      <c r="D2688" s="268" t="n"/>
      <c r="G2688" s="268" t="n"/>
    </row>
    <row r="2689">
      <c r="A2689" s="268" t="n"/>
      <c r="D2689" s="268" t="n"/>
      <c r="G2689" s="268" t="n"/>
    </row>
    <row r="2690">
      <c r="A2690" s="268" t="n"/>
      <c r="D2690" s="268" t="n"/>
      <c r="G2690" s="268" t="n"/>
    </row>
    <row r="2691">
      <c r="A2691" s="268" t="n"/>
      <c r="D2691" s="268" t="n"/>
      <c r="G2691" s="268" t="n"/>
    </row>
    <row r="2692">
      <c r="A2692" s="268" t="n"/>
      <c r="D2692" s="268" t="n"/>
      <c r="G2692" s="268" t="n"/>
    </row>
    <row r="2693">
      <c r="A2693" s="268" t="n"/>
      <c r="D2693" s="268" t="n"/>
      <c r="G2693" s="268" t="n"/>
    </row>
    <row r="2694">
      <c r="A2694" s="268" t="n"/>
      <c r="D2694" s="268" t="n"/>
      <c r="G2694" s="268" t="n"/>
    </row>
    <row r="2695">
      <c r="A2695" s="268" t="n"/>
      <c r="D2695" s="268" t="n"/>
      <c r="G2695" s="268" t="n"/>
    </row>
    <row r="2696">
      <c r="A2696" s="268" t="n"/>
      <c r="D2696" s="268" t="n"/>
      <c r="G2696" s="268" t="n"/>
    </row>
    <row r="2697">
      <c r="A2697" s="268" t="n"/>
      <c r="D2697" s="268" t="n"/>
      <c r="G2697" s="268" t="n"/>
    </row>
    <row r="2698">
      <c r="A2698" s="268" t="n"/>
      <c r="D2698" s="268" t="n"/>
      <c r="G2698" s="268" t="n"/>
    </row>
    <row r="2699">
      <c r="A2699" s="268" t="n"/>
      <c r="D2699" s="268" t="n"/>
      <c r="G2699" s="268" t="n"/>
    </row>
    <row r="2700">
      <c r="A2700" s="268" t="n"/>
      <c r="D2700" s="268" t="n"/>
      <c r="G2700" s="268" t="n"/>
    </row>
    <row r="2701">
      <c r="A2701" s="268" t="n"/>
      <c r="D2701" s="268" t="n"/>
      <c r="G2701" s="268" t="n"/>
    </row>
    <row r="2702">
      <c r="A2702" s="268" t="n"/>
      <c r="D2702" s="268" t="n"/>
      <c r="G2702" s="268" t="n"/>
    </row>
    <row r="2703">
      <c r="A2703" s="268" t="n"/>
      <c r="D2703" s="268" t="n"/>
      <c r="G2703" s="268" t="n"/>
    </row>
    <row r="2704">
      <c r="A2704" s="268" t="n"/>
      <c r="D2704" s="268" t="n"/>
      <c r="G2704" s="268" t="n"/>
    </row>
    <row r="2705">
      <c r="A2705" s="268" t="n"/>
      <c r="D2705" s="268" t="n"/>
      <c r="G2705" s="268" t="n"/>
    </row>
    <row r="2706">
      <c r="A2706" s="268" t="n"/>
      <c r="D2706" s="268" t="n"/>
      <c r="G2706" s="268" t="n"/>
    </row>
    <row r="2707">
      <c r="A2707" s="268" t="n"/>
      <c r="D2707" s="268" t="n"/>
      <c r="G2707" s="268" t="n"/>
    </row>
    <row r="2708">
      <c r="A2708" s="268" t="n"/>
      <c r="D2708" s="268" t="n"/>
      <c r="G2708" s="268" t="n"/>
    </row>
    <row r="2709">
      <c r="A2709" s="268" t="n"/>
      <c r="D2709" s="268" t="n"/>
      <c r="G2709" s="268" t="n"/>
    </row>
    <row r="2710">
      <c r="A2710" s="268" t="n"/>
      <c r="D2710" s="268" t="n"/>
      <c r="G2710" s="268" t="n"/>
    </row>
    <row r="2711">
      <c r="A2711" s="268" t="n"/>
      <c r="D2711" s="268" t="n"/>
      <c r="G2711" s="268" t="n"/>
    </row>
    <row r="2712">
      <c r="A2712" s="268" t="n"/>
      <c r="D2712" s="268" t="n"/>
      <c r="G2712" s="268" t="n"/>
    </row>
    <row r="2713">
      <c r="A2713" s="268" t="n"/>
      <c r="D2713" s="268" t="n"/>
      <c r="G2713" s="268" t="n"/>
    </row>
    <row r="2714">
      <c r="A2714" s="268" t="n"/>
      <c r="D2714" s="268" t="n"/>
      <c r="G2714" s="268" t="n"/>
    </row>
    <row r="2715">
      <c r="A2715" s="268" t="n"/>
      <c r="D2715" s="268" t="n"/>
      <c r="G2715" s="268" t="n"/>
    </row>
    <row r="2716">
      <c r="A2716" s="268" t="n"/>
      <c r="D2716" s="268" t="n"/>
      <c r="G2716" s="268" t="n"/>
    </row>
    <row r="2717">
      <c r="A2717" s="268" t="n"/>
      <c r="D2717" s="268" t="n"/>
      <c r="G2717" s="268" t="n"/>
    </row>
    <row r="2718">
      <c r="A2718" s="268" t="n"/>
      <c r="D2718" s="268" t="n"/>
      <c r="G2718" s="268" t="n"/>
    </row>
    <row r="2719">
      <c r="A2719" s="268" t="n"/>
      <c r="D2719" s="268" t="n"/>
      <c r="G2719" s="268" t="n"/>
    </row>
    <row r="2720">
      <c r="A2720" s="268" t="n"/>
      <c r="D2720" s="268" t="n"/>
      <c r="G2720" s="268" t="n"/>
    </row>
    <row r="2721">
      <c r="A2721" s="268" t="n"/>
      <c r="D2721" s="268" t="n"/>
      <c r="G2721" s="268" t="n"/>
    </row>
    <row r="2722">
      <c r="A2722" s="268" t="n"/>
      <c r="D2722" s="268" t="n"/>
      <c r="G2722" s="268" t="n"/>
    </row>
    <row r="2723">
      <c r="A2723" s="268" t="n"/>
      <c r="D2723" s="268" t="n"/>
      <c r="G2723" s="268" t="n"/>
    </row>
    <row r="2724">
      <c r="A2724" s="268" t="n"/>
      <c r="D2724" s="268" t="n"/>
      <c r="G2724" s="268" t="n"/>
    </row>
    <row r="2725">
      <c r="A2725" s="268" t="n"/>
      <c r="D2725" s="268" t="n"/>
      <c r="G2725" s="268" t="n"/>
    </row>
    <row r="2726">
      <c r="A2726" s="268" t="n"/>
      <c r="D2726" s="268" t="n"/>
      <c r="G2726" s="268" t="n"/>
    </row>
    <row r="2727">
      <c r="A2727" s="268" t="n"/>
      <c r="D2727" s="268" t="n"/>
      <c r="G2727" s="268" t="n"/>
    </row>
    <row r="2728">
      <c r="A2728" s="268" t="n"/>
      <c r="D2728" s="268" t="n"/>
      <c r="G2728" s="268" t="n"/>
    </row>
    <row r="2729">
      <c r="A2729" s="268" t="n"/>
      <c r="D2729" s="268" t="n"/>
      <c r="G2729" s="268" t="n"/>
    </row>
    <row r="2730">
      <c r="A2730" s="268" t="n"/>
      <c r="D2730" s="268" t="n"/>
      <c r="G2730" s="268" t="n"/>
    </row>
    <row r="2731">
      <c r="A2731" s="268" t="n"/>
      <c r="D2731" s="268" t="n"/>
      <c r="G2731" s="268" t="n"/>
    </row>
    <row r="2732">
      <c r="A2732" s="268" t="n"/>
      <c r="D2732" s="268" t="n"/>
      <c r="G2732" s="268" t="n"/>
    </row>
    <row r="2733">
      <c r="A2733" s="268" t="n"/>
      <c r="D2733" s="268" t="n"/>
      <c r="G2733" s="268" t="n"/>
    </row>
    <row r="2734">
      <c r="A2734" s="268" t="n"/>
      <c r="D2734" s="268" t="n"/>
      <c r="G2734" s="268" t="n"/>
    </row>
    <row r="2735">
      <c r="A2735" s="268" t="n"/>
      <c r="D2735" s="268" t="n"/>
      <c r="G2735" s="268" t="n"/>
    </row>
    <row r="2736">
      <c r="A2736" s="268" t="n"/>
      <c r="D2736" s="268" t="n"/>
      <c r="G2736" s="268" t="n"/>
    </row>
    <row r="2737">
      <c r="A2737" s="268" t="n"/>
      <c r="D2737" s="268" t="n"/>
      <c r="G2737" s="268" t="n"/>
    </row>
    <row r="2738">
      <c r="A2738" s="268" t="n"/>
      <c r="D2738" s="268" t="n"/>
      <c r="G2738" s="268" t="n"/>
    </row>
    <row r="2739">
      <c r="A2739" s="268" t="n"/>
      <c r="D2739" s="268" t="n"/>
      <c r="G2739" s="268" t="n"/>
    </row>
    <row r="2740">
      <c r="A2740" s="268" t="n"/>
      <c r="D2740" s="268" t="n"/>
      <c r="G2740" s="268" t="n"/>
    </row>
    <row r="2741">
      <c r="A2741" s="268" t="n"/>
      <c r="D2741" s="268" t="n"/>
      <c r="G2741" s="268" t="n"/>
    </row>
    <row r="2742">
      <c r="A2742" s="268" t="n"/>
      <c r="D2742" s="268" t="n"/>
      <c r="G2742" s="268" t="n"/>
    </row>
    <row r="2743">
      <c r="A2743" s="268" t="n"/>
      <c r="D2743" s="268" t="n"/>
      <c r="G2743" s="268" t="n"/>
    </row>
    <row r="2744">
      <c r="A2744" s="268" t="n"/>
      <c r="D2744" s="268" t="n"/>
      <c r="G2744" s="268" t="n"/>
    </row>
    <row r="2745">
      <c r="A2745" s="268" t="n"/>
      <c r="D2745" s="268" t="n"/>
      <c r="G2745" s="268" t="n"/>
    </row>
    <row r="2746">
      <c r="A2746" s="268" t="n"/>
      <c r="D2746" s="268" t="n"/>
      <c r="G2746" s="268" t="n"/>
    </row>
    <row r="2747">
      <c r="A2747" s="268" t="n"/>
      <c r="D2747" s="268" t="n"/>
      <c r="G2747" s="268" t="n"/>
    </row>
    <row r="2748">
      <c r="A2748" s="268" t="n"/>
      <c r="D2748" s="268" t="n"/>
      <c r="G2748" s="268" t="n"/>
    </row>
    <row r="2749">
      <c r="A2749" s="268" t="n"/>
      <c r="D2749" s="268" t="n"/>
      <c r="G2749" s="268" t="n"/>
    </row>
    <row r="2750">
      <c r="A2750" s="268" t="n"/>
      <c r="D2750" s="268" t="n"/>
      <c r="G2750" s="268" t="n"/>
    </row>
    <row r="2751">
      <c r="A2751" s="268" t="n"/>
      <c r="D2751" s="268" t="n"/>
      <c r="G2751" s="268" t="n"/>
    </row>
    <row r="2752">
      <c r="A2752" s="268" t="n"/>
      <c r="D2752" s="268" t="n"/>
      <c r="G2752" s="268" t="n"/>
    </row>
    <row r="2753">
      <c r="A2753" s="268" t="n"/>
      <c r="D2753" s="268" t="n"/>
      <c r="G2753" s="268" t="n"/>
    </row>
    <row r="2754">
      <c r="A2754" s="268" t="n"/>
      <c r="D2754" s="268" t="n"/>
      <c r="G2754" s="268" t="n"/>
    </row>
    <row r="2755">
      <c r="A2755" s="268" t="n"/>
      <c r="D2755" s="268" t="n"/>
      <c r="G2755" s="268" t="n"/>
    </row>
    <row r="2756">
      <c r="A2756" s="268" t="n"/>
      <c r="D2756" s="268" t="n"/>
      <c r="G2756" s="268" t="n"/>
    </row>
    <row r="2757">
      <c r="A2757" s="268" t="n"/>
      <c r="D2757" s="268" t="n"/>
      <c r="G2757" s="268" t="n"/>
    </row>
    <row r="2758">
      <c r="A2758" s="268" t="n"/>
      <c r="D2758" s="268" t="n"/>
      <c r="G2758" s="268" t="n"/>
    </row>
    <row r="2759">
      <c r="A2759" s="268" t="n"/>
      <c r="D2759" s="268" t="n"/>
      <c r="G2759" s="268" t="n"/>
    </row>
    <row r="2760">
      <c r="A2760" s="268" t="n"/>
      <c r="D2760" s="268" t="n"/>
      <c r="G2760" s="268" t="n"/>
    </row>
    <row r="2761">
      <c r="A2761" s="268" t="n"/>
      <c r="D2761" s="268" t="n"/>
      <c r="G2761" s="268" t="n"/>
    </row>
    <row r="2762">
      <c r="A2762" s="268" t="n"/>
      <c r="D2762" s="268" t="n"/>
      <c r="G2762" s="268" t="n"/>
    </row>
    <row r="2763">
      <c r="A2763" s="268" t="n"/>
      <c r="D2763" s="268" t="n"/>
      <c r="G2763" s="268" t="n"/>
    </row>
    <row r="2764">
      <c r="A2764" s="268" t="n"/>
      <c r="D2764" s="268" t="n"/>
      <c r="G2764" s="268" t="n"/>
    </row>
    <row r="2765">
      <c r="A2765" s="268" t="n"/>
      <c r="D2765" s="268" t="n"/>
      <c r="G2765" s="268" t="n"/>
    </row>
    <row r="2766">
      <c r="A2766" s="268" t="n"/>
      <c r="D2766" s="268" t="n"/>
      <c r="G2766" s="268" t="n"/>
    </row>
    <row r="2767">
      <c r="A2767" s="268" t="n"/>
      <c r="D2767" s="268" t="n"/>
      <c r="G2767" s="268" t="n"/>
    </row>
    <row r="2768">
      <c r="A2768" s="268" t="n"/>
      <c r="D2768" s="268" t="n"/>
      <c r="G2768" s="268" t="n"/>
    </row>
    <row r="2769">
      <c r="A2769" s="268" t="n"/>
      <c r="D2769" s="268" t="n"/>
      <c r="G2769" s="268" t="n"/>
    </row>
    <row r="2770">
      <c r="A2770" s="268" t="n"/>
      <c r="D2770" s="268" t="n"/>
      <c r="G2770" s="268" t="n"/>
    </row>
    <row r="2771">
      <c r="A2771" s="268" t="n"/>
      <c r="D2771" s="268" t="n"/>
      <c r="G2771" s="268" t="n"/>
    </row>
    <row r="2772">
      <c r="A2772" s="268" t="n"/>
      <c r="D2772" s="268" t="n"/>
      <c r="G2772" s="268" t="n"/>
    </row>
    <row r="2773">
      <c r="A2773" s="268" t="n"/>
      <c r="D2773" s="268" t="n"/>
      <c r="G2773" s="268" t="n"/>
    </row>
    <row r="2774">
      <c r="A2774" s="268" t="n"/>
      <c r="D2774" s="268" t="n"/>
      <c r="G2774" s="268" t="n"/>
    </row>
    <row r="2775">
      <c r="A2775" s="268" t="n"/>
      <c r="D2775" s="268" t="n"/>
      <c r="G2775" s="268" t="n"/>
    </row>
    <row r="2776">
      <c r="A2776" s="268" t="n"/>
      <c r="D2776" s="268" t="n"/>
      <c r="G2776" s="268" t="n"/>
    </row>
    <row r="2777">
      <c r="A2777" s="268" t="n"/>
      <c r="D2777" s="268" t="n"/>
      <c r="G2777" s="268" t="n"/>
    </row>
    <row r="2778">
      <c r="A2778" s="268" t="n"/>
      <c r="D2778" s="268" t="n"/>
      <c r="G2778" s="268" t="n"/>
    </row>
    <row r="2779">
      <c r="A2779" s="268" t="n"/>
      <c r="D2779" s="268" t="n"/>
      <c r="G2779" s="268" t="n"/>
    </row>
    <row r="2780">
      <c r="A2780" s="268" t="n"/>
      <c r="D2780" s="268" t="n"/>
      <c r="G2780" s="268" t="n"/>
    </row>
    <row r="2781">
      <c r="A2781" s="268" t="n"/>
      <c r="D2781" s="268" t="n"/>
      <c r="G2781" s="268" t="n"/>
    </row>
    <row r="2782">
      <c r="A2782" s="268" t="n"/>
      <c r="D2782" s="268" t="n"/>
      <c r="G2782" s="268" t="n"/>
    </row>
    <row r="2783">
      <c r="A2783" s="268" t="n"/>
      <c r="D2783" s="268" t="n"/>
      <c r="G2783" s="268" t="n"/>
    </row>
    <row r="2784">
      <c r="A2784" s="268" t="n"/>
      <c r="D2784" s="268" t="n"/>
      <c r="G2784" s="268" t="n"/>
    </row>
    <row r="2785">
      <c r="A2785" s="268" t="n"/>
      <c r="D2785" s="268" t="n"/>
      <c r="G2785" s="268" t="n"/>
    </row>
    <row r="2786">
      <c r="A2786" s="268" t="n"/>
      <c r="D2786" s="268" t="n"/>
      <c r="G2786" s="268" t="n"/>
    </row>
    <row r="2787">
      <c r="A2787" s="268" t="n"/>
      <c r="D2787" s="268" t="n"/>
      <c r="G2787" s="268" t="n"/>
    </row>
    <row r="2788">
      <c r="A2788" s="268" t="n"/>
      <c r="D2788" s="268" t="n"/>
      <c r="G2788" s="268" t="n"/>
    </row>
    <row r="2789">
      <c r="A2789" s="268" t="n"/>
      <c r="D2789" s="268" t="n"/>
      <c r="G2789" s="268" t="n"/>
    </row>
    <row r="2790">
      <c r="A2790" s="268" t="n"/>
      <c r="D2790" s="268" t="n"/>
      <c r="G2790" s="268" t="n"/>
    </row>
    <row r="2791">
      <c r="A2791" s="268" t="n"/>
      <c r="D2791" s="268" t="n"/>
      <c r="G2791" s="268" t="n"/>
    </row>
    <row r="2792">
      <c r="A2792" s="268" t="n"/>
      <c r="D2792" s="268" t="n"/>
      <c r="G2792" s="268" t="n"/>
    </row>
    <row r="2793">
      <c r="A2793" s="268" t="n"/>
      <c r="D2793" s="268" t="n"/>
      <c r="G2793" s="268" t="n"/>
    </row>
    <row r="2794">
      <c r="A2794" s="268" t="n"/>
      <c r="D2794" s="268" t="n"/>
      <c r="G2794" s="268" t="n"/>
    </row>
    <row r="2795">
      <c r="A2795" s="268" t="n"/>
      <c r="D2795" s="268" t="n"/>
      <c r="G2795" s="268" t="n"/>
    </row>
    <row r="2796">
      <c r="A2796" s="268" t="n"/>
      <c r="D2796" s="268" t="n"/>
      <c r="G2796" s="268" t="n"/>
    </row>
    <row r="2797">
      <c r="A2797" s="268" t="n"/>
      <c r="D2797" s="268" t="n"/>
      <c r="G2797" s="268" t="n"/>
    </row>
    <row r="2798">
      <c r="A2798" s="268" t="n"/>
      <c r="D2798" s="268" t="n"/>
      <c r="G2798" s="268" t="n"/>
    </row>
    <row r="2799">
      <c r="A2799" s="268" t="n"/>
      <c r="D2799" s="268" t="n"/>
      <c r="G2799" s="268" t="n"/>
    </row>
    <row r="2800">
      <c r="A2800" s="268" t="n"/>
      <c r="D2800" s="268" t="n"/>
      <c r="G2800" s="268" t="n"/>
    </row>
    <row r="2801">
      <c r="A2801" s="268" t="n"/>
      <c r="D2801" s="268" t="n"/>
      <c r="G2801" s="268" t="n"/>
    </row>
    <row r="2802">
      <c r="A2802" s="268" t="n"/>
      <c r="D2802" s="268" t="n"/>
      <c r="G2802" s="268" t="n"/>
    </row>
    <row r="2803">
      <c r="A2803" s="268" t="n"/>
      <c r="D2803" s="268" t="n"/>
      <c r="G2803" s="268" t="n"/>
    </row>
    <row r="2804">
      <c r="A2804" s="268" t="n"/>
      <c r="D2804" s="268" t="n"/>
      <c r="G2804" s="268" t="n"/>
    </row>
    <row r="2805">
      <c r="A2805" s="268" t="n"/>
      <c r="D2805" s="268" t="n"/>
      <c r="G2805" s="268" t="n"/>
    </row>
    <row r="2806">
      <c r="A2806" s="268" t="n"/>
      <c r="D2806" s="268" t="n"/>
      <c r="G2806" s="268" t="n"/>
    </row>
    <row r="2807">
      <c r="A2807" s="268" t="n"/>
      <c r="D2807" s="268" t="n"/>
      <c r="G2807" s="268" t="n"/>
    </row>
    <row r="2808">
      <c r="A2808" s="268" t="n"/>
      <c r="D2808" s="268" t="n"/>
      <c r="G2808" s="268" t="n"/>
    </row>
    <row r="2809">
      <c r="A2809" s="268" t="n"/>
      <c r="D2809" s="268" t="n"/>
      <c r="G2809" s="268" t="n"/>
    </row>
    <row r="2810">
      <c r="A2810" s="268" t="n"/>
      <c r="D2810" s="268" t="n"/>
      <c r="G2810" s="268" t="n"/>
    </row>
    <row r="2811">
      <c r="A2811" s="268" t="n"/>
      <c r="D2811" s="268" t="n"/>
      <c r="G2811" s="268" t="n"/>
    </row>
    <row r="2812">
      <c r="A2812" s="268" t="n"/>
      <c r="D2812" s="268" t="n"/>
      <c r="G2812" s="268" t="n"/>
    </row>
    <row r="2813">
      <c r="A2813" s="268" t="n"/>
      <c r="D2813" s="268" t="n"/>
      <c r="G2813" s="268" t="n"/>
    </row>
    <row r="2814">
      <c r="A2814" s="268" t="n"/>
      <c r="D2814" s="268" t="n"/>
      <c r="G2814" s="268" t="n"/>
    </row>
    <row r="2815">
      <c r="A2815" s="268" t="n"/>
      <c r="D2815" s="268" t="n"/>
      <c r="G2815" s="268" t="n"/>
    </row>
    <row r="2816">
      <c r="A2816" s="268" t="n"/>
      <c r="D2816" s="268" t="n"/>
      <c r="G2816" s="268" t="n"/>
    </row>
    <row r="2817">
      <c r="A2817" s="268" t="n"/>
      <c r="D2817" s="268" t="n"/>
      <c r="G2817" s="268" t="n"/>
    </row>
    <row r="2818">
      <c r="A2818" s="268" t="n"/>
      <c r="D2818" s="268" t="n"/>
      <c r="G2818" s="268" t="n"/>
    </row>
    <row r="2819">
      <c r="A2819" s="268" t="n"/>
      <c r="D2819" s="268" t="n"/>
      <c r="G2819" s="268" t="n"/>
    </row>
    <row r="2820">
      <c r="A2820" s="268" t="n"/>
      <c r="D2820" s="268" t="n"/>
      <c r="G2820" s="268" t="n"/>
    </row>
    <row r="2821">
      <c r="A2821" s="268" t="n"/>
      <c r="D2821" s="268" t="n"/>
      <c r="G2821" s="268" t="n"/>
    </row>
    <row r="2822">
      <c r="A2822" s="268" t="n"/>
      <c r="D2822" s="268" t="n"/>
      <c r="G2822" s="268" t="n"/>
    </row>
    <row r="2823">
      <c r="A2823" s="268" t="n"/>
      <c r="D2823" s="268" t="n"/>
      <c r="G2823" s="268" t="n"/>
    </row>
    <row r="2824">
      <c r="A2824" s="268" t="n"/>
      <c r="D2824" s="268" t="n"/>
      <c r="G2824" s="268" t="n"/>
    </row>
    <row r="2825">
      <c r="A2825" s="268" t="n"/>
      <c r="D2825" s="268" t="n"/>
      <c r="G2825" s="268" t="n"/>
    </row>
    <row r="2826">
      <c r="A2826" s="268" t="n"/>
      <c r="D2826" s="268" t="n"/>
      <c r="G2826" s="268" t="n"/>
    </row>
    <row r="2827">
      <c r="A2827" s="268" t="n"/>
      <c r="D2827" s="268" t="n"/>
      <c r="G2827" s="268" t="n"/>
    </row>
    <row r="2828">
      <c r="A2828" s="268" t="n"/>
      <c r="D2828" s="268" t="n"/>
      <c r="G2828" s="268" t="n"/>
    </row>
    <row r="2829">
      <c r="A2829" s="268" t="n"/>
      <c r="D2829" s="268" t="n"/>
      <c r="G2829" s="268" t="n"/>
    </row>
    <row r="2830">
      <c r="A2830" s="268" t="n"/>
      <c r="D2830" s="268" t="n"/>
      <c r="G2830" s="268" t="n"/>
    </row>
    <row r="2831">
      <c r="A2831" s="268" t="n"/>
      <c r="D2831" s="268" t="n"/>
      <c r="G2831" s="268" t="n"/>
    </row>
    <row r="2832">
      <c r="A2832" s="268" t="n"/>
      <c r="D2832" s="268" t="n"/>
      <c r="G2832" s="268" t="n"/>
    </row>
    <row r="2833">
      <c r="A2833" s="268" t="n"/>
      <c r="D2833" s="268" t="n"/>
      <c r="G2833" s="268" t="n"/>
    </row>
    <row r="2834">
      <c r="A2834" s="268" t="n"/>
      <c r="D2834" s="268" t="n"/>
      <c r="G2834" s="268" t="n"/>
    </row>
    <row r="2835">
      <c r="A2835" s="268" t="n"/>
      <c r="D2835" s="268" t="n"/>
      <c r="G2835" s="268" t="n"/>
    </row>
    <row r="2836">
      <c r="A2836" s="268" t="n"/>
      <c r="D2836" s="268" t="n"/>
      <c r="G2836" s="268" t="n"/>
    </row>
    <row r="2837">
      <c r="A2837" s="268" t="n"/>
      <c r="D2837" s="268" t="n"/>
      <c r="G2837" s="268" t="n"/>
    </row>
    <row r="2838">
      <c r="A2838" s="268" t="n"/>
      <c r="D2838" s="268" t="n"/>
      <c r="G2838" s="268" t="n"/>
    </row>
    <row r="2839">
      <c r="A2839" s="268" t="n"/>
      <c r="D2839" s="268" t="n"/>
      <c r="G2839" s="268" t="n"/>
    </row>
    <row r="2840">
      <c r="A2840" s="268" t="n"/>
      <c r="D2840" s="268" t="n"/>
      <c r="G2840" s="268" t="n"/>
    </row>
    <row r="2841">
      <c r="A2841" s="268" t="n"/>
      <c r="D2841" s="268" t="n"/>
      <c r="G2841" s="268" t="n"/>
    </row>
    <row r="2842">
      <c r="A2842" s="268" t="n"/>
      <c r="D2842" s="268" t="n"/>
      <c r="G2842" s="268" t="n"/>
    </row>
    <row r="2843">
      <c r="A2843" s="268" t="n"/>
      <c r="D2843" s="268" t="n"/>
      <c r="G2843" s="268" t="n"/>
    </row>
    <row r="2844">
      <c r="A2844" s="268" t="n"/>
      <c r="D2844" s="268" t="n"/>
      <c r="G2844" s="268" t="n"/>
    </row>
    <row r="2845">
      <c r="A2845" s="268" t="n"/>
      <c r="D2845" s="268" t="n"/>
      <c r="G2845" s="268" t="n"/>
    </row>
    <row r="2846">
      <c r="A2846" s="268" t="n"/>
      <c r="D2846" s="268" t="n"/>
      <c r="G2846" s="268" t="n"/>
    </row>
    <row r="2847">
      <c r="A2847" s="268" t="n"/>
      <c r="D2847" s="268" t="n"/>
      <c r="G2847" s="268" t="n"/>
    </row>
    <row r="2848">
      <c r="A2848" s="268" t="n"/>
      <c r="D2848" s="268" t="n"/>
      <c r="G2848" s="268" t="n"/>
    </row>
    <row r="2849">
      <c r="A2849" s="268" t="n"/>
      <c r="D2849" s="268" t="n"/>
      <c r="G2849" s="268" t="n"/>
    </row>
    <row r="2850">
      <c r="A2850" s="268" t="n"/>
      <c r="D2850" s="268" t="n"/>
      <c r="G2850" s="268" t="n"/>
    </row>
    <row r="2851">
      <c r="A2851" s="268" t="n"/>
      <c r="D2851" s="268" t="n"/>
      <c r="G2851" s="268" t="n"/>
    </row>
    <row r="2852">
      <c r="A2852" s="268" t="n"/>
      <c r="D2852" s="268" t="n"/>
      <c r="G2852" s="268" t="n"/>
    </row>
    <row r="2853">
      <c r="A2853" s="268" t="n"/>
      <c r="D2853" s="268" t="n"/>
      <c r="G2853" s="268" t="n"/>
    </row>
    <row r="2854">
      <c r="A2854" s="268" t="n"/>
      <c r="D2854" s="268" t="n"/>
      <c r="G2854" s="268" t="n"/>
    </row>
    <row r="2855">
      <c r="A2855" s="268" t="n"/>
      <c r="D2855" s="268" t="n"/>
      <c r="G2855" s="268" t="n"/>
    </row>
    <row r="2856">
      <c r="A2856" s="268" t="n"/>
      <c r="D2856" s="268" t="n"/>
      <c r="G2856" s="268" t="n"/>
    </row>
    <row r="2857">
      <c r="A2857" s="268" t="n"/>
      <c r="D2857" s="268" t="n"/>
      <c r="G2857" s="268" t="n"/>
    </row>
    <row r="2858">
      <c r="A2858" s="268" t="n"/>
      <c r="D2858" s="268" t="n"/>
      <c r="G2858" s="268" t="n"/>
    </row>
    <row r="2859">
      <c r="A2859" s="268" t="n"/>
      <c r="D2859" s="268" t="n"/>
      <c r="G2859" s="268" t="n"/>
    </row>
    <row r="2860">
      <c r="A2860" s="268" t="n"/>
      <c r="D2860" s="268" t="n"/>
      <c r="G2860" s="268" t="n"/>
    </row>
    <row r="2861">
      <c r="A2861" s="268" t="n"/>
      <c r="D2861" s="268" t="n"/>
      <c r="G2861" s="268" t="n"/>
    </row>
    <row r="2862">
      <c r="A2862" s="268" t="n"/>
      <c r="D2862" s="268" t="n"/>
      <c r="G2862" s="268" t="n"/>
    </row>
    <row r="2863">
      <c r="A2863" s="268" t="n"/>
      <c r="D2863" s="268" t="n"/>
      <c r="G2863" s="268" t="n"/>
    </row>
    <row r="2864">
      <c r="A2864" s="268" t="n"/>
      <c r="D2864" s="268" t="n"/>
      <c r="G2864" s="268" t="n"/>
    </row>
    <row r="2865">
      <c r="A2865" s="268" t="n"/>
      <c r="D2865" s="268" t="n"/>
      <c r="G2865" s="268" t="n"/>
    </row>
    <row r="2866">
      <c r="A2866" s="268" t="n"/>
      <c r="D2866" s="268" t="n"/>
      <c r="G2866" s="268" t="n"/>
    </row>
    <row r="2867">
      <c r="A2867" s="268" t="n"/>
      <c r="D2867" s="268" t="n"/>
      <c r="G2867" s="268" t="n"/>
    </row>
    <row r="2868">
      <c r="A2868" s="268" t="n"/>
      <c r="D2868" s="268" t="n"/>
      <c r="G2868" s="268" t="n"/>
    </row>
    <row r="2869">
      <c r="A2869" s="268" t="n"/>
      <c r="D2869" s="268" t="n"/>
      <c r="G2869" s="268" t="n"/>
    </row>
    <row r="2870">
      <c r="A2870" s="268" t="n"/>
      <c r="D2870" s="268" t="n"/>
      <c r="G2870" s="268" t="n"/>
    </row>
    <row r="2871">
      <c r="A2871" s="268" t="n"/>
      <c r="D2871" s="268" t="n"/>
      <c r="G2871" s="268" t="n"/>
    </row>
    <row r="2872">
      <c r="A2872" s="268" t="n"/>
      <c r="D2872" s="268" t="n"/>
      <c r="G2872" s="268" t="n"/>
    </row>
    <row r="2873">
      <c r="A2873" s="268" t="n"/>
      <c r="D2873" s="268" t="n"/>
      <c r="G2873" s="268" t="n"/>
    </row>
    <row r="2874">
      <c r="A2874" s="268" t="n"/>
      <c r="D2874" s="268" t="n"/>
      <c r="G2874" s="268" t="n"/>
    </row>
    <row r="2875">
      <c r="A2875" s="268" t="n"/>
      <c r="D2875" s="268" t="n"/>
      <c r="G2875" s="268" t="n"/>
    </row>
    <row r="2876">
      <c r="A2876" s="268" t="n"/>
      <c r="D2876" s="268" t="n"/>
      <c r="G2876" s="268" t="n"/>
    </row>
    <row r="2877">
      <c r="A2877" s="268" t="n"/>
      <c r="D2877" s="268" t="n"/>
      <c r="G2877" s="268" t="n"/>
    </row>
    <row r="2878">
      <c r="A2878" s="268" t="n"/>
      <c r="D2878" s="268" t="n"/>
      <c r="G2878" s="268" t="n"/>
    </row>
    <row r="2879">
      <c r="A2879" s="268" t="n"/>
      <c r="D2879" s="268" t="n"/>
      <c r="G2879" s="268" t="n"/>
    </row>
    <row r="2880">
      <c r="A2880" s="268" t="n"/>
      <c r="D2880" s="268" t="n"/>
      <c r="G2880" s="268" t="n"/>
    </row>
    <row r="2881">
      <c r="A2881" s="268" t="n"/>
      <c r="D2881" s="268" t="n"/>
      <c r="G2881" s="268" t="n"/>
    </row>
    <row r="2882">
      <c r="A2882" s="268" t="n"/>
      <c r="D2882" s="268" t="n"/>
      <c r="G2882" s="268" t="n"/>
    </row>
    <row r="2883">
      <c r="A2883" s="268" t="n"/>
      <c r="D2883" s="268" t="n"/>
      <c r="G2883" s="268" t="n"/>
    </row>
    <row r="2884">
      <c r="A2884" s="268" t="n"/>
      <c r="D2884" s="268" t="n"/>
      <c r="G2884" s="268" t="n"/>
    </row>
    <row r="2885">
      <c r="A2885" s="268" t="n"/>
      <c r="D2885" s="268" t="n"/>
      <c r="G2885" s="268" t="n"/>
    </row>
    <row r="2886">
      <c r="A2886" s="268" t="n"/>
      <c r="D2886" s="268" t="n"/>
      <c r="G2886" s="268" t="n"/>
    </row>
    <row r="2887">
      <c r="A2887" s="268" t="n"/>
      <c r="D2887" s="268" t="n"/>
      <c r="G2887" s="268" t="n"/>
    </row>
    <row r="2888">
      <c r="A2888" s="268" t="n"/>
      <c r="D2888" s="268" t="n"/>
      <c r="G2888" s="268" t="n"/>
    </row>
    <row r="2889">
      <c r="A2889" s="268" t="n"/>
      <c r="D2889" s="268" t="n"/>
      <c r="G2889" s="268" t="n"/>
    </row>
    <row r="2890">
      <c r="A2890" s="268" t="n"/>
      <c r="D2890" s="268" t="n"/>
      <c r="G2890" s="268" t="n"/>
    </row>
    <row r="2891">
      <c r="A2891" s="268" t="n"/>
      <c r="D2891" s="268" t="n"/>
      <c r="G2891" s="268" t="n"/>
    </row>
    <row r="2892">
      <c r="A2892" s="268" t="n"/>
      <c r="D2892" s="268" t="n"/>
      <c r="G2892" s="268" t="n"/>
    </row>
    <row r="2893">
      <c r="A2893" s="268" t="n"/>
      <c r="D2893" s="268" t="n"/>
      <c r="G2893" s="268" t="n"/>
    </row>
    <row r="2894">
      <c r="A2894" s="268" t="n"/>
      <c r="D2894" s="268" t="n"/>
      <c r="G2894" s="268" t="n"/>
    </row>
    <row r="2895">
      <c r="A2895" s="268" t="n"/>
      <c r="D2895" s="268" t="n"/>
      <c r="G2895" s="268" t="n"/>
    </row>
    <row r="2896">
      <c r="A2896" s="268" t="n"/>
      <c r="D2896" s="268" t="n"/>
      <c r="G2896" s="268" t="n"/>
    </row>
    <row r="2897">
      <c r="A2897" s="268" t="n"/>
      <c r="D2897" s="268" t="n"/>
      <c r="G2897" s="268" t="n"/>
    </row>
    <row r="2898">
      <c r="A2898" s="268" t="n"/>
      <c r="D2898" s="268" t="n"/>
      <c r="G2898" s="268" t="n"/>
    </row>
    <row r="2899">
      <c r="A2899" s="268" t="n"/>
      <c r="D2899" s="268" t="n"/>
      <c r="G2899" s="268" t="n"/>
    </row>
    <row r="2900">
      <c r="A2900" s="268" t="n"/>
      <c r="D2900" s="268" t="n"/>
      <c r="G2900" s="268" t="n"/>
    </row>
    <row r="2901">
      <c r="A2901" s="268" t="n"/>
      <c r="D2901" s="268" t="n"/>
      <c r="G2901" s="268" t="n"/>
    </row>
    <row r="2902">
      <c r="A2902" s="268" t="n"/>
      <c r="D2902" s="268" t="n"/>
      <c r="G2902" s="268" t="n"/>
    </row>
    <row r="2903">
      <c r="A2903" s="268" t="n"/>
      <c r="D2903" s="268" t="n"/>
      <c r="G2903" s="268" t="n"/>
    </row>
    <row r="2904">
      <c r="A2904" s="268" t="n"/>
      <c r="D2904" s="268" t="n"/>
      <c r="G2904" s="268" t="n"/>
    </row>
    <row r="2905">
      <c r="A2905" s="268" t="n"/>
      <c r="D2905" s="268" t="n"/>
      <c r="G2905" s="268" t="n"/>
    </row>
    <row r="2906">
      <c r="A2906" s="268" t="n"/>
      <c r="D2906" s="268" t="n"/>
      <c r="G2906" s="268" t="n"/>
    </row>
    <row r="2907">
      <c r="A2907" s="268" t="n"/>
      <c r="D2907" s="268" t="n"/>
      <c r="G2907" s="268" t="n"/>
    </row>
    <row r="2908">
      <c r="A2908" s="268" t="n"/>
      <c r="D2908" s="268" t="n"/>
      <c r="G2908" s="268" t="n"/>
    </row>
    <row r="2909">
      <c r="A2909" s="268" t="n"/>
      <c r="D2909" s="268" t="n"/>
      <c r="G2909" s="268" t="n"/>
    </row>
    <row r="2910">
      <c r="A2910" s="268" t="n"/>
      <c r="D2910" s="268" t="n"/>
      <c r="G2910" s="268" t="n"/>
    </row>
    <row r="2911">
      <c r="A2911" s="268" t="n"/>
      <c r="D2911" s="268" t="n"/>
      <c r="G2911" s="268" t="n"/>
    </row>
    <row r="2912">
      <c r="A2912" s="268" t="n"/>
      <c r="D2912" s="268" t="n"/>
      <c r="G2912" s="268" t="n"/>
    </row>
    <row r="2913">
      <c r="A2913" s="268" t="n"/>
      <c r="D2913" s="268" t="n"/>
      <c r="G2913" s="268" t="n"/>
    </row>
    <row r="2914">
      <c r="A2914" s="268" t="n"/>
      <c r="D2914" s="268" t="n"/>
      <c r="G2914" s="268" t="n"/>
    </row>
    <row r="2915">
      <c r="A2915" s="268" t="n"/>
      <c r="D2915" s="268" t="n"/>
      <c r="G2915" s="268" t="n"/>
    </row>
    <row r="2916">
      <c r="A2916" s="268" t="n"/>
      <c r="D2916" s="268" t="n"/>
      <c r="G2916" s="268" t="n"/>
    </row>
    <row r="2917">
      <c r="A2917" s="268" t="n"/>
      <c r="D2917" s="268" t="n"/>
      <c r="G2917" s="268" t="n"/>
    </row>
    <row r="2918">
      <c r="A2918" s="268" t="n"/>
      <c r="D2918" s="268" t="n"/>
      <c r="G2918" s="268" t="n"/>
    </row>
    <row r="2919">
      <c r="A2919" s="268" t="n"/>
      <c r="D2919" s="268" t="n"/>
      <c r="G2919" s="268" t="n"/>
    </row>
    <row r="2920">
      <c r="A2920" s="268" t="n"/>
      <c r="D2920" s="268" t="n"/>
      <c r="G2920" s="268" t="n"/>
    </row>
    <row r="2921">
      <c r="A2921" s="268" t="n"/>
      <c r="D2921" s="268" t="n"/>
      <c r="G2921" s="268" t="n"/>
    </row>
    <row r="2922">
      <c r="A2922" s="268" t="n"/>
      <c r="D2922" s="268" t="n"/>
      <c r="G2922" s="268" t="n"/>
    </row>
    <row r="2923">
      <c r="A2923" s="268" t="n"/>
      <c r="D2923" s="268" t="n"/>
      <c r="G2923" s="268" t="n"/>
    </row>
    <row r="2924">
      <c r="A2924" s="268" t="n"/>
      <c r="D2924" s="268" t="n"/>
      <c r="G2924" s="268" t="n"/>
    </row>
    <row r="2925">
      <c r="A2925" s="268" t="n"/>
      <c r="D2925" s="268" t="n"/>
      <c r="G2925" s="268" t="n"/>
    </row>
    <row r="2926">
      <c r="A2926" s="268" t="n"/>
      <c r="D2926" s="268" t="n"/>
      <c r="G2926" s="268" t="n"/>
    </row>
    <row r="2927">
      <c r="A2927" s="268" t="n"/>
      <c r="D2927" s="268" t="n"/>
      <c r="G2927" s="268" t="n"/>
    </row>
    <row r="2928">
      <c r="A2928" s="268" t="n"/>
      <c r="D2928" s="268" t="n"/>
      <c r="G2928" s="268" t="n"/>
    </row>
    <row r="2929">
      <c r="A2929" s="268" t="n"/>
      <c r="D2929" s="268" t="n"/>
      <c r="G2929" s="268" t="n"/>
    </row>
    <row r="2930">
      <c r="A2930" s="268" t="n"/>
      <c r="D2930" s="268" t="n"/>
      <c r="G2930" s="268" t="n"/>
    </row>
    <row r="2931">
      <c r="A2931" s="268" t="n"/>
      <c r="D2931" s="268" t="n"/>
      <c r="G2931" s="268" t="n"/>
    </row>
    <row r="2932">
      <c r="A2932" s="268" t="n"/>
      <c r="D2932" s="268" t="n"/>
      <c r="G2932" s="268" t="n"/>
    </row>
    <row r="2933">
      <c r="A2933" s="268" t="n"/>
      <c r="D2933" s="268" t="n"/>
      <c r="G2933" s="268" t="n"/>
    </row>
    <row r="2934">
      <c r="A2934" s="268" t="n"/>
      <c r="D2934" s="268" t="n"/>
      <c r="G2934" s="268" t="n"/>
    </row>
    <row r="2935">
      <c r="A2935" s="268" t="n"/>
      <c r="D2935" s="268" t="n"/>
      <c r="G2935" s="268" t="n"/>
    </row>
    <row r="2936">
      <c r="A2936" s="268" t="n"/>
      <c r="D2936" s="268" t="n"/>
      <c r="G2936" s="268" t="n"/>
    </row>
    <row r="2937">
      <c r="A2937" s="268" t="n"/>
      <c r="D2937" s="268" t="n"/>
      <c r="G2937" s="268" t="n"/>
    </row>
    <row r="2938">
      <c r="A2938" s="268" t="n"/>
      <c r="D2938" s="268" t="n"/>
      <c r="G2938" s="268" t="n"/>
    </row>
    <row r="2939">
      <c r="A2939" s="268" t="n"/>
      <c r="D2939" s="268" t="n"/>
      <c r="G2939" s="268" t="n"/>
    </row>
    <row r="2940">
      <c r="A2940" s="268" t="n"/>
      <c r="D2940" s="268" t="n"/>
      <c r="G2940" s="268" t="n"/>
    </row>
    <row r="2941">
      <c r="A2941" s="268" t="n"/>
      <c r="D2941" s="268" t="n"/>
      <c r="G2941" s="268" t="n"/>
    </row>
    <row r="2942">
      <c r="A2942" s="268" t="n"/>
      <c r="D2942" s="268" t="n"/>
      <c r="G2942" s="268" t="n"/>
    </row>
    <row r="2943">
      <c r="A2943" s="268" t="n"/>
      <c r="D2943" s="268" t="n"/>
      <c r="G2943" s="268" t="n"/>
    </row>
    <row r="2944">
      <c r="A2944" s="268" t="n"/>
      <c r="D2944" s="268" t="n"/>
      <c r="G2944" s="268" t="n"/>
    </row>
    <row r="2945">
      <c r="A2945" s="268" t="n"/>
      <c r="D2945" s="268" t="n"/>
      <c r="G2945" s="268" t="n"/>
    </row>
    <row r="2946">
      <c r="A2946" s="268" t="n"/>
      <c r="D2946" s="268" t="n"/>
      <c r="G2946" s="268" t="n"/>
    </row>
    <row r="2947">
      <c r="A2947" s="268" t="n"/>
      <c r="D2947" s="268" t="n"/>
      <c r="G2947" s="268" t="n"/>
    </row>
    <row r="2948">
      <c r="A2948" s="268" t="n"/>
      <c r="D2948" s="268" t="n"/>
      <c r="G2948" s="268" t="n"/>
    </row>
    <row r="2949">
      <c r="A2949" s="268" t="n"/>
      <c r="D2949" s="268" t="n"/>
      <c r="G2949" s="268" t="n"/>
    </row>
    <row r="2950">
      <c r="A2950" s="268" t="n"/>
      <c r="D2950" s="268" t="n"/>
      <c r="G2950" s="268" t="n"/>
    </row>
    <row r="2951">
      <c r="A2951" s="268" t="n"/>
      <c r="D2951" s="268" t="n"/>
      <c r="G2951" s="268" t="n"/>
    </row>
    <row r="2952">
      <c r="A2952" s="268" t="n"/>
      <c r="D2952" s="268" t="n"/>
      <c r="G2952" s="268" t="n"/>
    </row>
    <row r="2953">
      <c r="A2953" s="268" t="n"/>
      <c r="D2953" s="268" t="n"/>
      <c r="G2953" s="268" t="n"/>
    </row>
    <row r="2954">
      <c r="A2954" s="268" t="n"/>
      <c r="D2954" s="268" t="n"/>
      <c r="G2954" s="268" t="n"/>
    </row>
    <row r="2955">
      <c r="A2955" s="268" t="n"/>
      <c r="D2955" s="268" t="n"/>
      <c r="G2955" s="268" t="n"/>
    </row>
    <row r="2956">
      <c r="A2956" s="268" t="n"/>
      <c r="D2956" s="268" t="n"/>
      <c r="G2956" s="268" t="n"/>
    </row>
    <row r="2957">
      <c r="A2957" s="268" t="n"/>
      <c r="D2957" s="268" t="n"/>
      <c r="G2957" s="268" t="n"/>
    </row>
    <row r="2958">
      <c r="A2958" s="268" t="n"/>
      <c r="D2958" s="268" t="n"/>
      <c r="G2958" s="268" t="n"/>
    </row>
    <row r="2959">
      <c r="A2959" s="268" t="n"/>
      <c r="D2959" s="268" t="n"/>
      <c r="G2959" s="268" t="n"/>
    </row>
    <row r="2960">
      <c r="A2960" s="268" t="n"/>
      <c r="D2960" s="268" t="n"/>
      <c r="G2960" s="268" t="n"/>
    </row>
    <row r="2961">
      <c r="A2961" s="268" t="n"/>
      <c r="D2961" s="268" t="n"/>
      <c r="G2961" s="268" t="n"/>
    </row>
    <row r="2962">
      <c r="A2962" s="268" t="n"/>
      <c r="D2962" s="268" t="n"/>
      <c r="G2962" s="268" t="n"/>
    </row>
    <row r="2963">
      <c r="A2963" s="268" t="n"/>
      <c r="D2963" s="268" t="n"/>
      <c r="G2963" s="268" t="n"/>
    </row>
    <row r="2964">
      <c r="A2964" s="268" t="n"/>
      <c r="D2964" s="268" t="n"/>
      <c r="G2964" s="268" t="n"/>
    </row>
    <row r="2965">
      <c r="A2965" s="268" t="n"/>
      <c r="D2965" s="268" t="n"/>
      <c r="G2965" s="268" t="n"/>
    </row>
    <row r="2966">
      <c r="A2966" s="268" t="n"/>
      <c r="D2966" s="268" t="n"/>
      <c r="G2966" s="268" t="n"/>
    </row>
    <row r="2967">
      <c r="A2967" s="268" t="n"/>
      <c r="D2967" s="268" t="n"/>
      <c r="G2967" s="268" t="n"/>
    </row>
    <row r="2968">
      <c r="A2968" s="268" t="n"/>
      <c r="D2968" s="268" t="n"/>
      <c r="G2968" s="268" t="n"/>
    </row>
    <row r="2969">
      <c r="A2969" s="268" t="n"/>
      <c r="D2969" s="268" t="n"/>
      <c r="G2969" s="268" t="n"/>
    </row>
    <row r="2970">
      <c r="A2970" s="268" t="n"/>
      <c r="D2970" s="268" t="n"/>
      <c r="G2970" s="268" t="n"/>
    </row>
    <row r="2971">
      <c r="A2971" s="268" t="n"/>
      <c r="D2971" s="268" t="n"/>
      <c r="G2971" s="268" t="n"/>
    </row>
    <row r="2972">
      <c r="A2972" s="268" t="n"/>
      <c r="D2972" s="268" t="n"/>
      <c r="G2972" s="268" t="n"/>
    </row>
    <row r="2973">
      <c r="A2973" s="268" t="n"/>
      <c r="D2973" s="268" t="n"/>
      <c r="G2973" s="268" t="n"/>
    </row>
    <row r="2974">
      <c r="A2974" s="268" t="n"/>
      <c r="D2974" s="268" t="n"/>
      <c r="G2974" s="268" t="n"/>
    </row>
    <row r="2975">
      <c r="A2975" s="268" t="n"/>
      <c r="D2975" s="268" t="n"/>
      <c r="G2975" s="268" t="n"/>
    </row>
    <row r="2976">
      <c r="A2976" s="268" t="n"/>
      <c r="D2976" s="268" t="n"/>
      <c r="G2976" s="268" t="n"/>
    </row>
    <row r="2977">
      <c r="A2977" s="268" t="n"/>
      <c r="D2977" s="268" t="n"/>
      <c r="G2977" s="268" t="n"/>
    </row>
    <row r="2978">
      <c r="A2978" s="268" t="n"/>
      <c r="D2978" s="268" t="n"/>
      <c r="G2978" s="268" t="n"/>
    </row>
    <row r="2979">
      <c r="A2979" s="268" t="n"/>
      <c r="D2979" s="268" t="n"/>
      <c r="G2979" s="268" t="n"/>
    </row>
    <row r="2980">
      <c r="A2980" s="268" t="n"/>
      <c r="D2980" s="268" t="n"/>
      <c r="G2980" s="268" t="n"/>
    </row>
    <row r="2981">
      <c r="A2981" s="268" t="n"/>
      <c r="D2981" s="268" t="n"/>
      <c r="G2981" s="268" t="n"/>
    </row>
    <row r="2982">
      <c r="A2982" s="268" t="n"/>
      <c r="D2982" s="268" t="n"/>
      <c r="G2982" s="268" t="n"/>
    </row>
    <row r="2983">
      <c r="A2983" s="268" t="n"/>
      <c r="D2983" s="268" t="n"/>
      <c r="G2983" s="268" t="n"/>
    </row>
    <row r="2984">
      <c r="A2984" s="268" t="n"/>
      <c r="D2984" s="268" t="n"/>
      <c r="G2984" s="268" t="n"/>
    </row>
    <row r="2985">
      <c r="A2985" s="268" t="n"/>
      <c r="D2985" s="268" t="n"/>
      <c r="G2985" s="268" t="n"/>
    </row>
    <row r="2986">
      <c r="A2986" s="268" t="n"/>
      <c r="D2986" s="268" t="n"/>
      <c r="G2986" s="268" t="n"/>
    </row>
    <row r="2987">
      <c r="A2987" s="268" t="n"/>
      <c r="D2987" s="268" t="n"/>
      <c r="G2987" s="268" t="n"/>
    </row>
    <row r="2988">
      <c r="A2988" s="268" t="n"/>
      <c r="D2988" s="268" t="n"/>
      <c r="G2988" s="268" t="n"/>
    </row>
    <row r="2989">
      <c r="A2989" s="268" t="n"/>
      <c r="D2989" s="268" t="n"/>
      <c r="G2989" s="268" t="n"/>
    </row>
    <row r="2990">
      <c r="A2990" s="268" t="n"/>
      <c r="D2990" s="268" t="n"/>
      <c r="G2990" s="268" t="n"/>
    </row>
    <row r="2991">
      <c r="A2991" s="268" t="n"/>
      <c r="D2991" s="268" t="n"/>
      <c r="G2991" s="268" t="n"/>
    </row>
    <row r="2992">
      <c r="A2992" s="268" t="n"/>
      <c r="D2992" s="268" t="n"/>
      <c r="G2992" s="268" t="n"/>
    </row>
    <row r="2993">
      <c r="A2993" s="268" t="n"/>
      <c r="D2993" s="268" t="n"/>
      <c r="G2993" s="268" t="n"/>
    </row>
    <row r="2994">
      <c r="A2994" s="268" t="n"/>
      <c r="D2994" s="268" t="n"/>
      <c r="G2994" s="268" t="n"/>
    </row>
    <row r="2995">
      <c r="A2995" s="268" t="n"/>
      <c r="D2995" s="268" t="n"/>
      <c r="G2995" s="268" t="n"/>
    </row>
    <row r="2996">
      <c r="A2996" s="268" t="n"/>
      <c r="D2996" s="268" t="n"/>
      <c r="G2996" s="268" t="n"/>
    </row>
    <row r="2997">
      <c r="A2997" s="268" t="n"/>
      <c r="D2997" s="268" t="n"/>
      <c r="G2997" s="268" t="n"/>
    </row>
    <row r="2998">
      <c r="A2998" s="268" t="n"/>
      <c r="D2998" s="268" t="n"/>
      <c r="G2998" s="268" t="n"/>
    </row>
    <row r="2999">
      <c r="A2999" s="268" t="n"/>
      <c r="D2999" s="268" t="n"/>
      <c r="G2999" s="268" t="n"/>
    </row>
    <row r="3000">
      <c r="A3000" s="268" t="n"/>
      <c r="D3000" s="268" t="n"/>
      <c r="G3000" s="268" t="n"/>
    </row>
    <row r="3001">
      <c r="A3001" s="268" t="n"/>
      <c r="D3001" s="268" t="n"/>
      <c r="G3001" s="268" t="n"/>
    </row>
    <row r="3002">
      <c r="A3002" s="268" t="n"/>
      <c r="D3002" s="268" t="n"/>
      <c r="G3002" s="268" t="n"/>
    </row>
    <row r="3003">
      <c r="A3003" s="268" t="n"/>
      <c r="D3003" s="268" t="n"/>
      <c r="G3003" s="268" t="n"/>
    </row>
    <row r="3004">
      <c r="A3004" s="268" t="n"/>
      <c r="D3004" s="268" t="n"/>
      <c r="G3004" s="268" t="n"/>
    </row>
  </sheetData>
  <mergeCells count="3">
    <mergeCell ref="A2:K2"/>
    <mergeCell ref="A1:K1"/>
    <mergeCell ref="A3:K3"/>
  </mergeCells>
  <printOptions horizontalCentered="1"/>
  <pageMargins left="0.75" right="0.75" top="1" bottom="1" header="0.5" footer="0.5"/>
  <pageSetup orientation="landscape" paperSize="8" fitToHeight="0" fitToWidth="1"/>
</worksheet>
</file>

<file path=xl/worksheets/sheet18.xml><?xml version="1.0" encoding="utf-8"?>
<worksheet xmlns="http://schemas.openxmlformats.org/spreadsheetml/2006/main">
  <sheetPr>
    <tabColor rgb="00BFBFBF"/>
    <outlinePr summaryBelow="1" summaryRight="1"/>
    <pageSetUpPr fitToPage="1"/>
  </sheetPr>
  <dimension ref="A1:O3004"/>
  <sheetViews>
    <sheetView showGridLines="0" zoomScale="95" workbookViewId="0">
      <pane xSplit="2" ySplit="4" topLeftCell="C5" activePane="bottomRight" state="frozen"/>
      <selection pane="topRight"/>
      <selection pane="bottomLeft"/>
      <selection pane="bottomRight" activeCell="A1" sqref="A1"/>
    </sheetView>
  </sheetViews>
  <sheetFormatPr baseColWidth="8" defaultRowHeight="15"/>
  <cols>
    <col width="1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ht="30" customHeight="1">
      <c r="A1" s="3" t="inlineStr">
        <is>
          <t>Selected pair calculations. Missing observations are chart gaps. Dates and quotes retain their original source basis.</t>
        </is>
      </c>
      <c r="M1" s="3" t="n"/>
      <c r="N1" s="3" t="n"/>
      <c r="O1" s="3" t="n"/>
    </row>
    <row r="2" ht="22" customHeight="1">
      <c r="A2" s="3" t="n"/>
      <c r="B2" s="3" t="n"/>
      <c r="C2" s="3" t="n"/>
      <c r="D2" s="3" t="n"/>
      <c r="E2" s="3" t="n"/>
      <c r="F2" s="3" t="n"/>
      <c r="G2" s="3" t="n"/>
      <c r="H2" s="3" t="n"/>
      <c r="I2" s="3" t="n"/>
      <c r="J2" s="3" t="n"/>
      <c r="K2" s="3" t="n"/>
      <c r="L2" s="3" t="n"/>
      <c r="M2" s="3" t="n"/>
      <c r="N2" s="3" t="n"/>
      <c r="O2" s="3" t="n"/>
    </row>
    <row r="3" ht="22" customHeight="1">
      <c r="A3" s="3" t="n"/>
      <c r="B3" s="3" t="n"/>
      <c r="C3" s="3" t="n"/>
      <c r="D3" s="3" t="n"/>
      <c r="E3" s="3" t="n"/>
      <c r="F3" s="3" t="n"/>
      <c r="G3" s="3" t="n"/>
      <c r="H3" s="3" t="n"/>
      <c r="I3" s="3" t="n"/>
      <c r="J3" s="3" t="n"/>
      <c r="K3" s="3" t="n"/>
      <c r="L3" s="3" t="n"/>
      <c r="M3" s="3" t="n"/>
      <c r="N3" s="3" t="n"/>
      <c r="O3" s="3" t="n"/>
    </row>
    <row r="4" ht="48" customHeight="1">
      <c r="A4" s="7" t="inlineStr">
        <is>
          <t>Date</t>
        </is>
      </c>
      <c r="B4" s="7" t="inlineStr">
        <is>
          <t>A premium</t>
        </is>
      </c>
      <c r="C4" s="7" t="inlineStr">
        <is>
          <t>H close rebased</t>
        </is>
      </c>
      <c r="D4" s="7" t="inlineStr">
        <is>
          <t>A in HK$ rebased</t>
        </is>
      </c>
      <c r="E4" s="7" t="inlineStr">
        <is>
          <t>H raw HKD</t>
        </is>
      </c>
      <c r="F4" s="7" t="inlineStr">
        <is>
          <t>A raw CNY</t>
        </is>
      </c>
      <c r="G4" s="7" t="inlineStr">
        <is>
          <t>A date</t>
        </is>
      </c>
      <c r="H4" s="7" t="inlineStr">
        <is>
          <t>FX</t>
        </is>
      </c>
      <c r="I4" s="7" t="inlineStr">
        <is>
          <t>FX date</t>
        </is>
      </c>
      <c r="J4" s="7" t="inlineStr">
        <is>
          <t>A in HK$</t>
        </is>
      </c>
      <c r="K4" s="7" t="inlineStr">
        <is>
          <t>H row</t>
        </is>
      </c>
      <c r="L4" s="7" t="inlineStr">
        <is>
          <t>Date label</t>
        </is>
      </c>
      <c r="M4" s="7" t="n"/>
      <c r="N4" s="7" t="n"/>
      <c r="O4" s="7" t="n"/>
    </row>
    <row r="5" ht="22" customHeight="1">
      <c r="A5" s="14">
        <f>IF(OR(AH!$U$4=0,0+1&gt;AH!$U$6,AND(AH!$M$5="Bloomberg",AH!$U$5=0)),"",IFERROR(IF(AND(AH!$U$12=1,0+1=AH!$U$6),TODAY(),IF(AH!$U$5=1,INDEX('Live History'!$A$5:$A$3004,AH!$U$7+0),INDEX('AH History'!$A$5:$A$1380,AH!$U$7+0))),""))</f>
        <v/>
      </c>
      <c r="B5" s="33">
        <f>IFERROR(IF(AH!$U$11=1,NA(),$J5/$E5-1),NA())</f>
        <v/>
      </c>
      <c r="C5" s="269">
        <f>IFERROR(100*$E5/$E$5,NA())</f>
        <v/>
      </c>
      <c r="D5" s="269">
        <f>IFERROR(100*$J5/$J$5,NA())</f>
        <v/>
      </c>
      <c r="E5" s="32">
        <f>IFERROR(IF(AND(ISNUMBER($A5),N(IF(AND(AH!$U$12=1,0+1=AH!$U$6),IF(AH!$U$4=0,"unavailable",INDEX('Market Data'!$AN$5:$AN$66,AH!$U$4)),IF(AH!$U$5=1,INDEX('Live History'!$B$5:$B$3004,$K5),INDEX('AH History'!$D$5:$GG$1380,$K5,AH!$U$10))))&gt;0),IF(AND(AH!$U$12=1,0+1=AH!$U$6),IF(AH!$U$4=0,"unavailable",INDEX('Market Data'!$AN$5:$AN$66,AH!$U$4)),IF(AH!$U$5=1,INDEX('Live History'!$B$5:$B$3004,$K5),INDEX('AH History'!$D$5:$GG$1380,$K5,AH!$U$10))),NA()),NA())</f>
        <v/>
      </c>
      <c r="F5" s="32">
        <f>IFERROR(IF(ISNUMBER($A5),IF(AND(AH!$U$12=1,0+1=AH!$U$6),IF(AH!$U$4=0,"unavailable",INDEX('Market Data'!$AO$5:$AO$66,AH!$U$4)),IF(AH!$U$5=1,INDEX('Live History'!$E$5:$E$3004,MATCH($A5,'Live History'!$D$5:$D$3004,1)),INDEX('AH History'!$D$5:$GG$1380,$K5,AH!$U$10+1))),NA()),NA())</f>
        <v/>
      </c>
      <c r="G5" s="34">
        <f>IFERROR(IF(ISNUMBER($A5),IF(AND(AH!$U$12=1,0+1=AH!$U$6),IF(AH!$U$4=0,"unavailable",INDEX('Market Data'!$AK$5:$AK$66,AH!$U$4)),IF(AH!$U$5=1,INDEX('Live History'!$D$5:$D$3004,MATCH($A5,'Live History'!$D$5:$D$3004,1)),INDEX('AH History'!$D$5:$GG$1380,$K5,AH!$U$10+2))),NA()),NA())</f>
        <v/>
      </c>
      <c r="H5" s="266">
        <f>IFERROR(IF(ISNUMBER($A5),IF(AND(AH!$U$12=1,0+1=AH!$U$6),IF(AH!$U$4=0,"unavailable",INDEX('Market Data'!$AP$5:$AP$66,AH!$U$4)),IF(AH!$U$5=1,INDEX('Live History'!$H$5:$H$3004,MATCH($A5,'Live History'!$G$5:$G$3004,1)),INDEX('AH History'!$B$5:$B$1380,$K5))),NA()),NA())</f>
        <v/>
      </c>
      <c r="I5" s="34">
        <f>IFERROR(IF(ISNUMBER($A5),IF(AND(AH!$U$12=1,0+1=AH!$U$6),TODAY(),IF(AH!$U$5=1,INDEX('Live History'!$G$5:$G$3004,MATCH($A5,'Live History'!$G$5:$G$3004,1)),INDEX('AH History'!$C$5:$C$1380,$K5))),NA()),NA())</f>
        <v/>
      </c>
      <c r="J5" s="32">
        <f>IFERROR(IF(AND($F5&gt;0,$H5&gt;0,$A5-$G5&lt;=10,$A5-$I5&lt;=5,$G5&gt;0,$I5&gt;0),$F5*$H5,NA()),NA())</f>
        <v/>
      </c>
      <c r="K5" s="15">
        <f>IF($A5="","",IF(AH!$U$5=1,IFERROR(MATCH($A5,'Live History'!$A$5:$A$3004,0),0),AH!$U$7+0))</f>
        <v/>
      </c>
      <c r="L5" s="15">
        <f>IF(ISNUMBER(A5),TEXT(A5,"dd-mmm-yy"),"")</f>
        <v/>
      </c>
      <c r="M5" s="3" t="n"/>
      <c r="N5" s="3" t="n"/>
      <c r="O5" s="3" t="n"/>
    </row>
    <row r="6" ht="22" customHeight="1">
      <c r="A6" s="14">
        <f>IF(OR(AH!$U$4=0,1+1&gt;AH!$U$6,AND(AH!$M$5="Bloomberg",AH!$U$5=0)),"",IFERROR(IF(AND(AH!$U$12=1,1+1=AH!$U$6),TODAY(),IF(AH!$U$5=1,INDEX('Live History'!$A$5:$A$3004,AH!$U$7+1),INDEX('AH History'!$A$5:$A$1380,AH!$U$7+1))),""))</f>
        <v/>
      </c>
      <c r="B6" s="33">
        <f>IFERROR(IF(AH!$U$11=1,NA(),$J6/$E6-1),NA())</f>
        <v/>
      </c>
      <c r="C6" s="269">
        <f>IFERROR(100*$E6/$E$5,NA())</f>
        <v/>
      </c>
      <c r="D6" s="269">
        <f>IFERROR(100*$J6/$J$5,NA())</f>
        <v/>
      </c>
      <c r="E6" s="32">
        <f>IFERROR(IF(AND(ISNUMBER($A6),N(IF(AND(AH!$U$12=1,1+1=AH!$U$6),IF(AH!$U$4=0,"unavailable",INDEX('Market Data'!$AN$5:$AN$66,AH!$U$4)),IF(AH!$U$5=1,INDEX('Live History'!$B$5:$B$3004,$K6),INDEX('AH History'!$D$5:$GG$1380,$K6,AH!$U$10))))&gt;0),IF(AND(AH!$U$12=1,1+1=AH!$U$6),IF(AH!$U$4=0,"unavailable",INDEX('Market Data'!$AN$5:$AN$66,AH!$U$4)),IF(AH!$U$5=1,INDEX('Live History'!$B$5:$B$3004,$K6),INDEX('AH History'!$D$5:$GG$1380,$K6,AH!$U$10))),NA()),NA())</f>
        <v/>
      </c>
      <c r="F6" s="32">
        <f>IFERROR(IF(ISNUMBER($A6),IF(AND(AH!$U$12=1,1+1=AH!$U$6),IF(AH!$U$4=0,"unavailable",INDEX('Market Data'!$AO$5:$AO$66,AH!$U$4)),IF(AH!$U$5=1,INDEX('Live History'!$E$5:$E$3004,MATCH($A6,'Live History'!$D$5:$D$3004,1)),INDEX('AH History'!$D$5:$GG$1380,$K6,AH!$U$10+1))),NA()),NA())</f>
        <v/>
      </c>
      <c r="G6" s="34">
        <f>IFERROR(IF(ISNUMBER($A6),IF(AND(AH!$U$12=1,1+1=AH!$U$6),IF(AH!$U$4=0,"unavailable",INDEX('Market Data'!$AK$5:$AK$66,AH!$U$4)),IF(AH!$U$5=1,INDEX('Live History'!$D$5:$D$3004,MATCH($A6,'Live History'!$D$5:$D$3004,1)),INDEX('AH History'!$D$5:$GG$1380,$K6,AH!$U$10+2))),NA()),NA())</f>
        <v/>
      </c>
      <c r="H6" s="266">
        <f>IFERROR(IF(ISNUMBER($A6),IF(AND(AH!$U$12=1,1+1=AH!$U$6),IF(AH!$U$4=0,"unavailable",INDEX('Market Data'!$AP$5:$AP$66,AH!$U$4)),IF(AH!$U$5=1,INDEX('Live History'!$H$5:$H$3004,MATCH($A6,'Live History'!$G$5:$G$3004,1)),INDEX('AH History'!$B$5:$B$1380,$K6))),NA()),NA())</f>
        <v/>
      </c>
      <c r="I6" s="34">
        <f>IFERROR(IF(ISNUMBER($A6),IF(AND(AH!$U$12=1,1+1=AH!$U$6),TODAY(),IF(AH!$U$5=1,INDEX('Live History'!$G$5:$G$3004,MATCH($A6,'Live History'!$G$5:$G$3004,1)),INDEX('AH History'!$C$5:$C$1380,$K6))),NA()),NA())</f>
        <v/>
      </c>
      <c r="J6" s="32">
        <f>IFERROR(IF(AND($F6&gt;0,$H6&gt;0,$A6-$G6&lt;=10,$A6-$I6&lt;=5,$G6&gt;0,$I6&gt;0),$F6*$H6,NA()),NA())</f>
        <v/>
      </c>
      <c r="K6" s="15">
        <f>IF($A6="","",IF(AH!$U$5=1,IFERROR(MATCH($A6,'Live History'!$A$5:$A$3004,0),0),AH!$U$7+1))</f>
        <v/>
      </c>
      <c r="L6" s="15">
        <f>IF(ISNUMBER(A6),TEXT(A6,"dd-mmm-yy"),"")</f>
        <v/>
      </c>
      <c r="M6" s="3" t="n"/>
      <c r="N6" s="3" t="n"/>
      <c r="O6" s="3" t="n"/>
    </row>
    <row r="7" ht="22" customHeight="1">
      <c r="A7" s="14">
        <f>IF(OR(AH!$U$4=0,2+1&gt;AH!$U$6,AND(AH!$M$5="Bloomberg",AH!$U$5=0)),"",IFERROR(IF(AND(AH!$U$12=1,2+1=AH!$U$6),TODAY(),IF(AH!$U$5=1,INDEX('Live History'!$A$5:$A$3004,AH!$U$7+2),INDEX('AH History'!$A$5:$A$1380,AH!$U$7+2))),""))</f>
        <v/>
      </c>
      <c r="B7" s="33">
        <f>IFERROR(IF(AH!$U$11=1,NA(),$J7/$E7-1),NA())</f>
        <v/>
      </c>
      <c r="C7" s="269">
        <f>IFERROR(100*$E7/$E$5,NA())</f>
        <v/>
      </c>
      <c r="D7" s="269">
        <f>IFERROR(100*$J7/$J$5,NA())</f>
        <v/>
      </c>
      <c r="E7" s="32">
        <f>IFERROR(IF(AND(ISNUMBER($A7),N(IF(AND(AH!$U$12=1,2+1=AH!$U$6),IF(AH!$U$4=0,"unavailable",INDEX('Market Data'!$AN$5:$AN$66,AH!$U$4)),IF(AH!$U$5=1,INDEX('Live History'!$B$5:$B$3004,$K7),INDEX('AH History'!$D$5:$GG$1380,$K7,AH!$U$10))))&gt;0),IF(AND(AH!$U$12=1,2+1=AH!$U$6),IF(AH!$U$4=0,"unavailable",INDEX('Market Data'!$AN$5:$AN$66,AH!$U$4)),IF(AH!$U$5=1,INDEX('Live History'!$B$5:$B$3004,$K7),INDEX('AH History'!$D$5:$GG$1380,$K7,AH!$U$10))),NA()),NA())</f>
        <v/>
      </c>
      <c r="F7" s="32">
        <f>IFERROR(IF(ISNUMBER($A7),IF(AND(AH!$U$12=1,2+1=AH!$U$6),IF(AH!$U$4=0,"unavailable",INDEX('Market Data'!$AO$5:$AO$66,AH!$U$4)),IF(AH!$U$5=1,INDEX('Live History'!$E$5:$E$3004,MATCH($A7,'Live History'!$D$5:$D$3004,1)),INDEX('AH History'!$D$5:$GG$1380,$K7,AH!$U$10+1))),NA()),NA())</f>
        <v/>
      </c>
      <c r="G7" s="34">
        <f>IFERROR(IF(ISNUMBER($A7),IF(AND(AH!$U$12=1,2+1=AH!$U$6),IF(AH!$U$4=0,"unavailable",INDEX('Market Data'!$AK$5:$AK$66,AH!$U$4)),IF(AH!$U$5=1,INDEX('Live History'!$D$5:$D$3004,MATCH($A7,'Live History'!$D$5:$D$3004,1)),INDEX('AH History'!$D$5:$GG$1380,$K7,AH!$U$10+2))),NA()),NA())</f>
        <v/>
      </c>
      <c r="H7" s="266">
        <f>IFERROR(IF(ISNUMBER($A7),IF(AND(AH!$U$12=1,2+1=AH!$U$6),IF(AH!$U$4=0,"unavailable",INDEX('Market Data'!$AP$5:$AP$66,AH!$U$4)),IF(AH!$U$5=1,INDEX('Live History'!$H$5:$H$3004,MATCH($A7,'Live History'!$G$5:$G$3004,1)),INDEX('AH History'!$B$5:$B$1380,$K7))),NA()),NA())</f>
        <v/>
      </c>
      <c r="I7" s="34">
        <f>IFERROR(IF(ISNUMBER($A7),IF(AND(AH!$U$12=1,2+1=AH!$U$6),TODAY(),IF(AH!$U$5=1,INDEX('Live History'!$G$5:$G$3004,MATCH($A7,'Live History'!$G$5:$G$3004,1)),INDEX('AH History'!$C$5:$C$1380,$K7))),NA()),NA())</f>
        <v/>
      </c>
      <c r="J7" s="32">
        <f>IFERROR(IF(AND($F7&gt;0,$H7&gt;0,$A7-$G7&lt;=10,$A7-$I7&lt;=5,$G7&gt;0,$I7&gt;0),$F7*$H7,NA()),NA())</f>
        <v/>
      </c>
      <c r="K7" s="15">
        <f>IF($A7="","",IF(AH!$U$5=1,IFERROR(MATCH($A7,'Live History'!$A$5:$A$3004,0),0),AH!$U$7+2))</f>
        <v/>
      </c>
      <c r="L7" s="15">
        <f>IF(ISNUMBER(A7),TEXT(A7,"dd-mmm-yy"),"")</f>
        <v/>
      </c>
      <c r="M7" s="3" t="n"/>
      <c r="N7" s="3" t="n"/>
      <c r="O7" s="3" t="n"/>
    </row>
    <row r="8" ht="22" customHeight="1">
      <c r="A8" s="14">
        <f>IF(OR(AH!$U$4=0,3+1&gt;AH!$U$6,AND(AH!$M$5="Bloomberg",AH!$U$5=0)),"",IFERROR(IF(AND(AH!$U$12=1,3+1=AH!$U$6),TODAY(),IF(AH!$U$5=1,INDEX('Live History'!$A$5:$A$3004,AH!$U$7+3),INDEX('AH History'!$A$5:$A$1380,AH!$U$7+3))),""))</f>
        <v/>
      </c>
      <c r="B8" s="33">
        <f>IFERROR(IF(AH!$U$11=1,NA(),$J8/$E8-1),NA())</f>
        <v/>
      </c>
      <c r="C8" s="269">
        <f>IFERROR(100*$E8/$E$5,NA())</f>
        <v/>
      </c>
      <c r="D8" s="269">
        <f>IFERROR(100*$J8/$J$5,NA())</f>
        <v/>
      </c>
      <c r="E8" s="32">
        <f>IFERROR(IF(AND(ISNUMBER($A8),N(IF(AND(AH!$U$12=1,3+1=AH!$U$6),IF(AH!$U$4=0,"unavailable",INDEX('Market Data'!$AN$5:$AN$66,AH!$U$4)),IF(AH!$U$5=1,INDEX('Live History'!$B$5:$B$3004,$K8),INDEX('AH History'!$D$5:$GG$1380,$K8,AH!$U$10))))&gt;0),IF(AND(AH!$U$12=1,3+1=AH!$U$6),IF(AH!$U$4=0,"unavailable",INDEX('Market Data'!$AN$5:$AN$66,AH!$U$4)),IF(AH!$U$5=1,INDEX('Live History'!$B$5:$B$3004,$K8),INDEX('AH History'!$D$5:$GG$1380,$K8,AH!$U$10))),NA()),NA())</f>
        <v/>
      </c>
      <c r="F8" s="32">
        <f>IFERROR(IF(ISNUMBER($A8),IF(AND(AH!$U$12=1,3+1=AH!$U$6),IF(AH!$U$4=0,"unavailable",INDEX('Market Data'!$AO$5:$AO$66,AH!$U$4)),IF(AH!$U$5=1,INDEX('Live History'!$E$5:$E$3004,MATCH($A8,'Live History'!$D$5:$D$3004,1)),INDEX('AH History'!$D$5:$GG$1380,$K8,AH!$U$10+1))),NA()),NA())</f>
        <v/>
      </c>
      <c r="G8" s="34">
        <f>IFERROR(IF(ISNUMBER($A8),IF(AND(AH!$U$12=1,3+1=AH!$U$6),IF(AH!$U$4=0,"unavailable",INDEX('Market Data'!$AK$5:$AK$66,AH!$U$4)),IF(AH!$U$5=1,INDEX('Live History'!$D$5:$D$3004,MATCH($A8,'Live History'!$D$5:$D$3004,1)),INDEX('AH History'!$D$5:$GG$1380,$K8,AH!$U$10+2))),NA()),NA())</f>
        <v/>
      </c>
      <c r="H8" s="266">
        <f>IFERROR(IF(ISNUMBER($A8),IF(AND(AH!$U$12=1,3+1=AH!$U$6),IF(AH!$U$4=0,"unavailable",INDEX('Market Data'!$AP$5:$AP$66,AH!$U$4)),IF(AH!$U$5=1,INDEX('Live History'!$H$5:$H$3004,MATCH($A8,'Live History'!$G$5:$G$3004,1)),INDEX('AH History'!$B$5:$B$1380,$K8))),NA()),NA())</f>
        <v/>
      </c>
      <c r="I8" s="34">
        <f>IFERROR(IF(ISNUMBER($A8),IF(AND(AH!$U$12=1,3+1=AH!$U$6),TODAY(),IF(AH!$U$5=1,INDEX('Live History'!$G$5:$G$3004,MATCH($A8,'Live History'!$G$5:$G$3004,1)),INDEX('AH History'!$C$5:$C$1380,$K8))),NA()),NA())</f>
        <v/>
      </c>
      <c r="J8" s="32">
        <f>IFERROR(IF(AND($F8&gt;0,$H8&gt;0,$A8-$G8&lt;=10,$A8-$I8&lt;=5,$G8&gt;0,$I8&gt;0),$F8*$H8,NA()),NA())</f>
        <v/>
      </c>
      <c r="K8" s="15">
        <f>IF($A8="","",IF(AH!$U$5=1,IFERROR(MATCH($A8,'Live History'!$A$5:$A$3004,0),0),AH!$U$7+3))</f>
        <v/>
      </c>
      <c r="L8" s="15">
        <f>IF(ISNUMBER(A8),TEXT(A8,"dd-mmm-yy"),"")</f>
        <v/>
      </c>
      <c r="M8" s="3" t="n"/>
      <c r="N8" s="3" t="n"/>
      <c r="O8" s="3" t="n"/>
    </row>
    <row r="9" ht="22" customHeight="1">
      <c r="A9" s="14">
        <f>IF(OR(AH!$U$4=0,4+1&gt;AH!$U$6,AND(AH!$M$5="Bloomberg",AH!$U$5=0)),"",IFERROR(IF(AND(AH!$U$12=1,4+1=AH!$U$6),TODAY(),IF(AH!$U$5=1,INDEX('Live History'!$A$5:$A$3004,AH!$U$7+4),INDEX('AH History'!$A$5:$A$1380,AH!$U$7+4))),""))</f>
        <v/>
      </c>
      <c r="B9" s="33">
        <f>IFERROR(IF(AH!$U$11=1,NA(),$J9/$E9-1),NA())</f>
        <v/>
      </c>
      <c r="C9" s="269">
        <f>IFERROR(100*$E9/$E$5,NA())</f>
        <v/>
      </c>
      <c r="D9" s="269">
        <f>IFERROR(100*$J9/$J$5,NA())</f>
        <v/>
      </c>
      <c r="E9" s="32">
        <f>IFERROR(IF(AND(ISNUMBER($A9),N(IF(AND(AH!$U$12=1,4+1=AH!$U$6),IF(AH!$U$4=0,"unavailable",INDEX('Market Data'!$AN$5:$AN$66,AH!$U$4)),IF(AH!$U$5=1,INDEX('Live History'!$B$5:$B$3004,$K9),INDEX('AH History'!$D$5:$GG$1380,$K9,AH!$U$10))))&gt;0),IF(AND(AH!$U$12=1,4+1=AH!$U$6),IF(AH!$U$4=0,"unavailable",INDEX('Market Data'!$AN$5:$AN$66,AH!$U$4)),IF(AH!$U$5=1,INDEX('Live History'!$B$5:$B$3004,$K9),INDEX('AH History'!$D$5:$GG$1380,$K9,AH!$U$10))),NA()),NA())</f>
        <v/>
      </c>
      <c r="F9" s="32">
        <f>IFERROR(IF(ISNUMBER($A9),IF(AND(AH!$U$12=1,4+1=AH!$U$6),IF(AH!$U$4=0,"unavailable",INDEX('Market Data'!$AO$5:$AO$66,AH!$U$4)),IF(AH!$U$5=1,INDEX('Live History'!$E$5:$E$3004,MATCH($A9,'Live History'!$D$5:$D$3004,1)),INDEX('AH History'!$D$5:$GG$1380,$K9,AH!$U$10+1))),NA()),NA())</f>
        <v/>
      </c>
      <c r="G9" s="34">
        <f>IFERROR(IF(ISNUMBER($A9),IF(AND(AH!$U$12=1,4+1=AH!$U$6),IF(AH!$U$4=0,"unavailable",INDEX('Market Data'!$AK$5:$AK$66,AH!$U$4)),IF(AH!$U$5=1,INDEX('Live History'!$D$5:$D$3004,MATCH($A9,'Live History'!$D$5:$D$3004,1)),INDEX('AH History'!$D$5:$GG$1380,$K9,AH!$U$10+2))),NA()),NA())</f>
        <v/>
      </c>
      <c r="H9" s="266">
        <f>IFERROR(IF(ISNUMBER($A9),IF(AND(AH!$U$12=1,4+1=AH!$U$6),IF(AH!$U$4=0,"unavailable",INDEX('Market Data'!$AP$5:$AP$66,AH!$U$4)),IF(AH!$U$5=1,INDEX('Live History'!$H$5:$H$3004,MATCH($A9,'Live History'!$G$5:$G$3004,1)),INDEX('AH History'!$B$5:$B$1380,$K9))),NA()),NA())</f>
        <v/>
      </c>
      <c r="I9" s="34">
        <f>IFERROR(IF(ISNUMBER($A9),IF(AND(AH!$U$12=1,4+1=AH!$U$6),TODAY(),IF(AH!$U$5=1,INDEX('Live History'!$G$5:$G$3004,MATCH($A9,'Live History'!$G$5:$G$3004,1)),INDEX('AH History'!$C$5:$C$1380,$K9))),NA()),NA())</f>
        <v/>
      </c>
      <c r="J9" s="32">
        <f>IFERROR(IF(AND($F9&gt;0,$H9&gt;0,$A9-$G9&lt;=10,$A9-$I9&lt;=5,$G9&gt;0,$I9&gt;0),$F9*$H9,NA()),NA())</f>
        <v/>
      </c>
      <c r="K9" s="15">
        <f>IF($A9="","",IF(AH!$U$5=1,IFERROR(MATCH($A9,'Live History'!$A$5:$A$3004,0),0),AH!$U$7+4))</f>
        <v/>
      </c>
      <c r="L9" s="15">
        <f>IF(ISNUMBER(A9),TEXT(A9,"dd-mmm-yy"),"")</f>
        <v/>
      </c>
      <c r="M9" s="3" t="n"/>
      <c r="N9" s="3" t="n"/>
      <c r="O9" s="3" t="n"/>
    </row>
    <row r="10" ht="22" customHeight="1">
      <c r="A10" s="14">
        <f>IF(OR(AH!$U$4=0,5+1&gt;AH!$U$6,AND(AH!$M$5="Bloomberg",AH!$U$5=0)),"",IFERROR(IF(AND(AH!$U$12=1,5+1=AH!$U$6),TODAY(),IF(AH!$U$5=1,INDEX('Live History'!$A$5:$A$3004,AH!$U$7+5),INDEX('AH History'!$A$5:$A$1380,AH!$U$7+5))),""))</f>
        <v/>
      </c>
      <c r="B10" s="33">
        <f>IFERROR(IF(AH!$U$11=1,NA(),$J10/$E10-1),NA())</f>
        <v/>
      </c>
      <c r="C10" s="269">
        <f>IFERROR(100*$E10/$E$5,NA())</f>
        <v/>
      </c>
      <c r="D10" s="269">
        <f>IFERROR(100*$J10/$J$5,NA())</f>
        <v/>
      </c>
      <c r="E10" s="32">
        <f>IFERROR(IF(AND(ISNUMBER($A10),N(IF(AND(AH!$U$12=1,5+1=AH!$U$6),IF(AH!$U$4=0,"unavailable",INDEX('Market Data'!$AN$5:$AN$66,AH!$U$4)),IF(AH!$U$5=1,INDEX('Live History'!$B$5:$B$3004,$K10),INDEX('AH History'!$D$5:$GG$1380,$K10,AH!$U$10))))&gt;0),IF(AND(AH!$U$12=1,5+1=AH!$U$6),IF(AH!$U$4=0,"unavailable",INDEX('Market Data'!$AN$5:$AN$66,AH!$U$4)),IF(AH!$U$5=1,INDEX('Live History'!$B$5:$B$3004,$K10),INDEX('AH History'!$D$5:$GG$1380,$K10,AH!$U$10))),NA()),NA())</f>
        <v/>
      </c>
      <c r="F10" s="32">
        <f>IFERROR(IF(ISNUMBER($A10),IF(AND(AH!$U$12=1,5+1=AH!$U$6),IF(AH!$U$4=0,"unavailable",INDEX('Market Data'!$AO$5:$AO$66,AH!$U$4)),IF(AH!$U$5=1,INDEX('Live History'!$E$5:$E$3004,MATCH($A10,'Live History'!$D$5:$D$3004,1)),INDEX('AH History'!$D$5:$GG$1380,$K10,AH!$U$10+1))),NA()),NA())</f>
        <v/>
      </c>
      <c r="G10" s="34">
        <f>IFERROR(IF(ISNUMBER($A10),IF(AND(AH!$U$12=1,5+1=AH!$U$6),IF(AH!$U$4=0,"unavailable",INDEX('Market Data'!$AK$5:$AK$66,AH!$U$4)),IF(AH!$U$5=1,INDEX('Live History'!$D$5:$D$3004,MATCH($A10,'Live History'!$D$5:$D$3004,1)),INDEX('AH History'!$D$5:$GG$1380,$K10,AH!$U$10+2))),NA()),NA())</f>
        <v/>
      </c>
      <c r="H10" s="266">
        <f>IFERROR(IF(ISNUMBER($A10),IF(AND(AH!$U$12=1,5+1=AH!$U$6),IF(AH!$U$4=0,"unavailable",INDEX('Market Data'!$AP$5:$AP$66,AH!$U$4)),IF(AH!$U$5=1,INDEX('Live History'!$H$5:$H$3004,MATCH($A10,'Live History'!$G$5:$G$3004,1)),INDEX('AH History'!$B$5:$B$1380,$K10))),NA()),NA())</f>
        <v/>
      </c>
      <c r="I10" s="34">
        <f>IFERROR(IF(ISNUMBER($A10),IF(AND(AH!$U$12=1,5+1=AH!$U$6),TODAY(),IF(AH!$U$5=1,INDEX('Live History'!$G$5:$G$3004,MATCH($A10,'Live History'!$G$5:$G$3004,1)),INDEX('AH History'!$C$5:$C$1380,$K10))),NA()),NA())</f>
        <v/>
      </c>
      <c r="J10" s="32">
        <f>IFERROR(IF(AND($F10&gt;0,$H10&gt;0,$A10-$G10&lt;=10,$A10-$I10&lt;=5,$G10&gt;0,$I10&gt;0),$F10*$H10,NA()),NA())</f>
        <v/>
      </c>
      <c r="K10" s="15">
        <f>IF($A10="","",IF(AH!$U$5=1,IFERROR(MATCH($A10,'Live History'!$A$5:$A$3004,0),0),AH!$U$7+5))</f>
        <v/>
      </c>
      <c r="L10" s="15">
        <f>IF(ISNUMBER(A10),TEXT(A10,"dd-mmm-yy"),"")</f>
        <v/>
      </c>
      <c r="M10" s="3" t="n"/>
      <c r="N10" s="3" t="n"/>
      <c r="O10" s="3" t="n"/>
    </row>
    <row r="11" ht="22" customHeight="1">
      <c r="A11" s="14">
        <f>IF(OR(AH!$U$4=0,6+1&gt;AH!$U$6,AND(AH!$M$5="Bloomberg",AH!$U$5=0)),"",IFERROR(IF(AND(AH!$U$12=1,6+1=AH!$U$6),TODAY(),IF(AH!$U$5=1,INDEX('Live History'!$A$5:$A$3004,AH!$U$7+6),INDEX('AH History'!$A$5:$A$1380,AH!$U$7+6))),""))</f>
        <v/>
      </c>
      <c r="B11" s="33">
        <f>IFERROR(IF(AH!$U$11=1,NA(),$J11/$E11-1),NA())</f>
        <v/>
      </c>
      <c r="C11" s="269">
        <f>IFERROR(100*$E11/$E$5,NA())</f>
        <v/>
      </c>
      <c r="D11" s="269">
        <f>IFERROR(100*$J11/$J$5,NA())</f>
        <v/>
      </c>
      <c r="E11" s="32">
        <f>IFERROR(IF(AND(ISNUMBER($A11),N(IF(AND(AH!$U$12=1,6+1=AH!$U$6),IF(AH!$U$4=0,"unavailable",INDEX('Market Data'!$AN$5:$AN$66,AH!$U$4)),IF(AH!$U$5=1,INDEX('Live History'!$B$5:$B$3004,$K11),INDEX('AH History'!$D$5:$GG$1380,$K11,AH!$U$10))))&gt;0),IF(AND(AH!$U$12=1,6+1=AH!$U$6),IF(AH!$U$4=0,"unavailable",INDEX('Market Data'!$AN$5:$AN$66,AH!$U$4)),IF(AH!$U$5=1,INDEX('Live History'!$B$5:$B$3004,$K11),INDEX('AH History'!$D$5:$GG$1380,$K11,AH!$U$10))),NA()),NA())</f>
        <v/>
      </c>
      <c r="F11" s="32">
        <f>IFERROR(IF(ISNUMBER($A11),IF(AND(AH!$U$12=1,6+1=AH!$U$6),IF(AH!$U$4=0,"unavailable",INDEX('Market Data'!$AO$5:$AO$66,AH!$U$4)),IF(AH!$U$5=1,INDEX('Live History'!$E$5:$E$3004,MATCH($A11,'Live History'!$D$5:$D$3004,1)),INDEX('AH History'!$D$5:$GG$1380,$K11,AH!$U$10+1))),NA()),NA())</f>
        <v/>
      </c>
      <c r="G11" s="34">
        <f>IFERROR(IF(ISNUMBER($A11),IF(AND(AH!$U$12=1,6+1=AH!$U$6),IF(AH!$U$4=0,"unavailable",INDEX('Market Data'!$AK$5:$AK$66,AH!$U$4)),IF(AH!$U$5=1,INDEX('Live History'!$D$5:$D$3004,MATCH($A11,'Live History'!$D$5:$D$3004,1)),INDEX('AH History'!$D$5:$GG$1380,$K11,AH!$U$10+2))),NA()),NA())</f>
        <v/>
      </c>
      <c r="H11" s="266">
        <f>IFERROR(IF(ISNUMBER($A11),IF(AND(AH!$U$12=1,6+1=AH!$U$6),IF(AH!$U$4=0,"unavailable",INDEX('Market Data'!$AP$5:$AP$66,AH!$U$4)),IF(AH!$U$5=1,INDEX('Live History'!$H$5:$H$3004,MATCH($A11,'Live History'!$G$5:$G$3004,1)),INDEX('AH History'!$B$5:$B$1380,$K11))),NA()),NA())</f>
        <v/>
      </c>
      <c r="I11" s="34">
        <f>IFERROR(IF(ISNUMBER($A11),IF(AND(AH!$U$12=1,6+1=AH!$U$6),TODAY(),IF(AH!$U$5=1,INDEX('Live History'!$G$5:$G$3004,MATCH($A11,'Live History'!$G$5:$G$3004,1)),INDEX('AH History'!$C$5:$C$1380,$K11))),NA()),NA())</f>
        <v/>
      </c>
      <c r="J11" s="32">
        <f>IFERROR(IF(AND($F11&gt;0,$H11&gt;0,$A11-$G11&lt;=10,$A11-$I11&lt;=5,$G11&gt;0,$I11&gt;0),$F11*$H11,NA()),NA())</f>
        <v/>
      </c>
      <c r="K11" s="15">
        <f>IF($A11="","",IF(AH!$U$5=1,IFERROR(MATCH($A11,'Live History'!$A$5:$A$3004,0),0),AH!$U$7+6))</f>
        <v/>
      </c>
      <c r="L11" s="15">
        <f>IF(ISNUMBER(A11),TEXT(A11,"dd-mmm-yy"),"")</f>
        <v/>
      </c>
      <c r="M11" s="3" t="n"/>
      <c r="N11" s="3" t="n"/>
      <c r="O11" s="3" t="n"/>
    </row>
    <row r="12" ht="22" customHeight="1">
      <c r="A12" s="14">
        <f>IF(OR(AH!$U$4=0,7+1&gt;AH!$U$6,AND(AH!$M$5="Bloomberg",AH!$U$5=0)),"",IFERROR(IF(AND(AH!$U$12=1,7+1=AH!$U$6),TODAY(),IF(AH!$U$5=1,INDEX('Live History'!$A$5:$A$3004,AH!$U$7+7),INDEX('AH History'!$A$5:$A$1380,AH!$U$7+7))),""))</f>
        <v/>
      </c>
      <c r="B12" s="33">
        <f>IFERROR(IF(AH!$U$11=1,NA(),$J12/$E12-1),NA())</f>
        <v/>
      </c>
      <c r="C12" s="269">
        <f>IFERROR(100*$E12/$E$5,NA())</f>
        <v/>
      </c>
      <c r="D12" s="269">
        <f>IFERROR(100*$J12/$J$5,NA())</f>
        <v/>
      </c>
      <c r="E12" s="32">
        <f>IFERROR(IF(AND(ISNUMBER($A12),N(IF(AND(AH!$U$12=1,7+1=AH!$U$6),IF(AH!$U$4=0,"unavailable",INDEX('Market Data'!$AN$5:$AN$66,AH!$U$4)),IF(AH!$U$5=1,INDEX('Live History'!$B$5:$B$3004,$K12),INDEX('AH History'!$D$5:$GG$1380,$K12,AH!$U$10))))&gt;0),IF(AND(AH!$U$12=1,7+1=AH!$U$6),IF(AH!$U$4=0,"unavailable",INDEX('Market Data'!$AN$5:$AN$66,AH!$U$4)),IF(AH!$U$5=1,INDEX('Live History'!$B$5:$B$3004,$K12),INDEX('AH History'!$D$5:$GG$1380,$K12,AH!$U$10))),NA()),NA())</f>
        <v/>
      </c>
      <c r="F12" s="32">
        <f>IFERROR(IF(ISNUMBER($A12),IF(AND(AH!$U$12=1,7+1=AH!$U$6),IF(AH!$U$4=0,"unavailable",INDEX('Market Data'!$AO$5:$AO$66,AH!$U$4)),IF(AH!$U$5=1,INDEX('Live History'!$E$5:$E$3004,MATCH($A12,'Live History'!$D$5:$D$3004,1)),INDEX('AH History'!$D$5:$GG$1380,$K12,AH!$U$10+1))),NA()),NA())</f>
        <v/>
      </c>
      <c r="G12" s="34">
        <f>IFERROR(IF(ISNUMBER($A12),IF(AND(AH!$U$12=1,7+1=AH!$U$6),IF(AH!$U$4=0,"unavailable",INDEX('Market Data'!$AK$5:$AK$66,AH!$U$4)),IF(AH!$U$5=1,INDEX('Live History'!$D$5:$D$3004,MATCH($A12,'Live History'!$D$5:$D$3004,1)),INDEX('AH History'!$D$5:$GG$1380,$K12,AH!$U$10+2))),NA()),NA())</f>
        <v/>
      </c>
      <c r="H12" s="266">
        <f>IFERROR(IF(ISNUMBER($A12),IF(AND(AH!$U$12=1,7+1=AH!$U$6),IF(AH!$U$4=0,"unavailable",INDEX('Market Data'!$AP$5:$AP$66,AH!$U$4)),IF(AH!$U$5=1,INDEX('Live History'!$H$5:$H$3004,MATCH($A12,'Live History'!$G$5:$G$3004,1)),INDEX('AH History'!$B$5:$B$1380,$K12))),NA()),NA())</f>
        <v/>
      </c>
      <c r="I12" s="34">
        <f>IFERROR(IF(ISNUMBER($A12),IF(AND(AH!$U$12=1,7+1=AH!$U$6),TODAY(),IF(AH!$U$5=1,INDEX('Live History'!$G$5:$G$3004,MATCH($A12,'Live History'!$G$5:$G$3004,1)),INDEX('AH History'!$C$5:$C$1380,$K12))),NA()),NA())</f>
        <v/>
      </c>
      <c r="J12" s="32">
        <f>IFERROR(IF(AND($F12&gt;0,$H12&gt;0,$A12-$G12&lt;=10,$A12-$I12&lt;=5,$G12&gt;0,$I12&gt;0),$F12*$H12,NA()),NA())</f>
        <v/>
      </c>
      <c r="K12" s="15">
        <f>IF($A12="","",IF(AH!$U$5=1,IFERROR(MATCH($A12,'Live History'!$A$5:$A$3004,0),0),AH!$U$7+7))</f>
        <v/>
      </c>
      <c r="L12" s="15">
        <f>IF(ISNUMBER(A12),TEXT(A12,"dd-mmm-yy"),"")</f>
        <v/>
      </c>
      <c r="M12" s="3" t="n"/>
      <c r="N12" s="3" t="n"/>
      <c r="O12" s="3" t="n"/>
    </row>
    <row r="13" ht="22" customHeight="1">
      <c r="A13" s="14">
        <f>IF(OR(AH!$U$4=0,8+1&gt;AH!$U$6,AND(AH!$M$5="Bloomberg",AH!$U$5=0)),"",IFERROR(IF(AND(AH!$U$12=1,8+1=AH!$U$6),TODAY(),IF(AH!$U$5=1,INDEX('Live History'!$A$5:$A$3004,AH!$U$7+8),INDEX('AH History'!$A$5:$A$1380,AH!$U$7+8))),""))</f>
        <v/>
      </c>
      <c r="B13" s="33">
        <f>IFERROR(IF(AH!$U$11=1,NA(),$J13/$E13-1),NA())</f>
        <v/>
      </c>
      <c r="C13" s="269">
        <f>IFERROR(100*$E13/$E$5,NA())</f>
        <v/>
      </c>
      <c r="D13" s="269">
        <f>IFERROR(100*$J13/$J$5,NA())</f>
        <v/>
      </c>
      <c r="E13" s="32">
        <f>IFERROR(IF(AND(ISNUMBER($A13),N(IF(AND(AH!$U$12=1,8+1=AH!$U$6),IF(AH!$U$4=0,"unavailable",INDEX('Market Data'!$AN$5:$AN$66,AH!$U$4)),IF(AH!$U$5=1,INDEX('Live History'!$B$5:$B$3004,$K13),INDEX('AH History'!$D$5:$GG$1380,$K13,AH!$U$10))))&gt;0),IF(AND(AH!$U$12=1,8+1=AH!$U$6),IF(AH!$U$4=0,"unavailable",INDEX('Market Data'!$AN$5:$AN$66,AH!$U$4)),IF(AH!$U$5=1,INDEX('Live History'!$B$5:$B$3004,$K13),INDEX('AH History'!$D$5:$GG$1380,$K13,AH!$U$10))),NA()),NA())</f>
        <v/>
      </c>
      <c r="F13" s="32">
        <f>IFERROR(IF(ISNUMBER($A13),IF(AND(AH!$U$12=1,8+1=AH!$U$6),IF(AH!$U$4=0,"unavailable",INDEX('Market Data'!$AO$5:$AO$66,AH!$U$4)),IF(AH!$U$5=1,INDEX('Live History'!$E$5:$E$3004,MATCH($A13,'Live History'!$D$5:$D$3004,1)),INDEX('AH History'!$D$5:$GG$1380,$K13,AH!$U$10+1))),NA()),NA())</f>
        <v/>
      </c>
      <c r="G13" s="34">
        <f>IFERROR(IF(ISNUMBER($A13),IF(AND(AH!$U$12=1,8+1=AH!$U$6),IF(AH!$U$4=0,"unavailable",INDEX('Market Data'!$AK$5:$AK$66,AH!$U$4)),IF(AH!$U$5=1,INDEX('Live History'!$D$5:$D$3004,MATCH($A13,'Live History'!$D$5:$D$3004,1)),INDEX('AH History'!$D$5:$GG$1380,$K13,AH!$U$10+2))),NA()),NA())</f>
        <v/>
      </c>
      <c r="H13" s="266">
        <f>IFERROR(IF(ISNUMBER($A13),IF(AND(AH!$U$12=1,8+1=AH!$U$6),IF(AH!$U$4=0,"unavailable",INDEX('Market Data'!$AP$5:$AP$66,AH!$U$4)),IF(AH!$U$5=1,INDEX('Live History'!$H$5:$H$3004,MATCH($A13,'Live History'!$G$5:$G$3004,1)),INDEX('AH History'!$B$5:$B$1380,$K13))),NA()),NA())</f>
        <v/>
      </c>
      <c r="I13" s="34">
        <f>IFERROR(IF(ISNUMBER($A13),IF(AND(AH!$U$12=1,8+1=AH!$U$6),TODAY(),IF(AH!$U$5=1,INDEX('Live History'!$G$5:$G$3004,MATCH($A13,'Live History'!$G$5:$G$3004,1)),INDEX('AH History'!$C$5:$C$1380,$K13))),NA()),NA())</f>
        <v/>
      </c>
      <c r="J13" s="32">
        <f>IFERROR(IF(AND($F13&gt;0,$H13&gt;0,$A13-$G13&lt;=10,$A13-$I13&lt;=5,$G13&gt;0,$I13&gt;0),$F13*$H13,NA()),NA())</f>
        <v/>
      </c>
      <c r="K13" s="15">
        <f>IF($A13="","",IF(AH!$U$5=1,IFERROR(MATCH($A13,'Live History'!$A$5:$A$3004,0),0),AH!$U$7+8))</f>
        <v/>
      </c>
      <c r="L13" s="15">
        <f>IF(ISNUMBER(A13),TEXT(A13,"dd-mmm-yy"),"")</f>
        <v/>
      </c>
      <c r="M13" s="3" t="n"/>
      <c r="N13" s="3" t="n"/>
      <c r="O13" s="3" t="n"/>
    </row>
    <row r="14" ht="22" customHeight="1">
      <c r="A14" s="14">
        <f>IF(OR(AH!$U$4=0,9+1&gt;AH!$U$6,AND(AH!$M$5="Bloomberg",AH!$U$5=0)),"",IFERROR(IF(AND(AH!$U$12=1,9+1=AH!$U$6),TODAY(),IF(AH!$U$5=1,INDEX('Live History'!$A$5:$A$3004,AH!$U$7+9),INDEX('AH History'!$A$5:$A$1380,AH!$U$7+9))),""))</f>
        <v/>
      </c>
      <c r="B14" s="33">
        <f>IFERROR(IF(AH!$U$11=1,NA(),$J14/$E14-1),NA())</f>
        <v/>
      </c>
      <c r="C14" s="269">
        <f>IFERROR(100*$E14/$E$5,NA())</f>
        <v/>
      </c>
      <c r="D14" s="269">
        <f>IFERROR(100*$J14/$J$5,NA())</f>
        <v/>
      </c>
      <c r="E14" s="32">
        <f>IFERROR(IF(AND(ISNUMBER($A14),N(IF(AND(AH!$U$12=1,9+1=AH!$U$6),IF(AH!$U$4=0,"unavailable",INDEX('Market Data'!$AN$5:$AN$66,AH!$U$4)),IF(AH!$U$5=1,INDEX('Live History'!$B$5:$B$3004,$K14),INDEX('AH History'!$D$5:$GG$1380,$K14,AH!$U$10))))&gt;0),IF(AND(AH!$U$12=1,9+1=AH!$U$6),IF(AH!$U$4=0,"unavailable",INDEX('Market Data'!$AN$5:$AN$66,AH!$U$4)),IF(AH!$U$5=1,INDEX('Live History'!$B$5:$B$3004,$K14),INDEX('AH History'!$D$5:$GG$1380,$K14,AH!$U$10))),NA()),NA())</f>
        <v/>
      </c>
      <c r="F14" s="32">
        <f>IFERROR(IF(ISNUMBER($A14),IF(AND(AH!$U$12=1,9+1=AH!$U$6),IF(AH!$U$4=0,"unavailable",INDEX('Market Data'!$AO$5:$AO$66,AH!$U$4)),IF(AH!$U$5=1,INDEX('Live History'!$E$5:$E$3004,MATCH($A14,'Live History'!$D$5:$D$3004,1)),INDEX('AH History'!$D$5:$GG$1380,$K14,AH!$U$10+1))),NA()),NA())</f>
        <v/>
      </c>
      <c r="G14" s="34">
        <f>IFERROR(IF(ISNUMBER($A14),IF(AND(AH!$U$12=1,9+1=AH!$U$6),IF(AH!$U$4=0,"unavailable",INDEX('Market Data'!$AK$5:$AK$66,AH!$U$4)),IF(AH!$U$5=1,INDEX('Live History'!$D$5:$D$3004,MATCH($A14,'Live History'!$D$5:$D$3004,1)),INDEX('AH History'!$D$5:$GG$1380,$K14,AH!$U$10+2))),NA()),NA())</f>
        <v/>
      </c>
      <c r="H14" s="266">
        <f>IFERROR(IF(ISNUMBER($A14),IF(AND(AH!$U$12=1,9+1=AH!$U$6),IF(AH!$U$4=0,"unavailable",INDEX('Market Data'!$AP$5:$AP$66,AH!$U$4)),IF(AH!$U$5=1,INDEX('Live History'!$H$5:$H$3004,MATCH($A14,'Live History'!$G$5:$G$3004,1)),INDEX('AH History'!$B$5:$B$1380,$K14))),NA()),NA())</f>
        <v/>
      </c>
      <c r="I14" s="34">
        <f>IFERROR(IF(ISNUMBER($A14),IF(AND(AH!$U$12=1,9+1=AH!$U$6),TODAY(),IF(AH!$U$5=1,INDEX('Live History'!$G$5:$G$3004,MATCH($A14,'Live History'!$G$5:$G$3004,1)),INDEX('AH History'!$C$5:$C$1380,$K14))),NA()),NA())</f>
        <v/>
      </c>
      <c r="J14" s="32">
        <f>IFERROR(IF(AND($F14&gt;0,$H14&gt;0,$A14-$G14&lt;=10,$A14-$I14&lt;=5,$G14&gt;0,$I14&gt;0),$F14*$H14,NA()),NA())</f>
        <v/>
      </c>
      <c r="K14" s="15">
        <f>IF($A14="","",IF(AH!$U$5=1,IFERROR(MATCH($A14,'Live History'!$A$5:$A$3004,0),0),AH!$U$7+9))</f>
        <v/>
      </c>
      <c r="L14" s="15">
        <f>IF(ISNUMBER(A14),TEXT(A14,"dd-mmm-yy"),"")</f>
        <v/>
      </c>
      <c r="M14" s="3" t="n"/>
      <c r="N14" s="3" t="n"/>
      <c r="O14" s="3" t="n"/>
    </row>
    <row r="15" ht="22" customHeight="1">
      <c r="A15" s="14">
        <f>IF(OR(AH!$U$4=0,10+1&gt;AH!$U$6,AND(AH!$M$5="Bloomberg",AH!$U$5=0)),"",IFERROR(IF(AND(AH!$U$12=1,10+1=AH!$U$6),TODAY(),IF(AH!$U$5=1,INDEX('Live History'!$A$5:$A$3004,AH!$U$7+10),INDEX('AH History'!$A$5:$A$1380,AH!$U$7+10))),""))</f>
        <v/>
      </c>
      <c r="B15" s="33">
        <f>IFERROR(IF(AH!$U$11=1,NA(),$J15/$E15-1),NA())</f>
        <v/>
      </c>
      <c r="C15" s="269">
        <f>IFERROR(100*$E15/$E$5,NA())</f>
        <v/>
      </c>
      <c r="D15" s="269">
        <f>IFERROR(100*$J15/$J$5,NA())</f>
        <v/>
      </c>
      <c r="E15" s="32">
        <f>IFERROR(IF(AND(ISNUMBER($A15),N(IF(AND(AH!$U$12=1,10+1=AH!$U$6),IF(AH!$U$4=0,"unavailable",INDEX('Market Data'!$AN$5:$AN$66,AH!$U$4)),IF(AH!$U$5=1,INDEX('Live History'!$B$5:$B$3004,$K15),INDEX('AH History'!$D$5:$GG$1380,$K15,AH!$U$10))))&gt;0),IF(AND(AH!$U$12=1,10+1=AH!$U$6),IF(AH!$U$4=0,"unavailable",INDEX('Market Data'!$AN$5:$AN$66,AH!$U$4)),IF(AH!$U$5=1,INDEX('Live History'!$B$5:$B$3004,$K15),INDEX('AH History'!$D$5:$GG$1380,$K15,AH!$U$10))),NA()),NA())</f>
        <v/>
      </c>
      <c r="F15" s="32">
        <f>IFERROR(IF(ISNUMBER($A15),IF(AND(AH!$U$12=1,10+1=AH!$U$6),IF(AH!$U$4=0,"unavailable",INDEX('Market Data'!$AO$5:$AO$66,AH!$U$4)),IF(AH!$U$5=1,INDEX('Live History'!$E$5:$E$3004,MATCH($A15,'Live History'!$D$5:$D$3004,1)),INDEX('AH History'!$D$5:$GG$1380,$K15,AH!$U$10+1))),NA()),NA())</f>
        <v/>
      </c>
      <c r="G15" s="34">
        <f>IFERROR(IF(ISNUMBER($A15),IF(AND(AH!$U$12=1,10+1=AH!$U$6),IF(AH!$U$4=0,"unavailable",INDEX('Market Data'!$AK$5:$AK$66,AH!$U$4)),IF(AH!$U$5=1,INDEX('Live History'!$D$5:$D$3004,MATCH($A15,'Live History'!$D$5:$D$3004,1)),INDEX('AH History'!$D$5:$GG$1380,$K15,AH!$U$10+2))),NA()),NA())</f>
        <v/>
      </c>
      <c r="H15" s="266">
        <f>IFERROR(IF(ISNUMBER($A15),IF(AND(AH!$U$12=1,10+1=AH!$U$6),IF(AH!$U$4=0,"unavailable",INDEX('Market Data'!$AP$5:$AP$66,AH!$U$4)),IF(AH!$U$5=1,INDEX('Live History'!$H$5:$H$3004,MATCH($A15,'Live History'!$G$5:$G$3004,1)),INDEX('AH History'!$B$5:$B$1380,$K15))),NA()),NA())</f>
        <v/>
      </c>
      <c r="I15" s="34">
        <f>IFERROR(IF(ISNUMBER($A15),IF(AND(AH!$U$12=1,10+1=AH!$U$6),TODAY(),IF(AH!$U$5=1,INDEX('Live History'!$G$5:$G$3004,MATCH($A15,'Live History'!$G$5:$G$3004,1)),INDEX('AH History'!$C$5:$C$1380,$K15))),NA()),NA())</f>
        <v/>
      </c>
      <c r="J15" s="32">
        <f>IFERROR(IF(AND($F15&gt;0,$H15&gt;0,$A15-$G15&lt;=10,$A15-$I15&lt;=5,$G15&gt;0,$I15&gt;0),$F15*$H15,NA()),NA())</f>
        <v/>
      </c>
      <c r="K15" s="15">
        <f>IF($A15="","",IF(AH!$U$5=1,IFERROR(MATCH($A15,'Live History'!$A$5:$A$3004,0),0),AH!$U$7+10))</f>
        <v/>
      </c>
      <c r="L15" s="15">
        <f>IF(ISNUMBER(A15),TEXT(A15,"dd-mmm-yy"),"")</f>
        <v/>
      </c>
      <c r="M15" s="3" t="n"/>
      <c r="N15" s="3" t="n"/>
      <c r="O15" s="3" t="n"/>
    </row>
    <row r="16" ht="22" customHeight="1">
      <c r="A16" s="14">
        <f>IF(OR(AH!$U$4=0,11+1&gt;AH!$U$6,AND(AH!$M$5="Bloomberg",AH!$U$5=0)),"",IFERROR(IF(AND(AH!$U$12=1,11+1=AH!$U$6),TODAY(),IF(AH!$U$5=1,INDEX('Live History'!$A$5:$A$3004,AH!$U$7+11),INDEX('AH History'!$A$5:$A$1380,AH!$U$7+11))),""))</f>
        <v/>
      </c>
      <c r="B16" s="33">
        <f>IFERROR(IF(AH!$U$11=1,NA(),$J16/$E16-1),NA())</f>
        <v/>
      </c>
      <c r="C16" s="269">
        <f>IFERROR(100*$E16/$E$5,NA())</f>
        <v/>
      </c>
      <c r="D16" s="269">
        <f>IFERROR(100*$J16/$J$5,NA())</f>
        <v/>
      </c>
      <c r="E16" s="32">
        <f>IFERROR(IF(AND(ISNUMBER($A16),N(IF(AND(AH!$U$12=1,11+1=AH!$U$6),IF(AH!$U$4=0,"unavailable",INDEX('Market Data'!$AN$5:$AN$66,AH!$U$4)),IF(AH!$U$5=1,INDEX('Live History'!$B$5:$B$3004,$K16),INDEX('AH History'!$D$5:$GG$1380,$K16,AH!$U$10))))&gt;0),IF(AND(AH!$U$12=1,11+1=AH!$U$6),IF(AH!$U$4=0,"unavailable",INDEX('Market Data'!$AN$5:$AN$66,AH!$U$4)),IF(AH!$U$5=1,INDEX('Live History'!$B$5:$B$3004,$K16),INDEX('AH History'!$D$5:$GG$1380,$K16,AH!$U$10))),NA()),NA())</f>
        <v/>
      </c>
      <c r="F16" s="32">
        <f>IFERROR(IF(ISNUMBER($A16),IF(AND(AH!$U$12=1,11+1=AH!$U$6),IF(AH!$U$4=0,"unavailable",INDEX('Market Data'!$AO$5:$AO$66,AH!$U$4)),IF(AH!$U$5=1,INDEX('Live History'!$E$5:$E$3004,MATCH($A16,'Live History'!$D$5:$D$3004,1)),INDEX('AH History'!$D$5:$GG$1380,$K16,AH!$U$10+1))),NA()),NA())</f>
        <v/>
      </c>
      <c r="G16" s="34">
        <f>IFERROR(IF(ISNUMBER($A16),IF(AND(AH!$U$12=1,11+1=AH!$U$6),IF(AH!$U$4=0,"unavailable",INDEX('Market Data'!$AK$5:$AK$66,AH!$U$4)),IF(AH!$U$5=1,INDEX('Live History'!$D$5:$D$3004,MATCH($A16,'Live History'!$D$5:$D$3004,1)),INDEX('AH History'!$D$5:$GG$1380,$K16,AH!$U$10+2))),NA()),NA())</f>
        <v/>
      </c>
      <c r="H16" s="266">
        <f>IFERROR(IF(ISNUMBER($A16),IF(AND(AH!$U$12=1,11+1=AH!$U$6),IF(AH!$U$4=0,"unavailable",INDEX('Market Data'!$AP$5:$AP$66,AH!$U$4)),IF(AH!$U$5=1,INDEX('Live History'!$H$5:$H$3004,MATCH($A16,'Live History'!$G$5:$G$3004,1)),INDEX('AH History'!$B$5:$B$1380,$K16))),NA()),NA())</f>
        <v/>
      </c>
      <c r="I16" s="34">
        <f>IFERROR(IF(ISNUMBER($A16),IF(AND(AH!$U$12=1,11+1=AH!$U$6),TODAY(),IF(AH!$U$5=1,INDEX('Live History'!$G$5:$G$3004,MATCH($A16,'Live History'!$G$5:$G$3004,1)),INDEX('AH History'!$C$5:$C$1380,$K16))),NA()),NA())</f>
        <v/>
      </c>
      <c r="J16" s="32">
        <f>IFERROR(IF(AND($F16&gt;0,$H16&gt;0,$A16-$G16&lt;=10,$A16-$I16&lt;=5,$G16&gt;0,$I16&gt;0),$F16*$H16,NA()),NA())</f>
        <v/>
      </c>
      <c r="K16" s="15">
        <f>IF($A16="","",IF(AH!$U$5=1,IFERROR(MATCH($A16,'Live History'!$A$5:$A$3004,0),0),AH!$U$7+11))</f>
        <v/>
      </c>
      <c r="L16" s="15">
        <f>IF(ISNUMBER(A16),TEXT(A16,"dd-mmm-yy"),"")</f>
        <v/>
      </c>
      <c r="M16" s="3" t="n"/>
      <c r="N16" s="3" t="n"/>
      <c r="O16" s="3" t="n"/>
    </row>
    <row r="17" ht="22" customHeight="1">
      <c r="A17" s="14">
        <f>IF(OR(AH!$U$4=0,12+1&gt;AH!$U$6,AND(AH!$M$5="Bloomberg",AH!$U$5=0)),"",IFERROR(IF(AND(AH!$U$12=1,12+1=AH!$U$6),TODAY(),IF(AH!$U$5=1,INDEX('Live History'!$A$5:$A$3004,AH!$U$7+12),INDEX('AH History'!$A$5:$A$1380,AH!$U$7+12))),""))</f>
        <v/>
      </c>
      <c r="B17" s="33">
        <f>IFERROR(IF(AH!$U$11=1,NA(),$J17/$E17-1),NA())</f>
        <v/>
      </c>
      <c r="C17" s="269">
        <f>IFERROR(100*$E17/$E$5,NA())</f>
        <v/>
      </c>
      <c r="D17" s="269">
        <f>IFERROR(100*$J17/$J$5,NA())</f>
        <v/>
      </c>
      <c r="E17" s="32">
        <f>IFERROR(IF(AND(ISNUMBER($A17),N(IF(AND(AH!$U$12=1,12+1=AH!$U$6),IF(AH!$U$4=0,"unavailable",INDEX('Market Data'!$AN$5:$AN$66,AH!$U$4)),IF(AH!$U$5=1,INDEX('Live History'!$B$5:$B$3004,$K17),INDEX('AH History'!$D$5:$GG$1380,$K17,AH!$U$10))))&gt;0),IF(AND(AH!$U$12=1,12+1=AH!$U$6),IF(AH!$U$4=0,"unavailable",INDEX('Market Data'!$AN$5:$AN$66,AH!$U$4)),IF(AH!$U$5=1,INDEX('Live History'!$B$5:$B$3004,$K17),INDEX('AH History'!$D$5:$GG$1380,$K17,AH!$U$10))),NA()),NA())</f>
        <v/>
      </c>
      <c r="F17" s="32">
        <f>IFERROR(IF(ISNUMBER($A17),IF(AND(AH!$U$12=1,12+1=AH!$U$6),IF(AH!$U$4=0,"unavailable",INDEX('Market Data'!$AO$5:$AO$66,AH!$U$4)),IF(AH!$U$5=1,INDEX('Live History'!$E$5:$E$3004,MATCH($A17,'Live History'!$D$5:$D$3004,1)),INDEX('AH History'!$D$5:$GG$1380,$K17,AH!$U$10+1))),NA()),NA())</f>
        <v/>
      </c>
      <c r="G17" s="34">
        <f>IFERROR(IF(ISNUMBER($A17),IF(AND(AH!$U$12=1,12+1=AH!$U$6),IF(AH!$U$4=0,"unavailable",INDEX('Market Data'!$AK$5:$AK$66,AH!$U$4)),IF(AH!$U$5=1,INDEX('Live History'!$D$5:$D$3004,MATCH($A17,'Live History'!$D$5:$D$3004,1)),INDEX('AH History'!$D$5:$GG$1380,$K17,AH!$U$10+2))),NA()),NA())</f>
        <v/>
      </c>
      <c r="H17" s="266">
        <f>IFERROR(IF(ISNUMBER($A17),IF(AND(AH!$U$12=1,12+1=AH!$U$6),IF(AH!$U$4=0,"unavailable",INDEX('Market Data'!$AP$5:$AP$66,AH!$U$4)),IF(AH!$U$5=1,INDEX('Live History'!$H$5:$H$3004,MATCH($A17,'Live History'!$G$5:$G$3004,1)),INDEX('AH History'!$B$5:$B$1380,$K17))),NA()),NA())</f>
        <v/>
      </c>
      <c r="I17" s="34">
        <f>IFERROR(IF(ISNUMBER($A17),IF(AND(AH!$U$12=1,12+1=AH!$U$6),TODAY(),IF(AH!$U$5=1,INDEX('Live History'!$G$5:$G$3004,MATCH($A17,'Live History'!$G$5:$G$3004,1)),INDEX('AH History'!$C$5:$C$1380,$K17))),NA()),NA())</f>
        <v/>
      </c>
      <c r="J17" s="32">
        <f>IFERROR(IF(AND($F17&gt;0,$H17&gt;0,$A17-$G17&lt;=10,$A17-$I17&lt;=5,$G17&gt;0,$I17&gt;0),$F17*$H17,NA()),NA())</f>
        <v/>
      </c>
      <c r="K17" s="15">
        <f>IF($A17="","",IF(AH!$U$5=1,IFERROR(MATCH($A17,'Live History'!$A$5:$A$3004,0),0),AH!$U$7+12))</f>
        <v/>
      </c>
      <c r="L17" s="15">
        <f>IF(ISNUMBER(A17),TEXT(A17,"dd-mmm-yy"),"")</f>
        <v/>
      </c>
      <c r="M17" s="3" t="n"/>
      <c r="N17" s="3" t="n"/>
      <c r="O17" s="3" t="n"/>
    </row>
    <row r="18" ht="22" customHeight="1">
      <c r="A18" s="14">
        <f>IF(OR(AH!$U$4=0,13+1&gt;AH!$U$6,AND(AH!$M$5="Bloomberg",AH!$U$5=0)),"",IFERROR(IF(AND(AH!$U$12=1,13+1=AH!$U$6),TODAY(),IF(AH!$U$5=1,INDEX('Live History'!$A$5:$A$3004,AH!$U$7+13),INDEX('AH History'!$A$5:$A$1380,AH!$U$7+13))),""))</f>
        <v/>
      </c>
      <c r="B18" s="33">
        <f>IFERROR(IF(AH!$U$11=1,NA(),$J18/$E18-1),NA())</f>
        <v/>
      </c>
      <c r="C18" s="269">
        <f>IFERROR(100*$E18/$E$5,NA())</f>
        <v/>
      </c>
      <c r="D18" s="269">
        <f>IFERROR(100*$J18/$J$5,NA())</f>
        <v/>
      </c>
      <c r="E18" s="32">
        <f>IFERROR(IF(AND(ISNUMBER($A18),N(IF(AND(AH!$U$12=1,13+1=AH!$U$6),IF(AH!$U$4=0,"unavailable",INDEX('Market Data'!$AN$5:$AN$66,AH!$U$4)),IF(AH!$U$5=1,INDEX('Live History'!$B$5:$B$3004,$K18),INDEX('AH History'!$D$5:$GG$1380,$K18,AH!$U$10))))&gt;0),IF(AND(AH!$U$12=1,13+1=AH!$U$6),IF(AH!$U$4=0,"unavailable",INDEX('Market Data'!$AN$5:$AN$66,AH!$U$4)),IF(AH!$U$5=1,INDEX('Live History'!$B$5:$B$3004,$K18),INDEX('AH History'!$D$5:$GG$1380,$K18,AH!$U$10))),NA()),NA())</f>
        <v/>
      </c>
      <c r="F18" s="32">
        <f>IFERROR(IF(ISNUMBER($A18),IF(AND(AH!$U$12=1,13+1=AH!$U$6),IF(AH!$U$4=0,"unavailable",INDEX('Market Data'!$AO$5:$AO$66,AH!$U$4)),IF(AH!$U$5=1,INDEX('Live History'!$E$5:$E$3004,MATCH($A18,'Live History'!$D$5:$D$3004,1)),INDEX('AH History'!$D$5:$GG$1380,$K18,AH!$U$10+1))),NA()),NA())</f>
        <v/>
      </c>
      <c r="G18" s="34">
        <f>IFERROR(IF(ISNUMBER($A18),IF(AND(AH!$U$12=1,13+1=AH!$U$6),IF(AH!$U$4=0,"unavailable",INDEX('Market Data'!$AK$5:$AK$66,AH!$U$4)),IF(AH!$U$5=1,INDEX('Live History'!$D$5:$D$3004,MATCH($A18,'Live History'!$D$5:$D$3004,1)),INDEX('AH History'!$D$5:$GG$1380,$K18,AH!$U$10+2))),NA()),NA())</f>
        <v/>
      </c>
      <c r="H18" s="266">
        <f>IFERROR(IF(ISNUMBER($A18),IF(AND(AH!$U$12=1,13+1=AH!$U$6),IF(AH!$U$4=0,"unavailable",INDEX('Market Data'!$AP$5:$AP$66,AH!$U$4)),IF(AH!$U$5=1,INDEX('Live History'!$H$5:$H$3004,MATCH($A18,'Live History'!$G$5:$G$3004,1)),INDEX('AH History'!$B$5:$B$1380,$K18))),NA()),NA())</f>
        <v/>
      </c>
      <c r="I18" s="34">
        <f>IFERROR(IF(ISNUMBER($A18),IF(AND(AH!$U$12=1,13+1=AH!$U$6),TODAY(),IF(AH!$U$5=1,INDEX('Live History'!$G$5:$G$3004,MATCH($A18,'Live History'!$G$5:$G$3004,1)),INDEX('AH History'!$C$5:$C$1380,$K18))),NA()),NA())</f>
        <v/>
      </c>
      <c r="J18" s="32">
        <f>IFERROR(IF(AND($F18&gt;0,$H18&gt;0,$A18-$G18&lt;=10,$A18-$I18&lt;=5,$G18&gt;0,$I18&gt;0),$F18*$H18,NA()),NA())</f>
        <v/>
      </c>
      <c r="K18" s="15">
        <f>IF($A18="","",IF(AH!$U$5=1,IFERROR(MATCH($A18,'Live History'!$A$5:$A$3004,0),0),AH!$U$7+13))</f>
        <v/>
      </c>
      <c r="L18" s="15">
        <f>IF(ISNUMBER(A18),TEXT(A18,"dd-mmm-yy"),"")</f>
        <v/>
      </c>
      <c r="M18" s="3" t="n"/>
      <c r="N18" s="3" t="n"/>
      <c r="O18" s="3" t="n"/>
    </row>
    <row r="19" ht="22" customHeight="1">
      <c r="A19" s="14">
        <f>IF(OR(AH!$U$4=0,14+1&gt;AH!$U$6,AND(AH!$M$5="Bloomberg",AH!$U$5=0)),"",IFERROR(IF(AND(AH!$U$12=1,14+1=AH!$U$6),TODAY(),IF(AH!$U$5=1,INDEX('Live History'!$A$5:$A$3004,AH!$U$7+14),INDEX('AH History'!$A$5:$A$1380,AH!$U$7+14))),""))</f>
        <v/>
      </c>
      <c r="B19" s="33">
        <f>IFERROR(IF(AH!$U$11=1,NA(),$J19/$E19-1),NA())</f>
        <v/>
      </c>
      <c r="C19" s="269">
        <f>IFERROR(100*$E19/$E$5,NA())</f>
        <v/>
      </c>
      <c r="D19" s="269">
        <f>IFERROR(100*$J19/$J$5,NA())</f>
        <v/>
      </c>
      <c r="E19" s="32">
        <f>IFERROR(IF(AND(ISNUMBER($A19),N(IF(AND(AH!$U$12=1,14+1=AH!$U$6),IF(AH!$U$4=0,"unavailable",INDEX('Market Data'!$AN$5:$AN$66,AH!$U$4)),IF(AH!$U$5=1,INDEX('Live History'!$B$5:$B$3004,$K19),INDEX('AH History'!$D$5:$GG$1380,$K19,AH!$U$10))))&gt;0),IF(AND(AH!$U$12=1,14+1=AH!$U$6),IF(AH!$U$4=0,"unavailable",INDEX('Market Data'!$AN$5:$AN$66,AH!$U$4)),IF(AH!$U$5=1,INDEX('Live History'!$B$5:$B$3004,$K19),INDEX('AH History'!$D$5:$GG$1380,$K19,AH!$U$10))),NA()),NA())</f>
        <v/>
      </c>
      <c r="F19" s="32">
        <f>IFERROR(IF(ISNUMBER($A19),IF(AND(AH!$U$12=1,14+1=AH!$U$6),IF(AH!$U$4=0,"unavailable",INDEX('Market Data'!$AO$5:$AO$66,AH!$U$4)),IF(AH!$U$5=1,INDEX('Live History'!$E$5:$E$3004,MATCH($A19,'Live History'!$D$5:$D$3004,1)),INDEX('AH History'!$D$5:$GG$1380,$K19,AH!$U$10+1))),NA()),NA())</f>
        <v/>
      </c>
      <c r="G19" s="34">
        <f>IFERROR(IF(ISNUMBER($A19),IF(AND(AH!$U$12=1,14+1=AH!$U$6),IF(AH!$U$4=0,"unavailable",INDEX('Market Data'!$AK$5:$AK$66,AH!$U$4)),IF(AH!$U$5=1,INDEX('Live History'!$D$5:$D$3004,MATCH($A19,'Live History'!$D$5:$D$3004,1)),INDEX('AH History'!$D$5:$GG$1380,$K19,AH!$U$10+2))),NA()),NA())</f>
        <v/>
      </c>
      <c r="H19" s="266">
        <f>IFERROR(IF(ISNUMBER($A19),IF(AND(AH!$U$12=1,14+1=AH!$U$6),IF(AH!$U$4=0,"unavailable",INDEX('Market Data'!$AP$5:$AP$66,AH!$U$4)),IF(AH!$U$5=1,INDEX('Live History'!$H$5:$H$3004,MATCH($A19,'Live History'!$G$5:$G$3004,1)),INDEX('AH History'!$B$5:$B$1380,$K19))),NA()),NA())</f>
        <v/>
      </c>
      <c r="I19" s="34">
        <f>IFERROR(IF(ISNUMBER($A19),IF(AND(AH!$U$12=1,14+1=AH!$U$6),TODAY(),IF(AH!$U$5=1,INDEX('Live History'!$G$5:$G$3004,MATCH($A19,'Live History'!$G$5:$G$3004,1)),INDEX('AH History'!$C$5:$C$1380,$K19))),NA()),NA())</f>
        <v/>
      </c>
      <c r="J19" s="32">
        <f>IFERROR(IF(AND($F19&gt;0,$H19&gt;0,$A19-$G19&lt;=10,$A19-$I19&lt;=5,$G19&gt;0,$I19&gt;0),$F19*$H19,NA()),NA())</f>
        <v/>
      </c>
      <c r="K19" s="15">
        <f>IF($A19="","",IF(AH!$U$5=1,IFERROR(MATCH($A19,'Live History'!$A$5:$A$3004,0),0),AH!$U$7+14))</f>
        <v/>
      </c>
      <c r="L19" s="15">
        <f>IF(ISNUMBER(A19),TEXT(A19,"dd-mmm-yy"),"")</f>
        <v/>
      </c>
      <c r="M19" s="3" t="n"/>
      <c r="N19" s="3" t="n"/>
      <c r="O19" s="3" t="n"/>
    </row>
    <row r="20" ht="22" customHeight="1">
      <c r="A20" s="14">
        <f>IF(OR(AH!$U$4=0,15+1&gt;AH!$U$6,AND(AH!$M$5="Bloomberg",AH!$U$5=0)),"",IFERROR(IF(AND(AH!$U$12=1,15+1=AH!$U$6),TODAY(),IF(AH!$U$5=1,INDEX('Live History'!$A$5:$A$3004,AH!$U$7+15),INDEX('AH History'!$A$5:$A$1380,AH!$U$7+15))),""))</f>
        <v/>
      </c>
      <c r="B20" s="33">
        <f>IFERROR(IF(AH!$U$11=1,NA(),$J20/$E20-1),NA())</f>
        <v/>
      </c>
      <c r="C20" s="269">
        <f>IFERROR(100*$E20/$E$5,NA())</f>
        <v/>
      </c>
      <c r="D20" s="269">
        <f>IFERROR(100*$J20/$J$5,NA())</f>
        <v/>
      </c>
      <c r="E20" s="32">
        <f>IFERROR(IF(AND(ISNUMBER($A20),N(IF(AND(AH!$U$12=1,15+1=AH!$U$6),IF(AH!$U$4=0,"unavailable",INDEX('Market Data'!$AN$5:$AN$66,AH!$U$4)),IF(AH!$U$5=1,INDEX('Live History'!$B$5:$B$3004,$K20),INDEX('AH History'!$D$5:$GG$1380,$K20,AH!$U$10))))&gt;0),IF(AND(AH!$U$12=1,15+1=AH!$U$6),IF(AH!$U$4=0,"unavailable",INDEX('Market Data'!$AN$5:$AN$66,AH!$U$4)),IF(AH!$U$5=1,INDEX('Live History'!$B$5:$B$3004,$K20),INDEX('AH History'!$D$5:$GG$1380,$K20,AH!$U$10))),NA()),NA())</f>
        <v/>
      </c>
      <c r="F20" s="32">
        <f>IFERROR(IF(ISNUMBER($A20),IF(AND(AH!$U$12=1,15+1=AH!$U$6),IF(AH!$U$4=0,"unavailable",INDEX('Market Data'!$AO$5:$AO$66,AH!$U$4)),IF(AH!$U$5=1,INDEX('Live History'!$E$5:$E$3004,MATCH($A20,'Live History'!$D$5:$D$3004,1)),INDEX('AH History'!$D$5:$GG$1380,$K20,AH!$U$10+1))),NA()),NA())</f>
        <v/>
      </c>
      <c r="G20" s="34">
        <f>IFERROR(IF(ISNUMBER($A20),IF(AND(AH!$U$12=1,15+1=AH!$U$6),IF(AH!$U$4=0,"unavailable",INDEX('Market Data'!$AK$5:$AK$66,AH!$U$4)),IF(AH!$U$5=1,INDEX('Live History'!$D$5:$D$3004,MATCH($A20,'Live History'!$D$5:$D$3004,1)),INDEX('AH History'!$D$5:$GG$1380,$K20,AH!$U$10+2))),NA()),NA())</f>
        <v/>
      </c>
      <c r="H20" s="266">
        <f>IFERROR(IF(ISNUMBER($A20),IF(AND(AH!$U$12=1,15+1=AH!$U$6),IF(AH!$U$4=0,"unavailable",INDEX('Market Data'!$AP$5:$AP$66,AH!$U$4)),IF(AH!$U$5=1,INDEX('Live History'!$H$5:$H$3004,MATCH($A20,'Live History'!$G$5:$G$3004,1)),INDEX('AH History'!$B$5:$B$1380,$K20))),NA()),NA())</f>
        <v/>
      </c>
      <c r="I20" s="34">
        <f>IFERROR(IF(ISNUMBER($A20),IF(AND(AH!$U$12=1,15+1=AH!$U$6),TODAY(),IF(AH!$U$5=1,INDEX('Live History'!$G$5:$G$3004,MATCH($A20,'Live History'!$G$5:$G$3004,1)),INDEX('AH History'!$C$5:$C$1380,$K20))),NA()),NA())</f>
        <v/>
      </c>
      <c r="J20" s="32">
        <f>IFERROR(IF(AND($F20&gt;0,$H20&gt;0,$A20-$G20&lt;=10,$A20-$I20&lt;=5,$G20&gt;0,$I20&gt;0),$F20*$H20,NA()),NA())</f>
        <v/>
      </c>
      <c r="K20" s="15">
        <f>IF($A20="","",IF(AH!$U$5=1,IFERROR(MATCH($A20,'Live History'!$A$5:$A$3004,0),0),AH!$U$7+15))</f>
        <v/>
      </c>
      <c r="L20" s="15">
        <f>IF(ISNUMBER(A20),TEXT(A20,"dd-mmm-yy"),"")</f>
        <v/>
      </c>
      <c r="M20" s="3" t="n"/>
      <c r="N20" s="3" t="n"/>
      <c r="O20" s="3" t="n"/>
    </row>
    <row r="21" ht="22" customHeight="1">
      <c r="A21" s="14">
        <f>IF(OR(AH!$U$4=0,16+1&gt;AH!$U$6,AND(AH!$M$5="Bloomberg",AH!$U$5=0)),"",IFERROR(IF(AND(AH!$U$12=1,16+1=AH!$U$6),TODAY(),IF(AH!$U$5=1,INDEX('Live History'!$A$5:$A$3004,AH!$U$7+16),INDEX('AH History'!$A$5:$A$1380,AH!$U$7+16))),""))</f>
        <v/>
      </c>
      <c r="B21" s="33">
        <f>IFERROR(IF(AH!$U$11=1,NA(),$J21/$E21-1),NA())</f>
        <v/>
      </c>
      <c r="C21" s="269">
        <f>IFERROR(100*$E21/$E$5,NA())</f>
        <v/>
      </c>
      <c r="D21" s="269">
        <f>IFERROR(100*$J21/$J$5,NA())</f>
        <v/>
      </c>
      <c r="E21" s="32">
        <f>IFERROR(IF(AND(ISNUMBER($A21),N(IF(AND(AH!$U$12=1,16+1=AH!$U$6),IF(AH!$U$4=0,"unavailable",INDEX('Market Data'!$AN$5:$AN$66,AH!$U$4)),IF(AH!$U$5=1,INDEX('Live History'!$B$5:$B$3004,$K21),INDEX('AH History'!$D$5:$GG$1380,$K21,AH!$U$10))))&gt;0),IF(AND(AH!$U$12=1,16+1=AH!$U$6),IF(AH!$U$4=0,"unavailable",INDEX('Market Data'!$AN$5:$AN$66,AH!$U$4)),IF(AH!$U$5=1,INDEX('Live History'!$B$5:$B$3004,$K21),INDEX('AH History'!$D$5:$GG$1380,$K21,AH!$U$10))),NA()),NA())</f>
        <v/>
      </c>
      <c r="F21" s="32">
        <f>IFERROR(IF(ISNUMBER($A21),IF(AND(AH!$U$12=1,16+1=AH!$U$6),IF(AH!$U$4=0,"unavailable",INDEX('Market Data'!$AO$5:$AO$66,AH!$U$4)),IF(AH!$U$5=1,INDEX('Live History'!$E$5:$E$3004,MATCH($A21,'Live History'!$D$5:$D$3004,1)),INDEX('AH History'!$D$5:$GG$1380,$K21,AH!$U$10+1))),NA()),NA())</f>
        <v/>
      </c>
      <c r="G21" s="34">
        <f>IFERROR(IF(ISNUMBER($A21),IF(AND(AH!$U$12=1,16+1=AH!$U$6),IF(AH!$U$4=0,"unavailable",INDEX('Market Data'!$AK$5:$AK$66,AH!$U$4)),IF(AH!$U$5=1,INDEX('Live History'!$D$5:$D$3004,MATCH($A21,'Live History'!$D$5:$D$3004,1)),INDEX('AH History'!$D$5:$GG$1380,$K21,AH!$U$10+2))),NA()),NA())</f>
        <v/>
      </c>
      <c r="H21" s="266">
        <f>IFERROR(IF(ISNUMBER($A21),IF(AND(AH!$U$12=1,16+1=AH!$U$6),IF(AH!$U$4=0,"unavailable",INDEX('Market Data'!$AP$5:$AP$66,AH!$U$4)),IF(AH!$U$5=1,INDEX('Live History'!$H$5:$H$3004,MATCH($A21,'Live History'!$G$5:$G$3004,1)),INDEX('AH History'!$B$5:$B$1380,$K21))),NA()),NA())</f>
        <v/>
      </c>
      <c r="I21" s="34">
        <f>IFERROR(IF(ISNUMBER($A21),IF(AND(AH!$U$12=1,16+1=AH!$U$6),TODAY(),IF(AH!$U$5=1,INDEX('Live History'!$G$5:$G$3004,MATCH($A21,'Live History'!$G$5:$G$3004,1)),INDEX('AH History'!$C$5:$C$1380,$K21))),NA()),NA())</f>
        <v/>
      </c>
      <c r="J21" s="32">
        <f>IFERROR(IF(AND($F21&gt;0,$H21&gt;0,$A21-$G21&lt;=10,$A21-$I21&lt;=5,$G21&gt;0,$I21&gt;0),$F21*$H21,NA()),NA())</f>
        <v/>
      </c>
      <c r="K21" s="15">
        <f>IF($A21="","",IF(AH!$U$5=1,IFERROR(MATCH($A21,'Live History'!$A$5:$A$3004,0),0),AH!$U$7+16))</f>
        <v/>
      </c>
      <c r="L21" s="15">
        <f>IF(ISNUMBER(A21),TEXT(A21,"dd-mmm-yy"),"")</f>
        <v/>
      </c>
      <c r="M21" s="3" t="n"/>
      <c r="N21" s="3" t="n"/>
      <c r="O21" s="3" t="n"/>
    </row>
    <row r="22" ht="22" customHeight="1">
      <c r="A22" s="14">
        <f>IF(OR(AH!$U$4=0,17+1&gt;AH!$U$6,AND(AH!$M$5="Bloomberg",AH!$U$5=0)),"",IFERROR(IF(AND(AH!$U$12=1,17+1=AH!$U$6),TODAY(),IF(AH!$U$5=1,INDEX('Live History'!$A$5:$A$3004,AH!$U$7+17),INDEX('AH History'!$A$5:$A$1380,AH!$U$7+17))),""))</f>
        <v/>
      </c>
      <c r="B22" s="33">
        <f>IFERROR(IF(AH!$U$11=1,NA(),$J22/$E22-1),NA())</f>
        <v/>
      </c>
      <c r="C22" s="269">
        <f>IFERROR(100*$E22/$E$5,NA())</f>
        <v/>
      </c>
      <c r="D22" s="269">
        <f>IFERROR(100*$J22/$J$5,NA())</f>
        <v/>
      </c>
      <c r="E22" s="32">
        <f>IFERROR(IF(AND(ISNUMBER($A22),N(IF(AND(AH!$U$12=1,17+1=AH!$U$6),IF(AH!$U$4=0,"unavailable",INDEX('Market Data'!$AN$5:$AN$66,AH!$U$4)),IF(AH!$U$5=1,INDEX('Live History'!$B$5:$B$3004,$K22),INDEX('AH History'!$D$5:$GG$1380,$K22,AH!$U$10))))&gt;0),IF(AND(AH!$U$12=1,17+1=AH!$U$6),IF(AH!$U$4=0,"unavailable",INDEX('Market Data'!$AN$5:$AN$66,AH!$U$4)),IF(AH!$U$5=1,INDEX('Live History'!$B$5:$B$3004,$K22),INDEX('AH History'!$D$5:$GG$1380,$K22,AH!$U$10))),NA()),NA())</f>
        <v/>
      </c>
      <c r="F22" s="32">
        <f>IFERROR(IF(ISNUMBER($A22),IF(AND(AH!$U$12=1,17+1=AH!$U$6),IF(AH!$U$4=0,"unavailable",INDEX('Market Data'!$AO$5:$AO$66,AH!$U$4)),IF(AH!$U$5=1,INDEX('Live History'!$E$5:$E$3004,MATCH($A22,'Live History'!$D$5:$D$3004,1)),INDEX('AH History'!$D$5:$GG$1380,$K22,AH!$U$10+1))),NA()),NA())</f>
        <v/>
      </c>
      <c r="G22" s="34">
        <f>IFERROR(IF(ISNUMBER($A22),IF(AND(AH!$U$12=1,17+1=AH!$U$6),IF(AH!$U$4=0,"unavailable",INDEX('Market Data'!$AK$5:$AK$66,AH!$U$4)),IF(AH!$U$5=1,INDEX('Live History'!$D$5:$D$3004,MATCH($A22,'Live History'!$D$5:$D$3004,1)),INDEX('AH History'!$D$5:$GG$1380,$K22,AH!$U$10+2))),NA()),NA())</f>
        <v/>
      </c>
      <c r="H22" s="266">
        <f>IFERROR(IF(ISNUMBER($A22),IF(AND(AH!$U$12=1,17+1=AH!$U$6),IF(AH!$U$4=0,"unavailable",INDEX('Market Data'!$AP$5:$AP$66,AH!$U$4)),IF(AH!$U$5=1,INDEX('Live History'!$H$5:$H$3004,MATCH($A22,'Live History'!$G$5:$G$3004,1)),INDEX('AH History'!$B$5:$B$1380,$K22))),NA()),NA())</f>
        <v/>
      </c>
      <c r="I22" s="34">
        <f>IFERROR(IF(ISNUMBER($A22),IF(AND(AH!$U$12=1,17+1=AH!$U$6),TODAY(),IF(AH!$U$5=1,INDEX('Live History'!$G$5:$G$3004,MATCH($A22,'Live History'!$G$5:$G$3004,1)),INDEX('AH History'!$C$5:$C$1380,$K22))),NA()),NA())</f>
        <v/>
      </c>
      <c r="J22" s="32">
        <f>IFERROR(IF(AND($F22&gt;0,$H22&gt;0,$A22-$G22&lt;=10,$A22-$I22&lt;=5,$G22&gt;0,$I22&gt;0),$F22*$H22,NA()),NA())</f>
        <v/>
      </c>
      <c r="K22" s="15">
        <f>IF($A22="","",IF(AH!$U$5=1,IFERROR(MATCH($A22,'Live History'!$A$5:$A$3004,0),0),AH!$U$7+17))</f>
        <v/>
      </c>
      <c r="L22" s="15">
        <f>IF(ISNUMBER(A22),TEXT(A22,"dd-mmm-yy"),"")</f>
        <v/>
      </c>
      <c r="M22" s="3" t="n"/>
      <c r="N22" s="3" t="n"/>
      <c r="O22" s="3" t="n"/>
    </row>
    <row r="23" ht="22" customHeight="1">
      <c r="A23" s="14">
        <f>IF(OR(AH!$U$4=0,18+1&gt;AH!$U$6,AND(AH!$M$5="Bloomberg",AH!$U$5=0)),"",IFERROR(IF(AND(AH!$U$12=1,18+1=AH!$U$6),TODAY(),IF(AH!$U$5=1,INDEX('Live History'!$A$5:$A$3004,AH!$U$7+18),INDEX('AH History'!$A$5:$A$1380,AH!$U$7+18))),""))</f>
        <v/>
      </c>
      <c r="B23" s="33">
        <f>IFERROR(IF(AH!$U$11=1,NA(),$J23/$E23-1),NA())</f>
        <v/>
      </c>
      <c r="C23" s="269">
        <f>IFERROR(100*$E23/$E$5,NA())</f>
        <v/>
      </c>
      <c r="D23" s="269">
        <f>IFERROR(100*$J23/$J$5,NA())</f>
        <v/>
      </c>
      <c r="E23" s="32">
        <f>IFERROR(IF(AND(ISNUMBER($A23),N(IF(AND(AH!$U$12=1,18+1=AH!$U$6),IF(AH!$U$4=0,"unavailable",INDEX('Market Data'!$AN$5:$AN$66,AH!$U$4)),IF(AH!$U$5=1,INDEX('Live History'!$B$5:$B$3004,$K23),INDEX('AH History'!$D$5:$GG$1380,$K23,AH!$U$10))))&gt;0),IF(AND(AH!$U$12=1,18+1=AH!$U$6),IF(AH!$U$4=0,"unavailable",INDEX('Market Data'!$AN$5:$AN$66,AH!$U$4)),IF(AH!$U$5=1,INDEX('Live History'!$B$5:$B$3004,$K23),INDEX('AH History'!$D$5:$GG$1380,$K23,AH!$U$10))),NA()),NA())</f>
        <v/>
      </c>
      <c r="F23" s="32">
        <f>IFERROR(IF(ISNUMBER($A23),IF(AND(AH!$U$12=1,18+1=AH!$U$6),IF(AH!$U$4=0,"unavailable",INDEX('Market Data'!$AO$5:$AO$66,AH!$U$4)),IF(AH!$U$5=1,INDEX('Live History'!$E$5:$E$3004,MATCH($A23,'Live History'!$D$5:$D$3004,1)),INDEX('AH History'!$D$5:$GG$1380,$K23,AH!$U$10+1))),NA()),NA())</f>
        <v/>
      </c>
      <c r="G23" s="34">
        <f>IFERROR(IF(ISNUMBER($A23),IF(AND(AH!$U$12=1,18+1=AH!$U$6),IF(AH!$U$4=0,"unavailable",INDEX('Market Data'!$AK$5:$AK$66,AH!$U$4)),IF(AH!$U$5=1,INDEX('Live History'!$D$5:$D$3004,MATCH($A23,'Live History'!$D$5:$D$3004,1)),INDEX('AH History'!$D$5:$GG$1380,$K23,AH!$U$10+2))),NA()),NA())</f>
        <v/>
      </c>
      <c r="H23" s="266">
        <f>IFERROR(IF(ISNUMBER($A23),IF(AND(AH!$U$12=1,18+1=AH!$U$6),IF(AH!$U$4=0,"unavailable",INDEX('Market Data'!$AP$5:$AP$66,AH!$U$4)),IF(AH!$U$5=1,INDEX('Live History'!$H$5:$H$3004,MATCH($A23,'Live History'!$G$5:$G$3004,1)),INDEX('AH History'!$B$5:$B$1380,$K23))),NA()),NA())</f>
        <v/>
      </c>
      <c r="I23" s="34">
        <f>IFERROR(IF(ISNUMBER($A23),IF(AND(AH!$U$12=1,18+1=AH!$U$6),TODAY(),IF(AH!$U$5=1,INDEX('Live History'!$G$5:$G$3004,MATCH($A23,'Live History'!$G$5:$G$3004,1)),INDEX('AH History'!$C$5:$C$1380,$K23))),NA()),NA())</f>
        <v/>
      </c>
      <c r="J23" s="32">
        <f>IFERROR(IF(AND($F23&gt;0,$H23&gt;0,$A23-$G23&lt;=10,$A23-$I23&lt;=5,$G23&gt;0,$I23&gt;0),$F23*$H23,NA()),NA())</f>
        <v/>
      </c>
      <c r="K23" s="15">
        <f>IF($A23="","",IF(AH!$U$5=1,IFERROR(MATCH($A23,'Live History'!$A$5:$A$3004,0),0),AH!$U$7+18))</f>
        <v/>
      </c>
      <c r="L23" s="15">
        <f>IF(ISNUMBER(A23),TEXT(A23,"dd-mmm-yy"),"")</f>
        <v/>
      </c>
      <c r="M23" s="3" t="n"/>
      <c r="N23" s="3" t="n"/>
      <c r="O23" s="3" t="n"/>
    </row>
    <row r="24" ht="22" customHeight="1">
      <c r="A24" s="14">
        <f>IF(OR(AH!$U$4=0,19+1&gt;AH!$U$6,AND(AH!$M$5="Bloomberg",AH!$U$5=0)),"",IFERROR(IF(AND(AH!$U$12=1,19+1=AH!$U$6),TODAY(),IF(AH!$U$5=1,INDEX('Live History'!$A$5:$A$3004,AH!$U$7+19),INDEX('AH History'!$A$5:$A$1380,AH!$U$7+19))),""))</f>
        <v/>
      </c>
      <c r="B24" s="33">
        <f>IFERROR(IF(AH!$U$11=1,NA(),$J24/$E24-1),NA())</f>
        <v/>
      </c>
      <c r="C24" s="269">
        <f>IFERROR(100*$E24/$E$5,NA())</f>
        <v/>
      </c>
      <c r="D24" s="269">
        <f>IFERROR(100*$J24/$J$5,NA())</f>
        <v/>
      </c>
      <c r="E24" s="32">
        <f>IFERROR(IF(AND(ISNUMBER($A24),N(IF(AND(AH!$U$12=1,19+1=AH!$U$6),IF(AH!$U$4=0,"unavailable",INDEX('Market Data'!$AN$5:$AN$66,AH!$U$4)),IF(AH!$U$5=1,INDEX('Live History'!$B$5:$B$3004,$K24),INDEX('AH History'!$D$5:$GG$1380,$K24,AH!$U$10))))&gt;0),IF(AND(AH!$U$12=1,19+1=AH!$U$6),IF(AH!$U$4=0,"unavailable",INDEX('Market Data'!$AN$5:$AN$66,AH!$U$4)),IF(AH!$U$5=1,INDEX('Live History'!$B$5:$B$3004,$K24),INDEX('AH History'!$D$5:$GG$1380,$K24,AH!$U$10))),NA()),NA())</f>
        <v/>
      </c>
      <c r="F24" s="32">
        <f>IFERROR(IF(ISNUMBER($A24),IF(AND(AH!$U$12=1,19+1=AH!$U$6),IF(AH!$U$4=0,"unavailable",INDEX('Market Data'!$AO$5:$AO$66,AH!$U$4)),IF(AH!$U$5=1,INDEX('Live History'!$E$5:$E$3004,MATCH($A24,'Live History'!$D$5:$D$3004,1)),INDEX('AH History'!$D$5:$GG$1380,$K24,AH!$U$10+1))),NA()),NA())</f>
        <v/>
      </c>
      <c r="G24" s="34">
        <f>IFERROR(IF(ISNUMBER($A24),IF(AND(AH!$U$12=1,19+1=AH!$U$6),IF(AH!$U$4=0,"unavailable",INDEX('Market Data'!$AK$5:$AK$66,AH!$U$4)),IF(AH!$U$5=1,INDEX('Live History'!$D$5:$D$3004,MATCH($A24,'Live History'!$D$5:$D$3004,1)),INDEX('AH History'!$D$5:$GG$1380,$K24,AH!$U$10+2))),NA()),NA())</f>
        <v/>
      </c>
      <c r="H24" s="266">
        <f>IFERROR(IF(ISNUMBER($A24),IF(AND(AH!$U$12=1,19+1=AH!$U$6),IF(AH!$U$4=0,"unavailable",INDEX('Market Data'!$AP$5:$AP$66,AH!$U$4)),IF(AH!$U$5=1,INDEX('Live History'!$H$5:$H$3004,MATCH($A24,'Live History'!$G$5:$G$3004,1)),INDEX('AH History'!$B$5:$B$1380,$K24))),NA()),NA())</f>
        <v/>
      </c>
      <c r="I24" s="34">
        <f>IFERROR(IF(ISNUMBER($A24),IF(AND(AH!$U$12=1,19+1=AH!$U$6),TODAY(),IF(AH!$U$5=1,INDEX('Live History'!$G$5:$G$3004,MATCH($A24,'Live History'!$G$5:$G$3004,1)),INDEX('AH History'!$C$5:$C$1380,$K24))),NA()),NA())</f>
        <v/>
      </c>
      <c r="J24" s="32">
        <f>IFERROR(IF(AND($F24&gt;0,$H24&gt;0,$A24-$G24&lt;=10,$A24-$I24&lt;=5,$G24&gt;0,$I24&gt;0),$F24*$H24,NA()),NA())</f>
        <v/>
      </c>
      <c r="K24" s="15">
        <f>IF($A24="","",IF(AH!$U$5=1,IFERROR(MATCH($A24,'Live History'!$A$5:$A$3004,0),0),AH!$U$7+19))</f>
        <v/>
      </c>
      <c r="L24" s="15">
        <f>IF(ISNUMBER(A24),TEXT(A24,"dd-mmm-yy"),"")</f>
        <v/>
      </c>
      <c r="M24" s="3" t="n"/>
      <c r="N24" s="3" t="n"/>
      <c r="O24" s="3" t="n"/>
    </row>
    <row r="25" ht="22" customHeight="1">
      <c r="A25" s="14">
        <f>IF(OR(AH!$U$4=0,20+1&gt;AH!$U$6,AND(AH!$M$5="Bloomberg",AH!$U$5=0)),"",IFERROR(IF(AND(AH!$U$12=1,20+1=AH!$U$6),TODAY(),IF(AH!$U$5=1,INDEX('Live History'!$A$5:$A$3004,AH!$U$7+20),INDEX('AH History'!$A$5:$A$1380,AH!$U$7+20))),""))</f>
        <v/>
      </c>
      <c r="B25" s="33">
        <f>IFERROR(IF(AH!$U$11=1,NA(),$J25/$E25-1),NA())</f>
        <v/>
      </c>
      <c r="C25" s="269">
        <f>IFERROR(100*$E25/$E$5,NA())</f>
        <v/>
      </c>
      <c r="D25" s="269">
        <f>IFERROR(100*$J25/$J$5,NA())</f>
        <v/>
      </c>
      <c r="E25" s="32">
        <f>IFERROR(IF(AND(ISNUMBER($A25),N(IF(AND(AH!$U$12=1,20+1=AH!$U$6),IF(AH!$U$4=0,"unavailable",INDEX('Market Data'!$AN$5:$AN$66,AH!$U$4)),IF(AH!$U$5=1,INDEX('Live History'!$B$5:$B$3004,$K25),INDEX('AH History'!$D$5:$GG$1380,$K25,AH!$U$10))))&gt;0),IF(AND(AH!$U$12=1,20+1=AH!$U$6),IF(AH!$U$4=0,"unavailable",INDEX('Market Data'!$AN$5:$AN$66,AH!$U$4)),IF(AH!$U$5=1,INDEX('Live History'!$B$5:$B$3004,$K25),INDEX('AH History'!$D$5:$GG$1380,$K25,AH!$U$10))),NA()),NA())</f>
        <v/>
      </c>
      <c r="F25" s="32">
        <f>IFERROR(IF(ISNUMBER($A25),IF(AND(AH!$U$12=1,20+1=AH!$U$6),IF(AH!$U$4=0,"unavailable",INDEX('Market Data'!$AO$5:$AO$66,AH!$U$4)),IF(AH!$U$5=1,INDEX('Live History'!$E$5:$E$3004,MATCH($A25,'Live History'!$D$5:$D$3004,1)),INDEX('AH History'!$D$5:$GG$1380,$K25,AH!$U$10+1))),NA()),NA())</f>
        <v/>
      </c>
      <c r="G25" s="34">
        <f>IFERROR(IF(ISNUMBER($A25),IF(AND(AH!$U$12=1,20+1=AH!$U$6),IF(AH!$U$4=0,"unavailable",INDEX('Market Data'!$AK$5:$AK$66,AH!$U$4)),IF(AH!$U$5=1,INDEX('Live History'!$D$5:$D$3004,MATCH($A25,'Live History'!$D$5:$D$3004,1)),INDEX('AH History'!$D$5:$GG$1380,$K25,AH!$U$10+2))),NA()),NA())</f>
        <v/>
      </c>
      <c r="H25" s="266">
        <f>IFERROR(IF(ISNUMBER($A25),IF(AND(AH!$U$12=1,20+1=AH!$U$6),IF(AH!$U$4=0,"unavailable",INDEX('Market Data'!$AP$5:$AP$66,AH!$U$4)),IF(AH!$U$5=1,INDEX('Live History'!$H$5:$H$3004,MATCH($A25,'Live History'!$G$5:$G$3004,1)),INDEX('AH History'!$B$5:$B$1380,$K25))),NA()),NA())</f>
        <v/>
      </c>
      <c r="I25" s="34">
        <f>IFERROR(IF(ISNUMBER($A25),IF(AND(AH!$U$12=1,20+1=AH!$U$6),TODAY(),IF(AH!$U$5=1,INDEX('Live History'!$G$5:$G$3004,MATCH($A25,'Live History'!$G$5:$G$3004,1)),INDEX('AH History'!$C$5:$C$1380,$K25))),NA()),NA())</f>
        <v/>
      </c>
      <c r="J25" s="32">
        <f>IFERROR(IF(AND($F25&gt;0,$H25&gt;0,$A25-$G25&lt;=10,$A25-$I25&lt;=5,$G25&gt;0,$I25&gt;0),$F25*$H25,NA()),NA())</f>
        <v/>
      </c>
      <c r="K25" s="15">
        <f>IF($A25="","",IF(AH!$U$5=1,IFERROR(MATCH($A25,'Live History'!$A$5:$A$3004,0),0),AH!$U$7+20))</f>
        <v/>
      </c>
      <c r="L25" s="15">
        <f>IF(ISNUMBER(A25),TEXT(A25,"dd-mmm-yy"),"")</f>
        <v/>
      </c>
      <c r="M25" s="3" t="n"/>
      <c r="N25" s="3" t="n"/>
      <c r="O25" s="3" t="n"/>
    </row>
    <row r="26" ht="22" customHeight="1">
      <c r="A26" s="14">
        <f>IF(OR(AH!$U$4=0,21+1&gt;AH!$U$6,AND(AH!$M$5="Bloomberg",AH!$U$5=0)),"",IFERROR(IF(AND(AH!$U$12=1,21+1=AH!$U$6),TODAY(),IF(AH!$U$5=1,INDEX('Live History'!$A$5:$A$3004,AH!$U$7+21),INDEX('AH History'!$A$5:$A$1380,AH!$U$7+21))),""))</f>
        <v/>
      </c>
      <c r="B26" s="33">
        <f>IFERROR(IF(AH!$U$11=1,NA(),$J26/$E26-1),NA())</f>
        <v/>
      </c>
      <c r="C26" s="269">
        <f>IFERROR(100*$E26/$E$5,NA())</f>
        <v/>
      </c>
      <c r="D26" s="269">
        <f>IFERROR(100*$J26/$J$5,NA())</f>
        <v/>
      </c>
      <c r="E26" s="32">
        <f>IFERROR(IF(AND(ISNUMBER($A26),N(IF(AND(AH!$U$12=1,21+1=AH!$U$6),IF(AH!$U$4=0,"unavailable",INDEX('Market Data'!$AN$5:$AN$66,AH!$U$4)),IF(AH!$U$5=1,INDEX('Live History'!$B$5:$B$3004,$K26),INDEX('AH History'!$D$5:$GG$1380,$K26,AH!$U$10))))&gt;0),IF(AND(AH!$U$12=1,21+1=AH!$U$6),IF(AH!$U$4=0,"unavailable",INDEX('Market Data'!$AN$5:$AN$66,AH!$U$4)),IF(AH!$U$5=1,INDEX('Live History'!$B$5:$B$3004,$K26),INDEX('AH History'!$D$5:$GG$1380,$K26,AH!$U$10))),NA()),NA())</f>
        <v/>
      </c>
      <c r="F26" s="32">
        <f>IFERROR(IF(ISNUMBER($A26),IF(AND(AH!$U$12=1,21+1=AH!$U$6),IF(AH!$U$4=0,"unavailable",INDEX('Market Data'!$AO$5:$AO$66,AH!$U$4)),IF(AH!$U$5=1,INDEX('Live History'!$E$5:$E$3004,MATCH($A26,'Live History'!$D$5:$D$3004,1)),INDEX('AH History'!$D$5:$GG$1380,$K26,AH!$U$10+1))),NA()),NA())</f>
        <v/>
      </c>
      <c r="G26" s="34">
        <f>IFERROR(IF(ISNUMBER($A26),IF(AND(AH!$U$12=1,21+1=AH!$U$6),IF(AH!$U$4=0,"unavailable",INDEX('Market Data'!$AK$5:$AK$66,AH!$U$4)),IF(AH!$U$5=1,INDEX('Live History'!$D$5:$D$3004,MATCH($A26,'Live History'!$D$5:$D$3004,1)),INDEX('AH History'!$D$5:$GG$1380,$K26,AH!$U$10+2))),NA()),NA())</f>
        <v/>
      </c>
      <c r="H26" s="266">
        <f>IFERROR(IF(ISNUMBER($A26),IF(AND(AH!$U$12=1,21+1=AH!$U$6),IF(AH!$U$4=0,"unavailable",INDEX('Market Data'!$AP$5:$AP$66,AH!$U$4)),IF(AH!$U$5=1,INDEX('Live History'!$H$5:$H$3004,MATCH($A26,'Live History'!$G$5:$G$3004,1)),INDEX('AH History'!$B$5:$B$1380,$K26))),NA()),NA())</f>
        <v/>
      </c>
      <c r="I26" s="34">
        <f>IFERROR(IF(ISNUMBER($A26),IF(AND(AH!$U$12=1,21+1=AH!$U$6),TODAY(),IF(AH!$U$5=1,INDEX('Live History'!$G$5:$G$3004,MATCH($A26,'Live History'!$G$5:$G$3004,1)),INDEX('AH History'!$C$5:$C$1380,$K26))),NA()),NA())</f>
        <v/>
      </c>
      <c r="J26" s="32">
        <f>IFERROR(IF(AND($F26&gt;0,$H26&gt;0,$A26-$G26&lt;=10,$A26-$I26&lt;=5,$G26&gt;0,$I26&gt;0),$F26*$H26,NA()),NA())</f>
        <v/>
      </c>
      <c r="K26" s="15">
        <f>IF($A26="","",IF(AH!$U$5=1,IFERROR(MATCH($A26,'Live History'!$A$5:$A$3004,0),0),AH!$U$7+21))</f>
        <v/>
      </c>
      <c r="L26" s="15">
        <f>IF(ISNUMBER(A26),TEXT(A26,"dd-mmm-yy"),"")</f>
        <v/>
      </c>
      <c r="M26" s="3" t="n"/>
      <c r="N26" s="3" t="n"/>
      <c r="O26" s="3" t="n"/>
    </row>
    <row r="27" ht="22" customHeight="1">
      <c r="A27" s="14">
        <f>IF(OR(AH!$U$4=0,22+1&gt;AH!$U$6,AND(AH!$M$5="Bloomberg",AH!$U$5=0)),"",IFERROR(IF(AND(AH!$U$12=1,22+1=AH!$U$6),TODAY(),IF(AH!$U$5=1,INDEX('Live History'!$A$5:$A$3004,AH!$U$7+22),INDEX('AH History'!$A$5:$A$1380,AH!$U$7+22))),""))</f>
        <v/>
      </c>
      <c r="B27" s="33">
        <f>IFERROR(IF(AH!$U$11=1,NA(),$J27/$E27-1),NA())</f>
        <v/>
      </c>
      <c r="C27" s="269">
        <f>IFERROR(100*$E27/$E$5,NA())</f>
        <v/>
      </c>
      <c r="D27" s="269">
        <f>IFERROR(100*$J27/$J$5,NA())</f>
        <v/>
      </c>
      <c r="E27" s="32">
        <f>IFERROR(IF(AND(ISNUMBER($A27),N(IF(AND(AH!$U$12=1,22+1=AH!$U$6),IF(AH!$U$4=0,"unavailable",INDEX('Market Data'!$AN$5:$AN$66,AH!$U$4)),IF(AH!$U$5=1,INDEX('Live History'!$B$5:$B$3004,$K27),INDEX('AH History'!$D$5:$GG$1380,$K27,AH!$U$10))))&gt;0),IF(AND(AH!$U$12=1,22+1=AH!$U$6),IF(AH!$U$4=0,"unavailable",INDEX('Market Data'!$AN$5:$AN$66,AH!$U$4)),IF(AH!$U$5=1,INDEX('Live History'!$B$5:$B$3004,$K27),INDEX('AH History'!$D$5:$GG$1380,$K27,AH!$U$10))),NA()),NA())</f>
        <v/>
      </c>
      <c r="F27" s="32">
        <f>IFERROR(IF(ISNUMBER($A27),IF(AND(AH!$U$12=1,22+1=AH!$U$6),IF(AH!$U$4=0,"unavailable",INDEX('Market Data'!$AO$5:$AO$66,AH!$U$4)),IF(AH!$U$5=1,INDEX('Live History'!$E$5:$E$3004,MATCH($A27,'Live History'!$D$5:$D$3004,1)),INDEX('AH History'!$D$5:$GG$1380,$K27,AH!$U$10+1))),NA()),NA())</f>
        <v/>
      </c>
      <c r="G27" s="34">
        <f>IFERROR(IF(ISNUMBER($A27),IF(AND(AH!$U$12=1,22+1=AH!$U$6),IF(AH!$U$4=0,"unavailable",INDEX('Market Data'!$AK$5:$AK$66,AH!$U$4)),IF(AH!$U$5=1,INDEX('Live History'!$D$5:$D$3004,MATCH($A27,'Live History'!$D$5:$D$3004,1)),INDEX('AH History'!$D$5:$GG$1380,$K27,AH!$U$10+2))),NA()),NA())</f>
        <v/>
      </c>
      <c r="H27" s="266">
        <f>IFERROR(IF(ISNUMBER($A27),IF(AND(AH!$U$12=1,22+1=AH!$U$6),IF(AH!$U$4=0,"unavailable",INDEX('Market Data'!$AP$5:$AP$66,AH!$U$4)),IF(AH!$U$5=1,INDEX('Live History'!$H$5:$H$3004,MATCH($A27,'Live History'!$G$5:$G$3004,1)),INDEX('AH History'!$B$5:$B$1380,$K27))),NA()),NA())</f>
        <v/>
      </c>
      <c r="I27" s="34">
        <f>IFERROR(IF(ISNUMBER($A27),IF(AND(AH!$U$12=1,22+1=AH!$U$6),TODAY(),IF(AH!$U$5=1,INDEX('Live History'!$G$5:$G$3004,MATCH($A27,'Live History'!$G$5:$G$3004,1)),INDEX('AH History'!$C$5:$C$1380,$K27))),NA()),NA())</f>
        <v/>
      </c>
      <c r="J27" s="32">
        <f>IFERROR(IF(AND($F27&gt;0,$H27&gt;0,$A27-$G27&lt;=10,$A27-$I27&lt;=5,$G27&gt;0,$I27&gt;0),$F27*$H27,NA()),NA())</f>
        <v/>
      </c>
      <c r="K27" s="15">
        <f>IF($A27="","",IF(AH!$U$5=1,IFERROR(MATCH($A27,'Live History'!$A$5:$A$3004,0),0),AH!$U$7+22))</f>
        <v/>
      </c>
      <c r="L27" s="15">
        <f>IF(ISNUMBER(A27),TEXT(A27,"dd-mmm-yy"),"")</f>
        <v/>
      </c>
      <c r="M27" s="3" t="n"/>
      <c r="N27" s="3" t="n"/>
      <c r="O27" s="3" t="n"/>
    </row>
    <row r="28" ht="22" customHeight="1">
      <c r="A28" s="14">
        <f>IF(OR(AH!$U$4=0,23+1&gt;AH!$U$6,AND(AH!$M$5="Bloomberg",AH!$U$5=0)),"",IFERROR(IF(AND(AH!$U$12=1,23+1=AH!$U$6),TODAY(),IF(AH!$U$5=1,INDEX('Live History'!$A$5:$A$3004,AH!$U$7+23),INDEX('AH History'!$A$5:$A$1380,AH!$U$7+23))),""))</f>
        <v/>
      </c>
      <c r="B28" s="33">
        <f>IFERROR(IF(AH!$U$11=1,NA(),$J28/$E28-1),NA())</f>
        <v/>
      </c>
      <c r="C28" s="269">
        <f>IFERROR(100*$E28/$E$5,NA())</f>
        <v/>
      </c>
      <c r="D28" s="269">
        <f>IFERROR(100*$J28/$J$5,NA())</f>
        <v/>
      </c>
      <c r="E28" s="32">
        <f>IFERROR(IF(AND(ISNUMBER($A28),N(IF(AND(AH!$U$12=1,23+1=AH!$U$6),IF(AH!$U$4=0,"unavailable",INDEX('Market Data'!$AN$5:$AN$66,AH!$U$4)),IF(AH!$U$5=1,INDEX('Live History'!$B$5:$B$3004,$K28),INDEX('AH History'!$D$5:$GG$1380,$K28,AH!$U$10))))&gt;0),IF(AND(AH!$U$12=1,23+1=AH!$U$6),IF(AH!$U$4=0,"unavailable",INDEX('Market Data'!$AN$5:$AN$66,AH!$U$4)),IF(AH!$U$5=1,INDEX('Live History'!$B$5:$B$3004,$K28),INDEX('AH History'!$D$5:$GG$1380,$K28,AH!$U$10))),NA()),NA())</f>
        <v/>
      </c>
      <c r="F28" s="32">
        <f>IFERROR(IF(ISNUMBER($A28),IF(AND(AH!$U$12=1,23+1=AH!$U$6),IF(AH!$U$4=0,"unavailable",INDEX('Market Data'!$AO$5:$AO$66,AH!$U$4)),IF(AH!$U$5=1,INDEX('Live History'!$E$5:$E$3004,MATCH($A28,'Live History'!$D$5:$D$3004,1)),INDEX('AH History'!$D$5:$GG$1380,$K28,AH!$U$10+1))),NA()),NA())</f>
        <v/>
      </c>
      <c r="G28" s="34">
        <f>IFERROR(IF(ISNUMBER($A28),IF(AND(AH!$U$12=1,23+1=AH!$U$6),IF(AH!$U$4=0,"unavailable",INDEX('Market Data'!$AK$5:$AK$66,AH!$U$4)),IF(AH!$U$5=1,INDEX('Live History'!$D$5:$D$3004,MATCH($A28,'Live History'!$D$5:$D$3004,1)),INDEX('AH History'!$D$5:$GG$1380,$K28,AH!$U$10+2))),NA()),NA())</f>
        <v/>
      </c>
      <c r="H28" s="266">
        <f>IFERROR(IF(ISNUMBER($A28),IF(AND(AH!$U$12=1,23+1=AH!$U$6),IF(AH!$U$4=0,"unavailable",INDEX('Market Data'!$AP$5:$AP$66,AH!$U$4)),IF(AH!$U$5=1,INDEX('Live History'!$H$5:$H$3004,MATCH($A28,'Live History'!$G$5:$G$3004,1)),INDEX('AH History'!$B$5:$B$1380,$K28))),NA()),NA())</f>
        <v/>
      </c>
      <c r="I28" s="34">
        <f>IFERROR(IF(ISNUMBER($A28),IF(AND(AH!$U$12=1,23+1=AH!$U$6),TODAY(),IF(AH!$U$5=1,INDEX('Live History'!$G$5:$G$3004,MATCH($A28,'Live History'!$G$5:$G$3004,1)),INDEX('AH History'!$C$5:$C$1380,$K28))),NA()),NA())</f>
        <v/>
      </c>
      <c r="J28" s="32">
        <f>IFERROR(IF(AND($F28&gt;0,$H28&gt;0,$A28-$G28&lt;=10,$A28-$I28&lt;=5,$G28&gt;0,$I28&gt;0),$F28*$H28,NA()),NA())</f>
        <v/>
      </c>
      <c r="K28" s="15">
        <f>IF($A28="","",IF(AH!$U$5=1,IFERROR(MATCH($A28,'Live History'!$A$5:$A$3004,0),0),AH!$U$7+23))</f>
        <v/>
      </c>
      <c r="L28" s="15">
        <f>IF(ISNUMBER(A28),TEXT(A28,"dd-mmm-yy"),"")</f>
        <v/>
      </c>
      <c r="M28" s="3" t="n"/>
      <c r="N28" s="3" t="n"/>
      <c r="O28" s="3" t="n"/>
    </row>
    <row r="29" ht="22" customHeight="1">
      <c r="A29" s="14">
        <f>IF(OR(AH!$U$4=0,24+1&gt;AH!$U$6,AND(AH!$M$5="Bloomberg",AH!$U$5=0)),"",IFERROR(IF(AND(AH!$U$12=1,24+1=AH!$U$6),TODAY(),IF(AH!$U$5=1,INDEX('Live History'!$A$5:$A$3004,AH!$U$7+24),INDEX('AH History'!$A$5:$A$1380,AH!$U$7+24))),""))</f>
        <v/>
      </c>
      <c r="B29" s="33">
        <f>IFERROR(IF(AH!$U$11=1,NA(),$J29/$E29-1),NA())</f>
        <v/>
      </c>
      <c r="C29" s="269">
        <f>IFERROR(100*$E29/$E$5,NA())</f>
        <v/>
      </c>
      <c r="D29" s="269">
        <f>IFERROR(100*$J29/$J$5,NA())</f>
        <v/>
      </c>
      <c r="E29" s="32">
        <f>IFERROR(IF(AND(ISNUMBER($A29),N(IF(AND(AH!$U$12=1,24+1=AH!$U$6),IF(AH!$U$4=0,"unavailable",INDEX('Market Data'!$AN$5:$AN$66,AH!$U$4)),IF(AH!$U$5=1,INDEX('Live History'!$B$5:$B$3004,$K29),INDEX('AH History'!$D$5:$GG$1380,$K29,AH!$U$10))))&gt;0),IF(AND(AH!$U$12=1,24+1=AH!$U$6),IF(AH!$U$4=0,"unavailable",INDEX('Market Data'!$AN$5:$AN$66,AH!$U$4)),IF(AH!$U$5=1,INDEX('Live History'!$B$5:$B$3004,$K29),INDEX('AH History'!$D$5:$GG$1380,$K29,AH!$U$10))),NA()),NA())</f>
        <v/>
      </c>
      <c r="F29" s="32">
        <f>IFERROR(IF(ISNUMBER($A29),IF(AND(AH!$U$12=1,24+1=AH!$U$6),IF(AH!$U$4=0,"unavailable",INDEX('Market Data'!$AO$5:$AO$66,AH!$U$4)),IF(AH!$U$5=1,INDEX('Live History'!$E$5:$E$3004,MATCH($A29,'Live History'!$D$5:$D$3004,1)),INDEX('AH History'!$D$5:$GG$1380,$K29,AH!$U$10+1))),NA()),NA())</f>
        <v/>
      </c>
      <c r="G29" s="34">
        <f>IFERROR(IF(ISNUMBER($A29),IF(AND(AH!$U$12=1,24+1=AH!$U$6),IF(AH!$U$4=0,"unavailable",INDEX('Market Data'!$AK$5:$AK$66,AH!$U$4)),IF(AH!$U$5=1,INDEX('Live History'!$D$5:$D$3004,MATCH($A29,'Live History'!$D$5:$D$3004,1)),INDEX('AH History'!$D$5:$GG$1380,$K29,AH!$U$10+2))),NA()),NA())</f>
        <v/>
      </c>
      <c r="H29" s="266">
        <f>IFERROR(IF(ISNUMBER($A29),IF(AND(AH!$U$12=1,24+1=AH!$U$6),IF(AH!$U$4=0,"unavailable",INDEX('Market Data'!$AP$5:$AP$66,AH!$U$4)),IF(AH!$U$5=1,INDEX('Live History'!$H$5:$H$3004,MATCH($A29,'Live History'!$G$5:$G$3004,1)),INDEX('AH History'!$B$5:$B$1380,$K29))),NA()),NA())</f>
        <v/>
      </c>
      <c r="I29" s="34">
        <f>IFERROR(IF(ISNUMBER($A29),IF(AND(AH!$U$12=1,24+1=AH!$U$6),TODAY(),IF(AH!$U$5=1,INDEX('Live History'!$G$5:$G$3004,MATCH($A29,'Live History'!$G$5:$G$3004,1)),INDEX('AH History'!$C$5:$C$1380,$K29))),NA()),NA())</f>
        <v/>
      </c>
      <c r="J29" s="32">
        <f>IFERROR(IF(AND($F29&gt;0,$H29&gt;0,$A29-$G29&lt;=10,$A29-$I29&lt;=5,$G29&gt;0,$I29&gt;0),$F29*$H29,NA()),NA())</f>
        <v/>
      </c>
      <c r="K29" s="15">
        <f>IF($A29="","",IF(AH!$U$5=1,IFERROR(MATCH($A29,'Live History'!$A$5:$A$3004,0),0),AH!$U$7+24))</f>
        <v/>
      </c>
      <c r="L29" s="15">
        <f>IF(ISNUMBER(A29),TEXT(A29,"dd-mmm-yy"),"")</f>
        <v/>
      </c>
      <c r="M29" s="3" t="n"/>
      <c r="N29" s="3" t="n"/>
      <c r="O29" s="3" t="n"/>
    </row>
    <row r="30" ht="22" customHeight="1">
      <c r="A30" s="14">
        <f>IF(OR(AH!$U$4=0,25+1&gt;AH!$U$6,AND(AH!$M$5="Bloomberg",AH!$U$5=0)),"",IFERROR(IF(AND(AH!$U$12=1,25+1=AH!$U$6),TODAY(),IF(AH!$U$5=1,INDEX('Live History'!$A$5:$A$3004,AH!$U$7+25),INDEX('AH History'!$A$5:$A$1380,AH!$U$7+25))),""))</f>
        <v/>
      </c>
      <c r="B30" s="33">
        <f>IFERROR(IF(AH!$U$11=1,NA(),$J30/$E30-1),NA())</f>
        <v/>
      </c>
      <c r="C30" s="269">
        <f>IFERROR(100*$E30/$E$5,NA())</f>
        <v/>
      </c>
      <c r="D30" s="269">
        <f>IFERROR(100*$J30/$J$5,NA())</f>
        <v/>
      </c>
      <c r="E30" s="32">
        <f>IFERROR(IF(AND(ISNUMBER($A30),N(IF(AND(AH!$U$12=1,25+1=AH!$U$6),IF(AH!$U$4=0,"unavailable",INDEX('Market Data'!$AN$5:$AN$66,AH!$U$4)),IF(AH!$U$5=1,INDEX('Live History'!$B$5:$B$3004,$K30),INDEX('AH History'!$D$5:$GG$1380,$K30,AH!$U$10))))&gt;0),IF(AND(AH!$U$12=1,25+1=AH!$U$6),IF(AH!$U$4=0,"unavailable",INDEX('Market Data'!$AN$5:$AN$66,AH!$U$4)),IF(AH!$U$5=1,INDEX('Live History'!$B$5:$B$3004,$K30),INDEX('AH History'!$D$5:$GG$1380,$K30,AH!$U$10))),NA()),NA())</f>
        <v/>
      </c>
      <c r="F30" s="32">
        <f>IFERROR(IF(ISNUMBER($A30),IF(AND(AH!$U$12=1,25+1=AH!$U$6),IF(AH!$U$4=0,"unavailable",INDEX('Market Data'!$AO$5:$AO$66,AH!$U$4)),IF(AH!$U$5=1,INDEX('Live History'!$E$5:$E$3004,MATCH($A30,'Live History'!$D$5:$D$3004,1)),INDEX('AH History'!$D$5:$GG$1380,$K30,AH!$U$10+1))),NA()),NA())</f>
        <v/>
      </c>
      <c r="G30" s="34">
        <f>IFERROR(IF(ISNUMBER($A30),IF(AND(AH!$U$12=1,25+1=AH!$U$6),IF(AH!$U$4=0,"unavailable",INDEX('Market Data'!$AK$5:$AK$66,AH!$U$4)),IF(AH!$U$5=1,INDEX('Live History'!$D$5:$D$3004,MATCH($A30,'Live History'!$D$5:$D$3004,1)),INDEX('AH History'!$D$5:$GG$1380,$K30,AH!$U$10+2))),NA()),NA())</f>
        <v/>
      </c>
      <c r="H30" s="266">
        <f>IFERROR(IF(ISNUMBER($A30),IF(AND(AH!$U$12=1,25+1=AH!$U$6),IF(AH!$U$4=0,"unavailable",INDEX('Market Data'!$AP$5:$AP$66,AH!$U$4)),IF(AH!$U$5=1,INDEX('Live History'!$H$5:$H$3004,MATCH($A30,'Live History'!$G$5:$G$3004,1)),INDEX('AH History'!$B$5:$B$1380,$K30))),NA()),NA())</f>
        <v/>
      </c>
      <c r="I30" s="34">
        <f>IFERROR(IF(ISNUMBER($A30),IF(AND(AH!$U$12=1,25+1=AH!$U$6),TODAY(),IF(AH!$U$5=1,INDEX('Live History'!$G$5:$G$3004,MATCH($A30,'Live History'!$G$5:$G$3004,1)),INDEX('AH History'!$C$5:$C$1380,$K30))),NA()),NA())</f>
        <v/>
      </c>
      <c r="J30" s="32">
        <f>IFERROR(IF(AND($F30&gt;0,$H30&gt;0,$A30-$G30&lt;=10,$A30-$I30&lt;=5,$G30&gt;0,$I30&gt;0),$F30*$H30,NA()),NA())</f>
        <v/>
      </c>
      <c r="K30" s="15">
        <f>IF($A30="","",IF(AH!$U$5=1,IFERROR(MATCH($A30,'Live History'!$A$5:$A$3004,0),0),AH!$U$7+25))</f>
        <v/>
      </c>
      <c r="L30" s="15">
        <f>IF(ISNUMBER(A30),TEXT(A30,"dd-mmm-yy"),"")</f>
        <v/>
      </c>
      <c r="M30" s="3" t="n"/>
      <c r="N30" s="3" t="n"/>
      <c r="O30" s="3" t="n"/>
    </row>
    <row r="31" ht="22" customHeight="1">
      <c r="A31" s="14">
        <f>IF(OR(AH!$U$4=0,26+1&gt;AH!$U$6,AND(AH!$M$5="Bloomberg",AH!$U$5=0)),"",IFERROR(IF(AND(AH!$U$12=1,26+1=AH!$U$6),TODAY(),IF(AH!$U$5=1,INDEX('Live History'!$A$5:$A$3004,AH!$U$7+26),INDEX('AH History'!$A$5:$A$1380,AH!$U$7+26))),""))</f>
        <v/>
      </c>
      <c r="B31" s="33">
        <f>IFERROR(IF(AH!$U$11=1,NA(),$J31/$E31-1),NA())</f>
        <v/>
      </c>
      <c r="C31" s="269">
        <f>IFERROR(100*$E31/$E$5,NA())</f>
        <v/>
      </c>
      <c r="D31" s="269">
        <f>IFERROR(100*$J31/$J$5,NA())</f>
        <v/>
      </c>
      <c r="E31" s="32">
        <f>IFERROR(IF(AND(ISNUMBER($A31),N(IF(AND(AH!$U$12=1,26+1=AH!$U$6),IF(AH!$U$4=0,"unavailable",INDEX('Market Data'!$AN$5:$AN$66,AH!$U$4)),IF(AH!$U$5=1,INDEX('Live History'!$B$5:$B$3004,$K31),INDEX('AH History'!$D$5:$GG$1380,$K31,AH!$U$10))))&gt;0),IF(AND(AH!$U$12=1,26+1=AH!$U$6),IF(AH!$U$4=0,"unavailable",INDEX('Market Data'!$AN$5:$AN$66,AH!$U$4)),IF(AH!$U$5=1,INDEX('Live History'!$B$5:$B$3004,$K31),INDEX('AH History'!$D$5:$GG$1380,$K31,AH!$U$10))),NA()),NA())</f>
        <v/>
      </c>
      <c r="F31" s="32">
        <f>IFERROR(IF(ISNUMBER($A31),IF(AND(AH!$U$12=1,26+1=AH!$U$6),IF(AH!$U$4=0,"unavailable",INDEX('Market Data'!$AO$5:$AO$66,AH!$U$4)),IF(AH!$U$5=1,INDEX('Live History'!$E$5:$E$3004,MATCH($A31,'Live History'!$D$5:$D$3004,1)),INDEX('AH History'!$D$5:$GG$1380,$K31,AH!$U$10+1))),NA()),NA())</f>
        <v/>
      </c>
      <c r="G31" s="34">
        <f>IFERROR(IF(ISNUMBER($A31),IF(AND(AH!$U$12=1,26+1=AH!$U$6),IF(AH!$U$4=0,"unavailable",INDEX('Market Data'!$AK$5:$AK$66,AH!$U$4)),IF(AH!$U$5=1,INDEX('Live History'!$D$5:$D$3004,MATCH($A31,'Live History'!$D$5:$D$3004,1)),INDEX('AH History'!$D$5:$GG$1380,$K31,AH!$U$10+2))),NA()),NA())</f>
        <v/>
      </c>
      <c r="H31" s="266">
        <f>IFERROR(IF(ISNUMBER($A31),IF(AND(AH!$U$12=1,26+1=AH!$U$6),IF(AH!$U$4=0,"unavailable",INDEX('Market Data'!$AP$5:$AP$66,AH!$U$4)),IF(AH!$U$5=1,INDEX('Live History'!$H$5:$H$3004,MATCH($A31,'Live History'!$G$5:$G$3004,1)),INDEX('AH History'!$B$5:$B$1380,$K31))),NA()),NA())</f>
        <v/>
      </c>
      <c r="I31" s="34">
        <f>IFERROR(IF(ISNUMBER($A31),IF(AND(AH!$U$12=1,26+1=AH!$U$6),TODAY(),IF(AH!$U$5=1,INDEX('Live History'!$G$5:$G$3004,MATCH($A31,'Live History'!$G$5:$G$3004,1)),INDEX('AH History'!$C$5:$C$1380,$K31))),NA()),NA())</f>
        <v/>
      </c>
      <c r="J31" s="32">
        <f>IFERROR(IF(AND($F31&gt;0,$H31&gt;0,$A31-$G31&lt;=10,$A31-$I31&lt;=5,$G31&gt;0,$I31&gt;0),$F31*$H31,NA()),NA())</f>
        <v/>
      </c>
      <c r="K31" s="15">
        <f>IF($A31="","",IF(AH!$U$5=1,IFERROR(MATCH($A31,'Live History'!$A$5:$A$3004,0),0),AH!$U$7+26))</f>
        <v/>
      </c>
      <c r="L31" s="15">
        <f>IF(ISNUMBER(A31),TEXT(A31,"dd-mmm-yy"),"")</f>
        <v/>
      </c>
      <c r="M31" s="3" t="n"/>
      <c r="N31" s="3" t="n"/>
      <c r="O31" s="3" t="n"/>
    </row>
    <row r="32" ht="22" customHeight="1">
      <c r="A32" s="14">
        <f>IF(OR(AH!$U$4=0,27+1&gt;AH!$U$6,AND(AH!$M$5="Bloomberg",AH!$U$5=0)),"",IFERROR(IF(AND(AH!$U$12=1,27+1=AH!$U$6),TODAY(),IF(AH!$U$5=1,INDEX('Live History'!$A$5:$A$3004,AH!$U$7+27),INDEX('AH History'!$A$5:$A$1380,AH!$U$7+27))),""))</f>
        <v/>
      </c>
      <c r="B32" s="33">
        <f>IFERROR(IF(AH!$U$11=1,NA(),$J32/$E32-1),NA())</f>
        <v/>
      </c>
      <c r="C32" s="269">
        <f>IFERROR(100*$E32/$E$5,NA())</f>
        <v/>
      </c>
      <c r="D32" s="269">
        <f>IFERROR(100*$J32/$J$5,NA())</f>
        <v/>
      </c>
      <c r="E32" s="32">
        <f>IFERROR(IF(AND(ISNUMBER($A32),N(IF(AND(AH!$U$12=1,27+1=AH!$U$6),IF(AH!$U$4=0,"unavailable",INDEX('Market Data'!$AN$5:$AN$66,AH!$U$4)),IF(AH!$U$5=1,INDEX('Live History'!$B$5:$B$3004,$K32),INDEX('AH History'!$D$5:$GG$1380,$K32,AH!$U$10))))&gt;0),IF(AND(AH!$U$12=1,27+1=AH!$U$6),IF(AH!$U$4=0,"unavailable",INDEX('Market Data'!$AN$5:$AN$66,AH!$U$4)),IF(AH!$U$5=1,INDEX('Live History'!$B$5:$B$3004,$K32),INDEX('AH History'!$D$5:$GG$1380,$K32,AH!$U$10))),NA()),NA())</f>
        <v/>
      </c>
      <c r="F32" s="32">
        <f>IFERROR(IF(ISNUMBER($A32),IF(AND(AH!$U$12=1,27+1=AH!$U$6),IF(AH!$U$4=0,"unavailable",INDEX('Market Data'!$AO$5:$AO$66,AH!$U$4)),IF(AH!$U$5=1,INDEX('Live History'!$E$5:$E$3004,MATCH($A32,'Live History'!$D$5:$D$3004,1)),INDEX('AH History'!$D$5:$GG$1380,$K32,AH!$U$10+1))),NA()),NA())</f>
        <v/>
      </c>
      <c r="G32" s="34">
        <f>IFERROR(IF(ISNUMBER($A32),IF(AND(AH!$U$12=1,27+1=AH!$U$6),IF(AH!$U$4=0,"unavailable",INDEX('Market Data'!$AK$5:$AK$66,AH!$U$4)),IF(AH!$U$5=1,INDEX('Live History'!$D$5:$D$3004,MATCH($A32,'Live History'!$D$5:$D$3004,1)),INDEX('AH History'!$D$5:$GG$1380,$K32,AH!$U$10+2))),NA()),NA())</f>
        <v/>
      </c>
      <c r="H32" s="266">
        <f>IFERROR(IF(ISNUMBER($A32),IF(AND(AH!$U$12=1,27+1=AH!$U$6),IF(AH!$U$4=0,"unavailable",INDEX('Market Data'!$AP$5:$AP$66,AH!$U$4)),IF(AH!$U$5=1,INDEX('Live History'!$H$5:$H$3004,MATCH($A32,'Live History'!$G$5:$G$3004,1)),INDEX('AH History'!$B$5:$B$1380,$K32))),NA()),NA())</f>
        <v/>
      </c>
      <c r="I32" s="34">
        <f>IFERROR(IF(ISNUMBER($A32),IF(AND(AH!$U$12=1,27+1=AH!$U$6),TODAY(),IF(AH!$U$5=1,INDEX('Live History'!$G$5:$G$3004,MATCH($A32,'Live History'!$G$5:$G$3004,1)),INDEX('AH History'!$C$5:$C$1380,$K32))),NA()),NA())</f>
        <v/>
      </c>
      <c r="J32" s="32">
        <f>IFERROR(IF(AND($F32&gt;0,$H32&gt;0,$A32-$G32&lt;=10,$A32-$I32&lt;=5,$G32&gt;0,$I32&gt;0),$F32*$H32,NA()),NA())</f>
        <v/>
      </c>
      <c r="K32" s="15">
        <f>IF($A32="","",IF(AH!$U$5=1,IFERROR(MATCH($A32,'Live History'!$A$5:$A$3004,0),0),AH!$U$7+27))</f>
        <v/>
      </c>
      <c r="L32" s="15">
        <f>IF(ISNUMBER(A32),TEXT(A32,"dd-mmm-yy"),"")</f>
        <v/>
      </c>
      <c r="M32" s="3" t="n"/>
      <c r="N32" s="3" t="n"/>
      <c r="O32" s="3" t="n"/>
    </row>
    <row r="33" ht="22" customHeight="1">
      <c r="A33" s="14">
        <f>IF(OR(AH!$U$4=0,28+1&gt;AH!$U$6,AND(AH!$M$5="Bloomberg",AH!$U$5=0)),"",IFERROR(IF(AND(AH!$U$12=1,28+1=AH!$U$6),TODAY(),IF(AH!$U$5=1,INDEX('Live History'!$A$5:$A$3004,AH!$U$7+28),INDEX('AH History'!$A$5:$A$1380,AH!$U$7+28))),""))</f>
        <v/>
      </c>
      <c r="B33" s="33">
        <f>IFERROR(IF(AH!$U$11=1,NA(),$J33/$E33-1),NA())</f>
        <v/>
      </c>
      <c r="C33" s="269">
        <f>IFERROR(100*$E33/$E$5,NA())</f>
        <v/>
      </c>
      <c r="D33" s="269">
        <f>IFERROR(100*$J33/$J$5,NA())</f>
        <v/>
      </c>
      <c r="E33" s="32">
        <f>IFERROR(IF(AND(ISNUMBER($A33),N(IF(AND(AH!$U$12=1,28+1=AH!$U$6),IF(AH!$U$4=0,"unavailable",INDEX('Market Data'!$AN$5:$AN$66,AH!$U$4)),IF(AH!$U$5=1,INDEX('Live History'!$B$5:$B$3004,$K33),INDEX('AH History'!$D$5:$GG$1380,$K33,AH!$U$10))))&gt;0),IF(AND(AH!$U$12=1,28+1=AH!$U$6),IF(AH!$U$4=0,"unavailable",INDEX('Market Data'!$AN$5:$AN$66,AH!$U$4)),IF(AH!$U$5=1,INDEX('Live History'!$B$5:$B$3004,$K33),INDEX('AH History'!$D$5:$GG$1380,$K33,AH!$U$10))),NA()),NA())</f>
        <v/>
      </c>
      <c r="F33" s="32">
        <f>IFERROR(IF(ISNUMBER($A33),IF(AND(AH!$U$12=1,28+1=AH!$U$6),IF(AH!$U$4=0,"unavailable",INDEX('Market Data'!$AO$5:$AO$66,AH!$U$4)),IF(AH!$U$5=1,INDEX('Live History'!$E$5:$E$3004,MATCH($A33,'Live History'!$D$5:$D$3004,1)),INDEX('AH History'!$D$5:$GG$1380,$K33,AH!$U$10+1))),NA()),NA())</f>
        <v/>
      </c>
      <c r="G33" s="34">
        <f>IFERROR(IF(ISNUMBER($A33),IF(AND(AH!$U$12=1,28+1=AH!$U$6),IF(AH!$U$4=0,"unavailable",INDEX('Market Data'!$AK$5:$AK$66,AH!$U$4)),IF(AH!$U$5=1,INDEX('Live History'!$D$5:$D$3004,MATCH($A33,'Live History'!$D$5:$D$3004,1)),INDEX('AH History'!$D$5:$GG$1380,$K33,AH!$U$10+2))),NA()),NA())</f>
        <v/>
      </c>
      <c r="H33" s="266">
        <f>IFERROR(IF(ISNUMBER($A33),IF(AND(AH!$U$12=1,28+1=AH!$U$6),IF(AH!$U$4=0,"unavailable",INDEX('Market Data'!$AP$5:$AP$66,AH!$U$4)),IF(AH!$U$5=1,INDEX('Live History'!$H$5:$H$3004,MATCH($A33,'Live History'!$G$5:$G$3004,1)),INDEX('AH History'!$B$5:$B$1380,$K33))),NA()),NA())</f>
        <v/>
      </c>
      <c r="I33" s="34">
        <f>IFERROR(IF(ISNUMBER($A33),IF(AND(AH!$U$12=1,28+1=AH!$U$6),TODAY(),IF(AH!$U$5=1,INDEX('Live History'!$G$5:$G$3004,MATCH($A33,'Live History'!$G$5:$G$3004,1)),INDEX('AH History'!$C$5:$C$1380,$K33))),NA()),NA())</f>
        <v/>
      </c>
      <c r="J33" s="32">
        <f>IFERROR(IF(AND($F33&gt;0,$H33&gt;0,$A33-$G33&lt;=10,$A33-$I33&lt;=5,$G33&gt;0,$I33&gt;0),$F33*$H33,NA()),NA())</f>
        <v/>
      </c>
      <c r="K33" s="15">
        <f>IF($A33="","",IF(AH!$U$5=1,IFERROR(MATCH($A33,'Live History'!$A$5:$A$3004,0),0),AH!$U$7+28))</f>
        <v/>
      </c>
      <c r="L33" s="15">
        <f>IF(ISNUMBER(A33),TEXT(A33,"dd-mmm-yy"),"")</f>
        <v/>
      </c>
      <c r="M33" s="3" t="n"/>
      <c r="N33" s="3" t="n"/>
      <c r="O33" s="3" t="n"/>
    </row>
    <row r="34" ht="22" customHeight="1">
      <c r="A34" s="14">
        <f>IF(OR(AH!$U$4=0,29+1&gt;AH!$U$6,AND(AH!$M$5="Bloomberg",AH!$U$5=0)),"",IFERROR(IF(AND(AH!$U$12=1,29+1=AH!$U$6),TODAY(),IF(AH!$U$5=1,INDEX('Live History'!$A$5:$A$3004,AH!$U$7+29),INDEX('AH History'!$A$5:$A$1380,AH!$U$7+29))),""))</f>
        <v/>
      </c>
      <c r="B34" s="33">
        <f>IFERROR(IF(AH!$U$11=1,NA(),$J34/$E34-1),NA())</f>
        <v/>
      </c>
      <c r="C34" s="269">
        <f>IFERROR(100*$E34/$E$5,NA())</f>
        <v/>
      </c>
      <c r="D34" s="269">
        <f>IFERROR(100*$J34/$J$5,NA())</f>
        <v/>
      </c>
      <c r="E34" s="32">
        <f>IFERROR(IF(AND(ISNUMBER($A34),N(IF(AND(AH!$U$12=1,29+1=AH!$U$6),IF(AH!$U$4=0,"unavailable",INDEX('Market Data'!$AN$5:$AN$66,AH!$U$4)),IF(AH!$U$5=1,INDEX('Live History'!$B$5:$B$3004,$K34),INDEX('AH History'!$D$5:$GG$1380,$K34,AH!$U$10))))&gt;0),IF(AND(AH!$U$12=1,29+1=AH!$U$6),IF(AH!$U$4=0,"unavailable",INDEX('Market Data'!$AN$5:$AN$66,AH!$U$4)),IF(AH!$U$5=1,INDEX('Live History'!$B$5:$B$3004,$K34),INDEX('AH History'!$D$5:$GG$1380,$K34,AH!$U$10))),NA()),NA())</f>
        <v/>
      </c>
      <c r="F34" s="32">
        <f>IFERROR(IF(ISNUMBER($A34),IF(AND(AH!$U$12=1,29+1=AH!$U$6),IF(AH!$U$4=0,"unavailable",INDEX('Market Data'!$AO$5:$AO$66,AH!$U$4)),IF(AH!$U$5=1,INDEX('Live History'!$E$5:$E$3004,MATCH($A34,'Live History'!$D$5:$D$3004,1)),INDEX('AH History'!$D$5:$GG$1380,$K34,AH!$U$10+1))),NA()),NA())</f>
        <v/>
      </c>
      <c r="G34" s="34">
        <f>IFERROR(IF(ISNUMBER($A34),IF(AND(AH!$U$12=1,29+1=AH!$U$6),IF(AH!$U$4=0,"unavailable",INDEX('Market Data'!$AK$5:$AK$66,AH!$U$4)),IF(AH!$U$5=1,INDEX('Live History'!$D$5:$D$3004,MATCH($A34,'Live History'!$D$5:$D$3004,1)),INDEX('AH History'!$D$5:$GG$1380,$K34,AH!$U$10+2))),NA()),NA())</f>
        <v/>
      </c>
      <c r="H34" s="266">
        <f>IFERROR(IF(ISNUMBER($A34),IF(AND(AH!$U$12=1,29+1=AH!$U$6),IF(AH!$U$4=0,"unavailable",INDEX('Market Data'!$AP$5:$AP$66,AH!$U$4)),IF(AH!$U$5=1,INDEX('Live History'!$H$5:$H$3004,MATCH($A34,'Live History'!$G$5:$G$3004,1)),INDEX('AH History'!$B$5:$B$1380,$K34))),NA()),NA())</f>
        <v/>
      </c>
      <c r="I34" s="34">
        <f>IFERROR(IF(ISNUMBER($A34),IF(AND(AH!$U$12=1,29+1=AH!$U$6),TODAY(),IF(AH!$U$5=1,INDEX('Live History'!$G$5:$G$3004,MATCH($A34,'Live History'!$G$5:$G$3004,1)),INDEX('AH History'!$C$5:$C$1380,$K34))),NA()),NA())</f>
        <v/>
      </c>
      <c r="J34" s="32">
        <f>IFERROR(IF(AND($F34&gt;0,$H34&gt;0,$A34-$G34&lt;=10,$A34-$I34&lt;=5,$G34&gt;0,$I34&gt;0),$F34*$H34,NA()),NA())</f>
        <v/>
      </c>
      <c r="K34" s="15">
        <f>IF($A34="","",IF(AH!$U$5=1,IFERROR(MATCH($A34,'Live History'!$A$5:$A$3004,0),0),AH!$U$7+29))</f>
        <v/>
      </c>
      <c r="L34" s="15">
        <f>IF(ISNUMBER(A34),TEXT(A34,"dd-mmm-yy"),"")</f>
        <v/>
      </c>
      <c r="M34" s="3" t="n"/>
      <c r="N34" s="3" t="n"/>
      <c r="O34" s="3" t="n"/>
    </row>
    <row r="35" ht="22" customHeight="1">
      <c r="A35" s="14">
        <f>IF(OR(AH!$U$4=0,30+1&gt;AH!$U$6,AND(AH!$M$5="Bloomberg",AH!$U$5=0)),"",IFERROR(IF(AND(AH!$U$12=1,30+1=AH!$U$6),TODAY(),IF(AH!$U$5=1,INDEX('Live History'!$A$5:$A$3004,AH!$U$7+30),INDEX('AH History'!$A$5:$A$1380,AH!$U$7+30))),""))</f>
        <v/>
      </c>
      <c r="B35" s="33">
        <f>IFERROR(IF(AH!$U$11=1,NA(),$J35/$E35-1),NA())</f>
        <v/>
      </c>
      <c r="C35" s="269">
        <f>IFERROR(100*$E35/$E$5,NA())</f>
        <v/>
      </c>
      <c r="D35" s="269">
        <f>IFERROR(100*$J35/$J$5,NA())</f>
        <v/>
      </c>
      <c r="E35" s="32">
        <f>IFERROR(IF(AND(ISNUMBER($A35),N(IF(AND(AH!$U$12=1,30+1=AH!$U$6),IF(AH!$U$4=0,"unavailable",INDEX('Market Data'!$AN$5:$AN$66,AH!$U$4)),IF(AH!$U$5=1,INDEX('Live History'!$B$5:$B$3004,$K35),INDEX('AH History'!$D$5:$GG$1380,$K35,AH!$U$10))))&gt;0),IF(AND(AH!$U$12=1,30+1=AH!$U$6),IF(AH!$U$4=0,"unavailable",INDEX('Market Data'!$AN$5:$AN$66,AH!$U$4)),IF(AH!$U$5=1,INDEX('Live History'!$B$5:$B$3004,$K35),INDEX('AH History'!$D$5:$GG$1380,$K35,AH!$U$10))),NA()),NA())</f>
        <v/>
      </c>
      <c r="F35" s="32">
        <f>IFERROR(IF(ISNUMBER($A35),IF(AND(AH!$U$12=1,30+1=AH!$U$6),IF(AH!$U$4=0,"unavailable",INDEX('Market Data'!$AO$5:$AO$66,AH!$U$4)),IF(AH!$U$5=1,INDEX('Live History'!$E$5:$E$3004,MATCH($A35,'Live History'!$D$5:$D$3004,1)),INDEX('AH History'!$D$5:$GG$1380,$K35,AH!$U$10+1))),NA()),NA())</f>
        <v/>
      </c>
      <c r="G35" s="34">
        <f>IFERROR(IF(ISNUMBER($A35),IF(AND(AH!$U$12=1,30+1=AH!$U$6),IF(AH!$U$4=0,"unavailable",INDEX('Market Data'!$AK$5:$AK$66,AH!$U$4)),IF(AH!$U$5=1,INDEX('Live History'!$D$5:$D$3004,MATCH($A35,'Live History'!$D$5:$D$3004,1)),INDEX('AH History'!$D$5:$GG$1380,$K35,AH!$U$10+2))),NA()),NA())</f>
        <v/>
      </c>
      <c r="H35" s="266">
        <f>IFERROR(IF(ISNUMBER($A35),IF(AND(AH!$U$12=1,30+1=AH!$U$6),IF(AH!$U$4=0,"unavailable",INDEX('Market Data'!$AP$5:$AP$66,AH!$U$4)),IF(AH!$U$5=1,INDEX('Live History'!$H$5:$H$3004,MATCH($A35,'Live History'!$G$5:$G$3004,1)),INDEX('AH History'!$B$5:$B$1380,$K35))),NA()),NA())</f>
        <v/>
      </c>
      <c r="I35" s="34">
        <f>IFERROR(IF(ISNUMBER($A35),IF(AND(AH!$U$12=1,30+1=AH!$U$6),TODAY(),IF(AH!$U$5=1,INDEX('Live History'!$G$5:$G$3004,MATCH($A35,'Live History'!$G$5:$G$3004,1)),INDEX('AH History'!$C$5:$C$1380,$K35))),NA()),NA())</f>
        <v/>
      </c>
      <c r="J35" s="32">
        <f>IFERROR(IF(AND($F35&gt;0,$H35&gt;0,$A35-$G35&lt;=10,$A35-$I35&lt;=5,$G35&gt;0,$I35&gt;0),$F35*$H35,NA()),NA())</f>
        <v/>
      </c>
      <c r="K35" s="15">
        <f>IF($A35="","",IF(AH!$U$5=1,IFERROR(MATCH($A35,'Live History'!$A$5:$A$3004,0),0),AH!$U$7+30))</f>
        <v/>
      </c>
      <c r="L35" s="15">
        <f>IF(ISNUMBER(A35),TEXT(A35,"dd-mmm-yy"),"")</f>
        <v/>
      </c>
      <c r="M35" s="3" t="n"/>
      <c r="N35" s="3" t="n"/>
      <c r="O35" s="3" t="n"/>
    </row>
    <row r="36" ht="22" customHeight="1">
      <c r="A36" s="14">
        <f>IF(OR(AH!$U$4=0,31+1&gt;AH!$U$6,AND(AH!$M$5="Bloomberg",AH!$U$5=0)),"",IFERROR(IF(AND(AH!$U$12=1,31+1=AH!$U$6),TODAY(),IF(AH!$U$5=1,INDEX('Live History'!$A$5:$A$3004,AH!$U$7+31),INDEX('AH History'!$A$5:$A$1380,AH!$U$7+31))),""))</f>
        <v/>
      </c>
      <c r="B36" s="33">
        <f>IFERROR(IF(AH!$U$11=1,NA(),$J36/$E36-1),NA())</f>
        <v/>
      </c>
      <c r="C36" s="269">
        <f>IFERROR(100*$E36/$E$5,NA())</f>
        <v/>
      </c>
      <c r="D36" s="269">
        <f>IFERROR(100*$J36/$J$5,NA())</f>
        <v/>
      </c>
      <c r="E36" s="32">
        <f>IFERROR(IF(AND(ISNUMBER($A36),N(IF(AND(AH!$U$12=1,31+1=AH!$U$6),IF(AH!$U$4=0,"unavailable",INDEX('Market Data'!$AN$5:$AN$66,AH!$U$4)),IF(AH!$U$5=1,INDEX('Live History'!$B$5:$B$3004,$K36),INDEX('AH History'!$D$5:$GG$1380,$K36,AH!$U$10))))&gt;0),IF(AND(AH!$U$12=1,31+1=AH!$U$6),IF(AH!$U$4=0,"unavailable",INDEX('Market Data'!$AN$5:$AN$66,AH!$U$4)),IF(AH!$U$5=1,INDEX('Live History'!$B$5:$B$3004,$K36),INDEX('AH History'!$D$5:$GG$1380,$K36,AH!$U$10))),NA()),NA())</f>
        <v/>
      </c>
      <c r="F36" s="32">
        <f>IFERROR(IF(ISNUMBER($A36),IF(AND(AH!$U$12=1,31+1=AH!$U$6),IF(AH!$U$4=0,"unavailable",INDEX('Market Data'!$AO$5:$AO$66,AH!$U$4)),IF(AH!$U$5=1,INDEX('Live History'!$E$5:$E$3004,MATCH($A36,'Live History'!$D$5:$D$3004,1)),INDEX('AH History'!$D$5:$GG$1380,$K36,AH!$U$10+1))),NA()),NA())</f>
        <v/>
      </c>
      <c r="G36" s="34">
        <f>IFERROR(IF(ISNUMBER($A36),IF(AND(AH!$U$12=1,31+1=AH!$U$6),IF(AH!$U$4=0,"unavailable",INDEX('Market Data'!$AK$5:$AK$66,AH!$U$4)),IF(AH!$U$5=1,INDEX('Live History'!$D$5:$D$3004,MATCH($A36,'Live History'!$D$5:$D$3004,1)),INDEX('AH History'!$D$5:$GG$1380,$K36,AH!$U$10+2))),NA()),NA())</f>
        <v/>
      </c>
      <c r="H36" s="266">
        <f>IFERROR(IF(ISNUMBER($A36),IF(AND(AH!$U$12=1,31+1=AH!$U$6),IF(AH!$U$4=0,"unavailable",INDEX('Market Data'!$AP$5:$AP$66,AH!$U$4)),IF(AH!$U$5=1,INDEX('Live History'!$H$5:$H$3004,MATCH($A36,'Live History'!$G$5:$G$3004,1)),INDEX('AH History'!$B$5:$B$1380,$K36))),NA()),NA())</f>
        <v/>
      </c>
      <c r="I36" s="34">
        <f>IFERROR(IF(ISNUMBER($A36),IF(AND(AH!$U$12=1,31+1=AH!$U$6),TODAY(),IF(AH!$U$5=1,INDEX('Live History'!$G$5:$G$3004,MATCH($A36,'Live History'!$G$5:$G$3004,1)),INDEX('AH History'!$C$5:$C$1380,$K36))),NA()),NA())</f>
        <v/>
      </c>
      <c r="J36" s="32">
        <f>IFERROR(IF(AND($F36&gt;0,$H36&gt;0,$A36-$G36&lt;=10,$A36-$I36&lt;=5,$G36&gt;0,$I36&gt;0),$F36*$H36,NA()),NA())</f>
        <v/>
      </c>
      <c r="K36" s="15">
        <f>IF($A36="","",IF(AH!$U$5=1,IFERROR(MATCH($A36,'Live History'!$A$5:$A$3004,0),0),AH!$U$7+31))</f>
        <v/>
      </c>
      <c r="L36" s="15">
        <f>IF(ISNUMBER(A36),TEXT(A36,"dd-mmm-yy"),"")</f>
        <v/>
      </c>
      <c r="M36" s="3" t="n"/>
      <c r="N36" s="3" t="n"/>
      <c r="O36" s="3" t="n"/>
    </row>
    <row r="37" ht="22" customHeight="1">
      <c r="A37" s="14">
        <f>IF(OR(AH!$U$4=0,32+1&gt;AH!$U$6,AND(AH!$M$5="Bloomberg",AH!$U$5=0)),"",IFERROR(IF(AND(AH!$U$12=1,32+1=AH!$U$6),TODAY(),IF(AH!$U$5=1,INDEX('Live History'!$A$5:$A$3004,AH!$U$7+32),INDEX('AH History'!$A$5:$A$1380,AH!$U$7+32))),""))</f>
        <v/>
      </c>
      <c r="B37" s="33">
        <f>IFERROR(IF(AH!$U$11=1,NA(),$J37/$E37-1),NA())</f>
        <v/>
      </c>
      <c r="C37" s="269">
        <f>IFERROR(100*$E37/$E$5,NA())</f>
        <v/>
      </c>
      <c r="D37" s="269">
        <f>IFERROR(100*$J37/$J$5,NA())</f>
        <v/>
      </c>
      <c r="E37" s="32">
        <f>IFERROR(IF(AND(ISNUMBER($A37),N(IF(AND(AH!$U$12=1,32+1=AH!$U$6),IF(AH!$U$4=0,"unavailable",INDEX('Market Data'!$AN$5:$AN$66,AH!$U$4)),IF(AH!$U$5=1,INDEX('Live History'!$B$5:$B$3004,$K37),INDEX('AH History'!$D$5:$GG$1380,$K37,AH!$U$10))))&gt;0),IF(AND(AH!$U$12=1,32+1=AH!$U$6),IF(AH!$U$4=0,"unavailable",INDEX('Market Data'!$AN$5:$AN$66,AH!$U$4)),IF(AH!$U$5=1,INDEX('Live History'!$B$5:$B$3004,$K37),INDEX('AH History'!$D$5:$GG$1380,$K37,AH!$U$10))),NA()),NA())</f>
        <v/>
      </c>
      <c r="F37" s="32">
        <f>IFERROR(IF(ISNUMBER($A37),IF(AND(AH!$U$12=1,32+1=AH!$U$6),IF(AH!$U$4=0,"unavailable",INDEX('Market Data'!$AO$5:$AO$66,AH!$U$4)),IF(AH!$U$5=1,INDEX('Live History'!$E$5:$E$3004,MATCH($A37,'Live History'!$D$5:$D$3004,1)),INDEX('AH History'!$D$5:$GG$1380,$K37,AH!$U$10+1))),NA()),NA())</f>
        <v/>
      </c>
      <c r="G37" s="34">
        <f>IFERROR(IF(ISNUMBER($A37),IF(AND(AH!$U$12=1,32+1=AH!$U$6),IF(AH!$U$4=0,"unavailable",INDEX('Market Data'!$AK$5:$AK$66,AH!$U$4)),IF(AH!$U$5=1,INDEX('Live History'!$D$5:$D$3004,MATCH($A37,'Live History'!$D$5:$D$3004,1)),INDEX('AH History'!$D$5:$GG$1380,$K37,AH!$U$10+2))),NA()),NA())</f>
        <v/>
      </c>
      <c r="H37" s="266">
        <f>IFERROR(IF(ISNUMBER($A37),IF(AND(AH!$U$12=1,32+1=AH!$U$6),IF(AH!$U$4=0,"unavailable",INDEX('Market Data'!$AP$5:$AP$66,AH!$U$4)),IF(AH!$U$5=1,INDEX('Live History'!$H$5:$H$3004,MATCH($A37,'Live History'!$G$5:$G$3004,1)),INDEX('AH History'!$B$5:$B$1380,$K37))),NA()),NA())</f>
        <v/>
      </c>
      <c r="I37" s="34">
        <f>IFERROR(IF(ISNUMBER($A37),IF(AND(AH!$U$12=1,32+1=AH!$U$6),TODAY(),IF(AH!$U$5=1,INDEX('Live History'!$G$5:$G$3004,MATCH($A37,'Live History'!$G$5:$G$3004,1)),INDEX('AH History'!$C$5:$C$1380,$K37))),NA()),NA())</f>
        <v/>
      </c>
      <c r="J37" s="32">
        <f>IFERROR(IF(AND($F37&gt;0,$H37&gt;0,$A37-$G37&lt;=10,$A37-$I37&lt;=5,$G37&gt;0,$I37&gt;0),$F37*$H37,NA()),NA())</f>
        <v/>
      </c>
      <c r="K37" s="15">
        <f>IF($A37="","",IF(AH!$U$5=1,IFERROR(MATCH($A37,'Live History'!$A$5:$A$3004,0),0),AH!$U$7+32))</f>
        <v/>
      </c>
      <c r="L37" s="15">
        <f>IF(ISNUMBER(A37),TEXT(A37,"dd-mmm-yy"),"")</f>
        <v/>
      </c>
      <c r="M37" s="3" t="n"/>
      <c r="N37" s="3" t="n"/>
      <c r="O37" s="3" t="n"/>
    </row>
    <row r="38" ht="22" customHeight="1">
      <c r="A38" s="14">
        <f>IF(OR(AH!$U$4=0,33+1&gt;AH!$U$6,AND(AH!$M$5="Bloomberg",AH!$U$5=0)),"",IFERROR(IF(AND(AH!$U$12=1,33+1=AH!$U$6),TODAY(),IF(AH!$U$5=1,INDEX('Live History'!$A$5:$A$3004,AH!$U$7+33),INDEX('AH History'!$A$5:$A$1380,AH!$U$7+33))),""))</f>
        <v/>
      </c>
      <c r="B38" s="33">
        <f>IFERROR(IF(AH!$U$11=1,NA(),$J38/$E38-1),NA())</f>
        <v/>
      </c>
      <c r="C38" s="269">
        <f>IFERROR(100*$E38/$E$5,NA())</f>
        <v/>
      </c>
      <c r="D38" s="269">
        <f>IFERROR(100*$J38/$J$5,NA())</f>
        <v/>
      </c>
      <c r="E38" s="32">
        <f>IFERROR(IF(AND(ISNUMBER($A38),N(IF(AND(AH!$U$12=1,33+1=AH!$U$6),IF(AH!$U$4=0,"unavailable",INDEX('Market Data'!$AN$5:$AN$66,AH!$U$4)),IF(AH!$U$5=1,INDEX('Live History'!$B$5:$B$3004,$K38),INDEX('AH History'!$D$5:$GG$1380,$K38,AH!$U$10))))&gt;0),IF(AND(AH!$U$12=1,33+1=AH!$U$6),IF(AH!$U$4=0,"unavailable",INDEX('Market Data'!$AN$5:$AN$66,AH!$U$4)),IF(AH!$U$5=1,INDEX('Live History'!$B$5:$B$3004,$K38),INDEX('AH History'!$D$5:$GG$1380,$K38,AH!$U$10))),NA()),NA())</f>
        <v/>
      </c>
      <c r="F38" s="32">
        <f>IFERROR(IF(ISNUMBER($A38),IF(AND(AH!$U$12=1,33+1=AH!$U$6),IF(AH!$U$4=0,"unavailable",INDEX('Market Data'!$AO$5:$AO$66,AH!$U$4)),IF(AH!$U$5=1,INDEX('Live History'!$E$5:$E$3004,MATCH($A38,'Live History'!$D$5:$D$3004,1)),INDEX('AH History'!$D$5:$GG$1380,$K38,AH!$U$10+1))),NA()),NA())</f>
        <v/>
      </c>
      <c r="G38" s="34">
        <f>IFERROR(IF(ISNUMBER($A38),IF(AND(AH!$U$12=1,33+1=AH!$U$6),IF(AH!$U$4=0,"unavailable",INDEX('Market Data'!$AK$5:$AK$66,AH!$U$4)),IF(AH!$U$5=1,INDEX('Live History'!$D$5:$D$3004,MATCH($A38,'Live History'!$D$5:$D$3004,1)),INDEX('AH History'!$D$5:$GG$1380,$K38,AH!$U$10+2))),NA()),NA())</f>
        <v/>
      </c>
      <c r="H38" s="266">
        <f>IFERROR(IF(ISNUMBER($A38),IF(AND(AH!$U$12=1,33+1=AH!$U$6),IF(AH!$U$4=0,"unavailable",INDEX('Market Data'!$AP$5:$AP$66,AH!$U$4)),IF(AH!$U$5=1,INDEX('Live History'!$H$5:$H$3004,MATCH($A38,'Live History'!$G$5:$G$3004,1)),INDEX('AH History'!$B$5:$B$1380,$K38))),NA()),NA())</f>
        <v/>
      </c>
      <c r="I38" s="34">
        <f>IFERROR(IF(ISNUMBER($A38),IF(AND(AH!$U$12=1,33+1=AH!$U$6),TODAY(),IF(AH!$U$5=1,INDEX('Live History'!$G$5:$G$3004,MATCH($A38,'Live History'!$G$5:$G$3004,1)),INDEX('AH History'!$C$5:$C$1380,$K38))),NA()),NA())</f>
        <v/>
      </c>
      <c r="J38" s="32">
        <f>IFERROR(IF(AND($F38&gt;0,$H38&gt;0,$A38-$G38&lt;=10,$A38-$I38&lt;=5,$G38&gt;0,$I38&gt;0),$F38*$H38,NA()),NA())</f>
        <v/>
      </c>
      <c r="K38" s="15">
        <f>IF($A38="","",IF(AH!$U$5=1,IFERROR(MATCH($A38,'Live History'!$A$5:$A$3004,0),0),AH!$U$7+33))</f>
        <v/>
      </c>
      <c r="L38" s="15">
        <f>IF(ISNUMBER(A38),TEXT(A38,"dd-mmm-yy"),"")</f>
        <v/>
      </c>
      <c r="M38" s="3" t="n"/>
      <c r="N38" s="3" t="n"/>
      <c r="O38" s="3" t="n"/>
    </row>
    <row r="39" ht="22" customHeight="1">
      <c r="A39" s="14">
        <f>IF(OR(AH!$U$4=0,34+1&gt;AH!$U$6,AND(AH!$M$5="Bloomberg",AH!$U$5=0)),"",IFERROR(IF(AND(AH!$U$12=1,34+1=AH!$U$6),TODAY(),IF(AH!$U$5=1,INDEX('Live History'!$A$5:$A$3004,AH!$U$7+34),INDEX('AH History'!$A$5:$A$1380,AH!$U$7+34))),""))</f>
        <v/>
      </c>
      <c r="B39" s="33">
        <f>IFERROR(IF(AH!$U$11=1,NA(),$J39/$E39-1),NA())</f>
        <v/>
      </c>
      <c r="C39" s="269">
        <f>IFERROR(100*$E39/$E$5,NA())</f>
        <v/>
      </c>
      <c r="D39" s="269">
        <f>IFERROR(100*$J39/$J$5,NA())</f>
        <v/>
      </c>
      <c r="E39" s="32">
        <f>IFERROR(IF(AND(ISNUMBER($A39),N(IF(AND(AH!$U$12=1,34+1=AH!$U$6),IF(AH!$U$4=0,"unavailable",INDEX('Market Data'!$AN$5:$AN$66,AH!$U$4)),IF(AH!$U$5=1,INDEX('Live History'!$B$5:$B$3004,$K39),INDEX('AH History'!$D$5:$GG$1380,$K39,AH!$U$10))))&gt;0),IF(AND(AH!$U$12=1,34+1=AH!$U$6),IF(AH!$U$4=0,"unavailable",INDEX('Market Data'!$AN$5:$AN$66,AH!$U$4)),IF(AH!$U$5=1,INDEX('Live History'!$B$5:$B$3004,$K39),INDEX('AH History'!$D$5:$GG$1380,$K39,AH!$U$10))),NA()),NA())</f>
        <v/>
      </c>
      <c r="F39" s="32">
        <f>IFERROR(IF(ISNUMBER($A39),IF(AND(AH!$U$12=1,34+1=AH!$U$6),IF(AH!$U$4=0,"unavailable",INDEX('Market Data'!$AO$5:$AO$66,AH!$U$4)),IF(AH!$U$5=1,INDEX('Live History'!$E$5:$E$3004,MATCH($A39,'Live History'!$D$5:$D$3004,1)),INDEX('AH History'!$D$5:$GG$1380,$K39,AH!$U$10+1))),NA()),NA())</f>
        <v/>
      </c>
      <c r="G39" s="34">
        <f>IFERROR(IF(ISNUMBER($A39),IF(AND(AH!$U$12=1,34+1=AH!$U$6),IF(AH!$U$4=0,"unavailable",INDEX('Market Data'!$AK$5:$AK$66,AH!$U$4)),IF(AH!$U$5=1,INDEX('Live History'!$D$5:$D$3004,MATCH($A39,'Live History'!$D$5:$D$3004,1)),INDEX('AH History'!$D$5:$GG$1380,$K39,AH!$U$10+2))),NA()),NA())</f>
        <v/>
      </c>
      <c r="H39" s="266">
        <f>IFERROR(IF(ISNUMBER($A39),IF(AND(AH!$U$12=1,34+1=AH!$U$6),IF(AH!$U$4=0,"unavailable",INDEX('Market Data'!$AP$5:$AP$66,AH!$U$4)),IF(AH!$U$5=1,INDEX('Live History'!$H$5:$H$3004,MATCH($A39,'Live History'!$G$5:$G$3004,1)),INDEX('AH History'!$B$5:$B$1380,$K39))),NA()),NA())</f>
        <v/>
      </c>
      <c r="I39" s="34">
        <f>IFERROR(IF(ISNUMBER($A39),IF(AND(AH!$U$12=1,34+1=AH!$U$6),TODAY(),IF(AH!$U$5=1,INDEX('Live History'!$G$5:$G$3004,MATCH($A39,'Live History'!$G$5:$G$3004,1)),INDEX('AH History'!$C$5:$C$1380,$K39))),NA()),NA())</f>
        <v/>
      </c>
      <c r="J39" s="32">
        <f>IFERROR(IF(AND($F39&gt;0,$H39&gt;0,$A39-$G39&lt;=10,$A39-$I39&lt;=5,$G39&gt;0,$I39&gt;0),$F39*$H39,NA()),NA())</f>
        <v/>
      </c>
      <c r="K39" s="15">
        <f>IF($A39="","",IF(AH!$U$5=1,IFERROR(MATCH($A39,'Live History'!$A$5:$A$3004,0),0),AH!$U$7+34))</f>
        <v/>
      </c>
      <c r="L39" s="15">
        <f>IF(ISNUMBER(A39),TEXT(A39,"dd-mmm-yy"),"")</f>
        <v/>
      </c>
      <c r="M39" s="3" t="n"/>
      <c r="N39" s="3" t="n"/>
      <c r="O39" s="3" t="n"/>
    </row>
    <row r="40" ht="22" customHeight="1">
      <c r="A40" s="14">
        <f>IF(OR(AH!$U$4=0,35+1&gt;AH!$U$6,AND(AH!$M$5="Bloomberg",AH!$U$5=0)),"",IFERROR(IF(AND(AH!$U$12=1,35+1=AH!$U$6),TODAY(),IF(AH!$U$5=1,INDEX('Live History'!$A$5:$A$3004,AH!$U$7+35),INDEX('AH History'!$A$5:$A$1380,AH!$U$7+35))),""))</f>
        <v/>
      </c>
      <c r="B40" s="33">
        <f>IFERROR(IF(AH!$U$11=1,NA(),$J40/$E40-1),NA())</f>
        <v/>
      </c>
      <c r="C40" s="269">
        <f>IFERROR(100*$E40/$E$5,NA())</f>
        <v/>
      </c>
      <c r="D40" s="269">
        <f>IFERROR(100*$J40/$J$5,NA())</f>
        <v/>
      </c>
      <c r="E40" s="32">
        <f>IFERROR(IF(AND(ISNUMBER($A40),N(IF(AND(AH!$U$12=1,35+1=AH!$U$6),IF(AH!$U$4=0,"unavailable",INDEX('Market Data'!$AN$5:$AN$66,AH!$U$4)),IF(AH!$U$5=1,INDEX('Live History'!$B$5:$B$3004,$K40),INDEX('AH History'!$D$5:$GG$1380,$K40,AH!$U$10))))&gt;0),IF(AND(AH!$U$12=1,35+1=AH!$U$6),IF(AH!$U$4=0,"unavailable",INDEX('Market Data'!$AN$5:$AN$66,AH!$U$4)),IF(AH!$U$5=1,INDEX('Live History'!$B$5:$B$3004,$K40),INDEX('AH History'!$D$5:$GG$1380,$K40,AH!$U$10))),NA()),NA())</f>
        <v/>
      </c>
      <c r="F40" s="32">
        <f>IFERROR(IF(ISNUMBER($A40),IF(AND(AH!$U$12=1,35+1=AH!$U$6),IF(AH!$U$4=0,"unavailable",INDEX('Market Data'!$AO$5:$AO$66,AH!$U$4)),IF(AH!$U$5=1,INDEX('Live History'!$E$5:$E$3004,MATCH($A40,'Live History'!$D$5:$D$3004,1)),INDEX('AH History'!$D$5:$GG$1380,$K40,AH!$U$10+1))),NA()),NA())</f>
        <v/>
      </c>
      <c r="G40" s="34">
        <f>IFERROR(IF(ISNUMBER($A40),IF(AND(AH!$U$12=1,35+1=AH!$U$6),IF(AH!$U$4=0,"unavailable",INDEX('Market Data'!$AK$5:$AK$66,AH!$U$4)),IF(AH!$U$5=1,INDEX('Live History'!$D$5:$D$3004,MATCH($A40,'Live History'!$D$5:$D$3004,1)),INDEX('AH History'!$D$5:$GG$1380,$K40,AH!$U$10+2))),NA()),NA())</f>
        <v/>
      </c>
      <c r="H40" s="266">
        <f>IFERROR(IF(ISNUMBER($A40),IF(AND(AH!$U$12=1,35+1=AH!$U$6),IF(AH!$U$4=0,"unavailable",INDEX('Market Data'!$AP$5:$AP$66,AH!$U$4)),IF(AH!$U$5=1,INDEX('Live History'!$H$5:$H$3004,MATCH($A40,'Live History'!$G$5:$G$3004,1)),INDEX('AH History'!$B$5:$B$1380,$K40))),NA()),NA())</f>
        <v/>
      </c>
      <c r="I40" s="34">
        <f>IFERROR(IF(ISNUMBER($A40),IF(AND(AH!$U$12=1,35+1=AH!$U$6),TODAY(),IF(AH!$U$5=1,INDEX('Live History'!$G$5:$G$3004,MATCH($A40,'Live History'!$G$5:$G$3004,1)),INDEX('AH History'!$C$5:$C$1380,$K40))),NA()),NA())</f>
        <v/>
      </c>
      <c r="J40" s="32">
        <f>IFERROR(IF(AND($F40&gt;0,$H40&gt;0,$A40-$G40&lt;=10,$A40-$I40&lt;=5,$G40&gt;0,$I40&gt;0),$F40*$H40,NA()),NA())</f>
        <v/>
      </c>
      <c r="K40" s="15">
        <f>IF($A40="","",IF(AH!$U$5=1,IFERROR(MATCH($A40,'Live History'!$A$5:$A$3004,0),0),AH!$U$7+35))</f>
        <v/>
      </c>
      <c r="L40" s="15">
        <f>IF(ISNUMBER(A40),TEXT(A40,"dd-mmm-yy"),"")</f>
        <v/>
      </c>
      <c r="M40" s="3" t="n"/>
      <c r="N40" s="3" t="n"/>
      <c r="O40" s="3" t="n"/>
    </row>
    <row r="41" ht="22" customHeight="1">
      <c r="A41" s="14">
        <f>IF(OR(AH!$U$4=0,36+1&gt;AH!$U$6,AND(AH!$M$5="Bloomberg",AH!$U$5=0)),"",IFERROR(IF(AND(AH!$U$12=1,36+1=AH!$U$6),TODAY(),IF(AH!$U$5=1,INDEX('Live History'!$A$5:$A$3004,AH!$U$7+36),INDEX('AH History'!$A$5:$A$1380,AH!$U$7+36))),""))</f>
        <v/>
      </c>
      <c r="B41" s="33">
        <f>IFERROR(IF(AH!$U$11=1,NA(),$J41/$E41-1),NA())</f>
        <v/>
      </c>
      <c r="C41" s="269">
        <f>IFERROR(100*$E41/$E$5,NA())</f>
        <v/>
      </c>
      <c r="D41" s="269">
        <f>IFERROR(100*$J41/$J$5,NA())</f>
        <v/>
      </c>
      <c r="E41" s="32">
        <f>IFERROR(IF(AND(ISNUMBER($A41),N(IF(AND(AH!$U$12=1,36+1=AH!$U$6),IF(AH!$U$4=0,"unavailable",INDEX('Market Data'!$AN$5:$AN$66,AH!$U$4)),IF(AH!$U$5=1,INDEX('Live History'!$B$5:$B$3004,$K41),INDEX('AH History'!$D$5:$GG$1380,$K41,AH!$U$10))))&gt;0),IF(AND(AH!$U$12=1,36+1=AH!$U$6),IF(AH!$U$4=0,"unavailable",INDEX('Market Data'!$AN$5:$AN$66,AH!$U$4)),IF(AH!$U$5=1,INDEX('Live History'!$B$5:$B$3004,$K41),INDEX('AH History'!$D$5:$GG$1380,$K41,AH!$U$10))),NA()),NA())</f>
        <v/>
      </c>
      <c r="F41" s="32">
        <f>IFERROR(IF(ISNUMBER($A41),IF(AND(AH!$U$12=1,36+1=AH!$U$6),IF(AH!$U$4=0,"unavailable",INDEX('Market Data'!$AO$5:$AO$66,AH!$U$4)),IF(AH!$U$5=1,INDEX('Live History'!$E$5:$E$3004,MATCH($A41,'Live History'!$D$5:$D$3004,1)),INDEX('AH History'!$D$5:$GG$1380,$K41,AH!$U$10+1))),NA()),NA())</f>
        <v/>
      </c>
      <c r="G41" s="34">
        <f>IFERROR(IF(ISNUMBER($A41),IF(AND(AH!$U$12=1,36+1=AH!$U$6),IF(AH!$U$4=0,"unavailable",INDEX('Market Data'!$AK$5:$AK$66,AH!$U$4)),IF(AH!$U$5=1,INDEX('Live History'!$D$5:$D$3004,MATCH($A41,'Live History'!$D$5:$D$3004,1)),INDEX('AH History'!$D$5:$GG$1380,$K41,AH!$U$10+2))),NA()),NA())</f>
        <v/>
      </c>
      <c r="H41" s="266">
        <f>IFERROR(IF(ISNUMBER($A41),IF(AND(AH!$U$12=1,36+1=AH!$U$6),IF(AH!$U$4=0,"unavailable",INDEX('Market Data'!$AP$5:$AP$66,AH!$U$4)),IF(AH!$U$5=1,INDEX('Live History'!$H$5:$H$3004,MATCH($A41,'Live History'!$G$5:$G$3004,1)),INDEX('AH History'!$B$5:$B$1380,$K41))),NA()),NA())</f>
        <v/>
      </c>
      <c r="I41" s="34">
        <f>IFERROR(IF(ISNUMBER($A41),IF(AND(AH!$U$12=1,36+1=AH!$U$6),TODAY(),IF(AH!$U$5=1,INDEX('Live History'!$G$5:$G$3004,MATCH($A41,'Live History'!$G$5:$G$3004,1)),INDEX('AH History'!$C$5:$C$1380,$K41))),NA()),NA())</f>
        <v/>
      </c>
      <c r="J41" s="32">
        <f>IFERROR(IF(AND($F41&gt;0,$H41&gt;0,$A41-$G41&lt;=10,$A41-$I41&lt;=5,$G41&gt;0,$I41&gt;0),$F41*$H41,NA()),NA())</f>
        <v/>
      </c>
      <c r="K41" s="15">
        <f>IF($A41="","",IF(AH!$U$5=1,IFERROR(MATCH($A41,'Live History'!$A$5:$A$3004,0),0),AH!$U$7+36))</f>
        <v/>
      </c>
      <c r="L41" s="15">
        <f>IF(ISNUMBER(A41),TEXT(A41,"dd-mmm-yy"),"")</f>
        <v/>
      </c>
      <c r="M41" s="3" t="n"/>
      <c r="N41" s="3" t="n"/>
      <c r="O41" s="3" t="n"/>
    </row>
    <row r="42" ht="22" customHeight="1">
      <c r="A42" s="14">
        <f>IF(OR(AH!$U$4=0,37+1&gt;AH!$U$6,AND(AH!$M$5="Bloomberg",AH!$U$5=0)),"",IFERROR(IF(AND(AH!$U$12=1,37+1=AH!$U$6),TODAY(),IF(AH!$U$5=1,INDEX('Live History'!$A$5:$A$3004,AH!$U$7+37),INDEX('AH History'!$A$5:$A$1380,AH!$U$7+37))),""))</f>
        <v/>
      </c>
      <c r="B42" s="33">
        <f>IFERROR(IF(AH!$U$11=1,NA(),$J42/$E42-1),NA())</f>
        <v/>
      </c>
      <c r="C42" s="269">
        <f>IFERROR(100*$E42/$E$5,NA())</f>
        <v/>
      </c>
      <c r="D42" s="269">
        <f>IFERROR(100*$J42/$J$5,NA())</f>
        <v/>
      </c>
      <c r="E42" s="32">
        <f>IFERROR(IF(AND(ISNUMBER($A42),N(IF(AND(AH!$U$12=1,37+1=AH!$U$6),IF(AH!$U$4=0,"unavailable",INDEX('Market Data'!$AN$5:$AN$66,AH!$U$4)),IF(AH!$U$5=1,INDEX('Live History'!$B$5:$B$3004,$K42),INDEX('AH History'!$D$5:$GG$1380,$K42,AH!$U$10))))&gt;0),IF(AND(AH!$U$12=1,37+1=AH!$U$6),IF(AH!$U$4=0,"unavailable",INDEX('Market Data'!$AN$5:$AN$66,AH!$U$4)),IF(AH!$U$5=1,INDEX('Live History'!$B$5:$B$3004,$K42),INDEX('AH History'!$D$5:$GG$1380,$K42,AH!$U$10))),NA()),NA())</f>
        <v/>
      </c>
      <c r="F42" s="32">
        <f>IFERROR(IF(ISNUMBER($A42),IF(AND(AH!$U$12=1,37+1=AH!$U$6),IF(AH!$U$4=0,"unavailable",INDEX('Market Data'!$AO$5:$AO$66,AH!$U$4)),IF(AH!$U$5=1,INDEX('Live History'!$E$5:$E$3004,MATCH($A42,'Live History'!$D$5:$D$3004,1)),INDEX('AH History'!$D$5:$GG$1380,$K42,AH!$U$10+1))),NA()),NA())</f>
        <v/>
      </c>
      <c r="G42" s="34">
        <f>IFERROR(IF(ISNUMBER($A42),IF(AND(AH!$U$12=1,37+1=AH!$U$6),IF(AH!$U$4=0,"unavailable",INDEX('Market Data'!$AK$5:$AK$66,AH!$U$4)),IF(AH!$U$5=1,INDEX('Live History'!$D$5:$D$3004,MATCH($A42,'Live History'!$D$5:$D$3004,1)),INDEX('AH History'!$D$5:$GG$1380,$K42,AH!$U$10+2))),NA()),NA())</f>
        <v/>
      </c>
      <c r="H42" s="266">
        <f>IFERROR(IF(ISNUMBER($A42),IF(AND(AH!$U$12=1,37+1=AH!$U$6),IF(AH!$U$4=0,"unavailable",INDEX('Market Data'!$AP$5:$AP$66,AH!$U$4)),IF(AH!$U$5=1,INDEX('Live History'!$H$5:$H$3004,MATCH($A42,'Live History'!$G$5:$G$3004,1)),INDEX('AH History'!$B$5:$B$1380,$K42))),NA()),NA())</f>
        <v/>
      </c>
      <c r="I42" s="34">
        <f>IFERROR(IF(ISNUMBER($A42),IF(AND(AH!$U$12=1,37+1=AH!$U$6),TODAY(),IF(AH!$U$5=1,INDEX('Live History'!$G$5:$G$3004,MATCH($A42,'Live History'!$G$5:$G$3004,1)),INDEX('AH History'!$C$5:$C$1380,$K42))),NA()),NA())</f>
        <v/>
      </c>
      <c r="J42" s="32">
        <f>IFERROR(IF(AND($F42&gt;0,$H42&gt;0,$A42-$G42&lt;=10,$A42-$I42&lt;=5,$G42&gt;0,$I42&gt;0),$F42*$H42,NA()),NA())</f>
        <v/>
      </c>
      <c r="K42" s="15">
        <f>IF($A42="","",IF(AH!$U$5=1,IFERROR(MATCH($A42,'Live History'!$A$5:$A$3004,0),0),AH!$U$7+37))</f>
        <v/>
      </c>
      <c r="L42" s="15">
        <f>IF(ISNUMBER(A42),TEXT(A42,"dd-mmm-yy"),"")</f>
        <v/>
      </c>
      <c r="M42" s="3" t="n"/>
      <c r="N42" s="3" t="n"/>
      <c r="O42" s="3" t="n"/>
    </row>
    <row r="43" ht="22" customHeight="1">
      <c r="A43" s="14">
        <f>IF(OR(AH!$U$4=0,38+1&gt;AH!$U$6,AND(AH!$M$5="Bloomberg",AH!$U$5=0)),"",IFERROR(IF(AND(AH!$U$12=1,38+1=AH!$U$6),TODAY(),IF(AH!$U$5=1,INDEX('Live History'!$A$5:$A$3004,AH!$U$7+38),INDEX('AH History'!$A$5:$A$1380,AH!$U$7+38))),""))</f>
        <v/>
      </c>
      <c r="B43" s="33">
        <f>IFERROR(IF(AH!$U$11=1,NA(),$J43/$E43-1),NA())</f>
        <v/>
      </c>
      <c r="C43" s="269">
        <f>IFERROR(100*$E43/$E$5,NA())</f>
        <v/>
      </c>
      <c r="D43" s="269">
        <f>IFERROR(100*$J43/$J$5,NA())</f>
        <v/>
      </c>
      <c r="E43" s="32">
        <f>IFERROR(IF(AND(ISNUMBER($A43),N(IF(AND(AH!$U$12=1,38+1=AH!$U$6),IF(AH!$U$4=0,"unavailable",INDEX('Market Data'!$AN$5:$AN$66,AH!$U$4)),IF(AH!$U$5=1,INDEX('Live History'!$B$5:$B$3004,$K43),INDEX('AH History'!$D$5:$GG$1380,$K43,AH!$U$10))))&gt;0),IF(AND(AH!$U$12=1,38+1=AH!$U$6),IF(AH!$U$4=0,"unavailable",INDEX('Market Data'!$AN$5:$AN$66,AH!$U$4)),IF(AH!$U$5=1,INDEX('Live History'!$B$5:$B$3004,$K43),INDEX('AH History'!$D$5:$GG$1380,$K43,AH!$U$10))),NA()),NA())</f>
        <v/>
      </c>
      <c r="F43" s="32">
        <f>IFERROR(IF(ISNUMBER($A43),IF(AND(AH!$U$12=1,38+1=AH!$U$6),IF(AH!$U$4=0,"unavailable",INDEX('Market Data'!$AO$5:$AO$66,AH!$U$4)),IF(AH!$U$5=1,INDEX('Live History'!$E$5:$E$3004,MATCH($A43,'Live History'!$D$5:$D$3004,1)),INDEX('AH History'!$D$5:$GG$1380,$K43,AH!$U$10+1))),NA()),NA())</f>
        <v/>
      </c>
      <c r="G43" s="34">
        <f>IFERROR(IF(ISNUMBER($A43),IF(AND(AH!$U$12=1,38+1=AH!$U$6),IF(AH!$U$4=0,"unavailable",INDEX('Market Data'!$AK$5:$AK$66,AH!$U$4)),IF(AH!$U$5=1,INDEX('Live History'!$D$5:$D$3004,MATCH($A43,'Live History'!$D$5:$D$3004,1)),INDEX('AH History'!$D$5:$GG$1380,$K43,AH!$U$10+2))),NA()),NA())</f>
        <v/>
      </c>
      <c r="H43" s="266">
        <f>IFERROR(IF(ISNUMBER($A43),IF(AND(AH!$U$12=1,38+1=AH!$U$6),IF(AH!$U$4=0,"unavailable",INDEX('Market Data'!$AP$5:$AP$66,AH!$U$4)),IF(AH!$U$5=1,INDEX('Live History'!$H$5:$H$3004,MATCH($A43,'Live History'!$G$5:$G$3004,1)),INDEX('AH History'!$B$5:$B$1380,$K43))),NA()),NA())</f>
        <v/>
      </c>
      <c r="I43" s="34">
        <f>IFERROR(IF(ISNUMBER($A43),IF(AND(AH!$U$12=1,38+1=AH!$U$6),TODAY(),IF(AH!$U$5=1,INDEX('Live History'!$G$5:$G$3004,MATCH($A43,'Live History'!$G$5:$G$3004,1)),INDEX('AH History'!$C$5:$C$1380,$K43))),NA()),NA())</f>
        <v/>
      </c>
      <c r="J43" s="32">
        <f>IFERROR(IF(AND($F43&gt;0,$H43&gt;0,$A43-$G43&lt;=10,$A43-$I43&lt;=5,$G43&gt;0,$I43&gt;0),$F43*$H43,NA()),NA())</f>
        <v/>
      </c>
      <c r="K43" s="15">
        <f>IF($A43="","",IF(AH!$U$5=1,IFERROR(MATCH($A43,'Live History'!$A$5:$A$3004,0),0),AH!$U$7+38))</f>
        <v/>
      </c>
      <c r="L43" s="15">
        <f>IF(ISNUMBER(A43),TEXT(A43,"dd-mmm-yy"),"")</f>
        <v/>
      </c>
      <c r="M43" s="3" t="n"/>
      <c r="N43" s="3" t="n"/>
      <c r="O43" s="3" t="n"/>
    </row>
    <row r="44" ht="22" customHeight="1">
      <c r="A44" s="14">
        <f>IF(OR(AH!$U$4=0,39+1&gt;AH!$U$6,AND(AH!$M$5="Bloomberg",AH!$U$5=0)),"",IFERROR(IF(AND(AH!$U$12=1,39+1=AH!$U$6),TODAY(),IF(AH!$U$5=1,INDEX('Live History'!$A$5:$A$3004,AH!$U$7+39),INDEX('AH History'!$A$5:$A$1380,AH!$U$7+39))),""))</f>
        <v/>
      </c>
      <c r="B44" s="33">
        <f>IFERROR(IF(AH!$U$11=1,NA(),$J44/$E44-1),NA())</f>
        <v/>
      </c>
      <c r="C44" s="269">
        <f>IFERROR(100*$E44/$E$5,NA())</f>
        <v/>
      </c>
      <c r="D44" s="269">
        <f>IFERROR(100*$J44/$J$5,NA())</f>
        <v/>
      </c>
      <c r="E44" s="32">
        <f>IFERROR(IF(AND(ISNUMBER($A44),N(IF(AND(AH!$U$12=1,39+1=AH!$U$6),IF(AH!$U$4=0,"unavailable",INDEX('Market Data'!$AN$5:$AN$66,AH!$U$4)),IF(AH!$U$5=1,INDEX('Live History'!$B$5:$B$3004,$K44),INDEX('AH History'!$D$5:$GG$1380,$K44,AH!$U$10))))&gt;0),IF(AND(AH!$U$12=1,39+1=AH!$U$6),IF(AH!$U$4=0,"unavailable",INDEX('Market Data'!$AN$5:$AN$66,AH!$U$4)),IF(AH!$U$5=1,INDEX('Live History'!$B$5:$B$3004,$K44),INDEX('AH History'!$D$5:$GG$1380,$K44,AH!$U$10))),NA()),NA())</f>
        <v/>
      </c>
      <c r="F44" s="32">
        <f>IFERROR(IF(ISNUMBER($A44),IF(AND(AH!$U$12=1,39+1=AH!$U$6),IF(AH!$U$4=0,"unavailable",INDEX('Market Data'!$AO$5:$AO$66,AH!$U$4)),IF(AH!$U$5=1,INDEX('Live History'!$E$5:$E$3004,MATCH($A44,'Live History'!$D$5:$D$3004,1)),INDEX('AH History'!$D$5:$GG$1380,$K44,AH!$U$10+1))),NA()),NA())</f>
        <v/>
      </c>
      <c r="G44" s="34">
        <f>IFERROR(IF(ISNUMBER($A44),IF(AND(AH!$U$12=1,39+1=AH!$U$6),IF(AH!$U$4=0,"unavailable",INDEX('Market Data'!$AK$5:$AK$66,AH!$U$4)),IF(AH!$U$5=1,INDEX('Live History'!$D$5:$D$3004,MATCH($A44,'Live History'!$D$5:$D$3004,1)),INDEX('AH History'!$D$5:$GG$1380,$K44,AH!$U$10+2))),NA()),NA())</f>
        <v/>
      </c>
      <c r="H44" s="266">
        <f>IFERROR(IF(ISNUMBER($A44),IF(AND(AH!$U$12=1,39+1=AH!$U$6),IF(AH!$U$4=0,"unavailable",INDEX('Market Data'!$AP$5:$AP$66,AH!$U$4)),IF(AH!$U$5=1,INDEX('Live History'!$H$5:$H$3004,MATCH($A44,'Live History'!$G$5:$G$3004,1)),INDEX('AH History'!$B$5:$B$1380,$K44))),NA()),NA())</f>
        <v/>
      </c>
      <c r="I44" s="34">
        <f>IFERROR(IF(ISNUMBER($A44),IF(AND(AH!$U$12=1,39+1=AH!$U$6),TODAY(),IF(AH!$U$5=1,INDEX('Live History'!$G$5:$G$3004,MATCH($A44,'Live History'!$G$5:$G$3004,1)),INDEX('AH History'!$C$5:$C$1380,$K44))),NA()),NA())</f>
        <v/>
      </c>
      <c r="J44" s="32">
        <f>IFERROR(IF(AND($F44&gt;0,$H44&gt;0,$A44-$G44&lt;=10,$A44-$I44&lt;=5,$G44&gt;0,$I44&gt;0),$F44*$H44,NA()),NA())</f>
        <v/>
      </c>
      <c r="K44" s="15">
        <f>IF($A44="","",IF(AH!$U$5=1,IFERROR(MATCH($A44,'Live History'!$A$5:$A$3004,0),0),AH!$U$7+39))</f>
        <v/>
      </c>
      <c r="L44" s="15">
        <f>IF(ISNUMBER(A44),TEXT(A44,"dd-mmm-yy"),"")</f>
        <v/>
      </c>
      <c r="M44" s="3" t="n"/>
      <c r="N44" s="3" t="n"/>
      <c r="O44" s="3" t="n"/>
    </row>
    <row r="45" ht="22" customHeight="1">
      <c r="A45" s="14">
        <f>IF(OR(AH!$U$4=0,40+1&gt;AH!$U$6,AND(AH!$M$5="Bloomberg",AH!$U$5=0)),"",IFERROR(IF(AND(AH!$U$12=1,40+1=AH!$U$6),TODAY(),IF(AH!$U$5=1,INDEX('Live History'!$A$5:$A$3004,AH!$U$7+40),INDEX('AH History'!$A$5:$A$1380,AH!$U$7+40))),""))</f>
        <v/>
      </c>
      <c r="B45" s="33">
        <f>IFERROR(IF(AH!$U$11=1,NA(),$J45/$E45-1),NA())</f>
        <v/>
      </c>
      <c r="C45" s="269">
        <f>IFERROR(100*$E45/$E$5,NA())</f>
        <v/>
      </c>
      <c r="D45" s="269">
        <f>IFERROR(100*$J45/$J$5,NA())</f>
        <v/>
      </c>
      <c r="E45" s="32">
        <f>IFERROR(IF(AND(ISNUMBER($A45),N(IF(AND(AH!$U$12=1,40+1=AH!$U$6),IF(AH!$U$4=0,"unavailable",INDEX('Market Data'!$AN$5:$AN$66,AH!$U$4)),IF(AH!$U$5=1,INDEX('Live History'!$B$5:$B$3004,$K45),INDEX('AH History'!$D$5:$GG$1380,$K45,AH!$U$10))))&gt;0),IF(AND(AH!$U$12=1,40+1=AH!$U$6),IF(AH!$U$4=0,"unavailable",INDEX('Market Data'!$AN$5:$AN$66,AH!$U$4)),IF(AH!$U$5=1,INDEX('Live History'!$B$5:$B$3004,$K45),INDEX('AH History'!$D$5:$GG$1380,$K45,AH!$U$10))),NA()),NA())</f>
        <v/>
      </c>
      <c r="F45" s="32">
        <f>IFERROR(IF(ISNUMBER($A45),IF(AND(AH!$U$12=1,40+1=AH!$U$6),IF(AH!$U$4=0,"unavailable",INDEX('Market Data'!$AO$5:$AO$66,AH!$U$4)),IF(AH!$U$5=1,INDEX('Live History'!$E$5:$E$3004,MATCH($A45,'Live History'!$D$5:$D$3004,1)),INDEX('AH History'!$D$5:$GG$1380,$K45,AH!$U$10+1))),NA()),NA())</f>
        <v/>
      </c>
      <c r="G45" s="34">
        <f>IFERROR(IF(ISNUMBER($A45),IF(AND(AH!$U$12=1,40+1=AH!$U$6),IF(AH!$U$4=0,"unavailable",INDEX('Market Data'!$AK$5:$AK$66,AH!$U$4)),IF(AH!$U$5=1,INDEX('Live History'!$D$5:$D$3004,MATCH($A45,'Live History'!$D$5:$D$3004,1)),INDEX('AH History'!$D$5:$GG$1380,$K45,AH!$U$10+2))),NA()),NA())</f>
        <v/>
      </c>
      <c r="H45" s="266">
        <f>IFERROR(IF(ISNUMBER($A45),IF(AND(AH!$U$12=1,40+1=AH!$U$6),IF(AH!$U$4=0,"unavailable",INDEX('Market Data'!$AP$5:$AP$66,AH!$U$4)),IF(AH!$U$5=1,INDEX('Live History'!$H$5:$H$3004,MATCH($A45,'Live History'!$G$5:$G$3004,1)),INDEX('AH History'!$B$5:$B$1380,$K45))),NA()),NA())</f>
        <v/>
      </c>
      <c r="I45" s="34">
        <f>IFERROR(IF(ISNUMBER($A45),IF(AND(AH!$U$12=1,40+1=AH!$U$6),TODAY(),IF(AH!$U$5=1,INDEX('Live History'!$G$5:$G$3004,MATCH($A45,'Live History'!$G$5:$G$3004,1)),INDEX('AH History'!$C$5:$C$1380,$K45))),NA()),NA())</f>
        <v/>
      </c>
      <c r="J45" s="32">
        <f>IFERROR(IF(AND($F45&gt;0,$H45&gt;0,$A45-$G45&lt;=10,$A45-$I45&lt;=5,$G45&gt;0,$I45&gt;0),$F45*$H45,NA()),NA())</f>
        <v/>
      </c>
      <c r="K45" s="15">
        <f>IF($A45="","",IF(AH!$U$5=1,IFERROR(MATCH($A45,'Live History'!$A$5:$A$3004,0),0),AH!$U$7+40))</f>
        <v/>
      </c>
      <c r="L45" s="15">
        <f>IF(ISNUMBER(A45),TEXT(A45,"dd-mmm-yy"),"")</f>
        <v/>
      </c>
      <c r="M45" s="3" t="n"/>
      <c r="N45" s="3" t="n"/>
      <c r="O45" s="3" t="n"/>
    </row>
    <row r="46" ht="22" customHeight="1">
      <c r="A46" s="14">
        <f>IF(OR(AH!$U$4=0,41+1&gt;AH!$U$6,AND(AH!$M$5="Bloomberg",AH!$U$5=0)),"",IFERROR(IF(AND(AH!$U$12=1,41+1=AH!$U$6),TODAY(),IF(AH!$U$5=1,INDEX('Live History'!$A$5:$A$3004,AH!$U$7+41),INDEX('AH History'!$A$5:$A$1380,AH!$U$7+41))),""))</f>
        <v/>
      </c>
      <c r="B46" s="33">
        <f>IFERROR(IF(AH!$U$11=1,NA(),$J46/$E46-1),NA())</f>
        <v/>
      </c>
      <c r="C46" s="269">
        <f>IFERROR(100*$E46/$E$5,NA())</f>
        <v/>
      </c>
      <c r="D46" s="269">
        <f>IFERROR(100*$J46/$J$5,NA())</f>
        <v/>
      </c>
      <c r="E46" s="32">
        <f>IFERROR(IF(AND(ISNUMBER($A46),N(IF(AND(AH!$U$12=1,41+1=AH!$U$6),IF(AH!$U$4=0,"unavailable",INDEX('Market Data'!$AN$5:$AN$66,AH!$U$4)),IF(AH!$U$5=1,INDEX('Live History'!$B$5:$B$3004,$K46),INDEX('AH History'!$D$5:$GG$1380,$K46,AH!$U$10))))&gt;0),IF(AND(AH!$U$12=1,41+1=AH!$U$6),IF(AH!$U$4=0,"unavailable",INDEX('Market Data'!$AN$5:$AN$66,AH!$U$4)),IF(AH!$U$5=1,INDEX('Live History'!$B$5:$B$3004,$K46),INDEX('AH History'!$D$5:$GG$1380,$K46,AH!$U$10))),NA()),NA())</f>
        <v/>
      </c>
      <c r="F46" s="32">
        <f>IFERROR(IF(ISNUMBER($A46),IF(AND(AH!$U$12=1,41+1=AH!$U$6),IF(AH!$U$4=0,"unavailable",INDEX('Market Data'!$AO$5:$AO$66,AH!$U$4)),IF(AH!$U$5=1,INDEX('Live History'!$E$5:$E$3004,MATCH($A46,'Live History'!$D$5:$D$3004,1)),INDEX('AH History'!$D$5:$GG$1380,$K46,AH!$U$10+1))),NA()),NA())</f>
        <v/>
      </c>
      <c r="G46" s="34">
        <f>IFERROR(IF(ISNUMBER($A46),IF(AND(AH!$U$12=1,41+1=AH!$U$6),IF(AH!$U$4=0,"unavailable",INDEX('Market Data'!$AK$5:$AK$66,AH!$U$4)),IF(AH!$U$5=1,INDEX('Live History'!$D$5:$D$3004,MATCH($A46,'Live History'!$D$5:$D$3004,1)),INDEX('AH History'!$D$5:$GG$1380,$K46,AH!$U$10+2))),NA()),NA())</f>
        <v/>
      </c>
      <c r="H46" s="266">
        <f>IFERROR(IF(ISNUMBER($A46),IF(AND(AH!$U$12=1,41+1=AH!$U$6),IF(AH!$U$4=0,"unavailable",INDEX('Market Data'!$AP$5:$AP$66,AH!$U$4)),IF(AH!$U$5=1,INDEX('Live History'!$H$5:$H$3004,MATCH($A46,'Live History'!$G$5:$G$3004,1)),INDEX('AH History'!$B$5:$B$1380,$K46))),NA()),NA())</f>
        <v/>
      </c>
      <c r="I46" s="34">
        <f>IFERROR(IF(ISNUMBER($A46),IF(AND(AH!$U$12=1,41+1=AH!$U$6),TODAY(),IF(AH!$U$5=1,INDEX('Live History'!$G$5:$G$3004,MATCH($A46,'Live History'!$G$5:$G$3004,1)),INDEX('AH History'!$C$5:$C$1380,$K46))),NA()),NA())</f>
        <v/>
      </c>
      <c r="J46" s="32">
        <f>IFERROR(IF(AND($F46&gt;0,$H46&gt;0,$A46-$G46&lt;=10,$A46-$I46&lt;=5,$G46&gt;0,$I46&gt;0),$F46*$H46,NA()),NA())</f>
        <v/>
      </c>
      <c r="K46" s="15">
        <f>IF($A46="","",IF(AH!$U$5=1,IFERROR(MATCH($A46,'Live History'!$A$5:$A$3004,0),0),AH!$U$7+41))</f>
        <v/>
      </c>
      <c r="L46" s="15">
        <f>IF(ISNUMBER(A46),TEXT(A46,"dd-mmm-yy"),"")</f>
        <v/>
      </c>
      <c r="M46" s="3" t="n"/>
      <c r="N46" s="3" t="n"/>
      <c r="O46" s="3" t="n"/>
    </row>
    <row r="47" ht="22" customHeight="1">
      <c r="A47" s="14">
        <f>IF(OR(AH!$U$4=0,42+1&gt;AH!$U$6,AND(AH!$M$5="Bloomberg",AH!$U$5=0)),"",IFERROR(IF(AND(AH!$U$12=1,42+1=AH!$U$6),TODAY(),IF(AH!$U$5=1,INDEX('Live History'!$A$5:$A$3004,AH!$U$7+42),INDEX('AH History'!$A$5:$A$1380,AH!$U$7+42))),""))</f>
        <v/>
      </c>
      <c r="B47" s="33">
        <f>IFERROR(IF(AH!$U$11=1,NA(),$J47/$E47-1),NA())</f>
        <v/>
      </c>
      <c r="C47" s="269">
        <f>IFERROR(100*$E47/$E$5,NA())</f>
        <v/>
      </c>
      <c r="D47" s="269">
        <f>IFERROR(100*$J47/$J$5,NA())</f>
        <v/>
      </c>
      <c r="E47" s="32">
        <f>IFERROR(IF(AND(ISNUMBER($A47),N(IF(AND(AH!$U$12=1,42+1=AH!$U$6),IF(AH!$U$4=0,"unavailable",INDEX('Market Data'!$AN$5:$AN$66,AH!$U$4)),IF(AH!$U$5=1,INDEX('Live History'!$B$5:$B$3004,$K47),INDEX('AH History'!$D$5:$GG$1380,$K47,AH!$U$10))))&gt;0),IF(AND(AH!$U$12=1,42+1=AH!$U$6),IF(AH!$U$4=0,"unavailable",INDEX('Market Data'!$AN$5:$AN$66,AH!$U$4)),IF(AH!$U$5=1,INDEX('Live History'!$B$5:$B$3004,$K47),INDEX('AH History'!$D$5:$GG$1380,$K47,AH!$U$10))),NA()),NA())</f>
        <v/>
      </c>
      <c r="F47" s="32">
        <f>IFERROR(IF(ISNUMBER($A47),IF(AND(AH!$U$12=1,42+1=AH!$U$6),IF(AH!$U$4=0,"unavailable",INDEX('Market Data'!$AO$5:$AO$66,AH!$U$4)),IF(AH!$U$5=1,INDEX('Live History'!$E$5:$E$3004,MATCH($A47,'Live History'!$D$5:$D$3004,1)),INDEX('AH History'!$D$5:$GG$1380,$K47,AH!$U$10+1))),NA()),NA())</f>
        <v/>
      </c>
      <c r="G47" s="34">
        <f>IFERROR(IF(ISNUMBER($A47),IF(AND(AH!$U$12=1,42+1=AH!$U$6),IF(AH!$U$4=0,"unavailable",INDEX('Market Data'!$AK$5:$AK$66,AH!$U$4)),IF(AH!$U$5=1,INDEX('Live History'!$D$5:$D$3004,MATCH($A47,'Live History'!$D$5:$D$3004,1)),INDEX('AH History'!$D$5:$GG$1380,$K47,AH!$U$10+2))),NA()),NA())</f>
        <v/>
      </c>
      <c r="H47" s="266">
        <f>IFERROR(IF(ISNUMBER($A47),IF(AND(AH!$U$12=1,42+1=AH!$U$6),IF(AH!$U$4=0,"unavailable",INDEX('Market Data'!$AP$5:$AP$66,AH!$U$4)),IF(AH!$U$5=1,INDEX('Live History'!$H$5:$H$3004,MATCH($A47,'Live History'!$G$5:$G$3004,1)),INDEX('AH History'!$B$5:$B$1380,$K47))),NA()),NA())</f>
        <v/>
      </c>
      <c r="I47" s="34">
        <f>IFERROR(IF(ISNUMBER($A47),IF(AND(AH!$U$12=1,42+1=AH!$U$6),TODAY(),IF(AH!$U$5=1,INDEX('Live History'!$G$5:$G$3004,MATCH($A47,'Live History'!$G$5:$G$3004,1)),INDEX('AH History'!$C$5:$C$1380,$K47))),NA()),NA())</f>
        <v/>
      </c>
      <c r="J47" s="32">
        <f>IFERROR(IF(AND($F47&gt;0,$H47&gt;0,$A47-$G47&lt;=10,$A47-$I47&lt;=5,$G47&gt;0,$I47&gt;0),$F47*$H47,NA()),NA())</f>
        <v/>
      </c>
      <c r="K47" s="15">
        <f>IF($A47="","",IF(AH!$U$5=1,IFERROR(MATCH($A47,'Live History'!$A$5:$A$3004,0),0),AH!$U$7+42))</f>
        <v/>
      </c>
      <c r="L47" s="15">
        <f>IF(ISNUMBER(A47),TEXT(A47,"dd-mmm-yy"),"")</f>
        <v/>
      </c>
      <c r="M47" s="3" t="n"/>
      <c r="N47" s="3" t="n"/>
      <c r="O47" s="3" t="n"/>
    </row>
    <row r="48" ht="22" customHeight="1">
      <c r="A48" s="14">
        <f>IF(OR(AH!$U$4=0,43+1&gt;AH!$U$6,AND(AH!$M$5="Bloomberg",AH!$U$5=0)),"",IFERROR(IF(AND(AH!$U$12=1,43+1=AH!$U$6),TODAY(),IF(AH!$U$5=1,INDEX('Live History'!$A$5:$A$3004,AH!$U$7+43),INDEX('AH History'!$A$5:$A$1380,AH!$U$7+43))),""))</f>
        <v/>
      </c>
      <c r="B48" s="33">
        <f>IFERROR(IF(AH!$U$11=1,NA(),$J48/$E48-1),NA())</f>
        <v/>
      </c>
      <c r="C48" s="269">
        <f>IFERROR(100*$E48/$E$5,NA())</f>
        <v/>
      </c>
      <c r="D48" s="269">
        <f>IFERROR(100*$J48/$J$5,NA())</f>
        <v/>
      </c>
      <c r="E48" s="32">
        <f>IFERROR(IF(AND(ISNUMBER($A48),N(IF(AND(AH!$U$12=1,43+1=AH!$U$6),IF(AH!$U$4=0,"unavailable",INDEX('Market Data'!$AN$5:$AN$66,AH!$U$4)),IF(AH!$U$5=1,INDEX('Live History'!$B$5:$B$3004,$K48),INDEX('AH History'!$D$5:$GG$1380,$K48,AH!$U$10))))&gt;0),IF(AND(AH!$U$12=1,43+1=AH!$U$6),IF(AH!$U$4=0,"unavailable",INDEX('Market Data'!$AN$5:$AN$66,AH!$U$4)),IF(AH!$U$5=1,INDEX('Live History'!$B$5:$B$3004,$K48),INDEX('AH History'!$D$5:$GG$1380,$K48,AH!$U$10))),NA()),NA())</f>
        <v/>
      </c>
      <c r="F48" s="32">
        <f>IFERROR(IF(ISNUMBER($A48),IF(AND(AH!$U$12=1,43+1=AH!$U$6),IF(AH!$U$4=0,"unavailable",INDEX('Market Data'!$AO$5:$AO$66,AH!$U$4)),IF(AH!$U$5=1,INDEX('Live History'!$E$5:$E$3004,MATCH($A48,'Live History'!$D$5:$D$3004,1)),INDEX('AH History'!$D$5:$GG$1380,$K48,AH!$U$10+1))),NA()),NA())</f>
        <v/>
      </c>
      <c r="G48" s="34">
        <f>IFERROR(IF(ISNUMBER($A48),IF(AND(AH!$U$12=1,43+1=AH!$U$6),IF(AH!$U$4=0,"unavailable",INDEX('Market Data'!$AK$5:$AK$66,AH!$U$4)),IF(AH!$U$5=1,INDEX('Live History'!$D$5:$D$3004,MATCH($A48,'Live History'!$D$5:$D$3004,1)),INDEX('AH History'!$D$5:$GG$1380,$K48,AH!$U$10+2))),NA()),NA())</f>
        <v/>
      </c>
      <c r="H48" s="266">
        <f>IFERROR(IF(ISNUMBER($A48),IF(AND(AH!$U$12=1,43+1=AH!$U$6),IF(AH!$U$4=0,"unavailable",INDEX('Market Data'!$AP$5:$AP$66,AH!$U$4)),IF(AH!$U$5=1,INDEX('Live History'!$H$5:$H$3004,MATCH($A48,'Live History'!$G$5:$G$3004,1)),INDEX('AH History'!$B$5:$B$1380,$K48))),NA()),NA())</f>
        <v/>
      </c>
      <c r="I48" s="34">
        <f>IFERROR(IF(ISNUMBER($A48),IF(AND(AH!$U$12=1,43+1=AH!$U$6),TODAY(),IF(AH!$U$5=1,INDEX('Live History'!$G$5:$G$3004,MATCH($A48,'Live History'!$G$5:$G$3004,1)),INDEX('AH History'!$C$5:$C$1380,$K48))),NA()),NA())</f>
        <v/>
      </c>
      <c r="J48" s="32">
        <f>IFERROR(IF(AND($F48&gt;0,$H48&gt;0,$A48-$G48&lt;=10,$A48-$I48&lt;=5,$G48&gt;0,$I48&gt;0),$F48*$H48,NA()),NA())</f>
        <v/>
      </c>
      <c r="K48" s="15">
        <f>IF($A48="","",IF(AH!$U$5=1,IFERROR(MATCH($A48,'Live History'!$A$5:$A$3004,0),0),AH!$U$7+43))</f>
        <v/>
      </c>
      <c r="L48" s="15">
        <f>IF(ISNUMBER(A48),TEXT(A48,"dd-mmm-yy"),"")</f>
        <v/>
      </c>
      <c r="M48" s="3" t="n"/>
      <c r="N48" s="3" t="n"/>
      <c r="O48" s="3" t="n"/>
    </row>
    <row r="49" ht="22" customHeight="1">
      <c r="A49" s="14">
        <f>IF(OR(AH!$U$4=0,44+1&gt;AH!$U$6,AND(AH!$M$5="Bloomberg",AH!$U$5=0)),"",IFERROR(IF(AND(AH!$U$12=1,44+1=AH!$U$6),TODAY(),IF(AH!$U$5=1,INDEX('Live History'!$A$5:$A$3004,AH!$U$7+44),INDEX('AH History'!$A$5:$A$1380,AH!$U$7+44))),""))</f>
        <v/>
      </c>
      <c r="B49" s="33">
        <f>IFERROR(IF(AH!$U$11=1,NA(),$J49/$E49-1),NA())</f>
        <v/>
      </c>
      <c r="C49" s="269">
        <f>IFERROR(100*$E49/$E$5,NA())</f>
        <v/>
      </c>
      <c r="D49" s="269">
        <f>IFERROR(100*$J49/$J$5,NA())</f>
        <v/>
      </c>
      <c r="E49" s="32">
        <f>IFERROR(IF(AND(ISNUMBER($A49),N(IF(AND(AH!$U$12=1,44+1=AH!$U$6),IF(AH!$U$4=0,"unavailable",INDEX('Market Data'!$AN$5:$AN$66,AH!$U$4)),IF(AH!$U$5=1,INDEX('Live History'!$B$5:$B$3004,$K49),INDEX('AH History'!$D$5:$GG$1380,$K49,AH!$U$10))))&gt;0),IF(AND(AH!$U$12=1,44+1=AH!$U$6),IF(AH!$U$4=0,"unavailable",INDEX('Market Data'!$AN$5:$AN$66,AH!$U$4)),IF(AH!$U$5=1,INDEX('Live History'!$B$5:$B$3004,$K49),INDEX('AH History'!$D$5:$GG$1380,$K49,AH!$U$10))),NA()),NA())</f>
        <v/>
      </c>
      <c r="F49" s="32">
        <f>IFERROR(IF(ISNUMBER($A49),IF(AND(AH!$U$12=1,44+1=AH!$U$6),IF(AH!$U$4=0,"unavailable",INDEX('Market Data'!$AO$5:$AO$66,AH!$U$4)),IF(AH!$U$5=1,INDEX('Live History'!$E$5:$E$3004,MATCH($A49,'Live History'!$D$5:$D$3004,1)),INDEX('AH History'!$D$5:$GG$1380,$K49,AH!$U$10+1))),NA()),NA())</f>
        <v/>
      </c>
      <c r="G49" s="34">
        <f>IFERROR(IF(ISNUMBER($A49),IF(AND(AH!$U$12=1,44+1=AH!$U$6),IF(AH!$U$4=0,"unavailable",INDEX('Market Data'!$AK$5:$AK$66,AH!$U$4)),IF(AH!$U$5=1,INDEX('Live History'!$D$5:$D$3004,MATCH($A49,'Live History'!$D$5:$D$3004,1)),INDEX('AH History'!$D$5:$GG$1380,$K49,AH!$U$10+2))),NA()),NA())</f>
        <v/>
      </c>
      <c r="H49" s="266">
        <f>IFERROR(IF(ISNUMBER($A49),IF(AND(AH!$U$12=1,44+1=AH!$U$6),IF(AH!$U$4=0,"unavailable",INDEX('Market Data'!$AP$5:$AP$66,AH!$U$4)),IF(AH!$U$5=1,INDEX('Live History'!$H$5:$H$3004,MATCH($A49,'Live History'!$G$5:$G$3004,1)),INDEX('AH History'!$B$5:$B$1380,$K49))),NA()),NA())</f>
        <v/>
      </c>
      <c r="I49" s="34">
        <f>IFERROR(IF(ISNUMBER($A49),IF(AND(AH!$U$12=1,44+1=AH!$U$6),TODAY(),IF(AH!$U$5=1,INDEX('Live History'!$G$5:$G$3004,MATCH($A49,'Live History'!$G$5:$G$3004,1)),INDEX('AH History'!$C$5:$C$1380,$K49))),NA()),NA())</f>
        <v/>
      </c>
      <c r="J49" s="32">
        <f>IFERROR(IF(AND($F49&gt;0,$H49&gt;0,$A49-$G49&lt;=10,$A49-$I49&lt;=5,$G49&gt;0,$I49&gt;0),$F49*$H49,NA()),NA())</f>
        <v/>
      </c>
      <c r="K49" s="15">
        <f>IF($A49="","",IF(AH!$U$5=1,IFERROR(MATCH($A49,'Live History'!$A$5:$A$3004,0),0),AH!$U$7+44))</f>
        <v/>
      </c>
      <c r="L49" s="15">
        <f>IF(ISNUMBER(A49),TEXT(A49,"dd-mmm-yy"),"")</f>
        <v/>
      </c>
      <c r="M49" s="3" t="n"/>
      <c r="N49" s="3" t="n"/>
      <c r="O49" s="3" t="n"/>
    </row>
    <row r="50" ht="22" customHeight="1">
      <c r="A50" s="14">
        <f>IF(OR(AH!$U$4=0,45+1&gt;AH!$U$6,AND(AH!$M$5="Bloomberg",AH!$U$5=0)),"",IFERROR(IF(AND(AH!$U$12=1,45+1=AH!$U$6),TODAY(),IF(AH!$U$5=1,INDEX('Live History'!$A$5:$A$3004,AH!$U$7+45),INDEX('AH History'!$A$5:$A$1380,AH!$U$7+45))),""))</f>
        <v/>
      </c>
      <c r="B50" s="33">
        <f>IFERROR(IF(AH!$U$11=1,NA(),$J50/$E50-1),NA())</f>
        <v/>
      </c>
      <c r="C50" s="269">
        <f>IFERROR(100*$E50/$E$5,NA())</f>
        <v/>
      </c>
      <c r="D50" s="269">
        <f>IFERROR(100*$J50/$J$5,NA())</f>
        <v/>
      </c>
      <c r="E50" s="32">
        <f>IFERROR(IF(AND(ISNUMBER($A50),N(IF(AND(AH!$U$12=1,45+1=AH!$U$6),IF(AH!$U$4=0,"unavailable",INDEX('Market Data'!$AN$5:$AN$66,AH!$U$4)),IF(AH!$U$5=1,INDEX('Live History'!$B$5:$B$3004,$K50),INDEX('AH History'!$D$5:$GG$1380,$K50,AH!$U$10))))&gt;0),IF(AND(AH!$U$12=1,45+1=AH!$U$6),IF(AH!$U$4=0,"unavailable",INDEX('Market Data'!$AN$5:$AN$66,AH!$U$4)),IF(AH!$U$5=1,INDEX('Live History'!$B$5:$B$3004,$K50),INDEX('AH History'!$D$5:$GG$1380,$K50,AH!$U$10))),NA()),NA())</f>
        <v/>
      </c>
      <c r="F50" s="32">
        <f>IFERROR(IF(ISNUMBER($A50),IF(AND(AH!$U$12=1,45+1=AH!$U$6),IF(AH!$U$4=0,"unavailable",INDEX('Market Data'!$AO$5:$AO$66,AH!$U$4)),IF(AH!$U$5=1,INDEX('Live History'!$E$5:$E$3004,MATCH($A50,'Live History'!$D$5:$D$3004,1)),INDEX('AH History'!$D$5:$GG$1380,$K50,AH!$U$10+1))),NA()),NA())</f>
        <v/>
      </c>
      <c r="G50" s="34">
        <f>IFERROR(IF(ISNUMBER($A50),IF(AND(AH!$U$12=1,45+1=AH!$U$6),IF(AH!$U$4=0,"unavailable",INDEX('Market Data'!$AK$5:$AK$66,AH!$U$4)),IF(AH!$U$5=1,INDEX('Live History'!$D$5:$D$3004,MATCH($A50,'Live History'!$D$5:$D$3004,1)),INDEX('AH History'!$D$5:$GG$1380,$K50,AH!$U$10+2))),NA()),NA())</f>
        <v/>
      </c>
      <c r="H50" s="266">
        <f>IFERROR(IF(ISNUMBER($A50),IF(AND(AH!$U$12=1,45+1=AH!$U$6),IF(AH!$U$4=0,"unavailable",INDEX('Market Data'!$AP$5:$AP$66,AH!$U$4)),IF(AH!$U$5=1,INDEX('Live History'!$H$5:$H$3004,MATCH($A50,'Live History'!$G$5:$G$3004,1)),INDEX('AH History'!$B$5:$B$1380,$K50))),NA()),NA())</f>
        <v/>
      </c>
      <c r="I50" s="34">
        <f>IFERROR(IF(ISNUMBER($A50),IF(AND(AH!$U$12=1,45+1=AH!$U$6),TODAY(),IF(AH!$U$5=1,INDEX('Live History'!$G$5:$G$3004,MATCH($A50,'Live History'!$G$5:$G$3004,1)),INDEX('AH History'!$C$5:$C$1380,$K50))),NA()),NA())</f>
        <v/>
      </c>
      <c r="J50" s="32">
        <f>IFERROR(IF(AND($F50&gt;0,$H50&gt;0,$A50-$G50&lt;=10,$A50-$I50&lt;=5,$G50&gt;0,$I50&gt;0),$F50*$H50,NA()),NA())</f>
        <v/>
      </c>
      <c r="K50" s="15">
        <f>IF($A50="","",IF(AH!$U$5=1,IFERROR(MATCH($A50,'Live History'!$A$5:$A$3004,0),0),AH!$U$7+45))</f>
        <v/>
      </c>
      <c r="L50" s="15">
        <f>IF(ISNUMBER(A50),TEXT(A50,"dd-mmm-yy"),"")</f>
        <v/>
      </c>
      <c r="M50" s="3" t="n"/>
      <c r="N50" s="3" t="n"/>
      <c r="O50" s="3" t="n"/>
    </row>
    <row r="51" ht="22" customHeight="1">
      <c r="A51" s="14">
        <f>IF(OR(AH!$U$4=0,46+1&gt;AH!$U$6,AND(AH!$M$5="Bloomberg",AH!$U$5=0)),"",IFERROR(IF(AND(AH!$U$12=1,46+1=AH!$U$6),TODAY(),IF(AH!$U$5=1,INDEX('Live History'!$A$5:$A$3004,AH!$U$7+46),INDEX('AH History'!$A$5:$A$1380,AH!$U$7+46))),""))</f>
        <v/>
      </c>
      <c r="B51" s="33">
        <f>IFERROR(IF(AH!$U$11=1,NA(),$J51/$E51-1),NA())</f>
        <v/>
      </c>
      <c r="C51" s="269">
        <f>IFERROR(100*$E51/$E$5,NA())</f>
        <v/>
      </c>
      <c r="D51" s="269">
        <f>IFERROR(100*$J51/$J$5,NA())</f>
        <v/>
      </c>
      <c r="E51" s="32">
        <f>IFERROR(IF(AND(ISNUMBER($A51),N(IF(AND(AH!$U$12=1,46+1=AH!$U$6),IF(AH!$U$4=0,"unavailable",INDEX('Market Data'!$AN$5:$AN$66,AH!$U$4)),IF(AH!$U$5=1,INDEX('Live History'!$B$5:$B$3004,$K51),INDEX('AH History'!$D$5:$GG$1380,$K51,AH!$U$10))))&gt;0),IF(AND(AH!$U$12=1,46+1=AH!$U$6),IF(AH!$U$4=0,"unavailable",INDEX('Market Data'!$AN$5:$AN$66,AH!$U$4)),IF(AH!$U$5=1,INDEX('Live History'!$B$5:$B$3004,$K51),INDEX('AH History'!$D$5:$GG$1380,$K51,AH!$U$10))),NA()),NA())</f>
        <v/>
      </c>
      <c r="F51" s="32">
        <f>IFERROR(IF(ISNUMBER($A51),IF(AND(AH!$U$12=1,46+1=AH!$U$6),IF(AH!$U$4=0,"unavailable",INDEX('Market Data'!$AO$5:$AO$66,AH!$U$4)),IF(AH!$U$5=1,INDEX('Live History'!$E$5:$E$3004,MATCH($A51,'Live History'!$D$5:$D$3004,1)),INDEX('AH History'!$D$5:$GG$1380,$K51,AH!$U$10+1))),NA()),NA())</f>
        <v/>
      </c>
      <c r="G51" s="34">
        <f>IFERROR(IF(ISNUMBER($A51),IF(AND(AH!$U$12=1,46+1=AH!$U$6),IF(AH!$U$4=0,"unavailable",INDEX('Market Data'!$AK$5:$AK$66,AH!$U$4)),IF(AH!$U$5=1,INDEX('Live History'!$D$5:$D$3004,MATCH($A51,'Live History'!$D$5:$D$3004,1)),INDEX('AH History'!$D$5:$GG$1380,$K51,AH!$U$10+2))),NA()),NA())</f>
        <v/>
      </c>
      <c r="H51" s="266">
        <f>IFERROR(IF(ISNUMBER($A51),IF(AND(AH!$U$12=1,46+1=AH!$U$6),IF(AH!$U$4=0,"unavailable",INDEX('Market Data'!$AP$5:$AP$66,AH!$U$4)),IF(AH!$U$5=1,INDEX('Live History'!$H$5:$H$3004,MATCH($A51,'Live History'!$G$5:$G$3004,1)),INDEX('AH History'!$B$5:$B$1380,$K51))),NA()),NA())</f>
        <v/>
      </c>
      <c r="I51" s="34">
        <f>IFERROR(IF(ISNUMBER($A51),IF(AND(AH!$U$12=1,46+1=AH!$U$6),TODAY(),IF(AH!$U$5=1,INDEX('Live History'!$G$5:$G$3004,MATCH($A51,'Live History'!$G$5:$G$3004,1)),INDEX('AH History'!$C$5:$C$1380,$K51))),NA()),NA())</f>
        <v/>
      </c>
      <c r="J51" s="32">
        <f>IFERROR(IF(AND($F51&gt;0,$H51&gt;0,$A51-$G51&lt;=10,$A51-$I51&lt;=5,$G51&gt;0,$I51&gt;0),$F51*$H51,NA()),NA())</f>
        <v/>
      </c>
      <c r="K51" s="15">
        <f>IF($A51="","",IF(AH!$U$5=1,IFERROR(MATCH($A51,'Live History'!$A$5:$A$3004,0),0),AH!$U$7+46))</f>
        <v/>
      </c>
      <c r="L51" s="15">
        <f>IF(ISNUMBER(A51),TEXT(A51,"dd-mmm-yy"),"")</f>
        <v/>
      </c>
      <c r="M51" s="3" t="n"/>
      <c r="N51" s="3" t="n"/>
      <c r="O51" s="3" t="n"/>
    </row>
    <row r="52" ht="22" customHeight="1">
      <c r="A52" s="14">
        <f>IF(OR(AH!$U$4=0,47+1&gt;AH!$U$6,AND(AH!$M$5="Bloomberg",AH!$U$5=0)),"",IFERROR(IF(AND(AH!$U$12=1,47+1=AH!$U$6),TODAY(),IF(AH!$U$5=1,INDEX('Live History'!$A$5:$A$3004,AH!$U$7+47),INDEX('AH History'!$A$5:$A$1380,AH!$U$7+47))),""))</f>
        <v/>
      </c>
      <c r="B52" s="33">
        <f>IFERROR(IF(AH!$U$11=1,NA(),$J52/$E52-1),NA())</f>
        <v/>
      </c>
      <c r="C52" s="269">
        <f>IFERROR(100*$E52/$E$5,NA())</f>
        <v/>
      </c>
      <c r="D52" s="269">
        <f>IFERROR(100*$J52/$J$5,NA())</f>
        <v/>
      </c>
      <c r="E52" s="32">
        <f>IFERROR(IF(AND(ISNUMBER($A52),N(IF(AND(AH!$U$12=1,47+1=AH!$U$6),IF(AH!$U$4=0,"unavailable",INDEX('Market Data'!$AN$5:$AN$66,AH!$U$4)),IF(AH!$U$5=1,INDEX('Live History'!$B$5:$B$3004,$K52),INDEX('AH History'!$D$5:$GG$1380,$K52,AH!$U$10))))&gt;0),IF(AND(AH!$U$12=1,47+1=AH!$U$6),IF(AH!$U$4=0,"unavailable",INDEX('Market Data'!$AN$5:$AN$66,AH!$U$4)),IF(AH!$U$5=1,INDEX('Live History'!$B$5:$B$3004,$K52),INDEX('AH History'!$D$5:$GG$1380,$K52,AH!$U$10))),NA()),NA())</f>
        <v/>
      </c>
      <c r="F52" s="32">
        <f>IFERROR(IF(ISNUMBER($A52),IF(AND(AH!$U$12=1,47+1=AH!$U$6),IF(AH!$U$4=0,"unavailable",INDEX('Market Data'!$AO$5:$AO$66,AH!$U$4)),IF(AH!$U$5=1,INDEX('Live History'!$E$5:$E$3004,MATCH($A52,'Live History'!$D$5:$D$3004,1)),INDEX('AH History'!$D$5:$GG$1380,$K52,AH!$U$10+1))),NA()),NA())</f>
        <v/>
      </c>
      <c r="G52" s="34">
        <f>IFERROR(IF(ISNUMBER($A52),IF(AND(AH!$U$12=1,47+1=AH!$U$6),IF(AH!$U$4=0,"unavailable",INDEX('Market Data'!$AK$5:$AK$66,AH!$U$4)),IF(AH!$U$5=1,INDEX('Live History'!$D$5:$D$3004,MATCH($A52,'Live History'!$D$5:$D$3004,1)),INDEX('AH History'!$D$5:$GG$1380,$K52,AH!$U$10+2))),NA()),NA())</f>
        <v/>
      </c>
      <c r="H52" s="266">
        <f>IFERROR(IF(ISNUMBER($A52),IF(AND(AH!$U$12=1,47+1=AH!$U$6),IF(AH!$U$4=0,"unavailable",INDEX('Market Data'!$AP$5:$AP$66,AH!$U$4)),IF(AH!$U$5=1,INDEX('Live History'!$H$5:$H$3004,MATCH($A52,'Live History'!$G$5:$G$3004,1)),INDEX('AH History'!$B$5:$B$1380,$K52))),NA()),NA())</f>
        <v/>
      </c>
      <c r="I52" s="34">
        <f>IFERROR(IF(ISNUMBER($A52),IF(AND(AH!$U$12=1,47+1=AH!$U$6),TODAY(),IF(AH!$U$5=1,INDEX('Live History'!$G$5:$G$3004,MATCH($A52,'Live History'!$G$5:$G$3004,1)),INDEX('AH History'!$C$5:$C$1380,$K52))),NA()),NA())</f>
        <v/>
      </c>
      <c r="J52" s="32">
        <f>IFERROR(IF(AND($F52&gt;0,$H52&gt;0,$A52-$G52&lt;=10,$A52-$I52&lt;=5,$G52&gt;0,$I52&gt;0),$F52*$H52,NA()),NA())</f>
        <v/>
      </c>
      <c r="K52" s="15">
        <f>IF($A52="","",IF(AH!$U$5=1,IFERROR(MATCH($A52,'Live History'!$A$5:$A$3004,0),0),AH!$U$7+47))</f>
        <v/>
      </c>
      <c r="L52" s="15">
        <f>IF(ISNUMBER(A52),TEXT(A52,"dd-mmm-yy"),"")</f>
        <v/>
      </c>
      <c r="M52" s="3" t="n"/>
      <c r="N52" s="3" t="n"/>
      <c r="O52" s="3" t="n"/>
    </row>
    <row r="53" ht="22" customHeight="1">
      <c r="A53" s="14">
        <f>IF(OR(AH!$U$4=0,48+1&gt;AH!$U$6,AND(AH!$M$5="Bloomberg",AH!$U$5=0)),"",IFERROR(IF(AND(AH!$U$12=1,48+1=AH!$U$6),TODAY(),IF(AH!$U$5=1,INDEX('Live History'!$A$5:$A$3004,AH!$U$7+48),INDEX('AH History'!$A$5:$A$1380,AH!$U$7+48))),""))</f>
        <v/>
      </c>
      <c r="B53" s="33">
        <f>IFERROR(IF(AH!$U$11=1,NA(),$J53/$E53-1),NA())</f>
        <v/>
      </c>
      <c r="C53" s="269">
        <f>IFERROR(100*$E53/$E$5,NA())</f>
        <v/>
      </c>
      <c r="D53" s="269">
        <f>IFERROR(100*$J53/$J$5,NA())</f>
        <v/>
      </c>
      <c r="E53" s="32">
        <f>IFERROR(IF(AND(ISNUMBER($A53),N(IF(AND(AH!$U$12=1,48+1=AH!$U$6),IF(AH!$U$4=0,"unavailable",INDEX('Market Data'!$AN$5:$AN$66,AH!$U$4)),IF(AH!$U$5=1,INDEX('Live History'!$B$5:$B$3004,$K53),INDEX('AH History'!$D$5:$GG$1380,$K53,AH!$U$10))))&gt;0),IF(AND(AH!$U$12=1,48+1=AH!$U$6),IF(AH!$U$4=0,"unavailable",INDEX('Market Data'!$AN$5:$AN$66,AH!$U$4)),IF(AH!$U$5=1,INDEX('Live History'!$B$5:$B$3004,$K53),INDEX('AH History'!$D$5:$GG$1380,$K53,AH!$U$10))),NA()),NA())</f>
        <v/>
      </c>
      <c r="F53" s="32">
        <f>IFERROR(IF(ISNUMBER($A53),IF(AND(AH!$U$12=1,48+1=AH!$U$6),IF(AH!$U$4=0,"unavailable",INDEX('Market Data'!$AO$5:$AO$66,AH!$U$4)),IF(AH!$U$5=1,INDEX('Live History'!$E$5:$E$3004,MATCH($A53,'Live History'!$D$5:$D$3004,1)),INDEX('AH History'!$D$5:$GG$1380,$K53,AH!$U$10+1))),NA()),NA())</f>
        <v/>
      </c>
      <c r="G53" s="34">
        <f>IFERROR(IF(ISNUMBER($A53),IF(AND(AH!$U$12=1,48+1=AH!$U$6),IF(AH!$U$4=0,"unavailable",INDEX('Market Data'!$AK$5:$AK$66,AH!$U$4)),IF(AH!$U$5=1,INDEX('Live History'!$D$5:$D$3004,MATCH($A53,'Live History'!$D$5:$D$3004,1)),INDEX('AH History'!$D$5:$GG$1380,$K53,AH!$U$10+2))),NA()),NA())</f>
        <v/>
      </c>
      <c r="H53" s="266">
        <f>IFERROR(IF(ISNUMBER($A53),IF(AND(AH!$U$12=1,48+1=AH!$U$6),IF(AH!$U$4=0,"unavailable",INDEX('Market Data'!$AP$5:$AP$66,AH!$U$4)),IF(AH!$U$5=1,INDEX('Live History'!$H$5:$H$3004,MATCH($A53,'Live History'!$G$5:$G$3004,1)),INDEX('AH History'!$B$5:$B$1380,$K53))),NA()),NA())</f>
        <v/>
      </c>
      <c r="I53" s="34">
        <f>IFERROR(IF(ISNUMBER($A53),IF(AND(AH!$U$12=1,48+1=AH!$U$6),TODAY(),IF(AH!$U$5=1,INDEX('Live History'!$G$5:$G$3004,MATCH($A53,'Live History'!$G$5:$G$3004,1)),INDEX('AH History'!$C$5:$C$1380,$K53))),NA()),NA())</f>
        <v/>
      </c>
      <c r="J53" s="32">
        <f>IFERROR(IF(AND($F53&gt;0,$H53&gt;0,$A53-$G53&lt;=10,$A53-$I53&lt;=5,$G53&gt;0,$I53&gt;0),$F53*$H53,NA()),NA())</f>
        <v/>
      </c>
      <c r="K53" s="15">
        <f>IF($A53="","",IF(AH!$U$5=1,IFERROR(MATCH($A53,'Live History'!$A$5:$A$3004,0),0),AH!$U$7+48))</f>
        <v/>
      </c>
      <c r="L53" s="15">
        <f>IF(ISNUMBER(A53),TEXT(A53,"dd-mmm-yy"),"")</f>
        <v/>
      </c>
      <c r="M53" s="3" t="n"/>
      <c r="N53" s="3" t="n"/>
      <c r="O53" s="3" t="n"/>
    </row>
    <row r="54" ht="22" customHeight="1">
      <c r="A54" s="14">
        <f>IF(OR(AH!$U$4=0,49+1&gt;AH!$U$6,AND(AH!$M$5="Bloomberg",AH!$U$5=0)),"",IFERROR(IF(AND(AH!$U$12=1,49+1=AH!$U$6),TODAY(),IF(AH!$U$5=1,INDEX('Live History'!$A$5:$A$3004,AH!$U$7+49),INDEX('AH History'!$A$5:$A$1380,AH!$U$7+49))),""))</f>
        <v/>
      </c>
      <c r="B54" s="33">
        <f>IFERROR(IF(AH!$U$11=1,NA(),$J54/$E54-1),NA())</f>
        <v/>
      </c>
      <c r="C54" s="269">
        <f>IFERROR(100*$E54/$E$5,NA())</f>
        <v/>
      </c>
      <c r="D54" s="269">
        <f>IFERROR(100*$J54/$J$5,NA())</f>
        <v/>
      </c>
      <c r="E54" s="32">
        <f>IFERROR(IF(AND(ISNUMBER($A54),N(IF(AND(AH!$U$12=1,49+1=AH!$U$6),IF(AH!$U$4=0,"unavailable",INDEX('Market Data'!$AN$5:$AN$66,AH!$U$4)),IF(AH!$U$5=1,INDEX('Live History'!$B$5:$B$3004,$K54),INDEX('AH History'!$D$5:$GG$1380,$K54,AH!$U$10))))&gt;0),IF(AND(AH!$U$12=1,49+1=AH!$U$6),IF(AH!$U$4=0,"unavailable",INDEX('Market Data'!$AN$5:$AN$66,AH!$U$4)),IF(AH!$U$5=1,INDEX('Live History'!$B$5:$B$3004,$K54),INDEX('AH History'!$D$5:$GG$1380,$K54,AH!$U$10))),NA()),NA())</f>
        <v/>
      </c>
      <c r="F54" s="32">
        <f>IFERROR(IF(ISNUMBER($A54),IF(AND(AH!$U$12=1,49+1=AH!$U$6),IF(AH!$U$4=0,"unavailable",INDEX('Market Data'!$AO$5:$AO$66,AH!$U$4)),IF(AH!$U$5=1,INDEX('Live History'!$E$5:$E$3004,MATCH($A54,'Live History'!$D$5:$D$3004,1)),INDEX('AH History'!$D$5:$GG$1380,$K54,AH!$U$10+1))),NA()),NA())</f>
        <v/>
      </c>
      <c r="G54" s="34">
        <f>IFERROR(IF(ISNUMBER($A54),IF(AND(AH!$U$12=1,49+1=AH!$U$6),IF(AH!$U$4=0,"unavailable",INDEX('Market Data'!$AK$5:$AK$66,AH!$U$4)),IF(AH!$U$5=1,INDEX('Live History'!$D$5:$D$3004,MATCH($A54,'Live History'!$D$5:$D$3004,1)),INDEX('AH History'!$D$5:$GG$1380,$K54,AH!$U$10+2))),NA()),NA())</f>
        <v/>
      </c>
      <c r="H54" s="266">
        <f>IFERROR(IF(ISNUMBER($A54),IF(AND(AH!$U$12=1,49+1=AH!$U$6),IF(AH!$U$4=0,"unavailable",INDEX('Market Data'!$AP$5:$AP$66,AH!$U$4)),IF(AH!$U$5=1,INDEX('Live History'!$H$5:$H$3004,MATCH($A54,'Live History'!$G$5:$G$3004,1)),INDEX('AH History'!$B$5:$B$1380,$K54))),NA()),NA())</f>
        <v/>
      </c>
      <c r="I54" s="34">
        <f>IFERROR(IF(ISNUMBER($A54),IF(AND(AH!$U$12=1,49+1=AH!$U$6),TODAY(),IF(AH!$U$5=1,INDEX('Live History'!$G$5:$G$3004,MATCH($A54,'Live History'!$G$5:$G$3004,1)),INDEX('AH History'!$C$5:$C$1380,$K54))),NA()),NA())</f>
        <v/>
      </c>
      <c r="J54" s="32">
        <f>IFERROR(IF(AND($F54&gt;0,$H54&gt;0,$A54-$G54&lt;=10,$A54-$I54&lt;=5,$G54&gt;0,$I54&gt;0),$F54*$H54,NA()),NA())</f>
        <v/>
      </c>
      <c r="K54" s="15">
        <f>IF($A54="","",IF(AH!$U$5=1,IFERROR(MATCH($A54,'Live History'!$A$5:$A$3004,0),0),AH!$U$7+49))</f>
        <v/>
      </c>
      <c r="L54" s="15">
        <f>IF(ISNUMBER(A54),TEXT(A54,"dd-mmm-yy"),"")</f>
        <v/>
      </c>
      <c r="M54" s="3" t="n"/>
      <c r="N54" s="3" t="n"/>
      <c r="O54" s="3" t="n"/>
    </row>
    <row r="55" ht="22" customHeight="1">
      <c r="A55" s="14">
        <f>IF(OR(AH!$U$4=0,50+1&gt;AH!$U$6,AND(AH!$M$5="Bloomberg",AH!$U$5=0)),"",IFERROR(IF(AND(AH!$U$12=1,50+1=AH!$U$6),TODAY(),IF(AH!$U$5=1,INDEX('Live History'!$A$5:$A$3004,AH!$U$7+50),INDEX('AH History'!$A$5:$A$1380,AH!$U$7+50))),""))</f>
        <v/>
      </c>
      <c r="B55" s="33">
        <f>IFERROR(IF(AH!$U$11=1,NA(),$J55/$E55-1),NA())</f>
        <v/>
      </c>
      <c r="C55" s="269">
        <f>IFERROR(100*$E55/$E$5,NA())</f>
        <v/>
      </c>
      <c r="D55" s="269">
        <f>IFERROR(100*$J55/$J$5,NA())</f>
        <v/>
      </c>
      <c r="E55" s="32">
        <f>IFERROR(IF(AND(ISNUMBER($A55),N(IF(AND(AH!$U$12=1,50+1=AH!$U$6),IF(AH!$U$4=0,"unavailable",INDEX('Market Data'!$AN$5:$AN$66,AH!$U$4)),IF(AH!$U$5=1,INDEX('Live History'!$B$5:$B$3004,$K55),INDEX('AH History'!$D$5:$GG$1380,$K55,AH!$U$10))))&gt;0),IF(AND(AH!$U$12=1,50+1=AH!$U$6),IF(AH!$U$4=0,"unavailable",INDEX('Market Data'!$AN$5:$AN$66,AH!$U$4)),IF(AH!$U$5=1,INDEX('Live History'!$B$5:$B$3004,$K55),INDEX('AH History'!$D$5:$GG$1380,$K55,AH!$U$10))),NA()),NA())</f>
        <v/>
      </c>
      <c r="F55" s="32">
        <f>IFERROR(IF(ISNUMBER($A55),IF(AND(AH!$U$12=1,50+1=AH!$U$6),IF(AH!$U$4=0,"unavailable",INDEX('Market Data'!$AO$5:$AO$66,AH!$U$4)),IF(AH!$U$5=1,INDEX('Live History'!$E$5:$E$3004,MATCH($A55,'Live History'!$D$5:$D$3004,1)),INDEX('AH History'!$D$5:$GG$1380,$K55,AH!$U$10+1))),NA()),NA())</f>
        <v/>
      </c>
      <c r="G55" s="34">
        <f>IFERROR(IF(ISNUMBER($A55),IF(AND(AH!$U$12=1,50+1=AH!$U$6),IF(AH!$U$4=0,"unavailable",INDEX('Market Data'!$AK$5:$AK$66,AH!$U$4)),IF(AH!$U$5=1,INDEX('Live History'!$D$5:$D$3004,MATCH($A55,'Live History'!$D$5:$D$3004,1)),INDEX('AH History'!$D$5:$GG$1380,$K55,AH!$U$10+2))),NA()),NA())</f>
        <v/>
      </c>
      <c r="H55" s="266">
        <f>IFERROR(IF(ISNUMBER($A55),IF(AND(AH!$U$12=1,50+1=AH!$U$6),IF(AH!$U$4=0,"unavailable",INDEX('Market Data'!$AP$5:$AP$66,AH!$U$4)),IF(AH!$U$5=1,INDEX('Live History'!$H$5:$H$3004,MATCH($A55,'Live History'!$G$5:$G$3004,1)),INDEX('AH History'!$B$5:$B$1380,$K55))),NA()),NA())</f>
        <v/>
      </c>
      <c r="I55" s="34">
        <f>IFERROR(IF(ISNUMBER($A55),IF(AND(AH!$U$12=1,50+1=AH!$U$6),TODAY(),IF(AH!$U$5=1,INDEX('Live History'!$G$5:$G$3004,MATCH($A55,'Live History'!$G$5:$G$3004,1)),INDEX('AH History'!$C$5:$C$1380,$K55))),NA()),NA())</f>
        <v/>
      </c>
      <c r="J55" s="32">
        <f>IFERROR(IF(AND($F55&gt;0,$H55&gt;0,$A55-$G55&lt;=10,$A55-$I55&lt;=5,$G55&gt;0,$I55&gt;0),$F55*$H55,NA()),NA())</f>
        <v/>
      </c>
      <c r="K55" s="15">
        <f>IF($A55="","",IF(AH!$U$5=1,IFERROR(MATCH($A55,'Live History'!$A$5:$A$3004,0),0),AH!$U$7+50))</f>
        <v/>
      </c>
      <c r="L55" s="15">
        <f>IF(ISNUMBER(A55),TEXT(A55,"dd-mmm-yy"),"")</f>
        <v/>
      </c>
      <c r="M55" s="3" t="n"/>
      <c r="N55" s="3" t="n"/>
      <c r="O55" s="3" t="n"/>
    </row>
    <row r="56" ht="22" customHeight="1">
      <c r="A56" s="14">
        <f>IF(OR(AH!$U$4=0,51+1&gt;AH!$U$6,AND(AH!$M$5="Bloomberg",AH!$U$5=0)),"",IFERROR(IF(AND(AH!$U$12=1,51+1=AH!$U$6),TODAY(),IF(AH!$U$5=1,INDEX('Live History'!$A$5:$A$3004,AH!$U$7+51),INDEX('AH History'!$A$5:$A$1380,AH!$U$7+51))),""))</f>
        <v/>
      </c>
      <c r="B56" s="33">
        <f>IFERROR(IF(AH!$U$11=1,NA(),$J56/$E56-1),NA())</f>
        <v/>
      </c>
      <c r="C56" s="269">
        <f>IFERROR(100*$E56/$E$5,NA())</f>
        <v/>
      </c>
      <c r="D56" s="269">
        <f>IFERROR(100*$J56/$J$5,NA())</f>
        <v/>
      </c>
      <c r="E56" s="32">
        <f>IFERROR(IF(AND(ISNUMBER($A56),N(IF(AND(AH!$U$12=1,51+1=AH!$U$6),IF(AH!$U$4=0,"unavailable",INDEX('Market Data'!$AN$5:$AN$66,AH!$U$4)),IF(AH!$U$5=1,INDEX('Live History'!$B$5:$B$3004,$K56),INDEX('AH History'!$D$5:$GG$1380,$K56,AH!$U$10))))&gt;0),IF(AND(AH!$U$12=1,51+1=AH!$U$6),IF(AH!$U$4=0,"unavailable",INDEX('Market Data'!$AN$5:$AN$66,AH!$U$4)),IF(AH!$U$5=1,INDEX('Live History'!$B$5:$B$3004,$K56),INDEX('AH History'!$D$5:$GG$1380,$K56,AH!$U$10))),NA()),NA())</f>
        <v/>
      </c>
      <c r="F56" s="32">
        <f>IFERROR(IF(ISNUMBER($A56),IF(AND(AH!$U$12=1,51+1=AH!$U$6),IF(AH!$U$4=0,"unavailable",INDEX('Market Data'!$AO$5:$AO$66,AH!$U$4)),IF(AH!$U$5=1,INDEX('Live History'!$E$5:$E$3004,MATCH($A56,'Live History'!$D$5:$D$3004,1)),INDEX('AH History'!$D$5:$GG$1380,$K56,AH!$U$10+1))),NA()),NA())</f>
        <v/>
      </c>
      <c r="G56" s="34">
        <f>IFERROR(IF(ISNUMBER($A56),IF(AND(AH!$U$12=1,51+1=AH!$U$6),IF(AH!$U$4=0,"unavailable",INDEX('Market Data'!$AK$5:$AK$66,AH!$U$4)),IF(AH!$U$5=1,INDEX('Live History'!$D$5:$D$3004,MATCH($A56,'Live History'!$D$5:$D$3004,1)),INDEX('AH History'!$D$5:$GG$1380,$K56,AH!$U$10+2))),NA()),NA())</f>
        <v/>
      </c>
      <c r="H56" s="266">
        <f>IFERROR(IF(ISNUMBER($A56),IF(AND(AH!$U$12=1,51+1=AH!$U$6),IF(AH!$U$4=0,"unavailable",INDEX('Market Data'!$AP$5:$AP$66,AH!$U$4)),IF(AH!$U$5=1,INDEX('Live History'!$H$5:$H$3004,MATCH($A56,'Live History'!$G$5:$G$3004,1)),INDEX('AH History'!$B$5:$B$1380,$K56))),NA()),NA())</f>
        <v/>
      </c>
      <c r="I56" s="34">
        <f>IFERROR(IF(ISNUMBER($A56),IF(AND(AH!$U$12=1,51+1=AH!$U$6),TODAY(),IF(AH!$U$5=1,INDEX('Live History'!$G$5:$G$3004,MATCH($A56,'Live History'!$G$5:$G$3004,1)),INDEX('AH History'!$C$5:$C$1380,$K56))),NA()),NA())</f>
        <v/>
      </c>
      <c r="J56" s="32">
        <f>IFERROR(IF(AND($F56&gt;0,$H56&gt;0,$A56-$G56&lt;=10,$A56-$I56&lt;=5,$G56&gt;0,$I56&gt;0),$F56*$H56,NA()),NA())</f>
        <v/>
      </c>
      <c r="K56" s="15">
        <f>IF($A56="","",IF(AH!$U$5=1,IFERROR(MATCH($A56,'Live History'!$A$5:$A$3004,0),0),AH!$U$7+51))</f>
        <v/>
      </c>
      <c r="L56" s="15">
        <f>IF(ISNUMBER(A56),TEXT(A56,"dd-mmm-yy"),"")</f>
        <v/>
      </c>
      <c r="M56" s="3" t="n"/>
      <c r="N56" s="3" t="n"/>
      <c r="O56" s="3" t="n"/>
    </row>
    <row r="57" ht="22" customHeight="1">
      <c r="A57" s="14">
        <f>IF(OR(AH!$U$4=0,52+1&gt;AH!$U$6,AND(AH!$M$5="Bloomberg",AH!$U$5=0)),"",IFERROR(IF(AND(AH!$U$12=1,52+1=AH!$U$6),TODAY(),IF(AH!$U$5=1,INDEX('Live History'!$A$5:$A$3004,AH!$U$7+52),INDEX('AH History'!$A$5:$A$1380,AH!$U$7+52))),""))</f>
        <v/>
      </c>
      <c r="B57" s="33">
        <f>IFERROR(IF(AH!$U$11=1,NA(),$J57/$E57-1),NA())</f>
        <v/>
      </c>
      <c r="C57" s="269">
        <f>IFERROR(100*$E57/$E$5,NA())</f>
        <v/>
      </c>
      <c r="D57" s="269">
        <f>IFERROR(100*$J57/$J$5,NA())</f>
        <v/>
      </c>
      <c r="E57" s="32">
        <f>IFERROR(IF(AND(ISNUMBER($A57),N(IF(AND(AH!$U$12=1,52+1=AH!$U$6),IF(AH!$U$4=0,"unavailable",INDEX('Market Data'!$AN$5:$AN$66,AH!$U$4)),IF(AH!$U$5=1,INDEX('Live History'!$B$5:$B$3004,$K57),INDEX('AH History'!$D$5:$GG$1380,$K57,AH!$U$10))))&gt;0),IF(AND(AH!$U$12=1,52+1=AH!$U$6),IF(AH!$U$4=0,"unavailable",INDEX('Market Data'!$AN$5:$AN$66,AH!$U$4)),IF(AH!$U$5=1,INDEX('Live History'!$B$5:$B$3004,$K57),INDEX('AH History'!$D$5:$GG$1380,$K57,AH!$U$10))),NA()),NA())</f>
        <v/>
      </c>
      <c r="F57" s="32">
        <f>IFERROR(IF(ISNUMBER($A57),IF(AND(AH!$U$12=1,52+1=AH!$U$6),IF(AH!$U$4=0,"unavailable",INDEX('Market Data'!$AO$5:$AO$66,AH!$U$4)),IF(AH!$U$5=1,INDEX('Live History'!$E$5:$E$3004,MATCH($A57,'Live History'!$D$5:$D$3004,1)),INDEX('AH History'!$D$5:$GG$1380,$K57,AH!$U$10+1))),NA()),NA())</f>
        <v/>
      </c>
      <c r="G57" s="34">
        <f>IFERROR(IF(ISNUMBER($A57),IF(AND(AH!$U$12=1,52+1=AH!$U$6),IF(AH!$U$4=0,"unavailable",INDEX('Market Data'!$AK$5:$AK$66,AH!$U$4)),IF(AH!$U$5=1,INDEX('Live History'!$D$5:$D$3004,MATCH($A57,'Live History'!$D$5:$D$3004,1)),INDEX('AH History'!$D$5:$GG$1380,$K57,AH!$U$10+2))),NA()),NA())</f>
        <v/>
      </c>
      <c r="H57" s="266">
        <f>IFERROR(IF(ISNUMBER($A57),IF(AND(AH!$U$12=1,52+1=AH!$U$6),IF(AH!$U$4=0,"unavailable",INDEX('Market Data'!$AP$5:$AP$66,AH!$U$4)),IF(AH!$U$5=1,INDEX('Live History'!$H$5:$H$3004,MATCH($A57,'Live History'!$G$5:$G$3004,1)),INDEX('AH History'!$B$5:$B$1380,$K57))),NA()),NA())</f>
        <v/>
      </c>
      <c r="I57" s="34">
        <f>IFERROR(IF(ISNUMBER($A57),IF(AND(AH!$U$12=1,52+1=AH!$U$6),TODAY(),IF(AH!$U$5=1,INDEX('Live History'!$G$5:$G$3004,MATCH($A57,'Live History'!$G$5:$G$3004,1)),INDEX('AH History'!$C$5:$C$1380,$K57))),NA()),NA())</f>
        <v/>
      </c>
      <c r="J57" s="32">
        <f>IFERROR(IF(AND($F57&gt;0,$H57&gt;0,$A57-$G57&lt;=10,$A57-$I57&lt;=5,$G57&gt;0,$I57&gt;0),$F57*$H57,NA()),NA())</f>
        <v/>
      </c>
      <c r="K57" s="15">
        <f>IF($A57="","",IF(AH!$U$5=1,IFERROR(MATCH($A57,'Live History'!$A$5:$A$3004,0),0),AH!$U$7+52))</f>
        <v/>
      </c>
      <c r="L57" s="15">
        <f>IF(ISNUMBER(A57),TEXT(A57,"dd-mmm-yy"),"")</f>
        <v/>
      </c>
      <c r="M57" s="3" t="n"/>
      <c r="N57" s="3" t="n"/>
      <c r="O57" s="3" t="n"/>
    </row>
    <row r="58" ht="22" customHeight="1">
      <c r="A58" s="14">
        <f>IF(OR(AH!$U$4=0,53+1&gt;AH!$U$6,AND(AH!$M$5="Bloomberg",AH!$U$5=0)),"",IFERROR(IF(AND(AH!$U$12=1,53+1=AH!$U$6),TODAY(),IF(AH!$U$5=1,INDEX('Live History'!$A$5:$A$3004,AH!$U$7+53),INDEX('AH History'!$A$5:$A$1380,AH!$U$7+53))),""))</f>
        <v/>
      </c>
      <c r="B58" s="33">
        <f>IFERROR(IF(AH!$U$11=1,NA(),$J58/$E58-1),NA())</f>
        <v/>
      </c>
      <c r="C58" s="269">
        <f>IFERROR(100*$E58/$E$5,NA())</f>
        <v/>
      </c>
      <c r="D58" s="269">
        <f>IFERROR(100*$J58/$J$5,NA())</f>
        <v/>
      </c>
      <c r="E58" s="32">
        <f>IFERROR(IF(AND(ISNUMBER($A58),N(IF(AND(AH!$U$12=1,53+1=AH!$U$6),IF(AH!$U$4=0,"unavailable",INDEX('Market Data'!$AN$5:$AN$66,AH!$U$4)),IF(AH!$U$5=1,INDEX('Live History'!$B$5:$B$3004,$K58),INDEX('AH History'!$D$5:$GG$1380,$K58,AH!$U$10))))&gt;0),IF(AND(AH!$U$12=1,53+1=AH!$U$6),IF(AH!$U$4=0,"unavailable",INDEX('Market Data'!$AN$5:$AN$66,AH!$U$4)),IF(AH!$U$5=1,INDEX('Live History'!$B$5:$B$3004,$K58),INDEX('AH History'!$D$5:$GG$1380,$K58,AH!$U$10))),NA()),NA())</f>
        <v/>
      </c>
      <c r="F58" s="32">
        <f>IFERROR(IF(ISNUMBER($A58),IF(AND(AH!$U$12=1,53+1=AH!$U$6),IF(AH!$U$4=0,"unavailable",INDEX('Market Data'!$AO$5:$AO$66,AH!$U$4)),IF(AH!$U$5=1,INDEX('Live History'!$E$5:$E$3004,MATCH($A58,'Live History'!$D$5:$D$3004,1)),INDEX('AH History'!$D$5:$GG$1380,$K58,AH!$U$10+1))),NA()),NA())</f>
        <v/>
      </c>
      <c r="G58" s="34">
        <f>IFERROR(IF(ISNUMBER($A58),IF(AND(AH!$U$12=1,53+1=AH!$U$6),IF(AH!$U$4=0,"unavailable",INDEX('Market Data'!$AK$5:$AK$66,AH!$U$4)),IF(AH!$U$5=1,INDEX('Live History'!$D$5:$D$3004,MATCH($A58,'Live History'!$D$5:$D$3004,1)),INDEX('AH History'!$D$5:$GG$1380,$K58,AH!$U$10+2))),NA()),NA())</f>
        <v/>
      </c>
      <c r="H58" s="266">
        <f>IFERROR(IF(ISNUMBER($A58),IF(AND(AH!$U$12=1,53+1=AH!$U$6),IF(AH!$U$4=0,"unavailable",INDEX('Market Data'!$AP$5:$AP$66,AH!$U$4)),IF(AH!$U$5=1,INDEX('Live History'!$H$5:$H$3004,MATCH($A58,'Live History'!$G$5:$G$3004,1)),INDEX('AH History'!$B$5:$B$1380,$K58))),NA()),NA())</f>
        <v/>
      </c>
      <c r="I58" s="34">
        <f>IFERROR(IF(ISNUMBER($A58),IF(AND(AH!$U$12=1,53+1=AH!$U$6),TODAY(),IF(AH!$U$5=1,INDEX('Live History'!$G$5:$G$3004,MATCH($A58,'Live History'!$G$5:$G$3004,1)),INDEX('AH History'!$C$5:$C$1380,$K58))),NA()),NA())</f>
        <v/>
      </c>
      <c r="J58" s="32">
        <f>IFERROR(IF(AND($F58&gt;0,$H58&gt;0,$A58-$G58&lt;=10,$A58-$I58&lt;=5,$G58&gt;0,$I58&gt;0),$F58*$H58,NA()),NA())</f>
        <v/>
      </c>
      <c r="K58" s="15">
        <f>IF($A58="","",IF(AH!$U$5=1,IFERROR(MATCH($A58,'Live History'!$A$5:$A$3004,0),0),AH!$U$7+53))</f>
        <v/>
      </c>
      <c r="L58" s="15">
        <f>IF(ISNUMBER(A58),TEXT(A58,"dd-mmm-yy"),"")</f>
        <v/>
      </c>
      <c r="M58" s="3" t="n"/>
      <c r="N58" s="3" t="n"/>
      <c r="O58" s="3" t="n"/>
    </row>
    <row r="59" ht="22" customHeight="1">
      <c r="A59" s="14">
        <f>IF(OR(AH!$U$4=0,54+1&gt;AH!$U$6,AND(AH!$M$5="Bloomberg",AH!$U$5=0)),"",IFERROR(IF(AND(AH!$U$12=1,54+1=AH!$U$6),TODAY(),IF(AH!$U$5=1,INDEX('Live History'!$A$5:$A$3004,AH!$U$7+54),INDEX('AH History'!$A$5:$A$1380,AH!$U$7+54))),""))</f>
        <v/>
      </c>
      <c r="B59" s="33">
        <f>IFERROR(IF(AH!$U$11=1,NA(),$J59/$E59-1),NA())</f>
        <v/>
      </c>
      <c r="C59" s="269">
        <f>IFERROR(100*$E59/$E$5,NA())</f>
        <v/>
      </c>
      <c r="D59" s="269">
        <f>IFERROR(100*$J59/$J$5,NA())</f>
        <v/>
      </c>
      <c r="E59" s="32">
        <f>IFERROR(IF(AND(ISNUMBER($A59),N(IF(AND(AH!$U$12=1,54+1=AH!$U$6),IF(AH!$U$4=0,"unavailable",INDEX('Market Data'!$AN$5:$AN$66,AH!$U$4)),IF(AH!$U$5=1,INDEX('Live History'!$B$5:$B$3004,$K59),INDEX('AH History'!$D$5:$GG$1380,$K59,AH!$U$10))))&gt;0),IF(AND(AH!$U$12=1,54+1=AH!$U$6),IF(AH!$U$4=0,"unavailable",INDEX('Market Data'!$AN$5:$AN$66,AH!$U$4)),IF(AH!$U$5=1,INDEX('Live History'!$B$5:$B$3004,$K59),INDEX('AH History'!$D$5:$GG$1380,$K59,AH!$U$10))),NA()),NA())</f>
        <v/>
      </c>
      <c r="F59" s="32">
        <f>IFERROR(IF(ISNUMBER($A59),IF(AND(AH!$U$12=1,54+1=AH!$U$6),IF(AH!$U$4=0,"unavailable",INDEX('Market Data'!$AO$5:$AO$66,AH!$U$4)),IF(AH!$U$5=1,INDEX('Live History'!$E$5:$E$3004,MATCH($A59,'Live History'!$D$5:$D$3004,1)),INDEX('AH History'!$D$5:$GG$1380,$K59,AH!$U$10+1))),NA()),NA())</f>
        <v/>
      </c>
      <c r="G59" s="34">
        <f>IFERROR(IF(ISNUMBER($A59),IF(AND(AH!$U$12=1,54+1=AH!$U$6),IF(AH!$U$4=0,"unavailable",INDEX('Market Data'!$AK$5:$AK$66,AH!$U$4)),IF(AH!$U$5=1,INDEX('Live History'!$D$5:$D$3004,MATCH($A59,'Live History'!$D$5:$D$3004,1)),INDEX('AH History'!$D$5:$GG$1380,$K59,AH!$U$10+2))),NA()),NA())</f>
        <v/>
      </c>
      <c r="H59" s="266">
        <f>IFERROR(IF(ISNUMBER($A59),IF(AND(AH!$U$12=1,54+1=AH!$U$6),IF(AH!$U$4=0,"unavailable",INDEX('Market Data'!$AP$5:$AP$66,AH!$U$4)),IF(AH!$U$5=1,INDEX('Live History'!$H$5:$H$3004,MATCH($A59,'Live History'!$G$5:$G$3004,1)),INDEX('AH History'!$B$5:$B$1380,$K59))),NA()),NA())</f>
        <v/>
      </c>
      <c r="I59" s="34">
        <f>IFERROR(IF(ISNUMBER($A59),IF(AND(AH!$U$12=1,54+1=AH!$U$6),TODAY(),IF(AH!$U$5=1,INDEX('Live History'!$G$5:$G$3004,MATCH($A59,'Live History'!$G$5:$G$3004,1)),INDEX('AH History'!$C$5:$C$1380,$K59))),NA()),NA())</f>
        <v/>
      </c>
      <c r="J59" s="32">
        <f>IFERROR(IF(AND($F59&gt;0,$H59&gt;0,$A59-$G59&lt;=10,$A59-$I59&lt;=5,$G59&gt;0,$I59&gt;0),$F59*$H59,NA()),NA())</f>
        <v/>
      </c>
      <c r="K59" s="15">
        <f>IF($A59="","",IF(AH!$U$5=1,IFERROR(MATCH($A59,'Live History'!$A$5:$A$3004,0),0),AH!$U$7+54))</f>
        <v/>
      </c>
      <c r="L59" s="15">
        <f>IF(ISNUMBER(A59),TEXT(A59,"dd-mmm-yy"),"")</f>
        <v/>
      </c>
      <c r="M59" s="3" t="n"/>
      <c r="N59" s="3" t="n"/>
      <c r="O59" s="3" t="n"/>
    </row>
    <row r="60" ht="22" customHeight="1">
      <c r="A60" s="14">
        <f>IF(OR(AH!$U$4=0,55+1&gt;AH!$U$6,AND(AH!$M$5="Bloomberg",AH!$U$5=0)),"",IFERROR(IF(AND(AH!$U$12=1,55+1=AH!$U$6),TODAY(),IF(AH!$U$5=1,INDEX('Live History'!$A$5:$A$3004,AH!$U$7+55),INDEX('AH History'!$A$5:$A$1380,AH!$U$7+55))),""))</f>
        <v/>
      </c>
      <c r="B60" s="33">
        <f>IFERROR(IF(AH!$U$11=1,NA(),$J60/$E60-1),NA())</f>
        <v/>
      </c>
      <c r="C60" s="269">
        <f>IFERROR(100*$E60/$E$5,NA())</f>
        <v/>
      </c>
      <c r="D60" s="269">
        <f>IFERROR(100*$J60/$J$5,NA())</f>
        <v/>
      </c>
      <c r="E60" s="32">
        <f>IFERROR(IF(AND(ISNUMBER($A60),N(IF(AND(AH!$U$12=1,55+1=AH!$U$6),IF(AH!$U$4=0,"unavailable",INDEX('Market Data'!$AN$5:$AN$66,AH!$U$4)),IF(AH!$U$5=1,INDEX('Live History'!$B$5:$B$3004,$K60),INDEX('AH History'!$D$5:$GG$1380,$K60,AH!$U$10))))&gt;0),IF(AND(AH!$U$12=1,55+1=AH!$U$6),IF(AH!$U$4=0,"unavailable",INDEX('Market Data'!$AN$5:$AN$66,AH!$U$4)),IF(AH!$U$5=1,INDEX('Live History'!$B$5:$B$3004,$K60),INDEX('AH History'!$D$5:$GG$1380,$K60,AH!$U$10))),NA()),NA())</f>
        <v/>
      </c>
      <c r="F60" s="32">
        <f>IFERROR(IF(ISNUMBER($A60),IF(AND(AH!$U$12=1,55+1=AH!$U$6),IF(AH!$U$4=0,"unavailable",INDEX('Market Data'!$AO$5:$AO$66,AH!$U$4)),IF(AH!$U$5=1,INDEX('Live History'!$E$5:$E$3004,MATCH($A60,'Live History'!$D$5:$D$3004,1)),INDEX('AH History'!$D$5:$GG$1380,$K60,AH!$U$10+1))),NA()),NA())</f>
        <v/>
      </c>
      <c r="G60" s="34">
        <f>IFERROR(IF(ISNUMBER($A60),IF(AND(AH!$U$12=1,55+1=AH!$U$6),IF(AH!$U$4=0,"unavailable",INDEX('Market Data'!$AK$5:$AK$66,AH!$U$4)),IF(AH!$U$5=1,INDEX('Live History'!$D$5:$D$3004,MATCH($A60,'Live History'!$D$5:$D$3004,1)),INDEX('AH History'!$D$5:$GG$1380,$K60,AH!$U$10+2))),NA()),NA())</f>
        <v/>
      </c>
      <c r="H60" s="266">
        <f>IFERROR(IF(ISNUMBER($A60),IF(AND(AH!$U$12=1,55+1=AH!$U$6),IF(AH!$U$4=0,"unavailable",INDEX('Market Data'!$AP$5:$AP$66,AH!$U$4)),IF(AH!$U$5=1,INDEX('Live History'!$H$5:$H$3004,MATCH($A60,'Live History'!$G$5:$G$3004,1)),INDEX('AH History'!$B$5:$B$1380,$K60))),NA()),NA())</f>
        <v/>
      </c>
      <c r="I60" s="34">
        <f>IFERROR(IF(ISNUMBER($A60),IF(AND(AH!$U$12=1,55+1=AH!$U$6),TODAY(),IF(AH!$U$5=1,INDEX('Live History'!$G$5:$G$3004,MATCH($A60,'Live History'!$G$5:$G$3004,1)),INDEX('AH History'!$C$5:$C$1380,$K60))),NA()),NA())</f>
        <v/>
      </c>
      <c r="J60" s="32">
        <f>IFERROR(IF(AND($F60&gt;0,$H60&gt;0,$A60-$G60&lt;=10,$A60-$I60&lt;=5,$G60&gt;0,$I60&gt;0),$F60*$H60,NA()),NA())</f>
        <v/>
      </c>
      <c r="K60" s="15">
        <f>IF($A60="","",IF(AH!$U$5=1,IFERROR(MATCH($A60,'Live History'!$A$5:$A$3004,0),0),AH!$U$7+55))</f>
        <v/>
      </c>
      <c r="L60" s="15">
        <f>IF(ISNUMBER(A60),TEXT(A60,"dd-mmm-yy"),"")</f>
        <v/>
      </c>
      <c r="M60" s="3" t="n"/>
      <c r="N60" s="3" t="n"/>
      <c r="O60" s="3" t="n"/>
    </row>
    <row r="61" ht="22" customHeight="1">
      <c r="A61" s="14">
        <f>IF(OR(AH!$U$4=0,56+1&gt;AH!$U$6,AND(AH!$M$5="Bloomberg",AH!$U$5=0)),"",IFERROR(IF(AND(AH!$U$12=1,56+1=AH!$U$6),TODAY(),IF(AH!$U$5=1,INDEX('Live History'!$A$5:$A$3004,AH!$U$7+56),INDEX('AH History'!$A$5:$A$1380,AH!$U$7+56))),""))</f>
        <v/>
      </c>
      <c r="B61" s="33">
        <f>IFERROR(IF(AH!$U$11=1,NA(),$J61/$E61-1),NA())</f>
        <v/>
      </c>
      <c r="C61" s="269">
        <f>IFERROR(100*$E61/$E$5,NA())</f>
        <v/>
      </c>
      <c r="D61" s="269">
        <f>IFERROR(100*$J61/$J$5,NA())</f>
        <v/>
      </c>
      <c r="E61" s="32">
        <f>IFERROR(IF(AND(ISNUMBER($A61),N(IF(AND(AH!$U$12=1,56+1=AH!$U$6),IF(AH!$U$4=0,"unavailable",INDEX('Market Data'!$AN$5:$AN$66,AH!$U$4)),IF(AH!$U$5=1,INDEX('Live History'!$B$5:$B$3004,$K61),INDEX('AH History'!$D$5:$GG$1380,$K61,AH!$U$10))))&gt;0),IF(AND(AH!$U$12=1,56+1=AH!$U$6),IF(AH!$U$4=0,"unavailable",INDEX('Market Data'!$AN$5:$AN$66,AH!$U$4)),IF(AH!$U$5=1,INDEX('Live History'!$B$5:$B$3004,$K61),INDEX('AH History'!$D$5:$GG$1380,$K61,AH!$U$10))),NA()),NA())</f>
        <v/>
      </c>
      <c r="F61" s="32">
        <f>IFERROR(IF(ISNUMBER($A61),IF(AND(AH!$U$12=1,56+1=AH!$U$6),IF(AH!$U$4=0,"unavailable",INDEX('Market Data'!$AO$5:$AO$66,AH!$U$4)),IF(AH!$U$5=1,INDEX('Live History'!$E$5:$E$3004,MATCH($A61,'Live History'!$D$5:$D$3004,1)),INDEX('AH History'!$D$5:$GG$1380,$K61,AH!$U$10+1))),NA()),NA())</f>
        <v/>
      </c>
      <c r="G61" s="34">
        <f>IFERROR(IF(ISNUMBER($A61),IF(AND(AH!$U$12=1,56+1=AH!$U$6),IF(AH!$U$4=0,"unavailable",INDEX('Market Data'!$AK$5:$AK$66,AH!$U$4)),IF(AH!$U$5=1,INDEX('Live History'!$D$5:$D$3004,MATCH($A61,'Live History'!$D$5:$D$3004,1)),INDEX('AH History'!$D$5:$GG$1380,$K61,AH!$U$10+2))),NA()),NA())</f>
        <v/>
      </c>
      <c r="H61" s="266">
        <f>IFERROR(IF(ISNUMBER($A61),IF(AND(AH!$U$12=1,56+1=AH!$U$6),IF(AH!$U$4=0,"unavailable",INDEX('Market Data'!$AP$5:$AP$66,AH!$U$4)),IF(AH!$U$5=1,INDEX('Live History'!$H$5:$H$3004,MATCH($A61,'Live History'!$G$5:$G$3004,1)),INDEX('AH History'!$B$5:$B$1380,$K61))),NA()),NA())</f>
        <v/>
      </c>
      <c r="I61" s="34">
        <f>IFERROR(IF(ISNUMBER($A61),IF(AND(AH!$U$12=1,56+1=AH!$U$6),TODAY(),IF(AH!$U$5=1,INDEX('Live History'!$G$5:$G$3004,MATCH($A61,'Live History'!$G$5:$G$3004,1)),INDEX('AH History'!$C$5:$C$1380,$K61))),NA()),NA())</f>
        <v/>
      </c>
      <c r="J61" s="32">
        <f>IFERROR(IF(AND($F61&gt;0,$H61&gt;0,$A61-$G61&lt;=10,$A61-$I61&lt;=5,$G61&gt;0,$I61&gt;0),$F61*$H61,NA()),NA())</f>
        <v/>
      </c>
      <c r="K61" s="15">
        <f>IF($A61="","",IF(AH!$U$5=1,IFERROR(MATCH($A61,'Live History'!$A$5:$A$3004,0),0),AH!$U$7+56))</f>
        <v/>
      </c>
      <c r="L61" s="15">
        <f>IF(ISNUMBER(A61),TEXT(A61,"dd-mmm-yy"),"")</f>
        <v/>
      </c>
      <c r="M61" s="3" t="n"/>
      <c r="N61" s="3" t="n"/>
      <c r="O61" s="3" t="n"/>
    </row>
    <row r="62" ht="22" customHeight="1">
      <c r="A62" s="14">
        <f>IF(OR(AH!$U$4=0,57+1&gt;AH!$U$6,AND(AH!$M$5="Bloomberg",AH!$U$5=0)),"",IFERROR(IF(AND(AH!$U$12=1,57+1=AH!$U$6),TODAY(),IF(AH!$U$5=1,INDEX('Live History'!$A$5:$A$3004,AH!$U$7+57),INDEX('AH History'!$A$5:$A$1380,AH!$U$7+57))),""))</f>
        <v/>
      </c>
      <c r="B62" s="33">
        <f>IFERROR(IF(AH!$U$11=1,NA(),$J62/$E62-1),NA())</f>
        <v/>
      </c>
      <c r="C62" s="269">
        <f>IFERROR(100*$E62/$E$5,NA())</f>
        <v/>
      </c>
      <c r="D62" s="269">
        <f>IFERROR(100*$J62/$J$5,NA())</f>
        <v/>
      </c>
      <c r="E62" s="32">
        <f>IFERROR(IF(AND(ISNUMBER($A62),N(IF(AND(AH!$U$12=1,57+1=AH!$U$6),IF(AH!$U$4=0,"unavailable",INDEX('Market Data'!$AN$5:$AN$66,AH!$U$4)),IF(AH!$U$5=1,INDEX('Live History'!$B$5:$B$3004,$K62),INDEX('AH History'!$D$5:$GG$1380,$K62,AH!$U$10))))&gt;0),IF(AND(AH!$U$12=1,57+1=AH!$U$6),IF(AH!$U$4=0,"unavailable",INDEX('Market Data'!$AN$5:$AN$66,AH!$U$4)),IF(AH!$U$5=1,INDEX('Live History'!$B$5:$B$3004,$K62),INDEX('AH History'!$D$5:$GG$1380,$K62,AH!$U$10))),NA()),NA())</f>
        <v/>
      </c>
      <c r="F62" s="32">
        <f>IFERROR(IF(ISNUMBER($A62),IF(AND(AH!$U$12=1,57+1=AH!$U$6),IF(AH!$U$4=0,"unavailable",INDEX('Market Data'!$AO$5:$AO$66,AH!$U$4)),IF(AH!$U$5=1,INDEX('Live History'!$E$5:$E$3004,MATCH($A62,'Live History'!$D$5:$D$3004,1)),INDEX('AH History'!$D$5:$GG$1380,$K62,AH!$U$10+1))),NA()),NA())</f>
        <v/>
      </c>
      <c r="G62" s="34">
        <f>IFERROR(IF(ISNUMBER($A62),IF(AND(AH!$U$12=1,57+1=AH!$U$6),IF(AH!$U$4=0,"unavailable",INDEX('Market Data'!$AK$5:$AK$66,AH!$U$4)),IF(AH!$U$5=1,INDEX('Live History'!$D$5:$D$3004,MATCH($A62,'Live History'!$D$5:$D$3004,1)),INDEX('AH History'!$D$5:$GG$1380,$K62,AH!$U$10+2))),NA()),NA())</f>
        <v/>
      </c>
      <c r="H62" s="266">
        <f>IFERROR(IF(ISNUMBER($A62),IF(AND(AH!$U$12=1,57+1=AH!$U$6),IF(AH!$U$4=0,"unavailable",INDEX('Market Data'!$AP$5:$AP$66,AH!$U$4)),IF(AH!$U$5=1,INDEX('Live History'!$H$5:$H$3004,MATCH($A62,'Live History'!$G$5:$G$3004,1)),INDEX('AH History'!$B$5:$B$1380,$K62))),NA()),NA())</f>
        <v/>
      </c>
      <c r="I62" s="34">
        <f>IFERROR(IF(ISNUMBER($A62),IF(AND(AH!$U$12=1,57+1=AH!$U$6),TODAY(),IF(AH!$U$5=1,INDEX('Live History'!$G$5:$G$3004,MATCH($A62,'Live History'!$G$5:$G$3004,1)),INDEX('AH History'!$C$5:$C$1380,$K62))),NA()),NA())</f>
        <v/>
      </c>
      <c r="J62" s="32">
        <f>IFERROR(IF(AND($F62&gt;0,$H62&gt;0,$A62-$G62&lt;=10,$A62-$I62&lt;=5,$G62&gt;0,$I62&gt;0),$F62*$H62,NA()),NA())</f>
        <v/>
      </c>
      <c r="K62" s="15">
        <f>IF($A62="","",IF(AH!$U$5=1,IFERROR(MATCH($A62,'Live History'!$A$5:$A$3004,0),0),AH!$U$7+57))</f>
        <v/>
      </c>
      <c r="L62" s="15">
        <f>IF(ISNUMBER(A62),TEXT(A62,"dd-mmm-yy"),"")</f>
        <v/>
      </c>
      <c r="M62" s="3" t="n"/>
      <c r="N62" s="3" t="n"/>
      <c r="O62" s="3" t="n"/>
    </row>
    <row r="63" ht="22" customHeight="1">
      <c r="A63" s="14">
        <f>IF(OR(AH!$U$4=0,58+1&gt;AH!$U$6,AND(AH!$M$5="Bloomberg",AH!$U$5=0)),"",IFERROR(IF(AND(AH!$U$12=1,58+1=AH!$U$6),TODAY(),IF(AH!$U$5=1,INDEX('Live History'!$A$5:$A$3004,AH!$U$7+58),INDEX('AH History'!$A$5:$A$1380,AH!$U$7+58))),""))</f>
        <v/>
      </c>
      <c r="B63" s="33">
        <f>IFERROR(IF(AH!$U$11=1,NA(),$J63/$E63-1),NA())</f>
        <v/>
      </c>
      <c r="C63" s="269">
        <f>IFERROR(100*$E63/$E$5,NA())</f>
        <v/>
      </c>
      <c r="D63" s="269">
        <f>IFERROR(100*$J63/$J$5,NA())</f>
        <v/>
      </c>
      <c r="E63" s="32">
        <f>IFERROR(IF(AND(ISNUMBER($A63),N(IF(AND(AH!$U$12=1,58+1=AH!$U$6),IF(AH!$U$4=0,"unavailable",INDEX('Market Data'!$AN$5:$AN$66,AH!$U$4)),IF(AH!$U$5=1,INDEX('Live History'!$B$5:$B$3004,$K63),INDEX('AH History'!$D$5:$GG$1380,$K63,AH!$U$10))))&gt;0),IF(AND(AH!$U$12=1,58+1=AH!$U$6),IF(AH!$U$4=0,"unavailable",INDEX('Market Data'!$AN$5:$AN$66,AH!$U$4)),IF(AH!$U$5=1,INDEX('Live History'!$B$5:$B$3004,$K63),INDEX('AH History'!$D$5:$GG$1380,$K63,AH!$U$10))),NA()),NA())</f>
        <v/>
      </c>
      <c r="F63" s="32">
        <f>IFERROR(IF(ISNUMBER($A63),IF(AND(AH!$U$12=1,58+1=AH!$U$6),IF(AH!$U$4=0,"unavailable",INDEX('Market Data'!$AO$5:$AO$66,AH!$U$4)),IF(AH!$U$5=1,INDEX('Live History'!$E$5:$E$3004,MATCH($A63,'Live History'!$D$5:$D$3004,1)),INDEX('AH History'!$D$5:$GG$1380,$K63,AH!$U$10+1))),NA()),NA())</f>
        <v/>
      </c>
      <c r="G63" s="34">
        <f>IFERROR(IF(ISNUMBER($A63),IF(AND(AH!$U$12=1,58+1=AH!$U$6),IF(AH!$U$4=0,"unavailable",INDEX('Market Data'!$AK$5:$AK$66,AH!$U$4)),IF(AH!$U$5=1,INDEX('Live History'!$D$5:$D$3004,MATCH($A63,'Live History'!$D$5:$D$3004,1)),INDEX('AH History'!$D$5:$GG$1380,$K63,AH!$U$10+2))),NA()),NA())</f>
        <v/>
      </c>
      <c r="H63" s="266">
        <f>IFERROR(IF(ISNUMBER($A63),IF(AND(AH!$U$12=1,58+1=AH!$U$6),IF(AH!$U$4=0,"unavailable",INDEX('Market Data'!$AP$5:$AP$66,AH!$U$4)),IF(AH!$U$5=1,INDEX('Live History'!$H$5:$H$3004,MATCH($A63,'Live History'!$G$5:$G$3004,1)),INDEX('AH History'!$B$5:$B$1380,$K63))),NA()),NA())</f>
        <v/>
      </c>
      <c r="I63" s="34">
        <f>IFERROR(IF(ISNUMBER($A63),IF(AND(AH!$U$12=1,58+1=AH!$U$6),TODAY(),IF(AH!$U$5=1,INDEX('Live History'!$G$5:$G$3004,MATCH($A63,'Live History'!$G$5:$G$3004,1)),INDEX('AH History'!$C$5:$C$1380,$K63))),NA()),NA())</f>
        <v/>
      </c>
      <c r="J63" s="32">
        <f>IFERROR(IF(AND($F63&gt;0,$H63&gt;0,$A63-$G63&lt;=10,$A63-$I63&lt;=5,$G63&gt;0,$I63&gt;0),$F63*$H63,NA()),NA())</f>
        <v/>
      </c>
      <c r="K63" s="15">
        <f>IF($A63="","",IF(AH!$U$5=1,IFERROR(MATCH($A63,'Live History'!$A$5:$A$3004,0),0),AH!$U$7+58))</f>
        <v/>
      </c>
      <c r="L63" s="15">
        <f>IF(ISNUMBER(A63),TEXT(A63,"dd-mmm-yy"),"")</f>
        <v/>
      </c>
      <c r="M63" s="3" t="n"/>
      <c r="N63" s="3" t="n"/>
      <c r="O63" s="3" t="n"/>
    </row>
    <row r="64" ht="22" customHeight="1">
      <c r="A64" s="14">
        <f>IF(OR(AH!$U$4=0,59+1&gt;AH!$U$6,AND(AH!$M$5="Bloomberg",AH!$U$5=0)),"",IFERROR(IF(AND(AH!$U$12=1,59+1=AH!$U$6),TODAY(),IF(AH!$U$5=1,INDEX('Live History'!$A$5:$A$3004,AH!$U$7+59),INDEX('AH History'!$A$5:$A$1380,AH!$U$7+59))),""))</f>
        <v/>
      </c>
      <c r="B64" s="33">
        <f>IFERROR(IF(AH!$U$11=1,NA(),$J64/$E64-1),NA())</f>
        <v/>
      </c>
      <c r="C64" s="269">
        <f>IFERROR(100*$E64/$E$5,NA())</f>
        <v/>
      </c>
      <c r="D64" s="269">
        <f>IFERROR(100*$J64/$J$5,NA())</f>
        <v/>
      </c>
      <c r="E64" s="32">
        <f>IFERROR(IF(AND(ISNUMBER($A64),N(IF(AND(AH!$U$12=1,59+1=AH!$U$6),IF(AH!$U$4=0,"unavailable",INDEX('Market Data'!$AN$5:$AN$66,AH!$U$4)),IF(AH!$U$5=1,INDEX('Live History'!$B$5:$B$3004,$K64),INDEX('AH History'!$D$5:$GG$1380,$K64,AH!$U$10))))&gt;0),IF(AND(AH!$U$12=1,59+1=AH!$U$6),IF(AH!$U$4=0,"unavailable",INDEX('Market Data'!$AN$5:$AN$66,AH!$U$4)),IF(AH!$U$5=1,INDEX('Live History'!$B$5:$B$3004,$K64),INDEX('AH History'!$D$5:$GG$1380,$K64,AH!$U$10))),NA()),NA())</f>
        <v/>
      </c>
      <c r="F64" s="32">
        <f>IFERROR(IF(ISNUMBER($A64),IF(AND(AH!$U$12=1,59+1=AH!$U$6),IF(AH!$U$4=0,"unavailable",INDEX('Market Data'!$AO$5:$AO$66,AH!$U$4)),IF(AH!$U$5=1,INDEX('Live History'!$E$5:$E$3004,MATCH($A64,'Live History'!$D$5:$D$3004,1)),INDEX('AH History'!$D$5:$GG$1380,$K64,AH!$U$10+1))),NA()),NA())</f>
        <v/>
      </c>
      <c r="G64" s="34">
        <f>IFERROR(IF(ISNUMBER($A64),IF(AND(AH!$U$12=1,59+1=AH!$U$6),IF(AH!$U$4=0,"unavailable",INDEX('Market Data'!$AK$5:$AK$66,AH!$U$4)),IF(AH!$U$5=1,INDEX('Live History'!$D$5:$D$3004,MATCH($A64,'Live History'!$D$5:$D$3004,1)),INDEX('AH History'!$D$5:$GG$1380,$K64,AH!$U$10+2))),NA()),NA())</f>
        <v/>
      </c>
      <c r="H64" s="266">
        <f>IFERROR(IF(ISNUMBER($A64),IF(AND(AH!$U$12=1,59+1=AH!$U$6),IF(AH!$U$4=0,"unavailable",INDEX('Market Data'!$AP$5:$AP$66,AH!$U$4)),IF(AH!$U$5=1,INDEX('Live History'!$H$5:$H$3004,MATCH($A64,'Live History'!$G$5:$G$3004,1)),INDEX('AH History'!$B$5:$B$1380,$K64))),NA()),NA())</f>
        <v/>
      </c>
      <c r="I64" s="34">
        <f>IFERROR(IF(ISNUMBER($A64),IF(AND(AH!$U$12=1,59+1=AH!$U$6),TODAY(),IF(AH!$U$5=1,INDEX('Live History'!$G$5:$G$3004,MATCH($A64,'Live History'!$G$5:$G$3004,1)),INDEX('AH History'!$C$5:$C$1380,$K64))),NA()),NA())</f>
        <v/>
      </c>
      <c r="J64" s="32">
        <f>IFERROR(IF(AND($F64&gt;0,$H64&gt;0,$A64-$G64&lt;=10,$A64-$I64&lt;=5,$G64&gt;0,$I64&gt;0),$F64*$H64,NA()),NA())</f>
        <v/>
      </c>
      <c r="K64" s="15">
        <f>IF($A64="","",IF(AH!$U$5=1,IFERROR(MATCH($A64,'Live History'!$A$5:$A$3004,0),0),AH!$U$7+59))</f>
        <v/>
      </c>
      <c r="L64" s="15">
        <f>IF(ISNUMBER(A64),TEXT(A64,"dd-mmm-yy"),"")</f>
        <v/>
      </c>
      <c r="M64" s="3" t="n"/>
      <c r="N64" s="3" t="n"/>
      <c r="O64" s="3" t="n"/>
    </row>
    <row r="65" ht="22" customHeight="1">
      <c r="A65" s="14">
        <f>IF(OR(AH!$U$4=0,60+1&gt;AH!$U$6,AND(AH!$M$5="Bloomberg",AH!$U$5=0)),"",IFERROR(IF(AND(AH!$U$12=1,60+1=AH!$U$6),TODAY(),IF(AH!$U$5=1,INDEX('Live History'!$A$5:$A$3004,AH!$U$7+60),INDEX('AH History'!$A$5:$A$1380,AH!$U$7+60))),""))</f>
        <v/>
      </c>
      <c r="B65" s="33">
        <f>IFERROR(IF(AH!$U$11=1,NA(),$J65/$E65-1),NA())</f>
        <v/>
      </c>
      <c r="C65" s="269">
        <f>IFERROR(100*$E65/$E$5,NA())</f>
        <v/>
      </c>
      <c r="D65" s="269">
        <f>IFERROR(100*$J65/$J$5,NA())</f>
        <v/>
      </c>
      <c r="E65" s="32">
        <f>IFERROR(IF(AND(ISNUMBER($A65),N(IF(AND(AH!$U$12=1,60+1=AH!$U$6),IF(AH!$U$4=0,"unavailable",INDEX('Market Data'!$AN$5:$AN$66,AH!$U$4)),IF(AH!$U$5=1,INDEX('Live History'!$B$5:$B$3004,$K65),INDEX('AH History'!$D$5:$GG$1380,$K65,AH!$U$10))))&gt;0),IF(AND(AH!$U$12=1,60+1=AH!$U$6),IF(AH!$U$4=0,"unavailable",INDEX('Market Data'!$AN$5:$AN$66,AH!$U$4)),IF(AH!$U$5=1,INDEX('Live History'!$B$5:$B$3004,$K65),INDEX('AH History'!$D$5:$GG$1380,$K65,AH!$U$10))),NA()),NA())</f>
        <v/>
      </c>
      <c r="F65" s="32">
        <f>IFERROR(IF(ISNUMBER($A65),IF(AND(AH!$U$12=1,60+1=AH!$U$6),IF(AH!$U$4=0,"unavailable",INDEX('Market Data'!$AO$5:$AO$66,AH!$U$4)),IF(AH!$U$5=1,INDEX('Live History'!$E$5:$E$3004,MATCH($A65,'Live History'!$D$5:$D$3004,1)),INDEX('AH History'!$D$5:$GG$1380,$K65,AH!$U$10+1))),NA()),NA())</f>
        <v/>
      </c>
      <c r="G65" s="34">
        <f>IFERROR(IF(ISNUMBER($A65),IF(AND(AH!$U$12=1,60+1=AH!$U$6),IF(AH!$U$4=0,"unavailable",INDEX('Market Data'!$AK$5:$AK$66,AH!$U$4)),IF(AH!$U$5=1,INDEX('Live History'!$D$5:$D$3004,MATCH($A65,'Live History'!$D$5:$D$3004,1)),INDEX('AH History'!$D$5:$GG$1380,$K65,AH!$U$10+2))),NA()),NA())</f>
        <v/>
      </c>
      <c r="H65" s="266">
        <f>IFERROR(IF(ISNUMBER($A65),IF(AND(AH!$U$12=1,60+1=AH!$U$6),IF(AH!$U$4=0,"unavailable",INDEX('Market Data'!$AP$5:$AP$66,AH!$U$4)),IF(AH!$U$5=1,INDEX('Live History'!$H$5:$H$3004,MATCH($A65,'Live History'!$G$5:$G$3004,1)),INDEX('AH History'!$B$5:$B$1380,$K65))),NA()),NA())</f>
        <v/>
      </c>
      <c r="I65" s="34">
        <f>IFERROR(IF(ISNUMBER($A65),IF(AND(AH!$U$12=1,60+1=AH!$U$6),TODAY(),IF(AH!$U$5=1,INDEX('Live History'!$G$5:$G$3004,MATCH($A65,'Live History'!$G$5:$G$3004,1)),INDEX('AH History'!$C$5:$C$1380,$K65))),NA()),NA())</f>
        <v/>
      </c>
      <c r="J65" s="32">
        <f>IFERROR(IF(AND($F65&gt;0,$H65&gt;0,$A65-$G65&lt;=10,$A65-$I65&lt;=5,$G65&gt;0,$I65&gt;0),$F65*$H65,NA()),NA())</f>
        <v/>
      </c>
      <c r="K65" s="15">
        <f>IF($A65="","",IF(AH!$U$5=1,IFERROR(MATCH($A65,'Live History'!$A$5:$A$3004,0),0),AH!$U$7+60))</f>
        <v/>
      </c>
      <c r="L65" s="15">
        <f>IF(ISNUMBER(A65),TEXT(A65,"dd-mmm-yy"),"")</f>
        <v/>
      </c>
      <c r="M65" s="3" t="n"/>
      <c r="N65" s="3" t="n"/>
      <c r="O65" s="3" t="n"/>
    </row>
    <row r="66" ht="22" customHeight="1">
      <c r="A66" s="14">
        <f>IF(OR(AH!$U$4=0,61+1&gt;AH!$U$6,AND(AH!$M$5="Bloomberg",AH!$U$5=0)),"",IFERROR(IF(AND(AH!$U$12=1,61+1=AH!$U$6),TODAY(),IF(AH!$U$5=1,INDEX('Live History'!$A$5:$A$3004,AH!$U$7+61),INDEX('AH History'!$A$5:$A$1380,AH!$U$7+61))),""))</f>
        <v/>
      </c>
      <c r="B66" s="33">
        <f>IFERROR(IF(AH!$U$11=1,NA(),$J66/$E66-1),NA())</f>
        <v/>
      </c>
      <c r="C66" s="269">
        <f>IFERROR(100*$E66/$E$5,NA())</f>
        <v/>
      </c>
      <c r="D66" s="269">
        <f>IFERROR(100*$J66/$J$5,NA())</f>
        <v/>
      </c>
      <c r="E66" s="32">
        <f>IFERROR(IF(AND(ISNUMBER($A66),N(IF(AND(AH!$U$12=1,61+1=AH!$U$6),IF(AH!$U$4=0,"unavailable",INDEX('Market Data'!$AN$5:$AN$66,AH!$U$4)),IF(AH!$U$5=1,INDEX('Live History'!$B$5:$B$3004,$K66),INDEX('AH History'!$D$5:$GG$1380,$K66,AH!$U$10))))&gt;0),IF(AND(AH!$U$12=1,61+1=AH!$U$6),IF(AH!$U$4=0,"unavailable",INDEX('Market Data'!$AN$5:$AN$66,AH!$U$4)),IF(AH!$U$5=1,INDEX('Live History'!$B$5:$B$3004,$K66),INDEX('AH History'!$D$5:$GG$1380,$K66,AH!$U$10))),NA()),NA())</f>
        <v/>
      </c>
      <c r="F66" s="32">
        <f>IFERROR(IF(ISNUMBER($A66),IF(AND(AH!$U$12=1,61+1=AH!$U$6),IF(AH!$U$4=0,"unavailable",INDEX('Market Data'!$AO$5:$AO$66,AH!$U$4)),IF(AH!$U$5=1,INDEX('Live History'!$E$5:$E$3004,MATCH($A66,'Live History'!$D$5:$D$3004,1)),INDEX('AH History'!$D$5:$GG$1380,$K66,AH!$U$10+1))),NA()),NA())</f>
        <v/>
      </c>
      <c r="G66" s="34">
        <f>IFERROR(IF(ISNUMBER($A66),IF(AND(AH!$U$12=1,61+1=AH!$U$6),IF(AH!$U$4=0,"unavailable",INDEX('Market Data'!$AK$5:$AK$66,AH!$U$4)),IF(AH!$U$5=1,INDEX('Live History'!$D$5:$D$3004,MATCH($A66,'Live History'!$D$5:$D$3004,1)),INDEX('AH History'!$D$5:$GG$1380,$K66,AH!$U$10+2))),NA()),NA())</f>
        <v/>
      </c>
      <c r="H66" s="266">
        <f>IFERROR(IF(ISNUMBER($A66),IF(AND(AH!$U$12=1,61+1=AH!$U$6),IF(AH!$U$4=0,"unavailable",INDEX('Market Data'!$AP$5:$AP$66,AH!$U$4)),IF(AH!$U$5=1,INDEX('Live History'!$H$5:$H$3004,MATCH($A66,'Live History'!$G$5:$G$3004,1)),INDEX('AH History'!$B$5:$B$1380,$K66))),NA()),NA())</f>
        <v/>
      </c>
      <c r="I66" s="34">
        <f>IFERROR(IF(ISNUMBER($A66),IF(AND(AH!$U$12=1,61+1=AH!$U$6),TODAY(),IF(AH!$U$5=1,INDEX('Live History'!$G$5:$G$3004,MATCH($A66,'Live History'!$G$5:$G$3004,1)),INDEX('AH History'!$C$5:$C$1380,$K66))),NA()),NA())</f>
        <v/>
      </c>
      <c r="J66" s="32">
        <f>IFERROR(IF(AND($F66&gt;0,$H66&gt;0,$A66-$G66&lt;=10,$A66-$I66&lt;=5,$G66&gt;0,$I66&gt;0),$F66*$H66,NA()),NA())</f>
        <v/>
      </c>
      <c r="K66" s="15">
        <f>IF($A66="","",IF(AH!$U$5=1,IFERROR(MATCH($A66,'Live History'!$A$5:$A$3004,0),0),AH!$U$7+61))</f>
        <v/>
      </c>
      <c r="L66" s="15">
        <f>IF(ISNUMBER(A66),TEXT(A66,"dd-mmm-yy"),"")</f>
        <v/>
      </c>
      <c r="M66" s="3" t="n"/>
      <c r="N66" s="3" t="n"/>
      <c r="O66" s="3" t="n"/>
    </row>
    <row r="67" ht="22" customHeight="1">
      <c r="A67" s="14">
        <f>IF(OR(AH!$U$4=0,62+1&gt;AH!$U$6,AND(AH!$M$5="Bloomberg",AH!$U$5=0)),"",IFERROR(IF(AND(AH!$U$12=1,62+1=AH!$U$6),TODAY(),IF(AH!$U$5=1,INDEX('Live History'!$A$5:$A$3004,AH!$U$7+62),INDEX('AH History'!$A$5:$A$1380,AH!$U$7+62))),""))</f>
        <v/>
      </c>
      <c r="B67" s="33">
        <f>IFERROR(IF(AH!$U$11=1,NA(),$J67/$E67-1),NA())</f>
        <v/>
      </c>
      <c r="C67" s="269">
        <f>IFERROR(100*$E67/$E$5,NA())</f>
        <v/>
      </c>
      <c r="D67" s="269">
        <f>IFERROR(100*$J67/$J$5,NA())</f>
        <v/>
      </c>
      <c r="E67" s="32">
        <f>IFERROR(IF(AND(ISNUMBER($A67),N(IF(AND(AH!$U$12=1,62+1=AH!$U$6),IF(AH!$U$4=0,"unavailable",INDEX('Market Data'!$AN$5:$AN$66,AH!$U$4)),IF(AH!$U$5=1,INDEX('Live History'!$B$5:$B$3004,$K67),INDEX('AH History'!$D$5:$GG$1380,$K67,AH!$U$10))))&gt;0),IF(AND(AH!$U$12=1,62+1=AH!$U$6),IF(AH!$U$4=0,"unavailable",INDEX('Market Data'!$AN$5:$AN$66,AH!$U$4)),IF(AH!$U$5=1,INDEX('Live History'!$B$5:$B$3004,$K67),INDEX('AH History'!$D$5:$GG$1380,$K67,AH!$U$10))),NA()),NA())</f>
        <v/>
      </c>
      <c r="F67" s="32">
        <f>IFERROR(IF(ISNUMBER($A67),IF(AND(AH!$U$12=1,62+1=AH!$U$6),IF(AH!$U$4=0,"unavailable",INDEX('Market Data'!$AO$5:$AO$66,AH!$U$4)),IF(AH!$U$5=1,INDEX('Live History'!$E$5:$E$3004,MATCH($A67,'Live History'!$D$5:$D$3004,1)),INDEX('AH History'!$D$5:$GG$1380,$K67,AH!$U$10+1))),NA()),NA())</f>
        <v/>
      </c>
      <c r="G67" s="34">
        <f>IFERROR(IF(ISNUMBER($A67),IF(AND(AH!$U$12=1,62+1=AH!$U$6),IF(AH!$U$4=0,"unavailable",INDEX('Market Data'!$AK$5:$AK$66,AH!$U$4)),IF(AH!$U$5=1,INDEX('Live History'!$D$5:$D$3004,MATCH($A67,'Live History'!$D$5:$D$3004,1)),INDEX('AH History'!$D$5:$GG$1380,$K67,AH!$U$10+2))),NA()),NA())</f>
        <v/>
      </c>
      <c r="H67" s="266">
        <f>IFERROR(IF(ISNUMBER($A67),IF(AND(AH!$U$12=1,62+1=AH!$U$6),IF(AH!$U$4=0,"unavailable",INDEX('Market Data'!$AP$5:$AP$66,AH!$U$4)),IF(AH!$U$5=1,INDEX('Live History'!$H$5:$H$3004,MATCH($A67,'Live History'!$G$5:$G$3004,1)),INDEX('AH History'!$B$5:$B$1380,$K67))),NA()),NA())</f>
        <v/>
      </c>
      <c r="I67" s="34">
        <f>IFERROR(IF(ISNUMBER($A67),IF(AND(AH!$U$12=1,62+1=AH!$U$6),TODAY(),IF(AH!$U$5=1,INDEX('Live History'!$G$5:$G$3004,MATCH($A67,'Live History'!$G$5:$G$3004,1)),INDEX('AH History'!$C$5:$C$1380,$K67))),NA()),NA())</f>
        <v/>
      </c>
      <c r="J67" s="32">
        <f>IFERROR(IF(AND($F67&gt;0,$H67&gt;0,$A67-$G67&lt;=10,$A67-$I67&lt;=5,$G67&gt;0,$I67&gt;0),$F67*$H67,NA()),NA())</f>
        <v/>
      </c>
      <c r="K67" s="15">
        <f>IF($A67="","",IF(AH!$U$5=1,IFERROR(MATCH($A67,'Live History'!$A$5:$A$3004,0),0),AH!$U$7+62))</f>
        <v/>
      </c>
      <c r="L67" s="15">
        <f>IF(ISNUMBER(A67),TEXT(A67,"dd-mmm-yy"),"")</f>
        <v/>
      </c>
      <c r="M67" s="3" t="n"/>
      <c r="N67" s="3" t="n"/>
      <c r="O67" s="3" t="n"/>
    </row>
    <row r="68" ht="22" customHeight="1">
      <c r="A68" s="14">
        <f>IF(OR(AH!$U$4=0,63+1&gt;AH!$U$6,AND(AH!$M$5="Bloomberg",AH!$U$5=0)),"",IFERROR(IF(AND(AH!$U$12=1,63+1=AH!$U$6),TODAY(),IF(AH!$U$5=1,INDEX('Live History'!$A$5:$A$3004,AH!$U$7+63),INDEX('AH History'!$A$5:$A$1380,AH!$U$7+63))),""))</f>
        <v/>
      </c>
      <c r="B68" s="33">
        <f>IFERROR(IF(AH!$U$11=1,NA(),$J68/$E68-1),NA())</f>
        <v/>
      </c>
      <c r="C68" s="269">
        <f>IFERROR(100*$E68/$E$5,NA())</f>
        <v/>
      </c>
      <c r="D68" s="269">
        <f>IFERROR(100*$J68/$J$5,NA())</f>
        <v/>
      </c>
      <c r="E68" s="32">
        <f>IFERROR(IF(AND(ISNUMBER($A68),N(IF(AND(AH!$U$12=1,63+1=AH!$U$6),IF(AH!$U$4=0,"unavailable",INDEX('Market Data'!$AN$5:$AN$66,AH!$U$4)),IF(AH!$U$5=1,INDEX('Live History'!$B$5:$B$3004,$K68),INDEX('AH History'!$D$5:$GG$1380,$K68,AH!$U$10))))&gt;0),IF(AND(AH!$U$12=1,63+1=AH!$U$6),IF(AH!$U$4=0,"unavailable",INDEX('Market Data'!$AN$5:$AN$66,AH!$U$4)),IF(AH!$U$5=1,INDEX('Live History'!$B$5:$B$3004,$K68),INDEX('AH History'!$D$5:$GG$1380,$K68,AH!$U$10))),NA()),NA())</f>
        <v/>
      </c>
      <c r="F68" s="32">
        <f>IFERROR(IF(ISNUMBER($A68),IF(AND(AH!$U$12=1,63+1=AH!$U$6),IF(AH!$U$4=0,"unavailable",INDEX('Market Data'!$AO$5:$AO$66,AH!$U$4)),IF(AH!$U$5=1,INDEX('Live History'!$E$5:$E$3004,MATCH($A68,'Live History'!$D$5:$D$3004,1)),INDEX('AH History'!$D$5:$GG$1380,$K68,AH!$U$10+1))),NA()),NA())</f>
        <v/>
      </c>
      <c r="G68" s="34">
        <f>IFERROR(IF(ISNUMBER($A68),IF(AND(AH!$U$12=1,63+1=AH!$U$6),IF(AH!$U$4=0,"unavailable",INDEX('Market Data'!$AK$5:$AK$66,AH!$U$4)),IF(AH!$U$5=1,INDEX('Live History'!$D$5:$D$3004,MATCH($A68,'Live History'!$D$5:$D$3004,1)),INDEX('AH History'!$D$5:$GG$1380,$K68,AH!$U$10+2))),NA()),NA())</f>
        <v/>
      </c>
      <c r="H68" s="266">
        <f>IFERROR(IF(ISNUMBER($A68),IF(AND(AH!$U$12=1,63+1=AH!$U$6),IF(AH!$U$4=0,"unavailable",INDEX('Market Data'!$AP$5:$AP$66,AH!$U$4)),IF(AH!$U$5=1,INDEX('Live History'!$H$5:$H$3004,MATCH($A68,'Live History'!$G$5:$G$3004,1)),INDEX('AH History'!$B$5:$B$1380,$K68))),NA()),NA())</f>
        <v/>
      </c>
      <c r="I68" s="34">
        <f>IFERROR(IF(ISNUMBER($A68),IF(AND(AH!$U$12=1,63+1=AH!$U$6),TODAY(),IF(AH!$U$5=1,INDEX('Live History'!$G$5:$G$3004,MATCH($A68,'Live History'!$G$5:$G$3004,1)),INDEX('AH History'!$C$5:$C$1380,$K68))),NA()),NA())</f>
        <v/>
      </c>
      <c r="J68" s="32">
        <f>IFERROR(IF(AND($F68&gt;0,$H68&gt;0,$A68-$G68&lt;=10,$A68-$I68&lt;=5,$G68&gt;0,$I68&gt;0),$F68*$H68,NA()),NA())</f>
        <v/>
      </c>
      <c r="K68" s="15">
        <f>IF($A68="","",IF(AH!$U$5=1,IFERROR(MATCH($A68,'Live History'!$A$5:$A$3004,0),0),AH!$U$7+63))</f>
        <v/>
      </c>
      <c r="L68" s="15">
        <f>IF(ISNUMBER(A68),TEXT(A68,"dd-mmm-yy"),"")</f>
        <v/>
      </c>
      <c r="M68" s="3" t="n"/>
      <c r="N68" s="3" t="n"/>
      <c r="O68" s="3" t="n"/>
    </row>
    <row r="69" ht="22" customHeight="1">
      <c r="A69" s="14">
        <f>IF(OR(AH!$U$4=0,64+1&gt;AH!$U$6,AND(AH!$M$5="Bloomberg",AH!$U$5=0)),"",IFERROR(IF(AND(AH!$U$12=1,64+1=AH!$U$6),TODAY(),IF(AH!$U$5=1,INDEX('Live History'!$A$5:$A$3004,AH!$U$7+64),INDEX('AH History'!$A$5:$A$1380,AH!$U$7+64))),""))</f>
        <v/>
      </c>
      <c r="B69" s="33">
        <f>IFERROR(IF(AH!$U$11=1,NA(),$J69/$E69-1),NA())</f>
        <v/>
      </c>
      <c r="C69" s="269">
        <f>IFERROR(100*$E69/$E$5,NA())</f>
        <v/>
      </c>
      <c r="D69" s="269">
        <f>IFERROR(100*$J69/$J$5,NA())</f>
        <v/>
      </c>
      <c r="E69" s="32">
        <f>IFERROR(IF(AND(ISNUMBER($A69),N(IF(AND(AH!$U$12=1,64+1=AH!$U$6),IF(AH!$U$4=0,"unavailable",INDEX('Market Data'!$AN$5:$AN$66,AH!$U$4)),IF(AH!$U$5=1,INDEX('Live History'!$B$5:$B$3004,$K69),INDEX('AH History'!$D$5:$GG$1380,$K69,AH!$U$10))))&gt;0),IF(AND(AH!$U$12=1,64+1=AH!$U$6),IF(AH!$U$4=0,"unavailable",INDEX('Market Data'!$AN$5:$AN$66,AH!$U$4)),IF(AH!$U$5=1,INDEX('Live History'!$B$5:$B$3004,$K69),INDEX('AH History'!$D$5:$GG$1380,$K69,AH!$U$10))),NA()),NA())</f>
        <v/>
      </c>
      <c r="F69" s="32">
        <f>IFERROR(IF(ISNUMBER($A69),IF(AND(AH!$U$12=1,64+1=AH!$U$6),IF(AH!$U$4=0,"unavailable",INDEX('Market Data'!$AO$5:$AO$66,AH!$U$4)),IF(AH!$U$5=1,INDEX('Live History'!$E$5:$E$3004,MATCH($A69,'Live History'!$D$5:$D$3004,1)),INDEX('AH History'!$D$5:$GG$1380,$K69,AH!$U$10+1))),NA()),NA())</f>
        <v/>
      </c>
      <c r="G69" s="34">
        <f>IFERROR(IF(ISNUMBER($A69),IF(AND(AH!$U$12=1,64+1=AH!$U$6),IF(AH!$U$4=0,"unavailable",INDEX('Market Data'!$AK$5:$AK$66,AH!$U$4)),IF(AH!$U$5=1,INDEX('Live History'!$D$5:$D$3004,MATCH($A69,'Live History'!$D$5:$D$3004,1)),INDEX('AH History'!$D$5:$GG$1380,$K69,AH!$U$10+2))),NA()),NA())</f>
        <v/>
      </c>
      <c r="H69" s="266">
        <f>IFERROR(IF(ISNUMBER($A69),IF(AND(AH!$U$12=1,64+1=AH!$U$6),IF(AH!$U$4=0,"unavailable",INDEX('Market Data'!$AP$5:$AP$66,AH!$U$4)),IF(AH!$U$5=1,INDEX('Live History'!$H$5:$H$3004,MATCH($A69,'Live History'!$G$5:$G$3004,1)),INDEX('AH History'!$B$5:$B$1380,$K69))),NA()),NA())</f>
        <v/>
      </c>
      <c r="I69" s="34">
        <f>IFERROR(IF(ISNUMBER($A69),IF(AND(AH!$U$12=1,64+1=AH!$U$6),TODAY(),IF(AH!$U$5=1,INDEX('Live History'!$G$5:$G$3004,MATCH($A69,'Live History'!$G$5:$G$3004,1)),INDEX('AH History'!$C$5:$C$1380,$K69))),NA()),NA())</f>
        <v/>
      </c>
      <c r="J69" s="32">
        <f>IFERROR(IF(AND($F69&gt;0,$H69&gt;0,$A69-$G69&lt;=10,$A69-$I69&lt;=5,$G69&gt;0,$I69&gt;0),$F69*$H69,NA()),NA())</f>
        <v/>
      </c>
      <c r="K69" s="15">
        <f>IF($A69="","",IF(AH!$U$5=1,IFERROR(MATCH($A69,'Live History'!$A$5:$A$3004,0),0),AH!$U$7+64))</f>
        <v/>
      </c>
      <c r="L69" s="15">
        <f>IF(ISNUMBER(A69),TEXT(A69,"dd-mmm-yy"),"")</f>
        <v/>
      </c>
      <c r="M69" s="3" t="n"/>
      <c r="N69" s="3" t="n"/>
      <c r="O69" s="3" t="n"/>
    </row>
    <row r="70" ht="22" customHeight="1">
      <c r="A70" s="14">
        <f>IF(OR(AH!$U$4=0,65+1&gt;AH!$U$6,AND(AH!$M$5="Bloomberg",AH!$U$5=0)),"",IFERROR(IF(AND(AH!$U$12=1,65+1=AH!$U$6),TODAY(),IF(AH!$U$5=1,INDEX('Live History'!$A$5:$A$3004,AH!$U$7+65),INDEX('AH History'!$A$5:$A$1380,AH!$U$7+65))),""))</f>
        <v/>
      </c>
      <c r="B70" s="33">
        <f>IFERROR(IF(AH!$U$11=1,NA(),$J70/$E70-1),NA())</f>
        <v/>
      </c>
      <c r="C70" s="269">
        <f>IFERROR(100*$E70/$E$5,NA())</f>
        <v/>
      </c>
      <c r="D70" s="269">
        <f>IFERROR(100*$J70/$J$5,NA())</f>
        <v/>
      </c>
      <c r="E70" s="32">
        <f>IFERROR(IF(AND(ISNUMBER($A70),N(IF(AND(AH!$U$12=1,65+1=AH!$U$6),IF(AH!$U$4=0,"unavailable",INDEX('Market Data'!$AN$5:$AN$66,AH!$U$4)),IF(AH!$U$5=1,INDEX('Live History'!$B$5:$B$3004,$K70),INDEX('AH History'!$D$5:$GG$1380,$K70,AH!$U$10))))&gt;0),IF(AND(AH!$U$12=1,65+1=AH!$U$6),IF(AH!$U$4=0,"unavailable",INDEX('Market Data'!$AN$5:$AN$66,AH!$U$4)),IF(AH!$U$5=1,INDEX('Live History'!$B$5:$B$3004,$K70),INDEX('AH History'!$D$5:$GG$1380,$K70,AH!$U$10))),NA()),NA())</f>
        <v/>
      </c>
      <c r="F70" s="32">
        <f>IFERROR(IF(ISNUMBER($A70),IF(AND(AH!$U$12=1,65+1=AH!$U$6),IF(AH!$U$4=0,"unavailable",INDEX('Market Data'!$AO$5:$AO$66,AH!$U$4)),IF(AH!$U$5=1,INDEX('Live History'!$E$5:$E$3004,MATCH($A70,'Live History'!$D$5:$D$3004,1)),INDEX('AH History'!$D$5:$GG$1380,$K70,AH!$U$10+1))),NA()),NA())</f>
        <v/>
      </c>
      <c r="G70" s="34">
        <f>IFERROR(IF(ISNUMBER($A70),IF(AND(AH!$U$12=1,65+1=AH!$U$6),IF(AH!$U$4=0,"unavailable",INDEX('Market Data'!$AK$5:$AK$66,AH!$U$4)),IF(AH!$U$5=1,INDEX('Live History'!$D$5:$D$3004,MATCH($A70,'Live History'!$D$5:$D$3004,1)),INDEX('AH History'!$D$5:$GG$1380,$K70,AH!$U$10+2))),NA()),NA())</f>
        <v/>
      </c>
      <c r="H70" s="266">
        <f>IFERROR(IF(ISNUMBER($A70),IF(AND(AH!$U$12=1,65+1=AH!$U$6),IF(AH!$U$4=0,"unavailable",INDEX('Market Data'!$AP$5:$AP$66,AH!$U$4)),IF(AH!$U$5=1,INDEX('Live History'!$H$5:$H$3004,MATCH($A70,'Live History'!$G$5:$G$3004,1)),INDEX('AH History'!$B$5:$B$1380,$K70))),NA()),NA())</f>
        <v/>
      </c>
      <c r="I70" s="34">
        <f>IFERROR(IF(ISNUMBER($A70),IF(AND(AH!$U$12=1,65+1=AH!$U$6),TODAY(),IF(AH!$U$5=1,INDEX('Live History'!$G$5:$G$3004,MATCH($A70,'Live History'!$G$5:$G$3004,1)),INDEX('AH History'!$C$5:$C$1380,$K70))),NA()),NA())</f>
        <v/>
      </c>
      <c r="J70" s="32">
        <f>IFERROR(IF(AND($F70&gt;0,$H70&gt;0,$A70-$G70&lt;=10,$A70-$I70&lt;=5,$G70&gt;0,$I70&gt;0),$F70*$H70,NA()),NA())</f>
        <v/>
      </c>
      <c r="K70" s="15">
        <f>IF($A70="","",IF(AH!$U$5=1,IFERROR(MATCH($A70,'Live History'!$A$5:$A$3004,0),0),AH!$U$7+65))</f>
        <v/>
      </c>
      <c r="L70" s="15">
        <f>IF(ISNUMBER(A70),TEXT(A70,"dd-mmm-yy"),"")</f>
        <v/>
      </c>
      <c r="M70" s="3" t="n"/>
      <c r="N70" s="3" t="n"/>
      <c r="O70" s="3" t="n"/>
    </row>
    <row r="71" ht="22" customHeight="1">
      <c r="A71" s="14">
        <f>IF(OR(AH!$U$4=0,66+1&gt;AH!$U$6,AND(AH!$M$5="Bloomberg",AH!$U$5=0)),"",IFERROR(IF(AND(AH!$U$12=1,66+1=AH!$U$6),TODAY(),IF(AH!$U$5=1,INDEX('Live History'!$A$5:$A$3004,AH!$U$7+66),INDEX('AH History'!$A$5:$A$1380,AH!$U$7+66))),""))</f>
        <v/>
      </c>
      <c r="B71" s="33">
        <f>IFERROR(IF(AH!$U$11=1,NA(),$J71/$E71-1),NA())</f>
        <v/>
      </c>
      <c r="C71" s="269">
        <f>IFERROR(100*$E71/$E$5,NA())</f>
        <v/>
      </c>
      <c r="D71" s="269">
        <f>IFERROR(100*$J71/$J$5,NA())</f>
        <v/>
      </c>
      <c r="E71" s="32">
        <f>IFERROR(IF(AND(ISNUMBER($A71),N(IF(AND(AH!$U$12=1,66+1=AH!$U$6),IF(AH!$U$4=0,"unavailable",INDEX('Market Data'!$AN$5:$AN$66,AH!$U$4)),IF(AH!$U$5=1,INDEX('Live History'!$B$5:$B$3004,$K71),INDEX('AH History'!$D$5:$GG$1380,$K71,AH!$U$10))))&gt;0),IF(AND(AH!$U$12=1,66+1=AH!$U$6),IF(AH!$U$4=0,"unavailable",INDEX('Market Data'!$AN$5:$AN$66,AH!$U$4)),IF(AH!$U$5=1,INDEX('Live History'!$B$5:$B$3004,$K71),INDEX('AH History'!$D$5:$GG$1380,$K71,AH!$U$10))),NA()),NA())</f>
        <v/>
      </c>
      <c r="F71" s="32">
        <f>IFERROR(IF(ISNUMBER($A71),IF(AND(AH!$U$12=1,66+1=AH!$U$6),IF(AH!$U$4=0,"unavailable",INDEX('Market Data'!$AO$5:$AO$66,AH!$U$4)),IF(AH!$U$5=1,INDEX('Live History'!$E$5:$E$3004,MATCH($A71,'Live History'!$D$5:$D$3004,1)),INDEX('AH History'!$D$5:$GG$1380,$K71,AH!$U$10+1))),NA()),NA())</f>
        <v/>
      </c>
      <c r="G71" s="34">
        <f>IFERROR(IF(ISNUMBER($A71),IF(AND(AH!$U$12=1,66+1=AH!$U$6),IF(AH!$U$4=0,"unavailable",INDEX('Market Data'!$AK$5:$AK$66,AH!$U$4)),IF(AH!$U$5=1,INDEX('Live History'!$D$5:$D$3004,MATCH($A71,'Live History'!$D$5:$D$3004,1)),INDEX('AH History'!$D$5:$GG$1380,$K71,AH!$U$10+2))),NA()),NA())</f>
        <v/>
      </c>
      <c r="H71" s="266">
        <f>IFERROR(IF(ISNUMBER($A71),IF(AND(AH!$U$12=1,66+1=AH!$U$6),IF(AH!$U$4=0,"unavailable",INDEX('Market Data'!$AP$5:$AP$66,AH!$U$4)),IF(AH!$U$5=1,INDEX('Live History'!$H$5:$H$3004,MATCH($A71,'Live History'!$G$5:$G$3004,1)),INDEX('AH History'!$B$5:$B$1380,$K71))),NA()),NA())</f>
        <v/>
      </c>
      <c r="I71" s="34">
        <f>IFERROR(IF(ISNUMBER($A71),IF(AND(AH!$U$12=1,66+1=AH!$U$6),TODAY(),IF(AH!$U$5=1,INDEX('Live History'!$G$5:$G$3004,MATCH($A71,'Live History'!$G$5:$G$3004,1)),INDEX('AH History'!$C$5:$C$1380,$K71))),NA()),NA())</f>
        <v/>
      </c>
      <c r="J71" s="32">
        <f>IFERROR(IF(AND($F71&gt;0,$H71&gt;0,$A71-$G71&lt;=10,$A71-$I71&lt;=5,$G71&gt;0,$I71&gt;0),$F71*$H71,NA()),NA())</f>
        <v/>
      </c>
      <c r="K71" s="15">
        <f>IF($A71="","",IF(AH!$U$5=1,IFERROR(MATCH($A71,'Live History'!$A$5:$A$3004,0),0),AH!$U$7+66))</f>
        <v/>
      </c>
      <c r="L71" s="15">
        <f>IF(ISNUMBER(A71),TEXT(A71,"dd-mmm-yy"),"")</f>
        <v/>
      </c>
      <c r="M71" s="3" t="n"/>
      <c r="N71" s="3" t="n"/>
      <c r="O71" s="3" t="n"/>
    </row>
    <row r="72" ht="22" customHeight="1">
      <c r="A72" s="14">
        <f>IF(OR(AH!$U$4=0,67+1&gt;AH!$U$6,AND(AH!$M$5="Bloomberg",AH!$U$5=0)),"",IFERROR(IF(AND(AH!$U$12=1,67+1=AH!$U$6),TODAY(),IF(AH!$U$5=1,INDEX('Live History'!$A$5:$A$3004,AH!$U$7+67),INDEX('AH History'!$A$5:$A$1380,AH!$U$7+67))),""))</f>
        <v/>
      </c>
      <c r="B72" s="33">
        <f>IFERROR(IF(AH!$U$11=1,NA(),$J72/$E72-1),NA())</f>
        <v/>
      </c>
      <c r="C72" s="269">
        <f>IFERROR(100*$E72/$E$5,NA())</f>
        <v/>
      </c>
      <c r="D72" s="269">
        <f>IFERROR(100*$J72/$J$5,NA())</f>
        <v/>
      </c>
      <c r="E72" s="32">
        <f>IFERROR(IF(AND(ISNUMBER($A72),N(IF(AND(AH!$U$12=1,67+1=AH!$U$6),IF(AH!$U$4=0,"unavailable",INDEX('Market Data'!$AN$5:$AN$66,AH!$U$4)),IF(AH!$U$5=1,INDEX('Live History'!$B$5:$B$3004,$K72),INDEX('AH History'!$D$5:$GG$1380,$K72,AH!$U$10))))&gt;0),IF(AND(AH!$U$12=1,67+1=AH!$U$6),IF(AH!$U$4=0,"unavailable",INDEX('Market Data'!$AN$5:$AN$66,AH!$U$4)),IF(AH!$U$5=1,INDEX('Live History'!$B$5:$B$3004,$K72),INDEX('AH History'!$D$5:$GG$1380,$K72,AH!$U$10))),NA()),NA())</f>
        <v/>
      </c>
      <c r="F72" s="32">
        <f>IFERROR(IF(ISNUMBER($A72),IF(AND(AH!$U$12=1,67+1=AH!$U$6),IF(AH!$U$4=0,"unavailable",INDEX('Market Data'!$AO$5:$AO$66,AH!$U$4)),IF(AH!$U$5=1,INDEX('Live History'!$E$5:$E$3004,MATCH($A72,'Live History'!$D$5:$D$3004,1)),INDEX('AH History'!$D$5:$GG$1380,$K72,AH!$U$10+1))),NA()),NA())</f>
        <v/>
      </c>
      <c r="G72" s="34">
        <f>IFERROR(IF(ISNUMBER($A72),IF(AND(AH!$U$12=1,67+1=AH!$U$6),IF(AH!$U$4=0,"unavailable",INDEX('Market Data'!$AK$5:$AK$66,AH!$U$4)),IF(AH!$U$5=1,INDEX('Live History'!$D$5:$D$3004,MATCH($A72,'Live History'!$D$5:$D$3004,1)),INDEX('AH History'!$D$5:$GG$1380,$K72,AH!$U$10+2))),NA()),NA())</f>
        <v/>
      </c>
      <c r="H72" s="266">
        <f>IFERROR(IF(ISNUMBER($A72),IF(AND(AH!$U$12=1,67+1=AH!$U$6),IF(AH!$U$4=0,"unavailable",INDEX('Market Data'!$AP$5:$AP$66,AH!$U$4)),IF(AH!$U$5=1,INDEX('Live History'!$H$5:$H$3004,MATCH($A72,'Live History'!$G$5:$G$3004,1)),INDEX('AH History'!$B$5:$B$1380,$K72))),NA()),NA())</f>
        <v/>
      </c>
      <c r="I72" s="34">
        <f>IFERROR(IF(ISNUMBER($A72),IF(AND(AH!$U$12=1,67+1=AH!$U$6),TODAY(),IF(AH!$U$5=1,INDEX('Live History'!$G$5:$G$3004,MATCH($A72,'Live History'!$G$5:$G$3004,1)),INDEX('AH History'!$C$5:$C$1380,$K72))),NA()),NA())</f>
        <v/>
      </c>
      <c r="J72" s="32">
        <f>IFERROR(IF(AND($F72&gt;0,$H72&gt;0,$A72-$G72&lt;=10,$A72-$I72&lt;=5,$G72&gt;0,$I72&gt;0),$F72*$H72,NA()),NA())</f>
        <v/>
      </c>
      <c r="K72" s="15">
        <f>IF($A72="","",IF(AH!$U$5=1,IFERROR(MATCH($A72,'Live History'!$A$5:$A$3004,0),0),AH!$U$7+67))</f>
        <v/>
      </c>
      <c r="L72" s="15">
        <f>IF(ISNUMBER(A72),TEXT(A72,"dd-mmm-yy"),"")</f>
        <v/>
      </c>
      <c r="M72" s="3" t="n"/>
      <c r="N72" s="3" t="n"/>
      <c r="O72" s="3" t="n"/>
    </row>
    <row r="73" ht="22" customHeight="1">
      <c r="A73" s="14">
        <f>IF(OR(AH!$U$4=0,68+1&gt;AH!$U$6,AND(AH!$M$5="Bloomberg",AH!$U$5=0)),"",IFERROR(IF(AND(AH!$U$12=1,68+1=AH!$U$6),TODAY(),IF(AH!$U$5=1,INDEX('Live History'!$A$5:$A$3004,AH!$U$7+68),INDEX('AH History'!$A$5:$A$1380,AH!$U$7+68))),""))</f>
        <v/>
      </c>
      <c r="B73" s="33">
        <f>IFERROR(IF(AH!$U$11=1,NA(),$J73/$E73-1),NA())</f>
        <v/>
      </c>
      <c r="C73" s="269">
        <f>IFERROR(100*$E73/$E$5,NA())</f>
        <v/>
      </c>
      <c r="D73" s="269">
        <f>IFERROR(100*$J73/$J$5,NA())</f>
        <v/>
      </c>
      <c r="E73" s="32">
        <f>IFERROR(IF(AND(ISNUMBER($A73),N(IF(AND(AH!$U$12=1,68+1=AH!$U$6),IF(AH!$U$4=0,"unavailable",INDEX('Market Data'!$AN$5:$AN$66,AH!$U$4)),IF(AH!$U$5=1,INDEX('Live History'!$B$5:$B$3004,$K73),INDEX('AH History'!$D$5:$GG$1380,$K73,AH!$U$10))))&gt;0),IF(AND(AH!$U$12=1,68+1=AH!$U$6),IF(AH!$U$4=0,"unavailable",INDEX('Market Data'!$AN$5:$AN$66,AH!$U$4)),IF(AH!$U$5=1,INDEX('Live History'!$B$5:$B$3004,$K73),INDEX('AH History'!$D$5:$GG$1380,$K73,AH!$U$10))),NA()),NA())</f>
        <v/>
      </c>
      <c r="F73" s="32">
        <f>IFERROR(IF(ISNUMBER($A73),IF(AND(AH!$U$12=1,68+1=AH!$U$6),IF(AH!$U$4=0,"unavailable",INDEX('Market Data'!$AO$5:$AO$66,AH!$U$4)),IF(AH!$U$5=1,INDEX('Live History'!$E$5:$E$3004,MATCH($A73,'Live History'!$D$5:$D$3004,1)),INDEX('AH History'!$D$5:$GG$1380,$K73,AH!$U$10+1))),NA()),NA())</f>
        <v/>
      </c>
      <c r="G73" s="34">
        <f>IFERROR(IF(ISNUMBER($A73),IF(AND(AH!$U$12=1,68+1=AH!$U$6),IF(AH!$U$4=0,"unavailable",INDEX('Market Data'!$AK$5:$AK$66,AH!$U$4)),IF(AH!$U$5=1,INDEX('Live History'!$D$5:$D$3004,MATCH($A73,'Live History'!$D$5:$D$3004,1)),INDEX('AH History'!$D$5:$GG$1380,$K73,AH!$U$10+2))),NA()),NA())</f>
        <v/>
      </c>
      <c r="H73" s="266">
        <f>IFERROR(IF(ISNUMBER($A73),IF(AND(AH!$U$12=1,68+1=AH!$U$6),IF(AH!$U$4=0,"unavailable",INDEX('Market Data'!$AP$5:$AP$66,AH!$U$4)),IF(AH!$U$5=1,INDEX('Live History'!$H$5:$H$3004,MATCH($A73,'Live History'!$G$5:$G$3004,1)),INDEX('AH History'!$B$5:$B$1380,$K73))),NA()),NA())</f>
        <v/>
      </c>
      <c r="I73" s="34">
        <f>IFERROR(IF(ISNUMBER($A73),IF(AND(AH!$U$12=1,68+1=AH!$U$6),TODAY(),IF(AH!$U$5=1,INDEX('Live History'!$G$5:$G$3004,MATCH($A73,'Live History'!$G$5:$G$3004,1)),INDEX('AH History'!$C$5:$C$1380,$K73))),NA()),NA())</f>
        <v/>
      </c>
      <c r="J73" s="32">
        <f>IFERROR(IF(AND($F73&gt;0,$H73&gt;0,$A73-$G73&lt;=10,$A73-$I73&lt;=5,$G73&gt;0,$I73&gt;0),$F73*$H73,NA()),NA())</f>
        <v/>
      </c>
      <c r="K73" s="15">
        <f>IF($A73="","",IF(AH!$U$5=1,IFERROR(MATCH($A73,'Live History'!$A$5:$A$3004,0),0),AH!$U$7+68))</f>
        <v/>
      </c>
      <c r="L73" s="15">
        <f>IF(ISNUMBER(A73),TEXT(A73,"dd-mmm-yy"),"")</f>
        <v/>
      </c>
      <c r="M73" s="3" t="n"/>
      <c r="N73" s="3" t="n"/>
      <c r="O73" s="3" t="n"/>
    </row>
    <row r="74" ht="22" customHeight="1">
      <c r="A74" s="14">
        <f>IF(OR(AH!$U$4=0,69+1&gt;AH!$U$6,AND(AH!$M$5="Bloomberg",AH!$U$5=0)),"",IFERROR(IF(AND(AH!$U$12=1,69+1=AH!$U$6),TODAY(),IF(AH!$U$5=1,INDEX('Live History'!$A$5:$A$3004,AH!$U$7+69),INDEX('AH History'!$A$5:$A$1380,AH!$U$7+69))),""))</f>
        <v/>
      </c>
      <c r="B74" s="33">
        <f>IFERROR(IF(AH!$U$11=1,NA(),$J74/$E74-1),NA())</f>
        <v/>
      </c>
      <c r="C74" s="269">
        <f>IFERROR(100*$E74/$E$5,NA())</f>
        <v/>
      </c>
      <c r="D74" s="269">
        <f>IFERROR(100*$J74/$J$5,NA())</f>
        <v/>
      </c>
      <c r="E74" s="32">
        <f>IFERROR(IF(AND(ISNUMBER($A74),N(IF(AND(AH!$U$12=1,69+1=AH!$U$6),IF(AH!$U$4=0,"unavailable",INDEX('Market Data'!$AN$5:$AN$66,AH!$U$4)),IF(AH!$U$5=1,INDEX('Live History'!$B$5:$B$3004,$K74),INDEX('AH History'!$D$5:$GG$1380,$K74,AH!$U$10))))&gt;0),IF(AND(AH!$U$12=1,69+1=AH!$U$6),IF(AH!$U$4=0,"unavailable",INDEX('Market Data'!$AN$5:$AN$66,AH!$U$4)),IF(AH!$U$5=1,INDEX('Live History'!$B$5:$B$3004,$K74),INDEX('AH History'!$D$5:$GG$1380,$K74,AH!$U$10))),NA()),NA())</f>
        <v/>
      </c>
      <c r="F74" s="32">
        <f>IFERROR(IF(ISNUMBER($A74),IF(AND(AH!$U$12=1,69+1=AH!$U$6),IF(AH!$U$4=0,"unavailable",INDEX('Market Data'!$AO$5:$AO$66,AH!$U$4)),IF(AH!$U$5=1,INDEX('Live History'!$E$5:$E$3004,MATCH($A74,'Live History'!$D$5:$D$3004,1)),INDEX('AH History'!$D$5:$GG$1380,$K74,AH!$U$10+1))),NA()),NA())</f>
        <v/>
      </c>
      <c r="G74" s="34">
        <f>IFERROR(IF(ISNUMBER($A74),IF(AND(AH!$U$12=1,69+1=AH!$U$6),IF(AH!$U$4=0,"unavailable",INDEX('Market Data'!$AK$5:$AK$66,AH!$U$4)),IF(AH!$U$5=1,INDEX('Live History'!$D$5:$D$3004,MATCH($A74,'Live History'!$D$5:$D$3004,1)),INDEX('AH History'!$D$5:$GG$1380,$K74,AH!$U$10+2))),NA()),NA())</f>
        <v/>
      </c>
      <c r="H74" s="266">
        <f>IFERROR(IF(ISNUMBER($A74),IF(AND(AH!$U$12=1,69+1=AH!$U$6),IF(AH!$U$4=0,"unavailable",INDEX('Market Data'!$AP$5:$AP$66,AH!$U$4)),IF(AH!$U$5=1,INDEX('Live History'!$H$5:$H$3004,MATCH($A74,'Live History'!$G$5:$G$3004,1)),INDEX('AH History'!$B$5:$B$1380,$K74))),NA()),NA())</f>
        <v/>
      </c>
      <c r="I74" s="34">
        <f>IFERROR(IF(ISNUMBER($A74),IF(AND(AH!$U$12=1,69+1=AH!$U$6),TODAY(),IF(AH!$U$5=1,INDEX('Live History'!$G$5:$G$3004,MATCH($A74,'Live History'!$G$5:$G$3004,1)),INDEX('AH History'!$C$5:$C$1380,$K74))),NA()),NA())</f>
        <v/>
      </c>
      <c r="J74" s="32">
        <f>IFERROR(IF(AND($F74&gt;0,$H74&gt;0,$A74-$G74&lt;=10,$A74-$I74&lt;=5,$G74&gt;0,$I74&gt;0),$F74*$H74,NA()),NA())</f>
        <v/>
      </c>
      <c r="K74" s="15">
        <f>IF($A74="","",IF(AH!$U$5=1,IFERROR(MATCH($A74,'Live History'!$A$5:$A$3004,0),0),AH!$U$7+69))</f>
        <v/>
      </c>
      <c r="L74" s="15">
        <f>IF(ISNUMBER(A74),TEXT(A74,"dd-mmm-yy"),"")</f>
        <v/>
      </c>
      <c r="M74" s="3" t="n"/>
      <c r="N74" s="3" t="n"/>
      <c r="O74" s="3" t="n"/>
    </row>
    <row r="75" ht="22" customHeight="1">
      <c r="A75" s="14">
        <f>IF(OR(AH!$U$4=0,70+1&gt;AH!$U$6,AND(AH!$M$5="Bloomberg",AH!$U$5=0)),"",IFERROR(IF(AND(AH!$U$12=1,70+1=AH!$U$6),TODAY(),IF(AH!$U$5=1,INDEX('Live History'!$A$5:$A$3004,AH!$U$7+70),INDEX('AH History'!$A$5:$A$1380,AH!$U$7+70))),""))</f>
        <v/>
      </c>
      <c r="B75" s="33">
        <f>IFERROR(IF(AH!$U$11=1,NA(),$J75/$E75-1),NA())</f>
        <v/>
      </c>
      <c r="C75" s="269">
        <f>IFERROR(100*$E75/$E$5,NA())</f>
        <v/>
      </c>
      <c r="D75" s="269">
        <f>IFERROR(100*$J75/$J$5,NA())</f>
        <v/>
      </c>
      <c r="E75" s="32">
        <f>IFERROR(IF(AND(ISNUMBER($A75),N(IF(AND(AH!$U$12=1,70+1=AH!$U$6),IF(AH!$U$4=0,"unavailable",INDEX('Market Data'!$AN$5:$AN$66,AH!$U$4)),IF(AH!$U$5=1,INDEX('Live History'!$B$5:$B$3004,$K75),INDEX('AH History'!$D$5:$GG$1380,$K75,AH!$U$10))))&gt;0),IF(AND(AH!$U$12=1,70+1=AH!$U$6),IF(AH!$U$4=0,"unavailable",INDEX('Market Data'!$AN$5:$AN$66,AH!$U$4)),IF(AH!$U$5=1,INDEX('Live History'!$B$5:$B$3004,$K75),INDEX('AH History'!$D$5:$GG$1380,$K75,AH!$U$10))),NA()),NA())</f>
        <v/>
      </c>
      <c r="F75" s="32">
        <f>IFERROR(IF(ISNUMBER($A75),IF(AND(AH!$U$12=1,70+1=AH!$U$6),IF(AH!$U$4=0,"unavailable",INDEX('Market Data'!$AO$5:$AO$66,AH!$U$4)),IF(AH!$U$5=1,INDEX('Live History'!$E$5:$E$3004,MATCH($A75,'Live History'!$D$5:$D$3004,1)),INDEX('AH History'!$D$5:$GG$1380,$K75,AH!$U$10+1))),NA()),NA())</f>
        <v/>
      </c>
      <c r="G75" s="34">
        <f>IFERROR(IF(ISNUMBER($A75),IF(AND(AH!$U$12=1,70+1=AH!$U$6),IF(AH!$U$4=0,"unavailable",INDEX('Market Data'!$AK$5:$AK$66,AH!$U$4)),IF(AH!$U$5=1,INDEX('Live History'!$D$5:$D$3004,MATCH($A75,'Live History'!$D$5:$D$3004,1)),INDEX('AH History'!$D$5:$GG$1380,$K75,AH!$U$10+2))),NA()),NA())</f>
        <v/>
      </c>
      <c r="H75" s="266">
        <f>IFERROR(IF(ISNUMBER($A75),IF(AND(AH!$U$12=1,70+1=AH!$U$6),IF(AH!$U$4=0,"unavailable",INDEX('Market Data'!$AP$5:$AP$66,AH!$U$4)),IF(AH!$U$5=1,INDEX('Live History'!$H$5:$H$3004,MATCH($A75,'Live History'!$G$5:$G$3004,1)),INDEX('AH History'!$B$5:$B$1380,$K75))),NA()),NA())</f>
        <v/>
      </c>
      <c r="I75" s="34">
        <f>IFERROR(IF(ISNUMBER($A75),IF(AND(AH!$U$12=1,70+1=AH!$U$6),TODAY(),IF(AH!$U$5=1,INDEX('Live History'!$G$5:$G$3004,MATCH($A75,'Live History'!$G$5:$G$3004,1)),INDEX('AH History'!$C$5:$C$1380,$K75))),NA()),NA())</f>
        <v/>
      </c>
      <c r="J75" s="32">
        <f>IFERROR(IF(AND($F75&gt;0,$H75&gt;0,$A75-$G75&lt;=10,$A75-$I75&lt;=5,$G75&gt;0,$I75&gt;0),$F75*$H75,NA()),NA())</f>
        <v/>
      </c>
      <c r="K75" s="15">
        <f>IF($A75="","",IF(AH!$U$5=1,IFERROR(MATCH($A75,'Live History'!$A$5:$A$3004,0),0),AH!$U$7+70))</f>
        <v/>
      </c>
      <c r="L75" s="15">
        <f>IF(ISNUMBER(A75),TEXT(A75,"dd-mmm-yy"),"")</f>
        <v/>
      </c>
      <c r="M75" s="3" t="n"/>
      <c r="N75" s="3" t="n"/>
      <c r="O75" s="3" t="n"/>
    </row>
    <row r="76" ht="22" customHeight="1">
      <c r="A76" s="14">
        <f>IF(OR(AH!$U$4=0,71+1&gt;AH!$U$6,AND(AH!$M$5="Bloomberg",AH!$U$5=0)),"",IFERROR(IF(AND(AH!$U$12=1,71+1=AH!$U$6),TODAY(),IF(AH!$U$5=1,INDEX('Live History'!$A$5:$A$3004,AH!$U$7+71),INDEX('AH History'!$A$5:$A$1380,AH!$U$7+71))),""))</f>
        <v/>
      </c>
      <c r="B76" s="33">
        <f>IFERROR(IF(AH!$U$11=1,NA(),$J76/$E76-1),NA())</f>
        <v/>
      </c>
      <c r="C76" s="269">
        <f>IFERROR(100*$E76/$E$5,NA())</f>
        <v/>
      </c>
      <c r="D76" s="269">
        <f>IFERROR(100*$J76/$J$5,NA())</f>
        <v/>
      </c>
      <c r="E76" s="32">
        <f>IFERROR(IF(AND(ISNUMBER($A76),N(IF(AND(AH!$U$12=1,71+1=AH!$U$6),IF(AH!$U$4=0,"unavailable",INDEX('Market Data'!$AN$5:$AN$66,AH!$U$4)),IF(AH!$U$5=1,INDEX('Live History'!$B$5:$B$3004,$K76),INDEX('AH History'!$D$5:$GG$1380,$K76,AH!$U$10))))&gt;0),IF(AND(AH!$U$12=1,71+1=AH!$U$6),IF(AH!$U$4=0,"unavailable",INDEX('Market Data'!$AN$5:$AN$66,AH!$U$4)),IF(AH!$U$5=1,INDEX('Live History'!$B$5:$B$3004,$K76),INDEX('AH History'!$D$5:$GG$1380,$K76,AH!$U$10))),NA()),NA())</f>
        <v/>
      </c>
      <c r="F76" s="32">
        <f>IFERROR(IF(ISNUMBER($A76),IF(AND(AH!$U$12=1,71+1=AH!$U$6),IF(AH!$U$4=0,"unavailable",INDEX('Market Data'!$AO$5:$AO$66,AH!$U$4)),IF(AH!$U$5=1,INDEX('Live History'!$E$5:$E$3004,MATCH($A76,'Live History'!$D$5:$D$3004,1)),INDEX('AH History'!$D$5:$GG$1380,$K76,AH!$U$10+1))),NA()),NA())</f>
        <v/>
      </c>
      <c r="G76" s="34">
        <f>IFERROR(IF(ISNUMBER($A76),IF(AND(AH!$U$12=1,71+1=AH!$U$6),IF(AH!$U$4=0,"unavailable",INDEX('Market Data'!$AK$5:$AK$66,AH!$U$4)),IF(AH!$U$5=1,INDEX('Live History'!$D$5:$D$3004,MATCH($A76,'Live History'!$D$5:$D$3004,1)),INDEX('AH History'!$D$5:$GG$1380,$K76,AH!$U$10+2))),NA()),NA())</f>
        <v/>
      </c>
      <c r="H76" s="266">
        <f>IFERROR(IF(ISNUMBER($A76),IF(AND(AH!$U$12=1,71+1=AH!$U$6),IF(AH!$U$4=0,"unavailable",INDEX('Market Data'!$AP$5:$AP$66,AH!$U$4)),IF(AH!$U$5=1,INDEX('Live History'!$H$5:$H$3004,MATCH($A76,'Live History'!$G$5:$G$3004,1)),INDEX('AH History'!$B$5:$B$1380,$K76))),NA()),NA())</f>
        <v/>
      </c>
      <c r="I76" s="34">
        <f>IFERROR(IF(ISNUMBER($A76),IF(AND(AH!$U$12=1,71+1=AH!$U$6),TODAY(),IF(AH!$U$5=1,INDEX('Live History'!$G$5:$G$3004,MATCH($A76,'Live History'!$G$5:$G$3004,1)),INDEX('AH History'!$C$5:$C$1380,$K76))),NA()),NA())</f>
        <v/>
      </c>
      <c r="J76" s="32">
        <f>IFERROR(IF(AND($F76&gt;0,$H76&gt;0,$A76-$G76&lt;=10,$A76-$I76&lt;=5,$G76&gt;0,$I76&gt;0),$F76*$H76,NA()),NA())</f>
        <v/>
      </c>
      <c r="K76" s="15">
        <f>IF($A76="","",IF(AH!$U$5=1,IFERROR(MATCH($A76,'Live History'!$A$5:$A$3004,0),0),AH!$U$7+71))</f>
        <v/>
      </c>
      <c r="L76" s="15">
        <f>IF(ISNUMBER(A76),TEXT(A76,"dd-mmm-yy"),"")</f>
        <v/>
      </c>
      <c r="M76" s="3" t="n"/>
      <c r="N76" s="3" t="n"/>
      <c r="O76" s="3" t="n"/>
    </row>
    <row r="77" ht="22" customHeight="1">
      <c r="A77" s="14">
        <f>IF(OR(AH!$U$4=0,72+1&gt;AH!$U$6,AND(AH!$M$5="Bloomberg",AH!$U$5=0)),"",IFERROR(IF(AND(AH!$U$12=1,72+1=AH!$U$6),TODAY(),IF(AH!$U$5=1,INDEX('Live History'!$A$5:$A$3004,AH!$U$7+72),INDEX('AH History'!$A$5:$A$1380,AH!$U$7+72))),""))</f>
        <v/>
      </c>
      <c r="B77" s="33">
        <f>IFERROR(IF(AH!$U$11=1,NA(),$J77/$E77-1),NA())</f>
        <v/>
      </c>
      <c r="C77" s="269">
        <f>IFERROR(100*$E77/$E$5,NA())</f>
        <v/>
      </c>
      <c r="D77" s="269">
        <f>IFERROR(100*$J77/$J$5,NA())</f>
        <v/>
      </c>
      <c r="E77" s="32">
        <f>IFERROR(IF(AND(ISNUMBER($A77),N(IF(AND(AH!$U$12=1,72+1=AH!$U$6),IF(AH!$U$4=0,"unavailable",INDEX('Market Data'!$AN$5:$AN$66,AH!$U$4)),IF(AH!$U$5=1,INDEX('Live History'!$B$5:$B$3004,$K77),INDEX('AH History'!$D$5:$GG$1380,$K77,AH!$U$10))))&gt;0),IF(AND(AH!$U$12=1,72+1=AH!$U$6),IF(AH!$U$4=0,"unavailable",INDEX('Market Data'!$AN$5:$AN$66,AH!$U$4)),IF(AH!$U$5=1,INDEX('Live History'!$B$5:$B$3004,$K77),INDEX('AH History'!$D$5:$GG$1380,$K77,AH!$U$10))),NA()),NA())</f>
        <v/>
      </c>
      <c r="F77" s="32">
        <f>IFERROR(IF(ISNUMBER($A77),IF(AND(AH!$U$12=1,72+1=AH!$U$6),IF(AH!$U$4=0,"unavailable",INDEX('Market Data'!$AO$5:$AO$66,AH!$U$4)),IF(AH!$U$5=1,INDEX('Live History'!$E$5:$E$3004,MATCH($A77,'Live History'!$D$5:$D$3004,1)),INDEX('AH History'!$D$5:$GG$1380,$K77,AH!$U$10+1))),NA()),NA())</f>
        <v/>
      </c>
      <c r="G77" s="34">
        <f>IFERROR(IF(ISNUMBER($A77),IF(AND(AH!$U$12=1,72+1=AH!$U$6),IF(AH!$U$4=0,"unavailable",INDEX('Market Data'!$AK$5:$AK$66,AH!$U$4)),IF(AH!$U$5=1,INDEX('Live History'!$D$5:$D$3004,MATCH($A77,'Live History'!$D$5:$D$3004,1)),INDEX('AH History'!$D$5:$GG$1380,$K77,AH!$U$10+2))),NA()),NA())</f>
        <v/>
      </c>
      <c r="H77" s="266">
        <f>IFERROR(IF(ISNUMBER($A77),IF(AND(AH!$U$12=1,72+1=AH!$U$6),IF(AH!$U$4=0,"unavailable",INDEX('Market Data'!$AP$5:$AP$66,AH!$U$4)),IF(AH!$U$5=1,INDEX('Live History'!$H$5:$H$3004,MATCH($A77,'Live History'!$G$5:$G$3004,1)),INDEX('AH History'!$B$5:$B$1380,$K77))),NA()),NA())</f>
        <v/>
      </c>
      <c r="I77" s="34">
        <f>IFERROR(IF(ISNUMBER($A77),IF(AND(AH!$U$12=1,72+1=AH!$U$6),TODAY(),IF(AH!$U$5=1,INDEX('Live History'!$G$5:$G$3004,MATCH($A77,'Live History'!$G$5:$G$3004,1)),INDEX('AH History'!$C$5:$C$1380,$K77))),NA()),NA())</f>
        <v/>
      </c>
      <c r="J77" s="32">
        <f>IFERROR(IF(AND($F77&gt;0,$H77&gt;0,$A77-$G77&lt;=10,$A77-$I77&lt;=5,$G77&gt;0,$I77&gt;0),$F77*$H77,NA()),NA())</f>
        <v/>
      </c>
      <c r="K77" s="15">
        <f>IF($A77="","",IF(AH!$U$5=1,IFERROR(MATCH($A77,'Live History'!$A$5:$A$3004,0),0),AH!$U$7+72))</f>
        <v/>
      </c>
      <c r="L77" s="15">
        <f>IF(ISNUMBER(A77),TEXT(A77,"dd-mmm-yy"),"")</f>
        <v/>
      </c>
      <c r="M77" s="3" t="n"/>
      <c r="N77" s="3" t="n"/>
      <c r="O77" s="3" t="n"/>
    </row>
    <row r="78" ht="22" customHeight="1">
      <c r="A78" s="14">
        <f>IF(OR(AH!$U$4=0,73+1&gt;AH!$U$6,AND(AH!$M$5="Bloomberg",AH!$U$5=0)),"",IFERROR(IF(AND(AH!$U$12=1,73+1=AH!$U$6),TODAY(),IF(AH!$U$5=1,INDEX('Live History'!$A$5:$A$3004,AH!$U$7+73),INDEX('AH History'!$A$5:$A$1380,AH!$U$7+73))),""))</f>
        <v/>
      </c>
      <c r="B78" s="33">
        <f>IFERROR(IF(AH!$U$11=1,NA(),$J78/$E78-1),NA())</f>
        <v/>
      </c>
      <c r="C78" s="269">
        <f>IFERROR(100*$E78/$E$5,NA())</f>
        <v/>
      </c>
      <c r="D78" s="269">
        <f>IFERROR(100*$J78/$J$5,NA())</f>
        <v/>
      </c>
      <c r="E78" s="32">
        <f>IFERROR(IF(AND(ISNUMBER($A78),N(IF(AND(AH!$U$12=1,73+1=AH!$U$6),IF(AH!$U$4=0,"unavailable",INDEX('Market Data'!$AN$5:$AN$66,AH!$U$4)),IF(AH!$U$5=1,INDEX('Live History'!$B$5:$B$3004,$K78),INDEX('AH History'!$D$5:$GG$1380,$K78,AH!$U$10))))&gt;0),IF(AND(AH!$U$12=1,73+1=AH!$U$6),IF(AH!$U$4=0,"unavailable",INDEX('Market Data'!$AN$5:$AN$66,AH!$U$4)),IF(AH!$U$5=1,INDEX('Live History'!$B$5:$B$3004,$K78),INDEX('AH History'!$D$5:$GG$1380,$K78,AH!$U$10))),NA()),NA())</f>
        <v/>
      </c>
      <c r="F78" s="32">
        <f>IFERROR(IF(ISNUMBER($A78),IF(AND(AH!$U$12=1,73+1=AH!$U$6),IF(AH!$U$4=0,"unavailable",INDEX('Market Data'!$AO$5:$AO$66,AH!$U$4)),IF(AH!$U$5=1,INDEX('Live History'!$E$5:$E$3004,MATCH($A78,'Live History'!$D$5:$D$3004,1)),INDEX('AH History'!$D$5:$GG$1380,$K78,AH!$U$10+1))),NA()),NA())</f>
        <v/>
      </c>
      <c r="G78" s="34">
        <f>IFERROR(IF(ISNUMBER($A78),IF(AND(AH!$U$12=1,73+1=AH!$U$6),IF(AH!$U$4=0,"unavailable",INDEX('Market Data'!$AK$5:$AK$66,AH!$U$4)),IF(AH!$U$5=1,INDEX('Live History'!$D$5:$D$3004,MATCH($A78,'Live History'!$D$5:$D$3004,1)),INDEX('AH History'!$D$5:$GG$1380,$K78,AH!$U$10+2))),NA()),NA())</f>
        <v/>
      </c>
      <c r="H78" s="266">
        <f>IFERROR(IF(ISNUMBER($A78),IF(AND(AH!$U$12=1,73+1=AH!$U$6),IF(AH!$U$4=0,"unavailable",INDEX('Market Data'!$AP$5:$AP$66,AH!$U$4)),IF(AH!$U$5=1,INDEX('Live History'!$H$5:$H$3004,MATCH($A78,'Live History'!$G$5:$G$3004,1)),INDEX('AH History'!$B$5:$B$1380,$K78))),NA()),NA())</f>
        <v/>
      </c>
      <c r="I78" s="34">
        <f>IFERROR(IF(ISNUMBER($A78),IF(AND(AH!$U$12=1,73+1=AH!$U$6),TODAY(),IF(AH!$U$5=1,INDEX('Live History'!$G$5:$G$3004,MATCH($A78,'Live History'!$G$5:$G$3004,1)),INDEX('AH History'!$C$5:$C$1380,$K78))),NA()),NA())</f>
        <v/>
      </c>
      <c r="J78" s="32">
        <f>IFERROR(IF(AND($F78&gt;0,$H78&gt;0,$A78-$G78&lt;=10,$A78-$I78&lt;=5,$G78&gt;0,$I78&gt;0),$F78*$H78,NA()),NA())</f>
        <v/>
      </c>
      <c r="K78" s="15">
        <f>IF($A78="","",IF(AH!$U$5=1,IFERROR(MATCH($A78,'Live History'!$A$5:$A$3004,0),0),AH!$U$7+73))</f>
        <v/>
      </c>
      <c r="L78" s="15">
        <f>IF(ISNUMBER(A78),TEXT(A78,"dd-mmm-yy"),"")</f>
        <v/>
      </c>
      <c r="M78" s="3" t="n"/>
      <c r="N78" s="3" t="n"/>
      <c r="O78" s="3" t="n"/>
    </row>
    <row r="79" ht="22" customHeight="1">
      <c r="A79" s="14">
        <f>IF(OR(AH!$U$4=0,74+1&gt;AH!$U$6,AND(AH!$M$5="Bloomberg",AH!$U$5=0)),"",IFERROR(IF(AND(AH!$U$12=1,74+1=AH!$U$6),TODAY(),IF(AH!$U$5=1,INDEX('Live History'!$A$5:$A$3004,AH!$U$7+74),INDEX('AH History'!$A$5:$A$1380,AH!$U$7+74))),""))</f>
        <v/>
      </c>
      <c r="B79" s="33">
        <f>IFERROR(IF(AH!$U$11=1,NA(),$J79/$E79-1),NA())</f>
        <v/>
      </c>
      <c r="C79" s="269">
        <f>IFERROR(100*$E79/$E$5,NA())</f>
        <v/>
      </c>
      <c r="D79" s="269">
        <f>IFERROR(100*$J79/$J$5,NA())</f>
        <v/>
      </c>
      <c r="E79" s="32">
        <f>IFERROR(IF(AND(ISNUMBER($A79),N(IF(AND(AH!$U$12=1,74+1=AH!$U$6),IF(AH!$U$4=0,"unavailable",INDEX('Market Data'!$AN$5:$AN$66,AH!$U$4)),IF(AH!$U$5=1,INDEX('Live History'!$B$5:$B$3004,$K79),INDEX('AH History'!$D$5:$GG$1380,$K79,AH!$U$10))))&gt;0),IF(AND(AH!$U$12=1,74+1=AH!$U$6),IF(AH!$U$4=0,"unavailable",INDEX('Market Data'!$AN$5:$AN$66,AH!$U$4)),IF(AH!$U$5=1,INDEX('Live History'!$B$5:$B$3004,$K79),INDEX('AH History'!$D$5:$GG$1380,$K79,AH!$U$10))),NA()),NA())</f>
        <v/>
      </c>
      <c r="F79" s="32">
        <f>IFERROR(IF(ISNUMBER($A79),IF(AND(AH!$U$12=1,74+1=AH!$U$6),IF(AH!$U$4=0,"unavailable",INDEX('Market Data'!$AO$5:$AO$66,AH!$U$4)),IF(AH!$U$5=1,INDEX('Live History'!$E$5:$E$3004,MATCH($A79,'Live History'!$D$5:$D$3004,1)),INDEX('AH History'!$D$5:$GG$1380,$K79,AH!$U$10+1))),NA()),NA())</f>
        <v/>
      </c>
      <c r="G79" s="34">
        <f>IFERROR(IF(ISNUMBER($A79),IF(AND(AH!$U$12=1,74+1=AH!$U$6),IF(AH!$U$4=0,"unavailable",INDEX('Market Data'!$AK$5:$AK$66,AH!$U$4)),IF(AH!$U$5=1,INDEX('Live History'!$D$5:$D$3004,MATCH($A79,'Live History'!$D$5:$D$3004,1)),INDEX('AH History'!$D$5:$GG$1380,$K79,AH!$U$10+2))),NA()),NA())</f>
        <v/>
      </c>
      <c r="H79" s="266">
        <f>IFERROR(IF(ISNUMBER($A79),IF(AND(AH!$U$12=1,74+1=AH!$U$6),IF(AH!$U$4=0,"unavailable",INDEX('Market Data'!$AP$5:$AP$66,AH!$U$4)),IF(AH!$U$5=1,INDEX('Live History'!$H$5:$H$3004,MATCH($A79,'Live History'!$G$5:$G$3004,1)),INDEX('AH History'!$B$5:$B$1380,$K79))),NA()),NA())</f>
        <v/>
      </c>
      <c r="I79" s="34">
        <f>IFERROR(IF(ISNUMBER($A79),IF(AND(AH!$U$12=1,74+1=AH!$U$6),TODAY(),IF(AH!$U$5=1,INDEX('Live History'!$G$5:$G$3004,MATCH($A79,'Live History'!$G$5:$G$3004,1)),INDEX('AH History'!$C$5:$C$1380,$K79))),NA()),NA())</f>
        <v/>
      </c>
      <c r="J79" s="32">
        <f>IFERROR(IF(AND($F79&gt;0,$H79&gt;0,$A79-$G79&lt;=10,$A79-$I79&lt;=5,$G79&gt;0,$I79&gt;0),$F79*$H79,NA()),NA())</f>
        <v/>
      </c>
      <c r="K79" s="15">
        <f>IF($A79="","",IF(AH!$U$5=1,IFERROR(MATCH($A79,'Live History'!$A$5:$A$3004,0),0),AH!$U$7+74))</f>
        <v/>
      </c>
      <c r="L79" s="15">
        <f>IF(ISNUMBER(A79),TEXT(A79,"dd-mmm-yy"),"")</f>
        <v/>
      </c>
      <c r="M79" s="3" t="n"/>
      <c r="N79" s="3" t="n"/>
      <c r="O79" s="3" t="n"/>
    </row>
    <row r="80" ht="22" customHeight="1">
      <c r="A80" s="14">
        <f>IF(OR(AH!$U$4=0,75+1&gt;AH!$U$6,AND(AH!$M$5="Bloomberg",AH!$U$5=0)),"",IFERROR(IF(AND(AH!$U$12=1,75+1=AH!$U$6),TODAY(),IF(AH!$U$5=1,INDEX('Live History'!$A$5:$A$3004,AH!$U$7+75),INDEX('AH History'!$A$5:$A$1380,AH!$U$7+75))),""))</f>
        <v/>
      </c>
      <c r="B80" s="33">
        <f>IFERROR(IF(AH!$U$11=1,NA(),$J80/$E80-1),NA())</f>
        <v/>
      </c>
      <c r="C80" s="269">
        <f>IFERROR(100*$E80/$E$5,NA())</f>
        <v/>
      </c>
      <c r="D80" s="269">
        <f>IFERROR(100*$J80/$J$5,NA())</f>
        <v/>
      </c>
      <c r="E80" s="32">
        <f>IFERROR(IF(AND(ISNUMBER($A80),N(IF(AND(AH!$U$12=1,75+1=AH!$U$6),IF(AH!$U$4=0,"unavailable",INDEX('Market Data'!$AN$5:$AN$66,AH!$U$4)),IF(AH!$U$5=1,INDEX('Live History'!$B$5:$B$3004,$K80),INDEX('AH History'!$D$5:$GG$1380,$K80,AH!$U$10))))&gt;0),IF(AND(AH!$U$12=1,75+1=AH!$U$6),IF(AH!$U$4=0,"unavailable",INDEX('Market Data'!$AN$5:$AN$66,AH!$U$4)),IF(AH!$U$5=1,INDEX('Live History'!$B$5:$B$3004,$K80),INDEX('AH History'!$D$5:$GG$1380,$K80,AH!$U$10))),NA()),NA())</f>
        <v/>
      </c>
      <c r="F80" s="32">
        <f>IFERROR(IF(ISNUMBER($A80),IF(AND(AH!$U$12=1,75+1=AH!$U$6),IF(AH!$U$4=0,"unavailable",INDEX('Market Data'!$AO$5:$AO$66,AH!$U$4)),IF(AH!$U$5=1,INDEX('Live History'!$E$5:$E$3004,MATCH($A80,'Live History'!$D$5:$D$3004,1)),INDEX('AH History'!$D$5:$GG$1380,$K80,AH!$U$10+1))),NA()),NA())</f>
        <v/>
      </c>
      <c r="G80" s="34">
        <f>IFERROR(IF(ISNUMBER($A80),IF(AND(AH!$U$12=1,75+1=AH!$U$6),IF(AH!$U$4=0,"unavailable",INDEX('Market Data'!$AK$5:$AK$66,AH!$U$4)),IF(AH!$U$5=1,INDEX('Live History'!$D$5:$D$3004,MATCH($A80,'Live History'!$D$5:$D$3004,1)),INDEX('AH History'!$D$5:$GG$1380,$K80,AH!$U$10+2))),NA()),NA())</f>
        <v/>
      </c>
      <c r="H80" s="266">
        <f>IFERROR(IF(ISNUMBER($A80),IF(AND(AH!$U$12=1,75+1=AH!$U$6),IF(AH!$U$4=0,"unavailable",INDEX('Market Data'!$AP$5:$AP$66,AH!$U$4)),IF(AH!$U$5=1,INDEX('Live History'!$H$5:$H$3004,MATCH($A80,'Live History'!$G$5:$G$3004,1)),INDEX('AH History'!$B$5:$B$1380,$K80))),NA()),NA())</f>
        <v/>
      </c>
      <c r="I80" s="34">
        <f>IFERROR(IF(ISNUMBER($A80),IF(AND(AH!$U$12=1,75+1=AH!$U$6),TODAY(),IF(AH!$U$5=1,INDEX('Live History'!$G$5:$G$3004,MATCH($A80,'Live History'!$G$5:$G$3004,1)),INDEX('AH History'!$C$5:$C$1380,$K80))),NA()),NA())</f>
        <v/>
      </c>
      <c r="J80" s="32">
        <f>IFERROR(IF(AND($F80&gt;0,$H80&gt;0,$A80-$G80&lt;=10,$A80-$I80&lt;=5,$G80&gt;0,$I80&gt;0),$F80*$H80,NA()),NA())</f>
        <v/>
      </c>
      <c r="K80" s="15">
        <f>IF($A80="","",IF(AH!$U$5=1,IFERROR(MATCH($A80,'Live History'!$A$5:$A$3004,0),0),AH!$U$7+75))</f>
        <v/>
      </c>
      <c r="L80" s="15">
        <f>IF(ISNUMBER(A80),TEXT(A80,"dd-mmm-yy"),"")</f>
        <v/>
      </c>
      <c r="M80" s="3" t="n"/>
      <c r="N80" s="3" t="n"/>
      <c r="O80" s="3" t="n"/>
    </row>
    <row r="81" ht="22" customHeight="1">
      <c r="A81" s="14">
        <f>IF(OR(AH!$U$4=0,76+1&gt;AH!$U$6,AND(AH!$M$5="Bloomberg",AH!$U$5=0)),"",IFERROR(IF(AND(AH!$U$12=1,76+1=AH!$U$6),TODAY(),IF(AH!$U$5=1,INDEX('Live History'!$A$5:$A$3004,AH!$U$7+76),INDEX('AH History'!$A$5:$A$1380,AH!$U$7+76))),""))</f>
        <v/>
      </c>
      <c r="B81" s="33">
        <f>IFERROR(IF(AH!$U$11=1,NA(),$J81/$E81-1),NA())</f>
        <v/>
      </c>
      <c r="C81" s="269">
        <f>IFERROR(100*$E81/$E$5,NA())</f>
        <v/>
      </c>
      <c r="D81" s="269">
        <f>IFERROR(100*$J81/$J$5,NA())</f>
        <v/>
      </c>
      <c r="E81" s="32">
        <f>IFERROR(IF(AND(ISNUMBER($A81),N(IF(AND(AH!$U$12=1,76+1=AH!$U$6),IF(AH!$U$4=0,"unavailable",INDEX('Market Data'!$AN$5:$AN$66,AH!$U$4)),IF(AH!$U$5=1,INDEX('Live History'!$B$5:$B$3004,$K81),INDEX('AH History'!$D$5:$GG$1380,$K81,AH!$U$10))))&gt;0),IF(AND(AH!$U$12=1,76+1=AH!$U$6),IF(AH!$U$4=0,"unavailable",INDEX('Market Data'!$AN$5:$AN$66,AH!$U$4)),IF(AH!$U$5=1,INDEX('Live History'!$B$5:$B$3004,$K81),INDEX('AH History'!$D$5:$GG$1380,$K81,AH!$U$10))),NA()),NA())</f>
        <v/>
      </c>
      <c r="F81" s="32">
        <f>IFERROR(IF(ISNUMBER($A81),IF(AND(AH!$U$12=1,76+1=AH!$U$6),IF(AH!$U$4=0,"unavailable",INDEX('Market Data'!$AO$5:$AO$66,AH!$U$4)),IF(AH!$U$5=1,INDEX('Live History'!$E$5:$E$3004,MATCH($A81,'Live History'!$D$5:$D$3004,1)),INDEX('AH History'!$D$5:$GG$1380,$K81,AH!$U$10+1))),NA()),NA())</f>
        <v/>
      </c>
      <c r="G81" s="34">
        <f>IFERROR(IF(ISNUMBER($A81),IF(AND(AH!$U$12=1,76+1=AH!$U$6),IF(AH!$U$4=0,"unavailable",INDEX('Market Data'!$AK$5:$AK$66,AH!$U$4)),IF(AH!$U$5=1,INDEX('Live History'!$D$5:$D$3004,MATCH($A81,'Live History'!$D$5:$D$3004,1)),INDEX('AH History'!$D$5:$GG$1380,$K81,AH!$U$10+2))),NA()),NA())</f>
        <v/>
      </c>
      <c r="H81" s="266">
        <f>IFERROR(IF(ISNUMBER($A81),IF(AND(AH!$U$12=1,76+1=AH!$U$6),IF(AH!$U$4=0,"unavailable",INDEX('Market Data'!$AP$5:$AP$66,AH!$U$4)),IF(AH!$U$5=1,INDEX('Live History'!$H$5:$H$3004,MATCH($A81,'Live History'!$G$5:$G$3004,1)),INDEX('AH History'!$B$5:$B$1380,$K81))),NA()),NA())</f>
        <v/>
      </c>
      <c r="I81" s="34">
        <f>IFERROR(IF(ISNUMBER($A81),IF(AND(AH!$U$12=1,76+1=AH!$U$6),TODAY(),IF(AH!$U$5=1,INDEX('Live History'!$G$5:$G$3004,MATCH($A81,'Live History'!$G$5:$G$3004,1)),INDEX('AH History'!$C$5:$C$1380,$K81))),NA()),NA())</f>
        <v/>
      </c>
      <c r="J81" s="32">
        <f>IFERROR(IF(AND($F81&gt;0,$H81&gt;0,$A81-$G81&lt;=10,$A81-$I81&lt;=5,$G81&gt;0,$I81&gt;0),$F81*$H81,NA()),NA())</f>
        <v/>
      </c>
      <c r="K81" s="15">
        <f>IF($A81="","",IF(AH!$U$5=1,IFERROR(MATCH($A81,'Live History'!$A$5:$A$3004,0),0),AH!$U$7+76))</f>
        <v/>
      </c>
      <c r="L81" s="15">
        <f>IF(ISNUMBER(A81),TEXT(A81,"dd-mmm-yy"),"")</f>
        <v/>
      </c>
      <c r="M81" s="3" t="n"/>
      <c r="N81" s="3" t="n"/>
      <c r="O81" s="3" t="n"/>
    </row>
    <row r="82" ht="22" customHeight="1">
      <c r="A82" s="14">
        <f>IF(OR(AH!$U$4=0,77+1&gt;AH!$U$6,AND(AH!$M$5="Bloomberg",AH!$U$5=0)),"",IFERROR(IF(AND(AH!$U$12=1,77+1=AH!$U$6),TODAY(),IF(AH!$U$5=1,INDEX('Live History'!$A$5:$A$3004,AH!$U$7+77),INDEX('AH History'!$A$5:$A$1380,AH!$U$7+77))),""))</f>
        <v/>
      </c>
      <c r="B82" s="33">
        <f>IFERROR(IF(AH!$U$11=1,NA(),$J82/$E82-1),NA())</f>
        <v/>
      </c>
      <c r="C82" s="269">
        <f>IFERROR(100*$E82/$E$5,NA())</f>
        <v/>
      </c>
      <c r="D82" s="269">
        <f>IFERROR(100*$J82/$J$5,NA())</f>
        <v/>
      </c>
      <c r="E82" s="32">
        <f>IFERROR(IF(AND(ISNUMBER($A82),N(IF(AND(AH!$U$12=1,77+1=AH!$U$6),IF(AH!$U$4=0,"unavailable",INDEX('Market Data'!$AN$5:$AN$66,AH!$U$4)),IF(AH!$U$5=1,INDEX('Live History'!$B$5:$B$3004,$K82),INDEX('AH History'!$D$5:$GG$1380,$K82,AH!$U$10))))&gt;0),IF(AND(AH!$U$12=1,77+1=AH!$U$6),IF(AH!$U$4=0,"unavailable",INDEX('Market Data'!$AN$5:$AN$66,AH!$U$4)),IF(AH!$U$5=1,INDEX('Live History'!$B$5:$B$3004,$K82),INDEX('AH History'!$D$5:$GG$1380,$K82,AH!$U$10))),NA()),NA())</f>
        <v/>
      </c>
      <c r="F82" s="32">
        <f>IFERROR(IF(ISNUMBER($A82),IF(AND(AH!$U$12=1,77+1=AH!$U$6),IF(AH!$U$4=0,"unavailable",INDEX('Market Data'!$AO$5:$AO$66,AH!$U$4)),IF(AH!$U$5=1,INDEX('Live History'!$E$5:$E$3004,MATCH($A82,'Live History'!$D$5:$D$3004,1)),INDEX('AH History'!$D$5:$GG$1380,$K82,AH!$U$10+1))),NA()),NA())</f>
        <v/>
      </c>
      <c r="G82" s="34">
        <f>IFERROR(IF(ISNUMBER($A82),IF(AND(AH!$U$12=1,77+1=AH!$U$6),IF(AH!$U$4=0,"unavailable",INDEX('Market Data'!$AK$5:$AK$66,AH!$U$4)),IF(AH!$U$5=1,INDEX('Live History'!$D$5:$D$3004,MATCH($A82,'Live History'!$D$5:$D$3004,1)),INDEX('AH History'!$D$5:$GG$1380,$K82,AH!$U$10+2))),NA()),NA())</f>
        <v/>
      </c>
      <c r="H82" s="266">
        <f>IFERROR(IF(ISNUMBER($A82),IF(AND(AH!$U$12=1,77+1=AH!$U$6),IF(AH!$U$4=0,"unavailable",INDEX('Market Data'!$AP$5:$AP$66,AH!$U$4)),IF(AH!$U$5=1,INDEX('Live History'!$H$5:$H$3004,MATCH($A82,'Live History'!$G$5:$G$3004,1)),INDEX('AH History'!$B$5:$B$1380,$K82))),NA()),NA())</f>
        <v/>
      </c>
      <c r="I82" s="34">
        <f>IFERROR(IF(ISNUMBER($A82),IF(AND(AH!$U$12=1,77+1=AH!$U$6),TODAY(),IF(AH!$U$5=1,INDEX('Live History'!$G$5:$G$3004,MATCH($A82,'Live History'!$G$5:$G$3004,1)),INDEX('AH History'!$C$5:$C$1380,$K82))),NA()),NA())</f>
        <v/>
      </c>
      <c r="J82" s="32">
        <f>IFERROR(IF(AND($F82&gt;0,$H82&gt;0,$A82-$G82&lt;=10,$A82-$I82&lt;=5,$G82&gt;0,$I82&gt;0),$F82*$H82,NA()),NA())</f>
        <v/>
      </c>
      <c r="K82" s="15">
        <f>IF($A82="","",IF(AH!$U$5=1,IFERROR(MATCH($A82,'Live History'!$A$5:$A$3004,0),0),AH!$U$7+77))</f>
        <v/>
      </c>
      <c r="L82" s="15">
        <f>IF(ISNUMBER(A82),TEXT(A82,"dd-mmm-yy"),"")</f>
        <v/>
      </c>
      <c r="M82" s="3" t="n"/>
      <c r="N82" s="3" t="n"/>
      <c r="O82" s="3" t="n"/>
    </row>
    <row r="83" ht="22" customHeight="1">
      <c r="A83" s="14">
        <f>IF(OR(AH!$U$4=0,78+1&gt;AH!$U$6,AND(AH!$M$5="Bloomberg",AH!$U$5=0)),"",IFERROR(IF(AND(AH!$U$12=1,78+1=AH!$U$6),TODAY(),IF(AH!$U$5=1,INDEX('Live History'!$A$5:$A$3004,AH!$U$7+78),INDEX('AH History'!$A$5:$A$1380,AH!$U$7+78))),""))</f>
        <v/>
      </c>
      <c r="B83" s="33">
        <f>IFERROR(IF(AH!$U$11=1,NA(),$J83/$E83-1),NA())</f>
        <v/>
      </c>
      <c r="C83" s="269">
        <f>IFERROR(100*$E83/$E$5,NA())</f>
        <v/>
      </c>
      <c r="D83" s="269">
        <f>IFERROR(100*$J83/$J$5,NA())</f>
        <v/>
      </c>
      <c r="E83" s="32">
        <f>IFERROR(IF(AND(ISNUMBER($A83),N(IF(AND(AH!$U$12=1,78+1=AH!$U$6),IF(AH!$U$4=0,"unavailable",INDEX('Market Data'!$AN$5:$AN$66,AH!$U$4)),IF(AH!$U$5=1,INDEX('Live History'!$B$5:$B$3004,$K83),INDEX('AH History'!$D$5:$GG$1380,$K83,AH!$U$10))))&gt;0),IF(AND(AH!$U$12=1,78+1=AH!$U$6),IF(AH!$U$4=0,"unavailable",INDEX('Market Data'!$AN$5:$AN$66,AH!$U$4)),IF(AH!$U$5=1,INDEX('Live History'!$B$5:$B$3004,$K83),INDEX('AH History'!$D$5:$GG$1380,$K83,AH!$U$10))),NA()),NA())</f>
        <v/>
      </c>
      <c r="F83" s="32">
        <f>IFERROR(IF(ISNUMBER($A83),IF(AND(AH!$U$12=1,78+1=AH!$U$6),IF(AH!$U$4=0,"unavailable",INDEX('Market Data'!$AO$5:$AO$66,AH!$U$4)),IF(AH!$U$5=1,INDEX('Live History'!$E$5:$E$3004,MATCH($A83,'Live History'!$D$5:$D$3004,1)),INDEX('AH History'!$D$5:$GG$1380,$K83,AH!$U$10+1))),NA()),NA())</f>
        <v/>
      </c>
      <c r="G83" s="34">
        <f>IFERROR(IF(ISNUMBER($A83),IF(AND(AH!$U$12=1,78+1=AH!$U$6),IF(AH!$U$4=0,"unavailable",INDEX('Market Data'!$AK$5:$AK$66,AH!$U$4)),IF(AH!$U$5=1,INDEX('Live History'!$D$5:$D$3004,MATCH($A83,'Live History'!$D$5:$D$3004,1)),INDEX('AH History'!$D$5:$GG$1380,$K83,AH!$U$10+2))),NA()),NA())</f>
        <v/>
      </c>
      <c r="H83" s="266">
        <f>IFERROR(IF(ISNUMBER($A83),IF(AND(AH!$U$12=1,78+1=AH!$U$6),IF(AH!$U$4=0,"unavailable",INDEX('Market Data'!$AP$5:$AP$66,AH!$U$4)),IF(AH!$U$5=1,INDEX('Live History'!$H$5:$H$3004,MATCH($A83,'Live History'!$G$5:$G$3004,1)),INDEX('AH History'!$B$5:$B$1380,$K83))),NA()),NA())</f>
        <v/>
      </c>
      <c r="I83" s="34">
        <f>IFERROR(IF(ISNUMBER($A83),IF(AND(AH!$U$12=1,78+1=AH!$U$6),TODAY(),IF(AH!$U$5=1,INDEX('Live History'!$G$5:$G$3004,MATCH($A83,'Live History'!$G$5:$G$3004,1)),INDEX('AH History'!$C$5:$C$1380,$K83))),NA()),NA())</f>
        <v/>
      </c>
      <c r="J83" s="32">
        <f>IFERROR(IF(AND($F83&gt;0,$H83&gt;0,$A83-$G83&lt;=10,$A83-$I83&lt;=5,$G83&gt;0,$I83&gt;0),$F83*$H83,NA()),NA())</f>
        <v/>
      </c>
      <c r="K83" s="15">
        <f>IF($A83="","",IF(AH!$U$5=1,IFERROR(MATCH($A83,'Live History'!$A$5:$A$3004,0),0),AH!$U$7+78))</f>
        <v/>
      </c>
      <c r="L83" s="15">
        <f>IF(ISNUMBER(A83),TEXT(A83,"dd-mmm-yy"),"")</f>
        <v/>
      </c>
    </row>
    <row r="84" ht="22" customHeight="1">
      <c r="A84" s="14">
        <f>IF(OR(AH!$U$4=0,79+1&gt;AH!$U$6,AND(AH!$M$5="Bloomberg",AH!$U$5=0)),"",IFERROR(IF(AND(AH!$U$12=1,79+1=AH!$U$6),TODAY(),IF(AH!$U$5=1,INDEX('Live History'!$A$5:$A$3004,AH!$U$7+79),INDEX('AH History'!$A$5:$A$1380,AH!$U$7+79))),""))</f>
        <v/>
      </c>
      <c r="B84" s="33">
        <f>IFERROR(IF(AH!$U$11=1,NA(),$J84/$E84-1),NA())</f>
        <v/>
      </c>
      <c r="C84" s="269">
        <f>IFERROR(100*$E84/$E$5,NA())</f>
        <v/>
      </c>
      <c r="D84" s="269">
        <f>IFERROR(100*$J84/$J$5,NA())</f>
        <v/>
      </c>
      <c r="E84" s="32">
        <f>IFERROR(IF(AND(ISNUMBER($A84),N(IF(AND(AH!$U$12=1,79+1=AH!$U$6),IF(AH!$U$4=0,"unavailable",INDEX('Market Data'!$AN$5:$AN$66,AH!$U$4)),IF(AH!$U$5=1,INDEX('Live History'!$B$5:$B$3004,$K84),INDEX('AH History'!$D$5:$GG$1380,$K84,AH!$U$10))))&gt;0),IF(AND(AH!$U$12=1,79+1=AH!$U$6),IF(AH!$U$4=0,"unavailable",INDEX('Market Data'!$AN$5:$AN$66,AH!$U$4)),IF(AH!$U$5=1,INDEX('Live History'!$B$5:$B$3004,$K84),INDEX('AH History'!$D$5:$GG$1380,$K84,AH!$U$10))),NA()),NA())</f>
        <v/>
      </c>
      <c r="F84" s="32">
        <f>IFERROR(IF(ISNUMBER($A84),IF(AND(AH!$U$12=1,79+1=AH!$U$6),IF(AH!$U$4=0,"unavailable",INDEX('Market Data'!$AO$5:$AO$66,AH!$U$4)),IF(AH!$U$5=1,INDEX('Live History'!$E$5:$E$3004,MATCH($A84,'Live History'!$D$5:$D$3004,1)),INDEX('AH History'!$D$5:$GG$1380,$K84,AH!$U$10+1))),NA()),NA())</f>
        <v/>
      </c>
      <c r="G84" s="34">
        <f>IFERROR(IF(ISNUMBER($A84),IF(AND(AH!$U$12=1,79+1=AH!$U$6),IF(AH!$U$4=0,"unavailable",INDEX('Market Data'!$AK$5:$AK$66,AH!$U$4)),IF(AH!$U$5=1,INDEX('Live History'!$D$5:$D$3004,MATCH($A84,'Live History'!$D$5:$D$3004,1)),INDEX('AH History'!$D$5:$GG$1380,$K84,AH!$U$10+2))),NA()),NA())</f>
        <v/>
      </c>
      <c r="H84" s="266">
        <f>IFERROR(IF(ISNUMBER($A84),IF(AND(AH!$U$12=1,79+1=AH!$U$6),IF(AH!$U$4=0,"unavailable",INDEX('Market Data'!$AP$5:$AP$66,AH!$U$4)),IF(AH!$U$5=1,INDEX('Live History'!$H$5:$H$3004,MATCH($A84,'Live History'!$G$5:$G$3004,1)),INDEX('AH History'!$B$5:$B$1380,$K84))),NA()),NA())</f>
        <v/>
      </c>
      <c r="I84" s="34">
        <f>IFERROR(IF(ISNUMBER($A84),IF(AND(AH!$U$12=1,79+1=AH!$U$6),TODAY(),IF(AH!$U$5=1,INDEX('Live History'!$G$5:$G$3004,MATCH($A84,'Live History'!$G$5:$G$3004,1)),INDEX('AH History'!$C$5:$C$1380,$K84))),NA()),NA())</f>
        <v/>
      </c>
      <c r="J84" s="32">
        <f>IFERROR(IF(AND($F84&gt;0,$H84&gt;0,$A84-$G84&lt;=10,$A84-$I84&lt;=5,$G84&gt;0,$I84&gt;0),$F84*$H84,NA()),NA())</f>
        <v/>
      </c>
      <c r="K84" s="15">
        <f>IF($A84="","",IF(AH!$U$5=1,IFERROR(MATCH($A84,'Live History'!$A$5:$A$3004,0),0),AH!$U$7+79))</f>
        <v/>
      </c>
      <c r="L84" s="15">
        <f>IF(ISNUMBER(A84),TEXT(A84,"dd-mmm-yy"),"")</f>
        <v/>
      </c>
    </row>
    <row r="85" ht="22" customHeight="1">
      <c r="A85" s="14">
        <f>IF(OR(AH!$U$4=0,80+1&gt;AH!$U$6,AND(AH!$M$5="Bloomberg",AH!$U$5=0)),"",IFERROR(IF(AND(AH!$U$12=1,80+1=AH!$U$6),TODAY(),IF(AH!$U$5=1,INDEX('Live History'!$A$5:$A$3004,AH!$U$7+80),INDEX('AH History'!$A$5:$A$1380,AH!$U$7+80))),""))</f>
        <v/>
      </c>
      <c r="B85" s="33">
        <f>IFERROR(IF(AH!$U$11=1,NA(),$J85/$E85-1),NA())</f>
        <v/>
      </c>
      <c r="C85" s="269">
        <f>IFERROR(100*$E85/$E$5,NA())</f>
        <v/>
      </c>
      <c r="D85" s="269">
        <f>IFERROR(100*$J85/$J$5,NA())</f>
        <v/>
      </c>
      <c r="E85" s="32">
        <f>IFERROR(IF(AND(ISNUMBER($A85),N(IF(AND(AH!$U$12=1,80+1=AH!$U$6),IF(AH!$U$4=0,"unavailable",INDEX('Market Data'!$AN$5:$AN$66,AH!$U$4)),IF(AH!$U$5=1,INDEX('Live History'!$B$5:$B$3004,$K85),INDEX('AH History'!$D$5:$GG$1380,$K85,AH!$U$10))))&gt;0),IF(AND(AH!$U$12=1,80+1=AH!$U$6),IF(AH!$U$4=0,"unavailable",INDEX('Market Data'!$AN$5:$AN$66,AH!$U$4)),IF(AH!$U$5=1,INDEX('Live History'!$B$5:$B$3004,$K85),INDEX('AH History'!$D$5:$GG$1380,$K85,AH!$U$10))),NA()),NA())</f>
        <v/>
      </c>
      <c r="F85" s="32">
        <f>IFERROR(IF(ISNUMBER($A85),IF(AND(AH!$U$12=1,80+1=AH!$U$6),IF(AH!$U$4=0,"unavailable",INDEX('Market Data'!$AO$5:$AO$66,AH!$U$4)),IF(AH!$U$5=1,INDEX('Live History'!$E$5:$E$3004,MATCH($A85,'Live History'!$D$5:$D$3004,1)),INDEX('AH History'!$D$5:$GG$1380,$K85,AH!$U$10+1))),NA()),NA())</f>
        <v/>
      </c>
      <c r="G85" s="34">
        <f>IFERROR(IF(ISNUMBER($A85),IF(AND(AH!$U$12=1,80+1=AH!$U$6),IF(AH!$U$4=0,"unavailable",INDEX('Market Data'!$AK$5:$AK$66,AH!$U$4)),IF(AH!$U$5=1,INDEX('Live History'!$D$5:$D$3004,MATCH($A85,'Live History'!$D$5:$D$3004,1)),INDEX('AH History'!$D$5:$GG$1380,$K85,AH!$U$10+2))),NA()),NA())</f>
        <v/>
      </c>
      <c r="H85" s="266">
        <f>IFERROR(IF(ISNUMBER($A85),IF(AND(AH!$U$12=1,80+1=AH!$U$6),IF(AH!$U$4=0,"unavailable",INDEX('Market Data'!$AP$5:$AP$66,AH!$U$4)),IF(AH!$U$5=1,INDEX('Live History'!$H$5:$H$3004,MATCH($A85,'Live History'!$G$5:$G$3004,1)),INDEX('AH History'!$B$5:$B$1380,$K85))),NA()),NA())</f>
        <v/>
      </c>
      <c r="I85" s="34">
        <f>IFERROR(IF(ISNUMBER($A85),IF(AND(AH!$U$12=1,80+1=AH!$U$6),TODAY(),IF(AH!$U$5=1,INDEX('Live History'!$G$5:$G$3004,MATCH($A85,'Live History'!$G$5:$G$3004,1)),INDEX('AH History'!$C$5:$C$1380,$K85))),NA()),NA())</f>
        <v/>
      </c>
      <c r="J85" s="32">
        <f>IFERROR(IF(AND($F85&gt;0,$H85&gt;0,$A85-$G85&lt;=10,$A85-$I85&lt;=5,$G85&gt;0,$I85&gt;0),$F85*$H85,NA()),NA())</f>
        <v/>
      </c>
      <c r="K85" s="15">
        <f>IF($A85="","",IF(AH!$U$5=1,IFERROR(MATCH($A85,'Live History'!$A$5:$A$3004,0),0),AH!$U$7+80))</f>
        <v/>
      </c>
      <c r="L85" s="15">
        <f>IF(ISNUMBER(A85),TEXT(A85,"dd-mmm-yy"),"")</f>
        <v/>
      </c>
    </row>
    <row r="86">
      <c r="A86" s="14">
        <f>IF(OR(AH!$U$4=0,81+1&gt;AH!$U$6,AND(AH!$M$5="Bloomberg",AH!$U$5=0)),"",IFERROR(IF(AND(AH!$U$12=1,81+1=AH!$U$6),TODAY(),IF(AH!$U$5=1,INDEX('Live History'!$A$5:$A$3004,AH!$U$7+81),INDEX('AH History'!$A$5:$A$1380,AH!$U$7+81))),""))</f>
        <v/>
      </c>
      <c r="B86" s="33">
        <f>IFERROR(IF(AH!$U$11=1,NA(),$J86/$E86-1),NA())</f>
        <v/>
      </c>
      <c r="C86" s="269">
        <f>IFERROR(100*$E86/$E$5,NA())</f>
        <v/>
      </c>
      <c r="D86" s="269">
        <f>IFERROR(100*$J86/$J$5,NA())</f>
        <v/>
      </c>
      <c r="E86" s="32">
        <f>IFERROR(IF(AND(ISNUMBER($A86),N(IF(AND(AH!$U$12=1,81+1=AH!$U$6),IF(AH!$U$4=0,"unavailable",INDEX('Market Data'!$AN$5:$AN$66,AH!$U$4)),IF(AH!$U$5=1,INDEX('Live History'!$B$5:$B$3004,$K86),INDEX('AH History'!$D$5:$GG$1380,$K86,AH!$U$10))))&gt;0),IF(AND(AH!$U$12=1,81+1=AH!$U$6),IF(AH!$U$4=0,"unavailable",INDEX('Market Data'!$AN$5:$AN$66,AH!$U$4)),IF(AH!$U$5=1,INDEX('Live History'!$B$5:$B$3004,$K86),INDEX('AH History'!$D$5:$GG$1380,$K86,AH!$U$10))),NA()),NA())</f>
        <v/>
      </c>
      <c r="F86" s="32">
        <f>IFERROR(IF(ISNUMBER($A86),IF(AND(AH!$U$12=1,81+1=AH!$U$6),IF(AH!$U$4=0,"unavailable",INDEX('Market Data'!$AO$5:$AO$66,AH!$U$4)),IF(AH!$U$5=1,INDEX('Live History'!$E$5:$E$3004,MATCH($A86,'Live History'!$D$5:$D$3004,1)),INDEX('AH History'!$D$5:$GG$1380,$K86,AH!$U$10+1))),NA()),NA())</f>
        <v/>
      </c>
      <c r="G86" s="34">
        <f>IFERROR(IF(ISNUMBER($A86),IF(AND(AH!$U$12=1,81+1=AH!$U$6),IF(AH!$U$4=0,"unavailable",INDEX('Market Data'!$AK$5:$AK$66,AH!$U$4)),IF(AH!$U$5=1,INDEX('Live History'!$D$5:$D$3004,MATCH($A86,'Live History'!$D$5:$D$3004,1)),INDEX('AH History'!$D$5:$GG$1380,$K86,AH!$U$10+2))),NA()),NA())</f>
        <v/>
      </c>
      <c r="H86" s="266">
        <f>IFERROR(IF(ISNUMBER($A86),IF(AND(AH!$U$12=1,81+1=AH!$U$6),IF(AH!$U$4=0,"unavailable",INDEX('Market Data'!$AP$5:$AP$66,AH!$U$4)),IF(AH!$U$5=1,INDEX('Live History'!$H$5:$H$3004,MATCH($A86,'Live History'!$G$5:$G$3004,1)),INDEX('AH History'!$B$5:$B$1380,$K86))),NA()),NA())</f>
        <v/>
      </c>
      <c r="I86" s="34">
        <f>IFERROR(IF(ISNUMBER($A86),IF(AND(AH!$U$12=1,81+1=AH!$U$6),TODAY(),IF(AH!$U$5=1,INDEX('Live History'!$G$5:$G$3004,MATCH($A86,'Live History'!$G$5:$G$3004,1)),INDEX('AH History'!$C$5:$C$1380,$K86))),NA()),NA())</f>
        <v/>
      </c>
      <c r="J86" s="32">
        <f>IFERROR(IF(AND($F86&gt;0,$H86&gt;0,$A86-$G86&lt;=10,$A86-$I86&lt;=5,$G86&gt;0,$I86&gt;0),$F86*$H86,NA()),NA())</f>
        <v/>
      </c>
      <c r="K86" s="15">
        <f>IF($A86="","",IF(AH!$U$5=1,IFERROR(MATCH($A86,'Live History'!$A$5:$A$3004,0),0),AH!$U$7+81))</f>
        <v/>
      </c>
      <c r="L86" s="15">
        <f>IF(ISNUMBER(A86),TEXT(A86,"dd-mmm-yy"),"")</f>
        <v/>
      </c>
    </row>
    <row r="87">
      <c r="A87" s="14">
        <f>IF(OR(AH!$U$4=0,82+1&gt;AH!$U$6,AND(AH!$M$5="Bloomberg",AH!$U$5=0)),"",IFERROR(IF(AND(AH!$U$12=1,82+1=AH!$U$6),TODAY(),IF(AH!$U$5=1,INDEX('Live History'!$A$5:$A$3004,AH!$U$7+82),INDEX('AH History'!$A$5:$A$1380,AH!$U$7+82))),""))</f>
        <v/>
      </c>
      <c r="B87" s="33">
        <f>IFERROR(IF(AH!$U$11=1,NA(),$J87/$E87-1),NA())</f>
        <v/>
      </c>
      <c r="C87" s="269">
        <f>IFERROR(100*$E87/$E$5,NA())</f>
        <v/>
      </c>
      <c r="D87" s="269">
        <f>IFERROR(100*$J87/$J$5,NA())</f>
        <v/>
      </c>
      <c r="E87" s="32">
        <f>IFERROR(IF(AND(ISNUMBER($A87),N(IF(AND(AH!$U$12=1,82+1=AH!$U$6),IF(AH!$U$4=0,"unavailable",INDEX('Market Data'!$AN$5:$AN$66,AH!$U$4)),IF(AH!$U$5=1,INDEX('Live History'!$B$5:$B$3004,$K87),INDEX('AH History'!$D$5:$GG$1380,$K87,AH!$U$10))))&gt;0),IF(AND(AH!$U$12=1,82+1=AH!$U$6),IF(AH!$U$4=0,"unavailable",INDEX('Market Data'!$AN$5:$AN$66,AH!$U$4)),IF(AH!$U$5=1,INDEX('Live History'!$B$5:$B$3004,$K87),INDEX('AH History'!$D$5:$GG$1380,$K87,AH!$U$10))),NA()),NA())</f>
        <v/>
      </c>
      <c r="F87" s="32">
        <f>IFERROR(IF(ISNUMBER($A87),IF(AND(AH!$U$12=1,82+1=AH!$U$6),IF(AH!$U$4=0,"unavailable",INDEX('Market Data'!$AO$5:$AO$66,AH!$U$4)),IF(AH!$U$5=1,INDEX('Live History'!$E$5:$E$3004,MATCH($A87,'Live History'!$D$5:$D$3004,1)),INDEX('AH History'!$D$5:$GG$1380,$K87,AH!$U$10+1))),NA()),NA())</f>
        <v/>
      </c>
      <c r="G87" s="34">
        <f>IFERROR(IF(ISNUMBER($A87),IF(AND(AH!$U$12=1,82+1=AH!$U$6),IF(AH!$U$4=0,"unavailable",INDEX('Market Data'!$AK$5:$AK$66,AH!$U$4)),IF(AH!$U$5=1,INDEX('Live History'!$D$5:$D$3004,MATCH($A87,'Live History'!$D$5:$D$3004,1)),INDEX('AH History'!$D$5:$GG$1380,$K87,AH!$U$10+2))),NA()),NA())</f>
        <v/>
      </c>
      <c r="H87" s="266">
        <f>IFERROR(IF(ISNUMBER($A87),IF(AND(AH!$U$12=1,82+1=AH!$U$6),IF(AH!$U$4=0,"unavailable",INDEX('Market Data'!$AP$5:$AP$66,AH!$U$4)),IF(AH!$U$5=1,INDEX('Live History'!$H$5:$H$3004,MATCH($A87,'Live History'!$G$5:$G$3004,1)),INDEX('AH History'!$B$5:$B$1380,$K87))),NA()),NA())</f>
        <v/>
      </c>
      <c r="I87" s="34">
        <f>IFERROR(IF(ISNUMBER($A87),IF(AND(AH!$U$12=1,82+1=AH!$U$6),TODAY(),IF(AH!$U$5=1,INDEX('Live History'!$G$5:$G$3004,MATCH($A87,'Live History'!$G$5:$G$3004,1)),INDEX('AH History'!$C$5:$C$1380,$K87))),NA()),NA())</f>
        <v/>
      </c>
      <c r="J87" s="32">
        <f>IFERROR(IF(AND($F87&gt;0,$H87&gt;0,$A87-$G87&lt;=10,$A87-$I87&lt;=5,$G87&gt;0,$I87&gt;0),$F87*$H87,NA()),NA())</f>
        <v/>
      </c>
      <c r="K87" s="15">
        <f>IF($A87="","",IF(AH!$U$5=1,IFERROR(MATCH($A87,'Live History'!$A$5:$A$3004,0),0),AH!$U$7+82))</f>
        <v/>
      </c>
      <c r="L87" s="15">
        <f>IF(ISNUMBER(A87),TEXT(A87,"dd-mmm-yy"),"")</f>
        <v/>
      </c>
    </row>
    <row r="88">
      <c r="A88" s="14">
        <f>IF(OR(AH!$U$4=0,83+1&gt;AH!$U$6,AND(AH!$M$5="Bloomberg",AH!$U$5=0)),"",IFERROR(IF(AND(AH!$U$12=1,83+1=AH!$U$6),TODAY(),IF(AH!$U$5=1,INDEX('Live History'!$A$5:$A$3004,AH!$U$7+83),INDEX('AH History'!$A$5:$A$1380,AH!$U$7+83))),""))</f>
        <v/>
      </c>
      <c r="B88" s="33">
        <f>IFERROR(IF(AH!$U$11=1,NA(),$J88/$E88-1),NA())</f>
        <v/>
      </c>
      <c r="C88" s="269">
        <f>IFERROR(100*$E88/$E$5,NA())</f>
        <v/>
      </c>
      <c r="D88" s="269">
        <f>IFERROR(100*$J88/$J$5,NA())</f>
        <v/>
      </c>
      <c r="E88" s="32">
        <f>IFERROR(IF(AND(ISNUMBER($A88),N(IF(AND(AH!$U$12=1,83+1=AH!$U$6),IF(AH!$U$4=0,"unavailable",INDEX('Market Data'!$AN$5:$AN$66,AH!$U$4)),IF(AH!$U$5=1,INDEX('Live History'!$B$5:$B$3004,$K88),INDEX('AH History'!$D$5:$GG$1380,$K88,AH!$U$10))))&gt;0),IF(AND(AH!$U$12=1,83+1=AH!$U$6),IF(AH!$U$4=0,"unavailable",INDEX('Market Data'!$AN$5:$AN$66,AH!$U$4)),IF(AH!$U$5=1,INDEX('Live History'!$B$5:$B$3004,$K88),INDEX('AH History'!$D$5:$GG$1380,$K88,AH!$U$10))),NA()),NA())</f>
        <v/>
      </c>
      <c r="F88" s="32">
        <f>IFERROR(IF(ISNUMBER($A88),IF(AND(AH!$U$12=1,83+1=AH!$U$6),IF(AH!$U$4=0,"unavailable",INDEX('Market Data'!$AO$5:$AO$66,AH!$U$4)),IF(AH!$U$5=1,INDEX('Live History'!$E$5:$E$3004,MATCH($A88,'Live History'!$D$5:$D$3004,1)),INDEX('AH History'!$D$5:$GG$1380,$K88,AH!$U$10+1))),NA()),NA())</f>
        <v/>
      </c>
      <c r="G88" s="34">
        <f>IFERROR(IF(ISNUMBER($A88),IF(AND(AH!$U$12=1,83+1=AH!$U$6),IF(AH!$U$4=0,"unavailable",INDEX('Market Data'!$AK$5:$AK$66,AH!$U$4)),IF(AH!$U$5=1,INDEX('Live History'!$D$5:$D$3004,MATCH($A88,'Live History'!$D$5:$D$3004,1)),INDEX('AH History'!$D$5:$GG$1380,$K88,AH!$U$10+2))),NA()),NA())</f>
        <v/>
      </c>
      <c r="H88" s="266">
        <f>IFERROR(IF(ISNUMBER($A88),IF(AND(AH!$U$12=1,83+1=AH!$U$6),IF(AH!$U$4=0,"unavailable",INDEX('Market Data'!$AP$5:$AP$66,AH!$U$4)),IF(AH!$U$5=1,INDEX('Live History'!$H$5:$H$3004,MATCH($A88,'Live History'!$G$5:$G$3004,1)),INDEX('AH History'!$B$5:$B$1380,$K88))),NA()),NA())</f>
        <v/>
      </c>
      <c r="I88" s="34">
        <f>IFERROR(IF(ISNUMBER($A88),IF(AND(AH!$U$12=1,83+1=AH!$U$6),TODAY(),IF(AH!$U$5=1,INDEX('Live History'!$G$5:$G$3004,MATCH($A88,'Live History'!$G$5:$G$3004,1)),INDEX('AH History'!$C$5:$C$1380,$K88))),NA()),NA())</f>
        <v/>
      </c>
      <c r="J88" s="32">
        <f>IFERROR(IF(AND($F88&gt;0,$H88&gt;0,$A88-$G88&lt;=10,$A88-$I88&lt;=5,$G88&gt;0,$I88&gt;0),$F88*$H88,NA()),NA())</f>
        <v/>
      </c>
      <c r="K88" s="15">
        <f>IF($A88="","",IF(AH!$U$5=1,IFERROR(MATCH($A88,'Live History'!$A$5:$A$3004,0),0),AH!$U$7+83))</f>
        <v/>
      </c>
      <c r="L88" s="15">
        <f>IF(ISNUMBER(A88),TEXT(A88,"dd-mmm-yy"),"")</f>
        <v/>
      </c>
    </row>
    <row r="89">
      <c r="A89" s="14">
        <f>IF(OR(AH!$U$4=0,84+1&gt;AH!$U$6,AND(AH!$M$5="Bloomberg",AH!$U$5=0)),"",IFERROR(IF(AND(AH!$U$12=1,84+1=AH!$U$6),TODAY(),IF(AH!$U$5=1,INDEX('Live History'!$A$5:$A$3004,AH!$U$7+84),INDEX('AH History'!$A$5:$A$1380,AH!$U$7+84))),""))</f>
        <v/>
      </c>
      <c r="B89" s="33">
        <f>IFERROR(IF(AH!$U$11=1,NA(),$J89/$E89-1),NA())</f>
        <v/>
      </c>
      <c r="C89" s="269">
        <f>IFERROR(100*$E89/$E$5,NA())</f>
        <v/>
      </c>
      <c r="D89" s="269">
        <f>IFERROR(100*$J89/$J$5,NA())</f>
        <v/>
      </c>
      <c r="E89" s="32">
        <f>IFERROR(IF(AND(ISNUMBER($A89),N(IF(AND(AH!$U$12=1,84+1=AH!$U$6),IF(AH!$U$4=0,"unavailable",INDEX('Market Data'!$AN$5:$AN$66,AH!$U$4)),IF(AH!$U$5=1,INDEX('Live History'!$B$5:$B$3004,$K89),INDEX('AH History'!$D$5:$GG$1380,$K89,AH!$U$10))))&gt;0),IF(AND(AH!$U$12=1,84+1=AH!$U$6),IF(AH!$U$4=0,"unavailable",INDEX('Market Data'!$AN$5:$AN$66,AH!$U$4)),IF(AH!$U$5=1,INDEX('Live History'!$B$5:$B$3004,$K89),INDEX('AH History'!$D$5:$GG$1380,$K89,AH!$U$10))),NA()),NA())</f>
        <v/>
      </c>
      <c r="F89" s="32">
        <f>IFERROR(IF(ISNUMBER($A89),IF(AND(AH!$U$12=1,84+1=AH!$U$6),IF(AH!$U$4=0,"unavailable",INDEX('Market Data'!$AO$5:$AO$66,AH!$U$4)),IF(AH!$U$5=1,INDEX('Live History'!$E$5:$E$3004,MATCH($A89,'Live History'!$D$5:$D$3004,1)),INDEX('AH History'!$D$5:$GG$1380,$K89,AH!$U$10+1))),NA()),NA())</f>
        <v/>
      </c>
      <c r="G89" s="34">
        <f>IFERROR(IF(ISNUMBER($A89),IF(AND(AH!$U$12=1,84+1=AH!$U$6),IF(AH!$U$4=0,"unavailable",INDEX('Market Data'!$AK$5:$AK$66,AH!$U$4)),IF(AH!$U$5=1,INDEX('Live History'!$D$5:$D$3004,MATCH($A89,'Live History'!$D$5:$D$3004,1)),INDEX('AH History'!$D$5:$GG$1380,$K89,AH!$U$10+2))),NA()),NA())</f>
        <v/>
      </c>
      <c r="H89" s="266">
        <f>IFERROR(IF(ISNUMBER($A89),IF(AND(AH!$U$12=1,84+1=AH!$U$6),IF(AH!$U$4=0,"unavailable",INDEX('Market Data'!$AP$5:$AP$66,AH!$U$4)),IF(AH!$U$5=1,INDEX('Live History'!$H$5:$H$3004,MATCH($A89,'Live History'!$G$5:$G$3004,1)),INDEX('AH History'!$B$5:$B$1380,$K89))),NA()),NA())</f>
        <v/>
      </c>
      <c r="I89" s="34">
        <f>IFERROR(IF(ISNUMBER($A89),IF(AND(AH!$U$12=1,84+1=AH!$U$6),TODAY(),IF(AH!$U$5=1,INDEX('Live History'!$G$5:$G$3004,MATCH($A89,'Live History'!$G$5:$G$3004,1)),INDEX('AH History'!$C$5:$C$1380,$K89))),NA()),NA())</f>
        <v/>
      </c>
      <c r="J89" s="32">
        <f>IFERROR(IF(AND($F89&gt;0,$H89&gt;0,$A89-$G89&lt;=10,$A89-$I89&lt;=5,$G89&gt;0,$I89&gt;0),$F89*$H89,NA()),NA())</f>
        <v/>
      </c>
      <c r="K89" s="15">
        <f>IF($A89="","",IF(AH!$U$5=1,IFERROR(MATCH($A89,'Live History'!$A$5:$A$3004,0),0),AH!$U$7+84))</f>
        <v/>
      </c>
      <c r="L89" s="15">
        <f>IF(ISNUMBER(A89),TEXT(A89,"dd-mmm-yy"),"")</f>
        <v/>
      </c>
    </row>
    <row r="90">
      <c r="A90" s="14">
        <f>IF(OR(AH!$U$4=0,85+1&gt;AH!$U$6,AND(AH!$M$5="Bloomberg",AH!$U$5=0)),"",IFERROR(IF(AND(AH!$U$12=1,85+1=AH!$U$6),TODAY(),IF(AH!$U$5=1,INDEX('Live History'!$A$5:$A$3004,AH!$U$7+85),INDEX('AH History'!$A$5:$A$1380,AH!$U$7+85))),""))</f>
        <v/>
      </c>
      <c r="B90" s="33">
        <f>IFERROR(IF(AH!$U$11=1,NA(),$J90/$E90-1),NA())</f>
        <v/>
      </c>
      <c r="C90" s="269">
        <f>IFERROR(100*$E90/$E$5,NA())</f>
        <v/>
      </c>
      <c r="D90" s="269">
        <f>IFERROR(100*$J90/$J$5,NA())</f>
        <v/>
      </c>
      <c r="E90" s="32">
        <f>IFERROR(IF(AND(ISNUMBER($A90),N(IF(AND(AH!$U$12=1,85+1=AH!$U$6),IF(AH!$U$4=0,"unavailable",INDEX('Market Data'!$AN$5:$AN$66,AH!$U$4)),IF(AH!$U$5=1,INDEX('Live History'!$B$5:$B$3004,$K90),INDEX('AH History'!$D$5:$GG$1380,$K90,AH!$U$10))))&gt;0),IF(AND(AH!$U$12=1,85+1=AH!$U$6),IF(AH!$U$4=0,"unavailable",INDEX('Market Data'!$AN$5:$AN$66,AH!$U$4)),IF(AH!$U$5=1,INDEX('Live History'!$B$5:$B$3004,$K90),INDEX('AH History'!$D$5:$GG$1380,$K90,AH!$U$10))),NA()),NA())</f>
        <v/>
      </c>
      <c r="F90" s="32">
        <f>IFERROR(IF(ISNUMBER($A90),IF(AND(AH!$U$12=1,85+1=AH!$U$6),IF(AH!$U$4=0,"unavailable",INDEX('Market Data'!$AO$5:$AO$66,AH!$U$4)),IF(AH!$U$5=1,INDEX('Live History'!$E$5:$E$3004,MATCH($A90,'Live History'!$D$5:$D$3004,1)),INDEX('AH History'!$D$5:$GG$1380,$K90,AH!$U$10+1))),NA()),NA())</f>
        <v/>
      </c>
      <c r="G90" s="34">
        <f>IFERROR(IF(ISNUMBER($A90),IF(AND(AH!$U$12=1,85+1=AH!$U$6),IF(AH!$U$4=0,"unavailable",INDEX('Market Data'!$AK$5:$AK$66,AH!$U$4)),IF(AH!$U$5=1,INDEX('Live History'!$D$5:$D$3004,MATCH($A90,'Live History'!$D$5:$D$3004,1)),INDEX('AH History'!$D$5:$GG$1380,$K90,AH!$U$10+2))),NA()),NA())</f>
        <v/>
      </c>
      <c r="H90" s="266">
        <f>IFERROR(IF(ISNUMBER($A90),IF(AND(AH!$U$12=1,85+1=AH!$U$6),IF(AH!$U$4=0,"unavailable",INDEX('Market Data'!$AP$5:$AP$66,AH!$U$4)),IF(AH!$U$5=1,INDEX('Live History'!$H$5:$H$3004,MATCH($A90,'Live History'!$G$5:$G$3004,1)),INDEX('AH History'!$B$5:$B$1380,$K90))),NA()),NA())</f>
        <v/>
      </c>
      <c r="I90" s="34">
        <f>IFERROR(IF(ISNUMBER($A90),IF(AND(AH!$U$12=1,85+1=AH!$U$6),TODAY(),IF(AH!$U$5=1,INDEX('Live History'!$G$5:$G$3004,MATCH($A90,'Live History'!$G$5:$G$3004,1)),INDEX('AH History'!$C$5:$C$1380,$K90))),NA()),NA())</f>
        <v/>
      </c>
      <c r="J90" s="32">
        <f>IFERROR(IF(AND($F90&gt;0,$H90&gt;0,$A90-$G90&lt;=10,$A90-$I90&lt;=5,$G90&gt;0,$I90&gt;0),$F90*$H90,NA()),NA())</f>
        <v/>
      </c>
      <c r="K90" s="15">
        <f>IF($A90="","",IF(AH!$U$5=1,IFERROR(MATCH($A90,'Live History'!$A$5:$A$3004,0),0),AH!$U$7+85))</f>
        <v/>
      </c>
      <c r="L90" s="15">
        <f>IF(ISNUMBER(A90),TEXT(A90,"dd-mmm-yy"),"")</f>
        <v/>
      </c>
    </row>
    <row r="91">
      <c r="A91" s="14">
        <f>IF(OR(AH!$U$4=0,86+1&gt;AH!$U$6,AND(AH!$M$5="Bloomberg",AH!$U$5=0)),"",IFERROR(IF(AND(AH!$U$12=1,86+1=AH!$U$6),TODAY(),IF(AH!$U$5=1,INDEX('Live History'!$A$5:$A$3004,AH!$U$7+86),INDEX('AH History'!$A$5:$A$1380,AH!$U$7+86))),""))</f>
        <v/>
      </c>
      <c r="B91" s="33">
        <f>IFERROR(IF(AH!$U$11=1,NA(),$J91/$E91-1),NA())</f>
        <v/>
      </c>
      <c r="C91" s="269">
        <f>IFERROR(100*$E91/$E$5,NA())</f>
        <v/>
      </c>
      <c r="D91" s="269">
        <f>IFERROR(100*$J91/$J$5,NA())</f>
        <v/>
      </c>
      <c r="E91" s="32">
        <f>IFERROR(IF(AND(ISNUMBER($A91),N(IF(AND(AH!$U$12=1,86+1=AH!$U$6),IF(AH!$U$4=0,"unavailable",INDEX('Market Data'!$AN$5:$AN$66,AH!$U$4)),IF(AH!$U$5=1,INDEX('Live History'!$B$5:$B$3004,$K91),INDEX('AH History'!$D$5:$GG$1380,$K91,AH!$U$10))))&gt;0),IF(AND(AH!$U$12=1,86+1=AH!$U$6),IF(AH!$U$4=0,"unavailable",INDEX('Market Data'!$AN$5:$AN$66,AH!$U$4)),IF(AH!$U$5=1,INDEX('Live History'!$B$5:$B$3004,$K91),INDEX('AH History'!$D$5:$GG$1380,$K91,AH!$U$10))),NA()),NA())</f>
        <v/>
      </c>
      <c r="F91" s="32">
        <f>IFERROR(IF(ISNUMBER($A91),IF(AND(AH!$U$12=1,86+1=AH!$U$6),IF(AH!$U$4=0,"unavailable",INDEX('Market Data'!$AO$5:$AO$66,AH!$U$4)),IF(AH!$U$5=1,INDEX('Live History'!$E$5:$E$3004,MATCH($A91,'Live History'!$D$5:$D$3004,1)),INDEX('AH History'!$D$5:$GG$1380,$K91,AH!$U$10+1))),NA()),NA())</f>
        <v/>
      </c>
      <c r="G91" s="34">
        <f>IFERROR(IF(ISNUMBER($A91),IF(AND(AH!$U$12=1,86+1=AH!$U$6),IF(AH!$U$4=0,"unavailable",INDEX('Market Data'!$AK$5:$AK$66,AH!$U$4)),IF(AH!$U$5=1,INDEX('Live History'!$D$5:$D$3004,MATCH($A91,'Live History'!$D$5:$D$3004,1)),INDEX('AH History'!$D$5:$GG$1380,$K91,AH!$U$10+2))),NA()),NA())</f>
        <v/>
      </c>
      <c r="H91" s="266">
        <f>IFERROR(IF(ISNUMBER($A91),IF(AND(AH!$U$12=1,86+1=AH!$U$6),IF(AH!$U$4=0,"unavailable",INDEX('Market Data'!$AP$5:$AP$66,AH!$U$4)),IF(AH!$U$5=1,INDEX('Live History'!$H$5:$H$3004,MATCH($A91,'Live History'!$G$5:$G$3004,1)),INDEX('AH History'!$B$5:$B$1380,$K91))),NA()),NA())</f>
        <v/>
      </c>
      <c r="I91" s="34">
        <f>IFERROR(IF(ISNUMBER($A91),IF(AND(AH!$U$12=1,86+1=AH!$U$6),TODAY(),IF(AH!$U$5=1,INDEX('Live History'!$G$5:$G$3004,MATCH($A91,'Live History'!$G$5:$G$3004,1)),INDEX('AH History'!$C$5:$C$1380,$K91))),NA()),NA())</f>
        <v/>
      </c>
      <c r="J91" s="32">
        <f>IFERROR(IF(AND($F91&gt;0,$H91&gt;0,$A91-$G91&lt;=10,$A91-$I91&lt;=5,$G91&gt;0,$I91&gt;0),$F91*$H91,NA()),NA())</f>
        <v/>
      </c>
      <c r="K91" s="15">
        <f>IF($A91="","",IF(AH!$U$5=1,IFERROR(MATCH($A91,'Live History'!$A$5:$A$3004,0),0),AH!$U$7+86))</f>
        <v/>
      </c>
      <c r="L91" s="15">
        <f>IF(ISNUMBER(A91),TEXT(A91,"dd-mmm-yy"),"")</f>
        <v/>
      </c>
    </row>
    <row r="92">
      <c r="A92" s="14">
        <f>IF(OR(AH!$U$4=0,87+1&gt;AH!$U$6,AND(AH!$M$5="Bloomberg",AH!$U$5=0)),"",IFERROR(IF(AND(AH!$U$12=1,87+1=AH!$U$6),TODAY(),IF(AH!$U$5=1,INDEX('Live History'!$A$5:$A$3004,AH!$U$7+87),INDEX('AH History'!$A$5:$A$1380,AH!$U$7+87))),""))</f>
        <v/>
      </c>
      <c r="B92" s="33">
        <f>IFERROR(IF(AH!$U$11=1,NA(),$J92/$E92-1),NA())</f>
        <v/>
      </c>
      <c r="C92" s="269">
        <f>IFERROR(100*$E92/$E$5,NA())</f>
        <v/>
      </c>
      <c r="D92" s="269">
        <f>IFERROR(100*$J92/$J$5,NA())</f>
        <v/>
      </c>
      <c r="E92" s="32">
        <f>IFERROR(IF(AND(ISNUMBER($A92),N(IF(AND(AH!$U$12=1,87+1=AH!$U$6),IF(AH!$U$4=0,"unavailable",INDEX('Market Data'!$AN$5:$AN$66,AH!$U$4)),IF(AH!$U$5=1,INDEX('Live History'!$B$5:$B$3004,$K92),INDEX('AH History'!$D$5:$GG$1380,$K92,AH!$U$10))))&gt;0),IF(AND(AH!$U$12=1,87+1=AH!$U$6),IF(AH!$U$4=0,"unavailable",INDEX('Market Data'!$AN$5:$AN$66,AH!$U$4)),IF(AH!$U$5=1,INDEX('Live History'!$B$5:$B$3004,$K92),INDEX('AH History'!$D$5:$GG$1380,$K92,AH!$U$10))),NA()),NA())</f>
        <v/>
      </c>
      <c r="F92" s="32">
        <f>IFERROR(IF(ISNUMBER($A92),IF(AND(AH!$U$12=1,87+1=AH!$U$6),IF(AH!$U$4=0,"unavailable",INDEX('Market Data'!$AO$5:$AO$66,AH!$U$4)),IF(AH!$U$5=1,INDEX('Live History'!$E$5:$E$3004,MATCH($A92,'Live History'!$D$5:$D$3004,1)),INDEX('AH History'!$D$5:$GG$1380,$K92,AH!$U$10+1))),NA()),NA())</f>
        <v/>
      </c>
      <c r="G92" s="34">
        <f>IFERROR(IF(ISNUMBER($A92),IF(AND(AH!$U$12=1,87+1=AH!$U$6),IF(AH!$U$4=0,"unavailable",INDEX('Market Data'!$AK$5:$AK$66,AH!$U$4)),IF(AH!$U$5=1,INDEX('Live History'!$D$5:$D$3004,MATCH($A92,'Live History'!$D$5:$D$3004,1)),INDEX('AH History'!$D$5:$GG$1380,$K92,AH!$U$10+2))),NA()),NA())</f>
        <v/>
      </c>
      <c r="H92" s="266">
        <f>IFERROR(IF(ISNUMBER($A92),IF(AND(AH!$U$12=1,87+1=AH!$U$6),IF(AH!$U$4=0,"unavailable",INDEX('Market Data'!$AP$5:$AP$66,AH!$U$4)),IF(AH!$U$5=1,INDEX('Live History'!$H$5:$H$3004,MATCH($A92,'Live History'!$G$5:$G$3004,1)),INDEX('AH History'!$B$5:$B$1380,$K92))),NA()),NA())</f>
        <v/>
      </c>
      <c r="I92" s="34">
        <f>IFERROR(IF(ISNUMBER($A92),IF(AND(AH!$U$12=1,87+1=AH!$U$6),TODAY(),IF(AH!$U$5=1,INDEX('Live History'!$G$5:$G$3004,MATCH($A92,'Live History'!$G$5:$G$3004,1)),INDEX('AH History'!$C$5:$C$1380,$K92))),NA()),NA())</f>
        <v/>
      </c>
      <c r="J92" s="32">
        <f>IFERROR(IF(AND($F92&gt;0,$H92&gt;0,$A92-$G92&lt;=10,$A92-$I92&lt;=5,$G92&gt;0,$I92&gt;0),$F92*$H92,NA()),NA())</f>
        <v/>
      </c>
      <c r="K92" s="15">
        <f>IF($A92="","",IF(AH!$U$5=1,IFERROR(MATCH($A92,'Live History'!$A$5:$A$3004,0),0),AH!$U$7+87))</f>
        <v/>
      </c>
      <c r="L92" s="15">
        <f>IF(ISNUMBER(A92),TEXT(A92,"dd-mmm-yy"),"")</f>
        <v/>
      </c>
    </row>
    <row r="93">
      <c r="A93" s="14">
        <f>IF(OR(AH!$U$4=0,88+1&gt;AH!$U$6,AND(AH!$M$5="Bloomberg",AH!$U$5=0)),"",IFERROR(IF(AND(AH!$U$12=1,88+1=AH!$U$6),TODAY(),IF(AH!$U$5=1,INDEX('Live History'!$A$5:$A$3004,AH!$U$7+88),INDEX('AH History'!$A$5:$A$1380,AH!$U$7+88))),""))</f>
        <v/>
      </c>
      <c r="B93" s="33">
        <f>IFERROR(IF(AH!$U$11=1,NA(),$J93/$E93-1),NA())</f>
        <v/>
      </c>
      <c r="C93" s="269">
        <f>IFERROR(100*$E93/$E$5,NA())</f>
        <v/>
      </c>
      <c r="D93" s="269">
        <f>IFERROR(100*$J93/$J$5,NA())</f>
        <v/>
      </c>
      <c r="E93" s="32">
        <f>IFERROR(IF(AND(ISNUMBER($A93),N(IF(AND(AH!$U$12=1,88+1=AH!$U$6),IF(AH!$U$4=0,"unavailable",INDEX('Market Data'!$AN$5:$AN$66,AH!$U$4)),IF(AH!$U$5=1,INDEX('Live History'!$B$5:$B$3004,$K93),INDEX('AH History'!$D$5:$GG$1380,$K93,AH!$U$10))))&gt;0),IF(AND(AH!$U$12=1,88+1=AH!$U$6),IF(AH!$U$4=0,"unavailable",INDEX('Market Data'!$AN$5:$AN$66,AH!$U$4)),IF(AH!$U$5=1,INDEX('Live History'!$B$5:$B$3004,$K93),INDEX('AH History'!$D$5:$GG$1380,$K93,AH!$U$10))),NA()),NA())</f>
        <v/>
      </c>
      <c r="F93" s="32">
        <f>IFERROR(IF(ISNUMBER($A93),IF(AND(AH!$U$12=1,88+1=AH!$U$6),IF(AH!$U$4=0,"unavailable",INDEX('Market Data'!$AO$5:$AO$66,AH!$U$4)),IF(AH!$U$5=1,INDEX('Live History'!$E$5:$E$3004,MATCH($A93,'Live History'!$D$5:$D$3004,1)),INDEX('AH History'!$D$5:$GG$1380,$K93,AH!$U$10+1))),NA()),NA())</f>
        <v/>
      </c>
      <c r="G93" s="34">
        <f>IFERROR(IF(ISNUMBER($A93),IF(AND(AH!$U$12=1,88+1=AH!$U$6),IF(AH!$U$4=0,"unavailable",INDEX('Market Data'!$AK$5:$AK$66,AH!$U$4)),IF(AH!$U$5=1,INDEX('Live History'!$D$5:$D$3004,MATCH($A93,'Live History'!$D$5:$D$3004,1)),INDEX('AH History'!$D$5:$GG$1380,$K93,AH!$U$10+2))),NA()),NA())</f>
        <v/>
      </c>
      <c r="H93" s="266">
        <f>IFERROR(IF(ISNUMBER($A93),IF(AND(AH!$U$12=1,88+1=AH!$U$6),IF(AH!$U$4=0,"unavailable",INDEX('Market Data'!$AP$5:$AP$66,AH!$U$4)),IF(AH!$U$5=1,INDEX('Live History'!$H$5:$H$3004,MATCH($A93,'Live History'!$G$5:$G$3004,1)),INDEX('AH History'!$B$5:$B$1380,$K93))),NA()),NA())</f>
        <v/>
      </c>
      <c r="I93" s="34">
        <f>IFERROR(IF(ISNUMBER($A93),IF(AND(AH!$U$12=1,88+1=AH!$U$6),TODAY(),IF(AH!$U$5=1,INDEX('Live History'!$G$5:$G$3004,MATCH($A93,'Live History'!$G$5:$G$3004,1)),INDEX('AH History'!$C$5:$C$1380,$K93))),NA()),NA())</f>
        <v/>
      </c>
      <c r="J93" s="32">
        <f>IFERROR(IF(AND($F93&gt;0,$H93&gt;0,$A93-$G93&lt;=10,$A93-$I93&lt;=5,$G93&gt;0,$I93&gt;0),$F93*$H93,NA()),NA())</f>
        <v/>
      </c>
      <c r="K93" s="15">
        <f>IF($A93="","",IF(AH!$U$5=1,IFERROR(MATCH($A93,'Live History'!$A$5:$A$3004,0),0),AH!$U$7+88))</f>
        <v/>
      </c>
      <c r="L93" s="15">
        <f>IF(ISNUMBER(A93),TEXT(A93,"dd-mmm-yy"),"")</f>
        <v/>
      </c>
    </row>
    <row r="94">
      <c r="A94" s="14">
        <f>IF(OR(AH!$U$4=0,89+1&gt;AH!$U$6,AND(AH!$M$5="Bloomberg",AH!$U$5=0)),"",IFERROR(IF(AND(AH!$U$12=1,89+1=AH!$U$6),TODAY(),IF(AH!$U$5=1,INDEX('Live History'!$A$5:$A$3004,AH!$U$7+89),INDEX('AH History'!$A$5:$A$1380,AH!$U$7+89))),""))</f>
        <v/>
      </c>
      <c r="B94" s="33">
        <f>IFERROR(IF(AH!$U$11=1,NA(),$J94/$E94-1),NA())</f>
        <v/>
      </c>
      <c r="C94" s="269">
        <f>IFERROR(100*$E94/$E$5,NA())</f>
        <v/>
      </c>
      <c r="D94" s="269">
        <f>IFERROR(100*$J94/$J$5,NA())</f>
        <v/>
      </c>
      <c r="E94" s="32">
        <f>IFERROR(IF(AND(ISNUMBER($A94),N(IF(AND(AH!$U$12=1,89+1=AH!$U$6),IF(AH!$U$4=0,"unavailable",INDEX('Market Data'!$AN$5:$AN$66,AH!$U$4)),IF(AH!$U$5=1,INDEX('Live History'!$B$5:$B$3004,$K94),INDEX('AH History'!$D$5:$GG$1380,$K94,AH!$U$10))))&gt;0),IF(AND(AH!$U$12=1,89+1=AH!$U$6),IF(AH!$U$4=0,"unavailable",INDEX('Market Data'!$AN$5:$AN$66,AH!$U$4)),IF(AH!$U$5=1,INDEX('Live History'!$B$5:$B$3004,$K94),INDEX('AH History'!$D$5:$GG$1380,$K94,AH!$U$10))),NA()),NA())</f>
        <v/>
      </c>
      <c r="F94" s="32">
        <f>IFERROR(IF(ISNUMBER($A94),IF(AND(AH!$U$12=1,89+1=AH!$U$6),IF(AH!$U$4=0,"unavailable",INDEX('Market Data'!$AO$5:$AO$66,AH!$U$4)),IF(AH!$U$5=1,INDEX('Live History'!$E$5:$E$3004,MATCH($A94,'Live History'!$D$5:$D$3004,1)),INDEX('AH History'!$D$5:$GG$1380,$K94,AH!$U$10+1))),NA()),NA())</f>
        <v/>
      </c>
      <c r="G94" s="34">
        <f>IFERROR(IF(ISNUMBER($A94),IF(AND(AH!$U$12=1,89+1=AH!$U$6),IF(AH!$U$4=0,"unavailable",INDEX('Market Data'!$AK$5:$AK$66,AH!$U$4)),IF(AH!$U$5=1,INDEX('Live History'!$D$5:$D$3004,MATCH($A94,'Live History'!$D$5:$D$3004,1)),INDEX('AH History'!$D$5:$GG$1380,$K94,AH!$U$10+2))),NA()),NA())</f>
        <v/>
      </c>
      <c r="H94" s="266">
        <f>IFERROR(IF(ISNUMBER($A94),IF(AND(AH!$U$12=1,89+1=AH!$U$6),IF(AH!$U$4=0,"unavailable",INDEX('Market Data'!$AP$5:$AP$66,AH!$U$4)),IF(AH!$U$5=1,INDEX('Live History'!$H$5:$H$3004,MATCH($A94,'Live History'!$G$5:$G$3004,1)),INDEX('AH History'!$B$5:$B$1380,$K94))),NA()),NA())</f>
        <v/>
      </c>
      <c r="I94" s="34">
        <f>IFERROR(IF(ISNUMBER($A94),IF(AND(AH!$U$12=1,89+1=AH!$U$6),TODAY(),IF(AH!$U$5=1,INDEX('Live History'!$G$5:$G$3004,MATCH($A94,'Live History'!$G$5:$G$3004,1)),INDEX('AH History'!$C$5:$C$1380,$K94))),NA()),NA())</f>
        <v/>
      </c>
      <c r="J94" s="32">
        <f>IFERROR(IF(AND($F94&gt;0,$H94&gt;0,$A94-$G94&lt;=10,$A94-$I94&lt;=5,$G94&gt;0,$I94&gt;0),$F94*$H94,NA()),NA())</f>
        <v/>
      </c>
      <c r="K94" s="15">
        <f>IF($A94="","",IF(AH!$U$5=1,IFERROR(MATCH($A94,'Live History'!$A$5:$A$3004,0),0),AH!$U$7+89))</f>
        <v/>
      </c>
      <c r="L94" s="15">
        <f>IF(ISNUMBER(A94),TEXT(A94,"dd-mmm-yy"),"")</f>
        <v/>
      </c>
    </row>
    <row r="95">
      <c r="A95" s="14">
        <f>IF(OR(AH!$U$4=0,90+1&gt;AH!$U$6,AND(AH!$M$5="Bloomberg",AH!$U$5=0)),"",IFERROR(IF(AND(AH!$U$12=1,90+1=AH!$U$6),TODAY(),IF(AH!$U$5=1,INDEX('Live History'!$A$5:$A$3004,AH!$U$7+90),INDEX('AH History'!$A$5:$A$1380,AH!$U$7+90))),""))</f>
        <v/>
      </c>
      <c r="B95" s="33">
        <f>IFERROR(IF(AH!$U$11=1,NA(),$J95/$E95-1),NA())</f>
        <v/>
      </c>
      <c r="C95" s="269">
        <f>IFERROR(100*$E95/$E$5,NA())</f>
        <v/>
      </c>
      <c r="D95" s="269">
        <f>IFERROR(100*$J95/$J$5,NA())</f>
        <v/>
      </c>
      <c r="E95" s="32">
        <f>IFERROR(IF(AND(ISNUMBER($A95),N(IF(AND(AH!$U$12=1,90+1=AH!$U$6),IF(AH!$U$4=0,"unavailable",INDEX('Market Data'!$AN$5:$AN$66,AH!$U$4)),IF(AH!$U$5=1,INDEX('Live History'!$B$5:$B$3004,$K95),INDEX('AH History'!$D$5:$GG$1380,$K95,AH!$U$10))))&gt;0),IF(AND(AH!$U$12=1,90+1=AH!$U$6),IF(AH!$U$4=0,"unavailable",INDEX('Market Data'!$AN$5:$AN$66,AH!$U$4)),IF(AH!$U$5=1,INDEX('Live History'!$B$5:$B$3004,$K95),INDEX('AH History'!$D$5:$GG$1380,$K95,AH!$U$10))),NA()),NA())</f>
        <v/>
      </c>
      <c r="F95" s="32">
        <f>IFERROR(IF(ISNUMBER($A95),IF(AND(AH!$U$12=1,90+1=AH!$U$6),IF(AH!$U$4=0,"unavailable",INDEX('Market Data'!$AO$5:$AO$66,AH!$U$4)),IF(AH!$U$5=1,INDEX('Live History'!$E$5:$E$3004,MATCH($A95,'Live History'!$D$5:$D$3004,1)),INDEX('AH History'!$D$5:$GG$1380,$K95,AH!$U$10+1))),NA()),NA())</f>
        <v/>
      </c>
      <c r="G95" s="34">
        <f>IFERROR(IF(ISNUMBER($A95),IF(AND(AH!$U$12=1,90+1=AH!$U$6),IF(AH!$U$4=0,"unavailable",INDEX('Market Data'!$AK$5:$AK$66,AH!$U$4)),IF(AH!$U$5=1,INDEX('Live History'!$D$5:$D$3004,MATCH($A95,'Live History'!$D$5:$D$3004,1)),INDEX('AH History'!$D$5:$GG$1380,$K95,AH!$U$10+2))),NA()),NA())</f>
        <v/>
      </c>
      <c r="H95" s="266">
        <f>IFERROR(IF(ISNUMBER($A95),IF(AND(AH!$U$12=1,90+1=AH!$U$6),IF(AH!$U$4=0,"unavailable",INDEX('Market Data'!$AP$5:$AP$66,AH!$U$4)),IF(AH!$U$5=1,INDEX('Live History'!$H$5:$H$3004,MATCH($A95,'Live History'!$G$5:$G$3004,1)),INDEX('AH History'!$B$5:$B$1380,$K95))),NA()),NA())</f>
        <v/>
      </c>
      <c r="I95" s="34">
        <f>IFERROR(IF(ISNUMBER($A95),IF(AND(AH!$U$12=1,90+1=AH!$U$6),TODAY(),IF(AH!$U$5=1,INDEX('Live History'!$G$5:$G$3004,MATCH($A95,'Live History'!$G$5:$G$3004,1)),INDEX('AH History'!$C$5:$C$1380,$K95))),NA()),NA())</f>
        <v/>
      </c>
      <c r="J95" s="32">
        <f>IFERROR(IF(AND($F95&gt;0,$H95&gt;0,$A95-$G95&lt;=10,$A95-$I95&lt;=5,$G95&gt;0,$I95&gt;0),$F95*$H95,NA()),NA())</f>
        <v/>
      </c>
      <c r="K95" s="15">
        <f>IF($A95="","",IF(AH!$U$5=1,IFERROR(MATCH($A95,'Live History'!$A$5:$A$3004,0),0),AH!$U$7+90))</f>
        <v/>
      </c>
      <c r="L95" s="15">
        <f>IF(ISNUMBER(A95),TEXT(A95,"dd-mmm-yy"),"")</f>
        <v/>
      </c>
    </row>
    <row r="96">
      <c r="A96" s="14">
        <f>IF(OR(AH!$U$4=0,91+1&gt;AH!$U$6,AND(AH!$M$5="Bloomberg",AH!$U$5=0)),"",IFERROR(IF(AND(AH!$U$12=1,91+1=AH!$U$6),TODAY(),IF(AH!$U$5=1,INDEX('Live History'!$A$5:$A$3004,AH!$U$7+91),INDEX('AH History'!$A$5:$A$1380,AH!$U$7+91))),""))</f>
        <v/>
      </c>
      <c r="B96" s="33">
        <f>IFERROR(IF(AH!$U$11=1,NA(),$J96/$E96-1),NA())</f>
        <v/>
      </c>
      <c r="C96" s="269">
        <f>IFERROR(100*$E96/$E$5,NA())</f>
        <v/>
      </c>
      <c r="D96" s="269">
        <f>IFERROR(100*$J96/$J$5,NA())</f>
        <v/>
      </c>
      <c r="E96" s="32">
        <f>IFERROR(IF(AND(ISNUMBER($A96),N(IF(AND(AH!$U$12=1,91+1=AH!$U$6),IF(AH!$U$4=0,"unavailable",INDEX('Market Data'!$AN$5:$AN$66,AH!$U$4)),IF(AH!$U$5=1,INDEX('Live History'!$B$5:$B$3004,$K96),INDEX('AH History'!$D$5:$GG$1380,$K96,AH!$U$10))))&gt;0),IF(AND(AH!$U$12=1,91+1=AH!$U$6),IF(AH!$U$4=0,"unavailable",INDEX('Market Data'!$AN$5:$AN$66,AH!$U$4)),IF(AH!$U$5=1,INDEX('Live History'!$B$5:$B$3004,$K96),INDEX('AH History'!$D$5:$GG$1380,$K96,AH!$U$10))),NA()),NA())</f>
        <v/>
      </c>
      <c r="F96" s="32">
        <f>IFERROR(IF(ISNUMBER($A96),IF(AND(AH!$U$12=1,91+1=AH!$U$6),IF(AH!$U$4=0,"unavailable",INDEX('Market Data'!$AO$5:$AO$66,AH!$U$4)),IF(AH!$U$5=1,INDEX('Live History'!$E$5:$E$3004,MATCH($A96,'Live History'!$D$5:$D$3004,1)),INDEX('AH History'!$D$5:$GG$1380,$K96,AH!$U$10+1))),NA()),NA())</f>
        <v/>
      </c>
      <c r="G96" s="34">
        <f>IFERROR(IF(ISNUMBER($A96),IF(AND(AH!$U$12=1,91+1=AH!$U$6),IF(AH!$U$4=0,"unavailable",INDEX('Market Data'!$AK$5:$AK$66,AH!$U$4)),IF(AH!$U$5=1,INDEX('Live History'!$D$5:$D$3004,MATCH($A96,'Live History'!$D$5:$D$3004,1)),INDEX('AH History'!$D$5:$GG$1380,$K96,AH!$U$10+2))),NA()),NA())</f>
        <v/>
      </c>
      <c r="H96" s="266">
        <f>IFERROR(IF(ISNUMBER($A96),IF(AND(AH!$U$12=1,91+1=AH!$U$6),IF(AH!$U$4=0,"unavailable",INDEX('Market Data'!$AP$5:$AP$66,AH!$U$4)),IF(AH!$U$5=1,INDEX('Live History'!$H$5:$H$3004,MATCH($A96,'Live History'!$G$5:$G$3004,1)),INDEX('AH History'!$B$5:$B$1380,$K96))),NA()),NA())</f>
        <v/>
      </c>
      <c r="I96" s="34">
        <f>IFERROR(IF(ISNUMBER($A96),IF(AND(AH!$U$12=1,91+1=AH!$U$6),TODAY(),IF(AH!$U$5=1,INDEX('Live History'!$G$5:$G$3004,MATCH($A96,'Live History'!$G$5:$G$3004,1)),INDEX('AH History'!$C$5:$C$1380,$K96))),NA()),NA())</f>
        <v/>
      </c>
      <c r="J96" s="32">
        <f>IFERROR(IF(AND($F96&gt;0,$H96&gt;0,$A96-$G96&lt;=10,$A96-$I96&lt;=5,$G96&gt;0,$I96&gt;0),$F96*$H96,NA()),NA())</f>
        <v/>
      </c>
      <c r="K96" s="15">
        <f>IF($A96="","",IF(AH!$U$5=1,IFERROR(MATCH($A96,'Live History'!$A$5:$A$3004,0),0),AH!$U$7+91))</f>
        <v/>
      </c>
      <c r="L96" s="15">
        <f>IF(ISNUMBER(A96),TEXT(A96,"dd-mmm-yy"),"")</f>
        <v/>
      </c>
    </row>
    <row r="97">
      <c r="A97" s="14">
        <f>IF(OR(AH!$U$4=0,92+1&gt;AH!$U$6,AND(AH!$M$5="Bloomberg",AH!$U$5=0)),"",IFERROR(IF(AND(AH!$U$12=1,92+1=AH!$U$6),TODAY(),IF(AH!$U$5=1,INDEX('Live History'!$A$5:$A$3004,AH!$U$7+92),INDEX('AH History'!$A$5:$A$1380,AH!$U$7+92))),""))</f>
        <v/>
      </c>
      <c r="B97" s="33">
        <f>IFERROR(IF(AH!$U$11=1,NA(),$J97/$E97-1),NA())</f>
        <v/>
      </c>
      <c r="C97" s="269">
        <f>IFERROR(100*$E97/$E$5,NA())</f>
        <v/>
      </c>
      <c r="D97" s="269">
        <f>IFERROR(100*$J97/$J$5,NA())</f>
        <v/>
      </c>
      <c r="E97" s="32">
        <f>IFERROR(IF(AND(ISNUMBER($A97),N(IF(AND(AH!$U$12=1,92+1=AH!$U$6),IF(AH!$U$4=0,"unavailable",INDEX('Market Data'!$AN$5:$AN$66,AH!$U$4)),IF(AH!$U$5=1,INDEX('Live History'!$B$5:$B$3004,$K97),INDEX('AH History'!$D$5:$GG$1380,$K97,AH!$U$10))))&gt;0),IF(AND(AH!$U$12=1,92+1=AH!$U$6),IF(AH!$U$4=0,"unavailable",INDEX('Market Data'!$AN$5:$AN$66,AH!$U$4)),IF(AH!$U$5=1,INDEX('Live History'!$B$5:$B$3004,$K97),INDEX('AH History'!$D$5:$GG$1380,$K97,AH!$U$10))),NA()),NA())</f>
        <v/>
      </c>
      <c r="F97" s="32">
        <f>IFERROR(IF(ISNUMBER($A97),IF(AND(AH!$U$12=1,92+1=AH!$U$6),IF(AH!$U$4=0,"unavailable",INDEX('Market Data'!$AO$5:$AO$66,AH!$U$4)),IF(AH!$U$5=1,INDEX('Live History'!$E$5:$E$3004,MATCH($A97,'Live History'!$D$5:$D$3004,1)),INDEX('AH History'!$D$5:$GG$1380,$K97,AH!$U$10+1))),NA()),NA())</f>
        <v/>
      </c>
      <c r="G97" s="34">
        <f>IFERROR(IF(ISNUMBER($A97),IF(AND(AH!$U$12=1,92+1=AH!$U$6),IF(AH!$U$4=0,"unavailable",INDEX('Market Data'!$AK$5:$AK$66,AH!$U$4)),IF(AH!$U$5=1,INDEX('Live History'!$D$5:$D$3004,MATCH($A97,'Live History'!$D$5:$D$3004,1)),INDEX('AH History'!$D$5:$GG$1380,$K97,AH!$U$10+2))),NA()),NA())</f>
        <v/>
      </c>
      <c r="H97" s="266">
        <f>IFERROR(IF(ISNUMBER($A97),IF(AND(AH!$U$12=1,92+1=AH!$U$6),IF(AH!$U$4=0,"unavailable",INDEX('Market Data'!$AP$5:$AP$66,AH!$U$4)),IF(AH!$U$5=1,INDEX('Live History'!$H$5:$H$3004,MATCH($A97,'Live History'!$G$5:$G$3004,1)),INDEX('AH History'!$B$5:$B$1380,$K97))),NA()),NA())</f>
        <v/>
      </c>
      <c r="I97" s="34">
        <f>IFERROR(IF(ISNUMBER($A97),IF(AND(AH!$U$12=1,92+1=AH!$U$6),TODAY(),IF(AH!$U$5=1,INDEX('Live History'!$G$5:$G$3004,MATCH($A97,'Live History'!$G$5:$G$3004,1)),INDEX('AH History'!$C$5:$C$1380,$K97))),NA()),NA())</f>
        <v/>
      </c>
      <c r="J97" s="32">
        <f>IFERROR(IF(AND($F97&gt;0,$H97&gt;0,$A97-$G97&lt;=10,$A97-$I97&lt;=5,$G97&gt;0,$I97&gt;0),$F97*$H97,NA()),NA())</f>
        <v/>
      </c>
      <c r="K97" s="15">
        <f>IF($A97="","",IF(AH!$U$5=1,IFERROR(MATCH($A97,'Live History'!$A$5:$A$3004,0),0),AH!$U$7+92))</f>
        <v/>
      </c>
      <c r="L97" s="15">
        <f>IF(ISNUMBER(A97),TEXT(A97,"dd-mmm-yy"),"")</f>
        <v/>
      </c>
    </row>
    <row r="98">
      <c r="A98" s="14">
        <f>IF(OR(AH!$U$4=0,93+1&gt;AH!$U$6,AND(AH!$M$5="Bloomberg",AH!$U$5=0)),"",IFERROR(IF(AND(AH!$U$12=1,93+1=AH!$U$6),TODAY(),IF(AH!$U$5=1,INDEX('Live History'!$A$5:$A$3004,AH!$U$7+93),INDEX('AH History'!$A$5:$A$1380,AH!$U$7+93))),""))</f>
        <v/>
      </c>
      <c r="B98" s="33">
        <f>IFERROR(IF(AH!$U$11=1,NA(),$J98/$E98-1),NA())</f>
        <v/>
      </c>
      <c r="C98" s="269">
        <f>IFERROR(100*$E98/$E$5,NA())</f>
        <v/>
      </c>
      <c r="D98" s="269">
        <f>IFERROR(100*$J98/$J$5,NA())</f>
        <v/>
      </c>
      <c r="E98" s="32">
        <f>IFERROR(IF(AND(ISNUMBER($A98),N(IF(AND(AH!$U$12=1,93+1=AH!$U$6),IF(AH!$U$4=0,"unavailable",INDEX('Market Data'!$AN$5:$AN$66,AH!$U$4)),IF(AH!$U$5=1,INDEX('Live History'!$B$5:$B$3004,$K98),INDEX('AH History'!$D$5:$GG$1380,$K98,AH!$U$10))))&gt;0),IF(AND(AH!$U$12=1,93+1=AH!$U$6),IF(AH!$U$4=0,"unavailable",INDEX('Market Data'!$AN$5:$AN$66,AH!$U$4)),IF(AH!$U$5=1,INDEX('Live History'!$B$5:$B$3004,$K98),INDEX('AH History'!$D$5:$GG$1380,$K98,AH!$U$10))),NA()),NA())</f>
        <v/>
      </c>
      <c r="F98" s="32">
        <f>IFERROR(IF(ISNUMBER($A98),IF(AND(AH!$U$12=1,93+1=AH!$U$6),IF(AH!$U$4=0,"unavailable",INDEX('Market Data'!$AO$5:$AO$66,AH!$U$4)),IF(AH!$U$5=1,INDEX('Live History'!$E$5:$E$3004,MATCH($A98,'Live History'!$D$5:$D$3004,1)),INDEX('AH History'!$D$5:$GG$1380,$K98,AH!$U$10+1))),NA()),NA())</f>
        <v/>
      </c>
      <c r="G98" s="34">
        <f>IFERROR(IF(ISNUMBER($A98),IF(AND(AH!$U$12=1,93+1=AH!$U$6),IF(AH!$U$4=0,"unavailable",INDEX('Market Data'!$AK$5:$AK$66,AH!$U$4)),IF(AH!$U$5=1,INDEX('Live History'!$D$5:$D$3004,MATCH($A98,'Live History'!$D$5:$D$3004,1)),INDEX('AH History'!$D$5:$GG$1380,$K98,AH!$U$10+2))),NA()),NA())</f>
        <v/>
      </c>
      <c r="H98" s="266">
        <f>IFERROR(IF(ISNUMBER($A98),IF(AND(AH!$U$12=1,93+1=AH!$U$6),IF(AH!$U$4=0,"unavailable",INDEX('Market Data'!$AP$5:$AP$66,AH!$U$4)),IF(AH!$U$5=1,INDEX('Live History'!$H$5:$H$3004,MATCH($A98,'Live History'!$G$5:$G$3004,1)),INDEX('AH History'!$B$5:$B$1380,$K98))),NA()),NA())</f>
        <v/>
      </c>
      <c r="I98" s="34">
        <f>IFERROR(IF(ISNUMBER($A98),IF(AND(AH!$U$12=1,93+1=AH!$U$6),TODAY(),IF(AH!$U$5=1,INDEX('Live History'!$G$5:$G$3004,MATCH($A98,'Live History'!$G$5:$G$3004,1)),INDEX('AH History'!$C$5:$C$1380,$K98))),NA()),NA())</f>
        <v/>
      </c>
      <c r="J98" s="32">
        <f>IFERROR(IF(AND($F98&gt;0,$H98&gt;0,$A98-$G98&lt;=10,$A98-$I98&lt;=5,$G98&gt;0,$I98&gt;0),$F98*$H98,NA()),NA())</f>
        <v/>
      </c>
      <c r="K98" s="15">
        <f>IF($A98="","",IF(AH!$U$5=1,IFERROR(MATCH($A98,'Live History'!$A$5:$A$3004,0),0),AH!$U$7+93))</f>
        <v/>
      </c>
      <c r="L98" s="15">
        <f>IF(ISNUMBER(A98),TEXT(A98,"dd-mmm-yy"),"")</f>
        <v/>
      </c>
    </row>
    <row r="99">
      <c r="A99" s="14">
        <f>IF(OR(AH!$U$4=0,94+1&gt;AH!$U$6,AND(AH!$M$5="Bloomberg",AH!$U$5=0)),"",IFERROR(IF(AND(AH!$U$12=1,94+1=AH!$U$6),TODAY(),IF(AH!$U$5=1,INDEX('Live History'!$A$5:$A$3004,AH!$U$7+94),INDEX('AH History'!$A$5:$A$1380,AH!$U$7+94))),""))</f>
        <v/>
      </c>
      <c r="B99" s="33">
        <f>IFERROR(IF(AH!$U$11=1,NA(),$J99/$E99-1),NA())</f>
        <v/>
      </c>
      <c r="C99" s="269">
        <f>IFERROR(100*$E99/$E$5,NA())</f>
        <v/>
      </c>
      <c r="D99" s="269">
        <f>IFERROR(100*$J99/$J$5,NA())</f>
        <v/>
      </c>
      <c r="E99" s="32">
        <f>IFERROR(IF(AND(ISNUMBER($A99),N(IF(AND(AH!$U$12=1,94+1=AH!$U$6),IF(AH!$U$4=0,"unavailable",INDEX('Market Data'!$AN$5:$AN$66,AH!$U$4)),IF(AH!$U$5=1,INDEX('Live History'!$B$5:$B$3004,$K99),INDEX('AH History'!$D$5:$GG$1380,$K99,AH!$U$10))))&gt;0),IF(AND(AH!$U$12=1,94+1=AH!$U$6),IF(AH!$U$4=0,"unavailable",INDEX('Market Data'!$AN$5:$AN$66,AH!$U$4)),IF(AH!$U$5=1,INDEX('Live History'!$B$5:$B$3004,$K99),INDEX('AH History'!$D$5:$GG$1380,$K99,AH!$U$10))),NA()),NA())</f>
        <v/>
      </c>
      <c r="F99" s="32">
        <f>IFERROR(IF(ISNUMBER($A99),IF(AND(AH!$U$12=1,94+1=AH!$U$6),IF(AH!$U$4=0,"unavailable",INDEX('Market Data'!$AO$5:$AO$66,AH!$U$4)),IF(AH!$U$5=1,INDEX('Live History'!$E$5:$E$3004,MATCH($A99,'Live History'!$D$5:$D$3004,1)),INDEX('AH History'!$D$5:$GG$1380,$K99,AH!$U$10+1))),NA()),NA())</f>
        <v/>
      </c>
      <c r="G99" s="34">
        <f>IFERROR(IF(ISNUMBER($A99),IF(AND(AH!$U$12=1,94+1=AH!$U$6),IF(AH!$U$4=0,"unavailable",INDEX('Market Data'!$AK$5:$AK$66,AH!$U$4)),IF(AH!$U$5=1,INDEX('Live History'!$D$5:$D$3004,MATCH($A99,'Live History'!$D$5:$D$3004,1)),INDEX('AH History'!$D$5:$GG$1380,$K99,AH!$U$10+2))),NA()),NA())</f>
        <v/>
      </c>
      <c r="H99" s="266">
        <f>IFERROR(IF(ISNUMBER($A99),IF(AND(AH!$U$12=1,94+1=AH!$U$6),IF(AH!$U$4=0,"unavailable",INDEX('Market Data'!$AP$5:$AP$66,AH!$U$4)),IF(AH!$U$5=1,INDEX('Live History'!$H$5:$H$3004,MATCH($A99,'Live History'!$G$5:$G$3004,1)),INDEX('AH History'!$B$5:$B$1380,$K99))),NA()),NA())</f>
        <v/>
      </c>
      <c r="I99" s="34">
        <f>IFERROR(IF(ISNUMBER($A99),IF(AND(AH!$U$12=1,94+1=AH!$U$6),TODAY(),IF(AH!$U$5=1,INDEX('Live History'!$G$5:$G$3004,MATCH($A99,'Live History'!$G$5:$G$3004,1)),INDEX('AH History'!$C$5:$C$1380,$K99))),NA()),NA())</f>
        <v/>
      </c>
      <c r="J99" s="32">
        <f>IFERROR(IF(AND($F99&gt;0,$H99&gt;0,$A99-$G99&lt;=10,$A99-$I99&lt;=5,$G99&gt;0,$I99&gt;0),$F99*$H99,NA()),NA())</f>
        <v/>
      </c>
      <c r="K99" s="15">
        <f>IF($A99="","",IF(AH!$U$5=1,IFERROR(MATCH($A99,'Live History'!$A$5:$A$3004,0),0),AH!$U$7+94))</f>
        <v/>
      </c>
      <c r="L99" s="15">
        <f>IF(ISNUMBER(A99),TEXT(A99,"dd-mmm-yy"),"")</f>
        <v/>
      </c>
    </row>
    <row r="100">
      <c r="A100" s="14">
        <f>IF(OR(AH!$U$4=0,95+1&gt;AH!$U$6,AND(AH!$M$5="Bloomberg",AH!$U$5=0)),"",IFERROR(IF(AND(AH!$U$12=1,95+1=AH!$U$6),TODAY(),IF(AH!$U$5=1,INDEX('Live History'!$A$5:$A$3004,AH!$U$7+95),INDEX('AH History'!$A$5:$A$1380,AH!$U$7+95))),""))</f>
        <v/>
      </c>
      <c r="B100" s="33">
        <f>IFERROR(IF(AH!$U$11=1,NA(),$J100/$E100-1),NA())</f>
        <v/>
      </c>
      <c r="C100" s="269">
        <f>IFERROR(100*$E100/$E$5,NA())</f>
        <v/>
      </c>
      <c r="D100" s="269">
        <f>IFERROR(100*$J100/$J$5,NA())</f>
        <v/>
      </c>
      <c r="E100" s="32">
        <f>IFERROR(IF(AND(ISNUMBER($A100),N(IF(AND(AH!$U$12=1,95+1=AH!$U$6),IF(AH!$U$4=0,"unavailable",INDEX('Market Data'!$AN$5:$AN$66,AH!$U$4)),IF(AH!$U$5=1,INDEX('Live History'!$B$5:$B$3004,$K100),INDEX('AH History'!$D$5:$GG$1380,$K100,AH!$U$10))))&gt;0),IF(AND(AH!$U$12=1,95+1=AH!$U$6),IF(AH!$U$4=0,"unavailable",INDEX('Market Data'!$AN$5:$AN$66,AH!$U$4)),IF(AH!$U$5=1,INDEX('Live History'!$B$5:$B$3004,$K100),INDEX('AH History'!$D$5:$GG$1380,$K100,AH!$U$10))),NA()),NA())</f>
        <v/>
      </c>
      <c r="F100" s="32">
        <f>IFERROR(IF(ISNUMBER($A100),IF(AND(AH!$U$12=1,95+1=AH!$U$6),IF(AH!$U$4=0,"unavailable",INDEX('Market Data'!$AO$5:$AO$66,AH!$U$4)),IF(AH!$U$5=1,INDEX('Live History'!$E$5:$E$3004,MATCH($A100,'Live History'!$D$5:$D$3004,1)),INDEX('AH History'!$D$5:$GG$1380,$K100,AH!$U$10+1))),NA()),NA())</f>
        <v/>
      </c>
      <c r="G100" s="34">
        <f>IFERROR(IF(ISNUMBER($A100),IF(AND(AH!$U$12=1,95+1=AH!$U$6),IF(AH!$U$4=0,"unavailable",INDEX('Market Data'!$AK$5:$AK$66,AH!$U$4)),IF(AH!$U$5=1,INDEX('Live History'!$D$5:$D$3004,MATCH($A100,'Live History'!$D$5:$D$3004,1)),INDEX('AH History'!$D$5:$GG$1380,$K100,AH!$U$10+2))),NA()),NA())</f>
        <v/>
      </c>
      <c r="H100" s="266">
        <f>IFERROR(IF(ISNUMBER($A100),IF(AND(AH!$U$12=1,95+1=AH!$U$6),IF(AH!$U$4=0,"unavailable",INDEX('Market Data'!$AP$5:$AP$66,AH!$U$4)),IF(AH!$U$5=1,INDEX('Live History'!$H$5:$H$3004,MATCH($A100,'Live History'!$G$5:$G$3004,1)),INDEX('AH History'!$B$5:$B$1380,$K100))),NA()),NA())</f>
        <v/>
      </c>
      <c r="I100" s="34">
        <f>IFERROR(IF(ISNUMBER($A100),IF(AND(AH!$U$12=1,95+1=AH!$U$6),TODAY(),IF(AH!$U$5=1,INDEX('Live History'!$G$5:$G$3004,MATCH($A100,'Live History'!$G$5:$G$3004,1)),INDEX('AH History'!$C$5:$C$1380,$K100))),NA()),NA())</f>
        <v/>
      </c>
      <c r="J100" s="32">
        <f>IFERROR(IF(AND($F100&gt;0,$H100&gt;0,$A100-$G100&lt;=10,$A100-$I100&lt;=5,$G100&gt;0,$I100&gt;0),$F100*$H100,NA()),NA())</f>
        <v/>
      </c>
      <c r="K100" s="15">
        <f>IF($A100="","",IF(AH!$U$5=1,IFERROR(MATCH($A100,'Live History'!$A$5:$A$3004,0),0),AH!$U$7+95))</f>
        <v/>
      </c>
      <c r="L100" s="15">
        <f>IF(ISNUMBER(A100),TEXT(A100,"dd-mmm-yy"),"")</f>
        <v/>
      </c>
    </row>
    <row r="101">
      <c r="A101" s="14">
        <f>IF(OR(AH!$U$4=0,96+1&gt;AH!$U$6,AND(AH!$M$5="Bloomberg",AH!$U$5=0)),"",IFERROR(IF(AND(AH!$U$12=1,96+1=AH!$U$6),TODAY(),IF(AH!$U$5=1,INDEX('Live History'!$A$5:$A$3004,AH!$U$7+96),INDEX('AH History'!$A$5:$A$1380,AH!$U$7+96))),""))</f>
        <v/>
      </c>
      <c r="B101" s="33">
        <f>IFERROR(IF(AH!$U$11=1,NA(),$J101/$E101-1),NA())</f>
        <v/>
      </c>
      <c r="C101" s="269">
        <f>IFERROR(100*$E101/$E$5,NA())</f>
        <v/>
      </c>
      <c r="D101" s="269">
        <f>IFERROR(100*$J101/$J$5,NA())</f>
        <v/>
      </c>
      <c r="E101" s="32">
        <f>IFERROR(IF(AND(ISNUMBER($A101),N(IF(AND(AH!$U$12=1,96+1=AH!$U$6),IF(AH!$U$4=0,"unavailable",INDEX('Market Data'!$AN$5:$AN$66,AH!$U$4)),IF(AH!$U$5=1,INDEX('Live History'!$B$5:$B$3004,$K101),INDEX('AH History'!$D$5:$GG$1380,$K101,AH!$U$10))))&gt;0),IF(AND(AH!$U$12=1,96+1=AH!$U$6),IF(AH!$U$4=0,"unavailable",INDEX('Market Data'!$AN$5:$AN$66,AH!$U$4)),IF(AH!$U$5=1,INDEX('Live History'!$B$5:$B$3004,$K101),INDEX('AH History'!$D$5:$GG$1380,$K101,AH!$U$10))),NA()),NA())</f>
        <v/>
      </c>
      <c r="F101" s="32">
        <f>IFERROR(IF(ISNUMBER($A101),IF(AND(AH!$U$12=1,96+1=AH!$U$6),IF(AH!$U$4=0,"unavailable",INDEX('Market Data'!$AO$5:$AO$66,AH!$U$4)),IF(AH!$U$5=1,INDEX('Live History'!$E$5:$E$3004,MATCH($A101,'Live History'!$D$5:$D$3004,1)),INDEX('AH History'!$D$5:$GG$1380,$K101,AH!$U$10+1))),NA()),NA())</f>
        <v/>
      </c>
      <c r="G101" s="34">
        <f>IFERROR(IF(ISNUMBER($A101),IF(AND(AH!$U$12=1,96+1=AH!$U$6),IF(AH!$U$4=0,"unavailable",INDEX('Market Data'!$AK$5:$AK$66,AH!$U$4)),IF(AH!$U$5=1,INDEX('Live History'!$D$5:$D$3004,MATCH($A101,'Live History'!$D$5:$D$3004,1)),INDEX('AH History'!$D$5:$GG$1380,$K101,AH!$U$10+2))),NA()),NA())</f>
        <v/>
      </c>
      <c r="H101" s="266">
        <f>IFERROR(IF(ISNUMBER($A101),IF(AND(AH!$U$12=1,96+1=AH!$U$6),IF(AH!$U$4=0,"unavailable",INDEX('Market Data'!$AP$5:$AP$66,AH!$U$4)),IF(AH!$U$5=1,INDEX('Live History'!$H$5:$H$3004,MATCH($A101,'Live History'!$G$5:$G$3004,1)),INDEX('AH History'!$B$5:$B$1380,$K101))),NA()),NA())</f>
        <v/>
      </c>
      <c r="I101" s="34">
        <f>IFERROR(IF(ISNUMBER($A101),IF(AND(AH!$U$12=1,96+1=AH!$U$6),TODAY(),IF(AH!$U$5=1,INDEX('Live History'!$G$5:$G$3004,MATCH($A101,'Live History'!$G$5:$G$3004,1)),INDEX('AH History'!$C$5:$C$1380,$K101))),NA()),NA())</f>
        <v/>
      </c>
      <c r="J101" s="32">
        <f>IFERROR(IF(AND($F101&gt;0,$H101&gt;0,$A101-$G101&lt;=10,$A101-$I101&lt;=5,$G101&gt;0,$I101&gt;0),$F101*$H101,NA()),NA())</f>
        <v/>
      </c>
      <c r="K101" s="15">
        <f>IF($A101="","",IF(AH!$U$5=1,IFERROR(MATCH($A101,'Live History'!$A$5:$A$3004,0),0),AH!$U$7+96))</f>
        <v/>
      </c>
      <c r="L101" s="15">
        <f>IF(ISNUMBER(A101),TEXT(A101,"dd-mmm-yy"),"")</f>
        <v/>
      </c>
    </row>
    <row r="102">
      <c r="A102" s="14">
        <f>IF(OR(AH!$U$4=0,97+1&gt;AH!$U$6,AND(AH!$M$5="Bloomberg",AH!$U$5=0)),"",IFERROR(IF(AND(AH!$U$12=1,97+1=AH!$U$6),TODAY(),IF(AH!$U$5=1,INDEX('Live History'!$A$5:$A$3004,AH!$U$7+97),INDEX('AH History'!$A$5:$A$1380,AH!$U$7+97))),""))</f>
        <v/>
      </c>
      <c r="B102" s="33">
        <f>IFERROR(IF(AH!$U$11=1,NA(),$J102/$E102-1),NA())</f>
        <v/>
      </c>
      <c r="C102" s="269">
        <f>IFERROR(100*$E102/$E$5,NA())</f>
        <v/>
      </c>
      <c r="D102" s="269">
        <f>IFERROR(100*$J102/$J$5,NA())</f>
        <v/>
      </c>
      <c r="E102" s="32">
        <f>IFERROR(IF(AND(ISNUMBER($A102),N(IF(AND(AH!$U$12=1,97+1=AH!$U$6),IF(AH!$U$4=0,"unavailable",INDEX('Market Data'!$AN$5:$AN$66,AH!$U$4)),IF(AH!$U$5=1,INDEX('Live History'!$B$5:$B$3004,$K102),INDEX('AH History'!$D$5:$GG$1380,$K102,AH!$U$10))))&gt;0),IF(AND(AH!$U$12=1,97+1=AH!$U$6),IF(AH!$U$4=0,"unavailable",INDEX('Market Data'!$AN$5:$AN$66,AH!$U$4)),IF(AH!$U$5=1,INDEX('Live History'!$B$5:$B$3004,$K102),INDEX('AH History'!$D$5:$GG$1380,$K102,AH!$U$10))),NA()),NA())</f>
        <v/>
      </c>
      <c r="F102" s="32">
        <f>IFERROR(IF(ISNUMBER($A102),IF(AND(AH!$U$12=1,97+1=AH!$U$6),IF(AH!$U$4=0,"unavailable",INDEX('Market Data'!$AO$5:$AO$66,AH!$U$4)),IF(AH!$U$5=1,INDEX('Live History'!$E$5:$E$3004,MATCH($A102,'Live History'!$D$5:$D$3004,1)),INDEX('AH History'!$D$5:$GG$1380,$K102,AH!$U$10+1))),NA()),NA())</f>
        <v/>
      </c>
      <c r="G102" s="34">
        <f>IFERROR(IF(ISNUMBER($A102),IF(AND(AH!$U$12=1,97+1=AH!$U$6),IF(AH!$U$4=0,"unavailable",INDEX('Market Data'!$AK$5:$AK$66,AH!$U$4)),IF(AH!$U$5=1,INDEX('Live History'!$D$5:$D$3004,MATCH($A102,'Live History'!$D$5:$D$3004,1)),INDEX('AH History'!$D$5:$GG$1380,$K102,AH!$U$10+2))),NA()),NA())</f>
        <v/>
      </c>
      <c r="H102" s="266">
        <f>IFERROR(IF(ISNUMBER($A102),IF(AND(AH!$U$12=1,97+1=AH!$U$6),IF(AH!$U$4=0,"unavailable",INDEX('Market Data'!$AP$5:$AP$66,AH!$U$4)),IF(AH!$U$5=1,INDEX('Live History'!$H$5:$H$3004,MATCH($A102,'Live History'!$G$5:$G$3004,1)),INDEX('AH History'!$B$5:$B$1380,$K102))),NA()),NA())</f>
        <v/>
      </c>
      <c r="I102" s="34">
        <f>IFERROR(IF(ISNUMBER($A102),IF(AND(AH!$U$12=1,97+1=AH!$U$6),TODAY(),IF(AH!$U$5=1,INDEX('Live History'!$G$5:$G$3004,MATCH($A102,'Live History'!$G$5:$G$3004,1)),INDEX('AH History'!$C$5:$C$1380,$K102))),NA()),NA())</f>
        <v/>
      </c>
      <c r="J102" s="32">
        <f>IFERROR(IF(AND($F102&gt;0,$H102&gt;0,$A102-$G102&lt;=10,$A102-$I102&lt;=5,$G102&gt;0,$I102&gt;0),$F102*$H102,NA()),NA())</f>
        <v/>
      </c>
      <c r="K102" s="15">
        <f>IF($A102="","",IF(AH!$U$5=1,IFERROR(MATCH($A102,'Live History'!$A$5:$A$3004,0),0),AH!$U$7+97))</f>
        <v/>
      </c>
      <c r="L102" s="15">
        <f>IF(ISNUMBER(A102),TEXT(A102,"dd-mmm-yy"),"")</f>
        <v/>
      </c>
    </row>
    <row r="103">
      <c r="A103" s="14">
        <f>IF(OR(AH!$U$4=0,98+1&gt;AH!$U$6,AND(AH!$M$5="Bloomberg",AH!$U$5=0)),"",IFERROR(IF(AND(AH!$U$12=1,98+1=AH!$U$6),TODAY(),IF(AH!$U$5=1,INDEX('Live History'!$A$5:$A$3004,AH!$U$7+98),INDEX('AH History'!$A$5:$A$1380,AH!$U$7+98))),""))</f>
        <v/>
      </c>
      <c r="B103" s="33">
        <f>IFERROR(IF(AH!$U$11=1,NA(),$J103/$E103-1),NA())</f>
        <v/>
      </c>
      <c r="C103" s="269">
        <f>IFERROR(100*$E103/$E$5,NA())</f>
        <v/>
      </c>
      <c r="D103" s="269">
        <f>IFERROR(100*$J103/$J$5,NA())</f>
        <v/>
      </c>
      <c r="E103" s="32">
        <f>IFERROR(IF(AND(ISNUMBER($A103),N(IF(AND(AH!$U$12=1,98+1=AH!$U$6),IF(AH!$U$4=0,"unavailable",INDEX('Market Data'!$AN$5:$AN$66,AH!$U$4)),IF(AH!$U$5=1,INDEX('Live History'!$B$5:$B$3004,$K103),INDEX('AH History'!$D$5:$GG$1380,$K103,AH!$U$10))))&gt;0),IF(AND(AH!$U$12=1,98+1=AH!$U$6),IF(AH!$U$4=0,"unavailable",INDEX('Market Data'!$AN$5:$AN$66,AH!$U$4)),IF(AH!$U$5=1,INDEX('Live History'!$B$5:$B$3004,$K103),INDEX('AH History'!$D$5:$GG$1380,$K103,AH!$U$10))),NA()),NA())</f>
        <v/>
      </c>
      <c r="F103" s="32">
        <f>IFERROR(IF(ISNUMBER($A103),IF(AND(AH!$U$12=1,98+1=AH!$U$6),IF(AH!$U$4=0,"unavailable",INDEX('Market Data'!$AO$5:$AO$66,AH!$U$4)),IF(AH!$U$5=1,INDEX('Live History'!$E$5:$E$3004,MATCH($A103,'Live History'!$D$5:$D$3004,1)),INDEX('AH History'!$D$5:$GG$1380,$K103,AH!$U$10+1))),NA()),NA())</f>
        <v/>
      </c>
      <c r="G103" s="34">
        <f>IFERROR(IF(ISNUMBER($A103),IF(AND(AH!$U$12=1,98+1=AH!$U$6),IF(AH!$U$4=0,"unavailable",INDEX('Market Data'!$AK$5:$AK$66,AH!$U$4)),IF(AH!$U$5=1,INDEX('Live History'!$D$5:$D$3004,MATCH($A103,'Live History'!$D$5:$D$3004,1)),INDEX('AH History'!$D$5:$GG$1380,$K103,AH!$U$10+2))),NA()),NA())</f>
        <v/>
      </c>
      <c r="H103" s="266">
        <f>IFERROR(IF(ISNUMBER($A103),IF(AND(AH!$U$12=1,98+1=AH!$U$6),IF(AH!$U$4=0,"unavailable",INDEX('Market Data'!$AP$5:$AP$66,AH!$U$4)),IF(AH!$U$5=1,INDEX('Live History'!$H$5:$H$3004,MATCH($A103,'Live History'!$G$5:$G$3004,1)),INDEX('AH History'!$B$5:$B$1380,$K103))),NA()),NA())</f>
        <v/>
      </c>
      <c r="I103" s="34">
        <f>IFERROR(IF(ISNUMBER($A103),IF(AND(AH!$U$12=1,98+1=AH!$U$6),TODAY(),IF(AH!$U$5=1,INDEX('Live History'!$G$5:$G$3004,MATCH($A103,'Live History'!$G$5:$G$3004,1)),INDEX('AH History'!$C$5:$C$1380,$K103))),NA()),NA())</f>
        <v/>
      </c>
      <c r="J103" s="32">
        <f>IFERROR(IF(AND($F103&gt;0,$H103&gt;0,$A103-$G103&lt;=10,$A103-$I103&lt;=5,$G103&gt;0,$I103&gt;0),$F103*$H103,NA()),NA())</f>
        <v/>
      </c>
      <c r="K103" s="15">
        <f>IF($A103="","",IF(AH!$U$5=1,IFERROR(MATCH($A103,'Live History'!$A$5:$A$3004,0),0),AH!$U$7+98))</f>
        <v/>
      </c>
      <c r="L103" s="15">
        <f>IF(ISNUMBER(A103),TEXT(A103,"dd-mmm-yy"),"")</f>
        <v/>
      </c>
    </row>
    <row r="104">
      <c r="A104" s="14">
        <f>IF(OR(AH!$U$4=0,99+1&gt;AH!$U$6,AND(AH!$M$5="Bloomberg",AH!$U$5=0)),"",IFERROR(IF(AND(AH!$U$12=1,99+1=AH!$U$6),TODAY(),IF(AH!$U$5=1,INDEX('Live History'!$A$5:$A$3004,AH!$U$7+99),INDEX('AH History'!$A$5:$A$1380,AH!$U$7+99))),""))</f>
        <v/>
      </c>
      <c r="B104" s="33">
        <f>IFERROR(IF(AH!$U$11=1,NA(),$J104/$E104-1),NA())</f>
        <v/>
      </c>
      <c r="C104" s="269">
        <f>IFERROR(100*$E104/$E$5,NA())</f>
        <v/>
      </c>
      <c r="D104" s="269">
        <f>IFERROR(100*$J104/$J$5,NA())</f>
        <v/>
      </c>
      <c r="E104" s="32">
        <f>IFERROR(IF(AND(ISNUMBER($A104),N(IF(AND(AH!$U$12=1,99+1=AH!$U$6),IF(AH!$U$4=0,"unavailable",INDEX('Market Data'!$AN$5:$AN$66,AH!$U$4)),IF(AH!$U$5=1,INDEX('Live History'!$B$5:$B$3004,$K104),INDEX('AH History'!$D$5:$GG$1380,$K104,AH!$U$10))))&gt;0),IF(AND(AH!$U$12=1,99+1=AH!$U$6),IF(AH!$U$4=0,"unavailable",INDEX('Market Data'!$AN$5:$AN$66,AH!$U$4)),IF(AH!$U$5=1,INDEX('Live History'!$B$5:$B$3004,$K104),INDEX('AH History'!$D$5:$GG$1380,$K104,AH!$U$10))),NA()),NA())</f>
        <v/>
      </c>
      <c r="F104" s="32">
        <f>IFERROR(IF(ISNUMBER($A104),IF(AND(AH!$U$12=1,99+1=AH!$U$6),IF(AH!$U$4=0,"unavailable",INDEX('Market Data'!$AO$5:$AO$66,AH!$U$4)),IF(AH!$U$5=1,INDEX('Live History'!$E$5:$E$3004,MATCH($A104,'Live History'!$D$5:$D$3004,1)),INDEX('AH History'!$D$5:$GG$1380,$K104,AH!$U$10+1))),NA()),NA())</f>
        <v/>
      </c>
      <c r="G104" s="34">
        <f>IFERROR(IF(ISNUMBER($A104),IF(AND(AH!$U$12=1,99+1=AH!$U$6),IF(AH!$U$4=0,"unavailable",INDEX('Market Data'!$AK$5:$AK$66,AH!$U$4)),IF(AH!$U$5=1,INDEX('Live History'!$D$5:$D$3004,MATCH($A104,'Live History'!$D$5:$D$3004,1)),INDEX('AH History'!$D$5:$GG$1380,$K104,AH!$U$10+2))),NA()),NA())</f>
        <v/>
      </c>
      <c r="H104" s="266">
        <f>IFERROR(IF(ISNUMBER($A104),IF(AND(AH!$U$12=1,99+1=AH!$U$6),IF(AH!$U$4=0,"unavailable",INDEX('Market Data'!$AP$5:$AP$66,AH!$U$4)),IF(AH!$U$5=1,INDEX('Live History'!$H$5:$H$3004,MATCH($A104,'Live History'!$G$5:$G$3004,1)),INDEX('AH History'!$B$5:$B$1380,$K104))),NA()),NA())</f>
        <v/>
      </c>
      <c r="I104" s="34">
        <f>IFERROR(IF(ISNUMBER($A104),IF(AND(AH!$U$12=1,99+1=AH!$U$6),TODAY(),IF(AH!$U$5=1,INDEX('Live History'!$G$5:$G$3004,MATCH($A104,'Live History'!$G$5:$G$3004,1)),INDEX('AH History'!$C$5:$C$1380,$K104))),NA()),NA())</f>
        <v/>
      </c>
      <c r="J104" s="32">
        <f>IFERROR(IF(AND($F104&gt;0,$H104&gt;0,$A104-$G104&lt;=10,$A104-$I104&lt;=5,$G104&gt;0,$I104&gt;0),$F104*$H104,NA()),NA())</f>
        <v/>
      </c>
      <c r="K104" s="15">
        <f>IF($A104="","",IF(AH!$U$5=1,IFERROR(MATCH($A104,'Live History'!$A$5:$A$3004,0),0),AH!$U$7+99))</f>
        <v/>
      </c>
      <c r="L104" s="15">
        <f>IF(ISNUMBER(A104),TEXT(A104,"dd-mmm-yy"),"")</f>
        <v/>
      </c>
    </row>
    <row r="105">
      <c r="A105" s="14">
        <f>IF(OR(AH!$U$4=0,100+1&gt;AH!$U$6,AND(AH!$M$5="Bloomberg",AH!$U$5=0)),"",IFERROR(IF(AND(AH!$U$12=1,100+1=AH!$U$6),TODAY(),IF(AH!$U$5=1,INDEX('Live History'!$A$5:$A$3004,AH!$U$7+100),INDEX('AH History'!$A$5:$A$1380,AH!$U$7+100))),""))</f>
        <v/>
      </c>
      <c r="B105" s="33">
        <f>IFERROR(IF(AH!$U$11=1,NA(),$J105/$E105-1),NA())</f>
        <v/>
      </c>
      <c r="C105" s="269">
        <f>IFERROR(100*$E105/$E$5,NA())</f>
        <v/>
      </c>
      <c r="D105" s="269">
        <f>IFERROR(100*$J105/$J$5,NA())</f>
        <v/>
      </c>
      <c r="E105" s="32">
        <f>IFERROR(IF(AND(ISNUMBER($A105),N(IF(AND(AH!$U$12=1,100+1=AH!$U$6),IF(AH!$U$4=0,"unavailable",INDEX('Market Data'!$AN$5:$AN$66,AH!$U$4)),IF(AH!$U$5=1,INDEX('Live History'!$B$5:$B$3004,$K105),INDEX('AH History'!$D$5:$GG$1380,$K105,AH!$U$10))))&gt;0),IF(AND(AH!$U$12=1,100+1=AH!$U$6),IF(AH!$U$4=0,"unavailable",INDEX('Market Data'!$AN$5:$AN$66,AH!$U$4)),IF(AH!$U$5=1,INDEX('Live History'!$B$5:$B$3004,$K105),INDEX('AH History'!$D$5:$GG$1380,$K105,AH!$U$10))),NA()),NA())</f>
        <v/>
      </c>
      <c r="F105" s="32">
        <f>IFERROR(IF(ISNUMBER($A105),IF(AND(AH!$U$12=1,100+1=AH!$U$6),IF(AH!$U$4=0,"unavailable",INDEX('Market Data'!$AO$5:$AO$66,AH!$U$4)),IF(AH!$U$5=1,INDEX('Live History'!$E$5:$E$3004,MATCH($A105,'Live History'!$D$5:$D$3004,1)),INDEX('AH History'!$D$5:$GG$1380,$K105,AH!$U$10+1))),NA()),NA())</f>
        <v/>
      </c>
      <c r="G105" s="34">
        <f>IFERROR(IF(ISNUMBER($A105),IF(AND(AH!$U$12=1,100+1=AH!$U$6),IF(AH!$U$4=0,"unavailable",INDEX('Market Data'!$AK$5:$AK$66,AH!$U$4)),IF(AH!$U$5=1,INDEX('Live History'!$D$5:$D$3004,MATCH($A105,'Live History'!$D$5:$D$3004,1)),INDEX('AH History'!$D$5:$GG$1380,$K105,AH!$U$10+2))),NA()),NA())</f>
        <v/>
      </c>
      <c r="H105" s="266">
        <f>IFERROR(IF(ISNUMBER($A105),IF(AND(AH!$U$12=1,100+1=AH!$U$6),IF(AH!$U$4=0,"unavailable",INDEX('Market Data'!$AP$5:$AP$66,AH!$U$4)),IF(AH!$U$5=1,INDEX('Live History'!$H$5:$H$3004,MATCH($A105,'Live History'!$G$5:$G$3004,1)),INDEX('AH History'!$B$5:$B$1380,$K105))),NA()),NA())</f>
        <v/>
      </c>
      <c r="I105" s="34">
        <f>IFERROR(IF(ISNUMBER($A105),IF(AND(AH!$U$12=1,100+1=AH!$U$6),TODAY(),IF(AH!$U$5=1,INDEX('Live History'!$G$5:$G$3004,MATCH($A105,'Live History'!$G$5:$G$3004,1)),INDEX('AH History'!$C$5:$C$1380,$K105))),NA()),NA())</f>
        <v/>
      </c>
      <c r="J105" s="32">
        <f>IFERROR(IF(AND($F105&gt;0,$H105&gt;0,$A105-$G105&lt;=10,$A105-$I105&lt;=5,$G105&gt;0,$I105&gt;0),$F105*$H105,NA()),NA())</f>
        <v/>
      </c>
      <c r="K105" s="15">
        <f>IF($A105="","",IF(AH!$U$5=1,IFERROR(MATCH($A105,'Live History'!$A$5:$A$3004,0),0),AH!$U$7+100))</f>
        <v/>
      </c>
      <c r="L105" s="15">
        <f>IF(ISNUMBER(A105),TEXT(A105,"dd-mmm-yy"),"")</f>
        <v/>
      </c>
    </row>
    <row r="106">
      <c r="A106" s="14">
        <f>IF(OR(AH!$U$4=0,101+1&gt;AH!$U$6,AND(AH!$M$5="Bloomberg",AH!$U$5=0)),"",IFERROR(IF(AND(AH!$U$12=1,101+1=AH!$U$6),TODAY(),IF(AH!$U$5=1,INDEX('Live History'!$A$5:$A$3004,AH!$U$7+101),INDEX('AH History'!$A$5:$A$1380,AH!$U$7+101))),""))</f>
        <v/>
      </c>
      <c r="B106" s="33">
        <f>IFERROR(IF(AH!$U$11=1,NA(),$J106/$E106-1),NA())</f>
        <v/>
      </c>
      <c r="C106" s="269">
        <f>IFERROR(100*$E106/$E$5,NA())</f>
        <v/>
      </c>
      <c r="D106" s="269">
        <f>IFERROR(100*$J106/$J$5,NA())</f>
        <v/>
      </c>
      <c r="E106" s="32">
        <f>IFERROR(IF(AND(ISNUMBER($A106),N(IF(AND(AH!$U$12=1,101+1=AH!$U$6),IF(AH!$U$4=0,"unavailable",INDEX('Market Data'!$AN$5:$AN$66,AH!$U$4)),IF(AH!$U$5=1,INDEX('Live History'!$B$5:$B$3004,$K106),INDEX('AH History'!$D$5:$GG$1380,$K106,AH!$U$10))))&gt;0),IF(AND(AH!$U$12=1,101+1=AH!$U$6),IF(AH!$U$4=0,"unavailable",INDEX('Market Data'!$AN$5:$AN$66,AH!$U$4)),IF(AH!$U$5=1,INDEX('Live History'!$B$5:$B$3004,$K106),INDEX('AH History'!$D$5:$GG$1380,$K106,AH!$U$10))),NA()),NA())</f>
        <v/>
      </c>
      <c r="F106" s="32">
        <f>IFERROR(IF(ISNUMBER($A106),IF(AND(AH!$U$12=1,101+1=AH!$U$6),IF(AH!$U$4=0,"unavailable",INDEX('Market Data'!$AO$5:$AO$66,AH!$U$4)),IF(AH!$U$5=1,INDEX('Live History'!$E$5:$E$3004,MATCH($A106,'Live History'!$D$5:$D$3004,1)),INDEX('AH History'!$D$5:$GG$1380,$K106,AH!$U$10+1))),NA()),NA())</f>
        <v/>
      </c>
      <c r="G106" s="34">
        <f>IFERROR(IF(ISNUMBER($A106),IF(AND(AH!$U$12=1,101+1=AH!$U$6),IF(AH!$U$4=0,"unavailable",INDEX('Market Data'!$AK$5:$AK$66,AH!$U$4)),IF(AH!$U$5=1,INDEX('Live History'!$D$5:$D$3004,MATCH($A106,'Live History'!$D$5:$D$3004,1)),INDEX('AH History'!$D$5:$GG$1380,$K106,AH!$U$10+2))),NA()),NA())</f>
        <v/>
      </c>
      <c r="H106" s="266">
        <f>IFERROR(IF(ISNUMBER($A106),IF(AND(AH!$U$12=1,101+1=AH!$U$6),IF(AH!$U$4=0,"unavailable",INDEX('Market Data'!$AP$5:$AP$66,AH!$U$4)),IF(AH!$U$5=1,INDEX('Live History'!$H$5:$H$3004,MATCH($A106,'Live History'!$G$5:$G$3004,1)),INDEX('AH History'!$B$5:$B$1380,$K106))),NA()),NA())</f>
        <v/>
      </c>
      <c r="I106" s="34">
        <f>IFERROR(IF(ISNUMBER($A106),IF(AND(AH!$U$12=1,101+1=AH!$U$6),TODAY(),IF(AH!$U$5=1,INDEX('Live History'!$G$5:$G$3004,MATCH($A106,'Live History'!$G$5:$G$3004,1)),INDEX('AH History'!$C$5:$C$1380,$K106))),NA()),NA())</f>
        <v/>
      </c>
      <c r="J106" s="32">
        <f>IFERROR(IF(AND($F106&gt;0,$H106&gt;0,$A106-$G106&lt;=10,$A106-$I106&lt;=5,$G106&gt;0,$I106&gt;0),$F106*$H106,NA()),NA())</f>
        <v/>
      </c>
      <c r="K106" s="15">
        <f>IF($A106="","",IF(AH!$U$5=1,IFERROR(MATCH($A106,'Live History'!$A$5:$A$3004,0),0),AH!$U$7+101))</f>
        <v/>
      </c>
      <c r="L106" s="15">
        <f>IF(ISNUMBER(A106),TEXT(A106,"dd-mmm-yy"),"")</f>
        <v/>
      </c>
    </row>
    <row r="107">
      <c r="A107" s="14">
        <f>IF(OR(AH!$U$4=0,102+1&gt;AH!$U$6,AND(AH!$M$5="Bloomberg",AH!$U$5=0)),"",IFERROR(IF(AND(AH!$U$12=1,102+1=AH!$U$6),TODAY(),IF(AH!$U$5=1,INDEX('Live History'!$A$5:$A$3004,AH!$U$7+102),INDEX('AH History'!$A$5:$A$1380,AH!$U$7+102))),""))</f>
        <v/>
      </c>
      <c r="B107" s="33">
        <f>IFERROR(IF(AH!$U$11=1,NA(),$J107/$E107-1),NA())</f>
        <v/>
      </c>
      <c r="C107" s="269">
        <f>IFERROR(100*$E107/$E$5,NA())</f>
        <v/>
      </c>
      <c r="D107" s="269">
        <f>IFERROR(100*$J107/$J$5,NA())</f>
        <v/>
      </c>
      <c r="E107" s="32">
        <f>IFERROR(IF(AND(ISNUMBER($A107),N(IF(AND(AH!$U$12=1,102+1=AH!$U$6),IF(AH!$U$4=0,"unavailable",INDEX('Market Data'!$AN$5:$AN$66,AH!$U$4)),IF(AH!$U$5=1,INDEX('Live History'!$B$5:$B$3004,$K107),INDEX('AH History'!$D$5:$GG$1380,$K107,AH!$U$10))))&gt;0),IF(AND(AH!$U$12=1,102+1=AH!$U$6),IF(AH!$U$4=0,"unavailable",INDEX('Market Data'!$AN$5:$AN$66,AH!$U$4)),IF(AH!$U$5=1,INDEX('Live History'!$B$5:$B$3004,$K107),INDEX('AH History'!$D$5:$GG$1380,$K107,AH!$U$10))),NA()),NA())</f>
        <v/>
      </c>
      <c r="F107" s="32">
        <f>IFERROR(IF(ISNUMBER($A107),IF(AND(AH!$U$12=1,102+1=AH!$U$6),IF(AH!$U$4=0,"unavailable",INDEX('Market Data'!$AO$5:$AO$66,AH!$U$4)),IF(AH!$U$5=1,INDEX('Live History'!$E$5:$E$3004,MATCH($A107,'Live History'!$D$5:$D$3004,1)),INDEX('AH History'!$D$5:$GG$1380,$K107,AH!$U$10+1))),NA()),NA())</f>
        <v/>
      </c>
      <c r="G107" s="34">
        <f>IFERROR(IF(ISNUMBER($A107),IF(AND(AH!$U$12=1,102+1=AH!$U$6),IF(AH!$U$4=0,"unavailable",INDEX('Market Data'!$AK$5:$AK$66,AH!$U$4)),IF(AH!$U$5=1,INDEX('Live History'!$D$5:$D$3004,MATCH($A107,'Live History'!$D$5:$D$3004,1)),INDEX('AH History'!$D$5:$GG$1380,$K107,AH!$U$10+2))),NA()),NA())</f>
        <v/>
      </c>
      <c r="H107" s="266">
        <f>IFERROR(IF(ISNUMBER($A107),IF(AND(AH!$U$12=1,102+1=AH!$U$6),IF(AH!$U$4=0,"unavailable",INDEX('Market Data'!$AP$5:$AP$66,AH!$U$4)),IF(AH!$U$5=1,INDEX('Live History'!$H$5:$H$3004,MATCH($A107,'Live History'!$G$5:$G$3004,1)),INDEX('AH History'!$B$5:$B$1380,$K107))),NA()),NA())</f>
        <v/>
      </c>
      <c r="I107" s="34">
        <f>IFERROR(IF(ISNUMBER($A107),IF(AND(AH!$U$12=1,102+1=AH!$U$6),TODAY(),IF(AH!$U$5=1,INDEX('Live History'!$G$5:$G$3004,MATCH($A107,'Live History'!$G$5:$G$3004,1)),INDEX('AH History'!$C$5:$C$1380,$K107))),NA()),NA())</f>
        <v/>
      </c>
      <c r="J107" s="32">
        <f>IFERROR(IF(AND($F107&gt;0,$H107&gt;0,$A107-$G107&lt;=10,$A107-$I107&lt;=5,$G107&gt;0,$I107&gt;0),$F107*$H107,NA()),NA())</f>
        <v/>
      </c>
      <c r="K107" s="15">
        <f>IF($A107="","",IF(AH!$U$5=1,IFERROR(MATCH($A107,'Live History'!$A$5:$A$3004,0),0),AH!$U$7+102))</f>
        <v/>
      </c>
      <c r="L107" s="15">
        <f>IF(ISNUMBER(A107),TEXT(A107,"dd-mmm-yy"),"")</f>
        <v/>
      </c>
    </row>
    <row r="108">
      <c r="A108" s="14">
        <f>IF(OR(AH!$U$4=0,103+1&gt;AH!$U$6,AND(AH!$M$5="Bloomberg",AH!$U$5=0)),"",IFERROR(IF(AND(AH!$U$12=1,103+1=AH!$U$6),TODAY(),IF(AH!$U$5=1,INDEX('Live History'!$A$5:$A$3004,AH!$U$7+103),INDEX('AH History'!$A$5:$A$1380,AH!$U$7+103))),""))</f>
        <v/>
      </c>
      <c r="B108" s="33">
        <f>IFERROR(IF(AH!$U$11=1,NA(),$J108/$E108-1),NA())</f>
        <v/>
      </c>
      <c r="C108" s="269">
        <f>IFERROR(100*$E108/$E$5,NA())</f>
        <v/>
      </c>
      <c r="D108" s="269">
        <f>IFERROR(100*$J108/$J$5,NA())</f>
        <v/>
      </c>
      <c r="E108" s="32">
        <f>IFERROR(IF(AND(ISNUMBER($A108),N(IF(AND(AH!$U$12=1,103+1=AH!$U$6),IF(AH!$U$4=0,"unavailable",INDEX('Market Data'!$AN$5:$AN$66,AH!$U$4)),IF(AH!$U$5=1,INDEX('Live History'!$B$5:$B$3004,$K108),INDEX('AH History'!$D$5:$GG$1380,$K108,AH!$U$10))))&gt;0),IF(AND(AH!$U$12=1,103+1=AH!$U$6),IF(AH!$U$4=0,"unavailable",INDEX('Market Data'!$AN$5:$AN$66,AH!$U$4)),IF(AH!$U$5=1,INDEX('Live History'!$B$5:$B$3004,$K108),INDEX('AH History'!$D$5:$GG$1380,$K108,AH!$U$10))),NA()),NA())</f>
        <v/>
      </c>
      <c r="F108" s="32">
        <f>IFERROR(IF(ISNUMBER($A108),IF(AND(AH!$U$12=1,103+1=AH!$U$6),IF(AH!$U$4=0,"unavailable",INDEX('Market Data'!$AO$5:$AO$66,AH!$U$4)),IF(AH!$U$5=1,INDEX('Live History'!$E$5:$E$3004,MATCH($A108,'Live History'!$D$5:$D$3004,1)),INDEX('AH History'!$D$5:$GG$1380,$K108,AH!$U$10+1))),NA()),NA())</f>
        <v/>
      </c>
      <c r="G108" s="34">
        <f>IFERROR(IF(ISNUMBER($A108),IF(AND(AH!$U$12=1,103+1=AH!$U$6),IF(AH!$U$4=0,"unavailable",INDEX('Market Data'!$AK$5:$AK$66,AH!$U$4)),IF(AH!$U$5=1,INDEX('Live History'!$D$5:$D$3004,MATCH($A108,'Live History'!$D$5:$D$3004,1)),INDEX('AH History'!$D$5:$GG$1380,$K108,AH!$U$10+2))),NA()),NA())</f>
        <v/>
      </c>
      <c r="H108" s="266">
        <f>IFERROR(IF(ISNUMBER($A108),IF(AND(AH!$U$12=1,103+1=AH!$U$6),IF(AH!$U$4=0,"unavailable",INDEX('Market Data'!$AP$5:$AP$66,AH!$U$4)),IF(AH!$U$5=1,INDEX('Live History'!$H$5:$H$3004,MATCH($A108,'Live History'!$G$5:$G$3004,1)),INDEX('AH History'!$B$5:$B$1380,$K108))),NA()),NA())</f>
        <v/>
      </c>
      <c r="I108" s="34">
        <f>IFERROR(IF(ISNUMBER($A108),IF(AND(AH!$U$12=1,103+1=AH!$U$6),TODAY(),IF(AH!$U$5=1,INDEX('Live History'!$G$5:$G$3004,MATCH($A108,'Live History'!$G$5:$G$3004,1)),INDEX('AH History'!$C$5:$C$1380,$K108))),NA()),NA())</f>
        <v/>
      </c>
      <c r="J108" s="32">
        <f>IFERROR(IF(AND($F108&gt;0,$H108&gt;0,$A108-$G108&lt;=10,$A108-$I108&lt;=5,$G108&gt;0,$I108&gt;0),$F108*$H108,NA()),NA())</f>
        <v/>
      </c>
      <c r="K108" s="15">
        <f>IF($A108="","",IF(AH!$U$5=1,IFERROR(MATCH($A108,'Live History'!$A$5:$A$3004,0),0),AH!$U$7+103))</f>
        <v/>
      </c>
      <c r="L108" s="15">
        <f>IF(ISNUMBER(A108),TEXT(A108,"dd-mmm-yy"),"")</f>
        <v/>
      </c>
    </row>
    <row r="109">
      <c r="A109" s="14">
        <f>IF(OR(AH!$U$4=0,104+1&gt;AH!$U$6,AND(AH!$M$5="Bloomberg",AH!$U$5=0)),"",IFERROR(IF(AND(AH!$U$12=1,104+1=AH!$U$6),TODAY(),IF(AH!$U$5=1,INDEX('Live History'!$A$5:$A$3004,AH!$U$7+104),INDEX('AH History'!$A$5:$A$1380,AH!$U$7+104))),""))</f>
        <v/>
      </c>
      <c r="B109" s="33">
        <f>IFERROR(IF(AH!$U$11=1,NA(),$J109/$E109-1),NA())</f>
        <v/>
      </c>
      <c r="C109" s="269">
        <f>IFERROR(100*$E109/$E$5,NA())</f>
        <v/>
      </c>
      <c r="D109" s="269">
        <f>IFERROR(100*$J109/$J$5,NA())</f>
        <v/>
      </c>
      <c r="E109" s="32">
        <f>IFERROR(IF(AND(ISNUMBER($A109),N(IF(AND(AH!$U$12=1,104+1=AH!$U$6),IF(AH!$U$4=0,"unavailable",INDEX('Market Data'!$AN$5:$AN$66,AH!$U$4)),IF(AH!$U$5=1,INDEX('Live History'!$B$5:$B$3004,$K109),INDEX('AH History'!$D$5:$GG$1380,$K109,AH!$U$10))))&gt;0),IF(AND(AH!$U$12=1,104+1=AH!$U$6),IF(AH!$U$4=0,"unavailable",INDEX('Market Data'!$AN$5:$AN$66,AH!$U$4)),IF(AH!$U$5=1,INDEX('Live History'!$B$5:$B$3004,$K109),INDEX('AH History'!$D$5:$GG$1380,$K109,AH!$U$10))),NA()),NA())</f>
        <v/>
      </c>
      <c r="F109" s="32">
        <f>IFERROR(IF(ISNUMBER($A109),IF(AND(AH!$U$12=1,104+1=AH!$U$6),IF(AH!$U$4=0,"unavailable",INDEX('Market Data'!$AO$5:$AO$66,AH!$U$4)),IF(AH!$U$5=1,INDEX('Live History'!$E$5:$E$3004,MATCH($A109,'Live History'!$D$5:$D$3004,1)),INDEX('AH History'!$D$5:$GG$1380,$K109,AH!$U$10+1))),NA()),NA())</f>
        <v/>
      </c>
      <c r="G109" s="34">
        <f>IFERROR(IF(ISNUMBER($A109),IF(AND(AH!$U$12=1,104+1=AH!$U$6),IF(AH!$U$4=0,"unavailable",INDEX('Market Data'!$AK$5:$AK$66,AH!$U$4)),IF(AH!$U$5=1,INDEX('Live History'!$D$5:$D$3004,MATCH($A109,'Live History'!$D$5:$D$3004,1)),INDEX('AH History'!$D$5:$GG$1380,$K109,AH!$U$10+2))),NA()),NA())</f>
        <v/>
      </c>
      <c r="H109" s="266">
        <f>IFERROR(IF(ISNUMBER($A109),IF(AND(AH!$U$12=1,104+1=AH!$U$6),IF(AH!$U$4=0,"unavailable",INDEX('Market Data'!$AP$5:$AP$66,AH!$U$4)),IF(AH!$U$5=1,INDEX('Live History'!$H$5:$H$3004,MATCH($A109,'Live History'!$G$5:$G$3004,1)),INDEX('AH History'!$B$5:$B$1380,$K109))),NA()),NA())</f>
        <v/>
      </c>
      <c r="I109" s="34">
        <f>IFERROR(IF(ISNUMBER($A109),IF(AND(AH!$U$12=1,104+1=AH!$U$6),TODAY(),IF(AH!$U$5=1,INDEX('Live History'!$G$5:$G$3004,MATCH($A109,'Live History'!$G$5:$G$3004,1)),INDEX('AH History'!$C$5:$C$1380,$K109))),NA()),NA())</f>
        <v/>
      </c>
      <c r="J109" s="32">
        <f>IFERROR(IF(AND($F109&gt;0,$H109&gt;0,$A109-$G109&lt;=10,$A109-$I109&lt;=5,$G109&gt;0,$I109&gt;0),$F109*$H109,NA()),NA())</f>
        <v/>
      </c>
      <c r="K109" s="15">
        <f>IF($A109="","",IF(AH!$U$5=1,IFERROR(MATCH($A109,'Live History'!$A$5:$A$3004,0),0),AH!$U$7+104))</f>
        <v/>
      </c>
      <c r="L109" s="15">
        <f>IF(ISNUMBER(A109),TEXT(A109,"dd-mmm-yy"),"")</f>
        <v/>
      </c>
    </row>
    <row r="110">
      <c r="A110" s="14">
        <f>IF(OR(AH!$U$4=0,105+1&gt;AH!$U$6,AND(AH!$M$5="Bloomberg",AH!$U$5=0)),"",IFERROR(IF(AND(AH!$U$12=1,105+1=AH!$U$6),TODAY(),IF(AH!$U$5=1,INDEX('Live History'!$A$5:$A$3004,AH!$U$7+105),INDEX('AH History'!$A$5:$A$1380,AH!$U$7+105))),""))</f>
        <v/>
      </c>
      <c r="B110" s="33">
        <f>IFERROR(IF(AH!$U$11=1,NA(),$J110/$E110-1),NA())</f>
        <v/>
      </c>
      <c r="C110" s="269">
        <f>IFERROR(100*$E110/$E$5,NA())</f>
        <v/>
      </c>
      <c r="D110" s="269">
        <f>IFERROR(100*$J110/$J$5,NA())</f>
        <v/>
      </c>
      <c r="E110" s="32">
        <f>IFERROR(IF(AND(ISNUMBER($A110),N(IF(AND(AH!$U$12=1,105+1=AH!$U$6),IF(AH!$U$4=0,"unavailable",INDEX('Market Data'!$AN$5:$AN$66,AH!$U$4)),IF(AH!$U$5=1,INDEX('Live History'!$B$5:$B$3004,$K110),INDEX('AH History'!$D$5:$GG$1380,$K110,AH!$U$10))))&gt;0),IF(AND(AH!$U$12=1,105+1=AH!$U$6),IF(AH!$U$4=0,"unavailable",INDEX('Market Data'!$AN$5:$AN$66,AH!$U$4)),IF(AH!$U$5=1,INDEX('Live History'!$B$5:$B$3004,$K110),INDEX('AH History'!$D$5:$GG$1380,$K110,AH!$U$10))),NA()),NA())</f>
        <v/>
      </c>
      <c r="F110" s="32">
        <f>IFERROR(IF(ISNUMBER($A110),IF(AND(AH!$U$12=1,105+1=AH!$U$6),IF(AH!$U$4=0,"unavailable",INDEX('Market Data'!$AO$5:$AO$66,AH!$U$4)),IF(AH!$U$5=1,INDEX('Live History'!$E$5:$E$3004,MATCH($A110,'Live History'!$D$5:$D$3004,1)),INDEX('AH History'!$D$5:$GG$1380,$K110,AH!$U$10+1))),NA()),NA())</f>
        <v/>
      </c>
      <c r="G110" s="34">
        <f>IFERROR(IF(ISNUMBER($A110),IF(AND(AH!$U$12=1,105+1=AH!$U$6),IF(AH!$U$4=0,"unavailable",INDEX('Market Data'!$AK$5:$AK$66,AH!$U$4)),IF(AH!$U$5=1,INDEX('Live History'!$D$5:$D$3004,MATCH($A110,'Live History'!$D$5:$D$3004,1)),INDEX('AH History'!$D$5:$GG$1380,$K110,AH!$U$10+2))),NA()),NA())</f>
        <v/>
      </c>
      <c r="H110" s="266">
        <f>IFERROR(IF(ISNUMBER($A110),IF(AND(AH!$U$12=1,105+1=AH!$U$6),IF(AH!$U$4=0,"unavailable",INDEX('Market Data'!$AP$5:$AP$66,AH!$U$4)),IF(AH!$U$5=1,INDEX('Live History'!$H$5:$H$3004,MATCH($A110,'Live History'!$G$5:$G$3004,1)),INDEX('AH History'!$B$5:$B$1380,$K110))),NA()),NA())</f>
        <v/>
      </c>
      <c r="I110" s="34">
        <f>IFERROR(IF(ISNUMBER($A110),IF(AND(AH!$U$12=1,105+1=AH!$U$6),TODAY(),IF(AH!$U$5=1,INDEX('Live History'!$G$5:$G$3004,MATCH($A110,'Live History'!$G$5:$G$3004,1)),INDEX('AH History'!$C$5:$C$1380,$K110))),NA()),NA())</f>
        <v/>
      </c>
      <c r="J110" s="32">
        <f>IFERROR(IF(AND($F110&gt;0,$H110&gt;0,$A110-$G110&lt;=10,$A110-$I110&lt;=5,$G110&gt;0,$I110&gt;0),$F110*$H110,NA()),NA())</f>
        <v/>
      </c>
      <c r="K110" s="15">
        <f>IF($A110="","",IF(AH!$U$5=1,IFERROR(MATCH($A110,'Live History'!$A$5:$A$3004,0),0),AH!$U$7+105))</f>
        <v/>
      </c>
      <c r="L110" s="15">
        <f>IF(ISNUMBER(A110),TEXT(A110,"dd-mmm-yy"),"")</f>
        <v/>
      </c>
    </row>
    <row r="111">
      <c r="A111" s="14">
        <f>IF(OR(AH!$U$4=0,106+1&gt;AH!$U$6,AND(AH!$M$5="Bloomberg",AH!$U$5=0)),"",IFERROR(IF(AND(AH!$U$12=1,106+1=AH!$U$6),TODAY(),IF(AH!$U$5=1,INDEX('Live History'!$A$5:$A$3004,AH!$U$7+106),INDEX('AH History'!$A$5:$A$1380,AH!$U$7+106))),""))</f>
        <v/>
      </c>
      <c r="B111" s="33">
        <f>IFERROR(IF(AH!$U$11=1,NA(),$J111/$E111-1),NA())</f>
        <v/>
      </c>
      <c r="C111" s="269">
        <f>IFERROR(100*$E111/$E$5,NA())</f>
        <v/>
      </c>
      <c r="D111" s="269">
        <f>IFERROR(100*$J111/$J$5,NA())</f>
        <v/>
      </c>
      <c r="E111" s="32">
        <f>IFERROR(IF(AND(ISNUMBER($A111),N(IF(AND(AH!$U$12=1,106+1=AH!$U$6),IF(AH!$U$4=0,"unavailable",INDEX('Market Data'!$AN$5:$AN$66,AH!$U$4)),IF(AH!$U$5=1,INDEX('Live History'!$B$5:$B$3004,$K111),INDEX('AH History'!$D$5:$GG$1380,$K111,AH!$U$10))))&gt;0),IF(AND(AH!$U$12=1,106+1=AH!$U$6),IF(AH!$U$4=0,"unavailable",INDEX('Market Data'!$AN$5:$AN$66,AH!$U$4)),IF(AH!$U$5=1,INDEX('Live History'!$B$5:$B$3004,$K111),INDEX('AH History'!$D$5:$GG$1380,$K111,AH!$U$10))),NA()),NA())</f>
        <v/>
      </c>
      <c r="F111" s="32">
        <f>IFERROR(IF(ISNUMBER($A111),IF(AND(AH!$U$12=1,106+1=AH!$U$6),IF(AH!$U$4=0,"unavailable",INDEX('Market Data'!$AO$5:$AO$66,AH!$U$4)),IF(AH!$U$5=1,INDEX('Live History'!$E$5:$E$3004,MATCH($A111,'Live History'!$D$5:$D$3004,1)),INDEX('AH History'!$D$5:$GG$1380,$K111,AH!$U$10+1))),NA()),NA())</f>
        <v/>
      </c>
      <c r="G111" s="34">
        <f>IFERROR(IF(ISNUMBER($A111),IF(AND(AH!$U$12=1,106+1=AH!$U$6),IF(AH!$U$4=0,"unavailable",INDEX('Market Data'!$AK$5:$AK$66,AH!$U$4)),IF(AH!$U$5=1,INDEX('Live History'!$D$5:$D$3004,MATCH($A111,'Live History'!$D$5:$D$3004,1)),INDEX('AH History'!$D$5:$GG$1380,$K111,AH!$U$10+2))),NA()),NA())</f>
        <v/>
      </c>
      <c r="H111" s="266">
        <f>IFERROR(IF(ISNUMBER($A111),IF(AND(AH!$U$12=1,106+1=AH!$U$6),IF(AH!$U$4=0,"unavailable",INDEX('Market Data'!$AP$5:$AP$66,AH!$U$4)),IF(AH!$U$5=1,INDEX('Live History'!$H$5:$H$3004,MATCH($A111,'Live History'!$G$5:$G$3004,1)),INDEX('AH History'!$B$5:$B$1380,$K111))),NA()),NA())</f>
        <v/>
      </c>
      <c r="I111" s="34">
        <f>IFERROR(IF(ISNUMBER($A111),IF(AND(AH!$U$12=1,106+1=AH!$U$6),TODAY(),IF(AH!$U$5=1,INDEX('Live History'!$G$5:$G$3004,MATCH($A111,'Live History'!$G$5:$G$3004,1)),INDEX('AH History'!$C$5:$C$1380,$K111))),NA()),NA())</f>
        <v/>
      </c>
      <c r="J111" s="32">
        <f>IFERROR(IF(AND($F111&gt;0,$H111&gt;0,$A111-$G111&lt;=10,$A111-$I111&lt;=5,$G111&gt;0,$I111&gt;0),$F111*$H111,NA()),NA())</f>
        <v/>
      </c>
      <c r="K111" s="15">
        <f>IF($A111="","",IF(AH!$U$5=1,IFERROR(MATCH($A111,'Live History'!$A$5:$A$3004,0),0),AH!$U$7+106))</f>
        <v/>
      </c>
      <c r="L111" s="15">
        <f>IF(ISNUMBER(A111),TEXT(A111,"dd-mmm-yy"),"")</f>
        <v/>
      </c>
    </row>
    <row r="112">
      <c r="A112" s="14">
        <f>IF(OR(AH!$U$4=0,107+1&gt;AH!$U$6,AND(AH!$M$5="Bloomberg",AH!$U$5=0)),"",IFERROR(IF(AND(AH!$U$12=1,107+1=AH!$U$6),TODAY(),IF(AH!$U$5=1,INDEX('Live History'!$A$5:$A$3004,AH!$U$7+107),INDEX('AH History'!$A$5:$A$1380,AH!$U$7+107))),""))</f>
        <v/>
      </c>
      <c r="B112" s="33">
        <f>IFERROR(IF(AH!$U$11=1,NA(),$J112/$E112-1),NA())</f>
        <v/>
      </c>
      <c r="C112" s="269">
        <f>IFERROR(100*$E112/$E$5,NA())</f>
        <v/>
      </c>
      <c r="D112" s="269">
        <f>IFERROR(100*$J112/$J$5,NA())</f>
        <v/>
      </c>
      <c r="E112" s="32">
        <f>IFERROR(IF(AND(ISNUMBER($A112),N(IF(AND(AH!$U$12=1,107+1=AH!$U$6),IF(AH!$U$4=0,"unavailable",INDEX('Market Data'!$AN$5:$AN$66,AH!$U$4)),IF(AH!$U$5=1,INDEX('Live History'!$B$5:$B$3004,$K112),INDEX('AH History'!$D$5:$GG$1380,$K112,AH!$U$10))))&gt;0),IF(AND(AH!$U$12=1,107+1=AH!$U$6),IF(AH!$U$4=0,"unavailable",INDEX('Market Data'!$AN$5:$AN$66,AH!$U$4)),IF(AH!$U$5=1,INDEX('Live History'!$B$5:$B$3004,$K112),INDEX('AH History'!$D$5:$GG$1380,$K112,AH!$U$10))),NA()),NA())</f>
        <v/>
      </c>
      <c r="F112" s="32">
        <f>IFERROR(IF(ISNUMBER($A112),IF(AND(AH!$U$12=1,107+1=AH!$U$6),IF(AH!$U$4=0,"unavailable",INDEX('Market Data'!$AO$5:$AO$66,AH!$U$4)),IF(AH!$U$5=1,INDEX('Live History'!$E$5:$E$3004,MATCH($A112,'Live History'!$D$5:$D$3004,1)),INDEX('AH History'!$D$5:$GG$1380,$K112,AH!$U$10+1))),NA()),NA())</f>
        <v/>
      </c>
      <c r="G112" s="34">
        <f>IFERROR(IF(ISNUMBER($A112),IF(AND(AH!$U$12=1,107+1=AH!$U$6),IF(AH!$U$4=0,"unavailable",INDEX('Market Data'!$AK$5:$AK$66,AH!$U$4)),IF(AH!$U$5=1,INDEX('Live History'!$D$5:$D$3004,MATCH($A112,'Live History'!$D$5:$D$3004,1)),INDEX('AH History'!$D$5:$GG$1380,$K112,AH!$U$10+2))),NA()),NA())</f>
        <v/>
      </c>
      <c r="H112" s="266">
        <f>IFERROR(IF(ISNUMBER($A112),IF(AND(AH!$U$12=1,107+1=AH!$U$6),IF(AH!$U$4=0,"unavailable",INDEX('Market Data'!$AP$5:$AP$66,AH!$U$4)),IF(AH!$U$5=1,INDEX('Live History'!$H$5:$H$3004,MATCH($A112,'Live History'!$G$5:$G$3004,1)),INDEX('AH History'!$B$5:$B$1380,$K112))),NA()),NA())</f>
        <v/>
      </c>
      <c r="I112" s="34">
        <f>IFERROR(IF(ISNUMBER($A112),IF(AND(AH!$U$12=1,107+1=AH!$U$6),TODAY(),IF(AH!$U$5=1,INDEX('Live History'!$G$5:$G$3004,MATCH($A112,'Live History'!$G$5:$G$3004,1)),INDEX('AH History'!$C$5:$C$1380,$K112))),NA()),NA())</f>
        <v/>
      </c>
      <c r="J112" s="32">
        <f>IFERROR(IF(AND($F112&gt;0,$H112&gt;0,$A112-$G112&lt;=10,$A112-$I112&lt;=5,$G112&gt;0,$I112&gt;0),$F112*$H112,NA()),NA())</f>
        <v/>
      </c>
      <c r="K112" s="15">
        <f>IF($A112="","",IF(AH!$U$5=1,IFERROR(MATCH($A112,'Live History'!$A$5:$A$3004,0),0),AH!$U$7+107))</f>
        <v/>
      </c>
      <c r="L112" s="15">
        <f>IF(ISNUMBER(A112),TEXT(A112,"dd-mmm-yy"),"")</f>
        <v/>
      </c>
    </row>
    <row r="113">
      <c r="A113" s="14">
        <f>IF(OR(AH!$U$4=0,108+1&gt;AH!$U$6,AND(AH!$M$5="Bloomberg",AH!$U$5=0)),"",IFERROR(IF(AND(AH!$U$12=1,108+1=AH!$U$6),TODAY(),IF(AH!$U$5=1,INDEX('Live History'!$A$5:$A$3004,AH!$U$7+108),INDEX('AH History'!$A$5:$A$1380,AH!$U$7+108))),""))</f>
        <v/>
      </c>
      <c r="B113" s="33">
        <f>IFERROR(IF(AH!$U$11=1,NA(),$J113/$E113-1),NA())</f>
        <v/>
      </c>
      <c r="C113" s="269">
        <f>IFERROR(100*$E113/$E$5,NA())</f>
        <v/>
      </c>
      <c r="D113" s="269">
        <f>IFERROR(100*$J113/$J$5,NA())</f>
        <v/>
      </c>
      <c r="E113" s="32">
        <f>IFERROR(IF(AND(ISNUMBER($A113),N(IF(AND(AH!$U$12=1,108+1=AH!$U$6),IF(AH!$U$4=0,"unavailable",INDEX('Market Data'!$AN$5:$AN$66,AH!$U$4)),IF(AH!$U$5=1,INDEX('Live History'!$B$5:$B$3004,$K113),INDEX('AH History'!$D$5:$GG$1380,$K113,AH!$U$10))))&gt;0),IF(AND(AH!$U$12=1,108+1=AH!$U$6),IF(AH!$U$4=0,"unavailable",INDEX('Market Data'!$AN$5:$AN$66,AH!$U$4)),IF(AH!$U$5=1,INDEX('Live History'!$B$5:$B$3004,$K113),INDEX('AH History'!$D$5:$GG$1380,$K113,AH!$U$10))),NA()),NA())</f>
        <v/>
      </c>
      <c r="F113" s="32">
        <f>IFERROR(IF(ISNUMBER($A113),IF(AND(AH!$U$12=1,108+1=AH!$U$6),IF(AH!$U$4=0,"unavailable",INDEX('Market Data'!$AO$5:$AO$66,AH!$U$4)),IF(AH!$U$5=1,INDEX('Live History'!$E$5:$E$3004,MATCH($A113,'Live History'!$D$5:$D$3004,1)),INDEX('AH History'!$D$5:$GG$1380,$K113,AH!$U$10+1))),NA()),NA())</f>
        <v/>
      </c>
      <c r="G113" s="34">
        <f>IFERROR(IF(ISNUMBER($A113),IF(AND(AH!$U$12=1,108+1=AH!$U$6),IF(AH!$U$4=0,"unavailable",INDEX('Market Data'!$AK$5:$AK$66,AH!$U$4)),IF(AH!$U$5=1,INDEX('Live History'!$D$5:$D$3004,MATCH($A113,'Live History'!$D$5:$D$3004,1)),INDEX('AH History'!$D$5:$GG$1380,$K113,AH!$U$10+2))),NA()),NA())</f>
        <v/>
      </c>
      <c r="H113" s="266">
        <f>IFERROR(IF(ISNUMBER($A113),IF(AND(AH!$U$12=1,108+1=AH!$U$6),IF(AH!$U$4=0,"unavailable",INDEX('Market Data'!$AP$5:$AP$66,AH!$U$4)),IF(AH!$U$5=1,INDEX('Live History'!$H$5:$H$3004,MATCH($A113,'Live History'!$G$5:$G$3004,1)),INDEX('AH History'!$B$5:$B$1380,$K113))),NA()),NA())</f>
        <v/>
      </c>
      <c r="I113" s="34">
        <f>IFERROR(IF(ISNUMBER($A113),IF(AND(AH!$U$12=1,108+1=AH!$U$6),TODAY(),IF(AH!$U$5=1,INDEX('Live History'!$G$5:$G$3004,MATCH($A113,'Live History'!$G$5:$G$3004,1)),INDEX('AH History'!$C$5:$C$1380,$K113))),NA()),NA())</f>
        <v/>
      </c>
      <c r="J113" s="32">
        <f>IFERROR(IF(AND($F113&gt;0,$H113&gt;0,$A113-$G113&lt;=10,$A113-$I113&lt;=5,$G113&gt;0,$I113&gt;0),$F113*$H113,NA()),NA())</f>
        <v/>
      </c>
      <c r="K113" s="15">
        <f>IF($A113="","",IF(AH!$U$5=1,IFERROR(MATCH($A113,'Live History'!$A$5:$A$3004,0),0),AH!$U$7+108))</f>
        <v/>
      </c>
      <c r="L113" s="15">
        <f>IF(ISNUMBER(A113),TEXT(A113,"dd-mmm-yy"),"")</f>
        <v/>
      </c>
    </row>
    <row r="114">
      <c r="A114" s="14">
        <f>IF(OR(AH!$U$4=0,109+1&gt;AH!$U$6,AND(AH!$M$5="Bloomberg",AH!$U$5=0)),"",IFERROR(IF(AND(AH!$U$12=1,109+1=AH!$U$6),TODAY(),IF(AH!$U$5=1,INDEX('Live History'!$A$5:$A$3004,AH!$U$7+109),INDEX('AH History'!$A$5:$A$1380,AH!$U$7+109))),""))</f>
        <v/>
      </c>
      <c r="B114" s="33">
        <f>IFERROR(IF(AH!$U$11=1,NA(),$J114/$E114-1),NA())</f>
        <v/>
      </c>
      <c r="C114" s="269">
        <f>IFERROR(100*$E114/$E$5,NA())</f>
        <v/>
      </c>
      <c r="D114" s="269">
        <f>IFERROR(100*$J114/$J$5,NA())</f>
        <v/>
      </c>
      <c r="E114" s="32">
        <f>IFERROR(IF(AND(ISNUMBER($A114),N(IF(AND(AH!$U$12=1,109+1=AH!$U$6),IF(AH!$U$4=0,"unavailable",INDEX('Market Data'!$AN$5:$AN$66,AH!$U$4)),IF(AH!$U$5=1,INDEX('Live History'!$B$5:$B$3004,$K114),INDEX('AH History'!$D$5:$GG$1380,$K114,AH!$U$10))))&gt;0),IF(AND(AH!$U$12=1,109+1=AH!$U$6),IF(AH!$U$4=0,"unavailable",INDEX('Market Data'!$AN$5:$AN$66,AH!$U$4)),IF(AH!$U$5=1,INDEX('Live History'!$B$5:$B$3004,$K114),INDEX('AH History'!$D$5:$GG$1380,$K114,AH!$U$10))),NA()),NA())</f>
        <v/>
      </c>
      <c r="F114" s="32">
        <f>IFERROR(IF(ISNUMBER($A114),IF(AND(AH!$U$12=1,109+1=AH!$U$6),IF(AH!$U$4=0,"unavailable",INDEX('Market Data'!$AO$5:$AO$66,AH!$U$4)),IF(AH!$U$5=1,INDEX('Live History'!$E$5:$E$3004,MATCH($A114,'Live History'!$D$5:$D$3004,1)),INDEX('AH History'!$D$5:$GG$1380,$K114,AH!$U$10+1))),NA()),NA())</f>
        <v/>
      </c>
      <c r="G114" s="34">
        <f>IFERROR(IF(ISNUMBER($A114),IF(AND(AH!$U$12=1,109+1=AH!$U$6),IF(AH!$U$4=0,"unavailable",INDEX('Market Data'!$AK$5:$AK$66,AH!$U$4)),IF(AH!$U$5=1,INDEX('Live History'!$D$5:$D$3004,MATCH($A114,'Live History'!$D$5:$D$3004,1)),INDEX('AH History'!$D$5:$GG$1380,$K114,AH!$U$10+2))),NA()),NA())</f>
        <v/>
      </c>
      <c r="H114" s="266">
        <f>IFERROR(IF(ISNUMBER($A114),IF(AND(AH!$U$12=1,109+1=AH!$U$6),IF(AH!$U$4=0,"unavailable",INDEX('Market Data'!$AP$5:$AP$66,AH!$U$4)),IF(AH!$U$5=1,INDEX('Live History'!$H$5:$H$3004,MATCH($A114,'Live History'!$G$5:$G$3004,1)),INDEX('AH History'!$B$5:$B$1380,$K114))),NA()),NA())</f>
        <v/>
      </c>
      <c r="I114" s="34">
        <f>IFERROR(IF(ISNUMBER($A114),IF(AND(AH!$U$12=1,109+1=AH!$U$6),TODAY(),IF(AH!$U$5=1,INDEX('Live History'!$G$5:$G$3004,MATCH($A114,'Live History'!$G$5:$G$3004,1)),INDEX('AH History'!$C$5:$C$1380,$K114))),NA()),NA())</f>
        <v/>
      </c>
      <c r="J114" s="32">
        <f>IFERROR(IF(AND($F114&gt;0,$H114&gt;0,$A114-$G114&lt;=10,$A114-$I114&lt;=5,$G114&gt;0,$I114&gt;0),$F114*$H114,NA()),NA())</f>
        <v/>
      </c>
      <c r="K114" s="15">
        <f>IF($A114="","",IF(AH!$U$5=1,IFERROR(MATCH($A114,'Live History'!$A$5:$A$3004,0),0),AH!$U$7+109))</f>
        <v/>
      </c>
      <c r="L114" s="15">
        <f>IF(ISNUMBER(A114),TEXT(A114,"dd-mmm-yy"),"")</f>
        <v/>
      </c>
    </row>
    <row r="115">
      <c r="A115" s="14">
        <f>IF(OR(AH!$U$4=0,110+1&gt;AH!$U$6,AND(AH!$M$5="Bloomberg",AH!$U$5=0)),"",IFERROR(IF(AND(AH!$U$12=1,110+1=AH!$U$6),TODAY(),IF(AH!$U$5=1,INDEX('Live History'!$A$5:$A$3004,AH!$U$7+110),INDEX('AH History'!$A$5:$A$1380,AH!$U$7+110))),""))</f>
        <v/>
      </c>
      <c r="B115" s="33">
        <f>IFERROR(IF(AH!$U$11=1,NA(),$J115/$E115-1),NA())</f>
        <v/>
      </c>
      <c r="C115" s="269">
        <f>IFERROR(100*$E115/$E$5,NA())</f>
        <v/>
      </c>
      <c r="D115" s="269">
        <f>IFERROR(100*$J115/$J$5,NA())</f>
        <v/>
      </c>
      <c r="E115" s="32">
        <f>IFERROR(IF(AND(ISNUMBER($A115),N(IF(AND(AH!$U$12=1,110+1=AH!$U$6),IF(AH!$U$4=0,"unavailable",INDEX('Market Data'!$AN$5:$AN$66,AH!$U$4)),IF(AH!$U$5=1,INDEX('Live History'!$B$5:$B$3004,$K115),INDEX('AH History'!$D$5:$GG$1380,$K115,AH!$U$10))))&gt;0),IF(AND(AH!$U$12=1,110+1=AH!$U$6),IF(AH!$U$4=0,"unavailable",INDEX('Market Data'!$AN$5:$AN$66,AH!$U$4)),IF(AH!$U$5=1,INDEX('Live History'!$B$5:$B$3004,$K115),INDEX('AH History'!$D$5:$GG$1380,$K115,AH!$U$10))),NA()),NA())</f>
        <v/>
      </c>
      <c r="F115" s="32">
        <f>IFERROR(IF(ISNUMBER($A115),IF(AND(AH!$U$12=1,110+1=AH!$U$6),IF(AH!$U$4=0,"unavailable",INDEX('Market Data'!$AO$5:$AO$66,AH!$U$4)),IF(AH!$U$5=1,INDEX('Live History'!$E$5:$E$3004,MATCH($A115,'Live History'!$D$5:$D$3004,1)),INDEX('AH History'!$D$5:$GG$1380,$K115,AH!$U$10+1))),NA()),NA())</f>
        <v/>
      </c>
      <c r="G115" s="34">
        <f>IFERROR(IF(ISNUMBER($A115),IF(AND(AH!$U$12=1,110+1=AH!$U$6),IF(AH!$U$4=0,"unavailable",INDEX('Market Data'!$AK$5:$AK$66,AH!$U$4)),IF(AH!$U$5=1,INDEX('Live History'!$D$5:$D$3004,MATCH($A115,'Live History'!$D$5:$D$3004,1)),INDEX('AH History'!$D$5:$GG$1380,$K115,AH!$U$10+2))),NA()),NA())</f>
        <v/>
      </c>
      <c r="H115" s="266">
        <f>IFERROR(IF(ISNUMBER($A115),IF(AND(AH!$U$12=1,110+1=AH!$U$6),IF(AH!$U$4=0,"unavailable",INDEX('Market Data'!$AP$5:$AP$66,AH!$U$4)),IF(AH!$U$5=1,INDEX('Live History'!$H$5:$H$3004,MATCH($A115,'Live History'!$G$5:$G$3004,1)),INDEX('AH History'!$B$5:$B$1380,$K115))),NA()),NA())</f>
        <v/>
      </c>
      <c r="I115" s="34">
        <f>IFERROR(IF(ISNUMBER($A115),IF(AND(AH!$U$12=1,110+1=AH!$U$6),TODAY(),IF(AH!$U$5=1,INDEX('Live History'!$G$5:$G$3004,MATCH($A115,'Live History'!$G$5:$G$3004,1)),INDEX('AH History'!$C$5:$C$1380,$K115))),NA()),NA())</f>
        <v/>
      </c>
      <c r="J115" s="32">
        <f>IFERROR(IF(AND($F115&gt;0,$H115&gt;0,$A115-$G115&lt;=10,$A115-$I115&lt;=5,$G115&gt;0,$I115&gt;0),$F115*$H115,NA()),NA())</f>
        <v/>
      </c>
      <c r="K115" s="15">
        <f>IF($A115="","",IF(AH!$U$5=1,IFERROR(MATCH($A115,'Live History'!$A$5:$A$3004,0),0),AH!$U$7+110))</f>
        <v/>
      </c>
      <c r="L115" s="15">
        <f>IF(ISNUMBER(A115),TEXT(A115,"dd-mmm-yy"),"")</f>
        <v/>
      </c>
    </row>
    <row r="116">
      <c r="A116" s="14">
        <f>IF(OR(AH!$U$4=0,111+1&gt;AH!$U$6,AND(AH!$M$5="Bloomberg",AH!$U$5=0)),"",IFERROR(IF(AND(AH!$U$12=1,111+1=AH!$U$6),TODAY(),IF(AH!$U$5=1,INDEX('Live History'!$A$5:$A$3004,AH!$U$7+111),INDEX('AH History'!$A$5:$A$1380,AH!$U$7+111))),""))</f>
        <v/>
      </c>
      <c r="B116" s="33">
        <f>IFERROR(IF(AH!$U$11=1,NA(),$J116/$E116-1),NA())</f>
        <v/>
      </c>
      <c r="C116" s="269">
        <f>IFERROR(100*$E116/$E$5,NA())</f>
        <v/>
      </c>
      <c r="D116" s="269">
        <f>IFERROR(100*$J116/$J$5,NA())</f>
        <v/>
      </c>
      <c r="E116" s="32">
        <f>IFERROR(IF(AND(ISNUMBER($A116),N(IF(AND(AH!$U$12=1,111+1=AH!$U$6),IF(AH!$U$4=0,"unavailable",INDEX('Market Data'!$AN$5:$AN$66,AH!$U$4)),IF(AH!$U$5=1,INDEX('Live History'!$B$5:$B$3004,$K116),INDEX('AH History'!$D$5:$GG$1380,$K116,AH!$U$10))))&gt;0),IF(AND(AH!$U$12=1,111+1=AH!$U$6),IF(AH!$U$4=0,"unavailable",INDEX('Market Data'!$AN$5:$AN$66,AH!$U$4)),IF(AH!$U$5=1,INDEX('Live History'!$B$5:$B$3004,$K116),INDEX('AH History'!$D$5:$GG$1380,$K116,AH!$U$10))),NA()),NA())</f>
        <v/>
      </c>
      <c r="F116" s="32">
        <f>IFERROR(IF(ISNUMBER($A116),IF(AND(AH!$U$12=1,111+1=AH!$U$6),IF(AH!$U$4=0,"unavailable",INDEX('Market Data'!$AO$5:$AO$66,AH!$U$4)),IF(AH!$U$5=1,INDEX('Live History'!$E$5:$E$3004,MATCH($A116,'Live History'!$D$5:$D$3004,1)),INDEX('AH History'!$D$5:$GG$1380,$K116,AH!$U$10+1))),NA()),NA())</f>
        <v/>
      </c>
      <c r="G116" s="34">
        <f>IFERROR(IF(ISNUMBER($A116),IF(AND(AH!$U$12=1,111+1=AH!$U$6),IF(AH!$U$4=0,"unavailable",INDEX('Market Data'!$AK$5:$AK$66,AH!$U$4)),IF(AH!$U$5=1,INDEX('Live History'!$D$5:$D$3004,MATCH($A116,'Live History'!$D$5:$D$3004,1)),INDEX('AH History'!$D$5:$GG$1380,$K116,AH!$U$10+2))),NA()),NA())</f>
        <v/>
      </c>
      <c r="H116" s="266">
        <f>IFERROR(IF(ISNUMBER($A116),IF(AND(AH!$U$12=1,111+1=AH!$U$6),IF(AH!$U$4=0,"unavailable",INDEX('Market Data'!$AP$5:$AP$66,AH!$U$4)),IF(AH!$U$5=1,INDEX('Live History'!$H$5:$H$3004,MATCH($A116,'Live History'!$G$5:$G$3004,1)),INDEX('AH History'!$B$5:$B$1380,$K116))),NA()),NA())</f>
        <v/>
      </c>
      <c r="I116" s="34">
        <f>IFERROR(IF(ISNUMBER($A116),IF(AND(AH!$U$12=1,111+1=AH!$U$6),TODAY(),IF(AH!$U$5=1,INDEX('Live History'!$G$5:$G$3004,MATCH($A116,'Live History'!$G$5:$G$3004,1)),INDEX('AH History'!$C$5:$C$1380,$K116))),NA()),NA())</f>
        <v/>
      </c>
      <c r="J116" s="32">
        <f>IFERROR(IF(AND($F116&gt;0,$H116&gt;0,$A116-$G116&lt;=10,$A116-$I116&lt;=5,$G116&gt;0,$I116&gt;0),$F116*$H116,NA()),NA())</f>
        <v/>
      </c>
      <c r="K116" s="15">
        <f>IF($A116="","",IF(AH!$U$5=1,IFERROR(MATCH($A116,'Live History'!$A$5:$A$3004,0),0),AH!$U$7+111))</f>
        <v/>
      </c>
      <c r="L116" s="15">
        <f>IF(ISNUMBER(A116),TEXT(A116,"dd-mmm-yy"),"")</f>
        <v/>
      </c>
    </row>
    <row r="117">
      <c r="A117" s="14">
        <f>IF(OR(AH!$U$4=0,112+1&gt;AH!$U$6,AND(AH!$M$5="Bloomberg",AH!$U$5=0)),"",IFERROR(IF(AND(AH!$U$12=1,112+1=AH!$U$6),TODAY(),IF(AH!$U$5=1,INDEX('Live History'!$A$5:$A$3004,AH!$U$7+112),INDEX('AH History'!$A$5:$A$1380,AH!$U$7+112))),""))</f>
        <v/>
      </c>
      <c r="B117" s="33">
        <f>IFERROR(IF(AH!$U$11=1,NA(),$J117/$E117-1),NA())</f>
        <v/>
      </c>
      <c r="C117" s="269">
        <f>IFERROR(100*$E117/$E$5,NA())</f>
        <v/>
      </c>
      <c r="D117" s="269">
        <f>IFERROR(100*$J117/$J$5,NA())</f>
        <v/>
      </c>
      <c r="E117" s="32">
        <f>IFERROR(IF(AND(ISNUMBER($A117),N(IF(AND(AH!$U$12=1,112+1=AH!$U$6),IF(AH!$U$4=0,"unavailable",INDEX('Market Data'!$AN$5:$AN$66,AH!$U$4)),IF(AH!$U$5=1,INDEX('Live History'!$B$5:$B$3004,$K117),INDEX('AH History'!$D$5:$GG$1380,$K117,AH!$U$10))))&gt;0),IF(AND(AH!$U$12=1,112+1=AH!$U$6),IF(AH!$U$4=0,"unavailable",INDEX('Market Data'!$AN$5:$AN$66,AH!$U$4)),IF(AH!$U$5=1,INDEX('Live History'!$B$5:$B$3004,$K117),INDEX('AH History'!$D$5:$GG$1380,$K117,AH!$U$10))),NA()),NA())</f>
        <v/>
      </c>
      <c r="F117" s="32">
        <f>IFERROR(IF(ISNUMBER($A117),IF(AND(AH!$U$12=1,112+1=AH!$U$6),IF(AH!$U$4=0,"unavailable",INDEX('Market Data'!$AO$5:$AO$66,AH!$U$4)),IF(AH!$U$5=1,INDEX('Live History'!$E$5:$E$3004,MATCH($A117,'Live History'!$D$5:$D$3004,1)),INDEX('AH History'!$D$5:$GG$1380,$K117,AH!$U$10+1))),NA()),NA())</f>
        <v/>
      </c>
      <c r="G117" s="34">
        <f>IFERROR(IF(ISNUMBER($A117),IF(AND(AH!$U$12=1,112+1=AH!$U$6),IF(AH!$U$4=0,"unavailable",INDEX('Market Data'!$AK$5:$AK$66,AH!$U$4)),IF(AH!$U$5=1,INDEX('Live History'!$D$5:$D$3004,MATCH($A117,'Live History'!$D$5:$D$3004,1)),INDEX('AH History'!$D$5:$GG$1380,$K117,AH!$U$10+2))),NA()),NA())</f>
        <v/>
      </c>
      <c r="H117" s="266">
        <f>IFERROR(IF(ISNUMBER($A117),IF(AND(AH!$U$12=1,112+1=AH!$U$6),IF(AH!$U$4=0,"unavailable",INDEX('Market Data'!$AP$5:$AP$66,AH!$U$4)),IF(AH!$U$5=1,INDEX('Live History'!$H$5:$H$3004,MATCH($A117,'Live History'!$G$5:$G$3004,1)),INDEX('AH History'!$B$5:$B$1380,$K117))),NA()),NA())</f>
        <v/>
      </c>
      <c r="I117" s="34">
        <f>IFERROR(IF(ISNUMBER($A117),IF(AND(AH!$U$12=1,112+1=AH!$U$6),TODAY(),IF(AH!$U$5=1,INDEX('Live History'!$G$5:$G$3004,MATCH($A117,'Live History'!$G$5:$G$3004,1)),INDEX('AH History'!$C$5:$C$1380,$K117))),NA()),NA())</f>
        <v/>
      </c>
      <c r="J117" s="32">
        <f>IFERROR(IF(AND($F117&gt;0,$H117&gt;0,$A117-$G117&lt;=10,$A117-$I117&lt;=5,$G117&gt;0,$I117&gt;0),$F117*$H117,NA()),NA())</f>
        <v/>
      </c>
      <c r="K117" s="15">
        <f>IF($A117="","",IF(AH!$U$5=1,IFERROR(MATCH($A117,'Live History'!$A$5:$A$3004,0),0),AH!$U$7+112))</f>
        <v/>
      </c>
      <c r="L117" s="15">
        <f>IF(ISNUMBER(A117),TEXT(A117,"dd-mmm-yy"),"")</f>
        <v/>
      </c>
    </row>
    <row r="118">
      <c r="A118" s="14">
        <f>IF(OR(AH!$U$4=0,113+1&gt;AH!$U$6,AND(AH!$M$5="Bloomberg",AH!$U$5=0)),"",IFERROR(IF(AND(AH!$U$12=1,113+1=AH!$U$6),TODAY(),IF(AH!$U$5=1,INDEX('Live History'!$A$5:$A$3004,AH!$U$7+113),INDEX('AH History'!$A$5:$A$1380,AH!$U$7+113))),""))</f>
        <v/>
      </c>
      <c r="B118" s="33">
        <f>IFERROR(IF(AH!$U$11=1,NA(),$J118/$E118-1),NA())</f>
        <v/>
      </c>
      <c r="C118" s="269">
        <f>IFERROR(100*$E118/$E$5,NA())</f>
        <v/>
      </c>
      <c r="D118" s="269">
        <f>IFERROR(100*$J118/$J$5,NA())</f>
        <v/>
      </c>
      <c r="E118" s="32">
        <f>IFERROR(IF(AND(ISNUMBER($A118),N(IF(AND(AH!$U$12=1,113+1=AH!$U$6),IF(AH!$U$4=0,"unavailable",INDEX('Market Data'!$AN$5:$AN$66,AH!$U$4)),IF(AH!$U$5=1,INDEX('Live History'!$B$5:$B$3004,$K118),INDEX('AH History'!$D$5:$GG$1380,$K118,AH!$U$10))))&gt;0),IF(AND(AH!$U$12=1,113+1=AH!$U$6),IF(AH!$U$4=0,"unavailable",INDEX('Market Data'!$AN$5:$AN$66,AH!$U$4)),IF(AH!$U$5=1,INDEX('Live History'!$B$5:$B$3004,$K118),INDEX('AH History'!$D$5:$GG$1380,$K118,AH!$U$10))),NA()),NA())</f>
        <v/>
      </c>
      <c r="F118" s="32">
        <f>IFERROR(IF(ISNUMBER($A118),IF(AND(AH!$U$12=1,113+1=AH!$U$6),IF(AH!$U$4=0,"unavailable",INDEX('Market Data'!$AO$5:$AO$66,AH!$U$4)),IF(AH!$U$5=1,INDEX('Live History'!$E$5:$E$3004,MATCH($A118,'Live History'!$D$5:$D$3004,1)),INDEX('AH History'!$D$5:$GG$1380,$K118,AH!$U$10+1))),NA()),NA())</f>
        <v/>
      </c>
      <c r="G118" s="34">
        <f>IFERROR(IF(ISNUMBER($A118),IF(AND(AH!$U$12=1,113+1=AH!$U$6),IF(AH!$U$4=0,"unavailable",INDEX('Market Data'!$AK$5:$AK$66,AH!$U$4)),IF(AH!$U$5=1,INDEX('Live History'!$D$5:$D$3004,MATCH($A118,'Live History'!$D$5:$D$3004,1)),INDEX('AH History'!$D$5:$GG$1380,$K118,AH!$U$10+2))),NA()),NA())</f>
        <v/>
      </c>
      <c r="H118" s="266">
        <f>IFERROR(IF(ISNUMBER($A118),IF(AND(AH!$U$12=1,113+1=AH!$U$6),IF(AH!$U$4=0,"unavailable",INDEX('Market Data'!$AP$5:$AP$66,AH!$U$4)),IF(AH!$U$5=1,INDEX('Live History'!$H$5:$H$3004,MATCH($A118,'Live History'!$G$5:$G$3004,1)),INDEX('AH History'!$B$5:$B$1380,$K118))),NA()),NA())</f>
        <v/>
      </c>
      <c r="I118" s="34">
        <f>IFERROR(IF(ISNUMBER($A118),IF(AND(AH!$U$12=1,113+1=AH!$U$6),TODAY(),IF(AH!$U$5=1,INDEX('Live History'!$G$5:$G$3004,MATCH($A118,'Live History'!$G$5:$G$3004,1)),INDEX('AH History'!$C$5:$C$1380,$K118))),NA()),NA())</f>
        <v/>
      </c>
      <c r="J118" s="32">
        <f>IFERROR(IF(AND($F118&gt;0,$H118&gt;0,$A118-$G118&lt;=10,$A118-$I118&lt;=5,$G118&gt;0,$I118&gt;0),$F118*$H118,NA()),NA())</f>
        <v/>
      </c>
      <c r="K118" s="15">
        <f>IF($A118="","",IF(AH!$U$5=1,IFERROR(MATCH($A118,'Live History'!$A$5:$A$3004,0),0),AH!$U$7+113))</f>
        <v/>
      </c>
      <c r="L118" s="15">
        <f>IF(ISNUMBER(A118),TEXT(A118,"dd-mmm-yy"),"")</f>
        <v/>
      </c>
    </row>
    <row r="119">
      <c r="A119" s="14">
        <f>IF(OR(AH!$U$4=0,114+1&gt;AH!$U$6,AND(AH!$M$5="Bloomberg",AH!$U$5=0)),"",IFERROR(IF(AND(AH!$U$12=1,114+1=AH!$U$6),TODAY(),IF(AH!$U$5=1,INDEX('Live History'!$A$5:$A$3004,AH!$U$7+114),INDEX('AH History'!$A$5:$A$1380,AH!$U$7+114))),""))</f>
        <v/>
      </c>
      <c r="B119" s="33">
        <f>IFERROR(IF(AH!$U$11=1,NA(),$J119/$E119-1),NA())</f>
        <v/>
      </c>
      <c r="C119" s="269">
        <f>IFERROR(100*$E119/$E$5,NA())</f>
        <v/>
      </c>
      <c r="D119" s="269">
        <f>IFERROR(100*$J119/$J$5,NA())</f>
        <v/>
      </c>
      <c r="E119" s="32">
        <f>IFERROR(IF(AND(ISNUMBER($A119),N(IF(AND(AH!$U$12=1,114+1=AH!$U$6),IF(AH!$U$4=0,"unavailable",INDEX('Market Data'!$AN$5:$AN$66,AH!$U$4)),IF(AH!$U$5=1,INDEX('Live History'!$B$5:$B$3004,$K119),INDEX('AH History'!$D$5:$GG$1380,$K119,AH!$U$10))))&gt;0),IF(AND(AH!$U$12=1,114+1=AH!$U$6),IF(AH!$U$4=0,"unavailable",INDEX('Market Data'!$AN$5:$AN$66,AH!$U$4)),IF(AH!$U$5=1,INDEX('Live History'!$B$5:$B$3004,$K119),INDEX('AH History'!$D$5:$GG$1380,$K119,AH!$U$10))),NA()),NA())</f>
        <v/>
      </c>
      <c r="F119" s="32">
        <f>IFERROR(IF(ISNUMBER($A119),IF(AND(AH!$U$12=1,114+1=AH!$U$6),IF(AH!$U$4=0,"unavailable",INDEX('Market Data'!$AO$5:$AO$66,AH!$U$4)),IF(AH!$U$5=1,INDEX('Live History'!$E$5:$E$3004,MATCH($A119,'Live History'!$D$5:$D$3004,1)),INDEX('AH History'!$D$5:$GG$1380,$K119,AH!$U$10+1))),NA()),NA())</f>
        <v/>
      </c>
      <c r="G119" s="34">
        <f>IFERROR(IF(ISNUMBER($A119),IF(AND(AH!$U$12=1,114+1=AH!$U$6),IF(AH!$U$4=0,"unavailable",INDEX('Market Data'!$AK$5:$AK$66,AH!$U$4)),IF(AH!$U$5=1,INDEX('Live History'!$D$5:$D$3004,MATCH($A119,'Live History'!$D$5:$D$3004,1)),INDEX('AH History'!$D$5:$GG$1380,$K119,AH!$U$10+2))),NA()),NA())</f>
        <v/>
      </c>
      <c r="H119" s="266">
        <f>IFERROR(IF(ISNUMBER($A119),IF(AND(AH!$U$12=1,114+1=AH!$U$6),IF(AH!$U$4=0,"unavailable",INDEX('Market Data'!$AP$5:$AP$66,AH!$U$4)),IF(AH!$U$5=1,INDEX('Live History'!$H$5:$H$3004,MATCH($A119,'Live History'!$G$5:$G$3004,1)),INDEX('AH History'!$B$5:$B$1380,$K119))),NA()),NA())</f>
        <v/>
      </c>
      <c r="I119" s="34">
        <f>IFERROR(IF(ISNUMBER($A119),IF(AND(AH!$U$12=1,114+1=AH!$U$6),TODAY(),IF(AH!$U$5=1,INDEX('Live History'!$G$5:$G$3004,MATCH($A119,'Live History'!$G$5:$G$3004,1)),INDEX('AH History'!$C$5:$C$1380,$K119))),NA()),NA())</f>
        <v/>
      </c>
      <c r="J119" s="32">
        <f>IFERROR(IF(AND($F119&gt;0,$H119&gt;0,$A119-$G119&lt;=10,$A119-$I119&lt;=5,$G119&gt;0,$I119&gt;0),$F119*$H119,NA()),NA())</f>
        <v/>
      </c>
      <c r="K119" s="15">
        <f>IF($A119="","",IF(AH!$U$5=1,IFERROR(MATCH($A119,'Live History'!$A$5:$A$3004,0),0),AH!$U$7+114))</f>
        <v/>
      </c>
      <c r="L119" s="15">
        <f>IF(ISNUMBER(A119),TEXT(A119,"dd-mmm-yy"),"")</f>
        <v/>
      </c>
    </row>
    <row r="120">
      <c r="A120" s="14">
        <f>IF(OR(AH!$U$4=0,115+1&gt;AH!$U$6,AND(AH!$M$5="Bloomberg",AH!$U$5=0)),"",IFERROR(IF(AND(AH!$U$12=1,115+1=AH!$U$6),TODAY(),IF(AH!$U$5=1,INDEX('Live History'!$A$5:$A$3004,AH!$U$7+115),INDEX('AH History'!$A$5:$A$1380,AH!$U$7+115))),""))</f>
        <v/>
      </c>
      <c r="B120" s="33">
        <f>IFERROR(IF(AH!$U$11=1,NA(),$J120/$E120-1),NA())</f>
        <v/>
      </c>
      <c r="C120" s="269">
        <f>IFERROR(100*$E120/$E$5,NA())</f>
        <v/>
      </c>
      <c r="D120" s="269">
        <f>IFERROR(100*$J120/$J$5,NA())</f>
        <v/>
      </c>
      <c r="E120" s="32">
        <f>IFERROR(IF(AND(ISNUMBER($A120),N(IF(AND(AH!$U$12=1,115+1=AH!$U$6),IF(AH!$U$4=0,"unavailable",INDEX('Market Data'!$AN$5:$AN$66,AH!$U$4)),IF(AH!$U$5=1,INDEX('Live History'!$B$5:$B$3004,$K120),INDEX('AH History'!$D$5:$GG$1380,$K120,AH!$U$10))))&gt;0),IF(AND(AH!$U$12=1,115+1=AH!$U$6),IF(AH!$U$4=0,"unavailable",INDEX('Market Data'!$AN$5:$AN$66,AH!$U$4)),IF(AH!$U$5=1,INDEX('Live History'!$B$5:$B$3004,$K120),INDEX('AH History'!$D$5:$GG$1380,$K120,AH!$U$10))),NA()),NA())</f>
        <v/>
      </c>
      <c r="F120" s="32">
        <f>IFERROR(IF(ISNUMBER($A120),IF(AND(AH!$U$12=1,115+1=AH!$U$6),IF(AH!$U$4=0,"unavailable",INDEX('Market Data'!$AO$5:$AO$66,AH!$U$4)),IF(AH!$U$5=1,INDEX('Live History'!$E$5:$E$3004,MATCH($A120,'Live History'!$D$5:$D$3004,1)),INDEX('AH History'!$D$5:$GG$1380,$K120,AH!$U$10+1))),NA()),NA())</f>
        <v/>
      </c>
      <c r="G120" s="34">
        <f>IFERROR(IF(ISNUMBER($A120),IF(AND(AH!$U$12=1,115+1=AH!$U$6),IF(AH!$U$4=0,"unavailable",INDEX('Market Data'!$AK$5:$AK$66,AH!$U$4)),IF(AH!$U$5=1,INDEX('Live History'!$D$5:$D$3004,MATCH($A120,'Live History'!$D$5:$D$3004,1)),INDEX('AH History'!$D$5:$GG$1380,$K120,AH!$U$10+2))),NA()),NA())</f>
        <v/>
      </c>
      <c r="H120" s="266">
        <f>IFERROR(IF(ISNUMBER($A120),IF(AND(AH!$U$12=1,115+1=AH!$U$6),IF(AH!$U$4=0,"unavailable",INDEX('Market Data'!$AP$5:$AP$66,AH!$U$4)),IF(AH!$U$5=1,INDEX('Live History'!$H$5:$H$3004,MATCH($A120,'Live History'!$G$5:$G$3004,1)),INDEX('AH History'!$B$5:$B$1380,$K120))),NA()),NA())</f>
        <v/>
      </c>
      <c r="I120" s="34">
        <f>IFERROR(IF(ISNUMBER($A120),IF(AND(AH!$U$12=1,115+1=AH!$U$6),TODAY(),IF(AH!$U$5=1,INDEX('Live History'!$G$5:$G$3004,MATCH($A120,'Live History'!$G$5:$G$3004,1)),INDEX('AH History'!$C$5:$C$1380,$K120))),NA()),NA())</f>
        <v/>
      </c>
      <c r="J120" s="32">
        <f>IFERROR(IF(AND($F120&gt;0,$H120&gt;0,$A120-$G120&lt;=10,$A120-$I120&lt;=5,$G120&gt;0,$I120&gt;0),$F120*$H120,NA()),NA())</f>
        <v/>
      </c>
      <c r="K120" s="15">
        <f>IF($A120="","",IF(AH!$U$5=1,IFERROR(MATCH($A120,'Live History'!$A$5:$A$3004,0),0),AH!$U$7+115))</f>
        <v/>
      </c>
      <c r="L120" s="15">
        <f>IF(ISNUMBER(A120),TEXT(A120,"dd-mmm-yy"),"")</f>
        <v/>
      </c>
    </row>
    <row r="121">
      <c r="A121" s="14">
        <f>IF(OR(AH!$U$4=0,116+1&gt;AH!$U$6,AND(AH!$M$5="Bloomberg",AH!$U$5=0)),"",IFERROR(IF(AND(AH!$U$12=1,116+1=AH!$U$6),TODAY(),IF(AH!$U$5=1,INDEX('Live History'!$A$5:$A$3004,AH!$U$7+116),INDEX('AH History'!$A$5:$A$1380,AH!$U$7+116))),""))</f>
        <v/>
      </c>
      <c r="B121" s="33">
        <f>IFERROR(IF(AH!$U$11=1,NA(),$J121/$E121-1),NA())</f>
        <v/>
      </c>
      <c r="C121" s="269">
        <f>IFERROR(100*$E121/$E$5,NA())</f>
        <v/>
      </c>
      <c r="D121" s="269">
        <f>IFERROR(100*$J121/$J$5,NA())</f>
        <v/>
      </c>
      <c r="E121" s="32">
        <f>IFERROR(IF(AND(ISNUMBER($A121),N(IF(AND(AH!$U$12=1,116+1=AH!$U$6),IF(AH!$U$4=0,"unavailable",INDEX('Market Data'!$AN$5:$AN$66,AH!$U$4)),IF(AH!$U$5=1,INDEX('Live History'!$B$5:$B$3004,$K121),INDEX('AH History'!$D$5:$GG$1380,$K121,AH!$U$10))))&gt;0),IF(AND(AH!$U$12=1,116+1=AH!$U$6),IF(AH!$U$4=0,"unavailable",INDEX('Market Data'!$AN$5:$AN$66,AH!$U$4)),IF(AH!$U$5=1,INDEX('Live History'!$B$5:$B$3004,$K121),INDEX('AH History'!$D$5:$GG$1380,$K121,AH!$U$10))),NA()),NA())</f>
        <v/>
      </c>
      <c r="F121" s="32">
        <f>IFERROR(IF(ISNUMBER($A121),IF(AND(AH!$U$12=1,116+1=AH!$U$6),IF(AH!$U$4=0,"unavailable",INDEX('Market Data'!$AO$5:$AO$66,AH!$U$4)),IF(AH!$U$5=1,INDEX('Live History'!$E$5:$E$3004,MATCH($A121,'Live History'!$D$5:$D$3004,1)),INDEX('AH History'!$D$5:$GG$1380,$K121,AH!$U$10+1))),NA()),NA())</f>
        <v/>
      </c>
      <c r="G121" s="34">
        <f>IFERROR(IF(ISNUMBER($A121),IF(AND(AH!$U$12=1,116+1=AH!$U$6),IF(AH!$U$4=0,"unavailable",INDEX('Market Data'!$AK$5:$AK$66,AH!$U$4)),IF(AH!$U$5=1,INDEX('Live History'!$D$5:$D$3004,MATCH($A121,'Live History'!$D$5:$D$3004,1)),INDEX('AH History'!$D$5:$GG$1380,$K121,AH!$U$10+2))),NA()),NA())</f>
        <v/>
      </c>
      <c r="H121" s="266">
        <f>IFERROR(IF(ISNUMBER($A121),IF(AND(AH!$U$12=1,116+1=AH!$U$6),IF(AH!$U$4=0,"unavailable",INDEX('Market Data'!$AP$5:$AP$66,AH!$U$4)),IF(AH!$U$5=1,INDEX('Live History'!$H$5:$H$3004,MATCH($A121,'Live History'!$G$5:$G$3004,1)),INDEX('AH History'!$B$5:$B$1380,$K121))),NA()),NA())</f>
        <v/>
      </c>
      <c r="I121" s="34">
        <f>IFERROR(IF(ISNUMBER($A121),IF(AND(AH!$U$12=1,116+1=AH!$U$6),TODAY(),IF(AH!$U$5=1,INDEX('Live History'!$G$5:$G$3004,MATCH($A121,'Live History'!$G$5:$G$3004,1)),INDEX('AH History'!$C$5:$C$1380,$K121))),NA()),NA())</f>
        <v/>
      </c>
      <c r="J121" s="32">
        <f>IFERROR(IF(AND($F121&gt;0,$H121&gt;0,$A121-$G121&lt;=10,$A121-$I121&lt;=5,$G121&gt;0,$I121&gt;0),$F121*$H121,NA()),NA())</f>
        <v/>
      </c>
      <c r="K121" s="15">
        <f>IF($A121="","",IF(AH!$U$5=1,IFERROR(MATCH($A121,'Live History'!$A$5:$A$3004,0),0),AH!$U$7+116))</f>
        <v/>
      </c>
      <c r="L121" s="15">
        <f>IF(ISNUMBER(A121),TEXT(A121,"dd-mmm-yy"),"")</f>
        <v/>
      </c>
    </row>
    <row r="122">
      <c r="A122" s="14">
        <f>IF(OR(AH!$U$4=0,117+1&gt;AH!$U$6,AND(AH!$M$5="Bloomberg",AH!$U$5=0)),"",IFERROR(IF(AND(AH!$U$12=1,117+1=AH!$U$6),TODAY(),IF(AH!$U$5=1,INDEX('Live History'!$A$5:$A$3004,AH!$U$7+117),INDEX('AH History'!$A$5:$A$1380,AH!$U$7+117))),""))</f>
        <v/>
      </c>
      <c r="B122" s="33">
        <f>IFERROR(IF(AH!$U$11=1,NA(),$J122/$E122-1),NA())</f>
        <v/>
      </c>
      <c r="C122" s="269">
        <f>IFERROR(100*$E122/$E$5,NA())</f>
        <v/>
      </c>
      <c r="D122" s="269">
        <f>IFERROR(100*$J122/$J$5,NA())</f>
        <v/>
      </c>
      <c r="E122" s="32">
        <f>IFERROR(IF(AND(ISNUMBER($A122),N(IF(AND(AH!$U$12=1,117+1=AH!$U$6),IF(AH!$U$4=0,"unavailable",INDEX('Market Data'!$AN$5:$AN$66,AH!$U$4)),IF(AH!$U$5=1,INDEX('Live History'!$B$5:$B$3004,$K122),INDEX('AH History'!$D$5:$GG$1380,$K122,AH!$U$10))))&gt;0),IF(AND(AH!$U$12=1,117+1=AH!$U$6),IF(AH!$U$4=0,"unavailable",INDEX('Market Data'!$AN$5:$AN$66,AH!$U$4)),IF(AH!$U$5=1,INDEX('Live History'!$B$5:$B$3004,$K122),INDEX('AH History'!$D$5:$GG$1380,$K122,AH!$U$10))),NA()),NA())</f>
        <v/>
      </c>
      <c r="F122" s="32">
        <f>IFERROR(IF(ISNUMBER($A122),IF(AND(AH!$U$12=1,117+1=AH!$U$6),IF(AH!$U$4=0,"unavailable",INDEX('Market Data'!$AO$5:$AO$66,AH!$U$4)),IF(AH!$U$5=1,INDEX('Live History'!$E$5:$E$3004,MATCH($A122,'Live History'!$D$5:$D$3004,1)),INDEX('AH History'!$D$5:$GG$1380,$K122,AH!$U$10+1))),NA()),NA())</f>
        <v/>
      </c>
      <c r="G122" s="34">
        <f>IFERROR(IF(ISNUMBER($A122),IF(AND(AH!$U$12=1,117+1=AH!$U$6),IF(AH!$U$4=0,"unavailable",INDEX('Market Data'!$AK$5:$AK$66,AH!$U$4)),IF(AH!$U$5=1,INDEX('Live History'!$D$5:$D$3004,MATCH($A122,'Live History'!$D$5:$D$3004,1)),INDEX('AH History'!$D$5:$GG$1380,$K122,AH!$U$10+2))),NA()),NA())</f>
        <v/>
      </c>
      <c r="H122" s="266">
        <f>IFERROR(IF(ISNUMBER($A122),IF(AND(AH!$U$12=1,117+1=AH!$U$6),IF(AH!$U$4=0,"unavailable",INDEX('Market Data'!$AP$5:$AP$66,AH!$U$4)),IF(AH!$U$5=1,INDEX('Live History'!$H$5:$H$3004,MATCH($A122,'Live History'!$G$5:$G$3004,1)),INDEX('AH History'!$B$5:$B$1380,$K122))),NA()),NA())</f>
        <v/>
      </c>
      <c r="I122" s="34">
        <f>IFERROR(IF(ISNUMBER($A122),IF(AND(AH!$U$12=1,117+1=AH!$U$6),TODAY(),IF(AH!$U$5=1,INDEX('Live History'!$G$5:$G$3004,MATCH($A122,'Live History'!$G$5:$G$3004,1)),INDEX('AH History'!$C$5:$C$1380,$K122))),NA()),NA())</f>
        <v/>
      </c>
      <c r="J122" s="32">
        <f>IFERROR(IF(AND($F122&gt;0,$H122&gt;0,$A122-$G122&lt;=10,$A122-$I122&lt;=5,$G122&gt;0,$I122&gt;0),$F122*$H122,NA()),NA())</f>
        <v/>
      </c>
      <c r="K122" s="15">
        <f>IF($A122="","",IF(AH!$U$5=1,IFERROR(MATCH($A122,'Live History'!$A$5:$A$3004,0),0),AH!$U$7+117))</f>
        <v/>
      </c>
      <c r="L122" s="15">
        <f>IF(ISNUMBER(A122),TEXT(A122,"dd-mmm-yy"),"")</f>
        <v/>
      </c>
    </row>
    <row r="123">
      <c r="A123" s="14">
        <f>IF(OR(AH!$U$4=0,118+1&gt;AH!$U$6,AND(AH!$M$5="Bloomberg",AH!$U$5=0)),"",IFERROR(IF(AND(AH!$U$12=1,118+1=AH!$U$6),TODAY(),IF(AH!$U$5=1,INDEX('Live History'!$A$5:$A$3004,AH!$U$7+118),INDEX('AH History'!$A$5:$A$1380,AH!$U$7+118))),""))</f>
        <v/>
      </c>
      <c r="B123" s="33">
        <f>IFERROR(IF(AH!$U$11=1,NA(),$J123/$E123-1),NA())</f>
        <v/>
      </c>
      <c r="C123" s="269">
        <f>IFERROR(100*$E123/$E$5,NA())</f>
        <v/>
      </c>
      <c r="D123" s="269">
        <f>IFERROR(100*$J123/$J$5,NA())</f>
        <v/>
      </c>
      <c r="E123" s="32">
        <f>IFERROR(IF(AND(ISNUMBER($A123),N(IF(AND(AH!$U$12=1,118+1=AH!$U$6),IF(AH!$U$4=0,"unavailable",INDEX('Market Data'!$AN$5:$AN$66,AH!$U$4)),IF(AH!$U$5=1,INDEX('Live History'!$B$5:$B$3004,$K123),INDEX('AH History'!$D$5:$GG$1380,$K123,AH!$U$10))))&gt;0),IF(AND(AH!$U$12=1,118+1=AH!$U$6),IF(AH!$U$4=0,"unavailable",INDEX('Market Data'!$AN$5:$AN$66,AH!$U$4)),IF(AH!$U$5=1,INDEX('Live History'!$B$5:$B$3004,$K123),INDEX('AH History'!$D$5:$GG$1380,$K123,AH!$U$10))),NA()),NA())</f>
        <v/>
      </c>
      <c r="F123" s="32">
        <f>IFERROR(IF(ISNUMBER($A123),IF(AND(AH!$U$12=1,118+1=AH!$U$6),IF(AH!$U$4=0,"unavailable",INDEX('Market Data'!$AO$5:$AO$66,AH!$U$4)),IF(AH!$U$5=1,INDEX('Live History'!$E$5:$E$3004,MATCH($A123,'Live History'!$D$5:$D$3004,1)),INDEX('AH History'!$D$5:$GG$1380,$K123,AH!$U$10+1))),NA()),NA())</f>
        <v/>
      </c>
      <c r="G123" s="34">
        <f>IFERROR(IF(ISNUMBER($A123),IF(AND(AH!$U$12=1,118+1=AH!$U$6),IF(AH!$U$4=0,"unavailable",INDEX('Market Data'!$AK$5:$AK$66,AH!$U$4)),IF(AH!$U$5=1,INDEX('Live History'!$D$5:$D$3004,MATCH($A123,'Live History'!$D$5:$D$3004,1)),INDEX('AH History'!$D$5:$GG$1380,$K123,AH!$U$10+2))),NA()),NA())</f>
        <v/>
      </c>
      <c r="H123" s="266">
        <f>IFERROR(IF(ISNUMBER($A123),IF(AND(AH!$U$12=1,118+1=AH!$U$6),IF(AH!$U$4=0,"unavailable",INDEX('Market Data'!$AP$5:$AP$66,AH!$U$4)),IF(AH!$U$5=1,INDEX('Live History'!$H$5:$H$3004,MATCH($A123,'Live History'!$G$5:$G$3004,1)),INDEX('AH History'!$B$5:$B$1380,$K123))),NA()),NA())</f>
        <v/>
      </c>
      <c r="I123" s="34">
        <f>IFERROR(IF(ISNUMBER($A123),IF(AND(AH!$U$12=1,118+1=AH!$U$6),TODAY(),IF(AH!$U$5=1,INDEX('Live History'!$G$5:$G$3004,MATCH($A123,'Live History'!$G$5:$G$3004,1)),INDEX('AH History'!$C$5:$C$1380,$K123))),NA()),NA())</f>
        <v/>
      </c>
      <c r="J123" s="32">
        <f>IFERROR(IF(AND($F123&gt;0,$H123&gt;0,$A123-$G123&lt;=10,$A123-$I123&lt;=5,$G123&gt;0,$I123&gt;0),$F123*$H123,NA()),NA())</f>
        <v/>
      </c>
      <c r="K123" s="15">
        <f>IF($A123="","",IF(AH!$U$5=1,IFERROR(MATCH($A123,'Live History'!$A$5:$A$3004,0),0),AH!$U$7+118))</f>
        <v/>
      </c>
      <c r="L123" s="15">
        <f>IF(ISNUMBER(A123),TEXT(A123,"dd-mmm-yy"),"")</f>
        <v/>
      </c>
    </row>
    <row r="124">
      <c r="A124" s="14">
        <f>IF(OR(AH!$U$4=0,119+1&gt;AH!$U$6,AND(AH!$M$5="Bloomberg",AH!$U$5=0)),"",IFERROR(IF(AND(AH!$U$12=1,119+1=AH!$U$6),TODAY(),IF(AH!$U$5=1,INDEX('Live History'!$A$5:$A$3004,AH!$U$7+119),INDEX('AH History'!$A$5:$A$1380,AH!$U$7+119))),""))</f>
        <v/>
      </c>
      <c r="B124" s="33">
        <f>IFERROR(IF(AH!$U$11=1,NA(),$J124/$E124-1),NA())</f>
        <v/>
      </c>
      <c r="C124" s="269">
        <f>IFERROR(100*$E124/$E$5,NA())</f>
        <v/>
      </c>
      <c r="D124" s="269">
        <f>IFERROR(100*$J124/$J$5,NA())</f>
        <v/>
      </c>
      <c r="E124" s="32">
        <f>IFERROR(IF(AND(ISNUMBER($A124),N(IF(AND(AH!$U$12=1,119+1=AH!$U$6),IF(AH!$U$4=0,"unavailable",INDEX('Market Data'!$AN$5:$AN$66,AH!$U$4)),IF(AH!$U$5=1,INDEX('Live History'!$B$5:$B$3004,$K124),INDEX('AH History'!$D$5:$GG$1380,$K124,AH!$U$10))))&gt;0),IF(AND(AH!$U$12=1,119+1=AH!$U$6),IF(AH!$U$4=0,"unavailable",INDEX('Market Data'!$AN$5:$AN$66,AH!$U$4)),IF(AH!$U$5=1,INDEX('Live History'!$B$5:$B$3004,$K124),INDEX('AH History'!$D$5:$GG$1380,$K124,AH!$U$10))),NA()),NA())</f>
        <v/>
      </c>
      <c r="F124" s="32">
        <f>IFERROR(IF(ISNUMBER($A124),IF(AND(AH!$U$12=1,119+1=AH!$U$6),IF(AH!$U$4=0,"unavailable",INDEX('Market Data'!$AO$5:$AO$66,AH!$U$4)),IF(AH!$U$5=1,INDEX('Live History'!$E$5:$E$3004,MATCH($A124,'Live History'!$D$5:$D$3004,1)),INDEX('AH History'!$D$5:$GG$1380,$K124,AH!$U$10+1))),NA()),NA())</f>
        <v/>
      </c>
      <c r="G124" s="34">
        <f>IFERROR(IF(ISNUMBER($A124),IF(AND(AH!$U$12=1,119+1=AH!$U$6),IF(AH!$U$4=0,"unavailable",INDEX('Market Data'!$AK$5:$AK$66,AH!$U$4)),IF(AH!$U$5=1,INDEX('Live History'!$D$5:$D$3004,MATCH($A124,'Live History'!$D$5:$D$3004,1)),INDEX('AH History'!$D$5:$GG$1380,$K124,AH!$U$10+2))),NA()),NA())</f>
        <v/>
      </c>
      <c r="H124" s="266">
        <f>IFERROR(IF(ISNUMBER($A124),IF(AND(AH!$U$12=1,119+1=AH!$U$6),IF(AH!$U$4=0,"unavailable",INDEX('Market Data'!$AP$5:$AP$66,AH!$U$4)),IF(AH!$U$5=1,INDEX('Live History'!$H$5:$H$3004,MATCH($A124,'Live History'!$G$5:$G$3004,1)),INDEX('AH History'!$B$5:$B$1380,$K124))),NA()),NA())</f>
        <v/>
      </c>
      <c r="I124" s="34">
        <f>IFERROR(IF(ISNUMBER($A124),IF(AND(AH!$U$12=1,119+1=AH!$U$6),TODAY(),IF(AH!$U$5=1,INDEX('Live History'!$G$5:$G$3004,MATCH($A124,'Live History'!$G$5:$G$3004,1)),INDEX('AH History'!$C$5:$C$1380,$K124))),NA()),NA())</f>
        <v/>
      </c>
      <c r="J124" s="32">
        <f>IFERROR(IF(AND($F124&gt;0,$H124&gt;0,$A124-$G124&lt;=10,$A124-$I124&lt;=5,$G124&gt;0,$I124&gt;0),$F124*$H124,NA()),NA())</f>
        <v/>
      </c>
      <c r="K124" s="15">
        <f>IF($A124="","",IF(AH!$U$5=1,IFERROR(MATCH($A124,'Live History'!$A$5:$A$3004,0),0),AH!$U$7+119))</f>
        <v/>
      </c>
      <c r="L124" s="15">
        <f>IF(ISNUMBER(A124),TEXT(A124,"dd-mmm-yy"),"")</f>
        <v/>
      </c>
    </row>
    <row r="125">
      <c r="A125" s="14">
        <f>IF(OR(AH!$U$4=0,120+1&gt;AH!$U$6,AND(AH!$M$5="Bloomberg",AH!$U$5=0)),"",IFERROR(IF(AND(AH!$U$12=1,120+1=AH!$U$6),TODAY(),IF(AH!$U$5=1,INDEX('Live History'!$A$5:$A$3004,AH!$U$7+120),INDEX('AH History'!$A$5:$A$1380,AH!$U$7+120))),""))</f>
        <v/>
      </c>
      <c r="B125" s="33">
        <f>IFERROR(IF(AH!$U$11=1,NA(),$J125/$E125-1),NA())</f>
        <v/>
      </c>
      <c r="C125" s="269">
        <f>IFERROR(100*$E125/$E$5,NA())</f>
        <v/>
      </c>
      <c r="D125" s="269">
        <f>IFERROR(100*$J125/$J$5,NA())</f>
        <v/>
      </c>
      <c r="E125" s="32">
        <f>IFERROR(IF(AND(ISNUMBER($A125),N(IF(AND(AH!$U$12=1,120+1=AH!$U$6),IF(AH!$U$4=0,"unavailable",INDEX('Market Data'!$AN$5:$AN$66,AH!$U$4)),IF(AH!$U$5=1,INDEX('Live History'!$B$5:$B$3004,$K125),INDEX('AH History'!$D$5:$GG$1380,$K125,AH!$U$10))))&gt;0),IF(AND(AH!$U$12=1,120+1=AH!$U$6),IF(AH!$U$4=0,"unavailable",INDEX('Market Data'!$AN$5:$AN$66,AH!$U$4)),IF(AH!$U$5=1,INDEX('Live History'!$B$5:$B$3004,$K125),INDEX('AH History'!$D$5:$GG$1380,$K125,AH!$U$10))),NA()),NA())</f>
        <v/>
      </c>
      <c r="F125" s="32">
        <f>IFERROR(IF(ISNUMBER($A125),IF(AND(AH!$U$12=1,120+1=AH!$U$6),IF(AH!$U$4=0,"unavailable",INDEX('Market Data'!$AO$5:$AO$66,AH!$U$4)),IF(AH!$U$5=1,INDEX('Live History'!$E$5:$E$3004,MATCH($A125,'Live History'!$D$5:$D$3004,1)),INDEX('AH History'!$D$5:$GG$1380,$K125,AH!$U$10+1))),NA()),NA())</f>
        <v/>
      </c>
      <c r="G125" s="34">
        <f>IFERROR(IF(ISNUMBER($A125),IF(AND(AH!$U$12=1,120+1=AH!$U$6),IF(AH!$U$4=0,"unavailable",INDEX('Market Data'!$AK$5:$AK$66,AH!$U$4)),IF(AH!$U$5=1,INDEX('Live History'!$D$5:$D$3004,MATCH($A125,'Live History'!$D$5:$D$3004,1)),INDEX('AH History'!$D$5:$GG$1380,$K125,AH!$U$10+2))),NA()),NA())</f>
        <v/>
      </c>
      <c r="H125" s="266">
        <f>IFERROR(IF(ISNUMBER($A125),IF(AND(AH!$U$12=1,120+1=AH!$U$6),IF(AH!$U$4=0,"unavailable",INDEX('Market Data'!$AP$5:$AP$66,AH!$U$4)),IF(AH!$U$5=1,INDEX('Live History'!$H$5:$H$3004,MATCH($A125,'Live History'!$G$5:$G$3004,1)),INDEX('AH History'!$B$5:$B$1380,$K125))),NA()),NA())</f>
        <v/>
      </c>
      <c r="I125" s="34">
        <f>IFERROR(IF(ISNUMBER($A125),IF(AND(AH!$U$12=1,120+1=AH!$U$6),TODAY(),IF(AH!$U$5=1,INDEX('Live History'!$G$5:$G$3004,MATCH($A125,'Live History'!$G$5:$G$3004,1)),INDEX('AH History'!$C$5:$C$1380,$K125))),NA()),NA())</f>
        <v/>
      </c>
      <c r="J125" s="32">
        <f>IFERROR(IF(AND($F125&gt;0,$H125&gt;0,$A125-$G125&lt;=10,$A125-$I125&lt;=5,$G125&gt;0,$I125&gt;0),$F125*$H125,NA()),NA())</f>
        <v/>
      </c>
      <c r="K125" s="15">
        <f>IF($A125="","",IF(AH!$U$5=1,IFERROR(MATCH($A125,'Live History'!$A$5:$A$3004,0),0),AH!$U$7+120))</f>
        <v/>
      </c>
      <c r="L125" s="15">
        <f>IF(ISNUMBER(A125),TEXT(A125,"dd-mmm-yy"),"")</f>
        <v/>
      </c>
    </row>
    <row r="126">
      <c r="A126" s="14">
        <f>IF(OR(AH!$U$4=0,121+1&gt;AH!$U$6,AND(AH!$M$5="Bloomberg",AH!$U$5=0)),"",IFERROR(IF(AND(AH!$U$12=1,121+1=AH!$U$6),TODAY(),IF(AH!$U$5=1,INDEX('Live History'!$A$5:$A$3004,AH!$U$7+121),INDEX('AH History'!$A$5:$A$1380,AH!$U$7+121))),""))</f>
        <v/>
      </c>
      <c r="B126" s="33">
        <f>IFERROR(IF(AH!$U$11=1,NA(),$J126/$E126-1),NA())</f>
        <v/>
      </c>
      <c r="C126" s="269">
        <f>IFERROR(100*$E126/$E$5,NA())</f>
        <v/>
      </c>
      <c r="D126" s="269">
        <f>IFERROR(100*$J126/$J$5,NA())</f>
        <v/>
      </c>
      <c r="E126" s="32">
        <f>IFERROR(IF(AND(ISNUMBER($A126),N(IF(AND(AH!$U$12=1,121+1=AH!$U$6),IF(AH!$U$4=0,"unavailable",INDEX('Market Data'!$AN$5:$AN$66,AH!$U$4)),IF(AH!$U$5=1,INDEX('Live History'!$B$5:$B$3004,$K126),INDEX('AH History'!$D$5:$GG$1380,$K126,AH!$U$10))))&gt;0),IF(AND(AH!$U$12=1,121+1=AH!$U$6),IF(AH!$U$4=0,"unavailable",INDEX('Market Data'!$AN$5:$AN$66,AH!$U$4)),IF(AH!$U$5=1,INDEX('Live History'!$B$5:$B$3004,$K126),INDEX('AH History'!$D$5:$GG$1380,$K126,AH!$U$10))),NA()),NA())</f>
        <v/>
      </c>
      <c r="F126" s="32">
        <f>IFERROR(IF(ISNUMBER($A126),IF(AND(AH!$U$12=1,121+1=AH!$U$6),IF(AH!$U$4=0,"unavailable",INDEX('Market Data'!$AO$5:$AO$66,AH!$U$4)),IF(AH!$U$5=1,INDEX('Live History'!$E$5:$E$3004,MATCH($A126,'Live History'!$D$5:$D$3004,1)),INDEX('AH History'!$D$5:$GG$1380,$K126,AH!$U$10+1))),NA()),NA())</f>
        <v/>
      </c>
      <c r="G126" s="34">
        <f>IFERROR(IF(ISNUMBER($A126),IF(AND(AH!$U$12=1,121+1=AH!$U$6),IF(AH!$U$4=0,"unavailable",INDEX('Market Data'!$AK$5:$AK$66,AH!$U$4)),IF(AH!$U$5=1,INDEX('Live History'!$D$5:$D$3004,MATCH($A126,'Live History'!$D$5:$D$3004,1)),INDEX('AH History'!$D$5:$GG$1380,$K126,AH!$U$10+2))),NA()),NA())</f>
        <v/>
      </c>
      <c r="H126" s="266">
        <f>IFERROR(IF(ISNUMBER($A126),IF(AND(AH!$U$12=1,121+1=AH!$U$6),IF(AH!$U$4=0,"unavailable",INDEX('Market Data'!$AP$5:$AP$66,AH!$U$4)),IF(AH!$U$5=1,INDEX('Live History'!$H$5:$H$3004,MATCH($A126,'Live History'!$G$5:$G$3004,1)),INDEX('AH History'!$B$5:$B$1380,$K126))),NA()),NA())</f>
        <v/>
      </c>
      <c r="I126" s="34">
        <f>IFERROR(IF(ISNUMBER($A126),IF(AND(AH!$U$12=1,121+1=AH!$U$6),TODAY(),IF(AH!$U$5=1,INDEX('Live History'!$G$5:$G$3004,MATCH($A126,'Live History'!$G$5:$G$3004,1)),INDEX('AH History'!$C$5:$C$1380,$K126))),NA()),NA())</f>
        <v/>
      </c>
      <c r="J126" s="32">
        <f>IFERROR(IF(AND($F126&gt;0,$H126&gt;0,$A126-$G126&lt;=10,$A126-$I126&lt;=5,$G126&gt;0,$I126&gt;0),$F126*$H126,NA()),NA())</f>
        <v/>
      </c>
      <c r="K126" s="15">
        <f>IF($A126="","",IF(AH!$U$5=1,IFERROR(MATCH($A126,'Live History'!$A$5:$A$3004,0),0),AH!$U$7+121))</f>
        <v/>
      </c>
      <c r="L126" s="15">
        <f>IF(ISNUMBER(A126),TEXT(A126,"dd-mmm-yy"),"")</f>
        <v/>
      </c>
    </row>
    <row r="127">
      <c r="A127" s="14">
        <f>IF(OR(AH!$U$4=0,122+1&gt;AH!$U$6,AND(AH!$M$5="Bloomberg",AH!$U$5=0)),"",IFERROR(IF(AND(AH!$U$12=1,122+1=AH!$U$6),TODAY(),IF(AH!$U$5=1,INDEX('Live History'!$A$5:$A$3004,AH!$U$7+122),INDEX('AH History'!$A$5:$A$1380,AH!$U$7+122))),""))</f>
        <v/>
      </c>
      <c r="B127" s="33">
        <f>IFERROR(IF(AH!$U$11=1,NA(),$J127/$E127-1),NA())</f>
        <v/>
      </c>
      <c r="C127" s="269">
        <f>IFERROR(100*$E127/$E$5,NA())</f>
        <v/>
      </c>
      <c r="D127" s="269">
        <f>IFERROR(100*$J127/$J$5,NA())</f>
        <v/>
      </c>
      <c r="E127" s="32">
        <f>IFERROR(IF(AND(ISNUMBER($A127),N(IF(AND(AH!$U$12=1,122+1=AH!$U$6),IF(AH!$U$4=0,"unavailable",INDEX('Market Data'!$AN$5:$AN$66,AH!$U$4)),IF(AH!$U$5=1,INDEX('Live History'!$B$5:$B$3004,$K127),INDEX('AH History'!$D$5:$GG$1380,$K127,AH!$U$10))))&gt;0),IF(AND(AH!$U$12=1,122+1=AH!$U$6),IF(AH!$U$4=0,"unavailable",INDEX('Market Data'!$AN$5:$AN$66,AH!$U$4)),IF(AH!$U$5=1,INDEX('Live History'!$B$5:$B$3004,$K127),INDEX('AH History'!$D$5:$GG$1380,$K127,AH!$U$10))),NA()),NA())</f>
        <v/>
      </c>
      <c r="F127" s="32">
        <f>IFERROR(IF(ISNUMBER($A127),IF(AND(AH!$U$12=1,122+1=AH!$U$6),IF(AH!$U$4=0,"unavailable",INDEX('Market Data'!$AO$5:$AO$66,AH!$U$4)),IF(AH!$U$5=1,INDEX('Live History'!$E$5:$E$3004,MATCH($A127,'Live History'!$D$5:$D$3004,1)),INDEX('AH History'!$D$5:$GG$1380,$K127,AH!$U$10+1))),NA()),NA())</f>
        <v/>
      </c>
      <c r="G127" s="34">
        <f>IFERROR(IF(ISNUMBER($A127),IF(AND(AH!$U$12=1,122+1=AH!$U$6),IF(AH!$U$4=0,"unavailable",INDEX('Market Data'!$AK$5:$AK$66,AH!$U$4)),IF(AH!$U$5=1,INDEX('Live History'!$D$5:$D$3004,MATCH($A127,'Live History'!$D$5:$D$3004,1)),INDEX('AH History'!$D$5:$GG$1380,$K127,AH!$U$10+2))),NA()),NA())</f>
        <v/>
      </c>
      <c r="H127" s="266">
        <f>IFERROR(IF(ISNUMBER($A127),IF(AND(AH!$U$12=1,122+1=AH!$U$6),IF(AH!$U$4=0,"unavailable",INDEX('Market Data'!$AP$5:$AP$66,AH!$U$4)),IF(AH!$U$5=1,INDEX('Live History'!$H$5:$H$3004,MATCH($A127,'Live History'!$G$5:$G$3004,1)),INDEX('AH History'!$B$5:$B$1380,$K127))),NA()),NA())</f>
        <v/>
      </c>
      <c r="I127" s="34">
        <f>IFERROR(IF(ISNUMBER($A127),IF(AND(AH!$U$12=1,122+1=AH!$U$6),TODAY(),IF(AH!$U$5=1,INDEX('Live History'!$G$5:$G$3004,MATCH($A127,'Live History'!$G$5:$G$3004,1)),INDEX('AH History'!$C$5:$C$1380,$K127))),NA()),NA())</f>
        <v/>
      </c>
      <c r="J127" s="32">
        <f>IFERROR(IF(AND($F127&gt;0,$H127&gt;0,$A127-$G127&lt;=10,$A127-$I127&lt;=5,$G127&gt;0,$I127&gt;0),$F127*$H127,NA()),NA())</f>
        <v/>
      </c>
      <c r="K127" s="15">
        <f>IF($A127="","",IF(AH!$U$5=1,IFERROR(MATCH($A127,'Live History'!$A$5:$A$3004,0),0),AH!$U$7+122))</f>
        <v/>
      </c>
      <c r="L127" s="15">
        <f>IF(ISNUMBER(A127),TEXT(A127,"dd-mmm-yy"),"")</f>
        <v/>
      </c>
    </row>
    <row r="128">
      <c r="A128" s="14">
        <f>IF(OR(AH!$U$4=0,123+1&gt;AH!$U$6,AND(AH!$M$5="Bloomberg",AH!$U$5=0)),"",IFERROR(IF(AND(AH!$U$12=1,123+1=AH!$U$6),TODAY(),IF(AH!$U$5=1,INDEX('Live History'!$A$5:$A$3004,AH!$U$7+123),INDEX('AH History'!$A$5:$A$1380,AH!$U$7+123))),""))</f>
        <v/>
      </c>
      <c r="B128" s="33">
        <f>IFERROR(IF(AH!$U$11=1,NA(),$J128/$E128-1),NA())</f>
        <v/>
      </c>
      <c r="C128" s="269">
        <f>IFERROR(100*$E128/$E$5,NA())</f>
        <v/>
      </c>
      <c r="D128" s="269">
        <f>IFERROR(100*$J128/$J$5,NA())</f>
        <v/>
      </c>
      <c r="E128" s="32">
        <f>IFERROR(IF(AND(ISNUMBER($A128),N(IF(AND(AH!$U$12=1,123+1=AH!$U$6),IF(AH!$U$4=0,"unavailable",INDEX('Market Data'!$AN$5:$AN$66,AH!$U$4)),IF(AH!$U$5=1,INDEX('Live History'!$B$5:$B$3004,$K128),INDEX('AH History'!$D$5:$GG$1380,$K128,AH!$U$10))))&gt;0),IF(AND(AH!$U$12=1,123+1=AH!$U$6),IF(AH!$U$4=0,"unavailable",INDEX('Market Data'!$AN$5:$AN$66,AH!$U$4)),IF(AH!$U$5=1,INDEX('Live History'!$B$5:$B$3004,$K128),INDEX('AH History'!$D$5:$GG$1380,$K128,AH!$U$10))),NA()),NA())</f>
        <v/>
      </c>
      <c r="F128" s="32">
        <f>IFERROR(IF(ISNUMBER($A128),IF(AND(AH!$U$12=1,123+1=AH!$U$6),IF(AH!$U$4=0,"unavailable",INDEX('Market Data'!$AO$5:$AO$66,AH!$U$4)),IF(AH!$U$5=1,INDEX('Live History'!$E$5:$E$3004,MATCH($A128,'Live History'!$D$5:$D$3004,1)),INDEX('AH History'!$D$5:$GG$1380,$K128,AH!$U$10+1))),NA()),NA())</f>
        <v/>
      </c>
      <c r="G128" s="34">
        <f>IFERROR(IF(ISNUMBER($A128),IF(AND(AH!$U$12=1,123+1=AH!$U$6),IF(AH!$U$4=0,"unavailable",INDEX('Market Data'!$AK$5:$AK$66,AH!$U$4)),IF(AH!$U$5=1,INDEX('Live History'!$D$5:$D$3004,MATCH($A128,'Live History'!$D$5:$D$3004,1)),INDEX('AH History'!$D$5:$GG$1380,$K128,AH!$U$10+2))),NA()),NA())</f>
        <v/>
      </c>
      <c r="H128" s="266">
        <f>IFERROR(IF(ISNUMBER($A128),IF(AND(AH!$U$12=1,123+1=AH!$U$6),IF(AH!$U$4=0,"unavailable",INDEX('Market Data'!$AP$5:$AP$66,AH!$U$4)),IF(AH!$U$5=1,INDEX('Live History'!$H$5:$H$3004,MATCH($A128,'Live History'!$G$5:$G$3004,1)),INDEX('AH History'!$B$5:$B$1380,$K128))),NA()),NA())</f>
        <v/>
      </c>
      <c r="I128" s="34">
        <f>IFERROR(IF(ISNUMBER($A128),IF(AND(AH!$U$12=1,123+1=AH!$U$6),TODAY(),IF(AH!$U$5=1,INDEX('Live History'!$G$5:$G$3004,MATCH($A128,'Live History'!$G$5:$G$3004,1)),INDEX('AH History'!$C$5:$C$1380,$K128))),NA()),NA())</f>
        <v/>
      </c>
      <c r="J128" s="32">
        <f>IFERROR(IF(AND($F128&gt;0,$H128&gt;0,$A128-$G128&lt;=10,$A128-$I128&lt;=5,$G128&gt;0,$I128&gt;0),$F128*$H128,NA()),NA())</f>
        <v/>
      </c>
      <c r="K128" s="15">
        <f>IF($A128="","",IF(AH!$U$5=1,IFERROR(MATCH($A128,'Live History'!$A$5:$A$3004,0),0),AH!$U$7+123))</f>
        <v/>
      </c>
      <c r="L128" s="15">
        <f>IF(ISNUMBER(A128),TEXT(A128,"dd-mmm-yy"),"")</f>
        <v/>
      </c>
    </row>
    <row r="129">
      <c r="A129" s="14">
        <f>IF(OR(AH!$U$4=0,124+1&gt;AH!$U$6,AND(AH!$M$5="Bloomberg",AH!$U$5=0)),"",IFERROR(IF(AND(AH!$U$12=1,124+1=AH!$U$6),TODAY(),IF(AH!$U$5=1,INDEX('Live History'!$A$5:$A$3004,AH!$U$7+124),INDEX('AH History'!$A$5:$A$1380,AH!$U$7+124))),""))</f>
        <v/>
      </c>
      <c r="B129" s="33">
        <f>IFERROR(IF(AH!$U$11=1,NA(),$J129/$E129-1),NA())</f>
        <v/>
      </c>
      <c r="C129" s="269">
        <f>IFERROR(100*$E129/$E$5,NA())</f>
        <v/>
      </c>
      <c r="D129" s="269">
        <f>IFERROR(100*$J129/$J$5,NA())</f>
        <v/>
      </c>
      <c r="E129" s="32">
        <f>IFERROR(IF(AND(ISNUMBER($A129),N(IF(AND(AH!$U$12=1,124+1=AH!$U$6),IF(AH!$U$4=0,"unavailable",INDEX('Market Data'!$AN$5:$AN$66,AH!$U$4)),IF(AH!$U$5=1,INDEX('Live History'!$B$5:$B$3004,$K129),INDEX('AH History'!$D$5:$GG$1380,$K129,AH!$U$10))))&gt;0),IF(AND(AH!$U$12=1,124+1=AH!$U$6),IF(AH!$U$4=0,"unavailable",INDEX('Market Data'!$AN$5:$AN$66,AH!$U$4)),IF(AH!$U$5=1,INDEX('Live History'!$B$5:$B$3004,$K129),INDEX('AH History'!$D$5:$GG$1380,$K129,AH!$U$10))),NA()),NA())</f>
        <v/>
      </c>
      <c r="F129" s="32">
        <f>IFERROR(IF(ISNUMBER($A129),IF(AND(AH!$U$12=1,124+1=AH!$U$6),IF(AH!$U$4=0,"unavailable",INDEX('Market Data'!$AO$5:$AO$66,AH!$U$4)),IF(AH!$U$5=1,INDEX('Live History'!$E$5:$E$3004,MATCH($A129,'Live History'!$D$5:$D$3004,1)),INDEX('AH History'!$D$5:$GG$1380,$K129,AH!$U$10+1))),NA()),NA())</f>
        <v/>
      </c>
      <c r="G129" s="34">
        <f>IFERROR(IF(ISNUMBER($A129),IF(AND(AH!$U$12=1,124+1=AH!$U$6),IF(AH!$U$4=0,"unavailable",INDEX('Market Data'!$AK$5:$AK$66,AH!$U$4)),IF(AH!$U$5=1,INDEX('Live History'!$D$5:$D$3004,MATCH($A129,'Live History'!$D$5:$D$3004,1)),INDEX('AH History'!$D$5:$GG$1380,$K129,AH!$U$10+2))),NA()),NA())</f>
        <v/>
      </c>
      <c r="H129" s="266">
        <f>IFERROR(IF(ISNUMBER($A129),IF(AND(AH!$U$12=1,124+1=AH!$U$6),IF(AH!$U$4=0,"unavailable",INDEX('Market Data'!$AP$5:$AP$66,AH!$U$4)),IF(AH!$U$5=1,INDEX('Live History'!$H$5:$H$3004,MATCH($A129,'Live History'!$G$5:$G$3004,1)),INDEX('AH History'!$B$5:$B$1380,$K129))),NA()),NA())</f>
        <v/>
      </c>
      <c r="I129" s="34">
        <f>IFERROR(IF(ISNUMBER($A129),IF(AND(AH!$U$12=1,124+1=AH!$U$6),TODAY(),IF(AH!$U$5=1,INDEX('Live History'!$G$5:$G$3004,MATCH($A129,'Live History'!$G$5:$G$3004,1)),INDEX('AH History'!$C$5:$C$1380,$K129))),NA()),NA())</f>
        <v/>
      </c>
      <c r="J129" s="32">
        <f>IFERROR(IF(AND($F129&gt;0,$H129&gt;0,$A129-$G129&lt;=10,$A129-$I129&lt;=5,$G129&gt;0,$I129&gt;0),$F129*$H129,NA()),NA())</f>
        <v/>
      </c>
      <c r="K129" s="15">
        <f>IF($A129="","",IF(AH!$U$5=1,IFERROR(MATCH($A129,'Live History'!$A$5:$A$3004,0),0),AH!$U$7+124))</f>
        <v/>
      </c>
      <c r="L129" s="15">
        <f>IF(ISNUMBER(A129),TEXT(A129,"dd-mmm-yy"),"")</f>
        <v/>
      </c>
    </row>
    <row r="130">
      <c r="A130" s="14">
        <f>IF(OR(AH!$U$4=0,125+1&gt;AH!$U$6,AND(AH!$M$5="Bloomberg",AH!$U$5=0)),"",IFERROR(IF(AND(AH!$U$12=1,125+1=AH!$U$6),TODAY(),IF(AH!$U$5=1,INDEX('Live History'!$A$5:$A$3004,AH!$U$7+125),INDEX('AH History'!$A$5:$A$1380,AH!$U$7+125))),""))</f>
        <v/>
      </c>
      <c r="B130" s="33">
        <f>IFERROR(IF(AH!$U$11=1,NA(),$J130/$E130-1),NA())</f>
        <v/>
      </c>
      <c r="C130" s="269">
        <f>IFERROR(100*$E130/$E$5,NA())</f>
        <v/>
      </c>
      <c r="D130" s="269">
        <f>IFERROR(100*$J130/$J$5,NA())</f>
        <v/>
      </c>
      <c r="E130" s="32">
        <f>IFERROR(IF(AND(ISNUMBER($A130),N(IF(AND(AH!$U$12=1,125+1=AH!$U$6),IF(AH!$U$4=0,"unavailable",INDEX('Market Data'!$AN$5:$AN$66,AH!$U$4)),IF(AH!$U$5=1,INDEX('Live History'!$B$5:$B$3004,$K130),INDEX('AH History'!$D$5:$GG$1380,$K130,AH!$U$10))))&gt;0),IF(AND(AH!$U$12=1,125+1=AH!$U$6),IF(AH!$U$4=0,"unavailable",INDEX('Market Data'!$AN$5:$AN$66,AH!$U$4)),IF(AH!$U$5=1,INDEX('Live History'!$B$5:$B$3004,$K130),INDEX('AH History'!$D$5:$GG$1380,$K130,AH!$U$10))),NA()),NA())</f>
        <v/>
      </c>
      <c r="F130" s="32">
        <f>IFERROR(IF(ISNUMBER($A130),IF(AND(AH!$U$12=1,125+1=AH!$U$6),IF(AH!$U$4=0,"unavailable",INDEX('Market Data'!$AO$5:$AO$66,AH!$U$4)),IF(AH!$U$5=1,INDEX('Live History'!$E$5:$E$3004,MATCH($A130,'Live History'!$D$5:$D$3004,1)),INDEX('AH History'!$D$5:$GG$1380,$K130,AH!$U$10+1))),NA()),NA())</f>
        <v/>
      </c>
      <c r="G130" s="34">
        <f>IFERROR(IF(ISNUMBER($A130),IF(AND(AH!$U$12=1,125+1=AH!$U$6),IF(AH!$U$4=0,"unavailable",INDEX('Market Data'!$AK$5:$AK$66,AH!$U$4)),IF(AH!$U$5=1,INDEX('Live History'!$D$5:$D$3004,MATCH($A130,'Live History'!$D$5:$D$3004,1)),INDEX('AH History'!$D$5:$GG$1380,$K130,AH!$U$10+2))),NA()),NA())</f>
        <v/>
      </c>
      <c r="H130" s="266">
        <f>IFERROR(IF(ISNUMBER($A130),IF(AND(AH!$U$12=1,125+1=AH!$U$6),IF(AH!$U$4=0,"unavailable",INDEX('Market Data'!$AP$5:$AP$66,AH!$U$4)),IF(AH!$U$5=1,INDEX('Live History'!$H$5:$H$3004,MATCH($A130,'Live History'!$G$5:$G$3004,1)),INDEX('AH History'!$B$5:$B$1380,$K130))),NA()),NA())</f>
        <v/>
      </c>
      <c r="I130" s="34">
        <f>IFERROR(IF(ISNUMBER($A130),IF(AND(AH!$U$12=1,125+1=AH!$U$6),TODAY(),IF(AH!$U$5=1,INDEX('Live History'!$G$5:$G$3004,MATCH($A130,'Live History'!$G$5:$G$3004,1)),INDEX('AH History'!$C$5:$C$1380,$K130))),NA()),NA())</f>
        <v/>
      </c>
      <c r="J130" s="32">
        <f>IFERROR(IF(AND($F130&gt;0,$H130&gt;0,$A130-$G130&lt;=10,$A130-$I130&lt;=5,$G130&gt;0,$I130&gt;0),$F130*$H130,NA()),NA())</f>
        <v/>
      </c>
      <c r="K130" s="15">
        <f>IF($A130="","",IF(AH!$U$5=1,IFERROR(MATCH($A130,'Live History'!$A$5:$A$3004,0),0),AH!$U$7+125))</f>
        <v/>
      </c>
      <c r="L130" s="15">
        <f>IF(ISNUMBER(A130),TEXT(A130,"dd-mmm-yy"),"")</f>
        <v/>
      </c>
    </row>
    <row r="131">
      <c r="A131" s="14">
        <f>IF(OR(AH!$U$4=0,126+1&gt;AH!$U$6,AND(AH!$M$5="Bloomberg",AH!$U$5=0)),"",IFERROR(IF(AND(AH!$U$12=1,126+1=AH!$U$6),TODAY(),IF(AH!$U$5=1,INDEX('Live History'!$A$5:$A$3004,AH!$U$7+126),INDEX('AH History'!$A$5:$A$1380,AH!$U$7+126))),""))</f>
        <v/>
      </c>
      <c r="B131" s="33">
        <f>IFERROR(IF(AH!$U$11=1,NA(),$J131/$E131-1),NA())</f>
        <v/>
      </c>
      <c r="C131" s="269">
        <f>IFERROR(100*$E131/$E$5,NA())</f>
        <v/>
      </c>
      <c r="D131" s="269">
        <f>IFERROR(100*$J131/$J$5,NA())</f>
        <v/>
      </c>
      <c r="E131" s="32">
        <f>IFERROR(IF(AND(ISNUMBER($A131),N(IF(AND(AH!$U$12=1,126+1=AH!$U$6),IF(AH!$U$4=0,"unavailable",INDEX('Market Data'!$AN$5:$AN$66,AH!$U$4)),IF(AH!$U$5=1,INDEX('Live History'!$B$5:$B$3004,$K131),INDEX('AH History'!$D$5:$GG$1380,$K131,AH!$U$10))))&gt;0),IF(AND(AH!$U$12=1,126+1=AH!$U$6),IF(AH!$U$4=0,"unavailable",INDEX('Market Data'!$AN$5:$AN$66,AH!$U$4)),IF(AH!$U$5=1,INDEX('Live History'!$B$5:$B$3004,$K131),INDEX('AH History'!$D$5:$GG$1380,$K131,AH!$U$10))),NA()),NA())</f>
        <v/>
      </c>
      <c r="F131" s="32">
        <f>IFERROR(IF(ISNUMBER($A131),IF(AND(AH!$U$12=1,126+1=AH!$U$6),IF(AH!$U$4=0,"unavailable",INDEX('Market Data'!$AO$5:$AO$66,AH!$U$4)),IF(AH!$U$5=1,INDEX('Live History'!$E$5:$E$3004,MATCH($A131,'Live History'!$D$5:$D$3004,1)),INDEX('AH History'!$D$5:$GG$1380,$K131,AH!$U$10+1))),NA()),NA())</f>
        <v/>
      </c>
      <c r="G131" s="34">
        <f>IFERROR(IF(ISNUMBER($A131),IF(AND(AH!$U$12=1,126+1=AH!$U$6),IF(AH!$U$4=0,"unavailable",INDEX('Market Data'!$AK$5:$AK$66,AH!$U$4)),IF(AH!$U$5=1,INDEX('Live History'!$D$5:$D$3004,MATCH($A131,'Live History'!$D$5:$D$3004,1)),INDEX('AH History'!$D$5:$GG$1380,$K131,AH!$U$10+2))),NA()),NA())</f>
        <v/>
      </c>
      <c r="H131" s="266">
        <f>IFERROR(IF(ISNUMBER($A131),IF(AND(AH!$U$12=1,126+1=AH!$U$6),IF(AH!$U$4=0,"unavailable",INDEX('Market Data'!$AP$5:$AP$66,AH!$U$4)),IF(AH!$U$5=1,INDEX('Live History'!$H$5:$H$3004,MATCH($A131,'Live History'!$G$5:$G$3004,1)),INDEX('AH History'!$B$5:$B$1380,$K131))),NA()),NA())</f>
        <v/>
      </c>
      <c r="I131" s="34">
        <f>IFERROR(IF(ISNUMBER($A131),IF(AND(AH!$U$12=1,126+1=AH!$U$6),TODAY(),IF(AH!$U$5=1,INDEX('Live History'!$G$5:$G$3004,MATCH($A131,'Live History'!$G$5:$G$3004,1)),INDEX('AH History'!$C$5:$C$1380,$K131))),NA()),NA())</f>
        <v/>
      </c>
      <c r="J131" s="32">
        <f>IFERROR(IF(AND($F131&gt;0,$H131&gt;0,$A131-$G131&lt;=10,$A131-$I131&lt;=5,$G131&gt;0,$I131&gt;0),$F131*$H131,NA()),NA())</f>
        <v/>
      </c>
      <c r="K131" s="15">
        <f>IF($A131="","",IF(AH!$U$5=1,IFERROR(MATCH($A131,'Live History'!$A$5:$A$3004,0),0),AH!$U$7+126))</f>
        <v/>
      </c>
      <c r="L131" s="15">
        <f>IF(ISNUMBER(A131),TEXT(A131,"dd-mmm-yy"),"")</f>
        <v/>
      </c>
    </row>
    <row r="132">
      <c r="A132" s="14">
        <f>IF(OR(AH!$U$4=0,127+1&gt;AH!$U$6,AND(AH!$M$5="Bloomberg",AH!$U$5=0)),"",IFERROR(IF(AND(AH!$U$12=1,127+1=AH!$U$6),TODAY(),IF(AH!$U$5=1,INDEX('Live History'!$A$5:$A$3004,AH!$U$7+127),INDEX('AH History'!$A$5:$A$1380,AH!$U$7+127))),""))</f>
        <v/>
      </c>
      <c r="B132" s="33">
        <f>IFERROR(IF(AH!$U$11=1,NA(),$J132/$E132-1),NA())</f>
        <v/>
      </c>
      <c r="C132" s="269">
        <f>IFERROR(100*$E132/$E$5,NA())</f>
        <v/>
      </c>
      <c r="D132" s="269">
        <f>IFERROR(100*$J132/$J$5,NA())</f>
        <v/>
      </c>
      <c r="E132" s="32">
        <f>IFERROR(IF(AND(ISNUMBER($A132),N(IF(AND(AH!$U$12=1,127+1=AH!$U$6),IF(AH!$U$4=0,"unavailable",INDEX('Market Data'!$AN$5:$AN$66,AH!$U$4)),IF(AH!$U$5=1,INDEX('Live History'!$B$5:$B$3004,$K132),INDEX('AH History'!$D$5:$GG$1380,$K132,AH!$U$10))))&gt;0),IF(AND(AH!$U$12=1,127+1=AH!$U$6),IF(AH!$U$4=0,"unavailable",INDEX('Market Data'!$AN$5:$AN$66,AH!$U$4)),IF(AH!$U$5=1,INDEX('Live History'!$B$5:$B$3004,$K132),INDEX('AH History'!$D$5:$GG$1380,$K132,AH!$U$10))),NA()),NA())</f>
        <v/>
      </c>
      <c r="F132" s="32">
        <f>IFERROR(IF(ISNUMBER($A132),IF(AND(AH!$U$12=1,127+1=AH!$U$6),IF(AH!$U$4=0,"unavailable",INDEX('Market Data'!$AO$5:$AO$66,AH!$U$4)),IF(AH!$U$5=1,INDEX('Live History'!$E$5:$E$3004,MATCH($A132,'Live History'!$D$5:$D$3004,1)),INDEX('AH History'!$D$5:$GG$1380,$K132,AH!$U$10+1))),NA()),NA())</f>
        <v/>
      </c>
      <c r="G132" s="34">
        <f>IFERROR(IF(ISNUMBER($A132),IF(AND(AH!$U$12=1,127+1=AH!$U$6),IF(AH!$U$4=0,"unavailable",INDEX('Market Data'!$AK$5:$AK$66,AH!$U$4)),IF(AH!$U$5=1,INDEX('Live History'!$D$5:$D$3004,MATCH($A132,'Live History'!$D$5:$D$3004,1)),INDEX('AH History'!$D$5:$GG$1380,$K132,AH!$U$10+2))),NA()),NA())</f>
        <v/>
      </c>
      <c r="H132" s="266">
        <f>IFERROR(IF(ISNUMBER($A132),IF(AND(AH!$U$12=1,127+1=AH!$U$6),IF(AH!$U$4=0,"unavailable",INDEX('Market Data'!$AP$5:$AP$66,AH!$U$4)),IF(AH!$U$5=1,INDEX('Live History'!$H$5:$H$3004,MATCH($A132,'Live History'!$G$5:$G$3004,1)),INDEX('AH History'!$B$5:$B$1380,$K132))),NA()),NA())</f>
        <v/>
      </c>
      <c r="I132" s="34">
        <f>IFERROR(IF(ISNUMBER($A132),IF(AND(AH!$U$12=1,127+1=AH!$U$6),TODAY(),IF(AH!$U$5=1,INDEX('Live History'!$G$5:$G$3004,MATCH($A132,'Live History'!$G$5:$G$3004,1)),INDEX('AH History'!$C$5:$C$1380,$K132))),NA()),NA())</f>
        <v/>
      </c>
      <c r="J132" s="32">
        <f>IFERROR(IF(AND($F132&gt;0,$H132&gt;0,$A132-$G132&lt;=10,$A132-$I132&lt;=5,$G132&gt;0,$I132&gt;0),$F132*$H132,NA()),NA())</f>
        <v/>
      </c>
      <c r="K132" s="15">
        <f>IF($A132="","",IF(AH!$U$5=1,IFERROR(MATCH($A132,'Live History'!$A$5:$A$3004,0),0),AH!$U$7+127))</f>
        <v/>
      </c>
      <c r="L132" s="15">
        <f>IF(ISNUMBER(A132),TEXT(A132,"dd-mmm-yy"),"")</f>
        <v/>
      </c>
    </row>
    <row r="133">
      <c r="A133" s="14">
        <f>IF(OR(AH!$U$4=0,128+1&gt;AH!$U$6,AND(AH!$M$5="Bloomberg",AH!$U$5=0)),"",IFERROR(IF(AND(AH!$U$12=1,128+1=AH!$U$6),TODAY(),IF(AH!$U$5=1,INDEX('Live History'!$A$5:$A$3004,AH!$U$7+128),INDEX('AH History'!$A$5:$A$1380,AH!$U$7+128))),""))</f>
        <v/>
      </c>
      <c r="B133" s="33">
        <f>IFERROR(IF(AH!$U$11=1,NA(),$J133/$E133-1),NA())</f>
        <v/>
      </c>
      <c r="C133" s="269">
        <f>IFERROR(100*$E133/$E$5,NA())</f>
        <v/>
      </c>
      <c r="D133" s="269">
        <f>IFERROR(100*$J133/$J$5,NA())</f>
        <v/>
      </c>
      <c r="E133" s="32">
        <f>IFERROR(IF(AND(ISNUMBER($A133),N(IF(AND(AH!$U$12=1,128+1=AH!$U$6),IF(AH!$U$4=0,"unavailable",INDEX('Market Data'!$AN$5:$AN$66,AH!$U$4)),IF(AH!$U$5=1,INDEX('Live History'!$B$5:$B$3004,$K133),INDEX('AH History'!$D$5:$GG$1380,$K133,AH!$U$10))))&gt;0),IF(AND(AH!$U$12=1,128+1=AH!$U$6),IF(AH!$U$4=0,"unavailable",INDEX('Market Data'!$AN$5:$AN$66,AH!$U$4)),IF(AH!$U$5=1,INDEX('Live History'!$B$5:$B$3004,$K133),INDEX('AH History'!$D$5:$GG$1380,$K133,AH!$U$10))),NA()),NA())</f>
        <v/>
      </c>
      <c r="F133" s="32">
        <f>IFERROR(IF(ISNUMBER($A133),IF(AND(AH!$U$12=1,128+1=AH!$U$6),IF(AH!$U$4=0,"unavailable",INDEX('Market Data'!$AO$5:$AO$66,AH!$U$4)),IF(AH!$U$5=1,INDEX('Live History'!$E$5:$E$3004,MATCH($A133,'Live History'!$D$5:$D$3004,1)),INDEX('AH History'!$D$5:$GG$1380,$K133,AH!$U$10+1))),NA()),NA())</f>
        <v/>
      </c>
      <c r="G133" s="34">
        <f>IFERROR(IF(ISNUMBER($A133),IF(AND(AH!$U$12=1,128+1=AH!$U$6),IF(AH!$U$4=0,"unavailable",INDEX('Market Data'!$AK$5:$AK$66,AH!$U$4)),IF(AH!$U$5=1,INDEX('Live History'!$D$5:$D$3004,MATCH($A133,'Live History'!$D$5:$D$3004,1)),INDEX('AH History'!$D$5:$GG$1380,$K133,AH!$U$10+2))),NA()),NA())</f>
        <v/>
      </c>
      <c r="H133" s="266">
        <f>IFERROR(IF(ISNUMBER($A133),IF(AND(AH!$U$12=1,128+1=AH!$U$6),IF(AH!$U$4=0,"unavailable",INDEX('Market Data'!$AP$5:$AP$66,AH!$U$4)),IF(AH!$U$5=1,INDEX('Live History'!$H$5:$H$3004,MATCH($A133,'Live History'!$G$5:$G$3004,1)),INDEX('AH History'!$B$5:$B$1380,$K133))),NA()),NA())</f>
        <v/>
      </c>
      <c r="I133" s="34">
        <f>IFERROR(IF(ISNUMBER($A133),IF(AND(AH!$U$12=1,128+1=AH!$U$6),TODAY(),IF(AH!$U$5=1,INDEX('Live History'!$G$5:$G$3004,MATCH($A133,'Live History'!$G$5:$G$3004,1)),INDEX('AH History'!$C$5:$C$1380,$K133))),NA()),NA())</f>
        <v/>
      </c>
      <c r="J133" s="32">
        <f>IFERROR(IF(AND($F133&gt;0,$H133&gt;0,$A133-$G133&lt;=10,$A133-$I133&lt;=5,$G133&gt;0,$I133&gt;0),$F133*$H133,NA()),NA())</f>
        <v/>
      </c>
      <c r="K133" s="15">
        <f>IF($A133="","",IF(AH!$U$5=1,IFERROR(MATCH($A133,'Live History'!$A$5:$A$3004,0),0),AH!$U$7+128))</f>
        <v/>
      </c>
      <c r="L133" s="15">
        <f>IF(ISNUMBER(A133),TEXT(A133,"dd-mmm-yy"),"")</f>
        <v/>
      </c>
    </row>
    <row r="134">
      <c r="A134" s="14">
        <f>IF(OR(AH!$U$4=0,129+1&gt;AH!$U$6,AND(AH!$M$5="Bloomberg",AH!$U$5=0)),"",IFERROR(IF(AND(AH!$U$12=1,129+1=AH!$U$6),TODAY(),IF(AH!$U$5=1,INDEX('Live History'!$A$5:$A$3004,AH!$U$7+129),INDEX('AH History'!$A$5:$A$1380,AH!$U$7+129))),""))</f>
        <v/>
      </c>
      <c r="B134" s="33">
        <f>IFERROR(IF(AH!$U$11=1,NA(),$J134/$E134-1),NA())</f>
        <v/>
      </c>
      <c r="C134" s="269">
        <f>IFERROR(100*$E134/$E$5,NA())</f>
        <v/>
      </c>
      <c r="D134" s="269">
        <f>IFERROR(100*$J134/$J$5,NA())</f>
        <v/>
      </c>
      <c r="E134" s="32">
        <f>IFERROR(IF(AND(ISNUMBER($A134),N(IF(AND(AH!$U$12=1,129+1=AH!$U$6),IF(AH!$U$4=0,"unavailable",INDEX('Market Data'!$AN$5:$AN$66,AH!$U$4)),IF(AH!$U$5=1,INDEX('Live History'!$B$5:$B$3004,$K134),INDEX('AH History'!$D$5:$GG$1380,$K134,AH!$U$10))))&gt;0),IF(AND(AH!$U$12=1,129+1=AH!$U$6),IF(AH!$U$4=0,"unavailable",INDEX('Market Data'!$AN$5:$AN$66,AH!$U$4)),IF(AH!$U$5=1,INDEX('Live History'!$B$5:$B$3004,$K134),INDEX('AH History'!$D$5:$GG$1380,$K134,AH!$U$10))),NA()),NA())</f>
        <v/>
      </c>
      <c r="F134" s="32">
        <f>IFERROR(IF(ISNUMBER($A134),IF(AND(AH!$U$12=1,129+1=AH!$U$6),IF(AH!$U$4=0,"unavailable",INDEX('Market Data'!$AO$5:$AO$66,AH!$U$4)),IF(AH!$U$5=1,INDEX('Live History'!$E$5:$E$3004,MATCH($A134,'Live History'!$D$5:$D$3004,1)),INDEX('AH History'!$D$5:$GG$1380,$K134,AH!$U$10+1))),NA()),NA())</f>
        <v/>
      </c>
      <c r="G134" s="34">
        <f>IFERROR(IF(ISNUMBER($A134),IF(AND(AH!$U$12=1,129+1=AH!$U$6),IF(AH!$U$4=0,"unavailable",INDEX('Market Data'!$AK$5:$AK$66,AH!$U$4)),IF(AH!$U$5=1,INDEX('Live History'!$D$5:$D$3004,MATCH($A134,'Live History'!$D$5:$D$3004,1)),INDEX('AH History'!$D$5:$GG$1380,$K134,AH!$U$10+2))),NA()),NA())</f>
        <v/>
      </c>
      <c r="H134" s="266">
        <f>IFERROR(IF(ISNUMBER($A134),IF(AND(AH!$U$12=1,129+1=AH!$U$6),IF(AH!$U$4=0,"unavailable",INDEX('Market Data'!$AP$5:$AP$66,AH!$U$4)),IF(AH!$U$5=1,INDEX('Live History'!$H$5:$H$3004,MATCH($A134,'Live History'!$G$5:$G$3004,1)),INDEX('AH History'!$B$5:$B$1380,$K134))),NA()),NA())</f>
        <v/>
      </c>
      <c r="I134" s="34">
        <f>IFERROR(IF(ISNUMBER($A134),IF(AND(AH!$U$12=1,129+1=AH!$U$6),TODAY(),IF(AH!$U$5=1,INDEX('Live History'!$G$5:$G$3004,MATCH($A134,'Live History'!$G$5:$G$3004,1)),INDEX('AH History'!$C$5:$C$1380,$K134))),NA()),NA())</f>
        <v/>
      </c>
      <c r="J134" s="32">
        <f>IFERROR(IF(AND($F134&gt;0,$H134&gt;0,$A134-$G134&lt;=10,$A134-$I134&lt;=5,$G134&gt;0,$I134&gt;0),$F134*$H134,NA()),NA())</f>
        <v/>
      </c>
      <c r="K134" s="15">
        <f>IF($A134="","",IF(AH!$U$5=1,IFERROR(MATCH($A134,'Live History'!$A$5:$A$3004,0),0),AH!$U$7+129))</f>
        <v/>
      </c>
      <c r="L134" s="15">
        <f>IF(ISNUMBER(A134),TEXT(A134,"dd-mmm-yy"),"")</f>
        <v/>
      </c>
    </row>
    <row r="135">
      <c r="A135" s="14">
        <f>IF(OR(AH!$U$4=0,130+1&gt;AH!$U$6,AND(AH!$M$5="Bloomberg",AH!$U$5=0)),"",IFERROR(IF(AND(AH!$U$12=1,130+1=AH!$U$6),TODAY(),IF(AH!$U$5=1,INDEX('Live History'!$A$5:$A$3004,AH!$U$7+130),INDEX('AH History'!$A$5:$A$1380,AH!$U$7+130))),""))</f>
        <v/>
      </c>
      <c r="B135" s="33">
        <f>IFERROR(IF(AH!$U$11=1,NA(),$J135/$E135-1),NA())</f>
        <v/>
      </c>
      <c r="C135" s="269">
        <f>IFERROR(100*$E135/$E$5,NA())</f>
        <v/>
      </c>
      <c r="D135" s="269">
        <f>IFERROR(100*$J135/$J$5,NA())</f>
        <v/>
      </c>
      <c r="E135" s="32">
        <f>IFERROR(IF(AND(ISNUMBER($A135),N(IF(AND(AH!$U$12=1,130+1=AH!$U$6),IF(AH!$U$4=0,"unavailable",INDEX('Market Data'!$AN$5:$AN$66,AH!$U$4)),IF(AH!$U$5=1,INDEX('Live History'!$B$5:$B$3004,$K135),INDEX('AH History'!$D$5:$GG$1380,$K135,AH!$U$10))))&gt;0),IF(AND(AH!$U$12=1,130+1=AH!$U$6),IF(AH!$U$4=0,"unavailable",INDEX('Market Data'!$AN$5:$AN$66,AH!$U$4)),IF(AH!$U$5=1,INDEX('Live History'!$B$5:$B$3004,$K135),INDEX('AH History'!$D$5:$GG$1380,$K135,AH!$U$10))),NA()),NA())</f>
        <v/>
      </c>
      <c r="F135" s="32">
        <f>IFERROR(IF(ISNUMBER($A135),IF(AND(AH!$U$12=1,130+1=AH!$U$6),IF(AH!$U$4=0,"unavailable",INDEX('Market Data'!$AO$5:$AO$66,AH!$U$4)),IF(AH!$U$5=1,INDEX('Live History'!$E$5:$E$3004,MATCH($A135,'Live History'!$D$5:$D$3004,1)),INDEX('AH History'!$D$5:$GG$1380,$K135,AH!$U$10+1))),NA()),NA())</f>
        <v/>
      </c>
      <c r="G135" s="34">
        <f>IFERROR(IF(ISNUMBER($A135),IF(AND(AH!$U$12=1,130+1=AH!$U$6),IF(AH!$U$4=0,"unavailable",INDEX('Market Data'!$AK$5:$AK$66,AH!$U$4)),IF(AH!$U$5=1,INDEX('Live History'!$D$5:$D$3004,MATCH($A135,'Live History'!$D$5:$D$3004,1)),INDEX('AH History'!$D$5:$GG$1380,$K135,AH!$U$10+2))),NA()),NA())</f>
        <v/>
      </c>
      <c r="H135" s="266">
        <f>IFERROR(IF(ISNUMBER($A135),IF(AND(AH!$U$12=1,130+1=AH!$U$6),IF(AH!$U$4=0,"unavailable",INDEX('Market Data'!$AP$5:$AP$66,AH!$U$4)),IF(AH!$U$5=1,INDEX('Live History'!$H$5:$H$3004,MATCH($A135,'Live History'!$G$5:$G$3004,1)),INDEX('AH History'!$B$5:$B$1380,$K135))),NA()),NA())</f>
        <v/>
      </c>
      <c r="I135" s="34">
        <f>IFERROR(IF(ISNUMBER($A135),IF(AND(AH!$U$12=1,130+1=AH!$U$6),TODAY(),IF(AH!$U$5=1,INDEX('Live History'!$G$5:$G$3004,MATCH($A135,'Live History'!$G$5:$G$3004,1)),INDEX('AH History'!$C$5:$C$1380,$K135))),NA()),NA())</f>
        <v/>
      </c>
      <c r="J135" s="32">
        <f>IFERROR(IF(AND($F135&gt;0,$H135&gt;0,$A135-$G135&lt;=10,$A135-$I135&lt;=5,$G135&gt;0,$I135&gt;0),$F135*$H135,NA()),NA())</f>
        <v/>
      </c>
      <c r="K135" s="15">
        <f>IF($A135="","",IF(AH!$U$5=1,IFERROR(MATCH($A135,'Live History'!$A$5:$A$3004,0),0),AH!$U$7+130))</f>
        <v/>
      </c>
      <c r="L135" s="15">
        <f>IF(ISNUMBER(A135),TEXT(A135,"dd-mmm-yy"),"")</f>
        <v/>
      </c>
    </row>
    <row r="136">
      <c r="A136" s="14">
        <f>IF(OR(AH!$U$4=0,131+1&gt;AH!$U$6,AND(AH!$M$5="Bloomberg",AH!$U$5=0)),"",IFERROR(IF(AND(AH!$U$12=1,131+1=AH!$U$6),TODAY(),IF(AH!$U$5=1,INDEX('Live History'!$A$5:$A$3004,AH!$U$7+131),INDEX('AH History'!$A$5:$A$1380,AH!$U$7+131))),""))</f>
        <v/>
      </c>
      <c r="B136" s="33">
        <f>IFERROR(IF(AH!$U$11=1,NA(),$J136/$E136-1),NA())</f>
        <v/>
      </c>
      <c r="C136" s="269">
        <f>IFERROR(100*$E136/$E$5,NA())</f>
        <v/>
      </c>
      <c r="D136" s="269">
        <f>IFERROR(100*$J136/$J$5,NA())</f>
        <v/>
      </c>
      <c r="E136" s="32">
        <f>IFERROR(IF(AND(ISNUMBER($A136),N(IF(AND(AH!$U$12=1,131+1=AH!$U$6),IF(AH!$U$4=0,"unavailable",INDEX('Market Data'!$AN$5:$AN$66,AH!$U$4)),IF(AH!$U$5=1,INDEX('Live History'!$B$5:$B$3004,$K136),INDEX('AH History'!$D$5:$GG$1380,$K136,AH!$U$10))))&gt;0),IF(AND(AH!$U$12=1,131+1=AH!$U$6),IF(AH!$U$4=0,"unavailable",INDEX('Market Data'!$AN$5:$AN$66,AH!$U$4)),IF(AH!$U$5=1,INDEX('Live History'!$B$5:$B$3004,$K136),INDEX('AH History'!$D$5:$GG$1380,$K136,AH!$U$10))),NA()),NA())</f>
        <v/>
      </c>
      <c r="F136" s="32">
        <f>IFERROR(IF(ISNUMBER($A136),IF(AND(AH!$U$12=1,131+1=AH!$U$6),IF(AH!$U$4=0,"unavailable",INDEX('Market Data'!$AO$5:$AO$66,AH!$U$4)),IF(AH!$U$5=1,INDEX('Live History'!$E$5:$E$3004,MATCH($A136,'Live History'!$D$5:$D$3004,1)),INDEX('AH History'!$D$5:$GG$1380,$K136,AH!$U$10+1))),NA()),NA())</f>
        <v/>
      </c>
      <c r="G136" s="34">
        <f>IFERROR(IF(ISNUMBER($A136),IF(AND(AH!$U$12=1,131+1=AH!$U$6),IF(AH!$U$4=0,"unavailable",INDEX('Market Data'!$AK$5:$AK$66,AH!$U$4)),IF(AH!$U$5=1,INDEX('Live History'!$D$5:$D$3004,MATCH($A136,'Live History'!$D$5:$D$3004,1)),INDEX('AH History'!$D$5:$GG$1380,$K136,AH!$U$10+2))),NA()),NA())</f>
        <v/>
      </c>
      <c r="H136" s="266">
        <f>IFERROR(IF(ISNUMBER($A136),IF(AND(AH!$U$12=1,131+1=AH!$U$6),IF(AH!$U$4=0,"unavailable",INDEX('Market Data'!$AP$5:$AP$66,AH!$U$4)),IF(AH!$U$5=1,INDEX('Live History'!$H$5:$H$3004,MATCH($A136,'Live History'!$G$5:$G$3004,1)),INDEX('AH History'!$B$5:$B$1380,$K136))),NA()),NA())</f>
        <v/>
      </c>
      <c r="I136" s="34">
        <f>IFERROR(IF(ISNUMBER($A136),IF(AND(AH!$U$12=1,131+1=AH!$U$6),TODAY(),IF(AH!$U$5=1,INDEX('Live History'!$G$5:$G$3004,MATCH($A136,'Live History'!$G$5:$G$3004,1)),INDEX('AH History'!$C$5:$C$1380,$K136))),NA()),NA())</f>
        <v/>
      </c>
      <c r="J136" s="32">
        <f>IFERROR(IF(AND($F136&gt;0,$H136&gt;0,$A136-$G136&lt;=10,$A136-$I136&lt;=5,$G136&gt;0,$I136&gt;0),$F136*$H136,NA()),NA())</f>
        <v/>
      </c>
      <c r="K136" s="15">
        <f>IF($A136="","",IF(AH!$U$5=1,IFERROR(MATCH($A136,'Live History'!$A$5:$A$3004,0),0),AH!$U$7+131))</f>
        <v/>
      </c>
      <c r="L136" s="15">
        <f>IF(ISNUMBER(A136),TEXT(A136,"dd-mmm-yy"),"")</f>
        <v/>
      </c>
    </row>
    <row r="137">
      <c r="A137" s="14">
        <f>IF(OR(AH!$U$4=0,132+1&gt;AH!$U$6,AND(AH!$M$5="Bloomberg",AH!$U$5=0)),"",IFERROR(IF(AND(AH!$U$12=1,132+1=AH!$U$6),TODAY(),IF(AH!$U$5=1,INDEX('Live History'!$A$5:$A$3004,AH!$U$7+132),INDEX('AH History'!$A$5:$A$1380,AH!$U$7+132))),""))</f>
        <v/>
      </c>
      <c r="B137" s="33">
        <f>IFERROR(IF(AH!$U$11=1,NA(),$J137/$E137-1),NA())</f>
        <v/>
      </c>
      <c r="C137" s="269">
        <f>IFERROR(100*$E137/$E$5,NA())</f>
        <v/>
      </c>
      <c r="D137" s="269">
        <f>IFERROR(100*$J137/$J$5,NA())</f>
        <v/>
      </c>
      <c r="E137" s="32">
        <f>IFERROR(IF(AND(ISNUMBER($A137),N(IF(AND(AH!$U$12=1,132+1=AH!$U$6),IF(AH!$U$4=0,"unavailable",INDEX('Market Data'!$AN$5:$AN$66,AH!$U$4)),IF(AH!$U$5=1,INDEX('Live History'!$B$5:$B$3004,$K137),INDEX('AH History'!$D$5:$GG$1380,$K137,AH!$U$10))))&gt;0),IF(AND(AH!$U$12=1,132+1=AH!$U$6),IF(AH!$U$4=0,"unavailable",INDEX('Market Data'!$AN$5:$AN$66,AH!$U$4)),IF(AH!$U$5=1,INDEX('Live History'!$B$5:$B$3004,$K137),INDEX('AH History'!$D$5:$GG$1380,$K137,AH!$U$10))),NA()),NA())</f>
        <v/>
      </c>
      <c r="F137" s="32">
        <f>IFERROR(IF(ISNUMBER($A137),IF(AND(AH!$U$12=1,132+1=AH!$U$6),IF(AH!$U$4=0,"unavailable",INDEX('Market Data'!$AO$5:$AO$66,AH!$U$4)),IF(AH!$U$5=1,INDEX('Live History'!$E$5:$E$3004,MATCH($A137,'Live History'!$D$5:$D$3004,1)),INDEX('AH History'!$D$5:$GG$1380,$K137,AH!$U$10+1))),NA()),NA())</f>
        <v/>
      </c>
      <c r="G137" s="34">
        <f>IFERROR(IF(ISNUMBER($A137),IF(AND(AH!$U$12=1,132+1=AH!$U$6),IF(AH!$U$4=0,"unavailable",INDEX('Market Data'!$AK$5:$AK$66,AH!$U$4)),IF(AH!$U$5=1,INDEX('Live History'!$D$5:$D$3004,MATCH($A137,'Live History'!$D$5:$D$3004,1)),INDEX('AH History'!$D$5:$GG$1380,$K137,AH!$U$10+2))),NA()),NA())</f>
        <v/>
      </c>
      <c r="H137" s="266">
        <f>IFERROR(IF(ISNUMBER($A137),IF(AND(AH!$U$12=1,132+1=AH!$U$6),IF(AH!$U$4=0,"unavailable",INDEX('Market Data'!$AP$5:$AP$66,AH!$U$4)),IF(AH!$U$5=1,INDEX('Live History'!$H$5:$H$3004,MATCH($A137,'Live History'!$G$5:$G$3004,1)),INDEX('AH History'!$B$5:$B$1380,$K137))),NA()),NA())</f>
        <v/>
      </c>
      <c r="I137" s="34">
        <f>IFERROR(IF(ISNUMBER($A137),IF(AND(AH!$U$12=1,132+1=AH!$U$6),TODAY(),IF(AH!$U$5=1,INDEX('Live History'!$G$5:$G$3004,MATCH($A137,'Live History'!$G$5:$G$3004,1)),INDEX('AH History'!$C$5:$C$1380,$K137))),NA()),NA())</f>
        <v/>
      </c>
      <c r="J137" s="32">
        <f>IFERROR(IF(AND($F137&gt;0,$H137&gt;0,$A137-$G137&lt;=10,$A137-$I137&lt;=5,$G137&gt;0,$I137&gt;0),$F137*$H137,NA()),NA())</f>
        <v/>
      </c>
      <c r="K137" s="15">
        <f>IF($A137="","",IF(AH!$U$5=1,IFERROR(MATCH($A137,'Live History'!$A$5:$A$3004,0),0),AH!$U$7+132))</f>
        <v/>
      </c>
      <c r="L137" s="15">
        <f>IF(ISNUMBER(A137),TEXT(A137,"dd-mmm-yy"),"")</f>
        <v/>
      </c>
    </row>
    <row r="138">
      <c r="A138" s="14">
        <f>IF(OR(AH!$U$4=0,133+1&gt;AH!$U$6,AND(AH!$M$5="Bloomberg",AH!$U$5=0)),"",IFERROR(IF(AND(AH!$U$12=1,133+1=AH!$U$6),TODAY(),IF(AH!$U$5=1,INDEX('Live History'!$A$5:$A$3004,AH!$U$7+133),INDEX('AH History'!$A$5:$A$1380,AH!$U$7+133))),""))</f>
        <v/>
      </c>
      <c r="B138" s="33">
        <f>IFERROR(IF(AH!$U$11=1,NA(),$J138/$E138-1),NA())</f>
        <v/>
      </c>
      <c r="C138" s="269">
        <f>IFERROR(100*$E138/$E$5,NA())</f>
        <v/>
      </c>
      <c r="D138" s="269">
        <f>IFERROR(100*$J138/$J$5,NA())</f>
        <v/>
      </c>
      <c r="E138" s="32">
        <f>IFERROR(IF(AND(ISNUMBER($A138),N(IF(AND(AH!$U$12=1,133+1=AH!$U$6),IF(AH!$U$4=0,"unavailable",INDEX('Market Data'!$AN$5:$AN$66,AH!$U$4)),IF(AH!$U$5=1,INDEX('Live History'!$B$5:$B$3004,$K138),INDEX('AH History'!$D$5:$GG$1380,$K138,AH!$U$10))))&gt;0),IF(AND(AH!$U$12=1,133+1=AH!$U$6),IF(AH!$U$4=0,"unavailable",INDEX('Market Data'!$AN$5:$AN$66,AH!$U$4)),IF(AH!$U$5=1,INDEX('Live History'!$B$5:$B$3004,$K138),INDEX('AH History'!$D$5:$GG$1380,$K138,AH!$U$10))),NA()),NA())</f>
        <v/>
      </c>
      <c r="F138" s="32">
        <f>IFERROR(IF(ISNUMBER($A138),IF(AND(AH!$U$12=1,133+1=AH!$U$6),IF(AH!$U$4=0,"unavailable",INDEX('Market Data'!$AO$5:$AO$66,AH!$U$4)),IF(AH!$U$5=1,INDEX('Live History'!$E$5:$E$3004,MATCH($A138,'Live History'!$D$5:$D$3004,1)),INDEX('AH History'!$D$5:$GG$1380,$K138,AH!$U$10+1))),NA()),NA())</f>
        <v/>
      </c>
      <c r="G138" s="34">
        <f>IFERROR(IF(ISNUMBER($A138),IF(AND(AH!$U$12=1,133+1=AH!$U$6),IF(AH!$U$4=0,"unavailable",INDEX('Market Data'!$AK$5:$AK$66,AH!$U$4)),IF(AH!$U$5=1,INDEX('Live History'!$D$5:$D$3004,MATCH($A138,'Live History'!$D$5:$D$3004,1)),INDEX('AH History'!$D$5:$GG$1380,$K138,AH!$U$10+2))),NA()),NA())</f>
        <v/>
      </c>
      <c r="H138" s="266">
        <f>IFERROR(IF(ISNUMBER($A138),IF(AND(AH!$U$12=1,133+1=AH!$U$6),IF(AH!$U$4=0,"unavailable",INDEX('Market Data'!$AP$5:$AP$66,AH!$U$4)),IF(AH!$U$5=1,INDEX('Live History'!$H$5:$H$3004,MATCH($A138,'Live History'!$G$5:$G$3004,1)),INDEX('AH History'!$B$5:$B$1380,$K138))),NA()),NA())</f>
        <v/>
      </c>
      <c r="I138" s="34">
        <f>IFERROR(IF(ISNUMBER($A138),IF(AND(AH!$U$12=1,133+1=AH!$U$6),TODAY(),IF(AH!$U$5=1,INDEX('Live History'!$G$5:$G$3004,MATCH($A138,'Live History'!$G$5:$G$3004,1)),INDEX('AH History'!$C$5:$C$1380,$K138))),NA()),NA())</f>
        <v/>
      </c>
      <c r="J138" s="32">
        <f>IFERROR(IF(AND($F138&gt;0,$H138&gt;0,$A138-$G138&lt;=10,$A138-$I138&lt;=5,$G138&gt;0,$I138&gt;0),$F138*$H138,NA()),NA())</f>
        <v/>
      </c>
      <c r="K138" s="15">
        <f>IF($A138="","",IF(AH!$U$5=1,IFERROR(MATCH($A138,'Live History'!$A$5:$A$3004,0),0),AH!$U$7+133))</f>
        <v/>
      </c>
      <c r="L138" s="15">
        <f>IF(ISNUMBER(A138),TEXT(A138,"dd-mmm-yy"),"")</f>
        <v/>
      </c>
    </row>
    <row r="139">
      <c r="A139" s="14">
        <f>IF(OR(AH!$U$4=0,134+1&gt;AH!$U$6,AND(AH!$M$5="Bloomberg",AH!$U$5=0)),"",IFERROR(IF(AND(AH!$U$12=1,134+1=AH!$U$6),TODAY(),IF(AH!$U$5=1,INDEX('Live History'!$A$5:$A$3004,AH!$U$7+134),INDEX('AH History'!$A$5:$A$1380,AH!$U$7+134))),""))</f>
        <v/>
      </c>
      <c r="B139" s="33">
        <f>IFERROR(IF(AH!$U$11=1,NA(),$J139/$E139-1),NA())</f>
        <v/>
      </c>
      <c r="C139" s="269">
        <f>IFERROR(100*$E139/$E$5,NA())</f>
        <v/>
      </c>
      <c r="D139" s="269">
        <f>IFERROR(100*$J139/$J$5,NA())</f>
        <v/>
      </c>
      <c r="E139" s="32">
        <f>IFERROR(IF(AND(ISNUMBER($A139),N(IF(AND(AH!$U$12=1,134+1=AH!$U$6),IF(AH!$U$4=0,"unavailable",INDEX('Market Data'!$AN$5:$AN$66,AH!$U$4)),IF(AH!$U$5=1,INDEX('Live History'!$B$5:$B$3004,$K139),INDEX('AH History'!$D$5:$GG$1380,$K139,AH!$U$10))))&gt;0),IF(AND(AH!$U$12=1,134+1=AH!$U$6),IF(AH!$U$4=0,"unavailable",INDEX('Market Data'!$AN$5:$AN$66,AH!$U$4)),IF(AH!$U$5=1,INDEX('Live History'!$B$5:$B$3004,$K139),INDEX('AH History'!$D$5:$GG$1380,$K139,AH!$U$10))),NA()),NA())</f>
        <v/>
      </c>
      <c r="F139" s="32">
        <f>IFERROR(IF(ISNUMBER($A139),IF(AND(AH!$U$12=1,134+1=AH!$U$6),IF(AH!$U$4=0,"unavailable",INDEX('Market Data'!$AO$5:$AO$66,AH!$U$4)),IF(AH!$U$5=1,INDEX('Live History'!$E$5:$E$3004,MATCH($A139,'Live History'!$D$5:$D$3004,1)),INDEX('AH History'!$D$5:$GG$1380,$K139,AH!$U$10+1))),NA()),NA())</f>
        <v/>
      </c>
      <c r="G139" s="34">
        <f>IFERROR(IF(ISNUMBER($A139),IF(AND(AH!$U$12=1,134+1=AH!$U$6),IF(AH!$U$4=0,"unavailable",INDEX('Market Data'!$AK$5:$AK$66,AH!$U$4)),IF(AH!$U$5=1,INDEX('Live History'!$D$5:$D$3004,MATCH($A139,'Live History'!$D$5:$D$3004,1)),INDEX('AH History'!$D$5:$GG$1380,$K139,AH!$U$10+2))),NA()),NA())</f>
        <v/>
      </c>
      <c r="H139" s="266">
        <f>IFERROR(IF(ISNUMBER($A139),IF(AND(AH!$U$12=1,134+1=AH!$U$6),IF(AH!$U$4=0,"unavailable",INDEX('Market Data'!$AP$5:$AP$66,AH!$U$4)),IF(AH!$U$5=1,INDEX('Live History'!$H$5:$H$3004,MATCH($A139,'Live History'!$G$5:$G$3004,1)),INDEX('AH History'!$B$5:$B$1380,$K139))),NA()),NA())</f>
        <v/>
      </c>
      <c r="I139" s="34">
        <f>IFERROR(IF(ISNUMBER($A139),IF(AND(AH!$U$12=1,134+1=AH!$U$6),TODAY(),IF(AH!$U$5=1,INDEX('Live History'!$G$5:$G$3004,MATCH($A139,'Live History'!$G$5:$G$3004,1)),INDEX('AH History'!$C$5:$C$1380,$K139))),NA()),NA())</f>
        <v/>
      </c>
      <c r="J139" s="32">
        <f>IFERROR(IF(AND($F139&gt;0,$H139&gt;0,$A139-$G139&lt;=10,$A139-$I139&lt;=5,$G139&gt;0,$I139&gt;0),$F139*$H139,NA()),NA())</f>
        <v/>
      </c>
      <c r="K139" s="15">
        <f>IF($A139="","",IF(AH!$U$5=1,IFERROR(MATCH($A139,'Live History'!$A$5:$A$3004,0),0),AH!$U$7+134))</f>
        <v/>
      </c>
      <c r="L139" s="15">
        <f>IF(ISNUMBER(A139),TEXT(A139,"dd-mmm-yy"),"")</f>
        <v/>
      </c>
    </row>
    <row r="140">
      <c r="A140" s="14">
        <f>IF(OR(AH!$U$4=0,135+1&gt;AH!$U$6,AND(AH!$M$5="Bloomberg",AH!$U$5=0)),"",IFERROR(IF(AND(AH!$U$12=1,135+1=AH!$U$6),TODAY(),IF(AH!$U$5=1,INDEX('Live History'!$A$5:$A$3004,AH!$U$7+135),INDEX('AH History'!$A$5:$A$1380,AH!$U$7+135))),""))</f>
        <v/>
      </c>
      <c r="B140" s="33">
        <f>IFERROR(IF(AH!$U$11=1,NA(),$J140/$E140-1),NA())</f>
        <v/>
      </c>
      <c r="C140" s="269">
        <f>IFERROR(100*$E140/$E$5,NA())</f>
        <v/>
      </c>
      <c r="D140" s="269">
        <f>IFERROR(100*$J140/$J$5,NA())</f>
        <v/>
      </c>
      <c r="E140" s="32">
        <f>IFERROR(IF(AND(ISNUMBER($A140),N(IF(AND(AH!$U$12=1,135+1=AH!$U$6),IF(AH!$U$4=0,"unavailable",INDEX('Market Data'!$AN$5:$AN$66,AH!$U$4)),IF(AH!$U$5=1,INDEX('Live History'!$B$5:$B$3004,$K140),INDEX('AH History'!$D$5:$GG$1380,$K140,AH!$U$10))))&gt;0),IF(AND(AH!$U$12=1,135+1=AH!$U$6),IF(AH!$U$4=0,"unavailable",INDEX('Market Data'!$AN$5:$AN$66,AH!$U$4)),IF(AH!$U$5=1,INDEX('Live History'!$B$5:$B$3004,$K140),INDEX('AH History'!$D$5:$GG$1380,$K140,AH!$U$10))),NA()),NA())</f>
        <v/>
      </c>
      <c r="F140" s="32">
        <f>IFERROR(IF(ISNUMBER($A140),IF(AND(AH!$U$12=1,135+1=AH!$U$6),IF(AH!$U$4=0,"unavailable",INDEX('Market Data'!$AO$5:$AO$66,AH!$U$4)),IF(AH!$U$5=1,INDEX('Live History'!$E$5:$E$3004,MATCH($A140,'Live History'!$D$5:$D$3004,1)),INDEX('AH History'!$D$5:$GG$1380,$K140,AH!$U$10+1))),NA()),NA())</f>
        <v/>
      </c>
      <c r="G140" s="34">
        <f>IFERROR(IF(ISNUMBER($A140),IF(AND(AH!$U$12=1,135+1=AH!$U$6),IF(AH!$U$4=0,"unavailable",INDEX('Market Data'!$AK$5:$AK$66,AH!$U$4)),IF(AH!$U$5=1,INDEX('Live History'!$D$5:$D$3004,MATCH($A140,'Live History'!$D$5:$D$3004,1)),INDEX('AH History'!$D$5:$GG$1380,$K140,AH!$U$10+2))),NA()),NA())</f>
        <v/>
      </c>
      <c r="H140" s="266">
        <f>IFERROR(IF(ISNUMBER($A140),IF(AND(AH!$U$12=1,135+1=AH!$U$6),IF(AH!$U$4=0,"unavailable",INDEX('Market Data'!$AP$5:$AP$66,AH!$U$4)),IF(AH!$U$5=1,INDEX('Live History'!$H$5:$H$3004,MATCH($A140,'Live History'!$G$5:$G$3004,1)),INDEX('AH History'!$B$5:$B$1380,$K140))),NA()),NA())</f>
        <v/>
      </c>
      <c r="I140" s="34">
        <f>IFERROR(IF(ISNUMBER($A140),IF(AND(AH!$U$12=1,135+1=AH!$U$6),TODAY(),IF(AH!$U$5=1,INDEX('Live History'!$G$5:$G$3004,MATCH($A140,'Live History'!$G$5:$G$3004,1)),INDEX('AH History'!$C$5:$C$1380,$K140))),NA()),NA())</f>
        <v/>
      </c>
      <c r="J140" s="32">
        <f>IFERROR(IF(AND($F140&gt;0,$H140&gt;0,$A140-$G140&lt;=10,$A140-$I140&lt;=5,$G140&gt;0,$I140&gt;0),$F140*$H140,NA()),NA())</f>
        <v/>
      </c>
      <c r="K140" s="15">
        <f>IF($A140="","",IF(AH!$U$5=1,IFERROR(MATCH($A140,'Live History'!$A$5:$A$3004,0),0),AH!$U$7+135))</f>
        <v/>
      </c>
      <c r="L140" s="15">
        <f>IF(ISNUMBER(A140),TEXT(A140,"dd-mmm-yy"),"")</f>
        <v/>
      </c>
    </row>
    <row r="141">
      <c r="A141" s="14">
        <f>IF(OR(AH!$U$4=0,136+1&gt;AH!$U$6,AND(AH!$M$5="Bloomberg",AH!$U$5=0)),"",IFERROR(IF(AND(AH!$U$12=1,136+1=AH!$U$6),TODAY(),IF(AH!$U$5=1,INDEX('Live History'!$A$5:$A$3004,AH!$U$7+136),INDEX('AH History'!$A$5:$A$1380,AH!$U$7+136))),""))</f>
        <v/>
      </c>
      <c r="B141" s="33">
        <f>IFERROR(IF(AH!$U$11=1,NA(),$J141/$E141-1),NA())</f>
        <v/>
      </c>
      <c r="C141" s="269">
        <f>IFERROR(100*$E141/$E$5,NA())</f>
        <v/>
      </c>
      <c r="D141" s="269">
        <f>IFERROR(100*$J141/$J$5,NA())</f>
        <v/>
      </c>
      <c r="E141" s="32">
        <f>IFERROR(IF(AND(ISNUMBER($A141),N(IF(AND(AH!$U$12=1,136+1=AH!$U$6),IF(AH!$U$4=0,"unavailable",INDEX('Market Data'!$AN$5:$AN$66,AH!$U$4)),IF(AH!$U$5=1,INDEX('Live History'!$B$5:$B$3004,$K141),INDEX('AH History'!$D$5:$GG$1380,$K141,AH!$U$10))))&gt;0),IF(AND(AH!$U$12=1,136+1=AH!$U$6),IF(AH!$U$4=0,"unavailable",INDEX('Market Data'!$AN$5:$AN$66,AH!$U$4)),IF(AH!$U$5=1,INDEX('Live History'!$B$5:$B$3004,$K141),INDEX('AH History'!$D$5:$GG$1380,$K141,AH!$U$10))),NA()),NA())</f>
        <v/>
      </c>
      <c r="F141" s="32">
        <f>IFERROR(IF(ISNUMBER($A141),IF(AND(AH!$U$12=1,136+1=AH!$U$6),IF(AH!$U$4=0,"unavailable",INDEX('Market Data'!$AO$5:$AO$66,AH!$U$4)),IF(AH!$U$5=1,INDEX('Live History'!$E$5:$E$3004,MATCH($A141,'Live History'!$D$5:$D$3004,1)),INDEX('AH History'!$D$5:$GG$1380,$K141,AH!$U$10+1))),NA()),NA())</f>
        <v/>
      </c>
      <c r="G141" s="34">
        <f>IFERROR(IF(ISNUMBER($A141),IF(AND(AH!$U$12=1,136+1=AH!$U$6),IF(AH!$U$4=0,"unavailable",INDEX('Market Data'!$AK$5:$AK$66,AH!$U$4)),IF(AH!$U$5=1,INDEX('Live History'!$D$5:$D$3004,MATCH($A141,'Live History'!$D$5:$D$3004,1)),INDEX('AH History'!$D$5:$GG$1380,$K141,AH!$U$10+2))),NA()),NA())</f>
        <v/>
      </c>
      <c r="H141" s="266">
        <f>IFERROR(IF(ISNUMBER($A141),IF(AND(AH!$U$12=1,136+1=AH!$U$6),IF(AH!$U$4=0,"unavailable",INDEX('Market Data'!$AP$5:$AP$66,AH!$U$4)),IF(AH!$U$5=1,INDEX('Live History'!$H$5:$H$3004,MATCH($A141,'Live History'!$G$5:$G$3004,1)),INDEX('AH History'!$B$5:$B$1380,$K141))),NA()),NA())</f>
        <v/>
      </c>
      <c r="I141" s="34">
        <f>IFERROR(IF(ISNUMBER($A141),IF(AND(AH!$U$12=1,136+1=AH!$U$6),TODAY(),IF(AH!$U$5=1,INDEX('Live History'!$G$5:$G$3004,MATCH($A141,'Live History'!$G$5:$G$3004,1)),INDEX('AH History'!$C$5:$C$1380,$K141))),NA()),NA())</f>
        <v/>
      </c>
      <c r="J141" s="32">
        <f>IFERROR(IF(AND($F141&gt;0,$H141&gt;0,$A141-$G141&lt;=10,$A141-$I141&lt;=5,$G141&gt;0,$I141&gt;0),$F141*$H141,NA()),NA())</f>
        <v/>
      </c>
      <c r="K141" s="15">
        <f>IF($A141="","",IF(AH!$U$5=1,IFERROR(MATCH($A141,'Live History'!$A$5:$A$3004,0),0),AH!$U$7+136))</f>
        <v/>
      </c>
      <c r="L141" s="15">
        <f>IF(ISNUMBER(A141),TEXT(A141,"dd-mmm-yy"),"")</f>
        <v/>
      </c>
    </row>
    <row r="142">
      <c r="A142" s="14">
        <f>IF(OR(AH!$U$4=0,137+1&gt;AH!$U$6,AND(AH!$M$5="Bloomberg",AH!$U$5=0)),"",IFERROR(IF(AND(AH!$U$12=1,137+1=AH!$U$6),TODAY(),IF(AH!$U$5=1,INDEX('Live History'!$A$5:$A$3004,AH!$U$7+137),INDEX('AH History'!$A$5:$A$1380,AH!$U$7+137))),""))</f>
        <v/>
      </c>
      <c r="B142" s="33">
        <f>IFERROR(IF(AH!$U$11=1,NA(),$J142/$E142-1),NA())</f>
        <v/>
      </c>
      <c r="C142" s="269">
        <f>IFERROR(100*$E142/$E$5,NA())</f>
        <v/>
      </c>
      <c r="D142" s="269">
        <f>IFERROR(100*$J142/$J$5,NA())</f>
        <v/>
      </c>
      <c r="E142" s="32">
        <f>IFERROR(IF(AND(ISNUMBER($A142),N(IF(AND(AH!$U$12=1,137+1=AH!$U$6),IF(AH!$U$4=0,"unavailable",INDEX('Market Data'!$AN$5:$AN$66,AH!$U$4)),IF(AH!$U$5=1,INDEX('Live History'!$B$5:$B$3004,$K142),INDEX('AH History'!$D$5:$GG$1380,$K142,AH!$U$10))))&gt;0),IF(AND(AH!$U$12=1,137+1=AH!$U$6),IF(AH!$U$4=0,"unavailable",INDEX('Market Data'!$AN$5:$AN$66,AH!$U$4)),IF(AH!$U$5=1,INDEX('Live History'!$B$5:$B$3004,$K142),INDEX('AH History'!$D$5:$GG$1380,$K142,AH!$U$10))),NA()),NA())</f>
        <v/>
      </c>
      <c r="F142" s="32">
        <f>IFERROR(IF(ISNUMBER($A142),IF(AND(AH!$U$12=1,137+1=AH!$U$6),IF(AH!$U$4=0,"unavailable",INDEX('Market Data'!$AO$5:$AO$66,AH!$U$4)),IF(AH!$U$5=1,INDEX('Live History'!$E$5:$E$3004,MATCH($A142,'Live History'!$D$5:$D$3004,1)),INDEX('AH History'!$D$5:$GG$1380,$K142,AH!$U$10+1))),NA()),NA())</f>
        <v/>
      </c>
      <c r="G142" s="34">
        <f>IFERROR(IF(ISNUMBER($A142),IF(AND(AH!$U$12=1,137+1=AH!$U$6),IF(AH!$U$4=0,"unavailable",INDEX('Market Data'!$AK$5:$AK$66,AH!$U$4)),IF(AH!$U$5=1,INDEX('Live History'!$D$5:$D$3004,MATCH($A142,'Live History'!$D$5:$D$3004,1)),INDEX('AH History'!$D$5:$GG$1380,$K142,AH!$U$10+2))),NA()),NA())</f>
        <v/>
      </c>
      <c r="H142" s="266">
        <f>IFERROR(IF(ISNUMBER($A142),IF(AND(AH!$U$12=1,137+1=AH!$U$6),IF(AH!$U$4=0,"unavailable",INDEX('Market Data'!$AP$5:$AP$66,AH!$U$4)),IF(AH!$U$5=1,INDEX('Live History'!$H$5:$H$3004,MATCH($A142,'Live History'!$G$5:$G$3004,1)),INDEX('AH History'!$B$5:$B$1380,$K142))),NA()),NA())</f>
        <v/>
      </c>
      <c r="I142" s="34">
        <f>IFERROR(IF(ISNUMBER($A142),IF(AND(AH!$U$12=1,137+1=AH!$U$6),TODAY(),IF(AH!$U$5=1,INDEX('Live History'!$G$5:$G$3004,MATCH($A142,'Live History'!$G$5:$G$3004,1)),INDEX('AH History'!$C$5:$C$1380,$K142))),NA()),NA())</f>
        <v/>
      </c>
      <c r="J142" s="32">
        <f>IFERROR(IF(AND($F142&gt;0,$H142&gt;0,$A142-$G142&lt;=10,$A142-$I142&lt;=5,$G142&gt;0,$I142&gt;0),$F142*$H142,NA()),NA())</f>
        <v/>
      </c>
      <c r="K142" s="15">
        <f>IF($A142="","",IF(AH!$U$5=1,IFERROR(MATCH($A142,'Live History'!$A$5:$A$3004,0),0),AH!$U$7+137))</f>
        <v/>
      </c>
      <c r="L142" s="15">
        <f>IF(ISNUMBER(A142),TEXT(A142,"dd-mmm-yy"),"")</f>
        <v/>
      </c>
    </row>
    <row r="143">
      <c r="A143" s="14">
        <f>IF(OR(AH!$U$4=0,138+1&gt;AH!$U$6,AND(AH!$M$5="Bloomberg",AH!$U$5=0)),"",IFERROR(IF(AND(AH!$U$12=1,138+1=AH!$U$6),TODAY(),IF(AH!$U$5=1,INDEX('Live History'!$A$5:$A$3004,AH!$U$7+138),INDEX('AH History'!$A$5:$A$1380,AH!$U$7+138))),""))</f>
        <v/>
      </c>
      <c r="B143" s="33">
        <f>IFERROR(IF(AH!$U$11=1,NA(),$J143/$E143-1),NA())</f>
        <v/>
      </c>
      <c r="C143" s="269">
        <f>IFERROR(100*$E143/$E$5,NA())</f>
        <v/>
      </c>
      <c r="D143" s="269">
        <f>IFERROR(100*$J143/$J$5,NA())</f>
        <v/>
      </c>
      <c r="E143" s="32">
        <f>IFERROR(IF(AND(ISNUMBER($A143),N(IF(AND(AH!$U$12=1,138+1=AH!$U$6),IF(AH!$U$4=0,"unavailable",INDEX('Market Data'!$AN$5:$AN$66,AH!$U$4)),IF(AH!$U$5=1,INDEX('Live History'!$B$5:$B$3004,$K143),INDEX('AH History'!$D$5:$GG$1380,$K143,AH!$U$10))))&gt;0),IF(AND(AH!$U$12=1,138+1=AH!$U$6),IF(AH!$U$4=0,"unavailable",INDEX('Market Data'!$AN$5:$AN$66,AH!$U$4)),IF(AH!$U$5=1,INDEX('Live History'!$B$5:$B$3004,$K143),INDEX('AH History'!$D$5:$GG$1380,$K143,AH!$U$10))),NA()),NA())</f>
        <v/>
      </c>
      <c r="F143" s="32">
        <f>IFERROR(IF(ISNUMBER($A143),IF(AND(AH!$U$12=1,138+1=AH!$U$6),IF(AH!$U$4=0,"unavailable",INDEX('Market Data'!$AO$5:$AO$66,AH!$U$4)),IF(AH!$U$5=1,INDEX('Live History'!$E$5:$E$3004,MATCH($A143,'Live History'!$D$5:$D$3004,1)),INDEX('AH History'!$D$5:$GG$1380,$K143,AH!$U$10+1))),NA()),NA())</f>
        <v/>
      </c>
      <c r="G143" s="34">
        <f>IFERROR(IF(ISNUMBER($A143),IF(AND(AH!$U$12=1,138+1=AH!$U$6),IF(AH!$U$4=0,"unavailable",INDEX('Market Data'!$AK$5:$AK$66,AH!$U$4)),IF(AH!$U$5=1,INDEX('Live History'!$D$5:$D$3004,MATCH($A143,'Live History'!$D$5:$D$3004,1)),INDEX('AH History'!$D$5:$GG$1380,$K143,AH!$U$10+2))),NA()),NA())</f>
        <v/>
      </c>
      <c r="H143" s="266">
        <f>IFERROR(IF(ISNUMBER($A143),IF(AND(AH!$U$12=1,138+1=AH!$U$6),IF(AH!$U$4=0,"unavailable",INDEX('Market Data'!$AP$5:$AP$66,AH!$U$4)),IF(AH!$U$5=1,INDEX('Live History'!$H$5:$H$3004,MATCH($A143,'Live History'!$G$5:$G$3004,1)),INDEX('AH History'!$B$5:$B$1380,$K143))),NA()),NA())</f>
        <v/>
      </c>
      <c r="I143" s="34">
        <f>IFERROR(IF(ISNUMBER($A143),IF(AND(AH!$U$12=1,138+1=AH!$U$6),TODAY(),IF(AH!$U$5=1,INDEX('Live History'!$G$5:$G$3004,MATCH($A143,'Live History'!$G$5:$G$3004,1)),INDEX('AH History'!$C$5:$C$1380,$K143))),NA()),NA())</f>
        <v/>
      </c>
      <c r="J143" s="32">
        <f>IFERROR(IF(AND($F143&gt;0,$H143&gt;0,$A143-$G143&lt;=10,$A143-$I143&lt;=5,$G143&gt;0,$I143&gt;0),$F143*$H143,NA()),NA())</f>
        <v/>
      </c>
      <c r="K143" s="15">
        <f>IF($A143="","",IF(AH!$U$5=1,IFERROR(MATCH($A143,'Live History'!$A$5:$A$3004,0),0),AH!$U$7+138))</f>
        <v/>
      </c>
      <c r="L143" s="15">
        <f>IF(ISNUMBER(A143),TEXT(A143,"dd-mmm-yy"),"")</f>
        <v/>
      </c>
    </row>
    <row r="144">
      <c r="A144" s="14">
        <f>IF(OR(AH!$U$4=0,139+1&gt;AH!$U$6,AND(AH!$M$5="Bloomberg",AH!$U$5=0)),"",IFERROR(IF(AND(AH!$U$12=1,139+1=AH!$U$6),TODAY(),IF(AH!$U$5=1,INDEX('Live History'!$A$5:$A$3004,AH!$U$7+139),INDEX('AH History'!$A$5:$A$1380,AH!$U$7+139))),""))</f>
        <v/>
      </c>
      <c r="B144" s="33">
        <f>IFERROR(IF(AH!$U$11=1,NA(),$J144/$E144-1),NA())</f>
        <v/>
      </c>
      <c r="C144" s="269">
        <f>IFERROR(100*$E144/$E$5,NA())</f>
        <v/>
      </c>
      <c r="D144" s="269">
        <f>IFERROR(100*$J144/$J$5,NA())</f>
        <v/>
      </c>
      <c r="E144" s="32">
        <f>IFERROR(IF(AND(ISNUMBER($A144),N(IF(AND(AH!$U$12=1,139+1=AH!$U$6),IF(AH!$U$4=0,"unavailable",INDEX('Market Data'!$AN$5:$AN$66,AH!$U$4)),IF(AH!$U$5=1,INDEX('Live History'!$B$5:$B$3004,$K144),INDEX('AH History'!$D$5:$GG$1380,$K144,AH!$U$10))))&gt;0),IF(AND(AH!$U$12=1,139+1=AH!$U$6),IF(AH!$U$4=0,"unavailable",INDEX('Market Data'!$AN$5:$AN$66,AH!$U$4)),IF(AH!$U$5=1,INDEX('Live History'!$B$5:$B$3004,$K144),INDEX('AH History'!$D$5:$GG$1380,$K144,AH!$U$10))),NA()),NA())</f>
        <v/>
      </c>
      <c r="F144" s="32">
        <f>IFERROR(IF(ISNUMBER($A144),IF(AND(AH!$U$12=1,139+1=AH!$U$6),IF(AH!$U$4=0,"unavailable",INDEX('Market Data'!$AO$5:$AO$66,AH!$U$4)),IF(AH!$U$5=1,INDEX('Live History'!$E$5:$E$3004,MATCH($A144,'Live History'!$D$5:$D$3004,1)),INDEX('AH History'!$D$5:$GG$1380,$K144,AH!$U$10+1))),NA()),NA())</f>
        <v/>
      </c>
      <c r="G144" s="34">
        <f>IFERROR(IF(ISNUMBER($A144),IF(AND(AH!$U$12=1,139+1=AH!$U$6),IF(AH!$U$4=0,"unavailable",INDEX('Market Data'!$AK$5:$AK$66,AH!$U$4)),IF(AH!$U$5=1,INDEX('Live History'!$D$5:$D$3004,MATCH($A144,'Live History'!$D$5:$D$3004,1)),INDEX('AH History'!$D$5:$GG$1380,$K144,AH!$U$10+2))),NA()),NA())</f>
        <v/>
      </c>
      <c r="H144" s="266">
        <f>IFERROR(IF(ISNUMBER($A144),IF(AND(AH!$U$12=1,139+1=AH!$U$6),IF(AH!$U$4=0,"unavailable",INDEX('Market Data'!$AP$5:$AP$66,AH!$U$4)),IF(AH!$U$5=1,INDEX('Live History'!$H$5:$H$3004,MATCH($A144,'Live History'!$G$5:$G$3004,1)),INDEX('AH History'!$B$5:$B$1380,$K144))),NA()),NA())</f>
        <v/>
      </c>
      <c r="I144" s="34">
        <f>IFERROR(IF(ISNUMBER($A144),IF(AND(AH!$U$12=1,139+1=AH!$U$6),TODAY(),IF(AH!$U$5=1,INDEX('Live History'!$G$5:$G$3004,MATCH($A144,'Live History'!$G$5:$G$3004,1)),INDEX('AH History'!$C$5:$C$1380,$K144))),NA()),NA())</f>
        <v/>
      </c>
      <c r="J144" s="32">
        <f>IFERROR(IF(AND($F144&gt;0,$H144&gt;0,$A144-$G144&lt;=10,$A144-$I144&lt;=5,$G144&gt;0,$I144&gt;0),$F144*$H144,NA()),NA())</f>
        <v/>
      </c>
      <c r="K144" s="15">
        <f>IF($A144="","",IF(AH!$U$5=1,IFERROR(MATCH($A144,'Live History'!$A$5:$A$3004,0),0),AH!$U$7+139))</f>
        <v/>
      </c>
      <c r="L144" s="15">
        <f>IF(ISNUMBER(A144),TEXT(A144,"dd-mmm-yy"),"")</f>
        <v/>
      </c>
    </row>
    <row r="145">
      <c r="A145" s="14">
        <f>IF(OR(AH!$U$4=0,140+1&gt;AH!$U$6,AND(AH!$M$5="Bloomberg",AH!$U$5=0)),"",IFERROR(IF(AND(AH!$U$12=1,140+1=AH!$U$6),TODAY(),IF(AH!$U$5=1,INDEX('Live History'!$A$5:$A$3004,AH!$U$7+140),INDEX('AH History'!$A$5:$A$1380,AH!$U$7+140))),""))</f>
        <v/>
      </c>
      <c r="B145" s="33">
        <f>IFERROR(IF(AH!$U$11=1,NA(),$J145/$E145-1),NA())</f>
        <v/>
      </c>
      <c r="C145" s="269">
        <f>IFERROR(100*$E145/$E$5,NA())</f>
        <v/>
      </c>
      <c r="D145" s="269">
        <f>IFERROR(100*$J145/$J$5,NA())</f>
        <v/>
      </c>
      <c r="E145" s="32">
        <f>IFERROR(IF(AND(ISNUMBER($A145),N(IF(AND(AH!$U$12=1,140+1=AH!$U$6),IF(AH!$U$4=0,"unavailable",INDEX('Market Data'!$AN$5:$AN$66,AH!$U$4)),IF(AH!$U$5=1,INDEX('Live History'!$B$5:$B$3004,$K145),INDEX('AH History'!$D$5:$GG$1380,$K145,AH!$U$10))))&gt;0),IF(AND(AH!$U$12=1,140+1=AH!$U$6),IF(AH!$U$4=0,"unavailable",INDEX('Market Data'!$AN$5:$AN$66,AH!$U$4)),IF(AH!$U$5=1,INDEX('Live History'!$B$5:$B$3004,$K145),INDEX('AH History'!$D$5:$GG$1380,$K145,AH!$U$10))),NA()),NA())</f>
        <v/>
      </c>
      <c r="F145" s="32">
        <f>IFERROR(IF(ISNUMBER($A145),IF(AND(AH!$U$12=1,140+1=AH!$U$6),IF(AH!$U$4=0,"unavailable",INDEX('Market Data'!$AO$5:$AO$66,AH!$U$4)),IF(AH!$U$5=1,INDEX('Live History'!$E$5:$E$3004,MATCH($A145,'Live History'!$D$5:$D$3004,1)),INDEX('AH History'!$D$5:$GG$1380,$K145,AH!$U$10+1))),NA()),NA())</f>
        <v/>
      </c>
      <c r="G145" s="34">
        <f>IFERROR(IF(ISNUMBER($A145),IF(AND(AH!$U$12=1,140+1=AH!$U$6),IF(AH!$U$4=0,"unavailable",INDEX('Market Data'!$AK$5:$AK$66,AH!$U$4)),IF(AH!$U$5=1,INDEX('Live History'!$D$5:$D$3004,MATCH($A145,'Live History'!$D$5:$D$3004,1)),INDEX('AH History'!$D$5:$GG$1380,$K145,AH!$U$10+2))),NA()),NA())</f>
        <v/>
      </c>
      <c r="H145" s="266">
        <f>IFERROR(IF(ISNUMBER($A145),IF(AND(AH!$U$12=1,140+1=AH!$U$6),IF(AH!$U$4=0,"unavailable",INDEX('Market Data'!$AP$5:$AP$66,AH!$U$4)),IF(AH!$U$5=1,INDEX('Live History'!$H$5:$H$3004,MATCH($A145,'Live History'!$G$5:$G$3004,1)),INDEX('AH History'!$B$5:$B$1380,$K145))),NA()),NA())</f>
        <v/>
      </c>
      <c r="I145" s="34">
        <f>IFERROR(IF(ISNUMBER($A145),IF(AND(AH!$U$12=1,140+1=AH!$U$6),TODAY(),IF(AH!$U$5=1,INDEX('Live History'!$G$5:$G$3004,MATCH($A145,'Live History'!$G$5:$G$3004,1)),INDEX('AH History'!$C$5:$C$1380,$K145))),NA()),NA())</f>
        <v/>
      </c>
      <c r="J145" s="32">
        <f>IFERROR(IF(AND($F145&gt;0,$H145&gt;0,$A145-$G145&lt;=10,$A145-$I145&lt;=5,$G145&gt;0,$I145&gt;0),$F145*$H145,NA()),NA())</f>
        <v/>
      </c>
      <c r="K145" s="15">
        <f>IF($A145="","",IF(AH!$U$5=1,IFERROR(MATCH($A145,'Live History'!$A$5:$A$3004,0),0),AH!$U$7+140))</f>
        <v/>
      </c>
      <c r="L145" s="15">
        <f>IF(ISNUMBER(A145),TEXT(A145,"dd-mmm-yy"),"")</f>
        <v/>
      </c>
    </row>
    <row r="146">
      <c r="A146" s="14">
        <f>IF(OR(AH!$U$4=0,141+1&gt;AH!$U$6,AND(AH!$M$5="Bloomberg",AH!$U$5=0)),"",IFERROR(IF(AND(AH!$U$12=1,141+1=AH!$U$6),TODAY(),IF(AH!$U$5=1,INDEX('Live History'!$A$5:$A$3004,AH!$U$7+141),INDEX('AH History'!$A$5:$A$1380,AH!$U$7+141))),""))</f>
        <v/>
      </c>
      <c r="B146" s="33">
        <f>IFERROR(IF(AH!$U$11=1,NA(),$J146/$E146-1),NA())</f>
        <v/>
      </c>
      <c r="C146" s="269">
        <f>IFERROR(100*$E146/$E$5,NA())</f>
        <v/>
      </c>
      <c r="D146" s="269">
        <f>IFERROR(100*$J146/$J$5,NA())</f>
        <v/>
      </c>
      <c r="E146" s="32">
        <f>IFERROR(IF(AND(ISNUMBER($A146),N(IF(AND(AH!$U$12=1,141+1=AH!$U$6),IF(AH!$U$4=0,"unavailable",INDEX('Market Data'!$AN$5:$AN$66,AH!$U$4)),IF(AH!$U$5=1,INDEX('Live History'!$B$5:$B$3004,$K146),INDEX('AH History'!$D$5:$GG$1380,$K146,AH!$U$10))))&gt;0),IF(AND(AH!$U$12=1,141+1=AH!$U$6),IF(AH!$U$4=0,"unavailable",INDEX('Market Data'!$AN$5:$AN$66,AH!$U$4)),IF(AH!$U$5=1,INDEX('Live History'!$B$5:$B$3004,$K146),INDEX('AH History'!$D$5:$GG$1380,$K146,AH!$U$10))),NA()),NA())</f>
        <v/>
      </c>
      <c r="F146" s="32">
        <f>IFERROR(IF(ISNUMBER($A146),IF(AND(AH!$U$12=1,141+1=AH!$U$6),IF(AH!$U$4=0,"unavailable",INDEX('Market Data'!$AO$5:$AO$66,AH!$U$4)),IF(AH!$U$5=1,INDEX('Live History'!$E$5:$E$3004,MATCH($A146,'Live History'!$D$5:$D$3004,1)),INDEX('AH History'!$D$5:$GG$1380,$K146,AH!$U$10+1))),NA()),NA())</f>
        <v/>
      </c>
      <c r="G146" s="34">
        <f>IFERROR(IF(ISNUMBER($A146),IF(AND(AH!$U$12=1,141+1=AH!$U$6),IF(AH!$U$4=0,"unavailable",INDEX('Market Data'!$AK$5:$AK$66,AH!$U$4)),IF(AH!$U$5=1,INDEX('Live History'!$D$5:$D$3004,MATCH($A146,'Live History'!$D$5:$D$3004,1)),INDEX('AH History'!$D$5:$GG$1380,$K146,AH!$U$10+2))),NA()),NA())</f>
        <v/>
      </c>
      <c r="H146" s="266">
        <f>IFERROR(IF(ISNUMBER($A146),IF(AND(AH!$U$12=1,141+1=AH!$U$6),IF(AH!$U$4=0,"unavailable",INDEX('Market Data'!$AP$5:$AP$66,AH!$U$4)),IF(AH!$U$5=1,INDEX('Live History'!$H$5:$H$3004,MATCH($A146,'Live History'!$G$5:$G$3004,1)),INDEX('AH History'!$B$5:$B$1380,$K146))),NA()),NA())</f>
        <v/>
      </c>
      <c r="I146" s="34">
        <f>IFERROR(IF(ISNUMBER($A146),IF(AND(AH!$U$12=1,141+1=AH!$U$6),TODAY(),IF(AH!$U$5=1,INDEX('Live History'!$G$5:$G$3004,MATCH($A146,'Live History'!$G$5:$G$3004,1)),INDEX('AH History'!$C$5:$C$1380,$K146))),NA()),NA())</f>
        <v/>
      </c>
      <c r="J146" s="32">
        <f>IFERROR(IF(AND($F146&gt;0,$H146&gt;0,$A146-$G146&lt;=10,$A146-$I146&lt;=5,$G146&gt;0,$I146&gt;0),$F146*$H146,NA()),NA())</f>
        <v/>
      </c>
      <c r="K146" s="15">
        <f>IF($A146="","",IF(AH!$U$5=1,IFERROR(MATCH($A146,'Live History'!$A$5:$A$3004,0),0),AH!$U$7+141))</f>
        <v/>
      </c>
      <c r="L146" s="15">
        <f>IF(ISNUMBER(A146),TEXT(A146,"dd-mmm-yy"),"")</f>
        <v/>
      </c>
    </row>
    <row r="147">
      <c r="A147" s="14">
        <f>IF(OR(AH!$U$4=0,142+1&gt;AH!$U$6,AND(AH!$M$5="Bloomberg",AH!$U$5=0)),"",IFERROR(IF(AND(AH!$U$12=1,142+1=AH!$U$6),TODAY(),IF(AH!$U$5=1,INDEX('Live History'!$A$5:$A$3004,AH!$U$7+142),INDEX('AH History'!$A$5:$A$1380,AH!$U$7+142))),""))</f>
        <v/>
      </c>
      <c r="B147" s="33">
        <f>IFERROR(IF(AH!$U$11=1,NA(),$J147/$E147-1),NA())</f>
        <v/>
      </c>
      <c r="C147" s="269">
        <f>IFERROR(100*$E147/$E$5,NA())</f>
        <v/>
      </c>
      <c r="D147" s="269">
        <f>IFERROR(100*$J147/$J$5,NA())</f>
        <v/>
      </c>
      <c r="E147" s="32">
        <f>IFERROR(IF(AND(ISNUMBER($A147),N(IF(AND(AH!$U$12=1,142+1=AH!$U$6),IF(AH!$U$4=0,"unavailable",INDEX('Market Data'!$AN$5:$AN$66,AH!$U$4)),IF(AH!$U$5=1,INDEX('Live History'!$B$5:$B$3004,$K147),INDEX('AH History'!$D$5:$GG$1380,$K147,AH!$U$10))))&gt;0),IF(AND(AH!$U$12=1,142+1=AH!$U$6),IF(AH!$U$4=0,"unavailable",INDEX('Market Data'!$AN$5:$AN$66,AH!$U$4)),IF(AH!$U$5=1,INDEX('Live History'!$B$5:$B$3004,$K147),INDEX('AH History'!$D$5:$GG$1380,$K147,AH!$U$10))),NA()),NA())</f>
        <v/>
      </c>
      <c r="F147" s="32">
        <f>IFERROR(IF(ISNUMBER($A147),IF(AND(AH!$U$12=1,142+1=AH!$U$6),IF(AH!$U$4=0,"unavailable",INDEX('Market Data'!$AO$5:$AO$66,AH!$U$4)),IF(AH!$U$5=1,INDEX('Live History'!$E$5:$E$3004,MATCH($A147,'Live History'!$D$5:$D$3004,1)),INDEX('AH History'!$D$5:$GG$1380,$K147,AH!$U$10+1))),NA()),NA())</f>
        <v/>
      </c>
      <c r="G147" s="34">
        <f>IFERROR(IF(ISNUMBER($A147),IF(AND(AH!$U$12=1,142+1=AH!$U$6),IF(AH!$U$4=0,"unavailable",INDEX('Market Data'!$AK$5:$AK$66,AH!$U$4)),IF(AH!$U$5=1,INDEX('Live History'!$D$5:$D$3004,MATCH($A147,'Live History'!$D$5:$D$3004,1)),INDEX('AH History'!$D$5:$GG$1380,$K147,AH!$U$10+2))),NA()),NA())</f>
        <v/>
      </c>
      <c r="H147" s="266">
        <f>IFERROR(IF(ISNUMBER($A147),IF(AND(AH!$U$12=1,142+1=AH!$U$6),IF(AH!$U$4=0,"unavailable",INDEX('Market Data'!$AP$5:$AP$66,AH!$U$4)),IF(AH!$U$5=1,INDEX('Live History'!$H$5:$H$3004,MATCH($A147,'Live History'!$G$5:$G$3004,1)),INDEX('AH History'!$B$5:$B$1380,$K147))),NA()),NA())</f>
        <v/>
      </c>
      <c r="I147" s="34">
        <f>IFERROR(IF(ISNUMBER($A147),IF(AND(AH!$U$12=1,142+1=AH!$U$6),TODAY(),IF(AH!$U$5=1,INDEX('Live History'!$G$5:$G$3004,MATCH($A147,'Live History'!$G$5:$G$3004,1)),INDEX('AH History'!$C$5:$C$1380,$K147))),NA()),NA())</f>
        <v/>
      </c>
      <c r="J147" s="32">
        <f>IFERROR(IF(AND($F147&gt;0,$H147&gt;0,$A147-$G147&lt;=10,$A147-$I147&lt;=5,$G147&gt;0,$I147&gt;0),$F147*$H147,NA()),NA())</f>
        <v/>
      </c>
      <c r="K147" s="15">
        <f>IF($A147="","",IF(AH!$U$5=1,IFERROR(MATCH($A147,'Live History'!$A$5:$A$3004,0),0),AH!$U$7+142))</f>
        <v/>
      </c>
      <c r="L147" s="15">
        <f>IF(ISNUMBER(A147),TEXT(A147,"dd-mmm-yy"),"")</f>
        <v/>
      </c>
    </row>
    <row r="148">
      <c r="A148" s="14">
        <f>IF(OR(AH!$U$4=0,143+1&gt;AH!$U$6,AND(AH!$M$5="Bloomberg",AH!$U$5=0)),"",IFERROR(IF(AND(AH!$U$12=1,143+1=AH!$U$6),TODAY(),IF(AH!$U$5=1,INDEX('Live History'!$A$5:$A$3004,AH!$U$7+143),INDEX('AH History'!$A$5:$A$1380,AH!$U$7+143))),""))</f>
        <v/>
      </c>
      <c r="B148" s="33">
        <f>IFERROR(IF(AH!$U$11=1,NA(),$J148/$E148-1),NA())</f>
        <v/>
      </c>
      <c r="C148" s="269">
        <f>IFERROR(100*$E148/$E$5,NA())</f>
        <v/>
      </c>
      <c r="D148" s="269">
        <f>IFERROR(100*$J148/$J$5,NA())</f>
        <v/>
      </c>
      <c r="E148" s="32">
        <f>IFERROR(IF(AND(ISNUMBER($A148),N(IF(AND(AH!$U$12=1,143+1=AH!$U$6),IF(AH!$U$4=0,"unavailable",INDEX('Market Data'!$AN$5:$AN$66,AH!$U$4)),IF(AH!$U$5=1,INDEX('Live History'!$B$5:$B$3004,$K148),INDEX('AH History'!$D$5:$GG$1380,$K148,AH!$U$10))))&gt;0),IF(AND(AH!$U$12=1,143+1=AH!$U$6),IF(AH!$U$4=0,"unavailable",INDEX('Market Data'!$AN$5:$AN$66,AH!$U$4)),IF(AH!$U$5=1,INDEX('Live History'!$B$5:$B$3004,$K148),INDEX('AH History'!$D$5:$GG$1380,$K148,AH!$U$10))),NA()),NA())</f>
        <v/>
      </c>
      <c r="F148" s="32">
        <f>IFERROR(IF(ISNUMBER($A148),IF(AND(AH!$U$12=1,143+1=AH!$U$6),IF(AH!$U$4=0,"unavailable",INDEX('Market Data'!$AO$5:$AO$66,AH!$U$4)),IF(AH!$U$5=1,INDEX('Live History'!$E$5:$E$3004,MATCH($A148,'Live History'!$D$5:$D$3004,1)),INDEX('AH History'!$D$5:$GG$1380,$K148,AH!$U$10+1))),NA()),NA())</f>
        <v/>
      </c>
      <c r="G148" s="34">
        <f>IFERROR(IF(ISNUMBER($A148),IF(AND(AH!$U$12=1,143+1=AH!$U$6),IF(AH!$U$4=0,"unavailable",INDEX('Market Data'!$AK$5:$AK$66,AH!$U$4)),IF(AH!$U$5=1,INDEX('Live History'!$D$5:$D$3004,MATCH($A148,'Live History'!$D$5:$D$3004,1)),INDEX('AH History'!$D$5:$GG$1380,$K148,AH!$U$10+2))),NA()),NA())</f>
        <v/>
      </c>
      <c r="H148" s="266">
        <f>IFERROR(IF(ISNUMBER($A148),IF(AND(AH!$U$12=1,143+1=AH!$U$6),IF(AH!$U$4=0,"unavailable",INDEX('Market Data'!$AP$5:$AP$66,AH!$U$4)),IF(AH!$U$5=1,INDEX('Live History'!$H$5:$H$3004,MATCH($A148,'Live History'!$G$5:$G$3004,1)),INDEX('AH History'!$B$5:$B$1380,$K148))),NA()),NA())</f>
        <v/>
      </c>
      <c r="I148" s="34">
        <f>IFERROR(IF(ISNUMBER($A148),IF(AND(AH!$U$12=1,143+1=AH!$U$6),TODAY(),IF(AH!$U$5=1,INDEX('Live History'!$G$5:$G$3004,MATCH($A148,'Live History'!$G$5:$G$3004,1)),INDEX('AH History'!$C$5:$C$1380,$K148))),NA()),NA())</f>
        <v/>
      </c>
      <c r="J148" s="32">
        <f>IFERROR(IF(AND($F148&gt;0,$H148&gt;0,$A148-$G148&lt;=10,$A148-$I148&lt;=5,$G148&gt;0,$I148&gt;0),$F148*$H148,NA()),NA())</f>
        <v/>
      </c>
      <c r="K148" s="15">
        <f>IF($A148="","",IF(AH!$U$5=1,IFERROR(MATCH($A148,'Live History'!$A$5:$A$3004,0),0),AH!$U$7+143))</f>
        <v/>
      </c>
      <c r="L148" s="15">
        <f>IF(ISNUMBER(A148),TEXT(A148,"dd-mmm-yy"),"")</f>
        <v/>
      </c>
    </row>
    <row r="149">
      <c r="A149" s="14">
        <f>IF(OR(AH!$U$4=0,144+1&gt;AH!$U$6,AND(AH!$M$5="Bloomberg",AH!$U$5=0)),"",IFERROR(IF(AND(AH!$U$12=1,144+1=AH!$U$6),TODAY(),IF(AH!$U$5=1,INDEX('Live History'!$A$5:$A$3004,AH!$U$7+144),INDEX('AH History'!$A$5:$A$1380,AH!$U$7+144))),""))</f>
        <v/>
      </c>
      <c r="B149" s="33">
        <f>IFERROR(IF(AH!$U$11=1,NA(),$J149/$E149-1),NA())</f>
        <v/>
      </c>
      <c r="C149" s="269">
        <f>IFERROR(100*$E149/$E$5,NA())</f>
        <v/>
      </c>
      <c r="D149" s="269">
        <f>IFERROR(100*$J149/$J$5,NA())</f>
        <v/>
      </c>
      <c r="E149" s="32">
        <f>IFERROR(IF(AND(ISNUMBER($A149),N(IF(AND(AH!$U$12=1,144+1=AH!$U$6),IF(AH!$U$4=0,"unavailable",INDEX('Market Data'!$AN$5:$AN$66,AH!$U$4)),IF(AH!$U$5=1,INDEX('Live History'!$B$5:$B$3004,$K149),INDEX('AH History'!$D$5:$GG$1380,$K149,AH!$U$10))))&gt;0),IF(AND(AH!$U$12=1,144+1=AH!$U$6),IF(AH!$U$4=0,"unavailable",INDEX('Market Data'!$AN$5:$AN$66,AH!$U$4)),IF(AH!$U$5=1,INDEX('Live History'!$B$5:$B$3004,$K149),INDEX('AH History'!$D$5:$GG$1380,$K149,AH!$U$10))),NA()),NA())</f>
        <v/>
      </c>
      <c r="F149" s="32">
        <f>IFERROR(IF(ISNUMBER($A149),IF(AND(AH!$U$12=1,144+1=AH!$U$6),IF(AH!$U$4=0,"unavailable",INDEX('Market Data'!$AO$5:$AO$66,AH!$U$4)),IF(AH!$U$5=1,INDEX('Live History'!$E$5:$E$3004,MATCH($A149,'Live History'!$D$5:$D$3004,1)),INDEX('AH History'!$D$5:$GG$1380,$K149,AH!$U$10+1))),NA()),NA())</f>
        <v/>
      </c>
      <c r="G149" s="34">
        <f>IFERROR(IF(ISNUMBER($A149),IF(AND(AH!$U$12=1,144+1=AH!$U$6),IF(AH!$U$4=0,"unavailable",INDEX('Market Data'!$AK$5:$AK$66,AH!$U$4)),IF(AH!$U$5=1,INDEX('Live History'!$D$5:$D$3004,MATCH($A149,'Live History'!$D$5:$D$3004,1)),INDEX('AH History'!$D$5:$GG$1380,$K149,AH!$U$10+2))),NA()),NA())</f>
        <v/>
      </c>
      <c r="H149" s="266">
        <f>IFERROR(IF(ISNUMBER($A149),IF(AND(AH!$U$12=1,144+1=AH!$U$6),IF(AH!$U$4=0,"unavailable",INDEX('Market Data'!$AP$5:$AP$66,AH!$U$4)),IF(AH!$U$5=1,INDEX('Live History'!$H$5:$H$3004,MATCH($A149,'Live History'!$G$5:$G$3004,1)),INDEX('AH History'!$B$5:$B$1380,$K149))),NA()),NA())</f>
        <v/>
      </c>
      <c r="I149" s="34">
        <f>IFERROR(IF(ISNUMBER($A149),IF(AND(AH!$U$12=1,144+1=AH!$U$6),TODAY(),IF(AH!$U$5=1,INDEX('Live History'!$G$5:$G$3004,MATCH($A149,'Live History'!$G$5:$G$3004,1)),INDEX('AH History'!$C$5:$C$1380,$K149))),NA()),NA())</f>
        <v/>
      </c>
      <c r="J149" s="32">
        <f>IFERROR(IF(AND($F149&gt;0,$H149&gt;0,$A149-$G149&lt;=10,$A149-$I149&lt;=5,$G149&gt;0,$I149&gt;0),$F149*$H149,NA()),NA())</f>
        <v/>
      </c>
      <c r="K149" s="15">
        <f>IF($A149="","",IF(AH!$U$5=1,IFERROR(MATCH($A149,'Live History'!$A$5:$A$3004,0),0),AH!$U$7+144))</f>
        <v/>
      </c>
      <c r="L149" s="15">
        <f>IF(ISNUMBER(A149),TEXT(A149,"dd-mmm-yy"),"")</f>
        <v/>
      </c>
    </row>
    <row r="150">
      <c r="A150" s="14">
        <f>IF(OR(AH!$U$4=0,145+1&gt;AH!$U$6,AND(AH!$M$5="Bloomberg",AH!$U$5=0)),"",IFERROR(IF(AND(AH!$U$12=1,145+1=AH!$U$6),TODAY(),IF(AH!$U$5=1,INDEX('Live History'!$A$5:$A$3004,AH!$U$7+145),INDEX('AH History'!$A$5:$A$1380,AH!$U$7+145))),""))</f>
        <v/>
      </c>
      <c r="B150" s="33">
        <f>IFERROR(IF(AH!$U$11=1,NA(),$J150/$E150-1),NA())</f>
        <v/>
      </c>
      <c r="C150" s="269">
        <f>IFERROR(100*$E150/$E$5,NA())</f>
        <v/>
      </c>
      <c r="D150" s="269">
        <f>IFERROR(100*$J150/$J$5,NA())</f>
        <v/>
      </c>
      <c r="E150" s="32">
        <f>IFERROR(IF(AND(ISNUMBER($A150),N(IF(AND(AH!$U$12=1,145+1=AH!$U$6),IF(AH!$U$4=0,"unavailable",INDEX('Market Data'!$AN$5:$AN$66,AH!$U$4)),IF(AH!$U$5=1,INDEX('Live History'!$B$5:$B$3004,$K150),INDEX('AH History'!$D$5:$GG$1380,$K150,AH!$U$10))))&gt;0),IF(AND(AH!$U$12=1,145+1=AH!$U$6),IF(AH!$U$4=0,"unavailable",INDEX('Market Data'!$AN$5:$AN$66,AH!$U$4)),IF(AH!$U$5=1,INDEX('Live History'!$B$5:$B$3004,$K150),INDEX('AH History'!$D$5:$GG$1380,$K150,AH!$U$10))),NA()),NA())</f>
        <v/>
      </c>
      <c r="F150" s="32">
        <f>IFERROR(IF(ISNUMBER($A150),IF(AND(AH!$U$12=1,145+1=AH!$U$6),IF(AH!$U$4=0,"unavailable",INDEX('Market Data'!$AO$5:$AO$66,AH!$U$4)),IF(AH!$U$5=1,INDEX('Live History'!$E$5:$E$3004,MATCH($A150,'Live History'!$D$5:$D$3004,1)),INDEX('AH History'!$D$5:$GG$1380,$K150,AH!$U$10+1))),NA()),NA())</f>
        <v/>
      </c>
      <c r="G150" s="34">
        <f>IFERROR(IF(ISNUMBER($A150),IF(AND(AH!$U$12=1,145+1=AH!$U$6),IF(AH!$U$4=0,"unavailable",INDEX('Market Data'!$AK$5:$AK$66,AH!$U$4)),IF(AH!$U$5=1,INDEX('Live History'!$D$5:$D$3004,MATCH($A150,'Live History'!$D$5:$D$3004,1)),INDEX('AH History'!$D$5:$GG$1380,$K150,AH!$U$10+2))),NA()),NA())</f>
        <v/>
      </c>
      <c r="H150" s="266">
        <f>IFERROR(IF(ISNUMBER($A150),IF(AND(AH!$U$12=1,145+1=AH!$U$6),IF(AH!$U$4=0,"unavailable",INDEX('Market Data'!$AP$5:$AP$66,AH!$U$4)),IF(AH!$U$5=1,INDEX('Live History'!$H$5:$H$3004,MATCH($A150,'Live History'!$G$5:$G$3004,1)),INDEX('AH History'!$B$5:$B$1380,$K150))),NA()),NA())</f>
        <v/>
      </c>
      <c r="I150" s="34">
        <f>IFERROR(IF(ISNUMBER($A150),IF(AND(AH!$U$12=1,145+1=AH!$U$6),TODAY(),IF(AH!$U$5=1,INDEX('Live History'!$G$5:$G$3004,MATCH($A150,'Live History'!$G$5:$G$3004,1)),INDEX('AH History'!$C$5:$C$1380,$K150))),NA()),NA())</f>
        <v/>
      </c>
      <c r="J150" s="32">
        <f>IFERROR(IF(AND($F150&gt;0,$H150&gt;0,$A150-$G150&lt;=10,$A150-$I150&lt;=5,$G150&gt;0,$I150&gt;0),$F150*$H150,NA()),NA())</f>
        <v/>
      </c>
      <c r="K150" s="15">
        <f>IF($A150="","",IF(AH!$U$5=1,IFERROR(MATCH($A150,'Live History'!$A$5:$A$3004,0),0),AH!$U$7+145))</f>
        <v/>
      </c>
      <c r="L150" s="15">
        <f>IF(ISNUMBER(A150),TEXT(A150,"dd-mmm-yy"),"")</f>
        <v/>
      </c>
    </row>
    <row r="151">
      <c r="A151" s="14">
        <f>IF(OR(AH!$U$4=0,146+1&gt;AH!$U$6,AND(AH!$M$5="Bloomberg",AH!$U$5=0)),"",IFERROR(IF(AND(AH!$U$12=1,146+1=AH!$U$6),TODAY(),IF(AH!$U$5=1,INDEX('Live History'!$A$5:$A$3004,AH!$U$7+146),INDEX('AH History'!$A$5:$A$1380,AH!$U$7+146))),""))</f>
        <v/>
      </c>
      <c r="B151" s="33">
        <f>IFERROR(IF(AH!$U$11=1,NA(),$J151/$E151-1),NA())</f>
        <v/>
      </c>
      <c r="C151" s="269">
        <f>IFERROR(100*$E151/$E$5,NA())</f>
        <v/>
      </c>
      <c r="D151" s="269">
        <f>IFERROR(100*$J151/$J$5,NA())</f>
        <v/>
      </c>
      <c r="E151" s="32">
        <f>IFERROR(IF(AND(ISNUMBER($A151),N(IF(AND(AH!$U$12=1,146+1=AH!$U$6),IF(AH!$U$4=0,"unavailable",INDEX('Market Data'!$AN$5:$AN$66,AH!$U$4)),IF(AH!$U$5=1,INDEX('Live History'!$B$5:$B$3004,$K151),INDEX('AH History'!$D$5:$GG$1380,$K151,AH!$U$10))))&gt;0),IF(AND(AH!$U$12=1,146+1=AH!$U$6),IF(AH!$U$4=0,"unavailable",INDEX('Market Data'!$AN$5:$AN$66,AH!$U$4)),IF(AH!$U$5=1,INDEX('Live History'!$B$5:$B$3004,$K151),INDEX('AH History'!$D$5:$GG$1380,$K151,AH!$U$10))),NA()),NA())</f>
        <v/>
      </c>
      <c r="F151" s="32">
        <f>IFERROR(IF(ISNUMBER($A151),IF(AND(AH!$U$12=1,146+1=AH!$U$6),IF(AH!$U$4=0,"unavailable",INDEX('Market Data'!$AO$5:$AO$66,AH!$U$4)),IF(AH!$U$5=1,INDEX('Live History'!$E$5:$E$3004,MATCH($A151,'Live History'!$D$5:$D$3004,1)),INDEX('AH History'!$D$5:$GG$1380,$K151,AH!$U$10+1))),NA()),NA())</f>
        <v/>
      </c>
      <c r="G151" s="34">
        <f>IFERROR(IF(ISNUMBER($A151),IF(AND(AH!$U$12=1,146+1=AH!$U$6),IF(AH!$U$4=0,"unavailable",INDEX('Market Data'!$AK$5:$AK$66,AH!$U$4)),IF(AH!$U$5=1,INDEX('Live History'!$D$5:$D$3004,MATCH($A151,'Live History'!$D$5:$D$3004,1)),INDEX('AH History'!$D$5:$GG$1380,$K151,AH!$U$10+2))),NA()),NA())</f>
        <v/>
      </c>
      <c r="H151" s="266">
        <f>IFERROR(IF(ISNUMBER($A151),IF(AND(AH!$U$12=1,146+1=AH!$U$6),IF(AH!$U$4=0,"unavailable",INDEX('Market Data'!$AP$5:$AP$66,AH!$U$4)),IF(AH!$U$5=1,INDEX('Live History'!$H$5:$H$3004,MATCH($A151,'Live History'!$G$5:$G$3004,1)),INDEX('AH History'!$B$5:$B$1380,$K151))),NA()),NA())</f>
        <v/>
      </c>
      <c r="I151" s="34">
        <f>IFERROR(IF(ISNUMBER($A151),IF(AND(AH!$U$12=1,146+1=AH!$U$6),TODAY(),IF(AH!$U$5=1,INDEX('Live History'!$G$5:$G$3004,MATCH($A151,'Live History'!$G$5:$G$3004,1)),INDEX('AH History'!$C$5:$C$1380,$K151))),NA()),NA())</f>
        <v/>
      </c>
      <c r="J151" s="32">
        <f>IFERROR(IF(AND($F151&gt;0,$H151&gt;0,$A151-$G151&lt;=10,$A151-$I151&lt;=5,$G151&gt;0,$I151&gt;0),$F151*$H151,NA()),NA())</f>
        <v/>
      </c>
      <c r="K151" s="15">
        <f>IF($A151="","",IF(AH!$U$5=1,IFERROR(MATCH($A151,'Live History'!$A$5:$A$3004,0),0),AH!$U$7+146))</f>
        <v/>
      </c>
      <c r="L151" s="15">
        <f>IF(ISNUMBER(A151),TEXT(A151,"dd-mmm-yy"),"")</f>
        <v/>
      </c>
    </row>
    <row r="152">
      <c r="A152" s="14">
        <f>IF(OR(AH!$U$4=0,147+1&gt;AH!$U$6,AND(AH!$M$5="Bloomberg",AH!$U$5=0)),"",IFERROR(IF(AND(AH!$U$12=1,147+1=AH!$U$6),TODAY(),IF(AH!$U$5=1,INDEX('Live History'!$A$5:$A$3004,AH!$U$7+147),INDEX('AH History'!$A$5:$A$1380,AH!$U$7+147))),""))</f>
        <v/>
      </c>
      <c r="B152" s="33">
        <f>IFERROR(IF(AH!$U$11=1,NA(),$J152/$E152-1),NA())</f>
        <v/>
      </c>
      <c r="C152" s="269">
        <f>IFERROR(100*$E152/$E$5,NA())</f>
        <v/>
      </c>
      <c r="D152" s="269">
        <f>IFERROR(100*$J152/$J$5,NA())</f>
        <v/>
      </c>
      <c r="E152" s="32">
        <f>IFERROR(IF(AND(ISNUMBER($A152),N(IF(AND(AH!$U$12=1,147+1=AH!$U$6),IF(AH!$U$4=0,"unavailable",INDEX('Market Data'!$AN$5:$AN$66,AH!$U$4)),IF(AH!$U$5=1,INDEX('Live History'!$B$5:$B$3004,$K152),INDEX('AH History'!$D$5:$GG$1380,$K152,AH!$U$10))))&gt;0),IF(AND(AH!$U$12=1,147+1=AH!$U$6),IF(AH!$U$4=0,"unavailable",INDEX('Market Data'!$AN$5:$AN$66,AH!$U$4)),IF(AH!$U$5=1,INDEX('Live History'!$B$5:$B$3004,$K152),INDEX('AH History'!$D$5:$GG$1380,$K152,AH!$U$10))),NA()),NA())</f>
        <v/>
      </c>
      <c r="F152" s="32">
        <f>IFERROR(IF(ISNUMBER($A152),IF(AND(AH!$U$12=1,147+1=AH!$U$6),IF(AH!$U$4=0,"unavailable",INDEX('Market Data'!$AO$5:$AO$66,AH!$U$4)),IF(AH!$U$5=1,INDEX('Live History'!$E$5:$E$3004,MATCH($A152,'Live History'!$D$5:$D$3004,1)),INDEX('AH History'!$D$5:$GG$1380,$K152,AH!$U$10+1))),NA()),NA())</f>
        <v/>
      </c>
      <c r="G152" s="34">
        <f>IFERROR(IF(ISNUMBER($A152),IF(AND(AH!$U$12=1,147+1=AH!$U$6),IF(AH!$U$4=0,"unavailable",INDEX('Market Data'!$AK$5:$AK$66,AH!$U$4)),IF(AH!$U$5=1,INDEX('Live History'!$D$5:$D$3004,MATCH($A152,'Live History'!$D$5:$D$3004,1)),INDEX('AH History'!$D$5:$GG$1380,$K152,AH!$U$10+2))),NA()),NA())</f>
        <v/>
      </c>
      <c r="H152" s="266">
        <f>IFERROR(IF(ISNUMBER($A152),IF(AND(AH!$U$12=1,147+1=AH!$U$6),IF(AH!$U$4=0,"unavailable",INDEX('Market Data'!$AP$5:$AP$66,AH!$U$4)),IF(AH!$U$5=1,INDEX('Live History'!$H$5:$H$3004,MATCH($A152,'Live History'!$G$5:$G$3004,1)),INDEX('AH History'!$B$5:$B$1380,$K152))),NA()),NA())</f>
        <v/>
      </c>
      <c r="I152" s="34">
        <f>IFERROR(IF(ISNUMBER($A152),IF(AND(AH!$U$12=1,147+1=AH!$U$6),TODAY(),IF(AH!$U$5=1,INDEX('Live History'!$G$5:$G$3004,MATCH($A152,'Live History'!$G$5:$G$3004,1)),INDEX('AH History'!$C$5:$C$1380,$K152))),NA()),NA())</f>
        <v/>
      </c>
      <c r="J152" s="32">
        <f>IFERROR(IF(AND($F152&gt;0,$H152&gt;0,$A152-$G152&lt;=10,$A152-$I152&lt;=5,$G152&gt;0,$I152&gt;0),$F152*$H152,NA()),NA())</f>
        <v/>
      </c>
      <c r="K152" s="15">
        <f>IF($A152="","",IF(AH!$U$5=1,IFERROR(MATCH($A152,'Live History'!$A$5:$A$3004,0),0),AH!$U$7+147))</f>
        <v/>
      </c>
      <c r="L152" s="15">
        <f>IF(ISNUMBER(A152),TEXT(A152,"dd-mmm-yy"),"")</f>
        <v/>
      </c>
    </row>
    <row r="153">
      <c r="A153" s="14">
        <f>IF(OR(AH!$U$4=0,148+1&gt;AH!$U$6,AND(AH!$M$5="Bloomberg",AH!$U$5=0)),"",IFERROR(IF(AND(AH!$U$12=1,148+1=AH!$U$6),TODAY(),IF(AH!$U$5=1,INDEX('Live History'!$A$5:$A$3004,AH!$U$7+148),INDEX('AH History'!$A$5:$A$1380,AH!$U$7+148))),""))</f>
        <v/>
      </c>
      <c r="B153" s="33">
        <f>IFERROR(IF(AH!$U$11=1,NA(),$J153/$E153-1),NA())</f>
        <v/>
      </c>
      <c r="C153" s="269">
        <f>IFERROR(100*$E153/$E$5,NA())</f>
        <v/>
      </c>
      <c r="D153" s="269">
        <f>IFERROR(100*$J153/$J$5,NA())</f>
        <v/>
      </c>
      <c r="E153" s="32">
        <f>IFERROR(IF(AND(ISNUMBER($A153),N(IF(AND(AH!$U$12=1,148+1=AH!$U$6),IF(AH!$U$4=0,"unavailable",INDEX('Market Data'!$AN$5:$AN$66,AH!$U$4)),IF(AH!$U$5=1,INDEX('Live History'!$B$5:$B$3004,$K153),INDEX('AH History'!$D$5:$GG$1380,$K153,AH!$U$10))))&gt;0),IF(AND(AH!$U$12=1,148+1=AH!$U$6),IF(AH!$U$4=0,"unavailable",INDEX('Market Data'!$AN$5:$AN$66,AH!$U$4)),IF(AH!$U$5=1,INDEX('Live History'!$B$5:$B$3004,$K153),INDEX('AH History'!$D$5:$GG$1380,$K153,AH!$U$10))),NA()),NA())</f>
        <v/>
      </c>
      <c r="F153" s="32">
        <f>IFERROR(IF(ISNUMBER($A153),IF(AND(AH!$U$12=1,148+1=AH!$U$6),IF(AH!$U$4=0,"unavailable",INDEX('Market Data'!$AO$5:$AO$66,AH!$U$4)),IF(AH!$U$5=1,INDEX('Live History'!$E$5:$E$3004,MATCH($A153,'Live History'!$D$5:$D$3004,1)),INDEX('AH History'!$D$5:$GG$1380,$K153,AH!$U$10+1))),NA()),NA())</f>
        <v/>
      </c>
      <c r="G153" s="34">
        <f>IFERROR(IF(ISNUMBER($A153),IF(AND(AH!$U$12=1,148+1=AH!$U$6),IF(AH!$U$4=0,"unavailable",INDEX('Market Data'!$AK$5:$AK$66,AH!$U$4)),IF(AH!$U$5=1,INDEX('Live History'!$D$5:$D$3004,MATCH($A153,'Live History'!$D$5:$D$3004,1)),INDEX('AH History'!$D$5:$GG$1380,$K153,AH!$U$10+2))),NA()),NA())</f>
        <v/>
      </c>
      <c r="H153" s="266">
        <f>IFERROR(IF(ISNUMBER($A153),IF(AND(AH!$U$12=1,148+1=AH!$U$6),IF(AH!$U$4=0,"unavailable",INDEX('Market Data'!$AP$5:$AP$66,AH!$U$4)),IF(AH!$U$5=1,INDEX('Live History'!$H$5:$H$3004,MATCH($A153,'Live History'!$G$5:$G$3004,1)),INDEX('AH History'!$B$5:$B$1380,$K153))),NA()),NA())</f>
        <v/>
      </c>
      <c r="I153" s="34">
        <f>IFERROR(IF(ISNUMBER($A153),IF(AND(AH!$U$12=1,148+1=AH!$U$6),TODAY(),IF(AH!$U$5=1,INDEX('Live History'!$G$5:$G$3004,MATCH($A153,'Live History'!$G$5:$G$3004,1)),INDEX('AH History'!$C$5:$C$1380,$K153))),NA()),NA())</f>
        <v/>
      </c>
      <c r="J153" s="32">
        <f>IFERROR(IF(AND($F153&gt;0,$H153&gt;0,$A153-$G153&lt;=10,$A153-$I153&lt;=5,$G153&gt;0,$I153&gt;0),$F153*$H153,NA()),NA())</f>
        <v/>
      </c>
      <c r="K153" s="15">
        <f>IF($A153="","",IF(AH!$U$5=1,IFERROR(MATCH($A153,'Live History'!$A$5:$A$3004,0),0),AH!$U$7+148))</f>
        <v/>
      </c>
      <c r="L153" s="15">
        <f>IF(ISNUMBER(A153),TEXT(A153,"dd-mmm-yy"),"")</f>
        <v/>
      </c>
    </row>
    <row r="154">
      <c r="A154" s="14">
        <f>IF(OR(AH!$U$4=0,149+1&gt;AH!$U$6,AND(AH!$M$5="Bloomberg",AH!$U$5=0)),"",IFERROR(IF(AND(AH!$U$12=1,149+1=AH!$U$6),TODAY(),IF(AH!$U$5=1,INDEX('Live History'!$A$5:$A$3004,AH!$U$7+149),INDEX('AH History'!$A$5:$A$1380,AH!$U$7+149))),""))</f>
        <v/>
      </c>
      <c r="B154" s="33">
        <f>IFERROR(IF(AH!$U$11=1,NA(),$J154/$E154-1),NA())</f>
        <v/>
      </c>
      <c r="C154" s="269">
        <f>IFERROR(100*$E154/$E$5,NA())</f>
        <v/>
      </c>
      <c r="D154" s="269">
        <f>IFERROR(100*$J154/$J$5,NA())</f>
        <v/>
      </c>
      <c r="E154" s="32">
        <f>IFERROR(IF(AND(ISNUMBER($A154),N(IF(AND(AH!$U$12=1,149+1=AH!$U$6),IF(AH!$U$4=0,"unavailable",INDEX('Market Data'!$AN$5:$AN$66,AH!$U$4)),IF(AH!$U$5=1,INDEX('Live History'!$B$5:$B$3004,$K154),INDEX('AH History'!$D$5:$GG$1380,$K154,AH!$U$10))))&gt;0),IF(AND(AH!$U$12=1,149+1=AH!$U$6),IF(AH!$U$4=0,"unavailable",INDEX('Market Data'!$AN$5:$AN$66,AH!$U$4)),IF(AH!$U$5=1,INDEX('Live History'!$B$5:$B$3004,$K154),INDEX('AH History'!$D$5:$GG$1380,$K154,AH!$U$10))),NA()),NA())</f>
        <v/>
      </c>
      <c r="F154" s="32">
        <f>IFERROR(IF(ISNUMBER($A154),IF(AND(AH!$U$12=1,149+1=AH!$U$6),IF(AH!$U$4=0,"unavailable",INDEX('Market Data'!$AO$5:$AO$66,AH!$U$4)),IF(AH!$U$5=1,INDEX('Live History'!$E$5:$E$3004,MATCH($A154,'Live History'!$D$5:$D$3004,1)),INDEX('AH History'!$D$5:$GG$1380,$K154,AH!$U$10+1))),NA()),NA())</f>
        <v/>
      </c>
      <c r="G154" s="34">
        <f>IFERROR(IF(ISNUMBER($A154),IF(AND(AH!$U$12=1,149+1=AH!$U$6),IF(AH!$U$4=0,"unavailable",INDEX('Market Data'!$AK$5:$AK$66,AH!$U$4)),IF(AH!$U$5=1,INDEX('Live History'!$D$5:$D$3004,MATCH($A154,'Live History'!$D$5:$D$3004,1)),INDEX('AH History'!$D$5:$GG$1380,$K154,AH!$U$10+2))),NA()),NA())</f>
        <v/>
      </c>
      <c r="H154" s="266">
        <f>IFERROR(IF(ISNUMBER($A154),IF(AND(AH!$U$12=1,149+1=AH!$U$6),IF(AH!$U$4=0,"unavailable",INDEX('Market Data'!$AP$5:$AP$66,AH!$U$4)),IF(AH!$U$5=1,INDEX('Live History'!$H$5:$H$3004,MATCH($A154,'Live History'!$G$5:$G$3004,1)),INDEX('AH History'!$B$5:$B$1380,$K154))),NA()),NA())</f>
        <v/>
      </c>
      <c r="I154" s="34">
        <f>IFERROR(IF(ISNUMBER($A154),IF(AND(AH!$U$12=1,149+1=AH!$U$6),TODAY(),IF(AH!$U$5=1,INDEX('Live History'!$G$5:$G$3004,MATCH($A154,'Live History'!$G$5:$G$3004,1)),INDEX('AH History'!$C$5:$C$1380,$K154))),NA()),NA())</f>
        <v/>
      </c>
      <c r="J154" s="32">
        <f>IFERROR(IF(AND($F154&gt;0,$H154&gt;0,$A154-$G154&lt;=10,$A154-$I154&lt;=5,$G154&gt;0,$I154&gt;0),$F154*$H154,NA()),NA())</f>
        <v/>
      </c>
      <c r="K154" s="15">
        <f>IF($A154="","",IF(AH!$U$5=1,IFERROR(MATCH($A154,'Live History'!$A$5:$A$3004,0),0),AH!$U$7+149))</f>
        <v/>
      </c>
      <c r="L154" s="15">
        <f>IF(ISNUMBER(A154),TEXT(A154,"dd-mmm-yy"),"")</f>
        <v/>
      </c>
    </row>
    <row r="155">
      <c r="A155" s="14">
        <f>IF(OR(AH!$U$4=0,150+1&gt;AH!$U$6,AND(AH!$M$5="Bloomberg",AH!$U$5=0)),"",IFERROR(IF(AND(AH!$U$12=1,150+1=AH!$U$6),TODAY(),IF(AH!$U$5=1,INDEX('Live History'!$A$5:$A$3004,AH!$U$7+150),INDEX('AH History'!$A$5:$A$1380,AH!$U$7+150))),""))</f>
        <v/>
      </c>
      <c r="B155" s="33">
        <f>IFERROR(IF(AH!$U$11=1,NA(),$J155/$E155-1),NA())</f>
        <v/>
      </c>
      <c r="C155" s="269">
        <f>IFERROR(100*$E155/$E$5,NA())</f>
        <v/>
      </c>
      <c r="D155" s="269">
        <f>IFERROR(100*$J155/$J$5,NA())</f>
        <v/>
      </c>
      <c r="E155" s="32">
        <f>IFERROR(IF(AND(ISNUMBER($A155),N(IF(AND(AH!$U$12=1,150+1=AH!$U$6),IF(AH!$U$4=0,"unavailable",INDEX('Market Data'!$AN$5:$AN$66,AH!$U$4)),IF(AH!$U$5=1,INDEX('Live History'!$B$5:$B$3004,$K155),INDEX('AH History'!$D$5:$GG$1380,$K155,AH!$U$10))))&gt;0),IF(AND(AH!$U$12=1,150+1=AH!$U$6),IF(AH!$U$4=0,"unavailable",INDEX('Market Data'!$AN$5:$AN$66,AH!$U$4)),IF(AH!$U$5=1,INDEX('Live History'!$B$5:$B$3004,$K155),INDEX('AH History'!$D$5:$GG$1380,$K155,AH!$U$10))),NA()),NA())</f>
        <v/>
      </c>
      <c r="F155" s="32">
        <f>IFERROR(IF(ISNUMBER($A155),IF(AND(AH!$U$12=1,150+1=AH!$U$6),IF(AH!$U$4=0,"unavailable",INDEX('Market Data'!$AO$5:$AO$66,AH!$U$4)),IF(AH!$U$5=1,INDEX('Live History'!$E$5:$E$3004,MATCH($A155,'Live History'!$D$5:$D$3004,1)),INDEX('AH History'!$D$5:$GG$1380,$K155,AH!$U$10+1))),NA()),NA())</f>
        <v/>
      </c>
      <c r="G155" s="34">
        <f>IFERROR(IF(ISNUMBER($A155),IF(AND(AH!$U$12=1,150+1=AH!$U$6),IF(AH!$U$4=0,"unavailable",INDEX('Market Data'!$AK$5:$AK$66,AH!$U$4)),IF(AH!$U$5=1,INDEX('Live History'!$D$5:$D$3004,MATCH($A155,'Live History'!$D$5:$D$3004,1)),INDEX('AH History'!$D$5:$GG$1380,$K155,AH!$U$10+2))),NA()),NA())</f>
        <v/>
      </c>
      <c r="H155" s="266">
        <f>IFERROR(IF(ISNUMBER($A155),IF(AND(AH!$U$12=1,150+1=AH!$U$6),IF(AH!$U$4=0,"unavailable",INDEX('Market Data'!$AP$5:$AP$66,AH!$U$4)),IF(AH!$U$5=1,INDEX('Live History'!$H$5:$H$3004,MATCH($A155,'Live History'!$G$5:$G$3004,1)),INDEX('AH History'!$B$5:$B$1380,$K155))),NA()),NA())</f>
        <v/>
      </c>
      <c r="I155" s="34">
        <f>IFERROR(IF(ISNUMBER($A155),IF(AND(AH!$U$12=1,150+1=AH!$U$6),TODAY(),IF(AH!$U$5=1,INDEX('Live History'!$G$5:$G$3004,MATCH($A155,'Live History'!$G$5:$G$3004,1)),INDEX('AH History'!$C$5:$C$1380,$K155))),NA()),NA())</f>
        <v/>
      </c>
      <c r="J155" s="32">
        <f>IFERROR(IF(AND($F155&gt;0,$H155&gt;0,$A155-$G155&lt;=10,$A155-$I155&lt;=5,$G155&gt;0,$I155&gt;0),$F155*$H155,NA()),NA())</f>
        <v/>
      </c>
      <c r="K155" s="15">
        <f>IF($A155="","",IF(AH!$U$5=1,IFERROR(MATCH($A155,'Live History'!$A$5:$A$3004,0),0),AH!$U$7+150))</f>
        <v/>
      </c>
      <c r="L155" s="15">
        <f>IF(ISNUMBER(A155),TEXT(A155,"dd-mmm-yy"),"")</f>
        <v/>
      </c>
    </row>
    <row r="156">
      <c r="A156" s="14">
        <f>IF(OR(AH!$U$4=0,151+1&gt;AH!$U$6,AND(AH!$M$5="Bloomberg",AH!$U$5=0)),"",IFERROR(IF(AND(AH!$U$12=1,151+1=AH!$U$6),TODAY(),IF(AH!$U$5=1,INDEX('Live History'!$A$5:$A$3004,AH!$U$7+151),INDEX('AH History'!$A$5:$A$1380,AH!$U$7+151))),""))</f>
        <v/>
      </c>
      <c r="B156" s="33">
        <f>IFERROR(IF(AH!$U$11=1,NA(),$J156/$E156-1),NA())</f>
        <v/>
      </c>
      <c r="C156" s="269">
        <f>IFERROR(100*$E156/$E$5,NA())</f>
        <v/>
      </c>
      <c r="D156" s="269">
        <f>IFERROR(100*$J156/$J$5,NA())</f>
        <v/>
      </c>
      <c r="E156" s="32">
        <f>IFERROR(IF(AND(ISNUMBER($A156),N(IF(AND(AH!$U$12=1,151+1=AH!$U$6),IF(AH!$U$4=0,"unavailable",INDEX('Market Data'!$AN$5:$AN$66,AH!$U$4)),IF(AH!$U$5=1,INDEX('Live History'!$B$5:$B$3004,$K156),INDEX('AH History'!$D$5:$GG$1380,$K156,AH!$U$10))))&gt;0),IF(AND(AH!$U$12=1,151+1=AH!$U$6),IF(AH!$U$4=0,"unavailable",INDEX('Market Data'!$AN$5:$AN$66,AH!$U$4)),IF(AH!$U$5=1,INDEX('Live History'!$B$5:$B$3004,$K156),INDEX('AH History'!$D$5:$GG$1380,$K156,AH!$U$10))),NA()),NA())</f>
        <v/>
      </c>
      <c r="F156" s="32">
        <f>IFERROR(IF(ISNUMBER($A156),IF(AND(AH!$U$12=1,151+1=AH!$U$6),IF(AH!$U$4=0,"unavailable",INDEX('Market Data'!$AO$5:$AO$66,AH!$U$4)),IF(AH!$U$5=1,INDEX('Live History'!$E$5:$E$3004,MATCH($A156,'Live History'!$D$5:$D$3004,1)),INDEX('AH History'!$D$5:$GG$1380,$K156,AH!$U$10+1))),NA()),NA())</f>
        <v/>
      </c>
      <c r="G156" s="34">
        <f>IFERROR(IF(ISNUMBER($A156),IF(AND(AH!$U$12=1,151+1=AH!$U$6),IF(AH!$U$4=0,"unavailable",INDEX('Market Data'!$AK$5:$AK$66,AH!$U$4)),IF(AH!$U$5=1,INDEX('Live History'!$D$5:$D$3004,MATCH($A156,'Live History'!$D$5:$D$3004,1)),INDEX('AH History'!$D$5:$GG$1380,$K156,AH!$U$10+2))),NA()),NA())</f>
        <v/>
      </c>
      <c r="H156" s="266">
        <f>IFERROR(IF(ISNUMBER($A156),IF(AND(AH!$U$12=1,151+1=AH!$U$6),IF(AH!$U$4=0,"unavailable",INDEX('Market Data'!$AP$5:$AP$66,AH!$U$4)),IF(AH!$U$5=1,INDEX('Live History'!$H$5:$H$3004,MATCH($A156,'Live History'!$G$5:$G$3004,1)),INDEX('AH History'!$B$5:$B$1380,$K156))),NA()),NA())</f>
        <v/>
      </c>
      <c r="I156" s="34">
        <f>IFERROR(IF(ISNUMBER($A156),IF(AND(AH!$U$12=1,151+1=AH!$U$6),TODAY(),IF(AH!$U$5=1,INDEX('Live History'!$G$5:$G$3004,MATCH($A156,'Live History'!$G$5:$G$3004,1)),INDEX('AH History'!$C$5:$C$1380,$K156))),NA()),NA())</f>
        <v/>
      </c>
      <c r="J156" s="32">
        <f>IFERROR(IF(AND($F156&gt;0,$H156&gt;0,$A156-$G156&lt;=10,$A156-$I156&lt;=5,$G156&gt;0,$I156&gt;0),$F156*$H156,NA()),NA())</f>
        <v/>
      </c>
      <c r="K156" s="15">
        <f>IF($A156="","",IF(AH!$U$5=1,IFERROR(MATCH($A156,'Live History'!$A$5:$A$3004,0),0),AH!$U$7+151))</f>
        <v/>
      </c>
      <c r="L156" s="15">
        <f>IF(ISNUMBER(A156),TEXT(A156,"dd-mmm-yy"),"")</f>
        <v/>
      </c>
    </row>
    <row r="157">
      <c r="A157" s="14">
        <f>IF(OR(AH!$U$4=0,152+1&gt;AH!$U$6,AND(AH!$M$5="Bloomberg",AH!$U$5=0)),"",IFERROR(IF(AND(AH!$U$12=1,152+1=AH!$U$6),TODAY(),IF(AH!$U$5=1,INDEX('Live History'!$A$5:$A$3004,AH!$U$7+152),INDEX('AH History'!$A$5:$A$1380,AH!$U$7+152))),""))</f>
        <v/>
      </c>
      <c r="B157" s="33">
        <f>IFERROR(IF(AH!$U$11=1,NA(),$J157/$E157-1),NA())</f>
        <v/>
      </c>
      <c r="C157" s="269">
        <f>IFERROR(100*$E157/$E$5,NA())</f>
        <v/>
      </c>
      <c r="D157" s="269">
        <f>IFERROR(100*$J157/$J$5,NA())</f>
        <v/>
      </c>
      <c r="E157" s="32">
        <f>IFERROR(IF(AND(ISNUMBER($A157),N(IF(AND(AH!$U$12=1,152+1=AH!$U$6),IF(AH!$U$4=0,"unavailable",INDEX('Market Data'!$AN$5:$AN$66,AH!$U$4)),IF(AH!$U$5=1,INDEX('Live History'!$B$5:$B$3004,$K157),INDEX('AH History'!$D$5:$GG$1380,$K157,AH!$U$10))))&gt;0),IF(AND(AH!$U$12=1,152+1=AH!$U$6),IF(AH!$U$4=0,"unavailable",INDEX('Market Data'!$AN$5:$AN$66,AH!$U$4)),IF(AH!$U$5=1,INDEX('Live History'!$B$5:$B$3004,$K157),INDEX('AH History'!$D$5:$GG$1380,$K157,AH!$U$10))),NA()),NA())</f>
        <v/>
      </c>
      <c r="F157" s="32">
        <f>IFERROR(IF(ISNUMBER($A157),IF(AND(AH!$U$12=1,152+1=AH!$U$6),IF(AH!$U$4=0,"unavailable",INDEX('Market Data'!$AO$5:$AO$66,AH!$U$4)),IF(AH!$U$5=1,INDEX('Live History'!$E$5:$E$3004,MATCH($A157,'Live History'!$D$5:$D$3004,1)),INDEX('AH History'!$D$5:$GG$1380,$K157,AH!$U$10+1))),NA()),NA())</f>
        <v/>
      </c>
      <c r="G157" s="34">
        <f>IFERROR(IF(ISNUMBER($A157),IF(AND(AH!$U$12=1,152+1=AH!$U$6),IF(AH!$U$4=0,"unavailable",INDEX('Market Data'!$AK$5:$AK$66,AH!$U$4)),IF(AH!$U$5=1,INDEX('Live History'!$D$5:$D$3004,MATCH($A157,'Live History'!$D$5:$D$3004,1)),INDEX('AH History'!$D$5:$GG$1380,$K157,AH!$U$10+2))),NA()),NA())</f>
        <v/>
      </c>
      <c r="H157" s="266">
        <f>IFERROR(IF(ISNUMBER($A157),IF(AND(AH!$U$12=1,152+1=AH!$U$6),IF(AH!$U$4=0,"unavailable",INDEX('Market Data'!$AP$5:$AP$66,AH!$U$4)),IF(AH!$U$5=1,INDEX('Live History'!$H$5:$H$3004,MATCH($A157,'Live History'!$G$5:$G$3004,1)),INDEX('AH History'!$B$5:$B$1380,$K157))),NA()),NA())</f>
        <v/>
      </c>
      <c r="I157" s="34">
        <f>IFERROR(IF(ISNUMBER($A157),IF(AND(AH!$U$12=1,152+1=AH!$U$6),TODAY(),IF(AH!$U$5=1,INDEX('Live History'!$G$5:$G$3004,MATCH($A157,'Live History'!$G$5:$G$3004,1)),INDEX('AH History'!$C$5:$C$1380,$K157))),NA()),NA())</f>
        <v/>
      </c>
      <c r="J157" s="32">
        <f>IFERROR(IF(AND($F157&gt;0,$H157&gt;0,$A157-$G157&lt;=10,$A157-$I157&lt;=5,$G157&gt;0,$I157&gt;0),$F157*$H157,NA()),NA())</f>
        <v/>
      </c>
      <c r="K157" s="15">
        <f>IF($A157="","",IF(AH!$U$5=1,IFERROR(MATCH($A157,'Live History'!$A$5:$A$3004,0),0),AH!$U$7+152))</f>
        <v/>
      </c>
      <c r="L157" s="15">
        <f>IF(ISNUMBER(A157),TEXT(A157,"dd-mmm-yy"),"")</f>
        <v/>
      </c>
    </row>
    <row r="158">
      <c r="A158" s="14">
        <f>IF(OR(AH!$U$4=0,153+1&gt;AH!$U$6,AND(AH!$M$5="Bloomberg",AH!$U$5=0)),"",IFERROR(IF(AND(AH!$U$12=1,153+1=AH!$U$6),TODAY(),IF(AH!$U$5=1,INDEX('Live History'!$A$5:$A$3004,AH!$U$7+153),INDEX('AH History'!$A$5:$A$1380,AH!$U$7+153))),""))</f>
        <v/>
      </c>
      <c r="B158" s="33">
        <f>IFERROR(IF(AH!$U$11=1,NA(),$J158/$E158-1),NA())</f>
        <v/>
      </c>
      <c r="C158" s="269">
        <f>IFERROR(100*$E158/$E$5,NA())</f>
        <v/>
      </c>
      <c r="D158" s="269">
        <f>IFERROR(100*$J158/$J$5,NA())</f>
        <v/>
      </c>
      <c r="E158" s="32">
        <f>IFERROR(IF(AND(ISNUMBER($A158),N(IF(AND(AH!$U$12=1,153+1=AH!$U$6),IF(AH!$U$4=0,"unavailable",INDEX('Market Data'!$AN$5:$AN$66,AH!$U$4)),IF(AH!$U$5=1,INDEX('Live History'!$B$5:$B$3004,$K158),INDEX('AH History'!$D$5:$GG$1380,$K158,AH!$U$10))))&gt;0),IF(AND(AH!$U$12=1,153+1=AH!$U$6),IF(AH!$U$4=0,"unavailable",INDEX('Market Data'!$AN$5:$AN$66,AH!$U$4)),IF(AH!$U$5=1,INDEX('Live History'!$B$5:$B$3004,$K158),INDEX('AH History'!$D$5:$GG$1380,$K158,AH!$U$10))),NA()),NA())</f>
        <v/>
      </c>
      <c r="F158" s="32">
        <f>IFERROR(IF(ISNUMBER($A158),IF(AND(AH!$U$12=1,153+1=AH!$U$6),IF(AH!$U$4=0,"unavailable",INDEX('Market Data'!$AO$5:$AO$66,AH!$U$4)),IF(AH!$U$5=1,INDEX('Live History'!$E$5:$E$3004,MATCH($A158,'Live History'!$D$5:$D$3004,1)),INDEX('AH History'!$D$5:$GG$1380,$K158,AH!$U$10+1))),NA()),NA())</f>
        <v/>
      </c>
      <c r="G158" s="34">
        <f>IFERROR(IF(ISNUMBER($A158),IF(AND(AH!$U$12=1,153+1=AH!$U$6),IF(AH!$U$4=0,"unavailable",INDEX('Market Data'!$AK$5:$AK$66,AH!$U$4)),IF(AH!$U$5=1,INDEX('Live History'!$D$5:$D$3004,MATCH($A158,'Live History'!$D$5:$D$3004,1)),INDEX('AH History'!$D$5:$GG$1380,$K158,AH!$U$10+2))),NA()),NA())</f>
        <v/>
      </c>
      <c r="H158" s="266">
        <f>IFERROR(IF(ISNUMBER($A158),IF(AND(AH!$U$12=1,153+1=AH!$U$6),IF(AH!$U$4=0,"unavailable",INDEX('Market Data'!$AP$5:$AP$66,AH!$U$4)),IF(AH!$U$5=1,INDEX('Live History'!$H$5:$H$3004,MATCH($A158,'Live History'!$G$5:$G$3004,1)),INDEX('AH History'!$B$5:$B$1380,$K158))),NA()),NA())</f>
        <v/>
      </c>
      <c r="I158" s="34">
        <f>IFERROR(IF(ISNUMBER($A158),IF(AND(AH!$U$12=1,153+1=AH!$U$6),TODAY(),IF(AH!$U$5=1,INDEX('Live History'!$G$5:$G$3004,MATCH($A158,'Live History'!$G$5:$G$3004,1)),INDEX('AH History'!$C$5:$C$1380,$K158))),NA()),NA())</f>
        <v/>
      </c>
      <c r="J158" s="32">
        <f>IFERROR(IF(AND($F158&gt;0,$H158&gt;0,$A158-$G158&lt;=10,$A158-$I158&lt;=5,$G158&gt;0,$I158&gt;0),$F158*$H158,NA()),NA())</f>
        <v/>
      </c>
      <c r="K158" s="15">
        <f>IF($A158="","",IF(AH!$U$5=1,IFERROR(MATCH($A158,'Live History'!$A$5:$A$3004,0),0),AH!$U$7+153))</f>
        <v/>
      </c>
      <c r="L158" s="15">
        <f>IF(ISNUMBER(A158),TEXT(A158,"dd-mmm-yy"),"")</f>
        <v/>
      </c>
    </row>
    <row r="159">
      <c r="A159" s="14">
        <f>IF(OR(AH!$U$4=0,154+1&gt;AH!$U$6,AND(AH!$M$5="Bloomberg",AH!$U$5=0)),"",IFERROR(IF(AND(AH!$U$12=1,154+1=AH!$U$6),TODAY(),IF(AH!$U$5=1,INDEX('Live History'!$A$5:$A$3004,AH!$U$7+154),INDEX('AH History'!$A$5:$A$1380,AH!$U$7+154))),""))</f>
        <v/>
      </c>
      <c r="B159" s="33">
        <f>IFERROR(IF(AH!$U$11=1,NA(),$J159/$E159-1),NA())</f>
        <v/>
      </c>
      <c r="C159" s="269">
        <f>IFERROR(100*$E159/$E$5,NA())</f>
        <v/>
      </c>
      <c r="D159" s="269">
        <f>IFERROR(100*$J159/$J$5,NA())</f>
        <v/>
      </c>
      <c r="E159" s="32">
        <f>IFERROR(IF(AND(ISNUMBER($A159),N(IF(AND(AH!$U$12=1,154+1=AH!$U$6),IF(AH!$U$4=0,"unavailable",INDEX('Market Data'!$AN$5:$AN$66,AH!$U$4)),IF(AH!$U$5=1,INDEX('Live History'!$B$5:$B$3004,$K159),INDEX('AH History'!$D$5:$GG$1380,$K159,AH!$U$10))))&gt;0),IF(AND(AH!$U$12=1,154+1=AH!$U$6),IF(AH!$U$4=0,"unavailable",INDEX('Market Data'!$AN$5:$AN$66,AH!$U$4)),IF(AH!$U$5=1,INDEX('Live History'!$B$5:$B$3004,$K159),INDEX('AH History'!$D$5:$GG$1380,$K159,AH!$U$10))),NA()),NA())</f>
        <v/>
      </c>
      <c r="F159" s="32">
        <f>IFERROR(IF(ISNUMBER($A159),IF(AND(AH!$U$12=1,154+1=AH!$U$6),IF(AH!$U$4=0,"unavailable",INDEX('Market Data'!$AO$5:$AO$66,AH!$U$4)),IF(AH!$U$5=1,INDEX('Live History'!$E$5:$E$3004,MATCH($A159,'Live History'!$D$5:$D$3004,1)),INDEX('AH History'!$D$5:$GG$1380,$K159,AH!$U$10+1))),NA()),NA())</f>
        <v/>
      </c>
      <c r="G159" s="34">
        <f>IFERROR(IF(ISNUMBER($A159),IF(AND(AH!$U$12=1,154+1=AH!$U$6),IF(AH!$U$4=0,"unavailable",INDEX('Market Data'!$AK$5:$AK$66,AH!$U$4)),IF(AH!$U$5=1,INDEX('Live History'!$D$5:$D$3004,MATCH($A159,'Live History'!$D$5:$D$3004,1)),INDEX('AH History'!$D$5:$GG$1380,$K159,AH!$U$10+2))),NA()),NA())</f>
        <v/>
      </c>
      <c r="H159" s="266">
        <f>IFERROR(IF(ISNUMBER($A159),IF(AND(AH!$U$12=1,154+1=AH!$U$6),IF(AH!$U$4=0,"unavailable",INDEX('Market Data'!$AP$5:$AP$66,AH!$U$4)),IF(AH!$U$5=1,INDEX('Live History'!$H$5:$H$3004,MATCH($A159,'Live History'!$G$5:$G$3004,1)),INDEX('AH History'!$B$5:$B$1380,$K159))),NA()),NA())</f>
        <v/>
      </c>
      <c r="I159" s="34">
        <f>IFERROR(IF(ISNUMBER($A159),IF(AND(AH!$U$12=1,154+1=AH!$U$6),TODAY(),IF(AH!$U$5=1,INDEX('Live History'!$G$5:$G$3004,MATCH($A159,'Live History'!$G$5:$G$3004,1)),INDEX('AH History'!$C$5:$C$1380,$K159))),NA()),NA())</f>
        <v/>
      </c>
      <c r="J159" s="32">
        <f>IFERROR(IF(AND($F159&gt;0,$H159&gt;0,$A159-$G159&lt;=10,$A159-$I159&lt;=5,$G159&gt;0,$I159&gt;0),$F159*$H159,NA()),NA())</f>
        <v/>
      </c>
      <c r="K159" s="15">
        <f>IF($A159="","",IF(AH!$U$5=1,IFERROR(MATCH($A159,'Live History'!$A$5:$A$3004,0),0),AH!$U$7+154))</f>
        <v/>
      </c>
      <c r="L159" s="15">
        <f>IF(ISNUMBER(A159),TEXT(A159,"dd-mmm-yy"),"")</f>
        <v/>
      </c>
    </row>
    <row r="160">
      <c r="A160" s="14">
        <f>IF(OR(AH!$U$4=0,155+1&gt;AH!$U$6,AND(AH!$M$5="Bloomberg",AH!$U$5=0)),"",IFERROR(IF(AND(AH!$U$12=1,155+1=AH!$U$6),TODAY(),IF(AH!$U$5=1,INDEX('Live History'!$A$5:$A$3004,AH!$U$7+155),INDEX('AH History'!$A$5:$A$1380,AH!$U$7+155))),""))</f>
        <v/>
      </c>
      <c r="B160" s="33">
        <f>IFERROR(IF(AH!$U$11=1,NA(),$J160/$E160-1),NA())</f>
        <v/>
      </c>
      <c r="C160" s="269">
        <f>IFERROR(100*$E160/$E$5,NA())</f>
        <v/>
      </c>
      <c r="D160" s="269">
        <f>IFERROR(100*$J160/$J$5,NA())</f>
        <v/>
      </c>
      <c r="E160" s="32">
        <f>IFERROR(IF(AND(ISNUMBER($A160),N(IF(AND(AH!$U$12=1,155+1=AH!$U$6),IF(AH!$U$4=0,"unavailable",INDEX('Market Data'!$AN$5:$AN$66,AH!$U$4)),IF(AH!$U$5=1,INDEX('Live History'!$B$5:$B$3004,$K160),INDEX('AH History'!$D$5:$GG$1380,$K160,AH!$U$10))))&gt;0),IF(AND(AH!$U$12=1,155+1=AH!$U$6),IF(AH!$U$4=0,"unavailable",INDEX('Market Data'!$AN$5:$AN$66,AH!$U$4)),IF(AH!$U$5=1,INDEX('Live History'!$B$5:$B$3004,$K160),INDEX('AH History'!$D$5:$GG$1380,$K160,AH!$U$10))),NA()),NA())</f>
        <v/>
      </c>
      <c r="F160" s="32">
        <f>IFERROR(IF(ISNUMBER($A160),IF(AND(AH!$U$12=1,155+1=AH!$U$6),IF(AH!$U$4=0,"unavailable",INDEX('Market Data'!$AO$5:$AO$66,AH!$U$4)),IF(AH!$U$5=1,INDEX('Live History'!$E$5:$E$3004,MATCH($A160,'Live History'!$D$5:$D$3004,1)),INDEX('AH History'!$D$5:$GG$1380,$K160,AH!$U$10+1))),NA()),NA())</f>
        <v/>
      </c>
      <c r="G160" s="34">
        <f>IFERROR(IF(ISNUMBER($A160),IF(AND(AH!$U$12=1,155+1=AH!$U$6),IF(AH!$U$4=0,"unavailable",INDEX('Market Data'!$AK$5:$AK$66,AH!$U$4)),IF(AH!$U$5=1,INDEX('Live History'!$D$5:$D$3004,MATCH($A160,'Live History'!$D$5:$D$3004,1)),INDEX('AH History'!$D$5:$GG$1380,$K160,AH!$U$10+2))),NA()),NA())</f>
        <v/>
      </c>
      <c r="H160" s="266">
        <f>IFERROR(IF(ISNUMBER($A160),IF(AND(AH!$U$12=1,155+1=AH!$U$6),IF(AH!$U$4=0,"unavailable",INDEX('Market Data'!$AP$5:$AP$66,AH!$U$4)),IF(AH!$U$5=1,INDEX('Live History'!$H$5:$H$3004,MATCH($A160,'Live History'!$G$5:$G$3004,1)),INDEX('AH History'!$B$5:$B$1380,$K160))),NA()),NA())</f>
        <v/>
      </c>
      <c r="I160" s="34">
        <f>IFERROR(IF(ISNUMBER($A160),IF(AND(AH!$U$12=1,155+1=AH!$U$6),TODAY(),IF(AH!$U$5=1,INDEX('Live History'!$G$5:$G$3004,MATCH($A160,'Live History'!$G$5:$G$3004,1)),INDEX('AH History'!$C$5:$C$1380,$K160))),NA()),NA())</f>
        <v/>
      </c>
      <c r="J160" s="32">
        <f>IFERROR(IF(AND($F160&gt;0,$H160&gt;0,$A160-$G160&lt;=10,$A160-$I160&lt;=5,$G160&gt;0,$I160&gt;0),$F160*$H160,NA()),NA())</f>
        <v/>
      </c>
      <c r="K160" s="15">
        <f>IF($A160="","",IF(AH!$U$5=1,IFERROR(MATCH($A160,'Live History'!$A$5:$A$3004,0),0),AH!$U$7+155))</f>
        <v/>
      </c>
      <c r="L160" s="15">
        <f>IF(ISNUMBER(A160),TEXT(A160,"dd-mmm-yy"),"")</f>
        <v/>
      </c>
    </row>
    <row r="161">
      <c r="A161" s="14">
        <f>IF(OR(AH!$U$4=0,156+1&gt;AH!$U$6,AND(AH!$M$5="Bloomberg",AH!$U$5=0)),"",IFERROR(IF(AND(AH!$U$12=1,156+1=AH!$U$6),TODAY(),IF(AH!$U$5=1,INDEX('Live History'!$A$5:$A$3004,AH!$U$7+156),INDEX('AH History'!$A$5:$A$1380,AH!$U$7+156))),""))</f>
        <v/>
      </c>
      <c r="B161" s="33">
        <f>IFERROR(IF(AH!$U$11=1,NA(),$J161/$E161-1),NA())</f>
        <v/>
      </c>
      <c r="C161" s="269">
        <f>IFERROR(100*$E161/$E$5,NA())</f>
        <v/>
      </c>
      <c r="D161" s="269">
        <f>IFERROR(100*$J161/$J$5,NA())</f>
        <v/>
      </c>
      <c r="E161" s="32">
        <f>IFERROR(IF(AND(ISNUMBER($A161),N(IF(AND(AH!$U$12=1,156+1=AH!$U$6),IF(AH!$U$4=0,"unavailable",INDEX('Market Data'!$AN$5:$AN$66,AH!$U$4)),IF(AH!$U$5=1,INDEX('Live History'!$B$5:$B$3004,$K161),INDEX('AH History'!$D$5:$GG$1380,$K161,AH!$U$10))))&gt;0),IF(AND(AH!$U$12=1,156+1=AH!$U$6),IF(AH!$U$4=0,"unavailable",INDEX('Market Data'!$AN$5:$AN$66,AH!$U$4)),IF(AH!$U$5=1,INDEX('Live History'!$B$5:$B$3004,$K161),INDEX('AH History'!$D$5:$GG$1380,$K161,AH!$U$10))),NA()),NA())</f>
        <v/>
      </c>
      <c r="F161" s="32">
        <f>IFERROR(IF(ISNUMBER($A161),IF(AND(AH!$U$12=1,156+1=AH!$U$6),IF(AH!$U$4=0,"unavailable",INDEX('Market Data'!$AO$5:$AO$66,AH!$U$4)),IF(AH!$U$5=1,INDEX('Live History'!$E$5:$E$3004,MATCH($A161,'Live History'!$D$5:$D$3004,1)),INDEX('AH History'!$D$5:$GG$1380,$K161,AH!$U$10+1))),NA()),NA())</f>
        <v/>
      </c>
      <c r="G161" s="34">
        <f>IFERROR(IF(ISNUMBER($A161),IF(AND(AH!$U$12=1,156+1=AH!$U$6),IF(AH!$U$4=0,"unavailable",INDEX('Market Data'!$AK$5:$AK$66,AH!$U$4)),IF(AH!$U$5=1,INDEX('Live History'!$D$5:$D$3004,MATCH($A161,'Live History'!$D$5:$D$3004,1)),INDEX('AH History'!$D$5:$GG$1380,$K161,AH!$U$10+2))),NA()),NA())</f>
        <v/>
      </c>
      <c r="H161" s="266">
        <f>IFERROR(IF(ISNUMBER($A161),IF(AND(AH!$U$12=1,156+1=AH!$U$6),IF(AH!$U$4=0,"unavailable",INDEX('Market Data'!$AP$5:$AP$66,AH!$U$4)),IF(AH!$U$5=1,INDEX('Live History'!$H$5:$H$3004,MATCH($A161,'Live History'!$G$5:$G$3004,1)),INDEX('AH History'!$B$5:$B$1380,$K161))),NA()),NA())</f>
        <v/>
      </c>
      <c r="I161" s="34">
        <f>IFERROR(IF(ISNUMBER($A161),IF(AND(AH!$U$12=1,156+1=AH!$U$6),TODAY(),IF(AH!$U$5=1,INDEX('Live History'!$G$5:$G$3004,MATCH($A161,'Live History'!$G$5:$G$3004,1)),INDEX('AH History'!$C$5:$C$1380,$K161))),NA()),NA())</f>
        <v/>
      </c>
      <c r="J161" s="32">
        <f>IFERROR(IF(AND($F161&gt;0,$H161&gt;0,$A161-$G161&lt;=10,$A161-$I161&lt;=5,$G161&gt;0,$I161&gt;0),$F161*$H161,NA()),NA())</f>
        <v/>
      </c>
      <c r="K161" s="15">
        <f>IF($A161="","",IF(AH!$U$5=1,IFERROR(MATCH($A161,'Live History'!$A$5:$A$3004,0),0),AH!$U$7+156))</f>
        <v/>
      </c>
      <c r="L161" s="15">
        <f>IF(ISNUMBER(A161),TEXT(A161,"dd-mmm-yy"),"")</f>
        <v/>
      </c>
    </row>
    <row r="162">
      <c r="A162" s="14">
        <f>IF(OR(AH!$U$4=0,157+1&gt;AH!$U$6,AND(AH!$M$5="Bloomberg",AH!$U$5=0)),"",IFERROR(IF(AND(AH!$U$12=1,157+1=AH!$U$6),TODAY(),IF(AH!$U$5=1,INDEX('Live History'!$A$5:$A$3004,AH!$U$7+157),INDEX('AH History'!$A$5:$A$1380,AH!$U$7+157))),""))</f>
        <v/>
      </c>
      <c r="B162" s="33">
        <f>IFERROR(IF(AH!$U$11=1,NA(),$J162/$E162-1),NA())</f>
        <v/>
      </c>
      <c r="C162" s="269">
        <f>IFERROR(100*$E162/$E$5,NA())</f>
        <v/>
      </c>
      <c r="D162" s="269">
        <f>IFERROR(100*$J162/$J$5,NA())</f>
        <v/>
      </c>
      <c r="E162" s="32">
        <f>IFERROR(IF(AND(ISNUMBER($A162),N(IF(AND(AH!$U$12=1,157+1=AH!$U$6),IF(AH!$U$4=0,"unavailable",INDEX('Market Data'!$AN$5:$AN$66,AH!$U$4)),IF(AH!$U$5=1,INDEX('Live History'!$B$5:$B$3004,$K162),INDEX('AH History'!$D$5:$GG$1380,$K162,AH!$U$10))))&gt;0),IF(AND(AH!$U$12=1,157+1=AH!$U$6),IF(AH!$U$4=0,"unavailable",INDEX('Market Data'!$AN$5:$AN$66,AH!$U$4)),IF(AH!$U$5=1,INDEX('Live History'!$B$5:$B$3004,$K162),INDEX('AH History'!$D$5:$GG$1380,$K162,AH!$U$10))),NA()),NA())</f>
        <v/>
      </c>
      <c r="F162" s="32">
        <f>IFERROR(IF(ISNUMBER($A162),IF(AND(AH!$U$12=1,157+1=AH!$U$6),IF(AH!$U$4=0,"unavailable",INDEX('Market Data'!$AO$5:$AO$66,AH!$U$4)),IF(AH!$U$5=1,INDEX('Live History'!$E$5:$E$3004,MATCH($A162,'Live History'!$D$5:$D$3004,1)),INDEX('AH History'!$D$5:$GG$1380,$K162,AH!$U$10+1))),NA()),NA())</f>
        <v/>
      </c>
      <c r="G162" s="34">
        <f>IFERROR(IF(ISNUMBER($A162),IF(AND(AH!$U$12=1,157+1=AH!$U$6),IF(AH!$U$4=0,"unavailable",INDEX('Market Data'!$AK$5:$AK$66,AH!$U$4)),IF(AH!$U$5=1,INDEX('Live History'!$D$5:$D$3004,MATCH($A162,'Live History'!$D$5:$D$3004,1)),INDEX('AH History'!$D$5:$GG$1380,$K162,AH!$U$10+2))),NA()),NA())</f>
        <v/>
      </c>
      <c r="H162" s="266">
        <f>IFERROR(IF(ISNUMBER($A162),IF(AND(AH!$U$12=1,157+1=AH!$U$6),IF(AH!$U$4=0,"unavailable",INDEX('Market Data'!$AP$5:$AP$66,AH!$U$4)),IF(AH!$U$5=1,INDEX('Live History'!$H$5:$H$3004,MATCH($A162,'Live History'!$G$5:$G$3004,1)),INDEX('AH History'!$B$5:$B$1380,$K162))),NA()),NA())</f>
        <v/>
      </c>
      <c r="I162" s="34">
        <f>IFERROR(IF(ISNUMBER($A162),IF(AND(AH!$U$12=1,157+1=AH!$U$6),TODAY(),IF(AH!$U$5=1,INDEX('Live History'!$G$5:$G$3004,MATCH($A162,'Live History'!$G$5:$G$3004,1)),INDEX('AH History'!$C$5:$C$1380,$K162))),NA()),NA())</f>
        <v/>
      </c>
      <c r="J162" s="32">
        <f>IFERROR(IF(AND($F162&gt;0,$H162&gt;0,$A162-$G162&lt;=10,$A162-$I162&lt;=5,$G162&gt;0,$I162&gt;0),$F162*$H162,NA()),NA())</f>
        <v/>
      </c>
      <c r="K162" s="15">
        <f>IF($A162="","",IF(AH!$U$5=1,IFERROR(MATCH($A162,'Live History'!$A$5:$A$3004,0),0),AH!$U$7+157))</f>
        <v/>
      </c>
      <c r="L162" s="15">
        <f>IF(ISNUMBER(A162),TEXT(A162,"dd-mmm-yy"),"")</f>
        <v/>
      </c>
    </row>
    <row r="163">
      <c r="A163" s="14">
        <f>IF(OR(AH!$U$4=0,158+1&gt;AH!$U$6,AND(AH!$M$5="Bloomberg",AH!$U$5=0)),"",IFERROR(IF(AND(AH!$U$12=1,158+1=AH!$U$6),TODAY(),IF(AH!$U$5=1,INDEX('Live History'!$A$5:$A$3004,AH!$U$7+158),INDEX('AH History'!$A$5:$A$1380,AH!$U$7+158))),""))</f>
        <v/>
      </c>
      <c r="B163" s="33">
        <f>IFERROR(IF(AH!$U$11=1,NA(),$J163/$E163-1),NA())</f>
        <v/>
      </c>
      <c r="C163" s="269">
        <f>IFERROR(100*$E163/$E$5,NA())</f>
        <v/>
      </c>
      <c r="D163" s="269">
        <f>IFERROR(100*$J163/$J$5,NA())</f>
        <v/>
      </c>
      <c r="E163" s="32">
        <f>IFERROR(IF(AND(ISNUMBER($A163),N(IF(AND(AH!$U$12=1,158+1=AH!$U$6),IF(AH!$U$4=0,"unavailable",INDEX('Market Data'!$AN$5:$AN$66,AH!$U$4)),IF(AH!$U$5=1,INDEX('Live History'!$B$5:$B$3004,$K163),INDEX('AH History'!$D$5:$GG$1380,$K163,AH!$U$10))))&gt;0),IF(AND(AH!$U$12=1,158+1=AH!$U$6),IF(AH!$U$4=0,"unavailable",INDEX('Market Data'!$AN$5:$AN$66,AH!$U$4)),IF(AH!$U$5=1,INDEX('Live History'!$B$5:$B$3004,$K163),INDEX('AH History'!$D$5:$GG$1380,$K163,AH!$U$10))),NA()),NA())</f>
        <v/>
      </c>
      <c r="F163" s="32">
        <f>IFERROR(IF(ISNUMBER($A163),IF(AND(AH!$U$12=1,158+1=AH!$U$6),IF(AH!$U$4=0,"unavailable",INDEX('Market Data'!$AO$5:$AO$66,AH!$U$4)),IF(AH!$U$5=1,INDEX('Live History'!$E$5:$E$3004,MATCH($A163,'Live History'!$D$5:$D$3004,1)),INDEX('AH History'!$D$5:$GG$1380,$K163,AH!$U$10+1))),NA()),NA())</f>
        <v/>
      </c>
      <c r="G163" s="34">
        <f>IFERROR(IF(ISNUMBER($A163),IF(AND(AH!$U$12=1,158+1=AH!$U$6),IF(AH!$U$4=0,"unavailable",INDEX('Market Data'!$AK$5:$AK$66,AH!$U$4)),IF(AH!$U$5=1,INDEX('Live History'!$D$5:$D$3004,MATCH($A163,'Live History'!$D$5:$D$3004,1)),INDEX('AH History'!$D$5:$GG$1380,$K163,AH!$U$10+2))),NA()),NA())</f>
        <v/>
      </c>
      <c r="H163" s="266">
        <f>IFERROR(IF(ISNUMBER($A163),IF(AND(AH!$U$12=1,158+1=AH!$U$6),IF(AH!$U$4=0,"unavailable",INDEX('Market Data'!$AP$5:$AP$66,AH!$U$4)),IF(AH!$U$5=1,INDEX('Live History'!$H$5:$H$3004,MATCH($A163,'Live History'!$G$5:$G$3004,1)),INDEX('AH History'!$B$5:$B$1380,$K163))),NA()),NA())</f>
        <v/>
      </c>
      <c r="I163" s="34">
        <f>IFERROR(IF(ISNUMBER($A163),IF(AND(AH!$U$12=1,158+1=AH!$U$6),TODAY(),IF(AH!$U$5=1,INDEX('Live History'!$G$5:$G$3004,MATCH($A163,'Live History'!$G$5:$G$3004,1)),INDEX('AH History'!$C$5:$C$1380,$K163))),NA()),NA())</f>
        <v/>
      </c>
      <c r="J163" s="32">
        <f>IFERROR(IF(AND($F163&gt;0,$H163&gt;0,$A163-$G163&lt;=10,$A163-$I163&lt;=5,$G163&gt;0,$I163&gt;0),$F163*$H163,NA()),NA())</f>
        <v/>
      </c>
      <c r="K163" s="15">
        <f>IF($A163="","",IF(AH!$U$5=1,IFERROR(MATCH($A163,'Live History'!$A$5:$A$3004,0),0),AH!$U$7+158))</f>
        <v/>
      </c>
      <c r="L163" s="15">
        <f>IF(ISNUMBER(A163),TEXT(A163,"dd-mmm-yy"),"")</f>
        <v/>
      </c>
    </row>
    <row r="164">
      <c r="A164" s="14">
        <f>IF(OR(AH!$U$4=0,159+1&gt;AH!$U$6,AND(AH!$M$5="Bloomberg",AH!$U$5=0)),"",IFERROR(IF(AND(AH!$U$12=1,159+1=AH!$U$6),TODAY(),IF(AH!$U$5=1,INDEX('Live History'!$A$5:$A$3004,AH!$U$7+159),INDEX('AH History'!$A$5:$A$1380,AH!$U$7+159))),""))</f>
        <v/>
      </c>
      <c r="B164" s="33">
        <f>IFERROR(IF(AH!$U$11=1,NA(),$J164/$E164-1),NA())</f>
        <v/>
      </c>
      <c r="C164" s="269">
        <f>IFERROR(100*$E164/$E$5,NA())</f>
        <v/>
      </c>
      <c r="D164" s="269">
        <f>IFERROR(100*$J164/$J$5,NA())</f>
        <v/>
      </c>
      <c r="E164" s="32">
        <f>IFERROR(IF(AND(ISNUMBER($A164),N(IF(AND(AH!$U$12=1,159+1=AH!$U$6),IF(AH!$U$4=0,"unavailable",INDEX('Market Data'!$AN$5:$AN$66,AH!$U$4)),IF(AH!$U$5=1,INDEX('Live History'!$B$5:$B$3004,$K164),INDEX('AH History'!$D$5:$GG$1380,$K164,AH!$U$10))))&gt;0),IF(AND(AH!$U$12=1,159+1=AH!$U$6),IF(AH!$U$4=0,"unavailable",INDEX('Market Data'!$AN$5:$AN$66,AH!$U$4)),IF(AH!$U$5=1,INDEX('Live History'!$B$5:$B$3004,$K164),INDEX('AH History'!$D$5:$GG$1380,$K164,AH!$U$10))),NA()),NA())</f>
        <v/>
      </c>
      <c r="F164" s="32">
        <f>IFERROR(IF(ISNUMBER($A164),IF(AND(AH!$U$12=1,159+1=AH!$U$6),IF(AH!$U$4=0,"unavailable",INDEX('Market Data'!$AO$5:$AO$66,AH!$U$4)),IF(AH!$U$5=1,INDEX('Live History'!$E$5:$E$3004,MATCH($A164,'Live History'!$D$5:$D$3004,1)),INDEX('AH History'!$D$5:$GG$1380,$K164,AH!$U$10+1))),NA()),NA())</f>
        <v/>
      </c>
      <c r="G164" s="34">
        <f>IFERROR(IF(ISNUMBER($A164),IF(AND(AH!$U$12=1,159+1=AH!$U$6),IF(AH!$U$4=0,"unavailable",INDEX('Market Data'!$AK$5:$AK$66,AH!$U$4)),IF(AH!$U$5=1,INDEX('Live History'!$D$5:$D$3004,MATCH($A164,'Live History'!$D$5:$D$3004,1)),INDEX('AH History'!$D$5:$GG$1380,$K164,AH!$U$10+2))),NA()),NA())</f>
        <v/>
      </c>
      <c r="H164" s="266">
        <f>IFERROR(IF(ISNUMBER($A164),IF(AND(AH!$U$12=1,159+1=AH!$U$6),IF(AH!$U$4=0,"unavailable",INDEX('Market Data'!$AP$5:$AP$66,AH!$U$4)),IF(AH!$U$5=1,INDEX('Live History'!$H$5:$H$3004,MATCH($A164,'Live History'!$G$5:$G$3004,1)),INDEX('AH History'!$B$5:$B$1380,$K164))),NA()),NA())</f>
        <v/>
      </c>
      <c r="I164" s="34">
        <f>IFERROR(IF(ISNUMBER($A164),IF(AND(AH!$U$12=1,159+1=AH!$U$6),TODAY(),IF(AH!$U$5=1,INDEX('Live History'!$G$5:$G$3004,MATCH($A164,'Live History'!$G$5:$G$3004,1)),INDEX('AH History'!$C$5:$C$1380,$K164))),NA()),NA())</f>
        <v/>
      </c>
      <c r="J164" s="32">
        <f>IFERROR(IF(AND($F164&gt;0,$H164&gt;0,$A164-$G164&lt;=10,$A164-$I164&lt;=5,$G164&gt;0,$I164&gt;0),$F164*$H164,NA()),NA())</f>
        <v/>
      </c>
      <c r="K164" s="15">
        <f>IF($A164="","",IF(AH!$U$5=1,IFERROR(MATCH($A164,'Live History'!$A$5:$A$3004,0),0),AH!$U$7+159))</f>
        <v/>
      </c>
      <c r="L164" s="15">
        <f>IF(ISNUMBER(A164),TEXT(A164,"dd-mmm-yy"),"")</f>
        <v/>
      </c>
    </row>
    <row r="165">
      <c r="A165" s="14">
        <f>IF(OR(AH!$U$4=0,160+1&gt;AH!$U$6,AND(AH!$M$5="Bloomberg",AH!$U$5=0)),"",IFERROR(IF(AND(AH!$U$12=1,160+1=AH!$U$6),TODAY(),IF(AH!$U$5=1,INDEX('Live History'!$A$5:$A$3004,AH!$U$7+160),INDEX('AH History'!$A$5:$A$1380,AH!$U$7+160))),""))</f>
        <v/>
      </c>
      <c r="B165" s="33">
        <f>IFERROR(IF(AH!$U$11=1,NA(),$J165/$E165-1),NA())</f>
        <v/>
      </c>
      <c r="C165" s="269">
        <f>IFERROR(100*$E165/$E$5,NA())</f>
        <v/>
      </c>
      <c r="D165" s="269">
        <f>IFERROR(100*$J165/$J$5,NA())</f>
        <v/>
      </c>
      <c r="E165" s="32">
        <f>IFERROR(IF(AND(ISNUMBER($A165),N(IF(AND(AH!$U$12=1,160+1=AH!$U$6),IF(AH!$U$4=0,"unavailable",INDEX('Market Data'!$AN$5:$AN$66,AH!$U$4)),IF(AH!$U$5=1,INDEX('Live History'!$B$5:$B$3004,$K165),INDEX('AH History'!$D$5:$GG$1380,$K165,AH!$U$10))))&gt;0),IF(AND(AH!$U$12=1,160+1=AH!$U$6),IF(AH!$U$4=0,"unavailable",INDEX('Market Data'!$AN$5:$AN$66,AH!$U$4)),IF(AH!$U$5=1,INDEX('Live History'!$B$5:$B$3004,$K165),INDEX('AH History'!$D$5:$GG$1380,$K165,AH!$U$10))),NA()),NA())</f>
        <v/>
      </c>
      <c r="F165" s="32">
        <f>IFERROR(IF(ISNUMBER($A165),IF(AND(AH!$U$12=1,160+1=AH!$U$6),IF(AH!$U$4=0,"unavailable",INDEX('Market Data'!$AO$5:$AO$66,AH!$U$4)),IF(AH!$U$5=1,INDEX('Live History'!$E$5:$E$3004,MATCH($A165,'Live History'!$D$5:$D$3004,1)),INDEX('AH History'!$D$5:$GG$1380,$K165,AH!$U$10+1))),NA()),NA())</f>
        <v/>
      </c>
      <c r="G165" s="34">
        <f>IFERROR(IF(ISNUMBER($A165),IF(AND(AH!$U$12=1,160+1=AH!$U$6),IF(AH!$U$4=0,"unavailable",INDEX('Market Data'!$AK$5:$AK$66,AH!$U$4)),IF(AH!$U$5=1,INDEX('Live History'!$D$5:$D$3004,MATCH($A165,'Live History'!$D$5:$D$3004,1)),INDEX('AH History'!$D$5:$GG$1380,$K165,AH!$U$10+2))),NA()),NA())</f>
        <v/>
      </c>
      <c r="H165" s="266">
        <f>IFERROR(IF(ISNUMBER($A165),IF(AND(AH!$U$12=1,160+1=AH!$U$6),IF(AH!$U$4=0,"unavailable",INDEX('Market Data'!$AP$5:$AP$66,AH!$U$4)),IF(AH!$U$5=1,INDEX('Live History'!$H$5:$H$3004,MATCH($A165,'Live History'!$G$5:$G$3004,1)),INDEX('AH History'!$B$5:$B$1380,$K165))),NA()),NA())</f>
        <v/>
      </c>
      <c r="I165" s="34">
        <f>IFERROR(IF(ISNUMBER($A165),IF(AND(AH!$U$12=1,160+1=AH!$U$6),TODAY(),IF(AH!$U$5=1,INDEX('Live History'!$G$5:$G$3004,MATCH($A165,'Live History'!$G$5:$G$3004,1)),INDEX('AH History'!$C$5:$C$1380,$K165))),NA()),NA())</f>
        <v/>
      </c>
      <c r="J165" s="32">
        <f>IFERROR(IF(AND($F165&gt;0,$H165&gt;0,$A165-$G165&lt;=10,$A165-$I165&lt;=5,$G165&gt;0,$I165&gt;0),$F165*$H165,NA()),NA())</f>
        <v/>
      </c>
      <c r="K165" s="15">
        <f>IF($A165="","",IF(AH!$U$5=1,IFERROR(MATCH($A165,'Live History'!$A$5:$A$3004,0),0),AH!$U$7+160))</f>
        <v/>
      </c>
      <c r="L165" s="15">
        <f>IF(ISNUMBER(A165),TEXT(A165,"dd-mmm-yy"),"")</f>
        <v/>
      </c>
    </row>
    <row r="166">
      <c r="A166" s="14">
        <f>IF(OR(AH!$U$4=0,161+1&gt;AH!$U$6,AND(AH!$M$5="Bloomberg",AH!$U$5=0)),"",IFERROR(IF(AND(AH!$U$12=1,161+1=AH!$U$6),TODAY(),IF(AH!$U$5=1,INDEX('Live History'!$A$5:$A$3004,AH!$U$7+161),INDEX('AH History'!$A$5:$A$1380,AH!$U$7+161))),""))</f>
        <v/>
      </c>
      <c r="B166" s="33">
        <f>IFERROR(IF(AH!$U$11=1,NA(),$J166/$E166-1),NA())</f>
        <v/>
      </c>
      <c r="C166" s="269">
        <f>IFERROR(100*$E166/$E$5,NA())</f>
        <v/>
      </c>
      <c r="D166" s="269">
        <f>IFERROR(100*$J166/$J$5,NA())</f>
        <v/>
      </c>
      <c r="E166" s="32">
        <f>IFERROR(IF(AND(ISNUMBER($A166),N(IF(AND(AH!$U$12=1,161+1=AH!$U$6),IF(AH!$U$4=0,"unavailable",INDEX('Market Data'!$AN$5:$AN$66,AH!$U$4)),IF(AH!$U$5=1,INDEX('Live History'!$B$5:$B$3004,$K166),INDEX('AH History'!$D$5:$GG$1380,$K166,AH!$U$10))))&gt;0),IF(AND(AH!$U$12=1,161+1=AH!$U$6),IF(AH!$U$4=0,"unavailable",INDEX('Market Data'!$AN$5:$AN$66,AH!$U$4)),IF(AH!$U$5=1,INDEX('Live History'!$B$5:$B$3004,$K166),INDEX('AH History'!$D$5:$GG$1380,$K166,AH!$U$10))),NA()),NA())</f>
        <v/>
      </c>
      <c r="F166" s="32">
        <f>IFERROR(IF(ISNUMBER($A166),IF(AND(AH!$U$12=1,161+1=AH!$U$6),IF(AH!$U$4=0,"unavailable",INDEX('Market Data'!$AO$5:$AO$66,AH!$U$4)),IF(AH!$U$5=1,INDEX('Live History'!$E$5:$E$3004,MATCH($A166,'Live History'!$D$5:$D$3004,1)),INDEX('AH History'!$D$5:$GG$1380,$K166,AH!$U$10+1))),NA()),NA())</f>
        <v/>
      </c>
      <c r="G166" s="34">
        <f>IFERROR(IF(ISNUMBER($A166),IF(AND(AH!$U$12=1,161+1=AH!$U$6),IF(AH!$U$4=0,"unavailable",INDEX('Market Data'!$AK$5:$AK$66,AH!$U$4)),IF(AH!$U$5=1,INDEX('Live History'!$D$5:$D$3004,MATCH($A166,'Live History'!$D$5:$D$3004,1)),INDEX('AH History'!$D$5:$GG$1380,$K166,AH!$U$10+2))),NA()),NA())</f>
        <v/>
      </c>
      <c r="H166" s="266">
        <f>IFERROR(IF(ISNUMBER($A166),IF(AND(AH!$U$12=1,161+1=AH!$U$6),IF(AH!$U$4=0,"unavailable",INDEX('Market Data'!$AP$5:$AP$66,AH!$U$4)),IF(AH!$U$5=1,INDEX('Live History'!$H$5:$H$3004,MATCH($A166,'Live History'!$G$5:$G$3004,1)),INDEX('AH History'!$B$5:$B$1380,$K166))),NA()),NA())</f>
        <v/>
      </c>
      <c r="I166" s="34">
        <f>IFERROR(IF(ISNUMBER($A166),IF(AND(AH!$U$12=1,161+1=AH!$U$6),TODAY(),IF(AH!$U$5=1,INDEX('Live History'!$G$5:$G$3004,MATCH($A166,'Live History'!$G$5:$G$3004,1)),INDEX('AH History'!$C$5:$C$1380,$K166))),NA()),NA())</f>
        <v/>
      </c>
      <c r="J166" s="32">
        <f>IFERROR(IF(AND($F166&gt;0,$H166&gt;0,$A166-$G166&lt;=10,$A166-$I166&lt;=5,$G166&gt;0,$I166&gt;0),$F166*$H166,NA()),NA())</f>
        <v/>
      </c>
      <c r="K166" s="15">
        <f>IF($A166="","",IF(AH!$U$5=1,IFERROR(MATCH($A166,'Live History'!$A$5:$A$3004,0),0),AH!$U$7+161))</f>
        <v/>
      </c>
      <c r="L166" s="15">
        <f>IF(ISNUMBER(A166),TEXT(A166,"dd-mmm-yy"),"")</f>
        <v/>
      </c>
    </row>
    <row r="167">
      <c r="A167" s="14">
        <f>IF(OR(AH!$U$4=0,162+1&gt;AH!$U$6,AND(AH!$M$5="Bloomberg",AH!$U$5=0)),"",IFERROR(IF(AND(AH!$U$12=1,162+1=AH!$U$6),TODAY(),IF(AH!$U$5=1,INDEX('Live History'!$A$5:$A$3004,AH!$U$7+162),INDEX('AH History'!$A$5:$A$1380,AH!$U$7+162))),""))</f>
        <v/>
      </c>
      <c r="B167" s="33">
        <f>IFERROR(IF(AH!$U$11=1,NA(),$J167/$E167-1),NA())</f>
        <v/>
      </c>
      <c r="C167" s="269">
        <f>IFERROR(100*$E167/$E$5,NA())</f>
        <v/>
      </c>
      <c r="D167" s="269">
        <f>IFERROR(100*$J167/$J$5,NA())</f>
        <v/>
      </c>
      <c r="E167" s="32">
        <f>IFERROR(IF(AND(ISNUMBER($A167),N(IF(AND(AH!$U$12=1,162+1=AH!$U$6),IF(AH!$U$4=0,"unavailable",INDEX('Market Data'!$AN$5:$AN$66,AH!$U$4)),IF(AH!$U$5=1,INDEX('Live History'!$B$5:$B$3004,$K167),INDEX('AH History'!$D$5:$GG$1380,$K167,AH!$U$10))))&gt;0),IF(AND(AH!$U$12=1,162+1=AH!$U$6),IF(AH!$U$4=0,"unavailable",INDEX('Market Data'!$AN$5:$AN$66,AH!$U$4)),IF(AH!$U$5=1,INDEX('Live History'!$B$5:$B$3004,$K167),INDEX('AH History'!$D$5:$GG$1380,$K167,AH!$U$10))),NA()),NA())</f>
        <v/>
      </c>
      <c r="F167" s="32">
        <f>IFERROR(IF(ISNUMBER($A167),IF(AND(AH!$U$12=1,162+1=AH!$U$6),IF(AH!$U$4=0,"unavailable",INDEX('Market Data'!$AO$5:$AO$66,AH!$U$4)),IF(AH!$U$5=1,INDEX('Live History'!$E$5:$E$3004,MATCH($A167,'Live History'!$D$5:$D$3004,1)),INDEX('AH History'!$D$5:$GG$1380,$K167,AH!$U$10+1))),NA()),NA())</f>
        <v/>
      </c>
      <c r="G167" s="34">
        <f>IFERROR(IF(ISNUMBER($A167),IF(AND(AH!$U$12=1,162+1=AH!$U$6),IF(AH!$U$4=0,"unavailable",INDEX('Market Data'!$AK$5:$AK$66,AH!$U$4)),IF(AH!$U$5=1,INDEX('Live History'!$D$5:$D$3004,MATCH($A167,'Live History'!$D$5:$D$3004,1)),INDEX('AH History'!$D$5:$GG$1380,$K167,AH!$U$10+2))),NA()),NA())</f>
        <v/>
      </c>
      <c r="H167" s="266">
        <f>IFERROR(IF(ISNUMBER($A167),IF(AND(AH!$U$12=1,162+1=AH!$U$6),IF(AH!$U$4=0,"unavailable",INDEX('Market Data'!$AP$5:$AP$66,AH!$U$4)),IF(AH!$U$5=1,INDEX('Live History'!$H$5:$H$3004,MATCH($A167,'Live History'!$G$5:$G$3004,1)),INDEX('AH History'!$B$5:$B$1380,$K167))),NA()),NA())</f>
        <v/>
      </c>
      <c r="I167" s="34">
        <f>IFERROR(IF(ISNUMBER($A167),IF(AND(AH!$U$12=1,162+1=AH!$U$6),TODAY(),IF(AH!$U$5=1,INDEX('Live History'!$G$5:$G$3004,MATCH($A167,'Live History'!$G$5:$G$3004,1)),INDEX('AH History'!$C$5:$C$1380,$K167))),NA()),NA())</f>
        <v/>
      </c>
      <c r="J167" s="32">
        <f>IFERROR(IF(AND($F167&gt;0,$H167&gt;0,$A167-$G167&lt;=10,$A167-$I167&lt;=5,$G167&gt;0,$I167&gt;0),$F167*$H167,NA()),NA())</f>
        <v/>
      </c>
      <c r="K167" s="15">
        <f>IF($A167="","",IF(AH!$U$5=1,IFERROR(MATCH($A167,'Live History'!$A$5:$A$3004,0),0),AH!$U$7+162))</f>
        <v/>
      </c>
      <c r="L167" s="15">
        <f>IF(ISNUMBER(A167),TEXT(A167,"dd-mmm-yy"),"")</f>
        <v/>
      </c>
    </row>
    <row r="168">
      <c r="A168" s="14">
        <f>IF(OR(AH!$U$4=0,163+1&gt;AH!$U$6,AND(AH!$M$5="Bloomberg",AH!$U$5=0)),"",IFERROR(IF(AND(AH!$U$12=1,163+1=AH!$U$6),TODAY(),IF(AH!$U$5=1,INDEX('Live History'!$A$5:$A$3004,AH!$U$7+163),INDEX('AH History'!$A$5:$A$1380,AH!$U$7+163))),""))</f>
        <v/>
      </c>
      <c r="B168" s="33">
        <f>IFERROR(IF(AH!$U$11=1,NA(),$J168/$E168-1),NA())</f>
        <v/>
      </c>
      <c r="C168" s="269">
        <f>IFERROR(100*$E168/$E$5,NA())</f>
        <v/>
      </c>
      <c r="D168" s="269">
        <f>IFERROR(100*$J168/$J$5,NA())</f>
        <v/>
      </c>
      <c r="E168" s="32">
        <f>IFERROR(IF(AND(ISNUMBER($A168),N(IF(AND(AH!$U$12=1,163+1=AH!$U$6),IF(AH!$U$4=0,"unavailable",INDEX('Market Data'!$AN$5:$AN$66,AH!$U$4)),IF(AH!$U$5=1,INDEX('Live History'!$B$5:$B$3004,$K168),INDEX('AH History'!$D$5:$GG$1380,$K168,AH!$U$10))))&gt;0),IF(AND(AH!$U$12=1,163+1=AH!$U$6),IF(AH!$U$4=0,"unavailable",INDEX('Market Data'!$AN$5:$AN$66,AH!$U$4)),IF(AH!$U$5=1,INDEX('Live History'!$B$5:$B$3004,$K168),INDEX('AH History'!$D$5:$GG$1380,$K168,AH!$U$10))),NA()),NA())</f>
        <v/>
      </c>
      <c r="F168" s="32">
        <f>IFERROR(IF(ISNUMBER($A168),IF(AND(AH!$U$12=1,163+1=AH!$U$6),IF(AH!$U$4=0,"unavailable",INDEX('Market Data'!$AO$5:$AO$66,AH!$U$4)),IF(AH!$U$5=1,INDEX('Live History'!$E$5:$E$3004,MATCH($A168,'Live History'!$D$5:$D$3004,1)),INDEX('AH History'!$D$5:$GG$1380,$K168,AH!$U$10+1))),NA()),NA())</f>
        <v/>
      </c>
      <c r="G168" s="34">
        <f>IFERROR(IF(ISNUMBER($A168),IF(AND(AH!$U$12=1,163+1=AH!$U$6),IF(AH!$U$4=0,"unavailable",INDEX('Market Data'!$AK$5:$AK$66,AH!$U$4)),IF(AH!$U$5=1,INDEX('Live History'!$D$5:$D$3004,MATCH($A168,'Live History'!$D$5:$D$3004,1)),INDEX('AH History'!$D$5:$GG$1380,$K168,AH!$U$10+2))),NA()),NA())</f>
        <v/>
      </c>
      <c r="H168" s="266">
        <f>IFERROR(IF(ISNUMBER($A168),IF(AND(AH!$U$12=1,163+1=AH!$U$6),IF(AH!$U$4=0,"unavailable",INDEX('Market Data'!$AP$5:$AP$66,AH!$U$4)),IF(AH!$U$5=1,INDEX('Live History'!$H$5:$H$3004,MATCH($A168,'Live History'!$G$5:$G$3004,1)),INDEX('AH History'!$B$5:$B$1380,$K168))),NA()),NA())</f>
        <v/>
      </c>
      <c r="I168" s="34">
        <f>IFERROR(IF(ISNUMBER($A168),IF(AND(AH!$U$12=1,163+1=AH!$U$6),TODAY(),IF(AH!$U$5=1,INDEX('Live History'!$G$5:$G$3004,MATCH($A168,'Live History'!$G$5:$G$3004,1)),INDEX('AH History'!$C$5:$C$1380,$K168))),NA()),NA())</f>
        <v/>
      </c>
      <c r="J168" s="32">
        <f>IFERROR(IF(AND($F168&gt;0,$H168&gt;0,$A168-$G168&lt;=10,$A168-$I168&lt;=5,$G168&gt;0,$I168&gt;0),$F168*$H168,NA()),NA())</f>
        <v/>
      </c>
      <c r="K168" s="15">
        <f>IF($A168="","",IF(AH!$U$5=1,IFERROR(MATCH($A168,'Live History'!$A$5:$A$3004,0),0),AH!$U$7+163))</f>
        <v/>
      </c>
      <c r="L168" s="15">
        <f>IF(ISNUMBER(A168),TEXT(A168,"dd-mmm-yy"),"")</f>
        <v/>
      </c>
    </row>
    <row r="169">
      <c r="A169" s="14">
        <f>IF(OR(AH!$U$4=0,164+1&gt;AH!$U$6,AND(AH!$M$5="Bloomberg",AH!$U$5=0)),"",IFERROR(IF(AND(AH!$U$12=1,164+1=AH!$U$6),TODAY(),IF(AH!$U$5=1,INDEX('Live History'!$A$5:$A$3004,AH!$U$7+164),INDEX('AH History'!$A$5:$A$1380,AH!$U$7+164))),""))</f>
        <v/>
      </c>
      <c r="B169" s="33">
        <f>IFERROR(IF(AH!$U$11=1,NA(),$J169/$E169-1),NA())</f>
        <v/>
      </c>
      <c r="C169" s="269">
        <f>IFERROR(100*$E169/$E$5,NA())</f>
        <v/>
      </c>
      <c r="D169" s="269">
        <f>IFERROR(100*$J169/$J$5,NA())</f>
        <v/>
      </c>
      <c r="E169" s="32">
        <f>IFERROR(IF(AND(ISNUMBER($A169),N(IF(AND(AH!$U$12=1,164+1=AH!$U$6),IF(AH!$U$4=0,"unavailable",INDEX('Market Data'!$AN$5:$AN$66,AH!$U$4)),IF(AH!$U$5=1,INDEX('Live History'!$B$5:$B$3004,$K169),INDEX('AH History'!$D$5:$GG$1380,$K169,AH!$U$10))))&gt;0),IF(AND(AH!$U$12=1,164+1=AH!$U$6),IF(AH!$U$4=0,"unavailable",INDEX('Market Data'!$AN$5:$AN$66,AH!$U$4)),IF(AH!$U$5=1,INDEX('Live History'!$B$5:$B$3004,$K169),INDEX('AH History'!$D$5:$GG$1380,$K169,AH!$U$10))),NA()),NA())</f>
        <v/>
      </c>
      <c r="F169" s="32">
        <f>IFERROR(IF(ISNUMBER($A169),IF(AND(AH!$U$12=1,164+1=AH!$U$6),IF(AH!$U$4=0,"unavailable",INDEX('Market Data'!$AO$5:$AO$66,AH!$U$4)),IF(AH!$U$5=1,INDEX('Live History'!$E$5:$E$3004,MATCH($A169,'Live History'!$D$5:$D$3004,1)),INDEX('AH History'!$D$5:$GG$1380,$K169,AH!$U$10+1))),NA()),NA())</f>
        <v/>
      </c>
      <c r="G169" s="34">
        <f>IFERROR(IF(ISNUMBER($A169),IF(AND(AH!$U$12=1,164+1=AH!$U$6),IF(AH!$U$4=0,"unavailable",INDEX('Market Data'!$AK$5:$AK$66,AH!$U$4)),IF(AH!$U$5=1,INDEX('Live History'!$D$5:$D$3004,MATCH($A169,'Live History'!$D$5:$D$3004,1)),INDEX('AH History'!$D$5:$GG$1380,$K169,AH!$U$10+2))),NA()),NA())</f>
        <v/>
      </c>
      <c r="H169" s="266">
        <f>IFERROR(IF(ISNUMBER($A169),IF(AND(AH!$U$12=1,164+1=AH!$U$6),IF(AH!$U$4=0,"unavailable",INDEX('Market Data'!$AP$5:$AP$66,AH!$U$4)),IF(AH!$U$5=1,INDEX('Live History'!$H$5:$H$3004,MATCH($A169,'Live History'!$G$5:$G$3004,1)),INDEX('AH History'!$B$5:$B$1380,$K169))),NA()),NA())</f>
        <v/>
      </c>
      <c r="I169" s="34">
        <f>IFERROR(IF(ISNUMBER($A169),IF(AND(AH!$U$12=1,164+1=AH!$U$6),TODAY(),IF(AH!$U$5=1,INDEX('Live History'!$G$5:$G$3004,MATCH($A169,'Live History'!$G$5:$G$3004,1)),INDEX('AH History'!$C$5:$C$1380,$K169))),NA()),NA())</f>
        <v/>
      </c>
      <c r="J169" s="32">
        <f>IFERROR(IF(AND($F169&gt;0,$H169&gt;0,$A169-$G169&lt;=10,$A169-$I169&lt;=5,$G169&gt;0,$I169&gt;0),$F169*$H169,NA()),NA())</f>
        <v/>
      </c>
      <c r="K169" s="15">
        <f>IF($A169="","",IF(AH!$U$5=1,IFERROR(MATCH($A169,'Live History'!$A$5:$A$3004,0),0),AH!$U$7+164))</f>
        <v/>
      </c>
      <c r="L169" s="15">
        <f>IF(ISNUMBER(A169),TEXT(A169,"dd-mmm-yy"),"")</f>
        <v/>
      </c>
    </row>
    <row r="170">
      <c r="A170" s="14">
        <f>IF(OR(AH!$U$4=0,165+1&gt;AH!$U$6,AND(AH!$M$5="Bloomberg",AH!$U$5=0)),"",IFERROR(IF(AND(AH!$U$12=1,165+1=AH!$U$6),TODAY(),IF(AH!$U$5=1,INDEX('Live History'!$A$5:$A$3004,AH!$U$7+165),INDEX('AH History'!$A$5:$A$1380,AH!$U$7+165))),""))</f>
        <v/>
      </c>
      <c r="B170" s="33">
        <f>IFERROR(IF(AH!$U$11=1,NA(),$J170/$E170-1),NA())</f>
        <v/>
      </c>
      <c r="C170" s="269">
        <f>IFERROR(100*$E170/$E$5,NA())</f>
        <v/>
      </c>
      <c r="D170" s="269">
        <f>IFERROR(100*$J170/$J$5,NA())</f>
        <v/>
      </c>
      <c r="E170" s="32">
        <f>IFERROR(IF(AND(ISNUMBER($A170),N(IF(AND(AH!$U$12=1,165+1=AH!$U$6),IF(AH!$U$4=0,"unavailable",INDEX('Market Data'!$AN$5:$AN$66,AH!$U$4)),IF(AH!$U$5=1,INDEX('Live History'!$B$5:$B$3004,$K170),INDEX('AH History'!$D$5:$GG$1380,$K170,AH!$U$10))))&gt;0),IF(AND(AH!$U$12=1,165+1=AH!$U$6),IF(AH!$U$4=0,"unavailable",INDEX('Market Data'!$AN$5:$AN$66,AH!$U$4)),IF(AH!$U$5=1,INDEX('Live History'!$B$5:$B$3004,$K170),INDEX('AH History'!$D$5:$GG$1380,$K170,AH!$U$10))),NA()),NA())</f>
        <v/>
      </c>
      <c r="F170" s="32">
        <f>IFERROR(IF(ISNUMBER($A170),IF(AND(AH!$U$12=1,165+1=AH!$U$6),IF(AH!$U$4=0,"unavailable",INDEX('Market Data'!$AO$5:$AO$66,AH!$U$4)),IF(AH!$U$5=1,INDEX('Live History'!$E$5:$E$3004,MATCH($A170,'Live History'!$D$5:$D$3004,1)),INDEX('AH History'!$D$5:$GG$1380,$K170,AH!$U$10+1))),NA()),NA())</f>
        <v/>
      </c>
      <c r="G170" s="34">
        <f>IFERROR(IF(ISNUMBER($A170),IF(AND(AH!$U$12=1,165+1=AH!$U$6),IF(AH!$U$4=0,"unavailable",INDEX('Market Data'!$AK$5:$AK$66,AH!$U$4)),IF(AH!$U$5=1,INDEX('Live History'!$D$5:$D$3004,MATCH($A170,'Live History'!$D$5:$D$3004,1)),INDEX('AH History'!$D$5:$GG$1380,$K170,AH!$U$10+2))),NA()),NA())</f>
        <v/>
      </c>
      <c r="H170" s="266">
        <f>IFERROR(IF(ISNUMBER($A170),IF(AND(AH!$U$12=1,165+1=AH!$U$6),IF(AH!$U$4=0,"unavailable",INDEX('Market Data'!$AP$5:$AP$66,AH!$U$4)),IF(AH!$U$5=1,INDEX('Live History'!$H$5:$H$3004,MATCH($A170,'Live History'!$G$5:$G$3004,1)),INDEX('AH History'!$B$5:$B$1380,$K170))),NA()),NA())</f>
        <v/>
      </c>
      <c r="I170" s="34">
        <f>IFERROR(IF(ISNUMBER($A170),IF(AND(AH!$U$12=1,165+1=AH!$U$6),TODAY(),IF(AH!$U$5=1,INDEX('Live History'!$G$5:$G$3004,MATCH($A170,'Live History'!$G$5:$G$3004,1)),INDEX('AH History'!$C$5:$C$1380,$K170))),NA()),NA())</f>
        <v/>
      </c>
      <c r="J170" s="32">
        <f>IFERROR(IF(AND($F170&gt;0,$H170&gt;0,$A170-$G170&lt;=10,$A170-$I170&lt;=5,$G170&gt;0,$I170&gt;0),$F170*$H170,NA()),NA())</f>
        <v/>
      </c>
      <c r="K170" s="15">
        <f>IF($A170="","",IF(AH!$U$5=1,IFERROR(MATCH($A170,'Live History'!$A$5:$A$3004,0),0),AH!$U$7+165))</f>
        <v/>
      </c>
      <c r="L170" s="15">
        <f>IF(ISNUMBER(A170),TEXT(A170,"dd-mmm-yy"),"")</f>
        <v/>
      </c>
    </row>
    <row r="171">
      <c r="A171" s="14">
        <f>IF(OR(AH!$U$4=0,166+1&gt;AH!$U$6,AND(AH!$M$5="Bloomberg",AH!$U$5=0)),"",IFERROR(IF(AND(AH!$U$12=1,166+1=AH!$U$6),TODAY(),IF(AH!$U$5=1,INDEX('Live History'!$A$5:$A$3004,AH!$U$7+166),INDEX('AH History'!$A$5:$A$1380,AH!$U$7+166))),""))</f>
        <v/>
      </c>
      <c r="B171" s="33">
        <f>IFERROR(IF(AH!$U$11=1,NA(),$J171/$E171-1),NA())</f>
        <v/>
      </c>
      <c r="C171" s="269">
        <f>IFERROR(100*$E171/$E$5,NA())</f>
        <v/>
      </c>
      <c r="D171" s="269">
        <f>IFERROR(100*$J171/$J$5,NA())</f>
        <v/>
      </c>
      <c r="E171" s="32">
        <f>IFERROR(IF(AND(ISNUMBER($A171),N(IF(AND(AH!$U$12=1,166+1=AH!$U$6),IF(AH!$U$4=0,"unavailable",INDEX('Market Data'!$AN$5:$AN$66,AH!$U$4)),IF(AH!$U$5=1,INDEX('Live History'!$B$5:$B$3004,$K171),INDEX('AH History'!$D$5:$GG$1380,$K171,AH!$U$10))))&gt;0),IF(AND(AH!$U$12=1,166+1=AH!$U$6),IF(AH!$U$4=0,"unavailable",INDEX('Market Data'!$AN$5:$AN$66,AH!$U$4)),IF(AH!$U$5=1,INDEX('Live History'!$B$5:$B$3004,$K171),INDEX('AH History'!$D$5:$GG$1380,$K171,AH!$U$10))),NA()),NA())</f>
        <v/>
      </c>
      <c r="F171" s="32">
        <f>IFERROR(IF(ISNUMBER($A171),IF(AND(AH!$U$12=1,166+1=AH!$U$6),IF(AH!$U$4=0,"unavailable",INDEX('Market Data'!$AO$5:$AO$66,AH!$U$4)),IF(AH!$U$5=1,INDEX('Live History'!$E$5:$E$3004,MATCH($A171,'Live History'!$D$5:$D$3004,1)),INDEX('AH History'!$D$5:$GG$1380,$K171,AH!$U$10+1))),NA()),NA())</f>
        <v/>
      </c>
      <c r="G171" s="34">
        <f>IFERROR(IF(ISNUMBER($A171),IF(AND(AH!$U$12=1,166+1=AH!$U$6),IF(AH!$U$4=0,"unavailable",INDEX('Market Data'!$AK$5:$AK$66,AH!$U$4)),IF(AH!$U$5=1,INDEX('Live History'!$D$5:$D$3004,MATCH($A171,'Live History'!$D$5:$D$3004,1)),INDEX('AH History'!$D$5:$GG$1380,$K171,AH!$U$10+2))),NA()),NA())</f>
        <v/>
      </c>
      <c r="H171" s="266">
        <f>IFERROR(IF(ISNUMBER($A171),IF(AND(AH!$U$12=1,166+1=AH!$U$6),IF(AH!$U$4=0,"unavailable",INDEX('Market Data'!$AP$5:$AP$66,AH!$U$4)),IF(AH!$U$5=1,INDEX('Live History'!$H$5:$H$3004,MATCH($A171,'Live History'!$G$5:$G$3004,1)),INDEX('AH History'!$B$5:$B$1380,$K171))),NA()),NA())</f>
        <v/>
      </c>
      <c r="I171" s="34">
        <f>IFERROR(IF(ISNUMBER($A171),IF(AND(AH!$U$12=1,166+1=AH!$U$6),TODAY(),IF(AH!$U$5=1,INDEX('Live History'!$G$5:$G$3004,MATCH($A171,'Live History'!$G$5:$G$3004,1)),INDEX('AH History'!$C$5:$C$1380,$K171))),NA()),NA())</f>
        <v/>
      </c>
      <c r="J171" s="32">
        <f>IFERROR(IF(AND($F171&gt;0,$H171&gt;0,$A171-$G171&lt;=10,$A171-$I171&lt;=5,$G171&gt;0,$I171&gt;0),$F171*$H171,NA()),NA())</f>
        <v/>
      </c>
      <c r="K171" s="15">
        <f>IF($A171="","",IF(AH!$U$5=1,IFERROR(MATCH($A171,'Live History'!$A$5:$A$3004,0),0),AH!$U$7+166))</f>
        <v/>
      </c>
      <c r="L171" s="15">
        <f>IF(ISNUMBER(A171),TEXT(A171,"dd-mmm-yy"),"")</f>
        <v/>
      </c>
    </row>
    <row r="172">
      <c r="A172" s="14">
        <f>IF(OR(AH!$U$4=0,167+1&gt;AH!$U$6,AND(AH!$M$5="Bloomberg",AH!$U$5=0)),"",IFERROR(IF(AND(AH!$U$12=1,167+1=AH!$U$6),TODAY(),IF(AH!$U$5=1,INDEX('Live History'!$A$5:$A$3004,AH!$U$7+167),INDEX('AH History'!$A$5:$A$1380,AH!$U$7+167))),""))</f>
        <v/>
      </c>
      <c r="B172" s="33">
        <f>IFERROR(IF(AH!$U$11=1,NA(),$J172/$E172-1),NA())</f>
        <v/>
      </c>
      <c r="C172" s="269">
        <f>IFERROR(100*$E172/$E$5,NA())</f>
        <v/>
      </c>
      <c r="D172" s="269">
        <f>IFERROR(100*$J172/$J$5,NA())</f>
        <v/>
      </c>
      <c r="E172" s="32">
        <f>IFERROR(IF(AND(ISNUMBER($A172),N(IF(AND(AH!$U$12=1,167+1=AH!$U$6),IF(AH!$U$4=0,"unavailable",INDEX('Market Data'!$AN$5:$AN$66,AH!$U$4)),IF(AH!$U$5=1,INDEX('Live History'!$B$5:$B$3004,$K172),INDEX('AH History'!$D$5:$GG$1380,$K172,AH!$U$10))))&gt;0),IF(AND(AH!$U$12=1,167+1=AH!$U$6),IF(AH!$U$4=0,"unavailable",INDEX('Market Data'!$AN$5:$AN$66,AH!$U$4)),IF(AH!$U$5=1,INDEX('Live History'!$B$5:$B$3004,$K172),INDEX('AH History'!$D$5:$GG$1380,$K172,AH!$U$10))),NA()),NA())</f>
        <v/>
      </c>
      <c r="F172" s="32">
        <f>IFERROR(IF(ISNUMBER($A172),IF(AND(AH!$U$12=1,167+1=AH!$U$6),IF(AH!$U$4=0,"unavailable",INDEX('Market Data'!$AO$5:$AO$66,AH!$U$4)),IF(AH!$U$5=1,INDEX('Live History'!$E$5:$E$3004,MATCH($A172,'Live History'!$D$5:$D$3004,1)),INDEX('AH History'!$D$5:$GG$1380,$K172,AH!$U$10+1))),NA()),NA())</f>
        <v/>
      </c>
      <c r="G172" s="34">
        <f>IFERROR(IF(ISNUMBER($A172),IF(AND(AH!$U$12=1,167+1=AH!$U$6),IF(AH!$U$4=0,"unavailable",INDEX('Market Data'!$AK$5:$AK$66,AH!$U$4)),IF(AH!$U$5=1,INDEX('Live History'!$D$5:$D$3004,MATCH($A172,'Live History'!$D$5:$D$3004,1)),INDEX('AH History'!$D$5:$GG$1380,$K172,AH!$U$10+2))),NA()),NA())</f>
        <v/>
      </c>
      <c r="H172" s="266">
        <f>IFERROR(IF(ISNUMBER($A172),IF(AND(AH!$U$12=1,167+1=AH!$U$6),IF(AH!$U$4=0,"unavailable",INDEX('Market Data'!$AP$5:$AP$66,AH!$U$4)),IF(AH!$U$5=1,INDEX('Live History'!$H$5:$H$3004,MATCH($A172,'Live History'!$G$5:$G$3004,1)),INDEX('AH History'!$B$5:$B$1380,$K172))),NA()),NA())</f>
        <v/>
      </c>
      <c r="I172" s="34">
        <f>IFERROR(IF(ISNUMBER($A172),IF(AND(AH!$U$12=1,167+1=AH!$U$6),TODAY(),IF(AH!$U$5=1,INDEX('Live History'!$G$5:$G$3004,MATCH($A172,'Live History'!$G$5:$G$3004,1)),INDEX('AH History'!$C$5:$C$1380,$K172))),NA()),NA())</f>
        <v/>
      </c>
      <c r="J172" s="32">
        <f>IFERROR(IF(AND($F172&gt;0,$H172&gt;0,$A172-$G172&lt;=10,$A172-$I172&lt;=5,$G172&gt;0,$I172&gt;0),$F172*$H172,NA()),NA())</f>
        <v/>
      </c>
      <c r="K172" s="15">
        <f>IF($A172="","",IF(AH!$U$5=1,IFERROR(MATCH($A172,'Live History'!$A$5:$A$3004,0),0),AH!$U$7+167))</f>
        <v/>
      </c>
      <c r="L172" s="15">
        <f>IF(ISNUMBER(A172),TEXT(A172,"dd-mmm-yy"),"")</f>
        <v/>
      </c>
    </row>
    <row r="173">
      <c r="A173" s="14">
        <f>IF(OR(AH!$U$4=0,168+1&gt;AH!$U$6,AND(AH!$M$5="Bloomberg",AH!$U$5=0)),"",IFERROR(IF(AND(AH!$U$12=1,168+1=AH!$U$6),TODAY(),IF(AH!$U$5=1,INDEX('Live History'!$A$5:$A$3004,AH!$U$7+168),INDEX('AH History'!$A$5:$A$1380,AH!$U$7+168))),""))</f>
        <v/>
      </c>
      <c r="B173" s="33">
        <f>IFERROR(IF(AH!$U$11=1,NA(),$J173/$E173-1),NA())</f>
        <v/>
      </c>
      <c r="C173" s="269">
        <f>IFERROR(100*$E173/$E$5,NA())</f>
        <v/>
      </c>
      <c r="D173" s="269">
        <f>IFERROR(100*$J173/$J$5,NA())</f>
        <v/>
      </c>
      <c r="E173" s="32">
        <f>IFERROR(IF(AND(ISNUMBER($A173),N(IF(AND(AH!$U$12=1,168+1=AH!$U$6),IF(AH!$U$4=0,"unavailable",INDEX('Market Data'!$AN$5:$AN$66,AH!$U$4)),IF(AH!$U$5=1,INDEX('Live History'!$B$5:$B$3004,$K173),INDEX('AH History'!$D$5:$GG$1380,$K173,AH!$U$10))))&gt;0),IF(AND(AH!$U$12=1,168+1=AH!$U$6),IF(AH!$U$4=0,"unavailable",INDEX('Market Data'!$AN$5:$AN$66,AH!$U$4)),IF(AH!$U$5=1,INDEX('Live History'!$B$5:$B$3004,$K173),INDEX('AH History'!$D$5:$GG$1380,$K173,AH!$U$10))),NA()),NA())</f>
        <v/>
      </c>
      <c r="F173" s="32">
        <f>IFERROR(IF(ISNUMBER($A173),IF(AND(AH!$U$12=1,168+1=AH!$U$6),IF(AH!$U$4=0,"unavailable",INDEX('Market Data'!$AO$5:$AO$66,AH!$U$4)),IF(AH!$U$5=1,INDEX('Live History'!$E$5:$E$3004,MATCH($A173,'Live History'!$D$5:$D$3004,1)),INDEX('AH History'!$D$5:$GG$1380,$K173,AH!$U$10+1))),NA()),NA())</f>
        <v/>
      </c>
      <c r="G173" s="34">
        <f>IFERROR(IF(ISNUMBER($A173),IF(AND(AH!$U$12=1,168+1=AH!$U$6),IF(AH!$U$4=0,"unavailable",INDEX('Market Data'!$AK$5:$AK$66,AH!$U$4)),IF(AH!$U$5=1,INDEX('Live History'!$D$5:$D$3004,MATCH($A173,'Live History'!$D$5:$D$3004,1)),INDEX('AH History'!$D$5:$GG$1380,$K173,AH!$U$10+2))),NA()),NA())</f>
        <v/>
      </c>
      <c r="H173" s="266">
        <f>IFERROR(IF(ISNUMBER($A173),IF(AND(AH!$U$12=1,168+1=AH!$U$6),IF(AH!$U$4=0,"unavailable",INDEX('Market Data'!$AP$5:$AP$66,AH!$U$4)),IF(AH!$U$5=1,INDEX('Live History'!$H$5:$H$3004,MATCH($A173,'Live History'!$G$5:$G$3004,1)),INDEX('AH History'!$B$5:$B$1380,$K173))),NA()),NA())</f>
        <v/>
      </c>
      <c r="I173" s="34">
        <f>IFERROR(IF(ISNUMBER($A173),IF(AND(AH!$U$12=1,168+1=AH!$U$6),TODAY(),IF(AH!$U$5=1,INDEX('Live History'!$G$5:$G$3004,MATCH($A173,'Live History'!$G$5:$G$3004,1)),INDEX('AH History'!$C$5:$C$1380,$K173))),NA()),NA())</f>
        <v/>
      </c>
      <c r="J173" s="32">
        <f>IFERROR(IF(AND($F173&gt;0,$H173&gt;0,$A173-$G173&lt;=10,$A173-$I173&lt;=5,$G173&gt;0,$I173&gt;0),$F173*$H173,NA()),NA())</f>
        <v/>
      </c>
      <c r="K173" s="15">
        <f>IF($A173="","",IF(AH!$U$5=1,IFERROR(MATCH($A173,'Live History'!$A$5:$A$3004,0),0),AH!$U$7+168))</f>
        <v/>
      </c>
      <c r="L173" s="15">
        <f>IF(ISNUMBER(A173),TEXT(A173,"dd-mmm-yy"),"")</f>
        <v/>
      </c>
    </row>
    <row r="174">
      <c r="A174" s="14">
        <f>IF(OR(AH!$U$4=0,169+1&gt;AH!$U$6,AND(AH!$M$5="Bloomberg",AH!$U$5=0)),"",IFERROR(IF(AND(AH!$U$12=1,169+1=AH!$U$6),TODAY(),IF(AH!$U$5=1,INDEX('Live History'!$A$5:$A$3004,AH!$U$7+169),INDEX('AH History'!$A$5:$A$1380,AH!$U$7+169))),""))</f>
        <v/>
      </c>
      <c r="B174" s="33">
        <f>IFERROR(IF(AH!$U$11=1,NA(),$J174/$E174-1),NA())</f>
        <v/>
      </c>
      <c r="C174" s="269">
        <f>IFERROR(100*$E174/$E$5,NA())</f>
        <v/>
      </c>
      <c r="D174" s="269">
        <f>IFERROR(100*$J174/$J$5,NA())</f>
        <v/>
      </c>
      <c r="E174" s="32">
        <f>IFERROR(IF(AND(ISNUMBER($A174),N(IF(AND(AH!$U$12=1,169+1=AH!$U$6),IF(AH!$U$4=0,"unavailable",INDEX('Market Data'!$AN$5:$AN$66,AH!$U$4)),IF(AH!$U$5=1,INDEX('Live History'!$B$5:$B$3004,$K174),INDEX('AH History'!$D$5:$GG$1380,$K174,AH!$U$10))))&gt;0),IF(AND(AH!$U$12=1,169+1=AH!$U$6),IF(AH!$U$4=0,"unavailable",INDEX('Market Data'!$AN$5:$AN$66,AH!$U$4)),IF(AH!$U$5=1,INDEX('Live History'!$B$5:$B$3004,$K174),INDEX('AH History'!$D$5:$GG$1380,$K174,AH!$U$10))),NA()),NA())</f>
        <v/>
      </c>
      <c r="F174" s="32">
        <f>IFERROR(IF(ISNUMBER($A174),IF(AND(AH!$U$12=1,169+1=AH!$U$6),IF(AH!$U$4=0,"unavailable",INDEX('Market Data'!$AO$5:$AO$66,AH!$U$4)),IF(AH!$U$5=1,INDEX('Live History'!$E$5:$E$3004,MATCH($A174,'Live History'!$D$5:$D$3004,1)),INDEX('AH History'!$D$5:$GG$1380,$K174,AH!$U$10+1))),NA()),NA())</f>
        <v/>
      </c>
      <c r="G174" s="34">
        <f>IFERROR(IF(ISNUMBER($A174),IF(AND(AH!$U$12=1,169+1=AH!$U$6),IF(AH!$U$4=0,"unavailable",INDEX('Market Data'!$AK$5:$AK$66,AH!$U$4)),IF(AH!$U$5=1,INDEX('Live History'!$D$5:$D$3004,MATCH($A174,'Live History'!$D$5:$D$3004,1)),INDEX('AH History'!$D$5:$GG$1380,$K174,AH!$U$10+2))),NA()),NA())</f>
        <v/>
      </c>
      <c r="H174" s="266">
        <f>IFERROR(IF(ISNUMBER($A174),IF(AND(AH!$U$12=1,169+1=AH!$U$6),IF(AH!$U$4=0,"unavailable",INDEX('Market Data'!$AP$5:$AP$66,AH!$U$4)),IF(AH!$U$5=1,INDEX('Live History'!$H$5:$H$3004,MATCH($A174,'Live History'!$G$5:$G$3004,1)),INDEX('AH History'!$B$5:$B$1380,$K174))),NA()),NA())</f>
        <v/>
      </c>
      <c r="I174" s="34">
        <f>IFERROR(IF(ISNUMBER($A174),IF(AND(AH!$U$12=1,169+1=AH!$U$6),TODAY(),IF(AH!$U$5=1,INDEX('Live History'!$G$5:$G$3004,MATCH($A174,'Live History'!$G$5:$G$3004,1)),INDEX('AH History'!$C$5:$C$1380,$K174))),NA()),NA())</f>
        <v/>
      </c>
      <c r="J174" s="32">
        <f>IFERROR(IF(AND($F174&gt;0,$H174&gt;0,$A174-$G174&lt;=10,$A174-$I174&lt;=5,$G174&gt;0,$I174&gt;0),$F174*$H174,NA()),NA())</f>
        <v/>
      </c>
      <c r="K174" s="15">
        <f>IF($A174="","",IF(AH!$U$5=1,IFERROR(MATCH($A174,'Live History'!$A$5:$A$3004,0),0),AH!$U$7+169))</f>
        <v/>
      </c>
      <c r="L174" s="15">
        <f>IF(ISNUMBER(A174),TEXT(A174,"dd-mmm-yy"),"")</f>
        <v/>
      </c>
    </row>
    <row r="175">
      <c r="A175" s="14">
        <f>IF(OR(AH!$U$4=0,170+1&gt;AH!$U$6,AND(AH!$M$5="Bloomberg",AH!$U$5=0)),"",IFERROR(IF(AND(AH!$U$12=1,170+1=AH!$U$6),TODAY(),IF(AH!$U$5=1,INDEX('Live History'!$A$5:$A$3004,AH!$U$7+170),INDEX('AH History'!$A$5:$A$1380,AH!$U$7+170))),""))</f>
        <v/>
      </c>
      <c r="B175" s="33">
        <f>IFERROR(IF(AH!$U$11=1,NA(),$J175/$E175-1),NA())</f>
        <v/>
      </c>
      <c r="C175" s="269">
        <f>IFERROR(100*$E175/$E$5,NA())</f>
        <v/>
      </c>
      <c r="D175" s="269">
        <f>IFERROR(100*$J175/$J$5,NA())</f>
        <v/>
      </c>
      <c r="E175" s="32">
        <f>IFERROR(IF(AND(ISNUMBER($A175),N(IF(AND(AH!$U$12=1,170+1=AH!$U$6),IF(AH!$U$4=0,"unavailable",INDEX('Market Data'!$AN$5:$AN$66,AH!$U$4)),IF(AH!$U$5=1,INDEX('Live History'!$B$5:$B$3004,$K175),INDEX('AH History'!$D$5:$GG$1380,$K175,AH!$U$10))))&gt;0),IF(AND(AH!$U$12=1,170+1=AH!$U$6),IF(AH!$U$4=0,"unavailable",INDEX('Market Data'!$AN$5:$AN$66,AH!$U$4)),IF(AH!$U$5=1,INDEX('Live History'!$B$5:$B$3004,$K175),INDEX('AH History'!$D$5:$GG$1380,$K175,AH!$U$10))),NA()),NA())</f>
        <v/>
      </c>
      <c r="F175" s="32">
        <f>IFERROR(IF(ISNUMBER($A175),IF(AND(AH!$U$12=1,170+1=AH!$U$6),IF(AH!$U$4=0,"unavailable",INDEX('Market Data'!$AO$5:$AO$66,AH!$U$4)),IF(AH!$U$5=1,INDEX('Live History'!$E$5:$E$3004,MATCH($A175,'Live History'!$D$5:$D$3004,1)),INDEX('AH History'!$D$5:$GG$1380,$K175,AH!$U$10+1))),NA()),NA())</f>
        <v/>
      </c>
      <c r="G175" s="34">
        <f>IFERROR(IF(ISNUMBER($A175),IF(AND(AH!$U$12=1,170+1=AH!$U$6),IF(AH!$U$4=0,"unavailable",INDEX('Market Data'!$AK$5:$AK$66,AH!$U$4)),IF(AH!$U$5=1,INDEX('Live History'!$D$5:$D$3004,MATCH($A175,'Live History'!$D$5:$D$3004,1)),INDEX('AH History'!$D$5:$GG$1380,$K175,AH!$U$10+2))),NA()),NA())</f>
        <v/>
      </c>
      <c r="H175" s="266">
        <f>IFERROR(IF(ISNUMBER($A175),IF(AND(AH!$U$12=1,170+1=AH!$U$6),IF(AH!$U$4=0,"unavailable",INDEX('Market Data'!$AP$5:$AP$66,AH!$U$4)),IF(AH!$U$5=1,INDEX('Live History'!$H$5:$H$3004,MATCH($A175,'Live History'!$G$5:$G$3004,1)),INDEX('AH History'!$B$5:$B$1380,$K175))),NA()),NA())</f>
        <v/>
      </c>
      <c r="I175" s="34">
        <f>IFERROR(IF(ISNUMBER($A175),IF(AND(AH!$U$12=1,170+1=AH!$U$6),TODAY(),IF(AH!$U$5=1,INDEX('Live History'!$G$5:$G$3004,MATCH($A175,'Live History'!$G$5:$G$3004,1)),INDEX('AH History'!$C$5:$C$1380,$K175))),NA()),NA())</f>
        <v/>
      </c>
      <c r="J175" s="32">
        <f>IFERROR(IF(AND($F175&gt;0,$H175&gt;0,$A175-$G175&lt;=10,$A175-$I175&lt;=5,$G175&gt;0,$I175&gt;0),$F175*$H175,NA()),NA())</f>
        <v/>
      </c>
      <c r="K175" s="15">
        <f>IF($A175="","",IF(AH!$U$5=1,IFERROR(MATCH($A175,'Live History'!$A$5:$A$3004,0),0),AH!$U$7+170))</f>
        <v/>
      </c>
      <c r="L175" s="15">
        <f>IF(ISNUMBER(A175),TEXT(A175,"dd-mmm-yy"),"")</f>
        <v/>
      </c>
    </row>
    <row r="176">
      <c r="A176" s="14">
        <f>IF(OR(AH!$U$4=0,171+1&gt;AH!$U$6,AND(AH!$M$5="Bloomberg",AH!$U$5=0)),"",IFERROR(IF(AND(AH!$U$12=1,171+1=AH!$U$6),TODAY(),IF(AH!$U$5=1,INDEX('Live History'!$A$5:$A$3004,AH!$U$7+171),INDEX('AH History'!$A$5:$A$1380,AH!$U$7+171))),""))</f>
        <v/>
      </c>
      <c r="B176" s="33">
        <f>IFERROR(IF(AH!$U$11=1,NA(),$J176/$E176-1),NA())</f>
        <v/>
      </c>
      <c r="C176" s="269">
        <f>IFERROR(100*$E176/$E$5,NA())</f>
        <v/>
      </c>
      <c r="D176" s="269">
        <f>IFERROR(100*$J176/$J$5,NA())</f>
        <v/>
      </c>
      <c r="E176" s="32">
        <f>IFERROR(IF(AND(ISNUMBER($A176),N(IF(AND(AH!$U$12=1,171+1=AH!$U$6),IF(AH!$U$4=0,"unavailable",INDEX('Market Data'!$AN$5:$AN$66,AH!$U$4)),IF(AH!$U$5=1,INDEX('Live History'!$B$5:$B$3004,$K176),INDEX('AH History'!$D$5:$GG$1380,$K176,AH!$U$10))))&gt;0),IF(AND(AH!$U$12=1,171+1=AH!$U$6),IF(AH!$U$4=0,"unavailable",INDEX('Market Data'!$AN$5:$AN$66,AH!$U$4)),IF(AH!$U$5=1,INDEX('Live History'!$B$5:$B$3004,$K176),INDEX('AH History'!$D$5:$GG$1380,$K176,AH!$U$10))),NA()),NA())</f>
        <v/>
      </c>
      <c r="F176" s="32">
        <f>IFERROR(IF(ISNUMBER($A176),IF(AND(AH!$U$12=1,171+1=AH!$U$6),IF(AH!$U$4=0,"unavailable",INDEX('Market Data'!$AO$5:$AO$66,AH!$U$4)),IF(AH!$U$5=1,INDEX('Live History'!$E$5:$E$3004,MATCH($A176,'Live History'!$D$5:$D$3004,1)),INDEX('AH History'!$D$5:$GG$1380,$K176,AH!$U$10+1))),NA()),NA())</f>
        <v/>
      </c>
      <c r="G176" s="34">
        <f>IFERROR(IF(ISNUMBER($A176),IF(AND(AH!$U$12=1,171+1=AH!$U$6),IF(AH!$U$4=0,"unavailable",INDEX('Market Data'!$AK$5:$AK$66,AH!$U$4)),IF(AH!$U$5=1,INDEX('Live History'!$D$5:$D$3004,MATCH($A176,'Live History'!$D$5:$D$3004,1)),INDEX('AH History'!$D$5:$GG$1380,$K176,AH!$U$10+2))),NA()),NA())</f>
        <v/>
      </c>
      <c r="H176" s="266">
        <f>IFERROR(IF(ISNUMBER($A176),IF(AND(AH!$U$12=1,171+1=AH!$U$6),IF(AH!$U$4=0,"unavailable",INDEX('Market Data'!$AP$5:$AP$66,AH!$U$4)),IF(AH!$U$5=1,INDEX('Live History'!$H$5:$H$3004,MATCH($A176,'Live History'!$G$5:$G$3004,1)),INDEX('AH History'!$B$5:$B$1380,$K176))),NA()),NA())</f>
        <v/>
      </c>
      <c r="I176" s="34">
        <f>IFERROR(IF(ISNUMBER($A176),IF(AND(AH!$U$12=1,171+1=AH!$U$6),TODAY(),IF(AH!$U$5=1,INDEX('Live History'!$G$5:$G$3004,MATCH($A176,'Live History'!$G$5:$G$3004,1)),INDEX('AH History'!$C$5:$C$1380,$K176))),NA()),NA())</f>
        <v/>
      </c>
      <c r="J176" s="32">
        <f>IFERROR(IF(AND($F176&gt;0,$H176&gt;0,$A176-$G176&lt;=10,$A176-$I176&lt;=5,$G176&gt;0,$I176&gt;0),$F176*$H176,NA()),NA())</f>
        <v/>
      </c>
      <c r="K176" s="15">
        <f>IF($A176="","",IF(AH!$U$5=1,IFERROR(MATCH($A176,'Live History'!$A$5:$A$3004,0),0),AH!$U$7+171))</f>
        <v/>
      </c>
      <c r="L176" s="15">
        <f>IF(ISNUMBER(A176),TEXT(A176,"dd-mmm-yy"),"")</f>
        <v/>
      </c>
    </row>
    <row r="177">
      <c r="A177" s="14">
        <f>IF(OR(AH!$U$4=0,172+1&gt;AH!$U$6,AND(AH!$M$5="Bloomberg",AH!$U$5=0)),"",IFERROR(IF(AND(AH!$U$12=1,172+1=AH!$U$6),TODAY(),IF(AH!$U$5=1,INDEX('Live History'!$A$5:$A$3004,AH!$U$7+172),INDEX('AH History'!$A$5:$A$1380,AH!$U$7+172))),""))</f>
        <v/>
      </c>
      <c r="B177" s="33">
        <f>IFERROR(IF(AH!$U$11=1,NA(),$J177/$E177-1),NA())</f>
        <v/>
      </c>
      <c r="C177" s="269">
        <f>IFERROR(100*$E177/$E$5,NA())</f>
        <v/>
      </c>
      <c r="D177" s="269">
        <f>IFERROR(100*$J177/$J$5,NA())</f>
        <v/>
      </c>
      <c r="E177" s="32">
        <f>IFERROR(IF(AND(ISNUMBER($A177),N(IF(AND(AH!$U$12=1,172+1=AH!$U$6),IF(AH!$U$4=0,"unavailable",INDEX('Market Data'!$AN$5:$AN$66,AH!$U$4)),IF(AH!$U$5=1,INDEX('Live History'!$B$5:$B$3004,$K177),INDEX('AH History'!$D$5:$GG$1380,$K177,AH!$U$10))))&gt;0),IF(AND(AH!$U$12=1,172+1=AH!$U$6),IF(AH!$U$4=0,"unavailable",INDEX('Market Data'!$AN$5:$AN$66,AH!$U$4)),IF(AH!$U$5=1,INDEX('Live History'!$B$5:$B$3004,$K177),INDEX('AH History'!$D$5:$GG$1380,$K177,AH!$U$10))),NA()),NA())</f>
        <v/>
      </c>
      <c r="F177" s="32">
        <f>IFERROR(IF(ISNUMBER($A177),IF(AND(AH!$U$12=1,172+1=AH!$U$6),IF(AH!$U$4=0,"unavailable",INDEX('Market Data'!$AO$5:$AO$66,AH!$U$4)),IF(AH!$U$5=1,INDEX('Live History'!$E$5:$E$3004,MATCH($A177,'Live History'!$D$5:$D$3004,1)),INDEX('AH History'!$D$5:$GG$1380,$K177,AH!$U$10+1))),NA()),NA())</f>
        <v/>
      </c>
      <c r="G177" s="34">
        <f>IFERROR(IF(ISNUMBER($A177),IF(AND(AH!$U$12=1,172+1=AH!$U$6),IF(AH!$U$4=0,"unavailable",INDEX('Market Data'!$AK$5:$AK$66,AH!$U$4)),IF(AH!$U$5=1,INDEX('Live History'!$D$5:$D$3004,MATCH($A177,'Live History'!$D$5:$D$3004,1)),INDEX('AH History'!$D$5:$GG$1380,$K177,AH!$U$10+2))),NA()),NA())</f>
        <v/>
      </c>
      <c r="H177" s="266">
        <f>IFERROR(IF(ISNUMBER($A177),IF(AND(AH!$U$12=1,172+1=AH!$U$6),IF(AH!$U$4=0,"unavailable",INDEX('Market Data'!$AP$5:$AP$66,AH!$U$4)),IF(AH!$U$5=1,INDEX('Live History'!$H$5:$H$3004,MATCH($A177,'Live History'!$G$5:$G$3004,1)),INDEX('AH History'!$B$5:$B$1380,$K177))),NA()),NA())</f>
        <v/>
      </c>
      <c r="I177" s="34">
        <f>IFERROR(IF(ISNUMBER($A177),IF(AND(AH!$U$12=1,172+1=AH!$U$6),TODAY(),IF(AH!$U$5=1,INDEX('Live History'!$G$5:$G$3004,MATCH($A177,'Live History'!$G$5:$G$3004,1)),INDEX('AH History'!$C$5:$C$1380,$K177))),NA()),NA())</f>
        <v/>
      </c>
      <c r="J177" s="32">
        <f>IFERROR(IF(AND($F177&gt;0,$H177&gt;0,$A177-$G177&lt;=10,$A177-$I177&lt;=5,$G177&gt;0,$I177&gt;0),$F177*$H177,NA()),NA())</f>
        <v/>
      </c>
      <c r="K177" s="15">
        <f>IF($A177="","",IF(AH!$U$5=1,IFERROR(MATCH($A177,'Live History'!$A$5:$A$3004,0),0),AH!$U$7+172))</f>
        <v/>
      </c>
      <c r="L177" s="15">
        <f>IF(ISNUMBER(A177),TEXT(A177,"dd-mmm-yy"),"")</f>
        <v/>
      </c>
    </row>
    <row r="178">
      <c r="A178" s="14">
        <f>IF(OR(AH!$U$4=0,173+1&gt;AH!$U$6,AND(AH!$M$5="Bloomberg",AH!$U$5=0)),"",IFERROR(IF(AND(AH!$U$12=1,173+1=AH!$U$6),TODAY(),IF(AH!$U$5=1,INDEX('Live History'!$A$5:$A$3004,AH!$U$7+173),INDEX('AH History'!$A$5:$A$1380,AH!$U$7+173))),""))</f>
        <v/>
      </c>
      <c r="B178" s="33">
        <f>IFERROR(IF(AH!$U$11=1,NA(),$J178/$E178-1),NA())</f>
        <v/>
      </c>
      <c r="C178" s="269">
        <f>IFERROR(100*$E178/$E$5,NA())</f>
        <v/>
      </c>
      <c r="D178" s="269">
        <f>IFERROR(100*$J178/$J$5,NA())</f>
        <v/>
      </c>
      <c r="E178" s="32">
        <f>IFERROR(IF(AND(ISNUMBER($A178),N(IF(AND(AH!$U$12=1,173+1=AH!$U$6),IF(AH!$U$4=0,"unavailable",INDEX('Market Data'!$AN$5:$AN$66,AH!$U$4)),IF(AH!$U$5=1,INDEX('Live History'!$B$5:$B$3004,$K178),INDEX('AH History'!$D$5:$GG$1380,$K178,AH!$U$10))))&gt;0),IF(AND(AH!$U$12=1,173+1=AH!$U$6),IF(AH!$U$4=0,"unavailable",INDEX('Market Data'!$AN$5:$AN$66,AH!$U$4)),IF(AH!$U$5=1,INDEX('Live History'!$B$5:$B$3004,$K178),INDEX('AH History'!$D$5:$GG$1380,$K178,AH!$U$10))),NA()),NA())</f>
        <v/>
      </c>
      <c r="F178" s="32">
        <f>IFERROR(IF(ISNUMBER($A178),IF(AND(AH!$U$12=1,173+1=AH!$U$6),IF(AH!$U$4=0,"unavailable",INDEX('Market Data'!$AO$5:$AO$66,AH!$U$4)),IF(AH!$U$5=1,INDEX('Live History'!$E$5:$E$3004,MATCH($A178,'Live History'!$D$5:$D$3004,1)),INDEX('AH History'!$D$5:$GG$1380,$K178,AH!$U$10+1))),NA()),NA())</f>
        <v/>
      </c>
      <c r="G178" s="34">
        <f>IFERROR(IF(ISNUMBER($A178),IF(AND(AH!$U$12=1,173+1=AH!$U$6),IF(AH!$U$4=0,"unavailable",INDEX('Market Data'!$AK$5:$AK$66,AH!$U$4)),IF(AH!$U$5=1,INDEX('Live History'!$D$5:$D$3004,MATCH($A178,'Live History'!$D$5:$D$3004,1)),INDEX('AH History'!$D$5:$GG$1380,$K178,AH!$U$10+2))),NA()),NA())</f>
        <v/>
      </c>
      <c r="H178" s="266">
        <f>IFERROR(IF(ISNUMBER($A178),IF(AND(AH!$U$12=1,173+1=AH!$U$6),IF(AH!$U$4=0,"unavailable",INDEX('Market Data'!$AP$5:$AP$66,AH!$U$4)),IF(AH!$U$5=1,INDEX('Live History'!$H$5:$H$3004,MATCH($A178,'Live History'!$G$5:$G$3004,1)),INDEX('AH History'!$B$5:$B$1380,$K178))),NA()),NA())</f>
        <v/>
      </c>
      <c r="I178" s="34">
        <f>IFERROR(IF(ISNUMBER($A178),IF(AND(AH!$U$12=1,173+1=AH!$U$6),TODAY(),IF(AH!$U$5=1,INDEX('Live History'!$G$5:$G$3004,MATCH($A178,'Live History'!$G$5:$G$3004,1)),INDEX('AH History'!$C$5:$C$1380,$K178))),NA()),NA())</f>
        <v/>
      </c>
      <c r="J178" s="32">
        <f>IFERROR(IF(AND($F178&gt;0,$H178&gt;0,$A178-$G178&lt;=10,$A178-$I178&lt;=5,$G178&gt;0,$I178&gt;0),$F178*$H178,NA()),NA())</f>
        <v/>
      </c>
      <c r="K178" s="15">
        <f>IF($A178="","",IF(AH!$U$5=1,IFERROR(MATCH($A178,'Live History'!$A$5:$A$3004,0),0),AH!$U$7+173))</f>
        <v/>
      </c>
      <c r="L178" s="15">
        <f>IF(ISNUMBER(A178),TEXT(A178,"dd-mmm-yy"),"")</f>
        <v/>
      </c>
    </row>
    <row r="179">
      <c r="A179" s="14">
        <f>IF(OR(AH!$U$4=0,174+1&gt;AH!$U$6,AND(AH!$M$5="Bloomberg",AH!$U$5=0)),"",IFERROR(IF(AND(AH!$U$12=1,174+1=AH!$U$6),TODAY(),IF(AH!$U$5=1,INDEX('Live History'!$A$5:$A$3004,AH!$U$7+174),INDEX('AH History'!$A$5:$A$1380,AH!$U$7+174))),""))</f>
        <v/>
      </c>
      <c r="B179" s="33">
        <f>IFERROR(IF(AH!$U$11=1,NA(),$J179/$E179-1),NA())</f>
        <v/>
      </c>
      <c r="C179" s="269">
        <f>IFERROR(100*$E179/$E$5,NA())</f>
        <v/>
      </c>
      <c r="D179" s="269">
        <f>IFERROR(100*$J179/$J$5,NA())</f>
        <v/>
      </c>
      <c r="E179" s="32">
        <f>IFERROR(IF(AND(ISNUMBER($A179),N(IF(AND(AH!$U$12=1,174+1=AH!$U$6),IF(AH!$U$4=0,"unavailable",INDEX('Market Data'!$AN$5:$AN$66,AH!$U$4)),IF(AH!$U$5=1,INDEX('Live History'!$B$5:$B$3004,$K179),INDEX('AH History'!$D$5:$GG$1380,$K179,AH!$U$10))))&gt;0),IF(AND(AH!$U$12=1,174+1=AH!$U$6),IF(AH!$U$4=0,"unavailable",INDEX('Market Data'!$AN$5:$AN$66,AH!$U$4)),IF(AH!$U$5=1,INDEX('Live History'!$B$5:$B$3004,$K179),INDEX('AH History'!$D$5:$GG$1380,$K179,AH!$U$10))),NA()),NA())</f>
        <v/>
      </c>
      <c r="F179" s="32">
        <f>IFERROR(IF(ISNUMBER($A179),IF(AND(AH!$U$12=1,174+1=AH!$U$6),IF(AH!$U$4=0,"unavailable",INDEX('Market Data'!$AO$5:$AO$66,AH!$U$4)),IF(AH!$U$5=1,INDEX('Live History'!$E$5:$E$3004,MATCH($A179,'Live History'!$D$5:$D$3004,1)),INDEX('AH History'!$D$5:$GG$1380,$K179,AH!$U$10+1))),NA()),NA())</f>
        <v/>
      </c>
      <c r="G179" s="34">
        <f>IFERROR(IF(ISNUMBER($A179),IF(AND(AH!$U$12=1,174+1=AH!$U$6),IF(AH!$U$4=0,"unavailable",INDEX('Market Data'!$AK$5:$AK$66,AH!$U$4)),IF(AH!$U$5=1,INDEX('Live History'!$D$5:$D$3004,MATCH($A179,'Live History'!$D$5:$D$3004,1)),INDEX('AH History'!$D$5:$GG$1380,$K179,AH!$U$10+2))),NA()),NA())</f>
        <v/>
      </c>
      <c r="H179" s="266">
        <f>IFERROR(IF(ISNUMBER($A179),IF(AND(AH!$U$12=1,174+1=AH!$U$6),IF(AH!$U$4=0,"unavailable",INDEX('Market Data'!$AP$5:$AP$66,AH!$U$4)),IF(AH!$U$5=1,INDEX('Live History'!$H$5:$H$3004,MATCH($A179,'Live History'!$G$5:$G$3004,1)),INDEX('AH History'!$B$5:$B$1380,$K179))),NA()),NA())</f>
        <v/>
      </c>
      <c r="I179" s="34">
        <f>IFERROR(IF(ISNUMBER($A179),IF(AND(AH!$U$12=1,174+1=AH!$U$6),TODAY(),IF(AH!$U$5=1,INDEX('Live History'!$G$5:$G$3004,MATCH($A179,'Live History'!$G$5:$G$3004,1)),INDEX('AH History'!$C$5:$C$1380,$K179))),NA()),NA())</f>
        <v/>
      </c>
      <c r="J179" s="32">
        <f>IFERROR(IF(AND($F179&gt;0,$H179&gt;0,$A179-$G179&lt;=10,$A179-$I179&lt;=5,$G179&gt;0,$I179&gt;0),$F179*$H179,NA()),NA())</f>
        <v/>
      </c>
      <c r="K179" s="15">
        <f>IF($A179="","",IF(AH!$U$5=1,IFERROR(MATCH($A179,'Live History'!$A$5:$A$3004,0),0),AH!$U$7+174))</f>
        <v/>
      </c>
      <c r="L179" s="15">
        <f>IF(ISNUMBER(A179),TEXT(A179,"dd-mmm-yy"),"")</f>
        <v/>
      </c>
    </row>
    <row r="180">
      <c r="A180" s="14">
        <f>IF(OR(AH!$U$4=0,175+1&gt;AH!$U$6,AND(AH!$M$5="Bloomberg",AH!$U$5=0)),"",IFERROR(IF(AND(AH!$U$12=1,175+1=AH!$U$6),TODAY(),IF(AH!$U$5=1,INDEX('Live History'!$A$5:$A$3004,AH!$U$7+175),INDEX('AH History'!$A$5:$A$1380,AH!$U$7+175))),""))</f>
        <v/>
      </c>
      <c r="B180" s="33">
        <f>IFERROR(IF(AH!$U$11=1,NA(),$J180/$E180-1),NA())</f>
        <v/>
      </c>
      <c r="C180" s="269">
        <f>IFERROR(100*$E180/$E$5,NA())</f>
        <v/>
      </c>
      <c r="D180" s="269">
        <f>IFERROR(100*$J180/$J$5,NA())</f>
        <v/>
      </c>
      <c r="E180" s="32">
        <f>IFERROR(IF(AND(ISNUMBER($A180),N(IF(AND(AH!$U$12=1,175+1=AH!$U$6),IF(AH!$U$4=0,"unavailable",INDEX('Market Data'!$AN$5:$AN$66,AH!$U$4)),IF(AH!$U$5=1,INDEX('Live History'!$B$5:$B$3004,$K180),INDEX('AH History'!$D$5:$GG$1380,$K180,AH!$U$10))))&gt;0),IF(AND(AH!$U$12=1,175+1=AH!$U$6),IF(AH!$U$4=0,"unavailable",INDEX('Market Data'!$AN$5:$AN$66,AH!$U$4)),IF(AH!$U$5=1,INDEX('Live History'!$B$5:$B$3004,$K180),INDEX('AH History'!$D$5:$GG$1380,$K180,AH!$U$10))),NA()),NA())</f>
        <v/>
      </c>
      <c r="F180" s="32">
        <f>IFERROR(IF(ISNUMBER($A180),IF(AND(AH!$U$12=1,175+1=AH!$U$6),IF(AH!$U$4=0,"unavailable",INDEX('Market Data'!$AO$5:$AO$66,AH!$U$4)),IF(AH!$U$5=1,INDEX('Live History'!$E$5:$E$3004,MATCH($A180,'Live History'!$D$5:$D$3004,1)),INDEX('AH History'!$D$5:$GG$1380,$K180,AH!$U$10+1))),NA()),NA())</f>
        <v/>
      </c>
      <c r="G180" s="34">
        <f>IFERROR(IF(ISNUMBER($A180),IF(AND(AH!$U$12=1,175+1=AH!$U$6),IF(AH!$U$4=0,"unavailable",INDEX('Market Data'!$AK$5:$AK$66,AH!$U$4)),IF(AH!$U$5=1,INDEX('Live History'!$D$5:$D$3004,MATCH($A180,'Live History'!$D$5:$D$3004,1)),INDEX('AH History'!$D$5:$GG$1380,$K180,AH!$U$10+2))),NA()),NA())</f>
        <v/>
      </c>
      <c r="H180" s="266">
        <f>IFERROR(IF(ISNUMBER($A180),IF(AND(AH!$U$12=1,175+1=AH!$U$6),IF(AH!$U$4=0,"unavailable",INDEX('Market Data'!$AP$5:$AP$66,AH!$U$4)),IF(AH!$U$5=1,INDEX('Live History'!$H$5:$H$3004,MATCH($A180,'Live History'!$G$5:$G$3004,1)),INDEX('AH History'!$B$5:$B$1380,$K180))),NA()),NA())</f>
        <v/>
      </c>
      <c r="I180" s="34">
        <f>IFERROR(IF(ISNUMBER($A180),IF(AND(AH!$U$12=1,175+1=AH!$U$6),TODAY(),IF(AH!$U$5=1,INDEX('Live History'!$G$5:$G$3004,MATCH($A180,'Live History'!$G$5:$G$3004,1)),INDEX('AH History'!$C$5:$C$1380,$K180))),NA()),NA())</f>
        <v/>
      </c>
      <c r="J180" s="32">
        <f>IFERROR(IF(AND($F180&gt;0,$H180&gt;0,$A180-$G180&lt;=10,$A180-$I180&lt;=5,$G180&gt;0,$I180&gt;0),$F180*$H180,NA()),NA())</f>
        <v/>
      </c>
      <c r="K180" s="15">
        <f>IF($A180="","",IF(AH!$U$5=1,IFERROR(MATCH($A180,'Live History'!$A$5:$A$3004,0),0),AH!$U$7+175))</f>
        <v/>
      </c>
      <c r="L180" s="15">
        <f>IF(ISNUMBER(A180),TEXT(A180,"dd-mmm-yy"),"")</f>
        <v/>
      </c>
    </row>
    <row r="181">
      <c r="A181" s="14">
        <f>IF(OR(AH!$U$4=0,176+1&gt;AH!$U$6,AND(AH!$M$5="Bloomberg",AH!$U$5=0)),"",IFERROR(IF(AND(AH!$U$12=1,176+1=AH!$U$6),TODAY(),IF(AH!$U$5=1,INDEX('Live History'!$A$5:$A$3004,AH!$U$7+176),INDEX('AH History'!$A$5:$A$1380,AH!$U$7+176))),""))</f>
        <v/>
      </c>
      <c r="B181" s="33">
        <f>IFERROR(IF(AH!$U$11=1,NA(),$J181/$E181-1),NA())</f>
        <v/>
      </c>
      <c r="C181" s="269">
        <f>IFERROR(100*$E181/$E$5,NA())</f>
        <v/>
      </c>
      <c r="D181" s="269">
        <f>IFERROR(100*$J181/$J$5,NA())</f>
        <v/>
      </c>
      <c r="E181" s="32">
        <f>IFERROR(IF(AND(ISNUMBER($A181),N(IF(AND(AH!$U$12=1,176+1=AH!$U$6),IF(AH!$U$4=0,"unavailable",INDEX('Market Data'!$AN$5:$AN$66,AH!$U$4)),IF(AH!$U$5=1,INDEX('Live History'!$B$5:$B$3004,$K181),INDEX('AH History'!$D$5:$GG$1380,$K181,AH!$U$10))))&gt;0),IF(AND(AH!$U$12=1,176+1=AH!$U$6),IF(AH!$U$4=0,"unavailable",INDEX('Market Data'!$AN$5:$AN$66,AH!$U$4)),IF(AH!$U$5=1,INDEX('Live History'!$B$5:$B$3004,$K181),INDEX('AH History'!$D$5:$GG$1380,$K181,AH!$U$10))),NA()),NA())</f>
        <v/>
      </c>
      <c r="F181" s="32">
        <f>IFERROR(IF(ISNUMBER($A181),IF(AND(AH!$U$12=1,176+1=AH!$U$6),IF(AH!$U$4=0,"unavailable",INDEX('Market Data'!$AO$5:$AO$66,AH!$U$4)),IF(AH!$U$5=1,INDEX('Live History'!$E$5:$E$3004,MATCH($A181,'Live History'!$D$5:$D$3004,1)),INDEX('AH History'!$D$5:$GG$1380,$K181,AH!$U$10+1))),NA()),NA())</f>
        <v/>
      </c>
      <c r="G181" s="34">
        <f>IFERROR(IF(ISNUMBER($A181),IF(AND(AH!$U$12=1,176+1=AH!$U$6),IF(AH!$U$4=0,"unavailable",INDEX('Market Data'!$AK$5:$AK$66,AH!$U$4)),IF(AH!$U$5=1,INDEX('Live History'!$D$5:$D$3004,MATCH($A181,'Live History'!$D$5:$D$3004,1)),INDEX('AH History'!$D$5:$GG$1380,$K181,AH!$U$10+2))),NA()),NA())</f>
        <v/>
      </c>
      <c r="H181" s="266">
        <f>IFERROR(IF(ISNUMBER($A181),IF(AND(AH!$U$12=1,176+1=AH!$U$6),IF(AH!$U$4=0,"unavailable",INDEX('Market Data'!$AP$5:$AP$66,AH!$U$4)),IF(AH!$U$5=1,INDEX('Live History'!$H$5:$H$3004,MATCH($A181,'Live History'!$G$5:$G$3004,1)),INDEX('AH History'!$B$5:$B$1380,$K181))),NA()),NA())</f>
        <v/>
      </c>
      <c r="I181" s="34">
        <f>IFERROR(IF(ISNUMBER($A181),IF(AND(AH!$U$12=1,176+1=AH!$U$6),TODAY(),IF(AH!$U$5=1,INDEX('Live History'!$G$5:$G$3004,MATCH($A181,'Live History'!$G$5:$G$3004,1)),INDEX('AH History'!$C$5:$C$1380,$K181))),NA()),NA())</f>
        <v/>
      </c>
      <c r="J181" s="32">
        <f>IFERROR(IF(AND($F181&gt;0,$H181&gt;0,$A181-$G181&lt;=10,$A181-$I181&lt;=5,$G181&gt;0,$I181&gt;0),$F181*$H181,NA()),NA())</f>
        <v/>
      </c>
      <c r="K181" s="15">
        <f>IF($A181="","",IF(AH!$U$5=1,IFERROR(MATCH($A181,'Live History'!$A$5:$A$3004,0),0),AH!$U$7+176))</f>
        <v/>
      </c>
      <c r="L181" s="15">
        <f>IF(ISNUMBER(A181),TEXT(A181,"dd-mmm-yy"),"")</f>
        <v/>
      </c>
    </row>
    <row r="182">
      <c r="A182" s="14">
        <f>IF(OR(AH!$U$4=0,177+1&gt;AH!$U$6,AND(AH!$M$5="Bloomberg",AH!$U$5=0)),"",IFERROR(IF(AND(AH!$U$12=1,177+1=AH!$U$6),TODAY(),IF(AH!$U$5=1,INDEX('Live History'!$A$5:$A$3004,AH!$U$7+177),INDEX('AH History'!$A$5:$A$1380,AH!$U$7+177))),""))</f>
        <v/>
      </c>
      <c r="B182" s="33">
        <f>IFERROR(IF(AH!$U$11=1,NA(),$J182/$E182-1),NA())</f>
        <v/>
      </c>
      <c r="C182" s="269">
        <f>IFERROR(100*$E182/$E$5,NA())</f>
        <v/>
      </c>
      <c r="D182" s="269">
        <f>IFERROR(100*$J182/$J$5,NA())</f>
        <v/>
      </c>
      <c r="E182" s="32">
        <f>IFERROR(IF(AND(ISNUMBER($A182),N(IF(AND(AH!$U$12=1,177+1=AH!$U$6),IF(AH!$U$4=0,"unavailable",INDEX('Market Data'!$AN$5:$AN$66,AH!$U$4)),IF(AH!$U$5=1,INDEX('Live History'!$B$5:$B$3004,$K182),INDEX('AH History'!$D$5:$GG$1380,$K182,AH!$U$10))))&gt;0),IF(AND(AH!$U$12=1,177+1=AH!$U$6),IF(AH!$U$4=0,"unavailable",INDEX('Market Data'!$AN$5:$AN$66,AH!$U$4)),IF(AH!$U$5=1,INDEX('Live History'!$B$5:$B$3004,$K182),INDEX('AH History'!$D$5:$GG$1380,$K182,AH!$U$10))),NA()),NA())</f>
        <v/>
      </c>
      <c r="F182" s="32">
        <f>IFERROR(IF(ISNUMBER($A182),IF(AND(AH!$U$12=1,177+1=AH!$U$6),IF(AH!$U$4=0,"unavailable",INDEX('Market Data'!$AO$5:$AO$66,AH!$U$4)),IF(AH!$U$5=1,INDEX('Live History'!$E$5:$E$3004,MATCH($A182,'Live History'!$D$5:$D$3004,1)),INDEX('AH History'!$D$5:$GG$1380,$K182,AH!$U$10+1))),NA()),NA())</f>
        <v/>
      </c>
      <c r="G182" s="34">
        <f>IFERROR(IF(ISNUMBER($A182),IF(AND(AH!$U$12=1,177+1=AH!$U$6),IF(AH!$U$4=0,"unavailable",INDEX('Market Data'!$AK$5:$AK$66,AH!$U$4)),IF(AH!$U$5=1,INDEX('Live History'!$D$5:$D$3004,MATCH($A182,'Live History'!$D$5:$D$3004,1)),INDEX('AH History'!$D$5:$GG$1380,$K182,AH!$U$10+2))),NA()),NA())</f>
        <v/>
      </c>
      <c r="H182" s="266">
        <f>IFERROR(IF(ISNUMBER($A182),IF(AND(AH!$U$12=1,177+1=AH!$U$6),IF(AH!$U$4=0,"unavailable",INDEX('Market Data'!$AP$5:$AP$66,AH!$U$4)),IF(AH!$U$5=1,INDEX('Live History'!$H$5:$H$3004,MATCH($A182,'Live History'!$G$5:$G$3004,1)),INDEX('AH History'!$B$5:$B$1380,$K182))),NA()),NA())</f>
        <v/>
      </c>
      <c r="I182" s="34">
        <f>IFERROR(IF(ISNUMBER($A182),IF(AND(AH!$U$12=1,177+1=AH!$U$6),TODAY(),IF(AH!$U$5=1,INDEX('Live History'!$G$5:$G$3004,MATCH($A182,'Live History'!$G$5:$G$3004,1)),INDEX('AH History'!$C$5:$C$1380,$K182))),NA()),NA())</f>
        <v/>
      </c>
      <c r="J182" s="32">
        <f>IFERROR(IF(AND($F182&gt;0,$H182&gt;0,$A182-$G182&lt;=10,$A182-$I182&lt;=5,$G182&gt;0,$I182&gt;0),$F182*$H182,NA()),NA())</f>
        <v/>
      </c>
      <c r="K182" s="15">
        <f>IF($A182="","",IF(AH!$U$5=1,IFERROR(MATCH($A182,'Live History'!$A$5:$A$3004,0),0),AH!$U$7+177))</f>
        <v/>
      </c>
      <c r="L182" s="15">
        <f>IF(ISNUMBER(A182),TEXT(A182,"dd-mmm-yy"),"")</f>
        <v/>
      </c>
    </row>
    <row r="183">
      <c r="A183" s="14">
        <f>IF(OR(AH!$U$4=0,178+1&gt;AH!$U$6,AND(AH!$M$5="Bloomberg",AH!$U$5=0)),"",IFERROR(IF(AND(AH!$U$12=1,178+1=AH!$U$6),TODAY(),IF(AH!$U$5=1,INDEX('Live History'!$A$5:$A$3004,AH!$U$7+178),INDEX('AH History'!$A$5:$A$1380,AH!$U$7+178))),""))</f>
        <v/>
      </c>
      <c r="B183" s="33">
        <f>IFERROR(IF(AH!$U$11=1,NA(),$J183/$E183-1),NA())</f>
        <v/>
      </c>
      <c r="C183" s="269">
        <f>IFERROR(100*$E183/$E$5,NA())</f>
        <v/>
      </c>
      <c r="D183" s="269">
        <f>IFERROR(100*$J183/$J$5,NA())</f>
        <v/>
      </c>
      <c r="E183" s="32">
        <f>IFERROR(IF(AND(ISNUMBER($A183),N(IF(AND(AH!$U$12=1,178+1=AH!$U$6),IF(AH!$U$4=0,"unavailable",INDEX('Market Data'!$AN$5:$AN$66,AH!$U$4)),IF(AH!$U$5=1,INDEX('Live History'!$B$5:$B$3004,$K183),INDEX('AH History'!$D$5:$GG$1380,$K183,AH!$U$10))))&gt;0),IF(AND(AH!$U$12=1,178+1=AH!$U$6),IF(AH!$U$4=0,"unavailable",INDEX('Market Data'!$AN$5:$AN$66,AH!$U$4)),IF(AH!$U$5=1,INDEX('Live History'!$B$5:$B$3004,$K183),INDEX('AH History'!$D$5:$GG$1380,$K183,AH!$U$10))),NA()),NA())</f>
        <v/>
      </c>
      <c r="F183" s="32">
        <f>IFERROR(IF(ISNUMBER($A183),IF(AND(AH!$U$12=1,178+1=AH!$U$6),IF(AH!$U$4=0,"unavailable",INDEX('Market Data'!$AO$5:$AO$66,AH!$U$4)),IF(AH!$U$5=1,INDEX('Live History'!$E$5:$E$3004,MATCH($A183,'Live History'!$D$5:$D$3004,1)),INDEX('AH History'!$D$5:$GG$1380,$K183,AH!$U$10+1))),NA()),NA())</f>
        <v/>
      </c>
      <c r="G183" s="34">
        <f>IFERROR(IF(ISNUMBER($A183),IF(AND(AH!$U$12=1,178+1=AH!$U$6),IF(AH!$U$4=0,"unavailable",INDEX('Market Data'!$AK$5:$AK$66,AH!$U$4)),IF(AH!$U$5=1,INDEX('Live History'!$D$5:$D$3004,MATCH($A183,'Live History'!$D$5:$D$3004,1)),INDEX('AH History'!$D$5:$GG$1380,$K183,AH!$U$10+2))),NA()),NA())</f>
        <v/>
      </c>
      <c r="H183" s="266">
        <f>IFERROR(IF(ISNUMBER($A183),IF(AND(AH!$U$12=1,178+1=AH!$U$6),IF(AH!$U$4=0,"unavailable",INDEX('Market Data'!$AP$5:$AP$66,AH!$U$4)),IF(AH!$U$5=1,INDEX('Live History'!$H$5:$H$3004,MATCH($A183,'Live History'!$G$5:$G$3004,1)),INDEX('AH History'!$B$5:$B$1380,$K183))),NA()),NA())</f>
        <v/>
      </c>
      <c r="I183" s="34">
        <f>IFERROR(IF(ISNUMBER($A183),IF(AND(AH!$U$12=1,178+1=AH!$U$6),TODAY(),IF(AH!$U$5=1,INDEX('Live History'!$G$5:$G$3004,MATCH($A183,'Live History'!$G$5:$G$3004,1)),INDEX('AH History'!$C$5:$C$1380,$K183))),NA()),NA())</f>
        <v/>
      </c>
      <c r="J183" s="32">
        <f>IFERROR(IF(AND($F183&gt;0,$H183&gt;0,$A183-$G183&lt;=10,$A183-$I183&lt;=5,$G183&gt;0,$I183&gt;0),$F183*$H183,NA()),NA())</f>
        <v/>
      </c>
      <c r="K183" s="15">
        <f>IF($A183="","",IF(AH!$U$5=1,IFERROR(MATCH($A183,'Live History'!$A$5:$A$3004,0),0),AH!$U$7+178))</f>
        <v/>
      </c>
      <c r="L183" s="15">
        <f>IF(ISNUMBER(A183),TEXT(A183,"dd-mmm-yy"),"")</f>
        <v/>
      </c>
    </row>
    <row r="184">
      <c r="A184" s="14">
        <f>IF(OR(AH!$U$4=0,179+1&gt;AH!$U$6,AND(AH!$M$5="Bloomberg",AH!$U$5=0)),"",IFERROR(IF(AND(AH!$U$12=1,179+1=AH!$U$6),TODAY(),IF(AH!$U$5=1,INDEX('Live History'!$A$5:$A$3004,AH!$U$7+179),INDEX('AH History'!$A$5:$A$1380,AH!$U$7+179))),""))</f>
        <v/>
      </c>
      <c r="B184" s="33">
        <f>IFERROR(IF(AH!$U$11=1,NA(),$J184/$E184-1),NA())</f>
        <v/>
      </c>
      <c r="C184" s="269">
        <f>IFERROR(100*$E184/$E$5,NA())</f>
        <v/>
      </c>
      <c r="D184" s="269">
        <f>IFERROR(100*$J184/$J$5,NA())</f>
        <v/>
      </c>
      <c r="E184" s="32">
        <f>IFERROR(IF(AND(ISNUMBER($A184),N(IF(AND(AH!$U$12=1,179+1=AH!$U$6),IF(AH!$U$4=0,"unavailable",INDEX('Market Data'!$AN$5:$AN$66,AH!$U$4)),IF(AH!$U$5=1,INDEX('Live History'!$B$5:$B$3004,$K184),INDEX('AH History'!$D$5:$GG$1380,$K184,AH!$U$10))))&gt;0),IF(AND(AH!$U$12=1,179+1=AH!$U$6),IF(AH!$U$4=0,"unavailable",INDEX('Market Data'!$AN$5:$AN$66,AH!$U$4)),IF(AH!$U$5=1,INDEX('Live History'!$B$5:$B$3004,$K184),INDEX('AH History'!$D$5:$GG$1380,$K184,AH!$U$10))),NA()),NA())</f>
        <v/>
      </c>
      <c r="F184" s="32">
        <f>IFERROR(IF(ISNUMBER($A184),IF(AND(AH!$U$12=1,179+1=AH!$U$6),IF(AH!$U$4=0,"unavailable",INDEX('Market Data'!$AO$5:$AO$66,AH!$U$4)),IF(AH!$U$5=1,INDEX('Live History'!$E$5:$E$3004,MATCH($A184,'Live History'!$D$5:$D$3004,1)),INDEX('AH History'!$D$5:$GG$1380,$K184,AH!$U$10+1))),NA()),NA())</f>
        <v/>
      </c>
      <c r="G184" s="34">
        <f>IFERROR(IF(ISNUMBER($A184),IF(AND(AH!$U$12=1,179+1=AH!$U$6),IF(AH!$U$4=0,"unavailable",INDEX('Market Data'!$AK$5:$AK$66,AH!$U$4)),IF(AH!$U$5=1,INDEX('Live History'!$D$5:$D$3004,MATCH($A184,'Live History'!$D$5:$D$3004,1)),INDEX('AH History'!$D$5:$GG$1380,$K184,AH!$U$10+2))),NA()),NA())</f>
        <v/>
      </c>
      <c r="H184" s="266">
        <f>IFERROR(IF(ISNUMBER($A184),IF(AND(AH!$U$12=1,179+1=AH!$U$6),IF(AH!$U$4=0,"unavailable",INDEX('Market Data'!$AP$5:$AP$66,AH!$U$4)),IF(AH!$U$5=1,INDEX('Live History'!$H$5:$H$3004,MATCH($A184,'Live History'!$G$5:$G$3004,1)),INDEX('AH History'!$B$5:$B$1380,$K184))),NA()),NA())</f>
        <v/>
      </c>
      <c r="I184" s="34">
        <f>IFERROR(IF(ISNUMBER($A184),IF(AND(AH!$U$12=1,179+1=AH!$U$6),TODAY(),IF(AH!$U$5=1,INDEX('Live History'!$G$5:$G$3004,MATCH($A184,'Live History'!$G$5:$G$3004,1)),INDEX('AH History'!$C$5:$C$1380,$K184))),NA()),NA())</f>
        <v/>
      </c>
      <c r="J184" s="32">
        <f>IFERROR(IF(AND($F184&gt;0,$H184&gt;0,$A184-$G184&lt;=10,$A184-$I184&lt;=5,$G184&gt;0,$I184&gt;0),$F184*$H184,NA()),NA())</f>
        <v/>
      </c>
      <c r="K184" s="15">
        <f>IF($A184="","",IF(AH!$U$5=1,IFERROR(MATCH($A184,'Live History'!$A$5:$A$3004,0),0),AH!$U$7+179))</f>
        <v/>
      </c>
      <c r="L184" s="15">
        <f>IF(ISNUMBER(A184),TEXT(A184,"dd-mmm-yy"),"")</f>
        <v/>
      </c>
    </row>
    <row r="185">
      <c r="A185" s="14">
        <f>IF(OR(AH!$U$4=0,180+1&gt;AH!$U$6,AND(AH!$M$5="Bloomberg",AH!$U$5=0)),"",IFERROR(IF(AND(AH!$U$12=1,180+1=AH!$U$6),TODAY(),IF(AH!$U$5=1,INDEX('Live History'!$A$5:$A$3004,AH!$U$7+180),INDEX('AH History'!$A$5:$A$1380,AH!$U$7+180))),""))</f>
        <v/>
      </c>
      <c r="B185" s="33">
        <f>IFERROR(IF(AH!$U$11=1,NA(),$J185/$E185-1),NA())</f>
        <v/>
      </c>
      <c r="C185" s="269">
        <f>IFERROR(100*$E185/$E$5,NA())</f>
        <v/>
      </c>
      <c r="D185" s="269">
        <f>IFERROR(100*$J185/$J$5,NA())</f>
        <v/>
      </c>
      <c r="E185" s="32">
        <f>IFERROR(IF(AND(ISNUMBER($A185),N(IF(AND(AH!$U$12=1,180+1=AH!$U$6),IF(AH!$U$4=0,"unavailable",INDEX('Market Data'!$AN$5:$AN$66,AH!$U$4)),IF(AH!$U$5=1,INDEX('Live History'!$B$5:$B$3004,$K185),INDEX('AH History'!$D$5:$GG$1380,$K185,AH!$U$10))))&gt;0),IF(AND(AH!$U$12=1,180+1=AH!$U$6),IF(AH!$U$4=0,"unavailable",INDEX('Market Data'!$AN$5:$AN$66,AH!$U$4)),IF(AH!$U$5=1,INDEX('Live History'!$B$5:$B$3004,$K185),INDEX('AH History'!$D$5:$GG$1380,$K185,AH!$U$10))),NA()),NA())</f>
        <v/>
      </c>
      <c r="F185" s="32">
        <f>IFERROR(IF(ISNUMBER($A185),IF(AND(AH!$U$12=1,180+1=AH!$U$6),IF(AH!$U$4=0,"unavailable",INDEX('Market Data'!$AO$5:$AO$66,AH!$U$4)),IF(AH!$U$5=1,INDEX('Live History'!$E$5:$E$3004,MATCH($A185,'Live History'!$D$5:$D$3004,1)),INDEX('AH History'!$D$5:$GG$1380,$K185,AH!$U$10+1))),NA()),NA())</f>
        <v/>
      </c>
      <c r="G185" s="34">
        <f>IFERROR(IF(ISNUMBER($A185),IF(AND(AH!$U$12=1,180+1=AH!$U$6),IF(AH!$U$4=0,"unavailable",INDEX('Market Data'!$AK$5:$AK$66,AH!$U$4)),IF(AH!$U$5=1,INDEX('Live History'!$D$5:$D$3004,MATCH($A185,'Live History'!$D$5:$D$3004,1)),INDEX('AH History'!$D$5:$GG$1380,$K185,AH!$U$10+2))),NA()),NA())</f>
        <v/>
      </c>
      <c r="H185" s="266">
        <f>IFERROR(IF(ISNUMBER($A185),IF(AND(AH!$U$12=1,180+1=AH!$U$6),IF(AH!$U$4=0,"unavailable",INDEX('Market Data'!$AP$5:$AP$66,AH!$U$4)),IF(AH!$U$5=1,INDEX('Live History'!$H$5:$H$3004,MATCH($A185,'Live History'!$G$5:$G$3004,1)),INDEX('AH History'!$B$5:$B$1380,$K185))),NA()),NA())</f>
        <v/>
      </c>
      <c r="I185" s="34">
        <f>IFERROR(IF(ISNUMBER($A185),IF(AND(AH!$U$12=1,180+1=AH!$U$6),TODAY(),IF(AH!$U$5=1,INDEX('Live History'!$G$5:$G$3004,MATCH($A185,'Live History'!$G$5:$G$3004,1)),INDEX('AH History'!$C$5:$C$1380,$K185))),NA()),NA())</f>
        <v/>
      </c>
      <c r="J185" s="32">
        <f>IFERROR(IF(AND($F185&gt;0,$H185&gt;0,$A185-$G185&lt;=10,$A185-$I185&lt;=5,$G185&gt;0,$I185&gt;0),$F185*$H185,NA()),NA())</f>
        <v/>
      </c>
      <c r="K185" s="15">
        <f>IF($A185="","",IF(AH!$U$5=1,IFERROR(MATCH($A185,'Live History'!$A$5:$A$3004,0),0),AH!$U$7+180))</f>
        <v/>
      </c>
      <c r="L185" s="15">
        <f>IF(ISNUMBER(A185),TEXT(A185,"dd-mmm-yy"),"")</f>
        <v/>
      </c>
    </row>
    <row r="186">
      <c r="A186" s="14">
        <f>IF(OR(AH!$U$4=0,181+1&gt;AH!$U$6,AND(AH!$M$5="Bloomberg",AH!$U$5=0)),"",IFERROR(IF(AND(AH!$U$12=1,181+1=AH!$U$6),TODAY(),IF(AH!$U$5=1,INDEX('Live History'!$A$5:$A$3004,AH!$U$7+181),INDEX('AH History'!$A$5:$A$1380,AH!$U$7+181))),""))</f>
        <v/>
      </c>
      <c r="B186" s="33">
        <f>IFERROR(IF(AH!$U$11=1,NA(),$J186/$E186-1),NA())</f>
        <v/>
      </c>
      <c r="C186" s="269">
        <f>IFERROR(100*$E186/$E$5,NA())</f>
        <v/>
      </c>
      <c r="D186" s="269">
        <f>IFERROR(100*$J186/$J$5,NA())</f>
        <v/>
      </c>
      <c r="E186" s="32">
        <f>IFERROR(IF(AND(ISNUMBER($A186),N(IF(AND(AH!$U$12=1,181+1=AH!$U$6),IF(AH!$U$4=0,"unavailable",INDEX('Market Data'!$AN$5:$AN$66,AH!$U$4)),IF(AH!$U$5=1,INDEX('Live History'!$B$5:$B$3004,$K186),INDEX('AH History'!$D$5:$GG$1380,$K186,AH!$U$10))))&gt;0),IF(AND(AH!$U$12=1,181+1=AH!$U$6),IF(AH!$U$4=0,"unavailable",INDEX('Market Data'!$AN$5:$AN$66,AH!$U$4)),IF(AH!$U$5=1,INDEX('Live History'!$B$5:$B$3004,$K186),INDEX('AH History'!$D$5:$GG$1380,$K186,AH!$U$10))),NA()),NA())</f>
        <v/>
      </c>
      <c r="F186" s="32">
        <f>IFERROR(IF(ISNUMBER($A186),IF(AND(AH!$U$12=1,181+1=AH!$U$6),IF(AH!$U$4=0,"unavailable",INDEX('Market Data'!$AO$5:$AO$66,AH!$U$4)),IF(AH!$U$5=1,INDEX('Live History'!$E$5:$E$3004,MATCH($A186,'Live History'!$D$5:$D$3004,1)),INDEX('AH History'!$D$5:$GG$1380,$K186,AH!$U$10+1))),NA()),NA())</f>
        <v/>
      </c>
      <c r="G186" s="34">
        <f>IFERROR(IF(ISNUMBER($A186),IF(AND(AH!$U$12=1,181+1=AH!$U$6),IF(AH!$U$4=0,"unavailable",INDEX('Market Data'!$AK$5:$AK$66,AH!$U$4)),IF(AH!$U$5=1,INDEX('Live History'!$D$5:$D$3004,MATCH($A186,'Live History'!$D$5:$D$3004,1)),INDEX('AH History'!$D$5:$GG$1380,$K186,AH!$U$10+2))),NA()),NA())</f>
        <v/>
      </c>
      <c r="H186" s="266">
        <f>IFERROR(IF(ISNUMBER($A186),IF(AND(AH!$U$12=1,181+1=AH!$U$6),IF(AH!$U$4=0,"unavailable",INDEX('Market Data'!$AP$5:$AP$66,AH!$U$4)),IF(AH!$U$5=1,INDEX('Live History'!$H$5:$H$3004,MATCH($A186,'Live History'!$G$5:$G$3004,1)),INDEX('AH History'!$B$5:$B$1380,$K186))),NA()),NA())</f>
        <v/>
      </c>
      <c r="I186" s="34">
        <f>IFERROR(IF(ISNUMBER($A186),IF(AND(AH!$U$12=1,181+1=AH!$U$6),TODAY(),IF(AH!$U$5=1,INDEX('Live History'!$G$5:$G$3004,MATCH($A186,'Live History'!$G$5:$G$3004,1)),INDEX('AH History'!$C$5:$C$1380,$K186))),NA()),NA())</f>
        <v/>
      </c>
      <c r="J186" s="32">
        <f>IFERROR(IF(AND($F186&gt;0,$H186&gt;0,$A186-$G186&lt;=10,$A186-$I186&lt;=5,$G186&gt;0,$I186&gt;0),$F186*$H186,NA()),NA())</f>
        <v/>
      </c>
      <c r="K186" s="15">
        <f>IF($A186="","",IF(AH!$U$5=1,IFERROR(MATCH($A186,'Live History'!$A$5:$A$3004,0),0),AH!$U$7+181))</f>
        <v/>
      </c>
      <c r="L186" s="15">
        <f>IF(ISNUMBER(A186),TEXT(A186,"dd-mmm-yy"),"")</f>
        <v/>
      </c>
    </row>
    <row r="187">
      <c r="A187" s="14">
        <f>IF(OR(AH!$U$4=0,182+1&gt;AH!$U$6,AND(AH!$M$5="Bloomberg",AH!$U$5=0)),"",IFERROR(IF(AND(AH!$U$12=1,182+1=AH!$U$6),TODAY(),IF(AH!$U$5=1,INDEX('Live History'!$A$5:$A$3004,AH!$U$7+182),INDEX('AH History'!$A$5:$A$1380,AH!$U$7+182))),""))</f>
        <v/>
      </c>
      <c r="B187" s="33">
        <f>IFERROR(IF(AH!$U$11=1,NA(),$J187/$E187-1),NA())</f>
        <v/>
      </c>
      <c r="C187" s="269">
        <f>IFERROR(100*$E187/$E$5,NA())</f>
        <v/>
      </c>
      <c r="D187" s="269">
        <f>IFERROR(100*$J187/$J$5,NA())</f>
        <v/>
      </c>
      <c r="E187" s="32">
        <f>IFERROR(IF(AND(ISNUMBER($A187),N(IF(AND(AH!$U$12=1,182+1=AH!$U$6),IF(AH!$U$4=0,"unavailable",INDEX('Market Data'!$AN$5:$AN$66,AH!$U$4)),IF(AH!$U$5=1,INDEX('Live History'!$B$5:$B$3004,$K187),INDEX('AH History'!$D$5:$GG$1380,$K187,AH!$U$10))))&gt;0),IF(AND(AH!$U$12=1,182+1=AH!$U$6),IF(AH!$U$4=0,"unavailable",INDEX('Market Data'!$AN$5:$AN$66,AH!$U$4)),IF(AH!$U$5=1,INDEX('Live History'!$B$5:$B$3004,$K187),INDEX('AH History'!$D$5:$GG$1380,$K187,AH!$U$10))),NA()),NA())</f>
        <v/>
      </c>
      <c r="F187" s="32">
        <f>IFERROR(IF(ISNUMBER($A187),IF(AND(AH!$U$12=1,182+1=AH!$U$6),IF(AH!$U$4=0,"unavailable",INDEX('Market Data'!$AO$5:$AO$66,AH!$U$4)),IF(AH!$U$5=1,INDEX('Live History'!$E$5:$E$3004,MATCH($A187,'Live History'!$D$5:$D$3004,1)),INDEX('AH History'!$D$5:$GG$1380,$K187,AH!$U$10+1))),NA()),NA())</f>
        <v/>
      </c>
      <c r="G187" s="34">
        <f>IFERROR(IF(ISNUMBER($A187),IF(AND(AH!$U$12=1,182+1=AH!$U$6),IF(AH!$U$4=0,"unavailable",INDEX('Market Data'!$AK$5:$AK$66,AH!$U$4)),IF(AH!$U$5=1,INDEX('Live History'!$D$5:$D$3004,MATCH($A187,'Live History'!$D$5:$D$3004,1)),INDEX('AH History'!$D$5:$GG$1380,$K187,AH!$U$10+2))),NA()),NA())</f>
        <v/>
      </c>
      <c r="H187" s="266">
        <f>IFERROR(IF(ISNUMBER($A187),IF(AND(AH!$U$12=1,182+1=AH!$U$6),IF(AH!$U$4=0,"unavailable",INDEX('Market Data'!$AP$5:$AP$66,AH!$U$4)),IF(AH!$U$5=1,INDEX('Live History'!$H$5:$H$3004,MATCH($A187,'Live History'!$G$5:$G$3004,1)),INDEX('AH History'!$B$5:$B$1380,$K187))),NA()),NA())</f>
        <v/>
      </c>
      <c r="I187" s="34">
        <f>IFERROR(IF(ISNUMBER($A187),IF(AND(AH!$U$12=1,182+1=AH!$U$6),TODAY(),IF(AH!$U$5=1,INDEX('Live History'!$G$5:$G$3004,MATCH($A187,'Live History'!$G$5:$G$3004,1)),INDEX('AH History'!$C$5:$C$1380,$K187))),NA()),NA())</f>
        <v/>
      </c>
      <c r="J187" s="32">
        <f>IFERROR(IF(AND($F187&gt;0,$H187&gt;0,$A187-$G187&lt;=10,$A187-$I187&lt;=5,$G187&gt;0,$I187&gt;0),$F187*$H187,NA()),NA())</f>
        <v/>
      </c>
      <c r="K187" s="15">
        <f>IF($A187="","",IF(AH!$U$5=1,IFERROR(MATCH($A187,'Live History'!$A$5:$A$3004,0),0),AH!$U$7+182))</f>
        <v/>
      </c>
      <c r="L187" s="15">
        <f>IF(ISNUMBER(A187),TEXT(A187,"dd-mmm-yy"),"")</f>
        <v/>
      </c>
    </row>
    <row r="188">
      <c r="A188" s="14">
        <f>IF(OR(AH!$U$4=0,183+1&gt;AH!$U$6,AND(AH!$M$5="Bloomberg",AH!$U$5=0)),"",IFERROR(IF(AND(AH!$U$12=1,183+1=AH!$U$6),TODAY(),IF(AH!$U$5=1,INDEX('Live History'!$A$5:$A$3004,AH!$U$7+183),INDEX('AH History'!$A$5:$A$1380,AH!$U$7+183))),""))</f>
        <v/>
      </c>
      <c r="B188" s="33">
        <f>IFERROR(IF(AH!$U$11=1,NA(),$J188/$E188-1),NA())</f>
        <v/>
      </c>
      <c r="C188" s="269">
        <f>IFERROR(100*$E188/$E$5,NA())</f>
        <v/>
      </c>
      <c r="D188" s="269">
        <f>IFERROR(100*$J188/$J$5,NA())</f>
        <v/>
      </c>
      <c r="E188" s="32">
        <f>IFERROR(IF(AND(ISNUMBER($A188),N(IF(AND(AH!$U$12=1,183+1=AH!$U$6),IF(AH!$U$4=0,"unavailable",INDEX('Market Data'!$AN$5:$AN$66,AH!$U$4)),IF(AH!$U$5=1,INDEX('Live History'!$B$5:$B$3004,$K188),INDEX('AH History'!$D$5:$GG$1380,$K188,AH!$U$10))))&gt;0),IF(AND(AH!$U$12=1,183+1=AH!$U$6),IF(AH!$U$4=0,"unavailable",INDEX('Market Data'!$AN$5:$AN$66,AH!$U$4)),IF(AH!$U$5=1,INDEX('Live History'!$B$5:$B$3004,$K188),INDEX('AH History'!$D$5:$GG$1380,$K188,AH!$U$10))),NA()),NA())</f>
        <v/>
      </c>
      <c r="F188" s="32">
        <f>IFERROR(IF(ISNUMBER($A188),IF(AND(AH!$U$12=1,183+1=AH!$U$6),IF(AH!$U$4=0,"unavailable",INDEX('Market Data'!$AO$5:$AO$66,AH!$U$4)),IF(AH!$U$5=1,INDEX('Live History'!$E$5:$E$3004,MATCH($A188,'Live History'!$D$5:$D$3004,1)),INDEX('AH History'!$D$5:$GG$1380,$K188,AH!$U$10+1))),NA()),NA())</f>
        <v/>
      </c>
      <c r="G188" s="34">
        <f>IFERROR(IF(ISNUMBER($A188),IF(AND(AH!$U$12=1,183+1=AH!$U$6),IF(AH!$U$4=0,"unavailable",INDEX('Market Data'!$AK$5:$AK$66,AH!$U$4)),IF(AH!$U$5=1,INDEX('Live History'!$D$5:$D$3004,MATCH($A188,'Live History'!$D$5:$D$3004,1)),INDEX('AH History'!$D$5:$GG$1380,$K188,AH!$U$10+2))),NA()),NA())</f>
        <v/>
      </c>
      <c r="H188" s="266">
        <f>IFERROR(IF(ISNUMBER($A188),IF(AND(AH!$U$12=1,183+1=AH!$U$6),IF(AH!$U$4=0,"unavailable",INDEX('Market Data'!$AP$5:$AP$66,AH!$U$4)),IF(AH!$U$5=1,INDEX('Live History'!$H$5:$H$3004,MATCH($A188,'Live History'!$G$5:$G$3004,1)),INDEX('AH History'!$B$5:$B$1380,$K188))),NA()),NA())</f>
        <v/>
      </c>
      <c r="I188" s="34">
        <f>IFERROR(IF(ISNUMBER($A188),IF(AND(AH!$U$12=1,183+1=AH!$U$6),TODAY(),IF(AH!$U$5=1,INDEX('Live History'!$G$5:$G$3004,MATCH($A188,'Live History'!$G$5:$G$3004,1)),INDEX('AH History'!$C$5:$C$1380,$K188))),NA()),NA())</f>
        <v/>
      </c>
      <c r="J188" s="32">
        <f>IFERROR(IF(AND($F188&gt;0,$H188&gt;0,$A188-$G188&lt;=10,$A188-$I188&lt;=5,$G188&gt;0,$I188&gt;0),$F188*$H188,NA()),NA())</f>
        <v/>
      </c>
      <c r="K188" s="15">
        <f>IF($A188="","",IF(AH!$U$5=1,IFERROR(MATCH($A188,'Live History'!$A$5:$A$3004,0),0),AH!$U$7+183))</f>
        <v/>
      </c>
      <c r="L188" s="15">
        <f>IF(ISNUMBER(A188),TEXT(A188,"dd-mmm-yy"),"")</f>
        <v/>
      </c>
    </row>
    <row r="189">
      <c r="A189" s="14">
        <f>IF(OR(AH!$U$4=0,184+1&gt;AH!$U$6,AND(AH!$M$5="Bloomberg",AH!$U$5=0)),"",IFERROR(IF(AND(AH!$U$12=1,184+1=AH!$U$6),TODAY(),IF(AH!$U$5=1,INDEX('Live History'!$A$5:$A$3004,AH!$U$7+184),INDEX('AH History'!$A$5:$A$1380,AH!$U$7+184))),""))</f>
        <v/>
      </c>
      <c r="B189" s="33">
        <f>IFERROR(IF(AH!$U$11=1,NA(),$J189/$E189-1),NA())</f>
        <v/>
      </c>
      <c r="C189" s="269">
        <f>IFERROR(100*$E189/$E$5,NA())</f>
        <v/>
      </c>
      <c r="D189" s="269">
        <f>IFERROR(100*$J189/$J$5,NA())</f>
        <v/>
      </c>
      <c r="E189" s="32">
        <f>IFERROR(IF(AND(ISNUMBER($A189),N(IF(AND(AH!$U$12=1,184+1=AH!$U$6),IF(AH!$U$4=0,"unavailable",INDEX('Market Data'!$AN$5:$AN$66,AH!$U$4)),IF(AH!$U$5=1,INDEX('Live History'!$B$5:$B$3004,$K189),INDEX('AH History'!$D$5:$GG$1380,$K189,AH!$U$10))))&gt;0),IF(AND(AH!$U$12=1,184+1=AH!$U$6),IF(AH!$U$4=0,"unavailable",INDEX('Market Data'!$AN$5:$AN$66,AH!$U$4)),IF(AH!$U$5=1,INDEX('Live History'!$B$5:$B$3004,$K189),INDEX('AH History'!$D$5:$GG$1380,$K189,AH!$U$10))),NA()),NA())</f>
        <v/>
      </c>
      <c r="F189" s="32">
        <f>IFERROR(IF(ISNUMBER($A189),IF(AND(AH!$U$12=1,184+1=AH!$U$6),IF(AH!$U$4=0,"unavailable",INDEX('Market Data'!$AO$5:$AO$66,AH!$U$4)),IF(AH!$U$5=1,INDEX('Live History'!$E$5:$E$3004,MATCH($A189,'Live History'!$D$5:$D$3004,1)),INDEX('AH History'!$D$5:$GG$1380,$K189,AH!$U$10+1))),NA()),NA())</f>
        <v/>
      </c>
      <c r="G189" s="34">
        <f>IFERROR(IF(ISNUMBER($A189),IF(AND(AH!$U$12=1,184+1=AH!$U$6),IF(AH!$U$4=0,"unavailable",INDEX('Market Data'!$AK$5:$AK$66,AH!$U$4)),IF(AH!$U$5=1,INDEX('Live History'!$D$5:$D$3004,MATCH($A189,'Live History'!$D$5:$D$3004,1)),INDEX('AH History'!$D$5:$GG$1380,$K189,AH!$U$10+2))),NA()),NA())</f>
        <v/>
      </c>
      <c r="H189" s="266">
        <f>IFERROR(IF(ISNUMBER($A189),IF(AND(AH!$U$12=1,184+1=AH!$U$6),IF(AH!$U$4=0,"unavailable",INDEX('Market Data'!$AP$5:$AP$66,AH!$U$4)),IF(AH!$U$5=1,INDEX('Live History'!$H$5:$H$3004,MATCH($A189,'Live History'!$G$5:$G$3004,1)),INDEX('AH History'!$B$5:$B$1380,$K189))),NA()),NA())</f>
        <v/>
      </c>
      <c r="I189" s="34">
        <f>IFERROR(IF(ISNUMBER($A189),IF(AND(AH!$U$12=1,184+1=AH!$U$6),TODAY(),IF(AH!$U$5=1,INDEX('Live History'!$G$5:$G$3004,MATCH($A189,'Live History'!$G$5:$G$3004,1)),INDEX('AH History'!$C$5:$C$1380,$K189))),NA()),NA())</f>
        <v/>
      </c>
      <c r="J189" s="32">
        <f>IFERROR(IF(AND($F189&gt;0,$H189&gt;0,$A189-$G189&lt;=10,$A189-$I189&lt;=5,$G189&gt;0,$I189&gt;0),$F189*$H189,NA()),NA())</f>
        <v/>
      </c>
      <c r="K189" s="15">
        <f>IF($A189="","",IF(AH!$U$5=1,IFERROR(MATCH($A189,'Live History'!$A$5:$A$3004,0),0),AH!$U$7+184))</f>
        <v/>
      </c>
      <c r="L189" s="15">
        <f>IF(ISNUMBER(A189),TEXT(A189,"dd-mmm-yy"),"")</f>
        <v/>
      </c>
    </row>
    <row r="190">
      <c r="A190" s="14">
        <f>IF(OR(AH!$U$4=0,185+1&gt;AH!$U$6,AND(AH!$M$5="Bloomberg",AH!$U$5=0)),"",IFERROR(IF(AND(AH!$U$12=1,185+1=AH!$U$6),TODAY(),IF(AH!$U$5=1,INDEX('Live History'!$A$5:$A$3004,AH!$U$7+185),INDEX('AH History'!$A$5:$A$1380,AH!$U$7+185))),""))</f>
        <v/>
      </c>
      <c r="B190" s="33">
        <f>IFERROR(IF(AH!$U$11=1,NA(),$J190/$E190-1),NA())</f>
        <v/>
      </c>
      <c r="C190" s="269">
        <f>IFERROR(100*$E190/$E$5,NA())</f>
        <v/>
      </c>
      <c r="D190" s="269">
        <f>IFERROR(100*$J190/$J$5,NA())</f>
        <v/>
      </c>
      <c r="E190" s="32">
        <f>IFERROR(IF(AND(ISNUMBER($A190),N(IF(AND(AH!$U$12=1,185+1=AH!$U$6),IF(AH!$U$4=0,"unavailable",INDEX('Market Data'!$AN$5:$AN$66,AH!$U$4)),IF(AH!$U$5=1,INDEX('Live History'!$B$5:$B$3004,$K190),INDEX('AH History'!$D$5:$GG$1380,$K190,AH!$U$10))))&gt;0),IF(AND(AH!$U$12=1,185+1=AH!$U$6),IF(AH!$U$4=0,"unavailable",INDEX('Market Data'!$AN$5:$AN$66,AH!$U$4)),IF(AH!$U$5=1,INDEX('Live History'!$B$5:$B$3004,$K190),INDEX('AH History'!$D$5:$GG$1380,$K190,AH!$U$10))),NA()),NA())</f>
        <v/>
      </c>
      <c r="F190" s="32">
        <f>IFERROR(IF(ISNUMBER($A190),IF(AND(AH!$U$12=1,185+1=AH!$U$6),IF(AH!$U$4=0,"unavailable",INDEX('Market Data'!$AO$5:$AO$66,AH!$U$4)),IF(AH!$U$5=1,INDEX('Live History'!$E$5:$E$3004,MATCH($A190,'Live History'!$D$5:$D$3004,1)),INDEX('AH History'!$D$5:$GG$1380,$K190,AH!$U$10+1))),NA()),NA())</f>
        <v/>
      </c>
      <c r="G190" s="34">
        <f>IFERROR(IF(ISNUMBER($A190),IF(AND(AH!$U$12=1,185+1=AH!$U$6),IF(AH!$U$4=0,"unavailable",INDEX('Market Data'!$AK$5:$AK$66,AH!$U$4)),IF(AH!$U$5=1,INDEX('Live History'!$D$5:$D$3004,MATCH($A190,'Live History'!$D$5:$D$3004,1)),INDEX('AH History'!$D$5:$GG$1380,$K190,AH!$U$10+2))),NA()),NA())</f>
        <v/>
      </c>
      <c r="H190" s="266">
        <f>IFERROR(IF(ISNUMBER($A190),IF(AND(AH!$U$12=1,185+1=AH!$U$6),IF(AH!$U$4=0,"unavailable",INDEX('Market Data'!$AP$5:$AP$66,AH!$U$4)),IF(AH!$U$5=1,INDEX('Live History'!$H$5:$H$3004,MATCH($A190,'Live History'!$G$5:$G$3004,1)),INDEX('AH History'!$B$5:$B$1380,$K190))),NA()),NA())</f>
        <v/>
      </c>
      <c r="I190" s="34">
        <f>IFERROR(IF(ISNUMBER($A190),IF(AND(AH!$U$12=1,185+1=AH!$U$6),TODAY(),IF(AH!$U$5=1,INDEX('Live History'!$G$5:$G$3004,MATCH($A190,'Live History'!$G$5:$G$3004,1)),INDEX('AH History'!$C$5:$C$1380,$K190))),NA()),NA())</f>
        <v/>
      </c>
      <c r="J190" s="32">
        <f>IFERROR(IF(AND($F190&gt;0,$H190&gt;0,$A190-$G190&lt;=10,$A190-$I190&lt;=5,$G190&gt;0,$I190&gt;0),$F190*$H190,NA()),NA())</f>
        <v/>
      </c>
      <c r="K190" s="15">
        <f>IF($A190="","",IF(AH!$U$5=1,IFERROR(MATCH($A190,'Live History'!$A$5:$A$3004,0),0),AH!$U$7+185))</f>
        <v/>
      </c>
      <c r="L190" s="15">
        <f>IF(ISNUMBER(A190),TEXT(A190,"dd-mmm-yy"),"")</f>
        <v/>
      </c>
    </row>
    <row r="191">
      <c r="A191" s="14">
        <f>IF(OR(AH!$U$4=0,186+1&gt;AH!$U$6,AND(AH!$M$5="Bloomberg",AH!$U$5=0)),"",IFERROR(IF(AND(AH!$U$12=1,186+1=AH!$U$6),TODAY(),IF(AH!$U$5=1,INDEX('Live History'!$A$5:$A$3004,AH!$U$7+186),INDEX('AH History'!$A$5:$A$1380,AH!$U$7+186))),""))</f>
        <v/>
      </c>
      <c r="B191" s="33">
        <f>IFERROR(IF(AH!$U$11=1,NA(),$J191/$E191-1),NA())</f>
        <v/>
      </c>
      <c r="C191" s="269">
        <f>IFERROR(100*$E191/$E$5,NA())</f>
        <v/>
      </c>
      <c r="D191" s="269">
        <f>IFERROR(100*$J191/$J$5,NA())</f>
        <v/>
      </c>
      <c r="E191" s="32">
        <f>IFERROR(IF(AND(ISNUMBER($A191),N(IF(AND(AH!$U$12=1,186+1=AH!$U$6),IF(AH!$U$4=0,"unavailable",INDEX('Market Data'!$AN$5:$AN$66,AH!$U$4)),IF(AH!$U$5=1,INDEX('Live History'!$B$5:$B$3004,$K191),INDEX('AH History'!$D$5:$GG$1380,$K191,AH!$U$10))))&gt;0),IF(AND(AH!$U$12=1,186+1=AH!$U$6),IF(AH!$U$4=0,"unavailable",INDEX('Market Data'!$AN$5:$AN$66,AH!$U$4)),IF(AH!$U$5=1,INDEX('Live History'!$B$5:$B$3004,$K191),INDEX('AH History'!$D$5:$GG$1380,$K191,AH!$U$10))),NA()),NA())</f>
        <v/>
      </c>
      <c r="F191" s="32">
        <f>IFERROR(IF(ISNUMBER($A191),IF(AND(AH!$U$12=1,186+1=AH!$U$6),IF(AH!$U$4=0,"unavailable",INDEX('Market Data'!$AO$5:$AO$66,AH!$U$4)),IF(AH!$U$5=1,INDEX('Live History'!$E$5:$E$3004,MATCH($A191,'Live History'!$D$5:$D$3004,1)),INDEX('AH History'!$D$5:$GG$1380,$K191,AH!$U$10+1))),NA()),NA())</f>
        <v/>
      </c>
      <c r="G191" s="34">
        <f>IFERROR(IF(ISNUMBER($A191),IF(AND(AH!$U$12=1,186+1=AH!$U$6),IF(AH!$U$4=0,"unavailable",INDEX('Market Data'!$AK$5:$AK$66,AH!$U$4)),IF(AH!$U$5=1,INDEX('Live History'!$D$5:$D$3004,MATCH($A191,'Live History'!$D$5:$D$3004,1)),INDEX('AH History'!$D$5:$GG$1380,$K191,AH!$U$10+2))),NA()),NA())</f>
        <v/>
      </c>
      <c r="H191" s="266">
        <f>IFERROR(IF(ISNUMBER($A191),IF(AND(AH!$U$12=1,186+1=AH!$U$6),IF(AH!$U$4=0,"unavailable",INDEX('Market Data'!$AP$5:$AP$66,AH!$U$4)),IF(AH!$U$5=1,INDEX('Live History'!$H$5:$H$3004,MATCH($A191,'Live History'!$G$5:$G$3004,1)),INDEX('AH History'!$B$5:$B$1380,$K191))),NA()),NA())</f>
        <v/>
      </c>
      <c r="I191" s="34">
        <f>IFERROR(IF(ISNUMBER($A191),IF(AND(AH!$U$12=1,186+1=AH!$U$6),TODAY(),IF(AH!$U$5=1,INDEX('Live History'!$G$5:$G$3004,MATCH($A191,'Live History'!$G$5:$G$3004,1)),INDEX('AH History'!$C$5:$C$1380,$K191))),NA()),NA())</f>
        <v/>
      </c>
      <c r="J191" s="32">
        <f>IFERROR(IF(AND($F191&gt;0,$H191&gt;0,$A191-$G191&lt;=10,$A191-$I191&lt;=5,$G191&gt;0,$I191&gt;0),$F191*$H191,NA()),NA())</f>
        <v/>
      </c>
      <c r="K191" s="15">
        <f>IF($A191="","",IF(AH!$U$5=1,IFERROR(MATCH($A191,'Live History'!$A$5:$A$3004,0),0),AH!$U$7+186))</f>
        <v/>
      </c>
      <c r="L191" s="15">
        <f>IF(ISNUMBER(A191),TEXT(A191,"dd-mmm-yy"),"")</f>
        <v/>
      </c>
    </row>
    <row r="192">
      <c r="A192" s="14">
        <f>IF(OR(AH!$U$4=0,187+1&gt;AH!$U$6,AND(AH!$M$5="Bloomberg",AH!$U$5=0)),"",IFERROR(IF(AND(AH!$U$12=1,187+1=AH!$U$6),TODAY(),IF(AH!$U$5=1,INDEX('Live History'!$A$5:$A$3004,AH!$U$7+187),INDEX('AH History'!$A$5:$A$1380,AH!$U$7+187))),""))</f>
        <v/>
      </c>
      <c r="B192" s="33">
        <f>IFERROR(IF(AH!$U$11=1,NA(),$J192/$E192-1),NA())</f>
        <v/>
      </c>
      <c r="C192" s="269">
        <f>IFERROR(100*$E192/$E$5,NA())</f>
        <v/>
      </c>
      <c r="D192" s="269">
        <f>IFERROR(100*$J192/$J$5,NA())</f>
        <v/>
      </c>
      <c r="E192" s="32">
        <f>IFERROR(IF(AND(ISNUMBER($A192),N(IF(AND(AH!$U$12=1,187+1=AH!$U$6),IF(AH!$U$4=0,"unavailable",INDEX('Market Data'!$AN$5:$AN$66,AH!$U$4)),IF(AH!$U$5=1,INDEX('Live History'!$B$5:$B$3004,$K192),INDEX('AH History'!$D$5:$GG$1380,$K192,AH!$U$10))))&gt;0),IF(AND(AH!$U$12=1,187+1=AH!$U$6),IF(AH!$U$4=0,"unavailable",INDEX('Market Data'!$AN$5:$AN$66,AH!$U$4)),IF(AH!$U$5=1,INDEX('Live History'!$B$5:$B$3004,$K192),INDEX('AH History'!$D$5:$GG$1380,$K192,AH!$U$10))),NA()),NA())</f>
        <v/>
      </c>
      <c r="F192" s="32">
        <f>IFERROR(IF(ISNUMBER($A192),IF(AND(AH!$U$12=1,187+1=AH!$U$6),IF(AH!$U$4=0,"unavailable",INDEX('Market Data'!$AO$5:$AO$66,AH!$U$4)),IF(AH!$U$5=1,INDEX('Live History'!$E$5:$E$3004,MATCH($A192,'Live History'!$D$5:$D$3004,1)),INDEX('AH History'!$D$5:$GG$1380,$K192,AH!$U$10+1))),NA()),NA())</f>
        <v/>
      </c>
      <c r="G192" s="34">
        <f>IFERROR(IF(ISNUMBER($A192),IF(AND(AH!$U$12=1,187+1=AH!$U$6),IF(AH!$U$4=0,"unavailable",INDEX('Market Data'!$AK$5:$AK$66,AH!$U$4)),IF(AH!$U$5=1,INDEX('Live History'!$D$5:$D$3004,MATCH($A192,'Live History'!$D$5:$D$3004,1)),INDEX('AH History'!$D$5:$GG$1380,$K192,AH!$U$10+2))),NA()),NA())</f>
        <v/>
      </c>
      <c r="H192" s="266">
        <f>IFERROR(IF(ISNUMBER($A192),IF(AND(AH!$U$12=1,187+1=AH!$U$6),IF(AH!$U$4=0,"unavailable",INDEX('Market Data'!$AP$5:$AP$66,AH!$U$4)),IF(AH!$U$5=1,INDEX('Live History'!$H$5:$H$3004,MATCH($A192,'Live History'!$G$5:$G$3004,1)),INDEX('AH History'!$B$5:$B$1380,$K192))),NA()),NA())</f>
        <v/>
      </c>
      <c r="I192" s="34">
        <f>IFERROR(IF(ISNUMBER($A192),IF(AND(AH!$U$12=1,187+1=AH!$U$6),TODAY(),IF(AH!$U$5=1,INDEX('Live History'!$G$5:$G$3004,MATCH($A192,'Live History'!$G$5:$G$3004,1)),INDEX('AH History'!$C$5:$C$1380,$K192))),NA()),NA())</f>
        <v/>
      </c>
      <c r="J192" s="32">
        <f>IFERROR(IF(AND($F192&gt;0,$H192&gt;0,$A192-$G192&lt;=10,$A192-$I192&lt;=5,$G192&gt;0,$I192&gt;0),$F192*$H192,NA()),NA())</f>
        <v/>
      </c>
      <c r="K192" s="15">
        <f>IF($A192="","",IF(AH!$U$5=1,IFERROR(MATCH($A192,'Live History'!$A$5:$A$3004,0),0),AH!$U$7+187))</f>
        <v/>
      </c>
      <c r="L192" s="15">
        <f>IF(ISNUMBER(A192),TEXT(A192,"dd-mmm-yy"),"")</f>
        <v/>
      </c>
    </row>
    <row r="193">
      <c r="A193" s="14">
        <f>IF(OR(AH!$U$4=0,188+1&gt;AH!$U$6,AND(AH!$M$5="Bloomberg",AH!$U$5=0)),"",IFERROR(IF(AND(AH!$U$12=1,188+1=AH!$U$6),TODAY(),IF(AH!$U$5=1,INDEX('Live History'!$A$5:$A$3004,AH!$U$7+188),INDEX('AH History'!$A$5:$A$1380,AH!$U$7+188))),""))</f>
        <v/>
      </c>
      <c r="B193" s="33">
        <f>IFERROR(IF(AH!$U$11=1,NA(),$J193/$E193-1),NA())</f>
        <v/>
      </c>
      <c r="C193" s="269">
        <f>IFERROR(100*$E193/$E$5,NA())</f>
        <v/>
      </c>
      <c r="D193" s="269">
        <f>IFERROR(100*$J193/$J$5,NA())</f>
        <v/>
      </c>
      <c r="E193" s="32">
        <f>IFERROR(IF(AND(ISNUMBER($A193),N(IF(AND(AH!$U$12=1,188+1=AH!$U$6),IF(AH!$U$4=0,"unavailable",INDEX('Market Data'!$AN$5:$AN$66,AH!$U$4)),IF(AH!$U$5=1,INDEX('Live History'!$B$5:$B$3004,$K193),INDEX('AH History'!$D$5:$GG$1380,$K193,AH!$U$10))))&gt;0),IF(AND(AH!$U$12=1,188+1=AH!$U$6),IF(AH!$U$4=0,"unavailable",INDEX('Market Data'!$AN$5:$AN$66,AH!$U$4)),IF(AH!$U$5=1,INDEX('Live History'!$B$5:$B$3004,$K193),INDEX('AH History'!$D$5:$GG$1380,$K193,AH!$U$10))),NA()),NA())</f>
        <v/>
      </c>
      <c r="F193" s="32">
        <f>IFERROR(IF(ISNUMBER($A193),IF(AND(AH!$U$12=1,188+1=AH!$U$6),IF(AH!$U$4=0,"unavailable",INDEX('Market Data'!$AO$5:$AO$66,AH!$U$4)),IF(AH!$U$5=1,INDEX('Live History'!$E$5:$E$3004,MATCH($A193,'Live History'!$D$5:$D$3004,1)),INDEX('AH History'!$D$5:$GG$1380,$K193,AH!$U$10+1))),NA()),NA())</f>
        <v/>
      </c>
      <c r="G193" s="34">
        <f>IFERROR(IF(ISNUMBER($A193),IF(AND(AH!$U$12=1,188+1=AH!$U$6),IF(AH!$U$4=0,"unavailable",INDEX('Market Data'!$AK$5:$AK$66,AH!$U$4)),IF(AH!$U$5=1,INDEX('Live History'!$D$5:$D$3004,MATCH($A193,'Live History'!$D$5:$D$3004,1)),INDEX('AH History'!$D$5:$GG$1380,$K193,AH!$U$10+2))),NA()),NA())</f>
        <v/>
      </c>
      <c r="H193" s="266">
        <f>IFERROR(IF(ISNUMBER($A193),IF(AND(AH!$U$12=1,188+1=AH!$U$6),IF(AH!$U$4=0,"unavailable",INDEX('Market Data'!$AP$5:$AP$66,AH!$U$4)),IF(AH!$U$5=1,INDEX('Live History'!$H$5:$H$3004,MATCH($A193,'Live History'!$G$5:$G$3004,1)),INDEX('AH History'!$B$5:$B$1380,$K193))),NA()),NA())</f>
        <v/>
      </c>
      <c r="I193" s="34">
        <f>IFERROR(IF(ISNUMBER($A193),IF(AND(AH!$U$12=1,188+1=AH!$U$6),TODAY(),IF(AH!$U$5=1,INDEX('Live History'!$G$5:$G$3004,MATCH($A193,'Live History'!$G$5:$G$3004,1)),INDEX('AH History'!$C$5:$C$1380,$K193))),NA()),NA())</f>
        <v/>
      </c>
      <c r="J193" s="32">
        <f>IFERROR(IF(AND($F193&gt;0,$H193&gt;0,$A193-$G193&lt;=10,$A193-$I193&lt;=5,$G193&gt;0,$I193&gt;0),$F193*$H193,NA()),NA())</f>
        <v/>
      </c>
      <c r="K193" s="15">
        <f>IF($A193="","",IF(AH!$U$5=1,IFERROR(MATCH($A193,'Live History'!$A$5:$A$3004,0),0),AH!$U$7+188))</f>
        <v/>
      </c>
      <c r="L193" s="15">
        <f>IF(ISNUMBER(A193),TEXT(A193,"dd-mmm-yy"),"")</f>
        <v/>
      </c>
    </row>
    <row r="194">
      <c r="A194" s="14">
        <f>IF(OR(AH!$U$4=0,189+1&gt;AH!$U$6,AND(AH!$M$5="Bloomberg",AH!$U$5=0)),"",IFERROR(IF(AND(AH!$U$12=1,189+1=AH!$U$6),TODAY(),IF(AH!$U$5=1,INDEX('Live History'!$A$5:$A$3004,AH!$U$7+189),INDEX('AH History'!$A$5:$A$1380,AH!$U$7+189))),""))</f>
        <v/>
      </c>
      <c r="B194" s="33">
        <f>IFERROR(IF(AH!$U$11=1,NA(),$J194/$E194-1),NA())</f>
        <v/>
      </c>
      <c r="C194" s="269">
        <f>IFERROR(100*$E194/$E$5,NA())</f>
        <v/>
      </c>
      <c r="D194" s="269">
        <f>IFERROR(100*$J194/$J$5,NA())</f>
        <v/>
      </c>
      <c r="E194" s="32">
        <f>IFERROR(IF(AND(ISNUMBER($A194),N(IF(AND(AH!$U$12=1,189+1=AH!$U$6),IF(AH!$U$4=0,"unavailable",INDEX('Market Data'!$AN$5:$AN$66,AH!$U$4)),IF(AH!$U$5=1,INDEX('Live History'!$B$5:$B$3004,$K194),INDEX('AH History'!$D$5:$GG$1380,$K194,AH!$U$10))))&gt;0),IF(AND(AH!$U$12=1,189+1=AH!$U$6),IF(AH!$U$4=0,"unavailable",INDEX('Market Data'!$AN$5:$AN$66,AH!$U$4)),IF(AH!$U$5=1,INDEX('Live History'!$B$5:$B$3004,$K194),INDEX('AH History'!$D$5:$GG$1380,$K194,AH!$U$10))),NA()),NA())</f>
        <v/>
      </c>
      <c r="F194" s="32">
        <f>IFERROR(IF(ISNUMBER($A194),IF(AND(AH!$U$12=1,189+1=AH!$U$6),IF(AH!$U$4=0,"unavailable",INDEX('Market Data'!$AO$5:$AO$66,AH!$U$4)),IF(AH!$U$5=1,INDEX('Live History'!$E$5:$E$3004,MATCH($A194,'Live History'!$D$5:$D$3004,1)),INDEX('AH History'!$D$5:$GG$1380,$K194,AH!$U$10+1))),NA()),NA())</f>
        <v/>
      </c>
      <c r="G194" s="34">
        <f>IFERROR(IF(ISNUMBER($A194),IF(AND(AH!$U$12=1,189+1=AH!$U$6),IF(AH!$U$4=0,"unavailable",INDEX('Market Data'!$AK$5:$AK$66,AH!$U$4)),IF(AH!$U$5=1,INDEX('Live History'!$D$5:$D$3004,MATCH($A194,'Live History'!$D$5:$D$3004,1)),INDEX('AH History'!$D$5:$GG$1380,$K194,AH!$U$10+2))),NA()),NA())</f>
        <v/>
      </c>
      <c r="H194" s="266">
        <f>IFERROR(IF(ISNUMBER($A194),IF(AND(AH!$U$12=1,189+1=AH!$U$6),IF(AH!$U$4=0,"unavailable",INDEX('Market Data'!$AP$5:$AP$66,AH!$U$4)),IF(AH!$U$5=1,INDEX('Live History'!$H$5:$H$3004,MATCH($A194,'Live History'!$G$5:$G$3004,1)),INDEX('AH History'!$B$5:$B$1380,$K194))),NA()),NA())</f>
        <v/>
      </c>
      <c r="I194" s="34">
        <f>IFERROR(IF(ISNUMBER($A194),IF(AND(AH!$U$12=1,189+1=AH!$U$6),TODAY(),IF(AH!$U$5=1,INDEX('Live History'!$G$5:$G$3004,MATCH($A194,'Live History'!$G$5:$G$3004,1)),INDEX('AH History'!$C$5:$C$1380,$K194))),NA()),NA())</f>
        <v/>
      </c>
      <c r="J194" s="32">
        <f>IFERROR(IF(AND($F194&gt;0,$H194&gt;0,$A194-$G194&lt;=10,$A194-$I194&lt;=5,$G194&gt;0,$I194&gt;0),$F194*$H194,NA()),NA())</f>
        <v/>
      </c>
      <c r="K194" s="15">
        <f>IF($A194="","",IF(AH!$U$5=1,IFERROR(MATCH($A194,'Live History'!$A$5:$A$3004,0),0),AH!$U$7+189))</f>
        <v/>
      </c>
      <c r="L194" s="15">
        <f>IF(ISNUMBER(A194),TEXT(A194,"dd-mmm-yy"),"")</f>
        <v/>
      </c>
    </row>
    <row r="195">
      <c r="A195" s="14">
        <f>IF(OR(AH!$U$4=0,190+1&gt;AH!$U$6,AND(AH!$M$5="Bloomberg",AH!$U$5=0)),"",IFERROR(IF(AND(AH!$U$12=1,190+1=AH!$U$6),TODAY(),IF(AH!$U$5=1,INDEX('Live History'!$A$5:$A$3004,AH!$U$7+190),INDEX('AH History'!$A$5:$A$1380,AH!$U$7+190))),""))</f>
        <v/>
      </c>
      <c r="B195" s="33">
        <f>IFERROR(IF(AH!$U$11=1,NA(),$J195/$E195-1),NA())</f>
        <v/>
      </c>
      <c r="C195" s="269">
        <f>IFERROR(100*$E195/$E$5,NA())</f>
        <v/>
      </c>
      <c r="D195" s="269">
        <f>IFERROR(100*$J195/$J$5,NA())</f>
        <v/>
      </c>
      <c r="E195" s="32">
        <f>IFERROR(IF(AND(ISNUMBER($A195),N(IF(AND(AH!$U$12=1,190+1=AH!$U$6),IF(AH!$U$4=0,"unavailable",INDEX('Market Data'!$AN$5:$AN$66,AH!$U$4)),IF(AH!$U$5=1,INDEX('Live History'!$B$5:$B$3004,$K195),INDEX('AH History'!$D$5:$GG$1380,$K195,AH!$U$10))))&gt;0),IF(AND(AH!$U$12=1,190+1=AH!$U$6),IF(AH!$U$4=0,"unavailable",INDEX('Market Data'!$AN$5:$AN$66,AH!$U$4)),IF(AH!$U$5=1,INDEX('Live History'!$B$5:$B$3004,$K195),INDEX('AH History'!$D$5:$GG$1380,$K195,AH!$U$10))),NA()),NA())</f>
        <v/>
      </c>
      <c r="F195" s="32">
        <f>IFERROR(IF(ISNUMBER($A195),IF(AND(AH!$U$12=1,190+1=AH!$U$6),IF(AH!$U$4=0,"unavailable",INDEX('Market Data'!$AO$5:$AO$66,AH!$U$4)),IF(AH!$U$5=1,INDEX('Live History'!$E$5:$E$3004,MATCH($A195,'Live History'!$D$5:$D$3004,1)),INDEX('AH History'!$D$5:$GG$1380,$K195,AH!$U$10+1))),NA()),NA())</f>
        <v/>
      </c>
      <c r="G195" s="34">
        <f>IFERROR(IF(ISNUMBER($A195),IF(AND(AH!$U$12=1,190+1=AH!$U$6),IF(AH!$U$4=0,"unavailable",INDEX('Market Data'!$AK$5:$AK$66,AH!$U$4)),IF(AH!$U$5=1,INDEX('Live History'!$D$5:$D$3004,MATCH($A195,'Live History'!$D$5:$D$3004,1)),INDEX('AH History'!$D$5:$GG$1380,$K195,AH!$U$10+2))),NA()),NA())</f>
        <v/>
      </c>
      <c r="H195" s="266">
        <f>IFERROR(IF(ISNUMBER($A195),IF(AND(AH!$U$12=1,190+1=AH!$U$6),IF(AH!$U$4=0,"unavailable",INDEX('Market Data'!$AP$5:$AP$66,AH!$U$4)),IF(AH!$U$5=1,INDEX('Live History'!$H$5:$H$3004,MATCH($A195,'Live History'!$G$5:$G$3004,1)),INDEX('AH History'!$B$5:$B$1380,$K195))),NA()),NA())</f>
        <v/>
      </c>
      <c r="I195" s="34">
        <f>IFERROR(IF(ISNUMBER($A195),IF(AND(AH!$U$12=1,190+1=AH!$U$6),TODAY(),IF(AH!$U$5=1,INDEX('Live History'!$G$5:$G$3004,MATCH($A195,'Live History'!$G$5:$G$3004,1)),INDEX('AH History'!$C$5:$C$1380,$K195))),NA()),NA())</f>
        <v/>
      </c>
      <c r="J195" s="32">
        <f>IFERROR(IF(AND($F195&gt;0,$H195&gt;0,$A195-$G195&lt;=10,$A195-$I195&lt;=5,$G195&gt;0,$I195&gt;0),$F195*$H195,NA()),NA())</f>
        <v/>
      </c>
      <c r="K195" s="15">
        <f>IF($A195="","",IF(AH!$U$5=1,IFERROR(MATCH($A195,'Live History'!$A$5:$A$3004,0),0),AH!$U$7+190))</f>
        <v/>
      </c>
      <c r="L195" s="15">
        <f>IF(ISNUMBER(A195),TEXT(A195,"dd-mmm-yy"),"")</f>
        <v/>
      </c>
    </row>
    <row r="196">
      <c r="A196" s="14">
        <f>IF(OR(AH!$U$4=0,191+1&gt;AH!$U$6,AND(AH!$M$5="Bloomberg",AH!$U$5=0)),"",IFERROR(IF(AND(AH!$U$12=1,191+1=AH!$U$6),TODAY(),IF(AH!$U$5=1,INDEX('Live History'!$A$5:$A$3004,AH!$U$7+191),INDEX('AH History'!$A$5:$A$1380,AH!$U$7+191))),""))</f>
        <v/>
      </c>
      <c r="B196" s="33">
        <f>IFERROR(IF(AH!$U$11=1,NA(),$J196/$E196-1),NA())</f>
        <v/>
      </c>
      <c r="C196" s="269">
        <f>IFERROR(100*$E196/$E$5,NA())</f>
        <v/>
      </c>
      <c r="D196" s="269">
        <f>IFERROR(100*$J196/$J$5,NA())</f>
        <v/>
      </c>
      <c r="E196" s="32">
        <f>IFERROR(IF(AND(ISNUMBER($A196),N(IF(AND(AH!$U$12=1,191+1=AH!$U$6),IF(AH!$U$4=0,"unavailable",INDEX('Market Data'!$AN$5:$AN$66,AH!$U$4)),IF(AH!$U$5=1,INDEX('Live History'!$B$5:$B$3004,$K196),INDEX('AH History'!$D$5:$GG$1380,$K196,AH!$U$10))))&gt;0),IF(AND(AH!$U$12=1,191+1=AH!$U$6),IF(AH!$U$4=0,"unavailable",INDEX('Market Data'!$AN$5:$AN$66,AH!$U$4)),IF(AH!$U$5=1,INDEX('Live History'!$B$5:$B$3004,$K196),INDEX('AH History'!$D$5:$GG$1380,$K196,AH!$U$10))),NA()),NA())</f>
        <v/>
      </c>
      <c r="F196" s="32">
        <f>IFERROR(IF(ISNUMBER($A196),IF(AND(AH!$U$12=1,191+1=AH!$U$6),IF(AH!$U$4=0,"unavailable",INDEX('Market Data'!$AO$5:$AO$66,AH!$U$4)),IF(AH!$U$5=1,INDEX('Live History'!$E$5:$E$3004,MATCH($A196,'Live History'!$D$5:$D$3004,1)),INDEX('AH History'!$D$5:$GG$1380,$K196,AH!$U$10+1))),NA()),NA())</f>
        <v/>
      </c>
      <c r="G196" s="34">
        <f>IFERROR(IF(ISNUMBER($A196),IF(AND(AH!$U$12=1,191+1=AH!$U$6),IF(AH!$U$4=0,"unavailable",INDEX('Market Data'!$AK$5:$AK$66,AH!$U$4)),IF(AH!$U$5=1,INDEX('Live History'!$D$5:$D$3004,MATCH($A196,'Live History'!$D$5:$D$3004,1)),INDEX('AH History'!$D$5:$GG$1380,$K196,AH!$U$10+2))),NA()),NA())</f>
        <v/>
      </c>
      <c r="H196" s="266">
        <f>IFERROR(IF(ISNUMBER($A196),IF(AND(AH!$U$12=1,191+1=AH!$U$6),IF(AH!$U$4=0,"unavailable",INDEX('Market Data'!$AP$5:$AP$66,AH!$U$4)),IF(AH!$U$5=1,INDEX('Live History'!$H$5:$H$3004,MATCH($A196,'Live History'!$G$5:$G$3004,1)),INDEX('AH History'!$B$5:$B$1380,$K196))),NA()),NA())</f>
        <v/>
      </c>
      <c r="I196" s="34">
        <f>IFERROR(IF(ISNUMBER($A196),IF(AND(AH!$U$12=1,191+1=AH!$U$6),TODAY(),IF(AH!$U$5=1,INDEX('Live History'!$G$5:$G$3004,MATCH($A196,'Live History'!$G$5:$G$3004,1)),INDEX('AH History'!$C$5:$C$1380,$K196))),NA()),NA())</f>
        <v/>
      </c>
      <c r="J196" s="32">
        <f>IFERROR(IF(AND($F196&gt;0,$H196&gt;0,$A196-$G196&lt;=10,$A196-$I196&lt;=5,$G196&gt;0,$I196&gt;0),$F196*$H196,NA()),NA())</f>
        <v/>
      </c>
      <c r="K196" s="15">
        <f>IF($A196="","",IF(AH!$U$5=1,IFERROR(MATCH($A196,'Live History'!$A$5:$A$3004,0),0),AH!$U$7+191))</f>
        <v/>
      </c>
      <c r="L196" s="15">
        <f>IF(ISNUMBER(A196),TEXT(A196,"dd-mmm-yy"),"")</f>
        <v/>
      </c>
    </row>
    <row r="197">
      <c r="A197" s="14">
        <f>IF(OR(AH!$U$4=0,192+1&gt;AH!$U$6,AND(AH!$M$5="Bloomberg",AH!$U$5=0)),"",IFERROR(IF(AND(AH!$U$12=1,192+1=AH!$U$6),TODAY(),IF(AH!$U$5=1,INDEX('Live History'!$A$5:$A$3004,AH!$U$7+192),INDEX('AH History'!$A$5:$A$1380,AH!$U$7+192))),""))</f>
        <v/>
      </c>
      <c r="B197" s="33">
        <f>IFERROR(IF(AH!$U$11=1,NA(),$J197/$E197-1),NA())</f>
        <v/>
      </c>
      <c r="C197" s="269">
        <f>IFERROR(100*$E197/$E$5,NA())</f>
        <v/>
      </c>
      <c r="D197" s="269">
        <f>IFERROR(100*$J197/$J$5,NA())</f>
        <v/>
      </c>
      <c r="E197" s="32">
        <f>IFERROR(IF(AND(ISNUMBER($A197),N(IF(AND(AH!$U$12=1,192+1=AH!$U$6),IF(AH!$U$4=0,"unavailable",INDEX('Market Data'!$AN$5:$AN$66,AH!$U$4)),IF(AH!$U$5=1,INDEX('Live History'!$B$5:$B$3004,$K197),INDEX('AH History'!$D$5:$GG$1380,$K197,AH!$U$10))))&gt;0),IF(AND(AH!$U$12=1,192+1=AH!$U$6),IF(AH!$U$4=0,"unavailable",INDEX('Market Data'!$AN$5:$AN$66,AH!$U$4)),IF(AH!$U$5=1,INDEX('Live History'!$B$5:$B$3004,$K197),INDEX('AH History'!$D$5:$GG$1380,$K197,AH!$U$10))),NA()),NA())</f>
        <v/>
      </c>
      <c r="F197" s="32">
        <f>IFERROR(IF(ISNUMBER($A197),IF(AND(AH!$U$12=1,192+1=AH!$U$6),IF(AH!$U$4=0,"unavailable",INDEX('Market Data'!$AO$5:$AO$66,AH!$U$4)),IF(AH!$U$5=1,INDEX('Live History'!$E$5:$E$3004,MATCH($A197,'Live History'!$D$5:$D$3004,1)),INDEX('AH History'!$D$5:$GG$1380,$K197,AH!$U$10+1))),NA()),NA())</f>
        <v/>
      </c>
      <c r="G197" s="34">
        <f>IFERROR(IF(ISNUMBER($A197),IF(AND(AH!$U$12=1,192+1=AH!$U$6),IF(AH!$U$4=0,"unavailable",INDEX('Market Data'!$AK$5:$AK$66,AH!$U$4)),IF(AH!$U$5=1,INDEX('Live History'!$D$5:$D$3004,MATCH($A197,'Live History'!$D$5:$D$3004,1)),INDEX('AH History'!$D$5:$GG$1380,$K197,AH!$U$10+2))),NA()),NA())</f>
        <v/>
      </c>
      <c r="H197" s="266">
        <f>IFERROR(IF(ISNUMBER($A197),IF(AND(AH!$U$12=1,192+1=AH!$U$6),IF(AH!$U$4=0,"unavailable",INDEX('Market Data'!$AP$5:$AP$66,AH!$U$4)),IF(AH!$U$5=1,INDEX('Live History'!$H$5:$H$3004,MATCH($A197,'Live History'!$G$5:$G$3004,1)),INDEX('AH History'!$B$5:$B$1380,$K197))),NA()),NA())</f>
        <v/>
      </c>
      <c r="I197" s="34">
        <f>IFERROR(IF(ISNUMBER($A197),IF(AND(AH!$U$12=1,192+1=AH!$U$6),TODAY(),IF(AH!$U$5=1,INDEX('Live History'!$G$5:$G$3004,MATCH($A197,'Live History'!$G$5:$G$3004,1)),INDEX('AH History'!$C$5:$C$1380,$K197))),NA()),NA())</f>
        <v/>
      </c>
      <c r="J197" s="32">
        <f>IFERROR(IF(AND($F197&gt;0,$H197&gt;0,$A197-$G197&lt;=10,$A197-$I197&lt;=5,$G197&gt;0,$I197&gt;0),$F197*$H197,NA()),NA())</f>
        <v/>
      </c>
      <c r="K197" s="15">
        <f>IF($A197="","",IF(AH!$U$5=1,IFERROR(MATCH($A197,'Live History'!$A$5:$A$3004,0),0),AH!$U$7+192))</f>
        <v/>
      </c>
      <c r="L197" s="15">
        <f>IF(ISNUMBER(A197),TEXT(A197,"dd-mmm-yy"),"")</f>
        <v/>
      </c>
    </row>
    <row r="198">
      <c r="A198" s="14">
        <f>IF(OR(AH!$U$4=0,193+1&gt;AH!$U$6,AND(AH!$M$5="Bloomberg",AH!$U$5=0)),"",IFERROR(IF(AND(AH!$U$12=1,193+1=AH!$U$6),TODAY(),IF(AH!$U$5=1,INDEX('Live History'!$A$5:$A$3004,AH!$U$7+193),INDEX('AH History'!$A$5:$A$1380,AH!$U$7+193))),""))</f>
        <v/>
      </c>
      <c r="B198" s="33">
        <f>IFERROR(IF(AH!$U$11=1,NA(),$J198/$E198-1),NA())</f>
        <v/>
      </c>
      <c r="C198" s="269">
        <f>IFERROR(100*$E198/$E$5,NA())</f>
        <v/>
      </c>
      <c r="D198" s="269">
        <f>IFERROR(100*$J198/$J$5,NA())</f>
        <v/>
      </c>
      <c r="E198" s="32">
        <f>IFERROR(IF(AND(ISNUMBER($A198),N(IF(AND(AH!$U$12=1,193+1=AH!$U$6),IF(AH!$U$4=0,"unavailable",INDEX('Market Data'!$AN$5:$AN$66,AH!$U$4)),IF(AH!$U$5=1,INDEX('Live History'!$B$5:$B$3004,$K198),INDEX('AH History'!$D$5:$GG$1380,$K198,AH!$U$10))))&gt;0),IF(AND(AH!$U$12=1,193+1=AH!$U$6),IF(AH!$U$4=0,"unavailable",INDEX('Market Data'!$AN$5:$AN$66,AH!$U$4)),IF(AH!$U$5=1,INDEX('Live History'!$B$5:$B$3004,$K198),INDEX('AH History'!$D$5:$GG$1380,$K198,AH!$U$10))),NA()),NA())</f>
        <v/>
      </c>
      <c r="F198" s="32">
        <f>IFERROR(IF(ISNUMBER($A198),IF(AND(AH!$U$12=1,193+1=AH!$U$6),IF(AH!$U$4=0,"unavailable",INDEX('Market Data'!$AO$5:$AO$66,AH!$U$4)),IF(AH!$U$5=1,INDEX('Live History'!$E$5:$E$3004,MATCH($A198,'Live History'!$D$5:$D$3004,1)),INDEX('AH History'!$D$5:$GG$1380,$K198,AH!$U$10+1))),NA()),NA())</f>
        <v/>
      </c>
      <c r="G198" s="34">
        <f>IFERROR(IF(ISNUMBER($A198),IF(AND(AH!$U$12=1,193+1=AH!$U$6),IF(AH!$U$4=0,"unavailable",INDEX('Market Data'!$AK$5:$AK$66,AH!$U$4)),IF(AH!$U$5=1,INDEX('Live History'!$D$5:$D$3004,MATCH($A198,'Live History'!$D$5:$D$3004,1)),INDEX('AH History'!$D$5:$GG$1380,$K198,AH!$U$10+2))),NA()),NA())</f>
        <v/>
      </c>
      <c r="H198" s="266">
        <f>IFERROR(IF(ISNUMBER($A198),IF(AND(AH!$U$12=1,193+1=AH!$U$6),IF(AH!$U$4=0,"unavailable",INDEX('Market Data'!$AP$5:$AP$66,AH!$U$4)),IF(AH!$U$5=1,INDEX('Live History'!$H$5:$H$3004,MATCH($A198,'Live History'!$G$5:$G$3004,1)),INDEX('AH History'!$B$5:$B$1380,$K198))),NA()),NA())</f>
        <v/>
      </c>
      <c r="I198" s="34">
        <f>IFERROR(IF(ISNUMBER($A198),IF(AND(AH!$U$12=1,193+1=AH!$U$6),TODAY(),IF(AH!$U$5=1,INDEX('Live History'!$G$5:$G$3004,MATCH($A198,'Live History'!$G$5:$G$3004,1)),INDEX('AH History'!$C$5:$C$1380,$K198))),NA()),NA())</f>
        <v/>
      </c>
      <c r="J198" s="32">
        <f>IFERROR(IF(AND($F198&gt;0,$H198&gt;0,$A198-$G198&lt;=10,$A198-$I198&lt;=5,$G198&gt;0,$I198&gt;0),$F198*$H198,NA()),NA())</f>
        <v/>
      </c>
      <c r="K198" s="15">
        <f>IF($A198="","",IF(AH!$U$5=1,IFERROR(MATCH($A198,'Live History'!$A$5:$A$3004,0),0),AH!$U$7+193))</f>
        <v/>
      </c>
      <c r="L198" s="15">
        <f>IF(ISNUMBER(A198),TEXT(A198,"dd-mmm-yy"),"")</f>
        <v/>
      </c>
    </row>
    <row r="199">
      <c r="A199" s="14">
        <f>IF(OR(AH!$U$4=0,194+1&gt;AH!$U$6,AND(AH!$M$5="Bloomberg",AH!$U$5=0)),"",IFERROR(IF(AND(AH!$U$12=1,194+1=AH!$U$6),TODAY(),IF(AH!$U$5=1,INDEX('Live History'!$A$5:$A$3004,AH!$U$7+194),INDEX('AH History'!$A$5:$A$1380,AH!$U$7+194))),""))</f>
        <v/>
      </c>
      <c r="B199" s="33">
        <f>IFERROR(IF(AH!$U$11=1,NA(),$J199/$E199-1),NA())</f>
        <v/>
      </c>
      <c r="C199" s="269">
        <f>IFERROR(100*$E199/$E$5,NA())</f>
        <v/>
      </c>
      <c r="D199" s="269">
        <f>IFERROR(100*$J199/$J$5,NA())</f>
        <v/>
      </c>
      <c r="E199" s="32">
        <f>IFERROR(IF(AND(ISNUMBER($A199),N(IF(AND(AH!$U$12=1,194+1=AH!$U$6),IF(AH!$U$4=0,"unavailable",INDEX('Market Data'!$AN$5:$AN$66,AH!$U$4)),IF(AH!$U$5=1,INDEX('Live History'!$B$5:$B$3004,$K199),INDEX('AH History'!$D$5:$GG$1380,$K199,AH!$U$10))))&gt;0),IF(AND(AH!$U$12=1,194+1=AH!$U$6),IF(AH!$U$4=0,"unavailable",INDEX('Market Data'!$AN$5:$AN$66,AH!$U$4)),IF(AH!$U$5=1,INDEX('Live History'!$B$5:$B$3004,$K199),INDEX('AH History'!$D$5:$GG$1380,$K199,AH!$U$10))),NA()),NA())</f>
        <v/>
      </c>
      <c r="F199" s="32">
        <f>IFERROR(IF(ISNUMBER($A199),IF(AND(AH!$U$12=1,194+1=AH!$U$6),IF(AH!$U$4=0,"unavailable",INDEX('Market Data'!$AO$5:$AO$66,AH!$U$4)),IF(AH!$U$5=1,INDEX('Live History'!$E$5:$E$3004,MATCH($A199,'Live History'!$D$5:$D$3004,1)),INDEX('AH History'!$D$5:$GG$1380,$K199,AH!$U$10+1))),NA()),NA())</f>
        <v/>
      </c>
      <c r="G199" s="34">
        <f>IFERROR(IF(ISNUMBER($A199),IF(AND(AH!$U$12=1,194+1=AH!$U$6),IF(AH!$U$4=0,"unavailable",INDEX('Market Data'!$AK$5:$AK$66,AH!$U$4)),IF(AH!$U$5=1,INDEX('Live History'!$D$5:$D$3004,MATCH($A199,'Live History'!$D$5:$D$3004,1)),INDEX('AH History'!$D$5:$GG$1380,$K199,AH!$U$10+2))),NA()),NA())</f>
        <v/>
      </c>
      <c r="H199" s="266">
        <f>IFERROR(IF(ISNUMBER($A199),IF(AND(AH!$U$12=1,194+1=AH!$U$6),IF(AH!$U$4=0,"unavailable",INDEX('Market Data'!$AP$5:$AP$66,AH!$U$4)),IF(AH!$U$5=1,INDEX('Live History'!$H$5:$H$3004,MATCH($A199,'Live History'!$G$5:$G$3004,1)),INDEX('AH History'!$B$5:$B$1380,$K199))),NA()),NA())</f>
        <v/>
      </c>
      <c r="I199" s="34">
        <f>IFERROR(IF(ISNUMBER($A199),IF(AND(AH!$U$12=1,194+1=AH!$U$6),TODAY(),IF(AH!$U$5=1,INDEX('Live History'!$G$5:$G$3004,MATCH($A199,'Live History'!$G$5:$G$3004,1)),INDEX('AH History'!$C$5:$C$1380,$K199))),NA()),NA())</f>
        <v/>
      </c>
      <c r="J199" s="32">
        <f>IFERROR(IF(AND($F199&gt;0,$H199&gt;0,$A199-$G199&lt;=10,$A199-$I199&lt;=5,$G199&gt;0,$I199&gt;0),$F199*$H199,NA()),NA())</f>
        <v/>
      </c>
      <c r="K199" s="15">
        <f>IF($A199="","",IF(AH!$U$5=1,IFERROR(MATCH($A199,'Live History'!$A$5:$A$3004,0),0),AH!$U$7+194))</f>
        <v/>
      </c>
      <c r="L199" s="15">
        <f>IF(ISNUMBER(A199),TEXT(A199,"dd-mmm-yy"),"")</f>
        <v/>
      </c>
    </row>
    <row r="200">
      <c r="A200" s="14">
        <f>IF(OR(AH!$U$4=0,195+1&gt;AH!$U$6,AND(AH!$M$5="Bloomberg",AH!$U$5=0)),"",IFERROR(IF(AND(AH!$U$12=1,195+1=AH!$U$6),TODAY(),IF(AH!$U$5=1,INDEX('Live History'!$A$5:$A$3004,AH!$U$7+195),INDEX('AH History'!$A$5:$A$1380,AH!$U$7+195))),""))</f>
        <v/>
      </c>
      <c r="B200" s="33">
        <f>IFERROR(IF(AH!$U$11=1,NA(),$J200/$E200-1),NA())</f>
        <v/>
      </c>
      <c r="C200" s="269">
        <f>IFERROR(100*$E200/$E$5,NA())</f>
        <v/>
      </c>
      <c r="D200" s="269">
        <f>IFERROR(100*$J200/$J$5,NA())</f>
        <v/>
      </c>
      <c r="E200" s="32">
        <f>IFERROR(IF(AND(ISNUMBER($A200),N(IF(AND(AH!$U$12=1,195+1=AH!$U$6),IF(AH!$U$4=0,"unavailable",INDEX('Market Data'!$AN$5:$AN$66,AH!$U$4)),IF(AH!$U$5=1,INDEX('Live History'!$B$5:$B$3004,$K200),INDEX('AH History'!$D$5:$GG$1380,$K200,AH!$U$10))))&gt;0),IF(AND(AH!$U$12=1,195+1=AH!$U$6),IF(AH!$U$4=0,"unavailable",INDEX('Market Data'!$AN$5:$AN$66,AH!$U$4)),IF(AH!$U$5=1,INDEX('Live History'!$B$5:$B$3004,$K200),INDEX('AH History'!$D$5:$GG$1380,$K200,AH!$U$10))),NA()),NA())</f>
        <v/>
      </c>
      <c r="F200" s="32">
        <f>IFERROR(IF(ISNUMBER($A200),IF(AND(AH!$U$12=1,195+1=AH!$U$6),IF(AH!$U$4=0,"unavailable",INDEX('Market Data'!$AO$5:$AO$66,AH!$U$4)),IF(AH!$U$5=1,INDEX('Live History'!$E$5:$E$3004,MATCH($A200,'Live History'!$D$5:$D$3004,1)),INDEX('AH History'!$D$5:$GG$1380,$K200,AH!$U$10+1))),NA()),NA())</f>
        <v/>
      </c>
      <c r="G200" s="34">
        <f>IFERROR(IF(ISNUMBER($A200),IF(AND(AH!$U$12=1,195+1=AH!$U$6),IF(AH!$U$4=0,"unavailable",INDEX('Market Data'!$AK$5:$AK$66,AH!$U$4)),IF(AH!$U$5=1,INDEX('Live History'!$D$5:$D$3004,MATCH($A200,'Live History'!$D$5:$D$3004,1)),INDEX('AH History'!$D$5:$GG$1380,$K200,AH!$U$10+2))),NA()),NA())</f>
        <v/>
      </c>
      <c r="H200" s="266">
        <f>IFERROR(IF(ISNUMBER($A200),IF(AND(AH!$U$12=1,195+1=AH!$U$6),IF(AH!$U$4=0,"unavailable",INDEX('Market Data'!$AP$5:$AP$66,AH!$U$4)),IF(AH!$U$5=1,INDEX('Live History'!$H$5:$H$3004,MATCH($A200,'Live History'!$G$5:$G$3004,1)),INDEX('AH History'!$B$5:$B$1380,$K200))),NA()),NA())</f>
        <v/>
      </c>
      <c r="I200" s="34">
        <f>IFERROR(IF(ISNUMBER($A200),IF(AND(AH!$U$12=1,195+1=AH!$U$6),TODAY(),IF(AH!$U$5=1,INDEX('Live History'!$G$5:$G$3004,MATCH($A200,'Live History'!$G$5:$G$3004,1)),INDEX('AH History'!$C$5:$C$1380,$K200))),NA()),NA())</f>
        <v/>
      </c>
      <c r="J200" s="32">
        <f>IFERROR(IF(AND($F200&gt;0,$H200&gt;0,$A200-$G200&lt;=10,$A200-$I200&lt;=5,$G200&gt;0,$I200&gt;0),$F200*$H200,NA()),NA())</f>
        <v/>
      </c>
      <c r="K200" s="15">
        <f>IF($A200="","",IF(AH!$U$5=1,IFERROR(MATCH($A200,'Live History'!$A$5:$A$3004,0),0),AH!$U$7+195))</f>
        <v/>
      </c>
      <c r="L200" s="15">
        <f>IF(ISNUMBER(A200),TEXT(A200,"dd-mmm-yy"),"")</f>
        <v/>
      </c>
    </row>
    <row r="201">
      <c r="A201" s="14">
        <f>IF(OR(AH!$U$4=0,196+1&gt;AH!$U$6,AND(AH!$M$5="Bloomberg",AH!$U$5=0)),"",IFERROR(IF(AND(AH!$U$12=1,196+1=AH!$U$6),TODAY(),IF(AH!$U$5=1,INDEX('Live History'!$A$5:$A$3004,AH!$U$7+196),INDEX('AH History'!$A$5:$A$1380,AH!$U$7+196))),""))</f>
        <v/>
      </c>
      <c r="B201" s="33">
        <f>IFERROR(IF(AH!$U$11=1,NA(),$J201/$E201-1),NA())</f>
        <v/>
      </c>
      <c r="C201" s="269">
        <f>IFERROR(100*$E201/$E$5,NA())</f>
        <v/>
      </c>
      <c r="D201" s="269">
        <f>IFERROR(100*$J201/$J$5,NA())</f>
        <v/>
      </c>
      <c r="E201" s="32">
        <f>IFERROR(IF(AND(ISNUMBER($A201),N(IF(AND(AH!$U$12=1,196+1=AH!$U$6),IF(AH!$U$4=0,"unavailable",INDEX('Market Data'!$AN$5:$AN$66,AH!$U$4)),IF(AH!$U$5=1,INDEX('Live History'!$B$5:$B$3004,$K201),INDEX('AH History'!$D$5:$GG$1380,$K201,AH!$U$10))))&gt;0),IF(AND(AH!$U$12=1,196+1=AH!$U$6),IF(AH!$U$4=0,"unavailable",INDEX('Market Data'!$AN$5:$AN$66,AH!$U$4)),IF(AH!$U$5=1,INDEX('Live History'!$B$5:$B$3004,$K201),INDEX('AH History'!$D$5:$GG$1380,$K201,AH!$U$10))),NA()),NA())</f>
        <v/>
      </c>
      <c r="F201" s="32">
        <f>IFERROR(IF(ISNUMBER($A201),IF(AND(AH!$U$12=1,196+1=AH!$U$6),IF(AH!$U$4=0,"unavailable",INDEX('Market Data'!$AO$5:$AO$66,AH!$U$4)),IF(AH!$U$5=1,INDEX('Live History'!$E$5:$E$3004,MATCH($A201,'Live History'!$D$5:$D$3004,1)),INDEX('AH History'!$D$5:$GG$1380,$K201,AH!$U$10+1))),NA()),NA())</f>
        <v/>
      </c>
      <c r="G201" s="34">
        <f>IFERROR(IF(ISNUMBER($A201),IF(AND(AH!$U$12=1,196+1=AH!$U$6),IF(AH!$U$4=0,"unavailable",INDEX('Market Data'!$AK$5:$AK$66,AH!$U$4)),IF(AH!$U$5=1,INDEX('Live History'!$D$5:$D$3004,MATCH($A201,'Live History'!$D$5:$D$3004,1)),INDEX('AH History'!$D$5:$GG$1380,$K201,AH!$U$10+2))),NA()),NA())</f>
        <v/>
      </c>
      <c r="H201" s="266">
        <f>IFERROR(IF(ISNUMBER($A201),IF(AND(AH!$U$12=1,196+1=AH!$U$6),IF(AH!$U$4=0,"unavailable",INDEX('Market Data'!$AP$5:$AP$66,AH!$U$4)),IF(AH!$U$5=1,INDEX('Live History'!$H$5:$H$3004,MATCH($A201,'Live History'!$G$5:$G$3004,1)),INDEX('AH History'!$B$5:$B$1380,$K201))),NA()),NA())</f>
        <v/>
      </c>
      <c r="I201" s="34">
        <f>IFERROR(IF(ISNUMBER($A201),IF(AND(AH!$U$12=1,196+1=AH!$U$6),TODAY(),IF(AH!$U$5=1,INDEX('Live History'!$G$5:$G$3004,MATCH($A201,'Live History'!$G$5:$G$3004,1)),INDEX('AH History'!$C$5:$C$1380,$K201))),NA()),NA())</f>
        <v/>
      </c>
      <c r="J201" s="32">
        <f>IFERROR(IF(AND($F201&gt;0,$H201&gt;0,$A201-$G201&lt;=10,$A201-$I201&lt;=5,$G201&gt;0,$I201&gt;0),$F201*$H201,NA()),NA())</f>
        <v/>
      </c>
      <c r="K201" s="15">
        <f>IF($A201="","",IF(AH!$U$5=1,IFERROR(MATCH($A201,'Live History'!$A$5:$A$3004,0),0),AH!$U$7+196))</f>
        <v/>
      </c>
      <c r="L201" s="15">
        <f>IF(ISNUMBER(A201),TEXT(A201,"dd-mmm-yy"),"")</f>
        <v/>
      </c>
    </row>
    <row r="202">
      <c r="A202" s="14">
        <f>IF(OR(AH!$U$4=0,197+1&gt;AH!$U$6,AND(AH!$M$5="Bloomberg",AH!$U$5=0)),"",IFERROR(IF(AND(AH!$U$12=1,197+1=AH!$U$6),TODAY(),IF(AH!$U$5=1,INDEX('Live History'!$A$5:$A$3004,AH!$U$7+197),INDEX('AH History'!$A$5:$A$1380,AH!$U$7+197))),""))</f>
        <v/>
      </c>
      <c r="B202" s="33">
        <f>IFERROR(IF(AH!$U$11=1,NA(),$J202/$E202-1),NA())</f>
        <v/>
      </c>
      <c r="C202" s="269">
        <f>IFERROR(100*$E202/$E$5,NA())</f>
        <v/>
      </c>
      <c r="D202" s="269">
        <f>IFERROR(100*$J202/$J$5,NA())</f>
        <v/>
      </c>
      <c r="E202" s="32">
        <f>IFERROR(IF(AND(ISNUMBER($A202),N(IF(AND(AH!$U$12=1,197+1=AH!$U$6),IF(AH!$U$4=0,"unavailable",INDEX('Market Data'!$AN$5:$AN$66,AH!$U$4)),IF(AH!$U$5=1,INDEX('Live History'!$B$5:$B$3004,$K202),INDEX('AH History'!$D$5:$GG$1380,$K202,AH!$U$10))))&gt;0),IF(AND(AH!$U$12=1,197+1=AH!$U$6),IF(AH!$U$4=0,"unavailable",INDEX('Market Data'!$AN$5:$AN$66,AH!$U$4)),IF(AH!$U$5=1,INDEX('Live History'!$B$5:$B$3004,$K202),INDEX('AH History'!$D$5:$GG$1380,$K202,AH!$U$10))),NA()),NA())</f>
        <v/>
      </c>
      <c r="F202" s="32">
        <f>IFERROR(IF(ISNUMBER($A202),IF(AND(AH!$U$12=1,197+1=AH!$U$6),IF(AH!$U$4=0,"unavailable",INDEX('Market Data'!$AO$5:$AO$66,AH!$U$4)),IF(AH!$U$5=1,INDEX('Live History'!$E$5:$E$3004,MATCH($A202,'Live History'!$D$5:$D$3004,1)),INDEX('AH History'!$D$5:$GG$1380,$K202,AH!$U$10+1))),NA()),NA())</f>
        <v/>
      </c>
      <c r="G202" s="34">
        <f>IFERROR(IF(ISNUMBER($A202),IF(AND(AH!$U$12=1,197+1=AH!$U$6),IF(AH!$U$4=0,"unavailable",INDEX('Market Data'!$AK$5:$AK$66,AH!$U$4)),IF(AH!$U$5=1,INDEX('Live History'!$D$5:$D$3004,MATCH($A202,'Live History'!$D$5:$D$3004,1)),INDEX('AH History'!$D$5:$GG$1380,$K202,AH!$U$10+2))),NA()),NA())</f>
        <v/>
      </c>
      <c r="H202" s="266">
        <f>IFERROR(IF(ISNUMBER($A202),IF(AND(AH!$U$12=1,197+1=AH!$U$6),IF(AH!$U$4=0,"unavailable",INDEX('Market Data'!$AP$5:$AP$66,AH!$U$4)),IF(AH!$U$5=1,INDEX('Live History'!$H$5:$H$3004,MATCH($A202,'Live History'!$G$5:$G$3004,1)),INDEX('AH History'!$B$5:$B$1380,$K202))),NA()),NA())</f>
        <v/>
      </c>
      <c r="I202" s="34">
        <f>IFERROR(IF(ISNUMBER($A202),IF(AND(AH!$U$12=1,197+1=AH!$U$6),TODAY(),IF(AH!$U$5=1,INDEX('Live History'!$G$5:$G$3004,MATCH($A202,'Live History'!$G$5:$G$3004,1)),INDEX('AH History'!$C$5:$C$1380,$K202))),NA()),NA())</f>
        <v/>
      </c>
      <c r="J202" s="32">
        <f>IFERROR(IF(AND($F202&gt;0,$H202&gt;0,$A202-$G202&lt;=10,$A202-$I202&lt;=5,$G202&gt;0,$I202&gt;0),$F202*$H202,NA()),NA())</f>
        <v/>
      </c>
      <c r="K202" s="15">
        <f>IF($A202="","",IF(AH!$U$5=1,IFERROR(MATCH($A202,'Live History'!$A$5:$A$3004,0),0),AH!$U$7+197))</f>
        <v/>
      </c>
      <c r="L202" s="15">
        <f>IF(ISNUMBER(A202),TEXT(A202,"dd-mmm-yy"),"")</f>
        <v/>
      </c>
    </row>
    <row r="203">
      <c r="A203" s="14">
        <f>IF(OR(AH!$U$4=0,198+1&gt;AH!$U$6,AND(AH!$M$5="Bloomberg",AH!$U$5=0)),"",IFERROR(IF(AND(AH!$U$12=1,198+1=AH!$U$6),TODAY(),IF(AH!$U$5=1,INDEX('Live History'!$A$5:$A$3004,AH!$U$7+198),INDEX('AH History'!$A$5:$A$1380,AH!$U$7+198))),""))</f>
        <v/>
      </c>
      <c r="B203" s="33">
        <f>IFERROR(IF(AH!$U$11=1,NA(),$J203/$E203-1),NA())</f>
        <v/>
      </c>
      <c r="C203" s="269">
        <f>IFERROR(100*$E203/$E$5,NA())</f>
        <v/>
      </c>
      <c r="D203" s="269">
        <f>IFERROR(100*$J203/$J$5,NA())</f>
        <v/>
      </c>
      <c r="E203" s="32">
        <f>IFERROR(IF(AND(ISNUMBER($A203),N(IF(AND(AH!$U$12=1,198+1=AH!$U$6),IF(AH!$U$4=0,"unavailable",INDEX('Market Data'!$AN$5:$AN$66,AH!$U$4)),IF(AH!$U$5=1,INDEX('Live History'!$B$5:$B$3004,$K203),INDEX('AH History'!$D$5:$GG$1380,$K203,AH!$U$10))))&gt;0),IF(AND(AH!$U$12=1,198+1=AH!$U$6),IF(AH!$U$4=0,"unavailable",INDEX('Market Data'!$AN$5:$AN$66,AH!$U$4)),IF(AH!$U$5=1,INDEX('Live History'!$B$5:$B$3004,$K203),INDEX('AH History'!$D$5:$GG$1380,$K203,AH!$U$10))),NA()),NA())</f>
        <v/>
      </c>
      <c r="F203" s="32">
        <f>IFERROR(IF(ISNUMBER($A203),IF(AND(AH!$U$12=1,198+1=AH!$U$6),IF(AH!$U$4=0,"unavailable",INDEX('Market Data'!$AO$5:$AO$66,AH!$U$4)),IF(AH!$U$5=1,INDEX('Live History'!$E$5:$E$3004,MATCH($A203,'Live History'!$D$5:$D$3004,1)),INDEX('AH History'!$D$5:$GG$1380,$K203,AH!$U$10+1))),NA()),NA())</f>
        <v/>
      </c>
      <c r="G203" s="34">
        <f>IFERROR(IF(ISNUMBER($A203),IF(AND(AH!$U$12=1,198+1=AH!$U$6),IF(AH!$U$4=0,"unavailable",INDEX('Market Data'!$AK$5:$AK$66,AH!$U$4)),IF(AH!$U$5=1,INDEX('Live History'!$D$5:$D$3004,MATCH($A203,'Live History'!$D$5:$D$3004,1)),INDEX('AH History'!$D$5:$GG$1380,$K203,AH!$U$10+2))),NA()),NA())</f>
        <v/>
      </c>
      <c r="H203" s="266">
        <f>IFERROR(IF(ISNUMBER($A203),IF(AND(AH!$U$12=1,198+1=AH!$U$6),IF(AH!$U$4=0,"unavailable",INDEX('Market Data'!$AP$5:$AP$66,AH!$U$4)),IF(AH!$U$5=1,INDEX('Live History'!$H$5:$H$3004,MATCH($A203,'Live History'!$G$5:$G$3004,1)),INDEX('AH History'!$B$5:$B$1380,$K203))),NA()),NA())</f>
        <v/>
      </c>
      <c r="I203" s="34">
        <f>IFERROR(IF(ISNUMBER($A203),IF(AND(AH!$U$12=1,198+1=AH!$U$6),TODAY(),IF(AH!$U$5=1,INDEX('Live History'!$G$5:$G$3004,MATCH($A203,'Live History'!$G$5:$G$3004,1)),INDEX('AH History'!$C$5:$C$1380,$K203))),NA()),NA())</f>
        <v/>
      </c>
      <c r="J203" s="32">
        <f>IFERROR(IF(AND($F203&gt;0,$H203&gt;0,$A203-$G203&lt;=10,$A203-$I203&lt;=5,$G203&gt;0,$I203&gt;0),$F203*$H203,NA()),NA())</f>
        <v/>
      </c>
      <c r="K203" s="15">
        <f>IF($A203="","",IF(AH!$U$5=1,IFERROR(MATCH($A203,'Live History'!$A$5:$A$3004,0),0),AH!$U$7+198))</f>
        <v/>
      </c>
      <c r="L203" s="15">
        <f>IF(ISNUMBER(A203),TEXT(A203,"dd-mmm-yy"),"")</f>
        <v/>
      </c>
    </row>
    <row r="204">
      <c r="A204" s="14">
        <f>IF(OR(AH!$U$4=0,199+1&gt;AH!$U$6,AND(AH!$M$5="Bloomberg",AH!$U$5=0)),"",IFERROR(IF(AND(AH!$U$12=1,199+1=AH!$U$6),TODAY(),IF(AH!$U$5=1,INDEX('Live History'!$A$5:$A$3004,AH!$U$7+199),INDEX('AH History'!$A$5:$A$1380,AH!$U$7+199))),""))</f>
        <v/>
      </c>
      <c r="B204" s="33">
        <f>IFERROR(IF(AH!$U$11=1,NA(),$J204/$E204-1),NA())</f>
        <v/>
      </c>
      <c r="C204" s="269">
        <f>IFERROR(100*$E204/$E$5,NA())</f>
        <v/>
      </c>
      <c r="D204" s="269">
        <f>IFERROR(100*$J204/$J$5,NA())</f>
        <v/>
      </c>
      <c r="E204" s="32">
        <f>IFERROR(IF(AND(ISNUMBER($A204),N(IF(AND(AH!$U$12=1,199+1=AH!$U$6),IF(AH!$U$4=0,"unavailable",INDEX('Market Data'!$AN$5:$AN$66,AH!$U$4)),IF(AH!$U$5=1,INDEX('Live History'!$B$5:$B$3004,$K204),INDEX('AH History'!$D$5:$GG$1380,$K204,AH!$U$10))))&gt;0),IF(AND(AH!$U$12=1,199+1=AH!$U$6),IF(AH!$U$4=0,"unavailable",INDEX('Market Data'!$AN$5:$AN$66,AH!$U$4)),IF(AH!$U$5=1,INDEX('Live History'!$B$5:$B$3004,$K204),INDEX('AH History'!$D$5:$GG$1380,$K204,AH!$U$10))),NA()),NA())</f>
        <v/>
      </c>
      <c r="F204" s="32">
        <f>IFERROR(IF(ISNUMBER($A204),IF(AND(AH!$U$12=1,199+1=AH!$U$6),IF(AH!$U$4=0,"unavailable",INDEX('Market Data'!$AO$5:$AO$66,AH!$U$4)),IF(AH!$U$5=1,INDEX('Live History'!$E$5:$E$3004,MATCH($A204,'Live History'!$D$5:$D$3004,1)),INDEX('AH History'!$D$5:$GG$1380,$K204,AH!$U$10+1))),NA()),NA())</f>
        <v/>
      </c>
      <c r="G204" s="34">
        <f>IFERROR(IF(ISNUMBER($A204),IF(AND(AH!$U$12=1,199+1=AH!$U$6),IF(AH!$U$4=0,"unavailable",INDEX('Market Data'!$AK$5:$AK$66,AH!$U$4)),IF(AH!$U$5=1,INDEX('Live History'!$D$5:$D$3004,MATCH($A204,'Live History'!$D$5:$D$3004,1)),INDEX('AH History'!$D$5:$GG$1380,$K204,AH!$U$10+2))),NA()),NA())</f>
        <v/>
      </c>
      <c r="H204" s="266">
        <f>IFERROR(IF(ISNUMBER($A204),IF(AND(AH!$U$12=1,199+1=AH!$U$6),IF(AH!$U$4=0,"unavailable",INDEX('Market Data'!$AP$5:$AP$66,AH!$U$4)),IF(AH!$U$5=1,INDEX('Live History'!$H$5:$H$3004,MATCH($A204,'Live History'!$G$5:$G$3004,1)),INDEX('AH History'!$B$5:$B$1380,$K204))),NA()),NA())</f>
        <v/>
      </c>
      <c r="I204" s="34">
        <f>IFERROR(IF(ISNUMBER($A204),IF(AND(AH!$U$12=1,199+1=AH!$U$6),TODAY(),IF(AH!$U$5=1,INDEX('Live History'!$G$5:$G$3004,MATCH($A204,'Live History'!$G$5:$G$3004,1)),INDEX('AH History'!$C$5:$C$1380,$K204))),NA()),NA())</f>
        <v/>
      </c>
      <c r="J204" s="32">
        <f>IFERROR(IF(AND($F204&gt;0,$H204&gt;0,$A204-$G204&lt;=10,$A204-$I204&lt;=5,$G204&gt;0,$I204&gt;0),$F204*$H204,NA()),NA())</f>
        <v/>
      </c>
      <c r="K204" s="15">
        <f>IF($A204="","",IF(AH!$U$5=1,IFERROR(MATCH($A204,'Live History'!$A$5:$A$3004,0),0),AH!$U$7+199))</f>
        <v/>
      </c>
      <c r="L204" s="15">
        <f>IF(ISNUMBER(A204),TEXT(A204,"dd-mmm-yy"),"")</f>
        <v/>
      </c>
    </row>
    <row r="205">
      <c r="A205" s="14">
        <f>IF(OR(AH!$U$4=0,200+1&gt;AH!$U$6,AND(AH!$M$5="Bloomberg",AH!$U$5=0)),"",IFERROR(IF(AND(AH!$U$12=1,200+1=AH!$U$6),TODAY(),IF(AH!$U$5=1,INDEX('Live History'!$A$5:$A$3004,AH!$U$7+200),INDEX('AH History'!$A$5:$A$1380,AH!$U$7+200))),""))</f>
        <v/>
      </c>
      <c r="B205" s="33">
        <f>IFERROR(IF(AH!$U$11=1,NA(),$J205/$E205-1),NA())</f>
        <v/>
      </c>
      <c r="C205" s="269">
        <f>IFERROR(100*$E205/$E$5,NA())</f>
        <v/>
      </c>
      <c r="D205" s="269">
        <f>IFERROR(100*$J205/$J$5,NA())</f>
        <v/>
      </c>
      <c r="E205" s="32">
        <f>IFERROR(IF(AND(ISNUMBER($A205),N(IF(AND(AH!$U$12=1,200+1=AH!$U$6),IF(AH!$U$4=0,"unavailable",INDEX('Market Data'!$AN$5:$AN$66,AH!$U$4)),IF(AH!$U$5=1,INDEX('Live History'!$B$5:$B$3004,$K205),INDEX('AH History'!$D$5:$GG$1380,$K205,AH!$U$10))))&gt;0),IF(AND(AH!$U$12=1,200+1=AH!$U$6),IF(AH!$U$4=0,"unavailable",INDEX('Market Data'!$AN$5:$AN$66,AH!$U$4)),IF(AH!$U$5=1,INDEX('Live History'!$B$5:$B$3004,$K205),INDEX('AH History'!$D$5:$GG$1380,$K205,AH!$U$10))),NA()),NA())</f>
        <v/>
      </c>
      <c r="F205" s="32">
        <f>IFERROR(IF(ISNUMBER($A205),IF(AND(AH!$U$12=1,200+1=AH!$U$6),IF(AH!$U$4=0,"unavailable",INDEX('Market Data'!$AO$5:$AO$66,AH!$U$4)),IF(AH!$U$5=1,INDEX('Live History'!$E$5:$E$3004,MATCH($A205,'Live History'!$D$5:$D$3004,1)),INDEX('AH History'!$D$5:$GG$1380,$K205,AH!$U$10+1))),NA()),NA())</f>
        <v/>
      </c>
      <c r="G205" s="34">
        <f>IFERROR(IF(ISNUMBER($A205),IF(AND(AH!$U$12=1,200+1=AH!$U$6),IF(AH!$U$4=0,"unavailable",INDEX('Market Data'!$AK$5:$AK$66,AH!$U$4)),IF(AH!$U$5=1,INDEX('Live History'!$D$5:$D$3004,MATCH($A205,'Live History'!$D$5:$D$3004,1)),INDEX('AH History'!$D$5:$GG$1380,$K205,AH!$U$10+2))),NA()),NA())</f>
        <v/>
      </c>
      <c r="H205" s="266">
        <f>IFERROR(IF(ISNUMBER($A205),IF(AND(AH!$U$12=1,200+1=AH!$U$6),IF(AH!$U$4=0,"unavailable",INDEX('Market Data'!$AP$5:$AP$66,AH!$U$4)),IF(AH!$U$5=1,INDEX('Live History'!$H$5:$H$3004,MATCH($A205,'Live History'!$G$5:$G$3004,1)),INDEX('AH History'!$B$5:$B$1380,$K205))),NA()),NA())</f>
        <v/>
      </c>
      <c r="I205" s="34">
        <f>IFERROR(IF(ISNUMBER($A205),IF(AND(AH!$U$12=1,200+1=AH!$U$6),TODAY(),IF(AH!$U$5=1,INDEX('Live History'!$G$5:$G$3004,MATCH($A205,'Live History'!$G$5:$G$3004,1)),INDEX('AH History'!$C$5:$C$1380,$K205))),NA()),NA())</f>
        <v/>
      </c>
      <c r="J205" s="32">
        <f>IFERROR(IF(AND($F205&gt;0,$H205&gt;0,$A205-$G205&lt;=10,$A205-$I205&lt;=5,$G205&gt;0,$I205&gt;0),$F205*$H205,NA()),NA())</f>
        <v/>
      </c>
      <c r="K205" s="15">
        <f>IF($A205="","",IF(AH!$U$5=1,IFERROR(MATCH($A205,'Live History'!$A$5:$A$3004,0),0),AH!$U$7+200))</f>
        <v/>
      </c>
      <c r="L205" s="15">
        <f>IF(ISNUMBER(A205),TEXT(A205,"dd-mmm-yy"),"")</f>
        <v/>
      </c>
    </row>
    <row r="206">
      <c r="A206" s="14">
        <f>IF(OR(AH!$U$4=0,201+1&gt;AH!$U$6,AND(AH!$M$5="Bloomberg",AH!$U$5=0)),"",IFERROR(IF(AND(AH!$U$12=1,201+1=AH!$U$6),TODAY(),IF(AH!$U$5=1,INDEX('Live History'!$A$5:$A$3004,AH!$U$7+201),INDEX('AH History'!$A$5:$A$1380,AH!$U$7+201))),""))</f>
        <v/>
      </c>
      <c r="B206" s="33">
        <f>IFERROR(IF(AH!$U$11=1,NA(),$J206/$E206-1),NA())</f>
        <v/>
      </c>
      <c r="C206" s="269">
        <f>IFERROR(100*$E206/$E$5,NA())</f>
        <v/>
      </c>
      <c r="D206" s="269">
        <f>IFERROR(100*$J206/$J$5,NA())</f>
        <v/>
      </c>
      <c r="E206" s="32">
        <f>IFERROR(IF(AND(ISNUMBER($A206),N(IF(AND(AH!$U$12=1,201+1=AH!$U$6),IF(AH!$U$4=0,"unavailable",INDEX('Market Data'!$AN$5:$AN$66,AH!$U$4)),IF(AH!$U$5=1,INDEX('Live History'!$B$5:$B$3004,$K206),INDEX('AH History'!$D$5:$GG$1380,$K206,AH!$U$10))))&gt;0),IF(AND(AH!$U$12=1,201+1=AH!$U$6),IF(AH!$U$4=0,"unavailable",INDEX('Market Data'!$AN$5:$AN$66,AH!$U$4)),IF(AH!$U$5=1,INDEX('Live History'!$B$5:$B$3004,$K206),INDEX('AH History'!$D$5:$GG$1380,$K206,AH!$U$10))),NA()),NA())</f>
        <v/>
      </c>
      <c r="F206" s="32">
        <f>IFERROR(IF(ISNUMBER($A206),IF(AND(AH!$U$12=1,201+1=AH!$U$6),IF(AH!$U$4=0,"unavailable",INDEX('Market Data'!$AO$5:$AO$66,AH!$U$4)),IF(AH!$U$5=1,INDEX('Live History'!$E$5:$E$3004,MATCH($A206,'Live History'!$D$5:$D$3004,1)),INDEX('AH History'!$D$5:$GG$1380,$K206,AH!$U$10+1))),NA()),NA())</f>
        <v/>
      </c>
      <c r="G206" s="34">
        <f>IFERROR(IF(ISNUMBER($A206),IF(AND(AH!$U$12=1,201+1=AH!$U$6),IF(AH!$U$4=0,"unavailable",INDEX('Market Data'!$AK$5:$AK$66,AH!$U$4)),IF(AH!$U$5=1,INDEX('Live History'!$D$5:$D$3004,MATCH($A206,'Live History'!$D$5:$D$3004,1)),INDEX('AH History'!$D$5:$GG$1380,$K206,AH!$U$10+2))),NA()),NA())</f>
        <v/>
      </c>
      <c r="H206" s="266">
        <f>IFERROR(IF(ISNUMBER($A206),IF(AND(AH!$U$12=1,201+1=AH!$U$6),IF(AH!$U$4=0,"unavailable",INDEX('Market Data'!$AP$5:$AP$66,AH!$U$4)),IF(AH!$U$5=1,INDEX('Live History'!$H$5:$H$3004,MATCH($A206,'Live History'!$G$5:$G$3004,1)),INDEX('AH History'!$B$5:$B$1380,$K206))),NA()),NA())</f>
        <v/>
      </c>
      <c r="I206" s="34">
        <f>IFERROR(IF(ISNUMBER($A206),IF(AND(AH!$U$12=1,201+1=AH!$U$6),TODAY(),IF(AH!$U$5=1,INDEX('Live History'!$G$5:$G$3004,MATCH($A206,'Live History'!$G$5:$G$3004,1)),INDEX('AH History'!$C$5:$C$1380,$K206))),NA()),NA())</f>
        <v/>
      </c>
      <c r="J206" s="32">
        <f>IFERROR(IF(AND($F206&gt;0,$H206&gt;0,$A206-$G206&lt;=10,$A206-$I206&lt;=5,$G206&gt;0,$I206&gt;0),$F206*$H206,NA()),NA())</f>
        <v/>
      </c>
      <c r="K206" s="15">
        <f>IF($A206="","",IF(AH!$U$5=1,IFERROR(MATCH($A206,'Live History'!$A$5:$A$3004,0),0),AH!$U$7+201))</f>
        <v/>
      </c>
      <c r="L206" s="15">
        <f>IF(ISNUMBER(A206),TEXT(A206,"dd-mmm-yy"),"")</f>
        <v/>
      </c>
    </row>
    <row r="207">
      <c r="A207" s="14">
        <f>IF(OR(AH!$U$4=0,202+1&gt;AH!$U$6,AND(AH!$M$5="Bloomberg",AH!$U$5=0)),"",IFERROR(IF(AND(AH!$U$12=1,202+1=AH!$U$6),TODAY(),IF(AH!$U$5=1,INDEX('Live History'!$A$5:$A$3004,AH!$U$7+202),INDEX('AH History'!$A$5:$A$1380,AH!$U$7+202))),""))</f>
        <v/>
      </c>
      <c r="B207" s="33">
        <f>IFERROR(IF(AH!$U$11=1,NA(),$J207/$E207-1),NA())</f>
        <v/>
      </c>
      <c r="C207" s="269">
        <f>IFERROR(100*$E207/$E$5,NA())</f>
        <v/>
      </c>
      <c r="D207" s="269">
        <f>IFERROR(100*$J207/$J$5,NA())</f>
        <v/>
      </c>
      <c r="E207" s="32">
        <f>IFERROR(IF(AND(ISNUMBER($A207),N(IF(AND(AH!$U$12=1,202+1=AH!$U$6),IF(AH!$U$4=0,"unavailable",INDEX('Market Data'!$AN$5:$AN$66,AH!$U$4)),IF(AH!$U$5=1,INDEX('Live History'!$B$5:$B$3004,$K207),INDEX('AH History'!$D$5:$GG$1380,$K207,AH!$U$10))))&gt;0),IF(AND(AH!$U$12=1,202+1=AH!$U$6),IF(AH!$U$4=0,"unavailable",INDEX('Market Data'!$AN$5:$AN$66,AH!$U$4)),IF(AH!$U$5=1,INDEX('Live History'!$B$5:$B$3004,$K207),INDEX('AH History'!$D$5:$GG$1380,$K207,AH!$U$10))),NA()),NA())</f>
        <v/>
      </c>
      <c r="F207" s="32">
        <f>IFERROR(IF(ISNUMBER($A207),IF(AND(AH!$U$12=1,202+1=AH!$U$6),IF(AH!$U$4=0,"unavailable",INDEX('Market Data'!$AO$5:$AO$66,AH!$U$4)),IF(AH!$U$5=1,INDEX('Live History'!$E$5:$E$3004,MATCH($A207,'Live History'!$D$5:$D$3004,1)),INDEX('AH History'!$D$5:$GG$1380,$K207,AH!$U$10+1))),NA()),NA())</f>
        <v/>
      </c>
      <c r="G207" s="34">
        <f>IFERROR(IF(ISNUMBER($A207),IF(AND(AH!$U$12=1,202+1=AH!$U$6),IF(AH!$U$4=0,"unavailable",INDEX('Market Data'!$AK$5:$AK$66,AH!$U$4)),IF(AH!$U$5=1,INDEX('Live History'!$D$5:$D$3004,MATCH($A207,'Live History'!$D$5:$D$3004,1)),INDEX('AH History'!$D$5:$GG$1380,$K207,AH!$U$10+2))),NA()),NA())</f>
        <v/>
      </c>
      <c r="H207" s="266">
        <f>IFERROR(IF(ISNUMBER($A207),IF(AND(AH!$U$12=1,202+1=AH!$U$6),IF(AH!$U$4=0,"unavailable",INDEX('Market Data'!$AP$5:$AP$66,AH!$U$4)),IF(AH!$U$5=1,INDEX('Live History'!$H$5:$H$3004,MATCH($A207,'Live History'!$G$5:$G$3004,1)),INDEX('AH History'!$B$5:$B$1380,$K207))),NA()),NA())</f>
        <v/>
      </c>
      <c r="I207" s="34">
        <f>IFERROR(IF(ISNUMBER($A207),IF(AND(AH!$U$12=1,202+1=AH!$U$6),TODAY(),IF(AH!$U$5=1,INDEX('Live History'!$G$5:$G$3004,MATCH($A207,'Live History'!$G$5:$G$3004,1)),INDEX('AH History'!$C$5:$C$1380,$K207))),NA()),NA())</f>
        <v/>
      </c>
      <c r="J207" s="32">
        <f>IFERROR(IF(AND($F207&gt;0,$H207&gt;0,$A207-$G207&lt;=10,$A207-$I207&lt;=5,$G207&gt;0,$I207&gt;0),$F207*$H207,NA()),NA())</f>
        <v/>
      </c>
      <c r="K207" s="15">
        <f>IF($A207="","",IF(AH!$U$5=1,IFERROR(MATCH($A207,'Live History'!$A$5:$A$3004,0),0),AH!$U$7+202))</f>
        <v/>
      </c>
      <c r="L207" s="15">
        <f>IF(ISNUMBER(A207),TEXT(A207,"dd-mmm-yy"),"")</f>
        <v/>
      </c>
    </row>
    <row r="208">
      <c r="A208" s="14">
        <f>IF(OR(AH!$U$4=0,203+1&gt;AH!$U$6,AND(AH!$M$5="Bloomberg",AH!$U$5=0)),"",IFERROR(IF(AND(AH!$U$12=1,203+1=AH!$U$6),TODAY(),IF(AH!$U$5=1,INDEX('Live History'!$A$5:$A$3004,AH!$U$7+203),INDEX('AH History'!$A$5:$A$1380,AH!$U$7+203))),""))</f>
        <v/>
      </c>
      <c r="B208" s="33">
        <f>IFERROR(IF(AH!$U$11=1,NA(),$J208/$E208-1),NA())</f>
        <v/>
      </c>
      <c r="C208" s="269">
        <f>IFERROR(100*$E208/$E$5,NA())</f>
        <v/>
      </c>
      <c r="D208" s="269">
        <f>IFERROR(100*$J208/$J$5,NA())</f>
        <v/>
      </c>
      <c r="E208" s="32">
        <f>IFERROR(IF(AND(ISNUMBER($A208),N(IF(AND(AH!$U$12=1,203+1=AH!$U$6),IF(AH!$U$4=0,"unavailable",INDEX('Market Data'!$AN$5:$AN$66,AH!$U$4)),IF(AH!$U$5=1,INDEX('Live History'!$B$5:$B$3004,$K208),INDEX('AH History'!$D$5:$GG$1380,$K208,AH!$U$10))))&gt;0),IF(AND(AH!$U$12=1,203+1=AH!$U$6),IF(AH!$U$4=0,"unavailable",INDEX('Market Data'!$AN$5:$AN$66,AH!$U$4)),IF(AH!$U$5=1,INDEX('Live History'!$B$5:$B$3004,$K208),INDEX('AH History'!$D$5:$GG$1380,$K208,AH!$U$10))),NA()),NA())</f>
        <v/>
      </c>
      <c r="F208" s="32">
        <f>IFERROR(IF(ISNUMBER($A208),IF(AND(AH!$U$12=1,203+1=AH!$U$6),IF(AH!$U$4=0,"unavailable",INDEX('Market Data'!$AO$5:$AO$66,AH!$U$4)),IF(AH!$U$5=1,INDEX('Live History'!$E$5:$E$3004,MATCH($A208,'Live History'!$D$5:$D$3004,1)),INDEX('AH History'!$D$5:$GG$1380,$K208,AH!$U$10+1))),NA()),NA())</f>
        <v/>
      </c>
      <c r="G208" s="34">
        <f>IFERROR(IF(ISNUMBER($A208),IF(AND(AH!$U$12=1,203+1=AH!$U$6),IF(AH!$U$4=0,"unavailable",INDEX('Market Data'!$AK$5:$AK$66,AH!$U$4)),IF(AH!$U$5=1,INDEX('Live History'!$D$5:$D$3004,MATCH($A208,'Live History'!$D$5:$D$3004,1)),INDEX('AH History'!$D$5:$GG$1380,$K208,AH!$U$10+2))),NA()),NA())</f>
        <v/>
      </c>
      <c r="H208" s="266">
        <f>IFERROR(IF(ISNUMBER($A208),IF(AND(AH!$U$12=1,203+1=AH!$U$6),IF(AH!$U$4=0,"unavailable",INDEX('Market Data'!$AP$5:$AP$66,AH!$U$4)),IF(AH!$U$5=1,INDEX('Live History'!$H$5:$H$3004,MATCH($A208,'Live History'!$G$5:$G$3004,1)),INDEX('AH History'!$B$5:$B$1380,$K208))),NA()),NA())</f>
        <v/>
      </c>
      <c r="I208" s="34">
        <f>IFERROR(IF(ISNUMBER($A208),IF(AND(AH!$U$12=1,203+1=AH!$U$6),TODAY(),IF(AH!$U$5=1,INDEX('Live History'!$G$5:$G$3004,MATCH($A208,'Live History'!$G$5:$G$3004,1)),INDEX('AH History'!$C$5:$C$1380,$K208))),NA()),NA())</f>
        <v/>
      </c>
      <c r="J208" s="32">
        <f>IFERROR(IF(AND($F208&gt;0,$H208&gt;0,$A208-$G208&lt;=10,$A208-$I208&lt;=5,$G208&gt;0,$I208&gt;0),$F208*$H208,NA()),NA())</f>
        <v/>
      </c>
      <c r="K208" s="15">
        <f>IF($A208="","",IF(AH!$U$5=1,IFERROR(MATCH($A208,'Live History'!$A$5:$A$3004,0),0),AH!$U$7+203))</f>
        <v/>
      </c>
      <c r="L208" s="15">
        <f>IF(ISNUMBER(A208),TEXT(A208,"dd-mmm-yy"),"")</f>
        <v/>
      </c>
    </row>
    <row r="209">
      <c r="A209" s="14">
        <f>IF(OR(AH!$U$4=0,204+1&gt;AH!$U$6,AND(AH!$M$5="Bloomberg",AH!$U$5=0)),"",IFERROR(IF(AND(AH!$U$12=1,204+1=AH!$U$6),TODAY(),IF(AH!$U$5=1,INDEX('Live History'!$A$5:$A$3004,AH!$U$7+204),INDEX('AH History'!$A$5:$A$1380,AH!$U$7+204))),""))</f>
        <v/>
      </c>
      <c r="B209" s="33">
        <f>IFERROR(IF(AH!$U$11=1,NA(),$J209/$E209-1),NA())</f>
        <v/>
      </c>
      <c r="C209" s="269">
        <f>IFERROR(100*$E209/$E$5,NA())</f>
        <v/>
      </c>
      <c r="D209" s="269">
        <f>IFERROR(100*$J209/$J$5,NA())</f>
        <v/>
      </c>
      <c r="E209" s="32">
        <f>IFERROR(IF(AND(ISNUMBER($A209),N(IF(AND(AH!$U$12=1,204+1=AH!$U$6),IF(AH!$U$4=0,"unavailable",INDEX('Market Data'!$AN$5:$AN$66,AH!$U$4)),IF(AH!$U$5=1,INDEX('Live History'!$B$5:$B$3004,$K209),INDEX('AH History'!$D$5:$GG$1380,$K209,AH!$U$10))))&gt;0),IF(AND(AH!$U$12=1,204+1=AH!$U$6),IF(AH!$U$4=0,"unavailable",INDEX('Market Data'!$AN$5:$AN$66,AH!$U$4)),IF(AH!$U$5=1,INDEX('Live History'!$B$5:$B$3004,$K209),INDEX('AH History'!$D$5:$GG$1380,$K209,AH!$U$10))),NA()),NA())</f>
        <v/>
      </c>
      <c r="F209" s="32">
        <f>IFERROR(IF(ISNUMBER($A209),IF(AND(AH!$U$12=1,204+1=AH!$U$6),IF(AH!$U$4=0,"unavailable",INDEX('Market Data'!$AO$5:$AO$66,AH!$U$4)),IF(AH!$U$5=1,INDEX('Live History'!$E$5:$E$3004,MATCH($A209,'Live History'!$D$5:$D$3004,1)),INDEX('AH History'!$D$5:$GG$1380,$K209,AH!$U$10+1))),NA()),NA())</f>
        <v/>
      </c>
      <c r="G209" s="34">
        <f>IFERROR(IF(ISNUMBER($A209),IF(AND(AH!$U$12=1,204+1=AH!$U$6),IF(AH!$U$4=0,"unavailable",INDEX('Market Data'!$AK$5:$AK$66,AH!$U$4)),IF(AH!$U$5=1,INDEX('Live History'!$D$5:$D$3004,MATCH($A209,'Live History'!$D$5:$D$3004,1)),INDEX('AH History'!$D$5:$GG$1380,$K209,AH!$U$10+2))),NA()),NA())</f>
        <v/>
      </c>
      <c r="H209" s="266">
        <f>IFERROR(IF(ISNUMBER($A209),IF(AND(AH!$U$12=1,204+1=AH!$U$6),IF(AH!$U$4=0,"unavailable",INDEX('Market Data'!$AP$5:$AP$66,AH!$U$4)),IF(AH!$U$5=1,INDEX('Live History'!$H$5:$H$3004,MATCH($A209,'Live History'!$G$5:$G$3004,1)),INDEX('AH History'!$B$5:$B$1380,$K209))),NA()),NA())</f>
        <v/>
      </c>
      <c r="I209" s="34">
        <f>IFERROR(IF(ISNUMBER($A209),IF(AND(AH!$U$12=1,204+1=AH!$U$6),TODAY(),IF(AH!$U$5=1,INDEX('Live History'!$G$5:$G$3004,MATCH($A209,'Live History'!$G$5:$G$3004,1)),INDEX('AH History'!$C$5:$C$1380,$K209))),NA()),NA())</f>
        <v/>
      </c>
      <c r="J209" s="32">
        <f>IFERROR(IF(AND($F209&gt;0,$H209&gt;0,$A209-$G209&lt;=10,$A209-$I209&lt;=5,$G209&gt;0,$I209&gt;0),$F209*$H209,NA()),NA())</f>
        <v/>
      </c>
      <c r="K209" s="15">
        <f>IF($A209="","",IF(AH!$U$5=1,IFERROR(MATCH($A209,'Live History'!$A$5:$A$3004,0),0),AH!$U$7+204))</f>
        <v/>
      </c>
      <c r="L209" s="15">
        <f>IF(ISNUMBER(A209),TEXT(A209,"dd-mmm-yy"),"")</f>
        <v/>
      </c>
    </row>
    <row r="210">
      <c r="A210" s="14">
        <f>IF(OR(AH!$U$4=0,205+1&gt;AH!$U$6,AND(AH!$M$5="Bloomberg",AH!$U$5=0)),"",IFERROR(IF(AND(AH!$U$12=1,205+1=AH!$U$6),TODAY(),IF(AH!$U$5=1,INDEX('Live History'!$A$5:$A$3004,AH!$U$7+205),INDEX('AH History'!$A$5:$A$1380,AH!$U$7+205))),""))</f>
        <v/>
      </c>
      <c r="B210" s="33">
        <f>IFERROR(IF(AH!$U$11=1,NA(),$J210/$E210-1),NA())</f>
        <v/>
      </c>
      <c r="C210" s="269">
        <f>IFERROR(100*$E210/$E$5,NA())</f>
        <v/>
      </c>
      <c r="D210" s="269">
        <f>IFERROR(100*$J210/$J$5,NA())</f>
        <v/>
      </c>
      <c r="E210" s="32">
        <f>IFERROR(IF(AND(ISNUMBER($A210),N(IF(AND(AH!$U$12=1,205+1=AH!$U$6),IF(AH!$U$4=0,"unavailable",INDEX('Market Data'!$AN$5:$AN$66,AH!$U$4)),IF(AH!$U$5=1,INDEX('Live History'!$B$5:$B$3004,$K210),INDEX('AH History'!$D$5:$GG$1380,$K210,AH!$U$10))))&gt;0),IF(AND(AH!$U$12=1,205+1=AH!$U$6),IF(AH!$U$4=0,"unavailable",INDEX('Market Data'!$AN$5:$AN$66,AH!$U$4)),IF(AH!$U$5=1,INDEX('Live History'!$B$5:$B$3004,$K210),INDEX('AH History'!$D$5:$GG$1380,$K210,AH!$U$10))),NA()),NA())</f>
        <v/>
      </c>
      <c r="F210" s="32">
        <f>IFERROR(IF(ISNUMBER($A210),IF(AND(AH!$U$12=1,205+1=AH!$U$6),IF(AH!$U$4=0,"unavailable",INDEX('Market Data'!$AO$5:$AO$66,AH!$U$4)),IF(AH!$U$5=1,INDEX('Live History'!$E$5:$E$3004,MATCH($A210,'Live History'!$D$5:$D$3004,1)),INDEX('AH History'!$D$5:$GG$1380,$K210,AH!$U$10+1))),NA()),NA())</f>
        <v/>
      </c>
      <c r="G210" s="34">
        <f>IFERROR(IF(ISNUMBER($A210),IF(AND(AH!$U$12=1,205+1=AH!$U$6),IF(AH!$U$4=0,"unavailable",INDEX('Market Data'!$AK$5:$AK$66,AH!$U$4)),IF(AH!$U$5=1,INDEX('Live History'!$D$5:$D$3004,MATCH($A210,'Live History'!$D$5:$D$3004,1)),INDEX('AH History'!$D$5:$GG$1380,$K210,AH!$U$10+2))),NA()),NA())</f>
        <v/>
      </c>
      <c r="H210" s="266">
        <f>IFERROR(IF(ISNUMBER($A210),IF(AND(AH!$U$12=1,205+1=AH!$U$6),IF(AH!$U$4=0,"unavailable",INDEX('Market Data'!$AP$5:$AP$66,AH!$U$4)),IF(AH!$U$5=1,INDEX('Live History'!$H$5:$H$3004,MATCH($A210,'Live History'!$G$5:$G$3004,1)),INDEX('AH History'!$B$5:$B$1380,$K210))),NA()),NA())</f>
        <v/>
      </c>
      <c r="I210" s="34">
        <f>IFERROR(IF(ISNUMBER($A210),IF(AND(AH!$U$12=1,205+1=AH!$U$6),TODAY(),IF(AH!$U$5=1,INDEX('Live History'!$G$5:$G$3004,MATCH($A210,'Live History'!$G$5:$G$3004,1)),INDEX('AH History'!$C$5:$C$1380,$K210))),NA()),NA())</f>
        <v/>
      </c>
      <c r="J210" s="32">
        <f>IFERROR(IF(AND($F210&gt;0,$H210&gt;0,$A210-$G210&lt;=10,$A210-$I210&lt;=5,$G210&gt;0,$I210&gt;0),$F210*$H210,NA()),NA())</f>
        <v/>
      </c>
      <c r="K210" s="15">
        <f>IF($A210="","",IF(AH!$U$5=1,IFERROR(MATCH($A210,'Live History'!$A$5:$A$3004,0),0),AH!$U$7+205))</f>
        <v/>
      </c>
      <c r="L210" s="15">
        <f>IF(ISNUMBER(A210),TEXT(A210,"dd-mmm-yy"),"")</f>
        <v/>
      </c>
    </row>
    <row r="211">
      <c r="A211" s="14">
        <f>IF(OR(AH!$U$4=0,206+1&gt;AH!$U$6,AND(AH!$M$5="Bloomberg",AH!$U$5=0)),"",IFERROR(IF(AND(AH!$U$12=1,206+1=AH!$U$6),TODAY(),IF(AH!$U$5=1,INDEX('Live History'!$A$5:$A$3004,AH!$U$7+206),INDEX('AH History'!$A$5:$A$1380,AH!$U$7+206))),""))</f>
        <v/>
      </c>
      <c r="B211" s="33">
        <f>IFERROR(IF(AH!$U$11=1,NA(),$J211/$E211-1),NA())</f>
        <v/>
      </c>
      <c r="C211" s="269">
        <f>IFERROR(100*$E211/$E$5,NA())</f>
        <v/>
      </c>
      <c r="D211" s="269">
        <f>IFERROR(100*$J211/$J$5,NA())</f>
        <v/>
      </c>
      <c r="E211" s="32">
        <f>IFERROR(IF(AND(ISNUMBER($A211),N(IF(AND(AH!$U$12=1,206+1=AH!$U$6),IF(AH!$U$4=0,"unavailable",INDEX('Market Data'!$AN$5:$AN$66,AH!$U$4)),IF(AH!$U$5=1,INDEX('Live History'!$B$5:$B$3004,$K211),INDEX('AH History'!$D$5:$GG$1380,$K211,AH!$U$10))))&gt;0),IF(AND(AH!$U$12=1,206+1=AH!$U$6),IF(AH!$U$4=0,"unavailable",INDEX('Market Data'!$AN$5:$AN$66,AH!$U$4)),IF(AH!$U$5=1,INDEX('Live History'!$B$5:$B$3004,$K211),INDEX('AH History'!$D$5:$GG$1380,$K211,AH!$U$10))),NA()),NA())</f>
        <v/>
      </c>
      <c r="F211" s="32">
        <f>IFERROR(IF(ISNUMBER($A211),IF(AND(AH!$U$12=1,206+1=AH!$U$6),IF(AH!$U$4=0,"unavailable",INDEX('Market Data'!$AO$5:$AO$66,AH!$U$4)),IF(AH!$U$5=1,INDEX('Live History'!$E$5:$E$3004,MATCH($A211,'Live History'!$D$5:$D$3004,1)),INDEX('AH History'!$D$5:$GG$1380,$K211,AH!$U$10+1))),NA()),NA())</f>
        <v/>
      </c>
      <c r="G211" s="34">
        <f>IFERROR(IF(ISNUMBER($A211),IF(AND(AH!$U$12=1,206+1=AH!$U$6),IF(AH!$U$4=0,"unavailable",INDEX('Market Data'!$AK$5:$AK$66,AH!$U$4)),IF(AH!$U$5=1,INDEX('Live History'!$D$5:$D$3004,MATCH($A211,'Live History'!$D$5:$D$3004,1)),INDEX('AH History'!$D$5:$GG$1380,$K211,AH!$U$10+2))),NA()),NA())</f>
        <v/>
      </c>
      <c r="H211" s="266">
        <f>IFERROR(IF(ISNUMBER($A211),IF(AND(AH!$U$12=1,206+1=AH!$U$6),IF(AH!$U$4=0,"unavailable",INDEX('Market Data'!$AP$5:$AP$66,AH!$U$4)),IF(AH!$U$5=1,INDEX('Live History'!$H$5:$H$3004,MATCH($A211,'Live History'!$G$5:$G$3004,1)),INDEX('AH History'!$B$5:$B$1380,$K211))),NA()),NA())</f>
        <v/>
      </c>
      <c r="I211" s="34">
        <f>IFERROR(IF(ISNUMBER($A211),IF(AND(AH!$U$12=1,206+1=AH!$U$6),TODAY(),IF(AH!$U$5=1,INDEX('Live History'!$G$5:$G$3004,MATCH($A211,'Live History'!$G$5:$G$3004,1)),INDEX('AH History'!$C$5:$C$1380,$K211))),NA()),NA())</f>
        <v/>
      </c>
      <c r="J211" s="32">
        <f>IFERROR(IF(AND($F211&gt;0,$H211&gt;0,$A211-$G211&lt;=10,$A211-$I211&lt;=5,$G211&gt;0,$I211&gt;0),$F211*$H211,NA()),NA())</f>
        <v/>
      </c>
      <c r="K211" s="15">
        <f>IF($A211="","",IF(AH!$U$5=1,IFERROR(MATCH($A211,'Live History'!$A$5:$A$3004,0),0),AH!$U$7+206))</f>
        <v/>
      </c>
      <c r="L211" s="15">
        <f>IF(ISNUMBER(A211),TEXT(A211,"dd-mmm-yy"),"")</f>
        <v/>
      </c>
    </row>
    <row r="212">
      <c r="A212" s="14">
        <f>IF(OR(AH!$U$4=0,207+1&gt;AH!$U$6,AND(AH!$M$5="Bloomberg",AH!$U$5=0)),"",IFERROR(IF(AND(AH!$U$12=1,207+1=AH!$U$6),TODAY(),IF(AH!$U$5=1,INDEX('Live History'!$A$5:$A$3004,AH!$U$7+207),INDEX('AH History'!$A$5:$A$1380,AH!$U$7+207))),""))</f>
        <v/>
      </c>
      <c r="B212" s="33">
        <f>IFERROR(IF(AH!$U$11=1,NA(),$J212/$E212-1),NA())</f>
        <v/>
      </c>
      <c r="C212" s="269">
        <f>IFERROR(100*$E212/$E$5,NA())</f>
        <v/>
      </c>
      <c r="D212" s="269">
        <f>IFERROR(100*$J212/$J$5,NA())</f>
        <v/>
      </c>
      <c r="E212" s="32">
        <f>IFERROR(IF(AND(ISNUMBER($A212),N(IF(AND(AH!$U$12=1,207+1=AH!$U$6),IF(AH!$U$4=0,"unavailable",INDEX('Market Data'!$AN$5:$AN$66,AH!$U$4)),IF(AH!$U$5=1,INDEX('Live History'!$B$5:$B$3004,$K212),INDEX('AH History'!$D$5:$GG$1380,$K212,AH!$U$10))))&gt;0),IF(AND(AH!$U$12=1,207+1=AH!$U$6),IF(AH!$U$4=0,"unavailable",INDEX('Market Data'!$AN$5:$AN$66,AH!$U$4)),IF(AH!$U$5=1,INDEX('Live History'!$B$5:$B$3004,$K212),INDEX('AH History'!$D$5:$GG$1380,$K212,AH!$U$10))),NA()),NA())</f>
        <v/>
      </c>
      <c r="F212" s="32">
        <f>IFERROR(IF(ISNUMBER($A212),IF(AND(AH!$U$12=1,207+1=AH!$U$6),IF(AH!$U$4=0,"unavailable",INDEX('Market Data'!$AO$5:$AO$66,AH!$U$4)),IF(AH!$U$5=1,INDEX('Live History'!$E$5:$E$3004,MATCH($A212,'Live History'!$D$5:$D$3004,1)),INDEX('AH History'!$D$5:$GG$1380,$K212,AH!$U$10+1))),NA()),NA())</f>
        <v/>
      </c>
      <c r="G212" s="34">
        <f>IFERROR(IF(ISNUMBER($A212),IF(AND(AH!$U$12=1,207+1=AH!$U$6),IF(AH!$U$4=0,"unavailable",INDEX('Market Data'!$AK$5:$AK$66,AH!$U$4)),IF(AH!$U$5=1,INDEX('Live History'!$D$5:$D$3004,MATCH($A212,'Live History'!$D$5:$D$3004,1)),INDEX('AH History'!$D$5:$GG$1380,$K212,AH!$U$10+2))),NA()),NA())</f>
        <v/>
      </c>
      <c r="H212" s="266">
        <f>IFERROR(IF(ISNUMBER($A212),IF(AND(AH!$U$12=1,207+1=AH!$U$6),IF(AH!$U$4=0,"unavailable",INDEX('Market Data'!$AP$5:$AP$66,AH!$U$4)),IF(AH!$U$5=1,INDEX('Live History'!$H$5:$H$3004,MATCH($A212,'Live History'!$G$5:$G$3004,1)),INDEX('AH History'!$B$5:$B$1380,$K212))),NA()),NA())</f>
        <v/>
      </c>
      <c r="I212" s="34">
        <f>IFERROR(IF(ISNUMBER($A212),IF(AND(AH!$U$12=1,207+1=AH!$U$6),TODAY(),IF(AH!$U$5=1,INDEX('Live History'!$G$5:$G$3004,MATCH($A212,'Live History'!$G$5:$G$3004,1)),INDEX('AH History'!$C$5:$C$1380,$K212))),NA()),NA())</f>
        <v/>
      </c>
      <c r="J212" s="32">
        <f>IFERROR(IF(AND($F212&gt;0,$H212&gt;0,$A212-$G212&lt;=10,$A212-$I212&lt;=5,$G212&gt;0,$I212&gt;0),$F212*$H212,NA()),NA())</f>
        <v/>
      </c>
      <c r="K212" s="15">
        <f>IF($A212="","",IF(AH!$U$5=1,IFERROR(MATCH($A212,'Live History'!$A$5:$A$3004,0),0),AH!$U$7+207))</f>
        <v/>
      </c>
      <c r="L212" s="15">
        <f>IF(ISNUMBER(A212),TEXT(A212,"dd-mmm-yy"),"")</f>
        <v/>
      </c>
    </row>
    <row r="213">
      <c r="A213" s="14">
        <f>IF(OR(AH!$U$4=0,208+1&gt;AH!$U$6,AND(AH!$M$5="Bloomberg",AH!$U$5=0)),"",IFERROR(IF(AND(AH!$U$12=1,208+1=AH!$U$6),TODAY(),IF(AH!$U$5=1,INDEX('Live History'!$A$5:$A$3004,AH!$U$7+208),INDEX('AH History'!$A$5:$A$1380,AH!$U$7+208))),""))</f>
        <v/>
      </c>
      <c r="B213" s="33">
        <f>IFERROR(IF(AH!$U$11=1,NA(),$J213/$E213-1),NA())</f>
        <v/>
      </c>
      <c r="C213" s="269">
        <f>IFERROR(100*$E213/$E$5,NA())</f>
        <v/>
      </c>
      <c r="D213" s="269">
        <f>IFERROR(100*$J213/$J$5,NA())</f>
        <v/>
      </c>
      <c r="E213" s="32">
        <f>IFERROR(IF(AND(ISNUMBER($A213),N(IF(AND(AH!$U$12=1,208+1=AH!$U$6),IF(AH!$U$4=0,"unavailable",INDEX('Market Data'!$AN$5:$AN$66,AH!$U$4)),IF(AH!$U$5=1,INDEX('Live History'!$B$5:$B$3004,$K213),INDEX('AH History'!$D$5:$GG$1380,$K213,AH!$U$10))))&gt;0),IF(AND(AH!$U$12=1,208+1=AH!$U$6),IF(AH!$U$4=0,"unavailable",INDEX('Market Data'!$AN$5:$AN$66,AH!$U$4)),IF(AH!$U$5=1,INDEX('Live History'!$B$5:$B$3004,$K213),INDEX('AH History'!$D$5:$GG$1380,$K213,AH!$U$10))),NA()),NA())</f>
        <v/>
      </c>
      <c r="F213" s="32">
        <f>IFERROR(IF(ISNUMBER($A213),IF(AND(AH!$U$12=1,208+1=AH!$U$6),IF(AH!$U$4=0,"unavailable",INDEX('Market Data'!$AO$5:$AO$66,AH!$U$4)),IF(AH!$U$5=1,INDEX('Live History'!$E$5:$E$3004,MATCH($A213,'Live History'!$D$5:$D$3004,1)),INDEX('AH History'!$D$5:$GG$1380,$K213,AH!$U$10+1))),NA()),NA())</f>
        <v/>
      </c>
      <c r="G213" s="34">
        <f>IFERROR(IF(ISNUMBER($A213),IF(AND(AH!$U$12=1,208+1=AH!$U$6),IF(AH!$U$4=0,"unavailable",INDEX('Market Data'!$AK$5:$AK$66,AH!$U$4)),IF(AH!$U$5=1,INDEX('Live History'!$D$5:$D$3004,MATCH($A213,'Live History'!$D$5:$D$3004,1)),INDEX('AH History'!$D$5:$GG$1380,$K213,AH!$U$10+2))),NA()),NA())</f>
        <v/>
      </c>
      <c r="H213" s="266">
        <f>IFERROR(IF(ISNUMBER($A213),IF(AND(AH!$U$12=1,208+1=AH!$U$6),IF(AH!$U$4=0,"unavailable",INDEX('Market Data'!$AP$5:$AP$66,AH!$U$4)),IF(AH!$U$5=1,INDEX('Live History'!$H$5:$H$3004,MATCH($A213,'Live History'!$G$5:$G$3004,1)),INDEX('AH History'!$B$5:$B$1380,$K213))),NA()),NA())</f>
        <v/>
      </c>
      <c r="I213" s="34">
        <f>IFERROR(IF(ISNUMBER($A213),IF(AND(AH!$U$12=1,208+1=AH!$U$6),TODAY(),IF(AH!$U$5=1,INDEX('Live History'!$G$5:$G$3004,MATCH($A213,'Live History'!$G$5:$G$3004,1)),INDEX('AH History'!$C$5:$C$1380,$K213))),NA()),NA())</f>
        <v/>
      </c>
      <c r="J213" s="32">
        <f>IFERROR(IF(AND($F213&gt;0,$H213&gt;0,$A213-$G213&lt;=10,$A213-$I213&lt;=5,$G213&gt;0,$I213&gt;0),$F213*$H213,NA()),NA())</f>
        <v/>
      </c>
      <c r="K213" s="15">
        <f>IF($A213="","",IF(AH!$U$5=1,IFERROR(MATCH($A213,'Live History'!$A$5:$A$3004,0),0),AH!$U$7+208))</f>
        <v/>
      </c>
      <c r="L213" s="15">
        <f>IF(ISNUMBER(A213),TEXT(A213,"dd-mmm-yy"),"")</f>
        <v/>
      </c>
    </row>
    <row r="214">
      <c r="A214" s="14">
        <f>IF(OR(AH!$U$4=0,209+1&gt;AH!$U$6,AND(AH!$M$5="Bloomberg",AH!$U$5=0)),"",IFERROR(IF(AND(AH!$U$12=1,209+1=AH!$U$6),TODAY(),IF(AH!$U$5=1,INDEX('Live History'!$A$5:$A$3004,AH!$U$7+209),INDEX('AH History'!$A$5:$A$1380,AH!$U$7+209))),""))</f>
        <v/>
      </c>
      <c r="B214" s="33">
        <f>IFERROR(IF(AH!$U$11=1,NA(),$J214/$E214-1),NA())</f>
        <v/>
      </c>
      <c r="C214" s="269">
        <f>IFERROR(100*$E214/$E$5,NA())</f>
        <v/>
      </c>
      <c r="D214" s="269">
        <f>IFERROR(100*$J214/$J$5,NA())</f>
        <v/>
      </c>
      <c r="E214" s="32">
        <f>IFERROR(IF(AND(ISNUMBER($A214),N(IF(AND(AH!$U$12=1,209+1=AH!$U$6),IF(AH!$U$4=0,"unavailable",INDEX('Market Data'!$AN$5:$AN$66,AH!$U$4)),IF(AH!$U$5=1,INDEX('Live History'!$B$5:$B$3004,$K214),INDEX('AH History'!$D$5:$GG$1380,$K214,AH!$U$10))))&gt;0),IF(AND(AH!$U$12=1,209+1=AH!$U$6),IF(AH!$U$4=0,"unavailable",INDEX('Market Data'!$AN$5:$AN$66,AH!$U$4)),IF(AH!$U$5=1,INDEX('Live History'!$B$5:$B$3004,$K214),INDEX('AH History'!$D$5:$GG$1380,$K214,AH!$U$10))),NA()),NA())</f>
        <v/>
      </c>
      <c r="F214" s="32">
        <f>IFERROR(IF(ISNUMBER($A214),IF(AND(AH!$U$12=1,209+1=AH!$U$6),IF(AH!$U$4=0,"unavailable",INDEX('Market Data'!$AO$5:$AO$66,AH!$U$4)),IF(AH!$U$5=1,INDEX('Live History'!$E$5:$E$3004,MATCH($A214,'Live History'!$D$5:$D$3004,1)),INDEX('AH History'!$D$5:$GG$1380,$K214,AH!$U$10+1))),NA()),NA())</f>
        <v/>
      </c>
      <c r="G214" s="34">
        <f>IFERROR(IF(ISNUMBER($A214),IF(AND(AH!$U$12=1,209+1=AH!$U$6),IF(AH!$U$4=0,"unavailable",INDEX('Market Data'!$AK$5:$AK$66,AH!$U$4)),IF(AH!$U$5=1,INDEX('Live History'!$D$5:$D$3004,MATCH($A214,'Live History'!$D$5:$D$3004,1)),INDEX('AH History'!$D$5:$GG$1380,$K214,AH!$U$10+2))),NA()),NA())</f>
        <v/>
      </c>
      <c r="H214" s="266">
        <f>IFERROR(IF(ISNUMBER($A214),IF(AND(AH!$U$12=1,209+1=AH!$U$6),IF(AH!$U$4=0,"unavailable",INDEX('Market Data'!$AP$5:$AP$66,AH!$U$4)),IF(AH!$U$5=1,INDEX('Live History'!$H$5:$H$3004,MATCH($A214,'Live History'!$G$5:$G$3004,1)),INDEX('AH History'!$B$5:$B$1380,$K214))),NA()),NA())</f>
        <v/>
      </c>
      <c r="I214" s="34">
        <f>IFERROR(IF(ISNUMBER($A214),IF(AND(AH!$U$12=1,209+1=AH!$U$6),TODAY(),IF(AH!$U$5=1,INDEX('Live History'!$G$5:$G$3004,MATCH($A214,'Live History'!$G$5:$G$3004,1)),INDEX('AH History'!$C$5:$C$1380,$K214))),NA()),NA())</f>
        <v/>
      </c>
      <c r="J214" s="32">
        <f>IFERROR(IF(AND($F214&gt;0,$H214&gt;0,$A214-$G214&lt;=10,$A214-$I214&lt;=5,$G214&gt;0,$I214&gt;0),$F214*$H214,NA()),NA())</f>
        <v/>
      </c>
      <c r="K214" s="15">
        <f>IF($A214="","",IF(AH!$U$5=1,IFERROR(MATCH($A214,'Live History'!$A$5:$A$3004,0),0),AH!$U$7+209))</f>
        <v/>
      </c>
      <c r="L214" s="15">
        <f>IF(ISNUMBER(A214),TEXT(A214,"dd-mmm-yy"),"")</f>
        <v/>
      </c>
    </row>
    <row r="215">
      <c r="A215" s="14">
        <f>IF(OR(AH!$U$4=0,210+1&gt;AH!$U$6,AND(AH!$M$5="Bloomberg",AH!$U$5=0)),"",IFERROR(IF(AND(AH!$U$12=1,210+1=AH!$U$6),TODAY(),IF(AH!$U$5=1,INDEX('Live History'!$A$5:$A$3004,AH!$U$7+210),INDEX('AH History'!$A$5:$A$1380,AH!$U$7+210))),""))</f>
        <v/>
      </c>
      <c r="B215" s="33">
        <f>IFERROR(IF(AH!$U$11=1,NA(),$J215/$E215-1),NA())</f>
        <v/>
      </c>
      <c r="C215" s="269">
        <f>IFERROR(100*$E215/$E$5,NA())</f>
        <v/>
      </c>
      <c r="D215" s="269">
        <f>IFERROR(100*$J215/$J$5,NA())</f>
        <v/>
      </c>
      <c r="E215" s="32">
        <f>IFERROR(IF(AND(ISNUMBER($A215),N(IF(AND(AH!$U$12=1,210+1=AH!$U$6),IF(AH!$U$4=0,"unavailable",INDEX('Market Data'!$AN$5:$AN$66,AH!$U$4)),IF(AH!$U$5=1,INDEX('Live History'!$B$5:$B$3004,$K215),INDEX('AH History'!$D$5:$GG$1380,$K215,AH!$U$10))))&gt;0),IF(AND(AH!$U$12=1,210+1=AH!$U$6),IF(AH!$U$4=0,"unavailable",INDEX('Market Data'!$AN$5:$AN$66,AH!$U$4)),IF(AH!$U$5=1,INDEX('Live History'!$B$5:$B$3004,$K215),INDEX('AH History'!$D$5:$GG$1380,$K215,AH!$U$10))),NA()),NA())</f>
        <v/>
      </c>
      <c r="F215" s="32">
        <f>IFERROR(IF(ISNUMBER($A215),IF(AND(AH!$U$12=1,210+1=AH!$U$6),IF(AH!$U$4=0,"unavailable",INDEX('Market Data'!$AO$5:$AO$66,AH!$U$4)),IF(AH!$U$5=1,INDEX('Live History'!$E$5:$E$3004,MATCH($A215,'Live History'!$D$5:$D$3004,1)),INDEX('AH History'!$D$5:$GG$1380,$K215,AH!$U$10+1))),NA()),NA())</f>
        <v/>
      </c>
      <c r="G215" s="34">
        <f>IFERROR(IF(ISNUMBER($A215),IF(AND(AH!$U$12=1,210+1=AH!$U$6),IF(AH!$U$4=0,"unavailable",INDEX('Market Data'!$AK$5:$AK$66,AH!$U$4)),IF(AH!$U$5=1,INDEX('Live History'!$D$5:$D$3004,MATCH($A215,'Live History'!$D$5:$D$3004,1)),INDEX('AH History'!$D$5:$GG$1380,$K215,AH!$U$10+2))),NA()),NA())</f>
        <v/>
      </c>
      <c r="H215" s="266">
        <f>IFERROR(IF(ISNUMBER($A215),IF(AND(AH!$U$12=1,210+1=AH!$U$6),IF(AH!$U$4=0,"unavailable",INDEX('Market Data'!$AP$5:$AP$66,AH!$U$4)),IF(AH!$U$5=1,INDEX('Live History'!$H$5:$H$3004,MATCH($A215,'Live History'!$G$5:$G$3004,1)),INDEX('AH History'!$B$5:$B$1380,$K215))),NA()),NA())</f>
        <v/>
      </c>
      <c r="I215" s="34">
        <f>IFERROR(IF(ISNUMBER($A215),IF(AND(AH!$U$12=1,210+1=AH!$U$6),TODAY(),IF(AH!$U$5=1,INDEX('Live History'!$G$5:$G$3004,MATCH($A215,'Live History'!$G$5:$G$3004,1)),INDEX('AH History'!$C$5:$C$1380,$K215))),NA()),NA())</f>
        <v/>
      </c>
      <c r="J215" s="32">
        <f>IFERROR(IF(AND($F215&gt;0,$H215&gt;0,$A215-$G215&lt;=10,$A215-$I215&lt;=5,$G215&gt;0,$I215&gt;0),$F215*$H215,NA()),NA())</f>
        <v/>
      </c>
      <c r="K215" s="15">
        <f>IF($A215="","",IF(AH!$U$5=1,IFERROR(MATCH($A215,'Live History'!$A$5:$A$3004,0),0),AH!$U$7+210))</f>
        <v/>
      </c>
      <c r="L215" s="15">
        <f>IF(ISNUMBER(A215),TEXT(A215,"dd-mmm-yy"),"")</f>
        <v/>
      </c>
    </row>
    <row r="216">
      <c r="A216" s="14">
        <f>IF(OR(AH!$U$4=0,211+1&gt;AH!$U$6,AND(AH!$M$5="Bloomberg",AH!$U$5=0)),"",IFERROR(IF(AND(AH!$U$12=1,211+1=AH!$U$6),TODAY(),IF(AH!$U$5=1,INDEX('Live History'!$A$5:$A$3004,AH!$U$7+211),INDEX('AH History'!$A$5:$A$1380,AH!$U$7+211))),""))</f>
        <v/>
      </c>
      <c r="B216" s="33">
        <f>IFERROR(IF(AH!$U$11=1,NA(),$J216/$E216-1),NA())</f>
        <v/>
      </c>
      <c r="C216" s="269">
        <f>IFERROR(100*$E216/$E$5,NA())</f>
        <v/>
      </c>
      <c r="D216" s="269">
        <f>IFERROR(100*$J216/$J$5,NA())</f>
        <v/>
      </c>
      <c r="E216" s="32">
        <f>IFERROR(IF(AND(ISNUMBER($A216),N(IF(AND(AH!$U$12=1,211+1=AH!$U$6),IF(AH!$U$4=0,"unavailable",INDEX('Market Data'!$AN$5:$AN$66,AH!$U$4)),IF(AH!$U$5=1,INDEX('Live History'!$B$5:$B$3004,$K216),INDEX('AH History'!$D$5:$GG$1380,$K216,AH!$U$10))))&gt;0),IF(AND(AH!$U$12=1,211+1=AH!$U$6),IF(AH!$U$4=0,"unavailable",INDEX('Market Data'!$AN$5:$AN$66,AH!$U$4)),IF(AH!$U$5=1,INDEX('Live History'!$B$5:$B$3004,$K216),INDEX('AH History'!$D$5:$GG$1380,$K216,AH!$U$10))),NA()),NA())</f>
        <v/>
      </c>
      <c r="F216" s="32">
        <f>IFERROR(IF(ISNUMBER($A216),IF(AND(AH!$U$12=1,211+1=AH!$U$6),IF(AH!$U$4=0,"unavailable",INDEX('Market Data'!$AO$5:$AO$66,AH!$U$4)),IF(AH!$U$5=1,INDEX('Live History'!$E$5:$E$3004,MATCH($A216,'Live History'!$D$5:$D$3004,1)),INDEX('AH History'!$D$5:$GG$1380,$K216,AH!$U$10+1))),NA()),NA())</f>
        <v/>
      </c>
      <c r="G216" s="34">
        <f>IFERROR(IF(ISNUMBER($A216),IF(AND(AH!$U$12=1,211+1=AH!$U$6),IF(AH!$U$4=0,"unavailable",INDEX('Market Data'!$AK$5:$AK$66,AH!$U$4)),IF(AH!$U$5=1,INDEX('Live History'!$D$5:$D$3004,MATCH($A216,'Live History'!$D$5:$D$3004,1)),INDEX('AH History'!$D$5:$GG$1380,$K216,AH!$U$10+2))),NA()),NA())</f>
        <v/>
      </c>
      <c r="H216" s="266">
        <f>IFERROR(IF(ISNUMBER($A216),IF(AND(AH!$U$12=1,211+1=AH!$U$6),IF(AH!$U$4=0,"unavailable",INDEX('Market Data'!$AP$5:$AP$66,AH!$U$4)),IF(AH!$U$5=1,INDEX('Live History'!$H$5:$H$3004,MATCH($A216,'Live History'!$G$5:$G$3004,1)),INDEX('AH History'!$B$5:$B$1380,$K216))),NA()),NA())</f>
        <v/>
      </c>
      <c r="I216" s="34">
        <f>IFERROR(IF(ISNUMBER($A216),IF(AND(AH!$U$12=1,211+1=AH!$U$6),TODAY(),IF(AH!$U$5=1,INDEX('Live History'!$G$5:$G$3004,MATCH($A216,'Live History'!$G$5:$G$3004,1)),INDEX('AH History'!$C$5:$C$1380,$K216))),NA()),NA())</f>
        <v/>
      </c>
      <c r="J216" s="32">
        <f>IFERROR(IF(AND($F216&gt;0,$H216&gt;0,$A216-$G216&lt;=10,$A216-$I216&lt;=5,$G216&gt;0,$I216&gt;0),$F216*$H216,NA()),NA())</f>
        <v/>
      </c>
      <c r="K216" s="15">
        <f>IF($A216="","",IF(AH!$U$5=1,IFERROR(MATCH($A216,'Live History'!$A$5:$A$3004,0),0),AH!$U$7+211))</f>
        <v/>
      </c>
      <c r="L216" s="15">
        <f>IF(ISNUMBER(A216),TEXT(A216,"dd-mmm-yy"),"")</f>
        <v/>
      </c>
    </row>
    <row r="217">
      <c r="A217" s="14">
        <f>IF(OR(AH!$U$4=0,212+1&gt;AH!$U$6,AND(AH!$M$5="Bloomberg",AH!$U$5=0)),"",IFERROR(IF(AND(AH!$U$12=1,212+1=AH!$U$6),TODAY(),IF(AH!$U$5=1,INDEX('Live History'!$A$5:$A$3004,AH!$U$7+212),INDEX('AH History'!$A$5:$A$1380,AH!$U$7+212))),""))</f>
        <v/>
      </c>
      <c r="B217" s="33">
        <f>IFERROR(IF(AH!$U$11=1,NA(),$J217/$E217-1),NA())</f>
        <v/>
      </c>
      <c r="C217" s="269">
        <f>IFERROR(100*$E217/$E$5,NA())</f>
        <v/>
      </c>
      <c r="D217" s="269">
        <f>IFERROR(100*$J217/$J$5,NA())</f>
        <v/>
      </c>
      <c r="E217" s="32">
        <f>IFERROR(IF(AND(ISNUMBER($A217),N(IF(AND(AH!$U$12=1,212+1=AH!$U$6),IF(AH!$U$4=0,"unavailable",INDEX('Market Data'!$AN$5:$AN$66,AH!$U$4)),IF(AH!$U$5=1,INDEX('Live History'!$B$5:$B$3004,$K217),INDEX('AH History'!$D$5:$GG$1380,$K217,AH!$U$10))))&gt;0),IF(AND(AH!$U$12=1,212+1=AH!$U$6),IF(AH!$U$4=0,"unavailable",INDEX('Market Data'!$AN$5:$AN$66,AH!$U$4)),IF(AH!$U$5=1,INDEX('Live History'!$B$5:$B$3004,$K217),INDEX('AH History'!$D$5:$GG$1380,$K217,AH!$U$10))),NA()),NA())</f>
        <v/>
      </c>
      <c r="F217" s="32">
        <f>IFERROR(IF(ISNUMBER($A217),IF(AND(AH!$U$12=1,212+1=AH!$U$6),IF(AH!$U$4=0,"unavailable",INDEX('Market Data'!$AO$5:$AO$66,AH!$U$4)),IF(AH!$U$5=1,INDEX('Live History'!$E$5:$E$3004,MATCH($A217,'Live History'!$D$5:$D$3004,1)),INDEX('AH History'!$D$5:$GG$1380,$K217,AH!$U$10+1))),NA()),NA())</f>
        <v/>
      </c>
      <c r="G217" s="34">
        <f>IFERROR(IF(ISNUMBER($A217),IF(AND(AH!$U$12=1,212+1=AH!$U$6),IF(AH!$U$4=0,"unavailable",INDEX('Market Data'!$AK$5:$AK$66,AH!$U$4)),IF(AH!$U$5=1,INDEX('Live History'!$D$5:$D$3004,MATCH($A217,'Live History'!$D$5:$D$3004,1)),INDEX('AH History'!$D$5:$GG$1380,$K217,AH!$U$10+2))),NA()),NA())</f>
        <v/>
      </c>
      <c r="H217" s="266">
        <f>IFERROR(IF(ISNUMBER($A217),IF(AND(AH!$U$12=1,212+1=AH!$U$6),IF(AH!$U$4=0,"unavailable",INDEX('Market Data'!$AP$5:$AP$66,AH!$U$4)),IF(AH!$U$5=1,INDEX('Live History'!$H$5:$H$3004,MATCH($A217,'Live History'!$G$5:$G$3004,1)),INDEX('AH History'!$B$5:$B$1380,$K217))),NA()),NA())</f>
        <v/>
      </c>
      <c r="I217" s="34">
        <f>IFERROR(IF(ISNUMBER($A217),IF(AND(AH!$U$12=1,212+1=AH!$U$6),TODAY(),IF(AH!$U$5=1,INDEX('Live History'!$G$5:$G$3004,MATCH($A217,'Live History'!$G$5:$G$3004,1)),INDEX('AH History'!$C$5:$C$1380,$K217))),NA()),NA())</f>
        <v/>
      </c>
      <c r="J217" s="32">
        <f>IFERROR(IF(AND($F217&gt;0,$H217&gt;0,$A217-$G217&lt;=10,$A217-$I217&lt;=5,$G217&gt;0,$I217&gt;0),$F217*$H217,NA()),NA())</f>
        <v/>
      </c>
      <c r="K217" s="15">
        <f>IF($A217="","",IF(AH!$U$5=1,IFERROR(MATCH($A217,'Live History'!$A$5:$A$3004,0),0),AH!$U$7+212))</f>
        <v/>
      </c>
      <c r="L217" s="15">
        <f>IF(ISNUMBER(A217),TEXT(A217,"dd-mmm-yy"),"")</f>
        <v/>
      </c>
    </row>
    <row r="218">
      <c r="A218" s="14">
        <f>IF(OR(AH!$U$4=0,213+1&gt;AH!$U$6,AND(AH!$M$5="Bloomberg",AH!$U$5=0)),"",IFERROR(IF(AND(AH!$U$12=1,213+1=AH!$U$6),TODAY(),IF(AH!$U$5=1,INDEX('Live History'!$A$5:$A$3004,AH!$U$7+213),INDEX('AH History'!$A$5:$A$1380,AH!$U$7+213))),""))</f>
        <v/>
      </c>
      <c r="B218" s="33">
        <f>IFERROR(IF(AH!$U$11=1,NA(),$J218/$E218-1),NA())</f>
        <v/>
      </c>
      <c r="C218" s="269">
        <f>IFERROR(100*$E218/$E$5,NA())</f>
        <v/>
      </c>
      <c r="D218" s="269">
        <f>IFERROR(100*$J218/$J$5,NA())</f>
        <v/>
      </c>
      <c r="E218" s="32">
        <f>IFERROR(IF(AND(ISNUMBER($A218),N(IF(AND(AH!$U$12=1,213+1=AH!$U$6),IF(AH!$U$4=0,"unavailable",INDEX('Market Data'!$AN$5:$AN$66,AH!$U$4)),IF(AH!$U$5=1,INDEX('Live History'!$B$5:$B$3004,$K218),INDEX('AH History'!$D$5:$GG$1380,$K218,AH!$U$10))))&gt;0),IF(AND(AH!$U$12=1,213+1=AH!$U$6),IF(AH!$U$4=0,"unavailable",INDEX('Market Data'!$AN$5:$AN$66,AH!$U$4)),IF(AH!$U$5=1,INDEX('Live History'!$B$5:$B$3004,$K218),INDEX('AH History'!$D$5:$GG$1380,$K218,AH!$U$10))),NA()),NA())</f>
        <v/>
      </c>
      <c r="F218" s="32">
        <f>IFERROR(IF(ISNUMBER($A218),IF(AND(AH!$U$12=1,213+1=AH!$U$6),IF(AH!$U$4=0,"unavailable",INDEX('Market Data'!$AO$5:$AO$66,AH!$U$4)),IF(AH!$U$5=1,INDEX('Live History'!$E$5:$E$3004,MATCH($A218,'Live History'!$D$5:$D$3004,1)),INDEX('AH History'!$D$5:$GG$1380,$K218,AH!$U$10+1))),NA()),NA())</f>
        <v/>
      </c>
      <c r="G218" s="34">
        <f>IFERROR(IF(ISNUMBER($A218),IF(AND(AH!$U$12=1,213+1=AH!$U$6),IF(AH!$U$4=0,"unavailable",INDEX('Market Data'!$AK$5:$AK$66,AH!$U$4)),IF(AH!$U$5=1,INDEX('Live History'!$D$5:$D$3004,MATCH($A218,'Live History'!$D$5:$D$3004,1)),INDEX('AH History'!$D$5:$GG$1380,$K218,AH!$U$10+2))),NA()),NA())</f>
        <v/>
      </c>
      <c r="H218" s="266">
        <f>IFERROR(IF(ISNUMBER($A218),IF(AND(AH!$U$12=1,213+1=AH!$U$6),IF(AH!$U$4=0,"unavailable",INDEX('Market Data'!$AP$5:$AP$66,AH!$U$4)),IF(AH!$U$5=1,INDEX('Live History'!$H$5:$H$3004,MATCH($A218,'Live History'!$G$5:$G$3004,1)),INDEX('AH History'!$B$5:$B$1380,$K218))),NA()),NA())</f>
        <v/>
      </c>
      <c r="I218" s="34">
        <f>IFERROR(IF(ISNUMBER($A218),IF(AND(AH!$U$12=1,213+1=AH!$U$6),TODAY(),IF(AH!$U$5=1,INDEX('Live History'!$G$5:$G$3004,MATCH($A218,'Live History'!$G$5:$G$3004,1)),INDEX('AH History'!$C$5:$C$1380,$K218))),NA()),NA())</f>
        <v/>
      </c>
      <c r="J218" s="32">
        <f>IFERROR(IF(AND($F218&gt;0,$H218&gt;0,$A218-$G218&lt;=10,$A218-$I218&lt;=5,$G218&gt;0,$I218&gt;0),$F218*$H218,NA()),NA())</f>
        <v/>
      </c>
      <c r="K218" s="15">
        <f>IF($A218="","",IF(AH!$U$5=1,IFERROR(MATCH($A218,'Live History'!$A$5:$A$3004,0),0),AH!$U$7+213))</f>
        <v/>
      </c>
      <c r="L218" s="15">
        <f>IF(ISNUMBER(A218),TEXT(A218,"dd-mmm-yy"),"")</f>
        <v/>
      </c>
    </row>
    <row r="219">
      <c r="A219" s="14">
        <f>IF(OR(AH!$U$4=0,214+1&gt;AH!$U$6,AND(AH!$M$5="Bloomberg",AH!$U$5=0)),"",IFERROR(IF(AND(AH!$U$12=1,214+1=AH!$U$6),TODAY(),IF(AH!$U$5=1,INDEX('Live History'!$A$5:$A$3004,AH!$U$7+214),INDEX('AH History'!$A$5:$A$1380,AH!$U$7+214))),""))</f>
        <v/>
      </c>
      <c r="B219" s="33">
        <f>IFERROR(IF(AH!$U$11=1,NA(),$J219/$E219-1),NA())</f>
        <v/>
      </c>
      <c r="C219" s="269">
        <f>IFERROR(100*$E219/$E$5,NA())</f>
        <v/>
      </c>
      <c r="D219" s="269">
        <f>IFERROR(100*$J219/$J$5,NA())</f>
        <v/>
      </c>
      <c r="E219" s="32">
        <f>IFERROR(IF(AND(ISNUMBER($A219),N(IF(AND(AH!$U$12=1,214+1=AH!$U$6),IF(AH!$U$4=0,"unavailable",INDEX('Market Data'!$AN$5:$AN$66,AH!$U$4)),IF(AH!$U$5=1,INDEX('Live History'!$B$5:$B$3004,$K219),INDEX('AH History'!$D$5:$GG$1380,$K219,AH!$U$10))))&gt;0),IF(AND(AH!$U$12=1,214+1=AH!$U$6),IF(AH!$U$4=0,"unavailable",INDEX('Market Data'!$AN$5:$AN$66,AH!$U$4)),IF(AH!$U$5=1,INDEX('Live History'!$B$5:$B$3004,$K219),INDEX('AH History'!$D$5:$GG$1380,$K219,AH!$U$10))),NA()),NA())</f>
        <v/>
      </c>
      <c r="F219" s="32">
        <f>IFERROR(IF(ISNUMBER($A219),IF(AND(AH!$U$12=1,214+1=AH!$U$6),IF(AH!$U$4=0,"unavailable",INDEX('Market Data'!$AO$5:$AO$66,AH!$U$4)),IF(AH!$U$5=1,INDEX('Live History'!$E$5:$E$3004,MATCH($A219,'Live History'!$D$5:$D$3004,1)),INDEX('AH History'!$D$5:$GG$1380,$K219,AH!$U$10+1))),NA()),NA())</f>
        <v/>
      </c>
      <c r="G219" s="34">
        <f>IFERROR(IF(ISNUMBER($A219),IF(AND(AH!$U$12=1,214+1=AH!$U$6),IF(AH!$U$4=0,"unavailable",INDEX('Market Data'!$AK$5:$AK$66,AH!$U$4)),IF(AH!$U$5=1,INDEX('Live History'!$D$5:$D$3004,MATCH($A219,'Live History'!$D$5:$D$3004,1)),INDEX('AH History'!$D$5:$GG$1380,$K219,AH!$U$10+2))),NA()),NA())</f>
        <v/>
      </c>
      <c r="H219" s="266">
        <f>IFERROR(IF(ISNUMBER($A219),IF(AND(AH!$U$12=1,214+1=AH!$U$6),IF(AH!$U$4=0,"unavailable",INDEX('Market Data'!$AP$5:$AP$66,AH!$U$4)),IF(AH!$U$5=1,INDEX('Live History'!$H$5:$H$3004,MATCH($A219,'Live History'!$G$5:$G$3004,1)),INDEX('AH History'!$B$5:$B$1380,$K219))),NA()),NA())</f>
        <v/>
      </c>
      <c r="I219" s="34">
        <f>IFERROR(IF(ISNUMBER($A219),IF(AND(AH!$U$12=1,214+1=AH!$U$6),TODAY(),IF(AH!$U$5=1,INDEX('Live History'!$G$5:$G$3004,MATCH($A219,'Live History'!$G$5:$G$3004,1)),INDEX('AH History'!$C$5:$C$1380,$K219))),NA()),NA())</f>
        <v/>
      </c>
      <c r="J219" s="32">
        <f>IFERROR(IF(AND($F219&gt;0,$H219&gt;0,$A219-$G219&lt;=10,$A219-$I219&lt;=5,$G219&gt;0,$I219&gt;0),$F219*$H219,NA()),NA())</f>
        <v/>
      </c>
      <c r="K219" s="15">
        <f>IF($A219="","",IF(AH!$U$5=1,IFERROR(MATCH($A219,'Live History'!$A$5:$A$3004,0),0),AH!$U$7+214))</f>
        <v/>
      </c>
      <c r="L219" s="15">
        <f>IF(ISNUMBER(A219),TEXT(A219,"dd-mmm-yy"),"")</f>
        <v/>
      </c>
    </row>
    <row r="220">
      <c r="A220" s="14">
        <f>IF(OR(AH!$U$4=0,215+1&gt;AH!$U$6,AND(AH!$M$5="Bloomberg",AH!$U$5=0)),"",IFERROR(IF(AND(AH!$U$12=1,215+1=AH!$U$6),TODAY(),IF(AH!$U$5=1,INDEX('Live History'!$A$5:$A$3004,AH!$U$7+215),INDEX('AH History'!$A$5:$A$1380,AH!$U$7+215))),""))</f>
        <v/>
      </c>
      <c r="B220" s="33">
        <f>IFERROR(IF(AH!$U$11=1,NA(),$J220/$E220-1),NA())</f>
        <v/>
      </c>
      <c r="C220" s="269">
        <f>IFERROR(100*$E220/$E$5,NA())</f>
        <v/>
      </c>
      <c r="D220" s="269">
        <f>IFERROR(100*$J220/$J$5,NA())</f>
        <v/>
      </c>
      <c r="E220" s="32">
        <f>IFERROR(IF(AND(ISNUMBER($A220),N(IF(AND(AH!$U$12=1,215+1=AH!$U$6),IF(AH!$U$4=0,"unavailable",INDEX('Market Data'!$AN$5:$AN$66,AH!$U$4)),IF(AH!$U$5=1,INDEX('Live History'!$B$5:$B$3004,$K220),INDEX('AH History'!$D$5:$GG$1380,$K220,AH!$U$10))))&gt;0),IF(AND(AH!$U$12=1,215+1=AH!$U$6),IF(AH!$U$4=0,"unavailable",INDEX('Market Data'!$AN$5:$AN$66,AH!$U$4)),IF(AH!$U$5=1,INDEX('Live History'!$B$5:$B$3004,$K220),INDEX('AH History'!$D$5:$GG$1380,$K220,AH!$U$10))),NA()),NA())</f>
        <v/>
      </c>
      <c r="F220" s="32">
        <f>IFERROR(IF(ISNUMBER($A220),IF(AND(AH!$U$12=1,215+1=AH!$U$6),IF(AH!$U$4=0,"unavailable",INDEX('Market Data'!$AO$5:$AO$66,AH!$U$4)),IF(AH!$U$5=1,INDEX('Live History'!$E$5:$E$3004,MATCH($A220,'Live History'!$D$5:$D$3004,1)),INDEX('AH History'!$D$5:$GG$1380,$K220,AH!$U$10+1))),NA()),NA())</f>
        <v/>
      </c>
      <c r="G220" s="34">
        <f>IFERROR(IF(ISNUMBER($A220),IF(AND(AH!$U$12=1,215+1=AH!$U$6),IF(AH!$U$4=0,"unavailable",INDEX('Market Data'!$AK$5:$AK$66,AH!$U$4)),IF(AH!$U$5=1,INDEX('Live History'!$D$5:$D$3004,MATCH($A220,'Live History'!$D$5:$D$3004,1)),INDEX('AH History'!$D$5:$GG$1380,$K220,AH!$U$10+2))),NA()),NA())</f>
        <v/>
      </c>
      <c r="H220" s="266">
        <f>IFERROR(IF(ISNUMBER($A220),IF(AND(AH!$U$12=1,215+1=AH!$U$6),IF(AH!$U$4=0,"unavailable",INDEX('Market Data'!$AP$5:$AP$66,AH!$U$4)),IF(AH!$U$5=1,INDEX('Live History'!$H$5:$H$3004,MATCH($A220,'Live History'!$G$5:$G$3004,1)),INDEX('AH History'!$B$5:$B$1380,$K220))),NA()),NA())</f>
        <v/>
      </c>
      <c r="I220" s="34">
        <f>IFERROR(IF(ISNUMBER($A220),IF(AND(AH!$U$12=1,215+1=AH!$U$6),TODAY(),IF(AH!$U$5=1,INDEX('Live History'!$G$5:$G$3004,MATCH($A220,'Live History'!$G$5:$G$3004,1)),INDEX('AH History'!$C$5:$C$1380,$K220))),NA()),NA())</f>
        <v/>
      </c>
      <c r="J220" s="32">
        <f>IFERROR(IF(AND($F220&gt;0,$H220&gt;0,$A220-$G220&lt;=10,$A220-$I220&lt;=5,$G220&gt;0,$I220&gt;0),$F220*$H220,NA()),NA())</f>
        <v/>
      </c>
      <c r="K220" s="15">
        <f>IF($A220="","",IF(AH!$U$5=1,IFERROR(MATCH($A220,'Live History'!$A$5:$A$3004,0),0),AH!$U$7+215))</f>
        <v/>
      </c>
      <c r="L220" s="15">
        <f>IF(ISNUMBER(A220),TEXT(A220,"dd-mmm-yy"),"")</f>
        <v/>
      </c>
    </row>
    <row r="221">
      <c r="A221" s="14">
        <f>IF(OR(AH!$U$4=0,216+1&gt;AH!$U$6,AND(AH!$M$5="Bloomberg",AH!$U$5=0)),"",IFERROR(IF(AND(AH!$U$12=1,216+1=AH!$U$6),TODAY(),IF(AH!$U$5=1,INDEX('Live History'!$A$5:$A$3004,AH!$U$7+216),INDEX('AH History'!$A$5:$A$1380,AH!$U$7+216))),""))</f>
        <v/>
      </c>
      <c r="B221" s="33">
        <f>IFERROR(IF(AH!$U$11=1,NA(),$J221/$E221-1),NA())</f>
        <v/>
      </c>
      <c r="C221" s="269">
        <f>IFERROR(100*$E221/$E$5,NA())</f>
        <v/>
      </c>
      <c r="D221" s="269">
        <f>IFERROR(100*$J221/$J$5,NA())</f>
        <v/>
      </c>
      <c r="E221" s="32">
        <f>IFERROR(IF(AND(ISNUMBER($A221),N(IF(AND(AH!$U$12=1,216+1=AH!$U$6),IF(AH!$U$4=0,"unavailable",INDEX('Market Data'!$AN$5:$AN$66,AH!$U$4)),IF(AH!$U$5=1,INDEX('Live History'!$B$5:$B$3004,$K221),INDEX('AH History'!$D$5:$GG$1380,$K221,AH!$U$10))))&gt;0),IF(AND(AH!$U$12=1,216+1=AH!$U$6),IF(AH!$U$4=0,"unavailable",INDEX('Market Data'!$AN$5:$AN$66,AH!$U$4)),IF(AH!$U$5=1,INDEX('Live History'!$B$5:$B$3004,$K221),INDEX('AH History'!$D$5:$GG$1380,$K221,AH!$U$10))),NA()),NA())</f>
        <v/>
      </c>
      <c r="F221" s="32">
        <f>IFERROR(IF(ISNUMBER($A221),IF(AND(AH!$U$12=1,216+1=AH!$U$6),IF(AH!$U$4=0,"unavailable",INDEX('Market Data'!$AO$5:$AO$66,AH!$U$4)),IF(AH!$U$5=1,INDEX('Live History'!$E$5:$E$3004,MATCH($A221,'Live History'!$D$5:$D$3004,1)),INDEX('AH History'!$D$5:$GG$1380,$K221,AH!$U$10+1))),NA()),NA())</f>
        <v/>
      </c>
      <c r="G221" s="34">
        <f>IFERROR(IF(ISNUMBER($A221),IF(AND(AH!$U$12=1,216+1=AH!$U$6),IF(AH!$U$4=0,"unavailable",INDEX('Market Data'!$AK$5:$AK$66,AH!$U$4)),IF(AH!$U$5=1,INDEX('Live History'!$D$5:$D$3004,MATCH($A221,'Live History'!$D$5:$D$3004,1)),INDEX('AH History'!$D$5:$GG$1380,$K221,AH!$U$10+2))),NA()),NA())</f>
        <v/>
      </c>
      <c r="H221" s="266">
        <f>IFERROR(IF(ISNUMBER($A221),IF(AND(AH!$U$12=1,216+1=AH!$U$6),IF(AH!$U$4=0,"unavailable",INDEX('Market Data'!$AP$5:$AP$66,AH!$U$4)),IF(AH!$U$5=1,INDEX('Live History'!$H$5:$H$3004,MATCH($A221,'Live History'!$G$5:$G$3004,1)),INDEX('AH History'!$B$5:$B$1380,$K221))),NA()),NA())</f>
        <v/>
      </c>
      <c r="I221" s="34">
        <f>IFERROR(IF(ISNUMBER($A221),IF(AND(AH!$U$12=1,216+1=AH!$U$6),TODAY(),IF(AH!$U$5=1,INDEX('Live History'!$G$5:$G$3004,MATCH($A221,'Live History'!$G$5:$G$3004,1)),INDEX('AH History'!$C$5:$C$1380,$K221))),NA()),NA())</f>
        <v/>
      </c>
      <c r="J221" s="32">
        <f>IFERROR(IF(AND($F221&gt;0,$H221&gt;0,$A221-$G221&lt;=10,$A221-$I221&lt;=5,$G221&gt;0,$I221&gt;0),$F221*$H221,NA()),NA())</f>
        <v/>
      </c>
      <c r="K221" s="15">
        <f>IF($A221="","",IF(AH!$U$5=1,IFERROR(MATCH($A221,'Live History'!$A$5:$A$3004,0),0),AH!$U$7+216))</f>
        <v/>
      </c>
      <c r="L221" s="15">
        <f>IF(ISNUMBER(A221),TEXT(A221,"dd-mmm-yy"),"")</f>
        <v/>
      </c>
    </row>
    <row r="222">
      <c r="A222" s="14">
        <f>IF(OR(AH!$U$4=0,217+1&gt;AH!$U$6,AND(AH!$M$5="Bloomberg",AH!$U$5=0)),"",IFERROR(IF(AND(AH!$U$12=1,217+1=AH!$U$6),TODAY(),IF(AH!$U$5=1,INDEX('Live History'!$A$5:$A$3004,AH!$U$7+217),INDEX('AH History'!$A$5:$A$1380,AH!$U$7+217))),""))</f>
        <v/>
      </c>
      <c r="B222" s="33">
        <f>IFERROR(IF(AH!$U$11=1,NA(),$J222/$E222-1),NA())</f>
        <v/>
      </c>
      <c r="C222" s="269">
        <f>IFERROR(100*$E222/$E$5,NA())</f>
        <v/>
      </c>
      <c r="D222" s="269">
        <f>IFERROR(100*$J222/$J$5,NA())</f>
        <v/>
      </c>
      <c r="E222" s="32">
        <f>IFERROR(IF(AND(ISNUMBER($A222),N(IF(AND(AH!$U$12=1,217+1=AH!$U$6),IF(AH!$U$4=0,"unavailable",INDEX('Market Data'!$AN$5:$AN$66,AH!$U$4)),IF(AH!$U$5=1,INDEX('Live History'!$B$5:$B$3004,$K222),INDEX('AH History'!$D$5:$GG$1380,$K222,AH!$U$10))))&gt;0),IF(AND(AH!$U$12=1,217+1=AH!$U$6),IF(AH!$U$4=0,"unavailable",INDEX('Market Data'!$AN$5:$AN$66,AH!$U$4)),IF(AH!$U$5=1,INDEX('Live History'!$B$5:$B$3004,$K222),INDEX('AH History'!$D$5:$GG$1380,$K222,AH!$U$10))),NA()),NA())</f>
        <v/>
      </c>
      <c r="F222" s="32">
        <f>IFERROR(IF(ISNUMBER($A222),IF(AND(AH!$U$12=1,217+1=AH!$U$6),IF(AH!$U$4=0,"unavailable",INDEX('Market Data'!$AO$5:$AO$66,AH!$U$4)),IF(AH!$U$5=1,INDEX('Live History'!$E$5:$E$3004,MATCH($A222,'Live History'!$D$5:$D$3004,1)),INDEX('AH History'!$D$5:$GG$1380,$K222,AH!$U$10+1))),NA()),NA())</f>
        <v/>
      </c>
      <c r="G222" s="34">
        <f>IFERROR(IF(ISNUMBER($A222),IF(AND(AH!$U$12=1,217+1=AH!$U$6),IF(AH!$U$4=0,"unavailable",INDEX('Market Data'!$AK$5:$AK$66,AH!$U$4)),IF(AH!$U$5=1,INDEX('Live History'!$D$5:$D$3004,MATCH($A222,'Live History'!$D$5:$D$3004,1)),INDEX('AH History'!$D$5:$GG$1380,$K222,AH!$U$10+2))),NA()),NA())</f>
        <v/>
      </c>
      <c r="H222" s="266">
        <f>IFERROR(IF(ISNUMBER($A222),IF(AND(AH!$U$12=1,217+1=AH!$U$6),IF(AH!$U$4=0,"unavailable",INDEX('Market Data'!$AP$5:$AP$66,AH!$U$4)),IF(AH!$U$5=1,INDEX('Live History'!$H$5:$H$3004,MATCH($A222,'Live History'!$G$5:$G$3004,1)),INDEX('AH History'!$B$5:$B$1380,$K222))),NA()),NA())</f>
        <v/>
      </c>
      <c r="I222" s="34">
        <f>IFERROR(IF(ISNUMBER($A222),IF(AND(AH!$U$12=1,217+1=AH!$U$6),TODAY(),IF(AH!$U$5=1,INDEX('Live History'!$G$5:$G$3004,MATCH($A222,'Live History'!$G$5:$G$3004,1)),INDEX('AH History'!$C$5:$C$1380,$K222))),NA()),NA())</f>
        <v/>
      </c>
      <c r="J222" s="32">
        <f>IFERROR(IF(AND($F222&gt;0,$H222&gt;0,$A222-$G222&lt;=10,$A222-$I222&lt;=5,$G222&gt;0,$I222&gt;0),$F222*$H222,NA()),NA())</f>
        <v/>
      </c>
      <c r="K222" s="15">
        <f>IF($A222="","",IF(AH!$U$5=1,IFERROR(MATCH($A222,'Live History'!$A$5:$A$3004,0),0),AH!$U$7+217))</f>
        <v/>
      </c>
      <c r="L222" s="15">
        <f>IF(ISNUMBER(A222),TEXT(A222,"dd-mmm-yy"),"")</f>
        <v/>
      </c>
    </row>
    <row r="223">
      <c r="A223" s="14">
        <f>IF(OR(AH!$U$4=0,218+1&gt;AH!$U$6,AND(AH!$M$5="Bloomberg",AH!$U$5=0)),"",IFERROR(IF(AND(AH!$U$12=1,218+1=AH!$U$6),TODAY(),IF(AH!$U$5=1,INDEX('Live History'!$A$5:$A$3004,AH!$U$7+218),INDEX('AH History'!$A$5:$A$1380,AH!$U$7+218))),""))</f>
        <v/>
      </c>
      <c r="B223" s="33">
        <f>IFERROR(IF(AH!$U$11=1,NA(),$J223/$E223-1),NA())</f>
        <v/>
      </c>
      <c r="C223" s="269">
        <f>IFERROR(100*$E223/$E$5,NA())</f>
        <v/>
      </c>
      <c r="D223" s="269">
        <f>IFERROR(100*$J223/$J$5,NA())</f>
        <v/>
      </c>
      <c r="E223" s="32">
        <f>IFERROR(IF(AND(ISNUMBER($A223),N(IF(AND(AH!$U$12=1,218+1=AH!$U$6),IF(AH!$U$4=0,"unavailable",INDEX('Market Data'!$AN$5:$AN$66,AH!$U$4)),IF(AH!$U$5=1,INDEX('Live History'!$B$5:$B$3004,$K223),INDEX('AH History'!$D$5:$GG$1380,$K223,AH!$U$10))))&gt;0),IF(AND(AH!$U$12=1,218+1=AH!$U$6),IF(AH!$U$4=0,"unavailable",INDEX('Market Data'!$AN$5:$AN$66,AH!$U$4)),IF(AH!$U$5=1,INDEX('Live History'!$B$5:$B$3004,$K223),INDEX('AH History'!$D$5:$GG$1380,$K223,AH!$U$10))),NA()),NA())</f>
        <v/>
      </c>
      <c r="F223" s="32">
        <f>IFERROR(IF(ISNUMBER($A223),IF(AND(AH!$U$12=1,218+1=AH!$U$6),IF(AH!$U$4=0,"unavailable",INDEX('Market Data'!$AO$5:$AO$66,AH!$U$4)),IF(AH!$U$5=1,INDEX('Live History'!$E$5:$E$3004,MATCH($A223,'Live History'!$D$5:$D$3004,1)),INDEX('AH History'!$D$5:$GG$1380,$K223,AH!$U$10+1))),NA()),NA())</f>
        <v/>
      </c>
      <c r="G223" s="34">
        <f>IFERROR(IF(ISNUMBER($A223),IF(AND(AH!$U$12=1,218+1=AH!$U$6),IF(AH!$U$4=0,"unavailable",INDEX('Market Data'!$AK$5:$AK$66,AH!$U$4)),IF(AH!$U$5=1,INDEX('Live History'!$D$5:$D$3004,MATCH($A223,'Live History'!$D$5:$D$3004,1)),INDEX('AH History'!$D$5:$GG$1380,$K223,AH!$U$10+2))),NA()),NA())</f>
        <v/>
      </c>
      <c r="H223" s="266">
        <f>IFERROR(IF(ISNUMBER($A223),IF(AND(AH!$U$12=1,218+1=AH!$U$6),IF(AH!$U$4=0,"unavailable",INDEX('Market Data'!$AP$5:$AP$66,AH!$U$4)),IF(AH!$U$5=1,INDEX('Live History'!$H$5:$H$3004,MATCH($A223,'Live History'!$G$5:$G$3004,1)),INDEX('AH History'!$B$5:$B$1380,$K223))),NA()),NA())</f>
        <v/>
      </c>
      <c r="I223" s="34">
        <f>IFERROR(IF(ISNUMBER($A223),IF(AND(AH!$U$12=1,218+1=AH!$U$6),TODAY(),IF(AH!$U$5=1,INDEX('Live History'!$G$5:$G$3004,MATCH($A223,'Live History'!$G$5:$G$3004,1)),INDEX('AH History'!$C$5:$C$1380,$K223))),NA()),NA())</f>
        <v/>
      </c>
      <c r="J223" s="32">
        <f>IFERROR(IF(AND($F223&gt;0,$H223&gt;0,$A223-$G223&lt;=10,$A223-$I223&lt;=5,$G223&gt;0,$I223&gt;0),$F223*$H223,NA()),NA())</f>
        <v/>
      </c>
      <c r="K223" s="15">
        <f>IF($A223="","",IF(AH!$U$5=1,IFERROR(MATCH($A223,'Live History'!$A$5:$A$3004,0),0),AH!$U$7+218))</f>
        <v/>
      </c>
      <c r="L223" s="15">
        <f>IF(ISNUMBER(A223),TEXT(A223,"dd-mmm-yy"),"")</f>
        <v/>
      </c>
    </row>
    <row r="224">
      <c r="A224" s="14">
        <f>IF(OR(AH!$U$4=0,219+1&gt;AH!$U$6,AND(AH!$M$5="Bloomberg",AH!$U$5=0)),"",IFERROR(IF(AND(AH!$U$12=1,219+1=AH!$U$6),TODAY(),IF(AH!$U$5=1,INDEX('Live History'!$A$5:$A$3004,AH!$U$7+219),INDEX('AH History'!$A$5:$A$1380,AH!$U$7+219))),""))</f>
        <v/>
      </c>
      <c r="B224" s="33">
        <f>IFERROR(IF(AH!$U$11=1,NA(),$J224/$E224-1),NA())</f>
        <v/>
      </c>
      <c r="C224" s="269">
        <f>IFERROR(100*$E224/$E$5,NA())</f>
        <v/>
      </c>
      <c r="D224" s="269">
        <f>IFERROR(100*$J224/$J$5,NA())</f>
        <v/>
      </c>
      <c r="E224" s="32">
        <f>IFERROR(IF(AND(ISNUMBER($A224),N(IF(AND(AH!$U$12=1,219+1=AH!$U$6),IF(AH!$U$4=0,"unavailable",INDEX('Market Data'!$AN$5:$AN$66,AH!$U$4)),IF(AH!$U$5=1,INDEX('Live History'!$B$5:$B$3004,$K224),INDEX('AH History'!$D$5:$GG$1380,$K224,AH!$U$10))))&gt;0),IF(AND(AH!$U$12=1,219+1=AH!$U$6),IF(AH!$U$4=0,"unavailable",INDEX('Market Data'!$AN$5:$AN$66,AH!$U$4)),IF(AH!$U$5=1,INDEX('Live History'!$B$5:$B$3004,$K224),INDEX('AH History'!$D$5:$GG$1380,$K224,AH!$U$10))),NA()),NA())</f>
        <v/>
      </c>
      <c r="F224" s="32">
        <f>IFERROR(IF(ISNUMBER($A224),IF(AND(AH!$U$12=1,219+1=AH!$U$6),IF(AH!$U$4=0,"unavailable",INDEX('Market Data'!$AO$5:$AO$66,AH!$U$4)),IF(AH!$U$5=1,INDEX('Live History'!$E$5:$E$3004,MATCH($A224,'Live History'!$D$5:$D$3004,1)),INDEX('AH History'!$D$5:$GG$1380,$K224,AH!$U$10+1))),NA()),NA())</f>
        <v/>
      </c>
      <c r="G224" s="34">
        <f>IFERROR(IF(ISNUMBER($A224),IF(AND(AH!$U$12=1,219+1=AH!$U$6),IF(AH!$U$4=0,"unavailable",INDEX('Market Data'!$AK$5:$AK$66,AH!$U$4)),IF(AH!$U$5=1,INDEX('Live History'!$D$5:$D$3004,MATCH($A224,'Live History'!$D$5:$D$3004,1)),INDEX('AH History'!$D$5:$GG$1380,$K224,AH!$U$10+2))),NA()),NA())</f>
        <v/>
      </c>
      <c r="H224" s="266">
        <f>IFERROR(IF(ISNUMBER($A224),IF(AND(AH!$U$12=1,219+1=AH!$U$6),IF(AH!$U$4=0,"unavailable",INDEX('Market Data'!$AP$5:$AP$66,AH!$U$4)),IF(AH!$U$5=1,INDEX('Live History'!$H$5:$H$3004,MATCH($A224,'Live History'!$G$5:$G$3004,1)),INDEX('AH History'!$B$5:$B$1380,$K224))),NA()),NA())</f>
        <v/>
      </c>
      <c r="I224" s="34">
        <f>IFERROR(IF(ISNUMBER($A224),IF(AND(AH!$U$12=1,219+1=AH!$U$6),TODAY(),IF(AH!$U$5=1,INDEX('Live History'!$G$5:$G$3004,MATCH($A224,'Live History'!$G$5:$G$3004,1)),INDEX('AH History'!$C$5:$C$1380,$K224))),NA()),NA())</f>
        <v/>
      </c>
      <c r="J224" s="32">
        <f>IFERROR(IF(AND($F224&gt;0,$H224&gt;0,$A224-$G224&lt;=10,$A224-$I224&lt;=5,$G224&gt;0,$I224&gt;0),$F224*$H224,NA()),NA())</f>
        <v/>
      </c>
      <c r="K224" s="15">
        <f>IF($A224="","",IF(AH!$U$5=1,IFERROR(MATCH($A224,'Live History'!$A$5:$A$3004,0),0),AH!$U$7+219))</f>
        <v/>
      </c>
      <c r="L224" s="15">
        <f>IF(ISNUMBER(A224),TEXT(A224,"dd-mmm-yy"),"")</f>
        <v/>
      </c>
    </row>
    <row r="225">
      <c r="A225" s="14">
        <f>IF(OR(AH!$U$4=0,220+1&gt;AH!$U$6,AND(AH!$M$5="Bloomberg",AH!$U$5=0)),"",IFERROR(IF(AND(AH!$U$12=1,220+1=AH!$U$6),TODAY(),IF(AH!$U$5=1,INDEX('Live History'!$A$5:$A$3004,AH!$U$7+220),INDEX('AH History'!$A$5:$A$1380,AH!$U$7+220))),""))</f>
        <v/>
      </c>
      <c r="B225" s="33">
        <f>IFERROR(IF(AH!$U$11=1,NA(),$J225/$E225-1),NA())</f>
        <v/>
      </c>
      <c r="C225" s="269">
        <f>IFERROR(100*$E225/$E$5,NA())</f>
        <v/>
      </c>
      <c r="D225" s="269">
        <f>IFERROR(100*$J225/$J$5,NA())</f>
        <v/>
      </c>
      <c r="E225" s="32">
        <f>IFERROR(IF(AND(ISNUMBER($A225),N(IF(AND(AH!$U$12=1,220+1=AH!$U$6),IF(AH!$U$4=0,"unavailable",INDEX('Market Data'!$AN$5:$AN$66,AH!$U$4)),IF(AH!$U$5=1,INDEX('Live History'!$B$5:$B$3004,$K225),INDEX('AH History'!$D$5:$GG$1380,$K225,AH!$U$10))))&gt;0),IF(AND(AH!$U$12=1,220+1=AH!$U$6),IF(AH!$U$4=0,"unavailable",INDEX('Market Data'!$AN$5:$AN$66,AH!$U$4)),IF(AH!$U$5=1,INDEX('Live History'!$B$5:$B$3004,$K225),INDEX('AH History'!$D$5:$GG$1380,$K225,AH!$U$10))),NA()),NA())</f>
        <v/>
      </c>
      <c r="F225" s="32">
        <f>IFERROR(IF(ISNUMBER($A225),IF(AND(AH!$U$12=1,220+1=AH!$U$6),IF(AH!$U$4=0,"unavailable",INDEX('Market Data'!$AO$5:$AO$66,AH!$U$4)),IF(AH!$U$5=1,INDEX('Live History'!$E$5:$E$3004,MATCH($A225,'Live History'!$D$5:$D$3004,1)),INDEX('AH History'!$D$5:$GG$1380,$K225,AH!$U$10+1))),NA()),NA())</f>
        <v/>
      </c>
      <c r="G225" s="34">
        <f>IFERROR(IF(ISNUMBER($A225),IF(AND(AH!$U$12=1,220+1=AH!$U$6),IF(AH!$U$4=0,"unavailable",INDEX('Market Data'!$AK$5:$AK$66,AH!$U$4)),IF(AH!$U$5=1,INDEX('Live History'!$D$5:$D$3004,MATCH($A225,'Live History'!$D$5:$D$3004,1)),INDEX('AH History'!$D$5:$GG$1380,$K225,AH!$U$10+2))),NA()),NA())</f>
        <v/>
      </c>
      <c r="H225" s="266">
        <f>IFERROR(IF(ISNUMBER($A225),IF(AND(AH!$U$12=1,220+1=AH!$U$6),IF(AH!$U$4=0,"unavailable",INDEX('Market Data'!$AP$5:$AP$66,AH!$U$4)),IF(AH!$U$5=1,INDEX('Live History'!$H$5:$H$3004,MATCH($A225,'Live History'!$G$5:$G$3004,1)),INDEX('AH History'!$B$5:$B$1380,$K225))),NA()),NA())</f>
        <v/>
      </c>
      <c r="I225" s="34">
        <f>IFERROR(IF(ISNUMBER($A225),IF(AND(AH!$U$12=1,220+1=AH!$U$6),TODAY(),IF(AH!$U$5=1,INDEX('Live History'!$G$5:$G$3004,MATCH($A225,'Live History'!$G$5:$G$3004,1)),INDEX('AH History'!$C$5:$C$1380,$K225))),NA()),NA())</f>
        <v/>
      </c>
      <c r="J225" s="32">
        <f>IFERROR(IF(AND($F225&gt;0,$H225&gt;0,$A225-$G225&lt;=10,$A225-$I225&lt;=5,$G225&gt;0,$I225&gt;0),$F225*$H225,NA()),NA())</f>
        <v/>
      </c>
      <c r="K225" s="15">
        <f>IF($A225="","",IF(AH!$U$5=1,IFERROR(MATCH($A225,'Live History'!$A$5:$A$3004,0),0),AH!$U$7+220))</f>
        <v/>
      </c>
      <c r="L225" s="15">
        <f>IF(ISNUMBER(A225),TEXT(A225,"dd-mmm-yy"),"")</f>
        <v/>
      </c>
    </row>
    <row r="226">
      <c r="A226" s="14">
        <f>IF(OR(AH!$U$4=0,221+1&gt;AH!$U$6,AND(AH!$M$5="Bloomberg",AH!$U$5=0)),"",IFERROR(IF(AND(AH!$U$12=1,221+1=AH!$U$6),TODAY(),IF(AH!$U$5=1,INDEX('Live History'!$A$5:$A$3004,AH!$U$7+221),INDEX('AH History'!$A$5:$A$1380,AH!$U$7+221))),""))</f>
        <v/>
      </c>
      <c r="B226" s="33">
        <f>IFERROR(IF(AH!$U$11=1,NA(),$J226/$E226-1),NA())</f>
        <v/>
      </c>
      <c r="C226" s="269">
        <f>IFERROR(100*$E226/$E$5,NA())</f>
        <v/>
      </c>
      <c r="D226" s="269">
        <f>IFERROR(100*$J226/$J$5,NA())</f>
        <v/>
      </c>
      <c r="E226" s="32">
        <f>IFERROR(IF(AND(ISNUMBER($A226),N(IF(AND(AH!$U$12=1,221+1=AH!$U$6),IF(AH!$U$4=0,"unavailable",INDEX('Market Data'!$AN$5:$AN$66,AH!$U$4)),IF(AH!$U$5=1,INDEX('Live History'!$B$5:$B$3004,$K226),INDEX('AH History'!$D$5:$GG$1380,$K226,AH!$U$10))))&gt;0),IF(AND(AH!$U$12=1,221+1=AH!$U$6),IF(AH!$U$4=0,"unavailable",INDEX('Market Data'!$AN$5:$AN$66,AH!$U$4)),IF(AH!$U$5=1,INDEX('Live History'!$B$5:$B$3004,$K226),INDEX('AH History'!$D$5:$GG$1380,$K226,AH!$U$10))),NA()),NA())</f>
        <v/>
      </c>
      <c r="F226" s="32">
        <f>IFERROR(IF(ISNUMBER($A226),IF(AND(AH!$U$12=1,221+1=AH!$U$6),IF(AH!$U$4=0,"unavailable",INDEX('Market Data'!$AO$5:$AO$66,AH!$U$4)),IF(AH!$U$5=1,INDEX('Live History'!$E$5:$E$3004,MATCH($A226,'Live History'!$D$5:$D$3004,1)),INDEX('AH History'!$D$5:$GG$1380,$K226,AH!$U$10+1))),NA()),NA())</f>
        <v/>
      </c>
      <c r="G226" s="34">
        <f>IFERROR(IF(ISNUMBER($A226),IF(AND(AH!$U$12=1,221+1=AH!$U$6),IF(AH!$U$4=0,"unavailable",INDEX('Market Data'!$AK$5:$AK$66,AH!$U$4)),IF(AH!$U$5=1,INDEX('Live History'!$D$5:$D$3004,MATCH($A226,'Live History'!$D$5:$D$3004,1)),INDEX('AH History'!$D$5:$GG$1380,$K226,AH!$U$10+2))),NA()),NA())</f>
        <v/>
      </c>
      <c r="H226" s="266">
        <f>IFERROR(IF(ISNUMBER($A226),IF(AND(AH!$U$12=1,221+1=AH!$U$6),IF(AH!$U$4=0,"unavailable",INDEX('Market Data'!$AP$5:$AP$66,AH!$U$4)),IF(AH!$U$5=1,INDEX('Live History'!$H$5:$H$3004,MATCH($A226,'Live History'!$G$5:$G$3004,1)),INDEX('AH History'!$B$5:$B$1380,$K226))),NA()),NA())</f>
        <v/>
      </c>
      <c r="I226" s="34">
        <f>IFERROR(IF(ISNUMBER($A226),IF(AND(AH!$U$12=1,221+1=AH!$U$6),TODAY(),IF(AH!$U$5=1,INDEX('Live History'!$G$5:$G$3004,MATCH($A226,'Live History'!$G$5:$G$3004,1)),INDEX('AH History'!$C$5:$C$1380,$K226))),NA()),NA())</f>
        <v/>
      </c>
      <c r="J226" s="32">
        <f>IFERROR(IF(AND($F226&gt;0,$H226&gt;0,$A226-$G226&lt;=10,$A226-$I226&lt;=5,$G226&gt;0,$I226&gt;0),$F226*$H226,NA()),NA())</f>
        <v/>
      </c>
      <c r="K226" s="15">
        <f>IF($A226="","",IF(AH!$U$5=1,IFERROR(MATCH($A226,'Live History'!$A$5:$A$3004,0),0),AH!$U$7+221))</f>
        <v/>
      </c>
      <c r="L226" s="15">
        <f>IF(ISNUMBER(A226),TEXT(A226,"dd-mmm-yy"),"")</f>
        <v/>
      </c>
    </row>
    <row r="227">
      <c r="A227" s="14">
        <f>IF(OR(AH!$U$4=0,222+1&gt;AH!$U$6,AND(AH!$M$5="Bloomberg",AH!$U$5=0)),"",IFERROR(IF(AND(AH!$U$12=1,222+1=AH!$U$6),TODAY(),IF(AH!$U$5=1,INDEX('Live History'!$A$5:$A$3004,AH!$U$7+222),INDEX('AH History'!$A$5:$A$1380,AH!$U$7+222))),""))</f>
        <v/>
      </c>
      <c r="B227" s="33">
        <f>IFERROR(IF(AH!$U$11=1,NA(),$J227/$E227-1),NA())</f>
        <v/>
      </c>
      <c r="C227" s="269">
        <f>IFERROR(100*$E227/$E$5,NA())</f>
        <v/>
      </c>
      <c r="D227" s="269">
        <f>IFERROR(100*$J227/$J$5,NA())</f>
        <v/>
      </c>
      <c r="E227" s="32">
        <f>IFERROR(IF(AND(ISNUMBER($A227),N(IF(AND(AH!$U$12=1,222+1=AH!$U$6),IF(AH!$U$4=0,"unavailable",INDEX('Market Data'!$AN$5:$AN$66,AH!$U$4)),IF(AH!$U$5=1,INDEX('Live History'!$B$5:$B$3004,$K227),INDEX('AH History'!$D$5:$GG$1380,$K227,AH!$U$10))))&gt;0),IF(AND(AH!$U$12=1,222+1=AH!$U$6),IF(AH!$U$4=0,"unavailable",INDEX('Market Data'!$AN$5:$AN$66,AH!$U$4)),IF(AH!$U$5=1,INDEX('Live History'!$B$5:$B$3004,$K227),INDEX('AH History'!$D$5:$GG$1380,$K227,AH!$U$10))),NA()),NA())</f>
        <v/>
      </c>
      <c r="F227" s="32">
        <f>IFERROR(IF(ISNUMBER($A227),IF(AND(AH!$U$12=1,222+1=AH!$U$6),IF(AH!$U$4=0,"unavailable",INDEX('Market Data'!$AO$5:$AO$66,AH!$U$4)),IF(AH!$U$5=1,INDEX('Live History'!$E$5:$E$3004,MATCH($A227,'Live History'!$D$5:$D$3004,1)),INDEX('AH History'!$D$5:$GG$1380,$K227,AH!$U$10+1))),NA()),NA())</f>
        <v/>
      </c>
      <c r="G227" s="34">
        <f>IFERROR(IF(ISNUMBER($A227),IF(AND(AH!$U$12=1,222+1=AH!$U$6),IF(AH!$U$4=0,"unavailable",INDEX('Market Data'!$AK$5:$AK$66,AH!$U$4)),IF(AH!$U$5=1,INDEX('Live History'!$D$5:$D$3004,MATCH($A227,'Live History'!$D$5:$D$3004,1)),INDEX('AH History'!$D$5:$GG$1380,$K227,AH!$U$10+2))),NA()),NA())</f>
        <v/>
      </c>
      <c r="H227" s="266">
        <f>IFERROR(IF(ISNUMBER($A227),IF(AND(AH!$U$12=1,222+1=AH!$U$6),IF(AH!$U$4=0,"unavailable",INDEX('Market Data'!$AP$5:$AP$66,AH!$U$4)),IF(AH!$U$5=1,INDEX('Live History'!$H$5:$H$3004,MATCH($A227,'Live History'!$G$5:$G$3004,1)),INDEX('AH History'!$B$5:$B$1380,$K227))),NA()),NA())</f>
        <v/>
      </c>
      <c r="I227" s="34">
        <f>IFERROR(IF(ISNUMBER($A227),IF(AND(AH!$U$12=1,222+1=AH!$U$6),TODAY(),IF(AH!$U$5=1,INDEX('Live History'!$G$5:$G$3004,MATCH($A227,'Live History'!$G$5:$G$3004,1)),INDEX('AH History'!$C$5:$C$1380,$K227))),NA()),NA())</f>
        <v/>
      </c>
      <c r="J227" s="32">
        <f>IFERROR(IF(AND($F227&gt;0,$H227&gt;0,$A227-$G227&lt;=10,$A227-$I227&lt;=5,$G227&gt;0,$I227&gt;0),$F227*$H227,NA()),NA())</f>
        <v/>
      </c>
      <c r="K227" s="15">
        <f>IF($A227="","",IF(AH!$U$5=1,IFERROR(MATCH($A227,'Live History'!$A$5:$A$3004,0),0),AH!$U$7+222))</f>
        <v/>
      </c>
      <c r="L227" s="15">
        <f>IF(ISNUMBER(A227),TEXT(A227,"dd-mmm-yy"),"")</f>
        <v/>
      </c>
    </row>
    <row r="228">
      <c r="A228" s="14">
        <f>IF(OR(AH!$U$4=0,223+1&gt;AH!$U$6,AND(AH!$M$5="Bloomberg",AH!$U$5=0)),"",IFERROR(IF(AND(AH!$U$12=1,223+1=AH!$U$6),TODAY(),IF(AH!$U$5=1,INDEX('Live History'!$A$5:$A$3004,AH!$U$7+223),INDEX('AH History'!$A$5:$A$1380,AH!$U$7+223))),""))</f>
        <v/>
      </c>
      <c r="B228" s="33">
        <f>IFERROR(IF(AH!$U$11=1,NA(),$J228/$E228-1),NA())</f>
        <v/>
      </c>
      <c r="C228" s="269">
        <f>IFERROR(100*$E228/$E$5,NA())</f>
        <v/>
      </c>
      <c r="D228" s="269">
        <f>IFERROR(100*$J228/$J$5,NA())</f>
        <v/>
      </c>
      <c r="E228" s="32">
        <f>IFERROR(IF(AND(ISNUMBER($A228),N(IF(AND(AH!$U$12=1,223+1=AH!$U$6),IF(AH!$U$4=0,"unavailable",INDEX('Market Data'!$AN$5:$AN$66,AH!$U$4)),IF(AH!$U$5=1,INDEX('Live History'!$B$5:$B$3004,$K228),INDEX('AH History'!$D$5:$GG$1380,$K228,AH!$U$10))))&gt;0),IF(AND(AH!$U$12=1,223+1=AH!$U$6),IF(AH!$U$4=0,"unavailable",INDEX('Market Data'!$AN$5:$AN$66,AH!$U$4)),IF(AH!$U$5=1,INDEX('Live History'!$B$5:$B$3004,$K228),INDEX('AH History'!$D$5:$GG$1380,$K228,AH!$U$10))),NA()),NA())</f>
        <v/>
      </c>
      <c r="F228" s="32">
        <f>IFERROR(IF(ISNUMBER($A228),IF(AND(AH!$U$12=1,223+1=AH!$U$6),IF(AH!$U$4=0,"unavailable",INDEX('Market Data'!$AO$5:$AO$66,AH!$U$4)),IF(AH!$U$5=1,INDEX('Live History'!$E$5:$E$3004,MATCH($A228,'Live History'!$D$5:$D$3004,1)),INDEX('AH History'!$D$5:$GG$1380,$K228,AH!$U$10+1))),NA()),NA())</f>
        <v/>
      </c>
      <c r="G228" s="34">
        <f>IFERROR(IF(ISNUMBER($A228),IF(AND(AH!$U$12=1,223+1=AH!$U$6),IF(AH!$U$4=0,"unavailable",INDEX('Market Data'!$AK$5:$AK$66,AH!$U$4)),IF(AH!$U$5=1,INDEX('Live History'!$D$5:$D$3004,MATCH($A228,'Live History'!$D$5:$D$3004,1)),INDEX('AH History'!$D$5:$GG$1380,$K228,AH!$U$10+2))),NA()),NA())</f>
        <v/>
      </c>
      <c r="H228" s="266">
        <f>IFERROR(IF(ISNUMBER($A228),IF(AND(AH!$U$12=1,223+1=AH!$U$6),IF(AH!$U$4=0,"unavailable",INDEX('Market Data'!$AP$5:$AP$66,AH!$U$4)),IF(AH!$U$5=1,INDEX('Live History'!$H$5:$H$3004,MATCH($A228,'Live History'!$G$5:$G$3004,1)),INDEX('AH History'!$B$5:$B$1380,$K228))),NA()),NA())</f>
        <v/>
      </c>
      <c r="I228" s="34">
        <f>IFERROR(IF(ISNUMBER($A228),IF(AND(AH!$U$12=1,223+1=AH!$U$6),TODAY(),IF(AH!$U$5=1,INDEX('Live History'!$G$5:$G$3004,MATCH($A228,'Live History'!$G$5:$G$3004,1)),INDEX('AH History'!$C$5:$C$1380,$K228))),NA()),NA())</f>
        <v/>
      </c>
      <c r="J228" s="32">
        <f>IFERROR(IF(AND($F228&gt;0,$H228&gt;0,$A228-$G228&lt;=10,$A228-$I228&lt;=5,$G228&gt;0,$I228&gt;0),$F228*$H228,NA()),NA())</f>
        <v/>
      </c>
      <c r="K228" s="15">
        <f>IF($A228="","",IF(AH!$U$5=1,IFERROR(MATCH($A228,'Live History'!$A$5:$A$3004,0),0),AH!$U$7+223))</f>
        <v/>
      </c>
      <c r="L228" s="15">
        <f>IF(ISNUMBER(A228),TEXT(A228,"dd-mmm-yy"),"")</f>
        <v/>
      </c>
    </row>
    <row r="229">
      <c r="A229" s="14">
        <f>IF(OR(AH!$U$4=0,224+1&gt;AH!$U$6,AND(AH!$M$5="Bloomberg",AH!$U$5=0)),"",IFERROR(IF(AND(AH!$U$12=1,224+1=AH!$U$6),TODAY(),IF(AH!$U$5=1,INDEX('Live History'!$A$5:$A$3004,AH!$U$7+224),INDEX('AH History'!$A$5:$A$1380,AH!$U$7+224))),""))</f>
        <v/>
      </c>
      <c r="B229" s="33">
        <f>IFERROR(IF(AH!$U$11=1,NA(),$J229/$E229-1),NA())</f>
        <v/>
      </c>
      <c r="C229" s="269">
        <f>IFERROR(100*$E229/$E$5,NA())</f>
        <v/>
      </c>
      <c r="D229" s="269">
        <f>IFERROR(100*$J229/$J$5,NA())</f>
        <v/>
      </c>
      <c r="E229" s="32">
        <f>IFERROR(IF(AND(ISNUMBER($A229),N(IF(AND(AH!$U$12=1,224+1=AH!$U$6),IF(AH!$U$4=0,"unavailable",INDEX('Market Data'!$AN$5:$AN$66,AH!$U$4)),IF(AH!$U$5=1,INDEX('Live History'!$B$5:$B$3004,$K229),INDEX('AH History'!$D$5:$GG$1380,$K229,AH!$U$10))))&gt;0),IF(AND(AH!$U$12=1,224+1=AH!$U$6),IF(AH!$U$4=0,"unavailable",INDEX('Market Data'!$AN$5:$AN$66,AH!$U$4)),IF(AH!$U$5=1,INDEX('Live History'!$B$5:$B$3004,$K229),INDEX('AH History'!$D$5:$GG$1380,$K229,AH!$U$10))),NA()),NA())</f>
        <v/>
      </c>
      <c r="F229" s="32">
        <f>IFERROR(IF(ISNUMBER($A229),IF(AND(AH!$U$12=1,224+1=AH!$U$6),IF(AH!$U$4=0,"unavailable",INDEX('Market Data'!$AO$5:$AO$66,AH!$U$4)),IF(AH!$U$5=1,INDEX('Live History'!$E$5:$E$3004,MATCH($A229,'Live History'!$D$5:$D$3004,1)),INDEX('AH History'!$D$5:$GG$1380,$K229,AH!$U$10+1))),NA()),NA())</f>
        <v/>
      </c>
      <c r="G229" s="34">
        <f>IFERROR(IF(ISNUMBER($A229),IF(AND(AH!$U$12=1,224+1=AH!$U$6),IF(AH!$U$4=0,"unavailable",INDEX('Market Data'!$AK$5:$AK$66,AH!$U$4)),IF(AH!$U$5=1,INDEX('Live History'!$D$5:$D$3004,MATCH($A229,'Live History'!$D$5:$D$3004,1)),INDEX('AH History'!$D$5:$GG$1380,$K229,AH!$U$10+2))),NA()),NA())</f>
        <v/>
      </c>
      <c r="H229" s="266">
        <f>IFERROR(IF(ISNUMBER($A229),IF(AND(AH!$U$12=1,224+1=AH!$U$6),IF(AH!$U$4=0,"unavailable",INDEX('Market Data'!$AP$5:$AP$66,AH!$U$4)),IF(AH!$U$5=1,INDEX('Live History'!$H$5:$H$3004,MATCH($A229,'Live History'!$G$5:$G$3004,1)),INDEX('AH History'!$B$5:$B$1380,$K229))),NA()),NA())</f>
        <v/>
      </c>
      <c r="I229" s="34">
        <f>IFERROR(IF(ISNUMBER($A229),IF(AND(AH!$U$12=1,224+1=AH!$U$6),TODAY(),IF(AH!$U$5=1,INDEX('Live History'!$G$5:$G$3004,MATCH($A229,'Live History'!$G$5:$G$3004,1)),INDEX('AH History'!$C$5:$C$1380,$K229))),NA()),NA())</f>
        <v/>
      </c>
      <c r="J229" s="32">
        <f>IFERROR(IF(AND($F229&gt;0,$H229&gt;0,$A229-$G229&lt;=10,$A229-$I229&lt;=5,$G229&gt;0,$I229&gt;0),$F229*$H229,NA()),NA())</f>
        <v/>
      </c>
      <c r="K229" s="15">
        <f>IF($A229="","",IF(AH!$U$5=1,IFERROR(MATCH($A229,'Live History'!$A$5:$A$3004,0),0),AH!$U$7+224))</f>
        <v/>
      </c>
      <c r="L229" s="15">
        <f>IF(ISNUMBER(A229),TEXT(A229,"dd-mmm-yy"),"")</f>
        <v/>
      </c>
    </row>
    <row r="230">
      <c r="A230" s="14">
        <f>IF(OR(AH!$U$4=0,225+1&gt;AH!$U$6,AND(AH!$M$5="Bloomberg",AH!$U$5=0)),"",IFERROR(IF(AND(AH!$U$12=1,225+1=AH!$U$6),TODAY(),IF(AH!$U$5=1,INDEX('Live History'!$A$5:$A$3004,AH!$U$7+225),INDEX('AH History'!$A$5:$A$1380,AH!$U$7+225))),""))</f>
        <v/>
      </c>
      <c r="B230" s="33">
        <f>IFERROR(IF(AH!$U$11=1,NA(),$J230/$E230-1),NA())</f>
        <v/>
      </c>
      <c r="C230" s="269">
        <f>IFERROR(100*$E230/$E$5,NA())</f>
        <v/>
      </c>
      <c r="D230" s="269">
        <f>IFERROR(100*$J230/$J$5,NA())</f>
        <v/>
      </c>
      <c r="E230" s="32">
        <f>IFERROR(IF(AND(ISNUMBER($A230),N(IF(AND(AH!$U$12=1,225+1=AH!$U$6),IF(AH!$U$4=0,"unavailable",INDEX('Market Data'!$AN$5:$AN$66,AH!$U$4)),IF(AH!$U$5=1,INDEX('Live History'!$B$5:$B$3004,$K230),INDEX('AH History'!$D$5:$GG$1380,$K230,AH!$U$10))))&gt;0),IF(AND(AH!$U$12=1,225+1=AH!$U$6),IF(AH!$U$4=0,"unavailable",INDEX('Market Data'!$AN$5:$AN$66,AH!$U$4)),IF(AH!$U$5=1,INDEX('Live History'!$B$5:$B$3004,$K230),INDEX('AH History'!$D$5:$GG$1380,$K230,AH!$U$10))),NA()),NA())</f>
        <v/>
      </c>
      <c r="F230" s="32">
        <f>IFERROR(IF(ISNUMBER($A230),IF(AND(AH!$U$12=1,225+1=AH!$U$6),IF(AH!$U$4=0,"unavailable",INDEX('Market Data'!$AO$5:$AO$66,AH!$U$4)),IF(AH!$U$5=1,INDEX('Live History'!$E$5:$E$3004,MATCH($A230,'Live History'!$D$5:$D$3004,1)),INDEX('AH History'!$D$5:$GG$1380,$K230,AH!$U$10+1))),NA()),NA())</f>
        <v/>
      </c>
      <c r="G230" s="34">
        <f>IFERROR(IF(ISNUMBER($A230),IF(AND(AH!$U$12=1,225+1=AH!$U$6),IF(AH!$U$4=0,"unavailable",INDEX('Market Data'!$AK$5:$AK$66,AH!$U$4)),IF(AH!$U$5=1,INDEX('Live History'!$D$5:$D$3004,MATCH($A230,'Live History'!$D$5:$D$3004,1)),INDEX('AH History'!$D$5:$GG$1380,$K230,AH!$U$10+2))),NA()),NA())</f>
        <v/>
      </c>
      <c r="H230" s="266">
        <f>IFERROR(IF(ISNUMBER($A230),IF(AND(AH!$U$12=1,225+1=AH!$U$6),IF(AH!$U$4=0,"unavailable",INDEX('Market Data'!$AP$5:$AP$66,AH!$U$4)),IF(AH!$U$5=1,INDEX('Live History'!$H$5:$H$3004,MATCH($A230,'Live History'!$G$5:$G$3004,1)),INDEX('AH History'!$B$5:$B$1380,$K230))),NA()),NA())</f>
        <v/>
      </c>
      <c r="I230" s="34">
        <f>IFERROR(IF(ISNUMBER($A230),IF(AND(AH!$U$12=1,225+1=AH!$U$6),TODAY(),IF(AH!$U$5=1,INDEX('Live History'!$G$5:$G$3004,MATCH($A230,'Live History'!$G$5:$G$3004,1)),INDEX('AH History'!$C$5:$C$1380,$K230))),NA()),NA())</f>
        <v/>
      </c>
      <c r="J230" s="32">
        <f>IFERROR(IF(AND($F230&gt;0,$H230&gt;0,$A230-$G230&lt;=10,$A230-$I230&lt;=5,$G230&gt;0,$I230&gt;0),$F230*$H230,NA()),NA())</f>
        <v/>
      </c>
      <c r="K230" s="15">
        <f>IF($A230="","",IF(AH!$U$5=1,IFERROR(MATCH($A230,'Live History'!$A$5:$A$3004,0),0),AH!$U$7+225))</f>
        <v/>
      </c>
      <c r="L230" s="15">
        <f>IF(ISNUMBER(A230),TEXT(A230,"dd-mmm-yy"),"")</f>
        <v/>
      </c>
    </row>
    <row r="231">
      <c r="A231" s="14">
        <f>IF(OR(AH!$U$4=0,226+1&gt;AH!$U$6,AND(AH!$M$5="Bloomberg",AH!$U$5=0)),"",IFERROR(IF(AND(AH!$U$12=1,226+1=AH!$U$6),TODAY(),IF(AH!$U$5=1,INDEX('Live History'!$A$5:$A$3004,AH!$U$7+226),INDEX('AH History'!$A$5:$A$1380,AH!$U$7+226))),""))</f>
        <v/>
      </c>
      <c r="B231" s="33">
        <f>IFERROR(IF(AH!$U$11=1,NA(),$J231/$E231-1),NA())</f>
        <v/>
      </c>
      <c r="C231" s="269">
        <f>IFERROR(100*$E231/$E$5,NA())</f>
        <v/>
      </c>
      <c r="D231" s="269">
        <f>IFERROR(100*$J231/$J$5,NA())</f>
        <v/>
      </c>
      <c r="E231" s="32">
        <f>IFERROR(IF(AND(ISNUMBER($A231),N(IF(AND(AH!$U$12=1,226+1=AH!$U$6),IF(AH!$U$4=0,"unavailable",INDEX('Market Data'!$AN$5:$AN$66,AH!$U$4)),IF(AH!$U$5=1,INDEX('Live History'!$B$5:$B$3004,$K231),INDEX('AH History'!$D$5:$GG$1380,$K231,AH!$U$10))))&gt;0),IF(AND(AH!$U$12=1,226+1=AH!$U$6),IF(AH!$U$4=0,"unavailable",INDEX('Market Data'!$AN$5:$AN$66,AH!$U$4)),IF(AH!$U$5=1,INDEX('Live History'!$B$5:$B$3004,$K231),INDEX('AH History'!$D$5:$GG$1380,$K231,AH!$U$10))),NA()),NA())</f>
        <v/>
      </c>
      <c r="F231" s="32">
        <f>IFERROR(IF(ISNUMBER($A231),IF(AND(AH!$U$12=1,226+1=AH!$U$6),IF(AH!$U$4=0,"unavailable",INDEX('Market Data'!$AO$5:$AO$66,AH!$U$4)),IF(AH!$U$5=1,INDEX('Live History'!$E$5:$E$3004,MATCH($A231,'Live History'!$D$5:$D$3004,1)),INDEX('AH History'!$D$5:$GG$1380,$K231,AH!$U$10+1))),NA()),NA())</f>
        <v/>
      </c>
      <c r="G231" s="34">
        <f>IFERROR(IF(ISNUMBER($A231),IF(AND(AH!$U$12=1,226+1=AH!$U$6),IF(AH!$U$4=0,"unavailable",INDEX('Market Data'!$AK$5:$AK$66,AH!$U$4)),IF(AH!$U$5=1,INDEX('Live History'!$D$5:$D$3004,MATCH($A231,'Live History'!$D$5:$D$3004,1)),INDEX('AH History'!$D$5:$GG$1380,$K231,AH!$U$10+2))),NA()),NA())</f>
        <v/>
      </c>
      <c r="H231" s="266">
        <f>IFERROR(IF(ISNUMBER($A231),IF(AND(AH!$U$12=1,226+1=AH!$U$6),IF(AH!$U$4=0,"unavailable",INDEX('Market Data'!$AP$5:$AP$66,AH!$U$4)),IF(AH!$U$5=1,INDEX('Live History'!$H$5:$H$3004,MATCH($A231,'Live History'!$G$5:$G$3004,1)),INDEX('AH History'!$B$5:$B$1380,$K231))),NA()),NA())</f>
        <v/>
      </c>
      <c r="I231" s="34">
        <f>IFERROR(IF(ISNUMBER($A231),IF(AND(AH!$U$12=1,226+1=AH!$U$6),TODAY(),IF(AH!$U$5=1,INDEX('Live History'!$G$5:$G$3004,MATCH($A231,'Live History'!$G$5:$G$3004,1)),INDEX('AH History'!$C$5:$C$1380,$K231))),NA()),NA())</f>
        <v/>
      </c>
      <c r="J231" s="32">
        <f>IFERROR(IF(AND($F231&gt;0,$H231&gt;0,$A231-$G231&lt;=10,$A231-$I231&lt;=5,$G231&gt;0,$I231&gt;0),$F231*$H231,NA()),NA())</f>
        <v/>
      </c>
      <c r="K231" s="15">
        <f>IF($A231="","",IF(AH!$U$5=1,IFERROR(MATCH($A231,'Live History'!$A$5:$A$3004,0),0),AH!$U$7+226))</f>
        <v/>
      </c>
      <c r="L231" s="15">
        <f>IF(ISNUMBER(A231),TEXT(A231,"dd-mmm-yy"),"")</f>
        <v/>
      </c>
    </row>
    <row r="232">
      <c r="A232" s="14">
        <f>IF(OR(AH!$U$4=0,227+1&gt;AH!$U$6,AND(AH!$M$5="Bloomberg",AH!$U$5=0)),"",IFERROR(IF(AND(AH!$U$12=1,227+1=AH!$U$6),TODAY(),IF(AH!$U$5=1,INDEX('Live History'!$A$5:$A$3004,AH!$U$7+227),INDEX('AH History'!$A$5:$A$1380,AH!$U$7+227))),""))</f>
        <v/>
      </c>
      <c r="B232" s="33">
        <f>IFERROR(IF(AH!$U$11=1,NA(),$J232/$E232-1),NA())</f>
        <v/>
      </c>
      <c r="C232" s="269">
        <f>IFERROR(100*$E232/$E$5,NA())</f>
        <v/>
      </c>
      <c r="D232" s="269">
        <f>IFERROR(100*$J232/$J$5,NA())</f>
        <v/>
      </c>
      <c r="E232" s="32">
        <f>IFERROR(IF(AND(ISNUMBER($A232),N(IF(AND(AH!$U$12=1,227+1=AH!$U$6),IF(AH!$U$4=0,"unavailable",INDEX('Market Data'!$AN$5:$AN$66,AH!$U$4)),IF(AH!$U$5=1,INDEX('Live History'!$B$5:$B$3004,$K232),INDEX('AH History'!$D$5:$GG$1380,$K232,AH!$U$10))))&gt;0),IF(AND(AH!$U$12=1,227+1=AH!$U$6),IF(AH!$U$4=0,"unavailable",INDEX('Market Data'!$AN$5:$AN$66,AH!$U$4)),IF(AH!$U$5=1,INDEX('Live History'!$B$5:$B$3004,$K232),INDEX('AH History'!$D$5:$GG$1380,$K232,AH!$U$10))),NA()),NA())</f>
        <v/>
      </c>
      <c r="F232" s="32">
        <f>IFERROR(IF(ISNUMBER($A232),IF(AND(AH!$U$12=1,227+1=AH!$U$6),IF(AH!$U$4=0,"unavailable",INDEX('Market Data'!$AO$5:$AO$66,AH!$U$4)),IF(AH!$U$5=1,INDEX('Live History'!$E$5:$E$3004,MATCH($A232,'Live History'!$D$5:$D$3004,1)),INDEX('AH History'!$D$5:$GG$1380,$K232,AH!$U$10+1))),NA()),NA())</f>
        <v/>
      </c>
      <c r="G232" s="34">
        <f>IFERROR(IF(ISNUMBER($A232),IF(AND(AH!$U$12=1,227+1=AH!$U$6),IF(AH!$U$4=0,"unavailable",INDEX('Market Data'!$AK$5:$AK$66,AH!$U$4)),IF(AH!$U$5=1,INDEX('Live History'!$D$5:$D$3004,MATCH($A232,'Live History'!$D$5:$D$3004,1)),INDEX('AH History'!$D$5:$GG$1380,$K232,AH!$U$10+2))),NA()),NA())</f>
        <v/>
      </c>
      <c r="H232" s="266">
        <f>IFERROR(IF(ISNUMBER($A232),IF(AND(AH!$U$12=1,227+1=AH!$U$6),IF(AH!$U$4=0,"unavailable",INDEX('Market Data'!$AP$5:$AP$66,AH!$U$4)),IF(AH!$U$5=1,INDEX('Live History'!$H$5:$H$3004,MATCH($A232,'Live History'!$G$5:$G$3004,1)),INDEX('AH History'!$B$5:$B$1380,$K232))),NA()),NA())</f>
        <v/>
      </c>
      <c r="I232" s="34">
        <f>IFERROR(IF(ISNUMBER($A232),IF(AND(AH!$U$12=1,227+1=AH!$U$6),TODAY(),IF(AH!$U$5=1,INDEX('Live History'!$G$5:$G$3004,MATCH($A232,'Live History'!$G$5:$G$3004,1)),INDEX('AH History'!$C$5:$C$1380,$K232))),NA()),NA())</f>
        <v/>
      </c>
      <c r="J232" s="32">
        <f>IFERROR(IF(AND($F232&gt;0,$H232&gt;0,$A232-$G232&lt;=10,$A232-$I232&lt;=5,$G232&gt;0,$I232&gt;0),$F232*$H232,NA()),NA())</f>
        <v/>
      </c>
      <c r="K232" s="15">
        <f>IF($A232="","",IF(AH!$U$5=1,IFERROR(MATCH($A232,'Live History'!$A$5:$A$3004,0),0),AH!$U$7+227))</f>
        <v/>
      </c>
      <c r="L232" s="15">
        <f>IF(ISNUMBER(A232),TEXT(A232,"dd-mmm-yy"),"")</f>
        <v/>
      </c>
    </row>
    <row r="233">
      <c r="A233" s="14">
        <f>IF(OR(AH!$U$4=0,228+1&gt;AH!$U$6,AND(AH!$M$5="Bloomberg",AH!$U$5=0)),"",IFERROR(IF(AND(AH!$U$12=1,228+1=AH!$U$6),TODAY(),IF(AH!$U$5=1,INDEX('Live History'!$A$5:$A$3004,AH!$U$7+228),INDEX('AH History'!$A$5:$A$1380,AH!$U$7+228))),""))</f>
        <v/>
      </c>
      <c r="B233" s="33">
        <f>IFERROR(IF(AH!$U$11=1,NA(),$J233/$E233-1),NA())</f>
        <v/>
      </c>
      <c r="C233" s="269">
        <f>IFERROR(100*$E233/$E$5,NA())</f>
        <v/>
      </c>
      <c r="D233" s="269">
        <f>IFERROR(100*$J233/$J$5,NA())</f>
        <v/>
      </c>
      <c r="E233" s="32">
        <f>IFERROR(IF(AND(ISNUMBER($A233),N(IF(AND(AH!$U$12=1,228+1=AH!$U$6),IF(AH!$U$4=0,"unavailable",INDEX('Market Data'!$AN$5:$AN$66,AH!$U$4)),IF(AH!$U$5=1,INDEX('Live History'!$B$5:$B$3004,$K233),INDEX('AH History'!$D$5:$GG$1380,$K233,AH!$U$10))))&gt;0),IF(AND(AH!$U$12=1,228+1=AH!$U$6),IF(AH!$U$4=0,"unavailable",INDEX('Market Data'!$AN$5:$AN$66,AH!$U$4)),IF(AH!$U$5=1,INDEX('Live History'!$B$5:$B$3004,$K233),INDEX('AH History'!$D$5:$GG$1380,$K233,AH!$U$10))),NA()),NA())</f>
        <v/>
      </c>
      <c r="F233" s="32">
        <f>IFERROR(IF(ISNUMBER($A233),IF(AND(AH!$U$12=1,228+1=AH!$U$6),IF(AH!$U$4=0,"unavailable",INDEX('Market Data'!$AO$5:$AO$66,AH!$U$4)),IF(AH!$U$5=1,INDEX('Live History'!$E$5:$E$3004,MATCH($A233,'Live History'!$D$5:$D$3004,1)),INDEX('AH History'!$D$5:$GG$1380,$K233,AH!$U$10+1))),NA()),NA())</f>
        <v/>
      </c>
      <c r="G233" s="34">
        <f>IFERROR(IF(ISNUMBER($A233),IF(AND(AH!$U$12=1,228+1=AH!$U$6),IF(AH!$U$4=0,"unavailable",INDEX('Market Data'!$AK$5:$AK$66,AH!$U$4)),IF(AH!$U$5=1,INDEX('Live History'!$D$5:$D$3004,MATCH($A233,'Live History'!$D$5:$D$3004,1)),INDEX('AH History'!$D$5:$GG$1380,$K233,AH!$U$10+2))),NA()),NA())</f>
        <v/>
      </c>
      <c r="H233" s="266">
        <f>IFERROR(IF(ISNUMBER($A233),IF(AND(AH!$U$12=1,228+1=AH!$U$6),IF(AH!$U$4=0,"unavailable",INDEX('Market Data'!$AP$5:$AP$66,AH!$U$4)),IF(AH!$U$5=1,INDEX('Live History'!$H$5:$H$3004,MATCH($A233,'Live History'!$G$5:$G$3004,1)),INDEX('AH History'!$B$5:$B$1380,$K233))),NA()),NA())</f>
        <v/>
      </c>
      <c r="I233" s="34">
        <f>IFERROR(IF(ISNUMBER($A233),IF(AND(AH!$U$12=1,228+1=AH!$U$6),TODAY(),IF(AH!$U$5=1,INDEX('Live History'!$G$5:$G$3004,MATCH($A233,'Live History'!$G$5:$G$3004,1)),INDEX('AH History'!$C$5:$C$1380,$K233))),NA()),NA())</f>
        <v/>
      </c>
      <c r="J233" s="32">
        <f>IFERROR(IF(AND($F233&gt;0,$H233&gt;0,$A233-$G233&lt;=10,$A233-$I233&lt;=5,$G233&gt;0,$I233&gt;0),$F233*$H233,NA()),NA())</f>
        <v/>
      </c>
      <c r="K233" s="15">
        <f>IF($A233="","",IF(AH!$U$5=1,IFERROR(MATCH($A233,'Live History'!$A$5:$A$3004,0),0),AH!$U$7+228))</f>
        <v/>
      </c>
      <c r="L233" s="15">
        <f>IF(ISNUMBER(A233),TEXT(A233,"dd-mmm-yy"),"")</f>
        <v/>
      </c>
    </row>
    <row r="234">
      <c r="A234" s="14">
        <f>IF(OR(AH!$U$4=0,229+1&gt;AH!$U$6,AND(AH!$M$5="Bloomberg",AH!$U$5=0)),"",IFERROR(IF(AND(AH!$U$12=1,229+1=AH!$U$6),TODAY(),IF(AH!$U$5=1,INDEX('Live History'!$A$5:$A$3004,AH!$U$7+229),INDEX('AH History'!$A$5:$A$1380,AH!$U$7+229))),""))</f>
        <v/>
      </c>
      <c r="B234" s="33">
        <f>IFERROR(IF(AH!$U$11=1,NA(),$J234/$E234-1),NA())</f>
        <v/>
      </c>
      <c r="C234" s="269">
        <f>IFERROR(100*$E234/$E$5,NA())</f>
        <v/>
      </c>
      <c r="D234" s="269">
        <f>IFERROR(100*$J234/$J$5,NA())</f>
        <v/>
      </c>
      <c r="E234" s="32">
        <f>IFERROR(IF(AND(ISNUMBER($A234),N(IF(AND(AH!$U$12=1,229+1=AH!$U$6),IF(AH!$U$4=0,"unavailable",INDEX('Market Data'!$AN$5:$AN$66,AH!$U$4)),IF(AH!$U$5=1,INDEX('Live History'!$B$5:$B$3004,$K234),INDEX('AH History'!$D$5:$GG$1380,$K234,AH!$U$10))))&gt;0),IF(AND(AH!$U$12=1,229+1=AH!$U$6),IF(AH!$U$4=0,"unavailable",INDEX('Market Data'!$AN$5:$AN$66,AH!$U$4)),IF(AH!$U$5=1,INDEX('Live History'!$B$5:$B$3004,$K234),INDEX('AH History'!$D$5:$GG$1380,$K234,AH!$U$10))),NA()),NA())</f>
        <v/>
      </c>
      <c r="F234" s="32">
        <f>IFERROR(IF(ISNUMBER($A234),IF(AND(AH!$U$12=1,229+1=AH!$U$6),IF(AH!$U$4=0,"unavailable",INDEX('Market Data'!$AO$5:$AO$66,AH!$U$4)),IF(AH!$U$5=1,INDEX('Live History'!$E$5:$E$3004,MATCH($A234,'Live History'!$D$5:$D$3004,1)),INDEX('AH History'!$D$5:$GG$1380,$K234,AH!$U$10+1))),NA()),NA())</f>
        <v/>
      </c>
      <c r="G234" s="34">
        <f>IFERROR(IF(ISNUMBER($A234),IF(AND(AH!$U$12=1,229+1=AH!$U$6),IF(AH!$U$4=0,"unavailable",INDEX('Market Data'!$AK$5:$AK$66,AH!$U$4)),IF(AH!$U$5=1,INDEX('Live History'!$D$5:$D$3004,MATCH($A234,'Live History'!$D$5:$D$3004,1)),INDEX('AH History'!$D$5:$GG$1380,$K234,AH!$U$10+2))),NA()),NA())</f>
        <v/>
      </c>
      <c r="H234" s="266">
        <f>IFERROR(IF(ISNUMBER($A234),IF(AND(AH!$U$12=1,229+1=AH!$U$6),IF(AH!$U$4=0,"unavailable",INDEX('Market Data'!$AP$5:$AP$66,AH!$U$4)),IF(AH!$U$5=1,INDEX('Live History'!$H$5:$H$3004,MATCH($A234,'Live History'!$G$5:$G$3004,1)),INDEX('AH History'!$B$5:$B$1380,$K234))),NA()),NA())</f>
        <v/>
      </c>
      <c r="I234" s="34">
        <f>IFERROR(IF(ISNUMBER($A234),IF(AND(AH!$U$12=1,229+1=AH!$U$6),TODAY(),IF(AH!$U$5=1,INDEX('Live History'!$G$5:$G$3004,MATCH($A234,'Live History'!$G$5:$G$3004,1)),INDEX('AH History'!$C$5:$C$1380,$K234))),NA()),NA())</f>
        <v/>
      </c>
      <c r="J234" s="32">
        <f>IFERROR(IF(AND($F234&gt;0,$H234&gt;0,$A234-$G234&lt;=10,$A234-$I234&lt;=5,$G234&gt;0,$I234&gt;0),$F234*$H234,NA()),NA())</f>
        <v/>
      </c>
      <c r="K234" s="15">
        <f>IF($A234="","",IF(AH!$U$5=1,IFERROR(MATCH($A234,'Live History'!$A$5:$A$3004,0),0),AH!$U$7+229))</f>
        <v/>
      </c>
      <c r="L234" s="15">
        <f>IF(ISNUMBER(A234),TEXT(A234,"dd-mmm-yy"),"")</f>
        <v/>
      </c>
    </row>
    <row r="235">
      <c r="A235" s="14">
        <f>IF(OR(AH!$U$4=0,230+1&gt;AH!$U$6,AND(AH!$M$5="Bloomberg",AH!$U$5=0)),"",IFERROR(IF(AND(AH!$U$12=1,230+1=AH!$U$6),TODAY(),IF(AH!$U$5=1,INDEX('Live History'!$A$5:$A$3004,AH!$U$7+230),INDEX('AH History'!$A$5:$A$1380,AH!$U$7+230))),""))</f>
        <v/>
      </c>
      <c r="B235" s="33">
        <f>IFERROR(IF(AH!$U$11=1,NA(),$J235/$E235-1),NA())</f>
        <v/>
      </c>
      <c r="C235" s="269">
        <f>IFERROR(100*$E235/$E$5,NA())</f>
        <v/>
      </c>
      <c r="D235" s="269">
        <f>IFERROR(100*$J235/$J$5,NA())</f>
        <v/>
      </c>
      <c r="E235" s="32">
        <f>IFERROR(IF(AND(ISNUMBER($A235),N(IF(AND(AH!$U$12=1,230+1=AH!$U$6),IF(AH!$U$4=0,"unavailable",INDEX('Market Data'!$AN$5:$AN$66,AH!$U$4)),IF(AH!$U$5=1,INDEX('Live History'!$B$5:$B$3004,$K235),INDEX('AH History'!$D$5:$GG$1380,$K235,AH!$U$10))))&gt;0),IF(AND(AH!$U$12=1,230+1=AH!$U$6),IF(AH!$U$4=0,"unavailable",INDEX('Market Data'!$AN$5:$AN$66,AH!$U$4)),IF(AH!$U$5=1,INDEX('Live History'!$B$5:$B$3004,$K235),INDEX('AH History'!$D$5:$GG$1380,$K235,AH!$U$10))),NA()),NA())</f>
        <v/>
      </c>
      <c r="F235" s="32">
        <f>IFERROR(IF(ISNUMBER($A235),IF(AND(AH!$U$12=1,230+1=AH!$U$6),IF(AH!$U$4=0,"unavailable",INDEX('Market Data'!$AO$5:$AO$66,AH!$U$4)),IF(AH!$U$5=1,INDEX('Live History'!$E$5:$E$3004,MATCH($A235,'Live History'!$D$5:$D$3004,1)),INDEX('AH History'!$D$5:$GG$1380,$K235,AH!$U$10+1))),NA()),NA())</f>
        <v/>
      </c>
      <c r="G235" s="34">
        <f>IFERROR(IF(ISNUMBER($A235),IF(AND(AH!$U$12=1,230+1=AH!$U$6),IF(AH!$U$4=0,"unavailable",INDEX('Market Data'!$AK$5:$AK$66,AH!$U$4)),IF(AH!$U$5=1,INDEX('Live History'!$D$5:$D$3004,MATCH($A235,'Live History'!$D$5:$D$3004,1)),INDEX('AH History'!$D$5:$GG$1380,$K235,AH!$U$10+2))),NA()),NA())</f>
        <v/>
      </c>
      <c r="H235" s="266">
        <f>IFERROR(IF(ISNUMBER($A235),IF(AND(AH!$U$12=1,230+1=AH!$U$6),IF(AH!$U$4=0,"unavailable",INDEX('Market Data'!$AP$5:$AP$66,AH!$U$4)),IF(AH!$U$5=1,INDEX('Live History'!$H$5:$H$3004,MATCH($A235,'Live History'!$G$5:$G$3004,1)),INDEX('AH History'!$B$5:$B$1380,$K235))),NA()),NA())</f>
        <v/>
      </c>
      <c r="I235" s="34">
        <f>IFERROR(IF(ISNUMBER($A235),IF(AND(AH!$U$12=1,230+1=AH!$U$6),TODAY(),IF(AH!$U$5=1,INDEX('Live History'!$G$5:$G$3004,MATCH($A235,'Live History'!$G$5:$G$3004,1)),INDEX('AH History'!$C$5:$C$1380,$K235))),NA()),NA())</f>
        <v/>
      </c>
      <c r="J235" s="32">
        <f>IFERROR(IF(AND($F235&gt;0,$H235&gt;0,$A235-$G235&lt;=10,$A235-$I235&lt;=5,$G235&gt;0,$I235&gt;0),$F235*$H235,NA()),NA())</f>
        <v/>
      </c>
      <c r="K235" s="15">
        <f>IF($A235="","",IF(AH!$U$5=1,IFERROR(MATCH($A235,'Live History'!$A$5:$A$3004,0),0),AH!$U$7+230))</f>
        <v/>
      </c>
      <c r="L235" s="15">
        <f>IF(ISNUMBER(A235),TEXT(A235,"dd-mmm-yy"),"")</f>
        <v/>
      </c>
    </row>
    <row r="236">
      <c r="A236" s="14">
        <f>IF(OR(AH!$U$4=0,231+1&gt;AH!$U$6,AND(AH!$M$5="Bloomberg",AH!$U$5=0)),"",IFERROR(IF(AND(AH!$U$12=1,231+1=AH!$U$6),TODAY(),IF(AH!$U$5=1,INDEX('Live History'!$A$5:$A$3004,AH!$U$7+231),INDEX('AH History'!$A$5:$A$1380,AH!$U$7+231))),""))</f>
        <v/>
      </c>
      <c r="B236" s="33">
        <f>IFERROR(IF(AH!$U$11=1,NA(),$J236/$E236-1),NA())</f>
        <v/>
      </c>
      <c r="C236" s="269">
        <f>IFERROR(100*$E236/$E$5,NA())</f>
        <v/>
      </c>
      <c r="D236" s="269">
        <f>IFERROR(100*$J236/$J$5,NA())</f>
        <v/>
      </c>
      <c r="E236" s="32">
        <f>IFERROR(IF(AND(ISNUMBER($A236),N(IF(AND(AH!$U$12=1,231+1=AH!$U$6),IF(AH!$U$4=0,"unavailable",INDEX('Market Data'!$AN$5:$AN$66,AH!$U$4)),IF(AH!$U$5=1,INDEX('Live History'!$B$5:$B$3004,$K236),INDEX('AH History'!$D$5:$GG$1380,$K236,AH!$U$10))))&gt;0),IF(AND(AH!$U$12=1,231+1=AH!$U$6),IF(AH!$U$4=0,"unavailable",INDEX('Market Data'!$AN$5:$AN$66,AH!$U$4)),IF(AH!$U$5=1,INDEX('Live History'!$B$5:$B$3004,$K236),INDEX('AH History'!$D$5:$GG$1380,$K236,AH!$U$10))),NA()),NA())</f>
        <v/>
      </c>
      <c r="F236" s="32">
        <f>IFERROR(IF(ISNUMBER($A236),IF(AND(AH!$U$12=1,231+1=AH!$U$6),IF(AH!$U$4=0,"unavailable",INDEX('Market Data'!$AO$5:$AO$66,AH!$U$4)),IF(AH!$U$5=1,INDEX('Live History'!$E$5:$E$3004,MATCH($A236,'Live History'!$D$5:$D$3004,1)),INDEX('AH History'!$D$5:$GG$1380,$K236,AH!$U$10+1))),NA()),NA())</f>
        <v/>
      </c>
      <c r="G236" s="34">
        <f>IFERROR(IF(ISNUMBER($A236),IF(AND(AH!$U$12=1,231+1=AH!$U$6),IF(AH!$U$4=0,"unavailable",INDEX('Market Data'!$AK$5:$AK$66,AH!$U$4)),IF(AH!$U$5=1,INDEX('Live History'!$D$5:$D$3004,MATCH($A236,'Live History'!$D$5:$D$3004,1)),INDEX('AH History'!$D$5:$GG$1380,$K236,AH!$U$10+2))),NA()),NA())</f>
        <v/>
      </c>
      <c r="H236" s="266">
        <f>IFERROR(IF(ISNUMBER($A236),IF(AND(AH!$U$12=1,231+1=AH!$U$6),IF(AH!$U$4=0,"unavailable",INDEX('Market Data'!$AP$5:$AP$66,AH!$U$4)),IF(AH!$U$5=1,INDEX('Live History'!$H$5:$H$3004,MATCH($A236,'Live History'!$G$5:$G$3004,1)),INDEX('AH History'!$B$5:$B$1380,$K236))),NA()),NA())</f>
        <v/>
      </c>
      <c r="I236" s="34">
        <f>IFERROR(IF(ISNUMBER($A236),IF(AND(AH!$U$12=1,231+1=AH!$U$6),TODAY(),IF(AH!$U$5=1,INDEX('Live History'!$G$5:$G$3004,MATCH($A236,'Live History'!$G$5:$G$3004,1)),INDEX('AH History'!$C$5:$C$1380,$K236))),NA()),NA())</f>
        <v/>
      </c>
      <c r="J236" s="32">
        <f>IFERROR(IF(AND($F236&gt;0,$H236&gt;0,$A236-$G236&lt;=10,$A236-$I236&lt;=5,$G236&gt;0,$I236&gt;0),$F236*$H236,NA()),NA())</f>
        <v/>
      </c>
      <c r="K236" s="15">
        <f>IF($A236="","",IF(AH!$U$5=1,IFERROR(MATCH($A236,'Live History'!$A$5:$A$3004,0),0),AH!$U$7+231))</f>
        <v/>
      </c>
      <c r="L236" s="15">
        <f>IF(ISNUMBER(A236),TEXT(A236,"dd-mmm-yy"),"")</f>
        <v/>
      </c>
    </row>
    <row r="237">
      <c r="A237" s="14">
        <f>IF(OR(AH!$U$4=0,232+1&gt;AH!$U$6,AND(AH!$M$5="Bloomberg",AH!$U$5=0)),"",IFERROR(IF(AND(AH!$U$12=1,232+1=AH!$U$6),TODAY(),IF(AH!$U$5=1,INDEX('Live History'!$A$5:$A$3004,AH!$U$7+232),INDEX('AH History'!$A$5:$A$1380,AH!$U$7+232))),""))</f>
        <v/>
      </c>
      <c r="B237" s="33">
        <f>IFERROR(IF(AH!$U$11=1,NA(),$J237/$E237-1),NA())</f>
        <v/>
      </c>
      <c r="C237" s="269">
        <f>IFERROR(100*$E237/$E$5,NA())</f>
        <v/>
      </c>
      <c r="D237" s="269">
        <f>IFERROR(100*$J237/$J$5,NA())</f>
        <v/>
      </c>
      <c r="E237" s="32">
        <f>IFERROR(IF(AND(ISNUMBER($A237),N(IF(AND(AH!$U$12=1,232+1=AH!$U$6),IF(AH!$U$4=0,"unavailable",INDEX('Market Data'!$AN$5:$AN$66,AH!$U$4)),IF(AH!$U$5=1,INDEX('Live History'!$B$5:$B$3004,$K237),INDEX('AH History'!$D$5:$GG$1380,$K237,AH!$U$10))))&gt;0),IF(AND(AH!$U$12=1,232+1=AH!$U$6),IF(AH!$U$4=0,"unavailable",INDEX('Market Data'!$AN$5:$AN$66,AH!$U$4)),IF(AH!$U$5=1,INDEX('Live History'!$B$5:$B$3004,$K237),INDEX('AH History'!$D$5:$GG$1380,$K237,AH!$U$10))),NA()),NA())</f>
        <v/>
      </c>
      <c r="F237" s="32">
        <f>IFERROR(IF(ISNUMBER($A237),IF(AND(AH!$U$12=1,232+1=AH!$U$6),IF(AH!$U$4=0,"unavailable",INDEX('Market Data'!$AO$5:$AO$66,AH!$U$4)),IF(AH!$U$5=1,INDEX('Live History'!$E$5:$E$3004,MATCH($A237,'Live History'!$D$5:$D$3004,1)),INDEX('AH History'!$D$5:$GG$1380,$K237,AH!$U$10+1))),NA()),NA())</f>
        <v/>
      </c>
      <c r="G237" s="34">
        <f>IFERROR(IF(ISNUMBER($A237),IF(AND(AH!$U$12=1,232+1=AH!$U$6),IF(AH!$U$4=0,"unavailable",INDEX('Market Data'!$AK$5:$AK$66,AH!$U$4)),IF(AH!$U$5=1,INDEX('Live History'!$D$5:$D$3004,MATCH($A237,'Live History'!$D$5:$D$3004,1)),INDEX('AH History'!$D$5:$GG$1380,$K237,AH!$U$10+2))),NA()),NA())</f>
        <v/>
      </c>
      <c r="H237" s="266">
        <f>IFERROR(IF(ISNUMBER($A237),IF(AND(AH!$U$12=1,232+1=AH!$U$6),IF(AH!$U$4=0,"unavailable",INDEX('Market Data'!$AP$5:$AP$66,AH!$U$4)),IF(AH!$U$5=1,INDEX('Live History'!$H$5:$H$3004,MATCH($A237,'Live History'!$G$5:$G$3004,1)),INDEX('AH History'!$B$5:$B$1380,$K237))),NA()),NA())</f>
        <v/>
      </c>
      <c r="I237" s="34">
        <f>IFERROR(IF(ISNUMBER($A237),IF(AND(AH!$U$12=1,232+1=AH!$U$6),TODAY(),IF(AH!$U$5=1,INDEX('Live History'!$G$5:$G$3004,MATCH($A237,'Live History'!$G$5:$G$3004,1)),INDEX('AH History'!$C$5:$C$1380,$K237))),NA()),NA())</f>
        <v/>
      </c>
      <c r="J237" s="32">
        <f>IFERROR(IF(AND($F237&gt;0,$H237&gt;0,$A237-$G237&lt;=10,$A237-$I237&lt;=5,$G237&gt;0,$I237&gt;0),$F237*$H237,NA()),NA())</f>
        <v/>
      </c>
      <c r="K237" s="15">
        <f>IF($A237="","",IF(AH!$U$5=1,IFERROR(MATCH($A237,'Live History'!$A$5:$A$3004,0),0),AH!$U$7+232))</f>
        <v/>
      </c>
      <c r="L237" s="15">
        <f>IF(ISNUMBER(A237),TEXT(A237,"dd-mmm-yy"),"")</f>
        <v/>
      </c>
    </row>
    <row r="238">
      <c r="A238" s="14">
        <f>IF(OR(AH!$U$4=0,233+1&gt;AH!$U$6,AND(AH!$M$5="Bloomberg",AH!$U$5=0)),"",IFERROR(IF(AND(AH!$U$12=1,233+1=AH!$U$6),TODAY(),IF(AH!$U$5=1,INDEX('Live History'!$A$5:$A$3004,AH!$U$7+233),INDEX('AH History'!$A$5:$A$1380,AH!$U$7+233))),""))</f>
        <v/>
      </c>
      <c r="B238" s="33">
        <f>IFERROR(IF(AH!$U$11=1,NA(),$J238/$E238-1),NA())</f>
        <v/>
      </c>
      <c r="C238" s="269">
        <f>IFERROR(100*$E238/$E$5,NA())</f>
        <v/>
      </c>
      <c r="D238" s="269">
        <f>IFERROR(100*$J238/$J$5,NA())</f>
        <v/>
      </c>
      <c r="E238" s="32">
        <f>IFERROR(IF(AND(ISNUMBER($A238),N(IF(AND(AH!$U$12=1,233+1=AH!$U$6),IF(AH!$U$4=0,"unavailable",INDEX('Market Data'!$AN$5:$AN$66,AH!$U$4)),IF(AH!$U$5=1,INDEX('Live History'!$B$5:$B$3004,$K238),INDEX('AH History'!$D$5:$GG$1380,$K238,AH!$U$10))))&gt;0),IF(AND(AH!$U$12=1,233+1=AH!$U$6),IF(AH!$U$4=0,"unavailable",INDEX('Market Data'!$AN$5:$AN$66,AH!$U$4)),IF(AH!$U$5=1,INDEX('Live History'!$B$5:$B$3004,$K238),INDEX('AH History'!$D$5:$GG$1380,$K238,AH!$U$10))),NA()),NA())</f>
        <v/>
      </c>
      <c r="F238" s="32">
        <f>IFERROR(IF(ISNUMBER($A238),IF(AND(AH!$U$12=1,233+1=AH!$U$6),IF(AH!$U$4=0,"unavailable",INDEX('Market Data'!$AO$5:$AO$66,AH!$U$4)),IF(AH!$U$5=1,INDEX('Live History'!$E$5:$E$3004,MATCH($A238,'Live History'!$D$5:$D$3004,1)),INDEX('AH History'!$D$5:$GG$1380,$K238,AH!$U$10+1))),NA()),NA())</f>
        <v/>
      </c>
      <c r="G238" s="34">
        <f>IFERROR(IF(ISNUMBER($A238),IF(AND(AH!$U$12=1,233+1=AH!$U$6),IF(AH!$U$4=0,"unavailable",INDEX('Market Data'!$AK$5:$AK$66,AH!$U$4)),IF(AH!$U$5=1,INDEX('Live History'!$D$5:$D$3004,MATCH($A238,'Live History'!$D$5:$D$3004,1)),INDEX('AH History'!$D$5:$GG$1380,$K238,AH!$U$10+2))),NA()),NA())</f>
        <v/>
      </c>
      <c r="H238" s="266">
        <f>IFERROR(IF(ISNUMBER($A238),IF(AND(AH!$U$12=1,233+1=AH!$U$6),IF(AH!$U$4=0,"unavailable",INDEX('Market Data'!$AP$5:$AP$66,AH!$U$4)),IF(AH!$U$5=1,INDEX('Live History'!$H$5:$H$3004,MATCH($A238,'Live History'!$G$5:$G$3004,1)),INDEX('AH History'!$B$5:$B$1380,$K238))),NA()),NA())</f>
        <v/>
      </c>
      <c r="I238" s="34">
        <f>IFERROR(IF(ISNUMBER($A238),IF(AND(AH!$U$12=1,233+1=AH!$U$6),TODAY(),IF(AH!$U$5=1,INDEX('Live History'!$G$5:$G$3004,MATCH($A238,'Live History'!$G$5:$G$3004,1)),INDEX('AH History'!$C$5:$C$1380,$K238))),NA()),NA())</f>
        <v/>
      </c>
      <c r="J238" s="32">
        <f>IFERROR(IF(AND($F238&gt;0,$H238&gt;0,$A238-$G238&lt;=10,$A238-$I238&lt;=5,$G238&gt;0,$I238&gt;0),$F238*$H238,NA()),NA())</f>
        <v/>
      </c>
      <c r="K238" s="15">
        <f>IF($A238="","",IF(AH!$U$5=1,IFERROR(MATCH($A238,'Live History'!$A$5:$A$3004,0),0),AH!$U$7+233))</f>
        <v/>
      </c>
      <c r="L238" s="15">
        <f>IF(ISNUMBER(A238),TEXT(A238,"dd-mmm-yy"),"")</f>
        <v/>
      </c>
    </row>
    <row r="239">
      <c r="A239" s="14">
        <f>IF(OR(AH!$U$4=0,234+1&gt;AH!$U$6,AND(AH!$M$5="Bloomberg",AH!$U$5=0)),"",IFERROR(IF(AND(AH!$U$12=1,234+1=AH!$U$6),TODAY(),IF(AH!$U$5=1,INDEX('Live History'!$A$5:$A$3004,AH!$U$7+234),INDEX('AH History'!$A$5:$A$1380,AH!$U$7+234))),""))</f>
        <v/>
      </c>
      <c r="B239" s="33">
        <f>IFERROR(IF(AH!$U$11=1,NA(),$J239/$E239-1),NA())</f>
        <v/>
      </c>
      <c r="C239" s="269">
        <f>IFERROR(100*$E239/$E$5,NA())</f>
        <v/>
      </c>
      <c r="D239" s="269">
        <f>IFERROR(100*$J239/$J$5,NA())</f>
        <v/>
      </c>
      <c r="E239" s="32">
        <f>IFERROR(IF(AND(ISNUMBER($A239),N(IF(AND(AH!$U$12=1,234+1=AH!$U$6),IF(AH!$U$4=0,"unavailable",INDEX('Market Data'!$AN$5:$AN$66,AH!$U$4)),IF(AH!$U$5=1,INDEX('Live History'!$B$5:$B$3004,$K239),INDEX('AH History'!$D$5:$GG$1380,$K239,AH!$U$10))))&gt;0),IF(AND(AH!$U$12=1,234+1=AH!$U$6),IF(AH!$U$4=0,"unavailable",INDEX('Market Data'!$AN$5:$AN$66,AH!$U$4)),IF(AH!$U$5=1,INDEX('Live History'!$B$5:$B$3004,$K239),INDEX('AH History'!$D$5:$GG$1380,$K239,AH!$U$10))),NA()),NA())</f>
        <v/>
      </c>
      <c r="F239" s="32">
        <f>IFERROR(IF(ISNUMBER($A239),IF(AND(AH!$U$12=1,234+1=AH!$U$6),IF(AH!$U$4=0,"unavailable",INDEX('Market Data'!$AO$5:$AO$66,AH!$U$4)),IF(AH!$U$5=1,INDEX('Live History'!$E$5:$E$3004,MATCH($A239,'Live History'!$D$5:$D$3004,1)),INDEX('AH History'!$D$5:$GG$1380,$K239,AH!$U$10+1))),NA()),NA())</f>
        <v/>
      </c>
      <c r="G239" s="34">
        <f>IFERROR(IF(ISNUMBER($A239),IF(AND(AH!$U$12=1,234+1=AH!$U$6),IF(AH!$U$4=0,"unavailable",INDEX('Market Data'!$AK$5:$AK$66,AH!$U$4)),IF(AH!$U$5=1,INDEX('Live History'!$D$5:$D$3004,MATCH($A239,'Live History'!$D$5:$D$3004,1)),INDEX('AH History'!$D$5:$GG$1380,$K239,AH!$U$10+2))),NA()),NA())</f>
        <v/>
      </c>
      <c r="H239" s="266">
        <f>IFERROR(IF(ISNUMBER($A239),IF(AND(AH!$U$12=1,234+1=AH!$U$6),IF(AH!$U$4=0,"unavailable",INDEX('Market Data'!$AP$5:$AP$66,AH!$U$4)),IF(AH!$U$5=1,INDEX('Live History'!$H$5:$H$3004,MATCH($A239,'Live History'!$G$5:$G$3004,1)),INDEX('AH History'!$B$5:$B$1380,$K239))),NA()),NA())</f>
        <v/>
      </c>
      <c r="I239" s="34">
        <f>IFERROR(IF(ISNUMBER($A239),IF(AND(AH!$U$12=1,234+1=AH!$U$6),TODAY(),IF(AH!$U$5=1,INDEX('Live History'!$G$5:$G$3004,MATCH($A239,'Live History'!$G$5:$G$3004,1)),INDEX('AH History'!$C$5:$C$1380,$K239))),NA()),NA())</f>
        <v/>
      </c>
      <c r="J239" s="32">
        <f>IFERROR(IF(AND($F239&gt;0,$H239&gt;0,$A239-$G239&lt;=10,$A239-$I239&lt;=5,$G239&gt;0,$I239&gt;0),$F239*$H239,NA()),NA())</f>
        <v/>
      </c>
      <c r="K239" s="15">
        <f>IF($A239="","",IF(AH!$U$5=1,IFERROR(MATCH($A239,'Live History'!$A$5:$A$3004,0),0),AH!$U$7+234))</f>
        <v/>
      </c>
      <c r="L239" s="15">
        <f>IF(ISNUMBER(A239),TEXT(A239,"dd-mmm-yy"),"")</f>
        <v/>
      </c>
    </row>
    <row r="240">
      <c r="A240" s="14">
        <f>IF(OR(AH!$U$4=0,235+1&gt;AH!$U$6,AND(AH!$M$5="Bloomberg",AH!$U$5=0)),"",IFERROR(IF(AND(AH!$U$12=1,235+1=AH!$U$6),TODAY(),IF(AH!$U$5=1,INDEX('Live History'!$A$5:$A$3004,AH!$U$7+235),INDEX('AH History'!$A$5:$A$1380,AH!$U$7+235))),""))</f>
        <v/>
      </c>
      <c r="B240" s="33">
        <f>IFERROR(IF(AH!$U$11=1,NA(),$J240/$E240-1),NA())</f>
        <v/>
      </c>
      <c r="C240" s="269">
        <f>IFERROR(100*$E240/$E$5,NA())</f>
        <v/>
      </c>
      <c r="D240" s="269">
        <f>IFERROR(100*$J240/$J$5,NA())</f>
        <v/>
      </c>
      <c r="E240" s="32">
        <f>IFERROR(IF(AND(ISNUMBER($A240),N(IF(AND(AH!$U$12=1,235+1=AH!$U$6),IF(AH!$U$4=0,"unavailable",INDEX('Market Data'!$AN$5:$AN$66,AH!$U$4)),IF(AH!$U$5=1,INDEX('Live History'!$B$5:$B$3004,$K240),INDEX('AH History'!$D$5:$GG$1380,$K240,AH!$U$10))))&gt;0),IF(AND(AH!$U$12=1,235+1=AH!$U$6),IF(AH!$U$4=0,"unavailable",INDEX('Market Data'!$AN$5:$AN$66,AH!$U$4)),IF(AH!$U$5=1,INDEX('Live History'!$B$5:$B$3004,$K240),INDEX('AH History'!$D$5:$GG$1380,$K240,AH!$U$10))),NA()),NA())</f>
        <v/>
      </c>
      <c r="F240" s="32">
        <f>IFERROR(IF(ISNUMBER($A240),IF(AND(AH!$U$12=1,235+1=AH!$U$6),IF(AH!$U$4=0,"unavailable",INDEX('Market Data'!$AO$5:$AO$66,AH!$U$4)),IF(AH!$U$5=1,INDEX('Live History'!$E$5:$E$3004,MATCH($A240,'Live History'!$D$5:$D$3004,1)),INDEX('AH History'!$D$5:$GG$1380,$K240,AH!$U$10+1))),NA()),NA())</f>
        <v/>
      </c>
      <c r="G240" s="34">
        <f>IFERROR(IF(ISNUMBER($A240),IF(AND(AH!$U$12=1,235+1=AH!$U$6),IF(AH!$U$4=0,"unavailable",INDEX('Market Data'!$AK$5:$AK$66,AH!$U$4)),IF(AH!$U$5=1,INDEX('Live History'!$D$5:$D$3004,MATCH($A240,'Live History'!$D$5:$D$3004,1)),INDEX('AH History'!$D$5:$GG$1380,$K240,AH!$U$10+2))),NA()),NA())</f>
        <v/>
      </c>
      <c r="H240" s="266">
        <f>IFERROR(IF(ISNUMBER($A240),IF(AND(AH!$U$12=1,235+1=AH!$U$6),IF(AH!$U$4=0,"unavailable",INDEX('Market Data'!$AP$5:$AP$66,AH!$U$4)),IF(AH!$U$5=1,INDEX('Live History'!$H$5:$H$3004,MATCH($A240,'Live History'!$G$5:$G$3004,1)),INDEX('AH History'!$B$5:$B$1380,$K240))),NA()),NA())</f>
        <v/>
      </c>
      <c r="I240" s="34">
        <f>IFERROR(IF(ISNUMBER($A240),IF(AND(AH!$U$12=1,235+1=AH!$U$6),TODAY(),IF(AH!$U$5=1,INDEX('Live History'!$G$5:$G$3004,MATCH($A240,'Live History'!$G$5:$G$3004,1)),INDEX('AH History'!$C$5:$C$1380,$K240))),NA()),NA())</f>
        <v/>
      </c>
      <c r="J240" s="32">
        <f>IFERROR(IF(AND($F240&gt;0,$H240&gt;0,$A240-$G240&lt;=10,$A240-$I240&lt;=5,$G240&gt;0,$I240&gt;0),$F240*$H240,NA()),NA())</f>
        <v/>
      </c>
      <c r="K240" s="15">
        <f>IF($A240="","",IF(AH!$U$5=1,IFERROR(MATCH($A240,'Live History'!$A$5:$A$3004,0),0),AH!$U$7+235))</f>
        <v/>
      </c>
      <c r="L240" s="15">
        <f>IF(ISNUMBER(A240),TEXT(A240,"dd-mmm-yy"),"")</f>
        <v/>
      </c>
    </row>
    <row r="241">
      <c r="A241" s="14">
        <f>IF(OR(AH!$U$4=0,236+1&gt;AH!$U$6,AND(AH!$M$5="Bloomberg",AH!$U$5=0)),"",IFERROR(IF(AND(AH!$U$12=1,236+1=AH!$U$6),TODAY(),IF(AH!$U$5=1,INDEX('Live History'!$A$5:$A$3004,AH!$U$7+236),INDEX('AH History'!$A$5:$A$1380,AH!$U$7+236))),""))</f>
        <v/>
      </c>
      <c r="B241" s="33">
        <f>IFERROR(IF(AH!$U$11=1,NA(),$J241/$E241-1),NA())</f>
        <v/>
      </c>
      <c r="C241" s="269">
        <f>IFERROR(100*$E241/$E$5,NA())</f>
        <v/>
      </c>
      <c r="D241" s="269">
        <f>IFERROR(100*$J241/$J$5,NA())</f>
        <v/>
      </c>
      <c r="E241" s="32">
        <f>IFERROR(IF(AND(ISNUMBER($A241),N(IF(AND(AH!$U$12=1,236+1=AH!$U$6),IF(AH!$U$4=0,"unavailable",INDEX('Market Data'!$AN$5:$AN$66,AH!$U$4)),IF(AH!$U$5=1,INDEX('Live History'!$B$5:$B$3004,$K241),INDEX('AH History'!$D$5:$GG$1380,$K241,AH!$U$10))))&gt;0),IF(AND(AH!$U$12=1,236+1=AH!$U$6),IF(AH!$U$4=0,"unavailable",INDEX('Market Data'!$AN$5:$AN$66,AH!$U$4)),IF(AH!$U$5=1,INDEX('Live History'!$B$5:$B$3004,$K241),INDEX('AH History'!$D$5:$GG$1380,$K241,AH!$U$10))),NA()),NA())</f>
        <v/>
      </c>
      <c r="F241" s="32">
        <f>IFERROR(IF(ISNUMBER($A241),IF(AND(AH!$U$12=1,236+1=AH!$U$6),IF(AH!$U$4=0,"unavailable",INDEX('Market Data'!$AO$5:$AO$66,AH!$U$4)),IF(AH!$U$5=1,INDEX('Live History'!$E$5:$E$3004,MATCH($A241,'Live History'!$D$5:$D$3004,1)),INDEX('AH History'!$D$5:$GG$1380,$K241,AH!$U$10+1))),NA()),NA())</f>
        <v/>
      </c>
      <c r="G241" s="34">
        <f>IFERROR(IF(ISNUMBER($A241),IF(AND(AH!$U$12=1,236+1=AH!$U$6),IF(AH!$U$4=0,"unavailable",INDEX('Market Data'!$AK$5:$AK$66,AH!$U$4)),IF(AH!$U$5=1,INDEX('Live History'!$D$5:$D$3004,MATCH($A241,'Live History'!$D$5:$D$3004,1)),INDEX('AH History'!$D$5:$GG$1380,$K241,AH!$U$10+2))),NA()),NA())</f>
        <v/>
      </c>
      <c r="H241" s="266">
        <f>IFERROR(IF(ISNUMBER($A241),IF(AND(AH!$U$12=1,236+1=AH!$U$6),IF(AH!$U$4=0,"unavailable",INDEX('Market Data'!$AP$5:$AP$66,AH!$U$4)),IF(AH!$U$5=1,INDEX('Live History'!$H$5:$H$3004,MATCH($A241,'Live History'!$G$5:$G$3004,1)),INDEX('AH History'!$B$5:$B$1380,$K241))),NA()),NA())</f>
        <v/>
      </c>
      <c r="I241" s="34">
        <f>IFERROR(IF(ISNUMBER($A241),IF(AND(AH!$U$12=1,236+1=AH!$U$6),TODAY(),IF(AH!$U$5=1,INDEX('Live History'!$G$5:$G$3004,MATCH($A241,'Live History'!$G$5:$G$3004,1)),INDEX('AH History'!$C$5:$C$1380,$K241))),NA()),NA())</f>
        <v/>
      </c>
      <c r="J241" s="32">
        <f>IFERROR(IF(AND($F241&gt;0,$H241&gt;0,$A241-$G241&lt;=10,$A241-$I241&lt;=5,$G241&gt;0,$I241&gt;0),$F241*$H241,NA()),NA())</f>
        <v/>
      </c>
      <c r="K241" s="15">
        <f>IF($A241="","",IF(AH!$U$5=1,IFERROR(MATCH($A241,'Live History'!$A$5:$A$3004,0),0),AH!$U$7+236))</f>
        <v/>
      </c>
      <c r="L241" s="15">
        <f>IF(ISNUMBER(A241),TEXT(A241,"dd-mmm-yy"),"")</f>
        <v/>
      </c>
    </row>
    <row r="242">
      <c r="A242" s="14">
        <f>IF(OR(AH!$U$4=0,237+1&gt;AH!$U$6,AND(AH!$M$5="Bloomberg",AH!$U$5=0)),"",IFERROR(IF(AND(AH!$U$12=1,237+1=AH!$U$6),TODAY(),IF(AH!$U$5=1,INDEX('Live History'!$A$5:$A$3004,AH!$U$7+237),INDEX('AH History'!$A$5:$A$1380,AH!$U$7+237))),""))</f>
        <v/>
      </c>
      <c r="B242" s="33">
        <f>IFERROR(IF(AH!$U$11=1,NA(),$J242/$E242-1),NA())</f>
        <v/>
      </c>
      <c r="C242" s="269">
        <f>IFERROR(100*$E242/$E$5,NA())</f>
        <v/>
      </c>
      <c r="D242" s="269">
        <f>IFERROR(100*$J242/$J$5,NA())</f>
        <v/>
      </c>
      <c r="E242" s="32">
        <f>IFERROR(IF(AND(ISNUMBER($A242),N(IF(AND(AH!$U$12=1,237+1=AH!$U$6),IF(AH!$U$4=0,"unavailable",INDEX('Market Data'!$AN$5:$AN$66,AH!$U$4)),IF(AH!$U$5=1,INDEX('Live History'!$B$5:$B$3004,$K242),INDEX('AH History'!$D$5:$GG$1380,$K242,AH!$U$10))))&gt;0),IF(AND(AH!$U$12=1,237+1=AH!$U$6),IF(AH!$U$4=0,"unavailable",INDEX('Market Data'!$AN$5:$AN$66,AH!$U$4)),IF(AH!$U$5=1,INDEX('Live History'!$B$5:$B$3004,$K242),INDEX('AH History'!$D$5:$GG$1380,$K242,AH!$U$10))),NA()),NA())</f>
        <v/>
      </c>
      <c r="F242" s="32">
        <f>IFERROR(IF(ISNUMBER($A242),IF(AND(AH!$U$12=1,237+1=AH!$U$6),IF(AH!$U$4=0,"unavailable",INDEX('Market Data'!$AO$5:$AO$66,AH!$U$4)),IF(AH!$U$5=1,INDEX('Live History'!$E$5:$E$3004,MATCH($A242,'Live History'!$D$5:$D$3004,1)),INDEX('AH History'!$D$5:$GG$1380,$K242,AH!$U$10+1))),NA()),NA())</f>
        <v/>
      </c>
      <c r="G242" s="34">
        <f>IFERROR(IF(ISNUMBER($A242),IF(AND(AH!$U$12=1,237+1=AH!$U$6),IF(AH!$U$4=0,"unavailable",INDEX('Market Data'!$AK$5:$AK$66,AH!$U$4)),IF(AH!$U$5=1,INDEX('Live History'!$D$5:$D$3004,MATCH($A242,'Live History'!$D$5:$D$3004,1)),INDEX('AH History'!$D$5:$GG$1380,$K242,AH!$U$10+2))),NA()),NA())</f>
        <v/>
      </c>
      <c r="H242" s="266">
        <f>IFERROR(IF(ISNUMBER($A242),IF(AND(AH!$U$12=1,237+1=AH!$U$6),IF(AH!$U$4=0,"unavailable",INDEX('Market Data'!$AP$5:$AP$66,AH!$U$4)),IF(AH!$U$5=1,INDEX('Live History'!$H$5:$H$3004,MATCH($A242,'Live History'!$G$5:$G$3004,1)),INDEX('AH History'!$B$5:$B$1380,$K242))),NA()),NA())</f>
        <v/>
      </c>
      <c r="I242" s="34">
        <f>IFERROR(IF(ISNUMBER($A242),IF(AND(AH!$U$12=1,237+1=AH!$U$6),TODAY(),IF(AH!$U$5=1,INDEX('Live History'!$G$5:$G$3004,MATCH($A242,'Live History'!$G$5:$G$3004,1)),INDEX('AH History'!$C$5:$C$1380,$K242))),NA()),NA())</f>
        <v/>
      </c>
      <c r="J242" s="32">
        <f>IFERROR(IF(AND($F242&gt;0,$H242&gt;0,$A242-$G242&lt;=10,$A242-$I242&lt;=5,$G242&gt;0,$I242&gt;0),$F242*$H242,NA()),NA())</f>
        <v/>
      </c>
      <c r="K242" s="15">
        <f>IF($A242="","",IF(AH!$U$5=1,IFERROR(MATCH($A242,'Live History'!$A$5:$A$3004,0),0),AH!$U$7+237))</f>
        <v/>
      </c>
      <c r="L242" s="15">
        <f>IF(ISNUMBER(A242),TEXT(A242,"dd-mmm-yy"),"")</f>
        <v/>
      </c>
    </row>
    <row r="243">
      <c r="A243" s="14">
        <f>IF(OR(AH!$U$4=0,238+1&gt;AH!$U$6,AND(AH!$M$5="Bloomberg",AH!$U$5=0)),"",IFERROR(IF(AND(AH!$U$12=1,238+1=AH!$U$6),TODAY(),IF(AH!$U$5=1,INDEX('Live History'!$A$5:$A$3004,AH!$U$7+238),INDEX('AH History'!$A$5:$A$1380,AH!$U$7+238))),""))</f>
        <v/>
      </c>
      <c r="B243" s="33">
        <f>IFERROR(IF(AH!$U$11=1,NA(),$J243/$E243-1),NA())</f>
        <v/>
      </c>
      <c r="C243" s="269">
        <f>IFERROR(100*$E243/$E$5,NA())</f>
        <v/>
      </c>
      <c r="D243" s="269">
        <f>IFERROR(100*$J243/$J$5,NA())</f>
        <v/>
      </c>
      <c r="E243" s="32">
        <f>IFERROR(IF(AND(ISNUMBER($A243),N(IF(AND(AH!$U$12=1,238+1=AH!$U$6),IF(AH!$U$4=0,"unavailable",INDEX('Market Data'!$AN$5:$AN$66,AH!$U$4)),IF(AH!$U$5=1,INDEX('Live History'!$B$5:$B$3004,$K243),INDEX('AH History'!$D$5:$GG$1380,$K243,AH!$U$10))))&gt;0),IF(AND(AH!$U$12=1,238+1=AH!$U$6),IF(AH!$U$4=0,"unavailable",INDEX('Market Data'!$AN$5:$AN$66,AH!$U$4)),IF(AH!$U$5=1,INDEX('Live History'!$B$5:$B$3004,$K243),INDEX('AH History'!$D$5:$GG$1380,$K243,AH!$U$10))),NA()),NA())</f>
        <v/>
      </c>
      <c r="F243" s="32">
        <f>IFERROR(IF(ISNUMBER($A243),IF(AND(AH!$U$12=1,238+1=AH!$U$6),IF(AH!$U$4=0,"unavailable",INDEX('Market Data'!$AO$5:$AO$66,AH!$U$4)),IF(AH!$U$5=1,INDEX('Live History'!$E$5:$E$3004,MATCH($A243,'Live History'!$D$5:$D$3004,1)),INDEX('AH History'!$D$5:$GG$1380,$K243,AH!$U$10+1))),NA()),NA())</f>
        <v/>
      </c>
      <c r="G243" s="34">
        <f>IFERROR(IF(ISNUMBER($A243),IF(AND(AH!$U$12=1,238+1=AH!$U$6),IF(AH!$U$4=0,"unavailable",INDEX('Market Data'!$AK$5:$AK$66,AH!$U$4)),IF(AH!$U$5=1,INDEX('Live History'!$D$5:$D$3004,MATCH($A243,'Live History'!$D$5:$D$3004,1)),INDEX('AH History'!$D$5:$GG$1380,$K243,AH!$U$10+2))),NA()),NA())</f>
        <v/>
      </c>
      <c r="H243" s="266">
        <f>IFERROR(IF(ISNUMBER($A243),IF(AND(AH!$U$12=1,238+1=AH!$U$6),IF(AH!$U$4=0,"unavailable",INDEX('Market Data'!$AP$5:$AP$66,AH!$U$4)),IF(AH!$U$5=1,INDEX('Live History'!$H$5:$H$3004,MATCH($A243,'Live History'!$G$5:$G$3004,1)),INDEX('AH History'!$B$5:$B$1380,$K243))),NA()),NA())</f>
        <v/>
      </c>
      <c r="I243" s="34">
        <f>IFERROR(IF(ISNUMBER($A243),IF(AND(AH!$U$12=1,238+1=AH!$U$6),TODAY(),IF(AH!$U$5=1,INDEX('Live History'!$G$5:$G$3004,MATCH($A243,'Live History'!$G$5:$G$3004,1)),INDEX('AH History'!$C$5:$C$1380,$K243))),NA()),NA())</f>
        <v/>
      </c>
      <c r="J243" s="32">
        <f>IFERROR(IF(AND($F243&gt;0,$H243&gt;0,$A243-$G243&lt;=10,$A243-$I243&lt;=5,$G243&gt;0,$I243&gt;0),$F243*$H243,NA()),NA())</f>
        <v/>
      </c>
      <c r="K243" s="15">
        <f>IF($A243="","",IF(AH!$U$5=1,IFERROR(MATCH($A243,'Live History'!$A$5:$A$3004,0),0),AH!$U$7+238))</f>
        <v/>
      </c>
      <c r="L243" s="15">
        <f>IF(ISNUMBER(A243),TEXT(A243,"dd-mmm-yy"),"")</f>
        <v/>
      </c>
    </row>
    <row r="244">
      <c r="A244" s="14">
        <f>IF(OR(AH!$U$4=0,239+1&gt;AH!$U$6,AND(AH!$M$5="Bloomberg",AH!$U$5=0)),"",IFERROR(IF(AND(AH!$U$12=1,239+1=AH!$U$6),TODAY(),IF(AH!$U$5=1,INDEX('Live History'!$A$5:$A$3004,AH!$U$7+239),INDEX('AH History'!$A$5:$A$1380,AH!$U$7+239))),""))</f>
        <v/>
      </c>
      <c r="B244" s="33">
        <f>IFERROR(IF(AH!$U$11=1,NA(),$J244/$E244-1),NA())</f>
        <v/>
      </c>
      <c r="C244" s="269">
        <f>IFERROR(100*$E244/$E$5,NA())</f>
        <v/>
      </c>
      <c r="D244" s="269">
        <f>IFERROR(100*$J244/$J$5,NA())</f>
        <v/>
      </c>
      <c r="E244" s="32">
        <f>IFERROR(IF(AND(ISNUMBER($A244),N(IF(AND(AH!$U$12=1,239+1=AH!$U$6),IF(AH!$U$4=0,"unavailable",INDEX('Market Data'!$AN$5:$AN$66,AH!$U$4)),IF(AH!$U$5=1,INDEX('Live History'!$B$5:$B$3004,$K244),INDEX('AH History'!$D$5:$GG$1380,$K244,AH!$U$10))))&gt;0),IF(AND(AH!$U$12=1,239+1=AH!$U$6),IF(AH!$U$4=0,"unavailable",INDEX('Market Data'!$AN$5:$AN$66,AH!$U$4)),IF(AH!$U$5=1,INDEX('Live History'!$B$5:$B$3004,$K244),INDEX('AH History'!$D$5:$GG$1380,$K244,AH!$U$10))),NA()),NA())</f>
        <v/>
      </c>
      <c r="F244" s="32">
        <f>IFERROR(IF(ISNUMBER($A244),IF(AND(AH!$U$12=1,239+1=AH!$U$6),IF(AH!$U$4=0,"unavailable",INDEX('Market Data'!$AO$5:$AO$66,AH!$U$4)),IF(AH!$U$5=1,INDEX('Live History'!$E$5:$E$3004,MATCH($A244,'Live History'!$D$5:$D$3004,1)),INDEX('AH History'!$D$5:$GG$1380,$K244,AH!$U$10+1))),NA()),NA())</f>
        <v/>
      </c>
      <c r="G244" s="34">
        <f>IFERROR(IF(ISNUMBER($A244),IF(AND(AH!$U$12=1,239+1=AH!$U$6),IF(AH!$U$4=0,"unavailable",INDEX('Market Data'!$AK$5:$AK$66,AH!$U$4)),IF(AH!$U$5=1,INDEX('Live History'!$D$5:$D$3004,MATCH($A244,'Live History'!$D$5:$D$3004,1)),INDEX('AH History'!$D$5:$GG$1380,$K244,AH!$U$10+2))),NA()),NA())</f>
        <v/>
      </c>
      <c r="H244" s="266">
        <f>IFERROR(IF(ISNUMBER($A244),IF(AND(AH!$U$12=1,239+1=AH!$U$6),IF(AH!$U$4=0,"unavailable",INDEX('Market Data'!$AP$5:$AP$66,AH!$U$4)),IF(AH!$U$5=1,INDEX('Live History'!$H$5:$H$3004,MATCH($A244,'Live History'!$G$5:$G$3004,1)),INDEX('AH History'!$B$5:$B$1380,$K244))),NA()),NA())</f>
        <v/>
      </c>
      <c r="I244" s="34">
        <f>IFERROR(IF(ISNUMBER($A244),IF(AND(AH!$U$12=1,239+1=AH!$U$6),TODAY(),IF(AH!$U$5=1,INDEX('Live History'!$G$5:$G$3004,MATCH($A244,'Live History'!$G$5:$G$3004,1)),INDEX('AH History'!$C$5:$C$1380,$K244))),NA()),NA())</f>
        <v/>
      </c>
      <c r="J244" s="32">
        <f>IFERROR(IF(AND($F244&gt;0,$H244&gt;0,$A244-$G244&lt;=10,$A244-$I244&lt;=5,$G244&gt;0,$I244&gt;0),$F244*$H244,NA()),NA())</f>
        <v/>
      </c>
      <c r="K244" s="15">
        <f>IF($A244="","",IF(AH!$U$5=1,IFERROR(MATCH($A244,'Live History'!$A$5:$A$3004,0),0),AH!$U$7+239))</f>
        <v/>
      </c>
      <c r="L244" s="15">
        <f>IF(ISNUMBER(A244),TEXT(A244,"dd-mmm-yy"),"")</f>
        <v/>
      </c>
    </row>
    <row r="245">
      <c r="A245" s="14">
        <f>IF(OR(AH!$U$4=0,240+1&gt;AH!$U$6,AND(AH!$M$5="Bloomberg",AH!$U$5=0)),"",IFERROR(IF(AND(AH!$U$12=1,240+1=AH!$U$6),TODAY(),IF(AH!$U$5=1,INDEX('Live History'!$A$5:$A$3004,AH!$U$7+240),INDEX('AH History'!$A$5:$A$1380,AH!$U$7+240))),""))</f>
        <v/>
      </c>
      <c r="B245" s="33">
        <f>IFERROR(IF(AH!$U$11=1,NA(),$J245/$E245-1),NA())</f>
        <v/>
      </c>
      <c r="C245" s="269">
        <f>IFERROR(100*$E245/$E$5,NA())</f>
        <v/>
      </c>
      <c r="D245" s="269">
        <f>IFERROR(100*$J245/$J$5,NA())</f>
        <v/>
      </c>
      <c r="E245" s="32">
        <f>IFERROR(IF(AND(ISNUMBER($A245),N(IF(AND(AH!$U$12=1,240+1=AH!$U$6),IF(AH!$U$4=0,"unavailable",INDEX('Market Data'!$AN$5:$AN$66,AH!$U$4)),IF(AH!$U$5=1,INDEX('Live History'!$B$5:$B$3004,$K245),INDEX('AH History'!$D$5:$GG$1380,$K245,AH!$U$10))))&gt;0),IF(AND(AH!$U$12=1,240+1=AH!$U$6),IF(AH!$U$4=0,"unavailable",INDEX('Market Data'!$AN$5:$AN$66,AH!$U$4)),IF(AH!$U$5=1,INDEX('Live History'!$B$5:$B$3004,$K245),INDEX('AH History'!$D$5:$GG$1380,$K245,AH!$U$10))),NA()),NA())</f>
        <v/>
      </c>
      <c r="F245" s="32">
        <f>IFERROR(IF(ISNUMBER($A245),IF(AND(AH!$U$12=1,240+1=AH!$U$6),IF(AH!$U$4=0,"unavailable",INDEX('Market Data'!$AO$5:$AO$66,AH!$U$4)),IF(AH!$U$5=1,INDEX('Live History'!$E$5:$E$3004,MATCH($A245,'Live History'!$D$5:$D$3004,1)),INDEX('AH History'!$D$5:$GG$1380,$K245,AH!$U$10+1))),NA()),NA())</f>
        <v/>
      </c>
      <c r="G245" s="34">
        <f>IFERROR(IF(ISNUMBER($A245),IF(AND(AH!$U$12=1,240+1=AH!$U$6),IF(AH!$U$4=0,"unavailable",INDEX('Market Data'!$AK$5:$AK$66,AH!$U$4)),IF(AH!$U$5=1,INDEX('Live History'!$D$5:$D$3004,MATCH($A245,'Live History'!$D$5:$D$3004,1)),INDEX('AH History'!$D$5:$GG$1380,$K245,AH!$U$10+2))),NA()),NA())</f>
        <v/>
      </c>
      <c r="H245" s="266">
        <f>IFERROR(IF(ISNUMBER($A245),IF(AND(AH!$U$12=1,240+1=AH!$U$6),IF(AH!$U$4=0,"unavailable",INDEX('Market Data'!$AP$5:$AP$66,AH!$U$4)),IF(AH!$U$5=1,INDEX('Live History'!$H$5:$H$3004,MATCH($A245,'Live History'!$G$5:$G$3004,1)),INDEX('AH History'!$B$5:$B$1380,$K245))),NA()),NA())</f>
        <v/>
      </c>
      <c r="I245" s="34">
        <f>IFERROR(IF(ISNUMBER($A245),IF(AND(AH!$U$12=1,240+1=AH!$U$6),TODAY(),IF(AH!$U$5=1,INDEX('Live History'!$G$5:$G$3004,MATCH($A245,'Live History'!$G$5:$G$3004,1)),INDEX('AH History'!$C$5:$C$1380,$K245))),NA()),NA())</f>
        <v/>
      </c>
      <c r="J245" s="32">
        <f>IFERROR(IF(AND($F245&gt;0,$H245&gt;0,$A245-$G245&lt;=10,$A245-$I245&lt;=5,$G245&gt;0,$I245&gt;0),$F245*$H245,NA()),NA())</f>
        <v/>
      </c>
      <c r="K245" s="15">
        <f>IF($A245="","",IF(AH!$U$5=1,IFERROR(MATCH($A245,'Live History'!$A$5:$A$3004,0),0),AH!$U$7+240))</f>
        <v/>
      </c>
      <c r="L245" s="15">
        <f>IF(ISNUMBER(A245),TEXT(A245,"dd-mmm-yy"),"")</f>
        <v/>
      </c>
    </row>
    <row r="246">
      <c r="A246" s="14">
        <f>IF(OR(AH!$U$4=0,241+1&gt;AH!$U$6,AND(AH!$M$5="Bloomberg",AH!$U$5=0)),"",IFERROR(IF(AND(AH!$U$12=1,241+1=AH!$U$6),TODAY(),IF(AH!$U$5=1,INDEX('Live History'!$A$5:$A$3004,AH!$U$7+241),INDEX('AH History'!$A$5:$A$1380,AH!$U$7+241))),""))</f>
        <v/>
      </c>
      <c r="B246" s="33">
        <f>IFERROR(IF(AH!$U$11=1,NA(),$J246/$E246-1),NA())</f>
        <v/>
      </c>
      <c r="C246" s="269">
        <f>IFERROR(100*$E246/$E$5,NA())</f>
        <v/>
      </c>
      <c r="D246" s="269">
        <f>IFERROR(100*$J246/$J$5,NA())</f>
        <v/>
      </c>
      <c r="E246" s="32">
        <f>IFERROR(IF(AND(ISNUMBER($A246),N(IF(AND(AH!$U$12=1,241+1=AH!$U$6),IF(AH!$U$4=0,"unavailable",INDEX('Market Data'!$AN$5:$AN$66,AH!$U$4)),IF(AH!$U$5=1,INDEX('Live History'!$B$5:$B$3004,$K246),INDEX('AH History'!$D$5:$GG$1380,$K246,AH!$U$10))))&gt;0),IF(AND(AH!$U$12=1,241+1=AH!$U$6),IF(AH!$U$4=0,"unavailable",INDEX('Market Data'!$AN$5:$AN$66,AH!$U$4)),IF(AH!$U$5=1,INDEX('Live History'!$B$5:$B$3004,$K246),INDEX('AH History'!$D$5:$GG$1380,$K246,AH!$U$10))),NA()),NA())</f>
        <v/>
      </c>
      <c r="F246" s="32">
        <f>IFERROR(IF(ISNUMBER($A246),IF(AND(AH!$U$12=1,241+1=AH!$U$6),IF(AH!$U$4=0,"unavailable",INDEX('Market Data'!$AO$5:$AO$66,AH!$U$4)),IF(AH!$U$5=1,INDEX('Live History'!$E$5:$E$3004,MATCH($A246,'Live History'!$D$5:$D$3004,1)),INDEX('AH History'!$D$5:$GG$1380,$K246,AH!$U$10+1))),NA()),NA())</f>
        <v/>
      </c>
      <c r="G246" s="34">
        <f>IFERROR(IF(ISNUMBER($A246),IF(AND(AH!$U$12=1,241+1=AH!$U$6),IF(AH!$U$4=0,"unavailable",INDEX('Market Data'!$AK$5:$AK$66,AH!$U$4)),IF(AH!$U$5=1,INDEX('Live History'!$D$5:$D$3004,MATCH($A246,'Live History'!$D$5:$D$3004,1)),INDEX('AH History'!$D$5:$GG$1380,$K246,AH!$U$10+2))),NA()),NA())</f>
        <v/>
      </c>
      <c r="H246" s="266">
        <f>IFERROR(IF(ISNUMBER($A246),IF(AND(AH!$U$12=1,241+1=AH!$U$6),IF(AH!$U$4=0,"unavailable",INDEX('Market Data'!$AP$5:$AP$66,AH!$U$4)),IF(AH!$U$5=1,INDEX('Live History'!$H$5:$H$3004,MATCH($A246,'Live History'!$G$5:$G$3004,1)),INDEX('AH History'!$B$5:$B$1380,$K246))),NA()),NA())</f>
        <v/>
      </c>
      <c r="I246" s="34">
        <f>IFERROR(IF(ISNUMBER($A246),IF(AND(AH!$U$12=1,241+1=AH!$U$6),TODAY(),IF(AH!$U$5=1,INDEX('Live History'!$G$5:$G$3004,MATCH($A246,'Live History'!$G$5:$G$3004,1)),INDEX('AH History'!$C$5:$C$1380,$K246))),NA()),NA())</f>
        <v/>
      </c>
      <c r="J246" s="32">
        <f>IFERROR(IF(AND($F246&gt;0,$H246&gt;0,$A246-$G246&lt;=10,$A246-$I246&lt;=5,$G246&gt;0,$I246&gt;0),$F246*$H246,NA()),NA())</f>
        <v/>
      </c>
      <c r="K246" s="15">
        <f>IF($A246="","",IF(AH!$U$5=1,IFERROR(MATCH($A246,'Live History'!$A$5:$A$3004,0),0),AH!$U$7+241))</f>
        <v/>
      </c>
      <c r="L246" s="15">
        <f>IF(ISNUMBER(A246),TEXT(A246,"dd-mmm-yy"),"")</f>
        <v/>
      </c>
    </row>
    <row r="247">
      <c r="A247" s="14">
        <f>IF(OR(AH!$U$4=0,242+1&gt;AH!$U$6,AND(AH!$M$5="Bloomberg",AH!$U$5=0)),"",IFERROR(IF(AND(AH!$U$12=1,242+1=AH!$U$6),TODAY(),IF(AH!$U$5=1,INDEX('Live History'!$A$5:$A$3004,AH!$U$7+242),INDEX('AH History'!$A$5:$A$1380,AH!$U$7+242))),""))</f>
        <v/>
      </c>
      <c r="B247" s="33">
        <f>IFERROR(IF(AH!$U$11=1,NA(),$J247/$E247-1),NA())</f>
        <v/>
      </c>
      <c r="C247" s="269">
        <f>IFERROR(100*$E247/$E$5,NA())</f>
        <v/>
      </c>
      <c r="D247" s="269">
        <f>IFERROR(100*$J247/$J$5,NA())</f>
        <v/>
      </c>
      <c r="E247" s="32">
        <f>IFERROR(IF(AND(ISNUMBER($A247),N(IF(AND(AH!$U$12=1,242+1=AH!$U$6),IF(AH!$U$4=0,"unavailable",INDEX('Market Data'!$AN$5:$AN$66,AH!$U$4)),IF(AH!$U$5=1,INDEX('Live History'!$B$5:$B$3004,$K247),INDEX('AH History'!$D$5:$GG$1380,$K247,AH!$U$10))))&gt;0),IF(AND(AH!$U$12=1,242+1=AH!$U$6),IF(AH!$U$4=0,"unavailable",INDEX('Market Data'!$AN$5:$AN$66,AH!$U$4)),IF(AH!$U$5=1,INDEX('Live History'!$B$5:$B$3004,$K247),INDEX('AH History'!$D$5:$GG$1380,$K247,AH!$U$10))),NA()),NA())</f>
        <v/>
      </c>
      <c r="F247" s="32">
        <f>IFERROR(IF(ISNUMBER($A247),IF(AND(AH!$U$12=1,242+1=AH!$U$6),IF(AH!$U$4=0,"unavailable",INDEX('Market Data'!$AO$5:$AO$66,AH!$U$4)),IF(AH!$U$5=1,INDEX('Live History'!$E$5:$E$3004,MATCH($A247,'Live History'!$D$5:$D$3004,1)),INDEX('AH History'!$D$5:$GG$1380,$K247,AH!$U$10+1))),NA()),NA())</f>
        <v/>
      </c>
      <c r="G247" s="34">
        <f>IFERROR(IF(ISNUMBER($A247),IF(AND(AH!$U$12=1,242+1=AH!$U$6),IF(AH!$U$4=0,"unavailable",INDEX('Market Data'!$AK$5:$AK$66,AH!$U$4)),IF(AH!$U$5=1,INDEX('Live History'!$D$5:$D$3004,MATCH($A247,'Live History'!$D$5:$D$3004,1)),INDEX('AH History'!$D$5:$GG$1380,$K247,AH!$U$10+2))),NA()),NA())</f>
        <v/>
      </c>
      <c r="H247" s="266">
        <f>IFERROR(IF(ISNUMBER($A247),IF(AND(AH!$U$12=1,242+1=AH!$U$6),IF(AH!$U$4=0,"unavailable",INDEX('Market Data'!$AP$5:$AP$66,AH!$U$4)),IF(AH!$U$5=1,INDEX('Live History'!$H$5:$H$3004,MATCH($A247,'Live History'!$G$5:$G$3004,1)),INDEX('AH History'!$B$5:$B$1380,$K247))),NA()),NA())</f>
        <v/>
      </c>
      <c r="I247" s="34">
        <f>IFERROR(IF(ISNUMBER($A247),IF(AND(AH!$U$12=1,242+1=AH!$U$6),TODAY(),IF(AH!$U$5=1,INDEX('Live History'!$G$5:$G$3004,MATCH($A247,'Live History'!$G$5:$G$3004,1)),INDEX('AH History'!$C$5:$C$1380,$K247))),NA()),NA())</f>
        <v/>
      </c>
      <c r="J247" s="32">
        <f>IFERROR(IF(AND($F247&gt;0,$H247&gt;0,$A247-$G247&lt;=10,$A247-$I247&lt;=5,$G247&gt;0,$I247&gt;0),$F247*$H247,NA()),NA())</f>
        <v/>
      </c>
      <c r="K247" s="15">
        <f>IF($A247="","",IF(AH!$U$5=1,IFERROR(MATCH($A247,'Live History'!$A$5:$A$3004,0),0),AH!$U$7+242))</f>
        <v/>
      </c>
      <c r="L247" s="15">
        <f>IF(ISNUMBER(A247),TEXT(A247,"dd-mmm-yy"),"")</f>
        <v/>
      </c>
    </row>
    <row r="248">
      <c r="A248" s="14">
        <f>IF(OR(AH!$U$4=0,243+1&gt;AH!$U$6,AND(AH!$M$5="Bloomberg",AH!$U$5=0)),"",IFERROR(IF(AND(AH!$U$12=1,243+1=AH!$U$6),TODAY(),IF(AH!$U$5=1,INDEX('Live History'!$A$5:$A$3004,AH!$U$7+243),INDEX('AH History'!$A$5:$A$1380,AH!$U$7+243))),""))</f>
        <v/>
      </c>
      <c r="B248" s="33">
        <f>IFERROR(IF(AH!$U$11=1,NA(),$J248/$E248-1),NA())</f>
        <v/>
      </c>
      <c r="C248" s="269">
        <f>IFERROR(100*$E248/$E$5,NA())</f>
        <v/>
      </c>
      <c r="D248" s="269">
        <f>IFERROR(100*$J248/$J$5,NA())</f>
        <v/>
      </c>
      <c r="E248" s="32">
        <f>IFERROR(IF(AND(ISNUMBER($A248),N(IF(AND(AH!$U$12=1,243+1=AH!$U$6),IF(AH!$U$4=0,"unavailable",INDEX('Market Data'!$AN$5:$AN$66,AH!$U$4)),IF(AH!$U$5=1,INDEX('Live History'!$B$5:$B$3004,$K248),INDEX('AH History'!$D$5:$GG$1380,$K248,AH!$U$10))))&gt;0),IF(AND(AH!$U$12=1,243+1=AH!$U$6),IF(AH!$U$4=0,"unavailable",INDEX('Market Data'!$AN$5:$AN$66,AH!$U$4)),IF(AH!$U$5=1,INDEX('Live History'!$B$5:$B$3004,$K248),INDEX('AH History'!$D$5:$GG$1380,$K248,AH!$U$10))),NA()),NA())</f>
        <v/>
      </c>
      <c r="F248" s="32">
        <f>IFERROR(IF(ISNUMBER($A248),IF(AND(AH!$U$12=1,243+1=AH!$U$6),IF(AH!$U$4=0,"unavailable",INDEX('Market Data'!$AO$5:$AO$66,AH!$U$4)),IF(AH!$U$5=1,INDEX('Live History'!$E$5:$E$3004,MATCH($A248,'Live History'!$D$5:$D$3004,1)),INDEX('AH History'!$D$5:$GG$1380,$K248,AH!$U$10+1))),NA()),NA())</f>
        <v/>
      </c>
      <c r="G248" s="34">
        <f>IFERROR(IF(ISNUMBER($A248),IF(AND(AH!$U$12=1,243+1=AH!$U$6),IF(AH!$U$4=0,"unavailable",INDEX('Market Data'!$AK$5:$AK$66,AH!$U$4)),IF(AH!$U$5=1,INDEX('Live History'!$D$5:$D$3004,MATCH($A248,'Live History'!$D$5:$D$3004,1)),INDEX('AH History'!$D$5:$GG$1380,$K248,AH!$U$10+2))),NA()),NA())</f>
        <v/>
      </c>
      <c r="H248" s="266">
        <f>IFERROR(IF(ISNUMBER($A248),IF(AND(AH!$U$12=1,243+1=AH!$U$6),IF(AH!$U$4=0,"unavailable",INDEX('Market Data'!$AP$5:$AP$66,AH!$U$4)),IF(AH!$U$5=1,INDEX('Live History'!$H$5:$H$3004,MATCH($A248,'Live History'!$G$5:$G$3004,1)),INDEX('AH History'!$B$5:$B$1380,$K248))),NA()),NA())</f>
        <v/>
      </c>
      <c r="I248" s="34">
        <f>IFERROR(IF(ISNUMBER($A248),IF(AND(AH!$U$12=1,243+1=AH!$U$6),TODAY(),IF(AH!$U$5=1,INDEX('Live History'!$G$5:$G$3004,MATCH($A248,'Live History'!$G$5:$G$3004,1)),INDEX('AH History'!$C$5:$C$1380,$K248))),NA()),NA())</f>
        <v/>
      </c>
      <c r="J248" s="32">
        <f>IFERROR(IF(AND($F248&gt;0,$H248&gt;0,$A248-$G248&lt;=10,$A248-$I248&lt;=5,$G248&gt;0,$I248&gt;0),$F248*$H248,NA()),NA())</f>
        <v/>
      </c>
      <c r="K248" s="15">
        <f>IF($A248="","",IF(AH!$U$5=1,IFERROR(MATCH($A248,'Live History'!$A$5:$A$3004,0),0),AH!$U$7+243))</f>
        <v/>
      </c>
      <c r="L248" s="15">
        <f>IF(ISNUMBER(A248),TEXT(A248,"dd-mmm-yy"),"")</f>
        <v/>
      </c>
    </row>
    <row r="249">
      <c r="A249" s="14">
        <f>IF(OR(AH!$U$4=0,244+1&gt;AH!$U$6,AND(AH!$M$5="Bloomberg",AH!$U$5=0)),"",IFERROR(IF(AND(AH!$U$12=1,244+1=AH!$U$6),TODAY(),IF(AH!$U$5=1,INDEX('Live History'!$A$5:$A$3004,AH!$U$7+244),INDEX('AH History'!$A$5:$A$1380,AH!$U$7+244))),""))</f>
        <v/>
      </c>
      <c r="B249" s="33">
        <f>IFERROR(IF(AH!$U$11=1,NA(),$J249/$E249-1),NA())</f>
        <v/>
      </c>
      <c r="C249" s="269">
        <f>IFERROR(100*$E249/$E$5,NA())</f>
        <v/>
      </c>
      <c r="D249" s="269">
        <f>IFERROR(100*$J249/$J$5,NA())</f>
        <v/>
      </c>
      <c r="E249" s="32">
        <f>IFERROR(IF(AND(ISNUMBER($A249),N(IF(AND(AH!$U$12=1,244+1=AH!$U$6),IF(AH!$U$4=0,"unavailable",INDEX('Market Data'!$AN$5:$AN$66,AH!$U$4)),IF(AH!$U$5=1,INDEX('Live History'!$B$5:$B$3004,$K249),INDEX('AH History'!$D$5:$GG$1380,$K249,AH!$U$10))))&gt;0),IF(AND(AH!$U$12=1,244+1=AH!$U$6),IF(AH!$U$4=0,"unavailable",INDEX('Market Data'!$AN$5:$AN$66,AH!$U$4)),IF(AH!$U$5=1,INDEX('Live History'!$B$5:$B$3004,$K249),INDEX('AH History'!$D$5:$GG$1380,$K249,AH!$U$10))),NA()),NA())</f>
        <v/>
      </c>
      <c r="F249" s="32">
        <f>IFERROR(IF(ISNUMBER($A249),IF(AND(AH!$U$12=1,244+1=AH!$U$6),IF(AH!$U$4=0,"unavailable",INDEX('Market Data'!$AO$5:$AO$66,AH!$U$4)),IF(AH!$U$5=1,INDEX('Live History'!$E$5:$E$3004,MATCH($A249,'Live History'!$D$5:$D$3004,1)),INDEX('AH History'!$D$5:$GG$1380,$K249,AH!$U$10+1))),NA()),NA())</f>
        <v/>
      </c>
      <c r="G249" s="34">
        <f>IFERROR(IF(ISNUMBER($A249),IF(AND(AH!$U$12=1,244+1=AH!$U$6),IF(AH!$U$4=0,"unavailable",INDEX('Market Data'!$AK$5:$AK$66,AH!$U$4)),IF(AH!$U$5=1,INDEX('Live History'!$D$5:$D$3004,MATCH($A249,'Live History'!$D$5:$D$3004,1)),INDEX('AH History'!$D$5:$GG$1380,$K249,AH!$U$10+2))),NA()),NA())</f>
        <v/>
      </c>
      <c r="H249" s="266">
        <f>IFERROR(IF(ISNUMBER($A249),IF(AND(AH!$U$12=1,244+1=AH!$U$6),IF(AH!$U$4=0,"unavailable",INDEX('Market Data'!$AP$5:$AP$66,AH!$U$4)),IF(AH!$U$5=1,INDEX('Live History'!$H$5:$H$3004,MATCH($A249,'Live History'!$G$5:$G$3004,1)),INDEX('AH History'!$B$5:$B$1380,$K249))),NA()),NA())</f>
        <v/>
      </c>
      <c r="I249" s="34">
        <f>IFERROR(IF(ISNUMBER($A249),IF(AND(AH!$U$12=1,244+1=AH!$U$6),TODAY(),IF(AH!$U$5=1,INDEX('Live History'!$G$5:$G$3004,MATCH($A249,'Live History'!$G$5:$G$3004,1)),INDEX('AH History'!$C$5:$C$1380,$K249))),NA()),NA())</f>
        <v/>
      </c>
      <c r="J249" s="32">
        <f>IFERROR(IF(AND($F249&gt;0,$H249&gt;0,$A249-$G249&lt;=10,$A249-$I249&lt;=5,$G249&gt;0,$I249&gt;0),$F249*$H249,NA()),NA())</f>
        <v/>
      </c>
      <c r="K249" s="15">
        <f>IF($A249="","",IF(AH!$U$5=1,IFERROR(MATCH($A249,'Live History'!$A$5:$A$3004,0),0),AH!$U$7+244))</f>
        <v/>
      </c>
      <c r="L249" s="15">
        <f>IF(ISNUMBER(A249),TEXT(A249,"dd-mmm-yy"),"")</f>
        <v/>
      </c>
    </row>
    <row r="250">
      <c r="A250" s="14">
        <f>IF(OR(AH!$U$4=0,245+1&gt;AH!$U$6,AND(AH!$M$5="Bloomberg",AH!$U$5=0)),"",IFERROR(IF(AND(AH!$U$12=1,245+1=AH!$U$6),TODAY(),IF(AH!$U$5=1,INDEX('Live History'!$A$5:$A$3004,AH!$U$7+245),INDEX('AH History'!$A$5:$A$1380,AH!$U$7+245))),""))</f>
        <v/>
      </c>
      <c r="B250" s="33">
        <f>IFERROR(IF(AH!$U$11=1,NA(),$J250/$E250-1),NA())</f>
        <v/>
      </c>
      <c r="C250" s="269">
        <f>IFERROR(100*$E250/$E$5,NA())</f>
        <v/>
      </c>
      <c r="D250" s="269">
        <f>IFERROR(100*$J250/$J$5,NA())</f>
        <v/>
      </c>
      <c r="E250" s="32">
        <f>IFERROR(IF(AND(ISNUMBER($A250),N(IF(AND(AH!$U$12=1,245+1=AH!$U$6),IF(AH!$U$4=0,"unavailable",INDEX('Market Data'!$AN$5:$AN$66,AH!$U$4)),IF(AH!$U$5=1,INDEX('Live History'!$B$5:$B$3004,$K250),INDEX('AH History'!$D$5:$GG$1380,$K250,AH!$U$10))))&gt;0),IF(AND(AH!$U$12=1,245+1=AH!$U$6),IF(AH!$U$4=0,"unavailable",INDEX('Market Data'!$AN$5:$AN$66,AH!$U$4)),IF(AH!$U$5=1,INDEX('Live History'!$B$5:$B$3004,$K250),INDEX('AH History'!$D$5:$GG$1380,$K250,AH!$U$10))),NA()),NA())</f>
        <v/>
      </c>
      <c r="F250" s="32">
        <f>IFERROR(IF(ISNUMBER($A250),IF(AND(AH!$U$12=1,245+1=AH!$U$6),IF(AH!$U$4=0,"unavailable",INDEX('Market Data'!$AO$5:$AO$66,AH!$U$4)),IF(AH!$U$5=1,INDEX('Live History'!$E$5:$E$3004,MATCH($A250,'Live History'!$D$5:$D$3004,1)),INDEX('AH History'!$D$5:$GG$1380,$K250,AH!$U$10+1))),NA()),NA())</f>
        <v/>
      </c>
      <c r="G250" s="34">
        <f>IFERROR(IF(ISNUMBER($A250),IF(AND(AH!$U$12=1,245+1=AH!$U$6),IF(AH!$U$4=0,"unavailable",INDEX('Market Data'!$AK$5:$AK$66,AH!$U$4)),IF(AH!$U$5=1,INDEX('Live History'!$D$5:$D$3004,MATCH($A250,'Live History'!$D$5:$D$3004,1)),INDEX('AH History'!$D$5:$GG$1380,$K250,AH!$U$10+2))),NA()),NA())</f>
        <v/>
      </c>
      <c r="H250" s="266">
        <f>IFERROR(IF(ISNUMBER($A250),IF(AND(AH!$U$12=1,245+1=AH!$U$6),IF(AH!$U$4=0,"unavailable",INDEX('Market Data'!$AP$5:$AP$66,AH!$U$4)),IF(AH!$U$5=1,INDEX('Live History'!$H$5:$H$3004,MATCH($A250,'Live History'!$G$5:$G$3004,1)),INDEX('AH History'!$B$5:$B$1380,$K250))),NA()),NA())</f>
        <v/>
      </c>
      <c r="I250" s="34">
        <f>IFERROR(IF(ISNUMBER($A250),IF(AND(AH!$U$12=1,245+1=AH!$U$6),TODAY(),IF(AH!$U$5=1,INDEX('Live History'!$G$5:$G$3004,MATCH($A250,'Live History'!$G$5:$G$3004,1)),INDEX('AH History'!$C$5:$C$1380,$K250))),NA()),NA())</f>
        <v/>
      </c>
      <c r="J250" s="32">
        <f>IFERROR(IF(AND($F250&gt;0,$H250&gt;0,$A250-$G250&lt;=10,$A250-$I250&lt;=5,$G250&gt;0,$I250&gt;0),$F250*$H250,NA()),NA())</f>
        <v/>
      </c>
      <c r="K250" s="15">
        <f>IF($A250="","",IF(AH!$U$5=1,IFERROR(MATCH($A250,'Live History'!$A$5:$A$3004,0),0),AH!$U$7+245))</f>
        <v/>
      </c>
      <c r="L250" s="15">
        <f>IF(ISNUMBER(A250),TEXT(A250,"dd-mmm-yy"),"")</f>
        <v/>
      </c>
    </row>
    <row r="251">
      <c r="A251" s="14">
        <f>IF(OR(AH!$U$4=0,246+1&gt;AH!$U$6,AND(AH!$M$5="Bloomberg",AH!$U$5=0)),"",IFERROR(IF(AND(AH!$U$12=1,246+1=AH!$U$6),TODAY(),IF(AH!$U$5=1,INDEX('Live History'!$A$5:$A$3004,AH!$U$7+246),INDEX('AH History'!$A$5:$A$1380,AH!$U$7+246))),""))</f>
        <v/>
      </c>
      <c r="B251" s="33">
        <f>IFERROR(IF(AH!$U$11=1,NA(),$J251/$E251-1),NA())</f>
        <v/>
      </c>
      <c r="C251" s="269">
        <f>IFERROR(100*$E251/$E$5,NA())</f>
        <v/>
      </c>
      <c r="D251" s="269">
        <f>IFERROR(100*$J251/$J$5,NA())</f>
        <v/>
      </c>
      <c r="E251" s="32">
        <f>IFERROR(IF(AND(ISNUMBER($A251),N(IF(AND(AH!$U$12=1,246+1=AH!$U$6),IF(AH!$U$4=0,"unavailable",INDEX('Market Data'!$AN$5:$AN$66,AH!$U$4)),IF(AH!$U$5=1,INDEX('Live History'!$B$5:$B$3004,$K251),INDEX('AH History'!$D$5:$GG$1380,$K251,AH!$U$10))))&gt;0),IF(AND(AH!$U$12=1,246+1=AH!$U$6),IF(AH!$U$4=0,"unavailable",INDEX('Market Data'!$AN$5:$AN$66,AH!$U$4)),IF(AH!$U$5=1,INDEX('Live History'!$B$5:$B$3004,$K251),INDEX('AH History'!$D$5:$GG$1380,$K251,AH!$U$10))),NA()),NA())</f>
        <v/>
      </c>
      <c r="F251" s="32">
        <f>IFERROR(IF(ISNUMBER($A251),IF(AND(AH!$U$12=1,246+1=AH!$U$6),IF(AH!$U$4=0,"unavailable",INDEX('Market Data'!$AO$5:$AO$66,AH!$U$4)),IF(AH!$U$5=1,INDEX('Live History'!$E$5:$E$3004,MATCH($A251,'Live History'!$D$5:$D$3004,1)),INDEX('AH History'!$D$5:$GG$1380,$K251,AH!$U$10+1))),NA()),NA())</f>
        <v/>
      </c>
      <c r="G251" s="34">
        <f>IFERROR(IF(ISNUMBER($A251),IF(AND(AH!$U$12=1,246+1=AH!$U$6),IF(AH!$U$4=0,"unavailable",INDEX('Market Data'!$AK$5:$AK$66,AH!$U$4)),IF(AH!$U$5=1,INDEX('Live History'!$D$5:$D$3004,MATCH($A251,'Live History'!$D$5:$D$3004,1)),INDEX('AH History'!$D$5:$GG$1380,$K251,AH!$U$10+2))),NA()),NA())</f>
        <v/>
      </c>
      <c r="H251" s="266">
        <f>IFERROR(IF(ISNUMBER($A251),IF(AND(AH!$U$12=1,246+1=AH!$U$6),IF(AH!$U$4=0,"unavailable",INDEX('Market Data'!$AP$5:$AP$66,AH!$U$4)),IF(AH!$U$5=1,INDEX('Live History'!$H$5:$H$3004,MATCH($A251,'Live History'!$G$5:$G$3004,1)),INDEX('AH History'!$B$5:$B$1380,$K251))),NA()),NA())</f>
        <v/>
      </c>
      <c r="I251" s="34">
        <f>IFERROR(IF(ISNUMBER($A251),IF(AND(AH!$U$12=1,246+1=AH!$U$6),TODAY(),IF(AH!$U$5=1,INDEX('Live History'!$G$5:$G$3004,MATCH($A251,'Live History'!$G$5:$G$3004,1)),INDEX('AH History'!$C$5:$C$1380,$K251))),NA()),NA())</f>
        <v/>
      </c>
      <c r="J251" s="32">
        <f>IFERROR(IF(AND($F251&gt;0,$H251&gt;0,$A251-$G251&lt;=10,$A251-$I251&lt;=5,$G251&gt;0,$I251&gt;0),$F251*$H251,NA()),NA())</f>
        <v/>
      </c>
      <c r="K251" s="15">
        <f>IF($A251="","",IF(AH!$U$5=1,IFERROR(MATCH($A251,'Live History'!$A$5:$A$3004,0),0),AH!$U$7+246))</f>
        <v/>
      </c>
      <c r="L251" s="15">
        <f>IF(ISNUMBER(A251),TEXT(A251,"dd-mmm-yy"),"")</f>
        <v/>
      </c>
    </row>
    <row r="252">
      <c r="A252" s="14">
        <f>IF(OR(AH!$U$4=0,247+1&gt;AH!$U$6,AND(AH!$M$5="Bloomberg",AH!$U$5=0)),"",IFERROR(IF(AND(AH!$U$12=1,247+1=AH!$U$6),TODAY(),IF(AH!$U$5=1,INDEX('Live History'!$A$5:$A$3004,AH!$U$7+247),INDEX('AH History'!$A$5:$A$1380,AH!$U$7+247))),""))</f>
        <v/>
      </c>
      <c r="B252" s="33">
        <f>IFERROR(IF(AH!$U$11=1,NA(),$J252/$E252-1),NA())</f>
        <v/>
      </c>
      <c r="C252" s="269">
        <f>IFERROR(100*$E252/$E$5,NA())</f>
        <v/>
      </c>
      <c r="D252" s="269">
        <f>IFERROR(100*$J252/$J$5,NA())</f>
        <v/>
      </c>
      <c r="E252" s="32">
        <f>IFERROR(IF(AND(ISNUMBER($A252),N(IF(AND(AH!$U$12=1,247+1=AH!$U$6),IF(AH!$U$4=0,"unavailable",INDEX('Market Data'!$AN$5:$AN$66,AH!$U$4)),IF(AH!$U$5=1,INDEX('Live History'!$B$5:$B$3004,$K252),INDEX('AH History'!$D$5:$GG$1380,$K252,AH!$U$10))))&gt;0),IF(AND(AH!$U$12=1,247+1=AH!$U$6),IF(AH!$U$4=0,"unavailable",INDEX('Market Data'!$AN$5:$AN$66,AH!$U$4)),IF(AH!$U$5=1,INDEX('Live History'!$B$5:$B$3004,$K252),INDEX('AH History'!$D$5:$GG$1380,$K252,AH!$U$10))),NA()),NA())</f>
        <v/>
      </c>
      <c r="F252" s="32">
        <f>IFERROR(IF(ISNUMBER($A252),IF(AND(AH!$U$12=1,247+1=AH!$U$6),IF(AH!$U$4=0,"unavailable",INDEX('Market Data'!$AO$5:$AO$66,AH!$U$4)),IF(AH!$U$5=1,INDEX('Live History'!$E$5:$E$3004,MATCH($A252,'Live History'!$D$5:$D$3004,1)),INDEX('AH History'!$D$5:$GG$1380,$K252,AH!$U$10+1))),NA()),NA())</f>
        <v/>
      </c>
      <c r="G252" s="34">
        <f>IFERROR(IF(ISNUMBER($A252),IF(AND(AH!$U$12=1,247+1=AH!$U$6),IF(AH!$U$4=0,"unavailable",INDEX('Market Data'!$AK$5:$AK$66,AH!$U$4)),IF(AH!$U$5=1,INDEX('Live History'!$D$5:$D$3004,MATCH($A252,'Live History'!$D$5:$D$3004,1)),INDEX('AH History'!$D$5:$GG$1380,$K252,AH!$U$10+2))),NA()),NA())</f>
        <v/>
      </c>
      <c r="H252" s="266">
        <f>IFERROR(IF(ISNUMBER($A252),IF(AND(AH!$U$12=1,247+1=AH!$U$6),IF(AH!$U$4=0,"unavailable",INDEX('Market Data'!$AP$5:$AP$66,AH!$U$4)),IF(AH!$U$5=1,INDEX('Live History'!$H$5:$H$3004,MATCH($A252,'Live History'!$G$5:$G$3004,1)),INDEX('AH History'!$B$5:$B$1380,$K252))),NA()),NA())</f>
        <v/>
      </c>
      <c r="I252" s="34">
        <f>IFERROR(IF(ISNUMBER($A252),IF(AND(AH!$U$12=1,247+1=AH!$U$6),TODAY(),IF(AH!$U$5=1,INDEX('Live History'!$G$5:$G$3004,MATCH($A252,'Live History'!$G$5:$G$3004,1)),INDEX('AH History'!$C$5:$C$1380,$K252))),NA()),NA())</f>
        <v/>
      </c>
      <c r="J252" s="32">
        <f>IFERROR(IF(AND($F252&gt;0,$H252&gt;0,$A252-$G252&lt;=10,$A252-$I252&lt;=5,$G252&gt;0,$I252&gt;0),$F252*$H252,NA()),NA())</f>
        <v/>
      </c>
      <c r="K252" s="15">
        <f>IF($A252="","",IF(AH!$U$5=1,IFERROR(MATCH($A252,'Live History'!$A$5:$A$3004,0),0),AH!$U$7+247))</f>
        <v/>
      </c>
      <c r="L252" s="15">
        <f>IF(ISNUMBER(A252),TEXT(A252,"dd-mmm-yy"),"")</f>
        <v/>
      </c>
    </row>
    <row r="253">
      <c r="A253" s="14">
        <f>IF(OR(AH!$U$4=0,248+1&gt;AH!$U$6,AND(AH!$M$5="Bloomberg",AH!$U$5=0)),"",IFERROR(IF(AND(AH!$U$12=1,248+1=AH!$U$6),TODAY(),IF(AH!$U$5=1,INDEX('Live History'!$A$5:$A$3004,AH!$U$7+248),INDEX('AH History'!$A$5:$A$1380,AH!$U$7+248))),""))</f>
        <v/>
      </c>
      <c r="B253" s="33">
        <f>IFERROR(IF(AH!$U$11=1,NA(),$J253/$E253-1),NA())</f>
        <v/>
      </c>
      <c r="C253" s="269">
        <f>IFERROR(100*$E253/$E$5,NA())</f>
        <v/>
      </c>
      <c r="D253" s="269">
        <f>IFERROR(100*$J253/$J$5,NA())</f>
        <v/>
      </c>
      <c r="E253" s="32">
        <f>IFERROR(IF(AND(ISNUMBER($A253),N(IF(AND(AH!$U$12=1,248+1=AH!$U$6),IF(AH!$U$4=0,"unavailable",INDEX('Market Data'!$AN$5:$AN$66,AH!$U$4)),IF(AH!$U$5=1,INDEX('Live History'!$B$5:$B$3004,$K253),INDEX('AH History'!$D$5:$GG$1380,$K253,AH!$U$10))))&gt;0),IF(AND(AH!$U$12=1,248+1=AH!$U$6),IF(AH!$U$4=0,"unavailable",INDEX('Market Data'!$AN$5:$AN$66,AH!$U$4)),IF(AH!$U$5=1,INDEX('Live History'!$B$5:$B$3004,$K253),INDEX('AH History'!$D$5:$GG$1380,$K253,AH!$U$10))),NA()),NA())</f>
        <v/>
      </c>
      <c r="F253" s="32">
        <f>IFERROR(IF(ISNUMBER($A253),IF(AND(AH!$U$12=1,248+1=AH!$U$6),IF(AH!$U$4=0,"unavailable",INDEX('Market Data'!$AO$5:$AO$66,AH!$U$4)),IF(AH!$U$5=1,INDEX('Live History'!$E$5:$E$3004,MATCH($A253,'Live History'!$D$5:$D$3004,1)),INDEX('AH History'!$D$5:$GG$1380,$K253,AH!$U$10+1))),NA()),NA())</f>
        <v/>
      </c>
      <c r="G253" s="34">
        <f>IFERROR(IF(ISNUMBER($A253),IF(AND(AH!$U$12=1,248+1=AH!$U$6),IF(AH!$U$4=0,"unavailable",INDEX('Market Data'!$AK$5:$AK$66,AH!$U$4)),IF(AH!$U$5=1,INDEX('Live History'!$D$5:$D$3004,MATCH($A253,'Live History'!$D$5:$D$3004,1)),INDEX('AH History'!$D$5:$GG$1380,$K253,AH!$U$10+2))),NA()),NA())</f>
        <v/>
      </c>
      <c r="H253" s="266">
        <f>IFERROR(IF(ISNUMBER($A253),IF(AND(AH!$U$12=1,248+1=AH!$U$6),IF(AH!$U$4=0,"unavailable",INDEX('Market Data'!$AP$5:$AP$66,AH!$U$4)),IF(AH!$U$5=1,INDEX('Live History'!$H$5:$H$3004,MATCH($A253,'Live History'!$G$5:$G$3004,1)),INDEX('AH History'!$B$5:$B$1380,$K253))),NA()),NA())</f>
        <v/>
      </c>
      <c r="I253" s="34">
        <f>IFERROR(IF(ISNUMBER($A253),IF(AND(AH!$U$12=1,248+1=AH!$U$6),TODAY(),IF(AH!$U$5=1,INDEX('Live History'!$G$5:$G$3004,MATCH($A253,'Live History'!$G$5:$G$3004,1)),INDEX('AH History'!$C$5:$C$1380,$K253))),NA()),NA())</f>
        <v/>
      </c>
      <c r="J253" s="32">
        <f>IFERROR(IF(AND($F253&gt;0,$H253&gt;0,$A253-$G253&lt;=10,$A253-$I253&lt;=5,$G253&gt;0,$I253&gt;0),$F253*$H253,NA()),NA())</f>
        <v/>
      </c>
      <c r="K253" s="15">
        <f>IF($A253="","",IF(AH!$U$5=1,IFERROR(MATCH($A253,'Live History'!$A$5:$A$3004,0),0),AH!$U$7+248))</f>
        <v/>
      </c>
      <c r="L253" s="15">
        <f>IF(ISNUMBER(A253),TEXT(A253,"dd-mmm-yy"),"")</f>
        <v/>
      </c>
    </row>
    <row r="254">
      <c r="A254" s="14">
        <f>IF(OR(AH!$U$4=0,249+1&gt;AH!$U$6,AND(AH!$M$5="Bloomberg",AH!$U$5=0)),"",IFERROR(IF(AND(AH!$U$12=1,249+1=AH!$U$6),TODAY(),IF(AH!$U$5=1,INDEX('Live History'!$A$5:$A$3004,AH!$U$7+249),INDEX('AH History'!$A$5:$A$1380,AH!$U$7+249))),""))</f>
        <v/>
      </c>
      <c r="B254" s="33">
        <f>IFERROR(IF(AH!$U$11=1,NA(),$J254/$E254-1),NA())</f>
        <v/>
      </c>
      <c r="C254" s="269">
        <f>IFERROR(100*$E254/$E$5,NA())</f>
        <v/>
      </c>
      <c r="D254" s="269">
        <f>IFERROR(100*$J254/$J$5,NA())</f>
        <v/>
      </c>
      <c r="E254" s="32">
        <f>IFERROR(IF(AND(ISNUMBER($A254),N(IF(AND(AH!$U$12=1,249+1=AH!$U$6),IF(AH!$U$4=0,"unavailable",INDEX('Market Data'!$AN$5:$AN$66,AH!$U$4)),IF(AH!$U$5=1,INDEX('Live History'!$B$5:$B$3004,$K254),INDEX('AH History'!$D$5:$GG$1380,$K254,AH!$U$10))))&gt;0),IF(AND(AH!$U$12=1,249+1=AH!$U$6),IF(AH!$U$4=0,"unavailable",INDEX('Market Data'!$AN$5:$AN$66,AH!$U$4)),IF(AH!$U$5=1,INDEX('Live History'!$B$5:$B$3004,$K254),INDEX('AH History'!$D$5:$GG$1380,$K254,AH!$U$10))),NA()),NA())</f>
        <v/>
      </c>
      <c r="F254" s="32">
        <f>IFERROR(IF(ISNUMBER($A254),IF(AND(AH!$U$12=1,249+1=AH!$U$6),IF(AH!$U$4=0,"unavailable",INDEX('Market Data'!$AO$5:$AO$66,AH!$U$4)),IF(AH!$U$5=1,INDEX('Live History'!$E$5:$E$3004,MATCH($A254,'Live History'!$D$5:$D$3004,1)),INDEX('AH History'!$D$5:$GG$1380,$K254,AH!$U$10+1))),NA()),NA())</f>
        <v/>
      </c>
      <c r="G254" s="34">
        <f>IFERROR(IF(ISNUMBER($A254),IF(AND(AH!$U$12=1,249+1=AH!$U$6),IF(AH!$U$4=0,"unavailable",INDEX('Market Data'!$AK$5:$AK$66,AH!$U$4)),IF(AH!$U$5=1,INDEX('Live History'!$D$5:$D$3004,MATCH($A254,'Live History'!$D$5:$D$3004,1)),INDEX('AH History'!$D$5:$GG$1380,$K254,AH!$U$10+2))),NA()),NA())</f>
        <v/>
      </c>
      <c r="H254" s="266">
        <f>IFERROR(IF(ISNUMBER($A254),IF(AND(AH!$U$12=1,249+1=AH!$U$6),IF(AH!$U$4=0,"unavailable",INDEX('Market Data'!$AP$5:$AP$66,AH!$U$4)),IF(AH!$U$5=1,INDEX('Live History'!$H$5:$H$3004,MATCH($A254,'Live History'!$G$5:$G$3004,1)),INDEX('AH History'!$B$5:$B$1380,$K254))),NA()),NA())</f>
        <v/>
      </c>
      <c r="I254" s="34">
        <f>IFERROR(IF(ISNUMBER($A254),IF(AND(AH!$U$12=1,249+1=AH!$U$6),TODAY(),IF(AH!$U$5=1,INDEX('Live History'!$G$5:$G$3004,MATCH($A254,'Live History'!$G$5:$G$3004,1)),INDEX('AH History'!$C$5:$C$1380,$K254))),NA()),NA())</f>
        <v/>
      </c>
      <c r="J254" s="32">
        <f>IFERROR(IF(AND($F254&gt;0,$H254&gt;0,$A254-$G254&lt;=10,$A254-$I254&lt;=5,$G254&gt;0,$I254&gt;0),$F254*$H254,NA()),NA())</f>
        <v/>
      </c>
      <c r="K254" s="15">
        <f>IF($A254="","",IF(AH!$U$5=1,IFERROR(MATCH($A254,'Live History'!$A$5:$A$3004,0),0),AH!$U$7+249))</f>
        <v/>
      </c>
      <c r="L254" s="15">
        <f>IF(ISNUMBER(A254),TEXT(A254,"dd-mmm-yy"),"")</f>
        <v/>
      </c>
    </row>
    <row r="255">
      <c r="A255" s="14">
        <f>IF(OR(AH!$U$4=0,250+1&gt;AH!$U$6,AND(AH!$M$5="Bloomberg",AH!$U$5=0)),"",IFERROR(IF(AND(AH!$U$12=1,250+1=AH!$U$6),TODAY(),IF(AH!$U$5=1,INDEX('Live History'!$A$5:$A$3004,AH!$U$7+250),INDEX('AH History'!$A$5:$A$1380,AH!$U$7+250))),""))</f>
        <v/>
      </c>
      <c r="B255" s="33">
        <f>IFERROR(IF(AH!$U$11=1,NA(),$J255/$E255-1),NA())</f>
        <v/>
      </c>
      <c r="C255" s="269">
        <f>IFERROR(100*$E255/$E$5,NA())</f>
        <v/>
      </c>
      <c r="D255" s="269">
        <f>IFERROR(100*$J255/$J$5,NA())</f>
        <v/>
      </c>
      <c r="E255" s="32">
        <f>IFERROR(IF(AND(ISNUMBER($A255),N(IF(AND(AH!$U$12=1,250+1=AH!$U$6),IF(AH!$U$4=0,"unavailable",INDEX('Market Data'!$AN$5:$AN$66,AH!$U$4)),IF(AH!$U$5=1,INDEX('Live History'!$B$5:$B$3004,$K255),INDEX('AH History'!$D$5:$GG$1380,$K255,AH!$U$10))))&gt;0),IF(AND(AH!$U$12=1,250+1=AH!$U$6),IF(AH!$U$4=0,"unavailable",INDEX('Market Data'!$AN$5:$AN$66,AH!$U$4)),IF(AH!$U$5=1,INDEX('Live History'!$B$5:$B$3004,$K255),INDEX('AH History'!$D$5:$GG$1380,$K255,AH!$U$10))),NA()),NA())</f>
        <v/>
      </c>
      <c r="F255" s="32">
        <f>IFERROR(IF(ISNUMBER($A255),IF(AND(AH!$U$12=1,250+1=AH!$U$6),IF(AH!$U$4=0,"unavailable",INDEX('Market Data'!$AO$5:$AO$66,AH!$U$4)),IF(AH!$U$5=1,INDEX('Live History'!$E$5:$E$3004,MATCH($A255,'Live History'!$D$5:$D$3004,1)),INDEX('AH History'!$D$5:$GG$1380,$K255,AH!$U$10+1))),NA()),NA())</f>
        <v/>
      </c>
      <c r="G255" s="34">
        <f>IFERROR(IF(ISNUMBER($A255),IF(AND(AH!$U$12=1,250+1=AH!$U$6),IF(AH!$U$4=0,"unavailable",INDEX('Market Data'!$AK$5:$AK$66,AH!$U$4)),IF(AH!$U$5=1,INDEX('Live History'!$D$5:$D$3004,MATCH($A255,'Live History'!$D$5:$D$3004,1)),INDEX('AH History'!$D$5:$GG$1380,$K255,AH!$U$10+2))),NA()),NA())</f>
        <v/>
      </c>
      <c r="H255" s="266">
        <f>IFERROR(IF(ISNUMBER($A255),IF(AND(AH!$U$12=1,250+1=AH!$U$6),IF(AH!$U$4=0,"unavailable",INDEX('Market Data'!$AP$5:$AP$66,AH!$U$4)),IF(AH!$U$5=1,INDEX('Live History'!$H$5:$H$3004,MATCH($A255,'Live History'!$G$5:$G$3004,1)),INDEX('AH History'!$B$5:$B$1380,$K255))),NA()),NA())</f>
        <v/>
      </c>
      <c r="I255" s="34">
        <f>IFERROR(IF(ISNUMBER($A255),IF(AND(AH!$U$12=1,250+1=AH!$U$6),TODAY(),IF(AH!$U$5=1,INDEX('Live History'!$G$5:$G$3004,MATCH($A255,'Live History'!$G$5:$G$3004,1)),INDEX('AH History'!$C$5:$C$1380,$K255))),NA()),NA())</f>
        <v/>
      </c>
      <c r="J255" s="32">
        <f>IFERROR(IF(AND($F255&gt;0,$H255&gt;0,$A255-$G255&lt;=10,$A255-$I255&lt;=5,$G255&gt;0,$I255&gt;0),$F255*$H255,NA()),NA())</f>
        <v/>
      </c>
      <c r="K255" s="15">
        <f>IF($A255="","",IF(AH!$U$5=1,IFERROR(MATCH($A255,'Live History'!$A$5:$A$3004,0),0),AH!$U$7+250))</f>
        <v/>
      </c>
      <c r="L255" s="15">
        <f>IF(ISNUMBER(A255),TEXT(A255,"dd-mmm-yy"),"")</f>
        <v/>
      </c>
    </row>
    <row r="256">
      <c r="A256" s="14">
        <f>IF(OR(AH!$U$4=0,251+1&gt;AH!$U$6,AND(AH!$M$5="Bloomberg",AH!$U$5=0)),"",IFERROR(IF(AND(AH!$U$12=1,251+1=AH!$U$6),TODAY(),IF(AH!$U$5=1,INDEX('Live History'!$A$5:$A$3004,AH!$U$7+251),INDEX('AH History'!$A$5:$A$1380,AH!$U$7+251))),""))</f>
        <v/>
      </c>
      <c r="B256" s="33">
        <f>IFERROR(IF(AH!$U$11=1,NA(),$J256/$E256-1),NA())</f>
        <v/>
      </c>
      <c r="C256" s="269">
        <f>IFERROR(100*$E256/$E$5,NA())</f>
        <v/>
      </c>
      <c r="D256" s="269">
        <f>IFERROR(100*$J256/$J$5,NA())</f>
        <v/>
      </c>
      <c r="E256" s="32">
        <f>IFERROR(IF(AND(ISNUMBER($A256),N(IF(AND(AH!$U$12=1,251+1=AH!$U$6),IF(AH!$U$4=0,"unavailable",INDEX('Market Data'!$AN$5:$AN$66,AH!$U$4)),IF(AH!$U$5=1,INDEX('Live History'!$B$5:$B$3004,$K256),INDEX('AH History'!$D$5:$GG$1380,$K256,AH!$U$10))))&gt;0),IF(AND(AH!$U$12=1,251+1=AH!$U$6),IF(AH!$U$4=0,"unavailable",INDEX('Market Data'!$AN$5:$AN$66,AH!$U$4)),IF(AH!$U$5=1,INDEX('Live History'!$B$5:$B$3004,$K256),INDEX('AH History'!$D$5:$GG$1380,$K256,AH!$U$10))),NA()),NA())</f>
        <v/>
      </c>
      <c r="F256" s="32">
        <f>IFERROR(IF(ISNUMBER($A256),IF(AND(AH!$U$12=1,251+1=AH!$U$6),IF(AH!$U$4=0,"unavailable",INDEX('Market Data'!$AO$5:$AO$66,AH!$U$4)),IF(AH!$U$5=1,INDEX('Live History'!$E$5:$E$3004,MATCH($A256,'Live History'!$D$5:$D$3004,1)),INDEX('AH History'!$D$5:$GG$1380,$K256,AH!$U$10+1))),NA()),NA())</f>
        <v/>
      </c>
      <c r="G256" s="34">
        <f>IFERROR(IF(ISNUMBER($A256),IF(AND(AH!$U$12=1,251+1=AH!$U$6),IF(AH!$U$4=0,"unavailable",INDEX('Market Data'!$AK$5:$AK$66,AH!$U$4)),IF(AH!$U$5=1,INDEX('Live History'!$D$5:$D$3004,MATCH($A256,'Live History'!$D$5:$D$3004,1)),INDEX('AH History'!$D$5:$GG$1380,$K256,AH!$U$10+2))),NA()),NA())</f>
        <v/>
      </c>
      <c r="H256" s="266">
        <f>IFERROR(IF(ISNUMBER($A256),IF(AND(AH!$U$12=1,251+1=AH!$U$6),IF(AH!$U$4=0,"unavailable",INDEX('Market Data'!$AP$5:$AP$66,AH!$U$4)),IF(AH!$U$5=1,INDEX('Live History'!$H$5:$H$3004,MATCH($A256,'Live History'!$G$5:$G$3004,1)),INDEX('AH History'!$B$5:$B$1380,$K256))),NA()),NA())</f>
        <v/>
      </c>
      <c r="I256" s="34">
        <f>IFERROR(IF(ISNUMBER($A256),IF(AND(AH!$U$12=1,251+1=AH!$U$6),TODAY(),IF(AH!$U$5=1,INDEX('Live History'!$G$5:$G$3004,MATCH($A256,'Live History'!$G$5:$G$3004,1)),INDEX('AH History'!$C$5:$C$1380,$K256))),NA()),NA())</f>
        <v/>
      </c>
      <c r="J256" s="32">
        <f>IFERROR(IF(AND($F256&gt;0,$H256&gt;0,$A256-$G256&lt;=10,$A256-$I256&lt;=5,$G256&gt;0,$I256&gt;0),$F256*$H256,NA()),NA())</f>
        <v/>
      </c>
      <c r="K256" s="15">
        <f>IF($A256="","",IF(AH!$U$5=1,IFERROR(MATCH($A256,'Live History'!$A$5:$A$3004,0),0),AH!$U$7+251))</f>
        <v/>
      </c>
      <c r="L256" s="15">
        <f>IF(ISNUMBER(A256),TEXT(A256,"dd-mmm-yy"),"")</f>
        <v/>
      </c>
    </row>
    <row r="257">
      <c r="A257" s="14">
        <f>IF(OR(AH!$U$4=0,252+1&gt;AH!$U$6,AND(AH!$M$5="Bloomberg",AH!$U$5=0)),"",IFERROR(IF(AND(AH!$U$12=1,252+1=AH!$U$6),TODAY(),IF(AH!$U$5=1,INDEX('Live History'!$A$5:$A$3004,AH!$U$7+252),INDEX('AH History'!$A$5:$A$1380,AH!$U$7+252))),""))</f>
        <v/>
      </c>
      <c r="B257" s="33">
        <f>IFERROR(IF(AH!$U$11=1,NA(),$J257/$E257-1),NA())</f>
        <v/>
      </c>
      <c r="C257" s="269">
        <f>IFERROR(100*$E257/$E$5,NA())</f>
        <v/>
      </c>
      <c r="D257" s="269">
        <f>IFERROR(100*$J257/$J$5,NA())</f>
        <v/>
      </c>
      <c r="E257" s="32">
        <f>IFERROR(IF(AND(ISNUMBER($A257),N(IF(AND(AH!$U$12=1,252+1=AH!$U$6),IF(AH!$U$4=0,"unavailable",INDEX('Market Data'!$AN$5:$AN$66,AH!$U$4)),IF(AH!$U$5=1,INDEX('Live History'!$B$5:$B$3004,$K257),INDEX('AH History'!$D$5:$GG$1380,$K257,AH!$U$10))))&gt;0),IF(AND(AH!$U$12=1,252+1=AH!$U$6),IF(AH!$U$4=0,"unavailable",INDEX('Market Data'!$AN$5:$AN$66,AH!$U$4)),IF(AH!$U$5=1,INDEX('Live History'!$B$5:$B$3004,$K257),INDEX('AH History'!$D$5:$GG$1380,$K257,AH!$U$10))),NA()),NA())</f>
        <v/>
      </c>
      <c r="F257" s="32">
        <f>IFERROR(IF(ISNUMBER($A257),IF(AND(AH!$U$12=1,252+1=AH!$U$6),IF(AH!$U$4=0,"unavailable",INDEX('Market Data'!$AO$5:$AO$66,AH!$U$4)),IF(AH!$U$5=1,INDEX('Live History'!$E$5:$E$3004,MATCH($A257,'Live History'!$D$5:$D$3004,1)),INDEX('AH History'!$D$5:$GG$1380,$K257,AH!$U$10+1))),NA()),NA())</f>
        <v/>
      </c>
      <c r="G257" s="34">
        <f>IFERROR(IF(ISNUMBER($A257),IF(AND(AH!$U$12=1,252+1=AH!$U$6),IF(AH!$U$4=0,"unavailable",INDEX('Market Data'!$AK$5:$AK$66,AH!$U$4)),IF(AH!$U$5=1,INDEX('Live History'!$D$5:$D$3004,MATCH($A257,'Live History'!$D$5:$D$3004,1)),INDEX('AH History'!$D$5:$GG$1380,$K257,AH!$U$10+2))),NA()),NA())</f>
        <v/>
      </c>
      <c r="H257" s="266">
        <f>IFERROR(IF(ISNUMBER($A257),IF(AND(AH!$U$12=1,252+1=AH!$U$6),IF(AH!$U$4=0,"unavailable",INDEX('Market Data'!$AP$5:$AP$66,AH!$U$4)),IF(AH!$U$5=1,INDEX('Live History'!$H$5:$H$3004,MATCH($A257,'Live History'!$G$5:$G$3004,1)),INDEX('AH History'!$B$5:$B$1380,$K257))),NA()),NA())</f>
        <v/>
      </c>
      <c r="I257" s="34">
        <f>IFERROR(IF(ISNUMBER($A257),IF(AND(AH!$U$12=1,252+1=AH!$U$6),TODAY(),IF(AH!$U$5=1,INDEX('Live History'!$G$5:$G$3004,MATCH($A257,'Live History'!$G$5:$G$3004,1)),INDEX('AH History'!$C$5:$C$1380,$K257))),NA()),NA())</f>
        <v/>
      </c>
      <c r="J257" s="32">
        <f>IFERROR(IF(AND($F257&gt;0,$H257&gt;0,$A257-$G257&lt;=10,$A257-$I257&lt;=5,$G257&gt;0,$I257&gt;0),$F257*$H257,NA()),NA())</f>
        <v/>
      </c>
      <c r="K257" s="15">
        <f>IF($A257="","",IF(AH!$U$5=1,IFERROR(MATCH($A257,'Live History'!$A$5:$A$3004,0),0),AH!$U$7+252))</f>
        <v/>
      </c>
      <c r="L257" s="15">
        <f>IF(ISNUMBER(A257),TEXT(A257,"dd-mmm-yy"),"")</f>
        <v/>
      </c>
    </row>
    <row r="258">
      <c r="A258" s="14">
        <f>IF(OR(AH!$U$4=0,253+1&gt;AH!$U$6,AND(AH!$M$5="Bloomberg",AH!$U$5=0)),"",IFERROR(IF(AND(AH!$U$12=1,253+1=AH!$U$6),TODAY(),IF(AH!$U$5=1,INDEX('Live History'!$A$5:$A$3004,AH!$U$7+253),INDEX('AH History'!$A$5:$A$1380,AH!$U$7+253))),""))</f>
        <v/>
      </c>
      <c r="B258" s="33">
        <f>IFERROR(IF(AH!$U$11=1,NA(),$J258/$E258-1),NA())</f>
        <v/>
      </c>
      <c r="C258" s="269">
        <f>IFERROR(100*$E258/$E$5,NA())</f>
        <v/>
      </c>
      <c r="D258" s="269">
        <f>IFERROR(100*$J258/$J$5,NA())</f>
        <v/>
      </c>
      <c r="E258" s="32">
        <f>IFERROR(IF(AND(ISNUMBER($A258),N(IF(AND(AH!$U$12=1,253+1=AH!$U$6),IF(AH!$U$4=0,"unavailable",INDEX('Market Data'!$AN$5:$AN$66,AH!$U$4)),IF(AH!$U$5=1,INDEX('Live History'!$B$5:$B$3004,$K258),INDEX('AH History'!$D$5:$GG$1380,$K258,AH!$U$10))))&gt;0),IF(AND(AH!$U$12=1,253+1=AH!$U$6),IF(AH!$U$4=0,"unavailable",INDEX('Market Data'!$AN$5:$AN$66,AH!$U$4)),IF(AH!$U$5=1,INDEX('Live History'!$B$5:$B$3004,$K258),INDEX('AH History'!$D$5:$GG$1380,$K258,AH!$U$10))),NA()),NA())</f>
        <v/>
      </c>
      <c r="F258" s="32">
        <f>IFERROR(IF(ISNUMBER($A258),IF(AND(AH!$U$12=1,253+1=AH!$U$6),IF(AH!$U$4=0,"unavailable",INDEX('Market Data'!$AO$5:$AO$66,AH!$U$4)),IF(AH!$U$5=1,INDEX('Live History'!$E$5:$E$3004,MATCH($A258,'Live History'!$D$5:$D$3004,1)),INDEX('AH History'!$D$5:$GG$1380,$K258,AH!$U$10+1))),NA()),NA())</f>
        <v/>
      </c>
      <c r="G258" s="34">
        <f>IFERROR(IF(ISNUMBER($A258),IF(AND(AH!$U$12=1,253+1=AH!$U$6),IF(AH!$U$4=0,"unavailable",INDEX('Market Data'!$AK$5:$AK$66,AH!$U$4)),IF(AH!$U$5=1,INDEX('Live History'!$D$5:$D$3004,MATCH($A258,'Live History'!$D$5:$D$3004,1)),INDEX('AH History'!$D$5:$GG$1380,$K258,AH!$U$10+2))),NA()),NA())</f>
        <v/>
      </c>
      <c r="H258" s="266">
        <f>IFERROR(IF(ISNUMBER($A258),IF(AND(AH!$U$12=1,253+1=AH!$U$6),IF(AH!$U$4=0,"unavailable",INDEX('Market Data'!$AP$5:$AP$66,AH!$U$4)),IF(AH!$U$5=1,INDEX('Live History'!$H$5:$H$3004,MATCH($A258,'Live History'!$G$5:$G$3004,1)),INDEX('AH History'!$B$5:$B$1380,$K258))),NA()),NA())</f>
        <v/>
      </c>
      <c r="I258" s="34">
        <f>IFERROR(IF(ISNUMBER($A258),IF(AND(AH!$U$12=1,253+1=AH!$U$6),TODAY(),IF(AH!$U$5=1,INDEX('Live History'!$G$5:$G$3004,MATCH($A258,'Live History'!$G$5:$G$3004,1)),INDEX('AH History'!$C$5:$C$1380,$K258))),NA()),NA())</f>
        <v/>
      </c>
      <c r="J258" s="32">
        <f>IFERROR(IF(AND($F258&gt;0,$H258&gt;0,$A258-$G258&lt;=10,$A258-$I258&lt;=5,$G258&gt;0,$I258&gt;0),$F258*$H258,NA()),NA())</f>
        <v/>
      </c>
      <c r="K258" s="15">
        <f>IF($A258="","",IF(AH!$U$5=1,IFERROR(MATCH($A258,'Live History'!$A$5:$A$3004,0),0),AH!$U$7+253))</f>
        <v/>
      </c>
      <c r="L258" s="15">
        <f>IF(ISNUMBER(A258),TEXT(A258,"dd-mmm-yy"),"")</f>
        <v/>
      </c>
    </row>
    <row r="259">
      <c r="A259" s="14">
        <f>IF(OR(AH!$U$4=0,254+1&gt;AH!$U$6,AND(AH!$M$5="Bloomberg",AH!$U$5=0)),"",IFERROR(IF(AND(AH!$U$12=1,254+1=AH!$U$6),TODAY(),IF(AH!$U$5=1,INDEX('Live History'!$A$5:$A$3004,AH!$U$7+254),INDEX('AH History'!$A$5:$A$1380,AH!$U$7+254))),""))</f>
        <v/>
      </c>
      <c r="B259" s="33">
        <f>IFERROR(IF(AH!$U$11=1,NA(),$J259/$E259-1),NA())</f>
        <v/>
      </c>
      <c r="C259" s="269">
        <f>IFERROR(100*$E259/$E$5,NA())</f>
        <v/>
      </c>
      <c r="D259" s="269">
        <f>IFERROR(100*$J259/$J$5,NA())</f>
        <v/>
      </c>
      <c r="E259" s="32">
        <f>IFERROR(IF(AND(ISNUMBER($A259),N(IF(AND(AH!$U$12=1,254+1=AH!$U$6),IF(AH!$U$4=0,"unavailable",INDEX('Market Data'!$AN$5:$AN$66,AH!$U$4)),IF(AH!$U$5=1,INDEX('Live History'!$B$5:$B$3004,$K259),INDEX('AH History'!$D$5:$GG$1380,$K259,AH!$U$10))))&gt;0),IF(AND(AH!$U$12=1,254+1=AH!$U$6),IF(AH!$U$4=0,"unavailable",INDEX('Market Data'!$AN$5:$AN$66,AH!$U$4)),IF(AH!$U$5=1,INDEX('Live History'!$B$5:$B$3004,$K259),INDEX('AH History'!$D$5:$GG$1380,$K259,AH!$U$10))),NA()),NA())</f>
        <v/>
      </c>
      <c r="F259" s="32">
        <f>IFERROR(IF(ISNUMBER($A259),IF(AND(AH!$U$12=1,254+1=AH!$U$6),IF(AH!$U$4=0,"unavailable",INDEX('Market Data'!$AO$5:$AO$66,AH!$U$4)),IF(AH!$U$5=1,INDEX('Live History'!$E$5:$E$3004,MATCH($A259,'Live History'!$D$5:$D$3004,1)),INDEX('AH History'!$D$5:$GG$1380,$K259,AH!$U$10+1))),NA()),NA())</f>
        <v/>
      </c>
      <c r="G259" s="34">
        <f>IFERROR(IF(ISNUMBER($A259),IF(AND(AH!$U$12=1,254+1=AH!$U$6),IF(AH!$U$4=0,"unavailable",INDEX('Market Data'!$AK$5:$AK$66,AH!$U$4)),IF(AH!$U$5=1,INDEX('Live History'!$D$5:$D$3004,MATCH($A259,'Live History'!$D$5:$D$3004,1)),INDEX('AH History'!$D$5:$GG$1380,$K259,AH!$U$10+2))),NA()),NA())</f>
        <v/>
      </c>
      <c r="H259" s="266">
        <f>IFERROR(IF(ISNUMBER($A259),IF(AND(AH!$U$12=1,254+1=AH!$U$6),IF(AH!$U$4=0,"unavailable",INDEX('Market Data'!$AP$5:$AP$66,AH!$U$4)),IF(AH!$U$5=1,INDEX('Live History'!$H$5:$H$3004,MATCH($A259,'Live History'!$G$5:$G$3004,1)),INDEX('AH History'!$B$5:$B$1380,$K259))),NA()),NA())</f>
        <v/>
      </c>
      <c r="I259" s="34">
        <f>IFERROR(IF(ISNUMBER($A259),IF(AND(AH!$U$12=1,254+1=AH!$U$6),TODAY(),IF(AH!$U$5=1,INDEX('Live History'!$G$5:$G$3004,MATCH($A259,'Live History'!$G$5:$G$3004,1)),INDEX('AH History'!$C$5:$C$1380,$K259))),NA()),NA())</f>
        <v/>
      </c>
      <c r="J259" s="32">
        <f>IFERROR(IF(AND($F259&gt;0,$H259&gt;0,$A259-$G259&lt;=10,$A259-$I259&lt;=5,$G259&gt;0,$I259&gt;0),$F259*$H259,NA()),NA())</f>
        <v/>
      </c>
      <c r="K259" s="15">
        <f>IF($A259="","",IF(AH!$U$5=1,IFERROR(MATCH($A259,'Live History'!$A$5:$A$3004,0),0),AH!$U$7+254))</f>
        <v/>
      </c>
      <c r="L259" s="15">
        <f>IF(ISNUMBER(A259),TEXT(A259,"dd-mmm-yy"),"")</f>
        <v/>
      </c>
    </row>
    <row r="260">
      <c r="A260" s="14">
        <f>IF(OR(AH!$U$4=0,255+1&gt;AH!$U$6,AND(AH!$M$5="Bloomberg",AH!$U$5=0)),"",IFERROR(IF(AND(AH!$U$12=1,255+1=AH!$U$6),TODAY(),IF(AH!$U$5=1,INDEX('Live History'!$A$5:$A$3004,AH!$U$7+255),INDEX('AH History'!$A$5:$A$1380,AH!$U$7+255))),""))</f>
        <v/>
      </c>
      <c r="B260" s="33">
        <f>IFERROR(IF(AH!$U$11=1,NA(),$J260/$E260-1),NA())</f>
        <v/>
      </c>
      <c r="C260" s="269">
        <f>IFERROR(100*$E260/$E$5,NA())</f>
        <v/>
      </c>
      <c r="D260" s="269">
        <f>IFERROR(100*$J260/$J$5,NA())</f>
        <v/>
      </c>
      <c r="E260" s="32">
        <f>IFERROR(IF(AND(ISNUMBER($A260),N(IF(AND(AH!$U$12=1,255+1=AH!$U$6),IF(AH!$U$4=0,"unavailable",INDEX('Market Data'!$AN$5:$AN$66,AH!$U$4)),IF(AH!$U$5=1,INDEX('Live History'!$B$5:$B$3004,$K260),INDEX('AH History'!$D$5:$GG$1380,$K260,AH!$U$10))))&gt;0),IF(AND(AH!$U$12=1,255+1=AH!$U$6),IF(AH!$U$4=0,"unavailable",INDEX('Market Data'!$AN$5:$AN$66,AH!$U$4)),IF(AH!$U$5=1,INDEX('Live History'!$B$5:$B$3004,$K260),INDEX('AH History'!$D$5:$GG$1380,$K260,AH!$U$10))),NA()),NA())</f>
        <v/>
      </c>
      <c r="F260" s="32">
        <f>IFERROR(IF(ISNUMBER($A260),IF(AND(AH!$U$12=1,255+1=AH!$U$6),IF(AH!$U$4=0,"unavailable",INDEX('Market Data'!$AO$5:$AO$66,AH!$U$4)),IF(AH!$U$5=1,INDEX('Live History'!$E$5:$E$3004,MATCH($A260,'Live History'!$D$5:$D$3004,1)),INDEX('AH History'!$D$5:$GG$1380,$K260,AH!$U$10+1))),NA()),NA())</f>
        <v/>
      </c>
      <c r="G260" s="34">
        <f>IFERROR(IF(ISNUMBER($A260),IF(AND(AH!$U$12=1,255+1=AH!$U$6),IF(AH!$U$4=0,"unavailable",INDEX('Market Data'!$AK$5:$AK$66,AH!$U$4)),IF(AH!$U$5=1,INDEX('Live History'!$D$5:$D$3004,MATCH($A260,'Live History'!$D$5:$D$3004,1)),INDEX('AH History'!$D$5:$GG$1380,$K260,AH!$U$10+2))),NA()),NA())</f>
        <v/>
      </c>
      <c r="H260" s="266">
        <f>IFERROR(IF(ISNUMBER($A260),IF(AND(AH!$U$12=1,255+1=AH!$U$6),IF(AH!$U$4=0,"unavailable",INDEX('Market Data'!$AP$5:$AP$66,AH!$U$4)),IF(AH!$U$5=1,INDEX('Live History'!$H$5:$H$3004,MATCH($A260,'Live History'!$G$5:$G$3004,1)),INDEX('AH History'!$B$5:$B$1380,$K260))),NA()),NA())</f>
        <v/>
      </c>
      <c r="I260" s="34">
        <f>IFERROR(IF(ISNUMBER($A260),IF(AND(AH!$U$12=1,255+1=AH!$U$6),TODAY(),IF(AH!$U$5=1,INDEX('Live History'!$G$5:$G$3004,MATCH($A260,'Live History'!$G$5:$G$3004,1)),INDEX('AH History'!$C$5:$C$1380,$K260))),NA()),NA())</f>
        <v/>
      </c>
      <c r="J260" s="32">
        <f>IFERROR(IF(AND($F260&gt;0,$H260&gt;0,$A260-$G260&lt;=10,$A260-$I260&lt;=5,$G260&gt;0,$I260&gt;0),$F260*$H260,NA()),NA())</f>
        <v/>
      </c>
      <c r="K260" s="15">
        <f>IF($A260="","",IF(AH!$U$5=1,IFERROR(MATCH($A260,'Live History'!$A$5:$A$3004,0),0),AH!$U$7+255))</f>
        <v/>
      </c>
      <c r="L260" s="15">
        <f>IF(ISNUMBER(A260),TEXT(A260,"dd-mmm-yy"),"")</f>
        <v/>
      </c>
    </row>
    <row r="261">
      <c r="A261" s="14">
        <f>IF(OR(AH!$U$4=0,256+1&gt;AH!$U$6,AND(AH!$M$5="Bloomberg",AH!$U$5=0)),"",IFERROR(IF(AND(AH!$U$12=1,256+1=AH!$U$6),TODAY(),IF(AH!$U$5=1,INDEX('Live History'!$A$5:$A$3004,AH!$U$7+256),INDEX('AH History'!$A$5:$A$1380,AH!$U$7+256))),""))</f>
        <v/>
      </c>
      <c r="B261" s="33">
        <f>IFERROR(IF(AH!$U$11=1,NA(),$J261/$E261-1),NA())</f>
        <v/>
      </c>
      <c r="C261" s="269">
        <f>IFERROR(100*$E261/$E$5,NA())</f>
        <v/>
      </c>
      <c r="D261" s="269">
        <f>IFERROR(100*$J261/$J$5,NA())</f>
        <v/>
      </c>
      <c r="E261" s="32">
        <f>IFERROR(IF(AND(ISNUMBER($A261),N(IF(AND(AH!$U$12=1,256+1=AH!$U$6),IF(AH!$U$4=0,"unavailable",INDEX('Market Data'!$AN$5:$AN$66,AH!$U$4)),IF(AH!$U$5=1,INDEX('Live History'!$B$5:$B$3004,$K261),INDEX('AH History'!$D$5:$GG$1380,$K261,AH!$U$10))))&gt;0),IF(AND(AH!$U$12=1,256+1=AH!$U$6),IF(AH!$U$4=0,"unavailable",INDEX('Market Data'!$AN$5:$AN$66,AH!$U$4)),IF(AH!$U$5=1,INDEX('Live History'!$B$5:$B$3004,$K261),INDEX('AH History'!$D$5:$GG$1380,$K261,AH!$U$10))),NA()),NA())</f>
        <v/>
      </c>
      <c r="F261" s="32">
        <f>IFERROR(IF(ISNUMBER($A261),IF(AND(AH!$U$12=1,256+1=AH!$U$6),IF(AH!$U$4=0,"unavailable",INDEX('Market Data'!$AO$5:$AO$66,AH!$U$4)),IF(AH!$U$5=1,INDEX('Live History'!$E$5:$E$3004,MATCH($A261,'Live History'!$D$5:$D$3004,1)),INDEX('AH History'!$D$5:$GG$1380,$K261,AH!$U$10+1))),NA()),NA())</f>
        <v/>
      </c>
      <c r="G261" s="34">
        <f>IFERROR(IF(ISNUMBER($A261),IF(AND(AH!$U$12=1,256+1=AH!$U$6),IF(AH!$U$4=0,"unavailable",INDEX('Market Data'!$AK$5:$AK$66,AH!$U$4)),IF(AH!$U$5=1,INDEX('Live History'!$D$5:$D$3004,MATCH($A261,'Live History'!$D$5:$D$3004,1)),INDEX('AH History'!$D$5:$GG$1380,$K261,AH!$U$10+2))),NA()),NA())</f>
        <v/>
      </c>
      <c r="H261" s="266">
        <f>IFERROR(IF(ISNUMBER($A261),IF(AND(AH!$U$12=1,256+1=AH!$U$6),IF(AH!$U$4=0,"unavailable",INDEX('Market Data'!$AP$5:$AP$66,AH!$U$4)),IF(AH!$U$5=1,INDEX('Live History'!$H$5:$H$3004,MATCH($A261,'Live History'!$G$5:$G$3004,1)),INDEX('AH History'!$B$5:$B$1380,$K261))),NA()),NA())</f>
        <v/>
      </c>
      <c r="I261" s="34">
        <f>IFERROR(IF(ISNUMBER($A261),IF(AND(AH!$U$12=1,256+1=AH!$U$6),TODAY(),IF(AH!$U$5=1,INDEX('Live History'!$G$5:$G$3004,MATCH($A261,'Live History'!$G$5:$G$3004,1)),INDEX('AH History'!$C$5:$C$1380,$K261))),NA()),NA())</f>
        <v/>
      </c>
      <c r="J261" s="32">
        <f>IFERROR(IF(AND($F261&gt;0,$H261&gt;0,$A261-$G261&lt;=10,$A261-$I261&lt;=5,$G261&gt;0,$I261&gt;0),$F261*$H261,NA()),NA())</f>
        <v/>
      </c>
      <c r="K261" s="15">
        <f>IF($A261="","",IF(AH!$U$5=1,IFERROR(MATCH($A261,'Live History'!$A$5:$A$3004,0),0),AH!$U$7+256))</f>
        <v/>
      </c>
      <c r="L261" s="15">
        <f>IF(ISNUMBER(A261),TEXT(A261,"dd-mmm-yy"),"")</f>
        <v/>
      </c>
    </row>
    <row r="262">
      <c r="A262" s="14">
        <f>IF(OR(AH!$U$4=0,257+1&gt;AH!$U$6,AND(AH!$M$5="Bloomberg",AH!$U$5=0)),"",IFERROR(IF(AND(AH!$U$12=1,257+1=AH!$U$6),TODAY(),IF(AH!$U$5=1,INDEX('Live History'!$A$5:$A$3004,AH!$U$7+257),INDEX('AH History'!$A$5:$A$1380,AH!$U$7+257))),""))</f>
        <v/>
      </c>
      <c r="B262" s="33">
        <f>IFERROR(IF(AH!$U$11=1,NA(),$J262/$E262-1),NA())</f>
        <v/>
      </c>
      <c r="C262" s="269">
        <f>IFERROR(100*$E262/$E$5,NA())</f>
        <v/>
      </c>
      <c r="D262" s="269">
        <f>IFERROR(100*$J262/$J$5,NA())</f>
        <v/>
      </c>
      <c r="E262" s="32">
        <f>IFERROR(IF(AND(ISNUMBER($A262),N(IF(AND(AH!$U$12=1,257+1=AH!$U$6),IF(AH!$U$4=0,"unavailable",INDEX('Market Data'!$AN$5:$AN$66,AH!$U$4)),IF(AH!$U$5=1,INDEX('Live History'!$B$5:$B$3004,$K262),INDEX('AH History'!$D$5:$GG$1380,$K262,AH!$U$10))))&gt;0),IF(AND(AH!$U$12=1,257+1=AH!$U$6),IF(AH!$U$4=0,"unavailable",INDEX('Market Data'!$AN$5:$AN$66,AH!$U$4)),IF(AH!$U$5=1,INDEX('Live History'!$B$5:$B$3004,$K262),INDEX('AH History'!$D$5:$GG$1380,$K262,AH!$U$10))),NA()),NA())</f>
        <v/>
      </c>
      <c r="F262" s="32">
        <f>IFERROR(IF(ISNUMBER($A262),IF(AND(AH!$U$12=1,257+1=AH!$U$6),IF(AH!$U$4=0,"unavailable",INDEX('Market Data'!$AO$5:$AO$66,AH!$U$4)),IF(AH!$U$5=1,INDEX('Live History'!$E$5:$E$3004,MATCH($A262,'Live History'!$D$5:$D$3004,1)),INDEX('AH History'!$D$5:$GG$1380,$K262,AH!$U$10+1))),NA()),NA())</f>
        <v/>
      </c>
      <c r="G262" s="34">
        <f>IFERROR(IF(ISNUMBER($A262),IF(AND(AH!$U$12=1,257+1=AH!$U$6),IF(AH!$U$4=0,"unavailable",INDEX('Market Data'!$AK$5:$AK$66,AH!$U$4)),IF(AH!$U$5=1,INDEX('Live History'!$D$5:$D$3004,MATCH($A262,'Live History'!$D$5:$D$3004,1)),INDEX('AH History'!$D$5:$GG$1380,$K262,AH!$U$10+2))),NA()),NA())</f>
        <v/>
      </c>
      <c r="H262" s="266">
        <f>IFERROR(IF(ISNUMBER($A262),IF(AND(AH!$U$12=1,257+1=AH!$U$6),IF(AH!$U$4=0,"unavailable",INDEX('Market Data'!$AP$5:$AP$66,AH!$U$4)),IF(AH!$U$5=1,INDEX('Live History'!$H$5:$H$3004,MATCH($A262,'Live History'!$G$5:$G$3004,1)),INDEX('AH History'!$B$5:$B$1380,$K262))),NA()),NA())</f>
        <v/>
      </c>
      <c r="I262" s="34">
        <f>IFERROR(IF(ISNUMBER($A262),IF(AND(AH!$U$12=1,257+1=AH!$U$6),TODAY(),IF(AH!$U$5=1,INDEX('Live History'!$G$5:$G$3004,MATCH($A262,'Live History'!$G$5:$G$3004,1)),INDEX('AH History'!$C$5:$C$1380,$K262))),NA()),NA())</f>
        <v/>
      </c>
      <c r="J262" s="32">
        <f>IFERROR(IF(AND($F262&gt;0,$H262&gt;0,$A262-$G262&lt;=10,$A262-$I262&lt;=5,$G262&gt;0,$I262&gt;0),$F262*$H262,NA()),NA())</f>
        <v/>
      </c>
      <c r="K262" s="15">
        <f>IF($A262="","",IF(AH!$U$5=1,IFERROR(MATCH($A262,'Live History'!$A$5:$A$3004,0),0),AH!$U$7+257))</f>
        <v/>
      </c>
      <c r="L262" s="15">
        <f>IF(ISNUMBER(A262),TEXT(A262,"dd-mmm-yy"),"")</f>
        <v/>
      </c>
    </row>
    <row r="263">
      <c r="A263" s="14">
        <f>IF(OR(AH!$U$4=0,258+1&gt;AH!$U$6,AND(AH!$M$5="Bloomberg",AH!$U$5=0)),"",IFERROR(IF(AND(AH!$U$12=1,258+1=AH!$U$6),TODAY(),IF(AH!$U$5=1,INDEX('Live History'!$A$5:$A$3004,AH!$U$7+258),INDEX('AH History'!$A$5:$A$1380,AH!$U$7+258))),""))</f>
        <v/>
      </c>
      <c r="B263" s="33">
        <f>IFERROR(IF(AH!$U$11=1,NA(),$J263/$E263-1),NA())</f>
        <v/>
      </c>
      <c r="C263" s="269">
        <f>IFERROR(100*$E263/$E$5,NA())</f>
        <v/>
      </c>
      <c r="D263" s="269">
        <f>IFERROR(100*$J263/$J$5,NA())</f>
        <v/>
      </c>
      <c r="E263" s="32">
        <f>IFERROR(IF(AND(ISNUMBER($A263),N(IF(AND(AH!$U$12=1,258+1=AH!$U$6),IF(AH!$U$4=0,"unavailable",INDEX('Market Data'!$AN$5:$AN$66,AH!$U$4)),IF(AH!$U$5=1,INDEX('Live History'!$B$5:$B$3004,$K263),INDEX('AH History'!$D$5:$GG$1380,$K263,AH!$U$10))))&gt;0),IF(AND(AH!$U$12=1,258+1=AH!$U$6),IF(AH!$U$4=0,"unavailable",INDEX('Market Data'!$AN$5:$AN$66,AH!$U$4)),IF(AH!$U$5=1,INDEX('Live History'!$B$5:$B$3004,$K263),INDEX('AH History'!$D$5:$GG$1380,$K263,AH!$U$10))),NA()),NA())</f>
        <v/>
      </c>
      <c r="F263" s="32">
        <f>IFERROR(IF(ISNUMBER($A263),IF(AND(AH!$U$12=1,258+1=AH!$U$6),IF(AH!$U$4=0,"unavailable",INDEX('Market Data'!$AO$5:$AO$66,AH!$U$4)),IF(AH!$U$5=1,INDEX('Live History'!$E$5:$E$3004,MATCH($A263,'Live History'!$D$5:$D$3004,1)),INDEX('AH History'!$D$5:$GG$1380,$K263,AH!$U$10+1))),NA()),NA())</f>
        <v/>
      </c>
      <c r="G263" s="34">
        <f>IFERROR(IF(ISNUMBER($A263),IF(AND(AH!$U$12=1,258+1=AH!$U$6),IF(AH!$U$4=0,"unavailable",INDEX('Market Data'!$AK$5:$AK$66,AH!$U$4)),IF(AH!$U$5=1,INDEX('Live History'!$D$5:$D$3004,MATCH($A263,'Live History'!$D$5:$D$3004,1)),INDEX('AH History'!$D$5:$GG$1380,$K263,AH!$U$10+2))),NA()),NA())</f>
        <v/>
      </c>
      <c r="H263" s="266">
        <f>IFERROR(IF(ISNUMBER($A263),IF(AND(AH!$U$12=1,258+1=AH!$U$6),IF(AH!$U$4=0,"unavailable",INDEX('Market Data'!$AP$5:$AP$66,AH!$U$4)),IF(AH!$U$5=1,INDEX('Live History'!$H$5:$H$3004,MATCH($A263,'Live History'!$G$5:$G$3004,1)),INDEX('AH History'!$B$5:$B$1380,$K263))),NA()),NA())</f>
        <v/>
      </c>
      <c r="I263" s="34">
        <f>IFERROR(IF(ISNUMBER($A263),IF(AND(AH!$U$12=1,258+1=AH!$U$6),TODAY(),IF(AH!$U$5=1,INDEX('Live History'!$G$5:$G$3004,MATCH($A263,'Live History'!$G$5:$G$3004,1)),INDEX('AH History'!$C$5:$C$1380,$K263))),NA()),NA())</f>
        <v/>
      </c>
      <c r="J263" s="32">
        <f>IFERROR(IF(AND($F263&gt;0,$H263&gt;0,$A263-$G263&lt;=10,$A263-$I263&lt;=5,$G263&gt;0,$I263&gt;0),$F263*$H263,NA()),NA())</f>
        <v/>
      </c>
      <c r="K263" s="15">
        <f>IF($A263="","",IF(AH!$U$5=1,IFERROR(MATCH($A263,'Live History'!$A$5:$A$3004,0),0),AH!$U$7+258))</f>
        <v/>
      </c>
      <c r="L263" s="15">
        <f>IF(ISNUMBER(A263),TEXT(A263,"dd-mmm-yy"),"")</f>
        <v/>
      </c>
    </row>
    <row r="264">
      <c r="A264" s="14">
        <f>IF(OR(AH!$U$4=0,259+1&gt;AH!$U$6,AND(AH!$M$5="Bloomberg",AH!$U$5=0)),"",IFERROR(IF(AND(AH!$U$12=1,259+1=AH!$U$6),TODAY(),IF(AH!$U$5=1,INDEX('Live History'!$A$5:$A$3004,AH!$U$7+259),INDEX('AH History'!$A$5:$A$1380,AH!$U$7+259))),""))</f>
        <v/>
      </c>
      <c r="B264" s="33">
        <f>IFERROR(IF(AH!$U$11=1,NA(),$J264/$E264-1),NA())</f>
        <v/>
      </c>
      <c r="C264" s="269">
        <f>IFERROR(100*$E264/$E$5,NA())</f>
        <v/>
      </c>
      <c r="D264" s="269">
        <f>IFERROR(100*$J264/$J$5,NA())</f>
        <v/>
      </c>
      <c r="E264" s="32">
        <f>IFERROR(IF(AND(ISNUMBER($A264),N(IF(AND(AH!$U$12=1,259+1=AH!$U$6),IF(AH!$U$4=0,"unavailable",INDEX('Market Data'!$AN$5:$AN$66,AH!$U$4)),IF(AH!$U$5=1,INDEX('Live History'!$B$5:$B$3004,$K264),INDEX('AH History'!$D$5:$GG$1380,$K264,AH!$U$10))))&gt;0),IF(AND(AH!$U$12=1,259+1=AH!$U$6),IF(AH!$U$4=0,"unavailable",INDEX('Market Data'!$AN$5:$AN$66,AH!$U$4)),IF(AH!$U$5=1,INDEX('Live History'!$B$5:$B$3004,$K264),INDEX('AH History'!$D$5:$GG$1380,$K264,AH!$U$10))),NA()),NA())</f>
        <v/>
      </c>
      <c r="F264" s="32">
        <f>IFERROR(IF(ISNUMBER($A264),IF(AND(AH!$U$12=1,259+1=AH!$U$6),IF(AH!$U$4=0,"unavailable",INDEX('Market Data'!$AO$5:$AO$66,AH!$U$4)),IF(AH!$U$5=1,INDEX('Live History'!$E$5:$E$3004,MATCH($A264,'Live History'!$D$5:$D$3004,1)),INDEX('AH History'!$D$5:$GG$1380,$K264,AH!$U$10+1))),NA()),NA())</f>
        <v/>
      </c>
      <c r="G264" s="34">
        <f>IFERROR(IF(ISNUMBER($A264),IF(AND(AH!$U$12=1,259+1=AH!$U$6),IF(AH!$U$4=0,"unavailable",INDEX('Market Data'!$AK$5:$AK$66,AH!$U$4)),IF(AH!$U$5=1,INDEX('Live History'!$D$5:$D$3004,MATCH($A264,'Live History'!$D$5:$D$3004,1)),INDEX('AH History'!$D$5:$GG$1380,$K264,AH!$U$10+2))),NA()),NA())</f>
        <v/>
      </c>
      <c r="H264" s="266">
        <f>IFERROR(IF(ISNUMBER($A264),IF(AND(AH!$U$12=1,259+1=AH!$U$6),IF(AH!$U$4=0,"unavailable",INDEX('Market Data'!$AP$5:$AP$66,AH!$U$4)),IF(AH!$U$5=1,INDEX('Live History'!$H$5:$H$3004,MATCH($A264,'Live History'!$G$5:$G$3004,1)),INDEX('AH History'!$B$5:$B$1380,$K264))),NA()),NA())</f>
        <v/>
      </c>
      <c r="I264" s="34">
        <f>IFERROR(IF(ISNUMBER($A264),IF(AND(AH!$U$12=1,259+1=AH!$U$6),TODAY(),IF(AH!$U$5=1,INDEX('Live History'!$G$5:$G$3004,MATCH($A264,'Live History'!$G$5:$G$3004,1)),INDEX('AH History'!$C$5:$C$1380,$K264))),NA()),NA())</f>
        <v/>
      </c>
      <c r="J264" s="32">
        <f>IFERROR(IF(AND($F264&gt;0,$H264&gt;0,$A264-$G264&lt;=10,$A264-$I264&lt;=5,$G264&gt;0,$I264&gt;0),$F264*$H264,NA()),NA())</f>
        <v/>
      </c>
      <c r="K264" s="15">
        <f>IF($A264="","",IF(AH!$U$5=1,IFERROR(MATCH($A264,'Live History'!$A$5:$A$3004,0),0),AH!$U$7+259))</f>
        <v/>
      </c>
      <c r="L264" s="15">
        <f>IF(ISNUMBER(A264),TEXT(A264,"dd-mmm-yy"),"")</f>
        <v/>
      </c>
    </row>
    <row r="265">
      <c r="A265" s="14">
        <f>IF(OR(AH!$U$4=0,260+1&gt;AH!$U$6,AND(AH!$M$5="Bloomberg",AH!$U$5=0)),"",IFERROR(IF(AND(AH!$U$12=1,260+1=AH!$U$6),TODAY(),IF(AH!$U$5=1,INDEX('Live History'!$A$5:$A$3004,AH!$U$7+260),INDEX('AH History'!$A$5:$A$1380,AH!$U$7+260))),""))</f>
        <v/>
      </c>
      <c r="B265" s="33">
        <f>IFERROR(IF(AH!$U$11=1,NA(),$J265/$E265-1),NA())</f>
        <v/>
      </c>
      <c r="C265" s="269">
        <f>IFERROR(100*$E265/$E$5,NA())</f>
        <v/>
      </c>
      <c r="D265" s="269">
        <f>IFERROR(100*$J265/$J$5,NA())</f>
        <v/>
      </c>
      <c r="E265" s="32">
        <f>IFERROR(IF(AND(ISNUMBER($A265),N(IF(AND(AH!$U$12=1,260+1=AH!$U$6),IF(AH!$U$4=0,"unavailable",INDEX('Market Data'!$AN$5:$AN$66,AH!$U$4)),IF(AH!$U$5=1,INDEX('Live History'!$B$5:$B$3004,$K265),INDEX('AH History'!$D$5:$GG$1380,$K265,AH!$U$10))))&gt;0),IF(AND(AH!$U$12=1,260+1=AH!$U$6),IF(AH!$U$4=0,"unavailable",INDEX('Market Data'!$AN$5:$AN$66,AH!$U$4)),IF(AH!$U$5=1,INDEX('Live History'!$B$5:$B$3004,$K265),INDEX('AH History'!$D$5:$GG$1380,$K265,AH!$U$10))),NA()),NA())</f>
        <v/>
      </c>
      <c r="F265" s="32">
        <f>IFERROR(IF(ISNUMBER($A265),IF(AND(AH!$U$12=1,260+1=AH!$U$6),IF(AH!$U$4=0,"unavailable",INDEX('Market Data'!$AO$5:$AO$66,AH!$U$4)),IF(AH!$U$5=1,INDEX('Live History'!$E$5:$E$3004,MATCH($A265,'Live History'!$D$5:$D$3004,1)),INDEX('AH History'!$D$5:$GG$1380,$K265,AH!$U$10+1))),NA()),NA())</f>
        <v/>
      </c>
      <c r="G265" s="34">
        <f>IFERROR(IF(ISNUMBER($A265),IF(AND(AH!$U$12=1,260+1=AH!$U$6),IF(AH!$U$4=0,"unavailable",INDEX('Market Data'!$AK$5:$AK$66,AH!$U$4)),IF(AH!$U$5=1,INDEX('Live History'!$D$5:$D$3004,MATCH($A265,'Live History'!$D$5:$D$3004,1)),INDEX('AH History'!$D$5:$GG$1380,$K265,AH!$U$10+2))),NA()),NA())</f>
        <v/>
      </c>
      <c r="H265" s="266">
        <f>IFERROR(IF(ISNUMBER($A265),IF(AND(AH!$U$12=1,260+1=AH!$U$6),IF(AH!$U$4=0,"unavailable",INDEX('Market Data'!$AP$5:$AP$66,AH!$U$4)),IF(AH!$U$5=1,INDEX('Live History'!$H$5:$H$3004,MATCH($A265,'Live History'!$G$5:$G$3004,1)),INDEX('AH History'!$B$5:$B$1380,$K265))),NA()),NA())</f>
        <v/>
      </c>
      <c r="I265" s="34">
        <f>IFERROR(IF(ISNUMBER($A265),IF(AND(AH!$U$12=1,260+1=AH!$U$6),TODAY(),IF(AH!$U$5=1,INDEX('Live History'!$G$5:$G$3004,MATCH($A265,'Live History'!$G$5:$G$3004,1)),INDEX('AH History'!$C$5:$C$1380,$K265))),NA()),NA())</f>
        <v/>
      </c>
      <c r="J265" s="32">
        <f>IFERROR(IF(AND($F265&gt;0,$H265&gt;0,$A265-$G265&lt;=10,$A265-$I265&lt;=5,$G265&gt;0,$I265&gt;0),$F265*$H265,NA()),NA())</f>
        <v/>
      </c>
      <c r="K265" s="15">
        <f>IF($A265="","",IF(AH!$U$5=1,IFERROR(MATCH($A265,'Live History'!$A$5:$A$3004,0),0),AH!$U$7+260))</f>
        <v/>
      </c>
      <c r="L265" s="15">
        <f>IF(ISNUMBER(A265),TEXT(A265,"dd-mmm-yy"),"")</f>
        <v/>
      </c>
    </row>
    <row r="266">
      <c r="A266" s="14">
        <f>IF(OR(AH!$U$4=0,261+1&gt;AH!$U$6,AND(AH!$M$5="Bloomberg",AH!$U$5=0)),"",IFERROR(IF(AND(AH!$U$12=1,261+1=AH!$U$6),TODAY(),IF(AH!$U$5=1,INDEX('Live History'!$A$5:$A$3004,AH!$U$7+261),INDEX('AH History'!$A$5:$A$1380,AH!$U$7+261))),""))</f>
        <v/>
      </c>
      <c r="B266" s="33">
        <f>IFERROR(IF(AH!$U$11=1,NA(),$J266/$E266-1),NA())</f>
        <v/>
      </c>
      <c r="C266" s="269">
        <f>IFERROR(100*$E266/$E$5,NA())</f>
        <v/>
      </c>
      <c r="D266" s="269">
        <f>IFERROR(100*$J266/$J$5,NA())</f>
        <v/>
      </c>
      <c r="E266" s="32">
        <f>IFERROR(IF(AND(ISNUMBER($A266),N(IF(AND(AH!$U$12=1,261+1=AH!$U$6),IF(AH!$U$4=0,"unavailable",INDEX('Market Data'!$AN$5:$AN$66,AH!$U$4)),IF(AH!$U$5=1,INDEX('Live History'!$B$5:$B$3004,$K266),INDEX('AH History'!$D$5:$GG$1380,$K266,AH!$U$10))))&gt;0),IF(AND(AH!$U$12=1,261+1=AH!$U$6),IF(AH!$U$4=0,"unavailable",INDEX('Market Data'!$AN$5:$AN$66,AH!$U$4)),IF(AH!$U$5=1,INDEX('Live History'!$B$5:$B$3004,$K266),INDEX('AH History'!$D$5:$GG$1380,$K266,AH!$U$10))),NA()),NA())</f>
        <v/>
      </c>
      <c r="F266" s="32">
        <f>IFERROR(IF(ISNUMBER($A266),IF(AND(AH!$U$12=1,261+1=AH!$U$6),IF(AH!$U$4=0,"unavailable",INDEX('Market Data'!$AO$5:$AO$66,AH!$U$4)),IF(AH!$U$5=1,INDEX('Live History'!$E$5:$E$3004,MATCH($A266,'Live History'!$D$5:$D$3004,1)),INDEX('AH History'!$D$5:$GG$1380,$K266,AH!$U$10+1))),NA()),NA())</f>
        <v/>
      </c>
      <c r="G266" s="34">
        <f>IFERROR(IF(ISNUMBER($A266),IF(AND(AH!$U$12=1,261+1=AH!$U$6),IF(AH!$U$4=0,"unavailable",INDEX('Market Data'!$AK$5:$AK$66,AH!$U$4)),IF(AH!$U$5=1,INDEX('Live History'!$D$5:$D$3004,MATCH($A266,'Live History'!$D$5:$D$3004,1)),INDEX('AH History'!$D$5:$GG$1380,$K266,AH!$U$10+2))),NA()),NA())</f>
        <v/>
      </c>
      <c r="H266" s="266">
        <f>IFERROR(IF(ISNUMBER($A266),IF(AND(AH!$U$12=1,261+1=AH!$U$6),IF(AH!$U$4=0,"unavailable",INDEX('Market Data'!$AP$5:$AP$66,AH!$U$4)),IF(AH!$U$5=1,INDEX('Live History'!$H$5:$H$3004,MATCH($A266,'Live History'!$G$5:$G$3004,1)),INDEX('AH History'!$B$5:$B$1380,$K266))),NA()),NA())</f>
        <v/>
      </c>
      <c r="I266" s="34">
        <f>IFERROR(IF(ISNUMBER($A266),IF(AND(AH!$U$12=1,261+1=AH!$U$6),TODAY(),IF(AH!$U$5=1,INDEX('Live History'!$G$5:$G$3004,MATCH($A266,'Live History'!$G$5:$G$3004,1)),INDEX('AH History'!$C$5:$C$1380,$K266))),NA()),NA())</f>
        <v/>
      </c>
      <c r="J266" s="32">
        <f>IFERROR(IF(AND($F266&gt;0,$H266&gt;0,$A266-$G266&lt;=10,$A266-$I266&lt;=5,$G266&gt;0,$I266&gt;0),$F266*$H266,NA()),NA())</f>
        <v/>
      </c>
      <c r="K266" s="15">
        <f>IF($A266="","",IF(AH!$U$5=1,IFERROR(MATCH($A266,'Live History'!$A$5:$A$3004,0),0),AH!$U$7+261))</f>
        <v/>
      </c>
      <c r="L266" s="15">
        <f>IF(ISNUMBER(A266),TEXT(A266,"dd-mmm-yy"),"")</f>
        <v/>
      </c>
    </row>
    <row r="267">
      <c r="A267" s="14">
        <f>IF(OR(AH!$U$4=0,262+1&gt;AH!$U$6,AND(AH!$M$5="Bloomberg",AH!$U$5=0)),"",IFERROR(IF(AND(AH!$U$12=1,262+1=AH!$U$6),TODAY(),IF(AH!$U$5=1,INDEX('Live History'!$A$5:$A$3004,AH!$U$7+262),INDEX('AH History'!$A$5:$A$1380,AH!$U$7+262))),""))</f>
        <v/>
      </c>
      <c r="B267" s="33">
        <f>IFERROR(IF(AH!$U$11=1,NA(),$J267/$E267-1),NA())</f>
        <v/>
      </c>
      <c r="C267" s="269">
        <f>IFERROR(100*$E267/$E$5,NA())</f>
        <v/>
      </c>
      <c r="D267" s="269">
        <f>IFERROR(100*$J267/$J$5,NA())</f>
        <v/>
      </c>
      <c r="E267" s="32">
        <f>IFERROR(IF(AND(ISNUMBER($A267),N(IF(AND(AH!$U$12=1,262+1=AH!$U$6),IF(AH!$U$4=0,"unavailable",INDEX('Market Data'!$AN$5:$AN$66,AH!$U$4)),IF(AH!$U$5=1,INDEX('Live History'!$B$5:$B$3004,$K267),INDEX('AH History'!$D$5:$GG$1380,$K267,AH!$U$10))))&gt;0),IF(AND(AH!$U$12=1,262+1=AH!$U$6),IF(AH!$U$4=0,"unavailable",INDEX('Market Data'!$AN$5:$AN$66,AH!$U$4)),IF(AH!$U$5=1,INDEX('Live History'!$B$5:$B$3004,$K267),INDEX('AH History'!$D$5:$GG$1380,$K267,AH!$U$10))),NA()),NA())</f>
        <v/>
      </c>
      <c r="F267" s="32">
        <f>IFERROR(IF(ISNUMBER($A267),IF(AND(AH!$U$12=1,262+1=AH!$U$6),IF(AH!$U$4=0,"unavailable",INDEX('Market Data'!$AO$5:$AO$66,AH!$U$4)),IF(AH!$U$5=1,INDEX('Live History'!$E$5:$E$3004,MATCH($A267,'Live History'!$D$5:$D$3004,1)),INDEX('AH History'!$D$5:$GG$1380,$K267,AH!$U$10+1))),NA()),NA())</f>
        <v/>
      </c>
      <c r="G267" s="34">
        <f>IFERROR(IF(ISNUMBER($A267),IF(AND(AH!$U$12=1,262+1=AH!$U$6),IF(AH!$U$4=0,"unavailable",INDEX('Market Data'!$AK$5:$AK$66,AH!$U$4)),IF(AH!$U$5=1,INDEX('Live History'!$D$5:$D$3004,MATCH($A267,'Live History'!$D$5:$D$3004,1)),INDEX('AH History'!$D$5:$GG$1380,$K267,AH!$U$10+2))),NA()),NA())</f>
        <v/>
      </c>
      <c r="H267" s="266">
        <f>IFERROR(IF(ISNUMBER($A267),IF(AND(AH!$U$12=1,262+1=AH!$U$6),IF(AH!$U$4=0,"unavailable",INDEX('Market Data'!$AP$5:$AP$66,AH!$U$4)),IF(AH!$U$5=1,INDEX('Live History'!$H$5:$H$3004,MATCH($A267,'Live History'!$G$5:$G$3004,1)),INDEX('AH History'!$B$5:$B$1380,$K267))),NA()),NA())</f>
        <v/>
      </c>
      <c r="I267" s="34">
        <f>IFERROR(IF(ISNUMBER($A267),IF(AND(AH!$U$12=1,262+1=AH!$U$6),TODAY(),IF(AH!$U$5=1,INDEX('Live History'!$G$5:$G$3004,MATCH($A267,'Live History'!$G$5:$G$3004,1)),INDEX('AH History'!$C$5:$C$1380,$K267))),NA()),NA())</f>
        <v/>
      </c>
      <c r="J267" s="32">
        <f>IFERROR(IF(AND($F267&gt;0,$H267&gt;0,$A267-$G267&lt;=10,$A267-$I267&lt;=5,$G267&gt;0,$I267&gt;0),$F267*$H267,NA()),NA())</f>
        <v/>
      </c>
      <c r="K267" s="15">
        <f>IF($A267="","",IF(AH!$U$5=1,IFERROR(MATCH($A267,'Live History'!$A$5:$A$3004,0),0),AH!$U$7+262))</f>
        <v/>
      </c>
      <c r="L267" s="15">
        <f>IF(ISNUMBER(A267),TEXT(A267,"dd-mmm-yy"),"")</f>
        <v/>
      </c>
    </row>
    <row r="268">
      <c r="A268" s="14">
        <f>IF(OR(AH!$U$4=0,263+1&gt;AH!$U$6,AND(AH!$M$5="Bloomberg",AH!$U$5=0)),"",IFERROR(IF(AND(AH!$U$12=1,263+1=AH!$U$6),TODAY(),IF(AH!$U$5=1,INDEX('Live History'!$A$5:$A$3004,AH!$U$7+263),INDEX('AH History'!$A$5:$A$1380,AH!$U$7+263))),""))</f>
        <v/>
      </c>
      <c r="B268" s="33">
        <f>IFERROR(IF(AH!$U$11=1,NA(),$J268/$E268-1),NA())</f>
        <v/>
      </c>
      <c r="C268" s="269">
        <f>IFERROR(100*$E268/$E$5,NA())</f>
        <v/>
      </c>
      <c r="D268" s="269">
        <f>IFERROR(100*$J268/$J$5,NA())</f>
        <v/>
      </c>
      <c r="E268" s="32">
        <f>IFERROR(IF(AND(ISNUMBER($A268),N(IF(AND(AH!$U$12=1,263+1=AH!$U$6),IF(AH!$U$4=0,"unavailable",INDEX('Market Data'!$AN$5:$AN$66,AH!$U$4)),IF(AH!$U$5=1,INDEX('Live History'!$B$5:$B$3004,$K268),INDEX('AH History'!$D$5:$GG$1380,$K268,AH!$U$10))))&gt;0),IF(AND(AH!$U$12=1,263+1=AH!$U$6),IF(AH!$U$4=0,"unavailable",INDEX('Market Data'!$AN$5:$AN$66,AH!$U$4)),IF(AH!$U$5=1,INDEX('Live History'!$B$5:$B$3004,$K268),INDEX('AH History'!$D$5:$GG$1380,$K268,AH!$U$10))),NA()),NA())</f>
        <v/>
      </c>
      <c r="F268" s="32">
        <f>IFERROR(IF(ISNUMBER($A268),IF(AND(AH!$U$12=1,263+1=AH!$U$6),IF(AH!$U$4=0,"unavailable",INDEX('Market Data'!$AO$5:$AO$66,AH!$U$4)),IF(AH!$U$5=1,INDEX('Live History'!$E$5:$E$3004,MATCH($A268,'Live History'!$D$5:$D$3004,1)),INDEX('AH History'!$D$5:$GG$1380,$K268,AH!$U$10+1))),NA()),NA())</f>
        <v/>
      </c>
      <c r="G268" s="34">
        <f>IFERROR(IF(ISNUMBER($A268),IF(AND(AH!$U$12=1,263+1=AH!$U$6),IF(AH!$U$4=0,"unavailable",INDEX('Market Data'!$AK$5:$AK$66,AH!$U$4)),IF(AH!$U$5=1,INDEX('Live History'!$D$5:$D$3004,MATCH($A268,'Live History'!$D$5:$D$3004,1)),INDEX('AH History'!$D$5:$GG$1380,$K268,AH!$U$10+2))),NA()),NA())</f>
        <v/>
      </c>
      <c r="H268" s="266">
        <f>IFERROR(IF(ISNUMBER($A268),IF(AND(AH!$U$12=1,263+1=AH!$U$6),IF(AH!$U$4=0,"unavailable",INDEX('Market Data'!$AP$5:$AP$66,AH!$U$4)),IF(AH!$U$5=1,INDEX('Live History'!$H$5:$H$3004,MATCH($A268,'Live History'!$G$5:$G$3004,1)),INDEX('AH History'!$B$5:$B$1380,$K268))),NA()),NA())</f>
        <v/>
      </c>
      <c r="I268" s="34">
        <f>IFERROR(IF(ISNUMBER($A268),IF(AND(AH!$U$12=1,263+1=AH!$U$6),TODAY(),IF(AH!$U$5=1,INDEX('Live History'!$G$5:$G$3004,MATCH($A268,'Live History'!$G$5:$G$3004,1)),INDEX('AH History'!$C$5:$C$1380,$K268))),NA()),NA())</f>
        <v/>
      </c>
      <c r="J268" s="32">
        <f>IFERROR(IF(AND($F268&gt;0,$H268&gt;0,$A268-$G268&lt;=10,$A268-$I268&lt;=5,$G268&gt;0,$I268&gt;0),$F268*$H268,NA()),NA())</f>
        <v/>
      </c>
      <c r="K268" s="15">
        <f>IF($A268="","",IF(AH!$U$5=1,IFERROR(MATCH($A268,'Live History'!$A$5:$A$3004,0),0),AH!$U$7+263))</f>
        <v/>
      </c>
      <c r="L268" s="15">
        <f>IF(ISNUMBER(A268),TEXT(A268,"dd-mmm-yy"),"")</f>
        <v/>
      </c>
    </row>
    <row r="269">
      <c r="A269" s="14">
        <f>IF(OR(AH!$U$4=0,264+1&gt;AH!$U$6,AND(AH!$M$5="Bloomberg",AH!$U$5=0)),"",IFERROR(IF(AND(AH!$U$12=1,264+1=AH!$U$6),TODAY(),IF(AH!$U$5=1,INDEX('Live History'!$A$5:$A$3004,AH!$U$7+264),INDEX('AH History'!$A$5:$A$1380,AH!$U$7+264))),""))</f>
        <v/>
      </c>
      <c r="B269" s="33">
        <f>IFERROR(IF(AH!$U$11=1,NA(),$J269/$E269-1),NA())</f>
        <v/>
      </c>
      <c r="C269" s="269">
        <f>IFERROR(100*$E269/$E$5,NA())</f>
        <v/>
      </c>
      <c r="D269" s="269">
        <f>IFERROR(100*$J269/$J$5,NA())</f>
        <v/>
      </c>
      <c r="E269" s="32">
        <f>IFERROR(IF(AND(ISNUMBER($A269),N(IF(AND(AH!$U$12=1,264+1=AH!$U$6),IF(AH!$U$4=0,"unavailable",INDEX('Market Data'!$AN$5:$AN$66,AH!$U$4)),IF(AH!$U$5=1,INDEX('Live History'!$B$5:$B$3004,$K269),INDEX('AH History'!$D$5:$GG$1380,$K269,AH!$U$10))))&gt;0),IF(AND(AH!$U$12=1,264+1=AH!$U$6),IF(AH!$U$4=0,"unavailable",INDEX('Market Data'!$AN$5:$AN$66,AH!$U$4)),IF(AH!$U$5=1,INDEX('Live History'!$B$5:$B$3004,$K269),INDEX('AH History'!$D$5:$GG$1380,$K269,AH!$U$10))),NA()),NA())</f>
        <v/>
      </c>
      <c r="F269" s="32">
        <f>IFERROR(IF(ISNUMBER($A269),IF(AND(AH!$U$12=1,264+1=AH!$U$6),IF(AH!$U$4=0,"unavailable",INDEX('Market Data'!$AO$5:$AO$66,AH!$U$4)),IF(AH!$U$5=1,INDEX('Live History'!$E$5:$E$3004,MATCH($A269,'Live History'!$D$5:$D$3004,1)),INDEX('AH History'!$D$5:$GG$1380,$K269,AH!$U$10+1))),NA()),NA())</f>
        <v/>
      </c>
      <c r="G269" s="34">
        <f>IFERROR(IF(ISNUMBER($A269),IF(AND(AH!$U$12=1,264+1=AH!$U$6),IF(AH!$U$4=0,"unavailable",INDEX('Market Data'!$AK$5:$AK$66,AH!$U$4)),IF(AH!$U$5=1,INDEX('Live History'!$D$5:$D$3004,MATCH($A269,'Live History'!$D$5:$D$3004,1)),INDEX('AH History'!$D$5:$GG$1380,$K269,AH!$U$10+2))),NA()),NA())</f>
        <v/>
      </c>
      <c r="H269" s="266">
        <f>IFERROR(IF(ISNUMBER($A269),IF(AND(AH!$U$12=1,264+1=AH!$U$6),IF(AH!$U$4=0,"unavailable",INDEX('Market Data'!$AP$5:$AP$66,AH!$U$4)),IF(AH!$U$5=1,INDEX('Live History'!$H$5:$H$3004,MATCH($A269,'Live History'!$G$5:$G$3004,1)),INDEX('AH History'!$B$5:$B$1380,$K269))),NA()),NA())</f>
        <v/>
      </c>
      <c r="I269" s="34">
        <f>IFERROR(IF(ISNUMBER($A269),IF(AND(AH!$U$12=1,264+1=AH!$U$6),TODAY(),IF(AH!$U$5=1,INDEX('Live History'!$G$5:$G$3004,MATCH($A269,'Live History'!$G$5:$G$3004,1)),INDEX('AH History'!$C$5:$C$1380,$K269))),NA()),NA())</f>
        <v/>
      </c>
      <c r="J269" s="32">
        <f>IFERROR(IF(AND($F269&gt;0,$H269&gt;0,$A269-$G269&lt;=10,$A269-$I269&lt;=5,$G269&gt;0,$I269&gt;0),$F269*$H269,NA()),NA())</f>
        <v/>
      </c>
      <c r="K269" s="15">
        <f>IF($A269="","",IF(AH!$U$5=1,IFERROR(MATCH($A269,'Live History'!$A$5:$A$3004,0),0),AH!$U$7+264))</f>
        <v/>
      </c>
      <c r="L269" s="15">
        <f>IF(ISNUMBER(A269),TEXT(A269,"dd-mmm-yy"),"")</f>
        <v/>
      </c>
    </row>
    <row r="270">
      <c r="A270" s="14">
        <f>IF(OR(AH!$U$4=0,265+1&gt;AH!$U$6,AND(AH!$M$5="Bloomberg",AH!$U$5=0)),"",IFERROR(IF(AND(AH!$U$12=1,265+1=AH!$U$6),TODAY(),IF(AH!$U$5=1,INDEX('Live History'!$A$5:$A$3004,AH!$U$7+265),INDEX('AH History'!$A$5:$A$1380,AH!$U$7+265))),""))</f>
        <v/>
      </c>
      <c r="B270" s="33">
        <f>IFERROR(IF(AH!$U$11=1,NA(),$J270/$E270-1),NA())</f>
        <v/>
      </c>
      <c r="C270" s="269">
        <f>IFERROR(100*$E270/$E$5,NA())</f>
        <v/>
      </c>
      <c r="D270" s="269">
        <f>IFERROR(100*$J270/$J$5,NA())</f>
        <v/>
      </c>
      <c r="E270" s="32">
        <f>IFERROR(IF(AND(ISNUMBER($A270),N(IF(AND(AH!$U$12=1,265+1=AH!$U$6),IF(AH!$U$4=0,"unavailable",INDEX('Market Data'!$AN$5:$AN$66,AH!$U$4)),IF(AH!$U$5=1,INDEX('Live History'!$B$5:$B$3004,$K270),INDEX('AH History'!$D$5:$GG$1380,$K270,AH!$U$10))))&gt;0),IF(AND(AH!$U$12=1,265+1=AH!$U$6),IF(AH!$U$4=0,"unavailable",INDEX('Market Data'!$AN$5:$AN$66,AH!$U$4)),IF(AH!$U$5=1,INDEX('Live History'!$B$5:$B$3004,$K270),INDEX('AH History'!$D$5:$GG$1380,$K270,AH!$U$10))),NA()),NA())</f>
        <v/>
      </c>
      <c r="F270" s="32">
        <f>IFERROR(IF(ISNUMBER($A270),IF(AND(AH!$U$12=1,265+1=AH!$U$6),IF(AH!$U$4=0,"unavailable",INDEX('Market Data'!$AO$5:$AO$66,AH!$U$4)),IF(AH!$U$5=1,INDEX('Live History'!$E$5:$E$3004,MATCH($A270,'Live History'!$D$5:$D$3004,1)),INDEX('AH History'!$D$5:$GG$1380,$K270,AH!$U$10+1))),NA()),NA())</f>
        <v/>
      </c>
      <c r="G270" s="34">
        <f>IFERROR(IF(ISNUMBER($A270),IF(AND(AH!$U$12=1,265+1=AH!$U$6),IF(AH!$U$4=0,"unavailable",INDEX('Market Data'!$AK$5:$AK$66,AH!$U$4)),IF(AH!$U$5=1,INDEX('Live History'!$D$5:$D$3004,MATCH($A270,'Live History'!$D$5:$D$3004,1)),INDEX('AH History'!$D$5:$GG$1380,$K270,AH!$U$10+2))),NA()),NA())</f>
        <v/>
      </c>
      <c r="H270" s="266">
        <f>IFERROR(IF(ISNUMBER($A270),IF(AND(AH!$U$12=1,265+1=AH!$U$6),IF(AH!$U$4=0,"unavailable",INDEX('Market Data'!$AP$5:$AP$66,AH!$U$4)),IF(AH!$U$5=1,INDEX('Live History'!$H$5:$H$3004,MATCH($A270,'Live History'!$G$5:$G$3004,1)),INDEX('AH History'!$B$5:$B$1380,$K270))),NA()),NA())</f>
        <v/>
      </c>
      <c r="I270" s="34">
        <f>IFERROR(IF(ISNUMBER($A270),IF(AND(AH!$U$12=1,265+1=AH!$U$6),TODAY(),IF(AH!$U$5=1,INDEX('Live History'!$G$5:$G$3004,MATCH($A270,'Live History'!$G$5:$G$3004,1)),INDEX('AH History'!$C$5:$C$1380,$K270))),NA()),NA())</f>
        <v/>
      </c>
      <c r="J270" s="32">
        <f>IFERROR(IF(AND($F270&gt;0,$H270&gt;0,$A270-$G270&lt;=10,$A270-$I270&lt;=5,$G270&gt;0,$I270&gt;0),$F270*$H270,NA()),NA())</f>
        <v/>
      </c>
      <c r="K270" s="15">
        <f>IF($A270="","",IF(AH!$U$5=1,IFERROR(MATCH($A270,'Live History'!$A$5:$A$3004,0),0),AH!$U$7+265))</f>
        <v/>
      </c>
      <c r="L270" s="15">
        <f>IF(ISNUMBER(A270),TEXT(A270,"dd-mmm-yy"),"")</f>
        <v/>
      </c>
    </row>
    <row r="271">
      <c r="A271" s="14">
        <f>IF(OR(AH!$U$4=0,266+1&gt;AH!$U$6,AND(AH!$M$5="Bloomberg",AH!$U$5=0)),"",IFERROR(IF(AND(AH!$U$12=1,266+1=AH!$U$6),TODAY(),IF(AH!$U$5=1,INDEX('Live History'!$A$5:$A$3004,AH!$U$7+266),INDEX('AH History'!$A$5:$A$1380,AH!$U$7+266))),""))</f>
        <v/>
      </c>
      <c r="B271" s="33">
        <f>IFERROR(IF(AH!$U$11=1,NA(),$J271/$E271-1),NA())</f>
        <v/>
      </c>
      <c r="C271" s="269">
        <f>IFERROR(100*$E271/$E$5,NA())</f>
        <v/>
      </c>
      <c r="D271" s="269">
        <f>IFERROR(100*$J271/$J$5,NA())</f>
        <v/>
      </c>
      <c r="E271" s="32">
        <f>IFERROR(IF(AND(ISNUMBER($A271),N(IF(AND(AH!$U$12=1,266+1=AH!$U$6),IF(AH!$U$4=0,"unavailable",INDEX('Market Data'!$AN$5:$AN$66,AH!$U$4)),IF(AH!$U$5=1,INDEX('Live History'!$B$5:$B$3004,$K271),INDEX('AH History'!$D$5:$GG$1380,$K271,AH!$U$10))))&gt;0),IF(AND(AH!$U$12=1,266+1=AH!$U$6),IF(AH!$U$4=0,"unavailable",INDEX('Market Data'!$AN$5:$AN$66,AH!$U$4)),IF(AH!$U$5=1,INDEX('Live History'!$B$5:$B$3004,$K271),INDEX('AH History'!$D$5:$GG$1380,$K271,AH!$U$10))),NA()),NA())</f>
        <v/>
      </c>
      <c r="F271" s="32">
        <f>IFERROR(IF(ISNUMBER($A271),IF(AND(AH!$U$12=1,266+1=AH!$U$6),IF(AH!$U$4=0,"unavailable",INDEX('Market Data'!$AO$5:$AO$66,AH!$U$4)),IF(AH!$U$5=1,INDEX('Live History'!$E$5:$E$3004,MATCH($A271,'Live History'!$D$5:$D$3004,1)),INDEX('AH History'!$D$5:$GG$1380,$K271,AH!$U$10+1))),NA()),NA())</f>
        <v/>
      </c>
      <c r="G271" s="34">
        <f>IFERROR(IF(ISNUMBER($A271),IF(AND(AH!$U$12=1,266+1=AH!$U$6),IF(AH!$U$4=0,"unavailable",INDEX('Market Data'!$AK$5:$AK$66,AH!$U$4)),IF(AH!$U$5=1,INDEX('Live History'!$D$5:$D$3004,MATCH($A271,'Live History'!$D$5:$D$3004,1)),INDEX('AH History'!$D$5:$GG$1380,$K271,AH!$U$10+2))),NA()),NA())</f>
        <v/>
      </c>
      <c r="H271" s="266">
        <f>IFERROR(IF(ISNUMBER($A271),IF(AND(AH!$U$12=1,266+1=AH!$U$6),IF(AH!$U$4=0,"unavailable",INDEX('Market Data'!$AP$5:$AP$66,AH!$U$4)),IF(AH!$U$5=1,INDEX('Live History'!$H$5:$H$3004,MATCH($A271,'Live History'!$G$5:$G$3004,1)),INDEX('AH History'!$B$5:$B$1380,$K271))),NA()),NA())</f>
        <v/>
      </c>
      <c r="I271" s="34">
        <f>IFERROR(IF(ISNUMBER($A271),IF(AND(AH!$U$12=1,266+1=AH!$U$6),TODAY(),IF(AH!$U$5=1,INDEX('Live History'!$G$5:$G$3004,MATCH($A271,'Live History'!$G$5:$G$3004,1)),INDEX('AH History'!$C$5:$C$1380,$K271))),NA()),NA())</f>
        <v/>
      </c>
      <c r="J271" s="32">
        <f>IFERROR(IF(AND($F271&gt;0,$H271&gt;0,$A271-$G271&lt;=10,$A271-$I271&lt;=5,$G271&gt;0,$I271&gt;0),$F271*$H271,NA()),NA())</f>
        <v/>
      </c>
      <c r="K271" s="15">
        <f>IF($A271="","",IF(AH!$U$5=1,IFERROR(MATCH($A271,'Live History'!$A$5:$A$3004,0),0),AH!$U$7+266))</f>
        <v/>
      </c>
      <c r="L271" s="15">
        <f>IF(ISNUMBER(A271),TEXT(A271,"dd-mmm-yy"),"")</f>
        <v/>
      </c>
    </row>
    <row r="272">
      <c r="A272" s="14">
        <f>IF(OR(AH!$U$4=0,267+1&gt;AH!$U$6,AND(AH!$M$5="Bloomberg",AH!$U$5=0)),"",IFERROR(IF(AND(AH!$U$12=1,267+1=AH!$U$6),TODAY(),IF(AH!$U$5=1,INDEX('Live History'!$A$5:$A$3004,AH!$U$7+267),INDEX('AH History'!$A$5:$A$1380,AH!$U$7+267))),""))</f>
        <v/>
      </c>
      <c r="B272" s="33">
        <f>IFERROR(IF(AH!$U$11=1,NA(),$J272/$E272-1),NA())</f>
        <v/>
      </c>
      <c r="C272" s="269">
        <f>IFERROR(100*$E272/$E$5,NA())</f>
        <v/>
      </c>
      <c r="D272" s="269">
        <f>IFERROR(100*$J272/$J$5,NA())</f>
        <v/>
      </c>
      <c r="E272" s="32">
        <f>IFERROR(IF(AND(ISNUMBER($A272),N(IF(AND(AH!$U$12=1,267+1=AH!$U$6),IF(AH!$U$4=0,"unavailable",INDEX('Market Data'!$AN$5:$AN$66,AH!$U$4)),IF(AH!$U$5=1,INDEX('Live History'!$B$5:$B$3004,$K272),INDEX('AH History'!$D$5:$GG$1380,$K272,AH!$U$10))))&gt;0),IF(AND(AH!$U$12=1,267+1=AH!$U$6),IF(AH!$U$4=0,"unavailable",INDEX('Market Data'!$AN$5:$AN$66,AH!$U$4)),IF(AH!$U$5=1,INDEX('Live History'!$B$5:$B$3004,$K272),INDEX('AH History'!$D$5:$GG$1380,$K272,AH!$U$10))),NA()),NA())</f>
        <v/>
      </c>
      <c r="F272" s="32">
        <f>IFERROR(IF(ISNUMBER($A272),IF(AND(AH!$U$12=1,267+1=AH!$U$6),IF(AH!$U$4=0,"unavailable",INDEX('Market Data'!$AO$5:$AO$66,AH!$U$4)),IF(AH!$U$5=1,INDEX('Live History'!$E$5:$E$3004,MATCH($A272,'Live History'!$D$5:$D$3004,1)),INDEX('AH History'!$D$5:$GG$1380,$K272,AH!$U$10+1))),NA()),NA())</f>
        <v/>
      </c>
      <c r="G272" s="34">
        <f>IFERROR(IF(ISNUMBER($A272),IF(AND(AH!$U$12=1,267+1=AH!$U$6),IF(AH!$U$4=0,"unavailable",INDEX('Market Data'!$AK$5:$AK$66,AH!$U$4)),IF(AH!$U$5=1,INDEX('Live History'!$D$5:$D$3004,MATCH($A272,'Live History'!$D$5:$D$3004,1)),INDEX('AH History'!$D$5:$GG$1380,$K272,AH!$U$10+2))),NA()),NA())</f>
        <v/>
      </c>
      <c r="H272" s="266">
        <f>IFERROR(IF(ISNUMBER($A272),IF(AND(AH!$U$12=1,267+1=AH!$U$6),IF(AH!$U$4=0,"unavailable",INDEX('Market Data'!$AP$5:$AP$66,AH!$U$4)),IF(AH!$U$5=1,INDEX('Live History'!$H$5:$H$3004,MATCH($A272,'Live History'!$G$5:$G$3004,1)),INDEX('AH History'!$B$5:$B$1380,$K272))),NA()),NA())</f>
        <v/>
      </c>
      <c r="I272" s="34">
        <f>IFERROR(IF(ISNUMBER($A272),IF(AND(AH!$U$12=1,267+1=AH!$U$6),TODAY(),IF(AH!$U$5=1,INDEX('Live History'!$G$5:$G$3004,MATCH($A272,'Live History'!$G$5:$G$3004,1)),INDEX('AH History'!$C$5:$C$1380,$K272))),NA()),NA())</f>
        <v/>
      </c>
      <c r="J272" s="32">
        <f>IFERROR(IF(AND($F272&gt;0,$H272&gt;0,$A272-$G272&lt;=10,$A272-$I272&lt;=5,$G272&gt;0,$I272&gt;0),$F272*$H272,NA()),NA())</f>
        <v/>
      </c>
      <c r="K272" s="15">
        <f>IF($A272="","",IF(AH!$U$5=1,IFERROR(MATCH($A272,'Live History'!$A$5:$A$3004,0),0),AH!$U$7+267))</f>
        <v/>
      </c>
      <c r="L272" s="15">
        <f>IF(ISNUMBER(A272),TEXT(A272,"dd-mmm-yy"),"")</f>
        <v/>
      </c>
    </row>
    <row r="273">
      <c r="A273" s="14">
        <f>IF(OR(AH!$U$4=0,268+1&gt;AH!$U$6,AND(AH!$M$5="Bloomberg",AH!$U$5=0)),"",IFERROR(IF(AND(AH!$U$12=1,268+1=AH!$U$6),TODAY(),IF(AH!$U$5=1,INDEX('Live History'!$A$5:$A$3004,AH!$U$7+268),INDEX('AH History'!$A$5:$A$1380,AH!$U$7+268))),""))</f>
        <v/>
      </c>
      <c r="B273" s="33">
        <f>IFERROR(IF(AH!$U$11=1,NA(),$J273/$E273-1),NA())</f>
        <v/>
      </c>
      <c r="C273" s="269">
        <f>IFERROR(100*$E273/$E$5,NA())</f>
        <v/>
      </c>
      <c r="D273" s="269">
        <f>IFERROR(100*$J273/$J$5,NA())</f>
        <v/>
      </c>
      <c r="E273" s="32">
        <f>IFERROR(IF(AND(ISNUMBER($A273),N(IF(AND(AH!$U$12=1,268+1=AH!$U$6),IF(AH!$U$4=0,"unavailable",INDEX('Market Data'!$AN$5:$AN$66,AH!$U$4)),IF(AH!$U$5=1,INDEX('Live History'!$B$5:$B$3004,$K273),INDEX('AH History'!$D$5:$GG$1380,$K273,AH!$U$10))))&gt;0),IF(AND(AH!$U$12=1,268+1=AH!$U$6),IF(AH!$U$4=0,"unavailable",INDEX('Market Data'!$AN$5:$AN$66,AH!$U$4)),IF(AH!$U$5=1,INDEX('Live History'!$B$5:$B$3004,$K273),INDEX('AH History'!$D$5:$GG$1380,$K273,AH!$U$10))),NA()),NA())</f>
        <v/>
      </c>
      <c r="F273" s="32">
        <f>IFERROR(IF(ISNUMBER($A273),IF(AND(AH!$U$12=1,268+1=AH!$U$6),IF(AH!$U$4=0,"unavailable",INDEX('Market Data'!$AO$5:$AO$66,AH!$U$4)),IF(AH!$U$5=1,INDEX('Live History'!$E$5:$E$3004,MATCH($A273,'Live History'!$D$5:$D$3004,1)),INDEX('AH History'!$D$5:$GG$1380,$K273,AH!$U$10+1))),NA()),NA())</f>
        <v/>
      </c>
      <c r="G273" s="34">
        <f>IFERROR(IF(ISNUMBER($A273),IF(AND(AH!$U$12=1,268+1=AH!$U$6),IF(AH!$U$4=0,"unavailable",INDEX('Market Data'!$AK$5:$AK$66,AH!$U$4)),IF(AH!$U$5=1,INDEX('Live History'!$D$5:$D$3004,MATCH($A273,'Live History'!$D$5:$D$3004,1)),INDEX('AH History'!$D$5:$GG$1380,$K273,AH!$U$10+2))),NA()),NA())</f>
        <v/>
      </c>
      <c r="H273" s="266">
        <f>IFERROR(IF(ISNUMBER($A273),IF(AND(AH!$U$12=1,268+1=AH!$U$6),IF(AH!$U$4=0,"unavailable",INDEX('Market Data'!$AP$5:$AP$66,AH!$U$4)),IF(AH!$U$5=1,INDEX('Live History'!$H$5:$H$3004,MATCH($A273,'Live History'!$G$5:$G$3004,1)),INDEX('AH History'!$B$5:$B$1380,$K273))),NA()),NA())</f>
        <v/>
      </c>
      <c r="I273" s="34">
        <f>IFERROR(IF(ISNUMBER($A273),IF(AND(AH!$U$12=1,268+1=AH!$U$6),TODAY(),IF(AH!$U$5=1,INDEX('Live History'!$G$5:$G$3004,MATCH($A273,'Live History'!$G$5:$G$3004,1)),INDEX('AH History'!$C$5:$C$1380,$K273))),NA()),NA())</f>
        <v/>
      </c>
      <c r="J273" s="32">
        <f>IFERROR(IF(AND($F273&gt;0,$H273&gt;0,$A273-$G273&lt;=10,$A273-$I273&lt;=5,$G273&gt;0,$I273&gt;0),$F273*$H273,NA()),NA())</f>
        <v/>
      </c>
      <c r="K273" s="15">
        <f>IF($A273="","",IF(AH!$U$5=1,IFERROR(MATCH($A273,'Live History'!$A$5:$A$3004,0),0),AH!$U$7+268))</f>
        <v/>
      </c>
      <c r="L273" s="15">
        <f>IF(ISNUMBER(A273),TEXT(A273,"dd-mmm-yy"),"")</f>
        <v/>
      </c>
    </row>
    <row r="274">
      <c r="A274" s="14">
        <f>IF(OR(AH!$U$4=0,269+1&gt;AH!$U$6,AND(AH!$M$5="Bloomberg",AH!$U$5=0)),"",IFERROR(IF(AND(AH!$U$12=1,269+1=AH!$U$6),TODAY(),IF(AH!$U$5=1,INDEX('Live History'!$A$5:$A$3004,AH!$U$7+269),INDEX('AH History'!$A$5:$A$1380,AH!$U$7+269))),""))</f>
        <v/>
      </c>
      <c r="B274" s="33">
        <f>IFERROR(IF(AH!$U$11=1,NA(),$J274/$E274-1),NA())</f>
        <v/>
      </c>
      <c r="C274" s="269">
        <f>IFERROR(100*$E274/$E$5,NA())</f>
        <v/>
      </c>
      <c r="D274" s="269">
        <f>IFERROR(100*$J274/$J$5,NA())</f>
        <v/>
      </c>
      <c r="E274" s="32">
        <f>IFERROR(IF(AND(ISNUMBER($A274),N(IF(AND(AH!$U$12=1,269+1=AH!$U$6),IF(AH!$U$4=0,"unavailable",INDEX('Market Data'!$AN$5:$AN$66,AH!$U$4)),IF(AH!$U$5=1,INDEX('Live History'!$B$5:$B$3004,$K274),INDEX('AH History'!$D$5:$GG$1380,$K274,AH!$U$10))))&gt;0),IF(AND(AH!$U$12=1,269+1=AH!$U$6),IF(AH!$U$4=0,"unavailable",INDEX('Market Data'!$AN$5:$AN$66,AH!$U$4)),IF(AH!$U$5=1,INDEX('Live History'!$B$5:$B$3004,$K274),INDEX('AH History'!$D$5:$GG$1380,$K274,AH!$U$10))),NA()),NA())</f>
        <v/>
      </c>
      <c r="F274" s="32">
        <f>IFERROR(IF(ISNUMBER($A274),IF(AND(AH!$U$12=1,269+1=AH!$U$6),IF(AH!$U$4=0,"unavailable",INDEX('Market Data'!$AO$5:$AO$66,AH!$U$4)),IF(AH!$U$5=1,INDEX('Live History'!$E$5:$E$3004,MATCH($A274,'Live History'!$D$5:$D$3004,1)),INDEX('AH History'!$D$5:$GG$1380,$K274,AH!$U$10+1))),NA()),NA())</f>
        <v/>
      </c>
      <c r="G274" s="34">
        <f>IFERROR(IF(ISNUMBER($A274),IF(AND(AH!$U$12=1,269+1=AH!$U$6),IF(AH!$U$4=0,"unavailable",INDEX('Market Data'!$AK$5:$AK$66,AH!$U$4)),IF(AH!$U$5=1,INDEX('Live History'!$D$5:$D$3004,MATCH($A274,'Live History'!$D$5:$D$3004,1)),INDEX('AH History'!$D$5:$GG$1380,$K274,AH!$U$10+2))),NA()),NA())</f>
        <v/>
      </c>
      <c r="H274" s="266">
        <f>IFERROR(IF(ISNUMBER($A274),IF(AND(AH!$U$12=1,269+1=AH!$U$6),IF(AH!$U$4=0,"unavailable",INDEX('Market Data'!$AP$5:$AP$66,AH!$U$4)),IF(AH!$U$5=1,INDEX('Live History'!$H$5:$H$3004,MATCH($A274,'Live History'!$G$5:$G$3004,1)),INDEX('AH History'!$B$5:$B$1380,$K274))),NA()),NA())</f>
        <v/>
      </c>
      <c r="I274" s="34">
        <f>IFERROR(IF(ISNUMBER($A274),IF(AND(AH!$U$12=1,269+1=AH!$U$6),TODAY(),IF(AH!$U$5=1,INDEX('Live History'!$G$5:$G$3004,MATCH($A274,'Live History'!$G$5:$G$3004,1)),INDEX('AH History'!$C$5:$C$1380,$K274))),NA()),NA())</f>
        <v/>
      </c>
      <c r="J274" s="32">
        <f>IFERROR(IF(AND($F274&gt;0,$H274&gt;0,$A274-$G274&lt;=10,$A274-$I274&lt;=5,$G274&gt;0,$I274&gt;0),$F274*$H274,NA()),NA())</f>
        <v/>
      </c>
      <c r="K274" s="15">
        <f>IF($A274="","",IF(AH!$U$5=1,IFERROR(MATCH($A274,'Live History'!$A$5:$A$3004,0),0),AH!$U$7+269))</f>
        <v/>
      </c>
      <c r="L274" s="15">
        <f>IF(ISNUMBER(A274),TEXT(A274,"dd-mmm-yy"),"")</f>
        <v/>
      </c>
    </row>
    <row r="275">
      <c r="A275" s="14">
        <f>IF(OR(AH!$U$4=0,270+1&gt;AH!$U$6,AND(AH!$M$5="Bloomberg",AH!$U$5=0)),"",IFERROR(IF(AND(AH!$U$12=1,270+1=AH!$U$6),TODAY(),IF(AH!$U$5=1,INDEX('Live History'!$A$5:$A$3004,AH!$U$7+270),INDEX('AH History'!$A$5:$A$1380,AH!$U$7+270))),""))</f>
        <v/>
      </c>
      <c r="B275" s="33">
        <f>IFERROR(IF(AH!$U$11=1,NA(),$J275/$E275-1),NA())</f>
        <v/>
      </c>
      <c r="C275" s="269">
        <f>IFERROR(100*$E275/$E$5,NA())</f>
        <v/>
      </c>
      <c r="D275" s="269">
        <f>IFERROR(100*$J275/$J$5,NA())</f>
        <v/>
      </c>
      <c r="E275" s="32">
        <f>IFERROR(IF(AND(ISNUMBER($A275),N(IF(AND(AH!$U$12=1,270+1=AH!$U$6),IF(AH!$U$4=0,"unavailable",INDEX('Market Data'!$AN$5:$AN$66,AH!$U$4)),IF(AH!$U$5=1,INDEX('Live History'!$B$5:$B$3004,$K275),INDEX('AH History'!$D$5:$GG$1380,$K275,AH!$U$10))))&gt;0),IF(AND(AH!$U$12=1,270+1=AH!$U$6),IF(AH!$U$4=0,"unavailable",INDEX('Market Data'!$AN$5:$AN$66,AH!$U$4)),IF(AH!$U$5=1,INDEX('Live History'!$B$5:$B$3004,$K275),INDEX('AH History'!$D$5:$GG$1380,$K275,AH!$U$10))),NA()),NA())</f>
        <v/>
      </c>
      <c r="F275" s="32">
        <f>IFERROR(IF(ISNUMBER($A275),IF(AND(AH!$U$12=1,270+1=AH!$U$6),IF(AH!$U$4=0,"unavailable",INDEX('Market Data'!$AO$5:$AO$66,AH!$U$4)),IF(AH!$U$5=1,INDEX('Live History'!$E$5:$E$3004,MATCH($A275,'Live History'!$D$5:$D$3004,1)),INDEX('AH History'!$D$5:$GG$1380,$K275,AH!$U$10+1))),NA()),NA())</f>
        <v/>
      </c>
      <c r="G275" s="34">
        <f>IFERROR(IF(ISNUMBER($A275),IF(AND(AH!$U$12=1,270+1=AH!$U$6),IF(AH!$U$4=0,"unavailable",INDEX('Market Data'!$AK$5:$AK$66,AH!$U$4)),IF(AH!$U$5=1,INDEX('Live History'!$D$5:$D$3004,MATCH($A275,'Live History'!$D$5:$D$3004,1)),INDEX('AH History'!$D$5:$GG$1380,$K275,AH!$U$10+2))),NA()),NA())</f>
        <v/>
      </c>
      <c r="H275" s="266">
        <f>IFERROR(IF(ISNUMBER($A275),IF(AND(AH!$U$12=1,270+1=AH!$U$6),IF(AH!$U$4=0,"unavailable",INDEX('Market Data'!$AP$5:$AP$66,AH!$U$4)),IF(AH!$U$5=1,INDEX('Live History'!$H$5:$H$3004,MATCH($A275,'Live History'!$G$5:$G$3004,1)),INDEX('AH History'!$B$5:$B$1380,$K275))),NA()),NA())</f>
        <v/>
      </c>
      <c r="I275" s="34">
        <f>IFERROR(IF(ISNUMBER($A275),IF(AND(AH!$U$12=1,270+1=AH!$U$6),TODAY(),IF(AH!$U$5=1,INDEX('Live History'!$G$5:$G$3004,MATCH($A275,'Live History'!$G$5:$G$3004,1)),INDEX('AH History'!$C$5:$C$1380,$K275))),NA()),NA())</f>
        <v/>
      </c>
      <c r="J275" s="32">
        <f>IFERROR(IF(AND($F275&gt;0,$H275&gt;0,$A275-$G275&lt;=10,$A275-$I275&lt;=5,$G275&gt;0,$I275&gt;0),$F275*$H275,NA()),NA())</f>
        <v/>
      </c>
      <c r="K275" s="15">
        <f>IF($A275="","",IF(AH!$U$5=1,IFERROR(MATCH($A275,'Live History'!$A$5:$A$3004,0),0),AH!$U$7+270))</f>
        <v/>
      </c>
      <c r="L275" s="15">
        <f>IF(ISNUMBER(A275),TEXT(A275,"dd-mmm-yy"),"")</f>
        <v/>
      </c>
    </row>
    <row r="276">
      <c r="A276" s="14">
        <f>IF(OR(AH!$U$4=0,271+1&gt;AH!$U$6,AND(AH!$M$5="Bloomberg",AH!$U$5=0)),"",IFERROR(IF(AND(AH!$U$12=1,271+1=AH!$U$6),TODAY(),IF(AH!$U$5=1,INDEX('Live History'!$A$5:$A$3004,AH!$U$7+271),INDEX('AH History'!$A$5:$A$1380,AH!$U$7+271))),""))</f>
        <v/>
      </c>
      <c r="B276" s="33">
        <f>IFERROR(IF(AH!$U$11=1,NA(),$J276/$E276-1),NA())</f>
        <v/>
      </c>
      <c r="C276" s="269">
        <f>IFERROR(100*$E276/$E$5,NA())</f>
        <v/>
      </c>
      <c r="D276" s="269">
        <f>IFERROR(100*$J276/$J$5,NA())</f>
        <v/>
      </c>
      <c r="E276" s="32">
        <f>IFERROR(IF(AND(ISNUMBER($A276),N(IF(AND(AH!$U$12=1,271+1=AH!$U$6),IF(AH!$U$4=0,"unavailable",INDEX('Market Data'!$AN$5:$AN$66,AH!$U$4)),IF(AH!$U$5=1,INDEX('Live History'!$B$5:$B$3004,$K276),INDEX('AH History'!$D$5:$GG$1380,$K276,AH!$U$10))))&gt;0),IF(AND(AH!$U$12=1,271+1=AH!$U$6),IF(AH!$U$4=0,"unavailable",INDEX('Market Data'!$AN$5:$AN$66,AH!$U$4)),IF(AH!$U$5=1,INDEX('Live History'!$B$5:$B$3004,$K276),INDEX('AH History'!$D$5:$GG$1380,$K276,AH!$U$10))),NA()),NA())</f>
        <v/>
      </c>
      <c r="F276" s="32">
        <f>IFERROR(IF(ISNUMBER($A276),IF(AND(AH!$U$12=1,271+1=AH!$U$6),IF(AH!$U$4=0,"unavailable",INDEX('Market Data'!$AO$5:$AO$66,AH!$U$4)),IF(AH!$U$5=1,INDEX('Live History'!$E$5:$E$3004,MATCH($A276,'Live History'!$D$5:$D$3004,1)),INDEX('AH History'!$D$5:$GG$1380,$K276,AH!$U$10+1))),NA()),NA())</f>
        <v/>
      </c>
      <c r="G276" s="34">
        <f>IFERROR(IF(ISNUMBER($A276),IF(AND(AH!$U$12=1,271+1=AH!$U$6),IF(AH!$U$4=0,"unavailable",INDEX('Market Data'!$AK$5:$AK$66,AH!$U$4)),IF(AH!$U$5=1,INDEX('Live History'!$D$5:$D$3004,MATCH($A276,'Live History'!$D$5:$D$3004,1)),INDEX('AH History'!$D$5:$GG$1380,$K276,AH!$U$10+2))),NA()),NA())</f>
        <v/>
      </c>
      <c r="H276" s="266">
        <f>IFERROR(IF(ISNUMBER($A276),IF(AND(AH!$U$12=1,271+1=AH!$U$6),IF(AH!$U$4=0,"unavailable",INDEX('Market Data'!$AP$5:$AP$66,AH!$U$4)),IF(AH!$U$5=1,INDEX('Live History'!$H$5:$H$3004,MATCH($A276,'Live History'!$G$5:$G$3004,1)),INDEX('AH History'!$B$5:$B$1380,$K276))),NA()),NA())</f>
        <v/>
      </c>
      <c r="I276" s="34">
        <f>IFERROR(IF(ISNUMBER($A276),IF(AND(AH!$U$12=1,271+1=AH!$U$6),TODAY(),IF(AH!$U$5=1,INDEX('Live History'!$G$5:$G$3004,MATCH($A276,'Live History'!$G$5:$G$3004,1)),INDEX('AH History'!$C$5:$C$1380,$K276))),NA()),NA())</f>
        <v/>
      </c>
      <c r="J276" s="32">
        <f>IFERROR(IF(AND($F276&gt;0,$H276&gt;0,$A276-$G276&lt;=10,$A276-$I276&lt;=5,$G276&gt;0,$I276&gt;0),$F276*$H276,NA()),NA())</f>
        <v/>
      </c>
      <c r="K276" s="15">
        <f>IF($A276="","",IF(AH!$U$5=1,IFERROR(MATCH($A276,'Live History'!$A$5:$A$3004,0),0),AH!$U$7+271))</f>
        <v/>
      </c>
      <c r="L276" s="15">
        <f>IF(ISNUMBER(A276),TEXT(A276,"dd-mmm-yy"),"")</f>
        <v/>
      </c>
    </row>
    <row r="277">
      <c r="A277" s="14">
        <f>IF(OR(AH!$U$4=0,272+1&gt;AH!$U$6,AND(AH!$M$5="Bloomberg",AH!$U$5=0)),"",IFERROR(IF(AND(AH!$U$12=1,272+1=AH!$U$6),TODAY(),IF(AH!$U$5=1,INDEX('Live History'!$A$5:$A$3004,AH!$U$7+272),INDEX('AH History'!$A$5:$A$1380,AH!$U$7+272))),""))</f>
        <v/>
      </c>
      <c r="B277" s="33">
        <f>IFERROR(IF(AH!$U$11=1,NA(),$J277/$E277-1),NA())</f>
        <v/>
      </c>
      <c r="C277" s="269">
        <f>IFERROR(100*$E277/$E$5,NA())</f>
        <v/>
      </c>
      <c r="D277" s="269">
        <f>IFERROR(100*$J277/$J$5,NA())</f>
        <v/>
      </c>
      <c r="E277" s="32">
        <f>IFERROR(IF(AND(ISNUMBER($A277),N(IF(AND(AH!$U$12=1,272+1=AH!$U$6),IF(AH!$U$4=0,"unavailable",INDEX('Market Data'!$AN$5:$AN$66,AH!$U$4)),IF(AH!$U$5=1,INDEX('Live History'!$B$5:$B$3004,$K277),INDEX('AH History'!$D$5:$GG$1380,$K277,AH!$U$10))))&gt;0),IF(AND(AH!$U$12=1,272+1=AH!$U$6),IF(AH!$U$4=0,"unavailable",INDEX('Market Data'!$AN$5:$AN$66,AH!$U$4)),IF(AH!$U$5=1,INDEX('Live History'!$B$5:$B$3004,$K277),INDEX('AH History'!$D$5:$GG$1380,$K277,AH!$U$10))),NA()),NA())</f>
        <v/>
      </c>
      <c r="F277" s="32">
        <f>IFERROR(IF(ISNUMBER($A277),IF(AND(AH!$U$12=1,272+1=AH!$U$6),IF(AH!$U$4=0,"unavailable",INDEX('Market Data'!$AO$5:$AO$66,AH!$U$4)),IF(AH!$U$5=1,INDEX('Live History'!$E$5:$E$3004,MATCH($A277,'Live History'!$D$5:$D$3004,1)),INDEX('AH History'!$D$5:$GG$1380,$K277,AH!$U$10+1))),NA()),NA())</f>
        <v/>
      </c>
      <c r="G277" s="34">
        <f>IFERROR(IF(ISNUMBER($A277),IF(AND(AH!$U$12=1,272+1=AH!$U$6),IF(AH!$U$4=0,"unavailable",INDEX('Market Data'!$AK$5:$AK$66,AH!$U$4)),IF(AH!$U$5=1,INDEX('Live History'!$D$5:$D$3004,MATCH($A277,'Live History'!$D$5:$D$3004,1)),INDEX('AH History'!$D$5:$GG$1380,$K277,AH!$U$10+2))),NA()),NA())</f>
        <v/>
      </c>
      <c r="H277" s="266">
        <f>IFERROR(IF(ISNUMBER($A277),IF(AND(AH!$U$12=1,272+1=AH!$U$6),IF(AH!$U$4=0,"unavailable",INDEX('Market Data'!$AP$5:$AP$66,AH!$U$4)),IF(AH!$U$5=1,INDEX('Live History'!$H$5:$H$3004,MATCH($A277,'Live History'!$G$5:$G$3004,1)),INDEX('AH History'!$B$5:$B$1380,$K277))),NA()),NA())</f>
        <v/>
      </c>
      <c r="I277" s="34">
        <f>IFERROR(IF(ISNUMBER($A277),IF(AND(AH!$U$12=1,272+1=AH!$U$6),TODAY(),IF(AH!$U$5=1,INDEX('Live History'!$G$5:$G$3004,MATCH($A277,'Live History'!$G$5:$G$3004,1)),INDEX('AH History'!$C$5:$C$1380,$K277))),NA()),NA())</f>
        <v/>
      </c>
      <c r="J277" s="32">
        <f>IFERROR(IF(AND($F277&gt;0,$H277&gt;0,$A277-$G277&lt;=10,$A277-$I277&lt;=5,$G277&gt;0,$I277&gt;0),$F277*$H277,NA()),NA())</f>
        <v/>
      </c>
      <c r="K277" s="15">
        <f>IF($A277="","",IF(AH!$U$5=1,IFERROR(MATCH($A277,'Live History'!$A$5:$A$3004,0),0),AH!$U$7+272))</f>
        <v/>
      </c>
      <c r="L277" s="15">
        <f>IF(ISNUMBER(A277),TEXT(A277,"dd-mmm-yy"),"")</f>
        <v/>
      </c>
    </row>
    <row r="278">
      <c r="A278" s="14">
        <f>IF(OR(AH!$U$4=0,273+1&gt;AH!$U$6,AND(AH!$M$5="Bloomberg",AH!$U$5=0)),"",IFERROR(IF(AND(AH!$U$12=1,273+1=AH!$U$6),TODAY(),IF(AH!$U$5=1,INDEX('Live History'!$A$5:$A$3004,AH!$U$7+273),INDEX('AH History'!$A$5:$A$1380,AH!$U$7+273))),""))</f>
        <v/>
      </c>
      <c r="B278" s="33">
        <f>IFERROR(IF(AH!$U$11=1,NA(),$J278/$E278-1),NA())</f>
        <v/>
      </c>
      <c r="C278" s="269">
        <f>IFERROR(100*$E278/$E$5,NA())</f>
        <v/>
      </c>
      <c r="D278" s="269">
        <f>IFERROR(100*$J278/$J$5,NA())</f>
        <v/>
      </c>
      <c r="E278" s="32">
        <f>IFERROR(IF(AND(ISNUMBER($A278),N(IF(AND(AH!$U$12=1,273+1=AH!$U$6),IF(AH!$U$4=0,"unavailable",INDEX('Market Data'!$AN$5:$AN$66,AH!$U$4)),IF(AH!$U$5=1,INDEX('Live History'!$B$5:$B$3004,$K278),INDEX('AH History'!$D$5:$GG$1380,$K278,AH!$U$10))))&gt;0),IF(AND(AH!$U$12=1,273+1=AH!$U$6),IF(AH!$U$4=0,"unavailable",INDEX('Market Data'!$AN$5:$AN$66,AH!$U$4)),IF(AH!$U$5=1,INDEX('Live History'!$B$5:$B$3004,$K278),INDEX('AH History'!$D$5:$GG$1380,$K278,AH!$U$10))),NA()),NA())</f>
        <v/>
      </c>
      <c r="F278" s="32">
        <f>IFERROR(IF(ISNUMBER($A278),IF(AND(AH!$U$12=1,273+1=AH!$U$6),IF(AH!$U$4=0,"unavailable",INDEX('Market Data'!$AO$5:$AO$66,AH!$U$4)),IF(AH!$U$5=1,INDEX('Live History'!$E$5:$E$3004,MATCH($A278,'Live History'!$D$5:$D$3004,1)),INDEX('AH History'!$D$5:$GG$1380,$K278,AH!$U$10+1))),NA()),NA())</f>
        <v/>
      </c>
      <c r="G278" s="34">
        <f>IFERROR(IF(ISNUMBER($A278),IF(AND(AH!$U$12=1,273+1=AH!$U$6),IF(AH!$U$4=0,"unavailable",INDEX('Market Data'!$AK$5:$AK$66,AH!$U$4)),IF(AH!$U$5=1,INDEX('Live History'!$D$5:$D$3004,MATCH($A278,'Live History'!$D$5:$D$3004,1)),INDEX('AH History'!$D$5:$GG$1380,$K278,AH!$U$10+2))),NA()),NA())</f>
        <v/>
      </c>
      <c r="H278" s="266">
        <f>IFERROR(IF(ISNUMBER($A278),IF(AND(AH!$U$12=1,273+1=AH!$U$6),IF(AH!$U$4=0,"unavailable",INDEX('Market Data'!$AP$5:$AP$66,AH!$U$4)),IF(AH!$U$5=1,INDEX('Live History'!$H$5:$H$3004,MATCH($A278,'Live History'!$G$5:$G$3004,1)),INDEX('AH History'!$B$5:$B$1380,$K278))),NA()),NA())</f>
        <v/>
      </c>
      <c r="I278" s="34">
        <f>IFERROR(IF(ISNUMBER($A278),IF(AND(AH!$U$12=1,273+1=AH!$U$6),TODAY(),IF(AH!$U$5=1,INDEX('Live History'!$G$5:$G$3004,MATCH($A278,'Live History'!$G$5:$G$3004,1)),INDEX('AH History'!$C$5:$C$1380,$K278))),NA()),NA())</f>
        <v/>
      </c>
      <c r="J278" s="32">
        <f>IFERROR(IF(AND($F278&gt;0,$H278&gt;0,$A278-$G278&lt;=10,$A278-$I278&lt;=5,$G278&gt;0,$I278&gt;0),$F278*$H278,NA()),NA())</f>
        <v/>
      </c>
      <c r="K278" s="15">
        <f>IF($A278="","",IF(AH!$U$5=1,IFERROR(MATCH($A278,'Live History'!$A$5:$A$3004,0),0),AH!$U$7+273))</f>
        <v/>
      </c>
      <c r="L278" s="15">
        <f>IF(ISNUMBER(A278),TEXT(A278,"dd-mmm-yy"),"")</f>
        <v/>
      </c>
    </row>
    <row r="279">
      <c r="A279" s="14">
        <f>IF(OR(AH!$U$4=0,274+1&gt;AH!$U$6,AND(AH!$M$5="Bloomberg",AH!$U$5=0)),"",IFERROR(IF(AND(AH!$U$12=1,274+1=AH!$U$6),TODAY(),IF(AH!$U$5=1,INDEX('Live History'!$A$5:$A$3004,AH!$U$7+274),INDEX('AH History'!$A$5:$A$1380,AH!$U$7+274))),""))</f>
        <v/>
      </c>
      <c r="B279" s="33">
        <f>IFERROR(IF(AH!$U$11=1,NA(),$J279/$E279-1),NA())</f>
        <v/>
      </c>
      <c r="C279" s="269">
        <f>IFERROR(100*$E279/$E$5,NA())</f>
        <v/>
      </c>
      <c r="D279" s="269">
        <f>IFERROR(100*$J279/$J$5,NA())</f>
        <v/>
      </c>
      <c r="E279" s="32">
        <f>IFERROR(IF(AND(ISNUMBER($A279),N(IF(AND(AH!$U$12=1,274+1=AH!$U$6),IF(AH!$U$4=0,"unavailable",INDEX('Market Data'!$AN$5:$AN$66,AH!$U$4)),IF(AH!$U$5=1,INDEX('Live History'!$B$5:$B$3004,$K279),INDEX('AH History'!$D$5:$GG$1380,$K279,AH!$U$10))))&gt;0),IF(AND(AH!$U$12=1,274+1=AH!$U$6),IF(AH!$U$4=0,"unavailable",INDEX('Market Data'!$AN$5:$AN$66,AH!$U$4)),IF(AH!$U$5=1,INDEX('Live History'!$B$5:$B$3004,$K279),INDEX('AH History'!$D$5:$GG$1380,$K279,AH!$U$10))),NA()),NA())</f>
        <v/>
      </c>
      <c r="F279" s="32">
        <f>IFERROR(IF(ISNUMBER($A279),IF(AND(AH!$U$12=1,274+1=AH!$U$6),IF(AH!$U$4=0,"unavailable",INDEX('Market Data'!$AO$5:$AO$66,AH!$U$4)),IF(AH!$U$5=1,INDEX('Live History'!$E$5:$E$3004,MATCH($A279,'Live History'!$D$5:$D$3004,1)),INDEX('AH History'!$D$5:$GG$1380,$K279,AH!$U$10+1))),NA()),NA())</f>
        <v/>
      </c>
      <c r="G279" s="34">
        <f>IFERROR(IF(ISNUMBER($A279),IF(AND(AH!$U$12=1,274+1=AH!$U$6),IF(AH!$U$4=0,"unavailable",INDEX('Market Data'!$AK$5:$AK$66,AH!$U$4)),IF(AH!$U$5=1,INDEX('Live History'!$D$5:$D$3004,MATCH($A279,'Live History'!$D$5:$D$3004,1)),INDEX('AH History'!$D$5:$GG$1380,$K279,AH!$U$10+2))),NA()),NA())</f>
        <v/>
      </c>
      <c r="H279" s="266">
        <f>IFERROR(IF(ISNUMBER($A279),IF(AND(AH!$U$12=1,274+1=AH!$U$6),IF(AH!$U$4=0,"unavailable",INDEX('Market Data'!$AP$5:$AP$66,AH!$U$4)),IF(AH!$U$5=1,INDEX('Live History'!$H$5:$H$3004,MATCH($A279,'Live History'!$G$5:$G$3004,1)),INDEX('AH History'!$B$5:$B$1380,$K279))),NA()),NA())</f>
        <v/>
      </c>
      <c r="I279" s="34">
        <f>IFERROR(IF(ISNUMBER($A279),IF(AND(AH!$U$12=1,274+1=AH!$U$6),TODAY(),IF(AH!$U$5=1,INDEX('Live History'!$G$5:$G$3004,MATCH($A279,'Live History'!$G$5:$G$3004,1)),INDEX('AH History'!$C$5:$C$1380,$K279))),NA()),NA())</f>
        <v/>
      </c>
      <c r="J279" s="32">
        <f>IFERROR(IF(AND($F279&gt;0,$H279&gt;0,$A279-$G279&lt;=10,$A279-$I279&lt;=5,$G279&gt;0,$I279&gt;0),$F279*$H279,NA()),NA())</f>
        <v/>
      </c>
      <c r="K279" s="15">
        <f>IF($A279="","",IF(AH!$U$5=1,IFERROR(MATCH($A279,'Live History'!$A$5:$A$3004,0),0),AH!$U$7+274))</f>
        <v/>
      </c>
      <c r="L279" s="15">
        <f>IF(ISNUMBER(A279),TEXT(A279,"dd-mmm-yy"),"")</f>
        <v/>
      </c>
    </row>
    <row r="280">
      <c r="A280" s="14">
        <f>IF(OR(AH!$U$4=0,275+1&gt;AH!$U$6,AND(AH!$M$5="Bloomberg",AH!$U$5=0)),"",IFERROR(IF(AND(AH!$U$12=1,275+1=AH!$U$6),TODAY(),IF(AH!$U$5=1,INDEX('Live History'!$A$5:$A$3004,AH!$U$7+275),INDEX('AH History'!$A$5:$A$1380,AH!$U$7+275))),""))</f>
        <v/>
      </c>
      <c r="B280" s="33">
        <f>IFERROR(IF(AH!$U$11=1,NA(),$J280/$E280-1),NA())</f>
        <v/>
      </c>
      <c r="C280" s="269">
        <f>IFERROR(100*$E280/$E$5,NA())</f>
        <v/>
      </c>
      <c r="D280" s="269">
        <f>IFERROR(100*$J280/$J$5,NA())</f>
        <v/>
      </c>
      <c r="E280" s="32">
        <f>IFERROR(IF(AND(ISNUMBER($A280),N(IF(AND(AH!$U$12=1,275+1=AH!$U$6),IF(AH!$U$4=0,"unavailable",INDEX('Market Data'!$AN$5:$AN$66,AH!$U$4)),IF(AH!$U$5=1,INDEX('Live History'!$B$5:$B$3004,$K280),INDEX('AH History'!$D$5:$GG$1380,$K280,AH!$U$10))))&gt;0),IF(AND(AH!$U$12=1,275+1=AH!$U$6),IF(AH!$U$4=0,"unavailable",INDEX('Market Data'!$AN$5:$AN$66,AH!$U$4)),IF(AH!$U$5=1,INDEX('Live History'!$B$5:$B$3004,$K280),INDEX('AH History'!$D$5:$GG$1380,$K280,AH!$U$10))),NA()),NA())</f>
        <v/>
      </c>
      <c r="F280" s="32">
        <f>IFERROR(IF(ISNUMBER($A280),IF(AND(AH!$U$12=1,275+1=AH!$U$6),IF(AH!$U$4=0,"unavailable",INDEX('Market Data'!$AO$5:$AO$66,AH!$U$4)),IF(AH!$U$5=1,INDEX('Live History'!$E$5:$E$3004,MATCH($A280,'Live History'!$D$5:$D$3004,1)),INDEX('AH History'!$D$5:$GG$1380,$K280,AH!$U$10+1))),NA()),NA())</f>
        <v/>
      </c>
      <c r="G280" s="34">
        <f>IFERROR(IF(ISNUMBER($A280),IF(AND(AH!$U$12=1,275+1=AH!$U$6),IF(AH!$U$4=0,"unavailable",INDEX('Market Data'!$AK$5:$AK$66,AH!$U$4)),IF(AH!$U$5=1,INDEX('Live History'!$D$5:$D$3004,MATCH($A280,'Live History'!$D$5:$D$3004,1)),INDEX('AH History'!$D$5:$GG$1380,$K280,AH!$U$10+2))),NA()),NA())</f>
        <v/>
      </c>
      <c r="H280" s="266">
        <f>IFERROR(IF(ISNUMBER($A280),IF(AND(AH!$U$12=1,275+1=AH!$U$6),IF(AH!$U$4=0,"unavailable",INDEX('Market Data'!$AP$5:$AP$66,AH!$U$4)),IF(AH!$U$5=1,INDEX('Live History'!$H$5:$H$3004,MATCH($A280,'Live History'!$G$5:$G$3004,1)),INDEX('AH History'!$B$5:$B$1380,$K280))),NA()),NA())</f>
        <v/>
      </c>
      <c r="I280" s="34">
        <f>IFERROR(IF(ISNUMBER($A280),IF(AND(AH!$U$12=1,275+1=AH!$U$6),TODAY(),IF(AH!$U$5=1,INDEX('Live History'!$G$5:$G$3004,MATCH($A280,'Live History'!$G$5:$G$3004,1)),INDEX('AH History'!$C$5:$C$1380,$K280))),NA()),NA())</f>
        <v/>
      </c>
      <c r="J280" s="32">
        <f>IFERROR(IF(AND($F280&gt;0,$H280&gt;0,$A280-$G280&lt;=10,$A280-$I280&lt;=5,$G280&gt;0,$I280&gt;0),$F280*$H280,NA()),NA())</f>
        <v/>
      </c>
      <c r="K280" s="15">
        <f>IF($A280="","",IF(AH!$U$5=1,IFERROR(MATCH($A280,'Live History'!$A$5:$A$3004,0),0),AH!$U$7+275))</f>
        <v/>
      </c>
      <c r="L280" s="15">
        <f>IF(ISNUMBER(A280),TEXT(A280,"dd-mmm-yy"),"")</f>
        <v/>
      </c>
    </row>
    <row r="281">
      <c r="A281" s="14">
        <f>IF(OR(AH!$U$4=0,276+1&gt;AH!$U$6,AND(AH!$M$5="Bloomberg",AH!$U$5=0)),"",IFERROR(IF(AND(AH!$U$12=1,276+1=AH!$U$6),TODAY(),IF(AH!$U$5=1,INDEX('Live History'!$A$5:$A$3004,AH!$U$7+276),INDEX('AH History'!$A$5:$A$1380,AH!$U$7+276))),""))</f>
        <v/>
      </c>
      <c r="B281" s="33">
        <f>IFERROR(IF(AH!$U$11=1,NA(),$J281/$E281-1),NA())</f>
        <v/>
      </c>
      <c r="C281" s="269">
        <f>IFERROR(100*$E281/$E$5,NA())</f>
        <v/>
      </c>
      <c r="D281" s="269">
        <f>IFERROR(100*$J281/$J$5,NA())</f>
        <v/>
      </c>
      <c r="E281" s="32">
        <f>IFERROR(IF(AND(ISNUMBER($A281),N(IF(AND(AH!$U$12=1,276+1=AH!$U$6),IF(AH!$U$4=0,"unavailable",INDEX('Market Data'!$AN$5:$AN$66,AH!$U$4)),IF(AH!$U$5=1,INDEX('Live History'!$B$5:$B$3004,$K281),INDEX('AH History'!$D$5:$GG$1380,$K281,AH!$U$10))))&gt;0),IF(AND(AH!$U$12=1,276+1=AH!$U$6),IF(AH!$U$4=0,"unavailable",INDEX('Market Data'!$AN$5:$AN$66,AH!$U$4)),IF(AH!$U$5=1,INDEX('Live History'!$B$5:$B$3004,$K281),INDEX('AH History'!$D$5:$GG$1380,$K281,AH!$U$10))),NA()),NA())</f>
        <v/>
      </c>
      <c r="F281" s="32">
        <f>IFERROR(IF(ISNUMBER($A281),IF(AND(AH!$U$12=1,276+1=AH!$U$6),IF(AH!$U$4=0,"unavailable",INDEX('Market Data'!$AO$5:$AO$66,AH!$U$4)),IF(AH!$U$5=1,INDEX('Live History'!$E$5:$E$3004,MATCH($A281,'Live History'!$D$5:$D$3004,1)),INDEX('AH History'!$D$5:$GG$1380,$K281,AH!$U$10+1))),NA()),NA())</f>
        <v/>
      </c>
      <c r="G281" s="34">
        <f>IFERROR(IF(ISNUMBER($A281),IF(AND(AH!$U$12=1,276+1=AH!$U$6),IF(AH!$U$4=0,"unavailable",INDEX('Market Data'!$AK$5:$AK$66,AH!$U$4)),IF(AH!$U$5=1,INDEX('Live History'!$D$5:$D$3004,MATCH($A281,'Live History'!$D$5:$D$3004,1)),INDEX('AH History'!$D$5:$GG$1380,$K281,AH!$U$10+2))),NA()),NA())</f>
        <v/>
      </c>
      <c r="H281" s="266">
        <f>IFERROR(IF(ISNUMBER($A281),IF(AND(AH!$U$12=1,276+1=AH!$U$6),IF(AH!$U$4=0,"unavailable",INDEX('Market Data'!$AP$5:$AP$66,AH!$U$4)),IF(AH!$U$5=1,INDEX('Live History'!$H$5:$H$3004,MATCH($A281,'Live History'!$G$5:$G$3004,1)),INDEX('AH History'!$B$5:$B$1380,$K281))),NA()),NA())</f>
        <v/>
      </c>
      <c r="I281" s="34">
        <f>IFERROR(IF(ISNUMBER($A281),IF(AND(AH!$U$12=1,276+1=AH!$U$6),TODAY(),IF(AH!$U$5=1,INDEX('Live History'!$G$5:$G$3004,MATCH($A281,'Live History'!$G$5:$G$3004,1)),INDEX('AH History'!$C$5:$C$1380,$K281))),NA()),NA())</f>
        <v/>
      </c>
      <c r="J281" s="32">
        <f>IFERROR(IF(AND($F281&gt;0,$H281&gt;0,$A281-$G281&lt;=10,$A281-$I281&lt;=5,$G281&gt;0,$I281&gt;0),$F281*$H281,NA()),NA())</f>
        <v/>
      </c>
      <c r="K281" s="15">
        <f>IF($A281="","",IF(AH!$U$5=1,IFERROR(MATCH($A281,'Live History'!$A$5:$A$3004,0),0),AH!$U$7+276))</f>
        <v/>
      </c>
      <c r="L281" s="15">
        <f>IF(ISNUMBER(A281),TEXT(A281,"dd-mmm-yy"),"")</f>
        <v/>
      </c>
    </row>
    <row r="282">
      <c r="A282" s="14">
        <f>IF(OR(AH!$U$4=0,277+1&gt;AH!$U$6,AND(AH!$M$5="Bloomberg",AH!$U$5=0)),"",IFERROR(IF(AND(AH!$U$12=1,277+1=AH!$U$6),TODAY(),IF(AH!$U$5=1,INDEX('Live History'!$A$5:$A$3004,AH!$U$7+277),INDEX('AH History'!$A$5:$A$1380,AH!$U$7+277))),""))</f>
        <v/>
      </c>
      <c r="B282" s="33">
        <f>IFERROR(IF(AH!$U$11=1,NA(),$J282/$E282-1),NA())</f>
        <v/>
      </c>
      <c r="C282" s="269">
        <f>IFERROR(100*$E282/$E$5,NA())</f>
        <v/>
      </c>
      <c r="D282" s="269">
        <f>IFERROR(100*$J282/$J$5,NA())</f>
        <v/>
      </c>
      <c r="E282" s="32">
        <f>IFERROR(IF(AND(ISNUMBER($A282),N(IF(AND(AH!$U$12=1,277+1=AH!$U$6),IF(AH!$U$4=0,"unavailable",INDEX('Market Data'!$AN$5:$AN$66,AH!$U$4)),IF(AH!$U$5=1,INDEX('Live History'!$B$5:$B$3004,$K282),INDEX('AH History'!$D$5:$GG$1380,$K282,AH!$U$10))))&gt;0),IF(AND(AH!$U$12=1,277+1=AH!$U$6),IF(AH!$U$4=0,"unavailable",INDEX('Market Data'!$AN$5:$AN$66,AH!$U$4)),IF(AH!$U$5=1,INDEX('Live History'!$B$5:$B$3004,$K282),INDEX('AH History'!$D$5:$GG$1380,$K282,AH!$U$10))),NA()),NA())</f>
        <v/>
      </c>
      <c r="F282" s="32">
        <f>IFERROR(IF(ISNUMBER($A282),IF(AND(AH!$U$12=1,277+1=AH!$U$6),IF(AH!$U$4=0,"unavailable",INDEX('Market Data'!$AO$5:$AO$66,AH!$U$4)),IF(AH!$U$5=1,INDEX('Live History'!$E$5:$E$3004,MATCH($A282,'Live History'!$D$5:$D$3004,1)),INDEX('AH History'!$D$5:$GG$1380,$K282,AH!$U$10+1))),NA()),NA())</f>
        <v/>
      </c>
      <c r="G282" s="34">
        <f>IFERROR(IF(ISNUMBER($A282),IF(AND(AH!$U$12=1,277+1=AH!$U$6),IF(AH!$U$4=0,"unavailable",INDEX('Market Data'!$AK$5:$AK$66,AH!$U$4)),IF(AH!$U$5=1,INDEX('Live History'!$D$5:$D$3004,MATCH($A282,'Live History'!$D$5:$D$3004,1)),INDEX('AH History'!$D$5:$GG$1380,$K282,AH!$U$10+2))),NA()),NA())</f>
        <v/>
      </c>
      <c r="H282" s="266">
        <f>IFERROR(IF(ISNUMBER($A282),IF(AND(AH!$U$12=1,277+1=AH!$U$6),IF(AH!$U$4=0,"unavailable",INDEX('Market Data'!$AP$5:$AP$66,AH!$U$4)),IF(AH!$U$5=1,INDEX('Live History'!$H$5:$H$3004,MATCH($A282,'Live History'!$G$5:$G$3004,1)),INDEX('AH History'!$B$5:$B$1380,$K282))),NA()),NA())</f>
        <v/>
      </c>
      <c r="I282" s="34">
        <f>IFERROR(IF(ISNUMBER($A282),IF(AND(AH!$U$12=1,277+1=AH!$U$6),TODAY(),IF(AH!$U$5=1,INDEX('Live History'!$G$5:$G$3004,MATCH($A282,'Live History'!$G$5:$G$3004,1)),INDEX('AH History'!$C$5:$C$1380,$K282))),NA()),NA())</f>
        <v/>
      </c>
      <c r="J282" s="32">
        <f>IFERROR(IF(AND($F282&gt;0,$H282&gt;0,$A282-$G282&lt;=10,$A282-$I282&lt;=5,$G282&gt;0,$I282&gt;0),$F282*$H282,NA()),NA())</f>
        <v/>
      </c>
      <c r="K282" s="15">
        <f>IF($A282="","",IF(AH!$U$5=1,IFERROR(MATCH($A282,'Live History'!$A$5:$A$3004,0),0),AH!$U$7+277))</f>
        <v/>
      </c>
      <c r="L282" s="15">
        <f>IF(ISNUMBER(A282),TEXT(A282,"dd-mmm-yy"),"")</f>
        <v/>
      </c>
    </row>
    <row r="283">
      <c r="A283" s="14">
        <f>IF(OR(AH!$U$4=0,278+1&gt;AH!$U$6,AND(AH!$M$5="Bloomberg",AH!$U$5=0)),"",IFERROR(IF(AND(AH!$U$12=1,278+1=AH!$U$6),TODAY(),IF(AH!$U$5=1,INDEX('Live History'!$A$5:$A$3004,AH!$U$7+278),INDEX('AH History'!$A$5:$A$1380,AH!$U$7+278))),""))</f>
        <v/>
      </c>
      <c r="B283" s="33">
        <f>IFERROR(IF(AH!$U$11=1,NA(),$J283/$E283-1),NA())</f>
        <v/>
      </c>
      <c r="C283" s="269">
        <f>IFERROR(100*$E283/$E$5,NA())</f>
        <v/>
      </c>
      <c r="D283" s="269">
        <f>IFERROR(100*$J283/$J$5,NA())</f>
        <v/>
      </c>
      <c r="E283" s="32">
        <f>IFERROR(IF(AND(ISNUMBER($A283),N(IF(AND(AH!$U$12=1,278+1=AH!$U$6),IF(AH!$U$4=0,"unavailable",INDEX('Market Data'!$AN$5:$AN$66,AH!$U$4)),IF(AH!$U$5=1,INDEX('Live History'!$B$5:$B$3004,$K283),INDEX('AH History'!$D$5:$GG$1380,$K283,AH!$U$10))))&gt;0),IF(AND(AH!$U$12=1,278+1=AH!$U$6),IF(AH!$U$4=0,"unavailable",INDEX('Market Data'!$AN$5:$AN$66,AH!$U$4)),IF(AH!$U$5=1,INDEX('Live History'!$B$5:$B$3004,$K283),INDEX('AH History'!$D$5:$GG$1380,$K283,AH!$U$10))),NA()),NA())</f>
        <v/>
      </c>
      <c r="F283" s="32">
        <f>IFERROR(IF(ISNUMBER($A283),IF(AND(AH!$U$12=1,278+1=AH!$U$6),IF(AH!$U$4=0,"unavailable",INDEX('Market Data'!$AO$5:$AO$66,AH!$U$4)),IF(AH!$U$5=1,INDEX('Live History'!$E$5:$E$3004,MATCH($A283,'Live History'!$D$5:$D$3004,1)),INDEX('AH History'!$D$5:$GG$1380,$K283,AH!$U$10+1))),NA()),NA())</f>
        <v/>
      </c>
      <c r="G283" s="34">
        <f>IFERROR(IF(ISNUMBER($A283),IF(AND(AH!$U$12=1,278+1=AH!$U$6),IF(AH!$U$4=0,"unavailable",INDEX('Market Data'!$AK$5:$AK$66,AH!$U$4)),IF(AH!$U$5=1,INDEX('Live History'!$D$5:$D$3004,MATCH($A283,'Live History'!$D$5:$D$3004,1)),INDEX('AH History'!$D$5:$GG$1380,$K283,AH!$U$10+2))),NA()),NA())</f>
        <v/>
      </c>
      <c r="H283" s="266">
        <f>IFERROR(IF(ISNUMBER($A283),IF(AND(AH!$U$12=1,278+1=AH!$U$6),IF(AH!$U$4=0,"unavailable",INDEX('Market Data'!$AP$5:$AP$66,AH!$U$4)),IF(AH!$U$5=1,INDEX('Live History'!$H$5:$H$3004,MATCH($A283,'Live History'!$G$5:$G$3004,1)),INDEX('AH History'!$B$5:$B$1380,$K283))),NA()),NA())</f>
        <v/>
      </c>
      <c r="I283" s="34">
        <f>IFERROR(IF(ISNUMBER($A283),IF(AND(AH!$U$12=1,278+1=AH!$U$6),TODAY(),IF(AH!$U$5=1,INDEX('Live History'!$G$5:$G$3004,MATCH($A283,'Live History'!$G$5:$G$3004,1)),INDEX('AH History'!$C$5:$C$1380,$K283))),NA()),NA())</f>
        <v/>
      </c>
      <c r="J283" s="32">
        <f>IFERROR(IF(AND($F283&gt;0,$H283&gt;0,$A283-$G283&lt;=10,$A283-$I283&lt;=5,$G283&gt;0,$I283&gt;0),$F283*$H283,NA()),NA())</f>
        <v/>
      </c>
      <c r="K283" s="15">
        <f>IF($A283="","",IF(AH!$U$5=1,IFERROR(MATCH($A283,'Live History'!$A$5:$A$3004,0),0),AH!$U$7+278))</f>
        <v/>
      </c>
      <c r="L283" s="15">
        <f>IF(ISNUMBER(A283),TEXT(A283,"dd-mmm-yy"),"")</f>
        <v/>
      </c>
    </row>
    <row r="284">
      <c r="A284" s="14">
        <f>IF(OR(AH!$U$4=0,279+1&gt;AH!$U$6,AND(AH!$M$5="Bloomberg",AH!$U$5=0)),"",IFERROR(IF(AND(AH!$U$12=1,279+1=AH!$U$6),TODAY(),IF(AH!$U$5=1,INDEX('Live History'!$A$5:$A$3004,AH!$U$7+279),INDEX('AH History'!$A$5:$A$1380,AH!$U$7+279))),""))</f>
        <v/>
      </c>
      <c r="B284" s="33">
        <f>IFERROR(IF(AH!$U$11=1,NA(),$J284/$E284-1),NA())</f>
        <v/>
      </c>
      <c r="C284" s="269">
        <f>IFERROR(100*$E284/$E$5,NA())</f>
        <v/>
      </c>
      <c r="D284" s="269">
        <f>IFERROR(100*$J284/$J$5,NA())</f>
        <v/>
      </c>
      <c r="E284" s="32">
        <f>IFERROR(IF(AND(ISNUMBER($A284),N(IF(AND(AH!$U$12=1,279+1=AH!$U$6),IF(AH!$U$4=0,"unavailable",INDEX('Market Data'!$AN$5:$AN$66,AH!$U$4)),IF(AH!$U$5=1,INDEX('Live History'!$B$5:$B$3004,$K284),INDEX('AH History'!$D$5:$GG$1380,$K284,AH!$U$10))))&gt;0),IF(AND(AH!$U$12=1,279+1=AH!$U$6),IF(AH!$U$4=0,"unavailable",INDEX('Market Data'!$AN$5:$AN$66,AH!$U$4)),IF(AH!$U$5=1,INDEX('Live History'!$B$5:$B$3004,$K284),INDEX('AH History'!$D$5:$GG$1380,$K284,AH!$U$10))),NA()),NA())</f>
        <v/>
      </c>
      <c r="F284" s="32">
        <f>IFERROR(IF(ISNUMBER($A284),IF(AND(AH!$U$12=1,279+1=AH!$U$6),IF(AH!$U$4=0,"unavailable",INDEX('Market Data'!$AO$5:$AO$66,AH!$U$4)),IF(AH!$U$5=1,INDEX('Live History'!$E$5:$E$3004,MATCH($A284,'Live History'!$D$5:$D$3004,1)),INDEX('AH History'!$D$5:$GG$1380,$K284,AH!$U$10+1))),NA()),NA())</f>
        <v/>
      </c>
      <c r="G284" s="34">
        <f>IFERROR(IF(ISNUMBER($A284),IF(AND(AH!$U$12=1,279+1=AH!$U$6),IF(AH!$U$4=0,"unavailable",INDEX('Market Data'!$AK$5:$AK$66,AH!$U$4)),IF(AH!$U$5=1,INDEX('Live History'!$D$5:$D$3004,MATCH($A284,'Live History'!$D$5:$D$3004,1)),INDEX('AH History'!$D$5:$GG$1380,$K284,AH!$U$10+2))),NA()),NA())</f>
        <v/>
      </c>
      <c r="H284" s="266">
        <f>IFERROR(IF(ISNUMBER($A284),IF(AND(AH!$U$12=1,279+1=AH!$U$6),IF(AH!$U$4=0,"unavailable",INDEX('Market Data'!$AP$5:$AP$66,AH!$U$4)),IF(AH!$U$5=1,INDEX('Live History'!$H$5:$H$3004,MATCH($A284,'Live History'!$G$5:$G$3004,1)),INDEX('AH History'!$B$5:$B$1380,$K284))),NA()),NA())</f>
        <v/>
      </c>
      <c r="I284" s="34">
        <f>IFERROR(IF(ISNUMBER($A284),IF(AND(AH!$U$12=1,279+1=AH!$U$6),TODAY(),IF(AH!$U$5=1,INDEX('Live History'!$G$5:$G$3004,MATCH($A284,'Live History'!$G$5:$G$3004,1)),INDEX('AH History'!$C$5:$C$1380,$K284))),NA()),NA())</f>
        <v/>
      </c>
      <c r="J284" s="32">
        <f>IFERROR(IF(AND($F284&gt;0,$H284&gt;0,$A284-$G284&lt;=10,$A284-$I284&lt;=5,$G284&gt;0,$I284&gt;0),$F284*$H284,NA()),NA())</f>
        <v/>
      </c>
      <c r="K284" s="15">
        <f>IF($A284="","",IF(AH!$U$5=1,IFERROR(MATCH($A284,'Live History'!$A$5:$A$3004,0),0),AH!$U$7+279))</f>
        <v/>
      </c>
      <c r="L284" s="15">
        <f>IF(ISNUMBER(A284),TEXT(A284,"dd-mmm-yy"),"")</f>
        <v/>
      </c>
    </row>
    <row r="285">
      <c r="A285" s="14">
        <f>IF(OR(AH!$U$4=0,280+1&gt;AH!$U$6,AND(AH!$M$5="Bloomberg",AH!$U$5=0)),"",IFERROR(IF(AND(AH!$U$12=1,280+1=AH!$U$6),TODAY(),IF(AH!$U$5=1,INDEX('Live History'!$A$5:$A$3004,AH!$U$7+280),INDEX('AH History'!$A$5:$A$1380,AH!$U$7+280))),""))</f>
        <v/>
      </c>
      <c r="B285" s="33">
        <f>IFERROR(IF(AH!$U$11=1,NA(),$J285/$E285-1),NA())</f>
        <v/>
      </c>
      <c r="C285" s="269">
        <f>IFERROR(100*$E285/$E$5,NA())</f>
        <v/>
      </c>
      <c r="D285" s="269">
        <f>IFERROR(100*$J285/$J$5,NA())</f>
        <v/>
      </c>
      <c r="E285" s="32">
        <f>IFERROR(IF(AND(ISNUMBER($A285),N(IF(AND(AH!$U$12=1,280+1=AH!$U$6),IF(AH!$U$4=0,"unavailable",INDEX('Market Data'!$AN$5:$AN$66,AH!$U$4)),IF(AH!$U$5=1,INDEX('Live History'!$B$5:$B$3004,$K285),INDEX('AH History'!$D$5:$GG$1380,$K285,AH!$U$10))))&gt;0),IF(AND(AH!$U$12=1,280+1=AH!$U$6),IF(AH!$U$4=0,"unavailable",INDEX('Market Data'!$AN$5:$AN$66,AH!$U$4)),IF(AH!$U$5=1,INDEX('Live History'!$B$5:$B$3004,$K285),INDEX('AH History'!$D$5:$GG$1380,$K285,AH!$U$10))),NA()),NA())</f>
        <v/>
      </c>
      <c r="F285" s="32">
        <f>IFERROR(IF(ISNUMBER($A285),IF(AND(AH!$U$12=1,280+1=AH!$U$6),IF(AH!$U$4=0,"unavailable",INDEX('Market Data'!$AO$5:$AO$66,AH!$U$4)),IF(AH!$U$5=1,INDEX('Live History'!$E$5:$E$3004,MATCH($A285,'Live History'!$D$5:$D$3004,1)),INDEX('AH History'!$D$5:$GG$1380,$K285,AH!$U$10+1))),NA()),NA())</f>
        <v/>
      </c>
      <c r="G285" s="34">
        <f>IFERROR(IF(ISNUMBER($A285),IF(AND(AH!$U$12=1,280+1=AH!$U$6),IF(AH!$U$4=0,"unavailable",INDEX('Market Data'!$AK$5:$AK$66,AH!$U$4)),IF(AH!$U$5=1,INDEX('Live History'!$D$5:$D$3004,MATCH($A285,'Live History'!$D$5:$D$3004,1)),INDEX('AH History'!$D$5:$GG$1380,$K285,AH!$U$10+2))),NA()),NA())</f>
        <v/>
      </c>
      <c r="H285" s="266">
        <f>IFERROR(IF(ISNUMBER($A285),IF(AND(AH!$U$12=1,280+1=AH!$U$6),IF(AH!$U$4=0,"unavailable",INDEX('Market Data'!$AP$5:$AP$66,AH!$U$4)),IF(AH!$U$5=1,INDEX('Live History'!$H$5:$H$3004,MATCH($A285,'Live History'!$G$5:$G$3004,1)),INDEX('AH History'!$B$5:$B$1380,$K285))),NA()),NA())</f>
        <v/>
      </c>
      <c r="I285" s="34">
        <f>IFERROR(IF(ISNUMBER($A285),IF(AND(AH!$U$12=1,280+1=AH!$U$6),TODAY(),IF(AH!$U$5=1,INDEX('Live History'!$G$5:$G$3004,MATCH($A285,'Live History'!$G$5:$G$3004,1)),INDEX('AH History'!$C$5:$C$1380,$K285))),NA()),NA())</f>
        <v/>
      </c>
      <c r="J285" s="32">
        <f>IFERROR(IF(AND($F285&gt;0,$H285&gt;0,$A285-$G285&lt;=10,$A285-$I285&lt;=5,$G285&gt;0,$I285&gt;0),$F285*$H285,NA()),NA())</f>
        <v/>
      </c>
      <c r="K285" s="15">
        <f>IF($A285="","",IF(AH!$U$5=1,IFERROR(MATCH($A285,'Live History'!$A$5:$A$3004,0),0),AH!$U$7+280))</f>
        <v/>
      </c>
      <c r="L285" s="15">
        <f>IF(ISNUMBER(A285),TEXT(A285,"dd-mmm-yy"),"")</f>
        <v/>
      </c>
    </row>
    <row r="286">
      <c r="A286" s="14">
        <f>IF(OR(AH!$U$4=0,281+1&gt;AH!$U$6,AND(AH!$M$5="Bloomberg",AH!$U$5=0)),"",IFERROR(IF(AND(AH!$U$12=1,281+1=AH!$U$6),TODAY(),IF(AH!$U$5=1,INDEX('Live History'!$A$5:$A$3004,AH!$U$7+281),INDEX('AH History'!$A$5:$A$1380,AH!$U$7+281))),""))</f>
        <v/>
      </c>
      <c r="B286" s="33">
        <f>IFERROR(IF(AH!$U$11=1,NA(),$J286/$E286-1),NA())</f>
        <v/>
      </c>
      <c r="C286" s="269">
        <f>IFERROR(100*$E286/$E$5,NA())</f>
        <v/>
      </c>
      <c r="D286" s="269">
        <f>IFERROR(100*$J286/$J$5,NA())</f>
        <v/>
      </c>
      <c r="E286" s="32">
        <f>IFERROR(IF(AND(ISNUMBER($A286),N(IF(AND(AH!$U$12=1,281+1=AH!$U$6),IF(AH!$U$4=0,"unavailable",INDEX('Market Data'!$AN$5:$AN$66,AH!$U$4)),IF(AH!$U$5=1,INDEX('Live History'!$B$5:$B$3004,$K286),INDEX('AH History'!$D$5:$GG$1380,$K286,AH!$U$10))))&gt;0),IF(AND(AH!$U$12=1,281+1=AH!$U$6),IF(AH!$U$4=0,"unavailable",INDEX('Market Data'!$AN$5:$AN$66,AH!$U$4)),IF(AH!$U$5=1,INDEX('Live History'!$B$5:$B$3004,$K286),INDEX('AH History'!$D$5:$GG$1380,$K286,AH!$U$10))),NA()),NA())</f>
        <v/>
      </c>
      <c r="F286" s="32">
        <f>IFERROR(IF(ISNUMBER($A286),IF(AND(AH!$U$12=1,281+1=AH!$U$6),IF(AH!$U$4=0,"unavailable",INDEX('Market Data'!$AO$5:$AO$66,AH!$U$4)),IF(AH!$U$5=1,INDEX('Live History'!$E$5:$E$3004,MATCH($A286,'Live History'!$D$5:$D$3004,1)),INDEX('AH History'!$D$5:$GG$1380,$K286,AH!$U$10+1))),NA()),NA())</f>
        <v/>
      </c>
      <c r="G286" s="34">
        <f>IFERROR(IF(ISNUMBER($A286),IF(AND(AH!$U$12=1,281+1=AH!$U$6),IF(AH!$U$4=0,"unavailable",INDEX('Market Data'!$AK$5:$AK$66,AH!$U$4)),IF(AH!$U$5=1,INDEX('Live History'!$D$5:$D$3004,MATCH($A286,'Live History'!$D$5:$D$3004,1)),INDEX('AH History'!$D$5:$GG$1380,$K286,AH!$U$10+2))),NA()),NA())</f>
        <v/>
      </c>
      <c r="H286" s="266">
        <f>IFERROR(IF(ISNUMBER($A286),IF(AND(AH!$U$12=1,281+1=AH!$U$6),IF(AH!$U$4=0,"unavailable",INDEX('Market Data'!$AP$5:$AP$66,AH!$U$4)),IF(AH!$U$5=1,INDEX('Live History'!$H$5:$H$3004,MATCH($A286,'Live History'!$G$5:$G$3004,1)),INDEX('AH History'!$B$5:$B$1380,$K286))),NA()),NA())</f>
        <v/>
      </c>
      <c r="I286" s="34">
        <f>IFERROR(IF(ISNUMBER($A286),IF(AND(AH!$U$12=1,281+1=AH!$U$6),TODAY(),IF(AH!$U$5=1,INDEX('Live History'!$G$5:$G$3004,MATCH($A286,'Live History'!$G$5:$G$3004,1)),INDEX('AH History'!$C$5:$C$1380,$K286))),NA()),NA())</f>
        <v/>
      </c>
      <c r="J286" s="32">
        <f>IFERROR(IF(AND($F286&gt;0,$H286&gt;0,$A286-$G286&lt;=10,$A286-$I286&lt;=5,$G286&gt;0,$I286&gt;0),$F286*$H286,NA()),NA())</f>
        <v/>
      </c>
      <c r="K286" s="15">
        <f>IF($A286="","",IF(AH!$U$5=1,IFERROR(MATCH($A286,'Live History'!$A$5:$A$3004,0),0),AH!$U$7+281))</f>
        <v/>
      </c>
      <c r="L286" s="15">
        <f>IF(ISNUMBER(A286),TEXT(A286,"dd-mmm-yy"),"")</f>
        <v/>
      </c>
    </row>
    <row r="287">
      <c r="A287" s="14">
        <f>IF(OR(AH!$U$4=0,282+1&gt;AH!$U$6,AND(AH!$M$5="Bloomberg",AH!$U$5=0)),"",IFERROR(IF(AND(AH!$U$12=1,282+1=AH!$U$6),TODAY(),IF(AH!$U$5=1,INDEX('Live History'!$A$5:$A$3004,AH!$U$7+282),INDEX('AH History'!$A$5:$A$1380,AH!$U$7+282))),""))</f>
        <v/>
      </c>
      <c r="B287" s="33">
        <f>IFERROR(IF(AH!$U$11=1,NA(),$J287/$E287-1),NA())</f>
        <v/>
      </c>
      <c r="C287" s="269">
        <f>IFERROR(100*$E287/$E$5,NA())</f>
        <v/>
      </c>
      <c r="D287" s="269">
        <f>IFERROR(100*$J287/$J$5,NA())</f>
        <v/>
      </c>
      <c r="E287" s="32">
        <f>IFERROR(IF(AND(ISNUMBER($A287),N(IF(AND(AH!$U$12=1,282+1=AH!$U$6),IF(AH!$U$4=0,"unavailable",INDEX('Market Data'!$AN$5:$AN$66,AH!$U$4)),IF(AH!$U$5=1,INDEX('Live History'!$B$5:$B$3004,$K287),INDEX('AH History'!$D$5:$GG$1380,$K287,AH!$U$10))))&gt;0),IF(AND(AH!$U$12=1,282+1=AH!$U$6),IF(AH!$U$4=0,"unavailable",INDEX('Market Data'!$AN$5:$AN$66,AH!$U$4)),IF(AH!$U$5=1,INDEX('Live History'!$B$5:$B$3004,$K287),INDEX('AH History'!$D$5:$GG$1380,$K287,AH!$U$10))),NA()),NA())</f>
        <v/>
      </c>
      <c r="F287" s="32">
        <f>IFERROR(IF(ISNUMBER($A287),IF(AND(AH!$U$12=1,282+1=AH!$U$6),IF(AH!$U$4=0,"unavailable",INDEX('Market Data'!$AO$5:$AO$66,AH!$U$4)),IF(AH!$U$5=1,INDEX('Live History'!$E$5:$E$3004,MATCH($A287,'Live History'!$D$5:$D$3004,1)),INDEX('AH History'!$D$5:$GG$1380,$K287,AH!$U$10+1))),NA()),NA())</f>
        <v/>
      </c>
      <c r="G287" s="34">
        <f>IFERROR(IF(ISNUMBER($A287),IF(AND(AH!$U$12=1,282+1=AH!$U$6),IF(AH!$U$4=0,"unavailable",INDEX('Market Data'!$AK$5:$AK$66,AH!$U$4)),IF(AH!$U$5=1,INDEX('Live History'!$D$5:$D$3004,MATCH($A287,'Live History'!$D$5:$D$3004,1)),INDEX('AH History'!$D$5:$GG$1380,$K287,AH!$U$10+2))),NA()),NA())</f>
        <v/>
      </c>
      <c r="H287" s="266">
        <f>IFERROR(IF(ISNUMBER($A287),IF(AND(AH!$U$12=1,282+1=AH!$U$6),IF(AH!$U$4=0,"unavailable",INDEX('Market Data'!$AP$5:$AP$66,AH!$U$4)),IF(AH!$U$5=1,INDEX('Live History'!$H$5:$H$3004,MATCH($A287,'Live History'!$G$5:$G$3004,1)),INDEX('AH History'!$B$5:$B$1380,$K287))),NA()),NA())</f>
        <v/>
      </c>
      <c r="I287" s="34">
        <f>IFERROR(IF(ISNUMBER($A287),IF(AND(AH!$U$12=1,282+1=AH!$U$6),TODAY(),IF(AH!$U$5=1,INDEX('Live History'!$G$5:$G$3004,MATCH($A287,'Live History'!$G$5:$G$3004,1)),INDEX('AH History'!$C$5:$C$1380,$K287))),NA()),NA())</f>
        <v/>
      </c>
      <c r="J287" s="32">
        <f>IFERROR(IF(AND($F287&gt;0,$H287&gt;0,$A287-$G287&lt;=10,$A287-$I287&lt;=5,$G287&gt;0,$I287&gt;0),$F287*$H287,NA()),NA())</f>
        <v/>
      </c>
      <c r="K287" s="15">
        <f>IF($A287="","",IF(AH!$U$5=1,IFERROR(MATCH($A287,'Live History'!$A$5:$A$3004,0),0),AH!$U$7+282))</f>
        <v/>
      </c>
      <c r="L287" s="15">
        <f>IF(ISNUMBER(A287),TEXT(A287,"dd-mmm-yy"),"")</f>
        <v/>
      </c>
    </row>
    <row r="288">
      <c r="A288" s="14">
        <f>IF(OR(AH!$U$4=0,283+1&gt;AH!$U$6,AND(AH!$M$5="Bloomberg",AH!$U$5=0)),"",IFERROR(IF(AND(AH!$U$12=1,283+1=AH!$U$6),TODAY(),IF(AH!$U$5=1,INDEX('Live History'!$A$5:$A$3004,AH!$U$7+283),INDEX('AH History'!$A$5:$A$1380,AH!$U$7+283))),""))</f>
        <v/>
      </c>
      <c r="B288" s="33">
        <f>IFERROR(IF(AH!$U$11=1,NA(),$J288/$E288-1),NA())</f>
        <v/>
      </c>
      <c r="C288" s="269">
        <f>IFERROR(100*$E288/$E$5,NA())</f>
        <v/>
      </c>
      <c r="D288" s="269">
        <f>IFERROR(100*$J288/$J$5,NA())</f>
        <v/>
      </c>
      <c r="E288" s="32">
        <f>IFERROR(IF(AND(ISNUMBER($A288),N(IF(AND(AH!$U$12=1,283+1=AH!$U$6),IF(AH!$U$4=0,"unavailable",INDEX('Market Data'!$AN$5:$AN$66,AH!$U$4)),IF(AH!$U$5=1,INDEX('Live History'!$B$5:$B$3004,$K288),INDEX('AH History'!$D$5:$GG$1380,$K288,AH!$U$10))))&gt;0),IF(AND(AH!$U$12=1,283+1=AH!$U$6),IF(AH!$U$4=0,"unavailable",INDEX('Market Data'!$AN$5:$AN$66,AH!$U$4)),IF(AH!$U$5=1,INDEX('Live History'!$B$5:$B$3004,$K288),INDEX('AH History'!$D$5:$GG$1380,$K288,AH!$U$10))),NA()),NA())</f>
        <v/>
      </c>
      <c r="F288" s="32">
        <f>IFERROR(IF(ISNUMBER($A288),IF(AND(AH!$U$12=1,283+1=AH!$U$6),IF(AH!$U$4=0,"unavailable",INDEX('Market Data'!$AO$5:$AO$66,AH!$U$4)),IF(AH!$U$5=1,INDEX('Live History'!$E$5:$E$3004,MATCH($A288,'Live History'!$D$5:$D$3004,1)),INDEX('AH History'!$D$5:$GG$1380,$K288,AH!$U$10+1))),NA()),NA())</f>
        <v/>
      </c>
      <c r="G288" s="34">
        <f>IFERROR(IF(ISNUMBER($A288),IF(AND(AH!$U$12=1,283+1=AH!$U$6),IF(AH!$U$4=0,"unavailable",INDEX('Market Data'!$AK$5:$AK$66,AH!$U$4)),IF(AH!$U$5=1,INDEX('Live History'!$D$5:$D$3004,MATCH($A288,'Live History'!$D$5:$D$3004,1)),INDEX('AH History'!$D$5:$GG$1380,$K288,AH!$U$10+2))),NA()),NA())</f>
        <v/>
      </c>
      <c r="H288" s="266">
        <f>IFERROR(IF(ISNUMBER($A288),IF(AND(AH!$U$12=1,283+1=AH!$U$6),IF(AH!$U$4=0,"unavailable",INDEX('Market Data'!$AP$5:$AP$66,AH!$U$4)),IF(AH!$U$5=1,INDEX('Live History'!$H$5:$H$3004,MATCH($A288,'Live History'!$G$5:$G$3004,1)),INDEX('AH History'!$B$5:$B$1380,$K288))),NA()),NA())</f>
        <v/>
      </c>
      <c r="I288" s="34">
        <f>IFERROR(IF(ISNUMBER($A288),IF(AND(AH!$U$12=1,283+1=AH!$U$6),TODAY(),IF(AH!$U$5=1,INDEX('Live History'!$G$5:$G$3004,MATCH($A288,'Live History'!$G$5:$G$3004,1)),INDEX('AH History'!$C$5:$C$1380,$K288))),NA()),NA())</f>
        <v/>
      </c>
      <c r="J288" s="32">
        <f>IFERROR(IF(AND($F288&gt;0,$H288&gt;0,$A288-$G288&lt;=10,$A288-$I288&lt;=5,$G288&gt;0,$I288&gt;0),$F288*$H288,NA()),NA())</f>
        <v/>
      </c>
      <c r="K288" s="15">
        <f>IF($A288="","",IF(AH!$U$5=1,IFERROR(MATCH($A288,'Live History'!$A$5:$A$3004,0),0),AH!$U$7+283))</f>
        <v/>
      </c>
      <c r="L288" s="15">
        <f>IF(ISNUMBER(A288),TEXT(A288,"dd-mmm-yy"),"")</f>
        <v/>
      </c>
    </row>
    <row r="289">
      <c r="A289" s="14">
        <f>IF(OR(AH!$U$4=0,284+1&gt;AH!$U$6,AND(AH!$M$5="Bloomberg",AH!$U$5=0)),"",IFERROR(IF(AND(AH!$U$12=1,284+1=AH!$U$6),TODAY(),IF(AH!$U$5=1,INDEX('Live History'!$A$5:$A$3004,AH!$U$7+284),INDEX('AH History'!$A$5:$A$1380,AH!$U$7+284))),""))</f>
        <v/>
      </c>
      <c r="B289" s="33">
        <f>IFERROR(IF(AH!$U$11=1,NA(),$J289/$E289-1),NA())</f>
        <v/>
      </c>
      <c r="C289" s="269">
        <f>IFERROR(100*$E289/$E$5,NA())</f>
        <v/>
      </c>
      <c r="D289" s="269">
        <f>IFERROR(100*$J289/$J$5,NA())</f>
        <v/>
      </c>
      <c r="E289" s="32">
        <f>IFERROR(IF(AND(ISNUMBER($A289),N(IF(AND(AH!$U$12=1,284+1=AH!$U$6),IF(AH!$U$4=0,"unavailable",INDEX('Market Data'!$AN$5:$AN$66,AH!$U$4)),IF(AH!$U$5=1,INDEX('Live History'!$B$5:$B$3004,$K289),INDEX('AH History'!$D$5:$GG$1380,$K289,AH!$U$10))))&gt;0),IF(AND(AH!$U$12=1,284+1=AH!$U$6),IF(AH!$U$4=0,"unavailable",INDEX('Market Data'!$AN$5:$AN$66,AH!$U$4)),IF(AH!$U$5=1,INDEX('Live History'!$B$5:$B$3004,$K289),INDEX('AH History'!$D$5:$GG$1380,$K289,AH!$U$10))),NA()),NA())</f>
        <v/>
      </c>
      <c r="F289" s="32">
        <f>IFERROR(IF(ISNUMBER($A289),IF(AND(AH!$U$12=1,284+1=AH!$U$6),IF(AH!$U$4=0,"unavailable",INDEX('Market Data'!$AO$5:$AO$66,AH!$U$4)),IF(AH!$U$5=1,INDEX('Live History'!$E$5:$E$3004,MATCH($A289,'Live History'!$D$5:$D$3004,1)),INDEX('AH History'!$D$5:$GG$1380,$K289,AH!$U$10+1))),NA()),NA())</f>
        <v/>
      </c>
      <c r="G289" s="34">
        <f>IFERROR(IF(ISNUMBER($A289),IF(AND(AH!$U$12=1,284+1=AH!$U$6),IF(AH!$U$4=0,"unavailable",INDEX('Market Data'!$AK$5:$AK$66,AH!$U$4)),IF(AH!$U$5=1,INDEX('Live History'!$D$5:$D$3004,MATCH($A289,'Live History'!$D$5:$D$3004,1)),INDEX('AH History'!$D$5:$GG$1380,$K289,AH!$U$10+2))),NA()),NA())</f>
        <v/>
      </c>
      <c r="H289" s="266">
        <f>IFERROR(IF(ISNUMBER($A289),IF(AND(AH!$U$12=1,284+1=AH!$U$6),IF(AH!$U$4=0,"unavailable",INDEX('Market Data'!$AP$5:$AP$66,AH!$U$4)),IF(AH!$U$5=1,INDEX('Live History'!$H$5:$H$3004,MATCH($A289,'Live History'!$G$5:$G$3004,1)),INDEX('AH History'!$B$5:$B$1380,$K289))),NA()),NA())</f>
        <v/>
      </c>
      <c r="I289" s="34">
        <f>IFERROR(IF(ISNUMBER($A289),IF(AND(AH!$U$12=1,284+1=AH!$U$6),TODAY(),IF(AH!$U$5=1,INDEX('Live History'!$G$5:$G$3004,MATCH($A289,'Live History'!$G$5:$G$3004,1)),INDEX('AH History'!$C$5:$C$1380,$K289))),NA()),NA())</f>
        <v/>
      </c>
      <c r="J289" s="32">
        <f>IFERROR(IF(AND($F289&gt;0,$H289&gt;0,$A289-$G289&lt;=10,$A289-$I289&lt;=5,$G289&gt;0,$I289&gt;0),$F289*$H289,NA()),NA())</f>
        <v/>
      </c>
      <c r="K289" s="15">
        <f>IF($A289="","",IF(AH!$U$5=1,IFERROR(MATCH($A289,'Live History'!$A$5:$A$3004,0),0),AH!$U$7+284))</f>
        <v/>
      </c>
      <c r="L289" s="15">
        <f>IF(ISNUMBER(A289),TEXT(A289,"dd-mmm-yy"),"")</f>
        <v/>
      </c>
    </row>
    <row r="290">
      <c r="A290" s="14">
        <f>IF(OR(AH!$U$4=0,285+1&gt;AH!$U$6,AND(AH!$M$5="Bloomberg",AH!$U$5=0)),"",IFERROR(IF(AND(AH!$U$12=1,285+1=AH!$U$6),TODAY(),IF(AH!$U$5=1,INDEX('Live History'!$A$5:$A$3004,AH!$U$7+285),INDEX('AH History'!$A$5:$A$1380,AH!$U$7+285))),""))</f>
        <v/>
      </c>
      <c r="B290" s="33">
        <f>IFERROR(IF(AH!$U$11=1,NA(),$J290/$E290-1),NA())</f>
        <v/>
      </c>
      <c r="C290" s="269">
        <f>IFERROR(100*$E290/$E$5,NA())</f>
        <v/>
      </c>
      <c r="D290" s="269">
        <f>IFERROR(100*$J290/$J$5,NA())</f>
        <v/>
      </c>
      <c r="E290" s="32">
        <f>IFERROR(IF(AND(ISNUMBER($A290),N(IF(AND(AH!$U$12=1,285+1=AH!$U$6),IF(AH!$U$4=0,"unavailable",INDEX('Market Data'!$AN$5:$AN$66,AH!$U$4)),IF(AH!$U$5=1,INDEX('Live History'!$B$5:$B$3004,$K290),INDEX('AH History'!$D$5:$GG$1380,$K290,AH!$U$10))))&gt;0),IF(AND(AH!$U$12=1,285+1=AH!$U$6),IF(AH!$U$4=0,"unavailable",INDEX('Market Data'!$AN$5:$AN$66,AH!$U$4)),IF(AH!$U$5=1,INDEX('Live History'!$B$5:$B$3004,$K290),INDEX('AH History'!$D$5:$GG$1380,$K290,AH!$U$10))),NA()),NA())</f>
        <v/>
      </c>
      <c r="F290" s="32">
        <f>IFERROR(IF(ISNUMBER($A290),IF(AND(AH!$U$12=1,285+1=AH!$U$6),IF(AH!$U$4=0,"unavailable",INDEX('Market Data'!$AO$5:$AO$66,AH!$U$4)),IF(AH!$U$5=1,INDEX('Live History'!$E$5:$E$3004,MATCH($A290,'Live History'!$D$5:$D$3004,1)),INDEX('AH History'!$D$5:$GG$1380,$K290,AH!$U$10+1))),NA()),NA())</f>
        <v/>
      </c>
      <c r="G290" s="34">
        <f>IFERROR(IF(ISNUMBER($A290),IF(AND(AH!$U$12=1,285+1=AH!$U$6),IF(AH!$U$4=0,"unavailable",INDEX('Market Data'!$AK$5:$AK$66,AH!$U$4)),IF(AH!$U$5=1,INDEX('Live History'!$D$5:$D$3004,MATCH($A290,'Live History'!$D$5:$D$3004,1)),INDEX('AH History'!$D$5:$GG$1380,$K290,AH!$U$10+2))),NA()),NA())</f>
        <v/>
      </c>
      <c r="H290" s="266">
        <f>IFERROR(IF(ISNUMBER($A290),IF(AND(AH!$U$12=1,285+1=AH!$U$6),IF(AH!$U$4=0,"unavailable",INDEX('Market Data'!$AP$5:$AP$66,AH!$U$4)),IF(AH!$U$5=1,INDEX('Live History'!$H$5:$H$3004,MATCH($A290,'Live History'!$G$5:$G$3004,1)),INDEX('AH History'!$B$5:$B$1380,$K290))),NA()),NA())</f>
        <v/>
      </c>
      <c r="I290" s="34">
        <f>IFERROR(IF(ISNUMBER($A290),IF(AND(AH!$U$12=1,285+1=AH!$U$6),TODAY(),IF(AH!$U$5=1,INDEX('Live History'!$G$5:$G$3004,MATCH($A290,'Live History'!$G$5:$G$3004,1)),INDEX('AH History'!$C$5:$C$1380,$K290))),NA()),NA())</f>
        <v/>
      </c>
      <c r="J290" s="32">
        <f>IFERROR(IF(AND($F290&gt;0,$H290&gt;0,$A290-$G290&lt;=10,$A290-$I290&lt;=5,$G290&gt;0,$I290&gt;0),$F290*$H290,NA()),NA())</f>
        <v/>
      </c>
      <c r="K290" s="15">
        <f>IF($A290="","",IF(AH!$U$5=1,IFERROR(MATCH($A290,'Live History'!$A$5:$A$3004,0),0),AH!$U$7+285))</f>
        <v/>
      </c>
      <c r="L290" s="15">
        <f>IF(ISNUMBER(A290),TEXT(A290,"dd-mmm-yy"),"")</f>
        <v/>
      </c>
    </row>
    <row r="291">
      <c r="A291" s="14">
        <f>IF(OR(AH!$U$4=0,286+1&gt;AH!$U$6,AND(AH!$M$5="Bloomberg",AH!$U$5=0)),"",IFERROR(IF(AND(AH!$U$12=1,286+1=AH!$U$6),TODAY(),IF(AH!$U$5=1,INDEX('Live History'!$A$5:$A$3004,AH!$U$7+286),INDEX('AH History'!$A$5:$A$1380,AH!$U$7+286))),""))</f>
        <v/>
      </c>
      <c r="B291" s="33">
        <f>IFERROR(IF(AH!$U$11=1,NA(),$J291/$E291-1),NA())</f>
        <v/>
      </c>
      <c r="C291" s="269">
        <f>IFERROR(100*$E291/$E$5,NA())</f>
        <v/>
      </c>
      <c r="D291" s="269">
        <f>IFERROR(100*$J291/$J$5,NA())</f>
        <v/>
      </c>
      <c r="E291" s="32">
        <f>IFERROR(IF(AND(ISNUMBER($A291),N(IF(AND(AH!$U$12=1,286+1=AH!$U$6),IF(AH!$U$4=0,"unavailable",INDEX('Market Data'!$AN$5:$AN$66,AH!$U$4)),IF(AH!$U$5=1,INDEX('Live History'!$B$5:$B$3004,$K291),INDEX('AH History'!$D$5:$GG$1380,$K291,AH!$U$10))))&gt;0),IF(AND(AH!$U$12=1,286+1=AH!$U$6),IF(AH!$U$4=0,"unavailable",INDEX('Market Data'!$AN$5:$AN$66,AH!$U$4)),IF(AH!$U$5=1,INDEX('Live History'!$B$5:$B$3004,$K291),INDEX('AH History'!$D$5:$GG$1380,$K291,AH!$U$10))),NA()),NA())</f>
        <v/>
      </c>
      <c r="F291" s="32">
        <f>IFERROR(IF(ISNUMBER($A291),IF(AND(AH!$U$12=1,286+1=AH!$U$6),IF(AH!$U$4=0,"unavailable",INDEX('Market Data'!$AO$5:$AO$66,AH!$U$4)),IF(AH!$U$5=1,INDEX('Live History'!$E$5:$E$3004,MATCH($A291,'Live History'!$D$5:$D$3004,1)),INDEX('AH History'!$D$5:$GG$1380,$K291,AH!$U$10+1))),NA()),NA())</f>
        <v/>
      </c>
      <c r="G291" s="34">
        <f>IFERROR(IF(ISNUMBER($A291),IF(AND(AH!$U$12=1,286+1=AH!$U$6),IF(AH!$U$4=0,"unavailable",INDEX('Market Data'!$AK$5:$AK$66,AH!$U$4)),IF(AH!$U$5=1,INDEX('Live History'!$D$5:$D$3004,MATCH($A291,'Live History'!$D$5:$D$3004,1)),INDEX('AH History'!$D$5:$GG$1380,$K291,AH!$U$10+2))),NA()),NA())</f>
        <v/>
      </c>
      <c r="H291" s="266">
        <f>IFERROR(IF(ISNUMBER($A291),IF(AND(AH!$U$12=1,286+1=AH!$U$6),IF(AH!$U$4=0,"unavailable",INDEX('Market Data'!$AP$5:$AP$66,AH!$U$4)),IF(AH!$U$5=1,INDEX('Live History'!$H$5:$H$3004,MATCH($A291,'Live History'!$G$5:$G$3004,1)),INDEX('AH History'!$B$5:$B$1380,$K291))),NA()),NA())</f>
        <v/>
      </c>
      <c r="I291" s="34">
        <f>IFERROR(IF(ISNUMBER($A291),IF(AND(AH!$U$12=1,286+1=AH!$U$6),TODAY(),IF(AH!$U$5=1,INDEX('Live History'!$G$5:$G$3004,MATCH($A291,'Live History'!$G$5:$G$3004,1)),INDEX('AH History'!$C$5:$C$1380,$K291))),NA()),NA())</f>
        <v/>
      </c>
      <c r="J291" s="32">
        <f>IFERROR(IF(AND($F291&gt;0,$H291&gt;0,$A291-$G291&lt;=10,$A291-$I291&lt;=5,$G291&gt;0,$I291&gt;0),$F291*$H291,NA()),NA())</f>
        <v/>
      </c>
      <c r="K291" s="15">
        <f>IF($A291="","",IF(AH!$U$5=1,IFERROR(MATCH($A291,'Live History'!$A$5:$A$3004,0),0),AH!$U$7+286))</f>
        <v/>
      </c>
      <c r="L291" s="15">
        <f>IF(ISNUMBER(A291),TEXT(A291,"dd-mmm-yy"),"")</f>
        <v/>
      </c>
    </row>
    <row r="292">
      <c r="A292" s="14">
        <f>IF(OR(AH!$U$4=0,287+1&gt;AH!$U$6,AND(AH!$M$5="Bloomberg",AH!$U$5=0)),"",IFERROR(IF(AND(AH!$U$12=1,287+1=AH!$U$6),TODAY(),IF(AH!$U$5=1,INDEX('Live History'!$A$5:$A$3004,AH!$U$7+287),INDEX('AH History'!$A$5:$A$1380,AH!$U$7+287))),""))</f>
        <v/>
      </c>
      <c r="B292" s="33">
        <f>IFERROR(IF(AH!$U$11=1,NA(),$J292/$E292-1),NA())</f>
        <v/>
      </c>
      <c r="C292" s="269">
        <f>IFERROR(100*$E292/$E$5,NA())</f>
        <v/>
      </c>
      <c r="D292" s="269">
        <f>IFERROR(100*$J292/$J$5,NA())</f>
        <v/>
      </c>
      <c r="E292" s="32">
        <f>IFERROR(IF(AND(ISNUMBER($A292),N(IF(AND(AH!$U$12=1,287+1=AH!$U$6),IF(AH!$U$4=0,"unavailable",INDEX('Market Data'!$AN$5:$AN$66,AH!$U$4)),IF(AH!$U$5=1,INDEX('Live History'!$B$5:$B$3004,$K292),INDEX('AH History'!$D$5:$GG$1380,$K292,AH!$U$10))))&gt;0),IF(AND(AH!$U$12=1,287+1=AH!$U$6),IF(AH!$U$4=0,"unavailable",INDEX('Market Data'!$AN$5:$AN$66,AH!$U$4)),IF(AH!$U$5=1,INDEX('Live History'!$B$5:$B$3004,$K292),INDEX('AH History'!$D$5:$GG$1380,$K292,AH!$U$10))),NA()),NA())</f>
        <v/>
      </c>
      <c r="F292" s="32">
        <f>IFERROR(IF(ISNUMBER($A292),IF(AND(AH!$U$12=1,287+1=AH!$U$6),IF(AH!$U$4=0,"unavailable",INDEX('Market Data'!$AO$5:$AO$66,AH!$U$4)),IF(AH!$U$5=1,INDEX('Live History'!$E$5:$E$3004,MATCH($A292,'Live History'!$D$5:$D$3004,1)),INDEX('AH History'!$D$5:$GG$1380,$K292,AH!$U$10+1))),NA()),NA())</f>
        <v/>
      </c>
      <c r="G292" s="34">
        <f>IFERROR(IF(ISNUMBER($A292),IF(AND(AH!$U$12=1,287+1=AH!$U$6),IF(AH!$U$4=0,"unavailable",INDEX('Market Data'!$AK$5:$AK$66,AH!$U$4)),IF(AH!$U$5=1,INDEX('Live History'!$D$5:$D$3004,MATCH($A292,'Live History'!$D$5:$D$3004,1)),INDEX('AH History'!$D$5:$GG$1380,$K292,AH!$U$10+2))),NA()),NA())</f>
        <v/>
      </c>
      <c r="H292" s="266">
        <f>IFERROR(IF(ISNUMBER($A292),IF(AND(AH!$U$12=1,287+1=AH!$U$6),IF(AH!$U$4=0,"unavailable",INDEX('Market Data'!$AP$5:$AP$66,AH!$U$4)),IF(AH!$U$5=1,INDEX('Live History'!$H$5:$H$3004,MATCH($A292,'Live History'!$G$5:$G$3004,1)),INDEX('AH History'!$B$5:$B$1380,$K292))),NA()),NA())</f>
        <v/>
      </c>
      <c r="I292" s="34">
        <f>IFERROR(IF(ISNUMBER($A292),IF(AND(AH!$U$12=1,287+1=AH!$U$6),TODAY(),IF(AH!$U$5=1,INDEX('Live History'!$G$5:$G$3004,MATCH($A292,'Live History'!$G$5:$G$3004,1)),INDEX('AH History'!$C$5:$C$1380,$K292))),NA()),NA())</f>
        <v/>
      </c>
      <c r="J292" s="32">
        <f>IFERROR(IF(AND($F292&gt;0,$H292&gt;0,$A292-$G292&lt;=10,$A292-$I292&lt;=5,$G292&gt;0,$I292&gt;0),$F292*$H292,NA()),NA())</f>
        <v/>
      </c>
      <c r="K292" s="15">
        <f>IF($A292="","",IF(AH!$U$5=1,IFERROR(MATCH($A292,'Live History'!$A$5:$A$3004,0),0),AH!$U$7+287))</f>
        <v/>
      </c>
      <c r="L292" s="15">
        <f>IF(ISNUMBER(A292),TEXT(A292,"dd-mmm-yy"),"")</f>
        <v/>
      </c>
    </row>
    <row r="293">
      <c r="A293" s="14">
        <f>IF(OR(AH!$U$4=0,288+1&gt;AH!$U$6,AND(AH!$M$5="Bloomberg",AH!$U$5=0)),"",IFERROR(IF(AND(AH!$U$12=1,288+1=AH!$U$6),TODAY(),IF(AH!$U$5=1,INDEX('Live History'!$A$5:$A$3004,AH!$U$7+288),INDEX('AH History'!$A$5:$A$1380,AH!$U$7+288))),""))</f>
        <v/>
      </c>
      <c r="B293" s="33">
        <f>IFERROR(IF(AH!$U$11=1,NA(),$J293/$E293-1),NA())</f>
        <v/>
      </c>
      <c r="C293" s="269">
        <f>IFERROR(100*$E293/$E$5,NA())</f>
        <v/>
      </c>
      <c r="D293" s="269">
        <f>IFERROR(100*$J293/$J$5,NA())</f>
        <v/>
      </c>
      <c r="E293" s="32">
        <f>IFERROR(IF(AND(ISNUMBER($A293),N(IF(AND(AH!$U$12=1,288+1=AH!$U$6),IF(AH!$U$4=0,"unavailable",INDEX('Market Data'!$AN$5:$AN$66,AH!$U$4)),IF(AH!$U$5=1,INDEX('Live History'!$B$5:$B$3004,$K293),INDEX('AH History'!$D$5:$GG$1380,$K293,AH!$U$10))))&gt;0),IF(AND(AH!$U$12=1,288+1=AH!$U$6),IF(AH!$U$4=0,"unavailable",INDEX('Market Data'!$AN$5:$AN$66,AH!$U$4)),IF(AH!$U$5=1,INDEX('Live History'!$B$5:$B$3004,$K293),INDEX('AH History'!$D$5:$GG$1380,$K293,AH!$U$10))),NA()),NA())</f>
        <v/>
      </c>
      <c r="F293" s="32">
        <f>IFERROR(IF(ISNUMBER($A293),IF(AND(AH!$U$12=1,288+1=AH!$U$6),IF(AH!$U$4=0,"unavailable",INDEX('Market Data'!$AO$5:$AO$66,AH!$U$4)),IF(AH!$U$5=1,INDEX('Live History'!$E$5:$E$3004,MATCH($A293,'Live History'!$D$5:$D$3004,1)),INDEX('AH History'!$D$5:$GG$1380,$K293,AH!$U$10+1))),NA()),NA())</f>
        <v/>
      </c>
      <c r="G293" s="34">
        <f>IFERROR(IF(ISNUMBER($A293),IF(AND(AH!$U$12=1,288+1=AH!$U$6),IF(AH!$U$4=0,"unavailable",INDEX('Market Data'!$AK$5:$AK$66,AH!$U$4)),IF(AH!$U$5=1,INDEX('Live History'!$D$5:$D$3004,MATCH($A293,'Live History'!$D$5:$D$3004,1)),INDEX('AH History'!$D$5:$GG$1380,$K293,AH!$U$10+2))),NA()),NA())</f>
        <v/>
      </c>
      <c r="H293" s="266">
        <f>IFERROR(IF(ISNUMBER($A293),IF(AND(AH!$U$12=1,288+1=AH!$U$6),IF(AH!$U$4=0,"unavailable",INDEX('Market Data'!$AP$5:$AP$66,AH!$U$4)),IF(AH!$U$5=1,INDEX('Live History'!$H$5:$H$3004,MATCH($A293,'Live History'!$G$5:$G$3004,1)),INDEX('AH History'!$B$5:$B$1380,$K293))),NA()),NA())</f>
        <v/>
      </c>
      <c r="I293" s="34">
        <f>IFERROR(IF(ISNUMBER($A293),IF(AND(AH!$U$12=1,288+1=AH!$U$6),TODAY(),IF(AH!$U$5=1,INDEX('Live History'!$G$5:$G$3004,MATCH($A293,'Live History'!$G$5:$G$3004,1)),INDEX('AH History'!$C$5:$C$1380,$K293))),NA()),NA())</f>
        <v/>
      </c>
      <c r="J293" s="32">
        <f>IFERROR(IF(AND($F293&gt;0,$H293&gt;0,$A293-$G293&lt;=10,$A293-$I293&lt;=5,$G293&gt;0,$I293&gt;0),$F293*$H293,NA()),NA())</f>
        <v/>
      </c>
      <c r="K293" s="15">
        <f>IF($A293="","",IF(AH!$U$5=1,IFERROR(MATCH($A293,'Live History'!$A$5:$A$3004,0),0),AH!$U$7+288))</f>
        <v/>
      </c>
      <c r="L293" s="15">
        <f>IF(ISNUMBER(A293),TEXT(A293,"dd-mmm-yy"),"")</f>
        <v/>
      </c>
    </row>
    <row r="294">
      <c r="A294" s="14">
        <f>IF(OR(AH!$U$4=0,289+1&gt;AH!$U$6,AND(AH!$M$5="Bloomberg",AH!$U$5=0)),"",IFERROR(IF(AND(AH!$U$12=1,289+1=AH!$U$6),TODAY(),IF(AH!$U$5=1,INDEX('Live History'!$A$5:$A$3004,AH!$U$7+289),INDEX('AH History'!$A$5:$A$1380,AH!$U$7+289))),""))</f>
        <v/>
      </c>
      <c r="B294" s="33">
        <f>IFERROR(IF(AH!$U$11=1,NA(),$J294/$E294-1),NA())</f>
        <v/>
      </c>
      <c r="C294" s="269">
        <f>IFERROR(100*$E294/$E$5,NA())</f>
        <v/>
      </c>
      <c r="D294" s="269">
        <f>IFERROR(100*$J294/$J$5,NA())</f>
        <v/>
      </c>
      <c r="E294" s="32">
        <f>IFERROR(IF(AND(ISNUMBER($A294),N(IF(AND(AH!$U$12=1,289+1=AH!$U$6),IF(AH!$U$4=0,"unavailable",INDEX('Market Data'!$AN$5:$AN$66,AH!$U$4)),IF(AH!$U$5=1,INDEX('Live History'!$B$5:$B$3004,$K294),INDEX('AH History'!$D$5:$GG$1380,$K294,AH!$U$10))))&gt;0),IF(AND(AH!$U$12=1,289+1=AH!$U$6),IF(AH!$U$4=0,"unavailable",INDEX('Market Data'!$AN$5:$AN$66,AH!$U$4)),IF(AH!$U$5=1,INDEX('Live History'!$B$5:$B$3004,$K294),INDEX('AH History'!$D$5:$GG$1380,$K294,AH!$U$10))),NA()),NA())</f>
        <v/>
      </c>
      <c r="F294" s="32">
        <f>IFERROR(IF(ISNUMBER($A294),IF(AND(AH!$U$12=1,289+1=AH!$U$6),IF(AH!$U$4=0,"unavailable",INDEX('Market Data'!$AO$5:$AO$66,AH!$U$4)),IF(AH!$U$5=1,INDEX('Live History'!$E$5:$E$3004,MATCH($A294,'Live History'!$D$5:$D$3004,1)),INDEX('AH History'!$D$5:$GG$1380,$K294,AH!$U$10+1))),NA()),NA())</f>
        <v/>
      </c>
      <c r="G294" s="34">
        <f>IFERROR(IF(ISNUMBER($A294),IF(AND(AH!$U$12=1,289+1=AH!$U$6),IF(AH!$U$4=0,"unavailable",INDEX('Market Data'!$AK$5:$AK$66,AH!$U$4)),IF(AH!$U$5=1,INDEX('Live History'!$D$5:$D$3004,MATCH($A294,'Live History'!$D$5:$D$3004,1)),INDEX('AH History'!$D$5:$GG$1380,$K294,AH!$U$10+2))),NA()),NA())</f>
        <v/>
      </c>
      <c r="H294" s="266">
        <f>IFERROR(IF(ISNUMBER($A294),IF(AND(AH!$U$12=1,289+1=AH!$U$6),IF(AH!$U$4=0,"unavailable",INDEX('Market Data'!$AP$5:$AP$66,AH!$U$4)),IF(AH!$U$5=1,INDEX('Live History'!$H$5:$H$3004,MATCH($A294,'Live History'!$G$5:$G$3004,1)),INDEX('AH History'!$B$5:$B$1380,$K294))),NA()),NA())</f>
        <v/>
      </c>
      <c r="I294" s="34">
        <f>IFERROR(IF(ISNUMBER($A294),IF(AND(AH!$U$12=1,289+1=AH!$U$6),TODAY(),IF(AH!$U$5=1,INDEX('Live History'!$G$5:$G$3004,MATCH($A294,'Live History'!$G$5:$G$3004,1)),INDEX('AH History'!$C$5:$C$1380,$K294))),NA()),NA())</f>
        <v/>
      </c>
      <c r="J294" s="32">
        <f>IFERROR(IF(AND($F294&gt;0,$H294&gt;0,$A294-$G294&lt;=10,$A294-$I294&lt;=5,$G294&gt;0,$I294&gt;0),$F294*$H294,NA()),NA())</f>
        <v/>
      </c>
      <c r="K294" s="15">
        <f>IF($A294="","",IF(AH!$U$5=1,IFERROR(MATCH($A294,'Live History'!$A$5:$A$3004,0),0),AH!$U$7+289))</f>
        <v/>
      </c>
      <c r="L294" s="15">
        <f>IF(ISNUMBER(A294),TEXT(A294,"dd-mmm-yy"),"")</f>
        <v/>
      </c>
    </row>
    <row r="295">
      <c r="A295" s="14">
        <f>IF(OR(AH!$U$4=0,290+1&gt;AH!$U$6,AND(AH!$M$5="Bloomberg",AH!$U$5=0)),"",IFERROR(IF(AND(AH!$U$12=1,290+1=AH!$U$6),TODAY(),IF(AH!$U$5=1,INDEX('Live History'!$A$5:$A$3004,AH!$U$7+290),INDEX('AH History'!$A$5:$A$1380,AH!$U$7+290))),""))</f>
        <v/>
      </c>
      <c r="B295" s="33">
        <f>IFERROR(IF(AH!$U$11=1,NA(),$J295/$E295-1),NA())</f>
        <v/>
      </c>
      <c r="C295" s="269">
        <f>IFERROR(100*$E295/$E$5,NA())</f>
        <v/>
      </c>
      <c r="D295" s="269">
        <f>IFERROR(100*$J295/$J$5,NA())</f>
        <v/>
      </c>
      <c r="E295" s="32">
        <f>IFERROR(IF(AND(ISNUMBER($A295),N(IF(AND(AH!$U$12=1,290+1=AH!$U$6),IF(AH!$U$4=0,"unavailable",INDEX('Market Data'!$AN$5:$AN$66,AH!$U$4)),IF(AH!$U$5=1,INDEX('Live History'!$B$5:$B$3004,$K295),INDEX('AH History'!$D$5:$GG$1380,$K295,AH!$U$10))))&gt;0),IF(AND(AH!$U$12=1,290+1=AH!$U$6),IF(AH!$U$4=0,"unavailable",INDEX('Market Data'!$AN$5:$AN$66,AH!$U$4)),IF(AH!$U$5=1,INDEX('Live History'!$B$5:$B$3004,$K295),INDEX('AH History'!$D$5:$GG$1380,$K295,AH!$U$10))),NA()),NA())</f>
        <v/>
      </c>
      <c r="F295" s="32">
        <f>IFERROR(IF(ISNUMBER($A295),IF(AND(AH!$U$12=1,290+1=AH!$U$6),IF(AH!$U$4=0,"unavailable",INDEX('Market Data'!$AO$5:$AO$66,AH!$U$4)),IF(AH!$U$5=1,INDEX('Live History'!$E$5:$E$3004,MATCH($A295,'Live History'!$D$5:$D$3004,1)),INDEX('AH History'!$D$5:$GG$1380,$K295,AH!$U$10+1))),NA()),NA())</f>
        <v/>
      </c>
      <c r="G295" s="34">
        <f>IFERROR(IF(ISNUMBER($A295),IF(AND(AH!$U$12=1,290+1=AH!$U$6),IF(AH!$U$4=0,"unavailable",INDEX('Market Data'!$AK$5:$AK$66,AH!$U$4)),IF(AH!$U$5=1,INDEX('Live History'!$D$5:$D$3004,MATCH($A295,'Live History'!$D$5:$D$3004,1)),INDEX('AH History'!$D$5:$GG$1380,$K295,AH!$U$10+2))),NA()),NA())</f>
        <v/>
      </c>
      <c r="H295" s="266">
        <f>IFERROR(IF(ISNUMBER($A295),IF(AND(AH!$U$12=1,290+1=AH!$U$6),IF(AH!$U$4=0,"unavailable",INDEX('Market Data'!$AP$5:$AP$66,AH!$U$4)),IF(AH!$U$5=1,INDEX('Live History'!$H$5:$H$3004,MATCH($A295,'Live History'!$G$5:$G$3004,1)),INDEX('AH History'!$B$5:$B$1380,$K295))),NA()),NA())</f>
        <v/>
      </c>
      <c r="I295" s="34">
        <f>IFERROR(IF(ISNUMBER($A295),IF(AND(AH!$U$12=1,290+1=AH!$U$6),TODAY(),IF(AH!$U$5=1,INDEX('Live History'!$G$5:$G$3004,MATCH($A295,'Live History'!$G$5:$G$3004,1)),INDEX('AH History'!$C$5:$C$1380,$K295))),NA()),NA())</f>
        <v/>
      </c>
      <c r="J295" s="32">
        <f>IFERROR(IF(AND($F295&gt;0,$H295&gt;0,$A295-$G295&lt;=10,$A295-$I295&lt;=5,$G295&gt;0,$I295&gt;0),$F295*$H295,NA()),NA())</f>
        <v/>
      </c>
      <c r="K295" s="15">
        <f>IF($A295="","",IF(AH!$U$5=1,IFERROR(MATCH($A295,'Live History'!$A$5:$A$3004,0),0),AH!$U$7+290))</f>
        <v/>
      </c>
      <c r="L295" s="15">
        <f>IF(ISNUMBER(A295),TEXT(A295,"dd-mmm-yy"),"")</f>
        <v/>
      </c>
    </row>
    <row r="296">
      <c r="A296" s="14">
        <f>IF(OR(AH!$U$4=0,291+1&gt;AH!$U$6,AND(AH!$M$5="Bloomberg",AH!$U$5=0)),"",IFERROR(IF(AND(AH!$U$12=1,291+1=AH!$U$6),TODAY(),IF(AH!$U$5=1,INDEX('Live History'!$A$5:$A$3004,AH!$U$7+291),INDEX('AH History'!$A$5:$A$1380,AH!$U$7+291))),""))</f>
        <v/>
      </c>
      <c r="B296" s="33">
        <f>IFERROR(IF(AH!$U$11=1,NA(),$J296/$E296-1),NA())</f>
        <v/>
      </c>
      <c r="C296" s="269">
        <f>IFERROR(100*$E296/$E$5,NA())</f>
        <v/>
      </c>
      <c r="D296" s="269">
        <f>IFERROR(100*$J296/$J$5,NA())</f>
        <v/>
      </c>
      <c r="E296" s="32">
        <f>IFERROR(IF(AND(ISNUMBER($A296),N(IF(AND(AH!$U$12=1,291+1=AH!$U$6),IF(AH!$U$4=0,"unavailable",INDEX('Market Data'!$AN$5:$AN$66,AH!$U$4)),IF(AH!$U$5=1,INDEX('Live History'!$B$5:$B$3004,$K296),INDEX('AH History'!$D$5:$GG$1380,$K296,AH!$U$10))))&gt;0),IF(AND(AH!$U$12=1,291+1=AH!$U$6),IF(AH!$U$4=0,"unavailable",INDEX('Market Data'!$AN$5:$AN$66,AH!$U$4)),IF(AH!$U$5=1,INDEX('Live History'!$B$5:$B$3004,$K296),INDEX('AH History'!$D$5:$GG$1380,$K296,AH!$U$10))),NA()),NA())</f>
        <v/>
      </c>
      <c r="F296" s="32">
        <f>IFERROR(IF(ISNUMBER($A296),IF(AND(AH!$U$12=1,291+1=AH!$U$6),IF(AH!$U$4=0,"unavailable",INDEX('Market Data'!$AO$5:$AO$66,AH!$U$4)),IF(AH!$U$5=1,INDEX('Live History'!$E$5:$E$3004,MATCH($A296,'Live History'!$D$5:$D$3004,1)),INDEX('AH History'!$D$5:$GG$1380,$K296,AH!$U$10+1))),NA()),NA())</f>
        <v/>
      </c>
      <c r="G296" s="34">
        <f>IFERROR(IF(ISNUMBER($A296),IF(AND(AH!$U$12=1,291+1=AH!$U$6),IF(AH!$U$4=0,"unavailable",INDEX('Market Data'!$AK$5:$AK$66,AH!$U$4)),IF(AH!$U$5=1,INDEX('Live History'!$D$5:$D$3004,MATCH($A296,'Live History'!$D$5:$D$3004,1)),INDEX('AH History'!$D$5:$GG$1380,$K296,AH!$U$10+2))),NA()),NA())</f>
        <v/>
      </c>
      <c r="H296" s="266">
        <f>IFERROR(IF(ISNUMBER($A296),IF(AND(AH!$U$12=1,291+1=AH!$U$6),IF(AH!$U$4=0,"unavailable",INDEX('Market Data'!$AP$5:$AP$66,AH!$U$4)),IF(AH!$U$5=1,INDEX('Live History'!$H$5:$H$3004,MATCH($A296,'Live History'!$G$5:$G$3004,1)),INDEX('AH History'!$B$5:$B$1380,$K296))),NA()),NA())</f>
        <v/>
      </c>
      <c r="I296" s="34">
        <f>IFERROR(IF(ISNUMBER($A296),IF(AND(AH!$U$12=1,291+1=AH!$U$6),TODAY(),IF(AH!$U$5=1,INDEX('Live History'!$G$5:$G$3004,MATCH($A296,'Live History'!$G$5:$G$3004,1)),INDEX('AH History'!$C$5:$C$1380,$K296))),NA()),NA())</f>
        <v/>
      </c>
      <c r="J296" s="32">
        <f>IFERROR(IF(AND($F296&gt;0,$H296&gt;0,$A296-$G296&lt;=10,$A296-$I296&lt;=5,$G296&gt;0,$I296&gt;0),$F296*$H296,NA()),NA())</f>
        <v/>
      </c>
      <c r="K296" s="15">
        <f>IF($A296="","",IF(AH!$U$5=1,IFERROR(MATCH($A296,'Live History'!$A$5:$A$3004,0),0),AH!$U$7+291))</f>
        <v/>
      </c>
      <c r="L296" s="15">
        <f>IF(ISNUMBER(A296),TEXT(A296,"dd-mmm-yy"),"")</f>
        <v/>
      </c>
    </row>
    <row r="297">
      <c r="A297" s="14">
        <f>IF(OR(AH!$U$4=0,292+1&gt;AH!$U$6,AND(AH!$M$5="Bloomberg",AH!$U$5=0)),"",IFERROR(IF(AND(AH!$U$12=1,292+1=AH!$U$6),TODAY(),IF(AH!$U$5=1,INDEX('Live History'!$A$5:$A$3004,AH!$U$7+292),INDEX('AH History'!$A$5:$A$1380,AH!$U$7+292))),""))</f>
        <v/>
      </c>
      <c r="B297" s="33">
        <f>IFERROR(IF(AH!$U$11=1,NA(),$J297/$E297-1),NA())</f>
        <v/>
      </c>
      <c r="C297" s="269">
        <f>IFERROR(100*$E297/$E$5,NA())</f>
        <v/>
      </c>
      <c r="D297" s="269">
        <f>IFERROR(100*$J297/$J$5,NA())</f>
        <v/>
      </c>
      <c r="E297" s="32">
        <f>IFERROR(IF(AND(ISNUMBER($A297),N(IF(AND(AH!$U$12=1,292+1=AH!$U$6),IF(AH!$U$4=0,"unavailable",INDEX('Market Data'!$AN$5:$AN$66,AH!$U$4)),IF(AH!$U$5=1,INDEX('Live History'!$B$5:$B$3004,$K297),INDEX('AH History'!$D$5:$GG$1380,$K297,AH!$U$10))))&gt;0),IF(AND(AH!$U$12=1,292+1=AH!$U$6),IF(AH!$U$4=0,"unavailable",INDEX('Market Data'!$AN$5:$AN$66,AH!$U$4)),IF(AH!$U$5=1,INDEX('Live History'!$B$5:$B$3004,$K297),INDEX('AH History'!$D$5:$GG$1380,$K297,AH!$U$10))),NA()),NA())</f>
        <v/>
      </c>
      <c r="F297" s="32">
        <f>IFERROR(IF(ISNUMBER($A297),IF(AND(AH!$U$12=1,292+1=AH!$U$6),IF(AH!$U$4=0,"unavailable",INDEX('Market Data'!$AO$5:$AO$66,AH!$U$4)),IF(AH!$U$5=1,INDEX('Live History'!$E$5:$E$3004,MATCH($A297,'Live History'!$D$5:$D$3004,1)),INDEX('AH History'!$D$5:$GG$1380,$K297,AH!$U$10+1))),NA()),NA())</f>
        <v/>
      </c>
      <c r="G297" s="34">
        <f>IFERROR(IF(ISNUMBER($A297),IF(AND(AH!$U$12=1,292+1=AH!$U$6),IF(AH!$U$4=0,"unavailable",INDEX('Market Data'!$AK$5:$AK$66,AH!$U$4)),IF(AH!$U$5=1,INDEX('Live History'!$D$5:$D$3004,MATCH($A297,'Live History'!$D$5:$D$3004,1)),INDEX('AH History'!$D$5:$GG$1380,$K297,AH!$U$10+2))),NA()),NA())</f>
        <v/>
      </c>
      <c r="H297" s="266">
        <f>IFERROR(IF(ISNUMBER($A297),IF(AND(AH!$U$12=1,292+1=AH!$U$6),IF(AH!$U$4=0,"unavailable",INDEX('Market Data'!$AP$5:$AP$66,AH!$U$4)),IF(AH!$U$5=1,INDEX('Live History'!$H$5:$H$3004,MATCH($A297,'Live History'!$G$5:$G$3004,1)),INDEX('AH History'!$B$5:$B$1380,$K297))),NA()),NA())</f>
        <v/>
      </c>
      <c r="I297" s="34">
        <f>IFERROR(IF(ISNUMBER($A297),IF(AND(AH!$U$12=1,292+1=AH!$U$6),TODAY(),IF(AH!$U$5=1,INDEX('Live History'!$G$5:$G$3004,MATCH($A297,'Live History'!$G$5:$G$3004,1)),INDEX('AH History'!$C$5:$C$1380,$K297))),NA()),NA())</f>
        <v/>
      </c>
      <c r="J297" s="32">
        <f>IFERROR(IF(AND($F297&gt;0,$H297&gt;0,$A297-$G297&lt;=10,$A297-$I297&lt;=5,$G297&gt;0,$I297&gt;0),$F297*$H297,NA()),NA())</f>
        <v/>
      </c>
      <c r="K297" s="15">
        <f>IF($A297="","",IF(AH!$U$5=1,IFERROR(MATCH($A297,'Live History'!$A$5:$A$3004,0),0),AH!$U$7+292))</f>
        <v/>
      </c>
      <c r="L297" s="15">
        <f>IF(ISNUMBER(A297),TEXT(A297,"dd-mmm-yy"),"")</f>
        <v/>
      </c>
    </row>
    <row r="298">
      <c r="A298" s="14">
        <f>IF(OR(AH!$U$4=0,293+1&gt;AH!$U$6,AND(AH!$M$5="Bloomberg",AH!$U$5=0)),"",IFERROR(IF(AND(AH!$U$12=1,293+1=AH!$U$6),TODAY(),IF(AH!$U$5=1,INDEX('Live History'!$A$5:$A$3004,AH!$U$7+293),INDEX('AH History'!$A$5:$A$1380,AH!$U$7+293))),""))</f>
        <v/>
      </c>
      <c r="B298" s="33">
        <f>IFERROR(IF(AH!$U$11=1,NA(),$J298/$E298-1),NA())</f>
        <v/>
      </c>
      <c r="C298" s="269">
        <f>IFERROR(100*$E298/$E$5,NA())</f>
        <v/>
      </c>
      <c r="D298" s="269">
        <f>IFERROR(100*$J298/$J$5,NA())</f>
        <v/>
      </c>
      <c r="E298" s="32">
        <f>IFERROR(IF(AND(ISNUMBER($A298),N(IF(AND(AH!$U$12=1,293+1=AH!$U$6),IF(AH!$U$4=0,"unavailable",INDEX('Market Data'!$AN$5:$AN$66,AH!$U$4)),IF(AH!$U$5=1,INDEX('Live History'!$B$5:$B$3004,$K298),INDEX('AH History'!$D$5:$GG$1380,$K298,AH!$U$10))))&gt;0),IF(AND(AH!$U$12=1,293+1=AH!$U$6),IF(AH!$U$4=0,"unavailable",INDEX('Market Data'!$AN$5:$AN$66,AH!$U$4)),IF(AH!$U$5=1,INDEX('Live History'!$B$5:$B$3004,$K298),INDEX('AH History'!$D$5:$GG$1380,$K298,AH!$U$10))),NA()),NA())</f>
        <v/>
      </c>
      <c r="F298" s="32">
        <f>IFERROR(IF(ISNUMBER($A298),IF(AND(AH!$U$12=1,293+1=AH!$U$6),IF(AH!$U$4=0,"unavailable",INDEX('Market Data'!$AO$5:$AO$66,AH!$U$4)),IF(AH!$U$5=1,INDEX('Live History'!$E$5:$E$3004,MATCH($A298,'Live History'!$D$5:$D$3004,1)),INDEX('AH History'!$D$5:$GG$1380,$K298,AH!$U$10+1))),NA()),NA())</f>
        <v/>
      </c>
      <c r="G298" s="34">
        <f>IFERROR(IF(ISNUMBER($A298),IF(AND(AH!$U$12=1,293+1=AH!$U$6),IF(AH!$U$4=0,"unavailable",INDEX('Market Data'!$AK$5:$AK$66,AH!$U$4)),IF(AH!$U$5=1,INDEX('Live History'!$D$5:$D$3004,MATCH($A298,'Live History'!$D$5:$D$3004,1)),INDEX('AH History'!$D$5:$GG$1380,$K298,AH!$U$10+2))),NA()),NA())</f>
        <v/>
      </c>
      <c r="H298" s="266">
        <f>IFERROR(IF(ISNUMBER($A298),IF(AND(AH!$U$12=1,293+1=AH!$U$6),IF(AH!$U$4=0,"unavailable",INDEX('Market Data'!$AP$5:$AP$66,AH!$U$4)),IF(AH!$U$5=1,INDEX('Live History'!$H$5:$H$3004,MATCH($A298,'Live History'!$G$5:$G$3004,1)),INDEX('AH History'!$B$5:$B$1380,$K298))),NA()),NA())</f>
        <v/>
      </c>
      <c r="I298" s="34">
        <f>IFERROR(IF(ISNUMBER($A298),IF(AND(AH!$U$12=1,293+1=AH!$U$6),TODAY(),IF(AH!$U$5=1,INDEX('Live History'!$G$5:$G$3004,MATCH($A298,'Live History'!$G$5:$G$3004,1)),INDEX('AH History'!$C$5:$C$1380,$K298))),NA()),NA())</f>
        <v/>
      </c>
      <c r="J298" s="32">
        <f>IFERROR(IF(AND($F298&gt;0,$H298&gt;0,$A298-$G298&lt;=10,$A298-$I298&lt;=5,$G298&gt;0,$I298&gt;0),$F298*$H298,NA()),NA())</f>
        <v/>
      </c>
      <c r="K298" s="15">
        <f>IF($A298="","",IF(AH!$U$5=1,IFERROR(MATCH($A298,'Live History'!$A$5:$A$3004,0),0),AH!$U$7+293))</f>
        <v/>
      </c>
      <c r="L298" s="15">
        <f>IF(ISNUMBER(A298),TEXT(A298,"dd-mmm-yy"),"")</f>
        <v/>
      </c>
    </row>
    <row r="299">
      <c r="A299" s="14">
        <f>IF(OR(AH!$U$4=0,294+1&gt;AH!$U$6,AND(AH!$M$5="Bloomberg",AH!$U$5=0)),"",IFERROR(IF(AND(AH!$U$12=1,294+1=AH!$U$6),TODAY(),IF(AH!$U$5=1,INDEX('Live History'!$A$5:$A$3004,AH!$U$7+294),INDEX('AH History'!$A$5:$A$1380,AH!$U$7+294))),""))</f>
        <v/>
      </c>
      <c r="B299" s="33">
        <f>IFERROR(IF(AH!$U$11=1,NA(),$J299/$E299-1),NA())</f>
        <v/>
      </c>
      <c r="C299" s="269">
        <f>IFERROR(100*$E299/$E$5,NA())</f>
        <v/>
      </c>
      <c r="D299" s="269">
        <f>IFERROR(100*$J299/$J$5,NA())</f>
        <v/>
      </c>
      <c r="E299" s="32">
        <f>IFERROR(IF(AND(ISNUMBER($A299),N(IF(AND(AH!$U$12=1,294+1=AH!$U$6),IF(AH!$U$4=0,"unavailable",INDEX('Market Data'!$AN$5:$AN$66,AH!$U$4)),IF(AH!$U$5=1,INDEX('Live History'!$B$5:$B$3004,$K299),INDEX('AH History'!$D$5:$GG$1380,$K299,AH!$U$10))))&gt;0),IF(AND(AH!$U$12=1,294+1=AH!$U$6),IF(AH!$U$4=0,"unavailable",INDEX('Market Data'!$AN$5:$AN$66,AH!$U$4)),IF(AH!$U$5=1,INDEX('Live History'!$B$5:$B$3004,$K299),INDEX('AH History'!$D$5:$GG$1380,$K299,AH!$U$10))),NA()),NA())</f>
        <v/>
      </c>
      <c r="F299" s="32">
        <f>IFERROR(IF(ISNUMBER($A299),IF(AND(AH!$U$12=1,294+1=AH!$U$6),IF(AH!$U$4=0,"unavailable",INDEX('Market Data'!$AO$5:$AO$66,AH!$U$4)),IF(AH!$U$5=1,INDEX('Live History'!$E$5:$E$3004,MATCH($A299,'Live History'!$D$5:$D$3004,1)),INDEX('AH History'!$D$5:$GG$1380,$K299,AH!$U$10+1))),NA()),NA())</f>
        <v/>
      </c>
      <c r="G299" s="34">
        <f>IFERROR(IF(ISNUMBER($A299),IF(AND(AH!$U$12=1,294+1=AH!$U$6),IF(AH!$U$4=0,"unavailable",INDEX('Market Data'!$AK$5:$AK$66,AH!$U$4)),IF(AH!$U$5=1,INDEX('Live History'!$D$5:$D$3004,MATCH($A299,'Live History'!$D$5:$D$3004,1)),INDEX('AH History'!$D$5:$GG$1380,$K299,AH!$U$10+2))),NA()),NA())</f>
        <v/>
      </c>
      <c r="H299" s="266">
        <f>IFERROR(IF(ISNUMBER($A299),IF(AND(AH!$U$12=1,294+1=AH!$U$6),IF(AH!$U$4=0,"unavailable",INDEX('Market Data'!$AP$5:$AP$66,AH!$U$4)),IF(AH!$U$5=1,INDEX('Live History'!$H$5:$H$3004,MATCH($A299,'Live History'!$G$5:$G$3004,1)),INDEX('AH History'!$B$5:$B$1380,$K299))),NA()),NA())</f>
        <v/>
      </c>
      <c r="I299" s="34">
        <f>IFERROR(IF(ISNUMBER($A299),IF(AND(AH!$U$12=1,294+1=AH!$U$6),TODAY(),IF(AH!$U$5=1,INDEX('Live History'!$G$5:$G$3004,MATCH($A299,'Live History'!$G$5:$G$3004,1)),INDEX('AH History'!$C$5:$C$1380,$K299))),NA()),NA())</f>
        <v/>
      </c>
      <c r="J299" s="32">
        <f>IFERROR(IF(AND($F299&gt;0,$H299&gt;0,$A299-$G299&lt;=10,$A299-$I299&lt;=5,$G299&gt;0,$I299&gt;0),$F299*$H299,NA()),NA())</f>
        <v/>
      </c>
      <c r="K299" s="15">
        <f>IF($A299="","",IF(AH!$U$5=1,IFERROR(MATCH($A299,'Live History'!$A$5:$A$3004,0),0),AH!$U$7+294))</f>
        <v/>
      </c>
      <c r="L299" s="15">
        <f>IF(ISNUMBER(A299),TEXT(A299,"dd-mmm-yy"),"")</f>
        <v/>
      </c>
    </row>
    <row r="300">
      <c r="A300" s="14">
        <f>IF(OR(AH!$U$4=0,295+1&gt;AH!$U$6,AND(AH!$M$5="Bloomberg",AH!$U$5=0)),"",IFERROR(IF(AND(AH!$U$12=1,295+1=AH!$U$6),TODAY(),IF(AH!$U$5=1,INDEX('Live History'!$A$5:$A$3004,AH!$U$7+295),INDEX('AH History'!$A$5:$A$1380,AH!$U$7+295))),""))</f>
        <v/>
      </c>
      <c r="B300" s="33">
        <f>IFERROR(IF(AH!$U$11=1,NA(),$J300/$E300-1),NA())</f>
        <v/>
      </c>
      <c r="C300" s="269">
        <f>IFERROR(100*$E300/$E$5,NA())</f>
        <v/>
      </c>
      <c r="D300" s="269">
        <f>IFERROR(100*$J300/$J$5,NA())</f>
        <v/>
      </c>
      <c r="E300" s="32">
        <f>IFERROR(IF(AND(ISNUMBER($A300),N(IF(AND(AH!$U$12=1,295+1=AH!$U$6),IF(AH!$U$4=0,"unavailable",INDEX('Market Data'!$AN$5:$AN$66,AH!$U$4)),IF(AH!$U$5=1,INDEX('Live History'!$B$5:$B$3004,$K300),INDEX('AH History'!$D$5:$GG$1380,$K300,AH!$U$10))))&gt;0),IF(AND(AH!$U$12=1,295+1=AH!$U$6),IF(AH!$U$4=0,"unavailable",INDEX('Market Data'!$AN$5:$AN$66,AH!$U$4)),IF(AH!$U$5=1,INDEX('Live History'!$B$5:$B$3004,$K300),INDEX('AH History'!$D$5:$GG$1380,$K300,AH!$U$10))),NA()),NA())</f>
        <v/>
      </c>
      <c r="F300" s="32">
        <f>IFERROR(IF(ISNUMBER($A300),IF(AND(AH!$U$12=1,295+1=AH!$U$6),IF(AH!$U$4=0,"unavailable",INDEX('Market Data'!$AO$5:$AO$66,AH!$U$4)),IF(AH!$U$5=1,INDEX('Live History'!$E$5:$E$3004,MATCH($A300,'Live History'!$D$5:$D$3004,1)),INDEX('AH History'!$D$5:$GG$1380,$K300,AH!$U$10+1))),NA()),NA())</f>
        <v/>
      </c>
      <c r="G300" s="34">
        <f>IFERROR(IF(ISNUMBER($A300),IF(AND(AH!$U$12=1,295+1=AH!$U$6),IF(AH!$U$4=0,"unavailable",INDEX('Market Data'!$AK$5:$AK$66,AH!$U$4)),IF(AH!$U$5=1,INDEX('Live History'!$D$5:$D$3004,MATCH($A300,'Live History'!$D$5:$D$3004,1)),INDEX('AH History'!$D$5:$GG$1380,$K300,AH!$U$10+2))),NA()),NA())</f>
        <v/>
      </c>
      <c r="H300" s="266">
        <f>IFERROR(IF(ISNUMBER($A300),IF(AND(AH!$U$12=1,295+1=AH!$U$6),IF(AH!$U$4=0,"unavailable",INDEX('Market Data'!$AP$5:$AP$66,AH!$U$4)),IF(AH!$U$5=1,INDEX('Live History'!$H$5:$H$3004,MATCH($A300,'Live History'!$G$5:$G$3004,1)),INDEX('AH History'!$B$5:$B$1380,$K300))),NA()),NA())</f>
        <v/>
      </c>
      <c r="I300" s="34">
        <f>IFERROR(IF(ISNUMBER($A300),IF(AND(AH!$U$12=1,295+1=AH!$U$6),TODAY(),IF(AH!$U$5=1,INDEX('Live History'!$G$5:$G$3004,MATCH($A300,'Live History'!$G$5:$G$3004,1)),INDEX('AH History'!$C$5:$C$1380,$K300))),NA()),NA())</f>
        <v/>
      </c>
      <c r="J300" s="32">
        <f>IFERROR(IF(AND($F300&gt;0,$H300&gt;0,$A300-$G300&lt;=10,$A300-$I300&lt;=5,$G300&gt;0,$I300&gt;0),$F300*$H300,NA()),NA())</f>
        <v/>
      </c>
      <c r="K300" s="15">
        <f>IF($A300="","",IF(AH!$U$5=1,IFERROR(MATCH($A300,'Live History'!$A$5:$A$3004,0),0),AH!$U$7+295))</f>
        <v/>
      </c>
      <c r="L300" s="15">
        <f>IF(ISNUMBER(A300),TEXT(A300,"dd-mmm-yy"),"")</f>
        <v/>
      </c>
    </row>
    <row r="301">
      <c r="A301" s="14">
        <f>IF(OR(AH!$U$4=0,296+1&gt;AH!$U$6,AND(AH!$M$5="Bloomberg",AH!$U$5=0)),"",IFERROR(IF(AND(AH!$U$12=1,296+1=AH!$U$6),TODAY(),IF(AH!$U$5=1,INDEX('Live History'!$A$5:$A$3004,AH!$U$7+296),INDEX('AH History'!$A$5:$A$1380,AH!$U$7+296))),""))</f>
        <v/>
      </c>
      <c r="B301" s="33">
        <f>IFERROR(IF(AH!$U$11=1,NA(),$J301/$E301-1),NA())</f>
        <v/>
      </c>
      <c r="C301" s="269">
        <f>IFERROR(100*$E301/$E$5,NA())</f>
        <v/>
      </c>
      <c r="D301" s="269">
        <f>IFERROR(100*$J301/$J$5,NA())</f>
        <v/>
      </c>
      <c r="E301" s="32">
        <f>IFERROR(IF(AND(ISNUMBER($A301),N(IF(AND(AH!$U$12=1,296+1=AH!$U$6),IF(AH!$U$4=0,"unavailable",INDEX('Market Data'!$AN$5:$AN$66,AH!$U$4)),IF(AH!$U$5=1,INDEX('Live History'!$B$5:$B$3004,$K301),INDEX('AH History'!$D$5:$GG$1380,$K301,AH!$U$10))))&gt;0),IF(AND(AH!$U$12=1,296+1=AH!$U$6),IF(AH!$U$4=0,"unavailable",INDEX('Market Data'!$AN$5:$AN$66,AH!$U$4)),IF(AH!$U$5=1,INDEX('Live History'!$B$5:$B$3004,$K301),INDEX('AH History'!$D$5:$GG$1380,$K301,AH!$U$10))),NA()),NA())</f>
        <v/>
      </c>
      <c r="F301" s="32">
        <f>IFERROR(IF(ISNUMBER($A301),IF(AND(AH!$U$12=1,296+1=AH!$U$6),IF(AH!$U$4=0,"unavailable",INDEX('Market Data'!$AO$5:$AO$66,AH!$U$4)),IF(AH!$U$5=1,INDEX('Live History'!$E$5:$E$3004,MATCH($A301,'Live History'!$D$5:$D$3004,1)),INDEX('AH History'!$D$5:$GG$1380,$K301,AH!$U$10+1))),NA()),NA())</f>
        <v/>
      </c>
      <c r="G301" s="34">
        <f>IFERROR(IF(ISNUMBER($A301),IF(AND(AH!$U$12=1,296+1=AH!$U$6),IF(AH!$U$4=0,"unavailable",INDEX('Market Data'!$AK$5:$AK$66,AH!$U$4)),IF(AH!$U$5=1,INDEX('Live History'!$D$5:$D$3004,MATCH($A301,'Live History'!$D$5:$D$3004,1)),INDEX('AH History'!$D$5:$GG$1380,$K301,AH!$U$10+2))),NA()),NA())</f>
        <v/>
      </c>
      <c r="H301" s="266">
        <f>IFERROR(IF(ISNUMBER($A301),IF(AND(AH!$U$12=1,296+1=AH!$U$6),IF(AH!$U$4=0,"unavailable",INDEX('Market Data'!$AP$5:$AP$66,AH!$U$4)),IF(AH!$U$5=1,INDEX('Live History'!$H$5:$H$3004,MATCH($A301,'Live History'!$G$5:$G$3004,1)),INDEX('AH History'!$B$5:$B$1380,$K301))),NA()),NA())</f>
        <v/>
      </c>
      <c r="I301" s="34">
        <f>IFERROR(IF(ISNUMBER($A301),IF(AND(AH!$U$12=1,296+1=AH!$U$6),TODAY(),IF(AH!$U$5=1,INDEX('Live History'!$G$5:$G$3004,MATCH($A301,'Live History'!$G$5:$G$3004,1)),INDEX('AH History'!$C$5:$C$1380,$K301))),NA()),NA())</f>
        <v/>
      </c>
      <c r="J301" s="32">
        <f>IFERROR(IF(AND($F301&gt;0,$H301&gt;0,$A301-$G301&lt;=10,$A301-$I301&lt;=5,$G301&gt;0,$I301&gt;0),$F301*$H301,NA()),NA())</f>
        <v/>
      </c>
      <c r="K301" s="15">
        <f>IF($A301="","",IF(AH!$U$5=1,IFERROR(MATCH($A301,'Live History'!$A$5:$A$3004,0),0),AH!$U$7+296))</f>
        <v/>
      </c>
      <c r="L301" s="15">
        <f>IF(ISNUMBER(A301),TEXT(A301,"dd-mmm-yy"),"")</f>
        <v/>
      </c>
    </row>
    <row r="302">
      <c r="A302" s="14">
        <f>IF(OR(AH!$U$4=0,297+1&gt;AH!$U$6,AND(AH!$M$5="Bloomberg",AH!$U$5=0)),"",IFERROR(IF(AND(AH!$U$12=1,297+1=AH!$U$6),TODAY(),IF(AH!$U$5=1,INDEX('Live History'!$A$5:$A$3004,AH!$U$7+297),INDEX('AH History'!$A$5:$A$1380,AH!$U$7+297))),""))</f>
        <v/>
      </c>
      <c r="B302" s="33">
        <f>IFERROR(IF(AH!$U$11=1,NA(),$J302/$E302-1),NA())</f>
        <v/>
      </c>
      <c r="C302" s="269">
        <f>IFERROR(100*$E302/$E$5,NA())</f>
        <v/>
      </c>
      <c r="D302" s="269">
        <f>IFERROR(100*$J302/$J$5,NA())</f>
        <v/>
      </c>
      <c r="E302" s="32">
        <f>IFERROR(IF(AND(ISNUMBER($A302),N(IF(AND(AH!$U$12=1,297+1=AH!$U$6),IF(AH!$U$4=0,"unavailable",INDEX('Market Data'!$AN$5:$AN$66,AH!$U$4)),IF(AH!$U$5=1,INDEX('Live History'!$B$5:$B$3004,$K302),INDEX('AH History'!$D$5:$GG$1380,$K302,AH!$U$10))))&gt;0),IF(AND(AH!$U$12=1,297+1=AH!$U$6),IF(AH!$U$4=0,"unavailable",INDEX('Market Data'!$AN$5:$AN$66,AH!$U$4)),IF(AH!$U$5=1,INDEX('Live History'!$B$5:$B$3004,$K302),INDEX('AH History'!$D$5:$GG$1380,$K302,AH!$U$10))),NA()),NA())</f>
        <v/>
      </c>
      <c r="F302" s="32">
        <f>IFERROR(IF(ISNUMBER($A302),IF(AND(AH!$U$12=1,297+1=AH!$U$6),IF(AH!$U$4=0,"unavailable",INDEX('Market Data'!$AO$5:$AO$66,AH!$U$4)),IF(AH!$U$5=1,INDEX('Live History'!$E$5:$E$3004,MATCH($A302,'Live History'!$D$5:$D$3004,1)),INDEX('AH History'!$D$5:$GG$1380,$K302,AH!$U$10+1))),NA()),NA())</f>
        <v/>
      </c>
      <c r="G302" s="34">
        <f>IFERROR(IF(ISNUMBER($A302),IF(AND(AH!$U$12=1,297+1=AH!$U$6),IF(AH!$U$4=0,"unavailable",INDEX('Market Data'!$AK$5:$AK$66,AH!$U$4)),IF(AH!$U$5=1,INDEX('Live History'!$D$5:$D$3004,MATCH($A302,'Live History'!$D$5:$D$3004,1)),INDEX('AH History'!$D$5:$GG$1380,$K302,AH!$U$10+2))),NA()),NA())</f>
        <v/>
      </c>
      <c r="H302" s="266">
        <f>IFERROR(IF(ISNUMBER($A302),IF(AND(AH!$U$12=1,297+1=AH!$U$6),IF(AH!$U$4=0,"unavailable",INDEX('Market Data'!$AP$5:$AP$66,AH!$U$4)),IF(AH!$U$5=1,INDEX('Live History'!$H$5:$H$3004,MATCH($A302,'Live History'!$G$5:$G$3004,1)),INDEX('AH History'!$B$5:$B$1380,$K302))),NA()),NA())</f>
        <v/>
      </c>
      <c r="I302" s="34">
        <f>IFERROR(IF(ISNUMBER($A302),IF(AND(AH!$U$12=1,297+1=AH!$U$6),TODAY(),IF(AH!$U$5=1,INDEX('Live History'!$G$5:$G$3004,MATCH($A302,'Live History'!$G$5:$G$3004,1)),INDEX('AH History'!$C$5:$C$1380,$K302))),NA()),NA())</f>
        <v/>
      </c>
      <c r="J302" s="32">
        <f>IFERROR(IF(AND($F302&gt;0,$H302&gt;0,$A302-$G302&lt;=10,$A302-$I302&lt;=5,$G302&gt;0,$I302&gt;0),$F302*$H302,NA()),NA())</f>
        <v/>
      </c>
      <c r="K302" s="15">
        <f>IF($A302="","",IF(AH!$U$5=1,IFERROR(MATCH($A302,'Live History'!$A$5:$A$3004,0),0),AH!$U$7+297))</f>
        <v/>
      </c>
      <c r="L302" s="15">
        <f>IF(ISNUMBER(A302),TEXT(A302,"dd-mmm-yy"),"")</f>
        <v/>
      </c>
    </row>
    <row r="303">
      <c r="A303" s="14">
        <f>IF(OR(AH!$U$4=0,298+1&gt;AH!$U$6,AND(AH!$M$5="Bloomberg",AH!$U$5=0)),"",IFERROR(IF(AND(AH!$U$12=1,298+1=AH!$U$6),TODAY(),IF(AH!$U$5=1,INDEX('Live History'!$A$5:$A$3004,AH!$U$7+298),INDEX('AH History'!$A$5:$A$1380,AH!$U$7+298))),""))</f>
        <v/>
      </c>
      <c r="B303" s="33">
        <f>IFERROR(IF(AH!$U$11=1,NA(),$J303/$E303-1),NA())</f>
        <v/>
      </c>
      <c r="C303" s="269">
        <f>IFERROR(100*$E303/$E$5,NA())</f>
        <v/>
      </c>
      <c r="D303" s="269">
        <f>IFERROR(100*$J303/$J$5,NA())</f>
        <v/>
      </c>
      <c r="E303" s="32">
        <f>IFERROR(IF(AND(ISNUMBER($A303),N(IF(AND(AH!$U$12=1,298+1=AH!$U$6),IF(AH!$U$4=0,"unavailable",INDEX('Market Data'!$AN$5:$AN$66,AH!$U$4)),IF(AH!$U$5=1,INDEX('Live History'!$B$5:$B$3004,$K303),INDEX('AH History'!$D$5:$GG$1380,$K303,AH!$U$10))))&gt;0),IF(AND(AH!$U$12=1,298+1=AH!$U$6),IF(AH!$U$4=0,"unavailable",INDEX('Market Data'!$AN$5:$AN$66,AH!$U$4)),IF(AH!$U$5=1,INDEX('Live History'!$B$5:$B$3004,$K303),INDEX('AH History'!$D$5:$GG$1380,$K303,AH!$U$10))),NA()),NA())</f>
        <v/>
      </c>
      <c r="F303" s="32">
        <f>IFERROR(IF(ISNUMBER($A303),IF(AND(AH!$U$12=1,298+1=AH!$U$6),IF(AH!$U$4=0,"unavailable",INDEX('Market Data'!$AO$5:$AO$66,AH!$U$4)),IF(AH!$U$5=1,INDEX('Live History'!$E$5:$E$3004,MATCH($A303,'Live History'!$D$5:$D$3004,1)),INDEX('AH History'!$D$5:$GG$1380,$K303,AH!$U$10+1))),NA()),NA())</f>
        <v/>
      </c>
      <c r="G303" s="34">
        <f>IFERROR(IF(ISNUMBER($A303),IF(AND(AH!$U$12=1,298+1=AH!$U$6),IF(AH!$U$4=0,"unavailable",INDEX('Market Data'!$AK$5:$AK$66,AH!$U$4)),IF(AH!$U$5=1,INDEX('Live History'!$D$5:$D$3004,MATCH($A303,'Live History'!$D$5:$D$3004,1)),INDEX('AH History'!$D$5:$GG$1380,$K303,AH!$U$10+2))),NA()),NA())</f>
        <v/>
      </c>
      <c r="H303" s="266">
        <f>IFERROR(IF(ISNUMBER($A303),IF(AND(AH!$U$12=1,298+1=AH!$U$6),IF(AH!$U$4=0,"unavailable",INDEX('Market Data'!$AP$5:$AP$66,AH!$U$4)),IF(AH!$U$5=1,INDEX('Live History'!$H$5:$H$3004,MATCH($A303,'Live History'!$G$5:$G$3004,1)),INDEX('AH History'!$B$5:$B$1380,$K303))),NA()),NA())</f>
        <v/>
      </c>
      <c r="I303" s="34">
        <f>IFERROR(IF(ISNUMBER($A303),IF(AND(AH!$U$12=1,298+1=AH!$U$6),TODAY(),IF(AH!$U$5=1,INDEX('Live History'!$G$5:$G$3004,MATCH($A303,'Live History'!$G$5:$G$3004,1)),INDEX('AH History'!$C$5:$C$1380,$K303))),NA()),NA())</f>
        <v/>
      </c>
      <c r="J303" s="32">
        <f>IFERROR(IF(AND($F303&gt;0,$H303&gt;0,$A303-$G303&lt;=10,$A303-$I303&lt;=5,$G303&gt;0,$I303&gt;0),$F303*$H303,NA()),NA())</f>
        <v/>
      </c>
      <c r="K303" s="15">
        <f>IF($A303="","",IF(AH!$U$5=1,IFERROR(MATCH($A303,'Live History'!$A$5:$A$3004,0),0),AH!$U$7+298))</f>
        <v/>
      </c>
      <c r="L303" s="15">
        <f>IF(ISNUMBER(A303),TEXT(A303,"dd-mmm-yy"),"")</f>
        <v/>
      </c>
    </row>
    <row r="304">
      <c r="A304" s="14">
        <f>IF(OR(AH!$U$4=0,299+1&gt;AH!$U$6,AND(AH!$M$5="Bloomberg",AH!$U$5=0)),"",IFERROR(IF(AND(AH!$U$12=1,299+1=AH!$U$6),TODAY(),IF(AH!$U$5=1,INDEX('Live History'!$A$5:$A$3004,AH!$U$7+299),INDEX('AH History'!$A$5:$A$1380,AH!$U$7+299))),""))</f>
        <v/>
      </c>
      <c r="B304" s="33">
        <f>IFERROR(IF(AH!$U$11=1,NA(),$J304/$E304-1),NA())</f>
        <v/>
      </c>
      <c r="C304" s="269">
        <f>IFERROR(100*$E304/$E$5,NA())</f>
        <v/>
      </c>
      <c r="D304" s="269">
        <f>IFERROR(100*$J304/$J$5,NA())</f>
        <v/>
      </c>
      <c r="E304" s="32">
        <f>IFERROR(IF(AND(ISNUMBER($A304),N(IF(AND(AH!$U$12=1,299+1=AH!$U$6),IF(AH!$U$4=0,"unavailable",INDEX('Market Data'!$AN$5:$AN$66,AH!$U$4)),IF(AH!$U$5=1,INDEX('Live History'!$B$5:$B$3004,$K304),INDEX('AH History'!$D$5:$GG$1380,$K304,AH!$U$10))))&gt;0),IF(AND(AH!$U$12=1,299+1=AH!$U$6),IF(AH!$U$4=0,"unavailable",INDEX('Market Data'!$AN$5:$AN$66,AH!$U$4)),IF(AH!$U$5=1,INDEX('Live History'!$B$5:$B$3004,$K304),INDEX('AH History'!$D$5:$GG$1380,$K304,AH!$U$10))),NA()),NA())</f>
        <v/>
      </c>
      <c r="F304" s="32">
        <f>IFERROR(IF(ISNUMBER($A304),IF(AND(AH!$U$12=1,299+1=AH!$U$6),IF(AH!$U$4=0,"unavailable",INDEX('Market Data'!$AO$5:$AO$66,AH!$U$4)),IF(AH!$U$5=1,INDEX('Live History'!$E$5:$E$3004,MATCH($A304,'Live History'!$D$5:$D$3004,1)),INDEX('AH History'!$D$5:$GG$1380,$K304,AH!$U$10+1))),NA()),NA())</f>
        <v/>
      </c>
      <c r="G304" s="34">
        <f>IFERROR(IF(ISNUMBER($A304),IF(AND(AH!$U$12=1,299+1=AH!$U$6),IF(AH!$U$4=0,"unavailable",INDEX('Market Data'!$AK$5:$AK$66,AH!$U$4)),IF(AH!$U$5=1,INDEX('Live History'!$D$5:$D$3004,MATCH($A304,'Live History'!$D$5:$D$3004,1)),INDEX('AH History'!$D$5:$GG$1380,$K304,AH!$U$10+2))),NA()),NA())</f>
        <v/>
      </c>
      <c r="H304" s="266">
        <f>IFERROR(IF(ISNUMBER($A304),IF(AND(AH!$U$12=1,299+1=AH!$U$6),IF(AH!$U$4=0,"unavailable",INDEX('Market Data'!$AP$5:$AP$66,AH!$U$4)),IF(AH!$U$5=1,INDEX('Live History'!$H$5:$H$3004,MATCH($A304,'Live History'!$G$5:$G$3004,1)),INDEX('AH History'!$B$5:$B$1380,$K304))),NA()),NA())</f>
        <v/>
      </c>
      <c r="I304" s="34">
        <f>IFERROR(IF(ISNUMBER($A304),IF(AND(AH!$U$12=1,299+1=AH!$U$6),TODAY(),IF(AH!$U$5=1,INDEX('Live History'!$G$5:$G$3004,MATCH($A304,'Live History'!$G$5:$G$3004,1)),INDEX('AH History'!$C$5:$C$1380,$K304))),NA()),NA())</f>
        <v/>
      </c>
      <c r="J304" s="32">
        <f>IFERROR(IF(AND($F304&gt;0,$H304&gt;0,$A304-$G304&lt;=10,$A304-$I304&lt;=5,$G304&gt;0,$I304&gt;0),$F304*$H304,NA()),NA())</f>
        <v/>
      </c>
      <c r="K304" s="15">
        <f>IF($A304="","",IF(AH!$U$5=1,IFERROR(MATCH($A304,'Live History'!$A$5:$A$3004,0),0),AH!$U$7+299))</f>
        <v/>
      </c>
      <c r="L304" s="15">
        <f>IF(ISNUMBER(A304),TEXT(A304,"dd-mmm-yy"),"")</f>
        <v/>
      </c>
    </row>
    <row r="305">
      <c r="A305" s="14">
        <f>IF(OR(AH!$U$4=0,300+1&gt;AH!$U$6,AND(AH!$M$5="Bloomberg",AH!$U$5=0)),"",IFERROR(IF(AND(AH!$U$12=1,300+1=AH!$U$6),TODAY(),IF(AH!$U$5=1,INDEX('Live History'!$A$5:$A$3004,AH!$U$7+300),INDEX('AH History'!$A$5:$A$1380,AH!$U$7+300))),""))</f>
        <v/>
      </c>
      <c r="B305" s="33">
        <f>IFERROR(IF(AH!$U$11=1,NA(),$J305/$E305-1),NA())</f>
        <v/>
      </c>
      <c r="C305" s="269">
        <f>IFERROR(100*$E305/$E$5,NA())</f>
        <v/>
      </c>
      <c r="D305" s="269">
        <f>IFERROR(100*$J305/$J$5,NA())</f>
        <v/>
      </c>
      <c r="E305" s="32">
        <f>IFERROR(IF(AND(ISNUMBER($A305),N(IF(AND(AH!$U$12=1,300+1=AH!$U$6),IF(AH!$U$4=0,"unavailable",INDEX('Market Data'!$AN$5:$AN$66,AH!$U$4)),IF(AH!$U$5=1,INDEX('Live History'!$B$5:$B$3004,$K305),INDEX('AH History'!$D$5:$GG$1380,$K305,AH!$U$10))))&gt;0),IF(AND(AH!$U$12=1,300+1=AH!$U$6),IF(AH!$U$4=0,"unavailable",INDEX('Market Data'!$AN$5:$AN$66,AH!$U$4)),IF(AH!$U$5=1,INDEX('Live History'!$B$5:$B$3004,$K305),INDEX('AH History'!$D$5:$GG$1380,$K305,AH!$U$10))),NA()),NA())</f>
        <v/>
      </c>
      <c r="F305" s="32">
        <f>IFERROR(IF(ISNUMBER($A305),IF(AND(AH!$U$12=1,300+1=AH!$U$6),IF(AH!$U$4=0,"unavailable",INDEX('Market Data'!$AO$5:$AO$66,AH!$U$4)),IF(AH!$U$5=1,INDEX('Live History'!$E$5:$E$3004,MATCH($A305,'Live History'!$D$5:$D$3004,1)),INDEX('AH History'!$D$5:$GG$1380,$K305,AH!$U$10+1))),NA()),NA())</f>
        <v/>
      </c>
      <c r="G305" s="34">
        <f>IFERROR(IF(ISNUMBER($A305),IF(AND(AH!$U$12=1,300+1=AH!$U$6),IF(AH!$U$4=0,"unavailable",INDEX('Market Data'!$AK$5:$AK$66,AH!$U$4)),IF(AH!$U$5=1,INDEX('Live History'!$D$5:$D$3004,MATCH($A305,'Live History'!$D$5:$D$3004,1)),INDEX('AH History'!$D$5:$GG$1380,$K305,AH!$U$10+2))),NA()),NA())</f>
        <v/>
      </c>
      <c r="H305" s="266">
        <f>IFERROR(IF(ISNUMBER($A305),IF(AND(AH!$U$12=1,300+1=AH!$U$6),IF(AH!$U$4=0,"unavailable",INDEX('Market Data'!$AP$5:$AP$66,AH!$U$4)),IF(AH!$U$5=1,INDEX('Live History'!$H$5:$H$3004,MATCH($A305,'Live History'!$G$5:$G$3004,1)),INDEX('AH History'!$B$5:$B$1380,$K305))),NA()),NA())</f>
        <v/>
      </c>
      <c r="I305" s="34">
        <f>IFERROR(IF(ISNUMBER($A305),IF(AND(AH!$U$12=1,300+1=AH!$U$6),TODAY(),IF(AH!$U$5=1,INDEX('Live History'!$G$5:$G$3004,MATCH($A305,'Live History'!$G$5:$G$3004,1)),INDEX('AH History'!$C$5:$C$1380,$K305))),NA()),NA())</f>
        <v/>
      </c>
      <c r="J305" s="32">
        <f>IFERROR(IF(AND($F305&gt;0,$H305&gt;0,$A305-$G305&lt;=10,$A305-$I305&lt;=5,$G305&gt;0,$I305&gt;0),$F305*$H305,NA()),NA())</f>
        <v/>
      </c>
      <c r="K305" s="15">
        <f>IF($A305="","",IF(AH!$U$5=1,IFERROR(MATCH($A305,'Live History'!$A$5:$A$3004,0),0),AH!$U$7+300))</f>
        <v/>
      </c>
      <c r="L305" s="15">
        <f>IF(ISNUMBER(A305),TEXT(A305,"dd-mmm-yy"),"")</f>
        <v/>
      </c>
    </row>
    <row r="306">
      <c r="A306" s="14">
        <f>IF(OR(AH!$U$4=0,301+1&gt;AH!$U$6,AND(AH!$M$5="Bloomberg",AH!$U$5=0)),"",IFERROR(IF(AND(AH!$U$12=1,301+1=AH!$U$6),TODAY(),IF(AH!$U$5=1,INDEX('Live History'!$A$5:$A$3004,AH!$U$7+301),INDEX('AH History'!$A$5:$A$1380,AH!$U$7+301))),""))</f>
        <v/>
      </c>
      <c r="B306" s="33">
        <f>IFERROR(IF(AH!$U$11=1,NA(),$J306/$E306-1),NA())</f>
        <v/>
      </c>
      <c r="C306" s="269">
        <f>IFERROR(100*$E306/$E$5,NA())</f>
        <v/>
      </c>
      <c r="D306" s="269">
        <f>IFERROR(100*$J306/$J$5,NA())</f>
        <v/>
      </c>
      <c r="E306" s="32">
        <f>IFERROR(IF(AND(ISNUMBER($A306),N(IF(AND(AH!$U$12=1,301+1=AH!$U$6),IF(AH!$U$4=0,"unavailable",INDEX('Market Data'!$AN$5:$AN$66,AH!$U$4)),IF(AH!$U$5=1,INDEX('Live History'!$B$5:$B$3004,$K306),INDEX('AH History'!$D$5:$GG$1380,$K306,AH!$U$10))))&gt;0),IF(AND(AH!$U$12=1,301+1=AH!$U$6),IF(AH!$U$4=0,"unavailable",INDEX('Market Data'!$AN$5:$AN$66,AH!$U$4)),IF(AH!$U$5=1,INDEX('Live History'!$B$5:$B$3004,$K306),INDEX('AH History'!$D$5:$GG$1380,$K306,AH!$U$10))),NA()),NA())</f>
        <v/>
      </c>
      <c r="F306" s="32">
        <f>IFERROR(IF(ISNUMBER($A306),IF(AND(AH!$U$12=1,301+1=AH!$U$6),IF(AH!$U$4=0,"unavailable",INDEX('Market Data'!$AO$5:$AO$66,AH!$U$4)),IF(AH!$U$5=1,INDEX('Live History'!$E$5:$E$3004,MATCH($A306,'Live History'!$D$5:$D$3004,1)),INDEX('AH History'!$D$5:$GG$1380,$K306,AH!$U$10+1))),NA()),NA())</f>
        <v/>
      </c>
      <c r="G306" s="34">
        <f>IFERROR(IF(ISNUMBER($A306),IF(AND(AH!$U$12=1,301+1=AH!$U$6),IF(AH!$U$4=0,"unavailable",INDEX('Market Data'!$AK$5:$AK$66,AH!$U$4)),IF(AH!$U$5=1,INDEX('Live History'!$D$5:$D$3004,MATCH($A306,'Live History'!$D$5:$D$3004,1)),INDEX('AH History'!$D$5:$GG$1380,$K306,AH!$U$10+2))),NA()),NA())</f>
        <v/>
      </c>
      <c r="H306" s="266">
        <f>IFERROR(IF(ISNUMBER($A306),IF(AND(AH!$U$12=1,301+1=AH!$U$6),IF(AH!$U$4=0,"unavailable",INDEX('Market Data'!$AP$5:$AP$66,AH!$U$4)),IF(AH!$U$5=1,INDEX('Live History'!$H$5:$H$3004,MATCH($A306,'Live History'!$G$5:$G$3004,1)),INDEX('AH History'!$B$5:$B$1380,$K306))),NA()),NA())</f>
        <v/>
      </c>
      <c r="I306" s="34">
        <f>IFERROR(IF(ISNUMBER($A306),IF(AND(AH!$U$12=1,301+1=AH!$U$6),TODAY(),IF(AH!$U$5=1,INDEX('Live History'!$G$5:$G$3004,MATCH($A306,'Live History'!$G$5:$G$3004,1)),INDEX('AH History'!$C$5:$C$1380,$K306))),NA()),NA())</f>
        <v/>
      </c>
      <c r="J306" s="32">
        <f>IFERROR(IF(AND($F306&gt;0,$H306&gt;0,$A306-$G306&lt;=10,$A306-$I306&lt;=5,$G306&gt;0,$I306&gt;0),$F306*$H306,NA()),NA())</f>
        <v/>
      </c>
      <c r="K306" s="15">
        <f>IF($A306="","",IF(AH!$U$5=1,IFERROR(MATCH($A306,'Live History'!$A$5:$A$3004,0),0),AH!$U$7+301))</f>
        <v/>
      </c>
      <c r="L306" s="15">
        <f>IF(ISNUMBER(A306),TEXT(A306,"dd-mmm-yy"),"")</f>
        <v/>
      </c>
    </row>
    <row r="307">
      <c r="A307" s="14">
        <f>IF(OR(AH!$U$4=0,302+1&gt;AH!$U$6,AND(AH!$M$5="Bloomberg",AH!$U$5=0)),"",IFERROR(IF(AND(AH!$U$12=1,302+1=AH!$U$6),TODAY(),IF(AH!$U$5=1,INDEX('Live History'!$A$5:$A$3004,AH!$U$7+302),INDEX('AH History'!$A$5:$A$1380,AH!$U$7+302))),""))</f>
        <v/>
      </c>
      <c r="B307" s="33">
        <f>IFERROR(IF(AH!$U$11=1,NA(),$J307/$E307-1),NA())</f>
        <v/>
      </c>
      <c r="C307" s="269">
        <f>IFERROR(100*$E307/$E$5,NA())</f>
        <v/>
      </c>
      <c r="D307" s="269">
        <f>IFERROR(100*$J307/$J$5,NA())</f>
        <v/>
      </c>
      <c r="E307" s="32">
        <f>IFERROR(IF(AND(ISNUMBER($A307),N(IF(AND(AH!$U$12=1,302+1=AH!$U$6),IF(AH!$U$4=0,"unavailable",INDEX('Market Data'!$AN$5:$AN$66,AH!$U$4)),IF(AH!$U$5=1,INDEX('Live History'!$B$5:$B$3004,$K307),INDEX('AH History'!$D$5:$GG$1380,$K307,AH!$U$10))))&gt;0),IF(AND(AH!$U$12=1,302+1=AH!$U$6),IF(AH!$U$4=0,"unavailable",INDEX('Market Data'!$AN$5:$AN$66,AH!$U$4)),IF(AH!$U$5=1,INDEX('Live History'!$B$5:$B$3004,$K307),INDEX('AH History'!$D$5:$GG$1380,$K307,AH!$U$10))),NA()),NA())</f>
        <v/>
      </c>
      <c r="F307" s="32">
        <f>IFERROR(IF(ISNUMBER($A307),IF(AND(AH!$U$12=1,302+1=AH!$U$6),IF(AH!$U$4=0,"unavailable",INDEX('Market Data'!$AO$5:$AO$66,AH!$U$4)),IF(AH!$U$5=1,INDEX('Live History'!$E$5:$E$3004,MATCH($A307,'Live History'!$D$5:$D$3004,1)),INDEX('AH History'!$D$5:$GG$1380,$K307,AH!$U$10+1))),NA()),NA())</f>
        <v/>
      </c>
      <c r="G307" s="34">
        <f>IFERROR(IF(ISNUMBER($A307),IF(AND(AH!$U$12=1,302+1=AH!$U$6),IF(AH!$U$4=0,"unavailable",INDEX('Market Data'!$AK$5:$AK$66,AH!$U$4)),IF(AH!$U$5=1,INDEX('Live History'!$D$5:$D$3004,MATCH($A307,'Live History'!$D$5:$D$3004,1)),INDEX('AH History'!$D$5:$GG$1380,$K307,AH!$U$10+2))),NA()),NA())</f>
        <v/>
      </c>
      <c r="H307" s="266">
        <f>IFERROR(IF(ISNUMBER($A307),IF(AND(AH!$U$12=1,302+1=AH!$U$6),IF(AH!$U$4=0,"unavailable",INDEX('Market Data'!$AP$5:$AP$66,AH!$U$4)),IF(AH!$U$5=1,INDEX('Live History'!$H$5:$H$3004,MATCH($A307,'Live History'!$G$5:$G$3004,1)),INDEX('AH History'!$B$5:$B$1380,$K307))),NA()),NA())</f>
        <v/>
      </c>
      <c r="I307" s="34">
        <f>IFERROR(IF(ISNUMBER($A307),IF(AND(AH!$U$12=1,302+1=AH!$U$6),TODAY(),IF(AH!$U$5=1,INDEX('Live History'!$G$5:$G$3004,MATCH($A307,'Live History'!$G$5:$G$3004,1)),INDEX('AH History'!$C$5:$C$1380,$K307))),NA()),NA())</f>
        <v/>
      </c>
      <c r="J307" s="32">
        <f>IFERROR(IF(AND($F307&gt;0,$H307&gt;0,$A307-$G307&lt;=10,$A307-$I307&lt;=5,$G307&gt;0,$I307&gt;0),$F307*$H307,NA()),NA())</f>
        <v/>
      </c>
      <c r="K307" s="15">
        <f>IF($A307="","",IF(AH!$U$5=1,IFERROR(MATCH($A307,'Live History'!$A$5:$A$3004,0),0),AH!$U$7+302))</f>
        <v/>
      </c>
      <c r="L307" s="15">
        <f>IF(ISNUMBER(A307),TEXT(A307,"dd-mmm-yy"),"")</f>
        <v/>
      </c>
    </row>
    <row r="308">
      <c r="A308" s="14">
        <f>IF(OR(AH!$U$4=0,303+1&gt;AH!$U$6,AND(AH!$M$5="Bloomberg",AH!$U$5=0)),"",IFERROR(IF(AND(AH!$U$12=1,303+1=AH!$U$6),TODAY(),IF(AH!$U$5=1,INDEX('Live History'!$A$5:$A$3004,AH!$U$7+303),INDEX('AH History'!$A$5:$A$1380,AH!$U$7+303))),""))</f>
        <v/>
      </c>
      <c r="B308" s="33">
        <f>IFERROR(IF(AH!$U$11=1,NA(),$J308/$E308-1),NA())</f>
        <v/>
      </c>
      <c r="C308" s="269">
        <f>IFERROR(100*$E308/$E$5,NA())</f>
        <v/>
      </c>
      <c r="D308" s="269">
        <f>IFERROR(100*$J308/$J$5,NA())</f>
        <v/>
      </c>
      <c r="E308" s="32">
        <f>IFERROR(IF(AND(ISNUMBER($A308),N(IF(AND(AH!$U$12=1,303+1=AH!$U$6),IF(AH!$U$4=0,"unavailable",INDEX('Market Data'!$AN$5:$AN$66,AH!$U$4)),IF(AH!$U$5=1,INDEX('Live History'!$B$5:$B$3004,$K308),INDEX('AH History'!$D$5:$GG$1380,$K308,AH!$U$10))))&gt;0),IF(AND(AH!$U$12=1,303+1=AH!$U$6),IF(AH!$U$4=0,"unavailable",INDEX('Market Data'!$AN$5:$AN$66,AH!$U$4)),IF(AH!$U$5=1,INDEX('Live History'!$B$5:$B$3004,$K308),INDEX('AH History'!$D$5:$GG$1380,$K308,AH!$U$10))),NA()),NA())</f>
        <v/>
      </c>
      <c r="F308" s="32">
        <f>IFERROR(IF(ISNUMBER($A308),IF(AND(AH!$U$12=1,303+1=AH!$U$6),IF(AH!$U$4=0,"unavailable",INDEX('Market Data'!$AO$5:$AO$66,AH!$U$4)),IF(AH!$U$5=1,INDEX('Live History'!$E$5:$E$3004,MATCH($A308,'Live History'!$D$5:$D$3004,1)),INDEX('AH History'!$D$5:$GG$1380,$K308,AH!$U$10+1))),NA()),NA())</f>
        <v/>
      </c>
      <c r="G308" s="34">
        <f>IFERROR(IF(ISNUMBER($A308),IF(AND(AH!$U$12=1,303+1=AH!$U$6),IF(AH!$U$4=0,"unavailable",INDEX('Market Data'!$AK$5:$AK$66,AH!$U$4)),IF(AH!$U$5=1,INDEX('Live History'!$D$5:$D$3004,MATCH($A308,'Live History'!$D$5:$D$3004,1)),INDEX('AH History'!$D$5:$GG$1380,$K308,AH!$U$10+2))),NA()),NA())</f>
        <v/>
      </c>
      <c r="H308" s="266">
        <f>IFERROR(IF(ISNUMBER($A308),IF(AND(AH!$U$12=1,303+1=AH!$U$6),IF(AH!$U$4=0,"unavailable",INDEX('Market Data'!$AP$5:$AP$66,AH!$U$4)),IF(AH!$U$5=1,INDEX('Live History'!$H$5:$H$3004,MATCH($A308,'Live History'!$G$5:$G$3004,1)),INDEX('AH History'!$B$5:$B$1380,$K308))),NA()),NA())</f>
        <v/>
      </c>
      <c r="I308" s="34">
        <f>IFERROR(IF(ISNUMBER($A308),IF(AND(AH!$U$12=1,303+1=AH!$U$6),TODAY(),IF(AH!$U$5=1,INDEX('Live History'!$G$5:$G$3004,MATCH($A308,'Live History'!$G$5:$G$3004,1)),INDEX('AH History'!$C$5:$C$1380,$K308))),NA()),NA())</f>
        <v/>
      </c>
      <c r="J308" s="32">
        <f>IFERROR(IF(AND($F308&gt;0,$H308&gt;0,$A308-$G308&lt;=10,$A308-$I308&lt;=5,$G308&gt;0,$I308&gt;0),$F308*$H308,NA()),NA())</f>
        <v/>
      </c>
      <c r="K308" s="15">
        <f>IF($A308="","",IF(AH!$U$5=1,IFERROR(MATCH($A308,'Live History'!$A$5:$A$3004,0),0),AH!$U$7+303))</f>
        <v/>
      </c>
      <c r="L308" s="15">
        <f>IF(ISNUMBER(A308),TEXT(A308,"dd-mmm-yy"),"")</f>
        <v/>
      </c>
    </row>
    <row r="309">
      <c r="A309" s="14">
        <f>IF(OR(AH!$U$4=0,304+1&gt;AH!$U$6,AND(AH!$M$5="Bloomberg",AH!$U$5=0)),"",IFERROR(IF(AND(AH!$U$12=1,304+1=AH!$U$6),TODAY(),IF(AH!$U$5=1,INDEX('Live History'!$A$5:$A$3004,AH!$U$7+304),INDEX('AH History'!$A$5:$A$1380,AH!$U$7+304))),""))</f>
        <v/>
      </c>
      <c r="B309" s="33">
        <f>IFERROR(IF(AH!$U$11=1,NA(),$J309/$E309-1),NA())</f>
        <v/>
      </c>
      <c r="C309" s="269">
        <f>IFERROR(100*$E309/$E$5,NA())</f>
        <v/>
      </c>
      <c r="D309" s="269">
        <f>IFERROR(100*$J309/$J$5,NA())</f>
        <v/>
      </c>
      <c r="E309" s="32">
        <f>IFERROR(IF(AND(ISNUMBER($A309),N(IF(AND(AH!$U$12=1,304+1=AH!$U$6),IF(AH!$U$4=0,"unavailable",INDEX('Market Data'!$AN$5:$AN$66,AH!$U$4)),IF(AH!$U$5=1,INDEX('Live History'!$B$5:$B$3004,$K309),INDEX('AH History'!$D$5:$GG$1380,$K309,AH!$U$10))))&gt;0),IF(AND(AH!$U$12=1,304+1=AH!$U$6),IF(AH!$U$4=0,"unavailable",INDEX('Market Data'!$AN$5:$AN$66,AH!$U$4)),IF(AH!$U$5=1,INDEX('Live History'!$B$5:$B$3004,$K309),INDEX('AH History'!$D$5:$GG$1380,$K309,AH!$U$10))),NA()),NA())</f>
        <v/>
      </c>
      <c r="F309" s="32">
        <f>IFERROR(IF(ISNUMBER($A309),IF(AND(AH!$U$12=1,304+1=AH!$U$6),IF(AH!$U$4=0,"unavailable",INDEX('Market Data'!$AO$5:$AO$66,AH!$U$4)),IF(AH!$U$5=1,INDEX('Live History'!$E$5:$E$3004,MATCH($A309,'Live History'!$D$5:$D$3004,1)),INDEX('AH History'!$D$5:$GG$1380,$K309,AH!$U$10+1))),NA()),NA())</f>
        <v/>
      </c>
      <c r="G309" s="34">
        <f>IFERROR(IF(ISNUMBER($A309),IF(AND(AH!$U$12=1,304+1=AH!$U$6),IF(AH!$U$4=0,"unavailable",INDEX('Market Data'!$AK$5:$AK$66,AH!$U$4)),IF(AH!$U$5=1,INDEX('Live History'!$D$5:$D$3004,MATCH($A309,'Live History'!$D$5:$D$3004,1)),INDEX('AH History'!$D$5:$GG$1380,$K309,AH!$U$10+2))),NA()),NA())</f>
        <v/>
      </c>
      <c r="H309" s="266">
        <f>IFERROR(IF(ISNUMBER($A309),IF(AND(AH!$U$12=1,304+1=AH!$U$6),IF(AH!$U$4=0,"unavailable",INDEX('Market Data'!$AP$5:$AP$66,AH!$U$4)),IF(AH!$U$5=1,INDEX('Live History'!$H$5:$H$3004,MATCH($A309,'Live History'!$G$5:$G$3004,1)),INDEX('AH History'!$B$5:$B$1380,$K309))),NA()),NA())</f>
        <v/>
      </c>
      <c r="I309" s="34">
        <f>IFERROR(IF(ISNUMBER($A309),IF(AND(AH!$U$12=1,304+1=AH!$U$6),TODAY(),IF(AH!$U$5=1,INDEX('Live History'!$G$5:$G$3004,MATCH($A309,'Live History'!$G$5:$G$3004,1)),INDEX('AH History'!$C$5:$C$1380,$K309))),NA()),NA())</f>
        <v/>
      </c>
      <c r="J309" s="32">
        <f>IFERROR(IF(AND($F309&gt;0,$H309&gt;0,$A309-$G309&lt;=10,$A309-$I309&lt;=5,$G309&gt;0,$I309&gt;0),$F309*$H309,NA()),NA())</f>
        <v/>
      </c>
      <c r="K309" s="15">
        <f>IF($A309="","",IF(AH!$U$5=1,IFERROR(MATCH($A309,'Live History'!$A$5:$A$3004,0),0),AH!$U$7+304))</f>
        <v/>
      </c>
      <c r="L309" s="15">
        <f>IF(ISNUMBER(A309),TEXT(A309,"dd-mmm-yy"),"")</f>
        <v/>
      </c>
    </row>
    <row r="310">
      <c r="A310" s="14">
        <f>IF(OR(AH!$U$4=0,305+1&gt;AH!$U$6,AND(AH!$M$5="Bloomberg",AH!$U$5=0)),"",IFERROR(IF(AND(AH!$U$12=1,305+1=AH!$U$6),TODAY(),IF(AH!$U$5=1,INDEX('Live History'!$A$5:$A$3004,AH!$U$7+305),INDEX('AH History'!$A$5:$A$1380,AH!$U$7+305))),""))</f>
        <v/>
      </c>
      <c r="B310" s="33">
        <f>IFERROR(IF(AH!$U$11=1,NA(),$J310/$E310-1),NA())</f>
        <v/>
      </c>
      <c r="C310" s="269">
        <f>IFERROR(100*$E310/$E$5,NA())</f>
        <v/>
      </c>
      <c r="D310" s="269">
        <f>IFERROR(100*$J310/$J$5,NA())</f>
        <v/>
      </c>
      <c r="E310" s="32">
        <f>IFERROR(IF(AND(ISNUMBER($A310),N(IF(AND(AH!$U$12=1,305+1=AH!$U$6),IF(AH!$U$4=0,"unavailable",INDEX('Market Data'!$AN$5:$AN$66,AH!$U$4)),IF(AH!$U$5=1,INDEX('Live History'!$B$5:$B$3004,$K310),INDEX('AH History'!$D$5:$GG$1380,$K310,AH!$U$10))))&gt;0),IF(AND(AH!$U$12=1,305+1=AH!$U$6),IF(AH!$U$4=0,"unavailable",INDEX('Market Data'!$AN$5:$AN$66,AH!$U$4)),IF(AH!$U$5=1,INDEX('Live History'!$B$5:$B$3004,$K310),INDEX('AH History'!$D$5:$GG$1380,$K310,AH!$U$10))),NA()),NA())</f>
        <v/>
      </c>
      <c r="F310" s="32">
        <f>IFERROR(IF(ISNUMBER($A310),IF(AND(AH!$U$12=1,305+1=AH!$U$6),IF(AH!$U$4=0,"unavailable",INDEX('Market Data'!$AO$5:$AO$66,AH!$U$4)),IF(AH!$U$5=1,INDEX('Live History'!$E$5:$E$3004,MATCH($A310,'Live History'!$D$5:$D$3004,1)),INDEX('AH History'!$D$5:$GG$1380,$K310,AH!$U$10+1))),NA()),NA())</f>
        <v/>
      </c>
      <c r="G310" s="34">
        <f>IFERROR(IF(ISNUMBER($A310),IF(AND(AH!$U$12=1,305+1=AH!$U$6),IF(AH!$U$4=0,"unavailable",INDEX('Market Data'!$AK$5:$AK$66,AH!$U$4)),IF(AH!$U$5=1,INDEX('Live History'!$D$5:$D$3004,MATCH($A310,'Live History'!$D$5:$D$3004,1)),INDEX('AH History'!$D$5:$GG$1380,$K310,AH!$U$10+2))),NA()),NA())</f>
        <v/>
      </c>
      <c r="H310" s="266">
        <f>IFERROR(IF(ISNUMBER($A310),IF(AND(AH!$U$12=1,305+1=AH!$U$6),IF(AH!$U$4=0,"unavailable",INDEX('Market Data'!$AP$5:$AP$66,AH!$U$4)),IF(AH!$U$5=1,INDEX('Live History'!$H$5:$H$3004,MATCH($A310,'Live History'!$G$5:$G$3004,1)),INDEX('AH History'!$B$5:$B$1380,$K310))),NA()),NA())</f>
        <v/>
      </c>
      <c r="I310" s="34">
        <f>IFERROR(IF(ISNUMBER($A310),IF(AND(AH!$U$12=1,305+1=AH!$U$6),TODAY(),IF(AH!$U$5=1,INDEX('Live History'!$G$5:$G$3004,MATCH($A310,'Live History'!$G$5:$G$3004,1)),INDEX('AH History'!$C$5:$C$1380,$K310))),NA()),NA())</f>
        <v/>
      </c>
      <c r="J310" s="32">
        <f>IFERROR(IF(AND($F310&gt;0,$H310&gt;0,$A310-$G310&lt;=10,$A310-$I310&lt;=5,$G310&gt;0,$I310&gt;0),$F310*$H310,NA()),NA())</f>
        <v/>
      </c>
      <c r="K310" s="15">
        <f>IF($A310="","",IF(AH!$U$5=1,IFERROR(MATCH($A310,'Live History'!$A$5:$A$3004,0),0),AH!$U$7+305))</f>
        <v/>
      </c>
      <c r="L310" s="15">
        <f>IF(ISNUMBER(A310),TEXT(A310,"dd-mmm-yy"),"")</f>
        <v/>
      </c>
    </row>
    <row r="311">
      <c r="A311" s="14">
        <f>IF(OR(AH!$U$4=0,306+1&gt;AH!$U$6,AND(AH!$M$5="Bloomberg",AH!$U$5=0)),"",IFERROR(IF(AND(AH!$U$12=1,306+1=AH!$U$6),TODAY(),IF(AH!$U$5=1,INDEX('Live History'!$A$5:$A$3004,AH!$U$7+306),INDEX('AH History'!$A$5:$A$1380,AH!$U$7+306))),""))</f>
        <v/>
      </c>
      <c r="B311" s="33">
        <f>IFERROR(IF(AH!$U$11=1,NA(),$J311/$E311-1),NA())</f>
        <v/>
      </c>
      <c r="C311" s="269">
        <f>IFERROR(100*$E311/$E$5,NA())</f>
        <v/>
      </c>
      <c r="D311" s="269">
        <f>IFERROR(100*$J311/$J$5,NA())</f>
        <v/>
      </c>
      <c r="E311" s="32">
        <f>IFERROR(IF(AND(ISNUMBER($A311),N(IF(AND(AH!$U$12=1,306+1=AH!$U$6),IF(AH!$U$4=0,"unavailable",INDEX('Market Data'!$AN$5:$AN$66,AH!$U$4)),IF(AH!$U$5=1,INDEX('Live History'!$B$5:$B$3004,$K311),INDEX('AH History'!$D$5:$GG$1380,$K311,AH!$U$10))))&gt;0),IF(AND(AH!$U$12=1,306+1=AH!$U$6),IF(AH!$U$4=0,"unavailable",INDEX('Market Data'!$AN$5:$AN$66,AH!$U$4)),IF(AH!$U$5=1,INDEX('Live History'!$B$5:$B$3004,$K311),INDEX('AH History'!$D$5:$GG$1380,$K311,AH!$U$10))),NA()),NA())</f>
        <v/>
      </c>
      <c r="F311" s="32">
        <f>IFERROR(IF(ISNUMBER($A311),IF(AND(AH!$U$12=1,306+1=AH!$U$6),IF(AH!$U$4=0,"unavailable",INDEX('Market Data'!$AO$5:$AO$66,AH!$U$4)),IF(AH!$U$5=1,INDEX('Live History'!$E$5:$E$3004,MATCH($A311,'Live History'!$D$5:$D$3004,1)),INDEX('AH History'!$D$5:$GG$1380,$K311,AH!$U$10+1))),NA()),NA())</f>
        <v/>
      </c>
      <c r="G311" s="34">
        <f>IFERROR(IF(ISNUMBER($A311),IF(AND(AH!$U$12=1,306+1=AH!$U$6),IF(AH!$U$4=0,"unavailable",INDEX('Market Data'!$AK$5:$AK$66,AH!$U$4)),IF(AH!$U$5=1,INDEX('Live History'!$D$5:$D$3004,MATCH($A311,'Live History'!$D$5:$D$3004,1)),INDEX('AH History'!$D$5:$GG$1380,$K311,AH!$U$10+2))),NA()),NA())</f>
        <v/>
      </c>
      <c r="H311" s="266">
        <f>IFERROR(IF(ISNUMBER($A311),IF(AND(AH!$U$12=1,306+1=AH!$U$6),IF(AH!$U$4=0,"unavailable",INDEX('Market Data'!$AP$5:$AP$66,AH!$U$4)),IF(AH!$U$5=1,INDEX('Live History'!$H$5:$H$3004,MATCH($A311,'Live History'!$G$5:$G$3004,1)),INDEX('AH History'!$B$5:$B$1380,$K311))),NA()),NA())</f>
        <v/>
      </c>
      <c r="I311" s="34">
        <f>IFERROR(IF(ISNUMBER($A311),IF(AND(AH!$U$12=1,306+1=AH!$U$6),TODAY(),IF(AH!$U$5=1,INDEX('Live History'!$G$5:$G$3004,MATCH($A311,'Live History'!$G$5:$G$3004,1)),INDEX('AH History'!$C$5:$C$1380,$K311))),NA()),NA())</f>
        <v/>
      </c>
      <c r="J311" s="32">
        <f>IFERROR(IF(AND($F311&gt;0,$H311&gt;0,$A311-$G311&lt;=10,$A311-$I311&lt;=5,$G311&gt;0,$I311&gt;0),$F311*$H311,NA()),NA())</f>
        <v/>
      </c>
      <c r="K311" s="15">
        <f>IF($A311="","",IF(AH!$U$5=1,IFERROR(MATCH($A311,'Live History'!$A$5:$A$3004,0),0),AH!$U$7+306))</f>
        <v/>
      </c>
      <c r="L311" s="15">
        <f>IF(ISNUMBER(A311),TEXT(A311,"dd-mmm-yy"),"")</f>
        <v/>
      </c>
    </row>
    <row r="312">
      <c r="A312" s="14">
        <f>IF(OR(AH!$U$4=0,307+1&gt;AH!$U$6,AND(AH!$M$5="Bloomberg",AH!$U$5=0)),"",IFERROR(IF(AND(AH!$U$12=1,307+1=AH!$U$6),TODAY(),IF(AH!$U$5=1,INDEX('Live History'!$A$5:$A$3004,AH!$U$7+307),INDEX('AH History'!$A$5:$A$1380,AH!$U$7+307))),""))</f>
        <v/>
      </c>
      <c r="B312" s="33">
        <f>IFERROR(IF(AH!$U$11=1,NA(),$J312/$E312-1),NA())</f>
        <v/>
      </c>
      <c r="C312" s="269">
        <f>IFERROR(100*$E312/$E$5,NA())</f>
        <v/>
      </c>
      <c r="D312" s="269">
        <f>IFERROR(100*$J312/$J$5,NA())</f>
        <v/>
      </c>
      <c r="E312" s="32">
        <f>IFERROR(IF(AND(ISNUMBER($A312),N(IF(AND(AH!$U$12=1,307+1=AH!$U$6),IF(AH!$U$4=0,"unavailable",INDEX('Market Data'!$AN$5:$AN$66,AH!$U$4)),IF(AH!$U$5=1,INDEX('Live History'!$B$5:$B$3004,$K312),INDEX('AH History'!$D$5:$GG$1380,$K312,AH!$U$10))))&gt;0),IF(AND(AH!$U$12=1,307+1=AH!$U$6),IF(AH!$U$4=0,"unavailable",INDEX('Market Data'!$AN$5:$AN$66,AH!$U$4)),IF(AH!$U$5=1,INDEX('Live History'!$B$5:$B$3004,$K312),INDEX('AH History'!$D$5:$GG$1380,$K312,AH!$U$10))),NA()),NA())</f>
        <v/>
      </c>
      <c r="F312" s="32">
        <f>IFERROR(IF(ISNUMBER($A312),IF(AND(AH!$U$12=1,307+1=AH!$U$6),IF(AH!$U$4=0,"unavailable",INDEX('Market Data'!$AO$5:$AO$66,AH!$U$4)),IF(AH!$U$5=1,INDEX('Live History'!$E$5:$E$3004,MATCH($A312,'Live History'!$D$5:$D$3004,1)),INDEX('AH History'!$D$5:$GG$1380,$K312,AH!$U$10+1))),NA()),NA())</f>
        <v/>
      </c>
      <c r="G312" s="34">
        <f>IFERROR(IF(ISNUMBER($A312),IF(AND(AH!$U$12=1,307+1=AH!$U$6),IF(AH!$U$4=0,"unavailable",INDEX('Market Data'!$AK$5:$AK$66,AH!$U$4)),IF(AH!$U$5=1,INDEX('Live History'!$D$5:$D$3004,MATCH($A312,'Live History'!$D$5:$D$3004,1)),INDEX('AH History'!$D$5:$GG$1380,$K312,AH!$U$10+2))),NA()),NA())</f>
        <v/>
      </c>
      <c r="H312" s="266">
        <f>IFERROR(IF(ISNUMBER($A312),IF(AND(AH!$U$12=1,307+1=AH!$U$6),IF(AH!$U$4=0,"unavailable",INDEX('Market Data'!$AP$5:$AP$66,AH!$U$4)),IF(AH!$U$5=1,INDEX('Live History'!$H$5:$H$3004,MATCH($A312,'Live History'!$G$5:$G$3004,1)),INDEX('AH History'!$B$5:$B$1380,$K312))),NA()),NA())</f>
        <v/>
      </c>
      <c r="I312" s="34">
        <f>IFERROR(IF(ISNUMBER($A312),IF(AND(AH!$U$12=1,307+1=AH!$U$6),TODAY(),IF(AH!$U$5=1,INDEX('Live History'!$G$5:$G$3004,MATCH($A312,'Live History'!$G$5:$G$3004,1)),INDEX('AH History'!$C$5:$C$1380,$K312))),NA()),NA())</f>
        <v/>
      </c>
      <c r="J312" s="32">
        <f>IFERROR(IF(AND($F312&gt;0,$H312&gt;0,$A312-$G312&lt;=10,$A312-$I312&lt;=5,$G312&gt;0,$I312&gt;0),$F312*$H312,NA()),NA())</f>
        <v/>
      </c>
      <c r="K312" s="15">
        <f>IF($A312="","",IF(AH!$U$5=1,IFERROR(MATCH($A312,'Live History'!$A$5:$A$3004,0),0),AH!$U$7+307))</f>
        <v/>
      </c>
      <c r="L312" s="15">
        <f>IF(ISNUMBER(A312),TEXT(A312,"dd-mmm-yy"),"")</f>
        <v/>
      </c>
    </row>
    <row r="313">
      <c r="A313" s="14">
        <f>IF(OR(AH!$U$4=0,308+1&gt;AH!$U$6,AND(AH!$M$5="Bloomberg",AH!$U$5=0)),"",IFERROR(IF(AND(AH!$U$12=1,308+1=AH!$U$6),TODAY(),IF(AH!$U$5=1,INDEX('Live History'!$A$5:$A$3004,AH!$U$7+308),INDEX('AH History'!$A$5:$A$1380,AH!$U$7+308))),""))</f>
        <v/>
      </c>
      <c r="B313" s="33">
        <f>IFERROR(IF(AH!$U$11=1,NA(),$J313/$E313-1),NA())</f>
        <v/>
      </c>
      <c r="C313" s="269">
        <f>IFERROR(100*$E313/$E$5,NA())</f>
        <v/>
      </c>
      <c r="D313" s="269">
        <f>IFERROR(100*$J313/$J$5,NA())</f>
        <v/>
      </c>
      <c r="E313" s="32">
        <f>IFERROR(IF(AND(ISNUMBER($A313),N(IF(AND(AH!$U$12=1,308+1=AH!$U$6),IF(AH!$U$4=0,"unavailable",INDEX('Market Data'!$AN$5:$AN$66,AH!$U$4)),IF(AH!$U$5=1,INDEX('Live History'!$B$5:$B$3004,$K313),INDEX('AH History'!$D$5:$GG$1380,$K313,AH!$U$10))))&gt;0),IF(AND(AH!$U$12=1,308+1=AH!$U$6),IF(AH!$U$4=0,"unavailable",INDEX('Market Data'!$AN$5:$AN$66,AH!$U$4)),IF(AH!$U$5=1,INDEX('Live History'!$B$5:$B$3004,$K313),INDEX('AH History'!$D$5:$GG$1380,$K313,AH!$U$10))),NA()),NA())</f>
        <v/>
      </c>
      <c r="F313" s="32">
        <f>IFERROR(IF(ISNUMBER($A313),IF(AND(AH!$U$12=1,308+1=AH!$U$6),IF(AH!$U$4=0,"unavailable",INDEX('Market Data'!$AO$5:$AO$66,AH!$U$4)),IF(AH!$U$5=1,INDEX('Live History'!$E$5:$E$3004,MATCH($A313,'Live History'!$D$5:$D$3004,1)),INDEX('AH History'!$D$5:$GG$1380,$K313,AH!$U$10+1))),NA()),NA())</f>
        <v/>
      </c>
      <c r="G313" s="34">
        <f>IFERROR(IF(ISNUMBER($A313),IF(AND(AH!$U$12=1,308+1=AH!$U$6),IF(AH!$U$4=0,"unavailable",INDEX('Market Data'!$AK$5:$AK$66,AH!$U$4)),IF(AH!$U$5=1,INDEX('Live History'!$D$5:$D$3004,MATCH($A313,'Live History'!$D$5:$D$3004,1)),INDEX('AH History'!$D$5:$GG$1380,$K313,AH!$U$10+2))),NA()),NA())</f>
        <v/>
      </c>
      <c r="H313" s="266">
        <f>IFERROR(IF(ISNUMBER($A313),IF(AND(AH!$U$12=1,308+1=AH!$U$6),IF(AH!$U$4=0,"unavailable",INDEX('Market Data'!$AP$5:$AP$66,AH!$U$4)),IF(AH!$U$5=1,INDEX('Live History'!$H$5:$H$3004,MATCH($A313,'Live History'!$G$5:$G$3004,1)),INDEX('AH History'!$B$5:$B$1380,$K313))),NA()),NA())</f>
        <v/>
      </c>
      <c r="I313" s="34">
        <f>IFERROR(IF(ISNUMBER($A313),IF(AND(AH!$U$12=1,308+1=AH!$U$6),TODAY(),IF(AH!$U$5=1,INDEX('Live History'!$G$5:$G$3004,MATCH($A313,'Live History'!$G$5:$G$3004,1)),INDEX('AH History'!$C$5:$C$1380,$K313))),NA()),NA())</f>
        <v/>
      </c>
      <c r="J313" s="32">
        <f>IFERROR(IF(AND($F313&gt;0,$H313&gt;0,$A313-$G313&lt;=10,$A313-$I313&lt;=5,$G313&gt;0,$I313&gt;0),$F313*$H313,NA()),NA())</f>
        <v/>
      </c>
      <c r="K313" s="15">
        <f>IF($A313="","",IF(AH!$U$5=1,IFERROR(MATCH($A313,'Live History'!$A$5:$A$3004,0),0),AH!$U$7+308))</f>
        <v/>
      </c>
      <c r="L313" s="15">
        <f>IF(ISNUMBER(A313),TEXT(A313,"dd-mmm-yy"),"")</f>
        <v/>
      </c>
    </row>
    <row r="314">
      <c r="A314" s="14">
        <f>IF(OR(AH!$U$4=0,309+1&gt;AH!$U$6,AND(AH!$M$5="Bloomberg",AH!$U$5=0)),"",IFERROR(IF(AND(AH!$U$12=1,309+1=AH!$U$6),TODAY(),IF(AH!$U$5=1,INDEX('Live History'!$A$5:$A$3004,AH!$U$7+309),INDEX('AH History'!$A$5:$A$1380,AH!$U$7+309))),""))</f>
        <v/>
      </c>
      <c r="B314" s="33">
        <f>IFERROR(IF(AH!$U$11=1,NA(),$J314/$E314-1),NA())</f>
        <v/>
      </c>
      <c r="C314" s="269">
        <f>IFERROR(100*$E314/$E$5,NA())</f>
        <v/>
      </c>
      <c r="D314" s="269">
        <f>IFERROR(100*$J314/$J$5,NA())</f>
        <v/>
      </c>
      <c r="E314" s="32">
        <f>IFERROR(IF(AND(ISNUMBER($A314),N(IF(AND(AH!$U$12=1,309+1=AH!$U$6),IF(AH!$U$4=0,"unavailable",INDEX('Market Data'!$AN$5:$AN$66,AH!$U$4)),IF(AH!$U$5=1,INDEX('Live History'!$B$5:$B$3004,$K314),INDEX('AH History'!$D$5:$GG$1380,$K314,AH!$U$10))))&gt;0),IF(AND(AH!$U$12=1,309+1=AH!$U$6),IF(AH!$U$4=0,"unavailable",INDEX('Market Data'!$AN$5:$AN$66,AH!$U$4)),IF(AH!$U$5=1,INDEX('Live History'!$B$5:$B$3004,$K314),INDEX('AH History'!$D$5:$GG$1380,$K314,AH!$U$10))),NA()),NA())</f>
        <v/>
      </c>
      <c r="F314" s="32">
        <f>IFERROR(IF(ISNUMBER($A314),IF(AND(AH!$U$12=1,309+1=AH!$U$6),IF(AH!$U$4=0,"unavailable",INDEX('Market Data'!$AO$5:$AO$66,AH!$U$4)),IF(AH!$U$5=1,INDEX('Live History'!$E$5:$E$3004,MATCH($A314,'Live History'!$D$5:$D$3004,1)),INDEX('AH History'!$D$5:$GG$1380,$K314,AH!$U$10+1))),NA()),NA())</f>
        <v/>
      </c>
      <c r="G314" s="34">
        <f>IFERROR(IF(ISNUMBER($A314),IF(AND(AH!$U$12=1,309+1=AH!$U$6),IF(AH!$U$4=0,"unavailable",INDEX('Market Data'!$AK$5:$AK$66,AH!$U$4)),IF(AH!$U$5=1,INDEX('Live History'!$D$5:$D$3004,MATCH($A314,'Live History'!$D$5:$D$3004,1)),INDEX('AH History'!$D$5:$GG$1380,$K314,AH!$U$10+2))),NA()),NA())</f>
        <v/>
      </c>
      <c r="H314" s="266">
        <f>IFERROR(IF(ISNUMBER($A314),IF(AND(AH!$U$12=1,309+1=AH!$U$6),IF(AH!$U$4=0,"unavailable",INDEX('Market Data'!$AP$5:$AP$66,AH!$U$4)),IF(AH!$U$5=1,INDEX('Live History'!$H$5:$H$3004,MATCH($A314,'Live History'!$G$5:$G$3004,1)),INDEX('AH History'!$B$5:$B$1380,$K314))),NA()),NA())</f>
        <v/>
      </c>
      <c r="I314" s="34">
        <f>IFERROR(IF(ISNUMBER($A314),IF(AND(AH!$U$12=1,309+1=AH!$U$6),TODAY(),IF(AH!$U$5=1,INDEX('Live History'!$G$5:$G$3004,MATCH($A314,'Live History'!$G$5:$G$3004,1)),INDEX('AH History'!$C$5:$C$1380,$K314))),NA()),NA())</f>
        <v/>
      </c>
      <c r="J314" s="32">
        <f>IFERROR(IF(AND($F314&gt;0,$H314&gt;0,$A314-$G314&lt;=10,$A314-$I314&lt;=5,$G314&gt;0,$I314&gt;0),$F314*$H314,NA()),NA())</f>
        <v/>
      </c>
      <c r="K314" s="15">
        <f>IF($A314="","",IF(AH!$U$5=1,IFERROR(MATCH($A314,'Live History'!$A$5:$A$3004,0),0),AH!$U$7+309))</f>
        <v/>
      </c>
      <c r="L314" s="15">
        <f>IF(ISNUMBER(A314),TEXT(A314,"dd-mmm-yy"),"")</f>
        <v/>
      </c>
    </row>
    <row r="315">
      <c r="A315" s="14">
        <f>IF(OR(AH!$U$4=0,310+1&gt;AH!$U$6,AND(AH!$M$5="Bloomberg",AH!$U$5=0)),"",IFERROR(IF(AND(AH!$U$12=1,310+1=AH!$U$6),TODAY(),IF(AH!$U$5=1,INDEX('Live History'!$A$5:$A$3004,AH!$U$7+310),INDEX('AH History'!$A$5:$A$1380,AH!$U$7+310))),""))</f>
        <v/>
      </c>
      <c r="B315" s="33">
        <f>IFERROR(IF(AH!$U$11=1,NA(),$J315/$E315-1),NA())</f>
        <v/>
      </c>
      <c r="C315" s="269">
        <f>IFERROR(100*$E315/$E$5,NA())</f>
        <v/>
      </c>
      <c r="D315" s="269">
        <f>IFERROR(100*$J315/$J$5,NA())</f>
        <v/>
      </c>
      <c r="E315" s="32">
        <f>IFERROR(IF(AND(ISNUMBER($A315),N(IF(AND(AH!$U$12=1,310+1=AH!$U$6),IF(AH!$U$4=0,"unavailable",INDEX('Market Data'!$AN$5:$AN$66,AH!$U$4)),IF(AH!$U$5=1,INDEX('Live History'!$B$5:$B$3004,$K315),INDEX('AH History'!$D$5:$GG$1380,$K315,AH!$U$10))))&gt;0),IF(AND(AH!$U$12=1,310+1=AH!$U$6),IF(AH!$U$4=0,"unavailable",INDEX('Market Data'!$AN$5:$AN$66,AH!$U$4)),IF(AH!$U$5=1,INDEX('Live History'!$B$5:$B$3004,$K315),INDEX('AH History'!$D$5:$GG$1380,$K315,AH!$U$10))),NA()),NA())</f>
        <v/>
      </c>
      <c r="F315" s="32">
        <f>IFERROR(IF(ISNUMBER($A315),IF(AND(AH!$U$12=1,310+1=AH!$U$6),IF(AH!$U$4=0,"unavailable",INDEX('Market Data'!$AO$5:$AO$66,AH!$U$4)),IF(AH!$U$5=1,INDEX('Live History'!$E$5:$E$3004,MATCH($A315,'Live History'!$D$5:$D$3004,1)),INDEX('AH History'!$D$5:$GG$1380,$K315,AH!$U$10+1))),NA()),NA())</f>
        <v/>
      </c>
      <c r="G315" s="34">
        <f>IFERROR(IF(ISNUMBER($A315),IF(AND(AH!$U$12=1,310+1=AH!$U$6),IF(AH!$U$4=0,"unavailable",INDEX('Market Data'!$AK$5:$AK$66,AH!$U$4)),IF(AH!$U$5=1,INDEX('Live History'!$D$5:$D$3004,MATCH($A315,'Live History'!$D$5:$D$3004,1)),INDEX('AH History'!$D$5:$GG$1380,$K315,AH!$U$10+2))),NA()),NA())</f>
        <v/>
      </c>
      <c r="H315" s="266">
        <f>IFERROR(IF(ISNUMBER($A315),IF(AND(AH!$U$12=1,310+1=AH!$U$6),IF(AH!$U$4=0,"unavailable",INDEX('Market Data'!$AP$5:$AP$66,AH!$U$4)),IF(AH!$U$5=1,INDEX('Live History'!$H$5:$H$3004,MATCH($A315,'Live History'!$G$5:$G$3004,1)),INDEX('AH History'!$B$5:$B$1380,$K315))),NA()),NA())</f>
        <v/>
      </c>
      <c r="I315" s="34">
        <f>IFERROR(IF(ISNUMBER($A315),IF(AND(AH!$U$12=1,310+1=AH!$U$6),TODAY(),IF(AH!$U$5=1,INDEX('Live History'!$G$5:$G$3004,MATCH($A315,'Live History'!$G$5:$G$3004,1)),INDEX('AH History'!$C$5:$C$1380,$K315))),NA()),NA())</f>
        <v/>
      </c>
      <c r="J315" s="32">
        <f>IFERROR(IF(AND($F315&gt;0,$H315&gt;0,$A315-$G315&lt;=10,$A315-$I315&lt;=5,$G315&gt;0,$I315&gt;0),$F315*$H315,NA()),NA())</f>
        <v/>
      </c>
      <c r="K315" s="15">
        <f>IF($A315="","",IF(AH!$U$5=1,IFERROR(MATCH($A315,'Live History'!$A$5:$A$3004,0),0),AH!$U$7+310))</f>
        <v/>
      </c>
      <c r="L315" s="15">
        <f>IF(ISNUMBER(A315),TEXT(A315,"dd-mmm-yy"),"")</f>
        <v/>
      </c>
    </row>
    <row r="316">
      <c r="A316" s="14">
        <f>IF(OR(AH!$U$4=0,311+1&gt;AH!$U$6,AND(AH!$M$5="Bloomberg",AH!$U$5=0)),"",IFERROR(IF(AND(AH!$U$12=1,311+1=AH!$U$6),TODAY(),IF(AH!$U$5=1,INDEX('Live History'!$A$5:$A$3004,AH!$U$7+311),INDEX('AH History'!$A$5:$A$1380,AH!$U$7+311))),""))</f>
        <v/>
      </c>
      <c r="B316" s="33">
        <f>IFERROR(IF(AH!$U$11=1,NA(),$J316/$E316-1),NA())</f>
        <v/>
      </c>
      <c r="C316" s="269">
        <f>IFERROR(100*$E316/$E$5,NA())</f>
        <v/>
      </c>
      <c r="D316" s="269">
        <f>IFERROR(100*$J316/$J$5,NA())</f>
        <v/>
      </c>
      <c r="E316" s="32">
        <f>IFERROR(IF(AND(ISNUMBER($A316),N(IF(AND(AH!$U$12=1,311+1=AH!$U$6),IF(AH!$U$4=0,"unavailable",INDEX('Market Data'!$AN$5:$AN$66,AH!$U$4)),IF(AH!$U$5=1,INDEX('Live History'!$B$5:$B$3004,$K316),INDEX('AH History'!$D$5:$GG$1380,$K316,AH!$U$10))))&gt;0),IF(AND(AH!$U$12=1,311+1=AH!$U$6),IF(AH!$U$4=0,"unavailable",INDEX('Market Data'!$AN$5:$AN$66,AH!$U$4)),IF(AH!$U$5=1,INDEX('Live History'!$B$5:$B$3004,$K316),INDEX('AH History'!$D$5:$GG$1380,$K316,AH!$U$10))),NA()),NA())</f>
        <v/>
      </c>
      <c r="F316" s="32">
        <f>IFERROR(IF(ISNUMBER($A316),IF(AND(AH!$U$12=1,311+1=AH!$U$6),IF(AH!$U$4=0,"unavailable",INDEX('Market Data'!$AO$5:$AO$66,AH!$U$4)),IF(AH!$U$5=1,INDEX('Live History'!$E$5:$E$3004,MATCH($A316,'Live History'!$D$5:$D$3004,1)),INDEX('AH History'!$D$5:$GG$1380,$K316,AH!$U$10+1))),NA()),NA())</f>
        <v/>
      </c>
      <c r="G316" s="34">
        <f>IFERROR(IF(ISNUMBER($A316),IF(AND(AH!$U$12=1,311+1=AH!$U$6),IF(AH!$U$4=0,"unavailable",INDEX('Market Data'!$AK$5:$AK$66,AH!$U$4)),IF(AH!$U$5=1,INDEX('Live History'!$D$5:$D$3004,MATCH($A316,'Live History'!$D$5:$D$3004,1)),INDEX('AH History'!$D$5:$GG$1380,$K316,AH!$U$10+2))),NA()),NA())</f>
        <v/>
      </c>
      <c r="H316" s="266">
        <f>IFERROR(IF(ISNUMBER($A316),IF(AND(AH!$U$12=1,311+1=AH!$U$6),IF(AH!$U$4=0,"unavailable",INDEX('Market Data'!$AP$5:$AP$66,AH!$U$4)),IF(AH!$U$5=1,INDEX('Live History'!$H$5:$H$3004,MATCH($A316,'Live History'!$G$5:$G$3004,1)),INDEX('AH History'!$B$5:$B$1380,$K316))),NA()),NA())</f>
        <v/>
      </c>
      <c r="I316" s="34">
        <f>IFERROR(IF(ISNUMBER($A316),IF(AND(AH!$U$12=1,311+1=AH!$U$6),TODAY(),IF(AH!$U$5=1,INDEX('Live History'!$G$5:$G$3004,MATCH($A316,'Live History'!$G$5:$G$3004,1)),INDEX('AH History'!$C$5:$C$1380,$K316))),NA()),NA())</f>
        <v/>
      </c>
      <c r="J316" s="32">
        <f>IFERROR(IF(AND($F316&gt;0,$H316&gt;0,$A316-$G316&lt;=10,$A316-$I316&lt;=5,$G316&gt;0,$I316&gt;0),$F316*$H316,NA()),NA())</f>
        <v/>
      </c>
      <c r="K316" s="15">
        <f>IF($A316="","",IF(AH!$U$5=1,IFERROR(MATCH($A316,'Live History'!$A$5:$A$3004,0),0),AH!$U$7+311))</f>
        <v/>
      </c>
      <c r="L316" s="15">
        <f>IF(ISNUMBER(A316),TEXT(A316,"dd-mmm-yy"),"")</f>
        <v/>
      </c>
    </row>
    <row r="317">
      <c r="A317" s="14">
        <f>IF(OR(AH!$U$4=0,312+1&gt;AH!$U$6,AND(AH!$M$5="Bloomberg",AH!$U$5=0)),"",IFERROR(IF(AND(AH!$U$12=1,312+1=AH!$U$6),TODAY(),IF(AH!$U$5=1,INDEX('Live History'!$A$5:$A$3004,AH!$U$7+312),INDEX('AH History'!$A$5:$A$1380,AH!$U$7+312))),""))</f>
        <v/>
      </c>
      <c r="B317" s="33">
        <f>IFERROR(IF(AH!$U$11=1,NA(),$J317/$E317-1),NA())</f>
        <v/>
      </c>
      <c r="C317" s="269">
        <f>IFERROR(100*$E317/$E$5,NA())</f>
        <v/>
      </c>
      <c r="D317" s="269">
        <f>IFERROR(100*$J317/$J$5,NA())</f>
        <v/>
      </c>
      <c r="E317" s="32">
        <f>IFERROR(IF(AND(ISNUMBER($A317),N(IF(AND(AH!$U$12=1,312+1=AH!$U$6),IF(AH!$U$4=0,"unavailable",INDEX('Market Data'!$AN$5:$AN$66,AH!$U$4)),IF(AH!$U$5=1,INDEX('Live History'!$B$5:$B$3004,$K317),INDEX('AH History'!$D$5:$GG$1380,$K317,AH!$U$10))))&gt;0),IF(AND(AH!$U$12=1,312+1=AH!$U$6),IF(AH!$U$4=0,"unavailable",INDEX('Market Data'!$AN$5:$AN$66,AH!$U$4)),IF(AH!$U$5=1,INDEX('Live History'!$B$5:$B$3004,$K317),INDEX('AH History'!$D$5:$GG$1380,$K317,AH!$U$10))),NA()),NA())</f>
        <v/>
      </c>
      <c r="F317" s="32">
        <f>IFERROR(IF(ISNUMBER($A317),IF(AND(AH!$U$12=1,312+1=AH!$U$6),IF(AH!$U$4=0,"unavailable",INDEX('Market Data'!$AO$5:$AO$66,AH!$U$4)),IF(AH!$U$5=1,INDEX('Live History'!$E$5:$E$3004,MATCH($A317,'Live History'!$D$5:$D$3004,1)),INDEX('AH History'!$D$5:$GG$1380,$K317,AH!$U$10+1))),NA()),NA())</f>
        <v/>
      </c>
      <c r="G317" s="34">
        <f>IFERROR(IF(ISNUMBER($A317),IF(AND(AH!$U$12=1,312+1=AH!$U$6),IF(AH!$U$4=0,"unavailable",INDEX('Market Data'!$AK$5:$AK$66,AH!$U$4)),IF(AH!$U$5=1,INDEX('Live History'!$D$5:$D$3004,MATCH($A317,'Live History'!$D$5:$D$3004,1)),INDEX('AH History'!$D$5:$GG$1380,$K317,AH!$U$10+2))),NA()),NA())</f>
        <v/>
      </c>
      <c r="H317" s="266">
        <f>IFERROR(IF(ISNUMBER($A317),IF(AND(AH!$U$12=1,312+1=AH!$U$6),IF(AH!$U$4=0,"unavailable",INDEX('Market Data'!$AP$5:$AP$66,AH!$U$4)),IF(AH!$U$5=1,INDEX('Live History'!$H$5:$H$3004,MATCH($A317,'Live History'!$G$5:$G$3004,1)),INDEX('AH History'!$B$5:$B$1380,$K317))),NA()),NA())</f>
        <v/>
      </c>
      <c r="I317" s="34">
        <f>IFERROR(IF(ISNUMBER($A317),IF(AND(AH!$U$12=1,312+1=AH!$U$6),TODAY(),IF(AH!$U$5=1,INDEX('Live History'!$G$5:$G$3004,MATCH($A317,'Live History'!$G$5:$G$3004,1)),INDEX('AH History'!$C$5:$C$1380,$K317))),NA()),NA())</f>
        <v/>
      </c>
      <c r="J317" s="32">
        <f>IFERROR(IF(AND($F317&gt;0,$H317&gt;0,$A317-$G317&lt;=10,$A317-$I317&lt;=5,$G317&gt;0,$I317&gt;0),$F317*$H317,NA()),NA())</f>
        <v/>
      </c>
      <c r="K317" s="15">
        <f>IF($A317="","",IF(AH!$U$5=1,IFERROR(MATCH($A317,'Live History'!$A$5:$A$3004,0),0),AH!$U$7+312))</f>
        <v/>
      </c>
      <c r="L317" s="15">
        <f>IF(ISNUMBER(A317),TEXT(A317,"dd-mmm-yy"),"")</f>
        <v/>
      </c>
    </row>
    <row r="318">
      <c r="A318" s="14">
        <f>IF(OR(AH!$U$4=0,313+1&gt;AH!$U$6,AND(AH!$M$5="Bloomberg",AH!$U$5=0)),"",IFERROR(IF(AND(AH!$U$12=1,313+1=AH!$U$6),TODAY(),IF(AH!$U$5=1,INDEX('Live History'!$A$5:$A$3004,AH!$U$7+313),INDEX('AH History'!$A$5:$A$1380,AH!$U$7+313))),""))</f>
        <v/>
      </c>
      <c r="B318" s="33">
        <f>IFERROR(IF(AH!$U$11=1,NA(),$J318/$E318-1),NA())</f>
        <v/>
      </c>
      <c r="C318" s="269">
        <f>IFERROR(100*$E318/$E$5,NA())</f>
        <v/>
      </c>
      <c r="D318" s="269">
        <f>IFERROR(100*$J318/$J$5,NA())</f>
        <v/>
      </c>
      <c r="E318" s="32">
        <f>IFERROR(IF(AND(ISNUMBER($A318),N(IF(AND(AH!$U$12=1,313+1=AH!$U$6),IF(AH!$U$4=0,"unavailable",INDEX('Market Data'!$AN$5:$AN$66,AH!$U$4)),IF(AH!$U$5=1,INDEX('Live History'!$B$5:$B$3004,$K318),INDEX('AH History'!$D$5:$GG$1380,$K318,AH!$U$10))))&gt;0),IF(AND(AH!$U$12=1,313+1=AH!$U$6),IF(AH!$U$4=0,"unavailable",INDEX('Market Data'!$AN$5:$AN$66,AH!$U$4)),IF(AH!$U$5=1,INDEX('Live History'!$B$5:$B$3004,$K318),INDEX('AH History'!$D$5:$GG$1380,$K318,AH!$U$10))),NA()),NA())</f>
        <v/>
      </c>
      <c r="F318" s="32">
        <f>IFERROR(IF(ISNUMBER($A318),IF(AND(AH!$U$12=1,313+1=AH!$U$6),IF(AH!$U$4=0,"unavailable",INDEX('Market Data'!$AO$5:$AO$66,AH!$U$4)),IF(AH!$U$5=1,INDEX('Live History'!$E$5:$E$3004,MATCH($A318,'Live History'!$D$5:$D$3004,1)),INDEX('AH History'!$D$5:$GG$1380,$K318,AH!$U$10+1))),NA()),NA())</f>
        <v/>
      </c>
      <c r="G318" s="34">
        <f>IFERROR(IF(ISNUMBER($A318),IF(AND(AH!$U$12=1,313+1=AH!$U$6),IF(AH!$U$4=0,"unavailable",INDEX('Market Data'!$AK$5:$AK$66,AH!$U$4)),IF(AH!$U$5=1,INDEX('Live History'!$D$5:$D$3004,MATCH($A318,'Live History'!$D$5:$D$3004,1)),INDEX('AH History'!$D$5:$GG$1380,$K318,AH!$U$10+2))),NA()),NA())</f>
        <v/>
      </c>
      <c r="H318" s="266">
        <f>IFERROR(IF(ISNUMBER($A318),IF(AND(AH!$U$12=1,313+1=AH!$U$6),IF(AH!$U$4=0,"unavailable",INDEX('Market Data'!$AP$5:$AP$66,AH!$U$4)),IF(AH!$U$5=1,INDEX('Live History'!$H$5:$H$3004,MATCH($A318,'Live History'!$G$5:$G$3004,1)),INDEX('AH History'!$B$5:$B$1380,$K318))),NA()),NA())</f>
        <v/>
      </c>
      <c r="I318" s="34">
        <f>IFERROR(IF(ISNUMBER($A318),IF(AND(AH!$U$12=1,313+1=AH!$U$6),TODAY(),IF(AH!$U$5=1,INDEX('Live History'!$G$5:$G$3004,MATCH($A318,'Live History'!$G$5:$G$3004,1)),INDEX('AH History'!$C$5:$C$1380,$K318))),NA()),NA())</f>
        <v/>
      </c>
      <c r="J318" s="32">
        <f>IFERROR(IF(AND($F318&gt;0,$H318&gt;0,$A318-$G318&lt;=10,$A318-$I318&lt;=5,$G318&gt;0,$I318&gt;0),$F318*$H318,NA()),NA())</f>
        <v/>
      </c>
      <c r="K318" s="15">
        <f>IF($A318="","",IF(AH!$U$5=1,IFERROR(MATCH($A318,'Live History'!$A$5:$A$3004,0),0),AH!$U$7+313))</f>
        <v/>
      </c>
      <c r="L318" s="15">
        <f>IF(ISNUMBER(A318),TEXT(A318,"dd-mmm-yy"),"")</f>
        <v/>
      </c>
    </row>
    <row r="319">
      <c r="A319" s="14">
        <f>IF(OR(AH!$U$4=0,314+1&gt;AH!$U$6,AND(AH!$M$5="Bloomberg",AH!$U$5=0)),"",IFERROR(IF(AND(AH!$U$12=1,314+1=AH!$U$6),TODAY(),IF(AH!$U$5=1,INDEX('Live History'!$A$5:$A$3004,AH!$U$7+314),INDEX('AH History'!$A$5:$A$1380,AH!$U$7+314))),""))</f>
        <v/>
      </c>
      <c r="B319" s="33">
        <f>IFERROR(IF(AH!$U$11=1,NA(),$J319/$E319-1),NA())</f>
        <v/>
      </c>
      <c r="C319" s="269">
        <f>IFERROR(100*$E319/$E$5,NA())</f>
        <v/>
      </c>
      <c r="D319" s="269">
        <f>IFERROR(100*$J319/$J$5,NA())</f>
        <v/>
      </c>
      <c r="E319" s="32">
        <f>IFERROR(IF(AND(ISNUMBER($A319),N(IF(AND(AH!$U$12=1,314+1=AH!$U$6),IF(AH!$U$4=0,"unavailable",INDEX('Market Data'!$AN$5:$AN$66,AH!$U$4)),IF(AH!$U$5=1,INDEX('Live History'!$B$5:$B$3004,$K319),INDEX('AH History'!$D$5:$GG$1380,$K319,AH!$U$10))))&gt;0),IF(AND(AH!$U$12=1,314+1=AH!$U$6),IF(AH!$U$4=0,"unavailable",INDEX('Market Data'!$AN$5:$AN$66,AH!$U$4)),IF(AH!$U$5=1,INDEX('Live History'!$B$5:$B$3004,$K319),INDEX('AH History'!$D$5:$GG$1380,$K319,AH!$U$10))),NA()),NA())</f>
        <v/>
      </c>
      <c r="F319" s="32">
        <f>IFERROR(IF(ISNUMBER($A319),IF(AND(AH!$U$12=1,314+1=AH!$U$6),IF(AH!$U$4=0,"unavailable",INDEX('Market Data'!$AO$5:$AO$66,AH!$U$4)),IF(AH!$U$5=1,INDEX('Live History'!$E$5:$E$3004,MATCH($A319,'Live History'!$D$5:$D$3004,1)),INDEX('AH History'!$D$5:$GG$1380,$K319,AH!$U$10+1))),NA()),NA())</f>
        <v/>
      </c>
      <c r="G319" s="34">
        <f>IFERROR(IF(ISNUMBER($A319),IF(AND(AH!$U$12=1,314+1=AH!$U$6),IF(AH!$U$4=0,"unavailable",INDEX('Market Data'!$AK$5:$AK$66,AH!$U$4)),IF(AH!$U$5=1,INDEX('Live History'!$D$5:$D$3004,MATCH($A319,'Live History'!$D$5:$D$3004,1)),INDEX('AH History'!$D$5:$GG$1380,$K319,AH!$U$10+2))),NA()),NA())</f>
        <v/>
      </c>
      <c r="H319" s="266">
        <f>IFERROR(IF(ISNUMBER($A319),IF(AND(AH!$U$12=1,314+1=AH!$U$6),IF(AH!$U$4=0,"unavailable",INDEX('Market Data'!$AP$5:$AP$66,AH!$U$4)),IF(AH!$U$5=1,INDEX('Live History'!$H$5:$H$3004,MATCH($A319,'Live History'!$G$5:$G$3004,1)),INDEX('AH History'!$B$5:$B$1380,$K319))),NA()),NA())</f>
        <v/>
      </c>
      <c r="I319" s="34">
        <f>IFERROR(IF(ISNUMBER($A319),IF(AND(AH!$U$12=1,314+1=AH!$U$6),TODAY(),IF(AH!$U$5=1,INDEX('Live History'!$G$5:$G$3004,MATCH($A319,'Live History'!$G$5:$G$3004,1)),INDEX('AH History'!$C$5:$C$1380,$K319))),NA()),NA())</f>
        <v/>
      </c>
      <c r="J319" s="32">
        <f>IFERROR(IF(AND($F319&gt;0,$H319&gt;0,$A319-$G319&lt;=10,$A319-$I319&lt;=5,$G319&gt;0,$I319&gt;0),$F319*$H319,NA()),NA())</f>
        <v/>
      </c>
      <c r="K319" s="15">
        <f>IF($A319="","",IF(AH!$U$5=1,IFERROR(MATCH($A319,'Live History'!$A$5:$A$3004,0),0),AH!$U$7+314))</f>
        <v/>
      </c>
      <c r="L319" s="15">
        <f>IF(ISNUMBER(A319),TEXT(A319,"dd-mmm-yy"),"")</f>
        <v/>
      </c>
    </row>
    <row r="320">
      <c r="A320" s="14">
        <f>IF(OR(AH!$U$4=0,315+1&gt;AH!$U$6,AND(AH!$M$5="Bloomberg",AH!$U$5=0)),"",IFERROR(IF(AND(AH!$U$12=1,315+1=AH!$U$6),TODAY(),IF(AH!$U$5=1,INDEX('Live History'!$A$5:$A$3004,AH!$U$7+315),INDEX('AH History'!$A$5:$A$1380,AH!$U$7+315))),""))</f>
        <v/>
      </c>
      <c r="B320" s="33">
        <f>IFERROR(IF(AH!$U$11=1,NA(),$J320/$E320-1),NA())</f>
        <v/>
      </c>
      <c r="C320" s="269">
        <f>IFERROR(100*$E320/$E$5,NA())</f>
        <v/>
      </c>
      <c r="D320" s="269">
        <f>IFERROR(100*$J320/$J$5,NA())</f>
        <v/>
      </c>
      <c r="E320" s="32">
        <f>IFERROR(IF(AND(ISNUMBER($A320),N(IF(AND(AH!$U$12=1,315+1=AH!$U$6),IF(AH!$U$4=0,"unavailable",INDEX('Market Data'!$AN$5:$AN$66,AH!$U$4)),IF(AH!$U$5=1,INDEX('Live History'!$B$5:$B$3004,$K320),INDEX('AH History'!$D$5:$GG$1380,$K320,AH!$U$10))))&gt;0),IF(AND(AH!$U$12=1,315+1=AH!$U$6),IF(AH!$U$4=0,"unavailable",INDEX('Market Data'!$AN$5:$AN$66,AH!$U$4)),IF(AH!$U$5=1,INDEX('Live History'!$B$5:$B$3004,$K320),INDEX('AH History'!$D$5:$GG$1380,$K320,AH!$U$10))),NA()),NA())</f>
        <v/>
      </c>
      <c r="F320" s="32">
        <f>IFERROR(IF(ISNUMBER($A320),IF(AND(AH!$U$12=1,315+1=AH!$U$6),IF(AH!$U$4=0,"unavailable",INDEX('Market Data'!$AO$5:$AO$66,AH!$U$4)),IF(AH!$U$5=1,INDEX('Live History'!$E$5:$E$3004,MATCH($A320,'Live History'!$D$5:$D$3004,1)),INDEX('AH History'!$D$5:$GG$1380,$K320,AH!$U$10+1))),NA()),NA())</f>
        <v/>
      </c>
      <c r="G320" s="34">
        <f>IFERROR(IF(ISNUMBER($A320),IF(AND(AH!$U$12=1,315+1=AH!$U$6),IF(AH!$U$4=0,"unavailable",INDEX('Market Data'!$AK$5:$AK$66,AH!$U$4)),IF(AH!$U$5=1,INDEX('Live History'!$D$5:$D$3004,MATCH($A320,'Live History'!$D$5:$D$3004,1)),INDEX('AH History'!$D$5:$GG$1380,$K320,AH!$U$10+2))),NA()),NA())</f>
        <v/>
      </c>
      <c r="H320" s="266">
        <f>IFERROR(IF(ISNUMBER($A320),IF(AND(AH!$U$12=1,315+1=AH!$U$6),IF(AH!$U$4=0,"unavailable",INDEX('Market Data'!$AP$5:$AP$66,AH!$U$4)),IF(AH!$U$5=1,INDEX('Live History'!$H$5:$H$3004,MATCH($A320,'Live History'!$G$5:$G$3004,1)),INDEX('AH History'!$B$5:$B$1380,$K320))),NA()),NA())</f>
        <v/>
      </c>
      <c r="I320" s="34">
        <f>IFERROR(IF(ISNUMBER($A320),IF(AND(AH!$U$12=1,315+1=AH!$U$6),TODAY(),IF(AH!$U$5=1,INDEX('Live History'!$G$5:$G$3004,MATCH($A320,'Live History'!$G$5:$G$3004,1)),INDEX('AH History'!$C$5:$C$1380,$K320))),NA()),NA())</f>
        <v/>
      </c>
      <c r="J320" s="32">
        <f>IFERROR(IF(AND($F320&gt;0,$H320&gt;0,$A320-$G320&lt;=10,$A320-$I320&lt;=5,$G320&gt;0,$I320&gt;0),$F320*$H320,NA()),NA())</f>
        <v/>
      </c>
      <c r="K320" s="15">
        <f>IF($A320="","",IF(AH!$U$5=1,IFERROR(MATCH($A320,'Live History'!$A$5:$A$3004,0),0),AH!$U$7+315))</f>
        <v/>
      </c>
      <c r="L320" s="15">
        <f>IF(ISNUMBER(A320),TEXT(A320,"dd-mmm-yy"),"")</f>
        <v/>
      </c>
    </row>
    <row r="321">
      <c r="A321" s="14">
        <f>IF(OR(AH!$U$4=0,316+1&gt;AH!$U$6,AND(AH!$M$5="Bloomberg",AH!$U$5=0)),"",IFERROR(IF(AND(AH!$U$12=1,316+1=AH!$U$6),TODAY(),IF(AH!$U$5=1,INDEX('Live History'!$A$5:$A$3004,AH!$U$7+316),INDEX('AH History'!$A$5:$A$1380,AH!$U$7+316))),""))</f>
        <v/>
      </c>
      <c r="B321" s="33">
        <f>IFERROR(IF(AH!$U$11=1,NA(),$J321/$E321-1),NA())</f>
        <v/>
      </c>
      <c r="C321" s="269">
        <f>IFERROR(100*$E321/$E$5,NA())</f>
        <v/>
      </c>
      <c r="D321" s="269">
        <f>IFERROR(100*$J321/$J$5,NA())</f>
        <v/>
      </c>
      <c r="E321" s="32">
        <f>IFERROR(IF(AND(ISNUMBER($A321),N(IF(AND(AH!$U$12=1,316+1=AH!$U$6),IF(AH!$U$4=0,"unavailable",INDEX('Market Data'!$AN$5:$AN$66,AH!$U$4)),IF(AH!$U$5=1,INDEX('Live History'!$B$5:$B$3004,$K321),INDEX('AH History'!$D$5:$GG$1380,$K321,AH!$U$10))))&gt;0),IF(AND(AH!$U$12=1,316+1=AH!$U$6),IF(AH!$U$4=0,"unavailable",INDEX('Market Data'!$AN$5:$AN$66,AH!$U$4)),IF(AH!$U$5=1,INDEX('Live History'!$B$5:$B$3004,$K321),INDEX('AH History'!$D$5:$GG$1380,$K321,AH!$U$10))),NA()),NA())</f>
        <v/>
      </c>
      <c r="F321" s="32">
        <f>IFERROR(IF(ISNUMBER($A321),IF(AND(AH!$U$12=1,316+1=AH!$U$6),IF(AH!$U$4=0,"unavailable",INDEX('Market Data'!$AO$5:$AO$66,AH!$U$4)),IF(AH!$U$5=1,INDEX('Live History'!$E$5:$E$3004,MATCH($A321,'Live History'!$D$5:$D$3004,1)),INDEX('AH History'!$D$5:$GG$1380,$K321,AH!$U$10+1))),NA()),NA())</f>
        <v/>
      </c>
      <c r="G321" s="34">
        <f>IFERROR(IF(ISNUMBER($A321),IF(AND(AH!$U$12=1,316+1=AH!$U$6),IF(AH!$U$4=0,"unavailable",INDEX('Market Data'!$AK$5:$AK$66,AH!$U$4)),IF(AH!$U$5=1,INDEX('Live History'!$D$5:$D$3004,MATCH($A321,'Live History'!$D$5:$D$3004,1)),INDEX('AH History'!$D$5:$GG$1380,$K321,AH!$U$10+2))),NA()),NA())</f>
        <v/>
      </c>
      <c r="H321" s="266">
        <f>IFERROR(IF(ISNUMBER($A321),IF(AND(AH!$U$12=1,316+1=AH!$U$6),IF(AH!$U$4=0,"unavailable",INDEX('Market Data'!$AP$5:$AP$66,AH!$U$4)),IF(AH!$U$5=1,INDEX('Live History'!$H$5:$H$3004,MATCH($A321,'Live History'!$G$5:$G$3004,1)),INDEX('AH History'!$B$5:$B$1380,$K321))),NA()),NA())</f>
        <v/>
      </c>
      <c r="I321" s="34">
        <f>IFERROR(IF(ISNUMBER($A321),IF(AND(AH!$U$12=1,316+1=AH!$U$6),TODAY(),IF(AH!$U$5=1,INDEX('Live History'!$G$5:$G$3004,MATCH($A321,'Live History'!$G$5:$G$3004,1)),INDEX('AH History'!$C$5:$C$1380,$K321))),NA()),NA())</f>
        <v/>
      </c>
      <c r="J321" s="32">
        <f>IFERROR(IF(AND($F321&gt;0,$H321&gt;0,$A321-$G321&lt;=10,$A321-$I321&lt;=5,$G321&gt;0,$I321&gt;0),$F321*$H321,NA()),NA())</f>
        <v/>
      </c>
      <c r="K321" s="15">
        <f>IF($A321="","",IF(AH!$U$5=1,IFERROR(MATCH($A321,'Live History'!$A$5:$A$3004,0),0),AH!$U$7+316))</f>
        <v/>
      </c>
      <c r="L321" s="15">
        <f>IF(ISNUMBER(A321),TEXT(A321,"dd-mmm-yy"),"")</f>
        <v/>
      </c>
    </row>
    <row r="322">
      <c r="A322" s="14">
        <f>IF(OR(AH!$U$4=0,317+1&gt;AH!$U$6,AND(AH!$M$5="Bloomberg",AH!$U$5=0)),"",IFERROR(IF(AND(AH!$U$12=1,317+1=AH!$U$6),TODAY(),IF(AH!$U$5=1,INDEX('Live History'!$A$5:$A$3004,AH!$U$7+317),INDEX('AH History'!$A$5:$A$1380,AH!$U$7+317))),""))</f>
        <v/>
      </c>
      <c r="B322" s="33">
        <f>IFERROR(IF(AH!$U$11=1,NA(),$J322/$E322-1),NA())</f>
        <v/>
      </c>
      <c r="C322" s="269">
        <f>IFERROR(100*$E322/$E$5,NA())</f>
        <v/>
      </c>
      <c r="D322" s="269">
        <f>IFERROR(100*$J322/$J$5,NA())</f>
        <v/>
      </c>
      <c r="E322" s="32">
        <f>IFERROR(IF(AND(ISNUMBER($A322),N(IF(AND(AH!$U$12=1,317+1=AH!$U$6),IF(AH!$U$4=0,"unavailable",INDEX('Market Data'!$AN$5:$AN$66,AH!$U$4)),IF(AH!$U$5=1,INDEX('Live History'!$B$5:$B$3004,$K322),INDEX('AH History'!$D$5:$GG$1380,$K322,AH!$U$10))))&gt;0),IF(AND(AH!$U$12=1,317+1=AH!$U$6),IF(AH!$U$4=0,"unavailable",INDEX('Market Data'!$AN$5:$AN$66,AH!$U$4)),IF(AH!$U$5=1,INDEX('Live History'!$B$5:$B$3004,$K322),INDEX('AH History'!$D$5:$GG$1380,$K322,AH!$U$10))),NA()),NA())</f>
        <v/>
      </c>
      <c r="F322" s="32">
        <f>IFERROR(IF(ISNUMBER($A322),IF(AND(AH!$U$12=1,317+1=AH!$U$6),IF(AH!$U$4=0,"unavailable",INDEX('Market Data'!$AO$5:$AO$66,AH!$U$4)),IF(AH!$U$5=1,INDEX('Live History'!$E$5:$E$3004,MATCH($A322,'Live History'!$D$5:$D$3004,1)),INDEX('AH History'!$D$5:$GG$1380,$K322,AH!$U$10+1))),NA()),NA())</f>
        <v/>
      </c>
      <c r="G322" s="34">
        <f>IFERROR(IF(ISNUMBER($A322),IF(AND(AH!$U$12=1,317+1=AH!$U$6),IF(AH!$U$4=0,"unavailable",INDEX('Market Data'!$AK$5:$AK$66,AH!$U$4)),IF(AH!$U$5=1,INDEX('Live History'!$D$5:$D$3004,MATCH($A322,'Live History'!$D$5:$D$3004,1)),INDEX('AH History'!$D$5:$GG$1380,$K322,AH!$U$10+2))),NA()),NA())</f>
        <v/>
      </c>
      <c r="H322" s="266">
        <f>IFERROR(IF(ISNUMBER($A322),IF(AND(AH!$U$12=1,317+1=AH!$U$6),IF(AH!$U$4=0,"unavailable",INDEX('Market Data'!$AP$5:$AP$66,AH!$U$4)),IF(AH!$U$5=1,INDEX('Live History'!$H$5:$H$3004,MATCH($A322,'Live History'!$G$5:$G$3004,1)),INDEX('AH History'!$B$5:$B$1380,$K322))),NA()),NA())</f>
        <v/>
      </c>
      <c r="I322" s="34">
        <f>IFERROR(IF(ISNUMBER($A322),IF(AND(AH!$U$12=1,317+1=AH!$U$6),TODAY(),IF(AH!$U$5=1,INDEX('Live History'!$G$5:$G$3004,MATCH($A322,'Live History'!$G$5:$G$3004,1)),INDEX('AH History'!$C$5:$C$1380,$K322))),NA()),NA())</f>
        <v/>
      </c>
      <c r="J322" s="32">
        <f>IFERROR(IF(AND($F322&gt;0,$H322&gt;0,$A322-$G322&lt;=10,$A322-$I322&lt;=5,$G322&gt;0,$I322&gt;0),$F322*$H322,NA()),NA())</f>
        <v/>
      </c>
      <c r="K322" s="15">
        <f>IF($A322="","",IF(AH!$U$5=1,IFERROR(MATCH($A322,'Live History'!$A$5:$A$3004,0),0),AH!$U$7+317))</f>
        <v/>
      </c>
      <c r="L322" s="15">
        <f>IF(ISNUMBER(A322),TEXT(A322,"dd-mmm-yy"),"")</f>
        <v/>
      </c>
    </row>
    <row r="323">
      <c r="A323" s="14">
        <f>IF(OR(AH!$U$4=0,318+1&gt;AH!$U$6,AND(AH!$M$5="Bloomberg",AH!$U$5=0)),"",IFERROR(IF(AND(AH!$U$12=1,318+1=AH!$U$6),TODAY(),IF(AH!$U$5=1,INDEX('Live History'!$A$5:$A$3004,AH!$U$7+318),INDEX('AH History'!$A$5:$A$1380,AH!$U$7+318))),""))</f>
        <v/>
      </c>
      <c r="B323" s="33">
        <f>IFERROR(IF(AH!$U$11=1,NA(),$J323/$E323-1),NA())</f>
        <v/>
      </c>
      <c r="C323" s="269">
        <f>IFERROR(100*$E323/$E$5,NA())</f>
        <v/>
      </c>
      <c r="D323" s="269">
        <f>IFERROR(100*$J323/$J$5,NA())</f>
        <v/>
      </c>
      <c r="E323" s="32">
        <f>IFERROR(IF(AND(ISNUMBER($A323),N(IF(AND(AH!$U$12=1,318+1=AH!$U$6),IF(AH!$U$4=0,"unavailable",INDEX('Market Data'!$AN$5:$AN$66,AH!$U$4)),IF(AH!$U$5=1,INDEX('Live History'!$B$5:$B$3004,$K323),INDEX('AH History'!$D$5:$GG$1380,$K323,AH!$U$10))))&gt;0),IF(AND(AH!$U$12=1,318+1=AH!$U$6),IF(AH!$U$4=0,"unavailable",INDEX('Market Data'!$AN$5:$AN$66,AH!$U$4)),IF(AH!$U$5=1,INDEX('Live History'!$B$5:$B$3004,$K323),INDEX('AH History'!$D$5:$GG$1380,$K323,AH!$U$10))),NA()),NA())</f>
        <v/>
      </c>
      <c r="F323" s="32">
        <f>IFERROR(IF(ISNUMBER($A323),IF(AND(AH!$U$12=1,318+1=AH!$U$6),IF(AH!$U$4=0,"unavailable",INDEX('Market Data'!$AO$5:$AO$66,AH!$U$4)),IF(AH!$U$5=1,INDEX('Live History'!$E$5:$E$3004,MATCH($A323,'Live History'!$D$5:$D$3004,1)),INDEX('AH History'!$D$5:$GG$1380,$K323,AH!$U$10+1))),NA()),NA())</f>
        <v/>
      </c>
      <c r="G323" s="34">
        <f>IFERROR(IF(ISNUMBER($A323),IF(AND(AH!$U$12=1,318+1=AH!$U$6),IF(AH!$U$4=0,"unavailable",INDEX('Market Data'!$AK$5:$AK$66,AH!$U$4)),IF(AH!$U$5=1,INDEX('Live History'!$D$5:$D$3004,MATCH($A323,'Live History'!$D$5:$D$3004,1)),INDEX('AH History'!$D$5:$GG$1380,$K323,AH!$U$10+2))),NA()),NA())</f>
        <v/>
      </c>
      <c r="H323" s="266">
        <f>IFERROR(IF(ISNUMBER($A323),IF(AND(AH!$U$12=1,318+1=AH!$U$6),IF(AH!$U$4=0,"unavailable",INDEX('Market Data'!$AP$5:$AP$66,AH!$U$4)),IF(AH!$U$5=1,INDEX('Live History'!$H$5:$H$3004,MATCH($A323,'Live History'!$G$5:$G$3004,1)),INDEX('AH History'!$B$5:$B$1380,$K323))),NA()),NA())</f>
        <v/>
      </c>
      <c r="I323" s="34">
        <f>IFERROR(IF(ISNUMBER($A323),IF(AND(AH!$U$12=1,318+1=AH!$U$6),TODAY(),IF(AH!$U$5=1,INDEX('Live History'!$G$5:$G$3004,MATCH($A323,'Live History'!$G$5:$G$3004,1)),INDEX('AH History'!$C$5:$C$1380,$K323))),NA()),NA())</f>
        <v/>
      </c>
      <c r="J323" s="32">
        <f>IFERROR(IF(AND($F323&gt;0,$H323&gt;0,$A323-$G323&lt;=10,$A323-$I323&lt;=5,$G323&gt;0,$I323&gt;0),$F323*$H323,NA()),NA())</f>
        <v/>
      </c>
      <c r="K323" s="15">
        <f>IF($A323="","",IF(AH!$U$5=1,IFERROR(MATCH($A323,'Live History'!$A$5:$A$3004,0),0),AH!$U$7+318))</f>
        <v/>
      </c>
      <c r="L323" s="15">
        <f>IF(ISNUMBER(A323),TEXT(A323,"dd-mmm-yy"),"")</f>
        <v/>
      </c>
    </row>
    <row r="324">
      <c r="A324" s="14">
        <f>IF(OR(AH!$U$4=0,319+1&gt;AH!$U$6,AND(AH!$M$5="Bloomberg",AH!$U$5=0)),"",IFERROR(IF(AND(AH!$U$12=1,319+1=AH!$U$6),TODAY(),IF(AH!$U$5=1,INDEX('Live History'!$A$5:$A$3004,AH!$U$7+319),INDEX('AH History'!$A$5:$A$1380,AH!$U$7+319))),""))</f>
        <v/>
      </c>
      <c r="B324" s="33">
        <f>IFERROR(IF(AH!$U$11=1,NA(),$J324/$E324-1),NA())</f>
        <v/>
      </c>
      <c r="C324" s="269">
        <f>IFERROR(100*$E324/$E$5,NA())</f>
        <v/>
      </c>
      <c r="D324" s="269">
        <f>IFERROR(100*$J324/$J$5,NA())</f>
        <v/>
      </c>
      <c r="E324" s="32">
        <f>IFERROR(IF(AND(ISNUMBER($A324),N(IF(AND(AH!$U$12=1,319+1=AH!$U$6),IF(AH!$U$4=0,"unavailable",INDEX('Market Data'!$AN$5:$AN$66,AH!$U$4)),IF(AH!$U$5=1,INDEX('Live History'!$B$5:$B$3004,$K324),INDEX('AH History'!$D$5:$GG$1380,$K324,AH!$U$10))))&gt;0),IF(AND(AH!$U$12=1,319+1=AH!$U$6),IF(AH!$U$4=0,"unavailable",INDEX('Market Data'!$AN$5:$AN$66,AH!$U$4)),IF(AH!$U$5=1,INDEX('Live History'!$B$5:$B$3004,$K324),INDEX('AH History'!$D$5:$GG$1380,$K324,AH!$U$10))),NA()),NA())</f>
        <v/>
      </c>
      <c r="F324" s="32">
        <f>IFERROR(IF(ISNUMBER($A324),IF(AND(AH!$U$12=1,319+1=AH!$U$6),IF(AH!$U$4=0,"unavailable",INDEX('Market Data'!$AO$5:$AO$66,AH!$U$4)),IF(AH!$U$5=1,INDEX('Live History'!$E$5:$E$3004,MATCH($A324,'Live History'!$D$5:$D$3004,1)),INDEX('AH History'!$D$5:$GG$1380,$K324,AH!$U$10+1))),NA()),NA())</f>
        <v/>
      </c>
      <c r="G324" s="34">
        <f>IFERROR(IF(ISNUMBER($A324),IF(AND(AH!$U$12=1,319+1=AH!$U$6),IF(AH!$U$4=0,"unavailable",INDEX('Market Data'!$AK$5:$AK$66,AH!$U$4)),IF(AH!$U$5=1,INDEX('Live History'!$D$5:$D$3004,MATCH($A324,'Live History'!$D$5:$D$3004,1)),INDEX('AH History'!$D$5:$GG$1380,$K324,AH!$U$10+2))),NA()),NA())</f>
        <v/>
      </c>
      <c r="H324" s="266">
        <f>IFERROR(IF(ISNUMBER($A324),IF(AND(AH!$U$12=1,319+1=AH!$U$6),IF(AH!$U$4=0,"unavailable",INDEX('Market Data'!$AP$5:$AP$66,AH!$U$4)),IF(AH!$U$5=1,INDEX('Live History'!$H$5:$H$3004,MATCH($A324,'Live History'!$G$5:$G$3004,1)),INDEX('AH History'!$B$5:$B$1380,$K324))),NA()),NA())</f>
        <v/>
      </c>
      <c r="I324" s="34">
        <f>IFERROR(IF(ISNUMBER($A324),IF(AND(AH!$U$12=1,319+1=AH!$U$6),TODAY(),IF(AH!$U$5=1,INDEX('Live History'!$G$5:$G$3004,MATCH($A324,'Live History'!$G$5:$G$3004,1)),INDEX('AH History'!$C$5:$C$1380,$K324))),NA()),NA())</f>
        <v/>
      </c>
      <c r="J324" s="32">
        <f>IFERROR(IF(AND($F324&gt;0,$H324&gt;0,$A324-$G324&lt;=10,$A324-$I324&lt;=5,$G324&gt;0,$I324&gt;0),$F324*$H324,NA()),NA())</f>
        <v/>
      </c>
      <c r="K324" s="15">
        <f>IF($A324="","",IF(AH!$U$5=1,IFERROR(MATCH($A324,'Live History'!$A$5:$A$3004,0),0),AH!$U$7+319))</f>
        <v/>
      </c>
      <c r="L324" s="15">
        <f>IF(ISNUMBER(A324),TEXT(A324,"dd-mmm-yy"),"")</f>
        <v/>
      </c>
    </row>
    <row r="325">
      <c r="A325" s="14">
        <f>IF(OR(AH!$U$4=0,320+1&gt;AH!$U$6,AND(AH!$M$5="Bloomberg",AH!$U$5=0)),"",IFERROR(IF(AND(AH!$U$12=1,320+1=AH!$U$6),TODAY(),IF(AH!$U$5=1,INDEX('Live History'!$A$5:$A$3004,AH!$U$7+320),INDEX('AH History'!$A$5:$A$1380,AH!$U$7+320))),""))</f>
        <v/>
      </c>
      <c r="B325" s="33">
        <f>IFERROR(IF(AH!$U$11=1,NA(),$J325/$E325-1),NA())</f>
        <v/>
      </c>
      <c r="C325" s="269">
        <f>IFERROR(100*$E325/$E$5,NA())</f>
        <v/>
      </c>
      <c r="D325" s="269">
        <f>IFERROR(100*$J325/$J$5,NA())</f>
        <v/>
      </c>
      <c r="E325" s="32">
        <f>IFERROR(IF(AND(ISNUMBER($A325),N(IF(AND(AH!$U$12=1,320+1=AH!$U$6),IF(AH!$U$4=0,"unavailable",INDEX('Market Data'!$AN$5:$AN$66,AH!$U$4)),IF(AH!$U$5=1,INDEX('Live History'!$B$5:$B$3004,$K325),INDEX('AH History'!$D$5:$GG$1380,$K325,AH!$U$10))))&gt;0),IF(AND(AH!$U$12=1,320+1=AH!$U$6),IF(AH!$U$4=0,"unavailable",INDEX('Market Data'!$AN$5:$AN$66,AH!$U$4)),IF(AH!$U$5=1,INDEX('Live History'!$B$5:$B$3004,$K325),INDEX('AH History'!$D$5:$GG$1380,$K325,AH!$U$10))),NA()),NA())</f>
        <v/>
      </c>
      <c r="F325" s="32">
        <f>IFERROR(IF(ISNUMBER($A325),IF(AND(AH!$U$12=1,320+1=AH!$U$6),IF(AH!$U$4=0,"unavailable",INDEX('Market Data'!$AO$5:$AO$66,AH!$U$4)),IF(AH!$U$5=1,INDEX('Live History'!$E$5:$E$3004,MATCH($A325,'Live History'!$D$5:$D$3004,1)),INDEX('AH History'!$D$5:$GG$1380,$K325,AH!$U$10+1))),NA()),NA())</f>
        <v/>
      </c>
      <c r="G325" s="34">
        <f>IFERROR(IF(ISNUMBER($A325),IF(AND(AH!$U$12=1,320+1=AH!$U$6),IF(AH!$U$4=0,"unavailable",INDEX('Market Data'!$AK$5:$AK$66,AH!$U$4)),IF(AH!$U$5=1,INDEX('Live History'!$D$5:$D$3004,MATCH($A325,'Live History'!$D$5:$D$3004,1)),INDEX('AH History'!$D$5:$GG$1380,$K325,AH!$U$10+2))),NA()),NA())</f>
        <v/>
      </c>
      <c r="H325" s="266">
        <f>IFERROR(IF(ISNUMBER($A325),IF(AND(AH!$U$12=1,320+1=AH!$U$6),IF(AH!$U$4=0,"unavailable",INDEX('Market Data'!$AP$5:$AP$66,AH!$U$4)),IF(AH!$U$5=1,INDEX('Live History'!$H$5:$H$3004,MATCH($A325,'Live History'!$G$5:$G$3004,1)),INDEX('AH History'!$B$5:$B$1380,$K325))),NA()),NA())</f>
        <v/>
      </c>
      <c r="I325" s="34">
        <f>IFERROR(IF(ISNUMBER($A325),IF(AND(AH!$U$12=1,320+1=AH!$U$6),TODAY(),IF(AH!$U$5=1,INDEX('Live History'!$G$5:$G$3004,MATCH($A325,'Live History'!$G$5:$G$3004,1)),INDEX('AH History'!$C$5:$C$1380,$K325))),NA()),NA())</f>
        <v/>
      </c>
      <c r="J325" s="32">
        <f>IFERROR(IF(AND($F325&gt;0,$H325&gt;0,$A325-$G325&lt;=10,$A325-$I325&lt;=5,$G325&gt;0,$I325&gt;0),$F325*$H325,NA()),NA())</f>
        <v/>
      </c>
      <c r="K325" s="15">
        <f>IF($A325="","",IF(AH!$U$5=1,IFERROR(MATCH($A325,'Live History'!$A$5:$A$3004,0),0),AH!$U$7+320))</f>
        <v/>
      </c>
      <c r="L325" s="15">
        <f>IF(ISNUMBER(A325),TEXT(A325,"dd-mmm-yy"),"")</f>
        <v/>
      </c>
    </row>
    <row r="326">
      <c r="A326" s="14">
        <f>IF(OR(AH!$U$4=0,321+1&gt;AH!$U$6,AND(AH!$M$5="Bloomberg",AH!$U$5=0)),"",IFERROR(IF(AND(AH!$U$12=1,321+1=AH!$U$6),TODAY(),IF(AH!$U$5=1,INDEX('Live History'!$A$5:$A$3004,AH!$U$7+321),INDEX('AH History'!$A$5:$A$1380,AH!$U$7+321))),""))</f>
        <v/>
      </c>
      <c r="B326" s="33">
        <f>IFERROR(IF(AH!$U$11=1,NA(),$J326/$E326-1),NA())</f>
        <v/>
      </c>
      <c r="C326" s="269">
        <f>IFERROR(100*$E326/$E$5,NA())</f>
        <v/>
      </c>
      <c r="D326" s="269">
        <f>IFERROR(100*$J326/$J$5,NA())</f>
        <v/>
      </c>
      <c r="E326" s="32">
        <f>IFERROR(IF(AND(ISNUMBER($A326),N(IF(AND(AH!$U$12=1,321+1=AH!$U$6),IF(AH!$U$4=0,"unavailable",INDEX('Market Data'!$AN$5:$AN$66,AH!$U$4)),IF(AH!$U$5=1,INDEX('Live History'!$B$5:$B$3004,$K326),INDEX('AH History'!$D$5:$GG$1380,$K326,AH!$U$10))))&gt;0),IF(AND(AH!$U$12=1,321+1=AH!$U$6),IF(AH!$U$4=0,"unavailable",INDEX('Market Data'!$AN$5:$AN$66,AH!$U$4)),IF(AH!$U$5=1,INDEX('Live History'!$B$5:$B$3004,$K326),INDEX('AH History'!$D$5:$GG$1380,$K326,AH!$U$10))),NA()),NA())</f>
        <v/>
      </c>
      <c r="F326" s="32">
        <f>IFERROR(IF(ISNUMBER($A326),IF(AND(AH!$U$12=1,321+1=AH!$U$6),IF(AH!$U$4=0,"unavailable",INDEX('Market Data'!$AO$5:$AO$66,AH!$U$4)),IF(AH!$U$5=1,INDEX('Live History'!$E$5:$E$3004,MATCH($A326,'Live History'!$D$5:$D$3004,1)),INDEX('AH History'!$D$5:$GG$1380,$K326,AH!$U$10+1))),NA()),NA())</f>
        <v/>
      </c>
      <c r="G326" s="34">
        <f>IFERROR(IF(ISNUMBER($A326),IF(AND(AH!$U$12=1,321+1=AH!$U$6),IF(AH!$U$4=0,"unavailable",INDEX('Market Data'!$AK$5:$AK$66,AH!$U$4)),IF(AH!$U$5=1,INDEX('Live History'!$D$5:$D$3004,MATCH($A326,'Live History'!$D$5:$D$3004,1)),INDEX('AH History'!$D$5:$GG$1380,$K326,AH!$U$10+2))),NA()),NA())</f>
        <v/>
      </c>
      <c r="H326" s="266">
        <f>IFERROR(IF(ISNUMBER($A326),IF(AND(AH!$U$12=1,321+1=AH!$U$6),IF(AH!$U$4=0,"unavailable",INDEX('Market Data'!$AP$5:$AP$66,AH!$U$4)),IF(AH!$U$5=1,INDEX('Live History'!$H$5:$H$3004,MATCH($A326,'Live History'!$G$5:$G$3004,1)),INDEX('AH History'!$B$5:$B$1380,$K326))),NA()),NA())</f>
        <v/>
      </c>
      <c r="I326" s="34">
        <f>IFERROR(IF(ISNUMBER($A326),IF(AND(AH!$U$12=1,321+1=AH!$U$6),TODAY(),IF(AH!$U$5=1,INDEX('Live History'!$G$5:$G$3004,MATCH($A326,'Live History'!$G$5:$G$3004,1)),INDEX('AH History'!$C$5:$C$1380,$K326))),NA()),NA())</f>
        <v/>
      </c>
      <c r="J326" s="32">
        <f>IFERROR(IF(AND($F326&gt;0,$H326&gt;0,$A326-$G326&lt;=10,$A326-$I326&lt;=5,$G326&gt;0,$I326&gt;0),$F326*$H326,NA()),NA())</f>
        <v/>
      </c>
      <c r="K326" s="15">
        <f>IF($A326="","",IF(AH!$U$5=1,IFERROR(MATCH($A326,'Live History'!$A$5:$A$3004,0),0),AH!$U$7+321))</f>
        <v/>
      </c>
      <c r="L326" s="15">
        <f>IF(ISNUMBER(A326),TEXT(A326,"dd-mmm-yy"),"")</f>
        <v/>
      </c>
    </row>
    <row r="327">
      <c r="A327" s="14">
        <f>IF(OR(AH!$U$4=0,322+1&gt;AH!$U$6,AND(AH!$M$5="Bloomberg",AH!$U$5=0)),"",IFERROR(IF(AND(AH!$U$12=1,322+1=AH!$U$6),TODAY(),IF(AH!$U$5=1,INDEX('Live History'!$A$5:$A$3004,AH!$U$7+322),INDEX('AH History'!$A$5:$A$1380,AH!$U$7+322))),""))</f>
        <v/>
      </c>
      <c r="B327" s="33">
        <f>IFERROR(IF(AH!$U$11=1,NA(),$J327/$E327-1),NA())</f>
        <v/>
      </c>
      <c r="C327" s="269">
        <f>IFERROR(100*$E327/$E$5,NA())</f>
        <v/>
      </c>
      <c r="D327" s="269">
        <f>IFERROR(100*$J327/$J$5,NA())</f>
        <v/>
      </c>
      <c r="E327" s="32">
        <f>IFERROR(IF(AND(ISNUMBER($A327),N(IF(AND(AH!$U$12=1,322+1=AH!$U$6),IF(AH!$U$4=0,"unavailable",INDEX('Market Data'!$AN$5:$AN$66,AH!$U$4)),IF(AH!$U$5=1,INDEX('Live History'!$B$5:$B$3004,$K327),INDEX('AH History'!$D$5:$GG$1380,$K327,AH!$U$10))))&gt;0),IF(AND(AH!$U$12=1,322+1=AH!$U$6),IF(AH!$U$4=0,"unavailable",INDEX('Market Data'!$AN$5:$AN$66,AH!$U$4)),IF(AH!$U$5=1,INDEX('Live History'!$B$5:$B$3004,$K327),INDEX('AH History'!$D$5:$GG$1380,$K327,AH!$U$10))),NA()),NA())</f>
        <v/>
      </c>
      <c r="F327" s="32">
        <f>IFERROR(IF(ISNUMBER($A327),IF(AND(AH!$U$12=1,322+1=AH!$U$6),IF(AH!$U$4=0,"unavailable",INDEX('Market Data'!$AO$5:$AO$66,AH!$U$4)),IF(AH!$U$5=1,INDEX('Live History'!$E$5:$E$3004,MATCH($A327,'Live History'!$D$5:$D$3004,1)),INDEX('AH History'!$D$5:$GG$1380,$K327,AH!$U$10+1))),NA()),NA())</f>
        <v/>
      </c>
      <c r="G327" s="34">
        <f>IFERROR(IF(ISNUMBER($A327),IF(AND(AH!$U$12=1,322+1=AH!$U$6),IF(AH!$U$4=0,"unavailable",INDEX('Market Data'!$AK$5:$AK$66,AH!$U$4)),IF(AH!$U$5=1,INDEX('Live History'!$D$5:$D$3004,MATCH($A327,'Live History'!$D$5:$D$3004,1)),INDEX('AH History'!$D$5:$GG$1380,$K327,AH!$U$10+2))),NA()),NA())</f>
        <v/>
      </c>
      <c r="H327" s="266">
        <f>IFERROR(IF(ISNUMBER($A327),IF(AND(AH!$U$12=1,322+1=AH!$U$6),IF(AH!$U$4=0,"unavailable",INDEX('Market Data'!$AP$5:$AP$66,AH!$U$4)),IF(AH!$U$5=1,INDEX('Live History'!$H$5:$H$3004,MATCH($A327,'Live History'!$G$5:$G$3004,1)),INDEX('AH History'!$B$5:$B$1380,$K327))),NA()),NA())</f>
        <v/>
      </c>
      <c r="I327" s="34">
        <f>IFERROR(IF(ISNUMBER($A327),IF(AND(AH!$U$12=1,322+1=AH!$U$6),TODAY(),IF(AH!$U$5=1,INDEX('Live History'!$G$5:$G$3004,MATCH($A327,'Live History'!$G$5:$G$3004,1)),INDEX('AH History'!$C$5:$C$1380,$K327))),NA()),NA())</f>
        <v/>
      </c>
      <c r="J327" s="32">
        <f>IFERROR(IF(AND($F327&gt;0,$H327&gt;0,$A327-$G327&lt;=10,$A327-$I327&lt;=5,$G327&gt;0,$I327&gt;0),$F327*$H327,NA()),NA())</f>
        <v/>
      </c>
      <c r="K327" s="15">
        <f>IF($A327="","",IF(AH!$U$5=1,IFERROR(MATCH($A327,'Live History'!$A$5:$A$3004,0),0),AH!$U$7+322))</f>
        <v/>
      </c>
      <c r="L327" s="15">
        <f>IF(ISNUMBER(A327),TEXT(A327,"dd-mmm-yy"),"")</f>
        <v/>
      </c>
    </row>
    <row r="328">
      <c r="A328" s="14">
        <f>IF(OR(AH!$U$4=0,323+1&gt;AH!$U$6,AND(AH!$M$5="Bloomberg",AH!$U$5=0)),"",IFERROR(IF(AND(AH!$U$12=1,323+1=AH!$U$6),TODAY(),IF(AH!$U$5=1,INDEX('Live History'!$A$5:$A$3004,AH!$U$7+323),INDEX('AH History'!$A$5:$A$1380,AH!$U$7+323))),""))</f>
        <v/>
      </c>
      <c r="B328" s="33">
        <f>IFERROR(IF(AH!$U$11=1,NA(),$J328/$E328-1),NA())</f>
        <v/>
      </c>
      <c r="C328" s="269">
        <f>IFERROR(100*$E328/$E$5,NA())</f>
        <v/>
      </c>
      <c r="D328" s="269">
        <f>IFERROR(100*$J328/$J$5,NA())</f>
        <v/>
      </c>
      <c r="E328" s="32">
        <f>IFERROR(IF(AND(ISNUMBER($A328),N(IF(AND(AH!$U$12=1,323+1=AH!$U$6),IF(AH!$U$4=0,"unavailable",INDEX('Market Data'!$AN$5:$AN$66,AH!$U$4)),IF(AH!$U$5=1,INDEX('Live History'!$B$5:$B$3004,$K328),INDEX('AH History'!$D$5:$GG$1380,$K328,AH!$U$10))))&gt;0),IF(AND(AH!$U$12=1,323+1=AH!$U$6),IF(AH!$U$4=0,"unavailable",INDEX('Market Data'!$AN$5:$AN$66,AH!$U$4)),IF(AH!$U$5=1,INDEX('Live History'!$B$5:$B$3004,$K328),INDEX('AH History'!$D$5:$GG$1380,$K328,AH!$U$10))),NA()),NA())</f>
        <v/>
      </c>
      <c r="F328" s="32">
        <f>IFERROR(IF(ISNUMBER($A328),IF(AND(AH!$U$12=1,323+1=AH!$U$6),IF(AH!$U$4=0,"unavailable",INDEX('Market Data'!$AO$5:$AO$66,AH!$U$4)),IF(AH!$U$5=1,INDEX('Live History'!$E$5:$E$3004,MATCH($A328,'Live History'!$D$5:$D$3004,1)),INDEX('AH History'!$D$5:$GG$1380,$K328,AH!$U$10+1))),NA()),NA())</f>
        <v/>
      </c>
      <c r="G328" s="34">
        <f>IFERROR(IF(ISNUMBER($A328),IF(AND(AH!$U$12=1,323+1=AH!$U$6),IF(AH!$U$4=0,"unavailable",INDEX('Market Data'!$AK$5:$AK$66,AH!$U$4)),IF(AH!$U$5=1,INDEX('Live History'!$D$5:$D$3004,MATCH($A328,'Live History'!$D$5:$D$3004,1)),INDEX('AH History'!$D$5:$GG$1380,$K328,AH!$U$10+2))),NA()),NA())</f>
        <v/>
      </c>
      <c r="H328" s="266">
        <f>IFERROR(IF(ISNUMBER($A328),IF(AND(AH!$U$12=1,323+1=AH!$U$6),IF(AH!$U$4=0,"unavailable",INDEX('Market Data'!$AP$5:$AP$66,AH!$U$4)),IF(AH!$U$5=1,INDEX('Live History'!$H$5:$H$3004,MATCH($A328,'Live History'!$G$5:$G$3004,1)),INDEX('AH History'!$B$5:$B$1380,$K328))),NA()),NA())</f>
        <v/>
      </c>
      <c r="I328" s="34">
        <f>IFERROR(IF(ISNUMBER($A328),IF(AND(AH!$U$12=1,323+1=AH!$U$6),TODAY(),IF(AH!$U$5=1,INDEX('Live History'!$G$5:$G$3004,MATCH($A328,'Live History'!$G$5:$G$3004,1)),INDEX('AH History'!$C$5:$C$1380,$K328))),NA()),NA())</f>
        <v/>
      </c>
      <c r="J328" s="32">
        <f>IFERROR(IF(AND($F328&gt;0,$H328&gt;0,$A328-$G328&lt;=10,$A328-$I328&lt;=5,$G328&gt;0,$I328&gt;0),$F328*$H328,NA()),NA())</f>
        <v/>
      </c>
      <c r="K328" s="15">
        <f>IF($A328="","",IF(AH!$U$5=1,IFERROR(MATCH($A328,'Live History'!$A$5:$A$3004,0),0),AH!$U$7+323))</f>
        <v/>
      </c>
      <c r="L328" s="15">
        <f>IF(ISNUMBER(A328),TEXT(A328,"dd-mmm-yy"),"")</f>
        <v/>
      </c>
    </row>
    <row r="329">
      <c r="A329" s="14">
        <f>IF(OR(AH!$U$4=0,324+1&gt;AH!$U$6,AND(AH!$M$5="Bloomberg",AH!$U$5=0)),"",IFERROR(IF(AND(AH!$U$12=1,324+1=AH!$U$6),TODAY(),IF(AH!$U$5=1,INDEX('Live History'!$A$5:$A$3004,AH!$U$7+324),INDEX('AH History'!$A$5:$A$1380,AH!$U$7+324))),""))</f>
        <v/>
      </c>
      <c r="B329" s="33">
        <f>IFERROR(IF(AH!$U$11=1,NA(),$J329/$E329-1),NA())</f>
        <v/>
      </c>
      <c r="C329" s="269">
        <f>IFERROR(100*$E329/$E$5,NA())</f>
        <v/>
      </c>
      <c r="D329" s="269">
        <f>IFERROR(100*$J329/$J$5,NA())</f>
        <v/>
      </c>
      <c r="E329" s="32">
        <f>IFERROR(IF(AND(ISNUMBER($A329),N(IF(AND(AH!$U$12=1,324+1=AH!$U$6),IF(AH!$U$4=0,"unavailable",INDEX('Market Data'!$AN$5:$AN$66,AH!$U$4)),IF(AH!$U$5=1,INDEX('Live History'!$B$5:$B$3004,$K329),INDEX('AH History'!$D$5:$GG$1380,$K329,AH!$U$10))))&gt;0),IF(AND(AH!$U$12=1,324+1=AH!$U$6),IF(AH!$U$4=0,"unavailable",INDEX('Market Data'!$AN$5:$AN$66,AH!$U$4)),IF(AH!$U$5=1,INDEX('Live History'!$B$5:$B$3004,$K329),INDEX('AH History'!$D$5:$GG$1380,$K329,AH!$U$10))),NA()),NA())</f>
        <v/>
      </c>
      <c r="F329" s="32">
        <f>IFERROR(IF(ISNUMBER($A329),IF(AND(AH!$U$12=1,324+1=AH!$U$6),IF(AH!$U$4=0,"unavailable",INDEX('Market Data'!$AO$5:$AO$66,AH!$U$4)),IF(AH!$U$5=1,INDEX('Live History'!$E$5:$E$3004,MATCH($A329,'Live History'!$D$5:$D$3004,1)),INDEX('AH History'!$D$5:$GG$1380,$K329,AH!$U$10+1))),NA()),NA())</f>
        <v/>
      </c>
      <c r="G329" s="34">
        <f>IFERROR(IF(ISNUMBER($A329),IF(AND(AH!$U$12=1,324+1=AH!$U$6),IF(AH!$U$4=0,"unavailable",INDEX('Market Data'!$AK$5:$AK$66,AH!$U$4)),IF(AH!$U$5=1,INDEX('Live History'!$D$5:$D$3004,MATCH($A329,'Live History'!$D$5:$D$3004,1)),INDEX('AH History'!$D$5:$GG$1380,$K329,AH!$U$10+2))),NA()),NA())</f>
        <v/>
      </c>
      <c r="H329" s="266">
        <f>IFERROR(IF(ISNUMBER($A329),IF(AND(AH!$U$12=1,324+1=AH!$U$6),IF(AH!$U$4=0,"unavailable",INDEX('Market Data'!$AP$5:$AP$66,AH!$U$4)),IF(AH!$U$5=1,INDEX('Live History'!$H$5:$H$3004,MATCH($A329,'Live History'!$G$5:$G$3004,1)),INDEX('AH History'!$B$5:$B$1380,$K329))),NA()),NA())</f>
        <v/>
      </c>
      <c r="I329" s="34">
        <f>IFERROR(IF(ISNUMBER($A329),IF(AND(AH!$U$12=1,324+1=AH!$U$6),TODAY(),IF(AH!$U$5=1,INDEX('Live History'!$G$5:$G$3004,MATCH($A329,'Live History'!$G$5:$G$3004,1)),INDEX('AH History'!$C$5:$C$1380,$K329))),NA()),NA())</f>
        <v/>
      </c>
      <c r="J329" s="32">
        <f>IFERROR(IF(AND($F329&gt;0,$H329&gt;0,$A329-$G329&lt;=10,$A329-$I329&lt;=5,$G329&gt;0,$I329&gt;0),$F329*$H329,NA()),NA())</f>
        <v/>
      </c>
      <c r="K329" s="15">
        <f>IF($A329="","",IF(AH!$U$5=1,IFERROR(MATCH($A329,'Live History'!$A$5:$A$3004,0),0),AH!$U$7+324))</f>
        <v/>
      </c>
      <c r="L329" s="15">
        <f>IF(ISNUMBER(A329),TEXT(A329,"dd-mmm-yy"),"")</f>
        <v/>
      </c>
    </row>
    <row r="330">
      <c r="A330" s="14">
        <f>IF(OR(AH!$U$4=0,325+1&gt;AH!$U$6,AND(AH!$M$5="Bloomberg",AH!$U$5=0)),"",IFERROR(IF(AND(AH!$U$12=1,325+1=AH!$U$6),TODAY(),IF(AH!$U$5=1,INDEX('Live History'!$A$5:$A$3004,AH!$U$7+325),INDEX('AH History'!$A$5:$A$1380,AH!$U$7+325))),""))</f>
        <v/>
      </c>
      <c r="B330" s="33">
        <f>IFERROR(IF(AH!$U$11=1,NA(),$J330/$E330-1),NA())</f>
        <v/>
      </c>
      <c r="C330" s="269">
        <f>IFERROR(100*$E330/$E$5,NA())</f>
        <v/>
      </c>
      <c r="D330" s="269">
        <f>IFERROR(100*$J330/$J$5,NA())</f>
        <v/>
      </c>
      <c r="E330" s="32">
        <f>IFERROR(IF(AND(ISNUMBER($A330),N(IF(AND(AH!$U$12=1,325+1=AH!$U$6),IF(AH!$U$4=0,"unavailable",INDEX('Market Data'!$AN$5:$AN$66,AH!$U$4)),IF(AH!$U$5=1,INDEX('Live History'!$B$5:$B$3004,$K330),INDEX('AH History'!$D$5:$GG$1380,$K330,AH!$U$10))))&gt;0),IF(AND(AH!$U$12=1,325+1=AH!$U$6),IF(AH!$U$4=0,"unavailable",INDEX('Market Data'!$AN$5:$AN$66,AH!$U$4)),IF(AH!$U$5=1,INDEX('Live History'!$B$5:$B$3004,$K330),INDEX('AH History'!$D$5:$GG$1380,$K330,AH!$U$10))),NA()),NA())</f>
        <v/>
      </c>
      <c r="F330" s="32">
        <f>IFERROR(IF(ISNUMBER($A330),IF(AND(AH!$U$12=1,325+1=AH!$U$6),IF(AH!$U$4=0,"unavailable",INDEX('Market Data'!$AO$5:$AO$66,AH!$U$4)),IF(AH!$U$5=1,INDEX('Live History'!$E$5:$E$3004,MATCH($A330,'Live History'!$D$5:$D$3004,1)),INDEX('AH History'!$D$5:$GG$1380,$K330,AH!$U$10+1))),NA()),NA())</f>
        <v/>
      </c>
      <c r="G330" s="34">
        <f>IFERROR(IF(ISNUMBER($A330),IF(AND(AH!$U$12=1,325+1=AH!$U$6),IF(AH!$U$4=0,"unavailable",INDEX('Market Data'!$AK$5:$AK$66,AH!$U$4)),IF(AH!$U$5=1,INDEX('Live History'!$D$5:$D$3004,MATCH($A330,'Live History'!$D$5:$D$3004,1)),INDEX('AH History'!$D$5:$GG$1380,$K330,AH!$U$10+2))),NA()),NA())</f>
        <v/>
      </c>
      <c r="H330" s="266">
        <f>IFERROR(IF(ISNUMBER($A330),IF(AND(AH!$U$12=1,325+1=AH!$U$6),IF(AH!$U$4=0,"unavailable",INDEX('Market Data'!$AP$5:$AP$66,AH!$U$4)),IF(AH!$U$5=1,INDEX('Live History'!$H$5:$H$3004,MATCH($A330,'Live History'!$G$5:$G$3004,1)),INDEX('AH History'!$B$5:$B$1380,$K330))),NA()),NA())</f>
        <v/>
      </c>
      <c r="I330" s="34">
        <f>IFERROR(IF(ISNUMBER($A330),IF(AND(AH!$U$12=1,325+1=AH!$U$6),TODAY(),IF(AH!$U$5=1,INDEX('Live History'!$G$5:$G$3004,MATCH($A330,'Live History'!$G$5:$G$3004,1)),INDEX('AH History'!$C$5:$C$1380,$K330))),NA()),NA())</f>
        <v/>
      </c>
      <c r="J330" s="32">
        <f>IFERROR(IF(AND($F330&gt;0,$H330&gt;0,$A330-$G330&lt;=10,$A330-$I330&lt;=5,$G330&gt;0,$I330&gt;0),$F330*$H330,NA()),NA())</f>
        <v/>
      </c>
      <c r="K330" s="15">
        <f>IF($A330="","",IF(AH!$U$5=1,IFERROR(MATCH($A330,'Live History'!$A$5:$A$3004,0),0),AH!$U$7+325))</f>
        <v/>
      </c>
      <c r="L330" s="15">
        <f>IF(ISNUMBER(A330),TEXT(A330,"dd-mmm-yy"),"")</f>
        <v/>
      </c>
    </row>
    <row r="331">
      <c r="A331" s="14">
        <f>IF(OR(AH!$U$4=0,326+1&gt;AH!$U$6,AND(AH!$M$5="Bloomberg",AH!$U$5=0)),"",IFERROR(IF(AND(AH!$U$12=1,326+1=AH!$U$6),TODAY(),IF(AH!$U$5=1,INDEX('Live History'!$A$5:$A$3004,AH!$U$7+326),INDEX('AH History'!$A$5:$A$1380,AH!$U$7+326))),""))</f>
        <v/>
      </c>
      <c r="B331" s="33">
        <f>IFERROR(IF(AH!$U$11=1,NA(),$J331/$E331-1),NA())</f>
        <v/>
      </c>
      <c r="C331" s="269">
        <f>IFERROR(100*$E331/$E$5,NA())</f>
        <v/>
      </c>
      <c r="D331" s="269">
        <f>IFERROR(100*$J331/$J$5,NA())</f>
        <v/>
      </c>
      <c r="E331" s="32">
        <f>IFERROR(IF(AND(ISNUMBER($A331),N(IF(AND(AH!$U$12=1,326+1=AH!$U$6),IF(AH!$U$4=0,"unavailable",INDEX('Market Data'!$AN$5:$AN$66,AH!$U$4)),IF(AH!$U$5=1,INDEX('Live History'!$B$5:$B$3004,$K331),INDEX('AH History'!$D$5:$GG$1380,$K331,AH!$U$10))))&gt;0),IF(AND(AH!$U$12=1,326+1=AH!$U$6),IF(AH!$U$4=0,"unavailable",INDEX('Market Data'!$AN$5:$AN$66,AH!$U$4)),IF(AH!$U$5=1,INDEX('Live History'!$B$5:$B$3004,$K331),INDEX('AH History'!$D$5:$GG$1380,$K331,AH!$U$10))),NA()),NA())</f>
        <v/>
      </c>
      <c r="F331" s="32">
        <f>IFERROR(IF(ISNUMBER($A331),IF(AND(AH!$U$12=1,326+1=AH!$U$6),IF(AH!$U$4=0,"unavailable",INDEX('Market Data'!$AO$5:$AO$66,AH!$U$4)),IF(AH!$U$5=1,INDEX('Live History'!$E$5:$E$3004,MATCH($A331,'Live History'!$D$5:$D$3004,1)),INDEX('AH History'!$D$5:$GG$1380,$K331,AH!$U$10+1))),NA()),NA())</f>
        <v/>
      </c>
      <c r="G331" s="34">
        <f>IFERROR(IF(ISNUMBER($A331),IF(AND(AH!$U$12=1,326+1=AH!$U$6),IF(AH!$U$4=0,"unavailable",INDEX('Market Data'!$AK$5:$AK$66,AH!$U$4)),IF(AH!$U$5=1,INDEX('Live History'!$D$5:$D$3004,MATCH($A331,'Live History'!$D$5:$D$3004,1)),INDEX('AH History'!$D$5:$GG$1380,$K331,AH!$U$10+2))),NA()),NA())</f>
        <v/>
      </c>
      <c r="H331" s="266">
        <f>IFERROR(IF(ISNUMBER($A331),IF(AND(AH!$U$12=1,326+1=AH!$U$6),IF(AH!$U$4=0,"unavailable",INDEX('Market Data'!$AP$5:$AP$66,AH!$U$4)),IF(AH!$U$5=1,INDEX('Live History'!$H$5:$H$3004,MATCH($A331,'Live History'!$G$5:$G$3004,1)),INDEX('AH History'!$B$5:$B$1380,$K331))),NA()),NA())</f>
        <v/>
      </c>
      <c r="I331" s="34">
        <f>IFERROR(IF(ISNUMBER($A331),IF(AND(AH!$U$12=1,326+1=AH!$U$6),TODAY(),IF(AH!$U$5=1,INDEX('Live History'!$G$5:$G$3004,MATCH($A331,'Live History'!$G$5:$G$3004,1)),INDEX('AH History'!$C$5:$C$1380,$K331))),NA()),NA())</f>
        <v/>
      </c>
      <c r="J331" s="32">
        <f>IFERROR(IF(AND($F331&gt;0,$H331&gt;0,$A331-$G331&lt;=10,$A331-$I331&lt;=5,$G331&gt;0,$I331&gt;0),$F331*$H331,NA()),NA())</f>
        <v/>
      </c>
      <c r="K331" s="15">
        <f>IF($A331="","",IF(AH!$U$5=1,IFERROR(MATCH($A331,'Live History'!$A$5:$A$3004,0),0),AH!$U$7+326))</f>
        <v/>
      </c>
      <c r="L331" s="15">
        <f>IF(ISNUMBER(A331),TEXT(A331,"dd-mmm-yy"),"")</f>
        <v/>
      </c>
    </row>
    <row r="332">
      <c r="A332" s="14">
        <f>IF(OR(AH!$U$4=0,327+1&gt;AH!$U$6,AND(AH!$M$5="Bloomberg",AH!$U$5=0)),"",IFERROR(IF(AND(AH!$U$12=1,327+1=AH!$U$6),TODAY(),IF(AH!$U$5=1,INDEX('Live History'!$A$5:$A$3004,AH!$U$7+327),INDEX('AH History'!$A$5:$A$1380,AH!$U$7+327))),""))</f>
        <v/>
      </c>
      <c r="B332" s="33">
        <f>IFERROR(IF(AH!$U$11=1,NA(),$J332/$E332-1),NA())</f>
        <v/>
      </c>
      <c r="C332" s="269">
        <f>IFERROR(100*$E332/$E$5,NA())</f>
        <v/>
      </c>
      <c r="D332" s="269">
        <f>IFERROR(100*$J332/$J$5,NA())</f>
        <v/>
      </c>
      <c r="E332" s="32">
        <f>IFERROR(IF(AND(ISNUMBER($A332),N(IF(AND(AH!$U$12=1,327+1=AH!$U$6),IF(AH!$U$4=0,"unavailable",INDEX('Market Data'!$AN$5:$AN$66,AH!$U$4)),IF(AH!$U$5=1,INDEX('Live History'!$B$5:$B$3004,$K332),INDEX('AH History'!$D$5:$GG$1380,$K332,AH!$U$10))))&gt;0),IF(AND(AH!$U$12=1,327+1=AH!$U$6),IF(AH!$U$4=0,"unavailable",INDEX('Market Data'!$AN$5:$AN$66,AH!$U$4)),IF(AH!$U$5=1,INDEX('Live History'!$B$5:$B$3004,$K332),INDEX('AH History'!$D$5:$GG$1380,$K332,AH!$U$10))),NA()),NA())</f>
        <v/>
      </c>
      <c r="F332" s="32">
        <f>IFERROR(IF(ISNUMBER($A332),IF(AND(AH!$U$12=1,327+1=AH!$U$6),IF(AH!$U$4=0,"unavailable",INDEX('Market Data'!$AO$5:$AO$66,AH!$U$4)),IF(AH!$U$5=1,INDEX('Live History'!$E$5:$E$3004,MATCH($A332,'Live History'!$D$5:$D$3004,1)),INDEX('AH History'!$D$5:$GG$1380,$K332,AH!$U$10+1))),NA()),NA())</f>
        <v/>
      </c>
      <c r="G332" s="34">
        <f>IFERROR(IF(ISNUMBER($A332),IF(AND(AH!$U$12=1,327+1=AH!$U$6),IF(AH!$U$4=0,"unavailable",INDEX('Market Data'!$AK$5:$AK$66,AH!$U$4)),IF(AH!$U$5=1,INDEX('Live History'!$D$5:$D$3004,MATCH($A332,'Live History'!$D$5:$D$3004,1)),INDEX('AH History'!$D$5:$GG$1380,$K332,AH!$U$10+2))),NA()),NA())</f>
        <v/>
      </c>
      <c r="H332" s="266">
        <f>IFERROR(IF(ISNUMBER($A332),IF(AND(AH!$U$12=1,327+1=AH!$U$6),IF(AH!$U$4=0,"unavailable",INDEX('Market Data'!$AP$5:$AP$66,AH!$U$4)),IF(AH!$U$5=1,INDEX('Live History'!$H$5:$H$3004,MATCH($A332,'Live History'!$G$5:$G$3004,1)),INDEX('AH History'!$B$5:$B$1380,$K332))),NA()),NA())</f>
        <v/>
      </c>
      <c r="I332" s="34">
        <f>IFERROR(IF(ISNUMBER($A332),IF(AND(AH!$U$12=1,327+1=AH!$U$6),TODAY(),IF(AH!$U$5=1,INDEX('Live History'!$G$5:$G$3004,MATCH($A332,'Live History'!$G$5:$G$3004,1)),INDEX('AH History'!$C$5:$C$1380,$K332))),NA()),NA())</f>
        <v/>
      </c>
      <c r="J332" s="32">
        <f>IFERROR(IF(AND($F332&gt;0,$H332&gt;0,$A332-$G332&lt;=10,$A332-$I332&lt;=5,$G332&gt;0,$I332&gt;0),$F332*$H332,NA()),NA())</f>
        <v/>
      </c>
      <c r="K332" s="15">
        <f>IF($A332="","",IF(AH!$U$5=1,IFERROR(MATCH($A332,'Live History'!$A$5:$A$3004,0),0),AH!$U$7+327))</f>
        <v/>
      </c>
      <c r="L332" s="15">
        <f>IF(ISNUMBER(A332),TEXT(A332,"dd-mmm-yy"),"")</f>
        <v/>
      </c>
    </row>
    <row r="333">
      <c r="A333" s="14">
        <f>IF(OR(AH!$U$4=0,328+1&gt;AH!$U$6,AND(AH!$M$5="Bloomberg",AH!$U$5=0)),"",IFERROR(IF(AND(AH!$U$12=1,328+1=AH!$U$6),TODAY(),IF(AH!$U$5=1,INDEX('Live History'!$A$5:$A$3004,AH!$U$7+328),INDEX('AH History'!$A$5:$A$1380,AH!$U$7+328))),""))</f>
        <v/>
      </c>
      <c r="B333" s="33">
        <f>IFERROR(IF(AH!$U$11=1,NA(),$J333/$E333-1),NA())</f>
        <v/>
      </c>
      <c r="C333" s="269">
        <f>IFERROR(100*$E333/$E$5,NA())</f>
        <v/>
      </c>
      <c r="D333" s="269">
        <f>IFERROR(100*$J333/$J$5,NA())</f>
        <v/>
      </c>
      <c r="E333" s="32">
        <f>IFERROR(IF(AND(ISNUMBER($A333),N(IF(AND(AH!$U$12=1,328+1=AH!$U$6),IF(AH!$U$4=0,"unavailable",INDEX('Market Data'!$AN$5:$AN$66,AH!$U$4)),IF(AH!$U$5=1,INDEX('Live History'!$B$5:$B$3004,$K333),INDEX('AH History'!$D$5:$GG$1380,$K333,AH!$U$10))))&gt;0),IF(AND(AH!$U$12=1,328+1=AH!$U$6),IF(AH!$U$4=0,"unavailable",INDEX('Market Data'!$AN$5:$AN$66,AH!$U$4)),IF(AH!$U$5=1,INDEX('Live History'!$B$5:$B$3004,$K333),INDEX('AH History'!$D$5:$GG$1380,$K333,AH!$U$10))),NA()),NA())</f>
        <v/>
      </c>
      <c r="F333" s="32">
        <f>IFERROR(IF(ISNUMBER($A333),IF(AND(AH!$U$12=1,328+1=AH!$U$6),IF(AH!$U$4=0,"unavailable",INDEX('Market Data'!$AO$5:$AO$66,AH!$U$4)),IF(AH!$U$5=1,INDEX('Live History'!$E$5:$E$3004,MATCH($A333,'Live History'!$D$5:$D$3004,1)),INDEX('AH History'!$D$5:$GG$1380,$K333,AH!$U$10+1))),NA()),NA())</f>
        <v/>
      </c>
      <c r="G333" s="34">
        <f>IFERROR(IF(ISNUMBER($A333),IF(AND(AH!$U$12=1,328+1=AH!$U$6),IF(AH!$U$4=0,"unavailable",INDEX('Market Data'!$AK$5:$AK$66,AH!$U$4)),IF(AH!$U$5=1,INDEX('Live History'!$D$5:$D$3004,MATCH($A333,'Live History'!$D$5:$D$3004,1)),INDEX('AH History'!$D$5:$GG$1380,$K333,AH!$U$10+2))),NA()),NA())</f>
        <v/>
      </c>
      <c r="H333" s="266">
        <f>IFERROR(IF(ISNUMBER($A333),IF(AND(AH!$U$12=1,328+1=AH!$U$6),IF(AH!$U$4=0,"unavailable",INDEX('Market Data'!$AP$5:$AP$66,AH!$U$4)),IF(AH!$U$5=1,INDEX('Live History'!$H$5:$H$3004,MATCH($A333,'Live History'!$G$5:$G$3004,1)),INDEX('AH History'!$B$5:$B$1380,$K333))),NA()),NA())</f>
        <v/>
      </c>
      <c r="I333" s="34">
        <f>IFERROR(IF(ISNUMBER($A333),IF(AND(AH!$U$12=1,328+1=AH!$U$6),TODAY(),IF(AH!$U$5=1,INDEX('Live History'!$G$5:$G$3004,MATCH($A333,'Live History'!$G$5:$G$3004,1)),INDEX('AH History'!$C$5:$C$1380,$K333))),NA()),NA())</f>
        <v/>
      </c>
      <c r="J333" s="32">
        <f>IFERROR(IF(AND($F333&gt;0,$H333&gt;0,$A333-$G333&lt;=10,$A333-$I333&lt;=5,$G333&gt;0,$I333&gt;0),$F333*$H333,NA()),NA())</f>
        <v/>
      </c>
      <c r="K333" s="15">
        <f>IF($A333="","",IF(AH!$U$5=1,IFERROR(MATCH($A333,'Live History'!$A$5:$A$3004,0),0),AH!$U$7+328))</f>
        <v/>
      </c>
      <c r="L333" s="15">
        <f>IF(ISNUMBER(A333),TEXT(A333,"dd-mmm-yy"),"")</f>
        <v/>
      </c>
    </row>
    <row r="334">
      <c r="A334" s="14">
        <f>IF(OR(AH!$U$4=0,329+1&gt;AH!$U$6,AND(AH!$M$5="Bloomberg",AH!$U$5=0)),"",IFERROR(IF(AND(AH!$U$12=1,329+1=AH!$U$6),TODAY(),IF(AH!$U$5=1,INDEX('Live History'!$A$5:$A$3004,AH!$U$7+329),INDEX('AH History'!$A$5:$A$1380,AH!$U$7+329))),""))</f>
        <v/>
      </c>
      <c r="B334" s="33">
        <f>IFERROR(IF(AH!$U$11=1,NA(),$J334/$E334-1),NA())</f>
        <v/>
      </c>
      <c r="C334" s="269">
        <f>IFERROR(100*$E334/$E$5,NA())</f>
        <v/>
      </c>
      <c r="D334" s="269">
        <f>IFERROR(100*$J334/$J$5,NA())</f>
        <v/>
      </c>
      <c r="E334" s="32">
        <f>IFERROR(IF(AND(ISNUMBER($A334),N(IF(AND(AH!$U$12=1,329+1=AH!$U$6),IF(AH!$U$4=0,"unavailable",INDEX('Market Data'!$AN$5:$AN$66,AH!$U$4)),IF(AH!$U$5=1,INDEX('Live History'!$B$5:$B$3004,$K334),INDEX('AH History'!$D$5:$GG$1380,$K334,AH!$U$10))))&gt;0),IF(AND(AH!$U$12=1,329+1=AH!$U$6),IF(AH!$U$4=0,"unavailable",INDEX('Market Data'!$AN$5:$AN$66,AH!$U$4)),IF(AH!$U$5=1,INDEX('Live History'!$B$5:$B$3004,$K334),INDEX('AH History'!$D$5:$GG$1380,$K334,AH!$U$10))),NA()),NA())</f>
        <v/>
      </c>
      <c r="F334" s="32">
        <f>IFERROR(IF(ISNUMBER($A334),IF(AND(AH!$U$12=1,329+1=AH!$U$6),IF(AH!$U$4=0,"unavailable",INDEX('Market Data'!$AO$5:$AO$66,AH!$U$4)),IF(AH!$U$5=1,INDEX('Live History'!$E$5:$E$3004,MATCH($A334,'Live History'!$D$5:$D$3004,1)),INDEX('AH History'!$D$5:$GG$1380,$K334,AH!$U$10+1))),NA()),NA())</f>
        <v/>
      </c>
      <c r="G334" s="34">
        <f>IFERROR(IF(ISNUMBER($A334),IF(AND(AH!$U$12=1,329+1=AH!$U$6),IF(AH!$U$4=0,"unavailable",INDEX('Market Data'!$AK$5:$AK$66,AH!$U$4)),IF(AH!$U$5=1,INDEX('Live History'!$D$5:$D$3004,MATCH($A334,'Live History'!$D$5:$D$3004,1)),INDEX('AH History'!$D$5:$GG$1380,$K334,AH!$U$10+2))),NA()),NA())</f>
        <v/>
      </c>
      <c r="H334" s="266">
        <f>IFERROR(IF(ISNUMBER($A334),IF(AND(AH!$U$12=1,329+1=AH!$U$6),IF(AH!$U$4=0,"unavailable",INDEX('Market Data'!$AP$5:$AP$66,AH!$U$4)),IF(AH!$U$5=1,INDEX('Live History'!$H$5:$H$3004,MATCH($A334,'Live History'!$G$5:$G$3004,1)),INDEX('AH History'!$B$5:$B$1380,$K334))),NA()),NA())</f>
        <v/>
      </c>
      <c r="I334" s="34">
        <f>IFERROR(IF(ISNUMBER($A334),IF(AND(AH!$U$12=1,329+1=AH!$U$6),TODAY(),IF(AH!$U$5=1,INDEX('Live History'!$G$5:$G$3004,MATCH($A334,'Live History'!$G$5:$G$3004,1)),INDEX('AH History'!$C$5:$C$1380,$K334))),NA()),NA())</f>
        <v/>
      </c>
      <c r="J334" s="32">
        <f>IFERROR(IF(AND($F334&gt;0,$H334&gt;0,$A334-$G334&lt;=10,$A334-$I334&lt;=5,$G334&gt;0,$I334&gt;0),$F334*$H334,NA()),NA())</f>
        <v/>
      </c>
      <c r="K334" s="15">
        <f>IF($A334="","",IF(AH!$U$5=1,IFERROR(MATCH($A334,'Live History'!$A$5:$A$3004,0),0),AH!$U$7+329))</f>
        <v/>
      </c>
      <c r="L334" s="15">
        <f>IF(ISNUMBER(A334),TEXT(A334,"dd-mmm-yy"),"")</f>
        <v/>
      </c>
    </row>
    <row r="335">
      <c r="A335" s="14">
        <f>IF(OR(AH!$U$4=0,330+1&gt;AH!$U$6,AND(AH!$M$5="Bloomberg",AH!$U$5=0)),"",IFERROR(IF(AND(AH!$U$12=1,330+1=AH!$U$6),TODAY(),IF(AH!$U$5=1,INDEX('Live History'!$A$5:$A$3004,AH!$U$7+330),INDEX('AH History'!$A$5:$A$1380,AH!$U$7+330))),""))</f>
        <v/>
      </c>
      <c r="B335" s="33">
        <f>IFERROR(IF(AH!$U$11=1,NA(),$J335/$E335-1),NA())</f>
        <v/>
      </c>
      <c r="C335" s="269">
        <f>IFERROR(100*$E335/$E$5,NA())</f>
        <v/>
      </c>
      <c r="D335" s="269">
        <f>IFERROR(100*$J335/$J$5,NA())</f>
        <v/>
      </c>
      <c r="E335" s="32">
        <f>IFERROR(IF(AND(ISNUMBER($A335),N(IF(AND(AH!$U$12=1,330+1=AH!$U$6),IF(AH!$U$4=0,"unavailable",INDEX('Market Data'!$AN$5:$AN$66,AH!$U$4)),IF(AH!$U$5=1,INDEX('Live History'!$B$5:$B$3004,$K335),INDEX('AH History'!$D$5:$GG$1380,$K335,AH!$U$10))))&gt;0),IF(AND(AH!$U$12=1,330+1=AH!$U$6),IF(AH!$U$4=0,"unavailable",INDEX('Market Data'!$AN$5:$AN$66,AH!$U$4)),IF(AH!$U$5=1,INDEX('Live History'!$B$5:$B$3004,$K335),INDEX('AH History'!$D$5:$GG$1380,$K335,AH!$U$10))),NA()),NA())</f>
        <v/>
      </c>
      <c r="F335" s="32">
        <f>IFERROR(IF(ISNUMBER($A335),IF(AND(AH!$U$12=1,330+1=AH!$U$6),IF(AH!$U$4=0,"unavailable",INDEX('Market Data'!$AO$5:$AO$66,AH!$U$4)),IF(AH!$U$5=1,INDEX('Live History'!$E$5:$E$3004,MATCH($A335,'Live History'!$D$5:$D$3004,1)),INDEX('AH History'!$D$5:$GG$1380,$K335,AH!$U$10+1))),NA()),NA())</f>
        <v/>
      </c>
      <c r="G335" s="34">
        <f>IFERROR(IF(ISNUMBER($A335),IF(AND(AH!$U$12=1,330+1=AH!$U$6),IF(AH!$U$4=0,"unavailable",INDEX('Market Data'!$AK$5:$AK$66,AH!$U$4)),IF(AH!$U$5=1,INDEX('Live History'!$D$5:$D$3004,MATCH($A335,'Live History'!$D$5:$D$3004,1)),INDEX('AH History'!$D$5:$GG$1380,$K335,AH!$U$10+2))),NA()),NA())</f>
        <v/>
      </c>
      <c r="H335" s="266">
        <f>IFERROR(IF(ISNUMBER($A335),IF(AND(AH!$U$12=1,330+1=AH!$U$6),IF(AH!$U$4=0,"unavailable",INDEX('Market Data'!$AP$5:$AP$66,AH!$U$4)),IF(AH!$U$5=1,INDEX('Live History'!$H$5:$H$3004,MATCH($A335,'Live History'!$G$5:$G$3004,1)),INDEX('AH History'!$B$5:$B$1380,$K335))),NA()),NA())</f>
        <v/>
      </c>
      <c r="I335" s="34">
        <f>IFERROR(IF(ISNUMBER($A335),IF(AND(AH!$U$12=1,330+1=AH!$U$6),TODAY(),IF(AH!$U$5=1,INDEX('Live History'!$G$5:$G$3004,MATCH($A335,'Live History'!$G$5:$G$3004,1)),INDEX('AH History'!$C$5:$C$1380,$K335))),NA()),NA())</f>
        <v/>
      </c>
      <c r="J335" s="32">
        <f>IFERROR(IF(AND($F335&gt;0,$H335&gt;0,$A335-$G335&lt;=10,$A335-$I335&lt;=5,$G335&gt;0,$I335&gt;0),$F335*$H335,NA()),NA())</f>
        <v/>
      </c>
      <c r="K335" s="15">
        <f>IF($A335="","",IF(AH!$U$5=1,IFERROR(MATCH($A335,'Live History'!$A$5:$A$3004,0),0),AH!$U$7+330))</f>
        <v/>
      </c>
      <c r="L335" s="15">
        <f>IF(ISNUMBER(A335),TEXT(A335,"dd-mmm-yy"),"")</f>
        <v/>
      </c>
    </row>
    <row r="336">
      <c r="A336" s="14">
        <f>IF(OR(AH!$U$4=0,331+1&gt;AH!$U$6,AND(AH!$M$5="Bloomberg",AH!$U$5=0)),"",IFERROR(IF(AND(AH!$U$12=1,331+1=AH!$U$6),TODAY(),IF(AH!$U$5=1,INDEX('Live History'!$A$5:$A$3004,AH!$U$7+331),INDEX('AH History'!$A$5:$A$1380,AH!$U$7+331))),""))</f>
        <v/>
      </c>
      <c r="B336" s="33">
        <f>IFERROR(IF(AH!$U$11=1,NA(),$J336/$E336-1),NA())</f>
        <v/>
      </c>
      <c r="C336" s="269">
        <f>IFERROR(100*$E336/$E$5,NA())</f>
        <v/>
      </c>
      <c r="D336" s="269">
        <f>IFERROR(100*$J336/$J$5,NA())</f>
        <v/>
      </c>
      <c r="E336" s="32">
        <f>IFERROR(IF(AND(ISNUMBER($A336),N(IF(AND(AH!$U$12=1,331+1=AH!$U$6),IF(AH!$U$4=0,"unavailable",INDEX('Market Data'!$AN$5:$AN$66,AH!$U$4)),IF(AH!$U$5=1,INDEX('Live History'!$B$5:$B$3004,$K336),INDEX('AH History'!$D$5:$GG$1380,$K336,AH!$U$10))))&gt;0),IF(AND(AH!$U$12=1,331+1=AH!$U$6),IF(AH!$U$4=0,"unavailable",INDEX('Market Data'!$AN$5:$AN$66,AH!$U$4)),IF(AH!$U$5=1,INDEX('Live History'!$B$5:$B$3004,$K336),INDEX('AH History'!$D$5:$GG$1380,$K336,AH!$U$10))),NA()),NA())</f>
        <v/>
      </c>
      <c r="F336" s="32">
        <f>IFERROR(IF(ISNUMBER($A336),IF(AND(AH!$U$12=1,331+1=AH!$U$6),IF(AH!$U$4=0,"unavailable",INDEX('Market Data'!$AO$5:$AO$66,AH!$U$4)),IF(AH!$U$5=1,INDEX('Live History'!$E$5:$E$3004,MATCH($A336,'Live History'!$D$5:$D$3004,1)),INDEX('AH History'!$D$5:$GG$1380,$K336,AH!$U$10+1))),NA()),NA())</f>
        <v/>
      </c>
      <c r="G336" s="34">
        <f>IFERROR(IF(ISNUMBER($A336),IF(AND(AH!$U$12=1,331+1=AH!$U$6),IF(AH!$U$4=0,"unavailable",INDEX('Market Data'!$AK$5:$AK$66,AH!$U$4)),IF(AH!$U$5=1,INDEX('Live History'!$D$5:$D$3004,MATCH($A336,'Live History'!$D$5:$D$3004,1)),INDEX('AH History'!$D$5:$GG$1380,$K336,AH!$U$10+2))),NA()),NA())</f>
        <v/>
      </c>
      <c r="H336" s="266">
        <f>IFERROR(IF(ISNUMBER($A336),IF(AND(AH!$U$12=1,331+1=AH!$U$6),IF(AH!$U$4=0,"unavailable",INDEX('Market Data'!$AP$5:$AP$66,AH!$U$4)),IF(AH!$U$5=1,INDEX('Live History'!$H$5:$H$3004,MATCH($A336,'Live History'!$G$5:$G$3004,1)),INDEX('AH History'!$B$5:$B$1380,$K336))),NA()),NA())</f>
        <v/>
      </c>
      <c r="I336" s="34">
        <f>IFERROR(IF(ISNUMBER($A336),IF(AND(AH!$U$12=1,331+1=AH!$U$6),TODAY(),IF(AH!$U$5=1,INDEX('Live History'!$G$5:$G$3004,MATCH($A336,'Live History'!$G$5:$G$3004,1)),INDEX('AH History'!$C$5:$C$1380,$K336))),NA()),NA())</f>
        <v/>
      </c>
      <c r="J336" s="32">
        <f>IFERROR(IF(AND($F336&gt;0,$H336&gt;0,$A336-$G336&lt;=10,$A336-$I336&lt;=5,$G336&gt;0,$I336&gt;0),$F336*$H336,NA()),NA())</f>
        <v/>
      </c>
      <c r="K336" s="15">
        <f>IF($A336="","",IF(AH!$U$5=1,IFERROR(MATCH($A336,'Live History'!$A$5:$A$3004,0),0),AH!$U$7+331))</f>
        <v/>
      </c>
      <c r="L336" s="15">
        <f>IF(ISNUMBER(A336),TEXT(A336,"dd-mmm-yy"),"")</f>
        <v/>
      </c>
    </row>
    <row r="337">
      <c r="A337" s="14">
        <f>IF(OR(AH!$U$4=0,332+1&gt;AH!$U$6,AND(AH!$M$5="Bloomberg",AH!$U$5=0)),"",IFERROR(IF(AND(AH!$U$12=1,332+1=AH!$U$6),TODAY(),IF(AH!$U$5=1,INDEX('Live History'!$A$5:$A$3004,AH!$U$7+332),INDEX('AH History'!$A$5:$A$1380,AH!$U$7+332))),""))</f>
        <v/>
      </c>
      <c r="B337" s="33">
        <f>IFERROR(IF(AH!$U$11=1,NA(),$J337/$E337-1),NA())</f>
        <v/>
      </c>
      <c r="C337" s="269">
        <f>IFERROR(100*$E337/$E$5,NA())</f>
        <v/>
      </c>
      <c r="D337" s="269">
        <f>IFERROR(100*$J337/$J$5,NA())</f>
        <v/>
      </c>
      <c r="E337" s="32">
        <f>IFERROR(IF(AND(ISNUMBER($A337),N(IF(AND(AH!$U$12=1,332+1=AH!$U$6),IF(AH!$U$4=0,"unavailable",INDEX('Market Data'!$AN$5:$AN$66,AH!$U$4)),IF(AH!$U$5=1,INDEX('Live History'!$B$5:$B$3004,$K337),INDEX('AH History'!$D$5:$GG$1380,$K337,AH!$U$10))))&gt;0),IF(AND(AH!$U$12=1,332+1=AH!$U$6),IF(AH!$U$4=0,"unavailable",INDEX('Market Data'!$AN$5:$AN$66,AH!$U$4)),IF(AH!$U$5=1,INDEX('Live History'!$B$5:$B$3004,$K337),INDEX('AH History'!$D$5:$GG$1380,$K337,AH!$U$10))),NA()),NA())</f>
        <v/>
      </c>
      <c r="F337" s="32">
        <f>IFERROR(IF(ISNUMBER($A337),IF(AND(AH!$U$12=1,332+1=AH!$U$6),IF(AH!$U$4=0,"unavailable",INDEX('Market Data'!$AO$5:$AO$66,AH!$U$4)),IF(AH!$U$5=1,INDEX('Live History'!$E$5:$E$3004,MATCH($A337,'Live History'!$D$5:$D$3004,1)),INDEX('AH History'!$D$5:$GG$1380,$K337,AH!$U$10+1))),NA()),NA())</f>
        <v/>
      </c>
      <c r="G337" s="34">
        <f>IFERROR(IF(ISNUMBER($A337),IF(AND(AH!$U$12=1,332+1=AH!$U$6),IF(AH!$U$4=0,"unavailable",INDEX('Market Data'!$AK$5:$AK$66,AH!$U$4)),IF(AH!$U$5=1,INDEX('Live History'!$D$5:$D$3004,MATCH($A337,'Live History'!$D$5:$D$3004,1)),INDEX('AH History'!$D$5:$GG$1380,$K337,AH!$U$10+2))),NA()),NA())</f>
        <v/>
      </c>
      <c r="H337" s="266">
        <f>IFERROR(IF(ISNUMBER($A337),IF(AND(AH!$U$12=1,332+1=AH!$U$6),IF(AH!$U$4=0,"unavailable",INDEX('Market Data'!$AP$5:$AP$66,AH!$U$4)),IF(AH!$U$5=1,INDEX('Live History'!$H$5:$H$3004,MATCH($A337,'Live History'!$G$5:$G$3004,1)),INDEX('AH History'!$B$5:$B$1380,$K337))),NA()),NA())</f>
        <v/>
      </c>
      <c r="I337" s="34">
        <f>IFERROR(IF(ISNUMBER($A337),IF(AND(AH!$U$12=1,332+1=AH!$U$6),TODAY(),IF(AH!$U$5=1,INDEX('Live History'!$G$5:$G$3004,MATCH($A337,'Live History'!$G$5:$G$3004,1)),INDEX('AH History'!$C$5:$C$1380,$K337))),NA()),NA())</f>
        <v/>
      </c>
      <c r="J337" s="32">
        <f>IFERROR(IF(AND($F337&gt;0,$H337&gt;0,$A337-$G337&lt;=10,$A337-$I337&lt;=5,$G337&gt;0,$I337&gt;0),$F337*$H337,NA()),NA())</f>
        <v/>
      </c>
      <c r="K337" s="15">
        <f>IF($A337="","",IF(AH!$U$5=1,IFERROR(MATCH($A337,'Live History'!$A$5:$A$3004,0),0),AH!$U$7+332))</f>
        <v/>
      </c>
      <c r="L337" s="15">
        <f>IF(ISNUMBER(A337),TEXT(A337,"dd-mmm-yy"),"")</f>
        <v/>
      </c>
    </row>
    <row r="338">
      <c r="A338" s="14">
        <f>IF(OR(AH!$U$4=0,333+1&gt;AH!$U$6,AND(AH!$M$5="Bloomberg",AH!$U$5=0)),"",IFERROR(IF(AND(AH!$U$12=1,333+1=AH!$U$6),TODAY(),IF(AH!$U$5=1,INDEX('Live History'!$A$5:$A$3004,AH!$U$7+333),INDEX('AH History'!$A$5:$A$1380,AH!$U$7+333))),""))</f>
        <v/>
      </c>
      <c r="B338" s="33">
        <f>IFERROR(IF(AH!$U$11=1,NA(),$J338/$E338-1),NA())</f>
        <v/>
      </c>
      <c r="C338" s="269">
        <f>IFERROR(100*$E338/$E$5,NA())</f>
        <v/>
      </c>
      <c r="D338" s="269">
        <f>IFERROR(100*$J338/$J$5,NA())</f>
        <v/>
      </c>
      <c r="E338" s="32">
        <f>IFERROR(IF(AND(ISNUMBER($A338),N(IF(AND(AH!$U$12=1,333+1=AH!$U$6),IF(AH!$U$4=0,"unavailable",INDEX('Market Data'!$AN$5:$AN$66,AH!$U$4)),IF(AH!$U$5=1,INDEX('Live History'!$B$5:$B$3004,$K338),INDEX('AH History'!$D$5:$GG$1380,$K338,AH!$U$10))))&gt;0),IF(AND(AH!$U$12=1,333+1=AH!$U$6),IF(AH!$U$4=0,"unavailable",INDEX('Market Data'!$AN$5:$AN$66,AH!$U$4)),IF(AH!$U$5=1,INDEX('Live History'!$B$5:$B$3004,$K338),INDEX('AH History'!$D$5:$GG$1380,$K338,AH!$U$10))),NA()),NA())</f>
        <v/>
      </c>
      <c r="F338" s="32">
        <f>IFERROR(IF(ISNUMBER($A338),IF(AND(AH!$U$12=1,333+1=AH!$U$6),IF(AH!$U$4=0,"unavailable",INDEX('Market Data'!$AO$5:$AO$66,AH!$U$4)),IF(AH!$U$5=1,INDEX('Live History'!$E$5:$E$3004,MATCH($A338,'Live History'!$D$5:$D$3004,1)),INDEX('AH History'!$D$5:$GG$1380,$K338,AH!$U$10+1))),NA()),NA())</f>
        <v/>
      </c>
      <c r="G338" s="34">
        <f>IFERROR(IF(ISNUMBER($A338),IF(AND(AH!$U$12=1,333+1=AH!$U$6),IF(AH!$U$4=0,"unavailable",INDEX('Market Data'!$AK$5:$AK$66,AH!$U$4)),IF(AH!$U$5=1,INDEX('Live History'!$D$5:$D$3004,MATCH($A338,'Live History'!$D$5:$D$3004,1)),INDEX('AH History'!$D$5:$GG$1380,$K338,AH!$U$10+2))),NA()),NA())</f>
        <v/>
      </c>
      <c r="H338" s="266">
        <f>IFERROR(IF(ISNUMBER($A338),IF(AND(AH!$U$12=1,333+1=AH!$U$6),IF(AH!$U$4=0,"unavailable",INDEX('Market Data'!$AP$5:$AP$66,AH!$U$4)),IF(AH!$U$5=1,INDEX('Live History'!$H$5:$H$3004,MATCH($A338,'Live History'!$G$5:$G$3004,1)),INDEX('AH History'!$B$5:$B$1380,$K338))),NA()),NA())</f>
        <v/>
      </c>
      <c r="I338" s="34">
        <f>IFERROR(IF(ISNUMBER($A338),IF(AND(AH!$U$12=1,333+1=AH!$U$6),TODAY(),IF(AH!$U$5=1,INDEX('Live History'!$G$5:$G$3004,MATCH($A338,'Live History'!$G$5:$G$3004,1)),INDEX('AH History'!$C$5:$C$1380,$K338))),NA()),NA())</f>
        <v/>
      </c>
      <c r="J338" s="32">
        <f>IFERROR(IF(AND($F338&gt;0,$H338&gt;0,$A338-$G338&lt;=10,$A338-$I338&lt;=5,$G338&gt;0,$I338&gt;0),$F338*$H338,NA()),NA())</f>
        <v/>
      </c>
      <c r="K338" s="15">
        <f>IF($A338="","",IF(AH!$U$5=1,IFERROR(MATCH($A338,'Live History'!$A$5:$A$3004,0),0),AH!$U$7+333))</f>
        <v/>
      </c>
      <c r="L338" s="15">
        <f>IF(ISNUMBER(A338),TEXT(A338,"dd-mmm-yy"),"")</f>
        <v/>
      </c>
    </row>
    <row r="339">
      <c r="A339" s="14">
        <f>IF(OR(AH!$U$4=0,334+1&gt;AH!$U$6,AND(AH!$M$5="Bloomberg",AH!$U$5=0)),"",IFERROR(IF(AND(AH!$U$12=1,334+1=AH!$U$6),TODAY(),IF(AH!$U$5=1,INDEX('Live History'!$A$5:$A$3004,AH!$U$7+334),INDEX('AH History'!$A$5:$A$1380,AH!$U$7+334))),""))</f>
        <v/>
      </c>
      <c r="B339" s="33">
        <f>IFERROR(IF(AH!$U$11=1,NA(),$J339/$E339-1),NA())</f>
        <v/>
      </c>
      <c r="C339" s="269">
        <f>IFERROR(100*$E339/$E$5,NA())</f>
        <v/>
      </c>
      <c r="D339" s="269">
        <f>IFERROR(100*$J339/$J$5,NA())</f>
        <v/>
      </c>
      <c r="E339" s="32">
        <f>IFERROR(IF(AND(ISNUMBER($A339),N(IF(AND(AH!$U$12=1,334+1=AH!$U$6),IF(AH!$U$4=0,"unavailable",INDEX('Market Data'!$AN$5:$AN$66,AH!$U$4)),IF(AH!$U$5=1,INDEX('Live History'!$B$5:$B$3004,$K339),INDEX('AH History'!$D$5:$GG$1380,$K339,AH!$U$10))))&gt;0),IF(AND(AH!$U$12=1,334+1=AH!$U$6),IF(AH!$U$4=0,"unavailable",INDEX('Market Data'!$AN$5:$AN$66,AH!$U$4)),IF(AH!$U$5=1,INDEX('Live History'!$B$5:$B$3004,$K339),INDEX('AH History'!$D$5:$GG$1380,$K339,AH!$U$10))),NA()),NA())</f>
        <v/>
      </c>
      <c r="F339" s="32">
        <f>IFERROR(IF(ISNUMBER($A339),IF(AND(AH!$U$12=1,334+1=AH!$U$6),IF(AH!$U$4=0,"unavailable",INDEX('Market Data'!$AO$5:$AO$66,AH!$U$4)),IF(AH!$U$5=1,INDEX('Live History'!$E$5:$E$3004,MATCH($A339,'Live History'!$D$5:$D$3004,1)),INDEX('AH History'!$D$5:$GG$1380,$K339,AH!$U$10+1))),NA()),NA())</f>
        <v/>
      </c>
      <c r="G339" s="34">
        <f>IFERROR(IF(ISNUMBER($A339),IF(AND(AH!$U$12=1,334+1=AH!$U$6),IF(AH!$U$4=0,"unavailable",INDEX('Market Data'!$AK$5:$AK$66,AH!$U$4)),IF(AH!$U$5=1,INDEX('Live History'!$D$5:$D$3004,MATCH($A339,'Live History'!$D$5:$D$3004,1)),INDEX('AH History'!$D$5:$GG$1380,$K339,AH!$U$10+2))),NA()),NA())</f>
        <v/>
      </c>
      <c r="H339" s="266">
        <f>IFERROR(IF(ISNUMBER($A339),IF(AND(AH!$U$12=1,334+1=AH!$U$6),IF(AH!$U$4=0,"unavailable",INDEX('Market Data'!$AP$5:$AP$66,AH!$U$4)),IF(AH!$U$5=1,INDEX('Live History'!$H$5:$H$3004,MATCH($A339,'Live History'!$G$5:$G$3004,1)),INDEX('AH History'!$B$5:$B$1380,$K339))),NA()),NA())</f>
        <v/>
      </c>
      <c r="I339" s="34">
        <f>IFERROR(IF(ISNUMBER($A339),IF(AND(AH!$U$12=1,334+1=AH!$U$6),TODAY(),IF(AH!$U$5=1,INDEX('Live History'!$G$5:$G$3004,MATCH($A339,'Live History'!$G$5:$G$3004,1)),INDEX('AH History'!$C$5:$C$1380,$K339))),NA()),NA())</f>
        <v/>
      </c>
      <c r="J339" s="32">
        <f>IFERROR(IF(AND($F339&gt;0,$H339&gt;0,$A339-$G339&lt;=10,$A339-$I339&lt;=5,$G339&gt;0,$I339&gt;0),$F339*$H339,NA()),NA())</f>
        <v/>
      </c>
      <c r="K339" s="15">
        <f>IF($A339="","",IF(AH!$U$5=1,IFERROR(MATCH($A339,'Live History'!$A$5:$A$3004,0),0),AH!$U$7+334))</f>
        <v/>
      </c>
      <c r="L339" s="15">
        <f>IF(ISNUMBER(A339),TEXT(A339,"dd-mmm-yy"),"")</f>
        <v/>
      </c>
    </row>
    <row r="340">
      <c r="A340" s="14">
        <f>IF(OR(AH!$U$4=0,335+1&gt;AH!$U$6,AND(AH!$M$5="Bloomberg",AH!$U$5=0)),"",IFERROR(IF(AND(AH!$U$12=1,335+1=AH!$U$6),TODAY(),IF(AH!$U$5=1,INDEX('Live History'!$A$5:$A$3004,AH!$U$7+335),INDEX('AH History'!$A$5:$A$1380,AH!$U$7+335))),""))</f>
        <v/>
      </c>
      <c r="B340" s="33">
        <f>IFERROR(IF(AH!$U$11=1,NA(),$J340/$E340-1),NA())</f>
        <v/>
      </c>
      <c r="C340" s="269">
        <f>IFERROR(100*$E340/$E$5,NA())</f>
        <v/>
      </c>
      <c r="D340" s="269">
        <f>IFERROR(100*$J340/$J$5,NA())</f>
        <v/>
      </c>
      <c r="E340" s="32">
        <f>IFERROR(IF(AND(ISNUMBER($A340),N(IF(AND(AH!$U$12=1,335+1=AH!$U$6),IF(AH!$U$4=0,"unavailable",INDEX('Market Data'!$AN$5:$AN$66,AH!$U$4)),IF(AH!$U$5=1,INDEX('Live History'!$B$5:$B$3004,$K340),INDEX('AH History'!$D$5:$GG$1380,$K340,AH!$U$10))))&gt;0),IF(AND(AH!$U$12=1,335+1=AH!$U$6),IF(AH!$U$4=0,"unavailable",INDEX('Market Data'!$AN$5:$AN$66,AH!$U$4)),IF(AH!$U$5=1,INDEX('Live History'!$B$5:$B$3004,$K340),INDEX('AH History'!$D$5:$GG$1380,$K340,AH!$U$10))),NA()),NA())</f>
        <v/>
      </c>
      <c r="F340" s="32">
        <f>IFERROR(IF(ISNUMBER($A340),IF(AND(AH!$U$12=1,335+1=AH!$U$6),IF(AH!$U$4=0,"unavailable",INDEX('Market Data'!$AO$5:$AO$66,AH!$U$4)),IF(AH!$U$5=1,INDEX('Live History'!$E$5:$E$3004,MATCH($A340,'Live History'!$D$5:$D$3004,1)),INDEX('AH History'!$D$5:$GG$1380,$K340,AH!$U$10+1))),NA()),NA())</f>
        <v/>
      </c>
      <c r="G340" s="34">
        <f>IFERROR(IF(ISNUMBER($A340),IF(AND(AH!$U$12=1,335+1=AH!$U$6),IF(AH!$U$4=0,"unavailable",INDEX('Market Data'!$AK$5:$AK$66,AH!$U$4)),IF(AH!$U$5=1,INDEX('Live History'!$D$5:$D$3004,MATCH($A340,'Live History'!$D$5:$D$3004,1)),INDEX('AH History'!$D$5:$GG$1380,$K340,AH!$U$10+2))),NA()),NA())</f>
        <v/>
      </c>
      <c r="H340" s="266">
        <f>IFERROR(IF(ISNUMBER($A340),IF(AND(AH!$U$12=1,335+1=AH!$U$6),IF(AH!$U$4=0,"unavailable",INDEX('Market Data'!$AP$5:$AP$66,AH!$U$4)),IF(AH!$U$5=1,INDEX('Live History'!$H$5:$H$3004,MATCH($A340,'Live History'!$G$5:$G$3004,1)),INDEX('AH History'!$B$5:$B$1380,$K340))),NA()),NA())</f>
        <v/>
      </c>
      <c r="I340" s="34">
        <f>IFERROR(IF(ISNUMBER($A340),IF(AND(AH!$U$12=1,335+1=AH!$U$6),TODAY(),IF(AH!$U$5=1,INDEX('Live History'!$G$5:$G$3004,MATCH($A340,'Live History'!$G$5:$G$3004,1)),INDEX('AH History'!$C$5:$C$1380,$K340))),NA()),NA())</f>
        <v/>
      </c>
      <c r="J340" s="32">
        <f>IFERROR(IF(AND($F340&gt;0,$H340&gt;0,$A340-$G340&lt;=10,$A340-$I340&lt;=5,$G340&gt;0,$I340&gt;0),$F340*$H340,NA()),NA())</f>
        <v/>
      </c>
      <c r="K340" s="15">
        <f>IF($A340="","",IF(AH!$U$5=1,IFERROR(MATCH($A340,'Live History'!$A$5:$A$3004,0),0),AH!$U$7+335))</f>
        <v/>
      </c>
      <c r="L340" s="15">
        <f>IF(ISNUMBER(A340),TEXT(A340,"dd-mmm-yy"),"")</f>
        <v/>
      </c>
    </row>
    <row r="341">
      <c r="A341" s="14">
        <f>IF(OR(AH!$U$4=0,336+1&gt;AH!$U$6,AND(AH!$M$5="Bloomberg",AH!$U$5=0)),"",IFERROR(IF(AND(AH!$U$12=1,336+1=AH!$U$6),TODAY(),IF(AH!$U$5=1,INDEX('Live History'!$A$5:$A$3004,AH!$U$7+336),INDEX('AH History'!$A$5:$A$1380,AH!$U$7+336))),""))</f>
        <v/>
      </c>
      <c r="B341" s="33">
        <f>IFERROR(IF(AH!$U$11=1,NA(),$J341/$E341-1),NA())</f>
        <v/>
      </c>
      <c r="C341" s="269">
        <f>IFERROR(100*$E341/$E$5,NA())</f>
        <v/>
      </c>
      <c r="D341" s="269">
        <f>IFERROR(100*$J341/$J$5,NA())</f>
        <v/>
      </c>
      <c r="E341" s="32">
        <f>IFERROR(IF(AND(ISNUMBER($A341),N(IF(AND(AH!$U$12=1,336+1=AH!$U$6),IF(AH!$U$4=0,"unavailable",INDEX('Market Data'!$AN$5:$AN$66,AH!$U$4)),IF(AH!$U$5=1,INDEX('Live History'!$B$5:$B$3004,$K341),INDEX('AH History'!$D$5:$GG$1380,$K341,AH!$U$10))))&gt;0),IF(AND(AH!$U$12=1,336+1=AH!$U$6),IF(AH!$U$4=0,"unavailable",INDEX('Market Data'!$AN$5:$AN$66,AH!$U$4)),IF(AH!$U$5=1,INDEX('Live History'!$B$5:$B$3004,$K341),INDEX('AH History'!$D$5:$GG$1380,$K341,AH!$U$10))),NA()),NA())</f>
        <v/>
      </c>
      <c r="F341" s="32">
        <f>IFERROR(IF(ISNUMBER($A341),IF(AND(AH!$U$12=1,336+1=AH!$U$6),IF(AH!$U$4=0,"unavailable",INDEX('Market Data'!$AO$5:$AO$66,AH!$U$4)),IF(AH!$U$5=1,INDEX('Live History'!$E$5:$E$3004,MATCH($A341,'Live History'!$D$5:$D$3004,1)),INDEX('AH History'!$D$5:$GG$1380,$K341,AH!$U$10+1))),NA()),NA())</f>
        <v/>
      </c>
      <c r="G341" s="34">
        <f>IFERROR(IF(ISNUMBER($A341),IF(AND(AH!$U$12=1,336+1=AH!$U$6),IF(AH!$U$4=0,"unavailable",INDEX('Market Data'!$AK$5:$AK$66,AH!$U$4)),IF(AH!$U$5=1,INDEX('Live History'!$D$5:$D$3004,MATCH($A341,'Live History'!$D$5:$D$3004,1)),INDEX('AH History'!$D$5:$GG$1380,$K341,AH!$U$10+2))),NA()),NA())</f>
        <v/>
      </c>
      <c r="H341" s="266">
        <f>IFERROR(IF(ISNUMBER($A341),IF(AND(AH!$U$12=1,336+1=AH!$U$6),IF(AH!$U$4=0,"unavailable",INDEX('Market Data'!$AP$5:$AP$66,AH!$U$4)),IF(AH!$U$5=1,INDEX('Live History'!$H$5:$H$3004,MATCH($A341,'Live History'!$G$5:$G$3004,1)),INDEX('AH History'!$B$5:$B$1380,$K341))),NA()),NA())</f>
        <v/>
      </c>
      <c r="I341" s="34">
        <f>IFERROR(IF(ISNUMBER($A341),IF(AND(AH!$U$12=1,336+1=AH!$U$6),TODAY(),IF(AH!$U$5=1,INDEX('Live History'!$G$5:$G$3004,MATCH($A341,'Live History'!$G$5:$G$3004,1)),INDEX('AH History'!$C$5:$C$1380,$K341))),NA()),NA())</f>
        <v/>
      </c>
      <c r="J341" s="32">
        <f>IFERROR(IF(AND($F341&gt;0,$H341&gt;0,$A341-$G341&lt;=10,$A341-$I341&lt;=5,$G341&gt;0,$I341&gt;0),$F341*$H341,NA()),NA())</f>
        <v/>
      </c>
      <c r="K341" s="15">
        <f>IF($A341="","",IF(AH!$U$5=1,IFERROR(MATCH($A341,'Live History'!$A$5:$A$3004,0),0),AH!$U$7+336))</f>
        <v/>
      </c>
      <c r="L341" s="15">
        <f>IF(ISNUMBER(A341),TEXT(A341,"dd-mmm-yy"),"")</f>
        <v/>
      </c>
    </row>
    <row r="342">
      <c r="A342" s="14">
        <f>IF(OR(AH!$U$4=0,337+1&gt;AH!$U$6,AND(AH!$M$5="Bloomberg",AH!$U$5=0)),"",IFERROR(IF(AND(AH!$U$12=1,337+1=AH!$U$6),TODAY(),IF(AH!$U$5=1,INDEX('Live History'!$A$5:$A$3004,AH!$U$7+337),INDEX('AH History'!$A$5:$A$1380,AH!$U$7+337))),""))</f>
        <v/>
      </c>
      <c r="B342" s="33">
        <f>IFERROR(IF(AH!$U$11=1,NA(),$J342/$E342-1),NA())</f>
        <v/>
      </c>
      <c r="C342" s="269">
        <f>IFERROR(100*$E342/$E$5,NA())</f>
        <v/>
      </c>
      <c r="D342" s="269">
        <f>IFERROR(100*$J342/$J$5,NA())</f>
        <v/>
      </c>
      <c r="E342" s="32">
        <f>IFERROR(IF(AND(ISNUMBER($A342),N(IF(AND(AH!$U$12=1,337+1=AH!$U$6),IF(AH!$U$4=0,"unavailable",INDEX('Market Data'!$AN$5:$AN$66,AH!$U$4)),IF(AH!$U$5=1,INDEX('Live History'!$B$5:$B$3004,$K342),INDEX('AH History'!$D$5:$GG$1380,$K342,AH!$U$10))))&gt;0),IF(AND(AH!$U$12=1,337+1=AH!$U$6),IF(AH!$U$4=0,"unavailable",INDEX('Market Data'!$AN$5:$AN$66,AH!$U$4)),IF(AH!$U$5=1,INDEX('Live History'!$B$5:$B$3004,$K342),INDEX('AH History'!$D$5:$GG$1380,$K342,AH!$U$10))),NA()),NA())</f>
        <v/>
      </c>
      <c r="F342" s="32">
        <f>IFERROR(IF(ISNUMBER($A342),IF(AND(AH!$U$12=1,337+1=AH!$U$6),IF(AH!$U$4=0,"unavailable",INDEX('Market Data'!$AO$5:$AO$66,AH!$U$4)),IF(AH!$U$5=1,INDEX('Live History'!$E$5:$E$3004,MATCH($A342,'Live History'!$D$5:$D$3004,1)),INDEX('AH History'!$D$5:$GG$1380,$K342,AH!$U$10+1))),NA()),NA())</f>
        <v/>
      </c>
      <c r="G342" s="34">
        <f>IFERROR(IF(ISNUMBER($A342),IF(AND(AH!$U$12=1,337+1=AH!$U$6),IF(AH!$U$4=0,"unavailable",INDEX('Market Data'!$AK$5:$AK$66,AH!$U$4)),IF(AH!$U$5=1,INDEX('Live History'!$D$5:$D$3004,MATCH($A342,'Live History'!$D$5:$D$3004,1)),INDEX('AH History'!$D$5:$GG$1380,$K342,AH!$U$10+2))),NA()),NA())</f>
        <v/>
      </c>
      <c r="H342" s="266">
        <f>IFERROR(IF(ISNUMBER($A342),IF(AND(AH!$U$12=1,337+1=AH!$U$6),IF(AH!$U$4=0,"unavailable",INDEX('Market Data'!$AP$5:$AP$66,AH!$U$4)),IF(AH!$U$5=1,INDEX('Live History'!$H$5:$H$3004,MATCH($A342,'Live History'!$G$5:$G$3004,1)),INDEX('AH History'!$B$5:$B$1380,$K342))),NA()),NA())</f>
        <v/>
      </c>
      <c r="I342" s="34">
        <f>IFERROR(IF(ISNUMBER($A342),IF(AND(AH!$U$12=1,337+1=AH!$U$6),TODAY(),IF(AH!$U$5=1,INDEX('Live History'!$G$5:$G$3004,MATCH($A342,'Live History'!$G$5:$G$3004,1)),INDEX('AH History'!$C$5:$C$1380,$K342))),NA()),NA())</f>
        <v/>
      </c>
      <c r="J342" s="32">
        <f>IFERROR(IF(AND($F342&gt;0,$H342&gt;0,$A342-$G342&lt;=10,$A342-$I342&lt;=5,$G342&gt;0,$I342&gt;0),$F342*$H342,NA()),NA())</f>
        <v/>
      </c>
      <c r="K342" s="15">
        <f>IF($A342="","",IF(AH!$U$5=1,IFERROR(MATCH($A342,'Live History'!$A$5:$A$3004,0),0),AH!$U$7+337))</f>
        <v/>
      </c>
      <c r="L342" s="15">
        <f>IF(ISNUMBER(A342),TEXT(A342,"dd-mmm-yy"),"")</f>
        <v/>
      </c>
    </row>
    <row r="343">
      <c r="A343" s="14">
        <f>IF(OR(AH!$U$4=0,338+1&gt;AH!$U$6,AND(AH!$M$5="Bloomberg",AH!$U$5=0)),"",IFERROR(IF(AND(AH!$U$12=1,338+1=AH!$U$6),TODAY(),IF(AH!$U$5=1,INDEX('Live History'!$A$5:$A$3004,AH!$U$7+338),INDEX('AH History'!$A$5:$A$1380,AH!$U$7+338))),""))</f>
        <v/>
      </c>
      <c r="B343" s="33">
        <f>IFERROR(IF(AH!$U$11=1,NA(),$J343/$E343-1),NA())</f>
        <v/>
      </c>
      <c r="C343" s="269">
        <f>IFERROR(100*$E343/$E$5,NA())</f>
        <v/>
      </c>
      <c r="D343" s="269">
        <f>IFERROR(100*$J343/$J$5,NA())</f>
        <v/>
      </c>
      <c r="E343" s="32">
        <f>IFERROR(IF(AND(ISNUMBER($A343),N(IF(AND(AH!$U$12=1,338+1=AH!$U$6),IF(AH!$U$4=0,"unavailable",INDEX('Market Data'!$AN$5:$AN$66,AH!$U$4)),IF(AH!$U$5=1,INDEX('Live History'!$B$5:$B$3004,$K343),INDEX('AH History'!$D$5:$GG$1380,$K343,AH!$U$10))))&gt;0),IF(AND(AH!$U$12=1,338+1=AH!$U$6),IF(AH!$U$4=0,"unavailable",INDEX('Market Data'!$AN$5:$AN$66,AH!$U$4)),IF(AH!$U$5=1,INDEX('Live History'!$B$5:$B$3004,$K343),INDEX('AH History'!$D$5:$GG$1380,$K343,AH!$U$10))),NA()),NA())</f>
        <v/>
      </c>
      <c r="F343" s="32">
        <f>IFERROR(IF(ISNUMBER($A343),IF(AND(AH!$U$12=1,338+1=AH!$U$6),IF(AH!$U$4=0,"unavailable",INDEX('Market Data'!$AO$5:$AO$66,AH!$U$4)),IF(AH!$U$5=1,INDEX('Live History'!$E$5:$E$3004,MATCH($A343,'Live History'!$D$5:$D$3004,1)),INDEX('AH History'!$D$5:$GG$1380,$K343,AH!$U$10+1))),NA()),NA())</f>
        <v/>
      </c>
      <c r="G343" s="34">
        <f>IFERROR(IF(ISNUMBER($A343),IF(AND(AH!$U$12=1,338+1=AH!$U$6),IF(AH!$U$4=0,"unavailable",INDEX('Market Data'!$AK$5:$AK$66,AH!$U$4)),IF(AH!$U$5=1,INDEX('Live History'!$D$5:$D$3004,MATCH($A343,'Live History'!$D$5:$D$3004,1)),INDEX('AH History'!$D$5:$GG$1380,$K343,AH!$U$10+2))),NA()),NA())</f>
        <v/>
      </c>
      <c r="H343" s="266">
        <f>IFERROR(IF(ISNUMBER($A343),IF(AND(AH!$U$12=1,338+1=AH!$U$6),IF(AH!$U$4=0,"unavailable",INDEX('Market Data'!$AP$5:$AP$66,AH!$U$4)),IF(AH!$U$5=1,INDEX('Live History'!$H$5:$H$3004,MATCH($A343,'Live History'!$G$5:$G$3004,1)),INDEX('AH History'!$B$5:$B$1380,$K343))),NA()),NA())</f>
        <v/>
      </c>
      <c r="I343" s="34">
        <f>IFERROR(IF(ISNUMBER($A343),IF(AND(AH!$U$12=1,338+1=AH!$U$6),TODAY(),IF(AH!$U$5=1,INDEX('Live History'!$G$5:$G$3004,MATCH($A343,'Live History'!$G$5:$G$3004,1)),INDEX('AH History'!$C$5:$C$1380,$K343))),NA()),NA())</f>
        <v/>
      </c>
      <c r="J343" s="32">
        <f>IFERROR(IF(AND($F343&gt;0,$H343&gt;0,$A343-$G343&lt;=10,$A343-$I343&lt;=5,$G343&gt;0,$I343&gt;0),$F343*$H343,NA()),NA())</f>
        <v/>
      </c>
      <c r="K343" s="15">
        <f>IF($A343="","",IF(AH!$U$5=1,IFERROR(MATCH($A343,'Live History'!$A$5:$A$3004,0),0),AH!$U$7+338))</f>
        <v/>
      </c>
      <c r="L343" s="15">
        <f>IF(ISNUMBER(A343),TEXT(A343,"dd-mmm-yy"),"")</f>
        <v/>
      </c>
    </row>
    <row r="344">
      <c r="A344" s="14">
        <f>IF(OR(AH!$U$4=0,339+1&gt;AH!$U$6,AND(AH!$M$5="Bloomberg",AH!$U$5=0)),"",IFERROR(IF(AND(AH!$U$12=1,339+1=AH!$U$6),TODAY(),IF(AH!$U$5=1,INDEX('Live History'!$A$5:$A$3004,AH!$U$7+339),INDEX('AH History'!$A$5:$A$1380,AH!$U$7+339))),""))</f>
        <v/>
      </c>
      <c r="B344" s="33">
        <f>IFERROR(IF(AH!$U$11=1,NA(),$J344/$E344-1),NA())</f>
        <v/>
      </c>
      <c r="C344" s="269">
        <f>IFERROR(100*$E344/$E$5,NA())</f>
        <v/>
      </c>
      <c r="D344" s="269">
        <f>IFERROR(100*$J344/$J$5,NA())</f>
        <v/>
      </c>
      <c r="E344" s="32">
        <f>IFERROR(IF(AND(ISNUMBER($A344),N(IF(AND(AH!$U$12=1,339+1=AH!$U$6),IF(AH!$U$4=0,"unavailable",INDEX('Market Data'!$AN$5:$AN$66,AH!$U$4)),IF(AH!$U$5=1,INDEX('Live History'!$B$5:$B$3004,$K344),INDEX('AH History'!$D$5:$GG$1380,$K344,AH!$U$10))))&gt;0),IF(AND(AH!$U$12=1,339+1=AH!$U$6),IF(AH!$U$4=0,"unavailable",INDEX('Market Data'!$AN$5:$AN$66,AH!$U$4)),IF(AH!$U$5=1,INDEX('Live History'!$B$5:$B$3004,$K344),INDEX('AH History'!$D$5:$GG$1380,$K344,AH!$U$10))),NA()),NA())</f>
        <v/>
      </c>
      <c r="F344" s="32">
        <f>IFERROR(IF(ISNUMBER($A344),IF(AND(AH!$U$12=1,339+1=AH!$U$6),IF(AH!$U$4=0,"unavailable",INDEX('Market Data'!$AO$5:$AO$66,AH!$U$4)),IF(AH!$U$5=1,INDEX('Live History'!$E$5:$E$3004,MATCH($A344,'Live History'!$D$5:$D$3004,1)),INDEX('AH History'!$D$5:$GG$1380,$K344,AH!$U$10+1))),NA()),NA())</f>
        <v/>
      </c>
      <c r="G344" s="34">
        <f>IFERROR(IF(ISNUMBER($A344),IF(AND(AH!$U$12=1,339+1=AH!$U$6),IF(AH!$U$4=0,"unavailable",INDEX('Market Data'!$AK$5:$AK$66,AH!$U$4)),IF(AH!$U$5=1,INDEX('Live History'!$D$5:$D$3004,MATCH($A344,'Live History'!$D$5:$D$3004,1)),INDEX('AH History'!$D$5:$GG$1380,$K344,AH!$U$10+2))),NA()),NA())</f>
        <v/>
      </c>
      <c r="H344" s="266">
        <f>IFERROR(IF(ISNUMBER($A344),IF(AND(AH!$U$12=1,339+1=AH!$U$6),IF(AH!$U$4=0,"unavailable",INDEX('Market Data'!$AP$5:$AP$66,AH!$U$4)),IF(AH!$U$5=1,INDEX('Live History'!$H$5:$H$3004,MATCH($A344,'Live History'!$G$5:$G$3004,1)),INDEX('AH History'!$B$5:$B$1380,$K344))),NA()),NA())</f>
        <v/>
      </c>
      <c r="I344" s="34">
        <f>IFERROR(IF(ISNUMBER($A344),IF(AND(AH!$U$12=1,339+1=AH!$U$6),TODAY(),IF(AH!$U$5=1,INDEX('Live History'!$G$5:$G$3004,MATCH($A344,'Live History'!$G$5:$G$3004,1)),INDEX('AH History'!$C$5:$C$1380,$K344))),NA()),NA())</f>
        <v/>
      </c>
      <c r="J344" s="32">
        <f>IFERROR(IF(AND($F344&gt;0,$H344&gt;0,$A344-$G344&lt;=10,$A344-$I344&lt;=5,$G344&gt;0,$I344&gt;0),$F344*$H344,NA()),NA())</f>
        <v/>
      </c>
      <c r="K344" s="15">
        <f>IF($A344="","",IF(AH!$U$5=1,IFERROR(MATCH($A344,'Live History'!$A$5:$A$3004,0),0),AH!$U$7+339))</f>
        <v/>
      </c>
      <c r="L344" s="15">
        <f>IF(ISNUMBER(A344),TEXT(A344,"dd-mmm-yy"),"")</f>
        <v/>
      </c>
    </row>
    <row r="345">
      <c r="A345" s="14">
        <f>IF(OR(AH!$U$4=0,340+1&gt;AH!$U$6,AND(AH!$M$5="Bloomberg",AH!$U$5=0)),"",IFERROR(IF(AND(AH!$U$12=1,340+1=AH!$U$6),TODAY(),IF(AH!$U$5=1,INDEX('Live History'!$A$5:$A$3004,AH!$U$7+340),INDEX('AH History'!$A$5:$A$1380,AH!$U$7+340))),""))</f>
        <v/>
      </c>
      <c r="B345" s="33">
        <f>IFERROR(IF(AH!$U$11=1,NA(),$J345/$E345-1),NA())</f>
        <v/>
      </c>
      <c r="C345" s="269">
        <f>IFERROR(100*$E345/$E$5,NA())</f>
        <v/>
      </c>
      <c r="D345" s="269">
        <f>IFERROR(100*$J345/$J$5,NA())</f>
        <v/>
      </c>
      <c r="E345" s="32">
        <f>IFERROR(IF(AND(ISNUMBER($A345),N(IF(AND(AH!$U$12=1,340+1=AH!$U$6),IF(AH!$U$4=0,"unavailable",INDEX('Market Data'!$AN$5:$AN$66,AH!$U$4)),IF(AH!$U$5=1,INDEX('Live History'!$B$5:$B$3004,$K345),INDEX('AH History'!$D$5:$GG$1380,$K345,AH!$U$10))))&gt;0),IF(AND(AH!$U$12=1,340+1=AH!$U$6),IF(AH!$U$4=0,"unavailable",INDEX('Market Data'!$AN$5:$AN$66,AH!$U$4)),IF(AH!$U$5=1,INDEX('Live History'!$B$5:$B$3004,$K345),INDEX('AH History'!$D$5:$GG$1380,$K345,AH!$U$10))),NA()),NA())</f>
        <v/>
      </c>
      <c r="F345" s="32">
        <f>IFERROR(IF(ISNUMBER($A345),IF(AND(AH!$U$12=1,340+1=AH!$U$6),IF(AH!$U$4=0,"unavailable",INDEX('Market Data'!$AO$5:$AO$66,AH!$U$4)),IF(AH!$U$5=1,INDEX('Live History'!$E$5:$E$3004,MATCH($A345,'Live History'!$D$5:$D$3004,1)),INDEX('AH History'!$D$5:$GG$1380,$K345,AH!$U$10+1))),NA()),NA())</f>
        <v/>
      </c>
      <c r="G345" s="34">
        <f>IFERROR(IF(ISNUMBER($A345),IF(AND(AH!$U$12=1,340+1=AH!$U$6),IF(AH!$U$4=0,"unavailable",INDEX('Market Data'!$AK$5:$AK$66,AH!$U$4)),IF(AH!$U$5=1,INDEX('Live History'!$D$5:$D$3004,MATCH($A345,'Live History'!$D$5:$D$3004,1)),INDEX('AH History'!$D$5:$GG$1380,$K345,AH!$U$10+2))),NA()),NA())</f>
        <v/>
      </c>
      <c r="H345" s="266">
        <f>IFERROR(IF(ISNUMBER($A345),IF(AND(AH!$U$12=1,340+1=AH!$U$6),IF(AH!$U$4=0,"unavailable",INDEX('Market Data'!$AP$5:$AP$66,AH!$U$4)),IF(AH!$U$5=1,INDEX('Live History'!$H$5:$H$3004,MATCH($A345,'Live History'!$G$5:$G$3004,1)),INDEX('AH History'!$B$5:$B$1380,$K345))),NA()),NA())</f>
        <v/>
      </c>
      <c r="I345" s="34">
        <f>IFERROR(IF(ISNUMBER($A345),IF(AND(AH!$U$12=1,340+1=AH!$U$6),TODAY(),IF(AH!$U$5=1,INDEX('Live History'!$G$5:$G$3004,MATCH($A345,'Live History'!$G$5:$G$3004,1)),INDEX('AH History'!$C$5:$C$1380,$K345))),NA()),NA())</f>
        <v/>
      </c>
      <c r="J345" s="32">
        <f>IFERROR(IF(AND($F345&gt;0,$H345&gt;0,$A345-$G345&lt;=10,$A345-$I345&lt;=5,$G345&gt;0,$I345&gt;0),$F345*$H345,NA()),NA())</f>
        <v/>
      </c>
      <c r="K345" s="15">
        <f>IF($A345="","",IF(AH!$U$5=1,IFERROR(MATCH($A345,'Live History'!$A$5:$A$3004,0),0),AH!$U$7+340))</f>
        <v/>
      </c>
      <c r="L345" s="15">
        <f>IF(ISNUMBER(A345),TEXT(A345,"dd-mmm-yy"),"")</f>
        <v/>
      </c>
    </row>
    <row r="346">
      <c r="A346" s="14">
        <f>IF(OR(AH!$U$4=0,341+1&gt;AH!$U$6,AND(AH!$M$5="Bloomberg",AH!$U$5=0)),"",IFERROR(IF(AND(AH!$U$12=1,341+1=AH!$U$6),TODAY(),IF(AH!$U$5=1,INDEX('Live History'!$A$5:$A$3004,AH!$U$7+341),INDEX('AH History'!$A$5:$A$1380,AH!$U$7+341))),""))</f>
        <v/>
      </c>
      <c r="B346" s="33">
        <f>IFERROR(IF(AH!$U$11=1,NA(),$J346/$E346-1),NA())</f>
        <v/>
      </c>
      <c r="C346" s="269">
        <f>IFERROR(100*$E346/$E$5,NA())</f>
        <v/>
      </c>
      <c r="D346" s="269">
        <f>IFERROR(100*$J346/$J$5,NA())</f>
        <v/>
      </c>
      <c r="E346" s="32">
        <f>IFERROR(IF(AND(ISNUMBER($A346),N(IF(AND(AH!$U$12=1,341+1=AH!$U$6),IF(AH!$U$4=0,"unavailable",INDEX('Market Data'!$AN$5:$AN$66,AH!$U$4)),IF(AH!$U$5=1,INDEX('Live History'!$B$5:$B$3004,$K346),INDEX('AH History'!$D$5:$GG$1380,$K346,AH!$U$10))))&gt;0),IF(AND(AH!$U$12=1,341+1=AH!$U$6),IF(AH!$U$4=0,"unavailable",INDEX('Market Data'!$AN$5:$AN$66,AH!$U$4)),IF(AH!$U$5=1,INDEX('Live History'!$B$5:$B$3004,$K346),INDEX('AH History'!$D$5:$GG$1380,$K346,AH!$U$10))),NA()),NA())</f>
        <v/>
      </c>
      <c r="F346" s="32">
        <f>IFERROR(IF(ISNUMBER($A346),IF(AND(AH!$U$12=1,341+1=AH!$U$6),IF(AH!$U$4=0,"unavailable",INDEX('Market Data'!$AO$5:$AO$66,AH!$U$4)),IF(AH!$U$5=1,INDEX('Live History'!$E$5:$E$3004,MATCH($A346,'Live History'!$D$5:$D$3004,1)),INDEX('AH History'!$D$5:$GG$1380,$K346,AH!$U$10+1))),NA()),NA())</f>
        <v/>
      </c>
      <c r="G346" s="34">
        <f>IFERROR(IF(ISNUMBER($A346),IF(AND(AH!$U$12=1,341+1=AH!$U$6),IF(AH!$U$4=0,"unavailable",INDEX('Market Data'!$AK$5:$AK$66,AH!$U$4)),IF(AH!$U$5=1,INDEX('Live History'!$D$5:$D$3004,MATCH($A346,'Live History'!$D$5:$D$3004,1)),INDEX('AH History'!$D$5:$GG$1380,$K346,AH!$U$10+2))),NA()),NA())</f>
        <v/>
      </c>
      <c r="H346" s="266">
        <f>IFERROR(IF(ISNUMBER($A346),IF(AND(AH!$U$12=1,341+1=AH!$U$6),IF(AH!$U$4=0,"unavailable",INDEX('Market Data'!$AP$5:$AP$66,AH!$U$4)),IF(AH!$U$5=1,INDEX('Live History'!$H$5:$H$3004,MATCH($A346,'Live History'!$G$5:$G$3004,1)),INDEX('AH History'!$B$5:$B$1380,$K346))),NA()),NA())</f>
        <v/>
      </c>
      <c r="I346" s="34">
        <f>IFERROR(IF(ISNUMBER($A346),IF(AND(AH!$U$12=1,341+1=AH!$U$6),TODAY(),IF(AH!$U$5=1,INDEX('Live History'!$G$5:$G$3004,MATCH($A346,'Live History'!$G$5:$G$3004,1)),INDEX('AH History'!$C$5:$C$1380,$K346))),NA()),NA())</f>
        <v/>
      </c>
      <c r="J346" s="32">
        <f>IFERROR(IF(AND($F346&gt;0,$H346&gt;0,$A346-$G346&lt;=10,$A346-$I346&lt;=5,$G346&gt;0,$I346&gt;0),$F346*$H346,NA()),NA())</f>
        <v/>
      </c>
      <c r="K346" s="15">
        <f>IF($A346="","",IF(AH!$U$5=1,IFERROR(MATCH($A346,'Live History'!$A$5:$A$3004,0),0),AH!$U$7+341))</f>
        <v/>
      </c>
      <c r="L346" s="15">
        <f>IF(ISNUMBER(A346),TEXT(A346,"dd-mmm-yy"),"")</f>
        <v/>
      </c>
    </row>
    <row r="347">
      <c r="A347" s="14">
        <f>IF(OR(AH!$U$4=0,342+1&gt;AH!$U$6,AND(AH!$M$5="Bloomberg",AH!$U$5=0)),"",IFERROR(IF(AND(AH!$U$12=1,342+1=AH!$U$6),TODAY(),IF(AH!$U$5=1,INDEX('Live History'!$A$5:$A$3004,AH!$U$7+342),INDEX('AH History'!$A$5:$A$1380,AH!$U$7+342))),""))</f>
        <v/>
      </c>
      <c r="B347" s="33">
        <f>IFERROR(IF(AH!$U$11=1,NA(),$J347/$E347-1),NA())</f>
        <v/>
      </c>
      <c r="C347" s="269">
        <f>IFERROR(100*$E347/$E$5,NA())</f>
        <v/>
      </c>
      <c r="D347" s="269">
        <f>IFERROR(100*$J347/$J$5,NA())</f>
        <v/>
      </c>
      <c r="E347" s="32">
        <f>IFERROR(IF(AND(ISNUMBER($A347),N(IF(AND(AH!$U$12=1,342+1=AH!$U$6),IF(AH!$U$4=0,"unavailable",INDEX('Market Data'!$AN$5:$AN$66,AH!$U$4)),IF(AH!$U$5=1,INDEX('Live History'!$B$5:$B$3004,$K347),INDEX('AH History'!$D$5:$GG$1380,$K347,AH!$U$10))))&gt;0),IF(AND(AH!$U$12=1,342+1=AH!$U$6),IF(AH!$U$4=0,"unavailable",INDEX('Market Data'!$AN$5:$AN$66,AH!$U$4)),IF(AH!$U$5=1,INDEX('Live History'!$B$5:$B$3004,$K347),INDEX('AH History'!$D$5:$GG$1380,$K347,AH!$U$10))),NA()),NA())</f>
        <v/>
      </c>
      <c r="F347" s="32">
        <f>IFERROR(IF(ISNUMBER($A347),IF(AND(AH!$U$12=1,342+1=AH!$U$6),IF(AH!$U$4=0,"unavailable",INDEX('Market Data'!$AO$5:$AO$66,AH!$U$4)),IF(AH!$U$5=1,INDEX('Live History'!$E$5:$E$3004,MATCH($A347,'Live History'!$D$5:$D$3004,1)),INDEX('AH History'!$D$5:$GG$1380,$K347,AH!$U$10+1))),NA()),NA())</f>
        <v/>
      </c>
      <c r="G347" s="34">
        <f>IFERROR(IF(ISNUMBER($A347),IF(AND(AH!$U$12=1,342+1=AH!$U$6),IF(AH!$U$4=0,"unavailable",INDEX('Market Data'!$AK$5:$AK$66,AH!$U$4)),IF(AH!$U$5=1,INDEX('Live History'!$D$5:$D$3004,MATCH($A347,'Live History'!$D$5:$D$3004,1)),INDEX('AH History'!$D$5:$GG$1380,$K347,AH!$U$10+2))),NA()),NA())</f>
        <v/>
      </c>
      <c r="H347" s="266">
        <f>IFERROR(IF(ISNUMBER($A347),IF(AND(AH!$U$12=1,342+1=AH!$U$6),IF(AH!$U$4=0,"unavailable",INDEX('Market Data'!$AP$5:$AP$66,AH!$U$4)),IF(AH!$U$5=1,INDEX('Live History'!$H$5:$H$3004,MATCH($A347,'Live History'!$G$5:$G$3004,1)),INDEX('AH History'!$B$5:$B$1380,$K347))),NA()),NA())</f>
        <v/>
      </c>
      <c r="I347" s="34">
        <f>IFERROR(IF(ISNUMBER($A347),IF(AND(AH!$U$12=1,342+1=AH!$U$6),TODAY(),IF(AH!$U$5=1,INDEX('Live History'!$G$5:$G$3004,MATCH($A347,'Live History'!$G$5:$G$3004,1)),INDEX('AH History'!$C$5:$C$1380,$K347))),NA()),NA())</f>
        <v/>
      </c>
      <c r="J347" s="32">
        <f>IFERROR(IF(AND($F347&gt;0,$H347&gt;0,$A347-$G347&lt;=10,$A347-$I347&lt;=5,$G347&gt;0,$I347&gt;0),$F347*$H347,NA()),NA())</f>
        <v/>
      </c>
      <c r="K347" s="15">
        <f>IF($A347="","",IF(AH!$U$5=1,IFERROR(MATCH($A347,'Live History'!$A$5:$A$3004,0),0),AH!$U$7+342))</f>
        <v/>
      </c>
      <c r="L347" s="15">
        <f>IF(ISNUMBER(A347),TEXT(A347,"dd-mmm-yy"),"")</f>
        <v/>
      </c>
    </row>
    <row r="348">
      <c r="A348" s="14">
        <f>IF(OR(AH!$U$4=0,343+1&gt;AH!$U$6,AND(AH!$M$5="Bloomberg",AH!$U$5=0)),"",IFERROR(IF(AND(AH!$U$12=1,343+1=AH!$U$6),TODAY(),IF(AH!$U$5=1,INDEX('Live History'!$A$5:$A$3004,AH!$U$7+343),INDEX('AH History'!$A$5:$A$1380,AH!$U$7+343))),""))</f>
        <v/>
      </c>
      <c r="B348" s="33">
        <f>IFERROR(IF(AH!$U$11=1,NA(),$J348/$E348-1),NA())</f>
        <v/>
      </c>
      <c r="C348" s="269">
        <f>IFERROR(100*$E348/$E$5,NA())</f>
        <v/>
      </c>
      <c r="D348" s="269">
        <f>IFERROR(100*$J348/$J$5,NA())</f>
        <v/>
      </c>
      <c r="E348" s="32">
        <f>IFERROR(IF(AND(ISNUMBER($A348),N(IF(AND(AH!$U$12=1,343+1=AH!$U$6),IF(AH!$U$4=0,"unavailable",INDEX('Market Data'!$AN$5:$AN$66,AH!$U$4)),IF(AH!$U$5=1,INDEX('Live History'!$B$5:$B$3004,$K348),INDEX('AH History'!$D$5:$GG$1380,$K348,AH!$U$10))))&gt;0),IF(AND(AH!$U$12=1,343+1=AH!$U$6),IF(AH!$U$4=0,"unavailable",INDEX('Market Data'!$AN$5:$AN$66,AH!$U$4)),IF(AH!$U$5=1,INDEX('Live History'!$B$5:$B$3004,$K348),INDEX('AH History'!$D$5:$GG$1380,$K348,AH!$U$10))),NA()),NA())</f>
        <v/>
      </c>
      <c r="F348" s="32">
        <f>IFERROR(IF(ISNUMBER($A348),IF(AND(AH!$U$12=1,343+1=AH!$U$6),IF(AH!$U$4=0,"unavailable",INDEX('Market Data'!$AO$5:$AO$66,AH!$U$4)),IF(AH!$U$5=1,INDEX('Live History'!$E$5:$E$3004,MATCH($A348,'Live History'!$D$5:$D$3004,1)),INDEX('AH History'!$D$5:$GG$1380,$K348,AH!$U$10+1))),NA()),NA())</f>
        <v/>
      </c>
      <c r="G348" s="34">
        <f>IFERROR(IF(ISNUMBER($A348),IF(AND(AH!$U$12=1,343+1=AH!$U$6),IF(AH!$U$4=0,"unavailable",INDEX('Market Data'!$AK$5:$AK$66,AH!$U$4)),IF(AH!$U$5=1,INDEX('Live History'!$D$5:$D$3004,MATCH($A348,'Live History'!$D$5:$D$3004,1)),INDEX('AH History'!$D$5:$GG$1380,$K348,AH!$U$10+2))),NA()),NA())</f>
        <v/>
      </c>
      <c r="H348" s="266">
        <f>IFERROR(IF(ISNUMBER($A348),IF(AND(AH!$U$12=1,343+1=AH!$U$6),IF(AH!$U$4=0,"unavailable",INDEX('Market Data'!$AP$5:$AP$66,AH!$U$4)),IF(AH!$U$5=1,INDEX('Live History'!$H$5:$H$3004,MATCH($A348,'Live History'!$G$5:$G$3004,1)),INDEX('AH History'!$B$5:$B$1380,$K348))),NA()),NA())</f>
        <v/>
      </c>
      <c r="I348" s="34">
        <f>IFERROR(IF(ISNUMBER($A348),IF(AND(AH!$U$12=1,343+1=AH!$U$6),TODAY(),IF(AH!$U$5=1,INDEX('Live History'!$G$5:$G$3004,MATCH($A348,'Live History'!$G$5:$G$3004,1)),INDEX('AH History'!$C$5:$C$1380,$K348))),NA()),NA())</f>
        <v/>
      </c>
      <c r="J348" s="32">
        <f>IFERROR(IF(AND($F348&gt;0,$H348&gt;0,$A348-$G348&lt;=10,$A348-$I348&lt;=5,$G348&gt;0,$I348&gt;0),$F348*$H348,NA()),NA())</f>
        <v/>
      </c>
      <c r="K348" s="15">
        <f>IF($A348="","",IF(AH!$U$5=1,IFERROR(MATCH($A348,'Live History'!$A$5:$A$3004,0),0),AH!$U$7+343))</f>
        <v/>
      </c>
      <c r="L348" s="15">
        <f>IF(ISNUMBER(A348),TEXT(A348,"dd-mmm-yy"),"")</f>
        <v/>
      </c>
    </row>
    <row r="349">
      <c r="A349" s="14">
        <f>IF(OR(AH!$U$4=0,344+1&gt;AH!$U$6,AND(AH!$M$5="Bloomberg",AH!$U$5=0)),"",IFERROR(IF(AND(AH!$U$12=1,344+1=AH!$U$6),TODAY(),IF(AH!$U$5=1,INDEX('Live History'!$A$5:$A$3004,AH!$U$7+344),INDEX('AH History'!$A$5:$A$1380,AH!$U$7+344))),""))</f>
        <v/>
      </c>
      <c r="B349" s="33">
        <f>IFERROR(IF(AH!$U$11=1,NA(),$J349/$E349-1),NA())</f>
        <v/>
      </c>
      <c r="C349" s="269">
        <f>IFERROR(100*$E349/$E$5,NA())</f>
        <v/>
      </c>
      <c r="D349" s="269">
        <f>IFERROR(100*$J349/$J$5,NA())</f>
        <v/>
      </c>
      <c r="E349" s="32">
        <f>IFERROR(IF(AND(ISNUMBER($A349),N(IF(AND(AH!$U$12=1,344+1=AH!$U$6),IF(AH!$U$4=0,"unavailable",INDEX('Market Data'!$AN$5:$AN$66,AH!$U$4)),IF(AH!$U$5=1,INDEX('Live History'!$B$5:$B$3004,$K349),INDEX('AH History'!$D$5:$GG$1380,$K349,AH!$U$10))))&gt;0),IF(AND(AH!$U$12=1,344+1=AH!$U$6),IF(AH!$U$4=0,"unavailable",INDEX('Market Data'!$AN$5:$AN$66,AH!$U$4)),IF(AH!$U$5=1,INDEX('Live History'!$B$5:$B$3004,$K349),INDEX('AH History'!$D$5:$GG$1380,$K349,AH!$U$10))),NA()),NA())</f>
        <v/>
      </c>
      <c r="F349" s="32">
        <f>IFERROR(IF(ISNUMBER($A349),IF(AND(AH!$U$12=1,344+1=AH!$U$6),IF(AH!$U$4=0,"unavailable",INDEX('Market Data'!$AO$5:$AO$66,AH!$U$4)),IF(AH!$U$5=1,INDEX('Live History'!$E$5:$E$3004,MATCH($A349,'Live History'!$D$5:$D$3004,1)),INDEX('AH History'!$D$5:$GG$1380,$K349,AH!$U$10+1))),NA()),NA())</f>
        <v/>
      </c>
      <c r="G349" s="34">
        <f>IFERROR(IF(ISNUMBER($A349),IF(AND(AH!$U$12=1,344+1=AH!$U$6),IF(AH!$U$4=0,"unavailable",INDEX('Market Data'!$AK$5:$AK$66,AH!$U$4)),IF(AH!$U$5=1,INDEX('Live History'!$D$5:$D$3004,MATCH($A349,'Live History'!$D$5:$D$3004,1)),INDEX('AH History'!$D$5:$GG$1380,$K349,AH!$U$10+2))),NA()),NA())</f>
        <v/>
      </c>
      <c r="H349" s="266">
        <f>IFERROR(IF(ISNUMBER($A349),IF(AND(AH!$U$12=1,344+1=AH!$U$6),IF(AH!$U$4=0,"unavailable",INDEX('Market Data'!$AP$5:$AP$66,AH!$U$4)),IF(AH!$U$5=1,INDEX('Live History'!$H$5:$H$3004,MATCH($A349,'Live History'!$G$5:$G$3004,1)),INDEX('AH History'!$B$5:$B$1380,$K349))),NA()),NA())</f>
        <v/>
      </c>
      <c r="I349" s="34">
        <f>IFERROR(IF(ISNUMBER($A349),IF(AND(AH!$U$12=1,344+1=AH!$U$6),TODAY(),IF(AH!$U$5=1,INDEX('Live History'!$G$5:$G$3004,MATCH($A349,'Live History'!$G$5:$G$3004,1)),INDEX('AH History'!$C$5:$C$1380,$K349))),NA()),NA())</f>
        <v/>
      </c>
      <c r="J349" s="32">
        <f>IFERROR(IF(AND($F349&gt;0,$H349&gt;0,$A349-$G349&lt;=10,$A349-$I349&lt;=5,$G349&gt;0,$I349&gt;0),$F349*$H349,NA()),NA())</f>
        <v/>
      </c>
      <c r="K349" s="15">
        <f>IF($A349="","",IF(AH!$U$5=1,IFERROR(MATCH($A349,'Live History'!$A$5:$A$3004,0),0),AH!$U$7+344))</f>
        <v/>
      </c>
      <c r="L349" s="15">
        <f>IF(ISNUMBER(A349),TEXT(A349,"dd-mmm-yy"),"")</f>
        <v/>
      </c>
    </row>
    <row r="350">
      <c r="A350" s="14">
        <f>IF(OR(AH!$U$4=0,345+1&gt;AH!$U$6,AND(AH!$M$5="Bloomberg",AH!$U$5=0)),"",IFERROR(IF(AND(AH!$U$12=1,345+1=AH!$U$6),TODAY(),IF(AH!$U$5=1,INDEX('Live History'!$A$5:$A$3004,AH!$U$7+345),INDEX('AH History'!$A$5:$A$1380,AH!$U$7+345))),""))</f>
        <v/>
      </c>
      <c r="B350" s="33">
        <f>IFERROR(IF(AH!$U$11=1,NA(),$J350/$E350-1),NA())</f>
        <v/>
      </c>
      <c r="C350" s="269">
        <f>IFERROR(100*$E350/$E$5,NA())</f>
        <v/>
      </c>
      <c r="D350" s="269">
        <f>IFERROR(100*$J350/$J$5,NA())</f>
        <v/>
      </c>
      <c r="E350" s="32">
        <f>IFERROR(IF(AND(ISNUMBER($A350),N(IF(AND(AH!$U$12=1,345+1=AH!$U$6),IF(AH!$U$4=0,"unavailable",INDEX('Market Data'!$AN$5:$AN$66,AH!$U$4)),IF(AH!$U$5=1,INDEX('Live History'!$B$5:$B$3004,$K350),INDEX('AH History'!$D$5:$GG$1380,$K350,AH!$U$10))))&gt;0),IF(AND(AH!$U$12=1,345+1=AH!$U$6),IF(AH!$U$4=0,"unavailable",INDEX('Market Data'!$AN$5:$AN$66,AH!$U$4)),IF(AH!$U$5=1,INDEX('Live History'!$B$5:$B$3004,$K350),INDEX('AH History'!$D$5:$GG$1380,$K350,AH!$U$10))),NA()),NA())</f>
        <v/>
      </c>
      <c r="F350" s="32">
        <f>IFERROR(IF(ISNUMBER($A350),IF(AND(AH!$U$12=1,345+1=AH!$U$6),IF(AH!$U$4=0,"unavailable",INDEX('Market Data'!$AO$5:$AO$66,AH!$U$4)),IF(AH!$U$5=1,INDEX('Live History'!$E$5:$E$3004,MATCH($A350,'Live History'!$D$5:$D$3004,1)),INDEX('AH History'!$D$5:$GG$1380,$K350,AH!$U$10+1))),NA()),NA())</f>
        <v/>
      </c>
      <c r="G350" s="34">
        <f>IFERROR(IF(ISNUMBER($A350),IF(AND(AH!$U$12=1,345+1=AH!$U$6),IF(AH!$U$4=0,"unavailable",INDEX('Market Data'!$AK$5:$AK$66,AH!$U$4)),IF(AH!$U$5=1,INDEX('Live History'!$D$5:$D$3004,MATCH($A350,'Live History'!$D$5:$D$3004,1)),INDEX('AH History'!$D$5:$GG$1380,$K350,AH!$U$10+2))),NA()),NA())</f>
        <v/>
      </c>
      <c r="H350" s="266">
        <f>IFERROR(IF(ISNUMBER($A350),IF(AND(AH!$U$12=1,345+1=AH!$U$6),IF(AH!$U$4=0,"unavailable",INDEX('Market Data'!$AP$5:$AP$66,AH!$U$4)),IF(AH!$U$5=1,INDEX('Live History'!$H$5:$H$3004,MATCH($A350,'Live History'!$G$5:$G$3004,1)),INDEX('AH History'!$B$5:$B$1380,$K350))),NA()),NA())</f>
        <v/>
      </c>
      <c r="I350" s="34">
        <f>IFERROR(IF(ISNUMBER($A350),IF(AND(AH!$U$12=1,345+1=AH!$U$6),TODAY(),IF(AH!$U$5=1,INDEX('Live History'!$G$5:$G$3004,MATCH($A350,'Live History'!$G$5:$G$3004,1)),INDEX('AH History'!$C$5:$C$1380,$K350))),NA()),NA())</f>
        <v/>
      </c>
      <c r="J350" s="32">
        <f>IFERROR(IF(AND($F350&gt;0,$H350&gt;0,$A350-$G350&lt;=10,$A350-$I350&lt;=5,$G350&gt;0,$I350&gt;0),$F350*$H350,NA()),NA())</f>
        <v/>
      </c>
      <c r="K350" s="15">
        <f>IF($A350="","",IF(AH!$U$5=1,IFERROR(MATCH($A350,'Live History'!$A$5:$A$3004,0),0),AH!$U$7+345))</f>
        <v/>
      </c>
      <c r="L350" s="15">
        <f>IF(ISNUMBER(A350),TEXT(A350,"dd-mmm-yy"),"")</f>
        <v/>
      </c>
    </row>
    <row r="351">
      <c r="A351" s="14">
        <f>IF(OR(AH!$U$4=0,346+1&gt;AH!$U$6,AND(AH!$M$5="Bloomberg",AH!$U$5=0)),"",IFERROR(IF(AND(AH!$U$12=1,346+1=AH!$U$6),TODAY(),IF(AH!$U$5=1,INDEX('Live History'!$A$5:$A$3004,AH!$U$7+346),INDEX('AH History'!$A$5:$A$1380,AH!$U$7+346))),""))</f>
        <v/>
      </c>
      <c r="B351" s="33">
        <f>IFERROR(IF(AH!$U$11=1,NA(),$J351/$E351-1),NA())</f>
        <v/>
      </c>
      <c r="C351" s="269">
        <f>IFERROR(100*$E351/$E$5,NA())</f>
        <v/>
      </c>
      <c r="D351" s="269">
        <f>IFERROR(100*$J351/$J$5,NA())</f>
        <v/>
      </c>
      <c r="E351" s="32">
        <f>IFERROR(IF(AND(ISNUMBER($A351),N(IF(AND(AH!$U$12=1,346+1=AH!$U$6),IF(AH!$U$4=0,"unavailable",INDEX('Market Data'!$AN$5:$AN$66,AH!$U$4)),IF(AH!$U$5=1,INDEX('Live History'!$B$5:$B$3004,$K351),INDEX('AH History'!$D$5:$GG$1380,$K351,AH!$U$10))))&gt;0),IF(AND(AH!$U$12=1,346+1=AH!$U$6),IF(AH!$U$4=0,"unavailable",INDEX('Market Data'!$AN$5:$AN$66,AH!$U$4)),IF(AH!$U$5=1,INDEX('Live History'!$B$5:$B$3004,$K351),INDEX('AH History'!$D$5:$GG$1380,$K351,AH!$U$10))),NA()),NA())</f>
        <v/>
      </c>
      <c r="F351" s="32">
        <f>IFERROR(IF(ISNUMBER($A351),IF(AND(AH!$U$12=1,346+1=AH!$U$6),IF(AH!$U$4=0,"unavailable",INDEX('Market Data'!$AO$5:$AO$66,AH!$U$4)),IF(AH!$U$5=1,INDEX('Live History'!$E$5:$E$3004,MATCH($A351,'Live History'!$D$5:$D$3004,1)),INDEX('AH History'!$D$5:$GG$1380,$K351,AH!$U$10+1))),NA()),NA())</f>
        <v/>
      </c>
      <c r="G351" s="34">
        <f>IFERROR(IF(ISNUMBER($A351),IF(AND(AH!$U$12=1,346+1=AH!$U$6),IF(AH!$U$4=0,"unavailable",INDEX('Market Data'!$AK$5:$AK$66,AH!$U$4)),IF(AH!$U$5=1,INDEX('Live History'!$D$5:$D$3004,MATCH($A351,'Live History'!$D$5:$D$3004,1)),INDEX('AH History'!$D$5:$GG$1380,$K351,AH!$U$10+2))),NA()),NA())</f>
        <v/>
      </c>
      <c r="H351" s="266">
        <f>IFERROR(IF(ISNUMBER($A351),IF(AND(AH!$U$12=1,346+1=AH!$U$6),IF(AH!$U$4=0,"unavailable",INDEX('Market Data'!$AP$5:$AP$66,AH!$U$4)),IF(AH!$U$5=1,INDEX('Live History'!$H$5:$H$3004,MATCH($A351,'Live History'!$G$5:$G$3004,1)),INDEX('AH History'!$B$5:$B$1380,$K351))),NA()),NA())</f>
        <v/>
      </c>
      <c r="I351" s="34">
        <f>IFERROR(IF(ISNUMBER($A351),IF(AND(AH!$U$12=1,346+1=AH!$U$6),TODAY(),IF(AH!$U$5=1,INDEX('Live History'!$G$5:$G$3004,MATCH($A351,'Live History'!$G$5:$G$3004,1)),INDEX('AH History'!$C$5:$C$1380,$K351))),NA()),NA())</f>
        <v/>
      </c>
      <c r="J351" s="32">
        <f>IFERROR(IF(AND($F351&gt;0,$H351&gt;0,$A351-$G351&lt;=10,$A351-$I351&lt;=5,$G351&gt;0,$I351&gt;0),$F351*$H351,NA()),NA())</f>
        <v/>
      </c>
      <c r="K351" s="15">
        <f>IF($A351="","",IF(AH!$U$5=1,IFERROR(MATCH($A351,'Live History'!$A$5:$A$3004,0),0),AH!$U$7+346))</f>
        <v/>
      </c>
      <c r="L351" s="15">
        <f>IF(ISNUMBER(A351),TEXT(A351,"dd-mmm-yy"),"")</f>
        <v/>
      </c>
    </row>
    <row r="352">
      <c r="A352" s="14">
        <f>IF(OR(AH!$U$4=0,347+1&gt;AH!$U$6,AND(AH!$M$5="Bloomberg",AH!$U$5=0)),"",IFERROR(IF(AND(AH!$U$12=1,347+1=AH!$U$6),TODAY(),IF(AH!$U$5=1,INDEX('Live History'!$A$5:$A$3004,AH!$U$7+347),INDEX('AH History'!$A$5:$A$1380,AH!$U$7+347))),""))</f>
        <v/>
      </c>
      <c r="B352" s="33">
        <f>IFERROR(IF(AH!$U$11=1,NA(),$J352/$E352-1),NA())</f>
        <v/>
      </c>
      <c r="C352" s="269">
        <f>IFERROR(100*$E352/$E$5,NA())</f>
        <v/>
      </c>
      <c r="D352" s="269">
        <f>IFERROR(100*$J352/$J$5,NA())</f>
        <v/>
      </c>
      <c r="E352" s="32">
        <f>IFERROR(IF(AND(ISNUMBER($A352),N(IF(AND(AH!$U$12=1,347+1=AH!$U$6),IF(AH!$U$4=0,"unavailable",INDEX('Market Data'!$AN$5:$AN$66,AH!$U$4)),IF(AH!$U$5=1,INDEX('Live History'!$B$5:$B$3004,$K352),INDEX('AH History'!$D$5:$GG$1380,$K352,AH!$U$10))))&gt;0),IF(AND(AH!$U$12=1,347+1=AH!$U$6),IF(AH!$U$4=0,"unavailable",INDEX('Market Data'!$AN$5:$AN$66,AH!$U$4)),IF(AH!$U$5=1,INDEX('Live History'!$B$5:$B$3004,$K352),INDEX('AH History'!$D$5:$GG$1380,$K352,AH!$U$10))),NA()),NA())</f>
        <v/>
      </c>
      <c r="F352" s="32">
        <f>IFERROR(IF(ISNUMBER($A352),IF(AND(AH!$U$12=1,347+1=AH!$U$6),IF(AH!$U$4=0,"unavailable",INDEX('Market Data'!$AO$5:$AO$66,AH!$U$4)),IF(AH!$U$5=1,INDEX('Live History'!$E$5:$E$3004,MATCH($A352,'Live History'!$D$5:$D$3004,1)),INDEX('AH History'!$D$5:$GG$1380,$K352,AH!$U$10+1))),NA()),NA())</f>
        <v/>
      </c>
      <c r="G352" s="34">
        <f>IFERROR(IF(ISNUMBER($A352),IF(AND(AH!$U$12=1,347+1=AH!$U$6),IF(AH!$U$4=0,"unavailable",INDEX('Market Data'!$AK$5:$AK$66,AH!$U$4)),IF(AH!$U$5=1,INDEX('Live History'!$D$5:$D$3004,MATCH($A352,'Live History'!$D$5:$D$3004,1)),INDEX('AH History'!$D$5:$GG$1380,$K352,AH!$U$10+2))),NA()),NA())</f>
        <v/>
      </c>
      <c r="H352" s="266">
        <f>IFERROR(IF(ISNUMBER($A352),IF(AND(AH!$U$12=1,347+1=AH!$U$6),IF(AH!$U$4=0,"unavailable",INDEX('Market Data'!$AP$5:$AP$66,AH!$U$4)),IF(AH!$U$5=1,INDEX('Live History'!$H$5:$H$3004,MATCH($A352,'Live History'!$G$5:$G$3004,1)),INDEX('AH History'!$B$5:$B$1380,$K352))),NA()),NA())</f>
        <v/>
      </c>
      <c r="I352" s="34">
        <f>IFERROR(IF(ISNUMBER($A352),IF(AND(AH!$U$12=1,347+1=AH!$U$6),TODAY(),IF(AH!$U$5=1,INDEX('Live History'!$G$5:$G$3004,MATCH($A352,'Live History'!$G$5:$G$3004,1)),INDEX('AH History'!$C$5:$C$1380,$K352))),NA()),NA())</f>
        <v/>
      </c>
      <c r="J352" s="32">
        <f>IFERROR(IF(AND($F352&gt;0,$H352&gt;0,$A352-$G352&lt;=10,$A352-$I352&lt;=5,$G352&gt;0,$I352&gt;0),$F352*$H352,NA()),NA())</f>
        <v/>
      </c>
      <c r="K352" s="15">
        <f>IF($A352="","",IF(AH!$U$5=1,IFERROR(MATCH($A352,'Live History'!$A$5:$A$3004,0),0),AH!$U$7+347))</f>
        <v/>
      </c>
      <c r="L352" s="15">
        <f>IF(ISNUMBER(A352),TEXT(A352,"dd-mmm-yy"),"")</f>
        <v/>
      </c>
    </row>
    <row r="353">
      <c r="A353" s="14">
        <f>IF(OR(AH!$U$4=0,348+1&gt;AH!$U$6,AND(AH!$M$5="Bloomberg",AH!$U$5=0)),"",IFERROR(IF(AND(AH!$U$12=1,348+1=AH!$U$6),TODAY(),IF(AH!$U$5=1,INDEX('Live History'!$A$5:$A$3004,AH!$U$7+348),INDEX('AH History'!$A$5:$A$1380,AH!$U$7+348))),""))</f>
        <v/>
      </c>
      <c r="B353" s="33">
        <f>IFERROR(IF(AH!$U$11=1,NA(),$J353/$E353-1),NA())</f>
        <v/>
      </c>
      <c r="C353" s="269">
        <f>IFERROR(100*$E353/$E$5,NA())</f>
        <v/>
      </c>
      <c r="D353" s="269">
        <f>IFERROR(100*$J353/$J$5,NA())</f>
        <v/>
      </c>
      <c r="E353" s="32">
        <f>IFERROR(IF(AND(ISNUMBER($A353),N(IF(AND(AH!$U$12=1,348+1=AH!$U$6),IF(AH!$U$4=0,"unavailable",INDEX('Market Data'!$AN$5:$AN$66,AH!$U$4)),IF(AH!$U$5=1,INDEX('Live History'!$B$5:$B$3004,$K353),INDEX('AH History'!$D$5:$GG$1380,$K353,AH!$U$10))))&gt;0),IF(AND(AH!$U$12=1,348+1=AH!$U$6),IF(AH!$U$4=0,"unavailable",INDEX('Market Data'!$AN$5:$AN$66,AH!$U$4)),IF(AH!$U$5=1,INDEX('Live History'!$B$5:$B$3004,$K353),INDEX('AH History'!$D$5:$GG$1380,$K353,AH!$U$10))),NA()),NA())</f>
        <v/>
      </c>
      <c r="F353" s="32">
        <f>IFERROR(IF(ISNUMBER($A353),IF(AND(AH!$U$12=1,348+1=AH!$U$6),IF(AH!$U$4=0,"unavailable",INDEX('Market Data'!$AO$5:$AO$66,AH!$U$4)),IF(AH!$U$5=1,INDEX('Live History'!$E$5:$E$3004,MATCH($A353,'Live History'!$D$5:$D$3004,1)),INDEX('AH History'!$D$5:$GG$1380,$K353,AH!$U$10+1))),NA()),NA())</f>
        <v/>
      </c>
      <c r="G353" s="34">
        <f>IFERROR(IF(ISNUMBER($A353),IF(AND(AH!$U$12=1,348+1=AH!$U$6),IF(AH!$U$4=0,"unavailable",INDEX('Market Data'!$AK$5:$AK$66,AH!$U$4)),IF(AH!$U$5=1,INDEX('Live History'!$D$5:$D$3004,MATCH($A353,'Live History'!$D$5:$D$3004,1)),INDEX('AH History'!$D$5:$GG$1380,$K353,AH!$U$10+2))),NA()),NA())</f>
        <v/>
      </c>
      <c r="H353" s="266">
        <f>IFERROR(IF(ISNUMBER($A353),IF(AND(AH!$U$12=1,348+1=AH!$U$6),IF(AH!$U$4=0,"unavailable",INDEX('Market Data'!$AP$5:$AP$66,AH!$U$4)),IF(AH!$U$5=1,INDEX('Live History'!$H$5:$H$3004,MATCH($A353,'Live History'!$G$5:$G$3004,1)),INDEX('AH History'!$B$5:$B$1380,$K353))),NA()),NA())</f>
        <v/>
      </c>
      <c r="I353" s="34">
        <f>IFERROR(IF(ISNUMBER($A353),IF(AND(AH!$U$12=1,348+1=AH!$U$6),TODAY(),IF(AH!$U$5=1,INDEX('Live History'!$G$5:$G$3004,MATCH($A353,'Live History'!$G$5:$G$3004,1)),INDEX('AH History'!$C$5:$C$1380,$K353))),NA()),NA())</f>
        <v/>
      </c>
      <c r="J353" s="32">
        <f>IFERROR(IF(AND($F353&gt;0,$H353&gt;0,$A353-$G353&lt;=10,$A353-$I353&lt;=5,$G353&gt;0,$I353&gt;0),$F353*$H353,NA()),NA())</f>
        <v/>
      </c>
      <c r="K353" s="15">
        <f>IF($A353="","",IF(AH!$U$5=1,IFERROR(MATCH($A353,'Live History'!$A$5:$A$3004,0),0),AH!$U$7+348))</f>
        <v/>
      </c>
      <c r="L353" s="15">
        <f>IF(ISNUMBER(A353),TEXT(A353,"dd-mmm-yy"),"")</f>
        <v/>
      </c>
    </row>
    <row r="354">
      <c r="A354" s="14">
        <f>IF(OR(AH!$U$4=0,349+1&gt;AH!$U$6,AND(AH!$M$5="Bloomberg",AH!$U$5=0)),"",IFERROR(IF(AND(AH!$U$12=1,349+1=AH!$U$6),TODAY(),IF(AH!$U$5=1,INDEX('Live History'!$A$5:$A$3004,AH!$U$7+349),INDEX('AH History'!$A$5:$A$1380,AH!$U$7+349))),""))</f>
        <v/>
      </c>
      <c r="B354" s="33">
        <f>IFERROR(IF(AH!$U$11=1,NA(),$J354/$E354-1),NA())</f>
        <v/>
      </c>
      <c r="C354" s="269">
        <f>IFERROR(100*$E354/$E$5,NA())</f>
        <v/>
      </c>
      <c r="D354" s="269">
        <f>IFERROR(100*$J354/$J$5,NA())</f>
        <v/>
      </c>
      <c r="E354" s="32">
        <f>IFERROR(IF(AND(ISNUMBER($A354),N(IF(AND(AH!$U$12=1,349+1=AH!$U$6),IF(AH!$U$4=0,"unavailable",INDEX('Market Data'!$AN$5:$AN$66,AH!$U$4)),IF(AH!$U$5=1,INDEX('Live History'!$B$5:$B$3004,$K354),INDEX('AH History'!$D$5:$GG$1380,$K354,AH!$U$10))))&gt;0),IF(AND(AH!$U$12=1,349+1=AH!$U$6),IF(AH!$U$4=0,"unavailable",INDEX('Market Data'!$AN$5:$AN$66,AH!$U$4)),IF(AH!$U$5=1,INDEX('Live History'!$B$5:$B$3004,$K354),INDEX('AH History'!$D$5:$GG$1380,$K354,AH!$U$10))),NA()),NA())</f>
        <v/>
      </c>
      <c r="F354" s="32">
        <f>IFERROR(IF(ISNUMBER($A354),IF(AND(AH!$U$12=1,349+1=AH!$U$6),IF(AH!$U$4=0,"unavailable",INDEX('Market Data'!$AO$5:$AO$66,AH!$U$4)),IF(AH!$U$5=1,INDEX('Live History'!$E$5:$E$3004,MATCH($A354,'Live History'!$D$5:$D$3004,1)),INDEX('AH History'!$D$5:$GG$1380,$K354,AH!$U$10+1))),NA()),NA())</f>
        <v/>
      </c>
      <c r="G354" s="34">
        <f>IFERROR(IF(ISNUMBER($A354),IF(AND(AH!$U$12=1,349+1=AH!$U$6),IF(AH!$U$4=0,"unavailable",INDEX('Market Data'!$AK$5:$AK$66,AH!$U$4)),IF(AH!$U$5=1,INDEX('Live History'!$D$5:$D$3004,MATCH($A354,'Live History'!$D$5:$D$3004,1)),INDEX('AH History'!$D$5:$GG$1380,$K354,AH!$U$10+2))),NA()),NA())</f>
        <v/>
      </c>
      <c r="H354" s="266">
        <f>IFERROR(IF(ISNUMBER($A354),IF(AND(AH!$U$12=1,349+1=AH!$U$6),IF(AH!$U$4=0,"unavailable",INDEX('Market Data'!$AP$5:$AP$66,AH!$U$4)),IF(AH!$U$5=1,INDEX('Live History'!$H$5:$H$3004,MATCH($A354,'Live History'!$G$5:$G$3004,1)),INDEX('AH History'!$B$5:$B$1380,$K354))),NA()),NA())</f>
        <v/>
      </c>
      <c r="I354" s="34">
        <f>IFERROR(IF(ISNUMBER($A354),IF(AND(AH!$U$12=1,349+1=AH!$U$6),TODAY(),IF(AH!$U$5=1,INDEX('Live History'!$G$5:$G$3004,MATCH($A354,'Live History'!$G$5:$G$3004,1)),INDEX('AH History'!$C$5:$C$1380,$K354))),NA()),NA())</f>
        <v/>
      </c>
      <c r="J354" s="32">
        <f>IFERROR(IF(AND($F354&gt;0,$H354&gt;0,$A354-$G354&lt;=10,$A354-$I354&lt;=5,$G354&gt;0,$I354&gt;0),$F354*$H354,NA()),NA())</f>
        <v/>
      </c>
      <c r="K354" s="15">
        <f>IF($A354="","",IF(AH!$U$5=1,IFERROR(MATCH($A354,'Live History'!$A$5:$A$3004,0),0),AH!$U$7+349))</f>
        <v/>
      </c>
      <c r="L354" s="15">
        <f>IF(ISNUMBER(A354),TEXT(A354,"dd-mmm-yy"),"")</f>
        <v/>
      </c>
    </row>
    <row r="355">
      <c r="A355" s="14">
        <f>IF(OR(AH!$U$4=0,350+1&gt;AH!$U$6,AND(AH!$M$5="Bloomberg",AH!$U$5=0)),"",IFERROR(IF(AND(AH!$U$12=1,350+1=AH!$U$6),TODAY(),IF(AH!$U$5=1,INDEX('Live History'!$A$5:$A$3004,AH!$U$7+350),INDEX('AH History'!$A$5:$A$1380,AH!$U$7+350))),""))</f>
        <v/>
      </c>
      <c r="B355" s="33">
        <f>IFERROR(IF(AH!$U$11=1,NA(),$J355/$E355-1),NA())</f>
        <v/>
      </c>
      <c r="C355" s="269">
        <f>IFERROR(100*$E355/$E$5,NA())</f>
        <v/>
      </c>
      <c r="D355" s="269">
        <f>IFERROR(100*$J355/$J$5,NA())</f>
        <v/>
      </c>
      <c r="E355" s="32">
        <f>IFERROR(IF(AND(ISNUMBER($A355),N(IF(AND(AH!$U$12=1,350+1=AH!$U$6),IF(AH!$U$4=0,"unavailable",INDEX('Market Data'!$AN$5:$AN$66,AH!$U$4)),IF(AH!$U$5=1,INDEX('Live History'!$B$5:$B$3004,$K355),INDEX('AH History'!$D$5:$GG$1380,$K355,AH!$U$10))))&gt;0),IF(AND(AH!$U$12=1,350+1=AH!$U$6),IF(AH!$U$4=0,"unavailable",INDEX('Market Data'!$AN$5:$AN$66,AH!$U$4)),IF(AH!$U$5=1,INDEX('Live History'!$B$5:$B$3004,$K355),INDEX('AH History'!$D$5:$GG$1380,$K355,AH!$U$10))),NA()),NA())</f>
        <v/>
      </c>
      <c r="F355" s="32">
        <f>IFERROR(IF(ISNUMBER($A355),IF(AND(AH!$U$12=1,350+1=AH!$U$6),IF(AH!$U$4=0,"unavailable",INDEX('Market Data'!$AO$5:$AO$66,AH!$U$4)),IF(AH!$U$5=1,INDEX('Live History'!$E$5:$E$3004,MATCH($A355,'Live History'!$D$5:$D$3004,1)),INDEX('AH History'!$D$5:$GG$1380,$K355,AH!$U$10+1))),NA()),NA())</f>
        <v/>
      </c>
      <c r="G355" s="34">
        <f>IFERROR(IF(ISNUMBER($A355),IF(AND(AH!$U$12=1,350+1=AH!$U$6),IF(AH!$U$4=0,"unavailable",INDEX('Market Data'!$AK$5:$AK$66,AH!$U$4)),IF(AH!$U$5=1,INDEX('Live History'!$D$5:$D$3004,MATCH($A355,'Live History'!$D$5:$D$3004,1)),INDEX('AH History'!$D$5:$GG$1380,$K355,AH!$U$10+2))),NA()),NA())</f>
        <v/>
      </c>
      <c r="H355" s="266">
        <f>IFERROR(IF(ISNUMBER($A355),IF(AND(AH!$U$12=1,350+1=AH!$U$6),IF(AH!$U$4=0,"unavailable",INDEX('Market Data'!$AP$5:$AP$66,AH!$U$4)),IF(AH!$U$5=1,INDEX('Live History'!$H$5:$H$3004,MATCH($A355,'Live History'!$G$5:$G$3004,1)),INDEX('AH History'!$B$5:$B$1380,$K355))),NA()),NA())</f>
        <v/>
      </c>
      <c r="I355" s="34">
        <f>IFERROR(IF(ISNUMBER($A355),IF(AND(AH!$U$12=1,350+1=AH!$U$6),TODAY(),IF(AH!$U$5=1,INDEX('Live History'!$G$5:$G$3004,MATCH($A355,'Live History'!$G$5:$G$3004,1)),INDEX('AH History'!$C$5:$C$1380,$K355))),NA()),NA())</f>
        <v/>
      </c>
      <c r="J355" s="32">
        <f>IFERROR(IF(AND($F355&gt;0,$H355&gt;0,$A355-$G355&lt;=10,$A355-$I355&lt;=5,$G355&gt;0,$I355&gt;0),$F355*$H355,NA()),NA())</f>
        <v/>
      </c>
      <c r="K355" s="15">
        <f>IF($A355="","",IF(AH!$U$5=1,IFERROR(MATCH($A355,'Live History'!$A$5:$A$3004,0),0),AH!$U$7+350))</f>
        <v/>
      </c>
      <c r="L355" s="15">
        <f>IF(ISNUMBER(A355),TEXT(A355,"dd-mmm-yy"),"")</f>
        <v/>
      </c>
    </row>
    <row r="356">
      <c r="A356" s="14">
        <f>IF(OR(AH!$U$4=0,351+1&gt;AH!$U$6,AND(AH!$M$5="Bloomberg",AH!$U$5=0)),"",IFERROR(IF(AND(AH!$U$12=1,351+1=AH!$U$6),TODAY(),IF(AH!$U$5=1,INDEX('Live History'!$A$5:$A$3004,AH!$U$7+351),INDEX('AH History'!$A$5:$A$1380,AH!$U$7+351))),""))</f>
        <v/>
      </c>
      <c r="B356" s="33">
        <f>IFERROR(IF(AH!$U$11=1,NA(),$J356/$E356-1),NA())</f>
        <v/>
      </c>
      <c r="C356" s="269">
        <f>IFERROR(100*$E356/$E$5,NA())</f>
        <v/>
      </c>
      <c r="D356" s="269">
        <f>IFERROR(100*$J356/$J$5,NA())</f>
        <v/>
      </c>
      <c r="E356" s="32">
        <f>IFERROR(IF(AND(ISNUMBER($A356),N(IF(AND(AH!$U$12=1,351+1=AH!$U$6),IF(AH!$U$4=0,"unavailable",INDEX('Market Data'!$AN$5:$AN$66,AH!$U$4)),IF(AH!$U$5=1,INDEX('Live History'!$B$5:$B$3004,$K356),INDEX('AH History'!$D$5:$GG$1380,$K356,AH!$U$10))))&gt;0),IF(AND(AH!$U$12=1,351+1=AH!$U$6),IF(AH!$U$4=0,"unavailable",INDEX('Market Data'!$AN$5:$AN$66,AH!$U$4)),IF(AH!$U$5=1,INDEX('Live History'!$B$5:$B$3004,$K356),INDEX('AH History'!$D$5:$GG$1380,$K356,AH!$U$10))),NA()),NA())</f>
        <v/>
      </c>
      <c r="F356" s="32">
        <f>IFERROR(IF(ISNUMBER($A356),IF(AND(AH!$U$12=1,351+1=AH!$U$6),IF(AH!$U$4=0,"unavailable",INDEX('Market Data'!$AO$5:$AO$66,AH!$U$4)),IF(AH!$U$5=1,INDEX('Live History'!$E$5:$E$3004,MATCH($A356,'Live History'!$D$5:$D$3004,1)),INDEX('AH History'!$D$5:$GG$1380,$K356,AH!$U$10+1))),NA()),NA())</f>
        <v/>
      </c>
      <c r="G356" s="34">
        <f>IFERROR(IF(ISNUMBER($A356),IF(AND(AH!$U$12=1,351+1=AH!$U$6),IF(AH!$U$4=0,"unavailable",INDEX('Market Data'!$AK$5:$AK$66,AH!$U$4)),IF(AH!$U$5=1,INDEX('Live History'!$D$5:$D$3004,MATCH($A356,'Live History'!$D$5:$D$3004,1)),INDEX('AH History'!$D$5:$GG$1380,$K356,AH!$U$10+2))),NA()),NA())</f>
        <v/>
      </c>
      <c r="H356" s="266">
        <f>IFERROR(IF(ISNUMBER($A356),IF(AND(AH!$U$12=1,351+1=AH!$U$6),IF(AH!$U$4=0,"unavailable",INDEX('Market Data'!$AP$5:$AP$66,AH!$U$4)),IF(AH!$U$5=1,INDEX('Live History'!$H$5:$H$3004,MATCH($A356,'Live History'!$G$5:$G$3004,1)),INDEX('AH History'!$B$5:$B$1380,$K356))),NA()),NA())</f>
        <v/>
      </c>
      <c r="I356" s="34">
        <f>IFERROR(IF(ISNUMBER($A356),IF(AND(AH!$U$12=1,351+1=AH!$U$6),TODAY(),IF(AH!$U$5=1,INDEX('Live History'!$G$5:$G$3004,MATCH($A356,'Live History'!$G$5:$G$3004,1)),INDEX('AH History'!$C$5:$C$1380,$K356))),NA()),NA())</f>
        <v/>
      </c>
      <c r="J356" s="32">
        <f>IFERROR(IF(AND($F356&gt;0,$H356&gt;0,$A356-$G356&lt;=10,$A356-$I356&lt;=5,$G356&gt;0,$I356&gt;0),$F356*$H356,NA()),NA())</f>
        <v/>
      </c>
      <c r="K356" s="15">
        <f>IF($A356="","",IF(AH!$U$5=1,IFERROR(MATCH($A356,'Live History'!$A$5:$A$3004,0),0),AH!$U$7+351))</f>
        <v/>
      </c>
      <c r="L356" s="15">
        <f>IF(ISNUMBER(A356),TEXT(A356,"dd-mmm-yy"),"")</f>
        <v/>
      </c>
    </row>
    <row r="357">
      <c r="A357" s="14">
        <f>IF(OR(AH!$U$4=0,352+1&gt;AH!$U$6,AND(AH!$M$5="Bloomberg",AH!$U$5=0)),"",IFERROR(IF(AND(AH!$U$12=1,352+1=AH!$U$6),TODAY(),IF(AH!$U$5=1,INDEX('Live History'!$A$5:$A$3004,AH!$U$7+352),INDEX('AH History'!$A$5:$A$1380,AH!$U$7+352))),""))</f>
        <v/>
      </c>
      <c r="B357" s="33">
        <f>IFERROR(IF(AH!$U$11=1,NA(),$J357/$E357-1),NA())</f>
        <v/>
      </c>
      <c r="C357" s="269">
        <f>IFERROR(100*$E357/$E$5,NA())</f>
        <v/>
      </c>
      <c r="D357" s="269">
        <f>IFERROR(100*$J357/$J$5,NA())</f>
        <v/>
      </c>
      <c r="E357" s="32">
        <f>IFERROR(IF(AND(ISNUMBER($A357),N(IF(AND(AH!$U$12=1,352+1=AH!$U$6),IF(AH!$U$4=0,"unavailable",INDEX('Market Data'!$AN$5:$AN$66,AH!$U$4)),IF(AH!$U$5=1,INDEX('Live History'!$B$5:$B$3004,$K357),INDEX('AH History'!$D$5:$GG$1380,$K357,AH!$U$10))))&gt;0),IF(AND(AH!$U$12=1,352+1=AH!$U$6),IF(AH!$U$4=0,"unavailable",INDEX('Market Data'!$AN$5:$AN$66,AH!$U$4)),IF(AH!$U$5=1,INDEX('Live History'!$B$5:$B$3004,$K357),INDEX('AH History'!$D$5:$GG$1380,$K357,AH!$U$10))),NA()),NA())</f>
        <v/>
      </c>
      <c r="F357" s="32">
        <f>IFERROR(IF(ISNUMBER($A357),IF(AND(AH!$U$12=1,352+1=AH!$U$6),IF(AH!$U$4=0,"unavailable",INDEX('Market Data'!$AO$5:$AO$66,AH!$U$4)),IF(AH!$U$5=1,INDEX('Live History'!$E$5:$E$3004,MATCH($A357,'Live History'!$D$5:$D$3004,1)),INDEX('AH History'!$D$5:$GG$1380,$K357,AH!$U$10+1))),NA()),NA())</f>
        <v/>
      </c>
      <c r="G357" s="34">
        <f>IFERROR(IF(ISNUMBER($A357),IF(AND(AH!$U$12=1,352+1=AH!$U$6),IF(AH!$U$4=0,"unavailable",INDEX('Market Data'!$AK$5:$AK$66,AH!$U$4)),IF(AH!$U$5=1,INDEX('Live History'!$D$5:$D$3004,MATCH($A357,'Live History'!$D$5:$D$3004,1)),INDEX('AH History'!$D$5:$GG$1380,$K357,AH!$U$10+2))),NA()),NA())</f>
        <v/>
      </c>
      <c r="H357" s="266">
        <f>IFERROR(IF(ISNUMBER($A357),IF(AND(AH!$U$12=1,352+1=AH!$U$6),IF(AH!$U$4=0,"unavailable",INDEX('Market Data'!$AP$5:$AP$66,AH!$U$4)),IF(AH!$U$5=1,INDEX('Live History'!$H$5:$H$3004,MATCH($A357,'Live History'!$G$5:$G$3004,1)),INDEX('AH History'!$B$5:$B$1380,$K357))),NA()),NA())</f>
        <v/>
      </c>
      <c r="I357" s="34">
        <f>IFERROR(IF(ISNUMBER($A357),IF(AND(AH!$U$12=1,352+1=AH!$U$6),TODAY(),IF(AH!$U$5=1,INDEX('Live History'!$G$5:$G$3004,MATCH($A357,'Live History'!$G$5:$G$3004,1)),INDEX('AH History'!$C$5:$C$1380,$K357))),NA()),NA())</f>
        <v/>
      </c>
      <c r="J357" s="32">
        <f>IFERROR(IF(AND($F357&gt;0,$H357&gt;0,$A357-$G357&lt;=10,$A357-$I357&lt;=5,$G357&gt;0,$I357&gt;0),$F357*$H357,NA()),NA())</f>
        <v/>
      </c>
      <c r="K357" s="15">
        <f>IF($A357="","",IF(AH!$U$5=1,IFERROR(MATCH($A357,'Live History'!$A$5:$A$3004,0),0),AH!$U$7+352))</f>
        <v/>
      </c>
      <c r="L357" s="15">
        <f>IF(ISNUMBER(A357),TEXT(A357,"dd-mmm-yy"),"")</f>
        <v/>
      </c>
    </row>
    <row r="358">
      <c r="A358" s="14">
        <f>IF(OR(AH!$U$4=0,353+1&gt;AH!$U$6,AND(AH!$M$5="Bloomberg",AH!$U$5=0)),"",IFERROR(IF(AND(AH!$U$12=1,353+1=AH!$U$6),TODAY(),IF(AH!$U$5=1,INDEX('Live History'!$A$5:$A$3004,AH!$U$7+353),INDEX('AH History'!$A$5:$A$1380,AH!$U$7+353))),""))</f>
        <v/>
      </c>
      <c r="B358" s="33">
        <f>IFERROR(IF(AH!$U$11=1,NA(),$J358/$E358-1),NA())</f>
        <v/>
      </c>
      <c r="C358" s="269">
        <f>IFERROR(100*$E358/$E$5,NA())</f>
        <v/>
      </c>
      <c r="D358" s="269">
        <f>IFERROR(100*$J358/$J$5,NA())</f>
        <v/>
      </c>
      <c r="E358" s="32">
        <f>IFERROR(IF(AND(ISNUMBER($A358),N(IF(AND(AH!$U$12=1,353+1=AH!$U$6),IF(AH!$U$4=0,"unavailable",INDEX('Market Data'!$AN$5:$AN$66,AH!$U$4)),IF(AH!$U$5=1,INDEX('Live History'!$B$5:$B$3004,$K358),INDEX('AH History'!$D$5:$GG$1380,$K358,AH!$U$10))))&gt;0),IF(AND(AH!$U$12=1,353+1=AH!$U$6),IF(AH!$U$4=0,"unavailable",INDEX('Market Data'!$AN$5:$AN$66,AH!$U$4)),IF(AH!$U$5=1,INDEX('Live History'!$B$5:$B$3004,$K358),INDEX('AH History'!$D$5:$GG$1380,$K358,AH!$U$10))),NA()),NA())</f>
        <v/>
      </c>
      <c r="F358" s="32">
        <f>IFERROR(IF(ISNUMBER($A358),IF(AND(AH!$U$12=1,353+1=AH!$U$6),IF(AH!$U$4=0,"unavailable",INDEX('Market Data'!$AO$5:$AO$66,AH!$U$4)),IF(AH!$U$5=1,INDEX('Live History'!$E$5:$E$3004,MATCH($A358,'Live History'!$D$5:$D$3004,1)),INDEX('AH History'!$D$5:$GG$1380,$K358,AH!$U$10+1))),NA()),NA())</f>
        <v/>
      </c>
      <c r="G358" s="34">
        <f>IFERROR(IF(ISNUMBER($A358),IF(AND(AH!$U$12=1,353+1=AH!$U$6),IF(AH!$U$4=0,"unavailable",INDEX('Market Data'!$AK$5:$AK$66,AH!$U$4)),IF(AH!$U$5=1,INDEX('Live History'!$D$5:$D$3004,MATCH($A358,'Live History'!$D$5:$D$3004,1)),INDEX('AH History'!$D$5:$GG$1380,$K358,AH!$U$10+2))),NA()),NA())</f>
        <v/>
      </c>
      <c r="H358" s="266">
        <f>IFERROR(IF(ISNUMBER($A358),IF(AND(AH!$U$12=1,353+1=AH!$U$6),IF(AH!$U$4=0,"unavailable",INDEX('Market Data'!$AP$5:$AP$66,AH!$U$4)),IF(AH!$U$5=1,INDEX('Live History'!$H$5:$H$3004,MATCH($A358,'Live History'!$G$5:$G$3004,1)),INDEX('AH History'!$B$5:$B$1380,$K358))),NA()),NA())</f>
        <v/>
      </c>
      <c r="I358" s="34">
        <f>IFERROR(IF(ISNUMBER($A358),IF(AND(AH!$U$12=1,353+1=AH!$U$6),TODAY(),IF(AH!$U$5=1,INDEX('Live History'!$G$5:$G$3004,MATCH($A358,'Live History'!$G$5:$G$3004,1)),INDEX('AH History'!$C$5:$C$1380,$K358))),NA()),NA())</f>
        <v/>
      </c>
      <c r="J358" s="32">
        <f>IFERROR(IF(AND($F358&gt;0,$H358&gt;0,$A358-$G358&lt;=10,$A358-$I358&lt;=5,$G358&gt;0,$I358&gt;0),$F358*$H358,NA()),NA())</f>
        <v/>
      </c>
      <c r="K358" s="15">
        <f>IF($A358="","",IF(AH!$U$5=1,IFERROR(MATCH($A358,'Live History'!$A$5:$A$3004,0),0),AH!$U$7+353))</f>
        <v/>
      </c>
      <c r="L358" s="15">
        <f>IF(ISNUMBER(A358),TEXT(A358,"dd-mmm-yy"),"")</f>
        <v/>
      </c>
    </row>
    <row r="359">
      <c r="A359" s="14">
        <f>IF(OR(AH!$U$4=0,354+1&gt;AH!$U$6,AND(AH!$M$5="Bloomberg",AH!$U$5=0)),"",IFERROR(IF(AND(AH!$U$12=1,354+1=AH!$U$6),TODAY(),IF(AH!$U$5=1,INDEX('Live History'!$A$5:$A$3004,AH!$U$7+354),INDEX('AH History'!$A$5:$A$1380,AH!$U$7+354))),""))</f>
        <v/>
      </c>
      <c r="B359" s="33">
        <f>IFERROR(IF(AH!$U$11=1,NA(),$J359/$E359-1),NA())</f>
        <v/>
      </c>
      <c r="C359" s="269">
        <f>IFERROR(100*$E359/$E$5,NA())</f>
        <v/>
      </c>
      <c r="D359" s="269">
        <f>IFERROR(100*$J359/$J$5,NA())</f>
        <v/>
      </c>
      <c r="E359" s="32">
        <f>IFERROR(IF(AND(ISNUMBER($A359),N(IF(AND(AH!$U$12=1,354+1=AH!$U$6),IF(AH!$U$4=0,"unavailable",INDEX('Market Data'!$AN$5:$AN$66,AH!$U$4)),IF(AH!$U$5=1,INDEX('Live History'!$B$5:$B$3004,$K359),INDEX('AH History'!$D$5:$GG$1380,$K359,AH!$U$10))))&gt;0),IF(AND(AH!$U$12=1,354+1=AH!$U$6),IF(AH!$U$4=0,"unavailable",INDEX('Market Data'!$AN$5:$AN$66,AH!$U$4)),IF(AH!$U$5=1,INDEX('Live History'!$B$5:$B$3004,$K359),INDEX('AH History'!$D$5:$GG$1380,$K359,AH!$U$10))),NA()),NA())</f>
        <v/>
      </c>
      <c r="F359" s="32">
        <f>IFERROR(IF(ISNUMBER($A359),IF(AND(AH!$U$12=1,354+1=AH!$U$6),IF(AH!$U$4=0,"unavailable",INDEX('Market Data'!$AO$5:$AO$66,AH!$U$4)),IF(AH!$U$5=1,INDEX('Live History'!$E$5:$E$3004,MATCH($A359,'Live History'!$D$5:$D$3004,1)),INDEX('AH History'!$D$5:$GG$1380,$K359,AH!$U$10+1))),NA()),NA())</f>
        <v/>
      </c>
      <c r="G359" s="34">
        <f>IFERROR(IF(ISNUMBER($A359),IF(AND(AH!$U$12=1,354+1=AH!$U$6),IF(AH!$U$4=0,"unavailable",INDEX('Market Data'!$AK$5:$AK$66,AH!$U$4)),IF(AH!$U$5=1,INDEX('Live History'!$D$5:$D$3004,MATCH($A359,'Live History'!$D$5:$D$3004,1)),INDEX('AH History'!$D$5:$GG$1380,$K359,AH!$U$10+2))),NA()),NA())</f>
        <v/>
      </c>
      <c r="H359" s="266">
        <f>IFERROR(IF(ISNUMBER($A359),IF(AND(AH!$U$12=1,354+1=AH!$U$6),IF(AH!$U$4=0,"unavailable",INDEX('Market Data'!$AP$5:$AP$66,AH!$U$4)),IF(AH!$U$5=1,INDEX('Live History'!$H$5:$H$3004,MATCH($A359,'Live History'!$G$5:$G$3004,1)),INDEX('AH History'!$B$5:$B$1380,$K359))),NA()),NA())</f>
        <v/>
      </c>
      <c r="I359" s="34">
        <f>IFERROR(IF(ISNUMBER($A359),IF(AND(AH!$U$12=1,354+1=AH!$U$6),TODAY(),IF(AH!$U$5=1,INDEX('Live History'!$G$5:$G$3004,MATCH($A359,'Live History'!$G$5:$G$3004,1)),INDEX('AH History'!$C$5:$C$1380,$K359))),NA()),NA())</f>
        <v/>
      </c>
      <c r="J359" s="32">
        <f>IFERROR(IF(AND($F359&gt;0,$H359&gt;0,$A359-$G359&lt;=10,$A359-$I359&lt;=5,$G359&gt;0,$I359&gt;0),$F359*$H359,NA()),NA())</f>
        <v/>
      </c>
      <c r="K359" s="15">
        <f>IF($A359="","",IF(AH!$U$5=1,IFERROR(MATCH($A359,'Live History'!$A$5:$A$3004,0),0),AH!$U$7+354))</f>
        <v/>
      </c>
      <c r="L359" s="15">
        <f>IF(ISNUMBER(A359),TEXT(A359,"dd-mmm-yy"),"")</f>
        <v/>
      </c>
    </row>
    <row r="360">
      <c r="A360" s="14">
        <f>IF(OR(AH!$U$4=0,355+1&gt;AH!$U$6,AND(AH!$M$5="Bloomberg",AH!$U$5=0)),"",IFERROR(IF(AND(AH!$U$12=1,355+1=AH!$U$6),TODAY(),IF(AH!$U$5=1,INDEX('Live History'!$A$5:$A$3004,AH!$U$7+355),INDEX('AH History'!$A$5:$A$1380,AH!$U$7+355))),""))</f>
        <v/>
      </c>
      <c r="B360" s="33">
        <f>IFERROR(IF(AH!$U$11=1,NA(),$J360/$E360-1),NA())</f>
        <v/>
      </c>
      <c r="C360" s="269">
        <f>IFERROR(100*$E360/$E$5,NA())</f>
        <v/>
      </c>
      <c r="D360" s="269">
        <f>IFERROR(100*$J360/$J$5,NA())</f>
        <v/>
      </c>
      <c r="E360" s="32">
        <f>IFERROR(IF(AND(ISNUMBER($A360),N(IF(AND(AH!$U$12=1,355+1=AH!$U$6),IF(AH!$U$4=0,"unavailable",INDEX('Market Data'!$AN$5:$AN$66,AH!$U$4)),IF(AH!$U$5=1,INDEX('Live History'!$B$5:$B$3004,$K360),INDEX('AH History'!$D$5:$GG$1380,$K360,AH!$U$10))))&gt;0),IF(AND(AH!$U$12=1,355+1=AH!$U$6),IF(AH!$U$4=0,"unavailable",INDEX('Market Data'!$AN$5:$AN$66,AH!$U$4)),IF(AH!$U$5=1,INDEX('Live History'!$B$5:$B$3004,$K360),INDEX('AH History'!$D$5:$GG$1380,$K360,AH!$U$10))),NA()),NA())</f>
        <v/>
      </c>
      <c r="F360" s="32">
        <f>IFERROR(IF(ISNUMBER($A360),IF(AND(AH!$U$12=1,355+1=AH!$U$6),IF(AH!$U$4=0,"unavailable",INDEX('Market Data'!$AO$5:$AO$66,AH!$U$4)),IF(AH!$U$5=1,INDEX('Live History'!$E$5:$E$3004,MATCH($A360,'Live History'!$D$5:$D$3004,1)),INDEX('AH History'!$D$5:$GG$1380,$K360,AH!$U$10+1))),NA()),NA())</f>
        <v/>
      </c>
      <c r="G360" s="34">
        <f>IFERROR(IF(ISNUMBER($A360),IF(AND(AH!$U$12=1,355+1=AH!$U$6),IF(AH!$U$4=0,"unavailable",INDEX('Market Data'!$AK$5:$AK$66,AH!$U$4)),IF(AH!$U$5=1,INDEX('Live History'!$D$5:$D$3004,MATCH($A360,'Live History'!$D$5:$D$3004,1)),INDEX('AH History'!$D$5:$GG$1380,$K360,AH!$U$10+2))),NA()),NA())</f>
        <v/>
      </c>
      <c r="H360" s="266">
        <f>IFERROR(IF(ISNUMBER($A360),IF(AND(AH!$U$12=1,355+1=AH!$U$6),IF(AH!$U$4=0,"unavailable",INDEX('Market Data'!$AP$5:$AP$66,AH!$U$4)),IF(AH!$U$5=1,INDEX('Live History'!$H$5:$H$3004,MATCH($A360,'Live History'!$G$5:$G$3004,1)),INDEX('AH History'!$B$5:$B$1380,$K360))),NA()),NA())</f>
        <v/>
      </c>
      <c r="I360" s="34">
        <f>IFERROR(IF(ISNUMBER($A360),IF(AND(AH!$U$12=1,355+1=AH!$U$6),TODAY(),IF(AH!$U$5=1,INDEX('Live History'!$G$5:$G$3004,MATCH($A360,'Live History'!$G$5:$G$3004,1)),INDEX('AH History'!$C$5:$C$1380,$K360))),NA()),NA())</f>
        <v/>
      </c>
      <c r="J360" s="32">
        <f>IFERROR(IF(AND($F360&gt;0,$H360&gt;0,$A360-$G360&lt;=10,$A360-$I360&lt;=5,$G360&gt;0,$I360&gt;0),$F360*$H360,NA()),NA())</f>
        <v/>
      </c>
      <c r="K360" s="15">
        <f>IF($A360="","",IF(AH!$U$5=1,IFERROR(MATCH($A360,'Live History'!$A$5:$A$3004,0),0),AH!$U$7+355))</f>
        <v/>
      </c>
      <c r="L360" s="15">
        <f>IF(ISNUMBER(A360),TEXT(A360,"dd-mmm-yy"),"")</f>
        <v/>
      </c>
    </row>
    <row r="361">
      <c r="A361" s="14">
        <f>IF(OR(AH!$U$4=0,356+1&gt;AH!$U$6,AND(AH!$M$5="Bloomberg",AH!$U$5=0)),"",IFERROR(IF(AND(AH!$U$12=1,356+1=AH!$U$6),TODAY(),IF(AH!$U$5=1,INDEX('Live History'!$A$5:$A$3004,AH!$U$7+356),INDEX('AH History'!$A$5:$A$1380,AH!$U$7+356))),""))</f>
        <v/>
      </c>
      <c r="B361" s="33">
        <f>IFERROR(IF(AH!$U$11=1,NA(),$J361/$E361-1),NA())</f>
        <v/>
      </c>
      <c r="C361" s="269">
        <f>IFERROR(100*$E361/$E$5,NA())</f>
        <v/>
      </c>
      <c r="D361" s="269">
        <f>IFERROR(100*$J361/$J$5,NA())</f>
        <v/>
      </c>
      <c r="E361" s="32">
        <f>IFERROR(IF(AND(ISNUMBER($A361),N(IF(AND(AH!$U$12=1,356+1=AH!$U$6),IF(AH!$U$4=0,"unavailable",INDEX('Market Data'!$AN$5:$AN$66,AH!$U$4)),IF(AH!$U$5=1,INDEX('Live History'!$B$5:$B$3004,$K361),INDEX('AH History'!$D$5:$GG$1380,$K361,AH!$U$10))))&gt;0),IF(AND(AH!$U$12=1,356+1=AH!$U$6),IF(AH!$U$4=0,"unavailable",INDEX('Market Data'!$AN$5:$AN$66,AH!$U$4)),IF(AH!$U$5=1,INDEX('Live History'!$B$5:$B$3004,$K361),INDEX('AH History'!$D$5:$GG$1380,$K361,AH!$U$10))),NA()),NA())</f>
        <v/>
      </c>
      <c r="F361" s="32">
        <f>IFERROR(IF(ISNUMBER($A361),IF(AND(AH!$U$12=1,356+1=AH!$U$6),IF(AH!$U$4=0,"unavailable",INDEX('Market Data'!$AO$5:$AO$66,AH!$U$4)),IF(AH!$U$5=1,INDEX('Live History'!$E$5:$E$3004,MATCH($A361,'Live History'!$D$5:$D$3004,1)),INDEX('AH History'!$D$5:$GG$1380,$K361,AH!$U$10+1))),NA()),NA())</f>
        <v/>
      </c>
      <c r="G361" s="34">
        <f>IFERROR(IF(ISNUMBER($A361),IF(AND(AH!$U$12=1,356+1=AH!$U$6),IF(AH!$U$4=0,"unavailable",INDEX('Market Data'!$AK$5:$AK$66,AH!$U$4)),IF(AH!$U$5=1,INDEX('Live History'!$D$5:$D$3004,MATCH($A361,'Live History'!$D$5:$D$3004,1)),INDEX('AH History'!$D$5:$GG$1380,$K361,AH!$U$10+2))),NA()),NA())</f>
        <v/>
      </c>
      <c r="H361" s="266">
        <f>IFERROR(IF(ISNUMBER($A361),IF(AND(AH!$U$12=1,356+1=AH!$U$6),IF(AH!$U$4=0,"unavailable",INDEX('Market Data'!$AP$5:$AP$66,AH!$U$4)),IF(AH!$U$5=1,INDEX('Live History'!$H$5:$H$3004,MATCH($A361,'Live History'!$G$5:$G$3004,1)),INDEX('AH History'!$B$5:$B$1380,$K361))),NA()),NA())</f>
        <v/>
      </c>
      <c r="I361" s="34">
        <f>IFERROR(IF(ISNUMBER($A361),IF(AND(AH!$U$12=1,356+1=AH!$U$6),TODAY(),IF(AH!$U$5=1,INDEX('Live History'!$G$5:$G$3004,MATCH($A361,'Live History'!$G$5:$G$3004,1)),INDEX('AH History'!$C$5:$C$1380,$K361))),NA()),NA())</f>
        <v/>
      </c>
      <c r="J361" s="32">
        <f>IFERROR(IF(AND($F361&gt;0,$H361&gt;0,$A361-$G361&lt;=10,$A361-$I361&lt;=5,$G361&gt;0,$I361&gt;0),$F361*$H361,NA()),NA())</f>
        <v/>
      </c>
      <c r="K361" s="15">
        <f>IF($A361="","",IF(AH!$U$5=1,IFERROR(MATCH($A361,'Live History'!$A$5:$A$3004,0),0),AH!$U$7+356))</f>
        <v/>
      </c>
      <c r="L361" s="15">
        <f>IF(ISNUMBER(A361),TEXT(A361,"dd-mmm-yy"),"")</f>
        <v/>
      </c>
    </row>
    <row r="362">
      <c r="A362" s="14">
        <f>IF(OR(AH!$U$4=0,357+1&gt;AH!$U$6,AND(AH!$M$5="Bloomberg",AH!$U$5=0)),"",IFERROR(IF(AND(AH!$U$12=1,357+1=AH!$U$6),TODAY(),IF(AH!$U$5=1,INDEX('Live History'!$A$5:$A$3004,AH!$U$7+357),INDEX('AH History'!$A$5:$A$1380,AH!$U$7+357))),""))</f>
        <v/>
      </c>
      <c r="B362" s="33">
        <f>IFERROR(IF(AH!$U$11=1,NA(),$J362/$E362-1),NA())</f>
        <v/>
      </c>
      <c r="C362" s="269">
        <f>IFERROR(100*$E362/$E$5,NA())</f>
        <v/>
      </c>
      <c r="D362" s="269">
        <f>IFERROR(100*$J362/$J$5,NA())</f>
        <v/>
      </c>
      <c r="E362" s="32">
        <f>IFERROR(IF(AND(ISNUMBER($A362),N(IF(AND(AH!$U$12=1,357+1=AH!$U$6),IF(AH!$U$4=0,"unavailable",INDEX('Market Data'!$AN$5:$AN$66,AH!$U$4)),IF(AH!$U$5=1,INDEX('Live History'!$B$5:$B$3004,$K362),INDEX('AH History'!$D$5:$GG$1380,$K362,AH!$U$10))))&gt;0),IF(AND(AH!$U$12=1,357+1=AH!$U$6),IF(AH!$U$4=0,"unavailable",INDEX('Market Data'!$AN$5:$AN$66,AH!$U$4)),IF(AH!$U$5=1,INDEX('Live History'!$B$5:$B$3004,$K362),INDEX('AH History'!$D$5:$GG$1380,$K362,AH!$U$10))),NA()),NA())</f>
        <v/>
      </c>
      <c r="F362" s="32">
        <f>IFERROR(IF(ISNUMBER($A362),IF(AND(AH!$U$12=1,357+1=AH!$U$6),IF(AH!$U$4=0,"unavailable",INDEX('Market Data'!$AO$5:$AO$66,AH!$U$4)),IF(AH!$U$5=1,INDEX('Live History'!$E$5:$E$3004,MATCH($A362,'Live History'!$D$5:$D$3004,1)),INDEX('AH History'!$D$5:$GG$1380,$K362,AH!$U$10+1))),NA()),NA())</f>
        <v/>
      </c>
      <c r="G362" s="34">
        <f>IFERROR(IF(ISNUMBER($A362),IF(AND(AH!$U$12=1,357+1=AH!$U$6),IF(AH!$U$4=0,"unavailable",INDEX('Market Data'!$AK$5:$AK$66,AH!$U$4)),IF(AH!$U$5=1,INDEX('Live History'!$D$5:$D$3004,MATCH($A362,'Live History'!$D$5:$D$3004,1)),INDEX('AH History'!$D$5:$GG$1380,$K362,AH!$U$10+2))),NA()),NA())</f>
        <v/>
      </c>
      <c r="H362" s="266">
        <f>IFERROR(IF(ISNUMBER($A362),IF(AND(AH!$U$12=1,357+1=AH!$U$6),IF(AH!$U$4=0,"unavailable",INDEX('Market Data'!$AP$5:$AP$66,AH!$U$4)),IF(AH!$U$5=1,INDEX('Live History'!$H$5:$H$3004,MATCH($A362,'Live History'!$G$5:$G$3004,1)),INDEX('AH History'!$B$5:$B$1380,$K362))),NA()),NA())</f>
        <v/>
      </c>
      <c r="I362" s="34">
        <f>IFERROR(IF(ISNUMBER($A362),IF(AND(AH!$U$12=1,357+1=AH!$U$6),TODAY(),IF(AH!$U$5=1,INDEX('Live History'!$G$5:$G$3004,MATCH($A362,'Live History'!$G$5:$G$3004,1)),INDEX('AH History'!$C$5:$C$1380,$K362))),NA()),NA())</f>
        <v/>
      </c>
      <c r="J362" s="32">
        <f>IFERROR(IF(AND($F362&gt;0,$H362&gt;0,$A362-$G362&lt;=10,$A362-$I362&lt;=5,$G362&gt;0,$I362&gt;0),$F362*$H362,NA()),NA())</f>
        <v/>
      </c>
      <c r="K362" s="15">
        <f>IF($A362="","",IF(AH!$U$5=1,IFERROR(MATCH($A362,'Live History'!$A$5:$A$3004,0),0),AH!$U$7+357))</f>
        <v/>
      </c>
      <c r="L362" s="15">
        <f>IF(ISNUMBER(A362),TEXT(A362,"dd-mmm-yy"),"")</f>
        <v/>
      </c>
    </row>
    <row r="363">
      <c r="A363" s="14">
        <f>IF(OR(AH!$U$4=0,358+1&gt;AH!$U$6,AND(AH!$M$5="Bloomberg",AH!$U$5=0)),"",IFERROR(IF(AND(AH!$U$12=1,358+1=AH!$U$6),TODAY(),IF(AH!$U$5=1,INDEX('Live History'!$A$5:$A$3004,AH!$U$7+358),INDEX('AH History'!$A$5:$A$1380,AH!$U$7+358))),""))</f>
        <v/>
      </c>
      <c r="B363" s="33">
        <f>IFERROR(IF(AH!$U$11=1,NA(),$J363/$E363-1),NA())</f>
        <v/>
      </c>
      <c r="C363" s="269">
        <f>IFERROR(100*$E363/$E$5,NA())</f>
        <v/>
      </c>
      <c r="D363" s="269">
        <f>IFERROR(100*$J363/$J$5,NA())</f>
        <v/>
      </c>
      <c r="E363" s="32">
        <f>IFERROR(IF(AND(ISNUMBER($A363),N(IF(AND(AH!$U$12=1,358+1=AH!$U$6),IF(AH!$U$4=0,"unavailable",INDEX('Market Data'!$AN$5:$AN$66,AH!$U$4)),IF(AH!$U$5=1,INDEX('Live History'!$B$5:$B$3004,$K363),INDEX('AH History'!$D$5:$GG$1380,$K363,AH!$U$10))))&gt;0),IF(AND(AH!$U$12=1,358+1=AH!$U$6),IF(AH!$U$4=0,"unavailable",INDEX('Market Data'!$AN$5:$AN$66,AH!$U$4)),IF(AH!$U$5=1,INDEX('Live History'!$B$5:$B$3004,$K363),INDEX('AH History'!$D$5:$GG$1380,$K363,AH!$U$10))),NA()),NA())</f>
        <v/>
      </c>
      <c r="F363" s="32">
        <f>IFERROR(IF(ISNUMBER($A363),IF(AND(AH!$U$12=1,358+1=AH!$U$6),IF(AH!$U$4=0,"unavailable",INDEX('Market Data'!$AO$5:$AO$66,AH!$U$4)),IF(AH!$U$5=1,INDEX('Live History'!$E$5:$E$3004,MATCH($A363,'Live History'!$D$5:$D$3004,1)),INDEX('AH History'!$D$5:$GG$1380,$K363,AH!$U$10+1))),NA()),NA())</f>
        <v/>
      </c>
      <c r="G363" s="34">
        <f>IFERROR(IF(ISNUMBER($A363),IF(AND(AH!$U$12=1,358+1=AH!$U$6),IF(AH!$U$4=0,"unavailable",INDEX('Market Data'!$AK$5:$AK$66,AH!$U$4)),IF(AH!$U$5=1,INDEX('Live History'!$D$5:$D$3004,MATCH($A363,'Live History'!$D$5:$D$3004,1)),INDEX('AH History'!$D$5:$GG$1380,$K363,AH!$U$10+2))),NA()),NA())</f>
        <v/>
      </c>
      <c r="H363" s="266">
        <f>IFERROR(IF(ISNUMBER($A363),IF(AND(AH!$U$12=1,358+1=AH!$U$6),IF(AH!$U$4=0,"unavailable",INDEX('Market Data'!$AP$5:$AP$66,AH!$U$4)),IF(AH!$U$5=1,INDEX('Live History'!$H$5:$H$3004,MATCH($A363,'Live History'!$G$5:$G$3004,1)),INDEX('AH History'!$B$5:$B$1380,$K363))),NA()),NA())</f>
        <v/>
      </c>
      <c r="I363" s="34">
        <f>IFERROR(IF(ISNUMBER($A363),IF(AND(AH!$U$12=1,358+1=AH!$U$6),TODAY(),IF(AH!$U$5=1,INDEX('Live History'!$G$5:$G$3004,MATCH($A363,'Live History'!$G$5:$G$3004,1)),INDEX('AH History'!$C$5:$C$1380,$K363))),NA()),NA())</f>
        <v/>
      </c>
      <c r="J363" s="32">
        <f>IFERROR(IF(AND($F363&gt;0,$H363&gt;0,$A363-$G363&lt;=10,$A363-$I363&lt;=5,$G363&gt;0,$I363&gt;0),$F363*$H363,NA()),NA())</f>
        <v/>
      </c>
      <c r="K363" s="15">
        <f>IF($A363="","",IF(AH!$U$5=1,IFERROR(MATCH($A363,'Live History'!$A$5:$A$3004,0),0),AH!$U$7+358))</f>
        <v/>
      </c>
      <c r="L363" s="15">
        <f>IF(ISNUMBER(A363),TEXT(A363,"dd-mmm-yy"),"")</f>
        <v/>
      </c>
    </row>
    <row r="364">
      <c r="A364" s="14">
        <f>IF(OR(AH!$U$4=0,359+1&gt;AH!$U$6,AND(AH!$M$5="Bloomberg",AH!$U$5=0)),"",IFERROR(IF(AND(AH!$U$12=1,359+1=AH!$U$6),TODAY(),IF(AH!$U$5=1,INDEX('Live History'!$A$5:$A$3004,AH!$U$7+359),INDEX('AH History'!$A$5:$A$1380,AH!$U$7+359))),""))</f>
        <v/>
      </c>
      <c r="B364" s="33">
        <f>IFERROR(IF(AH!$U$11=1,NA(),$J364/$E364-1),NA())</f>
        <v/>
      </c>
      <c r="C364" s="269">
        <f>IFERROR(100*$E364/$E$5,NA())</f>
        <v/>
      </c>
      <c r="D364" s="269">
        <f>IFERROR(100*$J364/$J$5,NA())</f>
        <v/>
      </c>
      <c r="E364" s="32">
        <f>IFERROR(IF(AND(ISNUMBER($A364),N(IF(AND(AH!$U$12=1,359+1=AH!$U$6),IF(AH!$U$4=0,"unavailable",INDEX('Market Data'!$AN$5:$AN$66,AH!$U$4)),IF(AH!$U$5=1,INDEX('Live History'!$B$5:$B$3004,$K364),INDEX('AH History'!$D$5:$GG$1380,$K364,AH!$U$10))))&gt;0),IF(AND(AH!$U$12=1,359+1=AH!$U$6),IF(AH!$U$4=0,"unavailable",INDEX('Market Data'!$AN$5:$AN$66,AH!$U$4)),IF(AH!$U$5=1,INDEX('Live History'!$B$5:$B$3004,$K364),INDEX('AH History'!$D$5:$GG$1380,$K364,AH!$U$10))),NA()),NA())</f>
        <v/>
      </c>
      <c r="F364" s="32">
        <f>IFERROR(IF(ISNUMBER($A364),IF(AND(AH!$U$12=1,359+1=AH!$U$6),IF(AH!$U$4=0,"unavailable",INDEX('Market Data'!$AO$5:$AO$66,AH!$U$4)),IF(AH!$U$5=1,INDEX('Live History'!$E$5:$E$3004,MATCH($A364,'Live History'!$D$5:$D$3004,1)),INDEX('AH History'!$D$5:$GG$1380,$K364,AH!$U$10+1))),NA()),NA())</f>
        <v/>
      </c>
      <c r="G364" s="34">
        <f>IFERROR(IF(ISNUMBER($A364),IF(AND(AH!$U$12=1,359+1=AH!$U$6),IF(AH!$U$4=0,"unavailable",INDEX('Market Data'!$AK$5:$AK$66,AH!$U$4)),IF(AH!$U$5=1,INDEX('Live History'!$D$5:$D$3004,MATCH($A364,'Live History'!$D$5:$D$3004,1)),INDEX('AH History'!$D$5:$GG$1380,$K364,AH!$U$10+2))),NA()),NA())</f>
        <v/>
      </c>
      <c r="H364" s="266">
        <f>IFERROR(IF(ISNUMBER($A364),IF(AND(AH!$U$12=1,359+1=AH!$U$6),IF(AH!$U$4=0,"unavailable",INDEX('Market Data'!$AP$5:$AP$66,AH!$U$4)),IF(AH!$U$5=1,INDEX('Live History'!$H$5:$H$3004,MATCH($A364,'Live History'!$G$5:$G$3004,1)),INDEX('AH History'!$B$5:$B$1380,$K364))),NA()),NA())</f>
        <v/>
      </c>
      <c r="I364" s="34">
        <f>IFERROR(IF(ISNUMBER($A364),IF(AND(AH!$U$12=1,359+1=AH!$U$6),TODAY(),IF(AH!$U$5=1,INDEX('Live History'!$G$5:$G$3004,MATCH($A364,'Live History'!$G$5:$G$3004,1)),INDEX('AH History'!$C$5:$C$1380,$K364))),NA()),NA())</f>
        <v/>
      </c>
      <c r="J364" s="32">
        <f>IFERROR(IF(AND($F364&gt;0,$H364&gt;0,$A364-$G364&lt;=10,$A364-$I364&lt;=5,$G364&gt;0,$I364&gt;0),$F364*$H364,NA()),NA())</f>
        <v/>
      </c>
      <c r="K364" s="15">
        <f>IF($A364="","",IF(AH!$U$5=1,IFERROR(MATCH($A364,'Live History'!$A$5:$A$3004,0),0),AH!$U$7+359))</f>
        <v/>
      </c>
      <c r="L364" s="15">
        <f>IF(ISNUMBER(A364),TEXT(A364,"dd-mmm-yy"),"")</f>
        <v/>
      </c>
    </row>
    <row r="365">
      <c r="A365" s="14">
        <f>IF(OR(AH!$U$4=0,360+1&gt;AH!$U$6,AND(AH!$M$5="Bloomberg",AH!$U$5=0)),"",IFERROR(IF(AND(AH!$U$12=1,360+1=AH!$U$6),TODAY(),IF(AH!$U$5=1,INDEX('Live History'!$A$5:$A$3004,AH!$U$7+360),INDEX('AH History'!$A$5:$A$1380,AH!$U$7+360))),""))</f>
        <v/>
      </c>
      <c r="B365" s="33">
        <f>IFERROR(IF(AH!$U$11=1,NA(),$J365/$E365-1),NA())</f>
        <v/>
      </c>
      <c r="C365" s="269">
        <f>IFERROR(100*$E365/$E$5,NA())</f>
        <v/>
      </c>
      <c r="D365" s="269">
        <f>IFERROR(100*$J365/$J$5,NA())</f>
        <v/>
      </c>
      <c r="E365" s="32">
        <f>IFERROR(IF(AND(ISNUMBER($A365),N(IF(AND(AH!$U$12=1,360+1=AH!$U$6),IF(AH!$U$4=0,"unavailable",INDEX('Market Data'!$AN$5:$AN$66,AH!$U$4)),IF(AH!$U$5=1,INDEX('Live History'!$B$5:$B$3004,$K365),INDEX('AH History'!$D$5:$GG$1380,$K365,AH!$U$10))))&gt;0),IF(AND(AH!$U$12=1,360+1=AH!$U$6),IF(AH!$U$4=0,"unavailable",INDEX('Market Data'!$AN$5:$AN$66,AH!$U$4)),IF(AH!$U$5=1,INDEX('Live History'!$B$5:$B$3004,$K365),INDEX('AH History'!$D$5:$GG$1380,$K365,AH!$U$10))),NA()),NA())</f>
        <v/>
      </c>
      <c r="F365" s="32">
        <f>IFERROR(IF(ISNUMBER($A365),IF(AND(AH!$U$12=1,360+1=AH!$U$6),IF(AH!$U$4=0,"unavailable",INDEX('Market Data'!$AO$5:$AO$66,AH!$U$4)),IF(AH!$U$5=1,INDEX('Live History'!$E$5:$E$3004,MATCH($A365,'Live History'!$D$5:$D$3004,1)),INDEX('AH History'!$D$5:$GG$1380,$K365,AH!$U$10+1))),NA()),NA())</f>
        <v/>
      </c>
      <c r="G365" s="34">
        <f>IFERROR(IF(ISNUMBER($A365),IF(AND(AH!$U$12=1,360+1=AH!$U$6),IF(AH!$U$4=0,"unavailable",INDEX('Market Data'!$AK$5:$AK$66,AH!$U$4)),IF(AH!$U$5=1,INDEX('Live History'!$D$5:$D$3004,MATCH($A365,'Live History'!$D$5:$D$3004,1)),INDEX('AH History'!$D$5:$GG$1380,$K365,AH!$U$10+2))),NA()),NA())</f>
        <v/>
      </c>
      <c r="H365" s="266">
        <f>IFERROR(IF(ISNUMBER($A365),IF(AND(AH!$U$12=1,360+1=AH!$U$6),IF(AH!$U$4=0,"unavailable",INDEX('Market Data'!$AP$5:$AP$66,AH!$U$4)),IF(AH!$U$5=1,INDEX('Live History'!$H$5:$H$3004,MATCH($A365,'Live History'!$G$5:$G$3004,1)),INDEX('AH History'!$B$5:$B$1380,$K365))),NA()),NA())</f>
        <v/>
      </c>
      <c r="I365" s="34">
        <f>IFERROR(IF(ISNUMBER($A365),IF(AND(AH!$U$12=1,360+1=AH!$U$6),TODAY(),IF(AH!$U$5=1,INDEX('Live History'!$G$5:$G$3004,MATCH($A365,'Live History'!$G$5:$G$3004,1)),INDEX('AH History'!$C$5:$C$1380,$K365))),NA()),NA())</f>
        <v/>
      </c>
      <c r="J365" s="32">
        <f>IFERROR(IF(AND($F365&gt;0,$H365&gt;0,$A365-$G365&lt;=10,$A365-$I365&lt;=5,$G365&gt;0,$I365&gt;0),$F365*$H365,NA()),NA())</f>
        <v/>
      </c>
      <c r="K365" s="15">
        <f>IF($A365="","",IF(AH!$U$5=1,IFERROR(MATCH($A365,'Live History'!$A$5:$A$3004,0),0),AH!$U$7+360))</f>
        <v/>
      </c>
      <c r="L365" s="15">
        <f>IF(ISNUMBER(A365),TEXT(A365,"dd-mmm-yy"),"")</f>
        <v/>
      </c>
    </row>
    <row r="366">
      <c r="A366" s="14">
        <f>IF(OR(AH!$U$4=0,361+1&gt;AH!$U$6,AND(AH!$M$5="Bloomberg",AH!$U$5=0)),"",IFERROR(IF(AND(AH!$U$12=1,361+1=AH!$U$6),TODAY(),IF(AH!$U$5=1,INDEX('Live History'!$A$5:$A$3004,AH!$U$7+361),INDEX('AH History'!$A$5:$A$1380,AH!$U$7+361))),""))</f>
        <v/>
      </c>
      <c r="B366" s="33">
        <f>IFERROR(IF(AH!$U$11=1,NA(),$J366/$E366-1),NA())</f>
        <v/>
      </c>
      <c r="C366" s="269">
        <f>IFERROR(100*$E366/$E$5,NA())</f>
        <v/>
      </c>
      <c r="D366" s="269">
        <f>IFERROR(100*$J366/$J$5,NA())</f>
        <v/>
      </c>
      <c r="E366" s="32">
        <f>IFERROR(IF(AND(ISNUMBER($A366),N(IF(AND(AH!$U$12=1,361+1=AH!$U$6),IF(AH!$U$4=0,"unavailable",INDEX('Market Data'!$AN$5:$AN$66,AH!$U$4)),IF(AH!$U$5=1,INDEX('Live History'!$B$5:$B$3004,$K366),INDEX('AH History'!$D$5:$GG$1380,$K366,AH!$U$10))))&gt;0),IF(AND(AH!$U$12=1,361+1=AH!$U$6),IF(AH!$U$4=0,"unavailable",INDEX('Market Data'!$AN$5:$AN$66,AH!$U$4)),IF(AH!$U$5=1,INDEX('Live History'!$B$5:$B$3004,$K366),INDEX('AH History'!$D$5:$GG$1380,$K366,AH!$U$10))),NA()),NA())</f>
        <v/>
      </c>
      <c r="F366" s="32">
        <f>IFERROR(IF(ISNUMBER($A366),IF(AND(AH!$U$12=1,361+1=AH!$U$6),IF(AH!$U$4=0,"unavailable",INDEX('Market Data'!$AO$5:$AO$66,AH!$U$4)),IF(AH!$U$5=1,INDEX('Live History'!$E$5:$E$3004,MATCH($A366,'Live History'!$D$5:$D$3004,1)),INDEX('AH History'!$D$5:$GG$1380,$K366,AH!$U$10+1))),NA()),NA())</f>
        <v/>
      </c>
      <c r="G366" s="34">
        <f>IFERROR(IF(ISNUMBER($A366),IF(AND(AH!$U$12=1,361+1=AH!$U$6),IF(AH!$U$4=0,"unavailable",INDEX('Market Data'!$AK$5:$AK$66,AH!$U$4)),IF(AH!$U$5=1,INDEX('Live History'!$D$5:$D$3004,MATCH($A366,'Live History'!$D$5:$D$3004,1)),INDEX('AH History'!$D$5:$GG$1380,$K366,AH!$U$10+2))),NA()),NA())</f>
        <v/>
      </c>
      <c r="H366" s="266">
        <f>IFERROR(IF(ISNUMBER($A366),IF(AND(AH!$U$12=1,361+1=AH!$U$6),IF(AH!$U$4=0,"unavailable",INDEX('Market Data'!$AP$5:$AP$66,AH!$U$4)),IF(AH!$U$5=1,INDEX('Live History'!$H$5:$H$3004,MATCH($A366,'Live History'!$G$5:$G$3004,1)),INDEX('AH History'!$B$5:$B$1380,$K366))),NA()),NA())</f>
        <v/>
      </c>
      <c r="I366" s="34">
        <f>IFERROR(IF(ISNUMBER($A366),IF(AND(AH!$U$12=1,361+1=AH!$U$6),TODAY(),IF(AH!$U$5=1,INDEX('Live History'!$G$5:$G$3004,MATCH($A366,'Live History'!$G$5:$G$3004,1)),INDEX('AH History'!$C$5:$C$1380,$K366))),NA()),NA())</f>
        <v/>
      </c>
      <c r="J366" s="32">
        <f>IFERROR(IF(AND($F366&gt;0,$H366&gt;0,$A366-$G366&lt;=10,$A366-$I366&lt;=5,$G366&gt;0,$I366&gt;0),$F366*$H366,NA()),NA())</f>
        <v/>
      </c>
      <c r="K366" s="15">
        <f>IF($A366="","",IF(AH!$U$5=1,IFERROR(MATCH($A366,'Live History'!$A$5:$A$3004,0),0),AH!$U$7+361))</f>
        <v/>
      </c>
      <c r="L366" s="15">
        <f>IF(ISNUMBER(A366),TEXT(A366,"dd-mmm-yy"),"")</f>
        <v/>
      </c>
    </row>
    <row r="367">
      <c r="A367" s="14">
        <f>IF(OR(AH!$U$4=0,362+1&gt;AH!$U$6,AND(AH!$M$5="Bloomberg",AH!$U$5=0)),"",IFERROR(IF(AND(AH!$U$12=1,362+1=AH!$U$6),TODAY(),IF(AH!$U$5=1,INDEX('Live History'!$A$5:$A$3004,AH!$U$7+362),INDEX('AH History'!$A$5:$A$1380,AH!$U$7+362))),""))</f>
        <v/>
      </c>
      <c r="B367" s="33">
        <f>IFERROR(IF(AH!$U$11=1,NA(),$J367/$E367-1),NA())</f>
        <v/>
      </c>
      <c r="C367" s="269">
        <f>IFERROR(100*$E367/$E$5,NA())</f>
        <v/>
      </c>
      <c r="D367" s="269">
        <f>IFERROR(100*$J367/$J$5,NA())</f>
        <v/>
      </c>
      <c r="E367" s="32">
        <f>IFERROR(IF(AND(ISNUMBER($A367),N(IF(AND(AH!$U$12=1,362+1=AH!$U$6),IF(AH!$U$4=0,"unavailable",INDEX('Market Data'!$AN$5:$AN$66,AH!$U$4)),IF(AH!$U$5=1,INDEX('Live History'!$B$5:$B$3004,$K367),INDEX('AH History'!$D$5:$GG$1380,$K367,AH!$U$10))))&gt;0),IF(AND(AH!$U$12=1,362+1=AH!$U$6),IF(AH!$U$4=0,"unavailable",INDEX('Market Data'!$AN$5:$AN$66,AH!$U$4)),IF(AH!$U$5=1,INDEX('Live History'!$B$5:$B$3004,$K367),INDEX('AH History'!$D$5:$GG$1380,$K367,AH!$U$10))),NA()),NA())</f>
        <v/>
      </c>
      <c r="F367" s="32">
        <f>IFERROR(IF(ISNUMBER($A367),IF(AND(AH!$U$12=1,362+1=AH!$U$6),IF(AH!$U$4=0,"unavailable",INDEX('Market Data'!$AO$5:$AO$66,AH!$U$4)),IF(AH!$U$5=1,INDEX('Live History'!$E$5:$E$3004,MATCH($A367,'Live History'!$D$5:$D$3004,1)),INDEX('AH History'!$D$5:$GG$1380,$K367,AH!$U$10+1))),NA()),NA())</f>
        <v/>
      </c>
      <c r="G367" s="34">
        <f>IFERROR(IF(ISNUMBER($A367),IF(AND(AH!$U$12=1,362+1=AH!$U$6),IF(AH!$U$4=0,"unavailable",INDEX('Market Data'!$AK$5:$AK$66,AH!$U$4)),IF(AH!$U$5=1,INDEX('Live History'!$D$5:$D$3004,MATCH($A367,'Live History'!$D$5:$D$3004,1)),INDEX('AH History'!$D$5:$GG$1380,$K367,AH!$U$10+2))),NA()),NA())</f>
        <v/>
      </c>
      <c r="H367" s="266">
        <f>IFERROR(IF(ISNUMBER($A367),IF(AND(AH!$U$12=1,362+1=AH!$U$6),IF(AH!$U$4=0,"unavailable",INDEX('Market Data'!$AP$5:$AP$66,AH!$U$4)),IF(AH!$U$5=1,INDEX('Live History'!$H$5:$H$3004,MATCH($A367,'Live History'!$G$5:$G$3004,1)),INDEX('AH History'!$B$5:$B$1380,$K367))),NA()),NA())</f>
        <v/>
      </c>
      <c r="I367" s="34">
        <f>IFERROR(IF(ISNUMBER($A367),IF(AND(AH!$U$12=1,362+1=AH!$U$6),TODAY(),IF(AH!$U$5=1,INDEX('Live History'!$G$5:$G$3004,MATCH($A367,'Live History'!$G$5:$G$3004,1)),INDEX('AH History'!$C$5:$C$1380,$K367))),NA()),NA())</f>
        <v/>
      </c>
      <c r="J367" s="32">
        <f>IFERROR(IF(AND($F367&gt;0,$H367&gt;0,$A367-$G367&lt;=10,$A367-$I367&lt;=5,$G367&gt;0,$I367&gt;0),$F367*$H367,NA()),NA())</f>
        <v/>
      </c>
      <c r="K367" s="15">
        <f>IF($A367="","",IF(AH!$U$5=1,IFERROR(MATCH($A367,'Live History'!$A$5:$A$3004,0),0),AH!$U$7+362))</f>
        <v/>
      </c>
      <c r="L367" s="15">
        <f>IF(ISNUMBER(A367),TEXT(A367,"dd-mmm-yy"),"")</f>
        <v/>
      </c>
    </row>
    <row r="368">
      <c r="A368" s="14">
        <f>IF(OR(AH!$U$4=0,363+1&gt;AH!$U$6,AND(AH!$M$5="Bloomberg",AH!$U$5=0)),"",IFERROR(IF(AND(AH!$U$12=1,363+1=AH!$U$6),TODAY(),IF(AH!$U$5=1,INDEX('Live History'!$A$5:$A$3004,AH!$U$7+363),INDEX('AH History'!$A$5:$A$1380,AH!$U$7+363))),""))</f>
        <v/>
      </c>
      <c r="B368" s="33">
        <f>IFERROR(IF(AH!$U$11=1,NA(),$J368/$E368-1),NA())</f>
        <v/>
      </c>
      <c r="C368" s="269">
        <f>IFERROR(100*$E368/$E$5,NA())</f>
        <v/>
      </c>
      <c r="D368" s="269">
        <f>IFERROR(100*$J368/$J$5,NA())</f>
        <v/>
      </c>
      <c r="E368" s="32">
        <f>IFERROR(IF(AND(ISNUMBER($A368),N(IF(AND(AH!$U$12=1,363+1=AH!$U$6),IF(AH!$U$4=0,"unavailable",INDEX('Market Data'!$AN$5:$AN$66,AH!$U$4)),IF(AH!$U$5=1,INDEX('Live History'!$B$5:$B$3004,$K368),INDEX('AH History'!$D$5:$GG$1380,$K368,AH!$U$10))))&gt;0),IF(AND(AH!$U$12=1,363+1=AH!$U$6),IF(AH!$U$4=0,"unavailable",INDEX('Market Data'!$AN$5:$AN$66,AH!$U$4)),IF(AH!$U$5=1,INDEX('Live History'!$B$5:$B$3004,$K368),INDEX('AH History'!$D$5:$GG$1380,$K368,AH!$U$10))),NA()),NA())</f>
        <v/>
      </c>
      <c r="F368" s="32">
        <f>IFERROR(IF(ISNUMBER($A368),IF(AND(AH!$U$12=1,363+1=AH!$U$6),IF(AH!$U$4=0,"unavailable",INDEX('Market Data'!$AO$5:$AO$66,AH!$U$4)),IF(AH!$U$5=1,INDEX('Live History'!$E$5:$E$3004,MATCH($A368,'Live History'!$D$5:$D$3004,1)),INDEX('AH History'!$D$5:$GG$1380,$K368,AH!$U$10+1))),NA()),NA())</f>
        <v/>
      </c>
      <c r="G368" s="34">
        <f>IFERROR(IF(ISNUMBER($A368),IF(AND(AH!$U$12=1,363+1=AH!$U$6),IF(AH!$U$4=0,"unavailable",INDEX('Market Data'!$AK$5:$AK$66,AH!$U$4)),IF(AH!$U$5=1,INDEX('Live History'!$D$5:$D$3004,MATCH($A368,'Live History'!$D$5:$D$3004,1)),INDEX('AH History'!$D$5:$GG$1380,$K368,AH!$U$10+2))),NA()),NA())</f>
        <v/>
      </c>
      <c r="H368" s="266">
        <f>IFERROR(IF(ISNUMBER($A368),IF(AND(AH!$U$12=1,363+1=AH!$U$6),IF(AH!$U$4=0,"unavailable",INDEX('Market Data'!$AP$5:$AP$66,AH!$U$4)),IF(AH!$U$5=1,INDEX('Live History'!$H$5:$H$3004,MATCH($A368,'Live History'!$G$5:$G$3004,1)),INDEX('AH History'!$B$5:$B$1380,$K368))),NA()),NA())</f>
        <v/>
      </c>
      <c r="I368" s="34">
        <f>IFERROR(IF(ISNUMBER($A368),IF(AND(AH!$U$12=1,363+1=AH!$U$6),TODAY(),IF(AH!$U$5=1,INDEX('Live History'!$G$5:$G$3004,MATCH($A368,'Live History'!$G$5:$G$3004,1)),INDEX('AH History'!$C$5:$C$1380,$K368))),NA()),NA())</f>
        <v/>
      </c>
      <c r="J368" s="32">
        <f>IFERROR(IF(AND($F368&gt;0,$H368&gt;0,$A368-$G368&lt;=10,$A368-$I368&lt;=5,$G368&gt;0,$I368&gt;0),$F368*$H368,NA()),NA())</f>
        <v/>
      </c>
      <c r="K368" s="15">
        <f>IF($A368="","",IF(AH!$U$5=1,IFERROR(MATCH($A368,'Live History'!$A$5:$A$3004,0),0),AH!$U$7+363))</f>
        <v/>
      </c>
      <c r="L368" s="15">
        <f>IF(ISNUMBER(A368),TEXT(A368,"dd-mmm-yy"),"")</f>
        <v/>
      </c>
    </row>
    <row r="369">
      <c r="A369" s="14">
        <f>IF(OR(AH!$U$4=0,364+1&gt;AH!$U$6,AND(AH!$M$5="Bloomberg",AH!$U$5=0)),"",IFERROR(IF(AND(AH!$U$12=1,364+1=AH!$U$6),TODAY(),IF(AH!$U$5=1,INDEX('Live History'!$A$5:$A$3004,AH!$U$7+364),INDEX('AH History'!$A$5:$A$1380,AH!$U$7+364))),""))</f>
        <v/>
      </c>
      <c r="B369" s="33">
        <f>IFERROR(IF(AH!$U$11=1,NA(),$J369/$E369-1),NA())</f>
        <v/>
      </c>
      <c r="C369" s="269">
        <f>IFERROR(100*$E369/$E$5,NA())</f>
        <v/>
      </c>
      <c r="D369" s="269">
        <f>IFERROR(100*$J369/$J$5,NA())</f>
        <v/>
      </c>
      <c r="E369" s="32">
        <f>IFERROR(IF(AND(ISNUMBER($A369),N(IF(AND(AH!$U$12=1,364+1=AH!$U$6),IF(AH!$U$4=0,"unavailable",INDEX('Market Data'!$AN$5:$AN$66,AH!$U$4)),IF(AH!$U$5=1,INDEX('Live History'!$B$5:$B$3004,$K369),INDEX('AH History'!$D$5:$GG$1380,$K369,AH!$U$10))))&gt;0),IF(AND(AH!$U$12=1,364+1=AH!$U$6),IF(AH!$U$4=0,"unavailable",INDEX('Market Data'!$AN$5:$AN$66,AH!$U$4)),IF(AH!$U$5=1,INDEX('Live History'!$B$5:$B$3004,$K369),INDEX('AH History'!$D$5:$GG$1380,$K369,AH!$U$10))),NA()),NA())</f>
        <v/>
      </c>
      <c r="F369" s="32">
        <f>IFERROR(IF(ISNUMBER($A369),IF(AND(AH!$U$12=1,364+1=AH!$U$6),IF(AH!$U$4=0,"unavailable",INDEX('Market Data'!$AO$5:$AO$66,AH!$U$4)),IF(AH!$U$5=1,INDEX('Live History'!$E$5:$E$3004,MATCH($A369,'Live History'!$D$5:$D$3004,1)),INDEX('AH History'!$D$5:$GG$1380,$K369,AH!$U$10+1))),NA()),NA())</f>
        <v/>
      </c>
      <c r="G369" s="34">
        <f>IFERROR(IF(ISNUMBER($A369),IF(AND(AH!$U$12=1,364+1=AH!$U$6),IF(AH!$U$4=0,"unavailable",INDEX('Market Data'!$AK$5:$AK$66,AH!$U$4)),IF(AH!$U$5=1,INDEX('Live History'!$D$5:$D$3004,MATCH($A369,'Live History'!$D$5:$D$3004,1)),INDEX('AH History'!$D$5:$GG$1380,$K369,AH!$U$10+2))),NA()),NA())</f>
        <v/>
      </c>
      <c r="H369" s="266">
        <f>IFERROR(IF(ISNUMBER($A369),IF(AND(AH!$U$12=1,364+1=AH!$U$6),IF(AH!$U$4=0,"unavailable",INDEX('Market Data'!$AP$5:$AP$66,AH!$U$4)),IF(AH!$U$5=1,INDEX('Live History'!$H$5:$H$3004,MATCH($A369,'Live History'!$G$5:$G$3004,1)),INDEX('AH History'!$B$5:$B$1380,$K369))),NA()),NA())</f>
        <v/>
      </c>
      <c r="I369" s="34">
        <f>IFERROR(IF(ISNUMBER($A369),IF(AND(AH!$U$12=1,364+1=AH!$U$6),TODAY(),IF(AH!$U$5=1,INDEX('Live History'!$G$5:$G$3004,MATCH($A369,'Live History'!$G$5:$G$3004,1)),INDEX('AH History'!$C$5:$C$1380,$K369))),NA()),NA())</f>
        <v/>
      </c>
      <c r="J369" s="32">
        <f>IFERROR(IF(AND($F369&gt;0,$H369&gt;0,$A369-$G369&lt;=10,$A369-$I369&lt;=5,$G369&gt;0,$I369&gt;0),$F369*$H369,NA()),NA())</f>
        <v/>
      </c>
      <c r="K369" s="15">
        <f>IF($A369="","",IF(AH!$U$5=1,IFERROR(MATCH($A369,'Live History'!$A$5:$A$3004,0),0),AH!$U$7+364))</f>
        <v/>
      </c>
      <c r="L369" s="15">
        <f>IF(ISNUMBER(A369),TEXT(A369,"dd-mmm-yy"),"")</f>
        <v/>
      </c>
    </row>
    <row r="370">
      <c r="A370" s="14">
        <f>IF(OR(AH!$U$4=0,365+1&gt;AH!$U$6,AND(AH!$M$5="Bloomberg",AH!$U$5=0)),"",IFERROR(IF(AND(AH!$U$12=1,365+1=AH!$U$6),TODAY(),IF(AH!$U$5=1,INDEX('Live History'!$A$5:$A$3004,AH!$U$7+365),INDEX('AH History'!$A$5:$A$1380,AH!$U$7+365))),""))</f>
        <v/>
      </c>
      <c r="B370" s="33">
        <f>IFERROR(IF(AH!$U$11=1,NA(),$J370/$E370-1),NA())</f>
        <v/>
      </c>
      <c r="C370" s="269">
        <f>IFERROR(100*$E370/$E$5,NA())</f>
        <v/>
      </c>
      <c r="D370" s="269">
        <f>IFERROR(100*$J370/$J$5,NA())</f>
        <v/>
      </c>
      <c r="E370" s="32">
        <f>IFERROR(IF(AND(ISNUMBER($A370),N(IF(AND(AH!$U$12=1,365+1=AH!$U$6),IF(AH!$U$4=0,"unavailable",INDEX('Market Data'!$AN$5:$AN$66,AH!$U$4)),IF(AH!$U$5=1,INDEX('Live History'!$B$5:$B$3004,$K370),INDEX('AH History'!$D$5:$GG$1380,$K370,AH!$U$10))))&gt;0),IF(AND(AH!$U$12=1,365+1=AH!$U$6),IF(AH!$U$4=0,"unavailable",INDEX('Market Data'!$AN$5:$AN$66,AH!$U$4)),IF(AH!$U$5=1,INDEX('Live History'!$B$5:$B$3004,$K370),INDEX('AH History'!$D$5:$GG$1380,$K370,AH!$U$10))),NA()),NA())</f>
        <v/>
      </c>
      <c r="F370" s="32">
        <f>IFERROR(IF(ISNUMBER($A370),IF(AND(AH!$U$12=1,365+1=AH!$U$6),IF(AH!$U$4=0,"unavailable",INDEX('Market Data'!$AO$5:$AO$66,AH!$U$4)),IF(AH!$U$5=1,INDEX('Live History'!$E$5:$E$3004,MATCH($A370,'Live History'!$D$5:$D$3004,1)),INDEX('AH History'!$D$5:$GG$1380,$K370,AH!$U$10+1))),NA()),NA())</f>
        <v/>
      </c>
      <c r="G370" s="34">
        <f>IFERROR(IF(ISNUMBER($A370),IF(AND(AH!$U$12=1,365+1=AH!$U$6),IF(AH!$U$4=0,"unavailable",INDEX('Market Data'!$AK$5:$AK$66,AH!$U$4)),IF(AH!$U$5=1,INDEX('Live History'!$D$5:$D$3004,MATCH($A370,'Live History'!$D$5:$D$3004,1)),INDEX('AH History'!$D$5:$GG$1380,$K370,AH!$U$10+2))),NA()),NA())</f>
        <v/>
      </c>
      <c r="H370" s="266">
        <f>IFERROR(IF(ISNUMBER($A370),IF(AND(AH!$U$12=1,365+1=AH!$U$6),IF(AH!$U$4=0,"unavailable",INDEX('Market Data'!$AP$5:$AP$66,AH!$U$4)),IF(AH!$U$5=1,INDEX('Live History'!$H$5:$H$3004,MATCH($A370,'Live History'!$G$5:$G$3004,1)),INDEX('AH History'!$B$5:$B$1380,$K370))),NA()),NA())</f>
        <v/>
      </c>
      <c r="I370" s="34">
        <f>IFERROR(IF(ISNUMBER($A370),IF(AND(AH!$U$12=1,365+1=AH!$U$6),TODAY(),IF(AH!$U$5=1,INDEX('Live History'!$G$5:$G$3004,MATCH($A370,'Live History'!$G$5:$G$3004,1)),INDEX('AH History'!$C$5:$C$1380,$K370))),NA()),NA())</f>
        <v/>
      </c>
      <c r="J370" s="32">
        <f>IFERROR(IF(AND($F370&gt;0,$H370&gt;0,$A370-$G370&lt;=10,$A370-$I370&lt;=5,$G370&gt;0,$I370&gt;0),$F370*$H370,NA()),NA())</f>
        <v/>
      </c>
      <c r="K370" s="15">
        <f>IF($A370="","",IF(AH!$U$5=1,IFERROR(MATCH($A370,'Live History'!$A$5:$A$3004,0),0),AH!$U$7+365))</f>
        <v/>
      </c>
      <c r="L370" s="15">
        <f>IF(ISNUMBER(A370),TEXT(A370,"dd-mmm-yy"),"")</f>
        <v/>
      </c>
    </row>
    <row r="371">
      <c r="A371" s="14">
        <f>IF(OR(AH!$U$4=0,366+1&gt;AH!$U$6,AND(AH!$M$5="Bloomberg",AH!$U$5=0)),"",IFERROR(IF(AND(AH!$U$12=1,366+1=AH!$U$6),TODAY(),IF(AH!$U$5=1,INDEX('Live History'!$A$5:$A$3004,AH!$U$7+366),INDEX('AH History'!$A$5:$A$1380,AH!$U$7+366))),""))</f>
        <v/>
      </c>
      <c r="B371" s="33">
        <f>IFERROR(IF(AH!$U$11=1,NA(),$J371/$E371-1),NA())</f>
        <v/>
      </c>
      <c r="C371" s="269">
        <f>IFERROR(100*$E371/$E$5,NA())</f>
        <v/>
      </c>
      <c r="D371" s="269">
        <f>IFERROR(100*$J371/$J$5,NA())</f>
        <v/>
      </c>
      <c r="E371" s="32">
        <f>IFERROR(IF(AND(ISNUMBER($A371),N(IF(AND(AH!$U$12=1,366+1=AH!$U$6),IF(AH!$U$4=0,"unavailable",INDEX('Market Data'!$AN$5:$AN$66,AH!$U$4)),IF(AH!$U$5=1,INDEX('Live History'!$B$5:$B$3004,$K371),INDEX('AH History'!$D$5:$GG$1380,$K371,AH!$U$10))))&gt;0),IF(AND(AH!$U$12=1,366+1=AH!$U$6),IF(AH!$U$4=0,"unavailable",INDEX('Market Data'!$AN$5:$AN$66,AH!$U$4)),IF(AH!$U$5=1,INDEX('Live History'!$B$5:$B$3004,$K371),INDEX('AH History'!$D$5:$GG$1380,$K371,AH!$U$10))),NA()),NA())</f>
        <v/>
      </c>
      <c r="F371" s="32">
        <f>IFERROR(IF(ISNUMBER($A371),IF(AND(AH!$U$12=1,366+1=AH!$U$6),IF(AH!$U$4=0,"unavailable",INDEX('Market Data'!$AO$5:$AO$66,AH!$U$4)),IF(AH!$U$5=1,INDEX('Live History'!$E$5:$E$3004,MATCH($A371,'Live History'!$D$5:$D$3004,1)),INDEX('AH History'!$D$5:$GG$1380,$K371,AH!$U$10+1))),NA()),NA())</f>
        <v/>
      </c>
      <c r="G371" s="34">
        <f>IFERROR(IF(ISNUMBER($A371),IF(AND(AH!$U$12=1,366+1=AH!$U$6),IF(AH!$U$4=0,"unavailable",INDEX('Market Data'!$AK$5:$AK$66,AH!$U$4)),IF(AH!$U$5=1,INDEX('Live History'!$D$5:$D$3004,MATCH($A371,'Live History'!$D$5:$D$3004,1)),INDEX('AH History'!$D$5:$GG$1380,$K371,AH!$U$10+2))),NA()),NA())</f>
        <v/>
      </c>
      <c r="H371" s="266">
        <f>IFERROR(IF(ISNUMBER($A371),IF(AND(AH!$U$12=1,366+1=AH!$U$6),IF(AH!$U$4=0,"unavailable",INDEX('Market Data'!$AP$5:$AP$66,AH!$U$4)),IF(AH!$U$5=1,INDEX('Live History'!$H$5:$H$3004,MATCH($A371,'Live History'!$G$5:$G$3004,1)),INDEX('AH History'!$B$5:$B$1380,$K371))),NA()),NA())</f>
        <v/>
      </c>
      <c r="I371" s="34">
        <f>IFERROR(IF(ISNUMBER($A371),IF(AND(AH!$U$12=1,366+1=AH!$U$6),TODAY(),IF(AH!$U$5=1,INDEX('Live History'!$G$5:$G$3004,MATCH($A371,'Live History'!$G$5:$G$3004,1)),INDEX('AH History'!$C$5:$C$1380,$K371))),NA()),NA())</f>
        <v/>
      </c>
      <c r="J371" s="32">
        <f>IFERROR(IF(AND($F371&gt;0,$H371&gt;0,$A371-$G371&lt;=10,$A371-$I371&lt;=5,$G371&gt;0,$I371&gt;0),$F371*$H371,NA()),NA())</f>
        <v/>
      </c>
      <c r="K371" s="15">
        <f>IF($A371="","",IF(AH!$U$5=1,IFERROR(MATCH($A371,'Live History'!$A$5:$A$3004,0),0),AH!$U$7+366))</f>
        <v/>
      </c>
      <c r="L371" s="15">
        <f>IF(ISNUMBER(A371),TEXT(A371,"dd-mmm-yy"),"")</f>
        <v/>
      </c>
    </row>
    <row r="372">
      <c r="A372" s="14">
        <f>IF(OR(AH!$U$4=0,367+1&gt;AH!$U$6,AND(AH!$M$5="Bloomberg",AH!$U$5=0)),"",IFERROR(IF(AND(AH!$U$12=1,367+1=AH!$U$6),TODAY(),IF(AH!$U$5=1,INDEX('Live History'!$A$5:$A$3004,AH!$U$7+367),INDEX('AH History'!$A$5:$A$1380,AH!$U$7+367))),""))</f>
        <v/>
      </c>
      <c r="B372" s="33">
        <f>IFERROR(IF(AH!$U$11=1,NA(),$J372/$E372-1),NA())</f>
        <v/>
      </c>
      <c r="C372" s="269">
        <f>IFERROR(100*$E372/$E$5,NA())</f>
        <v/>
      </c>
      <c r="D372" s="269">
        <f>IFERROR(100*$J372/$J$5,NA())</f>
        <v/>
      </c>
      <c r="E372" s="32">
        <f>IFERROR(IF(AND(ISNUMBER($A372),N(IF(AND(AH!$U$12=1,367+1=AH!$U$6),IF(AH!$U$4=0,"unavailable",INDEX('Market Data'!$AN$5:$AN$66,AH!$U$4)),IF(AH!$U$5=1,INDEX('Live History'!$B$5:$B$3004,$K372),INDEX('AH History'!$D$5:$GG$1380,$K372,AH!$U$10))))&gt;0),IF(AND(AH!$U$12=1,367+1=AH!$U$6),IF(AH!$U$4=0,"unavailable",INDEX('Market Data'!$AN$5:$AN$66,AH!$U$4)),IF(AH!$U$5=1,INDEX('Live History'!$B$5:$B$3004,$K372),INDEX('AH History'!$D$5:$GG$1380,$K372,AH!$U$10))),NA()),NA())</f>
        <v/>
      </c>
      <c r="F372" s="32">
        <f>IFERROR(IF(ISNUMBER($A372),IF(AND(AH!$U$12=1,367+1=AH!$U$6),IF(AH!$U$4=0,"unavailable",INDEX('Market Data'!$AO$5:$AO$66,AH!$U$4)),IF(AH!$U$5=1,INDEX('Live History'!$E$5:$E$3004,MATCH($A372,'Live History'!$D$5:$D$3004,1)),INDEX('AH History'!$D$5:$GG$1380,$K372,AH!$U$10+1))),NA()),NA())</f>
        <v/>
      </c>
      <c r="G372" s="34">
        <f>IFERROR(IF(ISNUMBER($A372),IF(AND(AH!$U$12=1,367+1=AH!$U$6),IF(AH!$U$4=0,"unavailable",INDEX('Market Data'!$AK$5:$AK$66,AH!$U$4)),IF(AH!$U$5=1,INDEX('Live History'!$D$5:$D$3004,MATCH($A372,'Live History'!$D$5:$D$3004,1)),INDEX('AH History'!$D$5:$GG$1380,$K372,AH!$U$10+2))),NA()),NA())</f>
        <v/>
      </c>
      <c r="H372" s="266">
        <f>IFERROR(IF(ISNUMBER($A372),IF(AND(AH!$U$12=1,367+1=AH!$U$6),IF(AH!$U$4=0,"unavailable",INDEX('Market Data'!$AP$5:$AP$66,AH!$U$4)),IF(AH!$U$5=1,INDEX('Live History'!$H$5:$H$3004,MATCH($A372,'Live History'!$G$5:$G$3004,1)),INDEX('AH History'!$B$5:$B$1380,$K372))),NA()),NA())</f>
        <v/>
      </c>
      <c r="I372" s="34">
        <f>IFERROR(IF(ISNUMBER($A372),IF(AND(AH!$U$12=1,367+1=AH!$U$6),TODAY(),IF(AH!$U$5=1,INDEX('Live History'!$G$5:$G$3004,MATCH($A372,'Live History'!$G$5:$G$3004,1)),INDEX('AH History'!$C$5:$C$1380,$K372))),NA()),NA())</f>
        <v/>
      </c>
      <c r="J372" s="32">
        <f>IFERROR(IF(AND($F372&gt;0,$H372&gt;0,$A372-$G372&lt;=10,$A372-$I372&lt;=5,$G372&gt;0,$I372&gt;0),$F372*$H372,NA()),NA())</f>
        <v/>
      </c>
      <c r="K372" s="15">
        <f>IF($A372="","",IF(AH!$U$5=1,IFERROR(MATCH($A372,'Live History'!$A$5:$A$3004,0),0),AH!$U$7+367))</f>
        <v/>
      </c>
      <c r="L372" s="15">
        <f>IF(ISNUMBER(A372),TEXT(A372,"dd-mmm-yy"),"")</f>
        <v/>
      </c>
    </row>
    <row r="373">
      <c r="A373" s="14">
        <f>IF(OR(AH!$U$4=0,368+1&gt;AH!$U$6,AND(AH!$M$5="Bloomberg",AH!$U$5=0)),"",IFERROR(IF(AND(AH!$U$12=1,368+1=AH!$U$6),TODAY(),IF(AH!$U$5=1,INDEX('Live History'!$A$5:$A$3004,AH!$U$7+368),INDEX('AH History'!$A$5:$A$1380,AH!$U$7+368))),""))</f>
        <v/>
      </c>
      <c r="B373" s="33">
        <f>IFERROR(IF(AH!$U$11=1,NA(),$J373/$E373-1),NA())</f>
        <v/>
      </c>
      <c r="C373" s="269">
        <f>IFERROR(100*$E373/$E$5,NA())</f>
        <v/>
      </c>
      <c r="D373" s="269">
        <f>IFERROR(100*$J373/$J$5,NA())</f>
        <v/>
      </c>
      <c r="E373" s="32">
        <f>IFERROR(IF(AND(ISNUMBER($A373),N(IF(AND(AH!$U$12=1,368+1=AH!$U$6),IF(AH!$U$4=0,"unavailable",INDEX('Market Data'!$AN$5:$AN$66,AH!$U$4)),IF(AH!$U$5=1,INDEX('Live History'!$B$5:$B$3004,$K373),INDEX('AH History'!$D$5:$GG$1380,$K373,AH!$U$10))))&gt;0),IF(AND(AH!$U$12=1,368+1=AH!$U$6),IF(AH!$U$4=0,"unavailable",INDEX('Market Data'!$AN$5:$AN$66,AH!$U$4)),IF(AH!$U$5=1,INDEX('Live History'!$B$5:$B$3004,$K373),INDEX('AH History'!$D$5:$GG$1380,$K373,AH!$U$10))),NA()),NA())</f>
        <v/>
      </c>
      <c r="F373" s="32">
        <f>IFERROR(IF(ISNUMBER($A373),IF(AND(AH!$U$12=1,368+1=AH!$U$6),IF(AH!$U$4=0,"unavailable",INDEX('Market Data'!$AO$5:$AO$66,AH!$U$4)),IF(AH!$U$5=1,INDEX('Live History'!$E$5:$E$3004,MATCH($A373,'Live History'!$D$5:$D$3004,1)),INDEX('AH History'!$D$5:$GG$1380,$K373,AH!$U$10+1))),NA()),NA())</f>
        <v/>
      </c>
      <c r="G373" s="34">
        <f>IFERROR(IF(ISNUMBER($A373),IF(AND(AH!$U$12=1,368+1=AH!$U$6),IF(AH!$U$4=0,"unavailable",INDEX('Market Data'!$AK$5:$AK$66,AH!$U$4)),IF(AH!$U$5=1,INDEX('Live History'!$D$5:$D$3004,MATCH($A373,'Live History'!$D$5:$D$3004,1)),INDEX('AH History'!$D$5:$GG$1380,$K373,AH!$U$10+2))),NA()),NA())</f>
        <v/>
      </c>
      <c r="H373" s="266">
        <f>IFERROR(IF(ISNUMBER($A373),IF(AND(AH!$U$12=1,368+1=AH!$U$6),IF(AH!$U$4=0,"unavailable",INDEX('Market Data'!$AP$5:$AP$66,AH!$U$4)),IF(AH!$U$5=1,INDEX('Live History'!$H$5:$H$3004,MATCH($A373,'Live History'!$G$5:$G$3004,1)),INDEX('AH History'!$B$5:$B$1380,$K373))),NA()),NA())</f>
        <v/>
      </c>
      <c r="I373" s="34">
        <f>IFERROR(IF(ISNUMBER($A373),IF(AND(AH!$U$12=1,368+1=AH!$U$6),TODAY(),IF(AH!$U$5=1,INDEX('Live History'!$G$5:$G$3004,MATCH($A373,'Live History'!$G$5:$G$3004,1)),INDEX('AH History'!$C$5:$C$1380,$K373))),NA()),NA())</f>
        <v/>
      </c>
      <c r="J373" s="32">
        <f>IFERROR(IF(AND($F373&gt;0,$H373&gt;0,$A373-$G373&lt;=10,$A373-$I373&lt;=5,$G373&gt;0,$I373&gt;0),$F373*$H373,NA()),NA())</f>
        <v/>
      </c>
      <c r="K373" s="15">
        <f>IF($A373="","",IF(AH!$U$5=1,IFERROR(MATCH($A373,'Live History'!$A$5:$A$3004,0),0),AH!$U$7+368))</f>
        <v/>
      </c>
      <c r="L373" s="15">
        <f>IF(ISNUMBER(A373),TEXT(A373,"dd-mmm-yy"),"")</f>
        <v/>
      </c>
    </row>
    <row r="374">
      <c r="A374" s="14">
        <f>IF(OR(AH!$U$4=0,369+1&gt;AH!$U$6,AND(AH!$M$5="Bloomberg",AH!$U$5=0)),"",IFERROR(IF(AND(AH!$U$12=1,369+1=AH!$U$6),TODAY(),IF(AH!$U$5=1,INDEX('Live History'!$A$5:$A$3004,AH!$U$7+369),INDEX('AH History'!$A$5:$A$1380,AH!$U$7+369))),""))</f>
        <v/>
      </c>
      <c r="B374" s="33">
        <f>IFERROR(IF(AH!$U$11=1,NA(),$J374/$E374-1),NA())</f>
        <v/>
      </c>
      <c r="C374" s="269">
        <f>IFERROR(100*$E374/$E$5,NA())</f>
        <v/>
      </c>
      <c r="D374" s="269">
        <f>IFERROR(100*$J374/$J$5,NA())</f>
        <v/>
      </c>
      <c r="E374" s="32">
        <f>IFERROR(IF(AND(ISNUMBER($A374),N(IF(AND(AH!$U$12=1,369+1=AH!$U$6),IF(AH!$U$4=0,"unavailable",INDEX('Market Data'!$AN$5:$AN$66,AH!$U$4)),IF(AH!$U$5=1,INDEX('Live History'!$B$5:$B$3004,$K374),INDEX('AH History'!$D$5:$GG$1380,$K374,AH!$U$10))))&gt;0),IF(AND(AH!$U$12=1,369+1=AH!$U$6),IF(AH!$U$4=0,"unavailable",INDEX('Market Data'!$AN$5:$AN$66,AH!$U$4)),IF(AH!$U$5=1,INDEX('Live History'!$B$5:$B$3004,$K374),INDEX('AH History'!$D$5:$GG$1380,$K374,AH!$U$10))),NA()),NA())</f>
        <v/>
      </c>
      <c r="F374" s="32">
        <f>IFERROR(IF(ISNUMBER($A374),IF(AND(AH!$U$12=1,369+1=AH!$U$6),IF(AH!$U$4=0,"unavailable",INDEX('Market Data'!$AO$5:$AO$66,AH!$U$4)),IF(AH!$U$5=1,INDEX('Live History'!$E$5:$E$3004,MATCH($A374,'Live History'!$D$5:$D$3004,1)),INDEX('AH History'!$D$5:$GG$1380,$K374,AH!$U$10+1))),NA()),NA())</f>
        <v/>
      </c>
      <c r="G374" s="34">
        <f>IFERROR(IF(ISNUMBER($A374),IF(AND(AH!$U$12=1,369+1=AH!$U$6),IF(AH!$U$4=0,"unavailable",INDEX('Market Data'!$AK$5:$AK$66,AH!$U$4)),IF(AH!$U$5=1,INDEX('Live History'!$D$5:$D$3004,MATCH($A374,'Live History'!$D$5:$D$3004,1)),INDEX('AH History'!$D$5:$GG$1380,$K374,AH!$U$10+2))),NA()),NA())</f>
        <v/>
      </c>
      <c r="H374" s="266">
        <f>IFERROR(IF(ISNUMBER($A374),IF(AND(AH!$U$12=1,369+1=AH!$U$6),IF(AH!$U$4=0,"unavailable",INDEX('Market Data'!$AP$5:$AP$66,AH!$U$4)),IF(AH!$U$5=1,INDEX('Live History'!$H$5:$H$3004,MATCH($A374,'Live History'!$G$5:$G$3004,1)),INDEX('AH History'!$B$5:$B$1380,$K374))),NA()),NA())</f>
        <v/>
      </c>
      <c r="I374" s="34">
        <f>IFERROR(IF(ISNUMBER($A374),IF(AND(AH!$U$12=1,369+1=AH!$U$6),TODAY(),IF(AH!$U$5=1,INDEX('Live History'!$G$5:$G$3004,MATCH($A374,'Live History'!$G$5:$G$3004,1)),INDEX('AH History'!$C$5:$C$1380,$K374))),NA()),NA())</f>
        <v/>
      </c>
      <c r="J374" s="32">
        <f>IFERROR(IF(AND($F374&gt;0,$H374&gt;0,$A374-$G374&lt;=10,$A374-$I374&lt;=5,$G374&gt;0,$I374&gt;0),$F374*$H374,NA()),NA())</f>
        <v/>
      </c>
      <c r="K374" s="15">
        <f>IF($A374="","",IF(AH!$U$5=1,IFERROR(MATCH($A374,'Live History'!$A$5:$A$3004,0),0),AH!$U$7+369))</f>
        <v/>
      </c>
      <c r="L374" s="15">
        <f>IF(ISNUMBER(A374),TEXT(A374,"dd-mmm-yy"),"")</f>
        <v/>
      </c>
    </row>
    <row r="375">
      <c r="A375" s="14">
        <f>IF(OR(AH!$U$4=0,370+1&gt;AH!$U$6,AND(AH!$M$5="Bloomberg",AH!$U$5=0)),"",IFERROR(IF(AND(AH!$U$12=1,370+1=AH!$U$6),TODAY(),IF(AH!$U$5=1,INDEX('Live History'!$A$5:$A$3004,AH!$U$7+370),INDEX('AH History'!$A$5:$A$1380,AH!$U$7+370))),""))</f>
        <v/>
      </c>
      <c r="B375" s="33">
        <f>IFERROR(IF(AH!$U$11=1,NA(),$J375/$E375-1),NA())</f>
        <v/>
      </c>
      <c r="C375" s="269">
        <f>IFERROR(100*$E375/$E$5,NA())</f>
        <v/>
      </c>
      <c r="D375" s="269">
        <f>IFERROR(100*$J375/$J$5,NA())</f>
        <v/>
      </c>
      <c r="E375" s="32">
        <f>IFERROR(IF(AND(ISNUMBER($A375),N(IF(AND(AH!$U$12=1,370+1=AH!$U$6),IF(AH!$U$4=0,"unavailable",INDEX('Market Data'!$AN$5:$AN$66,AH!$U$4)),IF(AH!$U$5=1,INDEX('Live History'!$B$5:$B$3004,$K375),INDEX('AH History'!$D$5:$GG$1380,$K375,AH!$U$10))))&gt;0),IF(AND(AH!$U$12=1,370+1=AH!$U$6),IF(AH!$U$4=0,"unavailable",INDEX('Market Data'!$AN$5:$AN$66,AH!$U$4)),IF(AH!$U$5=1,INDEX('Live History'!$B$5:$B$3004,$K375),INDEX('AH History'!$D$5:$GG$1380,$K375,AH!$U$10))),NA()),NA())</f>
        <v/>
      </c>
      <c r="F375" s="32">
        <f>IFERROR(IF(ISNUMBER($A375),IF(AND(AH!$U$12=1,370+1=AH!$U$6),IF(AH!$U$4=0,"unavailable",INDEX('Market Data'!$AO$5:$AO$66,AH!$U$4)),IF(AH!$U$5=1,INDEX('Live History'!$E$5:$E$3004,MATCH($A375,'Live History'!$D$5:$D$3004,1)),INDEX('AH History'!$D$5:$GG$1380,$K375,AH!$U$10+1))),NA()),NA())</f>
        <v/>
      </c>
      <c r="G375" s="34">
        <f>IFERROR(IF(ISNUMBER($A375),IF(AND(AH!$U$12=1,370+1=AH!$U$6),IF(AH!$U$4=0,"unavailable",INDEX('Market Data'!$AK$5:$AK$66,AH!$U$4)),IF(AH!$U$5=1,INDEX('Live History'!$D$5:$D$3004,MATCH($A375,'Live History'!$D$5:$D$3004,1)),INDEX('AH History'!$D$5:$GG$1380,$K375,AH!$U$10+2))),NA()),NA())</f>
        <v/>
      </c>
      <c r="H375" s="266">
        <f>IFERROR(IF(ISNUMBER($A375),IF(AND(AH!$U$12=1,370+1=AH!$U$6),IF(AH!$U$4=0,"unavailable",INDEX('Market Data'!$AP$5:$AP$66,AH!$U$4)),IF(AH!$U$5=1,INDEX('Live History'!$H$5:$H$3004,MATCH($A375,'Live History'!$G$5:$G$3004,1)),INDEX('AH History'!$B$5:$B$1380,$K375))),NA()),NA())</f>
        <v/>
      </c>
      <c r="I375" s="34">
        <f>IFERROR(IF(ISNUMBER($A375),IF(AND(AH!$U$12=1,370+1=AH!$U$6),TODAY(),IF(AH!$U$5=1,INDEX('Live History'!$G$5:$G$3004,MATCH($A375,'Live History'!$G$5:$G$3004,1)),INDEX('AH History'!$C$5:$C$1380,$K375))),NA()),NA())</f>
        <v/>
      </c>
      <c r="J375" s="32">
        <f>IFERROR(IF(AND($F375&gt;0,$H375&gt;0,$A375-$G375&lt;=10,$A375-$I375&lt;=5,$G375&gt;0,$I375&gt;0),$F375*$H375,NA()),NA())</f>
        <v/>
      </c>
      <c r="K375" s="15">
        <f>IF($A375="","",IF(AH!$U$5=1,IFERROR(MATCH($A375,'Live History'!$A$5:$A$3004,0),0),AH!$U$7+370))</f>
        <v/>
      </c>
      <c r="L375" s="15">
        <f>IF(ISNUMBER(A375),TEXT(A375,"dd-mmm-yy"),"")</f>
        <v/>
      </c>
    </row>
    <row r="376">
      <c r="A376" s="14">
        <f>IF(OR(AH!$U$4=0,371+1&gt;AH!$U$6,AND(AH!$M$5="Bloomberg",AH!$U$5=0)),"",IFERROR(IF(AND(AH!$U$12=1,371+1=AH!$U$6),TODAY(),IF(AH!$U$5=1,INDEX('Live History'!$A$5:$A$3004,AH!$U$7+371),INDEX('AH History'!$A$5:$A$1380,AH!$U$7+371))),""))</f>
        <v/>
      </c>
      <c r="B376" s="33">
        <f>IFERROR(IF(AH!$U$11=1,NA(),$J376/$E376-1),NA())</f>
        <v/>
      </c>
      <c r="C376" s="269">
        <f>IFERROR(100*$E376/$E$5,NA())</f>
        <v/>
      </c>
      <c r="D376" s="269">
        <f>IFERROR(100*$J376/$J$5,NA())</f>
        <v/>
      </c>
      <c r="E376" s="32">
        <f>IFERROR(IF(AND(ISNUMBER($A376),N(IF(AND(AH!$U$12=1,371+1=AH!$U$6),IF(AH!$U$4=0,"unavailable",INDEX('Market Data'!$AN$5:$AN$66,AH!$U$4)),IF(AH!$U$5=1,INDEX('Live History'!$B$5:$B$3004,$K376),INDEX('AH History'!$D$5:$GG$1380,$K376,AH!$U$10))))&gt;0),IF(AND(AH!$U$12=1,371+1=AH!$U$6),IF(AH!$U$4=0,"unavailable",INDEX('Market Data'!$AN$5:$AN$66,AH!$U$4)),IF(AH!$U$5=1,INDEX('Live History'!$B$5:$B$3004,$K376),INDEX('AH History'!$D$5:$GG$1380,$K376,AH!$U$10))),NA()),NA())</f>
        <v/>
      </c>
      <c r="F376" s="32">
        <f>IFERROR(IF(ISNUMBER($A376),IF(AND(AH!$U$12=1,371+1=AH!$U$6),IF(AH!$U$4=0,"unavailable",INDEX('Market Data'!$AO$5:$AO$66,AH!$U$4)),IF(AH!$U$5=1,INDEX('Live History'!$E$5:$E$3004,MATCH($A376,'Live History'!$D$5:$D$3004,1)),INDEX('AH History'!$D$5:$GG$1380,$K376,AH!$U$10+1))),NA()),NA())</f>
        <v/>
      </c>
      <c r="G376" s="34">
        <f>IFERROR(IF(ISNUMBER($A376),IF(AND(AH!$U$12=1,371+1=AH!$U$6),IF(AH!$U$4=0,"unavailable",INDEX('Market Data'!$AK$5:$AK$66,AH!$U$4)),IF(AH!$U$5=1,INDEX('Live History'!$D$5:$D$3004,MATCH($A376,'Live History'!$D$5:$D$3004,1)),INDEX('AH History'!$D$5:$GG$1380,$K376,AH!$U$10+2))),NA()),NA())</f>
        <v/>
      </c>
      <c r="H376" s="266">
        <f>IFERROR(IF(ISNUMBER($A376),IF(AND(AH!$U$12=1,371+1=AH!$U$6),IF(AH!$U$4=0,"unavailable",INDEX('Market Data'!$AP$5:$AP$66,AH!$U$4)),IF(AH!$U$5=1,INDEX('Live History'!$H$5:$H$3004,MATCH($A376,'Live History'!$G$5:$G$3004,1)),INDEX('AH History'!$B$5:$B$1380,$K376))),NA()),NA())</f>
        <v/>
      </c>
      <c r="I376" s="34">
        <f>IFERROR(IF(ISNUMBER($A376),IF(AND(AH!$U$12=1,371+1=AH!$U$6),TODAY(),IF(AH!$U$5=1,INDEX('Live History'!$G$5:$G$3004,MATCH($A376,'Live History'!$G$5:$G$3004,1)),INDEX('AH History'!$C$5:$C$1380,$K376))),NA()),NA())</f>
        <v/>
      </c>
      <c r="J376" s="32">
        <f>IFERROR(IF(AND($F376&gt;0,$H376&gt;0,$A376-$G376&lt;=10,$A376-$I376&lt;=5,$G376&gt;0,$I376&gt;0),$F376*$H376,NA()),NA())</f>
        <v/>
      </c>
      <c r="K376" s="15">
        <f>IF($A376="","",IF(AH!$U$5=1,IFERROR(MATCH($A376,'Live History'!$A$5:$A$3004,0),0),AH!$U$7+371))</f>
        <v/>
      </c>
      <c r="L376" s="15">
        <f>IF(ISNUMBER(A376),TEXT(A376,"dd-mmm-yy"),"")</f>
        <v/>
      </c>
    </row>
    <row r="377">
      <c r="A377" s="14">
        <f>IF(OR(AH!$U$4=0,372+1&gt;AH!$U$6,AND(AH!$M$5="Bloomberg",AH!$U$5=0)),"",IFERROR(IF(AND(AH!$U$12=1,372+1=AH!$U$6),TODAY(),IF(AH!$U$5=1,INDEX('Live History'!$A$5:$A$3004,AH!$U$7+372),INDEX('AH History'!$A$5:$A$1380,AH!$U$7+372))),""))</f>
        <v/>
      </c>
      <c r="B377" s="33">
        <f>IFERROR(IF(AH!$U$11=1,NA(),$J377/$E377-1),NA())</f>
        <v/>
      </c>
      <c r="C377" s="269">
        <f>IFERROR(100*$E377/$E$5,NA())</f>
        <v/>
      </c>
      <c r="D377" s="269">
        <f>IFERROR(100*$J377/$J$5,NA())</f>
        <v/>
      </c>
      <c r="E377" s="32">
        <f>IFERROR(IF(AND(ISNUMBER($A377),N(IF(AND(AH!$U$12=1,372+1=AH!$U$6),IF(AH!$U$4=0,"unavailable",INDEX('Market Data'!$AN$5:$AN$66,AH!$U$4)),IF(AH!$U$5=1,INDEX('Live History'!$B$5:$B$3004,$K377),INDEX('AH History'!$D$5:$GG$1380,$K377,AH!$U$10))))&gt;0),IF(AND(AH!$U$12=1,372+1=AH!$U$6),IF(AH!$U$4=0,"unavailable",INDEX('Market Data'!$AN$5:$AN$66,AH!$U$4)),IF(AH!$U$5=1,INDEX('Live History'!$B$5:$B$3004,$K377),INDEX('AH History'!$D$5:$GG$1380,$K377,AH!$U$10))),NA()),NA())</f>
        <v/>
      </c>
      <c r="F377" s="32">
        <f>IFERROR(IF(ISNUMBER($A377),IF(AND(AH!$U$12=1,372+1=AH!$U$6),IF(AH!$U$4=0,"unavailable",INDEX('Market Data'!$AO$5:$AO$66,AH!$U$4)),IF(AH!$U$5=1,INDEX('Live History'!$E$5:$E$3004,MATCH($A377,'Live History'!$D$5:$D$3004,1)),INDEX('AH History'!$D$5:$GG$1380,$K377,AH!$U$10+1))),NA()),NA())</f>
        <v/>
      </c>
      <c r="G377" s="34">
        <f>IFERROR(IF(ISNUMBER($A377),IF(AND(AH!$U$12=1,372+1=AH!$U$6),IF(AH!$U$4=0,"unavailable",INDEX('Market Data'!$AK$5:$AK$66,AH!$U$4)),IF(AH!$U$5=1,INDEX('Live History'!$D$5:$D$3004,MATCH($A377,'Live History'!$D$5:$D$3004,1)),INDEX('AH History'!$D$5:$GG$1380,$K377,AH!$U$10+2))),NA()),NA())</f>
        <v/>
      </c>
      <c r="H377" s="266">
        <f>IFERROR(IF(ISNUMBER($A377),IF(AND(AH!$U$12=1,372+1=AH!$U$6),IF(AH!$U$4=0,"unavailable",INDEX('Market Data'!$AP$5:$AP$66,AH!$U$4)),IF(AH!$U$5=1,INDEX('Live History'!$H$5:$H$3004,MATCH($A377,'Live History'!$G$5:$G$3004,1)),INDEX('AH History'!$B$5:$B$1380,$K377))),NA()),NA())</f>
        <v/>
      </c>
      <c r="I377" s="34">
        <f>IFERROR(IF(ISNUMBER($A377),IF(AND(AH!$U$12=1,372+1=AH!$U$6),TODAY(),IF(AH!$U$5=1,INDEX('Live History'!$G$5:$G$3004,MATCH($A377,'Live History'!$G$5:$G$3004,1)),INDEX('AH History'!$C$5:$C$1380,$K377))),NA()),NA())</f>
        <v/>
      </c>
      <c r="J377" s="32">
        <f>IFERROR(IF(AND($F377&gt;0,$H377&gt;0,$A377-$G377&lt;=10,$A377-$I377&lt;=5,$G377&gt;0,$I377&gt;0),$F377*$H377,NA()),NA())</f>
        <v/>
      </c>
      <c r="K377" s="15">
        <f>IF($A377="","",IF(AH!$U$5=1,IFERROR(MATCH($A377,'Live History'!$A$5:$A$3004,0),0),AH!$U$7+372))</f>
        <v/>
      </c>
      <c r="L377" s="15">
        <f>IF(ISNUMBER(A377),TEXT(A377,"dd-mmm-yy"),"")</f>
        <v/>
      </c>
    </row>
    <row r="378">
      <c r="A378" s="14">
        <f>IF(OR(AH!$U$4=0,373+1&gt;AH!$U$6,AND(AH!$M$5="Bloomberg",AH!$U$5=0)),"",IFERROR(IF(AND(AH!$U$12=1,373+1=AH!$U$6),TODAY(),IF(AH!$U$5=1,INDEX('Live History'!$A$5:$A$3004,AH!$U$7+373),INDEX('AH History'!$A$5:$A$1380,AH!$U$7+373))),""))</f>
        <v/>
      </c>
      <c r="B378" s="33">
        <f>IFERROR(IF(AH!$U$11=1,NA(),$J378/$E378-1),NA())</f>
        <v/>
      </c>
      <c r="C378" s="269">
        <f>IFERROR(100*$E378/$E$5,NA())</f>
        <v/>
      </c>
      <c r="D378" s="269">
        <f>IFERROR(100*$J378/$J$5,NA())</f>
        <v/>
      </c>
      <c r="E378" s="32">
        <f>IFERROR(IF(AND(ISNUMBER($A378),N(IF(AND(AH!$U$12=1,373+1=AH!$U$6),IF(AH!$U$4=0,"unavailable",INDEX('Market Data'!$AN$5:$AN$66,AH!$U$4)),IF(AH!$U$5=1,INDEX('Live History'!$B$5:$B$3004,$K378),INDEX('AH History'!$D$5:$GG$1380,$K378,AH!$U$10))))&gt;0),IF(AND(AH!$U$12=1,373+1=AH!$U$6),IF(AH!$U$4=0,"unavailable",INDEX('Market Data'!$AN$5:$AN$66,AH!$U$4)),IF(AH!$U$5=1,INDEX('Live History'!$B$5:$B$3004,$K378),INDEX('AH History'!$D$5:$GG$1380,$K378,AH!$U$10))),NA()),NA())</f>
        <v/>
      </c>
      <c r="F378" s="32">
        <f>IFERROR(IF(ISNUMBER($A378),IF(AND(AH!$U$12=1,373+1=AH!$U$6),IF(AH!$U$4=0,"unavailable",INDEX('Market Data'!$AO$5:$AO$66,AH!$U$4)),IF(AH!$U$5=1,INDEX('Live History'!$E$5:$E$3004,MATCH($A378,'Live History'!$D$5:$D$3004,1)),INDEX('AH History'!$D$5:$GG$1380,$K378,AH!$U$10+1))),NA()),NA())</f>
        <v/>
      </c>
      <c r="G378" s="34">
        <f>IFERROR(IF(ISNUMBER($A378),IF(AND(AH!$U$12=1,373+1=AH!$U$6),IF(AH!$U$4=0,"unavailable",INDEX('Market Data'!$AK$5:$AK$66,AH!$U$4)),IF(AH!$U$5=1,INDEX('Live History'!$D$5:$D$3004,MATCH($A378,'Live History'!$D$5:$D$3004,1)),INDEX('AH History'!$D$5:$GG$1380,$K378,AH!$U$10+2))),NA()),NA())</f>
        <v/>
      </c>
      <c r="H378" s="266">
        <f>IFERROR(IF(ISNUMBER($A378),IF(AND(AH!$U$12=1,373+1=AH!$U$6),IF(AH!$U$4=0,"unavailable",INDEX('Market Data'!$AP$5:$AP$66,AH!$U$4)),IF(AH!$U$5=1,INDEX('Live History'!$H$5:$H$3004,MATCH($A378,'Live History'!$G$5:$G$3004,1)),INDEX('AH History'!$B$5:$B$1380,$K378))),NA()),NA())</f>
        <v/>
      </c>
      <c r="I378" s="34">
        <f>IFERROR(IF(ISNUMBER($A378),IF(AND(AH!$U$12=1,373+1=AH!$U$6),TODAY(),IF(AH!$U$5=1,INDEX('Live History'!$G$5:$G$3004,MATCH($A378,'Live History'!$G$5:$G$3004,1)),INDEX('AH History'!$C$5:$C$1380,$K378))),NA()),NA())</f>
        <v/>
      </c>
      <c r="J378" s="32">
        <f>IFERROR(IF(AND($F378&gt;0,$H378&gt;0,$A378-$G378&lt;=10,$A378-$I378&lt;=5,$G378&gt;0,$I378&gt;0),$F378*$H378,NA()),NA())</f>
        <v/>
      </c>
      <c r="K378" s="15">
        <f>IF($A378="","",IF(AH!$U$5=1,IFERROR(MATCH($A378,'Live History'!$A$5:$A$3004,0),0),AH!$U$7+373))</f>
        <v/>
      </c>
      <c r="L378" s="15">
        <f>IF(ISNUMBER(A378),TEXT(A378,"dd-mmm-yy"),"")</f>
        <v/>
      </c>
    </row>
    <row r="379">
      <c r="A379" s="14">
        <f>IF(OR(AH!$U$4=0,374+1&gt;AH!$U$6,AND(AH!$M$5="Bloomberg",AH!$U$5=0)),"",IFERROR(IF(AND(AH!$U$12=1,374+1=AH!$U$6),TODAY(),IF(AH!$U$5=1,INDEX('Live History'!$A$5:$A$3004,AH!$U$7+374),INDEX('AH History'!$A$5:$A$1380,AH!$U$7+374))),""))</f>
        <v/>
      </c>
      <c r="B379" s="33">
        <f>IFERROR(IF(AH!$U$11=1,NA(),$J379/$E379-1),NA())</f>
        <v/>
      </c>
      <c r="C379" s="269">
        <f>IFERROR(100*$E379/$E$5,NA())</f>
        <v/>
      </c>
      <c r="D379" s="269">
        <f>IFERROR(100*$J379/$J$5,NA())</f>
        <v/>
      </c>
      <c r="E379" s="32">
        <f>IFERROR(IF(AND(ISNUMBER($A379),N(IF(AND(AH!$U$12=1,374+1=AH!$U$6),IF(AH!$U$4=0,"unavailable",INDEX('Market Data'!$AN$5:$AN$66,AH!$U$4)),IF(AH!$U$5=1,INDEX('Live History'!$B$5:$B$3004,$K379),INDEX('AH History'!$D$5:$GG$1380,$K379,AH!$U$10))))&gt;0),IF(AND(AH!$U$12=1,374+1=AH!$U$6),IF(AH!$U$4=0,"unavailable",INDEX('Market Data'!$AN$5:$AN$66,AH!$U$4)),IF(AH!$U$5=1,INDEX('Live History'!$B$5:$B$3004,$K379),INDEX('AH History'!$D$5:$GG$1380,$K379,AH!$U$10))),NA()),NA())</f>
        <v/>
      </c>
      <c r="F379" s="32">
        <f>IFERROR(IF(ISNUMBER($A379),IF(AND(AH!$U$12=1,374+1=AH!$U$6),IF(AH!$U$4=0,"unavailable",INDEX('Market Data'!$AO$5:$AO$66,AH!$U$4)),IF(AH!$U$5=1,INDEX('Live History'!$E$5:$E$3004,MATCH($A379,'Live History'!$D$5:$D$3004,1)),INDEX('AH History'!$D$5:$GG$1380,$K379,AH!$U$10+1))),NA()),NA())</f>
        <v/>
      </c>
      <c r="G379" s="34">
        <f>IFERROR(IF(ISNUMBER($A379),IF(AND(AH!$U$12=1,374+1=AH!$U$6),IF(AH!$U$4=0,"unavailable",INDEX('Market Data'!$AK$5:$AK$66,AH!$U$4)),IF(AH!$U$5=1,INDEX('Live History'!$D$5:$D$3004,MATCH($A379,'Live History'!$D$5:$D$3004,1)),INDEX('AH History'!$D$5:$GG$1380,$K379,AH!$U$10+2))),NA()),NA())</f>
        <v/>
      </c>
      <c r="H379" s="266">
        <f>IFERROR(IF(ISNUMBER($A379),IF(AND(AH!$U$12=1,374+1=AH!$U$6),IF(AH!$U$4=0,"unavailable",INDEX('Market Data'!$AP$5:$AP$66,AH!$U$4)),IF(AH!$U$5=1,INDEX('Live History'!$H$5:$H$3004,MATCH($A379,'Live History'!$G$5:$G$3004,1)),INDEX('AH History'!$B$5:$B$1380,$K379))),NA()),NA())</f>
        <v/>
      </c>
      <c r="I379" s="34">
        <f>IFERROR(IF(ISNUMBER($A379),IF(AND(AH!$U$12=1,374+1=AH!$U$6),TODAY(),IF(AH!$U$5=1,INDEX('Live History'!$G$5:$G$3004,MATCH($A379,'Live History'!$G$5:$G$3004,1)),INDEX('AH History'!$C$5:$C$1380,$K379))),NA()),NA())</f>
        <v/>
      </c>
      <c r="J379" s="32">
        <f>IFERROR(IF(AND($F379&gt;0,$H379&gt;0,$A379-$G379&lt;=10,$A379-$I379&lt;=5,$G379&gt;0,$I379&gt;0),$F379*$H379,NA()),NA())</f>
        <v/>
      </c>
      <c r="K379" s="15">
        <f>IF($A379="","",IF(AH!$U$5=1,IFERROR(MATCH($A379,'Live History'!$A$5:$A$3004,0),0),AH!$U$7+374))</f>
        <v/>
      </c>
      <c r="L379" s="15">
        <f>IF(ISNUMBER(A379),TEXT(A379,"dd-mmm-yy"),"")</f>
        <v/>
      </c>
    </row>
    <row r="380">
      <c r="A380" s="14">
        <f>IF(OR(AH!$U$4=0,375+1&gt;AH!$U$6,AND(AH!$M$5="Bloomberg",AH!$U$5=0)),"",IFERROR(IF(AND(AH!$U$12=1,375+1=AH!$U$6),TODAY(),IF(AH!$U$5=1,INDEX('Live History'!$A$5:$A$3004,AH!$U$7+375),INDEX('AH History'!$A$5:$A$1380,AH!$U$7+375))),""))</f>
        <v/>
      </c>
      <c r="B380" s="33">
        <f>IFERROR(IF(AH!$U$11=1,NA(),$J380/$E380-1),NA())</f>
        <v/>
      </c>
      <c r="C380" s="269">
        <f>IFERROR(100*$E380/$E$5,NA())</f>
        <v/>
      </c>
      <c r="D380" s="269">
        <f>IFERROR(100*$J380/$J$5,NA())</f>
        <v/>
      </c>
      <c r="E380" s="32">
        <f>IFERROR(IF(AND(ISNUMBER($A380),N(IF(AND(AH!$U$12=1,375+1=AH!$U$6),IF(AH!$U$4=0,"unavailable",INDEX('Market Data'!$AN$5:$AN$66,AH!$U$4)),IF(AH!$U$5=1,INDEX('Live History'!$B$5:$B$3004,$K380),INDEX('AH History'!$D$5:$GG$1380,$K380,AH!$U$10))))&gt;0),IF(AND(AH!$U$12=1,375+1=AH!$U$6),IF(AH!$U$4=0,"unavailable",INDEX('Market Data'!$AN$5:$AN$66,AH!$U$4)),IF(AH!$U$5=1,INDEX('Live History'!$B$5:$B$3004,$K380),INDEX('AH History'!$D$5:$GG$1380,$K380,AH!$U$10))),NA()),NA())</f>
        <v/>
      </c>
      <c r="F380" s="32">
        <f>IFERROR(IF(ISNUMBER($A380),IF(AND(AH!$U$12=1,375+1=AH!$U$6),IF(AH!$U$4=0,"unavailable",INDEX('Market Data'!$AO$5:$AO$66,AH!$U$4)),IF(AH!$U$5=1,INDEX('Live History'!$E$5:$E$3004,MATCH($A380,'Live History'!$D$5:$D$3004,1)),INDEX('AH History'!$D$5:$GG$1380,$K380,AH!$U$10+1))),NA()),NA())</f>
        <v/>
      </c>
      <c r="G380" s="34">
        <f>IFERROR(IF(ISNUMBER($A380),IF(AND(AH!$U$12=1,375+1=AH!$U$6),IF(AH!$U$4=0,"unavailable",INDEX('Market Data'!$AK$5:$AK$66,AH!$U$4)),IF(AH!$U$5=1,INDEX('Live History'!$D$5:$D$3004,MATCH($A380,'Live History'!$D$5:$D$3004,1)),INDEX('AH History'!$D$5:$GG$1380,$K380,AH!$U$10+2))),NA()),NA())</f>
        <v/>
      </c>
      <c r="H380" s="266">
        <f>IFERROR(IF(ISNUMBER($A380),IF(AND(AH!$U$12=1,375+1=AH!$U$6),IF(AH!$U$4=0,"unavailable",INDEX('Market Data'!$AP$5:$AP$66,AH!$U$4)),IF(AH!$U$5=1,INDEX('Live History'!$H$5:$H$3004,MATCH($A380,'Live History'!$G$5:$G$3004,1)),INDEX('AH History'!$B$5:$B$1380,$K380))),NA()),NA())</f>
        <v/>
      </c>
      <c r="I380" s="34">
        <f>IFERROR(IF(ISNUMBER($A380),IF(AND(AH!$U$12=1,375+1=AH!$U$6),TODAY(),IF(AH!$U$5=1,INDEX('Live History'!$G$5:$G$3004,MATCH($A380,'Live History'!$G$5:$G$3004,1)),INDEX('AH History'!$C$5:$C$1380,$K380))),NA()),NA())</f>
        <v/>
      </c>
      <c r="J380" s="32">
        <f>IFERROR(IF(AND($F380&gt;0,$H380&gt;0,$A380-$G380&lt;=10,$A380-$I380&lt;=5,$G380&gt;0,$I380&gt;0),$F380*$H380,NA()),NA())</f>
        <v/>
      </c>
      <c r="K380" s="15">
        <f>IF($A380="","",IF(AH!$U$5=1,IFERROR(MATCH($A380,'Live History'!$A$5:$A$3004,0),0),AH!$U$7+375))</f>
        <v/>
      </c>
      <c r="L380" s="15">
        <f>IF(ISNUMBER(A380),TEXT(A380,"dd-mmm-yy"),"")</f>
        <v/>
      </c>
    </row>
    <row r="381">
      <c r="A381" s="14">
        <f>IF(OR(AH!$U$4=0,376+1&gt;AH!$U$6,AND(AH!$M$5="Bloomberg",AH!$U$5=0)),"",IFERROR(IF(AND(AH!$U$12=1,376+1=AH!$U$6),TODAY(),IF(AH!$U$5=1,INDEX('Live History'!$A$5:$A$3004,AH!$U$7+376),INDEX('AH History'!$A$5:$A$1380,AH!$U$7+376))),""))</f>
        <v/>
      </c>
      <c r="B381" s="33">
        <f>IFERROR(IF(AH!$U$11=1,NA(),$J381/$E381-1),NA())</f>
        <v/>
      </c>
      <c r="C381" s="269">
        <f>IFERROR(100*$E381/$E$5,NA())</f>
        <v/>
      </c>
      <c r="D381" s="269">
        <f>IFERROR(100*$J381/$J$5,NA())</f>
        <v/>
      </c>
      <c r="E381" s="32">
        <f>IFERROR(IF(AND(ISNUMBER($A381),N(IF(AND(AH!$U$12=1,376+1=AH!$U$6),IF(AH!$U$4=0,"unavailable",INDEX('Market Data'!$AN$5:$AN$66,AH!$U$4)),IF(AH!$U$5=1,INDEX('Live History'!$B$5:$B$3004,$K381),INDEX('AH History'!$D$5:$GG$1380,$K381,AH!$U$10))))&gt;0),IF(AND(AH!$U$12=1,376+1=AH!$U$6),IF(AH!$U$4=0,"unavailable",INDEX('Market Data'!$AN$5:$AN$66,AH!$U$4)),IF(AH!$U$5=1,INDEX('Live History'!$B$5:$B$3004,$K381),INDEX('AH History'!$D$5:$GG$1380,$K381,AH!$U$10))),NA()),NA())</f>
        <v/>
      </c>
      <c r="F381" s="32">
        <f>IFERROR(IF(ISNUMBER($A381),IF(AND(AH!$U$12=1,376+1=AH!$U$6),IF(AH!$U$4=0,"unavailable",INDEX('Market Data'!$AO$5:$AO$66,AH!$U$4)),IF(AH!$U$5=1,INDEX('Live History'!$E$5:$E$3004,MATCH($A381,'Live History'!$D$5:$D$3004,1)),INDEX('AH History'!$D$5:$GG$1380,$K381,AH!$U$10+1))),NA()),NA())</f>
        <v/>
      </c>
      <c r="G381" s="34">
        <f>IFERROR(IF(ISNUMBER($A381),IF(AND(AH!$U$12=1,376+1=AH!$U$6),IF(AH!$U$4=0,"unavailable",INDEX('Market Data'!$AK$5:$AK$66,AH!$U$4)),IF(AH!$U$5=1,INDEX('Live History'!$D$5:$D$3004,MATCH($A381,'Live History'!$D$5:$D$3004,1)),INDEX('AH History'!$D$5:$GG$1380,$K381,AH!$U$10+2))),NA()),NA())</f>
        <v/>
      </c>
      <c r="H381" s="266">
        <f>IFERROR(IF(ISNUMBER($A381),IF(AND(AH!$U$12=1,376+1=AH!$U$6),IF(AH!$U$4=0,"unavailable",INDEX('Market Data'!$AP$5:$AP$66,AH!$U$4)),IF(AH!$U$5=1,INDEX('Live History'!$H$5:$H$3004,MATCH($A381,'Live History'!$G$5:$G$3004,1)),INDEX('AH History'!$B$5:$B$1380,$K381))),NA()),NA())</f>
        <v/>
      </c>
      <c r="I381" s="34">
        <f>IFERROR(IF(ISNUMBER($A381),IF(AND(AH!$U$12=1,376+1=AH!$U$6),TODAY(),IF(AH!$U$5=1,INDEX('Live History'!$G$5:$G$3004,MATCH($A381,'Live History'!$G$5:$G$3004,1)),INDEX('AH History'!$C$5:$C$1380,$K381))),NA()),NA())</f>
        <v/>
      </c>
      <c r="J381" s="32">
        <f>IFERROR(IF(AND($F381&gt;0,$H381&gt;0,$A381-$G381&lt;=10,$A381-$I381&lt;=5,$G381&gt;0,$I381&gt;0),$F381*$H381,NA()),NA())</f>
        <v/>
      </c>
      <c r="K381" s="15">
        <f>IF($A381="","",IF(AH!$U$5=1,IFERROR(MATCH($A381,'Live History'!$A$5:$A$3004,0),0),AH!$U$7+376))</f>
        <v/>
      </c>
      <c r="L381" s="15">
        <f>IF(ISNUMBER(A381),TEXT(A381,"dd-mmm-yy"),"")</f>
        <v/>
      </c>
    </row>
    <row r="382">
      <c r="A382" s="14">
        <f>IF(OR(AH!$U$4=0,377+1&gt;AH!$U$6,AND(AH!$M$5="Bloomberg",AH!$U$5=0)),"",IFERROR(IF(AND(AH!$U$12=1,377+1=AH!$U$6),TODAY(),IF(AH!$U$5=1,INDEX('Live History'!$A$5:$A$3004,AH!$U$7+377),INDEX('AH History'!$A$5:$A$1380,AH!$U$7+377))),""))</f>
        <v/>
      </c>
      <c r="B382" s="33">
        <f>IFERROR(IF(AH!$U$11=1,NA(),$J382/$E382-1),NA())</f>
        <v/>
      </c>
      <c r="C382" s="269">
        <f>IFERROR(100*$E382/$E$5,NA())</f>
        <v/>
      </c>
      <c r="D382" s="269">
        <f>IFERROR(100*$J382/$J$5,NA())</f>
        <v/>
      </c>
      <c r="E382" s="32">
        <f>IFERROR(IF(AND(ISNUMBER($A382),N(IF(AND(AH!$U$12=1,377+1=AH!$U$6),IF(AH!$U$4=0,"unavailable",INDEX('Market Data'!$AN$5:$AN$66,AH!$U$4)),IF(AH!$U$5=1,INDEX('Live History'!$B$5:$B$3004,$K382),INDEX('AH History'!$D$5:$GG$1380,$K382,AH!$U$10))))&gt;0),IF(AND(AH!$U$12=1,377+1=AH!$U$6),IF(AH!$U$4=0,"unavailable",INDEX('Market Data'!$AN$5:$AN$66,AH!$U$4)),IF(AH!$U$5=1,INDEX('Live History'!$B$5:$B$3004,$K382),INDEX('AH History'!$D$5:$GG$1380,$K382,AH!$U$10))),NA()),NA())</f>
        <v/>
      </c>
      <c r="F382" s="32">
        <f>IFERROR(IF(ISNUMBER($A382),IF(AND(AH!$U$12=1,377+1=AH!$U$6),IF(AH!$U$4=0,"unavailable",INDEX('Market Data'!$AO$5:$AO$66,AH!$U$4)),IF(AH!$U$5=1,INDEX('Live History'!$E$5:$E$3004,MATCH($A382,'Live History'!$D$5:$D$3004,1)),INDEX('AH History'!$D$5:$GG$1380,$K382,AH!$U$10+1))),NA()),NA())</f>
        <v/>
      </c>
      <c r="G382" s="34">
        <f>IFERROR(IF(ISNUMBER($A382),IF(AND(AH!$U$12=1,377+1=AH!$U$6),IF(AH!$U$4=0,"unavailable",INDEX('Market Data'!$AK$5:$AK$66,AH!$U$4)),IF(AH!$U$5=1,INDEX('Live History'!$D$5:$D$3004,MATCH($A382,'Live History'!$D$5:$D$3004,1)),INDEX('AH History'!$D$5:$GG$1380,$K382,AH!$U$10+2))),NA()),NA())</f>
        <v/>
      </c>
      <c r="H382" s="266">
        <f>IFERROR(IF(ISNUMBER($A382),IF(AND(AH!$U$12=1,377+1=AH!$U$6),IF(AH!$U$4=0,"unavailable",INDEX('Market Data'!$AP$5:$AP$66,AH!$U$4)),IF(AH!$U$5=1,INDEX('Live History'!$H$5:$H$3004,MATCH($A382,'Live History'!$G$5:$G$3004,1)),INDEX('AH History'!$B$5:$B$1380,$K382))),NA()),NA())</f>
        <v/>
      </c>
      <c r="I382" s="34">
        <f>IFERROR(IF(ISNUMBER($A382),IF(AND(AH!$U$12=1,377+1=AH!$U$6),TODAY(),IF(AH!$U$5=1,INDEX('Live History'!$G$5:$G$3004,MATCH($A382,'Live History'!$G$5:$G$3004,1)),INDEX('AH History'!$C$5:$C$1380,$K382))),NA()),NA())</f>
        <v/>
      </c>
      <c r="J382" s="32">
        <f>IFERROR(IF(AND($F382&gt;0,$H382&gt;0,$A382-$G382&lt;=10,$A382-$I382&lt;=5,$G382&gt;0,$I382&gt;0),$F382*$H382,NA()),NA())</f>
        <v/>
      </c>
      <c r="K382" s="15">
        <f>IF($A382="","",IF(AH!$U$5=1,IFERROR(MATCH($A382,'Live History'!$A$5:$A$3004,0),0),AH!$U$7+377))</f>
        <v/>
      </c>
      <c r="L382" s="15">
        <f>IF(ISNUMBER(A382),TEXT(A382,"dd-mmm-yy"),"")</f>
        <v/>
      </c>
    </row>
    <row r="383">
      <c r="A383" s="14">
        <f>IF(OR(AH!$U$4=0,378+1&gt;AH!$U$6,AND(AH!$M$5="Bloomberg",AH!$U$5=0)),"",IFERROR(IF(AND(AH!$U$12=1,378+1=AH!$U$6),TODAY(),IF(AH!$U$5=1,INDEX('Live History'!$A$5:$A$3004,AH!$U$7+378),INDEX('AH History'!$A$5:$A$1380,AH!$U$7+378))),""))</f>
        <v/>
      </c>
      <c r="B383" s="33">
        <f>IFERROR(IF(AH!$U$11=1,NA(),$J383/$E383-1),NA())</f>
        <v/>
      </c>
      <c r="C383" s="269">
        <f>IFERROR(100*$E383/$E$5,NA())</f>
        <v/>
      </c>
      <c r="D383" s="269">
        <f>IFERROR(100*$J383/$J$5,NA())</f>
        <v/>
      </c>
      <c r="E383" s="32">
        <f>IFERROR(IF(AND(ISNUMBER($A383),N(IF(AND(AH!$U$12=1,378+1=AH!$U$6),IF(AH!$U$4=0,"unavailable",INDEX('Market Data'!$AN$5:$AN$66,AH!$U$4)),IF(AH!$U$5=1,INDEX('Live History'!$B$5:$B$3004,$K383),INDEX('AH History'!$D$5:$GG$1380,$K383,AH!$U$10))))&gt;0),IF(AND(AH!$U$12=1,378+1=AH!$U$6),IF(AH!$U$4=0,"unavailable",INDEX('Market Data'!$AN$5:$AN$66,AH!$U$4)),IF(AH!$U$5=1,INDEX('Live History'!$B$5:$B$3004,$K383),INDEX('AH History'!$D$5:$GG$1380,$K383,AH!$U$10))),NA()),NA())</f>
        <v/>
      </c>
      <c r="F383" s="32">
        <f>IFERROR(IF(ISNUMBER($A383),IF(AND(AH!$U$12=1,378+1=AH!$U$6),IF(AH!$U$4=0,"unavailable",INDEX('Market Data'!$AO$5:$AO$66,AH!$U$4)),IF(AH!$U$5=1,INDEX('Live History'!$E$5:$E$3004,MATCH($A383,'Live History'!$D$5:$D$3004,1)),INDEX('AH History'!$D$5:$GG$1380,$K383,AH!$U$10+1))),NA()),NA())</f>
        <v/>
      </c>
      <c r="G383" s="34">
        <f>IFERROR(IF(ISNUMBER($A383),IF(AND(AH!$U$12=1,378+1=AH!$U$6),IF(AH!$U$4=0,"unavailable",INDEX('Market Data'!$AK$5:$AK$66,AH!$U$4)),IF(AH!$U$5=1,INDEX('Live History'!$D$5:$D$3004,MATCH($A383,'Live History'!$D$5:$D$3004,1)),INDEX('AH History'!$D$5:$GG$1380,$K383,AH!$U$10+2))),NA()),NA())</f>
        <v/>
      </c>
      <c r="H383" s="266">
        <f>IFERROR(IF(ISNUMBER($A383),IF(AND(AH!$U$12=1,378+1=AH!$U$6),IF(AH!$U$4=0,"unavailable",INDEX('Market Data'!$AP$5:$AP$66,AH!$U$4)),IF(AH!$U$5=1,INDEX('Live History'!$H$5:$H$3004,MATCH($A383,'Live History'!$G$5:$G$3004,1)),INDEX('AH History'!$B$5:$B$1380,$K383))),NA()),NA())</f>
        <v/>
      </c>
      <c r="I383" s="34">
        <f>IFERROR(IF(ISNUMBER($A383),IF(AND(AH!$U$12=1,378+1=AH!$U$6),TODAY(),IF(AH!$U$5=1,INDEX('Live History'!$G$5:$G$3004,MATCH($A383,'Live History'!$G$5:$G$3004,1)),INDEX('AH History'!$C$5:$C$1380,$K383))),NA()),NA())</f>
        <v/>
      </c>
      <c r="J383" s="32">
        <f>IFERROR(IF(AND($F383&gt;0,$H383&gt;0,$A383-$G383&lt;=10,$A383-$I383&lt;=5,$G383&gt;0,$I383&gt;0),$F383*$H383,NA()),NA())</f>
        <v/>
      </c>
      <c r="K383" s="15">
        <f>IF($A383="","",IF(AH!$U$5=1,IFERROR(MATCH($A383,'Live History'!$A$5:$A$3004,0),0),AH!$U$7+378))</f>
        <v/>
      </c>
      <c r="L383" s="15">
        <f>IF(ISNUMBER(A383),TEXT(A383,"dd-mmm-yy"),"")</f>
        <v/>
      </c>
    </row>
    <row r="384">
      <c r="A384" s="14">
        <f>IF(OR(AH!$U$4=0,379+1&gt;AH!$U$6,AND(AH!$M$5="Bloomberg",AH!$U$5=0)),"",IFERROR(IF(AND(AH!$U$12=1,379+1=AH!$U$6),TODAY(),IF(AH!$U$5=1,INDEX('Live History'!$A$5:$A$3004,AH!$U$7+379),INDEX('AH History'!$A$5:$A$1380,AH!$U$7+379))),""))</f>
        <v/>
      </c>
      <c r="B384" s="33">
        <f>IFERROR(IF(AH!$U$11=1,NA(),$J384/$E384-1),NA())</f>
        <v/>
      </c>
      <c r="C384" s="269">
        <f>IFERROR(100*$E384/$E$5,NA())</f>
        <v/>
      </c>
      <c r="D384" s="269">
        <f>IFERROR(100*$J384/$J$5,NA())</f>
        <v/>
      </c>
      <c r="E384" s="32">
        <f>IFERROR(IF(AND(ISNUMBER($A384),N(IF(AND(AH!$U$12=1,379+1=AH!$U$6),IF(AH!$U$4=0,"unavailable",INDEX('Market Data'!$AN$5:$AN$66,AH!$U$4)),IF(AH!$U$5=1,INDEX('Live History'!$B$5:$B$3004,$K384),INDEX('AH History'!$D$5:$GG$1380,$K384,AH!$U$10))))&gt;0),IF(AND(AH!$U$12=1,379+1=AH!$U$6),IF(AH!$U$4=0,"unavailable",INDEX('Market Data'!$AN$5:$AN$66,AH!$U$4)),IF(AH!$U$5=1,INDEX('Live History'!$B$5:$B$3004,$K384),INDEX('AH History'!$D$5:$GG$1380,$K384,AH!$U$10))),NA()),NA())</f>
        <v/>
      </c>
      <c r="F384" s="32">
        <f>IFERROR(IF(ISNUMBER($A384),IF(AND(AH!$U$12=1,379+1=AH!$U$6),IF(AH!$U$4=0,"unavailable",INDEX('Market Data'!$AO$5:$AO$66,AH!$U$4)),IF(AH!$U$5=1,INDEX('Live History'!$E$5:$E$3004,MATCH($A384,'Live History'!$D$5:$D$3004,1)),INDEX('AH History'!$D$5:$GG$1380,$K384,AH!$U$10+1))),NA()),NA())</f>
        <v/>
      </c>
      <c r="G384" s="34">
        <f>IFERROR(IF(ISNUMBER($A384),IF(AND(AH!$U$12=1,379+1=AH!$U$6),IF(AH!$U$4=0,"unavailable",INDEX('Market Data'!$AK$5:$AK$66,AH!$U$4)),IF(AH!$U$5=1,INDEX('Live History'!$D$5:$D$3004,MATCH($A384,'Live History'!$D$5:$D$3004,1)),INDEX('AH History'!$D$5:$GG$1380,$K384,AH!$U$10+2))),NA()),NA())</f>
        <v/>
      </c>
      <c r="H384" s="266">
        <f>IFERROR(IF(ISNUMBER($A384),IF(AND(AH!$U$12=1,379+1=AH!$U$6),IF(AH!$U$4=0,"unavailable",INDEX('Market Data'!$AP$5:$AP$66,AH!$U$4)),IF(AH!$U$5=1,INDEX('Live History'!$H$5:$H$3004,MATCH($A384,'Live History'!$G$5:$G$3004,1)),INDEX('AH History'!$B$5:$B$1380,$K384))),NA()),NA())</f>
        <v/>
      </c>
      <c r="I384" s="34">
        <f>IFERROR(IF(ISNUMBER($A384),IF(AND(AH!$U$12=1,379+1=AH!$U$6),TODAY(),IF(AH!$U$5=1,INDEX('Live History'!$G$5:$G$3004,MATCH($A384,'Live History'!$G$5:$G$3004,1)),INDEX('AH History'!$C$5:$C$1380,$K384))),NA()),NA())</f>
        <v/>
      </c>
      <c r="J384" s="32">
        <f>IFERROR(IF(AND($F384&gt;0,$H384&gt;0,$A384-$G384&lt;=10,$A384-$I384&lt;=5,$G384&gt;0,$I384&gt;0),$F384*$H384,NA()),NA())</f>
        <v/>
      </c>
      <c r="K384" s="15">
        <f>IF($A384="","",IF(AH!$U$5=1,IFERROR(MATCH($A384,'Live History'!$A$5:$A$3004,0),0),AH!$U$7+379))</f>
        <v/>
      </c>
      <c r="L384" s="15">
        <f>IF(ISNUMBER(A384),TEXT(A384,"dd-mmm-yy"),"")</f>
        <v/>
      </c>
    </row>
    <row r="385">
      <c r="A385" s="14">
        <f>IF(OR(AH!$U$4=0,380+1&gt;AH!$U$6,AND(AH!$M$5="Bloomberg",AH!$U$5=0)),"",IFERROR(IF(AND(AH!$U$12=1,380+1=AH!$U$6),TODAY(),IF(AH!$U$5=1,INDEX('Live History'!$A$5:$A$3004,AH!$U$7+380),INDEX('AH History'!$A$5:$A$1380,AH!$U$7+380))),""))</f>
        <v/>
      </c>
      <c r="B385" s="33">
        <f>IFERROR(IF(AH!$U$11=1,NA(),$J385/$E385-1),NA())</f>
        <v/>
      </c>
      <c r="C385" s="269">
        <f>IFERROR(100*$E385/$E$5,NA())</f>
        <v/>
      </c>
      <c r="D385" s="269">
        <f>IFERROR(100*$J385/$J$5,NA())</f>
        <v/>
      </c>
      <c r="E385" s="32">
        <f>IFERROR(IF(AND(ISNUMBER($A385),N(IF(AND(AH!$U$12=1,380+1=AH!$U$6),IF(AH!$U$4=0,"unavailable",INDEX('Market Data'!$AN$5:$AN$66,AH!$U$4)),IF(AH!$U$5=1,INDEX('Live History'!$B$5:$B$3004,$K385),INDEX('AH History'!$D$5:$GG$1380,$K385,AH!$U$10))))&gt;0),IF(AND(AH!$U$12=1,380+1=AH!$U$6),IF(AH!$U$4=0,"unavailable",INDEX('Market Data'!$AN$5:$AN$66,AH!$U$4)),IF(AH!$U$5=1,INDEX('Live History'!$B$5:$B$3004,$K385),INDEX('AH History'!$D$5:$GG$1380,$K385,AH!$U$10))),NA()),NA())</f>
        <v/>
      </c>
      <c r="F385" s="32">
        <f>IFERROR(IF(ISNUMBER($A385),IF(AND(AH!$U$12=1,380+1=AH!$U$6),IF(AH!$U$4=0,"unavailable",INDEX('Market Data'!$AO$5:$AO$66,AH!$U$4)),IF(AH!$U$5=1,INDEX('Live History'!$E$5:$E$3004,MATCH($A385,'Live History'!$D$5:$D$3004,1)),INDEX('AH History'!$D$5:$GG$1380,$K385,AH!$U$10+1))),NA()),NA())</f>
        <v/>
      </c>
      <c r="G385" s="34">
        <f>IFERROR(IF(ISNUMBER($A385),IF(AND(AH!$U$12=1,380+1=AH!$U$6),IF(AH!$U$4=0,"unavailable",INDEX('Market Data'!$AK$5:$AK$66,AH!$U$4)),IF(AH!$U$5=1,INDEX('Live History'!$D$5:$D$3004,MATCH($A385,'Live History'!$D$5:$D$3004,1)),INDEX('AH History'!$D$5:$GG$1380,$K385,AH!$U$10+2))),NA()),NA())</f>
        <v/>
      </c>
      <c r="H385" s="266">
        <f>IFERROR(IF(ISNUMBER($A385),IF(AND(AH!$U$12=1,380+1=AH!$U$6),IF(AH!$U$4=0,"unavailable",INDEX('Market Data'!$AP$5:$AP$66,AH!$U$4)),IF(AH!$U$5=1,INDEX('Live History'!$H$5:$H$3004,MATCH($A385,'Live History'!$G$5:$G$3004,1)),INDEX('AH History'!$B$5:$B$1380,$K385))),NA()),NA())</f>
        <v/>
      </c>
      <c r="I385" s="34">
        <f>IFERROR(IF(ISNUMBER($A385),IF(AND(AH!$U$12=1,380+1=AH!$U$6),TODAY(),IF(AH!$U$5=1,INDEX('Live History'!$G$5:$G$3004,MATCH($A385,'Live History'!$G$5:$G$3004,1)),INDEX('AH History'!$C$5:$C$1380,$K385))),NA()),NA())</f>
        <v/>
      </c>
      <c r="J385" s="32">
        <f>IFERROR(IF(AND($F385&gt;0,$H385&gt;0,$A385-$G385&lt;=10,$A385-$I385&lt;=5,$G385&gt;0,$I385&gt;0),$F385*$H385,NA()),NA())</f>
        <v/>
      </c>
      <c r="K385" s="15">
        <f>IF($A385="","",IF(AH!$U$5=1,IFERROR(MATCH($A385,'Live History'!$A$5:$A$3004,0),0),AH!$U$7+380))</f>
        <v/>
      </c>
      <c r="L385" s="15">
        <f>IF(ISNUMBER(A385),TEXT(A385,"dd-mmm-yy"),"")</f>
        <v/>
      </c>
    </row>
    <row r="386">
      <c r="A386" s="14">
        <f>IF(OR(AH!$U$4=0,381+1&gt;AH!$U$6,AND(AH!$M$5="Bloomberg",AH!$U$5=0)),"",IFERROR(IF(AND(AH!$U$12=1,381+1=AH!$U$6),TODAY(),IF(AH!$U$5=1,INDEX('Live History'!$A$5:$A$3004,AH!$U$7+381),INDEX('AH History'!$A$5:$A$1380,AH!$U$7+381))),""))</f>
        <v/>
      </c>
      <c r="B386" s="33">
        <f>IFERROR(IF(AH!$U$11=1,NA(),$J386/$E386-1),NA())</f>
        <v/>
      </c>
      <c r="C386" s="269">
        <f>IFERROR(100*$E386/$E$5,NA())</f>
        <v/>
      </c>
      <c r="D386" s="269">
        <f>IFERROR(100*$J386/$J$5,NA())</f>
        <v/>
      </c>
      <c r="E386" s="32">
        <f>IFERROR(IF(AND(ISNUMBER($A386),N(IF(AND(AH!$U$12=1,381+1=AH!$U$6),IF(AH!$U$4=0,"unavailable",INDEX('Market Data'!$AN$5:$AN$66,AH!$U$4)),IF(AH!$U$5=1,INDEX('Live History'!$B$5:$B$3004,$K386),INDEX('AH History'!$D$5:$GG$1380,$K386,AH!$U$10))))&gt;0),IF(AND(AH!$U$12=1,381+1=AH!$U$6),IF(AH!$U$4=0,"unavailable",INDEX('Market Data'!$AN$5:$AN$66,AH!$U$4)),IF(AH!$U$5=1,INDEX('Live History'!$B$5:$B$3004,$K386),INDEX('AH History'!$D$5:$GG$1380,$K386,AH!$U$10))),NA()),NA())</f>
        <v/>
      </c>
      <c r="F386" s="32">
        <f>IFERROR(IF(ISNUMBER($A386),IF(AND(AH!$U$12=1,381+1=AH!$U$6),IF(AH!$U$4=0,"unavailable",INDEX('Market Data'!$AO$5:$AO$66,AH!$U$4)),IF(AH!$U$5=1,INDEX('Live History'!$E$5:$E$3004,MATCH($A386,'Live History'!$D$5:$D$3004,1)),INDEX('AH History'!$D$5:$GG$1380,$K386,AH!$U$10+1))),NA()),NA())</f>
        <v/>
      </c>
      <c r="G386" s="34">
        <f>IFERROR(IF(ISNUMBER($A386),IF(AND(AH!$U$12=1,381+1=AH!$U$6),IF(AH!$U$4=0,"unavailable",INDEX('Market Data'!$AK$5:$AK$66,AH!$U$4)),IF(AH!$U$5=1,INDEX('Live History'!$D$5:$D$3004,MATCH($A386,'Live History'!$D$5:$D$3004,1)),INDEX('AH History'!$D$5:$GG$1380,$K386,AH!$U$10+2))),NA()),NA())</f>
        <v/>
      </c>
      <c r="H386" s="266">
        <f>IFERROR(IF(ISNUMBER($A386),IF(AND(AH!$U$12=1,381+1=AH!$U$6),IF(AH!$U$4=0,"unavailable",INDEX('Market Data'!$AP$5:$AP$66,AH!$U$4)),IF(AH!$U$5=1,INDEX('Live History'!$H$5:$H$3004,MATCH($A386,'Live History'!$G$5:$G$3004,1)),INDEX('AH History'!$B$5:$B$1380,$K386))),NA()),NA())</f>
        <v/>
      </c>
      <c r="I386" s="34">
        <f>IFERROR(IF(ISNUMBER($A386),IF(AND(AH!$U$12=1,381+1=AH!$U$6),TODAY(),IF(AH!$U$5=1,INDEX('Live History'!$G$5:$G$3004,MATCH($A386,'Live History'!$G$5:$G$3004,1)),INDEX('AH History'!$C$5:$C$1380,$K386))),NA()),NA())</f>
        <v/>
      </c>
      <c r="J386" s="32">
        <f>IFERROR(IF(AND($F386&gt;0,$H386&gt;0,$A386-$G386&lt;=10,$A386-$I386&lt;=5,$G386&gt;0,$I386&gt;0),$F386*$H386,NA()),NA())</f>
        <v/>
      </c>
      <c r="K386" s="15">
        <f>IF($A386="","",IF(AH!$U$5=1,IFERROR(MATCH($A386,'Live History'!$A$5:$A$3004,0),0),AH!$U$7+381))</f>
        <v/>
      </c>
      <c r="L386" s="15">
        <f>IF(ISNUMBER(A386),TEXT(A386,"dd-mmm-yy"),"")</f>
        <v/>
      </c>
    </row>
    <row r="387">
      <c r="A387" s="14">
        <f>IF(OR(AH!$U$4=0,382+1&gt;AH!$U$6,AND(AH!$M$5="Bloomberg",AH!$U$5=0)),"",IFERROR(IF(AND(AH!$U$12=1,382+1=AH!$U$6),TODAY(),IF(AH!$U$5=1,INDEX('Live History'!$A$5:$A$3004,AH!$U$7+382),INDEX('AH History'!$A$5:$A$1380,AH!$U$7+382))),""))</f>
        <v/>
      </c>
      <c r="B387" s="33">
        <f>IFERROR(IF(AH!$U$11=1,NA(),$J387/$E387-1),NA())</f>
        <v/>
      </c>
      <c r="C387" s="269">
        <f>IFERROR(100*$E387/$E$5,NA())</f>
        <v/>
      </c>
      <c r="D387" s="269">
        <f>IFERROR(100*$J387/$J$5,NA())</f>
        <v/>
      </c>
      <c r="E387" s="32">
        <f>IFERROR(IF(AND(ISNUMBER($A387),N(IF(AND(AH!$U$12=1,382+1=AH!$U$6),IF(AH!$U$4=0,"unavailable",INDEX('Market Data'!$AN$5:$AN$66,AH!$U$4)),IF(AH!$U$5=1,INDEX('Live History'!$B$5:$B$3004,$K387),INDEX('AH History'!$D$5:$GG$1380,$K387,AH!$U$10))))&gt;0),IF(AND(AH!$U$12=1,382+1=AH!$U$6),IF(AH!$U$4=0,"unavailable",INDEX('Market Data'!$AN$5:$AN$66,AH!$U$4)),IF(AH!$U$5=1,INDEX('Live History'!$B$5:$B$3004,$K387),INDEX('AH History'!$D$5:$GG$1380,$K387,AH!$U$10))),NA()),NA())</f>
        <v/>
      </c>
      <c r="F387" s="32">
        <f>IFERROR(IF(ISNUMBER($A387),IF(AND(AH!$U$12=1,382+1=AH!$U$6),IF(AH!$U$4=0,"unavailable",INDEX('Market Data'!$AO$5:$AO$66,AH!$U$4)),IF(AH!$U$5=1,INDEX('Live History'!$E$5:$E$3004,MATCH($A387,'Live History'!$D$5:$D$3004,1)),INDEX('AH History'!$D$5:$GG$1380,$K387,AH!$U$10+1))),NA()),NA())</f>
        <v/>
      </c>
      <c r="G387" s="34">
        <f>IFERROR(IF(ISNUMBER($A387),IF(AND(AH!$U$12=1,382+1=AH!$U$6),IF(AH!$U$4=0,"unavailable",INDEX('Market Data'!$AK$5:$AK$66,AH!$U$4)),IF(AH!$U$5=1,INDEX('Live History'!$D$5:$D$3004,MATCH($A387,'Live History'!$D$5:$D$3004,1)),INDEX('AH History'!$D$5:$GG$1380,$K387,AH!$U$10+2))),NA()),NA())</f>
        <v/>
      </c>
      <c r="H387" s="266">
        <f>IFERROR(IF(ISNUMBER($A387),IF(AND(AH!$U$12=1,382+1=AH!$U$6),IF(AH!$U$4=0,"unavailable",INDEX('Market Data'!$AP$5:$AP$66,AH!$U$4)),IF(AH!$U$5=1,INDEX('Live History'!$H$5:$H$3004,MATCH($A387,'Live History'!$G$5:$G$3004,1)),INDEX('AH History'!$B$5:$B$1380,$K387))),NA()),NA())</f>
        <v/>
      </c>
      <c r="I387" s="34">
        <f>IFERROR(IF(ISNUMBER($A387),IF(AND(AH!$U$12=1,382+1=AH!$U$6),TODAY(),IF(AH!$U$5=1,INDEX('Live History'!$G$5:$G$3004,MATCH($A387,'Live History'!$G$5:$G$3004,1)),INDEX('AH History'!$C$5:$C$1380,$K387))),NA()),NA())</f>
        <v/>
      </c>
      <c r="J387" s="32">
        <f>IFERROR(IF(AND($F387&gt;0,$H387&gt;0,$A387-$G387&lt;=10,$A387-$I387&lt;=5,$G387&gt;0,$I387&gt;0),$F387*$H387,NA()),NA())</f>
        <v/>
      </c>
      <c r="K387" s="15">
        <f>IF($A387="","",IF(AH!$U$5=1,IFERROR(MATCH($A387,'Live History'!$A$5:$A$3004,0),0),AH!$U$7+382))</f>
        <v/>
      </c>
      <c r="L387" s="15">
        <f>IF(ISNUMBER(A387),TEXT(A387,"dd-mmm-yy"),"")</f>
        <v/>
      </c>
    </row>
    <row r="388">
      <c r="A388" s="14">
        <f>IF(OR(AH!$U$4=0,383+1&gt;AH!$U$6,AND(AH!$M$5="Bloomberg",AH!$U$5=0)),"",IFERROR(IF(AND(AH!$U$12=1,383+1=AH!$U$6),TODAY(),IF(AH!$U$5=1,INDEX('Live History'!$A$5:$A$3004,AH!$U$7+383),INDEX('AH History'!$A$5:$A$1380,AH!$U$7+383))),""))</f>
        <v/>
      </c>
      <c r="B388" s="33">
        <f>IFERROR(IF(AH!$U$11=1,NA(),$J388/$E388-1),NA())</f>
        <v/>
      </c>
      <c r="C388" s="269">
        <f>IFERROR(100*$E388/$E$5,NA())</f>
        <v/>
      </c>
      <c r="D388" s="269">
        <f>IFERROR(100*$J388/$J$5,NA())</f>
        <v/>
      </c>
      <c r="E388" s="32">
        <f>IFERROR(IF(AND(ISNUMBER($A388),N(IF(AND(AH!$U$12=1,383+1=AH!$U$6),IF(AH!$U$4=0,"unavailable",INDEX('Market Data'!$AN$5:$AN$66,AH!$U$4)),IF(AH!$U$5=1,INDEX('Live History'!$B$5:$B$3004,$K388),INDEX('AH History'!$D$5:$GG$1380,$K388,AH!$U$10))))&gt;0),IF(AND(AH!$U$12=1,383+1=AH!$U$6),IF(AH!$U$4=0,"unavailable",INDEX('Market Data'!$AN$5:$AN$66,AH!$U$4)),IF(AH!$U$5=1,INDEX('Live History'!$B$5:$B$3004,$K388),INDEX('AH History'!$D$5:$GG$1380,$K388,AH!$U$10))),NA()),NA())</f>
        <v/>
      </c>
      <c r="F388" s="32">
        <f>IFERROR(IF(ISNUMBER($A388),IF(AND(AH!$U$12=1,383+1=AH!$U$6),IF(AH!$U$4=0,"unavailable",INDEX('Market Data'!$AO$5:$AO$66,AH!$U$4)),IF(AH!$U$5=1,INDEX('Live History'!$E$5:$E$3004,MATCH($A388,'Live History'!$D$5:$D$3004,1)),INDEX('AH History'!$D$5:$GG$1380,$K388,AH!$U$10+1))),NA()),NA())</f>
        <v/>
      </c>
      <c r="G388" s="34">
        <f>IFERROR(IF(ISNUMBER($A388),IF(AND(AH!$U$12=1,383+1=AH!$U$6),IF(AH!$U$4=0,"unavailable",INDEX('Market Data'!$AK$5:$AK$66,AH!$U$4)),IF(AH!$U$5=1,INDEX('Live History'!$D$5:$D$3004,MATCH($A388,'Live History'!$D$5:$D$3004,1)),INDEX('AH History'!$D$5:$GG$1380,$K388,AH!$U$10+2))),NA()),NA())</f>
        <v/>
      </c>
      <c r="H388" s="266">
        <f>IFERROR(IF(ISNUMBER($A388),IF(AND(AH!$U$12=1,383+1=AH!$U$6),IF(AH!$U$4=0,"unavailable",INDEX('Market Data'!$AP$5:$AP$66,AH!$U$4)),IF(AH!$U$5=1,INDEX('Live History'!$H$5:$H$3004,MATCH($A388,'Live History'!$G$5:$G$3004,1)),INDEX('AH History'!$B$5:$B$1380,$K388))),NA()),NA())</f>
        <v/>
      </c>
      <c r="I388" s="34">
        <f>IFERROR(IF(ISNUMBER($A388),IF(AND(AH!$U$12=1,383+1=AH!$U$6),TODAY(),IF(AH!$U$5=1,INDEX('Live History'!$G$5:$G$3004,MATCH($A388,'Live History'!$G$5:$G$3004,1)),INDEX('AH History'!$C$5:$C$1380,$K388))),NA()),NA())</f>
        <v/>
      </c>
      <c r="J388" s="32">
        <f>IFERROR(IF(AND($F388&gt;0,$H388&gt;0,$A388-$G388&lt;=10,$A388-$I388&lt;=5,$G388&gt;0,$I388&gt;0),$F388*$H388,NA()),NA())</f>
        <v/>
      </c>
      <c r="K388" s="15">
        <f>IF($A388="","",IF(AH!$U$5=1,IFERROR(MATCH($A388,'Live History'!$A$5:$A$3004,0),0),AH!$U$7+383))</f>
        <v/>
      </c>
      <c r="L388" s="15">
        <f>IF(ISNUMBER(A388),TEXT(A388,"dd-mmm-yy"),"")</f>
        <v/>
      </c>
    </row>
    <row r="389">
      <c r="A389" s="14">
        <f>IF(OR(AH!$U$4=0,384+1&gt;AH!$U$6,AND(AH!$M$5="Bloomberg",AH!$U$5=0)),"",IFERROR(IF(AND(AH!$U$12=1,384+1=AH!$U$6),TODAY(),IF(AH!$U$5=1,INDEX('Live History'!$A$5:$A$3004,AH!$U$7+384),INDEX('AH History'!$A$5:$A$1380,AH!$U$7+384))),""))</f>
        <v/>
      </c>
      <c r="B389" s="33">
        <f>IFERROR(IF(AH!$U$11=1,NA(),$J389/$E389-1),NA())</f>
        <v/>
      </c>
      <c r="C389" s="269">
        <f>IFERROR(100*$E389/$E$5,NA())</f>
        <v/>
      </c>
      <c r="D389" s="269">
        <f>IFERROR(100*$J389/$J$5,NA())</f>
        <v/>
      </c>
      <c r="E389" s="32">
        <f>IFERROR(IF(AND(ISNUMBER($A389),N(IF(AND(AH!$U$12=1,384+1=AH!$U$6),IF(AH!$U$4=0,"unavailable",INDEX('Market Data'!$AN$5:$AN$66,AH!$U$4)),IF(AH!$U$5=1,INDEX('Live History'!$B$5:$B$3004,$K389),INDEX('AH History'!$D$5:$GG$1380,$K389,AH!$U$10))))&gt;0),IF(AND(AH!$U$12=1,384+1=AH!$U$6),IF(AH!$U$4=0,"unavailable",INDEX('Market Data'!$AN$5:$AN$66,AH!$U$4)),IF(AH!$U$5=1,INDEX('Live History'!$B$5:$B$3004,$K389),INDEX('AH History'!$D$5:$GG$1380,$K389,AH!$U$10))),NA()),NA())</f>
        <v/>
      </c>
      <c r="F389" s="32">
        <f>IFERROR(IF(ISNUMBER($A389),IF(AND(AH!$U$12=1,384+1=AH!$U$6),IF(AH!$U$4=0,"unavailable",INDEX('Market Data'!$AO$5:$AO$66,AH!$U$4)),IF(AH!$U$5=1,INDEX('Live History'!$E$5:$E$3004,MATCH($A389,'Live History'!$D$5:$D$3004,1)),INDEX('AH History'!$D$5:$GG$1380,$K389,AH!$U$10+1))),NA()),NA())</f>
        <v/>
      </c>
      <c r="G389" s="34">
        <f>IFERROR(IF(ISNUMBER($A389),IF(AND(AH!$U$12=1,384+1=AH!$U$6),IF(AH!$U$4=0,"unavailable",INDEX('Market Data'!$AK$5:$AK$66,AH!$U$4)),IF(AH!$U$5=1,INDEX('Live History'!$D$5:$D$3004,MATCH($A389,'Live History'!$D$5:$D$3004,1)),INDEX('AH History'!$D$5:$GG$1380,$K389,AH!$U$10+2))),NA()),NA())</f>
        <v/>
      </c>
      <c r="H389" s="266">
        <f>IFERROR(IF(ISNUMBER($A389),IF(AND(AH!$U$12=1,384+1=AH!$U$6),IF(AH!$U$4=0,"unavailable",INDEX('Market Data'!$AP$5:$AP$66,AH!$U$4)),IF(AH!$U$5=1,INDEX('Live History'!$H$5:$H$3004,MATCH($A389,'Live History'!$G$5:$G$3004,1)),INDEX('AH History'!$B$5:$B$1380,$K389))),NA()),NA())</f>
        <v/>
      </c>
      <c r="I389" s="34">
        <f>IFERROR(IF(ISNUMBER($A389),IF(AND(AH!$U$12=1,384+1=AH!$U$6),TODAY(),IF(AH!$U$5=1,INDEX('Live History'!$G$5:$G$3004,MATCH($A389,'Live History'!$G$5:$G$3004,1)),INDEX('AH History'!$C$5:$C$1380,$K389))),NA()),NA())</f>
        <v/>
      </c>
      <c r="J389" s="32">
        <f>IFERROR(IF(AND($F389&gt;0,$H389&gt;0,$A389-$G389&lt;=10,$A389-$I389&lt;=5,$G389&gt;0,$I389&gt;0),$F389*$H389,NA()),NA())</f>
        <v/>
      </c>
      <c r="K389" s="15">
        <f>IF($A389="","",IF(AH!$U$5=1,IFERROR(MATCH($A389,'Live History'!$A$5:$A$3004,0),0),AH!$U$7+384))</f>
        <v/>
      </c>
      <c r="L389" s="15">
        <f>IF(ISNUMBER(A389),TEXT(A389,"dd-mmm-yy"),"")</f>
        <v/>
      </c>
    </row>
    <row r="390">
      <c r="A390" s="14">
        <f>IF(OR(AH!$U$4=0,385+1&gt;AH!$U$6,AND(AH!$M$5="Bloomberg",AH!$U$5=0)),"",IFERROR(IF(AND(AH!$U$12=1,385+1=AH!$U$6),TODAY(),IF(AH!$U$5=1,INDEX('Live History'!$A$5:$A$3004,AH!$U$7+385),INDEX('AH History'!$A$5:$A$1380,AH!$U$7+385))),""))</f>
        <v/>
      </c>
      <c r="B390" s="33">
        <f>IFERROR(IF(AH!$U$11=1,NA(),$J390/$E390-1),NA())</f>
        <v/>
      </c>
      <c r="C390" s="269">
        <f>IFERROR(100*$E390/$E$5,NA())</f>
        <v/>
      </c>
      <c r="D390" s="269">
        <f>IFERROR(100*$J390/$J$5,NA())</f>
        <v/>
      </c>
      <c r="E390" s="32">
        <f>IFERROR(IF(AND(ISNUMBER($A390),N(IF(AND(AH!$U$12=1,385+1=AH!$U$6),IF(AH!$U$4=0,"unavailable",INDEX('Market Data'!$AN$5:$AN$66,AH!$U$4)),IF(AH!$U$5=1,INDEX('Live History'!$B$5:$B$3004,$K390),INDEX('AH History'!$D$5:$GG$1380,$K390,AH!$U$10))))&gt;0),IF(AND(AH!$U$12=1,385+1=AH!$U$6),IF(AH!$U$4=0,"unavailable",INDEX('Market Data'!$AN$5:$AN$66,AH!$U$4)),IF(AH!$U$5=1,INDEX('Live History'!$B$5:$B$3004,$K390),INDEX('AH History'!$D$5:$GG$1380,$K390,AH!$U$10))),NA()),NA())</f>
        <v/>
      </c>
      <c r="F390" s="32">
        <f>IFERROR(IF(ISNUMBER($A390),IF(AND(AH!$U$12=1,385+1=AH!$U$6),IF(AH!$U$4=0,"unavailable",INDEX('Market Data'!$AO$5:$AO$66,AH!$U$4)),IF(AH!$U$5=1,INDEX('Live History'!$E$5:$E$3004,MATCH($A390,'Live History'!$D$5:$D$3004,1)),INDEX('AH History'!$D$5:$GG$1380,$K390,AH!$U$10+1))),NA()),NA())</f>
        <v/>
      </c>
      <c r="G390" s="34">
        <f>IFERROR(IF(ISNUMBER($A390),IF(AND(AH!$U$12=1,385+1=AH!$U$6),IF(AH!$U$4=0,"unavailable",INDEX('Market Data'!$AK$5:$AK$66,AH!$U$4)),IF(AH!$U$5=1,INDEX('Live History'!$D$5:$D$3004,MATCH($A390,'Live History'!$D$5:$D$3004,1)),INDEX('AH History'!$D$5:$GG$1380,$K390,AH!$U$10+2))),NA()),NA())</f>
        <v/>
      </c>
      <c r="H390" s="266">
        <f>IFERROR(IF(ISNUMBER($A390),IF(AND(AH!$U$12=1,385+1=AH!$U$6),IF(AH!$U$4=0,"unavailable",INDEX('Market Data'!$AP$5:$AP$66,AH!$U$4)),IF(AH!$U$5=1,INDEX('Live History'!$H$5:$H$3004,MATCH($A390,'Live History'!$G$5:$G$3004,1)),INDEX('AH History'!$B$5:$B$1380,$K390))),NA()),NA())</f>
        <v/>
      </c>
      <c r="I390" s="34">
        <f>IFERROR(IF(ISNUMBER($A390),IF(AND(AH!$U$12=1,385+1=AH!$U$6),TODAY(),IF(AH!$U$5=1,INDEX('Live History'!$G$5:$G$3004,MATCH($A390,'Live History'!$G$5:$G$3004,1)),INDEX('AH History'!$C$5:$C$1380,$K390))),NA()),NA())</f>
        <v/>
      </c>
      <c r="J390" s="32">
        <f>IFERROR(IF(AND($F390&gt;0,$H390&gt;0,$A390-$G390&lt;=10,$A390-$I390&lt;=5,$G390&gt;0,$I390&gt;0),$F390*$H390,NA()),NA())</f>
        <v/>
      </c>
      <c r="K390" s="15">
        <f>IF($A390="","",IF(AH!$U$5=1,IFERROR(MATCH($A390,'Live History'!$A$5:$A$3004,0),0),AH!$U$7+385))</f>
        <v/>
      </c>
      <c r="L390" s="15">
        <f>IF(ISNUMBER(A390),TEXT(A390,"dd-mmm-yy"),"")</f>
        <v/>
      </c>
    </row>
    <row r="391">
      <c r="A391" s="14">
        <f>IF(OR(AH!$U$4=0,386+1&gt;AH!$U$6,AND(AH!$M$5="Bloomberg",AH!$U$5=0)),"",IFERROR(IF(AND(AH!$U$12=1,386+1=AH!$U$6),TODAY(),IF(AH!$U$5=1,INDEX('Live History'!$A$5:$A$3004,AH!$U$7+386),INDEX('AH History'!$A$5:$A$1380,AH!$U$7+386))),""))</f>
        <v/>
      </c>
      <c r="B391" s="33">
        <f>IFERROR(IF(AH!$U$11=1,NA(),$J391/$E391-1),NA())</f>
        <v/>
      </c>
      <c r="C391" s="269">
        <f>IFERROR(100*$E391/$E$5,NA())</f>
        <v/>
      </c>
      <c r="D391" s="269">
        <f>IFERROR(100*$J391/$J$5,NA())</f>
        <v/>
      </c>
      <c r="E391" s="32">
        <f>IFERROR(IF(AND(ISNUMBER($A391),N(IF(AND(AH!$U$12=1,386+1=AH!$U$6),IF(AH!$U$4=0,"unavailable",INDEX('Market Data'!$AN$5:$AN$66,AH!$U$4)),IF(AH!$U$5=1,INDEX('Live History'!$B$5:$B$3004,$K391),INDEX('AH History'!$D$5:$GG$1380,$K391,AH!$U$10))))&gt;0),IF(AND(AH!$U$12=1,386+1=AH!$U$6),IF(AH!$U$4=0,"unavailable",INDEX('Market Data'!$AN$5:$AN$66,AH!$U$4)),IF(AH!$U$5=1,INDEX('Live History'!$B$5:$B$3004,$K391),INDEX('AH History'!$D$5:$GG$1380,$K391,AH!$U$10))),NA()),NA())</f>
        <v/>
      </c>
      <c r="F391" s="32">
        <f>IFERROR(IF(ISNUMBER($A391),IF(AND(AH!$U$12=1,386+1=AH!$U$6),IF(AH!$U$4=0,"unavailable",INDEX('Market Data'!$AO$5:$AO$66,AH!$U$4)),IF(AH!$U$5=1,INDEX('Live History'!$E$5:$E$3004,MATCH($A391,'Live History'!$D$5:$D$3004,1)),INDEX('AH History'!$D$5:$GG$1380,$K391,AH!$U$10+1))),NA()),NA())</f>
        <v/>
      </c>
      <c r="G391" s="34">
        <f>IFERROR(IF(ISNUMBER($A391),IF(AND(AH!$U$12=1,386+1=AH!$U$6),IF(AH!$U$4=0,"unavailable",INDEX('Market Data'!$AK$5:$AK$66,AH!$U$4)),IF(AH!$U$5=1,INDEX('Live History'!$D$5:$D$3004,MATCH($A391,'Live History'!$D$5:$D$3004,1)),INDEX('AH History'!$D$5:$GG$1380,$K391,AH!$U$10+2))),NA()),NA())</f>
        <v/>
      </c>
      <c r="H391" s="266">
        <f>IFERROR(IF(ISNUMBER($A391),IF(AND(AH!$U$12=1,386+1=AH!$U$6),IF(AH!$U$4=0,"unavailable",INDEX('Market Data'!$AP$5:$AP$66,AH!$U$4)),IF(AH!$U$5=1,INDEX('Live History'!$H$5:$H$3004,MATCH($A391,'Live History'!$G$5:$G$3004,1)),INDEX('AH History'!$B$5:$B$1380,$K391))),NA()),NA())</f>
        <v/>
      </c>
      <c r="I391" s="34">
        <f>IFERROR(IF(ISNUMBER($A391),IF(AND(AH!$U$12=1,386+1=AH!$U$6),TODAY(),IF(AH!$U$5=1,INDEX('Live History'!$G$5:$G$3004,MATCH($A391,'Live History'!$G$5:$G$3004,1)),INDEX('AH History'!$C$5:$C$1380,$K391))),NA()),NA())</f>
        <v/>
      </c>
      <c r="J391" s="32">
        <f>IFERROR(IF(AND($F391&gt;0,$H391&gt;0,$A391-$G391&lt;=10,$A391-$I391&lt;=5,$G391&gt;0,$I391&gt;0),$F391*$H391,NA()),NA())</f>
        <v/>
      </c>
      <c r="K391" s="15">
        <f>IF($A391="","",IF(AH!$U$5=1,IFERROR(MATCH($A391,'Live History'!$A$5:$A$3004,0),0),AH!$U$7+386))</f>
        <v/>
      </c>
      <c r="L391" s="15">
        <f>IF(ISNUMBER(A391),TEXT(A391,"dd-mmm-yy"),"")</f>
        <v/>
      </c>
    </row>
    <row r="392">
      <c r="A392" s="14">
        <f>IF(OR(AH!$U$4=0,387+1&gt;AH!$U$6,AND(AH!$M$5="Bloomberg",AH!$U$5=0)),"",IFERROR(IF(AND(AH!$U$12=1,387+1=AH!$U$6),TODAY(),IF(AH!$U$5=1,INDEX('Live History'!$A$5:$A$3004,AH!$U$7+387),INDEX('AH History'!$A$5:$A$1380,AH!$U$7+387))),""))</f>
        <v/>
      </c>
      <c r="B392" s="33">
        <f>IFERROR(IF(AH!$U$11=1,NA(),$J392/$E392-1),NA())</f>
        <v/>
      </c>
      <c r="C392" s="269">
        <f>IFERROR(100*$E392/$E$5,NA())</f>
        <v/>
      </c>
      <c r="D392" s="269">
        <f>IFERROR(100*$J392/$J$5,NA())</f>
        <v/>
      </c>
      <c r="E392" s="32">
        <f>IFERROR(IF(AND(ISNUMBER($A392),N(IF(AND(AH!$U$12=1,387+1=AH!$U$6),IF(AH!$U$4=0,"unavailable",INDEX('Market Data'!$AN$5:$AN$66,AH!$U$4)),IF(AH!$U$5=1,INDEX('Live History'!$B$5:$B$3004,$K392),INDEX('AH History'!$D$5:$GG$1380,$K392,AH!$U$10))))&gt;0),IF(AND(AH!$U$12=1,387+1=AH!$U$6),IF(AH!$U$4=0,"unavailable",INDEX('Market Data'!$AN$5:$AN$66,AH!$U$4)),IF(AH!$U$5=1,INDEX('Live History'!$B$5:$B$3004,$K392),INDEX('AH History'!$D$5:$GG$1380,$K392,AH!$U$10))),NA()),NA())</f>
        <v/>
      </c>
      <c r="F392" s="32">
        <f>IFERROR(IF(ISNUMBER($A392),IF(AND(AH!$U$12=1,387+1=AH!$U$6),IF(AH!$U$4=0,"unavailable",INDEX('Market Data'!$AO$5:$AO$66,AH!$U$4)),IF(AH!$U$5=1,INDEX('Live History'!$E$5:$E$3004,MATCH($A392,'Live History'!$D$5:$D$3004,1)),INDEX('AH History'!$D$5:$GG$1380,$K392,AH!$U$10+1))),NA()),NA())</f>
        <v/>
      </c>
      <c r="G392" s="34">
        <f>IFERROR(IF(ISNUMBER($A392),IF(AND(AH!$U$12=1,387+1=AH!$U$6),IF(AH!$U$4=0,"unavailable",INDEX('Market Data'!$AK$5:$AK$66,AH!$U$4)),IF(AH!$U$5=1,INDEX('Live History'!$D$5:$D$3004,MATCH($A392,'Live History'!$D$5:$D$3004,1)),INDEX('AH History'!$D$5:$GG$1380,$K392,AH!$U$10+2))),NA()),NA())</f>
        <v/>
      </c>
      <c r="H392" s="266">
        <f>IFERROR(IF(ISNUMBER($A392),IF(AND(AH!$U$12=1,387+1=AH!$U$6),IF(AH!$U$4=0,"unavailable",INDEX('Market Data'!$AP$5:$AP$66,AH!$U$4)),IF(AH!$U$5=1,INDEX('Live History'!$H$5:$H$3004,MATCH($A392,'Live History'!$G$5:$G$3004,1)),INDEX('AH History'!$B$5:$B$1380,$K392))),NA()),NA())</f>
        <v/>
      </c>
      <c r="I392" s="34">
        <f>IFERROR(IF(ISNUMBER($A392),IF(AND(AH!$U$12=1,387+1=AH!$U$6),TODAY(),IF(AH!$U$5=1,INDEX('Live History'!$G$5:$G$3004,MATCH($A392,'Live History'!$G$5:$G$3004,1)),INDEX('AH History'!$C$5:$C$1380,$K392))),NA()),NA())</f>
        <v/>
      </c>
      <c r="J392" s="32">
        <f>IFERROR(IF(AND($F392&gt;0,$H392&gt;0,$A392-$G392&lt;=10,$A392-$I392&lt;=5,$G392&gt;0,$I392&gt;0),$F392*$H392,NA()),NA())</f>
        <v/>
      </c>
      <c r="K392" s="15">
        <f>IF($A392="","",IF(AH!$U$5=1,IFERROR(MATCH($A392,'Live History'!$A$5:$A$3004,0),0),AH!$U$7+387))</f>
        <v/>
      </c>
      <c r="L392" s="15">
        <f>IF(ISNUMBER(A392),TEXT(A392,"dd-mmm-yy"),"")</f>
        <v/>
      </c>
    </row>
    <row r="393">
      <c r="A393" s="14">
        <f>IF(OR(AH!$U$4=0,388+1&gt;AH!$U$6,AND(AH!$M$5="Bloomberg",AH!$U$5=0)),"",IFERROR(IF(AND(AH!$U$12=1,388+1=AH!$U$6),TODAY(),IF(AH!$U$5=1,INDEX('Live History'!$A$5:$A$3004,AH!$U$7+388),INDEX('AH History'!$A$5:$A$1380,AH!$U$7+388))),""))</f>
        <v/>
      </c>
      <c r="B393" s="33">
        <f>IFERROR(IF(AH!$U$11=1,NA(),$J393/$E393-1),NA())</f>
        <v/>
      </c>
      <c r="C393" s="269">
        <f>IFERROR(100*$E393/$E$5,NA())</f>
        <v/>
      </c>
      <c r="D393" s="269">
        <f>IFERROR(100*$J393/$J$5,NA())</f>
        <v/>
      </c>
      <c r="E393" s="32">
        <f>IFERROR(IF(AND(ISNUMBER($A393),N(IF(AND(AH!$U$12=1,388+1=AH!$U$6),IF(AH!$U$4=0,"unavailable",INDEX('Market Data'!$AN$5:$AN$66,AH!$U$4)),IF(AH!$U$5=1,INDEX('Live History'!$B$5:$B$3004,$K393),INDEX('AH History'!$D$5:$GG$1380,$K393,AH!$U$10))))&gt;0),IF(AND(AH!$U$12=1,388+1=AH!$U$6),IF(AH!$U$4=0,"unavailable",INDEX('Market Data'!$AN$5:$AN$66,AH!$U$4)),IF(AH!$U$5=1,INDEX('Live History'!$B$5:$B$3004,$K393),INDEX('AH History'!$D$5:$GG$1380,$K393,AH!$U$10))),NA()),NA())</f>
        <v/>
      </c>
      <c r="F393" s="32">
        <f>IFERROR(IF(ISNUMBER($A393),IF(AND(AH!$U$12=1,388+1=AH!$U$6),IF(AH!$U$4=0,"unavailable",INDEX('Market Data'!$AO$5:$AO$66,AH!$U$4)),IF(AH!$U$5=1,INDEX('Live History'!$E$5:$E$3004,MATCH($A393,'Live History'!$D$5:$D$3004,1)),INDEX('AH History'!$D$5:$GG$1380,$K393,AH!$U$10+1))),NA()),NA())</f>
        <v/>
      </c>
      <c r="G393" s="34">
        <f>IFERROR(IF(ISNUMBER($A393),IF(AND(AH!$U$12=1,388+1=AH!$U$6),IF(AH!$U$4=0,"unavailable",INDEX('Market Data'!$AK$5:$AK$66,AH!$U$4)),IF(AH!$U$5=1,INDEX('Live History'!$D$5:$D$3004,MATCH($A393,'Live History'!$D$5:$D$3004,1)),INDEX('AH History'!$D$5:$GG$1380,$K393,AH!$U$10+2))),NA()),NA())</f>
        <v/>
      </c>
      <c r="H393" s="266">
        <f>IFERROR(IF(ISNUMBER($A393),IF(AND(AH!$U$12=1,388+1=AH!$U$6),IF(AH!$U$4=0,"unavailable",INDEX('Market Data'!$AP$5:$AP$66,AH!$U$4)),IF(AH!$U$5=1,INDEX('Live History'!$H$5:$H$3004,MATCH($A393,'Live History'!$G$5:$G$3004,1)),INDEX('AH History'!$B$5:$B$1380,$K393))),NA()),NA())</f>
        <v/>
      </c>
      <c r="I393" s="34">
        <f>IFERROR(IF(ISNUMBER($A393),IF(AND(AH!$U$12=1,388+1=AH!$U$6),TODAY(),IF(AH!$U$5=1,INDEX('Live History'!$G$5:$G$3004,MATCH($A393,'Live History'!$G$5:$G$3004,1)),INDEX('AH History'!$C$5:$C$1380,$K393))),NA()),NA())</f>
        <v/>
      </c>
      <c r="J393" s="32">
        <f>IFERROR(IF(AND($F393&gt;0,$H393&gt;0,$A393-$G393&lt;=10,$A393-$I393&lt;=5,$G393&gt;0,$I393&gt;0),$F393*$H393,NA()),NA())</f>
        <v/>
      </c>
      <c r="K393" s="15">
        <f>IF($A393="","",IF(AH!$U$5=1,IFERROR(MATCH($A393,'Live History'!$A$5:$A$3004,0),0),AH!$U$7+388))</f>
        <v/>
      </c>
      <c r="L393" s="15">
        <f>IF(ISNUMBER(A393),TEXT(A393,"dd-mmm-yy"),"")</f>
        <v/>
      </c>
    </row>
    <row r="394">
      <c r="A394" s="14">
        <f>IF(OR(AH!$U$4=0,389+1&gt;AH!$U$6,AND(AH!$M$5="Bloomberg",AH!$U$5=0)),"",IFERROR(IF(AND(AH!$U$12=1,389+1=AH!$U$6),TODAY(),IF(AH!$U$5=1,INDEX('Live History'!$A$5:$A$3004,AH!$U$7+389),INDEX('AH History'!$A$5:$A$1380,AH!$U$7+389))),""))</f>
        <v/>
      </c>
      <c r="B394" s="33">
        <f>IFERROR(IF(AH!$U$11=1,NA(),$J394/$E394-1),NA())</f>
        <v/>
      </c>
      <c r="C394" s="269">
        <f>IFERROR(100*$E394/$E$5,NA())</f>
        <v/>
      </c>
      <c r="D394" s="269">
        <f>IFERROR(100*$J394/$J$5,NA())</f>
        <v/>
      </c>
      <c r="E394" s="32">
        <f>IFERROR(IF(AND(ISNUMBER($A394),N(IF(AND(AH!$U$12=1,389+1=AH!$U$6),IF(AH!$U$4=0,"unavailable",INDEX('Market Data'!$AN$5:$AN$66,AH!$U$4)),IF(AH!$U$5=1,INDEX('Live History'!$B$5:$B$3004,$K394),INDEX('AH History'!$D$5:$GG$1380,$K394,AH!$U$10))))&gt;0),IF(AND(AH!$U$12=1,389+1=AH!$U$6),IF(AH!$U$4=0,"unavailable",INDEX('Market Data'!$AN$5:$AN$66,AH!$U$4)),IF(AH!$U$5=1,INDEX('Live History'!$B$5:$B$3004,$K394),INDEX('AH History'!$D$5:$GG$1380,$K394,AH!$U$10))),NA()),NA())</f>
        <v/>
      </c>
      <c r="F394" s="32">
        <f>IFERROR(IF(ISNUMBER($A394),IF(AND(AH!$U$12=1,389+1=AH!$U$6),IF(AH!$U$4=0,"unavailable",INDEX('Market Data'!$AO$5:$AO$66,AH!$U$4)),IF(AH!$U$5=1,INDEX('Live History'!$E$5:$E$3004,MATCH($A394,'Live History'!$D$5:$D$3004,1)),INDEX('AH History'!$D$5:$GG$1380,$K394,AH!$U$10+1))),NA()),NA())</f>
        <v/>
      </c>
      <c r="G394" s="34">
        <f>IFERROR(IF(ISNUMBER($A394),IF(AND(AH!$U$12=1,389+1=AH!$U$6),IF(AH!$U$4=0,"unavailable",INDEX('Market Data'!$AK$5:$AK$66,AH!$U$4)),IF(AH!$U$5=1,INDEX('Live History'!$D$5:$D$3004,MATCH($A394,'Live History'!$D$5:$D$3004,1)),INDEX('AH History'!$D$5:$GG$1380,$K394,AH!$U$10+2))),NA()),NA())</f>
        <v/>
      </c>
      <c r="H394" s="266">
        <f>IFERROR(IF(ISNUMBER($A394),IF(AND(AH!$U$12=1,389+1=AH!$U$6),IF(AH!$U$4=0,"unavailable",INDEX('Market Data'!$AP$5:$AP$66,AH!$U$4)),IF(AH!$U$5=1,INDEX('Live History'!$H$5:$H$3004,MATCH($A394,'Live History'!$G$5:$G$3004,1)),INDEX('AH History'!$B$5:$B$1380,$K394))),NA()),NA())</f>
        <v/>
      </c>
      <c r="I394" s="34">
        <f>IFERROR(IF(ISNUMBER($A394),IF(AND(AH!$U$12=1,389+1=AH!$U$6),TODAY(),IF(AH!$U$5=1,INDEX('Live History'!$G$5:$G$3004,MATCH($A394,'Live History'!$G$5:$G$3004,1)),INDEX('AH History'!$C$5:$C$1380,$K394))),NA()),NA())</f>
        <v/>
      </c>
      <c r="J394" s="32">
        <f>IFERROR(IF(AND($F394&gt;0,$H394&gt;0,$A394-$G394&lt;=10,$A394-$I394&lt;=5,$G394&gt;0,$I394&gt;0),$F394*$H394,NA()),NA())</f>
        <v/>
      </c>
      <c r="K394" s="15">
        <f>IF($A394="","",IF(AH!$U$5=1,IFERROR(MATCH($A394,'Live History'!$A$5:$A$3004,0),0),AH!$U$7+389))</f>
        <v/>
      </c>
      <c r="L394" s="15">
        <f>IF(ISNUMBER(A394),TEXT(A394,"dd-mmm-yy"),"")</f>
        <v/>
      </c>
    </row>
    <row r="395">
      <c r="A395" s="14">
        <f>IF(OR(AH!$U$4=0,390+1&gt;AH!$U$6,AND(AH!$M$5="Bloomberg",AH!$U$5=0)),"",IFERROR(IF(AND(AH!$U$12=1,390+1=AH!$U$6),TODAY(),IF(AH!$U$5=1,INDEX('Live History'!$A$5:$A$3004,AH!$U$7+390),INDEX('AH History'!$A$5:$A$1380,AH!$U$7+390))),""))</f>
        <v/>
      </c>
      <c r="B395" s="33">
        <f>IFERROR(IF(AH!$U$11=1,NA(),$J395/$E395-1),NA())</f>
        <v/>
      </c>
      <c r="C395" s="269">
        <f>IFERROR(100*$E395/$E$5,NA())</f>
        <v/>
      </c>
      <c r="D395" s="269">
        <f>IFERROR(100*$J395/$J$5,NA())</f>
        <v/>
      </c>
      <c r="E395" s="32">
        <f>IFERROR(IF(AND(ISNUMBER($A395),N(IF(AND(AH!$U$12=1,390+1=AH!$U$6),IF(AH!$U$4=0,"unavailable",INDEX('Market Data'!$AN$5:$AN$66,AH!$U$4)),IF(AH!$U$5=1,INDEX('Live History'!$B$5:$B$3004,$K395),INDEX('AH History'!$D$5:$GG$1380,$K395,AH!$U$10))))&gt;0),IF(AND(AH!$U$12=1,390+1=AH!$U$6),IF(AH!$U$4=0,"unavailable",INDEX('Market Data'!$AN$5:$AN$66,AH!$U$4)),IF(AH!$U$5=1,INDEX('Live History'!$B$5:$B$3004,$K395),INDEX('AH History'!$D$5:$GG$1380,$K395,AH!$U$10))),NA()),NA())</f>
        <v/>
      </c>
      <c r="F395" s="32">
        <f>IFERROR(IF(ISNUMBER($A395),IF(AND(AH!$U$12=1,390+1=AH!$U$6),IF(AH!$U$4=0,"unavailable",INDEX('Market Data'!$AO$5:$AO$66,AH!$U$4)),IF(AH!$U$5=1,INDEX('Live History'!$E$5:$E$3004,MATCH($A395,'Live History'!$D$5:$D$3004,1)),INDEX('AH History'!$D$5:$GG$1380,$K395,AH!$U$10+1))),NA()),NA())</f>
        <v/>
      </c>
      <c r="G395" s="34">
        <f>IFERROR(IF(ISNUMBER($A395),IF(AND(AH!$U$12=1,390+1=AH!$U$6),IF(AH!$U$4=0,"unavailable",INDEX('Market Data'!$AK$5:$AK$66,AH!$U$4)),IF(AH!$U$5=1,INDEX('Live History'!$D$5:$D$3004,MATCH($A395,'Live History'!$D$5:$D$3004,1)),INDEX('AH History'!$D$5:$GG$1380,$K395,AH!$U$10+2))),NA()),NA())</f>
        <v/>
      </c>
      <c r="H395" s="266">
        <f>IFERROR(IF(ISNUMBER($A395),IF(AND(AH!$U$12=1,390+1=AH!$U$6),IF(AH!$U$4=0,"unavailable",INDEX('Market Data'!$AP$5:$AP$66,AH!$U$4)),IF(AH!$U$5=1,INDEX('Live History'!$H$5:$H$3004,MATCH($A395,'Live History'!$G$5:$G$3004,1)),INDEX('AH History'!$B$5:$B$1380,$K395))),NA()),NA())</f>
        <v/>
      </c>
      <c r="I395" s="34">
        <f>IFERROR(IF(ISNUMBER($A395),IF(AND(AH!$U$12=1,390+1=AH!$U$6),TODAY(),IF(AH!$U$5=1,INDEX('Live History'!$G$5:$G$3004,MATCH($A395,'Live History'!$G$5:$G$3004,1)),INDEX('AH History'!$C$5:$C$1380,$K395))),NA()),NA())</f>
        <v/>
      </c>
      <c r="J395" s="32">
        <f>IFERROR(IF(AND($F395&gt;0,$H395&gt;0,$A395-$G395&lt;=10,$A395-$I395&lt;=5,$G395&gt;0,$I395&gt;0),$F395*$H395,NA()),NA())</f>
        <v/>
      </c>
      <c r="K395" s="15">
        <f>IF($A395="","",IF(AH!$U$5=1,IFERROR(MATCH($A395,'Live History'!$A$5:$A$3004,0),0),AH!$U$7+390))</f>
        <v/>
      </c>
      <c r="L395" s="15">
        <f>IF(ISNUMBER(A395),TEXT(A395,"dd-mmm-yy"),"")</f>
        <v/>
      </c>
    </row>
    <row r="396">
      <c r="A396" s="14">
        <f>IF(OR(AH!$U$4=0,391+1&gt;AH!$U$6,AND(AH!$M$5="Bloomberg",AH!$U$5=0)),"",IFERROR(IF(AND(AH!$U$12=1,391+1=AH!$U$6),TODAY(),IF(AH!$U$5=1,INDEX('Live History'!$A$5:$A$3004,AH!$U$7+391),INDEX('AH History'!$A$5:$A$1380,AH!$U$7+391))),""))</f>
        <v/>
      </c>
      <c r="B396" s="33">
        <f>IFERROR(IF(AH!$U$11=1,NA(),$J396/$E396-1),NA())</f>
        <v/>
      </c>
      <c r="C396" s="269">
        <f>IFERROR(100*$E396/$E$5,NA())</f>
        <v/>
      </c>
      <c r="D396" s="269">
        <f>IFERROR(100*$J396/$J$5,NA())</f>
        <v/>
      </c>
      <c r="E396" s="32">
        <f>IFERROR(IF(AND(ISNUMBER($A396),N(IF(AND(AH!$U$12=1,391+1=AH!$U$6),IF(AH!$U$4=0,"unavailable",INDEX('Market Data'!$AN$5:$AN$66,AH!$U$4)),IF(AH!$U$5=1,INDEX('Live History'!$B$5:$B$3004,$K396),INDEX('AH History'!$D$5:$GG$1380,$K396,AH!$U$10))))&gt;0),IF(AND(AH!$U$12=1,391+1=AH!$U$6),IF(AH!$U$4=0,"unavailable",INDEX('Market Data'!$AN$5:$AN$66,AH!$U$4)),IF(AH!$U$5=1,INDEX('Live History'!$B$5:$B$3004,$K396),INDEX('AH History'!$D$5:$GG$1380,$K396,AH!$U$10))),NA()),NA())</f>
        <v/>
      </c>
      <c r="F396" s="32">
        <f>IFERROR(IF(ISNUMBER($A396),IF(AND(AH!$U$12=1,391+1=AH!$U$6),IF(AH!$U$4=0,"unavailable",INDEX('Market Data'!$AO$5:$AO$66,AH!$U$4)),IF(AH!$U$5=1,INDEX('Live History'!$E$5:$E$3004,MATCH($A396,'Live History'!$D$5:$D$3004,1)),INDEX('AH History'!$D$5:$GG$1380,$K396,AH!$U$10+1))),NA()),NA())</f>
        <v/>
      </c>
      <c r="G396" s="34">
        <f>IFERROR(IF(ISNUMBER($A396),IF(AND(AH!$U$12=1,391+1=AH!$U$6),IF(AH!$U$4=0,"unavailable",INDEX('Market Data'!$AK$5:$AK$66,AH!$U$4)),IF(AH!$U$5=1,INDEX('Live History'!$D$5:$D$3004,MATCH($A396,'Live History'!$D$5:$D$3004,1)),INDEX('AH History'!$D$5:$GG$1380,$K396,AH!$U$10+2))),NA()),NA())</f>
        <v/>
      </c>
      <c r="H396" s="266">
        <f>IFERROR(IF(ISNUMBER($A396),IF(AND(AH!$U$12=1,391+1=AH!$U$6),IF(AH!$U$4=0,"unavailable",INDEX('Market Data'!$AP$5:$AP$66,AH!$U$4)),IF(AH!$U$5=1,INDEX('Live History'!$H$5:$H$3004,MATCH($A396,'Live History'!$G$5:$G$3004,1)),INDEX('AH History'!$B$5:$B$1380,$K396))),NA()),NA())</f>
        <v/>
      </c>
      <c r="I396" s="34">
        <f>IFERROR(IF(ISNUMBER($A396),IF(AND(AH!$U$12=1,391+1=AH!$U$6),TODAY(),IF(AH!$U$5=1,INDEX('Live History'!$G$5:$G$3004,MATCH($A396,'Live History'!$G$5:$G$3004,1)),INDEX('AH History'!$C$5:$C$1380,$K396))),NA()),NA())</f>
        <v/>
      </c>
      <c r="J396" s="32">
        <f>IFERROR(IF(AND($F396&gt;0,$H396&gt;0,$A396-$G396&lt;=10,$A396-$I396&lt;=5,$G396&gt;0,$I396&gt;0),$F396*$H396,NA()),NA())</f>
        <v/>
      </c>
      <c r="K396" s="15">
        <f>IF($A396="","",IF(AH!$U$5=1,IFERROR(MATCH($A396,'Live History'!$A$5:$A$3004,0),0),AH!$U$7+391))</f>
        <v/>
      </c>
      <c r="L396" s="15">
        <f>IF(ISNUMBER(A396),TEXT(A396,"dd-mmm-yy"),"")</f>
        <v/>
      </c>
    </row>
    <row r="397">
      <c r="A397" s="14">
        <f>IF(OR(AH!$U$4=0,392+1&gt;AH!$U$6,AND(AH!$M$5="Bloomberg",AH!$U$5=0)),"",IFERROR(IF(AND(AH!$U$12=1,392+1=AH!$U$6),TODAY(),IF(AH!$U$5=1,INDEX('Live History'!$A$5:$A$3004,AH!$U$7+392),INDEX('AH History'!$A$5:$A$1380,AH!$U$7+392))),""))</f>
        <v/>
      </c>
      <c r="B397" s="33">
        <f>IFERROR(IF(AH!$U$11=1,NA(),$J397/$E397-1),NA())</f>
        <v/>
      </c>
      <c r="C397" s="269">
        <f>IFERROR(100*$E397/$E$5,NA())</f>
        <v/>
      </c>
      <c r="D397" s="269">
        <f>IFERROR(100*$J397/$J$5,NA())</f>
        <v/>
      </c>
      <c r="E397" s="32">
        <f>IFERROR(IF(AND(ISNUMBER($A397),N(IF(AND(AH!$U$12=1,392+1=AH!$U$6),IF(AH!$U$4=0,"unavailable",INDEX('Market Data'!$AN$5:$AN$66,AH!$U$4)),IF(AH!$U$5=1,INDEX('Live History'!$B$5:$B$3004,$K397),INDEX('AH History'!$D$5:$GG$1380,$K397,AH!$U$10))))&gt;0),IF(AND(AH!$U$12=1,392+1=AH!$U$6),IF(AH!$U$4=0,"unavailable",INDEX('Market Data'!$AN$5:$AN$66,AH!$U$4)),IF(AH!$U$5=1,INDEX('Live History'!$B$5:$B$3004,$K397),INDEX('AH History'!$D$5:$GG$1380,$K397,AH!$U$10))),NA()),NA())</f>
        <v/>
      </c>
      <c r="F397" s="32">
        <f>IFERROR(IF(ISNUMBER($A397),IF(AND(AH!$U$12=1,392+1=AH!$U$6),IF(AH!$U$4=0,"unavailable",INDEX('Market Data'!$AO$5:$AO$66,AH!$U$4)),IF(AH!$U$5=1,INDEX('Live History'!$E$5:$E$3004,MATCH($A397,'Live History'!$D$5:$D$3004,1)),INDEX('AH History'!$D$5:$GG$1380,$K397,AH!$U$10+1))),NA()),NA())</f>
        <v/>
      </c>
      <c r="G397" s="34">
        <f>IFERROR(IF(ISNUMBER($A397),IF(AND(AH!$U$12=1,392+1=AH!$U$6),IF(AH!$U$4=0,"unavailable",INDEX('Market Data'!$AK$5:$AK$66,AH!$U$4)),IF(AH!$U$5=1,INDEX('Live History'!$D$5:$D$3004,MATCH($A397,'Live History'!$D$5:$D$3004,1)),INDEX('AH History'!$D$5:$GG$1380,$K397,AH!$U$10+2))),NA()),NA())</f>
        <v/>
      </c>
      <c r="H397" s="266">
        <f>IFERROR(IF(ISNUMBER($A397),IF(AND(AH!$U$12=1,392+1=AH!$U$6),IF(AH!$U$4=0,"unavailable",INDEX('Market Data'!$AP$5:$AP$66,AH!$U$4)),IF(AH!$U$5=1,INDEX('Live History'!$H$5:$H$3004,MATCH($A397,'Live History'!$G$5:$G$3004,1)),INDEX('AH History'!$B$5:$B$1380,$K397))),NA()),NA())</f>
        <v/>
      </c>
      <c r="I397" s="34">
        <f>IFERROR(IF(ISNUMBER($A397),IF(AND(AH!$U$12=1,392+1=AH!$U$6),TODAY(),IF(AH!$U$5=1,INDEX('Live History'!$G$5:$G$3004,MATCH($A397,'Live History'!$G$5:$G$3004,1)),INDEX('AH History'!$C$5:$C$1380,$K397))),NA()),NA())</f>
        <v/>
      </c>
      <c r="J397" s="32">
        <f>IFERROR(IF(AND($F397&gt;0,$H397&gt;0,$A397-$G397&lt;=10,$A397-$I397&lt;=5,$G397&gt;0,$I397&gt;0),$F397*$H397,NA()),NA())</f>
        <v/>
      </c>
      <c r="K397" s="15">
        <f>IF($A397="","",IF(AH!$U$5=1,IFERROR(MATCH($A397,'Live History'!$A$5:$A$3004,0),0),AH!$U$7+392))</f>
        <v/>
      </c>
      <c r="L397" s="15">
        <f>IF(ISNUMBER(A397),TEXT(A397,"dd-mmm-yy"),"")</f>
        <v/>
      </c>
    </row>
    <row r="398">
      <c r="A398" s="14">
        <f>IF(OR(AH!$U$4=0,393+1&gt;AH!$U$6,AND(AH!$M$5="Bloomberg",AH!$U$5=0)),"",IFERROR(IF(AND(AH!$U$12=1,393+1=AH!$U$6),TODAY(),IF(AH!$U$5=1,INDEX('Live History'!$A$5:$A$3004,AH!$U$7+393),INDEX('AH History'!$A$5:$A$1380,AH!$U$7+393))),""))</f>
        <v/>
      </c>
      <c r="B398" s="33">
        <f>IFERROR(IF(AH!$U$11=1,NA(),$J398/$E398-1),NA())</f>
        <v/>
      </c>
      <c r="C398" s="269">
        <f>IFERROR(100*$E398/$E$5,NA())</f>
        <v/>
      </c>
      <c r="D398" s="269">
        <f>IFERROR(100*$J398/$J$5,NA())</f>
        <v/>
      </c>
      <c r="E398" s="32">
        <f>IFERROR(IF(AND(ISNUMBER($A398),N(IF(AND(AH!$U$12=1,393+1=AH!$U$6),IF(AH!$U$4=0,"unavailable",INDEX('Market Data'!$AN$5:$AN$66,AH!$U$4)),IF(AH!$U$5=1,INDEX('Live History'!$B$5:$B$3004,$K398),INDEX('AH History'!$D$5:$GG$1380,$K398,AH!$U$10))))&gt;0),IF(AND(AH!$U$12=1,393+1=AH!$U$6),IF(AH!$U$4=0,"unavailable",INDEX('Market Data'!$AN$5:$AN$66,AH!$U$4)),IF(AH!$U$5=1,INDEX('Live History'!$B$5:$B$3004,$K398),INDEX('AH History'!$D$5:$GG$1380,$K398,AH!$U$10))),NA()),NA())</f>
        <v/>
      </c>
      <c r="F398" s="32">
        <f>IFERROR(IF(ISNUMBER($A398),IF(AND(AH!$U$12=1,393+1=AH!$U$6),IF(AH!$U$4=0,"unavailable",INDEX('Market Data'!$AO$5:$AO$66,AH!$U$4)),IF(AH!$U$5=1,INDEX('Live History'!$E$5:$E$3004,MATCH($A398,'Live History'!$D$5:$D$3004,1)),INDEX('AH History'!$D$5:$GG$1380,$K398,AH!$U$10+1))),NA()),NA())</f>
        <v/>
      </c>
      <c r="G398" s="34">
        <f>IFERROR(IF(ISNUMBER($A398),IF(AND(AH!$U$12=1,393+1=AH!$U$6),IF(AH!$U$4=0,"unavailable",INDEX('Market Data'!$AK$5:$AK$66,AH!$U$4)),IF(AH!$U$5=1,INDEX('Live History'!$D$5:$D$3004,MATCH($A398,'Live History'!$D$5:$D$3004,1)),INDEX('AH History'!$D$5:$GG$1380,$K398,AH!$U$10+2))),NA()),NA())</f>
        <v/>
      </c>
      <c r="H398" s="266">
        <f>IFERROR(IF(ISNUMBER($A398),IF(AND(AH!$U$12=1,393+1=AH!$U$6),IF(AH!$U$4=0,"unavailable",INDEX('Market Data'!$AP$5:$AP$66,AH!$U$4)),IF(AH!$U$5=1,INDEX('Live History'!$H$5:$H$3004,MATCH($A398,'Live History'!$G$5:$G$3004,1)),INDEX('AH History'!$B$5:$B$1380,$K398))),NA()),NA())</f>
        <v/>
      </c>
      <c r="I398" s="34">
        <f>IFERROR(IF(ISNUMBER($A398),IF(AND(AH!$U$12=1,393+1=AH!$U$6),TODAY(),IF(AH!$U$5=1,INDEX('Live History'!$G$5:$G$3004,MATCH($A398,'Live History'!$G$5:$G$3004,1)),INDEX('AH History'!$C$5:$C$1380,$K398))),NA()),NA())</f>
        <v/>
      </c>
      <c r="J398" s="32">
        <f>IFERROR(IF(AND($F398&gt;0,$H398&gt;0,$A398-$G398&lt;=10,$A398-$I398&lt;=5,$G398&gt;0,$I398&gt;0),$F398*$H398,NA()),NA())</f>
        <v/>
      </c>
      <c r="K398" s="15">
        <f>IF($A398="","",IF(AH!$U$5=1,IFERROR(MATCH($A398,'Live History'!$A$5:$A$3004,0),0),AH!$U$7+393))</f>
        <v/>
      </c>
      <c r="L398" s="15">
        <f>IF(ISNUMBER(A398),TEXT(A398,"dd-mmm-yy"),"")</f>
        <v/>
      </c>
    </row>
    <row r="399">
      <c r="A399" s="14">
        <f>IF(OR(AH!$U$4=0,394+1&gt;AH!$U$6,AND(AH!$M$5="Bloomberg",AH!$U$5=0)),"",IFERROR(IF(AND(AH!$U$12=1,394+1=AH!$U$6),TODAY(),IF(AH!$U$5=1,INDEX('Live History'!$A$5:$A$3004,AH!$U$7+394),INDEX('AH History'!$A$5:$A$1380,AH!$U$7+394))),""))</f>
        <v/>
      </c>
      <c r="B399" s="33">
        <f>IFERROR(IF(AH!$U$11=1,NA(),$J399/$E399-1),NA())</f>
        <v/>
      </c>
      <c r="C399" s="269">
        <f>IFERROR(100*$E399/$E$5,NA())</f>
        <v/>
      </c>
      <c r="D399" s="269">
        <f>IFERROR(100*$J399/$J$5,NA())</f>
        <v/>
      </c>
      <c r="E399" s="32">
        <f>IFERROR(IF(AND(ISNUMBER($A399),N(IF(AND(AH!$U$12=1,394+1=AH!$U$6),IF(AH!$U$4=0,"unavailable",INDEX('Market Data'!$AN$5:$AN$66,AH!$U$4)),IF(AH!$U$5=1,INDEX('Live History'!$B$5:$B$3004,$K399),INDEX('AH History'!$D$5:$GG$1380,$K399,AH!$U$10))))&gt;0),IF(AND(AH!$U$12=1,394+1=AH!$U$6),IF(AH!$U$4=0,"unavailable",INDEX('Market Data'!$AN$5:$AN$66,AH!$U$4)),IF(AH!$U$5=1,INDEX('Live History'!$B$5:$B$3004,$K399),INDEX('AH History'!$D$5:$GG$1380,$K399,AH!$U$10))),NA()),NA())</f>
        <v/>
      </c>
      <c r="F399" s="32">
        <f>IFERROR(IF(ISNUMBER($A399),IF(AND(AH!$U$12=1,394+1=AH!$U$6),IF(AH!$U$4=0,"unavailable",INDEX('Market Data'!$AO$5:$AO$66,AH!$U$4)),IF(AH!$U$5=1,INDEX('Live History'!$E$5:$E$3004,MATCH($A399,'Live History'!$D$5:$D$3004,1)),INDEX('AH History'!$D$5:$GG$1380,$K399,AH!$U$10+1))),NA()),NA())</f>
        <v/>
      </c>
      <c r="G399" s="34">
        <f>IFERROR(IF(ISNUMBER($A399),IF(AND(AH!$U$12=1,394+1=AH!$U$6),IF(AH!$U$4=0,"unavailable",INDEX('Market Data'!$AK$5:$AK$66,AH!$U$4)),IF(AH!$U$5=1,INDEX('Live History'!$D$5:$D$3004,MATCH($A399,'Live History'!$D$5:$D$3004,1)),INDEX('AH History'!$D$5:$GG$1380,$K399,AH!$U$10+2))),NA()),NA())</f>
        <v/>
      </c>
      <c r="H399" s="266">
        <f>IFERROR(IF(ISNUMBER($A399),IF(AND(AH!$U$12=1,394+1=AH!$U$6),IF(AH!$U$4=0,"unavailable",INDEX('Market Data'!$AP$5:$AP$66,AH!$U$4)),IF(AH!$U$5=1,INDEX('Live History'!$H$5:$H$3004,MATCH($A399,'Live History'!$G$5:$G$3004,1)),INDEX('AH History'!$B$5:$B$1380,$K399))),NA()),NA())</f>
        <v/>
      </c>
      <c r="I399" s="34">
        <f>IFERROR(IF(ISNUMBER($A399),IF(AND(AH!$U$12=1,394+1=AH!$U$6),TODAY(),IF(AH!$U$5=1,INDEX('Live History'!$G$5:$G$3004,MATCH($A399,'Live History'!$G$5:$G$3004,1)),INDEX('AH History'!$C$5:$C$1380,$K399))),NA()),NA())</f>
        <v/>
      </c>
      <c r="J399" s="32">
        <f>IFERROR(IF(AND($F399&gt;0,$H399&gt;0,$A399-$G399&lt;=10,$A399-$I399&lt;=5,$G399&gt;0,$I399&gt;0),$F399*$H399,NA()),NA())</f>
        <v/>
      </c>
      <c r="K399" s="15">
        <f>IF($A399="","",IF(AH!$U$5=1,IFERROR(MATCH($A399,'Live History'!$A$5:$A$3004,0),0),AH!$U$7+394))</f>
        <v/>
      </c>
      <c r="L399" s="15">
        <f>IF(ISNUMBER(A399),TEXT(A399,"dd-mmm-yy"),"")</f>
        <v/>
      </c>
    </row>
    <row r="400">
      <c r="A400" s="14">
        <f>IF(OR(AH!$U$4=0,395+1&gt;AH!$U$6,AND(AH!$M$5="Bloomberg",AH!$U$5=0)),"",IFERROR(IF(AND(AH!$U$12=1,395+1=AH!$U$6),TODAY(),IF(AH!$U$5=1,INDEX('Live History'!$A$5:$A$3004,AH!$U$7+395),INDEX('AH History'!$A$5:$A$1380,AH!$U$7+395))),""))</f>
        <v/>
      </c>
      <c r="B400" s="33">
        <f>IFERROR(IF(AH!$U$11=1,NA(),$J400/$E400-1),NA())</f>
        <v/>
      </c>
      <c r="C400" s="269">
        <f>IFERROR(100*$E400/$E$5,NA())</f>
        <v/>
      </c>
      <c r="D400" s="269">
        <f>IFERROR(100*$J400/$J$5,NA())</f>
        <v/>
      </c>
      <c r="E400" s="32">
        <f>IFERROR(IF(AND(ISNUMBER($A400),N(IF(AND(AH!$U$12=1,395+1=AH!$U$6),IF(AH!$U$4=0,"unavailable",INDEX('Market Data'!$AN$5:$AN$66,AH!$U$4)),IF(AH!$U$5=1,INDEX('Live History'!$B$5:$B$3004,$K400),INDEX('AH History'!$D$5:$GG$1380,$K400,AH!$U$10))))&gt;0),IF(AND(AH!$U$12=1,395+1=AH!$U$6),IF(AH!$U$4=0,"unavailable",INDEX('Market Data'!$AN$5:$AN$66,AH!$U$4)),IF(AH!$U$5=1,INDEX('Live History'!$B$5:$B$3004,$K400),INDEX('AH History'!$D$5:$GG$1380,$K400,AH!$U$10))),NA()),NA())</f>
        <v/>
      </c>
      <c r="F400" s="32">
        <f>IFERROR(IF(ISNUMBER($A400),IF(AND(AH!$U$12=1,395+1=AH!$U$6),IF(AH!$U$4=0,"unavailable",INDEX('Market Data'!$AO$5:$AO$66,AH!$U$4)),IF(AH!$U$5=1,INDEX('Live History'!$E$5:$E$3004,MATCH($A400,'Live History'!$D$5:$D$3004,1)),INDEX('AH History'!$D$5:$GG$1380,$K400,AH!$U$10+1))),NA()),NA())</f>
        <v/>
      </c>
      <c r="G400" s="34">
        <f>IFERROR(IF(ISNUMBER($A400),IF(AND(AH!$U$12=1,395+1=AH!$U$6),IF(AH!$U$4=0,"unavailable",INDEX('Market Data'!$AK$5:$AK$66,AH!$U$4)),IF(AH!$U$5=1,INDEX('Live History'!$D$5:$D$3004,MATCH($A400,'Live History'!$D$5:$D$3004,1)),INDEX('AH History'!$D$5:$GG$1380,$K400,AH!$U$10+2))),NA()),NA())</f>
        <v/>
      </c>
      <c r="H400" s="266">
        <f>IFERROR(IF(ISNUMBER($A400),IF(AND(AH!$U$12=1,395+1=AH!$U$6),IF(AH!$U$4=0,"unavailable",INDEX('Market Data'!$AP$5:$AP$66,AH!$U$4)),IF(AH!$U$5=1,INDEX('Live History'!$H$5:$H$3004,MATCH($A400,'Live History'!$G$5:$G$3004,1)),INDEX('AH History'!$B$5:$B$1380,$K400))),NA()),NA())</f>
        <v/>
      </c>
      <c r="I400" s="34">
        <f>IFERROR(IF(ISNUMBER($A400),IF(AND(AH!$U$12=1,395+1=AH!$U$6),TODAY(),IF(AH!$U$5=1,INDEX('Live History'!$G$5:$G$3004,MATCH($A400,'Live History'!$G$5:$G$3004,1)),INDEX('AH History'!$C$5:$C$1380,$K400))),NA()),NA())</f>
        <v/>
      </c>
      <c r="J400" s="32">
        <f>IFERROR(IF(AND($F400&gt;0,$H400&gt;0,$A400-$G400&lt;=10,$A400-$I400&lt;=5,$G400&gt;0,$I400&gt;0),$F400*$H400,NA()),NA())</f>
        <v/>
      </c>
      <c r="K400" s="15">
        <f>IF($A400="","",IF(AH!$U$5=1,IFERROR(MATCH($A400,'Live History'!$A$5:$A$3004,0),0),AH!$U$7+395))</f>
        <v/>
      </c>
      <c r="L400" s="15">
        <f>IF(ISNUMBER(A400),TEXT(A400,"dd-mmm-yy"),"")</f>
        <v/>
      </c>
    </row>
    <row r="401">
      <c r="A401" s="14">
        <f>IF(OR(AH!$U$4=0,396+1&gt;AH!$U$6,AND(AH!$M$5="Bloomberg",AH!$U$5=0)),"",IFERROR(IF(AND(AH!$U$12=1,396+1=AH!$U$6),TODAY(),IF(AH!$U$5=1,INDEX('Live History'!$A$5:$A$3004,AH!$U$7+396),INDEX('AH History'!$A$5:$A$1380,AH!$U$7+396))),""))</f>
        <v/>
      </c>
      <c r="B401" s="33">
        <f>IFERROR(IF(AH!$U$11=1,NA(),$J401/$E401-1),NA())</f>
        <v/>
      </c>
      <c r="C401" s="269">
        <f>IFERROR(100*$E401/$E$5,NA())</f>
        <v/>
      </c>
      <c r="D401" s="269">
        <f>IFERROR(100*$J401/$J$5,NA())</f>
        <v/>
      </c>
      <c r="E401" s="32">
        <f>IFERROR(IF(AND(ISNUMBER($A401),N(IF(AND(AH!$U$12=1,396+1=AH!$U$6),IF(AH!$U$4=0,"unavailable",INDEX('Market Data'!$AN$5:$AN$66,AH!$U$4)),IF(AH!$U$5=1,INDEX('Live History'!$B$5:$B$3004,$K401),INDEX('AH History'!$D$5:$GG$1380,$K401,AH!$U$10))))&gt;0),IF(AND(AH!$U$12=1,396+1=AH!$U$6),IF(AH!$U$4=0,"unavailable",INDEX('Market Data'!$AN$5:$AN$66,AH!$U$4)),IF(AH!$U$5=1,INDEX('Live History'!$B$5:$B$3004,$K401),INDEX('AH History'!$D$5:$GG$1380,$K401,AH!$U$10))),NA()),NA())</f>
        <v/>
      </c>
      <c r="F401" s="32">
        <f>IFERROR(IF(ISNUMBER($A401),IF(AND(AH!$U$12=1,396+1=AH!$U$6),IF(AH!$U$4=0,"unavailable",INDEX('Market Data'!$AO$5:$AO$66,AH!$U$4)),IF(AH!$U$5=1,INDEX('Live History'!$E$5:$E$3004,MATCH($A401,'Live History'!$D$5:$D$3004,1)),INDEX('AH History'!$D$5:$GG$1380,$K401,AH!$U$10+1))),NA()),NA())</f>
        <v/>
      </c>
      <c r="G401" s="34">
        <f>IFERROR(IF(ISNUMBER($A401),IF(AND(AH!$U$12=1,396+1=AH!$U$6),IF(AH!$U$4=0,"unavailable",INDEX('Market Data'!$AK$5:$AK$66,AH!$U$4)),IF(AH!$U$5=1,INDEX('Live History'!$D$5:$D$3004,MATCH($A401,'Live History'!$D$5:$D$3004,1)),INDEX('AH History'!$D$5:$GG$1380,$K401,AH!$U$10+2))),NA()),NA())</f>
        <v/>
      </c>
      <c r="H401" s="266">
        <f>IFERROR(IF(ISNUMBER($A401),IF(AND(AH!$U$12=1,396+1=AH!$U$6),IF(AH!$U$4=0,"unavailable",INDEX('Market Data'!$AP$5:$AP$66,AH!$U$4)),IF(AH!$U$5=1,INDEX('Live History'!$H$5:$H$3004,MATCH($A401,'Live History'!$G$5:$G$3004,1)),INDEX('AH History'!$B$5:$B$1380,$K401))),NA()),NA())</f>
        <v/>
      </c>
      <c r="I401" s="34">
        <f>IFERROR(IF(ISNUMBER($A401),IF(AND(AH!$U$12=1,396+1=AH!$U$6),TODAY(),IF(AH!$U$5=1,INDEX('Live History'!$G$5:$G$3004,MATCH($A401,'Live History'!$G$5:$G$3004,1)),INDEX('AH History'!$C$5:$C$1380,$K401))),NA()),NA())</f>
        <v/>
      </c>
      <c r="J401" s="32">
        <f>IFERROR(IF(AND($F401&gt;0,$H401&gt;0,$A401-$G401&lt;=10,$A401-$I401&lt;=5,$G401&gt;0,$I401&gt;0),$F401*$H401,NA()),NA())</f>
        <v/>
      </c>
      <c r="K401" s="15">
        <f>IF($A401="","",IF(AH!$U$5=1,IFERROR(MATCH($A401,'Live History'!$A$5:$A$3004,0),0),AH!$U$7+396))</f>
        <v/>
      </c>
      <c r="L401" s="15">
        <f>IF(ISNUMBER(A401),TEXT(A401,"dd-mmm-yy"),"")</f>
        <v/>
      </c>
    </row>
    <row r="402">
      <c r="A402" s="14">
        <f>IF(OR(AH!$U$4=0,397+1&gt;AH!$U$6,AND(AH!$M$5="Bloomberg",AH!$U$5=0)),"",IFERROR(IF(AND(AH!$U$12=1,397+1=AH!$U$6),TODAY(),IF(AH!$U$5=1,INDEX('Live History'!$A$5:$A$3004,AH!$U$7+397),INDEX('AH History'!$A$5:$A$1380,AH!$U$7+397))),""))</f>
        <v/>
      </c>
      <c r="B402" s="33">
        <f>IFERROR(IF(AH!$U$11=1,NA(),$J402/$E402-1),NA())</f>
        <v/>
      </c>
      <c r="C402" s="269">
        <f>IFERROR(100*$E402/$E$5,NA())</f>
        <v/>
      </c>
      <c r="D402" s="269">
        <f>IFERROR(100*$J402/$J$5,NA())</f>
        <v/>
      </c>
      <c r="E402" s="32">
        <f>IFERROR(IF(AND(ISNUMBER($A402),N(IF(AND(AH!$U$12=1,397+1=AH!$U$6),IF(AH!$U$4=0,"unavailable",INDEX('Market Data'!$AN$5:$AN$66,AH!$U$4)),IF(AH!$U$5=1,INDEX('Live History'!$B$5:$B$3004,$K402),INDEX('AH History'!$D$5:$GG$1380,$K402,AH!$U$10))))&gt;0),IF(AND(AH!$U$12=1,397+1=AH!$U$6),IF(AH!$U$4=0,"unavailable",INDEX('Market Data'!$AN$5:$AN$66,AH!$U$4)),IF(AH!$U$5=1,INDEX('Live History'!$B$5:$B$3004,$K402),INDEX('AH History'!$D$5:$GG$1380,$K402,AH!$U$10))),NA()),NA())</f>
        <v/>
      </c>
      <c r="F402" s="32">
        <f>IFERROR(IF(ISNUMBER($A402),IF(AND(AH!$U$12=1,397+1=AH!$U$6),IF(AH!$U$4=0,"unavailable",INDEX('Market Data'!$AO$5:$AO$66,AH!$U$4)),IF(AH!$U$5=1,INDEX('Live History'!$E$5:$E$3004,MATCH($A402,'Live History'!$D$5:$D$3004,1)),INDEX('AH History'!$D$5:$GG$1380,$K402,AH!$U$10+1))),NA()),NA())</f>
        <v/>
      </c>
      <c r="G402" s="34">
        <f>IFERROR(IF(ISNUMBER($A402),IF(AND(AH!$U$12=1,397+1=AH!$U$6),IF(AH!$U$4=0,"unavailable",INDEX('Market Data'!$AK$5:$AK$66,AH!$U$4)),IF(AH!$U$5=1,INDEX('Live History'!$D$5:$D$3004,MATCH($A402,'Live History'!$D$5:$D$3004,1)),INDEX('AH History'!$D$5:$GG$1380,$K402,AH!$U$10+2))),NA()),NA())</f>
        <v/>
      </c>
      <c r="H402" s="266">
        <f>IFERROR(IF(ISNUMBER($A402),IF(AND(AH!$U$12=1,397+1=AH!$U$6),IF(AH!$U$4=0,"unavailable",INDEX('Market Data'!$AP$5:$AP$66,AH!$U$4)),IF(AH!$U$5=1,INDEX('Live History'!$H$5:$H$3004,MATCH($A402,'Live History'!$G$5:$G$3004,1)),INDEX('AH History'!$B$5:$B$1380,$K402))),NA()),NA())</f>
        <v/>
      </c>
      <c r="I402" s="34">
        <f>IFERROR(IF(ISNUMBER($A402),IF(AND(AH!$U$12=1,397+1=AH!$U$6),TODAY(),IF(AH!$U$5=1,INDEX('Live History'!$G$5:$G$3004,MATCH($A402,'Live History'!$G$5:$G$3004,1)),INDEX('AH History'!$C$5:$C$1380,$K402))),NA()),NA())</f>
        <v/>
      </c>
      <c r="J402" s="32">
        <f>IFERROR(IF(AND($F402&gt;0,$H402&gt;0,$A402-$G402&lt;=10,$A402-$I402&lt;=5,$G402&gt;0,$I402&gt;0),$F402*$H402,NA()),NA())</f>
        <v/>
      </c>
      <c r="K402" s="15">
        <f>IF($A402="","",IF(AH!$U$5=1,IFERROR(MATCH($A402,'Live History'!$A$5:$A$3004,0),0),AH!$U$7+397))</f>
        <v/>
      </c>
      <c r="L402" s="15">
        <f>IF(ISNUMBER(A402),TEXT(A402,"dd-mmm-yy"),"")</f>
        <v/>
      </c>
    </row>
    <row r="403">
      <c r="A403" s="14">
        <f>IF(OR(AH!$U$4=0,398+1&gt;AH!$U$6,AND(AH!$M$5="Bloomberg",AH!$U$5=0)),"",IFERROR(IF(AND(AH!$U$12=1,398+1=AH!$U$6),TODAY(),IF(AH!$U$5=1,INDEX('Live History'!$A$5:$A$3004,AH!$U$7+398),INDEX('AH History'!$A$5:$A$1380,AH!$U$7+398))),""))</f>
        <v/>
      </c>
      <c r="B403" s="33">
        <f>IFERROR(IF(AH!$U$11=1,NA(),$J403/$E403-1),NA())</f>
        <v/>
      </c>
      <c r="C403" s="269">
        <f>IFERROR(100*$E403/$E$5,NA())</f>
        <v/>
      </c>
      <c r="D403" s="269">
        <f>IFERROR(100*$J403/$J$5,NA())</f>
        <v/>
      </c>
      <c r="E403" s="32">
        <f>IFERROR(IF(AND(ISNUMBER($A403),N(IF(AND(AH!$U$12=1,398+1=AH!$U$6),IF(AH!$U$4=0,"unavailable",INDEX('Market Data'!$AN$5:$AN$66,AH!$U$4)),IF(AH!$U$5=1,INDEX('Live History'!$B$5:$B$3004,$K403),INDEX('AH History'!$D$5:$GG$1380,$K403,AH!$U$10))))&gt;0),IF(AND(AH!$U$12=1,398+1=AH!$U$6),IF(AH!$U$4=0,"unavailable",INDEX('Market Data'!$AN$5:$AN$66,AH!$U$4)),IF(AH!$U$5=1,INDEX('Live History'!$B$5:$B$3004,$K403),INDEX('AH History'!$D$5:$GG$1380,$K403,AH!$U$10))),NA()),NA())</f>
        <v/>
      </c>
      <c r="F403" s="32">
        <f>IFERROR(IF(ISNUMBER($A403),IF(AND(AH!$U$12=1,398+1=AH!$U$6),IF(AH!$U$4=0,"unavailable",INDEX('Market Data'!$AO$5:$AO$66,AH!$U$4)),IF(AH!$U$5=1,INDEX('Live History'!$E$5:$E$3004,MATCH($A403,'Live History'!$D$5:$D$3004,1)),INDEX('AH History'!$D$5:$GG$1380,$K403,AH!$U$10+1))),NA()),NA())</f>
        <v/>
      </c>
      <c r="G403" s="34">
        <f>IFERROR(IF(ISNUMBER($A403),IF(AND(AH!$U$12=1,398+1=AH!$U$6),IF(AH!$U$4=0,"unavailable",INDEX('Market Data'!$AK$5:$AK$66,AH!$U$4)),IF(AH!$U$5=1,INDEX('Live History'!$D$5:$D$3004,MATCH($A403,'Live History'!$D$5:$D$3004,1)),INDEX('AH History'!$D$5:$GG$1380,$K403,AH!$U$10+2))),NA()),NA())</f>
        <v/>
      </c>
      <c r="H403" s="266">
        <f>IFERROR(IF(ISNUMBER($A403),IF(AND(AH!$U$12=1,398+1=AH!$U$6),IF(AH!$U$4=0,"unavailable",INDEX('Market Data'!$AP$5:$AP$66,AH!$U$4)),IF(AH!$U$5=1,INDEX('Live History'!$H$5:$H$3004,MATCH($A403,'Live History'!$G$5:$G$3004,1)),INDEX('AH History'!$B$5:$B$1380,$K403))),NA()),NA())</f>
        <v/>
      </c>
      <c r="I403" s="34">
        <f>IFERROR(IF(ISNUMBER($A403),IF(AND(AH!$U$12=1,398+1=AH!$U$6),TODAY(),IF(AH!$U$5=1,INDEX('Live History'!$G$5:$G$3004,MATCH($A403,'Live History'!$G$5:$G$3004,1)),INDEX('AH History'!$C$5:$C$1380,$K403))),NA()),NA())</f>
        <v/>
      </c>
      <c r="J403" s="32">
        <f>IFERROR(IF(AND($F403&gt;0,$H403&gt;0,$A403-$G403&lt;=10,$A403-$I403&lt;=5,$G403&gt;0,$I403&gt;0),$F403*$H403,NA()),NA())</f>
        <v/>
      </c>
      <c r="K403" s="15">
        <f>IF($A403="","",IF(AH!$U$5=1,IFERROR(MATCH($A403,'Live History'!$A$5:$A$3004,0),0),AH!$U$7+398))</f>
        <v/>
      </c>
      <c r="L403" s="15">
        <f>IF(ISNUMBER(A403),TEXT(A403,"dd-mmm-yy"),"")</f>
        <v/>
      </c>
    </row>
    <row r="404">
      <c r="A404" s="14">
        <f>IF(OR(AH!$U$4=0,399+1&gt;AH!$U$6,AND(AH!$M$5="Bloomberg",AH!$U$5=0)),"",IFERROR(IF(AND(AH!$U$12=1,399+1=AH!$U$6),TODAY(),IF(AH!$U$5=1,INDEX('Live History'!$A$5:$A$3004,AH!$U$7+399),INDEX('AH History'!$A$5:$A$1380,AH!$U$7+399))),""))</f>
        <v/>
      </c>
      <c r="B404" s="33">
        <f>IFERROR(IF(AH!$U$11=1,NA(),$J404/$E404-1),NA())</f>
        <v/>
      </c>
      <c r="C404" s="269">
        <f>IFERROR(100*$E404/$E$5,NA())</f>
        <v/>
      </c>
      <c r="D404" s="269">
        <f>IFERROR(100*$J404/$J$5,NA())</f>
        <v/>
      </c>
      <c r="E404" s="32">
        <f>IFERROR(IF(AND(ISNUMBER($A404),N(IF(AND(AH!$U$12=1,399+1=AH!$U$6),IF(AH!$U$4=0,"unavailable",INDEX('Market Data'!$AN$5:$AN$66,AH!$U$4)),IF(AH!$U$5=1,INDEX('Live History'!$B$5:$B$3004,$K404),INDEX('AH History'!$D$5:$GG$1380,$K404,AH!$U$10))))&gt;0),IF(AND(AH!$U$12=1,399+1=AH!$U$6),IF(AH!$U$4=0,"unavailable",INDEX('Market Data'!$AN$5:$AN$66,AH!$U$4)),IF(AH!$U$5=1,INDEX('Live History'!$B$5:$B$3004,$K404),INDEX('AH History'!$D$5:$GG$1380,$K404,AH!$U$10))),NA()),NA())</f>
        <v/>
      </c>
      <c r="F404" s="32">
        <f>IFERROR(IF(ISNUMBER($A404),IF(AND(AH!$U$12=1,399+1=AH!$U$6),IF(AH!$U$4=0,"unavailable",INDEX('Market Data'!$AO$5:$AO$66,AH!$U$4)),IF(AH!$U$5=1,INDEX('Live History'!$E$5:$E$3004,MATCH($A404,'Live History'!$D$5:$D$3004,1)),INDEX('AH History'!$D$5:$GG$1380,$K404,AH!$U$10+1))),NA()),NA())</f>
        <v/>
      </c>
      <c r="G404" s="34">
        <f>IFERROR(IF(ISNUMBER($A404),IF(AND(AH!$U$12=1,399+1=AH!$U$6),IF(AH!$U$4=0,"unavailable",INDEX('Market Data'!$AK$5:$AK$66,AH!$U$4)),IF(AH!$U$5=1,INDEX('Live History'!$D$5:$D$3004,MATCH($A404,'Live History'!$D$5:$D$3004,1)),INDEX('AH History'!$D$5:$GG$1380,$K404,AH!$U$10+2))),NA()),NA())</f>
        <v/>
      </c>
      <c r="H404" s="266">
        <f>IFERROR(IF(ISNUMBER($A404),IF(AND(AH!$U$12=1,399+1=AH!$U$6),IF(AH!$U$4=0,"unavailable",INDEX('Market Data'!$AP$5:$AP$66,AH!$U$4)),IF(AH!$U$5=1,INDEX('Live History'!$H$5:$H$3004,MATCH($A404,'Live History'!$G$5:$G$3004,1)),INDEX('AH History'!$B$5:$B$1380,$K404))),NA()),NA())</f>
        <v/>
      </c>
      <c r="I404" s="34">
        <f>IFERROR(IF(ISNUMBER($A404),IF(AND(AH!$U$12=1,399+1=AH!$U$6),TODAY(),IF(AH!$U$5=1,INDEX('Live History'!$G$5:$G$3004,MATCH($A404,'Live History'!$G$5:$G$3004,1)),INDEX('AH History'!$C$5:$C$1380,$K404))),NA()),NA())</f>
        <v/>
      </c>
      <c r="J404" s="32">
        <f>IFERROR(IF(AND($F404&gt;0,$H404&gt;0,$A404-$G404&lt;=10,$A404-$I404&lt;=5,$G404&gt;0,$I404&gt;0),$F404*$H404,NA()),NA())</f>
        <v/>
      </c>
      <c r="K404" s="15">
        <f>IF($A404="","",IF(AH!$U$5=1,IFERROR(MATCH($A404,'Live History'!$A$5:$A$3004,0),0),AH!$U$7+399))</f>
        <v/>
      </c>
      <c r="L404" s="15">
        <f>IF(ISNUMBER(A404),TEXT(A404,"dd-mmm-yy"),"")</f>
        <v/>
      </c>
    </row>
    <row r="405">
      <c r="A405" s="14">
        <f>IF(OR(AH!$U$4=0,400+1&gt;AH!$U$6,AND(AH!$M$5="Bloomberg",AH!$U$5=0)),"",IFERROR(IF(AND(AH!$U$12=1,400+1=AH!$U$6),TODAY(),IF(AH!$U$5=1,INDEX('Live History'!$A$5:$A$3004,AH!$U$7+400),INDEX('AH History'!$A$5:$A$1380,AH!$U$7+400))),""))</f>
        <v/>
      </c>
      <c r="B405" s="33">
        <f>IFERROR(IF(AH!$U$11=1,NA(),$J405/$E405-1),NA())</f>
        <v/>
      </c>
      <c r="C405" s="269">
        <f>IFERROR(100*$E405/$E$5,NA())</f>
        <v/>
      </c>
      <c r="D405" s="269">
        <f>IFERROR(100*$J405/$J$5,NA())</f>
        <v/>
      </c>
      <c r="E405" s="32">
        <f>IFERROR(IF(AND(ISNUMBER($A405),N(IF(AND(AH!$U$12=1,400+1=AH!$U$6),IF(AH!$U$4=0,"unavailable",INDEX('Market Data'!$AN$5:$AN$66,AH!$U$4)),IF(AH!$U$5=1,INDEX('Live History'!$B$5:$B$3004,$K405),INDEX('AH History'!$D$5:$GG$1380,$K405,AH!$U$10))))&gt;0),IF(AND(AH!$U$12=1,400+1=AH!$U$6),IF(AH!$U$4=0,"unavailable",INDEX('Market Data'!$AN$5:$AN$66,AH!$U$4)),IF(AH!$U$5=1,INDEX('Live History'!$B$5:$B$3004,$K405),INDEX('AH History'!$D$5:$GG$1380,$K405,AH!$U$10))),NA()),NA())</f>
        <v/>
      </c>
      <c r="F405" s="32">
        <f>IFERROR(IF(ISNUMBER($A405),IF(AND(AH!$U$12=1,400+1=AH!$U$6),IF(AH!$U$4=0,"unavailable",INDEX('Market Data'!$AO$5:$AO$66,AH!$U$4)),IF(AH!$U$5=1,INDEX('Live History'!$E$5:$E$3004,MATCH($A405,'Live History'!$D$5:$D$3004,1)),INDEX('AH History'!$D$5:$GG$1380,$K405,AH!$U$10+1))),NA()),NA())</f>
        <v/>
      </c>
      <c r="G405" s="34">
        <f>IFERROR(IF(ISNUMBER($A405),IF(AND(AH!$U$12=1,400+1=AH!$U$6),IF(AH!$U$4=0,"unavailable",INDEX('Market Data'!$AK$5:$AK$66,AH!$U$4)),IF(AH!$U$5=1,INDEX('Live History'!$D$5:$D$3004,MATCH($A405,'Live History'!$D$5:$D$3004,1)),INDEX('AH History'!$D$5:$GG$1380,$K405,AH!$U$10+2))),NA()),NA())</f>
        <v/>
      </c>
      <c r="H405" s="266">
        <f>IFERROR(IF(ISNUMBER($A405),IF(AND(AH!$U$12=1,400+1=AH!$U$6),IF(AH!$U$4=0,"unavailable",INDEX('Market Data'!$AP$5:$AP$66,AH!$U$4)),IF(AH!$U$5=1,INDEX('Live History'!$H$5:$H$3004,MATCH($A405,'Live History'!$G$5:$G$3004,1)),INDEX('AH History'!$B$5:$B$1380,$K405))),NA()),NA())</f>
        <v/>
      </c>
      <c r="I405" s="34">
        <f>IFERROR(IF(ISNUMBER($A405),IF(AND(AH!$U$12=1,400+1=AH!$U$6),TODAY(),IF(AH!$U$5=1,INDEX('Live History'!$G$5:$G$3004,MATCH($A405,'Live History'!$G$5:$G$3004,1)),INDEX('AH History'!$C$5:$C$1380,$K405))),NA()),NA())</f>
        <v/>
      </c>
      <c r="J405" s="32">
        <f>IFERROR(IF(AND($F405&gt;0,$H405&gt;0,$A405-$G405&lt;=10,$A405-$I405&lt;=5,$G405&gt;0,$I405&gt;0),$F405*$H405,NA()),NA())</f>
        <v/>
      </c>
      <c r="K405" s="15">
        <f>IF($A405="","",IF(AH!$U$5=1,IFERROR(MATCH($A405,'Live History'!$A$5:$A$3004,0),0),AH!$U$7+400))</f>
        <v/>
      </c>
      <c r="L405" s="15">
        <f>IF(ISNUMBER(A405),TEXT(A405,"dd-mmm-yy"),"")</f>
        <v/>
      </c>
    </row>
    <row r="406">
      <c r="A406" s="14">
        <f>IF(OR(AH!$U$4=0,401+1&gt;AH!$U$6,AND(AH!$M$5="Bloomberg",AH!$U$5=0)),"",IFERROR(IF(AND(AH!$U$12=1,401+1=AH!$U$6),TODAY(),IF(AH!$U$5=1,INDEX('Live History'!$A$5:$A$3004,AH!$U$7+401),INDEX('AH History'!$A$5:$A$1380,AH!$U$7+401))),""))</f>
        <v/>
      </c>
      <c r="B406" s="33">
        <f>IFERROR(IF(AH!$U$11=1,NA(),$J406/$E406-1),NA())</f>
        <v/>
      </c>
      <c r="C406" s="269">
        <f>IFERROR(100*$E406/$E$5,NA())</f>
        <v/>
      </c>
      <c r="D406" s="269">
        <f>IFERROR(100*$J406/$J$5,NA())</f>
        <v/>
      </c>
      <c r="E406" s="32">
        <f>IFERROR(IF(AND(ISNUMBER($A406),N(IF(AND(AH!$U$12=1,401+1=AH!$U$6),IF(AH!$U$4=0,"unavailable",INDEX('Market Data'!$AN$5:$AN$66,AH!$U$4)),IF(AH!$U$5=1,INDEX('Live History'!$B$5:$B$3004,$K406),INDEX('AH History'!$D$5:$GG$1380,$K406,AH!$U$10))))&gt;0),IF(AND(AH!$U$12=1,401+1=AH!$U$6),IF(AH!$U$4=0,"unavailable",INDEX('Market Data'!$AN$5:$AN$66,AH!$U$4)),IF(AH!$U$5=1,INDEX('Live History'!$B$5:$B$3004,$K406),INDEX('AH History'!$D$5:$GG$1380,$K406,AH!$U$10))),NA()),NA())</f>
        <v/>
      </c>
      <c r="F406" s="32">
        <f>IFERROR(IF(ISNUMBER($A406),IF(AND(AH!$U$12=1,401+1=AH!$U$6),IF(AH!$U$4=0,"unavailable",INDEX('Market Data'!$AO$5:$AO$66,AH!$U$4)),IF(AH!$U$5=1,INDEX('Live History'!$E$5:$E$3004,MATCH($A406,'Live History'!$D$5:$D$3004,1)),INDEX('AH History'!$D$5:$GG$1380,$K406,AH!$U$10+1))),NA()),NA())</f>
        <v/>
      </c>
      <c r="G406" s="34">
        <f>IFERROR(IF(ISNUMBER($A406),IF(AND(AH!$U$12=1,401+1=AH!$U$6),IF(AH!$U$4=0,"unavailable",INDEX('Market Data'!$AK$5:$AK$66,AH!$U$4)),IF(AH!$U$5=1,INDEX('Live History'!$D$5:$D$3004,MATCH($A406,'Live History'!$D$5:$D$3004,1)),INDEX('AH History'!$D$5:$GG$1380,$K406,AH!$U$10+2))),NA()),NA())</f>
        <v/>
      </c>
      <c r="H406" s="266">
        <f>IFERROR(IF(ISNUMBER($A406),IF(AND(AH!$U$12=1,401+1=AH!$U$6),IF(AH!$U$4=0,"unavailable",INDEX('Market Data'!$AP$5:$AP$66,AH!$U$4)),IF(AH!$U$5=1,INDEX('Live History'!$H$5:$H$3004,MATCH($A406,'Live History'!$G$5:$G$3004,1)),INDEX('AH History'!$B$5:$B$1380,$K406))),NA()),NA())</f>
        <v/>
      </c>
      <c r="I406" s="34">
        <f>IFERROR(IF(ISNUMBER($A406),IF(AND(AH!$U$12=1,401+1=AH!$U$6),TODAY(),IF(AH!$U$5=1,INDEX('Live History'!$G$5:$G$3004,MATCH($A406,'Live History'!$G$5:$G$3004,1)),INDEX('AH History'!$C$5:$C$1380,$K406))),NA()),NA())</f>
        <v/>
      </c>
      <c r="J406" s="32">
        <f>IFERROR(IF(AND($F406&gt;0,$H406&gt;0,$A406-$G406&lt;=10,$A406-$I406&lt;=5,$G406&gt;0,$I406&gt;0),$F406*$H406,NA()),NA())</f>
        <v/>
      </c>
      <c r="K406" s="15">
        <f>IF($A406="","",IF(AH!$U$5=1,IFERROR(MATCH($A406,'Live History'!$A$5:$A$3004,0),0),AH!$U$7+401))</f>
        <v/>
      </c>
      <c r="L406" s="15">
        <f>IF(ISNUMBER(A406),TEXT(A406,"dd-mmm-yy"),"")</f>
        <v/>
      </c>
    </row>
    <row r="407">
      <c r="A407" s="14">
        <f>IF(OR(AH!$U$4=0,402+1&gt;AH!$U$6,AND(AH!$M$5="Bloomberg",AH!$U$5=0)),"",IFERROR(IF(AND(AH!$U$12=1,402+1=AH!$U$6),TODAY(),IF(AH!$U$5=1,INDEX('Live History'!$A$5:$A$3004,AH!$U$7+402),INDEX('AH History'!$A$5:$A$1380,AH!$U$7+402))),""))</f>
        <v/>
      </c>
      <c r="B407" s="33">
        <f>IFERROR(IF(AH!$U$11=1,NA(),$J407/$E407-1),NA())</f>
        <v/>
      </c>
      <c r="C407" s="269">
        <f>IFERROR(100*$E407/$E$5,NA())</f>
        <v/>
      </c>
      <c r="D407" s="269">
        <f>IFERROR(100*$J407/$J$5,NA())</f>
        <v/>
      </c>
      <c r="E407" s="32">
        <f>IFERROR(IF(AND(ISNUMBER($A407),N(IF(AND(AH!$U$12=1,402+1=AH!$U$6),IF(AH!$U$4=0,"unavailable",INDEX('Market Data'!$AN$5:$AN$66,AH!$U$4)),IF(AH!$U$5=1,INDEX('Live History'!$B$5:$B$3004,$K407),INDEX('AH History'!$D$5:$GG$1380,$K407,AH!$U$10))))&gt;0),IF(AND(AH!$U$12=1,402+1=AH!$U$6),IF(AH!$U$4=0,"unavailable",INDEX('Market Data'!$AN$5:$AN$66,AH!$U$4)),IF(AH!$U$5=1,INDEX('Live History'!$B$5:$B$3004,$K407),INDEX('AH History'!$D$5:$GG$1380,$K407,AH!$U$10))),NA()),NA())</f>
        <v/>
      </c>
      <c r="F407" s="32">
        <f>IFERROR(IF(ISNUMBER($A407),IF(AND(AH!$U$12=1,402+1=AH!$U$6),IF(AH!$U$4=0,"unavailable",INDEX('Market Data'!$AO$5:$AO$66,AH!$U$4)),IF(AH!$U$5=1,INDEX('Live History'!$E$5:$E$3004,MATCH($A407,'Live History'!$D$5:$D$3004,1)),INDEX('AH History'!$D$5:$GG$1380,$K407,AH!$U$10+1))),NA()),NA())</f>
        <v/>
      </c>
      <c r="G407" s="34">
        <f>IFERROR(IF(ISNUMBER($A407),IF(AND(AH!$U$12=1,402+1=AH!$U$6),IF(AH!$U$4=0,"unavailable",INDEX('Market Data'!$AK$5:$AK$66,AH!$U$4)),IF(AH!$U$5=1,INDEX('Live History'!$D$5:$D$3004,MATCH($A407,'Live History'!$D$5:$D$3004,1)),INDEX('AH History'!$D$5:$GG$1380,$K407,AH!$U$10+2))),NA()),NA())</f>
        <v/>
      </c>
      <c r="H407" s="266">
        <f>IFERROR(IF(ISNUMBER($A407),IF(AND(AH!$U$12=1,402+1=AH!$U$6),IF(AH!$U$4=0,"unavailable",INDEX('Market Data'!$AP$5:$AP$66,AH!$U$4)),IF(AH!$U$5=1,INDEX('Live History'!$H$5:$H$3004,MATCH($A407,'Live History'!$G$5:$G$3004,1)),INDEX('AH History'!$B$5:$B$1380,$K407))),NA()),NA())</f>
        <v/>
      </c>
      <c r="I407" s="34">
        <f>IFERROR(IF(ISNUMBER($A407),IF(AND(AH!$U$12=1,402+1=AH!$U$6),TODAY(),IF(AH!$U$5=1,INDEX('Live History'!$G$5:$G$3004,MATCH($A407,'Live History'!$G$5:$G$3004,1)),INDEX('AH History'!$C$5:$C$1380,$K407))),NA()),NA())</f>
        <v/>
      </c>
      <c r="J407" s="32">
        <f>IFERROR(IF(AND($F407&gt;0,$H407&gt;0,$A407-$G407&lt;=10,$A407-$I407&lt;=5,$G407&gt;0,$I407&gt;0),$F407*$H407,NA()),NA())</f>
        <v/>
      </c>
      <c r="K407" s="15">
        <f>IF($A407="","",IF(AH!$U$5=1,IFERROR(MATCH($A407,'Live History'!$A$5:$A$3004,0),0),AH!$U$7+402))</f>
        <v/>
      </c>
      <c r="L407" s="15">
        <f>IF(ISNUMBER(A407),TEXT(A407,"dd-mmm-yy"),"")</f>
        <v/>
      </c>
    </row>
    <row r="408">
      <c r="A408" s="14">
        <f>IF(OR(AH!$U$4=0,403+1&gt;AH!$U$6,AND(AH!$M$5="Bloomberg",AH!$U$5=0)),"",IFERROR(IF(AND(AH!$U$12=1,403+1=AH!$U$6),TODAY(),IF(AH!$U$5=1,INDEX('Live History'!$A$5:$A$3004,AH!$U$7+403),INDEX('AH History'!$A$5:$A$1380,AH!$U$7+403))),""))</f>
        <v/>
      </c>
      <c r="B408" s="33">
        <f>IFERROR(IF(AH!$U$11=1,NA(),$J408/$E408-1),NA())</f>
        <v/>
      </c>
      <c r="C408" s="269">
        <f>IFERROR(100*$E408/$E$5,NA())</f>
        <v/>
      </c>
      <c r="D408" s="269">
        <f>IFERROR(100*$J408/$J$5,NA())</f>
        <v/>
      </c>
      <c r="E408" s="32">
        <f>IFERROR(IF(AND(ISNUMBER($A408),N(IF(AND(AH!$U$12=1,403+1=AH!$U$6),IF(AH!$U$4=0,"unavailable",INDEX('Market Data'!$AN$5:$AN$66,AH!$U$4)),IF(AH!$U$5=1,INDEX('Live History'!$B$5:$B$3004,$K408),INDEX('AH History'!$D$5:$GG$1380,$K408,AH!$U$10))))&gt;0),IF(AND(AH!$U$12=1,403+1=AH!$U$6),IF(AH!$U$4=0,"unavailable",INDEX('Market Data'!$AN$5:$AN$66,AH!$U$4)),IF(AH!$U$5=1,INDEX('Live History'!$B$5:$B$3004,$K408),INDEX('AH History'!$D$5:$GG$1380,$K408,AH!$U$10))),NA()),NA())</f>
        <v/>
      </c>
      <c r="F408" s="32">
        <f>IFERROR(IF(ISNUMBER($A408),IF(AND(AH!$U$12=1,403+1=AH!$U$6),IF(AH!$U$4=0,"unavailable",INDEX('Market Data'!$AO$5:$AO$66,AH!$U$4)),IF(AH!$U$5=1,INDEX('Live History'!$E$5:$E$3004,MATCH($A408,'Live History'!$D$5:$D$3004,1)),INDEX('AH History'!$D$5:$GG$1380,$K408,AH!$U$10+1))),NA()),NA())</f>
        <v/>
      </c>
      <c r="G408" s="34">
        <f>IFERROR(IF(ISNUMBER($A408),IF(AND(AH!$U$12=1,403+1=AH!$U$6),IF(AH!$U$4=0,"unavailable",INDEX('Market Data'!$AK$5:$AK$66,AH!$U$4)),IF(AH!$U$5=1,INDEX('Live History'!$D$5:$D$3004,MATCH($A408,'Live History'!$D$5:$D$3004,1)),INDEX('AH History'!$D$5:$GG$1380,$K408,AH!$U$10+2))),NA()),NA())</f>
        <v/>
      </c>
      <c r="H408" s="266">
        <f>IFERROR(IF(ISNUMBER($A408),IF(AND(AH!$U$12=1,403+1=AH!$U$6),IF(AH!$U$4=0,"unavailable",INDEX('Market Data'!$AP$5:$AP$66,AH!$U$4)),IF(AH!$U$5=1,INDEX('Live History'!$H$5:$H$3004,MATCH($A408,'Live History'!$G$5:$G$3004,1)),INDEX('AH History'!$B$5:$B$1380,$K408))),NA()),NA())</f>
        <v/>
      </c>
      <c r="I408" s="34">
        <f>IFERROR(IF(ISNUMBER($A408),IF(AND(AH!$U$12=1,403+1=AH!$U$6),TODAY(),IF(AH!$U$5=1,INDEX('Live History'!$G$5:$G$3004,MATCH($A408,'Live History'!$G$5:$G$3004,1)),INDEX('AH History'!$C$5:$C$1380,$K408))),NA()),NA())</f>
        <v/>
      </c>
      <c r="J408" s="32">
        <f>IFERROR(IF(AND($F408&gt;0,$H408&gt;0,$A408-$G408&lt;=10,$A408-$I408&lt;=5,$G408&gt;0,$I408&gt;0),$F408*$H408,NA()),NA())</f>
        <v/>
      </c>
      <c r="K408" s="15">
        <f>IF($A408="","",IF(AH!$U$5=1,IFERROR(MATCH($A408,'Live History'!$A$5:$A$3004,0),0),AH!$U$7+403))</f>
        <v/>
      </c>
      <c r="L408" s="15">
        <f>IF(ISNUMBER(A408),TEXT(A408,"dd-mmm-yy"),"")</f>
        <v/>
      </c>
    </row>
    <row r="409">
      <c r="A409" s="14">
        <f>IF(OR(AH!$U$4=0,404+1&gt;AH!$U$6,AND(AH!$M$5="Bloomberg",AH!$U$5=0)),"",IFERROR(IF(AND(AH!$U$12=1,404+1=AH!$U$6),TODAY(),IF(AH!$U$5=1,INDEX('Live History'!$A$5:$A$3004,AH!$U$7+404),INDEX('AH History'!$A$5:$A$1380,AH!$U$7+404))),""))</f>
        <v/>
      </c>
      <c r="B409" s="33">
        <f>IFERROR(IF(AH!$U$11=1,NA(),$J409/$E409-1),NA())</f>
        <v/>
      </c>
      <c r="C409" s="269">
        <f>IFERROR(100*$E409/$E$5,NA())</f>
        <v/>
      </c>
      <c r="D409" s="269">
        <f>IFERROR(100*$J409/$J$5,NA())</f>
        <v/>
      </c>
      <c r="E409" s="32">
        <f>IFERROR(IF(AND(ISNUMBER($A409),N(IF(AND(AH!$U$12=1,404+1=AH!$U$6),IF(AH!$U$4=0,"unavailable",INDEX('Market Data'!$AN$5:$AN$66,AH!$U$4)),IF(AH!$U$5=1,INDEX('Live History'!$B$5:$B$3004,$K409),INDEX('AH History'!$D$5:$GG$1380,$K409,AH!$U$10))))&gt;0),IF(AND(AH!$U$12=1,404+1=AH!$U$6),IF(AH!$U$4=0,"unavailable",INDEX('Market Data'!$AN$5:$AN$66,AH!$U$4)),IF(AH!$U$5=1,INDEX('Live History'!$B$5:$B$3004,$K409),INDEX('AH History'!$D$5:$GG$1380,$K409,AH!$U$10))),NA()),NA())</f>
        <v/>
      </c>
      <c r="F409" s="32">
        <f>IFERROR(IF(ISNUMBER($A409),IF(AND(AH!$U$12=1,404+1=AH!$U$6),IF(AH!$U$4=0,"unavailable",INDEX('Market Data'!$AO$5:$AO$66,AH!$U$4)),IF(AH!$U$5=1,INDEX('Live History'!$E$5:$E$3004,MATCH($A409,'Live History'!$D$5:$D$3004,1)),INDEX('AH History'!$D$5:$GG$1380,$K409,AH!$U$10+1))),NA()),NA())</f>
        <v/>
      </c>
      <c r="G409" s="34">
        <f>IFERROR(IF(ISNUMBER($A409),IF(AND(AH!$U$12=1,404+1=AH!$U$6),IF(AH!$U$4=0,"unavailable",INDEX('Market Data'!$AK$5:$AK$66,AH!$U$4)),IF(AH!$U$5=1,INDEX('Live History'!$D$5:$D$3004,MATCH($A409,'Live History'!$D$5:$D$3004,1)),INDEX('AH History'!$D$5:$GG$1380,$K409,AH!$U$10+2))),NA()),NA())</f>
        <v/>
      </c>
      <c r="H409" s="266">
        <f>IFERROR(IF(ISNUMBER($A409),IF(AND(AH!$U$12=1,404+1=AH!$U$6),IF(AH!$U$4=0,"unavailable",INDEX('Market Data'!$AP$5:$AP$66,AH!$U$4)),IF(AH!$U$5=1,INDEX('Live History'!$H$5:$H$3004,MATCH($A409,'Live History'!$G$5:$G$3004,1)),INDEX('AH History'!$B$5:$B$1380,$K409))),NA()),NA())</f>
        <v/>
      </c>
      <c r="I409" s="34">
        <f>IFERROR(IF(ISNUMBER($A409),IF(AND(AH!$U$12=1,404+1=AH!$U$6),TODAY(),IF(AH!$U$5=1,INDEX('Live History'!$G$5:$G$3004,MATCH($A409,'Live History'!$G$5:$G$3004,1)),INDEX('AH History'!$C$5:$C$1380,$K409))),NA()),NA())</f>
        <v/>
      </c>
      <c r="J409" s="32">
        <f>IFERROR(IF(AND($F409&gt;0,$H409&gt;0,$A409-$G409&lt;=10,$A409-$I409&lt;=5,$G409&gt;0,$I409&gt;0),$F409*$H409,NA()),NA())</f>
        <v/>
      </c>
      <c r="K409" s="15">
        <f>IF($A409="","",IF(AH!$U$5=1,IFERROR(MATCH($A409,'Live History'!$A$5:$A$3004,0),0),AH!$U$7+404))</f>
        <v/>
      </c>
      <c r="L409" s="15">
        <f>IF(ISNUMBER(A409),TEXT(A409,"dd-mmm-yy"),"")</f>
        <v/>
      </c>
    </row>
    <row r="410">
      <c r="A410" s="14">
        <f>IF(OR(AH!$U$4=0,405+1&gt;AH!$U$6,AND(AH!$M$5="Bloomberg",AH!$U$5=0)),"",IFERROR(IF(AND(AH!$U$12=1,405+1=AH!$U$6),TODAY(),IF(AH!$U$5=1,INDEX('Live History'!$A$5:$A$3004,AH!$U$7+405),INDEX('AH History'!$A$5:$A$1380,AH!$U$7+405))),""))</f>
        <v/>
      </c>
      <c r="B410" s="33">
        <f>IFERROR(IF(AH!$U$11=1,NA(),$J410/$E410-1),NA())</f>
        <v/>
      </c>
      <c r="C410" s="269">
        <f>IFERROR(100*$E410/$E$5,NA())</f>
        <v/>
      </c>
      <c r="D410" s="269">
        <f>IFERROR(100*$J410/$J$5,NA())</f>
        <v/>
      </c>
      <c r="E410" s="32">
        <f>IFERROR(IF(AND(ISNUMBER($A410),N(IF(AND(AH!$U$12=1,405+1=AH!$U$6),IF(AH!$U$4=0,"unavailable",INDEX('Market Data'!$AN$5:$AN$66,AH!$U$4)),IF(AH!$U$5=1,INDEX('Live History'!$B$5:$B$3004,$K410),INDEX('AH History'!$D$5:$GG$1380,$K410,AH!$U$10))))&gt;0),IF(AND(AH!$U$12=1,405+1=AH!$U$6),IF(AH!$U$4=0,"unavailable",INDEX('Market Data'!$AN$5:$AN$66,AH!$U$4)),IF(AH!$U$5=1,INDEX('Live History'!$B$5:$B$3004,$K410),INDEX('AH History'!$D$5:$GG$1380,$K410,AH!$U$10))),NA()),NA())</f>
        <v/>
      </c>
      <c r="F410" s="32">
        <f>IFERROR(IF(ISNUMBER($A410),IF(AND(AH!$U$12=1,405+1=AH!$U$6),IF(AH!$U$4=0,"unavailable",INDEX('Market Data'!$AO$5:$AO$66,AH!$U$4)),IF(AH!$U$5=1,INDEX('Live History'!$E$5:$E$3004,MATCH($A410,'Live History'!$D$5:$D$3004,1)),INDEX('AH History'!$D$5:$GG$1380,$K410,AH!$U$10+1))),NA()),NA())</f>
        <v/>
      </c>
      <c r="G410" s="34">
        <f>IFERROR(IF(ISNUMBER($A410),IF(AND(AH!$U$12=1,405+1=AH!$U$6),IF(AH!$U$4=0,"unavailable",INDEX('Market Data'!$AK$5:$AK$66,AH!$U$4)),IF(AH!$U$5=1,INDEX('Live History'!$D$5:$D$3004,MATCH($A410,'Live History'!$D$5:$D$3004,1)),INDEX('AH History'!$D$5:$GG$1380,$K410,AH!$U$10+2))),NA()),NA())</f>
        <v/>
      </c>
      <c r="H410" s="266">
        <f>IFERROR(IF(ISNUMBER($A410),IF(AND(AH!$U$12=1,405+1=AH!$U$6),IF(AH!$U$4=0,"unavailable",INDEX('Market Data'!$AP$5:$AP$66,AH!$U$4)),IF(AH!$U$5=1,INDEX('Live History'!$H$5:$H$3004,MATCH($A410,'Live History'!$G$5:$G$3004,1)),INDEX('AH History'!$B$5:$B$1380,$K410))),NA()),NA())</f>
        <v/>
      </c>
      <c r="I410" s="34">
        <f>IFERROR(IF(ISNUMBER($A410),IF(AND(AH!$U$12=1,405+1=AH!$U$6),TODAY(),IF(AH!$U$5=1,INDEX('Live History'!$G$5:$G$3004,MATCH($A410,'Live History'!$G$5:$G$3004,1)),INDEX('AH History'!$C$5:$C$1380,$K410))),NA()),NA())</f>
        <v/>
      </c>
      <c r="J410" s="32">
        <f>IFERROR(IF(AND($F410&gt;0,$H410&gt;0,$A410-$G410&lt;=10,$A410-$I410&lt;=5,$G410&gt;0,$I410&gt;0),$F410*$H410,NA()),NA())</f>
        <v/>
      </c>
      <c r="K410" s="15">
        <f>IF($A410="","",IF(AH!$U$5=1,IFERROR(MATCH($A410,'Live History'!$A$5:$A$3004,0),0),AH!$U$7+405))</f>
        <v/>
      </c>
      <c r="L410" s="15">
        <f>IF(ISNUMBER(A410),TEXT(A410,"dd-mmm-yy"),"")</f>
        <v/>
      </c>
    </row>
    <row r="411">
      <c r="A411" s="14">
        <f>IF(OR(AH!$U$4=0,406+1&gt;AH!$U$6,AND(AH!$M$5="Bloomberg",AH!$U$5=0)),"",IFERROR(IF(AND(AH!$U$12=1,406+1=AH!$U$6),TODAY(),IF(AH!$U$5=1,INDEX('Live History'!$A$5:$A$3004,AH!$U$7+406),INDEX('AH History'!$A$5:$A$1380,AH!$U$7+406))),""))</f>
        <v/>
      </c>
      <c r="B411" s="33">
        <f>IFERROR(IF(AH!$U$11=1,NA(),$J411/$E411-1),NA())</f>
        <v/>
      </c>
      <c r="C411" s="269">
        <f>IFERROR(100*$E411/$E$5,NA())</f>
        <v/>
      </c>
      <c r="D411" s="269">
        <f>IFERROR(100*$J411/$J$5,NA())</f>
        <v/>
      </c>
      <c r="E411" s="32">
        <f>IFERROR(IF(AND(ISNUMBER($A411),N(IF(AND(AH!$U$12=1,406+1=AH!$U$6),IF(AH!$U$4=0,"unavailable",INDEX('Market Data'!$AN$5:$AN$66,AH!$U$4)),IF(AH!$U$5=1,INDEX('Live History'!$B$5:$B$3004,$K411),INDEX('AH History'!$D$5:$GG$1380,$K411,AH!$U$10))))&gt;0),IF(AND(AH!$U$12=1,406+1=AH!$U$6),IF(AH!$U$4=0,"unavailable",INDEX('Market Data'!$AN$5:$AN$66,AH!$U$4)),IF(AH!$U$5=1,INDEX('Live History'!$B$5:$B$3004,$K411),INDEX('AH History'!$D$5:$GG$1380,$K411,AH!$U$10))),NA()),NA())</f>
        <v/>
      </c>
      <c r="F411" s="32">
        <f>IFERROR(IF(ISNUMBER($A411),IF(AND(AH!$U$12=1,406+1=AH!$U$6),IF(AH!$U$4=0,"unavailable",INDEX('Market Data'!$AO$5:$AO$66,AH!$U$4)),IF(AH!$U$5=1,INDEX('Live History'!$E$5:$E$3004,MATCH($A411,'Live History'!$D$5:$D$3004,1)),INDEX('AH History'!$D$5:$GG$1380,$K411,AH!$U$10+1))),NA()),NA())</f>
        <v/>
      </c>
      <c r="G411" s="34">
        <f>IFERROR(IF(ISNUMBER($A411),IF(AND(AH!$U$12=1,406+1=AH!$U$6),IF(AH!$U$4=0,"unavailable",INDEX('Market Data'!$AK$5:$AK$66,AH!$U$4)),IF(AH!$U$5=1,INDEX('Live History'!$D$5:$D$3004,MATCH($A411,'Live History'!$D$5:$D$3004,1)),INDEX('AH History'!$D$5:$GG$1380,$K411,AH!$U$10+2))),NA()),NA())</f>
        <v/>
      </c>
      <c r="H411" s="266">
        <f>IFERROR(IF(ISNUMBER($A411),IF(AND(AH!$U$12=1,406+1=AH!$U$6),IF(AH!$U$4=0,"unavailable",INDEX('Market Data'!$AP$5:$AP$66,AH!$U$4)),IF(AH!$U$5=1,INDEX('Live History'!$H$5:$H$3004,MATCH($A411,'Live History'!$G$5:$G$3004,1)),INDEX('AH History'!$B$5:$B$1380,$K411))),NA()),NA())</f>
        <v/>
      </c>
      <c r="I411" s="34">
        <f>IFERROR(IF(ISNUMBER($A411),IF(AND(AH!$U$12=1,406+1=AH!$U$6),TODAY(),IF(AH!$U$5=1,INDEX('Live History'!$G$5:$G$3004,MATCH($A411,'Live History'!$G$5:$G$3004,1)),INDEX('AH History'!$C$5:$C$1380,$K411))),NA()),NA())</f>
        <v/>
      </c>
      <c r="J411" s="32">
        <f>IFERROR(IF(AND($F411&gt;0,$H411&gt;0,$A411-$G411&lt;=10,$A411-$I411&lt;=5,$G411&gt;0,$I411&gt;0),$F411*$H411,NA()),NA())</f>
        <v/>
      </c>
      <c r="K411" s="15">
        <f>IF($A411="","",IF(AH!$U$5=1,IFERROR(MATCH($A411,'Live History'!$A$5:$A$3004,0),0),AH!$U$7+406))</f>
        <v/>
      </c>
      <c r="L411" s="15">
        <f>IF(ISNUMBER(A411),TEXT(A411,"dd-mmm-yy"),"")</f>
        <v/>
      </c>
    </row>
    <row r="412">
      <c r="A412" s="14">
        <f>IF(OR(AH!$U$4=0,407+1&gt;AH!$U$6,AND(AH!$M$5="Bloomberg",AH!$U$5=0)),"",IFERROR(IF(AND(AH!$U$12=1,407+1=AH!$U$6),TODAY(),IF(AH!$U$5=1,INDEX('Live History'!$A$5:$A$3004,AH!$U$7+407),INDEX('AH History'!$A$5:$A$1380,AH!$U$7+407))),""))</f>
        <v/>
      </c>
      <c r="B412" s="33">
        <f>IFERROR(IF(AH!$U$11=1,NA(),$J412/$E412-1),NA())</f>
        <v/>
      </c>
      <c r="C412" s="269">
        <f>IFERROR(100*$E412/$E$5,NA())</f>
        <v/>
      </c>
      <c r="D412" s="269">
        <f>IFERROR(100*$J412/$J$5,NA())</f>
        <v/>
      </c>
      <c r="E412" s="32">
        <f>IFERROR(IF(AND(ISNUMBER($A412),N(IF(AND(AH!$U$12=1,407+1=AH!$U$6),IF(AH!$U$4=0,"unavailable",INDEX('Market Data'!$AN$5:$AN$66,AH!$U$4)),IF(AH!$U$5=1,INDEX('Live History'!$B$5:$B$3004,$K412),INDEX('AH History'!$D$5:$GG$1380,$K412,AH!$U$10))))&gt;0),IF(AND(AH!$U$12=1,407+1=AH!$U$6),IF(AH!$U$4=0,"unavailable",INDEX('Market Data'!$AN$5:$AN$66,AH!$U$4)),IF(AH!$U$5=1,INDEX('Live History'!$B$5:$B$3004,$K412),INDEX('AH History'!$D$5:$GG$1380,$K412,AH!$U$10))),NA()),NA())</f>
        <v/>
      </c>
      <c r="F412" s="32">
        <f>IFERROR(IF(ISNUMBER($A412),IF(AND(AH!$U$12=1,407+1=AH!$U$6),IF(AH!$U$4=0,"unavailable",INDEX('Market Data'!$AO$5:$AO$66,AH!$U$4)),IF(AH!$U$5=1,INDEX('Live History'!$E$5:$E$3004,MATCH($A412,'Live History'!$D$5:$D$3004,1)),INDEX('AH History'!$D$5:$GG$1380,$K412,AH!$U$10+1))),NA()),NA())</f>
        <v/>
      </c>
      <c r="G412" s="34">
        <f>IFERROR(IF(ISNUMBER($A412),IF(AND(AH!$U$12=1,407+1=AH!$U$6),IF(AH!$U$4=0,"unavailable",INDEX('Market Data'!$AK$5:$AK$66,AH!$U$4)),IF(AH!$U$5=1,INDEX('Live History'!$D$5:$D$3004,MATCH($A412,'Live History'!$D$5:$D$3004,1)),INDEX('AH History'!$D$5:$GG$1380,$K412,AH!$U$10+2))),NA()),NA())</f>
        <v/>
      </c>
      <c r="H412" s="266">
        <f>IFERROR(IF(ISNUMBER($A412),IF(AND(AH!$U$12=1,407+1=AH!$U$6),IF(AH!$U$4=0,"unavailable",INDEX('Market Data'!$AP$5:$AP$66,AH!$U$4)),IF(AH!$U$5=1,INDEX('Live History'!$H$5:$H$3004,MATCH($A412,'Live History'!$G$5:$G$3004,1)),INDEX('AH History'!$B$5:$B$1380,$K412))),NA()),NA())</f>
        <v/>
      </c>
      <c r="I412" s="34">
        <f>IFERROR(IF(ISNUMBER($A412),IF(AND(AH!$U$12=1,407+1=AH!$U$6),TODAY(),IF(AH!$U$5=1,INDEX('Live History'!$G$5:$G$3004,MATCH($A412,'Live History'!$G$5:$G$3004,1)),INDEX('AH History'!$C$5:$C$1380,$K412))),NA()),NA())</f>
        <v/>
      </c>
      <c r="J412" s="32">
        <f>IFERROR(IF(AND($F412&gt;0,$H412&gt;0,$A412-$G412&lt;=10,$A412-$I412&lt;=5,$G412&gt;0,$I412&gt;0),$F412*$H412,NA()),NA())</f>
        <v/>
      </c>
      <c r="K412" s="15">
        <f>IF($A412="","",IF(AH!$U$5=1,IFERROR(MATCH($A412,'Live History'!$A$5:$A$3004,0),0),AH!$U$7+407))</f>
        <v/>
      </c>
      <c r="L412" s="15">
        <f>IF(ISNUMBER(A412),TEXT(A412,"dd-mmm-yy"),"")</f>
        <v/>
      </c>
    </row>
    <row r="413">
      <c r="A413" s="14">
        <f>IF(OR(AH!$U$4=0,408+1&gt;AH!$U$6,AND(AH!$M$5="Bloomberg",AH!$U$5=0)),"",IFERROR(IF(AND(AH!$U$12=1,408+1=AH!$U$6),TODAY(),IF(AH!$U$5=1,INDEX('Live History'!$A$5:$A$3004,AH!$U$7+408),INDEX('AH History'!$A$5:$A$1380,AH!$U$7+408))),""))</f>
        <v/>
      </c>
      <c r="B413" s="33">
        <f>IFERROR(IF(AH!$U$11=1,NA(),$J413/$E413-1),NA())</f>
        <v/>
      </c>
      <c r="C413" s="269">
        <f>IFERROR(100*$E413/$E$5,NA())</f>
        <v/>
      </c>
      <c r="D413" s="269">
        <f>IFERROR(100*$J413/$J$5,NA())</f>
        <v/>
      </c>
      <c r="E413" s="32">
        <f>IFERROR(IF(AND(ISNUMBER($A413),N(IF(AND(AH!$U$12=1,408+1=AH!$U$6),IF(AH!$U$4=0,"unavailable",INDEX('Market Data'!$AN$5:$AN$66,AH!$U$4)),IF(AH!$U$5=1,INDEX('Live History'!$B$5:$B$3004,$K413),INDEX('AH History'!$D$5:$GG$1380,$K413,AH!$U$10))))&gt;0),IF(AND(AH!$U$12=1,408+1=AH!$U$6),IF(AH!$U$4=0,"unavailable",INDEX('Market Data'!$AN$5:$AN$66,AH!$U$4)),IF(AH!$U$5=1,INDEX('Live History'!$B$5:$B$3004,$K413),INDEX('AH History'!$D$5:$GG$1380,$K413,AH!$U$10))),NA()),NA())</f>
        <v/>
      </c>
      <c r="F413" s="32">
        <f>IFERROR(IF(ISNUMBER($A413),IF(AND(AH!$U$12=1,408+1=AH!$U$6),IF(AH!$U$4=0,"unavailable",INDEX('Market Data'!$AO$5:$AO$66,AH!$U$4)),IF(AH!$U$5=1,INDEX('Live History'!$E$5:$E$3004,MATCH($A413,'Live History'!$D$5:$D$3004,1)),INDEX('AH History'!$D$5:$GG$1380,$K413,AH!$U$10+1))),NA()),NA())</f>
        <v/>
      </c>
      <c r="G413" s="34">
        <f>IFERROR(IF(ISNUMBER($A413),IF(AND(AH!$U$12=1,408+1=AH!$U$6),IF(AH!$U$4=0,"unavailable",INDEX('Market Data'!$AK$5:$AK$66,AH!$U$4)),IF(AH!$U$5=1,INDEX('Live History'!$D$5:$D$3004,MATCH($A413,'Live History'!$D$5:$D$3004,1)),INDEX('AH History'!$D$5:$GG$1380,$K413,AH!$U$10+2))),NA()),NA())</f>
        <v/>
      </c>
      <c r="H413" s="266">
        <f>IFERROR(IF(ISNUMBER($A413),IF(AND(AH!$U$12=1,408+1=AH!$U$6),IF(AH!$U$4=0,"unavailable",INDEX('Market Data'!$AP$5:$AP$66,AH!$U$4)),IF(AH!$U$5=1,INDEX('Live History'!$H$5:$H$3004,MATCH($A413,'Live History'!$G$5:$G$3004,1)),INDEX('AH History'!$B$5:$B$1380,$K413))),NA()),NA())</f>
        <v/>
      </c>
      <c r="I413" s="34">
        <f>IFERROR(IF(ISNUMBER($A413),IF(AND(AH!$U$12=1,408+1=AH!$U$6),TODAY(),IF(AH!$U$5=1,INDEX('Live History'!$G$5:$G$3004,MATCH($A413,'Live History'!$G$5:$G$3004,1)),INDEX('AH History'!$C$5:$C$1380,$K413))),NA()),NA())</f>
        <v/>
      </c>
      <c r="J413" s="32">
        <f>IFERROR(IF(AND($F413&gt;0,$H413&gt;0,$A413-$G413&lt;=10,$A413-$I413&lt;=5,$G413&gt;0,$I413&gt;0),$F413*$H413,NA()),NA())</f>
        <v/>
      </c>
      <c r="K413" s="15">
        <f>IF($A413="","",IF(AH!$U$5=1,IFERROR(MATCH($A413,'Live History'!$A$5:$A$3004,0),0),AH!$U$7+408))</f>
        <v/>
      </c>
      <c r="L413" s="15">
        <f>IF(ISNUMBER(A413),TEXT(A413,"dd-mmm-yy"),"")</f>
        <v/>
      </c>
    </row>
    <row r="414">
      <c r="A414" s="14">
        <f>IF(OR(AH!$U$4=0,409+1&gt;AH!$U$6,AND(AH!$M$5="Bloomberg",AH!$U$5=0)),"",IFERROR(IF(AND(AH!$U$12=1,409+1=AH!$U$6),TODAY(),IF(AH!$U$5=1,INDEX('Live History'!$A$5:$A$3004,AH!$U$7+409),INDEX('AH History'!$A$5:$A$1380,AH!$U$7+409))),""))</f>
        <v/>
      </c>
      <c r="B414" s="33">
        <f>IFERROR(IF(AH!$U$11=1,NA(),$J414/$E414-1),NA())</f>
        <v/>
      </c>
      <c r="C414" s="269">
        <f>IFERROR(100*$E414/$E$5,NA())</f>
        <v/>
      </c>
      <c r="D414" s="269">
        <f>IFERROR(100*$J414/$J$5,NA())</f>
        <v/>
      </c>
      <c r="E414" s="32">
        <f>IFERROR(IF(AND(ISNUMBER($A414),N(IF(AND(AH!$U$12=1,409+1=AH!$U$6),IF(AH!$U$4=0,"unavailable",INDEX('Market Data'!$AN$5:$AN$66,AH!$U$4)),IF(AH!$U$5=1,INDEX('Live History'!$B$5:$B$3004,$K414),INDEX('AH History'!$D$5:$GG$1380,$K414,AH!$U$10))))&gt;0),IF(AND(AH!$U$12=1,409+1=AH!$U$6),IF(AH!$U$4=0,"unavailable",INDEX('Market Data'!$AN$5:$AN$66,AH!$U$4)),IF(AH!$U$5=1,INDEX('Live History'!$B$5:$B$3004,$K414),INDEX('AH History'!$D$5:$GG$1380,$K414,AH!$U$10))),NA()),NA())</f>
        <v/>
      </c>
      <c r="F414" s="32">
        <f>IFERROR(IF(ISNUMBER($A414),IF(AND(AH!$U$12=1,409+1=AH!$U$6),IF(AH!$U$4=0,"unavailable",INDEX('Market Data'!$AO$5:$AO$66,AH!$U$4)),IF(AH!$U$5=1,INDEX('Live History'!$E$5:$E$3004,MATCH($A414,'Live History'!$D$5:$D$3004,1)),INDEX('AH History'!$D$5:$GG$1380,$K414,AH!$U$10+1))),NA()),NA())</f>
        <v/>
      </c>
      <c r="G414" s="34">
        <f>IFERROR(IF(ISNUMBER($A414),IF(AND(AH!$U$12=1,409+1=AH!$U$6),IF(AH!$U$4=0,"unavailable",INDEX('Market Data'!$AK$5:$AK$66,AH!$U$4)),IF(AH!$U$5=1,INDEX('Live History'!$D$5:$D$3004,MATCH($A414,'Live History'!$D$5:$D$3004,1)),INDEX('AH History'!$D$5:$GG$1380,$K414,AH!$U$10+2))),NA()),NA())</f>
        <v/>
      </c>
      <c r="H414" s="266">
        <f>IFERROR(IF(ISNUMBER($A414),IF(AND(AH!$U$12=1,409+1=AH!$U$6),IF(AH!$U$4=0,"unavailable",INDEX('Market Data'!$AP$5:$AP$66,AH!$U$4)),IF(AH!$U$5=1,INDEX('Live History'!$H$5:$H$3004,MATCH($A414,'Live History'!$G$5:$G$3004,1)),INDEX('AH History'!$B$5:$B$1380,$K414))),NA()),NA())</f>
        <v/>
      </c>
      <c r="I414" s="34">
        <f>IFERROR(IF(ISNUMBER($A414),IF(AND(AH!$U$12=1,409+1=AH!$U$6),TODAY(),IF(AH!$U$5=1,INDEX('Live History'!$G$5:$G$3004,MATCH($A414,'Live History'!$G$5:$G$3004,1)),INDEX('AH History'!$C$5:$C$1380,$K414))),NA()),NA())</f>
        <v/>
      </c>
      <c r="J414" s="32">
        <f>IFERROR(IF(AND($F414&gt;0,$H414&gt;0,$A414-$G414&lt;=10,$A414-$I414&lt;=5,$G414&gt;0,$I414&gt;0),$F414*$H414,NA()),NA())</f>
        <v/>
      </c>
      <c r="K414" s="15">
        <f>IF($A414="","",IF(AH!$U$5=1,IFERROR(MATCH($A414,'Live History'!$A$5:$A$3004,0),0),AH!$U$7+409))</f>
        <v/>
      </c>
      <c r="L414" s="15">
        <f>IF(ISNUMBER(A414),TEXT(A414,"dd-mmm-yy"),"")</f>
        <v/>
      </c>
    </row>
    <row r="415">
      <c r="A415" s="14">
        <f>IF(OR(AH!$U$4=0,410+1&gt;AH!$U$6,AND(AH!$M$5="Bloomberg",AH!$U$5=0)),"",IFERROR(IF(AND(AH!$U$12=1,410+1=AH!$U$6),TODAY(),IF(AH!$U$5=1,INDEX('Live History'!$A$5:$A$3004,AH!$U$7+410),INDEX('AH History'!$A$5:$A$1380,AH!$U$7+410))),""))</f>
        <v/>
      </c>
      <c r="B415" s="33">
        <f>IFERROR(IF(AH!$U$11=1,NA(),$J415/$E415-1),NA())</f>
        <v/>
      </c>
      <c r="C415" s="269">
        <f>IFERROR(100*$E415/$E$5,NA())</f>
        <v/>
      </c>
      <c r="D415" s="269">
        <f>IFERROR(100*$J415/$J$5,NA())</f>
        <v/>
      </c>
      <c r="E415" s="32">
        <f>IFERROR(IF(AND(ISNUMBER($A415),N(IF(AND(AH!$U$12=1,410+1=AH!$U$6),IF(AH!$U$4=0,"unavailable",INDEX('Market Data'!$AN$5:$AN$66,AH!$U$4)),IF(AH!$U$5=1,INDEX('Live History'!$B$5:$B$3004,$K415),INDEX('AH History'!$D$5:$GG$1380,$K415,AH!$U$10))))&gt;0),IF(AND(AH!$U$12=1,410+1=AH!$U$6),IF(AH!$U$4=0,"unavailable",INDEX('Market Data'!$AN$5:$AN$66,AH!$U$4)),IF(AH!$U$5=1,INDEX('Live History'!$B$5:$B$3004,$K415),INDEX('AH History'!$D$5:$GG$1380,$K415,AH!$U$10))),NA()),NA())</f>
        <v/>
      </c>
      <c r="F415" s="32">
        <f>IFERROR(IF(ISNUMBER($A415),IF(AND(AH!$U$12=1,410+1=AH!$U$6),IF(AH!$U$4=0,"unavailable",INDEX('Market Data'!$AO$5:$AO$66,AH!$U$4)),IF(AH!$U$5=1,INDEX('Live History'!$E$5:$E$3004,MATCH($A415,'Live History'!$D$5:$D$3004,1)),INDEX('AH History'!$D$5:$GG$1380,$K415,AH!$U$10+1))),NA()),NA())</f>
        <v/>
      </c>
      <c r="G415" s="34">
        <f>IFERROR(IF(ISNUMBER($A415),IF(AND(AH!$U$12=1,410+1=AH!$U$6),IF(AH!$U$4=0,"unavailable",INDEX('Market Data'!$AK$5:$AK$66,AH!$U$4)),IF(AH!$U$5=1,INDEX('Live History'!$D$5:$D$3004,MATCH($A415,'Live History'!$D$5:$D$3004,1)),INDEX('AH History'!$D$5:$GG$1380,$K415,AH!$U$10+2))),NA()),NA())</f>
        <v/>
      </c>
      <c r="H415" s="266">
        <f>IFERROR(IF(ISNUMBER($A415),IF(AND(AH!$U$12=1,410+1=AH!$U$6),IF(AH!$U$4=0,"unavailable",INDEX('Market Data'!$AP$5:$AP$66,AH!$U$4)),IF(AH!$U$5=1,INDEX('Live History'!$H$5:$H$3004,MATCH($A415,'Live History'!$G$5:$G$3004,1)),INDEX('AH History'!$B$5:$B$1380,$K415))),NA()),NA())</f>
        <v/>
      </c>
      <c r="I415" s="34">
        <f>IFERROR(IF(ISNUMBER($A415),IF(AND(AH!$U$12=1,410+1=AH!$U$6),TODAY(),IF(AH!$U$5=1,INDEX('Live History'!$G$5:$G$3004,MATCH($A415,'Live History'!$G$5:$G$3004,1)),INDEX('AH History'!$C$5:$C$1380,$K415))),NA()),NA())</f>
        <v/>
      </c>
      <c r="J415" s="32">
        <f>IFERROR(IF(AND($F415&gt;0,$H415&gt;0,$A415-$G415&lt;=10,$A415-$I415&lt;=5,$G415&gt;0,$I415&gt;0),$F415*$H415,NA()),NA())</f>
        <v/>
      </c>
      <c r="K415" s="15">
        <f>IF($A415="","",IF(AH!$U$5=1,IFERROR(MATCH($A415,'Live History'!$A$5:$A$3004,0),0),AH!$U$7+410))</f>
        <v/>
      </c>
      <c r="L415" s="15">
        <f>IF(ISNUMBER(A415),TEXT(A415,"dd-mmm-yy"),"")</f>
        <v/>
      </c>
    </row>
    <row r="416">
      <c r="A416" s="14">
        <f>IF(OR(AH!$U$4=0,411+1&gt;AH!$U$6,AND(AH!$M$5="Bloomberg",AH!$U$5=0)),"",IFERROR(IF(AND(AH!$U$12=1,411+1=AH!$U$6),TODAY(),IF(AH!$U$5=1,INDEX('Live History'!$A$5:$A$3004,AH!$U$7+411),INDEX('AH History'!$A$5:$A$1380,AH!$U$7+411))),""))</f>
        <v/>
      </c>
      <c r="B416" s="33">
        <f>IFERROR(IF(AH!$U$11=1,NA(),$J416/$E416-1),NA())</f>
        <v/>
      </c>
      <c r="C416" s="269">
        <f>IFERROR(100*$E416/$E$5,NA())</f>
        <v/>
      </c>
      <c r="D416" s="269">
        <f>IFERROR(100*$J416/$J$5,NA())</f>
        <v/>
      </c>
      <c r="E416" s="32">
        <f>IFERROR(IF(AND(ISNUMBER($A416),N(IF(AND(AH!$U$12=1,411+1=AH!$U$6),IF(AH!$U$4=0,"unavailable",INDEX('Market Data'!$AN$5:$AN$66,AH!$U$4)),IF(AH!$U$5=1,INDEX('Live History'!$B$5:$B$3004,$K416),INDEX('AH History'!$D$5:$GG$1380,$K416,AH!$U$10))))&gt;0),IF(AND(AH!$U$12=1,411+1=AH!$U$6),IF(AH!$U$4=0,"unavailable",INDEX('Market Data'!$AN$5:$AN$66,AH!$U$4)),IF(AH!$U$5=1,INDEX('Live History'!$B$5:$B$3004,$K416),INDEX('AH History'!$D$5:$GG$1380,$K416,AH!$U$10))),NA()),NA())</f>
        <v/>
      </c>
      <c r="F416" s="32">
        <f>IFERROR(IF(ISNUMBER($A416),IF(AND(AH!$U$12=1,411+1=AH!$U$6),IF(AH!$U$4=0,"unavailable",INDEX('Market Data'!$AO$5:$AO$66,AH!$U$4)),IF(AH!$U$5=1,INDEX('Live History'!$E$5:$E$3004,MATCH($A416,'Live History'!$D$5:$D$3004,1)),INDEX('AH History'!$D$5:$GG$1380,$K416,AH!$U$10+1))),NA()),NA())</f>
        <v/>
      </c>
      <c r="G416" s="34">
        <f>IFERROR(IF(ISNUMBER($A416),IF(AND(AH!$U$12=1,411+1=AH!$U$6),IF(AH!$U$4=0,"unavailable",INDEX('Market Data'!$AK$5:$AK$66,AH!$U$4)),IF(AH!$U$5=1,INDEX('Live History'!$D$5:$D$3004,MATCH($A416,'Live History'!$D$5:$D$3004,1)),INDEX('AH History'!$D$5:$GG$1380,$K416,AH!$U$10+2))),NA()),NA())</f>
        <v/>
      </c>
      <c r="H416" s="266">
        <f>IFERROR(IF(ISNUMBER($A416),IF(AND(AH!$U$12=1,411+1=AH!$U$6),IF(AH!$U$4=0,"unavailable",INDEX('Market Data'!$AP$5:$AP$66,AH!$U$4)),IF(AH!$U$5=1,INDEX('Live History'!$H$5:$H$3004,MATCH($A416,'Live History'!$G$5:$G$3004,1)),INDEX('AH History'!$B$5:$B$1380,$K416))),NA()),NA())</f>
        <v/>
      </c>
      <c r="I416" s="34">
        <f>IFERROR(IF(ISNUMBER($A416),IF(AND(AH!$U$12=1,411+1=AH!$U$6),TODAY(),IF(AH!$U$5=1,INDEX('Live History'!$G$5:$G$3004,MATCH($A416,'Live History'!$G$5:$G$3004,1)),INDEX('AH History'!$C$5:$C$1380,$K416))),NA()),NA())</f>
        <v/>
      </c>
      <c r="J416" s="32">
        <f>IFERROR(IF(AND($F416&gt;0,$H416&gt;0,$A416-$G416&lt;=10,$A416-$I416&lt;=5,$G416&gt;0,$I416&gt;0),$F416*$H416,NA()),NA())</f>
        <v/>
      </c>
      <c r="K416" s="15">
        <f>IF($A416="","",IF(AH!$U$5=1,IFERROR(MATCH($A416,'Live History'!$A$5:$A$3004,0),0),AH!$U$7+411))</f>
        <v/>
      </c>
      <c r="L416" s="15">
        <f>IF(ISNUMBER(A416),TEXT(A416,"dd-mmm-yy"),"")</f>
        <v/>
      </c>
    </row>
    <row r="417">
      <c r="A417" s="14">
        <f>IF(OR(AH!$U$4=0,412+1&gt;AH!$U$6,AND(AH!$M$5="Bloomberg",AH!$U$5=0)),"",IFERROR(IF(AND(AH!$U$12=1,412+1=AH!$U$6),TODAY(),IF(AH!$U$5=1,INDEX('Live History'!$A$5:$A$3004,AH!$U$7+412),INDEX('AH History'!$A$5:$A$1380,AH!$U$7+412))),""))</f>
        <v/>
      </c>
      <c r="B417" s="33">
        <f>IFERROR(IF(AH!$U$11=1,NA(),$J417/$E417-1),NA())</f>
        <v/>
      </c>
      <c r="C417" s="269">
        <f>IFERROR(100*$E417/$E$5,NA())</f>
        <v/>
      </c>
      <c r="D417" s="269">
        <f>IFERROR(100*$J417/$J$5,NA())</f>
        <v/>
      </c>
      <c r="E417" s="32">
        <f>IFERROR(IF(AND(ISNUMBER($A417),N(IF(AND(AH!$U$12=1,412+1=AH!$U$6),IF(AH!$U$4=0,"unavailable",INDEX('Market Data'!$AN$5:$AN$66,AH!$U$4)),IF(AH!$U$5=1,INDEX('Live History'!$B$5:$B$3004,$K417),INDEX('AH History'!$D$5:$GG$1380,$K417,AH!$U$10))))&gt;0),IF(AND(AH!$U$12=1,412+1=AH!$U$6),IF(AH!$U$4=0,"unavailable",INDEX('Market Data'!$AN$5:$AN$66,AH!$U$4)),IF(AH!$U$5=1,INDEX('Live History'!$B$5:$B$3004,$K417),INDEX('AH History'!$D$5:$GG$1380,$K417,AH!$U$10))),NA()),NA())</f>
        <v/>
      </c>
      <c r="F417" s="32">
        <f>IFERROR(IF(ISNUMBER($A417),IF(AND(AH!$U$12=1,412+1=AH!$U$6),IF(AH!$U$4=0,"unavailable",INDEX('Market Data'!$AO$5:$AO$66,AH!$U$4)),IF(AH!$U$5=1,INDEX('Live History'!$E$5:$E$3004,MATCH($A417,'Live History'!$D$5:$D$3004,1)),INDEX('AH History'!$D$5:$GG$1380,$K417,AH!$U$10+1))),NA()),NA())</f>
        <v/>
      </c>
      <c r="G417" s="34">
        <f>IFERROR(IF(ISNUMBER($A417),IF(AND(AH!$U$12=1,412+1=AH!$U$6),IF(AH!$U$4=0,"unavailable",INDEX('Market Data'!$AK$5:$AK$66,AH!$U$4)),IF(AH!$U$5=1,INDEX('Live History'!$D$5:$D$3004,MATCH($A417,'Live History'!$D$5:$D$3004,1)),INDEX('AH History'!$D$5:$GG$1380,$K417,AH!$U$10+2))),NA()),NA())</f>
        <v/>
      </c>
      <c r="H417" s="266">
        <f>IFERROR(IF(ISNUMBER($A417),IF(AND(AH!$U$12=1,412+1=AH!$U$6),IF(AH!$U$4=0,"unavailable",INDEX('Market Data'!$AP$5:$AP$66,AH!$U$4)),IF(AH!$U$5=1,INDEX('Live History'!$H$5:$H$3004,MATCH($A417,'Live History'!$G$5:$G$3004,1)),INDEX('AH History'!$B$5:$B$1380,$K417))),NA()),NA())</f>
        <v/>
      </c>
      <c r="I417" s="34">
        <f>IFERROR(IF(ISNUMBER($A417),IF(AND(AH!$U$12=1,412+1=AH!$U$6),TODAY(),IF(AH!$U$5=1,INDEX('Live History'!$G$5:$G$3004,MATCH($A417,'Live History'!$G$5:$G$3004,1)),INDEX('AH History'!$C$5:$C$1380,$K417))),NA()),NA())</f>
        <v/>
      </c>
      <c r="J417" s="32">
        <f>IFERROR(IF(AND($F417&gt;0,$H417&gt;0,$A417-$G417&lt;=10,$A417-$I417&lt;=5,$G417&gt;0,$I417&gt;0),$F417*$H417,NA()),NA())</f>
        <v/>
      </c>
      <c r="K417" s="15">
        <f>IF($A417="","",IF(AH!$U$5=1,IFERROR(MATCH($A417,'Live History'!$A$5:$A$3004,0),0),AH!$U$7+412))</f>
        <v/>
      </c>
      <c r="L417" s="15">
        <f>IF(ISNUMBER(A417),TEXT(A417,"dd-mmm-yy"),"")</f>
        <v/>
      </c>
    </row>
    <row r="418">
      <c r="A418" s="14">
        <f>IF(OR(AH!$U$4=0,413+1&gt;AH!$U$6,AND(AH!$M$5="Bloomberg",AH!$U$5=0)),"",IFERROR(IF(AND(AH!$U$12=1,413+1=AH!$U$6),TODAY(),IF(AH!$U$5=1,INDEX('Live History'!$A$5:$A$3004,AH!$U$7+413),INDEX('AH History'!$A$5:$A$1380,AH!$U$7+413))),""))</f>
        <v/>
      </c>
      <c r="B418" s="33">
        <f>IFERROR(IF(AH!$U$11=1,NA(),$J418/$E418-1),NA())</f>
        <v/>
      </c>
      <c r="C418" s="269">
        <f>IFERROR(100*$E418/$E$5,NA())</f>
        <v/>
      </c>
      <c r="D418" s="269">
        <f>IFERROR(100*$J418/$J$5,NA())</f>
        <v/>
      </c>
      <c r="E418" s="32">
        <f>IFERROR(IF(AND(ISNUMBER($A418),N(IF(AND(AH!$U$12=1,413+1=AH!$U$6),IF(AH!$U$4=0,"unavailable",INDEX('Market Data'!$AN$5:$AN$66,AH!$U$4)),IF(AH!$U$5=1,INDEX('Live History'!$B$5:$B$3004,$K418),INDEX('AH History'!$D$5:$GG$1380,$K418,AH!$U$10))))&gt;0),IF(AND(AH!$U$12=1,413+1=AH!$U$6),IF(AH!$U$4=0,"unavailable",INDEX('Market Data'!$AN$5:$AN$66,AH!$U$4)),IF(AH!$U$5=1,INDEX('Live History'!$B$5:$B$3004,$K418),INDEX('AH History'!$D$5:$GG$1380,$K418,AH!$U$10))),NA()),NA())</f>
        <v/>
      </c>
      <c r="F418" s="32">
        <f>IFERROR(IF(ISNUMBER($A418),IF(AND(AH!$U$12=1,413+1=AH!$U$6),IF(AH!$U$4=0,"unavailable",INDEX('Market Data'!$AO$5:$AO$66,AH!$U$4)),IF(AH!$U$5=1,INDEX('Live History'!$E$5:$E$3004,MATCH($A418,'Live History'!$D$5:$D$3004,1)),INDEX('AH History'!$D$5:$GG$1380,$K418,AH!$U$10+1))),NA()),NA())</f>
        <v/>
      </c>
      <c r="G418" s="34">
        <f>IFERROR(IF(ISNUMBER($A418),IF(AND(AH!$U$12=1,413+1=AH!$U$6),IF(AH!$U$4=0,"unavailable",INDEX('Market Data'!$AK$5:$AK$66,AH!$U$4)),IF(AH!$U$5=1,INDEX('Live History'!$D$5:$D$3004,MATCH($A418,'Live History'!$D$5:$D$3004,1)),INDEX('AH History'!$D$5:$GG$1380,$K418,AH!$U$10+2))),NA()),NA())</f>
        <v/>
      </c>
      <c r="H418" s="266">
        <f>IFERROR(IF(ISNUMBER($A418),IF(AND(AH!$U$12=1,413+1=AH!$U$6),IF(AH!$U$4=0,"unavailable",INDEX('Market Data'!$AP$5:$AP$66,AH!$U$4)),IF(AH!$U$5=1,INDEX('Live History'!$H$5:$H$3004,MATCH($A418,'Live History'!$G$5:$G$3004,1)),INDEX('AH History'!$B$5:$B$1380,$K418))),NA()),NA())</f>
        <v/>
      </c>
      <c r="I418" s="34">
        <f>IFERROR(IF(ISNUMBER($A418),IF(AND(AH!$U$12=1,413+1=AH!$U$6),TODAY(),IF(AH!$U$5=1,INDEX('Live History'!$G$5:$G$3004,MATCH($A418,'Live History'!$G$5:$G$3004,1)),INDEX('AH History'!$C$5:$C$1380,$K418))),NA()),NA())</f>
        <v/>
      </c>
      <c r="J418" s="32">
        <f>IFERROR(IF(AND($F418&gt;0,$H418&gt;0,$A418-$G418&lt;=10,$A418-$I418&lt;=5,$G418&gt;0,$I418&gt;0),$F418*$H418,NA()),NA())</f>
        <v/>
      </c>
      <c r="K418" s="15">
        <f>IF($A418="","",IF(AH!$U$5=1,IFERROR(MATCH($A418,'Live History'!$A$5:$A$3004,0),0),AH!$U$7+413))</f>
        <v/>
      </c>
      <c r="L418" s="15">
        <f>IF(ISNUMBER(A418),TEXT(A418,"dd-mmm-yy"),"")</f>
        <v/>
      </c>
    </row>
    <row r="419">
      <c r="A419" s="14">
        <f>IF(OR(AH!$U$4=0,414+1&gt;AH!$U$6,AND(AH!$M$5="Bloomberg",AH!$U$5=0)),"",IFERROR(IF(AND(AH!$U$12=1,414+1=AH!$U$6),TODAY(),IF(AH!$U$5=1,INDEX('Live History'!$A$5:$A$3004,AH!$U$7+414),INDEX('AH History'!$A$5:$A$1380,AH!$U$7+414))),""))</f>
        <v/>
      </c>
      <c r="B419" s="33">
        <f>IFERROR(IF(AH!$U$11=1,NA(),$J419/$E419-1),NA())</f>
        <v/>
      </c>
      <c r="C419" s="269">
        <f>IFERROR(100*$E419/$E$5,NA())</f>
        <v/>
      </c>
      <c r="D419" s="269">
        <f>IFERROR(100*$J419/$J$5,NA())</f>
        <v/>
      </c>
      <c r="E419" s="32">
        <f>IFERROR(IF(AND(ISNUMBER($A419),N(IF(AND(AH!$U$12=1,414+1=AH!$U$6),IF(AH!$U$4=0,"unavailable",INDEX('Market Data'!$AN$5:$AN$66,AH!$U$4)),IF(AH!$U$5=1,INDEX('Live History'!$B$5:$B$3004,$K419),INDEX('AH History'!$D$5:$GG$1380,$K419,AH!$U$10))))&gt;0),IF(AND(AH!$U$12=1,414+1=AH!$U$6),IF(AH!$U$4=0,"unavailable",INDEX('Market Data'!$AN$5:$AN$66,AH!$U$4)),IF(AH!$U$5=1,INDEX('Live History'!$B$5:$B$3004,$K419),INDEX('AH History'!$D$5:$GG$1380,$K419,AH!$U$10))),NA()),NA())</f>
        <v/>
      </c>
      <c r="F419" s="32">
        <f>IFERROR(IF(ISNUMBER($A419),IF(AND(AH!$U$12=1,414+1=AH!$U$6),IF(AH!$U$4=0,"unavailable",INDEX('Market Data'!$AO$5:$AO$66,AH!$U$4)),IF(AH!$U$5=1,INDEX('Live History'!$E$5:$E$3004,MATCH($A419,'Live History'!$D$5:$D$3004,1)),INDEX('AH History'!$D$5:$GG$1380,$K419,AH!$U$10+1))),NA()),NA())</f>
        <v/>
      </c>
      <c r="G419" s="34">
        <f>IFERROR(IF(ISNUMBER($A419),IF(AND(AH!$U$12=1,414+1=AH!$U$6),IF(AH!$U$4=0,"unavailable",INDEX('Market Data'!$AK$5:$AK$66,AH!$U$4)),IF(AH!$U$5=1,INDEX('Live History'!$D$5:$D$3004,MATCH($A419,'Live History'!$D$5:$D$3004,1)),INDEX('AH History'!$D$5:$GG$1380,$K419,AH!$U$10+2))),NA()),NA())</f>
        <v/>
      </c>
      <c r="H419" s="266">
        <f>IFERROR(IF(ISNUMBER($A419),IF(AND(AH!$U$12=1,414+1=AH!$U$6),IF(AH!$U$4=0,"unavailable",INDEX('Market Data'!$AP$5:$AP$66,AH!$U$4)),IF(AH!$U$5=1,INDEX('Live History'!$H$5:$H$3004,MATCH($A419,'Live History'!$G$5:$G$3004,1)),INDEX('AH History'!$B$5:$B$1380,$K419))),NA()),NA())</f>
        <v/>
      </c>
      <c r="I419" s="34">
        <f>IFERROR(IF(ISNUMBER($A419),IF(AND(AH!$U$12=1,414+1=AH!$U$6),TODAY(),IF(AH!$U$5=1,INDEX('Live History'!$G$5:$G$3004,MATCH($A419,'Live History'!$G$5:$G$3004,1)),INDEX('AH History'!$C$5:$C$1380,$K419))),NA()),NA())</f>
        <v/>
      </c>
      <c r="J419" s="32">
        <f>IFERROR(IF(AND($F419&gt;0,$H419&gt;0,$A419-$G419&lt;=10,$A419-$I419&lt;=5,$G419&gt;0,$I419&gt;0),$F419*$H419,NA()),NA())</f>
        <v/>
      </c>
      <c r="K419" s="15">
        <f>IF($A419="","",IF(AH!$U$5=1,IFERROR(MATCH($A419,'Live History'!$A$5:$A$3004,0),0),AH!$U$7+414))</f>
        <v/>
      </c>
      <c r="L419" s="15">
        <f>IF(ISNUMBER(A419),TEXT(A419,"dd-mmm-yy"),"")</f>
        <v/>
      </c>
    </row>
    <row r="420">
      <c r="A420" s="14">
        <f>IF(OR(AH!$U$4=0,415+1&gt;AH!$U$6,AND(AH!$M$5="Bloomberg",AH!$U$5=0)),"",IFERROR(IF(AND(AH!$U$12=1,415+1=AH!$U$6),TODAY(),IF(AH!$U$5=1,INDEX('Live History'!$A$5:$A$3004,AH!$U$7+415),INDEX('AH History'!$A$5:$A$1380,AH!$U$7+415))),""))</f>
        <v/>
      </c>
      <c r="B420" s="33">
        <f>IFERROR(IF(AH!$U$11=1,NA(),$J420/$E420-1),NA())</f>
        <v/>
      </c>
      <c r="C420" s="269">
        <f>IFERROR(100*$E420/$E$5,NA())</f>
        <v/>
      </c>
      <c r="D420" s="269">
        <f>IFERROR(100*$J420/$J$5,NA())</f>
        <v/>
      </c>
      <c r="E420" s="32">
        <f>IFERROR(IF(AND(ISNUMBER($A420),N(IF(AND(AH!$U$12=1,415+1=AH!$U$6),IF(AH!$U$4=0,"unavailable",INDEX('Market Data'!$AN$5:$AN$66,AH!$U$4)),IF(AH!$U$5=1,INDEX('Live History'!$B$5:$B$3004,$K420),INDEX('AH History'!$D$5:$GG$1380,$K420,AH!$U$10))))&gt;0),IF(AND(AH!$U$12=1,415+1=AH!$U$6),IF(AH!$U$4=0,"unavailable",INDEX('Market Data'!$AN$5:$AN$66,AH!$U$4)),IF(AH!$U$5=1,INDEX('Live History'!$B$5:$B$3004,$K420),INDEX('AH History'!$D$5:$GG$1380,$K420,AH!$U$10))),NA()),NA())</f>
        <v/>
      </c>
      <c r="F420" s="32">
        <f>IFERROR(IF(ISNUMBER($A420),IF(AND(AH!$U$12=1,415+1=AH!$U$6),IF(AH!$U$4=0,"unavailable",INDEX('Market Data'!$AO$5:$AO$66,AH!$U$4)),IF(AH!$U$5=1,INDEX('Live History'!$E$5:$E$3004,MATCH($A420,'Live History'!$D$5:$D$3004,1)),INDEX('AH History'!$D$5:$GG$1380,$K420,AH!$U$10+1))),NA()),NA())</f>
        <v/>
      </c>
      <c r="G420" s="34">
        <f>IFERROR(IF(ISNUMBER($A420),IF(AND(AH!$U$12=1,415+1=AH!$U$6),IF(AH!$U$4=0,"unavailable",INDEX('Market Data'!$AK$5:$AK$66,AH!$U$4)),IF(AH!$U$5=1,INDEX('Live History'!$D$5:$D$3004,MATCH($A420,'Live History'!$D$5:$D$3004,1)),INDEX('AH History'!$D$5:$GG$1380,$K420,AH!$U$10+2))),NA()),NA())</f>
        <v/>
      </c>
      <c r="H420" s="266">
        <f>IFERROR(IF(ISNUMBER($A420),IF(AND(AH!$U$12=1,415+1=AH!$U$6),IF(AH!$U$4=0,"unavailable",INDEX('Market Data'!$AP$5:$AP$66,AH!$U$4)),IF(AH!$U$5=1,INDEX('Live History'!$H$5:$H$3004,MATCH($A420,'Live History'!$G$5:$G$3004,1)),INDEX('AH History'!$B$5:$B$1380,$K420))),NA()),NA())</f>
        <v/>
      </c>
      <c r="I420" s="34">
        <f>IFERROR(IF(ISNUMBER($A420),IF(AND(AH!$U$12=1,415+1=AH!$U$6),TODAY(),IF(AH!$U$5=1,INDEX('Live History'!$G$5:$G$3004,MATCH($A420,'Live History'!$G$5:$G$3004,1)),INDEX('AH History'!$C$5:$C$1380,$K420))),NA()),NA())</f>
        <v/>
      </c>
      <c r="J420" s="32">
        <f>IFERROR(IF(AND($F420&gt;0,$H420&gt;0,$A420-$G420&lt;=10,$A420-$I420&lt;=5,$G420&gt;0,$I420&gt;0),$F420*$H420,NA()),NA())</f>
        <v/>
      </c>
      <c r="K420" s="15">
        <f>IF($A420="","",IF(AH!$U$5=1,IFERROR(MATCH($A420,'Live History'!$A$5:$A$3004,0),0),AH!$U$7+415))</f>
        <v/>
      </c>
      <c r="L420" s="15">
        <f>IF(ISNUMBER(A420),TEXT(A420,"dd-mmm-yy"),"")</f>
        <v/>
      </c>
    </row>
    <row r="421">
      <c r="A421" s="14">
        <f>IF(OR(AH!$U$4=0,416+1&gt;AH!$U$6,AND(AH!$M$5="Bloomberg",AH!$U$5=0)),"",IFERROR(IF(AND(AH!$U$12=1,416+1=AH!$U$6),TODAY(),IF(AH!$U$5=1,INDEX('Live History'!$A$5:$A$3004,AH!$U$7+416),INDEX('AH History'!$A$5:$A$1380,AH!$U$7+416))),""))</f>
        <v/>
      </c>
      <c r="B421" s="33">
        <f>IFERROR(IF(AH!$U$11=1,NA(),$J421/$E421-1),NA())</f>
        <v/>
      </c>
      <c r="C421" s="269">
        <f>IFERROR(100*$E421/$E$5,NA())</f>
        <v/>
      </c>
      <c r="D421" s="269">
        <f>IFERROR(100*$J421/$J$5,NA())</f>
        <v/>
      </c>
      <c r="E421" s="32">
        <f>IFERROR(IF(AND(ISNUMBER($A421),N(IF(AND(AH!$U$12=1,416+1=AH!$U$6),IF(AH!$U$4=0,"unavailable",INDEX('Market Data'!$AN$5:$AN$66,AH!$U$4)),IF(AH!$U$5=1,INDEX('Live History'!$B$5:$B$3004,$K421),INDEX('AH History'!$D$5:$GG$1380,$K421,AH!$U$10))))&gt;0),IF(AND(AH!$U$12=1,416+1=AH!$U$6),IF(AH!$U$4=0,"unavailable",INDEX('Market Data'!$AN$5:$AN$66,AH!$U$4)),IF(AH!$U$5=1,INDEX('Live History'!$B$5:$B$3004,$K421),INDEX('AH History'!$D$5:$GG$1380,$K421,AH!$U$10))),NA()),NA())</f>
        <v/>
      </c>
      <c r="F421" s="32">
        <f>IFERROR(IF(ISNUMBER($A421),IF(AND(AH!$U$12=1,416+1=AH!$U$6),IF(AH!$U$4=0,"unavailable",INDEX('Market Data'!$AO$5:$AO$66,AH!$U$4)),IF(AH!$U$5=1,INDEX('Live History'!$E$5:$E$3004,MATCH($A421,'Live History'!$D$5:$D$3004,1)),INDEX('AH History'!$D$5:$GG$1380,$K421,AH!$U$10+1))),NA()),NA())</f>
        <v/>
      </c>
      <c r="G421" s="34">
        <f>IFERROR(IF(ISNUMBER($A421),IF(AND(AH!$U$12=1,416+1=AH!$U$6),IF(AH!$U$4=0,"unavailable",INDEX('Market Data'!$AK$5:$AK$66,AH!$U$4)),IF(AH!$U$5=1,INDEX('Live History'!$D$5:$D$3004,MATCH($A421,'Live History'!$D$5:$D$3004,1)),INDEX('AH History'!$D$5:$GG$1380,$K421,AH!$U$10+2))),NA()),NA())</f>
        <v/>
      </c>
      <c r="H421" s="266">
        <f>IFERROR(IF(ISNUMBER($A421),IF(AND(AH!$U$12=1,416+1=AH!$U$6),IF(AH!$U$4=0,"unavailable",INDEX('Market Data'!$AP$5:$AP$66,AH!$U$4)),IF(AH!$U$5=1,INDEX('Live History'!$H$5:$H$3004,MATCH($A421,'Live History'!$G$5:$G$3004,1)),INDEX('AH History'!$B$5:$B$1380,$K421))),NA()),NA())</f>
        <v/>
      </c>
      <c r="I421" s="34">
        <f>IFERROR(IF(ISNUMBER($A421),IF(AND(AH!$U$12=1,416+1=AH!$U$6),TODAY(),IF(AH!$U$5=1,INDEX('Live History'!$G$5:$G$3004,MATCH($A421,'Live History'!$G$5:$G$3004,1)),INDEX('AH History'!$C$5:$C$1380,$K421))),NA()),NA())</f>
        <v/>
      </c>
      <c r="J421" s="32">
        <f>IFERROR(IF(AND($F421&gt;0,$H421&gt;0,$A421-$G421&lt;=10,$A421-$I421&lt;=5,$G421&gt;0,$I421&gt;0),$F421*$H421,NA()),NA())</f>
        <v/>
      </c>
      <c r="K421" s="15">
        <f>IF($A421="","",IF(AH!$U$5=1,IFERROR(MATCH($A421,'Live History'!$A$5:$A$3004,0),0),AH!$U$7+416))</f>
        <v/>
      </c>
      <c r="L421" s="15">
        <f>IF(ISNUMBER(A421),TEXT(A421,"dd-mmm-yy"),"")</f>
        <v/>
      </c>
    </row>
    <row r="422">
      <c r="A422" s="14">
        <f>IF(OR(AH!$U$4=0,417+1&gt;AH!$U$6,AND(AH!$M$5="Bloomberg",AH!$U$5=0)),"",IFERROR(IF(AND(AH!$U$12=1,417+1=AH!$U$6),TODAY(),IF(AH!$U$5=1,INDEX('Live History'!$A$5:$A$3004,AH!$U$7+417),INDEX('AH History'!$A$5:$A$1380,AH!$U$7+417))),""))</f>
        <v/>
      </c>
      <c r="B422" s="33">
        <f>IFERROR(IF(AH!$U$11=1,NA(),$J422/$E422-1),NA())</f>
        <v/>
      </c>
      <c r="C422" s="269">
        <f>IFERROR(100*$E422/$E$5,NA())</f>
        <v/>
      </c>
      <c r="D422" s="269">
        <f>IFERROR(100*$J422/$J$5,NA())</f>
        <v/>
      </c>
      <c r="E422" s="32">
        <f>IFERROR(IF(AND(ISNUMBER($A422),N(IF(AND(AH!$U$12=1,417+1=AH!$U$6),IF(AH!$U$4=0,"unavailable",INDEX('Market Data'!$AN$5:$AN$66,AH!$U$4)),IF(AH!$U$5=1,INDEX('Live History'!$B$5:$B$3004,$K422),INDEX('AH History'!$D$5:$GG$1380,$K422,AH!$U$10))))&gt;0),IF(AND(AH!$U$12=1,417+1=AH!$U$6),IF(AH!$U$4=0,"unavailable",INDEX('Market Data'!$AN$5:$AN$66,AH!$U$4)),IF(AH!$U$5=1,INDEX('Live History'!$B$5:$B$3004,$K422),INDEX('AH History'!$D$5:$GG$1380,$K422,AH!$U$10))),NA()),NA())</f>
        <v/>
      </c>
      <c r="F422" s="32">
        <f>IFERROR(IF(ISNUMBER($A422),IF(AND(AH!$U$12=1,417+1=AH!$U$6),IF(AH!$U$4=0,"unavailable",INDEX('Market Data'!$AO$5:$AO$66,AH!$U$4)),IF(AH!$U$5=1,INDEX('Live History'!$E$5:$E$3004,MATCH($A422,'Live History'!$D$5:$D$3004,1)),INDEX('AH History'!$D$5:$GG$1380,$K422,AH!$U$10+1))),NA()),NA())</f>
        <v/>
      </c>
      <c r="G422" s="34">
        <f>IFERROR(IF(ISNUMBER($A422),IF(AND(AH!$U$12=1,417+1=AH!$U$6),IF(AH!$U$4=0,"unavailable",INDEX('Market Data'!$AK$5:$AK$66,AH!$U$4)),IF(AH!$U$5=1,INDEX('Live History'!$D$5:$D$3004,MATCH($A422,'Live History'!$D$5:$D$3004,1)),INDEX('AH History'!$D$5:$GG$1380,$K422,AH!$U$10+2))),NA()),NA())</f>
        <v/>
      </c>
      <c r="H422" s="266">
        <f>IFERROR(IF(ISNUMBER($A422),IF(AND(AH!$U$12=1,417+1=AH!$U$6),IF(AH!$U$4=0,"unavailable",INDEX('Market Data'!$AP$5:$AP$66,AH!$U$4)),IF(AH!$U$5=1,INDEX('Live History'!$H$5:$H$3004,MATCH($A422,'Live History'!$G$5:$G$3004,1)),INDEX('AH History'!$B$5:$B$1380,$K422))),NA()),NA())</f>
        <v/>
      </c>
      <c r="I422" s="34">
        <f>IFERROR(IF(ISNUMBER($A422),IF(AND(AH!$U$12=1,417+1=AH!$U$6),TODAY(),IF(AH!$U$5=1,INDEX('Live History'!$G$5:$G$3004,MATCH($A422,'Live History'!$G$5:$G$3004,1)),INDEX('AH History'!$C$5:$C$1380,$K422))),NA()),NA())</f>
        <v/>
      </c>
      <c r="J422" s="32">
        <f>IFERROR(IF(AND($F422&gt;0,$H422&gt;0,$A422-$G422&lt;=10,$A422-$I422&lt;=5,$G422&gt;0,$I422&gt;0),$F422*$H422,NA()),NA())</f>
        <v/>
      </c>
      <c r="K422" s="15">
        <f>IF($A422="","",IF(AH!$U$5=1,IFERROR(MATCH($A422,'Live History'!$A$5:$A$3004,0),0),AH!$U$7+417))</f>
        <v/>
      </c>
      <c r="L422" s="15">
        <f>IF(ISNUMBER(A422),TEXT(A422,"dd-mmm-yy"),"")</f>
        <v/>
      </c>
    </row>
    <row r="423">
      <c r="A423" s="14">
        <f>IF(OR(AH!$U$4=0,418+1&gt;AH!$U$6,AND(AH!$M$5="Bloomberg",AH!$U$5=0)),"",IFERROR(IF(AND(AH!$U$12=1,418+1=AH!$U$6),TODAY(),IF(AH!$U$5=1,INDEX('Live History'!$A$5:$A$3004,AH!$U$7+418),INDEX('AH History'!$A$5:$A$1380,AH!$U$7+418))),""))</f>
        <v/>
      </c>
      <c r="B423" s="33">
        <f>IFERROR(IF(AH!$U$11=1,NA(),$J423/$E423-1),NA())</f>
        <v/>
      </c>
      <c r="C423" s="269">
        <f>IFERROR(100*$E423/$E$5,NA())</f>
        <v/>
      </c>
      <c r="D423" s="269">
        <f>IFERROR(100*$J423/$J$5,NA())</f>
        <v/>
      </c>
      <c r="E423" s="32">
        <f>IFERROR(IF(AND(ISNUMBER($A423),N(IF(AND(AH!$U$12=1,418+1=AH!$U$6),IF(AH!$U$4=0,"unavailable",INDEX('Market Data'!$AN$5:$AN$66,AH!$U$4)),IF(AH!$U$5=1,INDEX('Live History'!$B$5:$B$3004,$K423),INDEX('AH History'!$D$5:$GG$1380,$K423,AH!$U$10))))&gt;0),IF(AND(AH!$U$12=1,418+1=AH!$U$6),IF(AH!$U$4=0,"unavailable",INDEX('Market Data'!$AN$5:$AN$66,AH!$U$4)),IF(AH!$U$5=1,INDEX('Live History'!$B$5:$B$3004,$K423),INDEX('AH History'!$D$5:$GG$1380,$K423,AH!$U$10))),NA()),NA())</f>
        <v/>
      </c>
      <c r="F423" s="32">
        <f>IFERROR(IF(ISNUMBER($A423),IF(AND(AH!$U$12=1,418+1=AH!$U$6),IF(AH!$U$4=0,"unavailable",INDEX('Market Data'!$AO$5:$AO$66,AH!$U$4)),IF(AH!$U$5=1,INDEX('Live History'!$E$5:$E$3004,MATCH($A423,'Live History'!$D$5:$D$3004,1)),INDEX('AH History'!$D$5:$GG$1380,$K423,AH!$U$10+1))),NA()),NA())</f>
        <v/>
      </c>
      <c r="G423" s="34">
        <f>IFERROR(IF(ISNUMBER($A423),IF(AND(AH!$U$12=1,418+1=AH!$U$6),IF(AH!$U$4=0,"unavailable",INDEX('Market Data'!$AK$5:$AK$66,AH!$U$4)),IF(AH!$U$5=1,INDEX('Live History'!$D$5:$D$3004,MATCH($A423,'Live History'!$D$5:$D$3004,1)),INDEX('AH History'!$D$5:$GG$1380,$K423,AH!$U$10+2))),NA()),NA())</f>
        <v/>
      </c>
      <c r="H423" s="266">
        <f>IFERROR(IF(ISNUMBER($A423),IF(AND(AH!$U$12=1,418+1=AH!$U$6),IF(AH!$U$4=0,"unavailable",INDEX('Market Data'!$AP$5:$AP$66,AH!$U$4)),IF(AH!$U$5=1,INDEX('Live History'!$H$5:$H$3004,MATCH($A423,'Live History'!$G$5:$G$3004,1)),INDEX('AH History'!$B$5:$B$1380,$K423))),NA()),NA())</f>
        <v/>
      </c>
      <c r="I423" s="34">
        <f>IFERROR(IF(ISNUMBER($A423),IF(AND(AH!$U$12=1,418+1=AH!$U$6),TODAY(),IF(AH!$U$5=1,INDEX('Live History'!$G$5:$G$3004,MATCH($A423,'Live History'!$G$5:$G$3004,1)),INDEX('AH History'!$C$5:$C$1380,$K423))),NA()),NA())</f>
        <v/>
      </c>
      <c r="J423" s="32">
        <f>IFERROR(IF(AND($F423&gt;0,$H423&gt;0,$A423-$G423&lt;=10,$A423-$I423&lt;=5,$G423&gt;0,$I423&gt;0),$F423*$H423,NA()),NA())</f>
        <v/>
      </c>
      <c r="K423" s="15">
        <f>IF($A423="","",IF(AH!$U$5=1,IFERROR(MATCH($A423,'Live History'!$A$5:$A$3004,0),0),AH!$U$7+418))</f>
        <v/>
      </c>
      <c r="L423" s="15">
        <f>IF(ISNUMBER(A423),TEXT(A423,"dd-mmm-yy"),"")</f>
        <v/>
      </c>
    </row>
    <row r="424">
      <c r="A424" s="14">
        <f>IF(OR(AH!$U$4=0,419+1&gt;AH!$U$6,AND(AH!$M$5="Bloomberg",AH!$U$5=0)),"",IFERROR(IF(AND(AH!$U$12=1,419+1=AH!$U$6),TODAY(),IF(AH!$U$5=1,INDEX('Live History'!$A$5:$A$3004,AH!$U$7+419),INDEX('AH History'!$A$5:$A$1380,AH!$U$7+419))),""))</f>
        <v/>
      </c>
      <c r="B424" s="33">
        <f>IFERROR(IF(AH!$U$11=1,NA(),$J424/$E424-1),NA())</f>
        <v/>
      </c>
      <c r="C424" s="269">
        <f>IFERROR(100*$E424/$E$5,NA())</f>
        <v/>
      </c>
      <c r="D424" s="269">
        <f>IFERROR(100*$J424/$J$5,NA())</f>
        <v/>
      </c>
      <c r="E424" s="32">
        <f>IFERROR(IF(AND(ISNUMBER($A424),N(IF(AND(AH!$U$12=1,419+1=AH!$U$6),IF(AH!$U$4=0,"unavailable",INDEX('Market Data'!$AN$5:$AN$66,AH!$U$4)),IF(AH!$U$5=1,INDEX('Live History'!$B$5:$B$3004,$K424),INDEX('AH History'!$D$5:$GG$1380,$K424,AH!$U$10))))&gt;0),IF(AND(AH!$U$12=1,419+1=AH!$U$6),IF(AH!$U$4=0,"unavailable",INDEX('Market Data'!$AN$5:$AN$66,AH!$U$4)),IF(AH!$U$5=1,INDEX('Live History'!$B$5:$B$3004,$K424),INDEX('AH History'!$D$5:$GG$1380,$K424,AH!$U$10))),NA()),NA())</f>
        <v/>
      </c>
      <c r="F424" s="32">
        <f>IFERROR(IF(ISNUMBER($A424),IF(AND(AH!$U$12=1,419+1=AH!$U$6),IF(AH!$U$4=0,"unavailable",INDEX('Market Data'!$AO$5:$AO$66,AH!$U$4)),IF(AH!$U$5=1,INDEX('Live History'!$E$5:$E$3004,MATCH($A424,'Live History'!$D$5:$D$3004,1)),INDEX('AH History'!$D$5:$GG$1380,$K424,AH!$U$10+1))),NA()),NA())</f>
        <v/>
      </c>
      <c r="G424" s="34">
        <f>IFERROR(IF(ISNUMBER($A424),IF(AND(AH!$U$12=1,419+1=AH!$U$6),IF(AH!$U$4=0,"unavailable",INDEX('Market Data'!$AK$5:$AK$66,AH!$U$4)),IF(AH!$U$5=1,INDEX('Live History'!$D$5:$D$3004,MATCH($A424,'Live History'!$D$5:$D$3004,1)),INDEX('AH History'!$D$5:$GG$1380,$K424,AH!$U$10+2))),NA()),NA())</f>
        <v/>
      </c>
      <c r="H424" s="266">
        <f>IFERROR(IF(ISNUMBER($A424),IF(AND(AH!$U$12=1,419+1=AH!$U$6),IF(AH!$U$4=0,"unavailable",INDEX('Market Data'!$AP$5:$AP$66,AH!$U$4)),IF(AH!$U$5=1,INDEX('Live History'!$H$5:$H$3004,MATCH($A424,'Live History'!$G$5:$G$3004,1)),INDEX('AH History'!$B$5:$B$1380,$K424))),NA()),NA())</f>
        <v/>
      </c>
      <c r="I424" s="34">
        <f>IFERROR(IF(ISNUMBER($A424),IF(AND(AH!$U$12=1,419+1=AH!$U$6),TODAY(),IF(AH!$U$5=1,INDEX('Live History'!$G$5:$G$3004,MATCH($A424,'Live History'!$G$5:$G$3004,1)),INDEX('AH History'!$C$5:$C$1380,$K424))),NA()),NA())</f>
        <v/>
      </c>
      <c r="J424" s="32">
        <f>IFERROR(IF(AND($F424&gt;0,$H424&gt;0,$A424-$G424&lt;=10,$A424-$I424&lt;=5,$G424&gt;0,$I424&gt;0),$F424*$H424,NA()),NA())</f>
        <v/>
      </c>
      <c r="K424" s="15">
        <f>IF($A424="","",IF(AH!$U$5=1,IFERROR(MATCH($A424,'Live History'!$A$5:$A$3004,0),0),AH!$U$7+419))</f>
        <v/>
      </c>
      <c r="L424" s="15">
        <f>IF(ISNUMBER(A424),TEXT(A424,"dd-mmm-yy"),"")</f>
        <v/>
      </c>
    </row>
    <row r="425">
      <c r="A425" s="14">
        <f>IF(OR(AH!$U$4=0,420+1&gt;AH!$U$6,AND(AH!$M$5="Bloomberg",AH!$U$5=0)),"",IFERROR(IF(AND(AH!$U$12=1,420+1=AH!$U$6),TODAY(),IF(AH!$U$5=1,INDEX('Live History'!$A$5:$A$3004,AH!$U$7+420),INDEX('AH History'!$A$5:$A$1380,AH!$U$7+420))),""))</f>
        <v/>
      </c>
      <c r="B425" s="33">
        <f>IFERROR(IF(AH!$U$11=1,NA(),$J425/$E425-1),NA())</f>
        <v/>
      </c>
      <c r="C425" s="269">
        <f>IFERROR(100*$E425/$E$5,NA())</f>
        <v/>
      </c>
      <c r="D425" s="269">
        <f>IFERROR(100*$J425/$J$5,NA())</f>
        <v/>
      </c>
      <c r="E425" s="32">
        <f>IFERROR(IF(AND(ISNUMBER($A425),N(IF(AND(AH!$U$12=1,420+1=AH!$U$6),IF(AH!$U$4=0,"unavailable",INDEX('Market Data'!$AN$5:$AN$66,AH!$U$4)),IF(AH!$U$5=1,INDEX('Live History'!$B$5:$B$3004,$K425),INDEX('AH History'!$D$5:$GG$1380,$K425,AH!$U$10))))&gt;0),IF(AND(AH!$U$12=1,420+1=AH!$U$6),IF(AH!$U$4=0,"unavailable",INDEX('Market Data'!$AN$5:$AN$66,AH!$U$4)),IF(AH!$U$5=1,INDEX('Live History'!$B$5:$B$3004,$K425),INDEX('AH History'!$D$5:$GG$1380,$K425,AH!$U$10))),NA()),NA())</f>
        <v/>
      </c>
      <c r="F425" s="32">
        <f>IFERROR(IF(ISNUMBER($A425),IF(AND(AH!$U$12=1,420+1=AH!$U$6),IF(AH!$U$4=0,"unavailable",INDEX('Market Data'!$AO$5:$AO$66,AH!$U$4)),IF(AH!$U$5=1,INDEX('Live History'!$E$5:$E$3004,MATCH($A425,'Live History'!$D$5:$D$3004,1)),INDEX('AH History'!$D$5:$GG$1380,$K425,AH!$U$10+1))),NA()),NA())</f>
        <v/>
      </c>
      <c r="G425" s="34">
        <f>IFERROR(IF(ISNUMBER($A425),IF(AND(AH!$U$12=1,420+1=AH!$U$6),IF(AH!$U$4=0,"unavailable",INDEX('Market Data'!$AK$5:$AK$66,AH!$U$4)),IF(AH!$U$5=1,INDEX('Live History'!$D$5:$D$3004,MATCH($A425,'Live History'!$D$5:$D$3004,1)),INDEX('AH History'!$D$5:$GG$1380,$K425,AH!$U$10+2))),NA()),NA())</f>
        <v/>
      </c>
      <c r="H425" s="266">
        <f>IFERROR(IF(ISNUMBER($A425),IF(AND(AH!$U$12=1,420+1=AH!$U$6),IF(AH!$U$4=0,"unavailable",INDEX('Market Data'!$AP$5:$AP$66,AH!$U$4)),IF(AH!$U$5=1,INDEX('Live History'!$H$5:$H$3004,MATCH($A425,'Live History'!$G$5:$G$3004,1)),INDEX('AH History'!$B$5:$B$1380,$K425))),NA()),NA())</f>
        <v/>
      </c>
      <c r="I425" s="34">
        <f>IFERROR(IF(ISNUMBER($A425),IF(AND(AH!$U$12=1,420+1=AH!$U$6),TODAY(),IF(AH!$U$5=1,INDEX('Live History'!$G$5:$G$3004,MATCH($A425,'Live History'!$G$5:$G$3004,1)),INDEX('AH History'!$C$5:$C$1380,$K425))),NA()),NA())</f>
        <v/>
      </c>
      <c r="J425" s="32">
        <f>IFERROR(IF(AND($F425&gt;0,$H425&gt;0,$A425-$G425&lt;=10,$A425-$I425&lt;=5,$G425&gt;0,$I425&gt;0),$F425*$H425,NA()),NA())</f>
        <v/>
      </c>
      <c r="K425" s="15">
        <f>IF($A425="","",IF(AH!$U$5=1,IFERROR(MATCH($A425,'Live History'!$A$5:$A$3004,0),0),AH!$U$7+420))</f>
        <v/>
      </c>
      <c r="L425" s="15">
        <f>IF(ISNUMBER(A425),TEXT(A425,"dd-mmm-yy"),"")</f>
        <v/>
      </c>
    </row>
    <row r="426">
      <c r="A426" s="14">
        <f>IF(OR(AH!$U$4=0,421+1&gt;AH!$U$6,AND(AH!$M$5="Bloomberg",AH!$U$5=0)),"",IFERROR(IF(AND(AH!$U$12=1,421+1=AH!$U$6),TODAY(),IF(AH!$U$5=1,INDEX('Live History'!$A$5:$A$3004,AH!$U$7+421),INDEX('AH History'!$A$5:$A$1380,AH!$U$7+421))),""))</f>
        <v/>
      </c>
      <c r="B426" s="33">
        <f>IFERROR(IF(AH!$U$11=1,NA(),$J426/$E426-1),NA())</f>
        <v/>
      </c>
      <c r="C426" s="269">
        <f>IFERROR(100*$E426/$E$5,NA())</f>
        <v/>
      </c>
      <c r="D426" s="269">
        <f>IFERROR(100*$J426/$J$5,NA())</f>
        <v/>
      </c>
      <c r="E426" s="32">
        <f>IFERROR(IF(AND(ISNUMBER($A426),N(IF(AND(AH!$U$12=1,421+1=AH!$U$6),IF(AH!$U$4=0,"unavailable",INDEX('Market Data'!$AN$5:$AN$66,AH!$U$4)),IF(AH!$U$5=1,INDEX('Live History'!$B$5:$B$3004,$K426),INDEX('AH History'!$D$5:$GG$1380,$K426,AH!$U$10))))&gt;0),IF(AND(AH!$U$12=1,421+1=AH!$U$6),IF(AH!$U$4=0,"unavailable",INDEX('Market Data'!$AN$5:$AN$66,AH!$U$4)),IF(AH!$U$5=1,INDEX('Live History'!$B$5:$B$3004,$K426),INDEX('AH History'!$D$5:$GG$1380,$K426,AH!$U$10))),NA()),NA())</f>
        <v/>
      </c>
      <c r="F426" s="32">
        <f>IFERROR(IF(ISNUMBER($A426),IF(AND(AH!$U$12=1,421+1=AH!$U$6),IF(AH!$U$4=0,"unavailable",INDEX('Market Data'!$AO$5:$AO$66,AH!$U$4)),IF(AH!$U$5=1,INDEX('Live History'!$E$5:$E$3004,MATCH($A426,'Live History'!$D$5:$D$3004,1)),INDEX('AH History'!$D$5:$GG$1380,$K426,AH!$U$10+1))),NA()),NA())</f>
        <v/>
      </c>
      <c r="G426" s="34">
        <f>IFERROR(IF(ISNUMBER($A426),IF(AND(AH!$U$12=1,421+1=AH!$U$6),IF(AH!$U$4=0,"unavailable",INDEX('Market Data'!$AK$5:$AK$66,AH!$U$4)),IF(AH!$U$5=1,INDEX('Live History'!$D$5:$D$3004,MATCH($A426,'Live History'!$D$5:$D$3004,1)),INDEX('AH History'!$D$5:$GG$1380,$K426,AH!$U$10+2))),NA()),NA())</f>
        <v/>
      </c>
      <c r="H426" s="266">
        <f>IFERROR(IF(ISNUMBER($A426),IF(AND(AH!$U$12=1,421+1=AH!$U$6),IF(AH!$U$4=0,"unavailable",INDEX('Market Data'!$AP$5:$AP$66,AH!$U$4)),IF(AH!$U$5=1,INDEX('Live History'!$H$5:$H$3004,MATCH($A426,'Live History'!$G$5:$G$3004,1)),INDEX('AH History'!$B$5:$B$1380,$K426))),NA()),NA())</f>
        <v/>
      </c>
      <c r="I426" s="34">
        <f>IFERROR(IF(ISNUMBER($A426),IF(AND(AH!$U$12=1,421+1=AH!$U$6),TODAY(),IF(AH!$U$5=1,INDEX('Live History'!$G$5:$G$3004,MATCH($A426,'Live History'!$G$5:$G$3004,1)),INDEX('AH History'!$C$5:$C$1380,$K426))),NA()),NA())</f>
        <v/>
      </c>
      <c r="J426" s="32">
        <f>IFERROR(IF(AND($F426&gt;0,$H426&gt;0,$A426-$G426&lt;=10,$A426-$I426&lt;=5,$G426&gt;0,$I426&gt;0),$F426*$H426,NA()),NA())</f>
        <v/>
      </c>
      <c r="K426" s="15">
        <f>IF($A426="","",IF(AH!$U$5=1,IFERROR(MATCH($A426,'Live History'!$A$5:$A$3004,0),0),AH!$U$7+421))</f>
        <v/>
      </c>
      <c r="L426" s="15">
        <f>IF(ISNUMBER(A426),TEXT(A426,"dd-mmm-yy"),"")</f>
        <v/>
      </c>
    </row>
    <row r="427">
      <c r="A427" s="14">
        <f>IF(OR(AH!$U$4=0,422+1&gt;AH!$U$6,AND(AH!$M$5="Bloomberg",AH!$U$5=0)),"",IFERROR(IF(AND(AH!$U$12=1,422+1=AH!$U$6),TODAY(),IF(AH!$U$5=1,INDEX('Live History'!$A$5:$A$3004,AH!$U$7+422),INDEX('AH History'!$A$5:$A$1380,AH!$U$7+422))),""))</f>
        <v/>
      </c>
      <c r="B427" s="33">
        <f>IFERROR(IF(AH!$U$11=1,NA(),$J427/$E427-1),NA())</f>
        <v/>
      </c>
      <c r="C427" s="269">
        <f>IFERROR(100*$E427/$E$5,NA())</f>
        <v/>
      </c>
      <c r="D427" s="269">
        <f>IFERROR(100*$J427/$J$5,NA())</f>
        <v/>
      </c>
      <c r="E427" s="32">
        <f>IFERROR(IF(AND(ISNUMBER($A427),N(IF(AND(AH!$U$12=1,422+1=AH!$U$6),IF(AH!$U$4=0,"unavailable",INDEX('Market Data'!$AN$5:$AN$66,AH!$U$4)),IF(AH!$U$5=1,INDEX('Live History'!$B$5:$B$3004,$K427),INDEX('AH History'!$D$5:$GG$1380,$K427,AH!$U$10))))&gt;0),IF(AND(AH!$U$12=1,422+1=AH!$U$6),IF(AH!$U$4=0,"unavailable",INDEX('Market Data'!$AN$5:$AN$66,AH!$U$4)),IF(AH!$U$5=1,INDEX('Live History'!$B$5:$B$3004,$K427),INDEX('AH History'!$D$5:$GG$1380,$K427,AH!$U$10))),NA()),NA())</f>
        <v/>
      </c>
      <c r="F427" s="32">
        <f>IFERROR(IF(ISNUMBER($A427),IF(AND(AH!$U$12=1,422+1=AH!$U$6),IF(AH!$U$4=0,"unavailable",INDEX('Market Data'!$AO$5:$AO$66,AH!$U$4)),IF(AH!$U$5=1,INDEX('Live History'!$E$5:$E$3004,MATCH($A427,'Live History'!$D$5:$D$3004,1)),INDEX('AH History'!$D$5:$GG$1380,$K427,AH!$U$10+1))),NA()),NA())</f>
        <v/>
      </c>
      <c r="G427" s="34">
        <f>IFERROR(IF(ISNUMBER($A427),IF(AND(AH!$U$12=1,422+1=AH!$U$6),IF(AH!$U$4=0,"unavailable",INDEX('Market Data'!$AK$5:$AK$66,AH!$U$4)),IF(AH!$U$5=1,INDEX('Live History'!$D$5:$D$3004,MATCH($A427,'Live History'!$D$5:$D$3004,1)),INDEX('AH History'!$D$5:$GG$1380,$K427,AH!$U$10+2))),NA()),NA())</f>
        <v/>
      </c>
      <c r="H427" s="266">
        <f>IFERROR(IF(ISNUMBER($A427),IF(AND(AH!$U$12=1,422+1=AH!$U$6),IF(AH!$U$4=0,"unavailable",INDEX('Market Data'!$AP$5:$AP$66,AH!$U$4)),IF(AH!$U$5=1,INDEX('Live History'!$H$5:$H$3004,MATCH($A427,'Live History'!$G$5:$G$3004,1)),INDEX('AH History'!$B$5:$B$1380,$K427))),NA()),NA())</f>
        <v/>
      </c>
      <c r="I427" s="34">
        <f>IFERROR(IF(ISNUMBER($A427),IF(AND(AH!$U$12=1,422+1=AH!$U$6),TODAY(),IF(AH!$U$5=1,INDEX('Live History'!$G$5:$G$3004,MATCH($A427,'Live History'!$G$5:$G$3004,1)),INDEX('AH History'!$C$5:$C$1380,$K427))),NA()),NA())</f>
        <v/>
      </c>
      <c r="J427" s="32">
        <f>IFERROR(IF(AND($F427&gt;0,$H427&gt;0,$A427-$G427&lt;=10,$A427-$I427&lt;=5,$G427&gt;0,$I427&gt;0),$F427*$H427,NA()),NA())</f>
        <v/>
      </c>
      <c r="K427" s="15">
        <f>IF($A427="","",IF(AH!$U$5=1,IFERROR(MATCH($A427,'Live History'!$A$5:$A$3004,0),0),AH!$U$7+422))</f>
        <v/>
      </c>
      <c r="L427" s="15">
        <f>IF(ISNUMBER(A427),TEXT(A427,"dd-mmm-yy"),"")</f>
        <v/>
      </c>
    </row>
    <row r="428">
      <c r="A428" s="14">
        <f>IF(OR(AH!$U$4=0,423+1&gt;AH!$U$6,AND(AH!$M$5="Bloomberg",AH!$U$5=0)),"",IFERROR(IF(AND(AH!$U$12=1,423+1=AH!$U$6),TODAY(),IF(AH!$U$5=1,INDEX('Live History'!$A$5:$A$3004,AH!$U$7+423),INDEX('AH History'!$A$5:$A$1380,AH!$U$7+423))),""))</f>
        <v/>
      </c>
      <c r="B428" s="33">
        <f>IFERROR(IF(AH!$U$11=1,NA(),$J428/$E428-1),NA())</f>
        <v/>
      </c>
      <c r="C428" s="269">
        <f>IFERROR(100*$E428/$E$5,NA())</f>
        <v/>
      </c>
      <c r="D428" s="269">
        <f>IFERROR(100*$J428/$J$5,NA())</f>
        <v/>
      </c>
      <c r="E428" s="32">
        <f>IFERROR(IF(AND(ISNUMBER($A428),N(IF(AND(AH!$U$12=1,423+1=AH!$U$6),IF(AH!$U$4=0,"unavailable",INDEX('Market Data'!$AN$5:$AN$66,AH!$U$4)),IF(AH!$U$5=1,INDEX('Live History'!$B$5:$B$3004,$K428),INDEX('AH History'!$D$5:$GG$1380,$K428,AH!$U$10))))&gt;0),IF(AND(AH!$U$12=1,423+1=AH!$U$6),IF(AH!$U$4=0,"unavailable",INDEX('Market Data'!$AN$5:$AN$66,AH!$U$4)),IF(AH!$U$5=1,INDEX('Live History'!$B$5:$B$3004,$K428),INDEX('AH History'!$D$5:$GG$1380,$K428,AH!$U$10))),NA()),NA())</f>
        <v/>
      </c>
      <c r="F428" s="32">
        <f>IFERROR(IF(ISNUMBER($A428),IF(AND(AH!$U$12=1,423+1=AH!$U$6),IF(AH!$U$4=0,"unavailable",INDEX('Market Data'!$AO$5:$AO$66,AH!$U$4)),IF(AH!$U$5=1,INDEX('Live History'!$E$5:$E$3004,MATCH($A428,'Live History'!$D$5:$D$3004,1)),INDEX('AH History'!$D$5:$GG$1380,$K428,AH!$U$10+1))),NA()),NA())</f>
        <v/>
      </c>
      <c r="G428" s="34">
        <f>IFERROR(IF(ISNUMBER($A428),IF(AND(AH!$U$12=1,423+1=AH!$U$6),IF(AH!$U$4=0,"unavailable",INDEX('Market Data'!$AK$5:$AK$66,AH!$U$4)),IF(AH!$U$5=1,INDEX('Live History'!$D$5:$D$3004,MATCH($A428,'Live History'!$D$5:$D$3004,1)),INDEX('AH History'!$D$5:$GG$1380,$K428,AH!$U$10+2))),NA()),NA())</f>
        <v/>
      </c>
      <c r="H428" s="266">
        <f>IFERROR(IF(ISNUMBER($A428),IF(AND(AH!$U$12=1,423+1=AH!$U$6),IF(AH!$U$4=0,"unavailable",INDEX('Market Data'!$AP$5:$AP$66,AH!$U$4)),IF(AH!$U$5=1,INDEX('Live History'!$H$5:$H$3004,MATCH($A428,'Live History'!$G$5:$G$3004,1)),INDEX('AH History'!$B$5:$B$1380,$K428))),NA()),NA())</f>
        <v/>
      </c>
      <c r="I428" s="34">
        <f>IFERROR(IF(ISNUMBER($A428),IF(AND(AH!$U$12=1,423+1=AH!$U$6),TODAY(),IF(AH!$U$5=1,INDEX('Live History'!$G$5:$G$3004,MATCH($A428,'Live History'!$G$5:$G$3004,1)),INDEX('AH History'!$C$5:$C$1380,$K428))),NA()),NA())</f>
        <v/>
      </c>
      <c r="J428" s="32">
        <f>IFERROR(IF(AND($F428&gt;0,$H428&gt;0,$A428-$G428&lt;=10,$A428-$I428&lt;=5,$G428&gt;0,$I428&gt;0),$F428*$H428,NA()),NA())</f>
        <v/>
      </c>
      <c r="K428" s="15">
        <f>IF($A428="","",IF(AH!$U$5=1,IFERROR(MATCH($A428,'Live History'!$A$5:$A$3004,0),0),AH!$U$7+423))</f>
        <v/>
      </c>
      <c r="L428" s="15">
        <f>IF(ISNUMBER(A428),TEXT(A428,"dd-mmm-yy"),"")</f>
        <v/>
      </c>
    </row>
    <row r="429">
      <c r="A429" s="14">
        <f>IF(OR(AH!$U$4=0,424+1&gt;AH!$U$6,AND(AH!$M$5="Bloomberg",AH!$U$5=0)),"",IFERROR(IF(AND(AH!$U$12=1,424+1=AH!$U$6),TODAY(),IF(AH!$U$5=1,INDEX('Live History'!$A$5:$A$3004,AH!$U$7+424),INDEX('AH History'!$A$5:$A$1380,AH!$U$7+424))),""))</f>
        <v/>
      </c>
      <c r="B429" s="33">
        <f>IFERROR(IF(AH!$U$11=1,NA(),$J429/$E429-1),NA())</f>
        <v/>
      </c>
      <c r="C429" s="269">
        <f>IFERROR(100*$E429/$E$5,NA())</f>
        <v/>
      </c>
      <c r="D429" s="269">
        <f>IFERROR(100*$J429/$J$5,NA())</f>
        <v/>
      </c>
      <c r="E429" s="32">
        <f>IFERROR(IF(AND(ISNUMBER($A429),N(IF(AND(AH!$U$12=1,424+1=AH!$U$6),IF(AH!$U$4=0,"unavailable",INDEX('Market Data'!$AN$5:$AN$66,AH!$U$4)),IF(AH!$U$5=1,INDEX('Live History'!$B$5:$B$3004,$K429),INDEX('AH History'!$D$5:$GG$1380,$K429,AH!$U$10))))&gt;0),IF(AND(AH!$U$12=1,424+1=AH!$U$6),IF(AH!$U$4=0,"unavailable",INDEX('Market Data'!$AN$5:$AN$66,AH!$U$4)),IF(AH!$U$5=1,INDEX('Live History'!$B$5:$B$3004,$K429),INDEX('AH History'!$D$5:$GG$1380,$K429,AH!$U$10))),NA()),NA())</f>
        <v/>
      </c>
      <c r="F429" s="32">
        <f>IFERROR(IF(ISNUMBER($A429),IF(AND(AH!$U$12=1,424+1=AH!$U$6),IF(AH!$U$4=0,"unavailable",INDEX('Market Data'!$AO$5:$AO$66,AH!$U$4)),IF(AH!$U$5=1,INDEX('Live History'!$E$5:$E$3004,MATCH($A429,'Live History'!$D$5:$D$3004,1)),INDEX('AH History'!$D$5:$GG$1380,$K429,AH!$U$10+1))),NA()),NA())</f>
        <v/>
      </c>
      <c r="G429" s="34">
        <f>IFERROR(IF(ISNUMBER($A429),IF(AND(AH!$U$12=1,424+1=AH!$U$6),IF(AH!$U$4=0,"unavailable",INDEX('Market Data'!$AK$5:$AK$66,AH!$U$4)),IF(AH!$U$5=1,INDEX('Live History'!$D$5:$D$3004,MATCH($A429,'Live History'!$D$5:$D$3004,1)),INDEX('AH History'!$D$5:$GG$1380,$K429,AH!$U$10+2))),NA()),NA())</f>
        <v/>
      </c>
      <c r="H429" s="266">
        <f>IFERROR(IF(ISNUMBER($A429),IF(AND(AH!$U$12=1,424+1=AH!$U$6),IF(AH!$U$4=0,"unavailable",INDEX('Market Data'!$AP$5:$AP$66,AH!$U$4)),IF(AH!$U$5=1,INDEX('Live History'!$H$5:$H$3004,MATCH($A429,'Live History'!$G$5:$G$3004,1)),INDEX('AH History'!$B$5:$B$1380,$K429))),NA()),NA())</f>
        <v/>
      </c>
      <c r="I429" s="34">
        <f>IFERROR(IF(ISNUMBER($A429),IF(AND(AH!$U$12=1,424+1=AH!$U$6),TODAY(),IF(AH!$U$5=1,INDEX('Live History'!$G$5:$G$3004,MATCH($A429,'Live History'!$G$5:$G$3004,1)),INDEX('AH History'!$C$5:$C$1380,$K429))),NA()),NA())</f>
        <v/>
      </c>
      <c r="J429" s="32">
        <f>IFERROR(IF(AND($F429&gt;0,$H429&gt;0,$A429-$G429&lt;=10,$A429-$I429&lt;=5,$G429&gt;0,$I429&gt;0),$F429*$H429,NA()),NA())</f>
        <v/>
      </c>
      <c r="K429" s="15">
        <f>IF($A429="","",IF(AH!$U$5=1,IFERROR(MATCH($A429,'Live History'!$A$5:$A$3004,0),0),AH!$U$7+424))</f>
        <v/>
      </c>
      <c r="L429" s="15">
        <f>IF(ISNUMBER(A429),TEXT(A429,"dd-mmm-yy"),"")</f>
        <v/>
      </c>
    </row>
    <row r="430">
      <c r="A430" s="14">
        <f>IF(OR(AH!$U$4=0,425+1&gt;AH!$U$6,AND(AH!$M$5="Bloomberg",AH!$U$5=0)),"",IFERROR(IF(AND(AH!$U$12=1,425+1=AH!$U$6),TODAY(),IF(AH!$U$5=1,INDEX('Live History'!$A$5:$A$3004,AH!$U$7+425),INDEX('AH History'!$A$5:$A$1380,AH!$U$7+425))),""))</f>
        <v/>
      </c>
      <c r="B430" s="33">
        <f>IFERROR(IF(AH!$U$11=1,NA(),$J430/$E430-1),NA())</f>
        <v/>
      </c>
      <c r="C430" s="269">
        <f>IFERROR(100*$E430/$E$5,NA())</f>
        <v/>
      </c>
      <c r="D430" s="269">
        <f>IFERROR(100*$J430/$J$5,NA())</f>
        <v/>
      </c>
      <c r="E430" s="32">
        <f>IFERROR(IF(AND(ISNUMBER($A430),N(IF(AND(AH!$U$12=1,425+1=AH!$U$6),IF(AH!$U$4=0,"unavailable",INDEX('Market Data'!$AN$5:$AN$66,AH!$U$4)),IF(AH!$U$5=1,INDEX('Live History'!$B$5:$B$3004,$K430),INDEX('AH History'!$D$5:$GG$1380,$K430,AH!$U$10))))&gt;0),IF(AND(AH!$U$12=1,425+1=AH!$U$6),IF(AH!$U$4=0,"unavailable",INDEX('Market Data'!$AN$5:$AN$66,AH!$U$4)),IF(AH!$U$5=1,INDEX('Live History'!$B$5:$B$3004,$K430),INDEX('AH History'!$D$5:$GG$1380,$K430,AH!$U$10))),NA()),NA())</f>
        <v/>
      </c>
      <c r="F430" s="32">
        <f>IFERROR(IF(ISNUMBER($A430),IF(AND(AH!$U$12=1,425+1=AH!$U$6),IF(AH!$U$4=0,"unavailable",INDEX('Market Data'!$AO$5:$AO$66,AH!$U$4)),IF(AH!$U$5=1,INDEX('Live History'!$E$5:$E$3004,MATCH($A430,'Live History'!$D$5:$D$3004,1)),INDEX('AH History'!$D$5:$GG$1380,$K430,AH!$U$10+1))),NA()),NA())</f>
        <v/>
      </c>
      <c r="G430" s="34">
        <f>IFERROR(IF(ISNUMBER($A430),IF(AND(AH!$U$12=1,425+1=AH!$U$6),IF(AH!$U$4=0,"unavailable",INDEX('Market Data'!$AK$5:$AK$66,AH!$U$4)),IF(AH!$U$5=1,INDEX('Live History'!$D$5:$D$3004,MATCH($A430,'Live History'!$D$5:$D$3004,1)),INDEX('AH History'!$D$5:$GG$1380,$K430,AH!$U$10+2))),NA()),NA())</f>
        <v/>
      </c>
      <c r="H430" s="266">
        <f>IFERROR(IF(ISNUMBER($A430),IF(AND(AH!$U$12=1,425+1=AH!$U$6),IF(AH!$U$4=0,"unavailable",INDEX('Market Data'!$AP$5:$AP$66,AH!$U$4)),IF(AH!$U$5=1,INDEX('Live History'!$H$5:$H$3004,MATCH($A430,'Live History'!$G$5:$G$3004,1)),INDEX('AH History'!$B$5:$B$1380,$K430))),NA()),NA())</f>
        <v/>
      </c>
      <c r="I430" s="34">
        <f>IFERROR(IF(ISNUMBER($A430),IF(AND(AH!$U$12=1,425+1=AH!$U$6),TODAY(),IF(AH!$U$5=1,INDEX('Live History'!$G$5:$G$3004,MATCH($A430,'Live History'!$G$5:$G$3004,1)),INDEX('AH History'!$C$5:$C$1380,$K430))),NA()),NA())</f>
        <v/>
      </c>
      <c r="J430" s="32">
        <f>IFERROR(IF(AND($F430&gt;0,$H430&gt;0,$A430-$G430&lt;=10,$A430-$I430&lt;=5,$G430&gt;0,$I430&gt;0),$F430*$H430,NA()),NA())</f>
        <v/>
      </c>
      <c r="K430" s="15">
        <f>IF($A430="","",IF(AH!$U$5=1,IFERROR(MATCH($A430,'Live History'!$A$5:$A$3004,0),0),AH!$U$7+425))</f>
        <v/>
      </c>
      <c r="L430" s="15">
        <f>IF(ISNUMBER(A430),TEXT(A430,"dd-mmm-yy"),"")</f>
        <v/>
      </c>
    </row>
    <row r="431">
      <c r="A431" s="14">
        <f>IF(OR(AH!$U$4=0,426+1&gt;AH!$U$6,AND(AH!$M$5="Bloomberg",AH!$U$5=0)),"",IFERROR(IF(AND(AH!$U$12=1,426+1=AH!$U$6),TODAY(),IF(AH!$U$5=1,INDEX('Live History'!$A$5:$A$3004,AH!$U$7+426),INDEX('AH History'!$A$5:$A$1380,AH!$U$7+426))),""))</f>
        <v/>
      </c>
      <c r="B431" s="33">
        <f>IFERROR(IF(AH!$U$11=1,NA(),$J431/$E431-1),NA())</f>
        <v/>
      </c>
      <c r="C431" s="269">
        <f>IFERROR(100*$E431/$E$5,NA())</f>
        <v/>
      </c>
      <c r="D431" s="269">
        <f>IFERROR(100*$J431/$J$5,NA())</f>
        <v/>
      </c>
      <c r="E431" s="32">
        <f>IFERROR(IF(AND(ISNUMBER($A431),N(IF(AND(AH!$U$12=1,426+1=AH!$U$6),IF(AH!$U$4=0,"unavailable",INDEX('Market Data'!$AN$5:$AN$66,AH!$U$4)),IF(AH!$U$5=1,INDEX('Live History'!$B$5:$B$3004,$K431),INDEX('AH History'!$D$5:$GG$1380,$K431,AH!$U$10))))&gt;0),IF(AND(AH!$U$12=1,426+1=AH!$U$6),IF(AH!$U$4=0,"unavailable",INDEX('Market Data'!$AN$5:$AN$66,AH!$U$4)),IF(AH!$U$5=1,INDEX('Live History'!$B$5:$B$3004,$K431),INDEX('AH History'!$D$5:$GG$1380,$K431,AH!$U$10))),NA()),NA())</f>
        <v/>
      </c>
      <c r="F431" s="32">
        <f>IFERROR(IF(ISNUMBER($A431),IF(AND(AH!$U$12=1,426+1=AH!$U$6),IF(AH!$U$4=0,"unavailable",INDEX('Market Data'!$AO$5:$AO$66,AH!$U$4)),IF(AH!$U$5=1,INDEX('Live History'!$E$5:$E$3004,MATCH($A431,'Live History'!$D$5:$D$3004,1)),INDEX('AH History'!$D$5:$GG$1380,$K431,AH!$U$10+1))),NA()),NA())</f>
        <v/>
      </c>
      <c r="G431" s="34">
        <f>IFERROR(IF(ISNUMBER($A431),IF(AND(AH!$U$12=1,426+1=AH!$U$6),IF(AH!$U$4=0,"unavailable",INDEX('Market Data'!$AK$5:$AK$66,AH!$U$4)),IF(AH!$U$5=1,INDEX('Live History'!$D$5:$D$3004,MATCH($A431,'Live History'!$D$5:$D$3004,1)),INDEX('AH History'!$D$5:$GG$1380,$K431,AH!$U$10+2))),NA()),NA())</f>
        <v/>
      </c>
      <c r="H431" s="266">
        <f>IFERROR(IF(ISNUMBER($A431),IF(AND(AH!$U$12=1,426+1=AH!$U$6),IF(AH!$U$4=0,"unavailable",INDEX('Market Data'!$AP$5:$AP$66,AH!$U$4)),IF(AH!$U$5=1,INDEX('Live History'!$H$5:$H$3004,MATCH($A431,'Live History'!$G$5:$G$3004,1)),INDEX('AH History'!$B$5:$B$1380,$K431))),NA()),NA())</f>
        <v/>
      </c>
      <c r="I431" s="34">
        <f>IFERROR(IF(ISNUMBER($A431),IF(AND(AH!$U$12=1,426+1=AH!$U$6),TODAY(),IF(AH!$U$5=1,INDEX('Live History'!$G$5:$G$3004,MATCH($A431,'Live History'!$G$5:$G$3004,1)),INDEX('AH History'!$C$5:$C$1380,$K431))),NA()),NA())</f>
        <v/>
      </c>
      <c r="J431" s="32">
        <f>IFERROR(IF(AND($F431&gt;0,$H431&gt;0,$A431-$G431&lt;=10,$A431-$I431&lt;=5,$G431&gt;0,$I431&gt;0),$F431*$H431,NA()),NA())</f>
        <v/>
      </c>
      <c r="K431" s="15">
        <f>IF($A431="","",IF(AH!$U$5=1,IFERROR(MATCH($A431,'Live History'!$A$5:$A$3004,0),0),AH!$U$7+426))</f>
        <v/>
      </c>
      <c r="L431" s="15">
        <f>IF(ISNUMBER(A431),TEXT(A431,"dd-mmm-yy"),"")</f>
        <v/>
      </c>
    </row>
    <row r="432">
      <c r="A432" s="14">
        <f>IF(OR(AH!$U$4=0,427+1&gt;AH!$U$6,AND(AH!$M$5="Bloomberg",AH!$U$5=0)),"",IFERROR(IF(AND(AH!$U$12=1,427+1=AH!$U$6),TODAY(),IF(AH!$U$5=1,INDEX('Live History'!$A$5:$A$3004,AH!$U$7+427),INDEX('AH History'!$A$5:$A$1380,AH!$U$7+427))),""))</f>
        <v/>
      </c>
      <c r="B432" s="33">
        <f>IFERROR(IF(AH!$U$11=1,NA(),$J432/$E432-1),NA())</f>
        <v/>
      </c>
      <c r="C432" s="269">
        <f>IFERROR(100*$E432/$E$5,NA())</f>
        <v/>
      </c>
      <c r="D432" s="269">
        <f>IFERROR(100*$J432/$J$5,NA())</f>
        <v/>
      </c>
      <c r="E432" s="32">
        <f>IFERROR(IF(AND(ISNUMBER($A432),N(IF(AND(AH!$U$12=1,427+1=AH!$U$6),IF(AH!$U$4=0,"unavailable",INDEX('Market Data'!$AN$5:$AN$66,AH!$U$4)),IF(AH!$U$5=1,INDEX('Live History'!$B$5:$B$3004,$K432),INDEX('AH History'!$D$5:$GG$1380,$K432,AH!$U$10))))&gt;0),IF(AND(AH!$U$12=1,427+1=AH!$U$6),IF(AH!$U$4=0,"unavailable",INDEX('Market Data'!$AN$5:$AN$66,AH!$U$4)),IF(AH!$U$5=1,INDEX('Live History'!$B$5:$B$3004,$K432),INDEX('AH History'!$D$5:$GG$1380,$K432,AH!$U$10))),NA()),NA())</f>
        <v/>
      </c>
      <c r="F432" s="32">
        <f>IFERROR(IF(ISNUMBER($A432),IF(AND(AH!$U$12=1,427+1=AH!$U$6),IF(AH!$U$4=0,"unavailable",INDEX('Market Data'!$AO$5:$AO$66,AH!$U$4)),IF(AH!$U$5=1,INDEX('Live History'!$E$5:$E$3004,MATCH($A432,'Live History'!$D$5:$D$3004,1)),INDEX('AH History'!$D$5:$GG$1380,$K432,AH!$U$10+1))),NA()),NA())</f>
        <v/>
      </c>
      <c r="G432" s="34">
        <f>IFERROR(IF(ISNUMBER($A432),IF(AND(AH!$U$12=1,427+1=AH!$U$6),IF(AH!$U$4=0,"unavailable",INDEX('Market Data'!$AK$5:$AK$66,AH!$U$4)),IF(AH!$U$5=1,INDEX('Live History'!$D$5:$D$3004,MATCH($A432,'Live History'!$D$5:$D$3004,1)),INDEX('AH History'!$D$5:$GG$1380,$K432,AH!$U$10+2))),NA()),NA())</f>
        <v/>
      </c>
      <c r="H432" s="266">
        <f>IFERROR(IF(ISNUMBER($A432),IF(AND(AH!$U$12=1,427+1=AH!$U$6),IF(AH!$U$4=0,"unavailable",INDEX('Market Data'!$AP$5:$AP$66,AH!$U$4)),IF(AH!$U$5=1,INDEX('Live History'!$H$5:$H$3004,MATCH($A432,'Live History'!$G$5:$G$3004,1)),INDEX('AH History'!$B$5:$B$1380,$K432))),NA()),NA())</f>
        <v/>
      </c>
      <c r="I432" s="34">
        <f>IFERROR(IF(ISNUMBER($A432),IF(AND(AH!$U$12=1,427+1=AH!$U$6),TODAY(),IF(AH!$U$5=1,INDEX('Live History'!$G$5:$G$3004,MATCH($A432,'Live History'!$G$5:$G$3004,1)),INDEX('AH History'!$C$5:$C$1380,$K432))),NA()),NA())</f>
        <v/>
      </c>
      <c r="J432" s="32">
        <f>IFERROR(IF(AND($F432&gt;0,$H432&gt;0,$A432-$G432&lt;=10,$A432-$I432&lt;=5,$G432&gt;0,$I432&gt;0),$F432*$H432,NA()),NA())</f>
        <v/>
      </c>
      <c r="K432" s="15">
        <f>IF($A432="","",IF(AH!$U$5=1,IFERROR(MATCH($A432,'Live History'!$A$5:$A$3004,0),0),AH!$U$7+427))</f>
        <v/>
      </c>
      <c r="L432" s="15">
        <f>IF(ISNUMBER(A432),TEXT(A432,"dd-mmm-yy"),"")</f>
        <v/>
      </c>
    </row>
    <row r="433">
      <c r="A433" s="14">
        <f>IF(OR(AH!$U$4=0,428+1&gt;AH!$U$6,AND(AH!$M$5="Bloomberg",AH!$U$5=0)),"",IFERROR(IF(AND(AH!$U$12=1,428+1=AH!$U$6),TODAY(),IF(AH!$U$5=1,INDEX('Live History'!$A$5:$A$3004,AH!$U$7+428),INDEX('AH History'!$A$5:$A$1380,AH!$U$7+428))),""))</f>
        <v/>
      </c>
      <c r="B433" s="33">
        <f>IFERROR(IF(AH!$U$11=1,NA(),$J433/$E433-1),NA())</f>
        <v/>
      </c>
      <c r="C433" s="269">
        <f>IFERROR(100*$E433/$E$5,NA())</f>
        <v/>
      </c>
      <c r="D433" s="269">
        <f>IFERROR(100*$J433/$J$5,NA())</f>
        <v/>
      </c>
      <c r="E433" s="32">
        <f>IFERROR(IF(AND(ISNUMBER($A433),N(IF(AND(AH!$U$12=1,428+1=AH!$U$6),IF(AH!$U$4=0,"unavailable",INDEX('Market Data'!$AN$5:$AN$66,AH!$U$4)),IF(AH!$U$5=1,INDEX('Live History'!$B$5:$B$3004,$K433),INDEX('AH History'!$D$5:$GG$1380,$K433,AH!$U$10))))&gt;0),IF(AND(AH!$U$12=1,428+1=AH!$U$6),IF(AH!$U$4=0,"unavailable",INDEX('Market Data'!$AN$5:$AN$66,AH!$U$4)),IF(AH!$U$5=1,INDEX('Live History'!$B$5:$B$3004,$K433),INDEX('AH History'!$D$5:$GG$1380,$K433,AH!$U$10))),NA()),NA())</f>
        <v/>
      </c>
      <c r="F433" s="32">
        <f>IFERROR(IF(ISNUMBER($A433),IF(AND(AH!$U$12=1,428+1=AH!$U$6),IF(AH!$U$4=0,"unavailable",INDEX('Market Data'!$AO$5:$AO$66,AH!$U$4)),IF(AH!$U$5=1,INDEX('Live History'!$E$5:$E$3004,MATCH($A433,'Live History'!$D$5:$D$3004,1)),INDEX('AH History'!$D$5:$GG$1380,$K433,AH!$U$10+1))),NA()),NA())</f>
        <v/>
      </c>
      <c r="G433" s="34">
        <f>IFERROR(IF(ISNUMBER($A433),IF(AND(AH!$U$12=1,428+1=AH!$U$6),IF(AH!$U$4=0,"unavailable",INDEX('Market Data'!$AK$5:$AK$66,AH!$U$4)),IF(AH!$U$5=1,INDEX('Live History'!$D$5:$D$3004,MATCH($A433,'Live History'!$D$5:$D$3004,1)),INDEX('AH History'!$D$5:$GG$1380,$K433,AH!$U$10+2))),NA()),NA())</f>
        <v/>
      </c>
      <c r="H433" s="266">
        <f>IFERROR(IF(ISNUMBER($A433),IF(AND(AH!$U$12=1,428+1=AH!$U$6),IF(AH!$U$4=0,"unavailable",INDEX('Market Data'!$AP$5:$AP$66,AH!$U$4)),IF(AH!$U$5=1,INDEX('Live History'!$H$5:$H$3004,MATCH($A433,'Live History'!$G$5:$G$3004,1)),INDEX('AH History'!$B$5:$B$1380,$K433))),NA()),NA())</f>
        <v/>
      </c>
      <c r="I433" s="34">
        <f>IFERROR(IF(ISNUMBER($A433),IF(AND(AH!$U$12=1,428+1=AH!$U$6),TODAY(),IF(AH!$U$5=1,INDEX('Live History'!$G$5:$G$3004,MATCH($A433,'Live History'!$G$5:$G$3004,1)),INDEX('AH History'!$C$5:$C$1380,$K433))),NA()),NA())</f>
        <v/>
      </c>
      <c r="J433" s="32">
        <f>IFERROR(IF(AND($F433&gt;0,$H433&gt;0,$A433-$G433&lt;=10,$A433-$I433&lt;=5,$G433&gt;0,$I433&gt;0),$F433*$H433,NA()),NA())</f>
        <v/>
      </c>
      <c r="K433" s="15">
        <f>IF($A433="","",IF(AH!$U$5=1,IFERROR(MATCH($A433,'Live History'!$A$5:$A$3004,0),0),AH!$U$7+428))</f>
        <v/>
      </c>
      <c r="L433" s="15">
        <f>IF(ISNUMBER(A433),TEXT(A433,"dd-mmm-yy"),"")</f>
        <v/>
      </c>
    </row>
    <row r="434">
      <c r="A434" s="14">
        <f>IF(OR(AH!$U$4=0,429+1&gt;AH!$U$6,AND(AH!$M$5="Bloomberg",AH!$U$5=0)),"",IFERROR(IF(AND(AH!$U$12=1,429+1=AH!$U$6),TODAY(),IF(AH!$U$5=1,INDEX('Live History'!$A$5:$A$3004,AH!$U$7+429),INDEX('AH History'!$A$5:$A$1380,AH!$U$7+429))),""))</f>
        <v/>
      </c>
      <c r="B434" s="33">
        <f>IFERROR(IF(AH!$U$11=1,NA(),$J434/$E434-1),NA())</f>
        <v/>
      </c>
      <c r="C434" s="269">
        <f>IFERROR(100*$E434/$E$5,NA())</f>
        <v/>
      </c>
      <c r="D434" s="269">
        <f>IFERROR(100*$J434/$J$5,NA())</f>
        <v/>
      </c>
      <c r="E434" s="32">
        <f>IFERROR(IF(AND(ISNUMBER($A434),N(IF(AND(AH!$U$12=1,429+1=AH!$U$6),IF(AH!$U$4=0,"unavailable",INDEX('Market Data'!$AN$5:$AN$66,AH!$U$4)),IF(AH!$U$5=1,INDEX('Live History'!$B$5:$B$3004,$K434),INDEX('AH History'!$D$5:$GG$1380,$K434,AH!$U$10))))&gt;0),IF(AND(AH!$U$12=1,429+1=AH!$U$6),IF(AH!$U$4=0,"unavailable",INDEX('Market Data'!$AN$5:$AN$66,AH!$U$4)),IF(AH!$U$5=1,INDEX('Live History'!$B$5:$B$3004,$K434),INDEX('AH History'!$D$5:$GG$1380,$K434,AH!$U$10))),NA()),NA())</f>
        <v/>
      </c>
      <c r="F434" s="32">
        <f>IFERROR(IF(ISNUMBER($A434),IF(AND(AH!$U$12=1,429+1=AH!$U$6),IF(AH!$U$4=0,"unavailable",INDEX('Market Data'!$AO$5:$AO$66,AH!$U$4)),IF(AH!$U$5=1,INDEX('Live History'!$E$5:$E$3004,MATCH($A434,'Live History'!$D$5:$D$3004,1)),INDEX('AH History'!$D$5:$GG$1380,$K434,AH!$U$10+1))),NA()),NA())</f>
        <v/>
      </c>
      <c r="G434" s="34">
        <f>IFERROR(IF(ISNUMBER($A434),IF(AND(AH!$U$12=1,429+1=AH!$U$6),IF(AH!$U$4=0,"unavailable",INDEX('Market Data'!$AK$5:$AK$66,AH!$U$4)),IF(AH!$U$5=1,INDEX('Live History'!$D$5:$D$3004,MATCH($A434,'Live History'!$D$5:$D$3004,1)),INDEX('AH History'!$D$5:$GG$1380,$K434,AH!$U$10+2))),NA()),NA())</f>
        <v/>
      </c>
      <c r="H434" s="266">
        <f>IFERROR(IF(ISNUMBER($A434),IF(AND(AH!$U$12=1,429+1=AH!$U$6),IF(AH!$U$4=0,"unavailable",INDEX('Market Data'!$AP$5:$AP$66,AH!$U$4)),IF(AH!$U$5=1,INDEX('Live History'!$H$5:$H$3004,MATCH($A434,'Live History'!$G$5:$G$3004,1)),INDEX('AH History'!$B$5:$B$1380,$K434))),NA()),NA())</f>
        <v/>
      </c>
      <c r="I434" s="34">
        <f>IFERROR(IF(ISNUMBER($A434),IF(AND(AH!$U$12=1,429+1=AH!$U$6),TODAY(),IF(AH!$U$5=1,INDEX('Live History'!$G$5:$G$3004,MATCH($A434,'Live History'!$G$5:$G$3004,1)),INDEX('AH History'!$C$5:$C$1380,$K434))),NA()),NA())</f>
        <v/>
      </c>
      <c r="J434" s="32">
        <f>IFERROR(IF(AND($F434&gt;0,$H434&gt;0,$A434-$G434&lt;=10,$A434-$I434&lt;=5,$G434&gt;0,$I434&gt;0),$F434*$H434,NA()),NA())</f>
        <v/>
      </c>
      <c r="K434" s="15">
        <f>IF($A434="","",IF(AH!$U$5=1,IFERROR(MATCH($A434,'Live History'!$A$5:$A$3004,0),0),AH!$U$7+429))</f>
        <v/>
      </c>
      <c r="L434" s="15">
        <f>IF(ISNUMBER(A434),TEXT(A434,"dd-mmm-yy"),"")</f>
        <v/>
      </c>
    </row>
    <row r="435">
      <c r="A435" s="14">
        <f>IF(OR(AH!$U$4=0,430+1&gt;AH!$U$6,AND(AH!$M$5="Bloomberg",AH!$U$5=0)),"",IFERROR(IF(AND(AH!$U$12=1,430+1=AH!$U$6),TODAY(),IF(AH!$U$5=1,INDEX('Live History'!$A$5:$A$3004,AH!$U$7+430),INDEX('AH History'!$A$5:$A$1380,AH!$U$7+430))),""))</f>
        <v/>
      </c>
      <c r="B435" s="33">
        <f>IFERROR(IF(AH!$U$11=1,NA(),$J435/$E435-1),NA())</f>
        <v/>
      </c>
      <c r="C435" s="269">
        <f>IFERROR(100*$E435/$E$5,NA())</f>
        <v/>
      </c>
      <c r="D435" s="269">
        <f>IFERROR(100*$J435/$J$5,NA())</f>
        <v/>
      </c>
      <c r="E435" s="32">
        <f>IFERROR(IF(AND(ISNUMBER($A435),N(IF(AND(AH!$U$12=1,430+1=AH!$U$6),IF(AH!$U$4=0,"unavailable",INDEX('Market Data'!$AN$5:$AN$66,AH!$U$4)),IF(AH!$U$5=1,INDEX('Live History'!$B$5:$B$3004,$K435),INDEX('AH History'!$D$5:$GG$1380,$K435,AH!$U$10))))&gt;0),IF(AND(AH!$U$12=1,430+1=AH!$U$6),IF(AH!$U$4=0,"unavailable",INDEX('Market Data'!$AN$5:$AN$66,AH!$U$4)),IF(AH!$U$5=1,INDEX('Live History'!$B$5:$B$3004,$K435),INDEX('AH History'!$D$5:$GG$1380,$K435,AH!$U$10))),NA()),NA())</f>
        <v/>
      </c>
      <c r="F435" s="32">
        <f>IFERROR(IF(ISNUMBER($A435),IF(AND(AH!$U$12=1,430+1=AH!$U$6),IF(AH!$U$4=0,"unavailable",INDEX('Market Data'!$AO$5:$AO$66,AH!$U$4)),IF(AH!$U$5=1,INDEX('Live History'!$E$5:$E$3004,MATCH($A435,'Live History'!$D$5:$D$3004,1)),INDEX('AH History'!$D$5:$GG$1380,$K435,AH!$U$10+1))),NA()),NA())</f>
        <v/>
      </c>
      <c r="G435" s="34">
        <f>IFERROR(IF(ISNUMBER($A435),IF(AND(AH!$U$12=1,430+1=AH!$U$6),IF(AH!$U$4=0,"unavailable",INDEX('Market Data'!$AK$5:$AK$66,AH!$U$4)),IF(AH!$U$5=1,INDEX('Live History'!$D$5:$D$3004,MATCH($A435,'Live History'!$D$5:$D$3004,1)),INDEX('AH History'!$D$5:$GG$1380,$K435,AH!$U$10+2))),NA()),NA())</f>
        <v/>
      </c>
      <c r="H435" s="266">
        <f>IFERROR(IF(ISNUMBER($A435),IF(AND(AH!$U$12=1,430+1=AH!$U$6),IF(AH!$U$4=0,"unavailable",INDEX('Market Data'!$AP$5:$AP$66,AH!$U$4)),IF(AH!$U$5=1,INDEX('Live History'!$H$5:$H$3004,MATCH($A435,'Live History'!$G$5:$G$3004,1)),INDEX('AH History'!$B$5:$B$1380,$K435))),NA()),NA())</f>
        <v/>
      </c>
      <c r="I435" s="34">
        <f>IFERROR(IF(ISNUMBER($A435),IF(AND(AH!$U$12=1,430+1=AH!$U$6),TODAY(),IF(AH!$U$5=1,INDEX('Live History'!$G$5:$G$3004,MATCH($A435,'Live History'!$G$5:$G$3004,1)),INDEX('AH History'!$C$5:$C$1380,$K435))),NA()),NA())</f>
        <v/>
      </c>
      <c r="J435" s="32">
        <f>IFERROR(IF(AND($F435&gt;0,$H435&gt;0,$A435-$G435&lt;=10,$A435-$I435&lt;=5,$G435&gt;0,$I435&gt;0),$F435*$H435,NA()),NA())</f>
        <v/>
      </c>
      <c r="K435" s="15">
        <f>IF($A435="","",IF(AH!$U$5=1,IFERROR(MATCH($A435,'Live History'!$A$5:$A$3004,0),0),AH!$U$7+430))</f>
        <v/>
      </c>
      <c r="L435" s="15">
        <f>IF(ISNUMBER(A435),TEXT(A435,"dd-mmm-yy"),"")</f>
        <v/>
      </c>
    </row>
    <row r="436">
      <c r="A436" s="14">
        <f>IF(OR(AH!$U$4=0,431+1&gt;AH!$U$6,AND(AH!$M$5="Bloomberg",AH!$U$5=0)),"",IFERROR(IF(AND(AH!$U$12=1,431+1=AH!$U$6),TODAY(),IF(AH!$U$5=1,INDEX('Live History'!$A$5:$A$3004,AH!$U$7+431),INDEX('AH History'!$A$5:$A$1380,AH!$U$7+431))),""))</f>
        <v/>
      </c>
      <c r="B436" s="33">
        <f>IFERROR(IF(AH!$U$11=1,NA(),$J436/$E436-1),NA())</f>
        <v/>
      </c>
      <c r="C436" s="269">
        <f>IFERROR(100*$E436/$E$5,NA())</f>
        <v/>
      </c>
      <c r="D436" s="269">
        <f>IFERROR(100*$J436/$J$5,NA())</f>
        <v/>
      </c>
      <c r="E436" s="32">
        <f>IFERROR(IF(AND(ISNUMBER($A436),N(IF(AND(AH!$U$12=1,431+1=AH!$U$6),IF(AH!$U$4=0,"unavailable",INDEX('Market Data'!$AN$5:$AN$66,AH!$U$4)),IF(AH!$U$5=1,INDEX('Live History'!$B$5:$B$3004,$K436),INDEX('AH History'!$D$5:$GG$1380,$K436,AH!$U$10))))&gt;0),IF(AND(AH!$U$12=1,431+1=AH!$U$6),IF(AH!$U$4=0,"unavailable",INDEX('Market Data'!$AN$5:$AN$66,AH!$U$4)),IF(AH!$U$5=1,INDEX('Live History'!$B$5:$B$3004,$K436),INDEX('AH History'!$D$5:$GG$1380,$K436,AH!$U$10))),NA()),NA())</f>
        <v/>
      </c>
      <c r="F436" s="32">
        <f>IFERROR(IF(ISNUMBER($A436),IF(AND(AH!$U$12=1,431+1=AH!$U$6),IF(AH!$U$4=0,"unavailable",INDEX('Market Data'!$AO$5:$AO$66,AH!$U$4)),IF(AH!$U$5=1,INDEX('Live History'!$E$5:$E$3004,MATCH($A436,'Live History'!$D$5:$D$3004,1)),INDEX('AH History'!$D$5:$GG$1380,$K436,AH!$U$10+1))),NA()),NA())</f>
        <v/>
      </c>
      <c r="G436" s="34">
        <f>IFERROR(IF(ISNUMBER($A436),IF(AND(AH!$U$12=1,431+1=AH!$U$6),IF(AH!$U$4=0,"unavailable",INDEX('Market Data'!$AK$5:$AK$66,AH!$U$4)),IF(AH!$U$5=1,INDEX('Live History'!$D$5:$D$3004,MATCH($A436,'Live History'!$D$5:$D$3004,1)),INDEX('AH History'!$D$5:$GG$1380,$K436,AH!$U$10+2))),NA()),NA())</f>
        <v/>
      </c>
      <c r="H436" s="266">
        <f>IFERROR(IF(ISNUMBER($A436),IF(AND(AH!$U$12=1,431+1=AH!$U$6),IF(AH!$U$4=0,"unavailable",INDEX('Market Data'!$AP$5:$AP$66,AH!$U$4)),IF(AH!$U$5=1,INDEX('Live History'!$H$5:$H$3004,MATCH($A436,'Live History'!$G$5:$G$3004,1)),INDEX('AH History'!$B$5:$B$1380,$K436))),NA()),NA())</f>
        <v/>
      </c>
      <c r="I436" s="34">
        <f>IFERROR(IF(ISNUMBER($A436),IF(AND(AH!$U$12=1,431+1=AH!$U$6),TODAY(),IF(AH!$U$5=1,INDEX('Live History'!$G$5:$G$3004,MATCH($A436,'Live History'!$G$5:$G$3004,1)),INDEX('AH History'!$C$5:$C$1380,$K436))),NA()),NA())</f>
        <v/>
      </c>
      <c r="J436" s="32">
        <f>IFERROR(IF(AND($F436&gt;0,$H436&gt;0,$A436-$G436&lt;=10,$A436-$I436&lt;=5,$G436&gt;0,$I436&gt;0),$F436*$H436,NA()),NA())</f>
        <v/>
      </c>
      <c r="K436" s="15">
        <f>IF($A436="","",IF(AH!$U$5=1,IFERROR(MATCH($A436,'Live History'!$A$5:$A$3004,0),0),AH!$U$7+431))</f>
        <v/>
      </c>
      <c r="L436" s="15">
        <f>IF(ISNUMBER(A436),TEXT(A436,"dd-mmm-yy"),"")</f>
        <v/>
      </c>
    </row>
    <row r="437">
      <c r="A437" s="14">
        <f>IF(OR(AH!$U$4=0,432+1&gt;AH!$U$6,AND(AH!$M$5="Bloomberg",AH!$U$5=0)),"",IFERROR(IF(AND(AH!$U$12=1,432+1=AH!$U$6),TODAY(),IF(AH!$U$5=1,INDEX('Live History'!$A$5:$A$3004,AH!$U$7+432),INDEX('AH History'!$A$5:$A$1380,AH!$U$7+432))),""))</f>
        <v/>
      </c>
      <c r="B437" s="33">
        <f>IFERROR(IF(AH!$U$11=1,NA(),$J437/$E437-1),NA())</f>
        <v/>
      </c>
      <c r="C437" s="269">
        <f>IFERROR(100*$E437/$E$5,NA())</f>
        <v/>
      </c>
      <c r="D437" s="269">
        <f>IFERROR(100*$J437/$J$5,NA())</f>
        <v/>
      </c>
      <c r="E437" s="32">
        <f>IFERROR(IF(AND(ISNUMBER($A437),N(IF(AND(AH!$U$12=1,432+1=AH!$U$6),IF(AH!$U$4=0,"unavailable",INDEX('Market Data'!$AN$5:$AN$66,AH!$U$4)),IF(AH!$U$5=1,INDEX('Live History'!$B$5:$B$3004,$K437),INDEX('AH History'!$D$5:$GG$1380,$K437,AH!$U$10))))&gt;0),IF(AND(AH!$U$12=1,432+1=AH!$U$6),IF(AH!$U$4=0,"unavailable",INDEX('Market Data'!$AN$5:$AN$66,AH!$U$4)),IF(AH!$U$5=1,INDEX('Live History'!$B$5:$B$3004,$K437),INDEX('AH History'!$D$5:$GG$1380,$K437,AH!$U$10))),NA()),NA())</f>
        <v/>
      </c>
      <c r="F437" s="32">
        <f>IFERROR(IF(ISNUMBER($A437),IF(AND(AH!$U$12=1,432+1=AH!$U$6),IF(AH!$U$4=0,"unavailable",INDEX('Market Data'!$AO$5:$AO$66,AH!$U$4)),IF(AH!$U$5=1,INDEX('Live History'!$E$5:$E$3004,MATCH($A437,'Live History'!$D$5:$D$3004,1)),INDEX('AH History'!$D$5:$GG$1380,$K437,AH!$U$10+1))),NA()),NA())</f>
        <v/>
      </c>
      <c r="G437" s="34">
        <f>IFERROR(IF(ISNUMBER($A437),IF(AND(AH!$U$12=1,432+1=AH!$U$6),IF(AH!$U$4=0,"unavailable",INDEX('Market Data'!$AK$5:$AK$66,AH!$U$4)),IF(AH!$U$5=1,INDEX('Live History'!$D$5:$D$3004,MATCH($A437,'Live History'!$D$5:$D$3004,1)),INDEX('AH History'!$D$5:$GG$1380,$K437,AH!$U$10+2))),NA()),NA())</f>
        <v/>
      </c>
      <c r="H437" s="266">
        <f>IFERROR(IF(ISNUMBER($A437),IF(AND(AH!$U$12=1,432+1=AH!$U$6),IF(AH!$U$4=0,"unavailable",INDEX('Market Data'!$AP$5:$AP$66,AH!$U$4)),IF(AH!$U$5=1,INDEX('Live History'!$H$5:$H$3004,MATCH($A437,'Live History'!$G$5:$G$3004,1)),INDEX('AH History'!$B$5:$B$1380,$K437))),NA()),NA())</f>
        <v/>
      </c>
      <c r="I437" s="34">
        <f>IFERROR(IF(ISNUMBER($A437),IF(AND(AH!$U$12=1,432+1=AH!$U$6),TODAY(),IF(AH!$U$5=1,INDEX('Live History'!$G$5:$G$3004,MATCH($A437,'Live History'!$G$5:$G$3004,1)),INDEX('AH History'!$C$5:$C$1380,$K437))),NA()),NA())</f>
        <v/>
      </c>
      <c r="J437" s="32">
        <f>IFERROR(IF(AND($F437&gt;0,$H437&gt;0,$A437-$G437&lt;=10,$A437-$I437&lt;=5,$G437&gt;0,$I437&gt;0),$F437*$H437,NA()),NA())</f>
        <v/>
      </c>
      <c r="K437" s="15">
        <f>IF($A437="","",IF(AH!$U$5=1,IFERROR(MATCH($A437,'Live History'!$A$5:$A$3004,0),0),AH!$U$7+432))</f>
        <v/>
      </c>
      <c r="L437" s="15">
        <f>IF(ISNUMBER(A437),TEXT(A437,"dd-mmm-yy"),"")</f>
        <v/>
      </c>
    </row>
    <row r="438">
      <c r="A438" s="14">
        <f>IF(OR(AH!$U$4=0,433+1&gt;AH!$U$6,AND(AH!$M$5="Bloomberg",AH!$U$5=0)),"",IFERROR(IF(AND(AH!$U$12=1,433+1=AH!$U$6),TODAY(),IF(AH!$U$5=1,INDEX('Live History'!$A$5:$A$3004,AH!$U$7+433),INDEX('AH History'!$A$5:$A$1380,AH!$U$7+433))),""))</f>
        <v/>
      </c>
      <c r="B438" s="33">
        <f>IFERROR(IF(AH!$U$11=1,NA(),$J438/$E438-1),NA())</f>
        <v/>
      </c>
      <c r="C438" s="269">
        <f>IFERROR(100*$E438/$E$5,NA())</f>
        <v/>
      </c>
      <c r="D438" s="269">
        <f>IFERROR(100*$J438/$J$5,NA())</f>
        <v/>
      </c>
      <c r="E438" s="32">
        <f>IFERROR(IF(AND(ISNUMBER($A438),N(IF(AND(AH!$U$12=1,433+1=AH!$U$6),IF(AH!$U$4=0,"unavailable",INDEX('Market Data'!$AN$5:$AN$66,AH!$U$4)),IF(AH!$U$5=1,INDEX('Live History'!$B$5:$B$3004,$K438),INDEX('AH History'!$D$5:$GG$1380,$K438,AH!$U$10))))&gt;0),IF(AND(AH!$U$12=1,433+1=AH!$U$6),IF(AH!$U$4=0,"unavailable",INDEX('Market Data'!$AN$5:$AN$66,AH!$U$4)),IF(AH!$U$5=1,INDEX('Live History'!$B$5:$B$3004,$K438),INDEX('AH History'!$D$5:$GG$1380,$K438,AH!$U$10))),NA()),NA())</f>
        <v/>
      </c>
      <c r="F438" s="32">
        <f>IFERROR(IF(ISNUMBER($A438),IF(AND(AH!$U$12=1,433+1=AH!$U$6),IF(AH!$U$4=0,"unavailable",INDEX('Market Data'!$AO$5:$AO$66,AH!$U$4)),IF(AH!$U$5=1,INDEX('Live History'!$E$5:$E$3004,MATCH($A438,'Live History'!$D$5:$D$3004,1)),INDEX('AH History'!$D$5:$GG$1380,$K438,AH!$U$10+1))),NA()),NA())</f>
        <v/>
      </c>
      <c r="G438" s="34">
        <f>IFERROR(IF(ISNUMBER($A438),IF(AND(AH!$U$12=1,433+1=AH!$U$6),IF(AH!$U$4=0,"unavailable",INDEX('Market Data'!$AK$5:$AK$66,AH!$U$4)),IF(AH!$U$5=1,INDEX('Live History'!$D$5:$D$3004,MATCH($A438,'Live History'!$D$5:$D$3004,1)),INDEX('AH History'!$D$5:$GG$1380,$K438,AH!$U$10+2))),NA()),NA())</f>
        <v/>
      </c>
      <c r="H438" s="266">
        <f>IFERROR(IF(ISNUMBER($A438),IF(AND(AH!$U$12=1,433+1=AH!$U$6),IF(AH!$U$4=0,"unavailable",INDEX('Market Data'!$AP$5:$AP$66,AH!$U$4)),IF(AH!$U$5=1,INDEX('Live History'!$H$5:$H$3004,MATCH($A438,'Live History'!$G$5:$G$3004,1)),INDEX('AH History'!$B$5:$B$1380,$K438))),NA()),NA())</f>
        <v/>
      </c>
      <c r="I438" s="34">
        <f>IFERROR(IF(ISNUMBER($A438),IF(AND(AH!$U$12=1,433+1=AH!$U$6),TODAY(),IF(AH!$U$5=1,INDEX('Live History'!$G$5:$G$3004,MATCH($A438,'Live History'!$G$5:$G$3004,1)),INDEX('AH History'!$C$5:$C$1380,$K438))),NA()),NA())</f>
        <v/>
      </c>
      <c r="J438" s="32">
        <f>IFERROR(IF(AND($F438&gt;0,$H438&gt;0,$A438-$G438&lt;=10,$A438-$I438&lt;=5,$G438&gt;0,$I438&gt;0),$F438*$H438,NA()),NA())</f>
        <v/>
      </c>
      <c r="K438" s="15">
        <f>IF($A438="","",IF(AH!$U$5=1,IFERROR(MATCH($A438,'Live History'!$A$5:$A$3004,0),0),AH!$U$7+433))</f>
        <v/>
      </c>
      <c r="L438" s="15">
        <f>IF(ISNUMBER(A438),TEXT(A438,"dd-mmm-yy"),"")</f>
        <v/>
      </c>
    </row>
    <row r="439">
      <c r="A439" s="14">
        <f>IF(OR(AH!$U$4=0,434+1&gt;AH!$U$6,AND(AH!$M$5="Bloomberg",AH!$U$5=0)),"",IFERROR(IF(AND(AH!$U$12=1,434+1=AH!$U$6),TODAY(),IF(AH!$U$5=1,INDEX('Live History'!$A$5:$A$3004,AH!$U$7+434),INDEX('AH History'!$A$5:$A$1380,AH!$U$7+434))),""))</f>
        <v/>
      </c>
      <c r="B439" s="33">
        <f>IFERROR(IF(AH!$U$11=1,NA(),$J439/$E439-1),NA())</f>
        <v/>
      </c>
      <c r="C439" s="269">
        <f>IFERROR(100*$E439/$E$5,NA())</f>
        <v/>
      </c>
      <c r="D439" s="269">
        <f>IFERROR(100*$J439/$J$5,NA())</f>
        <v/>
      </c>
      <c r="E439" s="32">
        <f>IFERROR(IF(AND(ISNUMBER($A439),N(IF(AND(AH!$U$12=1,434+1=AH!$U$6),IF(AH!$U$4=0,"unavailable",INDEX('Market Data'!$AN$5:$AN$66,AH!$U$4)),IF(AH!$U$5=1,INDEX('Live History'!$B$5:$B$3004,$K439),INDEX('AH History'!$D$5:$GG$1380,$K439,AH!$U$10))))&gt;0),IF(AND(AH!$U$12=1,434+1=AH!$U$6),IF(AH!$U$4=0,"unavailable",INDEX('Market Data'!$AN$5:$AN$66,AH!$U$4)),IF(AH!$U$5=1,INDEX('Live History'!$B$5:$B$3004,$K439),INDEX('AH History'!$D$5:$GG$1380,$K439,AH!$U$10))),NA()),NA())</f>
        <v/>
      </c>
      <c r="F439" s="32">
        <f>IFERROR(IF(ISNUMBER($A439),IF(AND(AH!$U$12=1,434+1=AH!$U$6),IF(AH!$U$4=0,"unavailable",INDEX('Market Data'!$AO$5:$AO$66,AH!$U$4)),IF(AH!$U$5=1,INDEX('Live History'!$E$5:$E$3004,MATCH($A439,'Live History'!$D$5:$D$3004,1)),INDEX('AH History'!$D$5:$GG$1380,$K439,AH!$U$10+1))),NA()),NA())</f>
        <v/>
      </c>
      <c r="G439" s="34">
        <f>IFERROR(IF(ISNUMBER($A439),IF(AND(AH!$U$12=1,434+1=AH!$U$6),IF(AH!$U$4=0,"unavailable",INDEX('Market Data'!$AK$5:$AK$66,AH!$U$4)),IF(AH!$U$5=1,INDEX('Live History'!$D$5:$D$3004,MATCH($A439,'Live History'!$D$5:$D$3004,1)),INDEX('AH History'!$D$5:$GG$1380,$K439,AH!$U$10+2))),NA()),NA())</f>
        <v/>
      </c>
      <c r="H439" s="266">
        <f>IFERROR(IF(ISNUMBER($A439),IF(AND(AH!$U$12=1,434+1=AH!$U$6),IF(AH!$U$4=0,"unavailable",INDEX('Market Data'!$AP$5:$AP$66,AH!$U$4)),IF(AH!$U$5=1,INDEX('Live History'!$H$5:$H$3004,MATCH($A439,'Live History'!$G$5:$G$3004,1)),INDEX('AH History'!$B$5:$B$1380,$K439))),NA()),NA())</f>
        <v/>
      </c>
      <c r="I439" s="34">
        <f>IFERROR(IF(ISNUMBER($A439),IF(AND(AH!$U$12=1,434+1=AH!$U$6),TODAY(),IF(AH!$U$5=1,INDEX('Live History'!$G$5:$G$3004,MATCH($A439,'Live History'!$G$5:$G$3004,1)),INDEX('AH History'!$C$5:$C$1380,$K439))),NA()),NA())</f>
        <v/>
      </c>
      <c r="J439" s="32">
        <f>IFERROR(IF(AND($F439&gt;0,$H439&gt;0,$A439-$G439&lt;=10,$A439-$I439&lt;=5,$G439&gt;0,$I439&gt;0),$F439*$H439,NA()),NA())</f>
        <v/>
      </c>
      <c r="K439" s="15">
        <f>IF($A439="","",IF(AH!$U$5=1,IFERROR(MATCH($A439,'Live History'!$A$5:$A$3004,0),0),AH!$U$7+434))</f>
        <v/>
      </c>
      <c r="L439" s="15">
        <f>IF(ISNUMBER(A439),TEXT(A439,"dd-mmm-yy"),"")</f>
        <v/>
      </c>
    </row>
    <row r="440">
      <c r="A440" s="14">
        <f>IF(OR(AH!$U$4=0,435+1&gt;AH!$U$6,AND(AH!$M$5="Bloomberg",AH!$U$5=0)),"",IFERROR(IF(AND(AH!$U$12=1,435+1=AH!$U$6),TODAY(),IF(AH!$U$5=1,INDEX('Live History'!$A$5:$A$3004,AH!$U$7+435),INDEX('AH History'!$A$5:$A$1380,AH!$U$7+435))),""))</f>
        <v/>
      </c>
      <c r="B440" s="33">
        <f>IFERROR(IF(AH!$U$11=1,NA(),$J440/$E440-1),NA())</f>
        <v/>
      </c>
      <c r="C440" s="269">
        <f>IFERROR(100*$E440/$E$5,NA())</f>
        <v/>
      </c>
      <c r="D440" s="269">
        <f>IFERROR(100*$J440/$J$5,NA())</f>
        <v/>
      </c>
      <c r="E440" s="32">
        <f>IFERROR(IF(AND(ISNUMBER($A440),N(IF(AND(AH!$U$12=1,435+1=AH!$U$6),IF(AH!$U$4=0,"unavailable",INDEX('Market Data'!$AN$5:$AN$66,AH!$U$4)),IF(AH!$U$5=1,INDEX('Live History'!$B$5:$B$3004,$K440),INDEX('AH History'!$D$5:$GG$1380,$K440,AH!$U$10))))&gt;0),IF(AND(AH!$U$12=1,435+1=AH!$U$6),IF(AH!$U$4=0,"unavailable",INDEX('Market Data'!$AN$5:$AN$66,AH!$U$4)),IF(AH!$U$5=1,INDEX('Live History'!$B$5:$B$3004,$K440),INDEX('AH History'!$D$5:$GG$1380,$K440,AH!$U$10))),NA()),NA())</f>
        <v/>
      </c>
      <c r="F440" s="32">
        <f>IFERROR(IF(ISNUMBER($A440),IF(AND(AH!$U$12=1,435+1=AH!$U$6),IF(AH!$U$4=0,"unavailable",INDEX('Market Data'!$AO$5:$AO$66,AH!$U$4)),IF(AH!$U$5=1,INDEX('Live History'!$E$5:$E$3004,MATCH($A440,'Live History'!$D$5:$D$3004,1)),INDEX('AH History'!$D$5:$GG$1380,$K440,AH!$U$10+1))),NA()),NA())</f>
        <v/>
      </c>
      <c r="G440" s="34">
        <f>IFERROR(IF(ISNUMBER($A440),IF(AND(AH!$U$12=1,435+1=AH!$U$6),IF(AH!$U$4=0,"unavailable",INDEX('Market Data'!$AK$5:$AK$66,AH!$U$4)),IF(AH!$U$5=1,INDEX('Live History'!$D$5:$D$3004,MATCH($A440,'Live History'!$D$5:$D$3004,1)),INDEX('AH History'!$D$5:$GG$1380,$K440,AH!$U$10+2))),NA()),NA())</f>
        <v/>
      </c>
      <c r="H440" s="266">
        <f>IFERROR(IF(ISNUMBER($A440),IF(AND(AH!$U$12=1,435+1=AH!$U$6),IF(AH!$U$4=0,"unavailable",INDEX('Market Data'!$AP$5:$AP$66,AH!$U$4)),IF(AH!$U$5=1,INDEX('Live History'!$H$5:$H$3004,MATCH($A440,'Live History'!$G$5:$G$3004,1)),INDEX('AH History'!$B$5:$B$1380,$K440))),NA()),NA())</f>
        <v/>
      </c>
      <c r="I440" s="34">
        <f>IFERROR(IF(ISNUMBER($A440),IF(AND(AH!$U$12=1,435+1=AH!$U$6),TODAY(),IF(AH!$U$5=1,INDEX('Live History'!$G$5:$G$3004,MATCH($A440,'Live History'!$G$5:$G$3004,1)),INDEX('AH History'!$C$5:$C$1380,$K440))),NA()),NA())</f>
        <v/>
      </c>
      <c r="J440" s="32">
        <f>IFERROR(IF(AND($F440&gt;0,$H440&gt;0,$A440-$G440&lt;=10,$A440-$I440&lt;=5,$G440&gt;0,$I440&gt;0),$F440*$H440,NA()),NA())</f>
        <v/>
      </c>
      <c r="K440" s="15">
        <f>IF($A440="","",IF(AH!$U$5=1,IFERROR(MATCH($A440,'Live History'!$A$5:$A$3004,0),0),AH!$U$7+435))</f>
        <v/>
      </c>
      <c r="L440" s="15">
        <f>IF(ISNUMBER(A440),TEXT(A440,"dd-mmm-yy"),"")</f>
        <v/>
      </c>
    </row>
    <row r="441">
      <c r="A441" s="14">
        <f>IF(OR(AH!$U$4=0,436+1&gt;AH!$U$6,AND(AH!$M$5="Bloomberg",AH!$U$5=0)),"",IFERROR(IF(AND(AH!$U$12=1,436+1=AH!$U$6),TODAY(),IF(AH!$U$5=1,INDEX('Live History'!$A$5:$A$3004,AH!$U$7+436),INDEX('AH History'!$A$5:$A$1380,AH!$U$7+436))),""))</f>
        <v/>
      </c>
      <c r="B441" s="33">
        <f>IFERROR(IF(AH!$U$11=1,NA(),$J441/$E441-1),NA())</f>
        <v/>
      </c>
      <c r="C441" s="269">
        <f>IFERROR(100*$E441/$E$5,NA())</f>
        <v/>
      </c>
      <c r="D441" s="269">
        <f>IFERROR(100*$J441/$J$5,NA())</f>
        <v/>
      </c>
      <c r="E441" s="32">
        <f>IFERROR(IF(AND(ISNUMBER($A441),N(IF(AND(AH!$U$12=1,436+1=AH!$U$6),IF(AH!$U$4=0,"unavailable",INDEX('Market Data'!$AN$5:$AN$66,AH!$U$4)),IF(AH!$U$5=1,INDEX('Live History'!$B$5:$B$3004,$K441),INDEX('AH History'!$D$5:$GG$1380,$K441,AH!$U$10))))&gt;0),IF(AND(AH!$U$12=1,436+1=AH!$U$6),IF(AH!$U$4=0,"unavailable",INDEX('Market Data'!$AN$5:$AN$66,AH!$U$4)),IF(AH!$U$5=1,INDEX('Live History'!$B$5:$B$3004,$K441),INDEX('AH History'!$D$5:$GG$1380,$K441,AH!$U$10))),NA()),NA())</f>
        <v/>
      </c>
      <c r="F441" s="32">
        <f>IFERROR(IF(ISNUMBER($A441),IF(AND(AH!$U$12=1,436+1=AH!$U$6),IF(AH!$U$4=0,"unavailable",INDEX('Market Data'!$AO$5:$AO$66,AH!$U$4)),IF(AH!$U$5=1,INDEX('Live History'!$E$5:$E$3004,MATCH($A441,'Live History'!$D$5:$D$3004,1)),INDEX('AH History'!$D$5:$GG$1380,$K441,AH!$U$10+1))),NA()),NA())</f>
        <v/>
      </c>
      <c r="G441" s="34">
        <f>IFERROR(IF(ISNUMBER($A441),IF(AND(AH!$U$12=1,436+1=AH!$U$6),IF(AH!$U$4=0,"unavailable",INDEX('Market Data'!$AK$5:$AK$66,AH!$U$4)),IF(AH!$U$5=1,INDEX('Live History'!$D$5:$D$3004,MATCH($A441,'Live History'!$D$5:$D$3004,1)),INDEX('AH History'!$D$5:$GG$1380,$K441,AH!$U$10+2))),NA()),NA())</f>
        <v/>
      </c>
      <c r="H441" s="266">
        <f>IFERROR(IF(ISNUMBER($A441),IF(AND(AH!$U$12=1,436+1=AH!$U$6),IF(AH!$U$4=0,"unavailable",INDEX('Market Data'!$AP$5:$AP$66,AH!$U$4)),IF(AH!$U$5=1,INDEX('Live History'!$H$5:$H$3004,MATCH($A441,'Live History'!$G$5:$G$3004,1)),INDEX('AH History'!$B$5:$B$1380,$K441))),NA()),NA())</f>
        <v/>
      </c>
      <c r="I441" s="34">
        <f>IFERROR(IF(ISNUMBER($A441),IF(AND(AH!$U$12=1,436+1=AH!$U$6),TODAY(),IF(AH!$U$5=1,INDEX('Live History'!$G$5:$G$3004,MATCH($A441,'Live History'!$G$5:$G$3004,1)),INDEX('AH History'!$C$5:$C$1380,$K441))),NA()),NA())</f>
        <v/>
      </c>
      <c r="J441" s="32">
        <f>IFERROR(IF(AND($F441&gt;0,$H441&gt;0,$A441-$G441&lt;=10,$A441-$I441&lt;=5,$G441&gt;0,$I441&gt;0),$F441*$H441,NA()),NA())</f>
        <v/>
      </c>
      <c r="K441" s="15">
        <f>IF($A441="","",IF(AH!$U$5=1,IFERROR(MATCH($A441,'Live History'!$A$5:$A$3004,0),0),AH!$U$7+436))</f>
        <v/>
      </c>
      <c r="L441" s="15">
        <f>IF(ISNUMBER(A441),TEXT(A441,"dd-mmm-yy"),"")</f>
        <v/>
      </c>
    </row>
    <row r="442">
      <c r="A442" s="14">
        <f>IF(OR(AH!$U$4=0,437+1&gt;AH!$U$6,AND(AH!$M$5="Bloomberg",AH!$U$5=0)),"",IFERROR(IF(AND(AH!$U$12=1,437+1=AH!$U$6),TODAY(),IF(AH!$U$5=1,INDEX('Live History'!$A$5:$A$3004,AH!$U$7+437),INDEX('AH History'!$A$5:$A$1380,AH!$U$7+437))),""))</f>
        <v/>
      </c>
      <c r="B442" s="33">
        <f>IFERROR(IF(AH!$U$11=1,NA(),$J442/$E442-1),NA())</f>
        <v/>
      </c>
      <c r="C442" s="269">
        <f>IFERROR(100*$E442/$E$5,NA())</f>
        <v/>
      </c>
      <c r="D442" s="269">
        <f>IFERROR(100*$J442/$J$5,NA())</f>
        <v/>
      </c>
      <c r="E442" s="32">
        <f>IFERROR(IF(AND(ISNUMBER($A442),N(IF(AND(AH!$U$12=1,437+1=AH!$U$6),IF(AH!$U$4=0,"unavailable",INDEX('Market Data'!$AN$5:$AN$66,AH!$U$4)),IF(AH!$U$5=1,INDEX('Live History'!$B$5:$B$3004,$K442),INDEX('AH History'!$D$5:$GG$1380,$K442,AH!$U$10))))&gt;0),IF(AND(AH!$U$12=1,437+1=AH!$U$6),IF(AH!$U$4=0,"unavailable",INDEX('Market Data'!$AN$5:$AN$66,AH!$U$4)),IF(AH!$U$5=1,INDEX('Live History'!$B$5:$B$3004,$K442),INDEX('AH History'!$D$5:$GG$1380,$K442,AH!$U$10))),NA()),NA())</f>
        <v/>
      </c>
      <c r="F442" s="32">
        <f>IFERROR(IF(ISNUMBER($A442),IF(AND(AH!$U$12=1,437+1=AH!$U$6),IF(AH!$U$4=0,"unavailable",INDEX('Market Data'!$AO$5:$AO$66,AH!$U$4)),IF(AH!$U$5=1,INDEX('Live History'!$E$5:$E$3004,MATCH($A442,'Live History'!$D$5:$D$3004,1)),INDEX('AH History'!$D$5:$GG$1380,$K442,AH!$U$10+1))),NA()),NA())</f>
        <v/>
      </c>
      <c r="G442" s="34">
        <f>IFERROR(IF(ISNUMBER($A442),IF(AND(AH!$U$12=1,437+1=AH!$U$6),IF(AH!$U$4=0,"unavailable",INDEX('Market Data'!$AK$5:$AK$66,AH!$U$4)),IF(AH!$U$5=1,INDEX('Live History'!$D$5:$D$3004,MATCH($A442,'Live History'!$D$5:$D$3004,1)),INDEX('AH History'!$D$5:$GG$1380,$K442,AH!$U$10+2))),NA()),NA())</f>
        <v/>
      </c>
      <c r="H442" s="266">
        <f>IFERROR(IF(ISNUMBER($A442),IF(AND(AH!$U$12=1,437+1=AH!$U$6),IF(AH!$U$4=0,"unavailable",INDEX('Market Data'!$AP$5:$AP$66,AH!$U$4)),IF(AH!$U$5=1,INDEX('Live History'!$H$5:$H$3004,MATCH($A442,'Live History'!$G$5:$G$3004,1)),INDEX('AH History'!$B$5:$B$1380,$K442))),NA()),NA())</f>
        <v/>
      </c>
      <c r="I442" s="34">
        <f>IFERROR(IF(ISNUMBER($A442),IF(AND(AH!$U$12=1,437+1=AH!$U$6),TODAY(),IF(AH!$U$5=1,INDEX('Live History'!$G$5:$G$3004,MATCH($A442,'Live History'!$G$5:$G$3004,1)),INDEX('AH History'!$C$5:$C$1380,$K442))),NA()),NA())</f>
        <v/>
      </c>
      <c r="J442" s="32">
        <f>IFERROR(IF(AND($F442&gt;0,$H442&gt;0,$A442-$G442&lt;=10,$A442-$I442&lt;=5,$G442&gt;0,$I442&gt;0),$F442*$H442,NA()),NA())</f>
        <v/>
      </c>
      <c r="K442" s="15">
        <f>IF($A442="","",IF(AH!$U$5=1,IFERROR(MATCH($A442,'Live History'!$A$5:$A$3004,0),0),AH!$U$7+437))</f>
        <v/>
      </c>
      <c r="L442" s="15">
        <f>IF(ISNUMBER(A442),TEXT(A442,"dd-mmm-yy"),"")</f>
        <v/>
      </c>
    </row>
    <row r="443">
      <c r="A443" s="14">
        <f>IF(OR(AH!$U$4=0,438+1&gt;AH!$U$6,AND(AH!$M$5="Bloomberg",AH!$U$5=0)),"",IFERROR(IF(AND(AH!$U$12=1,438+1=AH!$U$6),TODAY(),IF(AH!$U$5=1,INDEX('Live History'!$A$5:$A$3004,AH!$U$7+438),INDEX('AH History'!$A$5:$A$1380,AH!$U$7+438))),""))</f>
        <v/>
      </c>
      <c r="B443" s="33">
        <f>IFERROR(IF(AH!$U$11=1,NA(),$J443/$E443-1),NA())</f>
        <v/>
      </c>
      <c r="C443" s="269">
        <f>IFERROR(100*$E443/$E$5,NA())</f>
        <v/>
      </c>
      <c r="D443" s="269">
        <f>IFERROR(100*$J443/$J$5,NA())</f>
        <v/>
      </c>
      <c r="E443" s="32">
        <f>IFERROR(IF(AND(ISNUMBER($A443),N(IF(AND(AH!$U$12=1,438+1=AH!$U$6),IF(AH!$U$4=0,"unavailable",INDEX('Market Data'!$AN$5:$AN$66,AH!$U$4)),IF(AH!$U$5=1,INDEX('Live History'!$B$5:$B$3004,$K443),INDEX('AH History'!$D$5:$GG$1380,$K443,AH!$U$10))))&gt;0),IF(AND(AH!$U$12=1,438+1=AH!$U$6),IF(AH!$U$4=0,"unavailable",INDEX('Market Data'!$AN$5:$AN$66,AH!$U$4)),IF(AH!$U$5=1,INDEX('Live History'!$B$5:$B$3004,$K443),INDEX('AH History'!$D$5:$GG$1380,$K443,AH!$U$10))),NA()),NA())</f>
        <v/>
      </c>
      <c r="F443" s="32">
        <f>IFERROR(IF(ISNUMBER($A443),IF(AND(AH!$U$12=1,438+1=AH!$U$6),IF(AH!$U$4=0,"unavailable",INDEX('Market Data'!$AO$5:$AO$66,AH!$U$4)),IF(AH!$U$5=1,INDEX('Live History'!$E$5:$E$3004,MATCH($A443,'Live History'!$D$5:$D$3004,1)),INDEX('AH History'!$D$5:$GG$1380,$K443,AH!$U$10+1))),NA()),NA())</f>
        <v/>
      </c>
      <c r="G443" s="34">
        <f>IFERROR(IF(ISNUMBER($A443),IF(AND(AH!$U$12=1,438+1=AH!$U$6),IF(AH!$U$4=0,"unavailable",INDEX('Market Data'!$AK$5:$AK$66,AH!$U$4)),IF(AH!$U$5=1,INDEX('Live History'!$D$5:$D$3004,MATCH($A443,'Live History'!$D$5:$D$3004,1)),INDEX('AH History'!$D$5:$GG$1380,$K443,AH!$U$10+2))),NA()),NA())</f>
        <v/>
      </c>
      <c r="H443" s="266">
        <f>IFERROR(IF(ISNUMBER($A443),IF(AND(AH!$U$12=1,438+1=AH!$U$6),IF(AH!$U$4=0,"unavailable",INDEX('Market Data'!$AP$5:$AP$66,AH!$U$4)),IF(AH!$U$5=1,INDEX('Live History'!$H$5:$H$3004,MATCH($A443,'Live History'!$G$5:$G$3004,1)),INDEX('AH History'!$B$5:$B$1380,$K443))),NA()),NA())</f>
        <v/>
      </c>
      <c r="I443" s="34">
        <f>IFERROR(IF(ISNUMBER($A443),IF(AND(AH!$U$12=1,438+1=AH!$U$6),TODAY(),IF(AH!$U$5=1,INDEX('Live History'!$G$5:$G$3004,MATCH($A443,'Live History'!$G$5:$G$3004,1)),INDEX('AH History'!$C$5:$C$1380,$K443))),NA()),NA())</f>
        <v/>
      </c>
      <c r="J443" s="32">
        <f>IFERROR(IF(AND($F443&gt;0,$H443&gt;0,$A443-$G443&lt;=10,$A443-$I443&lt;=5,$G443&gt;0,$I443&gt;0),$F443*$H443,NA()),NA())</f>
        <v/>
      </c>
      <c r="K443" s="15">
        <f>IF($A443="","",IF(AH!$U$5=1,IFERROR(MATCH($A443,'Live History'!$A$5:$A$3004,0),0),AH!$U$7+438))</f>
        <v/>
      </c>
      <c r="L443" s="15">
        <f>IF(ISNUMBER(A443),TEXT(A443,"dd-mmm-yy"),"")</f>
        <v/>
      </c>
    </row>
    <row r="444">
      <c r="A444" s="14">
        <f>IF(OR(AH!$U$4=0,439+1&gt;AH!$U$6,AND(AH!$M$5="Bloomberg",AH!$U$5=0)),"",IFERROR(IF(AND(AH!$U$12=1,439+1=AH!$U$6),TODAY(),IF(AH!$U$5=1,INDEX('Live History'!$A$5:$A$3004,AH!$U$7+439),INDEX('AH History'!$A$5:$A$1380,AH!$U$7+439))),""))</f>
        <v/>
      </c>
      <c r="B444" s="33">
        <f>IFERROR(IF(AH!$U$11=1,NA(),$J444/$E444-1),NA())</f>
        <v/>
      </c>
      <c r="C444" s="269">
        <f>IFERROR(100*$E444/$E$5,NA())</f>
        <v/>
      </c>
      <c r="D444" s="269">
        <f>IFERROR(100*$J444/$J$5,NA())</f>
        <v/>
      </c>
      <c r="E444" s="32">
        <f>IFERROR(IF(AND(ISNUMBER($A444),N(IF(AND(AH!$U$12=1,439+1=AH!$U$6),IF(AH!$U$4=0,"unavailable",INDEX('Market Data'!$AN$5:$AN$66,AH!$U$4)),IF(AH!$U$5=1,INDEX('Live History'!$B$5:$B$3004,$K444),INDEX('AH History'!$D$5:$GG$1380,$K444,AH!$U$10))))&gt;0),IF(AND(AH!$U$12=1,439+1=AH!$U$6),IF(AH!$U$4=0,"unavailable",INDEX('Market Data'!$AN$5:$AN$66,AH!$U$4)),IF(AH!$U$5=1,INDEX('Live History'!$B$5:$B$3004,$K444),INDEX('AH History'!$D$5:$GG$1380,$K444,AH!$U$10))),NA()),NA())</f>
        <v/>
      </c>
      <c r="F444" s="32">
        <f>IFERROR(IF(ISNUMBER($A444),IF(AND(AH!$U$12=1,439+1=AH!$U$6),IF(AH!$U$4=0,"unavailable",INDEX('Market Data'!$AO$5:$AO$66,AH!$U$4)),IF(AH!$U$5=1,INDEX('Live History'!$E$5:$E$3004,MATCH($A444,'Live History'!$D$5:$D$3004,1)),INDEX('AH History'!$D$5:$GG$1380,$K444,AH!$U$10+1))),NA()),NA())</f>
        <v/>
      </c>
      <c r="G444" s="34">
        <f>IFERROR(IF(ISNUMBER($A444),IF(AND(AH!$U$12=1,439+1=AH!$U$6),IF(AH!$U$4=0,"unavailable",INDEX('Market Data'!$AK$5:$AK$66,AH!$U$4)),IF(AH!$U$5=1,INDEX('Live History'!$D$5:$D$3004,MATCH($A444,'Live History'!$D$5:$D$3004,1)),INDEX('AH History'!$D$5:$GG$1380,$K444,AH!$U$10+2))),NA()),NA())</f>
        <v/>
      </c>
      <c r="H444" s="266">
        <f>IFERROR(IF(ISNUMBER($A444),IF(AND(AH!$U$12=1,439+1=AH!$U$6),IF(AH!$U$4=0,"unavailable",INDEX('Market Data'!$AP$5:$AP$66,AH!$U$4)),IF(AH!$U$5=1,INDEX('Live History'!$H$5:$H$3004,MATCH($A444,'Live History'!$G$5:$G$3004,1)),INDEX('AH History'!$B$5:$B$1380,$K444))),NA()),NA())</f>
        <v/>
      </c>
      <c r="I444" s="34">
        <f>IFERROR(IF(ISNUMBER($A444),IF(AND(AH!$U$12=1,439+1=AH!$U$6),TODAY(),IF(AH!$U$5=1,INDEX('Live History'!$G$5:$G$3004,MATCH($A444,'Live History'!$G$5:$G$3004,1)),INDEX('AH History'!$C$5:$C$1380,$K444))),NA()),NA())</f>
        <v/>
      </c>
      <c r="J444" s="32">
        <f>IFERROR(IF(AND($F444&gt;0,$H444&gt;0,$A444-$G444&lt;=10,$A444-$I444&lt;=5,$G444&gt;0,$I444&gt;0),$F444*$H444,NA()),NA())</f>
        <v/>
      </c>
      <c r="K444" s="15">
        <f>IF($A444="","",IF(AH!$U$5=1,IFERROR(MATCH($A444,'Live History'!$A$5:$A$3004,0),0),AH!$U$7+439))</f>
        <v/>
      </c>
      <c r="L444" s="15">
        <f>IF(ISNUMBER(A444),TEXT(A444,"dd-mmm-yy"),"")</f>
        <v/>
      </c>
    </row>
    <row r="445">
      <c r="A445" s="14">
        <f>IF(OR(AH!$U$4=0,440+1&gt;AH!$U$6,AND(AH!$M$5="Bloomberg",AH!$U$5=0)),"",IFERROR(IF(AND(AH!$U$12=1,440+1=AH!$U$6),TODAY(),IF(AH!$U$5=1,INDEX('Live History'!$A$5:$A$3004,AH!$U$7+440),INDEX('AH History'!$A$5:$A$1380,AH!$U$7+440))),""))</f>
        <v/>
      </c>
      <c r="B445" s="33">
        <f>IFERROR(IF(AH!$U$11=1,NA(),$J445/$E445-1),NA())</f>
        <v/>
      </c>
      <c r="C445" s="269">
        <f>IFERROR(100*$E445/$E$5,NA())</f>
        <v/>
      </c>
      <c r="D445" s="269">
        <f>IFERROR(100*$J445/$J$5,NA())</f>
        <v/>
      </c>
      <c r="E445" s="32">
        <f>IFERROR(IF(AND(ISNUMBER($A445),N(IF(AND(AH!$U$12=1,440+1=AH!$U$6),IF(AH!$U$4=0,"unavailable",INDEX('Market Data'!$AN$5:$AN$66,AH!$U$4)),IF(AH!$U$5=1,INDEX('Live History'!$B$5:$B$3004,$K445),INDEX('AH History'!$D$5:$GG$1380,$K445,AH!$U$10))))&gt;0),IF(AND(AH!$U$12=1,440+1=AH!$U$6),IF(AH!$U$4=0,"unavailable",INDEX('Market Data'!$AN$5:$AN$66,AH!$U$4)),IF(AH!$U$5=1,INDEX('Live History'!$B$5:$B$3004,$K445),INDEX('AH History'!$D$5:$GG$1380,$K445,AH!$U$10))),NA()),NA())</f>
        <v/>
      </c>
      <c r="F445" s="32">
        <f>IFERROR(IF(ISNUMBER($A445),IF(AND(AH!$U$12=1,440+1=AH!$U$6),IF(AH!$U$4=0,"unavailable",INDEX('Market Data'!$AO$5:$AO$66,AH!$U$4)),IF(AH!$U$5=1,INDEX('Live History'!$E$5:$E$3004,MATCH($A445,'Live History'!$D$5:$D$3004,1)),INDEX('AH History'!$D$5:$GG$1380,$K445,AH!$U$10+1))),NA()),NA())</f>
        <v/>
      </c>
      <c r="G445" s="34">
        <f>IFERROR(IF(ISNUMBER($A445),IF(AND(AH!$U$12=1,440+1=AH!$U$6),IF(AH!$U$4=0,"unavailable",INDEX('Market Data'!$AK$5:$AK$66,AH!$U$4)),IF(AH!$U$5=1,INDEX('Live History'!$D$5:$D$3004,MATCH($A445,'Live History'!$D$5:$D$3004,1)),INDEX('AH History'!$D$5:$GG$1380,$K445,AH!$U$10+2))),NA()),NA())</f>
        <v/>
      </c>
      <c r="H445" s="266">
        <f>IFERROR(IF(ISNUMBER($A445),IF(AND(AH!$U$12=1,440+1=AH!$U$6),IF(AH!$U$4=0,"unavailable",INDEX('Market Data'!$AP$5:$AP$66,AH!$U$4)),IF(AH!$U$5=1,INDEX('Live History'!$H$5:$H$3004,MATCH($A445,'Live History'!$G$5:$G$3004,1)),INDEX('AH History'!$B$5:$B$1380,$K445))),NA()),NA())</f>
        <v/>
      </c>
      <c r="I445" s="34">
        <f>IFERROR(IF(ISNUMBER($A445),IF(AND(AH!$U$12=1,440+1=AH!$U$6),TODAY(),IF(AH!$U$5=1,INDEX('Live History'!$G$5:$G$3004,MATCH($A445,'Live History'!$G$5:$G$3004,1)),INDEX('AH History'!$C$5:$C$1380,$K445))),NA()),NA())</f>
        <v/>
      </c>
      <c r="J445" s="32">
        <f>IFERROR(IF(AND($F445&gt;0,$H445&gt;0,$A445-$G445&lt;=10,$A445-$I445&lt;=5,$G445&gt;0,$I445&gt;0),$F445*$H445,NA()),NA())</f>
        <v/>
      </c>
      <c r="K445" s="15">
        <f>IF($A445="","",IF(AH!$U$5=1,IFERROR(MATCH($A445,'Live History'!$A$5:$A$3004,0),0),AH!$U$7+440))</f>
        <v/>
      </c>
      <c r="L445" s="15">
        <f>IF(ISNUMBER(A445),TEXT(A445,"dd-mmm-yy"),"")</f>
        <v/>
      </c>
    </row>
    <row r="446">
      <c r="A446" s="14">
        <f>IF(OR(AH!$U$4=0,441+1&gt;AH!$U$6,AND(AH!$M$5="Bloomberg",AH!$U$5=0)),"",IFERROR(IF(AND(AH!$U$12=1,441+1=AH!$U$6),TODAY(),IF(AH!$U$5=1,INDEX('Live History'!$A$5:$A$3004,AH!$U$7+441),INDEX('AH History'!$A$5:$A$1380,AH!$U$7+441))),""))</f>
        <v/>
      </c>
      <c r="B446" s="33">
        <f>IFERROR(IF(AH!$U$11=1,NA(),$J446/$E446-1),NA())</f>
        <v/>
      </c>
      <c r="C446" s="269">
        <f>IFERROR(100*$E446/$E$5,NA())</f>
        <v/>
      </c>
      <c r="D446" s="269">
        <f>IFERROR(100*$J446/$J$5,NA())</f>
        <v/>
      </c>
      <c r="E446" s="32">
        <f>IFERROR(IF(AND(ISNUMBER($A446),N(IF(AND(AH!$U$12=1,441+1=AH!$U$6),IF(AH!$U$4=0,"unavailable",INDEX('Market Data'!$AN$5:$AN$66,AH!$U$4)),IF(AH!$U$5=1,INDEX('Live History'!$B$5:$B$3004,$K446),INDEX('AH History'!$D$5:$GG$1380,$K446,AH!$U$10))))&gt;0),IF(AND(AH!$U$12=1,441+1=AH!$U$6),IF(AH!$U$4=0,"unavailable",INDEX('Market Data'!$AN$5:$AN$66,AH!$U$4)),IF(AH!$U$5=1,INDEX('Live History'!$B$5:$B$3004,$K446),INDEX('AH History'!$D$5:$GG$1380,$K446,AH!$U$10))),NA()),NA())</f>
        <v/>
      </c>
      <c r="F446" s="32">
        <f>IFERROR(IF(ISNUMBER($A446),IF(AND(AH!$U$12=1,441+1=AH!$U$6),IF(AH!$U$4=0,"unavailable",INDEX('Market Data'!$AO$5:$AO$66,AH!$U$4)),IF(AH!$U$5=1,INDEX('Live History'!$E$5:$E$3004,MATCH($A446,'Live History'!$D$5:$D$3004,1)),INDEX('AH History'!$D$5:$GG$1380,$K446,AH!$U$10+1))),NA()),NA())</f>
        <v/>
      </c>
      <c r="G446" s="34">
        <f>IFERROR(IF(ISNUMBER($A446),IF(AND(AH!$U$12=1,441+1=AH!$U$6),IF(AH!$U$4=0,"unavailable",INDEX('Market Data'!$AK$5:$AK$66,AH!$U$4)),IF(AH!$U$5=1,INDEX('Live History'!$D$5:$D$3004,MATCH($A446,'Live History'!$D$5:$D$3004,1)),INDEX('AH History'!$D$5:$GG$1380,$K446,AH!$U$10+2))),NA()),NA())</f>
        <v/>
      </c>
      <c r="H446" s="266">
        <f>IFERROR(IF(ISNUMBER($A446),IF(AND(AH!$U$12=1,441+1=AH!$U$6),IF(AH!$U$4=0,"unavailable",INDEX('Market Data'!$AP$5:$AP$66,AH!$U$4)),IF(AH!$U$5=1,INDEX('Live History'!$H$5:$H$3004,MATCH($A446,'Live History'!$G$5:$G$3004,1)),INDEX('AH History'!$B$5:$B$1380,$K446))),NA()),NA())</f>
        <v/>
      </c>
      <c r="I446" s="34">
        <f>IFERROR(IF(ISNUMBER($A446),IF(AND(AH!$U$12=1,441+1=AH!$U$6),TODAY(),IF(AH!$U$5=1,INDEX('Live History'!$G$5:$G$3004,MATCH($A446,'Live History'!$G$5:$G$3004,1)),INDEX('AH History'!$C$5:$C$1380,$K446))),NA()),NA())</f>
        <v/>
      </c>
      <c r="J446" s="32">
        <f>IFERROR(IF(AND($F446&gt;0,$H446&gt;0,$A446-$G446&lt;=10,$A446-$I446&lt;=5,$G446&gt;0,$I446&gt;0),$F446*$H446,NA()),NA())</f>
        <v/>
      </c>
      <c r="K446" s="15">
        <f>IF($A446="","",IF(AH!$U$5=1,IFERROR(MATCH($A446,'Live History'!$A$5:$A$3004,0),0),AH!$U$7+441))</f>
        <v/>
      </c>
      <c r="L446" s="15">
        <f>IF(ISNUMBER(A446),TEXT(A446,"dd-mmm-yy"),"")</f>
        <v/>
      </c>
    </row>
    <row r="447">
      <c r="A447" s="14">
        <f>IF(OR(AH!$U$4=0,442+1&gt;AH!$U$6,AND(AH!$M$5="Bloomberg",AH!$U$5=0)),"",IFERROR(IF(AND(AH!$U$12=1,442+1=AH!$U$6),TODAY(),IF(AH!$U$5=1,INDEX('Live History'!$A$5:$A$3004,AH!$U$7+442),INDEX('AH History'!$A$5:$A$1380,AH!$U$7+442))),""))</f>
        <v/>
      </c>
      <c r="B447" s="33">
        <f>IFERROR(IF(AH!$U$11=1,NA(),$J447/$E447-1),NA())</f>
        <v/>
      </c>
      <c r="C447" s="269">
        <f>IFERROR(100*$E447/$E$5,NA())</f>
        <v/>
      </c>
      <c r="D447" s="269">
        <f>IFERROR(100*$J447/$J$5,NA())</f>
        <v/>
      </c>
      <c r="E447" s="32">
        <f>IFERROR(IF(AND(ISNUMBER($A447),N(IF(AND(AH!$U$12=1,442+1=AH!$U$6),IF(AH!$U$4=0,"unavailable",INDEX('Market Data'!$AN$5:$AN$66,AH!$U$4)),IF(AH!$U$5=1,INDEX('Live History'!$B$5:$B$3004,$K447),INDEX('AH History'!$D$5:$GG$1380,$K447,AH!$U$10))))&gt;0),IF(AND(AH!$U$12=1,442+1=AH!$U$6),IF(AH!$U$4=0,"unavailable",INDEX('Market Data'!$AN$5:$AN$66,AH!$U$4)),IF(AH!$U$5=1,INDEX('Live History'!$B$5:$B$3004,$K447),INDEX('AH History'!$D$5:$GG$1380,$K447,AH!$U$10))),NA()),NA())</f>
        <v/>
      </c>
      <c r="F447" s="32">
        <f>IFERROR(IF(ISNUMBER($A447),IF(AND(AH!$U$12=1,442+1=AH!$U$6),IF(AH!$U$4=0,"unavailable",INDEX('Market Data'!$AO$5:$AO$66,AH!$U$4)),IF(AH!$U$5=1,INDEX('Live History'!$E$5:$E$3004,MATCH($A447,'Live History'!$D$5:$D$3004,1)),INDEX('AH History'!$D$5:$GG$1380,$K447,AH!$U$10+1))),NA()),NA())</f>
        <v/>
      </c>
      <c r="G447" s="34">
        <f>IFERROR(IF(ISNUMBER($A447),IF(AND(AH!$U$12=1,442+1=AH!$U$6),IF(AH!$U$4=0,"unavailable",INDEX('Market Data'!$AK$5:$AK$66,AH!$U$4)),IF(AH!$U$5=1,INDEX('Live History'!$D$5:$D$3004,MATCH($A447,'Live History'!$D$5:$D$3004,1)),INDEX('AH History'!$D$5:$GG$1380,$K447,AH!$U$10+2))),NA()),NA())</f>
        <v/>
      </c>
      <c r="H447" s="266">
        <f>IFERROR(IF(ISNUMBER($A447),IF(AND(AH!$U$12=1,442+1=AH!$U$6),IF(AH!$U$4=0,"unavailable",INDEX('Market Data'!$AP$5:$AP$66,AH!$U$4)),IF(AH!$U$5=1,INDEX('Live History'!$H$5:$H$3004,MATCH($A447,'Live History'!$G$5:$G$3004,1)),INDEX('AH History'!$B$5:$B$1380,$K447))),NA()),NA())</f>
        <v/>
      </c>
      <c r="I447" s="34">
        <f>IFERROR(IF(ISNUMBER($A447),IF(AND(AH!$U$12=1,442+1=AH!$U$6),TODAY(),IF(AH!$U$5=1,INDEX('Live History'!$G$5:$G$3004,MATCH($A447,'Live History'!$G$5:$G$3004,1)),INDEX('AH History'!$C$5:$C$1380,$K447))),NA()),NA())</f>
        <v/>
      </c>
      <c r="J447" s="32">
        <f>IFERROR(IF(AND($F447&gt;0,$H447&gt;0,$A447-$G447&lt;=10,$A447-$I447&lt;=5,$G447&gt;0,$I447&gt;0),$F447*$H447,NA()),NA())</f>
        <v/>
      </c>
      <c r="K447" s="15">
        <f>IF($A447="","",IF(AH!$U$5=1,IFERROR(MATCH($A447,'Live History'!$A$5:$A$3004,0),0),AH!$U$7+442))</f>
        <v/>
      </c>
      <c r="L447" s="15">
        <f>IF(ISNUMBER(A447),TEXT(A447,"dd-mmm-yy"),"")</f>
        <v/>
      </c>
    </row>
    <row r="448">
      <c r="A448" s="14">
        <f>IF(OR(AH!$U$4=0,443+1&gt;AH!$U$6,AND(AH!$M$5="Bloomberg",AH!$U$5=0)),"",IFERROR(IF(AND(AH!$U$12=1,443+1=AH!$U$6),TODAY(),IF(AH!$U$5=1,INDEX('Live History'!$A$5:$A$3004,AH!$U$7+443),INDEX('AH History'!$A$5:$A$1380,AH!$U$7+443))),""))</f>
        <v/>
      </c>
      <c r="B448" s="33">
        <f>IFERROR(IF(AH!$U$11=1,NA(),$J448/$E448-1),NA())</f>
        <v/>
      </c>
      <c r="C448" s="269">
        <f>IFERROR(100*$E448/$E$5,NA())</f>
        <v/>
      </c>
      <c r="D448" s="269">
        <f>IFERROR(100*$J448/$J$5,NA())</f>
        <v/>
      </c>
      <c r="E448" s="32">
        <f>IFERROR(IF(AND(ISNUMBER($A448),N(IF(AND(AH!$U$12=1,443+1=AH!$U$6),IF(AH!$U$4=0,"unavailable",INDEX('Market Data'!$AN$5:$AN$66,AH!$U$4)),IF(AH!$U$5=1,INDEX('Live History'!$B$5:$B$3004,$K448),INDEX('AH History'!$D$5:$GG$1380,$K448,AH!$U$10))))&gt;0),IF(AND(AH!$U$12=1,443+1=AH!$U$6),IF(AH!$U$4=0,"unavailable",INDEX('Market Data'!$AN$5:$AN$66,AH!$U$4)),IF(AH!$U$5=1,INDEX('Live History'!$B$5:$B$3004,$K448),INDEX('AH History'!$D$5:$GG$1380,$K448,AH!$U$10))),NA()),NA())</f>
        <v/>
      </c>
      <c r="F448" s="32">
        <f>IFERROR(IF(ISNUMBER($A448),IF(AND(AH!$U$12=1,443+1=AH!$U$6),IF(AH!$U$4=0,"unavailable",INDEX('Market Data'!$AO$5:$AO$66,AH!$U$4)),IF(AH!$U$5=1,INDEX('Live History'!$E$5:$E$3004,MATCH($A448,'Live History'!$D$5:$D$3004,1)),INDEX('AH History'!$D$5:$GG$1380,$K448,AH!$U$10+1))),NA()),NA())</f>
        <v/>
      </c>
      <c r="G448" s="34">
        <f>IFERROR(IF(ISNUMBER($A448),IF(AND(AH!$U$12=1,443+1=AH!$U$6),IF(AH!$U$4=0,"unavailable",INDEX('Market Data'!$AK$5:$AK$66,AH!$U$4)),IF(AH!$U$5=1,INDEX('Live History'!$D$5:$D$3004,MATCH($A448,'Live History'!$D$5:$D$3004,1)),INDEX('AH History'!$D$5:$GG$1380,$K448,AH!$U$10+2))),NA()),NA())</f>
        <v/>
      </c>
      <c r="H448" s="266">
        <f>IFERROR(IF(ISNUMBER($A448),IF(AND(AH!$U$12=1,443+1=AH!$U$6),IF(AH!$U$4=0,"unavailable",INDEX('Market Data'!$AP$5:$AP$66,AH!$U$4)),IF(AH!$U$5=1,INDEX('Live History'!$H$5:$H$3004,MATCH($A448,'Live History'!$G$5:$G$3004,1)),INDEX('AH History'!$B$5:$B$1380,$K448))),NA()),NA())</f>
        <v/>
      </c>
      <c r="I448" s="34">
        <f>IFERROR(IF(ISNUMBER($A448),IF(AND(AH!$U$12=1,443+1=AH!$U$6),TODAY(),IF(AH!$U$5=1,INDEX('Live History'!$G$5:$G$3004,MATCH($A448,'Live History'!$G$5:$G$3004,1)),INDEX('AH History'!$C$5:$C$1380,$K448))),NA()),NA())</f>
        <v/>
      </c>
      <c r="J448" s="32">
        <f>IFERROR(IF(AND($F448&gt;0,$H448&gt;0,$A448-$G448&lt;=10,$A448-$I448&lt;=5,$G448&gt;0,$I448&gt;0),$F448*$H448,NA()),NA())</f>
        <v/>
      </c>
      <c r="K448" s="15">
        <f>IF($A448="","",IF(AH!$U$5=1,IFERROR(MATCH($A448,'Live History'!$A$5:$A$3004,0),0),AH!$U$7+443))</f>
        <v/>
      </c>
      <c r="L448" s="15">
        <f>IF(ISNUMBER(A448),TEXT(A448,"dd-mmm-yy"),"")</f>
        <v/>
      </c>
    </row>
    <row r="449">
      <c r="A449" s="14">
        <f>IF(OR(AH!$U$4=0,444+1&gt;AH!$U$6,AND(AH!$M$5="Bloomberg",AH!$U$5=0)),"",IFERROR(IF(AND(AH!$U$12=1,444+1=AH!$U$6),TODAY(),IF(AH!$U$5=1,INDEX('Live History'!$A$5:$A$3004,AH!$U$7+444),INDEX('AH History'!$A$5:$A$1380,AH!$U$7+444))),""))</f>
        <v/>
      </c>
      <c r="B449" s="33">
        <f>IFERROR(IF(AH!$U$11=1,NA(),$J449/$E449-1),NA())</f>
        <v/>
      </c>
      <c r="C449" s="269">
        <f>IFERROR(100*$E449/$E$5,NA())</f>
        <v/>
      </c>
      <c r="D449" s="269">
        <f>IFERROR(100*$J449/$J$5,NA())</f>
        <v/>
      </c>
      <c r="E449" s="32">
        <f>IFERROR(IF(AND(ISNUMBER($A449),N(IF(AND(AH!$U$12=1,444+1=AH!$U$6),IF(AH!$U$4=0,"unavailable",INDEX('Market Data'!$AN$5:$AN$66,AH!$U$4)),IF(AH!$U$5=1,INDEX('Live History'!$B$5:$B$3004,$K449),INDEX('AH History'!$D$5:$GG$1380,$K449,AH!$U$10))))&gt;0),IF(AND(AH!$U$12=1,444+1=AH!$U$6),IF(AH!$U$4=0,"unavailable",INDEX('Market Data'!$AN$5:$AN$66,AH!$U$4)),IF(AH!$U$5=1,INDEX('Live History'!$B$5:$B$3004,$K449),INDEX('AH History'!$D$5:$GG$1380,$K449,AH!$U$10))),NA()),NA())</f>
        <v/>
      </c>
      <c r="F449" s="32">
        <f>IFERROR(IF(ISNUMBER($A449),IF(AND(AH!$U$12=1,444+1=AH!$U$6),IF(AH!$U$4=0,"unavailable",INDEX('Market Data'!$AO$5:$AO$66,AH!$U$4)),IF(AH!$U$5=1,INDEX('Live History'!$E$5:$E$3004,MATCH($A449,'Live History'!$D$5:$D$3004,1)),INDEX('AH History'!$D$5:$GG$1380,$K449,AH!$U$10+1))),NA()),NA())</f>
        <v/>
      </c>
      <c r="G449" s="34">
        <f>IFERROR(IF(ISNUMBER($A449),IF(AND(AH!$U$12=1,444+1=AH!$U$6),IF(AH!$U$4=0,"unavailable",INDEX('Market Data'!$AK$5:$AK$66,AH!$U$4)),IF(AH!$U$5=1,INDEX('Live History'!$D$5:$D$3004,MATCH($A449,'Live History'!$D$5:$D$3004,1)),INDEX('AH History'!$D$5:$GG$1380,$K449,AH!$U$10+2))),NA()),NA())</f>
        <v/>
      </c>
      <c r="H449" s="266">
        <f>IFERROR(IF(ISNUMBER($A449),IF(AND(AH!$U$12=1,444+1=AH!$U$6),IF(AH!$U$4=0,"unavailable",INDEX('Market Data'!$AP$5:$AP$66,AH!$U$4)),IF(AH!$U$5=1,INDEX('Live History'!$H$5:$H$3004,MATCH($A449,'Live History'!$G$5:$G$3004,1)),INDEX('AH History'!$B$5:$B$1380,$K449))),NA()),NA())</f>
        <v/>
      </c>
      <c r="I449" s="34">
        <f>IFERROR(IF(ISNUMBER($A449),IF(AND(AH!$U$12=1,444+1=AH!$U$6),TODAY(),IF(AH!$U$5=1,INDEX('Live History'!$G$5:$G$3004,MATCH($A449,'Live History'!$G$5:$G$3004,1)),INDEX('AH History'!$C$5:$C$1380,$K449))),NA()),NA())</f>
        <v/>
      </c>
      <c r="J449" s="32">
        <f>IFERROR(IF(AND($F449&gt;0,$H449&gt;0,$A449-$G449&lt;=10,$A449-$I449&lt;=5,$G449&gt;0,$I449&gt;0),$F449*$H449,NA()),NA())</f>
        <v/>
      </c>
      <c r="K449" s="15">
        <f>IF($A449="","",IF(AH!$U$5=1,IFERROR(MATCH($A449,'Live History'!$A$5:$A$3004,0),0),AH!$U$7+444))</f>
        <v/>
      </c>
      <c r="L449" s="15">
        <f>IF(ISNUMBER(A449),TEXT(A449,"dd-mmm-yy"),"")</f>
        <v/>
      </c>
    </row>
    <row r="450">
      <c r="A450" s="14">
        <f>IF(OR(AH!$U$4=0,445+1&gt;AH!$U$6,AND(AH!$M$5="Bloomberg",AH!$U$5=0)),"",IFERROR(IF(AND(AH!$U$12=1,445+1=AH!$U$6),TODAY(),IF(AH!$U$5=1,INDEX('Live History'!$A$5:$A$3004,AH!$U$7+445),INDEX('AH History'!$A$5:$A$1380,AH!$U$7+445))),""))</f>
        <v/>
      </c>
      <c r="B450" s="33">
        <f>IFERROR(IF(AH!$U$11=1,NA(),$J450/$E450-1),NA())</f>
        <v/>
      </c>
      <c r="C450" s="269">
        <f>IFERROR(100*$E450/$E$5,NA())</f>
        <v/>
      </c>
      <c r="D450" s="269">
        <f>IFERROR(100*$J450/$J$5,NA())</f>
        <v/>
      </c>
      <c r="E450" s="32">
        <f>IFERROR(IF(AND(ISNUMBER($A450),N(IF(AND(AH!$U$12=1,445+1=AH!$U$6),IF(AH!$U$4=0,"unavailable",INDEX('Market Data'!$AN$5:$AN$66,AH!$U$4)),IF(AH!$U$5=1,INDEX('Live History'!$B$5:$B$3004,$K450),INDEX('AH History'!$D$5:$GG$1380,$K450,AH!$U$10))))&gt;0),IF(AND(AH!$U$12=1,445+1=AH!$U$6),IF(AH!$U$4=0,"unavailable",INDEX('Market Data'!$AN$5:$AN$66,AH!$U$4)),IF(AH!$U$5=1,INDEX('Live History'!$B$5:$B$3004,$K450),INDEX('AH History'!$D$5:$GG$1380,$K450,AH!$U$10))),NA()),NA())</f>
        <v/>
      </c>
      <c r="F450" s="32">
        <f>IFERROR(IF(ISNUMBER($A450),IF(AND(AH!$U$12=1,445+1=AH!$U$6),IF(AH!$U$4=0,"unavailable",INDEX('Market Data'!$AO$5:$AO$66,AH!$U$4)),IF(AH!$U$5=1,INDEX('Live History'!$E$5:$E$3004,MATCH($A450,'Live History'!$D$5:$D$3004,1)),INDEX('AH History'!$D$5:$GG$1380,$K450,AH!$U$10+1))),NA()),NA())</f>
        <v/>
      </c>
      <c r="G450" s="34">
        <f>IFERROR(IF(ISNUMBER($A450),IF(AND(AH!$U$12=1,445+1=AH!$U$6),IF(AH!$U$4=0,"unavailable",INDEX('Market Data'!$AK$5:$AK$66,AH!$U$4)),IF(AH!$U$5=1,INDEX('Live History'!$D$5:$D$3004,MATCH($A450,'Live History'!$D$5:$D$3004,1)),INDEX('AH History'!$D$5:$GG$1380,$K450,AH!$U$10+2))),NA()),NA())</f>
        <v/>
      </c>
      <c r="H450" s="266">
        <f>IFERROR(IF(ISNUMBER($A450),IF(AND(AH!$U$12=1,445+1=AH!$U$6),IF(AH!$U$4=0,"unavailable",INDEX('Market Data'!$AP$5:$AP$66,AH!$U$4)),IF(AH!$U$5=1,INDEX('Live History'!$H$5:$H$3004,MATCH($A450,'Live History'!$G$5:$G$3004,1)),INDEX('AH History'!$B$5:$B$1380,$K450))),NA()),NA())</f>
        <v/>
      </c>
      <c r="I450" s="34">
        <f>IFERROR(IF(ISNUMBER($A450),IF(AND(AH!$U$12=1,445+1=AH!$U$6),TODAY(),IF(AH!$U$5=1,INDEX('Live History'!$G$5:$G$3004,MATCH($A450,'Live History'!$G$5:$G$3004,1)),INDEX('AH History'!$C$5:$C$1380,$K450))),NA()),NA())</f>
        <v/>
      </c>
      <c r="J450" s="32">
        <f>IFERROR(IF(AND($F450&gt;0,$H450&gt;0,$A450-$G450&lt;=10,$A450-$I450&lt;=5,$G450&gt;0,$I450&gt;0),$F450*$H450,NA()),NA())</f>
        <v/>
      </c>
      <c r="K450" s="15">
        <f>IF($A450="","",IF(AH!$U$5=1,IFERROR(MATCH($A450,'Live History'!$A$5:$A$3004,0),0),AH!$U$7+445))</f>
        <v/>
      </c>
      <c r="L450" s="15">
        <f>IF(ISNUMBER(A450),TEXT(A450,"dd-mmm-yy"),"")</f>
        <v/>
      </c>
    </row>
    <row r="451">
      <c r="A451" s="14">
        <f>IF(OR(AH!$U$4=0,446+1&gt;AH!$U$6,AND(AH!$M$5="Bloomberg",AH!$U$5=0)),"",IFERROR(IF(AND(AH!$U$12=1,446+1=AH!$U$6),TODAY(),IF(AH!$U$5=1,INDEX('Live History'!$A$5:$A$3004,AH!$U$7+446),INDEX('AH History'!$A$5:$A$1380,AH!$U$7+446))),""))</f>
        <v/>
      </c>
      <c r="B451" s="33">
        <f>IFERROR(IF(AH!$U$11=1,NA(),$J451/$E451-1),NA())</f>
        <v/>
      </c>
      <c r="C451" s="269">
        <f>IFERROR(100*$E451/$E$5,NA())</f>
        <v/>
      </c>
      <c r="D451" s="269">
        <f>IFERROR(100*$J451/$J$5,NA())</f>
        <v/>
      </c>
      <c r="E451" s="32">
        <f>IFERROR(IF(AND(ISNUMBER($A451),N(IF(AND(AH!$U$12=1,446+1=AH!$U$6),IF(AH!$U$4=0,"unavailable",INDEX('Market Data'!$AN$5:$AN$66,AH!$U$4)),IF(AH!$U$5=1,INDEX('Live History'!$B$5:$B$3004,$K451),INDEX('AH History'!$D$5:$GG$1380,$K451,AH!$U$10))))&gt;0),IF(AND(AH!$U$12=1,446+1=AH!$U$6),IF(AH!$U$4=0,"unavailable",INDEX('Market Data'!$AN$5:$AN$66,AH!$U$4)),IF(AH!$U$5=1,INDEX('Live History'!$B$5:$B$3004,$K451),INDEX('AH History'!$D$5:$GG$1380,$K451,AH!$U$10))),NA()),NA())</f>
        <v/>
      </c>
      <c r="F451" s="32">
        <f>IFERROR(IF(ISNUMBER($A451),IF(AND(AH!$U$12=1,446+1=AH!$U$6),IF(AH!$U$4=0,"unavailable",INDEX('Market Data'!$AO$5:$AO$66,AH!$U$4)),IF(AH!$U$5=1,INDEX('Live History'!$E$5:$E$3004,MATCH($A451,'Live History'!$D$5:$D$3004,1)),INDEX('AH History'!$D$5:$GG$1380,$K451,AH!$U$10+1))),NA()),NA())</f>
        <v/>
      </c>
      <c r="G451" s="34">
        <f>IFERROR(IF(ISNUMBER($A451),IF(AND(AH!$U$12=1,446+1=AH!$U$6),IF(AH!$U$4=0,"unavailable",INDEX('Market Data'!$AK$5:$AK$66,AH!$U$4)),IF(AH!$U$5=1,INDEX('Live History'!$D$5:$D$3004,MATCH($A451,'Live History'!$D$5:$D$3004,1)),INDEX('AH History'!$D$5:$GG$1380,$K451,AH!$U$10+2))),NA()),NA())</f>
        <v/>
      </c>
      <c r="H451" s="266">
        <f>IFERROR(IF(ISNUMBER($A451),IF(AND(AH!$U$12=1,446+1=AH!$U$6),IF(AH!$U$4=0,"unavailable",INDEX('Market Data'!$AP$5:$AP$66,AH!$U$4)),IF(AH!$U$5=1,INDEX('Live History'!$H$5:$H$3004,MATCH($A451,'Live History'!$G$5:$G$3004,1)),INDEX('AH History'!$B$5:$B$1380,$K451))),NA()),NA())</f>
        <v/>
      </c>
      <c r="I451" s="34">
        <f>IFERROR(IF(ISNUMBER($A451),IF(AND(AH!$U$12=1,446+1=AH!$U$6),TODAY(),IF(AH!$U$5=1,INDEX('Live History'!$G$5:$G$3004,MATCH($A451,'Live History'!$G$5:$G$3004,1)),INDEX('AH History'!$C$5:$C$1380,$K451))),NA()),NA())</f>
        <v/>
      </c>
      <c r="J451" s="32">
        <f>IFERROR(IF(AND($F451&gt;0,$H451&gt;0,$A451-$G451&lt;=10,$A451-$I451&lt;=5,$G451&gt;0,$I451&gt;0),$F451*$H451,NA()),NA())</f>
        <v/>
      </c>
      <c r="K451" s="15">
        <f>IF($A451="","",IF(AH!$U$5=1,IFERROR(MATCH($A451,'Live History'!$A$5:$A$3004,0),0),AH!$U$7+446))</f>
        <v/>
      </c>
      <c r="L451" s="15">
        <f>IF(ISNUMBER(A451),TEXT(A451,"dd-mmm-yy"),"")</f>
        <v/>
      </c>
    </row>
    <row r="452">
      <c r="A452" s="14">
        <f>IF(OR(AH!$U$4=0,447+1&gt;AH!$U$6,AND(AH!$M$5="Bloomberg",AH!$U$5=0)),"",IFERROR(IF(AND(AH!$U$12=1,447+1=AH!$U$6),TODAY(),IF(AH!$U$5=1,INDEX('Live History'!$A$5:$A$3004,AH!$U$7+447),INDEX('AH History'!$A$5:$A$1380,AH!$U$7+447))),""))</f>
        <v/>
      </c>
      <c r="B452" s="33">
        <f>IFERROR(IF(AH!$U$11=1,NA(),$J452/$E452-1),NA())</f>
        <v/>
      </c>
      <c r="C452" s="269">
        <f>IFERROR(100*$E452/$E$5,NA())</f>
        <v/>
      </c>
      <c r="D452" s="269">
        <f>IFERROR(100*$J452/$J$5,NA())</f>
        <v/>
      </c>
      <c r="E452" s="32">
        <f>IFERROR(IF(AND(ISNUMBER($A452),N(IF(AND(AH!$U$12=1,447+1=AH!$U$6),IF(AH!$U$4=0,"unavailable",INDEX('Market Data'!$AN$5:$AN$66,AH!$U$4)),IF(AH!$U$5=1,INDEX('Live History'!$B$5:$B$3004,$K452),INDEX('AH History'!$D$5:$GG$1380,$K452,AH!$U$10))))&gt;0),IF(AND(AH!$U$12=1,447+1=AH!$U$6),IF(AH!$U$4=0,"unavailable",INDEX('Market Data'!$AN$5:$AN$66,AH!$U$4)),IF(AH!$U$5=1,INDEX('Live History'!$B$5:$B$3004,$K452),INDEX('AH History'!$D$5:$GG$1380,$K452,AH!$U$10))),NA()),NA())</f>
        <v/>
      </c>
      <c r="F452" s="32">
        <f>IFERROR(IF(ISNUMBER($A452),IF(AND(AH!$U$12=1,447+1=AH!$U$6),IF(AH!$U$4=0,"unavailable",INDEX('Market Data'!$AO$5:$AO$66,AH!$U$4)),IF(AH!$U$5=1,INDEX('Live History'!$E$5:$E$3004,MATCH($A452,'Live History'!$D$5:$D$3004,1)),INDEX('AH History'!$D$5:$GG$1380,$K452,AH!$U$10+1))),NA()),NA())</f>
        <v/>
      </c>
      <c r="G452" s="34">
        <f>IFERROR(IF(ISNUMBER($A452),IF(AND(AH!$U$12=1,447+1=AH!$U$6),IF(AH!$U$4=0,"unavailable",INDEX('Market Data'!$AK$5:$AK$66,AH!$U$4)),IF(AH!$U$5=1,INDEX('Live History'!$D$5:$D$3004,MATCH($A452,'Live History'!$D$5:$D$3004,1)),INDEX('AH History'!$D$5:$GG$1380,$K452,AH!$U$10+2))),NA()),NA())</f>
        <v/>
      </c>
      <c r="H452" s="266">
        <f>IFERROR(IF(ISNUMBER($A452),IF(AND(AH!$U$12=1,447+1=AH!$U$6),IF(AH!$U$4=0,"unavailable",INDEX('Market Data'!$AP$5:$AP$66,AH!$U$4)),IF(AH!$U$5=1,INDEX('Live History'!$H$5:$H$3004,MATCH($A452,'Live History'!$G$5:$G$3004,1)),INDEX('AH History'!$B$5:$B$1380,$K452))),NA()),NA())</f>
        <v/>
      </c>
      <c r="I452" s="34">
        <f>IFERROR(IF(ISNUMBER($A452),IF(AND(AH!$U$12=1,447+1=AH!$U$6),TODAY(),IF(AH!$U$5=1,INDEX('Live History'!$G$5:$G$3004,MATCH($A452,'Live History'!$G$5:$G$3004,1)),INDEX('AH History'!$C$5:$C$1380,$K452))),NA()),NA())</f>
        <v/>
      </c>
      <c r="J452" s="32">
        <f>IFERROR(IF(AND($F452&gt;0,$H452&gt;0,$A452-$G452&lt;=10,$A452-$I452&lt;=5,$G452&gt;0,$I452&gt;0),$F452*$H452,NA()),NA())</f>
        <v/>
      </c>
      <c r="K452" s="15">
        <f>IF($A452="","",IF(AH!$U$5=1,IFERROR(MATCH($A452,'Live History'!$A$5:$A$3004,0),0),AH!$U$7+447))</f>
        <v/>
      </c>
      <c r="L452" s="15">
        <f>IF(ISNUMBER(A452),TEXT(A452,"dd-mmm-yy"),"")</f>
        <v/>
      </c>
    </row>
    <row r="453">
      <c r="A453" s="14">
        <f>IF(OR(AH!$U$4=0,448+1&gt;AH!$U$6,AND(AH!$M$5="Bloomberg",AH!$U$5=0)),"",IFERROR(IF(AND(AH!$U$12=1,448+1=AH!$U$6),TODAY(),IF(AH!$U$5=1,INDEX('Live History'!$A$5:$A$3004,AH!$U$7+448),INDEX('AH History'!$A$5:$A$1380,AH!$U$7+448))),""))</f>
        <v/>
      </c>
      <c r="B453" s="33">
        <f>IFERROR(IF(AH!$U$11=1,NA(),$J453/$E453-1),NA())</f>
        <v/>
      </c>
      <c r="C453" s="269">
        <f>IFERROR(100*$E453/$E$5,NA())</f>
        <v/>
      </c>
      <c r="D453" s="269">
        <f>IFERROR(100*$J453/$J$5,NA())</f>
        <v/>
      </c>
      <c r="E453" s="32">
        <f>IFERROR(IF(AND(ISNUMBER($A453),N(IF(AND(AH!$U$12=1,448+1=AH!$U$6),IF(AH!$U$4=0,"unavailable",INDEX('Market Data'!$AN$5:$AN$66,AH!$U$4)),IF(AH!$U$5=1,INDEX('Live History'!$B$5:$B$3004,$K453),INDEX('AH History'!$D$5:$GG$1380,$K453,AH!$U$10))))&gt;0),IF(AND(AH!$U$12=1,448+1=AH!$U$6),IF(AH!$U$4=0,"unavailable",INDEX('Market Data'!$AN$5:$AN$66,AH!$U$4)),IF(AH!$U$5=1,INDEX('Live History'!$B$5:$B$3004,$K453),INDEX('AH History'!$D$5:$GG$1380,$K453,AH!$U$10))),NA()),NA())</f>
        <v/>
      </c>
      <c r="F453" s="32">
        <f>IFERROR(IF(ISNUMBER($A453),IF(AND(AH!$U$12=1,448+1=AH!$U$6),IF(AH!$U$4=0,"unavailable",INDEX('Market Data'!$AO$5:$AO$66,AH!$U$4)),IF(AH!$U$5=1,INDEX('Live History'!$E$5:$E$3004,MATCH($A453,'Live History'!$D$5:$D$3004,1)),INDEX('AH History'!$D$5:$GG$1380,$K453,AH!$U$10+1))),NA()),NA())</f>
        <v/>
      </c>
      <c r="G453" s="34">
        <f>IFERROR(IF(ISNUMBER($A453),IF(AND(AH!$U$12=1,448+1=AH!$U$6),IF(AH!$U$4=0,"unavailable",INDEX('Market Data'!$AK$5:$AK$66,AH!$U$4)),IF(AH!$U$5=1,INDEX('Live History'!$D$5:$D$3004,MATCH($A453,'Live History'!$D$5:$D$3004,1)),INDEX('AH History'!$D$5:$GG$1380,$K453,AH!$U$10+2))),NA()),NA())</f>
        <v/>
      </c>
      <c r="H453" s="266">
        <f>IFERROR(IF(ISNUMBER($A453),IF(AND(AH!$U$12=1,448+1=AH!$U$6),IF(AH!$U$4=0,"unavailable",INDEX('Market Data'!$AP$5:$AP$66,AH!$U$4)),IF(AH!$U$5=1,INDEX('Live History'!$H$5:$H$3004,MATCH($A453,'Live History'!$G$5:$G$3004,1)),INDEX('AH History'!$B$5:$B$1380,$K453))),NA()),NA())</f>
        <v/>
      </c>
      <c r="I453" s="34">
        <f>IFERROR(IF(ISNUMBER($A453),IF(AND(AH!$U$12=1,448+1=AH!$U$6),TODAY(),IF(AH!$U$5=1,INDEX('Live History'!$G$5:$G$3004,MATCH($A453,'Live History'!$G$5:$G$3004,1)),INDEX('AH History'!$C$5:$C$1380,$K453))),NA()),NA())</f>
        <v/>
      </c>
      <c r="J453" s="32">
        <f>IFERROR(IF(AND($F453&gt;0,$H453&gt;0,$A453-$G453&lt;=10,$A453-$I453&lt;=5,$G453&gt;0,$I453&gt;0),$F453*$H453,NA()),NA())</f>
        <v/>
      </c>
      <c r="K453" s="15">
        <f>IF($A453="","",IF(AH!$U$5=1,IFERROR(MATCH($A453,'Live History'!$A$5:$A$3004,0),0),AH!$U$7+448))</f>
        <v/>
      </c>
      <c r="L453" s="15">
        <f>IF(ISNUMBER(A453),TEXT(A453,"dd-mmm-yy"),"")</f>
        <v/>
      </c>
    </row>
    <row r="454">
      <c r="A454" s="14">
        <f>IF(OR(AH!$U$4=0,449+1&gt;AH!$U$6,AND(AH!$M$5="Bloomberg",AH!$U$5=0)),"",IFERROR(IF(AND(AH!$U$12=1,449+1=AH!$U$6),TODAY(),IF(AH!$U$5=1,INDEX('Live History'!$A$5:$A$3004,AH!$U$7+449),INDEX('AH History'!$A$5:$A$1380,AH!$U$7+449))),""))</f>
        <v/>
      </c>
      <c r="B454" s="33">
        <f>IFERROR(IF(AH!$U$11=1,NA(),$J454/$E454-1),NA())</f>
        <v/>
      </c>
      <c r="C454" s="269">
        <f>IFERROR(100*$E454/$E$5,NA())</f>
        <v/>
      </c>
      <c r="D454" s="269">
        <f>IFERROR(100*$J454/$J$5,NA())</f>
        <v/>
      </c>
      <c r="E454" s="32">
        <f>IFERROR(IF(AND(ISNUMBER($A454),N(IF(AND(AH!$U$12=1,449+1=AH!$U$6),IF(AH!$U$4=0,"unavailable",INDEX('Market Data'!$AN$5:$AN$66,AH!$U$4)),IF(AH!$U$5=1,INDEX('Live History'!$B$5:$B$3004,$K454),INDEX('AH History'!$D$5:$GG$1380,$K454,AH!$U$10))))&gt;0),IF(AND(AH!$U$12=1,449+1=AH!$U$6),IF(AH!$U$4=0,"unavailable",INDEX('Market Data'!$AN$5:$AN$66,AH!$U$4)),IF(AH!$U$5=1,INDEX('Live History'!$B$5:$B$3004,$K454),INDEX('AH History'!$D$5:$GG$1380,$K454,AH!$U$10))),NA()),NA())</f>
        <v/>
      </c>
      <c r="F454" s="32">
        <f>IFERROR(IF(ISNUMBER($A454),IF(AND(AH!$U$12=1,449+1=AH!$U$6),IF(AH!$U$4=0,"unavailable",INDEX('Market Data'!$AO$5:$AO$66,AH!$U$4)),IF(AH!$U$5=1,INDEX('Live History'!$E$5:$E$3004,MATCH($A454,'Live History'!$D$5:$D$3004,1)),INDEX('AH History'!$D$5:$GG$1380,$K454,AH!$U$10+1))),NA()),NA())</f>
        <v/>
      </c>
      <c r="G454" s="34">
        <f>IFERROR(IF(ISNUMBER($A454),IF(AND(AH!$U$12=1,449+1=AH!$U$6),IF(AH!$U$4=0,"unavailable",INDEX('Market Data'!$AK$5:$AK$66,AH!$U$4)),IF(AH!$U$5=1,INDEX('Live History'!$D$5:$D$3004,MATCH($A454,'Live History'!$D$5:$D$3004,1)),INDEX('AH History'!$D$5:$GG$1380,$K454,AH!$U$10+2))),NA()),NA())</f>
        <v/>
      </c>
      <c r="H454" s="266">
        <f>IFERROR(IF(ISNUMBER($A454),IF(AND(AH!$U$12=1,449+1=AH!$U$6),IF(AH!$U$4=0,"unavailable",INDEX('Market Data'!$AP$5:$AP$66,AH!$U$4)),IF(AH!$U$5=1,INDEX('Live History'!$H$5:$H$3004,MATCH($A454,'Live History'!$G$5:$G$3004,1)),INDEX('AH History'!$B$5:$B$1380,$K454))),NA()),NA())</f>
        <v/>
      </c>
      <c r="I454" s="34">
        <f>IFERROR(IF(ISNUMBER($A454),IF(AND(AH!$U$12=1,449+1=AH!$U$6),TODAY(),IF(AH!$U$5=1,INDEX('Live History'!$G$5:$G$3004,MATCH($A454,'Live History'!$G$5:$G$3004,1)),INDEX('AH History'!$C$5:$C$1380,$K454))),NA()),NA())</f>
        <v/>
      </c>
      <c r="J454" s="32">
        <f>IFERROR(IF(AND($F454&gt;0,$H454&gt;0,$A454-$G454&lt;=10,$A454-$I454&lt;=5,$G454&gt;0,$I454&gt;0),$F454*$H454,NA()),NA())</f>
        <v/>
      </c>
      <c r="K454" s="15">
        <f>IF($A454="","",IF(AH!$U$5=1,IFERROR(MATCH($A454,'Live History'!$A$5:$A$3004,0),0),AH!$U$7+449))</f>
        <v/>
      </c>
      <c r="L454" s="15">
        <f>IF(ISNUMBER(A454),TEXT(A454,"dd-mmm-yy"),"")</f>
        <v/>
      </c>
    </row>
    <row r="455">
      <c r="A455" s="14">
        <f>IF(OR(AH!$U$4=0,450+1&gt;AH!$U$6,AND(AH!$M$5="Bloomberg",AH!$U$5=0)),"",IFERROR(IF(AND(AH!$U$12=1,450+1=AH!$U$6),TODAY(),IF(AH!$U$5=1,INDEX('Live History'!$A$5:$A$3004,AH!$U$7+450),INDEX('AH History'!$A$5:$A$1380,AH!$U$7+450))),""))</f>
        <v/>
      </c>
      <c r="B455" s="33">
        <f>IFERROR(IF(AH!$U$11=1,NA(),$J455/$E455-1),NA())</f>
        <v/>
      </c>
      <c r="C455" s="269">
        <f>IFERROR(100*$E455/$E$5,NA())</f>
        <v/>
      </c>
      <c r="D455" s="269">
        <f>IFERROR(100*$J455/$J$5,NA())</f>
        <v/>
      </c>
      <c r="E455" s="32">
        <f>IFERROR(IF(AND(ISNUMBER($A455),N(IF(AND(AH!$U$12=1,450+1=AH!$U$6),IF(AH!$U$4=0,"unavailable",INDEX('Market Data'!$AN$5:$AN$66,AH!$U$4)),IF(AH!$U$5=1,INDEX('Live History'!$B$5:$B$3004,$K455),INDEX('AH History'!$D$5:$GG$1380,$K455,AH!$U$10))))&gt;0),IF(AND(AH!$U$12=1,450+1=AH!$U$6),IF(AH!$U$4=0,"unavailable",INDEX('Market Data'!$AN$5:$AN$66,AH!$U$4)),IF(AH!$U$5=1,INDEX('Live History'!$B$5:$B$3004,$K455),INDEX('AH History'!$D$5:$GG$1380,$K455,AH!$U$10))),NA()),NA())</f>
        <v/>
      </c>
      <c r="F455" s="32">
        <f>IFERROR(IF(ISNUMBER($A455),IF(AND(AH!$U$12=1,450+1=AH!$U$6),IF(AH!$U$4=0,"unavailable",INDEX('Market Data'!$AO$5:$AO$66,AH!$U$4)),IF(AH!$U$5=1,INDEX('Live History'!$E$5:$E$3004,MATCH($A455,'Live History'!$D$5:$D$3004,1)),INDEX('AH History'!$D$5:$GG$1380,$K455,AH!$U$10+1))),NA()),NA())</f>
        <v/>
      </c>
      <c r="G455" s="34">
        <f>IFERROR(IF(ISNUMBER($A455),IF(AND(AH!$U$12=1,450+1=AH!$U$6),IF(AH!$U$4=0,"unavailable",INDEX('Market Data'!$AK$5:$AK$66,AH!$U$4)),IF(AH!$U$5=1,INDEX('Live History'!$D$5:$D$3004,MATCH($A455,'Live History'!$D$5:$D$3004,1)),INDEX('AH History'!$D$5:$GG$1380,$K455,AH!$U$10+2))),NA()),NA())</f>
        <v/>
      </c>
      <c r="H455" s="266">
        <f>IFERROR(IF(ISNUMBER($A455),IF(AND(AH!$U$12=1,450+1=AH!$U$6),IF(AH!$U$4=0,"unavailable",INDEX('Market Data'!$AP$5:$AP$66,AH!$U$4)),IF(AH!$U$5=1,INDEX('Live History'!$H$5:$H$3004,MATCH($A455,'Live History'!$G$5:$G$3004,1)),INDEX('AH History'!$B$5:$B$1380,$K455))),NA()),NA())</f>
        <v/>
      </c>
      <c r="I455" s="34">
        <f>IFERROR(IF(ISNUMBER($A455),IF(AND(AH!$U$12=1,450+1=AH!$U$6),TODAY(),IF(AH!$U$5=1,INDEX('Live History'!$G$5:$G$3004,MATCH($A455,'Live History'!$G$5:$G$3004,1)),INDEX('AH History'!$C$5:$C$1380,$K455))),NA()),NA())</f>
        <v/>
      </c>
      <c r="J455" s="32">
        <f>IFERROR(IF(AND($F455&gt;0,$H455&gt;0,$A455-$G455&lt;=10,$A455-$I455&lt;=5,$G455&gt;0,$I455&gt;0),$F455*$H455,NA()),NA())</f>
        <v/>
      </c>
      <c r="K455" s="15">
        <f>IF($A455="","",IF(AH!$U$5=1,IFERROR(MATCH($A455,'Live History'!$A$5:$A$3004,0),0),AH!$U$7+450))</f>
        <v/>
      </c>
      <c r="L455" s="15">
        <f>IF(ISNUMBER(A455),TEXT(A455,"dd-mmm-yy"),"")</f>
        <v/>
      </c>
    </row>
    <row r="456">
      <c r="A456" s="14">
        <f>IF(OR(AH!$U$4=0,451+1&gt;AH!$U$6,AND(AH!$M$5="Bloomberg",AH!$U$5=0)),"",IFERROR(IF(AND(AH!$U$12=1,451+1=AH!$U$6),TODAY(),IF(AH!$U$5=1,INDEX('Live History'!$A$5:$A$3004,AH!$U$7+451),INDEX('AH History'!$A$5:$A$1380,AH!$U$7+451))),""))</f>
        <v/>
      </c>
      <c r="B456" s="33">
        <f>IFERROR(IF(AH!$U$11=1,NA(),$J456/$E456-1),NA())</f>
        <v/>
      </c>
      <c r="C456" s="269">
        <f>IFERROR(100*$E456/$E$5,NA())</f>
        <v/>
      </c>
      <c r="D456" s="269">
        <f>IFERROR(100*$J456/$J$5,NA())</f>
        <v/>
      </c>
      <c r="E456" s="32">
        <f>IFERROR(IF(AND(ISNUMBER($A456),N(IF(AND(AH!$U$12=1,451+1=AH!$U$6),IF(AH!$U$4=0,"unavailable",INDEX('Market Data'!$AN$5:$AN$66,AH!$U$4)),IF(AH!$U$5=1,INDEX('Live History'!$B$5:$B$3004,$K456),INDEX('AH History'!$D$5:$GG$1380,$K456,AH!$U$10))))&gt;0),IF(AND(AH!$U$12=1,451+1=AH!$U$6),IF(AH!$U$4=0,"unavailable",INDEX('Market Data'!$AN$5:$AN$66,AH!$U$4)),IF(AH!$U$5=1,INDEX('Live History'!$B$5:$B$3004,$K456),INDEX('AH History'!$D$5:$GG$1380,$K456,AH!$U$10))),NA()),NA())</f>
        <v/>
      </c>
      <c r="F456" s="32">
        <f>IFERROR(IF(ISNUMBER($A456),IF(AND(AH!$U$12=1,451+1=AH!$U$6),IF(AH!$U$4=0,"unavailable",INDEX('Market Data'!$AO$5:$AO$66,AH!$U$4)),IF(AH!$U$5=1,INDEX('Live History'!$E$5:$E$3004,MATCH($A456,'Live History'!$D$5:$D$3004,1)),INDEX('AH History'!$D$5:$GG$1380,$K456,AH!$U$10+1))),NA()),NA())</f>
        <v/>
      </c>
      <c r="G456" s="34">
        <f>IFERROR(IF(ISNUMBER($A456),IF(AND(AH!$U$12=1,451+1=AH!$U$6),IF(AH!$U$4=0,"unavailable",INDEX('Market Data'!$AK$5:$AK$66,AH!$U$4)),IF(AH!$U$5=1,INDEX('Live History'!$D$5:$D$3004,MATCH($A456,'Live History'!$D$5:$D$3004,1)),INDEX('AH History'!$D$5:$GG$1380,$K456,AH!$U$10+2))),NA()),NA())</f>
        <v/>
      </c>
      <c r="H456" s="266">
        <f>IFERROR(IF(ISNUMBER($A456),IF(AND(AH!$U$12=1,451+1=AH!$U$6),IF(AH!$U$4=0,"unavailable",INDEX('Market Data'!$AP$5:$AP$66,AH!$U$4)),IF(AH!$U$5=1,INDEX('Live History'!$H$5:$H$3004,MATCH($A456,'Live History'!$G$5:$G$3004,1)),INDEX('AH History'!$B$5:$B$1380,$K456))),NA()),NA())</f>
        <v/>
      </c>
      <c r="I456" s="34">
        <f>IFERROR(IF(ISNUMBER($A456),IF(AND(AH!$U$12=1,451+1=AH!$U$6),TODAY(),IF(AH!$U$5=1,INDEX('Live History'!$G$5:$G$3004,MATCH($A456,'Live History'!$G$5:$G$3004,1)),INDEX('AH History'!$C$5:$C$1380,$K456))),NA()),NA())</f>
        <v/>
      </c>
      <c r="J456" s="32">
        <f>IFERROR(IF(AND($F456&gt;0,$H456&gt;0,$A456-$G456&lt;=10,$A456-$I456&lt;=5,$G456&gt;0,$I456&gt;0),$F456*$H456,NA()),NA())</f>
        <v/>
      </c>
      <c r="K456" s="15">
        <f>IF($A456="","",IF(AH!$U$5=1,IFERROR(MATCH($A456,'Live History'!$A$5:$A$3004,0),0),AH!$U$7+451))</f>
        <v/>
      </c>
      <c r="L456" s="15">
        <f>IF(ISNUMBER(A456),TEXT(A456,"dd-mmm-yy"),"")</f>
        <v/>
      </c>
    </row>
    <row r="457">
      <c r="A457" s="14">
        <f>IF(OR(AH!$U$4=0,452+1&gt;AH!$U$6,AND(AH!$M$5="Bloomberg",AH!$U$5=0)),"",IFERROR(IF(AND(AH!$U$12=1,452+1=AH!$U$6),TODAY(),IF(AH!$U$5=1,INDEX('Live History'!$A$5:$A$3004,AH!$U$7+452),INDEX('AH History'!$A$5:$A$1380,AH!$U$7+452))),""))</f>
        <v/>
      </c>
      <c r="B457" s="33">
        <f>IFERROR(IF(AH!$U$11=1,NA(),$J457/$E457-1),NA())</f>
        <v/>
      </c>
      <c r="C457" s="269">
        <f>IFERROR(100*$E457/$E$5,NA())</f>
        <v/>
      </c>
      <c r="D457" s="269">
        <f>IFERROR(100*$J457/$J$5,NA())</f>
        <v/>
      </c>
      <c r="E457" s="32">
        <f>IFERROR(IF(AND(ISNUMBER($A457),N(IF(AND(AH!$U$12=1,452+1=AH!$U$6),IF(AH!$U$4=0,"unavailable",INDEX('Market Data'!$AN$5:$AN$66,AH!$U$4)),IF(AH!$U$5=1,INDEX('Live History'!$B$5:$B$3004,$K457),INDEX('AH History'!$D$5:$GG$1380,$K457,AH!$U$10))))&gt;0),IF(AND(AH!$U$12=1,452+1=AH!$U$6),IF(AH!$U$4=0,"unavailable",INDEX('Market Data'!$AN$5:$AN$66,AH!$U$4)),IF(AH!$U$5=1,INDEX('Live History'!$B$5:$B$3004,$K457),INDEX('AH History'!$D$5:$GG$1380,$K457,AH!$U$10))),NA()),NA())</f>
        <v/>
      </c>
      <c r="F457" s="32">
        <f>IFERROR(IF(ISNUMBER($A457),IF(AND(AH!$U$12=1,452+1=AH!$U$6),IF(AH!$U$4=0,"unavailable",INDEX('Market Data'!$AO$5:$AO$66,AH!$U$4)),IF(AH!$U$5=1,INDEX('Live History'!$E$5:$E$3004,MATCH($A457,'Live History'!$D$5:$D$3004,1)),INDEX('AH History'!$D$5:$GG$1380,$K457,AH!$U$10+1))),NA()),NA())</f>
        <v/>
      </c>
      <c r="G457" s="34">
        <f>IFERROR(IF(ISNUMBER($A457),IF(AND(AH!$U$12=1,452+1=AH!$U$6),IF(AH!$U$4=0,"unavailable",INDEX('Market Data'!$AK$5:$AK$66,AH!$U$4)),IF(AH!$U$5=1,INDEX('Live History'!$D$5:$D$3004,MATCH($A457,'Live History'!$D$5:$D$3004,1)),INDEX('AH History'!$D$5:$GG$1380,$K457,AH!$U$10+2))),NA()),NA())</f>
        <v/>
      </c>
      <c r="H457" s="266">
        <f>IFERROR(IF(ISNUMBER($A457),IF(AND(AH!$U$12=1,452+1=AH!$U$6),IF(AH!$U$4=0,"unavailable",INDEX('Market Data'!$AP$5:$AP$66,AH!$U$4)),IF(AH!$U$5=1,INDEX('Live History'!$H$5:$H$3004,MATCH($A457,'Live History'!$G$5:$G$3004,1)),INDEX('AH History'!$B$5:$B$1380,$K457))),NA()),NA())</f>
        <v/>
      </c>
      <c r="I457" s="34">
        <f>IFERROR(IF(ISNUMBER($A457),IF(AND(AH!$U$12=1,452+1=AH!$U$6),TODAY(),IF(AH!$U$5=1,INDEX('Live History'!$G$5:$G$3004,MATCH($A457,'Live History'!$G$5:$G$3004,1)),INDEX('AH History'!$C$5:$C$1380,$K457))),NA()),NA())</f>
        <v/>
      </c>
      <c r="J457" s="32">
        <f>IFERROR(IF(AND($F457&gt;0,$H457&gt;0,$A457-$G457&lt;=10,$A457-$I457&lt;=5,$G457&gt;0,$I457&gt;0),$F457*$H457,NA()),NA())</f>
        <v/>
      </c>
      <c r="K457" s="15">
        <f>IF($A457="","",IF(AH!$U$5=1,IFERROR(MATCH($A457,'Live History'!$A$5:$A$3004,0),0),AH!$U$7+452))</f>
        <v/>
      </c>
      <c r="L457" s="15">
        <f>IF(ISNUMBER(A457),TEXT(A457,"dd-mmm-yy"),"")</f>
        <v/>
      </c>
    </row>
    <row r="458">
      <c r="A458" s="14">
        <f>IF(OR(AH!$U$4=0,453+1&gt;AH!$U$6,AND(AH!$M$5="Bloomberg",AH!$U$5=0)),"",IFERROR(IF(AND(AH!$U$12=1,453+1=AH!$U$6),TODAY(),IF(AH!$U$5=1,INDEX('Live History'!$A$5:$A$3004,AH!$U$7+453),INDEX('AH History'!$A$5:$A$1380,AH!$U$7+453))),""))</f>
        <v/>
      </c>
      <c r="B458" s="33">
        <f>IFERROR(IF(AH!$U$11=1,NA(),$J458/$E458-1),NA())</f>
        <v/>
      </c>
      <c r="C458" s="269">
        <f>IFERROR(100*$E458/$E$5,NA())</f>
        <v/>
      </c>
      <c r="D458" s="269">
        <f>IFERROR(100*$J458/$J$5,NA())</f>
        <v/>
      </c>
      <c r="E458" s="32">
        <f>IFERROR(IF(AND(ISNUMBER($A458),N(IF(AND(AH!$U$12=1,453+1=AH!$U$6),IF(AH!$U$4=0,"unavailable",INDEX('Market Data'!$AN$5:$AN$66,AH!$U$4)),IF(AH!$U$5=1,INDEX('Live History'!$B$5:$B$3004,$K458),INDEX('AH History'!$D$5:$GG$1380,$K458,AH!$U$10))))&gt;0),IF(AND(AH!$U$12=1,453+1=AH!$U$6),IF(AH!$U$4=0,"unavailable",INDEX('Market Data'!$AN$5:$AN$66,AH!$U$4)),IF(AH!$U$5=1,INDEX('Live History'!$B$5:$B$3004,$K458),INDEX('AH History'!$D$5:$GG$1380,$K458,AH!$U$10))),NA()),NA())</f>
        <v/>
      </c>
      <c r="F458" s="32">
        <f>IFERROR(IF(ISNUMBER($A458),IF(AND(AH!$U$12=1,453+1=AH!$U$6),IF(AH!$U$4=0,"unavailable",INDEX('Market Data'!$AO$5:$AO$66,AH!$U$4)),IF(AH!$U$5=1,INDEX('Live History'!$E$5:$E$3004,MATCH($A458,'Live History'!$D$5:$D$3004,1)),INDEX('AH History'!$D$5:$GG$1380,$K458,AH!$U$10+1))),NA()),NA())</f>
        <v/>
      </c>
      <c r="G458" s="34">
        <f>IFERROR(IF(ISNUMBER($A458),IF(AND(AH!$U$12=1,453+1=AH!$U$6),IF(AH!$U$4=0,"unavailable",INDEX('Market Data'!$AK$5:$AK$66,AH!$U$4)),IF(AH!$U$5=1,INDEX('Live History'!$D$5:$D$3004,MATCH($A458,'Live History'!$D$5:$D$3004,1)),INDEX('AH History'!$D$5:$GG$1380,$K458,AH!$U$10+2))),NA()),NA())</f>
        <v/>
      </c>
      <c r="H458" s="266">
        <f>IFERROR(IF(ISNUMBER($A458),IF(AND(AH!$U$12=1,453+1=AH!$U$6),IF(AH!$U$4=0,"unavailable",INDEX('Market Data'!$AP$5:$AP$66,AH!$U$4)),IF(AH!$U$5=1,INDEX('Live History'!$H$5:$H$3004,MATCH($A458,'Live History'!$G$5:$G$3004,1)),INDEX('AH History'!$B$5:$B$1380,$K458))),NA()),NA())</f>
        <v/>
      </c>
      <c r="I458" s="34">
        <f>IFERROR(IF(ISNUMBER($A458),IF(AND(AH!$U$12=1,453+1=AH!$U$6),TODAY(),IF(AH!$U$5=1,INDEX('Live History'!$G$5:$G$3004,MATCH($A458,'Live History'!$G$5:$G$3004,1)),INDEX('AH History'!$C$5:$C$1380,$K458))),NA()),NA())</f>
        <v/>
      </c>
      <c r="J458" s="32">
        <f>IFERROR(IF(AND($F458&gt;0,$H458&gt;0,$A458-$G458&lt;=10,$A458-$I458&lt;=5,$G458&gt;0,$I458&gt;0),$F458*$H458,NA()),NA())</f>
        <v/>
      </c>
      <c r="K458" s="15">
        <f>IF($A458="","",IF(AH!$U$5=1,IFERROR(MATCH($A458,'Live History'!$A$5:$A$3004,0),0),AH!$U$7+453))</f>
        <v/>
      </c>
      <c r="L458" s="15">
        <f>IF(ISNUMBER(A458),TEXT(A458,"dd-mmm-yy"),"")</f>
        <v/>
      </c>
    </row>
    <row r="459">
      <c r="A459" s="14">
        <f>IF(OR(AH!$U$4=0,454+1&gt;AH!$U$6,AND(AH!$M$5="Bloomberg",AH!$U$5=0)),"",IFERROR(IF(AND(AH!$U$12=1,454+1=AH!$U$6),TODAY(),IF(AH!$U$5=1,INDEX('Live History'!$A$5:$A$3004,AH!$U$7+454),INDEX('AH History'!$A$5:$A$1380,AH!$U$7+454))),""))</f>
        <v/>
      </c>
      <c r="B459" s="33">
        <f>IFERROR(IF(AH!$U$11=1,NA(),$J459/$E459-1),NA())</f>
        <v/>
      </c>
      <c r="C459" s="269">
        <f>IFERROR(100*$E459/$E$5,NA())</f>
        <v/>
      </c>
      <c r="D459" s="269">
        <f>IFERROR(100*$J459/$J$5,NA())</f>
        <v/>
      </c>
      <c r="E459" s="32">
        <f>IFERROR(IF(AND(ISNUMBER($A459),N(IF(AND(AH!$U$12=1,454+1=AH!$U$6),IF(AH!$U$4=0,"unavailable",INDEX('Market Data'!$AN$5:$AN$66,AH!$U$4)),IF(AH!$U$5=1,INDEX('Live History'!$B$5:$B$3004,$K459),INDEX('AH History'!$D$5:$GG$1380,$K459,AH!$U$10))))&gt;0),IF(AND(AH!$U$12=1,454+1=AH!$U$6),IF(AH!$U$4=0,"unavailable",INDEX('Market Data'!$AN$5:$AN$66,AH!$U$4)),IF(AH!$U$5=1,INDEX('Live History'!$B$5:$B$3004,$K459),INDEX('AH History'!$D$5:$GG$1380,$K459,AH!$U$10))),NA()),NA())</f>
        <v/>
      </c>
      <c r="F459" s="32">
        <f>IFERROR(IF(ISNUMBER($A459),IF(AND(AH!$U$12=1,454+1=AH!$U$6),IF(AH!$U$4=0,"unavailable",INDEX('Market Data'!$AO$5:$AO$66,AH!$U$4)),IF(AH!$U$5=1,INDEX('Live History'!$E$5:$E$3004,MATCH($A459,'Live History'!$D$5:$D$3004,1)),INDEX('AH History'!$D$5:$GG$1380,$K459,AH!$U$10+1))),NA()),NA())</f>
        <v/>
      </c>
      <c r="G459" s="34">
        <f>IFERROR(IF(ISNUMBER($A459),IF(AND(AH!$U$12=1,454+1=AH!$U$6),IF(AH!$U$4=0,"unavailable",INDEX('Market Data'!$AK$5:$AK$66,AH!$U$4)),IF(AH!$U$5=1,INDEX('Live History'!$D$5:$D$3004,MATCH($A459,'Live History'!$D$5:$D$3004,1)),INDEX('AH History'!$D$5:$GG$1380,$K459,AH!$U$10+2))),NA()),NA())</f>
        <v/>
      </c>
      <c r="H459" s="266">
        <f>IFERROR(IF(ISNUMBER($A459),IF(AND(AH!$U$12=1,454+1=AH!$U$6),IF(AH!$U$4=0,"unavailable",INDEX('Market Data'!$AP$5:$AP$66,AH!$U$4)),IF(AH!$U$5=1,INDEX('Live History'!$H$5:$H$3004,MATCH($A459,'Live History'!$G$5:$G$3004,1)),INDEX('AH History'!$B$5:$B$1380,$K459))),NA()),NA())</f>
        <v/>
      </c>
      <c r="I459" s="34">
        <f>IFERROR(IF(ISNUMBER($A459),IF(AND(AH!$U$12=1,454+1=AH!$U$6),TODAY(),IF(AH!$U$5=1,INDEX('Live History'!$G$5:$G$3004,MATCH($A459,'Live History'!$G$5:$G$3004,1)),INDEX('AH History'!$C$5:$C$1380,$K459))),NA()),NA())</f>
        <v/>
      </c>
      <c r="J459" s="32">
        <f>IFERROR(IF(AND($F459&gt;0,$H459&gt;0,$A459-$G459&lt;=10,$A459-$I459&lt;=5,$G459&gt;0,$I459&gt;0),$F459*$H459,NA()),NA())</f>
        <v/>
      </c>
      <c r="K459" s="15">
        <f>IF($A459="","",IF(AH!$U$5=1,IFERROR(MATCH($A459,'Live History'!$A$5:$A$3004,0),0),AH!$U$7+454))</f>
        <v/>
      </c>
      <c r="L459" s="15">
        <f>IF(ISNUMBER(A459),TEXT(A459,"dd-mmm-yy"),"")</f>
        <v/>
      </c>
    </row>
    <row r="460">
      <c r="A460" s="14">
        <f>IF(OR(AH!$U$4=0,455+1&gt;AH!$U$6,AND(AH!$M$5="Bloomberg",AH!$U$5=0)),"",IFERROR(IF(AND(AH!$U$12=1,455+1=AH!$U$6),TODAY(),IF(AH!$U$5=1,INDEX('Live History'!$A$5:$A$3004,AH!$U$7+455),INDEX('AH History'!$A$5:$A$1380,AH!$U$7+455))),""))</f>
        <v/>
      </c>
      <c r="B460" s="33">
        <f>IFERROR(IF(AH!$U$11=1,NA(),$J460/$E460-1),NA())</f>
        <v/>
      </c>
      <c r="C460" s="269">
        <f>IFERROR(100*$E460/$E$5,NA())</f>
        <v/>
      </c>
      <c r="D460" s="269">
        <f>IFERROR(100*$J460/$J$5,NA())</f>
        <v/>
      </c>
      <c r="E460" s="32">
        <f>IFERROR(IF(AND(ISNUMBER($A460),N(IF(AND(AH!$U$12=1,455+1=AH!$U$6),IF(AH!$U$4=0,"unavailable",INDEX('Market Data'!$AN$5:$AN$66,AH!$U$4)),IF(AH!$U$5=1,INDEX('Live History'!$B$5:$B$3004,$K460),INDEX('AH History'!$D$5:$GG$1380,$K460,AH!$U$10))))&gt;0),IF(AND(AH!$U$12=1,455+1=AH!$U$6),IF(AH!$U$4=0,"unavailable",INDEX('Market Data'!$AN$5:$AN$66,AH!$U$4)),IF(AH!$U$5=1,INDEX('Live History'!$B$5:$B$3004,$K460),INDEX('AH History'!$D$5:$GG$1380,$K460,AH!$U$10))),NA()),NA())</f>
        <v/>
      </c>
      <c r="F460" s="32">
        <f>IFERROR(IF(ISNUMBER($A460),IF(AND(AH!$U$12=1,455+1=AH!$U$6),IF(AH!$U$4=0,"unavailable",INDEX('Market Data'!$AO$5:$AO$66,AH!$U$4)),IF(AH!$U$5=1,INDEX('Live History'!$E$5:$E$3004,MATCH($A460,'Live History'!$D$5:$D$3004,1)),INDEX('AH History'!$D$5:$GG$1380,$K460,AH!$U$10+1))),NA()),NA())</f>
        <v/>
      </c>
      <c r="G460" s="34">
        <f>IFERROR(IF(ISNUMBER($A460),IF(AND(AH!$U$12=1,455+1=AH!$U$6),IF(AH!$U$4=0,"unavailable",INDEX('Market Data'!$AK$5:$AK$66,AH!$U$4)),IF(AH!$U$5=1,INDEX('Live History'!$D$5:$D$3004,MATCH($A460,'Live History'!$D$5:$D$3004,1)),INDEX('AH History'!$D$5:$GG$1380,$K460,AH!$U$10+2))),NA()),NA())</f>
        <v/>
      </c>
      <c r="H460" s="266">
        <f>IFERROR(IF(ISNUMBER($A460),IF(AND(AH!$U$12=1,455+1=AH!$U$6),IF(AH!$U$4=0,"unavailable",INDEX('Market Data'!$AP$5:$AP$66,AH!$U$4)),IF(AH!$U$5=1,INDEX('Live History'!$H$5:$H$3004,MATCH($A460,'Live History'!$G$5:$G$3004,1)),INDEX('AH History'!$B$5:$B$1380,$K460))),NA()),NA())</f>
        <v/>
      </c>
      <c r="I460" s="34">
        <f>IFERROR(IF(ISNUMBER($A460),IF(AND(AH!$U$12=1,455+1=AH!$U$6),TODAY(),IF(AH!$U$5=1,INDEX('Live History'!$G$5:$G$3004,MATCH($A460,'Live History'!$G$5:$G$3004,1)),INDEX('AH History'!$C$5:$C$1380,$K460))),NA()),NA())</f>
        <v/>
      </c>
      <c r="J460" s="32">
        <f>IFERROR(IF(AND($F460&gt;0,$H460&gt;0,$A460-$G460&lt;=10,$A460-$I460&lt;=5,$G460&gt;0,$I460&gt;0),$F460*$H460,NA()),NA())</f>
        <v/>
      </c>
      <c r="K460" s="15">
        <f>IF($A460="","",IF(AH!$U$5=1,IFERROR(MATCH($A460,'Live History'!$A$5:$A$3004,0),0),AH!$U$7+455))</f>
        <v/>
      </c>
      <c r="L460" s="15">
        <f>IF(ISNUMBER(A460),TEXT(A460,"dd-mmm-yy"),"")</f>
        <v/>
      </c>
    </row>
    <row r="461">
      <c r="A461" s="14">
        <f>IF(OR(AH!$U$4=0,456+1&gt;AH!$U$6,AND(AH!$M$5="Bloomberg",AH!$U$5=0)),"",IFERROR(IF(AND(AH!$U$12=1,456+1=AH!$U$6),TODAY(),IF(AH!$U$5=1,INDEX('Live History'!$A$5:$A$3004,AH!$U$7+456),INDEX('AH History'!$A$5:$A$1380,AH!$U$7+456))),""))</f>
        <v/>
      </c>
      <c r="B461" s="33">
        <f>IFERROR(IF(AH!$U$11=1,NA(),$J461/$E461-1),NA())</f>
        <v/>
      </c>
      <c r="C461" s="269">
        <f>IFERROR(100*$E461/$E$5,NA())</f>
        <v/>
      </c>
      <c r="D461" s="269">
        <f>IFERROR(100*$J461/$J$5,NA())</f>
        <v/>
      </c>
      <c r="E461" s="32">
        <f>IFERROR(IF(AND(ISNUMBER($A461),N(IF(AND(AH!$U$12=1,456+1=AH!$U$6),IF(AH!$U$4=0,"unavailable",INDEX('Market Data'!$AN$5:$AN$66,AH!$U$4)),IF(AH!$U$5=1,INDEX('Live History'!$B$5:$B$3004,$K461),INDEX('AH History'!$D$5:$GG$1380,$K461,AH!$U$10))))&gt;0),IF(AND(AH!$U$12=1,456+1=AH!$U$6),IF(AH!$U$4=0,"unavailable",INDEX('Market Data'!$AN$5:$AN$66,AH!$U$4)),IF(AH!$U$5=1,INDEX('Live History'!$B$5:$B$3004,$K461),INDEX('AH History'!$D$5:$GG$1380,$K461,AH!$U$10))),NA()),NA())</f>
        <v/>
      </c>
      <c r="F461" s="32">
        <f>IFERROR(IF(ISNUMBER($A461),IF(AND(AH!$U$12=1,456+1=AH!$U$6),IF(AH!$U$4=0,"unavailable",INDEX('Market Data'!$AO$5:$AO$66,AH!$U$4)),IF(AH!$U$5=1,INDEX('Live History'!$E$5:$E$3004,MATCH($A461,'Live History'!$D$5:$D$3004,1)),INDEX('AH History'!$D$5:$GG$1380,$K461,AH!$U$10+1))),NA()),NA())</f>
        <v/>
      </c>
      <c r="G461" s="34">
        <f>IFERROR(IF(ISNUMBER($A461),IF(AND(AH!$U$12=1,456+1=AH!$U$6),IF(AH!$U$4=0,"unavailable",INDEX('Market Data'!$AK$5:$AK$66,AH!$U$4)),IF(AH!$U$5=1,INDEX('Live History'!$D$5:$D$3004,MATCH($A461,'Live History'!$D$5:$D$3004,1)),INDEX('AH History'!$D$5:$GG$1380,$K461,AH!$U$10+2))),NA()),NA())</f>
        <v/>
      </c>
      <c r="H461" s="266">
        <f>IFERROR(IF(ISNUMBER($A461),IF(AND(AH!$U$12=1,456+1=AH!$U$6),IF(AH!$U$4=0,"unavailable",INDEX('Market Data'!$AP$5:$AP$66,AH!$U$4)),IF(AH!$U$5=1,INDEX('Live History'!$H$5:$H$3004,MATCH($A461,'Live History'!$G$5:$G$3004,1)),INDEX('AH History'!$B$5:$B$1380,$K461))),NA()),NA())</f>
        <v/>
      </c>
      <c r="I461" s="34">
        <f>IFERROR(IF(ISNUMBER($A461),IF(AND(AH!$U$12=1,456+1=AH!$U$6),TODAY(),IF(AH!$U$5=1,INDEX('Live History'!$G$5:$G$3004,MATCH($A461,'Live History'!$G$5:$G$3004,1)),INDEX('AH History'!$C$5:$C$1380,$K461))),NA()),NA())</f>
        <v/>
      </c>
      <c r="J461" s="32">
        <f>IFERROR(IF(AND($F461&gt;0,$H461&gt;0,$A461-$G461&lt;=10,$A461-$I461&lt;=5,$G461&gt;0,$I461&gt;0),$F461*$H461,NA()),NA())</f>
        <v/>
      </c>
      <c r="K461" s="15">
        <f>IF($A461="","",IF(AH!$U$5=1,IFERROR(MATCH($A461,'Live History'!$A$5:$A$3004,0),0),AH!$U$7+456))</f>
        <v/>
      </c>
      <c r="L461" s="15">
        <f>IF(ISNUMBER(A461),TEXT(A461,"dd-mmm-yy"),"")</f>
        <v/>
      </c>
    </row>
    <row r="462">
      <c r="A462" s="14">
        <f>IF(OR(AH!$U$4=0,457+1&gt;AH!$U$6,AND(AH!$M$5="Bloomberg",AH!$U$5=0)),"",IFERROR(IF(AND(AH!$U$12=1,457+1=AH!$U$6),TODAY(),IF(AH!$U$5=1,INDEX('Live History'!$A$5:$A$3004,AH!$U$7+457),INDEX('AH History'!$A$5:$A$1380,AH!$U$7+457))),""))</f>
        <v/>
      </c>
      <c r="B462" s="33">
        <f>IFERROR(IF(AH!$U$11=1,NA(),$J462/$E462-1),NA())</f>
        <v/>
      </c>
      <c r="C462" s="269">
        <f>IFERROR(100*$E462/$E$5,NA())</f>
        <v/>
      </c>
      <c r="D462" s="269">
        <f>IFERROR(100*$J462/$J$5,NA())</f>
        <v/>
      </c>
      <c r="E462" s="32">
        <f>IFERROR(IF(AND(ISNUMBER($A462),N(IF(AND(AH!$U$12=1,457+1=AH!$U$6),IF(AH!$U$4=0,"unavailable",INDEX('Market Data'!$AN$5:$AN$66,AH!$U$4)),IF(AH!$U$5=1,INDEX('Live History'!$B$5:$B$3004,$K462),INDEX('AH History'!$D$5:$GG$1380,$K462,AH!$U$10))))&gt;0),IF(AND(AH!$U$12=1,457+1=AH!$U$6),IF(AH!$U$4=0,"unavailable",INDEX('Market Data'!$AN$5:$AN$66,AH!$U$4)),IF(AH!$U$5=1,INDEX('Live History'!$B$5:$B$3004,$K462),INDEX('AH History'!$D$5:$GG$1380,$K462,AH!$U$10))),NA()),NA())</f>
        <v/>
      </c>
      <c r="F462" s="32">
        <f>IFERROR(IF(ISNUMBER($A462),IF(AND(AH!$U$12=1,457+1=AH!$U$6),IF(AH!$U$4=0,"unavailable",INDEX('Market Data'!$AO$5:$AO$66,AH!$U$4)),IF(AH!$U$5=1,INDEX('Live History'!$E$5:$E$3004,MATCH($A462,'Live History'!$D$5:$D$3004,1)),INDEX('AH History'!$D$5:$GG$1380,$K462,AH!$U$10+1))),NA()),NA())</f>
        <v/>
      </c>
      <c r="G462" s="34">
        <f>IFERROR(IF(ISNUMBER($A462),IF(AND(AH!$U$12=1,457+1=AH!$U$6),IF(AH!$U$4=0,"unavailable",INDEX('Market Data'!$AK$5:$AK$66,AH!$U$4)),IF(AH!$U$5=1,INDEX('Live History'!$D$5:$D$3004,MATCH($A462,'Live History'!$D$5:$D$3004,1)),INDEX('AH History'!$D$5:$GG$1380,$K462,AH!$U$10+2))),NA()),NA())</f>
        <v/>
      </c>
      <c r="H462" s="266">
        <f>IFERROR(IF(ISNUMBER($A462),IF(AND(AH!$U$12=1,457+1=AH!$U$6),IF(AH!$U$4=0,"unavailable",INDEX('Market Data'!$AP$5:$AP$66,AH!$U$4)),IF(AH!$U$5=1,INDEX('Live History'!$H$5:$H$3004,MATCH($A462,'Live History'!$G$5:$G$3004,1)),INDEX('AH History'!$B$5:$B$1380,$K462))),NA()),NA())</f>
        <v/>
      </c>
      <c r="I462" s="34">
        <f>IFERROR(IF(ISNUMBER($A462),IF(AND(AH!$U$12=1,457+1=AH!$U$6),TODAY(),IF(AH!$U$5=1,INDEX('Live History'!$G$5:$G$3004,MATCH($A462,'Live History'!$G$5:$G$3004,1)),INDEX('AH History'!$C$5:$C$1380,$K462))),NA()),NA())</f>
        <v/>
      </c>
      <c r="J462" s="32">
        <f>IFERROR(IF(AND($F462&gt;0,$H462&gt;0,$A462-$G462&lt;=10,$A462-$I462&lt;=5,$G462&gt;0,$I462&gt;0),$F462*$H462,NA()),NA())</f>
        <v/>
      </c>
      <c r="K462" s="15">
        <f>IF($A462="","",IF(AH!$U$5=1,IFERROR(MATCH($A462,'Live History'!$A$5:$A$3004,0),0),AH!$U$7+457))</f>
        <v/>
      </c>
      <c r="L462" s="15">
        <f>IF(ISNUMBER(A462),TEXT(A462,"dd-mmm-yy"),"")</f>
        <v/>
      </c>
    </row>
    <row r="463">
      <c r="A463" s="14">
        <f>IF(OR(AH!$U$4=0,458+1&gt;AH!$U$6,AND(AH!$M$5="Bloomberg",AH!$U$5=0)),"",IFERROR(IF(AND(AH!$U$12=1,458+1=AH!$U$6),TODAY(),IF(AH!$U$5=1,INDEX('Live History'!$A$5:$A$3004,AH!$U$7+458),INDEX('AH History'!$A$5:$A$1380,AH!$U$7+458))),""))</f>
        <v/>
      </c>
      <c r="B463" s="33">
        <f>IFERROR(IF(AH!$U$11=1,NA(),$J463/$E463-1),NA())</f>
        <v/>
      </c>
      <c r="C463" s="269">
        <f>IFERROR(100*$E463/$E$5,NA())</f>
        <v/>
      </c>
      <c r="D463" s="269">
        <f>IFERROR(100*$J463/$J$5,NA())</f>
        <v/>
      </c>
      <c r="E463" s="32">
        <f>IFERROR(IF(AND(ISNUMBER($A463),N(IF(AND(AH!$U$12=1,458+1=AH!$U$6),IF(AH!$U$4=0,"unavailable",INDEX('Market Data'!$AN$5:$AN$66,AH!$U$4)),IF(AH!$U$5=1,INDEX('Live History'!$B$5:$B$3004,$K463),INDEX('AH History'!$D$5:$GG$1380,$K463,AH!$U$10))))&gt;0),IF(AND(AH!$U$12=1,458+1=AH!$U$6),IF(AH!$U$4=0,"unavailable",INDEX('Market Data'!$AN$5:$AN$66,AH!$U$4)),IF(AH!$U$5=1,INDEX('Live History'!$B$5:$B$3004,$K463),INDEX('AH History'!$D$5:$GG$1380,$K463,AH!$U$10))),NA()),NA())</f>
        <v/>
      </c>
      <c r="F463" s="32">
        <f>IFERROR(IF(ISNUMBER($A463),IF(AND(AH!$U$12=1,458+1=AH!$U$6),IF(AH!$U$4=0,"unavailable",INDEX('Market Data'!$AO$5:$AO$66,AH!$U$4)),IF(AH!$U$5=1,INDEX('Live History'!$E$5:$E$3004,MATCH($A463,'Live History'!$D$5:$D$3004,1)),INDEX('AH History'!$D$5:$GG$1380,$K463,AH!$U$10+1))),NA()),NA())</f>
        <v/>
      </c>
      <c r="G463" s="34">
        <f>IFERROR(IF(ISNUMBER($A463),IF(AND(AH!$U$12=1,458+1=AH!$U$6),IF(AH!$U$4=0,"unavailable",INDEX('Market Data'!$AK$5:$AK$66,AH!$U$4)),IF(AH!$U$5=1,INDEX('Live History'!$D$5:$D$3004,MATCH($A463,'Live History'!$D$5:$D$3004,1)),INDEX('AH History'!$D$5:$GG$1380,$K463,AH!$U$10+2))),NA()),NA())</f>
        <v/>
      </c>
      <c r="H463" s="266">
        <f>IFERROR(IF(ISNUMBER($A463),IF(AND(AH!$U$12=1,458+1=AH!$U$6),IF(AH!$U$4=0,"unavailable",INDEX('Market Data'!$AP$5:$AP$66,AH!$U$4)),IF(AH!$U$5=1,INDEX('Live History'!$H$5:$H$3004,MATCH($A463,'Live History'!$G$5:$G$3004,1)),INDEX('AH History'!$B$5:$B$1380,$K463))),NA()),NA())</f>
        <v/>
      </c>
      <c r="I463" s="34">
        <f>IFERROR(IF(ISNUMBER($A463),IF(AND(AH!$U$12=1,458+1=AH!$U$6),TODAY(),IF(AH!$U$5=1,INDEX('Live History'!$G$5:$G$3004,MATCH($A463,'Live History'!$G$5:$G$3004,1)),INDEX('AH History'!$C$5:$C$1380,$K463))),NA()),NA())</f>
        <v/>
      </c>
      <c r="J463" s="32">
        <f>IFERROR(IF(AND($F463&gt;0,$H463&gt;0,$A463-$G463&lt;=10,$A463-$I463&lt;=5,$G463&gt;0,$I463&gt;0),$F463*$H463,NA()),NA())</f>
        <v/>
      </c>
      <c r="K463" s="15">
        <f>IF($A463="","",IF(AH!$U$5=1,IFERROR(MATCH($A463,'Live History'!$A$5:$A$3004,0),0),AH!$U$7+458))</f>
        <v/>
      </c>
      <c r="L463" s="15">
        <f>IF(ISNUMBER(A463),TEXT(A463,"dd-mmm-yy"),"")</f>
        <v/>
      </c>
    </row>
    <row r="464">
      <c r="A464" s="14">
        <f>IF(OR(AH!$U$4=0,459+1&gt;AH!$U$6,AND(AH!$M$5="Bloomberg",AH!$U$5=0)),"",IFERROR(IF(AND(AH!$U$12=1,459+1=AH!$U$6),TODAY(),IF(AH!$U$5=1,INDEX('Live History'!$A$5:$A$3004,AH!$U$7+459),INDEX('AH History'!$A$5:$A$1380,AH!$U$7+459))),""))</f>
        <v/>
      </c>
      <c r="B464" s="33">
        <f>IFERROR(IF(AH!$U$11=1,NA(),$J464/$E464-1),NA())</f>
        <v/>
      </c>
      <c r="C464" s="269">
        <f>IFERROR(100*$E464/$E$5,NA())</f>
        <v/>
      </c>
      <c r="D464" s="269">
        <f>IFERROR(100*$J464/$J$5,NA())</f>
        <v/>
      </c>
      <c r="E464" s="32">
        <f>IFERROR(IF(AND(ISNUMBER($A464),N(IF(AND(AH!$U$12=1,459+1=AH!$U$6),IF(AH!$U$4=0,"unavailable",INDEX('Market Data'!$AN$5:$AN$66,AH!$U$4)),IF(AH!$U$5=1,INDEX('Live History'!$B$5:$B$3004,$K464),INDEX('AH History'!$D$5:$GG$1380,$K464,AH!$U$10))))&gt;0),IF(AND(AH!$U$12=1,459+1=AH!$U$6),IF(AH!$U$4=0,"unavailable",INDEX('Market Data'!$AN$5:$AN$66,AH!$U$4)),IF(AH!$U$5=1,INDEX('Live History'!$B$5:$B$3004,$K464),INDEX('AH History'!$D$5:$GG$1380,$K464,AH!$U$10))),NA()),NA())</f>
        <v/>
      </c>
      <c r="F464" s="32">
        <f>IFERROR(IF(ISNUMBER($A464),IF(AND(AH!$U$12=1,459+1=AH!$U$6),IF(AH!$U$4=0,"unavailable",INDEX('Market Data'!$AO$5:$AO$66,AH!$U$4)),IF(AH!$U$5=1,INDEX('Live History'!$E$5:$E$3004,MATCH($A464,'Live History'!$D$5:$D$3004,1)),INDEX('AH History'!$D$5:$GG$1380,$K464,AH!$U$10+1))),NA()),NA())</f>
        <v/>
      </c>
      <c r="G464" s="34">
        <f>IFERROR(IF(ISNUMBER($A464),IF(AND(AH!$U$12=1,459+1=AH!$U$6),IF(AH!$U$4=0,"unavailable",INDEX('Market Data'!$AK$5:$AK$66,AH!$U$4)),IF(AH!$U$5=1,INDEX('Live History'!$D$5:$D$3004,MATCH($A464,'Live History'!$D$5:$D$3004,1)),INDEX('AH History'!$D$5:$GG$1380,$K464,AH!$U$10+2))),NA()),NA())</f>
        <v/>
      </c>
      <c r="H464" s="266">
        <f>IFERROR(IF(ISNUMBER($A464),IF(AND(AH!$U$12=1,459+1=AH!$U$6),IF(AH!$U$4=0,"unavailable",INDEX('Market Data'!$AP$5:$AP$66,AH!$U$4)),IF(AH!$U$5=1,INDEX('Live History'!$H$5:$H$3004,MATCH($A464,'Live History'!$G$5:$G$3004,1)),INDEX('AH History'!$B$5:$B$1380,$K464))),NA()),NA())</f>
        <v/>
      </c>
      <c r="I464" s="34">
        <f>IFERROR(IF(ISNUMBER($A464),IF(AND(AH!$U$12=1,459+1=AH!$U$6),TODAY(),IF(AH!$U$5=1,INDEX('Live History'!$G$5:$G$3004,MATCH($A464,'Live History'!$G$5:$G$3004,1)),INDEX('AH History'!$C$5:$C$1380,$K464))),NA()),NA())</f>
        <v/>
      </c>
      <c r="J464" s="32">
        <f>IFERROR(IF(AND($F464&gt;0,$H464&gt;0,$A464-$G464&lt;=10,$A464-$I464&lt;=5,$G464&gt;0,$I464&gt;0),$F464*$H464,NA()),NA())</f>
        <v/>
      </c>
      <c r="K464" s="15">
        <f>IF($A464="","",IF(AH!$U$5=1,IFERROR(MATCH($A464,'Live History'!$A$5:$A$3004,0),0),AH!$U$7+459))</f>
        <v/>
      </c>
      <c r="L464" s="15">
        <f>IF(ISNUMBER(A464),TEXT(A464,"dd-mmm-yy"),"")</f>
        <v/>
      </c>
    </row>
    <row r="465">
      <c r="A465" s="14">
        <f>IF(OR(AH!$U$4=0,460+1&gt;AH!$U$6,AND(AH!$M$5="Bloomberg",AH!$U$5=0)),"",IFERROR(IF(AND(AH!$U$12=1,460+1=AH!$U$6),TODAY(),IF(AH!$U$5=1,INDEX('Live History'!$A$5:$A$3004,AH!$U$7+460),INDEX('AH History'!$A$5:$A$1380,AH!$U$7+460))),""))</f>
        <v/>
      </c>
      <c r="B465" s="33">
        <f>IFERROR(IF(AH!$U$11=1,NA(),$J465/$E465-1),NA())</f>
        <v/>
      </c>
      <c r="C465" s="269">
        <f>IFERROR(100*$E465/$E$5,NA())</f>
        <v/>
      </c>
      <c r="D465" s="269">
        <f>IFERROR(100*$J465/$J$5,NA())</f>
        <v/>
      </c>
      <c r="E465" s="32">
        <f>IFERROR(IF(AND(ISNUMBER($A465),N(IF(AND(AH!$U$12=1,460+1=AH!$U$6),IF(AH!$U$4=0,"unavailable",INDEX('Market Data'!$AN$5:$AN$66,AH!$U$4)),IF(AH!$U$5=1,INDEX('Live History'!$B$5:$B$3004,$K465),INDEX('AH History'!$D$5:$GG$1380,$K465,AH!$U$10))))&gt;0),IF(AND(AH!$U$12=1,460+1=AH!$U$6),IF(AH!$U$4=0,"unavailable",INDEX('Market Data'!$AN$5:$AN$66,AH!$U$4)),IF(AH!$U$5=1,INDEX('Live History'!$B$5:$B$3004,$K465),INDEX('AH History'!$D$5:$GG$1380,$K465,AH!$U$10))),NA()),NA())</f>
        <v/>
      </c>
      <c r="F465" s="32">
        <f>IFERROR(IF(ISNUMBER($A465),IF(AND(AH!$U$12=1,460+1=AH!$U$6),IF(AH!$U$4=0,"unavailable",INDEX('Market Data'!$AO$5:$AO$66,AH!$U$4)),IF(AH!$U$5=1,INDEX('Live History'!$E$5:$E$3004,MATCH($A465,'Live History'!$D$5:$D$3004,1)),INDEX('AH History'!$D$5:$GG$1380,$K465,AH!$U$10+1))),NA()),NA())</f>
        <v/>
      </c>
      <c r="G465" s="34">
        <f>IFERROR(IF(ISNUMBER($A465),IF(AND(AH!$U$12=1,460+1=AH!$U$6),IF(AH!$U$4=0,"unavailable",INDEX('Market Data'!$AK$5:$AK$66,AH!$U$4)),IF(AH!$U$5=1,INDEX('Live History'!$D$5:$D$3004,MATCH($A465,'Live History'!$D$5:$D$3004,1)),INDEX('AH History'!$D$5:$GG$1380,$K465,AH!$U$10+2))),NA()),NA())</f>
        <v/>
      </c>
      <c r="H465" s="266">
        <f>IFERROR(IF(ISNUMBER($A465),IF(AND(AH!$U$12=1,460+1=AH!$U$6),IF(AH!$U$4=0,"unavailable",INDEX('Market Data'!$AP$5:$AP$66,AH!$U$4)),IF(AH!$U$5=1,INDEX('Live History'!$H$5:$H$3004,MATCH($A465,'Live History'!$G$5:$G$3004,1)),INDEX('AH History'!$B$5:$B$1380,$K465))),NA()),NA())</f>
        <v/>
      </c>
      <c r="I465" s="34">
        <f>IFERROR(IF(ISNUMBER($A465),IF(AND(AH!$U$12=1,460+1=AH!$U$6),TODAY(),IF(AH!$U$5=1,INDEX('Live History'!$G$5:$G$3004,MATCH($A465,'Live History'!$G$5:$G$3004,1)),INDEX('AH History'!$C$5:$C$1380,$K465))),NA()),NA())</f>
        <v/>
      </c>
      <c r="J465" s="32">
        <f>IFERROR(IF(AND($F465&gt;0,$H465&gt;0,$A465-$G465&lt;=10,$A465-$I465&lt;=5,$G465&gt;0,$I465&gt;0),$F465*$H465,NA()),NA())</f>
        <v/>
      </c>
      <c r="K465" s="15">
        <f>IF($A465="","",IF(AH!$U$5=1,IFERROR(MATCH($A465,'Live History'!$A$5:$A$3004,0),0),AH!$U$7+460))</f>
        <v/>
      </c>
      <c r="L465" s="15">
        <f>IF(ISNUMBER(A465),TEXT(A465,"dd-mmm-yy"),"")</f>
        <v/>
      </c>
    </row>
    <row r="466">
      <c r="A466" s="14">
        <f>IF(OR(AH!$U$4=0,461+1&gt;AH!$U$6,AND(AH!$M$5="Bloomberg",AH!$U$5=0)),"",IFERROR(IF(AND(AH!$U$12=1,461+1=AH!$U$6),TODAY(),IF(AH!$U$5=1,INDEX('Live History'!$A$5:$A$3004,AH!$U$7+461),INDEX('AH History'!$A$5:$A$1380,AH!$U$7+461))),""))</f>
        <v/>
      </c>
      <c r="B466" s="33">
        <f>IFERROR(IF(AH!$U$11=1,NA(),$J466/$E466-1),NA())</f>
        <v/>
      </c>
      <c r="C466" s="269">
        <f>IFERROR(100*$E466/$E$5,NA())</f>
        <v/>
      </c>
      <c r="D466" s="269">
        <f>IFERROR(100*$J466/$J$5,NA())</f>
        <v/>
      </c>
      <c r="E466" s="32">
        <f>IFERROR(IF(AND(ISNUMBER($A466),N(IF(AND(AH!$U$12=1,461+1=AH!$U$6),IF(AH!$U$4=0,"unavailable",INDEX('Market Data'!$AN$5:$AN$66,AH!$U$4)),IF(AH!$U$5=1,INDEX('Live History'!$B$5:$B$3004,$K466),INDEX('AH History'!$D$5:$GG$1380,$K466,AH!$U$10))))&gt;0),IF(AND(AH!$U$12=1,461+1=AH!$U$6),IF(AH!$U$4=0,"unavailable",INDEX('Market Data'!$AN$5:$AN$66,AH!$U$4)),IF(AH!$U$5=1,INDEX('Live History'!$B$5:$B$3004,$K466),INDEX('AH History'!$D$5:$GG$1380,$K466,AH!$U$10))),NA()),NA())</f>
        <v/>
      </c>
      <c r="F466" s="32">
        <f>IFERROR(IF(ISNUMBER($A466),IF(AND(AH!$U$12=1,461+1=AH!$U$6),IF(AH!$U$4=0,"unavailable",INDEX('Market Data'!$AO$5:$AO$66,AH!$U$4)),IF(AH!$U$5=1,INDEX('Live History'!$E$5:$E$3004,MATCH($A466,'Live History'!$D$5:$D$3004,1)),INDEX('AH History'!$D$5:$GG$1380,$K466,AH!$U$10+1))),NA()),NA())</f>
        <v/>
      </c>
      <c r="G466" s="34">
        <f>IFERROR(IF(ISNUMBER($A466),IF(AND(AH!$U$12=1,461+1=AH!$U$6),IF(AH!$U$4=0,"unavailable",INDEX('Market Data'!$AK$5:$AK$66,AH!$U$4)),IF(AH!$U$5=1,INDEX('Live History'!$D$5:$D$3004,MATCH($A466,'Live History'!$D$5:$D$3004,1)),INDEX('AH History'!$D$5:$GG$1380,$K466,AH!$U$10+2))),NA()),NA())</f>
        <v/>
      </c>
      <c r="H466" s="266">
        <f>IFERROR(IF(ISNUMBER($A466),IF(AND(AH!$U$12=1,461+1=AH!$U$6),IF(AH!$U$4=0,"unavailable",INDEX('Market Data'!$AP$5:$AP$66,AH!$U$4)),IF(AH!$U$5=1,INDEX('Live History'!$H$5:$H$3004,MATCH($A466,'Live History'!$G$5:$G$3004,1)),INDEX('AH History'!$B$5:$B$1380,$K466))),NA()),NA())</f>
        <v/>
      </c>
      <c r="I466" s="34">
        <f>IFERROR(IF(ISNUMBER($A466),IF(AND(AH!$U$12=1,461+1=AH!$U$6),TODAY(),IF(AH!$U$5=1,INDEX('Live History'!$G$5:$G$3004,MATCH($A466,'Live History'!$G$5:$G$3004,1)),INDEX('AH History'!$C$5:$C$1380,$K466))),NA()),NA())</f>
        <v/>
      </c>
      <c r="J466" s="32">
        <f>IFERROR(IF(AND($F466&gt;0,$H466&gt;0,$A466-$G466&lt;=10,$A466-$I466&lt;=5,$G466&gt;0,$I466&gt;0),$F466*$H466,NA()),NA())</f>
        <v/>
      </c>
      <c r="K466" s="15">
        <f>IF($A466="","",IF(AH!$U$5=1,IFERROR(MATCH($A466,'Live History'!$A$5:$A$3004,0),0),AH!$U$7+461))</f>
        <v/>
      </c>
      <c r="L466" s="15">
        <f>IF(ISNUMBER(A466),TEXT(A466,"dd-mmm-yy"),"")</f>
        <v/>
      </c>
    </row>
    <row r="467">
      <c r="A467" s="14">
        <f>IF(OR(AH!$U$4=0,462+1&gt;AH!$U$6,AND(AH!$M$5="Bloomberg",AH!$U$5=0)),"",IFERROR(IF(AND(AH!$U$12=1,462+1=AH!$U$6),TODAY(),IF(AH!$U$5=1,INDEX('Live History'!$A$5:$A$3004,AH!$U$7+462),INDEX('AH History'!$A$5:$A$1380,AH!$U$7+462))),""))</f>
        <v/>
      </c>
      <c r="B467" s="33">
        <f>IFERROR(IF(AH!$U$11=1,NA(),$J467/$E467-1),NA())</f>
        <v/>
      </c>
      <c r="C467" s="269">
        <f>IFERROR(100*$E467/$E$5,NA())</f>
        <v/>
      </c>
      <c r="D467" s="269">
        <f>IFERROR(100*$J467/$J$5,NA())</f>
        <v/>
      </c>
      <c r="E467" s="32">
        <f>IFERROR(IF(AND(ISNUMBER($A467),N(IF(AND(AH!$U$12=1,462+1=AH!$U$6),IF(AH!$U$4=0,"unavailable",INDEX('Market Data'!$AN$5:$AN$66,AH!$U$4)),IF(AH!$U$5=1,INDEX('Live History'!$B$5:$B$3004,$K467),INDEX('AH History'!$D$5:$GG$1380,$K467,AH!$U$10))))&gt;0),IF(AND(AH!$U$12=1,462+1=AH!$U$6),IF(AH!$U$4=0,"unavailable",INDEX('Market Data'!$AN$5:$AN$66,AH!$U$4)),IF(AH!$U$5=1,INDEX('Live History'!$B$5:$B$3004,$K467),INDEX('AH History'!$D$5:$GG$1380,$K467,AH!$U$10))),NA()),NA())</f>
        <v/>
      </c>
      <c r="F467" s="32">
        <f>IFERROR(IF(ISNUMBER($A467),IF(AND(AH!$U$12=1,462+1=AH!$U$6),IF(AH!$U$4=0,"unavailable",INDEX('Market Data'!$AO$5:$AO$66,AH!$U$4)),IF(AH!$U$5=1,INDEX('Live History'!$E$5:$E$3004,MATCH($A467,'Live History'!$D$5:$D$3004,1)),INDEX('AH History'!$D$5:$GG$1380,$K467,AH!$U$10+1))),NA()),NA())</f>
        <v/>
      </c>
      <c r="G467" s="34">
        <f>IFERROR(IF(ISNUMBER($A467),IF(AND(AH!$U$12=1,462+1=AH!$U$6),IF(AH!$U$4=0,"unavailable",INDEX('Market Data'!$AK$5:$AK$66,AH!$U$4)),IF(AH!$U$5=1,INDEX('Live History'!$D$5:$D$3004,MATCH($A467,'Live History'!$D$5:$D$3004,1)),INDEX('AH History'!$D$5:$GG$1380,$K467,AH!$U$10+2))),NA()),NA())</f>
        <v/>
      </c>
      <c r="H467" s="266">
        <f>IFERROR(IF(ISNUMBER($A467),IF(AND(AH!$U$12=1,462+1=AH!$U$6),IF(AH!$U$4=0,"unavailable",INDEX('Market Data'!$AP$5:$AP$66,AH!$U$4)),IF(AH!$U$5=1,INDEX('Live History'!$H$5:$H$3004,MATCH($A467,'Live History'!$G$5:$G$3004,1)),INDEX('AH History'!$B$5:$B$1380,$K467))),NA()),NA())</f>
        <v/>
      </c>
      <c r="I467" s="34">
        <f>IFERROR(IF(ISNUMBER($A467),IF(AND(AH!$U$12=1,462+1=AH!$U$6),TODAY(),IF(AH!$U$5=1,INDEX('Live History'!$G$5:$G$3004,MATCH($A467,'Live History'!$G$5:$G$3004,1)),INDEX('AH History'!$C$5:$C$1380,$K467))),NA()),NA())</f>
        <v/>
      </c>
      <c r="J467" s="32">
        <f>IFERROR(IF(AND($F467&gt;0,$H467&gt;0,$A467-$G467&lt;=10,$A467-$I467&lt;=5,$G467&gt;0,$I467&gt;0),$F467*$H467,NA()),NA())</f>
        <v/>
      </c>
      <c r="K467" s="15">
        <f>IF($A467="","",IF(AH!$U$5=1,IFERROR(MATCH($A467,'Live History'!$A$5:$A$3004,0),0),AH!$U$7+462))</f>
        <v/>
      </c>
      <c r="L467" s="15">
        <f>IF(ISNUMBER(A467),TEXT(A467,"dd-mmm-yy"),"")</f>
        <v/>
      </c>
    </row>
    <row r="468">
      <c r="A468" s="14">
        <f>IF(OR(AH!$U$4=0,463+1&gt;AH!$U$6,AND(AH!$M$5="Bloomberg",AH!$U$5=0)),"",IFERROR(IF(AND(AH!$U$12=1,463+1=AH!$U$6),TODAY(),IF(AH!$U$5=1,INDEX('Live History'!$A$5:$A$3004,AH!$U$7+463),INDEX('AH History'!$A$5:$A$1380,AH!$U$7+463))),""))</f>
        <v/>
      </c>
      <c r="B468" s="33">
        <f>IFERROR(IF(AH!$U$11=1,NA(),$J468/$E468-1),NA())</f>
        <v/>
      </c>
      <c r="C468" s="269">
        <f>IFERROR(100*$E468/$E$5,NA())</f>
        <v/>
      </c>
      <c r="D468" s="269">
        <f>IFERROR(100*$J468/$J$5,NA())</f>
        <v/>
      </c>
      <c r="E468" s="32">
        <f>IFERROR(IF(AND(ISNUMBER($A468),N(IF(AND(AH!$U$12=1,463+1=AH!$U$6),IF(AH!$U$4=0,"unavailable",INDEX('Market Data'!$AN$5:$AN$66,AH!$U$4)),IF(AH!$U$5=1,INDEX('Live History'!$B$5:$B$3004,$K468),INDEX('AH History'!$D$5:$GG$1380,$K468,AH!$U$10))))&gt;0),IF(AND(AH!$U$12=1,463+1=AH!$U$6),IF(AH!$U$4=0,"unavailable",INDEX('Market Data'!$AN$5:$AN$66,AH!$U$4)),IF(AH!$U$5=1,INDEX('Live History'!$B$5:$B$3004,$K468),INDEX('AH History'!$D$5:$GG$1380,$K468,AH!$U$10))),NA()),NA())</f>
        <v/>
      </c>
      <c r="F468" s="32">
        <f>IFERROR(IF(ISNUMBER($A468),IF(AND(AH!$U$12=1,463+1=AH!$U$6),IF(AH!$U$4=0,"unavailable",INDEX('Market Data'!$AO$5:$AO$66,AH!$U$4)),IF(AH!$U$5=1,INDEX('Live History'!$E$5:$E$3004,MATCH($A468,'Live History'!$D$5:$D$3004,1)),INDEX('AH History'!$D$5:$GG$1380,$K468,AH!$U$10+1))),NA()),NA())</f>
        <v/>
      </c>
      <c r="G468" s="34">
        <f>IFERROR(IF(ISNUMBER($A468),IF(AND(AH!$U$12=1,463+1=AH!$U$6),IF(AH!$U$4=0,"unavailable",INDEX('Market Data'!$AK$5:$AK$66,AH!$U$4)),IF(AH!$U$5=1,INDEX('Live History'!$D$5:$D$3004,MATCH($A468,'Live History'!$D$5:$D$3004,1)),INDEX('AH History'!$D$5:$GG$1380,$K468,AH!$U$10+2))),NA()),NA())</f>
        <v/>
      </c>
      <c r="H468" s="266">
        <f>IFERROR(IF(ISNUMBER($A468),IF(AND(AH!$U$12=1,463+1=AH!$U$6),IF(AH!$U$4=0,"unavailable",INDEX('Market Data'!$AP$5:$AP$66,AH!$U$4)),IF(AH!$U$5=1,INDEX('Live History'!$H$5:$H$3004,MATCH($A468,'Live History'!$G$5:$G$3004,1)),INDEX('AH History'!$B$5:$B$1380,$K468))),NA()),NA())</f>
        <v/>
      </c>
      <c r="I468" s="34">
        <f>IFERROR(IF(ISNUMBER($A468),IF(AND(AH!$U$12=1,463+1=AH!$U$6),TODAY(),IF(AH!$U$5=1,INDEX('Live History'!$G$5:$G$3004,MATCH($A468,'Live History'!$G$5:$G$3004,1)),INDEX('AH History'!$C$5:$C$1380,$K468))),NA()),NA())</f>
        <v/>
      </c>
      <c r="J468" s="32">
        <f>IFERROR(IF(AND($F468&gt;0,$H468&gt;0,$A468-$G468&lt;=10,$A468-$I468&lt;=5,$G468&gt;0,$I468&gt;0),$F468*$H468,NA()),NA())</f>
        <v/>
      </c>
      <c r="K468" s="15">
        <f>IF($A468="","",IF(AH!$U$5=1,IFERROR(MATCH($A468,'Live History'!$A$5:$A$3004,0),0),AH!$U$7+463))</f>
        <v/>
      </c>
      <c r="L468" s="15">
        <f>IF(ISNUMBER(A468),TEXT(A468,"dd-mmm-yy"),"")</f>
        <v/>
      </c>
    </row>
    <row r="469">
      <c r="A469" s="14">
        <f>IF(OR(AH!$U$4=0,464+1&gt;AH!$U$6,AND(AH!$M$5="Bloomberg",AH!$U$5=0)),"",IFERROR(IF(AND(AH!$U$12=1,464+1=AH!$U$6),TODAY(),IF(AH!$U$5=1,INDEX('Live History'!$A$5:$A$3004,AH!$U$7+464),INDEX('AH History'!$A$5:$A$1380,AH!$U$7+464))),""))</f>
        <v/>
      </c>
      <c r="B469" s="33">
        <f>IFERROR(IF(AH!$U$11=1,NA(),$J469/$E469-1),NA())</f>
        <v/>
      </c>
      <c r="C469" s="269">
        <f>IFERROR(100*$E469/$E$5,NA())</f>
        <v/>
      </c>
      <c r="D469" s="269">
        <f>IFERROR(100*$J469/$J$5,NA())</f>
        <v/>
      </c>
      <c r="E469" s="32">
        <f>IFERROR(IF(AND(ISNUMBER($A469),N(IF(AND(AH!$U$12=1,464+1=AH!$U$6),IF(AH!$U$4=0,"unavailable",INDEX('Market Data'!$AN$5:$AN$66,AH!$U$4)),IF(AH!$U$5=1,INDEX('Live History'!$B$5:$B$3004,$K469),INDEX('AH History'!$D$5:$GG$1380,$K469,AH!$U$10))))&gt;0),IF(AND(AH!$U$12=1,464+1=AH!$U$6),IF(AH!$U$4=0,"unavailable",INDEX('Market Data'!$AN$5:$AN$66,AH!$U$4)),IF(AH!$U$5=1,INDEX('Live History'!$B$5:$B$3004,$K469),INDEX('AH History'!$D$5:$GG$1380,$K469,AH!$U$10))),NA()),NA())</f>
        <v/>
      </c>
      <c r="F469" s="32">
        <f>IFERROR(IF(ISNUMBER($A469),IF(AND(AH!$U$12=1,464+1=AH!$U$6),IF(AH!$U$4=0,"unavailable",INDEX('Market Data'!$AO$5:$AO$66,AH!$U$4)),IF(AH!$U$5=1,INDEX('Live History'!$E$5:$E$3004,MATCH($A469,'Live History'!$D$5:$D$3004,1)),INDEX('AH History'!$D$5:$GG$1380,$K469,AH!$U$10+1))),NA()),NA())</f>
        <v/>
      </c>
      <c r="G469" s="34">
        <f>IFERROR(IF(ISNUMBER($A469),IF(AND(AH!$U$12=1,464+1=AH!$U$6),IF(AH!$U$4=0,"unavailable",INDEX('Market Data'!$AK$5:$AK$66,AH!$U$4)),IF(AH!$U$5=1,INDEX('Live History'!$D$5:$D$3004,MATCH($A469,'Live History'!$D$5:$D$3004,1)),INDEX('AH History'!$D$5:$GG$1380,$K469,AH!$U$10+2))),NA()),NA())</f>
        <v/>
      </c>
      <c r="H469" s="266">
        <f>IFERROR(IF(ISNUMBER($A469),IF(AND(AH!$U$12=1,464+1=AH!$U$6),IF(AH!$U$4=0,"unavailable",INDEX('Market Data'!$AP$5:$AP$66,AH!$U$4)),IF(AH!$U$5=1,INDEX('Live History'!$H$5:$H$3004,MATCH($A469,'Live History'!$G$5:$G$3004,1)),INDEX('AH History'!$B$5:$B$1380,$K469))),NA()),NA())</f>
        <v/>
      </c>
      <c r="I469" s="34">
        <f>IFERROR(IF(ISNUMBER($A469),IF(AND(AH!$U$12=1,464+1=AH!$U$6),TODAY(),IF(AH!$U$5=1,INDEX('Live History'!$G$5:$G$3004,MATCH($A469,'Live History'!$G$5:$G$3004,1)),INDEX('AH History'!$C$5:$C$1380,$K469))),NA()),NA())</f>
        <v/>
      </c>
      <c r="J469" s="32">
        <f>IFERROR(IF(AND($F469&gt;0,$H469&gt;0,$A469-$G469&lt;=10,$A469-$I469&lt;=5,$G469&gt;0,$I469&gt;0),$F469*$H469,NA()),NA())</f>
        <v/>
      </c>
      <c r="K469" s="15">
        <f>IF($A469="","",IF(AH!$U$5=1,IFERROR(MATCH($A469,'Live History'!$A$5:$A$3004,0),0),AH!$U$7+464))</f>
        <v/>
      </c>
      <c r="L469" s="15">
        <f>IF(ISNUMBER(A469),TEXT(A469,"dd-mmm-yy"),"")</f>
        <v/>
      </c>
    </row>
    <row r="470">
      <c r="A470" s="14">
        <f>IF(OR(AH!$U$4=0,465+1&gt;AH!$U$6,AND(AH!$M$5="Bloomberg",AH!$U$5=0)),"",IFERROR(IF(AND(AH!$U$12=1,465+1=AH!$U$6),TODAY(),IF(AH!$U$5=1,INDEX('Live History'!$A$5:$A$3004,AH!$U$7+465),INDEX('AH History'!$A$5:$A$1380,AH!$U$7+465))),""))</f>
        <v/>
      </c>
      <c r="B470" s="33">
        <f>IFERROR(IF(AH!$U$11=1,NA(),$J470/$E470-1),NA())</f>
        <v/>
      </c>
      <c r="C470" s="269">
        <f>IFERROR(100*$E470/$E$5,NA())</f>
        <v/>
      </c>
      <c r="D470" s="269">
        <f>IFERROR(100*$J470/$J$5,NA())</f>
        <v/>
      </c>
      <c r="E470" s="32">
        <f>IFERROR(IF(AND(ISNUMBER($A470),N(IF(AND(AH!$U$12=1,465+1=AH!$U$6),IF(AH!$U$4=0,"unavailable",INDEX('Market Data'!$AN$5:$AN$66,AH!$U$4)),IF(AH!$U$5=1,INDEX('Live History'!$B$5:$B$3004,$K470),INDEX('AH History'!$D$5:$GG$1380,$K470,AH!$U$10))))&gt;0),IF(AND(AH!$U$12=1,465+1=AH!$U$6),IF(AH!$U$4=0,"unavailable",INDEX('Market Data'!$AN$5:$AN$66,AH!$U$4)),IF(AH!$U$5=1,INDEX('Live History'!$B$5:$B$3004,$K470),INDEX('AH History'!$D$5:$GG$1380,$K470,AH!$U$10))),NA()),NA())</f>
        <v/>
      </c>
      <c r="F470" s="32">
        <f>IFERROR(IF(ISNUMBER($A470),IF(AND(AH!$U$12=1,465+1=AH!$U$6),IF(AH!$U$4=0,"unavailable",INDEX('Market Data'!$AO$5:$AO$66,AH!$U$4)),IF(AH!$U$5=1,INDEX('Live History'!$E$5:$E$3004,MATCH($A470,'Live History'!$D$5:$D$3004,1)),INDEX('AH History'!$D$5:$GG$1380,$K470,AH!$U$10+1))),NA()),NA())</f>
        <v/>
      </c>
      <c r="G470" s="34">
        <f>IFERROR(IF(ISNUMBER($A470),IF(AND(AH!$U$12=1,465+1=AH!$U$6),IF(AH!$U$4=0,"unavailable",INDEX('Market Data'!$AK$5:$AK$66,AH!$U$4)),IF(AH!$U$5=1,INDEX('Live History'!$D$5:$D$3004,MATCH($A470,'Live History'!$D$5:$D$3004,1)),INDEX('AH History'!$D$5:$GG$1380,$K470,AH!$U$10+2))),NA()),NA())</f>
        <v/>
      </c>
      <c r="H470" s="266">
        <f>IFERROR(IF(ISNUMBER($A470),IF(AND(AH!$U$12=1,465+1=AH!$U$6),IF(AH!$U$4=0,"unavailable",INDEX('Market Data'!$AP$5:$AP$66,AH!$U$4)),IF(AH!$U$5=1,INDEX('Live History'!$H$5:$H$3004,MATCH($A470,'Live History'!$G$5:$G$3004,1)),INDEX('AH History'!$B$5:$B$1380,$K470))),NA()),NA())</f>
        <v/>
      </c>
      <c r="I470" s="34">
        <f>IFERROR(IF(ISNUMBER($A470),IF(AND(AH!$U$12=1,465+1=AH!$U$6),TODAY(),IF(AH!$U$5=1,INDEX('Live History'!$G$5:$G$3004,MATCH($A470,'Live History'!$G$5:$G$3004,1)),INDEX('AH History'!$C$5:$C$1380,$K470))),NA()),NA())</f>
        <v/>
      </c>
      <c r="J470" s="32">
        <f>IFERROR(IF(AND($F470&gt;0,$H470&gt;0,$A470-$G470&lt;=10,$A470-$I470&lt;=5,$G470&gt;0,$I470&gt;0),$F470*$H470,NA()),NA())</f>
        <v/>
      </c>
      <c r="K470" s="15">
        <f>IF($A470="","",IF(AH!$U$5=1,IFERROR(MATCH($A470,'Live History'!$A$5:$A$3004,0),0),AH!$U$7+465))</f>
        <v/>
      </c>
      <c r="L470" s="15">
        <f>IF(ISNUMBER(A470),TEXT(A470,"dd-mmm-yy"),"")</f>
        <v/>
      </c>
    </row>
    <row r="471">
      <c r="A471" s="14">
        <f>IF(OR(AH!$U$4=0,466+1&gt;AH!$U$6,AND(AH!$M$5="Bloomberg",AH!$U$5=0)),"",IFERROR(IF(AND(AH!$U$12=1,466+1=AH!$U$6),TODAY(),IF(AH!$U$5=1,INDEX('Live History'!$A$5:$A$3004,AH!$U$7+466),INDEX('AH History'!$A$5:$A$1380,AH!$U$7+466))),""))</f>
        <v/>
      </c>
      <c r="B471" s="33">
        <f>IFERROR(IF(AH!$U$11=1,NA(),$J471/$E471-1),NA())</f>
        <v/>
      </c>
      <c r="C471" s="269">
        <f>IFERROR(100*$E471/$E$5,NA())</f>
        <v/>
      </c>
      <c r="D471" s="269">
        <f>IFERROR(100*$J471/$J$5,NA())</f>
        <v/>
      </c>
      <c r="E471" s="32">
        <f>IFERROR(IF(AND(ISNUMBER($A471),N(IF(AND(AH!$U$12=1,466+1=AH!$U$6),IF(AH!$U$4=0,"unavailable",INDEX('Market Data'!$AN$5:$AN$66,AH!$U$4)),IF(AH!$U$5=1,INDEX('Live History'!$B$5:$B$3004,$K471),INDEX('AH History'!$D$5:$GG$1380,$K471,AH!$U$10))))&gt;0),IF(AND(AH!$U$12=1,466+1=AH!$U$6),IF(AH!$U$4=0,"unavailable",INDEX('Market Data'!$AN$5:$AN$66,AH!$U$4)),IF(AH!$U$5=1,INDEX('Live History'!$B$5:$B$3004,$K471),INDEX('AH History'!$D$5:$GG$1380,$K471,AH!$U$10))),NA()),NA())</f>
        <v/>
      </c>
      <c r="F471" s="32">
        <f>IFERROR(IF(ISNUMBER($A471),IF(AND(AH!$U$12=1,466+1=AH!$U$6),IF(AH!$U$4=0,"unavailable",INDEX('Market Data'!$AO$5:$AO$66,AH!$U$4)),IF(AH!$U$5=1,INDEX('Live History'!$E$5:$E$3004,MATCH($A471,'Live History'!$D$5:$D$3004,1)),INDEX('AH History'!$D$5:$GG$1380,$K471,AH!$U$10+1))),NA()),NA())</f>
        <v/>
      </c>
      <c r="G471" s="34">
        <f>IFERROR(IF(ISNUMBER($A471),IF(AND(AH!$U$12=1,466+1=AH!$U$6),IF(AH!$U$4=0,"unavailable",INDEX('Market Data'!$AK$5:$AK$66,AH!$U$4)),IF(AH!$U$5=1,INDEX('Live History'!$D$5:$D$3004,MATCH($A471,'Live History'!$D$5:$D$3004,1)),INDEX('AH History'!$D$5:$GG$1380,$K471,AH!$U$10+2))),NA()),NA())</f>
        <v/>
      </c>
      <c r="H471" s="266">
        <f>IFERROR(IF(ISNUMBER($A471),IF(AND(AH!$U$12=1,466+1=AH!$U$6),IF(AH!$U$4=0,"unavailable",INDEX('Market Data'!$AP$5:$AP$66,AH!$U$4)),IF(AH!$U$5=1,INDEX('Live History'!$H$5:$H$3004,MATCH($A471,'Live History'!$G$5:$G$3004,1)),INDEX('AH History'!$B$5:$B$1380,$K471))),NA()),NA())</f>
        <v/>
      </c>
      <c r="I471" s="34">
        <f>IFERROR(IF(ISNUMBER($A471),IF(AND(AH!$U$12=1,466+1=AH!$U$6),TODAY(),IF(AH!$U$5=1,INDEX('Live History'!$G$5:$G$3004,MATCH($A471,'Live History'!$G$5:$G$3004,1)),INDEX('AH History'!$C$5:$C$1380,$K471))),NA()),NA())</f>
        <v/>
      </c>
      <c r="J471" s="32">
        <f>IFERROR(IF(AND($F471&gt;0,$H471&gt;0,$A471-$G471&lt;=10,$A471-$I471&lt;=5,$G471&gt;0,$I471&gt;0),$F471*$H471,NA()),NA())</f>
        <v/>
      </c>
      <c r="K471" s="15">
        <f>IF($A471="","",IF(AH!$U$5=1,IFERROR(MATCH($A471,'Live History'!$A$5:$A$3004,0),0),AH!$U$7+466))</f>
        <v/>
      </c>
      <c r="L471" s="15">
        <f>IF(ISNUMBER(A471),TEXT(A471,"dd-mmm-yy"),"")</f>
        <v/>
      </c>
    </row>
    <row r="472">
      <c r="A472" s="14">
        <f>IF(OR(AH!$U$4=0,467+1&gt;AH!$U$6,AND(AH!$M$5="Bloomberg",AH!$U$5=0)),"",IFERROR(IF(AND(AH!$U$12=1,467+1=AH!$U$6),TODAY(),IF(AH!$U$5=1,INDEX('Live History'!$A$5:$A$3004,AH!$U$7+467),INDEX('AH History'!$A$5:$A$1380,AH!$U$7+467))),""))</f>
        <v/>
      </c>
      <c r="B472" s="33">
        <f>IFERROR(IF(AH!$U$11=1,NA(),$J472/$E472-1),NA())</f>
        <v/>
      </c>
      <c r="C472" s="269">
        <f>IFERROR(100*$E472/$E$5,NA())</f>
        <v/>
      </c>
      <c r="D472" s="269">
        <f>IFERROR(100*$J472/$J$5,NA())</f>
        <v/>
      </c>
      <c r="E472" s="32">
        <f>IFERROR(IF(AND(ISNUMBER($A472),N(IF(AND(AH!$U$12=1,467+1=AH!$U$6),IF(AH!$U$4=0,"unavailable",INDEX('Market Data'!$AN$5:$AN$66,AH!$U$4)),IF(AH!$U$5=1,INDEX('Live History'!$B$5:$B$3004,$K472),INDEX('AH History'!$D$5:$GG$1380,$K472,AH!$U$10))))&gt;0),IF(AND(AH!$U$12=1,467+1=AH!$U$6),IF(AH!$U$4=0,"unavailable",INDEX('Market Data'!$AN$5:$AN$66,AH!$U$4)),IF(AH!$U$5=1,INDEX('Live History'!$B$5:$B$3004,$K472),INDEX('AH History'!$D$5:$GG$1380,$K472,AH!$U$10))),NA()),NA())</f>
        <v/>
      </c>
      <c r="F472" s="32">
        <f>IFERROR(IF(ISNUMBER($A472),IF(AND(AH!$U$12=1,467+1=AH!$U$6),IF(AH!$U$4=0,"unavailable",INDEX('Market Data'!$AO$5:$AO$66,AH!$U$4)),IF(AH!$U$5=1,INDEX('Live History'!$E$5:$E$3004,MATCH($A472,'Live History'!$D$5:$D$3004,1)),INDEX('AH History'!$D$5:$GG$1380,$K472,AH!$U$10+1))),NA()),NA())</f>
        <v/>
      </c>
      <c r="G472" s="34">
        <f>IFERROR(IF(ISNUMBER($A472),IF(AND(AH!$U$12=1,467+1=AH!$U$6),IF(AH!$U$4=0,"unavailable",INDEX('Market Data'!$AK$5:$AK$66,AH!$U$4)),IF(AH!$U$5=1,INDEX('Live History'!$D$5:$D$3004,MATCH($A472,'Live History'!$D$5:$D$3004,1)),INDEX('AH History'!$D$5:$GG$1380,$K472,AH!$U$10+2))),NA()),NA())</f>
        <v/>
      </c>
      <c r="H472" s="266">
        <f>IFERROR(IF(ISNUMBER($A472),IF(AND(AH!$U$12=1,467+1=AH!$U$6),IF(AH!$U$4=0,"unavailable",INDEX('Market Data'!$AP$5:$AP$66,AH!$U$4)),IF(AH!$U$5=1,INDEX('Live History'!$H$5:$H$3004,MATCH($A472,'Live History'!$G$5:$G$3004,1)),INDEX('AH History'!$B$5:$B$1380,$K472))),NA()),NA())</f>
        <v/>
      </c>
      <c r="I472" s="34">
        <f>IFERROR(IF(ISNUMBER($A472),IF(AND(AH!$U$12=1,467+1=AH!$U$6),TODAY(),IF(AH!$U$5=1,INDEX('Live History'!$G$5:$G$3004,MATCH($A472,'Live History'!$G$5:$G$3004,1)),INDEX('AH History'!$C$5:$C$1380,$K472))),NA()),NA())</f>
        <v/>
      </c>
      <c r="J472" s="32">
        <f>IFERROR(IF(AND($F472&gt;0,$H472&gt;0,$A472-$G472&lt;=10,$A472-$I472&lt;=5,$G472&gt;0,$I472&gt;0),$F472*$H472,NA()),NA())</f>
        <v/>
      </c>
      <c r="K472" s="15">
        <f>IF($A472="","",IF(AH!$U$5=1,IFERROR(MATCH($A472,'Live History'!$A$5:$A$3004,0),0),AH!$U$7+467))</f>
        <v/>
      </c>
      <c r="L472" s="15">
        <f>IF(ISNUMBER(A472),TEXT(A472,"dd-mmm-yy"),"")</f>
        <v/>
      </c>
    </row>
    <row r="473">
      <c r="A473" s="14">
        <f>IF(OR(AH!$U$4=0,468+1&gt;AH!$U$6,AND(AH!$M$5="Bloomberg",AH!$U$5=0)),"",IFERROR(IF(AND(AH!$U$12=1,468+1=AH!$U$6),TODAY(),IF(AH!$U$5=1,INDEX('Live History'!$A$5:$A$3004,AH!$U$7+468),INDEX('AH History'!$A$5:$A$1380,AH!$U$7+468))),""))</f>
        <v/>
      </c>
      <c r="B473" s="33">
        <f>IFERROR(IF(AH!$U$11=1,NA(),$J473/$E473-1),NA())</f>
        <v/>
      </c>
      <c r="C473" s="269">
        <f>IFERROR(100*$E473/$E$5,NA())</f>
        <v/>
      </c>
      <c r="D473" s="269">
        <f>IFERROR(100*$J473/$J$5,NA())</f>
        <v/>
      </c>
      <c r="E473" s="32">
        <f>IFERROR(IF(AND(ISNUMBER($A473),N(IF(AND(AH!$U$12=1,468+1=AH!$U$6),IF(AH!$U$4=0,"unavailable",INDEX('Market Data'!$AN$5:$AN$66,AH!$U$4)),IF(AH!$U$5=1,INDEX('Live History'!$B$5:$B$3004,$K473),INDEX('AH History'!$D$5:$GG$1380,$K473,AH!$U$10))))&gt;0),IF(AND(AH!$U$12=1,468+1=AH!$U$6),IF(AH!$U$4=0,"unavailable",INDEX('Market Data'!$AN$5:$AN$66,AH!$U$4)),IF(AH!$U$5=1,INDEX('Live History'!$B$5:$B$3004,$K473),INDEX('AH History'!$D$5:$GG$1380,$K473,AH!$U$10))),NA()),NA())</f>
        <v/>
      </c>
      <c r="F473" s="32">
        <f>IFERROR(IF(ISNUMBER($A473),IF(AND(AH!$U$12=1,468+1=AH!$U$6),IF(AH!$U$4=0,"unavailable",INDEX('Market Data'!$AO$5:$AO$66,AH!$U$4)),IF(AH!$U$5=1,INDEX('Live History'!$E$5:$E$3004,MATCH($A473,'Live History'!$D$5:$D$3004,1)),INDEX('AH History'!$D$5:$GG$1380,$K473,AH!$U$10+1))),NA()),NA())</f>
        <v/>
      </c>
      <c r="G473" s="34">
        <f>IFERROR(IF(ISNUMBER($A473),IF(AND(AH!$U$12=1,468+1=AH!$U$6),IF(AH!$U$4=0,"unavailable",INDEX('Market Data'!$AK$5:$AK$66,AH!$U$4)),IF(AH!$U$5=1,INDEX('Live History'!$D$5:$D$3004,MATCH($A473,'Live History'!$D$5:$D$3004,1)),INDEX('AH History'!$D$5:$GG$1380,$K473,AH!$U$10+2))),NA()),NA())</f>
        <v/>
      </c>
      <c r="H473" s="266">
        <f>IFERROR(IF(ISNUMBER($A473),IF(AND(AH!$U$12=1,468+1=AH!$U$6),IF(AH!$U$4=0,"unavailable",INDEX('Market Data'!$AP$5:$AP$66,AH!$U$4)),IF(AH!$U$5=1,INDEX('Live History'!$H$5:$H$3004,MATCH($A473,'Live History'!$G$5:$G$3004,1)),INDEX('AH History'!$B$5:$B$1380,$K473))),NA()),NA())</f>
        <v/>
      </c>
      <c r="I473" s="34">
        <f>IFERROR(IF(ISNUMBER($A473),IF(AND(AH!$U$12=1,468+1=AH!$U$6),TODAY(),IF(AH!$U$5=1,INDEX('Live History'!$G$5:$G$3004,MATCH($A473,'Live History'!$G$5:$G$3004,1)),INDEX('AH History'!$C$5:$C$1380,$K473))),NA()),NA())</f>
        <v/>
      </c>
      <c r="J473" s="32">
        <f>IFERROR(IF(AND($F473&gt;0,$H473&gt;0,$A473-$G473&lt;=10,$A473-$I473&lt;=5,$G473&gt;0,$I473&gt;0),$F473*$H473,NA()),NA())</f>
        <v/>
      </c>
      <c r="K473" s="15">
        <f>IF($A473="","",IF(AH!$U$5=1,IFERROR(MATCH($A473,'Live History'!$A$5:$A$3004,0),0),AH!$U$7+468))</f>
        <v/>
      </c>
      <c r="L473" s="15">
        <f>IF(ISNUMBER(A473),TEXT(A473,"dd-mmm-yy"),"")</f>
        <v/>
      </c>
    </row>
    <row r="474">
      <c r="A474" s="14">
        <f>IF(OR(AH!$U$4=0,469+1&gt;AH!$U$6,AND(AH!$M$5="Bloomberg",AH!$U$5=0)),"",IFERROR(IF(AND(AH!$U$12=1,469+1=AH!$U$6),TODAY(),IF(AH!$U$5=1,INDEX('Live History'!$A$5:$A$3004,AH!$U$7+469),INDEX('AH History'!$A$5:$A$1380,AH!$U$7+469))),""))</f>
        <v/>
      </c>
      <c r="B474" s="33">
        <f>IFERROR(IF(AH!$U$11=1,NA(),$J474/$E474-1),NA())</f>
        <v/>
      </c>
      <c r="C474" s="269">
        <f>IFERROR(100*$E474/$E$5,NA())</f>
        <v/>
      </c>
      <c r="D474" s="269">
        <f>IFERROR(100*$J474/$J$5,NA())</f>
        <v/>
      </c>
      <c r="E474" s="32">
        <f>IFERROR(IF(AND(ISNUMBER($A474),N(IF(AND(AH!$U$12=1,469+1=AH!$U$6),IF(AH!$U$4=0,"unavailable",INDEX('Market Data'!$AN$5:$AN$66,AH!$U$4)),IF(AH!$U$5=1,INDEX('Live History'!$B$5:$B$3004,$K474),INDEX('AH History'!$D$5:$GG$1380,$K474,AH!$U$10))))&gt;0),IF(AND(AH!$U$12=1,469+1=AH!$U$6),IF(AH!$U$4=0,"unavailable",INDEX('Market Data'!$AN$5:$AN$66,AH!$U$4)),IF(AH!$U$5=1,INDEX('Live History'!$B$5:$B$3004,$K474),INDEX('AH History'!$D$5:$GG$1380,$K474,AH!$U$10))),NA()),NA())</f>
        <v/>
      </c>
      <c r="F474" s="32">
        <f>IFERROR(IF(ISNUMBER($A474),IF(AND(AH!$U$12=1,469+1=AH!$U$6),IF(AH!$U$4=0,"unavailable",INDEX('Market Data'!$AO$5:$AO$66,AH!$U$4)),IF(AH!$U$5=1,INDEX('Live History'!$E$5:$E$3004,MATCH($A474,'Live History'!$D$5:$D$3004,1)),INDEX('AH History'!$D$5:$GG$1380,$K474,AH!$U$10+1))),NA()),NA())</f>
        <v/>
      </c>
      <c r="G474" s="34">
        <f>IFERROR(IF(ISNUMBER($A474),IF(AND(AH!$U$12=1,469+1=AH!$U$6),IF(AH!$U$4=0,"unavailable",INDEX('Market Data'!$AK$5:$AK$66,AH!$U$4)),IF(AH!$U$5=1,INDEX('Live History'!$D$5:$D$3004,MATCH($A474,'Live History'!$D$5:$D$3004,1)),INDEX('AH History'!$D$5:$GG$1380,$K474,AH!$U$10+2))),NA()),NA())</f>
        <v/>
      </c>
      <c r="H474" s="266">
        <f>IFERROR(IF(ISNUMBER($A474),IF(AND(AH!$U$12=1,469+1=AH!$U$6),IF(AH!$U$4=0,"unavailable",INDEX('Market Data'!$AP$5:$AP$66,AH!$U$4)),IF(AH!$U$5=1,INDEX('Live History'!$H$5:$H$3004,MATCH($A474,'Live History'!$G$5:$G$3004,1)),INDEX('AH History'!$B$5:$B$1380,$K474))),NA()),NA())</f>
        <v/>
      </c>
      <c r="I474" s="34">
        <f>IFERROR(IF(ISNUMBER($A474),IF(AND(AH!$U$12=1,469+1=AH!$U$6),TODAY(),IF(AH!$U$5=1,INDEX('Live History'!$G$5:$G$3004,MATCH($A474,'Live History'!$G$5:$G$3004,1)),INDEX('AH History'!$C$5:$C$1380,$K474))),NA()),NA())</f>
        <v/>
      </c>
      <c r="J474" s="32">
        <f>IFERROR(IF(AND($F474&gt;0,$H474&gt;0,$A474-$G474&lt;=10,$A474-$I474&lt;=5,$G474&gt;0,$I474&gt;0),$F474*$H474,NA()),NA())</f>
        <v/>
      </c>
      <c r="K474" s="15">
        <f>IF($A474="","",IF(AH!$U$5=1,IFERROR(MATCH($A474,'Live History'!$A$5:$A$3004,0),0),AH!$U$7+469))</f>
        <v/>
      </c>
      <c r="L474" s="15">
        <f>IF(ISNUMBER(A474),TEXT(A474,"dd-mmm-yy"),"")</f>
        <v/>
      </c>
    </row>
    <row r="475">
      <c r="A475" s="14">
        <f>IF(OR(AH!$U$4=0,470+1&gt;AH!$U$6,AND(AH!$M$5="Bloomberg",AH!$U$5=0)),"",IFERROR(IF(AND(AH!$U$12=1,470+1=AH!$U$6),TODAY(),IF(AH!$U$5=1,INDEX('Live History'!$A$5:$A$3004,AH!$U$7+470),INDEX('AH History'!$A$5:$A$1380,AH!$U$7+470))),""))</f>
        <v/>
      </c>
      <c r="B475" s="33">
        <f>IFERROR(IF(AH!$U$11=1,NA(),$J475/$E475-1),NA())</f>
        <v/>
      </c>
      <c r="C475" s="269">
        <f>IFERROR(100*$E475/$E$5,NA())</f>
        <v/>
      </c>
      <c r="D475" s="269">
        <f>IFERROR(100*$J475/$J$5,NA())</f>
        <v/>
      </c>
      <c r="E475" s="32">
        <f>IFERROR(IF(AND(ISNUMBER($A475),N(IF(AND(AH!$U$12=1,470+1=AH!$U$6),IF(AH!$U$4=0,"unavailable",INDEX('Market Data'!$AN$5:$AN$66,AH!$U$4)),IF(AH!$U$5=1,INDEX('Live History'!$B$5:$B$3004,$K475),INDEX('AH History'!$D$5:$GG$1380,$K475,AH!$U$10))))&gt;0),IF(AND(AH!$U$12=1,470+1=AH!$U$6),IF(AH!$U$4=0,"unavailable",INDEX('Market Data'!$AN$5:$AN$66,AH!$U$4)),IF(AH!$U$5=1,INDEX('Live History'!$B$5:$B$3004,$K475),INDEX('AH History'!$D$5:$GG$1380,$K475,AH!$U$10))),NA()),NA())</f>
        <v/>
      </c>
      <c r="F475" s="32">
        <f>IFERROR(IF(ISNUMBER($A475),IF(AND(AH!$U$12=1,470+1=AH!$U$6),IF(AH!$U$4=0,"unavailable",INDEX('Market Data'!$AO$5:$AO$66,AH!$U$4)),IF(AH!$U$5=1,INDEX('Live History'!$E$5:$E$3004,MATCH($A475,'Live History'!$D$5:$D$3004,1)),INDEX('AH History'!$D$5:$GG$1380,$K475,AH!$U$10+1))),NA()),NA())</f>
        <v/>
      </c>
      <c r="G475" s="34">
        <f>IFERROR(IF(ISNUMBER($A475),IF(AND(AH!$U$12=1,470+1=AH!$U$6),IF(AH!$U$4=0,"unavailable",INDEX('Market Data'!$AK$5:$AK$66,AH!$U$4)),IF(AH!$U$5=1,INDEX('Live History'!$D$5:$D$3004,MATCH($A475,'Live History'!$D$5:$D$3004,1)),INDEX('AH History'!$D$5:$GG$1380,$K475,AH!$U$10+2))),NA()),NA())</f>
        <v/>
      </c>
      <c r="H475" s="266">
        <f>IFERROR(IF(ISNUMBER($A475),IF(AND(AH!$U$12=1,470+1=AH!$U$6),IF(AH!$U$4=0,"unavailable",INDEX('Market Data'!$AP$5:$AP$66,AH!$U$4)),IF(AH!$U$5=1,INDEX('Live History'!$H$5:$H$3004,MATCH($A475,'Live History'!$G$5:$G$3004,1)),INDEX('AH History'!$B$5:$B$1380,$K475))),NA()),NA())</f>
        <v/>
      </c>
      <c r="I475" s="34">
        <f>IFERROR(IF(ISNUMBER($A475),IF(AND(AH!$U$12=1,470+1=AH!$U$6),TODAY(),IF(AH!$U$5=1,INDEX('Live History'!$G$5:$G$3004,MATCH($A475,'Live History'!$G$5:$G$3004,1)),INDEX('AH History'!$C$5:$C$1380,$K475))),NA()),NA())</f>
        <v/>
      </c>
      <c r="J475" s="32">
        <f>IFERROR(IF(AND($F475&gt;0,$H475&gt;0,$A475-$G475&lt;=10,$A475-$I475&lt;=5,$G475&gt;0,$I475&gt;0),$F475*$H475,NA()),NA())</f>
        <v/>
      </c>
      <c r="K475" s="15">
        <f>IF($A475="","",IF(AH!$U$5=1,IFERROR(MATCH($A475,'Live History'!$A$5:$A$3004,0),0),AH!$U$7+470))</f>
        <v/>
      </c>
      <c r="L475" s="15">
        <f>IF(ISNUMBER(A475),TEXT(A475,"dd-mmm-yy"),"")</f>
        <v/>
      </c>
    </row>
    <row r="476">
      <c r="A476" s="14">
        <f>IF(OR(AH!$U$4=0,471+1&gt;AH!$U$6,AND(AH!$M$5="Bloomberg",AH!$U$5=0)),"",IFERROR(IF(AND(AH!$U$12=1,471+1=AH!$U$6),TODAY(),IF(AH!$U$5=1,INDEX('Live History'!$A$5:$A$3004,AH!$U$7+471),INDEX('AH History'!$A$5:$A$1380,AH!$U$7+471))),""))</f>
        <v/>
      </c>
      <c r="B476" s="33">
        <f>IFERROR(IF(AH!$U$11=1,NA(),$J476/$E476-1),NA())</f>
        <v/>
      </c>
      <c r="C476" s="269">
        <f>IFERROR(100*$E476/$E$5,NA())</f>
        <v/>
      </c>
      <c r="D476" s="269">
        <f>IFERROR(100*$J476/$J$5,NA())</f>
        <v/>
      </c>
      <c r="E476" s="32">
        <f>IFERROR(IF(AND(ISNUMBER($A476),N(IF(AND(AH!$U$12=1,471+1=AH!$U$6),IF(AH!$U$4=0,"unavailable",INDEX('Market Data'!$AN$5:$AN$66,AH!$U$4)),IF(AH!$U$5=1,INDEX('Live History'!$B$5:$B$3004,$K476),INDEX('AH History'!$D$5:$GG$1380,$K476,AH!$U$10))))&gt;0),IF(AND(AH!$U$12=1,471+1=AH!$U$6),IF(AH!$U$4=0,"unavailable",INDEX('Market Data'!$AN$5:$AN$66,AH!$U$4)),IF(AH!$U$5=1,INDEX('Live History'!$B$5:$B$3004,$K476),INDEX('AH History'!$D$5:$GG$1380,$K476,AH!$U$10))),NA()),NA())</f>
        <v/>
      </c>
      <c r="F476" s="32">
        <f>IFERROR(IF(ISNUMBER($A476),IF(AND(AH!$U$12=1,471+1=AH!$U$6),IF(AH!$U$4=0,"unavailable",INDEX('Market Data'!$AO$5:$AO$66,AH!$U$4)),IF(AH!$U$5=1,INDEX('Live History'!$E$5:$E$3004,MATCH($A476,'Live History'!$D$5:$D$3004,1)),INDEX('AH History'!$D$5:$GG$1380,$K476,AH!$U$10+1))),NA()),NA())</f>
        <v/>
      </c>
      <c r="G476" s="34">
        <f>IFERROR(IF(ISNUMBER($A476),IF(AND(AH!$U$12=1,471+1=AH!$U$6),IF(AH!$U$4=0,"unavailable",INDEX('Market Data'!$AK$5:$AK$66,AH!$U$4)),IF(AH!$U$5=1,INDEX('Live History'!$D$5:$D$3004,MATCH($A476,'Live History'!$D$5:$D$3004,1)),INDEX('AH History'!$D$5:$GG$1380,$K476,AH!$U$10+2))),NA()),NA())</f>
        <v/>
      </c>
      <c r="H476" s="266">
        <f>IFERROR(IF(ISNUMBER($A476),IF(AND(AH!$U$12=1,471+1=AH!$U$6),IF(AH!$U$4=0,"unavailable",INDEX('Market Data'!$AP$5:$AP$66,AH!$U$4)),IF(AH!$U$5=1,INDEX('Live History'!$H$5:$H$3004,MATCH($A476,'Live History'!$G$5:$G$3004,1)),INDEX('AH History'!$B$5:$B$1380,$K476))),NA()),NA())</f>
        <v/>
      </c>
      <c r="I476" s="34">
        <f>IFERROR(IF(ISNUMBER($A476),IF(AND(AH!$U$12=1,471+1=AH!$U$6),TODAY(),IF(AH!$U$5=1,INDEX('Live History'!$G$5:$G$3004,MATCH($A476,'Live History'!$G$5:$G$3004,1)),INDEX('AH History'!$C$5:$C$1380,$K476))),NA()),NA())</f>
        <v/>
      </c>
      <c r="J476" s="32">
        <f>IFERROR(IF(AND($F476&gt;0,$H476&gt;0,$A476-$G476&lt;=10,$A476-$I476&lt;=5,$G476&gt;0,$I476&gt;0),$F476*$H476,NA()),NA())</f>
        <v/>
      </c>
      <c r="K476" s="15">
        <f>IF($A476="","",IF(AH!$U$5=1,IFERROR(MATCH($A476,'Live History'!$A$5:$A$3004,0),0),AH!$U$7+471))</f>
        <v/>
      </c>
      <c r="L476" s="15">
        <f>IF(ISNUMBER(A476),TEXT(A476,"dd-mmm-yy"),"")</f>
        <v/>
      </c>
    </row>
    <row r="477">
      <c r="A477" s="14">
        <f>IF(OR(AH!$U$4=0,472+1&gt;AH!$U$6,AND(AH!$M$5="Bloomberg",AH!$U$5=0)),"",IFERROR(IF(AND(AH!$U$12=1,472+1=AH!$U$6),TODAY(),IF(AH!$U$5=1,INDEX('Live History'!$A$5:$A$3004,AH!$U$7+472),INDEX('AH History'!$A$5:$A$1380,AH!$U$7+472))),""))</f>
        <v/>
      </c>
      <c r="B477" s="33">
        <f>IFERROR(IF(AH!$U$11=1,NA(),$J477/$E477-1),NA())</f>
        <v/>
      </c>
      <c r="C477" s="269">
        <f>IFERROR(100*$E477/$E$5,NA())</f>
        <v/>
      </c>
      <c r="D477" s="269">
        <f>IFERROR(100*$J477/$J$5,NA())</f>
        <v/>
      </c>
      <c r="E477" s="32">
        <f>IFERROR(IF(AND(ISNUMBER($A477),N(IF(AND(AH!$U$12=1,472+1=AH!$U$6),IF(AH!$U$4=0,"unavailable",INDEX('Market Data'!$AN$5:$AN$66,AH!$U$4)),IF(AH!$U$5=1,INDEX('Live History'!$B$5:$B$3004,$K477),INDEX('AH History'!$D$5:$GG$1380,$K477,AH!$U$10))))&gt;0),IF(AND(AH!$U$12=1,472+1=AH!$U$6),IF(AH!$U$4=0,"unavailable",INDEX('Market Data'!$AN$5:$AN$66,AH!$U$4)),IF(AH!$U$5=1,INDEX('Live History'!$B$5:$B$3004,$K477),INDEX('AH History'!$D$5:$GG$1380,$K477,AH!$U$10))),NA()),NA())</f>
        <v/>
      </c>
      <c r="F477" s="32">
        <f>IFERROR(IF(ISNUMBER($A477),IF(AND(AH!$U$12=1,472+1=AH!$U$6),IF(AH!$U$4=0,"unavailable",INDEX('Market Data'!$AO$5:$AO$66,AH!$U$4)),IF(AH!$U$5=1,INDEX('Live History'!$E$5:$E$3004,MATCH($A477,'Live History'!$D$5:$D$3004,1)),INDEX('AH History'!$D$5:$GG$1380,$K477,AH!$U$10+1))),NA()),NA())</f>
        <v/>
      </c>
      <c r="G477" s="34">
        <f>IFERROR(IF(ISNUMBER($A477),IF(AND(AH!$U$12=1,472+1=AH!$U$6),IF(AH!$U$4=0,"unavailable",INDEX('Market Data'!$AK$5:$AK$66,AH!$U$4)),IF(AH!$U$5=1,INDEX('Live History'!$D$5:$D$3004,MATCH($A477,'Live History'!$D$5:$D$3004,1)),INDEX('AH History'!$D$5:$GG$1380,$K477,AH!$U$10+2))),NA()),NA())</f>
        <v/>
      </c>
      <c r="H477" s="266">
        <f>IFERROR(IF(ISNUMBER($A477),IF(AND(AH!$U$12=1,472+1=AH!$U$6),IF(AH!$U$4=0,"unavailable",INDEX('Market Data'!$AP$5:$AP$66,AH!$U$4)),IF(AH!$U$5=1,INDEX('Live History'!$H$5:$H$3004,MATCH($A477,'Live History'!$G$5:$G$3004,1)),INDEX('AH History'!$B$5:$B$1380,$K477))),NA()),NA())</f>
        <v/>
      </c>
      <c r="I477" s="34">
        <f>IFERROR(IF(ISNUMBER($A477),IF(AND(AH!$U$12=1,472+1=AH!$U$6),TODAY(),IF(AH!$U$5=1,INDEX('Live History'!$G$5:$G$3004,MATCH($A477,'Live History'!$G$5:$G$3004,1)),INDEX('AH History'!$C$5:$C$1380,$K477))),NA()),NA())</f>
        <v/>
      </c>
      <c r="J477" s="32">
        <f>IFERROR(IF(AND($F477&gt;0,$H477&gt;0,$A477-$G477&lt;=10,$A477-$I477&lt;=5,$G477&gt;0,$I477&gt;0),$F477*$H477,NA()),NA())</f>
        <v/>
      </c>
      <c r="K477" s="15">
        <f>IF($A477="","",IF(AH!$U$5=1,IFERROR(MATCH($A477,'Live History'!$A$5:$A$3004,0),0),AH!$U$7+472))</f>
        <v/>
      </c>
      <c r="L477" s="15">
        <f>IF(ISNUMBER(A477),TEXT(A477,"dd-mmm-yy"),"")</f>
        <v/>
      </c>
    </row>
    <row r="478">
      <c r="A478" s="14">
        <f>IF(OR(AH!$U$4=0,473+1&gt;AH!$U$6,AND(AH!$M$5="Bloomberg",AH!$U$5=0)),"",IFERROR(IF(AND(AH!$U$12=1,473+1=AH!$U$6),TODAY(),IF(AH!$U$5=1,INDEX('Live History'!$A$5:$A$3004,AH!$U$7+473),INDEX('AH History'!$A$5:$A$1380,AH!$U$7+473))),""))</f>
        <v/>
      </c>
      <c r="B478" s="33">
        <f>IFERROR(IF(AH!$U$11=1,NA(),$J478/$E478-1),NA())</f>
        <v/>
      </c>
      <c r="C478" s="269">
        <f>IFERROR(100*$E478/$E$5,NA())</f>
        <v/>
      </c>
      <c r="D478" s="269">
        <f>IFERROR(100*$J478/$J$5,NA())</f>
        <v/>
      </c>
      <c r="E478" s="32">
        <f>IFERROR(IF(AND(ISNUMBER($A478),N(IF(AND(AH!$U$12=1,473+1=AH!$U$6),IF(AH!$U$4=0,"unavailable",INDEX('Market Data'!$AN$5:$AN$66,AH!$U$4)),IF(AH!$U$5=1,INDEX('Live History'!$B$5:$B$3004,$K478),INDEX('AH History'!$D$5:$GG$1380,$K478,AH!$U$10))))&gt;0),IF(AND(AH!$U$12=1,473+1=AH!$U$6),IF(AH!$U$4=0,"unavailable",INDEX('Market Data'!$AN$5:$AN$66,AH!$U$4)),IF(AH!$U$5=1,INDEX('Live History'!$B$5:$B$3004,$K478),INDEX('AH History'!$D$5:$GG$1380,$K478,AH!$U$10))),NA()),NA())</f>
        <v/>
      </c>
      <c r="F478" s="32">
        <f>IFERROR(IF(ISNUMBER($A478),IF(AND(AH!$U$12=1,473+1=AH!$U$6),IF(AH!$U$4=0,"unavailable",INDEX('Market Data'!$AO$5:$AO$66,AH!$U$4)),IF(AH!$U$5=1,INDEX('Live History'!$E$5:$E$3004,MATCH($A478,'Live History'!$D$5:$D$3004,1)),INDEX('AH History'!$D$5:$GG$1380,$K478,AH!$U$10+1))),NA()),NA())</f>
        <v/>
      </c>
      <c r="G478" s="34">
        <f>IFERROR(IF(ISNUMBER($A478),IF(AND(AH!$U$12=1,473+1=AH!$U$6),IF(AH!$U$4=0,"unavailable",INDEX('Market Data'!$AK$5:$AK$66,AH!$U$4)),IF(AH!$U$5=1,INDEX('Live History'!$D$5:$D$3004,MATCH($A478,'Live History'!$D$5:$D$3004,1)),INDEX('AH History'!$D$5:$GG$1380,$K478,AH!$U$10+2))),NA()),NA())</f>
        <v/>
      </c>
      <c r="H478" s="266">
        <f>IFERROR(IF(ISNUMBER($A478),IF(AND(AH!$U$12=1,473+1=AH!$U$6),IF(AH!$U$4=0,"unavailable",INDEX('Market Data'!$AP$5:$AP$66,AH!$U$4)),IF(AH!$U$5=1,INDEX('Live History'!$H$5:$H$3004,MATCH($A478,'Live History'!$G$5:$G$3004,1)),INDEX('AH History'!$B$5:$B$1380,$K478))),NA()),NA())</f>
        <v/>
      </c>
      <c r="I478" s="34">
        <f>IFERROR(IF(ISNUMBER($A478),IF(AND(AH!$U$12=1,473+1=AH!$U$6),TODAY(),IF(AH!$U$5=1,INDEX('Live History'!$G$5:$G$3004,MATCH($A478,'Live History'!$G$5:$G$3004,1)),INDEX('AH History'!$C$5:$C$1380,$K478))),NA()),NA())</f>
        <v/>
      </c>
      <c r="J478" s="32">
        <f>IFERROR(IF(AND($F478&gt;0,$H478&gt;0,$A478-$G478&lt;=10,$A478-$I478&lt;=5,$G478&gt;0,$I478&gt;0),$F478*$H478,NA()),NA())</f>
        <v/>
      </c>
      <c r="K478" s="15">
        <f>IF($A478="","",IF(AH!$U$5=1,IFERROR(MATCH($A478,'Live History'!$A$5:$A$3004,0),0),AH!$U$7+473))</f>
        <v/>
      </c>
      <c r="L478" s="15">
        <f>IF(ISNUMBER(A478),TEXT(A478,"dd-mmm-yy"),"")</f>
        <v/>
      </c>
    </row>
    <row r="479">
      <c r="A479" s="14">
        <f>IF(OR(AH!$U$4=0,474+1&gt;AH!$U$6,AND(AH!$M$5="Bloomberg",AH!$U$5=0)),"",IFERROR(IF(AND(AH!$U$12=1,474+1=AH!$U$6),TODAY(),IF(AH!$U$5=1,INDEX('Live History'!$A$5:$A$3004,AH!$U$7+474),INDEX('AH History'!$A$5:$A$1380,AH!$U$7+474))),""))</f>
        <v/>
      </c>
      <c r="B479" s="33">
        <f>IFERROR(IF(AH!$U$11=1,NA(),$J479/$E479-1),NA())</f>
        <v/>
      </c>
      <c r="C479" s="269">
        <f>IFERROR(100*$E479/$E$5,NA())</f>
        <v/>
      </c>
      <c r="D479" s="269">
        <f>IFERROR(100*$J479/$J$5,NA())</f>
        <v/>
      </c>
      <c r="E479" s="32">
        <f>IFERROR(IF(AND(ISNUMBER($A479),N(IF(AND(AH!$U$12=1,474+1=AH!$U$6),IF(AH!$U$4=0,"unavailable",INDEX('Market Data'!$AN$5:$AN$66,AH!$U$4)),IF(AH!$U$5=1,INDEX('Live History'!$B$5:$B$3004,$K479),INDEX('AH History'!$D$5:$GG$1380,$K479,AH!$U$10))))&gt;0),IF(AND(AH!$U$12=1,474+1=AH!$U$6),IF(AH!$U$4=0,"unavailable",INDEX('Market Data'!$AN$5:$AN$66,AH!$U$4)),IF(AH!$U$5=1,INDEX('Live History'!$B$5:$B$3004,$K479),INDEX('AH History'!$D$5:$GG$1380,$K479,AH!$U$10))),NA()),NA())</f>
        <v/>
      </c>
      <c r="F479" s="32">
        <f>IFERROR(IF(ISNUMBER($A479),IF(AND(AH!$U$12=1,474+1=AH!$U$6),IF(AH!$U$4=0,"unavailable",INDEX('Market Data'!$AO$5:$AO$66,AH!$U$4)),IF(AH!$U$5=1,INDEX('Live History'!$E$5:$E$3004,MATCH($A479,'Live History'!$D$5:$D$3004,1)),INDEX('AH History'!$D$5:$GG$1380,$K479,AH!$U$10+1))),NA()),NA())</f>
        <v/>
      </c>
      <c r="G479" s="34">
        <f>IFERROR(IF(ISNUMBER($A479),IF(AND(AH!$U$12=1,474+1=AH!$U$6),IF(AH!$U$4=0,"unavailable",INDEX('Market Data'!$AK$5:$AK$66,AH!$U$4)),IF(AH!$U$5=1,INDEX('Live History'!$D$5:$D$3004,MATCH($A479,'Live History'!$D$5:$D$3004,1)),INDEX('AH History'!$D$5:$GG$1380,$K479,AH!$U$10+2))),NA()),NA())</f>
        <v/>
      </c>
      <c r="H479" s="266">
        <f>IFERROR(IF(ISNUMBER($A479),IF(AND(AH!$U$12=1,474+1=AH!$U$6),IF(AH!$U$4=0,"unavailable",INDEX('Market Data'!$AP$5:$AP$66,AH!$U$4)),IF(AH!$U$5=1,INDEX('Live History'!$H$5:$H$3004,MATCH($A479,'Live History'!$G$5:$G$3004,1)),INDEX('AH History'!$B$5:$B$1380,$K479))),NA()),NA())</f>
        <v/>
      </c>
      <c r="I479" s="34">
        <f>IFERROR(IF(ISNUMBER($A479),IF(AND(AH!$U$12=1,474+1=AH!$U$6),TODAY(),IF(AH!$U$5=1,INDEX('Live History'!$G$5:$G$3004,MATCH($A479,'Live History'!$G$5:$G$3004,1)),INDEX('AH History'!$C$5:$C$1380,$K479))),NA()),NA())</f>
        <v/>
      </c>
      <c r="J479" s="32">
        <f>IFERROR(IF(AND($F479&gt;0,$H479&gt;0,$A479-$G479&lt;=10,$A479-$I479&lt;=5,$G479&gt;0,$I479&gt;0),$F479*$H479,NA()),NA())</f>
        <v/>
      </c>
      <c r="K479" s="15">
        <f>IF($A479="","",IF(AH!$U$5=1,IFERROR(MATCH($A479,'Live History'!$A$5:$A$3004,0),0),AH!$U$7+474))</f>
        <v/>
      </c>
      <c r="L479" s="15">
        <f>IF(ISNUMBER(A479),TEXT(A479,"dd-mmm-yy"),"")</f>
        <v/>
      </c>
    </row>
    <row r="480">
      <c r="A480" s="14">
        <f>IF(OR(AH!$U$4=0,475+1&gt;AH!$U$6,AND(AH!$M$5="Bloomberg",AH!$U$5=0)),"",IFERROR(IF(AND(AH!$U$12=1,475+1=AH!$U$6),TODAY(),IF(AH!$U$5=1,INDEX('Live History'!$A$5:$A$3004,AH!$U$7+475),INDEX('AH History'!$A$5:$A$1380,AH!$U$7+475))),""))</f>
        <v/>
      </c>
      <c r="B480" s="33">
        <f>IFERROR(IF(AH!$U$11=1,NA(),$J480/$E480-1),NA())</f>
        <v/>
      </c>
      <c r="C480" s="269">
        <f>IFERROR(100*$E480/$E$5,NA())</f>
        <v/>
      </c>
      <c r="D480" s="269">
        <f>IFERROR(100*$J480/$J$5,NA())</f>
        <v/>
      </c>
      <c r="E480" s="32">
        <f>IFERROR(IF(AND(ISNUMBER($A480),N(IF(AND(AH!$U$12=1,475+1=AH!$U$6),IF(AH!$U$4=0,"unavailable",INDEX('Market Data'!$AN$5:$AN$66,AH!$U$4)),IF(AH!$U$5=1,INDEX('Live History'!$B$5:$B$3004,$K480),INDEX('AH History'!$D$5:$GG$1380,$K480,AH!$U$10))))&gt;0),IF(AND(AH!$U$12=1,475+1=AH!$U$6),IF(AH!$U$4=0,"unavailable",INDEX('Market Data'!$AN$5:$AN$66,AH!$U$4)),IF(AH!$U$5=1,INDEX('Live History'!$B$5:$B$3004,$K480),INDEX('AH History'!$D$5:$GG$1380,$K480,AH!$U$10))),NA()),NA())</f>
        <v/>
      </c>
      <c r="F480" s="32">
        <f>IFERROR(IF(ISNUMBER($A480),IF(AND(AH!$U$12=1,475+1=AH!$U$6),IF(AH!$U$4=0,"unavailable",INDEX('Market Data'!$AO$5:$AO$66,AH!$U$4)),IF(AH!$U$5=1,INDEX('Live History'!$E$5:$E$3004,MATCH($A480,'Live History'!$D$5:$D$3004,1)),INDEX('AH History'!$D$5:$GG$1380,$K480,AH!$U$10+1))),NA()),NA())</f>
        <v/>
      </c>
      <c r="G480" s="34">
        <f>IFERROR(IF(ISNUMBER($A480),IF(AND(AH!$U$12=1,475+1=AH!$U$6),IF(AH!$U$4=0,"unavailable",INDEX('Market Data'!$AK$5:$AK$66,AH!$U$4)),IF(AH!$U$5=1,INDEX('Live History'!$D$5:$D$3004,MATCH($A480,'Live History'!$D$5:$D$3004,1)),INDEX('AH History'!$D$5:$GG$1380,$K480,AH!$U$10+2))),NA()),NA())</f>
        <v/>
      </c>
      <c r="H480" s="266">
        <f>IFERROR(IF(ISNUMBER($A480),IF(AND(AH!$U$12=1,475+1=AH!$U$6),IF(AH!$U$4=0,"unavailable",INDEX('Market Data'!$AP$5:$AP$66,AH!$U$4)),IF(AH!$U$5=1,INDEX('Live History'!$H$5:$H$3004,MATCH($A480,'Live History'!$G$5:$G$3004,1)),INDEX('AH History'!$B$5:$B$1380,$K480))),NA()),NA())</f>
        <v/>
      </c>
      <c r="I480" s="34">
        <f>IFERROR(IF(ISNUMBER($A480),IF(AND(AH!$U$12=1,475+1=AH!$U$6),TODAY(),IF(AH!$U$5=1,INDEX('Live History'!$G$5:$G$3004,MATCH($A480,'Live History'!$G$5:$G$3004,1)),INDEX('AH History'!$C$5:$C$1380,$K480))),NA()),NA())</f>
        <v/>
      </c>
      <c r="J480" s="32">
        <f>IFERROR(IF(AND($F480&gt;0,$H480&gt;0,$A480-$G480&lt;=10,$A480-$I480&lt;=5,$G480&gt;0,$I480&gt;0),$F480*$H480,NA()),NA())</f>
        <v/>
      </c>
      <c r="K480" s="15">
        <f>IF($A480="","",IF(AH!$U$5=1,IFERROR(MATCH($A480,'Live History'!$A$5:$A$3004,0),0),AH!$U$7+475))</f>
        <v/>
      </c>
      <c r="L480" s="15">
        <f>IF(ISNUMBER(A480),TEXT(A480,"dd-mmm-yy"),"")</f>
        <v/>
      </c>
    </row>
    <row r="481">
      <c r="A481" s="14">
        <f>IF(OR(AH!$U$4=0,476+1&gt;AH!$U$6,AND(AH!$M$5="Bloomberg",AH!$U$5=0)),"",IFERROR(IF(AND(AH!$U$12=1,476+1=AH!$U$6),TODAY(),IF(AH!$U$5=1,INDEX('Live History'!$A$5:$A$3004,AH!$U$7+476),INDEX('AH History'!$A$5:$A$1380,AH!$U$7+476))),""))</f>
        <v/>
      </c>
      <c r="B481" s="33">
        <f>IFERROR(IF(AH!$U$11=1,NA(),$J481/$E481-1),NA())</f>
        <v/>
      </c>
      <c r="C481" s="269">
        <f>IFERROR(100*$E481/$E$5,NA())</f>
        <v/>
      </c>
      <c r="D481" s="269">
        <f>IFERROR(100*$J481/$J$5,NA())</f>
        <v/>
      </c>
      <c r="E481" s="32">
        <f>IFERROR(IF(AND(ISNUMBER($A481),N(IF(AND(AH!$U$12=1,476+1=AH!$U$6),IF(AH!$U$4=0,"unavailable",INDEX('Market Data'!$AN$5:$AN$66,AH!$U$4)),IF(AH!$U$5=1,INDEX('Live History'!$B$5:$B$3004,$K481),INDEX('AH History'!$D$5:$GG$1380,$K481,AH!$U$10))))&gt;0),IF(AND(AH!$U$12=1,476+1=AH!$U$6),IF(AH!$U$4=0,"unavailable",INDEX('Market Data'!$AN$5:$AN$66,AH!$U$4)),IF(AH!$U$5=1,INDEX('Live History'!$B$5:$B$3004,$K481),INDEX('AH History'!$D$5:$GG$1380,$K481,AH!$U$10))),NA()),NA())</f>
        <v/>
      </c>
      <c r="F481" s="32">
        <f>IFERROR(IF(ISNUMBER($A481),IF(AND(AH!$U$12=1,476+1=AH!$U$6),IF(AH!$U$4=0,"unavailable",INDEX('Market Data'!$AO$5:$AO$66,AH!$U$4)),IF(AH!$U$5=1,INDEX('Live History'!$E$5:$E$3004,MATCH($A481,'Live History'!$D$5:$D$3004,1)),INDEX('AH History'!$D$5:$GG$1380,$K481,AH!$U$10+1))),NA()),NA())</f>
        <v/>
      </c>
      <c r="G481" s="34">
        <f>IFERROR(IF(ISNUMBER($A481),IF(AND(AH!$U$12=1,476+1=AH!$U$6),IF(AH!$U$4=0,"unavailable",INDEX('Market Data'!$AK$5:$AK$66,AH!$U$4)),IF(AH!$U$5=1,INDEX('Live History'!$D$5:$D$3004,MATCH($A481,'Live History'!$D$5:$D$3004,1)),INDEX('AH History'!$D$5:$GG$1380,$K481,AH!$U$10+2))),NA()),NA())</f>
        <v/>
      </c>
      <c r="H481" s="266">
        <f>IFERROR(IF(ISNUMBER($A481),IF(AND(AH!$U$12=1,476+1=AH!$U$6),IF(AH!$U$4=0,"unavailable",INDEX('Market Data'!$AP$5:$AP$66,AH!$U$4)),IF(AH!$U$5=1,INDEX('Live History'!$H$5:$H$3004,MATCH($A481,'Live History'!$G$5:$G$3004,1)),INDEX('AH History'!$B$5:$B$1380,$K481))),NA()),NA())</f>
        <v/>
      </c>
      <c r="I481" s="34">
        <f>IFERROR(IF(ISNUMBER($A481),IF(AND(AH!$U$12=1,476+1=AH!$U$6),TODAY(),IF(AH!$U$5=1,INDEX('Live History'!$G$5:$G$3004,MATCH($A481,'Live History'!$G$5:$G$3004,1)),INDEX('AH History'!$C$5:$C$1380,$K481))),NA()),NA())</f>
        <v/>
      </c>
      <c r="J481" s="32">
        <f>IFERROR(IF(AND($F481&gt;0,$H481&gt;0,$A481-$G481&lt;=10,$A481-$I481&lt;=5,$G481&gt;0,$I481&gt;0),$F481*$H481,NA()),NA())</f>
        <v/>
      </c>
      <c r="K481" s="15">
        <f>IF($A481="","",IF(AH!$U$5=1,IFERROR(MATCH($A481,'Live History'!$A$5:$A$3004,0),0),AH!$U$7+476))</f>
        <v/>
      </c>
      <c r="L481" s="15">
        <f>IF(ISNUMBER(A481),TEXT(A481,"dd-mmm-yy"),"")</f>
        <v/>
      </c>
    </row>
    <row r="482">
      <c r="A482" s="14">
        <f>IF(OR(AH!$U$4=0,477+1&gt;AH!$U$6,AND(AH!$M$5="Bloomberg",AH!$U$5=0)),"",IFERROR(IF(AND(AH!$U$12=1,477+1=AH!$U$6),TODAY(),IF(AH!$U$5=1,INDEX('Live History'!$A$5:$A$3004,AH!$U$7+477),INDEX('AH History'!$A$5:$A$1380,AH!$U$7+477))),""))</f>
        <v/>
      </c>
      <c r="B482" s="33">
        <f>IFERROR(IF(AH!$U$11=1,NA(),$J482/$E482-1),NA())</f>
        <v/>
      </c>
      <c r="C482" s="269">
        <f>IFERROR(100*$E482/$E$5,NA())</f>
        <v/>
      </c>
      <c r="D482" s="269">
        <f>IFERROR(100*$J482/$J$5,NA())</f>
        <v/>
      </c>
      <c r="E482" s="32">
        <f>IFERROR(IF(AND(ISNUMBER($A482),N(IF(AND(AH!$U$12=1,477+1=AH!$U$6),IF(AH!$U$4=0,"unavailable",INDEX('Market Data'!$AN$5:$AN$66,AH!$U$4)),IF(AH!$U$5=1,INDEX('Live History'!$B$5:$B$3004,$K482),INDEX('AH History'!$D$5:$GG$1380,$K482,AH!$U$10))))&gt;0),IF(AND(AH!$U$12=1,477+1=AH!$U$6),IF(AH!$U$4=0,"unavailable",INDEX('Market Data'!$AN$5:$AN$66,AH!$U$4)),IF(AH!$U$5=1,INDEX('Live History'!$B$5:$B$3004,$K482),INDEX('AH History'!$D$5:$GG$1380,$K482,AH!$U$10))),NA()),NA())</f>
        <v/>
      </c>
      <c r="F482" s="32">
        <f>IFERROR(IF(ISNUMBER($A482),IF(AND(AH!$U$12=1,477+1=AH!$U$6),IF(AH!$U$4=0,"unavailable",INDEX('Market Data'!$AO$5:$AO$66,AH!$U$4)),IF(AH!$U$5=1,INDEX('Live History'!$E$5:$E$3004,MATCH($A482,'Live History'!$D$5:$D$3004,1)),INDEX('AH History'!$D$5:$GG$1380,$K482,AH!$U$10+1))),NA()),NA())</f>
        <v/>
      </c>
      <c r="G482" s="34">
        <f>IFERROR(IF(ISNUMBER($A482),IF(AND(AH!$U$12=1,477+1=AH!$U$6),IF(AH!$U$4=0,"unavailable",INDEX('Market Data'!$AK$5:$AK$66,AH!$U$4)),IF(AH!$U$5=1,INDEX('Live History'!$D$5:$D$3004,MATCH($A482,'Live History'!$D$5:$D$3004,1)),INDEX('AH History'!$D$5:$GG$1380,$K482,AH!$U$10+2))),NA()),NA())</f>
        <v/>
      </c>
      <c r="H482" s="266">
        <f>IFERROR(IF(ISNUMBER($A482),IF(AND(AH!$U$12=1,477+1=AH!$U$6),IF(AH!$U$4=0,"unavailable",INDEX('Market Data'!$AP$5:$AP$66,AH!$U$4)),IF(AH!$U$5=1,INDEX('Live History'!$H$5:$H$3004,MATCH($A482,'Live History'!$G$5:$G$3004,1)),INDEX('AH History'!$B$5:$B$1380,$K482))),NA()),NA())</f>
        <v/>
      </c>
      <c r="I482" s="34">
        <f>IFERROR(IF(ISNUMBER($A482),IF(AND(AH!$U$12=1,477+1=AH!$U$6),TODAY(),IF(AH!$U$5=1,INDEX('Live History'!$G$5:$G$3004,MATCH($A482,'Live History'!$G$5:$G$3004,1)),INDEX('AH History'!$C$5:$C$1380,$K482))),NA()),NA())</f>
        <v/>
      </c>
      <c r="J482" s="32">
        <f>IFERROR(IF(AND($F482&gt;0,$H482&gt;0,$A482-$G482&lt;=10,$A482-$I482&lt;=5,$G482&gt;0,$I482&gt;0),$F482*$H482,NA()),NA())</f>
        <v/>
      </c>
      <c r="K482" s="15">
        <f>IF($A482="","",IF(AH!$U$5=1,IFERROR(MATCH($A482,'Live History'!$A$5:$A$3004,0),0),AH!$U$7+477))</f>
        <v/>
      </c>
      <c r="L482" s="15">
        <f>IF(ISNUMBER(A482),TEXT(A482,"dd-mmm-yy"),"")</f>
        <v/>
      </c>
    </row>
    <row r="483">
      <c r="A483" s="14">
        <f>IF(OR(AH!$U$4=0,478+1&gt;AH!$U$6,AND(AH!$M$5="Bloomberg",AH!$U$5=0)),"",IFERROR(IF(AND(AH!$U$12=1,478+1=AH!$U$6),TODAY(),IF(AH!$U$5=1,INDEX('Live History'!$A$5:$A$3004,AH!$U$7+478),INDEX('AH History'!$A$5:$A$1380,AH!$U$7+478))),""))</f>
        <v/>
      </c>
      <c r="B483" s="33">
        <f>IFERROR(IF(AH!$U$11=1,NA(),$J483/$E483-1),NA())</f>
        <v/>
      </c>
      <c r="C483" s="269">
        <f>IFERROR(100*$E483/$E$5,NA())</f>
        <v/>
      </c>
      <c r="D483" s="269">
        <f>IFERROR(100*$J483/$J$5,NA())</f>
        <v/>
      </c>
      <c r="E483" s="32">
        <f>IFERROR(IF(AND(ISNUMBER($A483),N(IF(AND(AH!$U$12=1,478+1=AH!$U$6),IF(AH!$U$4=0,"unavailable",INDEX('Market Data'!$AN$5:$AN$66,AH!$U$4)),IF(AH!$U$5=1,INDEX('Live History'!$B$5:$B$3004,$K483),INDEX('AH History'!$D$5:$GG$1380,$K483,AH!$U$10))))&gt;0),IF(AND(AH!$U$12=1,478+1=AH!$U$6),IF(AH!$U$4=0,"unavailable",INDEX('Market Data'!$AN$5:$AN$66,AH!$U$4)),IF(AH!$U$5=1,INDEX('Live History'!$B$5:$B$3004,$K483),INDEX('AH History'!$D$5:$GG$1380,$K483,AH!$U$10))),NA()),NA())</f>
        <v/>
      </c>
      <c r="F483" s="32">
        <f>IFERROR(IF(ISNUMBER($A483),IF(AND(AH!$U$12=1,478+1=AH!$U$6),IF(AH!$U$4=0,"unavailable",INDEX('Market Data'!$AO$5:$AO$66,AH!$U$4)),IF(AH!$U$5=1,INDEX('Live History'!$E$5:$E$3004,MATCH($A483,'Live History'!$D$5:$D$3004,1)),INDEX('AH History'!$D$5:$GG$1380,$K483,AH!$U$10+1))),NA()),NA())</f>
        <v/>
      </c>
      <c r="G483" s="34">
        <f>IFERROR(IF(ISNUMBER($A483),IF(AND(AH!$U$12=1,478+1=AH!$U$6),IF(AH!$U$4=0,"unavailable",INDEX('Market Data'!$AK$5:$AK$66,AH!$U$4)),IF(AH!$U$5=1,INDEX('Live History'!$D$5:$D$3004,MATCH($A483,'Live History'!$D$5:$D$3004,1)),INDEX('AH History'!$D$5:$GG$1380,$K483,AH!$U$10+2))),NA()),NA())</f>
        <v/>
      </c>
      <c r="H483" s="266">
        <f>IFERROR(IF(ISNUMBER($A483),IF(AND(AH!$U$12=1,478+1=AH!$U$6),IF(AH!$U$4=0,"unavailable",INDEX('Market Data'!$AP$5:$AP$66,AH!$U$4)),IF(AH!$U$5=1,INDEX('Live History'!$H$5:$H$3004,MATCH($A483,'Live History'!$G$5:$G$3004,1)),INDEX('AH History'!$B$5:$B$1380,$K483))),NA()),NA())</f>
        <v/>
      </c>
      <c r="I483" s="34">
        <f>IFERROR(IF(ISNUMBER($A483),IF(AND(AH!$U$12=1,478+1=AH!$U$6),TODAY(),IF(AH!$U$5=1,INDEX('Live History'!$G$5:$G$3004,MATCH($A483,'Live History'!$G$5:$G$3004,1)),INDEX('AH History'!$C$5:$C$1380,$K483))),NA()),NA())</f>
        <v/>
      </c>
      <c r="J483" s="32">
        <f>IFERROR(IF(AND($F483&gt;0,$H483&gt;0,$A483-$G483&lt;=10,$A483-$I483&lt;=5,$G483&gt;0,$I483&gt;0),$F483*$H483,NA()),NA())</f>
        <v/>
      </c>
      <c r="K483" s="15">
        <f>IF($A483="","",IF(AH!$U$5=1,IFERROR(MATCH($A483,'Live History'!$A$5:$A$3004,0),0),AH!$U$7+478))</f>
        <v/>
      </c>
      <c r="L483" s="15">
        <f>IF(ISNUMBER(A483),TEXT(A483,"dd-mmm-yy"),"")</f>
        <v/>
      </c>
    </row>
    <row r="484">
      <c r="A484" s="14">
        <f>IF(OR(AH!$U$4=0,479+1&gt;AH!$U$6,AND(AH!$M$5="Bloomberg",AH!$U$5=0)),"",IFERROR(IF(AND(AH!$U$12=1,479+1=AH!$U$6),TODAY(),IF(AH!$U$5=1,INDEX('Live History'!$A$5:$A$3004,AH!$U$7+479),INDEX('AH History'!$A$5:$A$1380,AH!$U$7+479))),""))</f>
        <v/>
      </c>
      <c r="B484" s="33">
        <f>IFERROR(IF(AH!$U$11=1,NA(),$J484/$E484-1),NA())</f>
        <v/>
      </c>
      <c r="C484" s="269">
        <f>IFERROR(100*$E484/$E$5,NA())</f>
        <v/>
      </c>
      <c r="D484" s="269">
        <f>IFERROR(100*$J484/$J$5,NA())</f>
        <v/>
      </c>
      <c r="E484" s="32">
        <f>IFERROR(IF(AND(ISNUMBER($A484),N(IF(AND(AH!$U$12=1,479+1=AH!$U$6),IF(AH!$U$4=0,"unavailable",INDEX('Market Data'!$AN$5:$AN$66,AH!$U$4)),IF(AH!$U$5=1,INDEX('Live History'!$B$5:$B$3004,$K484),INDEX('AH History'!$D$5:$GG$1380,$K484,AH!$U$10))))&gt;0),IF(AND(AH!$U$12=1,479+1=AH!$U$6),IF(AH!$U$4=0,"unavailable",INDEX('Market Data'!$AN$5:$AN$66,AH!$U$4)),IF(AH!$U$5=1,INDEX('Live History'!$B$5:$B$3004,$K484),INDEX('AH History'!$D$5:$GG$1380,$K484,AH!$U$10))),NA()),NA())</f>
        <v/>
      </c>
      <c r="F484" s="32">
        <f>IFERROR(IF(ISNUMBER($A484),IF(AND(AH!$U$12=1,479+1=AH!$U$6),IF(AH!$U$4=0,"unavailable",INDEX('Market Data'!$AO$5:$AO$66,AH!$U$4)),IF(AH!$U$5=1,INDEX('Live History'!$E$5:$E$3004,MATCH($A484,'Live History'!$D$5:$D$3004,1)),INDEX('AH History'!$D$5:$GG$1380,$K484,AH!$U$10+1))),NA()),NA())</f>
        <v/>
      </c>
      <c r="G484" s="34">
        <f>IFERROR(IF(ISNUMBER($A484),IF(AND(AH!$U$12=1,479+1=AH!$U$6),IF(AH!$U$4=0,"unavailable",INDEX('Market Data'!$AK$5:$AK$66,AH!$U$4)),IF(AH!$U$5=1,INDEX('Live History'!$D$5:$D$3004,MATCH($A484,'Live History'!$D$5:$D$3004,1)),INDEX('AH History'!$D$5:$GG$1380,$K484,AH!$U$10+2))),NA()),NA())</f>
        <v/>
      </c>
      <c r="H484" s="266">
        <f>IFERROR(IF(ISNUMBER($A484),IF(AND(AH!$U$12=1,479+1=AH!$U$6),IF(AH!$U$4=0,"unavailable",INDEX('Market Data'!$AP$5:$AP$66,AH!$U$4)),IF(AH!$U$5=1,INDEX('Live History'!$H$5:$H$3004,MATCH($A484,'Live History'!$G$5:$G$3004,1)),INDEX('AH History'!$B$5:$B$1380,$K484))),NA()),NA())</f>
        <v/>
      </c>
      <c r="I484" s="34">
        <f>IFERROR(IF(ISNUMBER($A484),IF(AND(AH!$U$12=1,479+1=AH!$U$6),TODAY(),IF(AH!$U$5=1,INDEX('Live History'!$G$5:$G$3004,MATCH($A484,'Live History'!$G$5:$G$3004,1)),INDEX('AH History'!$C$5:$C$1380,$K484))),NA()),NA())</f>
        <v/>
      </c>
      <c r="J484" s="32">
        <f>IFERROR(IF(AND($F484&gt;0,$H484&gt;0,$A484-$G484&lt;=10,$A484-$I484&lt;=5,$G484&gt;0,$I484&gt;0),$F484*$H484,NA()),NA())</f>
        <v/>
      </c>
      <c r="K484" s="15">
        <f>IF($A484="","",IF(AH!$U$5=1,IFERROR(MATCH($A484,'Live History'!$A$5:$A$3004,0),0),AH!$U$7+479))</f>
        <v/>
      </c>
      <c r="L484" s="15">
        <f>IF(ISNUMBER(A484),TEXT(A484,"dd-mmm-yy"),"")</f>
        <v/>
      </c>
    </row>
    <row r="485">
      <c r="A485" s="14">
        <f>IF(OR(AH!$U$4=0,480+1&gt;AH!$U$6,AND(AH!$M$5="Bloomberg",AH!$U$5=0)),"",IFERROR(IF(AND(AH!$U$12=1,480+1=AH!$U$6),TODAY(),IF(AH!$U$5=1,INDEX('Live History'!$A$5:$A$3004,AH!$U$7+480),INDEX('AH History'!$A$5:$A$1380,AH!$U$7+480))),""))</f>
        <v/>
      </c>
      <c r="B485" s="33">
        <f>IFERROR(IF(AH!$U$11=1,NA(),$J485/$E485-1),NA())</f>
        <v/>
      </c>
      <c r="C485" s="269">
        <f>IFERROR(100*$E485/$E$5,NA())</f>
        <v/>
      </c>
      <c r="D485" s="269">
        <f>IFERROR(100*$J485/$J$5,NA())</f>
        <v/>
      </c>
      <c r="E485" s="32">
        <f>IFERROR(IF(AND(ISNUMBER($A485),N(IF(AND(AH!$U$12=1,480+1=AH!$U$6),IF(AH!$U$4=0,"unavailable",INDEX('Market Data'!$AN$5:$AN$66,AH!$U$4)),IF(AH!$U$5=1,INDEX('Live History'!$B$5:$B$3004,$K485),INDEX('AH History'!$D$5:$GG$1380,$K485,AH!$U$10))))&gt;0),IF(AND(AH!$U$12=1,480+1=AH!$U$6),IF(AH!$U$4=0,"unavailable",INDEX('Market Data'!$AN$5:$AN$66,AH!$U$4)),IF(AH!$U$5=1,INDEX('Live History'!$B$5:$B$3004,$K485),INDEX('AH History'!$D$5:$GG$1380,$K485,AH!$U$10))),NA()),NA())</f>
        <v/>
      </c>
      <c r="F485" s="32">
        <f>IFERROR(IF(ISNUMBER($A485),IF(AND(AH!$U$12=1,480+1=AH!$U$6),IF(AH!$U$4=0,"unavailable",INDEX('Market Data'!$AO$5:$AO$66,AH!$U$4)),IF(AH!$U$5=1,INDEX('Live History'!$E$5:$E$3004,MATCH($A485,'Live History'!$D$5:$D$3004,1)),INDEX('AH History'!$D$5:$GG$1380,$K485,AH!$U$10+1))),NA()),NA())</f>
        <v/>
      </c>
      <c r="G485" s="34">
        <f>IFERROR(IF(ISNUMBER($A485),IF(AND(AH!$U$12=1,480+1=AH!$U$6),IF(AH!$U$4=0,"unavailable",INDEX('Market Data'!$AK$5:$AK$66,AH!$U$4)),IF(AH!$U$5=1,INDEX('Live History'!$D$5:$D$3004,MATCH($A485,'Live History'!$D$5:$D$3004,1)),INDEX('AH History'!$D$5:$GG$1380,$K485,AH!$U$10+2))),NA()),NA())</f>
        <v/>
      </c>
      <c r="H485" s="266">
        <f>IFERROR(IF(ISNUMBER($A485),IF(AND(AH!$U$12=1,480+1=AH!$U$6),IF(AH!$U$4=0,"unavailable",INDEX('Market Data'!$AP$5:$AP$66,AH!$U$4)),IF(AH!$U$5=1,INDEX('Live History'!$H$5:$H$3004,MATCH($A485,'Live History'!$G$5:$G$3004,1)),INDEX('AH History'!$B$5:$B$1380,$K485))),NA()),NA())</f>
        <v/>
      </c>
      <c r="I485" s="34">
        <f>IFERROR(IF(ISNUMBER($A485),IF(AND(AH!$U$12=1,480+1=AH!$U$6),TODAY(),IF(AH!$U$5=1,INDEX('Live History'!$G$5:$G$3004,MATCH($A485,'Live History'!$G$5:$G$3004,1)),INDEX('AH History'!$C$5:$C$1380,$K485))),NA()),NA())</f>
        <v/>
      </c>
      <c r="J485" s="32">
        <f>IFERROR(IF(AND($F485&gt;0,$H485&gt;0,$A485-$G485&lt;=10,$A485-$I485&lt;=5,$G485&gt;0,$I485&gt;0),$F485*$H485,NA()),NA())</f>
        <v/>
      </c>
      <c r="K485" s="15">
        <f>IF($A485="","",IF(AH!$U$5=1,IFERROR(MATCH($A485,'Live History'!$A$5:$A$3004,0),0),AH!$U$7+480))</f>
        <v/>
      </c>
      <c r="L485" s="15">
        <f>IF(ISNUMBER(A485),TEXT(A485,"dd-mmm-yy"),"")</f>
        <v/>
      </c>
    </row>
    <row r="486">
      <c r="A486" s="14">
        <f>IF(OR(AH!$U$4=0,481+1&gt;AH!$U$6,AND(AH!$M$5="Bloomberg",AH!$U$5=0)),"",IFERROR(IF(AND(AH!$U$12=1,481+1=AH!$U$6),TODAY(),IF(AH!$U$5=1,INDEX('Live History'!$A$5:$A$3004,AH!$U$7+481),INDEX('AH History'!$A$5:$A$1380,AH!$U$7+481))),""))</f>
        <v/>
      </c>
      <c r="B486" s="33">
        <f>IFERROR(IF(AH!$U$11=1,NA(),$J486/$E486-1),NA())</f>
        <v/>
      </c>
      <c r="C486" s="269">
        <f>IFERROR(100*$E486/$E$5,NA())</f>
        <v/>
      </c>
      <c r="D486" s="269">
        <f>IFERROR(100*$J486/$J$5,NA())</f>
        <v/>
      </c>
      <c r="E486" s="32">
        <f>IFERROR(IF(AND(ISNUMBER($A486),N(IF(AND(AH!$U$12=1,481+1=AH!$U$6),IF(AH!$U$4=0,"unavailable",INDEX('Market Data'!$AN$5:$AN$66,AH!$U$4)),IF(AH!$U$5=1,INDEX('Live History'!$B$5:$B$3004,$K486),INDEX('AH History'!$D$5:$GG$1380,$K486,AH!$U$10))))&gt;0),IF(AND(AH!$U$12=1,481+1=AH!$U$6),IF(AH!$U$4=0,"unavailable",INDEX('Market Data'!$AN$5:$AN$66,AH!$U$4)),IF(AH!$U$5=1,INDEX('Live History'!$B$5:$B$3004,$K486),INDEX('AH History'!$D$5:$GG$1380,$K486,AH!$U$10))),NA()),NA())</f>
        <v/>
      </c>
      <c r="F486" s="32">
        <f>IFERROR(IF(ISNUMBER($A486),IF(AND(AH!$U$12=1,481+1=AH!$U$6),IF(AH!$U$4=0,"unavailable",INDEX('Market Data'!$AO$5:$AO$66,AH!$U$4)),IF(AH!$U$5=1,INDEX('Live History'!$E$5:$E$3004,MATCH($A486,'Live History'!$D$5:$D$3004,1)),INDEX('AH History'!$D$5:$GG$1380,$K486,AH!$U$10+1))),NA()),NA())</f>
        <v/>
      </c>
      <c r="G486" s="34">
        <f>IFERROR(IF(ISNUMBER($A486),IF(AND(AH!$U$12=1,481+1=AH!$U$6),IF(AH!$U$4=0,"unavailable",INDEX('Market Data'!$AK$5:$AK$66,AH!$U$4)),IF(AH!$U$5=1,INDEX('Live History'!$D$5:$D$3004,MATCH($A486,'Live History'!$D$5:$D$3004,1)),INDEX('AH History'!$D$5:$GG$1380,$K486,AH!$U$10+2))),NA()),NA())</f>
        <v/>
      </c>
      <c r="H486" s="266">
        <f>IFERROR(IF(ISNUMBER($A486),IF(AND(AH!$U$12=1,481+1=AH!$U$6),IF(AH!$U$4=0,"unavailable",INDEX('Market Data'!$AP$5:$AP$66,AH!$U$4)),IF(AH!$U$5=1,INDEX('Live History'!$H$5:$H$3004,MATCH($A486,'Live History'!$G$5:$G$3004,1)),INDEX('AH History'!$B$5:$B$1380,$K486))),NA()),NA())</f>
        <v/>
      </c>
      <c r="I486" s="34">
        <f>IFERROR(IF(ISNUMBER($A486),IF(AND(AH!$U$12=1,481+1=AH!$U$6),TODAY(),IF(AH!$U$5=1,INDEX('Live History'!$G$5:$G$3004,MATCH($A486,'Live History'!$G$5:$G$3004,1)),INDEX('AH History'!$C$5:$C$1380,$K486))),NA()),NA())</f>
        <v/>
      </c>
      <c r="J486" s="32">
        <f>IFERROR(IF(AND($F486&gt;0,$H486&gt;0,$A486-$G486&lt;=10,$A486-$I486&lt;=5,$G486&gt;0,$I486&gt;0),$F486*$H486,NA()),NA())</f>
        <v/>
      </c>
      <c r="K486" s="15">
        <f>IF($A486="","",IF(AH!$U$5=1,IFERROR(MATCH($A486,'Live History'!$A$5:$A$3004,0),0),AH!$U$7+481))</f>
        <v/>
      </c>
      <c r="L486" s="15">
        <f>IF(ISNUMBER(A486),TEXT(A486,"dd-mmm-yy"),"")</f>
        <v/>
      </c>
    </row>
    <row r="487">
      <c r="A487" s="14">
        <f>IF(OR(AH!$U$4=0,482+1&gt;AH!$U$6,AND(AH!$M$5="Bloomberg",AH!$U$5=0)),"",IFERROR(IF(AND(AH!$U$12=1,482+1=AH!$U$6),TODAY(),IF(AH!$U$5=1,INDEX('Live History'!$A$5:$A$3004,AH!$U$7+482),INDEX('AH History'!$A$5:$A$1380,AH!$U$7+482))),""))</f>
        <v/>
      </c>
      <c r="B487" s="33">
        <f>IFERROR(IF(AH!$U$11=1,NA(),$J487/$E487-1),NA())</f>
        <v/>
      </c>
      <c r="C487" s="269">
        <f>IFERROR(100*$E487/$E$5,NA())</f>
        <v/>
      </c>
      <c r="D487" s="269">
        <f>IFERROR(100*$J487/$J$5,NA())</f>
        <v/>
      </c>
      <c r="E487" s="32">
        <f>IFERROR(IF(AND(ISNUMBER($A487),N(IF(AND(AH!$U$12=1,482+1=AH!$U$6),IF(AH!$U$4=0,"unavailable",INDEX('Market Data'!$AN$5:$AN$66,AH!$U$4)),IF(AH!$U$5=1,INDEX('Live History'!$B$5:$B$3004,$K487),INDEX('AH History'!$D$5:$GG$1380,$K487,AH!$U$10))))&gt;0),IF(AND(AH!$U$12=1,482+1=AH!$U$6),IF(AH!$U$4=0,"unavailable",INDEX('Market Data'!$AN$5:$AN$66,AH!$U$4)),IF(AH!$U$5=1,INDEX('Live History'!$B$5:$B$3004,$K487),INDEX('AH History'!$D$5:$GG$1380,$K487,AH!$U$10))),NA()),NA())</f>
        <v/>
      </c>
      <c r="F487" s="32">
        <f>IFERROR(IF(ISNUMBER($A487),IF(AND(AH!$U$12=1,482+1=AH!$U$6),IF(AH!$U$4=0,"unavailable",INDEX('Market Data'!$AO$5:$AO$66,AH!$U$4)),IF(AH!$U$5=1,INDEX('Live History'!$E$5:$E$3004,MATCH($A487,'Live History'!$D$5:$D$3004,1)),INDEX('AH History'!$D$5:$GG$1380,$K487,AH!$U$10+1))),NA()),NA())</f>
        <v/>
      </c>
      <c r="G487" s="34">
        <f>IFERROR(IF(ISNUMBER($A487),IF(AND(AH!$U$12=1,482+1=AH!$U$6),IF(AH!$U$4=0,"unavailable",INDEX('Market Data'!$AK$5:$AK$66,AH!$U$4)),IF(AH!$U$5=1,INDEX('Live History'!$D$5:$D$3004,MATCH($A487,'Live History'!$D$5:$D$3004,1)),INDEX('AH History'!$D$5:$GG$1380,$K487,AH!$U$10+2))),NA()),NA())</f>
        <v/>
      </c>
      <c r="H487" s="266">
        <f>IFERROR(IF(ISNUMBER($A487),IF(AND(AH!$U$12=1,482+1=AH!$U$6),IF(AH!$U$4=0,"unavailable",INDEX('Market Data'!$AP$5:$AP$66,AH!$U$4)),IF(AH!$U$5=1,INDEX('Live History'!$H$5:$H$3004,MATCH($A487,'Live History'!$G$5:$G$3004,1)),INDEX('AH History'!$B$5:$B$1380,$K487))),NA()),NA())</f>
        <v/>
      </c>
      <c r="I487" s="34">
        <f>IFERROR(IF(ISNUMBER($A487),IF(AND(AH!$U$12=1,482+1=AH!$U$6),TODAY(),IF(AH!$U$5=1,INDEX('Live History'!$G$5:$G$3004,MATCH($A487,'Live History'!$G$5:$G$3004,1)),INDEX('AH History'!$C$5:$C$1380,$K487))),NA()),NA())</f>
        <v/>
      </c>
      <c r="J487" s="32">
        <f>IFERROR(IF(AND($F487&gt;0,$H487&gt;0,$A487-$G487&lt;=10,$A487-$I487&lt;=5,$G487&gt;0,$I487&gt;0),$F487*$H487,NA()),NA())</f>
        <v/>
      </c>
      <c r="K487" s="15">
        <f>IF($A487="","",IF(AH!$U$5=1,IFERROR(MATCH($A487,'Live History'!$A$5:$A$3004,0),0),AH!$U$7+482))</f>
        <v/>
      </c>
      <c r="L487" s="15">
        <f>IF(ISNUMBER(A487),TEXT(A487,"dd-mmm-yy"),"")</f>
        <v/>
      </c>
    </row>
    <row r="488">
      <c r="A488" s="14">
        <f>IF(OR(AH!$U$4=0,483+1&gt;AH!$U$6,AND(AH!$M$5="Bloomberg",AH!$U$5=0)),"",IFERROR(IF(AND(AH!$U$12=1,483+1=AH!$U$6),TODAY(),IF(AH!$U$5=1,INDEX('Live History'!$A$5:$A$3004,AH!$U$7+483),INDEX('AH History'!$A$5:$A$1380,AH!$U$7+483))),""))</f>
        <v/>
      </c>
      <c r="B488" s="33">
        <f>IFERROR(IF(AH!$U$11=1,NA(),$J488/$E488-1),NA())</f>
        <v/>
      </c>
      <c r="C488" s="269">
        <f>IFERROR(100*$E488/$E$5,NA())</f>
        <v/>
      </c>
      <c r="D488" s="269">
        <f>IFERROR(100*$J488/$J$5,NA())</f>
        <v/>
      </c>
      <c r="E488" s="32">
        <f>IFERROR(IF(AND(ISNUMBER($A488),N(IF(AND(AH!$U$12=1,483+1=AH!$U$6),IF(AH!$U$4=0,"unavailable",INDEX('Market Data'!$AN$5:$AN$66,AH!$U$4)),IF(AH!$U$5=1,INDEX('Live History'!$B$5:$B$3004,$K488),INDEX('AH History'!$D$5:$GG$1380,$K488,AH!$U$10))))&gt;0),IF(AND(AH!$U$12=1,483+1=AH!$U$6),IF(AH!$U$4=0,"unavailable",INDEX('Market Data'!$AN$5:$AN$66,AH!$U$4)),IF(AH!$U$5=1,INDEX('Live History'!$B$5:$B$3004,$K488),INDEX('AH History'!$D$5:$GG$1380,$K488,AH!$U$10))),NA()),NA())</f>
        <v/>
      </c>
      <c r="F488" s="32">
        <f>IFERROR(IF(ISNUMBER($A488),IF(AND(AH!$U$12=1,483+1=AH!$U$6),IF(AH!$U$4=0,"unavailable",INDEX('Market Data'!$AO$5:$AO$66,AH!$U$4)),IF(AH!$U$5=1,INDEX('Live History'!$E$5:$E$3004,MATCH($A488,'Live History'!$D$5:$D$3004,1)),INDEX('AH History'!$D$5:$GG$1380,$K488,AH!$U$10+1))),NA()),NA())</f>
        <v/>
      </c>
      <c r="G488" s="34">
        <f>IFERROR(IF(ISNUMBER($A488),IF(AND(AH!$U$12=1,483+1=AH!$U$6),IF(AH!$U$4=0,"unavailable",INDEX('Market Data'!$AK$5:$AK$66,AH!$U$4)),IF(AH!$U$5=1,INDEX('Live History'!$D$5:$D$3004,MATCH($A488,'Live History'!$D$5:$D$3004,1)),INDEX('AH History'!$D$5:$GG$1380,$K488,AH!$U$10+2))),NA()),NA())</f>
        <v/>
      </c>
      <c r="H488" s="266">
        <f>IFERROR(IF(ISNUMBER($A488),IF(AND(AH!$U$12=1,483+1=AH!$U$6),IF(AH!$U$4=0,"unavailable",INDEX('Market Data'!$AP$5:$AP$66,AH!$U$4)),IF(AH!$U$5=1,INDEX('Live History'!$H$5:$H$3004,MATCH($A488,'Live History'!$G$5:$G$3004,1)),INDEX('AH History'!$B$5:$B$1380,$K488))),NA()),NA())</f>
        <v/>
      </c>
      <c r="I488" s="34">
        <f>IFERROR(IF(ISNUMBER($A488),IF(AND(AH!$U$12=1,483+1=AH!$U$6),TODAY(),IF(AH!$U$5=1,INDEX('Live History'!$G$5:$G$3004,MATCH($A488,'Live History'!$G$5:$G$3004,1)),INDEX('AH History'!$C$5:$C$1380,$K488))),NA()),NA())</f>
        <v/>
      </c>
      <c r="J488" s="32">
        <f>IFERROR(IF(AND($F488&gt;0,$H488&gt;0,$A488-$G488&lt;=10,$A488-$I488&lt;=5,$G488&gt;0,$I488&gt;0),$F488*$H488,NA()),NA())</f>
        <v/>
      </c>
      <c r="K488" s="15">
        <f>IF($A488="","",IF(AH!$U$5=1,IFERROR(MATCH($A488,'Live History'!$A$5:$A$3004,0),0),AH!$U$7+483))</f>
        <v/>
      </c>
      <c r="L488" s="15">
        <f>IF(ISNUMBER(A488),TEXT(A488,"dd-mmm-yy"),"")</f>
        <v/>
      </c>
    </row>
    <row r="489">
      <c r="A489" s="14">
        <f>IF(OR(AH!$U$4=0,484+1&gt;AH!$U$6,AND(AH!$M$5="Bloomberg",AH!$U$5=0)),"",IFERROR(IF(AND(AH!$U$12=1,484+1=AH!$U$6),TODAY(),IF(AH!$U$5=1,INDEX('Live History'!$A$5:$A$3004,AH!$U$7+484),INDEX('AH History'!$A$5:$A$1380,AH!$U$7+484))),""))</f>
        <v/>
      </c>
      <c r="B489" s="33">
        <f>IFERROR(IF(AH!$U$11=1,NA(),$J489/$E489-1),NA())</f>
        <v/>
      </c>
      <c r="C489" s="269">
        <f>IFERROR(100*$E489/$E$5,NA())</f>
        <v/>
      </c>
      <c r="D489" s="269">
        <f>IFERROR(100*$J489/$J$5,NA())</f>
        <v/>
      </c>
      <c r="E489" s="32">
        <f>IFERROR(IF(AND(ISNUMBER($A489),N(IF(AND(AH!$U$12=1,484+1=AH!$U$6),IF(AH!$U$4=0,"unavailable",INDEX('Market Data'!$AN$5:$AN$66,AH!$U$4)),IF(AH!$U$5=1,INDEX('Live History'!$B$5:$B$3004,$K489),INDEX('AH History'!$D$5:$GG$1380,$K489,AH!$U$10))))&gt;0),IF(AND(AH!$U$12=1,484+1=AH!$U$6),IF(AH!$U$4=0,"unavailable",INDEX('Market Data'!$AN$5:$AN$66,AH!$U$4)),IF(AH!$U$5=1,INDEX('Live History'!$B$5:$B$3004,$K489),INDEX('AH History'!$D$5:$GG$1380,$K489,AH!$U$10))),NA()),NA())</f>
        <v/>
      </c>
      <c r="F489" s="32">
        <f>IFERROR(IF(ISNUMBER($A489),IF(AND(AH!$U$12=1,484+1=AH!$U$6),IF(AH!$U$4=0,"unavailable",INDEX('Market Data'!$AO$5:$AO$66,AH!$U$4)),IF(AH!$U$5=1,INDEX('Live History'!$E$5:$E$3004,MATCH($A489,'Live History'!$D$5:$D$3004,1)),INDEX('AH History'!$D$5:$GG$1380,$K489,AH!$U$10+1))),NA()),NA())</f>
        <v/>
      </c>
      <c r="G489" s="34">
        <f>IFERROR(IF(ISNUMBER($A489),IF(AND(AH!$U$12=1,484+1=AH!$U$6),IF(AH!$U$4=0,"unavailable",INDEX('Market Data'!$AK$5:$AK$66,AH!$U$4)),IF(AH!$U$5=1,INDEX('Live History'!$D$5:$D$3004,MATCH($A489,'Live History'!$D$5:$D$3004,1)),INDEX('AH History'!$D$5:$GG$1380,$K489,AH!$U$10+2))),NA()),NA())</f>
        <v/>
      </c>
      <c r="H489" s="266">
        <f>IFERROR(IF(ISNUMBER($A489),IF(AND(AH!$U$12=1,484+1=AH!$U$6),IF(AH!$U$4=0,"unavailable",INDEX('Market Data'!$AP$5:$AP$66,AH!$U$4)),IF(AH!$U$5=1,INDEX('Live History'!$H$5:$H$3004,MATCH($A489,'Live History'!$G$5:$G$3004,1)),INDEX('AH History'!$B$5:$B$1380,$K489))),NA()),NA())</f>
        <v/>
      </c>
      <c r="I489" s="34">
        <f>IFERROR(IF(ISNUMBER($A489),IF(AND(AH!$U$12=1,484+1=AH!$U$6),TODAY(),IF(AH!$U$5=1,INDEX('Live History'!$G$5:$G$3004,MATCH($A489,'Live History'!$G$5:$G$3004,1)),INDEX('AH History'!$C$5:$C$1380,$K489))),NA()),NA())</f>
        <v/>
      </c>
      <c r="J489" s="32">
        <f>IFERROR(IF(AND($F489&gt;0,$H489&gt;0,$A489-$G489&lt;=10,$A489-$I489&lt;=5,$G489&gt;0,$I489&gt;0),$F489*$H489,NA()),NA())</f>
        <v/>
      </c>
      <c r="K489" s="15">
        <f>IF($A489="","",IF(AH!$U$5=1,IFERROR(MATCH($A489,'Live History'!$A$5:$A$3004,0),0),AH!$U$7+484))</f>
        <v/>
      </c>
      <c r="L489" s="15">
        <f>IF(ISNUMBER(A489),TEXT(A489,"dd-mmm-yy"),"")</f>
        <v/>
      </c>
    </row>
    <row r="490">
      <c r="A490" s="14">
        <f>IF(OR(AH!$U$4=0,485+1&gt;AH!$U$6,AND(AH!$M$5="Bloomberg",AH!$U$5=0)),"",IFERROR(IF(AND(AH!$U$12=1,485+1=AH!$U$6),TODAY(),IF(AH!$U$5=1,INDEX('Live History'!$A$5:$A$3004,AH!$U$7+485),INDEX('AH History'!$A$5:$A$1380,AH!$U$7+485))),""))</f>
        <v/>
      </c>
      <c r="B490" s="33">
        <f>IFERROR(IF(AH!$U$11=1,NA(),$J490/$E490-1),NA())</f>
        <v/>
      </c>
      <c r="C490" s="269">
        <f>IFERROR(100*$E490/$E$5,NA())</f>
        <v/>
      </c>
      <c r="D490" s="269">
        <f>IFERROR(100*$J490/$J$5,NA())</f>
        <v/>
      </c>
      <c r="E490" s="32">
        <f>IFERROR(IF(AND(ISNUMBER($A490),N(IF(AND(AH!$U$12=1,485+1=AH!$U$6),IF(AH!$U$4=0,"unavailable",INDEX('Market Data'!$AN$5:$AN$66,AH!$U$4)),IF(AH!$U$5=1,INDEX('Live History'!$B$5:$B$3004,$K490),INDEX('AH History'!$D$5:$GG$1380,$K490,AH!$U$10))))&gt;0),IF(AND(AH!$U$12=1,485+1=AH!$U$6),IF(AH!$U$4=0,"unavailable",INDEX('Market Data'!$AN$5:$AN$66,AH!$U$4)),IF(AH!$U$5=1,INDEX('Live History'!$B$5:$B$3004,$K490),INDEX('AH History'!$D$5:$GG$1380,$K490,AH!$U$10))),NA()),NA())</f>
        <v/>
      </c>
      <c r="F490" s="32">
        <f>IFERROR(IF(ISNUMBER($A490),IF(AND(AH!$U$12=1,485+1=AH!$U$6),IF(AH!$U$4=0,"unavailable",INDEX('Market Data'!$AO$5:$AO$66,AH!$U$4)),IF(AH!$U$5=1,INDEX('Live History'!$E$5:$E$3004,MATCH($A490,'Live History'!$D$5:$D$3004,1)),INDEX('AH History'!$D$5:$GG$1380,$K490,AH!$U$10+1))),NA()),NA())</f>
        <v/>
      </c>
      <c r="G490" s="34">
        <f>IFERROR(IF(ISNUMBER($A490),IF(AND(AH!$U$12=1,485+1=AH!$U$6),IF(AH!$U$4=0,"unavailable",INDEX('Market Data'!$AK$5:$AK$66,AH!$U$4)),IF(AH!$U$5=1,INDEX('Live History'!$D$5:$D$3004,MATCH($A490,'Live History'!$D$5:$D$3004,1)),INDEX('AH History'!$D$5:$GG$1380,$K490,AH!$U$10+2))),NA()),NA())</f>
        <v/>
      </c>
      <c r="H490" s="266">
        <f>IFERROR(IF(ISNUMBER($A490),IF(AND(AH!$U$12=1,485+1=AH!$U$6),IF(AH!$U$4=0,"unavailable",INDEX('Market Data'!$AP$5:$AP$66,AH!$U$4)),IF(AH!$U$5=1,INDEX('Live History'!$H$5:$H$3004,MATCH($A490,'Live History'!$G$5:$G$3004,1)),INDEX('AH History'!$B$5:$B$1380,$K490))),NA()),NA())</f>
        <v/>
      </c>
      <c r="I490" s="34">
        <f>IFERROR(IF(ISNUMBER($A490),IF(AND(AH!$U$12=1,485+1=AH!$U$6),TODAY(),IF(AH!$U$5=1,INDEX('Live History'!$G$5:$G$3004,MATCH($A490,'Live History'!$G$5:$G$3004,1)),INDEX('AH History'!$C$5:$C$1380,$K490))),NA()),NA())</f>
        <v/>
      </c>
      <c r="J490" s="32">
        <f>IFERROR(IF(AND($F490&gt;0,$H490&gt;0,$A490-$G490&lt;=10,$A490-$I490&lt;=5,$G490&gt;0,$I490&gt;0),$F490*$H490,NA()),NA())</f>
        <v/>
      </c>
      <c r="K490" s="15">
        <f>IF($A490="","",IF(AH!$U$5=1,IFERROR(MATCH($A490,'Live History'!$A$5:$A$3004,0),0),AH!$U$7+485))</f>
        <v/>
      </c>
      <c r="L490" s="15">
        <f>IF(ISNUMBER(A490),TEXT(A490,"dd-mmm-yy"),"")</f>
        <v/>
      </c>
    </row>
    <row r="491">
      <c r="A491" s="14">
        <f>IF(OR(AH!$U$4=0,486+1&gt;AH!$U$6,AND(AH!$M$5="Bloomberg",AH!$U$5=0)),"",IFERROR(IF(AND(AH!$U$12=1,486+1=AH!$U$6),TODAY(),IF(AH!$U$5=1,INDEX('Live History'!$A$5:$A$3004,AH!$U$7+486),INDEX('AH History'!$A$5:$A$1380,AH!$U$7+486))),""))</f>
        <v/>
      </c>
      <c r="B491" s="33">
        <f>IFERROR(IF(AH!$U$11=1,NA(),$J491/$E491-1),NA())</f>
        <v/>
      </c>
      <c r="C491" s="269">
        <f>IFERROR(100*$E491/$E$5,NA())</f>
        <v/>
      </c>
      <c r="D491" s="269">
        <f>IFERROR(100*$J491/$J$5,NA())</f>
        <v/>
      </c>
      <c r="E491" s="32">
        <f>IFERROR(IF(AND(ISNUMBER($A491),N(IF(AND(AH!$U$12=1,486+1=AH!$U$6),IF(AH!$U$4=0,"unavailable",INDEX('Market Data'!$AN$5:$AN$66,AH!$U$4)),IF(AH!$U$5=1,INDEX('Live History'!$B$5:$B$3004,$K491),INDEX('AH History'!$D$5:$GG$1380,$K491,AH!$U$10))))&gt;0),IF(AND(AH!$U$12=1,486+1=AH!$U$6),IF(AH!$U$4=0,"unavailable",INDEX('Market Data'!$AN$5:$AN$66,AH!$U$4)),IF(AH!$U$5=1,INDEX('Live History'!$B$5:$B$3004,$K491),INDEX('AH History'!$D$5:$GG$1380,$K491,AH!$U$10))),NA()),NA())</f>
        <v/>
      </c>
      <c r="F491" s="32">
        <f>IFERROR(IF(ISNUMBER($A491),IF(AND(AH!$U$12=1,486+1=AH!$U$6),IF(AH!$U$4=0,"unavailable",INDEX('Market Data'!$AO$5:$AO$66,AH!$U$4)),IF(AH!$U$5=1,INDEX('Live History'!$E$5:$E$3004,MATCH($A491,'Live History'!$D$5:$D$3004,1)),INDEX('AH History'!$D$5:$GG$1380,$K491,AH!$U$10+1))),NA()),NA())</f>
        <v/>
      </c>
      <c r="G491" s="34">
        <f>IFERROR(IF(ISNUMBER($A491),IF(AND(AH!$U$12=1,486+1=AH!$U$6),IF(AH!$U$4=0,"unavailable",INDEX('Market Data'!$AK$5:$AK$66,AH!$U$4)),IF(AH!$U$5=1,INDEX('Live History'!$D$5:$D$3004,MATCH($A491,'Live History'!$D$5:$D$3004,1)),INDEX('AH History'!$D$5:$GG$1380,$K491,AH!$U$10+2))),NA()),NA())</f>
        <v/>
      </c>
      <c r="H491" s="266">
        <f>IFERROR(IF(ISNUMBER($A491),IF(AND(AH!$U$12=1,486+1=AH!$U$6),IF(AH!$U$4=0,"unavailable",INDEX('Market Data'!$AP$5:$AP$66,AH!$U$4)),IF(AH!$U$5=1,INDEX('Live History'!$H$5:$H$3004,MATCH($A491,'Live History'!$G$5:$G$3004,1)),INDEX('AH History'!$B$5:$B$1380,$K491))),NA()),NA())</f>
        <v/>
      </c>
      <c r="I491" s="34">
        <f>IFERROR(IF(ISNUMBER($A491),IF(AND(AH!$U$12=1,486+1=AH!$U$6),TODAY(),IF(AH!$U$5=1,INDEX('Live History'!$G$5:$G$3004,MATCH($A491,'Live History'!$G$5:$G$3004,1)),INDEX('AH History'!$C$5:$C$1380,$K491))),NA()),NA())</f>
        <v/>
      </c>
      <c r="J491" s="32">
        <f>IFERROR(IF(AND($F491&gt;0,$H491&gt;0,$A491-$G491&lt;=10,$A491-$I491&lt;=5,$G491&gt;0,$I491&gt;0),$F491*$H491,NA()),NA())</f>
        <v/>
      </c>
      <c r="K491" s="15">
        <f>IF($A491="","",IF(AH!$U$5=1,IFERROR(MATCH($A491,'Live History'!$A$5:$A$3004,0),0),AH!$U$7+486))</f>
        <v/>
      </c>
      <c r="L491" s="15">
        <f>IF(ISNUMBER(A491),TEXT(A491,"dd-mmm-yy"),"")</f>
        <v/>
      </c>
    </row>
    <row r="492">
      <c r="A492" s="14">
        <f>IF(OR(AH!$U$4=0,487+1&gt;AH!$U$6,AND(AH!$M$5="Bloomberg",AH!$U$5=0)),"",IFERROR(IF(AND(AH!$U$12=1,487+1=AH!$U$6),TODAY(),IF(AH!$U$5=1,INDEX('Live History'!$A$5:$A$3004,AH!$U$7+487),INDEX('AH History'!$A$5:$A$1380,AH!$U$7+487))),""))</f>
        <v/>
      </c>
      <c r="B492" s="33">
        <f>IFERROR(IF(AH!$U$11=1,NA(),$J492/$E492-1),NA())</f>
        <v/>
      </c>
      <c r="C492" s="269">
        <f>IFERROR(100*$E492/$E$5,NA())</f>
        <v/>
      </c>
      <c r="D492" s="269">
        <f>IFERROR(100*$J492/$J$5,NA())</f>
        <v/>
      </c>
      <c r="E492" s="32">
        <f>IFERROR(IF(AND(ISNUMBER($A492),N(IF(AND(AH!$U$12=1,487+1=AH!$U$6),IF(AH!$U$4=0,"unavailable",INDEX('Market Data'!$AN$5:$AN$66,AH!$U$4)),IF(AH!$U$5=1,INDEX('Live History'!$B$5:$B$3004,$K492),INDEX('AH History'!$D$5:$GG$1380,$K492,AH!$U$10))))&gt;0),IF(AND(AH!$U$12=1,487+1=AH!$U$6),IF(AH!$U$4=0,"unavailable",INDEX('Market Data'!$AN$5:$AN$66,AH!$U$4)),IF(AH!$U$5=1,INDEX('Live History'!$B$5:$B$3004,$K492),INDEX('AH History'!$D$5:$GG$1380,$K492,AH!$U$10))),NA()),NA())</f>
        <v/>
      </c>
      <c r="F492" s="32">
        <f>IFERROR(IF(ISNUMBER($A492),IF(AND(AH!$U$12=1,487+1=AH!$U$6),IF(AH!$U$4=0,"unavailable",INDEX('Market Data'!$AO$5:$AO$66,AH!$U$4)),IF(AH!$U$5=1,INDEX('Live History'!$E$5:$E$3004,MATCH($A492,'Live History'!$D$5:$D$3004,1)),INDEX('AH History'!$D$5:$GG$1380,$K492,AH!$U$10+1))),NA()),NA())</f>
        <v/>
      </c>
      <c r="G492" s="34">
        <f>IFERROR(IF(ISNUMBER($A492),IF(AND(AH!$U$12=1,487+1=AH!$U$6),IF(AH!$U$4=0,"unavailable",INDEX('Market Data'!$AK$5:$AK$66,AH!$U$4)),IF(AH!$U$5=1,INDEX('Live History'!$D$5:$D$3004,MATCH($A492,'Live History'!$D$5:$D$3004,1)),INDEX('AH History'!$D$5:$GG$1380,$K492,AH!$U$10+2))),NA()),NA())</f>
        <v/>
      </c>
      <c r="H492" s="266">
        <f>IFERROR(IF(ISNUMBER($A492),IF(AND(AH!$U$12=1,487+1=AH!$U$6),IF(AH!$U$4=0,"unavailable",INDEX('Market Data'!$AP$5:$AP$66,AH!$U$4)),IF(AH!$U$5=1,INDEX('Live History'!$H$5:$H$3004,MATCH($A492,'Live History'!$G$5:$G$3004,1)),INDEX('AH History'!$B$5:$B$1380,$K492))),NA()),NA())</f>
        <v/>
      </c>
      <c r="I492" s="34">
        <f>IFERROR(IF(ISNUMBER($A492),IF(AND(AH!$U$12=1,487+1=AH!$U$6),TODAY(),IF(AH!$U$5=1,INDEX('Live History'!$G$5:$G$3004,MATCH($A492,'Live History'!$G$5:$G$3004,1)),INDEX('AH History'!$C$5:$C$1380,$K492))),NA()),NA())</f>
        <v/>
      </c>
      <c r="J492" s="32">
        <f>IFERROR(IF(AND($F492&gt;0,$H492&gt;0,$A492-$G492&lt;=10,$A492-$I492&lt;=5,$G492&gt;0,$I492&gt;0),$F492*$H492,NA()),NA())</f>
        <v/>
      </c>
      <c r="K492" s="15">
        <f>IF($A492="","",IF(AH!$U$5=1,IFERROR(MATCH($A492,'Live History'!$A$5:$A$3004,0),0),AH!$U$7+487))</f>
        <v/>
      </c>
      <c r="L492" s="15">
        <f>IF(ISNUMBER(A492),TEXT(A492,"dd-mmm-yy"),"")</f>
        <v/>
      </c>
    </row>
    <row r="493">
      <c r="A493" s="14">
        <f>IF(OR(AH!$U$4=0,488+1&gt;AH!$U$6,AND(AH!$M$5="Bloomberg",AH!$U$5=0)),"",IFERROR(IF(AND(AH!$U$12=1,488+1=AH!$U$6),TODAY(),IF(AH!$U$5=1,INDEX('Live History'!$A$5:$A$3004,AH!$U$7+488),INDEX('AH History'!$A$5:$A$1380,AH!$U$7+488))),""))</f>
        <v/>
      </c>
      <c r="B493" s="33">
        <f>IFERROR(IF(AH!$U$11=1,NA(),$J493/$E493-1),NA())</f>
        <v/>
      </c>
      <c r="C493" s="269">
        <f>IFERROR(100*$E493/$E$5,NA())</f>
        <v/>
      </c>
      <c r="D493" s="269">
        <f>IFERROR(100*$J493/$J$5,NA())</f>
        <v/>
      </c>
      <c r="E493" s="32">
        <f>IFERROR(IF(AND(ISNUMBER($A493),N(IF(AND(AH!$U$12=1,488+1=AH!$U$6),IF(AH!$U$4=0,"unavailable",INDEX('Market Data'!$AN$5:$AN$66,AH!$U$4)),IF(AH!$U$5=1,INDEX('Live History'!$B$5:$B$3004,$K493),INDEX('AH History'!$D$5:$GG$1380,$K493,AH!$U$10))))&gt;0),IF(AND(AH!$U$12=1,488+1=AH!$U$6),IF(AH!$U$4=0,"unavailable",INDEX('Market Data'!$AN$5:$AN$66,AH!$U$4)),IF(AH!$U$5=1,INDEX('Live History'!$B$5:$B$3004,$K493),INDEX('AH History'!$D$5:$GG$1380,$K493,AH!$U$10))),NA()),NA())</f>
        <v/>
      </c>
      <c r="F493" s="32">
        <f>IFERROR(IF(ISNUMBER($A493),IF(AND(AH!$U$12=1,488+1=AH!$U$6),IF(AH!$U$4=0,"unavailable",INDEX('Market Data'!$AO$5:$AO$66,AH!$U$4)),IF(AH!$U$5=1,INDEX('Live History'!$E$5:$E$3004,MATCH($A493,'Live History'!$D$5:$D$3004,1)),INDEX('AH History'!$D$5:$GG$1380,$K493,AH!$U$10+1))),NA()),NA())</f>
        <v/>
      </c>
      <c r="G493" s="34">
        <f>IFERROR(IF(ISNUMBER($A493),IF(AND(AH!$U$12=1,488+1=AH!$U$6),IF(AH!$U$4=0,"unavailable",INDEX('Market Data'!$AK$5:$AK$66,AH!$U$4)),IF(AH!$U$5=1,INDEX('Live History'!$D$5:$D$3004,MATCH($A493,'Live History'!$D$5:$D$3004,1)),INDEX('AH History'!$D$5:$GG$1380,$K493,AH!$U$10+2))),NA()),NA())</f>
        <v/>
      </c>
      <c r="H493" s="266">
        <f>IFERROR(IF(ISNUMBER($A493),IF(AND(AH!$U$12=1,488+1=AH!$U$6),IF(AH!$U$4=0,"unavailable",INDEX('Market Data'!$AP$5:$AP$66,AH!$U$4)),IF(AH!$U$5=1,INDEX('Live History'!$H$5:$H$3004,MATCH($A493,'Live History'!$G$5:$G$3004,1)),INDEX('AH History'!$B$5:$B$1380,$K493))),NA()),NA())</f>
        <v/>
      </c>
      <c r="I493" s="34">
        <f>IFERROR(IF(ISNUMBER($A493),IF(AND(AH!$U$12=1,488+1=AH!$U$6),TODAY(),IF(AH!$U$5=1,INDEX('Live History'!$G$5:$G$3004,MATCH($A493,'Live History'!$G$5:$G$3004,1)),INDEX('AH History'!$C$5:$C$1380,$K493))),NA()),NA())</f>
        <v/>
      </c>
      <c r="J493" s="32">
        <f>IFERROR(IF(AND($F493&gt;0,$H493&gt;0,$A493-$G493&lt;=10,$A493-$I493&lt;=5,$G493&gt;0,$I493&gt;0),$F493*$H493,NA()),NA())</f>
        <v/>
      </c>
      <c r="K493" s="15">
        <f>IF($A493="","",IF(AH!$U$5=1,IFERROR(MATCH($A493,'Live History'!$A$5:$A$3004,0),0),AH!$U$7+488))</f>
        <v/>
      </c>
      <c r="L493" s="15">
        <f>IF(ISNUMBER(A493),TEXT(A493,"dd-mmm-yy"),"")</f>
        <v/>
      </c>
    </row>
    <row r="494">
      <c r="A494" s="14">
        <f>IF(OR(AH!$U$4=0,489+1&gt;AH!$U$6,AND(AH!$M$5="Bloomberg",AH!$U$5=0)),"",IFERROR(IF(AND(AH!$U$12=1,489+1=AH!$U$6),TODAY(),IF(AH!$U$5=1,INDEX('Live History'!$A$5:$A$3004,AH!$U$7+489),INDEX('AH History'!$A$5:$A$1380,AH!$U$7+489))),""))</f>
        <v/>
      </c>
      <c r="B494" s="33">
        <f>IFERROR(IF(AH!$U$11=1,NA(),$J494/$E494-1),NA())</f>
        <v/>
      </c>
      <c r="C494" s="269">
        <f>IFERROR(100*$E494/$E$5,NA())</f>
        <v/>
      </c>
      <c r="D494" s="269">
        <f>IFERROR(100*$J494/$J$5,NA())</f>
        <v/>
      </c>
      <c r="E494" s="32">
        <f>IFERROR(IF(AND(ISNUMBER($A494),N(IF(AND(AH!$U$12=1,489+1=AH!$U$6),IF(AH!$U$4=0,"unavailable",INDEX('Market Data'!$AN$5:$AN$66,AH!$U$4)),IF(AH!$U$5=1,INDEX('Live History'!$B$5:$B$3004,$K494),INDEX('AH History'!$D$5:$GG$1380,$K494,AH!$U$10))))&gt;0),IF(AND(AH!$U$12=1,489+1=AH!$U$6),IF(AH!$U$4=0,"unavailable",INDEX('Market Data'!$AN$5:$AN$66,AH!$U$4)),IF(AH!$U$5=1,INDEX('Live History'!$B$5:$B$3004,$K494),INDEX('AH History'!$D$5:$GG$1380,$K494,AH!$U$10))),NA()),NA())</f>
        <v/>
      </c>
      <c r="F494" s="32">
        <f>IFERROR(IF(ISNUMBER($A494),IF(AND(AH!$U$12=1,489+1=AH!$U$6),IF(AH!$U$4=0,"unavailable",INDEX('Market Data'!$AO$5:$AO$66,AH!$U$4)),IF(AH!$U$5=1,INDEX('Live History'!$E$5:$E$3004,MATCH($A494,'Live History'!$D$5:$D$3004,1)),INDEX('AH History'!$D$5:$GG$1380,$K494,AH!$U$10+1))),NA()),NA())</f>
        <v/>
      </c>
      <c r="G494" s="34">
        <f>IFERROR(IF(ISNUMBER($A494),IF(AND(AH!$U$12=1,489+1=AH!$U$6),IF(AH!$U$4=0,"unavailable",INDEX('Market Data'!$AK$5:$AK$66,AH!$U$4)),IF(AH!$U$5=1,INDEX('Live History'!$D$5:$D$3004,MATCH($A494,'Live History'!$D$5:$D$3004,1)),INDEX('AH History'!$D$5:$GG$1380,$K494,AH!$U$10+2))),NA()),NA())</f>
        <v/>
      </c>
      <c r="H494" s="266">
        <f>IFERROR(IF(ISNUMBER($A494),IF(AND(AH!$U$12=1,489+1=AH!$U$6),IF(AH!$U$4=0,"unavailable",INDEX('Market Data'!$AP$5:$AP$66,AH!$U$4)),IF(AH!$U$5=1,INDEX('Live History'!$H$5:$H$3004,MATCH($A494,'Live History'!$G$5:$G$3004,1)),INDEX('AH History'!$B$5:$B$1380,$K494))),NA()),NA())</f>
        <v/>
      </c>
      <c r="I494" s="34">
        <f>IFERROR(IF(ISNUMBER($A494),IF(AND(AH!$U$12=1,489+1=AH!$U$6),TODAY(),IF(AH!$U$5=1,INDEX('Live History'!$G$5:$G$3004,MATCH($A494,'Live History'!$G$5:$G$3004,1)),INDEX('AH History'!$C$5:$C$1380,$K494))),NA()),NA())</f>
        <v/>
      </c>
      <c r="J494" s="32">
        <f>IFERROR(IF(AND($F494&gt;0,$H494&gt;0,$A494-$G494&lt;=10,$A494-$I494&lt;=5,$G494&gt;0,$I494&gt;0),$F494*$H494,NA()),NA())</f>
        <v/>
      </c>
      <c r="K494" s="15">
        <f>IF($A494="","",IF(AH!$U$5=1,IFERROR(MATCH($A494,'Live History'!$A$5:$A$3004,0),0),AH!$U$7+489))</f>
        <v/>
      </c>
      <c r="L494" s="15">
        <f>IF(ISNUMBER(A494),TEXT(A494,"dd-mmm-yy"),"")</f>
        <v/>
      </c>
    </row>
    <row r="495">
      <c r="A495" s="14">
        <f>IF(OR(AH!$U$4=0,490+1&gt;AH!$U$6,AND(AH!$M$5="Bloomberg",AH!$U$5=0)),"",IFERROR(IF(AND(AH!$U$12=1,490+1=AH!$U$6),TODAY(),IF(AH!$U$5=1,INDEX('Live History'!$A$5:$A$3004,AH!$U$7+490),INDEX('AH History'!$A$5:$A$1380,AH!$U$7+490))),""))</f>
        <v/>
      </c>
      <c r="B495" s="33">
        <f>IFERROR(IF(AH!$U$11=1,NA(),$J495/$E495-1),NA())</f>
        <v/>
      </c>
      <c r="C495" s="269">
        <f>IFERROR(100*$E495/$E$5,NA())</f>
        <v/>
      </c>
      <c r="D495" s="269">
        <f>IFERROR(100*$J495/$J$5,NA())</f>
        <v/>
      </c>
      <c r="E495" s="32">
        <f>IFERROR(IF(AND(ISNUMBER($A495),N(IF(AND(AH!$U$12=1,490+1=AH!$U$6),IF(AH!$U$4=0,"unavailable",INDEX('Market Data'!$AN$5:$AN$66,AH!$U$4)),IF(AH!$U$5=1,INDEX('Live History'!$B$5:$B$3004,$K495),INDEX('AH History'!$D$5:$GG$1380,$K495,AH!$U$10))))&gt;0),IF(AND(AH!$U$12=1,490+1=AH!$U$6),IF(AH!$U$4=0,"unavailable",INDEX('Market Data'!$AN$5:$AN$66,AH!$U$4)),IF(AH!$U$5=1,INDEX('Live History'!$B$5:$B$3004,$K495),INDEX('AH History'!$D$5:$GG$1380,$K495,AH!$U$10))),NA()),NA())</f>
        <v/>
      </c>
      <c r="F495" s="32">
        <f>IFERROR(IF(ISNUMBER($A495),IF(AND(AH!$U$12=1,490+1=AH!$U$6),IF(AH!$U$4=0,"unavailable",INDEX('Market Data'!$AO$5:$AO$66,AH!$U$4)),IF(AH!$U$5=1,INDEX('Live History'!$E$5:$E$3004,MATCH($A495,'Live History'!$D$5:$D$3004,1)),INDEX('AH History'!$D$5:$GG$1380,$K495,AH!$U$10+1))),NA()),NA())</f>
        <v/>
      </c>
      <c r="G495" s="34">
        <f>IFERROR(IF(ISNUMBER($A495),IF(AND(AH!$U$12=1,490+1=AH!$U$6),IF(AH!$U$4=0,"unavailable",INDEX('Market Data'!$AK$5:$AK$66,AH!$U$4)),IF(AH!$U$5=1,INDEX('Live History'!$D$5:$D$3004,MATCH($A495,'Live History'!$D$5:$D$3004,1)),INDEX('AH History'!$D$5:$GG$1380,$K495,AH!$U$10+2))),NA()),NA())</f>
        <v/>
      </c>
      <c r="H495" s="266">
        <f>IFERROR(IF(ISNUMBER($A495),IF(AND(AH!$U$12=1,490+1=AH!$U$6),IF(AH!$U$4=0,"unavailable",INDEX('Market Data'!$AP$5:$AP$66,AH!$U$4)),IF(AH!$U$5=1,INDEX('Live History'!$H$5:$H$3004,MATCH($A495,'Live History'!$G$5:$G$3004,1)),INDEX('AH History'!$B$5:$B$1380,$K495))),NA()),NA())</f>
        <v/>
      </c>
      <c r="I495" s="34">
        <f>IFERROR(IF(ISNUMBER($A495),IF(AND(AH!$U$12=1,490+1=AH!$U$6),TODAY(),IF(AH!$U$5=1,INDEX('Live History'!$G$5:$G$3004,MATCH($A495,'Live History'!$G$5:$G$3004,1)),INDEX('AH History'!$C$5:$C$1380,$K495))),NA()),NA())</f>
        <v/>
      </c>
      <c r="J495" s="32">
        <f>IFERROR(IF(AND($F495&gt;0,$H495&gt;0,$A495-$G495&lt;=10,$A495-$I495&lt;=5,$G495&gt;0,$I495&gt;0),$F495*$H495,NA()),NA())</f>
        <v/>
      </c>
      <c r="K495" s="15">
        <f>IF($A495="","",IF(AH!$U$5=1,IFERROR(MATCH($A495,'Live History'!$A$5:$A$3004,0),0),AH!$U$7+490))</f>
        <v/>
      </c>
      <c r="L495" s="15">
        <f>IF(ISNUMBER(A495),TEXT(A495,"dd-mmm-yy"),"")</f>
        <v/>
      </c>
    </row>
    <row r="496">
      <c r="A496" s="14">
        <f>IF(OR(AH!$U$4=0,491+1&gt;AH!$U$6,AND(AH!$M$5="Bloomberg",AH!$U$5=0)),"",IFERROR(IF(AND(AH!$U$12=1,491+1=AH!$U$6),TODAY(),IF(AH!$U$5=1,INDEX('Live History'!$A$5:$A$3004,AH!$U$7+491),INDEX('AH History'!$A$5:$A$1380,AH!$U$7+491))),""))</f>
        <v/>
      </c>
      <c r="B496" s="33">
        <f>IFERROR(IF(AH!$U$11=1,NA(),$J496/$E496-1),NA())</f>
        <v/>
      </c>
      <c r="C496" s="269">
        <f>IFERROR(100*$E496/$E$5,NA())</f>
        <v/>
      </c>
      <c r="D496" s="269">
        <f>IFERROR(100*$J496/$J$5,NA())</f>
        <v/>
      </c>
      <c r="E496" s="32">
        <f>IFERROR(IF(AND(ISNUMBER($A496),N(IF(AND(AH!$U$12=1,491+1=AH!$U$6),IF(AH!$U$4=0,"unavailable",INDEX('Market Data'!$AN$5:$AN$66,AH!$U$4)),IF(AH!$U$5=1,INDEX('Live History'!$B$5:$B$3004,$K496),INDEX('AH History'!$D$5:$GG$1380,$K496,AH!$U$10))))&gt;0),IF(AND(AH!$U$12=1,491+1=AH!$U$6),IF(AH!$U$4=0,"unavailable",INDEX('Market Data'!$AN$5:$AN$66,AH!$U$4)),IF(AH!$U$5=1,INDEX('Live History'!$B$5:$B$3004,$K496),INDEX('AH History'!$D$5:$GG$1380,$K496,AH!$U$10))),NA()),NA())</f>
        <v/>
      </c>
      <c r="F496" s="32">
        <f>IFERROR(IF(ISNUMBER($A496),IF(AND(AH!$U$12=1,491+1=AH!$U$6),IF(AH!$U$4=0,"unavailable",INDEX('Market Data'!$AO$5:$AO$66,AH!$U$4)),IF(AH!$U$5=1,INDEX('Live History'!$E$5:$E$3004,MATCH($A496,'Live History'!$D$5:$D$3004,1)),INDEX('AH History'!$D$5:$GG$1380,$K496,AH!$U$10+1))),NA()),NA())</f>
        <v/>
      </c>
      <c r="G496" s="34">
        <f>IFERROR(IF(ISNUMBER($A496),IF(AND(AH!$U$12=1,491+1=AH!$U$6),IF(AH!$U$4=0,"unavailable",INDEX('Market Data'!$AK$5:$AK$66,AH!$U$4)),IF(AH!$U$5=1,INDEX('Live History'!$D$5:$D$3004,MATCH($A496,'Live History'!$D$5:$D$3004,1)),INDEX('AH History'!$D$5:$GG$1380,$K496,AH!$U$10+2))),NA()),NA())</f>
        <v/>
      </c>
      <c r="H496" s="266">
        <f>IFERROR(IF(ISNUMBER($A496),IF(AND(AH!$U$12=1,491+1=AH!$U$6),IF(AH!$U$4=0,"unavailable",INDEX('Market Data'!$AP$5:$AP$66,AH!$U$4)),IF(AH!$U$5=1,INDEX('Live History'!$H$5:$H$3004,MATCH($A496,'Live History'!$G$5:$G$3004,1)),INDEX('AH History'!$B$5:$B$1380,$K496))),NA()),NA())</f>
        <v/>
      </c>
      <c r="I496" s="34">
        <f>IFERROR(IF(ISNUMBER($A496),IF(AND(AH!$U$12=1,491+1=AH!$U$6),TODAY(),IF(AH!$U$5=1,INDEX('Live History'!$G$5:$G$3004,MATCH($A496,'Live History'!$G$5:$G$3004,1)),INDEX('AH History'!$C$5:$C$1380,$K496))),NA()),NA())</f>
        <v/>
      </c>
      <c r="J496" s="32">
        <f>IFERROR(IF(AND($F496&gt;0,$H496&gt;0,$A496-$G496&lt;=10,$A496-$I496&lt;=5,$G496&gt;0,$I496&gt;0),$F496*$H496,NA()),NA())</f>
        <v/>
      </c>
      <c r="K496" s="15">
        <f>IF($A496="","",IF(AH!$U$5=1,IFERROR(MATCH($A496,'Live History'!$A$5:$A$3004,0),0),AH!$U$7+491))</f>
        <v/>
      </c>
      <c r="L496" s="15">
        <f>IF(ISNUMBER(A496),TEXT(A496,"dd-mmm-yy"),"")</f>
        <v/>
      </c>
    </row>
    <row r="497">
      <c r="A497" s="14">
        <f>IF(OR(AH!$U$4=0,492+1&gt;AH!$U$6,AND(AH!$M$5="Bloomberg",AH!$U$5=0)),"",IFERROR(IF(AND(AH!$U$12=1,492+1=AH!$U$6),TODAY(),IF(AH!$U$5=1,INDEX('Live History'!$A$5:$A$3004,AH!$U$7+492),INDEX('AH History'!$A$5:$A$1380,AH!$U$7+492))),""))</f>
        <v/>
      </c>
      <c r="B497" s="33">
        <f>IFERROR(IF(AH!$U$11=1,NA(),$J497/$E497-1),NA())</f>
        <v/>
      </c>
      <c r="C497" s="269">
        <f>IFERROR(100*$E497/$E$5,NA())</f>
        <v/>
      </c>
      <c r="D497" s="269">
        <f>IFERROR(100*$J497/$J$5,NA())</f>
        <v/>
      </c>
      <c r="E497" s="32">
        <f>IFERROR(IF(AND(ISNUMBER($A497),N(IF(AND(AH!$U$12=1,492+1=AH!$U$6),IF(AH!$U$4=0,"unavailable",INDEX('Market Data'!$AN$5:$AN$66,AH!$U$4)),IF(AH!$U$5=1,INDEX('Live History'!$B$5:$B$3004,$K497),INDEX('AH History'!$D$5:$GG$1380,$K497,AH!$U$10))))&gt;0),IF(AND(AH!$U$12=1,492+1=AH!$U$6),IF(AH!$U$4=0,"unavailable",INDEX('Market Data'!$AN$5:$AN$66,AH!$U$4)),IF(AH!$U$5=1,INDEX('Live History'!$B$5:$B$3004,$K497),INDEX('AH History'!$D$5:$GG$1380,$K497,AH!$U$10))),NA()),NA())</f>
        <v/>
      </c>
      <c r="F497" s="32">
        <f>IFERROR(IF(ISNUMBER($A497),IF(AND(AH!$U$12=1,492+1=AH!$U$6),IF(AH!$U$4=0,"unavailable",INDEX('Market Data'!$AO$5:$AO$66,AH!$U$4)),IF(AH!$U$5=1,INDEX('Live History'!$E$5:$E$3004,MATCH($A497,'Live History'!$D$5:$D$3004,1)),INDEX('AH History'!$D$5:$GG$1380,$K497,AH!$U$10+1))),NA()),NA())</f>
        <v/>
      </c>
      <c r="G497" s="34">
        <f>IFERROR(IF(ISNUMBER($A497),IF(AND(AH!$U$12=1,492+1=AH!$U$6),IF(AH!$U$4=0,"unavailable",INDEX('Market Data'!$AK$5:$AK$66,AH!$U$4)),IF(AH!$U$5=1,INDEX('Live History'!$D$5:$D$3004,MATCH($A497,'Live History'!$D$5:$D$3004,1)),INDEX('AH History'!$D$5:$GG$1380,$K497,AH!$U$10+2))),NA()),NA())</f>
        <v/>
      </c>
      <c r="H497" s="266">
        <f>IFERROR(IF(ISNUMBER($A497),IF(AND(AH!$U$12=1,492+1=AH!$U$6),IF(AH!$U$4=0,"unavailable",INDEX('Market Data'!$AP$5:$AP$66,AH!$U$4)),IF(AH!$U$5=1,INDEX('Live History'!$H$5:$H$3004,MATCH($A497,'Live History'!$G$5:$G$3004,1)),INDEX('AH History'!$B$5:$B$1380,$K497))),NA()),NA())</f>
        <v/>
      </c>
      <c r="I497" s="34">
        <f>IFERROR(IF(ISNUMBER($A497),IF(AND(AH!$U$12=1,492+1=AH!$U$6),TODAY(),IF(AH!$U$5=1,INDEX('Live History'!$G$5:$G$3004,MATCH($A497,'Live History'!$G$5:$G$3004,1)),INDEX('AH History'!$C$5:$C$1380,$K497))),NA()),NA())</f>
        <v/>
      </c>
      <c r="J497" s="32">
        <f>IFERROR(IF(AND($F497&gt;0,$H497&gt;0,$A497-$G497&lt;=10,$A497-$I497&lt;=5,$G497&gt;0,$I497&gt;0),$F497*$H497,NA()),NA())</f>
        <v/>
      </c>
      <c r="K497" s="15">
        <f>IF($A497="","",IF(AH!$U$5=1,IFERROR(MATCH($A497,'Live History'!$A$5:$A$3004,0),0),AH!$U$7+492))</f>
        <v/>
      </c>
      <c r="L497" s="15">
        <f>IF(ISNUMBER(A497),TEXT(A497,"dd-mmm-yy"),"")</f>
        <v/>
      </c>
    </row>
    <row r="498">
      <c r="A498" s="14">
        <f>IF(OR(AH!$U$4=0,493+1&gt;AH!$U$6,AND(AH!$M$5="Bloomberg",AH!$U$5=0)),"",IFERROR(IF(AND(AH!$U$12=1,493+1=AH!$U$6),TODAY(),IF(AH!$U$5=1,INDEX('Live History'!$A$5:$A$3004,AH!$U$7+493),INDEX('AH History'!$A$5:$A$1380,AH!$U$7+493))),""))</f>
        <v/>
      </c>
      <c r="B498" s="33">
        <f>IFERROR(IF(AH!$U$11=1,NA(),$J498/$E498-1),NA())</f>
        <v/>
      </c>
      <c r="C498" s="269">
        <f>IFERROR(100*$E498/$E$5,NA())</f>
        <v/>
      </c>
      <c r="D498" s="269">
        <f>IFERROR(100*$J498/$J$5,NA())</f>
        <v/>
      </c>
      <c r="E498" s="32">
        <f>IFERROR(IF(AND(ISNUMBER($A498),N(IF(AND(AH!$U$12=1,493+1=AH!$U$6),IF(AH!$U$4=0,"unavailable",INDEX('Market Data'!$AN$5:$AN$66,AH!$U$4)),IF(AH!$U$5=1,INDEX('Live History'!$B$5:$B$3004,$K498),INDEX('AH History'!$D$5:$GG$1380,$K498,AH!$U$10))))&gt;0),IF(AND(AH!$U$12=1,493+1=AH!$U$6),IF(AH!$U$4=0,"unavailable",INDEX('Market Data'!$AN$5:$AN$66,AH!$U$4)),IF(AH!$U$5=1,INDEX('Live History'!$B$5:$B$3004,$K498),INDEX('AH History'!$D$5:$GG$1380,$K498,AH!$U$10))),NA()),NA())</f>
        <v/>
      </c>
      <c r="F498" s="32">
        <f>IFERROR(IF(ISNUMBER($A498),IF(AND(AH!$U$12=1,493+1=AH!$U$6),IF(AH!$U$4=0,"unavailable",INDEX('Market Data'!$AO$5:$AO$66,AH!$U$4)),IF(AH!$U$5=1,INDEX('Live History'!$E$5:$E$3004,MATCH($A498,'Live History'!$D$5:$D$3004,1)),INDEX('AH History'!$D$5:$GG$1380,$K498,AH!$U$10+1))),NA()),NA())</f>
        <v/>
      </c>
      <c r="G498" s="34">
        <f>IFERROR(IF(ISNUMBER($A498),IF(AND(AH!$U$12=1,493+1=AH!$U$6),IF(AH!$U$4=0,"unavailable",INDEX('Market Data'!$AK$5:$AK$66,AH!$U$4)),IF(AH!$U$5=1,INDEX('Live History'!$D$5:$D$3004,MATCH($A498,'Live History'!$D$5:$D$3004,1)),INDEX('AH History'!$D$5:$GG$1380,$K498,AH!$U$10+2))),NA()),NA())</f>
        <v/>
      </c>
      <c r="H498" s="266">
        <f>IFERROR(IF(ISNUMBER($A498),IF(AND(AH!$U$12=1,493+1=AH!$U$6),IF(AH!$U$4=0,"unavailable",INDEX('Market Data'!$AP$5:$AP$66,AH!$U$4)),IF(AH!$U$5=1,INDEX('Live History'!$H$5:$H$3004,MATCH($A498,'Live History'!$G$5:$G$3004,1)),INDEX('AH History'!$B$5:$B$1380,$K498))),NA()),NA())</f>
        <v/>
      </c>
      <c r="I498" s="34">
        <f>IFERROR(IF(ISNUMBER($A498),IF(AND(AH!$U$12=1,493+1=AH!$U$6),TODAY(),IF(AH!$U$5=1,INDEX('Live History'!$G$5:$G$3004,MATCH($A498,'Live History'!$G$5:$G$3004,1)),INDEX('AH History'!$C$5:$C$1380,$K498))),NA()),NA())</f>
        <v/>
      </c>
      <c r="J498" s="32">
        <f>IFERROR(IF(AND($F498&gt;0,$H498&gt;0,$A498-$G498&lt;=10,$A498-$I498&lt;=5,$G498&gt;0,$I498&gt;0),$F498*$H498,NA()),NA())</f>
        <v/>
      </c>
      <c r="K498" s="15">
        <f>IF($A498="","",IF(AH!$U$5=1,IFERROR(MATCH($A498,'Live History'!$A$5:$A$3004,0),0),AH!$U$7+493))</f>
        <v/>
      </c>
      <c r="L498" s="15">
        <f>IF(ISNUMBER(A498),TEXT(A498,"dd-mmm-yy"),"")</f>
        <v/>
      </c>
    </row>
    <row r="499">
      <c r="A499" s="14">
        <f>IF(OR(AH!$U$4=0,494+1&gt;AH!$U$6,AND(AH!$M$5="Bloomberg",AH!$U$5=0)),"",IFERROR(IF(AND(AH!$U$12=1,494+1=AH!$U$6),TODAY(),IF(AH!$U$5=1,INDEX('Live History'!$A$5:$A$3004,AH!$U$7+494),INDEX('AH History'!$A$5:$A$1380,AH!$U$7+494))),""))</f>
        <v/>
      </c>
      <c r="B499" s="33">
        <f>IFERROR(IF(AH!$U$11=1,NA(),$J499/$E499-1),NA())</f>
        <v/>
      </c>
      <c r="C499" s="269">
        <f>IFERROR(100*$E499/$E$5,NA())</f>
        <v/>
      </c>
      <c r="D499" s="269">
        <f>IFERROR(100*$J499/$J$5,NA())</f>
        <v/>
      </c>
      <c r="E499" s="32">
        <f>IFERROR(IF(AND(ISNUMBER($A499),N(IF(AND(AH!$U$12=1,494+1=AH!$U$6),IF(AH!$U$4=0,"unavailable",INDEX('Market Data'!$AN$5:$AN$66,AH!$U$4)),IF(AH!$U$5=1,INDEX('Live History'!$B$5:$B$3004,$K499),INDEX('AH History'!$D$5:$GG$1380,$K499,AH!$U$10))))&gt;0),IF(AND(AH!$U$12=1,494+1=AH!$U$6),IF(AH!$U$4=0,"unavailable",INDEX('Market Data'!$AN$5:$AN$66,AH!$U$4)),IF(AH!$U$5=1,INDEX('Live History'!$B$5:$B$3004,$K499),INDEX('AH History'!$D$5:$GG$1380,$K499,AH!$U$10))),NA()),NA())</f>
        <v/>
      </c>
      <c r="F499" s="32">
        <f>IFERROR(IF(ISNUMBER($A499),IF(AND(AH!$U$12=1,494+1=AH!$U$6),IF(AH!$U$4=0,"unavailable",INDEX('Market Data'!$AO$5:$AO$66,AH!$U$4)),IF(AH!$U$5=1,INDEX('Live History'!$E$5:$E$3004,MATCH($A499,'Live History'!$D$5:$D$3004,1)),INDEX('AH History'!$D$5:$GG$1380,$K499,AH!$U$10+1))),NA()),NA())</f>
        <v/>
      </c>
      <c r="G499" s="34">
        <f>IFERROR(IF(ISNUMBER($A499),IF(AND(AH!$U$12=1,494+1=AH!$U$6),IF(AH!$U$4=0,"unavailable",INDEX('Market Data'!$AK$5:$AK$66,AH!$U$4)),IF(AH!$U$5=1,INDEX('Live History'!$D$5:$D$3004,MATCH($A499,'Live History'!$D$5:$D$3004,1)),INDEX('AH History'!$D$5:$GG$1380,$K499,AH!$U$10+2))),NA()),NA())</f>
        <v/>
      </c>
      <c r="H499" s="266">
        <f>IFERROR(IF(ISNUMBER($A499),IF(AND(AH!$U$12=1,494+1=AH!$U$6),IF(AH!$U$4=0,"unavailable",INDEX('Market Data'!$AP$5:$AP$66,AH!$U$4)),IF(AH!$U$5=1,INDEX('Live History'!$H$5:$H$3004,MATCH($A499,'Live History'!$G$5:$G$3004,1)),INDEX('AH History'!$B$5:$B$1380,$K499))),NA()),NA())</f>
        <v/>
      </c>
      <c r="I499" s="34">
        <f>IFERROR(IF(ISNUMBER($A499),IF(AND(AH!$U$12=1,494+1=AH!$U$6),TODAY(),IF(AH!$U$5=1,INDEX('Live History'!$G$5:$G$3004,MATCH($A499,'Live History'!$G$5:$G$3004,1)),INDEX('AH History'!$C$5:$C$1380,$K499))),NA()),NA())</f>
        <v/>
      </c>
      <c r="J499" s="32">
        <f>IFERROR(IF(AND($F499&gt;0,$H499&gt;0,$A499-$G499&lt;=10,$A499-$I499&lt;=5,$G499&gt;0,$I499&gt;0),$F499*$H499,NA()),NA())</f>
        <v/>
      </c>
      <c r="K499" s="15">
        <f>IF($A499="","",IF(AH!$U$5=1,IFERROR(MATCH($A499,'Live History'!$A$5:$A$3004,0),0),AH!$U$7+494))</f>
        <v/>
      </c>
      <c r="L499" s="15">
        <f>IF(ISNUMBER(A499),TEXT(A499,"dd-mmm-yy"),"")</f>
        <v/>
      </c>
    </row>
    <row r="500">
      <c r="A500" s="14">
        <f>IF(OR(AH!$U$4=0,495+1&gt;AH!$U$6,AND(AH!$M$5="Bloomberg",AH!$U$5=0)),"",IFERROR(IF(AND(AH!$U$12=1,495+1=AH!$U$6),TODAY(),IF(AH!$U$5=1,INDEX('Live History'!$A$5:$A$3004,AH!$U$7+495),INDEX('AH History'!$A$5:$A$1380,AH!$U$7+495))),""))</f>
        <v/>
      </c>
      <c r="B500" s="33">
        <f>IFERROR(IF(AH!$U$11=1,NA(),$J500/$E500-1),NA())</f>
        <v/>
      </c>
      <c r="C500" s="269">
        <f>IFERROR(100*$E500/$E$5,NA())</f>
        <v/>
      </c>
      <c r="D500" s="269">
        <f>IFERROR(100*$J500/$J$5,NA())</f>
        <v/>
      </c>
      <c r="E500" s="32">
        <f>IFERROR(IF(AND(ISNUMBER($A500),N(IF(AND(AH!$U$12=1,495+1=AH!$U$6),IF(AH!$U$4=0,"unavailable",INDEX('Market Data'!$AN$5:$AN$66,AH!$U$4)),IF(AH!$U$5=1,INDEX('Live History'!$B$5:$B$3004,$K500),INDEX('AH History'!$D$5:$GG$1380,$K500,AH!$U$10))))&gt;0),IF(AND(AH!$U$12=1,495+1=AH!$U$6),IF(AH!$U$4=0,"unavailable",INDEX('Market Data'!$AN$5:$AN$66,AH!$U$4)),IF(AH!$U$5=1,INDEX('Live History'!$B$5:$B$3004,$K500),INDEX('AH History'!$D$5:$GG$1380,$K500,AH!$U$10))),NA()),NA())</f>
        <v/>
      </c>
      <c r="F500" s="32">
        <f>IFERROR(IF(ISNUMBER($A500),IF(AND(AH!$U$12=1,495+1=AH!$U$6),IF(AH!$U$4=0,"unavailable",INDEX('Market Data'!$AO$5:$AO$66,AH!$U$4)),IF(AH!$U$5=1,INDEX('Live History'!$E$5:$E$3004,MATCH($A500,'Live History'!$D$5:$D$3004,1)),INDEX('AH History'!$D$5:$GG$1380,$K500,AH!$U$10+1))),NA()),NA())</f>
        <v/>
      </c>
      <c r="G500" s="34">
        <f>IFERROR(IF(ISNUMBER($A500),IF(AND(AH!$U$12=1,495+1=AH!$U$6),IF(AH!$U$4=0,"unavailable",INDEX('Market Data'!$AK$5:$AK$66,AH!$U$4)),IF(AH!$U$5=1,INDEX('Live History'!$D$5:$D$3004,MATCH($A500,'Live History'!$D$5:$D$3004,1)),INDEX('AH History'!$D$5:$GG$1380,$K500,AH!$U$10+2))),NA()),NA())</f>
        <v/>
      </c>
      <c r="H500" s="266">
        <f>IFERROR(IF(ISNUMBER($A500),IF(AND(AH!$U$12=1,495+1=AH!$U$6),IF(AH!$U$4=0,"unavailable",INDEX('Market Data'!$AP$5:$AP$66,AH!$U$4)),IF(AH!$U$5=1,INDEX('Live History'!$H$5:$H$3004,MATCH($A500,'Live History'!$G$5:$G$3004,1)),INDEX('AH History'!$B$5:$B$1380,$K500))),NA()),NA())</f>
        <v/>
      </c>
      <c r="I500" s="34">
        <f>IFERROR(IF(ISNUMBER($A500),IF(AND(AH!$U$12=1,495+1=AH!$U$6),TODAY(),IF(AH!$U$5=1,INDEX('Live History'!$G$5:$G$3004,MATCH($A500,'Live History'!$G$5:$G$3004,1)),INDEX('AH History'!$C$5:$C$1380,$K500))),NA()),NA())</f>
        <v/>
      </c>
      <c r="J500" s="32">
        <f>IFERROR(IF(AND($F500&gt;0,$H500&gt;0,$A500-$G500&lt;=10,$A500-$I500&lt;=5,$G500&gt;0,$I500&gt;0),$F500*$H500,NA()),NA())</f>
        <v/>
      </c>
      <c r="K500" s="15">
        <f>IF($A500="","",IF(AH!$U$5=1,IFERROR(MATCH($A500,'Live History'!$A$5:$A$3004,0),0),AH!$U$7+495))</f>
        <v/>
      </c>
      <c r="L500" s="15">
        <f>IF(ISNUMBER(A500),TEXT(A500,"dd-mmm-yy"),"")</f>
        <v/>
      </c>
    </row>
    <row r="501">
      <c r="A501" s="14">
        <f>IF(OR(AH!$U$4=0,496+1&gt;AH!$U$6,AND(AH!$M$5="Bloomberg",AH!$U$5=0)),"",IFERROR(IF(AND(AH!$U$12=1,496+1=AH!$U$6),TODAY(),IF(AH!$U$5=1,INDEX('Live History'!$A$5:$A$3004,AH!$U$7+496),INDEX('AH History'!$A$5:$A$1380,AH!$U$7+496))),""))</f>
        <v/>
      </c>
      <c r="B501" s="33">
        <f>IFERROR(IF(AH!$U$11=1,NA(),$J501/$E501-1),NA())</f>
        <v/>
      </c>
      <c r="C501" s="269">
        <f>IFERROR(100*$E501/$E$5,NA())</f>
        <v/>
      </c>
      <c r="D501" s="269">
        <f>IFERROR(100*$J501/$J$5,NA())</f>
        <v/>
      </c>
      <c r="E501" s="32">
        <f>IFERROR(IF(AND(ISNUMBER($A501),N(IF(AND(AH!$U$12=1,496+1=AH!$U$6),IF(AH!$U$4=0,"unavailable",INDEX('Market Data'!$AN$5:$AN$66,AH!$U$4)),IF(AH!$U$5=1,INDEX('Live History'!$B$5:$B$3004,$K501),INDEX('AH History'!$D$5:$GG$1380,$K501,AH!$U$10))))&gt;0),IF(AND(AH!$U$12=1,496+1=AH!$U$6),IF(AH!$U$4=0,"unavailable",INDEX('Market Data'!$AN$5:$AN$66,AH!$U$4)),IF(AH!$U$5=1,INDEX('Live History'!$B$5:$B$3004,$K501),INDEX('AH History'!$D$5:$GG$1380,$K501,AH!$U$10))),NA()),NA())</f>
        <v/>
      </c>
      <c r="F501" s="32">
        <f>IFERROR(IF(ISNUMBER($A501),IF(AND(AH!$U$12=1,496+1=AH!$U$6),IF(AH!$U$4=0,"unavailable",INDEX('Market Data'!$AO$5:$AO$66,AH!$U$4)),IF(AH!$U$5=1,INDEX('Live History'!$E$5:$E$3004,MATCH($A501,'Live History'!$D$5:$D$3004,1)),INDEX('AH History'!$D$5:$GG$1380,$K501,AH!$U$10+1))),NA()),NA())</f>
        <v/>
      </c>
      <c r="G501" s="34">
        <f>IFERROR(IF(ISNUMBER($A501),IF(AND(AH!$U$12=1,496+1=AH!$U$6),IF(AH!$U$4=0,"unavailable",INDEX('Market Data'!$AK$5:$AK$66,AH!$U$4)),IF(AH!$U$5=1,INDEX('Live History'!$D$5:$D$3004,MATCH($A501,'Live History'!$D$5:$D$3004,1)),INDEX('AH History'!$D$5:$GG$1380,$K501,AH!$U$10+2))),NA()),NA())</f>
        <v/>
      </c>
      <c r="H501" s="266">
        <f>IFERROR(IF(ISNUMBER($A501),IF(AND(AH!$U$12=1,496+1=AH!$U$6),IF(AH!$U$4=0,"unavailable",INDEX('Market Data'!$AP$5:$AP$66,AH!$U$4)),IF(AH!$U$5=1,INDEX('Live History'!$H$5:$H$3004,MATCH($A501,'Live History'!$G$5:$G$3004,1)),INDEX('AH History'!$B$5:$B$1380,$K501))),NA()),NA())</f>
        <v/>
      </c>
      <c r="I501" s="34">
        <f>IFERROR(IF(ISNUMBER($A501),IF(AND(AH!$U$12=1,496+1=AH!$U$6),TODAY(),IF(AH!$U$5=1,INDEX('Live History'!$G$5:$G$3004,MATCH($A501,'Live History'!$G$5:$G$3004,1)),INDEX('AH History'!$C$5:$C$1380,$K501))),NA()),NA())</f>
        <v/>
      </c>
      <c r="J501" s="32">
        <f>IFERROR(IF(AND($F501&gt;0,$H501&gt;0,$A501-$G501&lt;=10,$A501-$I501&lt;=5,$G501&gt;0,$I501&gt;0),$F501*$H501,NA()),NA())</f>
        <v/>
      </c>
      <c r="K501" s="15">
        <f>IF($A501="","",IF(AH!$U$5=1,IFERROR(MATCH($A501,'Live History'!$A$5:$A$3004,0),0),AH!$U$7+496))</f>
        <v/>
      </c>
      <c r="L501" s="15">
        <f>IF(ISNUMBER(A501),TEXT(A501,"dd-mmm-yy"),"")</f>
        <v/>
      </c>
    </row>
    <row r="502">
      <c r="A502" s="14">
        <f>IF(OR(AH!$U$4=0,497+1&gt;AH!$U$6,AND(AH!$M$5="Bloomberg",AH!$U$5=0)),"",IFERROR(IF(AND(AH!$U$12=1,497+1=AH!$U$6),TODAY(),IF(AH!$U$5=1,INDEX('Live History'!$A$5:$A$3004,AH!$U$7+497),INDEX('AH History'!$A$5:$A$1380,AH!$U$7+497))),""))</f>
        <v/>
      </c>
      <c r="B502" s="33">
        <f>IFERROR(IF(AH!$U$11=1,NA(),$J502/$E502-1),NA())</f>
        <v/>
      </c>
      <c r="C502" s="269">
        <f>IFERROR(100*$E502/$E$5,NA())</f>
        <v/>
      </c>
      <c r="D502" s="269">
        <f>IFERROR(100*$J502/$J$5,NA())</f>
        <v/>
      </c>
      <c r="E502" s="32">
        <f>IFERROR(IF(AND(ISNUMBER($A502),N(IF(AND(AH!$U$12=1,497+1=AH!$U$6),IF(AH!$U$4=0,"unavailable",INDEX('Market Data'!$AN$5:$AN$66,AH!$U$4)),IF(AH!$U$5=1,INDEX('Live History'!$B$5:$B$3004,$K502),INDEX('AH History'!$D$5:$GG$1380,$K502,AH!$U$10))))&gt;0),IF(AND(AH!$U$12=1,497+1=AH!$U$6),IF(AH!$U$4=0,"unavailable",INDEX('Market Data'!$AN$5:$AN$66,AH!$U$4)),IF(AH!$U$5=1,INDEX('Live History'!$B$5:$B$3004,$K502),INDEX('AH History'!$D$5:$GG$1380,$K502,AH!$U$10))),NA()),NA())</f>
        <v/>
      </c>
      <c r="F502" s="32">
        <f>IFERROR(IF(ISNUMBER($A502),IF(AND(AH!$U$12=1,497+1=AH!$U$6),IF(AH!$U$4=0,"unavailable",INDEX('Market Data'!$AO$5:$AO$66,AH!$U$4)),IF(AH!$U$5=1,INDEX('Live History'!$E$5:$E$3004,MATCH($A502,'Live History'!$D$5:$D$3004,1)),INDEX('AH History'!$D$5:$GG$1380,$K502,AH!$U$10+1))),NA()),NA())</f>
        <v/>
      </c>
      <c r="G502" s="34">
        <f>IFERROR(IF(ISNUMBER($A502),IF(AND(AH!$U$12=1,497+1=AH!$U$6),IF(AH!$U$4=0,"unavailable",INDEX('Market Data'!$AK$5:$AK$66,AH!$U$4)),IF(AH!$U$5=1,INDEX('Live History'!$D$5:$D$3004,MATCH($A502,'Live History'!$D$5:$D$3004,1)),INDEX('AH History'!$D$5:$GG$1380,$K502,AH!$U$10+2))),NA()),NA())</f>
        <v/>
      </c>
      <c r="H502" s="266">
        <f>IFERROR(IF(ISNUMBER($A502),IF(AND(AH!$U$12=1,497+1=AH!$U$6),IF(AH!$U$4=0,"unavailable",INDEX('Market Data'!$AP$5:$AP$66,AH!$U$4)),IF(AH!$U$5=1,INDEX('Live History'!$H$5:$H$3004,MATCH($A502,'Live History'!$G$5:$G$3004,1)),INDEX('AH History'!$B$5:$B$1380,$K502))),NA()),NA())</f>
        <v/>
      </c>
      <c r="I502" s="34">
        <f>IFERROR(IF(ISNUMBER($A502),IF(AND(AH!$U$12=1,497+1=AH!$U$6),TODAY(),IF(AH!$U$5=1,INDEX('Live History'!$G$5:$G$3004,MATCH($A502,'Live History'!$G$5:$G$3004,1)),INDEX('AH History'!$C$5:$C$1380,$K502))),NA()),NA())</f>
        <v/>
      </c>
      <c r="J502" s="32">
        <f>IFERROR(IF(AND($F502&gt;0,$H502&gt;0,$A502-$G502&lt;=10,$A502-$I502&lt;=5,$G502&gt;0,$I502&gt;0),$F502*$H502,NA()),NA())</f>
        <v/>
      </c>
      <c r="K502" s="15">
        <f>IF($A502="","",IF(AH!$U$5=1,IFERROR(MATCH($A502,'Live History'!$A$5:$A$3004,0),0),AH!$U$7+497))</f>
        <v/>
      </c>
      <c r="L502" s="15">
        <f>IF(ISNUMBER(A502),TEXT(A502,"dd-mmm-yy"),"")</f>
        <v/>
      </c>
    </row>
    <row r="503">
      <c r="A503" s="14">
        <f>IF(OR(AH!$U$4=0,498+1&gt;AH!$U$6,AND(AH!$M$5="Bloomberg",AH!$U$5=0)),"",IFERROR(IF(AND(AH!$U$12=1,498+1=AH!$U$6),TODAY(),IF(AH!$U$5=1,INDEX('Live History'!$A$5:$A$3004,AH!$U$7+498),INDEX('AH History'!$A$5:$A$1380,AH!$U$7+498))),""))</f>
        <v/>
      </c>
      <c r="B503" s="33">
        <f>IFERROR(IF(AH!$U$11=1,NA(),$J503/$E503-1),NA())</f>
        <v/>
      </c>
      <c r="C503" s="269">
        <f>IFERROR(100*$E503/$E$5,NA())</f>
        <v/>
      </c>
      <c r="D503" s="269">
        <f>IFERROR(100*$J503/$J$5,NA())</f>
        <v/>
      </c>
      <c r="E503" s="32">
        <f>IFERROR(IF(AND(ISNUMBER($A503),N(IF(AND(AH!$U$12=1,498+1=AH!$U$6),IF(AH!$U$4=0,"unavailable",INDEX('Market Data'!$AN$5:$AN$66,AH!$U$4)),IF(AH!$U$5=1,INDEX('Live History'!$B$5:$B$3004,$K503),INDEX('AH History'!$D$5:$GG$1380,$K503,AH!$U$10))))&gt;0),IF(AND(AH!$U$12=1,498+1=AH!$U$6),IF(AH!$U$4=0,"unavailable",INDEX('Market Data'!$AN$5:$AN$66,AH!$U$4)),IF(AH!$U$5=1,INDEX('Live History'!$B$5:$B$3004,$K503),INDEX('AH History'!$D$5:$GG$1380,$K503,AH!$U$10))),NA()),NA())</f>
        <v/>
      </c>
      <c r="F503" s="32">
        <f>IFERROR(IF(ISNUMBER($A503),IF(AND(AH!$U$12=1,498+1=AH!$U$6),IF(AH!$U$4=0,"unavailable",INDEX('Market Data'!$AO$5:$AO$66,AH!$U$4)),IF(AH!$U$5=1,INDEX('Live History'!$E$5:$E$3004,MATCH($A503,'Live History'!$D$5:$D$3004,1)),INDEX('AH History'!$D$5:$GG$1380,$K503,AH!$U$10+1))),NA()),NA())</f>
        <v/>
      </c>
      <c r="G503" s="34">
        <f>IFERROR(IF(ISNUMBER($A503),IF(AND(AH!$U$12=1,498+1=AH!$U$6),IF(AH!$U$4=0,"unavailable",INDEX('Market Data'!$AK$5:$AK$66,AH!$U$4)),IF(AH!$U$5=1,INDEX('Live History'!$D$5:$D$3004,MATCH($A503,'Live History'!$D$5:$D$3004,1)),INDEX('AH History'!$D$5:$GG$1380,$K503,AH!$U$10+2))),NA()),NA())</f>
        <v/>
      </c>
      <c r="H503" s="266">
        <f>IFERROR(IF(ISNUMBER($A503),IF(AND(AH!$U$12=1,498+1=AH!$U$6),IF(AH!$U$4=0,"unavailable",INDEX('Market Data'!$AP$5:$AP$66,AH!$U$4)),IF(AH!$U$5=1,INDEX('Live History'!$H$5:$H$3004,MATCH($A503,'Live History'!$G$5:$G$3004,1)),INDEX('AH History'!$B$5:$B$1380,$K503))),NA()),NA())</f>
        <v/>
      </c>
      <c r="I503" s="34">
        <f>IFERROR(IF(ISNUMBER($A503),IF(AND(AH!$U$12=1,498+1=AH!$U$6),TODAY(),IF(AH!$U$5=1,INDEX('Live History'!$G$5:$G$3004,MATCH($A503,'Live History'!$G$5:$G$3004,1)),INDEX('AH History'!$C$5:$C$1380,$K503))),NA()),NA())</f>
        <v/>
      </c>
      <c r="J503" s="32">
        <f>IFERROR(IF(AND($F503&gt;0,$H503&gt;0,$A503-$G503&lt;=10,$A503-$I503&lt;=5,$G503&gt;0,$I503&gt;0),$F503*$H503,NA()),NA())</f>
        <v/>
      </c>
      <c r="K503" s="15">
        <f>IF($A503="","",IF(AH!$U$5=1,IFERROR(MATCH($A503,'Live History'!$A$5:$A$3004,0),0),AH!$U$7+498))</f>
        <v/>
      </c>
      <c r="L503" s="15">
        <f>IF(ISNUMBER(A503),TEXT(A503,"dd-mmm-yy"),"")</f>
        <v/>
      </c>
    </row>
    <row r="504">
      <c r="A504" s="14">
        <f>IF(OR(AH!$U$4=0,499+1&gt;AH!$U$6,AND(AH!$M$5="Bloomberg",AH!$U$5=0)),"",IFERROR(IF(AND(AH!$U$12=1,499+1=AH!$U$6),TODAY(),IF(AH!$U$5=1,INDEX('Live History'!$A$5:$A$3004,AH!$U$7+499),INDEX('AH History'!$A$5:$A$1380,AH!$U$7+499))),""))</f>
        <v/>
      </c>
      <c r="B504" s="33">
        <f>IFERROR(IF(AH!$U$11=1,NA(),$J504/$E504-1),NA())</f>
        <v/>
      </c>
      <c r="C504" s="269">
        <f>IFERROR(100*$E504/$E$5,NA())</f>
        <v/>
      </c>
      <c r="D504" s="269">
        <f>IFERROR(100*$J504/$J$5,NA())</f>
        <v/>
      </c>
      <c r="E504" s="32">
        <f>IFERROR(IF(AND(ISNUMBER($A504),N(IF(AND(AH!$U$12=1,499+1=AH!$U$6),IF(AH!$U$4=0,"unavailable",INDEX('Market Data'!$AN$5:$AN$66,AH!$U$4)),IF(AH!$U$5=1,INDEX('Live History'!$B$5:$B$3004,$K504),INDEX('AH History'!$D$5:$GG$1380,$K504,AH!$U$10))))&gt;0),IF(AND(AH!$U$12=1,499+1=AH!$U$6),IF(AH!$U$4=0,"unavailable",INDEX('Market Data'!$AN$5:$AN$66,AH!$U$4)),IF(AH!$U$5=1,INDEX('Live History'!$B$5:$B$3004,$K504),INDEX('AH History'!$D$5:$GG$1380,$K504,AH!$U$10))),NA()),NA())</f>
        <v/>
      </c>
      <c r="F504" s="32">
        <f>IFERROR(IF(ISNUMBER($A504),IF(AND(AH!$U$12=1,499+1=AH!$U$6),IF(AH!$U$4=0,"unavailable",INDEX('Market Data'!$AO$5:$AO$66,AH!$U$4)),IF(AH!$U$5=1,INDEX('Live History'!$E$5:$E$3004,MATCH($A504,'Live History'!$D$5:$D$3004,1)),INDEX('AH History'!$D$5:$GG$1380,$K504,AH!$U$10+1))),NA()),NA())</f>
        <v/>
      </c>
      <c r="G504" s="34">
        <f>IFERROR(IF(ISNUMBER($A504),IF(AND(AH!$U$12=1,499+1=AH!$U$6),IF(AH!$U$4=0,"unavailable",INDEX('Market Data'!$AK$5:$AK$66,AH!$U$4)),IF(AH!$U$5=1,INDEX('Live History'!$D$5:$D$3004,MATCH($A504,'Live History'!$D$5:$D$3004,1)),INDEX('AH History'!$D$5:$GG$1380,$K504,AH!$U$10+2))),NA()),NA())</f>
        <v/>
      </c>
      <c r="H504" s="266">
        <f>IFERROR(IF(ISNUMBER($A504),IF(AND(AH!$U$12=1,499+1=AH!$U$6),IF(AH!$U$4=0,"unavailable",INDEX('Market Data'!$AP$5:$AP$66,AH!$U$4)),IF(AH!$U$5=1,INDEX('Live History'!$H$5:$H$3004,MATCH($A504,'Live History'!$G$5:$G$3004,1)),INDEX('AH History'!$B$5:$B$1380,$K504))),NA()),NA())</f>
        <v/>
      </c>
      <c r="I504" s="34">
        <f>IFERROR(IF(ISNUMBER($A504),IF(AND(AH!$U$12=1,499+1=AH!$U$6),TODAY(),IF(AH!$U$5=1,INDEX('Live History'!$G$5:$G$3004,MATCH($A504,'Live History'!$G$5:$G$3004,1)),INDEX('AH History'!$C$5:$C$1380,$K504))),NA()),NA())</f>
        <v/>
      </c>
      <c r="J504" s="32">
        <f>IFERROR(IF(AND($F504&gt;0,$H504&gt;0,$A504-$G504&lt;=10,$A504-$I504&lt;=5,$G504&gt;0,$I504&gt;0),$F504*$H504,NA()),NA())</f>
        <v/>
      </c>
      <c r="K504" s="15">
        <f>IF($A504="","",IF(AH!$U$5=1,IFERROR(MATCH($A504,'Live History'!$A$5:$A$3004,0),0),AH!$U$7+499))</f>
        <v/>
      </c>
      <c r="L504" s="15">
        <f>IF(ISNUMBER(A504),TEXT(A504,"dd-mmm-yy"),"")</f>
        <v/>
      </c>
    </row>
    <row r="505">
      <c r="A505" s="14">
        <f>IF(OR(AH!$U$4=0,500+1&gt;AH!$U$6,AND(AH!$M$5="Bloomberg",AH!$U$5=0)),"",IFERROR(IF(AND(AH!$U$12=1,500+1=AH!$U$6),TODAY(),IF(AH!$U$5=1,INDEX('Live History'!$A$5:$A$3004,AH!$U$7+500),INDEX('AH History'!$A$5:$A$1380,AH!$U$7+500))),""))</f>
        <v/>
      </c>
      <c r="B505" s="33">
        <f>IFERROR(IF(AH!$U$11=1,NA(),$J505/$E505-1),NA())</f>
        <v/>
      </c>
      <c r="C505" s="269">
        <f>IFERROR(100*$E505/$E$5,NA())</f>
        <v/>
      </c>
      <c r="D505" s="269">
        <f>IFERROR(100*$J505/$J$5,NA())</f>
        <v/>
      </c>
      <c r="E505" s="32">
        <f>IFERROR(IF(AND(ISNUMBER($A505),N(IF(AND(AH!$U$12=1,500+1=AH!$U$6),IF(AH!$U$4=0,"unavailable",INDEX('Market Data'!$AN$5:$AN$66,AH!$U$4)),IF(AH!$U$5=1,INDEX('Live History'!$B$5:$B$3004,$K505),INDEX('AH History'!$D$5:$GG$1380,$K505,AH!$U$10))))&gt;0),IF(AND(AH!$U$12=1,500+1=AH!$U$6),IF(AH!$U$4=0,"unavailable",INDEX('Market Data'!$AN$5:$AN$66,AH!$U$4)),IF(AH!$U$5=1,INDEX('Live History'!$B$5:$B$3004,$K505),INDEX('AH History'!$D$5:$GG$1380,$K505,AH!$U$10))),NA()),NA())</f>
        <v/>
      </c>
      <c r="F505" s="32">
        <f>IFERROR(IF(ISNUMBER($A505),IF(AND(AH!$U$12=1,500+1=AH!$U$6),IF(AH!$U$4=0,"unavailable",INDEX('Market Data'!$AO$5:$AO$66,AH!$U$4)),IF(AH!$U$5=1,INDEX('Live History'!$E$5:$E$3004,MATCH($A505,'Live History'!$D$5:$D$3004,1)),INDEX('AH History'!$D$5:$GG$1380,$K505,AH!$U$10+1))),NA()),NA())</f>
        <v/>
      </c>
      <c r="G505" s="34">
        <f>IFERROR(IF(ISNUMBER($A505),IF(AND(AH!$U$12=1,500+1=AH!$U$6),IF(AH!$U$4=0,"unavailable",INDEX('Market Data'!$AK$5:$AK$66,AH!$U$4)),IF(AH!$U$5=1,INDEX('Live History'!$D$5:$D$3004,MATCH($A505,'Live History'!$D$5:$D$3004,1)),INDEX('AH History'!$D$5:$GG$1380,$K505,AH!$U$10+2))),NA()),NA())</f>
        <v/>
      </c>
      <c r="H505" s="266">
        <f>IFERROR(IF(ISNUMBER($A505),IF(AND(AH!$U$12=1,500+1=AH!$U$6),IF(AH!$U$4=0,"unavailable",INDEX('Market Data'!$AP$5:$AP$66,AH!$U$4)),IF(AH!$U$5=1,INDEX('Live History'!$H$5:$H$3004,MATCH($A505,'Live History'!$G$5:$G$3004,1)),INDEX('AH History'!$B$5:$B$1380,$K505))),NA()),NA())</f>
        <v/>
      </c>
      <c r="I505" s="34">
        <f>IFERROR(IF(ISNUMBER($A505),IF(AND(AH!$U$12=1,500+1=AH!$U$6),TODAY(),IF(AH!$U$5=1,INDEX('Live History'!$G$5:$G$3004,MATCH($A505,'Live History'!$G$5:$G$3004,1)),INDEX('AH History'!$C$5:$C$1380,$K505))),NA()),NA())</f>
        <v/>
      </c>
      <c r="J505" s="32">
        <f>IFERROR(IF(AND($F505&gt;0,$H505&gt;0,$A505-$G505&lt;=10,$A505-$I505&lt;=5,$G505&gt;0,$I505&gt;0),$F505*$H505,NA()),NA())</f>
        <v/>
      </c>
      <c r="K505" s="15">
        <f>IF($A505="","",IF(AH!$U$5=1,IFERROR(MATCH($A505,'Live History'!$A$5:$A$3004,0),0),AH!$U$7+500))</f>
        <v/>
      </c>
      <c r="L505" s="15">
        <f>IF(ISNUMBER(A505),TEXT(A505,"dd-mmm-yy"),"")</f>
        <v/>
      </c>
    </row>
    <row r="506">
      <c r="A506" s="14">
        <f>IF(OR(AH!$U$4=0,501+1&gt;AH!$U$6,AND(AH!$M$5="Bloomberg",AH!$U$5=0)),"",IFERROR(IF(AND(AH!$U$12=1,501+1=AH!$U$6),TODAY(),IF(AH!$U$5=1,INDEX('Live History'!$A$5:$A$3004,AH!$U$7+501),INDEX('AH History'!$A$5:$A$1380,AH!$U$7+501))),""))</f>
        <v/>
      </c>
      <c r="B506" s="33">
        <f>IFERROR(IF(AH!$U$11=1,NA(),$J506/$E506-1),NA())</f>
        <v/>
      </c>
      <c r="C506" s="269">
        <f>IFERROR(100*$E506/$E$5,NA())</f>
        <v/>
      </c>
      <c r="D506" s="269">
        <f>IFERROR(100*$J506/$J$5,NA())</f>
        <v/>
      </c>
      <c r="E506" s="32">
        <f>IFERROR(IF(AND(ISNUMBER($A506),N(IF(AND(AH!$U$12=1,501+1=AH!$U$6),IF(AH!$U$4=0,"unavailable",INDEX('Market Data'!$AN$5:$AN$66,AH!$U$4)),IF(AH!$U$5=1,INDEX('Live History'!$B$5:$B$3004,$K506),INDEX('AH History'!$D$5:$GG$1380,$K506,AH!$U$10))))&gt;0),IF(AND(AH!$U$12=1,501+1=AH!$U$6),IF(AH!$U$4=0,"unavailable",INDEX('Market Data'!$AN$5:$AN$66,AH!$U$4)),IF(AH!$U$5=1,INDEX('Live History'!$B$5:$B$3004,$K506),INDEX('AH History'!$D$5:$GG$1380,$K506,AH!$U$10))),NA()),NA())</f>
        <v/>
      </c>
      <c r="F506" s="32">
        <f>IFERROR(IF(ISNUMBER($A506),IF(AND(AH!$U$12=1,501+1=AH!$U$6),IF(AH!$U$4=0,"unavailable",INDEX('Market Data'!$AO$5:$AO$66,AH!$U$4)),IF(AH!$U$5=1,INDEX('Live History'!$E$5:$E$3004,MATCH($A506,'Live History'!$D$5:$D$3004,1)),INDEX('AH History'!$D$5:$GG$1380,$K506,AH!$U$10+1))),NA()),NA())</f>
        <v/>
      </c>
      <c r="G506" s="34">
        <f>IFERROR(IF(ISNUMBER($A506),IF(AND(AH!$U$12=1,501+1=AH!$U$6),IF(AH!$U$4=0,"unavailable",INDEX('Market Data'!$AK$5:$AK$66,AH!$U$4)),IF(AH!$U$5=1,INDEX('Live History'!$D$5:$D$3004,MATCH($A506,'Live History'!$D$5:$D$3004,1)),INDEX('AH History'!$D$5:$GG$1380,$K506,AH!$U$10+2))),NA()),NA())</f>
        <v/>
      </c>
      <c r="H506" s="266">
        <f>IFERROR(IF(ISNUMBER($A506),IF(AND(AH!$U$12=1,501+1=AH!$U$6),IF(AH!$U$4=0,"unavailable",INDEX('Market Data'!$AP$5:$AP$66,AH!$U$4)),IF(AH!$U$5=1,INDEX('Live History'!$H$5:$H$3004,MATCH($A506,'Live History'!$G$5:$G$3004,1)),INDEX('AH History'!$B$5:$B$1380,$K506))),NA()),NA())</f>
        <v/>
      </c>
      <c r="I506" s="34">
        <f>IFERROR(IF(ISNUMBER($A506),IF(AND(AH!$U$12=1,501+1=AH!$U$6),TODAY(),IF(AH!$U$5=1,INDEX('Live History'!$G$5:$G$3004,MATCH($A506,'Live History'!$G$5:$G$3004,1)),INDEX('AH History'!$C$5:$C$1380,$K506))),NA()),NA())</f>
        <v/>
      </c>
      <c r="J506" s="32">
        <f>IFERROR(IF(AND($F506&gt;0,$H506&gt;0,$A506-$G506&lt;=10,$A506-$I506&lt;=5,$G506&gt;0,$I506&gt;0),$F506*$H506,NA()),NA())</f>
        <v/>
      </c>
      <c r="K506" s="15">
        <f>IF($A506="","",IF(AH!$U$5=1,IFERROR(MATCH($A506,'Live History'!$A$5:$A$3004,0),0),AH!$U$7+501))</f>
        <v/>
      </c>
      <c r="L506" s="15">
        <f>IF(ISNUMBER(A506),TEXT(A506,"dd-mmm-yy"),"")</f>
        <v/>
      </c>
    </row>
    <row r="507">
      <c r="A507" s="14">
        <f>IF(OR(AH!$U$4=0,502+1&gt;AH!$U$6,AND(AH!$M$5="Bloomberg",AH!$U$5=0)),"",IFERROR(IF(AND(AH!$U$12=1,502+1=AH!$U$6),TODAY(),IF(AH!$U$5=1,INDEX('Live History'!$A$5:$A$3004,AH!$U$7+502),INDEX('AH History'!$A$5:$A$1380,AH!$U$7+502))),""))</f>
        <v/>
      </c>
      <c r="B507" s="33">
        <f>IFERROR(IF(AH!$U$11=1,NA(),$J507/$E507-1),NA())</f>
        <v/>
      </c>
      <c r="C507" s="269">
        <f>IFERROR(100*$E507/$E$5,NA())</f>
        <v/>
      </c>
      <c r="D507" s="269">
        <f>IFERROR(100*$J507/$J$5,NA())</f>
        <v/>
      </c>
      <c r="E507" s="32">
        <f>IFERROR(IF(AND(ISNUMBER($A507),N(IF(AND(AH!$U$12=1,502+1=AH!$U$6),IF(AH!$U$4=0,"unavailable",INDEX('Market Data'!$AN$5:$AN$66,AH!$U$4)),IF(AH!$U$5=1,INDEX('Live History'!$B$5:$B$3004,$K507),INDEX('AH History'!$D$5:$GG$1380,$K507,AH!$U$10))))&gt;0),IF(AND(AH!$U$12=1,502+1=AH!$U$6),IF(AH!$U$4=0,"unavailable",INDEX('Market Data'!$AN$5:$AN$66,AH!$U$4)),IF(AH!$U$5=1,INDEX('Live History'!$B$5:$B$3004,$K507),INDEX('AH History'!$D$5:$GG$1380,$K507,AH!$U$10))),NA()),NA())</f>
        <v/>
      </c>
      <c r="F507" s="32">
        <f>IFERROR(IF(ISNUMBER($A507),IF(AND(AH!$U$12=1,502+1=AH!$U$6),IF(AH!$U$4=0,"unavailable",INDEX('Market Data'!$AO$5:$AO$66,AH!$U$4)),IF(AH!$U$5=1,INDEX('Live History'!$E$5:$E$3004,MATCH($A507,'Live History'!$D$5:$D$3004,1)),INDEX('AH History'!$D$5:$GG$1380,$K507,AH!$U$10+1))),NA()),NA())</f>
        <v/>
      </c>
      <c r="G507" s="34">
        <f>IFERROR(IF(ISNUMBER($A507),IF(AND(AH!$U$12=1,502+1=AH!$U$6),IF(AH!$U$4=0,"unavailable",INDEX('Market Data'!$AK$5:$AK$66,AH!$U$4)),IF(AH!$U$5=1,INDEX('Live History'!$D$5:$D$3004,MATCH($A507,'Live History'!$D$5:$D$3004,1)),INDEX('AH History'!$D$5:$GG$1380,$K507,AH!$U$10+2))),NA()),NA())</f>
        <v/>
      </c>
      <c r="H507" s="266">
        <f>IFERROR(IF(ISNUMBER($A507),IF(AND(AH!$U$12=1,502+1=AH!$U$6),IF(AH!$U$4=0,"unavailable",INDEX('Market Data'!$AP$5:$AP$66,AH!$U$4)),IF(AH!$U$5=1,INDEX('Live History'!$H$5:$H$3004,MATCH($A507,'Live History'!$G$5:$G$3004,1)),INDEX('AH History'!$B$5:$B$1380,$K507))),NA()),NA())</f>
        <v/>
      </c>
      <c r="I507" s="34">
        <f>IFERROR(IF(ISNUMBER($A507),IF(AND(AH!$U$12=1,502+1=AH!$U$6),TODAY(),IF(AH!$U$5=1,INDEX('Live History'!$G$5:$G$3004,MATCH($A507,'Live History'!$G$5:$G$3004,1)),INDEX('AH History'!$C$5:$C$1380,$K507))),NA()),NA())</f>
        <v/>
      </c>
      <c r="J507" s="32">
        <f>IFERROR(IF(AND($F507&gt;0,$H507&gt;0,$A507-$G507&lt;=10,$A507-$I507&lt;=5,$G507&gt;0,$I507&gt;0),$F507*$H507,NA()),NA())</f>
        <v/>
      </c>
      <c r="K507" s="15">
        <f>IF($A507="","",IF(AH!$U$5=1,IFERROR(MATCH($A507,'Live History'!$A$5:$A$3004,0),0),AH!$U$7+502))</f>
        <v/>
      </c>
      <c r="L507" s="15">
        <f>IF(ISNUMBER(A507),TEXT(A507,"dd-mmm-yy"),"")</f>
        <v/>
      </c>
    </row>
    <row r="508">
      <c r="A508" s="14">
        <f>IF(OR(AH!$U$4=0,503+1&gt;AH!$U$6,AND(AH!$M$5="Bloomberg",AH!$U$5=0)),"",IFERROR(IF(AND(AH!$U$12=1,503+1=AH!$U$6),TODAY(),IF(AH!$U$5=1,INDEX('Live History'!$A$5:$A$3004,AH!$U$7+503),INDEX('AH History'!$A$5:$A$1380,AH!$U$7+503))),""))</f>
        <v/>
      </c>
      <c r="B508" s="33">
        <f>IFERROR(IF(AH!$U$11=1,NA(),$J508/$E508-1),NA())</f>
        <v/>
      </c>
      <c r="C508" s="269">
        <f>IFERROR(100*$E508/$E$5,NA())</f>
        <v/>
      </c>
      <c r="D508" s="269">
        <f>IFERROR(100*$J508/$J$5,NA())</f>
        <v/>
      </c>
      <c r="E508" s="32">
        <f>IFERROR(IF(AND(ISNUMBER($A508),N(IF(AND(AH!$U$12=1,503+1=AH!$U$6),IF(AH!$U$4=0,"unavailable",INDEX('Market Data'!$AN$5:$AN$66,AH!$U$4)),IF(AH!$U$5=1,INDEX('Live History'!$B$5:$B$3004,$K508),INDEX('AH History'!$D$5:$GG$1380,$K508,AH!$U$10))))&gt;0),IF(AND(AH!$U$12=1,503+1=AH!$U$6),IF(AH!$U$4=0,"unavailable",INDEX('Market Data'!$AN$5:$AN$66,AH!$U$4)),IF(AH!$U$5=1,INDEX('Live History'!$B$5:$B$3004,$K508),INDEX('AH History'!$D$5:$GG$1380,$K508,AH!$U$10))),NA()),NA())</f>
        <v/>
      </c>
      <c r="F508" s="32">
        <f>IFERROR(IF(ISNUMBER($A508),IF(AND(AH!$U$12=1,503+1=AH!$U$6),IF(AH!$U$4=0,"unavailable",INDEX('Market Data'!$AO$5:$AO$66,AH!$U$4)),IF(AH!$U$5=1,INDEX('Live History'!$E$5:$E$3004,MATCH($A508,'Live History'!$D$5:$D$3004,1)),INDEX('AH History'!$D$5:$GG$1380,$K508,AH!$U$10+1))),NA()),NA())</f>
        <v/>
      </c>
      <c r="G508" s="34">
        <f>IFERROR(IF(ISNUMBER($A508),IF(AND(AH!$U$12=1,503+1=AH!$U$6),IF(AH!$U$4=0,"unavailable",INDEX('Market Data'!$AK$5:$AK$66,AH!$U$4)),IF(AH!$U$5=1,INDEX('Live History'!$D$5:$D$3004,MATCH($A508,'Live History'!$D$5:$D$3004,1)),INDEX('AH History'!$D$5:$GG$1380,$K508,AH!$U$10+2))),NA()),NA())</f>
        <v/>
      </c>
      <c r="H508" s="266">
        <f>IFERROR(IF(ISNUMBER($A508),IF(AND(AH!$U$12=1,503+1=AH!$U$6),IF(AH!$U$4=0,"unavailable",INDEX('Market Data'!$AP$5:$AP$66,AH!$U$4)),IF(AH!$U$5=1,INDEX('Live History'!$H$5:$H$3004,MATCH($A508,'Live History'!$G$5:$G$3004,1)),INDEX('AH History'!$B$5:$B$1380,$K508))),NA()),NA())</f>
        <v/>
      </c>
      <c r="I508" s="34">
        <f>IFERROR(IF(ISNUMBER($A508),IF(AND(AH!$U$12=1,503+1=AH!$U$6),TODAY(),IF(AH!$U$5=1,INDEX('Live History'!$G$5:$G$3004,MATCH($A508,'Live History'!$G$5:$G$3004,1)),INDEX('AH History'!$C$5:$C$1380,$K508))),NA()),NA())</f>
        <v/>
      </c>
      <c r="J508" s="32">
        <f>IFERROR(IF(AND($F508&gt;0,$H508&gt;0,$A508-$G508&lt;=10,$A508-$I508&lt;=5,$G508&gt;0,$I508&gt;0),$F508*$H508,NA()),NA())</f>
        <v/>
      </c>
      <c r="K508" s="15">
        <f>IF($A508="","",IF(AH!$U$5=1,IFERROR(MATCH($A508,'Live History'!$A$5:$A$3004,0),0),AH!$U$7+503))</f>
        <v/>
      </c>
      <c r="L508" s="15">
        <f>IF(ISNUMBER(A508),TEXT(A508,"dd-mmm-yy"),"")</f>
        <v/>
      </c>
    </row>
    <row r="509">
      <c r="A509" s="14">
        <f>IF(OR(AH!$U$4=0,504+1&gt;AH!$U$6,AND(AH!$M$5="Bloomberg",AH!$U$5=0)),"",IFERROR(IF(AND(AH!$U$12=1,504+1=AH!$U$6),TODAY(),IF(AH!$U$5=1,INDEX('Live History'!$A$5:$A$3004,AH!$U$7+504),INDEX('AH History'!$A$5:$A$1380,AH!$U$7+504))),""))</f>
        <v/>
      </c>
      <c r="B509" s="33">
        <f>IFERROR(IF(AH!$U$11=1,NA(),$J509/$E509-1),NA())</f>
        <v/>
      </c>
      <c r="C509" s="269">
        <f>IFERROR(100*$E509/$E$5,NA())</f>
        <v/>
      </c>
      <c r="D509" s="269">
        <f>IFERROR(100*$J509/$J$5,NA())</f>
        <v/>
      </c>
      <c r="E509" s="32">
        <f>IFERROR(IF(AND(ISNUMBER($A509),N(IF(AND(AH!$U$12=1,504+1=AH!$U$6),IF(AH!$U$4=0,"unavailable",INDEX('Market Data'!$AN$5:$AN$66,AH!$U$4)),IF(AH!$U$5=1,INDEX('Live History'!$B$5:$B$3004,$K509),INDEX('AH History'!$D$5:$GG$1380,$K509,AH!$U$10))))&gt;0),IF(AND(AH!$U$12=1,504+1=AH!$U$6),IF(AH!$U$4=0,"unavailable",INDEX('Market Data'!$AN$5:$AN$66,AH!$U$4)),IF(AH!$U$5=1,INDEX('Live History'!$B$5:$B$3004,$K509),INDEX('AH History'!$D$5:$GG$1380,$K509,AH!$U$10))),NA()),NA())</f>
        <v/>
      </c>
      <c r="F509" s="32">
        <f>IFERROR(IF(ISNUMBER($A509),IF(AND(AH!$U$12=1,504+1=AH!$U$6),IF(AH!$U$4=0,"unavailable",INDEX('Market Data'!$AO$5:$AO$66,AH!$U$4)),IF(AH!$U$5=1,INDEX('Live History'!$E$5:$E$3004,MATCH($A509,'Live History'!$D$5:$D$3004,1)),INDEX('AH History'!$D$5:$GG$1380,$K509,AH!$U$10+1))),NA()),NA())</f>
        <v/>
      </c>
      <c r="G509" s="34">
        <f>IFERROR(IF(ISNUMBER($A509),IF(AND(AH!$U$12=1,504+1=AH!$U$6),IF(AH!$U$4=0,"unavailable",INDEX('Market Data'!$AK$5:$AK$66,AH!$U$4)),IF(AH!$U$5=1,INDEX('Live History'!$D$5:$D$3004,MATCH($A509,'Live History'!$D$5:$D$3004,1)),INDEX('AH History'!$D$5:$GG$1380,$K509,AH!$U$10+2))),NA()),NA())</f>
        <v/>
      </c>
      <c r="H509" s="266">
        <f>IFERROR(IF(ISNUMBER($A509),IF(AND(AH!$U$12=1,504+1=AH!$U$6),IF(AH!$U$4=0,"unavailable",INDEX('Market Data'!$AP$5:$AP$66,AH!$U$4)),IF(AH!$U$5=1,INDEX('Live History'!$H$5:$H$3004,MATCH($A509,'Live History'!$G$5:$G$3004,1)),INDEX('AH History'!$B$5:$B$1380,$K509))),NA()),NA())</f>
        <v/>
      </c>
      <c r="I509" s="34">
        <f>IFERROR(IF(ISNUMBER($A509),IF(AND(AH!$U$12=1,504+1=AH!$U$6),TODAY(),IF(AH!$U$5=1,INDEX('Live History'!$G$5:$G$3004,MATCH($A509,'Live History'!$G$5:$G$3004,1)),INDEX('AH History'!$C$5:$C$1380,$K509))),NA()),NA())</f>
        <v/>
      </c>
      <c r="J509" s="32">
        <f>IFERROR(IF(AND($F509&gt;0,$H509&gt;0,$A509-$G509&lt;=10,$A509-$I509&lt;=5,$G509&gt;0,$I509&gt;0),$F509*$H509,NA()),NA())</f>
        <v/>
      </c>
      <c r="K509" s="15">
        <f>IF($A509="","",IF(AH!$U$5=1,IFERROR(MATCH($A509,'Live History'!$A$5:$A$3004,0),0),AH!$U$7+504))</f>
        <v/>
      </c>
      <c r="L509" s="15">
        <f>IF(ISNUMBER(A509),TEXT(A509,"dd-mmm-yy"),"")</f>
        <v/>
      </c>
    </row>
    <row r="510">
      <c r="A510" s="14">
        <f>IF(OR(AH!$U$4=0,505+1&gt;AH!$U$6,AND(AH!$M$5="Bloomberg",AH!$U$5=0)),"",IFERROR(IF(AND(AH!$U$12=1,505+1=AH!$U$6),TODAY(),IF(AH!$U$5=1,INDEX('Live History'!$A$5:$A$3004,AH!$U$7+505),INDEX('AH History'!$A$5:$A$1380,AH!$U$7+505))),""))</f>
        <v/>
      </c>
      <c r="B510" s="33">
        <f>IFERROR(IF(AH!$U$11=1,NA(),$J510/$E510-1),NA())</f>
        <v/>
      </c>
      <c r="C510" s="269">
        <f>IFERROR(100*$E510/$E$5,NA())</f>
        <v/>
      </c>
      <c r="D510" s="269">
        <f>IFERROR(100*$J510/$J$5,NA())</f>
        <v/>
      </c>
      <c r="E510" s="32">
        <f>IFERROR(IF(AND(ISNUMBER($A510),N(IF(AND(AH!$U$12=1,505+1=AH!$U$6),IF(AH!$U$4=0,"unavailable",INDEX('Market Data'!$AN$5:$AN$66,AH!$U$4)),IF(AH!$U$5=1,INDEX('Live History'!$B$5:$B$3004,$K510),INDEX('AH History'!$D$5:$GG$1380,$K510,AH!$U$10))))&gt;0),IF(AND(AH!$U$12=1,505+1=AH!$U$6),IF(AH!$U$4=0,"unavailable",INDEX('Market Data'!$AN$5:$AN$66,AH!$U$4)),IF(AH!$U$5=1,INDEX('Live History'!$B$5:$B$3004,$K510),INDEX('AH History'!$D$5:$GG$1380,$K510,AH!$U$10))),NA()),NA())</f>
        <v/>
      </c>
      <c r="F510" s="32">
        <f>IFERROR(IF(ISNUMBER($A510),IF(AND(AH!$U$12=1,505+1=AH!$U$6),IF(AH!$U$4=0,"unavailable",INDEX('Market Data'!$AO$5:$AO$66,AH!$U$4)),IF(AH!$U$5=1,INDEX('Live History'!$E$5:$E$3004,MATCH($A510,'Live History'!$D$5:$D$3004,1)),INDEX('AH History'!$D$5:$GG$1380,$K510,AH!$U$10+1))),NA()),NA())</f>
        <v/>
      </c>
      <c r="G510" s="34">
        <f>IFERROR(IF(ISNUMBER($A510),IF(AND(AH!$U$12=1,505+1=AH!$U$6),IF(AH!$U$4=0,"unavailable",INDEX('Market Data'!$AK$5:$AK$66,AH!$U$4)),IF(AH!$U$5=1,INDEX('Live History'!$D$5:$D$3004,MATCH($A510,'Live History'!$D$5:$D$3004,1)),INDEX('AH History'!$D$5:$GG$1380,$K510,AH!$U$10+2))),NA()),NA())</f>
        <v/>
      </c>
      <c r="H510" s="266">
        <f>IFERROR(IF(ISNUMBER($A510),IF(AND(AH!$U$12=1,505+1=AH!$U$6),IF(AH!$U$4=0,"unavailable",INDEX('Market Data'!$AP$5:$AP$66,AH!$U$4)),IF(AH!$U$5=1,INDEX('Live History'!$H$5:$H$3004,MATCH($A510,'Live History'!$G$5:$G$3004,1)),INDEX('AH History'!$B$5:$B$1380,$K510))),NA()),NA())</f>
        <v/>
      </c>
      <c r="I510" s="34">
        <f>IFERROR(IF(ISNUMBER($A510),IF(AND(AH!$U$12=1,505+1=AH!$U$6),TODAY(),IF(AH!$U$5=1,INDEX('Live History'!$G$5:$G$3004,MATCH($A510,'Live History'!$G$5:$G$3004,1)),INDEX('AH History'!$C$5:$C$1380,$K510))),NA()),NA())</f>
        <v/>
      </c>
      <c r="J510" s="32">
        <f>IFERROR(IF(AND($F510&gt;0,$H510&gt;0,$A510-$G510&lt;=10,$A510-$I510&lt;=5,$G510&gt;0,$I510&gt;0),$F510*$H510,NA()),NA())</f>
        <v/>
      </c>
      <c r="K510" s="15">
        <f>IF($A510="","",IF(AH!$U$5=1,IFERROR(MATCH($A510,'Live History'!$A$5:$A$3004,0),0),AH!$U$7+505))</f>
        <v/>
      </c>
      <c r="L510" s="15">
        <f>IF(ISNUMBER(A510),TEXT(A510,"dd-mmm-yy"),"")</f>
        <v/>
      </c>
    </row>
    <row r="511">
      <c r="A511" s="14">
        <f>IF(OR(AH!$U$4=0,506+1&gt;AH!$U$6,AND(AH!$M$5="Bloomberg",AH!$U$5=0)),"",IFERROR(IF(AND(AH!$U$12=1,506+1=AH!$U$6),TODAY(),IF(AH!$U$5=1,INDEX('Live History'!$A$5:$A$3004,AH!$U$7+506),INDEX('AH History'!$A$5:$A$1380,AH!$U$7+506))),""))</f>
        <v/>
      </c>
      <c r="B511" s="33">
        <f>IFERROR(IF(AH!$U$11=1,NA(),$J511/$E511-1),NA())</f>
        <v/>
      </c>
      <c r="C511" s="269">
        <f>IFERROR(100*$E511/$E$5,NA())</f>
        <v/>
      </c>
      <c r="D511" s="269">
        <f>IFERROR(100*$J511/$J$5,NA())</f>
        <v/>
      </c>
      <c r="E511" s="32">
        <f>IFERROR(IF(AND(ISNUMBER($A511),N(IF(AND(AH!$U$12=1,506+1=AH!$U$6),IF(AH!$U$4=0,"unavailable",INDEX('Market Data'!$AN$5:$AN$66,AH!$U$4)),IF(AH!$U$5=1,INDEX('Live History'!$B$5:$B$3004,$K511),INDEX('AH History'!$D$5:$GG$1380,$K511,AH!$U$10))))&gt;0),IF(AND(AH!$U$12=1,506+1=AH!$U$6),IF(AH!$U$4=0,"unavailable",INDEX('Market Data'!$AN$5:$AN$66,AH!$U$4)),IF(AH!$U$5=1,INDEX('Live History'!$B$5:$B$3004,$K511),INDEX('AH History'!$D$5:$GG$1380,$K511,AH!$U$10))),NA()),NA())</f>
        <v/>
      </c>
      <c r="F511" s="32">
        <f>IFERROR(IF(ISNUMBER($A511),IF(AND(AH!$U$12=1,506+1=AH!$U$6),IF(AH!$U$4=0,"unavailable",INDEX('Market Data'!$AO$5:$AO$66,AH!$U$4)),IF(AH!$U$5=1,INDEX('Live History'!$E$5:$E$3004,MATCH($A511,'Live History'!$D$5:$D$3004,1)),INDEX('AH History'!$D$5:$GG$1380,$K511,AH!$U$10+1))),NA()),NA())</f>
        <v/>
      </c>
      <c r="G511" s="34">
        <f>IFERROR(IF(ISNUMBER($A511),IF(AND(AH!$U$12=1,506+1=AH!$U$6),IF(AH!$U$4=0,"unavailable",INDEX('Market Data'!$AK$5:$AK$66,AH!$U$4)),IF(AH!$U$5=1,INDEX('Live History'!$D$5:$D$3004,MATCH($A511,'Live History'!$D$5:$D$3004,1)),INDEX('AH History'!$D$5:$GG$1380,$K511,AH!$U$10+2))),NA()),NA())</f>
        <v/>
      </c>
      <c r="H511" s="266">
        <f>IFERROR(IF(ISNUMBER($A511),IF(AND(AH!$U$12=1,506+1=AH!$U$6),IF(AH!$U$4=0,"unavailable",INDEX('Market Data'!$AP$5:$AP$66,AH!$U$4)),IF(AH!$U$5=1,INDEX('Live History'!$H$5:$H$3004,MATCH($A511,'Live History'!$G$5:$G$3004,1)),INDEX('AH History'!$B$5:$B$1380,$K511))),NA()),NA())</f>
        <v/>
      </c>
      <c r="I511" s="34">
        <f>IFERROR(IF(ISNUMBER($A511),IF(AND(AH!$U$12=1,506+1=AH!$U$6),TODAY(),IF(AH!$U$5=1,INDEX('Live History'!$G$5:$G$3004,MATCH($A511,'Live History'!$G$5:$G$3004,1)),INDEX('AH History'!$C$5:$C$1380,$K511))),NA()),NA())</f>
        <v/>
      </c>
      <c r="J511" s="32">
        <f>IFERROR(IF(AND($F511&gt;0,$H511&gt;0,$A511-$G511&lt;=10,$A511-$I511&lt;=5,$G511&gt;0,$I511&gt;0),$F511*$H511,NA()),NA())</f>
        <v/>
      </c>
      <c r="K511" s="15">
        <f>IF($A511="","",IF(AH!$U$5=1,IFERROR(MATCH($A511,'Live History'!$A$5:$A$3004,0),0),AH!$U$7+506))</f>
        <v/>
      </c>
      <c r="L511" s="15">
        <f>IF(ISNUMBER(A511),TEXT(A511,"dd-mmm-yy"),"")</f>
        <v/>
      </c>
    </row>
    <row r="512">
      <c r="A512" s="14">
        <f>IF(OR(AH!$U$4=0,507+1&gt;AH!$U$6,AND(AH!$M$5="Bloomberg",AH!$U$5=0)),"",IFERROR(IF(AND(AH!$U$12=1,507+1=AH!$U$6),TODAY(),IF(AH!$U$5=1,INDEX('Live History'!$A$5:$A$3004,AH!$U$7+507),INDEX('AH History'!$A$5:$A$1380,AH!$U$7+507))),""))</f>
        <v/>
      </c>
      <c r="B512" s="33">
        <f>IFERROR(IF(AH!$U$11=1,NA(),$J512/$E512-1),NA())</f>
        <v/>
      </c>
      <c r="C512" s="269">
        <f>IFERROR(100*$E512/$E$5,NA())</f>
        <v/>
      </c>
      <c r="D512" s="269">
        <f>IFERROR(100*$J512/$J$5,NA())</f>
        <v/>
      </c>
      <c r="E512" s="32">
        <f>IFERROR(IF(AND(ISNUMBER($A512),N(IF(AND(AH!$U$12=1,507+1=AH!$U$6),IF(AH!$U$4=0,"unavailable",INDEX('Market Data'!$AN$5:$AN$66,AH!$U$4)),IF(AH!$U$5=1,INDEX('Live History'!$B$5:$B$3004,$K512),INDEX('AH History'!$D$5:$GG$1380,$K512,AH!$U$10))))&gt;0),IF(AND(AH!$U$12=1,507+1=AH!$U$6),IF(AH!$U$4=0,"unavailable",INDEX('Market Data'!$AN$5:$AN$66,AH!$U$4)),IF(AH!$U$5=1,INDEX('Live History'!$B$5:$B$3004,$K512),INDEX('AH History'!$D$5:$GG$1380,$K512,AH!$U$10))),NA()),NA())</f>
        <v/>
      </c>
      <c r="F512" s="32">
        <f>IFERROR(IF(ISNUMBER($A512),IF(AND(AH!$U$12=1,507+1=AH!$U$6),IF(AH!$U$4=0,"unavailable",INDEX('Market Data'!$AO$5:$AO$66,AH!$U$4)),IF(AH!$U$5=1,INDEX('Live History'!$E$5:$E$3004,MATCH($A512,'Live History'!$D$5:$D$3004,1)),INDEX('AH History'!$D$5:$GG$1380,$K512,AH!$U$10+1))),NA()),NA())</f>
        <v/>
      </c>
      <c r="G512" s="34">
        <f>IFERROR(IF(ISNUMBER($A512),IF(AND(AH!$U$12=1,507+1=AH!$U$6),IF(AH!$U$4=0,"unavailable",INDEX('Market Data'!$AK$5:$AK$66,AH!$U$4)),IF(AH!$U$5=1,INDEX('Live History'!$D$5:$D$3004,MATCH($A512,'Live History'!$D$5:$D$3004,1)),INDEX('AH History'!$D$5:$GG$1380,$K512,AH!$U$10+2))),NA()),NA())</f>
        <v/>
      </c>
      <c r="H512" s="266">
        <f>IFERROR(IF(ISNUMBER($A512),IF(AND(AH!$U$12=1,507+1=AH!$U$6),IF(AH!$U$4=0,"unavailable",INDEX('Market Data'!$AP$5:$AP$66,AH!$U$4)),IF(AH!$U$5=1,INDEX('Live History'!$H$5:$H$3004,MATCH($A512,'Live History'!$G$5:$G$3004,1)),INDEX('AH History'!$B$5:$B$1380,$K512))),NA()),NA())</f>
        <v/>
      </c>
      <c r="I512" s="34">
        <f>IFERROR(IF(ISNUMBER($A512),IF(AND(AH!$U$12=1,507+1=AH!$U$6),TODAY(),IF(AH!$U$5=1,INDEX('Live History'!$G$5:$G$3004,MATCH($A512,'Live History'!$G$5:$G$3004,1)),INDEX('AH History'!$C$5:$C$1380,$K512))),NA()),NA())</f>
        <v/>
      </c>
      <c r="J512" s="32">
        <f>IFERROR(IF(AND($F512&gt;0,$H512&gt;0,$A512-$G512&lt;=10,$A512-$I512&lt;=5,$G512&gt;0,$I512&gt;0),$F512*$H512,NA()),NA())</f>
        <v/>
      </c>
      <c r="K512" s="15">
        <f>IF($A512="","",IF(AH!$U$5=1,IFERROR(MATCH($A512,'Live History'!$A$5:$A$3004,0),0),AH!$U$7+507))</f>
        <v/>
      </c>
      <c r="L512" s="15">
        <f>IF(ISNUMBER(A512),TEXT(A512,"dd-mmm-yy"),"")</f>
        <v/>
      </c>
    </row>
    <row r="513">
      <c r="A513" s="14">
        <f>IF(OR(AH!$U$4=0,508+1&gt;AH!$U$6,AND(AH!$M$5="Bloomberg",AH!$U$5=0)),"",IFERROR(IF(AND(AH!$U$12=1,508+1=AH!$U$6),TODAY(),IF(AH!$U$5=1,INDEX('Live History'!$A$5:$A$3004,AH!$U$7+508),INDEX('AH History'!$A$5:$A$1380,AH!$U$7+508))),""))</f>
        <v/>
      </c>
      <c r="B513" s="33">
        <f>IFERROR(IF(AH!$U$11=1,NA(),$J513/$E513-1),NA())</f>
        <v/>
      </c>
      <c r="C513" s="269">
        <f>IFERROR(100*$E513/$E$5,NA())</f>
        <v/>
      </c>
      <c r="D513" s="269">
        <f>IFERROR(100*$J513/$J$5,NA())</f>
        <v/>
      </c>
      <c r="E513" s="32">
        <f>IFERROR(IF(AND(ISNUMBER($A513),N(IF(AND(AH!$U$12=1,508+1=AH!$U$6),IF(AH!$U$4=0,"unavailable",INDEX('Market Data'!$AN$5:$AN$66,AH!$U$4)),IF(AH!$U$5=1,INDEX('Live History'!$B$5:$B$3004,$K513),INDEX('AH History'!$D$5:$GG$1380,$K513,AH!$U$10))))&gt;0),IF(AND(AH!$U$12=1,508+1=AH!$U$6),IF(AH!$U$4=0,"unavailable",INDEX('Market Data'!$AN$5:$AN$66,AH!$U$4)),IF(AH!$U$5=1,INDEX('Live History'!$B$5:$B$3004,$K513),INDEX('AH History'!$D$5:$GG$1380,$K513,AH!$U$10))),NA()),NA())</f>
        <v/>
      </c>
      <c r="F513" s="32">
        <f>IFERROR(IF(ISNUMBER($A513),IF(AND(AH!$U$12=1,508+1=AH!$U$6),IF(AH!$U$4=0,"unavailable",INDEX('Market Data'!$AO$5:$AO$66,AH!$U$4)),IF(AH!$U$5=1,INDEX('Live History'!$E$5:$E$3004,MATCH($A513,'Live History'!$D$5:$D$3004,1)),INDEX('AH History'!$D$5:$GG$1380,$K513,AH!$U$10+1))),NA()),NA())</f>
        <v/>
      </c>
      <c r="G513" s="34">
        <f>IFERROR(IF(ISNUMBER($A513),IF(AND(AH!$U$12=1,508+1=AH!$U$6),IF(AH!$U$4=0,"unavailable",INDEX('Market Data'!$AK$5:$AK$66,AH!$U$4)),IF(AH!$U$5=1,INDEX('Live History'!$D$5:$D$3004,MATCH($A513,'Live History'!$D$5:$D$3004,1)),INDEX('AH History'!$D$5:$GG$1380,$K513,AH!$U$10+2))),NA()),NA())</f>
        <v/>
      </c>
      <c r="H513" s="266">
        <f>IFERROR(IF(ISNUMBER($A513),IF(AND(AH!$U$12=1,508+1=AH!$U$6),IF(AH!$U$4=0,"unavailable",INDEX('Market Data'!$AP$5:$AP$66,AH!$U$4)),IF(AH!$U$5=1,INDEX('Live History'!$H$5:$H$3004,MATCH($A513,'Live History'!$G$5:$G$3004,1)),INDEX('AH History'!$B$5:$B$1380,$K513))),NA()),NA())</f>
        <v/>
      </c>
      <c r="I513" s="34">
        <f>IFERROR(IF(ISNUMBER($A513),IF(AND(AH!$U$12=1,508+1=AH!$U$6),TODAY(),IF(AH!$U$5=1,INDEX('Live History'!$G$5:$G$3004,MATCH($A513,'Live History'!$G$5:$G$3004,1)),INDEX('AH History'!$C$5:$C$1380,$K513))),NA()),NA())</f>
        <v/>
      </c>
      <c r="J513" s="32">
        <f>IFERROR(IF(AND($F513&gt;0,$H513&gt;0,$A513-$G513&lt;=10,$A513-$I513&lt;=5,$G513&gt;0,$I513&gt;0),$F513*$H513,NA()),NA())</f>
        <v/>
      </c>
      <c r="K513" s="15">
        <f>IF($A513="","",IF(AH!$U$5=1,IFERROR(MATCH($A513,'Live History'!$A$5:$A$3004,0),0),AH!$U$7+508))</f>
        <v/>
      </c>
      <c r="L513" s="15">
        <f>IF(ISNUMBER(A513),TEXT(A513,"dd-mmm-yy"),"")</f>
        <v/>
      </c>
    </row>
    <row r="514">
      <c r="A514" s="14">
        <f>IF(OR(AH!$U$4=0,509+1&gt;AH!$U$6,AND(AH!$M$5="Bloomberg",AH!$U$5=0)),"",IFERROR(IF(AND(AH!$U$12=1,509+1=AH!$U$6),TODAY(),IF(AH!$U$5=1,INDEX('Live History'!$A$5:$A$3004,AH!$U$7+509),INDEX('AH History'!$A$5:$A$1380,AH!$U$7+509))),""))</f>
        <v/>
      </c>
      <c r="B514" s="33">
        <f>IFERROR(IF(AH!$U$11=1,NA(),$J514/$E514-1),NA())</f>
        <v/>
      </c>
      <c r="C514" s="269">
        <f>IFERROR(100*$E514/$E$5,NA())</f>
        <v/>
      </c>
      <c r="D514" s="269">
        <f>IFERROR(100*$J514/$J$5,NA())</f>
        <v/>
      </c>
      <c r="E514" s="32">
        <f>IFERROR(IF(AND(ISNUMBER($A514),N(IF(AND(AH!$U$12=1,509+1=AH!$U$6),IF(AH!$U$4=0,"unavailable",INDEX('Market Data'!$AN$5:$AN$66,AH!$U$4)),IF(AH!$U$5=1,INDEX('Live History'!$B$5:$B$3004,$K514),INDEX('AH History'!$D$5:$GG$1380,$K514,AH!$U$10))))&gt;0),IF(AND(AH!$U$12=1,509+1=AH!$U$6),IF(AH!$U$4=0,"unavailable",INDEX('Market Data'!$AN$5:$AN$66,AH!$U$4)),IF(AH!$U$5=1,INDEX('Live History'!$B$5:$B$3004,$K514),INDEX('AH History'!$D$5:$GG$1380,$K514,AH!$U$10))),NA()),NA())</f>
        <v/>
      </c>
      <c r="F514" s="32">
        <f>IFERROR(IF(ISNUMBER($A514),IF(AND(AH!$U$12=1,509+1=AH!$U$6),IF(AH!$U$4=0,"unavailable",INDEX('Market Data'!$AO$5:$AO$66,AH!$U$4)),IF(AH!$U$5=1,INDEX('Live History'!$E$5:$E$3004,MATCH($A514,'Live History'!$D$5:$D$3004,1)),INDEX('AH History'!$D$5:$GG$1380,$K514,AH!$U$10+1))),NA()),NA())</f>
        <v/>
      </c>
      <c r="G514" s="34">
        <f>IFERROR(IF(ISNUMBER($A514),IF(AND(AH!$U$12=1,509+1=AH!$U$6),IF(AH!$U$4=0,"unavailable",INDEX('Market Data'!$AK$5:$AK$66,AH!$U$4)),IF(AH!$U$5=1,INDEX('Live History'!$D$5:$D$3004,MATCH($A514,'Live History'!$D$5:$D$3004,1)),INDEX('AH History'!$D$5:$GG$1380,$K514,AH!$U$10+2))),NA()),NA())</f>
        <v/>
      </c>
      <c r="H514" s="266">
        <f>IFERROR(IF(ISNUMBER($A514),IF(AND(AH!$U$12=1,509+1=AH!$U$6),IF(AH!$U$4=0,"unavailable",INDEX('Market Data'!$AP$5:$AP$66,AH!$U$4)),IF(AH!$U$5=1,INDEX('Live History'!$H$5:$H$3004,MATCH($A514,'Live History'!$G$5:$G$3004,1)),INDEX('AH History'!$B$5:$B$1380,$K514))),NA()),NA())</f>
        <v/>
      </c>
      <c r="I514" s="34">
        <f>IFERROR(IF(ISNUMBER($A514),IF(AND(AH!$U$12=1,509+1=AH!$U$6),TODAY(),IF(AH!$U$5=1,INDEX('Live History'!$G$5:$G$3004,MATCH($A514,'Live History'!$G$5:$G$3004,1)),INDEX('AH History'!$C$5:$C$1380,$K514))),NA()),NA())</f>
        <v/>
      </c>
      <c r="J514" s="32">
        <f>IFERROR(IF(AND($F514&gt;0,$H514&gt;0,$A514-$G514&lt;=10,$A514-$I514&lt;=5,$G514&gt;0,$I514&gt;0),$F514*$H514,NA()),NA())</f>
        <v/>
      </c>
      <c r="K514" s="15">
        <f>IF($A514="","",IF(AH!$U$5=1,IFERROR(MATCH($A514,'Live History'!$A$5:$A$3004,0),0),AH!$U$7+509))</f>
        <v/>
      </c>
      <c r="L514" s="15">
        <f>IF(ISNUMBER(A514),TEXT(A514,"dd-mmm-yy"),"")</f>
        <v/>
      </c>
    </row>
    <row r="515">
      <c r="A515" s="14">
        <f>IF(OR(AH!$U$4=0,510+1&gt;AH!$U$6,AND(AH!$M$5="Bloomberg",AH!$U$5=0)),"",IFERROR(IF(AND(AH!$U$12=1,510+1=AH!$U$6),TODAY(),IF(AH!$U$5=1,INDEX('Live History'!$A$5:$A$3004,AH!$U$7+510),INDEX('AH History'!$A$5:$A$1380,AH!$U$7+510))),""))</f>
        <v/>
      </c>
      <c r="B515" s="33">
        <f>IFERROR(IF(AH!$U$11=1,NA(),$J515/$E515-1),NA())</f>
        <v/>
      </c>
      <c r="C515" s="269">
        <f>IFERROR(100*$E515/$E$5,NA())</f>
        <v/>
      </c>
      <c r="D515" s="269">
        <f>IFERROR(100*$J515/$J$5,NA())</f>
        <v/>
      </c>
      <c r="E515" s="32">
        <f>IFERROR(IF(AND(ISNUMBER($A515),N(IF(AND(AH!$U$12=1,510+1=AH!$U$6),IF(AH!$U$4=0,"unavailable",INDEX('Market Data'!$AN$5:$AN$66,AH!$U$4)),IF(AH!$U$5=1,INDEX('Live History'!$B$5:$B$3004,$K515),INDEX('AH History'!$D$5:$GG$1380,$K515,AH!$U$10))))&gt;0),IF(AND(AH!$U$12=1,510+1=AH!$U$6),IF(AH!$U$4=0,"unavailable",INDEX('Market Data'!$AN$5:$AN$66,AH!$U$4)),IF(AH!$U$5=1,INDEX('Live History'!$B$5:$B$3004,$K515),INDEX('AH History'!$D$5:$GG$1380,$K515,AH!$U$10))),NA()),NA())</f>
        <v/>
      </c>
      <c r="F515" s="32">
        <f>IFERROR(IF(ISNUMBER($A515),IF(AND(AH!$U$12=1,510+1=AH!$U$6),IF(AH!$U$4=0,"unavailable",INDEX('Market Data'!$AO$5:$AO$66,AH!$U$4)),IF(AH!$U$5=1,INDEX('Live History'!$E$5:$E$3004,MATCH($A515,'Live History'!$D$5:$D$3004,1)),INDEX('AH History'!$D$5:$GG$1380,$K515,AH!$U$10+1))),NA()),NA())</f>
        <v/>
      </c>
      <c r="G515" s="34">
        <f>IFERROR(IF(ISNUMBER($A515),IF(AND(AH!$U$12=1,510+1=AH!$U$6),IF(AH!$U$4=0,"unavailable",INDEX('Market Data'!$AK$5:$AK$66,AH!$U$4)),IF(AH!$U$5=1,INDEX('Live History'!$D$5:$D$3004,MATCH($A515,'Live History'!$D$5:$D$3004,1)),INDEX('AH History'!$D$5:$GG$1380,$K515,AH!$U$10+2))),NA()),NA())</f>
        <v/>
      </c>
      <c r="H515" s="266">
        <f>IFERROR(IF(ISNUMBER($A515),IF(AND(AH!$U$12=1,510+1=AH!$U$6),IF(AH!$U$4=0,"unavailable",INDEX('Market Data'!$AP$5:$AP$66,AH!$U$4)),IF(AH!$U$5=1,INDEX('Live History'!$H$5:$H$3004,MATCH($A515,'Live History'!$G$5:$G$3004,1)),INDEX('AH History'!$B$5:$B$1380,$K515))),NA()),NA())</f>
        <v/>
      </c>
      <c r="I515" s="34">
        <f>IFERROR(IF(ISNUMBER($A515),IF(AND(AH!$U$12=1,510+1=AH!$U$6),TODAY(),IF(AH!$U$5=1,INDEX('Live History'!$G$5:$G$3004,MATCH($A515,'Live History'!$G$5:$G$3004,1)),INDEX('AH History'!$C$5:$C$1380,$K515))),NA()),NA())</f>
        <v/>
      </c>
      <c r="J515" s="32">
        <f>IFERROR(IF(AND($F515&gt;0,$H515&gt;0,$A515-$G515&lt;=10,$A515-$I515&lt;=5,$G515&gt;0,$I515&gt;0),$F515*$H515,NA()),NA())</f>
        <v/>
      </c>
      <c r="K515" s="15">
        <f>IF($A515="","",IF(AH!$U$5=1,IFERROR(MATCH($A515,'Live History'!$A$5:$A$3004,0),0),AH!$U$7+510))</f>
        <v/>
      </c>
      <c r="L515" s="15">
        <f>IF(ISNUMBER(A515),TEXT(A515,"dd-mmm-yy"),"")</f>
        <v/>
      </c>
    </row>
    <row r="516">
      <c r="A516" s="14">
        <f>IF(OR(AH!$U$4=0,511+1&gt;AH!$U$6,AND(AH!$M$5="Bloomberg",AH!$U$5=0)),"",IFERROR(IF(AND(AH!$U$12=1,511+1=AH!$U$6),TODAY(),IF(AH!$U$5=1,INDEX('Live History'!$A$5:$A$3004,AH!$U$7+511),INDEX('AH History'!$A$5:$A$1380,AH!$U$7+511))),""))</f>
        <v/>
      </c>
      <c r="B516" s="33">
        <f>IFERROR(IF(AH!$U$11=1,NA(),$J516/$E516-1),NA())</f>
        <v/>
      </c>
      <c r="C516" s="269">
        <f>IFERROR(100*$E516/$E$5,NA())</f>
        <v/>
      </c>
      <c r="D516" s="269">
        <f>IFERROR(100*$J516/$J$5,NA())</f>
        <v/>
      </c>
      <c r="E516" s="32">
        <f>IFERROR(IF(AND(ISNUMBER($A516),N(IF(AND(AH!$U$12=1,511+1=AH!$U$6),IF(AH!$U$4=0,"unavailable",INDEX('Market Data'!$AN$5:$AN$66,AH!$U$4)),IF(AH!$U$5=1,INDEX('Live History'!$B$5:$B$3004,$K516),INDEX('AH History'!$D$5:$GG$1380,$K516,AH!$U$10))))&gt;0),IF(AND(AH!$U$12=1,511+1=AH!$U$6),IF(AH!$U$4=0,"unavailable",INDEX('Market Data'!$AN$5:$AN$66,AH!$U$4)),IF(AH!$U$5=1,INDEX('Live History'!$B$5:$B$3004,$K516),INDEX('AH History'!$D$5:$GG$1380,$K516,AH!$U$10))),NA()),NA())</f>
        <v/>
      </c>
      <c r="F516" s="32">
        <f>IFERROR(IF(ISNUMBER($A516),IF(AND(AH!$U$12=1,511+1=AH!$U$6),IF(AH!$U$4=0,"unavailable",INDEX('Market Data'!$AO$5:$AO$66,AH!$U$4)),IF(AH!$U$5=1,INDEX('Live History'!$E$5:$E$3004,MATCH($A516,'Live History'!$D$5:$D$3004,1)),INDEX('AH History'!$D$5:$GG$1380,$K516,AH!$U$10+1))),NA()),NA())</f>
        <v/>
      </c>
      <c r="G516" s="34">
        <f>IFERROR(IF(ISNUMBER($A516),IF(AND(AH!$U$12=1,511+1=AH!$U$6),IF(AH!$U$4=0,"unavailable",INDEX('Market Data'!$AK$5:$AK$66,AH!$U$4)),IF(AH!$U$5=1,INDEX('Live History'!$D$5:$D$3004,MATCH($A516,'Live History'!$D$5:$D$3004,1)),INDEX('AH History'!$D$5:$GG$1380,$K516,AH!$U$10+2))),NA()),NA())</f>
        <v/>
      </c>
      <c r="H516" s="266">
        <f>IFERROR(IF(ISNUMBER($A516),IF(AND(AH!$U$12=1,511+1=AH!$U$6),IF(AH!$U$4=0,"unavailable",INDEX('Market Data'!$AP$5:$AP$66,AH!$U$4)),IF(AH!$U$5=1,INDEX('Live History'!$H$5:$H$3004,MATCH($A516,'Live History'!$G$5:$G$3004,1)),INDEX('AH History'!$B$5:$B$1380,$K516))),NA()),NA())</f>
        <v/>
      </c>
      <c r="I516" s="34">
        <f>IFERROR(IF(ISNUMBER($A516),IF(AND(AH!$U$12=1,511+1=AH!$U$6),TODAY(),IF(AH!$U$5=1,INDEX('Live History'!$G$5:$G$3004,MATCH($A516,'Live History'!$G$5:$G$3004,1)),INDEX('AH History'!$C$5:$C$1380,$K516))),NA()),NA())</f>
        <v/>
      </c>
      <c r="J516" s="32">
        <f>IFERROR(IF(AND($F516&gt;0,$H516&gt;0,$A516-$G516&lt;=10,$A516-$I516&lt;=5,$G516&gt;0,$I516&gt;0),$F516*$H516,NA()),NA())</f>
        <v/>
      </c>
      <c r="K516" s="15">
        <f>IF($A516="","",IF(AH!$U$5=1,IFERROR(MATCH($A516,'Live History'!$A$5:$A$3004,0),0),AH!$U$7+511))</f>
        <v/>
      </c>
      <c r="L516" s="15">
        <f>IF(ISNUMBER(A516),TEXT(A516,"dd-mmm-yy"),"")</f>
        <v/>
      </c>
    </row>
    <row r="517">
      <c r="A517" s="14">
        <f>IF(OR(AH!$U$4=0,512+1&gt;AH!$U$6,AND(AH!$M$5="Bloomberg",AH!$U$5=0)),"",IFERROR(IF(AND(AH!$U$12=1,512+1=AH!$U$6),TODAY(),IF(AH!$U$5=1,INDEX('Live History'!$A$5:$A$3004,AH!$U$7+512),INDEX('AH History'!$A$5:$A$1380,AH!$U$7+512))),""))</f>
        <v/>
      </c>
      <c r="B517" s="33">
        <f>IFERROR(IF(AH!$U$11=1,NA(),$J517/$E517-1),NA())</f>
        <v/>
      </c>
      <c r="C517" s="269">
        <f>IFERROR(100*$E517/$E$5,NA())</f>
        <v/>
      </c>
      <c r="D517" s="269">
        <f>IFERROR(100*$J517/$J$5,NA())</f>
        <v/>
      </c>
      <c r="E517" s="32">
        <f>IFERROR(IF(AND(ISNUMBER($A517),N(IF(AND(AH!$U$12=1,512+1=AH!$U$6),IF(AH!$U$4=0,"unavailable",INDEX('Market Data'!$AN$5:$AN$66,AH!$U$4)),IF(AH!$U$5=1,INDEX('Live History'!$B$5:$B$3004,$K517),INDEX('AH History'!$D$5:$GG$1380,$K517,AH!$U$10))))&gt;0),IF(AND(AH!$U$12=1,512+1=AH!$U$6),IF(AH!$U$4=0,"unavailable",INDEX('Market Data'!$AN$5:$AN$66,AH!$U$4)),IF(AH!$U$5=1,INDEX('Live History'!$B$5:$B$3004,$K517),INDEX('AH History'!$D$5:$GG$1380,$K517,AH!$U$10))),NA()),NA())</f>
        <v/>
      </c>
      <c r="F517" s="32">
        <f>IFERROR(IF(ISNUMBER($A517),IF(AND(AH!$U$12=1,512+1=AH!$U$6),IF(AH!$U$4=0,"unavailable",INDEX('Market Data'!$AO$5:$AO$66,AH!$U$4)),IF(AH!$U$5=1,INDEX('Live History'!$E$5:$E$3004,MATCH($A517,'Live History'!$D$5:$D$3004,1)),INDEX('AH History'!$D$5:$GG$1380,$K517,AH!$U$10+1))),NA()),NA())</f>
        <v/>
      </c>
      <c r="G517" s="34">
        <f>IFERROR(IF(ISNUMBER($A517),IF(AND(AH!$U$12=1,512+1=AH!$U$6),IF(AH!$U$4=0,"unavailable",INDEX('Market Data'!$AK$5:$AK$66,AH!$U$4)),IF(AH!$U$5=1,INDEX('Live History'!$D$5:$D$3004,MATCH($A517,'Live History'!$D$5:$D$3004,1)),INDEX('AH History'!$D$5:$GG$1380,$K517,AH!$U$10+2))),NA()),NA())</f>
        <v/>
      </c>
      <c r="H517" s="266">
        <f>IFERROR(IF(ISNUMBER($A517),IF(AND(AH!$U$12=1,512+1=AH!$U$6),IF(AH!$U$4=0,"unavailable",INDEX('Market Data'!$AP$5:$AP$66,AH!$U$4)),IF(AH!$U$5=1,INDEX('Live History'!$H$5:$H$3004,MATCH($A517,'Live History'!$G$5:$G$3004,1)),INDEX('AH History'!$B$5:$B$1380,$K517))),NA()),NA())</f>
        <v/>
      </c>
      <c r="I517" s="34">
        <f>IFERROR(IF(ISNUMBER($A517),IF(AND(AH!$U$12=1,512+1=AH!$U$6),TODAY(),IF(AH!$U$5=1,INDEX('Live History'!$G$5:$G$3004,MATCH($A517,'Live History'!$G$5:$G$3004,1)),INDEX('AH History'!$C$5:$C$1380,$K517))),NA()),NA())</f>
        <v/>
      </c>
      <c r="J517" s="32">
        <f>IFERROR(IF(AND($F517&gt;0,$H517&gt;0,$A517-$G517&lt;=10,$A517-$I517&lt;=5,$G517&gt;0,$I517&gt;0),$F517*$H517,NA()),NA())</f>
        <v/>
      </c>
      <c r="K517" s="15">
        <f>IF($A517="","",IF(AH!$U$5=1,IFERROR(MATCH($A517,'Live History'!$A$5:$A$3004,0),0),AH!$U$7+512))</f>
        <v/>
      </c>
      <c r="L517" s="15">
        <f>IF(ISNUMBER(A517),TEXT(A517,"dd-mmm-yy"),"")</f>
        <v/>
      </c>
    </row>
    <row r="518">
      <c r="A518" s="14">
        <f>IF(OR(AH!$U$4=0,513+1&gt;AH!$U$6,AND(AH!$M$5="Bloomberg",AH!$U$5=0)),"",IFERROR(IF(AND(AH!$U$12=1,513+1=AH!$U$6),TODAY(),IF(AH!$U$5=1,INDEX('Live History'!$A$5:$A$3004,AH!$U$7+513),INDEX('AH History'!$A$5:$A$1380,AH!$U$7+513))),""))</f>
        <v/>
      </c>
      <c r="B518" s="33">
        <f>IFERROR(IF(AH!$U$11=1,NA(),$J518/$E518-1),NA())</f>
        <v/>
      </c>
      <c r="C518" s="269">
        <f>IFERROR(100*$E518/$E$5,NA())</f>
        <v/>
      </c>
      <c r="D518" s="269">
        <f>IFERROR(100*$J518/$J$5,NA())</f>
        <v/>
      </c>
      <c r="E518" s="32">
        <f>IFERROR(IF(AND(ISNUMBER($A518),N(IF(AND(AH!$U$12=1,513+1=AH!$U$6),IF(AH!$U$4=0,"unavailable",INDEX('Market Data'!$AN$5:$AN$66,AH!$U$4)),IF(AH!$U$5=1,INDEX('Live History'!$B$5:$B$3004,$K518),INDEX('AH History'!$D$5:$GG$1380,$K518,AH!$U$10))))&gt;0),IF(AND(AH!$U$12=1,513+1=AH!$U$6),IF(AH!$U$4=0,"unavailable",INDEX('Market Data'!$AN$5:$AN$66,AH!$U$4)),IF(AH!$U$5=1,INDEX('Live History'!$B$5:$B$3004,$K518),INDEX('AH History'!$D$5:$GG$1380,$K518,AH!$U$10))),NA()),NA())</f>
        <v/>
      </c>
      <c r="F518" s="32">
        <f>IFERROR(IF(ISNUMBER($A518),IF(AND(AH!$U$12=1,513+1=AH!$U$6),IF(AH!$U$4=0,"unavailable",INDEX('Market Data'!$AO$5:$AO$66,AH!$U$4)),IF(AH!$U$5=1,INDEX('Live History'!$E$5:$E$3004,MATCH($A518,'Live History'!$D$5:$D$3004,1)),INDEX('AH History'!$D$5:$GG$1380,$K518,AH!$U$10+1))),NA()),NA())</f>
        <v/>
      </c>
      <c r="G518" s="34">
        <f>IFERROR(IF(ISNUMBER($A518),IF(AND(AH!$U$12=1,513+1=AH!$U$6),IF(AH!$U$4=0,"unavailable",INDEX('Market Data'!$AK$5:$AK$66,AH!$U$4)),IF(AH!$U$5=1,INDEX('Live History'!$D$5:$D$3004,MATCH($A518,'Live History'!$D$5:$D$3004,1)),INDEX('AH History'!$D$5:$GG$1380,$K518,AH!$U$10+2))),NA()),NA())</f>
        <v/>
      </c>
      <c r="H518" s="266">
        <f>IFERROR(IF(ISNUMBER($A518),IF(AND(AH!$U$12=1,513+1=AH!$U$6),IF(AH!$U$4=0,"unavailable",INDEX('Market Data'!$AP$5:$AP$66,AH!$U$4)),IF(AH!$U$5=1,INDEX('Live History'!$H$5:$H$3004,MATCH($A518,'Live History'!$G$5:$G$3004,1)),INDEX('AH History'!$B$5:$B$1380,$K518))),NA()),NA())</f>
        <v/>
      </c>
      <c r="I518" s="34">
        <f>IFERROR(IF(ISNUMBER($A518),IF(AND(AH!$U$12=1,513+1=AH!$U$6),TODAY(),IF(AH!$U$5=1,INDEX('Live History'!$G$5:$G$3004,MATCH($A518,'Live History'!$G$5:$G$3004,1)),INDEX('AH History'!$C$5:$C$1380,$K518))),NA()),NA())</f>
        <v/>
      </c>
      <c r="J518" s="32">
        <f>IFERROR(IF(AND($F518&gt;0,$H518&gt;0,$A518-$G518&lt;=10,$A518-$I518&lt;=5,$G518&gt;0,$I518&gt;0),$F518*$H518,NA()),NA())</f>
        <v/>
      </c>
      <c r="K518" s="15">
        <f>IF($A518="","",IF(AH!$U$5=1,IFERROR(MATCH($A518,'Live History'!$A$5:$A$3004,0),0),AH!$U$7+513))</f>
        <v/>
      </c>
      <c r="L518" s="15">
        <f>IF(ISNUMBER(A518),TEXT(A518,"dd-mmm-yy"),"")</f>
        <v/>
      </c>
    </row>
    <row r="519">
      <c r="A519" s="14">
        <f>IF(OR(AH!$U$4=0,514+1&gt;AH!$U$6,AND(AH!$M$5="Bloomberg",AH!$U$5=0)),"",IFERROR(IF(AND(AH!$U$12=1,514+1=AH!$U$6),TODAY(),IF(AH!$U$5=1,INDEX('Live History'!$A$5:$A$3004,AH!$U$7+514),INDEX('AH History'!$A$5:$A$1380,AH!$U$7+514))),""))</f>
        <v/>
      </c>
      <c r="B519" s="33">
        <f>IFERROR(IF(AH!$U$11=1,NA(),$J519/$E519-1),NA())</f>
        <v/>
      </c>
      <c r="C519" s="269">
        <f>IFERROR(100*$E519/$E$5,NA())</f>
        <v/>
      </c>
      <c r="D519" s="269">
        <f>IFERROR(100*$J519/$J$5,NA())</f>
        <v/>
      </c>
      <c r="E519" s="32">
        <f>IFERROR(IF(AND(ISNUMBER($A519),N(IF(AND(AH!$U$12=1,514+1=AH!$U$6),IF(AH!$U$4=0,"unavailable",INDEX('Market Data'!$AN$5:$AN$66,AH!$U$4)),IF(AH!$U$5=1,INDEX('Live History'!$B$5:$B$3004,$K519),INDEX('AH History'!$D$5:$GG$1380,$K519,AH!$U$10))))&gt;0),IF(AND(AH!$U$12=1,514+1=AH!$U$6),IF(AH!$U$4=0,"unavailable",INDEX('Market Data'!$AN$5:$AN$66,AH!$U$4)),IF(AH!$U$5=1,INDEX('Live History'!$B$5:$B$3004,$K519),INDEX('AH History'!$D$5:$GG$1380,$K519,AH!$U$10))),NA()),NA())</f>
        <v/>
      </c>
      <c r="F519" s="32">
        <f>IFERROR(IF(ISNUMBER($A519),IF(AND(AH!$U$12=1,514+1=AH!$U$6),IF(AH!$U$4=0,"unavailable",INDEX('Market Data'!$AO$5:$AO$66,AH!$U$4)),IF(AH!$U$5=1,INDEX('Live History'!$E$5:$E$3004,MATCH($A519,'Live History'!$D$5:$D$3004,1)),INDEX('AH History'!$D$5:$GG$1380,$K519,AH!$U$10+1))),NA()),NA())</f>
        <v/>
      </c>
      <c r="G519" s="34">
        <f>IFERROR(IF(ISNUMBER($A519),IF(AND(AH!$U$12=1,514+1=AH!$U$6),IF(AH!$U$4=0,"unavailable",INDEX('Market Data'!$AK$5:$AK$66,AH!$U$4)),IF(AH!$U$5=1,INDEX('Live History'!$D$5:$D$3004,MATCH($A519,'Live History'!$D$5:$D$3004,1)),INDEX('AH History'!$D$5:$GG$1380,$K519,AH!$U$10+2))),NA()),NA())</f>
        <v/>
      </c>
      <c r="H519" s="266">
        <f>IFERROR(IF(ISNUMBER($A519),IF(AND(AH!$U$12=1,514+1=AH!$U$6),IF(AH!$U$4=0,"unavailable",INDEX('Market Data'!$AP$5:$AP$66,AH!$U$4)),IF(AH!$U$5=1,INDEX('Live History'!$H$5:$H$3004,MATCH($A519,'Live History'!$G$5:$G$3004,1)),INDEX('AH History'!$B$5:$B$1380,$K519))),NA()),NA())</f>
        <v/>
      </c>
      <c r="I519" s="34">
        <f>IFERROR(IF(ISNUMBER($A519),IF(AND(AH!$U$12=1,514+1=AH!$U$6),TODAY(),IF(AH!$U$5=1,INDEX('Live History'!$G$5:$G$3004,MATCH($A519,'Live History'!$G$5:$G$3004,1)),INDEX('AH History'!$C$5:$C$1380,$K519))),NA()),NA())</f>
        <v/>
      </c>
      <c r="J519" s="32">
        <f>IFERROR(IF(AND($F519&gt;0,$H519&gt;0,$A519-$G519&lt;=10,$A519-$I519&lt;=5,$G519&gt;0,$I519&gt;0),$F519*$H519,NA()),NA())</f>
        <v/>
      </c>
      <c r="K519" s="15">
        <f>IF($A519="","",IF(AH!$U$5=1,IFERROR(MATCH($A519,'Live History'!$A$5:$A$3004,0),0),AH!$U$7+514))</f>
        <v/>
      </c>
      <c r="L519" s="15">
        <f>IF(ISNUMBER(A519),TEXT(A519,"dd-mmm-yy"),"")</f>
        <v/>
      </c>
    </row>
    <row r="520">
      <c r="A520" s="14">
        <f>IF(OR(AH!$U$4=0,515+1&gt;AH!$U$6,AND(AH!$M$5="Bloomberg",AH!$U$5=0)),"",IFERROR(IF(AND(AH!$U$12=1,515+1=AH!$U$6),TODAY(),IF(AH!$U$5=1,INDEX('Live History'!$A$5:$A$3004,AH!$U$7+515),INDEX('AH History'!$A$5:$A$1380,AH!$U$7+515))),""))</f>
        <v/>
      </c>
      <c r="B520" s="33">
        <f>IFERROR(IF(AH!$U$11=1,NA(),$J520/$E520-1),NA())</f>
        <v/>
      </c>
      <c r="C520" s="269">
        <f>IFERROR(100*$E520/$E$5,NA())</f>
        <v/>
      </c>
      <c r="D520" s="269">
        <f>IFERROR(100*$J520/$J$5,NA())</f>
        <v/>
      </c>
      <c r="E520" s="32">
        <f>IFERROR(IF(AND(ISNUMBER($A520),N(IF(AND(AH!$U$12=1,515+1=AH!$U$6),IF(AH!$U$4=0,"unavailable",INDEX('Market Data'!$AN$5:$AN$66,AH!$U$4)),IF(AH!$U$5=1,INDEX('Live History'!$B$5:$B$3004,$K520),INDEX('AH History'!$D$5:$GG$1380,$K520,AH!$U$10))))&gt;0),IF(AND(AH!$U$12=1,515+1=AH!$U$6),IF(AH!$U$4=0,"unavailable",INDEX('Market Data'!$AN$5:$AN$66,AH!$U$4)),IF(AH!$U$5=1,INDEX('Live History'!$B$5:$B$3004,$K520),INDEX('AH History'!$D$5:$GG$1380,$K520,AH!$U$10))),NA()),NA())</f>
        <v/>
      </c>
      <c r="F520" s="32">
        <f>IFERROR(IF(ISNUMBER($A520),IF(AND(AH!$U$12=1,515+1=AH!$U$6),IF(AH!$U$4=0,"unavailable",INDEX('Market Data'!$AO$5:$AO$66,AH!$U$4)),IF(AH!$U$5=1,INDEX('Live History'!$E$5:$E$3004,MATCH($A520,'Live History'!$D$5:$D$3004,1)),INDEX('AH History'!$D$5:$GG$1380,$K520,AH!$U$10+1))),NA()),NA())</f>
        <v/>
      </c>
      <c r="G520" s="34">
        <f>IFERROR(IF(ISNUMBER($A520),IF(AND(AH!$U$12=1,515+1=AH!$U$6),IF(AH!$U$4=0,"unavailable",INDEX('Market Data'!$AK$5:$AK$66,AH!$U$4)),IF(AH!$U$5=1,INDEX('Live History'!$D$5:$D$3004,MATCH($A520,'Live History'!$D$5:$D$3004,1)),INDEX('AH History'!$D$5:$GG$1380,$K520,AH!$U$10+2))),NA()),NA())</f>
        <v/>
      </c>
      <c r="H520" s="266">
        <f>IFERROR(IF(ISNUMBER($A520),IF(AND(AH!$U$12=1,515+1=AH!$U$6),IF(AH!$U$4=0,"unavailable",INDEX('Market Data'!$AP$5:$AP$66,AH!$U$4)),IF(AH!$U$5=1,INDEX('Live History'!$H$5:$H$3004,MATCH($A520,'Live History'!$G$5:$G$3004,1)),INDEX('AH History'!$B$5:$B$1380,$K520))),NA()),NA())</f>
        <v/>
      </c>
      <c r="I520" s="34">
        <f>IFERROR(IF(ISNUMBER($A520),IF(AND(AH!$U$12=1,515+1=AH!$U$6),TODAY(),IF(AH!$U$5=1,INDEX('Live History'!$G$5:$G$3004,MATCH($A520,'Live History'!$G$5:$G$3004,1)),INDEX('AH History'!$C$5:$C$1380,$K520))),NA()),NA())</f>
        <v/>
      </c>
      <c r="J520" s="32">
        <f>IFERROR(IF(AND($F520&gt;0,$H520&gt;0,$A520-$G520&lt;=10,$A520-$I520&lt;=5,$G520&gt;0,$I520&gt;0),$F520*$H520,NA()),NA())</f>
        <v/>
      </c>
      <c r="K520" s="15">
        <f>IF($A520="","",IF(AH!$U$5=1,IFERROR(MATCH($A520,'Live History'!$A$5:$A$3004,0),0),AH!$U$7+515))</f>
        <v/>
      </c>
      <c r="L520" s="15">
        <f>IF(ISNUMBER(A520),TEXT(A520,"dd-mmm-yy"),"")</f>
        <v/>
      </c>
    </row>
    <row r="521">
      <c r="A521" s="14">
        <f>IF(OR(AH!$U$4=0,516+1&gt;AH!$U$6,AND(AH!$M$5="Bloomberg",AH!$U$5=0)),"",IFERROR(IF(AND(AH!$U$12=1,516+1=AH!$U$6),TODAY(),IF(AH!$U$5=1,INDEX('Live History'!$A$5:$A$3004,AH!$U$7+516),INDEX('AH History'!$A$5:$A$1380,AH!$U$7+516))),""))</f>
        <v/>
      </c>
      <c r="B521" s="33">
        <f>IFERROR(IF(AH!$U$11=1,NA(),$J521/$E521-1),NA())</f>
        <v/>
      </c>
      <c r="C521" s="269">
        <f>IFERROR(100*$E521/$E$5,NA())</f>
        <v/>
      </c>
      <c r="D521" s="269">
        <f>IFERROR(100*$J521/$J$5,NA())</f>
        <v/>
      </c>
      <c r="E521" s="32">
        <f>IFERROR(IF(AND(ISNUMBER($A521),N(IF(AND(AH!$U$12=1,516+1=AH!$U$6),IF(AH!$U$4=0,"unavailable",INDEX('Market Data'!$AN$5:$AN$66,AH!$U$4)),IF(AH!$U$5=1,INDEX('Live History'!$B$5:$B$3004,$K521),INDEX('AH History'!$D$5:$GG$1380,$K521,AH!$U$10))))&gt;0),IF(AND(AH!$U$12=1,516+1=AH!$U$6),IF(AH!$U$4=0,"unavailable",INDEX('Market Data'!$AN$5:$AN$66,AH!$U$4)),IF(AH!$U$5=1,INDEX('Live History'!$B$5:$B$3004,$K521),INDEX('AH History'!$D$5:$GG$1380,$K521,AH!$U$10))),NA()),NA())</f>
        <v/>
      </c>
      <c r="F521" s="32">
        <f>IFERROR(IF(ISNUMBER($A521),IF(AND(AH!$U$12=1,516+1=AH!$U$6),IF(AH!$U$4=0,"unavailable",INDEX('Market Data'!$AO$5:$AO$66,AH!$U$4)),IF(AH!$U$5=1,INDEX('Live History'!$E$5:$E$3004,MATCH($A521,'Live History'!$D$5:$D$3004,1)),INDEX('AH History'!$D$5:$GG$1380,$K521,AH!$U$10+1))),NA()),NA())</f>
        <v/>
      </c>
      <c r="G521" s="34">
        <f>IFERROR(IF(ISNUMBER($A521),IF(AND(AH!$U$12=1,516+1=AH!$U$6),IF(AH!$U$4=0,"unavailable",INDEX('Market Data'!$AK$5:$AK$66,AH!$U$4)),IF(AH!$U$5=1,INDEX('Live History'!$D$5:$D$3004,MATCH($A521,'Live History'!$D$5:$D$3004,1)),INDEX('AH History'!$D$5:$GG$1380,$K521,AH!$U$10+2))),NA()),NA())</f>
        <v/>
      </c>
      <c r="H521" s="266">
        <f>IFERROR(IF(ISNUMBER($A521),IF(AND(AH!$U$12=1,516+1=AH!$U$6),IF(AH!$U$4=0,"unavailable",INDEX('Market Data'!$AP$5:$AP$66,AH!$U$4)),IF(AH!$U$5=1,INDEX('Live History'!$H$5:$H$3004,MATCH($A521,'Live History'!$G$5:$G$3004,1)),INDEX('AH History'!$B$5:$B$1380,$K521))),NA()),NA())</f>
        <v/>
      </c>
      <c r="I521" s="34">
        <f>IFERROR(IF(ISNUMBER($A521),IF(AND(AH!$U$12=1,516+1=AH!$U$6),TODAY(),IF(AH!$U$5=1,INDEX('Live History'!$G$5:$G$3004,MATCH($A521,'Live History'!$G$5:$G$3004,1)),INDEX('AH History'!$C$5:$C$1380,$K521))),NA()),NA())</f>
        <v/>
      </c>
      <c r="J521" s="32">
        <f>IFERROR(IF(AND($F521&gt;0,$H521&gt;0,$A521-$G521&lt;=10,$A521-$I521&lt;=5,$G521&gt;0,$I521&gt;0),$F521*$H521,NA()),NA())</f>
        <v/>
      </c>
      <c r="K521" s="15">
        <f>IF($A521="","",IF(AH!$U$5=1,IFERROR(MATCH($A521,'Live History'!$A$5:$A$3004,0),0),AH!$U$7+516))</f>
        <v/>
      </c>
      <c r="L521" s="15">
        <f>IF(ISNUMBER(A521),TEXT(A521,"dd-mmm-yy"),"")</f>
        <v/>
      </c>
    </row>
    <row r="522">
      <c r="A522" s="14">
        <f>IF(OR(AH!$U$4=0,517+1&gt;AH!$U$6,AND(AH!$M$5="Bloomberg",AH!$U$5=0)),"",IFERROR(IF(AND(AH!$U$12=1,517+1=AH!$U$6),TODAY(),IF(AH!$U$5=1,INDEX('Live History'!$A$5:$A$3004,AH!$U$7+517),INDEX('AH History'!$A$5:$A$1380,AH!$U$7+517))),""))</f>
        <v/>
      </c>
      <c r="B522" s="33">
        <f>IFERROR(IF(AH!$U$11=1,NA(),$J522/$E522-1),NA())</f>
        <v/>
      </c>
      <c r="C522" s="269">
        <f>IFERROR(100*$E522/$E$5,NA())</f>
        <v/>
      </c>
      <c r="D522" s="269">
        <f>IFERROR(100*$J522/$J$5,NA())</f>
        <v/>
      </c>
      <c r="E522" s="32">
        <f>IFERROR(IF(AND(ISNUMBER($A522),N(IF(AND(AH!$U$12=1,517+1=AH!$U$6),IF(AH!$U$4=0,"unavailable",INDEX('Market Data'!$AN$5:$AN$66,AH!$U$4)),IF(AH!$U$5=1,INDEX('Live History'!$B$5:$B$3004,$K522),INDEX('AH History'!$D$5:$GG$1380,$K522,AH!$U$10))))&gt;0),IF(AND(AH!$U$12=1,517+1=AH!$U$6),IF(AH!$U$4=0,"unavailable",INDEX('Market Data'!$AN$5:$AN$66,AH!$U$4)),IF(AH!$U$5=1,INDEX('Live History'!$B$5:$B$3004,$K522),INDEX('AH History'!$D$5:$GG$1380,$K522,AH!$U$10))),NA()),NA())</f>
        <v/>
      </c>
      <c r="F522" s="32">
        <f>IFERROR(IF(ISNUMBER($A522),IF(AND(AH!$U$12=1,517+1=AH!$U$6),IF(AH!$U$4=0,"unavailable",INDEX('Market Data'!$AO$5:$AO$66,AH!$U$4)),IF(AH!$U$5=1,INDEX('Live History'!$E$5:$E$3004,MATCH($A522,'Live History'!$D$5:$D$3004,1)),INDEX('AH History'!$D$5:$GG$1380,$K522,AH!$U$10+1))),NA()),NA())</f>
        <v/>
      </c>
      <c r="G522" s="34">
        <f>IFERROR(IF(ISNUMBER($A522),IF(AND(AH!$U$12=1,517+1=AH!$U$6),IF(AH!$U$4=0,"unavailable",INDEX('Market Data'!$AK$5:$AK$66,AH!$U$4)),IF(AH!$U$5=1,INDEX('Live History'!$D$5:$D$3004,MATCH($A522,'Live History'!$D$5:$D$3004,1)),INDEX('AH History'!$D$5:$GG$1380,$K522,AH!$U$10+2))),NA()),NA())</f>
        <v/>
      </c>
      <c r="H522" s="266">
        <f>IFERROR(IF(ISNUMBER($A522),IF(AND(AH!$U$12=1,517+1=AH!$U$6),IF(AH!$U$4=0,"unavailable",INDEX('Market Data'!$AP$5:$AP$66,AH!$U$4)),IF(AH!$U$5=1,INDEX('Live History'!$H$5:$H$3004,MATCH($A522,'Live History'!$G$5:$G$3004,1)),INDEX('AH History'!$B$5:$B$1380,$K522))),NA()),NA())</f>
        <v/>
      </c>
      <c r="I522" s="34">
        <f>IFERROR(IF(ISNUMBER($A522),IF(AND(AH!$U$12=1,517+1=AH!$U$6),TODAY(),IF(AH!$U$5=1,INDEX('Live History'!$G$5:$G$3004,MATCH($A522,'Live History'!$G$5:$G$3004,1)),INDEX('AH History'!$C$5:$C$1380,$K522))),NA()),NA())</f>
        <v/>
      </c>
      <c r="J522" s="32">
        <f>IFERROR(IF(AND($F522&gt;0,$H522&gt;0,$A522-$G522&lt;=10,$A522-$I522&lt;=5,$G522&gt;0,$I522&gt;0),$F522*$H522,NA()),NA())</f>
        <v/>
      </c>
      <c r="K522" s="15">
        <f>IF($A522="","",IF(AH!$U$5=1,IFERROR(MATCH($A522,'Live History'!$A$5:$A$3004,0),0),AH!$U$7+517))</f>
        <v/>
      </c>
      <c r="L522" s="15">
        <f>IF(ISNUMBER(A522),TEXT(A522,"dd-mmm-yy"),"")</f>
        <v/>
      </c>
    </row>
    <row r="523">
      <c r="A523" s="14">
        <f>IF(OR(AH!$U$4=0,518+1&gt;AH!$U$6,AND(AH!$M$5="Bloomberg",AH!$U$5=0)),"",IFERROR(IF(AND(AH!$U$12=1,518+1=AH!$U$6),TODAY(),IF(AH!$U$5=1,INDEX('Live History'!$A$5:$A$3004,AH!$U$7+518),INDEX('AH History'!$A$5:$A$1380,AH!$U$7+518))),""))</f>
        <v/>
      </c>
      <c r="B523" s="33">
        <f>IFERROR(IF(AH!$U$11=1,NA(),$J523/$E523-1),NA())</f>
        <v/>
      </c>
      <c r="C523" s="269">
        <f>IFERROR(100*$E523/$E$5,NA())</f>
        <v/>
      </c>
      <c r="D523" s="269">
        <f>IFERROR(100*$J523/$J$5,NA())</f>
        <v/>
      </c>
      <c r="E523" s="32">
        <f>IFERROR(IF(AND(ISNUMBER($A523),N(IF(AND(AH!$U$12=1,518+1=AH!$U$6),IF(AH!$U$4=0,"unavailable",INDEX('Market Data'!$AN$5:$AN$66,AH!$U$4)),IF(AH!$U$5=1,INDEX('Live History'!$B$5:$B$3004,$K523),INDEX('AH History'!$D$5:$GG$1380,$K523,AH!$U$10))))&gt;0),IF(AND(AH!$U$12=1,518+1=AH!$U$6),IF(AH!$U$4=0,"unavailable",INDEX('Market Data'!$AN$5:$AN$66,AH!$U$4)),IF(AH!$U$5=1,INDEX('Live History'!$B$5:$B$3004,$K523),INDEX('AH History'!$D$5:$GG$1380,$K523,AH!$U$10))),NA()),NA())</f>
        <v/>
      </c>
      <c r="F523" s="32">
        <f>IFERROR(IF(ISNUMBER($A523),IF(AND(AH!$U$12=1,518+1=AH!$U$6),IF(AH!$U$4=0,"unavailable",INDEX('Market Data'!$AO$5:$AO$66,AH!$U$4)),IF(AH!$U$5=1,INDEX('Live History'!$E$5:$E$3004,MATCH($A523,'Live History'!$D$5:$D$3004,1)),INDEX('AH History'!$D$5:$GG$1380,$K523,AH!$U$10+1))),NA()),NA())</f>
        <v/>
      </c>
      <c r="G523" s="34">
        <f>IFERROR(IF(ISNUMBER($A523),IF(AND(AH!$U$12=1,518+1=AH!$U$6),IF(AH!$U$4=0,"unavailable",INDEX('Market Data'!$AK$5:$AK$66,AH!$U$4)),IF(AH!$U$5=1,INDEX('Live History'!$D$5:$D$3004,MATCH($A523,'Live History'!$D$5:$D$3004,1)),INDEX('AH History'!$D$5:$GG$1380,$K523,AH!$U$10+2))),NA()),NA())</f>
        <v/>
      </c>
      <c r="H523" s="266">
        <f>IFERROR(IF(ISNUMBER($A523),IF(AND(AH!$U$12=1,518+1=AH!$U$6),IF(AH!$U$4=0,"unavailable",INDEX('Market Data'!$AP$5:$AP$66,AH!$U$4)),IF(AH!$U$5=1,INDEX('Live History'!$H$5:$H$3004,MATCH($A523,'Live History'!$G$5:$G$3004,1)),INDEX('AH History'!$B$5:$B$1380,$K523))),NA()),NA())</f>
        <v/>
      </c>
      <c r="I523" s="34">
        <f>IFERROR(IF(ISNUMBER($A523),IF(AND(AH!$U$12=1,518+1=AH!$U$6),TODAY(),IF(AH!$U$5=1,INDEX('Live History'!$G$5:$G$3004,MATCH($A523,'Live History'!$G$5:$G$3004,1)),INDEX('AH History'!$C$5:$C$1380,$K523))),NA()),NA())</f>
        <v/>
      </c>
      <c r="J523" s="32">
        <f>IFERROR(IF(AND($F523&gt;0,$H523&gt;0,$A523-$G523&lt;=10,$A523-$I523&lt;=5,$G523&gt;0,$I523&gt;0),$F523*$H523,NA()),NA())</f>
        <v/>
      </c>
      <c r="K523" s="15">
        <f>IF($A523="","",IF(AH!$U$5=1,IFERROR(MATCH($A523,'Live History'!$A$5:$A$3004,0),0),AH!$U$7+518))</f>
        <v/>
      </c>
      <c r="L523" s="15">
        <f>IF(ISNUMBER(A523),TEXT(A523,"dd-mmm-yy"),"")</f>
        <v/>
      </c>
    </row>
    <row r="524">
      <c r="A524" s="14">
        <f>IF(OR(AH!$U$4=0,519+1&gt;AH!$U$6,AND(AH!$M$5="Bloomberg",AH!$U$5=0)),"",IFERROR(IF(AND(AH!$U$12=1,519+1=AH!$U$6),TODAY(),IF(AH!$U$5=1,INDEX('Live History'!$A$5:$A$3004,AH!$U$7+519),INDEX('AH History'!$A$5:$A$1380,AH!$U$7+519))),""))</f>
        <v/>
      </c>
      <c r="B524" s="33">
        <f>IFERROR(IF(AH!$U$11=1,NA(),$J524/$E524-1),NA())</f>
        <v/>
      </c>
      <c r="C524" s="269">
        <f>IFERROR(100*$E524/$E$5,NA())</f>
        <v/>
      </c>
      <c r="D524" s="269">
        <f>IFERROR(100*$J524/$J$5,NA())</f>
        <v/>
      </c>
      <c r="E524" s="32">
        <f>IFERROR(IF(AND(ISNUMBER($A524),N(IF(AND(AH!$U$12=1,519+1=AH!$U$6),IF(AH!$U$4=0,"unavailable",INDEX('Market Data'!$AN$5:$AN$66,AH!$U$4)),IF(AH!$U$5=1,INDEX('Live History'!$B$5:$B$3004,$K524),INDEX('AH History'!$D$5:$GG$1380,$K524,AH!$U$10))))&gt;0),IF(AND(AH!$U$12=1,519+1=AH!$U$6),IF(AH!$U$4=0,"unavailable",INDEX('Market Data'!$AN$5:$AN$66,AH!$U$4)),IF(AH!$U$5=1,INDEX('Live History'!$B$5:$B$3004,$K524),INDEX('AH History'!$D$5:$GG$1380,$K524,AH!$U$10))),NA()),NA())</f>
        <v/>
      </c>
      <c r="F524" s="32">
        <f>IFERROR(IF(ISNUMBER($A524),IF(AND(AH!$U$12=1,519+1=AH!$U$6),IF(AH!$U$4=0,"unavailable",INDEX('Market Data'!$AO$5:$AO$66,AH!$U$4)),IF(AH!$U$5=1,INDEX('Live History'!$E$5:$E$3004,MATCH($A524,'Live History'!$D$5:$D$3004,1)),INDEX('AH History'!$D$5:$GG$1380,$K524,AH!$U$10+1))),NA()),NA())</f>
        <v/>
      </c>
      <c r="G524" s="34">
        <f>IFERROR(IF(ISNUMBER($A524),IF(AND(AH!$U$12=1,519+1=AH!$U$6),IF(AH!$U$4=0,"unavailable",INDEX('Market Data'!$AK$5:$AK$66,AH!$U$4)),IF(AH!$U$5=1,INDEX('Live History'!$D$5:$D$3004,MATCH($A524,'Live History'!$D$5:$D$3004,1)),INDEX('AH History'!$D$5:$GG$1380,$K524,AH!$U$10+2))),NA()),NA())</f>
        <v/>
      </c>
      <c r="H524" s="266">
        <f>IFERROR(IF(ISNUMBER($A524),IF(AND(AH!$U$12=1,519+1=AH!$U$6),IF(AH!$U$4=0,"unavailable",INDEX('Market Data'!$AP$5:$AP$66,AH!$U$4)),IF(AH!$U$5=1,INDEX('Live History'!$H$5:$H$3004,MATCH($A524,'Live History'!$G$5:$G$3004,1)),INDEX('AH History'!$B$5:$B$1380,$K524))),NA()),NA())</f>
        <v/>
      </c>
      <c r="I524" s="34">
        <f>IFERROR(IF(ISNUMBER($A524),IF(AND(AH!$U$12=1,519+1=AH!$U$6),TODAY(),IF(AH!$U$5=1,INDEX('Live History'!$G$5:$G$3004,MATCH($A524,'Live History'!$G$5:$G$3004,1)),INDEX('AH History'!$C$5:$C$1380,$K524))),NA()),NA())</f>
        <v/>
      </c>
      <c r="J524" s="32">
        <f>IFERROR(IF(AND($F524&gt;0,$H524&gt;0,$A524-$G524&lt;=10,$A524-$I524&lt;=5,$G524&gt;0,$I524&gt;0),$F524*$H524,NA()),NA())</f>
        <v/>
      </c>
      <c r="K524" s="15">
        <f>IF($A524="","",IF(AH!$U$5=1,IFERROR(MATCH($A524,'Live History'!$A$5:$A$3004,0),0),AH!$U$7+519))</f>
        <v/>
      </c>
      <c r="L524" s="15">
        <f>IF(ISNUMBER(A524),TEXT(A524,"dd-mmm-yy"),"")</f>
        <v/>
      </c>
    </row>
    <row r="525">
      <c r="A525" s="14">
        <f>IF(OR(AH!$U$4=0,520+1&gt;AH!$U$6,AND(AH!$M$5="Bloomberg",AH!$U$5=0)),"",IFERROR(IF(AND(AH!$U$12=1,520+1=AH!$U$6),TODAY(),IF(AH!$U$5=1,INDEX('Live History'!$A$5:$A$3004,AH!$U$7+520),INDEX('AH History'!$A$5:$A$1380,AH!$U$7+520))),""))</f>
        <v/>
      </c>
      <c r="B525" s="33">
        <f>IFERROR(IF(AH!$U$11=1,NA(),$J525/$E525-1),NA())</f>
        <v/>
      </c>
      <c r="C525" s="269">
        <f>IFERROR(100*$E525/$E$5,NA())</f>
        <v/>
      </c>
      <c r="D525" s="269">
        <f>IFERROR(100*$J525/$J$5,NA())</f>
        <v/>
      </c>
      <c r="E525" s="32">
        <f>IFERROR(IF(AND(ISNUMBER($A525),N(IF(AND(AH!$U$12=1,520+1=AH!$U$6),IF(AH!$U$4=0,"unavailable",INDEX('Market Data'!$AN$5:$AN$66,AH!$U$4)),IF(AH!$U$5=1,INDEX('Live History'!$B$5:$B$3004,$K525),INDEX('AH History'!$D$5:$GG$1380,$K525,AH!$U$10))))&gt;0),IF(AND(AH!$U$12=1,520+1=AH!$U$6),IF(AH!$U$4=0,"unavailable",INDEX('Market Data'!$AN$5:$AN$66,AH!$U$4)),IF(AH!$U$5=1,INDEX('Live History'!$B$5:$B$3004,$K525),INDEX('AH History'!$D$5:$GG$1380,$K525,AH!$U$10))),NA()),NA())</f>
        <v/>
      </c>
      <c r="F525" s="32">
        <f>IFERROR(IF(ISNUMBER($A525),IF(AND(AH!$U$12=1,520+1=AH!$U$6),IF(AH!$U$4=0,"unavailable",INDEX('Market Data'!$AO$5:$AO$66,AH!$U$4)),IF(AH!$U$5=1,INDEX('Live History'!$E$5:$E$3004,MATCH($A525,'Live History'!$D$5:$D$3004,1)),INDEX('AH History'!$D$5:$GG$1380,$K525,AH!$U$10+1))),NA()),NA())</f>
        <v/>
      </c>
      <c r="G525" s="34">
        <f>IFERROR(IF(ISNUMBER($A525),IF(AND(AH!$U$12=1,520+1=AH!$U$6),IF(AH!$U$4=0,"unavailable",INDEX('Market Data'!$AK$5:$AK$66,AH!$U$4)),IF(AH!$U$5=1,INDEX('Live History'!$D$5:$D$3004,MATCH($A525,'Live History'!$D$5:$D$3004,1)),INDEX('AH History'!$D$5:$GG$1380,$K525,AH!$U$10+2))),NA()),NA())</f>
        <v/>
      </c>
      <c r="H525" s="266">
        <f>IFERROR(IF(ISNUMBER($A525),IF(AND(AH!$U$12=1,520+1=AH!$U$6),IF(AH!$U$4=0,"unavailable",INDEX('Market Data'!$AP$5:$AP$66,AH!$U$4)),IF(AH!$U$5=1,INDEX('Live History'!$H$5:$H$3004,MATCH($A525,'Live History'!$G$5:$G$3004,1)),INDEX('AH History'!$B$5:$B$1380,$K525))),NA()),NA())</f>
        <v/>
      </c>
      <c r="I525" s="34">
        <f>IFERROR(IF(ISNUMBER($A525),IF(AND(AH!$U$12=1,520+1=AH!$U$6),TODAY(),IF(AH!$U$5=1,INDEX('Live History'!$G$5:$G$3004,MATCH($A525,'Live History'!$G$5:$G$3004,1)),INDEX('AH History'!$C$5:$C$1380,$K525))),NA()),NA())</f>
        <v/>
      </c>
      <c r="J525" s="32">
        <f>IFERROR(IF(AND($F525&gt;0,$H525&gt;0,$A525-$G525&lt;=10,$A525-$I525&lt;=5,$G525&gt;0,$I525&gt;0),$F525*$H525,NA()),NA())</f>
        <v/>
      </c>
      <c r="K525" s="15">
        <f>IF($A525="","",IF(AH!$U$5=1,IFERROR(MATCH($A525,'Live History'!$A$5:$A$3004,0),0),AH!$U$7+520))</f>
        <v/>
      </c>
      <c r="L525" s="15">
        <f>IF(ISNUMBER(A525),TEXT(A525,"dd-mmm-yy"),"")</f>
        <v/>
      </c>
    </row>
    <row r="526">
      <c r="A526" s="14">
        <f>IF(OR(AH!$U$4=0,521+1&gt;AH!$U$6,AND(AH!$M$5="Bloomberg",AH!$U$5=0)),"",IFERROR(IF(AND(AH!$U$12=1,521+1=AH!$U$6),TODAY(),IF(AH!$U$5=1,INDEX('Live History'!$A$5:$A$3004,AH!$U$7+521),INDEX('AH History'!$A$5:$A$1380,AH!$U$7+521))),""))</f>
        <v/>
      </c>
      <c r="B526" s="33">
        <f>IFERROR(IF(AH!$U$11=1,NA(),$J526/$E526-1),NA())</f>
        <v/>
      </c>
      <c r="C526" s="269">
        <f>IFERROR(100*$E526/$E$5,NA())</f>
        <v/>
      </c>
      <c r="D526" s="269">
        <f>IFERROR(100*$J526/$J$5,NA())</f>
        <v/>
      </c>
      <c r="E526" s="32">
        <f>IFERROR(IF(AND(ISNUMBER($A526),N(IF(AND(AH!$U$12=1,521+1=AH!$U$6),IF(AH!$U$4=0,"unavailable",INDEX('Market Data'!$AN$5:$AN$66,AH!$U$4)),IF(AH!$U$5=1,INDEX('Live History'!$B$5:$B$3004,$K526),INDEX('AH History'!$D$5:$GG$1380,$K526,AH!$U$10))))&gt;0),IF(AND(AH!$U$12=1,521+1=AH!$U$6),IF(AH!$U$4=0,"unavailable",INDEX('Market Data'!$AN$5:$AN$66,AH!$U$4)),IF(AH!$U$5=1,INDEX('Live History'!$B$5:$B$3004,$K526),INDEX('AH History'!$D$5:$GG$1380,$K526,AH!$U$10))),NA()),NA())</f>
        <v/>
      </c>
      <c r="F526" s="32">
        <f>IFERROR(IF(ISNUMBER($A526),IF(AND(AH!$U$12=1,521+1=AH!$U$6),IF(AH!$U$4=0,"unavailable",INDEX('Market Data'!$AO$5:$AO$66,AH!$U$4)),IF(AH!$U$5=1,INDEX('Live History'!$E$5:$E$3004,MATCH($A526,'Live History'!$D$5:$D$3004,1)),INDEX('AH History'!$D$5:$GG$1380,$K526,AH!$U$10+1))),NA()),NA())</f>
        <v/>
      </c>
      <c r="G526" s="34">
        <f>IFERROR(IF(ISNUMBER($A526),IF(AND(AH!$U$12=1,521+1=AH!$U$6),IF(AH!$U$4=0,"unavailable",INDEX('Market Data'!$AK$5:$AK$66,AH!$U$4)),IF(AH!$U$5=1,INDEX('Live History'!$D$5:$D$3004,MATCH($A526,'Live History'!$D$5:$D$3004,1)),INDEX('AH History'!$D$5:$GG$1380,$K526,AH!$U$10+2))),NA()),NA())</f>
        <v/>
      </c>
      <c r="H526" s="266">
        <f>IFERROR(IF(ISNUMBER($A526),IF(AND(AH!$U$12=1,521+1=AH!$U$6),IF(AH!$U$4=0,"unavailable",INDEX('Market Data'!$AP$5:$AP$66,AH!$U$4)),IF(AH!$U$5=1,INDEX('Live History'!$H$5:$H$3004,MATCH($A526,'Live History'!$G$5:$G$3004,1)),INDEX('AH History'!$B$5:$B$1380,$K526))),NA()),NA())</f>
        <v/>
      </c>
      <c r="I526" s="34">
        <f>IFERROR(IF(ISNUMBER($A526),IF(AND(AH!$U$12=1,521+1=AH!$U$6),TODAY(),IF(AH!$U$5=1,INDEX('Live History'!$G$5:$G$3004,MATCH($A526,'Live History'!$G$5:$G$3004,1)),INDEX('AH History'!$C$5:$C$1380,$K526))),NA()),NA())</f>
        <v/>
      </c>
      <c r="J526" s="32">
        <f>IFERROR(IF(AND($F526&gt;0,$H526&gt;0,$A526-$G526&lt;=10,$A526-$I526&lt;=5,$G526&gt;0,$I526&gt;0),$F526*$H526,NA()),NA())</f>
        <v/>
      </c>
      <c r="K526" s="15">
        <f>IF($A526="","",IF(AH!$U$5=1,IFERROR(MATCH($A526,'Live History'!$A$5:$A$3004,0),0),AH!$U$7+521))</f>
        <v/>
      </c>
      <c r="L526" s="15">
        <f>IF(ISNUMBER(A526),TEXT(A526,"dd-mmm-yy"),"")</f>
        <v/>
      </c>
    </row>
    <row r="527">
      <c r="A527" s="14">
        <f>IF(OR(AH!$U$4=0,522+1&gt;AH!$U$6,AND(AH!$M$5="Bloomberg",AH!$U$5=0)),"",IFERROR(IF(AND(AH!$U$12=1,522+1=AH!$U$6),TODAY(),IF(AH!$U$5=1,INDEX('Live History'!$A$5:$A$3004,AH!$U$7+522),INDEX('AH History'!$A$5:$A$1380,AH!$U$7+522))),""))</f>
        <v/>
      </c>
      <c r="B527" s="33">
        <f>IFERROR(IF(AH!$U$11=1,NA(),$J527/$E527-1),NA())</f>
        <v/>
      </c>
      <c r="C527" s="269">
        <f>IFERROR(100*$E527/$E$5,NA())</f>
        <v/>
      </c>
      <c r="D527" s="269">
        <f>IFERROR(100*$J527/$J$5,NA())</f>
        <v/>
      </c>
      <c r="E527" s="32">
        <f>IFERROR(IF(AND(ISNUMBER($A527),N(IF(AND(AH!$U$12=1,522+1=AH!$U$6),IF(AH!$U$4=0,"unavailable",INDEX('Market Data'!$AN$5:$AN$66,AH!$U$4)),IF(AH!$U$5=1,INDEX('Live History'!$B$5:$B$3004,$K527),INDEX('AH History'!$D$5:$GG$1380,$K527,AH!$U$10))))&gt;0),IF(AND(AH!$U$12=1,522+1=AH!$U$6),IF(AH!$U$4=0,"unavailable",INDEX('Market Data'!$AN$5:$AN$66,AH!$U$4)),IF(AH!$U$5=1,INDEX('Live History'!$B$5:$B$3004,$K527),INDEX('AH History'!$D$5:$GG$1380,$K527,AH!$U$10))),NA()),NA())</f>
        <v/>
      </c>
      <c r="F527" s="32">
        <f>IFERROR(IF(ISNUMBER($A527),IF(AND(AH!$U$12=1,522+1=AH!$U$6),IF(AH!$U$4=0,"unavailable",INDEX('Market Data'!$AO$5:$AO$66,AH!$U$4)),IF(AH!$U$5=1,INDEX('Live History'!$E$5:$E$3004,MATCH($A527,'Live History'!$D$5:$D$3004,1)),INDEX('AH History'!$D$5:$GG$1380,$K527,AH!$U$10+1))),NA()),NA())</f>
        <v/>
      </c>
      <c r="G527" s="34">
        <f>IFERROR(IF(ISNUMBER($A527),IF(AND(AH!$U$12=1,522+1=AH!$U$6),IF(AH!$U$4=0,"unavailable",INDEX('Market Data'!$AK$5:$AK$66,AH!$U$4)),IF(AH!$U$5=1,INDEX('Live History'!$D$5:$D$3004,MATCH($A527,'Live History'!$D$5:$D$3004,1)),INDEX('AH History'!$D$5:$GG$1380,$K527,AH!$U$10+2))),NA()),NA())</f>
        <v/>
      </c>
      <c r="H527" s="266">
        <f>IFERROR(IF(ISNUMBER($A527),IF(AND(AH!$U$12=1,522+1=AH!$U$6),IF(AH!$U$4=0,"unavailable",INDEX('Market Data'!$AP$5:$AP$66,AH!$U$4)),IF(AH!$U$5=1,INDEX('Live History'!$H$5:$H$3004,MATCH($A527,'Live History'!$G$5:$G$3004,1)),INDEX('AH History'!$B$5:$B$1380,$K527))),NA()),NA())</f>
        <v/>
      </c>
      <c r="I527" s="34">
        <f>IFERROR(IF(ISNUMBER($A527),IF(AND(AH!$U$12=1,522+1=AH!$U$6),TODAY(),IF(AH!$U$5=1,INDEX('Live History'!$G$5:$G$3004,MATCH($A527,'Live History'!$G$5:$G$3004,1)),INDEX('AH History'!$C$5:$C$1380,$K527))),NA()),NA())</f>
        <v/>
      </c>
      <c r="J527" s="32">
        <f>IFERROR(IF(AND($F527&gt;0,$H527&gt;0,$A527-$G527&lt;=10,$A527-$I527&lt;=5,$G527&gt;0,$I527&gt;0),$F527*$H527,NA()),NA())</f>
        <v/>
      </c>
      <c r="K527" s="15">
        <f>IF($A527="","",IF(AH!$U$5=1,IFERROR(MATCH($A527,'Live History'!$A$5:$A$3004,0),0),AH!$U$7+522))</f>
        <v/>
      </c>
      <c r="L527" s="15">
        <f>IF(ISNUMBER(A527),TEXT(A527,"dd-mmm-yy"),"")</f>
        <v/>
      </c>
    </row>
    <row r="528">
      <c r="A528" s="14">
        <f>IF(OR(AH!$U$4=0,523+1&gt;AH!$U$6,AND(AH!$M$5="Bloomberg",AH!$U$5=0)),"",IFERROR(IF(AND(AH!$U$12=1,523+1=AH!$U$6),TODAY(),IF(AH!$U$5=1,INDEX('Live History'!$A$5:$A$3004,AH!$U$7+523),INDEX('AH History'!$A$5:$A$1380,AH!$U$7+523))),""))</f>
        <v/>
      </c>
      <c r="B528" s="33">
        <f>IFERROR(IF(AH!$U$11=1,NA(),$J528/$E528-1),NA())</f>
        <v/>
      </c>
      <c r="C528" s="269">
        <f>IFERROR(100*$E528/$E$5,NA())</f>
        <v/>
      </c>
      <c r="D528" s="269">
        <f>IFERROR(100*$J528/$J$5,NA())</f>
        <v/>
      </c>
      <c r="E528" s="32">
        <f>IFERROR(IF(AND(ISNUMBER($A528),N(IF(AND(AH!$U$12=1,523+1=AH!$U$6),IF(AH!$U$4=0,"unavailable",INDEX('Market Data'!$AN$5:$AN$66,AH!$U$4)),IF(AH!$U$5=1,INDEX('Live History'!$B$5:$B$3004,$K528),INDEX('AH History'!$D$5:$GG$1380,$K528,AH!$U$10))))&gt;0),IF(AND(AH!$U$12=1,523+1=AH!$U$6),IF(AH!$U$4=0,"unavailable",INDEX('Market Data'!$AN$5:$AN$66,AH!$U$4)),IF(AH!$U$5=1,INDEX('Live History'!$B$5:$B$3004,$K528),INDEX('AH History'!$D$5:$GG$1380,$K528,AH!$U$10))),NA()),NA())</f>
        <v/>
      </c>
      <c r="F528" s="32">
        <f>IFERROR(IF(ISNUMBER($A528),IF(AND(AH!$U$12=1,523+1=AH!$U$6),IF(AH!$U$4=0,"unavailable",INDEX('Market Data'!$AO$5:$AO$66,AH!$U$4)),IF(AH!$U$5=1,INDEX('Live History'!$E$5:$E$3004,MATCH($A528,'Live History'!$D$5:$D$3004,1)),INDEX('AH History'!$D$5:$GG$1380,$K528,AH!$U$10+1))),NA()),NA())</f>
        <v/>
      </c>
      <c r="G528" s="34">
        <f>IFERROR(IF(ISNUMBER($A528),IF(AND(AH!$U$12=1,523+1=AH!$U$6),IF(AH!$U$4=0,"unavailable",INDEX('Market Data'!$AK$5:$AK$66,AH!$U$4)),IF(AH!$U$5=1,INDEX('Live History'!$D$5:$D$3004,MATCH($A528,'Live History'!$D$5:$D$3004,1)),INDEX('AH History'!$D$5:$GG$1380,$K528,AH!$U$10+2))),NA()),NA())</f>
        <v/>
      </c>
      <c r="H528" s="266">
        <f>IFERROR(IF(ISNUMBER($A528),IF(AND(AH!$U$12=1,523+1=AH!$U$6),IF(AH!$U$4=0,"unavailable",INDEX('Market Data'!$AP$5:$AP$66,AH!$U$4)),IF(AH!$U$5=1,INDEX('Live History'!$H$5:$H$3004,MATCH($A528,'Live History'!$G$5:$G$3004,1)),INDEX('AH History'!$B$5:$B$1380,$K528))),NA()),NA())</f>
        <v/>
      </c>
      <c r="I528" s="34">
        <f>IFERROR(IF(ISNUMBER($A528),IF(AND(AH!$U$12=1,523+1=AH!$U$6),TODAY(),IF(AH!$U$5=1,INDEX('Live History'!$G$5:$G$3004,MATCH($A528,'Live History'!$G$5:$G$3004,1)),INDEX('AH History'!$C$5:$C$1380,$K528))),NA()),NA())</f>
        <v/>
      </c>
      <c r="J528" s="32">
        <f>IFERROR(IF(AND($F528&gt;0,$H528&gt;0,$A528-$G528&lt;=10,$A528-$I528&lt;=5,$G528&gt;0,$I528&gt;0),$F528*$H528,NA()),NA())</f>
        <v/>
      </c>
      <c r="K528" s="15">
        <f>IF($A528="","",IF(AH!$U$5=1,IFERROR(MATCH($A528,'Live History'!$A$5:$A$3004,0),0),AH!$U$7+523))</f>
        <v/>
      </c>
      <c r="L528" s="15">
        <f>IF(ISNUMBER(A528),TEXT(A528,"dd-mmm-yy"),"")</f>
        <v/>
      </c>
    </row>
    <row r="529">
      <c r="A529" s="14">
        <f>IF(OR(AH!$U$4=0,524+1&gt;AH!$U$6,AND(AH!$M$5="Bloomberg",AH!$U$5=0)),"",IFERROR(IF(AND(AH!$U$12=1,524+1=AH!$U$6),TODAY(),IF(AH!$U$5=1,INDEX('Live History'!$A$5:$A$3004,AH!$U$7+524),INDEX('AH History'!$A$5:$A$1380,AH!$U$7+524))),""))</f>
        <v/>
      </c>
      <c r="B529" s="33">
        <f>IFERROR(IF(AH!$U$11=1,NA(),$J529/$E529-1),NA())</f>
        <v/>
      </c>
      <c r="C529" s="269">
        <f>IFERROR(100*$E529/$E$5,NA())</f>
        <v/>
      </c>
      <c r="D529" s="269">
        <f>IFERROR(100*$J529/$J$5,NA())</f>
        <v/>
      </c>
      <c r="E529" s="32">
        <f>IFERROR(IF(AND(ISNUMBER($A529),N(IF(AND(AH!$U$12=1,524+1=AH!$U$6),IF(AH!$U$4=0,"unavailable",INDEX('Market Data'!$AN$5:$AN$66,AH!$U$4)),IF(AH!$U$5=1,INDEX('Live History'!$B$5:$B$3004,$K529),INDEX('AH History'!$D$5:$GG$1380,$K529,AH!$U$10))))&gt;0),IF(AND(AH!$U$12=1,524+1=AH!$U$6),IF(AH!$U$4=0,"unavailable",INDEX('Market Data'!$AN$5:$AN$66,AH!$U$4)),IF(AH!$U$5=1,INDEX('Live History'!$B$5:$B$3004,$K529),INDEX('AH History'!$D$5:$GG$1380,$K529,AH!$U$10))),NA()),NA())</f>
        <v/>
      </c>
      <c r="F529" s="32">
        <f>IFERROR(IF(ISNUMBER($A529),IF(AND(AH!$U$12=1,524+1=AH!$U$6),IF(AH!$U$4=0,"unavailable",INDEX('Market Data'!$AO$5:$AO$66,AH!$U$4)),IF(AH!$U$5=1,INDEX('Live History'!$E$5:$E$3004,MATCH($A529,'Live History'!$D$5:$D$3004,1)),INDEX('AH History'!$D$5:$GG$1380,$K529,AH!$U$10+1))),NA()),NA())</f>
        <v/>
      </c>
      <c r="G529" s="34">
        <f>IFERROR(IF(ISNUMBER($A529),IF(AND(AH!$U$12=1,524+1=AH!$U$6),IF(AH!$U$4=0,"unavailable",INDEX('Market Data'!$AK$5:$AK$66,AH!$U$4)),IF(AH!$U$5=1,INDEX('Live History'!$D$5:$D$3004,MATCH($A529,'Live History'!$D$5:$D$3004,1)),INDEX('AH History'!$D$5:$GG$1380,$K529,AH!$U$10+2))),NA()),NA())</f>
        <v/>
      </c>
      <c r="H529" s="266">
        <f>IFERROR(IF(ISNUMBER($A529),IF(AND(AH!$U$12=1,524+1=AH!$U$6),IF(AH!$U$4=0,"unavailable",INDEX('Market Data'!$AP$5:$AP$66,AH!$U$4)),IF(AH!$U$5=1,INDEX('Live History'!$H$5:$H$3004,MATCH($A529,'Live History'!$G$5:$G$3004,1)),INDEX('AH History'!$B$5:$B$1380,$K529))),NA()),NA())</f>
        <v/>
      </c>
      <c r="I529" s="34">
        <f>IFERROR(IF(ISNUMBER($A529),IF(AND(AH!$U$12=1,524+1=AH!$U$6),TODAY(),IF(AH!$U$5=1,INDEX('Live History'!$G$5:$G$3004,MATCH($A529,'Live History'!$G$5:$G$3004,1)),INDEX('AH History'!$C$5:$C$1380,$K529))),NA()),NA())</f>
        <v/>
      </c>
      <c r="J529" s="32">
        <f>IFERROR(IF(AND($F529&gt;0,$H529&gt;0,$A529-$G529&lt;=10,$A529-$I529&lt;=5,$G529&gt;0,$I529&gt;0),$F529*$H529,NA()),NA())</f>
        <v/>
      </c>
      <c r="K529" s="15">
        <f>IF($A529="","",IF(AH!$U$5=1,IFERROR(MATCH($A529,'Live History'!$A$5:$A$3004,0),0),AH!$U$7+524))</f>
        <v/>
      </c>
      <c r="L529" s="15">
        <f>IF(ISNUMBER(A529),TEXT(A529,"dd-mmm-yy"),"")</f>
        <v/>
      </c>
    </row>
    <row r="530">
      <c r="A530" s="14">
        <f>IF(OR(AH!$U$4=0,525+1&gt;AH!$U$6,AND(AH!$M$5="Bloomberg",AH!$U$5=0)),"",IFERROR(IF(AND(AH!$U$12=1,525+1=AH!$U$6),TODAY(),IF(AH!$U$5=1,INDEX('Live History'!$A$5:$A$3004,AH!$U$7+525),INDEX('AH History'!$A$5:$A$1380,AH!$U$7+525))),""))</f>
        <v/>
      </c>
      <c r="B530" s="33">
        <f>IFERROR(IF(AH!$U$11=1,NA(),$J530/$E530-1),NA())</f>
        <v/>
      </c>
      <c r="C530" s="269">
        <f>IFERROR(100*$E530/$E$5,NA())</f>
        <v/>
      </c>
      <c r="D530" s="269">
        <f>IFERROR(100*$J530/$J$5,NA())</f>
        <v/>
      </c>
      <c r="E530" s="32">
        <f>IFERROR(IF(AND(ISNUMBER($A530),N(IF(AND(AH!$U$12=1,525+1=AH!$U$6),IF(AH!$U$4=0,"unavailable",INDEX('Market Data'!$AN$5:$AN$66,AH!$U$4)),IF(AH!$U$5=1,INDEX('Live History'!$B$5:$B$3004,$K530),INDEX('AH History'!$D$5:$GG$1380,$K530,AH!$U$10))))&gt;0),IF(AND(AH!$U$12=1,525+1=AH!$U$6),IF(AH!$U$4=0,"unavailable",INDEX('Market Data'!$AN$5:$AN$66,AH!$U$4)),IF(AH!$U$5=1,INDEX('Live History'!$B$5:$B$3004,$K530),INDEX('AH History'!$D$5:$GG$1380,$K530,AH!$U$10))),NA()),NA())</f>
        <v/>
      </c>
      <c r="F530" s="32">
        <f>IFERROR(IF(ISNUMBER($A530),IF(AND(AH!$U$12=1,525+1=AH!$U$6),IF(AH!$U$4=0,"unavailable",INDEX('Market Data'!$AO$5:$AO$66,AH!$U$4)),IF(AH!$U$5=1,INDEX('Live History'!$E$5:$E$3004,MATCH($A530,'Live History'!$D$5:$D$3004,1)),INDEX('AH History'!$D$5:$GG$1380,$K530,AH!$U$10+1))),NA()),NA())</f>
        <v/>
      </c>
      <c r="G530" s="34">
        <f>IFERROR(IF(ISNUMBER($A530),IF(AND(AH!$U$12=1,525+1=AH!$U$6),IF(AH!$U$4=0,"unavailable",INDEX('Market Data'!$AK$5:$AK$66,AH!$U$4)),IF(AH!$U$5=1,INDEX('Live History'!$D$5:$D$3004,MATCH($A530,'Live History'!$D$5:$D$3004,1)),INDEX('AH History'!$D$5:$GG$1380,$K530,AH!$U$10+2))),NA()),NA())</f>
        <v/>
      </c>
      <c r="H530" s="266">
        <f>IFERROR(IF(ISNUMBER($A530),IF(AND(AH!$U$12=1,525+1=AH!$U$6),IF(AH!$U$4=0,"unavailable",INDEX('Market Data'!$AP$5:$AP$66,AH!$U$4)),IF(AH!$U$5=1,INDEX('Live History'!$H$5:$H$3004,MATCH($A530,'Live History'!$G$5:$G$3004,1)),INDEX('AH History'!$B$5:$B$1380,$K530))),NA()),NA())</f>
        <v/>
      </c>
      <c r="I530" s="34">
        <f>IFERROR(IF(ISNUMBER($A530),IF(AND(AH!$U$12=1,525+1=AH!$U$6),TODAY(),IF(AH!$U$5=1,INDEX('Live History'!$G$5:$G$3004,MATCH($A530,'Live History'!$G$5:$G$3004,1)),INDEX('AH History'!$C$5:$C$1380,$K530))),NA()),NA())</f>
        <v/>
      </c>
      <c r="J530" s="32">
        <f>IFERROR(IF(AND($F530&gt;0,$H530&gt;0,$A530-$G530&lt;=10,$A530-$I530&lt;=5,$G530&gt;0,$I530&gt;0),$F530*$H530,NA()),NA())</f>
        <v/>
      </c>
      <c r="K530" s="15">
        <f>IF($A530="","",IF(AH!$U$5=1,IFERROR(MATCH($A530,'Live History'!$A$5:$A$3004,0),0),AH!$U$7+525))</f>
        <v/>
      </c>
      <c r="L530" s="15">
        <f>IF(ISNUMBER(A530),TEXT(A530,"dd-mmm-yy"),"")</f>
        <v/>
      </c>
    </row>
    <row r="531">
      <c r="A531" s="14">
        <f>IF(OR(AH!$U$4=0,526+1&gt;AH!$U$6,AND(AH!$M$5="Bloomberg",AH!$U$5=0)),"",IFERROR(IF(AND(AH!$U$12=1,526+1=AH!$U$6),TODAY(),IF(AH!$U$5=1,INDEX('Live History'!$A$5:$A$3004,AH!$U$7+526),INDEX('AH History'!$A$5:$A$1380,AH!$U$7+526))),""))</f>
        <v/>
      </c>
      <c r="B531" s="33">
        <f>IFERROR(IF(AH!$U$11=1,NA(),$J531/$E531-1),NA())</f>
        <v/>
      </c>
      <c r="C531" s="269">
        <f>IFERROR(100*$E531/$E$5,NA())</f>
        <v/>
      </c>
      <c r="D531" s="269">
        <f>IFERROR(100*$J531/$J$5,NA())</f>
        <v/>
      </c>
      <c r="E531" s="32">
        <f>IFERROR(IF(AND(ISNUMBER($A531),N(IF(AND(AH!$U$12=1,526+1=AH!$U$6),IF(AH!$U$4=0,"unavailable",INDEX('Market Data'!$AN$5:$AN$66,AH!$U$4)),IF(AH!$U$5=1,INDEX('Live History'!$B$5:$B$3004,$K531),INDEX('AH History'!$D$5:$GG$1380,$K531,AH!$U$10))))&gt;0),IF(AND(AH!$U$12=1,526+1=AH!$U$6),IF(AH!$U$4=0,"unavailable",INDEX('Market Data'!$AN$5:$AN$66,AH!$U$4)),IF(AH!$U$5=1,INDEX('Live History'!$B$5:$B$3004,$K531),INDEX('AH History'!$D$5:$GG$1380,$K531,AH!$U$10))),NA()),NA())</f>
        <v/>
      </c>
      <c r="F531" s="32">
        <f>IFERROR(IF(ISNUMBER($A531),IF(AND(AH!$U$12=1,526+1=AH!$U$6),IF(AH!$U$4=0,"unavailable",INDEX('Market Data'!$AO$5:$AO$66,AH!$U$4)),IF(AH!$U$5=1,INDEX('Live History'!$E$5:$E$3004,MATCH($A531,'Live History'!$D$5:$D$3004,1)),INDEX('AH History'!$D$5:$GG$1380,$K531,AH!$U$10+1))),NA()),NA())</f>
        <v/>
      </c>
      <c r="G531" s="34">
        <f>IFERROR(IF(ISNUMBER($A531),IF(AND(AH!$U$12=1,526+1=AH!$U$6),IF(AH!$U$4=0,"unavailable",INDEX('Market Data'!$AK$5:$AK$66,AH!$U$4)),IF(AH!$U$5=1,INDEX('Live History'!$D$5:$D$3004,MATCH($A531,'Live History'!$D$5:$D$3004,1)),INDEX('AH History'!$D$5:$GG$1380,$K531,AH!$U$10+2))),NA()),NA())</f>
        <v/>
      </c>
      <c r="H531" s="266">
        <f>IFERROR(IF(ISNUMBER($A531),IF(AND(AH!$U$12=1,526+1=AH!$U$6),IF(AH!$U$4=0,"unavailable",INDEX('Market Data'!$AP$5:$AP$66,AH!$U$4)),IF(AH!$U$5=1,INDEX('Live History'!$H$5:$H$3004,MATCH($A531,'Live History'!$G$5:$G$3004,1)),INDEX('AH History'!$B$5:$B$1380,$K531))),NA()),NA())</f>
        <v/>
      </c>
      <c r="I531" s="34">
        <f>IFERROR(IF(ISNUMBER($A531),IF(AND(AH!$U$12=1,526+1=AH!$U$6),TODAY(),IF(AH!$U$5=1,INDEX('Live History'!$G$5:$G$3004,MATCH($A531,'Live History'!$G$5:$G$3004,1)),INDEX('AH History'!$C$5:$C$1380,$K531))),NA()),NA())</f>
        <v/>
      </c>
      <c r="J531" s="32">
        <f>IFERROR(IF(AND($F531&gt;0,$H531&gt;0,$A531-$G531&lt;=10,$A531-$I531&lt;=5,$G531&gt;0,$I531&gt;0),$F531*$H531,NA()),NA())</f>
        <v/>
      </c>
      <c r="K531" s="15">
        <f>IF($A531="","",IF(AH!$U$5=1,IFERROR(MATCH($A531,'Live History'!$A$5:$A$3004,0),0),AH!$U$7+526))</f>
        <v/>
      </c>
      <c r="L531" s="15">
        <f>IF(ISNUMBER(A531),TEXT(A531,"dd-mmm-yy"),"")</f>
        <v/>
      </c>
    </row>
    <row r="532">
      <c r="A532" s="14">
        <f>IF(OR(AH!$U$4=0,527+1&gt;AH!$U$6,AND(AH!$M$5="Bloomberg",AH!$U$5=0)),"",IFERROR(IF(AND(AH!$U$12=1,527+1=AH!$U$6),TODAY(),IF(AH!$U$5=1,INDEX('Live History'!$A$5:$A$3004,AH!$U$7+527),INDEX('AH History'!$A$5:$A$1380,AH!$U$7+527))),""))</f>
        <v/>
      </c>
      <c r="B532" s="33">
        <f>IFERROR(IF(AH!$U$11=1,NA(),$J532/$E532-1),NA())</f>
        <v/>
      </c>
      <c r="C532" s="269">
        <f>IFERROR(100*$E532/$E$5,NA())</f>
        <v/>
      </c>
      <c r="D532" s="269">
        <f>IFERROR(100*$J532/$J$5,NA())</f>
        <v/>
      </c>
      <c r="E532" s="32">
        <f>IFERROR(IF(AND(ISNUMBER($A532),N(IF(AND(AH!$U$12=1,527+1=AH!$U$6),IF(AH!$U$4=0,"unavailable",INDEX('Market Data'!$AN$5:$AN$66,AH!$U$4)),IF(AH!$U$5=1,INDEX('Live History'!$B$5:$B$3004,$K532),INDEX('AH History'!$D$5:$GG$1380,$K532,AH!$U$10))))&gt;0),IF(AND(AH!$U$12=1,527+1=AH!$U$6),IF(AH!$U$4=0,"unavailable",INDEX('Market Data'!$AN$5:$AN$66,AH!$U$4)),IF(AH!$U$5=1,INDEX('Live History'!$B$5:$B$3004,$K532),INDEX('AH History'!$D$5:$GG$1380,$K532,AH!$U$10))),NA()),NA())</f>
        <v/>
      </c>
      <c r="F532" s="32">
        <f>IFERROR(IF(ISNUMBER($A532),IF(AND(AH!$U$12=1,527+1=AH!$U$6),IF(AH!$U$4=0,"unavailable",INDEX('Market Data'!$AO$5:$AO$66,AH!$U$4)),IF(AH!$U$5=1,INDEX('Live History'!$E$5:$E$3004,MATCH($A532,'Live History'!$D$5:$D$3004,1)),INDEX('AH History'!$D$5:$GG$1380,$K532,AH!$U$10+1))),NA()),NA())</f>
        <v/>
      </c>
      <c r="G532" s="34">
        <f>IFERROR(IF(ISNUMBER($A532),IF(AND(AH!$U$12=1,527+1=AH!$U$6),IF(AH!$U$4=0,"unavailable",INDEX('Market Data'!$AK$5:$AK$66,AH!$U$4)),IF(AH!$U$5=1,INDEX('Live History'!$D$5:$D$3004,MATCH($A532,'Live History'!$D$5:$D$3004,1)),INDEX('AH History'!$D$5:$GG$1380,$K532,AH!$U$10+2))),NA()),NA())</f>
        <v/>
      </c>
      <c r="H532" s="266">
        <f>IFERROR(IF(ISNUMBER($A532),IF(AND(AH!$U$12=1,527+1=AH!$U$6),IF(AH!$U$4=0,"unavailable",INDEX('Market Data'!$AP$5:$AP$66,AH!$U$4)),IF(AH!$U$5=1,INDEX('Live History'!$H$5:$H$3004,MATCH($A532,'Live History'!$G$5:$G$3004,1)),INDEX('AH History'!$B$5:$B$1380,$K532))),NA()),NA())</f>
        <v/>
      </c>
      <c r="I532" s="34">
        <f>IFERROR(IF(ISNUMBER($A532),IF(AND(AH!$U$12=1,527+1=AH!$U$6),TODAY(),IF(AH!$U$5=1,INDEX('Live History'!$G$5:$G$3004,MATCH($A532,'Live History'!$G$5:$G$3004,1)),INDEX('AH History'!$C$5:$C$1380,$K532))),NA()),NA())</f>
        <v/>
      </c>
      <c r="J532" s="32">
        <f>IFERROR(IF(AND($F532&gt;0,$H532&gt;0,$A532-$G532&lt;=10,$A532-$I532&lt;=5,$G532&gt;0,$I532&gt;0),$F532*$H532,NA()),NA())</f>
        <v/>
      </c>
      <c r="K532" s="15">
        <f>IF($A532="","",IF(AH!$U$5=1,IFERROR(MATCH($A532,'Live History'!$A$5:$A$3004,0),0),AH!$U$7+527))</f>
        <v/>
      </c>
      <c r="L532" s="15">
        <f>IF(ISNUMBER(A532),TEXT(A532,"dd-mmm-yy"),"")</f>
        <v/>
      </c>
    </row>
    <row r="533">
      <c r="A533" s="14">
        <f>IF(OR(AH!$U$4=0,528+1&gt;AH!$U$6,AND(AH!$M$5="Bloomberg",AH!$U$5=0)),"",IFERROR(IF(AND(AH!$U$12=1,528+1=AH!$U$6),TODAY(),IF(AH!$U$5=1,INDEX('Live History'!$A$5:$A$3004,AH!$U$7+528),INDEX('AH History'!$A$5:$A$1380,AH!$U$7+528))),""))</f>
        <v/>
      </c>
      <c r="B533" s="33">
        <f>IFERROR(IF(AH!$U$11=1,NA(),$J533/$E533-1),NA())</f>
        <v/>
      </c>
      <c r="C533" s="269">
        <f>IFERROR(100*$E533/$E$5,NA())</f>
        <v/>
      </c>
      <c r="D533" s="269">
        <f>IFERROR(100*$J533/$J$5,NA())</f>
        <v/>
      </c>
      <c r="E533" s="32">
        <f>IFERROR(IF(AND(ISNUMBER($A533),N(IF(AND(AH!$U$12=1,528+1=AH!$U$6),IF(AH!$U$4=0,"unavailable",INDEX('Market Data'!$AN$5:$AN$66,AH!$U$4)),IF(AH!$U$5=1,INDEX('Live History'!$B$5:$B$3004,$K533),INDEX('AH History'!$D$5:$GG$1380,$K533,AH!$U$10))))&gt;0),IF(AND(AH!$U$12=1,528+1=AH!$U$6),IF(AH!$U$4=0,"unavailable",INDEX('Market Data'!$AN$5:$AN$66,AH!$U$4)),IF(AH!$U$5=1,INDEX('Live History'!$B$5:$B$3004,$K533),INDEX('AH History'!$D$5:$GG$1380,$K533,AH!$U$10))),NA()),NA())</f>
        <v/>
      </c>
      <c r="F533" s="32">
        <f>IFERROR(IF(ISNUMBER($A533),IF(AND(AH!$U$12=1,528+1=AH!$U$6),IF(AH!$U$4=0,"unavailable",INDEX('Market Data'!$AO$5:$AO$66,AH!$U$4)),IF(AH!$U$5=1,INDEX('Live History'!$E$5:$E$3004,MATCH($A533,'Live History'!$D$5:$D$3004,1)),INDEX('AH History'!$D$5:$GG$1380,$K533,AH!$U$10+1))),NA()),NA())</f>
        <v/>
      </c>
      <c r="G533" s="34">
        <f>IFERROR(IF(ISNUMBER($A533),IF(AND(AH!$U$12=1,528+1=AH!$U$6),IF(AH!$U$4=0,"unavailable",INDEX('Market Data'!$AK$5:$AK$66,AH!$U$4)),IF(AH!$U$5=1,INDEX('Live History'!$D$5:$D$3004,MATCH($A533,'Live History'!$D$5:$D$3004,1)),INDEX('AH History'!$D$5:$GG$1380,$K533,AH!$U$10+2))),NA()),NA())</f>
        <v/>
      </c>
      <c r="H533" s="266">
        <f>IFERROR(IF(ISNUMBER($A533),IF(AND(AH!$U$12=1,528+1=AH!$U$6),IF(AH!$U$4=0,"unavailable",INDEX('Market Data'!$AP$5:$AP$66,AH!$U$4)),IF(AH!$U$5=1,INDEX('Live History'!$H$5:$H$3004,MATCH($A533,'Live History'!$G$5:$G$3004,1)),INDEX('AH History'!$B$5:$B$1380,$K533))),NA()),NA())</f>
        <v/>
      </c>
      <c r="I533" s="34">
        <f>IFERROR(IF(ISNUMBER($A533),IF(AND(AH!$U$12=1,528+1=AH!$U$6),TODAY(),IF(AH!$U$5=1,INDEX('Live History'!$G$5:$G$3004,MATCH($A533,'Live History'!$G$5:$G$3004,1)),INDEX('AH History'!$C$5:$C$1380,$K533))),NA()),NA())</f>
        <v/>
      </c>
      <c r="J533" s="32">
        <f>IFERROR(IF(AND($F533&gt;0,$H533&gt;0,$A533-$G533&lt;=10,$A533-$I533&lt;=5,$G533&gt;0,$I533&gt;0),$F533*$H533,NA()),NA())</f>
        <v/>
      </c>
      <c r="K533" s="15">
        <f>IF($A533="","",IF(AH!$U$5=1,IFERROR(MATCH($A533,'Live History'!$A$5:$A$3004,0),0),AH!$U$7+528))</f>
        <v/>
      </c>
      <c r="L533" s="15">
        <f>IF(ISNUMBER(A533),TEXT(A533,"dd-mmm-yy"),"")</f>
        <v/>
      </c>
    </row>
    <row r="534">
      <c r="A534" s="14">
        <f>IF(OR(AH!$U$4=0,529+1&gt;AH!$U$6,AND(AH!$M$5="Bloomberg",AH!$U$5=0)),"",IFERROR(IF(AND(AH!$U$12=1,529+1=AH!$U$6),TODAY(),IF(AH!$U$5=1,INDEX('Live History'!$A$5:$A$3004,AH!$U$7+529),INDEX('AH History'!$A$5:$A$1380,AH!$U$7+529))),""))</f>
        <v/>
      </c>
      <c r="B534" s="33">
        <f>IFERROR(IF(AH!$U$11=1,NA(),$J534/$E534-1),NA())</f>
        <v/>
      </c>
      <c r="C534" s="269">
        <f>IFERROR(100*$E534/$E$5,NA())</f>
        <v/>
      </c>
      <c r="D534" s="269">
        <f>IFERROR(100*$J534/$J$5,NA())</f>
        <v/>
      </c>
      <c r="E534" s="32">
        <f>IFERROR(IF(AND(ISNUMBER($A534),N(IF(AND(AH!$U$12=1,529+1=AH!$U$6),IF(AH!$U$4=0,"unavailable",INDEX('Market Data'!$AN$5:$AN$66,AH!$U$4)),IF(AH!$U$5=1,INDEX('Live History'!$B$5:$B$3004,$K534),INDEX('AH History'!$D$5:$GG$1380,$K534,AH!$U$10))))&gt;0),IF(AND(AH!$U$12=1,529+1=AH!$U$6),IF(AH!$U$4=0,"unavailable",INDEX('Market Data'!$AN$5:$AN$66,AH!$U$4)),IF(AH!$U$5=1,INDEX('Live History'!$B$5:$B$3004,$K534),INDEX('AH History'!$D$5:$GG$1380,$K534,AH!$U$10))),NA()),NA())</f>
        <v/>
      </c>
      <c r="F534" s="32">
        <f>IFERROR(IF(ISNUMBER($A534),IF(AND(AH!$U$12=1,529+1=AH!$U$6),IF(AH!$U$4=0,"unavailable",INDEX('Market Data'!$AO$5:$AO$66,AH!$U$4)),IF(AH!$U$5=1,INDEX('Live History'!$E$5:$E$3004,MATCH($A534,'Live History'!$D$5:$D$3004,1)),INDEX('AH History'!$D$5:$GG$1380,$K534,AH!$U$10+1))),NA()),NA())</f>
        <v/>
      </c>
      <c r="G534" s="34">
        <f>IFERROR(IF(ISNUMBER($A534),IF(AND(AH!$U$12=1,529+1=AH!$U$6),IF(AH!$U$4=0,"unavailable",INDEX('Market Data'!$AK$5:$AK$66,AH!$U$4)),IF(AH!$U$5=1,INDEX('Live History'!$D$5:$D$3004,MATCH($A534,'Live History'!$D$5:$D$3004,1)),INDEX('AH History'!$D$5:$GG$1380,$K534,AH!$U$10+2))),NA()),NA())</f>
        <v/>
      </c>
      <c r="H534" s="266">
        <f>IFERROR(IF(ISNUMBER($A534),IF(AND(AH!$U$12=1,529+1=AH!$U$6),IF(AH!$U$4=0,"unavailable",INDEX('Market Data'!$AP$5:$AP$66,AH!$U$4)),IF(AH!$U$5=1,INDEX('Live History'!$H$5:$H$3004,MATCH($A534,'Live History'!$G$5:$G$3004,1)),INDEX('AH History'!$B$5:$B$1380,$K534))),NA()),NA())</f>
        <v/>
      </c>
      <c r="I534" s="34">
        <f>IFERROR(IF(ISNUMBER($A534),IF(AND(AH!$U$12=1,529+1=AH!$U$6),TODAY(),IF(AH!$U$5=1,INDEX('Live History'!$G$5:$G$3004,MATCH($A534,'Live History'!$G$5:$G$3004,1)),INDEX('AH History'!$C$5:$C$1380,$K534))),NA()),NA())</f>
        <v/>
      </c>
      <c r="J534" s="32">
        <f>IFERROR(IF(AND($F534&gt;0,$H534&gt;0,$A534-$G534&lt;=10,$A534-$I534&lt;=5,$G534&gt;0,$I534&gt;0),$F534*$H534,NA()),NA())</f>
        <v/>
      </c>
      <c r="K534" s="15">
        <f>IF($A534="","",IF(AH!$U$5=1,IFERROR(MATCH($A534,'Live History'!$A$5:$A$3004,0),0),AH!$U$7+529))</f>
        <v/>
      </c>
      <c r="L534" s="15">
        <f>IF(ISNUMBER(A534),TEXT(A534,"dd-mmm-yy"),"")</f>
        <v/>
      </c>
    </row>
    <row r="535">
      <c r="A535" s="14">
        <f>IF(OR(AH!$U$4=0,530+1&gt;AH!$U$6,AND(AH!$M$5="Bloomberg",AH!$U$5=0)),"",IFERROR(IF(AND(AH!$U$12=1,530+1=AH!$U$6),TODAY(),IF(AH!$U$5=1,INDEX('Live History'!$A$5:$A$3004,AH!$U$7+530),INDEX('AH History'!$A$5:$A$1380,AH!$U$7+530))),""))</f>
        <v/>
      </c>
      <c r="B535" s="33">
        <f>IFERROR(IF(AH!$U$11=1,NA(),$J535/$E535-1),NA())</f>
        <v/>
      </c>
      <c r="C535" s="269">
        <f>IFERROR(100*$E535/$E$5,NA())</f>
        <v/>
      </c>
      <c r="D535" s="269">
        <f>IFERROR(100*$J535/$J$5,NA())</f>
        <v/>
      </c>
      <c r="E535" s="32">
        <f>IFERROR(IF(AND(ISNUMBER($A535),N(IF(AND(AH!$U$12=1,530+1=AH!$U$6),IF(AH!$U$4=0,"unavailable",INDEX('Market Data'!$AN$5:$AN$66,AH!$U$4)),IF(AH!$U$5=1,INDEX('Live History'!$B$5:$B$3004,$K535),INDEX('AH History'!$D$5:$GG$1380,$K535,AH!$U$10))))&gt;0),IF(AND(AH!$U$12=1,530+1=AH!$U$6),IF(AH!$U$4=0,"unavailable",INDEX('Market Data'!$AN$5:$AN$66,AH!$U$4)),IF(AH!$U$5=1,INDEX('Live History'!$B$5:$B$3004,$K535),INDEX('AH History'!$D$5:$GG$1380,$K535,AH!$U$10))),NA()),NA())</f>
        <v/>
      </c>
      <c r="F535" s="32">
        <f>IFERROR(IF(ISNUMBER($A535),IF(AND(AH!$U$12=1,530+1=AH!$U$6),IF(AH!$U$4=0,"unavailable",INDEX('Market Data'!$AO$5:$AO$66,AH!$U$4)),IF(AH!$U$5=1,INDEX('Live History'!$E$5:$E$3004,MATCH($A535,'Live History'!$D$5:$D$3004,1)),INDEX('AH History'!$D$5:$GG$1380,$K535,AH!$U$10+1))),NA()),NA())</f>
        <v/>
      </c>
      <c r="G535" s="34">
        <f>IFERROR(IF(ISNUMBER($A535),IF(AND(AH!$U$12=1,530+1=AH!$U$6),IF(AH!$U$4=0,"unavailable",INDEX('Market Data'!$AK$5:$AK$66,AH!$U$4)),IF(AH!$U$5=1,INDEX('Live History'!$D$5:$D$3004,MATCH($A535,'Live History'!$D$5:$D$3004,1)),INDEX('AH History'!$D$5:$GG$1380,$K535,AH!$U$10+2))),NA()),NA())</f>
        <v/>
      </c>
      <c r="H535" s="266">
        <f>IFERROR(IF(ISNUMBER($A535),IF(AND(AH!$U$12=1,530+1=AH!$U$6),IF(AH!$U$4=0,"unavailable",INDEX('Market Data'!$AP$5:$AP$66,AH!$U$4)),IF(AH!$U$5=1,INDEX('Live History'!$H$5:$H$3004,MATCH($A535,'Live History'!$G$5:$G$3004,1)),INDEX('AH History'!$B$5:$B$1380,$K535))),NA()),NA())</f>
        <v/>
      </c>
      <c r="I535" s="34">
        <f>IFERROR(IF(ISNUMBER($A535),IF(AND(AH!$U$12=1,530+1=AH!$U$6),TODAY(),IF(AH!$U$5=1,INDEX('Live History'!$G$5:$G$3004,MATCH($A535,'Live History'!$G$5:$G$3004,1)),INDEX('AH History'!$C$5:$C$1380,$K535))),NA()),NA())</f>
        <v/>
      </c>
      <c r="J535" s="32">
        <f>IFERROR(IF(AND($F535&gt;0,$H535&gt;0,$A535-$G535&lt;=10,$A535-$I535&lt;=5,$G535&gt;0,$I535&gt;0),$F535*$H535,NA()),NA())</f>
        <v/>
      </c>
      <c r="K535" s="15">
        <f>IF($A535="","",IF(AH!$U$5=1,IFERROR(MATCH($A535,'Live History'!$A$5:$A$3004,0),0),AH!$U$7+530))</f>
        <v/>
      </c>
      <c r="L535" s="15">
        <f>IF(ISNUMBER(A535),TEXT(A535,"dd-mmm-yy"),"")</f>
        <v/>
      </c>
    </row>
    <row r="536">
      <c r="A536" s="14">
        <f>IF(OR(AH!$U$4=0,531+1&gt;AH!$U$6,AND(AH!$M$5="Bloomberg",AH!$U$5=0)),"",IFERROR(IF(AND(AH!$U$12=1,531+1=AH!$U$6),TODAY(),IF(AH!$U$5=1,INDEX('Live History'!$A$5:$A$3004,AH!$U$7+531),INDEX('AH History'!$A$5:$A$1380,AH!$U$7+531))),""))</f>
        <v/>
      </c>
      <c r="B536" s="33">
        <f>IFERROR(IF(AH!$U$11=1,NA(),$J536/$E536-1),NA())</f>
        <v/>
      </c>
      <c r="C536" s="269">
        <f>IFERROR(100*$E536/$E$5,NA())</f>
        <v/>
      </c>
      <c r="D536" s="269">
        <f>IFERROR(100*$J536/$J$5,NA())</f>
        <v/>
      </c>
      <c r="E536" s="32">
        <f>IFERROR(IF(AND(ISNUMBER($A536),N(IF(AND(AH!$U$12=1,531+1=AH!$U$6),IF(AH!$U$4=0,"unavailable",INDEX('Market Data'!$AN$5:$AN$66,AH!$U$4)),IF(AH!$U$5=1,INDEX('Live History'!$B$5:$B$3004,$K536),INDEX('AH History'!$D$5:$GG$1380,$K536,AH!$U$10))))&gt;0),IF(AND(AH!$U$12=1,531+1=AH!$U$6),IF(AH!$U$4=0,"unavailable",INDEX('Market Data'!$AN$5:$AN$66,AH!$U$4)),IF(AH!$U$5=1,INDEX('Live History'!$B$5:$B$3004,$K536),INDEX('AH History'!$D$5:$GG$1380,$K536,AH!$U$10))),NA()),NA())</f>
        <v/>
      </c>
      <c r="F536" s="32">
        <f>IFERROR(IF(ISNUMBER($A536),IF(AND(AH!$U$12=1,531+1=AH!$U$6),IF(AH!$U$4=0,"unavailable",INDEX('Market Data'!$AO$5:$AO$66,AH!$U$4)),IF(AH!$U$5=1,INDEX('Live History'!$E$5:$E$3004,MATCH($A536,'Live History'!$D$5:$D$3004,1)),INDEX('AH History'!$D$5:$GG$1380,$K536,AH!$U$10+1))),NA()),NA())</f>
        <v/>
      </c>
      <c r="G536" s="34">
        <f>IFERROR(IF(ISNUMBER($A536),IF(AND(AH!$U$12=1,531+1=AH!$U$6),IF(AH!$U$4=0,"unavailable",INDEX('Market Data'!$AK$5:$AK$66,AH!$U$4)),IF(AH!$U$5=1,INDEX('Live History'!$D$5:$D$3004,MATCH($A536,'Live History'!$D$5:$D$3004,1)),INDEX('AH History'!$D$5:$GG$1380,$K536,AH!$U$10+2))),NA()),NA())</f>
        <v/>
      </c>
      <c r="H536" s="266">
        <f>IFERROR(IF(ISNUMBER($A536),IF(AND(AH!$U$12=1,531+1=AH!$U$6),IF(AH!$U$4=0,"unavailable",INDEX('Market Data'!$AP$5:$AP$66,AH!$U$4)),IF(AH!$U$5=1,INDEX('Live History'!$H$5:$H$3004,MATCH($A536,'Live History'!$G$5:$G$3004,1)),INDEX('AH History'!$B$5:$B$1380,$K536))),NA()),NA())</f>
        <v/>
      </c>
      <c r="I536" s="34">
        <f>IFERROR(IF(ISNUMBER($A536),IF(AND(AH!$U$12=1,531+1=AH!$U$6),TODAY(),IF(AH!$U$5=1,INDEX('Live History'!$G$5:$G$3004,MATCH($A536,'Live History'!$G$5:$G$3004,1)),INDEX('AH History'!$C$5:$C$1380,$K536))),NA()),NA())</f>
        <v/>
      </c>
      <c r="J536" s="32">
        <f>IFERROR(IF(AND($F536&gt;0,$H536&gt;0,$A536-$G536&lt;=10,$A536-$I536&lt;=5,$G536&gt;0,$I536&gt;0),$F536*$H536,NA()),NA())</f>
        <v/>
      </c>
      <c r="K536" s="15">
        <f>IF($A536="","",IF(AH!$U$5=1,IFERROR(MATCH($A536,'Live History'!$A$5:$A$3004,0),0),AH!$U$7+531))</f>
        <v/>
      </c>
      <c r="L536" s="15">
        <f>IF(ISNUMBER(A536),TEXT(A536,"dd-mmm-yy"),"")</f>
        <v/>
      </c>
    </row>
    <row r="537">
      <c r="A537" s="14">
        <f>IF(OR(AH!$U$4=0,532+1&gt;AH!$U$6,AND(AH!$M$5="Bloomberg",AH!$U$5=0)),"",IFERROR(IF(AND(AH!$U$12=1,532+1=AH!$U$6),TODAY(),IF(AH!$U$5=1,INDEX('Live History'!$A$5:$A$3004,AH!$U$7+532),INDEX('AH History'!$A$5:$A$1380,AH!$U$7+532))),""))</f>
        <v/>
      </c>
      <c r="B537" s="33">
        <f>IFERROR(IF(AH!$U$11=1,NA(),$J537/$E537-1),NA())</f>
        <v/>
      </c>
      <c r="C537" s="269">
        <f>IFERROR(100*$E537/$E$5,NA())</f>
        <v/>
      </c>
      <c r="D537" s="269">
        <f>IFERROR(100*$J537/$J$5,NA())</f>
        <v/>
      </c>
      <c r="E537" s="32">
        <f>IFERROR(IF(AND(ISNUMBER($A537),N(IF(AND(AH!$U$12=1,532+1=AH!$U$6),IF(AH!$U$4=0,"unavailable",INDEX('Market Data'!$AN$5:$AN$66,AH!$U$4)),IF(AH!$U$5=1,INDEX('Live History'!$B$5:$B$3004,$K537),INDEX('AH History'!$D$5:$GG$1380,$K537,AH!$U$10))))&gt;0),IF(AND(AH!$U$12=1,532+1=AH!$U$6),IF(AH!$U$4=0,"unavailable",INDEX('Market Data'!$AN$5:$AN$66,AH!$U$4)),IF(AH!$U$5=1,INDEX('Live History'!$B$5:$B$3004,$K537),INDEX('AH History'!$D$5:$GG$1380,$K537,AH!$U$10))),NA()),NA())</f>
        <v/>
      </c>
      <c r="F537" s="32">
        <f>IFERROR(IF(ISNUMBER($A537),IF(AND(AH!$U$12=1,532+1=AH!$U$6),IF(AH!$U$4=0,"unavailable",INDEX('Market Data'!$AO$5:$AO$66,AH!$U$4)),IF(AH!$U$5=1,INDEX('Live History'!$E$5:$E$3004,MATCH($A537,'Live History'!$D$5:$D$3004,1)),INDEX('AH History'!$D$5:$GG$1380,$K537,AH!$U$10+1))),NA()),NA())</f>
        <v/>
      </c>
      <c r="G537" s="34">
        <f>IFERROR(IF(ISNUMBER($A537),IF(AND(AH!$U$12=1,532+1=AH!$U$6),IF(AH!$U$4=0,"unavailable",INDEX('Market Data'!$AK$5:$AK$66,AH!$U$4)),IF(AH!$U$5=1,INDEX('Live History'!$D$5:$D$3004,MATCH($A537,'Live History'!$D$5:$D$3004,1)),INDEX('AH History'!$D$5:$GG$1380,$K537,AH!$U$10+2))),NA()),NA())</f>
        <v/>
      </c>
      <c r="H537" s="266">
        <f>IFERROR(IF(ISNUMBER($A537),IF(AND(AH!$U$12=1,532+1=AH!$U$6),IF(AH!$U$4=0,"unavailable",INDEX('Market Data'!$AP$5:$AP$66,AH!$U$4)),IF(AH!$U$5=1,INDEX('Live History'!$H$5:$H$3004,MATCH($A537,'Live History'!$G$5:$G$3004,1)),INDEX('AH History'!$B$5:$B$1380,$K537))),NA()),NA())</f>
        <v/>
      </c>
      <c r="I537" s="34">
        <f>IFERROR(IF(ISNUMBER($A537),IF(AND(AH!$U$12=1,532+1=AH!$U$6),TODAY(),IF(AH!$U$5=1,INDEX('Live History'!$G$5:$G$3004,MATCH($A537,'Live History'!$G$5:$G$3004,1)),INDEX('AH History'!$C$5:$C$1380,$K537))),NA()),NA())</f>
        <v/>
      </c>
      <c r="J537" s="32">
        <f>IFERROR(IF(AND($F537&gt;0,$H537&gt;0,$A537-$G537&lt;=10,$A537-$I537&lt;=5,$G537&gt;0,$I537&gt;0),$F537*$H537,NA()),NA())</f>
        <v/>
      </c>
      <c r="K537" s="15">
        <f>IF($A537="","",IF(AH!$U$5=1,IFERROR(MATCH($A537,'Live History'!$A$5:$A$3004,0),0),AH!$U$7+532))</f>
        <v/>
      </c>
      <c r="L537" s="15">
        <f>IF(ISNUMBER(A537),TEXT(A537,"dd-mmm-yy"),"")</f>
        <v/>
      </c>
    </row>
    <row r="538">
      <c r="A538" s="14">
        <f>IF(OR(AH!$U$4=0,533+1&gt;AH!$U$6,AND(AH!$M$5="Bloomberg",AH!$U$5=0)),"",IFERROR(IF(AND(AH!$U$12=1,533+1=AH!$U$6),TODAY(),IF(AH!$U$5=1,INDEX('Live History'!$A$5:$A$3004,AH!$U$7+533),INDEX('AH History'!$A$5:$A$1380,AH!$U$7+533))),""))</f>
        <v/>
      </c>
      <c r="B538" s="33">
        <f>IFERROR(IF(AH!$U$11=1,NA(),$J538/$E538-1),NA())</f>
        <v/>
      </c>
      <c r="C538" s="269">
        <f>IFERROR(100*$E538/$E$5,NA())</f>
        <v/>
      </c>
      <c r="D538" s="269">
        <f>IFERROR(100*$J538/$J$5,NA())</f>
        <v/>
      </c>
      <c r="E538" s="32">
        <f>IFERROR(IF(AND(ISNUMBER($A538),N(IF(AND(AH!$U$12=1,533+1=AH!$U$6),IF(AH!$U$4=0,"unavailable",INDEX('Market Data'!$AN$5:$AN$66,AH!$U$4)),IF(AH!$U$5=1,INDEX('Live History'!$B$5:$B$3004,$K538),INDEX('AH History'!$D$5:$GG$1380,$K538,AH!$U$10))))&gt;0),IF(AND(AH!$U$12=1,533+1=AH!$U$6),IF(AH!$U$4=0,"unavailable",INDEX('Market Data'!$AN$5:$AN$66,AH!$U$4)),IF(AH!$U$5=1,INDEX('Live History'!$B$5:$B$3004,$K538),INDEX('AH History'!$D$5:$GG$1380,$K538,AH!$U$10))),NA()),NA())</f>
        <v/>
      </c>
      <c r="F538" s="32">
        <f>IFERROR(IF(ISNUMBER($A538),IF(AND(AH!$U$12=1,533+1=AH!$U$6),IF(AH!$U$4=0,"unavailable",INDEX('Market Data'!$AO$5:$AO$66,AH!$U$4)),IF(AH!$U$5=1,INDEX('Live History'!$E$5:$E$3004,MATCH($A538,'Live History'!$D$5:$D$3004,1)),INDEX('AH History'!$D$5:$GG$1380,$K538,AH!$U$10+1))),NA()),NA())</f>
        <v/>
      </c>
      <c r="G538" s="34">
        <f>IFERROR(IF(ISNUMBER($A538),IF(AND(AH!$U$12=1,533+1=AH!$U$6),IF(AH!$U$4=0,"unavailable",INDEX('Market Data'!$AK$5:$AK$66,AH!$U$4)),IF(AH!$U$5=1,INDEX('Live History'!$D$5:$D$3004,MATCH($A538,'Live History'!$D$5:$D$3004,1)),INDEX('AH History'!$D$5:$GG$1380,$K538,AH!$U$10+2))),NA()),NA())</f>
        <v/>
      </c>
      <c r="H538" s="266">
        <f>IFERROR(IF(ISNUMBER($A538),IF(AND(AH!$U$12=1,533+1=AH!$U$6),IF(AH!$U$4=0,"unavailable",INDEX('Market Data'!$AP$5:$AP$66,AH!$U$4)),IF(AH!$U$5=1,INDEX('Live History'!$H$5:$H$3004,MATCH($A538,'Live History'!$G$5:$G$3004,1)),INDEX('AH History'!$B$5:$B$1380,$K538))),NA()),NA())</f>
        <v/>
      </c>
      <c r="I538" s="34">
        <f>IFERROR(IF(ISNUMBER($A538),IF(AND(AH!$U$12=1,533+1=AH!$U$6),TODAY(),IF(AH!$U$5=1,INDEX('Live History'!$G$5:$G$3004,MATCH($A538,'Live History'!$G$5:$G$3004,1)),INDEX('AH History'!$C$5:$C$1380,$K538))),NA()),NA())</f>
        <v/>
      </c>
      <c r="J538" s="32">
        <f>IFERROR(IF(AND($F538&gt;0,$H538&gt;0,$A538-$G538&lt;=10,$A538-$I538&lt;=5,$G538&gt;0,$I538&gt;0),$F538*$H538,NA()),NA())</f>
        <v/>
      </c>
      <c r="K538" s="15">
        <f>IF($A538="","",IF(AH!$U$5=1,IFERROR(MATCH($A538,'Live History'!$A$5:$A$3004,0),0),AH!$U$7+533))</f>
        <v/>
      </c>
      <c r="L538" s="15">
        <f>IF(ISNUMBER(A538),TEXT(A538,"dd-mmm-yy"),"")</f>
        <v/>
      </c>
    </row>
    <row r="539">
      <c r="A539" s="14">
        <f>IF(OR(AH!$U$4=0,534+1&gt;AH!$U$6,AND(AH!$M$5="Bloomberg",AH!$U$5=0)),"",IFERROR(IF(AND(AH!$U$12=1,534+1=AH!$U$6),TODAY(),IF(AH!$U$5=1,INDEX('Live History'!$A$5:$A$3004,AH!$U$7+534),INDEX('AH History'!$A$5:$A$1380,AH!$U$7+534))),""))</f>
        <v/>
      </c>
      <c r="B539" s="33">
        <f>IFERROR(IF(AH!$U$11=1,NA(),$J539/$E539-1),NA())</f>
        <v/>
      </c>
      <c r="C539" s="269">
        <f>IFERROR(100*$E539/$E$5,NA())</f>
        <v/>
      </c>
      <c r="D539" s="269">
        <f>IFERROR(100*$J539/$J$5,NA())</f>
        <v/>
      </c>
      <c r="E539" s="32">
        <f>IFERROR(IF(AND(ISNUMBER($A539),N(IF(AND(AH!$U$12=1,534+1=AH!$U$6),IF(AH!$U$4=0,"unavailable",INDEX('Market Data'!$AN$5:$AN$66,AH!$U$4)),IF(AH!$U$5=1,INDEX('Live History'!$B$5:$B$3004,$K539),INDEX('AH History'!$D$5:$GG$1380,$K539,AH!$U$10))))&gt;0),IF(AND(AH!$U$12=1,534+1=AH!$U$6),IF(AH!$U$4=0,"unavailable",INDEX('Market Data'!$AN$5:$AN$66,AH!$U$4)),IF(AH!$U$5=1,INDEX('Live History'!$B$5:$B$3004,$K539),INDEX('AH History'!$D$5:$GG$1380,$K539,AH!$U$10))),NA()),NA())</f>
        <v/>
      </c>
      <c r="F539" s="32">
        <f>IFERROR(IF(ISNUMBER($A539),IF(AND(AH!$U$12=1,534+1=AH!$U$6),IF(AH!$U$4=0,"unavailable",INDEX('Market Data'!$AO$5:$AO$66,AH!$U$4)),IF(AH!$U$5=1,INDEX('Live History'!$E$5:$E$3004,MATCH($A539,'Live History'!$D$5:$D$3004,1)),INDEX('AH History'!$D$5:$GG$1380,$K539,AH!$U$10+1))),NA()),NA())</f>
        <v/>
      </c>
      <c r="G539" s="34">
        <f>IFERROR(IF(ISNUMBER($A539),IF(AND(AH!$U$12=1,534+1=AH!$U$6),IF(AH!$U$4=0,"unavailable",INDEX('Market Data'!$AK$5:$AK$66,AH!$U$4)),IF(AH!$U$5=1,INDEX('Live History'!$D$5:$D$3004,MATCH($A539,'Live History'!$D$5:$D$3004,1)),INDEX('AH History'!$D$5:$GG$1380,$K539,AH!$U$10+2))),NA()),NA())</f>
        <v/>
      </c>
      <c r="H539" s="266">
        <f>IFERROR(IF(ISNUMBER($A539),IF(AND(AH!$U$12=1,534+1=AH!$U$6),IF(AH!$U$4=0,"unavailable",INDEX('Market Data'!$AP$5:$AP$66,AH!$U$4)),IF(AH!$U$5=1,INDEX('Live History'!$H$5:$H$3004,MATCH($A539,'Live History'!$G$5:$G$3004,1)),INDEX('AH History'!$B$5:$B$1380,$K539))),NA()),NA())</f>
        <v/>
      </c>
      <c r="I539" s="34">
        <f>IFERROR(IF(ISNUMBER($A539),IF(AND(AH!$U$12=1,534+1=AH!$U$6),TODAY(),IF(AH!$U$5=1,INDEX('Live History'!$G$5:$G$3004,MATCH($A539,'Live History'!$G$5:$G$3004,1)),INDEX('AH History'!$C$5:$C$1380,$K539))),NA()),NA())</f>
        <v/>
      </c>
      <c r="J539" s="32">
        <f>IFERROR(IF(AND($F539&gt;0,$H539&gt;0,$A539-$G539&lt;=10,$A539-$I539&lt;=5,$G539&gt;0,$I539&gt;0),$F539*$H539,NA()),NA())</f>
        <v/>
      </c>
      <c r="K539" s="15">
        <f>IF($A539="","",IF(AH!$U$5=1,IFERROR(MATCH($A539,'Live History'!$A$5:$A$3004,0),0),AH!$U$7+534))</f>
        <v/>
      </c>
      <c r="L539" s="15">
        <f>IF(ISNUMBER(A539),TEXT(A539,"dd-mmm-yy"),"")</f>
        <v/>
      </c>
    </row>
    <row r="540">
      <c r="A540" s="14">
        <f>IF(OR(AH!$U$4=0,535+1&gt;AH!$U$6,AND(AH!$M$5="Bloomberg",AH!$U$5=0)),"",IFERROR(IF(AND(AH!$U$12=1,535+1=AH!$U$6),TODAY(),IF(AH!$U$5=1,INDEX('Live History'!$A$5:$A$3004,AH!$U$7+535),INDEX('AH History'!$A$5:$A$1380,AH!$U$7+535))),""))</f>
        <v/>
      </c>
      <c r="B540" s="33">
        <f>IFERROR(IF(AH!$U$11=1,NA(),$J540/$E540-1),NA())</f>
        <v/>
      </c>
      <c r="C540" s="269">
        <f>IFERROR(100*$E540/$E$5,NA())</f>
        <v/>
      </c>
      <c r="D540" s="269">
        <f>IFERROR(100*$J540/$J$5,NA())</f>
        <v/>
      </c>
      <c r="E540" s="32">
        <f>IFERROR(IF(AND(ISNUMBER($A540),N(IF(AND(AH!$U$12=1,535+1=AH!$U$6),IF(AH!$U$4=0,"unavailable",INDEX('Market Data'!$AN$5:$AN$66,AH!$U$4)),IF(AH!$U$5=1,INDEX('Live History'!$B$5:$B$3004,$K540),INDEX('AH History'!$D$5:$GG$1380,$K540,AH!$U$10))))&gt;0),IF(AND(AH!$U$12=1,535+1=AH!$U$6),IF(AH!$U$4=0,"unavailable",INDEX('Market Data'!$AN$5:$AN$66,AH!$U$4)),IF(AH!$U$5=1,INDEX('Live History'!$B$5:$B$3004,$K540),INDEX('AH History'!$D$5:$GG$1380,$K540,AH!$U$10))),NA()),NA())</f>
        <v/>
      </c>
      <c r="F540" s="32">
        <f>IFERROR(IF(ISNUMBER($A540),IF(AND(AH!$U$12=1,535+1=AH!$U$6),IF(AH!$U$4=0,"unavailable",INDEX('Market Data'!$AO$5:$AO$66,AH!$U$4)),IF(AH!$U$5=1,INDEX('Live History'!$E$5:$E$3004,MATCH($A540,'Live History'!$D$5:$D$3004,1)),INDEX('AH History'!$D$5:$GG$1380,$K540,AH!$U$10+1))),NA()),NA())</f>
        <v/>
      </c>
      <c r="G540" s="34">
        <f>IFERROR(IF(ISNUMBER($A540),IF(AND(AH!$U$12=1,535+1=AH!$U$6),IF(AH!$U$4=0,"unavailable",INDEX('Market Data'!$AK$5:$AK$66,AH!$U$4)),IF(AH!$U$5=1,INDEX('Live History'!$D$5:$D$3004,MATCH($A540,'Live History'!$D$5:$D$3004,1)),INDEX('AH History'!$D$5:$GG$1380,$K540,AH!$U$10+2))),NA()),NA())</f>
        <v/>
      </c>
      <c r="H540" s="266">
        <f>IFERROR(IF(ISNUMBER($A540),IF(AND(AH!$U$12=1,535+1=AH!$U$6),IF(AH!$U$4=0,"unavailable",INDEX('Market Data'!$AP$5:$AP$66,AH!$U$4)),IF(AH!$U$5=1,INDEX('Live History'!$H$5:$H$3004,MATCH($A540,'Live History'!$G$5:$G$3004,1)),INDEX('AH History'!$B$5:$B$1380,$K540))),NA()),NA())</f>
        <v/>
      </c>
      <c r="I540" s="34">
        <f>IFERROR(IF(ISNUMBER($A540),IF(AND(AH!$U$12=1,535+1=AH!$U$6),TODAY(),IF(AH!$U$5=1,INDEX('Live History'!$G$5:$G$3004,MATCH($A540,'Live History'!$G$5:$G$3004,1)),INDEX('AH History'!$C$5:$C$1380,$K540))),NA()),NA())</f>
        <v/>
      </c>
      <c r="J540" s="32">
        <f>IFERROR(IF(AND($F540&gt;0,$H540&gt;0,$A540-$G540&lt;=10,$A540-$I540&lt;=5,$G540&gt;0,$I540&gt;0),$F540*$H540,NA()),NA())</f>
        <v/>
      </c>
      <c r="K540" s="15">
        <f>IF($A540="","",IF(AH!$U$5=1,IFERROR(MATCH($A540,'Live History'!$A$5:$A$3004,0),0),AH!$U$7+535))</f>
        <v/>
      </c>
      <c r="L540" s="15">
        <f>IF(ISNUMBER(A540),TEXT(A540,"dd-mmm-yy"),"")</f>
        <v/>
      </c>
    </row>
    <row r="541">
      <c r="A541" s="14">
        <f>IF(OR(AH!$U$4=0,536+1&gt;AH!$U$6,AND(AH!$M$5="Bloomberg",AH!$U$5=0)),"",IFERROR(IF(AND(AH!$U$12=1,536+1=AH!$U$6),TODAY(),IF(AH!$U$5=1,INDEX('Live History'!$A$5:$A$3004,AH!$U$7+536),INDEX('AH History'!$A$5:$A$1380,AH!$U$7+536))),""))</f>
        <v/>
      </c>
      <c r="B541" s="33">
        <f>IFERROR(IF(AH!$U$11=1,NA(),$J541/$E541-1),NA())</f>
        <v/>
      </c>
      <c r="C541" s="269">
        <f>IFERROR(100*$E541/$E$5,NA())</f>
        <v/>
      </c>
      <c r="D541" s="269">
        <f>IFERROR(100*$J541/$J$5,NA())</f>
        <v/>
      </c>
      <c r="E541" s="32">
        <f>IFERROR(IF(AND(ISNUMBER($A541),N(IF(AND(AH!$U$12=1,536+1=AH!$U$6),IF(AH!$U$4=0,"unavailable",INDEX('Market Data'!$AN$5:$AN$66,AH!$U$4)),IF(AH!$U$5=1,INDEX('Live History'!$B$5:$B$3004,$K541),INDEX('AH History'!$D$5:$GG$1380,$K541,AH!$U$10))))&gt;0),IF(AND(AH!$U$12=1,536+1=AH!$U$6),IF(AH!$U$4=0,"unavailable",INDEX('Market Data'!$AN$5:$AN$66,AH!$U$4)),IF(AH!$U$5=1,INDEX('Live History'!$B$5:$B$3004,$K541),INDEX('AH History'!$D$5:$GG$1380,$K541,AH!$U$10))),NA()),NA())</f>
        <v/>
      </c>
      <c r="F541" s="32">
        <f>IFERROR(IF(ISNUMBER($A541),IF(AND(AH!$U$12=1,536+1=AH!$U$6),IF(AH!$U$4=0,"unavailable",INDEX('Market Data'!$AO$5:$AO$66,AH!$U$4)),IF(AH!$U$5=1,INDEX('Live History'!$E$5:$E$3004,MATCH($A541,'Live History'!$D$5:$D$3004,1)),INDEX('AH History'!$D$5:$GG$1380,$K541,AH!$U$10+1))),NA()),NA())</f>
        <v/>
      </c>
      <c r="G541" s="34">
        <f>IFERROR(IF(ISNUMBER($A541),IF(AND(AH!$U$12=1,536+1=AH!$U$6),IF(AH!$U$4=0,"unavailable",INDEX('Market Data'!$AK$5:$AK$66,AH!$U$4)),IF(AH!$U$5=1,INDEX('Live History'!$D$5:$D$3004,MATCH($A541,'Live History'!$D$5:$D$3004,1)),INDEX('AH History'!$D$5:$GG$1380,$K541,AH!$U$10+2))),NA()),NA())</f>
        <v/>
      </c>
      <c r="H541" s="266">
        <f>IFERROR(IF(ISNUMBER($A541),IF(AND(AH!$U$12=1,536+1=AH!$U$6),IF(AH!$U$4=0,"unavailable",INDEX('Market Data'!$AP$5:$AP$66,AH!$U$4)),IF(AH!$U$5=1,INDEX('Live History'!$H$5:$H$3004,MATCH($A541,'Live History'!$G$5:$G$3004,1)),INDEX('AH History'!$B$5:$B$1380,$K541))),NA()),NA())</f>
        <v/>
      </c>
      <c r="I541" s="34">
        <f>IFERROR(IF(ISNUMBER($A541),IF(AND(AH!$U$12=1,536+1=AH!$U$6),TODAY(),IF(AH!$U$5=1,INDEX('Live History'!$G$5:$G$3004,MATCH($A541,'Live History'!$G$5:$G$3004,1)),INDEX('AH History'!$C$5:$C$1380,$K541))),NA()),NA())</f>
        <v/>
      </c>
      <c r="J541" s="32">
        <f>IFERROR(IF(AND($F541&gt;0,$H541&gt;0,$A541-$G541&lt;=10,$A541-$I541&lt;=5,$G541&gt;0,$I541&gt;0),$F541*$H541,NA()),NA())</f>
        <v/>
      </c>
      <c r="K541" s="15">
        <f>IF($A541="","",IF(AH!$U$5=1,IFERROR(MATCH($A541,'Live History'!$A$5:$A$3004,0),0),AH!$U$7+536))</f>
        <v/>
      </c>
      <c r="L541" s="15">
        <f>IF(ISNUMBER(A541),TEXT(A541,"dd-mmm-yy"),"")</f>
        <v/>
      </c>
    </row>
    <row r="542">
      <c r="A542" s="14">
        <f>IF(OR(AH!$U$4=0,537+1&gt;AH!$U$6,AND(AH!$M$5="Bloomberg",AH!$U$5=0)),"",IFERROR(IF(AND(AH!$U$12=1,537+1=AH!$U$6),TODAY(),IF(AH!$U$5=1,INDEX('Live History'!$A$5:$A$3004,AH!$U$7+537),INDEX('AH History'!$A$5:$A$1380,AH!$U$7+537))),""))</f>
        <v/>
      </c>
      <c r="B542" s="33">
        <f>IFERROR(IF(AH!$U$11=1,NA(),$J542/$E542-1),NA())</f>
        <v/>
      </c>
      <c r="C542" s="269">
        <f>IFERROR(100*$E542/$E$5,NA())</f>
        <v/>
      </c>
      <c r="D542" s="269">
        <f>IFERROR(100*$J542/$J$5,NA())</f>
        <v/>
      </c>
      <c r="E542" s="32">
        <f>IFERROR(IF(AND(ISNUMBER($A542),N(IF(AND(AH!$U$12=1,537+1=AH!$U$6),IF(AH!$U$4=0,"unavailable",INDEX('Market Data'!$AN$5:$AN$66,AH!$U$4)),IF(AH!$U$5=1,INDEX('Live History'!$B$5:$B$3004,$K542),INDEX('AH History'!$D$5:$GG$1380,$K542,AH!$U$10))))&gt;0),IF(AND(AH!$U$12=1,537+1=AH!$U$6),IF(AH!$U$4=0,"unavailable",INDEX('Market Data'!$AN$5:$AN$66,AH!$U$4)),IF(AH!$U$5=1,INDEX('Live History'!$B$5:$B$3004,$K542),INDEX('AH History'!$D$5:$GG$1380,$K542,AH!$U$10))),NA()),NA())</f>
        <v/>
      </c>
      <c r="F542" s="32">
        <f>IFERROR(IF(ISNUMBER($A542),IF(AND(AH!$U$12=1,537+1=AH!$U$6),IF(AH!$U$4=0,"unavailable",INDEX('Market Data'!$AO$5:$AO$66,AH!$U$4)),IF(AH!$U$5=1,INDEX('Live History'!$E$5:$E$3004,MATCH($A542,'Live History'!$D$5:$D$3004,1)),INDEX('AH History'!$D$5:$GG$1380,$K542,AH!$U$10+1))),NA()),NA())</f>
        <v/>
      </c>
      <c r="G542" s="34">
        <f>IFERROR(IF(ISNUMBER($A542),IF(AND(AH!$U$12=1,537+1=AH!$U$6),IF(AH!$U$4=0,"unavailable",INDEX('Market Data'!$AK$5:$AK$66,AH!$U$4)),IF(AH!$U$5=1,INDEX('Live History'!$D$5:$D$3004,MATCH($A542,'Live History'!$D$5:$D$3004,1)),INDEX('AH History'!$D$5:$GG$1380,$K542,AH!$U$10+2))),NA()),NA())</f>
        <v/>
      </c>
      <c r="H542" s="266">
        <f>IFERROR(IF(ISNUMBER($A542),IF(AND(AH!$U$12=1,537+1=AH!$U$6),IF(AH!$U$4=0,"unavailable",INDEX('Market Data'!$AP$5:$AP$66,AH!$U$4)),IF(AH!$U$5=1,INDEX('Live History'!$H$5:$H$3004,MATCH($A542,'Live History'!$G$5:$G$3004,1)),INDEX('AH History'!$B$5:$B$1380,$K542))),NA()),NA())</f>
        <v/>
      </c>
      <c r="I542" s="34">
        <f>IFERROR(IF(ISNUMBER($A542),IF(AND(AH!$U$12=1,537+1=AH!$U$6),TODAY(),IF(AH!$U$5=1,INDEX('Live History'!$G$5:$G$3004,MATCH($A542,'Live History'!$G$5:$G$3004,1)),INDEX('AH History'!$C$5:$C$1380,$K542))),NA()),NA())</f>
        <v/>
      </c>
      <c r="J542" s="32">
        <f>IFERROR(IF(AND($F542&gt;0,$H542&gt;0,$A542-$G542&lt;=10,$A542-$I542&lt;=5,$G542&gt;0,$I542&gt;0),$F542*$H542,NA()),NA())</f>
        <v/>
      </c>
      <c r="K542" s="15">
        <f>IF($A542="","",IF(AH!$U$5=1,IFERROR(MATCH($A542,'Live History'!$A$5:$A$3004,0),0),AH!$U$7+537))</f>
        <v/>
      </c>
      <c r="L542" s="15">
        <f>IF(ISNUMBER(A542),TEXT(A542,"dd-mmm-yy"),"")</f>
        <v/>
      </c>
    </row>
    <row r="543">
      <c r="A543" s="14">
        <f>IF(OR(AH!$U$4=0,538+1&gt;AH!$U$6,AND(AH!$M$5="Bloomberg",AH!$U$5=0)),"",IFERROR(IF(AND(AH!$U$12=1,538+1=AH!$U$6),TODAY(),IF(AH!$U$5=1,INDEX('Live History'!$A$5:$A$3004,AH!$U$7+538),INDEX('AH History'!$A$5:$A$1380,AH!$U$7+538))),""))</f>
        <v/>
      </c>
      <c r="B543" s="33">
        <f>IFERROR(IF(AH!$U$11=1,NA(),$J543/$E543-1),NA())</f>
        <v/>
      </c>
      <c r="C543" s="269">
        <f>IFERROR(100*$E543/$E$5,NA())</f>
        <v/>
      </c>
      <c r="D543" s="269">
        <f>IFERROR(100*$J543/$J$5,NA())</f>
        <v/>
      </c>
      <c r="E543" s="32">
        <f>IFERROR(IF(AND(ISNUMBER($A543),N(IF(AND(AH!$U$12=1,538+1=AH!$U$6),IF(AH!$U$4=0,"unavailable",INDEX('Market Data'!$AN$5:$AN$66,AH!$U$4)),IF(AH!$U$5=1,INDEX('Live History'!$B$5:$B$3004,$K543),INDEX('AH History'!$D$5:$GG$1380,$K543,AH!$U$10))))&gt;0),IF(AND(AH!$U$12=1,538+1=AH!$U$6),IF(AH!$U$4=0,"unavailable",INDEX('Market Data'!$AN$5:$AN$66,AH!$U$4)),IF(AH!$U$5=1,INDEX('Live History'!$B$5:$B$3004,$K543),INDEX('AH History'!$D$5:$GG$1380,$K543,AH!$U$10))),NA()),NA())</f>
        <v/>
      </c>
      <c r="F543" s="32">
        <f>IFERROR(IF(ISNUMBER($A543),IF(AND(AH!$U$12=1,538+1=AH!$U$6),IF(AH!$U$4=0,"unavailable",INDEX('Market Data'!$AO$5:$AO$66,AH!$U$4)),IF(AH!$U$5=1,INDEX('Live History'!$E$5:$E$3004,MATCH($A543,'Live History'!$D$5:$D$3004,1)),INDEX('AH History'!$D$5:$GG$1380,$K543,AH!$U$10+1))),NA()),NA())</f>
        <v/>
      </c>
      <c r="G543" s="34">
        <f>IFERROR(IF(ISNUMBER($A543),IF(AND(AH!$U$12=1,538+1=AH!$U$6),IF(AH!$U$4=0,"unavailable",INDEX('Market Data'!$AK$5:$AK$66,AH!$U$4)),IF(AH!$U$5=1,INDEX('Live History'!$D$5:$D$3004,MATCH($A543,'Live History'!$D$5:$D$3004,1)),INDEX('AH History'!$D$5:$GG$1380,$K543,AH!$U$10+2))),NA()),NA())</f>
        <v/>
      </c>
      <c r="H543" s="266">
        <f>IFERROR(IF(ISNUMBER($A543),IF(AND(AH!$U$12=1,538+1=AH!$U$6),IF(AH!$U$4=0,"unavailable",INDEX('Market Data'!$AP$5:$AP$66,AH!$U$4)),IF(AH!$U$5=1,INDEX('Live History'!$H$5:$H$3004,MATCH($A543,'Live History'!$G$5:$G$3004,1)),INDEX('AH History'!$B$5:$B$1380,$K543))),NA()),NA())</f>
        <v/>
      </c>
      <c r="I543" s="34">
        <f>IFERROR(IF(ISNUMBER($A543),IF(AND(AH!$U$12=1,538+1=AH!$U$6),TODAY(),IF(AH!$U$5=1,INDEX('Live History'!$G$5:$G$3004,MATCH($A543,'Live History'!$G$5:$G$3004,1)),INDEX('AH History'!$C$5:$C$1380,$K543))),NA()),NA())</f>
        <v/>
      </c>
      <c r="J543" s="32">
        <f>IFERROR(IF(AND($F543&gt;0,$H543&gt;0,$A543-$G543&lt;=10,$A543-$I543&lt;=5,$G543&gt;0,$I543&gt;0),$F543*$H543,NA()),NA())</f>
        <v/>
      </c>
      <c r="K543" s="15">
        <f>IF($A543="","",IF(AH!$U$5=1,IFERROR(MATCH($A543,'Live History'!$A$5:$A$3004,0),0),AH!$U$7+538))</f>
        <v/>
      </c>
      <c r="L543" s="15">
        <f>IF(ISNUMBER(A543),TEXT(A543,"dd-mmm-yy"),"")</f>
        <v/>
      </c>
    </row>
    <row r="544">
      <c r="A544" s="14">
        <f>IF(OR(AH!$U$4=0,539+1&gt;AH!$U$6,AND(AH!$M$5="Bloomberg",AH!$U$5=0)),"",IFERROR(IF(AND(AH!$U$12=1,539+1=AH!$U$6),TODAY(),IF(AH!$U$5=1,INDEX('Live History'!$A$5:$A$3004,AH!$U$7+539),INDEX('AH History'!$A$5:$A$1380,AH!$U$7+539))),""))</f>
        <v/>
      </c>
      <c r="B544" s="33">
        <f>IFERROR(IF(AH!$U$11=1,NA(),$J544/$E544-1),NA())</f>
        <v/>
      </c>
      <c r="C544" s="269">
        <f>IFERROR(100*$E544/$E$5,NA())</f>
        <v/>
      </c>
      <c r="D544" s="269">
        <f>IFERROR(100*$J544/$J$5,NA())</f>
        <v/>
      </c>
      <c r="E544" s="32">
        <f>IFERROR(IF(AND(ISNUMBER($A544),N(IF(AND(AH!$U$12=1,539+1=AH!$U$6),IF(AH!$U$4=0,"unavailable",INDEX('Market Data'!$AN$5:$AN$66,AH!$U$4)),IF(AH!$U$5=1,INDEX('Live History'!$B$5:$B$3004,$K544),INDEX('AH History'!$D$5:$GG$1380,$K544,AH!$U$10))))&gt;0),IF(AND(AH!$U$12=1,539+1=AH!$U$6),IF(AH!$U$4=0,"unavailable",INDEX('Market Data'!$AN$5:$AN$66,AH!$U$4)),IF(AH!$U$5=1,INDEX('Live History'!$B$5:$B$3004,$K544),INDEX('AH History'!$D$5:$GG$1380,$K544,AH!$U$10))),NA()),NA())</f>
        <v/>
      </c>
      <c r="F544" s="32">
        <f>IFERROR(IF(ISNUMBER($A544),IF(AND(AH!$U$12=1,539+1=AH!$U$6),IF(AH!$U$4=0,"unavailable",INDEX('Market Data'!$AO$5:$AO$66,AH!$U$4)),IF(AH!$U$5=1,INDEX('Live History'!$E$5:$E$3004,MATCH($A544,'Live History'!$D$5:$D$3004,1)),INDEX('AH History'!$D$5:$GG$1380,$K544,AH!$U$10+1))),NA()),NA())</f>
        <v/>
      </c>
      <c r="G544" s="34">
        <f>IFERROR(IF(ISNUMBER($A544),IF(AND(AH!$U$12=1,539+1=AH!$U$6),IF(AH!$U$4=0,"unavailable",INDEX('Market Data'!$AK$5:$AK$66,AH!$U$4)),IF(AH!$U$5=1,INDEX('Live History'!$D$5:$D$3004,MATCH($A544,'Live History'!$D$5:$D$3004,1)),INDEX('AH History'!$D$5:$GG$1380,$K544,AH!$U$10+2))),NA()),NA())</f>
        <v/>
      </c>
      <c r="H544" s="266">
        <f>IFERROR(IF(ISNUMBER($A544),IF(AND(AH!$U$12=1,539+1=AH!$U$6),IF(AH!$U$4=0,"unavailable",INDEX('Market Data'!$AP$5:$AP$66,AH!$U$4)),IF(AH!$U$5=1,INDEX('Live History'!$H$5:$H$3004,MATCH($A544,'Live History'!$G$5:$G$3004,1)),INDEX('AH History'!$B$5:$B$1380,$K544))),NA()),NA())</f>
        <v/>
      </c>
      <c r="I544" s="34">
        <f>IFERROR(IF(ISNUMBER($A544),IF(AND(AH!$U$12=1,539+1=AH!$U$6),TODAY(),IF(AH!$U$5=1,INDEX('Live History'!$G$5:$G$3004,MATCH($A544,'Live History'!$G$5:$G$3004,1)),INDEX('AH History'!$C$5:$C$1380,$K544))),NA()),NA())</f>
        <v/>
      </c>
      <c r="J544" s="32">
        <f>IFERROR(IF(AND($F544&gt;0,$H544&gt;0,$A544-$G544&lt;=10,$A544-$I544&lt;=5,$G544&gt;0,$I544&gt;0),$F544*$H544,NA()),NA())</f>
        <v/>
      </c>
      <c r="K544" s="15">
        <f>IF($A544="","",IF(AH!$U$5=1,IFERROR(MATCH($A544,'Live History'!$A$5:$A$3004,0),0),AH!$U$7+539))</f>
        <v/>
      </c>
      <c r="L544" s="15">
        <f>IF(ISNUMBER(A544),TEXT(A544,"dd-mmm-yy"),"")</f>
        <v/>
      </c>
    </row>
    <row r="545">
      <c r="A545" s="14">
        <f>IF(OR(AH!$U$4=0,540+1&gt;AH!$U$6,AND(AH!$M$5="Bloomberg",AH!$U$5=0)),"",IFERROR(IF(AND(AH!$U$12=1,540+1=AH!$U$6),TODAY(),IF(AH!$U$5=1,INDEX('Live History'!$A$5:$A$3004,AH!$U$7+540),INDEX('AH History'!$A$5:$A$1380,AH!$U$7+540))),""))</f>
        <v/>
      </c>
      <c r="B545" s="33">
        <f>IFERROR(IF(AH!$U$11=1,NA(),$J545/$E545-1),NA())</f>
        <v/>
      </c>
      <c r="C545" s="269">
        <f>IFERROR(100*$E545/$E$5,NA())</f>
        <v/>
      </c>
      <c r="D545" s="269">
        <f>IFERROR(100*$J545/$J$5,NA())</f>
        <v/>
      </c>
      <c r="E545" s="32">
        <f>IFERROR(IF(AND(ISNUMBER($A545),N(IF(AND(AH!$U$12=1,540+1=AH!$U$6),IF(AH!$U$4=0,"unavailable",INDEX('Market Data'!$AN$5:$AN$66,AH!$U$4)),IF(AH!$U$5=1,INDEX('Live History'!$B$5:$B$3004,$K545),INDEX('AH History'!$D$5:$GG$1380,$K545,AH!$U$10))))&gt;0),IF(AND(AH!$U$12=1,540+1=AH!$U$6),IF(AH!$U$4=0,"unavailable",INDEX('Market Data'!$AN$5:$AN$66,AH!$U$4)),IF(AH!$U$5=1,INDEX('Live History'!$B$5:$B$3004,$K545),INDEX('AH History'!$D$5:$GG$1380,$K545,AH!$U$10))),NA()),NA())</f>
        <v/>
      </c>
      <c r="F545" s="32">
        <f>IFERROR(IF(ISNUMBER($A545),IF(AND(AH!$U$12=1,540+1=AH!$U$6),IF(AH!$U$4=0,"unavailable",INDEX('Market Data'!$AO$5:$AO$66,AH!$U$4)),IF(AH!$U$5=1,INDEX('Live History'!$E$5:$E$3004,MATCH($A545,'Live History'!$D$5:$D$3004,1)),INDEX('AH History'!$D$5:$GG$1380,$K545,AH!$U$10+1))),NA()),NA())</f>
        <v/>
      </c>
      <c r="G545" s="34">
        <f>IFERROR(IF(ISNUMBER($A545),IF(AND(AH!$U$12=1,540+1=AH!$U$6),IF(AH!$U$4=0,"unavailable",INDEX('Market Data'!$AK$5:$AK$66,AH!$U$4)),IF(AH!$U$5=1,INDEX('Live History'!$D$5:$D$3004,MATCH($A545,'Live History'!$D$5:$D$3004,1)),INDEX('AH History'!$D$5:$GG$1380,$K545,AH!$U$10+2))),NA()),NA())</f>
        <v/>
      </c>
      <c r="H545" s="266">
        <f>IFERROR(IF(ISNUMBER($A545),IF(AND(AH!$U$12=1,540+1=AH!$U$6),IF(AH!$U$4=0,"unavailable",INDEX('Market Data'!$AP$5:$AP$66,AH!$U$4)),IF(AH!$U$5=1,INDEX('Live History'!$H$5:$H$3004,MATCH($A545,'Live History'!$G$5:$G$3004,1)),INDEX('AH History'!$B$5:$B$1380,$K545))),NA()),NA())</f>
        <v/>
      </c>
      <c r="I545" s="34">
        <f>IFERROR(IF(ISNUMBER($A545),IF(AND(AH!$U$12=1,540+1=AH!$U$6),TODAY(),IF(AH!$U$5=1,INDEX('Live History'!$G$5:$G$3004,MATCH($A545,'Live History'!$G$5:$G$3004,1)),INDEX('AH History'!$C$5:$C$1380,$K545))),NA()),NA())</f>
        <v/>
      </c>
      <c r="J545" s="32">
        <f>IFERROR(IF(AND($F545&gt;0,$H545&gt;0,$A545-$G545&lt;=10,$A545-$I545&lt;=5,$G545&gt;0,$I545&gt;0),$F545*$H545,NA()),NA())</f>
        <v/>
      </c>
      <c r="K545" s="15">
        <f>IF($A545="","",IF(AH!$U$5=1,IFERROR(MATCH($A545,'Live History'!$A$5:$A$3004,0),0),AH!$U$7+540))</f>
        <v/>
      </c>
      <c r="L545" s="15">
        <f>IF(ISNUMBER(A545),TEXT(A545,"dd-mmm-yy"),"")</f>
        <v/>
      </c>
    </row>
    <row r="546">
      <c r="A546" s="14">
        <f>IF(OR(AH!$U$4=0,541+1&gt;AH!$U$6,AND(AH!$M$5="Bloomberg",AH!$U$5=0)),"",IFERROR(IF(AND(AH!$U$12=1,541+1=AH!$U$6),TODAY(),IF(AH!$U$5=1,INDEX('Live History'!$A$5:$A$3004,AH!$U$7+541),INDEX('AH History'!$A$5:$A$1380,AH!$U$7+541))),""))</f>
        <v/>
      </c>
      <c r="B546" s="33">
        <f>IFERROR(IF(AH!$U$11=1,NA(),$J546/$E546-1),NA())</f>
        <v/>
      </c>
      <c r="C546" s="269">
        <f>IFERROR(100*$E546/$E$5,NA())</f>
        <v/>
      </c>
      <c r="D546" s="269">
        <f>IFERROR(100*$J546/$J$5,NA())</f>
        <v/>
      </c>
      <c r="E546" s="32">
        <f>IFERROR(IF(AND(ISNUMBER($A546),N(IF(AND(AH!$U$12=1,541+1=AH!$U$6),IF(AH!$U$4=0,"unavailable",INDEX('Market Data'!$AN$5:$AN$66,AH!$U$4)),IF(AH!$U$5=1,INDEX('Live History'!$B$5:$B$3004,$K546),INDEX('AH History'!$D$5:$GG$1380,$K546,AH!$U$10))))&gt;0),IF(AND(AH!$U$12=1,541+1=AH!$U$6),IF(AH!$U$4=0,"unavailable",INDEX('Market Data'!$AN$5:$AN$66,AH!$U$4)),IF(AH!$U$5=1,INDEX('Live History'!$B$5:$B$3004,$K546),INDEX('AH History'!$D$5:$GG$1380,$K546,AH!$U$10))),NA()),NA())</f>
        <v/>
      </c>
      <c r="F546" s="32">
        <f>IFERROR(IF(ISNUMBER($A546),IF(AND(AH!$U$12=1,541+1=AH!$U$6),IF(AH!$U$4=0,"unavailable",INDEX('Market Data'!$AO$5:$AO$66,AH!$U$4)),IF(AH!$U$5=1,INDEX('Live History'!$E$5:$E$3004,MATCH($A546,'Live History'!$D$5:$D$3004,1)),INDEX('AH History'!$D$5:$GG$1380,$K546,AH!$U$10+1))),NA()),NA())</f>
        <v/>
      </c>
      <c r="G546" s="34">
        <f>IFERROR(IF(ISNUMBER($A546),IF(AND(AH!$U$12=1,541+1=AH!$U$6),IF(AH!$U$4=0,"unavailable",INDEX('Market Data'!$AK$5:$AK$66,AH!$U$4)),IF(AH!$U$5=1,INDEX('Live History'!$D$5:$D$3004,MATCH($A546,'Live History'!$D$5:$D$3004,1)),INDEX('AH History'!$D$5:$GG$1380,$K546,AH!$U$10+2))),NA()),NA())</f>
        <v/>
      </c>
      <c r="H546" s="266">
        <f>IFERROR(IF(ISNUMBER($A546),IF(AND(AH!$U$12=1,541+1=AH!$U$6),IF(AH!$U$4=0,"unavailable",INDEX('Market Data'!$AP$5:$AP$66,AH!$U$4)),IF(AH!$U$5=1,INDEX('Live History'!$H$5:$H$3004,MATCH($A546,'Live History'!$G$5:$G$3004,1)),INDEX('AH History'!$B$5:$B$1380,$K546))),NA()),NA())</f>
        <v/>
      </c>
      <c r="I546" s="34">
        <f>IFERROR(IF(ISNUMBER($A546),IF(AND(AH!$U$12=1,541+1=AH!$U$6),TODAY(),IF(AH!$U$5=1,INDEX('Live History'!$G$5:$G$3004,MATCH($A546,'Live History'!$G$5:$G$3004,1)),INDEX('AH History'!$C$5:$C$1380,$K546))),NA()),NA())</f>
        <v/>
      </c>
      <c r="J546" s="32">
        <f>IFERROR(IF(AND($F546&gt;0,$H546&gt;0,$A546-$G546&lt;=10,$A546-$I546&lt;=5,$G546&gt;0,$I546&gt;0),$F546*$H546,NA()),NA())</f>
        <v/>
      </c>
      <c r="K546" s="15">
        <f>IF($A546="","",IF(AH!$U$5=1,IFERROR(MATCH($A546,'Live History'!$A$5:$A$3004,0),0),AH!$U$7+541))</f>
        <v/>
      </c>
      <c r="L546" s="15">
        <f>IF(ISNUMBER(A546),TEXT(A546,"dd-mmm-yy"),"")</f>
        <v/>
      </c>
    </row>
    <row r="547">
      <c r="A547" s="14">
        <f>IF(OR(AH!$U$4=0,542+1&gt;AH!$U$6,AND(AH!$M$5="Bloomberg",AH!$U$5=0)),"",IFERROR(IF(AND(AH!$U$12=1,542+1=AH!$U$6),TODAY(),IF(AH!$U$5=1,INDEX('Live History'!$A$5:$A$3004,AH!$U$7+542),INDEX('AH History'!$A$5:$A$1380,AH!$U$7+542))),""))</f>
        <v/>
      </c>
      <c r="B547" s="33">
        <f>IFERROR(IF(AH!$U$11=1,NA(),$J547/$E547-1),NA())</f>
        <v/>
      </c>
      <c r="C547" s="269">
        <f>IFERROR(100*$E547/$E$5,NA())</f>
        <v/>
      </c>
      <c r="D547" s="269">
        <f>IFERROR(100*$J547/$J$5,NA())</f>
        <v/>
      </c>
      <c r="E547" s="32">
        <f>IFERROR(IF(AND(ISNUMBER($A547),N(IF(AND(AH!$U$12=1,542+1=AH!$U$6),IF(AH!$U$4=0,"unavailable",INDEX('Market Data'!$AN$5:$AN$66,AH!$U$4)),IF(AH!$U$5=1,INDEX('Live History'!$B$5:$B$3004,$K547),INDEX('AH History'!$D$5:$GG$1380,$K547,AH!$U$10))))&gt;0),IF(AND(AH!$U$12=1,542+1=AH!$U$6),IF(AH!$U$4=0,"unavailable",INDEX('Market Data'!$AN$5:$AN$66,AH!$U$4)),IF(AH!$U$5=1,INDEX('Live History'!$B$5:$B$3004,$K547),INDEX('AH History'!$D$5:$GG$1380,$K547,AH!$U$10))),NA()),NA())</f>
        <v/>
      </c>
      <c r="F547" s="32">
        <f>IFERROR(IF(ISNUMBER($A547),IF(AND(AH!$U$12=1,542+1=AH!$U$6),IF(AH!$U$4=0,"unavailable",INDEX('Market Data'!$AO$5:$AO$66,AH!$U$4)),IF(AH!$U$5=1,INDEX('Live History'!$E$5:$E$3004,MATCH($A547,'Live History'!$D$5:$D$3004,1)),INDEX('AH History'!$D$5:$GG$1380,$K547,AH!$U$10+1))),NA()),NA())</f>
        <v/>
      </c>
      <c r="G547" s="34">
        <f>IFERROR(IF(ISNUMBER($A547),IF(AND(AH!$U$12=1,542+1=AH!$U$6),IF(AH!$U$4=0,"unavailable",INDEX('Market Data'!$AK$5:$AK$66,AH!$U$4)),IF(AH!$U$5=1,INDEX('Live History'!$D$5:$D$3004,MATCH($A547,'Live History'!$D$5:$D$3004,1)),INDEX('AH History'!$D$5:$GG$1380,$K547,AH!$U$10+2))),NA()),NA())</f>
        <v/>
      </c>
      <c r="H547" s="266">
        <f>IFERROR(IF(ISNUMBER($A547),IF(AND(AH!$U$12=1,542+1=AH!$U$6),IF(AH!$U$4=0,"unavailable",INDEX('Market Data'!$AP$5:$AP$66,AH!$U$4)),IF(AH!$U$5=1,INDEX('Live History'!$H$5:$H$3004,MATCH($A547,'Live History'!$G$5:$G$3004,1)),INDEX('AH History'!$B$5:$B$1380,$K547))),NA()),NA())</f>
        <v/>
      </c>
      <c r="I547" s="34">
        <f>IFERROR(IF(ISNUMBER($A547),IF(AND(AH!$U$12=1,542+1=AH!$U$6),TODAY(),IF(AH!$U$5=1,INDEX('Live History'!$G$5:$G$3004,MATCH($A547,'Live History'!$G$5:$G$3004,1)),INDEX('AH History'!$C$5:$C$1380,$K547))),NA()),NA())</f>
        <v/>
      </c>
      <c r="J547" s="32">
        <f>IFERROR(IF(AND($F547&gt;0,$H547&gt;0,$A547-$G547&lt;=10,$A547-$I547&lt;=5,$G547&gt;0,$I547&gt;0),$F547*$H547,NA()),NA())</f>
        <v/>
      </c>
      <c r="K547" s="15">
        <f>IF($A547="","",IF(AH!$U$5=1,IFERROR(MATCH($A547,'Live History'!$A$5:$A$3004,0),0),AH!$U$7+542))</f>
        <v/>
      </c>
      <c r="L547" s="15">
        <f>IF(ISNUMBER(A547),TEXT(A547,"dd-mmm-yy"),"")</f>
        <v/>
      </c>
    </row>
    <row r="548">
      <c r="A548" s="14">
        <f>IF(OR(AH!$U$4=0,543+1&gt;AH!$U$6,AND(AH!$M$5="Bloomberg",AH!$U$5=0)),"",IFERROR(IF(AND(AH!$U$12=1,543+1=AH!$U$6),TODAY(),IF(AH!$U$5=1,INDEX('Live History'!$A$5:$A$3004,AH!$U$7+543),INDEX('AH History'!$A$5:$A$1380,AH!$U$7+543))),""))</f>
        <v/>
      </c>
      <c r="B548" s="33">
        <f>IFERROR(IF(AH!$U$11=1,NA(),$J548/$E548-1),NA())</f>
        <v/>
      </c>
      <c r="C548" s="269">
        <f>IFERROR(100*$E548/$E$5,NA())</f>
        <v/>
      </c>
      <c r="D548" s="269">
        <f>IFERROR(100*$J548/$J$5,NA())</f>
        <v/>
      </c>
      <c r="E548" s="32">
        <f>IFERROR(IF(AND(ISNUMBER($A548),N(IF(AND(AH!$U$12=1,543+1=AH!$U$6),IF(AH!$U$4=0,"unavailable",INDEX('Market Data'!$AN$5:$AN$66,AH!$U$4)),IF(AH!$U$5=1,INDEX('Live History'!$B$5:$B$3004,$K548),INDEX('AH History'!$D$5:$GG$1380,$K548,AH!$U$10))))&gt;0),IF(AND(AH!$U$12=1,543+1=AH!$U$6),IF(AH!$U$4=0,"unavailable",INDEX('Market Data'!$AN$5:$AN$66,AH!$U$4)),IF(AH!$U$5=1,INDEX('Live History'!$B$5:$B$3004,$K548),INDEX('AH History'!$D$5:$GG$1380,$K548,AH!$U$10))),NA()),NA())</f>
        <v/>
      </c>
      <c r="F548" s="32">
        <f>IFERROR(IF(ISNUMBER($A548),IF(AND(AH!$U$12=1,543+1=AH!$U$6),IF(AH!$U$4=0,"unavailable",INDEX('Market Data'!$AO$5:$AO$66,AH!$U$4)),IF(AH!$U$5=1,INDEX('Live History'!$E$5:$E$3004,MATCH($A548,'Live History'!$D$5:$D$3004,1)),INDEX('AH History'!$D$5:$GG$1380,$K548,AH!$U$10+1))),NA()),NA())</f>
        <v/>
      </c>
      <c r="G548" s="34">
        <f>IFERROR(IF(ISNUMBER($A548),IF(AND(AH!$U$12=1,543+1=AH!$U$6),IF(AH!$U$4=0,"unavailable",INDEX('Market Data'!$AK$5:$AK$66,AH!$U$4)),IF(AH!$U$5=1,INDEX('Live History'!$D$5:$D$3004,MATCH($A548,'Live History'!$D$5:$D$3004,1)),INDEX('AH History'!$D$5:$GG$1380,$K548,AH!$U$10+2))),NA()),NA())</f>
        <v/>
      </c>
      <c r="H548" s="266">
        <f>IFERROR(IF(ISNUMBER($A548),IF(AND(AH!$U$12=1,543+1=AH!$U$6),IF(AH!$U$4=0,"unavailable",INDEX('Market Data'!$AP$5:$AP$66,AH!$U$4)),IF(AH!$U$5=1,INDEX('Live History'!$H$5:$H$3004,MATCH($A548,'Live History'!$G$5:$G$3004,1)),INDEX('AH History'!$B$5:$B$1380,$K548))),NA()),NA())</f>
        <v/>
      </c>
      <c r="I548" s="34">
        <f>IFERROR(IF(ISNUMBER($A548),IF(AND(AH!$U$12=1,543+1=AH!$U$6),TODAY(),IF(AH!$U$5=1,INDEX('Live History'!$G$5:$G$3004,MATCH($A548,'Live History'!$G$5:$G$3004,1)),INDEX('AH History'!$C$5:$C$1380,$K548))),NA()),NA())</f>
        <v/>
      </c>
      <c r="J548" s="32">
        <f>IFERROR(IF(AND($F548&gt;0,$H548&gt;0,$A548-$G548&lt;=10,$A548-$I548&lt;=5,$G548&gt;0,$I548&gt;0),$F548*$H548,NA()),NA())</f>
        <v/>
      </c>
      <c r="K548" s="15">
        <f>IF($A548="","",IF(AH!$U$5=1,IFERROR(MATCH($A548,'Live History'!$A$5:$A$3004,0),0),AH!$U$7+543))</f>
        <v/>
      </c>
      <c r="L548" s="15">
        <f>IF(ISNUMBER(A548),TEXT(A548,"dd-mmm-yy"),"")</f>
        <v/>
      </c>
    </row>
    <row r="549">
      <c r="A549" s="14">
        <f>IF(OR(AH!$U$4=0,544+1&gt;AH!$U$6,AND(AH!$M$5="Bloomberg",AH!$U$5=0)),"",IFERROR(IF(AND(AH!$U$12=1,544+1=AH!$U$6),TODAY(),IF(AH!$U$5=1,INDEX('Live History'!$A$5:$A$3004,AH!$U$7+544),INDEX('AH History'!$A$5:$A$1380,AH!$U$7+544))),""))</f>
        <v/>
      </c>
      <c r="B549" s="33">
        <f>IFERROR(IF(AH!$U$11=1,NA(),$J549/$E549-1),NA())</f>
        <v/>
      </c>
      <c r="C549" s="269">
        <f>IFERROR(100*$E549/$E$5,NA())</f>
        <v/>
      </c>
      <c r="D549" s="269">
        <f>IFERROR(100*$J549/$J$5,NA())</f>
        <v/>
      </c>
      <c r="E549" s="32">
        <f>IFERROR(IF(AND(ISNUMBER($A549),N(IF(AND(AH!$U$12=1,544+1=AH!$U$6),IF(AH!$U$4=0,"unavailable",INDEX('Market Data'!$AN$5:$AN$66,AH!$U$4)),IF(AH!$U$5=1,INDEX('Live History'!$B$5:$B$3004,$K549),INDEX('AH History'!$D$5:$GG$1380,$K549,AH!$U$10))))&gt;0),IF(AND(AH!$U$12=1,544+1=AH!$U$6),IF(AH!$U$4=0,"unavailable",INDEX('Market Data'!$AN$5:$AN$66,AH!$U$4)),IF(AH!$U$5=1,INDEX('Live History'!$B$5:$B$3004,$K549),INDEX('AH History'!$D$5:$GG$1380,$K549,AH!$U$10))),NA()),NA())</f>
        <v/>
      </c>
      <c r="F549" s="32">
        <f>IFERROR(IF(ISNUMBER($A549),IF(AND(AH!$U$12=1,544+1=AH!$U$6),IF(AH!$U$4=0,"unavailable",INDEX('Market Data'!$AO$5:$AO$66,AH!$U$4)),IF(AH!$U$5=1,INDEX('Live History'!$E$5:$E$3004,MATCH($A549,'Live History'!$D$5:$D$3004,1)),INDEX('AH History'!$D$5:$GG$1380,$K549,AH!$U$10+1))),NA()),NA())</f>
        <v/>
      </c>
      <c r="G549" s="34">
        <f>IFERROR(IF(ISNUMBER($A549),IF(AND(AH!$U$12=1,544+1=AH!$U$6),IF(AH!$U$4=0,"unavailable",INDEX('Market Data'!$AK$5:$AK$66,AH!$U$4)),IF(AH!$U$5=1,INDEX('Live History'!$D$5:$D$3004,MATCH($A549,'Live History'!$D$5:$D$3004,1)),INDEX('AH History'!$D$5:$GG$1380,$K549,AH!$U$10+2))),NA()),NA())</f>
        <v/>
      </c>
      <c r="H549" s="266">
        <f>IFERROR(IF(ISNUMBER($A549),IF(AND(AH!$U$12=1,544+1=AH!$U$6),IF(AH!$U$4=0,"unavailable",INDEX('Market Data'!$AP$5:$AP$66,AH!$U$4)),IF(AH!$U$5=1,INDEX('Live History'!$H$5:$H$3004,MATCH($A549,'Live History'!$G$5:$G$3004,1)),INDEX('AH History'!$B$5:$B$1380,$K549))),NA()),NA())</f>
        <v/>
      </c>
      <c r="I549" s="34">
        <f>IFERROR(IF(ISNUMBER($A549),IF(AND(AH!$U$12=1,544+1=AH!$U$6),TODAY(),IF(AH!$U$5=1,INDEX('Live History'!$G$5:$G$3004,MATCH($A549,'Live History'!$G$5:$G$3004,1)),INDEX('AH History'!$C$5:$C$1380,$K549))),NA()),NA())</f>
        <v/>
      </c>
      <c r="J549" s="32">
        <f>IFERROR(IF(AND($F549&gt;0,$H549&gt;0,$A549-$G549&lt;=10,$A549-$I549&lt;=5,$G549&gt;0,$I549&gt;0),$F549*$H549,NA()),NA())</f>
        <v/>
      </c>
      <c r="K549" s="15">
        <f>IF($A549="","",IF(AH!$U$5=1,IFERROR(MATCH($A549,'Live History'!$A$5:$A$3004,0),0),AH!$U$7+544))</f>
        <v/>
      </c>
      <c r="L549" s="15">
        <f>IF(ISNUMBER(A549),TEXT(A549,"dd-mmm-yy"),"")</f>
        <v/>
      </c>
    </row>
    <row r="550">
      <c r="A550" s="14">
        <f>IF(OR(AH!$U$4=0,545+1&gt;AH!$U$6,AND(AH!$M$5="Bloomberg",AH!$U$5=0)),"",IFERROR(IF(AND(AH!$U$12=1,545+1=AH!$U$6),TODAY(),IF(AH!$U$5=1,INDEX('Live History'!$A$5:$A$3004,AH!$U$7+545),INDEX('AH History'!$A$5:$A$1380,AH!$U$7+545))),""))</f>
        <v/>
      </c>
      <c r="B550" s="33">
        <f>IFERROR(IF(AH!$U$11=1,NA(),$J550/$E550-1),NA())</f>
        <v/>
      </c>
      <c r="C550" s="269">
        <f>IFERROR(100*$E550/$E$5,NA())</f>
        <v/>
      </c>
      <c r="D550" s="269">
        <f>IFERROR(100*$J550/$J$5,NA())</f>
        <v/>
      </c>
      <c r="E550" s="32">
        <f>IFERROR(IF(AND(ISNUMBER($A550),N(IF(AND(AH!$U$12=1,545+1=AH!$U$6),IF(AH!$U$4=0,"unavailable",INDEX('Market Data'!$AN$5:$AN$66,AH!$U$4)),IF(AH!$U$5=1,INDEX('Live History'!$B$5:$B$3004,$K550),INDEX('AH History'!$D$5:$GG$1380,$K550,AH!$U$10))))&gt;0),IF(AND(AH!$U$12=1,545+1=AH!$U$6),IF(AH!$U$4=0,"unavailable",INDEX('Market Data'!$AN$5:$AN$66,AH!$U$4)),IF(AH!$U$5=1,INDEX('Live History'!$B$5:$B$3004,$K550),INDEX('AH History'!$D$5:$GG$1380,$K550,AH!$U$10))),NA()),NA())</f>
        <v/>
      </c>
      <c r="F550" s="32">
        <f>IFERROR(IF(ISNUMBER($A550),IF(AND(AH!$U$12=1,545+1=AH!$U$6),IF(AH!$U$4=0,"unavailable",INDEX('Market Data'!$AO$5:$AO$66,AH!$U$4)),IF(AH!$U$5=1,INDEX('Live History'!$E$5:$E$3004,MATCH($A550,'Live History'!$D$5:$D$3004,1)),INDEX('AH History'!$D$5:$GG$1380,$K550,AH!$U$10+1))),NA()),NA())</f>
        <v/>
      </c>
      <c r="G550" s="34">
        <f>IFERROR(IF(ISNUMBER($A550),IF(AND(AH!$U$12=1,545+1=AH!$U$6),IF(AH!$U$4=0,"unavailable",INDEX('Market Data'!$AK$5:$AK$66,AH!$U$4)),IF(AH!$U$5=1,INDEX('Live History'!$D$5:$D$3004,MATCH($A550,'Live History'!$D$5:$D$3004,1)),INDEX('AH History'!$D$5:$GG$1380,$K550,AH!$U$10+2))),NA()),NA())</f>
        <v/>
      </c>
      <c r="H550" s="266">
        <f>IFERROR(IF(ISNUMBER($A550),IF(AND(AH!$U$12=1,545+1=AH!$U$6),IF(AH!$U$4=0,"unavailable",INDEX('Market Data'!$AP$5:$AP$66,AH!$U$4)),IF(AH!$U$5=1,INDEX('Live History'!$H$5:$H$3004,MATCH($A550,'Live History'!$G$5:$G$3004,1)),INDEX('AH History'!$B$5:$B$1380,$K550))),NA()),NA())</f>
        <v/>
      </c>
      <c r="I550" s="34">
        <f>IFERROR(IF(ISNUMBER($A550),IF(AND(AH!$U$12=1,545+1=AH!$U$6),TODAY(),IF(AH!$U$5=1,INDEX('Live History'!$G$5:$G$3004,MATCH($A550,'Live History'!$G$5:$G$3004,1)),INDEX('AH History'!$C$5:$C$1380,$K550))),NA()),NA())</f>
        <v/>
      </c>
      <c r="J550" s="32">
        <f>IFERROR(IF(AND($F550&gt;0,$H550&gt;0,$A550-$G550&lt;=10,$A550-$I550&lt;=5,$G550&gt;0,$I550&gt;0),$F550*$H550,NA()),NA())</f>
        <v/>
      </c>
      <c r="K550" s="15">
        <f>IF($A550="","",IF(AH!$U$5=1,IFERROR(MATCH($A550,'Live History'!$A$5:$A$3004,0),0),AH!$U$7+545))</f>
        <v/>
      </c>
      <c r="L550" s="15">
        <f>IF(ISNUMBER(A550),TEXT(A550,"dd-mmm-yy"),"")</f>
        <v/>
      </c>
    </row>
    <row r="551">
      <c r="A551" s="14">
        <f>IF(OR(AH!$U$4=0,546+1&gt;AH!$U$6,AND(AH!$M$5="Bloomberg",AH!$U$5=0)),"",IFERROR(IF(AND(AH!$U$12=1,546+1=AH!$U$6),TODAY(),IF(AH!$U$5=1,INDEX('Live History'!$A$5:$A$3004,AH!$U$7+546),INDEX('AH History'!$A$5:$A$1380,AH!$U$7+546))),""))</f>
        <v/>
      </c>
      <c r="B551" s="33">
        <f>IFERROR(IF(AH!$U$11=1,NA(),$J551/$E551-1),NA())</f>
        <v/>
      </c>
      <c r="C551" s="269">
        <f>IFERROR(100*$E551/$E$5,NA())</f>
        <v/>
      </c>
      <c r="D551" s="269">
        <f>IFERROR(100*$J551/$J$5,NA())</f>
        <v/>
      </c>
      <c r="E551" s="32">
        <f>IFERROR(IF(AND(ISNUMBER($A551),N(IF(AND(AH!$U$12=1,546+1=AH!$U$6),IF(AH!$U$4=0,"unavailable",INDEX('Market Data'!$AN$5:$AN$66,AH!$U$4)),IF(AH!$U$5=1,INDEX('Live History'!$B$5:$B$3004,$K551),INDEX('AH History'!$D$5:$GG$1380,$K551,AH!$U$10))))&gt;0),IF(AND(AH!$U$12=1,546+1=AH!$U$6),IF(AH!$U$4=0,"unavailable",INDEX('Market Data'!$AN$5:$AN$66,AH!$U$4)),IF(AH!$U$5=1,INDEX('Live History'!$B$5:$B$3004,$K551),INDEX('AH History'!$D$5:$GG$1380,$K551,AH!$U$10))),NA()),NA())</f>
        <v/>
      </c>
      <c r="F551" s="32">
        <f>IFERROR(IF(ISNUMBER($A551),IF(AND(AH!$U$12=1,546+1=AH!$U$6),IF(AH!$U$4=0,"unavailable",INDEX('Market Data'!$AO$5:$AO$66,AH!$U$4)),IF(AH!$U$5=1,INDEX('Live History'!$E$5:$E$3004,MATCH($A551,'Live History'!$D$5:$D$3004,1)),INDEX('AH History'!$D$5:$GG$1380,$K551,AH!$U$10+1))),NA()),NA())</f>
        <v/>
      </c>
      <c r="G551" s="34">
        <f>IFERROR(IF(ISNUMBER($A551),IF(AND(AH!$U$12=1,546+1=AH!$U$6),IF(AH!$U$4=0,"unavailable",INDEX('Market Data'!$AK$5:$AK$66,AH!$U$4)),IF(AH!$U$5=1,INDEX('Live History'!$D$5:$D$3004,MATCH($A551,'Live History'!$D$5:$D$3004,1)),INDEX('AH History'!$D$5:$GG$1380,$K551,AH!$U$10+2))),NA()),NA())</f>
        <v/>
      </c>
      <c r="H551" s="266">
        <f>IFERROR(IF(ISNUMBER($A551),IF(AND(AH!$U$12=1,546+1=AH!$U$6),IF(AH!$U$4=0,"unavailable",INDEX('Market Data'!$AP$5:$AP$66,AH!$U$4)),IF(AH!$U$5=1,INDEX('Live History'!$H$5:$H$3004,MATCH($A551,'Live History'!$G$5:$G$3004,1)),INDEX('AH History'!$B$5:$B$1380,$K551))),NA()),NA())</f>
        <v/>
      </c>
      <c r="I551" s="34">
        <f>IFERROR(IF(ISNUMBER($A551),IF(AND(AH!$U$12=1,546+1=AH!$U$6),TODAY(),IF(AH!$U$5=1,INDEX('Live History'!$G$5:$G$3004,MATCH($A551,'Live History'!$G$5:$G$3004,1)),INDEX('AH History'!$C$5:$C$1380,$K551))),NA()),NA())</f>
        <v/>
      </c>
      <c r="J551" s="32">
        <f>IFERROR(IF(AND($F551&gt;0,$H551&gt;0,$A551-$G551&lt;=10,$A551-$I551&lt;=5,$G551&gt;0,$I551&gt;0),$F551*$H551,NA()),NA())</f>
        <v/>
      </c>
      <c r="K551" s="15">
        <f>IF($A551="","",IF(AH!$U$5=1,IFERROR(MATCH($A551,'Live History'!$A$5:$A$3004,0),0),AH!$U$7+546))</f>
        <v/>
      </c>
      <c r="L551" s="15">
        <f>IF(ISNUMBER(A551),TEXT(A551,"dd-mmm-yy"),"")</f>
        <v/>
      </c>
    </row>
    <row r="552">
      <c r="A552" s="14">
        <f>IF(OR(AH!$U$4=0,547+1&gt;AH!$U$6,AND(AH!$M$5="Bloomberg",AH!$U$5=0)),"",IFERROR(IF(AND(AH!$U$12=1,547+1=AH!$U$6),TODAY(),IF(AH!$U$5=1,INDEX('Live History'!$A$5:$A$3004,AH!$U$7+547),INDEX('AH History'!$A$5:$A$1380,AH!$U$7+547))),""))</f>
        <v/>
      </c>
      <c r="B552" s="33">
        <f>IFERROR(IF(AH!$U$11=1,NA(),$J552/$E552-1),NA())</f>
        <v/>
      </c>
      <c r="C552" s="269">
        <f>IFERROR(100*$E552/$E$5,NA())</f>
        <v/>
      </c>
      <c r="D552" s="269">
        <f>IFERROR(100*$J552/$J$5,NA())</f>
        <v/>
      </c>
      <c r="E552" s="32">
        <f>IFERROR(IF(AND(ISNUMBER($A552),N(IF(AND(AH!$U$12=1,547+1=AH!$U$6),IF(AH!$U$4=0,"unavailable",INDEX('Market Data'!$AN$5:$AN$66,AH!$U$4)),IF(AH!$U$5=1,INDEX('Live History'!$B$5:$B$3004,$K552),INDEX('AH History'!$D$5:$GG$1380,$K552,AH!$U$10))))&gt;0),IF(AND(AH!$U$12=1,547+1=AH!$U$6),IF(AH!$U$4=0,"unavailable",INDEX('Market Data'!$AN$5:$AN$66,AH!$U$4)),IF(AH!$U$5=1,INDEX('Live History'!$B$5:$B$3004,$K552),INDEX('AH History'!$D$5:$GG$1380,$K552,AH!$U$10))),NA()),NA())</f>
        <v/>
      </c>
      <c r="F552" s="32">
        <f>IFERROR(IF(ISNUMBER($A552),IF(AND(AH!$U$12=1,547+1=AH!$U$6),IF(AH!$U$4=0,"unavailable",INDEX('Market Data'!$AO$5:$AO$66,AH!$U$4)),IF(AH!$U$5=1,INDEX('Live History'!$E$5:$E$3004,MATCH($A552,'Live History'!$D$5:$D$3004,1)),INDEX('AH History'!$D$5:$GG$1380,$K552,AH!$U$10+1))),NA()),NA())</f>
        <v/>
      </c>
      <c r="G552" s="34">
        <f>IFERROR(IF(ISNUMBER($A552),IF(AND(AH!$U$12=1,547+1=AH!$U$6),IF(AH!$U$4=0,"unavailable",INDEX('Market Data'!$AK$5:$AK$66,AH!$U$4)),IF(AH!$U$5=1,INDEX('Live History'!$D$5:$D$3004,MATCH($A552,'Live History'!$D$5:$D$3004,1)),INDEX('AH History'!$D$5:$GG$1380,$K552,AH!$U$10+2))),NA()),NA())</f>
        <v/>
      </c>
      <c r="H552" s="266">
        <f>IFERROR(IF(ISNUMBER($A552),IF(AND(AH!$U$12=1,547+1=AH!$U$6),IF(AH!$U$4=0,"unavailable",INDEX('Market Data'!$AP$5:$AP$66,AH!$U$4)),IF(AH!$U$5=1,INDEX('Live History'!$H$5:$H$3004,MATCH($A552,'Live History'!$G$5:$G$3004,1)),INDEX('AH History'!$B$5:$B$1380,$K552))),NA()),NA())</f>
        <v/>
      </c>
      <c r="I552" s="34">
        <f>IFERROR(IF(ISNUMBER($A552),IF(AND(AH!$U$12=1,547+1=AH!$U$6),TODAY(),IF(AH!$U$5=1,INDEX('Live History'!$G$5:$G$3004,MATCH($A552,'Live History'!$G$5:$G$3004,1)),INDEX('AH History'!$C$5:$C$1380,$K552))),NA()),NA())</f>
        <v/>
      </c>
      <c r="J552" s="32">
        <f>IFERROR(IF(AND($F552&gt;0,$H552&gt;0,$A552-$G552&lt;=10,$A552-$I552&lt;=5,$G552&gt;0,$I552&gt;0),$F552*$H552,NA()),NA())</f>
        <v/>
      </c>
      <c r="K552" s="15">
        <f>IF($A552="","",IF(AH!$U$5=1,IFERROR(MATCH($A552,'Live History'!$A$5:$A$3004,0),0),AH!$U$7+547))</f>
        <v/>
      </c>
      <c r="L552" s="15">
        <f>IF(ISNUMBER(A552),TEXT(A552,"dd-mmm-yy"),"")</f>
        <v/>
      </c>
    </row>
    <row r="553">
      <c r="A553" s="14">
        <f>IF(OR(AH!$U$4=0,548+1&gt;AH!$U$6,AND(AH!$M$5="Bloomberg",AH!$U$5=0)),"",IFERROR(IF(AND(AH!$U$12=1,548+1=AH!$U$6),TODAY(),IF(AH!$U$5=1,INDEX('Live History'!$A$5:$A$3004,AH!$U$7+548),INDEX('AH History'!$A$5:$A$1380,AH!$U$7+548))),""))</f>
        <v/>
      </c>
      <c r="B553" s="33">
        <f>IFERROR(IF(AH!$U$11=1,NA(),$J553/$E553-1),NA())</f>
        <v/>
      </c>
      <c r="C553" s="269">
        <f>IFERROR(100*$E553/$E$5,NA())</f>
        <v/>
      </c>
      <c r="D553" s="269">
        <f>IFERROR(100*$J553/$J$5,NA())</f>
        <v/>
      </c>
      <c r="E553" s="32">
        <f>IFERROR(IF(AND(ISNUMBER($A553),N(IF(AND(AH!$U$12=1,548+1=AH!$U$6),IF(AH!$U$4=0,"unavailable",INDEX('Market Data'!$AN$5:$AN$66,AH!$U$4)),IF(AH!$U$5=1,INDEX('Live History'!$B$5:$B$3004,$K553),INDEX('AH History'!$D$5:$GG$1380,$K553,AH!$U$10))))&gt;0),IF(AND(AH!$U$12=1,548+1=AH!$U$6),IF(AH!$U$4=0,"unavailable",INDEX('Market Data'!$AN$5:$AN$66,AH!$U$4)),IF(AH!$U$5=1,INDEX('Live History'!$B$5:$B$3004,$K553),INDEX('AH History'!$D$5:$GG$1380,$K553,AH!$U$10))),NA()),NA())</f>
        <v/>
      </c>
      <c r="F553" s="32">
        <f>IFERROR(IF(ISNUMBER($A553),IF(AND(AH!$U$12=1,548+1=AH!$U$6),IF(AH!$U$4=0,"unavailable",INDEX('Market Data'!$AO$5:$AO$66,AH!$U$4)),IF(AH!$U$5=1,INDEX('Live History'!$E$5:$E$3004,MATCH($A553,'Live History'!$D$5:$D$3004,1)),INDEX('AH History'!$D$5:$GG$1380,$K553,AH!$U$10+1))),NA()),NA())</f>
        <v/>
      </c>
      <c r="G553" s="34">
        <f>IFERROR(IF(ISNUMBER($A553),IF(AND(AH!$U$12=1,548+1=AH!$U$6),IF(AH!$U$4=0,"unavailable",INDEX('Market Data'!$AK$5:$AK$66,AH!$U$4)),IF(AH!$U$5=1,INDEX('Live History'!$D$5:$D$3004,MATCH($A553,'Live History'!$D$5:$D$3004,1)),INDEX('AH History'!$D$5:$GG$1380,$K553,AH!$U$10+2))),NA()),NA())</f>
        <v/>
      </c>
      <c r="H553" s="266">
        <f>IFERROR(IF(ISNUMBER($A553),IF(AND(AH!$U$12=1,548+1=AH!$U$6),IF(AH!$U$4=0,"unavailable",INDEX('Market Data'!$AP$5:$AP$66,AH!$U$4)),IF(AH!$U$5=1,INDEX('Live History'!$H$5:$H$3004,MATCH($A553,'Live History'!$G$5:$G$3004,1)),INDEX('AH History'!$B$5:$B$1380,$K553))),NA()),NA())</f>
        <v/>
      </c>
      <c r="I553" s="34">
        <f>IFERROR(IF(ISNUMBER($A553),IF(AND(AH!$U$12=1,548+1=AH!$U$6),TODAY(),IF(AH!$U$5=1,INDEX('Live History'!$G$5:$G$3004,MATCH($A553,'Live History'!$G$5:$G$3004,1)),INDEX('AH History'!$C$5:$C$1380,$K553))),NA()),NA())</f>
        <v/>
      </c>
      <c r="J553" s="32">
        <f>IFERROR(IF(AND($F553&gt;0,$H553&gt;0,$A553-$G553&lt;=10,$A553-$I553&lt;=5,$G553&gt;0,$I553&gt;0),$F553*$H553,NA()),NA())</f>
        <v/>
      </c>
      <c r="K553" s="15">
        <f>IF($A553="","",IF(AH!$U$5=1,IFERROR(MATCH($A553,'Live History'!$A$5:$A$3004,0),0),AH!$U$7+548))</f>
        <v/>
      </c>
      <c r="L553" s="15">
        <f>IF(ISNUMBER(A553),TEXT(A553,"dd-mmm-yy"),"")</f>
        <v/>
      </c>
    </row>
    <row r="554">
      <c r="A554" s="14">
        <f>IF(OR(AH!$U$4=0,549+1&gt;AH!$U$6,AND(AH!$M$5="Bloomberg",AH!$U$5=0)),"",IFERROR(IF(AND(AH!$U$12=1,549+1=AH!$U$6),TODAY(),IF(AH!$U$5=1,INDEX('Live History'!$A$5:$A$3004,AH!$U$7+549),INDEX('AH History'!$A$5:$A$1380,AH!$U$7+549))),""))</f>
        <v/>
      </c>
      <c r="B554" s="33">
        <f>IFERROR(IF(AH!$U$11=1,NA(),$J554/$E554-1),NA())</f>
        <v/>
      </c>
      <c r="C554" s="269">
        <f>IFERROR(100*$E554/$E$5,NA())</f>
        <v/>
      </c>
      <c r="D554" s="269">
        <f>IFERROR(100*$J554/$J$5,NA())</f>
        <v/>
      </c>
      <c r="E554" s="32">
        <f>IFERROR(IF(AND(ISNUMBER($A554),N(IF(AND(AH!$U$12=1,549+1=AH!$U$6),IF(AH!$U$4=0,"unavailable",INDEX('Market Data'!$AN$5:$AN$66,AH!$U$4)),IF(AH!$U$5=1,INDEX('Live History'!$B$5:$B$3004,$K554),INDEX('AH History'!$D$5:$GG$1380,$K554,AH!$U$10))))&gt;0),IF(AND(AH!$U$12=1,549+1=AH!$U$6),IF(AH!$U$4=0,"unavailable",INDEX('Market Data'!$AN$5:$AN$66,AH!$U$4)),IF(AH!$U$5=1,INDEX('Live History'!$B$5:$B$3004,$K554),INDEX('AH History'!$D$5:$GG$1380,$K554,AH!$U$10))),NA()),NA())</f>
        <v/>
      </c>
      <c r="F554" s="32">
        <f>IFERROR(IF(ISNUMBER($A554),IF(AND(AH!$U$12=1,549+1=AH!$U$6),IF(AH!$U$4=0,"unavailable",INDEX('Market Data'!$AO$5:$AO$66,AH!$U$4)),IF(AH!$U$5=1,INDEX('Live History'!$E$5:$E$3004,MATCH($A554,'Live History'!$D$5:$D$3004,1)),INDEX('AH History'!$D$5:$GG$1380,$K554,AH!$U$10+1))),NA()),NA())</f>
        <v/>
      </c>
      <c r="G554" s="34">
        <f>IFERROR(IF(ISNUMBER($A554),IF(AND(AH!$U$12=1,549+1=AH!$U$6),IF(AH!$U$4=0,"unavailable",INDEX('Market Data'!$AK$5:$AK$66,AH!$U$4)),IF(AH!$U$5=1,INDEX('Live History'!$D$5:$D$3004,MATCH($A554,'Live History'!$D$5:$D$3004,1)),INDEX('AH History'!$D$5:$GG$1380,$K554,AH!$U$10+2))),NA()),NA())</f>
        <v/>
      </c>
      <c r="H554" s="266">
        <f>IFERROR(IF(ISNUMBER($A554),IF(AND(AH!$U$12=1,549+1=AH!$U$6),IF(AH!$U$4=0,"unavailable",INDEX('Market Data'!$AP$5:$AP$66,AH!$U$4)),IF(AH!$U$5=1,INDEX('Live History'!$H$5:$H$3004,MATCH($A554,'Live History'!$G$5:$G$3004,1)),INDEX('AH History'!$B$5:$B$1380,$K554))),NA()),NA())</f>
        <v/>
      </c>
      <c r="I554" s="34">
        <f>IFERROR(IF(ISNUMBER($A554),IF(AND(AH!$U$12=1,549+1=AH!$U$6),TODAY(),IF(AH!$U$5=1,INDEX('Live History'!$G$5:$G$3004,MATCH($A554,'Live History'!$G$5:$G$3004,1)),INDEX('AH History'!$C$5:$C$1380,$K554))),NA()),NA())</f>
        <v/>
      </c>
      <c r="J554" s="32">
        <f>IFERROR(IF(AND($F554&gt;0,$H554&gt;0,$A554-$G554&lt;=10,$A554-$I554&lt;=5,$G554&gt;0,$I554&gt;0),$F554*$H554,NA()),NA())</f>
        <v/>
      </c>
      <c r="K554" s="15">
        <f>IF($A554="","",IF(AH!$U$5=1,IFERROR(MATCH($A554,'Live History'!$A$5:$A$3004,0),0),AH!$U$7+549))</f>
        <v/>
      </c>
      <c r="L554" s="15">
        <f>IF(ISNUMBER(A554),TEXT(A554,"dd-mmm-yy"),"")</f>
        <v/>
      </c>
    </row>
    <row r="555">
      <c r="A555" s="14">
        <f>IF(OR(AH!$U$4=0,550+1&gt;AH!$U$6,AND(AH!$M$5="Bloomberg",AH!$U$5=0)),"",IFERROR(IF(AND(AH!$U$12=1,550+1=AH!$U$6),TODAY(),IF(AH!$U$5=1,INDEX('Live History'!$A$5:$A$3004,AH!$U$7+550),INDEX('AH History'!$A$5:$A$1380,AH!$U$7+550))),""))</f>
        <v/>
      </c>
      <c r="B555" s="33">
        <f>IFERROR(IF(AH!$U$11=1,NA(),$J555/$E555-1),NA())</f>
        <v/>
      </c>
      <c r="C555" s="269">
        <f>IFERROR(100*$E555/$E$5,NA())</f>
        <v/>
      </c>
      <c r="D555" s="269">
        <f>IFERROR(100*$J555/$J$5,NA())</f>
        <v/>
      </c>
      <c r="E555" s="32">
        <f>IFERROR(IF(AND(ISNUMBER($A555),N(IF(AND(AH!$U$12=1,550+1=AH!$U$6),IF(AH!$U$4=0,"unavailable",INDEX('Market Data'!$AN$5:$AN$66,AH!$U$4)),IF(AH!$U$5=1,INDEX('Live History'!$B$5:$B$3004,$K555),INDEX('AH History'!$D$5:$GG$1380,$K555,AH!$U$10))))&gt;0),IF(AND(AH!$U$12=1,550+1=AH!$U$6),IF(AH!$U$4=0,"unavailable",INDEX('Market Data'!$AN$5:$AN$66,AH!$U$4)),IF(AH!$U$5=1,INDEX('Live History'!$B$5:$B$3004,$K555),INDEX('AH History'!$D$5:$GG$1380,$K555,AH!$U$10))),NA()),NA())</f>
        <v/>
      </c>
      <c r="F555" s="32">
        <f>IFERROR(IF(ISNUMBER($A555),IF(AND(AH!$U$12=1,550+1=AH!$U$6),IF(AH!$U$4=0,"unavailable",INDEX('Market Data'!$AO$5:$AO$66,AH!$U$4)),IF(AH!$U$5=1,INDEX('Live History'!$E$5:$E$3004,MATCH($A555,'Live History'!$D$5:$D$3004,1)),INDEX('AH History'!$D$5:$GG$1380,$K555,AH!$U$10+1))),NA()),NA())</f>
        <v/>
      </c>
      <c r="G555" s="34">
        <f>IFERROR(IF(ISNUMBER($A555),IF(AND(AH!$U$12=1,550+1=AH!$U$6),IF(AH!$U$4=0,"unavailable",INDEX('Market Data'!$AK$5:$AK$66,AH!$U$4)),IF(AH!$U$5=1,INDEX('Live History'!$D$5:$D$3004,MATCH($A555,'Live History'!$D$5:$D$3004,1)),INDEX('AH History'!$D$5:$GG$1380,$K555,AH!$U$10+2))),NA()),NA())</f>
        <v/>
      </c>
      <c r="H555" s="266">
        <f>IFERROR(IF(ISNUMBER($A555),IF(AND(AH!$U$12=1,550+1=AH!$U$6),IF(AH!$U$4=0,"unavailable",INDEX('Market Data'!$AP$5:$AP$66,AH!$U$4)),IF(AH!$U$5=1,INDEX('Live History'!$H$5:$H$3004,MATCH($A555,'Live History'!$G$5:$G$3004,1)),INDEX('AH History'!$B$5:$B$1380,$K555))),NA()),NA())</f>
        <v/>
      </c>
      <c r="I555" s="34">
        <f>IFERROR(IF(ISNUMBER($A555),IF(AND(AH!$U$12=1,550+1=AH!$U$6),TODAY(),IF(AH!$U$5=1,INDEX('Live History'!$G$5:$G$3004,MATCH($A555,'Live History'!$G$5:$G$3004,1)),INDEX('AH History'!$C$5:$C$1380,$K555))),NA()),NA())</f>
        <v/>
      </c>
      <c r="J555" s="32">
        <f>IFERROR(IF(AND($F555&gt;0,$H555&gt;0,$A555-$G555&lt;=10,$A555-$I555&lt;=5,$G555&gt;0,$I555&gt;0),$F555*$H555,NA()),NA())</f>
        <v/>
      </c>
      <c r="K555" s="15">
        <f>IF($A555="","",IF(AH!$U$5=1,IFERROR(MATCH($A555,'Live History'!$A$5:$A$3004,0),0),AH!$U$7+550))</f>
        <v/>
      </c>
      <c r="L555" s="15">
        <f>IF(ISNUMBER(A555),TEXT(A555,"dd-mmm-yy"),"")</f>
        <v/>
      </c>
    </row>
    <row r="556">
      <c r="A556" s="14">
        <f>IF(OR(AH!$U$4=0,551+1&gt;AH!$U$6,AND(AH!$M$5="Bloomberg",AH!$U$5=0)),"",IFERROR(IF(AND(AH!$U$12=1,551+1=AH!$U$6),TODAY(),IF(AH!$U$5=1,INDEX('Live History'!$A$5:$A$3004,AH!$U$7+551),INDEX('AH History'!$A$5:$A$1380,AH!$U$7+551))),""))</f>
        <v/>
      </c>
      <c r="B556" s="33">
        <f>IFERROR(IF(AH!$U$11=1,NA(),$J556/$E556-1),NA())</f>
        <v/>
      </c>
      <c r="C556" s="269">
        <f>IFERROR(100*$E556/$E$5,NA())</f>
        <v/>
      </c>
      <c r="D556" s="269">
        <f>IFERROR(100*$J556/$J$5,NA())</f>
        <v/>
      </c>
      <c r="E556" s="32">
        <f>IFERROR(IF(AND(ISNUMBER($A556),N(IF(AND(AH!$U$12=1,551+1=AH!$U$6),IF(AH!$U$4=0,"unavailable",INDEX('Market Data'!$AN$5:$AN$66,AH!$U$4)),IF(AH!$U$5=1,INDEX('Live History'!$B$5:$B$3004,$K556),INDEX('AH History'!$D$5:$GG$1380,$K556,AH!$U$10))))&gt;0),IF(AND(AH!$U$12=1,551+1=AH!$U$6),IF(AH!$U$4=0,"unavailable",INDEX('Market Data'!$AN$5:$AN$66,AH!$U$4)),IF(AH!$U$5=1,INDEX('Live History'!$B$5:$B$3004,$K556),INDEX('AH History'!$D$5:$GG$1380,$K556,AH!$U$10))),NA()),NA())</f>
        <v/>
      </c>
      <c r="F556" s="32">
        <f>IFERROR(IF(ISNUMBER($A556),IF(AND(AH!$U$12=1,551+1=AH!$U$6),IF(AH!$U$4=0,"unavailable",INDEX('Market Data'!$AO$5:$AO$66,AH!$U$4)),IF(AH!$U$5=1,INDEX('Live History'!$E$5:$E$3004,MATCH($A556,'Live History'!$D$5:$D$3004,1)),INDEX('AH History'!$D$5:$GG$1380,$K556,AH!$U$10+1))),NA()),NA())</f>
        <v/>
      </c>
      <c r="G556" s="34">
        <f>IFERROR(IF(ISNUMBER($A556),IF(AND(AH!$U$12=1,551+1=AH!$U$6),IF(AH!$U$4=0,"unavailable",INDEX('Market Data'!$AK$5:$AK$66,AH!$U$4)),IF(AH!$U$5=1,INDEX('Live History'!$D$5:$D$3004,MATCH($A556,'Live History'!$D$5:$D$3004,1)),INDEX('AH History'!$D$5:$GG$1380,$K556,AH!$U$10+2))),NA()),NA())</f>
        <v/>
      </c>
      <c r="H556" s="266">
        <f>IFERROR(IF(ISNUMBER($A556),IF(AND(AH!$U$12=1,551+1=AH!$U$6),IF(AH!$U$4=0,"unavailable",INDEX('Market Data'!$AP$5:$AP$66,AH!$U$4)),IF(AH!$U$5=1,INDEX('Live History'!$H$5:$H$3004,MATCH($A556,'Live History'!$G$5:$G$3004,1)),INDEX('AH History'!$B$5:$B$1380,$K556))),NA()),NA())</f>
        <v/>
      </c>
      <c r="I556" s="34">
        <f>IFERROR(IF(ISNUMBER($A556),IF(AND(AH!$U$12=1,551+1=AH!$U$6),TODAY(),IF(AH!$U$5=1,INDEX('Live History'!$G$5:$G$3004,MATCH($A556,'Live History'!$G$5:$G$3004,1)),INDEX('AH History'!$C$5:$C$1380,$K556))),NA()),NA())</f>
        <v/>
      </c>
      <c r="J556" s="32">
        <f>IFERROR(IF(AND($F556&gt;0,$H556&gt;0,$A556-$G556&lt;=10,$A556-$I556&lt;=5,$G556&gt;0,$I556&gt;0),$F556*$H556,NA()),NA())</f>
        <v/>
      </c>
      <c r="K556" s="15">
        <f>IF($A556="","",IF(AH!$U$5=1,IFERROR(MATCH($A556,'Live History'!$A$5:$A$3004,0),0),AH!$U$7+551))</f>
        <v/>
      </c>
      <c r="L556" s="15">
        <f>IF(ISNUMBER(A556),TEXT(A556,"dd-mmm-yy"),"")</f>
        <v/>
      </c>
    </row>
    <row r="557">
      <c r="A557" s="14">
        <f>IF(OR(AH!$U$4=0,552+1&gt;AH!$U$6,AND(AH!$M$5="Bloomberg",AH!$U$5=0)),"",IFERROR(IF(AND(AH!$U$12=1,552+1=AH!$U$6),TODAY(),IF(AH!$U$5=1,INDEX('Live History'!$A$5:$A$3004,AH!$U$7+552),INDEX('AH History'!$A$5:$A$1380,AH!$U$7+552))),""))</f>
        <v/>
      </c>
      <c r="B557" s="33">
        <f>IFERROR(IF(AH!$U$11=1,NA(),$J557/$E557-1),NA())</f>
        <v/>
      </c>
      <c r="C557" s="269">
        <f>IFERROR(100*$E557/$E$5,NA())</f>
        <v/>
      </c>
      <c r="D557" s="269">
        <f>IFERROR(100*$J557/$J$5,NA())</f>
        <v/>
      </c>
      <c r="E557" s="32">
        <f>IFERROR(IF(AND(ISNUMBER($A557),N(IF(AND(AH!$U$12=1,552+1=AH!$U$6),IF(AH!$U$4=0,"unavailable",INDEX('Market Data'!$AN$5:$AN$66,AH!$U$4)),IF(AH!$U$5=1,INDEX('Live History'!$B$5:$B$3004,$K557),INDEX('AH History'!$D$5:$GG$1380,$K557,AH!$U$10))))&gt;0),IF(AND(AH!$U$12=1,552+1=AH!$U$6),IF(AH!$U$4=0,"unavailable",INDEX('Market Data'!$AN$5:$AN$66,AH!$U$4)),IF(AH!$U$5=1,INDEX('Live History'!$B$5:$B$3004,$K557),INDEX('AH History'!$D$5:$GG$1380,$K557,AH!$U$10))),NA()),NA())</f>
        <v/>
      </c>
      <c r="F557" s="32">
        <f>IFERROR(IF(ISNUMBER($A557),IF(AND(AH!$U$12=1,552+1=AH!$U$6),IF(AH!$U$4=0,"unavailable",INDEX('Market Data'!$AO$5:$AO$66,AH!$U$4)),IF(AH!$U$5=1,INDEX('Live History'!$E$5:$E$3004,MATCH($A557,'Live History'!$D$5:$D$3004,1)),INDEX('AH History'!$D$5:$GG$1380,$K557,AH!$U$10+1))),NA()),NA())</f>
        <v/>
      </c>
      <c r="G557" s="34">
        <f>IFERROR(IF(ISNUMBER($A557),IF(AND(AH!$U$12=1,552+1=AH!$U$6),IF(AH!$U$4=0,"unavailable",INDEX('Market Data'!$AK$5:$AK$66,AH!$U$4)),IF(AH!$U$5=1,INDEX('Live History'!$D$5:$D$3004,MATCH($A557,'Live History'!$D$5:$D$3004,1)),INDEX('AH History'!$D$5:$GG$1380,$K557,AH!$U$10+2))),NA()),NA())</f>
        <v/>
      </c>
      <c r="H557" s="266">
        <f>IFERROR(IF(ISNUMBER($A557),IF(AND(AH!$U$12=1,552+1=AH!$U$6),IF(AH!$U$4=0,"unavailable",INDEX('Market Data'!$AP$5:$AP$66,AH!$U$4)),IF(AH!$U$5=1,INDEX('Live History'!$H$5:$H$3004,MATCH($A557,'Live History'!$G$5:$G$3004,1)),INDEX('AH History'!$B$5:$B$1380,$K557))),NA()),NA())</f>
        <v/>
      </c>
      <c r="I557" s="34">
        <f>IFERROR(IF(ISNUMBER($A557),IF(AND(AH!$U$12=1,552+1=AH!$U$6),TODAY(),IF(AH!$U$5=1,INDEX('Live History'!$G$5:$G$3004,MATCH($A557,'Live History'!$G$5:$G$3004,1)),INDEX('AH History'!$C$5:$C$1380,$K557))),NA()),NA())</f>
        <v/>
      </c>
      <c r="J557" s="32">
        <f>IFERROR(IF(AND($F557&gt;0,$H557&gt;0,$A557-$G557&lt;=10,$A557-$I557&lt;=5,$G557&gt;0,$I557&gt;0),$F557*$H557,NA()),NA())</f>
        <v/>
      </c>
      <c r="K557" s="15">
        <f>IF($A557="","",IF(AH!$U$5=1,IFERROR(MATCH($A557,'Live History'!$A$5:$A$3004,0),0),AH!$U$7+552))</f>
        <v/>
      </c>
      <c r="L557" s="15">
        <f>IF(ISNUMBER(A557),TEXT(A557,"dd-mmm-yy"),"")</f>
        <v/>
      </c>
    </row>
    <row r="558">
      <c r="A558" s="14">
        <f>IF(OR(AH!$U$4=0,553+1&gt;AH!$U$6,AND(AH!$M$5="Bloomberg",AH!$U$5=0)),"",IFERROR(IF(AND(AH!$U$12=1,553+1=AH!$U$6),TODAY(),IF(AH!$U$5=1,INDEX('Live History'!$A$5:$A$3004,AH!$U$7+553),INDEX('AH History'!$A$5:$A$1380,AH!$U$7+553))),""))</f>
        <v/>
      </c>
      <c r="B558" s="33">
        <f>IFERROR(IF(AH!$U$11=1,NA(),$J558/$E558-1),NA())</f>
        <v/>
      </c>
      <c r="C558" s="269">
        <f>IFERROR(100*$E558/$E$5,NA())</f>
        <v/>
      </c>
      <c r="D558" s="269">
        <f>IFERROR(100*$J558/$J$5,NA())</f>
        <v/>
      </c>
      <c r="E558" s="32">
        <f>IFERROR(IF(AND(ISNUMBER($A558),N(IF(AND(AH!$U$12=1,553+1=AH!$U$6),IF(AH!$U$4=0,"unavailable",INDEX('Market Data'!$AN$5:$AN$66,AH!$U$4)),IF(AH!$U$5=1,INDEX('Live History'!$B$5:$B$3004,$K558),INDEX('AH History'!$D$5:$GG$1380,$K558,AH!$U$10))))&gt;0),IF(AND(AH!$U$12=1,553+1=AH!$U$6),IF(AH!$U$4=0,"unavailable",INDEX('Market Data'!$AN$5:$AN$66,AH!$U$4)),IF(AH!$U$5=1,INDEX('Live History'!$B$5:$B$3004,$K558),INDEX('AH History'!$D$5:$GG$1380,$K558,AH!$U$10))),NA()),NA())</f>
        <v/>
      </c>
      <c r="F558" s="32">
        <f>IFERROR(IF(ISNUMBER($A558),IF(AND(AH!$U$12=1,553+1=AH!$U$6),IF(AH!$U$4=0,"unavailable",INDEX('Market Data'!$AO$5:$AO$66,AH!$U$4)),IF(AH!$U$5=1,INDEX('Live History'!$E$5:$E$3004,MATCH($A558,'Live History'!$D$5:$D$3004,1)),INDEX('AH History'!$D$5:$GG$1380,$K558,AH!$U$10+1))),NA()),NA())</f>
        <v/>
      </c>
      <c r="G558" s="34">
        <f>IFERROR(IF(ISNUMBER($A558),IF(AND(AH!$U$12=1,553+1=AH!$U$6),IF(AH!$U$4=0,"unavailable",INDEX('Market Data'!$AK$5:$AK$66,AH!$U$4)),IF(AH!$U$5=1,INDEX('Live History'!$D$5:$D$3004,MATCH($A558,'Live History'!$D$5:$D$3004,1)),INDEX('AH History'!$D$5:$GG$1380,$K558,AH!$U$10+2))),NA()),NA())</f>
        <v/>
      </c>
      <c r="H558" s="266">
        <f>IFERROR(IF(ISNUMBER($A558),IF(AND(AH!$U$12=1,553+1=AH!$U$6),IF(AH!$U$4=0,"unavailable",INDEX('Market Data'!$AP$5:$AP$66,AH!$U$4)),IF(AH!$U$5=1,INDEX('Live History'!$H$5:$H$3004,MATCH($A558,'Live History'!$G$5:$G$3004,1)),INDEX('AH History'!$B$5:$B$1380,$K558))),NA()),NA())</f>
        <v/>
      </c>
      <c r="I558" s="34">
        <f>IFERROR(IF(ISNUMBER($A558),IF(AND(AH!$U$12=1,553+1=AH!$U$6),TODAY(),IF(AH!$U$5=1,INDEX('Live History'!$G$5:$G$3004,MATCH($A558,'Live History'!$G$5:$G$3004,1)),INDEX('AH History'!$C$5:$C$1380,$K558))),NA()),NA())</f>
        <v/>
      </c>
      <c r="J558" s="32">
        <f>IFERROR(IF(AND($F558&gt;0,$H558&gt;0,$A558-$G558&lt;=10,$A558-$I558&lt;=5,$G558&gt;0,$I558&gt;0),$F558*$H558,NA()),NA())</f>
        <v/>
      </c>
      <c r="K558" s="15">
        <f>IF($A558="","",IF(AH!$U$5=1,IFERROR(MATCH($A558,'Live History'!$A$5:$A$3004,0),0),AH!$U$7+553))</f>
        <v/>
      </c>
      <c r="L558" s="15">
        <f>IF(ISNUMBER(A558),TEXT(A558,"dd-mmm-yy"),"")</f>
        <v/>
      </c>
    </row>
    <row r="559">
      <c r="A559" s="14">
        <f>IF(OR(AH!$U$4=0,554+1&gt;AH!$U$6,AND(AH!$M$5="Bloomberg",AH!$U$5=0)),"",IFERROR(IF(AND(AH!$U$12=1,554+1=AH!$U$6),TODAY(),IF(AH!$U$5=1,INDEX('Live History'!$A$5:$A$3004,AH!$U$7+554),INDEX('AH History'!$A$5:$A$1380,AH!$U$7+554))),""))</f>
        <v/>
      </c>
      <c r="B559" s="33">
        <f>IFERROR(IF(AH!$U$11=1,NA(),$J559/$E559-1),NA())</f>
        <v/>
      </c>
      <c r="C559" s="269">
        <f>IFERROR(100*$E559/$E$5,NA())</f>
        <v/>
      </c>
      <c r="D559" s="269">
        <f>IFERROR(100*$J559/$J$5,NA())</f>
        <v/>
      </c>
      <c r="E559" s="32">
        <f>IFERROR(IF(AND(ISNUMBER($A559),N(IF(AND(AH!$U$12=1,554+1=AH!$U$6),IF(AH!$U$4=0,"unavailable",INDEX('Market Data'!$AN$5:$AN$66,AH!$U$4)),IF(AH!$U$5=1,INDEX('Live History'!$B$5:$B$3004,$K559),INDEX('AH History'!$D$5:$GG$1380,$K559,AH!$U$10))))&gt;0),IF(AND(AH!$U$12=1,554+1=AH!$U$6),IF(AH!$U$4=0,"unavailable",INDEX('Market Data'!$AN$5:$AN$66,AH!$U$4)),IF(AH!$U$5=1,INDEX('Live History'!$B$5:$B$3004,$K559),INDEX('AH History'!$D$5:$GG$1380,$K559,AH!$U$10))),NA()),NA())</f>
        <v/>
      </c>
      <c r="F559" s="32">
        <f>IFERROR(IF(ISNUMBER($A559),IF(AND(AH!$U$12=1,554+1=AH!$U$6),IF(AH!$U$4=0,"unavailable",INDEX('Market Data'!$AO$5:$AO$66,AH!$U$4)),IF(AH!$U$5=1,INDEX('Live History'!$E$5:$E$3004,MATCH($A559,'Live History'!$D$5:$D$3004,1)),INDEX('AH History'!$D$5:$GG$1380,$K559,AH!$U$10+1))),NA()),NA())</f>
        <v/>
      </c>
      <c r="G559" s="34">
        <f>IFERROR(IF(ISNUMBER($A559),IF(AND(AH!$U$12=1,554+1=AH!$U$6),IF(AH!$U$4=0,"unavailable",INDEX('Market Data'!$AK$5:$AK$66,AH!$U$4)),IF(AH!$U$5=1,INDEX('Live History'!$D$5:$D$3004,MATCH($A559,'Live History'!$D$5:$D$3004,1)),INDEX('AH History'!$D$5:$GG$1380,$K559,AH!$U$10+2))),NA()),NA())</f>
        <v/>
      </c>
      <c r="H559" s="266">
        <f>IFERROR(IF(ISNUMBER($A559),IF(AND(AH!$U$12=1,554+1=AH!$U$6),IF(AH!$U$4=0,"unavailable",INDEX('Market Data'!$AP$5:$AP$66,AH!$U$4)),IF(AH!$U$5=1,INDEX('Live History'!$H$5:$H$3004,MATCH($A559,'Live History'!$G$5:$G$3004,1)),INDEX('AH History'!$B$5:$B$1380,$K559))),NA()),NA())</f>
        <v/>
      </c>
      <c r="I559" s="34">
        <f>IFERROR(IF(ISNUMBER($A559),IF(AND(AH!$U$12=1,554+1=AH!$U$6),TODAY(),IF(AH!$U$5=1,INDEX('Live History'!$G$5:$G$3004,MATCH($A559,'Live History'!$G$5:$G$3004,1)),INDEX('AH History'!$C$5:$C$1380,$K559))),NA()),NA())</f>
        <v/>
      </c>
      <c r="J559" s="32">
        <f>IFERROR(IF(AND($F559&gt;0,$H559&gt;0,$A559-$G559&lt;=10,$A559-$I559&lt;=5,$G559&gt;0,$I559&gt;0),$F559*$H559,NA()),NA())</f>
        <v/>
      </c>
      <c r="K559" s="15">
        <f>IF($A559="","",IF(AH!$U$5=1,IFERROR(MATCH($A559,'Live History'!$A$5:$A$3004,0),0),AH!$U$7+554))</f>
        <v/>
      </c>
      <c r="L559" s="15">
        <f>IF(ISNUMBER(A559),TEXT(A559,"dd-mmm-yy"),"")</f>
        <v/>
      </c>
    </row>
    <row r="560">
      <c r="A560" s="14">
        <f>IF(OR(AH!$U$4=0,555+1&gt;AH!$U$6,AND(AH!$M$5="Bloomberg",AH!$U$5=0)),"",IFERROR(IF(AND(AH!$U$12=1,555+1=AH!$U$6),TODAY(),IF(AH!$U$5=1,INDEX('Live History'!$A$5:$A$3004,AH!$U$7+555),INDEX('AH History'!$A$5:$A$1380,AH!$U$7+555))),""))</f>
        <v/>
      </c>
      <c r="B560" s="33">
        <f>IFERROR(IF(AH!$U$11=1,NA(),$J560/$E560-1),NA())</f>
        <v/>
      </c>
      <c r="C560" s="269">
        <f>IFERROR(100*$E560/$E$5,NA())</f>
        <v/>
      </c>
      <c r="D560" s="269">
        <f>IFERROR(100*$J560/$J$5,NA())</f>
        <v/>
      </c>
      <c r="E560" s="32">
        <f>IFERROR(IF(AND(ISNUMBER($A560),N(IF(AND(AH!$U$12=1,555+1=AH!$U$6),IF(AH!$U$4=0,"unavailable",INDEX('Market Data'!$AN$5:$AN$66,AH!$U$4)),IF(AH!$U$5=1,INDEX('Live History'!$B$5:$B$3004,$K560),INDEX('AH History'!$D$5:$GG$1380,$K560,AH!$U$10))))&gt;0),IF(AND(AH!$U$12=1,555+1=AH!$U$6),IF(AH!$U$4=0,"unavailable",INDEX('Market Data'!$AN$5:$AN$66,AH!$U$4)),IF(AH!$U$5=1,INDEX('Live History'!$B$5:$B$3004,$K560),INDEX('AH History'!$D$5:$GG$1380,$K560,AH!$U$10))),NA()),NA())</f>
        <v/>
      </c>
      <c r="F560" s="32">
        <f>IFERROR(IF(ISNUMBER($A560),IF(AND(AH!$U$12=1,555+1=AH!$U$6),IF(AH!$U$4=0,"unavailable",INDEX('Market Data'!$AO$5:$AO$66,AH!$U$4)),IF(AH!$U$5=1,INDEX('Live History'!$E$5:$E$3004,MATCH($A560,'Live History'!$D$5:$D$3004,1)),INDEX('AH History'!$D$5:$GG$1380,$K560,AH!$U$10+1))),NA()),NA())</f>
        <v/>
      </c>
      <c r="G560" s="34">
        <f>IFERROR(IF(ISNUMBER($A560),IF(AND(AH!$U$12=1,555+1=AH!$U$6),IF(AH!$U$4=0,"unavailable",INDEX('Market Data'!$AK$5:$AK$66,AH!$U$4)),IF(AH!$U$5=1,INDEX('Live History'!$D$5:$D$3004,MATCH($A560,'Live History'!$D$5:$D$3004,1)),INDEX('AH History'!$D$5:$GG$1380,$K560,AH!$U$10+2))),NA()),NA())</f>
        <v/>
      </c>
      <c r="H560" s="266">
        <f>IFERROR(IF(ISNUMBER($A560),IF(AND(AH!$U$12=1,555+1=AH!$U$6),IF(AH!$U$4=0,"unavailable",INDEX('Market Data'!$AP$5:$AP$66,AH!$U$4)),IF(AH!$U$5=1,INDEX('Live History'!$H$5:$H$3004,MATCH($A560,'Live History'!$G$5:$G$3004,1)),INDEX('AH History'!$B$5:$B$1380,$K560))),NA()),NA())</f>
        <v/>
      </c>
      <c r="I560" s="34">
        <f>IFERROR(IF(ISNUMBER($A560),IF(AND(AH!$U$12=1,555+1=AH!$U$6),TODAY(),IF(AH!$U$5=1,INDEX('Live History'!$G$5:$G$3004,MATCH($A560,'Live History'!$G$5:$G$3004,1)),INDEX('AH History'!$C$5:$C$1380,$K560))),NA()),NA())</f>
        <v/>
      </c>
      <c r="J560" s="32">
        <f>IFERROR(IF(AND($F560&gt;0,$H560&gt;0,$A560-$G560&lt;=10,$A560-$I560&lt;=5,$G560&gt;0,$I560&gt;0),$F560*$H560,NA()),NA())</f>
        <v/>
      </c>
      <c r="K560" s="15">
        <f>IF($A560="","",IF(AH!$U$5=1,IFERROR(MATCH($A560,'Live History'!$A$5:$A$3004,0),0),AH!$U$7+555))</f>
        <v/>
      </c>
      <c r="L560" s="15">
        <f>IF(ISNUMBER(A560),TEXT(A560,"dd-mmm-yy"),"")</f>
        <v/>
      </c>
    </row>
    <row r="561">
      <c r="A561" s="14">
        <f>IF(OR(AH!$U$4=0,556+1&gt;AH!$U$6,AND(AH!$M$5="Bloomberg",AH!$U$5=0)),"",IFERROR(IF(AND(AH!$U$12=1,556+1=AH!$U$6),TODAY(),IF(AH!$U$5=1,INDEX('Live History'!$A$5:$A$3004,AH!$U$7+556),INDEX('AH History'!$A$5:$A$1380,AH!$U$7+556))),""))</f>
        <v/>
      </c>
      <c r="B561" s="33">
        <f>IFERROR(IF(AH!$U$11=1,NA(),$J561/$E561-1),NA())</f>
        <v/>
      </c>
      <c r="C561" s="269">
        <f>IFERROR(100*$E561/$E$5,NA())</f>
        <v/>
      </c>
      <c r="D561" s="269">
        <f>IFERROR(100*$J561/$J$5,NA())</f>
        <v/>
      </c>
      <c r="E561" s="32">
        <f>IFERROR(IF(AND(ISNUMBER($A561),N(IF(AND(AH!$U$12=1,556+1=AH!$U$6),IF(AH!$U$4=0,"unavailable",INDEX('Market Data'!$AN$5:$AN$66,AH!$U$4)),IF(AH!$U$5=1,INDEX('Live History'!$B$5:$B$3004,$K561),INDEX('AH History'!$D$5:$GG$1380,$K561,AH!$U$10))))&gt;0),IF(AND(AH!$U$12=1,556+1=AH!$U$6),IF(AH!$U$4=0,"unavailable",INDEX('Market Data'!$AN$5:$AN$66,AH!$U$4)),IF(AH!$U$5=1,INDEX('Live History'!$B$5:$B$3004,$K561),INDEX('AH History'!$D$5:$GG$1380,$K561,AH!$U$10))),NA()),NA())</f>
        <v/>
      </c>
      <c r="F561" s="32">
        <f>IFERROR(IF(ISNUMBER($A561),IF(AND(AH!$U$12=1,556+1=AH!$U$6),IF(AH!$U$4=0,"unavailable",INDEX('Market Data'!$AO$5:$AO$66,AH!$U$4)),IF(AH!$U$5=1,INDEX('Live History'!$E$5:$E$3004,MATCH($A561,'Live History'!$D$5:$D$3004,1)),INDEX('AH History'!$D$5:$GG$1380,$K561,AH!$U$10+1))),NA()),NA())</f>
        <v/>
      </c>
      <c r="G561" s="34">
        <f>IFERROR(IF(ISNUMBER($A561),IF(AND(AH!$U$12=1,556+1=AH!$U$6),IF(AH!$U$4=0,"unavailable",INDEX('Market Data'!$AK$5:$AK$66,AH!$U$4)),IF(AH!$U$5=1,INDEX('Live History'!$D$5:$D$3004,MATCH($A561,'Live History'!$D$5:$D$3004,1)),INDEX('AH History'!$D$5:$GG$1380,$K561,AH!$U$10+2))),NA()),NA())</f>
        <v/>
      </c>
      <c r="H561" s="266">
        <f>IFERROR(IF(ISNUMBER($A561),IF(AND(AH!$U$12=1,556+1=AH!$U$6),IF(AH!$U$4=0,"unavailable",INDEX('Market Data'!$AP$5:$AP$66,AH!$U$4)),IF(AH!$U$5=1,INDEX('Live History'!$H$5:$H$3004,MATCH($A561,'Live History'!$G$5:$G$3004,1)),INDEX('AH History'!$B$5:$B$1380,$K561))),NA()),NA())</f>
        <v/>
      </c>
      <c r="I561" s="34">
        <f>IFERROR(IF(ISNUMBER($A561),IF(AND(AH!$U$12=1,556+1=AH!$U$6),TODAY(),IF(AH!$U$5=1,INDEX('Live History'!$G$5:$G$3004,MATCH($A561,'Live History'!$G$5:$G$3004,1)),INDEX('AH History'!$C$5:$C$1380,$K561))),NA()),NA())</f>
        <v/>
      </c>
      <c r="J561" s="32">
        <f>IFERROR(IF(AND($F561&gt;0,$H561&gt;0,$A561-$G561&lt;=10,$A561-$I561&lt;=5,$G561&gt;0,$I561&gt;0),$F561*$H561,NA()),NA())</f>
        <v/>
      </c>
      <c r="K561" s="15">
        <f>IF($A561="","",IF(AH!$U$5=1,IFERROR(MATCH($A561,'Live History'!$A$5:$A$3004,0),0),AH!$U$7+556))</f>
        <v/>
      </c>
      <c r="L561" s="15">
        <f>IF(ISNUMBER(A561),TEXT(A561,"dd-mmm-yy"),"")</f>
        <v/>
      </c>
    </row>
    <row r="562">
      <c r="A562" s="14">
        <f>IF(OR(AH!$U$4=0,557+1&gt;AH!$U$6,AND(AH!$M$5="Bloomberg",AH!$U$5=0)),"",IFERROR(IF(AND(AH!$U$12=1,557+1=AH!$U$6),TODAY(),IF(AH!$U$5=1,INDEX('Live History'!$A$5:$A$3004,AH!$U$7+557),INDEX('AH History'!$A$5:$A$1380,AH!$U$7+557))),""))</f>
        <v/>
      </c>
      <c r="B562" s="33">
        <f>IFERROR(IF(AH!$U$11=1,NA(),$J562/$E562-1),NA())</f>
        <v/>
      </c>
      <c r="C562" s="269">
        <f>IFERROR(100*$E562/$E$5,NA())</f>
        <v/>
      </c>
      <c r="D562" s="269">
        <f>IFERROR(100*$J562/$J$5,NA())</f>
        <v/>
      </c>
      <c r="E562" s="32">
        <f>IFERROR(IF(AND(ISNUMBER($A562),N(IF(AND(AH!$U$12=1,557+1=AH!$U$6),IF(AH!$U$4=0,"unavailable",INDEX('Market Data'!$AN$5:$AN$66,AH!$U$4)),IF(AH!$U$5=1,INDEX('Live History'!$B$5:$B$3004,$K562),INDEX('AH History'!$D$5:$GG$1380,$K562,AH!$U$10))))&gt;0),IF(AND(AH!$U$12=1,557+1=AH!$U$6),IF(AH!$U$4=0,"unavailable",INDEX('Market Data'!$AN$5:$AN$66,AH!$U$4)),IF(AH!$U$5=1,INDEX('Live History'!$B$5:$B$3004,$K562),INDEX('AH History'!$D$5:$GG$1380,$K562,AH!$U$10))),NA()),NA())</f>
        <v/>
      </c>
      <c r="F562" s="32">
        <f>IFERROR(IF(ISNUMBER($A562),IF(AND(AH!$U$12=1,557+1=AH!$U$6),IF(AH!$U$4=0,"unavailable",INDEX('Market Data'!$AO$5:$AO$66,AH!$U$4)),IF(AH!$U$5=1,INDEX('Live History'!$E$5:$E$3004,MATCH($A562,'Live History'!$D$5:$D$3004,1)),INDEX('AH History'!$D$5:$GG$1380,$K562,AH!$U$10+1))),NA()),NA())</f>
        <v/>
      </c>
      <c r="G562" s="34">
        <f>IFERROR(IF(ISNUMBER($A562),IF(AND(AH!$U$12=1,557+1=AH!$U$6),IF(AH!$U$4=0,"unavailable",INDEX('Market Data'!$AK$5:$AK$66,AH!$U$4)),IF(AH!$U$5=1,INDEX('Live History'!$D$5:$D$3004,MATCH($A562,'Live History'!$D$5:$D$3004,1)),INDEX('AH History'!$D$5:$GG$1380,$K562,AH!$U$10+2))),NA()),NA())</f>
        <v/>
      </c>
      <c r="H562" s="266">
        <f>IFERROR(IF(ISNUMBER($A562),IF(AND(AH!$U$12=1,557+1=AH!$U$6),IF(AH!$U$4=0,"unavailable",INDEX('Market Data'!$AP$5:$AP$66,AH!$U$4)),IF(AH!$U$5=1,INDEX('Live History'!$H$5:$H$3004,MATCH($A562,'Live History'!$G$5:$G$3004,1)),INDEX('AH History'!$B$5:$B$1380,$K562))),NA()),NA())</f>
        <v/>
      </c>
      <c r="I562" s="34">
        <f>IFERROR(IF(ISNUMBER($A562),IF(AND(AH!$U$12=1,557+1=AH!$U$6),TODAY(),IF(AH!$U$5=1,INDEX('Live History'!$G$5:$G$3004,MATCH($A562,'Live History'!$G$5:$G$3004,1)),INDEX('AH History'!$C$5:$C$1380,$K562))),NA()),NA())</f>
        <v/>
      </c>
      <c r="J562" s="32">
        <f>IFERROR(IF(AND($F562&gt;0,$H562&gt;0,$A562-$G562&lt;=10,$A562-$I562&lt;=5,$G562&gt;0,$I562&gt;0),$F562*$H562,NA()),NA())</f>
        <v/>
      </c>
      <c r="K562" s="15">
        <f>IF($A562="","",IF(AH!$U$5=1,IFERROR(MATCH($A562,'Live History'!$A$5:$A$3004,0),0),AH!$U$7+557))</f>
        <v/>
      </c>
      <c r="L562" s="15">
        <f>IF(ISNUMBER(A562),TEXT(A562,"dd-mmm-yy"),"")</f>
        <v/>
      </c>
    </row>
    <row r="563">
      <c r="A563" s="14">
        <f>IF(OR(AH!$U$4=0,558+1&gt;AH!$U$6,AND(AH!$M$5="Bloomberg",AH!$U$5=0)),"",IFERROR(IF(AND(AH!$U$12=1,558+1=AH!$U$6),TODAY(),IF(AH!$U$5=1,INDEX('Live History'!$A$5:$A$3004,AH!$U$7+558),INDEX('AH History'!$A$5:$A$1380,AH!$U$7+558))),""))</f>
        <v/>
      </c>
      <c r="B563" s="33">
        <f>IFERROR(IF(AH!$U$11=1,NA(),$J563/$E563-1),NA())</f>
        <v/>
      </c>
      <c r="C563" s="269">
        <f>IFERROR(100*$E563/$E$5,NA())</f>
        <v/>
      </c>
      <c r="D563" s="269">
        <f>IFERROR(100*$J563/$J$5,NA())</f>
        <v/>
      </c>
      <c r="E563" s="32">
        <f>IFERROR(IF(AND(ISNUMBER($A563),N(IF(AND(AH!$U$12=1,558+1=AH!$U$6),IF(AH!$U$4=0,"unavailable",INDEX('Market Data'!$AN$5:$AN$66,AH!$U$4)),IF(AH!$U$5=1,INDEX('Live History'!$B$5:$B$3004,$K563),INDEX('AH History'!$D$5:$GG$1380,$K563,AH!$U$10))))&gt;0),IF(AND(AH!$U$12=1,558+1=AH!$U$6),IF(AH!$U$4=0,"unavailable",INDEX('Market Data'!$AN$5:$AN$66,AH!$U$4)),IF(AH!$U$5=1,INDEX('Live History'!$B$5:$B$3004,$K563),INDEX('AH History'!$D$5:$GG$1380,$K563,AH!$U$10))),NA()),NA())</f>
        <v/>
      </c>
      <c r="F563" s="32">
        <f>IFERROR(IF(ISNUMBER($A563),IF(AND(AH!$U$12=1,558+1=AH!$U$6),IF(AH!$U$4=0,"unavailable",INDEX('Market Data'!$AO$5:$AO$66,AH!$U$4)),IF(AH!$U$5=1,INDEX('Live History'!$E$5:$E$3004,MATCH($A563,'Live History'!$D$5:$D$3004,1)),INDEX('AH History'!$D$5:$GG$1380,$K563,AH!$U$10+1))),NA()),NA())</f>
        <v/>
      </c>
      <c r="G563" s="34">
        <f>IFERROR(IF(ISNUMBER($A563),IF(AND(AH!$U$12=1,558+1=AH!$U$6),IF(AH!$U$4=0,"unavailable",INDEX('Market Data'!$AK$5:$AK$66,AH!$U$4)),IF(AH!$U$5=1,INDEX('Live History'!$D$5:$D$3004,MATCH($A563,'Live History'!$D$5:$D$3004,1)),INDEX('AH History'!$D$5:$GG$1380,$K563,AH!$U$10+2))),NA()),NA())</f>
        <v/>
      </c>
      <c r="H563" s="266">
        <f>IFERROR(IF(ISNUMBER($A563),IF(AND(AH!$U$12=1,558+1=AH!$U$6),IF(AH!$U$4=0,"unavailable",INDEX('Market Data'!$AP$5:$AP$66,AH!$U$4)),IF(AH!$U$5=1,INDEX('Live History'!$H$5:$H$3004,MATCH($A563,'Live History'!$G$5:$G$3004,1)),INDEX('AH History'!$B$5:$B$1380,$K563))),NA()),NA())</f>
        <v/>
      </c>
      <c r="I563" s="34">
        <f>IFERROR(IF(ISNUMBER($A563),IF(AND(AH!$U$12=1,558+1=AH!$U$6),TODAY(),IF(AH!$U$5=1,INDEX('Live History'!$G$5:$G$3004,MATCH($A563,'Live History'!$G$5:$G$3004,1)),INDEX('AH History'!$C$5:$C$1380,$K563))),NA()),NA())</f>
        <v/>
      </c>
      <c r="J563" s="32">
        <f>IFERROR(IF(AND($F563&gt;0,$H563&gt;0,$A563-$G563&lt;=10,$A563-$I563&lt;=5,$G563&gt;0,$I563&gt;0),$F563*$H563,NA()),NA())</f>
        <v/>
      </c>
      <c r="K563" s="15">
        <f>IF($A563="","",IF(AH!$U$5=1,IFERROR(MATCH($A563,'Live History'!$A$5:$A$3004,0),0),AH!$U$7+558))</f>
        <v/>
      </c>
      <c r="L563" s="15">
        <f>IF(ISNUMBER(A563),TEXT(A563,"dd-mmm-yy"),"")</f>
        <v/>
      </c>
    </row>
    <row r="564">
      <c r="A564" s="14">
        <f>IF(OR(AH!$U$4=0,559+1&gt;AH!$U$6,AND(AH!$M$5="Bloomberg",AH!$U$5=0)),"",IFERROR(IF(AND(AH!$U$12=1,559+1=AH!$U$6),TODAY(),IF(AH!$U$5=1,INDEX('Live History'!$A$5:$A$3004,AH!$U$7+559),INDEX('AH History'!$A$5:$A$1380,AH!$U$7+559))),""))</f>
        <v/>
      </c>
      <c r="B564" s="33">
        <f>IFERROR(IF(AH!$U$11=1,NA(),$J564/$E564-1),NA())</f>
        <v/>
      </c>
      <c r="C564" s="269">
        <f>IFERROR(100*$E564/$E$5,NA())</f>
        <v/>
      </c>
      <c r="D564" s="269">
        <f>IFERROR(100*$J564/$J$5,NA())</f>
        <v/>
      </c>
      <c r="E564" s="32">
        <f>IFERROR(IF(AND(ISNUMBER($A564),N(IF(AND(AH!$U$12=1,559+1=AH!$U$6),IF(AH!$U$4=0,"unavailable",INDEX('Market Data'!$AN$5:$AN$66,AH!$U$4)),IF(AH!$U$5=1,INDEX('Live History'!$B$5:$B$3004,$K564),INDEX('AH History'!$D$5:$GG$1380,$K564,AH!$U$10))))&gt;0),IF(AND(AH!$U$12=1,559+1=AH!$U$6),IF(AH!$U$4=0,"unavailable",INDEX('Market Data'!$AN$5:$AN$66,AH!$U$4)),IF(AH!$U$5=1,INDEX('Live History'!$B$5:$B$3004,$K564),INDEX('AH History'!$D$5:$GG$1380,$K564,AH!$U$10))),NA()),NA())</f>
        <v/>
      </c>
      <c r="F564" s="32">
        <f>IFERROR(IF(ISNUMBER($A564),IF(AND(AH!$U$12=1,559+1=AH!$U$6),IF(AH!$U$4=0,"unavailable",INDEX('Market Data'!$AO$5:$AO$66,AH!$U$4)),IF(AH!$U$5=1,INDEX('Live History'!$E$5:$E$3004,MATCH($A564,'Live History'!$D$5:$D$3004,1)),INDEX('AH History'!$D$5:$GG$1380,$K564,AH!$U$10+1))),NA()),NA())</f>
        <v/>
      </c>
      <c r="G564" s="34">
        <f>IFERROR(IF(ISNUMBER($A564),IF(AND(AH!$U$12=1,559+1=AH!$U$6),IF(AH!$U$4=0,"unavailable",INDEX('Market Data'!$AK$5:$AK$66,AH!$U$4)),IF(AH!$U$5=1,INDEX('Live History'!$D$5:$D$3004,MATCH($A564,'Live History'!$D$5:$D$3004,1)),INDEX('AH History'!$D$5:$GG$1380,$K564,AH!$U$10+2))),NA()),NA())</f>
        <v/>
      </c>
      <c r="H564" s="266">
        <f>IFERROR(IF(ISNUMBER($A564),IF(AND(AH!$U$12=1,559+1=AH!$U$6),IF(AH!$U$4=0,"unavailable",INDEX('Market Data'!$AP$5:$AP$66,AH!$U$4)),IF(AH!$U$5=1,INDEX('Live History'!$H$5:$H$3004,MATCH($A564,'Live History'!$G$5:$G$3004,1)),INDEX('AH History'!$B$5:$B$1380,$K564))),NA()),NA())</f>
        <v/>
      </c>
      <c r="I564" s="34">
        <f>IFERROR(IF(ISNUMBER($A564),IF(AND(AH!$U$12=1,559+1=AH!$U$6),TODAY(),IF(AH!$U$5=1,INDEX('Live History'!$G$5:$G$3004,MATCH($A564,'Live History'!$G$5:$G$3004,1)),INDEX('AH History'!$C$5:$C$1380,$K564))),NA()),NA())</f>
        <v/>
      </c>
      <c r="J564" s="32">
        <f>IFERROR(IF(AND($F564&gt;0,$H564&gt;0,$A564-$G564&lt;=10,$A564-$I564&lt;=5,$G564&gt;0,$I564&gt;0),$F564*$H564,NA()),NA())</f>
        <v/>
      </c>
      <c r="K564" s="15">
        <f>IF($A564="","",IF(AH!$U$5=1,IFERROR(MATCH($A564,'Live History'!$A$5:$A$3004,0),0),AH!$U$7+559))</f>
        <v/>
      </c>
      <c r="L564" s="15">
        <f>IF(ISNUMBER(A564),TEXT(A564,"dd-mmm-yy"),"")</f>
        <v/>
      </c>
    </row>
    <row r="565">
      <c r="A565" s="14">
        <f>IF(OR(AH!$U$4=0,560+1&gt;AH!$U$6,AND(AH!$M$5="Bloomberg",AH!$U$5=0)),"",IFERROR(IF(AND(AH!$U$12=1,560+1=AH!$U$6),TODAY(),IF(AH!$U$5=1,INDEX('Live History'!$A$5:$A$3004,AH!$U$7+560),INDEX('AH History'!$A$5:$A$1380,AH!$U$7+560))),""))</f>
        <v/>
      </c>
      <c r="B565" s="33">
        <f>IFERROR(IF(AH!$U$11=1,NA(),$J565/$E565-1),NA())</f>
        <v/>
      </c>
      <c r="C565" s="269">
        <f>IFERROR(100*$E565/$E$5,NA())</f>
        <v/>
      </c>
      <c r="D565" s="269">
        <f>IFERROR(100*$J565/$J$5,NA())</f>
        <v/>
      </c>
      <c r="E565" s="32">
        <f>IFERROR(IF(AND(ISNUMBER($A565),N(IF(AND(AH!$U$12=1,560+1=AH!$U$6),IF(AH!$U$4=0,"unavailable",INDEX('Market Data'!$AN$5:$AN$66,AH!$U$4)),IF(AH!$U$5=1,INDEX('Live History'!$B$5:$B$3004,$K565),INDEX('AH History'!$D$5:$GG$1380,$K565,AH!$U$10))))&gt;0),IF(AND(AH!$U$12=1,560+1=AH!$U$6),IF(AH!$U$4=0,"unavailable",INDEX('Market Data'!$AN$5:$AN$66,AH!$U$4)),IF(AH!$U$5=1,INDEX('Live History'!$B$5:$B$3004,$K565),INDEX('AH History'!$D$5:$GG$1380,$K565,AH!$U$10))),NA()),NA())</f>
        <v/>
      </c>
      <c r="F565" s="32">
        <f>IFERROR(IF(ISNUMBER($A565),IF(AND(AH!$U$12=1,560+1=AH!$U$6),IF(AH!$U$4=0,"unavailable",INDEX('Market Data'!$AO$5:$AO$66,AH!$U$4)),IF(AH!$U$5=1,INDEX('Live History'!$E$5:$E$3004,MATCH($A565,'Live History'!$D$5:$D$3004,1)),INDEX('AH History'!$D$5:$GG$1380,$K565,AH!$U$10+1))),NA()),NA())</f>
        <v/>
      </c>
      <c r="G565" s="34">
        <f>IFERROR(IF(ISNUMBER($A565),IF(AND(AH!$U$12=1,560+1=AH!$U$6),IF(AH!$U$4=0,"unavailable",INDEX('Market Data'!$AK$5:$AK$66,AH!$U$4)),IF(AH!$U$5=1,INDEX('Live History'!$D$5:$D$3004,MATCH($A565,'Live History'!$D$5:$D$3004,1)),INDEX('AH History'!$D$5:$GG$1380,$K565,AH!$U$10+2))),NA()),NA())</f>
        <v/>
      </c>
      <c r="H565" s="266">
        <f>IFERROR(IF(ISNUMBER($A565),IF(AND(AH!$U$12=1,560+1=AH!$U$6),IF(AH!$U$4=0,"unavailable",INDEX('Market Data'!$AP$5:$AP$66,AH!$U$4)),IF(AH!$U$5=1,INDEX('Live History'!$H$5:$H$3004,MATCH($A565,'Live History'!$G$5:$G$3004,1)),INDEX('AH History'!$B$5:$B$1380,$K565))),NA()),NA())</f>
        <v/>
      </c>
      <c r="I565" s="34">
        <f>IFERROR(IF(ISNUMBER($A565),IF(AND(AH!$U$12=1,560+1=AH!$U$6),TODAY(),IF(AH!$U$5=1,INDEX('Live History'!$G$5:$G$3004,MATCH($A565,'Live History'!$G$5:$G$3004,1)),INDEX('AH History'!$C$5:$C$1380,$K565))),NA()),NA())</f>
        <v/>
      </c>
      <c r="J565" s="32">
        <f>IFERROR(IF(AND($F565&gt;0,$H565&gt;0,$A565-$G565&lt;=10,$A565-$I565&lt;=5,$G565&gt;0,$I565&gt;0),$F565*$H565,NA()),NA())</f>
        <v/>
      </c>
      <c r="K565" s="15">
        <f>IF($A565="","",IF(AH!$U$5=1,IFERROR(MATCH($A565,'Live History'!$A$5:$A$3004,0),0),AH!$U$7+560))</f>
        <v/>
      </c>
      <c r="L565" s="15">
        <f>IF(ISNUMBER(A565),TEXT(A565,"dd-mmm-yy"),"")</f>
        <v/>
      </c>
    </row>
    <row r="566">
      <c r="A566" s="14">
        <f>IF(OR(AH!$U$4=0,561+1&gt;AH!$U$6,AND(AH!$M$5="Bloomberg",AH!$U$5=0)),"",IFERROR(IF(AND(AH!$U$12=1,561+1=AH!$U$6),TODAY(),IF(AH!$U$5=1,INDEX('Live History'!$A$5:$A$3004,AH!$U$7+561),INDEX('AH History'!$A$5:$A$1380,AH!$U$7+561))),""))</f>
        <v/>
      </c>
      <c r="B566" s="33">
        <f>IFERROR(IF(AH!$U$11=1,NA(),$J566/$E566-1),NA())</f>
        <v/>
      </c>
      <c r="C566" s="269">
        <f>IFERROR(100*$E566/$E$5,NA())</f>
        <v/>
      </c>
      <c r="D566" s="269">
        <f>IFERROR(100*$J566/$J$5,NA())</f>
        <v/>
      </c>
      <c r="E566" s="32">
        <f>IFERROR(IF(AND(ISNUMBER($A566),N(IF(AND(AH!$U$12=1,561+1=AH!$U$6),IF(AH!$U$4=0,"unavailable",INDEX('Market Data'!$AN$5:$AN$66,AH!$U$4)),IF(AH!$U$5=1,INDEX('Live History'!$B$5:$B$3004,$K566),INDEX('AH History'!$D$5:$GG$1380,$K566,AH!$U$10))))&gt;0),IF(AND(AH!$U$12=1,561+1=AH!$U$6),IF(AH!$U$4=0,"unavailable",INDEX('Market Data'!$AN$5:$AN$66,AH!$U$4)),IF(AH!$U$5=1,INDEX('Live History'!$B$5:$B$3004,$K566),INDEX('AH History'!$D$5:$GG$1380,$K566,AH!$U$10))),NA()),NA())</f>
        <v/>
      </c>
      <c r="F566" s="32">
        <f>IFERROR(IF(ISNUMBER($A566),IF(AND(AH!$U$12=1,561+1=AH!$U$6),IF(AH!$U$4=0,"unavailable",INDEX('Market Data'!$AO$5:$AO$66,AH!$U$4)),IF(AH!$U$5=1,INDEX('Live History'!$E$5:$E$3004,MATCH($A566,'Live History'!$D$5:$D$3004,1)),INDEX('AH History'!$D$5:$GG$1380,$K566,AH!$U$10+1))),NA()),NA())</f>
        <v/>
      </c>
      <c r="G566" s="34">
        <f>IFERROR(IF(ISNUMBER($A566),IF(AND(AH!$U$12=1,561+1=AH!$U$6),IF(AH!$U$4=0,"unavailable",INDEX('Market Data'!$AK$5:$AK$66,AH!$U$4)),IF(AH!$U$5=1,INDEX('Live History'!$D$5:$D$3004,MATCH($A566,'Live History'!$D$5:$D$3004,1)),INDEX('AH History'!$D$5:$GG$1380,$K566,AH!$U$10+2))),NA()),NA())</f>
        <v/>
      </c>
      <c r="H566" s="266">
        <f>IFERROR(IF(ISNUMBER($A566),IF(AND(AH!$U$12=1,561+1=AH!$U$6),IF(AH!$U$4=0,"unavailable",INDEX('Market Data'!$AP$5:$AP$66,AH!$U$4)),IF(AH!$U$5=1,INDEX('Live History'!$H$5:$H$3004,MATCH($A566,'Live History'!$G$5:$G$3004,1)),INDEX('AH History'!$B$5:$B$1380,$K566))),NA()),NA())</f>
        <v/>
      </c>
      <c r="I566" s="34">
        <f>IFERROR(IF(ISNUMBER($A566),IF(AND(AH!$U$12=1,561+1=AH!$U$6),TODAY(),IF(AH!$U$5=1,INDEX('Live History'!$G$5:$G$3004,MATCH($A566,'Live History'!$G$5:$G$3004,1)),INDEX('AH History'!$C$5:$C$1380,$K566))),NA()),NA())</f>
        <v/>
      </c>
      <c r="J566" s="32">
        <f>IFERROR(IF(AND($F566&gt;0,$H566&gt;0,$A566-$G566&lt;=10,$A566-$I566&lt;=5,$G566&gt;0,$I566&gt;0),$F566*$H566,NA()),NA())</f>
        <v/>
      </c>
      <c r="K566" s="15">
        <f>IF($A566="","",IF(AH!$U$5=1,IFERROR(MATCH($A566,'Live History'!$A$5:$A$3004,0),0),AH!$U$7+561))</f>
        <v/>
      </c>
      <c r="L566" s="15">
        <f>IF(ISNUMBER(A566),TEXT(A566,"dd-mmm-yy"),"")</f>
        <v/>
      </c>
    </row>
    <row r="567">
      <c r="A567" s="14">
        <f>IF(OR(AH!$U$4=0,562+1&gt;AH!$U$6,AND(AH!$M$5="Bloomberg",AH!$U$5=0)),"",IFERROR(IF(AND(AH!$U$12=1,562+1=AH!$U$6),TODAY(),IF(AH!$U$5=1,INDEX('Live History'!$A$5:$A$3004,AH!$U$7+562),INDEX('AH History'!$A$5:$A$1380,AH!$U$7+562))),""))</f>
        <v/>
      </c>
      <c r="B567" s="33">
        <f>IFERROR(IF(AH!$U$11=1,NA(),$J567/$E567-1),NA())</f>
        <v/>
      </c>
      <c r="C567" s="269">
        <f>IFERROR(100*$E567/$E$5,NA())</f>
        <v/>
      </c>
      <c r="D567" s="269">
        <f>IFERROR(100*$J567/$J$5,NA())</f>
        <v/>
      </c>
      <c r="E567" s="32">
        <f>IFERROR(IF(AND(ISNUMBER($A567),N(IF(AND(AH!$U$12=1,562+1=AH!$U$6),IF(AH!$U$4=0,"unavailable",INDEX('Market Data'!$AN$5:$AN$66,AH!$U$4)),IF(AH!$U$5=1,INDEX('Live History'!$B$5:$B$3004,$K567),INDEX('AH History'!$D$5:$GG$1380,$K567,AH!$U$10))))&gt;0),IF(AND(AH!$U$12=1,562+1=AH!$U$6),IF(AH!$U$4=0,"unavailable",INDEX('Market Data'!$AN$5:$AN$66,AH!$U$4)),IF(AH!$U$5=1,INDEX('Live History'!$B$5:$B$3004,$K567),INDEX('AH History'!$D$5:$GG$1380,$K567,AH!$U$10))),NA()),NA())</f>
        <v/>
      </c>
      <c r="F567" s="32">
        <f>IFERROR(IF(ISNUMBER($A567),IF(AND(AH!$U$12=1,562+1=AH!$U$6),IF(AH!$U$4=0,"unavailable",INDEX('Market Data'!$AO$5:$AO$66,AH!$U$4)),IF(AH!$U$5=1,INDEX('Live History'!$E$5:$E$3004,MATCH($A567,'Live History'!$D$5:$D$3004,1)),INDEX('AH History'!$D$5:$GG$1380,$K567,AH!$U$10+1))),NA()),NA())</f>
        <v/>
      </c>
      <c r="G567" s="34">
        <f>IFERROR(IF(ISNUMBER($A567),IF(AND(AH!$U$12=1,562+1=AH!$U$6),IF(AH!$U$4=0,"unavailable",INDEX('Market Data'!$AK$5:$AK$66,AH!$U$4)),IF(AH!$U$5=1,INDEX('Live History'!$D$5:$D$3004,MATCH($A567,'Live History'!$D$5:$D$3004,1)),INDEX('AH History'!$D$5:$GG$1380,$K567,AH!$U$10+2))),NA()),NA())</f>
        <v/>
      </c>
      <c r="H567" s="266">
        <f>IFERROR(IF(ISNUMBER($A567),IF(AND(AH!$U$12=1,562+1=AH!$U$6),IF(AH!$U$4=0,"unavailable",INDEX('Market Data'!$AP$5:$AP$66,AH!$U$4)),IF(AH!$U$5=1,INDEX('Live History'!$H$5:$H$3004,MATCH($A567,'Live History'!$G$5:$G$3004,1)),INDEX('AH History'!$B$5:$B$1380,$K567))),NA()),NA())</f>
        <v/>
      </c>
      <c r="I567" s="34">
        <f>IFERROR(IF(ISNUMBER($A567),IF(AND(AH!$U$12=1,562+1=AH!$U$6),TODAY(),IF(AH!$U$5=1,INDEX('Live History'!$G$5:$G$3004,MATCH($A567,'Live History'!$G$5:$G$3004,1)),INDEX('AH History'!$C$5:$C$1380,$K567))),NA()),NA())</f>
        <v/>
      </c>
      <c r="J567" s="32">
        <f>IFERROR(IF(AND($F567&gt;0,$H567&gt;0,$A567-$G567&lt;=10,$A567-$I567&lt;=5,$G567&gt;0,$I567&gt;0),$F567*$H567,NA()),NA())</f>
        <v/>
      </c>
      <c r="K567" s="15">
        <f>IF($A567="","",IF(AH!$U$5=1,IFERROR(MATCH($A567,'Live History'!$A$5:$A$3004,0),0),AH!$U$7+562))</f>
        <v/>
      </c>
      <c r="L567" s="15">
        <f>IF(ISNUMBER(A567),TEXT(A567,"dd-mmm-yy"),"")</f>
        <v/>
      </c>
    </row>
    <row r="568">
      <c r="A568" s="14">
        <f>IF(OR(AH!$U$4=0,563+1&gt;AH!$U$6,AND(AH!$M$5="Bloomberg",AH!$U$5=0)),"",IFERROR(IF(AND(AH!$U$12=1,563+1=AH!$U$6),TODAY(),IF(AH!$U$5=1,INDEX('Live History'!$A$5:$A$3004,AH!$U$7+563),INDEX('AH History'!$A$5:$A$1380,AH!$U$7+563))),""))</f>
        <v/>
      </c>
      <c r="B568" s="33">
        <f>IFERROR(IF(AH!$U$11=1,NA(),$J568/$E568-1),NA())</f>
        <v/>
      </c>
      <c r="C568" s="269">
        <f>IFERROR(100*$E568/$E$5,NA())</f>
        <v/>
      </c>
      <c r="D568" s="269">
        <f>IFERROR(100*$J568/$J$5,NA())</f>
        <v/>
      </c>
      <c r="E568" s="32">
        <f>IFERROR(IF(AND(ISNUMBER($A568),N(IF(AND(AH!$U$12=1,563+1=AH!$U$6),IF(AH!$U$4=0,"unavailable",INDEX('Market Data'!$AN$5:$AN$66,AH!$U$4)),IF(AH!$U$5=1,INDEX('Live History'!$B$5:$B$3004,$K568),INDEX('AH History'!$D$5:$GG$1380,$K568,AH!$U$10))))&gt;0),IF(AND(AH!$U$12=1,563+1=AH!$U$6),IF(AH!$U$4=0,"unavailable",INDEX('Market Data'!$AN$5:$AN$66,AH!$U$4)),IF(AH!$U$5=1,INDEX('Live History'!$B$5:$B$3004,$K568),INDEX('AH History'!$D$5:$GG$1380,$K568,AH!$U$10))),NA()),NA())</f>
        <v/>
      </c>
      <c r="F568" s="32">
        <f>IFERROR(IF(ISNUMBER($A568),IF(AND(AH!$U$12=1,563+1=AH!$U$6),IF(AH!$U$4=0,"unavailable",INDEX('Market Data'!$AO$5:$AO$66,AH!$U$4)),IF(AH!$U$5=1,INDEX('Live History'!$E$5:$E$3004,MATCH($A568,'Live History'!$D$5:$D$3004,1)),INDEX('AH History'!$D$5:$GG$1380,$K568,AH!$U$10+1))),NA()),NA())</f>
        <v/>
      </c>
      <c r="G568" s="34">
        <f>IFERROR(IF(ISNUMBER($A568),IF(AND(AH!$U$12=1,563+1=AH!$U$6),IF(AH!$U$4=0,"unavailable",INDEX('Market Data'!$AK$5:$AK$66,AH!$U$4)),IF(AH!$U$5=1,INDEX('Live History'!$D$5:$D$3004,MATCH($A568,'Live History'!$D$5:$D$3004,1)),INDEX('AH History'!$D$5:$GG$1380,$K568,AH!$U$10+2))),NA()),NA())</f>
        <v/>
      </c>
      <c r="H568" s="266">
        <f>IFERROR(IF(ISNUMBER($A568),IF(AND(AH!$U$12=1,563+1=AH!$U$6),IF(AH!$U$4=0,"unavailable",INDEX('Market Data'!$AP$5:$AP$66,AH!$U$4)),IF(AH!$U$5=1,INDEX('Live History'!$H$5:$H$3004,MATCH($A568,'Live History'!$G$5:$G$3004,1)),INDEX('AH History'!$B$5:$B$1380,$K568))),NA()),NA())</f>
        <v/>
      </c>
      <c r="I568" s="34">
        <f>IFERROR(IF(ISNUMBER($A568),IF(AND(AH!$U$12=1,563+1=AH!$U$6),TODAY(),IF(AH!$U$5=1,INDEX('Live History'!$G$5:$G$3004,MATCH($A568,'Live History'!$G$5:$G$3004,1)),INDEX('AH History'!$C$5:$C$1380,$K568))),NA()),NA())</f>
        <v/>
      </c>
      <c r="J568" s="32">
        <f>IFERROR(IF(AND($F568&gt;0,$H568&gt;0,$A568-$G568&lt;=10,$A568-$I568&lt;=5,$G568&gt;0,$I568&gt;0),$F568*$H568,NA()),NA())</f>
        <v/>
      </c>
      <c r="K568" s="15">
        <f>IF($A568="","",IF(AH!$U$5=1,IFERROR(MATCH($A568,'Live History'!$A$5:$A$3004,0),0),AH!$U$7+563))</f>
        <v/>
      </c>
      <c r="L568" s="15">
        <f>IF(ISNUMBER(A568),TEXT(A568,"dd-mmm-yy"),"")</f>
        <v/>
      </c>
    </row>
    <row r="569">
      <c r="A569" s="14">
        <f>IF(OR(AH!$U$4=0,564+1&gt;AH!$U$6,AND(AH!$M$5="Bloomberg",AH!$U$5=0)),"",IFERROR(IF(AND(AH!$U$12=1,564+1=AH!$U$6),TODAY(),IF(AH!$U$5=1,INDEX('Live History'!$A$5:$A$3004,AH!$U$7+564),INDEX('AH History'!$A$5:$A$1380,AH!$U$7+564))),""))</f>
        <v/>
      </c>
      <c r="B569" s="33">
        <f>IFERROR(IF(AH!$U$11=1,NA(),$J569/$E569-1),NA())</f>
        <v/>
      </c>
      <c r="C569" s="269">
        <f>IFERROR(100*$E569/$E$5,NA())</f>
        <v/>
      </c>
      <c r="D569" s="269">
        <f>IFERROR(100*$J569/$J$5,NA())</f>
        <v/>
      </c>
      <c r="E569" s="32">
        <f>IFERROR(IF(AND(ISNUMBER($A569),N(IF(AND(AH!$U$12=1,564+1=AH!$U$6),IF(AH!$U$4=0,"unavailable",INDEX('Market Data'!$AN$5:$AN$66,AH!$U$4)),IF(AH!$U$5=1,INDEX('Live History'!$B$5:$B$3004,$K569),INDEX('AH History'!$D$5:$GG$1380,$K569,AH!$U$10))))&gt;0),IF(AND(AH!$U$12=1,564+1=AH!$U$6),IF(AH!$U$4=0,"unavailable",INDEX('Market Data'!$AN$5:$AN$66,AH!$U$4)),IF(AH!$U$5=1,INDEX('Live History'!$B$5:$B$3004,$K569),INDEX('AH History'!$D$5:$GG$1380,$K569,AH!$U$10))),NA()),NA())</f>
        <v/>
      </c>
      <c r="F569" s="32">
        <f>IFERROR(IF(ISNUMBER($A569),IF(AND(AH!$U$12=1,564+1=AH!$U$6),IF(AH!$U$4=0,"unavailable",INDEX('Market Data'!$AO$5:$AO$66,AH!$U$4)),IF(AH!$U$5=1,INDEX('Live History'!$E$5:$E$3004,MATCH($A569,'Live History'!$D$5:$D$3004,1)),INDEX('AH History'!$D$5:$GG$1380,$K569,AH!$U$10+1))),NA()),NA())</f>
        <v/>
      </c>
      <c r="G569" s="34">
        <f>IFERROR(IF(ISNUMBER($A569),IF(AND(AH!$U$12=1,564+1=AH!$U$6),IF(AH!$U$4=0,"unavailable",INDEX('Market Data'!$AK$5:$AK$66,AH!$U$4)),IF(AH!$U$5=1,INDEX('Live History'!$D$5:$D$3004,MATCH($A569,'Live History'!$D$5:$D$3004,1)),INDEX('AH History'!$D$5:$GG$1380,$K569,AH!$U$10+2))),NA()),NA())</f>
        <v/>
      </c>
      <c r="H569" s="266">
        <f>IFERROR(IF(ISNUMBER($A569),IF(AND(AH!$U$12=1,564+1=AH!$U$6),IF(AH!$U$4=0,"unavailable",INDEX('Market Data'!$AP$5:$AP$66,AH!$U$4)),IF(AH!$U$5=1,INDEX('Live History'!$H$5:$H$3004,MATCH($A569,'Live History'!$G$5:$G$3004,1)),INDEX('AH History'!$B$5:$B$1380,$K569))),NA()),NA())</f>
        <v/>
      </c>
      <c r="I569" s="34">
        <f>IFERROR(IF(ISNUMBER($A569),IF(AND(AH!$U$12=1,564+1=AH!$U$6),TODAY(),IF(AH!$U$5=1,INDEX('Live History'!$G$5:$G$3004,MATCH($A569,'Live History'!$G$5:$G$3004,1)),INDEX('AH History'!$C$5:$C$1380,$K569))),NA()),NA())</f>
        <v/>
      </c>
      <c r="J569" s="32">
        <f>IFERROR(IF(AND($F569&gt;0,$H569&gt;0,$A569-$G569&lt;=10,$A569-$I569&lt;=5,$G569&gt;0,$I569&gt;0),$F569*$H569,NA()),NA())</f>
        <v/>
      </c>
      <c r="K569" s="15">
        <f>IF($A569="","",IF(AH!$U$5=1,IFERROR(MATCH($A569,'Live History'!$A$5:$A$3004,0),0),AH!$U$7+564))</f>
        <v/>
      </c>
      <c r="L569" s="15">
        <f>IF(ISNUMBER(A569),TEXT(A569,"dd-mmm-yy"),"")</f>
        <v/>
      </c>
    </row>
    <row r="570">
      <c r="A570" s="14">
        <f>IF(OR(AH!$U$4=0,565+1&gt;AH!$U$6,AND(AH!$M$5="Bloomberg",AH!$U$5=0)),"",IFERROR(IF(AND(AH!$U$12=1,565+1=AH!$U$6),TODAY(),IF(AH!$U$5=1,INDEX('Live History'!$A$5:$A$3004,AH!$U$7+565),INDEX('AH History'!$A$5:$A$1380,AH!$U$7+565))),""))</f>
        <v/>
      </c>
      <c r="B570" s="33">
        <f>IFERROR(IF(AH!$U$11=1,NA(),$J570/$E570-1),NA())</f>
        <v/>
      </c>
      <c r="C570" s="269">
        <f>IFERROR(100*$E570/$E$5,NA())</f>
        <v/>
      </c>
      <c r="D570" s="269">
        <f>IFERROR(100*$J570/$J$5,NA())</f>
        <v/>
      </c>
      <c r="E570" s="32">
        <f>IFERROR(IF(AND(ISNUMBER($A570),N(IF(AND(AH!$U$12=1,565+1=AH!$U$6),IF(AH!$U$4=0,"unavailable",INDEX('Market Data'!$AN$5:$AN$66,AH!$U$4)),IF(AH!$U$5=1,INDEX('Live History'!$B$5:$B$3004,$K570),INDEX('AH History'!$D$5:$GG$1380,$K570,AH!$U$10))))&gt;0),IF(AND(AH!$U$12=1,565+1=AH!$U$6),IF(AH!$U$4=0,"unavailable",INDEX('Market Data'!$AN$5:$AN$66,AH!$U$4)),IF(AH!$U$5=1,INDEX('Live History'!$B$5:$B$3004,$K570),INDEX('AH History'!$D$5:$GG$1380,$K570,AH!$U$10))),NA()),NA())</f>
        <v/>
      </c>
      <c r="F570" s="32">
        <f>IFERROR(IF(ISNUMBER($A570),IF(AND(AH!$U$12=1,565+1=AH!$U$6),IF(AH!$U$4=0,"unavailable",INDEX('Market Data'!$AO$5:$AO$66,AH!$U$4)),IF(AH!$U$5=1,INDEX('Live History'!$E$5:$E$3004,MATCH($A570,'Live History'!$D$5:$D$3004,1)),INDEX('AH History'!$D$5:$GG$1380,$K570,AH!$U$10+1))),NA()),NA())</f>
        <v/>
      </c>
      <c r="G570" s="34">
        <f>IFERROR(IF(ISNUMBER($A570),IF(AND(AH!$U$12=1,565+1=AH!$U$6),IF(AH!$U$4=0,"unavailable",INDEX('Market Data'!$AK$5:$AK$66,AH!$U$4)),IF(AH!$U$5=1,INDEX('Live History'!$D$5:$D$3004,MATCH($A570,'Live History'!$D$5:$D$3004,1)),INDEX('AH History'!$D$5:$GG$1380,$K570,AH!$U$10+2))),NA()),NA())</f>
        <v/>
      </c>
      <c r="H570" s="266">
        <f>IFERROR(IF(ISNUMBER($A570),IF(AND(AH!$U$12=1,565+1=AH!$U$6),IF(AH!$U$4=0,"unavailable",INDEX('Market Data'!$AP$5:$AP$66,AH!$U$4)),IF(AH!$U$5=1,INDEX('Live History'!$H$5:$H$3004,MATCH($A570,'Live History'!$G$5:$G$3004,1)),INDEX('AH History'!$B$5:$B$1380,$K570))),NA()),NA())</f>
        <v/>
      </c>
      <c r="I570" s="34">
        <f>IFERROR(IF(ISNUMBER($A570),IF(AND(AH!$U$12=1,565+1=AH!$U$6),TODAY(),IF(AH!$U$5=1,INDEX('Live History'!$G$5:$G$3004,MATCH($A570,'Live History'!$G$5:$G$3004,1)),INDEX('AH History'!$C$5:$C$1380,$K570))),NA()),NA())</f>
        <v/>
      </c>
      <c r="J570" s="32">
        <f>IFERROR(IF(AND($F570&gt;0,$H570&gt;0,$A570-$G570&lt;=10,$A570-$I570&lt;=5,$G570&gt;0,$I570&gt;0),$F570*$H570,NA()),NA())</f>
        <v/>
      </c>
      <c r="K570" s="15">
        <f>IF($A570="","",IF(AH!$U$5=1,IFERROR(MATCH($A570,'Live History'!$A$5:$A$3004,0),0),AH!$U$7+565))</f>
        <v/>
      </c>
      <c r="L570" s="15">
        <f>IF(ISNUMBER(A570),TEXT(A570,"dd-mmm-yy"),"")</f>
        <v/>
      </c>
    </row>
    <row r="571">
      <c r="A571" s="14">
        <f>IF(OR(AH!$U$4=0,566+1&gt;AH!$U$6,AND(AH!$M$5="Bloomberg",AH!$U$5=0)),"",IFERROR(IF(AND(AH!$U$12=1,566+1=AH!$U$6),TODAY(),IF(AH!$U$5=1,INDEX('Live History'!$A$5:$A$3004,AH!$U$7+566),INDEX('AH History'!$A$5:$A$1380,AH!$U$7+566))),""))</f>
        <v/>
      </c>
      <c r="B571" s="33">
        <f>IFERROR(IF(AH!$U$11=1,NA(),$J571/$E571-1),NA())</f>
        <v/>
      </c>
      <c r="C571" s="269">
        <f>IFERROR(100*$E571/$E$5,NA())</f>
        <v/>
      </c>
      <c r="D571" s="269">
        <f>IFERROR(100*$J571/$J$5,NA())</f>
        <v/>
      </c>
      <c r="E571" s="32">
        <f>IFERROR(IF(AND(ISNUMBER($A571),N(IF(AND(AH!$U$12=1,566+1=AH!$U$6),IF(AH!$U$4=0,"unavailable",INDEX('Market Data'!$AN$5:$AN$66,AH!$U$4)),IF(AH!$U$5=1,INDEX('Live History'!$B$5:$B$3004,$K571),INDEX('AH History'!$D$5:$GG$1380,$K571,AH!$U$10))))&gt;0),IF(AND(AH!$U$12=1,566+1=AH!$U$6),IF(AH!$U$4=0,"unavailable",INDEX('Market Data'!$AN$5:$AN$66,AH!$U$4)),IF(AH!$U$5=1,INDEX('Live History'!$B$5:$B$3004,$K571),INDEX('AH History'!$D$5:$GG$1380,$K571,AH!$U$10))),NA()),NA())</f>
        <v/>
      </c>
      <c r="F571" s="32">
        <f>IFERROR(IF(ISNUMBER($A571),IF(AND(AH!$U$12=1,566+1=AH!$U$6),IF(AH!$U$4=0,"unavailable",INDEX('Market Data'!$AO$5:$AO$66,AH!$U$4)),IF(AH!$U$5=1,INDEX('Live History'!$E$5:$E$3004,MATCH($A571,'Live History'!$D$5:$D$3004,1)),INDEX('AH History'!$D$5:$GG$1380,$K571,AH!$U$10+1))),NA()),NA())</f>
        <v/>
      </c>
      <c r="G571" s="34">
        <f>IFERROR(IF(ISNUMBER($A571),IF(AND(AH!$U$12=1,566+1=AH!$U$6),IF(AH!$U$4=0,"unavailable",INDEX('Market Data'!$AK$5:$AK$66,AH!$U$4)),IF(AH!$U$5=1,INDEX('Live History'!$D$5:$D$3004,MATCH($A571,'Live History'!$D$5:$D$3004,1)),INDEX('AH History'!$D$5:$GG$1380,$K571,AH!$U$10+2))),NA()),NA())</f>
        <v/>
      </c>
      <c r="H571" s="266">
        <f>IFERROR(IF(ISNUMBER($A571),IF(AND(AH!$U$12=1,566+1=AH!$U$6),IF(AH!$U$4=0,"unavailable",INDEX('Market Data'!$AP$5:$AP$66,AH!$U$4)),IF(AH!$U$5=1,INDEX('Live History'!$H$5:$H$3004,MATCH($A571,'Live History'!$G$5:$G$3004,1)),INDEX('AH History'!$B$5:$B$1380,$K571))),NA()),NA())</f>
        <v/>
      </c>
      <c r="I571" s="34">
        <f>IFERROR(IF(ISNUMBER($A571),IF(AND(AH!$U$12=1,566+1=AH!$U$6),TODAY(),IF(AH!$U$5=1,INDEX('Live History'!$G$5:$G$3004,MATCH($A571,'Live History'!$G$5:$G$3004,1)),INDEX('AH History'!$C$5:$C$1380,$K571))),NA()),NA())</f>
        <v/>
      </c>
      <c r="J571" s="32">
        <f>IFERROR(IF(AND($F571&gt;0,$H571&gt;0,$A571-$G571&lt;=10,$A571-$I571&lt;=5,$G571&gt;0,$I571&gt;0),$F571*$H571,NA()),NA())</f>
        <v/>
      </c>
      <c r="K571" s="15">
        <f>IF($A571="","",IF(AH!$U$5=1,IFERROR(MATCH($A571,'Live History'!$A$5:$A$3004,0),0),AH!$U$7+566))</f>
        <v/>
      </c>
      <c r="L571" s="15">
        <f>IF(ISNUMBER(A571),TEXT(A571,"dd-mmm-yy"),"")</f>
        <v/>
      </c>
    </row>
    <row r="572">
      <c r="A572" s="14">
        <f>IF(OR(AH!$U$4=0,567+1&gt;AH!$U$6,AND(AH!$M$5="Bloomberg",AH!$U$5=0)),"",IFERROR(IF(AND(AH!$U$12=1,567+1=AH!$U$6),TODAY(),IF(AH!$U$5=1,INDEX('Live History'!$A$5:$A$3004,AH!$U$7+567),INDEX('AH History'!$A$5:$A$1380,AH!$U$7+567))),""))</f>
        <v/>
      </c>
      <c r="B572" s="33">
        <f>IFERROR(IF(AH!$U$11=1,NA(),$J572/$E572-1),NA())</f>
        <v/>
      </c>
      <c r="C572" s="269">
        <f>IFERROR(100*$E572/$E$5,NA())</f>
        <v/>
      </c>
      <c r="D572" s="269">
        <f>IFERROR(100*$J572/$J$5,NA())</f>
        <v/>
      </c>
      <c r="E572" s="32">
        <f>IFERROR(IF(AND(ISNUMBER($A572),N(IF(AND(AH!$U$12=1,567+1=AH!$U$6),IF(AH!$U$4=0,"unavailable",INDEX('Market Data'!$AN$5:$AN$66,AH!$U$4)),IF(AH!$U$5=1,INDEX('Live History'!$B$5:$B$3004,$K572),INDEX('AH History'!$D$5:$GG$1380,$K572,AH!$U$10))))&gt;0),IF(AND(AH!$U$12=1,567+1=AH!$U$6),IF(AH!$U$4=0,"unavailable",INDEX('Market Data'!$AN$5:$AN$66,AH!$U$4)),IF(AH!$U$5=1,INDEX('Live History'!$B$5:$B$3004,$K572),INDEX('AH History'!$D$5:$GG$1380,$K572,AH!$U$10))),NA()),NA())</f>
        <v/>
      </c>
      <c r="F572" s="32">
        <f>IFERROR(IF(ISNUMBER($A572),IF(AND(AH!$U$12=1,567+1=AH!$U$6),IF(AH!$U$4=0,"unavailable",INDEX('Market Data'!$AO$5:$AO$66,AH!$U$4)),IF(AH!$U$5=1,INDEX('Live History'!$E$5:$E$3004,MATCH($A572,'Live History'!$D$5:$D$3004,1)),INDEX('AH History'!$D$5:$GG$1380,$K572,AH!$U$10+1))),NA()),NA())</f>
        <v/>
      </c>
      <c r="G572" s="34">
        <f>IFERROR(IF(ISNUMBER($A572),IF(AND(AH!$U$12=1,567+1=AH!$U$6),IF(AH!$U$4=0,"unavailable",INDEX('Market Data'!$AK$5:$AK$66,AH!$U$4)),IF(AH!$U$5=1,INDEX('Live History'!$D$5:$D$3004,MATCH($A572,'Live History'!$D$5:$D$3004,1)),INDEX('AH History'!$D$5:$GG$1380,$K572,AH!$U$10+2))),NA()),NA())</f>
        <v/>
      </c>
      <c r="H572" s="266">
        <f>IFERROR(IF(ISNUMBER($A572),IF(AND(AH!$U$12=1,567+1=AH!$U$6),IF(AH!$U$4=0,"unavailable",INDEX('Market Data'!$AP$5:$AP$66,AH!$U$4)),IF(AH!$U$5=1,INDEX('Live History'!$H$5:$H$3004,MATCH($A572,'Live History'!$G$5:$G$3004,1)),INDEX('AH History'!$B$5:$B$1380,$K572))),NA()),NA())</f>
        <v/>
      </c>
      <c r="I572" s="34">
        <f>IFERROR(IF(ISNUMBER($A572),IF(AND(AH!$U$12=1,567+1=AH!$U$6),TODAY(),IF(AH!$U$5=1,INDEX('Live History'!$G$5:$G$3004,MATCH($A572,'Live History'!$G$5:$G$3004,1)),INDEX('AH History'!$C$5:$C$1380,$K572))),NA()),NA())</f>
        <v/>
      </c>
      <c r="J572" s="32">
        <f>IFERROR(IF(AND($F572&gt;0,$H572&gt;0,$A572-$G572&lt;=10,$A572-$I572&lt;=5,$G572&gt;0,$I572&gt;0),$F572*$H572,NA()),NA())</f>
        <v/>
      </c>
      <c r="K572" s="15">
        <f>IF($A572="","",IF(AH!$U$5=1,IFERROR(MATCH($A572,'Live History'!$A$5:$A$3004,0),0),AH!$U$7+567))</f>
        <v/>
      </c>
      <c r="L572" s="15">
        <f>IF(ISNUMBER(A572),TEXT(A572,"dd-mmm-yy"),"")</f>
        <v/>
      </c>
    </row>
    <row r="573">
      <c r="A573" s="14">
        <f>IF(OR(AH!$U$4=0,568+1&gt;AH!$U$6,AND(AH!$M$5="Bloomberg",AH!$U$5=0)),"",IFERROR(IF(AND(AH!$U$12=1,568+1=AH!$U$6),TODAY(),IF(AH!$U$5=1,INDEX('Live History'!$A$5:$A$3004,AH!$U$7+568),INDEX('AH History'!$A$5:$A$1380,AH!$U$7+568))),""))</f>
        <v/>
      </c>
      <c r="B573" s="33">
        <f>IFERROR(IF(AH!$U$11=1,NA(),$J573/$E573-1),NA())</f>
        <v/>
      </c>
      <c r="C573" s="269">
        <f>IFERROR(100*$E573/$E$5,NA())</f>
        <v/>
      </c>
      <c r="D573" s="269">
        <f>IFERROR(100*$J573/$J$5,NA())</f>
        <v/>
      </c>
      <c r="E573" s="32">
        <f>IFERROR(IF(AND(ISNUMBER($A573),N(IF(AND(AH!$U$12=1,568+1=AH!$U$6),IF(AH!$U$4=0,"unavailable",INDEX('Market Data'!$AN$5:$AN$66,AH!$U$4)),IF(AH!$U$5=1,INDEX('Live History'!$B$5:$B$3004,$K573),INDEX('AH History'!$D$5:$GG$1380,$K573,AH!$U$10))))&gt;0),IF(AND(AH!$U$12=1,568+1=AH!$U$6),IF(AH!$U$4=0,"unavailable",INDEX('Market Data'!$AN$5:$AN$66,AH!$U$4)),IF(AH!$U$5=1,INDEX('Live History'!$B$5:$B$3004,$K573),INDEX('AH History'!$D$5:$GG$1380,$K573,AH!$U$10))),NA()),NA())</f>
        <v/>
      </c>
      <c r="F573" s="32">
        <f>IFERROR(IF(ISNUMBER($A573),IF(AND(AH!$U$12=1,568+1=AH!$U$6),IF(AH!$U$4=0,"unavailable",INDEX('Market Data'!$AO$5:$AO$66,AH!$U$4)),IF(AH!$U$5=1,INDEX('Live History'!$E$5:$E$3004,MATCH($A573,'Live History'!$D$5:$D$3004,1)),INDEX('AH History'!$D$5:$GG$1380,$K573,AH!$U$10+1))),NA()),NA())</f>
        <v/>
      </c>
      <c r="G573" s="34">
        <f>IFERROR(IF(ISNUMBER($A573),IF(AND(AH!$U$12=1,568+1=AH!$U$6),IF(AH!$U$4=0,"unavailable",INDEX('Market Data'!$AK$5:$AK$66,AH!$U$4)),IF(AH!$U$5=1,INDEX('Live History'!$D$5:$D$3004,MATCH($A573,'Live History'!$D$5:$D$3004,1)),INDEX('AH History'!$D$5:$GG$1380,$K573,AH!$U$10+2))),NA()),NA())</f>
        <v/>
      </c>
      <c r="H573" s="266">
        <f>IFERROR(IF(ISNUMBER($A573),IF(AND(AH!$U$12=1,568+1=AH!$U$6),IF(AH!$U$4=0,"unavailable",INDEX('Market Data'!$AP$5:$AP$66,AH!$U$4)),IF(AH!$U$5=1,INDEX('Live History'!$H$5:$H$3004,MATCH($A573,'Live History'!$G$5:$G$3004,1)),INDEX('AH History'!$B$5:$B$1380,$K573))),NA()),NA())</f>
        <v/>
      </c>
      <c r="I573" s="34">
        <f>IFERROR(IF(ISNUMBER($A573),IF(AND(AH!$U$12=1,568+1=AH!$U$6),TODAY(),IF(AH!$U$5=1,INDEX('Live History'!$G$5:$G$3004,MATCH($A573,'Live History'!$G$5:$G$3004,1)),INDEX('AH History'!$C$5:$C$1380,$K573))),NA()),NA())</f>
        <v/>
      </c>
      <c r="J573" s="32">
        <f>IFERROR(IF(AND($F573&gt;0,$H573&gt;0,$A573-$G573&lt;=10,$A573-$I573&lt;=5,$G573&gt;0,$I573&gt;0),$F573*$H573,NA()),NA())</f>
        <v/>
      </c>
      <c r="K573" s="15">
        <f>IF($A573="","",IF(AH!$U$5=1,IFERROR(MATCH($A573,'Live History'!$A$5:$A$3004,0),0),AH!$U$7+568))</f>
        <v/>
      </c>
      <c r="L573" s="15">
        <f>IF(ISNUMBER(A573),TEXT(A573,"dd-mmm-yy"),"")</f>
        <v/>
      </c>
    </row>
    <row r="574">
      <c r="A574" s="14">
        <f>IF(OR(AH!$U$4=0,569+1&gt;AH!$U$6,AND(AH!$M$5="Bloomberg",AH!$U$5=0)),"",IFERROR(IF(AND(AH!$U$12=1,569+1=AH!$U$6),TODAY(),IF(AH!$U$5=1,INDEX('Live History'!$A$5:$A$3004,AH!$U$7+569),INDEX('AH History'!$A$5:$A$1380,AH!$U$7+569))),""))</f>
        <v/>
      </c>
      <c r="B574" s="33">
        <f>IFERROR(IF(AH!$U$11=1,NA(),$J574/$E574-1),NA())</f>
        <v/>
      </c>
      <c r="C574" s="269">
        <f>IFERROR(100*$E574/$E$5,NA())</f>
        <v/>
      </c>
      <c r="D574" s="269">
        <f>IFERROR(100*$J574/$J$5,NA())</f>
        <v/>
      </c>
      <c r="E574" s="32">
        <f>IFERROR(IF(AND(ISNUMBER($A574),N(IF(AND(AH!$U$12=1,569+1=AH!$U$6),IF(AH!$U$4=0,"unavailable",INDEX('Market Data'!$AN$5:$AN$66,AH!$U$4)),IF(AH!$U$5=1,INDEX('Live History'!$B$5:$B$3004,$K574),INDEX('AH History'!$D$5:$GG$1380,$K574,AH!$U$10))))&gt;0),IF(AND(AH!$U$12=1,569+1=AH!$U$6),IF(AH!$U$4=0,"unavailable",INDEX('Market Data'!$AN$5:$AN$66,AH!$U$4)),IF(AH!$U$5=1,INDEX('Live History'!$B$5:$B$3004,$K574),INDEX('AH History'!$D$5:$GG$1380,$K574,AH!$U$10))),NA()),NA())</f>
        <v/>
      </c>
      <c r="F574" s="32">
        <f>IFERROR(IF(ISNUMBER($A574),IF(AND(AH!$U$12=1,569+1=AH!$U$6),IF(AH!$U$4=0,"unavailable",INDEX('Market Data'!$AO$5:$AO$66,AH!$U$4)),IF(AH!$U$5=1,INDEX('Live History'!$E$5:$E$3004,MATCH($A574,'Live History'!$D$5:$D$3004,1)),INDEX('AH History'!$D$5:$GG$1380,$K574,AH!$U$10+1))),NA()),NA())</f>
        <v/>
      </c>
      <c r="G574" s="34">
        <f>IFERROR(IF(ISNUMBER($A574),IF(AND(AH!$U$12=1,569+1=AH!$U$6),IF(AH!$U$4=0,"unavailable",INDEX('Market Data'!$AK$5:$AK$66,AH!$U$4)),IF(AH!$U$5=1,INDEX('Live History'!$D$5:$D$3004,MATCH($A574,'Live History'!$D$5:$D$3004,1)),INDEX('AH History'!$D$5:$GG$1380,$K574,AH!$U$10+2))),NA()),NA())</f>
        <v/>
      </c>
      <c r="H574" s="266">
        <f>IFERROR(IF(ISNUMBER($A574),IF(AND(AH!$U$12=1,569+1=AH!$U$6),IF(AH!$U$4=0,"unavailable",INDEX('Market Data'!$AP$5:$AP$66,AH!$U$4)),IF(AH!$U$5=1,INDEX('Live History'!$H$5:$H$3004,MATCH($A574,'Live History'!$G$5:$G$3004,1)),INDEX('AH History'!$B$5:$B$1380,$K574))),NA()),NA())</f>
        <v/>
      </c>
      <c r="I574" s="34">
        <f>IFERROR(IF(ISNUMBER($A574),IF(AND(AH!$U$12=1,569+1=AH!$U$6),TODAY(),IF(AH!$U$5=1,INDEX('Live History'!$G$5:$G$3004,MATCH($A574,'Live History'!$G$5:$G$3004,1)),INDEX('AH History'!$C$5:$C$1380,$K574))),NA()),NA())</f>
        <v/>
      </c>
      <c r="J574" s="32">
        <f>IFERROR(IF(AND($F574&gt;0,$H574&gt;0,$A574-$G574&lt;=10,$A574-$I574&lt;=5,$G574&gt;0,$I574&gt;0),$F574*$H574,NA()),NA())</f>
        <v/>
      </c>
      <c r="K574" s="15">
        <f>IF($A574="","",IF(AH!$U$5=1,IFERROR(MATCH($A574,'Live History'!$A$5:$A$3004,0),0),AH!$U$7+569))</f>
        <v/>
      </c>
      <c r="L574" s="15">
        <f>IF(ISNUMBER(A574),TEXT(A574,"dd-mmm-yy"),"")</f>
        <v/>
      </c>
    </row>
    <row r="575">
      <c r="A575" s="14">
        <f>IF(OR(AH!$U$4=0,570+1&gt;AH!$U$6,AND(AH!$M$5="Bloomberg",AH!$U$5=0)),"",IFERROR(IF(AND(AH!$U$12=1,570+1=AH!$U$6),TODAY(),IF(AH!$U$5=1,INDEX('Live History'!$A$5:$A$3004,AH!$U$7+570),INDEX('AH History'!$A$5:$A$1380,AH!$U$7+570))),""))</f>
        <v/>
      </c>
      <c r="B575" s="33">
        <f>IFERROR(IF(AH!$U$11=1,NA(),$J575/$E575-1),NA())</f>
        <v/>
      </c>
      <c r="C575" s="269">
        <f>IFERROR(100*$E575/$E$5,NA())</f>
        <v/>
      </c>
      <c r="D575" s="269">
        <f>IFERROR(100*$J575/$J$5,NA())</f>
        <v/>
      </c>
      <c r="E575" s="32">
        <f>IFERROR(IF(AND(ISNUMBER($A575),N(IF(AND(AH!$U$12=1,570+1=AH!$U$6),IF(AH!$U$4=0,"unavailable",INDEX('Market Data'!$AN$5:$AN$66,AH!$U$4)),IF(AH!$U$5=1,INDEX('Live History'!$B$5:$B$3004,$K575),INDEX('AH History'!$D$5:$GG$1380,$K575,AH!$U$10))))&gt;0),IF(AND(AH!$U$12=1,570+1=AH!$U$6),IF(AH!$U$4=0,"unavailable",INDEX('Market Data'!$AN$5:$AN$66,AH!$U$4)),IF(AH!$U$5=1,INDEX('Live History'!$B$5:$B$3004,$K575),INDEX('AH History'!$D$5:$GG$1380,$K575,AH!$U$10))),NA()),NA())</f>
        <v/>
      </c>
      <c r="F575" s="32">
        <f>IFERROR(IF(ISNUMBER($A575),IF(AND(AH!$U$12=1,570+1=AH!$U$6),IF(AH!$U$4=0,"unavailable",INDEX('Market Data'!$AO$5:$AO$66,AH!$U$4)),IF(AH!$U$5=1,INDEX('Live History'!$E$5:$E$3004,MATCH($A575,'Live History'!$D$5:$D$3004,1)),INDEX('AH History'!$D$5:$GG$1380,$K575,AH!$U$10+1))),NA()),NA())</f>
        <v/>
      </c>
      <c r="G575" s="34">
        <f>IFERROR(IF(ISNUMBER($A575),IF(AND(AH!$U$12=1,570+1=AH!$U$6),IF(AH!$U$4=0,"unavailable",INDEX('Market Data'!$AK$5:$AK$66,AH!$U$4)),IF(AH!$U$5=1,INDEX('Live History'!$D$5:$D$3004,MATCH($A575,'Live History'!$D$5:$D$3004,1)),INDEX('AH History'!$D$5:$GG$1380,$K575,AH!$U$10+2))),NA()),NA())</f>
        <v/>
      </c>
      <c r="H575" s="266">
        <f>IFERROR(IF(ISNUMBER($A575),IF(AND(AH!$U$12=1,570+1=AH!$U$6),IF(AH!$U$4=0,"unavailable",INDEX('Market Data'!$AP$5:$AP$66,AH!$U$4)),IF(AH!$U$5=1,INDEX('Live History'!$H$5:$H$3004,MATCH($A575,'Live History'!$G$5:$G$3004,1)),INDEX('AH History'!$B$5:$B$1380,$K575))),NA()),NA())</f>
        <v/>
      </c>
      <c r="I575" s="34">
        <f>IFERROR(IF(ISNUMBER($A575),IF(AND(AH!$U$12=1,570+1=AH!$U$6),TODAY(),IF(AH!$U$5=1,INDEX('Live History'!$G$5:$G$3004,MATCH($A575,'Live History'!$G$5:$G$3004,1)),INDEX('AH History'!$C$5:$C$1380,$K575))),NA()),NA())</f>
        <v/>
      </c>
      <c r="J575" s="32">
        <f>IFERROR(IF(AND($F575&gt;0,$H575&gt;0,$A575-$G575&lt;=10,$A575-$I575&lt;=5,$G575&gt;0,$I575&gt;0),$F575*$H575,NA()),NA())</f>
        <v/>
      </c>
      <c r="K575" s="15">
        <f>IF($A575="","",IF(AH!$U$5=1,IFERROR(MATCH($A575,'Live History'!$A$5:$A$3004,0),0),AH!$U$7+570))</f>
        <v/>
      </c>
      <c r="L575" s="15">
        <f>IF(ISNUMBER(A575),TEXT(A575,"dd-mmm-yy"),"")</f>
        <v/>
      </c>
    </row>
    <row r="576">
      <c r="A576" s="14">
        <f>IF(OR(AH!$U$4=0,571+1&gt;AH!$U$6,AND(AH!$M$5="Bloomberg",AH!$U$5=0)),"",IFERROR(IF(AND(AH!$U$12=1,571+1=AH!$U$6),TODAY(),IF(AH!$U$5=1,INDEX('Live History'!$A$5:$A$3004,AH!$U$7+571),INDEX('AH History'!$A$5:$A$1380,AH!$U$7+571))),""))</f>
        <v/>
      </c>
      <c r="B576" s="33">
        <f>IFERROR(IF(AH!$U$11=1,NA(),$J576/$E576-1),NA())</f>
        <v/>
      </c>
      <c r="C576" s="269">
        <f>IFERROR(100*$E576/$E$5,NA())</f>
        <v/>
      </c>
      <c r="D576" s="269">
        <f>IFERROR(100*$J576/$J$5,NA())</f>
        <v/>
      </c>
      <c r="E576" s="32">
        <f>IFERROR(IF(AND(ISNUMBER($A576),N(IF(AND(AH!$U$12=1,571+1=AH!$U$6),IF(AH!$U$4=0,"unavailable",INDEX('Market Data'!$AN$5:$AN$66,AH!$U$4)),IF(AH!$U$5=1,INDEX('Live History'!$B$5:$B$3004,$K576),INDEX('AH History'!$D$5:$GG$1380,$K576,AH!$U$10))))&gt;0),IF(AND(AH!$U$12=1,571+1=AH!$U$6),IF(AH!$U$4=0,"unavailable",INDEX('Market Data'!$AN$5:$AN$66,AH!$U$4)),IF(AH!$U$5=1,INDEX('Live History'!$B$5:$B$3004,$K576),INDEX('AH History'!$D$5:$GG$1380,$K576,AH!$U$10))),NA()),NA())</f>
        <v/>
      </c>
      <c r="F576" s="32">
        <f>IFERROR(IF(ISNUMBER($A576),IF(AND(AH!$U$12=1,571+1=AH!$U$6),IF(AH!$U$4=0,"unavailable",INDEX('Market Data'!$AO$5:$AO$66,AH!$U$4)),IF(AH!$U$5=1,INDEX('Live History'!$E$5:$E$3004,MATCH($A576,'Live History'!$D$5:$D$3004,1)),INDEX('AH History'!$D$5:$GG$1380,$K576,AH!$U$10+1))),NA()),NA())</f>
        <v/>
      </c>
      <c r="G576" s="34">
        <f>IFERROR(IF(ISNUMBER($A576),IF(AND(AH!$U$12=1,571+1=AH!$U$6),IF(AH!$U$4=0,"unavailable",INDEX('Market Data'!$AK$5:$AK$66,AH!$U$4)),IF(AH!$U$5=1,INDEX('Live History'!$D$5:$D$3004,MATCH($A576,'Live History'!$D$5:$D$3004,1)),INDEX('AH History'!$D$5:$GG$1380,$K576,AH!$U$10+2))),NA()),NA())</f>
        <v/>
      </c>
      <c r="H576" s="266">
        <f>IFERROR(IF(ISNUMBER($A576),IF(AND(AH!$U$12=1,571+1=AH!$U$6),IF(AH!$U$4=0,"unavailable",INDEX('Market Data'!$AP$5:$AP$66,AH!$U$4)),IF(AH!$U$5=1,INDEX('Live History'!$H$5:$H$3004,MATCH($A576,'Live History'!$G$5:$G$3004,1)),INDEX('AH History'!$B$5:$B$1380,$K576))),NA()),NA())</f>
        <v/>
      </c>
      <c r="I576" s="34">
        <f>IFERROR(IF(ISNUMBER($A576),IF(AND(AH!$U$12=1,571+1=AH!$U$6),TODAY(),IF(AH!$U$5=1,INDEX('Live History'!$G$5:$G$3004,MATCH($A576,'Live History'!$G$5:$G$3004,1)),INDEX('AH History'!$C$5:$C$1380,$K576))),NA()),NA())</f>
        <v/>
      </c>
      <c r="J576" s="32">
        <f>IFERROR(IF(AND($F576&gt;0,$H576&gt;0,$A576-$G576&lt;=10,$A576-$I576&lt;=5,$G576&gt;0,$I576&gt;0),$F576*$H576,NA()),NA())</f>
        <v/>
      </c>
      <c r="K576" s="15">
        <f>IF($A576="","",IF(AH!$U$5=1,IFERROR(MATCH($A576,'Live History'!$A$5:$A$3004,0),0),AH!$U$7+571))</f>
        <v/>
      </c>
      <c r="L576" s="15">
        <f>IF(ISNUMBER(A576),TEXT(A576,"dd-mmm-yy"),"")</f>
        <v/>
      </c>
    </row>
    <row r="577">
      <c r="A577" s="14">
        <f>IF(OR(AH!$U$4=0,572+1&gt;AH!$U$6,AND(AH!$M$5="Bloomberg",AH!$U$5=0)),"",IFERROR(IF(AND(AH!$U$12=1,572+1=AH!$U$6),TODAY(),IF(AH!$U$5=1,INDEX('Live History'!$A$5:$A$3004,AH!$U$7+572),INDEX('AH History'!$A$5:$A$1380,AH!$U$7+572))),""))</f>
        <v/>
      </c>
      <c r="B577" s="33">
        <f>IFERROR(IF(AH!$U$11=1,NA(),$J577/$E577-1),NA())</f>
        <v/>
      </c>
      <c r="C577" s="269">
        <f>IFERROR(100*$E577/$E$5,NA())</f>
        <v/>
      </c>
      <c r="D577" s="269">
        <f>IFERROR(100*$J577/$J$5,NA())</f>
        <v/>
      </c>
      <c r="E577" s="32">
        <f>IFERROR(IF(AND(ISNUMBER($A577),N(IF(AND(AH!$U$12=1,572+1=AH!$U$6),IF(AH!$U$4=0,"unavailable",INDEX('Market Data'!$AN$5:$AN$66,AH!$U$4)),IF(AH!$U$5=1,INDEX('Live History'!$B$5:$B$3004,$K577),INDEX('AH History'!$D$5:$GG$1380,$K577,AH!$U$10))))&gt;0),IF(AND(AH!$U$12=1,572+1=AH!$U$6),IF(AH!$U$4=0,"unavailable",INDEX('Market Data'!$AN$5:$AN$66,AH!$U$4)),IF(AH!$U$5=1,INDEX('Live History'!$B$5:$B$3004,$K577),INDEX('AH History'!$D$5:$GG$1380,$K577,AH!$U$10))),NA()),NA())</f>
        <v/>
      </c>
      <c r="F577" s="32">
        <f>IFERROR(IF(ISNUMBER($A577),IF(AND(AH!$U$12=1,572+1=AH!$U$6),IF(AH!$U$4=0,"unavailable",INDEX('Market Data'!$AO$5:$AO$66,AH!$U$4)),IF(AH!$U$5=1,INDEX('Live History'!$E$5:$E$3004,MATCH($A577,'Live History'!$D$5:$D$3004,1)),INDEX('AH History'!$D$5:$GG$1380,$K577,AH!$U$10+1))),NA()),NA())</f>
        <v/>
      </c>
      <c r="G577" s="34">
        <f>IFERROR(IF(ISNUMBER($A577),IF(AND(AH!$U$12=1,572+1=AH!$U$6),IF(AH!$U$4=0,"unavailable",INDEX('Market Data'!$AK$5:$AK$66,AH!$U$4)),IF(AH!$U$5=1,INDEX('Live History'!$D$5:$D$3004,MATCH($A577,'Live History'!$D$5:$D$3004,1)),INDEX('AH History'!$D$5:$GG$1380,$K577,AH!$U$10+2))),NA()),NA())</f>
        <v/>
      </c>
      <c r="H577" s="266">
        <f>IFERROR(IF(ISNUMBER($A577),IF(AND(AH!$U$12=1,572+1=AH!$U$6),IF(AH!$U$4=0,"unavailable",INDEX('Market Data'!$AP$5:$AP$66,AH!$U$4)),IF(AH!$U$5=1,INDEX('Live History'!$H$5:$H$3004,MATCH($A577,'Live History'!$G$5:$G$3004,1)),INDEX('AH History'!$B$5:$B$1380,$K577))),NA()),NA())</f>
        <v/>
      </c>
      <c r="I577" s="34">
        <f>IFERROR(IF(ISNUMBER($A577),IF(AND(AH!$U$12=1,572+1=AH!$U$6),TODAY(),IF(AH!$U$5=1,INDEX('Live History'!$G$5:$G$3004,MATCH($A577,'Live History'!$G$5:$G$3004,1)),INDEX('AH History'!$C$5:$C$1380,$K577))),NA()),NA())</f>
        <v/>
      </c>
      <c r="J577" s="32">
        <f>IFERROR(IF(AND($F577&gt;0,$H577&gt;0,$A577-$G577&lt;=10,$A577-$I577&lt;=5,$G577&gt;0,$I577&gt;0),$F577*$H577,NA()),NA())</f>
        <v/>
      </c>
      <c r="K577" s="15">
        <f>IF($A577="","",IF(AH!$U$5=1,IFERROR(MATCH($A577,'Live History'!$A$5:$A$3004,0),0),AH!$U$7+572))</f>
        <v/>
      </c>
      <c r="L577" s="15">
        <f>IF(ISNUMBER(A577),TEXT(A577,"dd-mmm-yy"),"")</f>
        <v/>
      </c>
    </row>
    <row r="578">
      <c r="A578" s="14">
        <f>IF(OR(AH!$U$4=0,573+1&gt;AH!$U$6,AND(AH!$M$5="Bloomberg",AH!$U$5=0)),"",IFERROR(IF(AND(AH!$U$12=1,573+1=AH!$U$6),TODAY(),IF(AH!$U$5=1,INDEX('Live History'!$A$5:$A$3004,AH!$U$7+573),INDEX('AH History'!$A$5:$A$1380,AH!$U$7+573))),""))</f>
        <v/>
      </c>
      <c r="B578" s="33">
        <f>IFERROR(IF(AH!$U$11=1,NA(),$J578/$E578-1),NA())</f>
        <v/>
      </c>
      <c r="C578" s="269">
        <f>IFERROR(100*$E578/$E$5,NA())</f>
        <v/>
      </c>
      <c r="D578" s="269">
        <f>IFERROR(100*$J578/$J$5,NA())</f>
        <v/>
      </c>
      <c r="E578" s="32">
        <f>IFERROR(IF(AND(ISNUMBER($A578),N(IF(AND(AH!$U$12=1,573+1=AH!$U$6),IF(AH!$U$4=0,"unavailable",INDEX('Market Data'!$AN$5:$AN$66,AH!$U$4)),IF(AH!$U$5=1,INDEX('Live History'!$B$5:$B$3004,$K578),INDEX('AH History'!$D$5:$GG$1380,$K578,AH!$U$10))))&gt;0),IF(AND(AH!$U$12=1,573+1=AH!$U$6),IF(AH!$U$4=0,"unavailable",INDEX('Market Data'!$AN$5:$AN$66,AH!$U$4)),IF(AH!$U$5=1,INDEX('Live History'!$B$5:$B$3004,$K578),INDEX('AH History'!$D$5:$GG$1380,$K578,AH!$U$10))),NA()),NA())</f>
        <v/>
      </c>
      <c r="F578" s="32">
        <f>IFERROR(IF(ISNUMBER($A578),IF(AND(AH!$U$12=1,573+1=AH!$U$6),IF(AH!$U$4=0,"unavailable",INDEX('Market Data'!$AO$5:$AO$66,AH!$U$4)),IF(AH!$U$5=1,INDEX('Live History'!$E$5:$E$3004,MATCH($A578,'Live History'!$D$5:$D$3004,1)),INDEX('AH History'!$D$5:$GG$1380,$K578,AH!$U$10+1))),NA()),NA())</f>
        <v/>
      </c>
      <c r="G578" s="34">
        <f>IFERROR(IF(ISNUMBER($A578),IF(AND(AH!$U$12=1,573+1=AH!$U$6),IF(AH!$U$4=0,"unavailable",INDEX('Market Data'!$AK$5:$AK$66,AH!$U$4)),IF(AH!$U$5=1,INDEX('Live History'!$D$5:$D$3004,MATCH($A578,'Live History'!$D$5:$D$3004,1)),INDEX('AH History'!$D$5:$GG$1380,$K578,AH!$U$10+2))),NA()),NA())</f>
        <v/>
      </c>
      <c r="H578" s="266">
        <f>IFERROR(IF(ISNUMBER($A578),IF(AND(AH!$U$12=1,573+1=AH!$U$6),IF(AH!$U$4=0,"unavailable",INDEX('Market Data'!$AP$5:$AP$66,AH!$U$4)),IF(AH!$U$5=1,INDEX('Live History'!$H$5:$H$3004,MATCH($A578,'Live History'!$G$5:$G$3004,1)),INDEX('AH History'!$B$5:$B$1380,$K578))),NA()),NA())</f>
        <v/>
      </c>
      <c r="I578" s="34">
        <f>IFERROR(IF(ISNUMBER($A578),IF(AND(AH!$U$12=1,573+1=AH!$U$6),TODAY(),IF(AH!$U$5=1,INDEX('Live History'!$G$5:$G$3004,MATCH($A578,'Live History'!$G$5:$G$3004,1)),INDEX('AH History'!$C$5:$C$1380,$K578))),NA()),NA())</f>
        <v/>
      </c>
      <c r="J578" s="32">
        <f>IFERROR(IF(AND($F578&gt;0,$H578&gt;0,$A578-$G578&lt;=10,$A578-$I578&lt;=5,$G578&gt;0,$I578&gt;0),$F578*$H578,NA()),NA())</f>
        <v/>
      </c>
      <c r="K578" s="15">
        <f>IF($A578="","",IF(AH!$U$5=1,IFERROR(MATCH($A578,'Live History'!$A$5:$A$3004,0),0),AH!$U$7+573))</f>
        <v/>
      </c>
      <c r="L578" s="15">
        <f>IF(ISNUMBER(A578),TEXT(A578,"dd-mmm-yy"),"")</f>
        <v/>
      </c>
    </row>
    <row r="579">
      <c r="A579" s="14">
        <f>IF(OR(AH!$U$4=0,574+1&gt;AH!$U$6,AND(AH!$M$5="Bloomberg",AH!$U$5=0)),"",IFERROR(IF(AND(AH!$U$12=1,574+1=AH!$U$6),TODAY(),IF(AH!$U$5=1,INDEX('Live History'!$A$5:$A$3004,AH!$U$7+574),INDEX('AH History'!$A$5:$A$1380,AH!$U$7+574))),""))</f>
        <v/>
      </c>
      <c r="B579" s="33">
        <f>IFERROR(IF(AH!$U$11=1,NA(),$J579/$E579-1),NA())</f>
        <v/>
      </c>
      <c r="C579" s="269">
        <f>IFERROR(100*$E579/$E$5,NA())</f>
        <v/>
      </c>
      <c r="D579" s="269">
        <f>IFERROR(100*$J579/$J$5,NA())</f>
        <v/>
      </c>
      <c r="E579" s="32">
        <f>IFERROR(IF(AND(ISNUMBER($A579),N(IF(AND(AH!$U$12=1,574+1=AH!$U$6),IF(AH!$U$4=0,"unavailable",INDEX('Market Data'!$AN$5:$AN$66,AH!$U$4)),IF(AH!$U$5=1,INDEX('Live History'!$B$5:$B$3004,$K579),INDEX('AH History'!$D$5:$GG$1380,$K579,AH!$U$10))))&gt;0),IF(AND(AH!$U$12=1,574+1=AH!$U$6),IF(AH!$U$4=0,"unavailable",INDEX('Market Data'!$AN$5:$AN$66,AH!$U$4)),IF(AH!$U$5=1,INDEX('Live History'!$B$5:$B$3004,$K579),INDEX('AH History'!$D$5:$GG$1380,$K579,AH!$U$10))),NA()),NA())</f>
        <v/>
      </c>
      <c r="F579" s="32">
        <f>IFERROR(IF(ISNUMBER($A579),IF(AND(AH!$U$12=1,574+1=AH!$U$6),IF(AH!$U$4=0,"unavailable",INDEX('Market Data'!$AO$5:$AO$66,AH!$U$4)),IF(AH!$U$5=1,INDEX('Live History'!$E$5:$E$3004,MATCH($A579,'Live History'!$D$5:$D$3004,1)),INDEX('AH History'!$D$5:$GG$1380,$K579,AH!$U$10+1))),NA()),NA())</f>
        <v/>
      </c>
      <c r="G579" s="34">
        <f>IFERROR(IF(ISNUMBER($A579),IF(AND(AH!$U$12=1,574+1=AH!$U$6),IF(AH!$U$4=0,"unavailable",INDEX('Market Data'!$AK$5:$AK$66,AH!$U$4)),IF(AH!$U$5=1,INDEX('Live History'!$D$5:$D$3004,MATCH($A579,'Live History'!$D$5:$D$3004,1)),INDEX('AH History'!$D$5:$GG$1380,$K579,AH!$U$10+2))),NA()),NA())</f>
        <v/>
      </c>
      <c r="H579" s="266">
        <f>IFERROR(IF(ISNUMBER($A579),IF(AND(AH!$U$12=1,574+1=AH!$U$6),IF(AH!$U$4=0,"unavailable",INDEX('Market Data'!$AP$5:$AP$66,AH!$U$4)),IF(AH!$U$5=1,INDEX('Live History'!$H$5:$H$3004,MATCH($A579,'Live History'!$G$5:$G$3004,1)),INDEX('AH History'!$B$5:$B$1380,$K579))),NA()),NA())</f>
        <v/>
      </c>
      <c r="I579" s="34">
        <f>IFERROR(IF(ISNUMBER($A579),IF(AND(AH!$U$12=1,574+1=AH!$U$6),TODAY(),IF(AH!$U$5=1,INDEX('Live History'!$G$5:$G$3004,MATCH($A579,'Live History'!$G$5:$G$3004,1)),INDEX('AH History'!$C$5:$C$1380,$K579))),NA()),NA())</f>
        <v/>
      </c>
      <c r="J579" s="32">
        <f>IFERROR(IF(AND($F579&gt;0,$H579&gt;0,$A579-$G579&lt;=10,$A579-$I579&lt;=5,$G579&gt;0,$I579&gt;0),$F579*$H579,NA()),NA())</f>
        <v/>
      </c>
      <c r="K579" s="15">
        <f>IF($A579="","",IF(AH!$U$5=1,IFERROR(MATCH($A579,'Live History'!$A$5:$A$3004,0),0),AH!$U$7+574))</f>
        <v/>
      </c>
      <c r="L579" s="15">
        <f>IF(ISNUMBER(A579),TEXT(A579,"dd-mmm-yy"),"")</f>
        <v/>
      </c>
    </row>
    <row r="580">
      <c r="A580" s="14">
        <f>IF(OR(AH!$U$4=0,575+1&gt;AH!$U$6,AND(AH!$M$5="Bloomberg",AH!$U$5=0)),"",IFERROR(IF(AND(AH!$U$12=1,575+1=AH!$U$6),TODAY(),IF(AH!$U$5=1,INDEX('Live History'!$A$5:$A$3004,AH!$U$7+575),INDEX('AH History'!$A$5:$A$1380,AH!$U$7+575))),""))</f>
        <v/>
      </c>
      <c r="B580" s="33">
        <f>IFERROR(IF(AH!$U$11=1,NA(),$J580/$E580-1),NA())</f>
        <v/>
      </c>
      <c r="C580" s="269">
        <f>IFERROR(100*$E580/$E$5,NA())</f>
        <v/>
      </c>
      <c r="D580" s="269">
        <f>IFERROR(100*$J580/$J$5,NA())</f>
        <v/>
      </c>
      <c r="E580" s="32">
        <f>IFERROR(IF(AND(ISNUMBER($A580),N(IF(AND(AH!$U$12=1,575+1=AH!$U$6),IF(AH!$U$4=0,"unavailable",INDEX('Market Data'!$AN$5:$AN$66,AH!$U$4)),IF(AH!$U$5=1,INDEX('Live History'!$B$5:$B$3004,$K580),INDEX('AH History'!$D$5:$GG$1380,$K580,AH!$U$10))))&gt;0),IF(AND(AH!$U$12=1,575+1=AH!$U$6),IF(AH!$U$4=0,"unavailable",INDEX('Market Data'!$AN$5:$AN$66,AH!$U$4)),IF(AH!$U$5=1,INDEX('Live History'!$B$5:$B$3004,$K580),INDEX('AH History'!$D$5:$GG$1380,$K580,AH!$U$10))),NA()),NA())</f>
        <v/>
      </c>
      <c r="F580" s="32">
        <f>IFERROR(IF(ISNUMBER($A580),IF(AND(AH!$U$12=1,575+1=AH!$U$6),IF(AH!$U$4=0,"unavailable",INDEX('Market Data'!$AO$5:$AO$66,AH!$U$4)),IF(AH!$U$5=1,INDEX('Live History'!$E$5:$E$3004,MATCH($A580,'Live History'!$D$5:$D$3004,1)),INDEX('AH History'!$D$5:$GG$1380,$K580,AH!$U$10+1))),NA()),NA())</f>
        <v/>
      </c>
      <c r="G580" s="34">
        <f>IFERROR(IF(ISNUMBER($A580),IF(AND(AH!$U$12=1,575+1=AH!$U$6),IF(AH!$U$4=0,"unavailable",INDEX('Market Data'!$AK$5:$AK$66,AH!$U$4)),IF(AH!$U$5=1,INDEX('Live History'!$D$5:$D$3004,MATCH($A580,'Live History'!$D$5:$D$3004,1)),INDEX('AH History'!$D$5:$GG$1380,$K580,AH!$U$10+2))),NA()),NA())</f>
        <v/>
      </c>
      <c r="H580" s="266">
        <f>IFERROR(IF(ISNUMBER($A580),IF(AND(AH!$U$12=1,575+1=AH!$U$6),IF(AH!$U$4=0,"unavailable",INDEX('Market Data'!$AP$5:$AP$66,AH!$U$4)),IF(AH!$U$5=1,INDEX('Live History'!$H$5:$H$3004,MATCH($A580,'Live History'!$G$5:$G$3004,1)),INDEX('AH History'!$B$5:$B$1380,$K580))),NA()),NA())</f>
        <v/>
      </c>
      <c r="I580" s="34">
        <f>IFERROR(IF(ISNUMBER($A580),IF(AND(AH!$U$12=1,575+1=AH!$U$6),TODAY(),IF(AH!$U$5=1,INDEX('Live History'!$G$5:$G$3004,MATCH($A580,'Live History'!$G$5:$G$3004,1)),INDEX('AH History'!$C$5:$C$1380,$K580))),NA()),NA())</f>
        <v/>
      </c>
      <c r="J580" s="32">
        <f>IFERROR(IF(AND($F580&gt;0,$H580&gt;0,$A580-$G580&lt;=10,$A580-$I580&lt;=5,$G580&gt;0,$I580&gt;0),$F580*$H580,NA()),NA())</f>
        <v/>
      </c>
      <c r="K580" s="15">
        <f>IF($A580="","",IF(AH!$U$5=1,IFERROR(MATCH($A580,'Live History'!$A$5:$A$3004,0),0),AH!$U$7+575))</f>
        <v/>
      </c>
      <c r="L580" s="15">
        <f>IF(ISNUMBER(A580),TEXT(A580,"dd-mmm-yy"),"")</f>
        <v/>
      </c>
    </row>
    <row r="581">
      <c r="A581" s="14">
        <f>IF(OR(AH!$U$4=0,576+1&gt;AH!$U$6,AND(AH!$M$5="Bloomberg",AH!$U$5=0)),"",IFERROR(IF(AND(AH!$U$12=1,576+1=AH!$U$6),TODAY(),IF(AH!$U$5=1,INDEX('Live History'!$A$5:$A$3004,AH!$U$7+576),INDEX('AH History'!$A$5:$A$1380,AH!$U$7+576))),""))</f>
        <v/>
      </c>
      <c r="B581" s="33">
        <f>IFERROR(IF(AH!$U$11=1,NA(),$J581/$E581-1),NA())</f>
        <v/>
      </c>
      <c r="C581" s="269">
        <f>IFERROR(100*$E581/$E$5,NA())</f>
        <v/>
      </c>
      <c r="D581" s="269">
        <f>IFERROR(100*$J581/$J$5,NA())</f>
        <v/>
      </c>
      <c r="E581" s="32">
        <f>IFERROR(IF(AND(ISNUMBER($A581),N(IF(AND(AH!$U$12=1,576+1=AH!$U$6),IF(AH!$U$4=0,"unavailable",INDEX('Market Data'!$AN$5:$AN$66,AH!$U$4)),IF(AH!$U$5=1,INDEX('Live History'!$B$5:$B$3004,$K581),INDEX('AH History'!$D$5:$GG$1380,$K581,AH!$U$10))))&gt;0),IF(AND(AH!$U$12=1,576+1=AH!$U$6),IF(AH!$U$4=0,"unavailable",INDEX('Market Data'!$AN$5:$AN$66,AH!$U$4)),IF(AH!$U$5=1,INDEX('Live History'!$B$5:$B$3004,$K581),INDEX('AH History'!$D$5:$GG$1380,$K581,AH!$U$10))),NA()),NA())</f>
        <v/>
      </c>
      <c r="F581" s="32">
        <f>IFERROR(IF(ISNUMBER($A581),IF(AND(AH!$U$12=1,576+1=AH!$U$6),IF(AH!$U$4=0,"unavailable",INDEX('Market Data'!$AO$5:$AO$66,AH!$U$4)),IF(AH!$U$5=1,INDEX('Live History'!$E$5:$E$3004,MATCH($A581,'Live History'!$D$5:$D$3004,1)),INDEX('AH History'!$D$5:$GG$1380,$K581,AH!$U$10+1))),NA()),NA())</f>
        <v/>
      </c>
      <c r="G581" s="34">
        <f>IFERROR(IF(ISNUMBER($A581),IF(AND(AH!$U$12=1,576+1=AH!$U$6),IF(AH!$U$4=0,"unavailable",INDEX('Market Data'!$AK$5:$AK$66,AH!$U$4)),IF(AH!$U$5=1,INDEX('Live History'!$D$5:$D$3004,MATCH($A581,'Live History'!$D$5:$D$3004,1)),INDEX('AH History'!$D$5:$GG$1380,$K581,AH!$U$10+2))),NA()),NA())</f>
        <v/>
      </c>
      <c r="H581" s="266">
        <f>IFERROR(IF(ISNUMBER($A581),IF(AND(AH!$U$12=1,576+1=AH!$U$6),IF(AH!$U$4=0,"unavailable",INDEX('Market Data'!$AP$5:$AP$66,AH!$U$4)),IF(AH!$U$5=1,INDEX('Live History'!$H$5:$H$3004,MATCH($A581,'Live History'!$G$5:$G$3004,1)),INDEX('AH History'!$B$5:$B$1380,$K581))),NA()),NA())</f>
        <v/>
      </c>
      <c r="I581" s="34">
        <f>IFERROR(IF(ISNUMBER($A581),IF(AND(AH!$U$12=1,576+1=AH!$U$6),TODAY(),IF(AH!$U$5=1,INDEX('Live History'!$G$5:$G$3004,MATCH($A581,'Live History'!$G$5:$G$3004,1)),INDEX('AH History'!$C$5:$C$1380,$K581))),NA()),NA())</f>
        <v/>
      </c>
      <c r="J581" s="32">
        <f>IFERROR(IF(AND($F581&gt;0,$H581&gt;0,$A581-$G581&lt;=10,$A581-$I581&lt;=5,$G581&gt;0,$I581&gt;0),$F581*$H581,NA()),NA())</f>
        <v/>
      </c>
      <c r="K581" s="15">
        <f>IF($A581="","",IF(AH!$U$5=1,IFERROR(MATCH($A581,'Live History'!$A$5:$A$3004,0),0),AH!$U$7+576))</f>
        <v/>
      </c>
      <c r="L581" s="15">
        <f>IF(ISNUMBER(A581),TEXT(A581,"dd-mmm-yy"),"")</f>
        <v/>
      </c>
    </row>
    <row r="582">
      <c r="A582" s="14">
        <f>IF(OR(AH!$U$4=0,577+1&gt;AH!$U$6,AND(AH!$M$5="Bloomberg",AH!$U$5=0)),"",IFERROR(IF(AND(AH!$U$12=1,577+1=AH!$U$6),TODAY(),IF(AH!$U$5=1,INDEX('Live History'!$A$5:$A$3004,AH!$U$7+577),INDEX('AH History'!$A$5:$A$1380,AH!$U$7+577))),""))</f>
        <v/>
      </c>
      <c r="B582" s="33">
        <f>IFERROR(IF(AH!$U$11=1,NA(),$J582/$E582-1),NA())</f>
        <v/>
      </c>
      <c r="C582" s="269">
        <f>IFERROR(100*$E582/$E$5,NA())</f>
        <v/>
      </c>
      <c r="D582" s="269">
        <f>IFERROR(100*$J582/$J$5,NA())</f>
        <v/>
      </c>
      <c r="E582" s="32">
        <f>IFERROR(IF(AND(ISNUMBER($A582),N(IF(AND(AH!$U$12=1,577+1=AH!$U$6),IF(AH!$U$4=0,"unavailable",INDEX('Market Data'!$AN$5:$AN$66,AH!$U$4)),IF(AH!$U$5=1,INDEX('Live History'!$B$5:$B$3004,$K582),INDEX('AH History'!$D$5:$GG$1380,$K582,AH!$U$10))))&gt;0),IF(AND(AH!$U$12=1,577+1=AH!$U$6),IF(AH!$U$4=0,"unavailable",INDEX('Market Data'!$AN$5:$AN$66,AH!$U$4)),IF(AH!$U$5=1,INDEX('Live History'!$B$5:$B$3004,$K582),INDEX('AH History'!$D$5:$GG$1380,$K582,AH!$U$10))),NA()),NA())</f>
        <v/>
      </c>
      <c r="F582" s="32">
        <f>IFERROR(IF(ISNUMBER($A582),IF(AND(AH!$U$12=1,577+1=AH!$U$6),IF(AH!$U$4=0,"unavailable",INDEX('Market Data'!$AO$5:$AO$66,AH!$U$4)),IF(AH!$U$5=1,INDEX('Live History'!$E$5:$E$3004,MATCH($A582,'Live History'!$D$5:$D$3004,1)),INDEX('AH History'!$D$5:$GG$1380,$K582,AH!$U$10+1))),NA()),NA())</f>
        <v/>
      </c>
      <c r="G582" s="34">
        <f>IFERROR(IF(ISNUMBER($A582),IF(AND(AH!$U$12=1,577+1=AH!$U$6),IF(AH!$U$4=0,"unavailable",INDEX('Market Data'!$AK$5:$AK$66,AH!$U$4)),IF(AH!$U$5=1,INDEX('Live History'!$D$5:$D$3004,MATCH($A582,'Live History'!$D$5:$D$3004,1)),INDEX('AH History'!$D$5:$GG$1380,$K582,AH!$U$10+2))),NA()),NA())</f>
        <v/>
      </c>
      <c r="H582" s="266">
        <f>IFERROR(IF(ISNUMBER($A582),IF(AND(AH!$U$12=1,577+1=AH!$U$6),IF(AH!$U$4=0,"unavailable",INDEX('Market Data'!$AP$5:$AP$66,AH!$U$4)),IF(AH!$U$5=1,INDEX('Live History'!$H$5:$H$3004,MATCH($A582,'Live History'!$G$5:$G$3004,1)),INDEX('AH History'!$B$5:$B$1380,$K582))),NA()),NA())</f>
        <v/>
      </c>
      <c r="I582" s="34">
        <f>IFERROR(IF(ISNUMBER($A582),IF(AND(AH!$U$12=1,577+1=AH!$U$6),TODAY(),IF(AH!$U$5=1,INDEX('Live History'!$G$5:$G$3004,MATCH($A582,'Live History'!$G$5:$G$3004,1)),INDEX('AH History'!$C$5:$C$1380,$K582))),NA()),NA())</f>
        <v/>
      </c>
      <c r="J582" s="32">
        <f>IFERROR(IF(AND($F582&gt;0,$H582&gt;0,$A582-$G582&lt;=10,$A582-$I582&lt;=5,$G582&gt;0,$I582&gt;0),$F582*$H582,NA()),NA())</f>
        <v/>
      </c>
      <c r="K582" s="15">
        <f>IF($A582="","",IF(AH!$U$5=1,IFERROR(MATCH($A582,'Live History'!$A$5:$A$3004,0),0),AH!$U$7+577))</f>
        <v/>
      </c>
      <c r="L582" s="15">
        <f>IF(ISNUMBER(A582),TEXT(A582,"dd-mmm-yy"),"")</f>
        <v/>
      </c>
    </row>
    <row r="583">
      <c r="A583" s="14">
        <f>IF(OR(AH!$U$4=0,578+1&gt;AH!$U$6,AND(AH!$M$5="Bloomberg",AH!$U$5=0)),"",IFERROR(IF(AND(AH!$U$12=1,578+1=AH!$U$6),TODAY(),IF(AH!$U$5=1,INDEX('Live History'!$A$5:$A$3004,AH!$U$7+578),INDEX('AH History'!$A$5:$A$1380,AH!$U$7+578))),""))</f>
        <v/>
      </c>
      <c r="B583" s="33">
        <f>IFERROR(IF(AH!$U$11=1,NA(),$J583/$E583-1),NA())</f>
        <v/>
      </c>
      <c r="C583" s="269">
        <f>IFERROR(100*$E583/$E$5,NA())</f>
        <v/>
      </c>
      <c r="D583" s="269">
        <f>IFERROR(100*$J583/$J$5,NA())</f>
        <v/>
      </c>
      <c r="E583" s="32">
        <f>IFERROR(IF(AND(ISNUMBER($A583),N(IF(AND(AH!$U$12=1,578+1=AH!$U$6),IF(AH!$U$4=0,"unavailable",INDEX('Market Data'!$AN$5:$AN$66,AH!$U$4)),IF(AH!$U$5=1,INDEX('Live History'!$B$5:$B$3004,$K583),INDEX('AH History'!$D$5:$GG$1380,$K583,AH!$U$10))))&gt;0),IF(AND(AH!$U$12=1,578+1=AH!$U$6),IF(AH!$U$4=0,"unavailable",INDEX('Market Data'!$AN$5:$AN$66,AH!$U$4)),IF(AH!$U$5=1,INDEX('Live History'!$B$5:$B$3004,$K583),INDEX('AH History'!$D$5:$GG$1380,$K583,AH!$U$10))),NA()),NA())</f>
        <v/>
      </c>
      <c r="F583" s="32">
        <f>IFERROR(IF(ISNUMBER($A583),IF(AND(AH!$U$12=1,578+1=AH!$U$6),IF(AH!$U$4=0,"unavailable",INDEX('Market Data'!$AO$5:$AO$66,AH!$U$4)),IF(AH!$U$5=1,INDEX('Live History'!$E$5:$E$3004,MATCH($A583,'Live History'!$D$5:$D$3004,1)),INDEX('AH History'!$D$5:$GG$1380,$K583,AH!$U$10+1))),NA()),NA())</f>
        <v/>
      </c>
      <c r="G583" s="34">
        <f>IFERROR(IF(ISNUMBER($A583),IF(AND(AH!$U$12=1,578+1=AH!$U$6),IF(AH!$U$4=0,"unavailable",INDEX('Market Data'!$AK$5:$AK$66,AH!$U$4)),IF(AH!$U$5=1,INDEX('Live History'!$D$5:$D$3004,MATCH($A583,'Live History'!$D$5:$D$3004,1)),INDEX('AH History'!$D$5:$GG$1380,$K583,AH!$U$10+2))),NA()),NA())</f>
        <v/>
      </c>
      <c r="H583" s="266">
        <f>IFERROR(IF(ISNUMBER($A583),IF(AND(AH!$U$12=1,578+1=AH!$U$6),IF(AH!$U$4=0,"unavailable",INDEX('Market Data'!$AP$5:$AP$66,AH!$U$4)),IF(AH!$U$5=1,INDEX('Live History'!$H$5:$H$3004,MATCH($A583,'Live History'!$G$5:$G$3004,1)),INDEX('AH History'!$B$5:$B$1380,$K583))),NA()),NA())</f>
        <v/>
      </c>
      <c r="I583" s="34">
        <f>IFERROR(IF(ISNUMBER($A583),IF(AND(AH!$U$12=1,578+1=AH!$U$6),TODAY(),IF(AH!$U$5=1,INDEX('Live History'!$G$5:$G$3004,MATCH($A583,'Live History'!$G$5:$G$3004,1)),INDEX('AH History'!$C$5:$C$1380,$K583))),NA()),NA())</f>
        <v/>
      </c>
      <c r="J583" s="32">
        <f>IFERROR(IF(AND($F583&gt;0,$H583&gt;0,$A583-$G583&lt;=10,$A583-$I583&lt;=5,$G583&gt;0,$I583&gt;0),$F583*$H583,NA()),NA())</f>
        <v/>
      </c>
      <c r="K583" s="15">
        <f>IF($A583="","",IF(AH!$U$5=1,IFERROR(MATCH($A583,'Live History'!$A$5:$A$3004,0),0),AH!$U$7+578))</f>
        <v/>
      </c>
      <c r="L583" s="15">
        <f>IF(ISNUMBER(A583),TEXT(A583,"dd-mmm-yy"),"")</f>
        <v/>
      </c>
    </row>
    <row r="584">
      <c r="A584" s="14">
        <f>IF(OR(AH!$U$4=0,579+1&gt;AH!$U$6,AND(AH!$M$5="Bloomberg",AH!$U$5=0)),"",IFERROR(IF(AND(AH!$U$12=1,579+1=AH!$U$6),TODAY(),IF(AH!$U$5=1,INDEX('Live History'!$A$5:$A$3004,AH!$U$7+579),INDEX('AH History'!$A$5:$A$1380,AH!$U$7+579))),""))</f>
        <v/>
      </c>
      <c r="B584" s="33">
        <f>IFERROR(IF(AH!$U$11=1,NA(),$J584/$E584-1),NA())</f>
        <v/>
      </c>
      <c r="C584" s="269">
        <f>IFERROR(100*$E584/$E$5,NA())</f>
        <v/>
      </c>
      <c r="D584" s="269">
        <f>IFERROR(100*$J584/$J$5,NA())</f>
        <v/>
      </c>
      <c r="E584" s="32">
        <f>IFERROR(IF(AND(ISNUMBER($A584),N(IF(AND(AH!$U$12=1,579+1=AH!$U$6),IF(AH!$U$4=0,"unavailable",INDEX('Market Data'!$AN$5:$AN$66,AH!$U$4)),IF(AH!$U$5=1,INDEX('Live History'!$B$5:$B$3004,$K584),INDEX('AH History'!$D$5:$GG$1380,$K584,AH!$U$10))))&gt;0),IF(AND(AH!$U$12=1,579+1=AH!$U$6),IF(AH!$U$4=0,"unavailable",INDEX('Market Data'!$AN$5:$AN$66,AH!$U$4)),IF(AH!$U$5=1,INDEX('Live History'!$B$5:$B$3004,$K584),INDEX('AH History'!$D$5:$GG$1380,$K584,AH!$U$10))),NA()),NA())</f>
        <v/>
      </c>
      <c r="F584" s="32">
        <f>IFERROR(IF(ISNUMBER($A584),IF(AND(AH!$U$12=1,579+1=AH!$U$6),IF(AH!$U$4=0,"unavailable",INDEX('Market Data'!$AO$5:$AO$66,AH!$U$4)),IF(AH!$U$5=1,INDEX('Live History'!$E$5:$E$3004,MATCH($A584,'Live History'!$D$5:$D$3004,1)),INDEX('AH History'!$D$5:$GG$1380,$K584,AH!$U$10+1))),NA()),NA())</f>
        <v/>
      </c>
      <c r="G584" s="34">
        <f>IFERROR(IF(ISNUMBER($A584),IF(AND(AH!$U$12=1,579+1=AH!$U$6),IF(AH!$U$4=0,"unavailable",INDEX('Market Data'!$AK$5:$AK$66,AH!$U$4)),IF(AH!$U$5=1,INDEX('Live History'!$D$5:$D$3004,MATCH($A584,'Live History'!$D$5:$D$3004,1)),INDEX('AH History'!$D$5:$GG$1380,$K584,AH!$U$10+2))),NA()),NA())</f>
        <v/>
      </c>
      <c r="H584" s="266">
        <f>IFERROR(IF(ISNUMBER($A584),IF(AND(AH!$U$12=1,579+1=AH!$U$6),IF(AH!$U$4=0,"unavailable",INDEX('Market Data'!$AP$5:$AP$66,AH!$U$4)),IF(AH!$U$5=1,INDEX('Live History'!$H$5:$H$3004,MATCH($A584,'Live History'!$G$5:$G$3004,1)),INDEX('AH History'!$B$5:$B$1380,$K584))),NA()),NA())</f>
        <v/>
      </c>
      <c r="I584" s="34">
        <f>IFERROR(IF(ISNUMBER($A584),IF(AND(AH!$U$12=1,579+1=AH!$U$6),TODAY(),IF(AH!$U$5=1,INDEX('Live History'!$G$5:$G$3004,MATCH($A584,'Live History'!$G$5:$G$3004,1)),INDEX('AH History'!$C$5:$C$1380,$K584))),NA()),NA())</f>
        <v/>
      </c>
      <c r="J584" s="32">
        <f>IFERROR(IF(AND($F584&gt;0,$H584&gt;0,$A584-$G584&lt;=10,$A584-$I584&lt;=5,$G584&gt;0,$I584&gt;0),$F584*$H584,NA()),NA())</f>
        <v/>
      </c>
      <c r="K584" s="15">
        <f>IF($A584="","",IF(AH!$U$5=1,IFERROR(MATCH($A584,'Live History'!$A$5:$A$3004,0),0),AH!$U$7+579))</f>
        <v/>
      </c>
      <c r="L584" s="15">
        <f>IF(ISNUMBER(A584),TEXT(A584,"dd-mmm-yy"),"")</f>
        <v/>
      </c>
    </row>
    <row r="585">
      <c r="A585" s="14">
        <f>IF(OR(AH!$U$4=0,580+1&gt;AH!$U$6,AND(AH!$M$5="Bloomberg",AH!$U$5=0)),"",IFERROR(IF(AND(AH!$U$12=1,580+1=AH!$U$6),TODAY(),IF(AH!$U$5=1,INDEX('Live History'!$A$5:$A$3004,AH!$U$7+580),INDEX('AH History'!$A$5:$A$1380,AH!$U$7+580))),""))</f>
        <v/>
      </c>
      <c r="B585" s="33">
        <f>IFERROR(IF(AH!$U$11=1,NA(),$J585/$E585-1),NA())</f>
        <v/>
      </c>
      <c r="C585" s="269">
        <f>IFERROR(100*$E585/$E$5,NA())</f>
        <v/>
      </c>
      <c r="D585" s="269">
        <f>IFERROR(100*$J585/$J$5,NA())</f>
        <v/>
      </c>
      <c r="E585" s="32">
        <f>IFERROR(IF(AND(ISNUMBER($A585),N(IF(AND(AH!$U$12=1,580+1=AH!$U$6),IF(AH!$U$4=0,"unavailable",INDEX('Market Data'!$AN$5:$AN$66,AH!$U$4)),IF(AH!$U$5=1,INDEX('Live History'!$B$5:$B$3004,$K585),INDEX('AH History'!$D$5:$GG$1380,$K585,AH!$U$10))))&gt;0),IF(AND(AH!$U$12=1,580+1=AH!$U$6),IF(AH!$U$4=0,"unavailable",INDEX('Market Data'!$AN$5:$AN$66,AH!$U$4)),IF(AH!$U$5=1,INDEX('Live History'!$B$5:$B$3004,$K585),INDEX('AH History'!$D$5:$GG$1380,$K585,AH!$U$10))),NA()),NA())</f>
        <v/>
      </c>
      <c r="F585" s="32">
        <f>IFERROR(IF(ISNUMBER($A585),IF(AND(AH!$U$12=1,580+1=AH!$U$6),IF(AH!$U$4=0,"unavailable",INDEX('Market Data'!$AO$5:$AO$66,AH!$U$4)),IF(AH!$U$5=1,INDEX('Live History'!$E$5:$E$3004,MATCH($A585,'Live History'!$D$5:$D$3004,1)),INDEX('AH History'!$D$5:$GG$1380,$K585,AH!$U$10+1))),NA()),NA())</f>
        <v/>
      </c>
      <c r="G585" s="34">
        <f>IFERROR(IF(ISNUMBER($A585),IF(AND(AH!$U$12=1,580+1=AH!$U$6),IF(AH!$U$4=0,"unavailable",INDEX('Market Data'!$AK$5:$AK$66,AH!$U$4)),IF(AH!$U$5=1,INDEX('Live History'!$D$5:$D$3004,MATCH($A585,'Live History'!$D$5:$D$3004,1)),INDEX('AH History'!$D$5:$GG$1380,$K585,AH!$U$10+2))),NA()),NA())</f>
        <v/>
      </c>
      <c r="H585" s="266">
        <f>IFERROR(IF(ISNUMBER($A585),IF(AND(AH!$U$12=1,580+1=AH!$U$6),IF(AH!$U$4=0,"unavailable",INDEX('Market Data'!$AP$5:$AP$66,AH!$U$4)),IF(AH!$U$5=1,INDEX('Live History'!$H$5:$H$3004,MATCH($A585,'Live History'!$G$5:$G$3004,1)),INDEX('AH History'!$B$5:$B$1380,$K585))),NA()),NA())</f>
        <v/>
      </c>
      <c r="I585" s="34">
        <f>IFERROR(IF(ISNUMBER($A585),IF(AND(AH!$U$12=1,580+1=AH!$U$6),TODAY(),IF(AH!$U$5=1,INDEX('Live History'!$G$5:$G$3004,MATCH($A585,'Live History'!$G$5:$G$3004,1)),INDEX('AH History'!$C$5:$C$1380,$K585))),NA()),NA())</f>
        <v/>
      </c>
      <c r="J585" s="32">
        <f>IFERROR(IF(AND($F585&gt;0,$H585&gt;0,$A585-$G585&lt;=10,$A585-$I585&lt;=5,$G585&gt;0,$I585&gt;0),$F585*$H585,NA()),NA())</f>
        <v/>
      </c>
      <c r="K585" s="15">
        <f>IF($A585="","",IF(AH!$U$5=1,IFERROR(MATCH($A585,'Live History'!$A$5:$A$3004,0),0),AH!$U$7+580))</f>
        <v/>
      </c>
      <c r="L585" s="15">
        <f>IF(ISNUMBER(A585),TEXT(A585,"dd-mmm-yy"),"")</f>
        <v/>
      </c>
    </row>
    <row r="586">
      <c r="A586" s="14">
        <f>IF(OR(AH!$U$4=0,581+1&gt;AH!$U$6,AND(AH!$M$5="Bloomberg",AH!$U$5=0)),"",IFERROR(IF(AND(AH!$U$12=1,581+1=AH!$U$6),TODAY(),IF(AH!$U$5=1,INDEX('Live History'!$A$5:$A$3004,AH!$U$7+581),INDEX('AH History'!$A$5:$A$1380,AH!$U$7+581))),""))</f>
        <v/>
      </c>
      <c r="B586" s="33">
        <f>IFERROR(IF(AH!$U$11=1,NA(),$J586/$E586-1),NA())</f>
        <v/>
      </c>
      <c r="C586" s="269">
        <f>IFERROR(100*$E586/$E$5,NA())</f>
        <v/>
      </c>
      <c r="D586" s="269">
        <f>IFERROR(100*$J586/$J$5,NA())</f>
        <v/>
      </c>
      <c r="E586" s="32">
        <f>IFERROR(IF(AND(ISNUMBER($A586),N(IF(AND(AH!$U$12=1,581+1=AH!$U$6),IF(AH!$U$4=0,"unavailable",INDEX('Market Data'!$AN$5:$AN$66,AH!$U$4)),IF(AH!$U$5=1,INDEX('Live History'!$B$5:$B$3004,$K586),INDEX('AH History'!$D$5:$GG$1380,$K586,AH!$U$10))))&gt;0),IF(AND(AH!$U$12=1,581+1=AH!$U$6),IF(AH!$U$4=0,"unavailable",INDEX('Market Data'!$AN$5:$AN$66,AH!$U$4)),IF(AH!$U$5=1,INDEX('Live History'!$B$5:$B$3004,$K586),INDEX('AH History'!$D$5:$GG$1380,$K586,AH!$U$10))),NA()),NA())</f>
        <v/>
      </c>
      <c r="F586" s="32">
        <f>IFERROR(IF(ISNUMBER($A586),IF(AND(AH!$U$12=1,581+1=AH!$U$6),IF(AH!$U$4=0,"unavailable",INDEX('Market Data'!$AO$5:$AO$66,AH!$U$4)),IF(AH!$U$5=1,INDEX('Live History'!$E$5:$E$3004,MATCH($A586,'Live History'!$D$5:$D$3004,1)),INDEX('AH History'!$D$5:$GG$1380,$K586,AH!$U$10+1))),NA()),NA())</f>
        <v/>
      </c>
      <c r="G586" s="34">
        <f>IFERROR(IF(ISNUMBER($A586),IF(AND(AH!$U$12=1,581+1=AH!$U$6),IF(AH!$U$4=0,"unavailable",INDEX('Market Data'!$AK$5:$AK$66,AH!$U$4)),IF(AH!$U$5=1,INDEX('Live History'!$D$5:$D$3004,MATCH($A586,'Live History'!$D$5:$D$3004,1)),INDEX('AH History'!$D$5:$GG$1380,$K586,AH!$U$10+2))),NA()),NA())</f>
        <v/>
      </c>
      <c r="H586" s="266">
        <f>IFERROR(IF(ISNUMBER($A586),IF(AND(AH!$U$12=1,581+1=AH!$U$6),IF(AH!$U$4=0,"unavailable",INDEX('Market Data'!$AP$5:$AP$66,AH!$U$4)),IF(AH!$U$5=1,INDEX('Live History'!$H$5:$H$3004,MATCH($A586,'Live History'!$G$5:$G$3004,1)),INDEX('AH History'!$B$5:$B$1380,$K586))),NA()),NA())</f>
        <v/>
      </c>
      <c r="I586" s="34">
        <f>IFERROR(IF(ISNUMBER($A586),IF(AND(AH!$U$12=1,581+1=AH!$U$6),TODAY(),IF(AH!$U$5=1,INDEX('Live History'!$G$5:$G$3004,MATCH($A586,'Live History'!$G$5:$G$3004,1)),INDEX('AH History'!$C$5:$C$1380,$K586))),NA()),NA())</f>
        <v/>
      </c>
      <c r="J586" s="32">
        <f>IFERROR(IF(AND($F586&gt;0,$H586&gt;0,$A586-$G586&lt;=10,$A586-$I586&lt;=5,$G586&gt;0,$I586&gt;0),$F586*$H586,NA()),NA())</f>
        <v/>
      </c>
      <c r="K586" s="15">
        <f>IF($A586="","",IF(AH!$U$5=1,IFERROR(MATCH($A586,'Live History'!$A$5:$A$3004,0),0),AH!$U$7+581))</f>
        <v/>
      </c>
      <c r="L586" s="15">
        <f>IF(ISNUMBER(A586),TEXT(A586,"dd-mmm-yy"),"")</f>
        <v/>
      </c>
    </row>
    <row r="587">
      <c r="A587" s="14">
        <f>IF(OR(AH!$U$4=0,582+1&gt;AH!$U$6,AND(AH!$M$5="Bloomberg",AH!$U$5=0)),"",IFERROR(IF(AND(AH!$U$12=1,582+1=AH!$U$6),TODAY(),IF(AH!$U$5=1,INDEX('Live History'!$A$5:$A$3004,AH!$U$7+582),INDEX('AH History'!$A$5:$A$1380,AH!$U$7+582))),""))</f>
        <v/>
      </c>
      <c r="B587" s="33">
        <f>IFERROR(IF(AH!$U$11=1,NA(),$J587/$E587-1),NA())</f>
        <v/>
      </c>
      <c r="C587" s="269">
        <f>IFERROR(100*$E587/$E$5,NA())</f>
        <v/>
      </c>
      <c r="D587" s="269">
        <f>IFERROR(100*$J587/$J$5,NA())</f>
        <v/>
      </c>
      <c r="E587" s="32">
        <f>IFERROR(IF(AND(ISNUMBER($A587),N(IF(AND(AH!$U$12=1,582+1=AH!$U$6),IF(AH!$U$4=0,"unavailable",INDEX('Market Data'!$AN$5:$AN$66,AH!$U$4)),IF(AH!$U$5=1,INDEX('Live History'!$B$5:$B$3004,$K587),INDEX('AH History'!$D$5:$GG$1380,$K587,AH!$U$10))))&gt;0),IF(AND(AH!$U$12=1,582+1=AH!$U$6),IF(AH!$U$4=0,"unavailable",INDEX('Market Data'!$AN$5:$AN$66,AH!$U$4)),IF(AH!$U$5=1,INDEX('Live History'!$B$5:$B$3004,$K587),INDEX('AH History'!$D$5:$GG$1380,$K587,AH!$U$10))),NA()),NA())</f>
        <v/>
      </c>
      <c r="F587" s="32">
        <f>IFERROR(IF(ISNUMBER($A587),IF(AND(AH!$U$12=1,582+1=AH!$U$6),IF(AH!$U$4=0,"unavailable",INDEX('Market Data'!$AO$5:$AO$66,AH!$U$4)),IF(AH!$U$5=1,INDEX('Live History'!$E$5:$E$3004,MATCH($A587,'Live History'!$D$5:$D$3004,1)),INDEX('AH History'!$D$5:$GG$1380,$K587,AH!$U$10+1))),NA()),NA())</f>
        <v/>
      </c>
      <c r="G587" s="34">
        <f>IFERROR(IF(ISNUMBER($A587),IF(AND(AH!$U$12=1,582+1=AH!$U$6),IF(AH!$U$4=0,"unavailable",INDEX('Market Data'!$AK$5:$AK$66,AH!$U$4)),IF(AH!$U$5=1,INDEX('Live History'!$D$5:$D$3004,MATCH($A587,'Live History'!$D$5:$D$3004,1)),INDEX('AH History'!$D$5:$GG$1380,$K587,AH!$U$10+2))),NA()),NA())</f>
        <v/>
      </c>
      <c r="H587" s="266">
        <f>IFERROR(IF(ISNUMBER($A587),IF(AND(AH!$U$12=1,582+1=AH!$U$6),IF(AH!$U$4=0,"unavailable",INDEX('Market Data'!$AP$5:$AP$66,AH!$U$4)),IF(AH!$U$5=1,INDEX('Live History'!$H$5:$H$3004,MATCH($A587,'Live History'!$G$5:$G$3004,1)),INDEX('AH History'!$B$5:$B$1380,$K587))),NA()),NA())</f>
        <v/>
      </c>
      <c r="I587" s="34">
        <f>IFERROR(IF(ISNUMBER($A587),IF(AND(AH!$U$12=1,582+1=AH!$U$6),TODAY(),IF(AH!$U$5=1,INDEX('Live History'!$G$5:$G$3004,MATCH($A587,'Live History'!$G$5:$G$3004,1)),INDEX('AH History'!$C$5:$C$1380,$K587))),NA()),NA())</f>
        <v/>
      </c>
      <c r="J587" s="32">
        <f>IFERROR(IF(AND($F587&gt;0,$H587&gt;0,$A587-$G587&lt;=10,$A587-$I587&lt;=5,$G587&gt;0,$I587&gt;0),$F587*$H587,NA()),NA())</f>
        <v/>
      </c>
      <c r="K587" s="15">
        <f>IF($A587="","",IF(AH!$U$5=1,IFERROR(MATCH($A587,'Live History'!$A$5:$A$3004,0),0),AH!$U$7+582))</f>
        <v/>
      </c>
      <c r="L587" s="15">
        <f>IF(ISNUMBER(A587),TEXT(A587,"dd-mmm-yy"),"")</f>
        <v/>
      </c>
    </row>
    <row r="588">
      <c r="A588" s="14">
        <f>IF(OR(AH!$U$4=0,583+1&gt;AH!$U$6,AND(AH!$M$5="Bloomberg",AH!$U$5=0)),"",IFERROR(IF(AND(AH!$U$12=1,583+1=AH!$U$6),TODAY(),IF(AH!$U$5=1,INDEX('Live History'!$A$5:$A$3004,AH!$U$7+583),INDEX('AH History'!$A$5:$A$1380,AH!$U$7+583))),""))</f>
        <v/>
      </c>
      <c r="B588" s="33">
        <f>IFERROR(IF(AH!$U$11=1,NA(),$J588/$E588-1),NA())</f>
        <v/>
      </c>
      <c r="C588" s="269">
        <f>IFERROR(100*$E588/$E$5,NA())</f>
        <v/>
      </c>
      <c r="D588" s="269">
        <f>IFERROR(100*$J588/$J$5,NA())</f>
        <v/>
      </c>
      <c r="E588" s="32">
        <f>IFERROR(IF(AND(ISNUMBER($A588),N(IF(AND(AH!$U$12=1,583+1=AH!$U$6),IF(AH!$U$4=0,"unavailable",INDEX('Market Data'!$AN$5:$AN$66,AH!$U$4)),IF(AH!$U$5=1,INDEX('Live History'!$B$5:$B$3004,$K588),INDEX('AH History'!$D$5:$GG$1380,$K588,AH!$U$10))))&gt;0),IF(AND(AH!$U$12=1,583+1=AH!$U$6),IF(AH!$U$4=0,"unavailable",INDEX('Market Data'!$AN$5:$AN$66,AH!$U$4)),IF(AH!$U$5=1,INDEX('Live History'!$B$5:$B$3004,$K588),INDEX('AH History'!$D$5:$GG$1380,$K588,AH!$U$10))),NA()),NA())</f>
        <v/>
      </c>
      <c r="F588" s="32">
        <f>IFERROR(IF(ISNUMBER($A588),IF(AND(AH!$U$12=1,583+1=AH!$U$6),IF(AH!$U$4=0,"unavailable",INDEX('Market Data'!$AO$5:$AO$66,AH!$U$4)),IF(AH!$U$5=1,INDEX('Live History'!$E$5:$E$3004,MATCH($A588,'Live History'!$D$5:$D$3004,1)),INDEX('AH History'!$D$5:$GG$1380,$K588,AH!$U$10+1))),NA()),NA())</f>
        <v/>
      </c>
      <c r="G588" s="34">
        <f>IFERROR(IF(ISNUMBER($A588),IF(AND(AH!$U$12=1,583+1=AH!$U$6),IF(AH!$U$4=0,"unavailable",INDEX('Market Data'!$AK$5:$AK$66,AH!$U$4)),IF(AH!$U$5=1,INDEX('Live History'!$D$5:$D$3004,MATCH($A588,'Live History'!$D$5:$D$3004,1)),INDEX('AH History'!$D$5:$GG$1380,$K588,AH!$U$10+2))),NA()),NA())</f>
        <v/>
      </c>
      <c r="H588" s="266">
        <f>IFERROR(IF(ISNUMBER($A588),IF(AND(AH!$U$12=1,583+1=AH!$U$6),IF(AH!$U$4=0,"unavailable",INDEX('Market Data'!$AP$5:$AP$66,AH!$U$4)),IF(AH!$U$5=1,INDEX('Live History'!$H$5:$H$3004,MATCH($A588,'Live History'!$G$5:$G$3004,1)),INDEX('AH History'!$B$5:$B$1380,$K588))),NA()),NA())</f>
        <v/>
      </c>
      <c r="I588" s="34">
        <f>IFERROR(IF(ISNUMBER($A588),IF(AND(AH!$U$12=1,583+1=AH!$U$6),TODAY(),IF(AH!$U$5=1,INDEX('Live History'!$G$5:$G$3004,MATCH($A588,'Live History'!$G$5:$G$3004,1)),INDEX('AH History'!$C$5:$C$1380,$K588))),NA()),NA())</f>
        <v/>
      </c>
      <c r="J588" s="32">
        <f>IFERROR(IF(AND($F588&gt;0,$H588&gt;0,$A588-$G588&lt;=10,$A588-$I588&lt;=5,$G588&gt;0,$I588&gt;0),$F588*$H588,NA()),NA())</f>
        <v/>
      </c>
      <c r="K588" s="15">
        <f>IF($A588="","",IF(AH!$U$5=1,IFERROR(MATCH($A588,'Live History'!$A$5:$A$3004,0),0),AH!$U$7+583))</f>
        <v/>
      </c>
      <c r="L588" s="15">
        <f>IF(ISNUMBER(A588),TEXT(A588,"dd-mmm-yy"),"")</f>
        <v/>
      </c>
    </row>
    <row r="589">
      <c r="A589" s="14">
        <f>IF(OR(AH!$U$4=0,584+1&gt;AH!$U$6,AND(AH!$M$5="Bloomberg",AH!$U$5=0)),"",IFERROR(IF(AND(AH!$U$12=1,584+1=AH!$U$6),TODAY(),IF(AH!$U$5=1,INDEX('Live History'!$A$5:$A$3004,AH!$U$7+584),INDEX('AH History'!$A$5:$A$1380,AH!$U$7+584))),""))</f>
        <v/>
      </c>
      <c r="B589" s="33">
        <f>IFERROR(IF(AH!$U$11=1,NA(),$J589/$E589-1),NA())</f>
        <v/>
      </c>
      <c r="C589" s="269">
        <f>IFERROR(100*$E589/$E$5,NA())</f>
        <v/>
      </c>
      <c r="D589" s="269">
        <f>IFERROR(100*$J589/$J$5,NA())</f>
        <v/>
      </c>
      <c r="E589" s="32">
        <f>IFERROR(IF(AND(ISNUMBER($A589),N(IF(AND(AH!$U$12=1,584+1=AH!$U$6),IF(AH!$U$4=0,"unavailable",INDEX('Market Data'!$AN$5:$AN$66,AH!$U$4)),IF(AH!$U$5=1,INDEX('Live History'!$B$5:$B$3004,$K589),INDEX('AH History'!$D$5:$GG$1380,$K589,AH!$U$10))))&gt;0),IF(AND(AH!$U$12=1,584+1=AH!$U$6),IF(AH!$U$4=0,"unavailable",INDEX('Market Data'!$AN$5:$AN$66,AH!$U$4)),IF(AH!$U$5=1,INDEX('Live History'!$B$5:$B$3004,$K589),INDEX('AH History'!$D$5:$GG$1380,$K589,AH!$U$10))),NA()),NA())</f>
        <v/>
      </c>
      <c r="F589" s="32">
        <f>IFERROR(IF(ISNUMBER($A589),IF(AND(AH!$U$12=1,584+1=AH!$U$6),IF(AH!$U$4=0,"unavailable",INDEX('Market Data'!$AO$5:$AO$66,AH!$U$4)),IF(AH!$U$5=1,INDEX('Live History'!$E$5:$E$3004,MATCH($A589,'Live History'!$D$5:$D$3004,1)),INDEX('AH History'!$D$5:$GG$1380,$K589,AH!$U$10+1))),NA()),NA())</f>
        <v/>
      </c>
      <c r="G589" s="34">
        <f>IFERROR(IF(ISNUMBER($A589),IF(AND(AH!$U$12=1,584+1=AH!$U$6),IF(AH!$U$4=0,"unavailable",INDEX('Market Data'!$AK$5:$AK$66,AH!$U$4)),IF(AH!$U$5=1,INDEX('Live History'!$D$5:$D$3004,MATCH($A589,'Live History'!$D$5:$D$3004,1)),INDEX('AH History'!$D$5:$GG$1380,$K589,AH!$U$10+2))),NA()),NA())</f>
        <v/>
      </c>
      <c r="H589" s="266">
        <f>IFERROR(IF(ISNUMBER($A589),IF(AND(AH!$U$12=1,584+1=AH!$U$6),IF(AH!$U$4=0,"unavailable",INDEX('Market Data'!$AP$5:$AP$66,AH!$U$4)),IF(AH!$U$5=1,INDEX('Live History'!$H$5:$H$3004,MATCH($A589,'Live History'!$G$5:$G$3004,1)),INDEX('AH History'!$B$5:$B$1380,$K589))),NA()),NA())</f>
        <v/>
      </c>
      <c r="I589" s="34">
        <f>IFERROR(IF(ISNUMBER($A589),IF(AND(AH!$U$12=1,584+1=AH!$U$6),TODAY(),IF(AH!$U$5=1,INDEX('Live History'!$G$5:$G$3004,MATCH($A589,'Live History'!$G$5:$G$3004,1)),INDEX('AH History'!$C$5:$C$1380,$K589))),NA()),NA())</f>
        <v/>
      </c>
      <c r="J589" s="32">
        <f>IFERROR(IF(AND($F589&gt;0,$H589&gt;0,$A589-$G589&lt;=10,$A589-$I589&lt;=5,$G589&gt;0,$I589&gt;0),$F589*$H589,NA()),NA())</f>
        <v/>
      </c>
      <c r="K589" s="15">
        <f>IF($A589="","",IF(AH!$U$5=1,IFERROR(MATCH($A589,'Live History'!$A$5:$A$3004,0),0),AH!$U$7+584))</f>
        <v/>
      </c>
      <c r="L589" s="15">
        <f>IF(ISNUMBER(A589),TEXT(A589,"dd-mmm-yy"),"")</f>
        <v/>
      </c>
    </row>
    <row r="590">
      <c r="A590" s="14">
        <f>IF(OR(AH!$U$4=0,585+1&gt;AH!$U$6,AND(AH!$M$5="Bloomberg",AH!$U$5=0)),"",IFERROR(IF(AND(AH!$U$12=1,585+1=AH!$U$6),TODAY(),IF(AH!$U$5=1,INDEX('Live History'!$A$5:$A$3004,AH!$U$7+585),INDEX('AH History'!$A$5:$A$1380,AH!$U$7+585))),""))</f>
        <v/>
      </c>
      <c r="B590" s="33">
        <f>IFERROR(IF(AH!$U$11=1,NA(),$J590/$E590-1),NA())</f>
        <v/>
      </c>
      <c r="C590" s="269">
        <f>IFERROR(100*$E590/$E$5,NA())</f>
        <v/>
      </c>
      <c r="D590" s="269">
        <f>IFERROR(100*$J590/$J$5,NA())</f>
        <v/>
      </c>
      <c r="E590" s="32">
        <f>IFERROR(IF(AND(ISNUMBER($A590),N(IF(AND(AH!$U$12=1,585+1=AH!$U$6),IF(AH!$U$4=0,"unavailable",INDEX('Market Data'!$AN$5:$AN$66,AH!$U$4)),IF(AH!$U$5=1,INDEX('Live History'!$B$5:$B$3004,$K590),INDEX('AH History'!$D$5:$GG$1380,$K590,AH!$U$10))))&gt;0),IF(AND(AH!$U$12=1,585+1=AH!$U$6),IF(AH!$U$4=0,"unavailable",INDEX('Market Data'!$AN$5:$AN$66,AH!$U$4)),IF(AH!$U$5=1,INDEX('Live History'!$B$5:$B$3004,$K590),INDEX('AH History'!$D$5:$GG$1380,$K590,AH!$U$10))),NA()),NA())</f>
        <v/>
      </c>
      <c r="F590" s="32">
        <f>IFERROR(IF(ISNUMBER($A590),IF(AND(AH!$U$12=1,585+1=AH!$U$6),IF(AH!$U$4=0,"unavailable",INDEX('Market Data'!$AO$5:$AO$66,AH!$U$4)),IF(AH!$U$5=1,INDEX('Live History'!$E$5:$E$3004,MATCH($A590,'Live History'!$D$5:$D$3004,1)),INDEX('AH History'!$D$5:$GG$1380,$K590,AH!$U$10+1))),NA()),NA())</f>
        <v/>
      </c>
      <c r="G590" s="34">
        <f>IFERROR(IF(ISNUMBER($A590),IF(AND(AH!$U$12=1,585+1=AH!$U$6),IF(AH!$U$4=0,"unavailable",INDEX('Market Data'!$AK$5:$AK$66,AH!$U$4)),IF(AH!$U$5=1,INDEX('Live History'!$D$5:$D$3004,MATCH($A590,'Live History'!$D$5:$D$3004,1)),INDEX('AH History'!$D$5:$GG$1380,$K590,AH!$U$10+2))),NA()),NA())</f>
        <v/>
      </c>
      <c r="H590" s="266">
        <f>IFERROR(IF(ISNUMBER($A590),IF(AND(AH!$U$12=1,585+1=AH!$U$6),IF(AH!$U$4=0,"unavailable",INDEX('Market Data'!$AP$5:$AP$66,AH!$U$4)),IF(AH!$U$5=1,INDEX('Live History'!$H$5:$H$3004,MATCH($A590,'Live History'!$G$5:$G$3004,1)),INDEX('AH History'!$B$5:$B$1380,$K590))),NA()),NA())</f>
        <v/>
      </c>
      <c r="I590" s="34">
        <f>IFERROR(IF(ISNUMBER($A590),IF(AND(AH!$U$12=1,585+1=AH!$U$6),TODAY(),IF(AH!$U$5=1,INDEX('Live History'!$G$5:$G$3004,MATCH($A590,'Live History'!$G$5:$G$3004,1)),INDEX('AH History'!$C$5:$C$1380,$K590))),NA()),NA())</f>
        <v/>
      </c>
      <c r="J590" s="32">
        <f>IFERROR(IF(AND($F590&gt;0,$H590&gt;0,$A590-$G590&lt;=10,$A590-$I590&lt;=5,$G590&gt;0,$I590&gt;0),$F590*$H590,NA()),NA())</f>
        <v/>
      </c>
      <c r="K590" s="15">
        <f>IF($A590="","",IF(AH!$U$5=1,IFERROR(MATCH($A590,'Live History'!$A$5:$A$3004,0),0),AH!$U$7+585))</f>
        <v/>
      </c>
      <c r="L590" s="15">
        <f>IF(ISNUMBER(A590),TEXT(A590,"dd-mmm-yy"),"")</f>
        <v/>
      </c>
    </row>
    <row r="591">
      <c r="A591" s="14">
        <f>IF(OR(AH!$U$4=0,586+1&gt;AH!$U$6,AND(AH!$M$5="Bloomberg",AH!$U$5=0)),"",IFERROR(IF(AND(AH!$U$12=1,586+1=AH!$U$6),TODAY(),IF(AH!$U$5=1,INDEX('Live History'!$A$5:$A$3004,AH!$U$7+586),INDEX('AH History'!$A$5:$A$1380,AH!$U$7+586))),""))</f>
        <v/>
      </c>
      <c r="B591" s="33">
        <f>IFERROR(IF(AH!$U$11=1,NA(),$J591/$E591-1),NA())</f>
        <v/>
      </c>
      <c r="C591" s="269">
        <f>IFERROR(100*$E591/$E$5,NA())</f>
        <v/>
      </c>
      <c r="D591" s="269">
        <f>IFERROR(100*$J591/$J$5,NA())</f>
        <v/>
      </c>
      <c r="E591" s="32">
        <f>IFERROR(IF(AND(ISNUMBER($A591),N(IF(AND(AH!$U$12=1,586+1=AH!$U$6),IF(AH!$U$4=0,"unavailable",INDEX('Market Data'!$AN$5:$AN$66,AH!$U$4)),IF(AH!$U$5=1,INDEX('Live History'!$B$5:$B$3004,$K591),INDEX('AH History'!$D$5:$GG$1380,$K591,AH!$U$10))))&gt;0),IF(AND(AH!$U$12=1,586+1=AH!$U$6),IF(AH!$U$4=0,"unavailable",INDEX('Market Data'!$AN$5:$AN$66,AH!$U$4)),IF(AH!$U$5=1,INDEX('Live History'!$B$5:$B$3004,$K591),INDEX('AH History'!$D$5:$GG$1380,$K591,AH!$U$10))),NA()),NA())</f>
        <v/>
      </c>
      <c r="F591" s="32">
        <f>IFERROR(IF(ISNUMBER($A591),IF(AND(AH!$U$12=1,586+1=AH!$U$6),IF(AH!$U$4=0,"unavailable",INDEX('Market Data'!$AO$5:$AO$66,AH!$U$4)),IF(AH!$U$5=1,INDEX('Live History'!$E$5:$E$3004,MATCH($A591,'Live History'!$D$5:$D$3004,1)),INDEX('AH History'!$D$5:$GG$1380,$K591,AH!$U$10+1))),NA()),NA())</f>
        <v/>
      </c>
      <c r="G591" s="34">
        <f>IFERROR(IF(ISNUMBER($A591),IF(AND(AH!$U$12=1,586+1=AH!$U$6),IF(AH!$U$4=0,"unavailable",INDEX('Market Data'!$AK$5:$AK$66,AH!$U$4)),IF(AH!$U$5=1,INDEX('Live History'!$D$5:$D$3004,MATCH($A591,'Live History'!$D$5:$D$3004,1)),INDEX('AH History'!$D$5:$GG$1380,$K591,AH!$U$10+2))),NA()),NA())</f>
        <v/>
      </c>
      <c r="H591" s="266">
        <f>IFERROR(IF(ISNUMBER($A591),IF(AND(AH!$U$12=1,586+1=AH!$U$6),IF(AH!$U$4=0,"unavailable",INDEX('Market Data'!$AP$5:$AP$66,AH!$U$4)),IF(AH!$U$5=1,INDEX('Live History'!$H$5:$H$3004,MATCH($A591,'Live History'!$G$5:$G$3004,1)),INDEX('AH History'!$B$5:$B$1380,$K591))),NA()),NA())</f>
        <v/>
      </c>
      <c r="I591" s="34">
        <f>IFERROR(IF(ISNUMBER($A591),IF(AND(AH!$U$12=1,586+1=AH!$U$6),TODAY(),IF(AH!$U$5=1,INDEX('Live History'!$G$5:$G$3004,MATCH($A591,'Live History'!$G$5:$G$3004,1)),INDEX('AH History'!$C$5:$C$1380,$K591))),NA()),NA())</f>
        <v/>
      </c>
      <c r="J591" s="32">
        <f>IFERROR(IF(AND($F591&gt;0,$H591&gt;0,$A591-$G591&lt;=10,$A591-$I591&lt;=5,$G591&gt;0,$I591&gt;0),$F591*$H591,NA()),NA())</f>
        <v/>
      </c>
      <c r="K591" s="15">
        <f>IF($A591="","",IF(AH!$U$5=1,IFERROR(MATCH($A591,'Live History'!$A$5:$A$3004,0),0),AH!$U$7+586))</f>
        <v/>
      </c>
      <c r="L591" s="15">
        <f>IF(ISNUMBER(A591),TEXT(A591,"dd-mmm-yy"),"")</f>
        <v/>
      </c>
    </row>
    <row r="592">
      <c r="A592" s="14">
        <f>IF(OR(AH!$U$4=0,587+1&gt;AH!$U$6,AND(AH!$M$5="Bloomberg",AH!$U$5=0)),"",IFERROR(IF(AND(AH!$U$12=1,587+1=AH!$U$6),TODAY(),IF(AH!$U$5=1,INDEX('Live History'!$A$5:$A$3004,AH!$U$7+587),INDEX('AH History'!$A$5:$A$1380,AH!$U$7+587))),""))</f>
        <v/>
      </c>
      <c r="B592" s="33">
        <f>IFERROR(IF(AH!$U$11=1,NA(),$J592/$E592-1),NA())</f>
        <v/>
      </c>
      <c r="C592" s="269">
        <f>IFERROR(100*$E592/$E$5,NA())</f>
        <v/>
      </c>
      <c r="D592" s="269">
        <f>IFERROR(100*$J592/$J$5,NA())</f>
        <v/>
      </c>
      <c r="E592" s="32">
        <f>IFERROR(IF(AND(ISNUMBER($A592),N(IF(AND(AH!$U$12=1,587+1=AH!$U$6),IF(AH!$U$4=0,"unavailable",INDEX('Market Data'!$AN$5:$AN$66,AH!$U$4)),IF(AH!$U$5=1,INDEX('Live History'!$B$5:$B$3004,$K592),INDEX('AH History'!$D$5:$GG$1380,$K592,AH!$U$10))))&gt;0),IF(AND(AH!$U$12=1,587+1=AH!$U$6),IF(AH!$U$4=0,"unavailable",INDEX('Market Data'!$AN$5:$AN$66,AH!$U$4)),IF(AH!$U$5=1,INDEX('Live History'!$B$5:$B$3004,$K592),INDEX('AH History'!$D$5:$GG$1380,$K592,AH!$U$10))),NA()),NA())</f>
        <v/>
      </c>
      <c r="F592" s="32">
        <f>IFERROR(IF(ISNUMBER($A592),IF(AND(AH!$U$12=1,587+1=AH!$U$6),IF(AH!$U$4=0,"unavailable",INDEX('Market Data'!$AO$5:$AO$66,AH!$U$4)),IF(AH!$U$5=1,INDEX('Live History'!$E$5:$E$3004,MATCH($A592,'Live History'!$D$5:$D$3004,1)),INDEX('AH History'!$D$5:$GG$1380,$K592,AH!$U$10+1))),NA()),NA())</f>
        <v/>
      </c>
      <c r="G592" s="34">
        <f>IFERROR(IF(ISNUMBER($A592),IF(AND(AH!$U$12=1,587+1=AH!$U$6),IF(AH!$U$4=0,"unavailable",INDEX('Market Data'!$AK$5:$AK$66,AH!$U$4)),IF(AH!$U$5=1,INDEX('Live History'!$D$5:$D$3004,MATCH($A592,'Live History'!$D$5:$D$3004,1)),INDEX('AH History'!$D$5:$GG$1380,$K592,AH!$U$10+2))),NA()),NA())</f>
        <v/>
      </c>
      <c r="H592" s="266">
        <f>IFERROR(IF(ISNUMBER($A592),IF(AND(AH!$U$12=1,587+1=AH!$U$6),IF(AH!$U$4=0,"unavailable",INDEX('Market Data'!$AP$5:$AP$66,AH!$U$4)),IF(AH!$U$5=1,INDEX('Live History'!$H$5:$H$3004,MATCH($A592,'Live History'!$G$5:$G$3004,1)),INDEX('AH History'!$B$5:$B$1380,$K592))),NA()),NA())</f>
        <v/>
      </c>
      <c r="I592" s="34">
        <f>IFERROR(IF(ISNUMBER($A592),IF(AND(AH!$U$12=1,587+1=AH!$U$6),TODAY(),IF(AH!$U$5=1,INDEX('Live History'!$G$5:$G$3004,MATCH($A592,'Live History'!$G$5:$G$3004,1)),INDEX('AH History'!$C$5:$C$1380,$K592))),NA()),NA())</f>
        <v/>
      </c>
      <c r="J592" s="32">
        <f>IFERROR(IF(AND($F592&gt;0,$H592&gt;0,$A592-$G592&lt;=10,$A592-$I592&lt;=5,$G592&gt;0,$I592&gt;0),$F592*$H592,NA()),NA())</f>
        <v/>
      </c>
      <c r="K592" s="15">
        <f>IF($A592="","",IF(AH!$U$5=1,IFERROR(MATCH($A592,'Live History'!$A$5:$A$3004,0),0),AH!$U$7+587))</f>
        <v/>
      </c>
      <c r="L592" s="15">
        <f>IF(ISNUMBER(A592),TEXT(A592,"dd-mmm-yy"),"")</f>
        <v/>
      </c>
    </row>
    <row r="593">
      <c r="A593" s="14">
        <f>IF(OR(AH!$U$4=0,588+1&gt;AH!$U$6,AND(AH!$M$5="Bloomberg",AH!$U$5=0)),"",IFERROR(IF(AND(AH!$U$12=1,588+1=AH!$U$6),TODAY(),IF(AH!$U$5=1,INDEX('Live History'!$A$5:$A$3004,AH!$U$7+588),INDEX('AH History'!$A$5:$A$1380,AH!$U$7+588))),""))</f>
        <v/>
      </c>
      <c r="B593" s="33">
        <f>IFERROR(IF(AH!$U$11=1,NA(),$J593/$E593-1),NA())</f>
        <v/>
      </c>
      <c r="C593" s="269">
        <f>IFERROR(100*$E593/$E$5,NA())</f>
        <v/>
      </c>
      <c r="D593" s="269">
        <f>IFERROR(100*$J593/$J$5,NA())</f>
        <v/>
      </c>
      <c r="E593" s="32">
        <f>IFERROR(IF(AND(ISNUMBER($A593),N(IF(AND(AH!$U$12=1,588+1=AH!$U$6),IF(AH!$U$4=0,"unavailable",INDEX('Market Data'!$AN$5:$AN$66,AH!$U$4)),IF(AH!$U$5=1,INDEX('Live History'!$B$5:$B$3004,$K593),INDEX('AH History'!$D$5:$GG$1380,$K593,AH!$U$10))))&gt;0),IF(AND(AH!$U$12=1,588+1=AH!$U$6),IF(AH!$U$4=0,"unavailable",INDEX('Market Data'!$AN$5:$AN$66,AH!$U$4)),IF(AH!$U$5=1,INDEX('Live History'!$B$5:$B$3004,$K593),INDEX('AH History'!$D$5:$GG$1380,$K593,AH!$U$10))),NA()),NA())</f>
        <v/>
      </c>
      <c r="F593" s="32">
        <f>IFERROR(IF(ISNUMBER($A593),IF(AND(AH!$U$12=1,588+1=AH!$U$6),IF(AH!$U$4=0,"unavailable",INDEX('Market Data'!$AO$5:$AO$66,AH!$U$4)),IF(AH!$U$5=1,INDEX('Live History'!$E$5:$E$3004,MATCH($A593,'Live History'!$D$5:$D$3004,1)),INDEX('AH History'!$D$5:$GG$1380,$K593,AH!$U$10+1))),NA()),NA())</f>
        <v/>
      </c>
      <c r="G593" s="34">
        <f>IFERROR(IF(ISNUMBER($A593),IF(AND(AH!$U$12=1,588+1=AH!$U$6),IF(AH!$U$4=0,"unavailable",INDEX('Market Data'!$AK$5:$AK$66,AH!$U$4)),IF(AH!$U$5=1,INDEX('Live History'!$D$5:$D$3004,MATCH($A593,'Live History'!$D$5:$D$3004,1)),INDEX('AH History'!$D$5:$GG$1380,$K593,AH!$U$10+2))),NA()),NA())</f>
        <v/>
      </c>
      <c r="H593" s="266">
        <f>IFERROR(IF(ISNUMBER($A593),IF(AND(AH!$U$12=1,588+1=AH!$U$6),IF(AH!$U$4=0,"unavailable",INDEX('Market Data'!$AP$5:$AP$66,AH!$U$4)),IF(AH!$U$5=1,INDEX('Live History'!$H$5:$H$3004,MATCH($A593,'Live History'!$G$5:$G$3004,1)),INDEX('AH History'!$B$5:$B$1380,$K593))),NA()),NA())</f>
        <v/>
      </c>
      <c r="I593" s="34">
        <f>IFERROR(IF(ISNUMBER($A593),IF(AND(AH!$U$12=1,588+1=AH!$U$6),TODAY(),IF(AH!$U$5=1,INDEX('Live History'!$G$5:$G$3004,MATCH($A593,'Live History'!$G$5:$G$3004,1)),INDEX('AH History'!$C$5:$C$1380,$K593))),NA()),NA())</f>
        <v/>
      </c>
      <c r="J593" s="32">
        <f>IFERROR(IF(AND($F593&gt;0,$H593&gt;0,$A593-$G593&lt;=10,$A593-$I593&lt;=5,$G593&gt;0,$I593&gt;0),$F593*$H593,NA()),NA())</f>
        <v/>
      </c>
      <c r="K593" s="15">
        <f>IF($A593="","",IF(AH!$U$5=1,IFERROR(MATCH($A593,'Live History'!$A$5:$A$3004,0),0),AH!$U$7+588))</f>
        <v/>
      </c>
      <c r="L593" s="15">
        <f>IF(ISNUMBER(A593),TEXT(A593,"dd-mmm-yy"),"")</f>
        <v/>
      </c>
    </row>
    <row r="594">
      <c r="A594" s="14">
        <f>IF(OR(AH!$U$4=0,589+1&gt;AH!$U$6,AND(AH!$M$5="Bloomberg",AH!$U$5=0)),"",IFERROR(IF(AND(AH!$U$12=1,589+1=AH!$U$6),TODAY(),IF(AH!$U$5=1,INDEX('Live History'!$A$5:$A$3004,AH!$U$7+589),INDEX('AH History'!$A$5:$A$1380,AH!$U$7+589))),""))</f>
        <v/>
      </c>
      <c r="B594" s="33">
        <f>IFERROR(IF(AH!$U$11=1,NA(),$J594/$E594-1),NA())</f>
        <v/>
      </c>
      <c r="C594" s="269">
        <f>IFERROR(100*$E594/$E$5,NA())</f>
        <v/>
      </c>
      <c r="D594" s="269">
        <f>IFERROR(100*$J594/$J$5,NA())</f>
        <v/>
      </c>
      <c r="E594" s="32">
        <f>IFERROR(IF(AND(ISNUMBER($A594),N(IF(AND(AH!$U$12=1,589+1=AH!$U$6),IF(AH!$U$4=0,"unavailable",INDEX('Market Data'!$AN$5:$AN$66,AH!$U$4)),IF(AH!$U$5=1,INDEX('Live History'!$B$5:$B$3004,$K594),INDEX('AH History'!$D$5:$GG$1380,$K594,AH!$U$10))))&gt;0),IF(AND(AH!$U$12=1,589+1=AH!$U$6),IF(AH!$U$4=0,"unavailable",INDEX('Market Data'!$AN$5:$AN$66,AH!$U$4)),IF(AH!$U$5=1,INDEX('Live History'!$B$5:$B$3004,$K594),INDEX('AH History'!$D$5:$GG$1380,$K594,AH!$U$10))),NA()),NA())</f>
        <v/>
      </c>
      <c r="F594" s="32">
        <f>IFERROR(IF(ISNUMBER($A594),IF(AND(AH!$U$12=1,589+1=AH!$U$6),IF(AH!$U$4=0,"unavailable",INDEX('Market Data'!$AO$5:$AO$66,AH!$U$4)),IF(AH!$U$5=1,INDEX('Live History'!$E$5:$E$3004,MATCH($A594,'Live History'!$D$5:$D$3004,1)),INDEX('AH History'!$D$5:$GG$1380,$K594,AH!$U$10+1))),NA()),NA())</f>
        <v/>
      </c>
      <c r="G594" s="34">
        <f>IFERROR(IF(ISNUMBER($A594),IF(AND(AH!$U$12=1,589+1=AH!$U$6),IF(AH!$U$4=0,"unavailable",INDEX('Market Data'!$AK$5:$AK$66,AH!$U$4)),IF(AH!$U$5=1,INDEX('Live History'!$D$5:$D$3004,MATCH($A594,'Live History'!$D$5:$D$3004,1)),INDEX('AH History'!$D$5:$GG$1380,$K594,AH!$U$10+2))),NA()),NA())</f>
        <v/>
      </c>
      <c r="H594" s="266">
        <f>IFERROR(IF(ISNUMBER($A594),IF(AND(AH!$U$12=1,589+1=AH!$U$6),IF(AH!$U$4=0,"unavailable",INDEX('Market Data'!$AP$5:$AP$66,AH!$U$4)),IF(AH!$U$5=1,INDEX('Live History'!$H$5:$H$3004,MATCH($A594,'Live History'!$G$5:$G$3004,1)),INDEX('AH History'!$B$5:$B$1380,$K594))),NA()),NA())</f>
        <v/>
      </c>
      <c r="I594" s="34">
        <f>IFERROR(IF(ISNUMBER($A594),IF(AND(AH!$U$12=1,589+1=AH!$U$6),TODAY(),IF(AH!$U$5=1,INDEX('Live History'!$G$5:$G$3004,MATCH($A594,'Live History'!$G$5:$G$3004,1)),INDEX('AH History'!$C$5:$C$1380,$K594))),NA()),NA())</f>
        <v/>
      </c>
      <c r="J594" s="32">
        <f>IFERROR(IF(AND($F594&gt;0,$H594&gt;0,$A594-$G594&lt;=10,$A594-$I594&lt;=5,$G594&gt;0,$I594&gt;0),$F594*$H594,NA()),NA())</f>
        <v/>
      </c>
      <c r="K594" s="15">
        <f>IF($A594="","",IF(AH!$U$5=1,IFERROR(MATCH($A594,'Live History'!$A$5:$A$3004,0),0),AH!$U$7+589))</f>
        <v/>
      </c>
      <c r="L594" s="15">
        <f>IF(ISNUMBER(A594),TEXT(A594,"dd-mmm-yy"),"")</f>
        <v/>
      </c>
    </row>
    <row r="595">
      <c r="A595" s="14">
        <f>IF(OR(AH!$U$4=0,590+1&gt;AH!$U$6,AND(AH!$M$5="Bloomberg",AH!$U$5=0)),"",IFERROR(IF(AND(AH!$U$12=1,590+1=AH!$U$6),TODAY(),IF(AH!$U$5=1,INDEX('Live History'!$A$5:$A$3004,AH!$U$7+590),INDEX('AH History'!$A$5:$A$1380,AH!$U$7+590))),""))</f>
        <v/>
      </c>
      <c r="B595" s="33">
        <f>IFERROR(IF(AH!$U$11=1,NA(),$J595/$E595-1),NA())</f>
        <v/>
      </c>
      <c r="C595" s="269">
        <f>IFERROR(100*$E595/$E$5,NA())</f>
        <v/>
      </c>
      <c r="D595" s="269">
        <f>IFERROR(100*$J595/$J$5,NA())</f>
        <v/>
      </c>
      <c r="E595" s="32">
        <f>IFERROR(IF(AND(ISNUMBER($A595),N(IF(AND(AH!$U$12=1,590+1=AH!$U$6),IF(AH!$U$4=0,"unavailable",INDEX('Market Data'!$AN$5:$AN$66,AH!$U$4)),IF(AH!$U$5=1,INDEX('Live History'!$B$5:$B$3004,$K595),INDEX('AH History'!$D$5:$GG$1380,$K595,AH!$U$10))))&gt;0),IF(AND(AH!$U$12=1,590+1=AH!$U$6),IF(AH!$U$4=0,"unavailable",INDEX('Market Data'!$AN$5:$AN$66,AH!$U$4)),IF(AH!$U$5=1,INDEX('Live History'!$B$5:$B$3004,$K595),INDEX('AH History'!$D$5:$GG$1380,$K595,AH!$U$10))),NA()),NA())</f>
        <v/>
      </c>
      <c r="F595" s="32">
        <f>IFERROR(IF(ISNUMBER($A595),IF(AND(AH!$U$12=1,590+1=AH!$U$6),IF(AH!$U$4=0,"unavailable",INDEX('Market Data'!$AO$5:$AO$66,AH!$U$4)),IF(AH!$U$5=1,INDEX('Live History'!$E$5:$E$3004,MATCH($A595,'Live History'!$D$5:$D$3004,1)),INDEX('AH History'!$D$5:$GG$1380,$K595,AH!$U$10+1))),NA()),NA())</f>
        <v/>
      </c>
      <c r="G595" s="34">
        <f>IFERROR(IF(ISNUMBER($A595),IF(AND(AH!$U$12=1,590+1=AH!$U$6),IF(AH!$U$4=0,"unavailable",INDEX('Market Data'!$AK$5:$AK$66,AH!$U$4)),IF(AH!$U$5=1,INDEX('Live History'!$D$5:$D$3004,MATCH($A595,'Live History'!$D$5:$D$3004,1)),INDEX('AH History'!$D$5:$GG$1380,$K595,AH!$U$10+2))),NA()),NA())</f>
        <v/>
      </c>
      <c r="H595" s="266">
        <f>IFERROR(IF(ISNUMBER($A595),IF(AND(AH!$U$12=1,590+1=AH!$U$6),IF(AH!$U$4=0,"unavailable",INDEX('Market Data'!$AP$5:$AP$66,AH!$U$4)),IF(AH!$U$5=1,INDEX('Live History'!$H$5:$H$3004,MATCH($A595,'Live History'!$G$5:$G$3004,1)),INDEX('AH History'!$B$5:$B$1380,$K595))),NA()),NA())</f>
        <v/>
      </c>
      <c r="I595" s="34">
        <f>IFERROR(IF(ISNUMBER($A595),IF(AND(AH!$U$12=1,590+1=AH!$U$6),TODAY(),IF(AH!$U$5=1,INDEX('Live History'!$G$5:$G$3004,MATCH($A595,'Live History'!$G$5:$G$3004,1)),INDEX('AH History'!$C$5:$C$1380,$K595))),NA()),NA())</f>
        <v/>
      </c>
      <c r="J595" s="32">
        <f>IFERROR(IF(AND($F595&gt;0,$H595&gt;0,$A595-$G595&lt;=10,$A595-$I595&lt;=5,$G595&gt;0,$I595&gt;0),$F595*$H595,NA()),NA())</f>
        <v/>
      </c>
      <c r="K595" s="15">
        <f>IF($A595="","",IF(AH!$U$5=1,IFERROR(MATCH($A595,'Live History'!$A$5:$A$3004,0),0),AH!$U$7+590))</f>
        <v/>
      </c>
      <c r="L595" s="15">
        <f>IF(ISNUMBER(A595),TEXT(A595,"dd-mmm-yy"),"")</f>
        <v/>
      </c>
    </row>
    <row r="596">
      <c r="A596" s="14">
        <f>IF(OR(AH!$U$4=0,591+1&gt;AH!$U$6,AND(AH!$M$5="Bloomberg",AH!$U$5=0)),"",IFERROR(IF(AND(AH!$U$12=1,591+1=AH!$U$6),TODAY(),IF(AH!$U$5=1,INDEX('Live History'!$A$5:$A$3004,AH!$U$7+591),INDEX('AH History'!$A$5:$A$1380,AH!$U$7+591))),""))</f>
        <v/>
      </c>
      <c r="B596" s="33">
        <f>IFERROR(IF(AH!$U$11=1,NA(),$J596/$E596-1),NA())</f>
        <v/>
      </c>
      <c r="C596" s="269">
        <f>IFERROR(100*$E596/$E$5,NA())</f>
        <v/>
      </c>
      <c r="D596" s="269">
        <f>IFERROR(100*$J596/$J$5,NA())</f>
        <v/>
      </c>
      <c r="E596" s="32">
        <f>IFERROR(IF(AND(ISNUMBER($A596),N(IF(AND(AH!$U$12=1,591+1=AH!$U$6),IF(AH!$U$4=0,"unavailable",INDEX('Market Data'!$AN$5:$AN$66,AH!$U$4)),IF(AH!$U$5=1,INDEX('Live History'!$B$5:$B$3004,$K596),INDEX('AH History'!$D$5:$GG$1380,$K596,AH!$U$10))))&gt;0),IF(AND(AH!$U$12=1,591+1=AH!$U$6),IF(AH!$U$4=0,"unavailable",INDEX('Market Data'!$AN$5:$AN$66,AH!$U$4)),IF(AH!$U$5=1,INDEX('Live History'!$B$5:$B$3004,$K596),INDEX('AH History'!$D$5:$GG$1380,$K596,AH!$U$10))),NA()),NA())</f>
        <v/>
      </c>
      <c r="F596" s="32">
        <f>IFERROR(IF(ISNUMBER($A596),IF(AND(AH!$U$12=1,591+1=AH!$U$6),IF(AH!$U$4=0,"unavailable",INDEX('Market Data'!$AO$5:$AO$66,AH!$U$4)),IF(AH!$U$5=1,INDEX('Live History'!$E$5:$E$3004,MATCH($A596,'Live History'!$D$5:$D$3004,1)),INDEX('AH History'!$D$5:$GG$1380,$K596,AH!$U$10+1))),NA()),NA())</f>
        <v/>
      </c>
      <c r="G596" s="34">
        <f>IFERROR(IF(ISNUMBER($A596),IF(AND(AH!$U$12=1,591+1=AH!$U$6),IF(AH!$U$4=0,"unavailable",INDEX('Market Data'!$AK$5:$AK$66,AH!$U$4)),IF(AH!$U$5=1,INDEX('Live History'!$D$5:$D$3004,MATCH($A596,'Live History'!$D$5:$D$3004,1)),INDEX('AH History'!$D$5:$GG$1380,$K596,AH!$U$10+2))),NA()),NA())</f>
        <v/>
      </c>
      <c r="H596" s="266">
        <f>IFERROR(IF(ISNUMBER($A596),IF(AND(AH!$U$12=1,591+1=AH!$U$6),IF(AH!$U$4=0,"unavailable",INDEX('Market Data'!$AP$5:$AP$66,AH!$U$4)),IF(AH!$U$5=1,INDEX('Live History'!$H$5:$H$3004,MATCH($A596,'Live History'!$G$5:$G$3004,1)),INDEX('AH History'!$B$5:$B$1380,$K596))),NA()),NA())</f>
        <v/>
      </c>
      <c r="I596" s="34">
        <f>IFERROR(IF(ISNUMBER($A596),IF(AND(AH!$U$12=1,591+1=AH!$U$6),TODAY(),IF(AH!$U$5=1,INDEX('Live History'!$G$5:$G$3004,MATCH($A596,'Live History'!$G$5:$G$3004,1)),INDEX('AH History'!$C$5:$C$1380,$K596))),NA()),NA())</f>
        <v/>
      </c>
      <c r="J596" s="32">
        <f>IFERROR(IF(AND($F596&gt;0,$H596&gt;0,$A596-$G596&lt;=10,$A596-$I596&lt;=5,$G596&gt;0,$I596&gt;0),$F596*$H596,NA()),NA())</f>
        <v/>
      </c>
      <c r="K596" s="15">
        <f>IF($A596="","",IF(AH!$U$5=1,IFERROR(MATCH($A596,'Live History'!$A$5:$A$3004,0),0),AH!$U$7+591))</f>
        <v/>
      </c>
      <c r="L596" s="15">
        <f>IF(ISNUMBER(A596),TEXT(A596,"dd-mmm-yy"),"")</f>
        <v/>
      </c>
    </row>
    <row r="597">
      <c r="A597" s="14">
        <f>IF(OR(AH!$U$4=0,592+1&gt;AH!$U$6,AND(AH!$M$5="Bloomberg",AH!$U$5=0)),"",IFERROR(IF(AND(AH!$U$12=1,592+1=AH!$U$6),TODAY(),IF(AH!$U$5=1,INDEX('Live History'!$A$5:$A$3004,AH!$U$7+592),INDEX('AH History'!$A$5:$A$1380,AH!$U$7+592))),""))</f>
        <v/>
      </c>
      <c r="B597" s="33">
        <f>IFERROR(IF(AH!$U$11=1,NA(),$J597/$E597-1),NA())</f>
        <v/>
      </c>
      <c r="C597" s="269">
        <f>IFERROR(100*$E597/$E$5,NA())</f>
        <v/>
      </c>
      <c r="D597" s="269">
        <f>IFERROR(100*$J597/$J$5,NA())</f>
        <v/>
      </c>
      <c r="E597" s="32">
        <f>IFERROR(IF(AND(ISNUMBER($A597),N(IF(AND(AH!$U$12=1,592+1=AH!$U$6),IF(AH!$U$4=0,"unavailable",INDEX('Market Data'!$AN$5:$AN$66,AH!$U$4)),IF(AH!$U$5=1,INDEX('Live History'!$B$5:$B$3004,$K597),INDEX('AH History'!$D$5:$GG$1380,$K597,AH!$U$10))))&gt;0),IF(AND(AH!$U$12=1,592+1=AH!$U$6),IF(AH!$U$4=0,"unavailable",INDEX('Market Data'!$AN$5:$AN$66,AH!$U$4)),IF(AH!$U$5=1,INDEX('Live History'!$B$5:$B$3004,$K597),INDEX('AH History'!$D$5:$GG$1380,$K597,AH!$U$10))),NA()),NA())</f>
        <v/>
      </c>
      <c r="F597" s="32">
        <f>IFERROR(IF(ISNUMBER($A597),IF(AND(AH!$U$12=1,592+1=AH!$U$6),IF(AH!$U$4=0,"unavailable",INDEX('Market Data'!$AO$5:$AO$66,AH!$U$4)),IF(AH!$U$5=1,INDEX('Live History'!$E$5:$E$3004,MATCH($A597,'Live History'!$D$5:$D$3004,1)),INDEX('AH History'!$D$5:$GG$1380,$K597,AH!$U$10+1))),NA()),NA())</f>
        <v/>
      </c>
      <c r="G597" s="34">
        <f>IFERROR(IF(ISNUMBER($A597),IF(AND(AH!$U$12=1,592+1=AH!$U$6),IF(AH!$U$4=0,"unavailable",INDEX('Market Data'!$AK$5:$AK$66,AH!$U$4)),IF(AH!$U$5=1,INDEX('Live History'!$D$5:$D$3004,MATCH($A597,'Live History'!$D$5:$D$3004,1)),INDEX('AH History'!$D$5:$GG$1380,$K597,AH!$U$10+2))),NA()),NA())</f>
        <v/>
      </c>
      <c r="H597" s="266">
        <f>IFERROR(IF(ISNUMBER($A597),IF(AND(AH!$U$12=1,592+1=AH!$U$6),IF(AH!$U$4=0,"unavailable",INDEX('Market Data'!$AP$5:$AP$66,AH!$U$4)),IF(AH!$U$5=1,INDEX('Live History'!$H$5:$H$3004,MATCH($A597,'Live History'!$G$5:$G$3004,1)),INDEX('AH History'!$B$5:$B$1380,$K597))),NA()),NA())</f>
        <v/>
      </c>
      <c r="I597" s="34">
        <f>IFERROR(IF(ISNUMBER($A597),IF(AND(AH!$U$12=1,592+1=AH!$U$6),TODAY(),IF(AH!$U$5=1,INDEX('Live History'!$G$5:$G$3004,MATCH($A597,'Live History'!$G$5:$G$3004,1)),INDEX('AH History'!$C$5:$C$1380,$K597))),NA()),NA())</f>
        <v/>
      </c>
      <c r="J597" s="32">
        <f>IFERROR(IF(AND($F597&gt;0,$H597&gt;0,$A597-$G597&lt;=10,$A597-$I597&lt;=5,$G597&gt;0,$I597&gt;0),$F597*$H597,NA()),NA())</f>
        <v/>
      </c>
      <c r="K597" s="15">
        <f>IF($A597="","",IF(AH!$U$5=1,IFERROR(MATCH($A597,'Live History'!$A$5:$A$3004,0),0),AH!$U$7+592))</f>
        <v/>
      </c>
      <c r="L597" s="15">
        <f>IF(ISNUMBER(A597),TEXT(A597,"dd-mmm-yy"),"")</f>
        <v/>
      </c>
    </row>
    <row r="598">
      <c r="A598" s="14">
        <f>IF(OR(AH!$U$4=0,593+1&gt;AH!$U$6,AND(AH!$M$5="Bloomberg",AH!$U$5=0)),"",IFERROR(IF(AND(AH!$U$12=1,593+1=AH!$U$6),TODAY(),IF(AH!$U$5=1,INDEX('Live History'!$A$5:$A$3004,AH!$U$7+593),INDEX('AH History'!$A$5:$A$1380,AH!$U$7+593))),""))</f>
        <v/>
      </c>
      <c r="B598" s="33">
        <f>IFERROR(IF(AH!$U$11=1,NA(),$J598/$E598-1),NA())</f>
        <v/>
      </c>
      <c r="C598" s="269">
        <f>IFERROR(100*$E598/$E$5,NA())</f>
        <v/>
      </c>
      <c r="D598" s="269">
        <f>IFERROR(100*$J598/$J$5,NA())</f>
        <v/>
      </c>
      <c r="E598" s="32">
        <f>IFERROR(IF(AND(ISNUMBER($A598),N(IF(AND(AH!$U$12=1,593+1=AH!$U$6),IF(AH!$U$4=0,"unavailable",INDEX('Market Data'!$AN$5:$AN$66,AH!$U$4)),IF(AH!$U$5=1,INDEX('Live History'!$B$5:$B$3004,$K598),INDEX('AH History'!$D$5:$GG$1380,$K598,AH!$U$10))))&gt;0),IF(AND(AH!$U$12=1,593+1=AH!$U$6),IF(AH!$U$4=0,"unavailable",INDEX('Market Data'!$AN$5:$AN$66,AH!$U$4)),IF(AH!$U$5=1,INDEX('Live History'!$B$5:$B$3004,$K598),INDEX('AH History'!$D$5:$GG$1380,$K598,AH!$U$10))),NA()),NA())</f>
        <v/>
      </c>
      <c r="F598" s="32">
        <f>IFERROR(IF(ISNUMBER($A598),IF(AND(AH!$U$12=1,593+1=AH!$U$6),IF(AH!$U$4=0,"unavailable",INDEX('Market Data'!$AO$5:$AO$66,AH!$U$4)),IF(AH!$U$5=1,INDEX('Live History'!$E$5:$E$3004,MATCH($A598,'Live History'!$D$5:$D$3004,1)),INDEX('AH History'!$D$5:$GG$1380,$K598,AH!$U$10+1))),NA()),NA())</f>
        <v/>
      </c>
      <c r="G598" s="34">
        <f>IFERROR(IF(ISNUMBER($A598),IF(AND(AH!$U$12=1,593+1=AH!$U$6),IF(AH!$U$4=0,"unavailable",INDEX('Market Data'!$AK$5:$AK$66,AH!$U$4)),IF(AH!$U$5=1,INDEX('Live History'!$D$5:$D$3004,MATCH($A598,'Live History'!$D$5:$D$3004,1)),INDEX('AH History'!$D$5:$GG$1380,$K598,AH!$U$10+2))),NA()),NA())</f>
        <v/>
      </c>
      <c r="H598" s="266">
        <f>IFERROR(IF(ISNUMBER($A598),IF(AND(AH!$U$12=1,593+1=AH!$U$6),IF(AH!$U$4=0,"unavailable",INDEX('Market Data'!$AP$5:$AP$66,AH!$U$4)),IF(AH!$U$5=1,INDEX('Live History'!$H$5:$H$3004,MATCH($A598,'Live History'!$G$5:$G$3004,1)),INDEX('AH History'!$B$5:$B$1380,$K598))),NA()),NA())</f>
        <v/>
      </c>
      <c r="I598" s="34">
        <f>IFERROR(IF(ISNUMBER($A598),IF(AND(AH!$U$12=1,593+1=AH!$U$6),TODAY(),IF(AH!$U$5=1,INDEX('Live History'!$G$5:$G$3004,MATCH($A598,'Live History'!$G$5:$G$3004,1)),INDEX('AH History'!$C$5:$C$1380,$K598))),NA()),NA())</f>
        <v/>
      </c>
      <c r="J598" s="32">
        <f>IFERROR(IF(AND($F598&gt;0,$H598&gt;0,$A598-$G598&lt;=10,$A598-$I598&lt;=5,$G598&gt;0,$I598&gt;0),$F598*$H598,NA()),NA())</f>
        <v/>
      </c>
      <c r="K598" s="15">
        <f>IF($A598="","",IF(AH!$U$5=1,IFERROR(MATCH($A598,'Live History'!$A$5:$A$3004,0),0),AH!$U$7+593))</f>
        <v/>
      </c>
      <c r="L598" s="15">
        <f>IF(ISNUMBER(A598),TEXT(A598,"dd-mmm-yy"),"")</f>
        <v/>
      </c>
    </row>
    <row r="599">
      <c r="A599" s="14">
        <f>IF(OR(AH!$U$4=0,594+1&gt;AH!$U$6,AND(AH!$M$5="Bloomberg",AH!$U$5=0)),"",IFERROR(IF(AND(AH!$U$12=1,594+1=AH!$U$6),TODAY(),IF(AH!$U$5=1,INDEX('Live History'!$A$5:$A$3004,AH!$U$7+594),INDEX('AH History'!$A$5:$A$1380,AH!$U$7+594))),""))</f>
        <v/>
      </c>
      <c r="B599" s="33">
        <f>IFERROR(IF(AH!$U$11=1,NA(),$J599/$E599-1),NA())</f>
        <v/>
      </c>
      <c r="C599" s="269">
        <f>IFERROR(100*$E599/$E$5,NA())</f>
        <v/>
      </c>
      <c r="D599" s="269">
        <f>IFERROR(100*$J599/$J$5,NA())</f>
        <v/>
      </c>
      <c r="E599" s="32">
        <f>IFERROR(IF(AND(ISNUMBER($A599),N(IF(AND(AH!$U$12=1,594+1=AH!$U$6),IF(AH!$U$4=0,"unavailable",INDEX('Market Data'!$AN$5:$AN$66,AH!$U$4)),IF(AH!$U$5=1,INDEX('Live History'!$B$5:$B$3004,$K599),INDEX('AH History'!$D$5:$GG$1380,$K599,AH!$U$10))))&gt;0),IF(AND(AH!$U$12=1,594+1=AH!$U$6),IF(AH!$U$4=0,"unavailable",INDEX('Market Data'!$AN$5:$AN$66,AH!$U$4)),IF(AH!$U$5=1,INDEX('Live History'!$B$5:$B$3004,$K599),INDEX('AH History'!$D$5:$GG$1380,$K599,AH!$U$10))),NA()),NA())</f>
        <v/>
      </c>
      <c r="F599" s="32">
        <f>IFERROR(IF(ISNUMBER($A599),IF(AND(AH!$U$12=1,594+1=AH!$U$6),IF(AH!$U$4=0,"unavailable",INDEX('Market Data'!$AO$5:$AO$66,AH!$U$4)),IF(AH!$U$5=1,INDEX('Live History'!$E$5:$E$3004,MATCH($A599,'Live History'!$D$5:$D$3004,1)),INDEX('AH History'!$D$5:$GG$1380,$K599,AH!$U$10+1))),NA()),NA())</f>
        <v/>
      </c>
      <c r="G599" s="34">
        <f>IFERROR(IF(ISNUMBER($A599),IF(AND(AH!$U$12=1,594+1=AH!$U$6),IF(AH!$U$4=0,"unavailable",INDEX('Market Data'!$AK$5:$AK$66,AH!$U$4)),IF(AH!$U$5=1,INDEX('Live History'!$D$5:$D$3004,MATCH($A599,'Live History'!$D$5:$D$3004,1)),INDEX('AH History'!$D$5:$GG$1380,$K599,AH!$U$10+2))),NA()),NA())</f>
        <v/>
      </c>
      <c r="H599" s="266">
        <f>IFERROR(IF(ISNUMBER($A599),IF(AND(AH!$U$12=1,594+1=AH!$U$6),IF(AH!$U$4=0,"unavailable",INDEX('Market Data'!$AP$5:$AP$66,AH!$U$4)),IF(AH!$U$5=1,INDEX('Live History'!$H$5:$H$3004,MATCH($A599,'Live History'!$G$5:$G$3004,1)),INDEX('AH History'!$B$5:$B$1380,$K599))),NA()),NA())</f>
        <v/>
      </c>
      <c r="I599" s="34">
        <f>IFERROR(IF(ISNUMBER($A599),IF(AND(AH!$U$12=1,594+1=AH!$U$6),TODAY(),IF(AH!$U$5=1,INDEX('Live History'!$G$5:$G$3004,MATCH($A599,'Live History'!$G$5:$G$3004,1)),INDEX('AH History'!$C$5:$C$1380,$K599))),NA()),NA())</f>
        <v/>
      </c>
      <c r="J599" s="32">
        <f>IFERROR(IF(AND($F599&gt;0,$H599&gt;0,$A599-$G599&lt;=10,$A599-$I599&lt;=5,$G599&gt;0,$I599&gt;0),$F599*$H599,NA()),NA())</f>
        <v/>
      </c>
      <c r="K599" s="15">
        <f>IF($A599="","",IF(AH!$U$5=1,IFERROR(MATCH($A599,'Live History'!$A$5:$A$3004,0),0),AH!$U$7+594))</f>
        <v/>
      </c>
      <c r="L599" s="15">
        <f>IF(ISNUMBER(A599),TEXT(A599,"dd-mmm-yy"),"")</f>
        <v/>
      </c>
    </row>
    <row r="600">
      <c r="A600" s="14">
        <f>IF(OR(AH!$U$4=0,595+1&gt;AH!$U$6,AND(AH!$M$5="Bloomberg",AH!$U$5=0)),"",IFERROR(IF(AND(AH!$U$12=1,595+1=AH!$U$6),TODAY(),IF(AH!$U$5=1,INDEX('Live History'!$A$5:$A$3004,AH!$U$7+595),INDEX('AH History'!$A$5:$A$1380,AH!$U$7+595))),""))</f>
        <v/>
      </c>
      <c r="B600" s="33">
        <f>IFERROR(IF(AH!$U$11=1,NA(),$J600/$E600-1),NA())</f>
        <v/>
      </c>
      <c r="C600" s="269">
        <f>IFERROR(100*$E600/$E$5,NA())</f>
        <v/>
      </c>
      <c r="D600" s="269">
        <f>IFERROR(100*$J600/$J$5,NA())</f>
        <v/>
      </c>
      <c r="E600" s="32">
        <f>IFERROR(IF(AND(ISNUMBER($A600),N(IF(AND(AH!$U$12=1,595+1=AH!$U$6),IF(AH!$U$4=0,"unavailable",INDEX('Market Data'!$AN$5:$AN$66,AH!$U$4)),IF(AH!$U$5=1,INDEX('Live History'!$B$5:$B$3004,$K600),INDEX('AH History'!$D$5:$GG$1380,$K600,AH!$U$10))))&gt;0),IF(AND(AH!$U$12=1,595+1=AH!$U$6),IF(AH!$U$4=0,"unavailable",INDEX('Market Data'!$AN$5:$AN$66,AH!$U$4)),IF(AH!$U$5=1,INDEX('Live History'!$B$5:$B$3004,$K600),INDEX('AH History'!$D$5:$GG$1380,$K600,AH!$U$10))),NA()),NA())</f>
        <v/>
      </c>
      <c r="F600" s="32">
        <f>IFERROR(IF(ISNUMBER($A600),IF(AND(AH!$U$12=1,595+1=AH!$U$6),IF(AH!$U$4=0,"unavailable",INDEX('Market Data'!$AO$5:$AO$66,AH!$U$4)),IF(AH!$U$5=1,INDEX('Live History'!$E$5:$E$3004,MATCH($A600,'Live History'!$D$5:$D$3004,1)),INDEX('AH History'!$D$5:$GG$1380,$K600,AH!$U$10+1))),NA()),NA())</f>
        <v/>
      </c>
      <c r="G600" s="34">
        <f>IFERROR(IF(ISNUMBER($A600),IF(AND(AH!$U$12=1,595+1=AH!$U$6),IF(AH!$U$4=0,"unavailable",INDEX('Market Data'!$AK$5:$AK$66,AH!$U$4)),IF(AH!$U$5=1,INDEX('Live History'!$D$5:$D$3004,MATCH($A600,'Live History'!$D$5:$D$3004,1)),INDEX('AH History'!$D$5:$GG$1380,$K600,AH!$U$10+2))),NA()),NA())</f>
        <v/>
      </c>
      <c r="H600" s="266">
        <f>IFERROR(IF(ISNUMBER($A600),IF(AND(AH!$U$12=1,595+1=AH!$U$6),IF(AH!$U$4=0,"unavailable",INDEX('Market Data'!$AP$5:$AP$66,AH!$U$4)),IF(AH!$U$5=1,INDEX('Live History'!$H$5:$H$3004,MATCH($A600,'Live History'!$G$5:$G$3004,1)),INDEX('AH History'!$B$5:$B$1380,$K600))),NA()),NA())</f>
        <v/>
      </c>
      <c r="I600" s="34">
        <f>IFERROR(IF(ISNUMBER($A600),IF(AND(AH!$U$12=1,595+1=AH!$U$6),TODAY(),IF(AH!$U$5=1,INDEX('Live History'!$G$5:$G$3004,MATCH($A600,'Live History'!$G$5:$G$3004,1)),INDEX('AH History'!$C$5:$C$1380,$K600))),NA()),NA())</f>
        <v/>
      </c>
      <c r="J600" s="32">
        <f>IFERROR(IF(AND($F600&gt;0,$H600&gt;0,$A600-$G600&lt;=10,$A600-$I600&lt;=5,$G600&gt;0,$I600&gt;0),$F600*$H600,NA()),NA())</f>
        <v/>
      </c>
      <c r="K600" s="15">
        <f>IF($A600="","",IF(AH!$U$5=1,IFERROR(MATCH($A600,'Live History'!$A$5:$A$3004,0),0),AH!$U$7+595))</f>
        <v/>
      </c>
      <c r="L600" s="15">
        <f>IF(ISNUMBER(A600),TEXT(A600,"dd-mmm-yy"),"")</f>
        <v/>
      </c>
    </row>
    <row r="601">
      <c r="A601" s="14">
        <f>IF(OR(AH!$U$4=0,596+1&gt;AH!$U$6,AND(AH!$M$5="Bloomberg",AH!$U$5=0)),"",IFERROR(IF(AND(AH!$U$12=1,596+1=AH!$U$6),TODAY(),IF(AH!$U$5=1,INDEX('Live History'!$A$5:$A$3004,AH!$U$7+596),INDEX('AH History'!$A$5:$A$1380,AH!$U$7+596))),""))</f>
        <v/>
      </c>
      <c r="B601" s="33">
        <f>IFERROR(IF(AH!$U$11=1,NA(),$J601/$E601-1),NA())</f>
        <v/>
      </c>
      <c r="C601" s="269">
        <f>IFERROR(100*$E601/$E$5,NA())</f>
        <v/>
      </c>
      <c r="D601" s="269">
        <f>IFERROR(100*$J601/$J$5,NA())</f>
        <v/>
      </c>
      <c r="E601" s="32">
        <f>IFERROR(IF(AND(ISNUMBER($A601),N(IF(AND(AH!$U$12=1,596+1=AH!$U$6),IF(AH!$U$4=0,"unavailable",INDEX('Market Data'!$AN$5:$AN$66,AH!$U$4)),IF(AH!$U$5=1,INDEX('Live History'!$B$5:$B$3004,$K601),INDEX('AH History'!$D$5:$GG$1380,$K601,AH!$U$10))))&gt;0),IF(AND(AH!$U$12=1,596+1=AH!$U$6),IF(AH!$U$4=0,"unavailable",INDEX('Market Data'!$AN$5:$AN$66,AH!$U$4)),IF(AH!$U$5=1,INDEX('Live History'!$B$5:$B$3004,$K601),INDEX('AH History'!$D$5:$GG$1380,$K601,AH!$U$10))),NA()),NA())</f>
        <v/>
      </c>
      <c r="F601" s="32">
        <f>IFERROR(IF(ISNUMBER($A601),IF(AND(AH!$U$12=1,596+1=AH!$U$6),IF(AH!$U$4=0,"unavailable",INDEX('Market Data'!$AO$5:$AO$66,AH!$U$4)),IF(AH!$U$5=1,INDEX('Live History'!$E$5:$E$3004,MATCH($A601,'Live History'!$D$5:$D$3004,1)),INDEX('AH History'!$D$5:$GG$1380,$K601,AH!$U$10+1))),NA()),NA())</f>
        <v/>
      </c>
      <c r="G601" s="34">
        <f>IFERROR(IF(ISNUMBER($A601),IF(AND(AH!$U$12=1,596+1=AH!$U$6),IF(AH!$U$4=0,"unavailable",INDEX('Market Data'!$AK$5:$AK$66,AH!$U$4)),IF(AH!$U$5=1,INDEX('Live History'!$D$5:$D$3004,MATCH($A601,'Live History'!$D$5:$D$3004,1)),INDEX('AH History'!$D$5:$GG$1380,$K601,AH!$U$10+2))),NA()),NA())</f>
        <v/>
      </c>
      <c r="H601" s="266">
        <f>IFERROR(IF(ISNUMBER($A601),IF(AND(AH!$U$12=1,596+1=AH!$U$6),IF(AH!$U$4=0,"unavailable",INDEX('Market Data'!$AP$5:$AP$66,AH!$U$4)),IF(AH!$U$5=1,INDEX('Live History'!$H$5:$H$3004,MATCH($A601,'Live History'!$G$5:$G$3004,1)),INDEX('AH History'!$B$5:$B$1380,$K601))),NA()),NA())</f>
        <v/>
      </c>
      <c r="I601" s="34">
        <f>IFERROR(IF(ISNUMBER($A601),IF(AND(AH!$U$12=1,596+1=AH!$U$6),TODAY(),IF(AH!$U$5=1,INDEX('Live History'!$G$5:$G$3004,MATCH($A601,'Live History'!$G$5:$G$3004,1)),INDEX('AH History'!$C$5:$C$1380,$K601))),NA()),NA())</f>
        <v/>
      </c>
      <c r="J601" s="32">
        <f>IFERROR(IF(AND($F601&gt;0,$H601&gt;0,$A601-$G601&lt;=10,$A601-$I601&lt;=5,$G601&gt;0,$I601&gt;0),$F601*$H601,NA()),NA())</f>
        <v/>
      </c>
      <c r="K601" s="15">
        <f>IF($A601="","",IF(AH!$U$5=1,IFERROR(MATCH($A601,'Live History'!$A$5:$A$3004,0),0),AH!$U$7+596))</f>
        <v/>
      </c>
      <c r="L601" s="15">
        <f>IF(ISNUMBER(A601),TEXT(A601,"dd-mmm-yy"),"")</f>
        <v/>
      </c>
    </row>
    <row r="602">
      <c r="A602" s="14">
        <f>IF(OR(AH!$U$4=0,597+1&gt;AH!$U$6,AND(AH!$M$5="Bloomberg",AH!$U$5=0)),"",IFERROR(IF(AND(AH!$U$12=1,597+1=AH!$U$6),TODAY(),IF(AH!$U$5=1,INDEX('Live History'!$A$5:$A$3004,AH!$U$7+597),INDEX('AH History'!$A$5:$A$1380,AH!$U$7+597))),""))</f>
        <v/>
      </c>
      <c r="B602" s="33">
        <f>IFERROR(IF(AH!$U$11=1,NA(),$J602/$E602-1),NA())</f>
        <v/>
      </c>
      <c r="C602" s="269">
        <f>IFERROR(100*$E602/$E$5,NA())</f>
        <v/>
      </c>
      <c r="D602" s="269">
        <f>IFERROR(100*$J602/$J$5,NA())</f>
        <v/>
      </c>
      <c r="E602" s="32">
        <f>IFERROR(IF(AND(ISNUMBER($A602),N(IF(AND(AH!$U$12=1,597+1=AH!$U$6),IF(AH!$U$4=0,"unavailable",INDEX('Market Data'!$AN$5:$AN$66,AH!$U$4)),IF(AH!$U$5=1,INDEX('Live History'!$B$5:$B$3004,$K602),INDEX('AH History'!$D$5:$GG$1380,$K602,AH!$U$10))))&gt;0),IF(AND(AH!$U$12=1,597+1=AH!$U$6),IF(AH!$U$4=0,"unavailable",INDEX('Market Data'!$AN$5:$AN$66,AH!$U$4)),IF(AH!$U$5=1,INDEX('Live History'!$B$5:$B$3004,$K602),INDEX('AH History'!$D$5:$GG$1380,$K602,AH!$U$10))),NA()),NA())</f>
        <v/>
      </c>
      <c r="F602" s="32">
        <f>IFERROR(IF(ISNUMBER($A602),IF(AND(AH!$U$12=1,597+1=AH!$U$6),IF(AH!$U$4=0,"unavailable",INDEX('Market Data'!$AO$5:$AO$66,AH!$U$4)),IF(AH!$U$5=1,INDEX('Live History'!$E$5:$E$3004,MATCH($A602,'Live History'!$D$5:$D$3004,1)),INDEX('AH History'!$D$5:$GG$1380,$K602,AH!$U$10+1))),NA()),NA())</f>
        <v/>
      </c>
      <c r="G602" s="34">
        <f>IFERROR(IF(ISNUMBER($A602),IF(AND(AH!$U$12=1,597+1=AH!$U$6),IF(AH!$U$4=0,"unavailable",INDEX('Market Data'!$AK$5:$AK$66,AH!$U$4)),IF(AH!$U$5=1,INDEX('Live History'!$D$5:$D$3004,MATCH($A602,'Live History'!$D$5:$D$3004,1)),INDEX('AH History'!$D$5:$GG$1380,$K602,AH!$U$10+2))),NA()),NA())</f>
        <v/>
      </c>
      <c r="H602" s="266">
        <f>IFERROR(IF(ISNUMBER($A602),IF(AND(AH!$U$12=1,597+1=AH!$U$6),IF(AH!$U$4=0,"unavailable",INDEX('Market Data'!$AP$5:$AP$66,AH!$U$4)),IF(AH!$U$5=1,INDEX('Live History'!$H$5:$H$3004,MATCH($A602,'Live History'!$G$5:$G$3004,1)),INDEX('AH History'!$B$5:$B$1380,$K602))),NA()),NA())</f>
        <v/>
      </c>
      <c r="I602" s="34">
        <f>IFERROR(IF(ISNUMBER($A602),IF(AND(AH!$U$12=1,597+1=AH!$U$6),TODAY(),IF(AH!$U$5=1,INDEX('Live History'!$G$5:$G$3004,MATCH($A602,'Live History'!$G$5:$G$3004,1)),INDEX('AH History'!$C$5:$C$1380,$K602))),NA()),NA())</f>
        <v/>
      </c>
      <c r="J602" s="32">
        <f>IFERROR(IF(AND($F602&gt;0,$H602&gt;0,$A602-$G602&lt;=10,$A602-$I602&lt;=5,$G602&gt;0,$I602&gt;0),$F602*$H602,NA()),NA())</f>
        <v/>
      </c>
      <c r="K602" s="15">
        <f>IF($A602="","",IF(AH!$U$5=1,IFERROR(MATCH($A602,'Live History'!$A$5:$A$3004,0),0),AH!$U$7+597))</f>
        <v/>
      </c>
      <c r="L602" s="15">
        <f>IF(ISNUMBER(A602),TEXT(A602,"dd-mmm-yy"),"")</f>
        <v/>
      </c>
    </row>
    <row r="603">
      <c r="A603" s="14">
        <f>IF(OR(AH!$U$4=0,598+1&gt;AH!$U$6,AND(AH!$M$5="Bloomberg",AH!$U$5=0)),"",IFERROR(IF(AND(AH!$U$12=1,598+1=AH!$U$6),TODAY(),IF(AH!$U$5=1,INDEX('Live History'!$A$5:$A$3004,AH!$U$7+598),INDEX('AH History'!$A$5:$A$1380,AH!$U$7+598))),""))</f>
        <v/>
      </c>
      <c r="B603" s="33">
        <f>IFERROR(IF(AH!$U$11=1,NA(),$J603/$E603-1),NA())</f>
        <v/>
      </c>
      <c r="C603" s="269">
        <f>IFERROR(100*$E603/$E$5,NA())</f>
        <v/>
      </c>
      <c r="D603" s="269">
        <f>IFERROR(100*$J603/$J$5,NA())</f>
        <v/>
      </c>
      <c r="E603" s="32">
        <f>IFERROR(IF(AND(ISNUMBER($A603),N(IF(AND(AH!$U$12=1,598+1=AH!$U$6),IF(AH!$U$4=0,"unavailable",INDEX('Market Data'!$AN$5:$AN$66,AH!$U$4)),IF(AH!$U$5=1,INDEX('Live History'!$B$5:$B$3004,$K603),INDEX('AH History'!$D$5:$GG$1380,$K603,AH!$U$10))))&gt;0),IF(AND(AH!$U$12=1,598+1=AH!$U$6),IF(AH!$U$4=0,"unavailable",INDEX('Market Data'!$AN$5:$AN$66,AH!$U$4)),IF(AH!$U$5=1,INDEX('Live History'!$B$5:$B$3004,$K603),INDEX('AH History'!$D$5:$GG$1380,$K603,AH!$U$10))),NA()),NA())</f>
        <v/>
      </c>
      <c r="F603" s="32">
        <f>IFERROR(IF(ISNUMBER($A603),IF(AND(AH!$U$12=1,598+1=AH!$U$6),IF(AH!$U$4=0,"unavailable",INDEX('Market Data'!$AO$5:$AO$66,AH!$U$4)),IF(AH!$U$5=1,INDEX('Live History'!$E$5:$E$3004,MATCH($A603,'Live History'!$D$5:$D$3004,1)),INDEX('AH History'!$D$5:$GG$1380,$K603,AH!$U$10+1))),NA()),NA())</f>
        <v/>
      </c>
      <c r="G603" s="34">
        <f>IFERROR(IF(ISNUMBER($A603),IF(AND(AH!$U$12=1,598+1=AH!$U$6),IF(AH!$U$4=0,"unavailable",INDEX('Market Data'!$AK$5:$AK$66,AH!$U$4)),IF(AH!$U$5=1,INDEX('Live History'!$D$5:$D$3004,MATCH($A603,'Live History'!$D$5:$D$3004,1)),INDEX('AH History'!$D$5:$GG$1380,$K603,AH!$U$10+2))),NA()),NA())</f>
        <v/>
      </c>
      <c r="H603" s="266">
        <f>IFERROR(IF(ISNUMBER($A603),IF(AND(AH!$U$12=1,598+1=AH!$U$6),IF(AH!$U$4=0,"unavailable",INDEX('Market Data'!$AP$5:$AP$66,AH!$U$4)),IF(AH!$U$5=1,INDEX('Live History'!$H$5:$H$3004,MATCH($A603,'Live History'!$G$5:$G$3004,1)),INDEX('AH History'!$B$5:$B$1380,$K603))),NA()),NA())</f>
        <v/>
      </c>
      <c r="I603" s="34">
        <f>IFERROR(IF(ISNUMBER($A603),IF(AND(AH!$U$12=1,598+1=AH!$U$6),TODAY(),IF(AH!$U$5=1,INDEX('Live History'!$G$5:$G$3004,MATCH($A603,'Live History'!$G$5:$G$3004,1)),INDEX('AH History'!$C$5:$C$1380,$K603))),NA()),NA())</f>
        <v/>
      </c>
      <c r="J603" s="32">
        <f>IFERROR(IF(AND($F603&gt;0,$H603&gt;0,$A603-$G603&lt;=10,$A603-$I603&lt;=5,$G603&gt;0,$I603&gt;0),$F603*$H603,NA()),NA())</f>
        <v/>
      </c>
      <c r="K603" s="15">
        <f>IF($A603="","",IF(AH!$U$5=1,IFERROR(MATCH($A603,'Live History'!$A$5:$A$3004,0),0),AH!$U$7+598))</f>
        <v/>
      </c>
      <c r="L603" s="15">
        <f>IF(ISNUMBER(A603),TEXT(A603,"dd-mmm-yy"),"")</f>
        <v/>
      </c>
    </row>
    <row r="604">
      <c r="A604" s="14">
        <f>IF(OR(AH!$U$4=0,599+1&gt;AH!$U$6,AND(AH!$M$5="Bloomberg",AH!$U$5=0)),"",IFERROR(IF(AND(AH!$U$12=1,599+1=AH!$U$6),TODAY(),IF(AH!$U$5=1,INDEX('Live History'!$A$5:$A$3004,AH!$U$7+599),INDEX('AH History'!$A$5:$A$1380,AH!$U$7+599))),""))</f>
        <v/>
      </c>
      <c r="B604" s="33">
        <f>IFERROR(IF(AH!$U$11=1,NA(),$J604/$E604-1),NA())</f>
        <v/>
      </c>
      <c r="C604" s="269">
        <f>IFERROR(100*$E604/$E$5,NA())</f>
        <v/>
      </c>
      <c r="D604" s="269">
        <f>IFERROR(100*$J604/$J$5,NA())</f>
        <v/>
      </c>
      <c r="E604" s="32">
        <f>IFERROR(IF(AND(ISNUMBER($A604),N(IF(AND(AH!$U$12=1,599+1=AH!$U$6),IF(AH!$U$4=0,"unavailable",INDEX('Market Data'!$AN$5:$AN$66,AH!$U$4)),IF(AH!$U$5=1,INDEX('Live History'!$B$5:$B$3004,$K604),INDEX('AH History'!$D$5:$GG$1380,$K604,AH!$U$10))))&gt;0),IF(AND(AH!$U$12=1,599+1=AH!$U$6),IF(AH!$U$4=0,"unavailable",INDEX('Market Data'!$AN$5:$AN$66,AH!$U$4)),IF(AH!$U$5=1,INDEX('Live History'!$B$5:$B$3004,$K604),INDEX('AH History'!$D$5:$GG$1380,$K604,AH!$U$10))),NA()),NA())</f>
        <v/>
      </c>
      <c r="F604" s="32">
        <f>IFERROR(IF(ISNUMBER($A604),IF(AND(AH!$U$12=1,599+1=AH!$U$6),IF(AH!$U$4=0,"unavailable",INDEX('Market Data'!$AO$5:$AO$66,AH!$U$4)),IF(AH!$U$5=1,INDEX('Live History'!$E$5:$E$3004,MATCH($A604,'Live History'!$D$5:$D$3004,1)),INDEX('AH History'!$D$5:$GG$1380,$K604,AH!$U$10+1))),NA()),NA())</f>
        <v/>
      </c>
      <c r="G604" s="34">
        <f>IFERROR(IF(ISNUMBER($A604),IF(AND(AH!$U$12=1,599+1=AH!$U$6),IF(AH!$U$4=0,"unavailable",INDEX('Market Data'!$AK$5:$AK$66,AH!$U$4)),IF(AH!$U$5=1,INDEX('Live History'!$D$5:$D$3004,MATCH($A604,'Live History'!$D$5:$D$3004,1)),INDEX('AH History'!$D$5:$GG$1380,$K604,AH!$U$10+2))),NA()),NA())</f>
        <v/>
      </c>
      <c r="H604" s="266">
        <f>IFERROR(IF(ISNUMBER($A604),IF(AND(AH!$U$12=1,599+1=AH!$U$6),IF(AH!$U$4=0,"unavailable",INDEX('Market Data'!$AP$5:$AP$66,AH!$U$4)),IF(AH!$U$5=1,INDEX('Live History'!$H$5:$H$3004,MATCH($A604,'Live History'!$G$5:$G$3004,1)),INDEX('AH History'!$B$5:$B$1380,$K604))),NA()),NA())</f>
        <v/>
      </c>
      <c r="I604" s="34">
        <f>IFERROR(IF(ISNUMBER($A604),IF(AND(AH!$U$12=1,599+1=AH!$U$6),TODAY(),IF(AH!$U$5=1,INDEX('Live History'!$G$5:$G$3004,MATCH($A604,'Live History'!$G$5:$G$3004,1)),INDEX('AH History'!$C$5:$C$1380,$K604))),NA()),NA())</f>
        <v/>
      </c>
      <c r="J604" s="32">
        <f>IFERROR(IF(AND($F604&gt;0,$H604&gt;0,$A604-$G604&lt;=10,$A604-$I604&lt;=5,$G604&gt;0,$I604&gt;0),$F604*$H604,NA()),NA())</f>
        <v/>
      </c>
      <c r="K604" s="15">
        <f>IF($A604="","",IF(AH!$U$5=1,IFERROR(MATCH($A604,'Live History'!$A$5:$A$3004,0),0),AH!$U$7+599))</f>
        <v/>
      </c>
      <c r="L604" s="15">
        <f>IF(ISNUMBER(A604),TEXT(A604,"dd-mmm-yy"),"")</f>
        <v/>
      </c>
    </row>
    <row r="605">
      <c r="A605" s="14">
        <f>IF(OR(AH!$U$4=0,600+1&gt;AH!$U$6,AND(AH!$M$5="Bloomberg",AH!$U$5=0)),"",IFERROR(IF(AND(AH!$U$12=1,600+1=AH!$U$6),TODAY(),IF(AH!$U$5=1,INDEX('Live History'!$A$5:$A$3004,AH!$U$7+600),INDEX('AH History'!$A$5:$A$1380,AH!$U$7+600))),""))</f>
        <v/>
      </c>
      <c r="B605" s="33">
        <f>IFERROR(IF(AH!$U$11=1,NA(),$J605/$E605-1),NA())</f>
        <v/>
      </c>
      <c r="C605" s="269">
        <f>IFERROR(100*$E605/$E$5,NA())</f>
        <v/>
      </c>
      <c r="D605" s="269">
        <f>IFERROR(100*$J605/$J$5,NA())</f>
        <v/>
      </c>
      <c r="E605" s="32">
        <f>IFERROR(IF(AND(ISNUMBER($A605),N(IF(AND(AH!$U$12=1,600+1=AH!$U$6),IF(AH!$U$4=0,"unavailable",INDEX('Market Data'!$AN$5:$AN$66,AH!$U$4)),IF(AH!$U$5=1,INDEX('Live History'!$B$5:$B$3004,$K605),INDEX('AH History'!$D$5:$GG$1380,$K605,AH!$U$10))))&gt;0),IF(AND(AH!$U$12=1,600+1=AH!$U$6),IF(AH!$U$4=0,"unavailable",INDEX('Market Data'!$AN$5:$AN$66,AH!$U$4)),IF(AH!$U$5=1,INDEX('Live History'!$B$5:$B$3004,$K605),INDEX('AH History'!$D$5:$GG$1380,$K605,AH!$U$10))),NA()),NA())</f>
        <v/>
      </c>
      <c r="F605" s="32">
        <f>IFERROR(IF(ISNUMBER($A605),IF(AND(AH!$U$12=1,600+1=AH!$U$6),IF(AH!$U$4=0,"unavailable",INDEX('Market Data'!$AO$5:$AO$66,AH!$U$4)),IF(AH!$U$5=1,INDEX('Live History'!$E$5:$E$3004,MATCH($A605,'Live History'!$D$5:$D$3004,1)),INDEX('AH History'!$D$5:$GG$1380,$K605,AH!$U$10+1))),NA()),NA())</f>
        <v/>
      </c>
      <c r="G605" s="34">
        <f>IFERROR(IF(ISNUMBER($A605),IF(AND(AH!$U$12=1,600+1=AH!$U$6),IF(AH!$U$4=0,"unavailable",INDEX('Market Data'!$AK$5:$AK$66,AH!$U$4)),IF(AH!$U$5=1,INDEX('Live History'!$D$5:$D$3004,MATCH($A605,'Live History'!$D$5:$D$3004,1)),INDEX('AH History'!$D$5:$GG$1380,$K605,AH!$U$10+2))),NA()),NA())</f>
        <v/>
      </c>
      <c r="H605" s="266">
        <f>IFERROR(IF(ISNUMBER($A605),IF(AND(AH!$U$12=1,600+1=AH!$U$6),IF(AH!$U$4=0,"unavailable",INDEX('Market Data'!$AP$5:$AP$66,AH!$U$4)),IF(AH!$U$5=1,INDEX('Live History'!$H$5:$H$3004,MATCH($A605,'Live History'!$G$5:$G$3004,1)),INDEX('AH History'!$B$5:$B$1380,$K605))),NA()),NA())</f>
        <v/>
      </c>
      <c r="I605" s="34">
        <f>IFERROR(IF(ISNUMBER($A605),IF(AND(AH!$U$12=1,600+1=AH!$U$6),TODAY(),IF(AH!$U$5=1,INDEX('Live History'!$G$5:$G$3004,MATCH($A605,'Live History'!$G$5:$G$3004,1)),INDEX('AH History'!$C$5:$C$1380,$K605))),NA()),NA())</f>
        <v/>
      </c>
      <c r="J605" s="32">
        <f>IFERROR(IF(AND($F605&gt;0,$H605&gt;0,$A605-$G605&lt;=10,$A605-$I605&lt;=5,$G605&gt;0,$I605&gt;0),$F605*$H605,NA()),NA())</f>
        <v/>
      </c>
      <c r="K605" s="15">
        <f>IF($A605="","",IF(AH!$U$5=1,IFERROR(MATCH($A605,'Live History'!$A$5:$A$3004,0),0),AH!$U$7+600))</f>
        <v/>
      </c>
      <c r="L605" s="15">
        <f>IF(ISNUMBER(A605),TEXT(A605,"dd-mmm-yy"),"")</f>
        <v/>
      </c>
    </row>
    <row r="606">
      <c r="A606" s="14">
        <f>IF(OR(AH!$U$4=0,601+1&gt;AH!$U$6,AND(AH!$M$5="Bloomberg",AH!$U$5=0)),"",IFERROR(IF(AND(AH!$U$12=1,601+1=AH!$U$6),TODAY(),IF(AH!$U$5=1,INDEX('Live History'!$A$5:$A$3004,AH!$U$7+601),INDEX('AH History'!$A$5:$A$1380,AH!$U$7+601))),""))</f>
        <v/>
      </c>
      <c r="B606" s="33">
        <f>IFERROR(IF(AH!$U$11=1,NA(),$J606/$E606-1),NA())</f>
        <v/>
      </c>
      <c r="C606" s="269">
        <f>IFERROR(100*$E606/$E$5,NA())</f>
        <v/>
      </c>
      <c r="D606" s="269">
        <f>IFERROR(100*$J606/$J$5,NA())</f>
        <v/>
      </c>
      <c r="E606" s="32">
        <f>IFERROR(IF(AND(ISNUMBER($A606),N(IF(AND(AH!$U$12=1,601+1=AH!$U$6),IF(AH!$U$4=0,"unavailable",INDEX('Market Data'!$AN$5:$AN$66,AH!$U$4)),IF(AH!$U$5=1,INDEX('Live History'!$B$5:$B$3004,$K606),INDEX('AH History'!$D$5:$GG$1380,$K606,AH!$U$10))))&gt;0),IF(AND(AH!$U$12=1,601+1=AH!$U$6),IF(AH!$U$4=0,"unavailable",INDEX('Market Data'!$AN$5:$AN$66,AH!$U$4)),IF(AH!$U$5=1,INDEX('Live History'!$B$5:$B$3004,$K606),INDEX('AH History'!$D$5:$GG$1380,$K606,AH!$U$10))),NA()),NA())</f>
        <v/>
      </c>
      <c r="F606" s="32">
        <f>IFERROR(IF(ISNUMBER($A606),IF(AND(AH!$U$12=1,601+1=AH!$U$6),IF(AH!$U$4=0,"unavailable",INDEX('Market Data'!$AO$5:$AO$66,AH!$U$4)),IF(AH!$U$5=1,INDEX('Live History'!$E$5:$E$3004,MATCH($A606,'Live History'!$D$5:$D$3004,1)),INDEX('AH History'!$D$5:$GG$1380,$K606,AH!$U$10+1))),NA()),NA())</f>
        <v/>
      </c>
      <c r="G606" s="34">
        <f>IFERROR(IF(ISNUMBER($A606),IF(AND(AH!$U$12=1,601+1=AH!$U$6),IF(AH!$U$4=0,"unavailable",INDEX('Market Data'!$AK$5:$AK$66,AH!$U$4)),IF(AH!$U$5=1,INDEX('Live History'!$D$5:$D$3004,MATCH($A606,'Live History'!$D$5:$D$3004,1)),INDEX('AH History'!$D$5:$GG$1380,$K606,AH!$U$10+2))),NA()),NA())</f>
        <v/>
      </c>
      <c r="H606" s="266">
        <f>IFERROR(IF(ISNUMBER($A606),IF(AND(AH!$U$12=1,601+1=AH!$U$6),IF(AH!$U$4=0,"unavailable",INDEX('Market Data'!$AP$5:$AP$66,AH!$U$4)),IF(AH!$U$5=1,INDEX('Live History'!$H$5:$H$3004,MATCH($A606,'Live History'!$G$5:$G$3004,1)),INDEX('AH History'!$B$5:$B$1380,$K606))),NA()),NA())</f>
        <v/>
      </c>
      <c r="I606" s="34">
        <f>IFERROR(IF(ISNUMBER($A606),IF(AND(AH!$U$12=1,601+1=AH!$U$6),TODAY(),IF(AH!$U$5=1,INDEX('Live History'!$G$5:$G$3004,MATCH($A606,'Live History'!$G$5:$G$3004,1)),INDEX('AH History'!$C$5:$C$1380,$K606))),NA()),NA())</f>
        <v/>
      </c>
      <c r="J606" s="32">
        <f>IFERROR(IF(AND($F606&gt;0,$H606&gt;0,$A606-$G606&lt;=10,$A606-$I606&lt;=5,$G606&gt;0,$I606&gt;0),$F606*$H606,NA()),NA())</f>
        <v/>
      </c>
      <c r="K606" s="15">
        <f>IF($A606="","",IF(AH!$U$5=1,IFERROR(MATCH($A606,'Live History'!$A$5:$A$3004,0),0),AH!$U$7+601))</f>
        <v/>
      </c>
      <c r="L606" s="15">
        <f>IF(ISNUMBER(A606),TEXT(A606,"dd-mmm-yy"),"")</f>
        <v/>
      </c>
    </row>
    <row r="607">
      <c r="A607" s="14">
        <f>IF(OR(AH!$U$4=0,602+1&gt;AH!$U$6,AND(AH!$M$5="Bloomberg",AH!$U$5=0)),"",IFERROR(IF(AND(AH!$U$12=1,602+1=AH!$U$6),TODAY(),IF(AH!$U$5=1,INDEX('Live History'!$A$5:$A$3004,AH!$U$7+602),INDEX('AH History'!$A$5:$A$1380,AH!$U$7+602))),""))</f>
        <v/>
      </c>
      <c r="B607" s="33">
        <f>IFERROR(IF(AH!$U$11=1,NA(),$J607/$E607-1),NA())</f>
        <v/>
      </c>
      <c r="C607" s="269">
        <f>IFERROR(100*$E607/$E$5,NA())</f>
        <v/>
      </c>
      <c r="D607" s="269">
        <f>IFERROR(100*$J607/$J$5,NA())</f>
        <v/>
      </c>
      <c r="E607" s="32">
        <f>IFERROR(IF(AND(ISNUMBER($A607),N(IF(AND(AH!$U$12=1,602+1=AH!$U$6),IF(AH!$U$4=0,"unavailable",INDEX('Market Data'!$AN$5:$AN$66,AH!$U$4)),IF(AH!$U$5=1,INDEX('Live History'!$B$5:$B$3004,$K607),INDEX('AH History'!$D$5:$GG$1380,$K607,AH!$U$10))))&gt;0),IF(AND(AH!$U$12=1,602+1=AH!$U$6),IF(AH!$U$4=0,"unavailable",INDEX('Market Data'!$AN$5:$AN$66,AH!$U$4)),IF(AH!$U$5=1,INDEX('Live History'!$B$5:$B$3004,$K607),INDEX('AH History'!$D$5:$GG$1380,$K607,AH!$U$10))),NA()),NA())</f>
        <v/>
      </c>
      <c r="F607" s="32">
        <f>IFERROR(IF(ISNUMBER($A607),IF(AND(AH!$U$12=1,602+1=AH!$U$6),IF(AH!$U$4=0,"unavailable",INDEX('Market Data'!$AO$5:$AO$66,AH!$U$4)),IF(AH!$U$5=1,INDEX('Live History'!$E$5:$E$3004,MATCH($A607,'Live History'!$D$5:$D$3004,1)),INDEX('AH History'!$D$5:$GG$1380,$K607,AH!$U$10+1))),NA()),NA())</f>
        <v/>
      </c>
      <c r="G607" s="34">
        <f>IFERROR(IF(ISNUMBER($A607),IF(AND(AH!$U$12=1,602+1=AH!$U$6),IF(AH!$U$4=0,"unavailable",INDEX('Market Data'!$AK$5:$AK$66,AH!$U$4)),IF(AH!$U$5=1,INDEX('Live History'!$D$5:$D$3004,MATCH($A607,'Live History'!$D$5:$D$3004,1)),INDEX('AH History'!$D$5:$GG$1380,$K607,AH!$U$10+2))),NA()),NA())</f>
        <v/>
      </c>
      <c r="H607" s="266">
        <f>IFERROR(IF(ISNUMBER($A607),IF(AND(AH!$U$12=1,602+1=AH!$U$6),IF(AH!$U$4=0,"unavailable",INDEX('Market Data'!$AP$5:$AP$66,AH!$U$4)),IF(AH!$U$5=1,INDEX('Live History'!$H$5:$H$3004,MATCH($A607,'Live History'!$G$5:$G$3004,1)),INDEX('AH History'!$B$5:$B$1380,$K607))),NA()),NA())</f>
        <v/>
      </c>
      <c r="I607" s="34">
        <f>IFERROR(IF(ISNUMBER($A607),IF(AND(AH!$U$12=1,602+1=AH!$U$6),TODAY(),IF(AH!$U$5=1,INDEX('Live History'!$G$5:$G$3004,MATCH($A607,'Live History'!$G$5:$G$3004,1)),INDEX('AH History'!$C$5:$C$1380,$K607))),NA()),NA())</f>
        <v/>
      </c>
      <c r="J607" s="32">
        <f>IFERROR(IF(AND($F607&gt;0,$H607&gt;0,$A607-$G607&lt;=10,$A607-$I607&lt;=5,$G607&gt;0,$I607&gt;0),$F607*$H607,NA()),NA())</f>
        <v/>
      </c>
      <c r="K607" s="15">
        <f>IF($A607="","",IF(AH!$U$5=1,IFERROR(MATCH($A607,'Live History'!$A$5:$A$3004,0),0),AH!$U$7+602))</f>
        <v/>
      </c>
      <c r="L607" s="15">
        <f>IF(ISNUMBER(A607),TEXT(A607,"dd-mmm-yy"),"")</f>
        <v/>
      </c>
    </row>
    <row r="608">
      <c r="A608" s="14">
        <f>IF(OR(AH!$U$4=0,603+1&gt;AH!$U$6,AND(AH!$M$5="Bloomberg",AH!$U$5=0)),"",IFERROR(IF(AND(AH!$U$12=1,603+1=AH!$U$6),TODAY(),IF(AH!$U$5=1,INDEX('Live History'!$A$5:$A$3004,AH!$U$7+603),INDEX('AH History'!$A$5:$A$1380,AH!$U$7+603))),""))</f>
        <v/>
      </c>
      <c r="B608" s="33">
        <f>IFERROR(IF(AH!$U$11=1,NA(),$J608/$E608-1),NA())</f>
        <v/>
      </c>
      <c r="C608" s="269">
        <f>IFERROR(100*$E608/$E$5,NA())</f>
        <v/>
      </c>
      <c r="D608" s="269">
        <f>IFERROR(100*$J608/$J$5,NA())</f>
        <v/>
      </c>
      <c r="E608" s="32">
        <f>IFERROR(IF(AND(ISNUMBER($A608),N(IF(AND(AH!$U$12=1,603+1=AH!$U$6),IF(AH!$U$4=0,"unavailable",INDEX('Market Data'!$AN$5:$AN$66,AH!$U$4)),IF(AH!$U$5=1,INDEX('Live History'!$B$5:$B$3004,$K608),INDEX('AH History'!$D$5:$GG$1380,$K608,AH!$U$10))))&gt;0),IF(AND(AH!$U$12=1,603+1=AH!$U$6),IF(AH!$U$4=0,"unavailable",INDEX('Market Data'!$AN$5:$AN$66,AH!$U$4)),IF(AH!$U$5=1,INDEX('Live History'!$B$5:$B$3004,$K608),INDEX('AH History'!$D$5:$GG$1380,$K608,AH!$U$10))),NA()),NA())</f>
        <v/>
      </c>
      <c r="F608" s="32">
        <f>IFERROR(IF(ISNUMBER($A608),IF(AND(AH!$U$12=1,603+1=AH!$U$6),IF(AH!$U$4=0,"unavailable",INDEX('Market Data'!$AO$5:$AO$66,AH!$U$4)),IF(AH!$U$5=1,INDEX('Live History'!$E$5:$E$3004,MATCH($A608,'Live History'!$D$5:$D$3004,1)),INDEX('AH History'!$D$5:$GG$1380,$K608,AH!$U$10+1))),NA()),NA())</f>
        <v/>
      </c>
      <c r="G608" s="34">
        <f>IFERROR(IF(ISNUMBER($A608),IF(AND(AH!$U$12=1,603+1=AH!$U$6),IF(AH!$U$4=0,"unavailable",INDEX('Market Data'!$AK$5:$AK$66,AH!$U$4)),IF(AH!$U$5=1,INDEX('Live History'!$D$5:$D$3004,MATCH($A608,'Live History'!$D$5:$D$3004,1)),INDEX('AH History'!$D$5:$GG$1380,$K608,AH!$U$10+2))),NA()),NA())</f>
        <v/>
      </c>
      <c r="H608" s="266">
        <f>IFERROR(IF(ISNUMBER($A608),IF(AND(AH!$U$12=1,603+1=AH!$U$6),IF(AH!$U$4=0,"unavailable",INDEX('Market Data'!$AP$5:$AP$66,AH!$U$4)),IF(AH!$U$5=1,INDEX('Live History'!$H$5:$H$3004,MATCH($A608,'Live History'!$G$5:$G$3004,1)),INDEX('AH History'!$B$5:$B$1380,$K608))),NA()),NA())</f>
        <v/>
      </c>
      <c r="I608" s="34">
        <f>IFERROR(IF(ISNUMBER($A608),IF(AND(AH!$U$12=1,603+1=AH!$U$6),TODAY(),IF(AH!$U$5=1,INDEX('Live History'!$G$5:$G$3004,MATCH($A608,'Live History'!$G$5:$G$3004,1)),INDEX('AH History'!$C$5:$C$1380,$K608))),NA()),NA())</f>
        <v/>
      </c>
      <c r="J608" s="32">
        <f>IFERROR(IF(AND($F608&gt;0,$H608&gt;0,$A608-$G608&lt;=10,$A608-$I608&lt;=5,$G608&gt;0,$I608&gt;0),$F608*$H608,NA()),NA())</f>
        <v/>
      </c>
      <c r="K608" s="15">
        <f>IF($A608="","",IF(AH!$U$5=1,IFERROR(MATCH($A608,'Live History'!$A$5:$A$3004,0),0),AH!$U$7+603))</f>
        <v/>
      </c>
      <c r="L608" s="15">
        <f>IF(ISNUMBER(A608),TEXT(A608,"dd-mmm-yy"),"")</f>
        <v/>
      </c>
    </row>
    <row r="609">
      <c r="A609" s="14">
        <f>IF(OR(AH!$U$4=0,604+1&gt;AH!$U$6,AND(AH!$M$5="Bloomberg",AH!$U$5=0)),"",IFERROR(IF(AND(AH!$U$12=1,604+1=AH!$U$6),TODAY(),IF(AH!$U$5=1,INDEX('Live History'!$A$5:$A$3004,AH!$U$7+604),INDEX('AH History'!$A$5:$A$1380,AH!$U$7+604))),""))</f>
        <v/>
      </c>
      <c r="B609" s="33">
        <f>IFERROR(IF(AH!$U$11=1,NA(),$J609/$E609-1),NA())</f>
        <v/>
      </c>
      <c r="C609" s="269">
        <f>IFERROR(100*$E609/$E$5,NA())</f>
        <v/>
      </c>
      <c r="D609" s="269">
        <f>IFERROR(100*$J609/$J$5,NA())</f>
        <v/>
      </c>
      <c r="E609" s="32">
        <f>IFERROR(IF(AND(ISNUMBER($A609),N(IF(AND(AH!$U$12=1,604+1=AH!$U$6),IF(AH!$U$4=0,"unavailable",INDEX('Market Data'!$AN$5:$AN$66,AH!$U$4)),IF(AH!$U$5=1,INDEX('Live History'!$B$5:$B$3004,$K609),INDEX('AH History'!$D$5:$GG$1380,$K609,AH!$U$10))))&gt;0),IF(AND(AH!$U$12=1,604+1=AH!$U$6),IF(AH!$U$4=0,"unavailable",INDEX('Market Data'!$AN$5:$AN$66,AH!$U$4)),IF(AH!$U$5=1,INDEX('Live History'!$B$5:$B$3004,$K609),INDEX('AH History'!$D$5:$GG$1380,$K609,AH!$U$10))),NA()),NA())</f>
        <v/>
      </c>
      <c r="F609" s="32">
        <f>IFERROR(IF(ISNUMBER($A609),IF(AND(AH!$U$12=1,604+1=AH!$U$6),IF(AH!$U$4=0,"unavailable",INDEX('Market Data'!$AO$5:$AO$66,AH!$U$4)),IF(AH!$U$5=1,INDEX('Live History'!$E$5:$E$3004,MATCH($A609,'Live History'!$D$5:$D$3004,1)),INDEX('AH History'!$D$5:$GG$1380,$K609,AH!$U$10+1))),NA()),NA())</f>
        <v/>
      </c>
      <c r="G609" s="34">
        <f>IFERROR(IF(ISNUMBER($A609),IF(AND(AH!$U$12=1,604+1=AH!$U$6),IF(AH!$U$4=0,"unavailable",INDEX('Market Data'!$AK$5:$AK$66,AH!$U$4)),IF(AH!$U$5=1,INDEX('Live History'!$D$5:$D$3004,MATCH($A609,'Live History'!$D$5:$D$3004,1)),INDEX('AH History'!$D$5:$GG$1380,$K609,AH!$U$10+2))),NA()),NA())</f>
        <v/>
      </c>
      <c r="H609" s="266">
        <f>IFERROR(IF(ISNUMBER($A609),IF(AND(AH!$U$12=1,604+1=AH!$U$6),IF(AH!$U$4=0,"unavailable",INDEX('Market Data'!$AP$5:$AP$66,AH!$U$4)),IF(AH!$U$5=1,INDEX('Live History'!$H$5:$H$3004,MATCH($A609,'Live History'!$G$5:$G$3004,1)),INDEX('AH History'!$B$5:$B$1380,$K609))),NA()),NA())</f>
        <v/>
      </c>
      <c r="I609" s="34">
        <f>IFERROR(IF(ISNUMBER($A609),IF(AND(AH!$U$12=1,604+1=AH!$U$6),TODAY(),IF(AH!$U$5=1,INDEX('Live History'!$G$5:$G$3004,MATCH($A609,'Live History'!$G$5:$G$3004,1)),INDEX('AH History'!$C$5:$C$1380,$K609))),NA()),NA())</f>
        <v/>
      </c>
      <c r="J609" s="32">
        <f>IFERROR(IF(AND($F609&gt;0,$H609&gt;0,$A609-$G609&lt;=10,$A609-$I609&lt;=5,$G609&gt;0,$I609&gt;0),$F609*$H609,NA()),NA())</f>
        <v/>
      </c>
      <c r="K609" s="15">
        <f>IF($A609="","",IF(AH!$U$5=1,IFERROR(MATCH($A609,'Live History'!$A$5:$A$3004,0),0),AH!$U$7+604))</f>
        <v/>
      </c>
      <c r="L609" s="15">
        <f>IF(ISNUMBER(A609),TEXT(A609,"dd-mmm-yy"),"")</f>
        <v/>
      </c>
    </row>
    <row r="610">
      <c r="A610" s="14">
        <f>IF(OR(AH!$U$4=0,605+1&gt;AH!$U$6,AND(AH!$M$5="Bloomberg",AH!$U$5=0)),"",IFERROR(IF(AND(AH!$U$12=1,605+1=AH!$U$6),TODAY(),IF(AH!$U$5=1,INDEX('Live History'!$A$5:$A$3004,AH!$U$7+605),INDEX('AH History'!$A$5:$A$1380,AH!$U$7+605))),""))</f>
        <v/>
      </c>
      <c r="B610" s="33">
        <f>IFERROR(IF(AH!$U$11=1,NA(),$J610/$E610-1),NA())</f>
        <v/>
      </c>
      <c r="C610" s="269">
        <f>IFERROR(100*$E610/$E$5,NA())</f>
        <v/>
      </c>
      <c r="D610" s="269">
        <f>IFERROR(100*$J610/$J$5,NA())</f>
        <v/>
      </c>
      <c r="E610" s="32">
        <f>IFERROR(IF(AND(ISNUMBER($A610),N(IF(AND(AH!$U$12=1,605+1=AH!$U$6),IF(AH!$U$4=0,"unavailable",INDEX('Market Data'!$AN$5:$AN$66,AH!$U$4)),IF(AH!$U$5=1,INDEX('Live History'!$B$5:$B$3004,$K610),INDEX('AH History'!$D$5:$GG$1380,$K610,AH!$U$10))))&gt;0),IF(AND(AH!$U$12=1,605+1=AH!$U$6),IF(AH!$U$4=0,"unavailable",INDEX('Market Data'!$AN$5:$AN$66,AH!$U$4)),IF(AH!$U$5=1,INDEX('Live History'!$B$5:$B$3004,$K610),INDEX('AH History'!$D$5:$GG$1380,$K610,AH!$U$10))),NA()),NA())</f>
        <v/>
      </c>
      <c r="F610" s="32">
        <f>IFERROR(IF(ISNUMBER($A610),IF(AND(AH!$U$12=1,605+1=AH!$U$6),IF(AH!$U$4=0,"unavailable",INDEX('Market Data'!$AO$5:$AO$66,AH!$U$4)),IF(AH!$U$5=1,INDEX('Live History'!$E$5:$E$3004,MATCH($A610,'Live History'!$D$5:$D$3004,1)),INDEX('AH History'!$D$5:$GG$1380,$K610,AH!$U$10+1))),NA()),NA())</f>
        <v/>
      </c>
      <c r="G610" s="34">
        <f>IFERROR(IF(ISNUMBER($A610),IF(AND(AH!$U$12=1,605+1=AH!$U$6),IF(AH!$U$4=0,"unavailable",INDEX('Market Data'!$AK$5:$AK$66,AH!$U$4)),IF(AH!$U$5=1,INDEX('Live History'!$D$5:$D$3004,MATCH($A610,'Live History'!$D$5:$D$3004,1)),INDEX('AH History'!$D$5:$GG$1380,$K610,AH!$U$10+2))),NA()),NA())</f>
        <v/>
      </c>
      <c r="H610" s="266">
        <f>IFERROR(IF(ISNUMBER($A610),IF(AND(AH!$U$12=1,605+1=AH!$U$6),IF(AH!$U$4=0,"unavailable",INDEX('Market Data'!$AP$5:$AP$66,AH!$U$4)),IF(AH!$U$5=1,INDEX('Live History'!$H$5:$H$3004,MATCH($A610,'Live History'!$G$5:$G$3004,1)),INDEX('AH History'!$B$5:$B$1380,$K610))),NA()),NA())</f>
        <v/>
      </c>
      <c r="I610" s="34">
        <f>IFERROR(IF(ISNUMBER($A610),IF(AND(AH!$U$12=1,605+1=AH!$U$6),TODAY(),IF(AH!$U$5=1,INDEX('Live History'!$G$5:$G$3004,MATCH($A610,'Live History'!$G$5:$G$3004,1)),INDEX('AH History'!$C$5:$C$1380,$K610))),NA()),NA())</f>
        <v/>
      </c>
      <c r="J610" s="32">
        <f>IFERROR(IF(AND($F610&gt;0,$H610&gt;0,$A610-$G610&lt;=10,$A610-$I610&lt;=5,$G610&gt;0,$I610&gt;0),$F610*$H610,NA()),NA())</f>
        <v/>
      </c>
      <c r="K610" s="15">
        <f>IF($A610="","",IF(AH!$U$5=1,IFERROR(MATCH($A610,'Live History'!$A$5:$A$3004,0),0),AH!$U$7+605))</f>
        <v/>
      </c>
      <c r="L610" s="15">
        <f>IF(ISNUMBER(A610),TEXT(A610,"dd-mmm-yy"),"")</f>
        <v/>
      </c>
    </row>
    <row r="611">
      <c r="A611" s="14">
        <f>IF(OR(AH!$U$4=0,606+1&gt;AH!$U$6,AND(AH!$M$5="Bloomberg",AH!$U$5=0)),"",IFERROR(IF(AND(AH!$U$12=1,606+1=AH!$U$6),TODAY(),IF(AH!$U$5=1,INDEX('Live History'!$A$5:$A$3004,AH!$U$7+606),INDEX('AH History'!$A$5:$A$1380,AH!$U$7+606))),""))</f>
        <v/>
      </c>
      <c r="B611" s="33">
        <f>IFERROR(IF(AH!$U$11=1,NA(),$J611/$E611-1),NA())</f>
        <v/>
      </c>
      <c r="C611" s="269">
        <f>IFERROR(100*$E611/$E$5,NA())</f>
        <v/>
      </c>
      <c r="D611" s="269">
        <f>IFERROR(100*$J611/$J$5,NA())</f>
        <v/>
      </c>
      <c r="E611" s="32">
        <f>IFERROR(IF(AND(ISNUMBER($A611),N(IF(AND(AH!$U$12=1,606+1=AH!$U$6),IF(AH!$U$4=0,"unavailable",INDEX('Market Data'!$AN$5:$AN$66,AH!$U$4)),IF(AH!$U$5=1,INDEX('Live History'!$B$5:$B$3004,$K611),INDEX('AH History'!$D$5:$GG$1380,$K611,AH!$U$10))))&gt;0),IF(AND(AH!$U$12=1,606+1=AH!$U$6),IF(AH!$U$4=0,"unavailable",INDEX('Market Data'!$AN$5:$AN$66,AH!$U$4)),IF(AH!$U$5=1,INDEX('Live History'!$B$5:$B$3004,$K611),INDEX('AH History'!$D$5:$GG$1380,$K611,AH!$U$10))),NA()),NA())</f>
        <v/>
      </c>
      <c r="F611" s="32">
        <f>IFERROR(IF(ISNUMBER($A611),IF(AND(AH!$U$12=1,606+1=AH!$U$6),IF(AH!$U$4=0,"unavailable",INDEX('Market Data'!$AO$5:$AO$66,AH!$U$4)),IF(AH!$U$5=1,INDEX('Live History'!$E$5:$E$3004,MATCH($A611,'Live History'!$D$5:$D$3004,1)),INDEX('AH History'!$D$5:$GG$1380,$K611,AH!$U$10+1))),NA()),NA())</f>
        <v/>
      </c>
      <c r="G611" s="34">
        <f>IFERROR(IF(ISNUMBER($A611),IF(AND(AH!$U$12=1,606+1=AH!$U$6),IF(AH!$U$4=0,"unavailable",INDEX('Market Data'!$AK$5:$AK$66,AH!$U$4)),IF(AH!$U$5=1,INDEX('Live History'!$D$5:$D$3004,MATCH($A611,'Live History'!$D$5:$D$3004,1)),INDEX('AH History'!$D$5:$GG$1380,$K611,AH!$U$10+2))),NA()),NA())</f>
        <v/>
      </c>
      <c r="H611" s="266">
        <f>IFERROR(IF(ISNUMBER($A611),IF(AND(AH!$U$12=1,606+1=AH!$U$6),IF(AH!$U$4=0,"unavailable",INDEX('Market Data'!$AP$5:$AP$66,AH!$U$4)),IF(AH!$U$5=1,INDEX('Live History'!$H$5:$H$3004,MATCH($A611,'Live History'!$G$5:$G$3004,1)),INDEX('AH History'!$B$5:$B$1380,$K611))),NA()),NA())</f>
        <v/>
      </c>
      <c r="I611" s="34">
        <f>IFERROR(IF(ISNUMBER($A611),IF(AND(AH!$U$12=1,606+1=AH!$U$6),TODAY(),IF(AH!$U$5=1,INDEX('Live History'!$G$5:$G$3004,MATCH($A611,'Live History'!$G$5:$G$3004,1)),INDEX('AH History'!$C$5:$C$1380,$K611))),NA()),NA())</f>
        <v/>
      </c>
      <c r="J611" s="32">
        <f>IFERROR(IF(AND($F611&gt;0,$H611&gt;0,$A611-$G611&lt;=10,$A611-$I611&lt;=5,$G611&gt;0,$I611&gt;0),$F611*$H611,NA()),NA())</f>
        <v/>
      </c>
      <c r="K611" s="15">
        <f>IF($A611="","",IF(AH!$U$5=1,IFERROR(MATCH($A611,'Live History'!$A$5:$A$3004,0),0),AH!$U$7+606))</f>
        <v/>
      </c>
      <c r="L611" s="15">
        <f>IF(ISNUMBER(A611),TEXT(A611,"dd-mmm-yy"),"")</f>
        <v/>
      </c>
    </row>
    <row r="612">
      <c r="A612" s="14">
        <f>IF(OR(AH!$U$4=0,607+1&gt;AH!$U$6,AND(AH!$M$5="Bloomberg",AH!$U$5=0)),"",IFERROR(IF(AND(AH!$U$12=1,607+1=AH!$U$6),TODAY(),IF(AH!$U$5=1,INDEX('Live History'!$A$5:$A$3004,AH!$U$7+607),INDEX('AH History'!$A$5:$A$1380,AH!$U$7+607))),""))</f>
        <v/>
      </c>
      <c r="B612" s="33">
        <f>IFERROR(IF(AH!$U$11=1,NA(),$J612/$E612-1),NA())</f>
        <v/>
      </c>
      <c r="C612" s="269">
        <f>IFERROR(100*$E612/$E$5,NA())</f>
        <v/>
      </c>
      <c r="D612" s="269">
        <f>IFERROR(100*$J612/$J$5,NA())</f>
        <v/>
      </c>
      <c r="E612" s="32">
        <f>IFERROR(IF(AND(ISNUMBER($A612),N(IF(AND(AH!$U$12=1,607+1=AH!$U$6),IF(AH!$U$4=0,"unavailable",INDEX('Market Data'!$AN$5:$AN$66,AH!$U$4)),IF(AH!$U$5=1,INDEX('Live History'!$B$5:$B$3004,$K612),INDEX('AH History'!$D$5:$GG$1380,$K612,AH!$U$10))))&gt;0),IF(AND(AH!$U$12=1,607+1=AH!$U$6),IF(AH!$U$4=0,"unavailable",INDEX('Market Data'!$AN$5:$AN$66,AH!$U$4)),IF(AH!$U$5=1,INDEX('Live History'!$B$5:$B$3004,$K612),INDEX('AH History'!$D$5:$GG$1380,$K612,AH!$U$10))),NA()),NA())</f>
        <v/>
      </c>
      <c r="F612" s="32">
        <f>IFERROR(IF(ISNUMBER($A612),IF(AND(AH!$U$12=1,607+1=AH!$U$6),IF(AH!$U$4=0,"unavailable",INDEX('Market Data'!$AO$5:$AO$66,AH!$U$4)),IF(AH!$U$5=1,INDEX('Live History'!$E$5:$E$3004,MATCH($A612,'Live History'!$D$5:$D$3004,1)),INDEX('AH History'!$D$5:$GG$1380,$K612,AH!$U$10+1))),NA()),NA())</f>
        <v/>
      </c>
      <c r="G612" s="34">
        <f>IFERROR(IF(ISNUMBER($A612),IF(AND(AH!$U$12=1,607+1=AH!$U$6),IF(AH!$U$4=0,"unavailable",INDEX('Market Data'!$AK$5:$AK$66,AH!$U$4)),IF(AH!$U$5=1,INDEX('Live History'!$D$5:$D$3004,MATCH($A612,'Live History'!$D$5:$D$3004,1)),INDEX('AH History'!$D$5:$GG$1380,$K612,AH!$U$10+2))),NA()),NA())</f>
        <v/>
      </c>
      <c r="H612" s="266">
        <f>IFERROR(IF(ISNUMBER($A612),IF(AND(AH!$U$12=1,607+1=AH!$U$6),IF(AH!$U$4=0,"unavailable",INDEX('Market Data'!$AP$5:$AP$66,AH!$U$4)),IF(AH!$U$5=1,INDEX('Live History'!$H$5:$H$3004,MATCH($A612,'Live History'!$G$5:$G$3004,1)),INDEX('AH History'!$B$5:$B$1380,$K612))),NA()),NA())</f>
        <v/>
      </c>
      <c r="I612" s="34">
        <f>IFERROR(IF(ISNUMBER($A612),IF(AND(AH!$U$12=1,607+1=AH!$U$6),TODAY(),IF(AH!$U$5=1,INDEX('Live History'!$G$5:$G$3004,MATCH($A612,'Live History'!$G$5:$G$3004,1)),INDEX('AH History'!$C$5:$C$1380,$K612))),NA()),NA())</f>
        <v/>
      </c>
      <c r="J612" s="32">
        <f>IFERROR(IF(AND($F612&gt;0,$H612&gt;0,$A612-$G612&lt;=10,$A612-$I612&lt;=5,$G612&gt;0,$I612&gt;0),$F612*$H612,NA()),NA())</f>
        <v/>
      </c>
      <c r="K612" s="15">
        <f>IF($A612="","",IF(AH!$U$5=1,IFERROR(MATCH($A612,'Live History'!$A$5:$A$3004,0),0),AH!$U$7+607))</f>
        <v/>
      </c>
      <c r="L612" s="15">
        <f>IF(ISNUMBER(A612),TEXT(A612,"dd-mmm-yy"),"")</f>
        <v/>
      </c>
    </row>
    <row r="613">
      <c r="A613" s="14">
        <f>IF(OR(AH!$U$4=0,608+1&gt;AH!$U$6,AND(AH!$M$5="Bloomberg",AH!$U$5=0)),"",IFERROR(IF(AND(AH!$U$12=1,608+1=AH!$U$6),TODAY(),IF(AH!$U$5=1,INDEX('Live History'!$A$5:$A$3004,AH!$U$7+608),INDEX('AH History'!$A$5:$A$1380,AH!$U$7+608))),""))</f>
        <v/>
      </c>
      <c r="B613" s="33">
        <f>IFERROR(IF(AH!$U$11=1,NA(),$J613/$E613-1),NA())</f>
        <v/>
      </c>
      <c r="C613" s="269">
        <f>IFERROR(100*$E613/$E$5,NA())</f>
        <v/>
      </c>
      <c r="D613" s="269">
        <f>IFERROR(100*$J613/$J$5,NA())</f>
        <v/>
      </c>
      <c r="E613" s="32">
        <f>IFERROR(IF(AND(ISNUMBER($A613),N(IF(AND(AH!$U$12=1,608+1=AH!$U$6),IF(AH!$U$4=0,"unavailable",INDEX('Market Data'!$AN$5:$AN$66,AH!$U$4)),IF(AH!$U$5=1,INDEX('Live History'!$B$5:$B$3004,$K613),INDEX('AH History'!$D$5:$GG$1380,$K613,AH!$U$10))))&gt;0),IF(AND(AH!$U$12=1,608+1=AH!$U$6),IF(AH!$U$4=0,"unavailable",INDEX('Market Data'!$AN$5:$AN$66,AH!$U$4)),IF(AH!$U$5=1,INDEX('Live History'!$B$5:$B$3004,$K613),INDEX('AH History'!$D$5:$GG$1380,$K613,AH!$U$10))),NA()),NA())</f>
        <v/>
      </c>
      <c r="F613" s="32">
        <f>IFERROR(IF(ISNUMBER($A613),IF(AND(AH!$U$12=1,608+1=AH!$U$6),IF(AH!$U$4=0,"unavailable",INDEX('Market Data'!$AO$5:$AO$66,AH!$U$4)),IF(AH!$U$5=1,INDEX('Live History'!$E$5:$E$3004,MATCH($A613,'Live History'!$D$5:$D$3004,1)),INDEX('AH History'!$D$5:$GG$1380,$K613,AH!$U$10+1))),NA()),NA())</f>
        <v/>
      </c>
      <c r="G613" s="34">
        <f>IFERROR(IF(ISNUMBER($A613),IF(AND(AH!$U$12=1,608+1=AH!$U$6),IF(AH!$U$4=0,"unavailable",INDEX('Market Data'!$AK$5:$AK$66,AH!$U$4)),IF(AH!$U$5=1,INDEX('Live History'!$D$5:$D$3004,MATCH($A613,'Live History'!$D$5:$D$3004,1)),INDEX('AH History'!$D$5:$GG$1380,$K613,AH!$U$10+2))),NA()),NA())</f>
        <v/>
      </c>
      <c r="H613" s="266">
        <f>IFERROR(IF(ISNUMBER($A613),IF(AND(AH!$U$12=1,608+1=AH!$U$6),IF(AH!$U$4=0,"unavailable",INDEX('Market Data'!$AP$5:$AP$66,AH!$U$4)),IF(AH!$U$5=1,INDEX('Live History'!$H$5:$H$3004,MATCH($A613,'Live History'!$G$5:$G$3004,1)),INDEX('AH History'!$B$5:$B$1380,$K613))),NA()),NA())</f>
        <v/>
      </c>
      <c r="I613" s="34">
        <f>IFERROR(IF(ISNUMBER($A613),IF(AND(AH!$U$12=1,608+1=AH!$U$6),TODAY(),IF(AH!$U$5=1,INDEX('Live History'!$G$5:$G$3004,MATCH($A613,'Live History'!$G$5:$G$3004,1)),INDEX('AH History'!$C$5:$C$1380,$K613))),NA()),NA())</f>
        <v/>
      </c>
      <c r="J613" s="32">
        <f>IFERROR(IF(AND($F613&gt;0,$H613&gt;0,$A613-$G613&lt;=10,$A613-$I613&lt;=5,$G613&gt;0,$I613&gt;0),$F613*$H613,NA()),NA())</f>
        <v/>
      </c>
      <c r="K613" s="15">
        <f>IF($A613="","",IF(AH!$U$5=1,IFERROR(MATCH($A613,'Live History'!$A$5:$A$3004,0),0),AH!$U$7+608))</f>
        <v/>
      </c>
      <c r="L613" s="15">
        <f>IF(ISNUMBER(A613),TEXT(A613,"dd-mmm-yy"),"")</f>
        <v/>
      </c>
    </row>
    <row r="614">
      <c r="A614" s="14">
        <f>IF(OR(AH!$U$4=0,609+1&gt;AH!$U$6,AND(AH!$M$5="Bloomberg",AH!$U$5=0)),"",IFERROR(IF(AND(AH!$U$12=1,609+1=AH!$U$6),TODAY(),IF(AH!$U$5=1,INDEX('Live History'!$A$5:$A$3004,AH!$U$7+609),INDEX('AH History'!$A$5:$A$1380,AH!$U$7+609))),""))</f>
        <v/>
      </c>
      <c r="B614" s="33">
        <f>IFERROR(IF(AH!$U$11=1,NA(),$J614/$E614-1),NA())</f>
        <v/>
      </c>
      <c r="C614" s="269">
        <f>IFERROR(100*$E614/$E$5,NA())</f>
        <v/>
      </c>
      <c r="D614" s="269">
        <f>IFERROR(100*$J614/$J$5,NA())</f>
        <v/>
      </c>
      <c r="E614" s="32">
        <f>IFERROR(IF(AND(ISNUMBER($A614),N(IF(AND(AH!$U$12=1,609+1=AH!$U$6),IF(AH!$U$4=0,"unavailable",INDEX('Market Data'!$AN$5:$AN$66,AH!$U$4)),IF(AH!$U$5=1,INDEX('Live History'!$B$5:$B$3004,$K614),INDEX('AH History'!$D$5:$GG$1380,$K614,AH!$U$10))))&gt;0),IF(AND(AH!$U$12=1,609+1=AH!$U$6),IF(AH!$U$4=0,"unavailable",INDEX('Market Data'!$AN$5:$AN$66,AH!$U$4)),IF(AH!$U$5=1,INDEX('Live History'!$B$5:$B$3004,$K614),INDEX('AH History'!$D$5:$GG$1380,$K614,AH!$U$10))),NA()),NA())</f>
        <v/>
      </c>
      <c r="F614" s="32">
        <f>IFERROR(IF(ISNUMBER($A614),IF(AND(AH!$U$12=1,609+1=AH!$U$6),IF(AH!$U$4=0,"unavailable",INDEX('Market Data'!$AO$5:$AO$66,AH!$U$4)),IF(AH!$U$5=1,INDEX('Live History'!$E$5:$E$3004,MATCH($A614,'Live History'!$D$5:$D$3004,1)),INDEX('AH History'!$D$5:$GG$1380,$K614,AH!$U$10+1))),NA()),NA())</f>
        <v/>
      </c>
      <c r="G614" s="34">
        <f>IFERROR(IF(ISNUMBER($A614),IF(AND(AH!$U$12=1,609+1=AH!$U$6),IF(AH!$U$4=0,"unavailable",INDEX('Market Data'!$AK$5:$AK$66,AH!$U$4)),IF(AH!$U$5=1,INDEX('Live History'!$D$5:$D$3004,MATCH($A614,'Live History'!$D$5:$D$3004,1)),INDEX('AH History'!$D$5:$GG$1380,$K614,AH!$U$10+2))),NA()),NA())</f>
        <v/>
      </c>
      <c r="H614" s="266">
        <f>IFERROR(IF(ISNUMBER($A614),IF(AND(AH!$U$12=1,609+1=AH!$U$6),IF(AH!$U$4=0,"unavailable",INDEX('Market Data'!$AP$5:$AP$66,AH!$U$4)),IF(AH!$U$5=1,INDEX('Live History'!$H$5:$H$3004,MATCH($A614,'Live History'!$G$5:$G$3004,1)),INDEX('AH History'!$B$5:$B$1380,$K614))),NA()),NA())</f>
        <v/>
      </c>
      <c r="I614" s="34">
        <f>IFERROR(IF(ISNUMBER($A614),IF(AND(AH!$U$12=1,609+1=AH!$U$6),TODAY(),IF(AH!$U$5=1,INDEX('Live History'!$G$5:$G$3004,MATCH($A614,'Live History'!$G$5:$G$3004,1)),INDEX('AH History'!$C$5:$C$1380,$K614))),NA()),NA())</f>
        <v/>
      </c>
      <c r="J614" s="32">
        <f>IFERROR(IF(AND($F614&gt;0,$H614&gt;0,$A614-$G614&lt;=10,$A614-$I614&lt;=5,$G614&gt;0,$I614&gt;0),$F614*$H614,NA()),NA())</f>
        <v/>
      </c>
      <c r="K614" s="15">
        <f>IF($A614="","",IF(AH!$U$5=1,IFERROR(MATCH($A614,'Live History'!$A$5:$A$3004,0),0),AH!$U$7+609))</f>
        <v/>
      </c>
      <c r="L614" s="15">
        <f>IF(ISNUMBER(A614),TEXT(A614,"dd-mmm-yy"),"")</f>
        <v/>
      </c>
    </row>
    <row r="615">
      <c r="A615" s="14">
        <f>IF(OR(AH!$U$4=0,610+1&gt;AH!$U$6,AND(AH!$M$5="Bloomberg",AH!$U$5=0)),"",IFERROR(IF(AND(AH!$U$12=1,610+1=AH!$U$6),TODAY(),IF(AH!$U$5=1,INDEX('Live History'!$A$5:$A$3004,AH!$U$7+610),INDEX('AH History'!$A$5:$A$1380,AH!$U$7+610))),""))</f>
        <v/>
      </c>
      <c r="B615" s="33">
        <f>IFERROR(IF(AH!$U$11=1,NA(),$J615/$E615-1),NA())</f>
        <v/>
      </c>
      <c r="C615" s="269">
        <f>IFERROR(100*$E615/$E$5,NA())</f>
        <v/>
      </c>
      <c r="D615" s="269">
        <f>IFERROR(100*$J615/$J$5,NA())</f>
        <v/>
      </c>
      <c r="E615" s="32">
        <f>IFERROR(IF(AND(ISNUMBER($A615),N(IF(AND(AH!$U$12=1,610+1=AH!$U$6),IF(AH!$U$4=0,"unavailable",INDEX('Market Data'!$AN$5:$AN$66,AH!$U$4)),IF(AH!$U$5=1,INDEX('Live History'!$B$5:$B$3004,$K615),INDEX('AH History'!$D$5:$GG$1380,$K615,AH!$U$10))))&gt;0),IF(AND(AH!$U$12=1,610+1=AH!$U$6),IF(AH!$U$4=0,"unavailable",INDEX('Market Data'!$AN$5:$AN$66,AH!$U$4)),IF(AH!$U$5=1,INDEX('Live History'!$B$5:$B$3004,$K615),INDEX('AH History'!$D$5:$GG$1380,$K615,AH!$U$10))),NA()),NA())</f>
        <v/>
      </c>
      <c r="F615" s="32">
        <f>IFERROR(IF(ISNUMBER($A615),IF(AND(AH!$U$12=1,610+1=AH!$U$6),IF(AH!$U$4=0,"unavailable",INDEX('Market Data'!$AO$5:$AO$66,AH!$U$4)),IF(AH!$U$5=1,INDEX('Live History'!$E$5:$E$3004,MATCH($A615,'Live History'!$D$5:$D$3004,1)),INDEX('AH History'!$D$5:$GG$1380,$K615,AH!$U$10+1))),NA()),NA())</f>
        <v/>
      </c>
      <c r="G615" s="34">
        <f>IFERROR(IF(ISNUMBER($A615),IF(AND(AH!$U$12=1,610+1=AH!$U$6),IF(AH!$U$4=0,"unavailable",INDEX('Market Data'!$AK$5:$AK$66,AH!$U$4)),IF(AH!$U$5=1,INDEX('Live History'!$D$5:$D$3004,MATCH($A615,'Live History'!$D$5:$D$3004,1)),INDEX('AH History'!$D$5:$GG$1380,$K615,AH!$U$10+2))),NA()),NA())</f>
        <v/>
      </c>
      <c r="H615" s="266">
        <f>IFERROR(IF(ISNUMBER($A615),IF(AND(AH!$U$12=1,610+1=AH!$U$6),IF(AH!$U$4=0,"unavailable",INDEX('Market Data'!$AP$5:$AP$66,AH!$U$4)),IF(AH!$U$5=1,INDEX('Live History'!$H$5:$H$3004,MATCH($A615,'Live History'!$G$5:$G$3004,1)),INDEX('AH History'!$B$5:$B$1380,$K615))),NA()),NA())</f>
        <v/>
      </c>
      <c r="I615" s="34">
        <f>IFERROR(IF(ISNUMBER($A615),IF(AND(AH!$U$12=1,610+1=AH!$U$6),TODAY(),IF(AH!$U$5=1,INDEX('Live History'!$G$5:$G$3004,MATCH($A615,'Live History'!$G$5:$G$3004,1)),INDEX('AH History'!$C$5:$C$1380,$K615))),NA()),NA())</f>
        <v/>
      </c>
      <c r="J615" s="32">
        <f>IFERROR(IF(AND($F615&gt;0,$H615&gt;0,$A615-$G615&lt;=10,$A615-$I615&lt;=5,$G615&gt;0,$I615&gt;0),$F615*$H615,NA()),NA())</f>
        <v/>
      </c>
      <c r="K615" s="15">
        <f>IF($A615="","",IF(AH!$U$5=1,IFERROR(MATCH($A615,'Live History'!$A$5:$A$3004,0),0),AH!$U$7+610))</f>
        <v/>
      </c>
      <c r="L615" s="15">
        <f>IF(ISNUMBER(A615),TEXT(A615,"dd-mmm-yy"),"")</f>
        <v/>
      </c>
    </row>
    <row r="616">
      <c r="A616" s="14">
        <f>IF(OR(AH!$U$4=0,611+1&gt;AH!$U$6,AND(AH!$M$5="Bloomberg",AH!$U$5=0)),"",IFERROR(IF(AND(AH!$U$12=1,611+1=AH!$U$6),TODAY(),IF(AH!$U$5=1,INDEX('Live History'!$A$5:$A$3004,AH!$U$7+611),INDEX('AH History'!$A$5:$A$1380,AH!$U$7+611))),""))</f>
        <v/>
      </c>
      <c r="B616" s="33">
        <f>IFERROR(IF(AH!$U$11=1,NA(),$J616/$E616-1),NA())</f>
        <v/>
      </c>
      <c r="C616" s="269">
        <f>IFERROR(100*$E616/$E$5,NA())</f>
        <v/>
      </c>
      <c r="D616" s="269">
        <f>IFERROR(100*$J616/$J$5,NA())</f>
        <v/>
      </c>
      <c r="E616" s="32">
        <f>IFERROR(IF(AND(ISNUMBER($A616),N(IF(AND(AH!$U$12=1,611+1=AH!$U$6),IF(AH!$U$4=0,"unavailable",INDEX('Market Data'!$AN$5:$AN$66,AH!$U$4)),IF(AH!$U$5=1,INDEX('Live History'!$B$5:$B$3004,$K616),INDEX('AH History'!$D$5:$GG$1380,$K616,AH!$U$10))))&gt;0),IF(AND(AH!$U$12=1,611+1=AH!$U$6),IF(AH!$U$4=0,"unavailable",INDEX('Market Data'!$AN$5:$AN$66,AH!$U$4)),IF(AH!$U$5=1,INDEX('Live History'!$B$5:$B$3004,$K616),INDEX('AH History'!$D$5:$GG$1380,$K616,AH!$U$10))),NA()),NA())</f>
        <v/>
      </c>
      <c r="F616" s="32">
        <f>IFERROR(IF(ISNUMBER($A616),IF(AND(AH!$U$12=1,611+1=AH!$U$6),IF(AH!$U$4=0,"unavailable",INDEX('Market Data'!$AO$5:$AO$66,AH!$U$4)),IF(AH!$U$5=1,INDEX('Live History'!$E$5:$E$3004,MATCH($A616,'Live History'!$D$5:$D$3004,1)),INDEX('AH History'!$D$5:$GG$1380,$K616,AH!$U$10+1))),NA()),NA())</f>
        <v/>
      </c>
      <c r="G616" s="34">
        <f>IFERROR(IF(ISNUMBER($A616),IF(AND(AH!$U$12=1,611+1=AH!$U$6),IF(AH!$U$4=0,"unavailable",INDEX('Market Data'!$AK$5:$AK$66,AH!$U$4)),IF(AH!$U$5=1,INDEX('Live History'!$D$5:$D$3004,MATCH($A616,'Live History'!$D$5:$D$3004,1)),INDEX('AH History'!$D$5:$GG$1380,$K616,AH!$U$10+2))),NA()),NA())</f>
        <v/>
      </c>
      <c r="H616" s="266">
        <f>IFERROR(IF(ISNUMBER($A616),IF(AND(AH!$U$12=1,611+1=AH!$U$6),IF(AH!$U$4=0,"unavailable",INDEX('Market Data'!$AP$5:$AP$66,AH!$U$4)),IF(AH!$U$5=1,INDEX('Live History'!$H$5:$H$3004,MATCH($A616,'Live History'!$G$5:$G$3004,1)),INDEX('AH History'!$B$5:$B$1380,$K616))),NA()),NA())</f>
        <v/>
      </c>
      <c r="I616" s="34">
        <f>IFERROR(IF(ISNUMBER($A616),IF(AND(AH!$U$12=1,611+1=AH!$U$6),TODAY(),IF(AH!$U$5=1,INDEX('Live History'!$G$5:$G$3004,MATCH($A616,'Live History'!$G$5:$G$3004,1)),INDEX('AH History'!$C$5:$C$1380,$K616))),NA()),NA())</f>
        <v/>
      </c>
      <c r="J616" s="32">
        <f>IFERROR(IF(AND($F616&gt;0,$H616&gt;0,$A616-$G616&lt;=10,$A616-$I616&lt;=5,$G616&gt;0,$I616&gt;0),$F616*$H616,NA()),NA())</f>
        <v/>
      </c>
      <c r="K616" s="15">
        <f>IF($A616="","",IF(AH!$U$5=1,IFERROR(MATCH($A616,'Live History'!$A$5:$A$3004,0),0),AH!$U$7+611))</f>
        <v/>
      </c>
      <c r="L616" s="15">
        <f>IF(ISNUMBER(A616),TEXT(A616,"dd-mmm-yy"),"")</f>
        <v/>
      </c>
    </row>
    <row r="617">
      <c r="A617" s="14">
        <f>IF(OR(AH!$U$4=0,612+1&gt;AH!$U$6,AND(AH!$M$5="Bloomberg",AH!$U$5=0)),"",IFERROR(IF(AND(AH!$U$12=1,612+1=AH!$U$6),TODAY(),IF(AH!$U$5=1,INDEX('Live History'!$A$5:$A$3004,AH!$U$7+612),INDEX('AH History'!$A$5:$A$1380,AH!$U$7+612))),""))</f>
        <v/>
      </c>
      <c r="B617" s="33">
        <f>IFERROR(IF(AH!$U$11=1,NA(),$J617/$E617-1),NA())</f>
        <v/>
      </c>
      <c r="C617" s="269">
        <f>IFERROR(100*$E617/$E$5,NA())</f>
        <v/>
      </c>
      <c r="D617" s="269">
        <f>IFERROR(100*$J617/$J$5,NA())</f>
        <v/>
      </c>
      <c r="E617" s="32">
        <f>IFERROR(IF(AND(ISNUMBER($A617),N(IF(AND(AH!$U$12=1,612+1=AH!$U$6),IF(AH!$U$4=0,"unavailable",INDEX('Market Data'!$AN$5:$AN$66,AH!$U$4)),IF(AH!$U$5=1,INDEX('Live History'!$B$5:$B$3004,$K617),INDEX('AH History'!$D$5:$GG$1380,$K617,AH!$U$10))))&gt;0),IF(AND(AH!$U$12=1,612+1=AH!$U$6),IF(AH!$U$4=0,"unavailable",INDEX('Market Data'!$AN$5:$AN$66,AH!$U$4)),IF(AH!$U$5=1,INDEX('Live History'!$B$5:$B$3004,$K617),INDEX('AH History'!$D$5:$GG$1380,$K617,AH!$U$10))),NA()),NA())</f>
        <v/>
      </c>
      <c r="F617" s="32">
        <f>IFERROR(IF(ISNUMBER($A617),IF(AND(AH!$U$12=1,612+1=AH!$U$6),IF(AH!$U$4=0,"unavailable",INDEX('Market Data'!$AO$5:$AO$66,AH!$U$4)),IF(AH!$U$5=1,INDEX('Live History'!$E$5:$E$3004,MATCH($A617,'Live History'!$D$5:$D$3004,1)),INDEX('AH History'!$D$5:$GG$1380,$K617,AH!$U$10+1))),NA()),NA())</f>
        <v/>
      </c>
      <c r="G617" s="34">
        <f>IFERROR(IF(ISNUMBER($A617),IF(AND(AH!$U$12=1,612+1=AH!$U$6),IF(AH!$U$4=0,"unavailable",INDEX('Market Data'!$AK$5:$AK$66,AH!$U$4)),IF(AH!$U$5=1,INDEX('Live History'!$D$5:$D$3004,MATCH($A617,'Live History'!$D$5:$D$3004,1)),INDEX('AH History'!$D$5:$GG$1380,$K617,AH!$U$10+2))),NA()),NA())</f>
        <v/>
      </c>
      <c r="H617" s="266">
        <f>IFERROR(IF(ISNUMBER($A617),IF(AND(AH!$U$12=1,612+1=AH!$U$6),IF(AH!$U$4=0,"unavailable",INDEX('Market Data'!$AP$5:$AP$66,AH!$U$4)),IF(AH!$U$5=1,INDEX('Live History'!$H$5:$H$3004,MATCH($A617,'Live History'!$G$5:$G$3004,1)),INDEX('AH History'!$B$5:$B$1380,$K617))),NA()),NA())</f>
        <v/>
      </c>
      <c r="I617" s="34">
        <f>IFERROR(IF(ISNUMBER($A617),IF(AND(AH!$U$12=1,612+1=AH!$U$6),TODAY(),IF(AH!$U$5=1,INDEX('Live History'!$G$5:$G$3004,MATCH($A617,'Live History'!$G$5:$G$3004,1)),INDEX('AH History'!$C$5:$C$1380,$K617))),NA()),NA())</f>
        <v/>
      </c>
      <c r="J617" s="32">
        <f>IFERROR(IF(AND($F617&gt;0,$H617&gt;0,$A617-$G617&lt;=10,$A617-$I617&lt;=5,$G617&gt;0,$I617&gt;0),$F617*$H617,NA()),NA())</f>
        <v/>
      </c>
      <c r="K617" s="15">
        <f>IF($A617="","",IF(AH!$U$5=1,IFERROR(MATCH($A617,'Live History'!$A$5:$A$3004,0),0),AH!$U$7+612))</f>
        <v/>
      </c>
      <c r="L617" s="15">
        <f>IF(ISNUMBER(A617),TEXT(A617,"dd-mmm-yy"),"")</f>
        <v/>
      </c>
    </row>
    <row r="618">
      <c r="A618" s="14">
        <f>IF(OR(AH!$U$4=0,613+1&gt;AH!$U$6,AND(AH!$M$5="Bloomberg",AH!$U$5=0)),"",IFERROR(IF(AND(AH!$U$12=1,613+1=AH!$U$6),TODAY(),IF(AH!$U$5=1,INDEX('Live History'!$A$5:$A$3004,AH!$U$7+613),INDEX('AH History'!$A$5:$A$1380,AH!$U$7+613))),""))</f>
        <v/>
      </c>
      <c r="B618" s="33">
        <f>IFERROR(IF(AH!$U$11=1,NA(),$J618/$E618-1),NA())</f>
        <v/>
      </c>
      <c r="C618" s="269">
        <f>IFERROR(100*$E618/$E$5,NA())</f>
        <v/>
      </c>
      <c r="D618" s="269">
        <f>IFERROR(100*$J618/$J$5,NA())</f>
        <v/>
      </c>
      <c r="E618" s="32">
        <f>IFERROR(IF(AND(ISNUMBER($A618),N(IF(AND(AH!$U$12=1,613+1=AH!$U$6),IF(AH!$U$4=0,"unavailable",INDEX('Market Data'!$AN$5:$AN$66,AH!$U$4)),IF(AH!$U$5=1,INDEX('Live History'!$B$5:$B$3004,$K618),INDEX('AH History'!$D$5:$GG$1380,$K618,AH!$U$10))))&gt;0),IF(AND(AH!$U$12=1,613+1=AH!$U$6),IF(AH!$U$4=0,"unavailable",INDEX('Market Data'!$AN$5:$AN$66,AH!$U$4)),IF(AH!$U$5=1,INDEX('Live History'!$B$5:$B$3004,$K618),INDEX('AH History'!$D$5:$GG$1380,$K618,AH!$U$10))),NA()),NA())</f>
        <v/>
      </c>
      <c r="F618" s="32">
        <f>IFERROR(IF(ISNUMBER($A618),IF(AND(AH!$U$12=1,613+1=AH!$U$6),IF(AH!$U$4=0,"unavailable",INDEX('Market Data'!$AO$5:$AO$66,AH!$U$4)),IF(AH!$U$5=1,INDEX('Live History'!$E$5:$E$3004,MATCH($A618,'Live History'!$D$5:$D$3004,1)),INDEX('AH History'!$D$5:$GG$1380,$K618,AH!$U$10+1))),NA()),NA())</f>
        <v/>
      </c>
      <c r="G618" s="34">
        <f>IFERROR(IF(ISNUMBER($A618),IF(AND(AH!$U$12=1,613+1=AH!$U$6),IF(AH!$U$4=0,"unavailable",INDEX('Market Data'!$AK$5:$AK$66,AH!$U$4)),IF(AH!$U$5=1,INDEX('Live History'!$D$5:$D$3004,MATCH($A618,'Live History'!$D$5:$D$3004,1)),INDEX('AH History'!$D$5:$GG$1380,$K618,AH!$U$10+2))),NA()),NA())</f>
        <v/>
      </c>
      <c r="H618" s="266">
        <f>IFERROR(IF(ISNUMBER($A618),IF(AND(AH!$U$12=1,613+1=AH!$U$6),IF(AH!$U$4=0,"unavailable",INDEX('Market Data'!$AP$5:$AP$66,AH!$U$4)),IF(AH!$U$5=1,INDEX('Live History'!$H$5:$H$3004,MATCH($A618,'Live History'!$G$5:$G$3004,1)),INDEX('AH History'!$B$5:$B$1380,$K618))),NA()),NA())</f>
        <v/>
      </c>
      <c r="I618" s="34">
        <f>IFERROR(IF(ISNUMBER($A618),IF(AND(AH!$U$12=1,613+1=AH!$U$6),TODAY(),IF(AH!$U$5=1,INDEX('Live History'!$G$5:$G$3004,MATCH($A618,'Live History'!$G$5:$G$3004,1)),INDEX('AH History'!$C$5:$C$1380,$K618))),NA()),NA())</f>
        <v/>
      </c>
      <c r="J618" s="32">
        <f>IFERROR(IF(AND($F618&gt;0,$H618&gt;0,$A618-$G618&lt;=10,$A618-$I618&lt;=5,$G618&gt;0,$I618&gt;0),$F618*$H618,NA()),NA())</f>
        <v/>
      </c>
      <c r="K618" s="15">
        <f>IF($A618="","",IF(AH!$U$5=1,IFERROR(MATCH($A618,'Live History'!$A$5:$A$3004,0),0),AH!$U$7+613))</f>
        <v/>
      </c>
      <c r="L618" s="15">
        <f>IF(ISNUMBER(A618),TEXT(A618,"dd-mmm-yy"),"")</f>
        <v/>
      </c>
    </row>
    <row r="619">
      <c r="A619" s="14">
        <f>IF(OR(AH!$U$4=0,614+1&gt;AH!$U$6,AND(AH!$M$5="Bloomberg",AH!$U$5=0)),"",IFERROR(IF(AND(AH!$U$12=1,614+1=AH!$U$6),TODAY(),IF(AH!$U$5=1,INDEX('Live History'!$A$5:$A$3004,AH!$U$7+614),INDEX('AH History'!$A$5:$A$1380,AH!$U$7+614))),""))</f>
        <v/>
      </c>
      <c r="B619" s="33">
        <f>IFERROR(IF(AH!$U$11=1,NA(),$J619/$E619-1),NA())</f>
        <v/>
      </c>
      <c r="C619" s="269">
        <f>IFERROR(100*$E619/$E$5,NA())</f>
        <v/>
      </c>
      <c r="D619" s="269">
        <f>IFERROR(100*$J619/$J$5,NA())</f>
        <v/>
      </c>
      <c r="E619" s="32">
        <f>IFERROR(IF(AND(ISNUMBER($A619),N(IF(AND(AH!$U$12=1,614+1=AH!$U$6),IF(AH!$U$4=0,"unavailable",INDEX('Market Data'!$AN$5:$AN$66,AH!$U$4)),IF(AH!$U$5=1,INDEX('Live History'!$B$5:$B$3004,$K619),INDEX('AH History'!$D$5:$GG$1380,$K619,AH!$U$10))))&gt;0),IF(AND(AH!$U$12=1,614+1=AH!$U$6),IF(AH!$U$4=0,"unavailable",INDEX('Market Data'!$AN$5:$AN$66,AH!$U$4)),IF(AH!$U$5=1,INDEX('Live History'!$B$5:$B$3004,$K619),INDEX('AH History'!$D$5:$GG$1380,$K619,AH!$U$10))),NA()),NA())</f>
        <v/>
      </c>
      <c r="F619" s="32">
        <f>IFERROR(IF(ISNUMBER($A619),IF(AND(AH!$U$12=1,614+1=AH!$U$6),IF(AH!$U$4=0,"unavailable",INDEX('Market Data'!$AO$5:$AO$66,AH!$U$4)),IF(AH!$U$5=1,INDEX('Live History'!$E$5:$E$3004,MATCH($A619,'Live History'!$D$5:$D$3004,1)),INDEX('AH History'!$D$5:$GG$1380,$K619,AH!$U$10+1))),NA()),NA())</f>
        <v/>
      </c>
      <c r="G619" s="34">
        <f>IFERROR(IF(ISNUMBER($A619),IF(AND(AH!$U$12=1,614+1=AH!$U$6),IF(AH!$U$4=0,"unavailable",INDEX('Market Data'!$AK$5:$AK$66,AH!$U$4)),IF(AH!$U$5=1,INDEX('Live History'!$D$5:$D$3004,MATCH($A619,'Live History'!$D$5:$D$3004,1)),INDEX('AH History'!$D$5:$GG$1380,$K619,AH!$U$10+2))),NA()),NA())</f>
        <v/>
      </c>
      <c r="H619" s="266">
        <f>IFERROR(IF(ISNUMBER($A619),IF(AND(AH!$U$12=1,614+1=AH!$U$6),IF(AH!$U$4=0,"unavailable",INDEX('Market Data'!$AP$5:$AP$66,AH!$U$4)),IF(AH!$U$5=1,INDEX('Live History'!$H$5:$H$3004,MATCH($A619,'Live History'!$G$5:$G$3004,1)),INDEX('AH History'!$B$5:$B$1380,$K619))),NA()),NA())</f>
        <v/>
      </c>
      <c r="I619" s="34">
        <f>IFERROR(IF(ISNUMBER($A619),IF(AND(AH!$U$12=1,614+1=AH!$U$6),TODAY(),IF(AH!$U$5=1,INDEX('Live History'!$G$5:$G$3004,MATCH($A619,'Live History'!$G$5:$G$3004,1)),INDEX('AH History'!$C$5:$C$1380,$K619))),NA()),NA())</f>
        <v/>
      </c>
      <c r="J619" s="32">
        <f>IFERROR(IF(AND($F619&gt;0,$H619&gt;0,$A619-$G619&lt;=10,$A619-$I619&lt;=5,$G619&gt;0,$I619&gt;0),$F619*$H619,NA()),NA())</f>
        <v/>
      </c>
      <c r="K619" s="15">
        <f>IF($A619="","",IF(AH!$U$5=1,IFERROR(MATCH($A619,'Live History'!$A$5:$A$3004,0),0),AH!$U$7+614))</f>
        <v/>
      </c>
      <c r="L619" s="15">
        <f>IF(ISNUMBER(A619),TEXT(A619,"dd-mmm-yy"),"")</f>
        <v/>
      </c>
    </row>
    <row r="620">
      <c r="A620" s="14">
        <f>IF(OR(AH!$U$4=0,615+1&gt;AH!$U$6,AND(AH!$M$5="Bloomberg",AH!$U$5=0)),"",IFERROR(IF(AND(AH!$U$12=1,615+1=AH!$U$6),TODAY(),IF(AH!$U$5=1,INDEX('Live History'!$A$5:$A$3004,AH!$U$7+615),INDEX('AH History'!$A$5:$A$1380,AH!$U$7+615))),""))</f>
        <v/>
      </c>
      <c r="B620" s="33">
        <f>IFERROR(IF(AH!$U$11=1,NA(),$J620/$E620-1),NA())</f>
        <v/>
      </c>
      <c r="C620" s="269">
        <f>IFERROR(100*$E620/$E$5,NA())</f>
        <v/>
      </c>
      <c r="D620" s="269">
        <f>IFERROR(100*$J620/$J$5,NA())</f>
        <v/>
      </c>
      <c r="E620" s="32">
        <f>IFERROR(IF(AND(ISNUMBER($A620),N(IF(AND(AH!$U$12=1,615+1=AH!$U$6),IF(AH!$U$4=0,"unavailable",INDEX('Market Data'!$AN$5:$AN$66,AH!$U$4)),IF(AH!$U$5=1,INDEX('Live History'!$B$5:$B$3004,$K620),INDEX('AH History'!$D$5:$GG$1380,$K620,AH!$U$10))))&gt;0),IF(AND(AH!$U$12=1,615+1=AH!$U$6),IF(AH!$U$4=0,"unavailable",INDEX('Market Data'!$AN$5:$AN$66,AH!$U$4)),IF(AH!$U$5=1,INDEX('Live History'!$B$5:$B$3004,$K620),INDEX('AH History'!$D$5:$GG$1380,$K620,AH!$U$10))),NA()),NA())</f>
        <v/>
      </c>
      <c r="F620" s="32">
        <f>IFERROR(IF(ISNUMBER($A620),IF(AND(AH!$U$12=1,615+1=AH!$U$6),IF(AH!$U$4=0,"unavailable",INDEX('Market Data'!$AO$5:$AO$66,AH!$U$4)),IF(AH!$U$5=1,INDEX('Live History'!$E$5:$E$3004,MATCH($A620,'Live History'!$D$5:$D$3004,1)),INDEX('AH History'!$D$5:$GG$1380,$K620,AH!$U$10+1))),NA()),NA())</f>
        <v/>
      </c>
      <c r="G620" s="34">
        <f>IFERROR(IF(ISNUMBER($A620),IF(AND(AH!$U$12=1,615+1=AH!$U$6),IF(AH!$U$4=0,"unavailable",INDEX('Market Data'!$AK$5:$AK$66,AH!$U$4)),IF(AH!$U$5=1,INDEX('Live History'!$D$5:$D$3004,MATCH($A620,'Live History'!$D$5:$D$3004,1)),INDEX('AH History'!$D$5:$GG$1380,$K620,AH!$U$10+2))),NA()),NA())</f>
        <v/>
      </c>
      <c r="H620" s="266">
        <f>IFERROR(IF(ISNUMBER($A620),IF(AND(AH!$U$12=1,615+1=AH!$U$6),IF(AH!$U$4=0,"unavailable",INDEX('Market Data'!$AP$5:$AP$66,AH!$U$4)),IF(AH!$U$5=1,INDEX('Live History'!$H$5:$H$3004,MATCH($A620,'Live History'!$G$5:$G$3004,1)),INDEX('AH History'!$B$5:$B$1380,$K620))),NA()),NA())</f>
        <v/>
      </c>
      <c r="I620" s="34">
        <f>IFERROR(IF(ISNUMBER($A620),IF(AND(AH!$U$12=1,615+1=AH!$U$6),TODAY(),IF(AH!$U$5=1,INDEX('Live History'!$G$5:$G$3004,MATCH($A620,'Live History'!$G$5:$G$3004,1)),INDEX('AH History'!$C$5:$C$1380,$K620))),NA()),NA())</f>
        <v/>
      </c>
      <c r="J620" s="32">
        <f>IFERROR(IF(AND($F620&gt;0,$H620&gt;0,$A620-$G620&lt;=10,$A620-$I620&lt;=5,$G620&gt;0,$I620&gt;0),$F620*$H620,NA()),NA())</f>
        <v/>
      </c>
      <c r="K620" s="15">
        <f>IF($A620="","",IF(AH!$U$5=1,IFERROR(MATCH($A620,'Live History'!$A$5:$A$3004,0),0),AH!$U$7+615))</f>
        <v/>
      </c>
      <c r="L620" s="15">
        <f>IF(ISNUMBER(A620),TEXT(A620,"dd-mmm-yy"),"")</f>
        <v/>
      </c>
    </row>
    <row r="621">
      <c r="A621" s="14">
        <f>IF(OR(AH!$U$4=0,616+1&gt;AH!$U$6,AND(AH!$M$5="Bloomberg",AH!$U$5=0)),"",IFERROR(IF(AND(AH!$U$12=1,616+1=AH!$U$6),TODAY(),IF(AH!$U$5=1,INDEX('Live History'!$A$5:$A$3004,AH!$U$7+616),INDEX('AH History'!$A$5:$A$1380,AH!$U$7+616))),""))</f>
        <v/>
      </c>
      <c r="B621" s="33">
        <f>IFERROR(IF(AH!$U$11=1,NA(),$J621/$E621-1),NA())</f>
        <v/>
      </c>
      <c r="C621" s="269">
        <f>IFERROR(100*$E621/$E$5,NA())</f>
        <v/>
      </c>
      <c r="D621" s="269">
        <f>IFERROR(100*$J621/$J$5,NA())</f>
        <v/>
      </c>
      <c r="E621" s="32">
        <f>IFERROR(IF(AND(ISNUMBER($A621),N(IF(AND(AH!$U$12=1,616+1=AH!$U$6),IF(AH!$U$4=0,"unavailable",INDEX('Market Data'!$AN$5:$AN$66,AH!$U$4)),IF(AH!$U$5=1,INDEX('Live History'!$B$5:$B$3004,$K621),INDEX('AH History'!$D$5:$GG$1380,$K621,AH!$U$10))))&gt;0),IF(AND(AH!$U$12=1,616+1=AH!$U$6),IF(AH!$U$4=0,"unavailable",INDEX('Market Data'!$AN$5:$AN$66,AH!$U$4)),IF(AH!$U$5=1,INDEX('Live History'!$B$5:$B$3004,$K621),INDEX('AH History'!$D$5:$GG$1380,$K621,AH!$U$10))),NA()),NA())</f>
        <v/>
      </c>
      <c r="F621" s="32">
        <f>IFERROR(IF(ISNUMBER($A621),IF(AND(AH!$U$12=1,616+1=AH!$U$6),IF(AH!$U$4=0,"unavailable",INDEX('Market Data'!$AO$5:$AO$66,AH!$U$4)),IF(AH!$U$5=1,INDEX('Live History'!$E$5:$E$3004,MATCH($A621,'Live History'!$D$5:$D$3004,1)),INDEX('AH History'!$D$5:$GG$1380,$K621,AH!$U$10+1))),NA()),NA())</f>
        <v/>
      </c>
      <c r="G621" s="34">
        <f>IFERROR(IF(ISNUMBER($A621),IF(AND(AH!$U$12=1,616+1=AH!$U$6),IF(AH!$U$4=0,"unavailable",INDEX('Market Data'!$AK$5:$AK$66,AH!$U$4)),IF(AH!$U$5=1,INDEX('Live History'!$D$5:$D$3004,MATCH($A621,'Live History'!$D$5:$D$3004,1)),INDEX('AH History'!$D$5:$GG$1380,$K621,AH!$U$10+2))),NA()),NA())</f>
        <v/>
      </c>
      <c r="H621" s="266">
        <f>IFERROR(IF(ISNUMBER($A621),IF(AND(AH!$U$12=1,616+1=AH!$U$6),IF(AH!$U$4=0,"unavailable",INDEX('Market Data'!$AP$5:$AP$66,AH!$U$4)),IF(AH!$U$5=1,INDEX('Live History'!$H$5:$H$3004,MATCH($A621,'Live History'!$G$5:$G$3004,1)),INDEX('AH History'!$B$5:$B$1380,$K621))),NA()),NA())</f>
        <v/>
      </c>
      <c r="I621" s="34">
        <f>IFERROR(IF(ISNUMBER($A621),IF(AND(AH!$U$12=1,616+1=AH!$U$6),TODAY(),IF(AH!$U$5=1,INDEX('Live History'!$G$5:$G$3004,MATCH($A621,'Live History'!$G$5:$G$3004,1)),INDEX('AH History'!$C$5:$C$1380,$K621))),NA()),NA())</f>
        <v/>
      </c>
      <c r="J621" s="32">
        <f>IFERROR(IF(AND($F621&gt;0,$H621&gt;0,$A621-$G621&lt;=10,$A621-$I621&lt;=5,$G621&gt;0,$I621&gt;0),$F621*$H621,NA()),NA())</f>
        <v/>
      </c>
      <c r="K621" s="15">
        <f>IF($A621="","",IF(AH!$U$5=1,IFERROR(MATCH($A621,'Live History'!$A$5:$A$3004,0),0),AH!$U$7+616))</f>
        <v/>
      </c>
      <c r="L621" s="15">
        <f>IF(ISNUMBER(A621),TEXT(A621,"dd-mmm-yy"),"")</f>
        <v/>
      </c>
    </row>
    <row r="622">
      <c r="A622" s="14">
        <f>IF(OR(AH!$U$4=0,617+1&gt;AH!$U$6,AND(AH!$M$5="Bloomberg",AH!$U$5=0)),"",IFERROR(IF(AND(AH!$U$12=1,617+1=AH!$U$6),TODAY(),IF(AH!$U$5=1,INDEX('Live History'!$A$5:$A$3004,AH!$U$7+617),INDEX('AH History'!$A$5:$A$1380,AH!$U$7+617))),""))</f>
        <v/>
      </c>
      <c r="B622" s="33">
        <f>IFERROR(IF(AH!$U$11=1,NA(),$J622/$E622-1),NA())</f>
        <v/>
      </c>
      <c r="C622" s="269">
        <f>IFERROR(100*$E622/$E$5,NA())</f>
        <v/>
      </c>
      <c r="D622" s="269">
        <f>IFERROR(100*$J622/$J$5,NA())</f>
        <v/>
      </c>
      <c r="E622" s="32">
        <f>IFERROR(IF(AND(ISNUMBER($A622),N(IF(AND(AH!$U$12=1,617+1=AH!$U$6),IF(AH!$U$4=0,"unavailable",INDEX('Market Data'!$AN$5:$AN$66,AH!$U$4)),IF(AH!$U$5=1,INDEX('Live History'!$B$5:$B$3004,$K622),INDEX('AH History'!$D$5:$GG$1380,$K622,AH!$U$10))))&gt;0),IF(AND(AH!$U$12=1,617+1=AH!$U$6),IF(AH!$U$4=0,"unavailable",INDEX('Market Data'!$AN$5:$AN$66,AH!$U$4)),IF(AH!$U$5=1,INDEX('Live History'!$B$5:$B$3004,$K622),INDEX('AH History'!$D$5:$GG$1380,$K622,AH!$U$10))),NA()),NA())</f>
        <v/>
      </c>
      <c r="F622" s="32">
        <f>IFERROR(IF(ISNUMBER($A622),IF(AND(AH!$U$12=1,617+1=AH!$U$6),IF(AH!$U$4=0,"unavailable",INDEX('Market Data'!$AO$5:$AO$66,AH!$U$4)),IF(AH!$U$5=1,INDEX('Live History'!$E$5:$E$3004,MATCH($A622,'Live History'!$D$5:$D$3004,1)),INDEX('AH History'!$D$5:$GG$1380,$K622,AH!$U$10+1))),NA()),NA())</f>
        <v/>
      </c>
      <c r="G622" s="34">
        <f>IFERROR(IF(ISNUMBER($A622),IF(AND(AH!$U$12=1,617+1=AH!$U$6),IF(AH!$U$4=0,"unavailable",INDEX('Market Data'!$AK$5:$AK$66,AH!$U$4)),IF(AH!$U$5=1,INDEX('Live History'!$D$5:$D$3004,MATCH($A622,'Live History'!$D$5:$D$3004,1)),INDEX('AH History'!$D$5:$GG$1380,$K622,AH!$U$10+2))),NA()),NA())</f>
        <v/>
      </c>
      <c r="H622" s="266">
        <f>IFERROR(IF(ISNUMBER($A622),IF(AND(AH!$U$12=1,617+1=AH!$U$6),IF(AH!$U$4=0,"unavailable",INDEX('Market Data'!$AP$5:$AP$66,AH!$U$4)),IF(AH!$U$5=1,INDEX('Live History'!$H$5:$H$3004,MATCH($A622,'Live History'!$G$5:$G$3004,1)),INDEX('AH History'!$B$5:$B$1380,$K622))),NA()),NA())</f>
        <v/>
      </c>
      <c r="I622" s="34">
        <f>IFERROR(IF(ISNUMBER($A622),IF(AND(AH!$U$12=1,617+1=AH!$U$6),TODAY(),IF(AH!$U$5=1,INDEX('Live History'!$G$5:$G$3004,MATCH($A622,'Live History'!$G$5:$G$3004,1)),INDEX('AH History'!$C$5:$C$1380,$K622))),NA()),NA())</f>
        <v/>
      </c>
      <c r="J622" s="32">
        <f>IFERROR(IF(AND($F622&gt;0,$H622&gt;0,$A622-$G622&lt;=10,$A622-$I622&lt;=5,$G622&gt;0,$I622&gt;0),$F622*$H622,NA()),NA())</f>
        <v/>
      </c>
      <c r="K622" s="15">
        <f>IF($A622="","",IF(AH!$U$5=1,IFERROR(MATCH($A622,'Live History'!$A$5:$A$3004,0),0),AH!$U$7+617))</f>
        <v/>
      </c>
      <c r="L622" s="15">
        <f>IF(ISNUMBER(A622),TEXT(A622,"dd-mmm-yy"),"")</f>
        <v/>
      </c>
    </row>
    <row r="623">
      <c r="A623" s="14">
        <f>IF(OR(AH!$U$4=0,618+1&gt;AH!$U$6,AND(AH!$M$5="Bloomberg",AH!$U$5=0)),"",IFERROR(IF(AND(AH!$U$12=1,618+1=AH!$U$6),TODAY(),IF(AH!$U$5=1,INDEX('Live History'!$A$5:$A$3004,AH!$U$7+618),INDEX('AH History'!$A$5:$A$1380,AH!$U$7+618))),""))</f>
        <v/>
      </c>
      <c r="B623" s="33">
        <f>IFERROR(IF(AH!$U$11=1,NA(),$J623/$E623-1),NA())</f>
        <v/>
      </c>
      <c r="C623" s="269">
        <f>IFERROR(100*$E623/$E$5,NA())</f>
        <v/>
      </c>
      <c r="D623" s="269">
        <f>IFERROR(100*$J623/$J$5,NA())</f>
        <v/>
      </c>
      <c r="E623" s="32">
        <f>IFERROR(IF(AND(ISNUMBER($A623),N(IF(AND(AH!$U$12=1,618+1=AH!$U$6),IF(AH!$U$4=0,"unavailable",INDEX('Market Data'!$AN$5:$AN$66,AH!$U$4)),IF(AH!$U$5=1,INDEX('Live History'!$B$5:$B$3004,$K623),INDEX('AH History'!$D$5:$GG$1380,$K623,AH!$U$10))))&gt;0),IF(AND(AH!$U$12=1,618+1=AH!$U$6),IF(AH!$U$4=0,"unavailable",INDEX('Market Data'!$AN$5:$AN$66,AH!$U$4)),IF(AH!$U$5=1,INDEX('Live History'!$B$5:$B$3004,$K623),INDEX('AH History'!$D$5:$GG$1380,$K623,AH!$U$10))),NA()),NA())</f>
        <v/>
      </c>
      <c r="F623" s="32">
        <f>IFERROR(IF(ISNUMBER($A623),IF(AND(AH!$U$12=1,618+1=AH!$U$6),IF(AH!$U$4=0,"unavailable",INDEX('Market Data'!$AO$5:$AO$66,AH!$U$4)),IF(AH!$U$5=1,INDEX('Live History'!$E$5:$E$3004,MATCH($A623,'Live History'!$D$5:$D$3004,1)),INDEX('AH History'!$D$5:$GG$1380,$K623,AH!$U$10+1))),NA()),NA())</f>
        <v/>
      </c>
      <c r="G623" s="34">
        <f>IFERROR(IF(ISNUMBER($A623),IF(AND(AH!$U$12=1,618+1=AH!$U$6),IF(AH!$U$4=0,"unavailable",INDEX('Market Data'!$AK$5:$AK$66,AH!$U$4)),IF(AH!$U$5=1,INDEX('Live History'!$D$5:$D$3004,MATCH($A623,'Live History'!$D$5:$D$3004,1)),INDEX('AH History'!$D$5:$GG$1380,$K623,AH!$U$10+2))),NA()),NA())</f>
        <v/>
      </c>
      <c r="H623" s="266">
        <f>IFERROR(IF(ISNUMBER($A623),IF(AND(AH!$U$12=1,618+1=AH!$U$6),IF(AH!$U$4=0,"unavailable",INDEX('Market Data'!$AP$5:$AP$66,AH!$U$4)),IF(AH!$U$5=1,INDEX('Live History'!$H$5:$H$3004,MATCH($A623,'Live History'!$G$5:$G$3004,1)),INDEX('AH History'!$B$5:$B$1380,$K623))),NA()),NA())</f>
        <v/>
      </c>
      <c r="I623" s="34">
        <f>IFERROR(IF(ISNUMBER($A623),IF(AND(AH!$U$12=1,618+1=AH!$U$6),TODAY(),IF(AH!$U$5=1,INDEX('Live History'!$G$5:$G$3004,MATCH($A623,'Live History'!$G$5:$G$3004,1)),INDEX('AH History'!$C$5:$C$1380,$K623))),NA()),NA())</f>
        <v/>
      </c>
      <c r="J623" s="32">
        <f>IFERROR(IF(AND($F623&gt;0,$H623&gt;0,$A623-$G623&lt;=10,$A623-$I623&lt;=5,$G623&gt;0,$I623&gt;0),$F623*$H623,NA()),NA())</f>
        <v/>
      </c>
      <c r="K623" s="15">
        <f>IF($A623="","",IF(AH!$U$5=1,IFERROR(MATCH($A623,'Live History'!$A$5:$A$3004,0),0),AH!$U$7+618))</f>
        <v/>
      </c>
      <c r="L623" s="15">
        <f>IF(ISNUMBER(A623),TEXT(A623,"dd-mmm-yy"),"")</f>
        <v/>
      </c>
    </row>
    <row r="624">
      <c r="A624" s="14">
        <f>IF(OR(AH!$U$4=0,619+1&gt;AH!$U$6,AND(AH!$M$5="Bloomberg",AH!$U$5=0)),"",IFERROR(IF(AND(AH!$U$12=1,619+1=AH!$U$6),TODAY(),IF(AH!$U$5=1,INDEX('Live History'!$A$5:$A$3004,AH!$U$7+619),INDEX('AH History'!$A$5:$A$1380,AH!$U$7+619))),""))</f>
        <v/>
      </c>
      <c r="B624" s="33">
        <f>IFERROR(IF(AH!$U$11=1,NA(),$J624/$E624-1),NA())</f>
        <v/>
      </c>
      <c r="C624" s="269">
        <f>IFERROR(100*$E624/$E$5,NA())</f>
        <v/>
      </c>
      <c r="D624" s="269">
        <f>IFERROR(100*$J624/$J$5,NA())</f>
        <v/>
      </c>
      <c r="E624" s="32">
        <f>IFERROR(IF(AND(ISNUMBER($A624),N(IF(AND(AH!$U$12=1,619+1=AH!$U$6),IF(AH!$U$4=0,"unavailable",INDEX('Market Data'!$AN$5:$AN$66,AH!$U$4)),IF(AH!$U$5=1,INDEX('Live History'!$B$5:$B$3004,$K624),INDEX('AH History'!$D$5:$GG$1380,$K624,AH!$U$10))))&gt;0),IF(AND(AH!$U$12=1,619+1=AH!$U$6),IF(AH!$U$4=0,"unavailable",INDEX('Market Data'!$AN$5:$AN$66,AH!$U$4)),IF(AH!$U$5=1,INDEX('Live History'!$B$5:$B$3004,$K624),INDEX('AH History'!$D$5:$GG$1380,$K624,AH!$U$10))),NA()),NA())</f>
        <v/>
      </c>
      <c r="F624" s="32">
        <f>IFERROR(IF(ISNUMBER($A624),IF(AND(AH!$U$12=1,619+1=AH!$U$6),IF(AH!$U$4=0,"unavailable",INDEX('Market Data'!$AO$5:$AO$66,AH!$U$4)),IF(AH!$U$5=1,INDEX('Live History'!$E$5:$E$3004,MATCH($A624,'Live History'!$D$5:$D$3004,1)),INDEX('AH History'!$D$5:$GG$1380,$K624,AH!$U$10+1))),NA()),NA())</f>
        <v/>
      </c>
      <c r="G624" s="34">
        <f>IFERROR(IF(ISNUMBER($A624),IF(AND(AH!$U$12=1,619+1=AH!$U$6),IF(AH!$U$4=0,"unavailable",INDEX('Market Data'!$AK$5:$AK$66,AH!$U$4)),IF(AH!$U$5=1,INDEX('Live History'!$D$5:$D$3004,MATCH($A624,'Live History'!$D$5:$D$3004,1)),INDEX('AH History'!$D$5:$GG$1380,$K624,AH!$U$10+2))),NA()),NA())</f>
        <v/>
      </c>
      <c r="H624" s="266">
        <f>IFERROR(IF(ISNUMBER($A624),IF(AND(AH!$U$12=1,619+1=AH!$U$6),IF(AH!$U$4=0,"unavailable",INDEX('Market Data'!$AP$5:$AP$66,AH!$U$4)),IF(AH!$U$5=1,INDEX('Live History'!$H$5:$H$3004,MATCH($A624,'Live History'!$G$5:$G$3004,1)),INDEX('AH History'!$B$5:$B$1380,$K624))),NA()),NA())</f>
        <v/>
      </c>
      <c r="I624" s="34">
        <f>IFERROR(IF(ISNUMBER($A624),IF(AND(AH!$U$12=1,619+1=AH!$U$6),TODAY(),IF(AH!$U$5=1,INDEX('Live History'!$G$5:$G$3004,MATCH($A624,'Live History'!$G$5:$G$3004,1)),INDEX('AH History'!$C$5:$C$1380,$K624))),NA()),NA())</f>
        <v/>
      </c>
      <c r="J624" s="32">
        <f>IFERROR(IF(AND($F624&gt;0,$H624&gt;0,$A624-$G624&lt;=10,$A624-$I624&lt;=5,$G624&gt;0,$I624&gt;0),$F624*$H624,NA()),NA())</f>
        <v/>
      </c>
      <c r="K624" s="15">
        <f>IF($A624="","",IF(AH!$U$5=1,IFERROR(MATCH($A624,'Live History'!$A$5:$A$3004,0),0),AH!$U$7+619))</f>
        <v/>
      </c>
      <c r="L624" s="15">
        <f>IF(ISNUMBER(A624),TEXT(A624,"dd-mmm-yy"),"")</f>
        <v/>
      </c>
    </row>
    <row r="625">
      <c r="A625" s="14">
        <f>IF(OR(AH!$U$4=0,620+1&gt;AH!$U$6,AND(AH!$M$5="Bloomberg",AH!$U$5=0)),"",IFERROR(IF(AND(AH!$U$12=1,620+1=AH!$U$6),TODAY(),IF(AH!$U$5=1,INDEX('Live History'!$A$5:$A$3004,AH!$U$7+620),INDEX('AH History'!$A$5:$A$1380,AH!$U$7+620))),""))</f>
        <v/>
      </c>
      <c r="B625" s="33">
        <f>IFERROR(IF(AH!$U$11=1,NA(),$J625/$E625-1),NA())</f>
        <v/>
      </c>
      <c r="C625" s="269">
        <f>IFERROR(100*$E625/$E$5,NA())</f>
        <v/>
      </c>
      <c r="D625" s="269">
        <f>IFERROR(100*$J625/$J$5,NA())</f>
        <v/>
      </c>
      <c r="E625" s="32">
        <f>IFERROR(IF(AND(ISNUMBER($A625),N(IF(AND(AH!$U$12=1,620+1=AH!$U$6),IF(AH!$U$4=0,"unavailable",INDEX('Market Data'!$AN$5:$AN$66,AH!$U$4)),IF(AH!$U$5=1,INDEX('Live History'!$B$5:$B$3004,$K625),INDEX('AH History'!$D$5:$GG$1380,$K625,AH!$U$10))))&gt;0),IF(AND(AH!$U$12=1,620+1=AH!$U$6),IF(AH!$U$4=0,"unavailable",INDEX('Market Data'!$AN$5:$AN$66,AH!$U$4)),IF(AH!$U$5=1,INDEX('Live History'!$B$5:$B$3004,$K625),INDEX('AH History'!$D$5:$GG$1380,$K625,AH!$U$10))),NA()),NA())</f>
        <v/>
      </c>
      <c r="F625" s="32">
        <f>IFERROR(IF(ISNUMBER($A625),IF(AND(AH!$U$12=1,620+1=AH!$U$6),IF(AH!$U$4=0,"unavailable",INDEX('Market Data'!$AO$5:$AO$66,AH!$U$4)),IF(AH!$U$5=1,INDEX('Live History'!$E$5:$E$3004,MATCH($A625,'Live History'!$D$5:$D$3004,1)),INDEX('AH History'!$D$5:$GG$1380,$K625,AH!$U$10+1))),NA()),NA())</f>
        <v/>
      </c>
      <c r="G625" s="34">
        <f>IFERROR(IF(ISNUMBER($A625),IF(AND(AH!$U$12=1,620+1=AH!$U$6),IF(AH!$U$4=0,"unavailable",INDEX('Market Data'!$AK$5:$AK$66,AH!$U$4)),IF(AH!$U$5=1,INDEX('Live History'!$D$5:$D$3004,MATCH($A625,'Live History'!$D$5:$D$3004,1)),INDEX('AH History'!$D$5:$GG$1380,$K625,AH!$U$10+2))),NA()),NA())</f>
        <v/>
      </c>
      <c r="H625" s="266">
        <f>IFERROR(IF(ISNUMBER($A625),IF(AND(AH!$U$12=1,620+1=AH!$U$6),IF(AH!$U$4=0,"unavailable",INDEX('Market Data'!$AP$5:$AP$66,AH!$U$4)),IF(AH!$U$5=1,INDEX('Live History'!$H$5:$H$3004,MATCH($A625,'Live History'!$G$5:$G$3004,1)),INDEX('AH History'!$B$5:$B$1380,$K625))),NA()),NA())</f>
        <v/>
      </c>
      <c r="I625" s="34">
        <f>IFERROR(IF(ISNUMBER($A625),IF(AND(AH!$U$12=1,620+1=AH!$U$6),TODAY(),IF(AH!$U$5=1,INDEX('Live History'!$G$5:$G$3004,MATCH($A625,'Live History'!$G$5:$G$3004,1)),INDEX('AH History'!$C$5:$C$1380,$K625))),NA()),NA())</f>
        <v/>
      </c>
      <c r="J625" s="32">
        <f>IFERROR(IF(AND($F625&gt;0,$H625&gt;0,$A625-$G625&lt;=10,$A625-$I625&lt;=5,$G625&gt;0,$I625&gt;0),$F625*$H625,NA()),NA())</f>
        <v/>
      </c>
      <c r="K625" s="15">
        <f>IF($A625="","",IF(AH!$U$5=1,IFERROR(MATCH($A625,'Live History'!$A$5:$A$3004,0),0),AH!$U$7+620))</f>
        <v/>
      </c>
      <c r="L625" s="15">
        <f>IF(ISNUMBER(A625),TEXT(A625,"dd-mmm-yy"),"")</f>
        <v/>
      </c>
    </row>
    <row r="626">
      <c r="A626" s="14">
        <f>IF(OR(AH!$U$4=0,621+1&gt;AH!$U$6,AND(AH!$M$5="Bloomberg",AH!$U$5=0)),"",IFERROR(IF(AND(AH!$U$12=1,621+1=AH!$U$6),TODAY(),IF(AH!$U$5=1,INDEX('Live History'!$A$5:$A$3004,AH!$U$7+621),INDEX('AH History'!$A$5:$A$1380,AH!$U$7+621))),""))</f>
        <v/>
      </c>
      <c r="B626" s="33">
        <f>IFERROR(IF(AH!$U$11=1,NA(),$J626/$E626-1),NA())</f>
        <v/>
      </c>
      <c r="C626" s="269">
        <f>IFERROR(100*$E626/$E$5,NA())</f>
        <v/>
      </c>
      <c r="D626" s="269">
        <f>IFERROR(100*$J626/$J$5,NA())</f>
        <v/>
      </c>
      <c r="E626" s="32">
        <f>IFERROR(IF(AND(ISNUMBER($A626),N(IF(AND(AH!$U$12=1,621+1=AH!$U$6),IF(AH!$U$4=0,"unavailable",INDEX('Market Data'!$AN$5:$AN$66,AH!$U$4)),IF(AH!$U$5=1,INDEX('Live History'!$B$5:$B$3004,$K626),INDEX('AH History'!$D$5:$GG$1380,$K626,AH!$U$10))))&gt;0),IF(AND(AH!$U$12=1,621+1=AH!$U$6),IF(AH!$U$4=0,"unavailable",INDEX('Market Data'!$AN$5:$AN$66,AH!$U$4)),IF(AH!$U$5=1,INDEX('Live History'!$B$5:$B$3004,$K626),INDEX('AH History'!$D$5:$GG$1380,$K626,AH!$U$10))),NA()),NA())</f>
        <v/>
      </c>
      <c r="F626" s="32">
        <f>IFERROR(IF(ISNUMBER($A626),IF(AND(AH!$U$12=1,621+1=AH!$U$6),IF(AH!$U$4=0,"unavailable",INDEX('Market Data'!$AO$5:$AO$66,AH!$U$4)),IF(AH!$U$5=1,INDEX('Live History'!$E$5:$E$3004,MATCH($A626,'Live History'!$D$5:$D$3004,1)),INDEX('AH History'!$D$5:$GG$1380,$K626,AH!$U$10+1))),NA()),NA())</f>
        <v/>
      </c>
      <c r="G626" s="34">
        <f>IFERROR(IF(ISNUMBER($A626),IF(AND(AH!$U$12=1,621+1=AH!$U$6),IF(AH!$U$4=0,"unavailable",INDEX('Market Data'!$AK$5:$AK$66,AH!$U$4)),IF(AH!$U$5=1,INDEX('Live History'!$D$5:$D$3004,MATCH($A626,'Live History'!$D$5:$D$3004,1)),INDEX('AH History'!$D$5:$GG$1380,$K626,AH!$U$10+2))),NA()),NA())</f>
        <v/>
      </c>
      <c r="H626" s="266">
        <f>IFERROR(IF(ISNUMBER($A626),IF(AND(AH!$U$12=1,621+1=AH!$U$6),IF(AH!$U$4=0,"unavailable",INDEX('Market Data'!$AP$5:$AP$66,AH!$U$4)),IF(AH!$U$5=1,INDEX('Live History'!$H$5:$H$3004,MATCH($A626,'Live History'!$G$5:$G$3004,1)),INDEX('AH History'!$B$5:$B$1380,$K626))),NA()),NA())</f>
        <v/>
      </c>
      <c r="I626" s="34">
        <f>IFERROR(IF(ISNUMBER($A626),IF(AND(AH!$U$12=1,621+1=AH!$U$6),TODAY(),IF(AH!$U$5=1,INDEX('Live History'!$G$5:$G$3004,MATCH($A626,'Live History'!$G$5:$G$3004,1)),INDEX('AH History'!$C$5:$C$1380,$K626))),NA()),NA())</f>
        <v/>
      </c>
      <c r="J626" s="32">
        <f>IFERROR(IF(AND($F626&gt;0,$H626&gt;0,$A626-$G626&lt;=10,$A626-$I626&lt;=5,$G626&gt;0,$I626&gt;0),$F626*$H626,NA()),NA())</f>
        <v/>
      </c>
      <c r="K626" s="15">
        <f>IF($A626="","",IF(AH!$U$5=1,IFERROR(MATCH($A626,'Live History'!$A$5:$A$3004,0),0),AH!$U$7+621))</f>
        <v/>
      </c>
      <c r="L626" s="15">
        <f>IF(ISNUMBER(A626),TEXT(A626,"dd-mmm-yy"),"")</f>
        <v/>
      </c>
    </row>
    <row r="627">
      <c r="A627" s="14">
        <f>IF(OR(AH!$U$4=0,622+1&gt;AH!$U$6,AND(AH!$M$5="Bloomberg",AH!$U$5=0)),"",IFERROR(IF(AND(AH!$U$12=1,622+1=AH!$U$6),TODAY(),IF(AH!$U$5=1,INDEX('Live History'!$A$5:$A$3004,AH!$U$7+622),INDEX('AH History'!$A$5:$A$1380,AH!$U$7+622))),""))</f>
        <v/>
      </c>
      <c r="B627" s="33">
        <f>IFERROR(IF(AH!$U$11=1,NA(),$J627/$E627-1),NA())</f>
        <v/>
      </c>
      <c r="C627" s="269">
        <f>IFERROR(100*$E627/$E$5,NA())</f>
        <v/>
      </c>
      <c r="D627" s="269">
        <f>IFERROR(100*$J627/$J$5,NA())</f>
        <v/>
      </c>
      <c r="E627" s="32">
        <f>IFERROR(IF(AND(ISNUMBER($A627),N(IF(AND(AH!$U$12=1,622+1=AH!$U$6),IF(AH!$U$4=0,"unavailable",INDEX('Market Data'!$AN$5:$AN$66,AH!$U$4)),IF(AH!$U$5=1,INDEX('Live History'!$B$5:$B$3004,$K627),INDEX('AH History'!$D$5:$GG$1380,$K627,AH!$U$10))))&gt;0),IF(AND(AH!$U$12=1,622+1=AH!$U$6),IF(AH!$U$4=0,"unavailable",INDEX('Market Data'!$AN$5:$AN$66,AH!$U$4)),IF(AH!$U$5=1,INDEX('Live History'!$B$5:$B$3004,$K627),INDEX('AH History'!$D$5:$GG$1380,$K627,AH!$U$10))),NA()),NA())</f>
        <v/>
      </c>
      <c r="F627" s="32">
        <f>IFERROR(IF(ISNUMBER($A627),IF(AND(AH!$U$12=1,622+1=AH!$U$6),IF(AH!$U$4=0,"unavailable",INDEX('Market Data'!$AO$5:$AO$66,AH!$U$4)),IF(AH!$U$5=1,INDEX('Live History'!$E$5:$E$3004,MATCH($A627,'Live History'!$D$5:$D$3004,1)),INDEX('AH History'!$D$5:$GG$1380,$K627,AH!$U$10+1))),NA()),NA())</f>
        <v/>
      </c>
      <c r="G627" s="34">
        <f>IFERROR(IF(ISNUMBER($A627),IF(AND(AH!$U$12=1,622+1=AH!$U$6),IF(AH!$U$4=0,"unavailable",INDEX('Market Data'!$AK$5:$AK$66,AH!$U$4)),IF(AH!$U$5=1,INDEX('Live History'!$D$5:$D$3004,MATCH($A627,'Live History'!$D$5:$D$3004,1)),INDEX('AH History'!$D$5:$GG$1380,$K627,AH!$U$10+2))),NA()),NA())</f>
        <v/>
      </c>
      <c r="H627" s="266">
        <f>IFERROR(IF(ISNUMBER($A627),IF(AND(AH!$U$12=1,622+1=AH!$U$6),IF(AH!$U$4=0,"unavailable",INDEX('Market Data'!$AP$5:$AP$66,AH!$U$4)),IF(AH!$U$5=1,INDEX('Live History'!$H$5:$H$3004,MATCH($A627,'Live History'!$G$5:$G$3004,1)),INDEX('AH History'!$B$5:$B$1380,$K627))),NA()),NA())</f>
        <v/>
      </c>
      <c r="I627" s="34">
        <f>IFERROR(IF(ISNUMBER($A627),IF(AND(AH!$U$12=1,622+1=AH!$U$6),TODAY(),IF(AH!$U$5=1,INDEX('Live History'!$G$5:$G$3004,MATCH($A627,'Live History'!$G$5:$G$3004,1)),INDEX('AH History'!$C$5:$C$1380,$K627))),NA()),NA())</f>
        <v/>
      </c>
      <c r="J627" s="32">
        <f>IFERROR(IF(AND($F627&gt;0,$H627&gt;0,$A627-$G627&lt;=10,$A627-$I627&lt;=5,$G627&gt;0,$I627&gt;0),$F627*$H627,NA()),NA())</f>
        <v/>
      </c>
      <c r="K627" s="15">
        <f>IF($A627="","",IF(AH!$U$5=1,IFERROR(MATCH($A627,'Live History'!$A$5:$A$3004,0),0),AH!$U$7+622))</f>
        <v/>
      </c>
      <c r="L627" s="15">
        <f>IF(ISNUMBER(A627),TEXT(A627,"dd-mmm-yy"),"")</f>
        <v/>
      </c>
    </row>
    <row r="628">
      <c r="A628" s="14">
        <f>IF(OR(AH!$U$4=0,623+1&gt;AH!$U$6,AND(AH!$M$5="Bloomberg",AH!$U$5=0)),"",IFERROR(IF(AND(AH!$U$12=1,623+1=AH!$U$6),TODAY(),IF(AH!$U$5=1,INDEX('Live History'!$A$5:$A$3004,AH!$U$7+623),INDEX('AH History'!$A$5:$A$1380,AH!$U$7+623))),""))</f>
        <v/>
      </c>
      <c r="B628" s="33">
        <f>IFERROR(IF(AH!$U$11=1,NA(),$J628/$E628-1),NA())</f>
        <v/>
      </c>
      <c r="C628" s="269">
        <f>IFERROR(100*$E628/$E$5,NA())</f>
        <v/>
      </c>
      <c r="D628" s="269">
        <f>IFERROR(100*$J628/$J$5,NA())</f>
        <v/>
      </c>
      <c r="E628" s="32">
        <f>IFERROR(IF(AND(ISNUMBER($A628),N(IF(AND(AH!$U$12=1,623+1=AH!$U$6),IF(AH!$U$4=0,"unavailable",INDEX('Market Data'!$AN$5:$AN$66,AH!$U$4)),IF(AH!$U$5=1,INDEX('Live History'!$B$5:$B$3004,$K628),INDEX('AH History'!$D$5:$GG$1380,$K628,AH!$U$10))))&gt;0),IF(AND(AH!$U$12=1,623+1=AH!$U$6),IF(AH!$U$4=0,"unavailable",INDEX('Market Data'!$AN$5:$AN$66,AH!$U$4)),IF(AH!$U$5=1,INDEX('Live History'!$B$5:$B$3004,$K628),INDEX('AH History'!$D$5:$GG$1380,$K628,AH!$U$10))),NA()),NA())</f>
        <v/>
      </c>
      <c r="F628" s="32">
        <f>IFERROR(IF(ISNUMBER($A628),IF(AND(AH!$U$12=1,623+1=AH!$U$6),IF(AH!$U$4=0,"unavailable",INDEX('Market Data'!$AO$5:$AO$66,AH!$U$4)),IF(AH!$U$5=1,INDEX('Live History'!$E$5:$E$3004,MATCH($A628,'Live History'!$D$5:$D$3004,1)),INDEX('AH History'!$D$5:$GG$1380,$K628,AH!$U$10+1))),NA()),NA())</f>
        <v/>
      </c>
      <c r="G628" s="34">
        <f>IFERROR(IF(ISNUMBER($A628),IF(AND(AH!$U$12=1,623+1=AH!$U$6),IF(AH!$U$4=0,"unavailable",INDEX('Market Data'!$AK$5:$AK$66,AH!$U$4)),IF(AH!$U$5=1,INDEX('Live History'!$D$5:$D$3004,MATCH($A628,'Live History'!$D$5:$D$3004,1)),INDEX('AH History'!$D$5:$GG$1380,$K628,AH!$U$10+2))),NA()),NA())</f>
        <v/>
      </c>
      <c r="H628" s="266">
        <f>IFERROR(IF(ISNUMBER($A628),IF(AND(AH!$U$12=1,623+1=AH!$U$6),IF(AH!$U$4=0,"unavailable",INDEX('Market Data'!$AP$5:$AP$66,AH!$U$4)),IF(AH!$U$5=1,INDEX('Live History'!$H$5:$H$3004,MATCH($A628,'Live History'!$G$5:$G$3004,1)),INDEX('AH History'!$B$5:$B$1380,$K628))),NA()),NA())</f>
        <v/>
      </c>
      <c r="I628" s="34">
        <f>IFERROR(IF(ISNUMBER($A628),IF(AND(AH!$U$12=1,623+1=AH!$U$6),TODAY(),IF(AH!$U$5=1,INDEX('Live History'!$G$5:$G$3004,MATCH($A628,'Live History'!$G$5:$G$3004,1)),INDEX('AH History'!$C$5:$C$1380,$K628))),NA()),NA())</f>
        <v/>
      </c>
      <c r="J628" s="32">
        <f>IFERROR(IF(AND($F628&gt;0,$H628&gt;0,$A628-$G628&lt;=10,$A628-$I628&lt;=5,$G628&gt;0,$I628&gt;0),$F628*$H628,NA()),NA())</f>
        <v/>
      </c>
      <c r="K628" s="15">
        <f>IF($A628="","",IF(AH!$U$5=1,IFERROR(MATCH($A628,'Live History'!$A$5:$A$3004,0),0),AH!$U$7+623))</f>
        <v/>
      </c>
      <c r="L628" s="15">
        <f>IF(ISNUMBER(A628),TEXT(A628,"dd-mmm-yy"),"")</f>
        <v/>
      </c>
    </row>
    <row r="629">
      <c r="A629" s="14">
        <f>IF(OR(AH!$U$4=0,624+1&gt;AH!$U$6,AND(AH!$M$5="Bloomberg",AH!$U$5=0)),"",IFERROR(IF(AND(AH!$U$12=1,624+1=AH!$U$6),TODAY(),IF(AH!$U$5=1,INDEX('Live History'!$A$5:$A$3004,AH!$U$7+624),INDEX('AH History'!$A$5:$A$1380,AH!$U$7+624))),""))</f>
        <v/>
      </c>
      <c r="B629" s="33">
        <f>IFERROR(IF(AH!$U$11=1,NA(),$J629/$E629-1),NA())</f>
        <v/>
      </c>
      <c r="C629" s="269">
        <f>IFERROR(100*$E629/$E$5,NA())</f>
        <v/>
      </c>
      <c r="D629" s="269">
        <f>IFERROR(100*$J629/$J$5,NA())</f>
        <v/>
      </c>
      <c r="E629" s="32">
        <f>IFERROR(IF(AND(ISNUMBER($A629),N(IF(AND(AH!$U$12=1,624+1=AH!$U$6),IF(AH!$U$4=0,"unavailable",INDEX('Market Data'!$AN$5:$AN$66,AH!$U$4)),IF(AH!$U$5=1,INDEX('Live History'!$B$5:$B$3004,$K629),INDEX('AH History'!$D$5:$GG$1380,$K629,AH!$U$10))))&gt;0),IF(AND(AH!$U$12=1,624+1=AH!$U$6),IF(AH!$U$4=0,"unavailable",INDEX('Market Data'!$AN$5:$AN$66,AH!$U$4)),IF(AH!$U$5=1,INDEX('Live History'!$B$5:$B$3004,$K629),INDEX('AH History'!$D$5:$GG$1380,$K629,AH!$U$10))),NA()),NA())</f>
        <v/>
      </c>
      <c r="F629" s="32">
        <f>IFERROR(IF(ISNUMBER($A629),IF(AND(AH!$U$12=1,624+1=AH!$U$6),IF(AH!$U$4=0,"unavailable",INDEX('Market Data'!$AO$5:$AO$66,AH!$U$4)),IF(AH!$U$5=1,INDEX('Live History'!$E$5:$E$3004,MATCH($A629,'Live History'!$D$5:$D$3004,1)),INDEX('AH History'!$D$5:$GG$1380,$K629,AH!$U$10+1))),NA()),NA())</f>
        <v/>
      </c>
      <c r="G629" s="34">
        <f>IFERROR(IF(ISNUMBER($A629),IF(AND(AH!$U$12=1,624+1=AH!$U$6),IF(AH!$U$4=0,"unavailable",INDEX('Market Data'!$AK$5:$AK$66,AH!$U$4)),IF(AH!$U$5=1,INDEX('Live History'!$D$5:$D$3004,MATCH($A629,'Live History'!$D$5:$D$3004,1)),INDEX('AH History'!$D$5:$GG$1380,$K629,AH!$U$10+2))),NA()),NA())</f>
        <v/>
      </c>
      <c r="H629" s="266">
        <f>IFERROR(IF(ISNUMBER($A629),IF(AND(AH!$U$12=1,624+1=AH!$U$6),IF(AH!$U$4=0,"unavailable",INDEX('Market Data'!$AP$5:$AP$66,AH!$U$4)),IF(AH!$U$5=1,INDEX('Live History'!$H$5:$H$3004,MATCH($A629,'Live History'!$G$5:$G$3004,1)),INDEX('AH History'!$B$5:$B$1380,$K629))),NA()),NA())</f>
        <v/>
      </c>
      <c r="I629" s="34">
        <f>IFERROR(IF(ISNUMBER($A629),IF(AND(AH!$U$12=1,624+1=AH!$U$6),TODAY(),IF(AH!$U$5=1,INDEX('Live History'!$G$5:$G$3004,MATCH($A629,'Live History'!$G$5:$G$3004,1)),INDEX('AH History'!$C$5:$C$1380,$K629))),NA()),NA())</f>
        <v/>
      </c>
      <c r="J629" s="32">
        <f>IFERROR(IF(AND($F629&gt;0,$H629&gt;0,$A629-$G629&lt;=10,$A629-$I629&lt;=5,$G629&gt;0,$I629&gt;0),$F629*$H629,NA()),NA())</f>
        <v/>
      </c>
      <c r="K629" s="15">
        <f>IF($A629="","",IF(AH!$U$5=1,IFERROR(MATCH($A629,'Live History'!$A$5:$A$3004,0),0),AH!$U$7+624))</f>
        <v/>
      </c>
      <c r="L629" s="15">
        <f>IF(ISNUMBER(A629),TEXT(A629,"dd-mmm-yy"),"")</f>
        <v/>
      </c>
    </row>
    <row r="630">
      <c r="A630" s="14">
        <f>IF(OR(AH!$U$4=0,625+1&gt;AH!$U$6,AND(AH!$M$5="Bloomberg",AH!$U$5=0)),"",IFERROR(IF(AND(AH!$U$12=1,625+1=AH!$U$6),TODAY(),IF(AH!$U$5=1,INDEX('Live History'!$A$5:$A$3004,AH!$U$7+625),INDEX('AH History'!$A$5:$A$1380,AH!$U$7+625))),""))</f>
        <v/>
      </c>
      <c r="B630" s="33">
        <f>IFERROR(IF(AH!$U$11=1,NA(),$J630/$E630-1),NA())</f>
        <v/>
      </c>
      <c r="C630" s="269">
        <f>IFERROR(100*$E630/$E$5,NA())</f>
        <v/>
      </c>
      <c r="D630" s="269">
        <f>IFERROR(100*$J630/$J$5,NA())</f>
        <v/>
      </c>
      <c r="E630" s="32">
        <f>IFERROR(IF(AND(ISNUMBER($A630),N(IF(AND(AH!$U$12=1,625+1=AH!$U$6),IF(AH!$U$4=0,"unavailable",INDEX('Market Data'!$AN$5:$AN$66,AH!$U$4)),IF(AH!$U$5=1,INDEX('Live History'!$B$5:$B$3004,$K630),INDEX('AH History'!$D$5:$GG$1380,$K630,AH!$U$10))))&gt;0),IF(AND(AH!$U$12=1,625+1=AH!$U$6),IF(AH!$U$4=0,"unavailable",INDEX('Market Data'!$AN$5:$AN$66,AH!$U$4)),IF(AH!$U$5=1,INDEX('Live History'!$B$5:$B$3004,$K630),INDEX('AH History'!$D$5:$GG$1380,$K630,AH!$U$10))),NA()),NA())</f>
        <v/>
      </c>
      <c r="F630" s="32">
        <f>IFERROR(IF(ISNUMBER($A630),IF(AND(AH!$U$12=1,625+1=AH!$U$6),IF(AH!$U$4=0,"unavailable",INDEX('Market Data'!$AO$5:$AO$66,AH!$U$4)),IF(AH!$U$5=1,INDEX('Live History'!$E$5:$E$3004,MATCH($A630,'Live History'!$D$5:$D$3004,1)),INDEX('AH History'!$D$5:$GG$1380,$K630,AH!$U$10+1))),NA()),NA())</f>
        <v/>
      </c>
      <c r="G630" s="34">
        <f>IFERROR(IF(ISNUMBER($A630),IF(AND(AH!$U$12=1,625+1=AH!$U$6),IF(AH!$U$4=0,"unavailable",INDEX('Market Data'!$AK$5:$AK$66,AH!$U$4)),IF(AH!$U$5=1,INDEX('Live History'!$D$5:$D$3004,MATCH($A630,'Live History'!$D$5:$D$3004,1)),INDEX('AH History'!$D$5:$GG$1380,$K630,AH!$U$10+2))),NA()),NA())</f>
        <v/>
      </c>
      <c r="H630" s="266">
        <f>IFERROR(IF(ISNUMBER($A630),IF(AND(AH!$U$12=1,625+1=AH!$U$6),IF(AH!$U$4=0,"unavailable",INDEX('Market Data'!$AP$5:$AP$66,AH!$U$4)),IF(AH!$U$5=1,INDEX('Live History'!$H$5:$H$3004,MATCH($A630,'Live History'!$G$5:$G$3004,1)),INDEX('AH History'!$B$5:$B$1380,$K630))),NA()),NA())</f>
        <v/>
      </c>
      <c r="I630" s="34">
        <f>IFERROR(IF(ISNUMBER($A630),IF(AND(AH!$U$12=1,625+1=AH!$U$6),TODAY(),IF(AH!$U$5=1,INDEX('Live History'!$G$5:$G$3004,MATCH($A630,'Live History'!$G$5:$G$3004,1)),INDEX('AH History'!$C$5:$C$1380,$K630))),NA()),NA())</f>
        <v/>
      </c>
      <c r="J630" s="32">
        <f>IFERROR(IF(AND($F630&gt;0,$H630&gt;0,$A630-$G630&lt;=10,$A630-$I630&lt;=5,$G630&gt;0,$I630&gt;0),$F630*$H630,NA()),NA())</f>
        <v/>
      </c>
      <c r="K630" s="15">
        <f>IF($A630="","",IF(AH!$U$5=1,IFERROR(MATCH($A630,'Live History'!$A$5:$A$3004,0),0),AH!$U$7+625))</f>
        <v/>
      </c>
      <c r="L630" s="15">
        <f>IF(ISNUMBER(A630),TEXT(A630,"dd-mmm-yy"),"")</f>
        <v/>
      </c>
    </row>
    <row r="631">
      <c r="A631" s="14">
        <f>IF(OR(AH!$U$4=0,626+1&gt;AH!$U$6,AND(AH!$M$5="Bloomberg",AH!$U$5=0)),"",IFERROR(IF(AND(AH!$U$12=1,626+1=AH!$U$6),TODAY(),IF(AH!$U$5=1,INDEX('Live History'!$A$5:$A$3004,AH!$U$7+626),INDEX('AH History'!$A$5:$A$1380,AH!$U$7+626))),""))</f>
        <v/>
      </c>
      <c r="B631" s="33">
        <f>IFERROR(IF(AH!$U$11=1,NA(),$J631/$E631-1),NA())</f>
        <v/>
      </c>
      <c r="C631" s="269">
        <f>IFERROR(100*$E631/$E$5,NA())</f>
        <v/>
      </c>
      <c r="D631" s="269">
        <f>IFERROR(100*$J631/$J$5,NA())</f>
        <v/>
      </c>
      <c r="E631" s="32">
        <f>IFERROR(IF(AND(ISNUMBER($A631),N(IF(AND(AH!$U$12=1,626+1=AH!$U$6),IF(AH!$U$4=0,"unavailable",INDEX('Market Data'!$AN$5:$AN$66,AH!$U$4)),IF(AH!$U$5=1,INDEX('Live History'!$B$5:$B$3004,$K631),INDEX('AH History'!$D$5:$GG$1380,$K631,AH!$U$10))))&gt;0),IF(AND(AH!$U$12=1,626+1=AH!$U$6),IF(AH!$U$4=0,"unavailable",INDEX('Market Data'!$AN$5:$AN$66,AH!$U$4)),IF(AH!$U$5=1,INDEX('Live History'!$B$5:$B$3004,$K631),INDEX('AH History'!$D$5:$GG$1380,$K631,AH!$U$10))),NA()),NA())</f>
        <v/>
      </c>
      <c r="F631" s="32">
        <f>IFERROR(IF(ISNUMBER($A631),IF(AND(AH!$U$12=1,626+1=AH!$U$6),IF(AH!$U$4=0,"unavailable",INDEX('Market Data'!$AO$5:$AO$66,AH!$U$4)),IF(AH!$U$5=1,INDEX('Live History'!$E$5:$E$3004,MATCH($A631,'Live History'!$D$5:$D$3004,1)),INDEX('AH History'!$D$5:$GG$1380,$K631,AH!$U$10+1))),NA()),NA())</f>
        <v/>
      </c>
      <c r="G631" s="34">
        <f>IFERROR(IF(ISNUMBER($A631),IF(AND(AH!$U$12=1,626+1=AH!$U$6),IF(AH!$U$4=0,"unavailable",INDEX('Market Data'!$AK$5:$AK$66,AH!$U$4)),IF(AH!$U$5=1,INDEX('Live History'!$D$5:$D$3004,MATCH($A631,'Live History'!$D$5:$D$3004,1)),INDEX('AH History'!$D$5:$GG$1380,$K631,AH!$U$10+2))),NA()),NA())</f>
        <v/>
      </c>
      <c r="H631" s="266">
        <f>IFERROR(IF(ISNUMBER($A631),IF(AND(AH!$U$12=1,626+1=AH!$U$6),IF(AH!$U$4=0,"unavailable",INDEX('Market Data'!$AP$5:$AP$66,AH!$U$4)),IF(AH!$U$5=1,INDEX('Live History'!$H$5:$H$3004,MATCH($A631,'Live History'!$G$5:$G$3004,1)),INDEX('AH History'!$B$5:$B$1380,$K631))),NA()),NA())</f>
        <v/>
      </c>
      <c r="I631" s="34">
        <f>IFERROR(IF(ISNUMBER($A631),IF(AND(AH!$U$12=1,626+1=AH!$U$6),TODAY(),IF(AH!$U$5=1,INDEX('Live History'!$G$5:$G$3004,MATCH($A631,'Live History'!$G$5:$G$3004,1)),INDEX('AH History'!$C$5:$C$1380,$K631))),NA()),NA())</f>
        <v/>
      </c>
      <c r="J631" s="32">
        <f>IFERROR(IF(AND($F631&gt;0,$H631&gt;0,$A631-$G631&lt;=10,$A631-$I631&lt;=5,$G631&gt;0,$I631&gt;0),$F631*$H631,NA()),NA())</f>
        <v/>
      </c>
      <c r="K631" s="15">
        <f>IF($A631="","",IF(AH!$U$5=1,IFERROR(MATCH($A631,'Live History'!$A$5:$A$3004,0),0),AH!$U$7+626))</f>
        <v/>
      </c>
      <c r="L631" s="15">
        <f>IF(ISNUMBER(A631),TEXT(A631,"dd-mmm-yy"),"")</f>
        <v/>
      </c>
    </row>
    <row r="632">
      <c r="A632" s="14">
        <f>IF(OR(AH!$U$4=0,627+1&gt;AH!$U$6,AND(AH!$M$5="Bloomberg",AH!$U$5=0)),"",IFERROR(IF(AND(AH!$U$12=1,627+1=AH!$U$6),TODAY(),IF(AH!$U$5=1,INDEX('Live History'!$A$5:$A$3004,AH!$U$7+627),INDEX('AH History'!$A$5:$A$1380,AH!$U$7+627))),""))</f>
        <v/>
      </c>
      <c r="B632" s="33">
        <f>IFERROR(IF(AH!$U$11=1,NA(),$J632/$E632-1),NA())</f>
        <v/>
      </c>
      <c r="C632" s="269">
        <f>IFERROR(100*$E632/$E$5,NA())</f>
        <v/>
      </c>
      <c r="D632" s="269">
        <f>IFERROR(100*$J632/$J$5,NA())</f>
        <v/>
      </c>
      <c r="E632" s="32">
        <f>IFERROR(IF(AND(ISNUMBER($A632),N(IF(AND(AH!$U$12=1,627+1=AH!$U$6),IF(AH!$U$4=0,"unavailable",INDEX('Market Data'!$AN$5:$AN$66,AH!$U$4)),IF(AH!$U$5=1,INDEX('Live History'!$B$5:$B$3004,$K632),INDEX('AH History'!$D$5:$GG$1380,$K632,AH!$U$10))))&gt;0),IF(AND(AH!$U$12=1,627+1=AH!$U$6),IF(AH!$U$4=0,"unavailable",INDEX('Market Data'!$AN$5:$AN$66,AH!$U$4)),IF(AH!$U$5=1,INDEX('Live History'!$B$5:$B$3004,$K632),INDEX('AH History'!$D$5:$GG$1380,$K632,AH!$U$10))),NA()),NA())</f>
        <v/>
      </c>
      <c r="F632" s="32">
        <f>IFERROR(IF(ISNUMBER($A632),IF(AND(AH!$U$12=1,627+1=AH!$U$6),IF(AH!$U$4=0,"unavailable",INDEX('Market Data'!$AO$5:$AO$66,AH!$U$4)),IF(AH!$U$5=1,INDEX('Live History'!$E$5:$E$3004,MATCH($A632,'Live History'!$D$5:$D$3004,1)),INDEX('AH History'!$D$5:$GG$1380,$K632,AH!$U$10+1))),NA()),NA())</f>
        <v/>
      </c>
      <c r="G632" s="34">
        <f>IFERROR(IF(ISNUMBER($A632),IF(AND(AH!$U$12=1,627+1=AH!$U$6),IF(AH!$U$4=0,"unavailable",INDEX('Market Data'!$AK$5:$AK$66,AH!$U$4)),IF(AH!$U$5=1,INDEX('Live History'!$D$5:$D$3004,MATCH($A632,'Live History'!$D$5:$D$3004,1)),INDEX('AH History'!$D$5:$GG$1380,$K632,AH!$U$10+2))),NA()),NA())</f>
        <v/>
      </c>
      <c r="H632" s="266">
        <f>IFERROR(IF(ISNUMBER($A632),IF(AND(AH!$U$12=1,627+1=AH!$U$6),IF(AH!$U$4=0,"unavailable",INDEX('Market Data'!$AP$5:$AP$66,AH!$U$4)),IF(AH!$U$5=1,INDEX('Live History'!$H$5:$H$3004,MATCH($A632,'Live History'!$G$5:$G$3004,1)),INDEX('AH History'!$B$5:$B$1380,$K632))),NA()),NA())</f>
        <v/>
      </c>
      <c r="I632" s="34">
        <f>IFERROR(IF(ISNUMBER($A632),IF(AND(AH!$U$12=1,627+1=AH!$U$6),TODAY(),IF(AH!$U$5=1,INDEX('Live History'!$G$5:$G$3004,MATCH($A632,'Live History'!$G$5:$G$3004,1)),INDEX('AH History'!$C$5:$C$1380,$K632))),NA()),NA())</f>
        <v/>
      </c>
      <c r="J632" s="32">
        <f>IFERROR(IF(AND($F632&gt;0,$H632&gt;0,$A632-$G632&lt;=10,$A632-$I632&lt;=5,$G632&gt;0,$I632&gt;0),$F632*$H632,NA()),NA())</f>
        <v/>
      </c>
      <c r="K632" s="15">
        <f>IF($A632="","",IF(AH!$U$5=1,IFERROR(MATCH($A632,'Live History'!$A$5:$A$3004,0),0),AH!$U$7+627))</f>
        <v/>
      </c>
      <c r="L632" s="15">
        <f>IF(ISNUMBER(A632),TEXT(A632,"dd-mmm-yy"),"")</f>
        <v/>
      </c>
    </row>
    <row r="633">
      <c r="A633" s="14">
        <f>IF(OR(AH!$U$4=0,628+1&gt;AH!$U$6,AND(AH!$M$5="Bloomberg",AH!$U$5=0)),"",IFERROR(IF(AND(AH!$U$12=1,628+1=AH!$U$6),TODAY(),IF(AH!$U$5=1,INDEX('Live History'!$A$5:$A$3004,AH!$U$7+628),INDEX('AH History'!$A$5:$A$1380,AH!$U$7+628))),""))</f>
        <v/>
      </c>
      <c r="B633" s="33">
        <f>IFERROR(IF(AH!$U$11=1,NA(),$J633/$E633-1),NA())</f>
        <v/>
      </c>
      <c r="C633" s="269">
        <f>IFERROR(100*$E633/$E$5,NA())</f>
        <v/>
      </c>
      <c r="D633" s="269">
        <f>IFERROR(100*$J633/$J$5,NA())</f>
        <v/>
      </c>
      <c r="E633" s="32">
        <f>IFERROR(IF(AND(ISNUMBER($A633),N(IF(AND(AH!$U$12=1,628+1=AH!$U$6),IF(AH!$U$4=0,"unavailable",INDEX('Market Data'!$AN$5:$AN$66,AH!$U$4)),IF(AH!$U$5=1,INDEX('Live History'!$B$5:$B$3004,$K633),INDEX('AH History'!$D$5:$GG$1380,$K633,AH!$U$10))))&gt;0),IF(AND(AH!$U$12=1,628+1=AH!$U$6),IF(AH!$U$4=0,"unavailable",INDEX('Market Data'!$AN$5:$AN$66,AH!$U$4)),IF(AH!$U$5=1,INDEX('Live History'!$B$5:$B$3004,$K633),INDEX('AH History'!$D$5:$GG$1380,$K633,AH!$U$10))),NA()),NA())</f>
        <v/>
      </c>
      <c r="F633" s="32">
        <f>IFERROR(IF(ISNUMBER($A633),IF(AND(AH!$U$12=1,628+1=AH!$U$6),IF(AH!$U$4=0,"unavailable",INDEX('Market Data'!$AO$5:$AO$66,AH!$U$4)),IF(AH!$U$5=1,INDEX('Live History'!$E$5:$E$3004,MATCH($A633,'Live History'!$D$5:$D$3004,1)),INDEX('AH History'!$D$5:$GG$1380,$K633,AH!$U$10+1))),NA()),NA())</f>
        <v/>
      </c>
      <c r="G633" s="34">
        <f>IFERROR(IF(ISNUMBER($A633),IF(AND(AH!$U$12=1,628+1=AH!$U$6),IF(AH!$U$4=0,"unavailable",INDEX('Market Data'!$AK$5:$AK$66,AH!$U$4)),IF(AH!$U$5=1,INDEX('Live History'!$D$5:$D$3004,MATCH($A633,'Live History'!$D$5:$D$3004,1)),INDEX('AH History'!$D$5:$GG$1380,$K633,AH!$U$10+2))),NA()),NA())</f>
        <v/>
      </c>
      <c r="H633" s="266">
        <f>IFERROR(IF(ISNUMBER($A633),IF(AND(AH!$U$12=1,628+1=AH!$U$6),IF(AH!$U$4=0,"unavailable",INDEX('Market Data'!$AP$5:$AP$66,AH!$U$4)),IF(AH!$U$5=1,INDEX('Live History'!$H$5:$H$3004,MATCH($A633,'Live History'!$G$5:$G$3004,1)),INDEX('AH History'!$B$5:$B$1380,$K633))),NA()),NA())</f>
        <v/>
      </c>
      <c r="I633" s="34">
        <f>IFERROR(IF(ISNUMBER($A633),IF(AND(AH!$U$12=1,628+1=AH!$U$6),TODAY(),IF(AH!$U$5=1,INDEX('Live History'!$G$5:$G$3004,MATCH($A633,'Live History'!$G$5:$G$3004,1)),INDEX('AH History'!$C$5:$C$1380,$K633))),NA()),NA())</f>
        <v/>
      </c>
      <c r="J633" s="32">
        <f>IFERROR(IF(AND($F633&gt;0,$H633&gt;0,$A633-$G633&lt;=10,$A633-$I633&lt;=5,$G633&gt;0,$I633&gt;0),$F633*$H633,NA()),NA())</f>
        <v/>
      </c>
      <c r="K633" s="15">
        <f>IF($A633="","",IF(AH!$U$5=1,IFERROR(MATCH($A633,'Live History'!$A$5:$A$3004,0),0),AH!$U$7+628))</f>
        <v/>
      </c>
      <c r="L633" s="15">
        <f>IF(ISNUMBER(A633),TEXT(A633,"dd-mmm-yy"),"")</f>
        <v/>
      </c>
    </row>
    <row r="634">
      <c r="A634" s="14">
        <f>IF(OR(AH!$U$4=0,629+1&gt;AH!$U$6,AND(AH!$M$5="Bloomberg",AH!$U$5=0)),"",IFERROR(IF(AND(AH!$U$12=1,629+1=AH!$U$6),TODAY(),IF(AH!$U$5=1,INDEX('Live History'!$A$5:$A$3004,AH!$U$7+629),INDEX('AH History'!$A$5:$A$1380,AH!$U$7+629))),""))</f>
        <v/>
      </c>
      <c r="B634" s="33">
        <f>IFERROR(IF(AH!$U$11=1,NA(),$J634/$E634-1),NA())</f>
        <v/>
      </c>
      <c r="C634" s="269">
        <f>IFERROR(100*$E634/$E$5,NA())</f>
        <v/>
      </c>
      <c r="D634" s="269">
        <f>IFERROR(100*$J634/$J$5,NA())</f>
        <v/>
      </c>
      <c r="E634" s="32">
        <f>IFERROR(IF(AND(ISNUMBER($A634),N(IF(AND(AH!$U$12=1,629+1=AH!$U$6),IF(AH!$U$4=0,"unavailable",INDEX('Market Data'!$AN$5:$AN$66,AH!$U$4)),IF(AH!$U$5=1,INDEX('Live History'!$B$5:$B$3004,$K634),INDEX('AH History'!$D$5:$GG$1380,$K634,AH!$U$10))))&gt;0),IF(AND(AH!$U$12=1,629+1=AH!$U$6),IF(AH!$U$4=0,"unavailable",INDEX('Market Data'!$AN$5:$AN$66,AH!$U$4)),IF(AH!$U$5=1,INDEX('Live History'!$B$5:$B$3004,$K634),INDEX('AH History'!$D$5:$GG$1380,$K634,AH!$U$10))),NA()),NA())</f>
        <v/>
      </c>
      <c r="F634" s="32">
        <f>IFERROR(IF(ISNUMBER($A634),IF(AND(AH!$U$12=1,629+1=AH!$U$6),IF(AH!$U$4=0,"unavailable",INDEX('Market Data'!$AO$5:$AO$66,AH!$U$4)),IF(AH!$U$5=1,INDEX('Live History'!$E$5:$E$3004,MATCH($A634,'Live History'!$D$5:$D$3004,1)),INDEX('AH History'!$D$5:$GG$1380,$K634,AH!$U$10+1))),NA()),NA())</f>
        <v/>
      </c>
      <c r="G634" s="34">
        <f>IFERROR(IF(ISNUMBER($A634),IF(AND(AH!$U$12=1,629+1=AH!$U$6),IF(AH!$U$4=0,"unavailable",INDEX('Market Data'!$AK$5:$AK$66,AH!$U$4)),IF(AH!$U$5=1,INDEX('Live History'!$D$5:$D$3004,MATCH($A634,'Live History'!$D$5:$D$3004,1)),INDEX('AH History'!$D$5:$GG$1380,$K634,AH!$U$10+2))),NA()),NA())</f>
        <v/>
      </c>
      <c r="H634" s="266">
        <f>IFERROR(IF(ISNUMBER($A634),IF(AND(AH!$U$12=1,629+1=AH!$U$6),IF(AH!$U$4=0,"unavailable",INDEX('Market Data'!$AP$5:$AP$66,AH!$U$4)),IF(AH!$U$5=1,INDEX('Live History'!$H$5:$H$3004,MATCH($A634,'Live History'!$G$5:$G$3004,1)),INDEX('AH History'!$B$5:$B$1380,$K634))),NA()),NA())</f>
        <v/>
      </c>
      <c r="I634" s="34">
        <f>IFERROR(IF(ISNUMBER($A634),IF(AND(AH!$U$12=1,629+1=AH!$U$6),TODAY(),IF(AH!$U$5=1,INDEX('Live History'!$G$5:$G$3004,MATCH($A634,'Live History'!$G$5:$G$3004,1)),INDEX('AH History'!$C$5:$C$1380,$K634))),NA()),NA())</f>
        <v/>
      </c>
      <c r="J634" s="32">
        <f>IFERROR(IF(AND($F634&gt;0,$H634&gt;0,$A634-$G634&lt;=10,$A634-$I634&lt;=5,$G634&gt;0,$I634&gt;0),$F634*$H634,NA()),NA())</f>
        <v/>
      </c>
      <c r="K634" s="15">
        <f>IF($A634="","",IF(AH!$U$5=1,IFERROR(MATCH($A634,'Live History'!$A$5:$A$3004,0),0),AH!$U$7+629))</f>
        <v/>
      </c>
      <c r="L634" s="15">
        <f>IF(ISNUMBER(A634),TEXT(A634,"dd-mmm-yy"),"")</f>
        <v/>
      </c>
    </row>
    <row r="635">
      <c r="A635" s="14">
        <f>IF(OR(AH!$U$4=0,630+1&gt;AH!$U$6,AND(AH!$M$5="Bloomberg",AH!$U$5=0)),"",IFERROR(IF(AND(AH!$U$12=1,630+1=AH!$U$6),TODAY(),IF(AH!$U$5=1,INDEX('Live History'!$A$5:$A$3004,AH!$U$7+630),INDEX('AH History'!$A$5:$A$1380,AH!$U$7+630))),""))</f>
        <v/>
      </c>
      <c r="B635" s="33">
        <f>IFERROR(IF(AH!$U$11=1,NA(),$J635/$E635-1),NA())</f>
        <v/>
      </c>
      <c r="C635" s="269">
        <f>IFERROR(100*$E635/$E$5,NA())</f>
        <v/>
      </c>
      <c r="D635" s="269">
        <f>IFERROR(100*$J635/$J$5,NA())</f>
        <v/>
      </c>
      <c r="E635" s="32">
        <f>IFERROR(IF(AND(ISNUMBER($A635),N(IF(AND(AH!$U$12=1,630+1=AH!$U$6),IF(AH!$U$4=0,"unavailable",INDEX('Market Data'!$AN$5:$AN$66,AH!$U$4)),IF(AH!$U$5=1,INDEX('Live History'!$B$5:$B$3004,$K635),INDEX('AH History'!$D$5:$GG$1380,$K635,AH!$U$10))))&gt;0),IF(AND(AH!$U$12=1,630+1=AH!$U$6),IF(AH!$U$4=0,"unavailable",INDEX('Market Data'!$AN$5:$AN$66,AH!$U$4)),IF(AH!$U$5=1,INDEX('Live History'!$B$5:$B$3004,$K635),INDEX('AH History'!$D$5:$GG$1380,$K635,AH!$U$10))),NA()),NA())</f>
        <v/>
      </c>
      <c r="F635" s="32">
        <f>IFERROR(IF(ISNUMBER($A635),IF(AND(AH!$U$12=1,630+1=AH!$U$6),IF(AH!$U$4=0,"unavailable",INDEX('Market Data'!$AO$5:$AO$66,AH!$U$4)),IF(AH!$U$5=1,INDEX('Live History'!$E$5:$E$3004,MATCH($A635,'Live History'!$D$5:$D$3004,1)),INDEX('AH History'!$D$5:$GG$1380,$K635,AH!$U$10+1))),NA()),NA())</f>
        <v/>
      </c>
      <c r="G635" s="34">
        <f>IFERROR(IF(ISNUMBER($A635),IF(AND(AH!$U$12=1,630+1=AH!$U$6),IF(AH!$U$4=0,"unavailable",INDEX('Market Data'!$AK$5:$AK$66,AH!$U$4)),IF(AH!$U$5=1,INDEX('Live History'!$D$5:$D$3004,MATCH($A635,'Live History'!$D$5:$D$3004,1)),INDEX('AH History'!$D$5:$GG$1380,$K635,AH!$U$10+2))),NA()),NA())</f>
        <v/>
      </c>
      <c r="H635" s="266">
        <f>IFERROR(IF(ISNUMBER($A635),IF(AND(AH!$U$12=1,630+1=AH!$U$6),IF(AH!$U$4=0,"unavailable",INDEX('Market Data'!$AP$5:$AP$66,AH!$U$4)),IF(AH!$U$5=1,INDEX('Live History'!$H$5:$H$3004,MATCH($A635,'Live History'!$G$5:$G$3004,1)),INDEX('AH History'!$B$5:$B$1380,$K635))),NA()),NA())</f>
        <v/>
      </c>
      <c r="I635" s="34">
        <f>IFERROR(IF(ISNUMBER($A635),IF(AND(AH!$U$12=1,630+1=AH!$U$6),TODAY(),IF(AH!$U$5=1,INDEX('Live History'!$G$5:$G$3004,MATCH($A635,'Live History'!$G$5:$G$3004,1)),INDEX('AH History'!$C$5:$C$1380,$K635))),NA()),NA())</f>
        <v/>
      </c>
      <c r="J635" s="32">
        <f>IFERROR(IF(AND($F635&gt;0,$H635&gt;0,$A635-$G635&lt;=10,$A635-$I635&lt;=5,$G635&gt;0,$I635&gt;0),$F635*$H635,NA()),NA())</f>
        <v/>
      </c>
      <c r="K635" s="15">
        <f>IF($A635="","",IF(AH!$U$5=1,IFERROR(MATCH($A635,'Live History'!$A$5:$A$3004,0),0),AH!$U$7+630))</f>
        <v/>
      </c>
      <c r="L635" s="15">
        <f>IF(ISNUMBER(A635),TEXT(A635,"dd-mmm-yy"),"")</f>
        <v/>
      </c>
    </row>
    <row r="636">
      <c r="A636" s="14">
        <f>IF(OR(AH!$U$4=0,631+1&gt;AH!$U$6,AND(AH!$M$5="Bloomberg",AH!$U$5=0)),"",IFERROR(IF(AND(AH!$U$12=1,631+1=AH!$U$6),TODAY(),IF(AH!$U$5=1,INDEX('Live History'!$A$5:$A$3004,AH!$U$7+631),INDEX('AH History'!$A$5:$A$1380,AH!$U$7+631))),""))</f>
        <v/>
      </c>
      <c r="B636" s="33">
        <f>IFERROR(IF(AH!$U$11=1,NA(),$J636/$E636-1),NA())</f>
        <v/>
      </c>
      <c r="C636" s="269">
        <f>IFERROR(100*$E636/$E$5,NA())</f>
        <v/>
      </c>
      <c r="D636" s="269">
        <f>IFERROR(100*$J636/$J$5,NA())</f>
        <v/>
      </c>
      <c r="E636" s="32">
        <f>IFERROR(IF(AND(ISNUMBER($A636),N(IF(AND(AH!$U$12=1,631+1=AH!$U$6),IF(AH!$U$4=0,"unavailable",INDEX('Market Data'!$AN$5:$AN$66,AH!$U$4)),IF(AH!$U$5=1,INDEX('Live History'!$B$5:$B$3004,$K636),INDEX('AH History'!$D$5:$GG$1380,$K636,AH!$U$10))))&gt;0),IF(AND(AH!$U$12=1,631+1=AH!$U$6),IF(AH!$U$4=0,"unavailable",INDEX('Market Data'!$AN$5:$AN$66,AH!$U$4)),IF(AH!$U$5=1,INDEX('Live History'!$B$5:$B$3004,$K636),INDEX('AH History'!$D$5:$GG$1380,$K636,AH!$U$10))),NA()),NA())</f>
        <v/>
      </c>
      <c r="F636" s="32">
        <f>IFERROR(IF(ISNUMBER($A636),IF(AND(AH!$U$12=1,631+1=AH!$U$6),IF(AH!$U$4=0,"unavailable",INDEX('Market Data'!$AO$5:$AO$66,AH!$U$4)),IF(AH!$U$5=1,INDEX('Live History'!$E$5:$E$3004,MATCH($A636,'Live History'!$D$5:$D$3004,1)),INDEX('AH History'!$D$5:$GG$1380,$K636,AH!$U$10+1))),NA()),NA())</f>
        <v/>
      </c>
      <c r="G636" s="34">
        <f>IFERROR(IF(ISNUMBER($A636),IF(AND(AH!$U$12=1,631+1=AH!$U$6),IF(AH!$U$4=0,"unavailable",INDEX('Market Data'!$AK$5:$AK$66,AH!$U$4)),IF(AH!$U$5=1,INDEX('Live History'!$D$5:$D$3004,MATCH($A636,'Live History'!$D$5:$D$3004,1)),INDEX('AH History'!$D$5:$GG$1380,$K636,AH!$U$10+2))),NA()),NA())</f>
        <v/>
      </c>
      <c r="H636" s="266">
        <f>IFERROR(IF(ISNUMBER($A636),IF(AND(AH!$U$12=1,631+1=AH!$U$6),IF(AH!$U$4=0,"unavailable",INDEX('Market Data'!$AP$5:$AP$66,AH!$U$4)),IF(AH!$U$5=1,INDEX('Live History'!$H$5:$H$3004,MATCH($A636,'Live History'!$G$5:$G$3004,1)),INDEX('AH History'!$B$5:$B$1380,$K636))),NA()),NA())</f>
        <v/>
      </c>
      <c r="I636" s="34">
        <f>IFERROR(IF(ISNUMBER($A636),IF(AND(AH!$U$12=1,631+1=AH!$U$6),TODAY(),IF(AH!$U$5=1,INDEX('Live History'!$G$5:$G$3004,MATCH($A636,'Live History'!$G$5:$G$3004,1)),INDEX('AH History'!$C$5:$C$1380,$K636))),NA()),NA())</f>
        <v/>
      </c>
      <c r="J636" s="32">
        <f>IFERROR(IF(AND($F636&gt;0,$H636&gt;0,$A636-$G636&lt;=10,$A636-$I636&lt;=5,$G636&gt;0,$I636&gt;0),$F636*$H636,NA()),NA())</f>
        <v/>
      </c>
      <c r="K636" s="15">
        <f>IF($A636="","",IF(AH!$U$5=1,IFERROR(MATCH($A636,'Live History'!$A$5:$A$3004,0),0),AH!$U$7+631))</f>
        <v/>
      </c>
      <c r="L636" s="15">
        <f>IF(ISNUMBER(A636),TEXT(A636,"dd-mmm-yy"),"")</f>
        <v/>
      </c>
    </row>
    <row r="637">
      <c r="A637" s="14">
        <f>IF(OR(AH!$U$4=0,632+1&gt;AH!$U$6,AND(AH!$M$5="Bloomberg",AH!$U$5=0)),"",IFERROR(IF(AND(AH!$U$12=1,632+1=AH!$U$6),TODAY(),IF(AH!$U$5=1,INDEX('Live History'!$A$5:$A$3004,AH!$U$7+632),INDEX('AH History'!$A$5:$A$1380,AH!$U$7+632))),""))</f>
        <v/>
      </c>
      <c r="B637" s="33">
        <f>IFERROR(IF(AH!$U$11=1,NA(),$J637/$E637-1),NA())</f>
        <v/>
      </c>
      <c r="C637" s="269">
        <f>IFERROR(100*$E637/$E$5,NA())</f>
        <v/>
      </c>
      <c r="D637" s="269">
        <f>IFERROR(100*$J637/$J$5,NA())</f>
        <v/>
      </c>
      <c r="E637" s="32">
        <f>IFERROR(IF(AND(ISNUMBER($A637),N(IF(AND(AH!$U$12=1,632+1=AH!$U$6),IF(AH!$U$4=0,"unavailable",INDEX('Market Data'!$AN$5:$AN$66,AH!$U$4)),IF(AH!$U$5=1,INDEX('Live History'!$B$5:$B$3004,$K637),INDEX('AH History'!$D$5:$GG$1380,$K637,AH!$U$10))))&gt;0),IF(AND(AH!$U$12=1,632+1=AH!$U$6),IF(AH!$U$4=0,"unavailable",INDEX('Market Data'!$AN$5:$AN$66,AH!$U$4)),IF(AH!$U$5=1,INDEX('Live History'!$B$5:$B$3004,$K637),INDEX('AH History'!$D$5:$GG$1380,$K637,AH!$U$10))),NA()),NA())</f>
        <v/>
      </c>
      <c r="F637" s="32">
        <f>IFERROR(IF(ISNUMBER($A637),IF(AND(AH!$U$12=1,632+1=AH!$U$6),IF(AH!$U$4=0,"unavailable",INDEX('Market Data'!$AO$5:$AO$66,AH!$U$4)),IF(AH!$U$5=1,INDEX('Live History'!$E$5:$E$3004,MATCH($A637,'Live History'!$D$5:$D$3004,1)),INDEX('AH History'!$D$5:$GG$1380,$K637,AH!$U$10+1))),NA()),NA())</f>
        <v/>
      </c>
      <c r="G637" s="34">
        <f>IFERROR(IF(ISNUMBER($A637),IF(AND(AH!$U$12=1,632+1=AH!$U$6),IF(AH!$U$4=0,"unavailable",INDEX('Market Data'!$AK$5:$AK$66,AH!$U$4)),IF(AH!$U$5=1,INDEX('Live History'!$D$5:$D$3004,MATCH($A637,'Live History'!$D$5:$D$3004,1)),INDEX('AH History'!$D$5:$GG$1380,$K637,AH!$U$10+2))),NA()),NA())</f>
        <v/>
      </c>
      <c r="H637" s="266">
        <f>IFERROR(IF(ISNUMBER($A637),IF(AND(AH!$U$12=1,632+1=AH!$U$6),IF(AH!$U$4=0,"unavailable",INDEX('Market Data'!$AP$5:$AP$66,AH!$U$4)),IF(AH!$U$5=1,INDEX('Live History'!$H$5:$H$3004,MATCH($A637,'Live History'!$G$5:$G$3004,1)),INDEX('AH History'!$B$5:$B$1380,$K637))),NA()),NA())</f>
        <v/>
      </c>
      <c r="I637" s="34">
        <f>IFERROR(IF(ISNUMBER($A637),IF(AND(AH!$U$12=1,632+1=AH!$U$6),TODAY(),IF(AH!$U$5=1,INDEX('Live History'!$G$5:$G$3004,MATCH($A637,'Live History'!$G$5:$G$3004,1)),INDEX('AH History'!$C$5:$C$1380,$K637))),NA()),NA())</f>
        <v/>
      </c>
      <c r="J637" s="32">
        <f>IFERROR(IF(AND($F637&gt;0,$H637&gt;0,$A637-$G637&lt;=10,$A637-$I637&lt;=5,$G637&gt;0,$I637&gt;0),$F637*$H637,NA()),NA())</f>
        <v/>
      </c>
      <c r="K637" s="15">
        <f>IF($A637="","",IF(AH!$U$5=1,IFERROR(MATCH($A637,'Live History'!$A$5:$A$3004,0),0),AH!$U$7+632))</f>
        <v/>
      </c>
      <c r="L637" s="15">
        <f>IF(ISNUMBER(A637),TEXT(A637,"dd-mmm-yy"),"")</f>
        <v/>
      </c>
    </row>
    <row r="638">
      <c r="A638" s="14">
        <f>IF(OR(AH!$U$4=0,633+1&gt;AH!$U$6,AND(AH!$M$5="Bloomberg",AH!$U$5=0)),"",IFERROR(IF(AND(AH!$U$12=1,633+1=AH!$U$6),TODAY(),IF(AH!$U$5=1,INDEX('Live History'!$A$5:$A$3004,AH!$U$7+633),INDEX('AH History'!$A$5:$A$1380,AH!$U$7+633))),""))</f>
        <v/>
      </c>
      <c r="B638" s="33">
        <f>IFERROR(IF(AH!$U$11=1,NA(),$J638/$E638-1),NA())</f>
        <v/>
      </c>
      <c r="C638" s="269">
        <f>IFERROR(100*$E638/$E$5,NA())</f>
        <v/>
      </c>
      <c r="D638" s="269">
        <f>IFERROR(100*$J638/$J$5,NA())</f>
        <v/>
      </c>
      <c r="E638" s="32">
        <f>IFERROR(IF(AND(ISNUMBER($A638),N(IF(AND(AH!$U$12=1,633+1=AH!$U$6),IF(AH!$U$4=0,"unavailable",INDEX('Market Data'!$AN$5:$AN$66,AH!$U$4)),IF(AH!$U$5=1,INDEX('Live History'!$B$5:$B$3004,$K638),INDEX('AH History'!$D$5:$GG$1380,$K638,AH!$U$10))))&gt;0),IF(AND(AH!$U$12=1,633+1=AH!$U$6),IF(AH!$U$4=0,"unavailable",INDEX('Market Data'!$AN$5:$AN$66,AH!$U$4)),IF(AH!$U$5=1,INDEX('Live History'!$B$5:$B$3004,$K638),INDEX('AH History'!$D$5:$GG$1380,$K638,AH!$U$10))),NA()),NA())</f>
        <v/>
      </c>
      <c r="F638" s="32">
        <f>IFERROR(IF(ISNUMBER($A638),IF(AND(AH!$U$12=1,633+1=AH!$U$6),IF(AH!$U$4=0,"unavailable",INDEX('Market Data'!$AO$5:$AO$66,AH!$U$4)),IF(AH!$U$5=1,INDEX('Live History'!$E$5:$E$3004,MATCH($A638,'Live History'!$D$5:$D$3004,1)),INDEX('AH History'!$D$5:$GG$1380,$K638,AH!$U$10+1))),NA()),NA())</f>
        <v/>
      </c>
      <c r="G638" s="34">
        <f>IFERROR(IF(ISNUMBER($A638),IF(AND(AH!$U$12=1,633+1=AH!$U$6),IF(AH!$U$4=0,"unavailable",INDEX('Market Data'!$AK$5:$AK$66,AH!$U$4)),IF(AH!$U$5=1,INDEX('Live History'!$D$5:$D$3004,MATCH($A638,'Live History'!$D$5:$D$3004,1)),INDEX('AH History'!$D$5:$GG$1380,$K638,AH!$U$10+2))),NA()),NA())</f>
        <v/>
      </c>
      <c r="H638" s="266">
        <f>IFERROR(IF(ISNUMBER($A638),IF(AND(AH!$U$12=1,633+1=AH!$U$6),IF(AH!$U$4=0,"unavailable",INDEX('Market Data'!$AP$5:$AP$66,AH!$U$4)),IF(AH!$U$5=1,INDEX('Live History'!$H$5:$H$3004,MATCH($A638,'Live History'!$G$5:$G$3004,1)),INDEX('AH History'!$B$5:$B$1380,$K638))),NA()),NA())</f>
        <v/>
      </c>
      <c r="I638" s="34">
        <f>IFERROR(IF(ISNUMBER($A638),IF(AND(AH!$U$12=1,633+1=AH!$U$6),TODAY(),IF(AH!$U$5=1,INDEX('Live History'!$G$5:$G$3004,MATCH($A638,'Live History'!$G$5:$G$3004,1)),INDEX('AH History'!$C$5:$C$1380,$K638))),NA()),NA())</f>
        <v/>
      </c>
      <c r="J638" s="32">
        <f>IFERROR(IF(AND($F638&gt;0,$H638&gt;0,$A638-$G638&lt;=10,$A638-$I638&lt;=5,$G638&gt;0,$I638&gt;0),$F638*$H638,NA()),NA())</f>
        <v/>
      </c>
      <c r="K638" s="15">
        <f>IF($A638="","",IF(AH!$U$5=1,IFERROR(MATCH($A638,'Live History'!$A$5:$A$3004,0),0),AH!$U$7+633))</f>
        <v/>
      </c>
      <c r="L638" s="15">
        <f>IF(ISNUMBER(A638),TEXT(A638,"dd-mmm-yy"),"")</f>
        <v/>
      </c>
    </row>
    <row r="639">
      <c r="A639" s="14">
        <f>IF(OR(AH!$U$4=0,634+1&gt;AH!$U$6,AND(AH!$M$5="Bloomberg",AH!$U$5=0)),"",IFERROR(IF(AND(AH!$U$12=1,634+1=AH!$U$6),TODAY(),IF(AH!$U$5=1,INDEX('Live History'!$A$5:$A$3004,AH!$U$7+634),INDEX('AH History'!$A$5:$A$1380,AH!$U$7+634))),""))</f>
        <v/>
      </c>
      <c r="B639" s="33">
        <f>IFERROR(IF(AH!$U$11=1,NA(),$J639/$E639-1),NA())</f>
        <v/>
      </c>
      <c r="C639" s="269">
        <f>IFERROR(100*$E639/$E$5,NA())</f>
        <v/>
      </c>
      <c r="D639" s="269">
        <f>IFERROR(100*$J639/$J$5,NA())</f>
        <v/>
      </c>
      <c r="E639" s="32">
        <f>IFERROR(IF(AND(ISNUMBER($A639),N(IF(AND(AH!$U$12=1,634+1=AH!$U$6),IF(AH!$U$4=0,"unavailable",INDEX('Market Data'!$AN$5:$AN$66,AH!$U$4)),IF(AH!$U$5=1,INDEX('Live History'!$B$5:$B$3004,$K639),INDEX('AH History'!$D$5:$GG$1380,$K639,AH!$U$10))))&gt;0),IF(AND(AH!$U$12=1,634+1=AH!$U$6),IF(AH!$U$4=0,"unavailable",INDEX('Market Data'!$AN$5:$AN$66,AH!$U$4)),IF(AH!$U$5=1,INDEX('Live History'!$B$5:$B$3004,$K639),INDEX('AH History'!$D$5:$GG$1380,$K639,AH!$U$10))),NA()),NA())</f>
        <v/>
      </c>
      <c r="F639" s="32">
        <f>IFERROR(IF(ISNUMBER($A639),IF(AND(AH!$U$12=1,634+1=AH!$U$6),IF(AH!$U$4=0,"unavailable",INDEX('Market Data'!$AO$5:$AO$66,AH!$U$4)),IF(AH!$U$5=1,INDEX('Live History'!$E$5:$E$3004,MATCH($A639,'Live History'!$D$5:$D$3004,1)),INDEX('AH History'!$D$5:$GG$1380,$K639,AH!$U$10+1))),NA()),NA())</f>
        <v/>
      </c>
      <c r="G639" s="34">
        <f>IFERROR(IF(ISNUMBER($A639),IF(AND(AH!$U$12=1,634+1=AH!$U$6),IF(AH!$U$4=0,"unavailable",INDEX('Market Data'!$AK$5:$AK$66,AH!$U$4)),IF(AH!$U$5=1,INDEX('Live History'!$D$5:$D$3004,MATCH($A639,'Live History'!$D$5:$D$3004,1)),INDEX('AH History'!$D$5:$GG$1380,$K639,AH!$U$10+2))),NA()),NA())</f>
        <v/>
      </c>
      <c r="H639" s="266">
        <f>IFERROR(IF(ISNUMBER($A639),IF(AND(AH!$U$12=1,634+1=AH!$U$6),IF(AH!$U$4=0,"unavailable",INDEX('Market Data'!$AP$5:$AP$66,AH!$U$4)),IF(AH!$U$5=1,INDEX('Live History'!$H$5:$H$3004,MATCH($A639,'Live History'!$G$5:$G$3004,1)),INDEX('AH History'!$B$5:$B$1380,$K639))),NA()),NA())</f>
        <v/>
      </c>
      <c r="I639" s="34">
        <f>IFERROR(IF(ISNUMBER($A639),IF(AND(AH!$U$12=1,634+1=AH!$U$6),TODAY(),IF(AH!$U$5=1,INDEX('Live History'!$G$5:$G$3004,MATCH($A639,'Live History'!$G$5:$G$3004,1)),INDEX('AH History'!$C$5:$C$1380,$K639))),NA()),NA())</f>
        <v/>
      </c>
      <c r="J639" s="32">
        <f>IFERROR(IF(AND($F639&gt;0,$H639&gt;0,$A639-$G639&lt;=10,$A639-$I639&lt;=5,$G639&gt;0,$I639&gt;0),$F639*$H639,NA()),NA())</f>
        <v/>
      </c>
      <c r="K639" s="15">
        <f>IF($A639="","",IF(AH!$U$5=1,IFERROR(MATCH($A639,'Live History'!$A$5:$A$3004,0),0),AH!$U$7+634))</f>
        <v/>
      </c>
      <c r="L639" s="15">
        <f>IF(ISNUMBER(A639),TEXT(A639,"dd-mmm-yy"),"")</f>
        <v/>
      </c>
    </row>
    <row r="640">
      <c r="A640" s="14">
        <f>IF(OR(AH!$U$4=0,635+1&gt;AH!$U$6,AND(AH!$M$5="Bloomberg",AH!$U$5=0)),"",IFERROR(IF(AND(AH!$U$12=1,635+1=AH!$U$6),TODAY(),IF(AH!$U$5=1,INDEX('Live History'!$A$5:$A$3004,AH!$U$7+635),INDEX('AH History'!$A$5:$A$1380,AH!$U$7+635))),""))</f>
        <v/>
      </c>
      <c r="B640" s="33">
        <f>IFERROR(IF(AH!$U$11=1,NA(),$J640/$E640-1),NA())</f>
        <v/>
      </c>
      <c r="C640" s="269">
        <f>IFERROR(100*$E640/$E$5,NA())</f>
        <v/>
      </c>
      <c r="D640" s="269">
        <f>IFERROR(100*$J640/$J$5,NA())</f>
        <v/>
      </c>
      <c r="E640" s="32">
        <f>IFERROR(IF(AND(ISNUMBER($A640),N(IF(AND(AH!$U$12=1,635+1=AH!$U$6),IF(AH!$U$4=0,"unavailable",INDEX('Market Data'!$AN$5:$AN$66,AH!$U$4)),IF(AH!$U$5=1,INDEX('Live History'!$B$5:$B$3004,$K640),INDEX('AH History'!$D$5:$GG$1380,$K640,AH!$U$10))))&gt;0),IF(AND(AH!$U$12=1,635+1=AH!$U$6),IF(AH!$U$4=0,"unavailable",INDEX('Market Data'!$AN$5:$AN$66,AH!$U$4)),IF(AH!$U$5=1,INDEX('Live History'!$B$5:$B$3004,$K640),INDEX('AH History'!$D$5:$GG$1380,$K640,AH!$U$10))),NA()),NA())</f>
        <v/>
      </c>
      <c r="F640" s="32">
        <f>IFERROR(IF(ISNUMBER($A640),IF(AND(AH!$U$12=1,635+1=AH!$U$6),IF(AH!$U$4=0,"unavailable",INDEX('Market Data'!$AO$5:$AO$66,AH!$U$4)),IF(AH!$U$5=1,INDEX('Live History'!$E$5:$E$3004,MATCH($A640,'Live History'!$D$5:$D$3004,1)),INDEX('AH History'!$D$5:$GG$1380,$K640,AH!$U$10+1))),NA()),NA())</f>
        <v/>
      </c>
      <c r="G640" s="34">
        <f>IFERROR(IF(ISNUMBER($A640),IF(AND(AH!$U$12=1,635+1=AH!$U$6),IF(AH!$U$4=0,"unavailable",INDEX('Market Data'!$AK$5:$AK$66,AH!$U$4)),IF(AH!$U$5=1,INDEX('Live History'!$D$5:$D$3004,MATCH($A640,'Live History'!$D$5:$D$3004,1)),INDEX('AH History'!$D$5:$GG$1380,$K640,AH!$U$10+2))),NA()),NA())</f>
        <v/>
      </c>
      <c r="H640" s="266">
        <f>IFERROR(IF(ISNUMBER($A640),IF(AND(AH!$U$12=1,635+1=AH!$U$6),IF(AH!$U$4=0,"unavailable",INDEX('Market Data'!$AP$5:$AP$66,AH!$U$4)),IF(AH!$U$5=1,INDEX('Live History'!$H$5:$H$3004,MATCH($A640,'Live History'!$G$5:$G$3004,1)),INDEX('AH History'!$B$5:$B$1380,$K640))),NA()),NA())</f>
        <v/>
      </c>
      <c r="I640" s="34">
        <f>IFERROR(IF(ISNUMBER($A640),IF(AND(AH!$U$12=1,635+1=AH!$U$6),TODAY(),IF(AH!$U$5=1,INDEX('Live History'!$G$5:$G$3004,MATCH($A640,'Live History'!$G$5:$G$3004,1)),INDEX('AH History'!$C$5:$C$1380,$K640))),NA()),NA())</f>
        <v/>
      </c>
      <c r="J640" s="32">
        <f>IFERROR(IF(AND($F640&gt;0,$H640&gt;0,$A640-$G640&lt;=10,$A640-$I640&lt;=5,$G640&gt;0,$I640&gt;0),$F640*$H640,NA()),NA())</f>
        <v/>
      </c>
      <c r="K640" s="15">
        <f>IF($A640="","",IF(AH!$U$5=1,IFERROR(MATCH($A640,'Live History'!$A$5:$A$3004,0),0),AH!$U$7+635))</f>
        <v/>
      </c>
      <c r="L640" s="15">
        <f>IF(ISNUMBER(A640),TEXT(A640,"dd-mmm-yy"),"")</f>
        <v/>
      </c>
    </row>
    <row r="641">
      <c r="A641" s="14">
        <f>IF(OR(AH!$U$4=0,636+1&gt;AH!$U$6,AND(AH!$M$5="Bloomberg",AH!$U$5=0)),"",IFERROR(IF(AND(AH!$U$12=1,636+1=AH!$U$6),TODAY(),IF(AH!$U$5=1,INDEX('Live History'!$A$5:$A$3004,AH!$U$7+636),INDEX('AH History'!$A$5:$A$1380,AH!$U$7+636))),""))</f>
        <v/>
      </c>
      <c r="B641" s="33">
        <f>IFERROR(IF(AH!$U$11=1,NA(),$J641/$E641-1),NA())</f>
        <v/>
      </c>
      <c r="C641" s="269">
        <f>IFERROR(100*$E641/$E$5,NA())</f>
        <v/>
      </c>
      <c r="D641" s="269">
        <f>IFERROR(100*$J641/$J$5,NA())</f>
        <v/>
      </c>
      <c r="E641" s="32">
        <f>IFERROR(IF(AND(ISNUMBER($A641),N(IF(AND(AH!$U$12=1,636+1=AH!$U$6),IF(AH!$U$4=0,"unavailable",INDEX('Market Data'!$AN$5:$AN$66,AH!$U$4)),IF(AH!$U$5=1,INDEX('Live History'!$B$5:$B$3004,$K641),INDEX('AH History'!$D$5:$GG$1380,$K641,AH!$U$10))))&gt;0),IF(AND(AH!$U$12=1,636+1=AH!$U$6),IF(AH!$U$4=0,"unavailable",INDEX('Market Data'!$AN$5:$AN$66,AH!$U$4)),IF(AH!$U$5=1,INDEX('Live History'!$B$5:$B$3004,$K641),INDEX('AH History'!$D$5:$GG$1380,$K641,AH!$U$10))),NA()),NA())</f>
        <v/>
      </c>
      <c r="F641" s="32">
        <f>IFERROR(IF(ISNUMBER($A641),IF(AND(AH!$U$12=1,636+1=AH!$U$6),IF(AH!$U$4=0,"unavailable",INDEX('Market Data'!$AO$5:$AO$66,AH!$U$4)),IF(AH!$U$5=1,INDEX('Live History'!$E$5:$E$3004,MATCH($A641,'Live History'!$D$5:$D$3004,1)),INDEX('AH History'!$D$5:$GG$1380,$K641,AH!$U$10+1))),NA()),NA())</f>
        <v/>
      </c>
      <c r="G641" s="34">
        <f>IFERROR(IF(ISNUMBER($A641),IF(AND(AH!$U$12=1,636+1=AH!$U$6),IF(AH!$U$4=0,"unavailable",INDEX('Market Data'!$AK$5:$AK$66,AH!$U$4)),IF(AH!$U$5=1,INDEX('Live History'!$D$5:$D$3004,MATCH($A641,'Live History'!$D$5:$D$3004,1)),INDEX('AH History'!$D$5:$GG$1380,$K641,AH!$U$10+2))),NA()),NA())</f>
        <v/>
      </c>
      <c r="H641" s="266">
        <f>IFERROR(IF(ISNUMBER($A641),IF(AND(AH!$U$12=1,636+1=AH!$U$6),IF(AH!$U$4=0,"unavailable",INDEX('Market Data'!$AP$5:$AP$66,AH!$U$4)),IF(AH!$U$5=1,INDEX('Live History'!$H$5:$H$3004,MATCH($A641,'Live History'!$G$5:$G$3004,1)),INDEX('AH History'!$B$5:$B$1380,$K641))),NA()),NA())</f>
        <v/>
      </c>
      <c r="I641" s="34">
        <f>IFERROR(IF(ISNUMBER($A641),IF(AND(AH!$U$12=1,636+1=AH!$U$6),TODAY(),IF(AH!$U$5=1,INDEX('Live History'!$G$5:$G$3004,MATCH($A641,'Live History'!$G$5:$G$3004,1)),INDEX('AH History'!$C$5:$C$1380,$K641))),NA()),NA())</f>
        <v/>
      </c>
      <c r="J641" s="32">
        <f>IFERROR(IF(AND($F641&gt;0,$H641&gt;0,$A641-$G641&lt;=10,$A641-$I641&lt;=5,$G641&gt;0,$I641&gt;0),$F641*$H641,NA()),NA())</f>
        <v/>
      </c>
      <c r="K641" s="15">
        <f>IF($A641="","",IF(AH!$U$5=1,IFERROR(MATCH($A641,'Live History'!$A$5:$A$3004,0),0),AH!$U$7+636))</f>
        <v/>
      </c>
      <c r="L641" s="15">
        <f>IF(ISNUMBER(A641),TEXT(A641,"dd-mmm-yy"),"")</f>
        <v/>
      </c>
    </row>
    <row r="642">
      <c r="A642" s="14">
        <f>IF(OR(AH!$U$4=0,637+1&gt;AH!$U$6,AND(AH!$M$5="Bloomberg",AH!$U$5=0)),"",IFERROR(IF(AND(AH!$U$12=1,637+1=AH!$U$6),TODAY(),IF(AH!$U$5=1,INDEX('Live History'!$A$5:$A$3004,AH!$U$7+637),INDEX('AH History'!$A$5:$A$1380,AH!$U$7+637))),""))</f>
        <v/>
      </c>
      <c r="B642" s="33">
        <f>IFERROR(IF(AH!$U$11=1,NA(),$J642/$E642-1),NA())</f>
        <v/>
      </c>
      <c r="C642" s="269">
        <f>IFERROR(100*$E642/$E$5,NA())</f>
        <v/>
      </c>
      <c r="D642" s="269">
        <f>IFERROR(100*$J642/$J$5,NA())</f>
        <v/>
      </c>
      <c r="E642" s="32">
        <f>IFERROR(IF(AND(ISNUMBER($A642),N(IF(AND(AH!$U$12=1,637+1=AH!$U$6),IF(AH!$U$4=0,"unavailable",INDEX('Market Data'!$AN$5:$AN$66,AH!$U$4)),IF(AH!$U$5=1,INDEX('Live History'!$B$5:$B$3004,$K642),INDEX('AH History'!$D$5:$GG$1380,$K642,AH!$U$10))))&gt;0),IF(AND(AH!$U$12=1,637+1=AH!$U$6),IF(AH!$U$4=0,"unavailable",INDEX('Market Data'!$AN$5:$AN$66,AH!$U$4)),IF(AH!$U$5=1,INDEX('Live History'!$B$5:$B$3004,$K642),INDEX('AH History'!$D$5:$GG$1380,$K642,AH!$U$10))),NA()),NA())</f>
        <v/>
      </c>
      <c r="F642" s="32">
        <f>IFERROR(IF(ISNUMBER($A642),IF(AND(AH!$U$12=1,637+1=AH!$U$6),IF(AH!$U$4=0,"unavailable",INDEX('Market Data'!$AO$5:$AO$66,AH!$U$4)),IF(AH!$U$5=1,INDEX('Live History'!$E$5:$E$3004,MATCH($A642,'Live History'!$D$5:$D$3004,1)),INDEX('AH History'!$D$5:$GG$1380,$K642,AH!$U$10+1))),NA()),NA())</f>
        <v/>
      </c>
      <c r="G642" s="34">
        <f>IFERROR(IF(ISNUMBER($A642),IF(AND(AH!$U$12=1,637+1=AH!$U$6),IF(AH!$U$4=0,"unavailable",INDEX('Market Data'!$AK$5:$AK$66,AH!$U$4)),IF(AH!$U$5=1,INDEX('Live History'!$D$5:$D$3004,MATCH($A642,'Live History'!$D$5:$D$3004,1)),INDEX('AH History'!$D$5:$GG$1380,$K642,AH!$U$10+2))),NA()),NA())</f>
        <v/>
      </c>
      <c r="H642" s="266">
        <f>IFERROR(IF(ISNUMBER($A642),IF(AND(AH!$U$12=1,637+1=AH!$U$6),IF(AH!$U$4=0,"unavailable",INDEX('Market Data'!$AP$5:$AP$66,AH!$U$4)),IF(AH!$U$5=1,INDEX('Live History'!$H$5:$H$3004,MATCH($A642,'Live History'!$G$5:$G$3004,1)),INDEX('AH History'!$B$5:$B$1380,$K642))),NA()),NA())</f>
        <v/>
      </c>
      <c r="I642" s="34">
        <f>IFERROR(IF(ISNUMBER($A642),IF(AND(AH!$U$12=1,637+1=AH!$U$6),TODAY(),IF(AH!$U$5=1,INDEX('Live History'!$G$5:$G$3004,MATCH($A642,'Live History'!$G$5:$G$3004,1)),INDEX('AH History'!$C$5:$C$1380,$K642))),NA()),NA())</f>
        <v/>
      </c>
      <c r="J642" s="32">
        <f>IFERROR(IF(AND($F642&gt;0,$H642&gt;0,$A642-$G642&lt;=10,$A642-$I642&lt;=5,$G642&gt;0,$I642&gt;0),$F642*$H642,NA()),NA())</f>
        <v/>
      </c>
      <c r="K642" s="15">
        <f>IF($A642="","",IF(AH!$U$5=1,IFERROR(MATCH($A642,'Live History'!$A$5:$A$3004,0),0),AH!$U$7+637))</f>
        <v/>
      </c>
      <c r="L642" s="15">
        <f>IF(ISNUMBER(A642),TEXT(A642,"dd-mmm-yy"),"")</f>
        <v/>
      </c>
    </row>
    <row r="643">
      <c r="A643" s="14">
        <f>IF(OR(AH!$U$4=0,638+1&gt;AH!$U$6,AND(AH!$M$5="Bloomberg",AH!$U$5=0)),"",IFERROR(IF(AND(AH!$U$12=1,638+1=AH!$U$6),TODAY(),IF(AH!$U$5=1,INDEX('Live History'!$A$5:$A$3004,AH!$U$7+638),INDEX('AH History'!$A$5:$A$1380,AH!$U$7+638))),""))</f>
        <v/>
      </c>
      <c r="B643" s="33">
        <f>IFERROR(IF(AH!$U$11=1,NA(),$J643/$E643-1),NA())</f>
        <v/>
      </c>
      <c r="C643" s="269">
        <f>IFERROR(100*$E643/$E$5,NA())</f>
        <v/>
      </c>
      <c r="D643" s="269">
        <f>IFERROR(100*$J643/$J$5,NA())</f>
        <v/>
      </c>
      <c r="E643" s="32">
        <f>IFERROR(IF(AND(ISNUMBER($A643),N(IF(AND(AH!$U$12=1,638+1=AH!$U$6),IF(AH!$U$4=0,"unavailable",INDEX('Market Data'!$AN$5:$AN$66,AH!$U$4)),IF(AH!$U$5=1,INDEX('Live History'!$B$5:$B$3004,$K643),INDEX('AH History'!$D$5:$GG$1380,$K643,AH!$U$10))))&gt;0),IF(AND(AH!$U$12=1,638+1=AH!$U$6),IF(AH!$U$4=0,"unavailable",INDEX('Market Data'!$AN$5:$AN$66,AH!$U$4)),IF(AH!$U$5=1,INDEX('Live History'!$B$5:$B$3004,$K643),INDEX('AH History'!$D$5:$GG$1380,$K643,AH!$U$10))),NA()),NA())</f>
        <v/>
      </c>
      <c r="F643" s="32">
        <f>IFERROR(IF(ISNUMBER($A643),IF(AND(AH!$U$12=1,638+1=AH!$U$6),IF(AH!$U$4=0,"unavailable",INDEX('Market Data'!$AO$5:$AO$66,AH!$U$4)),IF(AH!$U$5=1,INDEX('Live History'!$E$5:$E$3004,MATCH($A643,'Live History'!$D$5:$D$3004,1)),INDEX('AH History'!$D$5:$GG$1380,$K643,AH!$U$10+1))),NA()),NA())</f>
        <v/>
      </c>
      <c r="G643" s="34">
        <f>IFERROR(IF(ISNUMBER($A643),IF(AND(AH!$U$12=1,638+1=AH!$U$6),IF(AH!$U$4=0,"unavailable",INDEX('Market Data'!$AK$5:$AK$66,AH!$U$4)),IF(AH!$U$5=1,INDEX('Live History'!$D$5:$D$3004,MATCH($A643,'Live History'!$D$5:$D$3004,1)),INDEX('AH History'!$D$5:$GG$1380,$K643,AH!$U$10+2))),NA()),NA())</f>
        <v/>
      </c>
      <c r="H643" s="266">
        <f>IFERROR(IF(ISNUMBER($A643),IF(AND(AH!$U$12=1,638+1=AH!$U$6),IF(AH!$U$4=0,"unavailable",INDEX('Market Data'!$AP$5:$AP$66,AH!$U$4)),IF(AH!$U$5=1,INDEX('Live History'!$H$5:$H$3004,MATCH($A643,'Live History'!$G$5:$G$3004,1)),INDEX('AH History'!$B$5:$B$1380,$K643))),NA()),NA())</f>
        <v/>
      </c>
      <c r="I643" s="34">
        <f>IFERROR(IF(ISNUMBER($A643),IF(AND(AH!$U$12=1,638+1=AH!$U$6),TODAY(),IF(AH!$U$5=1,INDEX('Live History'!$G$5:$G$3004,MATCH($A643,'Live History'!$G$5:$G$3004,1)),INDEX('AH History'!$C$5:$C$1380,$K643))),NA()),NA())</f>
        <v/>
      </c>
      <c r="J643" s="32">
        <f>IFERROR(IF(AND($F643&gt;0,$H643&gt;0,$A643-$G643&lt;=10,$A643-$I643&lt;=5,$G643&gt;0,$I643&gt;0),$F643*$H643,NA()),NA())</f>
        <v/>
      </c>
      <c r="K643" s="15">
        <f>IF($A643="","",IF(AH!$U$5=1,IFERROR(MATCH($A643,'Live History'!$A$5:$A$3004,0),0),AH!$U$7+638))</f>
        <v/>
      </c>
      <c r="L643" s="15">
        <f>IF(ISNUMBER(A643),TEXT(A643,"dd-mmm-yy"),"")</f>
        <v/>
      </c>
    </row>
    <row r="644">
      <c r="A644" s="14">
        <f>IF(OR(AH!$U$4=0,639+1&gt;AH!$U$6,AND(AH!$M$5="Bloomberg",AH!$U$5=0)),"",IFERROR(IF(AND(AH!$U$12=1,639+1=AH!$U$6),TODAY(),IF(AH!$U$5=1,INDEX('Live History'!$A$5:$A$3004,AH!$U$7+639),INDEX('AH History'!$A$5:$A$1380,AH!$U$7+639))),""))</f>
        <v/>
      </c>
      <c r="B644" s="33">
        <f>IFERROR(IF(AH!$U$11=1,NA(),$J644/$E644-1),NA())</f>
        <v/>
      </c>
      <c r="C644" s="269">
        <f>IFERROR(100*$E644/$E$5,NA())</f>
        <v/>
      </c>
      <c r="D644" s="269">
        <f>IFERROR(100*$J644/$J$5,NA())</f>
        <v/>
      </c>
      <c r="E644" s="32">
        <f>IFERROR(IF(AND(ISNUMBER($A644),N(IF(AND(AH!$U$12=1,639+1=AH!$U$6),IF(AH!$U$4=0,"unavailable",INDEX('Market Data'!$AN$5:$AN$66,AH!$U$4)),IF(AH!$U$5=1,INDEX('Live History'!$B$5:$B$3004,$K644),INDEX('AH History'!$D$5:$GG$1380,$K644,AH!$U$10))))&gt;0),IF(AND(AH!$U$12=1,639+1=AH!$U$6),IF(AH!$U$4=0,"unavailable",INDEX('Market Data'!$AN$5:$AN$66,AH!$U$4)),IF(AH!$U$5=1,INDEX('Live History'!$B$5:$B$3004,$K644),INDEX('AH History'!$D$5:$GG$1380,$K644,AH!$U$10))),NA()),NA())</f>
        <v/>
      </c>
      <c r="F644" s="32">
        <f>IFERROR(IF(ISNUMBER($A644),IF(AND(AH!$U$12=1,639+1=AH!$U$6),IF(AH!$U$4=0,"unavailable",INDEX('Market Data'!$AO$5:$AO$66,AH!$U$4)),IF(AH!$U$5=1,INDEX('Live History'!$E$5:$E$3004,MATCH($A644,'Live History'!$D$5:$D$3004,1)),INDEX('AH History'!$D$5:$GG$1380,$K644,AH!$U$10+1))),NA()),NA())</f>
        <v/>
      </c>
      <c r="G644" s="34">
        <f>IFERROR(IF(ISNUMBER($A644),IF(AND(AH!$U$12=1,639+1=AH!$U$6),IF(AH!$U$4=0,"unavailable",INDEX('Market Data'!$AK$5:$AK$66,AH!$U$4)),IF(AH!$U$5=1,INDEX('Live History'!$D$5:$D$3004,MATCH($A644,'Live History'!$D$5:$D$3004,1)),INDEX('AH History'!$D$5:$GG$1380,$K644,AH!$U$10+2))),NA()),NA())</f>
        <v/>
      </c>
      <c r="H644" s="266">
        <f>IFERROR(IF(ISNUMBER($A644),IF(AND(AH!$U$12=1,639+1=AH!$U$6),IF(AH!$U$4=0,"unavailable",INDEX('Market Data'!$AP$5:$AP$66,AH!$U$4)),IF(AH!$U$5=1,INDEX('Live History'!$H$5:$H$3004,MATCH($A644,'Live History'!$G$5:$G$3004,1)),INDEX('AH History'!$B$5:$B$1380,$K644))),NA()),NA())</f>
        <v/>
      </c>
      <c r="I644" s="34">
        <f>IFERROR(IF(ISNUMBER($A644),IF(AND(AH!$U$12=1,639+1=AH!$U$6),TODAY(),IF(AH!$U$5=1,INDEX('Live History'!$G$5:$G$3004,MATCH($A644,'Live History'!$G$5:$G$3004,1)),INDEX('AH History'!$C$5:$C$1380,$K644))),NA()),NA())</f>
        <v/>
      </c>
      <c r="J644" s="32">
        <f>IFERROR(IF(AND($F644&gt;0,$H644&gt;0,$A644-$G644&lt;=10,$A644-$I644&lt;=5,$G644&gt;0,$I644&gt;0),$F644*$H644,NA()),NA())</f>
        <v/>
      </c>
      <c r="K644" s="15">
        <f>IF($A644="","",IF(AH!$U$5=1,IFERROR(MATCH($A644,'Live History'!$A$5:$A$3004,0),0),AH!$U$7+639))</f>
        <v/>
      </c>
      <c r="L644" s="15">
        <f>IF(ISNUMBER(A644),TEXT(A644,"dd-mmm-yy"),"")</f>
        <v/>
      </c>
    </row>
    <row r="645">
      <c r="A645" s="14">
        <f>IF(OR(AH!$U$4=0,640+1&gt;AH!$U$6,AND(AH!$M$5="Bloomberg",AH!$U$5=0)),"",IFERROR(IF(AND(AH!$U$12=1,640+1=AH!$U$6),TODAY(),IF(AH!$U$5=1,INDEX('Live History'!$A$5:$A$3004,AH!$U$7+640),INDEX('AH History'!$A$5:$A$1380,AH!$U$7+640))),""))</f>
        <v/>
      </c>
      <c r="B645" s="33">
        <f>IFERROR(IF(AH!$U$11=1,NA(),$J645/$E645-1),NA())</f>
        <v/>
      </c>
      <c r="C645" s="269">
        <f>IFERROR(100*$E645/$E$5,NA())</f>
        <v/>
      </c>
      <c r="D645" s="269">
        <f>IFERROR(100*$J645/$J$5,NA())</f>
        <v/>
      </c>
      <c r="E645" s="32">
        <f>IFERROR(IF(AND(ISNUMBER($A645),N(IF(AND(AH!$U$12=1,640+1=AH!$U$6),IF(AH!$U$4=0,"unavailable",INDEX('Market Data'!$AN$5:$AN$66,AH!$U$4)),IF(AH!$U$5=1,INDEX('Live History'!$B$5:$B$3004,$K645),INDEX('AH History'!$D$5:$GG$1380,$K645,AH!$U$10))))&gt;0),IF(AND(AH!$U$12=1,640+1=AH!$U$6),IF(AH!$U$4=0,"unavailable",INDEX('Market Data'!$AN$5:$AN$66,AH!$U$4)),IF(AH!$U$5=1,INDEX('Live History'!$B$5:$B$3004,$K645),INDEX('AH History'!$D$5:$GG$1380,$K645,AH!$U$10))),NA()),NA())</f>
        <v/>
      </c>
      <c r="F645" s="32">
        <f>IFERROR(IF(ISNUMBER($A645),IF(AND(AH!$U$12=1,640+1=AH!$U$6),IF(AH!$U$4=0,"unavailable",INDEX('Market Data'!$AO$5:$AO$66,AH!$U$4)),IF(AH!$U$5=1,INDEX('Live History'!$E$5:$E$3004,MATCH($A645,'Live History'!$D$5:$D$3004,1)),INDEX('AH History'!$D$5:$GG$1380,$K645,AH!$U$10+1))),NA()),NA())</f>
        <v/>
      </c>
      <c r="G645" s="34">
        <f>IFERROR(IF(ISNUMBER($A645),IF(AND(AH!$U$12=1,640+1=AH!$U$6),IF(AH!$U$4=0,"unavailable",INDEX('Market Data'!$AK$5:$AK$66,AH!$U$4)),IF(AH!$U$5=1,INDEX('Live History'!$D$5:$D$3004,MATCH($A645,'Live History'!$D$5:$D$3004,1)),INDEX('AH History'!$D$5:$GG$1380,$K645,AH!$U$10+2))),NA()),NA())</f>
        <v/>
      </c>
      <c r="H645" s="266">
        <f>IFERROR(IF(ISNUMBER($A645),IF(AND(AH!$U$12=1,640+1=AH!$U$6),IF(AH!$U$4=0,"unavailable",INDEX('Market Data'!$AP$5:$AP$66,AH!$U$4)),IF(AH!$U$5=1,INDEX('Live History'!$H$5:$H$3004,MATCH($A645,'Live History'!$G$5:$G$3004,1)),INDEX('AH History'!$B$5:$B$1380,$K645))),NA()),NA())</f>
        <v/>
      </c>
      <c r="I645" s="34">
        <f>IFERROR(IF(ISNUMBER($A645),IF(AND(AH!$U$12=1,640+1=AH!$U$6),TODAY(),IF(AH!$U$5=1,INDEX('Live History'!$G$5:$G$3004,MATCH($A645,'Live History'!$G$5:$G$3004,1)),INDEX('AH History'!$C$5:$C$1380,$K645))),NA()),NA())</f>
        <v/>
      </c>
      <c r="J645" s="32">
        <f>IFERROR(IF(AND($F645&gt;0,$H645&gt;0,$A645-$G645&lt;=10,$A645-$I645&lt;=5,$G645&gt;0,$I645&gt;0),$F645*$H645,NA()),NA())</f>
        <v/>
      </c>
      <c r="K645" s="15">
        <f>IF($A645="","",IF(AH!$U$5=1,IFERROR(MATCH($A645,'Live History'!$A$5:$A$3004,0),0),AH!$U$7+640))</f>
        <v/>
      </c>
      <c r="L645" s="15">
        <f>IF(ISNUMBER(A645),TEXT(A645,"dd-mmm-yy"),"")</f>
        <v/>
      </c>
    </row>
    <row r="646">
      <c r="A646" s="14">
        <f>IF(OR(AH!$U$4=0,641+1&gt;AH!$U$6,AND(AH!$M$5="Bloomberg",AH!$U$5=0)),"",IFERROR(IF(AND(AH!$U$12=1,641+1=AH!$U$6),TODAY(),IF(AH!$U$5=1,INDEX('Live History'!$A$5:$A$3004,AH!$U$7+641),INDEX('AH History'!$A$5:$A$1380,AH!$U$7+641))),""))</f>
        <v/>
      </c>
      <c r="B646" s="33">
        <f>IFERROR(IF(AH!$U$11=1,NA(),$J646/$E646-1),NA())</f>
        <v/>
      </c>
      <c r="C646" s="269">
        <f>IFERROR(100*$E646/$E$5,NA())</f>
        <v/>
      </c>
      <c r="D646" s="269">
        <f>IFERROR(100*$J646/$J$5,NA())</f>
        <v/>
      </c>
      <c r="E646" s="32">
        <f>IFERROR(IF(AND(ISNUMBER($A646),N(IF(AND(AH!$U$12=1,641+1=AH!$U$6),IF(AH!$U$4=0,"unavailable",INDEX('Market Data'!$AN$5:$AN$66,AH!$U$4)),IF(AH!$U$5=1,INDEX('Live History'!$B$5:$B$3004,$K646),INDEX('AH History'!$D$5:$GG$1380,$K646,AH!$U$10))))&gt;0),IF(AND(AH!$U$12=1,641+1=AH!$U$6),IF(AH!$U$4=0,"unavailable",INDEX('Market Data'!$AN$5:$AN$66,AH!$U$4)),IF(AH!$U$5=1,INDEX('Live History'!$B$5:$B$3004,$K646),INDEX('AH History'!$D$5:$GG$1380,$K646,AH!$U$10))),NA()),NA())</f>
        <v/>
      </c>
      <c r="F646" s="32">
        <f>IFERROR(IF(ISNUMBER($A646),IF(AND(AH!$U$12=1,641+1=AH!$U$6),IF(AH!$U$4=0,"unavailable",INDEX('Market Data'!$AO$5:$AO$66,AH!$U$4)),IF(AH!$U$5=1,INDEX('Live History'!$E$5:$E$3004,MATCH($A646,'Live History'!$D$5:$D$3004,1)),INDEX('AH History'!$D$5:$GG$1380,$K646,AH!$U$10+1))),NA()),NA())</f>
        <v/>
      </c>
      <c r="G646" s="34">
        <f>IFERROR(IF(ISNUMBER($A646),IF(AND(AH!$U$12=1,641+1=AH!$U$6),IF(AH!$U$4=0,"unavailable",INDEX('Market Data'!$AK$5:$AK$66,AH!$U$4)),IF(AH!$U$5=1,INDEX('Live History'!$D$5:$D$3004,MATCH($A646,'Live History'!$D$5:$D$3004,1)),INDEX('AH History'!$D$5:$GG$1380,$K646,AH!$U$10+2))),NA()),NA())</f>
        <v/>
      </c>
      <c r="H646" s="266">
        <f>IFERROR(IF(ISNUMBER($A646),IF(AND(AH!$U$12=1,641+1=AH!$U$6),IF(AH!$U$4=0,"unavailable",INDEX('Market Data'!$AP$5:$AP$66,AH!$U$4)),IF(AH!$U$5=1,INDEX('Live History'!$H$5:$H$3004,MATCH($A646,'Live History'!$G$5:$G$3004,1)),INDEX('AH History'!$B$5:$B$1380,$K646))),NA()),NA())</f>
        <v/>
      </c>
      <c r="I646" s="34">
        <f>IFERROR(IF(ISNUMBER($A646),IF(AND(AH!$U$12=1,641+1=AH!$U$6),TODAY(),IF(AH!$U$5=1,INDEX('Live History'!$G$5:$G$3004,MATCH($A646,'Live History'!$G$5:$G$3004,1)),INDEX('AH History'!$C$5:$C$1380,$K646))),NA()),NA())</f>
        <v/>
      </c>
      <c r="J646" s="32">
        <f>IFERROR(IF(AND($F646&gt;0,$H646&gt;0,$A646-$G646&lt;=10,$A646-$I646&lt;=5,$G646&gt;0,$I646&gt;0),$F646*$H646,NA()),NA())</f>
        <v/>
      </c>
      <c r="K646" s="15">
        <f>IF($A646="","",IF(AH!$U$5=1,IFERROR(MATCH($A646,'Live History'!$A$5:$A$3004,0),0),AH!$U$7+641))</f>
        <v/>
      </c>
      <c r="L646" s="15">
        <f>IF(ISNUMBER(A646),TEXT(A646,"dd-mmm-yy"),"")</f>
        <v/>
      </c>
    </row>
    <row r="647">
      <c r="A647" s="14">
        <f>IF(OR(AH!$U$4=0,642+1&gt;AH!$U$6,AND(AH!$M$5="Bloomberg",AH!$U$5=0)),"",IFERROR(IF(AND(AH!$U$12=1,642+1=AH!$U$6),TODAY(),IF(AH!$U$5=1,INDEX('Live History'!$A$5:$A$3004,AH!$U$7+642),INDEX('AH History'!$A$5:$A$1380,AH!$U$7+642))),""))</f>
        <v/>
      </c>
      <c r="B647" s="33">
        <f>IFERROR(IF(AH!$U$11=1,NA(),$J647/$E647-1),NA())</f>
        <v/>
      </c>
      <c r="C647" s="269">
        <f>IFERROR(100*$E647/$E$5,NA())</f>
        <v/>
      </c>
      <c r="D647" s="269">
        <f>IFERROR(100*$J647/$J$5,NA())</f>
        <v/>
      </c>
      <c r="E647" s="32">
        <f>IFERROR(IF(AND(ISNUMBER($A647),N(IF(AND(AH!$U$12=1,642+1=AH!$U$6),IF(AH!$U$4=0,"unavailable",INDEX('Market Data'!$AN$5:$AN$66,AH!$U$4)),IF(AH!$U$5=1,INDEX('Live History'!$B$5:$B$3004,$K647),INDEX('AH History'!$D$5:$GG$1380,$K647,AH!$U$10))))&gt;0),IF(AND(AH!$U$12=1,642+1=AH!$U$6),IF(AH!$U$4=0,"unavailable",INDEX('Market Data'!$AN$5:$AN$66,AH!$U$4)),IF(AH!$U$5=1,INDEX('Live History'!$B$5:$B$3004,$K647),INDEX('AH History'!$D$5:$GG$1380,$K647,AH!$U$10))),NA()),NA())</f>
        <v/>
      </c>
      <c r="F647" s="32">
        <f>IFERROR(IF(ISNUMBER($A647),IF(AND(AH!$U$12=1,642+1=AH!$U$6),IF(AH!$U$4=0,"unavailable",INDEX('Market Data'!$AO$5:$AO$66,AH!$U$4)),IF(AH!$U$5=1,INDEX('Live History'!$E$5:$E$3004,MATCH($A647,'Live History'!$D$5:$D$3004,1)),INDEX('AH History'!$D$5:$GG$1380,$K647,AH!$U$10+1))),NA()),NA())</f>
        <v/>
      </c>
      <c r="G647" s="34">
        <f>IFERROR(IF(ISNUMBER($A647),IF(AND(AH!$U$12=1,642+1=AH!$U$6),IF(AH!$U$4=0,"unavailable",INDEX('Market Data'!$AK$5:$AK$66,AH!$U$4)),IF(AH!$U$5=1,INDEX('Live History'!$D$5:$D$3004,MATCH($A647,'Live History'!$D$5:$D$3004,1)),INDEX('AH History'!$D$5:$GG$1380,$K647,AH!$U$10+2))),NA()),NA())</f>
        <v/>
      </c>
      <c r="H647" s="266">
        <f>IFERROR(IF(ISNUMBER($A647),IF(AND(AH!$U$12=1,642+1=AH!$U$6),IF(AH!$U$4=0,"unavailable",INDEX('Market Data'!$AP$5:$AP$66,AH!$U$4)),IF(AH!$U$5=1,INDEX('Live History'!$H$5:$H$3004,MATCH($A647,'Live History'!$G$5:$G$3004,1)),INDEX('AH History'!$B$5:$B$1380,$K647))),NA()),NA())</f>
        <v/>
      </c>
      <c r="I647" s="34">
        <f>IFERROR(IF(ISNUMBER($A647),IF(AND(AH!$U$12=1,642+1=AH!$U$6),TODAY(),IF(AH!$U$5=1,INDEX('Live History'!$G$5:$G$3004,MATCH($A647,'Live History'!$G$5:$G$3004,1)),INDEX('AH History'!$C$5:$C$1380,$K647))),NA()),NA())</f>
        <v/>
      </c>
      <c r="J647" s="32">
        <f>IFERROR(IF(AND($F647&gt;0,$H647&gt;0,$A647-$G647&lt;=10,$A647-$I647&lt;=5,$G647&gt;0,$I647&gt;0),$F647*$H647,NA()),NA())</f>
        <v/>
      </c>
      <c r="K647" s="15">
        <f>IF($A647="","",IF(AH!$U$5=1,IFERROR(MATCH($A647,'Live History'!$A$5:$A$3004,0),0),AH!$U$7+642))</f>
        <v/>
      </c>
      <c r="L647" s="15">
        <f>IF(ISNUMBER(A647),TEXT(A647,"dd-mmm-yy"),"")</f>
        <v/>
      </c>
    </row>
    <row r="648">
      <c r="A648" s="14">
        <f>IF(OR(AH!$U$4=0,643+1&gt;AH!$U$6,AND(AH!$M$5="Bloomberg",AH!$U$5=0)),"",IFERROR(IF(AND(AH!$U$12=1,643+1=AH!$U$6),TODAY(),IF(AH!$U$5=1,INDEX('Live History'!$A$5:$A$3004,AH!$U$7+643),INDEX('AH History'!$A$5:$A$1380,AH!$U$7+643))),""))</f>
        <v/>
      </c>
      <c r="B648" s="33">
        <f>IFERROR(IF(AH!$U$11=1,NA(),$J648/$E648-1),NA())</f>
        <v/>
      </c>
      <c r="C648" s="269">
        <f>IFERROR(100*$E648/$E$5,NA())</f>
        <v/>
      </c>
      <c r="D648" s="269">
        <f>IFERROR(100*$J648/$J$5,NA())</f>
        <v/>
      </c>
      <c r="E648" s="32">
        <f>IFERROR(IF(AND(ISNUMBER($A648),N(IF(AND(AH!$U$12=1,643+1=AH!$U$6),IF(AH!$U$4=0,"unavailable",INDEX('Market Data'!$AN$5:$AN$66,AH!$U$4)),IF(AH!$U$5=1,INDEX('Live History'!$B$5:$B$3004,$K648),INDEX('AH History'!$D$5:$GG$1380,$K648,AH!$U$10))))&gt;0),IF(AND(AH!$U$12=1,643+1=AH!$U$6),IF(AH!$U$4=0,"unavailable",INDEX('Market Data'!$AN$5:$AN$66,AH!$U$4)),IF(AH!$U$5=1,INDEX('Live History'!$B$5:$B$3004,$K648),INDEX('AH History'!$D$5:$GG$1380,$K648,AH!$U$10))),NA()),NA())</f>
        <v/>
      </c>
      <c r="F648" s="32">
        <f>IFERROR(IF(ISNUMBER($A648),IF(AND(AH!$U$12=1,643+1=AH!$U$6),IF(AH!$U$4=0,"unavailable",INDEX('Market Data'!$AO$5:$AO$66,AH!$U$4)),IF(AH!$U$5=1,INDEX('Live History'!$E$5:$E$3004,MATCH($A648,'Live History'!$D$5:$D$3004,1)),INDEX('AH History'!$D$5:$GG$1380,$K648,AH!$U$10+1))),NA()),NA())</f>
        <v/>
      </c>
      <c r="G648" s="34">
        <f>IFERROR(IF(ISNUMBER($A648),IF(AND(AH!$U$12=1,643+1=AH!$U$6),IF(AH!$U$4=0,"unavailable",INDEX('Market Data'!$AK$5:$AK$66,AH!$U$4)),IF(AH!$U$5=1,INDEX('Live History'!$D$5:$D$3004,MATCH($A648,'Live History'!$D$5:$D$3004,1)),INDEX('AH History'!$D$5:$GG$1380,$K648,AH!$U$10+2))),NA()),NA())</f>
        <v/>
      </c>
      <c r="H648" s="266">
        <f>IFERROR(IF(ISNUMBER($A648),IF(AND(AH!$U$12=1,643+1=AH!$U$6),IF(AH!$U$4=0,"unavailable",INDEX('Market Data'!$AP$5:$AP$66,AH!$U$4)),IF(AH!$U$5=1,INDEX('Live History'!$H$5:$H$3004,MATCH($A648,'Live History'!$G$5:$G$3004,1)),INDEX('AH History'!$B$5:$B$1380,$K648))),NA()),NA())</f>
        <v/>
      </c>
      <c r="I648" s="34">
        <f>IFERROR(IF(ISNUMBER($A648),IF(AND(AH!$U$12=1,643+1=AH!$U$6),TODAY(),IF(AH!$U$5=1,INDEX('Live History'!$G$5:$G$3004,MATCH($A648,'Live History'!$G$5:$G$3004,1)),INDEX('AH History'!$C$5:$C$1380,$K648))),NA()),NA())</f>
        <v/>
      </c>
      <c r="J648" s="32">
        <f>IFERROR(IF(AND($F648&gt;0,$H648&gt;0,$A648-$G648&lt;=10,$A648-$I648&lt;=5,$G648&gt;0,$I648&gt;0),$F648*$H648,NA()),NA())</f>
        <v/>
      </c>
      <c r="K648" s="15">
        <f>IF($A648="","",IF(AH!$U$5=1,IFERROR(MATCH($A648,'Live History'!$A$5:$A$3004,0),0),AH!$U$7+643))</f>
        <v/>
      </c>
      <c r="L648" s="15">
        <f>IF(ISNUMBER(A648),TEXT(A648,"dd-mmm-yy"),"")</f>
        <v/>
      </c>
    </row>
    <row r="649">
      <c r="A649" s="14">
        <f>IF(OR(AH!$U$4=0,644+1&gt;AH!$U$6,AND(AH!$M$5="Bloomberg",AH!$U$5=0)),"",IFERROR(IF(AND(AH!$U$12=1,644+1=AH!$U$6),TODAY(),IF(AH!$U$5=1,INDEX('Live History'!$A$5:$A$3004,AH!$U$7+644),INDEX('AH History'!$A$5:$A$1380,AH!$U$7+644))),""))</f>
        <v/>
      </c>
      <c r="B649" s="33">
        <f>IFERROR(IF(AH!$U$11=1,NA(),$J649/$E649-1),NA())</f>
        <v/>
      </c>
      <c r="C649" s="269">
        <f>IFERROR(100*$E649/$E$5,NA())</f>
        <v/>
      </c>
      <c r="D649" s="269">
        <f>IFERROR(100*$J649/$J$5,NA())</f>
        <v/>
      </c>
      <c r="E649" s="32">
        <f>IFERROR(IF(AND(ISNUMBER($A649),N(IF(AND(AH!$U$12=1,644+1=AH!$U$6),IF(AH!$U$4=0,"unavailable",INDEX('Market Data'!$AN$5:$AN$66,AH!$U$4)),IF(AH!$U$5=1,INDEX('Live History'!$B$5:$B$3004,$K649),INDEX('AH History'!$D$5:$GG$1380,$K649,AH!$U$10))))&gt;0),IF(AND(AH!$U$12=1,644+1=AH!$U$6),IF(AH!$U$4=0,"unavailable",INDEX('Market Data'!$AN$5:$AN$66,AH!$U$4)),IF(AH!$U$5=1,INDEX('Live History'!$B$5:$B$3004,$K649),INDEX('AH History'!$D$5:$GG$1380,$K649,AH!$U$10))),NA()),NA())</f>
        <v/>
      </c>
      <c r="F649" s="32">
        <f>IFERROR(IF(ISNUMBER($A649),IF(AND(AH!$U$12=1,644+1=AH!$U$6),IF(AH!$U$4=0,"unavailable",INDEX('Market Data'!$AO$5:$AO$66,AH!$U$4)),IF(AH!$U$5=1,INDEX('Live History'!$E$5:$E$3004,MATCH($A649,'Live History'!$D$5:$D$3004,1)),INDEX('AH History'!$D$5:$GG$1380,$K649,AH!$U$10+1))),NA()),NA())</f>
        <v/>
      </c>
      <c r="G649" s="34">
        <f>IFERROR(IF(ISNUMBER($A649),IF(AND(AH!$U$12=1,644+1=AH!$U$6),IF(AH!$U$4=0,"unavailable",INDEX('Market Data'!$AK$5:$AK$66,AH!$U$4)),IF(AH!$U$5=1,INDEX('Live History'!$D$5:$D$3004,MATCH($A649,'Live History'!$D$5:$D$3004,1)),INDEX('AH History'!$D$5:$GG$1380,$K649,AH!$U$10+2))),NA()),NA())</f>
        <v/>
      </c>
      <c r="H649" s="266">
        <f>IFERROR(IF(ISNUMBER($A649),IF(AND(AH!$U$12=1,644+1=AH!$U$6),IF(AH!$U$4=0,"unavailable",INDEX('Market Data'!$AP$5:$AP$66,AH!$U$4)),IF(AH!$U$5=1,INDEX('Live History'!$H$5:$H$3004,MATCH($A649,'Live History'!$G$5:$G$3004,1)),INDEX('AH History'!$B$5:$B$1380,$K649))),NA()),NA())</f>
        <v/>
      </c>
      <c r="I649" s="34">
        <f>IFERROR(IF(ISNUMBER($A649),IF(AND(AH!$U$12=1,644+1=AH!$U$6),TODAY(),IF(AH!$U$5=1,INDEX('Live History'!$G$5:$G$3004,MATCH($A649,'Live History'!$G$5:$G$3004,1)),INDEX('AH History'!$C$5:$C$1380,$K649))),NA()),NA())</f>
        <v/>
      </c>
      <c r="J649" s="32">
        <f>IFERROR(IF(AND($F649&gt;0,$H649&gt;0,$A649-$G649&lt;=10,$A649-$I649&lt;=5,$G649&gt;0,$I649&gt;0),$F649*$H649,NA()),NA())</f>
        <v/>
      </c>
      <c r="K649" s="15">
        <f>IF($A649="","",IF(AH!$U$5=1,IFERROR(MATCH($A649,'Live History'!$A$5:$A$3004,0),0),AH!$U$7+644))</f>
        <v/>
      </c>
      <c r="L649" s="15">
        <f>IF(ISNUMBER(A649),TEXT(A649,"dd-mmm-yy"),"")</f>
        <v/>
      </c>
    </row>
    <row r="650">
      <c r="A650" s="14">
        <f>IF(OR(AH!$U$4=0,645+1&gt;AH!$U$6,AND(AH!$M$5="Bloomberg",AH!$U$5=0)),"",IFERROR(IF(AND(AH!$U$12=1,645+1=AH!$U$6),TODAY(),IF(AH!$U$5=1,INDEX('Live History'!$A$5:$A$3004,AH!$U$7+645),INDEX('AH History'!$A$5:$A$1380,AH!$U$7+645))),""))</f>
        <v/>
      </c>
      <c r="B650" s="33">
        <f>IFERROR(IF(AH!$U$11=1,NA(),$J650/$E650-1),NA())</f>
        <v/>
      </c>
      <c r="C650" s="269">
        <f>IFERROR(100*$E650/$E$5,NA())</f>
        <v/>
      </c>
      <c r="D650" s="269">
        <f>IFERROR(100*$J650/$J$5,NA())</f>
        <v/>
      </c>
      <c r="E650" s="32">
        <f>IFERROR(IF(AND(ISNUMBER($A650),N(IF(AND(AH!$U$12=1,645+1=AH!$U$6),IF(AH!$U$4=0,"unavailable",INDEX('Market Data'!$AN$5:$AN$66,AH!$U$4)),IF(AH!$U$5=1,INDEX('Live History'!$B$5:$B$3004,$K650),INDEX('AH History'!$D$5:$GG$1380,$K650,AH!$U$10))))&gt;0),IF(AND(AH!$U$12=1,645+1=AH!$U$6),IF(AH!$U$4=0,"unavailable",INDEX('Market Data'!$AN$5:$AN$66,AH!$U$4)),IF(AH!$U$5=1,INDEX('Live History'!$B$5:$B$3004,$K650),INDEX('AH History'!$D$5:$GG$1380,$K650,AH!$U$10))),NA()),NA())</f>
        <v/>
      </c>
      <c r="F650" s="32">
        <f>IFERROR(IF(ISNUMBER($A650),IF(AND(AH!$U$12=1,645+1=AH!$U$6),IF(AH!$U$4=0,"unavailable",INDEX('Market Data'!$AO$5:$AO$66,AH!$U$4)),IF(AH!$U$5=1,INDEX('Live History'!$E$5:$E$3004,MATCH($A650,'Live History'!$D$5:$D$3004,1)),INDEX('AH History'!$D$5:$GG$1380,$K650,AH!$U$10+1))),NA()),NA())</f>
        <v/>
      </c>
      <c r="G650" s="34">
        <f>IFERROR(IF(ISNUMBER($A650),IF(AND(AH!$U$12=1,645+1=AH!$U$6),IF(AH!$U$4=0,"unavailable",INDEX('Market Data'!$AK$5:$AK$66,AH!$U$4)),IF(AH!$U$5=1,INDEX('Live History'!$D$5:$D$3004,MATCH($A650,'Live History'!$D$5:$D$3004,1)),INDEX('AH History'!$D$5:$GG$1380,$K650,AH!$U$10+2))),NA()),NA())</f>
        <v/>
      </c>
      <c r="H650" s="266">
        <f>IFERROR(IF(ISNUMBER($A650),IF(AND(AH!$U$12=1,645+1=AH!$U$6),IF(AH!$U$4=0,"unavailable",INDEX('Market Data'!$AP$5:$AP$66,AH!$U$4)),IF(AH!$U$5=1,INDEX('Live History'!$H$5:$H$3004,MATCH($A650,'Live History'!$G$5:$G$3004,1)),INDEX('AH History'!$B$5:$B$1380,$K650))),NA()),NA())</f>
        <v/>
      </c>
      <c r="I650" s="34">
        <f>IFERROR(IF(ISNUMBER($A650),IF(AND(AH!$U$12=1,645+1=AH!$U$6),TODAY(),IF(AH!$U$5=1,INDEX('Live History'!$G$5:$G$3004,MATCH($A650,'Live History'!$G$5:$G$3004,1)),INDEX('AH History'!$C$5:$C$1380,$K650))),NA()),NA())</f>
        <v/>
      </c>
      <c r="J650" s="32">
        <f>IFERROR(IF(AND($F650&gt;0,$H650&gt;0,$A650-$G650&lt;=10,$A650-$I650&lt;=5,$G650&gt;0,$I650&gt;0),$F650*$H650,NA()),NA())</f>
        <v/>
      </c>
      <c r="K650" s="15">
        <f>IF($A650="","",IF(AH!$U$5=1,IFERROR(MATCH($A650,'Live History'!$A$5:$A$3004,0),0),AH!$U$7+645))</f>
        <v/>
      </c>
      <c r="L650" s="15">
        <f>IF(ISNUMBER(A650),TEXT(A650,"dd-mmm-yy"),"")</f>
        <v/>
      </c>
    </row>
    <row r="651">
      <c r="A651" s="14">
        <f>IF(OR(AH!$U$4=0,646+1&gt;AH!$U$6,AND(AH!$M$5="Bloomberg",AH!$U$5=0)),"",IFERROR(IF(AND(AH!$U$12=1,646+1=AH!$U$6),TODAY(),IF(AH!$U$5=1,INDEX('Live History'!$A$5:$A$3004,AH!$U$7+646),INDEX('AH History'!$A$5:$A$1380,AH!$U$7+646))),""))</f>
        <v/>
      </c>
      <c r="B651" s="33">
        <f>IFERROR(IF(AH!$U$11=1,NA(),$J651/$E651-1),NA())</f>
        <v/>
      </c>
      <c r="C651" s="269">
        <f>IFERROR(100*$E651/$E$5,NA())</f>
        <v/>
      </c>
      <c r="D651" s="269">
        <f>IFERROR(100*$J651/$J$5,NA())</f>
        <v/>
      </c>
      <c r="E651" s="32">
        <f>IFERROR(IF(AND(ISNUMBER($A651),N(IF(AND(AH!$U$12=1,646+1=AH!$U$6),IF(AH!$U$4=0,"unavailable",INDEX('Market Data'!$AN$5:$AN$66,AH!$U$4)),IF(AH!$U$5=1,INDEX('Live History'!$B$5:$B$3004,$K651),INDEX('AH History'!$D$5:$GG$1380,$K651,AH!$U$10))))&gt;0),IF(AND(AH!$U$12=1,646+1=AH!$U$6),IF(AH!$U$4=0,"unavailable",INDEX('Market Data'!$AN$5:$AN$66,AH!$U$4)),IF(AH!$U$5=1,INDEX('Live History'!$B$5:$B$3004,$K651),INDEX('AH History'!$D$5:$GG$1380,$K651,AH!$U$10))),NA()),NA())</f>
        <v/>
      </c>
      <c r="F651" s="32">
        <f>IFERROR(IF(ISNUMBER($A651),IF(AND(AH!$U$12=1,646+1=AH!$U$6),IF(AH!$U$4=0,"unavailable",INDEX('Market Data'!$AO$5:$AO$66,AH!$U$4)),IF(AH!$U$5=1,INDEX('Live History'!$E$5:$E$3004,MATCH($A651,'Live History'!$D$5:$D$3004,1)),INDEX('AH History'!$D$5:$GG$1380,$K651,AH!$U$10+1))),NA()),NA())</f>
        <v/>
      </c>
      <c r="G651" s="34">
        <f>IFERROR(IF(ISNUMBER($A651),IF(AND(AH!$U$12=1,646+1=AH!$U$6),IF(AH!$U$4=0,"unavailable",INDEX('Market Data'!$AK$5:$AK$66,AH!$U$4)),IF(AH!$U$5=1,INDEX('Live History'!$D$5:$D$3004,MATCH($A651,'Live History'!$D$5:$D$3004,1)),INDEX('AH History'!$D$5:$GG$1380,$K651,AH!$U$10+2))),NA()),NA())</f>
        <v/>
      </c>
      <c r="H651" s="266">
        <f>IFERROR(IF(ISNUMBER($A651),IF(AND(AH!$U$12=1,646+1=AH!$U$6),IF(AH!$U$4=0,"unavailable",INDEX('Market Data'!$AP$5:$AP$66,AH!$U$4)),IF(AH!$U$5=1,INDEX('Live History'!$H$5:$H$3004,MATCH($A651,'Live History'!$G$5:$G$3004,1)),INDEX('AH History'!$B$5:$B$1380,$K651))),NA()),NA())</f>
        <v/>
      </c>
      <c r="I651" s="34">
        <f>IFERROR(IF(ISNUMBER($A651),IF(AND(AH!$U$12=1,646+1=AH!$U$6),TODAY(),IF(AH!$U$5=1,INDEX('Live History'!$G$5:$G$3004,MATCH($A651,'Live History'!$G$5:$G$3004,1)),INDEX('AH History'!$C$5:$C$1380,$K651))),NA()),NA())</f>
        <v/>
      </c>
      <c r="J651" s="32">
        <f>IFERROR(IF(AND($F651&gt;0,$H651&gt;0,$A651-$G651&lt;=10,$A651-$I651&lt;=5,$G651&gt;0,$I651&gt;0),$F651*$H651,NA()),NA())</f>
        <v/>
      </c>
      <c r="K651" s="15">
        <f>IF($A651="","",IF(AH!$U$5=1,IFERROR(MATCH($A651,'Live History'!$A$5:$A$3004,0),0),AH!$U$7+646))</f>
        <v/>
      </c>
      <c r="L651" s="15">
        <f>IF(ISNUMBER(A651),TEXT(A651,"dd-mmm-yy"),"")</f>
        <v/>
      </c>
    </row>
    <row r="652">
      <c r="A652" s="14">
        <f>IF(OR(AH!$U$4=0,647+1&gt;AH!$U$6,AND(AH!$M$5="Bloomberg",AH!$U$5=0)),"",IFERROR(IF(AND(AH!$U$12=1,647+1=AH!$U$6),TODAY(),IF(AH!$U$5=1,INDEX('Live History'!$A$5:$A$3004,AH!$U$7+647),INDEX('AH History'!$A$5:$A$1380,AH!$U$7+647))),""))</f>
        <v/>
      </c>
      <c r="B652" s="33">
        <f>IFERROR(IF(AH!$U$11=1,NA(),$J652/$E652-1),NA())</f>
        <v/>
      </c>
      <c r="C652" s="269">
        <f>IFERROR(100*$E652/$E$5,NA())</f>
        <v/>
      </c>
      <c r="D652" s="269">
        <f>IFERROR(100*$J652/$J$5,NA())</f>
        <v/>
      </c>
      <c r="E652" s="32">
        <f>IFERROR(IF(AND(ISNUMBER($A652),N(IF(AND(AH!$U$12=1,647+1=AH!$U$6),IF(AH!$U$4=0,"unavailable",INDEX('Market Data'!$AN$5:$AN$66,AH!$U$4)),IF(AH!$U$5=1,INDEX('Live History'!$B$5:$B$3004,$K652),INDEX('AH History'!$D$5:$GG$1380,$K652,AH!$U$10))))&gt;0),IF(AND(AH!$U$12=1,647+1=AH!$U$6),IF(AH!$U$4=0,"unavailable",INDEX('Market Data'!$AN$5:$AN$66,AH!$U$4)),IF(AH!$U$5=1,INDEX('Live History'!$B$5:$B$3004,$K652),INDEX('AH History'!$D$5:$GG$1380,$K652,AH!$U$10))),NA()),NA())</f>
        <v/>
      </c>
      <c r="F652" s="32">
        <f>IFERROR(IF(ISNUMBER($A652),IF(AND(AH!$U$12=1,647+1=AH!$U$6),IF(AH!$U$4=0,"unavailable",INDEX('Market Data'!$AO$5:$AO$66,AH!$U$4)),IF(AH!$U$5=1,INDEX('Live History'!$E$5:$E$3004,MATCH($A652,'Live History'!$D$5:$D$3004,1)),INDEX('AH History'!$D$5:$GG$1380,$K652,AH!$U$10+1))),NA()),NA())</f>
        <v/>
      </c>
      <c r="G652" s="34">
        <f>IFERROR(IF(ISNUMBER($A652),IF(AND(AH!$U$12=1,647+1=AH!$U$6),IF(AH!$U$4=0,"unavailable",INDEX('Market Data'!$AK$5:$AK$66,AH!$U$4)),IF(AH!$U$5=1,INDEX('Live History'!$D$5:$D$3004,MATCH($A652,'Live History'!$D$5:$D$3004,1)),INDEX('AH History'!$D$5:$GG$1380,$K652,AH!$U$10+2))),NA()),NA())</f>
        <v/>
      </c>
      <c r="H652" s="266">
        <f>IFERROR(IF(ISNUMBER($A652),IF(AND(AH!$U$12=1,647+1=AH!$U$6),IF(AH!$U$4=0,"unavailable",INDEX('Market Data'!$AP$5:$AP$66,AH!$U$4)),IF(AH!$U$5=1,INDEX('Live History'!$H$5:$H$3004,MATCH($A652,'Live History'!$G$5:$G$3004,1)),INDEX('AH History'!$B$5:$B$1380,$K652))),NA()),NA())</f>
        <v/>
      </c>
      <c r="I652" s="34">
        <f>IFERROR(IF(ISNUMBER($A652),IF(AND(AH!$U$12=1,647+1=AH!$U$6),TODAY(),IF(AH!$U$5=1,INDEX('Live History'!$G$5:$G$3004,MATCH($A652,'Live History'!$G$5:$G$3004,1)),INDEX('AH History'!$C$5:$C$1380,$K652))),NA()),NA())</f>
        <v/>
      </c>
      <c r="J652" s="32">
        <f>IFERROR(IF(AND($F652&gt;0,$H652&gt;0,$A652-$G652&lt;=10,$A652-$I652&lt;=5,$G652&gt;0,$I652&gt;0),$F652*$H652,NA()),NA())</f>
        <v/>
      </c>
      <c r="K652" s="15">
        <f>IF($A652="","",IF(AH!$U$5=1,IFERROR(MATCH($A652,'Live History'!$A$5:$A$3004,0),0),AH!$U$7+647))</f>
        <v/>
      </c>
      <c r="L652" s="15">
        <f>IF(ISNUMBER(A652),TEXT(A652,"dd-mmm-yy"),"")</f>
        <v/>
      </c>
    </row>
    <row r="653">
      <c r="A653" s="14">
        <f>IF(OR(AH!$U$4=0,648+1&gt;AH!$U$6,AND(AH!$M$5="Bloomberg",AH!$U$5=0)),"",IFERROR(IF(AND(AH!$U$12=1,648+1=AH!$U$6),TODAY(),IF(AH!$U$5=1,INDEX('Live History'!$A$5:$A$3004,AH!$U$7+648),INDEX('AH History'!$A$5:$A$1380,AH!$U$7+648))),""))</f>
        <v/>
      </c>
      <c r="B653" s="33">
        <f>IFERROR(IF(AH!$U$11=1,NA(),$J653/$E653-1),NA())</f>
        <v/>
      </c>
      <c r="C653" s="269">
        <f>IFERROR(100*$E653/$E$5,NA())</f>
        <v/>
      </c>
      <c r="D653" s="269">
        <f>IFERROR(100*$J653/$J$5,NA())</f>
        <v/>
      </c>
      <c r="E653" s="32">
        <f>IFERROR(IF(AND(ISNUMBER($A653),N(IF(AND(AH!$U$12=1,648+1=AH!$U$6),IF(AH!$U$4=0,"unavailable",INDEX('Market Data'!$AN$5:$AN$66,AH!$U$4)),IF(AH!$U$5=1,INDEX('Live History'!$B$5:$B$3004,$K653),INDEX('AH History'!$D$5:$GG$1380,$K653,AH!$U$10))))&gt;0),IF(AND(AH!$U$12=1,648+1=AH!$U$6),IF(AH!$U$4=0,"unavailable",INDEX('Market Data'!$AN$5:$AN$66,AH!$U$4)),IF(AH!$U$5=1,INDEX('Live History'!$B$5:$B$3004,$K653),INDEX('AH History'!$D$5:$GG$1380,$K653,AH!$U$10))),NA()),NA())</f>
        <v/>
      </c>
      <c r="F653" s="32">
        <f>IFERROR(IF(ISNUMBER($A653),IF(AND(AH!$U$12=1,648+1=AH!$U$6),IF(AH!$U$4=0,"unavailable",INDEX('Market Data'!$AO$5:$AO$66,AH!$U$4)),IF(AH!$U$5=1,INDEX('Live History'!$E$5:$E$3004,MATCH($A653,'Live History'!$D$5:$D$3004,1)),INDEX('AH History'!$D$5:$GG$1380,$K653,AH!$U$10+1))),NA()),NA())</f>
        <v/>
      </c>
      <c r="G653" s="34">
        <f>IFERROR(IF(ISNUMBER($A653),IF(AND(AH!$U$12=1,648+1=AH!$U$6),IF(AH!$U$4=0,"unavailable",INDEX('Market Data'!$AK$5:$AK$66,AH!$U$4)),IF(AH!$U$5=1,INDEX('Live History'!$D$5:$D$3004,MATCH($A653,'Live History'!$D$5:$D$3004,1)),INDEX('AH History'!$D$5:$GG$1380,$K653,AH!$U$10+2))),NA()),NA())</f>
        <v/>
      </c>
      <c r="H653" s="266">
        <f>IFERROR(IF(ISNUMBER($A653),IF(AND(AH!$U$12=1,648+1=AH!$U$6),IF(AH!$U$4=0,"unavailable",INDEX('Market Data'!$AP$5:$AP$66,AH!$U$4)),IF(AH!$U$5=1,INDEX('Live History'!$H$5:$H$3004,MATCH($A653,'Live History'!$G$5:$G$3004,1)),INDEX('AH History'!$B$5:$B$1380,$K653))),NA()),NA())</f>
        <v/>
      </c>
      <c r="I653" s="34">
        <f>IFERROR(IF(ISNUMBER($A653),IF(AND(AH!$U$12=1,648+1=AH!$U$6),TODAY(),IF(AH!$U$5=1,INDEX('Live History'!$G$5:$G$3004,MATCH($A653,'Live History'!$G$5:$G$3004,1)),INDEX('AH History'!$C$5:$C$1380,$K653))),NA()),NA())</f>
        <v/>
      </c>
      <c r="J653" s="32">
        <f>IFERROR(IF(AND($F653&gt;0,$H653&gt;0,$A653-$G653&lt;=10,$A653-$I653&lt;=5,$G653&gt;0,$I653&gt;0),$F653*$H653,NA()),NA())</f>
        <v/>
      </c>
      <c r="K653" s="15">
        <f>IF($A653="","",IF(AH!$U$5=1,IFERROR(MATCH($A653,'Live History'!$A$5:$A$3004,0),0),AH!$U$7+648))</f>
        <v/>
      </c>
      <c r="L653" s="15">
        <f>IF(ISNUMBER(A653),TEXT(A653,"dd-mmm-yy"),"")</f>
        <v/>
      </c>
    </row>
    <row r="654">
      <c r="A654" s="14">
        <f>IF(OR(AH!$U$4=0,649+1&gt;AH!$U$6,AND(AH!$M$5="Bloomberg",AH!$U$5=0)),"",IFERROR(IF(AND(AH!$U$12=1,649+1=AH!$U$6),TODAY(),IF(AH!$U$5=1,INDEX('Live History'!$A$5:$A$3004,AH!$U$7+649),INDEX('AH History'!$A$5:$A$1380,AH!$U$7+649))),""))</f>
        <v/>
      </c>
      <c r="B654" s="33">
        <f>IFERROR(IF(AH!$U$11=1,NA(),$J654/$E654-1),NA())</f>
        <v/>
      </c>
      <c r="C654" s="269">
        <f>IFERROR(100*$E654/$E$5,NA())</f>
        <v/>
      </c>
      <c r="D654" s="269">
        <f>IFERROR(100*$J654/$J$5,NA())</f>
        <v/>
      </c>
      <c r="E654" s="32">
        <f>IFERROR(IF(AND(ISNUMBER($A654),N(IF(AND(AH!$U$12=1,649+1=AH!$U$6),IF(AH!$U$4=0,"unavailable",INDEX('Market Data'!$AN$5:$AN$66,AH!$U$4)),IF(AH!$U$5=1,INDEX('Live History'!$B$5:$B$3004,$K654),INDEX('AH History'!$D$5:$GG$1380,$K654,AH!$U$10))))&gt;0),IF(AND(AH!$U$12=1,649+1=AH!$U$6),IF(AH!$U$4=0,"unavailable",INDEX('Market Data'!$AN$5:$AN$66,AH!$U$4)),IF(AH!$U$5=1,INDEX('Live History'!$B$5:$B$3004,$K654),INDEX('AH History'!$D$5:$GG$1380,$K654,AH!$U$10))),NA()),NA())</f>
        <v/>
      </c>
      <c r="F654" s="32">
        <f>IFERROR(IF(ISNUMBER($A654),IF(AND(AH!$U$12=1,649+1=AH!$U$6),IF(AH!$U$4=0,"unavailable",INDEX('Market Data'!$AO$5:$AO$66,AH!$U$4)),IF(AH!$U$5=1,INDEX('Live History'!$E$5:$E$3004,MATCH($A654,'Live History'!$D$5:$D$3004,1)),INDEX('AH History'!$D$5:$GG$1380,$K654,AH!$U$10+1))),NA()),NA())</f>
        <v/>
      </c>
      <c r="G654" s="34">
        <f>IFERROR(IF(ISNUMBER($A654),IF(AND(AH!$U$12=1,649+1=AH!$U$6),IF(AH!$U$4=0,"unavailable",INDEX('Market Data'!$AK$5:$AK$66,AH!$U$4)),IF(AH!$U$5=1,INDEX('Live History'!$D$5:$D$3004,MATCH($A654,'Live History'!$D$5:$D$3004,1)),INDEX('AH History'!$D$5:$GG$1380,$K654,AH!$U$10+2))),NA()),NA())</f>
        <v/>
      </c>
      <c r="H654" s="266">
        <f>IFERROR(IF(ISNUMBER($A654),IF(AND(AH!$U$12=1,649+1=AH!$U$6),IF(AH!$U$4=0,"unavailable",INDEX('Market Data'!$AP$5:$AP$66,AH!$U$4)),IF(AH!$U$5=1,INDEX('Live History'!$H$5:$H$3004,MATCH($A654,'Live History'!$G$5:$G$3004,1)),INDEX('AH History'!$B$5:$B$1380,$K654))),NA()),NA())</f>
        <v/>
      </c>
      <c r="I654" s="34">
        <f>IFERROR(IF(ISNUMBER($A654),IF(AND(AH!$U$12=1,649+1=AH!$U$6),TODAY(),IF(AH!$U$5=1,INDEX('Live History'!$G$5:$G$3004,MATCH($A654,'Live History'!$G$5:$G$3004,1)),INDEX('AH History'!$C$5:$C$1380,$K654))),NA()),NA())</f>
        <v/>
      </c>
      <c r="J654" s="32">
        <f>IFERROR(IF(AND($F654&gt;0,$H654&gt;0,$A654-$G654&lt;=10,$A654-$I654&lt;=5,$G654&gt;0,$I654&gt;0),$F654*$H654,NA()),NA())</f>
        <v/>
      </c>
      <c r="K654" s="15">
        <f>IF($A654="","",IF(AH!$U$5=1,IFERROR(MATCH($A654,'Live History'!$A$5:$A$3004,0),0),AH!$U$7+649))</f>
        <v/>
      </c>
      <c r="L654" s="15">
        <f>IF(ISNUMBER(A654),TEXT(A654,"dd-mmm-yy"),"")</f>
        <v/>
      </c>
    </row>
    <row r="655">
      <c r="A655" s="14">
        <f>IF(OR(AH!$U$4=0,650+1&gt;AH!$U$6,AND(AH!$M$5="Bloomberg",AH!$U$5=0)),"",IFERROR(IF(AND(AH!$U$12=1,650+1=AH!$U$6),TODAY(),IF(AH!$U$5=1,INDEX('Live History'!$A$5:$A$3004,AH!$U$7+650),INDEX('AH History'!$A$5:$A$1380,AH!$U$7+650))),""))</f>
        <v/>
      </c>
      <c r="B655" s="33">
        <f>IFERROR(IF(AH!$U$11=1,NA(),$J655/$E655-1),NA())</f>
        <v/>
      </c>
      <c r="C655" s="269">
        <f>IFERROR(100*$E655/$E$5,NA())</f>
        <v/>
      </c>
      <c r="D655" s="269">
        <f>IFERROR(100*$J655/$J$5,NA())</f>
        <v/>
      </c>
      <c r="E655" s="32">
        <f>IFERROR(IF(AND(ISNUMBER($A655),N(IF(AND(AH!$U$12=1,650+1=AH!$U$6),IF(AH!$U$4=0,"unavailable",INDEX('Market Data'!$AN$5:$AN$66,AH!$U$4)),IF(AH!$U$5=1,INDEX('Live History'!$B$5:$B$3004,$K655),INDEX('AH History'!$D$5:$GG$1380,$K655,AH!$U$10))))&gt;0),IF(AND(AH!$U$12=1,650+1=AH!$U$6),IF(AH!$U$4=0,"unavailable",INDEX('Market Data'!$AN$5:$AN$66,AH!$U$4)),IF(AH!$U$5=1,INDEX('Live History'!$B$5:$B$3004,$K655),INDEX('AH History'!$D$5:$GG$1380,$K655,AH!$U$10))),NA()),NA())</f>
        <v/>
      </c>
      <c r="F655" s="32">
        <f>IFERROR(IF(ISNUMBER($A655),IF(AND(AH!$U$12=1,650+1=AH!$U$6),IF(AH!$U$4=0,"unavailable",INDEX('Market Data'!$AO$5:$AO$66,AH!$U$4)),IF(AH!$U$5=1,INDEX('Live History'!$E$5:$E$3004,MATCH($A655,'Live History'!$D$5:$D$3004,1)),INDEX('AH History'!$D$5:$GG$1380,$K655,AH!$U$10+1))),NA()),NA())</f>
        <v/>
      </c>
      <c r="G655" s="34">
        <f>IFERROR(IF(ISNUMBER($A655),IF(AND(AH!$U$12=1,650+1=AH!$U$6),IF(AH!$U$4=0,"unavailable",INDEX('Market Data'!$AK$5:$AK$66,AH!$U$4)),IF(AH!$U$5=1,INDEX('Live History'!$D$5:$D$3004,MATCH($A655,'Live History'!$D$5:$D$3004,1)),INDEX('AH History'!$D$5:$GG$1380,$K655,AH!$U$10+2))),NA()),NA())</f>
        <v/>
      </c>
      <c r="H655" s="266">
        <f>IFERROR(IF(ISNUMBER($A655),IF(AND(AH!$U$12=1,650+1=AH!$U$6),IF(AH!$U$4=0,"unavailable",INDEX('Market Data'!$AP$5:$AP$66,AH!$U$4)),IF(AH!$U$5=1,INDEX('Live History'!$H$5:$H$3004,MATCH($A655,'Live History'!$G$5:$G$3004,1)),INDEX('AH History'!$B$5:$B$1380,$K655))),NA()),NA())</f>
        <v/>
      </c>
      <c r="I655" s="34">
        <f>IFERROR(IF(ISNUMBER($A655),IF(AND(AH!$U$12=1,650+1=AH!$U$6),TODAY(),IF(AH!$U$5=1,INDEX('Live History'!$G$5:$G$3004,MATCH($A655,'Live History'!$G$5:$G$3004,1)),INDEX('AH History'!$C$5:$C$1380,$K655))),NA()),NA())</f>
        <v/>
      </c>
      <c r="J655" s="32">
        <f>IFERROR(IF(AND($F655&gt;0,$H655&gt;0,$A655-$G655&lt;=10,$A655-$I655&lt;=5,$G655&gt;0,$I655&gt;0),$F655*$H655,NA()),NA())</f>
        <v/>
      </c>
      <c r="K655" s="15">
        <f>IF($A655="","",IF(AH!$U$5=1,IFERROR(MATCH($A655,'Live History'!$A$5:$A$3004,0),0),AH!$U$7+650))</f>
        <v/>
      </c>
      <c r="L655" s="15">
        <f>IF(ISNUMBER(A655),TEXT(A655,"dd-mmm-yy"),"")</f>
        <v/>
      </c>
    </row>
    <row r="656">
      <c r="A656" s="14">
        <f>IF(OR(AH!$U$4=0,651+1&gt;AH!$U$6,AND(AH!$M$5="Bloomberg",AH!$U$5=0)),"",IFERROR(IF(AND(AH!$U$12=1,651+1=AH!$U$6),TODAY(),IF(AH!$U$5=1,INDEX('Live History'!$A$5:$A$3004,AH!$U$7+651),INDEX('AH History'!$A$5:$A$1380,AH!$U$7+651))),""))</f>
        <v/>
      </c>
      <c r="B656" s="33">
        <f>IFERROR(IF(AH!$U$11=1,NA(),$J656/$E656-1),NA())</f>
        <v/>
      </c>
      <c r="C656" s="269">
        <f>IFERROR(100*$E656/$E$5,NA())</f>
        <v/>
      </c>
      <c r="D656" s="269">
        <f>IFERROR(100*$J656/$J$5,NA())</f>
        <v/>
      </c>
      <c r="E656" s="32">
        <f>IFERROR(IF(AND(ISNUMBER($A656),N(IF(AND(AH!$U$12=1,651+1=AH!$U$6),IF(AH!$U$4=0,"unavailable",INDEX('Market Data'!$AN$5:$AN$66,AH!$U$4)),IF(AH!$U$5=1,INDEX('Live History'!$B$5:$B$3004,$K656),INDEX('AH History'!$D$5:$GG$1380,$K656,AH!$U$10))))&gt;0),IF(AND(AH!$U$12=1,651+1=AH!$U$6),IF(AH!$U$4=0,"unavailable",INDEX('Market Data'!$AN$5:$AN$66,AH!$U$4)),IF(AH!$U$5=1,INDEX('Live History'!$B$5:$B$3004,$K656),INDEX('AH History'!$D$5:$GG$1380,$K656,AH!$U$10))),NA()),NA())</f>
        <v/>
      </c>
      <c r="F656" s="32">
        <f>IFERROR(IF(ISNUMBER($A656),IF(AND(AH!$U$12=1,651+1=AH!$U$6),IF(AH!$U$4=0,"unavailable",INDEX('Market Data'!$AO$5:$AO$66,AH!$U$4)),IF(AH!$U$5=1,INDEX('Live History'!$E$5:$E$3004,MATCH($A656,'Live History'!$D$5:$D$3004,1)),INDEX('AH History'!$D$5:$GG$1380,$K656,AH!$U$10+1))),NA()),NA())</f>
        <v/>
      </c>
      <c r="G656" s="34">
        <f>IFERROR(IF(ISNUMBER($A656),IF(AND(AH!$U$12=1,651+1=AH!$U$6),IF(AH!$U$4=0,"unavailable",INDEX('Market Data'!$AK$5:$AK$66,AH!$U$4)),IF(AH!$U$5=1,INDEX('Live History'!$D$5:$D$3004,MATCH($A656,'Live History'!$D$5:$D$3004,1)),INDEX('AH History'!$D$5:$GG$1380,$K656,AH!$U$10+2))),NA()),NA())</f>
        <v/>
      </c>
      <c r="H656" s="266">
        <f>IFERROR(IF(ISNUMBER($A656),IF(AND(AH!$U$12=1,651+1=AH!$U$6),IF(AH!$U$4=0,"unavailable",INDEX('Market Data'!$AP$5:$AP$66,AH!$U$4)),IF(AH!$U$5=1,INDEX('Live History'!$H$5:$H$3004,MATCH($A656,'Live History'!$G$5:$G$3004,1)),INDEX('AH History'!$B$5:$B$1380,$K656))),NA()),NA())</f>
        <v/>
      </c>
      <c r="I656" s="34">
        <f>IFERROR(IF(ISNUMBER($A656),IF(AND(AH!$U$12=1,651+1=AH!$U$6),TODAY(),IF(AH!$U$5=1,INDEX('Live History'!$G$5:$G$3004,MATCH($A656,'Live History'!$G$5:$G$3004,1)),INDEX('AH History'!$C$5:$C$1380,$K656))),NA()),NA())</f>
        <v/>
      </c>
      <c r="J656" s="32">
        <f>IFERROR(IF(AND($F656&gt;0,$H656&gt;0,$A656-$G656&lt;=10,$A656-$I656&lt;=5,$G656&gt;0,$I656&gt;0),$F656*$H656,NA()),NA())</f>
        <v/>
      </c>
      <c r="K656" s="15">
        <f>IF($A656="","",IF(AH!$U$5=1,IFERROR(MATCH($A656,'Live History'!$A$5:$A$3004,0),0),AH!$U$7+651))</f>
        <v/>
      </c>
      <c r="L656" s="15">
        <f>IF(ISNUMBER(A656),TEXT(A656,"dd-mmm-yy"),"")</f>
        <v/>
      </c>
    </row>
    <row r="657">
      <c r="A657" s="14">
        <f>IF(OR(AH!$U$4=0,652+1&gt;AH!$U$6,AND(AH!$M$5="Bloomberg",AH!$U$5=0)),"",IFERROR(IF(AND(AH!$U$12=1,652+1=AH!$U$6),TODAY(),IF(AH!$U$5=1,INDEX('Live History'!$A$5:$A$3004,AH!$U$7+652),INDEX('AH History'!$A$5:$A$1380,AH!$U$7+652))),""))</f>
        <v/>
      </c>
      <c r="B657" s="33">
        <f>IFERROR(IF(AH!$U$11=1,NA(),$J657/$E657-1),NA())</f>
        <v/>
      </c>
      <c r="C657" s="269">
        <f>IFERROR(100*$E657/$E$5,NA())</f>
        <v/>
      </c>
      <c r="D657" s="269">
        <f>IFERROR(100*$J657/$J$5,NA())</f>
        <v/>
      </c>
      <c r="E657" s="32">
        <f>IFERROR(IF(AND(ISNUMBER($A657),N(IF(AND(AH!$U$12=1,652+1=AH!$U$6),IF(AH!$U$4=0,"unavailable",INDEX('Market Data'!$AN$5:$AN$66,AH!$U$4)),IF(AH!$U$5=1,INDEX('Live History'!$B$5:$B$3004,$K657),INDEX('AH History'!$D$5:$GG$1380,$K657,AH!$U$10))))&gt;0),IF(AND(AH!$U$12=1,652+1=AH!$U$6),IF(AH!$U$4=0,"unavailable",INDEX('Market Data'!$AN$5:$AN$66,AH!$U$4)),IF(AH!$U$5=1,INDEX('Live History'!$B$5:$B$3004,$K657),INDEX('AH History'!$D$5:$GG$1380,$K657,AH!$U$10))),NA()),NA())</f>
        <v/>
      </c>
      <c r="F657" s="32">
        <f>IFERROR(IF(ISNUMBER($A657),IF(AND(AH!$U$12=1,652+1=AH!$U$6),IF(AH!$U$4=0,"unavailable",INDEX('Market Data'!$AO$5:$AO$66,AH!$U$4)),IF(AH!$U$5=1,INDEX('Live History'!$E$5:$E$3004,MATCH($A657,'Live History'!$D$5:$D$3004,1)),INDEX('AH History'!$D$5:$GG$1380,$K657,AH!$U$10+1))),NA()),NA())</f>
        <v/>
      </c>
      <c r="G657" s="34">
        <f>IFERROR(IF(ISNUMBER($A657),IF(AND(AH!$U$12=1,652+1=AH!$U$6),IF(AH!$U$4=0,"unavailable",INDEX('Market Data'!$AK$5:$AK$66,AH!$U$4)),IF(AH!$U$5=1,INDEX('Live History'!$D$5:$D$3004,MATCH($A657,'Live History'!$D$5:$D$3004,1)),INDEX('AH History'!$D$5:$GG$1380,$K657,AH!$U$10+2))),NA()),NA())</f>
        <v/>
      </c>
      <c r="H657" s="266">
        <f>IFERROR(IF(ISNUMBER($A657),IF(AND(AH!$U$12=1,652+1=AH!$U$6),IF(AH!$U$4=0,"unavailable",INDEX('Market Data'!$AP$5:$AP$66,AH!$U$4)),IF(AH!$U$5=1,INDEX('Live History'!$H$5:$H$3004,MATCH($A657,'Live History'!$G$5:$G$3004,1)),INDEX('AH History'!$B$5:$B$1380,$K657))),NA()),NA())</f>
        <v/>
      </c>
      <c r="I657" s="34">
        <f>IFERROR(IF(ISNUMBER($A657),IF(AND(AH!$U$12=1,652+1=AH!$U$6),TODAY(),IF(AH!$U$5=1,INDEX('Live History'!$G$5:$G$3004,MATCH($A657,'Live History'!$G$5:$G$3004,1)),INDEX('AH History'!$C$5:$C$1380,$K657))),NA()),NA())</f>
        <v/>
      </c>
      <c r="J657" s="32">
        <f>IFERROR(IF(AND($F657&gt;0,$H657&gt;0,$A657-$G657&lt;=10,$A657-$I657&lt;=5,$G657&gt;0,$I657&gt;0),$F657*$H657,NA()),NA())</f>
        <v/>
      </c>
      <c r="K657" s="15">
        <f>IF($A657="","",IF(AH!$U$5=1,IFERROR(MATCH($A657,'Live History'!$A$5:$A$3004,0),0),AH!$U$7+652))</f>
        <v/>
      </c>
      <c r="L657" s="15">
        <f>IF(ISNUMBER(A657),TEXT(A657,"dd-mmm-yy"),"")</f>
        <v/>
      </c>
    </row>
    <row r="658">
      <c r="A658" s="14">
        <f>IF(OR(AH!$U$4=0,653+1&gt;AH!$U$6,AND(AH!$M$5="Bloomberg",AH!$U$5=0)),"",IFERROR(IF(AND(AH!$U$12=1,653+1=AH!$U$6),TODAY(),IF(AH!$U$5=1,INDEX('Live History'!$A$5:$A$3004,AH!$U$7+653),INDEX('AH History'!$A$5:$A$1380,AH!$U$7+653))),""))</f>
        <v/>
      </c>
      <c r="B658" s="33">
        <f>IFERROR(IF(AH!$U$11=1,NA(),$J658/$E658-1),NA())</f>
        <v/>
      </c>
      <c r="C658" s="269">
        <f>IFERROR(100*$E658/$E$5,NA())</f>
        <v/>
      </c>
      <c r="D658" s="269">
        <f>IFERROR(100*$J658/$J$5,NA())</f>
        <v/>
      </c>
      <c r="E658" s="32">
        <f>IFERROR(IF(AND(ISNUMBER($A658),N(IF(AND(AH!$U$12=1,653+1=AH!$U$6),IF(AH!$U$4=0,"unavailable",INDEX('Market Data'!$AN$5:$AN$66,AH!$U$4)),IF(AH!$U$5=1,INDEX('Live History'!$B$5:$B$3004,$K658),INDEX('AH History'!$D$5:$GG$1380,$K658,AH!$U$10))))&gt;0),IF(AND(AH!$U$12=1,653+1=AH!$U$6),IF(AH!$U$4=0,"unavailable",INDEX('Market Data'!$AN$5:$AN$66,AH!$U$4)),IF(AH!$U$5=1,INDEX('Live History'!$B$5:$B$3004,$K658),INDEX('AH History'!$D$5:$GG$1380,$K658,AH!$U$10))),NA()),NA())</f>
        <v/>
      </c>
      <c r="F658" s="32">
        <f>IFERROR(IF(ISNUMBER($A658),IF(AND(AH!$U$12=1,653+1=AH!$U$6),IF(AH!$U$4=0,"unavailable",INDEX('Market Data'!$AO$5:$AO$66,AH!$U$4)),IF(AH!$U$5=1,INDEX('Live History'!$E$5:$E$3004,MATCH($A658,'Live History'!$D$5:$D$3004,1)),INDEX('AH History'!$D$5:$GG$1380,$K658,AH!$U$10+1))),NA()),NA())</f>
        <v/>
      </c>
      <c r="G658" s="34">
        <f>IFERROR(IF(ISNUMBER($A658),IF(AND(AH!$U$12=1,653+1=AH!$U$6),IF(AH!$U$4=0,"unavailable",INDEX('Market Data'!$AK$5:$AK$66,AH!$U$4)),IF(AH!$U$5=1,INDEX('Live History'!$D$5:$D$3004,MATCH($A658,'Live History'!$D$5:$D$3004,1)),INDEX('AH History'!$D$5:$GG$1380,$K658,AH!$U$10+2))),NA()),NA())</f>
        <v/>
      </c>
      <c r="H658" s="266">
        <f>IFERROR(IF(ISNUMBER($A658),IF(AND(AH!$U$12=1,653+1=AH!$U$6),IF(AH!$U$4=0,"unavailable",INDEX('Market Data'!$AP$5:$AP$66,AH!$U$4)),IF(AH!$U$5=1,INDEX('Live History'!$H$5:$H$3004,MATCH($A658,'Live History'!$G$5:$G$3004,1)),INDEX('AH History'!$B$5:$B$1380,$K658))),NA()),NA())</f>
        <v/>
      </c>
      <c r="I658" s="34">
        <f>IFERROR(IF(ISNUMBER($A658),IF(AND(AH!$U$12=1,653+1=AH!$U$6),TODAY(),IF(AH!$U$5=1,INDEX('Live History'!$G$5:$G$3004,MATCH($A658,'Live History'!$G$5:$G$3004,1)),INDEX('AH History'!$C$5:$C$1380,$K658))),NA()),NA())</f>
        <v/>
      </c>
      <c r="J658" s="32">
        <f>IFERROR(IF(AND($F658&gt;0,$H658&gt;0,$A658-$G658&lt;=10,$A658-$I658&lt;=5,$G658&gt;0,$I658&gt;0),$F658*$H658,NA()),NA())</f>
        <v/>
      </c>
      <c r="K658" s="15">
        <f>IF($A658="","",IF(AH!$U$5=1,IFERROR(MATCH($A658,'Live History'!$A$5:$A$3004,0),0),AH!$U$7+653))</f>
        <v/>
      </c>
      <c r="L658" s="15">
        <f>IF(ISNUMBER(A658),TEXT(A658,"dd-mmm-yy"),"")</f>
        <v/>
      </c>
    </row>
    <row r="659">
      <c r="A659" s="14">
        <f>IF(OR(AH!$U$4=0,654+1&gt;AH!$U$6,AND(AH!$M$5="Bloomberg",AH!$U$5=0)),"",IFERROR(IF(AND(AH!$U$12=1,654+1=AH!$U$6),TODAY(),IF(AH!$U$5=1,INDEX('Live History'!$A$5:$A$3004,AH!$U$7+654),INDEX('AH History'!$A$5:$A$1380,AH!$U$7+654))),""))</f>
        <v/>
      </c>
      <c r="B659" s="33">
        <f>IFERROR(IF(AH!$U$11=1,NA(),$J659/$E659-1),NA())</f>
        <v/>
      </c>
      <c r="C659" s="269">
        <f>IFERROR(100*$E659/$E$5,NA())</f>
        <v/>
      </c>
      <c r="D659" s="269">
        <f>IFERROR(100*$J659/$J$5,NA())</f>
        <v/>
      </c>
      <c r="E659" s="32">
        <f>IFERROR(IF(AND(ISNUMBER($A659),N(IF(AND(AH!$U$12=1,654+1=AH!$U$6),IF(AH!$U$4=0,"unavailable",INDEX('Market Data'!$AN$5:$AN$66,AH!$U$4)),IF(AH!$U$5=1,INDEX('Live History'!$B$5:$B$3004,$K659),INDEX('AH History'!$D$5:$GG$1380,$K659,AH!$U$10))))&gt;0),IF(AND(AH!$U$12=1,654+1=AH!$U$6),IF(AH!$U$4=0,"unavailable",INDEX('Market Data'!$AN$5:$AN$66,AH!$U$4)),IF(AH!$U$5=1,INDEX('Live History'!$B$5:$B$3004,$K659),INDEX('AH History'!$D$5:$GG$1380,$K659,AH!$U$10))),NA()),NA())</f>
        <v/>
      </c>
      <c r="F659" s="32">
        <f>IFERROR(IF(ISNUMBER($A659),IF(AND(AH!$U$12=1,654+1=AH!$U$6),IF(AH!$U$4=0,"unavailable",INDEX('Market Data'!$AO$5:$AO$66,AH!$U$4)),IF(AH!$U$5=1,INDEX('Live History'!$E$5:$E$3004,MATCH($A659,'Live History'!$D$5:$D$3004,1)),INDEX('AH History'!$D$5:$GG$1380,$K659,AH!$U$10+1))),NA()),NA())</f>
        <v/>
      </c>
      <c r="G659" s="34">
        <f>IFERROR(IF(ISNUMBER($A659),IF(AND(AH!$U$12=1,654+1=AH!$U$6),IF(AH!$U$4=0,"unavailable",INDEX('Market Data'!$AK$5:$AK$66,AH!$U$4)),IF(AH!$U$5=1,INDEX('Live History'!$D$5:$D$3004,MATCH($A659,'Live History'!$D$5:$D$3004,1)),INDEX('AH History'!$D$5:$GG$1380,$K659,AH!$U$10+2))),NA()),NA())</f>
        <v/>
      </c>
      <c r="H659" s="266">
        <f>IFERROR(IF(ISNUMBER($A659),IF(AND(AH!$U$12=1,654+1=AH!$U$6),IF(AH!$U$4=0,"unavailable",INDEX('Market Data'!$AP$5:$AP$66,AH!$U$4)),IF(AH!$U$5=1,INDEX('Live History'!$H$5:$H$3004,MATCH($A659,'Live History'!$G$5:$G$3004,1)),INDEX('AH History'!$B$5:$B$1380,$K659))),NA()),NA())</f>
        <v/>
      </c>
      <c r="I659" s="34">
        <f>IFERROR(IF(ISNUMBER($A659),IF(AND(AH!$U$12=1,654+1=AH!$U$6),TODAY(),IF(AH!$U$5=1,INDEX('Live History'!$G$5:$G$3004,MATCH($A659,'Live History'!$G$5:$G$3004,1)),INDEX('AH History'!$C$5:$C$1380,$K659))),NA()),NA())</f>
        <v/>
      </c>
      <c r="J659" s="32">
        <f>IFERROR(IF(AND($F659&gt;0,$H659&gt;0,$A659-$G659&lt;=10,$A659-$I659&lt;=5,$G659&gt;0,$I659&gt;0),$F659*$H659,NA()),NA())</f>
        <v/>
      </c>
      <c r="K659" s="15">
        <f>IF($A659="","",IF(AH!$U$5=1,IFERROR(MATCH($A659,'Live History'!$A$5:$A$3004,0),0),AH!$U$7+654))</f>
        <v/>
      </c>
      <c r="L659" s="15">
        <f>IF(ISNUMBER(A659),TEXT(A659,"dd-mmm-yy"),"")</f>
        <v/>
      </c>
    </row>
    <row r="660">
      <c r="A660" s="14">
        <f>IF(OR(AH!$U$4=0,655+1&gt;AH!$U$6,AND(AH!$M$5="Bloomberg",AH!$U$5=0)),"",IFERROR(IF(AND(AH!$U$12=1,655+1=AH!$U$6),TODAY(),IF(AH!$U$5=1,INDEX('Live History'!$A$5:$A$3004,AH!$U$7+655),INDEX('AH History'!$A$5:$A$1380,AH!$U$7+655))),""))</f>
        <v/>
      </c>
      <c r="B660" s="33">
        <f>IFERROR(IF(AH!$U$11=1,NA(),$J660/$E660-1),NA())</f>
        <v/>
      </c>
      <c r="C660" s="269">
        <f>IFERROR(100*$E660/$E$5,NA())</f>
        <v/>
      </c>
      <c r="D660" s="269">
        <f>IFERROR(100*$J660/$J$5,NA())</f>
        <v/>
      </c>
      <c r="E660" s="32">
        <f>IFERROR(IF(AND(ISNUMBER($A660),N(IF(AND(AH!$U$12=1,655+1=AH!$U$6),IF(AH!$U$4=0,"unavailable",INDEX('Market Data'!$AN$5:$AN$66,AH!$U$4)),IF(AH!$U$5=1,INDEX('Live History'!$B$5:$B$3004,$K660),INDEX('AH History'!$D$5:$GG$1380,$K660,AH!$U$10))))&gt;0),IF(AND(AH!$U$12=1,655+1=AH!$U$6),IF(AH!$U$4=0,"unavailable",INDEX('Market Data'!$AN$5:$AN$66,AH!$U$4)),IF(AH!$U$5=1,INDEX('Live History'!$B$5:$B$3004,$K660),INDEX('AH History'!$D$5:$GG$1380,$K660,AH!$U$10))),NA()),NA())</f>
        <v/>
      </c>
      <c r="F660" s="32">
        <f>IFERROR(IF(ISNUMBER($A660),IF(AND(AH!$U$12=1,655+1=AH!$U$6),IF(AH!$U$4=0,"unavailable",INDEX('Market Data'!$AO$5:$AO$66,AH!$U$4)),IF(AH!$U$5=1,INDEX('Live History'!$E$5:$E$3004,MATCH($A660,'Live History'!$D$5:$D$3004,1)),INDEX('AH History'!$D$5:$GG$1380,$K660,AH!$U$10+1))),NA()),NA())</f>
        <v/>
      </c>
      <c r="G660" s="34">
        <f>IFERROR(IF(ISNUMBER($A660),IF(AND(AH!$U$12=1,655+1=AH!$U$6),IF(AH!$U$4=0,"unavailable",INDEX('Market Data'!$AK$5:$AK$66,AH!$U$4)),IF(AH!$U$5=1,INDEX('Live History'!$D$5:$D$3004,MATCH($A660,'Live History'!$D$5:$D$3004,1)),INDEX('AH History'!$D$5:$GG$1380,$K660,AH!$U$10+2))),NA()),NA())</f>
        <v/>
      </c>
      <c r="H660" s="266">
        <f>IFERROR(IF(ISNUMBER($A660),IF(AND(AH!$U$12=1,655+1=AH!$U$6),IF(AH!$U$4=0,"unavailable",INDEX('Market Data'!$AP$5:$AP$66,AH!$U$4)),IF(AH!$U$5=1,INDEX('Live History'!$H$5:$H$3004,MATCH($A660,'Live History'!$G$5:$G$3004,1)),INDEX('AH History'!$B$5:$B$1380,$K660))),NA()),NA())</f>
        <v/>
      </c>
      <c r="I660" s="34">
        <f>IFERROR(IF(ISNUMBER($A660),IF(AND(AH!$U$12=1,655+1=AH!$U$6),TODAY(),IF(AH!$U$5=1,INDEX('Live History'!$G$5:$G$3004,MATCH($A660,'Live History'!$G$5:$G$3004,1)),INDEX('AH History'!$C$5:$C$1380,$K660))),NA()),NA())</f>
        <v/>
      </c>
      <c r="J660" s="32">
        <f>IFERROR(IF(AND($F660&gt;0,$H660&gt;0,$A660-$G660&lt;=10,$A660-$I660&lt;=5,$G660&gt;0,$I660&gt;0),$F660*$H660,NA()),NA())</f>
        <v/>
      </c>
      <c r="K660" s="15">
        <f>IF($A660="","",IF(AH!$U$5=1,IFERROR(MATCH($A660,'Live History'!$A$5:$A$3004,0),0),AH!$U$7+655))</f>
        <v/>
      </c>
      <c r="L660" s="15">
        <f>IF(ISNUMBER(A660),TEXT(A660,"dd-mmm-yy"),"")</f>
        <v/>
      </c>
    </row>
    <row r="661">
      <c r="A661" s="14">
        <f>IF(OR(AH!$U$4=0,656+1&gt;AH!$U$6,AND(AH!$M$5="Bloomberg",AH!$U$5=0)),"",IFERROR(IF(AND(AH!$U$12=1,656+1=AH!$U$6),TODAY(),IF(AH!$U$5=1,INDEX('Live History'!$A$5:$A$3004,AH!$U$7+656),INDEX('AH History'!$A$5:$A$1380,AH!$U$7+656))),""))</f>
        <v/>
      </c>
      <c r="B661" s="33">
        <f>IFERROR(IF(AH!$U$11=1,NA(),$J661/$E661-1),NA())</f>
        <v/>
      </c>
      <c r="C661" s="269">
        <f>IFERROR(100*$E661/$E$5,NA())</f>
        <v/>
      </c>
      <c r="D661" s="269">
        <f>IFERROR(100*$J661/$J$5,NA())</f>
        <v/>
      </c>
      <c r="E661" s="32">
        <f>IFERROR(IF(AND(ISNUMBER($A661),N(IF(AND(AH!$U$12=1,656+1=AH!$U$6),IF(AH!$U$4=0,"unavailable",INDEX('Market Data'!$AN$5:$AN$66,AH!$U$4)),IF(AH!$U$5=1,INDEX('Live History'!$B$5:$B$3004,$K661),INDEX('AH History'!$D$5:$GG$1380,$K661,AH!$U$10))))&gt;0),IF(AND(AH!$U$12=1,656+1=AH!$U$6),IF(AH!$U$4=0,"unavailable",INDEX('Market Data'!$AN$5:$AN$66,AH!$U$4)),IF(AH!$U$5=1,INDEX('Live History'!$B$5:$B$3004,$K661),INDEX('AH History'!$D$5:$GG$1380,$K661,AH!$U$10))),NA()),NA())</f>
        <v/>
      </c>
      <c r="F661" s="32">
        <f>IFERROR(IF(ISNUMBER($A661),IF(AND(AH!$U$12=1,656+1=AH!$U$6),IF(AH!$U$4=0,"unavailable",INDEX('Market Data'!$AO$5:$AO$66,AH!$U$4)),IF(AH!$U$5=1,INDEX('Live History'!$E$5:$E$3004,MATCH($A661,'Live History'!$D$5:$D$3004,1)),INDEX('AH History'!$D$5:$GG$1380,$K661,AH!$U$10+1))),NA()),NA())</f>
        <v/>
      </c>
      <c r="G661" s="34">
        <f>IFERROR(IF(ISNUMBER($A661),IF(AND(AH!$U$12=1,656+1=AH!$U$6),IF(AH!$U$4=0,"unavailable",INDEX('Market Data'!$AK$5:$AK$66,AH!$U$4)),IF(AH!$U$5=1,INDEX('Live History'!$D$5:$D$3004,MATCH($A661,'Live History'!$D$5:$D$3004,1)),INDEX('AH History'!$D$5:$GG$1380,$K661,AH!$U$10+2))),NA()),NA())</f>
        <v/>
      </c>
      <c r="H661" s="266">
        <f>IFERROR(IF(ISNUMBER($A661),IF(AND(AH!$U$12=1,656+1=AH!$U$6),IF(AH!$U$4=0,"unavailable",INDEX('Market Data'!$AP$5:$AP$66,AH!$U$4)),IF(AH!$U$5=1,INDEX('Live History'!$H$5:$H$3004,MATCH($A661,'Live History'!$G$5:$G$3004,1)),INDEX('AH History'!$B$5:$B$1380,$K661))),NA()),NA())</f>
        <v/>
      </c>
      <c r="I661" s="34">
        <f>IFERROR(IF(ISNUMBER($A661),IF(AND(AH!$U$12=1,656+1=AH!$U$6),TODAY(),IF(AH!$U$5=1,INDEX('Live History'!$G$5:$G$3004,MATCH($A661,'Live History'!$G$5:$G$3004,1)),INDEX('AH History'!$C$5:$C$1380,$K661))),NA()),NA())</f>
        <v/>
      </c>
      <c r="J661" s="32">
        <f>IFERROR(IF(AND($F661&gt;0,$H661&gt;0,$A661-$G661&lt;=10,$A661-$I661&lt;=5,$G661&gt;0,$I661&gt;0),$F661*$H661,NA()),NA())</f>
        <v/>
      </c>
      <c r="K661" s="15">
        <f>IF($A661="","",IF(AH!$U$5=1,IFERROR(MATCH($A661,'Live History'!$A$5:$A$3004,0),0),AH!$U$7+656))</f>
        <v/>
      </c>
      <c r="L661" s="15">
        <f>IF(ISNUMBER(A661),TEXT(A661,"dd-mmm-yy"),"")</f>
        <v/>
      </c>
    </row>
    <row r="662">
      <c r="A662" s="14">
        <f>IF(OR(AH!$U$4=0,657+1&gt;AH!$U$6,AND(AH!$M$5="Bloomberg",AH!$U$5=0)),"",IFERROR(IF(AND(AH!$U$12=1,657+1=AH!$U$6),TODAY(),IF(AH!$U$5=1,INDEX('Live History'!$A$5:$A$3004,AH!$U$7+657),INDEX('AH History'!$A$5:$A$1380,AH!$U$7+657))),""))</f>
        <v/>
      </c>
      <c r="B662" s="33">
        <f>IFERROR(IF(AH!$U$11=1,NA(),$J662/$E662-1),NA())</f>
        <v/>
      </c>
      <c r="C662" s="269">
        <f>IFERROR(100*$E662/$E$5,NA())</f>
        <v/>
      </c>
      <c r="D662" s="269">
        <f>IFERROR(100*$J662/$J$5,NA())</f>
        <v/>
      </c>
      <c r="E662" s="32">
        <f>IFERROR(IF(AND(ISNUMBER($A662),N(IF(AND(AH!$U$12=1,657+1=AH!$U$6),IF(AH!$U$4=0,"unavailable",INDEX('Market Data'!$AN$5:$AN$66,AH!$U$4)),IF(AH!$U$5=1,INDEX('Live History'!$B$5:$B$3004,$K662),INDEX('AH History'!$D$5:$GG$1380,$K662,AH!$U$10))))&gt;0),IF(AND(AH!$U$12=1,657+1=AH!$U$6),IF(AH!$U$4=0,"unavailable",INDEX('Market Data'!$AN$5:$AN$66,AH!$U$4)),IF(AH!$U$5=1,INDEX('Live History'!$B$5:$B$3004,$K662),INDEX('AH History'!$D$5:$GG$1380,$K662,AH!$U$10))),NA()),NA())</f>
        <v/>
      </c>
      <c r="F662" s="32">
        <f>IFERROR(IF(ISNUMBER($A662),IF(AND(AH!$U$12=1,657+1=AH!$U$6),IF(AH!$U$4=0,"unavailable",INDEX('Market Data'!$AO$5:$AO$66,AH!$U$4)),IF(AH!$U$5=1,INDEX('Live History'!$E$5:$E$3004,MATCH($A662,'Live History'!$D$5:$D$3004,1)),INDEX('AH History'!$D$5:$GG$1380,$K662,AH!$U$10+1))),NA()),NA())</f>
        <v/>
      </c>
      <c r="G662" s="34">
        <f>IFERROR(IF(ISNUMBER($A662),IF(AND(AH!$U$12=1,657+1=AH!$U$6),IF(AH!$U$4=0,"unavailable",INDEX('Market Data'!$AK$5:$AK$66,AH!$U$4)),IF(AH!$U$5=1,INDEX('Live History'!$D$5:$D$3004,MATCH($A662,'Live History'!$D$5:$D$3004,1)),INDEX('AH History'!$D$5:$GG$1380,$K662,AH!$U$10+2))),NA()),NA())</f>
        <v/>
      </c>
      <c r="H662" s="266">
        <f>IFERROR(IF(ISNUMBER($A662),IF(AND(AH!$U$12=1,657+1=AH!$U$6),IF(AH!$U$4=0,"unavailable",INDEX('Market Data'!$AP$5:$AP$66,AH!$U$4)),IF(AH!$U$5=1,INDEX('Live History'!$H$5:$H$3004,MATCH($A662,'Live History'!$G$5:$G$3004,1)),INDEX('AH History'!$B$5:$B$1380,$K662))),NA()),NA())</f>
        <v/>
      </c>
      <c r="I662" s="34">
        <f>IFERROR(IF(ISNUMBER($A662),IF(AND(AH!$U$12=1,657+1=AH!$U$6),TODAY(),IF(AH!$U$5=1,INDEX('Live History'!$G$5:$G$3004,MATCH($A662,'Live History'!$G$5:$G$3004,1)),INDEX('AH History'!$C$5:$C$1380,$K662))),NA()),NA())</f>
        <v/>
      </c>
      <c r="J662" s="32">
        <f>IFERROR(IF(AND($F662&gt;0,$H662&gt;0,$A662-$G662&lt;=10,$A662-$I662&lt;=5,$G662&gt;0,$I662&gt;0),$F662*$H662,NA()),NA())</f>
        <v/>
      </c>
      <c r="K662" s="15">
        <f>IF($A662="","",IF(AH!$U$5=1,IFERROR(MATCH($A662,'Live History'!$A$5:$A$3004,0),0),AH!$U$7+657))</f>
        <v/>
      </c>
      <c r="L662" s="15">
        <f>IF(ISNUMBER(A662),TEXT(A662,"dd-mmm-yy"),"")</f>
        <v/>
      </c>
    </row>
    <row r="663">
      <c r="A663" s="14">
        <f>IF(OR(AH!$U$4=0,658+1&gt;AH!$U$6,AND(AH!$M$5="Bloomberg",AH!$U$5=0)),"",IFERROR(IF(AND(AH!$U$12=1,658+1=AH!$U$6),TODAY(),IF(AH!$U$5=1,INDEX('Live History'!$A$5:$A$3004,AH!$U$7+658),INDEX('AH History'!$A$5:$A$1380,AH!$U$7+658))),""))</f>
        <v/>
      </c>
      <c r="B663" s="33">
        <f>IFERROR(IF(AH!$U$11=1,NA(),$J663/$E663-1),NA())</f>
        <v/>
      </c>
      <c r="C663" s="269">
        <f>IFERROR(100*$E663/$E$5,NA())</f>
        <v/>
      </c>
      <c r="D663" s="269">
        <f>IFERROR(100*$J663/$J$5,NA())</f>
        <v/>
      </c>
      <c r="E663" s="32">
        <f>IFERROR(IF(AND(ISNUMBER($A663),N(IF(AND(AH!$U$12=1,658+1=AH!$U$6),IF(AH!$U$4=0,"unavailable",INDEX('Market Data'!$AN$5:$AN$66,AH!$U$4)),IF(AH!$U$5=1,INDEX('Live History'!$B$5:$B$3004,$K663),INDEX('AH History'!$D$5:$GG$1380,$K663,AH!$U$10))))&gt;0),IF(AND(AH!$U$12=1,658+1=AH!$U$6),IF(AH!$U$4=0,"unavailable",INDEX('Market Data'!$AN$5:$AN$66,AH!$U$4)),IF(AH!$U$5=1,INDEX('Live History'!$B$5:$B$3004,$K663),INDEX('AH History'!$D$5:$GG$1380,$K663,AH!$U$10))),NA()),NA())</f>
        <v/>
      </c>
      <c r="F663" s="32">
        <f>IFERROR(IF(ISNUMBER($A663),IF(AND(AH!$U$12=1,658+1=AH!$U$6),IF(AH!$U$4=0,"unavailable",INDEX('Market Data'!$AO$5:$AO$66,AH!$U$4)),IF(AH!$U$5=1,INDEX('Live History'!$E$5:$E$3004,MATCH($A663,'Live History'!$D$5:$D$3004,1)),INDEX('AH History'!$D$5:$GG$1380,$K663,AH!$U$10+1))),NA()),NA())</f>
        <v/>
      </c>
      <c r="G663" s="34">
        <f>IFERROR(IF(ISNUMBER($A663),IF(AND(AH!$U$12=1,658+1=AH!$U$6),IF(AH!$U$4=0,"unavailable",INDEX('Market Data'!$AK$5:$AK$66,AH!$U$4)),IF(AH!$U$5=1,INDEX('Live History'!$D$5:$D$3004,MATCH($A663,'Live History'!$D$5:$D$3004,1)),INDEX('AH History'!$D$5:$GG$1380,$K663,AH!$U$10+2))),NA()),NA())</f>
        <v/>
      </c>
      <c r="H663" s="266">
        <f>IFERROR(IF(ISNUMBER($A663),IF(AND(AH!$U$12=1,658+1=AH!$U$6),IF(AH!$U$4=0,"unavailable",INDEX('Market Data'!$AP$5:$AP$66,AH!$U$4)),IF(AH!$U$5=1,INDEX('Live History'!$H$5:$H$3004,MATCH($A663,'Live History'!$G$5:$G$3004,1)),INDEX('AH History'!$B$5:$B$1380,$K663))),NA()),NA())</f>
        <v/>
      </c>
      <c r="I663" s="34">
        <f>IFERROR(IF(ISNUMBER($A663),IF(AND(AH!$U$12=1,658+1=AH!$U$6),TODAY(),IF(AH!$U$5=1,INDEX('Live History'!$G$5:$G$3004,MATCH($A663,'Live History'!$G$5:$G$3004,1)),INDEX('AH History'!$C$5:$C$1380,$K663))),NA()),NA())</f>
        <v/>
      </c>
      <c r="J663" s="32">
        <f>IFERROR(IF(AND($F663&gt;0,$H663&gt;0,$A663-$G663&lt;=10,$A663-$I663&lt;=5,$G663&gt;0,$I663&gt;0),$F663*$H663,NA()),NA())</f>
        <v/>
      </c>
      <c r="K663" s="15">
        <f>IF($A663="","",IF(AH!$U$5=1,IFERROR(MATCH($A663,'Live History'!$A$5:$A$3004,0),0),AH!$U$7+658))</f>
        <v/>
      </c>
      <c r="L663" s="15">
        <f>IF(ISNUMBER(A663),TEXT(A663,"dd-mmm-yy"),"")</f>
        <v/>
      </c>
    </row>
    <row r="664">
      <c r="A664" s="14">
        <f>IF(OR(AH!$U$4=0,659+1&gt;AH!$U$6,AND(AH!$M$5="Bloomberg",AH!$U$5=0)),"",IFERROR(IF(AND(AH!$U$12=1,659+1=AH!$U$6),TODAY(),IF(AH!$U$5=1,INDEX('Live History'!$A$5:$A$3004,AH!$U$7+659),INDEX('AH History'!$A$5:$A$1380,AH!$U$7+659))),""))</f>
        <v/>
      </c>
      <c r="B664" s="33">
        <f>IFERROR(IF(AH!$U$11=1,NA(),$J664/$E664-1),NA())</f>
        <v/>
      </c>
      <c r="C664" s="269">
        <f>IFERROR(100*$E664/$E$5,NA())</f>
        <v/>
      </c>
      <c r="D664" s="269">
        <f>IFERROR(100*$J664/$J$5,NA())</f>
        <v/>
      </c>
      <c r="E664" s="32">
        <f>IFERROR(IF(AND(ISNUMBER($A664),N(IF(AND(AH!$U$12=1,659+1=AH!$U$6),IF(AH!$U$4=0,"unavailable",INDEX('Market Data'!$AN$5:$AN$66,AH!$U$4)),IF(AH!$U$5=1,INDEX('Live History'!$B$5:$B$3004,$K664),INDEX('AH History'!$D$5:$GG$1380,$K664,AH!$U$10))))&gt;0),IF(AND(AH!$U$12=1,659+1=AH!$U$6),IF(AH!$U$4=0,"unavailable",INDEX('Market Data'!$AN$5:$AN$66,AH!$U$4)),IF(AH!$U$5=1,INDEX('Live History'!$B$5:$B$3004,$K664),INDEX('AH History'!$D$5:$GG$1380,$K664,AH!$U$10))),NA()),NA())</f>
        <v/>
      </c>
      <c r="F664" s="32">
        <f>IFERROR(IF(ISNUMBER($A664),IF(AND(AH!$U$12=1,659+1=AH!$U$6),IF(AH!$U$4=0,"unavailable",INDEX('Market Data'!$AO$5:$AO$66,AH!$U$4)),IF(AH!$U$5=1,INDEX('Live History'!$E$5:$E$3004,MATCH($A664,'Live History'!$D$5:$D$3004,1)),INDEX('AH History'!$D$5:$GG$1380,$K664,AH!$U$10+1))),NA()),NA())</f>
        <v/>
      </c>
      <c r="G664" s="34">
        <f>IFERROR(IF(ISNUMBER($A664),IF(AND(AH!$U$12=1,659+1=AH!$U$6),IF(AH!$U$4=0,"unavailable",INDEX('Market Data'!$AK$5:$AK$66,AH!$U$4)),IF(AH!$U$5=1,INDEX('Live History'!$D$5:$D$3004,MATCH($A664,'Live History'!$D$5:$D$3004,1)),INDEX('AH History'!$D$5:$GG$1380,$K664,AH!$U$10+2))),NA()),NA())</f>
        <v/>
      </c>
      <c r="H664" s="266">
        <f>IFERROR(IF(ISNUMBER($A664),IF(AND(AH!$U$12=1,659+1=AH!$U$6),IF(AH!$U$4=0,"unavailable",INDEX('Market Data'!$AP$5:$AP$66,AH!$U$4)),IF(AH!$U$5=1,INDEX('Live History'!$H$5:$H$3004,MATCH($A664,'Live History'!$G$5:$G$3004,1)),INDEX('AH History'!$B$5:$B$1380,$K664))),NA()),NA())</f>
        <v/>
      </c>
      <c r="I664" s="34">
        <f>IFERROR(IF(ISNUMBER($A664),IF(AND(AH!$U$12=1,659+1=AH!$U$6),TODAY(),IF(AH!$U$5=1,INDEX('Live History'!$G$5:$G$3004,MATCH($A664,'Live History'!$G$5:$G$3004,1)),INDEX('AH History'!$C$5:$C$1380,$K664))),NA()),NA())</f>
        <v/>
      </c>
      <c r="J664" s="32">
        <f>IFERROR(IF(AND($F664&gt;0,$H664&gt;0,$A664-$G664&lt;=10,$A664-$I664&lt;=5,$G664&gt;0,$I664&gt;0),$F664*$H664,NA()),NA())</f>
        <v/>
      </c>
      <c r="K664" s="15">
        <f>IF($A664="","",IF(AH!$U$5=1,IFERROR(MATCH($A664,'Live History'!$A$5:$A$3004,0),0),AH!$U$7+659))</f>
        <v/>
      </c>
      <c r="L664" s="15">
        <f>IF(ISNUMBER(A664),TEXT(A664,"dd-mmm-yy"),"")</f>
        <v/>
      </c>
    </row>
    <row r="665">
      <c r="A665" s="14">
        <f>IF(OR(AH!$U$4=0,660+1&gt;AH!$U$6,AND(AH!$M$5="Bloomberg",AH!$U$5=0)),"",IFERROR(IF(AND(AH!$U$12=1,660+1=AH!$U$6),TODAY(),IF(AH!$U$5=1,INDEX('Live History'!$A$5:$A$3004,AH!$U$7+660),INDEX('AH History'!$A$5:$A$1380,AH!$U$7+660))),""))</f>
        <v/>
      </c>
      <c r="B665" s="33">
        <f>IFERROR(IF(AH!$U$11=1,NA(),$J665/$E665-1),NA())</f>
        <v/>
      </c>
      <c r="C665" s="269">
        <f>IFERROR(100*$E665/$E$5,NA())</f>
        <v/>
      </c>
      <c r="D665" s="269">
        <f>IFERROR(100*$J665/$J$5,NA())</f>
        <v/>
      </c>
      <c r="E665" s="32">
        <f>IFERROR(IF(AND(ISNUMBER($A665),N(IF(AND(AH!$U$12=1,660+1=AH!$U$6),IF(AH!$U$4=0,"unavailable",INDEX('Market Data'!$AN$5:$AN$66,AH!$U$4)),IF(AH!$U$5=1,INDEX('Live History'!$B$5:$B$3004,$K665),INDEX('AH History'!$D$5:$GG$1380,$K665,AH!$U$10))))&gt;0),IF(AND(AH!$U$12=1,660+1=AH!$U$6),IF(AH!$U$4=0,"unavailable",INDEX('Market Data'!$AN$5:$AN$66,AH!$U$4)),IF(AH!$U$5=1,INDEX('Live History'!$B$5:$B$3004,$K665),INDEX('AH History'!$D$5:$GG$1380,$K665,AH!$U$10))),NA()),NA())</f>
        <v/>
      </c>
      <c r="F665" s="32">
        <f>IFERROR(IF(ISNUMBER($A665),IF(AND(AH!$U$12=1,660+1=AH!$U$6),IF(AH!$U$4=0,"unavailable",INDEX('Market Data'!$AO$5:$AO$66,AH!$U$4)),IF(AH!$U$5=1,INDEX('Live History'!$E$5:$E$3004,MATCH($A665,'Live History'!$D$5:$D$3004,1)),INDEX('AH History'!$D$5:$GG$1380,$K665,AH!$U$10+1))),NA()),NA())</f>
        <v/>
      </c>
      <c r="G665" s="34">
        <f>IFERROR(IF(ISNUMBER($A665),IF(AND(AH!$U$12=1,660+1=AH!$U$6),IF(AH!$U$4=0,"unavailable",INDEX('Market Data'!$AK$5:$AK$66,AH!$U$4)),IF(AH!$U$5=1,INDEX('Live History'!$D$5:$D$3004,MATCH($A665,'Live History'!$D$5:$D$3004,1)),INDEX('AH History'!$D$5:$GG$1380,$K665,AH!$U$10+2))),NA()),NA())</f>
        <v/>
      </c>
      <c r="H665" s="266">
        <f>IFERROR(IF(ISNUMBER($A665),IF(AND(AH!$U$12=1,660+1=AH!$U$6),IF(AH!$U$4=0,"unavailable",INDEX('Market Data'!$AP$5:$AP$66,AH!$U$4)),IF(AH!$U$5=1,INDEX('Live History'!$H$5:$H$3004,MATCH($A665,'Live History'!$G$5:$G$3004,1)),INDEX('AH History'!$B$5:$B$1380,$K665))),NA()),NA())</f>
        <v/>
      </c>
      <c r="I665" s="34">
        <f>IFERROR(IF(ISNUMBER($A665),IF(AND(AH!$U$12=1,660+1=AH!$U$6),TODAY(),IF(AH!$U$5=1,INDEX('Live History'!$G$5:$G$3004,MATCH($A665,'Live History'!$G$5:$G$3004,1)),INDEX('AH History'!$C$5:$C$1380,$K665))),NA()),NA())</f>
        <v/>
      </c>
      <c r="J665" s="32">
        <f>IFERROR(IF(AND($F665&gt;0,$H665&gt;0,$A665-$G665&lt;=10,$A665-$I665&lt;=5,$G665&gt;0,$I665&gt;0),$F665*$H665,NA()),NA())</f>
        <v/>
      </c>
      <c r="K665" s="15">
        <f>IF($A665="","",IF(AH!$U$5=1,IFERROR(MATCH($A665,'Live History'!$A$5:$A$3004,0),0),AH!$U$7+660))</f>
        <v/>
      </c>
      <c r="L665" s="15">
        <f>IF(ISNUMBER(A665),TEXT(A665,"dd-mmm-yy"),"")</f>
        <v/>
      </c>
    </row>
    <row r="666">
      <c r="A666" s="14">
        <f>IF(OR(AH!$U$4=0,661+1&gt;AH!$U$6,AND(AH!$M$5="Bloomberg",AH!$U$5=0)),"",IFERROR(IF(AND(AH!$U$12=1,661+1=AH!$U$6),TODAY(),IF(AH!$U$5=1,INDEX('Live History'!$A$5:$A$3004,AH!$U$7+661),INDEX('AH History'!$A$5:$A$1380,AH!$U$7+661))),""))</f>
        <v/>
      </c>
      <c r="B666" s="33">
        <f>IFERROR(IF(AH!$U$11=1,NA(),$J666/$E666-1),NA())</f>
        <v/>
      </c>
      <c r="C666" s="269">
        <f>IFERROR(100*$E666/$E$5,NA())</f>
        <v/>
      </c>
      <c r="D666" s="269">
        <f>IFERROR(100*$J666/$J$5,NA())</f>
        <v/>
      </c>
      <c r="E666" s="32">
        <f>IFERROR(IF(AND(ISNUMBER($A666),N(IF(AND(AH!$U$12=1,661+1=AH!$U$6),IF(AH!$U$4=0,"unavailable",INDEX('Market Data'!$AN$5:$AN$66,AH!$U$4)),IF(AH!$U$5=1,INDEX('Live History'!$B$5:$B$3004,$K666),INDEX('AH History'!$D$5:$GG$1380,$K666,AH!$U$10))))&gt;0),IF(AND(AH!$U$12=1,661+1=AH!$U$6),IF(AH!$U$4=0,"unavailable",INDEX('Market Data'!$AN$5:$AN$66,AH!$U$4)),IF(AH!$U$5=1,INDEX('Live History'!$B$5:$B$3004,$K666),INDEX('AH History'!$D$5:$GG$1380,$K666,AH!$U$10))),NA()),NA())</f>
        <v/>
      </c>
      <c r="F666" s="32">
        <f>IFERROR(IF(ISNUMBER($A666),IF(AND(AH!$U$12=1,661+1=AH!$U$6),IF(AH!$U$4=0,"unavailable",INDEX('Market Data'!$AO$5:$AO$66,AH!$U$4)),IF(AH!$U$5=1,INDEX('Live History'!$E$5:$E$3004,MATCH($A666,'Live History'!$D$5:$D$3004,1)),INDEX('AH History'!$D$5:$GG$1380,$K666,AH!$U$10+1))),NA()),NA())</f>
        <v/>
      </c>
      <c r="G666" s="34">
        <f>IFERROR(IF(ISNUMBER($A666),IF(AND(AH!$U$12=1,661+1=AH!$U$6),IF(AH!$U$4=0,"unavailable",INDEX('Market Data'!$AK$5:$AK$66,AH!$U$4)),IF(AH!$U$5=1,INDEX('Live History'!$D$5:$D$3004,MATCH($A666,'Live History'!$D$5:$D$3004,1)),INDEX('AH History'!$D$5:$GG$1380,$K666,AH!$U$10+2))),NA()),NA())</f>
        <v/>
      </c>
      <c r="H666" s="266">
        <f>IFERROR(IF(ISNUMBER($A666),IF(AND(AH!$U$12=1,661+1=AH!$U$6),IF(AH!$U$4=0,"unavailable",INDEX('Market Data'!$AP$5:$AP$66,AH!$U$4)),IF(AH!$U$5=1,INDEX('Live History'!$H$5:$H$3004,MATCH($A666,'Live History'!$G$5:$G$3004,1)),INDEX('AH History'!$B$5:$B$1380,$K666))),NA()),NA())</f>
        <v/>
      </c>
      <c r="I666" s="34">
        <f>IFERROR(IF(ISNUMBER($A666),IF(AND(AH!$U$12=1,661+1=AH!$U$6),TODAY(),IF(AH!$U$5=1,INDEX('Live History'!$G$5:$G$3004,MATCH($A666,'Live History'!$G$5:$G$3004,1)),INDEX('AH History'!$C$5:$C$1380,$K666))),NA()),NA())</f>
        <v/>
      </c>
      <c r="J666" s="32">
        <f>IFERROR(IF(AND($F666&gt;0,$H666&gt;0,$A666-$G666&lt;=10,$A666-$I666&lt;=5,$G666&gt;0,$I666&gt;0),$F666*$H666,NA()),NA())</f>
        <v/>
      </c>
      <c r="K666" s="15">
        <f>IF($A666="","",IF(AH!$U$5=1,IFERROR(MATCH($A666,'Live History'!$A$5:$A$3004,0),0),AH!$U$7+661))</f>
        <v/>
      </c>
      <c r="L666" s="15">
        <f>IF(ISNUMBER(A666),TEXT(A666,"dd-mmm-yy"),"")</f>
        <v/>
      </c>
    </row>
    <row r="667">
      <c r="A667" s="14">
        <f>IF(OR(AH!$U$4=0,662+1&gt;AH!$U$6,AND(AH!$M$5="Bloomberg",AH!$U$5=0)),"",IFERROR(IF(AND(AH!$U$12=1,662+1=AH!$U$6),TODAY(),IF(AH!$U$5=1,INDEX('Live History'!$A$5:$A$3004,AH!$U$7+662),INDEX('AH History'!$A$5:$A$1380,AH!$U$7+662))),""))</f>
        <v/>
      </c>
      <c r="B667" s="33">
        <f>IFERROR(IF(AH!$U$11=1,NA(),$J667/$E667-1),NA())</f>
        <v/>
      </c>
      <c r="C667" s="269">
        <f>IFERROR(100*$E667/$E$5,NA())</f>
        <v/>
      </c>
      <c r="D667" s="269">
        <f>IFERROR(100*$J667/$J$5,NA())</f>
        <v/>
      </c>
      <c r="E667" s="32">
        <f>IFERROR(IF(AND(ISNUMBER($A667),N(IF(AND(AH!$U$12=1,662+1=AH!$U$6),IF(AH!$U$4=0,"unavailable",INDEX('Market Data'!$AN$5:$AN$66,AH!$U$4)),IF(AH!$U$5=1,INDEX('Live History'!$B$5:$B$3004,$K667),INDEX('AH History'!$D$5:$GG$1380,$K667,AH!$U$10))))&gt;0),IF(AND(AH!$U$12=1,662+1=AH!$U$6),IF(AH!$U$4=0,"unavailable",INDEX('Market Data'!$AN$5:$AN$66,AH!$U$4)),IF(AH!$U$5=1,INDEX('Live History'!$B$5:$B$3004,$K667),INDEX('AH History'!$D$5:$GG$1380,$K667,AH!$U$10))),NA()),NA())</f>
        <v/>
      </c>
      <c r="F667" s="32">
        <f>IFERROR(IF(ISNUMBER($A667),IF(AND(AH!$U$12=1,662+1=AH!$U$6),IF(AH!$U$4=0,"unavailable",INDEX('Market Data'!$AO$5:$AO$66,AH!$U$4)),IF(AH!$U$5=1,INDEX('Live History'!$E$5:$E$3004,MATCH($A667,'Live History'!$D$5:$D$3004,1)),INDEX('AH History'!$D$5:$GG$1380,$K667,AH!$U$10+1))),NA()),NA())</f>
        <v/>
      </c>
      <c r="G667" s="34">
        <f>IFERROR(IF(ISNUMBER($A667),IF(AND(AH!$U$12=1,662+1=AH!$U$6),IF(AH!$U$4=0,"unavailable",INDEX('Market Data'!$AK$5:$AK$66,AH!$U$4)),IF(AH!$U$5=1,INDEX('Live History'!$D$5:$D$3004,MATCH($A667,'Live History'!$D$5:$D$3004,1)),INDEX('AH History'!$D$5:$GG$1380,$K667,AH!$U$10+2))),NA()),NA())</f>
        <v/>
      </c>
      <c r="H667" s="266">
        <f>IFERROR(IF(ISNUMBER($A667),IF(AND(AH!$U$12=1,662+1=AH!$U$6),IF(AH!$U$4=0,"unavailable",INDEX('Market Data'!$AP$5:$AP$66,AH!$U$4)),IF(AH!$U$5=1,INDEX('Live History'!$H$5:$H$3004,MATCH($A667,'Live History'!$G$5:$G$3004,1)),INDEX('AH History'!$B$5:$B$1380,$K667))),NA()),NA())</f>
        <v/>
      </c>
      <c r="I667" s="34">
        <f>IFERROR(IF(ISNUMBER($A667),IF(AND(AH!$U$12=1,662+1=AH!$U$6),TODAY(),IF(AH!$U$5=1,INDEX('Live History'!$G$5:$G$3004,MATCH($A667,'Live History'!$G$5:$G$3004,1)),INDEX('AH History'!$C$5:$C$1380,$K667))),NA()),NA())</f>
        <v/>
      </c>
      <c r="J667" s="32">
        <f>IFERROR(IF(AND($F667&gt;0,$H667&gt;0,$A667-$G667&lt;=10,$A667-$I667&lt;=5,$G667&gt;0,$I667&gt;0),$F667*$H667,NA()),NA())</f>
        <v/>
      </c>
      <c r="K667" s="15">
        <f>IF($A667="","",IF(AH!$U$5=1,IFERROR(MATCH($A667,'Live History'!$A$5:$A$3004,0),0),AH!$U$7+662))</f>
        <v/>
      </c>
      <c r="L667" s="15">
        <f>IF(ISNUMBER(A667),TEXT(A667,"dd-mmm-yy"),"")</f>
        <v/>
      </c>
    </row>
    <row r="668">
      <c r="A668" s="14">
        <f>IF(OR(AH!$U$4=0,663+1&gt;AH!$U$6,AND(AH!$M$5="Bloomberg",AH!$U$5=0)),"",IFERROR(IF(AND(AH!$U$12=1,663+1=AH!$U$6),TODAY(),IF(AH!$U$5=1,INDEX('Live History'!$A$5:$A$3004,AH!$U$7+663),INDEX('AH History'!$A$5:$A$1380,AH!$U$7+663))),""))</f>
        <v/>
      </c>
      <c r="B668" s="33">
        <f>IFERROR(IF(AH!$U$11=1,NA(),$J668/$E668-1),NA())</f>
        <v/>
      </c>
      <c r="C668" s="269">
        <f>IFERROR(100*$E668/$E$5,NA())</f>
        <v/>
      </c>
      <c r="D668" s="269">
        <f>IFERROR(100*$J668/$J$5,NA())</f>
        <v/>
      </c>
      <c r="E668" s="32">
        <f>IFERROR(IF(AND(ISNUMBER($A668),N(IF(AND(AH!$U$12=1,663+1=AH!$U$6),IF(AH!$U$4=0,"unavailable",INDEX('Market Data'!$AN$5:$AN$66,AH!$U$4)),IF(AH!$U$5=1,INDEX('Live History'!$B$5:$B$3004,$K668),INDEX('AH History'!$D$5:$GG$1380,$K668,AH!$U$10))))&gt;0),IF(AND(AH!$U$12=1,663+1=AH!$U$6),IF(AH!$U$4=0,"unavailable",INDEX('Market Data'!$AN$5:$AN$66,AH!$U$4)),IF(AH!$U$5=1,INDEX('Live History'!$B$5:$B$3004,$K668),INDEX('AH History'!$D$5:$GG$1380,$K668,AH!$U$10))),NA()),NA())</f>
        <v/>
      </c>
      <c r="F668" s="32">
        <f>IFERROR(IF(ISNUMBER($A668),IF(AND(AH!$U$12=1,663+1=AH!$U$6),IF(AH!$U$4=0,"unavailable",INDEX('Market Data'!$AO$5:$AO$66,AH!$U$4)),IF(AH!$U$5=1,INDEX('Live History'!$E$5:$E$3004,MATCH($A668,'Live History'!$D$5:$D$3004,1)),INDEX('AH History'!$D$5:$GG$1380,$K668,AH!$U$10+1))),NA()),NA())</f>
        <v/>
      </c>
      <c r="G668" s="34">
        <f>IFERROR(IF(ISNUMBER($A668),IF(AND(AH!$U$12=1,663+1=AH!$U$6),IF(AH!$U$4=0,"unavailable",INDEX('Market Data'!$AK$5:$AK$66,AH!$U$4)),IF(AH!$U$5=1,INDEX('Live History'!$D$5:$D$3004,MATCH($A668,'Live History'!$D$5:$D$3004,1)),INDEX('AH History'!$D$5:$GG$1380,$K668,AH!$U$10+2))),NA()),NA())</f>
        <v/>
      </c>
      <c r="H668" s="266">
        <f>IFERROR(IF(ISNUMBER($A668),IF(AND(AH!$U$12=1,663+1=AH!$U$6),IF(AH!$U$4=0,"unavailable",INDEX('Market Data'!$AP$5:$AP$66,AH!$U$4)),IF(AH!$U$5=1,INDEX('Live History'!$H$5:$H$3004,MATCH($A668,'Live History'!$G$5:$G$3004,1)),INDEX('AH History'!$B$5:$B$1380,$K668))),NA()),NA())</f>
        <v/>
      </c>
      <c r="I668" s="34">
        <f>IFERROR(IF(ISNUMBER($A668),IF(AND(AH!$U$12=1,663+1=AH!$U$6),TODAY(),IF(AH!$U$5=1,INDEX('Live History'!$G$5:$G$3004,MATCH($A668,'Live History'!$G$5:$G$3004,1)),INDEX('AH History'!$C$5:$C$1380,$K668))),NA()),NA())</f>
        <v/>
      </c>
      <c r="J668" s="32">
        <f>IFERROR(IF(AND($F668&gt;0,$H668&gt;0,$A668-$G668&lt;=10,$A668-$I668&lt;=5,$G668&gt;0,$I668&gt;0),$F668*$H668,NA()),NA())</f>
        <v/>
      </c>
      <c r="K668" s="15">
        <f>IF($A668="","",IF(AH!$U$5=1,IFERROR(MATCH($A668,'Live History'!$A$5:$A$3004,0),0),AH!$U$7+663))</f>
        <v/>
      </c>
      <c r="L668" s="15">
        <f>IF(ISNUMBER(A668),TEXT(A668,"dd-mmm-yy"),"")</f>
        <v/>
      </c>
    </row>
    <row r="669">
      <c r="A669" s="14">
        <f>IF(OR(AH!$U$4=0,664+1&gt;AH!$U$6,AND(AH!$M$5="Bloomberg",AH!$U$5=0)),"",IFERROR(IF(AND(AH!$U$12=1,664+1=AH!$U$6),TODAY(),IF(AH!$U$5=1,INDEX('Live History'!$A$5:$A$3004,AH!$U$7+664),INDEX('AH History'!$A$5:$A$1380,AH!$U$7+664))),""))</f>
        <v/>
      </c>
      <c r="B669" s="33">
        <f>IFERROR(IF(AH!$U$11=1,NA(),$J669/$E669-1),NA())</f>
        <v/>
      </c>
      <c r="C669" s="269">
        <f>IFERROR(100*$E669/$E$5,NA())</f>
        <v/>
      </c>
      <c r="D669" s="269">
        <f>IFERROR(100*$J669/$J$5,NA())</f>
        <v/>
      </c>
      <c r="E669" s="32">
        <f>IFERROR(IF(AND(ISNUMBER($A669),N(IF(AND(AH!$U$12=1,664+1=AH!$U$6),IF(AH!$U$4=0,"unavailable",INDEX('Market Data'!$AN$5:$AN$66,AH!$U$4)),IF(AH!$U$5=1,INDEX('Live History'!$B$5:$B$3004,$K669),INDEX('AH History'!$D$5:$GG$1380,$K669,AH!$U$10))))&gt;0),IF(AND(AH!$U$12=1,664+1=AH!$U$6),IF(AH!$U$4=0,"unavailable",INDEX('Market Data'!$AN$5:$AN$66,AH!$U$4)),IF(AH!$U$5=1,INDEX('Live History'!$B$5:$B$3004,$K669),INDEX('AH History'!$D$5:$GG$1380,$K669,AH!$U$10))),NA()),NA())</f>
        <v/>
      </c>
      <c r="F669" s="32">
        <f>IFERROR(IF(ISNUMBER($A669),IF(AND(AH!$U$12=1,664+1=AH!$U$6),IF(AH!$U$4=0,"unavailable",INDEX('Market Data'!$AO$5:$AO$66,AH!$U$4)),IF(AH!$U$5=1,INDEX('Live History'!$E$5:$E$3004,MATCH($A669,'Live History'!$D$5:$D$3004,1)),INDEX('AH History'!$D$5:$GG$1380,$K669,AH!$U$10+1))),NA()),NA())</f>
        <v/>
      </c>
      <c r="G669" s="34">
        <f>IFERROR(IF(ISNUMBER($A669),IF(AND(AH!$U$12=1,664+1=AH!$U$6),IF(AH!$U$4=0,"unavailable",INDEX('Market Data'!$AK$5:$AK$66,AH!$U$4)),IF(AH!$U$5=1,INDEX('Live History'!$D$5:$D$3004,MATCH($A669,'Live History'!$D$5:$D$3004,1)),INDEX('AH History'!$D$5:$GG$1380,$K669,AH!$U$10+2))),NA()),NA())</f>
        <v/>
      </c>
      <c r="H669" s="266">
        <f>IFERROR(IF(ISNUMBER($A669),IF(AND(AH!$U$12=1,664+1=AH!$U$6),IF(AH!$U$4=0,"unavailable",INDEX('Market Data'!$AP$5:$AP$66,AH!$U$4)),IF(AH!$U$5=1,INDEX('Live History'!$H$5:$H$3004,MATCH($A669,'Live History'!$G$5:$G$3004,1)),INDEX('AH History'!$B$5:$B$1380,$K669))),NA()),NA())</f>
        <v/>
      </c>
      <c r="I669" s="34">
        <f>IFERROR(IF(ISNUMBER($A669),IF(AND(AH!$U$12=1,664+1=AH!$U$6),TODAY(),IF(AH!$U$5=1,INDEX('Live History'!$G$5:$G$3004,MATCH($A669,'Live History'!$G$5:$G$3004,1)),INDEX('AH History'!$C$5:$C$1380,$K669))),NA()),NA())</f>
        <v/>
      </c>
      <c r="J669" s="32">
        <f>IFERROR(IF(AND($F669&gt;0,$H669&gt;0,$A669-$G669&lt;=10,$A669-$I669&lt;=5,$G669&gt;0,$I669&gt;0),$F669*$H669,NA()),NA())</f>
        <v/>
      </c>
      <c r="K669" s="15">
        <f>IF($A669="","",IF(AH!$U$5=1,IFERROR(MATCH($A669,'Live History'!$A$5:$A$3004,0),0),AH!$U$7+664))</f>
        <v/>
      </c>
      <c r="L669" s="15">
        <f>IF(ISNUMBER(A669),TEXT(A669,"dd-mmm-yy"),"")</f>
        <v/>
      </c>
    </row>
    <row r="670">
      <c r="A670" s="14">
        <f>IF(OR(AH!$U$4=0,665+1&gt;AH!$U$6,AND(AH!$M$5="Bloomberg",AH!$U$5=0)),"",IFERROR(IF(AND(AH!$U$12=1,665+1=AH!$U$6),TODAY(),IF(AH!$U$5=1,INDEX('Live History'!$A$5:$A$3004,AH!$U$7+665),INDEX('AH History'!$A$5:$A$1380,AH!$U$7+665))),""))</f>
        <v/>
      </c>
      <c r="B670" s="33">
        <f>IFERROR(IF(AH!$U$11=1,NA(),$J670/$E670-1),NA())</f>
        <v/>
      </c>
      <c r="C670" s="269">
        <f>IFERROR(100*$E670/$E$5,NA())</f>
        <v/>
      </c>
      <c r="D670" s="269">
        <f>IFERROR(100*$J670/$J$5,NA())</f>
        <v/>
      </c>
      <c r="E670" s="32">
        <f>IFERROR(IF(AND(ISNUMBER($A670),N(IF(AND(AH!$U$12=1,665+1=AH!$U$6),IF(AH!$U$4=0,"unavailable",INDEX('Market Data'!$AN$5:$AN$66,AH!$U$4)),IF(AH!$U$5=1,INDEX('Live History'!$B$5:$B$3004,$K670),INDEX('AH History'!$D$5:$GG$1380,$K670,AH!$U$10))))&gt;0),IF(AND(AH!$U$12=1,665+1=AH!$U$6),IF(AH!$U$4=0,"unavailable",INDEX('Market Data'!$AN$5:$AN$66,AH!$U$4)),IF(AH!$U$5=1,INDEX('Live History'!$B$5:$B$3004,$K670),INDEX('AH History'!$D$5:$GG$1380,$K670,AH!$U$10))),NA()),NA())</f>
        <v/>
      </c>
      <c r="F670" s="32">
        <f>IFERROR(IF(ISNUMBER($A670),IF(AND(AH!$U$12=1,665+1=AH!$U$6),IF(AH!$U$4=0,"unavailable",INDEX('Market Data'!$AO$5:$AO$66,AH!$U$4)),IF(AH!$U$5=1,INDEX('Live History'!$E$5:$E$3004,MATCH($A670,'Live History'!$D$5:$D$3004,1)),INDEX('AH History'!$D$5:$GG$1380,$K670,AH!$U$10+1))),NA()),NA())</f>
        <v/>
      </c>
      <c r="G670" s="34">
        <f>IFERROR(IF(ISNUMBER($A670),IF(AND(AH!$U$12=1,665+1=AH!$U$6),IF(AH!$U$4=0,"unavailable",INDEX('Market Data'!$AK$5:$AK$66,AH!$U$4)),IF(AH!$U$5=1,INDEX('Live History'!$D$5:$D$3004,MATCH($A670,'Live History'!$D$5:$D$3004,1)),INDEX('AH History'!$D$5:$GG$1380,$K670,AH!$U$10+2))),NA()),NA())</f>
        <v/>
      </c>
      <c r="H670" s="266">
        <f>IFERROR(IF(ISNUMBER($A670),IF(AND(AH!$U$12=1,665+1=AH!$U$6),IF(AH!$U$4=0,"unavailable",INDEX('Market Data'!$AP$5:$AP$66,AH!$U$4)),IF(AH!$U$5=1,INDEX('Live History'!$H$5:$H$3004,MATCH($A670,'Live History'!$G$5:$G$3004,1)),INDEX('AH History'!$B$5:$B$1380,$K670))),NA()),NA())</f>
        <v/>
      </c>
      <c r="I670" s="34">
        <f>IFERROR(IF(ISNUMBER($A670),IF(AND(AH!$U$12=1,665+1=AH!$U$6),TODAY(),IF(AH!$U$5=1,INDEX('Live History'!$G$5:$G$3004,MATCH($A670,'Live History'!$G$5:$G$3004,1)),INDEX('AH History'!$C$5:$C$1380,$K670))),NA()),NA())</f>
        <v/>
      </c>
      <c r="J670" s="32">
        <f>IFERROR(IF(AND($F670&gt;0,$H670&gt;0,$A670-$G670&lt;=10,$A670-$I670&lt;=5,$G670&gt;0,$I670&gt;0),$F670*$H670,NA()),NA())</f>
        <v/>
      </c>
      <c r="K670" s="15">
        <f>IF($A670="","",IF(AH!$U$5=1,IFERROR(MATCH($A670,'Live History'!$A$5:$A$3004,0),0),AH!$U$7+665))</f>
        <v/>
      </c>
      <c r="L670" s="15">
        <f>IF(ISNUMBER(A670),TEXT(A670,"dd-mmm-yy"),"")</f>
        <v/>
      </c>
    </row>
    <row r="671">
      <c r="A671" s="14">
        <f>IF(OR(AH!$U$4=0,666+1&gt;AH!$U$6,AND(AH!$M$5="Bloomberg",AH!$U$5=0)),"",IFERROR(IF(AND(AH!$U$12=1,666+1=AH!$U$6),TODAY(),IF(AH!$U$5=1,INDEX('Live History'!$A$5:$A$3004,AH!$U$7+666),INDEX('AH History'!$A$5:$A$1380,AH!$U$7+666))),""))</f>
        <v/>
      </c>
      <c r="B671" s="33">
        <f>IFERROR(IF(AH!$U$11=1,NA(),$J671/$E671-1),NA())</f>
        <v/>
      </c>
      <c r="C671" s="269">
        <f>IFERROR(100*$E671/$E$5,NA())</f>
        <v/>
      </c>
      <c r="D671" s="269">
        <f>IFERROR(100*$J671/$J$5,NA())</f>
        <v/>
      </c>
      <c r="E671" s="32">
        <f>IFERROR(IF(AND(ISNUMBER($A671),N(IF(AND(AH!$U$12=1,666+1=AH!$U$6),IF(AH!$U$4=0,"unavailable",INDEX('Market Data'!$AN$5:$AN$66,AH!$U$4)),IF(AH!$U$5=1,INDEX('Live History'!$B$5:$B$3004,$K671),INDEX('AH History'!$D$5:$GG$1380,$K671,AH!$U$10))))&gt;0),IF(AND(AH!$U$12=1,666+1=AH!$U$6),IF(AH!$U$4=0,"unavailable",INDEX('Market Data'!$AN$5:$AN$66,AH!$U$4)),IF(AH!$U$5=1,INDEX('Live History'!$B$5:$B$3004,$K671),INDEX('AH History'!$D$5:$GG$1380,$K671,AH!$U$10))),NA()),NA())</f>
        <v/>
      </c>
      <c r="F671" s="32">
        <f>IFERROR(IF(ISNUMBER($A671),IF(AND(AH!$U$12=1,666+1=AH!$U$6),IF(AH!$U$4=0,"unavailable",INDEX('Market Data'!$AO$5:$AO$66,AH!$U$4)),IF(AH!$U$5=1,INDEX('Live History'!$E$5:$E$3004,MATCH($A671,'Live History'!$D$5:$D$3004,1)),INDEX('AH History'!$D$5:$GG$1380,$K671,AH!$U$10+1))),NA()),NA())</f>
        <v/>
      </c>
      <c r="G671" s="34">
        <f>IFERROR(IF(ISNUMBER($A671),IF(AND(AH!$U$12=1,666+1=AH!$U$6),IF(AH!$U$4=0,"unavailable",INDEX('Market Data'!$AK$5:$AK$66,AH!$U$4)),IF(AH!$U$5=1,INDEX('Live History'!$D$5:$D$3004,MATCH($A671,'Live History'!$D$5:$D$3004,1)),INDEX('AH History'!$D$5:$GG$1380,$K671,AH!$U$10+2))),NA()),NA())</f>
        <v/>
      </c>
      <c r="H671" s="266">
        <f>IFERROR(IF(ISNUMBER($A671),IF(AND(AH!$U$12=1,666+1=AH!$U$6),IF(AH!$U$4=0,"unavailable",INDEX('Market Data'!$AP$5:$AP$66,AH!$U$4)),IF(AH!$U$5=1,INDEX('Live History'!$H$5:$H$3004,MATCH($A671,'Live History'!$G$5:$G$3004,1)),INDEX('AH History'!$B$5:$B$1380,$K671))),NA()),NA())</f>
        <v/>
      </c>
      <c r="I671" s="34">
        <f>IFERROR(IF(ISNUMBER($A671),IF(AND(AH!$U$12=1,666+1=AH!$U$6),TODAY(),IF(AH!$U$5=1,INDEX('Live History'!$G$5:$G$3004,MATCH($A671,'Live History'!$G$5:$G$3004,1)),INDEX('AH History'!$C$5:$C$1380,$K671))),NA()),NA())</f>
        <v/>
      </c>
      <c r="J671" s="32">
        <f>IFERROR(IF(AND($F671&gt;0,$H671&gt;0,$A671-$G671&lt;=10,$A671-$I671&lt;=5,$G671&gt;0,$I671&gt;0),$F671*$H671,NA()),NA())</f>
        <v/>
      </c>
      <c r="K671" s="15">
        <f>IF($A671="","",IF(AH!$U$5=1,IFERROR(MATCH($A671,'Live History'!$A$5:$A$3004,0),0),AH!$U$7+666))</f>
        <v/>
      </c>
      <c r="L671" s="15">
        <f>IF(ISNUMBER(A671),TEXT(A671,"dd-mmm-yy"),"")</f>
        <v/>
      </c>
    </row>
    <row r="672">
      <c r="A672" s="14">
        <f>IF(OR(AH!$U$4=0,667+1&gt;AH!$U$6,AND(AH!$M$5="Bloomberg",AH!$U$5=0)),"",IFERROR(IF(AND(AH!$U$12=1,667+1=AH!$U$6),TODAY(),IF(AH!$U$5=1,INDEX('Live History'!$A$5:$A$3004,AH!$U$7+667),INDEX('AH History'!$A$5:$A$1380,AH!$U$7+667))),""))</f>
        <v/>
      </c>
      <c r="B672" s="33">
        <f>IFERROR(IF(AH!$U$11=1,NA(),$J672/$E672-1),NA())</f>
        <v/>
      </c>
      <c r="C672" s="269">
        <f>IFERROR(100*$E672/$E$5,NA())</f>
        <v/>
      </c>
      <c r="D672" s="269">
        <f>IFERROR(100*$J672/$J$5,NA())</f>
        <v/>
      </c>
      <c r="E672" s="32">
        <f>IFERROR(IF(AND(ISNUMBER($A672),N(IF(AND(AH!$U$12=1,667+1=AH!$U$6),IF(AH!$U$4=0,"unavailable",INDEX('Market Data'!$AN$5:$AN$66,AH!$U$4)),IF(AH!$U$5=1,INDEX('Live History'!$B$5:$B$3004,$K672),INDEX('AH History'!$D$5:$GG$1380,$K672,AH!$U$10))))&gt;0),IF(AND(AH!$U$12=1,667+1=AH!$U$6),IF(AH!$U$4=0,"unavailable",INDEX('Market Data'!$AN$5:$AN$66,AH!$U$4)),IF(AH!$U$5=1,INDEX('Live History'!$B$5:$B$3004,$K672),INDEX('AH History'!$D$5:$GG$1380,$K672,AH!$U$10))),NA()),NA())</f>
        <v/>
      </c>
      <c r="F672" s="32">
        <f>IFERROR(IF(ISNUMBER($A672),IF(AND(AH!$U$12=1,667+1=AH!$U$6),IF(AH!$U$4=0,"unavailable",INDEX('Market Data'!$AO$5:$AO$66,AH!$U$4)),IF(AH!$U$5=1,INDEX('Live History'!$E$5:$E$3004,MATCH($A672,'Live History'!$D$5:$D$3004,1)),INDEX('AH History'!$D$5:$GG$1380,$K672,AH!$U$10+1))),NA()),NA())</f>
        <v/>
      </c>
      <c r="G672" s="34">
        <f>IFERROR(IF(ISNUMBER($A672),IF(AND(AH!$U$12=1,667+1=AH!$U$6),IF(AH!$U$4=0,"unavailable",INDEX('Market Data'!$AK$5:$AK$66,AH!$U$4)),IF(AH!$U$5=1,INDEX('Live History'!$D$5:$D$3004,MATCH($A672,'Live History'!$D$5:$D$3004,1)),INDEX('AH History'!$D$5:$GG$1380,$K672,AH!$U$10+2))),NA()),NA())</f>
        <v/>
      </c>
      <c r="H672" s="266">
        <f>IFERROR(IF(ISNUMBER($A672),IF(AND(AH!$U$12=1,667+1=AH!$U$6),IF(AH!$U$4=0,"unavailable",INDEX('Market Data'!$AP$5:$AP$66,AH!$U$4)),IF(AH!$U$5=1,INDEX('Live History'!$H$5:$H$3004,MATCH($A672,'Live History'!$G$5:$G$3004,1)),INDEX('AH History'!$B$5:$B$1380,$K672))),NA()),NA())</f>
        <v/>
      </c>
      <c r="I672" s="34">
        <f>IFERROR(IF(ISNUMBER($A672),IF(AND(AH!$U$12=1,667+1=AH!$U$6),TODAY(),IF(AH!$U$5=1,INDEX('Live History'!$G$5:$G$3004,MATCH($A672,'Live History'!$G$5:$G$3004,1)),INDEX('AH History'!$C$5:$C$1380,$K672))),NA()),NA())</f>
        <v/>
      </c>
      <c r="J672" s="32">
        <f>IFERROR(IF(AND($F672&gt;0,$H672&gt;0,$A672-$G672&lt;=10,$A672-$I672&lt;=5,$G672&gt;0,$I672&gt;0),$F672*$H672,NA()),NA())</f>
        <v/>
      </c>
      <c r="K672" s="15">
        <f>IF($A672="","",IF(AH!$U$5=1,IFERROR(MATCH($A672,'Live History'!$A$5:$A$3004,0),0),AH!$U$7+667))</f>
        <v/>
      </c>
      <c r="L672" s="15">
        <f>IF(ISNUMBER(A672),TEXT(A672,"dd-mmm-yy"),"")</f>
        <v/>
      </c>
    </row>
    <row r="673">
      <c r="A673" s="14">
        <f>IF(OR(AH!$U$4=0,668+1&gt;AH!$U$6,AND(AH!$M$5="Bloomberg",AH!$U$5=0)),"",IFERROR(IF(AND(AH!$U$12=1,668+1=AH!$U$6),TODAY(),IF(AH!$U$5=1,INDEX('Live History'!$A$5:$A$3004,AH!$U$7+668),INDEX('AH History'!$A$5:$A$1380,AH!$U$7+668))),""))</f>
        <v/>
      </c>
      <c r="B673" s="33">
        <f>IFERROR(IF(AH!$U$11=1,NA(),$J673/$E673-1),NA())</f>
        <v/>
      </c>
      <c r="C673" s="269">
        <f>IFERROR(100*$E673/$E$5,NA())</f>
        <v/>
      </c>
      <c r="D673" s="269">
        <f>IFERROR(100*$J673/$J$5,NA())</f>
        <v/>
      </c>
      <c r="E673" s="32">
        <f>IFERROR(IF(AND(ISNUMBER($A673),N(IF(AND(AH!$U$12=1,668+1=AH!$U$6),IF(AH!$U$4=0,"unavailable",INDEX('Market Data'!$AN$5:$AN$66,AH!$U$4)),IF(AH!$U$5=1,INDEX('Live History'!$B$5:$B$3004,$K673),INDEX('AH History'!$D$5:$GG$1380,$K673,AH!$U$10))))&gt;0),IF(AND(AH!$U$12=1,668+1=AH!$U$6),IF(AH!$U$4=0,"unavailable",INDEX('Market Data'!$AN$5:$AN$66,AH!$U$4)),IF(AH!$U$5=1,INDEX('Live History'!$B$5:$B$3004,$K673),INDEX('AH History'!$D$5:$GG$1380,$K673,AH!$U$10))),NA()),NA())</f>
        <v/>
      </c>
      <c r="F673" s="32">
        <f>IFERROR(IF(ISNUMBER($A673),IF(AND(AH!$U$12=1,668+1=AH!$U$6),IF(AH!$U$4=0,"unavailable",INDEX('Market Data'!$AO$5:$AO$66,AH!$U$4)),IF(AH!$U$5=1,INDEX('Live History'!$E$5:$E$3004,MATCH($A673,'Live History'!$D$5:$D$3004,1)),INDEX('AH History'!$D$5:$GG$1380,$K673,AH!$U$10+1))),NA()),NA())</f>
        <v/>
      </c>
      <c r="G673" s="34">
        <f>IFERROR(IF(ISNUMBER($A673),IF(AND(AH!$U$12=1,668+1=AH!$U$6),IF(AH!$U$4=0,"unavailable",INDEX('Market Data'!$AK$5:$AK$66,AH!$U$4)),IF(AH!$U$5=1,INDEX('Live History'!$D$5:$D$3004,MATCH($A673,'Live History'!$D$5:$D$3004,1)),INDEX('AH History'!$D$5:$GG$1380,$K673,AH!$U$10+2))),NA()),NA())</f>
        <v/>
      </c>
      <c r="H673" s="266">
        <f>IFERROR(IF(ISNUMBER($A673),IF(AND(AH!$U$12=1,668+1=AH!$U$6),IF(AH!$U$4=0,"unavailable",INDEX('Market Data'!$AP$5:$AP$66,AH!$U$4)),IF(AH!$U$5=1,INDEX('Live History'!$H$5:$H$3004,MATCH($A673,'Live History'!$G$5:$G$3004,1)),INDEX('AH History'!$B$5:$B$1380,$K673))),NA()),NA())</f>
        <v/>
      </c>
      <c r="I673" s="34">
        <f>IFERROR(IF(ISNUMBER($A673),IF(AND(AH!$U$12=1,668+1=AH!$U$6),TODAY(),IF(AH!$U$5=1,INDEX('Live History'!$G$5:$G$3004,MATCH($A673,'Live History'!$G$5:$G$3004,1)),INDEX('AH History'!$C$5:$C$1380,$K673))),NA()),NA())</f>
        <v/>
      </c>
      <c r="J673" s="32">
        <f>IFERROR(IF(AND($F673&gt;0,$H673&gt;0,$A673-$G673&lt;=10,$A673-$I673&lt;=5,$G673&gt;0,$I673&gt;0),$F673*$H673,NA()),NA())</f>
        <v/>
      </c>
      <c r="K673" s="15">
        <f>IF($A673="","",IF(AH!$U$5=1,IFERROR(MATCH($A673,'Live History'!$A$5:$A$3004,0),0),AH!$U$7+668))</f>
        <v/>
      </c>
      <c r="L673" s="15">
        <f>IF(ISNUMBER(A673),TEXT(A673,"dd-mmm-yy"),"")</f>
        <v/>
      </c>
    </row>
    <row r="674">
      <c r="A674" s="14">
        <f>IF(OR(AH!$U$4=0,669+1&gt;AH!$U$6,AND(AH!$M$5="Bloomberg",AH!$U$5=0)),"",IFERROR(IF(AND(AH!$U$12=1,669+1=AH!$U$6),TODAY(),IF(AH!$U$5=1,INDEX('Live History'!$A$5:$A$3004,AH!$U$7+669),INDEX('AH History'!$A$5:$A$1380,AH!$U$7+669))),""))</f>
        <v/>
      </c>
      <c r="B674" s="33">
        <f>IFERROR(IF(AH!$U$11=1,NA(),$J674/$E674-1),NA())</f>
        <v/>
      </c>
      <c r="C674" s="269">
        <f>IFERROR(100*$E674/$E$5,NA())</f>
        <v/>
      </c>
      <c r="D674" s="269">
        <f>IFERROR(100*$J674/$J$5,NA())</f>
        <v/>
      </c>
      <c r="E674" s="32">
        <f>IFERROR(IF(AND(ISNUMBER($A674),N(IF(AND(AH!$U$12=1,669+1=AH!$U$6),IF(AH!$U$4=0,"unavailable",INDEX('Market Data'!$AN$5:$AN$66,AH!$U$4)),IF(AH!$U$5=1,INDEX('Live History'!$B$5:$B$3004,$K674),INDEX('AH History'!$D$5:$GG$1380,$K674,AH!$U$10))))&gt;0),IF(AND(AH!$U$12=1,669+1=AH!$U$6),IF(AH!$U$4=0,"unavailable",INDEX('Market Data'!$AN$5:$AN$66,AH!$U$4)),IF(AH!$U$5=1,INDEX('Live History'!$B$5:$B$3004,$K674),INDEX('AH History'!$D$5:$GG$1380,$K674,AH!$U$10))),NA()),NA())</f>
        <v/>
      </c>
      <c r="F674" s="32">
        <f>IFERROR(IF(ISNUMBER($A674),IF(AND(AH!$U$12=1,669+1=AH!$U$6),IF(AH!$U$4=0,"unavailable",INDEX('Market Data'!$AO$5:$AO$66,AH!$U$4)),IF(AH!$U$5=1,INDEX('Live History'!$E$5:$E$3004,MATCH($A674,'Live History'!$D$5:$D$3004,1)),INDEX('AH History'!$D$5:$GG$1380,$K674,AH!$U$10+1))),NA()),NA())</f>
        <v/>
      </c>
      <c r="G674" s="34">
        <f>IFERROR(IF(ISNUMBER($A674),IF(AND(AH!$U$12=1,669+1=AH!$U$6),IF(AH!$U$4=0,"unavailable",INDEX('Market Data'!$AK$5:$AK$66,AH!$U$4)),IF(AH!$U$5=1,INDEX('Live History'!$D$5:$D$3004,MATCH($A674,'Live History'!$D$5:$D$3004,1)),INDEX('AH History'!$D$5:$GG$1380,$K674,AH!$U$10+2))),NA()),NA())</f>
        <v/>
      </c>
      <c r="H674" s="266">
        <f>IFERROR(IF(ISNUMBER($A674),IF(AND(AH!$U$12=1,669+1=AH!$U$6),IF(AH!$U$4=0,"unavailable",INDEX('Market Data'!$AP$5:$AP$66,AH!$U$4)),IF(AH!$U$5=1,INDEX('Live History'!$H$5:$H$3004,MATCH($A674,'Live History'!$G$5:$G$3004,1)),INDEX('AH History'!$B$5:$B$1380,$K674))),NA()),NA())</f>
        <v/>
      </c>
      <c r="I674" s="34">
        <f>IFERROR(IF(ISNUMBER($A674),IF(AND(AH!$U$12=1,669+1=AH!$U$6),TODAY(),IF(AH!$U$5=1,INDEX('Live History'!$G$5:$G$3004,MATCH($A674,'Live History'!$G$5:$G$3004,1)),INDEX('AH History'!$C$5:$C$1380,$K674))),NA()),NA())</f>
        <v/>
      </c>
      <c r="J674" s="32">
        <f>IFERROR(IF(AND($F674&gt;0,$H674&gt;0,$A674-$G674&lt;=10,$A674-$I674&lt;=5,$G674&gt;0,$I674&gt;0),$F674*$H674,NA()),NA())</f>
        <v/>
      </c>
      <c r="K674" s="15">
        <f>IF($A674="","",IF(AH!$U$5=1,IFERROR(MATCH($A674,'Live History'!$A$5:$A$3004,0),0),AH!$U$7+669))</f>
        <v/>
      </c>
      <c r="L674" s="15">
        <f>IF(ISNUMBER(A674),TEXT(A674,"dd-mmm-yy"),"")</f>
        <v/>
      </c>
    </row>
    <row r="675">
      <c r="A675" s="14">
        <f>IF(OR(AH!$U$4=0,670+1&gt;AH!$U$6,AND(AH!$M$5="Bloomberg",AH!$U$5=0)),"",IFERROR(IF(AND(AH!$U$12=1,670+1=AH!$U$6),TODAY(),IF(AH!$U$5=1,INDEX('Live History'!$A$5:$A$3004,AH!$U$7+670),INDEX('AH History'!$A$5:$A$1380,AH!$U$7+670))),""))</f>
        <v/>
      </c>
      <c r="B675" s="33">
        <f>IFERROR(IF(AH!$U$11=1,NA(),$J675/$E675-1),NA())</f>
        <v/>
      </c>
      <c r="C675" s="269">
        <f>IFERROR(100*$E675/$E$5,NA())</f>
        <v/>
      </c>
      <c r="D675" s="269">
        <f>IFERROR(100*$J675/$J$5,NA())</f>
        <v/>
      </c>
      <c r="E675" s="32">
        <f>IFERROR(IF(AND(ISNUMBER($A675),N(IF(AND(AH!$U$12=1,670+1=AH!$U$6),IF(AH!$U$4=0,"unavailable",INDEX('Market Data'!$AN$5:$AN$66,AH!$U$4)),IF(AH!$U$5=1,INDEX('Live History'!$B$5:$B$3004,$K675),INDEX('AH History'!$D$5:$GG$1380,$K675,AH!$U$10))))&gt;0),IF(AND(AH!$U$12=1,670+1=AH!$U$6),IF(AH!$U$4=0,"unavailable",INDEX('Market Data'!$AN$5:$AN$66,AH!$U$4)),IF(AH!$U$5=1,INDEX('Live History'!$B$5:$B$3004,$K675),INDEX('AH History'!$D$5:$GG$1380,$K675,AH!$U$10))),NA()),NA())</f>
        <v/>
      </c>
      <c r="F675" s="32">
        <f>IFERROR(IF(ISNUMBER($A675),IF(AND(AH!$U$12=1,670+1=AH!$U$6),IF(AH!$U$4=0,"unavailable",INDEX('Market Data'!$AO$5:$AO$66,AH!$U$4)),IF(AH!$U$5=1,INDEX('Live History'!$E$5:$E$3004,MATCH($A675,'Live History'!$D$5:$D$3004,1)),INDEX('AH History'!$D$5:$GG$1380,$K675,AH!$U$10+1))),NA()),NA())</f>
        <v/>
      </c>
      <c r="G675" s="34">
        <f>IFERROR(IF(ISNUMBER($A675),IF(AND(AH!$U$12=1,670+1=AH!$U$6),IF(AH!$U$4=0,"unavailable",INDEX('Market Data'!$AK$5:$AK$66,AH!$U$4)),IF(AH!$U$5=1,INDEX('Live History'!$D$5:$D$3004,MATCH($A675,'Live History'!$D$5:$D$3004,1)),INDEX('AH History'!$D$5:$GG$1380,$K675,AH!$U$10+2))),NA()),NA())</f>
        <v/>
      </c>
      <c r="H675" s="266">
        <f>IFERROR(IF(ISNUMBER($A675),IF(AND(AH!$U$12=1,670+1=AH!$U$6),IF(AH!$U$4=0,"unavailable",INDEX('Market Data'!$AP$5:$AP$66,AH!$U$4)),IF(AH!$U$5=1,INDEX('Live History'!$H$5:$H$3004,MATCH($A675,'Live History'!$G$5:$G$3004,1)),INDEX('AH History'!$B$5:$B$1380,$K675))),NA()),NA())</f>
        <v/>
      </c>
      <c r="I675" s="34">
        <f>IFERROR(IF(ISNUMBER($A675),IF(AND(AH!$U$12=1,670+1=AH!$U$6),TODAY(),IF(AH!$U$5=1,INDEX('Live History'!$G$5:$G$3004,MATCH($A675,'Live History'!$G$5:$G$3004,1)),INDEX('AH History'!$C$5:$C$1380,$K675))),NA()),NA())</f>
        <v/>
      </c>
      <c r="J675" s="32">
        <f>IFERROR(IF(AND($F675&gt;0,$H675&gt;0,$A675-$G675&lt;=10,$A675-$I675&lt;=5,$G675&gt;0,$I675&gt;0),$F675*$H675,NA()),NA())</f>
        <v/>
      </c>
      <c r="K675" s="15">
        <f>IF($A675="","",IF(AH!$U$5=1,IFERROR(MATCH($A675,'Live History'!$A$5:$A$3004,0),0),AH!$U$7+670))</f>
        <v/>
      </c>
      <c r="L675" s="15">
        <f>IF(ISNUMBER(A675),TEXT(A675,"dd-mmm-yy"),"")</f>
        <v/>
      </c>
    </row>
    <row r="676">
      <c r="A676" s="14">
        <f>IF(OR(AH!$U$4=0,671+1&gt;AH!$U$6,AND(AH!$M$5="Bloomberg",AH!$U$5=0)),"",IFERROR(IF(AND(AH!$U$12=1,671+1=AH!$U$6),TODAY(),IF(AH!$U$5=1,INDEX('Live History'!$A$5:$A$3004,AH!$U$7+671),INDEX('AH History'!$A$5:$A$1380,AH!$U$7+671))),""))</f>
        <v/>
      </c>
      <c r="B676" s="33">
        <f>IFERROR(IF(AH!$U$11=1,NA(),$J676/$E676-1),NA())</f>
        <v/>
      </c>
      <c r="C676" s="269">
        <f>IFERROR(100*$E676/$E$5,NA())</f>
        <v/>
      </c>
      <c r="D676" s="269">
        <f>IFERROR(100*$J676/$J$5,NA())</f>
        <v/>
      </c>
      <c r="E676" s="32">
        <f>IFERROR(IF(AND(ISNUMBER($A676),N(IF(AND(AH!$U$12=1,671+1=AH!$U$6),IF(AH!$U$4=0,"unavailable",INDEX('Market Data'!$AN$5:$AN$66,AH!$U$4)),IF(AH!$U$5=1,INDEX('Live History'!$B$5:$B$3004,$K676),INDEX('AH History'!$D$5:$GG$1380,$K676,AH!$U$10))))&gt;0),IF(AND(AH!$U$12=1,671+1=AH!$U$6),IF(AH!$U$4=0,"unavailable",INDEX('Market Data'!$AN$5:$AN$66,AH!$U$4)),IF(AH!$U$5=1,INDEX('Live History'!$B$5:$B$3004,$K676),INDEX('AH History'!$D$5:$GG$1380,$K676,AH!$U$10))),NA()),NA())</f>
        <v/>
      </c>
      <c r="F676" s="32">
        <f>IFERROR(IF(ISNUMBER($A676),IF(AND(AH!$U$12=1,671+1=AH!$U$6),IF(AH!$U$4=0,"unavailable",INDEX('Market Data'!$AO$5:$AO$66,AH!$U$4)),IF(AH!$U$5=1,INDEX('Live History'!$E$5:$E$3004,MATCH($A676,'Live History'!$D$5:$D$3004,1)),INDEX('AH History'!$D$5:$GG$1380,$K676,AH!$U$10+1))),NA()),NA())</f>
        <v/>
      </c>
      <c r="G676" s="34">
        <f>IFERROR(IF(ISNUMBER($A676),IF(AND(AH!$U$12=1,671+1=AH!$U$6),IF(AH!$U$4=0,"unavailable",INDEX('Market Data'!$AK$5:$AK$66,AH!$U$4)),IF(AH!$U$5=1,INDEX('Live History'!$D$5:$D$3004,MATCH($A676,'Live History'!$D$5:$D$3004,1)),INDEX('AH History'!$D$5:$GG$1380,$K676,AH!$U$10+2))),NA()),NA())</f>
        <v/>
      </c>
      <c r="H676" s="266">
        <f>IFERROR(IF(ISNUMBER($A676),IF(AND(AH!$U$12=1,671+1=AH!$U$6),IF(AH!$U$4=0,"unavailable",INDEX('Market Data'!$AP$5:$AP$66,AH!$U$4)),IF(AH!$U$5=1,INDEX('Live History'!$H$5:$H$3004,MATCH($A676,'Live History'!$G$5:$G$3004,1)),INDEX('AH History'!$B$5:$B$1380,$K676))),NA()),NA())</f>
        <v/>
      </c>
      <c r="I676" s="34">
        <f>IFERROR(IF(ISNUMBER($A676),IF(AND(AH!$U$12=1,671+1=AH!$U$6),TODAY(),IF(AH!$U$5=1,INDEX('Live History'!$G$5:$G$3004,MATCH($A676,'Live History'!$G$5:$G$3004,1)),INDEX('AH History'!$C$5:$C$1380,$K676))),NA()),NA())</f>
        <v/>
      </c>
      <c r="J676" s="32">
        <f>IFERROR(IF(AND($F676&gt;0,$H676&gt;0,$A676-$G676&lt;=10,$A676-$I676&lt;=5,$G676&gt;0,$I676&gt;0),$F676*$H676,NA()),NA())</f>
        <v/>
      </c>
      <c r="K676" s="15">
        <f>IF($A676="","",IF(AH!$U$5=1,IFERROR(MATCH($A676,'Live History'!$A$5:$A$3004,0),0),AH!$U$7+671))</f>
        <v/>
      </c>
      <c r="L676" s="15">
        <f>IF(ISNUMBER(A676),TEXT(A676,"dd-mmm-yy"),"")</f>
        <v/>
      </c>
    </row>
    <row r="677">
      <c r="A677" s="14">
        <f>IF(OR(AH!$U$4=0,672+1&gt;AH!$U$6,AND(AH!$M$5="Bloomberg",AH!$U$5=0)),"",IFERROR(IF(AND(AH!$U$12=1,672+1=AH!$U$6),TODAY(),IF(AH!$U$5=1,INDEX('Live History'!$A$5:$A$3004,AH!$U$7+672),INDEX('AH History'!$A$5:$A$1380,AH!$U$7+672))),""))</f>
        <v/>
      </c>
      <c r="B677" s="33">
        <f>IFERROR(IF(AH!$U$11=1,NA(),$J677/$E677-1),NA())</f>
        <v/>
      </c>
      <c r="C677" s="269">
        <f>IFERROR(100*$E677/$E$5,NA())</f>
        <v/>
      </c>
      <c r="D677" s="269">
        <f>IFERROR(100*$J677/$J$5,NA())</f>
        <v/>
      </c>
      <c r="E677" s="32">
        <f>IFERROR(IF(AND(ISNUMBER($A677),N(IF(AND(AH!$U$12=1,672+1=AH!$U$6),IF(AH!$U$4=0,"unavailable",INDEX('Market Data'!$AN$5:$AN$66,AH!$U$4)),IF(AH!$U$5=1,INDEX('Live History'!$B$5:$B$3004,$K677),INDEX('AH History'!$D$5:$GG$1380,$K677,AH!$U$10))))&gt;0),IF(AND(AH!$U$12=1,672+1=AH!$U$6),IF(AH!$U$4=0,"unavailable",INDEX('Market Data'!$AN$5:$AN$66,AH!$U$4)),IF(AH!$U$5=1,INDEX('Live History'!$B$5:$B$3004,$K677),INDEX('AH History'!$D$5:$GG$1380,$K677,AH!$U$10))),NA()),NA())</f>
        <v/>
      </c>
      <c r="F677" s="32">
        <f>IFERROR(IF(ISNUMBER($A677),IF(AND(AH!$U$12=1,672+1=AH!$U$6),IF(AH!$U$4=0,"unavailable",INDEX('Market Data'!$AO$5:$AO$66,AH!$U$4)),IF(AH!$U$5=1,INDEX('Live History'!$E$5:$E$3004,MATCH($A677,'Live History'!$D$5:$D$3004,1)),INDEX('AH History'!$D$5:$GG$1380,$K677,AH!$U$10+1))),NA()),NA())</f>
        <v/>
      </c>
      <c r="G677" s="34">
        <f>IFERROR(IF(ISNUMBER($A677),IF(AND(AH!$U$12=1,672+1=AH!$U$6),IF(AH!$U$4=0,"unavailable",INDEX('Market Data'!$AK$5:$AK$66,AH!$U$4)),IF(AH!$U$5=1,INDEX('Live History'!$D$5:$D$3004,MATCH($A677,'Live History'!$D$5:$D$3004,1)),INDEX('AH History'!$D$5:$GG$1380,$K677,AH!$U$10+2))),NA()),NA())</f>
        <v/>
      </c>
      <c r="H677" s="266">
        <f>IFERROR(IF(ISNUMBER($A677),IF(AND(AH!$U$12=1,672+1=AH!$U$6),IF(AH!$U$4=0,"unavailable",INDEX('Market Data'!$AP$5:$AP$66,AH!$U$4)),IF(AH!$U$5=1,INDEX('Live History'!$H$5:$H$3004,MATCH($A677,'Live History'!$G$5:$G$3004,1)),INDEX('AH History'!$B$5:$B$1380,$K677))),NA()),NA())</f>
        <v/>
      </c>
      <c r="I677" s="34">
        <f>IFERROR(IF(ISNUMBER($A677),IF(AND(AH!$U$12=1,672+1=AH!$U$6),TODAY(),IF(AH!$U$5=1,INDEX('Live History'!$G$5:$G$3004,MATCH($A677,'Live History'!$G$5:$G$3004,1)),INDEX('AH History'!$C$5:$C$1380,$K677))),NA()),NA())</f>
        <v/>
      </c>
      <c r="J677" s="32">
        <f>IFERROR(IF(AND($F677&gt;0,$H677&gt;0,$A677-$G677&lt;=10,$A677-$I677&lt;=5,$G677&gt;0,$I677&gt;0),$F677*$H677,NA()),NA())</f>
        <v/>
      </c>
      <c r="K677" s="15">
        <f>IF($A677="","",IF(AH!$U$5=1,IFERROR(MATCH($A677,'Live History'!$A$5:$A$3004,0),0),AH!$U$7+672))</f>
        <v/>
      </c>
      <c r="L677" s="15">
        <f>IF(ISNUMBER(A677),TEXT(A677,"dd-mmm-yy"),"")</f>
        <v/>
      </c>
    </row>
    <row r="678">
      <c r="A678" s="14">
        <f>IF(OR(AH!$U$4=0,673+1&gt;AH!$U$6,AND(AH!$M$5="Bloomberg",AH!$U$5=0)),"",IFERROR(IF(AND(AH!$U$12=1,673+1=AH!$U$6),TODAY(),IF(AH!$U$5=1,INDEX('Live History'!$A$5:$A$3004,AH!$U$7+673),INDEX('AH History'!$A$5:$A$1380,AH!$U$7+673))),""))</f>
        <v/>
      </c>
      <c r="B678" s="33">
        <f>IFERROR(IF(AH!$U$11=1,NA(),$J678/$E678-1),NA())</f>
        <v/>
      </c>
      <c r="C678" s="269">
        <f>IFERROR(100*$E678/$E$5,NA())</f>
        <v/>
      </c>
      <c r="D678" s="269">
        <f>IFERROR(100*$J678/$J$5,NA())</f>
        <v/>
      </c>
      <c r="E678" s="32">
        <f>IFERROR(IF(AND(ISNUMBER($A678),N(IF(AND(AH!$U$12=1,673+1=AH!$U$6),IF(AH!$U$4=0,"unavailable",INDEX('Market Data'!$AN$5:$AN$66,AH!$U$4)),IF(AH!$U$5=1,INDEX('Live History'!$B$5:$B$3004,$K678),INDEX('AH History'!$D$5:$GG$1380,$K678,AH!$U$10))))&gt;0),IF(AND(AH!$U$12=1,673+1=AH!$U$6),IF(AH!$U$4=0,"unavailable",INDEX('Market Data'!$AN$5:$AN$66,AH!$U$4)),IF(AH!$U$5=1,INDEX('Live History'!$B$5:$B$3004,$K678),INDEX('AH History'!$D$5:$GG$1380,$K678,AH!$U$10))),NA()),NA())</f>
        <v/>
      </c>
      <c r="F678" s="32">
        <f>IFERROR(IF(ISNUMBER($A678),IF(AND(AH!$U$12=1,673+1=AH!$U$6),IF(AH!$U$4=0,"unavailable",INDEX('Market Data'!$AO$5:$AO$66,AH!$U$4)),IF(AH!$U$5=1,INDEX('Live History'!$E$5:$E$3004,MATCH($A678,'Live History'!$D$5:$D$3004,1)),INDEX('AH History'!$D$5:$GG$1380,$K678,AH!$U$10+1))),NA()),NA())</f>
        <v/>
      </c>
      <c r="G678" s="34">
        <f>IFERROR(IF(ISNUMBER($A678),IF(AND(AH!$U$12=1,673+1=AH!$U$6),IF(AH!$U$4=0,"unavailable",INDEX('Market Data'!$AK$5:$AK$66,AH!$U$4)),IF(AH!$U$5=1,INDEX('Live History'!$D$5:$D$3004,MATCH($A678,'Live History'!$D$5:$D$3004,1)),INDEX('AH History'!$D$5:$GG$1380,$K678,AH!$U$10+2))),NA()),NA())</f>
        <v/>
      </c>
      <c r="H678" s="266">
        <f>IFERROR(IF(ISNUMBER($A678),IF(AND(AH!$U$12=1,673+1=AH!$U$6),IF(AH!$U$4=0,"unavailable",INDEX('Market Data'!$AP$5:$AP$66,AH!$U$4)),IF(AH!$U$5=1,INDEX('Live History'!$H$5:$H$3004,MATCH($A678,'Live History'!$G$5:$G$3004,1)),INDEX('AH History'!$B$5:$B$1380,$K678))),NA()),NA())</f>
        <v/>
      </c>
      <c r="I678" s="34">
        <f>IFERROR(IF(ISNUMBER($A678),IF(AND(AH!$U$12=1,673+1=AH!$U$6),TODAY(),IF(AH!$U$5=1,INDEX('Live History'!$G$5:$G$3004,MATCH($A678,'Live History'!$G$5:$G$3004,1)),INDEX('AH History'!$C$5:$C$1380,$K678))),NA()),NA())</f>
        <v/>
      </c>
      <c r="J678" s="32">
        <f>IFERROR(IF(AND($F678&gt;0,$H678&gt;0,$A678-$G678&lt;=10,$A678-$I678&lt;=5,$G678&gt;0,$I678&gt;0),$F678*$H678,NA()),NA())</f>
        <v/>
      </c>
      <c r="K678" s="15">
        <f>IF($A678="","",IF(AH!$U$5=1,IFERROR(MATCH($A678,'Live History'!$A$5:$A$3004,0),0),AH!$U$7+673))</f>
        <v/>
      </c>
      <c r="L678" s="15">
        <f>IF(ISNUMBER(A678),TEXT(A678,"dd-mmm-yy"),"")</f>
        <v/>
      </c>
    </row>
    <row r="679">
      <c r="A679" s="14">
        <f>IF(OR(AH!$U$4=0,674+1&gt;AH!$U$6,AND(AH!$M$5="Bloomberg",AH!$U$5=0)),"",IFERROR(IF(AND(AH!$U$12=1,674+1=AH!$U$6),TODAY(),IF(AH!$U$5=1,INDEX('Live History'!$A$5:$A$3004,AH!$U$7+674),INDEX('AH History'!$A$5:$A$1380,AH!$U$7+674))),""))</f>
        <v/>
      </c>
      <c r="B679" s="33">
        <f>IFERROR(IF(AH!$U$11=1,NA(),$J679/$E679-1),NA())</f>
        <v/>
      </c>
      <c r="C679" s="269">
        <f>IFERROR(100*$E679/$E$5,NA())</f>
        <v/>
      </c>
      <c r="D679" s="269">
        <f>IFERROR(100*$J679/$J$5,NA())</f>
        <v/>
      </c>
      <c r="E679" s="32">
        <f>IFERROR(IF(AND(ISNUMBER($A679),N(IF(AND(AH!$U$12=1,674+1=AH!$U$6),IF(AH!$U$4=0,"unavailable",INDEX('Market Data'!$AN$5:$AN$66,AH!$U$4)),IF(AH!$U$5=1,INDEX('Live History'!$B$5:$B$3004,$K679),INDEX('AH History'!$D$5:$GG$1380,$K679,AH!$U$10))))&gt;0),IF(AND(AH!$U$12=1,674+1=AH!$U$6),IF(AH!$U$4=0,"unavailable",INDEX('Market Data'!$AN$5:$AN$66,AH!$U$4)),IF(AH!$U$5=1,INDEX('Live History'!$B$5:$B$3004,$K679),INDEX('AH History'!$D$5:$GG$1380,$K679,AH!$U$10))),NA()),NA())</f>
        <v/>
      </c>
      <c r="F679" s="32">
        <f>IFERROR(IF(ISNUMBER($A679),IF(AND(AH!$U$12=1,674+1=AH!$U$6),IF(AH!$U$4=0,"unavailable",INDEX('Market Data'!$AO$5:$AO$66,AH!$U$4)),IF(AH!$U$5=1,INDEX('Live History'!$E$5:$E$3004,MATCH($A679,'Live History'!$D$5:$D$3004,1)),INDEX('AH History'!$D$5:$GG$1380,$K679,AH!$U$10+1))),NA()),NA())</f>
        <v/>
      </c>
      <c r="G679" s="34">
        <f>IFERROR(IF(ISNUMBER($A679),IF(AND(AH!$U$12=1,674+1=AH!$U$6),IF(AH!$U$4=0,"unavailable",INDEX('Market Data'!$AK$5:$AK$66,AH!$U$4)),IF(AH!$U$5=1,INDEX('Live History'!$D$5:$D$3004,MATCH($A679,'Live History'!$D$5:$D$3004,1)),INDEX('AH History'!$D$5:$GG$1380,$K679,AH!$U$10+2))),NA()),NA())</f>
        <v/>
      </c>
      <c r="H679" s="266">
        <f>IFERROR(IF(ISNUMBER($A679),IF(AND(AH!$U$12=1,674+1=AH!$U$6),IF(AH!$U$4=0,"unavailable",INDEX('Market Data'!$AP$5:$AP$66,AH!$U$4)),IF(AH!$U$5=1,INDEX('Live History'!$H$5:$H$3004,MATCH($A679,'Live History'!$G$5:$G$3004,1)),INDEX('AH History'!$B$5:$B$1380,$K679))),NA()),NA())</f>
        <v/>
      </c>
      <c r="I679" s="34">
        <f>IFERROR(IF(ISNUMBER($A679),IF(AND(AH!$U$12=1,674+1=AH!$U$6),TODAY(),IF(AH!$U$5=1,INDEX('Live History'!$G$5:$G$3004,MATCH($A679,'Live History'!$G$5:$G$3004,1)),INDEX('AH History'!$C$5:$C$1380,$K679))),NA()),NA())</f>
        <v/>
      </c>
      <c r="J679" s="32">
        <f>IFERROR(IF(AND($F679&gt;0,$H679&gt;0,$A679-$G679&lt;=10,$A679-$I679&lt;=5,$G679&gt;0,$I679&gt;0),$F679*$H679,NA()),NA())</f>
        <v/>
      </c>
      <c r="K679" s="15">
        <f>IF($A679="","",IF(AH!$U$5=1,IFERROR(MATCH($A679,'Live History'!$A$5:$A$3004,0),0),AH!$U$7+674))</f>
        <v/>
      </c>
      <c r="L679" s="15">
        <f>IF(ISNUMBER(A679),TEXT(A679,"dd-mmm-yy"),"")</f>
        <v/>
      </c>
    </row>
    <row r="680">
      <c r="A680" s="14">
        <f>IF(OR(AH!$U$4=0,675+1&gt;AH!$U$6,AND(AH!$M$5="Bloomberg",AH!$U$5=0)),"",IFERROR(IF(AND(AH!$U$12=1,675+1=AH!$U$6),TODAY(),IF(AH!$U$5=1,INDEX('Live History'!$A$5:$A$3004,AH!$U$7+675),INDEX('AH History'!$A$5:$A$1380,AH!$U$7+675))),""))</f>
        <v/>
      </c>
      <c r="B680" s="33">
        <f>IFERROR(IF(AH!$U$11=1,NA(),$J680/$E680-1),NA())</f>
        <v/>
      </c>
      <c r="C680" s="269">
        <f>IFERROR(100*$E680/$E$5,NA())</f>
        <v/>
      </c>
      <c r="D680" s="269">
        <f>IFERROR(100*$J680/$J$5,NA())</f>
        <v/>
      </c>
      <c r="E680" s="32">
        <f>IFERROR(IF(AND(ISNUMBER($A680),N(IF(AND(AH!$U$12=1,675+1=AH!$U$6),IF(AH!$U$4=0,"unavailable",INDEX('Market Data'!$AN$5:$AN$66,AH!$U$4)),IF(AH!$U$5=1,INDEX('Live History'!$B$5:$B$3004,$K680),INDEX('AH History'!$D$5:$GG$1380,$K680,AH!$U$10))))&gt;0),IF(AND(AH!$U$12=1,675+1=AH!$U$6),IF(AH!$U$4=0,"unavailable",INDEX('Market Data'!$AN$5:$AN$66,AH!$U$4)),IF(AH!$U$5=1,INDEX('Live History'!$B$5:$B$3004,$K680),INDEX('AH History'!$D$5:$GG$1380,$K680,AH!$U$10))),NA()),NA())</f>
        <v/>
      </c>
      <c r="F680" s="32">
        <f>IFERROR(IF(ISNUMBER($A680),IF(AND(AH!$U$12=1,675+1=AH!$U$6),IF(AH!$U$4=0,"unavailable",INDEX('Market Data'!$AO$5:$AO$66,AH!$U$4)),IF(AH!$U$5=1,INDEX('Live History'!$E$5:$E$3004,MATCH($A680,'Live History'!$D$5:$D$3004,1)),INDEX('AH History'!$D$5:$GG$1380,$K680,AH!$U$10+1))),NA()),NA())</f>
        <v/>
      </c>
      <c r="G680" s="34">
        <f>IFERROR(IF(ISNUMBER($A680),IF(AND(AH!$U$12=1,675+1=AH!$U$6),IF(AH!$U$4=0,"unavailable",INDEX('Market Data'!$AK$5:$AK$66,AH!$U$4)),IF(AH!$U$5=1,INDEX('Live History'!$D$5:$D$3004,MATCH($A680,'Live History'!$D$5:$D$3004,1)),INDEX('AH History'!$D$5:$GG$1380,$K680,AH!$U$10+2))),NA()),NA())</f>
        <v/>
      </c>
      <c r="H680" s="266">
        <f>IFERROR(IF(ISNUMBER($A680),IF(AND(AH!$U$12=1,675+1=AH!$U$6),IF(AH!$U$4=0,"unavailable",INDEX('Market Data'!$AP$5:$AP$66,AH!$U$4)),IF(AH!$U$5=1,INDEX('Live History'!$H$5:$H$3004,MATCH($A680,'Live History'!$G$5:$G$3004,1)),INDEX('AH History'!$B$5:$B$1380,$K680))),NA()),NA())</f>
        <v/>
      </c>
      <c r="I680" s="34">
        <f>IFERROR(IF(ISNUMBER($A680),IF(AND(AH!$U$12=1,675+1=AH!$U$6),TODAY(),IF(AH!$U$5=1,INDEX('Live History'!$G$5:$G$3004,MATCH($A680,'Live History'!$G$5:$G$3004,1)),INDEX('AH History'!$C$5:$C$1380,$K680))),NA()),NA())</f>
        <v/>
      </c>
      <c r="J680" s="32">
        <f>IFERROR(IF(AND($F680&gt;0,$H680&gt;0,$A680-$G680&lt;=10,$A680-$I680&lt;=5,$G680&gt;0,$I680&gt;0),$F680*$H680,NA()),NA())</f>
        <v/>
      </c>
      <c r="K680" s="15">
        <f>IF($A680="","",IF(AH!$U$5=1,IFERROR(MATCH($A680,'Live History'!$A$5:$A$3004,0),0),AH!$U$7+675))</f>
        <v/>
      </c>
      <c r="L680" s="15">
        <f>IF(ISNUMBER(A680),TEXT(A680,"dd-mmm-yy"),"")</f>
        <v/>
      </c>
    </row>
    <row r="681">
      <c r="A681" s="14">
        <f>IF(OR(AH!$U$4=0,676+1&gt;AH!$U$6,AND(AH!$M$5="Bloomberg",AH!$U$5=0)),"",IFERROR(IF(AND(AH!$U$12=1,676+1=AH!$U$6),TODAY(),IF(AH!$U$5=1,INDEX('Live History'!$A$5:$A$3004,AH!$U$7+676),INDEX('AH History'!$A$5:$A$1380,AH!$U$7+676))),""))</f>
        <v/>
      </c>
      <c r="B681" s="33">
        <f>IFERROR(IF(AH!$U$11=1,NA(),$J681/$E681-1),NA())</f>
        <v/>
      </c>
      <c r="C681" s="269">
        <f>IFERROR(100*$E681/$E$5,NA())</f>
        <v/>
      </c>
      <c r="D681" s="269">
        <f>IFERROR(100*$J681/$J$5,NA())</f>
        <v/>
      </c>
      <c r="E681" s="32">
        <f>IFERROR(IF(AND(ISNUMBER($A681),N(IF(AND(AH!$U$12=1,676+1=AH!$U$6),IF(AH!$U$4=0,"unavailable",INDEX('Market Data'!$AN$5:$AN$66,AH!$U$4)),IF(AH!$U$5=1,INDEX('Live History'!$B$5:$B$3004,$K681),INDEX('AH History'!$D$5:$GG$1380,$K681,AH!$U$10))))&gt;0),IF(AND(AH!$U$12=1,676+1=AH!$U$6),IF(AH!$U$4=0,"unavailable",INDEX('Market Data'!$AN$5:$AN$66,AH!$U$4)),IF(AH!$U$5=1,INDEX('Live History'!$B$5:$B$3004,$K681),INDEX('AH History'!$D$5:$GG$1380,$K681,AH!$U$10))),NA()),NA())</f>
        <v/>
      </c>
      <c r="F681" s="32">
        <f>IFERROR(IF(ISNUMBER($A681),IF(AND(AH!$U$12=1,676+1=AH!$U$6),IF(AH!$U$4=0,"unavailable",INDEX('Market Data'!$AO$5:$AO$66,AH!$U$4)),IF(AH!$U$5=1,INDEX('Live History'!$E$5:$E$3004,MATCH($A681,'Live History'!$D$5:$D$3004,1)),INDEX('AH History'!$D$5:$GG$1380,$K681,AH!$U$10+1))),NA()),NA())</f>
        <v/>
      </c>
      <c r="G681" s="34">
        <f>IFERROR(IF(ISNUMBER($A681),IF(AND(AH!$U$12=1,676+1=AH!$U$6),IF(AH!$U$4=0,"unavailable",INDEX('Market Data'!$AK$5:$AK$66,AH!$U$4)),IF(AH!$U$5=1,INDEX('Live History'!$D$5:$D$3004,MATCH($A681,'Live History'!$D$5:$D$3004,1)),INDEX('AH History'!$D$5:$GG$1380,$K681,AH!$U$10+2))),NA()),NA())</f>
        <v/>
      </c>
      <c r="H681" s="266">
        <f>IFERROR(IF(ISNUMBER($A681),IF(AND(AH!$U$12=1,676+1=AH!$U$6),IF(AH!$U$4=0,"unavailable",INDEX('Market Data'!$AP$5:$AP$66,AH!$U$4)),IF(AH!$U$5=1,INDEX('Live History'!$H$5:$H$3004,MATCH($A681,'Live History'!$G$5:$G$3004,1)),INDEX('AH History'!$B$5:$B$1380,$K681))),NA()),NA())</f>
        <v/>
      </c>
      <c r="I681" s="34">
        <f>IFERROR(IF(ISNUMBER($A681),IF(AND(AH!$U$12=1,676+1=AH!$U$6),TODAY(),IF(AH!$U$5=1,INDEX('Live History'!$G$5:$G$3004,MATCH($A681,'Live History'!$G$5:$G$3004,1)),INDEX('AH History'!$C$5:$C$1380,$K681))),NA()),NA())</f>
        <v/>
      </c>
      <c r="J681" s="32">
        <f>IFERROR(IF(AND($F681&gt;0,$H681&gt;0,$A681-$G681&lt;=10,$A681-$I681&lt;=5,$G681&gt;0,$I681&gt;0),$F681*$H681,NA()),NA())</f>
        <v/>
      </c>
      <c r="K681" s="15">
        <f>IF($A681="","",IF(AH!$U$5=1,IFERROR(MATCH($A681,'Live History'!$A$5:$A$3004,0),0),AH!$U$7+676))</f>
        <v/>
      </c>
      <c r="L681" s="15">
        <f>IF(ISNUMBER(A681),TEXT(A681,"dd-mmm-yy"),"")</f>
        <v/>
      </c>
    </row>
    <row r="682">
      <c r="A682" s="14">
        <f>IF(OR(AH!$U$4=0,677+1&gt;AH!$U$6,AND(AH!$M$5="Bloomberg",AH!$U$5=0)),"",IFERROR(IF(AND(AH!$U$12=1,677+1=AH!$U$6),TODAY(),IF(AH!$U$5=1,INDEX('Live History'!$A$5:$A$3004,AH!$U$7+677),INDEX('AH History'!$A$5:$A$1380,AH!$U$7+677))),""))</f>
        <v/>
      </c>
      <c r="B682" s="33">
        <f>IFERROR(IF(AH!$U$11=1,NA(),$J682/$E682-1),NA())</f>
        <v/>
      </c>
      <c r="C682" s="269">
        <f>IFERROR(100*$E682/$E$5,NA())</f>
        <v/>
      </c>
      <c r="D682" s="269">
        <f>IFERROR(100*$J682/$J$5,NA())</f>
        <v/>
      </c>
      <c r="E682" s="32">
        <f>IFERROR(IF(AND(ISNUMBER($A682),N(IF(AND(AH!$U$12=1,677+1=AH!$U$6),IF(AH!$U$4=0,"unavailable",INDEX('Market Data'!$AN$5:$AN$66,AH!$U$4)),IF(AH!$U$5=1,INDEX('Live History'!$B$5:$B$3004,$K682),INDEX('AH History'!$D$5:$GG$1380,$K682,AH!$U$10))))&gt;0),IF(AND(AH!$U$12=1,677+1=AH!$U$6),IF(AH!$U$4=0,"unavailable",INDEX('Market Data'!$AN$5:$AN$66,AH!$U$4)),IF(AH!$U$5=1,INDEX('Live History'!$B$5:$B$3004,$K682),INDEX('AH History'!$D$5:$GG$1380,$K682,AH!$U$10))),NA()),NA())</f>
        <v/>
      </c>
      <c r="F682" s="32">
        <f>IFERROR(IF(ISNUMBER($A682),IF(AND(AH!$U$12=1,677+1=AH!$U$6),IF(AH!$U$4=0,"unavailable",INDEX('Market Data'!$AO$5:$AO$66,AH!$U$4)),IF(AH!$U$5=1,INDEX('Live History'!$E$5:$E$3004,MATCH($A682,'Live History'!$D$5:$D$3004,1)),INDEX('AH History'!$D$5:$GG$1380,$K682,AH!$U$10+1))),NA()),NA())</f>
        <v/>
      </c>
      <c r="G682" s="34">
        <f>IFERROR(IF(ISNUMBER($A682),IF(AND(AH!$U$12=1,677+1=AH!$U$6),IF(AH!$U$4=0,"unavailable",INDEX('Market Data'!$AK$5:$AK$66,AH!$U$4)),IF(AH!$U$5=1,INDEX('Live History'!$D$5:$D$3004,MATCH($A682,'Live History'!$D$5:$D$3004,1)),INDEX('AH History'!$D$5:$GG$1380,$K682,AH!$U$10+2))),NA()),NA())</f>
        <v/>
      </c>
      <c r="H682" s="266">
        <f>IFERROR(IF(ISNUMBER($A682),IF(AND(AH!$U$12=1,677+1=AH!$U$6),IF(AH!$U$4=0,"unavailable",INDEX('Market Data'!$AP$5:$AP$66,AH!$U$4)),IF(AH!$U$5=1,INDEX('Live History'!$H$5:$H$3004,MATCH($A682,'Live History'!$G$5:$G$3004,1)),INDEX('AH History'!$B$5:$B$1380,$K682))),NA()),NA())</f>
        <v/>
      </c>
      <c r="I682" s="34">
        <f>IFERROR(IF(ISNUMBER($A682),IF(AND(AH!$U$12=1,677+1=AH!$U$6),TODAY(),IF(AH!$U$5=1,INDEX('Live History'!$G$5:$G$3004,MATCH($A682,'Live History'!$G$5:$G$3004,1)),INDEX('AH History'!$C$5:$C$1380,$K682))),NA()),NA())</f>
        <v/>
      </c>
      <c r="J682" s="32">
        <f>IFERROR(IF(AND($F682&gt;0,$H682&gt;0,$A682-$G682&lt;=10,$A682-$I682&lt;=5,$G682&gt;0,$I682&gt;0),$F682*$H682,NA()),NA())</f>
        <v/>
      </c>
      <c r="K682" s="15">
        <f>IF($A682="","",IF(AH!$U$5=1,IFERROR(MATCH($A682,'Live History'!$A$5:$A$3004,0),0),AH!$U$7+677))</f>
        <v/>
      </c>
      <c r="L682" s="15">
        <f>IF(ISNUMBER(A682),TEXT(A682,"dd-mmm-yy"),"")</f>
        <v/>
      </c>
    </row>
    <row r="683">
      <c r="A683" s="14">
        <f>IF(OR(AH!$U$4=0,678+1&gt;AH!$U$6,AND(AH!$M$5="Bloomberg",AH!$U$5=0)),"",IFERROR(IF(AND(AH!$U$12=1,678+1=AH!$U$6),TODAY(),IF(AH!$U$5=1,INDEX('Live History'!$A$5:$A$3004,AH!$U$7+678),INDEX('AH History'!$A$5:$A$1380,AH!$U$7+678))),""))</f>
        <v/>
      </c>
      <c r="B683" s="33">
        <f>IFERROR(IF(AH!$U$11=1,NA(),$J683/$E683-1),NA())</f>
        <v/>
      </c>
      <c r="C683" s="269">
        <f>IFERROR(100*$E683/$E$5,NA())</f>
        <v/>
      </c>
      <c r="D683" s="269">
        <f>IFERROR(100*$J683/$J$5,NA())</f>
        <v/>
      </c>
      <c r="E683" s="32">
        <f>IFERROR(IF(AND(ISNUMBER($A683),N(IF(AND(AH!$U$12=1,678+1=AH!$U$6),IF(AH!$U$4=0,"unavailable",INDEX('Market Data'!$AN$5:$AN$66,AH!$U$4)),IF(AH!$U$5=1,INDEX('Live History'!$B$5:$B$3004,$K683),INDEX('AH History'!$D$5:$GG$1380,$K683,AH!$U$10))))&gt;0),IF(AND(AH!$U$12=1,678+1=AH!$U$6),IF(AH!$U$4=0,"unavailable",INDEX('Market Data'!$AN$5:$AN$66,AH!$U$4)),IF(AH!$U$5=1,INDEX('Live History'!$B$5:$B$3004,$K683),INDEX('AH History'!$D$5:$GG$1380,$K683,AH!$U$10))),NA()),NA())</f>
        <v/>
      </c>
      <c r="F683" s="32">
        <f>IFERROR(IF(ISNUMBER($A683),IF(AND(AH!$U$12=1,678+1=AH!$U$6),IF(AH!$U$4=0,"unavailable",INDEX('Market Data'!$AO$5:$AO$66,AH!$U$4)),IF(AH!$U$5=1,INDEX('Live History'!$E$5:$E$3004,MATCH($A683,'Live History'!$D$5:$D$3004,1)),INDEX('AH History'!$D$5:$GG$1380,$K683,AH!$U$10+1))),NA()),NA())</f>
        <v/>
      </c>
      <c r="G683" s="34">
        <f>IFERROR(IF(ISNUMBER($A683),IF(AND(AH!$U$12=1,678+1=AH!$U$6),IF(AH!$U$4=0,"unavailable",INDEX('Market Data'!$AK$5:$AK$66,AH!$U$4)),IF(AH!$U$5=1,INDEX('Live History'!$D$5:$D$3004,MATCH($A683,'Live History'!$D$5:$D$3004,1)),INDEX('AH History'!$D$5:$GG$1380,$K683,AH!$U$10+2))),NA()),NA())</f>
        <v/>
      </c>
      <c r="H683" s="266">
        <f>IFERROR(IF(ISNUMBER($A683),IF(AND(AH!$U$12=1,678+1=AH!$U$6),IF(AH!$U$4=0,"unavailable",INDEX('Market Data'!$AP$5:$AP$66,AH!$U$4)),IF(AH!$U$5=1,INDEX('Live History'!$H$5:$H$3004,MATCH($A683,'Live History'!$G$5:$G$3004,1)),INDEX('AH History'!$B$5:$B$1380,$K683))),NA()),NA())</f>
        <v/>
      </c>
      <c r="I683" s="34">
        <f>IFERROR(IF(ISNUMBER($A683),IF(AND(AH!$U$12=1,678+1=AH!$U$6),TODAY(),IF(AH!$U$5=1,INDEX('Live History'!$G$5:$G$3004,MATCH($A683,'Live History'!$G$5:$G$3004,1)),INDEX('AH History'!$C$5:$C$1380,$K683))),NA()),NA())</f>
        <v/>
      </c>
      <c r="J683" s="32">
        <f>IFERROR(IF(AND($F683&gt;0,$H683&gt;0,$A683-$G683&lt;=10,$A683-$I683&lt;=5,$G683&gt;0,$I683&gt;0),$F683*$H683,NA()),NA())</f>
        <v/>
      </c>
      <c r="K683" s="15">
        <f>IF($A683="","",IF(AH!$U$5=1,IFERROR(MATCH($A683,'Live History'!$A$5:$A$3004,0),0),AH!$U$7+678))</f>
        <v/>
      </c>
      <c r="L683" s="15">
        <f>IF(ISNUMBER(A683),TEXT(A683,"dd-mmm-yy"),"")</f>
        <v/>
      </c>
    </row>
    <row r="684">
      <c r="A684" s="14">
        <f>IF(OR(AH!$U$4=0,679+1&gt;AH!$U$6,AND(AH!$M$5="Bloomberg",AH!$U$5=0)),"",IFERROR(IF(AND(AH!$U$12=1,679+1=AH!$U$6),TODAY(),IF(AH!$U$5=1,INDEX('Live History'!$A$5:$A$3004,AH!$U$7+679),INDEX('AH History'!$A$5:$A$1380,AH!$U$7+679))),""))</f>
        <v/>
      </c>
      <c r="B684" s="33">
        <f>IFERROR(IF(AH!$U$11=1,NA(),$J684/$E684-1),NA())</f>
        <v/>
      </c>
      <c r="C684" s="269">
        <f>IFERROR(100*$E684/$E$5,NA())</f>
        <v/>
      </c>
      <c r="D684" s="269">
        <f>IFERROR(100*$J684/$J$5,NA())</f>
        <v/>
      </c>
      <c r="E684" s="32">
        <f>IFERROR(IF(AND(ISNUMBER($A684),N(IF(AND(AH!$U$12=1,679+1=AH!$U$6),IF(AH!$U$4=0,"unavailable",INDEX('Market Data'!$AN$5:$AN$66,AH!$U$4)),IF(AH!$U$5=1,INDEX('Live History'!$B$5:$B$3004,$K684),INDEX('AH History'!$D$5:$GG$1380,$K684,AH!$U$10))))&gt;0),IF(AND(AH!$U$12=1,679+1=AH!$U$6),IF(AH!$U$4=0,"unavailable",INDEX('Market Data'!$AN$5:$AN$66,AH!$U$4)),IF(AH!$U$5=1,INDEX('Live History'!$B$5:$B$3004,$K684),INDEX('AH History'!$D$5:$GG$1380,$K684,AH!$U$10))),NA()),NA())</f>
        <v/>
      </c>
      <c r="F684" s="32">
        <f>IFERROR(IF(ISNUMBER($A684),IF(AND(AH!$U$12=1,679+1=AH!$U$6),IF(AH!$U$4=0,"unavailable",INDEX('Market Data'!$AO$5:$AO$66,AH!$U$4)),IF(AH!$U$5=1,INDEX('Live History'!$E$5:$E$3004,MATCH($A684,'Live History'!$D$5:$D$3004,1)),INDEX('AH History'!$D$5:$GG$1380,$K684,AH!$U$10+1))),NA()),NA())</f>
        <v/>
      </c>
      <c r="G684" s="34">
        <f>IFERROR(IF(ISNUMBER($A684),IF(AND(AH!$U$12=1,679+1=AH!$U$6),IF(AH!$U$4=0,"unavailable",INDEX('Market Data'!$AK$5:$AK$66,AH!$U$4)),IF(AH!$U$5=1,INDEX('Live History'!$D$5:$D$3004,MATCH($A684,'Live History'!$D$5:$D$3004,1)),INDEX('AH History'!$D$5:$GG$1380,$K684,AH!$U$10+2))),NA()),NA())</f>
        <v/>
      </c>
      <c r="H684" s="266">
        <f>IFERROR(IF(ISNUMBER($A684),IF(AND(AH!$U$12=1,679+1=AH!$U$6),IF(AH!$U$4=0,"unavailable",INDEX('Market Data'!$AP$5:$AP$66,AH!$U$4)),IF(AH!$U$5=1,INDEX('Live History'!$H$5:$H$3004,MATCH($A684,'Live History'!$G$5:$G$3004,1)),INDEX('AH History'!$B$5:$B$1380,$K684))),NA()),NA())</f>
        <v/>
      </c>
      <c r="I684" s="34">
        <f>IFERROR(IF(ISNUMBER($A684),IF(AND(AH!$U$12=1,679+1=AH!$U$6),TODAY(),IF(AH!$U$5=1,INDEX('Live History'!$G$5:$G$3004,MATCH($A684,'Live History'!$G$5:$G$3004,1)),INDEX('AH History'!$C$5:$C$1380,$K684))),NA()),NA())</f>
        <v/>
      </c>
      <c r="J684" s="32">
        <f>IFERROR(IF(AND($F684&gt;0,$H684&gt;0,$A684-$G684&lt;=10,$A684-$I684&lt;=5,$G684&gt;0,$I684&gt;0),$F684*$H684,NA()),NA())</f>
        <v/>
      </c>
      <c r="K684" s="15">
        <f>IF($A684="","",IF(AH!$U$5=1,IFERROR(MATCH($A684,'Live History'!$A$5:$A$3004,0),0),AH!$U$7+679))</f>
        <v/>
      </c>
      <c r="L684" s="15">
        <f>IF(ISNUMBER(A684),TEXT(A684,"dd-mmm-yy"),"")</f>
        <v/>
      </c>
    </row>
    <row r="685">
      <c r="A685" s="14">
        <f>IF(OR(AH!$U$4=0,680+1&gt;AH!$U$6,AND(AH!$M$5="Bloomberg",AH!$U$5=0)),"",IFERROR(IF(AND(AH!$U$12=1,680+1=AH!$U$6),TODAY(),IF(AH!$U$5=1,INDEX('Live History'!$A$5:$A$3004,AH!$U$7+680),INDEX('AH History'!$A$5:$A$1380,AH!$U$7+680))),""))</f>
        <v/>
      </c>
      <c r="B685" s="33">
        <f>IFERROR(IF(AH!$U$11=1,NA(),$J685/$E685-1),NA())</f>
        <v/>
      </c>
      <c r="C685" s="269">
        <f>IFERROR(100*$E685/$E$5,NA())</f>
        <v/>
      </c>
      <c r="D685" s="269">
        <f>IFERROR(100*$J685/$J$5,NA())</f>
        <v/>
      </c>
      <c r="E685" s="32">
        <f>IFERROR(IF(AND(ISNUMBER($A685),N(IF(AND(AH!$U$12=1,680+1=AH!$U$6),IF(AH!$U$4=0,"unavailable",INDEX('Market Data'!$AN$5:$AN$66,AH!$U$4)),IF(AH!$U$5=1,INDEX('Live History'!$B$5:$B$3004,$K685),INDEX('AH History'!$D$5:$GG$1380,$K685,AH!$U$10))))&gt;0),IF(AND(AH!$U$12=1,680+1=AH!$U$6),IF(AH!$U$4=0,"unavailable",INDEX('Market Data'!$AN$5:$AN$66,AH!$U$4)),IF(AH!$U$5=1,INDEX('Live History'!$B$5:$B$3004,$K685),INDEX('AH History'!$D$5:$GG$1380,$K685,AH!$U$10))),NA()),NA())</f>
        <v/>
      </c>
      <c r="F685" s="32">
        <f>IFERROR(IF(ISNUMBER($A685),IF(AND(AH!$U$12=1,680+1=AH!$U$6),IF(AH!$U$4=0,"unavailable",INDEX('Market Data'!$AO$5:$AO$66,AH!$U$4)),IF(AH!$U$5=1,INDEX('Live History'!$E$5:$E$3004,MATCH($A685,'Live History'!$D$5:$D$3004,1)),INDEX('AH History'!$D$5:$GG$1380,$K685,AH!$U$10+1))),NA()),NA())</f>
        <v/>
      </c>
      <c r="G685" s="34">
        <f>IFERROR(IF(ISNUMBER($A685),IF(AND(AH!$U$12=1,680+1=AH!$U$6),IF(AH!$U$4=0,"unavailable",INDEX('Market Data'!$AK$5:$AK$66,AH!$U$4)),IF(AH!$U$5=1,INDEX('Live History'!$D$5:$D$3004,MATCH($A685,'Live History'!$D$5:$D$3004,1)),INDEX('AH History'!$D$5:$GG$1380,$K685,AH!$U$10+2))),NA()),NA())</f>
        <v/>
      </c>
      <c r="H685" s="266">
        <f>IFERROR(IF(ISNUMBER($A685),IF(AND(AH!$U$12=1,680+1=AH!$U$6),IF(AH!$U$4=0,"unavailable",INDEX('Market Data'!$AP$5:$AP$66,AH!$U$4)),IF(AH!$U$5=1,INDEX('Live History'!$H$5:$H$3004,MATCH($A685,'Live History'!$G$5:$G$3004,1)),INDEX('AH History'!$B$5:$B$1380,$K685))),NA()),NA())</f>
        <v/>
      </c>
      <c r="I685" s="34">
        <f>IFERROR(IF(ISNUMBER($A685),IF(AND(AH!$U$12=1,680+1=AH!$U$6),TODAY(),IF(AH!$U$5=1,INDEX('Live History'!$G$5:$G$3004,MATCH($A685,'Live History'!$G$5:$G$3004,1)),INDEX('AH History'!$C$5:$C$1380,$K685))),NA()),NA())</f>
        <v/>
      </c>
      <c r="J685" s="32">
        <f>IFERROR(IF(AND($F685&gt;0,$H685&gt;0,$A685-$G685&lt;=10,$A685-$I685&lt;=5,$G685&gt;0,$I685&gt;0),$F685*$H685,NA()),NA())</f>
        <v/>
      </c>
      <c r="K685" s="15">
        <f>IF($A685="","",IF(AH!$U$5=1,IFERROR(MATCH($A685,'Live History'!$A$5:$A$3004,0),0),AH!$U$7+680))</f>
        <v/>
      </c>
      <c r="L685" s="15">
        <f>IF(ISNUMBER(A685),TEXT(A685,"dd-mmm-yy"),"")</f>
        <v/>
      </c>
    </row>
    <row r="686">
      <c r="A686" s="14">
        <f>IF(OR(AH!$U$4=0,681+1&gt;AH!$U$6,AND(AH!$M$5="Bloomberg",AH!$U$5=0)),"",IFERROR(IF(AND(AH!$U$12=1,681+1=AH!$U$6),TODAY(),IF(AH!$U$5=1,INDEX('Live History'!$A$5:$A$3004,AH!$U$7+681),INDEX('AH History'!$A$5:$A$1380,AH!$U$7+681))),""))</f>
        <v/>
      </c>
      <c r="B686" s="33">
        <f>IFERROR(IF(AH!$U$11=1,NA(),$J686/$E686-1),NA())</f>
        <v/>
      </c>
      <c r="C686" s="269">
        <f>IFERROR(100*$E686/$E$5,NA())</f>
        <v/>
      </c>
      <c r="D686" s="269">
        <f>IFERROR(100*$J686/$J$5,NA())</f>
        <v/>
      </c>
      <c r="E686" s="32">
        <f>IFERROR(IF(AND(ISNUMBER($A686),N(IF(AND(AH!$U$12=1,681+1=AH!$U$6),IF(AH!$U$4=0,"unavailable",INDEX('Market Data'!$AN$5:$AN$66,AH!$U$4)),IF(AH!$U$5=1,INDEX('Live History'!$B$5:$B$3004,$K686),INDEX('AH History'!$D$5:$GG$1380,$K686,AH!$U$10))))&gt;0),IF(AND(AH!$U$12=1,681+1=AH!$U$6),IF(AH!$U$4=0,"unavailable",INDEX('Market Data'!$AN$5:$AN$66,AH!$U$4)),IF(AH!$U$5=1,INDEX('Live History'!$B$5:$B$3004,$K686),INDEX('AH History'!$D$5:$GG$1380,$K686,AH!$U$10))),NA()),NA())</f>
        <v/>
      </c>
      <c r="F686" s="32">
        <f>IFERROR(IF(ISNUMBER($A686),IF(AND(AH!$U$12=1,681+1=AH!$U$6),IF(AH!$U$4=0,"unavailable",INDEX('Market Data'!$AO$5:$AO$66,AH!$U$4)),IF(AH!$U$5=1,INDEX('Live History'!$E$5:$E$3004,MATCH($A686,'Live History'!$D$5:$D$3004,1)),INDEX('AH History'!$D$5:$GG$1380,$K686,AH!$U$10+1))),NA()),NA())</f>
        <v/>
      </c>
      <c r="G686" s="34">
        <f>IFERROR(IF(ISNUMBER($A686),IF(AND(AH!$U$12=1,681+1=AH!$U$6),IF(AH!$U$4=0,"unavailable",INDEX('Market Data'!$AK$5:$AK$66,AH!$U$4)),IF(AH!$U$5=1,INDEX('Live History'!$D$5:$D$3004,MATCH($A686,'Live History'!$D$5:$D$3004,1)),INDEX('AH History'!$D$5:$GG$1380,$K686,AH!$U$10+2))),NA()),NA())</f>
        <v/>
      </c>
      <c r="H686" s="266">
        <f>IFERROR(IF(ISNUMBER($A686),IF(AND(AH!$U$12=1,681+1=AH!$U$6),IF(AH!$U$4=0,"unavailable",INDEX('Market Data'!$AP$5:$AP$66,AH!$U$4)),IF(AH!$U$5=1,INDEX('Live History'!$H$5:$H$3004,MATCH($A686,'Live History'!$G$5:$G$3004,1)),INDEX('AH History'!$B$5:$B$1380,$K686))),NA()),NA())</f>
        <v/>
      </c>
      <c r="I686" s="34">
        <f>IFERROR(IF(ISNUMBER($A686),IF(AND(AH!$U$12=1,681+1=AH!$U$6),TODAY(),IF(AH!$U$5=1,INDEX('Live History'!$G$5:$G$3004,MATCH($A686,'Live History'!$G$5:$G$3004,1)),INDEX('AH History'!$C$5:$C$1380,$K686))),NA()),NA())</f>
        <v/>
      </c>
      <c r="J686" s="32">
        <f>IFERROR(IF(AND($F686&gt;0,$H686&gt;0,$A686-$G686&lt;=10,$A686-$I686&lt;=5,$G686&gt;0,$I686&gt;0),$F686*$H686,NA()),NA())</f>
        <v/>
      </c>
      <c r="K686" s="15">
        <f>IF($A686="","",IF(AH!$U$5=1,IFERROR(MATCH($A686,'Live History'!$A$5:$A$3004,0),0),AH!$U$7+681))</f>
        <v/>
      </c>
      <c r="L686" s="15">
        <f>IF(ISNUMBER(A686),TEXT(A686,"dd-mmm-yy"),"")</f>
        <v/>
      </c>
    </row>
    <row r="687">
      <c r="A687" s="14">
        <f>IF(OR(AH!$U$4=0,682+1&gt;AH!$U$6,AND(AH!$M$5="Bloomberg",AH!$U$5=0)),"",IFERROR(IF(AND(AH!$U$12=1,682+1=AH!$U$6),TODAY(),IF(AH!$U$5=1,INDEX('Live History'!$A$5:$A$3004,AH!$U$7+682),INDEX('AH History'!$A$5:$A$1380,AH!$U$7+682))),""))</f>
        <v/>
      </c>
      <c r="B687" s="33">
        <f>IFERROR(IF(AH!$U$11=1,NA(),$J687/$E687-1),NA())</f>
        <v/>
      </c>
      <c r="C687" s="269">
        <f>IFERROR(100*$E687/$E$5,NA())</f>
        <v/>
      </c>
      <c r="D687" s="269">
        <f>IFERROR(100*$J687/$J$5,NA())</f>
        <v/>
      </c>
      <c r="E687" s="32">
        <f>IFERROR(IF(AND(ISNUMBER($A687),N(IF(AND(AH!$U$12=1,682+1=AH!$U$6),IF(AH!$U$4=0,"unavailable",INDEX('Market Data'!$AN$5:$AN$66,AH!$U$4)),IF(AH!$U$5=1,INDEX('Live History'!$B$5:$B$3004,$K687),INDEX('AH History'!$D$5:$GG$1380,$K687,AH!$U$10))))&gt;0),IF(AND(AH!$U$12=1,682+1=AH!$U$6),IF(AH!$U$4=0,"unavailable",INDEX('Market Data'!$AN$5:$AN$66,AH!$U$4)),IF(AH!$U$5=1,INDEX('Live History'!$B$5:$B$3004,$K687),INDEX('AH History'!$D$5:$GG$1380,$K687,AH!$U$10))),NA()),NA())</f>
        <v/>
      </c>
      <c r="F687" s="32">
        <f>IFERROR(IF(ISNUMBER($A687),IF(AND(AH!$U$12=1,682+1=AH!$U$6),IF(AH!$U$4=0,"unavailable",INDEX('Market Data'!$AO$5:$AO$66,AH!$U$4)),IF(AH!$U$5=1,INDEX('Live History'!$E$5:$E$3004,MATCH($A687,'Live History'!$D$5:$D$3004,1)),INDEX('AH History'!$D$5:$GG$1380,$K687,AH!$U$10+1))),NA()),NA())</f>
        <v/>
      </c>
      <c r="G687" s="34">
        <f>IFERROR(IF(ISNUMBER($A687),IF(AND(AH!$U$12=1,682+1=AH!$U$6),IF(AH!$U$4=0,"unavailable",INDEX('Market Data'!$AK$5:$AK$66,AH!$U$4)),IF(AH!$U$5=1,INDEX('Live History'!$D$5:$D$3004,MATCH($A687,'Live History'!$D$5:$D$3004,1)),INDEX('AH History'!$D$5:$GG$1380,$K687,AH!$U$10+2))),NA()),NA())</f>
        <v/>
      </c>
      <c r="H687" s="266">
        <f>IFERROR(IF(ISNUMBER($A687),IF(AND(AH!$U$12=1,682+1=AH!$U$6),IF(AH!$U$4=0,"unavailable",INDEX('Market Data'!$AP$5:$AP$66,AH!$U$4)),IF(AH!$U$5=1,INDEX('Live History'!$H$5:$H$3004,MATCH($A687,'Live History'!$G$5:$G$3004,1)),INDEX('AH History'!$B$5:$B$1380,$K687))),NA()),NA())</f>
        <v/>
      </c>
      <c r="I687" s="34">
        <f>IFERROR(IF(ISNUMBER($A687),IF(AND(AH!$U$12=1,682+1=AH!$U$6),TODAY(),IF(AH!$U$5=1,INDEX('Live History'!$G$5:$G$3004,MATCH($A687,'Live History'!$G$5:$G$3004,1)),INDEX('AH History'!$C$5:$C$1380,$K687))),NA()),NA())</f>
        <v/>
      </c>
      <c r="J687" s="32">
        <f>IFERROR(IF(AND($F687&gt;0,$H687&gt;0,$A687-$G687&lt;=10,$A687-$I687&lt;=5,$G687&gt;0,$I687&gt;0),$F687*$H687,NA()),NA())</f>
        <v/>
      </c>
      <c r="K687" s="15">
        <f>IF($A687="","",IF(AH!$U$5=1,IFERROR(MATCH($A687,'Live History'!$A$5:$A$3004,0),0),AH!$U$7+682))</f>
        <v/>
      </c>
      <c r="L687" s="15">
        <f>IF(ISNUMBER(A687),TEXT(A687,"dd-mmm-yy"),"")</f>
        <v/>
      </c>
    </row>
    <row r="688">
      <c r="A688" s="14">
        <f>IF(OR(AH!$U$4=0,683+1&gt;AH!$U$6,AND(AH!$M$5="Bloomberg",AH!$U$5=0)),"",IFERROR(IF(AND(AH!$U$12=1,683+1=AH!$U$6),TODAY(),IF(AH!$U$5=1,INDEX('Live History'!$A$5:$A$3004,AH!$U$7+683),INDEX('AH History'!$A$5:$A$1380,AH!$U$7+683))),""))</f>
        <v/>
      </c>
      <c r="B688" s="33">
        <f>IFERROR(IF(AH!$U$11=1,NA(),$J688/$E688-1),NA())</f>
        <v/>
      </c>
      <c r="C688" s="269">
        <f>IFERROR(100*$E688/$E$5,NA())</f>
        <v/>
      </c>
      <c r="D688" s="269">
        <f>IFERROR(100*$J688/$J$5,NA())</f>
        <v/>
      </c>
      <c r="E688" s="32">
        <f>IFERROR(IF(AND(ISNUMBER($A688),N(IF(AND(AH!$U$12=1,683+1=AH!$U$6),IF(AH!$U$4=0,"unavailable",INDEX('Market Data'!$AN$5:$AN$66,AH!$U$4)),IF(AH!$U$5=1,INDEX('Live History'!$B$5:$B$3004,$K688),INDEX('AH History'!$D$5:$GG$1380,$K688,AH!$U$10))))&gt;0),IF(AND(AH!$U$12=1,683+1=AH!$U$6),IF(AH!$U$4=0,"unavailable",INDEX('Market Data'!$AN$5:$AN$66,AH!$U$4)),IF(AH!$U$5=1,INDEX('Live History'!$B$5:$B$3004,$K688),INDEX('AH History'!$D$5:$GG$1380,$K688,AH!$U$10))),NA()),NA())</f>
        <v/>
      </c>
      <c r="F688" s="32">
        <f>IFERROR(IF(ISNUMBER($A688),IF(AND(AH!$U$12=1,683+1=AH!$U$6),IF(AH!$U$4=0,"unavailable",INDEX('Market Data'!$AO$5:$AO$66,AH!$U$4)),IF(AH!$U$5=1,INDEX('Live History'!$E$5:$E$3004,MATCH($A688,'Live History'!$D$5:$D$3004,1)),INDEX('AH History'!$D$5:$GG$1380,$K688,AH!$U$10+1))),NA()),NA())</f>
        <v/>
      </c>
      <c r="G688" s="34">
        <f>IFERROR(IF(ISNUMBER($A688),IF(AND(AH!$U$12=1,683+1=AH!$U$6),IF(AH!$U$4=0,"unavailable",INDEX('Market Data'!$AK$5:$AK$66,AH!$U$4)),IF(AH!$U$5=1,INDEX('Live History'!$D$5:$D$3004,MATCH($A688,'Live History'!$D$5:$D$3004,1)),INDEX('AH History'!$D$5:$GG$1380,$K688,AH!$U$10+2))),NA()),NA())</f>
        <v/>
      </c>
      <c r="H688" s="266">
        <f>IFERROR(IF(ISNUMBER($A688),IF(AND(AH!$U$12=1,683+1=AH!$U$6),IF(AH!$U$4=0,"unavailable",INDEX('Market Data'!$AP$5:$AP$66,AH!$U$4)),IF(AH!$U$5=1,INDEX('Live History'!$H$5:$H$3004,MATCH($A688,'Live History'!$G$5:$G$3004,1)),INDEX('AH History'!$B$5:$B$1380,$K688))),NA()),NA())</f>
        <v/>
      </c>
      <c r="I688" s="34">
        <f>IFERROR(IF(ISNUMBER($A688),IF(AND(AH!$U$12=1,683+1=AH!$U$6),TODAY(),IF(AH!$U$5=1,INDEX('Live History'!$G$5:$G$3004,MATCH($A688,'Live History'!$G$5:$G$3004,1)),INDEX('AH History'!$C$5:$C$1380,$K688))),NA()),NA())</f>
        <v/>
      </c>
      <c r="J688" s="32">
        <f>IFERROR(IF(AND($F688&gt;0,$H688&gt;0,$A688-$G688&lt;=10,$A688-$I688&lt;=5,$G688&gt;0,$I688&gt;0),$F688*$H688,NA()),NA())</f>
        <v/>
      </c>
      <c r="K688" s="15">
        <f>IF($A688="","",IF(AH!$U$5=1,IFERROR(MATCH($A688,'Live History'!$A$5:$A$3004,0),0),AH!$U$7+683))</f>
        <v/>
      </c>
      <c r="L688" s="15">
        <f>IF(ISNUMBER(A688),TEXT(A688,"dd-mmm-yy"),"")</f>
        <v/>
      </c>
    </row>
    <row r="689">
      <c r="A689" s="14">
        <f>IF(OR(AH!$U$4=0,684+1&gt;AH!$U$6,AND(AH!$M$5="Bloomberg",AH!$U$5=0)),"",IFERROR(IF(AND(AH!$U$12=1,684+1=AH!$U$6),TODAY(),IF(AH!$U$5=1,INDEX('Live History'!$A$5:$A$3004,AH!$U$7+684),INDEX('AH History'!$A$5:$A$1380,AH!$U$7+684))),""))</f>
        <v/>
      </c>
      <c r="B689" s="33">
        <f>IFERROR(IF(AH!$U$11=1,NA(),$J689/$E689-1),NA())</f>
        <v/>
      </c>
      <c r="C689" s="269">
        <f>IFERROR(100*$E689/$E$5,NA())</f>
        <v/>
      </c>
      <c r="D689" s="269">
        <f>IFERROR(100*$J689/$J$5,NA())</f>
        <v/>
      </c>
      <c r="E689" s="32">
        <f>IFERROR(IF(AND(ISNUMBER($A689),N(IF(AND(AH!$U$12=1,684+1=AH!$U$6),IF(AH!$U$4=0,"unavailable",INDEX('Market Data'!$AN$5:$AN$66,AH!$U$4)),IF(AH!$U$5=1,INDEX('Live History'!$B$5:$B$3004,$K689),INDEX('AH History'!$D$5:$GG$1380,$K689,AH!$U$10))))&gt;0),IF(AND(AH!$U$12=1,684+1=AH!$U$6),IF(AH!$U$4=0,"unavailable",INDEX('Market Data'!$AN$5:$AN$66,AH!$U$4)),IF(AH!$U$5=1,INDEX('Live History'!$B$5:$B$3004,$K689),INDEX('AH History'!$D$5:$GG$1380,$K689,AH!$U$10))),NA()),NA())</f>
        <v/>
      </c>
      <c r="F689" s="32">
        <f>IFERROR(IF(ISNUMBER($A689),IF(AND(AH!$U$12=1,684+1=AH!$U$6),IF(AH!$U$4=0,"unavailable",INDEX('Market Data'!$AO$5:$AO$66,AH!$U$4)),IF(AH!$U$5=1,INDEX('Live History'!$E$5:$E$3004,MATCH($A689,'Live History'!$D$5:$D$3004,1)),INDEX('AH History'!$D$5:$GG$1380,$K689,AH!$U$10+1))),NA()),NA())</f>
        <v/>
      </c>
      <c r="G689" s="34">
        <f>IFERROR(IF(ISNUMBER($A689),IF(AND(AH!$U$12=1,684+1=AH!$U$6),IF(AH!$U$4=0,"unavailable",INDEX('Market Data'!$AK$5:$AK$66,AH!$U$4)),IF(AH!$U$5=1,INDEX('Live History'!$D$5:$D$3004,MATCH($A689,'Live History'!$D$5:$D$3004,1)),INDEX('AH History'!$D$5:$GG$1380,$K689,AH!$U$10+2))),NA()),NA())</f>
        <v/>
      </c>
      <c r="H689" s="266">
        <f>IFERROR(IF(ISNUMBER($A689),IF(AND(AH!$U$12=1,684+1=AH!$U$6),IF(AH!$U$4=0,"unavailable",INDEX('Market Data'!$AP$5:$AP$66,AH!$U$4)),IF(AH!$U$5=1,INDEX('Live History'!$H$5:$H$3004,MATCH($A689,'Live History'!$G$5:$G$3004,1)),INDEX('AH History'!$B$5:$B$1380,$K689))),NA()),NA())</f>
        <v/>
      </c>
      <c r="I689" s="34">
        <f>IFERROR(IF(ISNUMBER($A689),IF(AND(AH!$U$12=1,684+1=AH!$U$6),TODAY(),IF(AH!$U$5=1,INDEX('Live History'!$G$5:$G$3004,MATCH($A689,'Live History'!$G$5:$G$3004,1)),INDEX('AH History'!$C$5:$C$1380,$K689))),NA()),NA())</f>
        <v/>
      </c>
      <c r="J689" s="32">
        <f>IFERROR(IF(AND($F689&gt;0,$H689&gt;0,$A689-$G689&lt;=10,$A689-$I689&lt;=5,$G689&gt;0,$I689&gt;0),$F689*$H689,NA()),NA())</f>
        <v/>
      </c>
      <c r="K689" s="15">
        <f>IF($A689="","",IF(AH!$U$5=1,IFERROR(MATCH($A689,'Live History'!$A$5:$A$3004,0),0),AH!$U$7+684))</f>
        <v/>
      </c>
      <c r="L689" s="15">
        <f>IF(ISNUMBER(A689),TEXT(A689,"dd-mmm-yy"),"")</f>
        <v/>
      </c>
    </row>
    <row r="690">
      <c r="A690" s="14">
        <f>IF(OR(AH!$U$4=0,685+1&gt;AH!$U$6,AND(AH!$M$5="Bloomberg",AH!$U$5=0)),"",IFERROR(IF(AND(AH!$U$12=1,685+1=AH!$U$6),TODAY(),IF(AH!$U$5=1,INDEX('Live History'!$A$5:$A$3004,AH!$U$7+685),INDEX('AH History'!$A$5:$A$1380,AH!$U$7+685))),""))</f>
        <v/>
      </c>
      <c r="B690" s="33">
        <f>IFERROR(IF(AH!$U$11=1,NA(),$J690/$E690-1),NA())</f>
        <v/>
      </c>
      <c r="C690" s="269">
        <f>IFERROR(100*$E690/$E$5,NA())</f>
        <v/>
      </c>
      <c r="D690" s="269">
        <f>IFERROR(100*$J690/$J$5,NA())</f>
        <v/>
      </c>
      <c r="E690" s="32">
        <f>IFERROR(IF(AND(ISNUMBER($A690),N(IF(AND(AH!$U$12=1,685+1=AH!$U$6),IF(AH!$U$4=0,"unavailable",INDEX('Market Data'!$AN$5:$AN$66,AH!$U$4)),IF(AH!$U$5=1,INDEX('Live History'!$B$5:$B$3004,$K690),INDEX('AH History'!$D$5:$GG$1380,$K690,AH!$U$10))))&gt;0),IF(AND(AH!$U$12=1,685+1=AH!$U$6),IF(AH!$U$4=0,"unavailable",INDEX('Market Data'!$AN$5:$AN$66,AH!$U$4)),IF(AH!$U$5=1,INDEX('Live History'!$B$5:$B$3004,$K690),INDEX('AH History'!$D$5:$GG$1380,$K690,AH!$U$10))),NA()),NA())</f>
        <v/>
      </c>
      <c r="F690" s="32">
        <f>IFERROR(IF(ISNUMBER($A690),IF(AND(AH!$U$12=1,685+1=AH!$U$6),IF(AH!$U$4=0,"unavailable",INDEX('Market Data'!$AO$5:$AO$66,AH!$U$4)),IF(AH!$U$5=1,INDEX('Live History'!$E$5:$E$3004,MATCH($A690,'Live History'!$D$5:$D$3004,1)),INDEX('AH History'!$D$5:$GG$1380,$K690,AH!$U$10+1))),NA()),NA())</f>
        <v/>
      </c>
      <c r="G690" s="34">
        <f>IFERROR(IF(ISNUMBER($A690),IF(AND(AH!$U$12=1,685+1=AH!$U$6),IF(AH!$U$4=0,"unavailable",INDEX('Market Data'!$AK$5:$AK$66,AH!$U$4)),IF(AH!$U$5=1,INDEX('Live History'!$D$5:$D$3004,MATCH($A690,'Live History'!$D$5:$D$3004,1)),INDEX('AH History'!$D$5:$GG$1380,$K690,AH!$U$10+2))),NA()),NA())</f>
        <v/>
      </c>
      <c r="H690" s="266">
        <f>IFERROR(IF(ISNUMBER($A690),IF(AND(AH!$U$12=1,685+1=AH!$U$6),IF(AH!$U$4=0,"unavailable",INDEX('Market Data'!$AP$5:$AP$66,AH!$U$4)),IF(AH!$U$5=1,INDEX('Live History'!$H$5:$H$3004,MATCH($A690,'Live History'!$G$5:$G$3004,1)),INDEX('AH History'!$B$5:$B$1380,$K690))),NA()),NA())</f>
        <v/>
      </c>
      <c r="I690" s="34">
        <f>IFERROR(IF(ISNUMBER($A690),IF(AND(AH!$U$12=1,685+1=AH!$U$6),TODAY(),IF(AH!$U$5=1,INDEX('Live History'!$G$5:$G$3004,MATCH($A690,'Live History'!$G$5:$G$3004,1)),INDEX('AH History'!$C$5:$C$1380,$K690))),NA()),NA())</f>
        <v/>
      </c>
      <c r="J690" s="32">
        <f>IFERROR(IF(AND($F690&gt;0,$H690&gt;0,$A690-$G690&lt;=10,$A690-$I690&lt;=5,$G690&gt;0,$I690&gt;0),$F690*$H690,NA()),NA())</f>
        <v/>
      </c>
      <c r="K690" s="15">
        <f>IF($A690="","",IF(AH!$U$5=1,IFERROR(MATCH($A690,'Live History'!$A$5:$A$3004,0),0),AH!$U$7+685))</f>
        <v/>
      </c>
      <c r="L690" s="15">
        <f>IF(ISNUMBER(A690),TEXT(A690,"dd-mmm-yy"),"")</f>
        <v/>
      </c>
    </row>
    <row r="691">
      <c r="A691" s="14">
        <f>IF(OR(AH!$U$4=0,686+1&gt;AH!$U$6,AND(AH!$M$5="Bloomberg",AH!$U$5=0)),"",IFERROR(IF(AND(AH!$U$12=1,686+1=AH!$U$6),TODAY(),IF(AH!$U$5=1,INDEX('Live History'!$A$5:$A$3004,AH!$U$7+686),INDEX('AH History'!$A$5:$A$1380,AH!$U$7+686))),""))</f>
        <v/>
      </c>
      <c r="B691" s="33">
        <f>IFERROR(IF(AH!$U$11=1,NA(),$J691/$E691-1),NA())</f>
        <v/>
      </c>
      <c r="C691" s="269">
        <f>IFERROR(100*$E691/$E$5,NA())</f>
        <v/>
      </c>
      <c r="D691" s="269">
        <f>IFERROR(100*$J691/$J$5,NA())</f>
        <v/>
      </c>
      <c r="E691" s="32">
        <f>IFERROR(IF(AND(ISNUMBER($A691),N(IF(AND(AH!$U$12=1,686+1=AH!$U$6),IF(AH!$U$4=0,"unavailable",INDEX('Market Data'!$AN$5:$AN$66,AH!$U$4)),IF(AH!$U$5=1,INDEX('Live History'!$B$5:$B$3004,$K691),INDEX('AH History'!$D$5:$GG$1380,$K691,AH!$U$10))))&gt;0),IF(AND(AH!$U$12=1,686+1=AH!$U$6),IF(AH!$U$4=0,"unavailable",INDEX('Market Data'!$AN$5:$AN$66,AH!$U$4)),IF(AH!$U$5=1,INDEX('Live History'!$B$5:$B$3004,$K691),INDEX('AH History'!$D$5:$GG$1380,$K691,AH!$U$10))),NA()),NA())</f>
        <v/>
      </c>
      <c r="F691" s="32">
        <f>IFERROR(IF(ISNUMBER($A691),IF(AND(AH!$U$12=1,686+1=AH!$U$6),IF(AH!$U$4=0,"unavailable",INDEX('Market Data'!$AO$5:$AO$66,AH!$U$4)),IF(AH!$U$5=1,INDEX('Live History'!$E$5:$E$3004,MATCH($A691,'Live History'!$D$5:$D$3004,1)),INDEX('AH History'!$D$5:$GG$1380,$K691,AH!$U$10+1))),NA()),NA())</f>
        <v/>
      </c>
      <c r="G691" s="34">
        <f>IFERROR(IF(ISNUMBER($A691),IF(AND(AH!$U$12=1,686+1=AH!$U$6),IF(AH!$U$4=0,"unavailable",INDEX('Market Data'!$AK$5:$AK$66,AH!$U$4)),IF(AH!$U$5=1,INDEX('Live History'!$D$5:$D$3004,MATCH($A691,'Live History'!$D$5:$D$3004,1)),INDEX('AH History'!$D$5:$GG$1380,$K691,AH!$U$10+2))),NA()),NA())</f>
        <v/>
      </c>
      <c r="H691" s="266">
        <f>IFERROR(IF(ISNUMBER($A691),IF(AND(AH!$U$12=1,686+1=AH!$U$6),IF(AH!$U$4=0,"unavailable",INDEX('Market Data'!$AP$5:$AP$66,AH!$U$4)),IF(AH!$U$5=1,INDEX('Live History'!$H$5:$H$3004,MATCH($A691,'Live History'!$G$5:$G$3004,1)),INDEX('AH History'!$B$5:$B$1380,$K691))),NA()),NA())</f>
        <v/>
      </c>
      <c r="I691" s="34">
        <f>IFERROR(IF(ISNUMBER($A691),IF(AND(AH!$U$12=1,686+1=AH!$U$6),TODAY(),IF(AH!$U$5=1,INDEX('Live History'!$G$5:$G$3004,MATCH($A691,'Live History'!$G$5:$G$3004,1)),INDEX('AH History'!$C$5:$C$1380,$K691))),NA()),NA())</f>
        <v/>
      </c>
      <c r="J691" s="32">
        <f>IFERROR(IF(AND($F691&gt;0,$H691&gt;0,$A691-$G691&lt;=10,$A691-$I691&lt;=5,$G691&gt;0,$I691&gt;0),$F691*$H691,NA()),NA())</f>
        <v/>
      </c>
      <c r="K691" s="15">
        <f>IF($A691="","",IF(AH!$U$5=1,IFERROR(MATCH($A691,'Live History'!$A$5:$A$3004,0),0),AH!$U$7+686))</f>
        <v/>
      </c>
      <c r="L691" s="15">
        <f>IF(ISNUMBER(A691),TEXT(A691,"dd-mmm-yy"),"")</f>
        <v/>
      </c>
    </row>
    <row r="692">
      <c r="A692" s="14">
        <f>IF(OR(AH!$U$4=0,687+1&gt;AH!$U$6,AND(AH!$M$5="Bloomberg",AH!$U$5=0)),"",IFERROR(IF(AND(AH!$U$12=1,687+1=AH!$U$6),TODAY(),IF(AH!$U$5=1,INDEX('Live History'!$A$5:$A$3004,AH!$U$7+687),INDEX('AH History'!$A$5:$A$1380,AH!$U$7+687))),""))</f>
        <v/>
      </c>
      <c r="B692" s="33">
        <f>IFERROR(IF(AH!$U$11=1,NA(),$J692/$E692-1),NA())</f>
        <v/>
      </c>
      <c r="C692" s="269">
        <f>IFERROR(100*$E692/$E$5,NA())</f>
        <v/>
      </c>
      <c r="D692" s="269">
        <f>IFERROR(100*$J692/$J$5,NA())</f>
        <v/>
      </c>
      <c r="E692" s="32">
        <f>IFERROR(IF(AND(ISNUMBER($A692),N(IF(AND(AH!$U$12=1,687+1=AH!$U$6),IF(AH!$U$4=0,"unavailable",INDEX('Market Data'!$AN$5:$AN$66,AH!$U$4)),IF(AH!$U$5=1,INDEX('Live History'!$B$5:$B$3004,$K692),INDEX('AH History'!$D$5:$GG$1380,$K692,AH!$U$10))))&gt;0),IF(AND(AH!$U$12=1,687+1=AH!$U$6),IF(AH!$U$4=0,"unavailable",INDEX('Market Data'!$AN$5:$AN$66,AH!$U$4)),IF(AH!$U$5=1,INDEX('Live History'!$B$5:$B$3004,$K692),INDEX('AH History'!$D$5:$GG$1380,$K692,AH!$U$10))),NA()),NA())</f>
        <v/>
      </c>
      <c r="F692" s="32">
        <f>IFERROR(IF(ISNUMBER($A692),IF(AND(AH!$U$12=1,687+1=AH!$U$6),IF(AH!$U$4=0,"unavailable",INDEX('Market Data'!$AO$5:$AO$66,AH!$U$4)),IF(AH!$U$5=1,INDEX('Live History'!$E$5:$E$3004,MATCH($A692,'Live History'!$D$5:$D$3004,1)),INDEX('AH History'!$D$5:$GG$1380,$K692,AH!$U$10+1))),NA()),NA())</f>
        <v/>
      </c>
      <c r="G692" s="34">
        <f>IFERROR(IF(ISNUMBER($A692),IF(AND(AH!$U$12=1,687+1=AH!$U$6),IF(AH!$U$4=0,"unavailable",INDEX('Market Data'!$AK$5:$AK$66,AH!$U$4)),IF(AH!$U$5=1,INDEX('Live History'!$D$5:$D$3004,MATCH($A692,'Live History'!$D$5:$D$3004,1)),INDEX('AH History'!$D$5:$GG$1380,$K692,AH!$U$10+2))),NA()),NA())</f>
        <v/>
      </c>
      <c r="H692" s="266">
        <f>IFERROR(IF(ISNUMBER($A692),IF(AND(AH!$U$12=1,687+1=AH!$U$6),IF(AH!$U$4=0,"unavailable",INDEX('Market Data'!$AP$5:$AP$66,AH!$U$4)),IF(AH!$U$5=1,INDEX('Live History'!$H$5:$H$3004,MATCH($A692,'Live History'!$G$5:$G$3004,1)),INDEX('AH History'!$B$5:$B$1380,$K692))),NA()),NA())</f>
        <v/>
      </c>
      <c r="I692" s="34">
        <f>IFERROR(IF(ISNUMBER($A692),IF(AND(AH!$U$12=1,687+1=AH!$U$6),TODAY(),IF(AH!$U$5=1,INDEX('Live History'!$G$5:$G$3004,MATCH($A692,'Live History'!$G$5:$G$3004,1)),INDEX('AH History'!$C$5:$C$1380,$K692))),NA()),NA())</f>
        <v/>
      </c>
      <c r="J692" s="32">
        <f>IFERROR(IF(AND($F692&gt;0,$H692&gt;0,$A692-$G692&lt;=10,$A692-$I692&lt;=5,$G692&gt;0,$I692&gt;0),$F692*$H692,NA()),NA())</f>
        <v/>
      </c>
      <c r="K692" s="15">
        <f>IF($A692="","",IF(AH!$U$5=1,IFERROR(MATCH($A692,'Live History'!$A$5:$A$3004,0),0),AH!$U$7+687))</f>
        <v/>
      </c>
      <c r="L692" s="15">
        <f>IF(ISNUMBER(A692),TEXT(A692,"dd-mmm-yy"),"")</f>
        <v/>
      </c>
    </row>
    <row r="693">
      <c r="A693" s="14">
        <f>IF(OR(AH!$U$4=0,688+1&gt;AH!$U$6,AND(AH!$M$5="Bloomberg",AH!$U$5=0)),"",IFERROR(IF(AND(AH!$U$12=1,688+1=AH!$U$6),TODAY(),IF(AH!$U$5=1,INDEX('Live History'!$A$5:$A$3004,AH!$U$7+688),INDEX('AH History'!$A$5:$A$1380,AH!$U$7+688))),""))</f>
        <v/>
      </c>
      <c r="B693" s="33">
        <f>IFERROR(IF(AH!$U$11=1,NA(),$J693/$E693-1),NA())</f>
        <v/>
      </c>
      <c r="C693" s="269">
        <f>IFERROR(100*$E693/$E$5,NA())</f>
        <v/>
      </c>
      <c r="D693" s="269">
        <f>IFERROR(100*$J693/$J$5,NA())</f>
        <v/>
      </c>
      <c r="E693" s="32">
        <f>IFERROR(IF(AND(ISNUMBER($A693),N(IF(AND(AH!$U$12=1,688+1=AH!$U$6),IF(AH!$U$4=0,"unavailable",INDEX('Market Data'!$AN$5:$AN$66,AH!$U$4)),IF(AH!$U$5=1,INDEX('Live History'!$B$5:$B$3004,$K693),INDEX('AH History'!$D$5:$GG$1380,$K693,AH!$U$10))))&gt;0),IF(AND(AH!$U$12=1,688+1=AH!$U$6),IF(AH!$U$4=0,"unavailable",INDEX('Market Data'!$AN$5:$AN$66,AH!$U$4)),IF(AH!$U$5=1,INDEX('Live History'!$B$5:$B$3004,$K693),INDEX('AH History'!$D$5:$GG$1380,$K693,AH!$U$10))),NA()),NA())</f>
        <v/>
      </c>
      <c r="F693" s="32">
        <f>IFERROR(IF(ISNUMBER($A693),IF(AND(AH!$U$12=1,688+1=AH!$U$6),IF(AH!$U$4=0,"unavailable",INDEX('Market Data'!$AO$5:$AO$66,AH!$U$4)),IF(AH!$U$5=1,INDEX('Live History'!$E$5:$E$3004,MATCH($A693,'Live History'!$D$5:$D$3004,1)),INDEX('AH History'!$D$5:$GG$1380,$K693,AH!$U$10+1))),NA()),NA())</f>
        <v/>
      </c>
      <c r="G693" s="34">
        <f>IFERROR(IF(ISNUMBER($A693),IF(AND(AH!$U$12=1,688+1=AH!$U$6),IF(AH!$U$4=0,"unavailable",INDEX('Market Data'!$AK$5:$AK$66,AH!$U$4)),IF(AH!$U$5=1,INDEX('Live History'!$D$5:$D$3004,MATCH($A693,'Live History'!$D$5:$D$3004,1)),INDEX('AH History'!$D$5:$GG$1380,$K693,AH!$U$10+2))),NA()),NA())</f>
        <v/>
      </c>
      <c r="H693" s="266">
        <f>IFERROR(IF(ISNUMBER($A693),IF(AND(AH!$U$12=1,688+1=AH!$U$6),IF(AH!$U$4=0,"unavailable",INDEX('Market Data'!$AP$5:$AP$66,AH!$U$4)),IF(AH!$U$5=1,INDEX('Live History'!$H$5:$H$3004,MATCH($A693,'Live History'!$G$5:$G$3004,1)),INDEX('AH History'!$B$5:$B$1380,$K693))),NA()),NA())</f>
        <v/>
      </c>
      <c r="I693" s="34">
        <f>IFERROR(IF(ISNUMBER($A693),IF(AND(AH!$U$12=1,688+1=AH!$U$6),TODAY(),IF(AH!$U$5=1,INDEX('Live History'!$G$5:$G$3004,MATCH($A693,'Live History'!$G$5:$G$3004,1)),INDEX('AH History'!$C$5:$C$1380,$K693))),NA()),NA())</f>
        <v/>
      </c>
      <c r="J693" s="32">
        <f>IFERROR(IF(AND($F693&gt;0,$H693&gt;0,$A693-$G693&lt;=10,$A693-$I693&lt;=5,$G693&gt;0,$I693&gt;0),$F693*$H693,NA()),NA())</f>
        <v/>
      </c>
      <c r="K693" s="15">
        <f>IF($A693="","",IF(AH!$U$5=1,IFERROR(MATCH($A693,'Live History'!$A$5:$A$3004,0),0),AH!$U$7+688))</f>
        <v/>
      </c>
      <c r="L693" s="15">
        <f>IF(ISNUMBER(A693),TEXT(A693,"dd-mmm-yy"),"")</f>
        <v/>
      </c>
    </row>
    <row r="694">
      <c r="A694" s="14">
        <f>IF(OR(AH!$U$4=0,689+1&gt;AH!$U$6,AND(AH!$M$5="Bloomberg",AH!$U$5=0)),"",IFERROR(IF(AND(AH!$U$12=1,689+1=AH!$U$6),TODAY(),IF(AH!$U$5=1,INDEX('Live History'!$A$5:$A$3004,AH!$U$7+689),INDEX('AH History'!$A$5:$A$1380,AH!$U$7+689))),""))</f>
        <v/>
      </c>
      <c r="B694" s="33">
        <f>IFERROR(IF(AH!$U$11=1,NA(),$J694/$E694-1),NA())</f>
        <v/>
      </c>
      <c r="C694" s="269">
        <f>IFERROR(100*$E694/$E$5,NA())</f>
        <v/>
      </c>
      <c r="D694" s="269">
        <f>IFERROR(100*$J694/$J$5,NA())</f>
        <v/>
      </c>
      <c r="E694" s="32">
        <f>IFERROR(IF(AND(ISNUMBER($A694),N(IF(AND(AH!$U$12=1,689+1=AH!$U$6),IF(AH!$U$4=0,"unavailable",INDEX('Market Data'!$AN$5:$AN$66,AH!$U$4)),IF(AH!$U$5=1,INDEX('Live History'!$B$5:$B$3004,$K694),INDEX('AH History'!$D$5:$GG$1380,$K694,AH!$U$10))))&gt;0),IF(AND(AH!$U$12=1,689+1=AH!$U$6),IF(AH!$U$4=0,"unavailable",INDEX('Market Data'!$AN$5:$AN$66,AH!$U$4)),IF(AH!$U$5=1,INDEX('Live History'!$B$5:$B$3004,$K694),INDEX('AH History'!$D$5:$GG$1380,$K694,AH!$U$10))),NA()),NA())</f>
        <v/>
      </c>
      <c r="F694" s="32">
        <f>IFERROR(IF(ISNUMBER($A694),IF(AND(AH!$U$12=1,689+1=AH!$U$6),IF(AH!$U$4=0,"unavailable",INDEX('Market Data'!$AO$5:$AO$66,AH!$U$4)),IF(AH!$U$5=1,INDEX('Live History'!$E$5:$E$3004,MATCH($A694,'Live History'!$D$5:$D$3004,1)),INDEX('AH History'!$D$5:$GG$1380,$K694,AH!$U$10+1))),NA()),NA())</f>
        <v/>
      </c>
      <c r="G694" s="34">
        <f>IFERROR(IF(ISNUMBER($A694),IF(AND(AH!$U$12=1,689+1=AH!$U$6),IF(AH!$U$4=0,"unavailable",INDEX('Market Data'!$AK$5:$AK$66,AH!$U$4)),IF(AH!$U$5=1,INDEX('Live History'!$D$5:$D$3004,MATCH($A694,'Live History'!$D$5:$D$3004,1)),INDEX('AH History'!$D$5:$GG$1380,$K694,AH!$U$10+2))),NA()),NA())</f>
        <v/>
      </c>
      <c r="H694" s="266">
        <f>IFERROR(IF(ISNUMBER($A694),IF(AND(AH!$U$12=1,689+1=AH!$U$6),IF(AH!$U$4=0,"unavailable",INDEX('Market Data'!$AP$5:$AP$66,AH!$U$4)),IF(AH!$U$5=1,INDEX('Live History'!$H$5:$H$3004,MATCH($A694,'Live History'!$G$5:$G$3004,1)),INDEX('AH History'!$B$5:$B$1380,$K694))),NA()),NA())</f>
        <v/>
      </c>
      <c r="I694" s="34">
        <f>IFERROR(IF(ISNUMBER($A694),IF(AND(AH!$U$12=1,689+1=AH!$U$6),TODAY(),IF(AH!$U$5=1,INDEX('Live History'!$G$5:$G$3004,MATCH($A694,'Live History'!$G$5:$G$3004,1)),INDEX('AH History'!$C$5:$C$1380,$K694))),NA()),NA())</f>
        <v/>
      </c>
      <c r="J694" s="32">
        <f>IFERROR(IF(AND($F694&gt;0,$H694&gt;0,$A694-$G694&lt;=10,$A694-$I694&lt;=5,$G694&gt;0,$I694&gt;0),$F694*$H694,NA()),NA())</f>
        <v/>
      </c>
      <c r="K694" s="15">
        <f>IF($A694="","",IF(AH!$U$5=1,IFERROR(MATCH($A694,'Live History'!$A$5:$A$3004,0),0),AH!$U$7+689))</f>
        <v/>
      </c>
      <c r="L694" s="15">
        <f>IF(ISNUMBER(A694),TEXT(A694,"dd-mmm-yy"),"")</f>
        <v/>
      </c>
    </row>
    <row r="695">
      <c r="A695" s="14">
        <f>IF(OR(AH!$U$4=0,690+1&gt;AH!$U$6,AND(AH!$M$5="Bloomberg",AH!$U$5=0)),"",IFERROR(IF(AND(AH!$U$12=1,690+1=AH!$U$6),TODAY(),IF(AH!$U$5=1,INDEX('Live History'!$A$5:$A$3004,AH!$U$7+690),INDEX('AH History'!$A$5:$A$1380,AH!$U$7+690))),""))</f>
        <v/>
      </c>
      <c r="B695" s="33">
        <f>IFERROR(IF(AH!$U$11=1,NA(),$J695/$E695-1),NA())</f>
        <v/>
      </c>
      <c r="C695" s="269">
        <f>IFERROR(100*$E695/$E$5,NA())</f>
        <v/>
      </c>
      <c r="D695" s="269">
        <f>IFERROR(100*$J695/$J$5,NA())</f>
        <v/>
      </c>
      <c r="E695" s="32">
        <f>IFERROR(IF(AND(ISNUMBER($A695),N(IF(AND(AH!$U$12=1,690+1=AH!$U$6),IF(AH!$U$4=0,"unavailable",INDEX('Market Data'!$AN$5:$AN$66,AH!$U$4)),IF(AH!$U$5=1,INDEX('Live History'!$B$5:$B$3004,$K695),INDEX('AH History'!$D$5:$GG$1380,$K695,AH!$U$10))))&gt;0),IF(AND(AH!$U$12=1,690+1=AH!$U$6),IF(AH!$U$4=0,"unavailable",INDEX('Market Data'!$AN$5:$AN$66,AH!$U$4)),IF(AH!$U$5=1,INDEX('Live History'!$B$5:$B$3004,$K695),INDEX('AH History'!$D$5:$GG$1380,$K695,AH!$U$10))),NA()),NA())</f>
        <v/>
      </c>
      <c r="F695" s="32">
        <f>IFERROR(IF(ISNUMBER($A695),IF(AND(AH!$U$12=1,690+1=AH!$U$6),IF(AH!$U$4=0,"unavailable",INDEX('Market Data'!$AO$5:$AO$66,AH!$U$4)),IF(AH!$U$5=1,INDEX('Live History'!$E$5:$E$3004,MATCH($A695,'Live History'!$D$5:$D$3004,1)),INDEX('AH History'!$D$5:$GG$1380,$K695,AH!$U$10+1))),NA()),NA())</f>
        <v/>
      </c>
      <c r="G695" s="34">
        <f>IFERROR(IF(ISNUMBER($A695),IF(AND(AH!$U$12=1,690+1=AH!$U$6),IF(AH!$U$4=0,"unavailable",INDEX('Market Data'!$AK$5:$AK$66,AH!$U$4)),IF(AH!$U$5=1,INDEX('Live History'!$D$5:$D$3004,MATCH($A695,'Live History'!$D$5:$D$3004,1)),INDEX('AH History'!$D$5:$GG$1380,$K695,AH!$U$10+2))),NA()),NA())</f>
        <v/>
      </c>
      <c r="H695" s="266">
        <f>IFERROR(IF(ISNUMBER($A695),IF(AND(AH!$U$12=1,690+1=AH!$U$6),IF(AH!$U$4=0,"unavailable",INDEX('Market Data'!$AP$5:$AP$66,AH!$U$4)),IF(AH!$U$5=1,INDEX('Live History'!$H$5:$H$3004,MATCH($A695,'Live History'!$G$5:$G$3004,1)),INDEX('AH History'!$B$5:$B$1380,$K695))),NA()),NA())</f>
        <v/>
      </c>
      <c r="I695" s="34">
        <f>IFERROR(IF(ISNUMBER($A695),IF(AND(AH!$U$12=1,690+1=AH!$U$6),TODAY(),IF(AH!$U$5=1,INDEX('Live History'!$G$5:$G$3004,MATCH($A695,'Live History'!$G$5:$G$3004,1)),INDEX('AH History'!$C$5:$C$1380,$K695))),NA()),NA())</f>
        <v/>
      </c>
      <c r="J695" s="32">
        <f>IFERROR(IF(AND($F695&gt;0,$H695&gt;0,$A695-$G695&lt;=10,$A695-$I695&lt;=5,$G695&gt;0,$I695&gt;0),$F695*$H695,NA()),NA())</f>
        <v/>
      </c>
      <c r="K695" s="15">
        <f>IF($A695="","",IF(AH!$U$5=1,IFERROR(MATCH($A695,'Live History'!$A$5:$A$3004,0),0),AH!$U$7+690))</f>
        <v/>
      </c>
      <c r="L695" s="15">
        <f>IF(ISNUMBER(A695),TEXT(A695,"dd-mmm-yy"),"")</f>
        <v/>
      </c>
    </row>
    <row r="696">
      <c r="A696" s="14">
        <f>IF(OR(AH!$U$4=0,691+1&gt;AH!$U$6,AND(AH!$M$5="Bloomberg",AH!$U$5=0)),"",IFERROR(IF(AND(AH!$U$12=1,691+1=AH!$U$6),TODAY(),IF(AH!$U$5=1,INDEX('Live History'!$A$5:$A$3004,AH!$U$7+691),INDEX('AH History'!$A$5:$A$1380,AH!$U$7+691))),""))</f>
        <v/>
      </c>
      <c r="B696" s="33">
        <f>IFERROR(IF(AH!$U$11=1,NA(),$J696/$E696-1),NA())</f>
        <v/>
      </c>
      <c r="C696" s="269">
        <f>IFERROR(100*$E696/$E$5,NA())</f>
        <v/>
      </c>
      <c r="D696" s="269">
        <f>IFERROR(100*$J696/$J$5,NA())</f>
        <v/>
      </c>
      <c r="E696" s="32">
        <f>IFERROR(IF(AND(ISNUMBER($A696),N(IF(AND(AH!$U$12=1,691+1=AH!$U$6),IF(AH!$U$4=0,"unavailable",INDEX('Market Data'!$AN$5:$AN$66,AH!$U$4)),IF(AH!$U$5=1,INDEX('Live History'!$B$5:$B$3004,$K696),INDEX('AH History'!$D$5:$GG$1380,$K696,AH!$U$10))))&gt;0),IF(AND(AH!$U$12=1,691+1=AH!$U$6),IF(AH!$U$4=0,"unavailable",INDEX('Market Data'!$AN$5:$AN$66,AH!$U$4)),IF(AH!$U$5=1,INDEX('Live History'!$B$5:$B$3004,$K696),INDEX('AH History'!$D$5:$GG$1380,$K696,AH!$U$10))),NA()),NA())</f>
        <v/>
      </c>
      <c r="F696" s="32">
        <f>IFERROR(IF(ISNUMBER($A696),IF(AND(AH!$U$12=1,691+1=AH!$U$6),IF(AH!$U$4=0,"unavailable",INDEX('Market Data'!$AO$5:$AO$66,AH!$U$4)),IF(AH!$U$5=1,INDEX('Live History'!$E$5:$E$3004,MATCH($A696,'Live History'!$D$5:$D$3004,1)),INDEX('AH History'!$D$5:$GG$1380,$K696,AH!$U$10+1))),NA()),NA())</f>
        <v/>
      </c>
      <c r="G696" s="34">
        <f>IFERROR(IF(ISNUMBER($A696),IF(AND(AH!$U$12=1,691+1=AH!$U$6),IF(AH!$U$4=0,"unavailable",INDEX('Market Data'!$AK$5:$AK$66,AH!$U$4)),IF(AH!$U$5=1,INDEX('Live History'!$D$5:$D$3004,MATCH($A696,'Live History'!$D$5:$D$3004,1)),INDEX('AH History'!$D$5:$GG$1380,$K696,AH!$U$10+2))),NA()),NA())</f>
        <v/>
      </c>
      <c r="H696" s="266">
        <f>IFERROR(IF(ISNUMBER($A696),IF(AND(AH!$U$12=1,691+1=AH!$U$6),IF(AH!$U$4=0,"unavailable",INDEX('Market Data'!$AP$5:$AP$66,AH!$U$4)),IF(AH!$U$5=1,INDEX('Live History'!$H$5:$H$3004,MATCH($A696,'Live History'!$G$5:$G$3004,1)),INDEX('AH History'!$B$5:$B$1380,$K696))),NA()),NA())</f>
        <v/>
      </c>
      <c r="I696" s="34">
        <f>IFERROR(IF(ISNUMBER($A696),IF(AND(AH!$U$12=1,691+1=AH!$U$6),TODAY(),IF(AH!$U$5=1,INDEX('Live History'!$G$5:$G$3004,MATCH($A696,'Live History'!$G$5:$G$3004,1)),INDEX('AH History'!$C$5:$C$1380,$K696))),NA()),NA())</f>
        <v/>
      </c>
      <c r="J696" s="32">
        <f>IFERROR(IF(AND($F696&gt;0,$H696&gt;0,$A696-$G696&lt;=10,$A696-$I696&lt;=5,$G696&gt;0,$I696&gt;0),$F696*$H696,NA()),NA())</f>
        <v/>
      </c>
      <c r="K696" s="15">
        <f>IF($A696="","",IF(AH!$U$5=1,IFERROR(MATCH($A696,'Live History'!$A$5:$A$3004,0),0),AH!$U$7+691))</f>
        <v/>
      </c>
      <c r="L696" s="15">
        <f>IF(ISNUMBER(A696),TEXT(A696,"dd-mmm-yy"),"")</f>
        <v/>
      </c>
    </row>
    <row r="697">
      <c r="A697" s="14">
        <f>IF(OR(AH!$U$4=0,692+1&gt;AH!$U$6,AND(AH!$M$5="Bloomberg",AH!$U$5=0)),"",IFERROR(IF(AND(AH!$U$12=1,692+1=AH!$U$6),TODAY(),IF(AH!$U$5=1,INDEX('Live History'!$A$5:$A$3004,AH!$U$7+692),INDEX('AH History'!$A$5:$A$1380,AH!$U$7+692))),""))</f>
        <v/>
      </c>
      <c r="B697" s="33">
        <f>IFERROR(IF(AH!$U$11=1,NA(),$J697/$E697-1),NA())</f>
        <v/>
      </c>
      <c r="C697" s="269">
        <f>IFERROR(100*$E697/$E$5,NA())</f>
        <v/>
      </c>
      <c r="D697" s="269">
        <f>IFERROR(100*$J697/$J$5,NA())</f>
        <v/>
      </c>
      <c r="E697" s="32">
        <f>IFERROR(IF(AND(ISNUMBER($A697),N(IF(AND(AH!$U$12=1,692+1=AH!$U$6),IF(AH!$U$4=0,"unavailable",INDEX('Market Data'!$AN$5:$AN$66,AH!$U$4)),IF(AH!$U$5=1,INDEX('Live History'!$B$5:$B$3004,$K697),INDEX('AH History'!$D$5:$GG$1380,$K697,AH!$U$10))))&gt;0),IF(AND(AH!$U$12=1,692+1=AH!$U$6),IF(AH!$U$4=0,"unavailable",INDEX('Market Data'!$AN$5:$AN$66,AH!$U$4)),IF(AH!$U$5=1,INDEX('Live History'!$B$5:$B$3004,$K697),INDEX('AH History'!$D$5:$GG$1380,$K697,AH!$U$10))),NA()),NA())</f>
        <v/>
      </c>
      <c r="F697" s="32">
        <f>IFERROR(IF(ISNUMBER($A697),IF(AND(AH!$U$12=1,692+1=AH!$U$6),IF(AH!$U$4=0,"unavailable",INDEX('Market Data'!$AO$5:$AO$66,AH!$U$4)),IF(AH!$U$5=1,INDEX('Live History'!$E$5:$E$3004,MATCH($A697,'Live History'!$D$5:$D$3004,1)),INDEX('AH History'!$D$5:$GG$1380,$K697,AH!$U$10+1))),NA()),NA())</f>
        <v/>
      </c>
      <c r="G697" s="34">
        <f>IFERROR(IF(ISNUMBER($A697),IF(AND(AH!$U$12=1,692+1=AH!$U$6),IF(AH!$U$4=0,"unavailable",INDEX('Market Data'!$AK$5:$AK$66,AH!$U$4)),IF(AH!$U$5=1,INDEX('Live History'!$D$5:$D$3004,MATCH($A697,'Live History'!$D$5:$D$3004,1)),INDEX('AH History'!$D$5:$GG$1380,$K697,AH!$U$10+2))),NA()),NA())</f>
        <v/>
      </c>
      <c r="H697" s="266">
        <f>IFERROR(IF(ISNUMBER($A697),IF(AND(AH!$U$12=1,692+1=AH!$U$6),IF(AH!$U$4=0,"unavailable",INDEX('Market Data'!$AP$5:$AP$66,AH!$U$4)),IF(AH!$U$5=1,INDEX('Live History'!$H$5:$H$3004,MATCH($A697,'Live History'!$G$5:$G$3004,1)),INDEX('AH History'!$B$5:$B$1380,$K697))),NA()),NA())</f>
        <v/>
      </c>
      <c r="I697" s="34">
        <f>IFERROR(IF(ISNUMBER($A697),IF(AND(AH!$U$12=1,692+1=AH!$U$6),TODAY(),IF(AH!$U$5=1,INDEX('Live History'!$G$5:$G$3004,MATCH($A697,'Live History'!$G$5:$G$3004,1)),INDEX('AH History'!$C$5:$C$1380,$K697))),NA()),NA())</f>
        <v/>
      </c>
      <c r="J697" s="32">
        <f>IFERROR(IF(AND($F697&gt;0,$H697&gt;0,$A697-$G697&lt;=10,$A697-$I697&lt;=5,$G697&gt;0,$I697&gt;0),$F697*$H697,NA()),NA())</f>
        <v/>
      </c>
      <c r="K697" s="15">
        <f>IF($A697="","",IF(AH!$U$5=1,IFERROR(MATCH($A697,'Live History'!$A$5:$A$3004,0),0),AH!$U$7+692))</f>
        <v/>
      </c>
      <c r="L697" s="15">
        <f>IF(ISNUMBER(A697),TEXT(A697,"dd-mmm-yy"),"")</f>
        <v/>
      </c>
    </row>
    <row r="698">
      <c r="A698" s="14">
        <f>IF(OR(AH!$U$4=0,693+1&gt;AH!$U$6,AND(AH!$M$5="Bloomberg",AH!$U$5=0)),"",IFERROR(IF(AND(AH!$U$12=1,693+1=AH!$U$6),TODAY(),IF(AH!$U$5=1,INDEX('Live History'!$A$5:$A$3004,AH!$U$7+693),INDEX('AH History'!$A$5:$A$1380,AH!$U$7+693))),""))</f>
        <v/>
      </c>
      <c r="B698" s="33">
        <f>IFERROR(IF(AH!$U$11=1,NA(),$J698/$E698-1),NA())</f>
        <v/>
      </c>
      <c r="C698" s="269">
        <f>IFERROR(100*$E698/$E$5,NA())</f>
        <v/>
      </c>
      <c r="D698" s="269">
        <f>IFERROR(100*$J698/$J$5,NA())</f>
        <v/>
      </c>
      <c r="E698" s="32">
        <f>IFERROR(IF(AND(ISNUMBER($A698),N(IF(AND(AH!$U$12=1,693+1=AH!$U$6),IF(AH!$U$4=0,"unavailable",INDEX('Market Data'!$AN$5:$AN$66,AH!$U$4)),IF(AH!$U$5=1,INDEX('Live History'!$B$5:$B$3004,$K698),INDEX('AH History'!$D$5:$GG$1380,$K698,AH!$U$10))))&gt;0),IF(AND(AH!$U$12=1,693+1=AH!$U$6),IF(AH!$U$4=0,"unavailable",INDEX('Market Data'!$AN$5:$AN$66,AH!$U$4)),IF(AH!$U$5=1,INDEX('Live History'!$B$5:$B$3004,$K698),INDEX('AH History'!$D$5:$GG$1380,$K698,AH!$U$10))),NA()),NA())</f>
        <v/>
      </c>
      <c r="F698" s="32">
        <f>IFERROR(IF(ISNUMBER($A698),IF(AND(AH!$U$12=1,693+1=AH!$U$6),IF(AH!$U$4=0,"unavailable",INDEX('Market Data'!$AO$5:$AO$66,AH!$U$4)),IF(AH!$U$5=1,INDEX('Live History'!$E$5:$E$3004,MATCH($A698,'Live History'!$D$5:$D$3004,1)),INDEX('AH History'!$D$5:$GG$1380,$K698,AH!$U$10+1))),NA()),NA())</f>
        <v/>
      </c>
      <c r="G698" s="34">
        <f>IFERROR(IF(ISNUMBER($A698),IF(AND(AH!$U$12=1,693+1=AH!$U$6),IF(AH!$U$4=0,"unavailable",INDEX('Market Data'!$AK$5:$AK$66,AH!$U$4)),IF(AH!$U$5=1,INDEX('Live History'!$D$5:$D$3004,MATCH($A698,'Live History'!$D$5:$D$3004,1)),INDEX('AH History'!$D$5:$GG$1380,$K698,AH!$U$10+2))),NA()),NA())</f>
        <v/>
      </c>
      <c r="H698" s="266">
        <f>IFERROR(IF(ISNUMBER($A698),IF(AND(AH!$U$12=1,693+1=AH!$U$6),IF(AH!$U$4=0,"unavailable",INDEX('Market Data'!$AP$5:$AP$66,AH!$U$4)),IF(AH!$U$5=1,INDEX('Live History'!$H$5:$H$3004,MATCH($A698,'Live History'!$G$5:$G$3004,1)),INDEX('AH History'!$B$5:$B$1380,$K698))),NA()),NA())</f>
        <v/>
      </c>
      <c r="I698" s="34">
        <f>IFERROR(IF(ISNUMBER($A698),IF(AND(AH!$U$12=1,693+1=AH!$U$6),TODAY(),IF(AH!$U$5=1,INDEX('Live History'!$G$5:$G$3004,MATCH($A698,'Live History'!$G$5:$G$3004,1)),INDEX('AH History'!$C$5:$C$1380,$K698))),NA()),NA())</f>
        <v/>
      </c>
      <c r="J698" s="32">
        <f>IFERROR(IF(AND($F698&gt;0,$H698&gt;0,$A698-$G698&lt;=10,$A698-$I698&lt;=5,$G698&gt;0,$I698&gt;0),$F698*$H698,NA()),NA())</f>
        <v/>
      </c>
      <c r="K698" s="15">
        <f>IF($A698="","",IF(AH!$U$5=1,IFERROR(MATCH($A698,'Live History'!$A$5:$A$3004,0),0),AH!$U$7+693))</f>
        <v/>
      </c>
      <c r="L698" s="15">
        <f>IF(ISNUMBER(A698),TEXT(A698,"dd-mmm-yy"),"")</f>
        <v/>
      </c>
    </row>
    <row r="699">
      <c r="A699" s="14">
        <f>IF(OR(AH!$U$4=0,694+1&gt;AH!$U$6,AND(AH!$M$5="Bloomberg",AH!$U$5=0)),"",IFERROR(IF(AND(AH!$U$12=1,694+1=AH!$U$6),TODAY(),IF(AH!$U$5=1,INDEX('Live History'!$A$5:$A$3004,AH!$U$7+694),INDEX('AH History'!$A$5:$A$1380,AH!$U$7+694))),""))</f>
        <v/>
      </c>
      <c r="B699" s="33">
        <f>IFERROR(IF(AH!$U$11=1,NA(),$J699/$E699-1),NA())</f>
        <v/>
      </c>
      <c r="C699" s="269">
        <f>IFERROR(100*$E699/$E$5,NA())</f>
        <v/>
      </c>
      <c r="D699" s="269">
        <f>IFERROR(100*$J699/$J$5,NA())</f>
        <v/>
      </c>
      <c r="E699" s="32">
        <f>IFERROR(IF(AND(ISNUMBER($A699),N(IF(AND(AH!$U$12=1,694+1=AH!$U$6),IF(AH!$U$4=0,"unavailable",INDEX('Market Data'!$AN$5:$AN$66,AH!$U$4)),IF(AH!$U$5=1,INDEX('Live History'!$B$5:$B$3004,$K699),INDEX('AH History'!$D$5:$GG$1380,$K699,AH!$U$10))))&gt;0),IF(AND(AH!$U$12=1,694+1=AH!$U$6),IF(AH!$U$4=0,"unavailable",INDEX('Market Data'!$AN$5:$AN$66,AH!$U$4)),IF(AH!$U$5=1,INDEX('Live History'!$B$5:$B$3004,$K699),INDEX('AH History'!$D$5:$GG$1380,$K699,AH!$U$10))),NA()),NA())</f>
        <v/>
      </c>
      <c r="F699" s="32">
        <f>IFERROR(IF(ISNUMBER($A699),IF(AND(AH!$U$12=1,694+1=AH!$U$6),IF(AH!$U$4=0,"unavailable",INDEX('Market Data'!$AO$5:$AO$66,AH!$U$4)),IF(AH!$U$5=1,INDEX('Live History'!$E$5:$E$3004,MATCH($A699,'Live History'!$D$5:$D$3004,1)),INDEX('AH History'!$D$5:$GG$1380,$K699,AH!$U$10+1))),NA()),NA())</f>
        <v/>
      </c>
      <c r="G699" s="34">
        <f>IFERROR(IF(ISNUMBER($A699),IF(AND(AH!$U$12=1,694+1=AH!$U$6),IF(AH!$U$4=0,"unavailable",INDEX('Market Data'!$AK$5:$AK$66,AH!$U$4)),IF(AH!$U$5=1,INDEX('Live History'!$D$5:$D$3004,MATCH($A699,'Live History'!$D$5:$D$3004,1)),INDEX('AH History'!$D$5:$GG$1380,$K699,AH!$U$10+2))),NA()),NA())</f>
        <v/>
      </c>
      <c r="H699" s="266">
        <f>IFERROR(IF(ISNUMBER($A699),IF(AND(AH!$U$12=1,694+1=AH!$U$6),IF(AH!$U$4=0,"unavailable",INDEX('Market Data'!$AP$5:$AP$66,AH!$U$4)),IF(AH!$U$5=1,INDEX('Live History'!$H$5:$H$3004,MATCH($A699,'Live History'!$G$5:$G$3004,1)),INDEX('AH History'!$B$5:$B$1380,$K699))),NA()),NA())</f>
        <v/>
      </c>
      <c r="I699" s="34">
        <f>IFERROR(IF(ISNUMBER($A699),IF(AND(AH!$U$12=1,694+1=AH!$U$6),TODAY(),IF(AH!$U$5=1,INDEX('Live History'!$G$5:$G$3004,MATCH($A699,'Live History'!$G$5:$G$3004,1)),INDEX('AH History'!$C$5:$C$1380,$K699))),NA()),NA())</f>
        <v/>
      </c>
      <c r="J699" s="32">
        <f>IFERROR(IF(AND($F699&gt;0,$H699&gt;0,$A699-$G699&lt;=10,$A699-$I699&lt;=5,$G699&gt;0,$I699&gt;0),$F699*$H699,NA()),NA())</f>
        <v/>
      </c>
      <c r="K699" s="15">
        <f>IF($A699="","",IF(AH!$U$5=1,IFERROR(MATCH($A699,'Live History'!$A$5:$A$3004,0),0),AH!$U$7+694))</f>
        <v/>
      </c>
      <c r="L699" s="15">
        <f>IF(ISNUMBER(A699),TEXT(A699,"dd-mmm-yy"),"")</f>
        <v/>
      </c>
    </row>
    <row r="700">
      <c r="A700" s="14">
        <f>IF(OR(AH!$U$4=0,695+1&gt;AH!$U$6,AND(AH!$M$5="Bloomberg",AH!$U$5=0)),"",IFERROR(IF(AND(AH!$U$12=1,695+1=AH!$U$6),TODAY(),IF(AH!$U$5=1,INDEX('Live History'!$A$5:$A$3004,AH!$U$7+695),INDEX('AH History'!$A$5:$A$1380,AH!$U$7+695))),""))</f>
        <v/>
      </c>
      <c r="B700" s="33">
        <f>IFERROR(IF(AH!$U$11=1,NA(),$J700/$E700-1),NA())</f>
        <v/>
      </c>
      <c r="C700" s="269">
        <f>IFERROR(100*$E700/$E$5,NA())</f>
        <v/>
      </c>
      <c r="D700" s="269">
        <f>IFERROR(100*$J700/$J$5,NA())</f>
        <v/>
      </c>
      <c r="E700" s="32">
        <f>IFERROR(IF(AND(ISNUMBER($A700),N(IF(AND(AH!$U$12=1,695+1=AH!$U$6),IF(AH!$U$4=0,"unavailable",INDEX('Market Data'!$AN$5:$AN$66,AH!$U$4)),IF(AH!$U$5=1,INDEX('Live History'!$B$5:$B$3004,$K700),INDEX('AH History'!$D$5:$GG$1380,$K700,AH!$U$10))))&gt;0),IF(AND(AH!$U$12=1,695+1=AH!$U$6),IF(AH!$U$4=0,"unavailable",INDEX('Market Data'!$AN$5:$AN$66,AH!$U$4)),IF(AH!$U$5=1,INDEX('Live History'!$B$5:$B$3004,$K700),INDEX('AH History'!$D$5:$GG$1380,$K700,AH!$U$10))),NA()),NA())</f>
        <v/>
      </c>
      <c r="F700" s="32">
        <f>IFERROR(IF(ISNUMBER($A700),IF(AND(AH!$U$12=1,695+1=AH!$U$6),IF(AH!$U$4=0,"unavailable",INDEX('Market Data'!$AO$5:$AO$66,AH!$U$4)),IF(AH!$U$5=1,INDEX('Live History'!$E$5:$E$3004,MATCH($A700,'Live History'!$D$5:$D$3004,1)),INDEX('AH History'!$D$5:$GG$1380,$K700,AH!$U$10+1))),NA()),NA())</f>
        <v/>
      </c>
      <c r="G700" s="34">
        <f>IFERROR(IF(ISNUMBER($A700),IF(AND(AH!$U$12=1,695+1=AH!$U$6),IF(AH!$U$4=0,"unavailable",INDEX('Market Data'!$AK$5:$AK$66,AH!$U$4)),IF(AH!$U$5=1,INDEX('Live History'!$D$5:$D$3004,MATCH($A700,'Live History'!$D$5:$D$3004,1)),INDEX('AH History'!$D$5:$GG$1380,$K700,AH!$U$10+2))),NA()),NA())</f>
        <v/>
      </c>
      <c r="H700" s="266">
        <f>IFERROR(IF(ISNUMBER($A700),IF(AND(AH!$U$12=1,695+1=AH!$U$6),IF(AH!$U$4=0,"unavailable",INDEX('Market Data'!$AP$5:$AP$66,AH!$U$4)),IF(AH!$U$5=1,INDEX('Live History'!$H$5:$H$3004,MATCH($A700,'Live History'!$G$5:$G$3004,1)),INDEX('AH History'!$B$5:$B$1380,$K700))),NA()),NA())</f>
        <v/>
      </c>
      <c r="I700" s="34">
        <f>IFERROR(IF(ISNUMBER($A700),IF(AND(AH!$U$12=1,695+1=AH!$U$6),TODAY(),IF(AH!$U$5=1,INDEX('Live History'!$G$5:$G$3004,MATCH($A700,'Live History'!$G$5:$G$3004,1)),INDEX('AH History'!$C$5:$C$1380,$K700))),NA()),NA())</f>
        <v/>
      </c>
      <c r="J700" s="32">
        <f>IFERROR(IF(AND($F700&gt;0,$H700&gt;0,$A700-$G700&lt;=10,$A700-$I700&lt;=5,$G700&gt;0,$I700&gt;0),$F700*$H700,NA()),NA())</f>
        <v/>
      </c>
      <c r="K700" s="15">
        <f>IF($A700="","",IF(AH!$U$5=1,IFERROR(MATCH($A700,'Live History'!$A$5:$A$3004,0),0),AH!$U$7+695))</f>
        <v/>
      </c>
      <c r="L700" s="15">
        <f>IF(ISNUMBER(A700),TEXT(A700,"dd-mmm-yy"),"")</f>
        <v/>
      </c>
    </row>
    <row r="701">
      <c r="A701" s="14">
        <f>IF(OR(AH!$U$4=0,696+1&gt;AH!$U$6,AND(AH!$M$5="Bloomberg",AH!$U$5=0)),"",IFERROR(IF(AND(AH!$U$12=1,696+1=AH!$U$6),TODAY(),IF(AH!$U$5=1,INDEX('Live History'!$A$5:$A$3004,AH!$U$7+696),INDEX('AH History'!$A$5:$A$1380,AH!$U$7+696))),""))</f>
        <v/>
      </c>
      <c r="B701" s="33">
        <f>IFERROR(IF(AH!$U$11=1,NA(),$J701/$E701-1),NA())</f>
        <v/>
      </c>
      <c r="C701" s="269">
        <f>IFERROR(100*$E701/$E$5,NA())</f>
        <v/>
      </c>
      <c r="D701" s="269">
        <f>IFERROR(100*$J701/$J$5,NA())</f>
        <v/>
      </c>
      <c r="E701" s="32">
        <f>IFERROR(IF(AND(ISNUMBER($A701),N(IF(AND(AH!$U$12=1,696+1=AH!$U$6),IF(AH!$U$4=0,"unavailable",INDEX('Market Data'!$AN$5:$AN$66,AH!$U$4)),IF(AH!$U$5=1,INDEX('Live History'!$B$5:$B$3004,$K701),INDEX('AH History'!$D$5:$GG$1380,$K701,AH!$U$10))))&gt;0),IF(AND(AH!$U$12=1,696+1=AH!$U$6),IF(AH!$U$4=0,"unavailable",INDEX('Market Data'!$AN$5:$AN$66,AH!$U$4)),IF(AH!$U$5=1,INDEX('Live History'!$B$5:$B$3004,$K701),INDEX('AH History'!$D$5:$GG$1380,$K701,AH!$U$10))),NA()),NA())</f>
        <v/>
      </c>
      <c r="F701" s="32">
        <f>IFERROR(IF(ISNUMBER($A701),IF(AND(AH!$U$12=1,696+1=AH!$U$6),IF(AH!$U$4=0,"unavailable",INDEX('Market Data'!$AO$5:$AO$66,AH!$U$4)),IF(AH!$U$5=1,INDEX('Live History'!$E$5:$E$3004,MATCH($A701,'Live History'!$D$5:$D$3004,1)),INDEX('AH History'!$D$5:$GG$1380,$K701,AH!$U$10+1))),NA()),NA())</f>
        <v/>
      </c>
      <c r="G701" s="34">
        <f>IFERROR(IF(ISNUMBER($A701),IF(AND(AH!$U$12=1,696+1=AH!$U$6),IF(AH!$U$4=0,"unavailable",INDEX('Market Data'!$AK$5:$AK$66,AH!$U$4)),IF(AH!$U$5=1,INDEX('Live History'!$D$5:$D$3004,MATCH($A701,'Live History'!$D$5:$D$3004,1)),INDEX('AH History'!$D$5:$GG$1380,$K701,AH!$U$10+2))),NA()),NA())</f>
        <v/>
      </c>
      <c r="H701" s="266">
        <f>IFERROR(IF(ISNUMBER($A701),IF(AND(AH!$U$12=1,696+1=AH!$U$6),IF(AH!$U$4=0,"unavailable",INDEX('Market Data'!$AP$5:$AP$66,AH!$U$4)),IF(AH!$U$5=1,INDEX('Live History'!$H$5:$H$3004,MATCH($A701,'Live History'!$G$5:$G$3004,1)),INDEX('AH History'!$B$5:$B$1380,$K701))),NA()),NA())</f>
        <v/>
      </c>
      <c r="I701" s="34">
        <f>IFERROR(IF(ISNUMBER($A701),IF(AND(AH!$U$12=1,696+1=AH!$U$6),TODAY(),IF(AH!$U$5=1,INDEX('Live History'!$G$5:$G$3004,MATCH($A701,'Live History'!$G$5:$G$3004,1)),INDEX('AH History'!$C$5:$C$1380,$K701))),NA()),NA())</f>
        <v/>
      </c>
      <c r="J701" s="32">
        <f>IFERROR(IF(AND($F701&gt;0,$H701&gt;0,$A701-$G701&lt;=10,$A701-$I701&lt;=5,$G701&gt;0,$I701&gt;0),$F701*$H701,NA()),NA())</f>
        <v/>
      </c>
      <c r="K701" s="15">
        <f>IF($A701="","",IF(AH!$U$5=1,IFERROR(MATCH($A701,'Live History'!$A$5:$A$3004,0),0),AH!$U$7+696))</f>
        <v/>
      </c>
      <c r="L701" s="15">
        <f>IF(ISNUMBER(A701),TEXT(A701,"dd-mmm-yy"),"")</f>
        <v/>
      </c>
    </row>
    <row r="702">
      <c r="A702" s="14">
        <f>IF(OR(AH!$U$4=0,697+1&gt;AH!$U$6,AND(AH!$M$5="Bloomberg",AH!$U$5=0)),"",IFERROR(IF(AND(AH!$U$12=1,697+1=AH!$U$6),TODAY(),IF(AH!$U$5=1,INDEX('Live History'!$A$5:$A$3004,AH!$U$7+697),INDEX('AH History'!$A$5:$A$1380,AH!$U$7+697))),""))</f>
        <v/>
      </c>
      <c r="B702" s="33">
        <f>IFERROR(IF(AH!$U$11=1,NA(),$J702/$E702-1),NA())</f>
        <v/>
      </c>
      <c r="C702" s="269">
        <f>IFERROR(100*$E702/$E$5,NA())</f>
        <v/>
      </c>
      <c r="D702" s="269">
        <f>IFERROR(100*$J702/$J$5,NA())</f>
        <v/>
      </c>
      <c r="E702" s="32">
        <f>IFERROR(IF(AND(ISNUMBER($A702),N(IF(AND(AH!$U$12=1,697+1=AH!$U$6),IF(AH!$U$4=0,"unavailable",INDEX('Market Data'!$AN$5:$AN$66,AH!$U$4)),IF(AH!$U$5=1,INDEX('Live History'!$B$5:$B$3004,$K702),INDEX('AH History'!$D$5:$GG$1380,$K702,AH!$U$10))))&gt;0),IF(AND(AH!$U$12=1,697+1=AH!$U$6),IF(AH!$U$4=0,"unavailable",INDEX('Market Data'!$AN$5:$AN$66,AH!$U$4)),IF(AH!$U$5=1,INDEX('Live History'!$B$5:$B$3004,$K702),INDEX('AH History'!$D$5:$GG$1380,$K702,AH!$U$10))),NA()),NA())</f>
        <v/>
      </c>
      <c r="F702" s="32">
        <f>IFERROR(IF(ISNUMBER($A702),IF(AND(AH!$U$12=1,697+1=AH!$U$6),IF(AH!$U$4=0,"unavailable",INDEX('Market Data'!$AO$5:$AO$66,AH!$U$4)),IF(AH!$U$5=1,INDEX('Live History'!$E$5:$E$3004,MATCH($A702,'Live History'!$D$5:$D$3004,1)),INDEX('AH History'!$D$5:$GG$1380,$K702,AH!$U$10+1))),NA()),NA())</f>
        <v/>
      </c>
      <c r="G702" s="34">
        <f>IFERROR(IF(ISNUMBER($A702),IF(AND(AH!$U$12=1,697+1=AH!$U$6),IF(AH!$U$4=0,"unavailable",INDEX('Market Data'!$AK$5:$AK$66,AH!$U$4)),IF(AH!$U$5=1,INDEX('Live History'!$D$5:$D$3004,MATCH($A702,'Live History'!$D$5:$D$3004,1)),INDEX('AH History'!$D$5:$GG$1380,$K702,AH!$U$10+2))),NA()),NA())</f>
        <v/>
      </c>
      <c r="H702" s="266">
        <f>IFERROR(IF(ISNUMBER($A702),IF(AND(AH!$U$12=1,697+1=AH!$U$6),IF(AH!$U$4=0,"unavailable",INDEX('Market Data'!$AP$5:$AP$66,AH!$U$4)),IF(AH!$U$5=1,INDEX('Live History'!$H$5:$H$3004,MATCH($A702,'Live History'!$G$5:$G$3004,1)),INDEX('AH History'!$B$5:$B$1380,$K702))),NA()),NA())</f>
        <v/>
      </c>
      <c r="I702" s="34">
        <f>IFERROR(IF(ISNUMBER($A702),IF(AND(AH!$U$12=1,697+1=AH!$U$6),TODAY(),IF(AH!$U$5=1,INDEX('Live History'!$G$5:$G$3004,MATCH($A702,'Live History'!$G$5:$G$3004,1)),INDEX('AH History'!$C$5:$C$1380,$K702))),NA()),NA())</f>
        <v/>
      </c>
      <c r="J702" s="32">
        <f>IFERROR(IF(AND($F702&gt;0,$H702&gt;0,$A702-$G702&lt;=10,$A702-$I702&lt;=5,$G702&gt;0,$I702&gt;0),$F702*$H702,NA()),NA())</f>
        <v/>
      </c>
      <c r="K702" s="15">
        <f>IF($A702="","",IF(AH!$U$5=1,IFERROR(MATCH($A702,'Live History'!$A$5:$A$3004,0),0),AH!$U$7+697))</f>
        <v/>
      </c>
      <c r="L702" s="15">
        <f>IF(ISNUMBER(A702),TEXT(A702,"dd-mmm-yy"),"")</f>
        <v/>
      </c>
    </row>
    <row r="703">
      <c r="A703" s="14">
        <f>IF(OR(AH!$U$4=0,698+1&gt;AH!$U$6,AND(AH!$M$5="Bloomberg",AH!$U$5=0)),"",IFERROR(IF(AND(AH!$U$12=1,698+1=AH!$U$6),TODAY(),IF(AH!$U$5=1,INDEX('Live History'!$A$5:$A$3004,AH!$U$7+698),INDEX('AH History'!$A$5:$A$1380,AH!$U$7+698))),""))</f>
        <v/>
      </c>
      <c r="B703" s="33">
        <f>IFERROR(IF(AH!$U$11=1,NA(),$J703/$E703-1),NA())</f>
        <v/>
      </c>
      <c r="C703" s="269">
        <f>IFERROR(100*$E703/$E$5,NA())</f>
        <v/>
      </c>
      <c r="D703" s="269">
        <f>IFERROR(100*$J703/$J$5,NA())</f>
        <v/>
      </c>
      <c r="E703" s="32">
        <f>IFERROR(IF(AND(ISNUMBER($A703),N(IF(AND(AH!$U$12=1,698+1=AH!$U$6),IF(AH!$U$4=0,"unavailable",INDEX('Market Data'!$AN$5:$AN$66,AH!$U$4)),IF(AH!$U$5=1,INDEX('Live History'!$B$5:$B$3004,$K703),INDEX('AH History'!$D$5:$GG$1380,$K703,AH!$U$10))))&gt;0),IF(AND(AH!$U$12=1,698+1=AH!$U$6),IF(AH!$U$4=0,"unavailable",INDEX('Market Data'!$AN$5:$AN$66,AH!$U$4)),IF(AH!$U$5=1,INDEX('Live History'!$B$5:$B$3004,$K703),INDEX('AH History'!$D$5:$GG$1380,$K703,AH!$U$10))),NA()),NA())</f>
        <v/>
      </c>
      <c r="F703" s="32">
        <f>IFERROR(IF(ISNUMBER($A703),IF(AND(AH!$U$12=1,698+1=AH!$U$6),IF(AH!$U$4=0,"unavailable",INDEX('Market Data'!$AO$5:$AO$66,AH!$U$4)),IF(AH!$U$5=1,INDEX('Live History'!$E$5:$E$3004,MATCH($A703,'Live History'!$D$5:$D$3004,1)),INDEX('AH History'!$D$5:$GG$1380,$K703,AH!$U$10+1))),NA()),NA())</f>
        <v/>
      </c>
      <c r="G703" s="34">
        <f>IFERROR(IF(ISNUMBER($A703),IF(AND(AH!$U$12=1,698+1=AH!$U$6),IF(AH!$U$4=0,"unavailable",INDEX('Market Data'!$AK$5:$AK$66,AH!$U$4)),IF(AH!$U$5=1,INDEX('Live History'!$D$5:$D$3004,MATCH($A703,'Live History'!$D$5:$D$3004,1)),INDEX('AH History'!$D$5:$GG$1380,$K703,AH!$U$10+2))),NA()),NA())</f>
        <v/>
      </c>
      <c r="H703" s="266">
        <f>IFERROR(IF(ISNUMBER($A703),IF(AND(AH!$U$12=1,698+1=AH!$U$6),IF(AH!$U$4=0,"unavailable",INDEX('Market Data'!$AP$5:$AP$66,AH!$U$4)),IF(AH!$U$5=1,INDEX('Live History'!$H$5:$H$3004,MATCH($A703,'Live History'!$G$5:$G$3004,1)),INDEX('AH History'!$B$5:$B$1380,$K703))),NA()),NA())</f>
        <v/>
      </c>
      <c r="I703" s="34">
        <f>IFERROR(IF(ISNUMBER($A703),IF(AND(AH!$U$12=1,698+1=AH!$U$6),TODAY(),IF(AH!$U$5=1,INDEX('Live History'!$G$5:$G$3004,MATCH($A703,'Live History'!$G$5:$G$3004,1)),INDEX('AH History'!$C$5:$C$1380,$K703))),NA()),NA())</f>
        <v/>
      </c>
      <c r="J703" s="32">
        <f>IFERROR(IF(AND($F703&gt;0,$H703&gt;0,$A703-$G703&lt;=10,$A703-$I703&lt;=5,$G703&gt;0,$I703&gt;0),$F703*$H703,NA()),NA())</f>
        <v/>
      </c>
      <c r="K703" s="15">
        <f>IF($A703="","",IF(AH!$U$5=1,IFERROR(MATCH($A703,'Live History'!$A$5:$A$3004,0),0),AH!$U$7+698))</f>
        <v/>
      </c>
      <c r="L703" s="15">
        <f>IF(ISNUMBER(A703),TEXT(A703,"dd-mmm-yy"),"")</f>
        <v/>
      </c>
    </row>
    <row r="704">
      <c r="A704" s="14">
        <f>IF(OR(AH!$U$4=0,699+1&gt;AH!$U$6,AND(AH!$M$5="Bloomberg",AH!$U$5=0)),"",IFERROR(IF(AND(AH!$U$12=1,699+1=AH!$U$6),TODAY(),IF(AH!$U$5=1,INDEX('Live History'!$A$5:$A$3004,AH!$U$7+699),INDEX('AH History'!$A$5:$A$1380,AH!$U$7+699))),""))</f>
        <v/>
      </c>
      <c r="B704" s="33">
        <f>IFERROR(IF(AH!$U$11=1,NA(),$J704/$E704-1),NA())</f>
        <v/>
      </c>
      <c r="C704" s="269">
        <f>IFERROR(100*$E704/$E$5,NA())</f>
        <v/>
      </c>
      <c r="D704" s="269">
        <f>IFERROR(100*$J704/$J$5,NA())</f>
        <v/>
      </c>
      <c r="E704" s="32">
        <f>IFERROR(IF(AND(ISNUMBER($A704),N(IF(AND(AH!$U$12=1,699+1=AH!$U$6),IF(AH!$U$4=0,"unavailable",INDEX('Market Data'!$AN$5:$AN$66,AH!$U$4)),IF(AH!$U$5=1,INDEX('Live History'!$B$5:$B$3004,$K704),INDEX('AH History'!$D$5:$GG$1380,$K704,AH!$U$10))))&gt;0),IF(AND(AH!$U$12=1,699+1=AH!$U$6),IF(AH!$U$4=0,"unavailable",INDEX('Market Data'!$AN$5:$AN$66,AH!$U$4)),IF(AH!$U$5=1,INDEX('Live History'!$B$5:$B$3004,$K704),INDEX('AH History'!$D$5:$GG$1380,$K704,AH!$U$10))),NA()),NA())</f>
        <v/>
      </c>
      <c r="F704" s="32">
        <f>IFERROR(IF(ISNUMBER($A704),IF(AND(AH!$U$12=1,699+1=AH!$U$6),IF(AH!$U$4=0,"unavailable",INDEX('Market Data'!$AO$5:$AO$66,AH!$U$4)),IF(AH!$U$5=1,INDEX('Live History'!$E$5:$E$3004,MATCH($A704,'Live History'!$D$5:$D$3004,1)),INDEX('AH History'!$D$5:$GG$1380,$K704,AH!$U$10+1))),NA()),NA())</f>
        <v/>
      </c>
      <c r="G704" s="34">
        <f>IFERROR(IF(ISNUMBER($A704),IF(AND(AH!$U$12=1,699+1=AH!$U$6),IF(AH!$U$4=0,"unavailable",INDEX('Market Data'!$AK$5:$AK$66,AH!$U$4)),IF(AH!$U$5=1,INDEX('Live History'!$D$5:$D$3004,MATCH($A704,'Live History'!$D$5:$D$3004,1)),INDEX('AH History'!$D$5:$GG$1380,$K704,AH!$U$10+2))),NA()),NA())</f>
        <v/>
      </c>
      <c r="H704" s="266">
        <f>IFERROR(IF(ISNUMBER($A704),IF(AND(AH!$U$12=1,699+1=AH!$U$6),IF(AH!$U$4=0,"unavailable",INDEX('Market Data'!$AP$5:$AP$66,AH!$U$4)),IF(AH!$U$5=1,INDEX('Live History'!$H$5:$H$3004,MATCH($A704,'Live History'!$G$5:$G$3004,1)),INDEX('AH History'!$B$5:$B$1380,$K704))),NA()),NA())</f>
        <v/>
      </c>
      <c r="I704" s="34">
        <f>IFERROR(IF(ISNUMBER($A704),IF(AND(AH!$U$12=1,699+1=AH!$U$6),TODAY(),IF(AH!$U$5=1,INDEX('Live History'!$G$5:$G$3004,MATCH($A704,'Live History'!$G$5:$G$3004,1)),INDEX('AH History'!$C$5:$C$1380,$K704))),NA()),NA())</f>
        <v/>
      </c>
      <c r="J704" s="32">
        <f>IFERROR(IF(AND($F704&gt;0,$H704&gt;0,$A704-$G704&lt;=10,$A704-$I704&lt;=5,$G704&gt;0,$I704&gt;0),$F704*$H704,NA()),NA())</f>
        <v/>
      </c>
      <c r="K704" s="15">
        <f>IF($A704="","",IF(AH!$U$5=1,IFERROR(MATCH($A704,'Live History'!$A$5:$A$3004,0),0),AH!$U$7+699))</f>
        <v/>
      </c>
      <c r="L704" s="15">
        <f>IF(ISNUMBER(A704),TEXT(A704,"dd-mmm-yy"),"")</f>
        <v/>
      </c>
    </row>
    <row r="705">
      <c r="A705" s="14">
        <f>IF(OR(AH!$U$4=0,700+1&gt;AH!$U$6,AND(AH!$M$5="Bloomberg",AH!$U$5=0)),"",IFERROR(IF(AND(AH!$U$12=1,700+1=AH!$U$6),TODAY(),IF(AH!$U$5=1,INDEX('Live History'!$A$5:$A$3004,AH!$U$7+700),INDEX('AH History'!$A$5:$A$1380,AH!$U$7+700))),""))</f>
        <v/>
      </c>
      <c r="B705" s="33">
        <f>IFERROR(IF(AH!$U$11=1,NA(),$J705/$E705-1),NA())</f>
        <v/>
      </c>
      <c r="C705" s="269">
        <f>IFERROR(100*$E705/$E$5,NA())</f>
        <v/>
      </c>
      <c r="D705" s="269">
        <f>IFERROR(100*$J705/$J$5,NA())</f>
        <v/>
      </c>
      <c r="E705" s="32">
        <f>IFERROR(IF(AND(ISNUMBER($A705),N(IF(AND(AH!$U$12=1,700+1=AH!$U$6),IF(AH!$U$4=0,"unavailable",INDEX('Market Data'!$AN$5:$AN$66,AH!$U$4)),IF(AH!$U$5=1,INDEX('Live History'!$B$5:$B$3004,$K705),INDEX('AH History'!$D$5:$GG$1380,$K705,AH!$U$10))))&gt;0),IF(AND(AH!$U$12=1,700+1=AH!$U$6),IF(AH!$U$4=0,"unavailable",INDEX('Market Data'!$AN$5:$AN$66,AH!$U$4)),IF(AH!$U$5=1,INDEX('Live History'!$B$5:$B$3004,$K705),INDEX('AH History'!$D$5:$GG$1380,$K705,AH!$U$10))),NA()),NA())</f>
        <v/>
      </c>
      <c r="F705" s="32">
        <f>IFERROR(IF(ISNUMBER($A705),IF(AND(AH!$U$12=1,700+1=AH!$U$6),IF(AH!$U$4=0,"unavailable",INDEX('Market Data'!$AO$5:$AO$66,AH!$U$4)),IF(AH!$U$5=1,INDEX('Live History'!$E$5:$E$3004,MATCH($A705,'Live History'!$D$5:$D$3004,1)),INDEX('AH History'!$D$5:$GG$1380,$K705,AH!$U$10+1))),NA()),NA())</f>
        <v/>
      </c>
      <c r="G705" s="34">
        <f>IFERROR(IF(ISNUMBER($A705),IF(AND(AH!$U$12=1,700+1=AH!$U$6),IF(AH!$U$4=0,"unavailable",INDEX('Market Data'!$AK$5:$AK$66,AH!$U$4)),IF(AH!$U$5=1,INDEX('Live History'!$D$5:$D$3004,MATCH($A705,'Live History'!$D$5:$D$3004,1)),INDEX('AH History'!$D$5:$GG$1380,$K705,AH!$U$10+2))),NA()),NA())</f>
        <v/>
      </c>
      <c r="H705" s="266">
        <f>IFERROR(IF(ISNUMBER($A705),IF(AND(AH!$U$12=1,700+1=AH!$U$6),IF(AH!$U$4=0,"unavailable",INDEX('Market Data'!$AP$5:$AP$66,AH!$U$4)),IF(AH!$U$5=1,INDEX('Live History'!$H$5:$H$3004,MATCH($A705,'Live History'!$G$5:$G$3004,1)),INDEX('AH History'!$B$5:$B$1380,$K705))),NA()),NA())</f>
        <v/>
      </c>
      <c r="I705" s="34">
        <f>IFERROR(IF(ISNUMBER($A705),IF(AND(AH!$U$12=1,700+1=AH!$U$6),TODAY(),IF(AH!$U$5=1,INDEX('Live History'!$G$5:$G$3004,MATCH($A705,'Live History'!$G$5:$G$3004,1)),INDEX('AH History'!$C$5:$C$1380,$K705))),NA()),NA())</f>
        <v/>
      </c>
      <c r="J705" s="32">
        <f>IFERROR(IF(AND($F705&gt;0,$H705&gt;0,$A705-$G705&lt;=10,$A705-$I705&lt;=5,$G705&gt;0,$I705&gt;0),$F705*$H705,NA()),NA())</f>
        <v/>
      </c>
      <c r="K705" s="15">
        <f>IF($A705="","",IF(AH!$U$5=1,IFERROR(MATCH($A705,'Live History'!$A$5:$A$3004,0),0),AH!$U$7+700))</f>
        <v/>
      </c>
      <c r="L705" s="15">
        <f>IF(ISNUMBER(A705),TEXT(A705,"dd-mmm-yy"),"")</f>
        <v/>
      </c>
    </row>
    <row r="706">
      <c r="A706" s="14">
        <f>IF(OR(AH!$U$4=0,701+1&gt;AH!$U$6,AND(AH!$M$5="Bloomberg",AH!$U$5=0)),"",IFERROR(IF(AND(AH!$U$12=1,701+1=AH!$U$6),TODAY(),IF(AH!$U$5=1,INDEX('Live History'!$A$5:$A$3004,AH!$U$7+701),INDEX('AH History'!$A$5:$A$1380,AH!$U$7+701))),""))</f>
        <v/>
      </c>
      <c r="B706" s="33">
        <f>IFERROR(IF(AH!$U$11=1,NA(),$J706/$E706-1),NA())</f>
        <v/>
      </c>
      <c r="C706" s="269">
        <f>IFERROR(100*$E706/$E$5,NA())</f>
        <v/>
      </c>
      <c r="D706" s="269">
        <f>IFERROR(100*$J706/$J$5,NA())</f>
        <v/>
      </c>
      <c r="E706" s="32">
        <f>IFERROR(IF(AND(ISNUMBER($A706),N(IF(AND(AH!$U$12=1,701+1=AH!$U$6),IF(AH!$U$4=0,"unavailable",INDEX('Market Data'!$AN$5:$AN$66,AH!$U$4)),IF(AH!$U$5=1,INDEX('Live History'!$B$5:$B$3004,$K706),INDEX('AH History'!$D$5:$GG$1380,$K706,AH!$U$10))))&gt;0),IF(AND(AH!$U$12=1,701+1=AH!$U$6),IF(AH!$U$4=0,"unavailable",INDEX('Market Data'!$AN$5:$AN$66,AH!$U$4)),IF(AH!$U$5=1,INDEX('Live History'!$B$5:$B$3004,$K706),INDEX('AH History'!$D$5:$GG$1380,$K706,AH!$U$10))),NA()),NA())</f>
        <v/>
      </c>
      <c r="F706" s="32">
        <f>IFERROR(IF(ISNUMBER($A706),IF(AND(AH!$U$12=1,701+1=AH!$U$6),IF(AH!$U$4=0,"unavailable",INDEX('Market Data'!$AO$5:$AO$66,AH!$U$4)),IF(AH!$U$5=1,INDEX('Live History'!$E$5:$E$3004,MATCH($A706,'Live History'!$D$5:$D$3004,1)),INDEX('AH History'!$D$5:$GG$1380,$K706,AH!$U$10+1))),NA()),NA())</f>
        <v/>
      </c>
      <c r="G706" s="34">
        <f>IFERROR(IF(ISNUMBER($A706),IF(AND(AH!$U$12=1,701+1=AH!$U$6),IF(AH!$U$4=0,"unavailable",INDEX('Market Data'!$AK$5:$AK$66,AH!$U$4)),IF(AH!$U$5=1,INDEX('Live History'!$D$5:$D$3004,MATCH($A706,'Live History'!$D$5:$D$3004,1)),INDEX('AH History'!$D$5:$GG$1380,$K706,AH!$U$10+2))),NA()),NA())</f>
        <v/>
      </c>
      <c r="H706" s="266">
        <f>IFERROR(IF(ISNUMBER($A706),IF(AND(AH!$U$12=1,701+1=AH!$U$6),IF(AH!$U$4=0,"unavailable",INDEX('Market Data'!$AP$5:$AP$66,AH!$U$4)),IF(AH!$U$5=1,INDEX('Live History'!$H$5:$H$3004,MATCH($A706,'Live History'!$G$5:$G$3004,1)),INDEX('AH History'!$B$5:$B$1380,$K706))),NA()),NA())</f>
        <v/>
      </c>
      <c r="I706" s="34">
        <f>IFERROR(IF(ISNUMBER($A706),IF(AND(AH!$U$12=1,701+1=AH!$U$6),TODAY(),IF(AH!$U$5=1,INDEX('Live History'!$G$5:$G$3004,MATCH($A706,'Live History'!$G$5:$G$3004,1)),INDEX('AH History'!$C$5:$C$1380,$K706))),NA()),NA())</f>
        <v/>
      </c>
      <c r="J706" s="32">
        <f>IFERROR(IF(AND($F706&gt;0,$H706&gt;0,$A706-$G706&lt;=10,$A706-$I706&lt;=5,$G706&gt;0,$I706&gt;0),$F706*$H706,NA()),NA())</f>
        <v/>
      </c>
      <c r="K706" s="15">
        <f>IF($A706="","",IF(AH!$U$5=1,IFERROR(MATCH($A706,'Live History'!$A$5:$A$3004,0),0),AH!$U$7+701))</f>
        <v/>
      </c>
      <c r="L706" s="15">
        <f>IF(ISNUMBER(A706),TEXT(A706,"dd-mmm-yy"),"")</f>
        <v/>
      </c>
    </row>
    <row r="707">
      <c r="A707" s="14">
        <f>IF(OR(AH!$U$4=0,702+1&gt;AH!$U$6,AND(AH!$M$5="Bloomberg",AH!$U$5=0)),"",IFERROR(IF(AND(AH!$U$12=1,702+1=AH!$U$6),TODAY(),IF(AH!$U$5=1,INDEX('Live History'!$A$5:$A$3004,AH!$U$7+702),INDEX('AH History'!$A$5:$A$1380,AH!$U$7+702))),""))</f>
        <v/>
      </c>
      <c r="B707" s="33">
        <f>IFERROR(IF(AH!$U$11=1,NA(),$J707/$E707-1),NA())</f>
        <v/>
      </c>
      <c r="C707" s="269">
        <f>IFERROR(100*$E707/$E$5,NA())</f>
        <v/>
      </c>
      <c r="D707" s="269">
        <f>IFERROR(100*$J707/$J$5,NA())</f>
        <v/>
      </c>
      <c r="E707" s="32">
        <f>IFERROR(IF(AND(ISNUMBER($A707),N(IF(AND(AH!$U$12=1,702+1=AH!$U$6),IF(AH!$U$4=0,"unavailable",INDEX('Market Data'!$AN$5:$AN$66,AH!$U$4)),IF(AH!$U$5=1,INDEX('Live History'!$B$5:$B$3004,$K707),INDEX('AH History'!$D$5:$GG$1380,$K707,AH!$U$10))))&gt;0),IF(AND(AH!$U$12=1,702+1=AH!$U$6),IF(AH!$U$4=0,"unavailable",INDEX('Market Data'!$AN$5:$AN$66,AH!$U$4)),IF(AH!$U$5=1,INDEX('Live History'!$B$5:$B$3004,$K707),INDEX('AH History'!$D$5:$GG$1380,$K707,AH!$U$10))),NA()),NA())</f>
        <v/>
      </c>
      <c r="F707" s="32">
        <f>IFERROR(IF(ISNUMBER($A707),IF(AND(AH!$U$12=1,702+1=AH!$U$6),IF(AH!$U$4=0,"unavailable",INDEX('Market Data'!$AO$5:$AO$66,AH!$U$4)),IF(AH!$U$5=1,INDEX('Live History'!$E$5:$E$3004,MATCH($A707,'Live History'!$D$5:$D$3004,1)),INDEX('AH History'!$D$5:$GG$1380,$K707,AH!$U$10+1))),NA()),NA())</f>
        <v/>
      </c>
      <c r="G707" s="34">
        <f>IFERROR(IF(ISNUMBER($A707),IF(AND(AH!$U$12=1,702+1=AH!$U$6),IF(AH!$U$4=0,"unavailable",INDEX('Market Data'!$AK$5:$AK$66,AH!$U$4)),IF(AH!$U$5=1,INDEX('Live History'!$D$5:$D$3004,MATCH($A707,'Live History'!$D$5:$D$3004,1)),INDEX('AH History'!$D$5:$GG$1380,$K707,AH!$U$10+2))),NA()),NA())</f>
        <v/>
      </c>
      <c r="H707" s="266">
        <f>IFERROR(IF(ISNUMBER($A707),IF(AND(AH!$U$12=1,702+1=AH!$U$6),IF(AH!$U$4=0,"unavailable",INDEX('Market Data'!$AP$5:$AP$66,AH!$U$4)),IF(AH!$U$5=1,INDEX('Live History'!$H$5:$H$3004,MATCH($A707,'Live History'!$G$5:$G$3004,1)),INDEX('AH History'!$B$5:$B$1380,$K707))),NA()),NA())</f>
        <v/>
      </c>
      <c r="I707" s="34">
        <f>IFERROR(IF(ISNUMBER($A707),IF(AND(AH!$U$12=1,702+1=AH!$U$6),TODAY(),IF(AH!$U$5=1,INDEX('Live History'!$G$5:$G$3004,MATCH($A707,'Live History'!$G$5:$G$3004,1)),INDEX('AH History'!$C$5:$C$1380,$K707))),NA()),NA())</f>
        <v/>
      </c>
      <c r="J707" s="32">
        <f>IFERROR(IF(AND($F707&gt;0,$H707&gt;0,$A707-$G707&lt;=10,$A707-$I707&lt;=5,$G707&gt;0,$I707&gt;0),$F707*$H707,NA()),NA())</f>
        <v/>
      </c>
      <c r="K707" s="15">
        <f>IF($A707="","",IF(AH!$U$5=1,IFERROR(MATCH($A707,'Live History'!$A$5:$A$3004,0),0),AH!$U$7+702))</f>
        <v/>
      </c>
      <c r="L707" s="15">
        <f>IF(ISNUMBER(A707),TEXT(A707,"dd-mmm-yy"),"")</f>
        <v/>
      </c>
    </row>
    <row r="708">
      <c r="A708" s="14">
        <f>IF(OR(AH!$U$4=0,703+1&gt;AH!$U$6,AND(AH!$M$5="Bloomberg",AH!$U$5=0)),"",IFERROR(IF(AND(AH!$U$12=1,703+1=AH!$U$6),TODAY(),IF(AH!$U$5=1,INDEX('Live History'!$A$5:$A$3004,AH!$U$7+703),INDEX('AH History'!$A$5:$A$1380,AH!$U$7+703))),""))</f>
        <v/>
      </c>
      <c r="B708" s="33">
        <f>IFERROR(IF(AH!$U$11=1,NA(),$J708/$E708-1),NA())</f>
        <v/>
      </c>
      <c r="C708" s="269">
        <f>IFERROR(100*$E708/$E$5,NA())</f>
        <v/>
      </c>
      <c r="D708" s="269">
        <f>IFERROR(100*$J708/$J$5,NA())</f>
        <v/>
      </c>
      <c r="E708" s="32">
        <f>IFERROR(IF(AND(ISNUMBER($A708),N(IF(AND(AH!$U$12=1,703+1=AH!$U$6),IF(AH!$U$4=0,"unavailable",INDEX('Market Data'!$AN$5:$AN$66,AH!$U$4)),IF(AH!$U$5=1,INDEX('Live History'!$B$5:$B$3004,$K708),INDEX('AH History'!$D$5:$GG$1380,$K708,AH!$U$10))))&gt;0),IF(AND(AH!$U$12=1,703+1=AH!$U$6),IF(AH!$U$4=0,"unavailable",INDEX('Market Data'!$AN$5:$AN$66,AH!$U$4)),IF(AH!$U$5=1,INDEX('Live History'!$B$5:$B$3004,$K708),INDEX('AH History'!$D$5:$GG$1380,$K708,AH!$U$10))),NA()),NA())</f>
        <v/>
      </c>
      <c r="F708" s="32">
        <f>IFERROR(IF(ISNUMBER($A708),IF(AND(AH!$U$12=1,703+1=AH!$U$6),IF(AH!$U$4=0,"unavailable",INDEX('Market Data'!$AO$5:$AO$66,AH!$U$4)),IF(AH!$U$5=1,INDEX('Live History'!$E$5:$E$3004,MATCH($A708,'Live History'!$D$5:$D$3004,1)),INDEX('AH History'!$D$5:$GG$1380,$K708,AH!$U$10+1))),NA()),NA())</f>
        <v/>
      </c>
      <c r="G708" s="34">
        <f>IFERROR(IF(ISNUMBER($A708),IF(AND(AH!$U$12=1,703+1=AH!$U$6),IF(AH!$U$4=0,"unavailable",INDEX('Market Data'!$AK$5:$AK$66,AH!$U$4)),IF(AH!$U$5=1,INDEX('Live History'!$D$5:$D$3004,MATCH($A708,'Live History'!$D$5:$D$3004,1)),INDEX('AH History'!$D$5:$GG$1380,$K708,AH!$U$10+2))),NA()),NA())</f>
        <v/>
      </c>
      <c r="H708" s="266">
        <f>IFERROR(IF(ISNUMBER($A708),IF(AND(AH!$U$12=1,703+1=AH!$U$6),IF(AH!$U$4=0,"unavailable",INDEX('Market Data'!$AP$5:$AP$66,AH!$U$4)),IF(AH!$U$5=1,INDEX('Live History'!$H$5:$H$3004,MATCH($A708,'Live History'!$G$5:$G$3004,1)),INDEX('AH History'!$B$5:$B$1380,$K708))),NA()),NA())</f>
        <v/>
      </c>
      <c r="I708" s="34">
        <f>IFERROR(IF(ISNUMBER($A708),IF(AND(AH!$U$12=1,703+1=AH!$U$6),TODAY(),IF(AH!$U$5=1,INDEX('Live History'!$G$5:$G$3004,MATCH($A708,'Live History'!$G$5:$G$3004,1)),INDEX('AH History'!$C$5:$C$1380,$K708))),NA()),NA())</f>
        <v/>
      </c>
      <c r="J708" s="32">
        <f>IFERROR(IF(AND($F708&gt;0,$H708&gt;0,$A708-$G708&lt;=10,$A708-$I708&lt;=5,$G708&gt;0,$I708&gt;0),$F708*$H708,NA()),NA())</f>
        <v/>
      </c>
      <c r="K708" s="15">
        <f>IF($A708="","",IF(AH!$U$5=1,IFERROR(MATCH($A708,'Live History'!$A$5:$A$3004,0),0),AH!$U$7+703))</f>
        <v/>
      </c>
      <c r="L708" s="15">
        <f>IF(ISNUMBER(A708),TEXT(A708,"dd-mmm-yy"),"")</f>
        <v/>
      </c>
    </row>
    <row r="709">
      <c r="A709" s="14">
        <f>IF(OR(AH!$U$4=0,704+1&gt;AH!$U$6,AND(AH!$M$5="Bloomberg",AH!$U$5=0)),"",IFERROR(IF(AND(AH!$U$12=1,704+1=AH!$U$6),TODAY(),IF(AH!$U$5=1,INDEX('Live History'!$A$5:$A$3004,AH!$U$7+704),INDEX('AH History'!$A$5:$A$1380,AH!$U$7+704))),""))</f>
        <v/>
      </c>
      <c r="B709" s="33">
        <f>IFERROR(IF(AH!$U$11=1,NA(),$J709/$E709-1),NA())</f>
        <v/>
      </c>
      <c r="C709" s="269">
        <f>IFERROR(100*$E709/$E$5,NA())</f>
        <v/>
      </c>
      <c r="D709" s="269">
        <f>IFERROR(100*$J709/$J$5,NA())</f>
        <v/>
      </c>
      <c r="E709" s="32">
        <f>IFERROR(IF(AND(ISNUMBER($A709),N(IF(AND(AH!$U$12=1,704+1=AH!$U$6),IF(AH!$U$4=0,"unavailable",INDEX('Market Data'!$AN$5:$AN$66,AH!$U$4)),IF(AH!$U$5=1,INDEX('Live History'!$B$5:$B$3004,$K709),INDEX('AH History'!$D$5:$GG$1380,$K709,AH!$U$10))))&gt;0),IF(AND(AH!$U$12=1,704+1=AH!$U$6),IF(AH!$U$4=0,"unavailable",INDEX('Market Data'!$AN$5:$AN$66,AH!$U$4)),IF(AH!$U$5=1,INDEX('Live History'!$B$5:$B$3004,$K709),INDEX('AH History'!$D$5:$GG$1380,$K709,AH!$U$10))),NA()),NA())</f>
        <v/>
      </c>
      <c r="F709" s="32">
        <f>IFERROR(IF(ISNUMBER($A709),IF(AND(AH!$U$12=1,704+1=AH!$U$6),IF(AH!$U$4=0,"unavailable",INDEX('Market Data'!$AO$5:$AO$66,AH!$U$4)),IF(AH!$U$5=1,INDEX('Live History'!$E$5:$E$3004,MATCH($A709,'Live History'!$D$5:$D$3004,1)),INDEX('AH History'!$D$5:$GG$1380,$K709,AH!$U$10+1))),NA()),NA())</f>
        <v/>
      </c>
      <c r="G709" s="34">
        <f>IFERROR(IF(ISNUMBER($A709),IF(AND(AH!$U$12=1,704+1=AH!$U$6),IF(AH!$U$4=0,"unavailable",INDEX('Market Data'!$AK$5:$AK$66,AH!$U$4)),IF(AH!$U$5=1,INDEX('Live History'!$D$5:$D$3004,MATCH($A709,'Live History'!$D$5:$D$3004,1)),INDEX('AH History'!$D$5:$GG$1380,$K709,AH!$U$10+2))),NA()),NA())</f>
        <v/>
      </c>
      <c r="H709" s="266">
        <f>IFERROR(IF(ISNUMBER($A709),IF(AND(AH!$U$12=1,704+1=AH!$U$6),IF(AH!$U$4=0,"unavailable",INDEX('Market Data'!$AP$5:$AP$66,AH!$U$4)),IF(AH!$U$5=1,INDEX('Live History'!$H$5:$H$3004,MATCH($A709,'Live History'!$G$5:$G$3004,1)),INDEX('AH History'!$B$5:$B$1380,$K709))),NA()),NA())</f>
        <v/>
      </c>
      <c r="I709" s="34">
        <f>IFERROR(IF(ISNUMBER($A709),IF(AND(AH!$U$12=1,704+1=AH!$U$6),TODAY(),IF(AH!$U$5=1,INDEX('Live History'!$G$5:$G$3004,MATCH($A709,'Live History'!$G$5:$G$3004,1)),INDEX('AH History'!$C$5:$C$1380,$K709))),NA()),NA())</f>
        <v/>
      </c>
      <c r="J709" s="32">
        <f>IFERROR(IF(AND($F709&gt;0,$H709&gt;0,$A709-$G709&lt;=10,$A709-$I709&lt;=5,$G709&gt;0,$I709&gt;0),$F709*$H709,NA()),NA())</f>
        <v/>
      </c>
      <c r="K709" s="15">
        <f>IF($A709="","",IF(AH!$U$5=1,IFERROR(MATCH($A709,'Live History'!$A$5:$A$3004,0),0),AH!$U$7+704))</f>
        <v/>
      </c>
      <c r="L709" s="15">
        <f>IF(ISNUMBER(A709),TEXT(A709,"dd-mmm-yy"),"")</f>
        <v/>
      </c>
    </row>
    <row r="710">
      <c r="A710" s="14">
        <f>IF(OR(AH!$U$4=0,705+1&gt;AH!$U$6,AND(AH!$M$5="Bloomberg",AH!$U$5=0)),"",IFERROR(IF(AND(AH!$U$12=1,705+1=AH!$U$6),TODAY(),IF(AH!$U$5=1,INDEX('Live History'!$A$5:$A$3004,AH!$U$7+705),INDEX('AH History'!$A$5:$A$1380,AH!$U$7+705))),""))</f>
        <v/>
      </c>
      <c r="B710" s="33">
        <f>IFERROR(IF(AH!$U$11=1,NA(),$J710/$E710-1),NA())</f>
        <v/>
      </c>
      <c r="C710" s="269">
        <f>IFERROR(100*$E710/$E$5,NA())</f>
        <v/>
      </c>
      <c r="D710" s="269">
        <f>IFERROR(100*$J710/$J$5,NA())</f>
        <v/>
      </c>
      <c r="E710" s="32">
        <f>IFERROR(IF(AND(ISNUMBER($A710),N(IF(AND(AH!$U$12=1,705+1=AH!$U$6),IF(AH!$U$4=0,"unavailable",INDEX('Market Data'!$AN$5:$AN$66,AH!$U$4)),IF(AH!$U$5=1,INDEX('Live History'!$B$5:$B$3004,$K710),INDEX('AH History'!$D$5:$GG$1380,$K710,AH!$U$10))))&gt;0),IF(AND(AH!$U$12=1,705+1=AH!$U$6),IF(AH!$U$4=0,"unavailable",INDEX('Market Data'!$AN$5:$AN$66,AH!$U$4)),IF(AH!$U$5=1,INDEX('Live History'!$B$5:$B$3004,$K710),INDEX('AH History'!$D$5:$GG$1380,$K710,AH!$U$10))),NA()),NA())</f>
        <v/>
      </c>
      <c r="F710" s="32">
        <f>IFERROR(IF(ISNUMBER($A710),IF(AND(AH!$U$12=1,705+1=AH!$U$6),IF(AH!$U$4=0,"unavailable",INDEX('Market Data'!$AO$5:$AO$66,AH!$U$4)),IF(AH!$U$5=1,INDEX('Live History'!$E$5:$E$3004,MATCH($A710,'Live History'!$D$5:$D$3004,1)),INDEX('AH History'!$D$5:$GG$1380,$K710,AH!$U$10+1))),NA()),NA())</f>
        <v/>
      </c>
      <c r="G710" s="34">
        <f>IFERROR(IF(ISNUMBER($A710),IF(AND(AH!$U$12=1,705+1=AH!$U$6),IF(AH!$U$4=0,"unavailable",INDEX('Market Data'!$AK$5:$AK$66,AH!$U$4)),IF(AH!$U$5=1,INDEX('Live History'!$D$5:$D$3004,MATCH($A710,'Live History'!$D$5:$D$3004,1)),INDEX('AH History'!$D$5:$GG$1380,$K710,AH!$U$10+2))),NA()),NA())</f>
        <v/>
      </c>
      <c r="H710" s="266">
        <f>IFERROR(IF(ISNUMBER($A710),IF(AND(AH!$U$12=1,705+1=AH!$U$6),IF(AH!$U$4=0,"unavailable",INDEX('Market Data'!$AP$5:$AP$66,AH!$U$4)),IF(AH!$U$5=1,INDEX('Live History'!$H$5:$H$3004,MATCH($A710,'Live History'!$G$5:$G$3004,1)),INDEX('AH History'!$B$5:$B$1380,$K710))),NA()),NA())</f>
        <v/>
      </c>
      <c r="I710" s="34">
        <f>IFERROR(IF(ISNUMBER($A710),IF(AND(AH!$U$12=1,705+1=AH!$U$6),TODAY(),IF(AH!$U$5=1,INDEX('Live History'!$G$5:$G$3004,MATCH($A710,'Live History'!$G$5:$G$3004,1)),INDEX('AH History'!$C$5:$C$1380,$K710))),NA()),NA())</f>
        <v/>
      </c>
      <c r="J710" s="32">
        <f>IFERROR(IF(AND($F710&gt;0,$H710&gt;0,$A710-$G710&lt;=10,$A710-$I710&lt;=5,$G710&gt;0,$I710&gt;0),$F710*$H710,NA()),NA())</f>
        <v/>
      </c>
      <c r="K710" s="15">
        <f>IF($A710="","",IF(AH!$U$5=1,IFERROR(MATCH($A710,'Live History'!$A$5:$A$3004,0),0),AH!$U$7+705))</f>
        <v/>
      </c>
      <c r="L710" s="15">
        <f>IF(ISNUMBER(A710),TEXT(A710,"dd-mmm-yy"),"")</f>
        <v/>
      </c>
    </row>
    <row r="711">
      <c r="A711" s="14">
        <f>IF(OR(AH!$U$4=0,706+1&gt;AH!$U$6,AND(AH!$M$5="Bloomberg",AH!$U$5=0)),"",IFERROR(IF(AND(AH!$U$12=1,706+1=AH!$U$6),TODAY(),IF(AH!$U$5=1,INDEX('Live History'!$A$5:$A$3004,AH!$U$7+706),INDEX('AH History'!$A$5:$A$1380,AH!$U$7+706))),""))</f>
        <v/>
      </c>
      <c r="B711" s="33">
        <f>IFERROR(IF(AH!$U$11=1,NA(),$J711/$E711-1),NA())</f>
        <v/>
      </c>
      <c r="C711" s="269">
        <f>IFERROR(100*$E711/$E$5,NA())</f>
        <v/>
      </c>
      <c r="D711" s="269">
        <f>IFERROR(100*$J711/$J$5,NA())</f>
        <v/>
      </c>
      <c r="E711" s="32">
        <f>IFERROR(IF(AND(ISNUMBER($A711),N(IF(AND(AH!$U$12=1,706+1=AH!$U$6),IF(AH!$U$4=0,"unavailable",INDEX('Market Data'!$AN$5:$AN$66,AH!$U$4)),IF(AH!$U$5=1,INDEX('Live History'!$B$5:$B$3004,$K711),INDEX('AH History'!$D$5:$GG$1380,$K711,AH!$U$10))))&gt;0),IF(AND(AH!$U$12=1,706+1=AH!$U$6),IF(AH!$U$4=0,"unavailable",INDEX('Market Data'!$AN$5:$AN$66,AH!$U$4)),IF(AH!$U$5=1,INDEX('Live History'!$B$5:$B$3004,$K711),INDEX('AH History'!$D$5:$GG$1380,$K711,AH!$U$10))),NA()),NA())</f>
        <v/>
      </c>
      <c r="F711" s="32">
        <f>IFERROR(IF(ISNUMBER($A711),IF(AND(AH!$U$12=1,706+1=AH!$U$6),IF(AH!$U$4=0,"unavailable",INDEX('Market Data'!$AO$5:$AO$66,AH!$U$4)),IF(AH!$U$5=1,INDEX('Live History'!$E$5:$E$3004,MATCH($A711,'Live History'!$D$5:$D$3004,1)),INDEX('AH History'!$D$5:$GG$1380,$K711,AH!$U$10+1))),NA()),NA())</f>
        <v/>
      </c>
      <c r="G711" s="34">
        <f>IFERROR(IF(ISNUMBER($A711),IF(AND(AH!$U$12=1,706+1=AH!$U$6),IF(AH!$U$4=0,"unavailable",INDEX('Market Data'!$AK$5:$AK$66,AH!$U$4)),IF(AH!$U$5=1,INDEX('Live History'!$D$5:$D$3004,MATCH($A711,'Live History'!$D$5:$D$3004,1)),INDEX('AH History'!$D$5:$GG$1380,$K711,AH!$U$10+2))),NA()),NA())</f>
        <v/>
      </c>
      <c r="H711" s="266">
        <f>IFERROR(IF(ISNUMBER($A711),IF(AND(AH!$U$12=1,706+1=AH!$U$6),IF(AH!$U$4=0,"unavailable",INDEX('Market Data'!$AP$5:$AP$66,AH!$U$4)),IF(AH!$U$5=1,INDEX('Live History'!$H$5:$H$3004,MATCH($A711,'Live History'!$G$5:$G$3004,1)),INDEX('AH History'!$B$5:$B$1380,$K711))),NA()),NA())</f>
        <v/>
      </c>
      <c r="I711" s="34">
        <f>IFERROR(IF(ISNUMBER($A711),IF(AND(AH!$U$12=1,706+1=AH!$U$6),TODAY(),IF(AH!$U$5=1,INDEX('Live History'!$G$5:$G$3004,MATCH($A711,'Live History'!$G$5:$G$3004,1)),INDEX('AH History'!$C$5:$C$1380,$K711))),NA()),NA())</f>
        <v/>
      </c>
      <c r="J711" s="32">
        <f>IFERROR(IF(AND($F711&gt;0,$H711&gt;0,$A711-$G711&lt;=10,$A711-$I711&lt;=5,$G711&gt;0,$I711&gt;0),$F711*$H711,NA()),NA())</f>
        <v/>
      </c>
      <c r="K711" s="15">
        <f>IF($A711="","",IF(AH!$U$5=1,IFERROR(MATCH($A711,'Live History'!$A$5:$A$3004,0),0),AH!$U$7+706))</f>
        <v/>
      </c>
      <c r="L711" s="15">
        <f>IF(ISNUMBER(A711),TEXT(A711,"dd-mmm-yy"),"")</f>
        <v/>
      </c>
    </row>
    <row r="712">
      <c r="A712" s="14">
        <f>IF(OR(AH!$U$4=0,707+1&gt;AH!$U$6,AND(AH!$M$5="Bloomberg",AH!$U$5=0)),"",IFERROR(IF(AND(AH!$U$12=1,707+1=AH!$U$6),TODAY(),IF(AH!$U$5=1,INDEX('Live History'!$A$5:$A$3004,AH!$U$7+707),INDEX('AH History'!$A$5:$A$1380,AH!$U$7+707))),""))</f>
        <v/>
      </c>
      <c r="B712" s="33">
        <f>IFERROR(IF(AH!$U$11=1,NA(),$J712/$E712-1),NA())</f>
        <v/>
      </c>
      <c r="C712" s="269">
        <f>IFERROR(100*$E712/$E$5,NA())</f>
        <v/>
      </c>
      <c r="D712" s="269">
        <f>IFERROR(100*$J712/$J$5,NA())</f>
        <v/>
      </c>
      <c r="E712" s="32">
        <f>IFERROR(IF(AND(ISNUMBER($A712),N(IF(AND(AH!$U$12=1,707+1=AH!$U$6),IF(AH!$U$4=0,"unavailable",INDEX('Market Data'!$AN$5:$AN$66,AH!$U$4)),IF(AH!$U$5=1,INDEX('Live History'!$B$5:$B$3004,$K712),INDEX('AH History'!$D$5:$GG$1380,$K712,AH!$U$10))))&gt;0),IF(AND(AH!$U$12=1,707+1=AH!$U$6),IF(AH!$U$4=0,"unavailable",INDEX('Market Data'!$AN$5:$AN$66,AH!$U$4)),IF(AH!$U$5=1,INDEX('Live History'!$B$5:$B$3004,$K712),INDEX('AH History'!$D$5:$GG$1380,$K712,AH!$U$10))),NA()),NA())</f>
        <v/>
      </c>
      <c r="F712" s="32">
        <f>IFERROR(IF(ISNUMBER($A712),IF(AND(AH!$U$12=1,707+1=AH!$U$6),IF(AH!$U$4=0,"unavailable",INDEX('Market Data'!$AO$5:$AO$66,AH!$U$4)),IF(AH!$U$5=1,INDEX('Live History'!$E$5:$E$3004,MATCH($A712,'Live History'!$D$5:$D$3004,1)),INDEX('AH History'!$D$5:$GG$1380,$K712,AH!$U$10+1))),NA()),NA())</f>
        <v/>
      </c>
      <c r="G712" s="34">
        <f>IFERROR(IF(ISNUMBER($A712),IF(AND(AH!$U$12=1,707+1=AH!$U$6),IF(AH!$U$4=0,"unavailable",INDEX('Market Data'!$AK$5:$AK$66,AH!$U$4)),IF(AH!$U$5=1,INDEX('Live History'!$D$5:$D$3004,MATCH($A712,'Live History'!$D$5:$D$3004,1)),INDEX('AH History'!$D$5:$GG$1380,$K712,AH!$U$10+2))),NA()),NA())</f>
        <v/>
      </c>
      <c r="H712" s="266">
        <f>IFERROR(IF(ISNUMBER($A712),IF(AND(AH!$U$12=1,707+1=AH!$U$6),IF(AH!$U$4=0,"unavailable",INDEX('Market Data'!$AP$5:$AP$66,AH!$U$4)),IF(AH!$U$5=1,INDEX('Live History'!$H$5:$H$3004,MATCH($A712,'Live History'!$G$5:$G$3004,1)),INDEX('AH History'!$B$5:$B$1380,$K712))),NA()),NA())</f>
        <v/>
      </c>
      <c r="I712" s="34">
        <f>IFERROR(IF(ISNUMBER($A712),IF(AND(AH!$U$12=1,707+1=AH!$U$6),TODAY(),IF(AH!$U$5=1,INDEX('Live History'!$G$5:$G$3004,MATCH($A712,'Live History'!$G$5:$G$3004,1)),INDEX('AH History'!$C$5:$C$1380,$K712))),NA()),NA())</f>
        <v/>
      </c>
      <c r="J712" s="32">
        <f>IFERROR(IF(AND($F712&gt;0,$H712&gt;0,$A712-$G712&lt;=10,$A712-$I712&lt;=5,$G712&gt;0,$I712&gt;0),$F712*$H712,NA()),NA())</f>
        <v/>
      </c>
      <c r="K712" s="15">
        <f>IF($A712="","",IF(AH!$U$5=1,IFERROR(MATCH($A712,'Live History'!$A$5:$A$3004,0),0),AH!$U$7+707))</f>
        <v/>
      </c>
      <c r="L712" s="15">
        <f>IF(ISNUMBER(A712),TEXT(A712,"dd-mmm-yy"),"")</f>
        <v/>
      </c>
    </row>
    <row r="713">
      <c r="A713" s="14">
        <f>IF(OR(AH!$U$4=0,708+1&gt;AH!$U$6,AND(AH!$M$5="Bloomberg",AH!$U$5=0)),"",IFERROR(IF(AND(AH!$U$12=1,708+1=AH!$U$6),TODAY(),IF(AH!$U$5=1,INDEX('Live History'!$A$5:$A$3004,AH!$U$7+708),INDEX('AH History'!$A$5:$A$1380,AH!$U$7+708))),""))</f>
        <v/>
      </c>
      <c r="B713" s="33">
        <f>IFERROR(IF(AH!$U$11=1,NA(),$J713/$E713-1),NA())</f>
        <v/>
      </c>
      <c r="C713" s="269">
        <f>IFERROR(100*$E713/$E$5,NA())</f>
        <v/>
      </c>
      <c r="D713" s="269">
        <f>IFERROR(100*$J713/$J$5,NA())</f>
        <v/>
      </c>
      <c r="E713" s="32">
        <f>IFERROR(IF(AND(ISNUMBER($A713),N(IF(AND(AH!$U$12=1,708+1=AH!$U$6),IF(AH!$U$4=0,"unavailable",INDEX('Market Data'!$AN$5:$AN$66,AH!$U$4)),IF(AH!$U$5=1,INDEX('Live History'!$B$5:$B$3004,$K713),INDEX('AH History'!$D$5:$GG$1380,$K713,AH!$U$10))))&gt;0),IF(AND(AH!$U$12=1,708+1=AH!$U$6),IF(AH!$U$4=0,"unavailable",INDEX('Market Data'!$AN$5:$AN$66,AH!$U$4)),IF(AH!$U$5=1,INDEX('Live History'!$B$5:$B$3004,$K713),INDEX('AH History'!$D$5:$GG$1380,$K713,AH!$U$10))),NA()),NA())</f>
        <v/>
      </c>
      <c r="F713" s="32">
        <f>IFERROR(IF(ISNUMBER($A713),IF(AND(AH!$U$12=1,708+1=AH!$U$6),IF(AH!$U$4=0,"unavailable",INDEX('Market Data'!$AO$5:$AO$66,AH!$U$4)),IF(AH!$U$5=1,INDEX('Live History'!$E$5:$E$3004,MATCH($A713,'Live History'!$D$5:$D$3004,1)),INDEX('AH History'!$D$5:$GG$1380,$K713,AH!$U$10+1))),NA()),NA())</f>
        <v/>
      </c>
      <c r="G713" s="34">
        <f>IFERROR(IF(ISNUMBER($A713),IF(AND(AH!$U$12=1,708+1=AH!$U$6),IF(AH!$U$4=0,"unavailable",INDEX('Market Data'!$AK$5:$AK$66,AH!$U$4)),IF(AH!$U$5=1,INDEX('Live History'!$D$5:$D$3004,MATCH($A713,'Live History'!$D$5:$D$3004,1)),INDEX('AH History'!$D$5:$GG$1380,$K713,AH!$U$10+2))),NA()),NA())</f>
        <v/>
      </c>
      <c r="H713" s="266">
        <f>IFERROR(IF(ISNUMBER($A713),IF(AND(AH!$U$12=1,708+1=AH!$U$6),IF(AH!$U$4=0,"unavailable",INDEX('Market Data'!$AP$5:$AP$66,AH!$U$4)),IF(AH!$U$5=1,INDEX('Live History'!$H$5:$H$3004,MATCH($A713,'Live History'!$G$5:$G$3004,1)),INDEX('AH History'!$B$5:$B$1380,$K713))),NA()),NA())</f>
        <v/>
      </c>
      <c r="I713" s="34">
        <f>IFERROR(IF(ISNUMBER($A713),IF(AND(AH!$U$12=1,708+1=AH!$U$6),TODAY(),IF(AH!$U$5=1,INDEX('Live History'!$G$5:$G$3004,MATCH($A713,'Live History'!$G$5:$G$3004,1)),INDEX('AH History'!$C$5:$C$1380,$K713))),NA()),NA())</f>
        <v/>
      </c>
      <c r="J713" s="32">
        <f>IFERROR(IF(AND($F713&gt;0,$H713&gt;0,$A713-$G713&lt;=10,$A713-$I713&lt;=5,$G713&gt;0,$I713&gt;0),$F713*$H713,NA()),NA())</f>
        <v/>
      </c>
      <c r="K713" s="15">
        <f>IF($A713="","",IF(AH!$U$5=1,IFERROR(MATCH($A713,'Live History'!$A$5:$A$3004,0),0),AH!$U$7+708))</f>
        <v/>
      </c>
      <c r="L713" s="15">
        <f>IF(ISNUMBER(A713),TEXT(A713,"dd-mmm-yy"),"")</f>
        <v/>
      </c>
    </row>
    <row r="714">
      <c r="A714" s="14">
        <f>IF(OR(AH!$U$4=0,709+1&gt;AH!$U$6,AND(AH!$M$5="Bloomberg",AH!$U$5=0)),"",IFERROR(IF(AND(AH!$U$12=1,709+1=AH!$U$6),TODAY(),IF(AH!$U$5=1,INDEX('Live History'!$A$5:$A$3004,AH!$U$7+709),INDEX('AH History'!$A$5:$A$1380,AH!$U$7+709))),""))</f>
        <v/>
      </c>
      <c r="B714" s="33">
        <f>IFERROR(IF(AH!$U$11=1,NA(),$J714/$E714-1),NA())</f>
        <v/>
      </c>
      <c r="C714" s="269">
        <f>IFERROR(100*$E714/$E$5,NA())</f>
        <v/>
      </c>
      <c r="D714" s="269">
        <f>IFERROR(100*$J714/$J$5,NA())</f>
        <v/>
      </c>
      <c r="E714" s="32">
        <f>IFERROR(IF(AND(ISNUMBER($A714),N(IF(AND(AH!$U$12=1,709+1=AH!$U$6),IF(AH!$U$4=0,"unavailable",INDEX('Market Data'!$AN$5:$AN$66,AH!$U$4)),IF(AH!$U$5=1,INDEX('Live History'!$B$5:$B$3004,$K714),INDEX('AH History'!$D$5:$GG$1380,$K714,AH!$U$10))))&gt;0),IF(AND(AH!$U$12=1,709+1=AH!$U$6),IF(AH!$U$4=0,"unavailable",INDEX('Market Data'!$AN$5:$AN$66,AH!$U$4)),IF(AH!$U$5=1,INDEX('Live History'!$B$5:$B$3004,$K714),INDEX('AH History'!$D$5:$GG$1380,$K714,AH!$U$10))),NA()),NA())</f>
        <v/>
      </c>
      <c r="F714" s="32">
        <f>IFERROR(IF(ISNUMBER($A714),IF(AND(AH!$U$12=1,709+1=AH!$U$6),IF(AH!$U$4=0,"unavailable",INDEX('Market Data'!$AO$5:$AO$66,AH!$U$4)),IF(AH!$U$5=1,INDEX('Live History'!$E$5:$E$3004,MATCH($A714,'Live History'!$D$5:$D$3004,1)),INDEX('AH History'!$D$5:$GG$1380,$K714,AH!$U$10+1))),NA()),NA())</f>
        <v/>
      </c>
      <c r="G714" s="34">
        <f>IFERROR(IF(ISNUMBER($A714),IF(AND(AH!$U$12=1,709+1=AH!$U$6),IF(AH!$U$4=0,"unavailable",INDEX('Market Data'!$AK$5:$AK$66,AH!$U$4)),IF(AH!$U$5=1,INDEX('Live History'!$D$5:$D$3004,MATCH($A714,'Live History'!$D$5:$D$3004,1)),INDEX('AH History'!$D$5:$GG$1380,$K714,AH!$U$10+2))),NA()),NA())</f>
        <v/>
      </c>
      <c r="H714" s="266">
        <f>IFERROR(IF(ISNUMBER($A714),IF(AND(AH!$U$12=1,709+1=AH!$U$6),IF(AH!$U$4=0,"unavailable",INDEX('Market Data'!$AP$5:$AP$66,AH!$U$4)),IF(AH!$U$5=1,INDEX('Live History'!$H$5:$H$3004,MATCH($A714,'Live History'!$G$5:$G$3004,1)),INDEX('AH History'!$B$5:$B$1380,$K714))),NA()),NA())</f>
        <v/>
      </c>
      <c r="I714" s="34">
        <f>IFERROR(IF(ISNUMBER($A714),IF(AND(AH!$U$12=1,709+1=AH!$U$6),TODAY(),IF(AH!$U$5=1,INDEX('Live History'!$G$5:$G$3004,MATCH($A714,'Live History'!$G$5:$G$3004,1)),INDEX('AH History'!$C$5:$C$1380,$K714))),NA()),NA())</f>
        <v/>
      </c>
      <c r="J714" s="32">
        <f>IFERROR(IF(AND($F714&gt;0,$H714&gt;0,$A714-$G714&lt;=10,$A714-$I714&lt;=5,$G714&gt;0,$I714&gt;0),$F714*$H714,NA()),NA())</f>
        <v/>
      </c>
      <c r="K714" s="15">
        <f>IF($A714="","",IF(AH!$U$5=1,IFERROR(MATCH($A714,'Live History'!$A$5:$A$3004,0),0),AH!$U$7+709))</f>
        <v/>
      </c>
      <c r="L714" s="15">
        <f>IF(ISNUMBER(A714),TEXT(A714,"dd-mmm-yy"),"")</f>
        <v/>
      </c>
    </row>
    <row r="715">
      <c r="A715" s="14">
        <f>IF(OR(AH!$U$4=0,710+1&gt;AH!$U$6,AND(AH!$M$5="Bloomberg",AH!$U$5=0)),"",IFERROR(IF(AND(AH!$U$12=1,710+1=AH!$U$6),TODAY(),IF(AH!$U$5=1,INDEX('Live History'!$A$5:$A$3004,AH!$U$7+710),INDEX('AH History'!$A$5:$A$1380,AH!$U$7+710))),""))</f>
        <v/>
      </c>
      <c r="B715" s="33">
        <f>IFERROR(IF(AH!$U$11=1,NA(),$J715/$E715-1),NA())</f>
        <v/>
      </c>
      <c r="C715" s="269">
        <f>IFERROR(100*$E715/$E$5,NA())</f>
        <v/>
      </c>
      <c r="D715" s="269">
        <f>IFERROR(100*$J715/$J$5,NA())</f>
        <v/>
      </c>
      <c r="E715" s="32">
        <f>IFERROR(IF(AND(ISNUMBER($A715),N(IF(AND(AH!$U$12=1,710+1=AH!$U$6),IF(AH!$U$4=0,"unavailable",INDEX('Market Data'!$AN$5:$AN$66,AH!$U$4)),IF(AH!$U$5=1,INDEX('Live History'!$B$5:$B$3004,$K715),INDEX('AH History'!$D$5:$GG$1380,$K715,AH!$U$10))))&gt;0),IF(AND(AH!$U$12=1,710+1=AH!$U$6),IF(AH!$U$4=0,"unavailable",INDEX('Market Data'!$AN$5:$AN$66,AH!$U$4)),IF(AH!$U$5=1,INDEX('Live History'!$B$5:$B$3004,$K715),INDEX('AH History'!$D$5:$GG$1380,$K715,AH!$U$10))),NA()),NA())</f>
        <v/>
      </c>
      <c r="F715" s="32">
        <f>IFERROR(IF(ISNUMBER($A715),IF(AND(AH!$U$12=1,710+1=AH!$U$6),IF(AH!$U$4=0,"unavailable",INDEX('Market Data'!$AO$5:$AO$66,AH!$U$4)),IF(AH!$U$5=1,INDEX('Live History'!$E$5:$E$3004,MATCH($A715,'Live History'!$D$5:$D$3004,1)),INDEX('AH History'!$D$5:$GG$1380,$K715,AH!$U$10+1))),NA()),NA())</f>
        <v/>
      </c>
      <c r="G715" s="34">
        <f>IFERROR(IF(ISNUMBER($A715),IF(AND(AH!$U$12=1,710+1=AH!$U$6),IF(AH!$U$4=0,"unavailable",INDEX('Market Data'!$AK$5:$AK$66,AH!$U$4)),IF(AH!$U$5=1,INDEX('Live History'!$D$5:$D$3004,MATCH($A715,'Live History'!$D$5:$D$3004,1)),INDEX('AH History'!$D$5:$GG$1380,$K715,AH!$U$10+2))),NA()),NA())</f>
        <v/>
      </c>
      <c r="H715" s="266">
        <f>IFERROR(IF(ISNUMBER($A715),IF(AND(AH!$U$12=1,710+1=AH!$U$6),IF(AH!$U$4=0,"unavailable",INDEX('Market Data'!$AP$5:$AP$66,AH!$U$4)),IF(AH!$U$5=1,INDEX('Live History'!$H$5:$H$3004,MATCH($A715,'Live History'!$G$5:$G$3004,1)),INDEX('AH History'!$B$5:$B$1380,$K715))),NA()),NA())</f>
        <v/>
      </c>
      <c r="I715" s="34">
        <f>IFERROR(IF(ISNUMBER($A715),IF(AND(AH!$U$12=1,710+1=AH!$U$6),TODAY(),IF(AH!$U$5=1,INDEX('Live History'!$G$5:$G$3004,MATCH($A715,'Live History'!$G$5:$G$3004,1)),INDEX('AH History'!$C$5:$C$1380,$K715))),NA()),NA())</f>
        <v/>
      </c>
      <c r="J715" s="32">
        <f>IFERROR(IF(AND($F715&gt;0,$H715&gt;0,$A715-$G715&lt;=10,$A715-$I715&lt;=5,$G715&gt;0,$I715&gt;0),$F715*$H715,NA()),NA())</f>
        <v/>
      </c>
      <c r="K715" s="15">
        <f>IF($A715="","",IF(AH!$U$5=1,IFERROR(MATCH($A715,'Live History'!$A$5:$A$3004,0),0),AH!$U$7+710))</f>
        <v/>
      </c>
      <c r="L715" s="15">
        <f>IF(ISNUMBER(A715),TEXT(A715,"dd-mmm-yy"),"")</f>
        <v/>
      </c>
    </row>
    <row r="716">
      <c r="A716" s="14">
        <f>IF(OR(AH!$U$4=0,711+1&gt;AH!$U$6,AND(AH!$M$5="Bloomberg",AH!$U$5=0)),"",IFERROR(IF(AND(AH!$U$12=1,711+1=AH!$U$6),TODAY(),IF(AH!$U$5=1,INDEX('Live History'!$A$5:$A$3004,AH!$U$7+711),INDEX('AH History'!$A$5:$A$1380,AH!$U$7+711))),""))</f>
        <v/>
      </c>
      <c r="B716" s="33">
        <f>IFERROR(IF(AH!$U$11=1,NA(),$J716/$E716-1),NA())</f>
        <v/>
      </c>
      <c r="C716" s="269">
        <f>IFERROR(100*$E716/$E$5,NA())</f>
        <v/>
      </c>
      <c r="D716" s="269">
        <f>IFERROR(100*$J716/$J$5,NA())</f>
        <v/>
      </c>
      <c r="E716" s="32">
        <f>IFERROR(IF(AND(ISNUMBER($A716),N(IF(AND(AH!$U$12=1,711+1=AH!$U$6),IF(AH!$U$4=0,"unavailable",INDEX('Market Data'!$AN$5:$AN$66,AH!$U$4)),IF(AH!$U$5=1,INDEX('Live History'!$B$5:$B$3004,$K716),INDEX('AH History'!$D$5:$GG$1380,$K716,AH!$U$10))))&gt;0),IF(AND(AH!$U$12=1,711+1=AH!$U$6),IF(AH!$U$4=0,"unavailable",INDEX('Market Data'!$AN$5:$AN$66,AH!$U$4)),IF(AH!$U$5=1,INDEX('Live History'!$B$5:$B$3004,$K716),INDEX('AH History'!$D$5:$GG$1380,$K716,AH!$U$10))),NA()),NA())</f>
        <v/>
      </c>
      <c r="F716" s="32">
        <f>IFERROR(IF(ISNUMBER($A716),IF(AND(AH!$U$12=1,711+1=AH!$U$6),IF(AH!$U$4=0,"unavailable",INDEX('Market Data'!$AO$5:$AO$66,AH!$U$4)),IF(AH!$U$5=1,INDEX('Live History'!$E$5:$E$3004,MATCH($A716,'Live History'!$D$5:$D$3004,1)),INDEX('AH History'!$D$5:$GG$1380,$K716,AH!$U$10+1))),NA()),NA())</f>
        <v/>
      </c>
      <c r="G716" s="34">
        <f>IFERROR(IF(ISNUMBER($A716),IF(AND(AH!$U$12=1,711+1=AH!$U$6),IF(AH!$U$4=0,"unavailable",INDEX('Market Data'!$AK$5:$AK$66,AH!$U$4)),IF(AH!$U$5=1,INDEX('Live History'!$D$5:$D$3004,MATCH($A716,'Live History'!$D$5:$D$3004,1)),INDEX('AH History'!$D$5:$GG$1380,$K716,AH!$U$10+2))),NA()),NA())</f>
        <v/>
      </c>
      <c r="H716" s="266">
        <f>IFERROR(IF(ISNUMBER($A716),IF(AND(AH!$U$12=1,711+1=AH!$U$6),IF(AH!$U$4=0,"unavailable",INDEX('Market Data'!$AP$5:$AP$66,AH!$U$4)),IF(AH!$U$5=1,INDEX('Live History'!$H$5:$H$3004,MATCH($A716,'Live History'!$G$5:$G$3004,1)),INDEX('AH History'!$B$5:$B$1380,$K716))),NA()),NA())</f>
        <v/>
      </c>
      <c r="I716" s="34">
        <f>IFERROR(IF(ISNUMBER($A716),IF(AND(AH!$U$12=1,711+1=AH!$U$6),TODAY(),IF(AH!$U$5=1,INDEX('Live History'!$G$5:$G$3004,MATCH($A716,'Live History'!$G$5:$G$3004,1)),INDEX('AH History'!$C$5:$C$1380,$K716))),NA()),NA())</f>
        <v/>
      </c>
      <c r="J716" s="32">
        <f>IFERROR(IF(AND($F716&gt;0,$H716&gt;0,$A716-$G716&lt;=10,$A716-$I716&lt;=5,$G716&gt;0,$I716&gt;0),$F716*$H716,NA()),NA())</f>
        <v/>
      </c>
      <c r="K716" s="15">
        <f>IF($A716="","",IF(AH!$U$5=1,IFERROR(MATCH($A716,'Live History'!$A$5:$A$3004,0),0),AH!$U$7+711))</f>
        <v/>
      </c>
      <c r="L716" s="15">
        <f>IF(ISNUMBER(A716),TEXT(A716,"dd-mmm-yy"),"")</f>
        <v/>
      </c>
    </row>
    <row r="717">
      <c r="A717" s="14">
        <f>IF(OR(AH!$U$4=0,712+1&gt;AH!$U$6,AND(AH!$M$5="Bloomberg",AH!$U$5=0)),"",IFERROR(IF(AND(AH!$U$12=1,712+1=AH!$U$6),TODAY(),IF(AH!$U$5=1,INDEX('Live History'!$A$5:$A$3004,AH!$U$7+712),INDEX('AH History'!$A$5:$A$1380,AH!$U$7+712))),""))</f>
        <v/>
      </c>
      <c r="B717" s="33">
        <f>IFERROR(IF(AH!$U$11=1,NA(),$J717/$E717-1),NA())</f>
        <v/>
      </c>
      <c r="C717" s="269">
        <f>IFERROR(100*$E717/$E$5,NA())</f>
        <v/>
      </c>
      <c r="D717" s="269">
        <f>IFERROR(100*$J717/$J$5,NA())</f>
        <v/>
      </c>
      <c r="E717" s="32">
        <f>IFERROR(IF(AND(ISNUMBER($A717),N(IF(AND(AH!$U$12=1,712+1=AH!$U$6),IF(AH!$U$4=0,"unavailable",INDEX('Market Data'!$AN$5:$AN$66,AH!$U$4)),IF(AH!$U$5=1,INDEX('Live History'!$B$5:$B$3004,$K717),INDEX('AH History'!$D$5:$GG$1380,$K717,AH!$U$10))))&gt;0),IF(AND(AH!$U$12=1,712+1=AH!$U$6),IF(AH!$U$4=0,"unavailable",INDEX('Market Data'!$AN$5:$AN$66,AH!$U$4)),IF(AH!$U$5=1,INDEX('Live History'!$B$5:$B$3004,$K717),INDEX('AH History'!$D$5:$GG$1380,$K717,AH!$U$10))),NA()),NA())</f>
        <v/>
      </c>
      <c r="F717" s="32">
        <f>IFERROR(IF(ISNUMBER($A717),IF(AND(AH!$U$12=1,712+1=AH!$U$6),IF(AH!$U$4=0,"unavailable",INDEX('Market Data'!$AO$5:$AO$66,AH!$U$4)),IF(AH!$U$5=1,INDEX('Live History'!$E$5:$E$3004,MATCH($A717,'Live History'!$D$5:$D$3004,1)),INDEX('AH History'!$D$5:$GG$1380,$K717,AH!$U$10+1))),NA()),NA())</f>
        <v/>
      </c>
      <c r="G717" s="34">
        <f>IFERROR(IF(ISNUMBER($A717),IF(AND(AH!$U$12=1,712+1=AH!$U$6),IF(AH!$U$4=0,"unavailable",INDEX('Market Data'!$AK$5:$AK$66,AH!$U$4)),IF(AH!$U$5=1,INDEX('Live History'!$D$5:$D$3004,MATCH($A717,'Live History'!$D$5:$D$3004,1)),INDEX('AH History'!$D$5:$GG$1380,$K717,AH!$U$10+2))),NA()),NA())</f>
        <v/>
      </c>
      <c r="H717" s="266">
        <f>IFERROR(IF(ISNUMBER($A717),IF(AND(AH!$U$12=1,712+1=AH!$U$6),IF(AH!$U$4=0,"unavailable",INDEX('Market Data'!$AP$5:$AP$66,AH!$U$4)),IF(AH!$U$5=1,INDEX('Live History'!$H$5:$H$3004,MATCH($A717,'Live History'!$G$5:$G$3004,1)),INDEX('AH History'!$B$5:$B$1380,$K717))),NA()),NA())</f>
        <v/>
      </c>
      <c r="I717" s="34">
        <f>IFERROR(IF(ISNUMBER($A717),IF(AND(AH!$U$12=1,712+1=AH!$U$6),TODAY(),IF(AH!$U$5=1,INDEX('Live History'!$G$5:$G$3004,MATCH($A717,'Live History'!$G$5:$G$3004,1)),INDEX('AH History'!$C$5:$C$1380,$K717))),NA()),NA())</f>
        <v/>
      </c>
      <c r="J717" s="32">
        <f>IFERROR(IF(AND($F717&gt;0,$H717&gt;0,$A717-$G717&lt;=10,$A717-$I717&lt;=5,$G717&gt;0,$I717&gt;0),$F717*$H717,NA()),NA())</f>
        <v/>
      </c>
      <c r="K717" s="15">
        <f>IF($A717="","",IF(AH!$U$5=1,IFERROR(MATCH($A717,'Live History'!$A$5:$A$3004,0),0),AH!$U$7+712))</f>
        <v/>
      </c>
      <c r="L717" s="15">
        <f>IF(ISNUMBER(A717),TEXT(A717,"dd-mmm-yy"),"")</f>
        <v/>
      </c>
    </row>
    <row r="718">
      <c r="A718" s="14">
        <f>IF(OR(AH!$U$4=0,713+1&gt;AH!$U$6,AND(AH!$M$5="Bloomberg",AH!$U$5=0)),"",IFERROR(IF(AND(AH!$U$12=1,713+1=AH!$U$6),TODAY(),IF(AH!$U$5=1,INDEX('Live History'!$A$5:$A$3004,AH!$U$7+713),INDEX('AH History'!$A$5:$A$1380,AH!$U$7+713))),""))</f>
        <v/>
      </c>
      <c r="B718" s="33">
        <f>IFERROR(IF(AH!$U$11=1,NA(),$J718/$E718-1),NA())</f>
        <v/>
      </c>
      <c r="C718" s="269">
        <f>IFERROR(100*$E718/$E$5,NA())</f>
        <v/>
      </c>
      <c r="D718" s="269">
        <f>IFERROR(100*$J718/$J$5,NA())</f>
        <v/>
      </c>
      <c r="E718" s="32">
        <f>IFERROR(IF(AND(ISNUMBER($A718),N(IF(AND(AH!$U$12=1,713+1=AH!$U$6),IF(AH!$U$4=0,"unavailable",INDEX('Market Data'!$AN$5:$AN$66,AH!$U$4)),IF(AH!$U$5=1,INDEX('Live History'!$B$5:$B$3004,$K718),INDEX('AH History'!$D$5:$GG$1380,$K718,AH!$U$10))))&gt;0),IF(AND(AH!$U$12=1,713+1=AH!$U$6),IF(AH!$U$4=0,"unavailable",INDEX('Market Data'!$AN$5:$AN$66,AH!$U$4)),IF(AH!$U$5=1,INDEX('Live History'!$B$5:$B$3004,$K718),INDEX('AH History'!$D$5:$GG$1380,$K718,AH!$U$10))),NA()),NA())</f>
        <v/>
      </c>
      <c r="F718" s="32">
        <f>IFERROR(IF(ISNUMBER($A718),IF(AND(AH!$U$12=1,713+1=AH!$U$6),IF(AH!$U$4=0,"unavailable",INDEX('Market Data'!$AO$5:$AO$66,AH!$U$4)),IF(AH!$U$5=1,INDEX('Live History'!$E$5:$E$3004,MATCH($A718,'Live History'!$D$5:$D$3004,1)),INDEX('AH History'!$D$5:$GG$1380,$K718,AH!$U$10+1))),NA()),NA())</f>
        <v/>
      </c>
      <c r="G718" s="34">
        <f>IFERROR(IF(ISNUMBER($A718),IF(AND(AH!$U$12=1,713+1=AH!$U$6),IF(AH!$U$4=0,"unavailable",INDEX('Market Data'!$AK$5:$AK$66,AH!$U$4)),IF(AH!$U$5=1,INDEX('Live History'!$D$5:$D$3004,MATCH($A718,'Live History'!$D$5:$D$3004,1)),INDEX('AH History'!$D$5:$GG$1380,$K718,AH!$U$10+2))),NA()),NA())</f>
        <v/>
      </c>
      <c r="H718" s="266">
        <f>IFERROR(IF(ISNUMBER($A718),IF(AND(AH!$U$12=1,713+1=AH!$U$6),IF(AH!$U$4=0,"unavailable",INDEX('Market Data'!$AP$5:$AP$66,AH!$U$4)),IF(AH!$U$5=1,INDEX('Live History'!$H$5:$H$3004,MATCH($A718,'Live History'!$G$5:$G$3004,1)),INDEX('AH History'!$B$5:$B$1380,$K718))),NA()),NA())</f>
        <v/>
      </c>
      <c r="I718" s="34">
        <f>IFERROR(IF(ISNUMBER($A718),IF(AND(AH!$U$12=1,713+1=AH!$U$6),TODAY(),IF(AH!$U$5=1,INDEX('Live History'!$G$5:$G$3004,MATCH($A718,'Live History'!$G$5:$G$3004,1)),INDEX('AH History'!$C$5:$C$1380,$K718))),NA()),NA())</f>
        <v/>
      </c>
      <c r="J718" s="32">
        <f>IFERROR(IF(AND($F718&gt;0,$H718&gt;0,$A718-$G718&lt;=10,$A718-$I718&lt;=5,$G718&gt;0,$I718&gt;0),$F718*$H718,NA()),NA())</f>
        <v/>
      </c>
      <c r="K718" s="15">
        <f>IF($A718="","",IF(AH!$U$5=1,IFERROR(MATCH($A718,'Live History'!$A$5:$A$3004,0),0),AH!$U$7+713))</f>
        <v/>
      </c>
      <c r="L718" s="15">
        <f>IF(ISNUMBER(A718),TEXT(A718,"dd-mmm-yy"),"")</f>
        <v/>
      </c>
    </row>
    <row r="719">
      <c r="A719" s="14">
        <f>IF(OR(AH!$U$4=0,714+1&gt;AH!$U$6,AND(AH!$M$5="Bloomberg",AH!$U$5=0)),"",IFERROR(IF(AND(AH!$U$12=1,714+1=AH!$U$6),TODAY(),IF(AH!$U$5=1,INDEX('Live History'!$A$5:$A$3004,AH!$U$7+714),INDEX('AH History'!$A$5:$A$1380,AH!$U$7+714))),""))</f>
        <v/>
      </c>
      <c r="B719" s="33">
        <f>IFERROR(IF(AH!$U$11=1,NA(),$J719/$E719-1),NA())</f>
        <v/>
      </c>
      <c r="C719" s="269">
        <f>IFERROR(100*$E719/$E$5,NA())</f>
        <v/>
      </c>
      <c r="D719" s="269">
        <f>IFERROR(100*$J719/$J$5,NA())</f>
        <v/>
      </c>
      <c r="E719" s="32">
        <f>IFERROR(IF(AND(ISNUMBER($A719),N(IF(AND(AH!$U$12=1,714+1=AH!$U$6),IF(AH!$U$4=0,"unavailable",INDEX('Market Data'!$AN$5:$AN$66,AH!$U$4)),IF(AH!$U$5=1,INDEX('Live History'!$B$5:$B$3004,$K719),INDEX('AH History'!$D$5:$GG$1380,$K719,AH!$U$10))))&gt;0),IF(AND(AH!$U$12=1,714+1=AH!$U$6),IF(AH!$U$4=0,"unavailable",INDEX('Market Data'!$AN$5:$AN$66,AH!$U$4)),IF(AH!$U$5=1,INDEX('Live History'!$B$5:$B$3004,$K719),INDEX('AH History'!$D$5:$GG$1380,$K719,AH!$U$10))),NA()),NA())</f>
        <v/>
      </c>
      <c r="F719" s="32">
        <f>IFERROR(IF(ISNUMBER($A719),IF(AND(AH!$U$12=1,714+1=AH!$U$6),IF(AH!$U$4=0,"unavailable",INDEX('Market Data'!$AO$5:$AO$66,AH!$U$4)),IF(AH!$U$5=1,INDEX('Live History'!$E$5:$E$3004,MATCH($A719,'Live History'!$D$5:$D$3004,1)),INDEX('AH History'!$D$5:$GG$1380,$K719,AH!$U$10+1))),NA()),NA())</f>
        <v/>
      </c>
      <c r="G719" s="34">
        <f>IFERROR(IF(ISNUMBER($A719),IF(AND(AH!$U$12=1,714+1=AH!$U$6),IF(AH!$U$4=0,"unavailable",INDEX('Market Data'!$AK$5:$AK$66,AH!$U$4)),IF(AH!$U$5=1,INDEX('Live History'!$D$5:$D$3004,MATCH($A719,'Live History'!$D$5:$D$3004,1)),INDEX('AH History'!$D$5:$GG$1380,$K719,AH!$U$10+2))),NA()),NA())</f>
        <v/>
      </c>
      <c r="H719" s="266">
        <f>IFERROR(IF(ISNUMBER($A719),IF(AND(AH!$U$12=1,714+1=AH!$U$6),IF(AH!$U$4=0,"unavailable",INDEX('Market Data'!$AP$5:$AP$66,AH!$U$4)),IF(AH!$U$5=1,INDEX('Live History'!$H$5:$H$3004,MATCH($A719,'Live History'!$G$5:$G$3004,1)),INDEX('AH History'!$B$5:$B$1380,$K719))),NA()),NA())</f>
        <v/>
      </c>
      <c r="I719" s="34">
        <f>IFERROR(IF(ISNUMBER($A719),IF(AND(AH!$U$12=1,714+1=AH!$U$6),TODAY(),IF(AH!$U$5=1,INDEX('Live History'!$G$5:$G$3004,MATCH($A719,'Live History'!$G$5:$G$3004,1)),INDEX('AH History'!$C$5:$C$1380,$K719))),NA()),NA())</f>
        <v/>
      </c>
      <c r="J719" s="32">
        <f>IFERROR(IF(AND($F719&gt;0,$H719&gt;0,$A719-$G719&lt;=10,$A719-$I719&lt;=5,$G719&gt;0,$I719&gt;0),$F719*$H719,NA()),NA())</f>
        <v/>
      </c>
      <c r="K719" s="15">
        <f>IF($A719="","",IF(AH!$U$5=1,IFERROR(MATCH($A719,'Live History'!$A$5:$A$3004,0),0),AH!$U$7+714))</f>
        <v/>
      </c>
      <c r="L719" s="15">
        <f>IF(ISNUMBER(A719),TEXT(A719,"dd-mmm-yy"),"")</f>
        <v/>
      </c>
    </row>
    <row r="720">
      <c r="A720" s="14">
        <f>IF(OR(AH!$U$4=0,715+1&gt;AH!$U$6,AND(AH!$M$5="Bloomberg",AH!$U$5=0)),"",IFERROR(IF(AND(AH!$U$12=1,715+1=AH!$U$6),TODAY(),IF(AH!$U$5=1,INDEX('Live History'!$A$5:$A$3004,AH!$U$7+715),INDEX('AH History'!$A$5:$A$1380,AH!$U$7+715))),""))</f>
        <v/>
      </c>
      <c r="B720" s="33">
        <f>IFERROR(IF(AH!$U$11=1,NA(),$J720/$E720-1),NA())</f>
        <v/>
      </c>
      <c r="C720" s="269">
        <f>IFERROR(100*$E720/$E$5,NA())</f>
        <v/>
      </c>
      <c r="D720" s="269">
        <f>IFERROR(100*$J720/$J$5,NA())</f>
        <v/>
      </c>
      <c r="E720" s="32">
        <f>IFERROR(IF(AND(ISNUMBER($A720),N(IF(AND(AH!$U$12=1,715+1=AH!$U$6),IF(AH!$U$4=0,"unavailable",INDEX('Market Data'!$AN$5:$AN$66,AH!$U$4)),IF(AH!$U$5=1,INDEX('Live History'!$B$5:$B$3004,$K720),INDEX('AH History'!$D$5:$GG$1380,$K720,AH!$U$10))))&gt;0),IF(AND(AH!$U$12=1,715+1=AH!$U$6),IF(AH!$U$4=0,"unavailable",INDEX('Market Data'!$AN$5:$AN$66,AH!$U$4)),IF(AH!$U$5=1,INDEX('Live History'!$B$5:$B$3004,$K720),INDEX('AH History'!$D$5:$GG$1380,$K720,AH!$U$10))),NA()),NA())</f>
        <v/>
      </c>
      <c r="F720" s="32">
        <f>IFERROR(IF(ISNUMBER($A720),IF(AND(AH!$U$12=1,715+1=AH!$U$6),IF(AH!$U$4=0,"unavailable",INDEX('Market Data'!$AO$5:$AO$66,AH!$U$4)),IF(AH!$U$5=1,INDEX('Live History'!$E$5:$E$3004,MATCH($A720,'Live History'!$D$5:$D$3004,1)),INDEX('AH History'!$D$5:$GG$1380,$K720,AH!$U$10+1))),NA()),NA())</f>
        <v/>
      </c>
      <c r="G720" s="34">
        <f>IFERROR(IF(ISNUMBER($A720),IF(AND(AH!$U$12=1,715+1=AH!$U$6),IF(AH!$U$4=0,"unavailable",INDEX('Market Data'!$AK$5:$AK$66,AH!$U$4)),IF(AH!$U$5=1,INDEX('Live History'!$D$5:$D$3004,MATCH($A720,'Live History'!$D$5:$D$3004,1)),INDEX('AH History'!$D$5:$GG$1380,$K720,AH!$U$10+2))),NA()),NA())</f>
        <v/>
      </c>
      <c r="H720" s="266">
        <f>IFERROR(IF(ISNUMBER($A720),IF(AND(AH!$U$12=1,715+1=AH!$U$6),IF(AH!$U$4=0,"unavailable",INDEX('Market Data'!$AP$5:$AP$66,AH!$U$4)),IF(AH!$U$5=1,INDEX('Live History'!$H$5:$H$3004,MATCH($A720,'Live History'!$G$5:$G$3004,1)),INDEX('AH History'!$B$5:$B$1380,$K720))),NA()),NA())</f>
        <v/>
      </c>
      <c r="I720" s="34">
        <f>IFERROR(IF(ISNUMBER($A720),IF(AND(AH!$U$12=1,715+1=AH!$U$6),TODAY(),IF(AH!$U$5=1,INDEX('Live History'!$G$5:$G$3004,MATCH($A720,'Live History'!$G$5:$G$3004,1)),INDEX('AH History'!$C$5:$C$1380,$K720))),NA()),NA())</f>
        <v/>
      </c>
      <c r="J720" s="32">
        <f>IFERROR(IF(AND($F720&gt;0,$H720&gt;0,$A720-$G720&lt;=10,$A720-$I720&lt;=5,$G720&gt;0,$I720&gt;0),$F720*$H720,NA()),NA())</f>
        <v/>
      </c>
      <c r="K720" s="15">
        <f>IF($A720="","",IF(AH!$U$5=1,IFERROR(MATCH($A720,'Live History'!$A$5:$A$3004,0),0),AH!$U$7+715))</f>
        <v/>
      </c>
      <c r="L720" s="15">
        <f>IF(ISNUMBER(A720),TEXT(A720,"dd-mmm-yy"),"")</f>
        <v/>
      </c>
    </row>
    <row r="721">
      <c r="A721" s="14">
        <f>IF(OR(AH!$U$4=0,716+1&gt;AH!$U$6,AND(AH!$M$5="Bloomberg",AH!$U$5=0)),"",IFERROR(IF(AND(AH!$U$12=1,716+1=AH!$U$6),TODAY(),IF(AH!$U$5=1,INDEX('Live History'!$A$5:$A$3004,AH!$U$7+716),INDEX('AH History'!$A$5:$A$1380,AH!$U$7+716))),""))</f>
        <v/>
      </c>
      <c r="B721" s="33">
        <f>IFERROR(IF(AH!$U$11=1,NA(),$J721/$E721-1),NA())</f>
        <v/>
      </c>
      <c r="C721" s="269">
        <f>IFERROR(100*$E721/$E$5,NA())</f>
        <v/>
      </c>
      <c r="D721" s="269">
        <f>IFERROR(100*$J721/$J$5,NA())</f>
        <v/>
      </c>
      <c r="E721" s="32">
        <f>IFERROR(IF(AND(ISNUMBER($A721),N(IF(AND(AH!$U$12=1,716+1=AH!$U$6),IF(AH!$U$4=0,"unavailable",INDEX('Market Data'!$AN$5:$AN$66,AH!$U$4)),IF(AH!$U$5=1,INDEX('Live History'!$B$5:$B$3004,$K721),INDEX('AH History'!$D$5:$GG$1380,$K721,AH!$U$10))))&gt;0),IF(AND(AH!$U$12=1,716+1=AH!$U$6),IF(AH!$U$4=0,"unavailable",INDEX('Market Data'!$AN$5:$AN$66,AH!$U$4)),IF(AH!$U$5=1,INDEX('Live History'!$B$5:$B$3004,$K721),INDEX('AH History'!$D$5:$GG$1380,$K721,AH!$U$10))),NA()),NA())</f>
        <v/>
      </c>
      <c r="F721" s="32">
        <f>IFERROR(IF(ISNUMBER($A721),IF(AND(AH!$U$12=1,716+1=AH!$U$6),IF(AH!$U$4=0,"unavailable",INDEX('Market Data'!$AO$5:$AO$66,AH!$U$4)),IF(AH!$U$5=1,INDEX('Live History'!$E$5:$E$3004,MATCH($A721,'Live History'!$D$5:$D$3004,1)),INDEX('AH History'!$D$5:$GG$1380,$K721,AH!$U$10+1))),NA()),NA())</f>
        <v/>
      </c>
      <c r="G721" s="34">
        <f>IFERROR(IF(ISNUMBER($A721),IF(AND(AH!$U$12=1,716+1=AH!$U$6),IF(AH!$U$4=0,"unavailable",INDEX('Market Data'!$AK$5:$AK$66,AH!$U$4)),IF(AH!$U$5=1,INDEX('Live History'!$D$5:$D$3004,MATCH($A721,'Live History'!$D$5:$D$3004,1)),INDEX('AH History'!$D$5:$GG$1380,$K721,AH!$U$10+2))),NA()),NA())</f>
        <v/>
      </c>
      <c r="H721" s="266">
        <f>IFERROR(IF(ISNUMBER($A721),IF(AND(AH!$U$12=1,716+1=AH!$U$6),IF(AH!$U$4=0,"unavailable",INDEX('Market Data'!$AP$5:$AP$66,AH!$U$4)),IF(AH!$U$5=1,INDEX('Live History'!$H$5:$H$3004,MATCH($A721,'Live History'!$G$5:$G$3004,1)),INDEX('AH History'!$B$5:$B$1380,$K721))),NA()),NA())</f>
        <v/>
      </c>
      <c r="I721" s="34">
        <f>IFERROR(IF(ISNUMBER($A721),IF(AND(AH!$U$12=1,716+1=AH!$U$6),TODAY(),IF(AH!$U$5=1,INDEX('Live History'!$G$5:$G$3004,MATCH($A721,'Live History'!$G$5:$G$3004,1)),INDEX('AH History'!$C$5:$C$1380,$K721))),NA()),NA())</f>
        <v/>
      </c>
      <c r="J721" s="32">
        <f>IFERROR(IF(AND($F721&gt;0,$H721&gt;0,$A721-$G721&lt;=10,$A721-$I721&lt;=5,$G721&gt;0,$I721&gt;0),$F721*$H721,NA()),NA())</f>
        <v/>
      </c>
      <c r="K721" s="15">
        <f>IF($A721="","",IF(AH!$U$5=1,IFERROR(MATCH($A721,'Live History'!$A$5:$A$3004,0),0),AH!$U$7+716))</f>
        <v/>
      </c>
      <c r="L721" s="15">
        <f>IF(ISNUMBER(A721),TEXT(A721,"dd-mmm-yy"),"")</f>
        <v/>
      </c>
    </row>
    <row r="722">
      <c r="A722" s="14">
        <f>IF(OR(AH!$U$4=0,717+1&gt;AH!$U$6,AND(AH!$M$5="Bloomberg",AH!$U$5=0)),"",IFERROR(IF(AND(AH!$U$12=1,717+1=AH!$U$6),TODAY(),IF(AH!$U$5=1,INDEX('Live History'!$A$5:$A$3004,AH!$U$7+717),INDEX('AH History'!$A$5:$A$1380,AH!$U$7+717))),""))</f>
        <v/>
      </c>
      <c r="B722" s="33">
        <f>IFERROR(IF(AH!$U$11=1,NA(),$J722/$E722-1),NA())</f>
        <v/>
      </c>
      <c r="C722" s="269">
        <f>IFERROR(100*$E722/$E$5,NA())</f>
        <v/>
      </c>
      <c r="D722" s="269">
        <f>IFERROR(100*$J722/$J$5,NA())</f>
        <v/>
      </c>
      <c r="E722" s="32">
        <f>IFERROR(IF(AND(ISNUMBER($A722),N(IF(AND(AH!$U$12=1,717+1=AH!$U$6),IF(AH!$U$4=0,"unavailable",INDEX('Market Data'!$AN$5:$AN$66,AH!$U$4)),IF(AH!$U$5=1,INDEX('Live History'!$B$5:$B$3004,$K722),INDEX('AH History'!$D$5:$GG$1380,$K722,AH!$U$10))))&gt;0),IF(AND(AH!$U$12=1,717+1=AH!$U$6),IF(AH!$U$4=0,"unavailable",INDEX('Market Data'!$AN$5:$AN$66,AH!$U$4)),IF(AH!$U$5=1,INDEX('Live History'!$B$5:$B$3004,$K722),INDEX('AH History'!$D$5:$GG$1380,$K722,AH!$U$10))),NA()),NA())</f>
        <v/>
      </c>
      <c r="F722" s="32">
        <f>IFERROR(IF(ISNUMBER($A722),IF(AND(AH!$U$12=1,717+1=AH!$U$6),IF(AH!$U$4=0,"unavailable",INDEX('Market Data'!$AO$5:$AO$66,AH!$U$4)),IF(AH!$U$5=1,INDEX('Live History'!$E$5:$E$3004,MATCH($A722,'Live History'!$D$5:$D$3004,1)),INDEX('AH History'!$D$5:$GG$1380,$K722,AH!$U$10+1))),NA()),NA())</f>
        <v/>
      </c>
      <c r="G722" s="34">
        <f>IFERROR(IF(ISNUMBER($A722),IF(AND(AH!$U$12=1,717+1=AH!$U$6),IF(AH!$U$4=0,"unavailable",INDEX('Market Data'!$AK$5:$AK$66,AH!$U$4)),IF(AH!$U$5=1,INDEX('Live History'!$D$5:$D$3004,MATCH($A722,'Live History'!$D$5:$D$3004,1)),INDEX('AH History'!$D$5:$GG$1380,$K722,AH!$U$10+2))),NA()),NA())</f>
        <v/>
      </c>
      <c r="H722" s="266">
        <f>IFERROR(IF(ISNUMBER($A722),IF(AND(AH!$U$12=1,717+1=AH!$U$6),IF(AH!$U$4=0,"unavailable",INDEX('Market Data'!$AP$5:$AP$66,AH!$U$4)),IF(AH!$U$5=1,INDEX('Live History'!$H$5:$H$3004,MATCH($A722,'Live History'!$G$5:$G$3004,1)),INDEX('AH History'!$B$5:$B$1380,$K722))),NA()),NA())</f>
        <v/>
      </c>
      <c r="I722" s="34">
        <f>IFERROR(IF(ISNUMBER($A722),IF(AND(AH!$U$12=1,717+1=AH!$U$6),TODAY(),IF(AH!$U$5=1,INDEX('Live History'!$G$5:$G$3004,MATCH($A722,'Live History'!$G$5:$G$3004,1)),INDEX('AH History'!$C$5:$C$1380,$K722))),NA()),NA())</f>
        <v/>
      </c>
      <c r="J722" s="32">
        <f>IFERROR(IF(AND($F722&gt;0,$H722&gt;0,$A722-$G722&lt;=10,$A722-$I722&lt;=5,$G722&gt;0,$I722&gt;0),$F722*$H722,NA()),NA())</f>
        <v/>
      </c>
      <c r="K722" s="15">
        <f>IF($A722="","",IF(AH!$U$5=1,IFERROR(MATCH($A722,'Live History'!$A$5:$A$3004,0),0),AH!$U$7+717))</f>
        <v/>
      </c>
      <c r="L722" s="15">
        <f>IF(ISNUMBER(A722),TEXT(A722,"dd-mmm-yy"),"")</f>
        <v/>
      </c>
    </row>
    <row r="723">
      <c r="A723" s="14">
        <f>IF(OR(AH!$U$4=0,718+1&gt;AH!$U$6,AND(AH!$M$5="Bloomberg",AH!$U$5=0)),"",IFERROR(IF(AND(AH!$U$12=1,718+1=AH!$U$6),TODAY(),IF(AH!$U$5=1,INDEX('Live History'!$A$5:$A$3004,AH!$U$7+718),INDEX('AH History'!$A$5:$A$1380,AH!$U$7+718))),""))</f>
        <v/>
      </c>
      <c r="B723" s="33">
        <f>IFERROR(IF(AH!$U$11=1,NA(),$J723/$E723-1),NA())</f>
        <v/>
      </c>
      <c r="C723" s="269">
        <f>IFERROR(100*$E723/$E$5,NA())</f>
        <v/>
      </c>
      <c r="D723" s="269">
        <f>IFERROR(100*$J723/$J$5,NA())</f>
        <v/>
      </c>
      <c r="E723" s="32">
        <f>IFERROR(IF(AND(ISNUMBER($A723),N(IF(AND(AH!$U$12=1,718+1=AH!$U$6),IF(AH!$U$4=0,"unavailable",INDEX('Market Data'!$AN$5:$AN$66,AH!$U$4)),IF(AH!$U$5=1,INDEX('Live History'!$B$5:$B$3004,$K723),INDEX('AH History'!$D$5:$GG$1380,$K723,AH!$U$10))))&gt;0),IF(AND(AH!$U$12=1,718+1=AH!$U$6),IF(AH!$U$4=0,"unavailable",INDEX('Market Data'!$AN$5:$AN$66,AH!$U$4)),IF(AH!$U$5=1,INDEX('Live History'!$B$5:$B$3004,$K723),INDEX('AH History'!$D$5:$GG$1380,$K723,AH!$U$10))),NA()),NA())</f>
        <v/>
      </c>
      <c r="F723" s="32">
        <f>IFERROR(IF(ISNUMBER($A723),IF(AND(AH!$U$12=1,718+1=AH!$U$6),IF(AH!$U$4=0,"unavailable",INDEX('Market Data'!$AO$5:$AO$66,AH!$U$4)),IF(AH!$U$5=1,INDEX('Live History'!$E$5:$E$3004,MATCH($A723,'Live History'!$D$5:$D$3004,1)),INDEX('AH History'!$D$5:$GG$1380,$K723,AH!$U$10+1))),NA()),NA())</f>
        <v/>
      </c>
      <c r="G723" s="34">
        <f>IFERROR(IF(ISNUMBER($A723),IF(AND(AH!$U$12=1,718+1=AH!$U$6),IF(AH!$U$4=0,"unavailable",INDEX('Market Data'!$AK$5:$AK$66,AH!$U$4)),IF(AH!$U$5=1,INDEX('Live History'!$D$5:$D$3004,MATCH($A723,'Live History'!$D$5:$D$3004,1)),INDEX('AH History'!$D$5:$GG$1380,$K723,AH!$U$10+2))),NA()),NA())</f>
        <v/>
      </c>
      <c r="H723" s="266">
        <f>IFERROR(IF(ISNUMBER($A723),IF(AND(AH!$U$12=1,718+1=AH!$U$6),IF(AH!$U$4=0,"unavailable",INDEX('Market Data'!$AP$5:$AP$66,AH!$U$4)),IF(AH!$U$5=1,INDEX('Live History'!$H$5:$H$3004,MATCH($A723,'Live History'!$G$5:$G$3004,1)),INDEX('AH History'!$B$5:$B$1380,$K723))),NA()),NA())</f>
        <v/>
      </c>
      <c r="I723" s="34">
        <f>IFERROR(IF(ISNUMBER($A723),IF(AND(AH!$U$12=1,718+1=AH!$U$6),TODAY(),IF(AH!$U$5=1,INDEX('Live History'!$G$5:$G$3004,MATCH($A723,'Live History'!$G$5:$G$3004,1)),INDEX('AH History'!$C$5:$C$1380,$K723))),NA()),NA())</f>
        <v/>
      </c>
      <c r="J723" s="32">
        <f>IFERROR(IF(AND($F723&gt;0,$H723&gt;0,$A723-$G723&lt;=10,$A723-$I723&lt;=5,$G723&gt;0,$I723&gt;0),$F723*$H723,NA()),NA())</f>
        <v/>
      </c>
      <c r="K723" s="15">
        <f>IF($A723="","",IF(AH!$U$5=1,IFERROR(MATCH($A723,'Live History'!$A$5:$A$3004,0),0),AH!$U$7+718))</f>
        <v/>
      </c>
      <c r="L723" s="15">
        <f>IF(ISNUMBER(A723),TEXT(A723,"dd-mmm-yy"),"")</f>
        <v/>
      </c>
    </row>
    <row r="724">
      <c r="A724" s="14">
        <f>IF(OR(AH!$U$4=0,719+1&gt;AH!$U$6,AND(AH!$M$5="Bloomberg",AH!$U$5=0)),"",IFERROR(IF(AND(AH!$U$12=1,719+1=AH!$U$6),TODAY(),IF(AH!$U$5=1,INDEX('Live History'!$A$5:$A$3004,AH!$U$7+719),INDEX('AH History'!$A$5:$A$1380,AH!$U$7+719))),""))</f>
        <v/>
      </c>
      <c r="B724" s="33">
        <f>IFERROR(IF(AH!$U$11=1,NA(),$J724/$E724-1),NA())</f>
        <v/>
      </c>
      <c r="C724" s="269">
        <f>IFERROR(100*$E724/$E$5,NA())</f>
        <v/>
      </c>
      <c r="D724" s="269">
        <f>IFERROR(100*$J724/$J$5,NA())</f>
        <v/>
      </c>
      <c r="E724" s="32">
        <f>IFERROR(IF(AND(ISNUMBER($A724),N(IF(AND(AH!$U$12=1,719+1=AH!$U$6),IF(AH!$U$4=0,"unavailable",INDEX('Market Data'!$AN$5:$AN$66,AH!$U$4)),IF(AH!$U$5=1,INDEX('Live History'!$B$5:$B$3004,$K724),INDEX('AH History'!$D$5:$GG$1380,$K724,AH!$U$10))))&gt;0),IF(AND(AH!$U$12=1,719+1=AH!$U$6),IF(AH!$U$4=0,"unavailable",INDEX('Market Data'!$AN$5:$AN$66,AH!$U$4)),IF(AH!$U$5=1,INDEX('Live History'!$B$5:$B$3004,$K724),INDEX('AH History'!$D$5:$GG$1380,$K724,AH!$U$10))),NA()),NA())</f>
        <v/>
      </c>
      <c r="F724" s="32">
        <f>IFERROR(IF(ISNUMBER($A724),IF(AND(AH!$U$12=1,719+1=AH!$U$6),IF(AH!$U$4=0,"unavailable",INDEX('Market Data'!$AO$5:$AO$66,AH!$U$4)),IF(AH!$U$5=1,INDEX('Live History'!$E$5:$E$3004,MATCH($A724,'Live History'!$D$5:$D$3004,1)),INDEX('AH History'!$D$5:$GG$1380,$K724,AH!$U$10+1))),NA()),NA())</f>
        <v/>
      </c>
      <c r="G724" s="34">
        <f>IFERROR(IF(ISNUMBER($A724),IF(AND(AH!$U$12=1,719+1=AH!$U$6),IF(AH!$U$4=0,"unavailable",INDEX('Market Data'!$AK$5:$AK$66,AH!$U$4)),IF(AH!$U$5=1,INDEX('Live History'!$D$5:$D$3004,MATCH($A724,'Live History'!$D$5:$D$3004,1)),INDEX('AH History'!$D$5:$GG$1380,$K724,AH!$U$10+2))),NA()),NA())</f>
        <v/>
      </c>
      <c r="H724" s="266">
        <f>IFERROR(IF(ISNUMBER($A724),IF(AND(AH!$U$12=1,719+1=AH!$U$6),IF(AH!$U$4=0,"unavailable",INDEX('Market Data'!$AP$5:$AP$66,AH!$U$4)),IF(AH!$U$5=1,INDEX('Live History'!$H$5:$H$3004,MATCH($A724,'Live History'!$G$5:$G$3004,1)),INDEX('AH History'!$B$5:$B$1380,$K724))),NA()),NA())</f>
        <v/>
      </c>
      <c r="I724" s="34">
        <f>IFERROR(IF(ISNUMBER($A724),IF(AND(AH!$U$12=1,719+1=AH!$U$6),TODAY(),IF(AH!$U$5=1,INDEX('Live History'!$G$5:$G$3004,MATCH($A724,'Live History'!$G$5:$G$3004,1)),INDEX('AH History'!$C$5:$C$1380,$K724))),NA()),NA())</f>
        <v/>
      </c>
      <c r="J724" s="32">
        <f>IFERROR(IF(AND($F724&gt;0,$H724&gt;0,$A724-$G724&lt;=10,$A724-$I724&lt;=5,$G724&gt;0,$I724&gt;0),$F724*$H724,NA()),NA())</f>
        <v/>
      </c>
      <c r="K724" s="15">
        <f>IF($A724="","",IF(AH!$U$5=1,IFERROR(MATCH($A724,'Live History'!$A$5:$A$3004,0),0),AH!$U$7+719))</f>
        <v/>
      </c>
      <c r="L724" s="15">
        <f>IF(ISNUMBER(A724),TEXT(A724,"dd-mmm-yy"),"")</f>
        <v/>
      </c>
    </row>
    <row r="725">
      <c r="A725" s="14">
        <f>IF(OR(AH!$U$4=0,720+1&gt;AH!$U$6,AND(AH!$M$5="Bloomberg",AH!$U$5=0)),"",IFERROR(IF(AND(AH!$U$12=1,720+1=AH!$U$6),TODAY(),IF(AH!$U$5=1,INDEX('Live History'!$A$5:$A$3004,AH!$U$7+720),INDEX('AH History'!$A$5:$A$1380,AH!$U$7+720))),""))</f>
        <v/>
      </c>
      <c r="B725" s="33">
        <f>IFERROR(IF(AH!$U$11=1,NA(),$J725/$E725-1),NA())</f>
        <v/>
      </c>
      <c r="C725" s="269">
        <f>IFERROR(100*$E725/$E$5,NA())</f>
        <v/>
      </c>
      <c r="D725" s="269">
        <f>IFERROR(100*$J725/$J$5,NA())</f>
        <v/>
      </c>
      <c r="E725" s="32">
        <f>IFERROR(IF(AND(ISNUMBER($A725),N(IF(AND(AH!$U$12=1,720+1=AH!$U$6),IF(AH!$U$4=0,"unavailable",INDEX('Market Data'!$AN$5:$AN$66,AH!$U$4)),IF(AH!$U$5=1,INDEX('Live History'!$B$5:$B$3004,$K725),INDEX('AH History'!$D$5:$GG$1380,$K725,AH!$U$10))))&gt;0),IF(AND(AH!$U$12=1,720+1=AH!$U$6),IF(AH!$U$4=0,"unavailable",INDEX('Market Data'!$AN$5:$AN$66,AH!$U$4)),IF(AH!$U$5=1,INDEX('Live History'!$B$5:$B$3004,$K725),INDEX('AH History'!$D$5:$GG$1380,$K725,AH!$U$10))),NA()),NA())</f>
        <v/>
      </c>
      <c r="F725" s="32">
        <f>IFERROR(IF(ISNUMBER($A725),IF(AND(AH!$U$12=1,720+1=AH!$U$6),IF(AH!$U$4=0,"unavailable",INDEX('Market Data'!$AO$5:$AO$66,AH!$U$4)),IF(AH!$U$5=1,INDEX('Live History'!$E$5:$E$3004,MATCH($A725,'Live History'!$D$5:$D$3004,1)),INDEX('AH History'!$D$5:$GG$1380,$K725,AH!$U$10+1))),NA()),NA())</f>
        <v/>
      </c>
      <c r="G725" s="34">
        <f>IFERROR(IF(ISNUMBER($A725),IF(AND(AH!$U$12=1,720+1=AH!$U$6),IF(AH!$U$4=0,"unavailable",INDEX('Market Data'!$AK$5:$AK$66,AH!$U$4)),IF(AH!$U$5=1,INDEX('Live History'!$D$5:$D$3004,MATCH($A725,'Live History'!$D$5:$D$3004,1)),INDEX('AH History'!$D$5:$GG$1380,$K725,AH!$U$10+2))),NA()),NA())</f>
        <v/>
      </c>
      <c r="H725" s="266">
        <f>IFERROR(IF(ISNUMBER($A725),IF(AND(AH!$U$12=1,720+1=AH!$U$6),IF(AH!$U$4=0,"unavailable",INDEX('Market Data'!$AP$5:$AP$66,AH!$U$4)),IF(AH!$U$5=1,INDEX('Live History'!$H$5:$H$3004,MATCH($A725,'Live History'!$G$5:$G$3004,1)),INDEX('AH History'!$B$5:$B$1380,$K725))),NA()),NA())</f>
        <v/>
      </c>
      <c r="I725" s="34">
        <f>IFERROR(IF(ISNUMBER($A725),IF(AND(AH!$U$12=1,720+1=AH!$U$6),TODAY(),IF(AH!$U$5=1,INDEX('Live History'!$G$5:$G$3004,MATCH($A725,'Live History'!$G$5:$G$3004,1)),INDEX('AH History'!$C$5:$C$1380,$K725))),NA()),NA())</f>
        <v/>
      </c>
      <c r="J725" s="32">
        <f>IFERROR(IF(AND($F725&gt;0,$H725&gt;0,$A725-$G725&lt;=10,$A725-$I725&lt;=5,$G725&gt;0,$I725&gt;0),$F725*$H725,NA()),NA())</f>
        <v/>
      </c>
      <c r="K725" s="15">
        <f>IF($A725="","",IF(AH!$U$5=1,IFERROR(MATCH($A725,'Live History'!$A$5:$A$3004,0),0),AH!$U$7+720))</f>
        <v/>
      </c>
      <c r="L725" s="15">
        <f>IF(ISNUMBER(A725),TEXT(A725,"dd-mmm-yy"),"")</f>
        <v/>
      </c>
    </row>
    <row r="726">
      <c r="A726" s="14">
        <f>IF(OR(AH!$U$4=0,721+1&gt;AH!$U$6,AND(AH!$M$5="Bloomberg",AH!$U$5=0)),"",IFERROR(IF(AND(AH!$U$12=1,721+1=AH!$U$6),TODAY(),IF(AH!$U$5=1,INDEX('Live History'!$A$5:$A$3004,AH!$U$7+721),INDEX('AH History'!$A$5:$A$1380,AH!$U$7+721))),""))</f>
        <v/>
      </c>
      <c r="B726" s="33">
        <f>IFERROR(IF(AH!$U$11=1,NA(),$J726/$E726-1),NA())</f>
        <v/>
      </c>
      <c r="C726" s="269">
        <f>IFERROR(100*$E726/$E$5,NA())</f>
        <v/>
      </c>
      <c r="D726" s="269">
        <f>IFERROR(100*$J726/$J$5,NA())</f>
        <v/>
      </c>
      <c r="E726" s="32">
        <f>IFERROR(IF(AND(ISNUMBER($A726),N(IF(AND(AH!$U$12=1,721+1=AH!$U$6),IF(AH!$U$4=0,"unavailable",INDEX('Market Data'!$AN$5:$AN$66,AH!$U$4)),IF(AH!$U$5=1,INDEX('Live History'!$B$5:$B$3004,$K726),INDEX('AH History'!$D$5:$GG$1380,$K726,AH!$U$10))))&gt;0),IF(AND(AH!$U$12=1,721+1=AH!$U$6),IF(AH!$U$4=0,"unavailable",INDEX('Market Data'!$AN$5:$AN$66,AH!$U$4)),IF(AH!$U$5=1,INDEX('Live History'!$B$5:$B$3004,$K726),INDEX('AH History'!$D$5:$GG$1380,$K726,AH!$U$10))),NA()),NA())</f>
        <v/>
      </c>
      <c r="F726" s="32">
        <f>IFERROR(IF(ISNUMBER($A726),IF(AND(AH!$U$12=1,721+1=AH!$U$6),IF(AH!$U$4=0,"unavailable",INDEX('Market Data'!$AO$5:$AO$66,AH!$U$4)),IF(AH!$U$5=1,INDEX('Live History'!$E$5:$E$3004,MATCH($A726,'Live History'!$D$5:$D$3004,1)),INDEX('AH History'!$D$5:$GG$1380,$K726,AH!$U$10+1))),NA()),NA())</f>
        <v/>
      </c>
      <c r="G726" s="34">
        <f>IFERROR(IF(ISNUMBER($A726),IF(AND(AH!$U$12=1,721+1=AH!$U$6),IF(AH!$U$4=0,"unavailable",INDEX('Market Data'!$AK$5:$AK$66,AH!$U$4)),IF(AH!$U$5=1,INDEX('Live History'!$D$5:$D$3004,MATCH($A726,'Live History'!$D$5:$D$3004,1)),INDEX('AH History'!$D$5:$GG$1380,$K726,AH!$U$10+2))),NA()),NA())</f>
        <v/>
      </c>
      <c r="H726" s="266">
        <f>IFERROR(IF(ISNUMBER($A726),IF(AND(AH!$U$12=1,721+1=AH!$U$6),IF(AH!$U$4=0,"unavailable",INDEX('Market Data'!$AP$5:$AP$66,AH!$U$4)),IF(AH!$U$5=1,INDEX('Live History'!$H$5:$H$3004,MATCH($A726,'Live History'!$G$5:$G$3004,1)),INDEX('AH History'!$B$5:$B$1380,$K726))),NA()),NA())</f>
        <v/>
      </c>
      <c r="I726" s="34">
        <f>IFERROR(IF(ISNUMBER($A726),IF(AND(AH!$U$12=1,721+1=AH!$U$6),TODAY(),IF(AH!$U$5=1,INDEX('Live History'!$G$5:$G$3004,MATCH($A726,'Live History'!$G$5:$G$3004,1)),INDEX('AH History'!$C$5:$C$1380,$K726))),NA()),NA())</f>
        <v/>
      </c>
      <c r="J726" s="32">
        <f>IFERROR(IF(AND($F726&gt;0,$H726&gt;0,$A726-$G726&lt;=10,$A726-$I726&lt;=5,$G726&gt;0,$I726&gt;0),$F726*$H726,NA()),NA())</f>
        <v/>
      </c>
      <c r="K726" s="15">
        <f>IF($A726="","",IF(AH!$U$5=1,IFERROR(MATCH($A726,'Live History'!$A$5:$A$3004,0),0),AH!$U$7+721))</f>
        <v/>
      </c>
      <c r="L726" s="15">
        <f>IF(ISNUMBER(A726),TEXT(A726,"dd-mmm-yy"),"")</f>
        <v/>
      </c>
    </row>
    <row r="727">
      <c r="A727" s="14">
        <f>IF(OR(AH!$U$4=0,722+1&gt;AH!$U$6,AND(AH!$M$5="Bloomberg",AH!$U$5=0)),"",IFERROR(IF(AND(AH!$U$12=1,722+1=AH!$U$6),TODAY(),IF(AH!$U$5=1,INDEX('Live History'!$A$5:$A$3004,AH!$U$7+722),INDEX('AH History'!$A$5:$A$1380,AH!$U$7+722))),""))</f>
        <v/>
      </c>
      <c r="B727" s="33">
        <f>IFERROR(IF(AH!$U$11=1,NA(),$J727/$E727-1),NA())</f>
        <v/>
      </c>
      <c r="C727" s="269">
        <f>IFERROR(100*$E727/$E$5,NA())</f>
        <v/>
      </c>
      <c r="D727" s="269">
        <f>IFERROR(100*$J727/$J$5,NA())</f>
        <v/>
      </c>
      <c r="E727" s="32">
        <f>IFERROR(IF(AND(ISNUMBER($A727),N(IF(AND(AH!$U$12=1,722+1=AH!$U$6),IF(AH!$U$4=0,"unavailable",INDEX('Market Data'!$AN$5:$AN$66,AH!$U$4)),IF(AH!$U$5=1,INDEX('Live History'!$B$5:$B$3004,$K727),INDEX('AH History'!$D$5:$GG$1380,$K727,AH!$U$10))))&gt;0),IF(AND(AH!$U$12=1,722+1=AH!$U$6),IF(AH!$U$4=0,"unavailable",INDEX('Market Data'!$AN$5:$AN$66,AH!$U$4)),IF(AH!$U$5=1,INDEX('Live History'!$B$5:$B$3004,$K727),INDEX('AH History'!$D$5:$GG$1380,$K727,AH!$U$10))),NA()),NA())</f>
        <v/>
      </c>
      <c r="F727" s="32">
        <f>IFERROR(IF(ISNUMBER($A727),IF(AND(AH!$U$12=1,722+1=AH!$U$6),IF(AH!$U$4=0,"unavailable",INDEX('Market Data'!$AO$5:$AO$66,AH!$U$4)),IF(AH!$U$5=1,INDEX('Live History'!$E$5:$E$3004,MATCH($A727,'Live History'!$D$5:$D$3004,1)),INDEX('AH History'!$D$5:$GG$1380,$K727,AH!$U$10+1))),NA()),NA())</f>
        <v/>
      </c>
      <c r="G727" s="34">
        <f>IFERROR(IF(ISNUMBER($A727),IF(AND(AH!$U$12=1,722+1=AH!$U$6),IF(AH!$U$4=0,"unavailable",INDEX('Market Data'!$AK$5:$AK$66,AH!$U$4)),IF(AH!$U$5=1,INDEX('Live History'!$D$5:$D$3004,MATCH($A727,'Live History'!$D$5:$D$3004,1)),INDEX('AH History'!$D$5:$GG$1380,$K727,AH!$U$10+2))),NA()),NA())</f>
        <v/>
      </c>
      <c r="H727" s="266">
        <f>IFERROR(IF(ISNUMBER($A727),IF(AND(AH!$U$12=1,722+1=AH!$U$6),IF(AH!$U$4=0,"unavailable",INDEX('Market Data'!$AP$5:$AP$66,AH!$U$4)),IF(AH!$U$5=1,INDEX('Live History'!$H$5:$H$3004,MATCH($A727,'Live History'!$G$5:$G$3004,1)),INDEX('AH History'!$B$5:$B$1380,$K727))),NA()),NA())</f>
        <v/>
      </c>
      <c r="I727" s="34">
        <f>IFERROR(IF(ISNUMBER($A727),IF(AND(AH!$U$12=1,722+1=AH!$U$6),TODAY(),IF(AH!$U$5=1,INDEX('Live History'!$G$5:$G$3004,MATCH($A727,'Live History'!$G$5:$G$3004,1)),INDEX('AH History'!$C$5:$C$1380,$K727))),NA()),NA())</f>
        <v/>
      </c>
      <c r="J727" s="32">
        <f>IFERROR(IF(AND($F727&gt;0,$H727&gt;0,$A727-$G727&lt;=10,$A727-$I727&lt;=5,$G727&gt;0,$I727&gt;0),$F727*$H727,NA()),NA())</f>
        <v/>
      </c>
      <c r="K727" s="15">
        <f>IF($A727="","",IF(AH!$U$5=1,IFERROR(MATCH($A727,'Live History'!$A$5:$A$3004,0),0),AH!$U$7+722))</f>
        <v/>
      </c>
      <c r="L727" s="15">
        <f>IF(ISNUMBER(A727),TEXT(A727,"dd-mmm-yy"),"")</f>
        <v/>
      </c>
    </row>
    <row r="728">
      <c r="A728" s="14">
        <f>IF(OR(AH!$U$4=0,723+1&gt;AH!$U$6,AND(AH!$M$5="Bloomberg",AH!$U$5=0)),"",IFERROR(IF(AND(AH!$U$12=1,723+1=AH!$U$6),TODAY(),IF(AH!$U$5=1,INDEX('Live History'!$A$5:$A$3004,AH!$U$7+723),INDEX('AH History'!$A$5:$A$1380,AH!$U$7+723))),""))</f>
        <v/>
      </c>
      <c r="B728" s="33">
        <f>IFERROR(IF(AH!$U$11=1,NA(),$J728/$E728-1),NA())</f>
        <v/>
      </c>
      <c r="C728" s="269">
        <f>IFERROR(100*$E728/$E$5,NA())</f>
        <v/>
      </c>
      <c r="D728" s="269">
        <f>IFERROR(100*$J728/$J$5,NA())</f>
        <v/>
      </c>
      <c r="E728" s="32">
        <f>IFERROR(IF(AND(ISNUMBER($A728),N(IF(AND(AH!$U$12=1,723+1=AH!$U$6),IF(AH!$U$4=0,"unavailable",INDEX('Market Data'!$AN$5:$AN$66,AH!$U$4)),IF(AH!$U$5=1,INDEX('Live History'!$B$5:$B$3004,$K728),INDEX('AH History'!$D$5:$GG$1380,$K728,AH!$U$10))))&gt;0),IF(AND(AH!$U$12=1,723+1=AH!$U$6),IF(AH!$U$4=0,"unavailable",INDEX('Market Data'!$AN$5:$AN$66,AH!$U$4)),IF(AH!$U$5=1,INDEX('Live History'!$B$5:$B$3004,$K728),INDEX('AH History'!$D$5:$GG$1380,$K728,AH!$U$10))),NA()),NA())</f>
        <v/>
      </c>
      <c r="F728" s="32">
        <f>IFERROR(IF(ISNUMBER($A728),IF(AND(AH!$U$12=1,723+1=AH!$U$6),IF(AH!$U$4=0,"unavailable",INDEX('Market Data'!$AO$5:$AO$66,AH!$U$4)),IF(AH!$U$5=1,INDEX('Live History'!$E$5:$E$3004,MATCH($A728,'Live History'!$D$5:$D$3004,1)),INDEX('AH History'!$D$5:$GG$1380,$K728,AH!$U$10+1))),NA()),NA())</f>
        <v/>
      </c>
      <c r="G728" s="34">
        <f>IFERROR(IF(ISNUMBER($A728),IF(AND(AH!$U$12=1,723+1=AH!$U$6),IF(AH!$U$4=0,"unavailable",INDEX('Market Data'!$AK$5:$AK$66,AH!$U$4)),IF(AH!$U$5=1,INDEX('Live History'!$D$5:$D$3004,MATCH($A728,'Live History'!$D$5:$D$3004,1)),INDEX('AH History'!$D$5:$GG$1380,$K728,AH!$U$10+2))),NA()),NA())</f>
        <v/>
      </c>
      <c r="H728" s="266">
        <f>IFERROR(IF(ISNUMBER($A728),IF(AND(AH!$U$12=1,723+1=AH!$U$6),IF(AH!$U$4=0,"unavailable",INDEX('Market Data'!$AP$5:$AP$66,AH!$U$4)),IF(AH!$U$5=1,INDEX('Live History'!$H$5:$H$3004,MATCH($A728,'Live History'!$G$5:$G$3004,1)),INDEX('AH History'!$B$5:$B$1380,$K728))),NA()),NA())</f>
        <v/>
      </c>
      <c r="I728" s="34">
        <f>IFERROR(IF(ISNUMBER($A728),IF(AND(AH!$U$12=1,723+1=AH!$U$6),TODAY(),IF(AH!$U$5=1,INDEX('Live History'!$G$5:$G$3004,MATCH($A728,'Live History'!$G$5:$G$3004,1)),INDEX('AH History'!$C$5:$C$1380,$K728))),NA()),NA())</f>
        <v/>
      </c>
      <c r="J728" s="32">
        <f>IFERROR(IF(AND($F728&gt;0,$H728&gt;0,$A728-$G728&lt;=10,$A728-$I728&lt;=5,$G728&gt;0,$I728&gt;0),$F728*$H728,NA()),NA())</f>
        <v/>
      </c>
      <c r="K728" s="15">
        <f>IF($A728="","",IF(AH!$U$5=1,IFERROR(MATCH($A728,'Live History'!$A$5:$A$3004,0),0),AH!$U$7+723))</f>
        <v/>
      </c>
      <c r="L728" s="15">
        <f>IF(ISNUMBER(A728),TEXT(A728,"dd-mmm-yy"),"")</f>
        <v/>
      </c>
    </row>
    <row r="729">
      <c r="A729" s="14">
        <f>IF(OR(AH!$U$4=0,724+1&gt;AH!$U$6,AND(AH!$M$5="Bloomberg",AH!$U$5=0)),"",IFERROR(IF(AND(AH!$U$12=1,724+1=AH!$U$6),TODAY(),IF(AH!$U$5=1,INDEX('Live History'!$A$5:$A$3004,AH!$U$7+724),INDEX('AH History'!$A$5:$A$1380,AH!$U$7+724))),""))</f>
        <v/>
      </c>
      <c r="B729" s="33">
        <f>IFERROR(IF(AH!$U$11=1,NA(),$J729/$E729-1),NA())</f>
        <v/>
      </c>
      <c r="C729" s="269">
        <f>IFERROR(100*$E729/$E$5,NA())</f>
        <v/>
      </c>
      <c r="D729" s="269">
        <f>IFERROR(100*$J729/$J$5,NA())</f>
        <v/>
      </c>
      <c r="E729" s="32">
        <f>IFERROR(IF(AND(ISNUMBER($A729),N(IF(AND(AH!$U$12=1,724+1=AH!$U$6),IF(AH!$U$4=0,"unavailable",INDEX('Market Data'!$AN$5:$AN$66,AH!$U$4)),IF(AH!$U$5=1,INDEX('Live History'!$B$5:$B$3004,$K729),INDEX('AH History'!$D$5:$GG$1380,$K729,AH!$U$10))))&gt;0),IF(AND(AH!$U$12=1,724+1=AH!$U$6),IF(AH!$U$4=0,"unavailable",INDEX('Market Data'!$AN$5:$AN$66,AH!$U$4)),IF(AH!$U$5=1,INDEX('Live History'!$B$5:$B$3004,$K729),INDEX('AH History'!$D$5:$GG$1380,$K729,AH!$U$10))),NA()),NA())</f>
        <v/>
      </c>
      <c r="F729" s="32">
        <f>IFERROR(IF(ISNUMBER($A729),IF(AND(AH!$U$12=1,724+1=AH!$U$6),IF(AH!$U$4=0,"unavailable",INDEX('Market Data'!$AO$5:$AO$66,AH!$U$4)),IF(AH!$U$5=1,INDEX('Live History'!$E$5:$E$3004,MATCH($A729,'Live History'!$D$5:$D$3004,1)),INDEX('AH History'!$D$5:$GG$1380,$K729,AH!$U$10+1))),NA()),NA())</f>
        <v/>
      </c>
      <c r="G729" s="34">
        <f>IFERROR(IF(ISNUMBER($A729),IF(AND(AH!$U$12=1,724+1=AH!$U$6),IF(AH!$U$4=0,"unavailable",INDEX('Market Data'!$AK$5:$AK$66,AH!$U$4)),IF(AH!$U$5=1,INDEX('Live History'!$D$5:$D$3004,MATCH($A729,'Live History'!$D$5:$D$3004,1)),INDEX('AH History'!$D$5:$GG$1380,$K729,AH!$U$10+2))),NA()),NA())</f>
        <v/>
      </c>
      <c r="H729" s="266">
        <f>IFERROR(IF(ISNUMBER($A729),IF(AND(AH!$U$12=1,724+1=AH!$U$6),IF(AH!$U$4=0,"unavailable",INDEX('Market Data'!$AP$5:$AP$66,AH!$U$4)),IF(AH!$U$5=1,INDEX('Live History'!$H$5:$H$3004,MATCH($A729,'Live History'!$G$5:$G$3004,1)),INDEX('AH History'!$B$5:$B$1380,$K729))),NA()),NA())</f>
        <v/>
      </c>
      <c r="I729" s="34">
        <f>IFERROR(IF(ISNUMBER($A729),IF(AND(AH!$U$12=1,724+1=AH!$U$6),TODAY(),IF(AH!$U$5=1,INDEX('Live History'!$G$5:$G$3004,MATCH($A729,'Live History'!$G$5:$G$3004,1)),INDEX('AH History'!$C$5:$C$1380,$K729))),NA()),NA())</f>
        <v/>
      </c>
      <c r="J729" s="32">
        <f>IFERROR(IF(AND($F729&gt;0,$H729&gt;0,$A729-$G729&lt;=10,$A729-$I729&lt;=5,$G729&gt;0,$I729&gt;0),$F729*$H729,NA()),NA())</f>
        <v/>
      </c>
      <c r="K729" s="15">
        <f>IF($A729="","",IF(AH!$U$5=1,IFERROR(MATCH($A729,'Live History'!$A$5:$A$3004,0),0),AH!$U$7+724))</f>
        <v/>
      </c>
      <c r="L729" s="15">
        <f>IF(ISNUMBER(A729),TEXT(A729,"dd-mmm-yy"),"")</f>
        <v/>
      </c>
    </row>
    <row r="730">
      <c r="A730" s="14">
        <f>IF(OR(AH!$U$4=0,725+1&gt;AH!$U$6,AND(AH!$M$5="Bloomberg",AH!$U$5=0)),"",IFERROR(IF(AND(AH!$U$12=1,725+1=AH!$U$6),TODAY(),IF(AH!$U$5=1,INDEX('Live History'!$A$5:$A$3004,AH!$U$7+725),INDEX('AH History'!$A$5:$A$1380,AH!$U$7+725))),""))</f>
        <v/>
      </c>
      <c r="B730" s="33">
        <f>IFERROR(IF(AH!$U$11=1,NA(),$J730/$E730-1),NA())</f>
        <v/>
      </c>
      <c r="C730" s="269">
        <f>IFERROR(100*$E730/$E$5,NA())</f>
        <v/>
      </c>
      <c r="D730" s="269">
        <f>IFERROR(100*$J730/$J$5,NA())</f>
        <v/>
      </c>
      <c r="E730" s="32">
        <f>IFERROR(IF(AND(ISNUMBER($A730),N(IF(AND(AH!$U$12=1,725+1=AH!$U$6),IF(AH!$U$4=0,"unavailable",INDEX('Market Data'!$AN$5:$AN$66,AH!$U$4)),IF(AH!$U$5=1,INDEX('Live History'!$B$5:$B$3004,$K730),INDEX('AH History'!$D$5:$GG$1380,$K730,AH!$U$10))))&gt;0),IF(AND(AH!$U$12=1,725+1=AH!$U$6),IF(AH!$U$4=0,"unavailable",INDEX('Market Data'!$AN$5:$AN$66,AH!$U$4)),IF(AH!$U$5=1,INDEX('Live History'!$B$5:$B$3004,$K730),INDEX('AH History'!$D$5:$GG$1380,$K730,AH!$U$10))),NA()),NA())</f>
        <v/>
      </c>
      <c r="F730" s="32">
        <f>IFERROR(IF(ISNUMBER($A730),IF(AND(AH!$U$12=1,725+1=AH!$U$6),IF(AH!$U$4=0,"unavailable",INDEX('Market Data'!$AO$5:$AO$66,AH!$U$4)),IF(AH!$U$5=1,INDEX('Live History'!$E$5:$E$3004,MATCH($A730,'Live History'!$D$5:$D$3004,1)),INDEX('AH History'!$D$5:$GG$1380,$K730,AH!$U$10+1))),NA()),NA())</f>
        <v/>
      </c>
      <c r="G730" s="34">
        <f>IFERROR(IF(ISNUMBER($A730),IF(AND(AH!$U$12=1,725+1=AH!$U$6),IF(AH!$U$4=0,"unavailable",INDEX('Market Data'!$AK$5:$AK$66,AH!$U$4)),IF(AH!$U$5=1,INDEX('Live History'!$D$5:$D$3004,MATCH($A730,'Live History'!$D$5:$D$3004,1)),INDEX('AH History'!$D$5:$GG$1380,$K730,AH!$U$10+2))),NA()),NA())</f>
        <v/>
      </c>
      <c r="H730" s="266">
        <f>IFERROR(IF(ISNUMBER($A730),IF(AND(AH!$U$12=1,725+1=AH!$U$6),IF(AH!$U$4=0,"unavailable",INDEX('Market Data'!$AP$5:$AP$66,AH!$U$4)),IF(AH!$U$5=1,INDEX('Live History'!$H$5:$H$3004,MATCH($A730,'Live History'!$G$5:$G$3004,1)),INDEX('AH History'!$B$5:$B$1380,$K730))),NA()),NA())</f>
        <v/>
      </c>
      <c r="I730" s="34">
        <f>IFERROR(IF(ISNUMBER($A730),IF(AND(AH!$U$12=1,725+1=AH!$U$6),TODAY(),IF(AH!$U$5=1,INDEX('Live History'!$G$5:$G$3004,MATCH($A730,'Live History'!$G$5:$G$3004,1)),INDEX('AH History'!$C$5:$C$1380,$K730))),NA()),NA())</f>
        <v/>
      </c>
      <c r="J730" s="32">
        <f>IFERROR(IF(AND($F730&gt;0,$H730&gt;0,$A730-$G730&lt;=10,$A730-$I730&lt;=5,$G730&gt;0,$I730&gt;0),$F730*$H730,NA()),NA())</f>
        <v/>
      </c>
      <c r="K730" s="15">
        <f>IF($A730="","",IF(AH!$U$5=1,IFERROR(MATCH($A730,'Live History'!$A$5:$A$3004,0),0),AH!$U$7+725))</f>
        <v/>
      </c>
      <c r="L730" s="15">
        <f>IF(ISNUMBER(A730),TEXT(A730,"dd-mmm-yy"),"")</f>
        <v/>
      </c>
    </row>
    <row r="731">
      <c r="A731" s="14">
        <f>IF(OR(AH!$U$4=0,726+1&gt;AH!$U$6,AND(AH!$M$5="Bloomberg",AH!$U$5=0)),"",IFERROR(IF(AND(AH!$U$12=1,726+1=AH!$U$6),TODAY(),IF(AH!$U$5=1,INDEX('Live History'!$A$5:$A$3004,AH!$U$7+726),INDEX('AH History'!$A$5:$A$1380,AH!$U$7+726))),""))</f>
        <v/>
      </c>
      <c r="B731" s="33">
        <f>IFERROR(IF(AH!$U$11=1,NA(),$J731/$E731-1),NA())</f>
        <v/>
      </c>
      <c r="C731" s="269">
        <f>IFERROR(100*$E731/$E$5,NA())</f>
        <v/>
      </c>
      <c r="D731" s="269">
        <f>IFERROR(100*$J731/$J$5,NA())</f>
        <v/>
      </c>
      <c r="E731" s="32">
        <f>IFERROR(IF(AND(ISNUMBER($A731),N(IF(AND(AH!$U$12=1,726+1=AH!$U$6),IF(AH!$U$4=0,"unavailable",INDEX('Market Data'!$AN$5:$AN$66,AH!$U$4)),IF(AH!$U$5=1,INDEX('Live History'!$B$5:$B$3004,$K731),INDEX('AH History'!$D$5:$GG$1380,$K731,AH!$U$10))))&gt;0),IF(AND(AH!$U$12=1,726+1=AH!$U$6),IF(AH!$U$4=0,"unavailable",INDEX('Market Data'!$AN$5:$AN$66,AH!$U$4)),IF(AH!$U$5=1,INDEX('Live History'!$B$5:$B$3004,$K731),INDEX('AH History'!$D$5:$GG$1380,$K731,AH!$U$10))),NA()),NA())</f>
        <v/>
      </c>
      <c r="F731" s="32">
        <f>IFERROR(IF(ISNUMBER($A731),IF(AND(AH!$U$12=1,726+1=AH!$U$6),IF(AH!$U$4=0,"unavailable",INDEX('Market Data'!$AO$5:$AO$66,AH!$U$4)),IF(AH!$U$5=1,INDEX('Live History'!$E$5:$E$3004,MATCH($A731,'Live History'!$D$5:$D$3004,1)),INDEX('AH History'!$D$5:$GG$1380,$K731,AH!$U$10+1))),NA()),NA())</f>
        <v/>
      </c>
      <c r="G731" s="34">
        <f>IFERROR(IF(ISNUMBER($A731),IF(AND(AH!$U$12=1,726+1=AH!$U$6),IF(AH!$U$4=0,"unavailable",INDEX('Market Data'!$AK$5:$AK$66,AH!$U$4)),IF(AH!$U$5=1,INDEX('Live History'!$D$5:$D$3004,MATCH($A731,'Live History'!$D$5:$D$3004,1)),INDEX('AH History'!$D$5:$GG$1380,$K731,AH!$U$10+2))),NA()),NA())</f>
        <v/>
      </c>
      <c r="H731" s="266">
        <f>IFERROR(IF(ISNUMBER($A731),IF(AND(AH!$U$12=1,726+1=AH!$U$6),IF(AH!$U$4=0,"unavailable",INDEX('Market Data'!$AP$5:$AP$66,AH!$U$4)),IF(AH!$U$5=1,INDEX('Live History'!$H$5:$H$3004,MATCH($A731,'Live History'!$G$5:$G$3004,1)),INDEX('AH History'!$B$5:$B$1380,$K731))),NA()),NA())</f>
        <v/>
      </c>
      <c r="I731" s="34">
        <f>IFERROR(IF(ISNUMBER($A731),IF(AND(AH!$U$12=1,726+1=AH!$U$6),TODAY(),IF(AH!$U$5=1,INDEX('Live History'!$G$5:$G$3004,MATCH($A731,'Live History'!$G$5:$G$3004,1)),INDEX('AH History'!$C$5:$C$1380,$K731))),NA()),NA())</f>
        <v/>
      </c>
      <c r="J731" s="32">
        <f>IFERROR(IF(AND($F731&gt;0,$H731&gt;0,$A731-$G731&lt;=10,$A731-$I731&lt;=5,$G731&gt;0,$I731&gt;0),$F731*$H731,NA()),NA())</f>
        <v/>
      </c>
      <c r="K731" s="15">
        <f>IF($A731="","",IF(AH!$U$5=1,IFERROR(MATCH($A731,'Live History'!$A$5:$A$3004,0),0),AH!$U$7+726))</f>
        <v/>
      </c>
      <c r="L731" s="15">
        <f>IF(ISNUMBER(A731),TEXT(A731,"dd-mmm-yy"),"")</f>
        <v/>
      </c>
    </row>
    <row r="732">
      <c r="A732" s="14">
        <f>IF(OR(AH!$U$4=0,727+1&gt;AH!$U$6,AND(AH!$M$5="Bloomberg",AH!$U$5=0)),"",IFERROR(IF(AND(AH!$U$12=1,727+1=AH!$U$6),TODAY(),IF(AH!$U$5=1,INDEX('Live History'!$A$5:$A$3004,AH!$U$7+727),INDEX('AH History'!$A$5:$A$1380,AH!$U$7+727))),""))</f>
        <v/>
      </c>
      <c r="B732" s="33">
        <f>IFERROR(IF(AH!$U$11=1,NA(),$J732/$E732-1),NA())</f>
        <v/>
      </c>
      <c r="C732" s="269">
        <f>IFERROR(100*$E732/$E$5,NA())</f>
        <v/>
      </c>
      <c r="D732" s="269">
        <f>IFERROR(100*$J732/$J$5,NA())</f>
        <v/>
      </c>
      <c r="E732" s="32">
        <f>IFERROR(IF(AND(ISNUMBER($A732),N(IF(AND(AH!$U$12=1,727+1=AH!$U$6),IF(AH!$U$4=0,"unavailable",INDEX('Market Data'!$AN$5:$AN$66,AH!$U$4)),IF(AH!$U$5=1,INDEX('Live History'!$B$5:$B$3004,$K732),INDEX('AH History'!$D$5:$GG$1380,$K732,AH!$U$10))))&gt;0),IF(AND(AH!$U$12=1,727+1=AH!$U$6),IF(AH!$U$4=0,"unavailable",INDEX('Market Data'!$AN$5:$AN$66,AH!$U$4)),IF(AH!$U$5=1,INDEX('Live History'!$B$5:$B$3004,$K732),INDEX('AH History'!$D$5:$GG$1380,$K732,AH!$U$10))),NA()),NA())</f>
        <v/>
      </c>
      <c r="F732" s="32">
        <f>IFERROR(IF(ISNUMBER($A732),IF(AND(AH!$U$12=1,727+1=AH!$U$6),IF(AH!$U$4=0,"unavailable",INDEX('Market Data'!$AO$5:$AO$66,AH!$U$4)),IF(AH!$U$5=1,INDEX('Live History'!$E$5:$E$3004,MATCH($A732,'Live History'!$D$5:$D$3004,1)),INDEX('AH History'!$D$5:$GG$1380,$K732,AH!$U$10+1))),NA()),NA())</f>
        <v/>
      </c>
      <c r="G732" s="34">
        <f>IFERROR(IF(ISNUMBER($A732),IF(AND(AH!$U$12=1,727+1=AH!$U$6),IF(AH!$U$4=0,"unavailable",INDEX('Market Data'!$AK$5:$AK$66,AH!$U$4)),IF(AH!$U$5=1,INDEX('Live History'!$D$5:$D$3004,MATCH($A732,'Live History'!$D$5:$D$3004,1)),INDEX('AH History'!$D$5:$GG$1380,$K732,AH!$U$10+2))),NA()),NA())</f>
        <v/>
      </c>
      <c r="H732" s="266">
        <f>IFERROR(IF(ISNUMBER($A732),IF(AND(AH!$U$12=1,727+1=AH!$U$6),IF(AH!$U$4=0,"unavailable",INDEX('Market Data'!$AP$5:$AP$66,AH!$U$4)),IF(AH!$U$5=1,INDEX('Live History'!$H$5:$H$3004,MATCH($A732,'Live History'!$G$5:$G$3004,1)),INDEX('AH History'!$B$5:$B$1380,$K732))),NA()),NA())</f>
        <v/>
      </c>
      <c r="I732" s="34">
        <f>IFERROR(IF(ISNUMBER($A732),IF(AND(AH!$U$12=1,727+1=AH!$U$6),TODAY(),IF(AH!$U$5=1,INDEX('Live History'!$G$5:$G$3004,MATCH($A732,'Live History'!$G$5:$G$3004,1)),INDEX('AH History'!$C$5:$C$1380,$K732))),NA()),NA())</f>
        <v/>
      </c>
      <c r="J732" s="32">
        <f>IFERROR(IF(AND($F732&gt;0,$H732&gt;0,$A732-$G732&lt;=10,$A732-$I732&lt;=5,$G732&gt;0,$I732&gt;0),$F732*$H732,NA()),NA())</f>
        <v/>
      </c>
      <c r="K732" s="15">
        <f>IF($A732="","",IF(AH!$U$5=1,IFERROR(MATCH($A732,'Live History'!$A$5:$A$3004,0),0),AH!$U$7+727))</f>
        <v/>
      </c>
      <c r="L732" s="15">
        <f>IF(ISNUMBER(A732),TEXT(A732,"dd-mmm-yy"),"")</f>
        <v/>
      </c>
    </row>
    <row r="733">
      <c r="A733" s="14">
        <f>IF(OR(AH!$U$4=0,728+1&gt;AH!$U$6,AND(AH!$M$5="Bloomberg",AH!$U$5=0)),"",IFERROR(IF(AND(AH!$U$12=1,728+1=AH!$U$6),TODAY(),IF(AH!$U$5=1,INDEX('Live History'!$A$5:$A$3004,AH!$U$7+728),INDEX('AH History'!$A$5:$A$1380,AH!$U$7+728))),""))</f>
        <v/>
      </c>
      <c r="B733" s="33">
        <f>IFERROR(IF(AH!$U$11=1,NA(),$J733/$E733-1),NA())</f>
        <v/>
      </c>
      <c r="C733" s="269">
        <f>IFERROR(100*$E733/$E$5,NA())</f>
        <v/>
      </c>
      <c r="D733" s="269">
        <f>IFERROR(100*$J733/$J$5,NA())</f>
        <v/>
      </c>
      <c r="E733" s="32">
        <f>IFERROR(IF(AND(ISNUMBER($A733),N(IF(AND(AH!$U$12=1,728+1=AH!$U$6),IF(AH!$U$4=0,"unavailable",INDEX('Market Data'!$AN$5:$AN$66,AH!$U$4)),IF(AH!$U$5=1,INDEX('Live History'!$B$5:$B$3004,$K733),INDEX('AH History'!$D$5:$GG$1380,$K733,AH!$U$10))))&gt;0),IF(AND(AH!$U$12=1,728+1=AH!$U$6),IF(AH!$U$4=0,"unavailable",INDEX('Market Data'!$AN$5:$AN$66,AH!$U$4)),IF(AH!$U$5=1,INDEX('Live History'!$B$5:$B$3004,$K733),INDEX('AH History'!$D$5:$GG$1380,$K733,AH!$U$10))),NA()),NA())</f>
        <v/>
      </c>
      <c r="F733" s="32">
        <f>IFERROR(IF(ISNUMBER($A733),IF(AND(AH!$U$12=1,728+1=AH!$U$6),IF(AH!$U$4=0,"unavailable",INDEX('Market Data'!$AO$5:$AO$66,AH!$U$4)),IF(AH!$U$5=1,INDEX('Live History'!$E$5:$E$3004,MATCH($A733,'Live History'!$D$5:$D$3004,1)),INDEX('AH History'!$D$5:$GG$1380,$K733,AH!$U$10+1))),NA()),NA())</f>
        <v/>
      </c>
      <c r="G733" s="34">
        <f>IFERROR(IF(ISNUMBER($A733),IF(AND(AH!$U$12=1,728+1=AH!$U$6),IF(AH!$U$4=0,"unavailable",INDEX('Market Data'!$AK$5:$AK$66,AH!$U$4)),IF(AH!$U$5=1,INDEX('Live History'!$D$5:$D$3004,MATCH($A733,'Live History'!$D$5:$D$3004,1)),INDEX('AH History'!$D$5:$GG$1380,$K733,AH!$U$10+2))),NA()),NA())</f>
        <v/>
      </c>
      <c r="H733" s="266">
        <f>IFERROR(IF(ISNUMBER($A733),IF(AND(AH!$U$12=1,728+1=AH!$U$6),IF(AH!$U$4=0,"unavailable",INDEX('Market Data'!$AP$5:$AP$66,AH!$U$4)),IF(AH!$U$5=1,INDEX('Live History'!$H$5:$H$3004,MATCH($A733,'Live History'!$G$5:$G$3004,1)),INDEX('AH History'!$B$5:$B$1380,$K733))),NA()),NA())</f>
        <v/>
      </c>
      <c r="I733" s="34">
        <f>IFERROR(IF(ISNUMBER($A733),IF(AND(AH!$U$12=1,728+1=AH!$U$6),TODAY(),IF(AH!$U$5=1,INDEX('Live History'!$G$5:$G$3004,MATCH($A733,'Live History'!$G$5:$G$3004,1)),INDEX('AH History'!$C$5:$C$1380,$K733))),NA()),NA())</f>
        <v/>
      </c>
      <c r="J733" s="32">
        <f>IFERROR(IF(AND($F733&gt;0,$H733&gt;0,$A733-$G733&lt;=10,$A733-$I733&lt;=5,$G733&gt;0,$I733&gt;0),$F733*$H733,NA()),NA())</f>
        <v/>
      </c>
      <c r="K733" s="15">
        <f>IF($A733="","",IF(AH!$U$5=1,IFERROR(MATCH($A733,'Live History'!$A$5:$A$3004,0),0),AH!$U$7+728))</f>
        <v/>
      </c>
      <c r="L733" s="15">
        <f>IF(ISNUMBER(A733),TEXT(A733,"dd-mmm-yy"),"")</f>
        <v/>
      </c>
    </row>
    <row r="734">
      <c r="A734" s="14">
        <f>IF(OR(AH!$U$4=0,729+1&gt;AH!$U$6,AND(AH!$M$5="Bloomberg",AH!$U$5=0)),"",IFERROR(IF(AND(AH!$U$12=1,729+1=AH!$U$6),TODAY(),IF(AH!$U$5=1,INDEX('Live History'!$A$5:$A$3004,AH!$U$7+729),INDEX('AH History'!$A$5:$A$1380,AH!$U$7+729))),""))</f>
        <v/>
      </c>
      <c r="B734" s="33">
        <f>IFERROR(IF(AH!$U$11=1,NA(),$J734/$E734-1),NA())</f>
        <v/>
      </c>
      <c r="C734" s="269">
        <f>IFERROR(100*$E734/$E$5,NA())</f>
        <v/>
      </c>
      <c r="D734" s="269">
        <f>IFERROR(100*$J734/$J$5,NA())</f>
        <v/>
      </c>
      <c r="E734" s="32">
        <f>IFERROR(IF(AND(ISNUMBER($A734),N(IF(AND(AH!$U$12=1,729+1=AH!$U$6),IF(AH!$U$4=0,"unavailable",INDEX('Market Data'!$AN$5:$AN$66,AH!$U$4)),IF(AH!$U$5=1,INDEX('Live History'!$B$5:$B$3004,$K734),INDEX('AH History'!$D$5:$GG$1380,$K734,AH!$U$10))))&gt;0),IF(AND(AH!$U$12=1,729+1=AH!$U$6),IF(AH!$U$4=0,"unavailable",INDEX('Market Data'!$AN$5:$AN$66,AH!$U$4)),IF(AH!$U$5=1,INDEX('Live History'!$B$5:$B$3004,$K734),INDEX('AH History'!$D$5:$GG$1380,$K734,AH!$U$10))),NA()),NA())</f>
        <v/>
      </c>
      <c r="F734" s="32">
        <f>IFERROR(IF(ISNUMBER($A734),IF(AND(AH!$U$12=1,729+1=AH!$U$6),IF(AH!$U$4=0,"unavailable",INDEX('Market Data'!$AO$5:$AO$66,AH!$U$4)),IF(AH!$U$5=1,INDEX('Live History'!$E$5:$E$3004,MATCH($A734,'Live History'!$D$5:$D$3004,1)),INDEX('AH History'!$D$5:$GG$1380,$K734,AH!$U$10+1))),NA()),NA())</f>
        <v/>
      </c>
      <c r="G734" s="34">
        <f>IFERROR(IF(ISNUMBER($A734),IF(AND(AH!$U$12=1,729+1=AH!$U$6),IF(AH!$U$4=0,"unavailable",INDEX('Market Data'!$AK$5:$AK$66,AH!$U$4)),IF(AH!$U$5=1,INDEX('Live History'!$D$5:$D$3004,MATCH($A734,'Live History'!$D$5:$D$3004,1)),INDEX('AH History'!$D$5:$GG$1380,$K734,AH!$U$10+2))),NA()),NA())</f>
        <v/>
      </c>
      <c r="H734" s="266">
        <f>IFERROR(IF(ISNUMBER($A734),IF(AND(AH!$U$12=1,729+1=AH!$U$6),IF(AH!$U$4=0,"unavailable",INDEX('Market Data'!$AP$5:$AP$66,AH!$U$4)),IF(AH!$U$5=1,INDEX('Live History'!$H$5:$H$3004,MATCH($A734,'Live History'!$G$5:$G$3004,1)),INDEX('AH History'!$B$5:$B$1380,$K734))),NA()),NA())</f>
        <v/>
      </c>
      <c r="I734" s="34">
        <f>IFERROR(IF(ISNUMBER($A734),IF(AND(AH!$U$12=1,729+1=AH!$U$6),TODAY(),IF(AH!$U$5=1,INDEX('Live History'!$G$5:$G$3004,MATCH($A734,'Live History'!$G$5:$G$3004,1)),INDEX('AH History'!$C$5:$C$1380,$K734))),NA()),NA())</f>
        <v/>
      </c>
      <c r="J734" s="32">
        <f>IFERROR(IF(AND($F734&gt;0,$H734&gt;0,$A734-$G734&lt;=10,$A734-$I734&lt;=5,$G734&gt;0,$I734&gt;0),$F734*$H734,NA()),NA())</f>
        <v/>
      </c>
      <c r="K734" s="15">
        <f>IF($A734="","",IF(AH!$U$5=1,IFERROR(MATCH($A734,'Live History'!$A$5:$A$3004,0),0),AH!$U$7+729))</f>
        <v/>
      </c>
      <c r="L734" s="15">
        <f>IF(ISNUMBER(A734),TEXT(A734,"dd-mmm-yy"),"")</f>
        <v/>
      </c>
    </row>
    <row r="735">
      <c r="A735" s="14">
        <f>IF(OR(AH!$U$4=0,730+1&gt;AH!$U$6,AND(AH!$M$5="Bloomberg",AH!$U$5=0)),"",IFERROR(IF(AND(AH!$U$12=1,730+1=AH!$U$6),TODAY(),IF(AH!$U$5=1,INDEX('Live History'!$A$5:$A$3004,AH!$U$7+730),INDEX('AH History'!$A$5:$A$1380,AH!$U$7+730))),""))</f>
        <v/>
      </c>
      <c r="B735" s="33">
        <f>IFERROR(IF(AH!$U$11=1,NA(),$J735/$E735-1),NA())</f>
        <v/>
      </c>
      <c r="C735" s="269">
        <f>IFERROR(100*$E735/$E$5,NA())</f>
        <v/>
      </c>
      <c r="D735" s="269">
        <f>IFERROR(100*$J735/$J$5,NA())</f>
        <v/>
      </c>
      <c r="E735" s="32">
        <f>IFERROR(IF(AND(ISNUMBER($A735),N(IF(AND(AH!$U$12=1,730+1=AH!$U$6),IF(AH!$U$4=0,"unavailable",INDEX('Market Data'!$AN$5:$AN$66,AH!$U$4)),IF(AH!$U$5=1,INDEX('Live History'!$B$5:$B$3004,$K735),INDEX('AH History'!$D$5:$GG$1380,$K735,AH!$U$10))))&gt;0),IF(AND(AH!$U$12=1,730+1=AH!$U$6),IF(AH!$U$4=0,"unavailable",INDEX('Market Data'!$AN$5:$AN$66,AH!$U$4)),IF(AH!$U$5=1,INDEX('Live History'!$B$5:$B$3004,$K735),INDEX('AH History'!$D$5:$GG$1380,$K735,AH!$U$10))),NA()),NA())</f>
        <v/>
      </c>
      <c r="F735" s="32">
        <f>IFERROR(IF(ISNUMBER($A735),IF(AND(AH!$U$12=1,730+1=AH!$U$6),IF(AH!$U$4=0,"unavailable",INDEX('Market Data'!$AO$5:$AO$66,AH!$U$4)),IF(AH!$U$5=1,INDEX('Live History'!$E$5:$E$3004,MATCH($A735,'Live History'!$D$5:$D$3004,1)),INDEX('AH History'!$D$5:$GG$1380,$K735,AH!$U$10+1))),NA()),NA())</f>
        <v/>
      </c>
      <c r="G735" s="34">
        <f>IFERROR(IF(ISNUMBER($A735),IF(AND(AH!$U$12=1,730+1=AH!$U$6),IF(AH!$U$4=0,"unavailable",INDEX('Market Data'!$AK$5:$AK$66,AH!$U$4)),IF(AH!$U$5=1,INDEX('Live History'!$D$5:$D$3004,MATCH($A735,'Live History'!$D$5:$D$3004,1)),INDEX('AH History'!$D$5:$GG$1380,$K735,AH!$U$10+2))),NA()),NA())</f>
        <v/>
      </c>
      <c r="H735" s="266">
        <f>IFERROR(IF(ISNUMBER($A735),IF(AND(AH!$U$12=1,730+1=AH!$U$6),IF(AH!$U$4=0,"unavailable",INDEX('Market Data'!$AP$5:$AP$66,AH!$U$4)),IF(AH!$U$5=1,INDEX('Live History'!$H$5:$H$3004,MATCH($A735,'Live History'!$G$5:$G$3004,1)),INDEX('AH History'!$B$5:$B$1380,$K735))),NA()),NA())</f>
        <v/>
      </c>
      <c r="I735" s="34">
        <f>IFERROR(IF(ISNUMBER($A735),IF(AND(AH!$U$12=1,730+1=AH!$U$6),TODAY(),IF(AH!$U$5=1,INDEX('Live History'!$G$5:$G$3004,MATCH($A735,'Live History'!$G$5:$G$3004,1)),INDEX('AH History'!$C$5:$C$1380,$K735))),NA()),NA())</f>
        <v/>
      </c>
      <c r="J735" s="32">
        <f>IFERROR(IF(AND($F735&gt;0,$H735&gt;0,$A735-$G735&lt;=10,$A735-$I735&lt;=5,$G735&gt;0,$I735&gt;0),$F735*$H735,NA()),NA())</f>
        <v/>
      </c>
      <c r="K735" s="15">
        <f>IF($A735="","",IF(AH!$U$5=1,IFERROR(MATCH($A735,'Live History'!$A$5:$A$3004,0),0),AH!$U$7+730))</f>
        <v/>
      </c>
      <c r="L735" s="15">
        <f>IF(ISNUMBER(A735),TEXT(A735,"dd-mmm-yy"),"")</f>
        <v/>
      </c>
    </row>
    <row r="736">
      <c r="A736" s="14">
        <f>IF(OR(AH!$U$4=0,731+1&gt;AH!$U$6,AND(AH!$M$5="Bloomberg",AH!$U$5=0)),"",IFERROR(IF(AND(AH!$U$12=1,731+1=AH!$U$6),TODAY(),IF(AH!$U$5=1,INDEX('Live History'!$A$5:$A$3004,AH!$U$7+731),INDEX('AH History'!$A$5:$A$1380,AH!$U$7+731))),""))</f>
        <v/>
      </c>
      <c r="B736" s="33">
        <f>IFERROR(IF(AH!$U$11=1,NA(),$J736/$E736-1),NA())</f>
        <v/>
      </c>
      <c r="C736" s="269">
        <f>IFERROR(100*$E736/$E$5,NA())</f>
        <v/>
      </c>
      <c r="D736" s="269">
        <f>IFERROR(100*$J736/$J$5,NA())</f>
        <v/>
      </c>
      <c r="E736" s="32">
        <f>IFERROR(IF(AND(ISNUMBER($A736),N(IF(AND(AH!$U$12=1,731+1=AH!$U$6),IF(AH!$U$4=0,"unavailable",INDEX('Market Data'!$AN$5:$AN$66,AH!$U$4)),IF(AH!$U$5=1,INDEX('Live History'!$B$5:$B$3004,$K736),INDEX('AH History'!$D$5:$GG$1380,$K736,AH!$U$10))))&gt;0),IF(AND(AH!$U$12=1,731+1=AH!$U$6),IF(AH!$U$4=0,"unavailable",INDEX('Market Data'!$AN$5:$AN$66,AH!$U$4)),IF(AH!$U$5=1,INDEX('Live History'!$B$5:$B$3004,$K736),INDEX('AH History'!$D$5:$GG$1380,$K736,AH!$U$10))),NA()),NA())</f>
        <v/>
      </c>
      <c r="F736" s="32">
        <f>IFERROR(IF(ISNUMBER($A736),IF(AND(AH!$U$12=1,731+1=AH!$U$6),IF(AH!$U$4=0,"unavailable",INDEX('Market Data'!$AO$5:$AO$66,AH!$U$4)),IF(AH!$U$5=1,INDEX('Live History'!$E$5:$E$3004,MATCH($A736,'Live History'!$D$5:$D$3004,1)),INDEX('AH History'!$D$5:$GG$1380,$K736,AH!$U$10+1))),NA()),NA())</f>
        <v/>
      </c>
      <c r="G736" s="34">
        <f>IFERROR(IF(ISNUMBER($A736),IF(AND(AH!$U$12=1,731+1=AH!$U$6),IF(AH!$U$4=0,"unavailable",INDEX('Market Data'!$AK$5:$AK$66,AH!$U$4)),IF(AH!$U$5=1,INDEX('Live History'!$D$5:$D$3004,MATCH($A736,'Live History'!$D$5:$D$3004,1)),INDEX('AH History'!$D$5:$GG$1380,$K736,AH!$U$10+2))),NA()),NA())</f>
        <v/>
      </c>
      <c r="H736" s="266">
        <f>IFERROR(IF(ISNUMBER($A736),IF(AND(AH!$U$12=1,731+1=AH!$U$6),IF(AH!$U$4=0,"unavailable",INDEX('Market Data'!$AP$5:$AP$66,AH!$U$4)),IF(AH!$U$5=1,INDEX('Live History'!$H$5:$H$3004,MATCH($A736,'Live History'!$G$5:$G$3004,1)),INDEX('AH History'!$B$5:$B$1380,$K736))),NA()),NA())</f>
        <v/>
      </c>
      <c r="I736" s="34">
        <f>IFERROR(IF(ISNUMBER($A736),IF(AND(AH!$U$12=1,731+1=AH!$U$6),TODAY(),IF(AH!$U$5=1,INDEX('Live History'!$G$5:$G$3004,MATCH($A736,'Live History'!$G$5:$G$3004,1)),INDEX('AH History'!$C$5:$C$1380,$K736))),NA()),NA())</f>
        <v/>
      </c>
      <c r="J736" s="32">
        <f>IFERROR(IF(AND($F736&gt;0,$H736&gt;0,$A736-$G736&lt;=10,$A736-$I736&lt;=5,$G736&gt;0,$I736&gt;0),$F736*$H736,NA()),NA())</f>
        <v/>
      </c>
      <c r="K736" s="15">
        <f>IF($A736="","",IF(AH!$U$5=1,IFERROR(MATCH($A736,'Live History'!$A$5:$A$3004,0),0),AH!$U$7+731))</f>
        <v/>
      </c>
      <c r="L736" s="15">
        <f>IF(ISNUMBER(A736),TEXT(A736,"dd-mmm-yy"),"")</f>
        <v/>
      </c>
    </row>
    <row r="737">
      <c r="A737" s="14">
        <f>IF(OR(AH!$U$4=0,732+1&gt;AH!$U$6,AND(AH!$M$5="Bloomberg",AH!$U$5=0)),"",IFERROR(IF(AND(AH!$U$12=1,732+1=AH!$U$6),TODAY(),IF(AH!$U$5=1,INDEX('Live History'!$A$5:$A$3004,AH!$U$7+732),INDEX('AH History'!$A$5:$A$1380,AH!$U$7+732))),""))</f>
        <v/>
      </c>
      <c r="B737" s="33">
        <f>IFERROR(IF(AH!$U$11=1,NA(),$J737/$E737-1),NA())</f>
        <v/>
      </c>
      <c r="C737" s="269">
        <f>IFERROR(100*$E737/$E$5,NA())</f>
        <v/>
      </c>
      <c r="D737" s="269">
        <f>IFERROR(100*$J737/$J$5,NA())</f>
        <v/>
      </c>
      <c r="E737" s="32">
        <f>IFERROR(IF(AND(ISNUMBER($A737),N(IF(AND(AH!$U$12=1,732+1=AH!$U$6),IF(AH!$U$4=0,"unavailable",INDEX('Market Data'!$AN$5:$AN$66,AH!$U$4)),IF(AH!$U$5=1,INDEX('Live History'!$B$5:$B$3004,$K737),INDEX('AH History'!$D$5:$GG$1380,$K737,AH!$U$10))))&gt;0),IF(AND(AH!$U$12=1,732+1=AH!$U$6),IF(AH!$U$4=0,"unavailable",INDEX('Market Data'!$AN$5:$AN$66,AH!$U$4)),IF(AH!$U$5=1,INDEX('Live History'!$B$5:$B$3004,$K737),INDEX('AH History'!$D$5:$GG$1380,$K737,AH!$U$10))),NA()),NA())</f>
        <v/>
      </c>
      <c r="F737" s="32">
        <f>IFERROR(IF(ISNUMBER($A737),IF(AND(AH!$U$12=1,732+1=AH!$U$6),IF(AH!$U$4=0,"unavailable",INDEX('Market Data'!$AO$5:$AO$66,AH!$U$4)),IF(AH!$U$5=1,INDEX('Live History'!$E$5:$E$3004,MATCH($A737,'Live History'!$D$5:$D$3004,1)),INDEX('AH History'!$D$5:$GG$1380,$K737,AH!$U$10+1))),NA()),NA())</f>
        <v/>
      </c>
      <c r="G737" s="34">
        <f>IFERROR(IF(ISNUMBER($A737),IF(AND(AH!$U$12=1,732+1=AH!$U$6),IF(AH!$U$4=0,"unavailable",INDEX('Market Data'!$AK$5:$AK$66,AH!$U$4)),IF(AH!$U$5=1,INDEX('Live History'!$D$5:$D$3004,MATCH($A737,'Live History'!$D$5:$D$3004,1)),INDEX('AH History'!$D$5:$GG$1380,$K737,AH!$U$10+2))),NA()),NA())</f>
        <v/>
      </c>
      <c r="H737" s="266">
        <f>IFERROR(IF(ISNUMBER($A737),IF(AND(AH!$U$12=1,732+1=AH!$U$6),IF(AH!$U$4=0,"unavailable",INDEX('Market Data'!$AP$5:$AP$66,AH!$U$4)),IF(AH!$U$5=1,INDEX('Live History'!$H$5:$H$3004,MATCH($A737,'Live History'!$G$5:$G$3004,1)),INDEX('AH History'!$B$5:$B$1380,$K737))),NA()),NA())</f>
        <v/>
      </c>
      <c r="I737" s="34">
        <f>IFERROR(IF(ISNUMBER($A737),IF(AND(AH!$U$12=1,732+1=AH!$U$6),TODAY(),IF(AH!$U$5=1,INDEX('Live History'!$G$5:$G$3004,MATCH($A737,'Live History'!$G$5:$G$3004,1)),INDEX('AH History'!$C$5:$C$1380,$K737))),NA()),NA())</f>
        <v/>
      </c>
      <c r="J737" s="32">
        <f>IFERROR(IF(AND($F737&gt;0,$H737&gt;0,$A737-$G737&lt;=10,$A737-$I737&lt;=5,$G737&gt;0,$I737&gt;0),$F737*$H737,NA()),NA())</f>
        <v/>
      </c>
      <c r="K737" s="15">
        <f>IF($A737="","",IF(AH!$U$5=1,IFERROR(MATCH($A737,'Live History'!$A$5:$A$3004,0),0),AH!$U$7+732))</f>
        <v/>
      </c>
      <c r="L737" s="15">
        <f>IF(ISNUMBER(A737),TEXT(A737,"dd-mmm-yy"),"")</f>
        <v/>
      </c>
    </row>
    <row r="738">
      <c r="A738" s="14">
        <f>IF(OR(AH!$U$4=0,733+1&gt;AH!$U$6,AND(AH!$M$5="Bloomberg",AH!$U$5=0)),"",IFERROR(IF(AND(AH!$U$12=1,733+1=AH!$U$6),TODAY(),IF(AH!$U$5=1,INDEX('Live History'!$A$5:$A$3004,AH!$U$7+733),INDEX('AH History'!$A$5:$A$1380,AH!$U$7+733))),""))</f>
        <v/>
      </c>
      <c r="B738" s="33">
        <f>IFERROR(IF(AH!$U$11=1,NA(),$J738/$E738-1),NA())</f>
        <v/>
      </c>
      <c r="C738" s="269">
        <f>IFERROR(100*$E738/$E$5,NA())</f>
        <v/>
      </c>
      <c r="D738" s="269">
        <f>IFERROR(100*$J738/$J$5,NA())</f>
        <v/>
      </c>
      <c r="E738" s="32">
        <f>IFERROR(IF(AND(ISNUMBER($A738),N(IF(AND(AH!$U$12=1,733+1=AH!$U$6),IF(AH!$U$4=0,"unavailable",INDEX('Market Data'!$AN$5:$AN$66,AH!$U$4)),IF(AH!$U$5=1,INDEX('Live History'!$B$5:$B$3004,$K738),INDEX('AH History'!$D$5:$GG$1380,$K738,AH!$U$10))))&gt;0),IF(AND(AH!$U$12=1,733+1=AH!$U$6),IF(AH!$U$4=0,"unavailable",INDEX('Market Data'!$AN$5:$AN$66,AH!$U$4)),IF(AH!$U$5=1,INDEX('Live History'!$B$5:$B$3004,$K738),INDEX('AH History'!$D$5:$GG$1380,$K738,AH!$U$10))),NA()),NA())</f>
        <v/>
      </c>
      <c r="F738" s="32">
        <f>IFERROR(IF(ISNUMBER($A738),IF(AND(AH!$U$12=1,733+1=AH!$U$6),IF(AH!$U$4=0,"unavailable",INDEX('Market Data'!$AO$5:$AO$66,AH!$U$4)),IF(AH!$U$5=1,INDEX('Live History'!$E$5:$E$3004,MATCH($A738,'Live History'!$D$5:$D$3004,1)),INDEX('AH History'!$D$5:$GG$1380,$K738,AH!$U$10+1))),NA()),NA())</f>
        <v/>
      </c>
      <c r="G738" s="34">
        <f>IFERROR(IF(ISNUMBER($A738),IF(AND(AH!$U$12=1,733+1=AH!$U$6),IF(AH!$U$4=0,"unavailable",INDEX('Market Data'!$AK$5:$AK$66,AH!$U$4)),IF(AH!$U$5=1,INDEX('Live History'!$D$5:$D$3004,MATCH($A738,'Live History'!$D$5:$D$3004,1)),INDEX('AH History'!$D$5:$GG$1380,$K738,AH!$U$10+2))),NA()),NA())</f>
        <v/>
      </c>
      <c r="H738" s="266">
        <f>IFERROR(IF(ISNUMBER($A738),IF(AND(AH!$U$12=1,733+1=AH!$U$6),IF(AH!$U$4=0,"unavailable",INDEX('Market Data'!$AP$5:$AP$66,AH!$U$4)),IF(AH!$U$5=1,INDEX('Live History'!$H$5:$H$3004,MATCH($A738,'Live History'!$G$5:$G$3004,1)),INDEX('AH History'!$B$5:$B$1380,$K738))),NA()),NA())</f>
        <v/>
      </c>
      <c r="I738" s="34">
        <f>IFERROR(IF(ISNUMBER($A738),IF(AND(AH!$U$12=1,733+1=AH!$U$6),TODAY(),IF(AH!$U$5=1,INDEX('Live History'!$G$5:$G$3004,MATCH($A738,'Live History'!$G$5:$G$3004,1)),INDEX('AH History'!$C$5:$C$1380,$K738))),NA()),NA())</f>
        <v/>
      </c>
      <c r="J738" s="32">
        <f>IFERROR(IF(AND($F738&gt;0,$H738&gt;0,$A738-$G738&lt;=10,$A738-$I738&lt;=5,$G738&gt;0,$I738&gt;0),$F738*$H738,NA()),NA())</f>
        <v/>
      </c>
      <c r="K738" s="15">
        <f>IF($A738="","",IF(AH!$U$5=1,IFERROR(MATCH($A738,'Live History'!$A$5:$A$3004,0),0),AH!$U$7+733))</f>
        <v/>
      </c>
      <c r="L738" s="15">
        <f>IF(ISNUMBER(A738),TEXT(A738,"dd-mmm-yy"),"")</f>
        <v/>
      </c>
    </row>
    <row r="739">
      <c r="A739" s="14">
        <f>IF(OR(AH!$U$4=0,734+1&gt;AH!$U$6,AND(AH!$M$5="Bloomberg",AH!$U$5=0)),"",IFERROR(IF(AND(AH!$U$12=1,734+1=AH!$U$6),TODAY(),IF(AH!$U$5=1,INDEX('Live History'!$A$5:$A$3004,AH!$U$7+734),INDEX('AH History'!$A$5:$A$1380,AH!$U$7+734))),""))</f>
        <v/>
      </c>
      <c r="B739" s="33">
        <f>IFERROR(IF(AH!$U$11=1,NA(),$J739/$E739-1),NA())</f>
        <v/>
      </c>
      <c r="C739" s="269">
        <f>IFERROR(100*$E739/$E$5,NA())</f>
        <v/>
      </c>
      <c r="D739" s="269">
        <f>IFERROR(100*$J739/$J$5,NA())</f>
        <v/>
      </c>
      <c r="E739" s="32">
        <f>IFERROR(IF(AND(ISNUMBER($A739),N(IF(AND(AH!$U$12=1,734+1=AH!$U$6),IF(AH!$U$4=0,"unavailable",INDEX('Market Data'!$AN$5:$AN$66,AH!$U$4)),IF(AH!$U$5=1,INDEX('Live History'!$B$5:$B$3004,$K739),INDEX('AH History'!$D$5:$GG$1380,$K739,AH!$U$10))))&gt;0),IF(AND(AH!$U$12=1,734+1=AH!$U$6),IF(AH!$U$4=0,"unavailable",INDEX('Market Data'!$AN$5:$AN$66,AH!$U$4)),IF(AH!$U$5=1,INDEX('Live History'!$B$5:$B$3004,$K739),INDEX('AH History'!$D$5:$GG$1380,$K739,AH!$U$10))),NA()),NA())</f>
        <v/>
      </c>
      <c r="F739" s="32">
        <f>IFERROR(IF(ISNUMBER($A739),IF(AND(AH!$U$12=1,734+1=AH!$U$6),IF(AH!$U$4=0,"unavailable",INDEX('Market Data'!$AO$5:$AO$66,AH!$U$4)),IF(AH!$U$5=1,INDEX('Live History'!$E$5:$E$3004,MATCH($A739,'Live History'!$D$5:$D$3004,1)),INDEX('AH History'!$D$5:$GG$1380,$K739,AH!$U$10+1))),NA()),NA())</f>
        <v/>
      </c>
      <c r="G739" s="34">
        <f>IFERROR(IF(ISNUMBER($A739),IF(AND(AH!$U$12=1,734+1=AH!$U$6),IF(AH!$U$4=0,"unavailable",INDEX('Market Data'!$AK$5:$AK$66,AH!$U$4)),IF(AH!$U$5=1,INDEX('Live History'!$D$5:$D$3004,MATCH($A739,'Live History'!$D$5:$D$3004,1)),INDEX('AH History'!$D$5:$GG$1380,$K739,AH!$U$10+2))),NA()),NA())</f>
        <v/>
      </c>
      <c r="H739" s="266">
        <f>IFERROR(IF(ISNUMBER($A739),IF(AND(AH!$U$12=1,734+1=AH!$U$6),IF(AH!$U$4=0,"unavailable",INDEX('Market Data'!$AP$5:$AP$66,AH!$U$4)),IF(AH!$U$5=1,INDEX('Live History'!$H$5:$H$3004,MATCH($A739,'Live History'!$G$5:$G$3004,1)),INDEX('AH History'!$B$5:$B$1380,$K739))),NA()),NA())</f>
        <v/>
      </c>
      <c r="I739" s="34">
        <f>IFERROR(IF(ISNUMBER($A739),IF(AND(AH!$U$12=1,734+1=AH!$U$6),TODAY(),IF(AH!$U$5=1,INDEX('Live History'!$G$5:$G$3004,MATCH($A739,'Live History'!$G$5:$G$3004,1)),INDEX('AH History'!$C$5:$C$1380,$K739))),NA()),NA())</f>
        <v/>
      </c>
      <c r="J739" s="32">
        <f>IFERROR(IF(AND($F739&gt;0,$H739&gt;0,$A739-$G739&lt;=10,$A739-$I739&lt;=5,$G739&gt;0,$I739&gt;0),$F739*$H739,NA()),NA())</f>
        <v/>
      </c>
      <c r="K739" s="15">
        <f>IF($A739="","",IF(AH!$U$5=1,IFERROR(MATCH($A739,'Live History'!$A$5:$A$3004,0),0),AH!$U$7+734))</f>
        <v/>
      </c>
      <c r="L739" s="15">
        <f>IF(ISNUMBER(A739),TEXT(A739,"dd-mmm-yy"),"")</f>
        <v/>
      </c>
    </row>
    <row r="740">
      <c r="A740" s="14">
        <f>IF(OR(AH!$U$4=0,735+1&gt;AH!$U$6,AND(AH!$M$5="Bloomberg",AH!$U$5=0)),"",IFERROR(IF(AND(AH!$U$12=1,735+1=AH!$U$6),TODAY(),IF(AH!$U$5=1,INDEX('Live History'!$A$5:$A$3004,AH!$U$7+735),INDEX('AH History'!$A$5:$A$1380,AH!$U$7+735))),""))</f>
        <v/>
      </c>
      <c r="B740" s="33">
        <f>IFERROR(IF(AH!$U$11=1,NA(),$J740/$E740-1),NA())</f>
        <v/>
      </c>
      <c r="C740" s="269">
        <f>IFERROR(100*$E740/$E$5,NA())</f>
        <v/>
      </c>
      <c r="D740" s="269">
        <f>IFERROR(100*$J740/$J$5,NA())</f>
        <v/>
      </c>
      <c r="E740" s="32">
        <f>IFERROR(IF(AND(ISNUMBER($A740),N(IF(AND(AH!$U$12=1,735+1=AH!$U$6),IF(AH!$U$4=0,"unavailable",INDEX('Market Data'!$AN$5:$AN$66,AH!$U$4)),IF(AH!$U$5=1,INDEX('Live History'!$B$5:$B$3004,$K740),INDEX('AH History'!$D$5:$GG$1380,$K740,AH!$U$10))))&gt;0),IF(AND(AH!$U$12=1,735+1=AH!$U$6),IF(AH!$U$4=0,"unavailable",INDEX('Market Data'!$AN$5:$AN$66,AH!$U$4)),IF(AH!$U$5=1,INDEX('Live History'!$B$5:$B$3004,$K740),INDEX('AH History'!$D$5:$GG$1380,$K740,AH!$U$10))),NA()),NA())</f>
        <v/>
      </c>
      <c r="F740" s="32">
        <f>IFERROR(IF(ISNUMBER($A740),IF(AND(AH!$U$12=1,735+1=AH!$U$6),IF(AH!$U$4=0,"unavailable",INDEX('Market Data'!$AO$5:$AO$66,AH!$U$4)),IF(AH!$U$5=1,INDEX('Live History'!$E$5:$E$3004,MATCH($A740,'Live History'!$D$5:$D$3004,1)),INDEX('AH History'!$D$5:$GG$1380,$K740,AH!$U$10+1))),NA()),NA())</f>
        <v/>
      </c>
      <c r="G740" s="34">
        <f>IFERROR(IF(ISNUMBER($A740),IF(AND(AH!$U$12=1,735+1=AH!$U$6),IF(AH!$U$4=0,"unavailable",INDEX('Market Data'!$AK$5:$AK$66,AH!$U$4)),IF(AH!$U$5=1,INDEX('Live History'!$D$5:$D$3004,MATCH($A740,'Live History'!$D$5:$D$3004,1)),INDEX('AH History'!$D$5:$GG$1380,$K740,AH!$U$10+2))),NA()),NA())</f>
        <v/>
      </c>
      <c r="H740" s="266">
        <f>IFERROR(IF(ISNUMBER($A740),IF(AND(AH!$U$12=1,735+1=AH!$U$6),IF(AH!$U$4=0,"unavailable",INDEX('Market Data'!$AP$5:$AP$66,AH!$U$4)),IF(AH!$U$5=1,INDEX('Live History'!$H$5:$H$3004,MATCH($A740,'Live History'!$G$5:$G$3004,1)),INDEX('AH History'!$B$5:$B$1380,$K740))),NA()),NA())</f>
        <v/>
      </c>
      <c r="I740" s="34">
        <f>IFERROR(IF(ISNUMBER($A740),IF(AND(AH!$U$12=1,735+1=AH!$U$6),TODAY(),IF(AH!$U$5=1,INDEX('Live History'!$G$5:$G$3004,MATCH($A740,'Live History'!$G$5:$G$3004,1)),INDEX('AH History'!$C$5:$C$1380,$K740))),NA()),NA())</f>
        <v/>
      </c>
      <c r="J740" s="32">
        <f>IFERROR(IF(AND($F740&gt;0,$H740&gt;0,$A740-$G740&lt;=10,$A740-$I740&lt;=5,$G740&gt;0,$I740&gt;0),$F740*$H740,NA()),NA())</f>
        <v/>
      </c>
      <c r="K740" s="15">
        <f>IF($A740="","",IF(AH!$U$5=1,IFERROR(MATCH($A740,'Live History'!$A$5:$A$3004,0),0),AH!$U$7+735))</f>
        <v/>
      </c>
      <c r="L740" s="15">
        <f>IF(ISNUMBER(A740),TEXT(A740,"dd-mmm-yy"),"")</f>
        <v/>
      </c>
    </row>
    <row r="741">
      <c r="A741" s="14">
        <f>IF(OR(AH!$U$4=0,736+1&gt;AH!$U$6,AND(AH!$M$5="Bloomberg",AH!$U$5=0)),"",IFERROR(IF(AND(AH!$U$12=1,736+1=AH!$U$6),TODAY(),IF(AH!$U$5=1,INDEX('Live History'!$A$5:$A$3004,AH!$U$7+736),INDEX('AH History'!$A$5:$A$1380,AH!$U$7+736))),""))</f>
        <v/>
      </c>
      <c r="B741" s="33">
        <f>IFERROR(IF(AH!$U$11=1,NA(),$J741/$E741-1),NA())</f>
        <v/>
      </c>
      <c r="C741" s="269">
        <f>IFERROR(100*$E741/$E$5,NA())</f>
        <v/>
      </c>
      <c r="D741" s="269">
        <f>IFERROR(100*$J741/$J$5,NA())</f>
        <v/>
      </c>
      <c r="E741" s="32">
        <f>IFERROR(IF(AND(ISNUMBER($A741),N(IF(AND(AH!$U$12=1,736+1=AH!$U$6),IF(AH!$U$4=0,"unavailable",INDEX('Market Data'!$AN$5:$AN$66,AH!$U$4)),IF(AH!$U$5=1,INDEX('Live History'!$B$5:$B$3004,$K741),INDEX('AH History'!$D$5:$GG$1380,$K741,AH!$U$10))))&gt;0),IF(AND(AH!$U$12=1,736+1=AH!$U$6),IF(AH!$U$4=0,"unavailable",INDEX('Market Data'!$AN$5:$AN$66,AH!$U$4)),IF(AH!$U$5=1,INDEX('Live History'!$B$5:$B$3004,$K741),INDEX('AH History'!$D$5:$GG$1380,$K741,AH!$U$10))),NA()),NA())</f>
        <v/>
      </c>
      <c r="F741" s="32">
        <f>IFERROR(IF(ISNUMBER($A741),IF(AND(AH!$U$12=1,736+1=AH!$U$6),IF(AH!$U$4=0,"unavailable",INDEX('Market Data'!$AO$5:$AO$66,AH!$U$4)),IF(AH!$U$5=1,INDEX('Live History'!$E$5:$E$3004,MATCH($A741,'Live History'!$D$5:$D$3004,1)),INDEX('AH History'!$D$5:$GG$1380,$K741,AH!$U$10+1))),NA()),NA())</f>
        <v/>
      </c>
      <c r="G741" s="34">
        <f>IFERROR(IF(ISNUMBER($A741),IF(AND(AH!$U$12=1,736+1=AH!$U$6),IF(AH!$U$4=0,"unavailable",INDEX('Market Data'!$AK$5:$AK$66,AH!$U$4)),IF(AH!$U$5=1,INDEX('Live History'!$D$5:$D$3004,MATCH($A741,'Live History'!$D$5:$D$3004,1)),INDEX('AH History'!$D$5:$GG$1380,$K741,AH!$U$10+2))),NA()),NA())</f>
        <v/>
      </c>
      <c r="H741" s="266">
        <f>IFERROR(IF(ISNUMBER($A741),IF(AND(AH!$U$12=1,736+1=AH!$U$6),IF(AH!$U$4=0,"unavailable",INDEX('Market Data'!$AP$5:$AP$66,AH!$U$4)),IF(AH!$U$5=1,INDEX('Live History'!$H$5:$H$3004,MATCH($A741,'Live History'!$G$5:$G$3004,1)),INDEX('AH History'!$B$5:$B$1380,$K741))),NA()),NA())</f>
        <v/>
      </c>
      <c r="I741" s="34">
        <f>IFERROR(IF(ISNUMBER($A741),IF(AND(AH!$U$12=1,736+1=AH!$U$6),TODAY(),IF(AH!$U$5=1,INDEX('Live History'!$G$5:$G$3004,MATCH($A741,'Live History'!$G$5:$G$3004,1)),INDEX('AH History'!$C$5:$C$1380,$K741))),NA()),NA())</f>
        <v/>
      </c>
      <c r="J741" s="32">
        <f>IFERROR(IF(AND($F741&gt;0,$H741&gt;0,$A741-$G741&lt;=10,$A741-$I741&lt;=5,$G741&gt;0,$I741&gt;0),$F741*$H741,NA()),NA())</f>
        <v/>
      </c>
      <c r="K741" s="15">
        <f>IF($A741="","",IF(AH!$U$5=1,IFERROR(MATCH($A741,'Live History'!$A$5:$A$3004,0),0),AH!$U$7+736))</f>
        <v/>
      </c>
      <c r="L741" s="15">
        <f>IF(ISNUMBER(A741),TEXT(A741,"dd-mmm-yy"),"")</f>
        <v/>
      </c>
    </row>
    <row r="742">
      <c r="A742" s="14">
        <f>IF(OR(AH!$U$4=0,737+1&gt;AH!$U$6,AND(AH!$M$5="Bloomberg",AH!$U$5=0)),"",IFERROR(IF(AND(AH!$U$12=1,737+1=AH!$U$6),TODAY(),IF(AH!$U$5=1,INDEX('Live History'!$A$5:$A$3004,AH!$U$7+737),INDEX('AH History'!$A$5:$A$1380,AH!$U$7+737))),""))</f>
        <v/>
      </c>
      <c r="B742" s="33">
        <f>IFERROR(IF(AH!$U$11=1,NA(),$J742/$E742-1),NA())</f>
        <v/>
      </c>
      <c r="C742" s="269">
        <f>IFERROR(100*$E742/$E$5,NA())</f>
        <v/>
      </c>
      <c r="D742" s="269">
        <f>IFERROR(100*$J742/$J$5,NA())</f>
        <v/>
      </c>
      <c r="E742" s="32">
        <f>IFERROR(IF(AND(ISNUMBER($A742),N(IF(AND(AH!$U$12=1,737+1=AH!$U$6),IF(AH!$U$4=0,"unavailable",INDEX('Market Data'!$AN$5:$AN$66,AH!$U$4)),IF(AH!$U$5=1,INDEX('Live History'!$B$5:$B$3004,$K742),INDEX('AH History'!$D$5:$GG$1380,$K742,AH!$U$10))))&gt;0),IF(AND(AH!$U$12=1,737+1=AH!$U$6),IF(AH!$U$4=0,"unavailable",INDEX('Market Data'!$AN$5:$AN$66,AH!$U$4)),IF(AH!$U$5=1,INDEX('Live History'!$B$5:$B$3004,$K742),INDEX('AH History'!$D$5:$GG$1380,$K742,AH!$U$10))),NA()),NA())</f>
        <v/>
      </c>
      <c r="F742" s="32">
        <f>IFERROR(IF(ISNUMBER($A742),IF(AND(AH!$U$12=1,737+1=AH!$U$6),IF(AH!$U$4=0,"unavailable",INDEX('Market Data'!$AO$5:$AO$66,AH!$U$4)),IF(AH!$U$5=1,INDEX('Live History'!$E$5:$E$3004,MATCH($A742,'Live History'!$D$5:$D$3004,1)),INDEX('AH History'!$D$5:$GG$1380,$K742,AH!$U$10+1))),NA()),NA())</f>
        <v/>
      </c>
      <c r="G742" s="34">
        <f>IFERROR(IF(ISNUMBER($A742),IF(AND(AH!$U$12=1,737+1=AH!$U$6),IF(AH!$U$4=0,"unavailable",INDEX('Market Data'!$AK$5:$AK$66,AH!$U$4)),IF(AH!$U$5=1,INDEX('Live History'!$D$5:$D$3004,MATCH($A742,'Live History'!$D$5:$D$3004,1)),INDEX('AH History'!$D$5:$GG$1380,$K742,AH!$U$10+2))),NA()),NA())</f>
        <v/>
      </c>
      <c r="H742" s="266">
        <f>IFERROR(IF(ISNUMBER($A742),IF(AND(AH!$U$12=1,737+1=AH!$U$6),IF(AH!$U$4=0,"unavailable",INDEX('Market Data'!$AP$5:$AP$66,AH!$U$4)),IF(AH!$U$5=1,INDEX('Live History'!$H$5:$H$3004,MATCH($A742,'Live History'!$G$5:$G$3004,1)),INDEX('AH History'!$B$5:$B$1380,$K742))),NA()),NA())</f>
        <v/>
      </c>
      <c r="I742" s="34">
        <f>IFERROR(IF(ISNUMBER($A742),IF(AND(AH!$U$12=1,737+1=AH!$U$6),TODAY(),IF(AH!$U$5=1,INDEX('Live History'!$G$5:$G$3004,MATCH($A742,'Live History'!$G$5:$G$3004,1)),INDEX('AH History'!$C$5:$C$1380,$K742))),NA()),NA())</f>
        <v/>
      </c>
      <c r="J742" s="32">
        <f>IFERROR(IF(AND($F742&gt;0,$H742&gt;0,$A742-$G742&lt;=10,$A742-$I742&lt;=5,$G742&gt;0,$I742&gt;0),$F742*$H742,NA()),NA())</f>
        <v/>
      </c>
      <c r="K742" s="15">
        <f>IF($A742="","",IF(AH!$U$5=1,IFERROR(MATCH($A742,'Live History'!$A$5:$A$3004,0),0),AH!$U$7+737))</f>
        <v/>
      </c>
      <c r="L742" s="15">
        <f>IF(ISNUMBER(A742),TEXT(A742,"dd-mmm-yy"),"")</f>
        <v/>
      </c>
    </row>
    <row r="743">
      <c r="A743" s="14">
        <f>IF(OR(AH!$U$4=0,738+1&gt;AH!$U$6,AND(AH!$M$5="Bloomberg",AH!$U$5=0)),"",IFERROR(IF(AND(AH!$U$12=1,738+1=AH!$U$6),TODAY(),IF(AH!$U$5=1,INDEX('Live History'!$A$5:$A$3004,AH!$U$7+738),INDEX('AH History'!$A$5:$A$1380,AH!$U$7+738))),""))</f>
        <v/>
      </c>
      <c r="B743" s="33">
        <f>IFERROR(IF(AH!$U$11=1,NA(),$J743/$E743-1),NA())</f>
        <v/>
      </c>
      <c r="C743" s="269">
        <f>IFERROR(100*$E743/$E$5,NA())</f>
        <v/>
      </c>
      <c r="D743" s="269">
        <f>IFERROR(100*$J743/$J$5,NA())</f>
        <v/>
      </c>
      <c r="E743" s="32">
        <f>IFERROR(IF(AND(ISNUMBER($A743),N(IF(AND(AH!$U$12=1,738+1=AH!$U$6),IF(AH!$U$4=0,"unavailable",INDEX('Market Data'!$AN$5:$AN$66,AH!$U$4)),IF(AH!$U$5=1,INDEX('Live History'!$B$5:$B$3004,$K743),INDEX('AH History'!$D$5:$GG$1380,$K743,AH!$U$10))))&gt;0),IF(AND(AH!$U$12=1,738+1=AH!$U$6),IF(AH!$U$4=0,"unavailable",INDEX('Market Data'!$AN$5:$AN$66,AH!$U$4)),IF(AH!$U$5=1,INDEX('Live History'!$B$5:$B$3004,$K743),INDEX('AH History'!$D$5:$GG$1380,$K743,AH!$U$10))),NA()),NA())</f>
        <v/>
      </c>
      <c r="F743" s="32">
        <f>IFERROR(IF(ISNUMBER($A743),IF(AND(AH!$U$12=1,738+1=AH!$U$6),IF(AH!$U$4=0,"unavailable",INDEX('Market Data'!$AO$5:$AO$66,AH!$U$4)),IF(AH!$U$5=1,INDEX('Live History'!$E$5:$E$3004,MATCH($A743,'Live History'!$D$5:$D$3004,1)),INDEX('AH History'!$D$5:$GG$1380,$K743,AH!$U$10+1))),NA()),NA())</f>
        <v/>
      </c>
      <c r="G743" s="34">
        <f>IFERROR(IF(ISNUMBER($A743),IF(AND(AH!$U$12=1,738+1=AH!$U$6),IF(AH!$U$4=0,"unavailable",INDEX('Market Data'!$AK$5:$AK$66,AH!$U$4)),IF(AH!$U$5=1,INDEX('Live History'!$D$5:$D$3004,MATCH($A743,'Live History'!$D$5:$D$3004,1)),INDEX('AH History'!$D$5:$GG$1380,$K743,AH!$U$10+2))),NA()),NA())</f>
        <v/>
      </c>
      <c r="H743" s="266">
        <f>IFERROR(IF(ISNUMBER($A743),IF(AND(AH!$U$12=1,738+1=AH!$U$6),IF(AH!$U$4=0,"unavailable",INDEX('Market Data'!$AP$5:$AP$66,AH!$U$4)),IF(AH!$U$5=1,INDEX('Live History'!$H$5:$H$3004,MATCH($A743,'Live History'!$G$5:$G$3004,1)),INDEX('AH History'!$B$5:$B$1380,$K743))),NA()),NA())</f>
        <v/>
      </c>
      <c r="I743" s="34">
        <f>IFERROR(IF(ISNUMBER($A743),IF(AND(AH!$U$12=1,738+1=AH!$U$6),TODAY(),IF(AH!$U$5=1,INDEX('Live History'!$G$5:$G$3004,MATCH($A743,'Live History'!$G$5:$G$3004,1)),INDEX('AH History'!$C$5:$C$1380,$K743))),NA()),NA())</f>
        <v/>
      </c>
      <c r="J743" s="32">
        <f>IFERROR(IF(AND($F743&gt;0,$H743&gt;0,$A743-$G743&lt;=10,$A743-$I743&lt;=5,$G743&gt;0,$I743&gt;0),$F743*$H743,NA()),NA())</f>
        <v/>
      </c>
      <c r="K743" s="15">
        <f>IF($A743="","",IF(AH!$U$5=1,IFERROR(MATCH($A743,'Live History'!$A$5:$A$3004,0),0),AH!$U$7+738))</f>
        <v/>
      </c>
      <c r="L743" s="15">
        <f>IF(ISNUMBER(A743),TEXT(A743,"dd-mmm-yy"),"")</f>
        <v/>
      </c>
    </row>
    <row r="744">
      <c r="A744" s="14">
        <f>IF(OR(AH!$U$4=0,739+1&gt;AH!$U$6,AND(AH!$M$5="Bloomberg",AH!$U$5=0)),"",IFERROR(IF(AND(AH!$U$12=1,739+1=AH!$U$6),TODAY(),IF(AH!$U$5=1,INDEX('Live History'!$A$5:$A$3004,AH!$U$7+739),INDEX('AH History'!$A$5:$A$1380,AH!$U$7+739))),""))</f>
        <v/>
      </c>
      <c r="B744" s="33">
        <f>IFERROR(IF(AH!$U$11=1,NA(),$J744/$E744-1),NA())</f>
        <v/>
      </c>
      <c r="C744" s="269">
        <f>IFERROR(100*$E744/$E$5,NA())</f>
        <v/>
      </c>
      <c r="D744" s="269">
        <f>IFERROR(100*$J744/$J$5,NA())</f>
        <v/>
      </c>
      <c r="E744" s="32">
        <f>IFERROR(IF(AND(ISNUMBER($A744),N(IF(AND(AH!$U$12=1,739+1=AH!$U$6),IF(AH!$U$4=0,"unavailable",INDEX('Market Data'!$AN$5:$AN$66,AH!$U$4)),IF(AH!$U$5=1,INDEX('Live History'!$B$5:$B$3004,$K744),INDEX('AH History'!$D$5:$GG$1380,$K744,AH!$U$10))))&gt;0),IF(AND(AH!$U$12=1,739+1=AH!$U$6),IF(AH!$U$4=0,"unavailable",INDEX('Market Data'!$AN$5:$AN$66,AH!$U$4)),IF(AH!$U$5=1,INDEX('Live History'!$B$5:$B$3004,$K744),INDEX('AH History'!$D$5:$GG$1380,$K744,AH!$U$10))),NA()),NA())</f>
        <v/>
      </c>
      <c r="F744" s="32">
        <f>IFERROR(IF(ISNUMBER($A744),IF(AND(AH!$U$12=1,739+1=AH!$U$6),IF(AH!$U$4=0,"unavailable",INDEX('Market Data'!$AO$5:$AO$66,AH!$U$4)),IF(AH!$U$5=1,INDEX('Live History'!$E$5:$E$3004,MATCH($A744,'Live History'!$D$5:$D$3004,1)),INDEX('AH History'!$D$5:$GG$1380,$K744,AH!$U$10+1))),NA()),NA())</f>
        <v/>
      </c>
      <c r="G744" s="34">
        <f>IFERROR(IF(ISNUMBER($A744),IF(AND(AH!$U$12=1,739+1=AH!$U$6),IF(AH!$U$4=0,"unavailable",INDEX('Market Data'!$AK$5:$AK$66,AH!$U$4)),IF(AH!$U$5=1,INDEX('Live History'!$D$5:$D$3004,MATCH($A744,'Live History'!$D$5:$D$3004,1)),INDEX('AH History'!$D$5:$GG$1380,$K744,AH!$U$10+2))),NA()),NA())</f>
        <v/>
      </c>
      <c r="H744" s="266">
        <f>IFERROR(IF(ISNUMBER($A744),IF(AND(AH!$U$12=1,739+1=AH!$U$6),IF(AH!$U$4=0,"unavailable",INDEX('Market Data'!$AP$5:$AP$66,AH!$U$4)),IF(AH!$U$5=1,INDEX('Live History'!$H$5:$H$3004,MATCH($A744,'Live History'!$G$5:$G$3004,1)),INDEX('AH History'!$B$5:$B$1380,$K744))),NA()),NA())</f>
        <v/>
      </c>
      <c r="I744" s="34">
        <f>IFERROR(IF(ISNUMBER($A744),IF(AND(AH!$U$12=1,739+1=AH!$U$6),TODAY(),IF(AH!$U$5=1,INDEX('Live History'!$G$5:$G$3004,MATCH($A744,'Live History'!$G$5:$G$3004,1)),INDEX('AH History'!$C$5:$C$1380,$K744))),NA()),NA())</f>
        <v/>
      </c>
      <c r="J744" s="32">
        <f>IFERROR(IF(AND($F744&gt;0,$H744&gt;0,$A744-$G744&lt;=10,$A744-$I744&lt;=5,$G744&gt;0,$I744&gt;0),$F744*$H744,NA()),NA())</f>
        <v/>
      </c>
      <c r="K744" s="15">
        <f>IF($A744="","",IF(AH!$U$5=1,IFERROR(MATCH($A744,'Live History'!$A$5:$A$3004,0),0),AH!$U$7+739))</f>
        <v/>
      </c>
      <c r="L744" s="15">
        <f>IF(ISNUMBER(A744),TEXT(A744,"dd-mmm-yy"),"")</f>
        <v/>
      </c>
    </row>
    <row r="745">
      <c r="A745" s="14">
        <f>IF(OR(AH!$U$4=0,740+1&gt;AH!$U$6,AND(AH!$M$5="Bloomberg",AH!$U$5=0)),"",IFERROR(IF(AND(AH!$U$12=1,740+1=AH!$U$6),TODAY(),IF(AH!$U$5=1,INDEX('Live History'!$A$5:$A$3004,AH!$U$7+740),INDEX('AH History'!$A$5:$A$1380,AH!$U$7+740))),""))</f>
        <v/>
      </c>
      <c r="B745" s="33">
        <f>IFERROR(IF(AH!$U$11=1,NA(),$J745/$E745-1),NA())</f>
        <v/>
      </c>
      <c r="C745" s="269">
        <f>IFERROR(100*$E745/$E$5,NA())</f>
        <v/>
      </c>
      <c r="D745" s="269">
        <f>IFERROR(100*$J745/$J$5,NA())</f>
        <v/>
      </c>
      <c r="E745" s="32">
        <f>IFERROR(IF(AND(ISNUMBER($A745),N(IF(AND(AH!$U$12=1,740+1=AH!$U$6),IF(AH!$U$4=0,"unavailable",INDEX('Market Data'!$AN$5:$AN$66,AH!$U$4)),IF(AH!$U$5=1,INDEX('Live History'!$B$5:$B$3004,$K745),INDEX('AH History'!$D$5:$GG$1380,$K745,AH!$U$10))))&gt;0),IF(AND(AH!$U$12=1,740+1=AH!$U$6),IF(AH!$U$4=0,"unavailable",INDEX('Market Data'!$AN$5:$AN$66,AH!$U$4)),IF(AH!$U$5=1,INDEX('Live History'!$B$5:$B$3004,$K745),INDEX('AH History'!$D$5:$GG$1380,$K745,AH!$U$10))),NA()),NA())</f>
        <v/>
      </c>
      <c r="F745" s="32">
        <f>IFERROR(IF(ISNUMBER($A745),IF(AND(AH!$U$12=1,740+1=AH!$U$6),IF(AH!$U$4=0,"unavailable",INDEX('Market Data'!$AO$5:$AO$66,AH!$U$4)),IF(AH!$U$5=1,INDEX('Live History'!$E$5:$E$3004,MATCH($A745,'Live History'!$D$5:$D$3004,1)),INDEX('AH History'!$D$5:$GG$1380,$K745,AH!$U$10+1))),NA()),NA())</f>
        <v/>
      </c>
      <c r="G745" s="34">
        <f>IFERROR(IF(ISNUMBER($A745),IF(AND(AH!$U$12=1,740+1=AH!$U$6),IF(AH!$U$4=0,"unavailable",INDEX('Market Data'!$AK$5:$AK$66,AH!$U$4)),IF(AH!$U$5=1,INDEX('Live History'!$D$5:$D$3004,MATCH($A745,'Live History'!$D$5:$D$3004,1)),INDEX('AH History'!$D$5:$GG$1380,$K745,AH!$U$10+2))),NA()),NA())</f>
        <v/>
      </c>
      <c r="H745" s="266">
        <f>IFERROR(IF(ISNUMBER($A745),IF(AND(AH!$U$12=1,740+1=AH!$U$6),IF(AH!$U$4=0,"unavailable",INDEX('Market Data'!$AP$5:$AP$66,AH!$U$4)),IF(AH!$U$5=1,INDEX('Live History'!$H$5:$H$3004,MATCH($A745,'Live History'!$G$5:$G$3004,1)),INDEX('AH History'!$B$5:$B$1380,$K745))),NA()),NA())</f>
        <v/>
      </c>
      <c r="I745" s="34">
        <f>IFERROR(IF(ISNUMBER($A745),IF(AND(AH!$U$12=1,740+1=AH!$U$6),TODAY(),IF(AH!$U$5=1,INDEX('Live History'!$G$5:$G$3004,MATCH($A745,'Live History'!$G$5:$G$3004,1)),INDEX('AH History'!$C$5:$C$1380,$K745))),NA()),NA())</f>
        <v/>
      </c>
      <c r="J745" s="32">
        <f>IFERROR(IF(AND($F745&gt;0,$H745&gt;0,$A745-$G745&lt;=10,$A745-$I745&lt;=5,$G745&gt;0,$I745&gt;0),$F745*$H745,NA()),NA())</f>
        <v/>
      </c>
      <c r="K745" s="15">
        <f>IF($A745="","",IF(AH!$U$5=1,IFERROR(MATCH($A745,'Live History'!$A$5:$A$3004,0),0),AH!$U$7+740))</f>
        <v/>
      </c>
      <c r="L745" s="15">
        <f>IF(ISNUMBER(A745),TEXT(A745,"dd-mmm-yy"),"")</f>
        <v/>
      </c>
    </row>
    <row r="746">
      <c r="A746" s="14">
        <f>IF(OR(AH!$U$4=0,741+1&gt;AH!$U$6,AND(AH!$M$5="Bloomberg",AH!$U$5=0)),"",IFERROR(IF(AND(AH!$U$12=1,741+1=AH!$U$6),TODAY(),IF(AH!$U$5=1,INDEX('Live History'!$A$5:$A$3004,AH!$U$7+741),INDEX('AH History'!$A$5:$A$1380,AH!$U$7+741))),""))</f>
        <v/>
      </c>
      <c r="B746" s="33">
        <f>IFERROR(IF(AH!$U$11=1,NA(),$J746/$E746-1),NA())</f>
        <v/>
      </c>
      <c r="C746" s="269">
        <f>IFERROR(100*$E746/$E$5,NA())</f>
        <v/>
      </c>
      <c r="D746" s="269">
        <f>IFERROR(100*$J746/$J$5,NA())</f>
        <v/>
      </c>
      <c r="E746" s="32">
        <f>IFERROR(IF(AND(ISNUMBER($A746),N(IF(AND(AH!$U$12=1,741+1=AH!$U$6),IF(AH!$U$4=0,"unavailable",INDEX('Market Data'!$AN$5:$AN$66,AH!$U$4)),IF(AH!$U$5=1,INDEX('Live History'!$B$5:$B$3004,$K746),INDEX('AH History'!$D$5:$GG$1380,$K746,AH!$U$10))))&gt;0),IF(AND(AH!$U$12=1,741+1=AH!$U$6),IF(AH!$U$4=0,"unavailable",INDEX('Market Data'!$AN$5:$AN$66,AH!$U$4)),IF(AH!$U$5=1,INDEX('Live History'!$B$5:$B$3004,$K746),INDEX('AH History'!$D$5:$GG$1380,$K746,AH!$U$10))),NA()),NA())</f>
        <v/>
      </c>
      <c r="F746" s="32">
        <f>IFERROR(IF(ISNUMBER($A746),IF(AND(AH!$U$12=1,741+1=AH!$U$6),IF(AH!$U$4=0,"unavailable",INDEX('Market Data'!$AO$5:$AO$66,AH!$U$4)),IF(AH!$U$5=1,INDEX('Live History'!$E$5:$E$3004,MATCH($A746,'Live History'!$D$5:$D$3004,1)),INDEX('AH History'!$D$5:$GG$1380,$K746,AH!$U$10+1))),NA()),NA())</f>
        <v/>
      </c>
      <c r="G746" s="34">
        <f>IFERROR(IF(ISNUMBER($A746),IF(AND(AH!$U$12=1,741+1=AH!$U$6),IF(AH!$U$4=0,"unavailable",INDEX('Market Data'!$AK$5:$AK$66,AH!$U$4)),IF(AH!$U$5=1,INDEX('Live History'!$D$5:$D$3004,MATCH($A746,'Live History'!$D$5:$D$3004,1)),INDEX('AH History'!$D$5:$GG$1380,$K746,AH!$U$10+2))),NA()),NA())</f>
        <v/>
      </c>
      <c r="H746" s="266">
        <f>IFERROR(IF(ISNUMBER($A746),IF(AND(AH!$U$12=1,741+1=AH!$U$6),IF(AH!$U$4=0,"unavailable",INDEX('Market Data'!$AP$5:$AP$66,AH!$U$4)),IF(AH!$U$5=1,INDEX('Live History'!$H$5:$H$3004,MATCH($A746,'Live History'!$G$5:$G$3004,1)),INDEX('AH History'!$B$5:$B$1380,$K746))),NA()),NA())</f>
        <v/>
      </c>
      <c r="I746" s="34">
        <f>IFERROR(IF(ISNUMBER($A746),IF(AND(AH!$U$12=1,741+1=AH!$U$6),TODAY(),IF(AH!$U$5=1,INDEX('Live History'!$G$5:$G$3004,MATCH($A746,'Live History'!$G$5:$G$3004,1)),INDEX('AH History'!$C$5:$C$1380,$K746))),NA()),NA())</f>
        <v/>
      </c>
      <c r="J746" s="32">
        <f>IFERROR(IF(AND($F746&gt;0,$H746&gt;0,$A746-$G746&lt;=10,$A746-$I746&lt;=5,$G746&gt;0,$I746&gt;0),$F746*$H746,NA()),NA())</f>
        <v/>
      </c>
      <c r="K746" s="15">
        <f>IF($A746="","",IF(AH!$U$5=1,IFERROR(MATCH($A746,'Live History'!$A$5:$A$3004,0),0),AH!$U$7+741))</f>
        <v/>
      </c>
      <c r="L746" s="15">
        <f>IF(ISNUMBER(A746),TEXT(A746,"dd-mmm-yy"),"")</f>
        <v/>
      </c>
    </row>
    <row r="747">
      <c r="A747" s="14">
        <f>IF(OR(AH!$U$4=0,742+1&gt;AH!$U$6,AND(AH!$M$5="Bloomberg",AH!$U$5=0)),"",IFERROR(IF(AND(AH!$U$12=1,742+1=AH!$U$6),TODAY(),IF(AH!$U$5=1,INDEX('Live History'!$A$5:$A$3004,AH!$U$7+742),INDEX('AH History'!$A$5:$A$1380,AH!$U$7+742))),""))</f>
        <v/>
      </c>
      <c r="B747" s="33">
        <f>IFERROR(IF(AH!$U$11=1,NA(),$J747/$E747-1),NA())</f>
        <v/>
      </c>
      <c r="C747" s="269">
        <f>IFERROR(100*$E747/$E$5,NA())</f>
        <v/>
      </c>
      <c r="D747" s="269">
        <f>IFERROR(100*$J747/$J$5,NA())</f>
        <v/>
      </c>
      <c r="E747" s="32">
        <f>IFERROR(IF(AND(ISNUMBER($A747),N(IF(AND(AH!$U$12=1,742+1=AH!$U$6),IF(AH!$U$4=0,"unavailable",INDEX('Market Data'!$AN$5:$AN$66,AH!$U$4)),IF(AH!$U$5=1,INDEX('Live History'!$B$5:$B$3004,$K747),INDEX('AH History'!$D$5:$GG$1380,$K747,AH!$U$10))))&gt;0),IF(AND(AH!$U$12=1,742+1=AH!$U$6),IF(AH!$U$4=0,"unavailable",INDEX('Market Data'!$AN$5:$AN$66,AH!$U$4)),IF(AH!$U$5=1,INDEX('Live History'!$B$5:$B$3004,$K747),INDEX('AH History'!$D$5:$GG$1380,$K747,AH!$U$10))),NA()),NA())</f>
        <v/>
      </c>
      <c r="F747" s="32">
        <f>IFERROR(IF(ISNUMBER($A747),IF(AND(AH!$U$12=1,742+1=AH!$U$6),IF(AH!$U$4=0,"unavailable",INDEX('Market Data'!$AO$5:$AO$66,AH!$U$4)),IF(AH!$U$5=1,INDEX('Live History'!$E$5:$E$3004,MATCH($A747,'Live History'!$D$5:$D$3004,1)),INDEX('AH History'!$D$5:$GG$1380,$K747,AH!$U$10+1))),NA()),NA())</f>
        <v/>
      </c>
      <c r="G747" s="34">
        <f>IFERROR(IF(ISNUMBER($A747),IF(AND(AH!$U$12=1,742+1=AH!$U$6),IF(AH!$U$4=0,"unavailable",INDEX('Market Data'!$AK$5:$AK$66,AH!$U$4)),IF(AH!$U$5=1,INDEX('Live History'!$D$5:$D$3004,MATCH($A747,'Live History'!$D$5:$D$3004,1)),INDEX('AH History'!$D$5:$GG$1380,$K747,AH!$U$10+2))),NA()),NA())</f>
        <v/>
      </c>
      <c r="H747" s="266">
        <f>IFERROR(IF(ISNUMBER($A747),IF(AND(AH!$U$12=1,742+1=AH!$U$6),IF(AH!$U$4=0,"unavailable",INDEX('Market Data'!$AP$5:$AP$66,AH!$U$4)),IF(AH!$U$5=1,INDEX('Live History'!$H$5:$H$3004,MATCH($A747,'Live History'!$G$5:$G$3004,1)),INDEX('AH History'!$B$5:$B$1380,$K747))),NA()),NA())</f>
        <v/>
      </c>
      <c r="I747" s="34">
        <f>IFERROR(IF(ISNUMBER($A747),IF(AND(AH!$U$12=1,742+1=AH!$U$6),TODAY(),IF(AH!$U$5=1,INDEX('Live History'!$G$5:$G$3004,MATCH($A747,'Live History'!$G$5:$G$3004,1)),INDEX('AH History'!$C$5:$C$1380,$K747))),NA()),NA())</f>
        <v/>
      </c>
      <c r="J747" s="32">
        <f>IFERROR(IF(AND($F747&gt;0,$H747&gt;0,$A747-$G747&lt;=10,$A747-$I747&lt;=5,$G747&gt;0,$I747&gt;0),$F747*$H747,NA()),NA())</f>
        <v/>
      </c>
      <c r="K747" s="15">
        <f>IF($A747="","",IF(AH!$U$5=1,IFERROR(MATCH($A747,'Live History'!$A$5:$A$3004,0),0),AH!$U$7+742))</f>
        <v/>
      </c>
      <c r="L747" s="15">
        <f>IF(ISNUMBER(A747),TEXT(A747,"dd-mmm-yy"),"")</f>
        <v/>
      </c>
    </row>
    <row r="748">
      <c r="A748" s="14">
        <f>IF(OR(AH!$U$4=0,743+1&gt;AH!$U$6,AND(AH!$M$5="Bloomberg",AH!$U$5=0)),"",IFERROR(IF(AND(AH!$U$12=1,743+1=AH!$U$6),TODAY(),IF(AH!$U$5=1,INDEX('Live History'!$A$5:$A$3004,AH!$U$7+743),INDEX('AH History'!$A$5:$A$1380,AH!$U$7+743))),""))</f>
        <v/>
      </c>
      <c r="B748" s="33">
        <f>IFERROR(IF(AH!$U$11=1,NA(),$J748/$E748-1),NA())</f>
        <v/>
      </c>
      <c r="C748" s="269">
        <f>IFERROR(100*$E748/$E$5,NA())</f>
        <v/>
      </c>
      <c r="D748" s="269">
        <f>IFERROR(100*$J748/$J$5,NA())</f>
        <v/>
      </c>
      <c r="E748" s="32">
        <f>IFERROR(IF(AND(ISNUMBER($A748),N(IF(AND(AH!$U$12=1,743+1=AH!$U$6),IF(AH!$U$4=0,"unavailable",INDEX('Market Data'!$AN$5:$AN$66,AH!$U$4)),IF(AH!$U$5=1,INDEX('Live History'!$B$5:$B$3004,$K748),INDEX('AH History'!$D$5:$GG$1380,$K748,AH!$U$10))))&gt;0),IF(AND(AH!$U$12=1,743+1=AH!$U$6),IF(AH!$U$4=0,"unavailable",INDEX('Market Data'!$AN$5:$AN$66,AH!$U$4)),IF(AH!$U$5=1,INDEX('Live History'!$B$5:$B$3004,$K748),INDEX('AH History'!$D$5:$GG$1380,$K748,AH!$U$10))),NA()),NA())</f>
        <v/>
      </c>
      <c r="F748" s="32">
        <f>IFERROR(IF(ISNUMBER($A748),IF(AND(AH!$U$12=1,743+1=AH!$U$6),IF(AH!$U$4=0,"unavailable",INDEX('Market Data'!$AO$5:$AO$66,AH!$U$4)),IF(AH!$U$5=1,INDEX('Live History'!$E$5:$E$3004,MATCH($A748,'Live History'!$D$5:$D$3004,1)),INDEX('AH History'!$D$5:$GG$1380,$K748,AH!$U$10+1))),NA()),NA())</f>
        <v/>
      </c>
      <c r="G748" s="34">
        <f>IFERROR(IF(ISNUMBER($A748),IF(AND(AH!$U$12=1,743+1=AH!$U$6),IF(AH!$U$4=0,"unavailable",INDEX('Market Data'!$AK$5:$AK$66,AH!$U$4)),IF(AH!$U$5=1,INDEX('Live History'!$D$5:$D$3004,MATCH($A748,'Live History'!$D$5:$D$3004,1)),INDEX('AH History'!$D$5:$GG$1380,$K748,AH!$U$10+2))),NA()),NA())</f>
        <v/>
      </c>
      <c r="H748" s="266">
        <f>IFERROR(IF(ISNUMBER($A748),IF(AND(AH!$U$12=1,743+1=AH!$U$6),IF(AH!$U$4=0,"unavailable",INDEX('Market Data'!$AP$5:$AP$66,AH!$U$4)),IF(AH!$U$5=1,INDEX('Live History'!$H$5:$H$3004,MATCH($A748,'Live History'!$G$5:$G$3004,1)),INDEX('AH History'!$B$5:$B$1380,$K748))),NA()),NA())</f>
        <v/>
      </c>
      <c r="I748" s="34">
        <f>IFERROR(IF(ISNUMBER($A748),IF(AND(AH!$U$12=1,743+1=AH!$U$6),TODAY(),IF(AH!$U$5=1,INDEX('Live History'!$G$5:$G$3004,MATCH($A748,'Live History'!$G$5:$G$3004,1)),INDEX('AH History'!$C$5:$C$1380,$K748))),NA()),NA())</f>
        <v/>
      </c>
      <c r="J748" s="32">
        <f>IFERROR(IF(AND($F748&gt;0,$H748&gt;0,$A748-$G748&lt;=10,$A748-$I748&lt;=5,$G748&gt;0,$I748&gt;0),$F748*$H748,NA()),NA())</f>
        <v/>
      </c>
      <c r="K748" s="15">
        <f>IF($A748="","",IF(AH!$U$5=1,IFERROR(MATCH($A748,'Live History'!$A$5:$A$3004,0),0),AH!$U$7+743))</f>
        <v/>
      </c>
      <c r="L748" s="15">
        <f>IF(ISNUMBER(A748),TEXT(A748,"dd-mmm-yy"),"")</f>
        <v/>
      </c>
    </row>
    <row r="749">
      <c r="A749" s="14">
        <f>IF(OR(AH!$U$4=0,744+1&gt;AH!$U$6,AND(AH!$M$5="Bloomberg",AH!$U$5=0)),"",IFERROR(IF(AND(AH!$U$12=1,744+1=AH!$U$6),TODAY(),IF(AH!$U$5=1,INDEX('Live History'!$A$5:$A$3004,AH!$U$7+744),INDEX('AH History'!$A$5:$A$1380,AH!$U$7+744))),""))</f>
        <v/>
      </c>
      <c r="B749" s="33">
        <f>IFERROR(IF(AH!$U$11=1,NA(),$J749/$E749-1),NA())</f>
        <v/>
      </c>
      <c r="C749" s="269">
        <f>IFERROR(100*$E749/$E$5,NA())</f>
        <v/>
      </c>
      <c r="D749" s="269">
        <f>IFERROR(100*$J749/$J$5,NA())</f>
        <v/>
      </c>
      <c r="E749" s="32">
        <f>IFERROR(IF(AND(ISNUMBER($A749),N(IF(AND(AH!$U$12=1,744+1=AH!$U$6),IF(AH!$U$4=0,"unavailable",INDEX('Market Data'!$AN$5:$AN$66,AH!$U$4)),IF(AH!$U$5=1,INDEX('Live History'!$B$5:$B$3004,$K749),INDEX('AH History'!$D$5:$GG$1380,$K749,AH!$U$10))))&gt;0),IF(AND(AH!$U$12=1,744+1=AH!$U$6),IF(AH!$U$4=0,"unavailable",INDEX('Market Data'!$AN$5:$AN$66,AH!$U$4)),IF(AH!$U$5=1,INDEX('Live History'!$B$5:$B$3004,$K749),INDEX('AH History'!$D$5:$GG$1380,$K749,AH!$U$10))),NA()),NA())</f>
        <v/>
      </c>
      <c r="F749" s="32">
        <f>IFERROR(IF(ISNUMBER($A749),IF(AND(AH!$U$12=1,744+1=AH!$U$6),IF(AH!$U$4=0,"unavailable",INDEX('Market Data'!$AO$5:$AO$66,AH!$U$4)),IF(AH!$U$5=1,INDEX('Live History'!$E$5:$E$3004,MATCH($A749,'Live History'!$D$5:$D$3004,1)),INDEX('AH History'!$D$5:$GG$1380,$K749,AH!$U$10+1))),NA()),NA())</f>
        <v/>
      </c>
      <c r="G749" s="34">
        <f>IFERROR(IF(ISNUMBER($A749),IF(AND(AH!$U$12=1,744+1=AH!$U$6),IF(AH!$U$4=0,"unavailable",INDEX('Market Data'!$AK$5:$AK$66,AH!$U$4)),IF(AH!$U$5=1,INDEX('Live History'!$D$5:$D$3004,MATCH($A749,'Live History'!$D$5:$D$3004,1)),INDEX('AH History'!$D$5:$GG$1380,$K749,AH!$U$10+2))),NA()),NA())</f>
        <v/>
      </c>
      <c r="H749" s="266">
        <f>IFERROR(IF(ISNUMBER($A749),IF(AND(AH!$U$12=1,744+1=AH!$U$6),IF(AH!$U$4=0,"unavailable",INDEX('Market Data'!$AP$5:$AP$66,AH!$U$4)),IF(AH!$U$5=1,INDEX('Live History'!$H$5:$H$3004,MATCH($A749,'Live History'!$G$5:$G$3004,1)),INDEX('AH History'!$B$5:$B$1380,$K749))),NA()),NA())</f>
        <v/>
      </c>
      <c r="I749" s="34">
        <f>IFERROR(IF(ISNUMBER($A749),IF(AND(AH!$U$12=1,744+1=AH!$U$6),TODAY(),IF(AH!$U$5=1,INDEX('Live History'!$G$5:$G$3004,MATCH($A749,'Live History'!$G$5:$G$3004,1)),INDEX('AH History'!$C$5:$C$1380,$K749))),NA()),NA())</f>
        <v/>
      </c>
      <c r="J749" s="32">
        <f>IFERROR(IF(AND($F749&gt;0,$H749&gt;0,$A749-$G749&lt;=10,$A749-$I749&lt;=5,$G749&gt;0,$I749&gt;0),$F749*$H749,NA()),NA())</f>
        <v/>
      </c>
      <c r="K749" s="15">
        <f>IF($A749="","",IF(AH!$U$5=1,IFERROR(MATCH($A749,'Live History'!$A$5:$A$3004,0),0),AH!$U$7+744))</f>
        <v/>
      </c>
      <c r="L749" s="15">
        <f>IF(ISNUMBER(A749),TEXT(A749,"dd-mmm-yy"),"")</f>
        <v/>
      </c>
    </row>
    <row r="750">
      <c r="A750" s="14">
        <f>IF(OR(AH!$U$4=0,745+1&gt;AH!$U$6,AND(AH!$M$5="Bloomberg",AH!$U$5=0)),"",IFERROR(IF(AND(AH!$U$12=1,745+1=AH!$U$6),TODAY(),IF(AH!$U$5=1,INDEX('Live History'!$A$5:$A$3004,AH!$U$7+745),INDEX('AH History'!$A$5:$A$1380,AH!$U$7+745))),""))</f>
        <v/>
      </c>
      <c r="B750" s="33">
        <f>IFERROR(IF(AH!$U$11=1,NA(),$J750/$E750-1),NA())</f>
        <v/>
      </c>
      <c r="C750" s="269">
        <f>IFERROR(100*$E750/$E$5,NA())</f>
        <v/>
      </c>
      <c r="D750" s="269">
        <f>IFERROR(100*$J750/$J$5,NA())</f>
        <v/>
      </c>
      <c r="E750" s="32">
        <f>IFERROR(IF(AND(ISNUMBER($A750),N(IF(AND(AH!$U$12=1,745+1=AH!$U$6),IF(AH!$U$4=0,"unavailable",INDEX('Market Data'!$AN$5:$AN$66,AH!$U$4)),IF(AH!$U$5=1,INDEX('Live History'!$B$5:$B$3004,$K750),INDEX('AH History'!$D$5:$GG$1380,$K750,AH!$U$10))))&gt;0),IF(AND(AH!$U$12=1,745+1=AH!$U$6),IF(AH!$U$4=0,"unavailable",INDEX('Market Data'!$AN$5:$AN$66,AH!$U$4)),IF(AH!$U$5=1,INDEX('Live History'!$B$5:$B$3004,$K750),INDEX('AH History'!$D$5:$GG$1380,$K750,AH!$U$10))),NA()),NA())</f>
        <v/>
      </c>
      <c r="F750" s="32">
        <f>IFERROR(IF(ISNUMBER($A750),IF(AND(AH!$U$12=1,745+1=AH!$U$6),IF(AH!$U$4=0,"unavailable",INDEX('Market Data'!$AO$5:$AO$66,AH!$U$4)),IF(AH!$U$5=1,INDEX('Live History'!$E$5:$E$3004,MATCH($A750,'Live History'!$D$5:$D$3004,1)),INDEX('AH History'!$D$5:$GG$1380,$K750,AH!$U$10+1))),NA()),NA())</f>
        <v/>
      </c>
      <c r="G750" s="34">
        <f>IFERROR(IF(ISNUMBER($A750),IF(AND(AH!$U$12=1,745+1=AH!$U$6),IF(AH!$U$4=0,"unavailable",INDEX('Market Data'!$AK$5:$AK$66,AH!$U$4)),IF(AH!$U$5=1,INDEX('Live History'!$D$5:$D$3004,MATCH($A750,'Live History'!$D$5:$D$3004,1)),INDEX('AH History'!$D$5:$GG$1380,$K750,AH!$U$10+2))),NA()),NA())</f>
        <v/>
      </c>
      <c r="H750" s="266">
        <f>IFERROR(IF(ISNUMBER($A750),IF(AND(AH!$U$12=1,745+1=AH!$U$6),IF(AH!$U$4=0,"unavailable",INDEX('Market Data'!$AP$5:$AP$66,AH!$U$4)),IF(AH!$U$5=1,INDEX('Live History'!$H$5:$H$3004,MATCH($A750,'Live History'!$G$5:$G$3004,1)),INDEX('AH History'!$B$5:$B$1380,$K750))),NA()),NA())</f>
        <v/>
      </c>
      <c r="I750" s="34">
        <f>IFERROR(IF(ISNUMBER($A750),IF(AND(AH!$U$12=1,745+1=AH!$U$6),TODAY(),IF(AH!$U$5=1,INDEX('Live History'!$G$5:$G$3004,MATCH($A750,'Live History'!$G$5:$G$3004,1)),INDEX('AH History'!$C$5:$C$1380,$K750))),NA()),NA())</f>
        <v/>
      </c>
      <c r="J750" s="32">
        <f>IFERROR(IF(AND($F750&gt;0,$H750&gt;0,$A750-$G750&lt;=10,$A750-$I750&lt;=5,$G750&gt;0,$I750&gt;0),$F750*$H750,NA()),NA())</f>
        <v/>
      </c>
      <c r="K750" s="15">
        <f>IF($A750="","",IF(AH!$U$5=1,IFERROR(MATCH($A750,'Live History'!$A$5:$A$3004,0),0),AH!$U$7+745))</f>
        <v/>
      </c>
      <c r="L750" s="15">
        <f>IF(ISNUMBER(A750),TEXT(A750,"dd-mmm-yy"),"")</f>
        <v/>
      </c>
    </row>
    <row r="751">
      <c r="A751" s="14">
        <f>IF(OR(AH!$U$4=0,746+1&gt;AH!$U$6,AND(AH!$M$5="Bloomberg",AH!$U$5=0)),"",IFERROR(IF(AND(AH!$U$12=1,746+1=AH!$U$6),TODAY(),IF(AH!$U$5=1,INDEX('Live History'!$A$5:$A$3004,AH!$U$7+746),INDEX('AH History'!$A$5:$A$1380,AH!$U$7+746))),""))</f>
        <v/>
      </c>
      <c r="B751" s="33">
        <f>IFERROR(IF(AH!$U$11=1,NA(),$J751/$E751-1),NA())</f>
        <v/>
      </c>
      <c r="C751" s="269">
        <f>IFERROR(100*$E751/$E$5,NA())</f>
        <v/>
      </c>
      <c r="D751" s="269">
        <f>IFERROR(100*$J751/$J$5,NA())</f>
        <v/>
      </c>
      <c r="E751" s="32">
        <f>IFERROR(IF(AND(ISNUMBER($A751),N(IF(AND(AH!$U$12=1,746+1=AH!$U$6),IF(AH!$U$4=0,"unavailable",INDEX('Market Data'!$AN$5:$AN$66,AH!$U$4)),IF(AH!$U$5=1,INDEX('Live History'!$B$5:$B$3004,$K751),INDEX('AH History'!$D$5:$GG$1380,$K751,AH!$U$10))))&gt;0),IF(AND(AH!$U$12=1,746+1=AH!$U$6),IF(AH!$U$4=0,"unavailable",INDEX('Market Data'!$AN$5:$AN$66,AH!$U$4)),IF(AH!$U$5=1,INDEX('Live History'!$B$5:$B$3004,$K751),INDEX('AH History'!$D$5:$GG$1380,$K751,AH!$U$10))),NA()),NA())</f>
        <v/>
      </c>
      <c r="F751" s="32">
        <f>IFERROR(IF(ISNUMBER($A751),IF(AND(AH!$U$12=1,746+1=AH!$U$6),IF(AH!$U$4=0,"unavailable",INDEX('Market Data'!$AO$5:$AO$66,AH!$U$4)),IF(AH!$U$5=1,INDEX('Live History'!$E$5:$E$3004,MATCH($A751,'Live History'!$D$5:$D$3004,1)),INDEX('AH History'!$D$5:$GG$1380,$K751,AH!$U$10+1))),NA()),NA())</f>
        <v/>
      </c>
      <c r="G751" s="34">
        <f>IFERROR(IF(ISNUMBER($A751),IF(AND(AH!$U$12=1,746+1=AH!$U$6),IF(AH!$U$4=0,"unavailable",INDEX('Market Data'!$AK$5:$AK$66,AH!$U$4)),IF(AH!$U$5=1,INDEX('Live History'!$D$5:$D$3004,MATCH($A751,'Live History'!$D$5:$D$3004,1)),INDEX('AH History'!$D$5:$GG$1380,$K751,AH!$U$10+2))),NA()),NA())</f>
        <v/>
      </c>
      <c r="H751" s="266">
        <f>IFERROR(IF(ISNUMBER($A751),IF(AND(AH!$U$12=1,746+1=AH!$U$6),IF(AH!$U$4=0,"unavailable",INDEX('Market Data'!$AP$5:$AP$66,AH!$U$4)),IF(AH!$U$5=1,INDEX('Live History'!$H$5:$H$3004,MATCH($A751,'Live History'!$G$5:$G$3004,1)),INDEX('AH History'!$B$5:$B$1380,$K751))),NA()),NA())</f>
        <v/>
      </c>
      <c r="I751" s="34">
        <f>IFERROR(IF(ISNUMBER($A751),IF(AND(AH!$U$12=1,746+1=AH!$U$6),TODAY(),IF(AH!$U$5=1,INDEX('Live History'!$G$5:$G$3004,MATCH($A751,'Live History'!$G$5:$G$3004,1)),INDEX('AH History'!$C$5:$C$1380,$K751))),NA()),NA())</f>
        <v/>
      </c>
      <c r="J751" s="32">
        <f>IFERROR(IF(AND($F751&gt;0,$H751&gt;0,$A751-$G751&lt;=10,$A751-$I751&lt;=5,$G751&gt;0,$I751&gt;0),$F751*$H751,NA()),NA())</f>
        <v/>
      </c>
      <c r="K751" s="15">
        <f>IF($A751="","",IF(AH!$U$5=1,IFERROR(MATCH($A751,'Live History'!$A$5:$A$3004,0),0),AH!$U$7+746))</f>
        <v/>
      </c>
      <c r="L751" s="15">
        <f>IF(ISNUMBER(A751),TEXT(A751,"dd-mmm-yy"),"")</f>
        <v/>
      </c>
    </row>
    <row r="752">
      <c r="A752" s="14">
        <f>IF(OR(AH!$U$4=0,747+1&gt;AH!$U$6,AND(AH!$M$5="Bloomberg",AH!$U$5=0)),"",IFERROR(IF(AND(AH!$U$12=1,747+1=AH!$U$6),TODAY(),IF(AH!$U$5=1,INDEX('Live History'!$A$5:$A$3004,AH!$U$7+747),INDEX('AH History'!$A$5:$A$1380,AH!$U$7+747))),""))</f>
        <v/>
      </c>
      <c r="B752" s="33">
        <f>IFERROR(IF(AH!$U$11=1,NA(),$J752/$E752-1),NA())</f>
        <v/>
      </c>
      <c r="C752" s="269">
        <f>IFERROR(100*$E752/$E$5,NA())</f>
        <v/>
      </c>
      <c r="D752" s="269">
        <f>IFERROR(100*$J752/$J$5,NA())</f>
        <v/>
      </c>
      <c r="E752" s="32">
        <f>IFERROR(IF(AND(ISNUMBER($A752),N(IF(AND(AH!$U$12=1,747+1=AH!$U$6),IF(AH!$U$4=0,"unavailable",INDEX('Market Data'!$AN$5:$AN$66,AH!$U$4)),IF(AH!$U$5=1,INDEX('Live History'!$B$5:$B$3004,$K752),INDEX('AH History'!$D$5:$GG$1380,$K752,AH!$U$10))))&gt;0),IF(AND(AH!$U$12=1,747+1=AH!$U$6),IF(AH!$U$4=0,"unavailable",INDEX('Market Data'!$AN$5:$AN$66,AH!$U$4)),IF(AH!$U$5=1,INDEX('Live History'!$B$5:$B$3004,$K752),INDEX('AH History'!$D$5:$GG$1380,$K752,AH!$U$10))),NA()),NA())</f>
        <v/>
      </c>
      <c r="F752" s="32">
        <f>IFERROR(IF(ISNUMBER($A752),IF(AND(AH!$U$12=1,747+1=AH!$U$6),IF(AH!$U$4=0,"unavailable",INDEX('Market Data'!$AO$5:$AO$66,AH!$U$4)),IF(AH!$U$5=1,INDEX('Live History'!$E$5:$E$3004,MATCH($A752,'Live History'!$D$5:$D$3004,1)),INDEX('AH History'!$D$5:$GG$1380,$K752,AH!$U$10+1))),NA()),NA())</f>
        <v/>
      </c>
      <c r="G752" s="34">
        <f>IFERROR(IF(ISNUMBER($A752),IF(AND(AH!$U$12=1,747+1=AH!$U$6),IF(AH!$U$4=0,"unavailable",INDEX('Market Data'!$AK$5:$AK$66,AH!$U$4)),IF(AH!$U$5=1,INDEX('Live History'!$D$5:$D$3004,MATCH($A752,'Live History'!$D$5:$D$3004,1)),INDEX('AH History'!$D$5:$GG$1380,$K752,AH!$U$10+2))),NA()),NA())</f>
        <v/>
      </c>
      <c r="H752" s="266">
        <f>IFERROR(IF(ISNUMBER($A752),IF(AND(AH!$U$12=1,747+1=AH!$U$6),IF(AH!$U$4=0,"unavailable",INDEX('Market Data'!$AP$5:$AP$66,AH!$U$4)),IF(AH!$U$5=1,INDEX('Live History'!$H$5:$H$3004,MATCH($A752,'Live History'!$G$5:$G$3004,1)),INDEX('AH History'!$B$5:$B$1380,$K752))),NA()),NA())</f>
        <v/>
      </c>
      <c r="I752" s="34">
        <f>IFERROR(IF(ISNUMBER($A752),IF(AND(AH!$U$12=1,747+1=AH!$U$6),TODAY(),IF(AH!$U$5=1,INDEX('Live History'!$G$5:$G$3004,MATCH($A752,'Live History'!$G$5:$G$3004,1)),INDEX('AH History'!$C$5:$C$1380,$K752))),NA()),NA())</f>
        <v/>
      </c>
      <c r="J752" s="32">
        <f>IFERROR(IF(AND($F752&gt;0,$H752&gt;0,$A752-$G752&lt;=10,$A752-$I752&lt;=5,$G752&gt;0,$I752&gt;0),$F752*$H752,NA()),NA())</f>
        <v/>
      </c>
      <c r="K752" s="15">
        <f>IF($A752="","",IF(AH!$U$5=1,IFERROR(MATCH($A752,'Live History'!$A$5:$A$3004,0),0),AH!$U$7+747))</f>
        <v/>
      </c>
      <c r="L752" s="15">
        <f>IF(ISNUMBER(A752),TEXT(A752,"dd-mmm-yy"),"")</f>
        <v/>
      </c>
    </row>
    <row r="753">
      <c r="A753" s="14">
        <f>IF(OR(AH!$U$4=0,748+1&gt;AH!$U$6,AND(AH!$M$5="Bloomberg",AH!$U$5=0)),"",IFERROR(IF(AND(AH!$U$12=1,748+1=AH!$U$6),TODAY(),IF(AH!$U$5=1,INDEX('Live History'!$A$5:$A$3004,AH!$U$7+748),INDEX('AH History'!$A$5:$A$1380,AH!$U$7+748))),""))</f>
        <v/>
      </c>
      <c r="B753" s="33">
        <f>IFERROR(IF(AH!$U$11=1,NA(),$J753/$E753-1),NA())</f>
        <v/>
      </c>
      <c r="C753" s="269">
        <f>IFERROR(100*$E753/$E$5,NA())</f>
        <v/>
      </c>
      <c r="D753" s="269">
        <f>IFERROR(100*$J753/$J$5,NA())</f>
        <v/>
      </c>
      <c r="E753" s="32">
        <f>IFERROR(IF(AND(ISNUMBER($A753),N(IF(AND(AH!$U$12=1,748+1=AH!$U$6),IF(AH!$U$4=0,"unavailable",INDEX('Market Data'!$AN$5:$AN$66,AH!$U$4)),IF(AH!$U$5=1,INDEX('Live History'!$B$5:$B$3004,$K753),INDEX('AH History'!$D$5:$GG$1380,$K753,AH!$U$10))))&gt;0),IF(AND(AH!$U$12=1,748+1=AH!$U$6),IF(AH!$U$4=0,"unavailable",INDEX('Market Data'!$AN$5:$AN$66,AH!$U$4)),IF(AH!$U$5=1,INDEX('Live History'!$B$5:$B$3004,$K753),INDEX('AH History'!$D$5:$GG$1380,$K753,AH!$U$10))),NA()),NA())</f>
        <v/>
      </c>
      <c r="F753" s="32">
        <f>IFERROR(IF(ISNUMBER($A753),IF(AND(AH!$U$12=1,748+1=AH!$U$6),IF(AH!$U$4=0,"unavailable",INDEX('Market Data'!$AO$5:$AO$66,AH!$U$4)),IF(AH!$U$5=1,INDEX('Live History'!$E$5:$E$3004,MATCH($A753,'Live History'!$D$5:$D$3004,1)),INDEX('AH History'!$D$5:$GG$1380,$K753,AH!$U$10+1))),NA()),NA())</f>
        <v/>
      </c>
      <c r="G753" s="34">
        <f>IFERROR(IF(ISNUMBER($A753),IF(AND(AH!$U$12=1,748+1=AH!$U$6),IF(AH!$U$4=0,"unavailable",INDEX('Market Data'!$AK$5:$AK$66,AH!$U$4)),IF(AH!$U$5=1,INDEX('Live History'!$D$5:$D$3004,MATCH($A753,'Live History'!$D$5:$D$3004,1)),INDEX('AH History'!$D$5:$GG$1380,$K753,AH!$U$10+2))),NA()),NA())</f>
        <v/>
      </c>
      <c r="H753" s="266">
        <f>IFERROR(IF(ISNUMBER($A753),IF(AND(AH!$U$12=1,748+1=AH!$U$6),IF(AH!$U$4=0,"unavailable",INDEX('Market Data'!$AP$5:$AP$66,AH!$U$4)),IF(AH!$U$5=1,INDEX('Live History'!$H$5:$H$3004,MATCH($A753,'Live History'!$G$5:$G$3004,1)),INDEX('AH History'!$B$5:$B$1380,$K753))),NA()),NA())</f>
        <v/>
      </c>
      <c r="I753" s="34">
        <f>IFERROR(IF(ISNUMBER($A753),IF(AND(AH!$U$12=1,748+1=AH!$U$6),TODAY(),IF(AH!$U$5=1,INDEX('Live History'!$G$5:$G$3004,MATCH($A753,'Live History'!$G$5:$G$3004,1)),INDEX('AH History'!$C$5:$C$1380,$K753))),NA()),NA())</f>
        <v/>
      </c>
      <c r="J753" s="32">
        <f>IFERROR(IF(AND($F753&gt;0,$H753&gt;0,$A753-$G753&lt;=10,$A753-$I753&lt;=5,$G753&gt;0,$I753&gt;0),$F753*$H753,NA()),NA())</f>
        <v/>
      </c>
      <c r="K753" s="15">
        <f>IF($A753="","",IF(AH!$U$5=1,IFERROR(MATCH($A753,'Live History'!$A$5:$A$3004,0),0),AH!$U$7+748))</f>
        <v/>
      </c>
      <c r="L753" s="15">
        <f>IF(ISNUMBER(A753),TEXT(A753,"dd-mmm-yy"),"")</f>
        <v/>
      </c>
    </row>
    <row r="754">
      <c r="A754" s="14">
        <f>IF(OR(AH!$U$4=0,749+1&gt;AH!$U$6,AND(AH!$M$5="Bloomberg",AH!$U$5=0)),"",IFERROR(IF(AND(AH!$U$12=1,749+1=AH!$U$6),TODAY(),IF(AH!$U$5=1,INDEX('Live History'!$A$5:$A$3004,AH!$U$7+749),INDEX('AH History'!$A$5:$A$1380,AH!$U$7+749))),""))</f>
        <v/>
      </c>
      <c r="B754" s="33">
        <f>IFERROR(IF(AH!$U$11=1,NA(),$J754/$E754-1),NA())</f>
        <v/>
      </c>
      <c r="C754" s="269">
        <f>IFERROR(100*$E754/$E$5,NA())</f>
        <v/>
      </c>
      <c r="D754" s="269">
        <f>IFERROR(100*$J754/$J$5,NA())</f>
        <v/>
      </c>
      <c r="E754" s="32">
        <f>IFERROR(IF(AND(ISNUMBER($A754),N(IF(AND(AH!$U$12=1,749+1=AH!$U$6),IF(AH!$U$4=0,"unavailable",INDEX('Market Data'!$AN$5:$AN$66,AH!$U$4)),IF(AH!$U$5=1,INDEX('Live History'!$B$5:$B$3004,$K754),INDEX('AH History'!$D$5:$GG$1380,$K754,AH!$U$10))))&gt;0),IF(AND(AH!$U$12=1,749+1=AH!$U$6),IF(AH!$U$4=0,"unavailable",INDEX('Market Data'!$AN$5:$AN$66,AH!$U$4)),IF(AH!$U$5=1,INDEX('Live History'!$B$5:$B$3004,$K754),INDEX('AH History'!$D$5:$GG$1380,$K754,AH!$U$10))),NA()),NA())</f>
        <v/>
      </c>
      <c r="F754" s="32">
        <f>IFERROR(IF(ISNUMBER($A754),IF(AND(AH!$U$12=1,749+1=AH!$U$6),IF(AH!$U$4=0,"unavailable",INDEX('Market Data'!$AO$5:$AO$66,AH!$U$4)),IF(AH!$U$5=1,INDEX('Live History'!$E$5:$E$3004,MATCH($A754,'Live History'!$D$5:$D$3004,1)),INDEX('AH History'!$D$5:$GG$1380,$K754,AH!$U$10+1))),NA()),NA())</f>
        <v/>
      </c>
      <c r="G754" s="34">
        <f>IFERROR(IF(ISNUMBER($A754),IF(AND(AH!$U$12=1,749+1=AH!$U$6),IF(AH!$U$4=0,"unavailable",INDEX('Market Data'!$AK$5:$AK$66,AH!$U$4)),IF(AH!$U$5=1,INDEX('Live History'!$D$5:$D$3004,MATCH($A754,'Live History'!$D$5:$D$3004,1)),INDEX('AH History'!$D$5:$GG$1380,$K754,AH!$U$10+2))),NA()),NA())</f>
        <v/>
      </c>
      <c r="H754" s="266">
        <f>IFERROR(IF(ISNUMBER($A754),IF(AND(AH!$U$12=1,749+1=AH!$U$6),IF(AH!$U$4=0,"unavailable",INDEX('Market Data'!$AP$5:$AP$66,AH!$U$4)),IF(AH!$U$5=1,INDEX('Live History'!$H$5:$H$3004,MATCH($A754,'Live History'!$G$5:$G$3004,1)),INDEX('AH History'!$B$5:$B$1380,$K754))),NA()),NA())</f>
        <v/>
      </c>
      <c r="I754" s="34">
        <f>IFERROR(IF(ISNUMBER($A754),IF(AND(AH!$U$12=1,749+1=AH!$U$6),TODAY(),IF(AH!$U$5=1,INDEX('Live History'!$G$5:$G$3004,MATCH($A754,'Live History'!$G$5:$G$3004,1)),INDEX('AH History'!$C$5:$C$1380,$K754))),NA()),NA())</f>
        <v/>
      </c>
      <c r="J754" s="32">
        <f>IFERROR(IF(AND($F754&gt;0,$H754&gt;0,$A754-$G754&lt;=10,$A754-$I754&lt;=5,$G754&gt;0,$I754&gt;0),$F754*$H754,NA()),NA())</f>
        <v/>
      </c>
      <c r="K754" s="15">
        <f>IF($A754="","",IF(AH!$U$5=1,IFERROR(MATCH($A754,'Live History'!$A$5:$A$3004,0),0),AH!$U$7+749))</f>
        <v/>
      </c>
      <c r="L754" s="15">
        <f>IF(ISNUMBER(A754),TEXT(A754,"dd-mmm-yy"),"")</f>
        <v/>
      </c>
    </row>
    <row r="755">
      <c r="A755" s="14">
        <f>IF(OR(AH!$U$4=0,750+1&gt;AH!$U$6,AND(AH!$M$5="Bloomberg",AH!$U$5=0)),"",IFERROR(IF(AND(AH!$U$12=1,750+1=AH!$U$6),TODAY(),IF(AH!$U$5=1,INDEX('Live History'!$A$5:$A$3004,AH!$U$7+750),INDEX('AH History'!$A$5:$A$1380,AH!$U$7+750))),""))</f>
        <v/>
      </c>
      <c r="B755" s="33">
        <f>IFERROR(IF(AH!$U$11=1,NA(),$J755/$E755-1),NA())</f>
        <v/>
      </c>
      <c r="C755" s="269">
        <f>IFERROR(100*$E755/$E$5,NA())</f>
        <v/>
      </c>
      <c r="D755" s="269">
        <f>IFERROR(100*$J755/$J$5,NA())</f>
        <v/>
      </c>
      <c r="E755" s="32">
        <f>IFERROR(IF(AND(ISNUMBER($A755),N(IF(AND(AH!$U$12=1,750+1=AH!$U$6),IF(AH!$U$4=0,"unavailable",INDEX('Market Data'!$AN$5:$AN$66,AH!$U$4)),IF(AH!$U$5=1,INDEX('Live History'!$B$5:$B$3004,$K755),INDEX('AH History'!$D$5:$GG$1380,$K755,AH!$U$10))))&gt;0),IF(AND(AH!$U$12=1,750+1=AH!$U$6),IF(AH!$U$4=0,"unavailable",INDEX('Market Data'!$AN$5:$AN$66,AH!$U$4)),IF(AH!$U$5=1,INDEX('Live History'!$B$5:$B$3004,$K755),INDEX('AH History'!$D$5:$GG$1380,$K755,AH!$U$10))),NA()),NA())</f>
        <v/>
      </c>
      <c r="F755" s="32">
        <f>IFERROR(IF(ISNUMBER($A755),IF(AND(AH!$U$12=1,750+1=AH!$U$6),IF(AH!$U$4=0,"unavailable",INDEX('Market Data'!$AO$5:$AO$66,AH!$U$4)),IF(AH!$U$5=1,INDEX('Live History'!$E$5:$E$3004,MATCH($A755,'Live History'!$D$5:$D$3004,1)),INDEX('AH History'!$D$5:$GG$1380,$K755,AH!$U$10+1))),NA()),NA())</f>
        <v/>
      </c>
      <c r="G755" s="34">
        <f>IFERROR(IF(ISNUMBER($A755),IF(AND(AH!$U$12=1,750+1=AH!$U$6),IF(AH!$U$4=0,"unavailable",INDEX('Market Data'!$AK$5:$AK$66,AH!$U$4)),IF(AH!$U$5=1,INDEX('Live History'!$D$5:$D$3004,MATCH($A755,'Live History'!$D$5:$D$3004,1)),INDEX('AH History'!$D$5:$GG$1380,$K755,AH!$U$10+2))),NA()),NA())</f>
        <v/>
      </c>
      <c r="H755" s="266">
        <f>IFERROR(IF(ISNUMBER($A755),IF(AND(AH!$U$12=1,750+1=AH!$U$6),IF(AH!$U$4=0,"unavailable",INDEX('Market Data'!$AP$5:$AP$66,AH!$U$4)),IF(AH!$U$5=1,INDEX('Live History'!$H$5:$H$3004,MATCH($A755,'Live History'!$G$5:$G$3004,1)),INDEX('AH History'!$B$5:$B$1380,$K755))),NA()),NA())</f>
        <v/>
      </c>
      <c r="I755" s="34">
        <f>IFERROR(IF(ISNUMBER($A755),IF(AND(AH!$U$12=1,750+1=AH!$U$6),TODAY(),IF(AH!$U$5=1,INDEX('Live History'!$G$5:$G$3004,MATCH($A755,'Live History'!$G$5:$G$3004,1)),INDEX('AH History'!$C$5:$C$1380,$K755))),NA()),NA())</f>
        <v/>
      </c>
      <c r="J755" s="32">
        <f>IFERROR(IF(AND($F755&gt;0,$H755&gt;0,$A755-$G755&lt;=10,$A755-$I755&lt;=5,$G755&gt;0,$I755&gt;0),$F755*$H755,NA()),NA())</f>
        <v/>
      </c>
      <c r="K755" s="15">
        <f>IF($A755="","",IF(AH!$U$5=1,IFERROR(MATCH($A755,'Live History'!$A$5:$A$3004,0),0),AH!$U$7+750))</f>
        <v/>
      </c>
      <c r="L755" s="15">
        <f>IF(ISNUMBER(A755),TEXT(A755,"dd-mmm-yy"),"")</f>
        <v/>
      </c>
    </row>
    <row r="756">
      <c r="A756" s="14">
        <f>IF(OR(AH!$U$4=0,751+1&gt;AH!$U$6,AND(AH!$M$5="Bloomberg",AH!$U$5=0)),"",IFERROR(IF(AND(AH!$U$12=1,751+1=AH!$U$6),TODAY(),IF(AH!$U$5=1,INDEX('Live History'!$A$5:$A$3004,AH!$U$7+751),INDEX('AH History'!$A$5:$A$1380,AH!$U$7+751))),""))</f>
        <v/>
      </c>
      <c r="B756" s="33">
        <f>IFERROR(IF(AH!$U$11=1,NA(),$J756/$E756-1),NA())</f>
        <v/>
      </c>
      <c r="C756" s="269">
        <f>IFERROR(100*$E756/$E$5,NA())</f>
        <v/>
      </c>
      <c r="D756" s="269">
        <f>IFERROR(100*$J756/$J$5,NA())</f>
        <v/>
      </c>
      <c r="E756" s="32">
        <f>IFERROR(IF(AND(ISNUMBER($A756),N(IF(AND(AH!$U$12=1,751+1=AH!$U$6),IF(AH!$U$4=0,"unavailable",INDEX('Market Data'!$AN$5:$AN$66,AH!$U$4)),IF(AH!$U$5=1,INDEX('Live History'!$B$5:$B$3004,$K756),INDEX('AH History'!$D$5:$GG$1380,$K756,AH!$U$10))))&gt;0),IF(AND(AH!$U$12=1,751+1=AH!$U$6),IF(AH!$U$4=0,"unavailable",INDEX('Market Data'!$AN$5:$AN$66,AH!$U$4)),IF(AH!$U$5=1,INDEX('Live History'!$B$5:$B$3004,$K756),INDEX('AH History'!$D$5:$GG$1380,$K756,AH!$U$10))),NA()),NA())</f>
        <v/>
      </c>
      <c r="F756" s="32">
        <f>IFERROR(IF(ISNUMBER($A756),IF(AND(AH!$U$12=1,751+1=AH!$U$6),IF(AH!$U$4=0,"unavailable",INDEX('Market Data'!$AO$5:$AO$66,AH!$U$4)),IF(AH!$U$5=1,INDEX('Live History'!$E$5:$E$3004,MATCH($A756,'Live History'!$D$5:$D$3004,1)),INDEX('AH History'!$D$5:$GG$1380,$K756,AH!$U$10+1))),NA()),NA())</f>
        <v/>
      </c>
      <c r="G756" s="34">
        <f>IFERROR(IF(ISNUMBER($A756),IF(AND(AH!$U$12=1,751+1=AH!$U$6),IF(AH!$U$4=0,"unavailable",INDEX('Market Data'!$AK$5:$AK$66,AH!$U$4)),IF(AH!$U$5=1,INDEX('Live History'!$D$5:$D$3004,MATCH($A756,'Live History'!$D$5:$D$3004,1)),INDEX('AH History'!$D$5:$GG$1380,$K756,AH!$U$10+2))),NA()),NA())</f>
        <v/>
      </c>
      <c r="H756" s="266">
        <f>IFERROR(IF(ISNUMBER($A756),IF(AND(AH!$U$12=1,751+1=AH!$U$6),IF(AH!$U$4=0,"unavailable",INDEX('Market Data'!$AP$5:$AP$66,AH!$U$4)),IF(AH!$U$5=1,INDEX('Live History'!$H$5:$H$3004,MATCH($A756,'Live History'!$G$5:$G$3004,1)),INDEX('AH History'!$B$5:$B$1380,$K756))),NA()),NA())</f>
        <v/>
      </c>
      <c r="I756" s="34">
        <f>IFERROR(IF(ISNUMBER($A756),IF(AND(AH!$U$12=1,751+1=AH!$U$6),TODAY(),IF(AH!$U$5=1,INDEX('Live History'!$G$5:$G$3004,MATCH($A756,'Live History'!$G$5:$G$3004,1)),INDEX('AH History'!$C$5:$C$1380,$K756))),NA()),NA())</f>
        <v/>
      </c>
      <c r="J756" s="32">
        <f>IFERROR(IF(AND($F756&gt;0,$H756&gt;0,$A756-$G756&lt;=10,$A756-$I756&lt;=5,$G756&gt;0,$I756&gt;0),$F756*$H756,NA()),NA())</f>
        <v/>
      </c>
      <c r="K756" s="15">
        <f>IF($A756="","",IF(AH!$U$5=1,IFERROR(MATCH($A756,'Live History'!$A$5:$A$3004,0),0),AH!$U$7+751))</f>
        <v/>
      </c>
      <c r="L756" s="15">
        <f>IF(ISNUMBER(A756),TEXT(A756,"dd-mmm-yy"),"")</f>
        <v/>
      </c>
    </row>
    <row r="757">
      <c r="A757" s="14">
        <f>IF(OR(AH!$U$4=0,752+1&gt;AH!$U$6,AND(AH!$M$5="Bloomberg",AH!$U$5=0)),"",IFERROR(IF(AND(AH!$U$12=1,752+1=AH!$U$6),TODAY(),IF(AH!$U$5=1,INDEX('Live History'!$A$5:$A$3004,AH!$U$7+752),INDEX('AH History'!$A$5:$A$1380,AH!$U$7+752))),""))</f>
        <v/>
      </c>
      <c r="B757" s="33">
        <f>IFERROR(IF(AH!$U$11=1,NA(),$J757/$E757-1),NA())</f>
        <v/>
      </c>
      <c r="C757" s="269">
        <f>IFERROR(100*$E757/$E$5,NA())</f>
        <v/>
      </c>
      <c r="D757" s="269">
        <f>IFERROR(100*$J757/$J$5,NA())</f>
        <v/>
      </c>
      <c r="E757" s="32">
        <f>IFERROR(IF(AND(ISNUMBER($A757),N(IF(AND(AH!$U$12=1,752+1=AH!$U$6),IF(AH!$U$4=0,"unavailable",INDEX('Market Data'!$AN$5:$AN$66,AH!$U$4)),IF(AH!$U$5=1,INDEX('Live History'!$B$5:$B$3004,$K757),INDEX('AH History'!$D$5:$GG$1380,$K757,AH!$U$10))))&gt;0),IF(AND(AH!$U$12=1,752+1=AH!$U$6),IF(AH!$U$4=0,"unavailable",INDEX('Market Data'!$AN$5:$AN$66,AH!$U$4)),IF(AH!$U$5=1,INDEX('Live History'!$B$5:$B$3004,$K757),INDEX('AH History'!$D$5:$GG$1380,$K757,AH!$U$10))),NA()),NA())</f>
        <v/>
      </c>
      <c r="F757" s="32">
        <f>IFERROR(IF(ISNUMBER($A757),IF(AND(AH!$U$12=1,752+1=AH!$U$6),IF(AH!$U$4=0,"unavailable",INDEX('Market Data'!$AO$5:$AO$66,AH!$U$4)),IF(AH!$U$5=1,INDEX('Live History'!$E$5:$E$3004,MATCH($A757,'Live History'!$D$5:$D$3004,1)),INDEX('AH History'!$D$5:$GG$1380,$K757,AH!$U$10+1))),NA()),NA())</f>
        <v/>
      </c>
      <c r="G757" s="34">
        <f>IFERROR(IF(ISNUMBER($A757),IF(AND(AH!$U$12=1,752+1=AH!$U$6),IF(AH!$U$4=0,"unavailable",INDEX('Market Data'!$AK$5:$AK$66,AH!$U$4)),IF(AH!$U$5=1,INDEX('Live History'!$D$5:$D$3004,MATCH($A757,'Live History'!$D$5:$D$3004,1)),INDEX('AH History'!$D$5:$GG$1380,$K757,AH!$U$10+2))),NA()),NA())</f>
        <v/>
      </c>
      <c r="H757" s="266">
        <f>IFERROR(IF(ISNUMBER($A757),IF(AND(AH!$U$12=1,752+1=AH!$U$6),IF(AH!$U$4=0,"unavailable",INDEX('Market Data'!$AP$5:$AP$66,AH!$U$4)),IF(AH!$U$5=1,INDEX('Live History'!$H$5:$H$3004,MATCH($A757,'Live History'!$G$5:$G$3004,1)),INDEX('AH History'!$B$5:$B$1380,$K757))),NA()),NA())</f>
        <v/>
      </c>
      <c r="I757" s="34">
        <f>IFERROR(IF(ISNUMBER($A757),IF(AND(AH!$U$12=1,752+1=AH!$U$6),TODAY(),IF(AH!$U$5=1,INDEX('Live History'!$G$5:$G$3004,MATCH($A757,'Live History'!$G$5:$G$3004,1)),INDEX('AH History'!$C$5:$C$1380,$K757))),NA()),NA())</f>
        <v/>
      </c>
      <c r="J757" s="32">
        <f>IFERROR(IF(AND($F757&gt;0,$H757&gt;0,$A757-$G757&lt;=10,$A757-$I757&lt;=5,$G757&gt;0,$I757&gt;0),$F757*$H757,NA()),NA())</f>
        <v/>
      </c>
      <c r="K757" s="15">
        <f>IF($A757="","",IF(AH!$U$5=1,IFERROR(MATCH($A757,'Live History'!$A$5:$A$3004,0),0),AH!$U$7+752))</f>
        <v/>
      </c>
      <c r="L757" s="15">
        <f>IF(ISNUMBER(A757),TEXT(A757,"dd-mmm-yy"),"")</f>
        <v/>
      </c>
    </row>
    <row r="758">
      <c r="A758" s="14">
        <f>IF(OR(AH!$U$4=0,753+1&gt;AH!$U$6,AND(AH!$M$5="Bloomberg",AH!$U$5=0)),"",IFERROR(IF(AND(AH!$U$12=1,753+1=AH!$U$6),TODAY(),IF(AH!$U$5=1,INDEX('Live History'!$A$5:$A$3004,AH!$U$7+753),INDEX('AH History'!$A$5:$A$1380,AH!$U$7+753))),""))</f>
        <v/>
      </c>
      <c r="B758" s="33">
        <f>IFERROR(IF(AH!$U$11=1,NA(),$J758/$E758-1),NA())</f>
        <v/>
      </c>
      <c r="C758" s="269">
        <f>IFERROR(100*$E758/$E$5,NA())</f>
        <v/>
      </c>
      <c r="D758" s="269">
        <f>IFERROR(100*$J758/$J$5,NA())</f>
        <v/>
      </c>
      <c r="E758" s="32">
        <f>IFERROR(IF(AND(ISNUMBER($A758),N(IF(AND(AH!$U$12=1,753+1=AH!$U$6),IF(AH!$U$4=0,"unavailable",INDEX('Market Data'!$AN$5:$AN$66,AH!$U$4)),IF(AH!$U$5=1,INDEX('Live History'!$B$5:$B$3004,$K758),INDEX('AH History'!$D$5:$GG$1380,$K758,AH!$U$10))))&gt;0),IF(AND(AH!$U$12=1,753+1=AH!$U$6),IF(AH!$U$4=0,"unavailable",INDEX('Market Data'!$AN$5:$AN$66,AH!$U$4)),IF(AH!$U$5=1,INDEX('Live History'!$B$5:$B$3004,$K758),INDEX('AH History'!$D$5:$GG$1380,$K758,AH!$U$10))),NA()),NA())</f>
        <v/>
      </c>
      <c r="F758" s="32">
        <f>IFERROR(IF(ISNUMBER($A758),IF(AND(AH!$U$12=1,753+1=AH!$U$6),IF(AH!$U$4=0,"unavailable",INDEX('Market Data'!$AO$5:$AO$66,AH!$U$4)),IF(AH!$U$5=1,INDEX('Live History'!$E$5:$E$3004,MATCH($A758,'Live History'!$D$5:$D$3004,1)),INDEX('AH History'!$D$5:$GG$1380,$K758,AH!$U$10+1))),NA()),NA())</f>
        <v/>
      </c>
      <c r="G758" s="34">
        <f>IFERROR(IF(ISNUMBER($A758),IF(AND(AH!$U$12=1,753+1=AH!$U$6),IF(AH!$U$4=0,"unavailable",INDEX('Market Data'!$AK$5:$AK$66,AH!$U$4)),IF(AH!$U$5=1,INDEX('Live History'!$D$5:$D$3004,MATCH($A758,'Live History'!$D$5:$D$3004,1)),INDEX('AH History'!$D$5:$GG$1380,$K758,AH!$U$10+2))),NA()),NA())</f>
        <v/>
      </c>
      <c r="H758" s="266">
        <f>IFERROR(IF(ISNUMBER($A758),IF(AND(AH!$U$12=1,753+1=AH!$U$6),IF(AH!$U$4=0,"unavailable",INDEX('Market Data'!$AP$5:$AP$66,AH!$U$4)),IF(AH!$U$5=1,INDEX('Live History'!$H$5:$H$3004,MATCH($A758,'Live History'!$G$5:$G$3004,1)),INDEX('AH History'!$B$5:$B$1380,$K758))),NA()),NA())</f>
        <v/>
      </c>
      <c r="I758" s="34">
        <f>IFERROR(IF(ISNUMBER($A758),IF(AND(AH!$U$12=1,753+1=AH!$U$6),TODAY(),IF(AH!$U$5=1,INDEX('Live History'!$G$5:$G$3004,MATCH($A758,'Live History'!$G$5:$G$3004,1)),INDEX('AH History'!$C$5:$C$1380,$K758))),NA()),NA())</f>
        <v/>
      </c>
      <c r="J758" s="32">
        <f>IFERROR(IF(AND($F758&gt;0,$H758&gt;0,$A758-$G758&lt;=10,$A758-$I758&lt;=5,$G758&gt;0,$I758&gt;0),$F758*$H758,NA()),NA())</f>
        <v/>
      </c>
      <c r="K758" s="15">
        <f>IF($A758="","",IF(AH!$U$5=1,IFERROR(MATCH($A758,'Live History'!$A$5:$A$3004,0),0),AH!$U$7+753))</f>
        <v/>
      </c>
      <c r="L758" s="15">
        <f>IF(ISNUMBER(A758),TEXT(A758,"dd-mmm-yy"),"")</f>
        <v/>
      </c>
    </row>
    <row r="759">
      <c r="A759" s="14">
        <f>IF(OR(AH!$U$4=0,754+1&gt;AH!$U$6,AND(AH!$M$5="Bloomberg",AH!$U$5=0)),"",IFERROR(IF(AND(AH!$U$12=1,754+1=AH!$U$6),TODAY(),IF(AH!$U$5=1,INDEX('Live History'!$A$5:$A$3004,AH!$U$7+754),INDEX('AH History'!$A$5:$A$1380,AH!$U$7+754))),""))</f>
        <v/>
      </c>
      <c r="B759" s="33">
        <f>IFERROR(IF(AH!$U$11=1,NA(),$J759/$E759-1),NA())</f>
        <v/>
      </c>
      <c r="C759" s="269">
        <f>IFERROR(100*$E759/$E$5,NA())</f>
        <v/>
      </c>
      <c r="D759" s="269">
        <f>IFERROR(100*$J759/$J$5,NA())</f>
        <v/>
      </c>
      <c r="E759" s="32">
        <f>IFERROR(IF(AND(ISNUMBER($A759),N(IF(AND(AH!$U$12=1,754+1=AH!$U$6),IF(AH!$U$4=0,"unavailable",INDEX('Market Data'!$AN$5:$AN$66,AH!$U$4)),IF(AH!$U$5=1,INDEX('Live History'!$B$5:$B$3004,$K759),INDEX('AH History'!$D$5:$GG$1380,$K759,AH!$U$10))))&gt;0),IF(AND(AH!$U$12=1,754+1=AH!$U$6),IF(AH!$U$4=0,"unavailable",INDEX('Market Data'!$AN$5:$AN$66,AH!$U$4)),IF(AH!$U$5=1,INDEX('Live History'!$B$5:$B$3004,$K759),INDEX('AH History'!$D$5:$GG$1380,$K759,AH!$U$10))),NA()),NA())</f>
        <v/>
      </c>
      <c r="F759" s="32">
        <f>IFERROR(IF(ISNUMBER($A759),IF(AND(AH!$U$12=1,754+1=AH!$U$6),IF(AH!$U$4=0,"unavailable",INDEX('Market Data'!$AO$5:$AO$66,AH!$U$4)),IF(AH!$U$5=1,INDEX('Live History'!$E$5:$E$3004,MATCH($A759,'Live History'!$D$5:$D$3004,1)),INDEX('AH History'!$D$5:$GG$1380,$K759,AH!$U$10+1))),NA()),NA())</f>
        <v/>
      </c>
      <c r="G759" s="34">
        <f>IFERROR(IF(ISNUMBER($A759),IF(AND(AH!$U$12=1,754+1=AH!$U$6),IF(AH!$U$4=0,"unavailable",INDEX('Market Data'!$AK$5:$AK$66,AH!$U$4)),IF(AH!$U$5=1,INDEX('Live History'!$D$5:$D$3004,MATCH($A759,'Live History'!$D$5:$D$3004,1)),INDEX('AH History'!$D$5:$GG$1380,$K759,AH!$U$10+2))),NA()),NA())</f>
        <v/>
      </c>
      <c r="H759" s="266">
        <f>IFERROR(IF(ISNUMBER($A759),IF(AND(AH!$U$12=1,754+1=AH!$U$6),IF(AH!$U$4=0,"unavailable",INDEX('Market Data'!$AP$5:$AP$66,AH!$U$4)),IF(AH!$U$5=1,INDEX('Live History'!$H$5:$H$3004,MATCH($A759,'Live History'!$G$5:$G$3004,1)),INDEX('AH History'!$B$5:$B$1380,$K759))),NA()),NA())</f>
        <v/>
      </c>
      <c r="I759" s="34">
        <f>IFERROR(IF(ISNUMBER($A759),IF(AND(AH!$U$12=1,754+1=AH!$U$6),TODAY(),IF(AH!$U$5=1,INDEX('Live History'!$G$5:$G$3004,MATCH($A759,'Live History'!$G$5:$G$3004,1)),INDEX('AH History'!$C$5:$C$1380,$K759))),NA()),NA())</f>
        <v/>
      </c>
      <c r="J759" s="32">
        <f>IFERROR(IF(AND($F759&gt;0,$H759&gt;0,$A759-$G759&lt;=10,$A759-$I759&lt;=5,$G759&gt;0,$I759&gt;0),$F759*$H759,NA()),NA())</f>
        <v/>
      </c>
      <c r="K759" s="15">
        <f>IF($A759="","",IF(AH!$U$5=1,IFERROR(MATCH($A759,'Live History'!$A$5:$A$3004,0),0),AH!$U$7+754))</f>
        <v/>
      </c>
      <c r="L759" s="15">
        <f>IF(ISNUMBER(A759),TEXT(A759,"dd-mmm-yy"),"")</f>
        <v/>
      </c>
    </row>
    <row r="760">
      <c r="A760" s="14">
        <f>IF(OR(AH!$U$4=0,755+1&gt;AH!$U$6,AND(AH!$M$5="Bloomberg",AH!$U$5=0)),"",IFERROR(IF(AND(AH!$U$12=1,755+1=AH!$U$6),TODAY(),IF(AH!$U$5=1,INDEX('Live History'!$A$5:$A$3004,AH!$U$7+755),INDEX('AH History'!$A$5:$A$1380,AH!$U$7+755))),""))</f>
        <v/>
      </c>
      <c r="B760" s="33">
        <f>IFERROR(IF(AH!$U$11=1,NA(),$J760/$E760-1),NA())</f>
        <v/>
      </c>
      <c r="C760" s="269">
        <f>IFERROR(100*$E760/$E$5,NA())</f>
        <v/>
      </c>
      <c r="D760" s="269">
        <f>IFERROR(100*$J760/$J$5,NA())</f>
        <v/>
      </c>
      <c r="E760" s="32">
        <f>IFERROR(IF(AND(ISNUMBER($A760),N(IF(AND(AH!$U$12=1,755+1=AH!$U$6),IF(AH!$U$4=0,"unavailable",INDEX('Market Data'!$AN$5:$AN$66,AH!$U$4)),IF(AH!$U$5=1,INDEX('Live History'!$B$5:$B$3004,$K760),INDEX('AH History'!$D$5:$GG$1380,$K760,AH!$U$10))))&gt;0),IF(AND(AH!$U$12=1,755+1=AH!$U$6),IF(AH!$U$4=0,"unavailable",INDEX('Market Data'!$AN$5:$AN$66,AH!$U$4)),IF(AH!$U$5=1,INDEX('Live History'!$B$5:$B$3004,$K760),INDEX('AH History'!$D$5:$GG$1380,$K760,AH!$U$10))),NA()),NA())</f>
        <v/>
      </c>
      <c r="F760" s="32">
        <f>IFERROR(IF(ISNUMBER($A760),IF(AND(AH!$U$12=1,755+1=AH!$U$6),IF(AH!$U$4=0,"unavailable",INDEX('Market Data'!$AO$5:$AO$66,AH!$U$4)),IF(AH!$U$5=1,INDEX('Live History'!$E$5:$E$3004,MATCH($A760,'Live History'!$D$5:$D$3004,1)),INDEX('AH History'!$D$5:$GG$1380,$K760,AH!$U$10+1))),NA()),NA())</f>
        <v/>
      </c>
      <c r="G760" s="34">
        <f>IFERROR(IF(ISNUMBER($A760),IF(AND(AH!$U$12=1,755+1=AH!$U$6),IF(AH!$U$4=0,"unavailable",INDEX('Market Data'!$AK$5:$AK$66,AH!$U$4)),IF(AH!$U$5=1,INDEX('Live History'!$D$5:$D$3004,MATCH($A760,'Live History'!$D$5:$D$3004,1)),INDEX('AH History'!$D$5:$GG$1380,$K760,AH!$U$10+2))),NA()),NA())</f>
        <v/>
      </c>
      <c r="H760" s="266">
        <f>IFERROR(IF(ISNUMBER($A760),IF(AND(AH!$U$12=1,755+1=AH!$U$6),IF(AH!$U$4=0,"unavailable",INDEX('Market Data'!$AP$5:$AP$66,AH!$U$4)),IF(AH!$U$5=1,INDEX('Live History'!$H$5:$H$3004,MATCH($A760,'Live History'!$G$5:$G$3004,1)),INDEX('AH History'!$B$5:$B$1380,$K760))),NA()),NA())</f>
        <v/>
      </c>
      <c r="I760" s="34">
        <f>IFERROR(IF(ISNUMBER($A760),IF(AND(AH!$U$12=1,755+1=AH!$U$6),TODAY(),IF(AH!$U$5=1,INDEX('Live History'!$G$5:$G$3004,MATCH($A760,'Live History'!$G$5:$G$3004,1)),INDEX('AH History'!$C$5:$C$1380,$K760))),NA()),NA())</f>
        <v/>
      </c>
      <c r="J760" s="32">
        <f>IFERROR(IF(AND($F760&gt;0,$H760&gt;0,$A760-$G760&lt;=10,$A760-$I760&lt;=5,$G760&gt;0,$I760&gt;0),$F760*$H760,NA()),NA())</f>
        <v/>
      </c>
      <c r="K760" s="15">
        <f>IF($A760="","",IF(AH!$U$5=1,IFERROR(MATCH($A760,'Live History'!$A$5:$A$3004,0),0),AH!$U$7+755))</f>
        <v/>
      </c>
      <c r="L760" s="15">
        <f>IF(ISNUMBER(A760),TEXT(A760,"dd-mmm-yy"),"")</f>
        <v/>
      </c>
    </row>
    <row r="761">
      <c r="A761" s="14">
        <f>IF(OR(AH!$U$4=0,756+1&gt;AH!$U$6,AND(AH!$M$5="Bloomberg",AH!$U$5=0)),"",IFERROR(IF(AND(AH!$U$12=1,756+1=AH!$U$6),TODAY(),IF(AH!$U$5=1,INDEX('Live History'!$A$5:$A$3004,AH!$U$7+756),INDEX('AH History'!$A$5:$A$1380,AH!$U$7+756))),""))</f>
        <v/>
      </c>
      <c r="B761" s="33">
        <f>IFERROR(IF(AH!$U$11=1,NA(),$J761/$E761-1),NA())</f>
        <v/>
      </c>
      <c r="C761" s="269">
        <f>IFERROR(100*$E761/$E$5,NA())</f>
        <v/>
      </c>
      <c r="D761" s="269">
        <f>IFERROR(100*$J761/$J$5,NA())</f>
        <v/>
      </c>
      <c r="E761" s="32">
        <f>IFERROR(IF(AND(ISNUMBER($A761),N(IF(AND(AH!$U$12=1,756+1=AH!$U$6),IF(AH!$U$4=0,"unavailable",INDEX('Market Data'!$AN$5:$AN$66,AH!$U$4)),IF(AH!$U$5=1,INDEX('Live History'!$B$5:$B$3004,$K761),INDEX('AH History'!$D$5:$GG$1380,$K761,AH!$U$10))))&gt;0),IF(AND(AH!$U$12=1,756+1=AH!$U$6),IF(AH!$U$4=0,"unavailable",INDEX('Market Data'!$AN$5:$AN$66,AH!$U$4)),IF(AH!$U$5=1,INDEX('Live History'!$B$5:$B$3004,$K761),INDEX('AH History'!$D$5:$GG$1380,$K761,AH!$U$10))),NA()),NA())</f>
        <v/>
      </c>
      <c r="F761" s="32">
        <f>IFERROR(IF(ISNUMBER($A761),IF(AND(AH!$U$12=1,756+1=AH!$U$6),IF(AH!$U$4=0,"unavailable",INDEX('Market Data'!$AO$5:$AO$66,AH!$U$4)),IF(AH!$U$5=1,INDEX('Live History'!$E$5:$E$3004,MATCH($A761,'Live History'!$D$5:$D$3004,1)),INDEX('AH History'!$D$5:$GG$1380,$K761,AH!$U$10+1))),NA()),NA())</f>
        <v/>
      </c>
      <c r="G761" s="34">
        <f>IFERROR(IF(ISNUMBER($A761),IF(AND(AH!$U$12=1,756+1=AH!$U$6),IF(AH!$U$4=0,"unavailable",INDEX('Market Data'!$AK$5:$AK$66,AH!$U$4)),IF(AH!$U$5=1,INDEX('Live History'!$D$5:$D$3004,MATCH($A761,'Live History'!$D$5:$D$3004,1)),INDEX('AH History'!$D$5:$GG$1380,$K761,AH!$U$10+2))),NA()),NA())</f>
        <v/>
      </c>
      <c r="H761" s="266">
        <f>IFERROR(IF(ISNUMBER($A761),IF(AND(AH!$U$12=1,756+1=AH!$U$6),IF(AH!$U$4=0,"unavailable",INDEX('Market Data'!$AP$5:$AP$66,AH!$U$4)),IF(AH!$U$5=1,INDEX('Live History'!$H$5:$H$3004,MATCH($A761,'Live History'!$G$5:$G$3004,1)),INDEX('AH History'!$B$5:$B$1380,$K761))),NA()),NA())</f>
        <v/>
      </c>
      <c r="I761" s="34">
        <f>IFERROR(IF(ISNUMBER($A761),IF(AND(AH!$U$12=1,756+1=AH!$U$6),TODAY(),IF(AH!$U$5=1,INDEX('Live History'!$G$5:$G$3004,MATCH($A761,'Live History'!$G$5:$G$3004,1)),INDEX('AH History'!$C$5:$C$1380,$K761))),NA()),NA())</f>
        <v/>
      </c>
      <c r="J761" s="32">
        <f>IFERROR(IF(AND($F761&gt;0,$H761&gt;0,$A761-$G761&lt;=10,$A761-$I761&lt;=5,$G761&gt;0,$I761&gt;0),$F761*$H761,NA()),NA())</f>
        <v/>
      </c>
      <c r="K761" s="15">
        <f>IF($A761="","",IF(AH!$U$5=1,IFERROR(MATCH($A761,'Live History'!$A$5:$A$3004,0),0),AH!$U$7+756))</f>
        <v/>
      </c>
      <c r="L761" s="15">
        <f>IF(ISNUMBER(A761),TEXT(A761,"dd-mmm-yy"),"")</f>
        <v/>
      </c>
    </row>
    <row r="762">
      <c r="A762" s="14">
        <f>IF(OR(AH!$U$4=0,757+1&gt;AH!$U$6,AND(AH!$M$5="Bloomberg",AH!$U$5=0)),"",IFERROR(IF(AND(AH!$U$12=1,757+1=AH!$U$6),TODAY(),IF(AH!$U$5=1,INDEX('Live History'!$A$5:$A$3004,AH!$U$7+757),INDEX('AH History'!$A$5:$A$1380,AH!$U$7+757))),""))</f>
        <v/>
      </c>
      <c r="B762" s="33">
        <f>IFERROR(IF(AH!$U$11=1,NA(),$J762/$E762-1),NA())</f>
        <v/>
      </c>
      <c r="C762" s="269">
        <f>IFERROR(100*$E762/$E$5,NA())</f>
        <v/>
      </c>
      <c r="D762" s="269">
        <f>IFERROR(100*$J762/$J$5,NA())</f>
        <v/>
      </c>
      <c r="E762" s="32">
        <f>IFERROR(IF(AND(ISNUMBER($A762),N(IF(AND(AH!$U$12=1,757+1=AH!$U$6),IF(AH!$U$4=0,"unavailable",INDEX('Market Data'!$AN$5:$AN$66,AH!$U$4)),IF(AH!$U$5=1,INDEX('Live History'!$B$5:$B$3004,$K762),INDEX('AH History'!$D$5:$GG$1380,$K762,AH!$U$10))))&gt;0),IF(AND(AH!$U$12=1,757+1=AH!$U$6),IF(AH!$U$4=0,"unavailable",INDEX('Market Data'!$AN$5:$AN$66,AH!$U$4)),IF(AH!$U$5=1,INDEX('Live History'!$B$5:$B$3004,$K762),INDEX('AH History'!$D$5:$GG$1380,$K762,AH!$U$10))),NA()),NA())</f>
        <v/>
      </c>
      <c r="F762" s="32">
        <f>IFERROR(IF(ISNUMBER($A762),IF(AND(AH!$U$12=1,757+1=AH!$U$6),IF(AH!$U$4=0,"unavailable",INDEX('Market Data'!$AO$5:$AO$66,AH!$U$4)),IF(AH!$U$5=1,INDEX('Live History'!$E$5:$E$3004,MATCH($A762,'Live History'!$D$5:$D$3004,1)),INDEX('AH History'!$D$5:$GG$1380,$K762,AH!$U$10+1))),NA()),NA())</f>
        <v/>
      </c>
      <c r="G762" s="34">
        <f>IFERROR(IF(ISNUMBER($A762),IF(AND(AH!$U$12=1,757+1=AH!$U$6),IF(AH!$U$4=0,"unavailable",INDEX('Market Data'!$AK$5:$AK$66,AH!$U$4)),IF(AH!$U$5=1,INDEX('Live History'!$D$5:$D$3004,MATCH($A762,'Live History'!$D$5:$D$3004,1)),INDEX('AH History'!$D$5:$GG$1380,$K762,AH!$U$10+2))),NA()),NA())</f>
        <v/>
      </c>
      <c r="H762" s="266">
        <f>IFERROR(IF(ISNUMBER($A762),IF(AND(AH!$U$12=1,757+1=AH!$U$6),IF(AH!$U$4=0,"unavailable",INDEX('Market Data'!$AP$5:$AP$66,AH!$U$4)),IF(AH!$U$5=1,INDEX('Live History'!$H$5:$H$3004,MATCH($A762,'Live History'!$G$5:$G$3004,1)),INDEX('AH History'!$B$5:$B$1380,$K762))),NA()),NA())</f>
        <v/>
      </c>
      <c r="I762" s="34">
        <f>IFERROR(IF(ISNUMBER($A762),IF(AND(AH!$U$12=1,757+1=AH!$U$6),TODAY(),IF(AH!$U$5=1,INDEX('Live History'!$G$5:$G$3004,MATCH($A762,'Live History'!$G$5:$G$3004,1)),INDEX('AH History'!$C$5:$C$1380,$K762))),NA()),NA())</f>
        <v/>
      </c>
      <c r="J762" s="32">
        <f>IFERROR(IF(AND($F762&gt;0,$H762&gt;0,$A762-$G762&lt;=10,$A762-$I762&lt;=5,$G762&gt;0,$I762&gt;0),$F762*$H762,NA()),NA())</f>
        <v/>
      </c>
      <c r="K762" s="15">
        <f>IF($A762="","",IF(AH!$U$5=1,IFERROR(MATCH($A762,'Live History'!$A$5:$A$3004,0),0),AH!$U$7+757))</f>
        <v/>
      </c>
      <c r="L762" s="15">
        <f>IF(ISNUMBER(A762),TEXT(A762,"dd-mmm-yy"),"")</f>
        <v/>
      </c>
    </row>
    <row r="763">
      <c r="A763" s="14">
        <f>IF(OR(AH!$U$4=0,758+1&gt;AH!$U$6,AND(AH!$M$5="Bloomberg",AH!$U$5=0)),"",IFERROR(IF(AND(AH!$U$12=1,758+1=AH!$U$6),TODAY(),IF(AH!$U$5=1,INDEX('Live History'!$A$5:$A$3004,AH!$U$7+758),INDEX('AH History'!$A$5:$A$1380,AH!$U$7+758))),""))</f>
        <v/>
      </c>
      <c r="B763" s="33">
        <f>IFERROR(IF(AH!$U$11=1,NA(),$J763/$E763-1),NA())</f>
        <v/>
      </c>
      <c r="C763" s="269">
        <f>IFERROR(100*$E763/$E$5,NA())</f>
        <v/>
      </c>
      <c r="D763" s="269">
        <f>IFERROR(100*$J763/$J$5,NA())</f>
        <v/>
      </c>
      <c r="E763" s="32">
        <f>IFERROR(IF(AND(ISNUMBER($A763),N(IF(AND(AH!$U$12=1,758+1=AH!$U$6),IF(AH!$U$4=0,"unavailable",INDEX('Market Data'!$AN$5:$AN$66,AH!$U$4)),IF(AH!$U$5=1,INDEX('Live History'!$B$5:$B$3004,$K763),INDEX('AH History'!$D$5:$GG$1380,$K763,AH!$U$10))))&gt;0),IF(AND(AH!$U$12=1,758+1=AH!$U$6),IF(AH!$U$4=0,"unavailable",INDEX('Market Data'!$AN$5:$AN$66,AH!$U$4)),IF(AH!$U$5=1,INDEX('Live History'!$B$5:$B$3004,$K763),INDEX('AH History'!$D$5:$GG$1380,$K763,AH!$U$10))),NA()),NA())</f>
        <v/>
      </c>
      <c r="F763" s="32">
        <f>IFERROR(IF(ISNUMBER($A763),IF(AND(AH!$U$12=1,758+1=AH!$U$6),IF(AH!$U$4=0,"unavailable",INDEX('Market Data'!$AO$5:$AO$66,AH!$U$4)),IF(AH!$U$5=1,INDEX('Live History'!$E$5:$E$3004,MATCH($A763,'Live History'!$D$5:$D$3004,1)),INDEX('AH History'!$D$5:$GG$1380,$K763,AH!$U$10+1))),NA()),NA())</f>
        <v/>
      </c>
      <c r="G763" s="34">
        <f>IFERROR(IF(ISNUMBER($A763),IF(AND(AH!$U$12=1,758+1=AH!$U$6),IF(AH!$U$4=0,"unavailable",INDEX('Market Data'!$AK$5:$AK$66,AH!$U$4)),IF(AH!$U$5=1,INDEX('Live History'!$D$5:$D$3004,MATCH($A763,'Live History'!$D$5:$D$3004,1)),INDEX('AH History'!$D$5:$GG$1380,$K763,AH!$U$10+2))),NA()),NA())</f>
        <v/>
      </c>
      <c r="H763" s="266">
        <f>IFERROR(IF(ISNUMBER($A763),IF(AND(AH!$U$12=1,758+1=AH!$U$6),IF(AH!$U$4=0,"unavailable",INDEX('Market Data'!$AP$5:$AP$66,AH!$U$4)),IF(AH!$U$5=1,INDEX('Live History'!$H$5:$H$3004,MATCH($A763,'Live History'!$G$5:$G$3004,1)),INDEX('AH History'!$B$5:$B$1380,$K763))),NA()),NA())</f>
        <v/>
      </c>
      <c r="I763" s="34">
        <f>IFERROR(IF(ISNUMBER($A763),IF(AND(AH!$U$12=1,758+1=AH!$U$6),TODAY(),IF(AH!$U$5=1,INDEX('Live History'!$G$5:$G$3004,MATCH($A763,'Live History'!$G$5:$G$3004,1)),INDEX('AH History'!$C$5:$C$1380,$K763))),NA()),NA())</f>
        <v/>
      </c>
      <c r="J763" s="32">
        <f>IFERROR(IF(AND($F763&gt;0,$H763&gt;0,$A763-$G763&lt;=10,$A763-$I763&lt;=5,$G763&gt;0,$I763&gt;0),$F763*$H763,NA()),NA())</f>
        <v/>
      </c>
      <c r="K763" s="15">
        <f>IF($A763="","",IF(AH!$U$5=1,IFERROR(MATCH($A763,'Live History'!$A$5:$A$3004,0),0),AH!$U$7+758))</f>
        <v/>
      </c>
      <c r="L763" s="15">
        <f>IF(ISNUMBER(A763),TEXT(A763,"dd-mmm-yy"),"")</f>
        <v/>
      </c>
    </row>
    <row r="764">
      <c r="A764" s="14">
        <f>IF(OR(AH!$U$4=0,759+1&gt;AH!$U$6,AND(AH!$M$5="Bloomberg",AH!$U$5=0)),"",IFERROR(IF(AND(AH!$U$12=1,759+1=AH!$U$6),TODAY(),IF(AH!$U$5=1,INDEX('Live History'!$A$5:$A$3004,AH!$U$7+759),INDEX('AH History'!$A$5:$A$1380,AH!$U$7+759))),""))</f>
        <v/>
      </c>
      <c r="B764" s="33">
        <f>IFERROR(IF(AH!$U$11=1,NA(),$J764/$E764-1),NA())</f>
        <v/>
      </c>
      <c r="C764" s="269">
        <f>IFERROR(100*$E764/$E$5,NA())</f>
        <v/>
      </c>
      <c r="D764" s="269">
        <f>IFERROR(100*$J764/$J$5,NA())</f>
        <v/>
      </c>
      <c r="E764" s="32">
        <f>IFERROR(IF(AND(ISNUMBER($A764),N(IF(AND(AH!$U$12=1,759+1=AH!$U$6),IF(AH!$U$4=0,"unavailable",INDEX('Market Data'!$AN$5:$AN$66,AH!$U$4)),IF(AH!$U$5=1,INDEX('Live History'!$B$5:$B$3004,$K764),INDEX('AH History'!$D$5:$GG$1380,$K764,AH!$U$10))))&gt;0),IF(AND(AH!$U$12=1,759+1=AH!$U$6),IF(AH!$U$4=0,"unavailable",INDEX('Market Data'!$AN$5:$AN$66,AH!$U$4)),IF(AH!$U$5=1,INDEX('Live History'!$B$5:$B$3004,$K764),INDEX('AH History'!$D$5:$GG$1380,$K764,AH!$U$10))),NA()),NA())</f>
        <v/>
      </c>
      <c r="F764" s="32">
        <f>IFERROR(IF(ISNUMBER($A764),IF(AND(AH!$U$12=1,759+1=AH!$U$6),IF(AH!$U$4=0,"unavailable",INDEX('Market Data'!$AO$5:$AO$66,AH!$U$4)),IF(AH!$U$5=1,INDEX('Live History'!$E$5:$E$3004,MATCH($A764,'Live History'!$D$5:$D$3004,1)),INDEX('AH History'!$D$5:$GG$1380,$K764,AH!$U$10+1))),NA()),NA())</f>
        <v/>
      </c>
      <c r="G764" s="34">
        <f>IFERROR(IF(ISNUMBER($A764),IF(AND(AH!$U$12=1,759+1=AH!$U$6),IF(AH!$U$4=0,"unavailable",INDEX('Market Data'!$AK$5:$AK$66,AH!$U$4)),IF(AH!$U$5=1,INDEX('Live History'!$D$5:$D$3004,MATCH($A764,'Live History'!$D$5:$D$3004,1)),INDEX('AH History'!$D$5:$GG$1380,$K764,AH!$U$10+2))),NA()),NA())</f>
        <v/>
      </c>
      <c r="H764" s="266">
        <f>IFERROR(IF(ISNUMBER($A764),IF(AND(AH!$U$12=1,759+1=AH!$U$6),IF(AH!$U$4=0,"unavailable",INDEX('Market Data'!$AP$5:$AP$66,AH!$U$4)),IF(AH!$U$5=1,INDEX('Live History'!$H$5:$H$3004,MATCH($A764,'Live History'!$G$5:$G$3004,1)),INDEX('AH History'!$B$5:$B$1380,$K764))),NA()),NA())</f>
        <v/>
      </c>
      <c r="I764" s="34">
        <f>IFERROR(IF(ISNUMBER($A764),IF(AND(AH!$U$12=1,759+1=AH!$U$6),TODAY(),IF(AH!$U$5=1,INDEX('Live History'!$G$5:$G$3004,MATCH($A764,'Live History'!$G$5:$G$3004,1)),INDEX('AH History'!$C$5:$C$1380,$K764))),NA()),NA())</f>
        <v/>
      </c>
      <c r="J764" s="32">
        <f>IFERROR(IF(AND($F764&gt;0,$H764&gt;0,$A764-$G764&lt;=10,$A764-$I764&lt;=5,$G764&gt;0,$I764&gt;0),$F764*$H764,NA()),NA())</f>
        <v/>
      </c>
      <c r="K764" s="15">
        <f>IF($A764="","",IF(AH!$U$5=1,IFERROR(MATCH($A764,'Live History'!$A$5:$A$3004,0),0),AH!$U$7+759))</f>
        <v/>
      </c>
      <c r="L764" s="15">
        <f>IF(ISNUMBER(A764),TEXT(A764,"dd-mmm-yy"),"")</f>
        <v/>
      </c>
    </row>
    <row r="765">
      <c r="A765" s="14">
        <f>IF(OR(AH!$U$4=0,760+1&gt;AH!$U$6,AND(AH!$M$5="Bloomberg",AH!$U$5=0)),"",IFERROR(IF(AND(AH!$U$12=1,760+1=AH!$U$6),TODAY(),IF(AH!$U$5=1,INDEX('Live History'!$A$5:$A$3004,AH!$U$7+760),INDEX('AH History'!$A$5:$A$1380,AH!$U$7+760))),""))</f>
        <v/>
      </c>
      <c r="B765" s="33">
        <f>IFERROR(IF(AH!$U$11=1,NA(),$J765/$E765-1),NA())</f>
        <v/>
      </c>
      <c r="C765" s="269">
        <f>IFERROR(100*$E765/$E$5,NA())</f>
        <v/>
      </c>
      <c r="D765" s="269">
        <f>IFERROR(100*$J765/$J$5,NA())</f>
        <v/>
      </c>
      <c r="E765" s="32">
        <f>IFERROR(IF(AND(ISNUMBER($A765),N(IF(AND(AH!$U$12=1,760+1=AH!$U$6),IF(AH!$U$4=0,"unavailable",INDEX('Market Data'!$AN$5:$AN$66,AH!$U$4)),IF(AH!$U$5=1,INDEX('Live History'!$B$5:$B$3004,$K765),INDEX('AH History'!$D$5:$GG$1380,$K765,AH!$U$10))))&gt;0),IF(AND(AH!$U$12=1,760+1=AH!$U$6),IF(AH!$U$4=0,"unavailable",INDEX('Market Data'!$AN$5:$AN$66,AH!$U$4)),IF(AH!$U$5=1,INDEX('Live History'!$B$5:$B$3004,$K765),INDEX('AH History'!$D$5:$GG$1380,$K765,AH!$U$10))),NA()),NA())</f>
        <v/>
      </c>
      <c r="F765" s="32">
        <f>IFERROR(IF(ISNUMBER($A765),IF(AND(AH!$U$12=1,760+1=AH!$U$6),IF(AH!$U$4=0,"unavailable",INDEX('Market Data'!$AO$5:$AO$66,AH!$U$4)),IF(AH!$U$5=1,INDEX('Live History'!$E$5:$E$3004,MATCH($A765,'Live History'!$D$5:$D$3004,1)),INDEX('AH History'!$D$5:$GG$1380,$K765,AH!$U$10+1))),NA()),NA())</f>
        <v/>
      </c>
      <c r="G765" s="34">
        <f>IFERROR(IF(ISNUMBER($A765),IF(AND(AH!$U$12=1,760+1=AH!$U$6),IF(AH!$U$4=0,"unavailable",INDEX('Market Data'!$AK$5:$AK$66,AH!$U$4)),IF(AH!$U$5=1,INDEX('Live History'!$D$5:$D$3004,MATCH($A765,'Live History'!$D$5:$D$3004,1)),INDEX('AH History'!$D$5:$GG$1380,$K765,AH!$U$10+2))),NA()),NA())</f>
        <v/>
      </c>
      <c r="H765" s="266">
        <f>IFERROR(IF(ISNUMBER($A765),IF(AND(AH!$U$12=1,760+1=AH!$U$6),IF(AH!$U$4=0,"unavailable",INDEX('Market Data'!$AP$5:$AP$66,AH!$U$4)),IF(AH!$U$5=1,INDEX('Live History'!$H$5:$H$3004,MATCH($A765,'Live History'!$G$5:$G$3004,1)),INDEX('AH History'!$B$5:$B$1380,$K765))),NA()),NA())</f>
        <v/>
      </c>
      <c r="I765" s="34">
        <f>IFERROR(IF(ISNUMBER($A765),IF(AND(AH!$U$12=1,760+1=AH!$U$6),TODAY(),IF(AH!$U$5=1,INDEX('Live History'!$G$5:$G$3004,MATCH($A765,'Live History'!$G$5:$G$3004,1)),INDEX('AH History'!$C$5:$C$1380,$K765))),NA()),NA())</f>
        <v/>
      </c>
      <c r="J765" s="32">
        <f>IFERROR(IF(AND($F765&gt;0,$H765&gt;0,$A765-$G765&lt;=10,$A765-$I765&lt;=5,$G765&gt;0,$I765&gt;0),$F765*$H765,NA()),NA())</f>
        <v/>
      </c>
      <c r="K765" s="15">
        <f>IF($A765="","",IF(AH!$U$5=1,IFERROR(MATCH($A765,'Live History'!$A$5:$A$3004,0),0),AH!$U$7+760))</f>
        <v/>
      </c>
      <c r="L765" s="15">
        <f>IF(ISNUMBER(A765),TEXT(A765,"dd-mmm-yy"),"")</f>
        <v/>
      </c>
    </row>
    <row r="766">
      <c r="A766" s="14">
        <f>IF(OR(AH!$U$4=0,761+1&gt;AH!$U$6,AND(AH!$M$5="Bloomberg",AH!$U$5=0)),"",IFERROR(IF(AND(AH!$U$12=1,761+1=AH!$U$6),TODAY(),IF(AH!$U$5=1,INDEX('Live History'!$A$5:$A$3004,AH!$U$7+761),INDEX('AH History'!$A$5:$A$1380,AH!$U$7+761))),""))</f>
        <v/>
      </c>
      <c r="B766" s="33">
        <f>IFERROR(IF(AH!$U$11=1,NA(),$J766/$E766-1),NA())</f>
        <v/>
      </c>
      <c r="C766" s="269">
        <f>IFERROR(100*$E766/$E$5,NA())</f>
        <v/>
      </c>
      <c r="D766" s="269">
        <f>IFERROR(100*$J766/$J$5,NA())</f>
        <v/>
      </c>
      <c r="E766" s="32">
        <f>IFERROR(IF(AND(ISNUMBER($A766),N(IF(AND(AH!$U$12=1,761+1=AH!$U$6),IF(AH!$U$4=0,"unavailable",INDEX('Market Data'!$AN$5:$AN$66,AH!$U$4)),IF(AH!$U$5=1,INDEX('Live History'!$B$5:$B$3004,$K766),INDEX('AH History'!$D$5:$GG$1380,$K766,AH!$U$10))))&gt;0),IF(AND(AH!$U$12=1,761+1=AH!$U$6),IF(AH!$U$4=0,"unavailable",INDEX('Market Data'!$AN$5:$AN$66,AH!$U$4)),IF(AH!$U$5=1,INDEX('Live History'!$B$5:$B$3004,$K766),INDEX('AH History'!$D$5:$GG$1380,$K766,AH!$U$10))),NA()),NA())</f>
        <v/>
      </c>
      <c r="F766" s="32">
        <f>IFERROR(IF(ISNUMBER($A766),IF(AND(AH!$U$12=1,761+1=AH!$U$6),IF(AH!$U$4=0,"unavailable",INDEX('Market Data'!$AO$5:$AO$66,AH!$U$4)),IF(AH!$U$5=1,INDEX('Live History'!$E$5:$E$3004,MATCH($A766,'Live History'!$D$5:$D$3004,1)),INDEX('AH History'!$D$5:$GG$1380,$K766,AH!$U$10+1))),NA()),NA())</f>
        <v/>
      </c>
      <c r="G766" s="34">
        <f>IFERROR(IF(ISNUMBER($A766),IF(AND(AH!$U$12=1,761+1=AH!$U$6),IF(AH!$U$4=0,"unavailable",INDEX('Market Data'!$AK$5:$AK$66,AH!$U$4)),IF(AH!$U$5=1,INDEX('Live History'!$D$5:$D$3004,MATCH($A766,'Live History'!$D$5:$D$3004,1)),INDEX('AH History'!$D$5:$GG$1380,$K766,AH!$U$10+2))),NA()),NA())</f>
        <v/>
      </c>
      <c r="H766" s="266">
        <f>IFERROR(IF(ISNUMBER($A766),IF(AND(AH!$U$12=1,761+1=AH!$U$6),IF(AH!$U$4=0,"unavailable",INDEX('Market Data'!$AP$5:$AP$66,AH!$U$4)),IF(AH!$U$5=1,INDEX('Live History'!$H$5:$H$3004,MATCH($A766,'Live History'!$G$5:$G$3004,1)),INDEX('AH History'!$B$5:$B$1380,$K766))),NA()),NA())</f>
        <v/>
      </c>
      <c r="I766" s="34">
        <f>IFERROR(IF(ISNUMBER($A766),IF(AND(AH!$U$12=1,761+1=AH!$U$6),TODAY(),IF(AH!$U$5=1,INDEX('Live History'!$G$5:$G$3004,MATCH($A766,'Live History'!$G$5:$G$3004,1)),INDEX('AH History'!$C$5:$C$1380,$K766))),NA()),NA())</f>
        <v/>
      </c>
      <c r="J766" s="32">
        <f>IFERROR(IF(AND($F766&gt;0,$H766&gt;0,$A766-$G766&lt;=10,$A766-$I766&lt;=5,$G766&gt;0,$I766&gt;0),$F766*$H766,NA()),NA())</f>
        <v/>
      </c>
      <c r="K766" s="15">
        <f>IF($A766="","",IF(AH!$U$5=1,IFERROR(MATCH($A766,'Live History'!$A$5:$A$3004,0),0),AH!$U$7+761))</f>
        <v/>
      </c>
      <c r="L766" s="15">
        <f>IF(ISNUMBER(A766),TEXT(A766,"dd-mmm-yy"),"")</f>
        <v/>
      </c>
    </row>
    <row r="767">
      <c r="A767" s="14">
        <f>IF(OR(AH!$U$4=0,762+1&gt;AH!$U$6,AND(AH!$M$5="Bloomberg",AH!$U$5=0)),"",IFERROR(IF(AND(AH!$U$12=1,762+1=AH!$U$6),TODAY(),IF(AH!$U$5=1,INDEX('Live History'!$A$5:$A$3004,AH!$U$7+762),INDEX('AH History'!$A$5:$A$1380,AH!$U$7+762))),""))</f>
        <v/>
      </c>
      <c r="B767" s="33">
        <f>IFERROR(IF(AH!$U$11=1,NA(),$J767/$E767-1),NA())</f>
        <v/>
      </c>
      <c r="C767" s="269">
        <f>IFERROR(100*$E767/$E$5,NA())</f>
        <v/>
      </c>
      <c r="D767" s="269">
        <f>IFERROR(100*$J767/$J$5,NA())</f>
        <v/>
      </c>
      <c r="E767" s="32">
        <f>IFERROR(IF(AND(ISNUMBER($A767),N(IF(AND(AH!$U$12=1,762+1=AH!$U$6),IF(AH!$U$4=0,"unavailable",INDEX('Market Data'!$AN$5:$AN$66,AH!$U$4)),IF(AH!$U$5=1,INDEX('Live History'!$B$5:$B$3004,$K767),INDEX('AH History'!$D$5:$GG$1380,$K767,AH!$U$10))))&gt;0),IF(AND(AH!$U$12=1,762+1=AH!$U$6),IF(AH!$U$4=0,"unavailable",INDEX('Market Data'!$AN$5:$AN$66,AH!$U$4)),IF(AH!$U$5=1,INDEX('Live History'!$B$5:$B$3004,$K767),INDEX('AH History'!$D$5:$GG$1380,$K767,AH!$U$10))),NA()),NA())</f>
        <v/>
      </c>
      <c r="F767" s="32">
        <f>IFERROR(IF(ISNUMBER($A767),IF(AND(AH!$U$12=1,762+1=AH!$U$6),IF(AH!$U$4=0,"unavailable",INDEX('Market Data'!$AO$5:$AO$66,AH!$U$4)),IF(AH!$U$5=1,INDEX('Live History'!$E$5:$E$3004,MATCH($A767,'Live History'!$D$5:$D$3004,1)),INDEX('AH History'!$D$5:$GG$1380,$K767,AH!$U$10+1))),NA()),NA())</f>
        <v/>
      </c>
      <c r="G767" s="34">
        <f>IFERROR(IF(ISNUMBER($A767),IF(AND(AH!$U$12=1,762+1=AH!$U$6),IF(AH!$U$4=0,"unavailable",INDEX('Market Data'!$AK$5:$AK$66,AH!$U$4)),IF(AH!$U$5=1,INDEX('Live History'!$D$5:$D$3004,MATCH($A767,'Live History'!$D$5:$D$3004,1)),INDEX('AH History'!$D$5:$GG$1380,$K767,AH!$U$10+2))),NA()),NA())</f>
        <v/>
      </c>
      <c r="H767" s="266">
        <f>IFERROR(IF(ISNUMBER($A767),IF(AND(AH!$U$12=1,762+1=AH!$U$6),IF(AH!$U$4=0,"unavailable",INDEX('Market Data'!$AP$5:$AP$66,AH!$U$4)),IF(AH!$U$5=1,INDEX('Live History'!$H$5:$H$3004,MATCH($A767,'Live History'!$G$5:$G$3004,1)),INDEX('AH History'!$B$5:$B$1380,$K767))),NA()),NA())</f>
        <v/>
      </c>
      <c r="I767" s="34">
        <f>IFERROR(IF(ISNUMBER($A767),IF(AND(AH!$U$12=1,762+1=AH!$U$6),TODAY(),IF(AH!$U$5=1,INDEX('Live History'!$G$5:$G$3004,MATCH($A767,'Live History'!$G$5:$G$3004,1)),INDEX('AH History'!$C$5:$C$1380,$K767))),NA()),NA())</f>
        <v/>
      </c>
      <c r="J767" s="32">
        <f>IFERROR(IF(AND($F767&gt;0,$H767&gt;0,$A767-$G767&lt;=10,$A767-$I767&lt;=5,$G767&gt;0,$I767&gt;0),$F767*$H767,NA()),NA())</f>
        <v/>
      </c>
      <c r="K767" s="15">
        <f>IF($A767="","",IF(AH!$U$5=1,IFERROR(MATCH($A767,'Live History'!$A$5:$A$3004,0),0),AH!$U$7+762))</f>
        <v/>
      </c>
      <c r="L767" s="15">
        <f>IF(ISNUMBER(A767),TEXT(A767,"dd-mmm-yy"),"")</f>
        <v/>
      </c>
    </row>
    <row r="768">
      <c r="A768" s="14">
        <f>IF(OR(AH!$U$4=0,763+1&gt;AH!$U$6,AND(AH!$M$5="Bloomberg",AH!$U$5=0)),"",IFERROR(IF(AND(AH!$U$12=1,763+1=AH!$U$6),TODAY(),IF(AH!$U$5=1,INDEX('Live History'!$A$5:$A$3004,AH!$U$7+763),INDEX('AH History'!$A$5:$A$1380,AH!$U$7+763))),""))</f>
        <v/>
      </c>
      <c r="B768" s="33">
        <f>IFERROR(IF(AH!$U$11=1,NA(),$J768/$E768-1),NA())</f>
        <v/>
      </c>
      <c r="C768" s="269">
        <f>IFERROR(100*$E768/$E$5,NA())</f>
        <v/>
      </c>
      <c r="D768" s="269">
        <f>IFERROR(100*$J768/$J$5,NA())</f>
        <v/>
      </c>
      <c r="E768" s="32">
        <f>IFERROR(IF(AND(ISNUMBER($A768),N(IF(AND(AH!$U$12=1,763+1=AH!$U$6),IF(AH!$U$4=0,"unavailable",INDEX('Market Data'!$AN$5:$AN$66,AH!$U$4)),IF(AH!$U$5=1,INDEX('Live History'!$B$5:$B$3004,$K768),INDEX('AH History'!$D$5:$GG$1380,$K768,AH!$U$10))))&gt;0),IF(AND(AH!$U$12=1,763+1=AH!$U$6),IF(AH!$U$4=0,"unavailable",INDEX('Market Data'!$AN$5:$AN$66,AH!$U$4)),IF(AH!$U$5=1,INDEX('Live History'!$B$5:$B$3004,$K768),INDEX('AH History'!$D$5:$GG$1380,$K768,AH!$U$10))),NA()),NA())</f>
        <v/>
      </c>
      <c r="F768" s="32">
        <f>IFERROR(IF(ISNUMBER($A768),IF(AND(AH!$U$12=1,763+1=AH!$U$6),IF(AH!$U$4=0,"unavailable",INDEX('Market Data'!$AO$5:$AO$66,AH!$U$4)),IF(AH!$U$5=1,INDEX('Live History'!$E$5:$E$3004,MATCH($A768,'Live History'!$D$5:$D$3004,1)),INDEX('AH History'!$D$5:$GG$1380,$K768,AH!$U$10+1))),NA()),NA())</f>
        <v/>
      </c>
      <c r="G768" s="34">
        <f>IFERROR(IF(ISNUMBER($A768),IF(AND(AH!$U$12=1,763+1=AH!$U$6),IF(AH!$U$4=0,"unavailable",INDEX('Market Data'!$AK$5:$AK$66,AH!$U$4)),IF(AH!$U$5=1,INDEX('Live History'!$D$5:$D$3004,MATCH($A768,'Live History'!$D$5:$D$3004,1)),INDEX('AH History'!$D$5:$GG$1380,$K768,AH!$U$10+2))),NA()),NA())</f>
        <v/>
      </c>
      <c r="H768" s="266">
        <f>IFERROR(IF(ISNUMBER($A768),IF(AND(AH!$U$12=1,763+1=AH!$U$6),IF(AH!$U$4=0,"unavailable",INDEX('Market Data'!$AP$5:$AP$66,AH!$U$4)),IF(AH!$U$5=1,INDEX('Live History'!$H$5:$H$3004,MATCH($A768,'Live History'!$G$5:$G$3004,1)),INDEX('AH History'!$B$5:$B$1380,$K768))),NA()),NA())</f>
        <v/>
      </c>
      <c r="I768" s="34">
        <f>IFERROR(IF(ISNUMBER($A768),IF(AND(AH!$U$12=1,763+1=AH!$U$6),TODAY(),IF(AH!$U$5=1,INDEX('Live History'!$G$5:$G$3004,MATCH($A768,'Live History'!$G$5:$G$3004,1)),INDEX('AH History'!$C$5:$C$1380,$K768))),NA()),NA())</f>
        <v/>
      </c>
      <c r="J768" s="32">
        <f>IFERROR(IF(AND($F768&gt;0,$H768&gt;0,$A768-$G768&lt;=10,$A768-$I768&lt;=5,$G768&gt;0,$I768&gt;0),$F768*$H768,NA()),NA())</f>
        <v/>
      </c>
      <c r="K768" s="15">
        <f>IF($A768="","",IF(AH!$U$5=1,IFERROR(MATCH($A768,'Live History'!$A$5:$A$3004,0),0),AH!$U$7+763))</f>
        <v/>
      </c>
      <c r="L768" s="15">
        <f>IF(ISNUMBER(A768),TEXT(A768,"dd-mmm-yy"),"")</f>
        <v/>
      </c>
    </row>
    <row r="769">
      <c r="A769" s="14">
        <f>IF(OR(AH!$U$4=0,764+1&gt;AH!$U$6,AND(AH!$M$5="Bloomberg",AH!$U$5=0)),"",IFERROR(IF(AND(AH!$U$12=1,764+1=AH!$U$6),TODAY(),IF(AH!$U$5=1,INDEX('Live History'!$A$5:$A$3004,AH!$U$7+764),INDEX('AH History'!$A$5:$A$1380,AH!$U$7+764))),""))</f>
        <v/>
      </c>
      <c r="B769" s="33">
        <f>IFERROR(IF(AH!$U$11=1,NA(),$J769/$E769-1),NA())</f>
        <v/>
      </c>
      <c r="C769" s="269">
        <f>IFERROR(100*$E769/$E$5,NA())</f>
        <v/>
      </c>
      <c r="D769" s="269">
        <f>IFERROR(100*$J769/$J$5,NA())</f>
        <v/>
      </c>
      <c r="E769" s="32">
        <f>IFERROR(IF(AND(ISNUMBER($A769),N(IF(AND(AH!$U$12=1,764+1=AH!$U$6),IF(AH!$U$4=0,"unavailable",INDEX('Market Data'!$AN$5:$AN$66,AH!$U$4)),IF(AH!$U$5=1,INDEX('Live History'!$B$5:$B$3004,$K769),INDEX('AH History'!$D$5:$GG$1380,$K769,AH!$U$10))))&gt;0),IF(AND(AH!$U$12=1,764+1=AH!$U$6),IF(AH!$U$4=0,"unavailable",INDEX('Market Data'!$AN$5:$AN$66,AH!$U$4)),IF(AH!$U$5=1,INDEX('Live History'!$B$5:$B$3004,$K769),INDEX('AH History'!$D$5:$GG$1380,$K769,AH!$U$10))),NA()),NA())</f>
        <v/>
      </c>
      <c r="F769" s="32">
        <f>IFERROR(IF(ISNUMBER($A769),IF(AND(AH!$U$12=1,764+1=AH!$U$6),IF(AH!$U$4=0,"unavailable",INDEX('Market Data'!$AO$5:$AO$66,AH!$U$4)),IF(AH!$U$5=1,INDEX('Live History'!$E$5:$E$3004,MATCH($A769,'Live History'!$D$5:$D$3004,1)),INDEX('AH History'!$D$5:$GG$1380,$K769,AH!$U$10+1))),NA()),NA())</f>
        <v/>
      </c>
      <c r="G769" s="34">
        <f>IFERROR(IF(ISNUMBER($A769),IF(AND(AH!$U$12=1,764+1=AH!$U$6),IF(AH!$U$4=0,"unavailable",INDEX('Market Data'!$AK$5:$AK$66,AH!$U$4)),IF(AH!$U$5=1,INDEX('Live History'!$D$5:$D$3004,MATCH($A769,'Live History'!$D$5:$D$3004,1)),INDEX('AH History'!$D$5:$GG$1380,$K769,AH!$U$10+2))),NA()),NA())</f>
        <v/>
      </c>
      <c r="H769" s="266">
        <f>IFERROR(IF(ISNUMBER($A769),IF(AND(AH!$U$12=1,764+1=AH!$U$6),IF(AH!$U$4=0,"unavailable",INDEX('Market Data'!$AP$5:$AP$66,AH!$U$4)),IF(AH!$U$5=1,INDEX('Live History'!$H$5:$H$3004,MATCH($A769,'Live History'!$G$5:$G$3004,1)),INDEX('AH History'!$B$5:$B$1380,$K769))),NA()),NA())</f>
        <v/>
      </c>
      <c r="I769" s="34">
        <f>IFERROR(IF(ISNUMBER($A769),IF(AND(AH!$U$12=1,764+1=AH!$U$6),TODAY(),IF(AH!$U$5=1,INDEX('Live History'!$G$5:$G$3004,MATCH($A769,'Live History'!$G$5:$G$3004,1)),INDEX('AH History'!$C$5:$C$1380,$K769))),NA()),NA())</f>
        <v/>
      </c>
      <c r="J769" s="32">
        <f>IFERROR(IF(AND($F769&gt;0,$H769&gt;0,$A769-$G769&lt;=10,$A769-$I769&lt;=5,$G769&gt;0,$I769&gt;0),$F769*$H769,NA()),NA())</f>
        <v/>
      </c>
      <c r="K769" s="15">
        <f>IF($A769="","",IF(AH!$U$5=1,IFERROR(MATCH($A769,'Live History'!$A$5:$A$3004,0),0),AH!$U$7+764))</f>
        <v/>
      </c>
      <c r="L769" s="15">
        <f>IF(ISNUMBER(A769),TEXT(A769,"dd-mmm-yy"),"")</f>
        <v/>
      </c>
    </row>
    <row r="770">
      <c r="A770" s="14">
        <f>IF(OR(AH!$U$4=0,765+1&gt;AH!$U$6,AND(AH!$M$5="Bloomberg",AH!$U$5=0)),"",IFERROR(IF(AND(AH!$U$12=1,765+1=AH!$U$6),TODAY(),IF(AH!$U$5=1,INDEX('Live History'!$A$5:$A$3004,AH!$U$7+765),INDEX('AH History'!$A$5:$A$1380,AH!$U$7+765))),""))</f>
        <v/>
      </c>
      <c r="B770" s="33">
        <f>IFERROR(IF(AH!$U$11=1,NA(),$J770/$E770-1),NA())</f>
        <v/>
      </c>
      <c r="C770" s="269">
        <f>IFERROR(100*$E770/$E$5,NA())</f>
        <v/>
      </c>
      <c r="D770" s="269">
        <f>IFERROR(100*$J770/$J$5,NA())</f>
        <v/>
      </c>
      <c r="E770" s="32">
        <f>IFERROR(IF(AND(ISNUMBER($A770),N(IF(AND(AH!$U$12=1,765+1=AH!$U$6),IF(AH!$U$4=0,"unavailable",INDEX('Market Data'!$AN$5:$AN$66,AH!$U$4)),IF(AH!$U$5=1,INDEX('Live History'!$B$5:$B$3004,$K770),INDEX('AH History'!$D$5:$GG$1380,$K770,AH!$U$10))))&gt;0),IF(AND(AH!$U$12=1,765+1=AH!$U$6),IF(AH!$U$4=0,"unavailable",INDEX('Market Data'!$AN$5:$AN$66,AH!$U$4)),IF(AH!$U$5=1,INDEX('Live History'!$B$5:$B$3004,$K770),INDEX('AH History'!$D$5:$GG$1380,$K770,AH!$U$10))),NA()),NA())</f>
        <v/>
      </c>
      <c r="F770" s="32">
        <f>IFERROR(IF(ISNUMBER($A770),IF(AND(AH!$U$12=1,765+1=AH!$U$6),IF(AH!$U$4=0,"unavailable",INDEX('Market Data'!$AO$5:$AO$66,AH!$U$4)),IF(AH!$U$5=1,INDEX('Live History'!$E$5:$E$3004,MATCH($A770,'Live History'!$D$5:$D$3004,1)),INDEX('AH History'!$D$5:$GG$1380,$K770,AH!$U$10+1))),NA()),NA())</f>
        <v/>
      </c>
      <c r="G770" s="34">
        <f>IFERROR(IF(ISNUMBER($A770),IF(AND(AH!$U$12=1,765+1=AH!$U$6),IF(AH!$U$4=0,"unavailable",INDEX('Market Data'!$AK$5:$AK$66,AH!$U$4)),IF(AH!$U$5=1,INDEX('Live History'!$D$5:$D$3004,MATCH($A770,'Live History'!$D$5:$D$3004,1)),INDEX('AH History'!$D$5:$GG$1380,$K770,AH!$U$10+2))),NA()),NA())</f>
        <v/>
      </c>
      <c r="H770" s="266">
        <f>IFERROR(IF(ISNUMBER($A770),IF(AND(AH!$U$12=1,765+1=AH!$U$6),IF(AH!$U$4=0,"unavailable",INDEX('Market Data'!$AP$5:$AP$66,AH!$U$4)),IF(AH!$U$5=1,INDEX('Live History'!$H$5:$H$3004,MATCH($A770,'Live History'!$G$5:$G$3004,1)),INDEX('AH History'!$B$5:$B$1380,$K770))),NA()),NA())</f>
        <v/>
      </c>
      <c r="I770" s="34">
        <f>IFERROR(IF(ISNUMBER($A770),IF(AND(AH!$U$12=1,765+1=AH!$U$6),TODAY(),IF(AH!$U$5=1,INDEX('Live History'!$G$5:$G$3004,MATCH($A770,'Live History'!$G$5:$G$3004,1)),INDEX('AH History'!$C$5:$C$1380,$K770))),NA()),NA())</f>
        <v/>
      </c>
      <c r="J770" s="32">
        <f>IFERROR(IF(AND($F770&gt;0,$H770&gt;0,$A770-$G770&lt;=10,$A770-$I770&lt;=5,$G770&gt;0,$I770&gt;0),$F770*$H770,NA()),NA())</f>
        <v/>
      </c>
      <c r="K770" s="15">
        <f>IF($A770="","",IF(AH!$U$5=1,IFERROR(MATCH($A770,'Live History'!$A$5:$A$3004,0),0),AH!$U$7+765))</f>
        <v/>
      </c>
      <c r="L770" s="15">
        <f>IF(ISNUMBER(A770),TEXT(A770,"dd-mmm-yy"),"")</f>
        <v/>
      </c>
    </row>
    <row r="771">
      <c r="A771" s="14">
        <f>IF(OR(AH!$U$4=0,766+1&gt;AH!$U$6,AND(AH!$M$5="Bloomberg",AH!$U$5=0)),"",IFERROR(IF(AND(AH!$U$12=1,766+1=AH!$U$6),TODAY(),IF(AH!$U$5=1,INDEX('Live History'!$A$5:$A$3004,AH!$U$7+766),INDEX('AH History'!$A$5:$A$1380,AH!$U$7+766))),""))</f>
        <v/>
      </c>
      <c r="B771" s="33">
        <f>IFERROR(IF(AH!$U$11=1,NA(),$J771/$E771-1),NA())</f>
        <v/>
      </c>
      <c r="C771" s="269">
        <f>IFERROR(100*$E771/$E$5,NA())</f>
        <v/>
      </c>
      <c r="D771" s="269">
        <f>IFERROR(100*$J771/$J$5,NA())</f>
        <v/>
      </c>
      <c r="E771" s="32">
        <f>IFERROR(IF(AND(ISNUMBER($A771),N(IF(AND(AH!$U$12=1,766+1=AH!$U$6),IF(AH!$U$4=0,"unavailable",INDEX('Market Data'!$AN$5:$AN$66,AH!$U$4)),IF(AH!$U$5=1,INDEX('Live History'!$B$5:$B$3004,$K771),INDEX('AH History'!$D$5:$GG$1380,$K771,AH!$U$10))))&gt;0),IF(AND(AH!$U$12=1,766+1=AH!$U$6),IF(AH!$U$4=0,"unavailable",INDEX('Market Data'!$AN$5:$AN$66,AH!$U$4)),IF(AH!$U$5=1,INDEX('Live History'!$B$5:$B$3004,$K771),INDEX('AH History'!$D$5:$GG$1380,$K771,AH!$U$10))),NA()),NA())</f>
        <v/>
      </c>
      <c r="F771" s="32">
        <f>IFERROR(IF(ISNUMBER($A771),IF(AND(AH!$U$12=1,766+1=AH!$U$6),IF(AH!$U$4=0,"unavailable",INDEX('Market Data'!$AO$5:$AO$66,AH!$U$4)),IF(AH!$U$5=1,INDEX('Live History'!$E$5:$E$3004,MATCH($A771,'Live History'!$D$5:$D$3004,1)),INDEX('AH History'!$D$5:$GG$1380,$K771,AH!$U$10+1))),NA()),NA())</f>
        <v/>
      </c>
      <c r="G771" s="34">
        <f>IFERROR(IF(ISNUMBER($A771),IF(AND(AH!$U$12=1,766+1=AH!$U$6),IF(AH!$U$4=0,"unavailable",INDEX('Market Data'!$AK$5:$AK$66,AH!$U$4)),IF(AH!$U$5=1,INDEX('Live History'!$D$5:$D$3004,MATCH($A771,'Live History'!$D$5:$D$3004,1)),INDEX('AH History'!$D$5:$GG$1380,$K771,AH!$U$10+2))),NA()),NA())</f>
        <v/>
      </c>
      <c r="H771" s="266">
        <f>IFERROR(IF(ISNUMBER($A771),IF(AND(AH!$U$12=1,766+1=AH!$U$6),IF(AH!$U$4=0,"unavailable",INDEX('Market Data'!$AP$5:$AP$66,AH!$U$4)),IF(AH!$U$5=1,INDEX('Live History'!$H$5:$H$3004,MATCH($A771,'Live History'!$G$5:$G$3004,1)),INDEX('AH History'!$B$5:$B$1380,$K771))),NA()),NA())</f>
        <v/>
      </c>
      <c r="I771" s="34">
        <f>IFERROR(IF(ISNUMBER($A771),IF(AND(AH!$U$12=1,766+1=AH!$U$6),TODAY(),IF(AH!$U$5=1,INDEX('Live History'!$G$5:$G$3004,MATCH($A771,'Live History'!$G$5:$G$3004,1)),INDEX('AH History'!$C$5:$C$1380,$K771))),NA()),NA())</f>
        <v/>
      </c>
      <c r="J771" s="32">
        <f>IFERROR(IF(AND($F771&gt;0,$H771&gt;0,$A771-$G771&lt;=10,$A771-$I771&lt;=5,$G771&gt;0,$I771&gt;0),$F771*$H771,NA()),NA())</f>
        <v/>
      </c>
      <c r="K771" s="15">
        <f>IF($A771="","",IF(AH!$U$5=1,IFERROR(MATCH($A771,'Live History'!$A$5:$A$3004,0),0),AH!$U$7+766))</f>
        <v/>
      </c>
      <c r="L771" s="15">
        <f>IF(ISNUMBER(A771),TEXT(A771,"dd-mmm-yy"),"")</f>
        <v/>
      </c>
    </row>
    <row r="772">
      <c r="A772" s="14">
        <f>IF(OR(AH!$U$4=0,767+1&gt;AH!$U$6,AND(AH!$M$5="Bloomberg",AH!$U$5=0)),"",IFERROR(IF(AND(AH!$U$12=1,767+1=AH!$U$6),TODAY(),IF(AH!$U$5=1,INDEX('Live History'!$A$5:$A$3004,AH!$U$7+767),INDEX('AH History'!$A$5:$A$1380,AH!$U$7+767))),""))</f>
        <v/>
      </c>
      <c r="B772" s="33">
        <f>IFERROR(IF(AH!$U$11=1,NA(),$J772/$E772-1),NA())</f>
        <v/>
      </c>
      <c r="C772" s="269">
        <f>IFERROR(100*$E772/$E$5,NA())</f>
        <v/>
      </c>
      <c r="D772" s="269">
        <f>IFERROR(100*$J772/$J$5,NA())</f>
        <v/>
      </c>
      <c r="E772" s="32">
        <f>IFERROR(IF(AND(ISNUMBER($A772),N(IF(AND(AH!$U$12=1,767+1=AH!$U$6),IF(AH!$U$4=0,"unavailable",INDEX('Market Data'!$AN$5:$AN$66,AH!$U$4)),IF(AH!$U$5=1,INDEX('Live History'!$B$5:$B$3004,$K772),INDEX('AH History'!$D$5:$GG$1380,$K772,AH!$U$10))))&gt;0),IF(AND(AH!$U$12=1,767+1=AH!$U$6),IF(AH!$U$4=0,"unavailable",INDEX('Market Data'!$AN$5:$AN$66,AH!$U$4)),IF(AH!$U$5=1,INDEX('Live History'!$B$5:$B$3004,$K772),INDEX('AH History'!$D$5:$GG$1380,$K772,AH!$U$10))),NA()),NA())</f>
        <v/>
      </c>
      <c r="F772" s="32">
        <f>IFERROR(IF(ISNUMBER($A772),IF(AND(AH!$U$12=1,767+1=AH!$U$6),IF(AH!$U$4=0,"unavailable",INDEX('Market Data'!$AO$5:$AO$66,AH!$U$4)),IF(AH!$U$5=1,INDEX('Live History'!$E$5:$E$3004,MATCH($A772,'Live History'!$D$5:$D$3004,1)),INDEX('AH History'!$D$5:$GG$1380,$K772,AH!$U$10+1))),NA()),NA())</f>
        <v/>
      </c>
      <c r="G772" s="34">
        <f>IFERROR(IF(ISNUMBER($A772),IF(AND(AH!$U$12=1,767+1=AH!$U$6),IF(AH!$U$4=0,"unavailable",INDEX('Market Data'!$AK$5:$AK$66,AH!$U$4)),IF(AH!$U$5=1,INDEX('Live History'!$D$5:$D$3004,MATCH($A772,'Live History'!$D$5:$D$3004,1)),INDEX('AH History'!$D$5:$GG$1380,$K772,AH!$U$10+2))),NA()),NA())</f>
        <v/>
      </c>
      <c r="H772" s="266">
        <f>IFERROR(IF(ISNUMBER($A772),IF(AND(AH!$U$12=1,767+1=AH!$U$6),IF(AH!$U$4=0,"unavailable",INDEX('Market Data'!$AP$5:$AP$66,AH!$U$4)),IF(AH!$U$5=1,INDEX('Live History'!$H$5:$H$3004,MATCH($A772,'Live History'!$G$5:$G$3004,1)),INDEX('AH History'!$B$5:$B$1380,$K772))),NA()),NA())</f>
        <v/>
      </c>
      <c r="I772" s="34">
        <f>IFERROR(IF(ISNUMBER($A772),IF(AND(AH!$U$12=1,767+1=AH!$U$6),TODAY(),IF(AH!$U$5=1,INDEX('Live History'!$G$5:$G$3004,MATCH($A772,'Live History'!$G$5:$G$3004,1)),INDEX('AH History'!$C$5:$C$1380,$K772))),NA()),NA())</f>
        <v/>
      </c>
      <c r="J772" s="32">
        <f>IFERROR(IF(AND($F772&gt;0,$H772&gt;0,$A772-$G772&lt;=10,$A772-$I772&lt;=5,$G772&gt;0,$I772&gt;0),$F772*$H772,NA()),NA())</f>
        <v/>
      </c>
      <c r="K772" s="15">
        <f>IF($A772="","",IF(AH!$U$5=1,IFERROR(MATCH($A772,'Live History'!$A$5:$A$3004,0),0),AH!$U$7+767))</f>
        <v/>
      </c>
      <c r="L772" s="15">
        <f>IF(ISNUMBER(A772),TEXT(A772,"dd-mmm-yy"),"")</f>
        <v/>
      </c>
    </row>
    <row r="773">
      <c r="A773" s="14">
        <f>IF(OR(AH!$U$4=0,768+1&gt;AH!$U$6,AND(AH!$M$5="Bloomberg",AH!$U$5=0)),"",IFERROR(IF(AND(AH!$U$12=1,768+1=AH!$U$6),TODAY(),IF(AH!$U$5=1,INDEX('Live History'!$A$5:$A$3004,AH!$U$7+768),INDEX('AH History'!$A$5:$A$1380,AH!$U$7+768))),""))</f>
        <v/>
      </c>
      <c r="B773" s="33">
        <f>IFERROR(IF(AH!$U$11=1,NA(),$J773/$E773-1),NA())</f>
        <v/>
      </c>
      <c r="C773" s="269">
        <f>IFERROR(100*$E773/$E$5,NA())</f>
        <v/>
      </c>
      <c r="D773" s="269">
        <f>IFERROR(100*$J773/$J$5,NA())</f>
        <v/>
      </c>
      <c r="E773" s="32">
        <f>IFERROR(IF(AND(ISNUMBER($A773),N(IF(AND(AH!$U$12=1,768+1=AH!$U$6),IF(AH!$U$4=0,"unavailable",INDEX('Market Data'!$AN$5:$AN$66,AH!$U$4)),IF(AH!$U$5=1,INDEX('Live History'!$B$5:$B$3004,$K773),INDEX('AH History'!$D$5:$GG$1380,$K773,AH!$U$10))))&gt;0),IF(AND(AH!$U$12=1,768+1=AH!$U$6),IF(AH!$U$4=0,"unavailable",INDEX('Market Data'!$AN$5:$AN$66,AH!$U$4)),IF(AH!$U$5=1,INDEX('Live History'!$B$5:$B$3004,$K773),INDEX('AH History'!$D$5:$GG$1380,$K773,AH!$U$10))),NA()),NA())</f>
        <v/>
      </c>
      <c r="F773" s="32">
        <f>IFERROR(IF(ISNUMBER($A773),IF(AND(AH!$U$12=1,768+1=AH!$U$6),IF(AH!$U$4=0,"unavailable",INDEX('Market Data'!$AO$5:$AO$66,AH!$U$4)),IF(AH!$U$5=1,INDEX('Live History'!$E$5:$E$3004,MATCH($A773,'Live History'!$D$5:$D$3004,1)),INDEX('AH History'!$D$5:$GG$1380,$K773,AH!$U$10+1))),NA()),NA())</f>
        <v/>
      </c>
      <c r="G773" s="34">
        <f>IFERROR(IF(ISNUMBER($A773),IF(AND(AH!$U$12=1,768+1=AH!$U$6),IF(AH!$U$4=0,"unavailable",INDEX('Market Data'!$AK$5:$AK$66,AH!$U$4)),IF(AH!$U$5=1,INDEX('Live History'!$D$5:$D$3004,MATCH($A773,'Live History'!$D$5:$D$3004,1)),INDEX('AH History'!$D$5:$GG$1380,$K773,AH!$U$10+2))),NA()),NA())</f>
        <v/>
      </c>
      <c r="H773" s="266">
        <f>IFERROR(IF(ISNUMBER($A773),IF(AND(AH!$U$12=1,768+1=AH!$U$6),IF(AH!$U$4=0,"unavailable",INDEX('Market Data'!$AP$5:$AP$66,AH!$U$4)),IF(AH!$U$5=1,INDEX('Live History'!$H$5:$H$3004,MATCH($A773,'Live History'!$G$5:$G$3004,1)),INDEX('AH History'!$B$5:$B$1380,$K773))),NA()),NA())</f>
        <v/>
      </c>
      <c r="I773" s="34">
        <f>IFERROR(IF(ISNUMBER($A773),IF(AND(AH!$U$12=1,768+1=AH!$U$6),TODAY(),IF(AH!$U$5=1,INDEX('Live History'!$G$5:$G$3004,MATCH($A773,'Live History'!$G$5:$G$3004,1)),INDEX('AH History'!$C$5:$C$1380,$K773))),NA()),NA())</f>
        <v/>
      </c>
      <c r="J773" s="32">
        <f>IFERROR(IF(AND($F773&gt;0,$H773&gt;0,$A773-$G773&lt;=10,$A773-$I773&lt;=5,$G773&gt;0,$I773&gt;0),$F773*$H773,NA()),NA())</f>
        <v/>
      </c>
      <c r="K773" s="15">
        <f>IF($A773="","",IF(AH!$U$5=1,IFERROR(MATCH($A773,'Live History'!$A$5:$A$3004,0),0),AH!$U$7+768))</f>
        <v/>
      </c>
      <c r="L773" s="15">
        <f>IF(ISNUMBER(A773),TEXT(A773,"dd-mmm-yy"),"")</f>
        <v/>
      </c>
    </row>
    <row r="774">
      <c r="A774" s="14">
        <f>IF(OR(AH!$U$4=0,769+1&gt;AH!$U$6,AND(AH!$M$5="Bloomberg",AH!$U$5=0)),"",IFERROR(IF(AND(AH!$U$12=1,769+1=AH!$U$6),TODAY(),IF(AH!$U$5=1,INDEX('Live History'!$A$5:$A$3004,AH!$U$7+769),INDEX('AH History'!$A$5:$A$1380,AH!$U$7+769))),""))</f>
        <v/>
      </c>
      <c r="B774" s="33">
        <f>IFERROR(IF(AH!$U$11=1,NA(),$J774/$E774-1),NA())</f>
        <v/>
      </c>
      <c r="C774" s="269">
        <f>IFERROR(100*$E774/$E$5,NA())</f>
        <v/>
      </c>
      <c r="D774" s="269">
        <f>IFERROR(100*$J774/$J$5,NA())</f>
        <v/>
      </c>
      <c r="E774" s="32">
        <f>IFERROR(IF(AND(ISNUMBER($A774),N(IF(AND(AH!$U$12=1,769+1=AH!$U$6),IF(AH!$U$4=0,"unavailable",INDEX('Market Data'!$AN$5:$AN$66,AH!$U$4)),IF(AH!$U$5=1,INDEX('Live History'!$B$5:$B$3004,$K774),INDEX('AH History'!$D$5:$GG$1380,$K774,AH!$U$10))))&gt;0),IF(AND(AH!$U$12=1,769+1=AH!$U$6),IF(AH!$U$4=0,"unavailable",INDEX('Market Data'!$AN$5:$AN$66,AH!$U$4)),IF(AH!$U$5=1,INDEX('Live History'!$B$5:$B$3004,$K774),INDEX('AH History'!$D$5:$GG$1380,$K774,AH!$U$10))),NA()),NA())</f>
        <v/>
      </c>
      <c r="F774" s="32">
        <f>IFERROR(IF(ISNUMBER($A774),IF(AND(AH!$U$12=1,769+1=AH!$U$6),IF(AH!$U$4=0,"unavailable",INDEX('Market Data'!$AO$5:$AO$66,AH!$U$4)),IF(AH!$U$5=1,INDEX('Live History'!$E$5:$E$3004,MATCH($A774,'Live History'!$D$5:$D$3004,1)),INDEX('AH History'!$D$5:$GG$1380,$K774,AH!$U$10+1))),NA()),NA())</f>
        <v/>
      </c>
      <c r="G774" s="34">
        <f>IFERROR(IF(ISNUMBER($A774),IF(AND(AH!$U$12=1,769+1=AH!$U$6),IF(AH!$U$4=0,"unavailable",INDEX('Market Data'!$AK$5:$AK$66,AH!$U$4)),IF(AH!$U$5=1,INDEX('Live History'!$D$5:$D$3004,MATCH($A774,'Live History'!$D$5:$D$3004,1)),INDEX('AH History'!$D$5:$GG$1380,$K774,AH!$U$10+2))),NA()),NA())</f>
        <v/>
      </c>
      <c r="H774" s="266">
        <f>IFERROR(IF(ISNUMBER($A774),IF(AND(AH!$U$12=1,769+1=AH!$U$6),IF(AH!$U$4=0,"unavailable",INDEX('Market Data'!$AP$5:$AP$66,AH!$U$4)),IF(AH!$U$5=1,INDEX('Live History'!$H$5:$H$3004,MATCH($A774,'Live History'!$G$5:$G$3004,1)),INDEX('AH History'!$B$5:$B$1380,$K774))),NA()),NA())</f>
        <v/>
      </c>
      <c r="I774" s="34">
        <f>IFERROR(IF(ISNUMBER($A774),IF(AND(AH!$U$12=1,769+1=AH!$U$6),TODAY(),IF(AH!$U$5=1,INDEX('Live History'!$G$5:$G$3004,MATCH($A774,'Live History'!$G$5:$G$3004,1)),INDEX('AH History'!$C$5:$C$1380,$K774))),NA()),NA())</f>
        <v/>
      </c>
      <c r="J774" s="32">
        <f>IFERROR(IF(AND($F774&gt;0,$H774&gt;0,$A774-$G774&lt;=10,$A774-$I774&lt;=5,$G774&gt;0,$I774&gt;0),$F774*$H774,NA()),NA())</f>
        <v/>
      </c>
      <c r="K774" s="15">
        <f>IF($A774="","",IF(AH!$U$5=1,IFERROR(MATCH($A774,'Live History'!$A$5:$A$3004,0),0),AH!$U$7+769))</f>
        <v/>
      </c>
      <c r="L774" s="15">
        <f>IF(ISNUMBER(A774),TEXT(A774,"dd-mmm-yy"),"")</f>
        <v/>
      </c>
    </row>
    <row r="775">
      <c r="A775" s="14">
        <f>IF(OR(AH!$U$4=0,770+1&gt;AH!$U$6,AND(AH!$M$5="Bloomberg",AH!$U$5=0)),"",IFERROR(IF(AND(AH!$U$12=1,770+1=AH!$U$6),TODAY(),IF(AH!$U$5=1,INDEX('Live History'!$A$5:$A$3004,AH!$U$7+770),INDEX('AH History'!$A$5:$A$1380,AH!$U$7+770))),""))</f>
        <v/>
      </c>
      <c r="B775" s="33">
        <f>IFERROR(IF(AH!$U$11=1,NA(),$J775/$E775-1),NA())</f>
        <v/>
      </c>
      <c r="C775" s="269">
        <f>IFERROR(100*$E775/$E$5,NA())</f>
        <v/>
      </c>
      <c r="D775" s="269">
        <f>IFERROR(100*$J775/$J$5,NA())</f>
        <v/>
      </c>
      <c r="E775" s="32">
        <f>IFERROR(IF(AND(ISNUMBER($A775),N(IF(AND(AH!$U$12=1,770+1=AH!$U$6),IF(AH!$U$4=0,"unavailable",INDEX('Market Data'!$AN$5:$AN$66,AH!$U$4)),IF(AH!$U$5=1,INDEX('Live History'!$B$5:$B$3004,$K775),INDEX('AH History'!$D$5:$GG$1380,$K775,AH!$U$10))))&gt;0),IF(AND(AH!$U$12=1,770+1=AH!$U$6),IF(AH!$U$4=0,"unavailable",INDEX('Market Data'!$AN$5:$AN$66,AH!$U$4)),IF(AH!$U$5=1,INDEX('Live History'!$B$5:$B$3004,$K775),INDEX('AH History'!$D$5:$GG$1380,$K775,AH!$U$10))),NA()),NA())</f>
        <v/>
      </c>
      <c r="F775" s="32">
        <f>IFERROR(IF(ISNUMBER($A775),IF(AND(AH!$U$12=1,770+1=AH!$U$6),IF(AH!$U$4=0,"unavailable",INDEX('Market Data'!$AO$5:$AO$66,AH!$U$4)),IF(AH!$U$5=1,INDEX('Live History'!$E$5:$E$3004,MATCH($A775,'Live History'!$D$5:$D$3004,1)),INDEX('AH History'!$D$5:$GG$1380,$K775,AH!$U$10+1))),NA()),NA())</f>
        <v/>
      </c>
      <c r="G775" s="34">
        <f>IFERROR(IF(ISNUMBER($A775),IF(AND(AH!$U$12=1,770+1=AH!$U$6),IF(AH!$U$4=0,"unavailable",INDEX('Market Data'!$AK$5:$AK$66,AH!$U$4)),IF(AH!$U$5=1,INDEX('Live History'!$D$5:$D$3004,MATCH($A775,'Live History'!$D$5:$D$3004,1)),INDEX('AH History'!$D$5:$GG$1380,$K775,AH!$U$10+2))),NA()),NA())</f>
        <v/>
      </c>
      <c r="H775" s="266">
        <f>IFERROR(IF(ISNUMBER($A775),IF(AND(AH!$U$12=1,770+1=AH!$U$6),IF(AH!$U$4=0,"unavailable",INDEX('Market Data'!$AP$5:$AP$66,AH!$U$4)),IF(AH!$U$5=1,INDEX('Live History'!$H$5:$H$3004,MATCH($A775,'Live History'!$G$5:$G$3004,1)),INDEX('AH History'!$B$5:$B$1380,$K775))),NA()),NA())</f>
        <v/>
      </c>
      <c r="I775" s="34">
        <f>IFERROR(IF(ISNUMBER($A775),IF(AND(AH!$U$12=1,770+1=AH!$U$6),TODAY(),IF(AH!$U$5=1,INDEX('Live History'!$G$5:$G$3004,MATCH($A775,'Live History'!$G$5:$G$3004,1)),INDEX('AH History'!$C$5:$C$1380,$K775))),NA()),NA())</f>
        <v/>
      </c>
      <c r="J775" s="32">
        <f>IFERROR(IF(AND($F775&gt;0,$H775&gt;0,$A775-$G775&lt;=10,$A775-$I775&lt;=5,$G775&gt;0,$I775&gt;0),$F775*$H775,NA()),NA())</f>
        <v/>
      </c>
      <c r="K775" s="15">
        <f>IF($A775="","",IF(AH!$U$5=1,IFERROR(MATCH($A775,'Live History'!$A$5:$A$3004,0),0),AH!$U$7+770))</f>
        <v/>
      </c>
      <c r="L775" s="15">
        <f>IF(ISNUMBER(A775),TEXT(A775,"dd-mmm-yy"),"")</f>
        <v/>
      </c>
    </row>
    <row r="776">
      <c r="A776" s="14">
        <f>IF(OR(AH!$U$4=0,771+1&gt;AH!$U$6,AND(AH!$M$5="Bloomberg",AH!$U$5=0)),"",IFERROR(IF(AND(AH!$U$12=1,771+1=AH!$U$6),TODAY(),IF(AH!$U$5=1,INDEX('Live History'!$A$5:$A$3004,AH!$U$7+771),INDEX('AH History'!$A$5:$A$1380,AH!$U$7+771))),""))</f>
        <v/>
      </c>
      <c r="B776" s="33">
        <f>IFERROR(IF(AH!$U$11=1,NA(),$J776/$E776-1),NA())</f>
        <v/>
      </c>
      <c r="C776" s="269">
        <f>IFERROR(100*$E776/$E$5,NA())</f>
        <v/>
      </c>
      <c r="D776" s="269">
        <f>IFERROR(100*$J776/$J$5,NA())</f>
        <v/>
      </c>
      <c r="E776" s="32">
        <f>IFERROR(IF(AND(ISNUMBER($A776),N(IF(AND(AH!$U$12=1,771+1=AH!$U$6),IF(AH!$U$4=0,"unavailable",INDEX('Market Data'!$AN$5:$AN$66,AH!$U$4)),IF(AH!$U$5=1,INDEX('Live History'!$B$5:$B$3004,$K776),INDEX('AH History'!$D$5:$GG$1380,$K776,AH!$U$10))))&gt;0),IF(AND(AH!$U$12=1,771+1=AH!$U$6),IF(AH!$U$4=0,"unavailable",INDEX('Market Data'!$AN$5:$AN$66,AH!$U$4)),IF(AH!$U$5=1,INDEX('Live History'!$B$5:$B$3004,$K776),INDEX('AH History'!$D$5:$GG$1380,$K776,AH!$U$10))),NA()),NA())</f>
        <v/>
      </c>
      <c r="F776" s="32">
        <f>IFERROR(IF(ISNUMBER($A776),IF(AND(AH!$U$12=1,771+1=AH!$U$6),IF(AH!$U$4=0,"unavailable",INDEX('Market Data'!$AO$5:$AO$66,AH!$U$4)),IF(AH!$U$5=1,INDEX('Live History'!$E$5:$E$3004,MATCH($A776,'Live History'!$D$5:$D$3004,1)),INDEX('AH History'!$D$5:$GG$1380,$K776,AH!$U$10+1))),NA()),NA())</f>
        <v/>
      </c>
      <c r="G776" s="34">
        <f>IFERROR(IF(ISNUMBER($A776),IF(AND(AH!$U$12=1,771+1=AH!$U$6),IF(AH!$U$4=0,"unavailable",INDEX('Market Data'!$AK$5:$AK$66,AH!$U$4)),IF(AH!$U$5=1,INDEX('Live History'!$D$5:$D$3004,MATCH($A776,'Live History'!$D$5:$D$3004,1)),INDEX('AH History'!$D$5:$GG$1380,$K776,AH!$U$10+2))),NA()),NA())</f>
        <v/>
      </c>
      <c r="H776" s="266">
        <f>IFERROR(IF(ISNUMBER($A776),IF(AND(AH!$U$12=1,771+1=AH!$U$6),IF(AH!$U$4=0,"unavailable",INDEX('Market Data'!$AP$5:$AP$66,AH!$U$4)),IF(AH!$U$5=1,INDEX('Live History'!$H$5:$H$3004,MATCH($A776,'Live History'!$G$5:$G$3004,1)),INDEX('AH History'!$B$5:$B$1380,$K776))),NA()),NA())</f>
        <v/>
      </c>
      <c r="I776" s="34">
        <f>IFERROR(IF(ISNUMBER($A776),IF(AND(AH!$U$12=1,771+1=AH!$U$6),TODAY(),IF(AH!$U$5=1,INDEX('Live History'!$G$5:$G$3004,MATCH($A776,'Live History'!$G$5:$G$3004,1)),INDEX('AH History'!$C$5:$C$1380,$K776))),NA()),NA())</f>
        <v/>
      </c>
      <c r="J776" s="32">
        <f>IFERROR(IF(AND($F776&gt;0,$H776&gt;0,$A776-$G776&lt;=10,$A776-$I776&lt;=5,$G776&gt;0,$I776&gt;0),$F776*$H776,NA()),NA())</f>
        <v/>
      </c>
      <c r="K776" s="15">
        <f>IF($A776="","",IF(AH!$U$5=1,IFERROR(MATCH($A776,'Live History'!$A$5:$A$3004,0),0),AH!$U$7+771))</f>
        <v/>
      </c>
      <c r="L776" s="15">
        <f>IF(ISNUMBER(A776),TEXT(A776,"dd-mmm-yy"),"")</f>
        <v/>
      </c>
    </row>
    <row r="777">
      <c r="A777" s="14">
        <f>IF(OR(AH!$U$4=0,772+1&gt;AH!$U$6,AND(AH!$M$5="Bloomberg",AH!$U$5=0)),"",IFERROR(IF(AND(AH!$U$12=1,772+1=AH!$U$6),TODAY(),IF(AH!$U$5=1,INDEX('Live History'!$A$5:$A$3004,AH!$U$7+772),INDEX('AH History'!$A$5:$A$1380,AH!$U$7+772))),""))</f>
        <v/>
      </c>
      <c r="B777" s="33">
        <f>IFERROR(IF(AH!$U$11=1,NA(),$J777/$E777-1),NA())</f>
        <v/>
      </c>
      <c r="C777" s="269">
        <f>IFERROR(100*$E777/$E$5,NA())</f>
        <v/>
      </c>
      <c r="D777" s="269">
        <f>IFERROR(100*$J777/$J$5,NA())</f>
        <v/>
      </c>
      <c r="E777" s="32">
        <f>IFERROR(IF(AND(ISNUMBER($A777),N(IF(AND(AH!$U$12=1,772+1=AH!$U$6),IF(AH!$U$4=0,"unavailable",INDEX('Market Data'!$AN$5:$AN$66,AH!$U$4)),IF(AH!$U$5=1,INDEX('Live History'!$B$5:$B$3004,$K777),INDEX('AH History'!$D$5:$GG$1380,$K777,AH!$U$10))))&gt;0),IF(AND(AH!$U$12=1,772+1=AH!$U$6),IF(AH!$U$4=0,"unavailable",INDEX('Market Data'!$AN$5:$AN$66,AH!$U$4)),IF(AH!$U$5=1,INDEX('Live History'!$B$5:$B$3004,$K777),INDEX('AH History'!$D$5:$GG$1380,$K777,AH!$U$10))),NA()),NA())</f>
        <v/>
      </c>
      <c r="F777" s="32">
        <f>IFERROR(IF(ISNUMBER($A777),IF(AND(AH!$U$12=1,772+1=AH!$U$6),IF(AH!$U$4=0,"unavailable",INDEX('Market Data'!$AO$5:$AO$66,AH!$U$4)),IF(AH!$U$5=1,INDEX('Live History'!$E$5:$E$3004,MATCH($A777,'Live History'!$D$5:$D$3004,1)),INDEX('AH History'!$D$5:$GG$1380,$K777,AH!$U$10+1))),NA()),NA())</f>
        <v/>
      </c>
      <c r="G777" s="34">
        <f>IFERROR(IF(ISNUMBER($A777),IF(AND(AH!$U$12=1,772+1=AH!$U$6),IF(AH!$U$4=0,"unavailable",INDEX('Market Data'!$AK$5:$AK$66,AH!$U$4)),IF(AH!$U$5=1,INDEX('Live History'!$D$5:$D$3004,MATCH($A777,'Live History'!$D$5:$D$3004,1)),INDEX('AH History'!$D$5:$GG$1380,$K777,AH!$U$10+2))),NA()),NA())</f>
        <v/>
      </c>
      <c r="H777" s="266">
        <f>IFERROR(IF(ISNUMBER($A777),IF(AND(AH!$U$12=1,772+1=AH!$U$6),IF(AH!$U$4=0,"unavailable",INDEX('Market Data'!$AP$5:$AP$66,AH!$U$4)),IF(AH!$U$5=1,INDEX('Live History'!$H$5:$H$3004,MATCH($A777,'Live History'!$G$5:$G$3004,1)),INDEX('AH History'!$B$5:$B$1380,$K777))),NA()),NA())</f>
        <v/>
      </c>
      <c r="I777" s="34">
        <f>IFERROR(IF(ISNUMBER($A777),IF(AND(AH!$U$12=1,772+1=AH!$U$6),TODAY(),IF(AH!$U$5=1,INDEX('Live History'!$G$5:$G$3004,MATCH($A777,'Live History'!$G$5:$G$3004,1)),INDEX('AH History'!$C$5:$C$1380,$K777))),NA()),NA())</f>
        <v/>
      </c>
      <c r="J777" s="32">
        <f>IFERROR(IF(AND($F777&gt;0,$H777&gt;0,$A777-$G777&lt;=10,$A777-$I777&lt;=5,$G777&gt;0,$I777&gt;0),$F777*$H777,NA()),NA())</f>
        <v/>
      </c>
      <c r="K777" s="15">
        <f>IF($A777="","",IF(AH!$U$5=1,IFERROR(MATCH($A777,'Live History'!$A$5:$A$3004,0),0),AH!$U$7+772))</f>
        <v/>
      </c>
      <c r="L777" s="15">
        <f>IF(ISNUMBER(A777),TEXT(A777,"dd-mmm-yy"),"")</f>
        <v/>
      </c>
    </row>
    <row r="778">
      <c r="A778" s="14">
        <f>IF(OR(AH!$U$4=0,773+1&gt;AH!$U$6,AND(AH!$M$5="Bloomberg",AH!$U$5=0)),"",IFERROR(IF(AND(AH!$U$12=1,773+1=AH!$U$6),TODAY(),IF(AH!$U$5=1,INDEX('Live History'!$A$5:$A$3004,AH!$U$7+773),INDEX('AH History'!$A$5:$A$1380,AH!$U$7+773))),""))</f>
        <v/>
      </c>
      <c r="B778" s="33">
        <f>IFERROR(IF(AH!$U$11=1,NA(),$J778/$E778-1),NA())</f>
        <v/>
      </c>
      <c r="C778" s="269">
        <f>IFERROR(100*$E778/$E$5,NA())</f>
        <v/>
      </c>
      <c r="D778" s="269">
        <f>IFERROR(100*$J778/$J$5,NA())</f>
        <v/>
      </c>
      <c r="E778" s="32">
        <f>IFERROR(IF(AND(ISNUMBER($A778),N(IF(AND(AH!$U$12=1,773+1=AH!$U$6),IF(AH!$U$4=0,"unavailable",INDEX('Market Data'!$AN$5:$AN$66,AH!$U$4)),IF(AH!$U$5=1,INDEX('Live History'!$B$5:$B$3004,$K778),INDEX('AH History'!$D$5:$GG$1380,$K778,AH!$U$10))))&gt;0),IF(AND(AH!$U$12=1,773+1=AH!$U$6),IF(AH!$U$4=0,"unavailable",INDEX('Market Data'!$AN$5:$AN$66,AH!$U$4)),IF(AH!$U$5=1,INDEX('Live History'!$B$5:$B$3004,$K778),INDEX('AH History'!$D$5:$GG$1380,$K778,AH!$U$10))),NA()),NA())</f>
        <v/>
      </c>
      <c r="F778" s="32">
        <f>IFERROR(IF(ISNUMBER($A778),IF(AND(AH!$U$12=1,773+1=AH!$U$6),IF(AH!$U$4=0,"unavailable",INDEX('Market Data'!$AO$5:$AO$66,AH!$U$4)),IF(AH!$U$5=1,INDEX('Live History'!$E$5:$E$3004,MATCH($A778,'Live History'!$D$5:$D$3004,1)),INDEX('AH History'!$D$5:$GG$1380,$K778,AH!$U$10+1))),NA()),NA())</f>
        <v/>
      </c>
      <c r="G778" s="34">
        <f>IFERROR(IF(ISNUMBER($A778),IF(AND(AH!$U$12=1,773+1=AH!$U$6),IF(AH!$U$4=0,"unavailable",INDEX('Market Data'!$AK$5:$AK$66,AH!$U$4)),IF(AH!$U$5=1,INDEX('Live History'!$D$5:$D$3004,MATCH($A778,'Live History'!$D$5:$D$3004,1)),INDEX('AH History'!$D$5:$GG$1380,$K778,AH!$U$10+2))),NA()),NA())</f>
        <v/>
      </c>
      <c r="H778" s="266">
        <f>IFERROR(IF(ISNUMBER($A778),IF(AND(AH!$U$12=1,773+1=AH!$U$6),IF(AH!$U$4=0,"unavailable",INDEX('Market Data'!$AP$5:$AP$66,AH!$U$4)),IF(AH!$U$5=1,INDEX('Live History'!$H$5:$H$3004,MATCH($A778,'Live History'!$G$5:$G$3004,1)),INDEX('AH History'!$B$5:$B$1380,$K778))),NA()),NA())</f>
        <v/>
      </c>
      <c r="I778" s="34">
        <f>IFERROR(IF(ISNUMBER($A778),IF(AND(AH!$U$12=1,773+1=AH!$U$6),TODAY(),IF(AH!$U$5=1,INDEX('Live History'!$G$5:$G$3004,MATCH($A778,'Live History'!$G$5:$G$3004,1)),INDEX('AH History'!$C$5:$C$1380,$K778))),NA()),NA())</f>
        <v/>
      </c>
      <c r="J778" s="32">
        <f>IFERROR(IF(AND($F778&gt;0,$H778&gt;0,$A778-$G778&lt;=10,$A778-$I778&lt;=5,$G778&gt;0,$I778&gt;0),$F778*$H778,NA()),NA())</f>
        <v/>
      </c>
      <c r="K778" s="15">
        <f>IF($A778="","",IF(AH!$U$5=1,IFERROR(MATCH($A778,'Live History'!$A$5:$A$3004,0),0),AH!$U$7+773))</f>
        <v/>
      </c>
      <c r="L778" s="15">
        <f>IF(ISNUMBER(A778),TEXT(A778,"dd-mmm-yy"),"")</f>
        <v/>
      </c>
    </row>
    <row r="779">
      <c r="A779" s="14">
        <f>IF(OR(AH!$U$4=0,774+1&gt;AH!$U$6,AND(AH!$M$5="Bloomberg",AH!$U$5=0)),"",IFERROR(IF(AND(AH!$U$12=1,774+1=AH!$U$6),TODAY(),IF(AH!$U$5=1,INDEX('Live History'!$A$5:$A$3004,AH!$U$7+774),INDEX('AH History'!$A$5:$A$1380,AH!$U$7+774))),""))</f>
        <v/>
      </c>
      <c r="B779" s="33">
        <f>IFERROR(IF(AH!$U$11=1,NA(),$J779/$E779-1),NA())</f>
        <v/>
      </c>
      <c r="C779" s="269">
        <f>IFERROR(100*$E779/$E$5,NA())</f>
        <v/>
      </c>
      <c r="D779" s="269">
        <f>IFERROR(100*$J779/$J$5,NA())</f>
        <v/>
      </c>
      <c r="E779" s="32">
        <f>IFERROR(IF(AND(ISNUMBER($A779),N(IF(AND(AH!$U$12=1,774+1=AH!$U$6),IF(AH!$U$4=0,"unavailable",INDEX('Market Data'!$AN$5:$AN$66,AH!$U$4)),IF(AH!$U$5=1,INDEX('Live History'!$B$5:$B$3004,$K779),INDEX('AH History'!$D$5:$GG$1380,$K779,AH!$U$10))))&gt;0),IF(AND(AH!$U$12=1,774+1=AH!$U$6),IF(AH!$U$4=0,"unavailable",INDEX('Market Data'!$AN$5:$AN$66,AH!$U$4)),IF(AH!$U$5=1,INDEX('Live History'!$B$5:$B$3004,$K779),INDEX('AH History'!$D$5:$GG$1380,$K779,AH!$U$10))),NA()),NA())</f>
        <v/>
      </c>
      <c r="F779" s="32">
        <f>IFERROR(IF(ISNUMBER($A779),IF(AND(AH!$U$12=1,774+1=AH!$U$6),IF(AH!$U$4=0,"unavailable",INDEX('Market Data'!$AO$5:$AO$66,AH!$U$4)),IF(AH!$U$5=1,INDEX('Live History'!$E$5:$E$3004,MATCH($A779,'Live History'!$D$5:$D$3004,1)),INDEX('AH History'!$D$5:$GG$1380,$K779,AH!$U$10+1))),NA()),NA())</f>
        <v/>
      </c>
      <c r="G779" s="34">
        <f>IFERROR(IF(ISNUMBER($A779),IF(AND(AH!$U$12=1,774+1=AH!$U$6),IF(AH!$U$4=0,"unavailable",INDEX('Market Data'!$AK$5:$AK$66,AH!$U$4)),IF(AH!$U$5=1,INDEX('Live History'!$D$5:$D$3004,MATCH($A779,'Live History'!$D$5:$D$3004,1)),INDEX('AH History'!$D$5:$GG$1380,$K779,AH!$U$10+2))),NA()),NA())</f>
        <v/>
      </c>
      <c r="H779" s="266">
        <f>IFERROR(IF(ISNUMBER($A779),IF(AND(AH!$U$12=1,774+1=AH!$U$6),IF(AH!$U$4=0,"unavailable",INDEX('Market Data'!$AP$5:$AP$66,AH!$U$4)),IF(AH!$U$5=1,INDEX('Live History'!$H$5:$H$3004,MATCH($A779,'Live History'!$G$5:$G$3004,1)),INDEX('AH History'!$B$5:$B$1380,$K779))),NA()),NA())</f>
        <v/>
      </c>
      <c r="I779" s="34">
        <f>IFERROR(IF(ISNUMBER($A779),IF(AND(AH!$U$12=1,774+1=AH!$U$6),TODAY(),IF(AH!$U$5=1,INDEX('Live History'!$G$5:$G$3004,MATCH($A779,'Live History'!$G$5:$G$3004,1)),INDEX('AH History'!$C$5:$C$1380,$K779))),NA()),NA())</f>
        <v/>
      </c>
      <c r="J779" s="32">
        <f>IFERROR(IF(AND($F779&gt;0,$H779&gt;0,$A779-$G779&lt;=10,$A779-$I779&lt;=5,$G779&gt;0,$I779&gt;0),$F779*$H779,NA()),NA())</f>
        <v/>
      </c>
      <c r="K779" s="15">
        <f>IF($A779="","",IF(AH!$U$5=1,IFERROR(MATCH($A779,'Live History'!$A$5:$A$3004,0),0),AH!$U$7+774))</f>
        <v/>
      </c>
      <c r="L779" s="15">
        <f>IF(ISNUMBER(A779),TEXT(A779,"dd-mmm-yy"),"")</f>
        <v/>
      </c>
    </row>
    <row r="780">
      <c r="A780" s="14">
        <f>IF(OR(AH!$U$4=0,775+1&gt;AH!$U$6,AND(AH!$M$5="Bloomberg",AH!$U$5=0)),"",IFERROR(IF(AND(AH!$U$12=1,775+1=AH!$U$6),TODAY(),IF(AH!$U$5=1,INDEX('Live History'!$A$5:$A$3004,AH!$U$7+775),INDEX('AH History'!$A$5:$A$1380,AH!$U$7+775))),""))</f>
        <v/>
      </c>
      <c r="B780" s="33">
        <f>IFERROR(IF(AH!$U$11=1,NA(),$J780/$E780-1),NA())</f>
        <v/>
      </c>
      <c r="C780" s="269">
        <f>IFERROR(100*$E780/$E$5,NA())</f>
        <v/>
      </c>
      <c r="D780" s="269">
        <f>IFERROR(100*$J780/$J$5,NA())</f>
        <v/>
      </c>
      <c r="E780" s="32">
        <f>IFERROR(IF(AND(ISNUMBER($A780),N(IF(AND(AH!$U$12=1,775+1=AH!$U$6),IF(AH!$U$4=0,"unavailable",INDEX('Market Data'!$AN$5:$AN$66,AH!$U$4)),IF(AH!$U$5=1,INDEX('Live History'!$B$5:$B$3004,$K780),INDEX('AH History'!$D$5:$GG$1380,$K780,AH!$U$10))))&gt;0),IF(AND(AH!$U$12=1,775+1=AH!$U$6),IF(AH!$U$4=0,"unavailable",INDEX('Market Data'!$AN$5:$AN$66,AH!$U$4)),IF(AH!$U$5=1,INDEX('Live History'!$B$5:$B$3004,$K780),INDEX('AH History'!$D$5:$GG$1380,$K780,AH!$U$10))),NA()),NA())</f>
        <v/>
      </c>
      <c r="F780" s="32">
        <f>IFERROR(IF(ISNUMBER($A780),IF(AND(AH!$U$12=1,775+1=AH!$U$6),IF(AH!$U$4=0,"unavailable",INDEX('Market Data'!$AO$5:$AO$66,AH!$U$4)),IF(AH!$U$5=1,INDEX('Live History'!$E$5:$E$3004,MATCH($A780,'Live History'!$D$5:$D$3004,1)),INDEX('AH History'!$D$5:$GG$1380,$K780,AH!$U$10+1))),NA()),NA())</f>
        <v/>
      </c>
      <c r="G780" s="34">
        <f>IFERROR(IF(ISNUMBER($A780),IF(AND(AH!$U$12=1,775+1=AH!$U$6),IF(AH!$U$4=0,"unavailable",INDEX('Market Data'!$AK$5:$AK$66,AH!$U$4)),IF(AH!$U$5=1,INDEX('Live History'!$D$5:$D$3004,MATCH($A780,'Live History'!$D$5:$D$3004,1)),INDEX('AH History'!$D$5:$GG$1380,$K780,AH!$U$10+2))),NA()),NA())</f>
        <v/>
      </c>
      <c r="H780" s="266">
        <f>IFERROR(IF(ISNUMBER($A780),IF(AND(AH!$U$12=1,775+1=AH!$U$6),IF(AH!$U$4=0,"unavailable",INDEX('Market Data'!$AP$5:$AP$66,AH!$U$4)),IF(AH!$U$5=1,INDEX('Live History'!$H$5:$H$3004,MATCH($A780,'Live History'!$G$5:$G$3004,1)),INDEX('AH History'!$B$5:$B$1380,$K780))),NA()),NA())</f>
        <v/>
      </c>
      <c r="I780" s="34">
        <f>IFERROR(IF(ISNUMBER($A780),IF(AND(AH!$U$12=1,775+1=AH!$U$6),TODAY(),IF(AH!$U$5=1,INDEX('Live History'!$G$5:$G$3004,MATCH($A780,'Live History'!$G$5:$G$3004,1)),INDEX('AH History'!$C$5:$C$1380,$K780))),NA()),NA())</f>
        <v/>
      </c>
      <c r="J780" s="32">
        <f>IFERROR(IF(AND($F780&gt;0,$H780&gt;0,$A780-$G780&lt;=10,$A780-$I780&lt;=5,$G780&gt;0,$I780&gt;0),$F780*$H780,NA()),NA())</f>
        <v/>
      </c>
      <c r="K780" s="15">
        <f>IF($A780="","",IF(AH!$U$5=1,IFERROR(MATCH($A780,'Live History'!$A$5:$A$3004,0),0),AH!$U$7+775))</f>
        <v/>
      </c>
      <c r="L780" s="15">
        <f>IF(ISNUMBER(A780),TEXT(A780,"dd-mmm-yy"),"")</f>
        <v/>
      </c>
    </row>
    <row r="781">
      <c r="A781" s="14">
        <f>IF(OR(AH!$U$4=0,776+1&gt;AH!$U$6,AND(AH!$M$5="Bloomberg",AH!$U$5=0)),"",IFERROR(IF(AND(AH!$U$12=1,776+1=AH!$U$6),TODAY(),IF(AH!$U$5=1,INDEX('Live History'!$A$5:$A$3004,AH!$U$7+776),INDEX('AH History'!$A$5:$A$1380,AH!$U$7+776))),""))</f>
        <v/>
      </c>
      <c r="B781" s="33">
        <f>IFERROR(IF(AH!$U$11=1,NA(),$J781/$E781-1),NA())</f>
        <v/>
      </c>
      <c r="C781" s="269">
        <f>IFERROR(100*$E781/$E$5,NA())</f>
        <v/>
      </c>
      <c r="D781" s="269">
        <f>IFERROR(100*$J781/$J$5,NA())</f>
        <v/>
      </c>
      <c r="E781" s="32">
        <f>IFERROR(IF(AND(ISNUMBER($A781),N(IF(AND(AH!$U$12=1,776+1=AH!$U$6),IF(AH!$U$4=0,"unavailable",INDEX('Market Data'!$AN$5:$AN$66,AH!$U$4)),IF(AH!$U$5=1,INDEX('Live History'!$B$5:$B$3004,$K781),INDEX('AH History'!$D$5:$GG$1380,$K781,AH!$U$10))))&gt;0),IF(AND(AH!$U$12=1,776+1=AH!$U$6),IF(AH!$U$4=0,"unavailable",INDEX('Market Data'!$AN$5:$AN$66,AH!$U$4)),IF(AH!$U$5=1,INDEX('Live History'!$B$5:$B$3004,$K781),INDEX('AH History'!$D$5:$GG$1380,$K781,AH!$U$10))),NA()),NA())</f>
        <v/>
      </c>
      <c r="F781" s="32">
        <f>IFERROR(IF(ISNUMBER($A781),IF(AND(AH!$U$12=1,776+1=AH!$U$6),IF(AH!$U$4=0,"unavailable",INDEX('Market Data'!$AO$5:$AO$66,AH!$U$4)),IF(AH!$U$5=1,INDEX('Live History'!$E$5:$E$3004,MATCH($A781,'Live History'!$D$5:$D$3004,1)),INDEX('AH History'!$D$5:$GG$1380,$K781,AH!$U$10+1))),NA()),NA())</f>
        <v/>
      </c>
      <c r="G781" s="34">
        <f>IFERROR(IF(ISNUMBER($A781),IF(AND(AH!$U$12=1,776+1=AH!$U$6),IF(AH!$U$4=0,"unavailable",INDEX('Market Data'!$AK$5:$AK$66,AH!$U$4)),IF(AH!$U$5=1,INDEX('Live History'!$D$5:$D$3004,MATCH($A781,'Live History'!$D$5:$D$3004,1)),INDEX('AH History'!$D$5:$GG$1380,$K781,AH!$U$10+2))),NA()),NA())</f>
        <v/>
      </c>
      <c r="H781" s="266">
        <f>IFERROR(IF(ISNUMBER($A781),IF(AND(AH!$U$12=1,776+1=AH!$U$6),IF(AH!$U$4=0,"unavailable",INDEX('Market Data'!$AP$5:$AP$66,AH!$U$4)),IF(AH!$U$5=1,INDEX('Live History'!$H$5:$H$3004,MATCH($A781,'Live History'!$G$5:$G$3004,1)),INDEX('AH History'!$B$5:$B$1380,$K781))),NA()),NA())</f>
        <v/>
      </c>
      <c r="I781" s="34">
        <f>IFERROR(IF(ISNUMBER($A781),IF(AND(AH!$U$12=1,776+1=AH!$U$6),TODAY(),IF(AH!$U$5=1,INDEX('Live History'!$G$5:$G$3004,MATCH($A781,'Live History'!$G$5:$G$3004,1)),INDEX('AH History'!$C$5:$C$1380,$K781))),NA()),NA())</f>
        <v/>
      </c>
      <c r="J781" s="32">
        <f>IFERROR(IF(AND($F781&gt;0,$H781&gt;0,$A781-$G781&lt;=10,$A781-$I781&lt;=5,$G781&gt;0,$I781&gt;0),$F781*$H781,NA()),NA())</f>
        <v/>
      </c>
      <c r="K781" s="15">
        <f>IF($A781="","",IF(AH!$U$5=1,IFERROR(MATCH($A781,'Live History'!$A$5:$A$3004,0),0),AH!$U$7+776))</f>
        <v/>
      </c>
      <c r="L781" s="15">
        <f>IF(ISNUMBER(A781),TEXT(A781,"dd-mmm-yy"),"")</f>
        <v/>
      </c>
    </row>
    <row r="782">
      <c r="A782" s="14">
        <f>IF(OR(AH!$U$4=0,777+1&gt;AH!$U$6,AND(AH!$M$5="Bloomberg",AH!$U$5=0)),"",IFERROR(IF(AND(AH!$U$12=1,777+1=AH!$U$6),TODAY(),IF(AH!$U$5=1,INDEX('Live History'!$A$5:$A$3004,AH!$U$7+777),INDEX('AH History'!$A$5:$A$1380,AH!$U$7+777))),""))</f>
        <v/>
      </c>
      <c r="B782" s="33">
        <f>IFERROR(IF(AH!$U$11=1,NA(),$J782/$E782-1),NA())</f>
        <v/>
      </c>
      <c r="C782" s="269">
        <f>IFERROR(100*$E782/$E$5,NA())</f>
        <v/>
      </c>
      <c r="D782" s="269">
        <f>IFERROR(100*$J782/$J$5,NA())</f>
        <v/>
      </c>
      <c r="E782" s="32">
        <f>IFERROR(IF(AND(ISNUMBER($A782),N(IF(AND(AH!$U$12=1,777+1=AH!$U$6),IF(AH!$U$4=0,"unavailable",INDEX('Market Data'!$AN$5:$AN$66,AH!$U$4)),IF(AH!$U$5=1,INDEX('Live History'!$B$5:$B$3004,$K782),INDEX('AH History'!$D$5:$GG$1380,$K782,AH!$U$10))))&gt;0),IF(AND(AH!$U$12=1,777+1=AH!$U$6),IF(AH!$U$4=0,"unavailable",INDEX('Market Data'!$AN$5:$AN$66,AH!$U$4)),IF(AH!$U$5=1,INDEX('Live History'!$B$5:$B$3004,$K782),INDEX('AH History'!$D$5:$GG$1380,$K782,AH!$U$10))),NA()),NA())</f>
        <v/>
      </c>
      <c r="F782" s="32">
        <f>IFERROR(IF(ISNUMBER($A782),IF(AND(AH!$U$12=1,777+1=AH!$U$6),IF(AH!$U$4=0,"unavailable",INDEX('Market Data'!$AO$5:$AO$66,AH!$U$4)),IF(AH!$U$5=1,INDEX('Live History'!$E$5:$E$3004,MATCH($A782,'Live History'!$D$5:$D$3004,1)),INDEX('AH History'!$D$5:$GG$1380,$K782,AH!$U$10+1))),NA()),NA())</f>
        <v/>
      </c>
      <c r="G782" s="34">
        <f>IFERROR(IF(ISNUMBER($A782),IF(AND(AH!$U$12=1,777+1=AH!$U$6),IF(AH!$U$4=0,"unavailable",INDEX('Market Data'!$AK$5:$AK$66,AH!$U$4)),IF(AH!$U$5=1,INDEX('Live History'!$D$5:$D$3004,MATCH($A782,'Live History'!$D$5:$D$3004,1)),INDEX('AH History'!$D$5:$GG$1380,$K782,AH!$U$10+2))),NA()),NA())</f>
        <v/>
      </c>
      <c r="H782" s="266">
        <f>IFERROR(IF(ISNUMBER($A782),IF(AND(AH!$U$12=1,777+1=AH!$U$6),IF(AH!$U$4=0,"unavailable",INDEX('Market Data'!$AP$5:$AP$66,AH!$U$4)),IF(AH!$U$5=1,INDEX('Live History'!$H$5:$H$3004,MATCH($A782,'Live History'!$G$5:$G$3004,1)),INDEX('AH History'!$B$5:$B$1380,$K782))),NA()),NA())</f>
        <v/>
      </c>
      <c r="I782" s="34">
        <f>IFERROR(IF(ISNUMBER($A782),IF(AND(AH!$U$12=1,777+1=AH!$U$6),TODAY(),IF(AH!$U$5=1,INDEX('Live History'!$G$5:$G$3004,MATCH($A782,'Live History'!$G$5:$G$3004,1)),INDEX('AH History'!$C$5:$C$1380,$K782))),NA()),NA())</f>
        <v/>
      </c>
      <c r="J782" s="32">
        <f>IFERROR(IF(AND($F782&gt;0,$H782&gt;0,$A782-$G782&lt;=10,$A782-$I782&lt;=5,$G782&gt;0,$I782&gt;0),$F782*$H782,NA()),NA())</f>
        <v/>
      </c>
      <c r="K782" s="15">
        <f>IF($A782="","",IF(AH!$U$5=1,IFERROR(MATCH($A782,'Live History'!$A$5:$A$3004,0),0),AH!$U$7+777))</f>
        <v/>
      </c>
      <c r="L782" s="15">
        <f>IF(ISNUMBER(A782),TEXT(A782,"dd-mmm-yy"),"")</f>
        <v/>
      </c>
    </row>
    <row r="783">
      <c r="A783" s="14">
        <f>IF(OR(AH!$U$4=0,778+1&gt;AH!$U$6,AND(AH!$M$5="Bloomberg",AH!$U$5=0)),"",IFERROR(IF(AND(AH!$U$12=1,778+1=AH!$U$6),TODAY(),IF(AH!$U$5=1,INDEX('Live History'!$A$5:$A$3004,AH!$U$7+778),INDEX('AH History'!$A$5:$A$1380,AH!$U$7+778))),""))</f>
        <v/>
      </c>
      <c r="B783" s="33">
        <f>IFERROR(IF(AH!$U$11=1,NA(),$J783/$E783-1),NA())</f>
        <v/>
      </c>
      <c r="C783" s="269">
        <f>IFERROR(100*$E783/$E$5,NA())</f>
        <v/>
      </c>
      <c r="D783" s="269">
        <f>IFERROR(100*$J783/$J$5,NA())</f>
        <v/>
      </c>
      <c r="E783" s="32">
        <f>IFERROR(IF(AND(ISNUMBER($A783),N(IF(AND(AH!$U$12=1,778+1=AH!$U$6),IF(AH!$U$4=0,"unavailable",INDEX('Market Data'!$AN$5:$AN$66,AH!$U$4)),IF(AH!$U$5=1,INDEX('Live History'!$B$5:$B$3004,$K783),INDEX('AH History'!$D$5:$GG$1380,$K783,AH!$U$10))))&gt;0),IF(AND(AH!$U$12=1,778+1=AH!$U$6),IF(AH!$U$4=0,"unavailable",INDEX('Market Data'!$AN$5:$AN$66,AH!$U$4)),IF(AH!$U$5=1,INDEX('Live History'!$B$5:$B$3004,$K783),INDEX('AH History'!$D$5:$GG$1380,$K783,AH!$U$10))),NA()),NA())</f>
        <v/>
      </c>
      <c r="F783" s="32">
        <f>IFERROR(IF(ISNUMBER($A783),IF(AND(AH!$U$12=1,778+1=AH!$U$6),IF(AH!$U$4=0,"unavailable",INDEX('Market Data'!$AO$5:$AO$66,AH!$U$4)),IF(AH!$U$5=1,INDEX('Live History'!$E$5:$E$3004,MATCH($A783,'Live History'!$D$5:$D$3004,1)),INDEX('AH History'!$D$5:$GG$1380,$K783,AH!$U$10+1))),NA()),NA())</f>
        <v/>
      </c>
      <c r="G783" s="34">
        <f>IFERROR(IF(ISNUMBER($A783),IF(AND(AH!$U$12=1,778+1=AH!$U$6),IF(AH!$U$4=0,"unavailable",INDEX('Market Data'!$AK$5:$AK$66,AH!$U$4)),IF(AH!$U$5=1,INDEX('Live History'!$D$5:$D$3004,MATCH($A783,'Live History'!$D$5:$D$3004,1)),INDEX('AH History'!$D$5:$GG$1380,$K783,AH!$U$10+2))),NA()),NA())</f>
        <v/>
      </c>
      <c r="H783" s="266">
        <f>IFERROR(IF(ISNUMBER($A783),IF(AND(AH!$U$12=1,778+1=AH!$U$6),IF(AH!$U$4=0,"unavailable",INDEX('Market Data'!$AP$5:$AP$66,AH!$U$4)),IF(AH!$U$5=1,INDEX('Live History'!$H$5:$H$3004,MATCH($A783,'Live History'!$G$5:$G$3004,1)),INDEX('AH History'!$B$5:$B$1380,$K783))),NA()),NA())</f>
        <v/>
      </c>
      <c r="I783" s="34">
        <f>IFERROR(IF(ISNUMBER($A783),IF(AND(AH!$U$12=1,778+1=AH!$U$6),TODAY(),IF(AH!$U$5=1,INDEX('Live History'!$G$5:$G$3004,MATCH($A783,'Live History'!$G$5:$G$3004,1)),INDEX('AH History'!$C$5:$C$1380,$K783))),NA()),NA())</f>
        <v/>
      </c>
      <c r="J783" s="32">
        <f>IFERROR(IF(AND($F783&gt;0,$H783&gt;0,$A783-$G783&lt;=10,$A783-$I783&lt;=5,$G783&gt;0,$I783&gt;0),$F783*$H783,NA()),NA())</f>
        <v/>
      </c>
      <c r="K783" s="15">
        <f>IF($A783="","",IF(AH!$U$5=1,IFERROR(MATCH($A783,'Live History'!$A$5:$A$3004,0),0),AH!$U$7+778))</f>
        <v/>
      </c>
      <c r="L783" s="15">
        <f>IF(ISNUMBER(A783),TEXT(A783,"dd-mmm-yy"),"")</f>
        <v/>
      </c>
    </row>
    <row r="784">
      <c r="A784" s="14">
        <f>IF(OR(AH!$U$4=0,779+1&gt;AH!$U$6,AND(AH!$M$5="Bloomberg",AH!$U$5=0)),"",IFERROR(IF(AND(AH!$U$12=1,779+1=AH!$U$6),TODAY(),IF(AH!$U$5=1,INDEX('Live History'!$A$5:$A$3004,AH!$U$7+779),INDEX('AH History'!$A$5:$A$1380,AH!$U$7+779))),""))</f>
        <v/>
      </c>
      <c r="B784" s="33">
        <f>IFERROR(IF(AH!$U$11=1,NA(),$J784/$E784-1),NA())</f>
        <v/>
      </c>
      <c r="C784" s="269">
        <f>IFERROR(100*$E784/$E$5,NA())</f>
        <v/>
      </c>
      <c r="D784" s="269">
        <f>IFERROR(100*$J784/$J$5,NA())</f>
        <v/>
      </c>
      <c r="E784" s="32">
        <f>IFERROR(IF(AND(ISNUMBER($A784),N(IF(AND(AH!$U$12=1,779+1=AH!$U$6),IF(AH!$U$4=0,"unavailable",INDEX('Market Data'!$AN$5:$AN$66,AH!$U$4)),IF(AH!$U$5=1,INDEX('Live History'!$B$5:$B$3004,$K784),INDEX('AH History'!$D$5:$GG$1380,$K784,AH!$U$10))))&gt;0),IF(AND(AH!$U$12=1,779+1=AH!$U$6),IF(AH!$U$4=0,"unavailable",INDEX('Market Data'!$AN$5:$AN$66,AH!$U$4)),IF(AH!$U$5=1,INDEX('Live History'!$B$5:$B$3004,$K784),INDEX('AH History'!$D$5:$GG$1380,$K784,AH!$U$10))),NA()),NA())</f>
        <v/>
      </c>
      <c r="F784" s="32">
        <f>IFERROR(IF(ISNUMBER($A784),IF(AND(AH!$U$12=1,779+1=AH!$U$6),IF(AH!$U$4=0,"unavailable",INDEX('Market Data'!$AO$5:$AO$66,AH!$U$4)),IF(AH!$U$5=1,INDEX('Live History'!$E$5:$E$3004,MATCH($A784,'Live History'!$D$5:$D$3004,1)),INDEX('AH History'!$D$5:$GG$1380,$K784,AH!$U$10+1))),NA()),NA())</f>
        <v/>
      </c>
      <c r="G784" s="34">
        <f>IFERROR(IF(ISNUMBER($A784),IF(AND(AH!$U$12=1,779+1=AH!$U$6),IF(AH!$U$4=0,"unavailable",INDEX('Market Data'!$AK$5:$AK$66,AH!$U$4)),IF(AH!$U$5=1,INDEX('Live History'!$D$5:$D$3004,MATCH($A784,'Live History'!$D$5:$D$3004,1)),INDEX('AH History'!$D$5:$GG$1380,$K784,AH!$U$10+2))),NA()),NA())</f>
        <v/>
      </c>
      <c r="H784" s="266">
        <f>IFERROR(IF(ISNUMBER($A784),IF(AND(AH!$U$12=1,779+1=AH!$U$6),IF(AH!$U$4=0,"unavailable",INDEX('Market Data'!$AP$5:$AP$66,AH!$U$4)),IF(AH!$U$5=1,INDEX('Live History'!$H$5:$H$3004,MATCH($A784,'Live History'!$G$5:$G$3004,1)),INDEX('AH History'!$B$5:$B$1380,$K784))),NA()),NA())</f>
        <v/>
      </c>
      <c r="I784" s="34">
        <f>IFERROR(IF(ISNUMBER($A784),IF(AND(AH!$U$12=1,779+1=AH!$U$6),TODAY(),IF(AH!$U$5=1,INDEX('Live History'!$G$5:$G$3004,MATCH($A784,'Live History'!$G$5:$G$3004,1)),INDEX('AH History'!$C$5:$C$1380,$K784))),NA()),NA())</f>
        <v/>
      </c>
      <c r="J784" s="32">
        <f>IFERROR(IF(AND($F784&gt;0,$H784&gt;0,$A784-$G784&lt;=10,$A784-$I784&lt;=5,$G784&gt;0,$I784&gt;0),$F784*$H784,NA()),NA())</f>
        <v/>
      </c>
      <c r="K784" s="15">
        <f>IF($A784="","",IF(AH!$U$5=1,IFERROR(MATCH($A784,'Live History'!$A$5:$A$3004,0),0),AH!$U$7+779))</f>
        <v/>
      </c>
      <c r="L784" s="15">
        <f>IF(ISNUMBER(A784),TEXT(A784,"dd-mmm-yy"),"")</f>
        <v/>
      </c>
    </row>
    <row r="785">
      <c r="A785" s="14">
        <f>IF(OR(AH!$U$4=0,780+1&gt;AH!$U$6,AND(AH!$M$5="Bloomberg",AH!$U$5=0)),"",IFERROR(IF(AND(AH!$U$12=1,780+1=AH!$U$6),TODAY(),IF(AH!$U$5=1,INDEX('Live History'!$A$5:$A$3004,AH!$U$7+780),INDEX('AH History'!$A$5:$A$1380,AH!$U$7+780))),""))</f>
        <v/>
      </c>
      <c r="B785" s="33">
        <f>IFERROR(IF(AH!$U$11=1,NA(),$J785/$E785-1),NA())</f>
        <v/>
      </c>
      <c r="C785" s="269">
        <f>IFERROR(100*$E785/$E$5,NA())</f>
        <v/>
      </c>
      <c r="D785" s="269">
        <f>IFERROR(100*$J785/$J$5,NA())</f>
        <v/>
      </c>
      <c r="E785" s="32">
        <f>IFERROR(IF(AND(ISNUMBER($A785),N(IF(AND(AH!$U$12=1,780+1=AH!$U$6),IF(AH!$U$4=0,"unavailable",INDEX('Market Data'!$AN$5:$AN$66,AH!$U$4)),IF(AH!$U$5=1,INDEX('Live History'!$B$5:$B$3004,$K785),INDEX('AH History'!$D$5:$GG$1380,$K785,AH!$U$10))))&gt;0),IF(AND(AH!$U$12=1,780+1=AH!$U$6),IF(AH!$U$4=0,"unavailable",INDEX('Market Data'!$AN$5:$AN$66,AH!$U$4)),IF(AH!$U$5=1,INDEX('Live History'!$B$5:$B$3004,$K785),INDEX('AH History'!$D$5:$GG$1380,$K785,AH!$U$10))),NA()),NA())</f>
        <v/>
      </c>
      <c r="F785" s="32">
        <f>IFERROR(IF(ISNUMBER($A785),IF(AND(AH!$U$12=1,780+1=AH!$U$6),IF(AH!$U$4=0,"unavailable",INDEX('Market Data'!$AO$5:$AO$66,AH!$U$4)),IF(AH!$U$5=1,INDEX('Live History'!$E$5:$E$3004,MATCH($A785,'Live History'!$D$5:$D$3004,1)),INDEX('AH History'!$D$5:$GG$1380,$K785,AH!$U$10+1))),NA()),NA())</f>
        <v/>
      </c>
      <c r="G785" s="34">
        <f>IFERROR(IF(ISNUMBER($A785),IF(AND(AH!$U$12=1,780+1=AH!$U$6),IF(AH!$U$4=0,"unavailable",INDEX('Market Data'!$AK$5:$AK$66,AH!$U$4)),IF(AH!$U$5=1,INDEX('Live History'!$D$5:$D$3004,MATCH($A785,'Live History'!$D$5:$D$3004,1)),INDEX('AH History'!$D$5:$GG$1380,$K785,AH!$U$10+2))),NA()),NA())</f>
        <v/>
      </c>
      <c r="H785" s="266">
        <f>IFERROR(IF(ISNUMBER($A785),IF(AND(AH!$U$12=1,780+1=AH!$U$6),IF(AH!$U$4=0,"unavailable",INDEX('Market Data'!$AP$5:$AP$66,AH!$U$4)),IF(AH!$U$5=1,INDEX('Live History'!$H$5:$H$3004,MATCH($A785,'Live History'!$G$5:$G$3004,1)),INDEX('AH History'!$B$5:$B$1380,$K785))),NA()),NA())</f>
        <v/>
      </c>
      <c r="I785" s="34">
        <f>IFERROR(IF(ISNUMBER($A785),IF(AND(AH!$U$12=1,780+1=AH!$U$6),TODAY(),IF(AH!$U$5=1,INDEX('Live History'!$G$5:$G$3004,MATCH($A785,'Live History'!$G$5:$G$3004,1)),INDEX('AH History'!$C$5:$C$1380,$K785))),NA()),NA())</f>
        <v/>
      </c>
      <c r="J785" s="32">
        <f>IFERROR(IF(AND($F785&gt;0,$H785&gt;0,$A785-$G785&lt;=10,$A785-$I785&lt;=5,$G785&gt;0,$I785&gt;0),$F785*$H785,NA()),NA())</f>
        <v/>
      </c>
      <c r="K785" s="15">
        <f>IF($A785="","",IF(AH!$U$5=1,IFERROR(MATCH($A785,'Live History'!$A$5:$A$3004,0),0),AH!$U$7+780))</f>
        <v/>
      </c>
      <c r="L785" s="15">
        <f>IF(ISNUMBER(A785),TEXT(A785,"dd-mmm-yy"),"")</f>
        <v/>
      </c>
    </row>
    <row r="786">
      <c r="A786" s="14">
        <f>IF(OR(AH!$U$4=0,781+1&gt;AH!$U$6,AND(AH!$M$5="Bloomberg",AH!$U$5=0)),"",IFERROR(IF(AND(AH!$U$12=1,781+1=AH!$U$6),TODAY(),IF(AH!$U$5=1,INDEX('Live History'!$A$5:$A$3004,AH!$U$7+781),INDEX('AH History'!$A$5:$A$1380,AH!$U$7+781))),""))</f>
        <v/>
      </c>
      <c r="B786" s="33">
        <f>IFERROR(IF(AH!$U$11=1,NA(),$J786/$E786-1),NA())</f>
        <v/>
      </c>
      <c r="C786" s="269">
        <f>IFERROR(100*$E786/$E$5,NA())</f>
        <v/>
      </c>
      <c r="D786" s="269">
        <f>IFERROR(100*$J786/$J$5,NA())</f>
        <v/>
      </c>
      <c r="E786" s="32">
        <f>IFERROR(IF(AND(ISNUMBER($A786),N(IF(AND(AH!$U$12=1,781+1=AH!$U$6),IF(AH!$U$4=0,"unavailable",INDEX('Market Data'!$AN$5:$AN$66,AH!$U$4)),IF(AH!$U$5=1,INDEX('Live History'!$B$5:$B$3004,$K786),INDEX('AH History'!$D$5:$GG$1380,$K786,AH!$U$10))))&gt;0),IF(AND(AH!$U$12=1,781+1=AH!$U$6),IF(AH!$U$4=0,"unavailable",INDEX('Market Data'!$AN$5:$AN$66,AH!$U$4)),IF(AH!$U$5=1,INDEX('Live History'!$B$5:$B$3004,$K786),INDEX('AH History'!$D$5:$GG$1380,$K786,AH!$U$10))),NA()),NA())</f>
        <v/>
      </c>
      <c r="F786" s="32">
        <f>IFERROR(IF(ISNUMBER($A786),IF(AND(AH!$U$12=1,781+1=AH!$U$6),IF(AH!$U$4=0,"unavailable",INDEX('Market Data'!$AO$5:$AO$66,AH!$U$4)),IF(AH!$U$5=1,INDEX('Live History'!$E$5:$E$3004,MATCH($A786,'Live History'!$D$5:$D$3004,1)),INDEX('AH History'!$D$5:$GG$1380,$K786,AH!$U$10+1))),NA()),NA())</f>
        <v/>
      </c>
      <c r="G786" s="34">
        <f>IFERROR(IF(ISNUMBER($A786),IF(AND(AH!$U$12=1,781+1=AH!$U$6),IF(AH!$U$4=0,"unavailable",INDEX('Market Data'!$AK$5:$AK$66,AH!$U$4)),IF(AH!$U$5=1,INDEX('Live History'!$D$5:$D$3004,MATCH($A786,'Live History'!$D$5:$D$3004,1)),INDEX('AH History'!$D$5:$GG$1380,$K786,AH!$U$10+2))),NA()),NA())</f>
        <v/>
      </c>
      <c r="H786" s="266">
        <f>IFERROR(IF(ISNUMBER($A786),IF(AND(AH!$U$12=1,781+1=AH!$U$6),IF(AH!$U$4=0,"unavailable",INDEX('Market Data'!$AP$5:$AP$66,AH!$U$4)),IF(AH!$U$5=1,INDEX('Live History'!$H$5:$H$3004,MATCH($A786,'Live History'!$G$5:$G$3004,1)),INDEX('AH History'!$B$5:$B$1380,$K786))),NA()),NA())</f>
        <v/>
      </c>
      <c r="I786" s="34">
        <f>IFERROR(IF(ISNUMBER($A786),IF(AND(AH!$U$12=1,781+1=AH!$U$6),TODAY(),IF(AH!$U$5=1,INDEX('Live History'!$G$5:$G$3004,MATCH($A786,'Live History'!$G$5:$G$3004,1)),INDEX('AH History'!$C$5:$C$1380,$K786))),NA()),NA())</f>
        <v/>
      </c>
      <c r="J786" s="32">
        <f>IFERROR(IF(AND($F786&gt;0,$H786&gt;0,$A786-$G786&lt;=10,$A786-$I786&lt;=5,$G786&gt;0,$I786&gt;0),$F786*$H786,NA()),NA())</f>
        <v/>
      </c>
      <c r="K786" s="15">
        <f>IF($A786="","",IF(AH!$U$5=1,IFERROR(MATCH($A786,'Live History'!$A$5:$A$3004,0),0),AH!$U$7+781))</f>
        <v/>
      </c>
      <c r="L786" s="15">
        <f>IF(ISNUMBER(A786),TEXT(A786,"dd-mmm-yy"),"")</f>
        <v/>
      </c>
    </row>
    <row r="787">
      <c r="A787" s="14">
        <f>IF(OR(AH!$U$4=0,782+1&gt;AH!$U$6,AND(AH!$M$5="Bloomberg",AH!$U$5=0)),"",IFERROR(IF(AND(AH!$U$12=1,782+1=AH!$U$6),TODAY(),IF(AH!$U$5=1,INDEX('Live History'!$A$5:$A$3004,AH!$U$7+782),INDEX('AH History'!$A$5:$A$1380,AH!$U$7+782))),""))</f>
        <v/>
      </c>
      <c r="B787" s="33">
        <f>IFERROR(IF(AH!$U$11=1,NA(),$J787/$E787-1),NA())</f>
        <v/>
      </c>
      <c r="C787" s="269">
        <f>IFERROR(100*$E787/$E$5,NA())</f>
        <v/>
      </c>
      <c r="D787" s="269">
        <f>IFERROR(100*$J787/$J$5,NA())</f>
        <v/>
      </c>
      <c r="E787" s="32">
        <f>IFERROR(IF(AND(ISNUMBER($A787),N(IF(AND(AH!$U$12=1,782+1=AH!$U$6),IF(AH!$U$4=0,"unavailable",INDEX('Market Data'!$AN$5:$AN$66,AH!$U$4)),IF(AH!$U$5=1,INDEX('Live History'!$B$5:$B$3004,$K787),INDEX('AH History'!$D$5:$GG$1380,$K787,AH!$U$10))))&gt;0),IF(AND(AH!$U$12=1,782+1=AH!$U$6),IF(AH!$U$4=0,"unavailable",INDEX('Market Data'!$AN$5:$AN$66,AH!$U$4)),IF(AH!$U$5=1,INDEX('Live History'!$B$5:$B$3004,$K787),INDEX('AH History'!$D$5:$GG$1380,$K787,AH!$U$10))),NA()),NA())</f>
        <v/>
      </c>
      <c r="F787" s="32">
        <f>IFERROR(IF(ISNUMBER($A787),IF(AND(AH!$U$12=1,782+1=AH!$U$6),IF(AH!$U$4=0,"unavailable",INDEX('Market Data'!$AO$5:$AO$66,AH!$U$4)),IF(AH!$U$5=1,INDEX('Live History'!$E$5:$E$3004,MATCH($A787,'Live History'!$D$5:$D$3004,1)),INDEX('AH History'!$D$5:$GG$1380,$K787,AH!$U$10+1))),NA()),NA())</f>
        <v/>
      </c>
      <c r="G787" s="34">
        <f>IFERROR(IF(ISNUMBER($A787),IF(AND(AH!$U$12=1,782+1=AH!$U$6),IF(AH!$U$4=0,"unavailable",INDEX('Market Data'!$AK$5:$AK$66,AH!$U$4)),IF(AH!$U$5=1,INDEX('Live History'!$D$5:$D$3004,MATCH($A787,'Live History'!$D$5:$D$3004,1)),INDEX('AH History'!$D$5:$GG$1380,$K787,AH!$U$10+2))),NA()),NA())</f>
        <v/>
      </c>
      <c r="H787" s="266">
        <f>IFERROR(IF(ISNUMBER($A787),IF(AND(AH!$U$12=1,782+1=AH!$U$6),IF(AH!$U$4=0,"unavailable",INDEX('Market Data'!$AP$5:$AP$66,AH!$U$4)),IF(AH!$U$5=1,INDEX('Live History'!$H$5:$H$3004,MATCH($A787,'Live History'!$G$5:$G$3004,1)),INDEX('AH History'!$B$5:$B$1380,$K787))),NA()),NA())</f>
        <v/>
      </c>
      <c r="I787" s="34">
        <f>IFERROR(IF(ISNUMBER($A787),IF(AND(AH!$U$12=1,782+1=AH!$U$6),TODAY(),IF(AH!$U$5=1,INDEX('Live History'!$G$5:$G$3004,MATCH($A787,'Live History'!$G$5:$G$3004,1)),INDEX('AH History'!$C$5:$C$1380,$K787))),NA()),NA())</f>
        <v/>
      </c>
      <c r="J787" s="32">
        <f>IFERROR(IF(AND($F787&gt;0,$H787&gt;0,$A787-$G787&lt;=10,$A787-$I787&lt;=5,$G787&gt;0,$I787&gt;0),$F787*$H787,NA()),NA())</f>
        <v/>
      </c>
      <c r="K787" s="15">
        <f>IF($A787="","",IF(AH!$U$5=1,IFERROR(MATCH($A787,'Live History'!$A$5:$A$3004,0),0),AH!$U$7+782))</f>
        <v/>
      </c>
      <c r="L787" s="15">
        <f>IF(ISNUMBER(A787),TEXT(A787,"dd-mmm-yy"),"")</f>
        <v/>
      </c>
    </row>
    <row r="788">
      <c r="A788" s="14">
        <f>IF(OR(AH!$U$4=0,783+1&gt;AH!$U$6,AND(AH!$M$5="Bloomberg",AH!$U$5=0)),"",IFERROR(IF(AND(AH!$U$12=1,783+1=AH!$U$6),TODAY(),IF(AH!$U$5=1,INDEX('Live History'!$A$5:$A$3004,AH!$U$7+783),INDEX('AH History'!$A$5:$A$1380,AH!$U$7+783))),""))</f>
        <v/>
      </c>
      <c r="B788" s="33">
        <f>IFERROR(IF(AH!$U$11=1,NA(),$J788/$E788-1),NA())</f>
        <v/>
      </c>
      <c r="C788" s="269">
        <f>IFERROR(100*$E788/$E$5,NA())</f>
        <v/>
      </c>
      <c r="D788" s="269">
        <f>IFERROR(100*$J788/$J$5,NA())</f>
        <v/>
      </c>
      <c r="E788" s="32">
        <f>IFERROR(IF(AND(ISNUMBER($A788),N(IF(AND(AH!$U$12=1,783+1=AH!$U$6),IF(AH!$U$4=0,"unavailable",INDEX('Market Data'!$AN$5:$AN$66,AH!$U$4)),IF(AH!$U$5=1,INDEX('Live History'!$B$5:$B$3004,$K788),INDEX('AH History'!$D$5:$GG$1380,$K788,AH!$U$10))))&gt;0),IF(AND(AH!$U$12=1,783+1=AH!$U$6),IF(AH!$U$4=0,"unavailable",INDEX('Market Data'!$AN$5:$AN$66,AH!$U$4)),IF(AH!$U$5=1,INDEX('Live History'!$B$5:$B$3004,$K788),INDEX('AH History'!$D$5:$GG$1380,$K788,AH!$U$10))),NA()),NA())</f>
        <v/>
      </c>
      <c r="F788" s="32">
        <f>IFERROR(IF(ISNUMBER($A788),IF(AND(AH!$U$12=1,783+1=AH!$U$6),IF(AH!$U$4=0,"unavailable",INDEX('Market Data'!$AO$5:$AO$66,AH!$U$4)),IF(AH!$U$5=1,INDEX('Live History'!$E$5:$E$3004,MATCH($A788,'Live History'!$D$5:$D$3004,1)),INDEX('AH History'!$D$5:$GG$1380,$K788,AH!$U$10+1))),NA()),NA())</f>
        <v/>
      </c>
      <c r="G788" s="34">
        <f>IFERROR(IF(ISNUMBER($A788),IF(AND(AH!$U$12=1,783+1=AH!$U$6),IF(AH!$U$4=0,"unavailable",INDEX('Market Data'!$AK$5:$AK$66,AH!$U$4)),IF(AH!$U$5=1,INDEX('Live History'!$D$5:$D$3004,MATCH($A788,'Live History'!$D$5:$D$3004,1)),INDEX('AH History'!$D$5:$GG$1380,$K788,AH!$U$10+2))),NA()),NA())</f>
        <v/>
      </c>
      <c r="H788" s="266">
        <f>IFERROR(IF(ISNUMBER($A788),IF(AND(AH!$U$12=1,783+1=AH!$U$6),IF(AH!$U$4=0,"unavailable",INDEX('Market Data'!$AP$5:$AP$66,AH!$U$4)),IF(AH!$U$5=1,INDEX('Live History'!$H$5:$H$3004,MATCH($A788,'Live History'!$G$5:$G$3004,1)),INDEX('AH History'!$B$5:$B$1380,$K788))),NA()),NA())</f>
        <v/>
      </c>
      <c r="I788" s="34">
        <f>IFERROR(IF(ISNUMBER($A788),IF(AND(AH!$U$12=1,783+1=AH!$U$6),TODAY(),IF(AH!$U$5=1,INDEX('Live History'!$G$5:$G$3004,MATCH($A788,'Live History'!$G$5:$G$3004,1)),INDEX('AH History'!$C$5:$C$1380,$K788))),NA()),NA())</f>
        <v/>
      </c>
      <c r="J788" s="32">
        <f>IFERROR(IF(AND($F788&gt;0,$H788&gt;0,$A788-$G788&lt;=10,$A788-$I788&lt;=5,$G788&gt;0,$I788&gt;0),$F788*$H788,NA()),NA())</f>
        <v/>
      </c>
      <c r="K788" s="15">
        <f>IF($A788="","",IF(AH!$U$5=1,IFERROR(MATCH($A788,'Live History'!$A$5:$A$3004,0),0),AH!$U$7+783))</f>
        <v/>
      </c>
      <c r="L788" s="15">
        <f>IF(ISNUMBER(A788),TEXT(A788,"dd-mmm-yy"),"")</f>
        <v/>
      </c>
    </row>
    <row r="789">
      <c r="A789" s="14">
        <f>IF(OR(AH!$U$4=0,784+1&gt;AH!$U$6,AND(AH!$M$5="Bloomberg",AH!$U$5=0)),"",IFERROR(IF(AND(AH!$U$12=1,784+1=AH!$U$6),TODAY(),IF(AH!$U$5=1,INDEX('Live History'!$A$5:$A$3004,AH!$U$7+784),INDEX('AH History'!$A$5:$A$1380,AH!$U$7+784))),""))</f>
        <v/>
      </c>
      <c r="B789" s="33">
        <f>IFERROR(IF(AH!$U$11=1,NA(),$J789/$E789-1),NA())</f>
        <v/>
      </c>
      <c r="C789" s="269">
        <f>IFERROR(100*$E789/$E$5,NA())</f>
        <v/>
      </c>
      <c r="D789" s="269">
        <f>IFERROR(100*$J789/$J$5,NA())</f>
        <v/>
      </c>
      <c r="E789" s="32">
        <f>IFERROR(IF(AND(ISNUMBER($A789),N(IF(AND(AH!$U$12=1,784+1=AH!$U$6),IF(AH!$U$4=0,"unavailable",INDEX('Market Data'!$AN$5:$AN$66,AH!$U$4)),IF(AH!$U$5=1,INDEX('Live History'!$B$5:$B$3004,$K789),INDEX('AH History'!$D$5:$GG$1380,$K789,AH!$U$10))))&gt;0),IF(AND(AH!$U$12=1,784+1=AH!$U$6),IF(AH!$U$4=0,"unavailable",INDEX('Market Data'!$AN$5:$AN$66,AH!$U$4)),IF(AH!$U$5=1,INDEX('Live History'!$B$5:$B$3004,$K789),INDEX('AH History'!$D$5:$GG$1380,$K789,AH!$U$10))),NA()),NA())</f>
        <v/>
      </c>
      <c r="F789" s="32">
        <f>IFERROR(IF(ISNUMBER($A789),IF(AND(AH!$U$12=1,784+1=AH!$U$6),IF(AH!$U$4=0,"unavailable",INDEX('Market Data'!$AO$5:$AO$66,AH!$U$4)),IF(AH!$U$5=1,INDEX('Live History'!$E$5:$E$3004,MATCH($A789,'Live History'!$D$5:$D$3004,1)),INDEX('AH History'!$D$5:$GG$1380,$K789,AH!$U$10+1))),NA()),NA())</f>
        <v/>
      </c>
      <c r="G789" s="34">
        <f>IFERROR(IF(ISNUMBER($A789),IF(AND(AH!$U$12=1,784+1=AH!$U$6),IF(AH!$U$4=0,"unavailable",INDEX('Market Data'!$AK$5:$AK$66,AH!$U$4)),IF(AH!$U$5=1,INDEX('Live History'!$D$5:$D$3004,MATCH($A789,'Live History'!$D$5:$D$3004,1)),INDEX('AH History'!$D$5:$GG$1380,$K789,AH!$U$10+2))),NA()),NA())</f>
        <v/>
      </c>
      <c r="H789" s="266">
        <f>IFERROR(IF(ISNUMBER($A789),IF(AND(AH!$U$12=1,784+1=AH!$U$6),IF(AH!$U$4=0,"unavailable",INDEX('Market Data'!$AP$5:$AP$66,AH!$U$4)),IF(AH!$U$5=1,INDEX('Live History'!$H$5:$H$3004,MATCH($A789,'Live History'!$G$5:$G$3004,1)),INDEX('AH History'!$B$5:$B$1380,$K789))),NA()),NA())</f>
        <v/>
      </c>
      <c r="I789" s="34">
        <f>IFERROR(IF(ISNUMBER($A789),IF(AND(AH!$U$12=1,784+1=AH!$U$6),TODAY(),IF(AH!$U$5=1,INDEX('Live History'!$G$5:$G$3004,MATCH($A789,'Live History'!$G$5:$G$3004,1)),INDEX('AH History'!$C$5:$C$1380,$K789))),NA()),NA())</f>
        <v/>
      </c>
      <c r="J789" s="32">
        <f>IFERROR(IF(AND($F789&gt;0,$H789&gt;0,$A789-$G789&lt;=10,$A789-$I789&lt;=5,$G789&gt;0,$I789&gt;0),$F789*$H789,NA()),NA())</f>
        <v/>
      </c>
      <c r="K789" s="15">
        <f>IF($A789="","",IF(AH!$U$5=1,IFERROR(MATCH($A789,'Live History'!$A$5:$A$3004,0),0),AH!$U$7+784))</f>
        <v/>
      </c>
      <c r="L789" s="15">
        <f>IF(ISNUMBER(A789),TEXT(A789,"dd-mmm-yy"),"")</f>
        <v/>
      </c>
    </row>
    <row r="790">
      <c r="A790" s="14">
        <f>IF(OR(AH!$U$4=0,785+1&gt;AH!$U$6,AND(AH!$M$5="Bloomberg",AH!$U$5=0)),"",IFERROR(IF(AND(AH!$U$12=1,785+1=AH!$U$6),TODAY(),IF(AH!$U$5=1,INDEX('Live History'!$A$5:$A$3004,AH!$U$7+785),INDEX('AH History'!$A$5:$A$1380,AH!$U$7+785))),""))</f>
        <v/>
      </c>
      <c r="B790" s="33">
        <f>IFERROR(IF(AH!$U$11=1,NA(),$J790/$E790-1),NA())</f>
        <v/>
      </c>
      <c r="C790" s="269">
        <f>IFERROR(100*$E790/$E$5,NA())</f>
        <v/>
      </c>
      <c r="D790" s="269">
        <f>IFERROR(100*$J790/$J$5,NA())</f>
        <v/>
      </c>
      <c r="E790" s="32">
        <f>IFERROR(IF(AND(ISNUMBER($A790),N(IF(AND(AH!$U$12=1,785+1=AH!$U$6),IF(AH!$U$4=0,"unavailable",INDEX('Market Data'!$AN$5:$AN$66,AH!$U$4)),IF(AH!$U$5=1,INDEX('Live History'!$B$5:$B$3004,$K790),INDEX('AH History'!$D$5:$GG$1380,$K790,AH!$U$10))))&gt;0),IF(AND(AH!$U$12=1,785+1=AH!$U$6),IF(AH!$U$4=0,"unavailable",INDEX('Market Data'!$AN$5:$AN$66,AH!$U$4)),IF(AH!$U$5=1,INDEX('Live History'!$B$5:$B$3004,$K790),INDEX('AH History'!$D$5:$GG$1380,$K790,AH!$U$10))),NA()),NA())</f>
        <v/>
      </c>
      <c r="F790" s="32">
        <f>IFERROR(IF(ISNUMBER($A790),IF(AND(AH!$U$12=1,785+1=AH!$U$6),IF(AH!$U$4=0,"unavailable",INDEX('Market Data'!$AO$5:$AO$66,AH!$U$4)),IF(AH!$U$5=1,INDEX('Live History'!$E$5:$E$3004,MATCH($A790,'Live History'!$D$5:$D$3004,1)),INDEX('AH History'!$D$5:$GG$1380,$K790,AH!$U$10+1))),NA()),NA())</f>
        <v/>
      </c>
      <c r="G790" s="34">
        <f>IFERROR(IF(ISNUMBER($A790),IF(AND(AH!$U$12=1,785+1=AH!$U$6),IF(AH!$U$4=0,"unavailable",INDEX('Market Data'!$AK$5:$AK$66,AH!$U$4)),IF(AH!$U$5=1,INDEX('Live History'!$D$5:$D$3004,MATCH($A790,'Live History'!$D$5:$D$3004,1)),INDEX('AH History'!$D$5:$GG$1380,$K790,AH!$U$10+2))),NA()),NA())</f>
        <v/>
      </c>
      <c r="H790" s="266">
        <f>IFERROR(IF(ISNUMBER($A790),IF(AND(AH!$U$12=1,785+1=AH!$U$6),IF(AH!$U$4=0,"unavailable",INDEX('Market Data'!$AP$5:$AP$66,AH!$U$4)),IF(AH!$U$5=1,INDEX('Live History'!$H$5:$H$3004,MATCH($A790,'Live History'!$G$5:$G$3004,1)),INDEX('AH History'!$B$5:$B$1380,$K790))),NA()),NA())</f>
        <v/>
      </c>
      <c r="I790" s="34">
        <f>IFERROR(IF(ISNUMBER($A790),IF(AND(AH!$U$12=1,785+1=AH!$U$6),TODAY(),IF(AH!$U$5=1,INDEX('Live History'!$G$5:$G$3004,MATCH($A790,'Live History'!$G$5:$G$3004,1)),INDEX('AH History'!$C$5:$C$1380,$K790))),NA()),NA())</f>
        <v/>
      </c>
      <c r="J790" s="32">
        <f>IFERROR(IF(AND($F790&gt;0,$H790&gt;0,$A790-$G790&lt;=10,$A790-$I790&lt;=5,$G790&gt;0,$I790&gt;0),$F790*$H790,NA()),NA())</f>
        <v/>
      </c>
      <c r="K790" s="15">
        <f>IF($A790="","",IF(AH!$U$5=1,IFERROR(MATCH($A790,'Live History'!$A$5:$A$3004,0),0),AH!$U$7+785))</f>
        <v/>
      </c>
      <c r="L790" s="15">
        <f>IF(ISNUMBER(A790),TEXT(A790,"dd-mmm-yy"),"")</f>
        <v/>
      </c>
    </row>
    <row r="791">
      <c r="A791" s="14">
        <f>IF(OR(AH!$U$4=0,786+1&gt;AH!$U$6,AND(AH!$M$5="Bloomberg",AH!$U$5=0)),"",IFERROR(IF(AND(AH!$U$12=1,786+1=AH!$U$6),TODAY(),IF(AH!$U$5=1,INDEX('Live History'!$A$5:$A$3004,AH!$U$7+786),INDEX('AH History'!$A$5:$A$1380,AH!$U$7+786))),""))</f>
        <v/>
      </c>
      <c r="B791" s="33">
        <f>IFERROR(IF(AH!$U$11=1,NA(),$J791/$E791-1),NA())</f>
        <v/>
      </c>
      <c r="C791" s="269">
        <f>IFERROR(100*$E791/$E$5,NA())</f>
        <v/>
      </c>
      <c r="D791" s="269">
        <f>IFERROR(100*$J791/$J$5,NA())</f>
        <v/>
      </c>
      <c r="E791" s="32">
        <f>IFERROR(IF(AND(ISNUMBER($A791),N(IF(AND(AH!$U$12=1,786+1=AH!$U$6),IF(AH!$U$4=0,"unavailable",INDEX('Market Data'!$AN$5:$AN$66,AH!$U$4)),IF(AH!$U$5=1,INDEX('Live History'!$B$5:$B$3004,$K791),INDEX('AH History'!$D$5:$GG$1380,$K791,AH!$U$10))))&gt;0),IF(AND(AH!$U$12=1,786+1=AH!$U$6),IF(AH!$U$4=0,"unavailable",INDEX('Market Data'!$AN$5:$AN$66,AH!$U$4)),IF(AH!$U$5=1,INDEX('Live History'!$B$5:$B$3004,$K791),INDEX('AH History'!$D$5:$GG$1380,$K791,AH!$U$10))),NA()),NA())</f>
        <v/>
      </c>
      <c r="F791" s="32">
        <f>IFERROR(IF(ISNUMBER($A791),IF(AND(AH!$U$12=1,786+1=AH!$U$6),IF(AH!$U$4=0,"unavailable",INDEX('Market Data'!$AO$5:$AO$66,AH!$U$4)),IF(AH!$U$5=1,INDEX('Live History'!$E$5:$E$3004,MATCH($A791,'Live History'!$D$5:$D$3004,1)),INDEX('AH History'!$D$5:$GG$1380,$K791,AH!$U$10+1))),NA()),NA())</f>
        <v/>
      </c>
      <c r="G791" s="34">
        <f>IFERROR(IF(ISNUMBER($A791),IF(AND(AH!$U$12=1,786+1=AH!$U$6),IF(AH!$U$4=0,"unavailable",INDEX('Market Data'!$AK$5:$AK$66,AH!$U$4)),IF(AH!$U$5=1,INDEX('Live History'!$D$5:$D$3004,MATCH($A791,'Live History'!$D$5:$D$3004,1)),INDEX('AH History'!$D$5:$GG$1380,$K791,AH!$U$10+2))),NA()),NA())</f>
        <v/>
      </c>
      <c r="H791" s="266">
        <f>IFERROR(IF(ISNUMBER($A791),IF(AND(AH!$U$12=1,786+1=AH!$U$6),IF(AH!$U$4=0,"unavailable",INDEX('Market Data'!$AP$5:$AP$66,AH!$U$4)),IF(AH!$U$5=1,INDEX('Live History'!$H$5:$H$3004,MATCH($A791,'Live History'!$G$5:$G$3004,1)),INDEX('AH History'!$B$5:$B$1380,$K791))),NA()),NA())</f>
        <v/>
      </c>
      <c r="I791" s="34">
        <f>IFERROR(IF(ISNUMBER($A791),IF(AND(AH!$U$12=1,786+1=AH!$U$6),TODAY(),IF(AH!$U$5=1,INDEX('Live History'!$G$5:$G$3004,MATCH($A791,'Live History'!$G$5:$G$3004,1)),INDEX('AH History'!$C$5:$C$1380,$K791))),NA()),NA())</f>
        <v/>
      </c>
      <c r="J791" s="32">
        <f>IFERROR(IF(AND($F791&gt;0,$H791&gt;0,$A791-$G791&lt;=10,$A791-$I791&lt;=5,$G791&gt;0,$I791&gt;0),$F791*$H791,NA()),NA())</f>
        <v/>
      </c>
      <c r="K791" s="15">
        <f>IF($A791="","",IF(AH!$U$5=1,IFERROR(MATCH($A791,'Live History'!$A$5:$A$3004,0),0),AH!$U$7+786))</f>
        <v/>
      </c>
      <c r="L791" s="15">
        <f>IF(ISNUMBER(A791),TEXT(A791,"dd-mmm-yy"),"")</f>
        <v/>
      </c>
    </row>
    <row r="792">
      <c r="A792" s="14">
        <f>IF(OR(AH!$U$4=0,787+1&gt;AH!$U$6,AND(AH!$M$5="Bloomberg",AH!$U$5=0)),"",IFERROR(IF(AND(AH!$U$12=1,787+1=AH!$U$6),TODAY(),IF(AH!$U$5=1,INDEX('Live History'!$A$5:$A$3004,AH!$U$7+787),INDEX('AH History'!$A$5:$A$1380,AH!$U$7+787))),""))</f>
        <v/>
      </c>
      <c r="B792" s="33">
        <f>IFERROR(IF(AH!$U$11=1,NA(),$J792/$E792-1),NA())</f>
        <v/>
      </c>
      <c r="C792" s="269">
        <f>IFERROR(100*$E792/$E$5,NA())</f>
        <v/>
      </c>
      <c r="D792" s="269">
        <f>IFERROR(100*$J792/$J$5,NA())</f>
        <v/>
      </c>
      <c r="E792" s="32">
        <f>IFERROR(IF(AND(ISNUMBER($A792),N(IF(AND(AH!$U$12=1,787+1=AH!$U$6),IF(AH!$U$4=0,"unavailable",INDEX('Market Data'!$AN$5:$AN$66,AH!$U$4)),IF(AH!$U$5=1,INDEX('Live History'!$B$5:$B$3004,$K792),INDEX('AH History'!$D$5:$GG$1380,$K792,AH!$U$10))))&gt;0),IF(AND(AH!$U$12=1,787+1=AH!$U$6),IF(AH!$U$4=0,"unavailable",INDEX('Market Data'!$AN$5:$AN$66,AH!$U$4)),IF(AH!$U$5=1,INDEX('Live History'!$B$5:$B$3004,$K792),INDEX('AH History'!$D$5:$GG$1380,$K792,AH!$U$10))),NA()),NA())</f>
        <v/>
      </c>
      <c r="F792" s="32">
        <f>IFERROR(IF(ISNUMBER($A792),IF(AND(AH!$U$12=1,787+1=AH!$U$6),IF(AH!$U$4=0,"unavailable",INDEX('Market Data'!$AO$5:$AO$66,AH!$U$4)),IF(AH!$U$5=1,INDEX('Live History'!$E$5:$E$3004,MATCH($A792,'Live History'!$D$5:$D$3004,1)),INDEX('AH History'!$D$5:$GG$1380,$K792,AH!$U$10+1))),NA()),NA())</f>
        <v/>
      </c>
      <c r="G792" s="34">
        <f>IFERROR(IF(ISNUMBER($A792),IF(AND(AH!$U$12=1,787+1=AH!$U$6),IF(AH!$U$4=0,"unavailable",INDEX('Market Data'!$AK$5:$AK$66,AH!$U$4)),IF(AH!$U$5=1,INDEX('Live History'!$D$5:$D$3004,MATCH($A792,'Live History'!$D$5:$D$3004,1)),INDEX('AH History'!$D$5:$GG$1380,$K792,AH!$U$10+2))),NA()),NA())</f>
        <v/>
      </c>
      <c r="H792" s="266">
        <f>IFERROR(IF(ISNUMBER($A792),IF(AND(AH!$U$12=1,787+1=AH!$U$6),IF(AH!$U$4=0,"unavailable",INDEX('Market Data'!$AP$5:$AP$66,AH!$U$4)),IF(AH!$U$5=1,INDEX('Live History'!$H$5:$H$3004,MATCH($A792,'Live History'!$G$5:$G$3004,1)),INDEX('AH History'!$B$5:$B$1380,$K792))),NA()),NA())</f>
        <v/>
      </c>
      <c r="I792" s="34">
        <f>IFERROR(IF(ISNUMBER($A792),IF(AND(AH!$U$12=1,787+1=AH!$U$6),TODAY(),IF(AH!$U$5=1,INDEX('Live History'!$G$5:$G$3004,MATCH($A792,'Live History'!$G$5:$G$3004,1)),INDEX('AH History'!$C$5:$C$1380,$K792))),NA()),NA())</f>
        <v/>
      </c>
      <c r="J792" s="32">
        <f>IFERROR(IF(AND($F792&gt;0,$H792&gt;0,$A792-$G792&lt;=10,$A792-$I792&lt;=5,$G792&gt;0,$I792&gt;0),$F792*$H792,NA()),NA())</f>
        <v/>
      </c>
      <c r="K792" s="15">
        <f>IF($A792="","",IF(AH!$U$5=1,IFERROR(MATCH($A792,'Live History'!$A$5:$A$3004,0),0),AH!$U$7+787))</f>
        <v/>
      </c>
      <c r="L792" s="15">
        <f>IF(ISNUMBER(A792),TEXT(A792,"dd-mmm-yy"),"")</f>
        <v/>
      </c>
    </row>
    <row r="793">
      <c r="A793" s="14">
        <f>IF(OR(AH!$U$4=0,788+1&gt;AH!$U$6,AND(AH!$M$5="Bloomberg",AH!$U$5=0)),"",IFERROR(IF(AND(AH!$U$12=1,788+1=AH!$U$6),TODAY(),IF(AH!$U$5=1,INDEX('Live History'!$A$5:$A$3004,AH!$U$7+788),INDEX('AH History'!$A$5:$A$1380,AH!$U$7+788))),""))</f>
        <v/>
      </c>
      <c r="B793" s="33">
        <f>IFERROR(IF(AH!$U$11=1,NA(),$J793/$E793-1),NA())</f>
        <v/>
      </c>
      <c r="C793" s="269">
        <f>IFERROR(100*$E793/$E$5,NA())</f>
        <v/>
      </c>
      <c r="D793" s="269">
        <f>IFERROR(100*$J793/$J$5,NA())</f>
        <v/>
      </c>
      <c r="E793" s="32">
        <f>IFERROR(IF(AND(ISNUMBER($A793),N(IF(AND(AH!$U$12=1,788+1=AH!$U$6),IF(AH!$U$4=0,"unavailable",INDEX('Market Data'!$AN$5:$AN$66,AH!$U$4)),IF(AH!$U$5=1,INDEX('Live History'!$B$5:$B$3004,$K793),INDEX('AH History'!$D$5:$GG$1380,$K793,AH!$U$10))))&gt;0),IF(AND(AH!$U$12=1,788+1=AH!$U$6),IF(AH!$U$4=0,"unavailable",INDEX('Market Data'!$AN$5:$AN$66,AH!$U$4)),IF(AH!$U$5=1,INDEX('Live History'!$B$5:$B$3004,$K793),INDEX('AH History'!$D$5:$GG$1380,$K793,AH!$U$10))),NA()),NA())</f>
        <v/>
      </c>
      <c r="F793" s="32">
        <f>IFERROR(IF(ISNUMBER($A793),IF(AND(AH!$U$12=1,788+1=AH!$U$6),IF(AH!$U$4=0,"unavailable",INDEX('Market Data'!$AO$5:$AO$66,AH!$U$4)),IF(AH!$U$5=1,INDEX('Live History'!$E$5:$E$3004,MATCH($A793,'Live History'!$D$5:$D$3004,1)),INDEX('AH History'!$D$5:$GG$1380,$K793,AH!$U$10+1))),NA()),NA())</f>
        <v/>
      </c>
      <c r="G793" s="34">
        <f>IFERROR(IF(ISNUMBER($A793),IF(AND(AH!$U$12=1,788+1=AH!$U$6),IF(AH!$U$4=0,"unavailable",INDEX('Market Data'!$AK$5:$AK$66,AH!$U$4)),IF(AH!$U$5=1,INDEX('Live History'!$D$5:$D$3004,MATCH($A793,'Live History'!$D$5:$D$3004,1)),INDEX('AH History'!$D$5:$GG$1380,$K793,AH!$U$10+2))),NA()),NA())</f>
        <v/>
      </c>
      <c r="H793" s="266">
        <f>IFERROR(IF(ISNUMBER($A793),IF(AND(AH!$U$12=1,788+1=AH!$U$6),IF(AH!$U$4=0,"unavailable",INDEX('Market Data'!$AP$5:$AP$66,AH!$U$4)),IF(AH!$U$5=1,INDEX('Live History'!$H$5:$H$3004,MATCH($A793,'Live History'!$G$5:$G$3004,1)),INDEX('AH History'!$B$5:$B$1380,$K793))),NA()),NA())</f>
        <v/>
      </c>
      <c r="I793" s="34">
        <f>IFERROR(IF(ISNUMBER($A793),IF(AND(AH!$U$12=1,788+1=AH!$U$6),TODAY(),IF(AH!$U$5=1,INDEX('Live History'!$G$5:$G$3004,MATCH($A793,'Live History'!$G$5:$G$3004,1)),INDEX('AH History'!$C$5:$C$1380,$K793))),NA()),NA())</f>
        <v/>
      </c>
      <c r="J793" s="32">
        <f>IFERROR(IF(AND($F793&gt;0,$H793&gt;0,$A793-$G793&lt;=10,$A793-$I793&lt;=5,$G793&gt;0,$I793&gt;0),$F793*$H793,NA()),NA())</f>
        <v/>
      </c>
      <c r="K793" s="15">
        <f>IF($A793="","",IF(AH!$U$5=1,IFERROR(MATCH($A793,'Live History'!$A$5:$A$3004,0),0),AH!$U$7+788))</f>
        <v/>
      </c>
      <c r="L793" s="15">
        <f>IF(ISNUMBER(A793),TEXT(A793,"dd-mmm-yy"),"")</f>
        <v/>
      </c>
    </row>
    <row r="794">
      <c r="A794" s="14">
        <f>IF(OR(AH!$U$4=0,789+1&gt;AH!$U$6,AND(AH!$M$5="Bloomberg",AH!$U$5=0)),"",IFERROR(IF(AND(AH!$U$12=1,789+1=AH!$U$6),TODAY(),IF(AH!$U$5=1,INDEX('Live History'!$A$5:$A$3004,AH!$U$7+789),INDEX('AH History'!$A$5:$A$1380,AH!$U$7+789))),""))</f>
        <v/>
      </c>
      <c r="B794" s="33">
        <f>IFERROR(IF(AH!$U$11=1,NA(),$J794/$E794-1),NA())</f>
        <v/>
      </c>
      <c r="C794" s="269">
        <f>IFERROR(100*$E794/$E$5,NA())</f>
        <v/>
      </c>
      <c r="D794" s="269">
        <f>IFERROR(100*$J794/$J$5,NA())</f>
        <v/>
      </c>
      <c r="E794" s="32">
        <f>IFERROR(IF(AND(ISNUMBER($A794),N(IF(AND(AH!$U$12=1,789+1=AH!$U$6),IF(AH!$U$4=0,"unavailable",INDEX('Market Data'!$AN$5:$AN$66,AH!$U$4)),IF(AH!$U$5=1,INDEX('Live History'!$B$5:$B$3004,$K794),INDEX('AH History'!$D$5:$GG$1380,$K794,AH!$U$10))))&gt;0),IF(AND(AH!$U$12=1,789+1=AH!$U$6),IF(AH!$U$4=0,"unavailable",INDEX('Market Data'!$AN$5:$AN$66,AH!$U$4)),IF(AH!$U$5=1,INDEX('Live History'!$B$5:$B$3004,$K794),INDEX('AH History'!$D$5:$GG$1380,$K794,AH!$U$10))),NA()),NA())</f>
        <v/>
      </c>
      <c r="F794" s="32">
        <f>IFERROR(IF(ISNUMBER($A794),IF(AND(AH!$U$12=1,789+1=AH!$U$6),IF(AH!$U$4=0,"unavailable",INDEX('Market Data'!$AO$5:$AO$66,AH!$U$4)),IF(AH!$U$5=1,INDEX('Live History'!$E$5:$E$3004,MATCH($A794,'Live History'!$D$5:$D$3004,1)),INDEX('AH History'!$D$5:$GG$1380,$K794,AH!$U$10+1))),NA()),NA())</f>
        <v/>
      </c>
      <c r="G794" s="34">
        <f>IFERROR(IF(ISNUMBER($A794),IF(AND(AH!$U$12=1,789+1=AH!$U$6),IF(AH!$U$4=0,"unavailable",INDEX('Market Data'!$AK$5:$AK$66,AH!$U$4)),IF(AH!$U$5=1,INDEX('Live History'!$D$5:$D$3004,MATCH($A794,'Live History'!$D$5:$D$3004,1)),INDEX('AH History'!$D$5:$GG$1380,$K794,AH!$U$10+2))),NA()),NA())</f>
        <v/>
      </c>
      <c r="H794" s="266">
        <f>IFERROR(IF(ISNUMBER($A794),IF(AND(AH!$U$12=1,789+1=AH!$U$6),IF(AH!$U$4=0,"unavailable",INDEX('Market Data'!$AP$5:$AP$66,AH!$U$4)),IF(AH!$U$5=1,INDEX('Live History'!$H$5:$H$3004,MATCH($A794,'Live History'!$G$5:$G$3004,1)),INDEX('AH History'!$B$5:$B$1380,$K794))),NA()),NA())</f>
        <v/>
      </c>
      <c r="I794" s="34">
        <f>IFERROR(IF(ISNUMBER($A794),IF(AND(AH!$U$12=1,789+1=AH!$U$6),TODAY(),IF(AH!$U$5=1,INDEX('Live History'!$G$5:$G$3004,MATCH($A794,'Live History'!$G$5:$G$3004,1)),INDEX('AH History'!$C$5:$C$1380,$K794))),NA()),NA())</f>
        <v/>
      </c>
      <c r="J794" s="32">
        <f>IFERROR(IF(AND($F794&gt;0,$H794&gt;0,$A794-$G794&lt;=10,$A794-$I794&lt;=5,$G794&gt;0,$I794&gt;0),$F794*$H794,NA()),NA())</f>
        <v/>
      </c>
      <c r="K794" s="15">
        <f>IF($A794="","",IF(AH!$U$5=1,IFERROR(MATCH($A794,'Live History'!$A$5:$A$3004,0),0),AH!$U$7+789))</f>
        <v/>
      </c>
      <c r="L794" s="15">
        <f>IF(ISNUMBER(A794),TEXT(A794,"dd-mmm-yy"),"")</f>
        <v/>
      </c>
    </row>
    <row r="795">
      <c r="A795" s="14">
        <f>IF(OR(AH!$U$4=0,790+1&gt;AH!$U$6,AND(AH!$M$5="Bloomberg",AH!$U$5=0)),"",IFERROR(IF(AND(AH!$U$12=1,790+1=AH!$U$6),TODAY(),IF(AH!$U$5=1,INDEX('Live History'!$A$5:$A$3004,AH!$U$7+790),INDEX('AH History'!$A$5:$A$1380,AH!$U$7+790))),""))</f>
        <v/>
      </c>
      <c r="B795" s="33">
        <f>IFERROR(IF(AH!$U$11=1,NA(),$J795/$E795-1),NA())</f>
        <v/>
      </c>
      <c r="C795" s="269">
        <f>IFERROR(100*$E795/$E$5,NA())</f>
        <v/>
      </c>
      <c r="D795" s="269">
        <f>IFERROR(100*$J795/$J$5,NA())</f>
        <v/>
      </c>
      <c r="E795" s="32">
        <f>IFERROR(IF(AND(ISNUMBER($A795),N(IF(AND(AH!$U$12=1,790+1=AH!$U$6),IF(AH!$U$4=0,"unavailable",INDEX('Market Data'!$AN$5:$AN$66,AH!$U$4)),IF(AH!$U$5=1,INDEX('Live History'!$B$5:$B$3004,$K795),INDEX('AH History'!$D$5:$GG$1380,$K795,AH!$U$10))))&gt;0),IF(AND(AH!$U$12=1,790+1=AH!$U$6),IF(AH!$U$4=0,"unavailable",INDEX('Market Data'!$AN$5:$AN$66,AH!$U$4)),IF(AH!$U$5=1,INDEX('Live History'!$B$5:$B$3004,$K795),INDEX('AH History'!$D$5:$GG$1380,$K795,AH!$U$10))),NA()),NA())</f>
        <v/>
      </c>
      <c r="F795" s="32">
        <f>IFERROR(IF(ISNUMBER($A795),IF(AND(AH!$U$12=1,790+1=AH!$U$6),IF(AH!$U$4=0,"unavailable",INDEX('Market Data'!$AO$5:$AO$66,AH!$U$4)),IF(AH!$U$5=1,INDEX('Live History'!$E$5:$E$3004,MATCH($A795,'Live History'!$D$5:$D$3004,1)),INDEX('AH History'!$D$5:$GG$1380,$K795,AH!$U$10+1))),NA()),NA())</f>
        <v/>
      </c>
      <c r="G795" s="34">
        <f>IFERROR(IF(ISNUMBER($A795),IF(AND(AH!$U$12=1,790+1=AH!$U$6),IF(AH!$U$4=0,"unavailable",INDEX('Market Data'!$AK$5:$AK$66,AH!$U$4)),IF(AH!$U$5=1,INDEX('Live History'!$D$5:$D$3004,MATCH($A795,'Live History'!$D$5:$D$3004,1)),INDEX('AH History'!$D$5:$GG$1380,$K795,AH!$U$10+2))),NA()),NA())</f>
        <v/>
      </c>
      <c r="H795" s="266">
        <f>IFERROR(IF(ISNUMBER($A795),IF(AND(AH!$U$12=1,790+1=AH!$U$6),IF(AH!$U$4=0,"unavailable",INDEX('Market Data'!$AP$5:$AP$66,AH!$U$4)),IF(AH!$U$5=1,INDEX('Live History'!$H$5:$H$3004,MATCH($A795,'Live History'!$G$5:$G$3004,1)),INDEX('AH History'!$B$5:$B$1380,$K795))),NA()),NA())</f>
        <v/>
      </c>
      <c r="I795" s="34">
        <f>IFERROR(IF(ISNUMBER($A795),IF(AND(AH!$U$12=1,790+1=AH!$U$6),TODAY(),IF(AH!$U$5=1,INDEX('Live History'!$G$5:$G$3004,MATCH($A795,'Live History'!$G$5:$G$3004,1)),INDEX('AH History'!$C$5:$C$1380,$K795))),NA()),NA())</f>
        <v/>
      </c>
      <c r="J795" s="32">
        <f>IFERROR(IF(AND($F795&gt;0,$H795&gt;0,$A795-$G795&lt;=10,$A795-$I795&lt;=5,$G795&gt;0,$I795&gt;0),$F795*$H795,NA()),NA())</f>
        <v/>
      </c>
      <c r="K795" s="15">
        <f>IF($A795="","",IF(AH!$U$5=1,IFERROR(MATCH($A795,'Live History'!$A$5:$A$3004,0),0),AH!$U$7+790))</f>
        <v/>
      </c>
      <c r="L795" s="15">
        <f>IF(ISNUMBER(A795),TEXT(A795,"dd-mmm-yy"),"")</f>
        <v/>
      </c>
    </row>
    <row r="796">
      <c r="A796" s="14">
        <f>IF(OR(AH!$U$4=0,791+1&gt;AH!$U$6,AND(AH!$M$5="Bloomberg",AH!$U$5=0)),"",IFERROR(IF(AND(AH!$U$12=1,791+1=AH!$U$6),TODAY(),IF(AH!$U$5=1,INDEX('Live History'!$A$5:$A$3004,AH!$U$7+791),INDEX('AH History'!$A$5:$A$1380,AH!$U$7+791))),""))</f>
        <v/>
      </c>
      <c r="B796" s="33">
        <f>IFERROR(IF(AH!$U$11=1,NA(),$J796/$E796-1),NA())</f>
        <v/>
      </c>
      <c r="C796" s="269">
        <f>IFERROR(100*$E796/$E$5,NA())</f>
        <v/>
      </c>
      <c r="D796" s="269">
        <f>IFERROR(100*$J796/$J$5,NA())</f>
        <v/>
      </c>
      <c r="E796" s="32">
        <f>IFERROR(IF(AND(ISNUMBER($A796),N(IF(AND(AH!$U$12=1,791+1=AH!$U$6),IF(AH!$U$4=0,"unavailable",INDEX('Market Data'!$AN$5:$AN$66,AH!$U$4)),IF(AH!$U$5=1,INDEX('Live History'!$B$5:$B$3004,$K796),INDEX('AH History'!$D$5:$GG$1380,$K796,AH!$U$10))))&gt;0),IF(AND(AH!$U$12=1,791+1=AH!$U$6),IF(AH!$U$4=0,"unavailable",INDEX('Market Data'!$AN$5:$AN$66,AH!$U$4)),IF(AH!$U$5=1,INDEX('Live History'!$B$5:$B$3004,$K796),INDEX('AH History'!$D$5:$GG$1380,$K796,AH!$U$10))),NA()),NA())</f>
        <v/>
      </c>
      <c r="F796" s="32">
        <f>IFERROR(IF(ISNUMBER($A796),IF(AND(AH!$U$12=1,791+1=AH!$U$6),IF(AH!$U$4=0,"unavailable",INDEX('Market Data'!$AO$5:$AO$66,AH!$U$4)),IF(AH!$U$5=1,INDEX('Live History'!$E$5:$E$3004,MATCH($A796,'Live History'!$D$5:$D$3004,1)),INDEX('AH History'!$D$5:$GG$1380,$K796,AH!$U$10+1))),NA()),NA())</f>
        <v/>
      </c>
      <c r="G796" s="34">
        <f>IFERROR(IF(ISNUMBER($A796),IF(AND(AH!$U$12=1,791+1=AH!$U$6),IF(AH!$U$4=0,"unavailable",INDEX('Market Data'!$AK$5:$AK$66,AH!$U$4)),IF(AH!$U$5=1,INDEX('Live History'!$D$5:$D$3004,MATCH($A796,'Live History'!$D$5:$D$3004,1)),INDEX('AH History'!$D$5:$GG$1380,$K796,AH!$U$10+2))),NA()),NA())</f>
        <v/>
      </c>
      <c r="H796" s="266">
        <f>IFERROR(IF(ISNUMBER($A796),IF(AND(AH!$U$12=1,791+1=AH!$U$6),IF(AH!$U$4=0,"unavailable",INDEX('Market Data'!$AP$5:$AP$66,AH!$U$4)),IF(AH!$U$5=1,INDEX('Live History'!$H$5:$H$3004,MATCH($A796,'Live History'!$G$5:$G$3004,1)),INDEX('AH History'!$B$5:$B$1380,$K796))),NA()),NA())</f>
        <v/>
      </c>
      <c r="I796" s="34">
        <f>IFERROR(IF(ISNUMBER($A796),IF(AND(AH!$U$12=1,791+1=AH!$U$6),TODAY(),IF(AH!$U$5=1,INDEX('Live History'!$G$5:$G$3004,MATCH($A796,'Live History'!$G$5:$G$3004,1)),INDEX('AH History'!$C$5:$C$1380,$K796))),NA()),NA())</f>
        <v/>
      </c>
      <c r="J796" s="32">
        <f>IFERROR(IF(AND($F796&gt;0,$H796&gt;0,$A796-$G796&lt;=10,$A796-$I796&lt;=5,$G796&gt;0,$I796&gt;0),$F796*$H796,NA()),NA())</f>
        <v/>
      </c>
      <c r="K796" s="15">
        <f>IF($A796="","",IF(AH!$U$5=1,IFERROR(MATCH($A796,'Live History'!$A$5:$A$3004,0),0),AH!$U$7+791))</f>
        <v/>
      </c>
      <c r="L796" s="15">
        <f>IF(ISNUMBER(A796),TEXT(A796,"dd-mmm-yy"),"")</f>
        <v/>
      </c>
    </row>
    <row r="797">
      <c r="A797" s="14">
        <f>IF(OR(AH!$U$4=0,792+1&gt;AH!$U$6,AND(AH!$M$5="Bloomberg",AH!$U$5=0)),"",IFERROR(IF(AND(AH!$U$12=1,792+1=AH!$U$6),TODAY(),IF(AH!$U$5=1,INDEX('Live History'!$A$5:$A$3004,AH!$U$7+792),INDEX('AH History'!$A$5:$A$1380,AH!$U$7+792))),""))</f>
        <v/>
      </c>
      <c r="B797" s="33">
        <f>IFERROR(IF(AH!$U$11=1,NA(),$J797/$E797-1),NA())</f>
        <v/>
      </c>
      <c r="C797" s="269">
        <f>IFERROR(100*$E797/$E$5,NA())</f>
        <v/>
      </c>
      <c r="D797" s="269">
        <f>IFERROR(100*$J797/$J$5,NA())</f>
        <v/>
      </c>
      <c r="E797" s="32">
        <f>IFERROR(IF(AND(ISNUMBER($A797),N(IF(AND(AH!$U$12=1,792+1=AH!$U$6),IF(AH!$U$4=0,"unavailable",INDEX('Market Data'!$AN$5:$AN$66,AH!$U$4)),IF(AH!$U$5=1,INDEX('Live History'!$B$5:$B$3004,$K797),INDEX('AH History'!$D$5:$GG$1380,$K797,AH!$U$10))))&gt;0),IF(AND(AH!$U$12=1,792+1=AH!$U$6),IF(AH!$U$4=0,"unavailable",INDEX('Market Data'!$AN$5:$AN$66,AH!$U$4)),IF(AH!$U$5=1,INDEX('Live History'!$B$5:$B$3004,$K797),INDEX('AH History'!$D$5:$GG$1380,$K797,AH!$U$10))),NA()),NA())</f>
        <v/>
      </c>
      <c r="F797" s="32">
        <f>IFERROR(IF(ISNUMBER($A797),IF(AND(AH!$U$12=1,792+1=AH!$U$6),IF(AH!$U$4=0,"unavailable",INDEX('Market Data'!$AO$5:$AO$66,AH!$U$4)),IF(AH!$U$5=1,INDEX('Live History'!$E$5:$E$3004,MATCH($A797,'Live History'!$D$5:$D$3004,1)),INDEX('AH History'!$D$5:$GG$1380,$K797,AH!$U$10+1))),NA()),NA())</f>
        <v/>
      </c>
      <c r="G797" s="34">
        <f>IFERROR(IF(ISNUMBER($A797),IF(AND(AH!$U$12=1,792+1=AH!$U$6),IF(AH!$U$4=0,"unavailable",INDEX('Market Data'!$AK$5:$AK$66,AH!$U$4)),IF(AH!$U$5=1,INDEX('Live History'!$D$5:$D$3004,MATCH($A797,'Live History'!$D$5:$D$3004,1)),INDEX('AH History'!$D$5:$GG$1380,$K797,AH!$U$10+2))),NA()),NA())</f>
        <v/>
      </c>
      <c r="H797" s="266">
        <f>IFERROR(IF(ISNUMBER($A797),IF(AND(AH!$U$12=1,792+1=AH!$U$6),IF(AH!$U$4=0,"unavailable",INDEX('Market Data'!$AP$5:$AP$66,AH!$U$4)),IF(AH!$U$5=1,INDEX('Live History'!$H$5:$H$3004,MATCH($A797,'Live History'!$G$5:$G$3004,1)),INDEX('AH History'!$B$5:$B$1380,$K797))),NA()),NA())</f>
        <v/>
      </c>
      <c r="I797" s="34">
        <f>IFERROR(IF(ISNUMBER($A797),IF(AND(AH!$U$12=1,792+1=AH!$U$6),TODAY(),IF(AH!$U$5=1,INDEX('Live History'!$G$5:$G$3004,MATCH($A797,'Live History'!$G$5:$G$3004,1)),INDEX('AH History'!$C$5:$C$1380,$K797))),NA()),NA())</f>
        <v/>
      </c>
      <c r="J797" s="32">
        <f>IFERROR(IF(AND($F797&gt;0,$H797&gt;0,$A797-$G797&lt;=10,$A797-$I797&lt;=5,$G797&gt;0,$I797&gt;0),$F797*$H797,NA()),NA())</f>
        <v/>
      </c>
      <c r="K797" s="15">
        <f>IF($A797="","",IF(AH!$U$5=1,IFERROR(MATCH($A797,'Live History'!$A$5:$A$3004,0),0),AH!$U$7+792))</f>
        <v/>
      </c>
      <c r="L797" s="15">
        <f>IF(ISNUMBER(A797),TEXT(A797,"dd-mmm-yy"),"")</f>
        <v/>
      </c>
    </row>
    <row r="798">
      <c r="A798" s="14">
        <f>IF(OR(AH!$U$4=0,793+1&gt;AH!$U$6,AND(AH!$M$5="Bloomberg",AH!$U$5=0)),"",IFERROR(IF(AND(AH!$U$12=1,793+1=AH!$U$6),TODAY(),IF(AH!$U$5=1,INDEX('Live History'!$A$5:$A$3004,AH!$U$7+793),INDEX('AH History'!$A$5:$A$1380,AH!$U$7+793))),""))</f>
        <v/>
      </c>
      <c r="B798" s="33">
        <f>IFERROR(IF(AH!$U$11=1,NA(),$J798/$E798-1),NA())</f>
        <v/>
      </c>
      <c r="C798" s="269">
        <f>IFERROR(100*$E798/$E$5,NA())</f>
        <v/>
      </c>
      <c r="D798" s="269">
        <f>IFERROR(100*$J798/$J$5,NA())</f>
        <v/>
      </c>
      <c r="E798" s="32">
        <f>IFERROR(IF(AND(ISNUMBER($A798),N(IF(AND(AH!$U$12=1,793+1=AH!$U$6),IF(AH!$U$4=0,"unavailable",INDEX('Market Data'!$AN$5:$AN$66,AH!$U$4)),IF(AH!$U$5=1,INDEX('Live History'!$B$5:$B$3004,$K798),INDEX('AH History'!$D$5:$GG$1380,$K798,AH!$U$10))))&gt;0),IF(AND(AH!$U$12=1,793+1=AH!$U$6),IF(AH!$U$4=0,"unavailable",INDEX('Market Data'!$AN$5:$AN$66,AH!$U$4)),IF(AH!$U$5=1,INDEX('Live History'!$B$5:$B$3004,$K798),INDEX('AH History'!$D$5:$GG$1380,$K798,AH!$U$10))),NA()),NA())</f>
        <v/>
      </c>
      <c r="F798" s="32">
        <f>IFERROR(IF(ISNUMBER($A798),IF(AND(AH!$U$12=1,793+1=AH!$U$6),IF(AH!$U$4=0,"unavailable",INDEX('Market Data'!$AO$5:$AO$66,AH!$U$4)),IF(AH!$U$5=1,INDEX('Live History'!$E$5:$E$3004,MATCH($A798,'Live History'!$D$5:$D$3004,1)),INDEX('AH History'!$D$5:$GG$1380,$K798,AH!$U$10+1))),NA()),NA())</f>
        <v/>
      </c>
      <c r="G798" s="34">
        <f>IFERROR(IF(ISNUMBER($A798),IF(AND(AH!$U$12=1,793+1=AH!$U$6),IF(AH!$U$4=0,"unavailable",INDEX('Market Data'!$AK$5:$AK$66,AH!$U$4)),IF(AH!$U$5=1,INDEX('Live History'!$D$5:$D$3004,MATCH($A798,'Live History'!$D$5:$D$3004,1)),INDEX('AH History'!$D$5:$GG$1380,$K798,AH!$U$10+2))),NA()),NA())</f>
        <v/>
      </c>
      <c r="H798" s="266">
        <f>IFERROR(IF(ISNUMBER($A798),IF(AND(AH!$U$12=1,793+1=AH!$U$6),IF(AH!$U$4=0,"unavailable",INDEX('Market Data'!$AP$5:$AP$66,AH!$U$4)),IF(AH!$U$5=1,INDEX('Live History'!$H$5:$H$3004,MATCH($A798,'Live History'!$G$5:$G$3004,1)),INDEX('AH History'!$B$5:$B$1380,$K798))),NA()),NA())</f>
        <v/>
      </c>
      <c r="I798" s="34">
        <f>IFERROR(IF(ISNUMBER($A798),IF(AND(AH!$U$12=1,793+1=AH!$U$6),TODAY(),IF(AH!$U$5=1,INDEX('Live History'!$G$5:$G$3004,MATCH($A798,'Live History'!$G$5:$G$3004,1)),INDEX('AH History'!$C$5:$C$1380,$K798))),NA()),NA())</f>
        <v/>
      </c>
      <c r="J798" s="32">
        <f>IFERROR(IF(AND($F798&gt;0,$H798&gt;0,$A798-$G798&lt;=10,$A798-$I798&lt;=5,$G798&gt;0,$I798&gt;0),$F798*$H798,NA()),NA())</f>
        <v/>
      </c>
      <c r="K798" s="15">
        <f>IF($A798="","",IF(AH!$U$5=1,IFERROR(MATCH($A798,'Live History'!$A$5:$A$3004,0),0),AH!$U$7+793))</f>
        <v/>
      </c>
      <c r="L798" s="15">
        <f>IF(ISNUMBER(A798),TEXT(A798,"dd-mmm-yy"),"")</f>
        <v/>
      </c>
    </row>
    <row r="799">
      <c r="A799" s="14">
        <f>IF(OR(AH!$U$4=0,794+1&gt;AH!$U$6,AND(AH!$M$5="Bloomberg",AH!$U$5=0)),"",IFERROR(IF(AND(AH!$U$12=1,794+1=AH!$U$6),TODAY(),IF(AH!$U$5=1,INDEX('Live History'!$A$5:$A$3004,AH!$U$7+794),INDEX('AH History'!$A$5:$A$1380,AH!$U$7+794))),""))</f>
        <v/>
      </c>
      <c r="B799" s="33">
        <f>IFERROR(IF(AH!$U$11=1,NA(),$J799/$E799-1),NA())</f>
        <v/>
      </c>
      <c r="C799" s="269">
        <f>IFERROR(100*$E799/$E$5,NA())</f>
        <v/>
      </c>
      <c r="D799" s="269">
        <f>IFERROR(100*$J799/$J$5,NA())</f>
        <v/>
      </c>
      <c r="E799" s="32">
        <f>IFERROR(IF(AND(ISNUMBER($A799),N(IF(AND(AH!$U$12=1,794+1=AH!$U$6),IF(AH!$U$4=0,"unavailable",INDEX('Market Data'!$AN$5:$AN$66,AH!$U$4)),IF(AH!$U$5=1,INDEX('Live History'!$B$5:$B$3004,$K799),INDEX('AH History'!$D$5:$GG$1380,$K799,AH!$U$10))))&gt;0),IF(AND(AH!$U$12=1,794+1=AH!$U$6),IF(AH!$U$4=0,"unavailable",INDEX('Market Data'!$AN$5:$AN$66,AH!$U$4)),IF(AH!$U$5=1,INDEX('Live History'!$B$5:$B$3004,$K799),INDEX('AH History'!$D$5:$GG$1380,$K799,AH!$U$10))),NA()),NA())</f>
        <v/>
      </c>
      <c r="F799" s="32">
        <f>IFERROR(IF(ISNUMBER($A799),IF(AND(AH!$U$12=1,794+1=AH!$U$6),IF(AH!$U$4=0,"unavailable",INDEX('Market Data'!$AO$5:$AO$66,AH!$U$4)),IF(AH!$U$5=1,INDEX('Live History'!$E$5:$E$3004,MATCH($A799,'Live History'!$D$5:$D$3004,1)),INDEX('AH History'!$D$5:$GG$1380,$K799,AH!$U$10+1))),NA()),NA())</f>
        <v/>
      </c>
      <c r="G799" s="34">
        <f>IFERROR(IF(ISNUMBER($A799),IF(AND(AH!$U$12=1,794+1=AH!$U$6),IF(AH!$U$4=0,"unavailable",INDEX('Market Data'!$AK$5:$AK$66,AH!$U$4)),IF(AH!$U$5=1,INDEX('Live History'!$D$5:$D$3004,MATCH($A799,'Live History'!$D$5:$D$3004,1)),INDEX('AH History'!$D$5:$GG$1380,$K799,AH!$U$10+2))),NA()),NA())</f>
        <v/>
      </c>
      <c r="H799" s="266">
        <f>IFERROR(IF(ISNUMBER($A799),IF(AND(AH!$U$12=1,794+1=AH!$U$6),IF(AH!$U$4=0,"unavailable",INDEX('Market Data'!$AP$5:$AP$66,AH!$U$4)),IF(AH!$U$5=1,INDEX('Live History'!$H$5:$H$3004,MATCH($A799,'Live History'!$G$5:$G$3004,1)),INDEX('AH History'!$B$5:$B$1380,$K799))),NA()),NA())</f>
        <v/>
      </c>
      <c r="I799" s="34">
        <f>IFERROR(IF(ISNUMBER($A799),IF(AND(AH!$U$12=1,794+1=AH!$U$6),TODAY(),IF(AH!$U$5=1,INDEX('Live History'!$G$5:$G$3004,MATCH($A799,'Live History'!$G$5:$G$3004,1)),INDEX('AH History'!$C$5:$C$1380,$K799))),NA()),NA())</f>
        <v/>
      </c>
      <c r="J799" s="32">
        <f>IFERROR(IF(AND($F799&gt;0,$H799&gt;0,$A799-$G799&lt;=10,$A799-$I799&lt;=5,$G799&gt;0,$I799&gt;0),$F799*$H799,NA()),NA())</f>
        <v/>
      </c>
      <c r="K799" s="15">
        <f>IF($A799="","",IF(AH!$U$5=1,IFERROR(MATCH($A799,'Live History'!$A$5:$A$3004,0),0),AH!$U$7+794))</f>
        <v/>
      </c>
      <c r="L799" s="15">
        <f>IF(ISNUMBER(A799),TEXT(A799,"dd-mmm-yy"),"")</f>
        <v/>
      </c>
    </row>
    <row r="800">
      <c r="A800" s="14">
        <f>IF(OR(AH!$U$4=0,795+1&gt;AH!$U$6,AND(AH!$M$5="Bloomberg",AH!$U$5=0)),"",IFERROR(IF(AND(AH!$U$12=1,795+1=AH!$U$6),TODAY(),IF(AH!$U$5=1,INDEX('Live History'!$A$5:$A$3004,AH!$U$7+795),INDEX('AH History'!$A$5:$A$1380,AH!$U$7+795))),""))</f>
        <v/>
      </c>
      <c r="B800" s="33">
        <f>IFERROR(IF(AH!$U$11=1,NA(),$J800/$E800-1),NA())</f>
        <v/>
      </c>
      <c r="C800" s="269">
        <f>IFERROR(100*$E800/$E$5,NA())</f>
        <v/>
      </c>
      <c r="D800" s="269">
        <f>IFERROR(100*$J800/$J$5,NA())</f>
        <v/>
      </c>
      <c r="E800" s="32">
        <f>IFERROR(IF(AND(ISNUMBER($A800),N(IF(AND(AH!$U$12=1,795+1=AH!$U$6),IF(AH!$U$4=0,"unavailable",INDEX('Market Data'!$AN$5:$AN$66,AH!$U$4)),IF(AH!$U$5=1,INDEX('Live History'!$B$5:$B$3004,$K800),INDEX('AH History'!$D$5:$GG$1380,$K800,AH!$U$10))))&gt;0),IF(AND(AH!$U$12=1,795+1=AH!$U$6),IF(AH!$U$4=0,"unavailable",INDEX('Market Data'!$AN$5:$AN$66,AH!$U$4)),IF(AH!$U$5=1,INDEX('Live History'!$B$5:$B$3004,$K800),INDEX('AH History'!$D$5:$GG$1380,$K800,AH!$U$10))),NA()),NA())</f>
        <v/>
      </c>
      <c r="F800" s="32">
        <f>IFERROR(IF(ISNUMBER($A800),IF(AND(AH!$U$12=1,795+1=AH!$U$6),IF(AH!$U$4=0,"unavailable",INDEX('Market Data'!$AO$5:$AO$66,AH!$U$4)),IF(AH!$U$5=1,INDEX('Live History'!$E$5:$E$3004,MATCH($A800,'Live History'!$D$5:$D$3004,1)),INDEX('AH History'!$D$5:$GG$1380,$K800,AH!$U$10+1))),NA()),NA())</f>
        <v/>
      </c>
      <c r="G800" s="34">
        <f>IFERROR(IF(ISNUMBER($A800),IF(AND(AH!$U$12=1,795+1=AH!$U$6),IF(AH!$U$4=0,"unavailable",INDEX('Market Data'!$AK$5:$AK$66,AH!$U$4)),IF(AH!$U$5=1,INDEX('Live History'!$D$5:$D$3004,MATCH($A800,'Live History'!$D$5:$D$3004,1)),INDEX('AH History'!$D$5:$GG$1380,$K800,AH!$U$10+2))),NA()),NA())</f>
        <v/>
      </c>
      <c r="H800" s="266">
        <f>IFERROR(IF(ISNUMBER($A800),IF(AND(AH!$U$12=1,795+1=AH!$U$6),IF(AH!$U$4=0,"unavailable",INDEX('Market Data'!$AP$5:$AP$66,AH!$U$4)),IF(AH!$U$5=1,INDEX('Live History'!$H$5:$H$3004,MATCH($A800,'Live History'!$G$5:$G$3004,1)),INDEX('AH History'!$B$5:$B$1380,$K800))),NA()),NA())</f>
        <v/>
      </c>
      <c r="I800" s="34">
        <f>IFERROR(IF(ISNUMBER($A800),IF(AND(AH!$U$12=1,795+1=AH!$U$6),TODAY(),IF(AH!$U$5=1,INDEX('Live History'!$G$5:$G$3004,MATCH($A800,'Live History'!$G$5:$G$3004,1)),INDEX('AH History'!$C$5:$C$1380,$K800))),NA()),NA())</f>
        <v/>
      </c>
      <c r="J800" s="32">
        <f>IFERROR(IF(AND($F800&gt;0,$H800&gt;0,$A800-$G800&lt;=10,$A800-$I800&lt;=5,$G800&gt;0,$I800&gt;0),$F800*$H800,NA()),NA())</f>
        <v/>
      </c>
      <c r="K800" s="15">
        <f>IF($A800="","",IF(AH!$U$5=1,IFERROR(MATCH($A800,'Live History'!$A$5:$A$3004,0),0),AH!$U$7+795))</f>
        <v/>
      </c>
      <c r="L800" s="15">
        <f>IF(ISNUMBER(A800),TEXT(A800,"dd-mmm-yy"),"")</f>
        <v/>
      </c>
    </row>
    <row r="801">
      <c r="A801" s="14">
        <f>IF(OR(AH!$U$4=0,796+1&gt;AH!$U$6,AND(AH!$M$5="Bloomberg",AH!$U$5=0)),"",IFERROR(IF(AND(AH!$U$12=1,796+1=AH!$U$6),TODAY(),IF(AH!$U$5=1,INDEX('Live History'!$A$5:$A$3004,AH!$U$7+796),INDEX('AH History'!$A$5:$A$1380,AH!$U$7+796))),""))</f>
        <v/>
      </c>
      <c r="B801" s="33">
        <f>IFERROR(IF(AH!$U$11=1,NA(),$J801/$E801-1),NA())</f>
        <v/>
      </c>
      <c r="C801" s="269">
        <f>IFERROR(100*$E801/$E$5,NA())</f>
        <v/>
      </c>
      <c r="D801" s="269">
        <f>IFERROR(100*$J801/$J$5,NA())</f>
        <v/>
      </c>
      <c r="E801" s="32">
        <f>IFERROR(IF(AND(ISNUMBER($A801),N(IF(AND(AH!$U$12=1,796+1=AH!$U$6),IF(AH!$U$4=0,"unavailable",INDEX('Market Data'!$AN$5:$AN$66,AH!$U$4)),IF(AH!$U$5=1,INDEX('Live History'!$B$5:$B$3004,$K801),INDEX('AH History'!$D$5:$GG$1380,$K801,AH!$U$10))))&gt;0),IF(AND(AH!$U$12=1,796+1=AH!$U$6),IF(AH!$U$4=0,"unavailable",INDEX('Market Data'!$AN$5:$AN$66,AH!$U$4)),IF(AH!$U$5=1,INDEX('Live History'!$B$5:$B$3004,$K801),INDEX('AH History'!$D$5:$GG$1380,$K801,AH!$U$10))),NA()),NA())</f>
        <v/>
      </c>
      <c r="F801" s="32">
        <f>IFERROR(IF(ISNUMBER($A801),IF(AND(AH!$U$12=1,796+1=AH!$U$6),IF(AH!$U$4=0,"unavailable",INDEX('Market Data'!$AO$5:$AO$66,AH!$U$4)),IF(AH!$U$5=1,INDEX('Live History'!$E$5:$E$3004,MATCH($A801,'Live History'!$D$5:$D$3004,1)),INDEX('AH History'!$D$5:$GG$1380,$K801,AH!$U$10+1))),NA()),NA())</f>
        <v/>
      </c>
      <c r="G801" s="34">
        <f>IFERROR(IF(ISNUMBER($A801),IF(AND(AH!$U$12=1,796+1=AH!$U$6),IF(AH!$U$4=0,"unavailable",INDEX('Market Data'!$AK$5:$AK$66,AH!$U$4)),IF(AH!$U$5=1,INDEX('Live History'!$D$5:$D$3004,MATCH($A801,'Live History'!$D$5:$D$3004,1)),INDEX('AH History'!$D$5:$GG$1380,$K801,AH!$U$10+2))),NA()),NA())</f>
        <v/>
      </c>
      <c r="H801" s="266">
        <f>IFERROR(IF(ISNUMBER($A801),IF(AND(AH!$U$12=1,796+1=AH!$U$6),IF(AH!$U$4=0,"unavailable",INDEX('Market Data'!$AP$5:$AP$66,AH!$U$4)),IF(AH!$U$5=1,INDEX('Live History'!$H$5:$H$3004,MATCH($A801,'Live History'!$G$5:$G$3004,1)),INDEX('AH History'!$B$5:$B$1380,$K801))),NA()),NA())</f>
        <v/>
      </c>
      <c r="I801" s="34">
        <f>IFERROR(IF(ISNUMBER($A801),IF(AND(AH!$U$12=1,796+1=AH!$U$6),TODAY(),IF(AH!$U$5=1,INDEX('Live History'!$G$5:$G$3004,MATCH($A801,'Live History'!$G$5:$G$3004,1)),INDEX('AH History'!$C$5:$C$1380,$K801))),NA()),NA())</f>
        <v/>
      </c>
      <c r="J801" s="32">
        <f>IFERROR(IF(AND($F801&gt;0,$H801&gt;0,$A801-$G801&lt;=10,$A801-$I801&lt;=5,$G801&gt;0,$I801&gt;0),$F801*$H801,NA()),NA())</f>
        <v/>
      </c>
      <c r="K801" s="15">
        <f>IF($A801="","",IF(AH!$U$5=1,IFERROR(MATCH($A801,'Live History'!$A$5:$A$3004,0),0),AH!$U$7+796))</f>
        <v/>
      </c>
      <c r="L801" s="15">
        <f>IF(ISNUMBER(A801),TEXT(A801,"dd-mmm-yy"),"")</f>
        <v/>
      </c>
    </row>
    <row r="802">
      <c r="A802" s="14">
        <f>IF(OR(AH!$U$4=0,797+1&gt;AH!$U$6,AND(AH!$M$5="Bloomberg",AH!$U$5=0)),"",IFERROR(IF(AND(AH!$U$12=1,797+1=AH!$U$6),TODAY(),IF(AH!$U$5=1,INDEX('Live History'!$A$5:$A$3004,AH!$U$7+797),INDEX('AH History'!$A$5:$A$1380,AH!$U$7+797))),""))</f>
        <v/>
      </c>
      <c r="B802" s="33">
        <f>IFERROR(IF(AH!$U$11=1,NA(),$J802/$E802-1),NA())</f>
        <v/>
      </c>
      <c r="C802" s="269">
        <f>IFERROR(100*$E802/$E$5,NA())</f>
        <v/>
      </c>
      <c r="D802" s="269">
        <f>IFERROR(100*$J802/$J$5,NA())</f>
        <v/>
      </c>
      <c r="E802" s="32">
        <f>IFERROR(IF(AND(ISNUMBER($A802),N(IF(AND(AH!$U$12=1,797+1=AH!$U$6),IF(AH!$U$4=0,"unavailable",INDEX('Market Data'!$AN$5:$AN$66,AH!$U$4)),IF(AH!$U$5=1,INDEX('Live History'!$B$5:$B$3004,$K802),INDEX('AH History'!$D$5:$GG$1380,$K802,AH!$U$10))))&gt;0),IF(AND(AH!$U$12=1,797+1=AH!$U$6),IF(AH!$U$4=0,"unavailable",INDEX('Market Data'!$AN$5:$AN$66,AH!$U$4)),IF(AH!$U$5=1,INDEX('Live History'!$B$5:$B$3004,$K802),INDEX('AH History'!$D$5:$GG$1380,$K802,AH!$U$10))),NA()),NA())</f>
        <v/>
      </c>
      <c r="F802" s="32">
        <f>IFERROR(IF(ISNUMBER($A802),IF(AND(AH!$U$12=1,797+1=AH!$U$6),IF(AH!$U$4=0,"unavailable",INDEX('Market Data'!$AO$5:$AO$66,AH!$U$4)),IF(AH!$U$5=1,INDEX('Live History'!$E$5:$E$3004,MATCH($A802,'Live History'!$D$5:$D$3004,1)),INDEX('AH History'!$D$5:$GG$1380,$K802,AH!$U$10+1))),NA()),NA())</f>
        <v/>
      </c>
      <c r="G802" s="34">
        <f>IFERROR(IF(ISNUMBER($A802),IF(AND(AH!$U$12=1,797+1=AH!$U$6),IF(AH!$U$4=0,"unavailable",INDEX('Market Data'!$AK$5:$AK$66,AH!$U$4)),IF(AH!$U$5=1,INDEX('Live History'!$D$5:$D$3004,MATCH($A802,'Live History'!$D$5:$D$3004,1)),INDEX('AH History'!$D$5:$GG$1380,$K802,AH!$U$10+2))),NA()),NA())</f>
        <v/>
      </c>
      <c r="H802" s="266">
        <f>IFERROR(IF(ISNUMBER($A802),IF(AND(AH!$U$12=1,797+1=AH!$U$6),IF(AH!$U$4=0,"unavailable",INDEX('Market Data'!$AP$5:$AP$66,AH!$U$4)),IF(AH!$U$5=1,INDEX('Live History'!$H$5:$H$3004,MATCH($A802,'Live History'!$G$5:$G$3004,1)),INDEX('AH History'!$B$5:$B$1380,$K802))),NA()),NA())</f>
        <v/>
      </c>
      <c r="I802" s="34">
        <f>IFERROR(IF(ISNUMBER($A802),IF(AND(AH!$U$12=1,797+1=AH!$U$6),TODAY(),IF(AH!$U$5=1,INDEX('Live History'!$G$5:$G$3004,MATCH($A802,'Live History'!$G$5:$G$3004,1)),INDEX('AH History'!$C$5:$C$1380,$K802))),NA()),NA())</f>
        <v/>
      </c>
      <c r="J802" s="32">
        <f>IFERROR(IF(AND($F802&gt;0,$H802&gt;0,$A802-$G802&lt;=10,$A802-$I802&lt;=5,$G802&gt;0,$I802&gt;0),$F802*$H802,NA()),NA())</f>
        <v/>
      </c>
      <c r="K802" s="15">
        <f>IF($A802="","",IF(AH!$U$5=1,IFERROR(MATCH($A802,'Live History'!$A$5:$A$3004,0),0),AH!$U$7+797))</f>
        <v/>
      </c>
      <c r="L802" s="15">
        <f>IF(ISNUMBER(A802),TEXT(A802,"dd-mmm-yy"),"")</f>
        <v/>
      </c>
    </row>
    <row r="803">
      <c r="A803" s="14">
        <f>IF(OR(AH!$U$4=0,798+1&gt;AH!$U$6,AND(AH!$M$5="Bloomberg",AH!$U$5=0)),"",IFERROR(IF(AND(AH!$U$12=1,798+1=AH!$U$6),TODAY(),IF(AH!$U$5=1,INDEX('Live History'!$A$5:$A$3004,AH!$U$7+798),INDEX('AH History'!$A$5:$A$1380,AH!$U$7+798))),""))</f>
        <v/>
      </c>
      <c r="B803" s="33">
        <f>IFERROR(IF(AH!$U$11=1,NA(),$J803/$E803-1),NA())</f>
        <v/>
      </c>
      <c r="C803" s="269">
        <f>IFERROR(100*$E803/$E$5,NA())</f>
        <v/>
      </c>
      <c r="D803" s="269">
        <f>IFERROR(100*$J803/$J$5,NA())</f>
        <v/>
      </c>
      <c r="E803" s="32">
        <f>IFERROR(IF(AND(ISNUMBER($A803),N(IF(AND(AH!$U$12=1,798+1=AH!$U$6),IF(AH!$U$4=0,"unavailable",INDEX('Market Data'!$AN$5:$AN$66,AH!$U$4)),IF(AH!$U$5=1,INDEX('Live History'!$B$5:$B$3004,$K803),INDEX('AH History'!$D$5:$GG$1380,$K803,AH!$U$10))))&gt;0),IF(AND(AH!$U$12=1,798+1=AH!$U$6),IF(AH!$U$4=0,"unavailable",INDEX('Market Data'!$AN$5:$AN$66,AH!$U$4)),IF(AH!$U$5=1,INDEX('Live History'!$B$5:$B$3004,$K803),INDEX('AH History'!$D$5:$GG$1380,$K803,AH!$U$10))),NA()),NA())</f>
        <v/>
      </c>
      <c r="F803" s="32">
        <f>IFERROR(IF(ISNUMBER($A803),IF(AND(AH!$U$12=1,798+1=AH!$U$6),IF(AH!$U$4=0,"unavailable",INDEX('Market Data'!$AO$5:$AO$66,AH!$U$4)),IF(AH!$U$5=1,INDEX('Live History'!$E$5:$E$3004,MATCH($A803,'Live History'!$D$5:$D$3004,1)),INDEX('AH History'!$D$5:$GG$1380,$K803,AH!$U$10+1))),NA()),NA())</f>
        <v/>
      </c>
      <c r="G803" s="34">
        <f>IFERROR(IF(ISNUMBER($A803),IF(AND(AH!$U$12=1,798+1=AH!$U$6),IF(AH!$U$4=0,"unavailable",INDEX('Market Data'!$AK$5:$AK$66,AH!$U$4)),IF(AH!$U$5=1,INDEX('Live History'!$D$5:$D$3004,MATCH($A803,'Live History'!$D$5:$D$3004,1)),INDEX('AH History'!$D$5:$GG$1380,$K803,AH!$U$10+2))),NA()),NA())</f>
        <v/>
      </c>
      <c r="H803" s="266">
        <f>IFERROR(IF(ISNUMBER($A803),IF(AND(AH!$U$12=1,798+1=AH!$U$6),IF(AH!$U$4=0,"unavailable",INDEX('Market Data'!$AP$5:$AP$66,AH!$U$4)),IF(AH!$U$5=1,INDEX('Live History'!$H$5:$H$3004,MATCH($A803,'Live History'!$G$5:$G$3004,1)),INDEX('AH History'!$B$5:$B$1380,$K803))),NA()),NA())</f>
        <v/>
      </c>
      <c r="I803" s="34">
        <f>IFERROR(IF(ISNUMBER($A803),IF(AND(AH!$U$12=1,798+1=AH!$U$6),TODAY(),IF(AH!$U$5=1,INDEX('Live History'!$G$5:$G$3004,MATCH($A803,'Live History'!$G$5:$G$3004,1)),INDEX('AH History'!$C$5:$C$1380,$K803))),NA()),NA())</f>
        <v/>
      </c>
      <c r="J803" s="32">
        <f>IFERROR(IF(AND($F803&gt;0,$H803&gt;0,$A803-$G803&lt;=10,$A803-$I803&lt;=5,$G803&gt;0,$I803&gt;0),$F803*$H803,NA()),NA())</f>
        <v/>
      </c>
      <c r="K803" s="15">
        <f>IF($A803="","",IF(AH!$U$5=1,IFERROR(MATCH($A803,'Live History'!$A$5:$A$3004,0),0),AH!$U$7+798))</f>
        <v/>
      </c>
      <c r="L803" s="15">
        <f>IF(ISNUMBER(A803),TEXT(A803,"dd-mmm-yy"),"")</f>
        <v/>
      </c>
    </row>
    <row r="804">
      <c r="A804" s="14">
        <f>IF(OR(AH!$U$4=0,799+1&gt;AH!$U$6,AND(AH!$M$5="Bloomberg",AH!$U$5=0)),"",IFERROR(IF(AND(AH!$U$12=1,799+1=AH!$U$6),TODAY(),IF(AH!$U$5=1,INDEX('Live History'!$A$5:$A$3004,AH!$U$7+799),INDEX('AH History'!$A$5:$A$1380,AH!$U$7+799))),""))</f>
        <v/>
      </c>
      <c r="B804" s="33">
        <f>IFERROR(IF(AH!$U$11=1,NA(),$J804/$E804-1),NA())</f>
        <v/>
      </c>
      <c r="C804" s="269">
        <f>IFERROR(100*$E804/$E$5,NA())</f>
        <v/>
      </c>
      <c r="D804" s="269">
        <f>IFERROR(100*$J804/$J$5,NA())</f>
        <v/>
      </c>
      <c r="E804" s="32">
        <f>IFERROR(IF(AND(ISNUMBER($A804),N(IF(AND(AH!$U$12=1,799+1=AH!$U$6),IF(AH!$U$4=0,"unavailable",INDEX('Market Data'!$AN$5:$AN$66,AH!$U$4)),IF(AH!$U$5=1,INDEX('Live History'!$B$5:$B$3004,$K804),INDEX('AH History'!$D$5:$GG$1380,$K804,AH!$U$10))))&gt;0),IF(AND(AH!$U$12=1,799+1=AH!$U$6),IF(AH!$U$4=0,"unavailable",INDEX('Market Data'!$AN$5:$AN$66,AH!$U$4)),IF(AH!$U$5=1,INDEX('Live History'!$B$5:$B$3004,$K804),INDEX('AH History'!$D$5:$GG$1380,$K804,AH!$U$10))),NA()),NA())</f>
        <v/>
      </c>
      <c r="F804" s="32">
        <f>IFERROR(IF(ISNUMBER($A804),IF(AND(AH!$U$12=1,799+1=AH!$U$6),IF(AH!$U$4=0,"unavailable",INDEX('Market Data'!$AO$5:$AO$66,AH!$U$4)),IF(AH!$U$5=1,INDEX('Live History'!$E$5:$E$3004,MATCH($A804,'Live History'!$D$5:$D$3004,1)),INDEX('AH History'!$D$5:$GG$1380,$K804,AH!$U$10+1))),NA()),NA())</f>
        <v/>
      </c>
      <c r="G804" s="34">
        <f>IFERROR(IF(ISNUMBER($A804),IF(AND(AH!$U$12=1,799+1=AH!$U$6),IF(AH!$U$4=0,"unavailable",INDEX('Market Data'!$AK$5:$AK$66,AH!$U$4)),IF(AH!$U$5=1,INDEX('Live History'!$D$5:$D$3004,MATCH($A804,'Live History'!$D$5:$D$3004,1)),INDEX('AH History'!$D$5:$GG$1380,$K804,AH!$U$10+2))),NA()),NA())</f>
        <v/>
      </c>
      <c r="H804" s="266">
        <f>IFERROR(IF(ISNUMBER($A804),IF(AND(AH!$U$12=1,799+1=AH!$U$6),IF(AH!$U$4=0,"unavailable",INDEX('Market Data'!$AP$5:$AP$66,AH!$U$4)),IF(AH!$U$5=1,INDEX('Live History'!$H$5:$H$3004,MATCH($A804,'Live History'!$G$5:$G$3004,1)),INDEX('AH History'!$B$5:$B$1380,$K804))),NA()),NA())</f>
        <v/>
      </c>
      <c r="I804" s="34">
        <f>IFERROR(IF(ISNUMBER($A804),IF(AND(AH!$U$12=1,799+1=AH!$U$6),TODAY(),IF(AH!$U$5=1,INDEX('Live History'!$G$5:$G$3004,MATCH($A804,'Live History'!$G$5:$G$3004,1)),INDEX('AH History'!$C$5:$C$1380,$K804))),NA()),NA())</f>
        <v/>
      </c>
      <c r="J804" s="32">
        <f>IFERROR(IF(AND($F804&gt;0,$H804&gt;0,$A804-$G804&lt;=10,$A804-$I804&lt;=5,$G804&gt;0,$I804&gt;0),$F804*$H804,NA()),NA())</f>
        <v/>
      </c>
      <c r="K804" s="15">
        <f>IF($A804="","",IF(AH!$U$5=1,IFERROR(MATCH($A804,'Live History'!$A$5:$A$3004,0),0),AH!$U$7+799))</f>
        <v/>
      </c>
      <c r="L804" s="15">
        <f>IF(ISNUMBER(A804),TEXT(A804,"dd-mmm-yy"),"")</f>
        <v/>
      </c>
    </row>
    <row r="805">
      <c r="A805" s="14">
        <f>IF(OR(AH!$U$4=0,800+1&gt;AH!$U$6,AND(AH!$M$5="Bloomberg",AH!$U$5=0)),"",IFERROR(IF(AND(AH!$U$12=1,800+1=AH!$U$6),TODAY(),IF(AH!$U$5=1,INDEX('Live History'!$A$5:$A$3004,AH!$U$7+800),INDEX('AH History'!$A$5:$A$1380,AH!$U$7+800))),""))</f>
        <v/>
      </c>
      <c r="B805" s="33">
        <f>IFERROR(IF(AH!$U$11=1,NA(),$J805/$E805-1),NA())</f>
        <v/>
      </c>
      <c r="C805" s="269">
        <f>IFERROR(100*$E805/$E$5,NA())</f>
        <v/>
      </c>
      <c r="D805" s="269">
        <f>IFERROR(100*$J805/$J$5,NA())</f>
        <v/>
      </c>
      <c r="E805" s="32">
        <f>IFERROR(IF(AND(ISNUMBER($A805),N(IF(AND(AH!$U$12=1,800+1=AH!$U$6),IF(AH!$U$4=0,"unavailable",INDEX('Market Data'!$AN$5:$AN$66,AH!$U$4)),IF(AH!$U$5=1,INDEX('Live History'!$B$5:$B$3004,$K805),INDEX('AH History'!$D$5:$GG$1380,$K805,AH!$U$10))))&gt;0),IF(AND(AH!$U$12=1,800+1=AH!$U$6),IF(AH!$U$4=0,"unavailable",INDEX('Market Data'!$AN$5:$AN$66,AH!$U$4)),IF(AH!$U$5=1,INDEX('Live History'!$B$5:$B$3004,$K805),INDEX('AH History'!$D$5:$GG$1380,$K805,AH!$U$10))),NA()),NA())</f>
        <v/>
      </c>
      <c r="F805" s="32">
        <f>IFERROR(IF(ISNUMBER($A805),IF(AND(AH!$U$12=1,800+1=AH!$U$6),IF(AH!$U$4=0,"unavailable",INDEX('Market Data'!$AO$5:$AO$66,AH!$U$4)),IF(AH!$U$5=1,INDEX('Live History'!$E$5:$E$3004,MATCH($A805,'Live History'!$D$5:$D$3004,1)),INDEX('AH History'!$D$5:$GG$1380,$K805,AH!$U$10+1))),NA()),NA())</f>
        <v/>
      </c>
      <c r="G805" s="34">
        <f>IFERROR(IF(ISNUMBER($A805),IF(AND(AH!$U$12=1,800+1=AH!$U$6),IF(AH!$U$4=0,"unavailable",INDEX('Market Data'!$AK$5:$AK$66,AH!$U$4)),IF(AH!$U$5=1,INDEX('Live History'!$D$5:$D$3004,MATCH($A805,'Live History'!$D$5:$D$3004,1)),INDEX('AH History'!$D$5:$GG$1380,$K805,AH!$U$10+2))),NA()),NA())</f>
        <v/>
      </c>
      <c r="H805" s="266">
        <f>IFERROR(IF(ISNUMBER($A805),IF(AND(AH!$U$12=1,800+1=AH!$U$6),IF(AH!$U$4=0,"unavailable",INDEX('Market Data'!$AP$5:$AP$66,AH!$U$4)),IF(AH!$U$5=1,INDEX('Live History'!$H$5:$H$3004,MATCH($A805,'Live History'!$G$5:$G$3004,1)),INDEX('AH History'!$B$5:$B$1380,$K805))),NA()),NA())</f>
        <v/>
      </c>
      <c r="I805" s="34">
        <f>IFERROR(IF(ISNUMBER($A805),IF(AND(AH!$U$12=1,800+1=AH!$U$6),TODAY(),IF(AH!$U$5=1,INDEX('Live History'!$G$5:$G$3004,MATCH($A805,'Live History'!$G$5:$G$3004,1)),INDEX('AH History'!$C$5:$C$1380,$K805))),NA()),NA())</f>
        <v/>
      </c>
      <c r="J805" s="32">
        <f>IFERROR(IF(AND($F805&gt;0,$H805&gt;0,$A805-$G805&lt;=10,$A805-$I805&lt;=5,$G805&gt;0,$I805&gt;0),$F805*$H805,NA()),NA())</f>
        <v/>
      </c>
      <c r="K805" s="15">
        <f>IF($A805="","",IF(AH!$U$5=1,IFERROR(MATCH($A805,'Live History'!$A$5:$A$3004,0),0),AH!$U$7+800))</f>
        <v/>
      </c>
      <c r="L805" s="15">
        <f>IF(ISNUMBER(A805),TEXT(A805,"dd-mmm-yy"),"")</f>
        <v/>
      </c>
    </row>
    <row r="806">
      <c r="A806" s="14">
        <f>IF(OR(AH!$U$4=0,801+1&gt;AH!$U$6,AND(AH!$M$5="Bloomberg",AH!$U$5=0)),"",IFERROR(IF(AND(AH!$U$12=1,801+1=AH!$U$6),TODAY(),IF(AH!$U$5=1,INDEX('Live History'!$A$5:$A$3004,AH!$U$7+801),INDEX('AH History'!$A$5:$A$1380,AH!$U$7+801))),""))</f>
        <v/>
      </c>
      <c r="B806" s="33">
        <f>IFERROR(IF(AH!$U$11=1,NA(),$J806/$E806-1),NA())</f>
        <v/>
      </c>
      <c r="C806" s="269">
        <f>IFERROR(100*$E806/$E$5,NA())</f>
        <v/>
      </c>
      <c r="D806" s="269">
        <f>IFERROR(100*$J806/$J$5,NA())</f>
        <v/>
      </c>
      <c r="E806" s="32">
        <f>IFERROR(IF(AND(ISNUMBER($A806),N(IF(AND(AH!$U$12=1,801+1=AH!$U$6),IF(AH!$U$4=0,"unavailable",INDEX('Market Data'!$AN$5:$AN$66,AH!$U$4)),IF(AH!$U$5=1,INDEX('Live History'!$B$5:$B$3004,$K806),INDEX('AH History'!$D$5:$GG$1380,$K806,AH!$U$10))))&gt;0),IF(AND(AH!$U$12=1,801+1=AH!$U$6),IF(AH!$U$4=0,"unavailable",INDEX('Market Data'!$AN$5:$AN$66,AH!$U$4)),IF(AH!$U$5=1,INDEX('Live History'!$B$5:$B$3004,$K806),INDEX('AH History'!$D$5:$GG$1380,$K806,AH!$U$10))),NA()),NA())</f>
        <v/>
      </c>
      <c r="F806" s="32">
        <f>IFERROR(IF(ISNUMBER($A806),IF(AND(AH!$U$12=1,801+1=AH!$U$6),IF(AH!$U$4=0,"unavailable",INDEX('Market Data'!$AO$5:$AO$66,AH!$U$4)),IF(AH!$U$5=1,INDEX('Live History'!$E$5:$E$3004,MATCH($A806,'Live History'!$D$5:$D$3004,1)),INDEX('AH History'!$D$5:$GG$1380,$K806,AH!$U$10+1))),NA()),NA())</f>
        <v/>
      </c>
      <c r="G806" s="34">
        <f>IFERROR(IF(ISNUMBER($A806),IF(AND(AH!$U$12=1,801+1=AH!$U$6),IF(AH!$U$4=0,"unavailable",INDEX('Market Data'!$AK$5:$AK$66,AH!$U$4)),IF(AH!$U$5=1,INDEX('Live History'!$D$5:$D$3004,MATCH($A806,'Live History'!$D$5:$D$3004,1)),INDEX('AH History'!$D$5:$GG$1380,$K806,AH!$U$10+2))),NA()),NA())</f>
        <v/>
      </c>
      <c r="H806" s="266">
        <f>IFERROR(IF(ISNUMBER($A806),IF(AND(AH!$U$12=1,801+1=AH!$U$6),IF(AH!$U$4=0,"unavailable",INDEX('Market Data'!$AP$5:$AP$66,AH!$U$4)),IF(AH!$U$5=1,INDEX('Live History'!$H$5:$H$3004,MATCH($A806,'Live History'!$G$5:$G$3004,1)),INDEX('AH History'!$B$5:$B$1380,$K806))),NA()),NA())</f>
        <v/>
      </c>
      <c r="I806" s="34">
        <f>IFERROR(IF(ISNUMBER($A806),IF(AND(AH!$U$12=1,801+1=AH!$U$6),TODAY(),IF(AH!$U$5=1,INDEX('Live History'!$G$5:$G$3004,MATCH($A806,'Live History'!$G$5:$G$3004,1)),INDEX('AH History'!$C$5:$C$1380,$K806))),NA()),NA())</f>
        <v/>
      </c>
      <c r="J806" s="32">
        <f>IFERROR(IF(AND($F806&gt;0,$H806&gt;0,$A806-$G806&lt;=10,$A806-$I806&lt;=5,$G806&gt;0,$I806&gt;0),$F806*$H806,NA()),NA())</f>
        <v/>
      </c>
      <c r="K806" s="15">
        <f>IF($A806="","",IF(AH!$U$5=1,IFERROR(MATCH($A806,'Live History'!$A$5:$A$3004,0),0),AH!$U$7+801))</f>
        <v/>
      </c>
      <c r="L806" s="15">
        <f>IF(ISNUMBER(A806),TEXT(A806,"dd-mmm-yy"),"")</f>
        <v/>
      </c>
    </row>
    <row r="807">
      <c r="A807" s="14">
        <f>IF(OR(AH!$U$4=0,802+1&gt;AH!$U$6,AND(AH!$M$5="Bloomberg",AH!$U$5=0)),"",IFERROR(IF(AND(AH!$U$12=1,802+1=AH!$U$6),TODAY(),IF(AH!$U$5=1,INDEX('Live History'!$A$5:$A$3004,AH!$U$7+802),INDEX('AH History'!$A$5:$A$1380,AH!$U$7+802))),""))</f>
        <v/>
      </c>
      <c r="B807" s="33">
        <f>IFERROR(IF(AH!$U$11=1,NA(),$J807/$E807-1),NA())</f>
        <v/>
      </c>
      <c r="C807" s="269">
        <f>IFERROR(100*$E807/$E$5,NA())</f>
        <v/>
      </c>
      <c r="D807" s="269">
        <f>IFERROR(100*$J807/$J$5,NA())</f>
        <v/>
      </c>
      <c r="E807" s="32">
        <f>IFERROR(IF(AND(ISNUMBER($A807),N(IF(AND(AH!$U$12=1,802+1=AH!$U$6),IF(AH!$U$4=0,"unavailable",INDEX('Market Data'!$AN$5:$AN$66,AH!$U$4)),IF(AH!$U$5=1,INDEX('Live History'!$B$5:$B$3004,$K807),INDEX('AH History'!$D$5:$GG$1380,$K807,AH!$U$10))))&gt;0),IF(AND(AH!$U$12=1,802+1=AH!$U$6),IF(AH!$U$4=0,"unavailable",INDEX('Market Data'!$AN$5:$AN$66,AH!$U$4)),IF(AH!$U$5=1,INDEX('Live History'!$B$5:$B$3004,$K807),INDEX('AH History'!$D$5:$GG$1380,$K807,AH!$U$10))),NA()),NA())</f>
        <v/>
      </c>
      <c r="F807" s="32">
        <f>IFERROR(IF(ISNUMBER($A807),IF(AND(AH!$U$12=1,802+1=AH!$U$6),IF(AH!$U$4=0,"unavailable",INDEX('Market Data'!$AO$5:$AO$66,AH!$U$4)),IF(AH!$U$5=1,INDEX('Live History'!$E$5:$E$3004,MATCH($A807,'Live History'!$D$5:$D$3004,1)),INDEX('AH History'!$D$5:$GG$1380,$K807,AH!$U$10+1))),NA()),NA())</f>
        <v/>
      </c>
      <c r="G807" s="34">
        <f>IFERROR(IF(ISNUMBER($A807),IF(AND(AH!$U$12=1,802+1=AH!$U$6),IF(AH!$U$4=0,"unavailable",INDEX('Market Data'!$AK$5:$AK$66,AH!$U$4)),IF(AH!$U$5=1,INDEX('Live History'!$D$5:$D$3004,MATCH($A807,'Live History'!$D$5:$D$3004,1)),INDEX('AH History'!$D$5:$GG$1380,$K807,AH!$U$10+2))),NA()),NA())</f>
        <v/>
      </c>
      <c r="H807" s="266">
        <f>IFERROR(IF(ISNUMBER($A807),IF(AND(AH!$U$12=1,802+1=AH!$U$6),IF(AH!$U$4=0,"unavailable",INDEX('Market Data'!$AP$5:$AP$66,AH!$U$4)),IF(AH!$U$5=1,INDEX('Live History'!$H$5:$H$3004,MATCH($A807,'Live History'!$G$5:$G$3004,1)),INDEX('AH History'!$B$5:$B$1380,$K807))),NA()),NA())</f>
        <v/>
      </c>
      <c r="I807" s="34">
        <f>IFERROR(IF(ISNUMBER($A807),IF(AND(AH!$U$12=1,802+1=AH!$U$6),TODAY(),IF(AH!$U$5=1,INDEX('Live History'!$G$5:$G$3004,MATCH($A807,'Live History'!$G$5:$G$3004,1)),INDEX('AH History'!$C$5:$C$1380,$K807))),NA()),NA())</f>
        <v/>
      </c>
      <c r="J807" s="32">
        <f>IFERROR(IF(AND($F807&gt;0,$H807&gt;0,$A807-$G807&lt;=10,$A807-$I807&lt;=5,$G807&gt;0,$I807&gt;0),$F807*$H807,NA()),NA())</f>
        <v/>
      </c>
      <c r="K807" s="15">
        <f>IF($A807="","",IF(AH!$U$5=1,IFERROR(MATCH($A807,'Live History'!$A$5:$A$3004,0),0),AH!$U$7+802))</f>
        <v/>
      </c>
      <c r="L807" s="15">
        <f>IF(ISNUMBER(A807),TEXT(A807,"dd-mmm-yy"),"")</f>
        <v/>
      </c>
    </row>
    <row r="808">
      <c r="A808" s="14">
        <f>IF(OR(AH!$U$4=0,803+1&gt;AH!$U$6,AND(AH!$M$5="Bloomberg",AH!$U$5=0)),"",IFERROR(IF(AND(AH!$U$12=1,803+1=AH!$U$6),TODAY(),IF(AH!$U$5=1,INDEX('Live History'!$A$5:$A$3004,AH!$U$7+803),INDEX('AH History'!$A$5:$A$1380,AH!$U$7+803))),""))</f>
        <v/>
      </c>
      <c r="B808" s="33">
        <f>IFERROR(IF(AH!$U$11=1,NA(),$J808/$E808-1),NA())</f>
        <v/>
      </c>
      <c r="C808" s="269">
        <f>IFERROR(100*$E808/$E$5,NA())</f>
        <v/>
      </c>
      <c r="D808" s="269">
        <f>IFERROR(100*$J808/$J$5,NA())</f>
        <v/>
      </c>
      <c r="E808" s="32">
        <f>IFERROR(IF(AND(ISNUMBER($A808),N(IF(AND(AH!$U$12=1,803+1=AH!$U$6),IF(AH!$U$4=0,"unavailable",INDEX('Market Data'!$AN$5:$AN$66,AH!$U$4)),IF(AH!$U$5=1,INDEX('Live History'!$B$5:$B$3004,$K808),INDEX('AH History'!$D$5:$GG$1380,$K808,AH!$U$10))))&gt;0),IF(AND(AH!$U$12=1,803+1=AH!$U$6),IF(AH!$U$4=0,"unavailable",INDEX('Market Data'!$AN$5:$AN$66,AH!$U$4)),IF(AH!$U$5=1,INDEX('Live History'!$B$5:$B$3004,$K808),INDEX('AH History'!$D$5:$GG$1380,$K808,AH!$U$10))),NA()),NA())</f>
        <v/>
      </c>
      <c r="F808" s="32">
        <f>IFERROR(IF(ISNUMBER($A808),IF(AND(AH!$U$12=1,803+1=AH!$U$6),IF(AH!$U$4=0,"unavailable",INDEX('Market Data'!$AO$5:$AO$66,AH!$U$4)),IF(AH!$U$5=1,INDEX('Live History'!$E$5:$E$3004,MATCH($A808,'Live History'!$D$5:$D$3004,1)),INDEX('AH History'!$D$5:$GG$1380,$K808,AH!$U$10+1))),NA()),NA())</f>
        <v/>
      </c>
      <c r="G808" s="34">
        <f>IFERROR(IF(ISNUMBER($A808),IF(AND(AH!$U$12=1,803+1=AH!$U$6),IF(AH!$U$4=0,"unavailable",INDEX('Market Data'!$AK$5:$AK$66,AH!$U$4)),IF(AH!$U$5=1,INDEX('Live History'!$D$5:$D$3004,MATCH($A808,'Live History'!$D$5:$D$3004,1)),INDEX('AH History'!$D$5:$GG$1380,$K808,AH!$U$10+2))),NA()),NA())</f>
        <v/>
      </c>
      <c r="H808" s="266">
        <f>IFERROR(IF(ISNUMBER($A808),IF(AND(AH!$U$12=1,803+1=AH!$U$6),IF(AH!$U$4=0,"unavailable",INDEX('Market Data'!$AP$5:$AP$66,AH!$U$4)),IF(AH!$U$5=1,INDEX('Live History'!$H$5:$H$3004,MATCH($A808,'Live History'!$G$5:$G$3004,1)),INDEX('AH History'!$B$5:$B$1380,$K808))),NA()),NA())</f>
        <v/>
      </c>
      <c r="I808" s="34">
        <f>IFERROR(IF(ISNUMBER($A808),IF(AND(AH!$U$12=1,803+1=AH!$U$6),TODAY(),IF(AH!$U$5=1,INDEX('Live History'!$G$5:$G$3004,MATCH($A808,'Live History'!$G$5:$G$3004,1)),INDEX('AH History'!$C$5:$C$1380,$K808))),NA()),NA())</f>
        <v/>
      </c>
      <c r="J808" s="32">
        <f>IFERROR(IF(AND($F808&gt;0,$H808&gt;0,$A808-$G808&lt;=10,$A808-$I808&lt;=5,$G808&gt;0,$I808&gt;0),$F808*$H808,NA()),NA())</f>
        <v/>
      </c>
      <c r="K808" s="15">
        <f>IF($A808="","",IF(AH!$U$5=1,IFERROR(MATCH($A808,'Live History'!$A$5:$A$3004,0),0),AH!$U$7+803))</f>
        <v/>
      </c>
      <c r="L808" s="15">
        <f>IF(ISNUMBER(A808),TEXT(A808,"dd-mmm-yy"),"")</f>
        <v/>
      </c>
    </row>
    <row r="809">
      <c r="A809" s="14">
        <f>IF(OR(AH!$U$4=0,804+1&gt;AH!$U$6,AND(AH!$M$5="Bloomberg",AH!$U$5=0)),"",IFERROR(IF(AND(AH!$U$12=1,804+1=AH!$U$6),TODAY(),IF(AH!$U$5=1,INDEX('Live History'!$A$5:$A$3004,AH!$U$7+804),INDEX('AH History'!$A$5:$A$1380,AH!$U$7+804))),""))</f>
        <v/>
      </c>
      <c r="B809" s="33">
        <f>IFERROR(IF(AH!$U$11=1,NA(),$J809/$E809-1),NA())</f>
        <v/>
      </c>
      <c r="C809" s="269">
        <f>IFERROR(100*$E809/$E$5,NA())</f>
        <v/>
      </c>
      <c r="D809" s="269">
        <f>IFERROR(100*$J809/$J$5,NA())</f>
        <v/>
      </c>
      <c r="E809" s="32">
        <f>IFERROR(IF(AND(ISNUMBER($A809),N(IF(AND(AH!$U$12=1,804+1=AH!$U$6),IF(AH!$U$4=0,"unavailable",INDEX('Market Data'!$AN$5:$AN$66,AH!$U$4)),IF(AH!$U$5=1,INDEX('Live History'!$B$5:$B$3004,$K809),INDEX('AH History'!$D$5:$GG$1380,$K809,AH!$U$10))))&gt;0),IF(AND(AH!$U$12=1,804+1=AH!$U$6),IF(AH!$U$4=0,"unavailable",INDEX('Market Data'!$AN$5:$AN$66,AH!$U$4)),IF(AH!$U$5=1,INDEX('Live History'!$B$5:$B$3004,$K809),INDEX('AH History'!$D$5:$GG$1380,$K809,AH!$U$10))),NA()),NA())</f>
        <v/>
      </c>
      <c r="F809" s="32">
        <f>IFERROR(IF(ISNUMBER($A809),IF(AND(AH!$U$12=1,804+1=AH!$U$6),IF(AH!$U$4=0,"unavailable",INDEX('Market Data'!$AO$5:$AO$66,AH!$U$4)),IF(AH!$U$5=1,INDEX('Live History'!$E$5:$E$3004,MATCH($A809,'Live History'!$D$5:$D$3004,1)),INDEX('AH History'!$D$5:$GG$1380,$K809,AH!$U$10+1))),NA()),NA())</f>
        <v/>
      </c>
      <c r="G809" s="34">
        <f>IFERROR(IF(ISNUMBER($A809),IF(AND(AH!$U$12=1,804+1=AH!$U$6),IF(AH!$U$4=0,"unavailable",INDEX('Market Data'!$AK$5:$AK$66,AH!$U$4)),IF(AH!$U$5=1,INDEX('Live History'!$D$5:$D$3004,MATCH($A809,'Live History'!$D$5:$D$3004,1)),INDEX('AH History'!$D$5:$GG$1380,$K809,AH!$U$10+2))),NA()),NA())</f>
        <v/>
      </c>
      <c r="H809" s="266">
        <f>IFERROR(IF(ISNUMBER($A809),IF(AND(AH!$U$12=1,804+1=AH!$U$6),IF(AH!$U$4=0,"unavailable",INDEX('Market Data'!$AP$5:$AP$66,AH!$U$4)),IF(AH!$U$5=1,INDEX('Live History'!$H$5:$H$3004,MATCH($A809,'Live History'!$G$5:$G$3004,1)),INDEX('AH History'!$B$5:$B$1380,$K809))),NA()),NA())</f>
        <v/>
      </c>
      <c r="I809" s="34">
        <f>IFERROR(IF(ISNUMBER($A809),IF(AND(AH!$U$12=1,804+1=AH!$U$6),TODAY(),IF(AH!$U$5=1,INDEX('Live History'!$G$5:$G$3004,MATCH($A809,'Live History'!$G$5:$G$3004,1)),INDEX('AH History'!$C$5:$C$1380,$K809))),NA()),NA())</f>
        <v/>
      </c>
      <c r="J809" s="32">
        <f>IFERROR(IF(AND($F809&gt;0,$H809&gt;0,$A809-$G809&lt;=10,$A809-$I809&lt;=5,$G809&gt;0,$I809&gt;0),$F809*$H809,NA()),NA())</f>
        <v/>
      </c>
      <c r="K809" s="15">
        <f>IF($A809="","",IF(AH!$U$5=1,IFERROR(MATCH($A809,'Live History'!$A$5:$A$3004,0),0),AH!$U$7+804))</f>
        <v/>
      </c>
      <c r="L809" s="15">
        <f>IF(ISNUMBER(A809),TEXT(A809,"dd-mmm-yy"),"")</f>
        <v/>
      </c>
    </row>
    <row r="810">
      <c r="A810" s="14">
        <f>IF(OR(AH!$U$4=0,805+1&gt;AH!$U$6,AND(AH!$M$5="Bloomberg",AH!$U$5=0)),"",IFERROR(IF(AND(AH!$U$12=1,805+1=AH!$U$6),TODAY(),IF(AH!$U$5=1,INDEX('Live History'!$A$5:$A$3004,AH!$U$7+805),INDEX('AH History'!$A$5:$A$1380,AH!$U$7+805))),""))</f>
        <v/>
      </c>
      <c r="B810" s="33">
        <f>IFERROR(IF(AH!$U$11=1,NA(),$J810/$E810-1),NA())</f>
        <v/>
      </c>
      <c r="C810" s="269">
        <f>IFERROR(100*$E810/$E$5,NA())</f>
        <v/>
      </c>
      <c r="D810" s="269">
        <f>IFERROR(100*$J810/$J$5,NA())</f>
        <v/>
      </c>
      <c r="E810" s="32">
        <f>IFERROR(IF(AND(ISNUMBER($A810),N(IF(AND(AH!$U$12=1,805+1=AH!$U$6),IF(AH!$U$4=0,"unavailable",INDEX('Market Data'!$AN$5:$AN$66,AH!$U$4)),IF(AH!$U$5=1,INDEX('Live History'!$B$5:$B$3004,$K810),INDEX('AH History'!$D$5:$GG$1380,$K810,AH!$U$10))))&gt;0),IF(AND(AH!$U$12=1,805+1=AH!$U$6),IF(AH!$U$4=0,"unavailable",INDEX('Market Data'!$AN$5:$AN$66,AH!$U$4)),IF(AH!$U$5=1,INDEX('Live History'!$B$5:$B$3004,$K810),INDEX('AH History'!$D$5:$GG$1380,$K810,AH!$U$10))),NA()),NA())</f>
        <v/>
      </c>
      <c r="F810" s="32">
        <f>IFERROR(IF(ISNUMBER($A810),IF(AND(AH!$U$12=1,805+1=AH!$U$6),IF(AH!$U$4=0,"unavailable",INDEX('Market Data'!$AO$5:$AO$66,AH!$U$4)),IF(AH!$U$5=1,INDEX('Live History'!$E$5:$E$3004,MATCH($A810,'Live History'!$D$5:$D$3004,1)),INDEX('AH History'!$D$5:$GG$1380,$K810,AH!$U$10+1))),NA()),NA())</f>
        <v/>
      </c>
      <c r="G810" s="34">
        <f>IFERROR(IF(ISNUMBER($A810),IF(AND(AH!$U$12=1,805+1=AH!$U$6),IF(AH!$U$4=0,"unavailable",INDEX('Market Data'!$AK$5:$AK$66,AH!$U$4)),IF(AH!$U$5=1,INDEX('Live History'!$D$5:$D$3004,MATCH($A810,'Live History'!$D$5:$D$3004,1)),INDEX('AH History'!$D$5:$GG$1380,$K810,AH!$U$10+2))),NA()),NA())</f>
        <v/>
      </c>
      <c r="H810" s="266">
        <f>IFERROR(IF(ISNUMBER($A810),IF(AND(AH!$U$12=1,805+1=AH!$U$6),IF(AH!$U$4=0,"unavailable",INDEX('Market Data'!$AP$5:$AP$66,AH!$U$4)),IF(AH!$U$5=1,INDEX('Live History'!$H$5:$H$3004,MATCH($A810,'Live History'!$G$5:$G$3004,1)),INDEX('AH History'!$B$5:$B$1380,$K810))),NA()),NA())</f>
        <v/>
      </c>
      <c r="I810" s="34">
        <f>IFERROR(IF(ISNUMBER($A810),IF(AND(AH!$U$12=1,805+1=AH!$U$6),TODAY(),IF(AH!$U$5=1,INDEX('Live History'!$G$5:$G$3004,MATCH($A810,'Live History'!$G$5:$G$3004,1)),INDEX('AH History'!$C$5:$C$1380,$K810))),NA()),NA())</f>
        <v/>
      </c>
      <c r="J810" s="32">
        <f>IFERROR(IF(AND($F810&gt;0,$H810&gt;0,$A810-$G810&lt;=10,$A810-$I810&lt;=5,$G810&gt;0,$I810&gt;0),$F810*$H810,NA()),NA())</f>
        <v/>
      </c>
      <c r="K810" s="15">
        <f>IF($A810="","",IF(AH!$U$5=1,IFERROR(MATCH($A810,'Live History'!$A$5:$A$3004,0),0),AH!$U$7+805))</f>
        <v/>
      </c>
      <c r="L810" s="15">
        <f>IF(ISNUMBER(A810),TEXT(A810,"dd-mmm-yy"),"")</f>
        <v/>
      </c>
    </row>
    <row r="811">
      <c r="A811" s="14">
        <f>IF(OR(AH!$U$4=0,806+1&gt;AH!$U$6,AND(AH!$M$5="Bloomberg",AH!$U$5=0)),"",IFERROR(IF(AND(AH!$U$12=1,806+1=AH!$U$6),TODAY(),IF(AH!$U$5=1,INDEX('Live History'!$A$5:$A$3004,AH!$U$7+806),INDEX('AH History'!$A$5:$A$1380,AH!$U$7+806))),""))</f>
        <v/>
      </c>
      <c r="B811" s="33">
        <f>IFERROR(IF(AH!$U$11=1,NA(),$J811/$E811-1),NA())</f>
        <v/>
      </c>
      <c r="C811" s="269">
        <f>IFERROR(100*$E811/$E$5,NA())</f>
        <v/>
      </c>
      <c r="D811" s="269">
        <f>IFERROR(100*$J811/$J$5,NA())</f>
        <v/>
      </c>
      <c r="E811" s="32">
        <f>IFERROR(IF(AND(ISNUMBER($A811),N(IF(AND(AH!$U$12=1,806+1=AH!$U$6),IF(AH!$U$4=0,"unavailable",INDEX('Market Data'!$AN$5:$AN$66,AH!$U$4)),IF(AH!$U$5=1,INDEX('Live History'!$B$5:$B$3004,$K811),INDEX('AH History'!$D$5:$GG$1380,$K811,AH!$U$10))))&gt;0),IF(AND(AH!$U$12=1,806+1=AH!$U$6),IF(AH!$U$4=0,"unavailable",INDEX('Market Data'!$AN$5:$AN$66,AH!$U$4)),IF(AH!$U$5=1,INDEX('Live History'!$B$5:$B$3004,$K811),INDEX('AH History'!$D$5:$GG$1380,$K811,AH!$U$10))),NA()),NA())</f>
        <v/>
      </c>
      <c r="F811" s="32">
        <f>IFERROR(IF(ISNUMBER($A811),IF(AND(AH!$U$12=1,806+1=AH!$U$6),IF(AH!$U$4=0,"unavailable",INDEX('Market Data'!$AO$5:$AO$66,AH!$U$4)),IF(AH!$U$5=1,INDEX('Live History'!$E$5:$E$3004,MATCH($A811,'Live History'!$D$5:$D$3004,1)),INDEX('AH History'!$D$5:$GG$1380,$K811,AH!$U$10+1))),NA()),NA())</f>
        <v/>
      </c>
      <c r="G811" s="34">
        <f>IFERROR(IF(ISNUMBER($A811),IF(AND(AH!$U$12=1,806+1=AH!$U$6),IF(AH!$U$4=0,"unavailable",INDEX('Market Data'!$AK$5:$AK$66,AH!$U$4)),IF(AH!$U$5=1,INDEX('Live History'!$D$5:$D$3004,MATCH($A811,'Live History'!$D$5:$D$3004,1)),INDEX('AH History'!$D$5:$GG$1380,$K811,AH!$U$10+2))),NA()),NA())</f>
        <v/>
      </c>
      <c r="H811" s="266">
        <f>IFERROR(IF(ISNUMBER($A811),IF(AND(AH!$U$12=1,806+1=AH!$U$6),IF(AH!$U$4=0,"unavailable",INDEX('Market Data'!$AP$5:$AP$66,AH!$U$4)),IF(AH!$U$5=1,INDEX('Live History'!$H$5:$H$3004,MATCH($A811,'Live History'!$G$5:$G$3004,1)),INDEX('AH History'!$B$5:$B$1380,$K811))),NA()),NA())</f>
        <v/>
      </c>
      <c r="I811" s="34">
        <f>IFERROR(IF(ISNUMBER($A811),IF(AND(AH!$U$12=1,806+1=AH!$U$6),TODAY(),IF(AH!$U$5=1,INDEX('Live History'!$G$5:$G$3004,MATCH($A811,'Live History'!$G$5:$G$3004,1)),INDEX('AH History'!$C$5:$C$1380,$K811))),NA()),NA())</f>
        <v/>
      </c>
      <c r="J811" s="32">
        <f>IFERROR(IF(AND($F811&gt;0,$H811&gt;0,$A811-$G811&lt;=10,$A811-$I811&lt;=5,$G811&gt;0,$I811&gt;0),$F811*$H811,NA()),NA())</f>
        <v/>
      </c>
      <c r="K811" s="15">
        <f>IF($A811="","",IF(AH!$U$5=1,IFERROR(MATCH($A811,'Live History'!$A$5:$A$3004,0),0),AH!$U$7+806))</f>
        <v/>
      </c>
      <c r="L811" s="15">
        <f>IF(ISNUMBER(A811),TEXT(A811,"dd-mmm-yy"),"")</f>
        <v/>
      </c>
    </row>
    <row r="812">
      <c r="A812" s="14">
        <f>IF(OR(AH!$U$4=0,807+1&gt;AH!$U$6,AND(AH!$M$5="Bloomberg",AH!$U$5=0)),"",IFERROR(IF(AND(AH!$U$12=1,807+1=AH!$U$6),TODAY(),IF(AH!$U$5=1,INDEX('Live History'!$A$5:$A$3004,AH!$U$7+807),INDEX('AH History'!$A$5:$A$1380,AH!$U$7+807))),""))</f>
        <v/>
      </c>
      <c r="B812" s="33">
        <f>IFERROR(IF(AH!$U$11=1,NA(),$J812/$E812-1),NA())</f>
        <v/>
      </c>
      <c r="C812" s="269">
        <f>IFERROR(100*$E812/$E$5,NA())</f>
        <v/>
      </c>
      <c r="D812" s="269">
        <f>IFERROR(100*$J812/$J$5,NA())</f>
        <v/>
      </c>
      <c r="E812" s="32">
        <f>IFERROR(IF(AND(ISNUMBER($A812),N(IF(AND(AH!$U$12=1,807+1=AH!$U$6),IF(AH!$U$4=0,"unavailable",INDEX('Market Data'!$AN$5:$AN$66,AH!$U$4)),IF(AH!$U$5=1,INDEX('Live History'!$B$5:$B$3004,$K812),INDEX('AH History'!$D$5:$GG$1380,$K812,AH!$U$10))))&gt;0),IF(AND(AH!$U$12=1,807+1=AH!$U$6),IF(AH!$U$4=0,"unavailable",INDEX('Market Data'!$AN$5:$AN$66,AH!$U$4)),IF(AH!$U$5=1,INDEX('Live History'!$B$5:$B$3004,$K812),INDEX('AH History'!$D$5:$GG$1380,$K812,AH!$U$10))),NA()),NA())</f>
        <v/>
      </c>
      <c r="F812" s="32">
        <f>IFERROR(IF(ISNUMBER($A812),IF(AND(AH!$U$12=1,807+1=AH!$U$6),IF(AH!$U$4=0,"unavailable",INDEX('Market Data'!$AO$5:$AO$66,AH!$U$4)),IF(AH!$U$5=1,INDEX('Live History'!$E$5:$E$3004,MATCH($A812,'Live History'!$D$5:$D$3004,1)),INDEX('AH History'!$D$5:$GG$1380,$K812,AH!$U$10+1))),NA()),NA())</f>
        <v/>
      </c>
      <c r="G812" s="34">
        <f>IFERROR(IF(ISNUMBER($A812),IF(AND(AH!$U$12=1,807+1=AH!$U$6),IF(AH!$U$4=0,"unavailable",INDEX('Market Data'!$AK$5:$AK$66,AH!$U$4)),IF(AH!$U$5=1,INDEX('Live History'!$D$5:$D$3004,MATCH($A812,'Live History'!$D$5:$D$3004,1)),INDEX('AH History'!$D$5:$GG$1380,$K812,AH!$U$10+2))),NA()),NA())</f>
        <v/>
      </c>
      <c r="H812" s="266">
        <f>IFERROR(IF(ISNUMBER($A812),IF(AND(AH!$U$12=1,807+1=AH!$U$6),IF(AH!$U$4=0,"unavailable",INDEX('Market Data'!$AP$5:$AP$66,AH!$U$4)),IF(AH!$U$5=1,INDEX('Live History'!$H$5:$H$3004,MATCH($A812,'Live History'!$G$5:$G$3004,1)),INDEX('AH History'!$B$5:$B$1380,$K812))),NA()),NA())</f>
        <v/>
      </c>
      <c r="I812" s="34">
        <f>IFERROR(IF(ISNUMBER($A812),IF(AND(AH!$U$12=1,807+1=AH!$U$6),TODAY(),IF(AH!$U$5=1,INDEX('Live History'!$G$5:$G$3004,MATCH($A812,'Live History'!$G$5:$G$3004,1)),INDEX('AH History'!$C$5:$C$1380,$K812))),NA()),NA())</f>
        <v/>
      </c>
      <c r="J812" s="32">
        <f>IFERROR(IF(AND($F812&gt;0,$H812&gt;0,$A812-$G812&lt;=10,$A812-$I812&lt;=5,$G812&gt;0,$I812&gt;0),$F812*$H812,NA()),NA())</f>
        <v/>
      </c>
      <c r="K812" s="15">
        <f>IF($A812="","",IF(AH!$U$5=1,IFERROR(MATCH($A812,'Live History'!$A$5:$A$3004,0),0),AH!$U$7+807))</f>
        <v/>
      </c>
      <c r="L812" s="15">
        <f>IF(ISNUMBER(A812),TEXT(A812,"dd-mmm-yy"),"")</f>
        <v/>
      </c>
    </row>
    <row r="813">
      <c r="A813" s="14">
        <f>IF(OR(AH!$U$4=0,808+1&gt;AH!$U$6,AND(AH!$M$5="Bloomberg",AH!$U$5=0)),"",IFERROR(IF(AND(AH!$U$12=1,808+1=AH!$U$6),TODAY(),IF(AH!$U$5=1,INDEX('Live History'!$A$5:$A$3004,AH!$U$7+808),INDEX('AH History'!$A$5:$A$1380,AH!$U$7+808))),""))</f>
        <v/>
      </c>
      <c r="B813" s="33">
        <f>IFERROR(IF(AH!$U$11=1,NA(),$J813/$E813-1),NA())</f>
        <v/>
      </c>
      <c r="C813" s="269">
        <f>IFERROR(100*$E813/$E$5,NA())</f>
        <v/>
      </c>
      <c r="D813" s="269">
        <f>IFERROR(100*$J813/$J$5,NA())</f>
        <v/>
      </c>
      <c r="E813" s="32">
        <f>IFERROR(IF(AND(ISNUMBER($A813),N(IF(AND(AH!$U$12=1,808+1=AH!$U$6),IF(AH!$U$4=0,"unavailable",INDEX('Market Data'!$AN$5:$AN$66,AH!$U$4)),IF(AH!$U$5=1,INDEX('Live History'!$B$5:$B$3004,$K813),INDEX('AH History'!$D$5:$GG$1380,$K813,AH!$U$10))))&gt;0),IF(AND(AH!$U$12=1,808+1=AH!$U$6),IF(AH!$U$4=0,"unavailable",INDEX('Market Data'!$AN$5:$AN$66,AH!$U$4)),IF(AH!$U$5=1,INDEX('Live History'!$B$5:$B$3004,$K813),INDEX('AH History'!$D$5:$GG$1380,$K813,AH!$U$10))),NA()),NA())</f>
        <v/>
      </c>
      <c r="F813" s="32">
        <f>IFERROR(IF(ISNUMBER($A813),IF(AND(AH!$U$12=1,808+1=AH!$U$6),IF(AH!$U$4=0,"unavailable",INDEX('Market Data'!$AO$5:$AO$66,AH!$U$4)),IF(AH!$U$5=1,INDEX('Live History'!$E$5:$E$3004,MATCH($A813,'Live History'!$D$5:$D$3004,1)),INDEX('AH History'!$D$5:$GG$1380,$K813,AH!$U$10+1))),NA()),NA())</f>
        <v/>
      </c>
      <c r="G813" s="34">
        <f>IFERROR(IF(ISNUMBER($A813),IF(AND(AH!$U$12=1,808+1=AH!$U$6),IF(AH!$U$4=0,"unavailable",INDEX('Market Data'!$AK$5:$AK$66,AH!$U$4)),IF(AH!$U$5=1,INDEX('Live History'!$D$5:$D$3004,MATCH($A813,'Live History'!$D$5:$D$3004,1)),INDEX('AH History'!$D$5:$GG$1380,$K813,AH!$U$10+2))),NA()),NA())</f>
        <v/>
      </c>
      <c r="H813" s="266">
        <f>IFERROR(IF(ISNUMBER($A813),IF(AND(AH!$U$12=1,808+1=AH!$U$6),IF(AH!$U$4=0,"unavailable",INDEX('Market Data'!$AP$5:$AP$66,AH!$U$4)),IF(AH!$U$5=1,INDEX('Live History'!$H$5:$H$3004,MATCH($A813,'Live History'!$G$5:$G$3004,1)),INDEX('AH History'!$B$5:$B$1380,$K813))),NA()),NA())</f>
        <v/>
      </c>
      <c r="I813" s="34">
        <f>IFERROR(IF(ISNUMBER($A813),IF(AND(AH!$U$12=1,808+1=AH!$U$6),TODAY(),IF(AH!$U$5=1,INDEX('Live History'!$G$5:$G$3004,MATCH($A813,'Live History'!$G$5:$G$3004,1)),INDEX('AH History'!$C$5:$C$1380,$K813))),NA()),NA())</f>
        <v/>
      </c>
      <c r="J813" s="32">
        <f>IFERROR(IF(AND($F813&gt;0,$H813&gt;0,$A813-$G813&lt;=10,$A813-$I813&lt;=5,$G813&gt;0,$I813&gt;0),$F813*$H813,NA()),NA())</f>
        <v/>
      </c>
      <c r="K813" s="15">
        <f>IF($A813="","",IF(AH!$U$5=1,IFERROR(MATCH($A813,'Live History'!$A$5:$A$3004,0),0),AH!$U$7+808))</f>
        <v/>
      </c>
      <c r="L813" s="15">
        <f>IF(ISNUMBER(A813),TEXT(A813,"dd-mmm-yy"),"")</f>
        <v/>
      </c>
    </row>
    <row r="814">
      <c r="A814" s="14">
        <f>IF(OR(AH!$U$4=0,809+1&gt;AH!$U$6,AND(AH!$M$5="Bloomberg",AH!$U$5=0)),"",IFERROR(IF(AND(AH!$U$12=1,809+1=AH!$U$6),TODAY(),IF(AH!$U$5=1,INDEX('Live History'!$A$5:$A$3004,AH!$U$7+809),INDEX('AH History'!$A$5:$A$1380,AH!$U$7+809))),""))</f>
        <v/>
      </c>
      <c r="B814" s="33">
        <f>IFERROR(IF(AH!$U$11=1,NA(),$J814/$E814-1),NA())</f>
        <v/>
      </c>
      <c r="C814" s="269">
        <f>IFERROR(100*$E814/$E$5,NA())</f>
        <v/>
      </c>
      <c r="D814" s="269">
        <f>IFERROR(100*$J814/$J$5,NA())</f>
        <v/>
      </c>
      <c r="E814" s="32">
        <f>IFERROR(IF(AND(ISNUMBER($A814),N(IF(AND(AH!$U$12=1,809+1=AH!$U$6),IF(AH!$U$4=0,"unavailable",INDEX('Market Data'!$AN$5:$AN$66,AH!$U$4)),IF(AH!$U$5=1,INDEX('Live History'!$B$5:$B$3004,$K814),INDEX('AH History'!$D$5:$GG$1380,$K814,AH!$U$10))))&gt;0),IF(AND(AH!$U$12=1,809+1=AH!$U$6),IF(AH!$U$4=0,"unavailable",INDEX('Market Data'!$AN$5:$AN$66,AH!$U$4)),IF(AH!$U$5=1,INDEX('Live History'!$B$5:$B$3004,$K814),INDEX('AH History'!$D$5:$GG$1380,$K814,AH!$U$10))),NA()),NA())</f>
        <v/>
      </c>
      <c r="F814" s="32">
        <f>IFERROR(IF(ISNUMBER($A814),IF(AND(AH!$U$12=1,809+1=AH!$U$6),IF(AH!$U$4=0,"unavailable",INDEX('Market Data'!$AO$5:$AO$66,AH!$U$4)),IF(AH!$U$5=1,INDEX('Live History'!$E$5:$E$3004,MATCH($A814,'Live History'!$D$5:$D$3004,1)),INDEX('AH History'!$D$5:$GG$1380,$K814,AH!$U$10+1))),NA()),NA())</f>
        <v/>
      </c>
      <c r="G814" s="34">
        <f>IFERROR(IF(ISNUMBER($A814),IF(AND(AH!$U$12=1,809+1=AH!$U$6),IF(AH!$U$4=0,"unavailable",INDEX('Market Data'!$AK$5:$AK$66,AH!$U$4)),IF(AH!$U$5=1,INDEX('Live History'!$D$5:$D$3004,MATCH($A814,'Live History'!$D$5:$D$3004,1)),INDEX('AH History'!$D$5:$GG$1380,$K814,AH!$U$10+2))),NA()),NA())</f>
        <v/>
      </c>
      <c r="H814" s="266">
        <f>IFERROR(IF(ISNUMBER($A814),IF(AND(AH!$U$12=1,809+1=AH!$U$6),IF(AH!$U$4=0,"unavailable",INDEX('Market Data'!$AP$5:$AP$66,AH!$U$4)),IF(AH!$U$5=1,INDEX('Live History'!$H$5:$H$3004,MATCH($A814,'Live History'!$G$5:$G$3004,1)),INDEX('AH History'!$B$5:$B$1380,$K814))),NA()),NA())</f>
        <v/>
      </c>
      <c r="I814" s="34">
        <f>IFERROR(IF(ISNUMBER($A814),IF(AND(AH!$U$12=1,809+1=AH!$U$6),TODAY(),IF(AH!$U$5=1,INDEX('Live History'!$G$5:$G$3004,MATCH($A814,'Live History'!$G$5:$G$3004,1)),INDEX('AH History'!$C$5:$C$1380,$K814))),NA()),NA())</f>
        <v/>
      </c>
      <c r="J814" s="32">
        <f>IFERROR(IF(AND($F814&gt;0,$H814&gt;0,$A814-$G814&lt;=10,$A814-$I814&lt;=5,$G814&gt;0,$I814&gt;0),$F814*$H814,NA()),NA())</f>
        <v/>
      </c>
      <c r="K814" s="15">
        <f>IF($A814="","",IF(AH!$U$5=1,IFERROR(MATCH($A814,'Live History'!$A$5:$A$3004,0),0),AH!$U$7+809))</f>
        <v/>
      </c>
      <c r="L814" s="15">
        <f>IF(ISNUMBER(A814),TEXT(A814,"dd-mmm-yy"),"")</f>
        <v/>
      </c>
    </row>
    <row r="815">
      <c r="A815" s="14">
        <f>IF(OR(AH!$U$4=0,810+1&gt;AH!$U$6,AND(AH!$M$5="Bloomberg",AH!$U$5=0)),"",IFERROR(IF(AND(AH!$U$12=1,810+1=AH!$U$6),TODAY(),IF(AH!$U$5=1,INDEX('Live History'!$A$5:$A$3004,AH!$U$7+810),INDEX('AH History'!$A$5:$A$1380,AH!$U$7+810))),""))</f>
        <v/>
      </c>
      <c r="B815" s="33">
        <f>IFERROR(IF(AH!$U$11=1,NA(),$J815/$E815-1),NA())</f>
        <v/>
      </c>
      <c r="C815" s="269">
        <f>IFERROR(100*$E815/$E$5,NA())</f>
        <v/>
      </c>
      <c r="D815" s="269">
        <f>IFERROR(100*$J815/$J$5,NA())</f>
        <v/>
      </c>
      <c r="E815" s="32">
        <f>IFERROR(IF(AND(ISNUMBER($A815),N(IF(AND(AH!$U$12=1,810+1=AH!$U$6),IF(AH!$U$4=0,"unavailable",INDEX('Market Data'!$AN$5:$AN$66,AH!$U$4)),IF(AH!$U$5=1,INDEX('Live History'!$B$5:$B$3004,$K815),INDEX('AH History'!$D$5:$GG$1380,$K815,AH!$U$10))))&gt;0),IF(AND(AH!$U$12=1,810+1=AH!$U$6),IF(AH!$U$4=0,"unavailable",INDEX('Market Data'!$AN$5:$AN$66,AH!$U$4)),IF(AH!$U$5=1,INDEX('Live History'!$B$5:$B$3004,$K815),INDEX('AH History'!$D$5:$GG$1380,$K815,AH!$U$10))),NA()),NA())</f>
        <v/>
      </c>
      <c r="F815" s="32">
        <f>IFERROR(IF(ISNUMBER($A815),IF(AND(AH!$U$12=1,810+1=AH!$U$6),IF(AH!$U$4=0,"unavailable",INDEX('Market Data'!$AO$5:$AO$66,AH!$U$4)),IF(AH!$U$5=1,INDEX('Live History'!$E$5:$E$3004,MATCH($A815,'Live History'!$D$5:$D$3004,1)),INDEX('AH History'!$D$5:$GG$1380,$K815,AH!$U$10+1))),NA()),NA())</f>
        <v/>
      </c>
      <c r="G815" s="34">
        <f>IFERROR(IF(ISNUMBER($A815),IF(AND(AH!$U$12=1,810+1=AH!$U$6),IF(AH!$U$4=0,"unavailable",INDEX('Market Data'!$AK$5:$AK$66,AH!$U$4)),IF(AH!$U$5=1,INDEX('Live History'!$D$5:$D$3004,MATCH($A815,'Live History'!$D$5:$D$3004,1)),INDEX('AH History'!$D$5:$GG$1380,$K815,AH!$U$10+2))),NA()),NA())</f>
        <v/>
      </c>
      <c r="H815" s="266">
        <f>IFERROR(IF(ISNUMBER($A815),IF(AND(AH!$U$12=1,810+1=AH!$U$6),IF(AH!$U$4=0,"unavailable",INDEX('Market Data'!$AP$5:$AP$66,AH!$U$4)),IF(AH!$U$5=1,INDEX('Live History'!$H$5:$H$3004,MATCH($A815,'Live History'!$G$5:$G$3004,1)),INDEX('AH History'!$B$5:$B$1380,$K815))),NA()),NA())</f>
        <v/>
      </c>
      <c r="I815" s="34">
        <f>IFERROR(IF(ISNUMBER($A815),IF(AND(AH!$U$12=1,810+1=AH!$U$6),TODAY(),IF(AH!$U$5=1,INDEX('Live History'!$G$5:$G$3004,MATCH($A815,'Live History'!$G$5:$G$3004,1)),INDEX('AH History'!$C$5:$C$1380,$K815))),NA()),NA())</f>
        <v/>
      </c>
      <c r="J815" s="32">
        <f>IFERROR(IF(AND($F815&gt;0,$H815&gt;0,$A815-$G815&lt;=10,$A815-$I815&lt;=5,$G815&gt;0,$I815&gt;0),$F815*$H815,NA()),NA())</f>
        <v/>
      </c>
      <c r="K815" s="15">
        <f>IF($A815="","",IF(AH!$U$5=1,IFERROR(MATCH($A815,'Live History'!$A$5:$A$3004,0),0),AH!$U$7+810))</f>
        <v/>
      </c>
      <c r="L815" s="15">
        <f>IF(ISNUMBER(A815),TEXT(A815,"dd-mmm-yy"),"")</f>
        <v/>
      </c>
    </row>
    <row r="816">
      <c r="A816" s="14">
        <f>IF(OR(AH!$U$4=0,811+1&gt;AH!$U$6,AND(AH!$M$5="Bloomberg",AH!$U$5=0)),"",IFERROR(IF(AND(AH!$U$12=1,811+1=AH!$U$6),TODAY(),IF(AH!$U$5=1,INDEX('Live History'!$A$5:$A$3004,AH!$U$7+811),INDEX('AH History'!$A$5:$A$1380,AH!$U$7+811))),""))</f>
        <v/>
      </c>
      <c r="B816" s="33">
        <f>IFERROR(IF(AH!$U$11=1,NA(),$J816/$E816-1),NA())</f>
        <v/>
      </c>
      <c r="C816" s="269">
        <f>IFERROR(100*$E816/$E$5,NA())</f>
        <v/>
      </c>
      <c r="D816" s="269">
        <f>IFERROR(100*$J816/$J$5,NA())</f>
        <v/>
      </c>
      <c r="E816" s="32">
        <f>IFERROR(IF(AND(ISNUMBER($A816),N(IF(AND(AH!$U$12=1,811+1=AH!$U$6),IF(AH!$U$4=0,"unavailable",INDEX('Market Data'!$AN$5:$AN$66,AH!$U$4)),IF(AH!$U$5=1,INDEX('Live History'!$B$5:$B$3004,$K816),INDEX('AH History'!$D$5:$GG$1380,$K816,AH!$U$10))))&gt;0),IF(AND(AH!$U$12=1,811+1=AH!$U$6),IF(AH!$U$4=0,"unavailable",INDEX('Market Data'!$AN$5:$AN$66,AH!$U$4)),IF(AH!$U$5=1,INDEX('Live History'!$B$5:$B$3004,$K816),INDEX('AH History'!$D$5:$GG$1380,$K816,AH!$U$10))),NA()),NA())</f>
        <v/>
      </c>
      <c r="F816" s="32">
        <f>IFERROR(IF(ISNUMBER($A816),IF(AND(AH!$U$12=1,811+1=AH!$U$6),IF(AH!$U$4=0,"unavailable",INDEX('Market Data'!$AO$5:$AO$66,AH!$U$4)),IF(AH!$U$5=1,INDEX('Live History'!$E$5:$E$3004,MATCH($A816,'Live History'!$D$5:$D$3004,1)),INDEX('AH History'!$D$5:$GG$1380,$K816,AH!$U$10+1))),NA()),NA())</f>
        <v/>
      </c>
      <c r="G816" s="34">
        <f>IFERROR(IF(ISNUMBER($A816),IF(AND(AH!$U$12=1,811+1=AH!$U$6),IF(AH!$U$4=0,"unavailable",INDEX('Market Data'!$AK$5:$AK$66,AH!$U$4)),IF(AH!$U$5=1,INDEX('Live History'!$D$5:$D$3004,MATCH($A816,'Live History'!$D$5:$D$3004,1)),INDEX('AH History'!$D$5:$GG$1380,$K816,AH!$U$10+2))),NA()),NA())</f>
        <v/>
      </c>
      <c r="H816" s="266">
        <f>IFERROR(IF(ISNUMBER($A816),IF(AND(AH!$U$12=1,811+1=AH!$U$6),IF(AH!$U$4=0,"unavailable",INDEX('Market Data'!$AP$5:$AP$66,AH!$U$4)),IF(AH!$U$5=1,INDEX('Live History'!$H$5:$H$3004,MATCH($A816,'Live History'!$G$5:$G$3004,1)),INDEX('AH History'!$B$5:$B$1380,$K816))),NA()),NA())</f>
        <v/>
      </c>
      <c r="I816" s="34">
        <f>IFERROR(IF(ISNUMBER($A816),IF(AND(AH!$U$12=1,811+1=AH!$U$6),TODAY(),IF(AH!$U$5=1,INDEX('Live History'!$G$5:$G$3004,MATCH($A816,'Live History'!$G$5:$G$3004,1)),INDEX('AH History'!$C$5:$C$1380,$K816))),NA()),NA())</f>
        <v/>
      </c>
      <c r="J816" s="32">
        <f>IFERROR(IF(AND($F816&gt;0,$H816&gt;0,$A816-$G816&lt;=10,$A816-$I816&lt;=5,$G816&gt;0,$I816&gt;0),$F816*$H816,NA()),NA())</f>
        <v/>
      </c>
      <c r="K816" s="15">
        <f>IF($A816="","",IF(AH!$U$5=1,IFERROR(MATCH($A816,'Live History'!$A$5:$A$3004,0),0),AH!$U$7+811))</f>
        <v/>
      </c>
      <c r="L816" s="15">
        <f>IF(ISNUMBER(A816),TEXT(A816,"dd-mmm-yy"),"")</f>
        <v/>
      </c>
    </row>
    <row r="817">
      <c r="A817" s="14">
        <f>IF(OR(AH!$U$4=0,812+1&gt;AH!$U$6,AND(AH!$M$5="Bloomberg",AH!$U$5=0)),"",IFERROR(IF(AND(AH!$U$12=1,812+1=AH!$U$6),TODAY(),IF(AH!$U$5=1,INDEX('Live History'!$A$5:$A$3004,AH!$U$7+812),INDEX('AH History'!$A$5:$A$1380,AH!$U$7+812))),""))</f>
        <v/>
      </c>
      <c r="B817" s="33">
        <f>IFERROR(IF(AH!$U$11=1,NA(),$J817/$E817-1),NA())</f>
        <v/>
      </c>
      <c r="C817" s="269">
        <f>IFERROR(100*$E817/$E$5,NA())</f>
        <v/>
      </c>
      <c r="D817" s="269">
        <f>IFERROR(100*$J817/$J$5,NA())</f>
        <v/>
      </c>
      <c r="E817" s="32">
        <f>IFERROR(IF(AND(ISNUMBER($A817),N(IF(AND(AH!$U$12=1,812+1=AH!$U$6),IF(AH!$U$4=0,"unavailable",INDEX('Market Data'!$AN$5:$AN$66,AH!$U$4)),IF(AH!$U$5=1,INDEX('Live History'!$B$5:$B$3004,$K817),INDEX('AH History'!$D$5:$GG$1380,$K817,AH!$U$10))))&gt;0),IF(AND(AH!$U$12=1,812+1=AH!$U$6),IF(AH!$U$4=0,"unavailable",INDEX('Market Data'!$AN$5:$AN$66,AH!$U$4)),IF(AH!$U$5=1,INDEX('Live History'!$B$5:$B$3004,$K817),INDEX('AH History'!$D$5:$GG$1380,$K817,AH!$U$10))),NA()),NA())</f>
        <v/>
      </c>
      <c r="F817" s="32">
        <f>IFERROR(IF(ISNUMBER($A817),IF(AND(AH!$U$12=1,812+1=AH!$U$6),IF(AH!$U$4=0,"unavailable",INDEX('Market Data'!$AO$5:$AO$66,AH!$U$4)),IF(AH!$U$5=1,INDEX('Live History'!$E$5:$E$3004,MATCH($A817,'Live History'!$D$5:$D$3004,1)),INDEX('AH History'!$D$5:$GG$1380,$K817,AH!$U$10+1))),NA()),NA())</f>
        <v/>
      </c>
      <c r="G817" s="34">
        <f>IFERROR(IF(ISNUMBER($A817),IF(AND(AH!$U$12=1,812+1=AH!$U$6),IF(AH!$U$4=0,"unavailable",INDEX('Market Data'!$AK$5:$AK$66,AH!$U$4)),IF(AH!$U$5=1,INDEX('Live History'!$D$5:$D$3004,MATCH($A817,'Live History'!$D$5:$D$3004,1)),INDEX('AH History'!$D$5:$GG$1380,$K817,AH!$U$10+2))),NA()),NA())</f>
        <v/>
      </c>
      <c r="H817" s="266">
        <f>IFERROR(IF(ISNUMBER($A817),IF(AND(AH!$U$12=1,812+1=AH!$U$6),IF(AH!$U$4=0,"unavailable",INDEX('Market Data'!$AP$5:$AP$66,AH!$U$4)),IF(AH!$U$5=1,INDEX('Live History'!$H$5:$H$3004,MATCH($A817,'Live History'!$G$5:$G$3004,1)),INDEX('AH History'!$B$5:$B$1380,$K817))),NA()),NA())</f>
        <v/>
      </c>
      <c r="I817" s="34">
        <f>IFERROR(IF(ISNUMBER($A817),IF(AND(AH!$U$12=1,812+1=AH!$U$6),TODAY(),IF(AH!$U$5=1,INDEX('Live History'!$G$5:$G$3004,MATCH($A817,'Live History'!$G$5:$G$3004,1)),INDEX('AH History'!$C$5:$C$1380,$K817))),NA()),NA())</f>
        <v/>
      </c>
      <c r="J817" s="32">
        <f>IFERROR(IF(AND($F817&gt;0,$H817&gt;0,$A817-$G817&lt;=10,$A817-$I817&lt;=5,$G817&gt;0,$I817&gt;0),$F817*$H817,NA()),NA())</f>
        <v/>
      </c>
      <c r="K817" s="15">
        <f>IF($A817="","",IF(AH!$U$5=1,IFERROR(MATCH($A817,'Live History'!$A$5:$A$3004,0),0),AH!$U$7+812))</f>
        <v/>
      </c>
      <c r="L817" s="15">
        <f>IF(ISNUMBER(A817),TEXT(A817,"dd-mmm-yy"),"")</f>
        <v/>
      </c>
    </row>
    <row r="818">
      <c r="A818" s="14">
        <f>IF(OR(AH!$U$4=0,813+1&gt;AH!$U$6,AND(AH!$M$5="Bloomberg",AH!$U$5=0)),"",IFERROR(IF(AND(AH!$U$12=1,813+1=AH!$U$6),TODAY(),IF(AH!$U$5=1,INDEX('Live History'!$A$5:$A$3004,AH!$U$7+813),INDEX('AH History'!$A$5:$A$1380,AH!$U$7+813))),""))</f>
        <v/>
      </c>
      <c r="B818" s="33">
        <f>IFERROR(IF(AH!$U$11=1,NA(),$J818/$E818-1),NA())</f>
        <v/>
      </c>
      <c r="C818" s="269">
        <f>IFERROR(100*$E818/$E$5,NA())</f>
        <v/>
      </c>
      <c r="D818" s="269">
        <f>IFERROR(100*$J818/$J$5,NA())</f>
        <v/>
      </c>
      <c r="E818" s="32">
        <f>IFERROR(IF(AND(ISNUMBER($A818),N(IF(AND(AH!$U$12=1,813+1=AH!$U$6),IF(AH!$U$4=0,"unavailable",INDEX('Market Data'!$AN$5:$AN$66,AH!$U$4)),IF(AH!$U$5=1,INDEX('Live History'!$B$5:$B$3004,$K818),INDEX('AH History'!$D$5:$GG$1380,$K818,AH!$U$10))))&gt;0),IF(AND(AH!$U$12=1,813+1=AH!$U$6),IF(AH!$U$4=0,"unavailable",INDEX('Market Data'!$AN$5:$AN$66,AH!$U$4)),IF(AH!$U$5=1,INDEX('Live History'!$B$5:$B$3004,$K818),INDEX('AH History'!$D$5:$GG$1380,$K818,AH!$U$10))),NA()),NA())</f>
        <v/>
      </c>
      <c r="F818" s="32">
        <f>IFERROR(IF(ISNUMBER($A818),IF(AND(AH!$U$12=1,813+1=AH!$U$6),IF(AH!$U$4=0,"unavailable",INDEX('Market Data'!$AO$5:$AO$66,AH!$U$4)),IF(AH!$U$5=1,INDEX('Live History'!$E$5:$E$3004,MATCH($A818,'Live History'!$D$5:$D$3004,1)),INDEX('AH History'!$D$5:$GG$1380,$K818,AH!$U$10+1))),NA()),NA())</f>
        <v/>
      </c>
      <c r="G818" s="34">
        <f>IFERROR(IF(ISNUMBER($A818),IF(AND(AH!$U$12=1,813+1=AH!$U$6),IF(AH!$U$4=0,"unavailable",INDEX('Market Data'!$AK$5:$AK$66,AH!$U$4)),IF(AH!$U$5=1,INDEX('Live History'!$D$5:$D$3004,MATCH($A818,'Live History'!$D$5:$D$3004,1)),INDEX('AH History'!$D$5:$GG$1380,$K818,AH!$U$10+2))),NA()),NA())</f>
        <v/>
      </c>
      <c r="H818" s="266">
        <f>IFERROR(IF(ISNUMBER($A818),IF(AND(AH!$U$12=1,813+1=AH!$U$6),IF(AH!$U$4=0,"unavailable",INDEX('Market Data'!$AP$5:$AP$66,AH!$U$4)),IF(AH!$U$5=1,INDEX('Live History'!$H$5:$H$3004,MATCH($A818,'Live History'!$G$5:$G$3004,1)),INDEX('AH History'!$B$5:$B$1380,$K818))),NA()),NA())</f>
        <v/>
      </c>
      <c r="I818" s="34">
        <f>IFERROR(IF(ISNUMBER($A818),IF(AND(AH!$U$12=1,813+1=AH!$U$6),TODAY(),IF(AH!$U$5=1,INDEX('Live History'!$G$5:$G$3004,MATCH($A818,'Live History'!$G$5:$G$3004,1)),INDEX('AH History'!$C$5:$C$1380,$K818))),NA()),NA())</f>
        <v/>
      </c>
      <c r="J818" s="32">
        <f>IFERROR(IF(AND($F818&gt;0,$H818&gt;0,$A818-$G818&lt;=10,$A818-$I818&lt;=5,$G818&gt;0,$I818&gt;0),$F818*$H818,NA()),NA())</f>
        <v/>
      </c>
      <c r="K818" s="15">
        <f>IF($A818="","",IF(AH!$U$5=1,IFERROR(MATCH($A818,'Live History'!$A$5:$A$3004,0),0),AH!$U$7+813))</f>
        <v/>
      </c>
      <c r="L818" s="15">
        <f>IF(ISNUMBER(A818),TEXT(A818,"dd-mmm-yy"),"")</f>
        <v/>
      </c>
    </row>
    <row r="819">
      <c r="A819" s="14">
        <f>IF(OR(AH!$U$4=0,814+1&gt;AH!$U$6,AND(AH!$M$5="Bloomberg",AH!$U$5=0)),"",IFERROR(IF(AND(AH!$U$12=1,814+1=AH!$U$6),TODAY(),IF(AH!$U$5=1,INDEX('Live History'!$A$5:$A$3004,AH!$U$7+814),INDEX('AH History'!$A$5:$A$1380,AH!$U$7+814))),""))</f>
        <v/>
      </c>
      <c r="B819" s="33">
        <f>IFERROR(IF(AH!$U$11=1,NA(),$J819/$E819-1),NA())</f>
        <v/>
      </c>
      <c r="C819" s="269">
        <f>IFERROR(100*$E819/$E$5,NA())</f>
        <v/>
      </c>
      <c r="D819" s="269">
        <f>IFERROR(100*$J819/$J$5,NA())</f>
        <v/>
      </c>
      <c r="E819" s="32">
        <f>IFERROR(IF(AND(ISNUMBER($A819),N(IF(AND(AH!$U$12=1,814+1=AH!$U$6),IF(AH!$U$4=0,"unavailable",INDEX('Market Data'!$AN$5:$AN$66,AH!$U$4)),IF(AH!$U$5=1,INDEX('Live History'!$B$5:$B$3004,$K819),INDEX('AH History'!$D$5:$GG$1380,$K819,AH!$U$10))))&gt;0),IF(AND(AH!$U$12=1,814+1=AH!$U$6),IF(AH!$U$4=0,"unavailable",INDEX('Market Data'!$AN$5:$AN$66,AH!$U$4)),IF(AH!$U$5=1,INDEX('Live History'!$B$5:$B$3004,$K819),INDEX('AH History'!$D$5:$GG$1380,$K819,AH!$U$10))),NA()),NA())</f>
        <v/>
      </c>
      <c r="F819" s="32">
        <f>IFERROR(IF(ISNUMBER($A819),IF(AND(AH!$U$12=1,814+1=AH!$U$6),IF(AH!$U$4=0,"unavailable",INDEX('Market Data'!$AO$5:$AO$66,AH!$U$4)),IF(AH!$U$5=1,INDEX('Live History'!$E$5:$E$3004,MATCH($A819,'Live History'!$D$5:$D$3004,1)),INDEX('AH History'!$D$5:$GG$1380,$K819,AH!$U$10+1))),NA()),NA())</f>
        <v/>
      </c>
      <c r="G819" s="34">
        <f>IFERROR(IF(ISNUMBER($A819),IF(AND(AH!$U$12=1,814+1=AH!$U$6),IF(AH!$U$4=0,"unavailable",INDEX('Market Data'!$AK$5:$AK$66,AH!$U$4)),IF(AH!$U$5=1,INDEX('Live History'!$D$5:$D$3004,MATCH($A819,'Live History'!$D$5:$D$3004,1)),INDEX('AH History'!$D$5:$GG$1380,$K819,AH!$U$10+2))),NA()),NA())</f>
        <v/>
      </c>
      <c r="H819" s="266">
        <f>IFERROR(IF(ISNUMBER($A819),IF(AND(AH!$U$12=1,814+1=AH!$U$6),IF(AH!$U$4=0,"unavailable",INDEX('Market Data'!$AP$5:$AP$66,AH!$U$4)),IF(AH!$U$5=1,INDEX('Live History'!$H$5:$H$3004,MATCH($A819,'Live History'!$G$5:$G$3004,1)),INDEX('AH History'!$B$5:$B$1380,$K819))),NA()),NA())</f>
        <v/>
      </c>
      <c r="I819" s="34">
        <f>IFERROR(IF(ISNUMBER($A819),IF(AND(AH!$U$12=1,814+1=AH!$U$6),TODAY(),IF(AH!$U$5=1,INDEX('Live History'!$G$5:$G$3004,MATCH($A819,'Live History'!$G$5:$G$3004,1)),INDEX('AH History'!$C$5:$C$1380,$K819))),NA()),NA())</f>
        <v/>
      </c>
      <c r="J819" s="32">
        <f>IFERROR(IF(AND($F819&gt;0,$H819&gt;0,$A819-$G819&lt;=10,$A819-$I819&lt;=5,$G819&gt;0,$I819&gt;0),$F819*$H819,NA()),NA())</f>
        <v/>
      </c>
      <c r="K819" s="15">
        <f>IF($A819="","",IF(AH!$U$5=1,IFERROR(MATCH($A819,'Live History'!$A$5:$A$3004,0),0),AH!$U$7+814))</f>
        <v/>
      </c>
      <c r="L819" s="15">
        <f>IF(ISNUMBER(A819),TEXT(A819,"dd-mmm-yy"),"")</f>
        <v/>
      </c>
    </row>
    <row r="820">
      <c r="A820" s="14">
        <f>IF(OR(AH!$U$4=0,815+1&gt;AH!$U$6,AND(AH!$M$5="Bloomberg",AH!$U$5=0)),"",IFERROR(IF(AND(AH!$U$12=1,815+1=AH!$U$6),TODAY(),IF(AH!$U$5=1,INDEX('Live History'!$A$5:$A$3004,AH!$U$7+815),INDEX('AH History'!$A$5:$A$1380,AH!$U$7+815))),""))</f>
        <v/>
      </c>
      <c r="B820" s="33">
        <f>IFERROR(IF(AH!$U$11=1,NA(),$J820/$E820-1),NA())</f>
        <v/>
      </c>
      <c r="C820" s="269">
        <f>IFERROR(100*$E820/$E$5,NA())</f>
        <v/>
      </c>
      <c r="D820" s="269">
        <f>IFERROR(100*$J820/$J$5,NA())</f>
        <v/>
      </c>
      <c r="E820" s="32">
        <f>IFERROR(IF(AND(ISNUMBER($A820),N(IF(AND(AH!$U$12=1,815+1=AH!$U$6),IF(AH!$U$4=0,"unavailable",INDEX('Market Data'!$AN$5:$AN$66,AH!$U$4)),IF(AH!$U$5=1,INDEX('Live History'!$B$5:$B$3004,$K820),INDEX('AH History'!$D$5:$GG$1380,$K820,AH!$U$10))))&gt;0),IF(AND(AH!$U$12=1,815+1=AH!$U$6),IF(AH!$U$4=0,"unavailable",INDEX('Market Data'!$AN$5:$AN$66,AH!$U$4)),IF(AH!$U$5=1,INDEX('Live History'!$B$5:$B$3004,$K820),INDEX('AH History'!$D$5:$GG$1380,$K820,AH!$U$10))),NA()),NA())</f>
        <v/>
      </c>
      <c r="F820" s="32">
        <f>IFERROR(IF(ISNUMBER($A820),IF(AND(AH!$U$12=1,815+1=AH!$U$6),IF(AH!$U$4=0,"unavailable",INDEX('Market Data'!$AO$5:$AO$66,AH!$U$4)),IF(AH!$U$5=1,INDEX('Live History'!$E$5:$E$3004,MATCH($A820,'Live History'!$D$5:$D$3004,1)),INDEX('AH History'!$D$5:$GG$1380,$K820,AH!$U$10+1))),NA()),NA())</f>
        <v/>
      </c>
      <c r="G820" s="34">
        <f>IFERROR(IF(ISNUMBER($A820),IF(AND(AH!$U$12=1,815+1=AH!$U$6),IF(AH!$U$4=0,"unavailable",INDEX('Market Data'!$AK$5:$AK$66,AH!$U$4)),IF(AH!$U$5=1,INDEX('Live History'!$D$5:$D$3004,MATCH($A820,'Live History'!$D$5:$D$3004,1)),INDEX('AH History'!$D$5:$GG$1380,$K820,AH!$U$10+2))),NA()),NA())</f>
        <v/>
      </c>
      <c r="H820" s="266">
        <f>IFERROR(IF(ISNUMBER($A820),IF(AND(AH!$U$12=1,815+1=AH!$U$6),IF(AH!$U$4=0,"unavailable",INDEX('Market Data'!$AP$5:$AP$66,AH!$U$4)),IF(AH!$U$5=1,INDEX('Live History'!$H$5:$H$3004,MATCH($A820,'Live History'!$G$5:$G$3004,1)),INDEX('AH History'!$B$5:$B$1380,$K820))),NA()),NA())</f>
        <v/>
      </c>
      <c r="I820" s="34">
        <f>IFERROR(IF(ISNUMBER($A820),IF(AND(AH!$U$12=1,815+1=AH!$U$6),TODAY(),IF(AH!$U$5=1,INDEX('Live History'!$G$5:$G$3004,MATCH($A820,'Live History'!$G$5:$G$3004,1)),INDEX('AH History'!$C$5:$C$1380,$K820))),NA()),NA())</f>
        <v/>
      </c>
      <c r="J820" s="32">
        <f>IFERROR(IF(AND($F820&gt;0,$H820&gt;0,$A820-$G820&lt;=10,$A820-$I820&lt;=5,$G820&gt;0,$I820&gt;0),$F820*$H820,NA()),NA())</f>
        <v/>
      </c>
      <c r="K820" s="15">
        <f>IF($A820="","",IF(AH!$U$5=1,IFERROR(MATCH($A820,'Live History'!$A$5:$A$3004,0),0),AH!$U$7+815))</f>
        <v/>
      </c>
      <c r="L820" s="15">
        <f>IF(ISNUMBER(A820),TEXT(A820,"dd-mmm-yy"),"")</f>
        <v/>
      </c>
    </row>
    <row r="821">
      <c r="A821" s="14">
        <f>IF(OR(AH!$U$4=0,816+1&gt;AH!$U$6,AND(AH!$M$5="Bloomberg",AH!$U$5=0)),"",IFERROR(IF(AND(AH!$U$12=1,816+1=AH!$U$6),TODAY(),IF(AH!$U$5=1,INDEX('Live History'!$A$5:$A$3004,AH!$U$7+816),INDEX('AH History'!$A$5:$A$1380,AH!$U$7+816))),""))</f>
        <v/>
      </c>
      <c r="B821" s="33">
        <f>IFERROR(IF(AH!$U$11=1,NA(),$J821/$E821-1),NA())</f>
        <v/>
      </c>
      <c r="C821" s="269">
        <f>IFERROR(100*$E821/$E$5,NA())</f>
        <v/>
      </c>
      <c r="D821" s="269">
        <f>IFERROR(100*$J821/$J$5,NA())</f>
        <v/>
      </c>
      <c r="E821" s="32">
        <f>IFERROR(IF(AND(ISNUMBER($A821),N(IF(AND(AH!$U$12=1,816+1=AH!$U$6),IF(AH!$U$4=0,"unavailable",INDEX('Market Data'!$AN$5:$AN$66,AH!$U$4)),IF(AH!$U$5=1,INDEX('Live History'!$B$5:$B$3004,$K821),INDEX('AH History'!$D$5:$GG$1380,$K821,AH!$U$10))))&gt;0),IF(AND(AH!$U$12=1,816+1=AH!$U$6),IF(AH!$U$4=0,"unavailable",INDEX('Market Data'!$AN$5:$AN$66,AH!$U$4)),IF(AH!$U$5=1,INDEX('Live History'!$B$5:$B$3004,$K821),INDEX('AH History'!$D$5:$GG$1380,$K821,AH!$U$10))),NA()),NA())</f>
        <v/>
      </c>
      <c r="F821" s="32">
        <f>IFERROR(IF(ISNUMBER($A821),IF(AND(AH!$U$12=1,816+1=AH!$U$6),IF(AH!$U$4=0,"unavailable",INDEX('Market Data'!$AO$5:$AO$66,AH!$U$4)),IF(AH!$U$5=1,INDEX('Live History'!$E$5:$E$3004,MATCH($A821,'Live History'!$D$5:$D$3004,1)),INDEX('AH History'!$D$5:$GG$1380,$K821,AH!$U$10+1))),NA()),NA())</f>
        <v/>
      </c>
      <c r="G821" s="34">
        <f>IFERROR(IF(ISNUMBER($A821),IF(AND(AH!$U$12=1,816+1=AH!$U$6),IF(AH!$U$4=0,"unavailable",INDEX('Market Data'!$AK$5:$AK$66,AH!$U$4)),IF(AH!$U$5=1,INDEX('Live History'!$D$5:$D$3004,MATCH($A821,'Live History'!$D$5:$D$3004,1)),INDEX('AH History'!$D$5:$GG$1380,$K821,AH!$U$10+2))),NA()),NA())</f>
        <v/>
      </c>
      <c r="H821" s="266">
        <f>IFERROR(IF(ISNUMBER($A821),IF(AND(AH!$U$12=1,816+1=AH!$U$6),IF(AH!$U$4=0,"unavailable",INDEX('Market Data'!$AP$5:$AP$66,AH!$U$4)),IF(AH!$U$5=1,INDEX('Live History'!$H$5:$H$3004,MATCH($A821,'Live History'!$G$5:$G$3004,1)),INDEX('AH History'!$B$5:$B$1380,$K821))),NA()),NA())</f>
        <v/>
      </c>
      <c r="I821" s="34">
        <f>IFERROR(IF(ISNUMBER($A821),IF(AND(AH!$U$12=1,816+1=AH!$U$6),TODAY(),IF(AH!$U$5=1,INDEX('Live History'!$G$5:$G$3004,MATCH($A821,'Live History'!$G$5:$G$3004,1)),INDEX('AH History'!$C$5:$C$1380,$K821))),NA()),NA())</f>
        <v/>
      </c>
      <c r="J821" s="32">
        <f>IFERROR(IF(AND($F821&gt;0,$H821&gt;0,$A821-$G821&lt;=10,$A821-$I821&lt;=5,$G821&gt;0,$I821&gt;0),$F821*$H821,NA()),NA())</f>
        <v/>
      </c>
      <c r="K821" s="15">
        <f>IF($A821="","",IF(AH!$U$5=1,IFERROR(MATCH($A821,'Live History'!$A$5:$A$3004,0),0),AH!$U$7+816))</f>
        <v/>
      </c>
      <c r="L821" s="15">
        <f>IF(ISNUMBER(A821),TEXT(A821,"dd-mmm-yy"),"")</f>
        <v/>
      </c>
    </row>
    <row r="822">
      <c r="A822" s="14">
        <f>IF(OR(AH!$U$4=0,817+1&gt;AH!$U$6,AND(AH!$M$5="Bloomberg",AH!$U$5=0)),"",IFERROR(IF(AND(AH!$U$12=1,817+1=AH!$U$6),TODAY(),IF(AH!$U$5=1,INDEX('Live History'!$A$5:$A$3004,AH!$U$7+817),INDEX('AH History'!$A$5:$A$1380,AH!$U$7+817))),""))</f>
        <v/>
      </c>
      <c r="B822" s="33">
        <f>IFERROR(IF(AH!$U$11=1,NA(),$J822/$E822-1),NA())</f>
        <v/>
      </c>
      <c r="C822" s="269">
        <f>IFERROR(100*$E822/$E$5,NA())</f>
        <v/>
      </c>
      <c r="D822" s="269">
        <f>IFERROR(100*$J822/$J$5,NA())</f>
        <v/>
      </c>
      <c r="E822" s="32">
        <f>IFERROR(IF(AND(ISNUMBER($A822),N(IF(AND(AH!$U$12=1,817+1=AH!$U$6),IF(AH!$U$4=0,"unavailable",INDEX('Market Data'!$AN$5:$AN$66,AH!$U$4)),IF(AH!$U$5=1,INDEX('Live History'!$B$5:$B$3004,$K822),INDEX('AH History'!$D$5:$GG$1380,$K822,AH!$U$10))))&gt;0),IF(AND(AH!$U$12=1,817+1=AH!$U$6),IF(AH!$U$4=0,"unavailable",INDEX('Market Data'!$AN$5:$AN$66,AH!$U$4)),IF(AH!$U$5=1,INDEX('Live History'!$B$5:$B$3004,$K822),INDEX('AH History'!$D$5:$GG$1380,$K822,AH!$U$10))),NA()),NA())</f>
        <v/>
      </c>
      <c r="F822" s="32">
        <f>IFERROR(IF(ISNUMBER($A822),IF(AND(AH!$U$12=1,817+1=AH!$U$6),IF(AH!$U$4=0,"unavailable",INDEX('Market Data'!$AO$5:$AO$66,AH!$U$4)),IF(AH!$U$5=1,INDEX('Live History'!$E$5:$E$3004,MATCH($A822,'Live History'!$D$5:$D$3004,1)),INDEX('AH History'!$D$5:$GG$1380,$K822,AH!$U$10+1))),NA()),NA())</f>
        <v/>
      </c>
      <c r="G822" s="34">
        <f>IFERROR(IF(ISNUMBER($A822),IF(AND(AH!$U$12=1,817+1=AH!$U$6),IF(AH!$U$4=0,"unavailable",INDEX('Market Data'!$AK$5:$AK$66,AH!$U$4)),IF(AH!$U$5=1,INDEX('Live History'!$D$5:$D$3004,MATCH($A822,'Live History'!$D$5:$D$3004,1)),INDEX('AH History'!$D$5:$GG$1380,$K822,AH!$U$10+2))),NA()),NA())</f>
        <v/>
      </c>
      <c r="H822" s="266">
        <f>IFERROR(IF(ISNUMBER($A822),IF(AND(AH!$U$12=1,817+1=AH!$U$6),IF(AH!$U$4=0,"unavailable",INDEX('Market Data'!$AP$5:$AP$66,AH!$U$4)),IF(AH!$U$5=1,INDEX('Live History'!$H$5:$H$3004,MATCH($A822,'Live History'!$G$5:$G$3004,1)),INDEX('AH History'!$B$5:$B$1380,$K822))),NA()),NA())</f>
        <v/>
      </c>
      <c r="I822" s="34">
        <f>IFERROR(IF(ISNUMBER($A822),IF(AND(AH!$U$12=1,817+1=AH!$U$6),TODAY(),IF(AH!$U$5=1,INDEX('Live History'!$G$5:$G$3004,MATCH($A822,'Live History'!$G$5:$G$3004,1)),INDEX('AH History'!$C$5:$C$1380,$K822))),NA()),NA())</f>
        <v/>
      </c>
      <c r="J822" s="32">
        <f>IFERROR(IF(AND($F822&gt;0,$H822&gt;0,$A822-$G822&lt;=10,$A822-$I822&lt;=5,$G822&gt;0,$I822&gt;0),$F822*$H822,NA()),NA())</f>
        <v/>
      </c>
      <c r="K822" s="15">
        <f>IF($A822="","",IF(AH!$U$5=1,IFERROR(MATCH($A822,'Live History'!$A$5:$A$3004,0),0),AH!$U$7+817))</f>
        <v/>
      </c>
      <c r="L822" s="15">
        <f>IF(ISNUMBER(A822),TEXT(A822,"dd-mmm-yy"),"")</f>
        <v/>
      </c>
    </row>
    <row r="823">
      <c r="A823" s="14">
        <f>IF(OR(AH!$U$4=0,818+1&gt;AH!$U$6,AND(AH!$M$5="Bloomberg",AH!$U$5=0)),"",IFERROR(IF(AND(AH!$U$12=1,818+1=AH!$U$6),TODAY(),IF(AH!$U$5=1,INDEX('Live History'!$A$5:$A$3004,AH!$U$7+818),INDEX('AH History'!$A$5:$A$1380,AH!$U$7+818))),""))</f>
        <v/>
      </c>
      <c r="B823" s="33">
        <f>IFERROR(IF(AH!$U$11=1,NA(),$J823/$E823-1),NA())</f>
        <v/>
      </c>
      <c r="C823" s="269">
        <f>IFERROR(100*$E823/$E$5,NA())</f>
        <v/>
      </c>
      <c r="D823" s="269">
        <f>IFERROR(100*$J823/$J$5,NA())</f>
        <v/>
      </c>
      <c r="E823" s="32">
        <f>IFERROR(IF(AND(ISNUMBER($A823),N(IF(AND(AH!$U$12=1,818+1=AH!$U$6),IF(AH!$U$4=0,"unavailable",INDEX('Market Data'!$AN$5:$AN$66,AH!$U$4)),IF(AH!$U$5=1,INDEX('Live History'!$B$5:$B$3004,$K823),INDEX('AH History'!$D$5:$GG$1380,$K823,AH!$U$10))))&gt;0),IF(AND(AH!$U$12=1,818+1=AH!$U$6),IF(AH!$U$4=0,"unavailable",INDEX('Market Data'!$AN$5:$AN$66,AH!$U$4)),IF(AH!$U$5=1,INDEX('Live History'!$B$5:$B$3004,$K823),INDEX('AH History'!$D$5:$GG$1380,$K823,AH!$U$10))),NA()),NA())</f>
        <v/>
      </c>
      <c r="F823" s="32">
        <f>IFERROR(IF(ISNUMBER($A823),IF(AND(AH!$U$12=1,818+1=AH!$U$6),IF(AH!$U$4=0,"unavailable",INDEX('Market Data'!$AO$5:$AO$66,AH!$U$4)),IF(AH!$U$5=1,INDEX('Live History'!$E$5:$E$3004,MATCH($A823,'Live History'!$D$5:$D$3004,1)),INDEX('AH History'!$D$5:$GG$1380,$K823,AH!$U$10+1))),NA()),NA())</f>
        <v/>
      </c>
      <c r="G823" s="34">
        <f>IFERROR(IF(ISNUMBER($A823),IF(AND(AH!$U$12=1,818+1=AH!$U$6),IF(AH!$U$4=0,"unavailable",INDEX('Market Data'!$AK$5:$AK$66,AH!$U$4)),IF(AH!$U$5=1,INDEX('Live History'!$D$5:$D$3004,MATCH($A823,'Live History'!$D$5:$D$3004,1)),INDEX('AH History'!$D$5:$GG$1380,$K823,AH!$U$10+2))),NA()),NA())</f>
        <v/>
      </c>
      <c r="H823" s="266">
        <f>IFERROR(IF(ISNUMBER($A823),IF(AND(AH!$U$12=1,818+1=AH!$U$6),IF(AH!$U$4=0,"unavailable",INDEX('Market Data'!$AP$5:$AP$66,AH!$U$4)),IF(AH!$U$5=1,INDEX('Live History'!$H$5:$H$3004,MATCH($A823,'Live History'!$G$5:$G$3004,1)),INDEX('AH History'!$B$5:$B$1380,$K823))),NA()),NA())</f>
        <v/>
      </c>
      <c r="I823" s="34">
        <f>IFERROR(IF(ISNUMBER($A823),IF(AND(AH!$U$12=1,818+1=AH!$U$6),TODAY(),IF(AH!$U$5=1,INDEX('Live History'!$G$5:$G$3004,MATCH($A823,'Live History'!$G$5:$G$3004,1)),INDEX('AH History'!$C$5:$C$1380,$K823))),NA()),NA())</f>
        <v/>
      </c>
      <c r="J823" s="32">
        <f>IFERROR(IF(AND($F823&gt;0,$H823&gt;0,$A823-$G823&lt;=10,$A823-$I823&lt;=5,$G823&gt;0,$I823&gt;0),$F823*$H823,NA()),NA())</f>
        <v/>
      </c>
      <c r="K823" s="15">
        <f>IF($A823="","",IF(AH!$U$5=1,IFERROR(MATCH($A823,'Live History'!$A$5:$A$3004,0),0),AH!$U$7+818))</f>
        <v/>
      </c>
      <c r="L823" s="15">
        <f>IF(ISNUMBER(A823),TEXT(A823,"dd-mmm-yy"),"")</f>
        <v/>
      </c>
    </row>
    <row r="824">
      <c r="A824" s="14">
        <f>IF(OR(AH!$U$4=0,819+1&gt;AH!$U$6,AND(AH!$M$5="Bloomberg",AH!$U$5=0)),"",IFERROR(IF(AND(AH!$U$12=1,819+1=AH!$U$6),TODAY(),IF(AH!$U$5=1,INDEX('Live History'!$A$5:$A$3004,AH!$U$7+819),INDEX('AH History'!$A$5:$A$1380,AH!$U$7+819))),""))</f>
        <v/>
      </c>
      <c r="B824" s="33">
        <f>IFERROR(IF(AH!$U$11=1,NA(),$J824/$E824-1),NA())</f>
        <v/>
      </c>
      <c r="C824" s="269">
        <f>IFERROR(100*$E824/$E$5,NA())</f>
        <v/>
      </c>
      <c r="D824" s="269">
        <f>IFERROR(100*$J824/$J$5,NA())</f>
        <v/>
      </c>
      <c r="E824" s="32">
        <f>IFERROR(IF(AND(ISNUMBER($A824),N(IF(AND(AH!$U$12=1,819+1=AH!$U$6),IF(AH!$U$4=0,"unavailable",INDEX('Market Data'!$AN$5:$AN$66,AH!$U$4)),IF(AH!$U$5=1,INDEX('Live History'!$B$5:$B$3004,$K824),INDEX('AH History'!$D$5:$GG$1380,$K824,AH!$U$10))))&gt;0),IF(AND(AH!$U$12=1,819+1=AH!$U$6),IF(AH!$U$4=0,"unavailable",INDEX('Market Data'!$AN$5:$AN$66,AH!$U$4)),IF(AH!$U$5=1,INDEX('Live History'!$B$5:$B$3004,$K824),INDEX('AH History'!$D$5:$GG$1380,$K824,AH!$U$10))),NA()),NA())</f>
        <v/>
      </c>
      <c r="F824" s="32">
        <f>IFERROR(IF(ISNUMBER($A824),IF(AND(AH!$U$12=1,819+1=AH!$U$6),IF(AH!$U$4=0,"unavailable",INDEX('Market Data'!$AO$5:$AO$66,AH!$U$4)),IF(AH!$U$5=1,INDEX('Live History'!$E$5:$E$3004,MATCH($A824,'Live History'!$D$5:$D$3004,1)),INDEX('AH History'!$D$5:$GG$1380,$K824,AH!$U$10+1))),NA()),NA())</f>
        <v/>
      </c>
      <c r="G824" s="34">
        <f>IFERROR(IF(ISNUMBER($A824),IF(AND(AH!$U$12=1,819+1=AH!$U$6),IF(AH!$U$4=0,"unavailable",INDEX('Market Data'!$AK$5:$AK$66,AH!$U$4)),IF(AH!$U$5=1,INDEX('Live History'!$D$5:$D$3004,MATCH($A824,'Live History'!$D$5:$D$3004,1)),INDEX('AH History'!$D$5:$GG$1380,$K824,AH!$U$10+2))),NA()),NA())</f>
        <v/>
      </c>
      <c r="H824" s="266">
        <f>IFERROR(IF(ISNUMBER($A824),IF(AND(AH!$U$12=1,819+1=AH!$U$6),IF(AH!$U$4=0,"unavailable",INDEX('Market Data'!$AP$5:$AP$66,AH!$U$4)),IF(AH!$U$5=1,INDEX('Live History'!$H$5:$H$3004,MATCH($A824,'Live History'!$G$5:$G$3004,1)),INDEX('AH History'!$B$5:$B$1380,$K824))),NA()),NA())</f>
        <v/>
      </c>
      <c r="I824" s="34">
        <f>IFERROR(IF(ISNUMBER($A824),IF(AND(AH!$U$12=1,819+1=AH!$U$6),TODAY(),IF(AH!$U$5=1,INDEX('Live History'!$G$5:$G$3004,MATCH($A824,'Live History'!$G$5:$G$3004,1)),INDEX('AH History'!$C$5:$C$1380,$K824))),NA()),NA())</f>
        <v/>
      </c>
      <c r="J824" s="32">
        <f>IFERROR(IF(AND($F824&gt;0,$H824&gt;0,$A824-$G824&lt;=10,$A824-$I824&lt;=5,$G824&gt;0,$I824&gt;0),$F824*$H824,NA()),NA())</f>
        <v/>
      </c>
      <c r="K824" s="15">
        <f>IF($A824="","",IF(AH!$U$5=1,IFERROR(MATCH($A824,'Live History'!$A$5:$A$3004,0),0),AH!$U$7+819))</f>
        <v/>
      </c>
      <c r="L824" s="15">
        <f>IF(ISNUMBER(A824),TEXT(A824,"dd-mmm-yy"),"")</f>
        <v/>
      </c>
    </row>
    <row r="825">
      <c r="A825" s="14">
        <f>IF(OR(AH!$U$4=0,820+1&gt;AH!$U$6,AND(AH!$M$5="Bloomberg",AH!$U$5=0)),"",IFERROR(IF(AND(AH!$U$12=1,820+1=AH!$U$6),TODAY(),IF(AH!$U$5=1,INDEX('Live History'!$A$5:$A$3004,AH!$U$7+820),INDEX('AH History'!$A$5:$A$1380,AH!$U$7+820))),""))</f>
        <v/>
      </c>
      <c r="B825" s="33">
        <f>IFERROR(IF(AH!$U$11=1,NA(),$J825/$E825-1),NA())</f>
        <v/>
      </c>
      <c r="C825" s="269">
        <f>IFERROR(100*$E825/$E$5,NA())</f>
        <v/>
      </c>
      <c r="D825" s="269">
        <f>IFERROR(100*$J825/$J$5,NA())</f>
        <v/>
      </c>
      <c r="E825" s="32">
        <f>IFERROR(IF(AND(ISNUMBER($A825),N(IF(AND(AH!$U$12=1,820+1=AH!$U$6),IF(AH!$U$4=0,"unavailable",INDEX('Market Data'!$AN$5:$AN$66,AH!$U$4)),IF(AH!$U$5=1,INDEX('Live History'!$B$5:$B$3004,$K825),INDEX('AH History'!$D$5:$GG$1380,$K825,AH!$U$10))))&gt;0),IF(AND(AH!$U$12=1,820+1=AH!$U$6),IF(AH!$U$4=0,"unavailable",INDEX('Market Data'!$AN$5:$AN$66,AH!$U$4)),IF(AH!$U$5=1,INDEX('Live History'!$B$5:$B$3004,$K825),INDEX('AH History'!$D$5:$GG$1380,$K825,AH!$U$10))),NA()),NA())</f>
        <v/>
      </c>
      <c r="F825" s="32">
        <f>IFERROR(IF(ISNUMBER($A825),IF(AND(AH!$U$12=1,820+1=AH!$U$6),IF(AH!$U$4=0,"unavailable",INDEX('Market Data'!$AO$5:$AO$66,AH!$U$4)),IF(AH!$U$5=1,INDEX('Live History'!$E$5:$E$3004,MATCH($A825,'Live History'!$D$5:$D$3004,1)),INDEX('AH History'!$D$5:$GG$1380,$K825,AH!$U$10+1))),NA()),NA())</f>
        <v/>
      </c>
      <c r="G825" s="34">
        <f>IFERROR(IF(ISNUMBER($A825),IF(AND(AH!$U$12=1,820+1=AH!$U$6),IF(AH!$U$4=0,"unavailable",INDEX('Market Data'!$AK$5:$AK$66,AH!$U$4)),IF(AH!$U$5=1,INDEX('Live History'!$D$5:$D$3004,MATCH($A825,'Live History'!$D$5:$D$3004,1)),INDEX('AH History'!$D$5:$GG$1380,$K825,AH!$U$10+2))),NA()),NA())</f>
        <v/>
      </c>
      <c r="H825" s="266">
        <f>IFERROR(IF(ISNUMBER($A825),IF(AND(AH!$U$12=1,820+1=AH!$U$6),IF(AH!$U$4=0,"unavailable",INDEX('Market Data'!$AP$5:$AP$66,AH!$U$4)),IF(AH!$U$5=1,INDEX('Live History'!$H$5:$H$3004,MATCH($A825,'Live History'!$G$5:$G$3004,1)),INDEX('AH History'!$B$5:$B$1380,$K825))),NA()),NA())</f>
        <v/>
      </c>
      <c r="I825" s="34">
        <f>IFERROR(IF(ISNUMBER($A825),IF(AND(AH!$U$12=1,820+1=AH!$U$6),TODAY(),IF(AH!$U$5=1,INDEX('Live History'!$G$5:$G$3004,MATCH($A825,'Live History'!$G$5:$G$3004,1)),INDEX('AH History'!$C$5:$C$1380,$K825))),NA()),NA())</f>
        <v/>
      </c>
      <c r="J825" s="32">
        <f>IFERROR(IF(AND($F825&gt;0,$H825&gt;0,$A825-$G825&lt;=10,$A825-$I825&lt;=5,$G825&gt;0,$I825&gt;0),$F825*$H825,NA()),NA())</f>
        <v/>
      </c>
      <c r="K825" s="15">
        <f>IF($A825="","",IF(AH!$U$5=1,IFERROR(MATCH($A825,'Live History'!$A$5:$A$3004,0),0),AH!$U$7+820))</f>
        <v/>
      </c>
      <c r="L825" s="15">
        <f>IF(ISNUMBER(A825),TEXT(A825,"dd-mmm-yy"),"")</f>
        <v/>
      </c>
    </row>
    <row r="826">
      <c r="A826" s="14">
        <f>IF(OR(AH!$U$4=0,821+1&gt;AH!$U$6,AND(AH!$M$5="Bloomberg",AH!$U$5=0)),"",IFERROR(IF(AND(AH!$U$12=1,821+1=AH!$U$6),TODAY(),IF(AH!$U$5=1,INDEX('Live History'!$A$5:$A$3004,AH!$U$7+821),INDEX('AH History'!$A$5:$A$1380,AH!$U$7+821))),""))</f>
        <v/>
      </c>
      <c r="B826" s="33">
        <f>IFERROR(IF(AH!$U$11=1,NA(),$J826/$E826-1),NA())</f>
        <v/>
      </c>
      <c r="C826" s="269">
        <f>IFERROR(100*$E826/$E$5,NA())</f>
        <v/>
      </c>
      <c r="D826" s="269">
        <f>IFERROR(100*$J826/$J$5,NA())</f>
        <v/>
      </c>
      <c r="E826" s="32">
        <f>IFERROR(IF(AND(ISNUMBER($A826),N(IF(AND(AH!$U$12=1,821+1=AH!$U$6),IF(AH!$U$4=0,"unavailable",INDEX('Market Data'!$AN$5:$AN$66,AH!$U$4)),IF(AH!$U$5=1,INDEX('Live History'!$B$5:$B$3004,$K826),INDEX('AH History'!$D$5:$GG$1380,$K826,AH!$U$10))))&gt;0),IF(AND(AH!$U$12=1,821+1=AH!$U$6),IF(AH!$U$4=0,"unavailable",INDEX('Market Data'!$AN$5:$AN$66,AH!$U$4)),IF(AH!$U$5=1,INDEX('Live History'!$B$5:$B$3004,$K826),INDEX('AH History'!$D$5:$GG$1380,$K826,AH!$U$10))),NA()),NA())</f>
        <v/>
      </c>
      <c r="F826" s="32">
        <f>IFERROR(IF(ISNUMBER($A826),IF(AND(AH!$U$12=1,821+1=AH!$U$6),IF(AH!$U$4=0,"unavailable",INDEX('Market Data'!$AO$5:$AO$66,AH!$U$4)),IF(AH!$U$5=1,INDEX('Live History'!$E$5:$E$3004,MATCH($A826,'Live History'!$D$5:$D$3004,1)),INDEX('AH History'!$D$5:$GG$1380,$K826,AH!$U$10+1))),NA()),NA())</f>
        <v/>
      </c>
      <c r="G826" s="34">
        <f>IFERROR(IF(ISNUMBER($A826),IF(AND(AH!$U$12=1,821+1=AH!$U$6),IF(AH!$U$4=0,"unavailable",INDEX('Market Data'!$AK$5:$AK$66,AH!$U$4)),IF(AH!$U$5=1,INDEX('Live History'!$D$5:$D$3004,MATCH($A826,'Live History'!$D$5:$D$3004,1)),INDEX('AH History'!$D$5:$GG$1380,$K826,AH!$U$10+2))),NA()),NA())</f>
        <v/>
      </c>
      <c r="H826" s="266">
        <f>IFERROR(IF(ISNUMBER($A826),IF(AND(AH!$U$12=1,821+1=AH!$U$6),IF(AH!$U$4=0,"unavailable",INDEX('Market Data'!$AP$5:$AP$66,AH!$U$4)),IF(AH!$U$5=1,INDEX('Live History'!$H$5:$H$3004,MATCH($A826,'Live History'!$G$5:$G$3004,1)),INDEX('AH History'!$B$5:$B$1380,$K826))),NA()),NA())</f>
        <v/>
      </c>
      <c r="I826" s="34">
        <f>IFERROR(IF(ISNUMBER($A826),IF(AND(AH!$U$12=1,821+1=AH!$U$6),TODAY(),IF(AH!$U$5=1,INDEX('Live History'!$G$5:$G$3004,MATCH($A826,'Live History'!$G$5:$G$3004,1)),INDEX('AH History'!$C$5:$C$1380,$K826))),NA()),NA())</f>
        <v/>
      </c>
      <c r="J826" s="32">
        <f>IFERROR(IF(AND($F826&gt;0,$H826&gt;0,$A826-$G826&lt;=10,$A826-$I826&lt;=5,$G826&gt;0,$I826&gt;0),$F826*$H826,NA()),NA())</f>
        <v/>
      </c>
      <c r="K826" s="15">
        <f>IF($A826="","",IF(AH!$U$5=1,IFERROR(MATCH($A826,'Live History'!$A$5:$A$3004,0),0),AH!$U$7+821))</f>
        <v/>
      </c>
      <c r="L826" s="15">
        <f>IF(ISNUMBER(A826),TEXT(A826,"dd-mmm-yy"),"")</f>
        <v/>
      </c>
    </row>
    <row r="827">
      <c r="A827" s="14">
        <f>IF(OR(AH!$U$4=0,822+1&gt;AH!$U$6,AND(AH!$M$5="Bloomberg",AH!$U$5=0)),"",IFERROR(IF(AND(AH!$U$12=1,822+1=AH!$U$6),TODAY(),IF(AH!$U$5=1,INDEX('Live History'!$A$5:$A$3004,AH!$U$7+822),INDEX('AH History'!$A$5:$A$1380,AH!$U$7+822))),""))</f>
        <v/>
      </c>
      <c r="B827" s="33">
        <f>IFERROR(IF(AH!$U$11=1,NA(),$J827/$E827-1),NA())</f>
        <v/>
      </c>
      <c r="C827" s="269">
        <f>IFERROR(100*$E827/$E$5,NA())</f>
        <v/>
      </c>
      <c r="D827" s="269">
        <f>IFERROR(100*$J827/$J$5,NA())</f>
        <v/>
      </c>
      <c r="E827" s="32">
        <f>IFERROR(IF(AND(ISNUMBER($A827),N(IF(AND(AH!$U$12=1,822+1=AH!$U$6),IF(AH!$U$4=0,"unavailable",INDEX('Market Data'!$AN$5:$AN$66,AH!$U$4)),IF(AH!$U$5=1,INDEX('Live History'!$B$5:$B$3004,$K827),INDEX('AH History'!$D$5:$GG$1380,$K827,AH!$U$10))))&gt;0),IF(AND(AH!$U$12=1,822+1=AH!$U$6),IF(AH!$U$4=0,"unavailable",INDEX('Market Data'!$AN$5:$AN$66,AH!$U$4)),IF(AH!$U$5=1,INDEX('Live History'!$B$5:$B$3004,$K827),INDEX('AH History'!$D$5:$GG$1380,$K827,AH!$U$10))),NA()),NA())</f>
        <v/>
      </c>
      <c r="F827" s="32">
        <f>IFERROR(IF(ISNUMBER($A827),IF(AND(AH!$U$12=1,822+1=AH!$U$6),IF(AH!$U$4=0,"unavailable",INDEX('Market Data'!$AO$5:$AO$66,AH!$U$4)),IF(AH!$U$5=1,INDEX('Live History'!$E$5:$E$3004,MATCH($A827,'Live History'!$D$5:$D$3004,1)),INDEX('AH History'!$D$5:$GG$1380,$K827,AH!$U$10+1))),NA()),NA())</f>
        <v/>
      </c>
      <c r="G827" s="34">
        <f>IFERROR(IF(ISNUMBER($A827),IF(AND(AH!$U$12=1,822+1=AH!$U$6),IF(AH!$U$4=0,"unavailable",INDEX('Market Data'!$AK$5:$AK$66,AH!$U$4)),IF(AH!$U$5=1,INDEX('Live History'!$D$5:$D$3004,MATCH($A827,'Live History'!$D$5:$D$3004,1)),INDEX('AH History'!$D$5:$GG$1380,$K827,AH!$U$10+2))),NA()),NA())</f>
        <v/>
      </c>
      <c r="H827" s="266">
        <f>IFERROR(IF(ISNUMBER($A827),IF(AND(AH!$U$12=1,822+1=AH!$U$6),IF(AH!$U$4=0,"unavailable",INDEX('Market Data'!$AP$5:$AP$66,AH!$U$4)),IF(AH!$U$5=1,INDEX('Live History'!$H$5:$H$3004,MATCH($A827,'Live History'!$G$5:$G$3004,1)),INDEX('AH History'!$B$5:$B$1380,$K827))),NA()),NA())</f>
        <v/>
      </c>
      <c r="I827" s="34">
        <f>IFERROR(IF(ISNUMBER($A827),IF(AND(AH!$U$12=1,822+1=AH!$U$6),TODAY(),IF(AH!$U$5=1,INDEX('Live History'!$G$5:$G$3004,MATCH($A827,'Live History'!$G$5:$G$3004,1)),INDEX('AH History'!$C$5:$C$1380,$K827))),NA()),NA())</f>
        <v/>
      </c>
      <c r="J827" s="32">
        <f>IFERROR(IF(AND($F827&gt;0,$H827&gt;0,$A827-$G827&lt;=10,$A827-$I827&lt;=5,$G827&gt;0,$I827&gt;0),$F827*$H827,NA()),NA())</f>
        <v/>
      </c>
      <c r="K827" s="15">
        <f>IF($A827="","",IF(AH!$U$5=1,IFERROR(MATCH($A827,'Live History'!$A$5:$A$3004,0),0),AH!$U$7+822))</f>
        <v/>
      </c>
      <c r="L827" s="15">
        <f>IF(ISNUMBER(A827),TEXT(A827,"dd-mmm-yy"),"")</f>
        <v/>
      </c>
    </row>
    <row r="828">
      <c r="A828" s="14">
        <f>IF(OR(AH!$U$4=0,823+1&gt;AH!$U$6,AND(AH!$M$5="Bloomberg",AH!$U$5=0)),"",IFERROR(IF(AND(AH!$U$12=1,823+1=AH!$U$6),TODAY(),IF(AH!$U$5=1,INDEX('Live History'!$A$5:$A$3004,AH!$U$7+823),INDEX('AH History'!$A$5:$A$1380,AH!$U$7+823))),""))</f>
        <v/>
      </c>
      <c r="B828" s="33">
        <f>IFERROR(IF(AH!$U$11=1,NA(),$J828/$E828-1),NA())</f>
        <v/>
      </c>
      <c r="C828" s="269">
        <f>IFERROR(100*$E828/$E$5,NA())</f>
        <v/>
      </c>
      <c r="D828" s="269">
        <f>IFERROR(100*$J828/$J$5,NA())</f>
        <v/>
      </c>
      <c r="E828" s="32">
        <f>IFERROR(IF(AND(ISNUMBER($A828),N(IF(AND(AH!$U$12=1,823+1=AH!$U$6),IF(AH!$U$4=0,"unavailable",INDEX('Market Data'!$AN$5:$AN$66,AH!$U$4)),IF(AH!$U$5=1,INDEX('Live History'!$B$5:$B$3004,$K828),INDEX('AH History'!$D$5:$GG$1380,$K828,AH!$U$10))))&gt;0),IF(AND(AH!$U$12=1,823+1=AH!$U$6),IF(AH!$U$4=0,"unavailable",INDEX('Market Data'!$AN$5:$AN$66,AH!$U$4)),IF(AH!$U$5=1,INDEX('Live History'!$B$5:$B$3004,$K828),INDEX('AH History'!$D$5:$GG$1380,$K828,AH!$U$10))),NA()),NA())</f>
        <v/>
      </c>
      <c r="F828" s="32">
        <f>IFERROR(IF(ISNUMBER($A828),IF(AND(AH!$U$12=1,823+1=AH!$U$6),IF(AH!$U$4=0,"unavailable",INDEX('Market Data'!$AO$5:$AO$66,AH!$U$4)),IF(AH!$U$5=1,INDEX('Live History'!$E$5:$E$3004,MATCH($A828,'Live History'!$D$5:$D$3004,1)),INDEX('AH History'!$D$5:$GG$1380,$K828,AH!$U$10+1))),NA()),NA())</f>
        <v/>
      </c>
      <c r="G828" s="34">
        <f>IFERROR(IF(ISNUMBER($A828),IF(AND(AH!$U$12=1,823+1=AH!$U$6),IF(AH!$U$4=0,"unavailable",INDEX('Market Data'!$AK$5:$AK$66,AH!$U$4)),IF(AH!$U$5=1,INDEX('Live History'!$D$5:$D$3004,MATCH($A828,'Live History'!$D$5:$D$3004,1)),INDEX('AH History'!$D$5:$GG$1380,$K828,AH!$U$10+2))),NA()),NA())</f>
        <v/>
      </c>
      <c r="H828" s="266">
        <f>IFERROR(IF(ISNUMBER($A828),IF(AND(AH!$U$12=1,823+1=AH!$U$6),IF(AH!$U$4=0,"unavailable",INDEX('Market Data'!$AP$5:$AP$66,AH!$U$4)),IF(AH!$U$5=1,INDEX('Live History'!$H$5:$H$3004,MATCH($A828,'Live History'!$G$5:$G$3004,1)),INDEX('AH History'!$B$5:$B$1380,$K828))),NA()),NA())</f>
        <v/>
      </c>
      <c r="I828" s="34">
        <f>IFERROR(IF(ISNUMBER($A828),IF(AND(AH!$U$12=1,823+1=AH!$U$6),TODAY(),IF(AH!$U$5=1,INDEX('Live History'!$G$5:$G$3004,MATCH($A828,'Live History'!$G$5:$G$3004,1)),INDEX('AH History'!$C$5:$C$1380,$K828))),NA()),NA())</f>
        <v/>
      </c>
      <c r="J828" s="32">
        <f>IFERROR(IF(AND($F828&gt;0,$H828&gt;0,$A828-$G828&lt;=10,$A828-$I828&lt;=5,$G828&gt;0,$I828&gt;0),$F828*$H828,NA()),NA())</f>
        <v/>
      </c>
      <c r="K828" s="15">
        <f>IF($A828="","",IF(AH!$U$5=1,IFERROR(MATCH($A828,'Live History'!$A$5:$A$3004,0),0),AH!$U$7+823))</f>
        <v/>
      </c>
      <c r="L828" s="15">
        <f>IF(ISNUMBER(A828),TEXT(A828,"dd-mmm-yy"),"")</f>
        <v/>
      </c>
    </row>
    <row r="829">
      <c r="A829" s="14">
        <f>IF(OR(AH!$U$4=0,824+1&gt;AH!$U$6,AND(AH!$M$5="Bloomberg",AH!$U$5=0)),"",IFERROR(IF(AND(AH!$U$12=1,824+1=AH!$U$6),TODAY(),IF(AH!$U$5=1,INDEX('Live History'!$A$5:$A$3004,AH!$U$7+824),INDEX('AH History'!$A$5:$A$1380,AH!$U$7+824))),""))</f>
        <v/>
      </c>
      <c r="B829" s="33">
        <f>IFERROR(IF(AH!$U$11=1,NA(),$J829/$E829-1),NA())</f>
        <v/>
      </c>
      <c r="C829" s="269">
        <f>IFERROR(100*$E829/$E$5,NA())</f>
        <v/>
      </c>
      <c r="D829" s="269">
        <f>IFERROR(100*$J829/$J$5,NA())</f>
        <v/>
      </c>
      <c r="E829" s="32">
        <f>IFERROR(IF(AND(ISNUMBER($A829),N(IF(AND(AH!$U$12=1,824+1=AH!$U$6),IF(AH!$U$4=0,"unavailable",INDEX('Market Data'!$AN$5:$AN$66,AH!$U$4)),IF(AH!$U$5=1,INDEX('Live History'!$B$5:$B$3004,$K829),INDEX('AH History'!$D$5:$GG$1380,$K829,AH!$U$10))))&gt;0),IF(AND(AH!$U$12=1,824+1=AH!$U$6),IF(AH!$U$4=0,"unavailable",INDEX('Market Data'!$AN$5:$AN$66,AH!$U$4)),IF(AH!$U$5=1,INDEX('Live History'!$B$5:$B$3004,$K829),INDEX('AH History'!$D$5:$GG$1380,$K829,AH!$U$10))),NA()),NA())</f>
        <v/>
      </c>
      <c r="F829" s="32">
        <f>IFERROR(IF(ISNUMBER($A829),IF(AND(AH!$U$12=1,824+1=AH!$U$6),IF(AH!$U$4=0,"unavailable",INDEX('Market Data'!$AO$5:$AO$66,AH!$U$4)),IF(AH!$U$5=1,INDEX('Live History'!$E$5:$E$3004,MATCH($A829,'Live History'!$D$5:$D$3004,1)),INDEX('AH History'!$D$5:$GG$1380,$K829,AH!$U$10+1))),NA()),NA())</f>
        <v/>
      </c>
      <c r="G829" s="34">
        <f>IFERROR(IF(ISNUMBER($A829),IF(AND(AH!$U$12=1,824+1=AH!$U$6),IF(AH!$U$4=0,"unavailable",INDEX('Market Data'!$AK$5:$AK$66,AH!$U$4)),IF(AH!$U$5=1,INDEX('Live History'!$D$5:$D$3004,MATCH($A829,'Live History'!$D$5:$D$3004,1)),INDEX('AH History'!$D$5:$GG$1380,$K829,AH!$U$10+2))),NA()),NA())</f>
        <v/>
      </c>
      <c r="H829" s="266">
        <f>IFERROR(IF(ISNUMBER($A829),IF(AND(AH!$U$12=1,824+1=AH!$U$6),IF(AH!$U$4=0,"unavailable",INDEX('Market Data'!$AP$5:$AP$66,AH!$U$4)),IF(AH!$U$5=1,INDEX('Live History'!$H$5:$H$3004,MATCH($A829,'Live History'!$G$5:$G$3004,1)),INDEX('AH History'!$B$5:$B$1380,$K829))),NA()),NA())</f>
        <v/>
      </c>
      <c r="I829" s="34">
        <f>IFERROR(IF(ISNUMBER($A829),IF(AND(AH!$U$12=1,824+1=AH!$U$6),TODAY(),IF(AH!$U$5=1,INDEX('Live History'!$G$5:$G$3004,MATCH($A829,'Live History'!$G$5:$G$3004,1)),INDEX('AH History'!$C$5:$C$1380,$K829))),NA()),NA())</f>
        <v/>
      </c>
      <c r="J829" s="32">
        <f>IFERROR(IF(AND($F829&gt;0,$H829&gt;0,$A829-$G829&lt;=10,$A829-$I829&lt;=5,$G829&gt;0,$I829&gt;0),$F829*$H829,NA()),NA())</f>
        <v/>
      </c>
      <c r="K829" s="15">
        <f>IF($A829="","",IF(AH!$U$5=1,IFERROR(MATCH($A829,'Live History'!$A$5:$A$3004,0),0),AH!$U$7+824))</f>
        <v/>
      </c>
      <c r="L829" s="15">
        <f>IF(ISNUMBER(A829),TEXT(A829,"dd-mmm-yy"),"")</f>
        <v/>
      </c>
    </row>
    <row r="830">
      <c r="A830" s="14">
        <f>IF(OR(AH!$U$4=0,825+1&gt;AH!$U$6,AND(AH!$M$5="Bloomberg",AH!$U$5=0)),"",IFERROR(IF(AND(AH!$U$12=1,825+1=AH!$U$6),TODAY(),IF(AH!$U$5=1,INDEX('Live History'!$A$5:$A$3004,AH!$U$7+825),INDEX('AH History'!$A$5:$A$1380,AH!$U$7+825))),""))</f>
        <v/>
      </c>
      <c r="B830" s="33">
        <f>IFERROR(IF(AH!$U$11=1,NA(),$J830/$E830-1),NA())</f>
        <v/>
      </c>
      <c r="C830" s="269">
        <f>IFERROR(100*$E830/$E$5,NA())</f>
        <v/>
      </c>
      <c r="D830" s="269">
        <f>IFERROR(100*$J830/$J$5,NA())</f>
        <v/>
      </c>
      <c r="E830" s="32">
        <f>IFERROR(IF(AND(ISNUMBER($A830),N(IF(AND(AH!$U$12=1,825+1=AH!$U$6),IF(AH!$U$4=0,"unavailable",INDEX('Market Data'!$AN$5:$AN$66,AH!$U$4)),IF(AH!$U$5=1,INDEX('Live History'!$B$5:$B$3004,$K830),INDEX('AH History'!$D$5:$GG$1380,$K830,AH!$U$10))))&gt;0),IF(AND(AH!$U$12=1,825+1=AH!$U$6),IF(AH!$U$4=0,"unavailable",INDEX('Market Data'!$AN$5:$AN$66,AH!$U$4)),IF(AH!$U$5=1,INDEX('Live History'!$B$5:$B$3004,$K830),INDEX('AH History'!$D$5:$GG$1380,$K830,AH!$U$10))),NA()),NA())</f>
        <v/>
      </c>
      <c r="F830" s="32">
        <f>IFERROR(IF(ISNUMBER($A830),IF(AND(AH!$U$12=1,825+1=AH!$U$6),IF(AH!$U$4=0,"unavailable",INDEX('Market Data'!$AO$5:$AO$66,AH!$U$4)),IF(AH!$U$5=1,INDEX('Live History'!$E$5:$E$3004,MATCH($A830,'Live History'!$D$5:$D$3004,1)),INDEX('AH History'!$D$5:$GG$1380,$K830,AH!$U$10+1))),NA()),NA())</f>
        <v/>
      </c>
      <c r="G830" s="34">
        <f>IFERROR(IF(ISNUMBER($A830),IF(AND(AH!$U$12=1,825+1=AH!$U$6),IF(AH!$U$4=0,"unavailable",INDEX('Market Data'!$AK$5:$AK$66,AH!$U$4)),IF(AH!$U$5=1,INDEX('Live History'!$D$5:$D$3004,MATCH($A830,'Live History'!$D$5:$D$3004,1)),INDEX('AH History'!$D$5:$GG$1380,$K830,AH!$U$10+2))),NA()),NA())</f>
        <v/>
      </c>
      <c r="H830" s="266">
        <f>IFERROR(IF(ISNUMBER($A830),IF(AND(AH!$U$12=1,825+1=AH!$U$6),IF(AH!$U$4=0,"unavailable",INDEX('Market Data'!$AP$5:$AP$66,AH!$U$4)),IF(AH!$U$5=1,INDEX('Live History'!$H$5:$H$3004,MATCH($A830,'Live History'!$G$5:$G$3004,1)),INDEX('AH History'!$B$5:$B$1380,$K830))),NA()),NA())</f>
        <v/>
      </c>
      <c r="I830" s="34">
        <f>IFERROR(IF(ISNUMBER($A830),IF(AND(AH!$U$12=1,825+1=AH!$U$6),TODAY(),IF(AH!$U$5=1,INDEX('Live History'!$G$5:$G$3004,MATCH($A830,'Live History'!$G$5:$G$3004,1)),INDEX('AH History'!$C$5:$C$1380,$K830))),NA()),NA())</f>
        <v/>
      </c>
      <c r="J830" s="32">
        <f>IFERROR(IF(AND($F830&gt;0,$H830&gt;0,$A830-$G830&lt;=10,$A830-$I830&lt;=5,$G830&gt;0,$I830&gt;0),$F830*$H830,NA()),NA())</f>
        <v/>
      </c>
      <c r="K830" s="15">
        <f>IF($A830="","",IF(AH!$U$5=1,IFERROR(MATCH($A830,'Live History'!$A$5:$A$3004,0),0),AH!$U$7+825))</f>
        <v/>
      </c>
      <c r="L830" s="15">
        <f>IF(ISNUMBER(A830),TEXT(A830,"dd-mmm-yy"),"")</f>
        <v/>
      </c>
    </row>
    <row r="831">
      <c r="A831" s="14">
        <f>IF(OR(AH!$U$4=0,826+1&gt;AH!$U$6,AND(AH!$M$5="Bloomberg",AH!$U$5=0)),"",IFERROR(IF(AND(AH!$U$12=1,826+1=AH!$U$6),TODAY(),IF(AH!$U$5=1,INDEX('Live History'!$A$5:$A$3004,AH!$U$7+826),INDEX('AH History'!$A$5:$A$1380,AH!$U$7+826))),""))</f>
        <v/>
      </c>
      <c r="B831" s="33">
        <f>IFERROR(IF(AH!$U$11=1,NA(),$J831/$E831-1),NA())</f>
        <v/>
      </c>
      <c r="C831" s="269">
        <f>IFERROR(100*$E831/$E$5,NA())</f>
        <v/>
      </c>
      <c r="D831" s="269">
        <f>IFERROR(100*$J831/$J$5,NA())</f>
        <v/>
      </c>
      <c r="E831" s="32">
        <f>IFERROR(IF(AND(ISNUMBER($A831),N(IF(AND(AH!$U$12=1,826+1=AH!$U$6),IF(AH!$U$4=0,"unavailable",INDEX('Market Data'!$AN$5:$AN$66,AH!$U$4)),IF(AH!$U$5=1,INDEX('Live History'!$B$5:$B$3004,$K831),INDEX('AH History'!$D$5:$GG$1380,$K831,AH!$U$10))))&gt;0),IF(AND(AH!$U$12=1,826+1=AH!$U$6),IF(AH!$U$4=0,"unavailable",INDEX('Market Data'!$AN$5:$AN$66,AH!$U$4)),IF(AH!$U$5=1,INDEX('Live History'!$B$5:$B$3004,$K831),INDEX('AH History'!$D$5:$GG$1380,$K831,AH!$U$10))),NA()),NA())</f>
        <v/>
      </c>
      <c r="F831" s="32">
        <f>IFERROR(IF(ISNUMBER($A831),IF(AND(AH!$U$12=1,826+1=AH!$U$6),IF(AH!$U$4=0,"unavailable",INDEX('Market Data'!$AO$5:$AO$66,AH!$U$4)),IF(AH!$U$5=1,INDEX('Live History'!$E$5:$E$3004,MATCH($A831,'Live History'!$D$5:$D$3004,1)),INDEX('AH History'!$D$5:$GG$1380,$K831,AH!$U$10+1))),NA()),NA())</f>
        <v/>
      </c>
      <c r="G831" s="34">
        <f>IFERROR(IF(ISNUMBER($A831),IF(AND(AH!$U$12=1,826+1=AH!$U$6),IF(AH!$U$4=0,"unavailable",INDEX('Market Data'!$AK$5:$AK$66,AH!$U$4)),IF(AH!$U$5=1,INDEX('Live History'!$D$5:$D$3004,MATCH($A831,'Live History'!$D$5:$D$3004,1)),INDEX('AH History'!$D$5:$GG$1380,$K831,AH!$U$10+2))),NA()),NA())</f>
        <v/>
      </c>
      <c r="H831" s="266">
        <f>IFERROR(IF(ISNUMBER($A831),IF(AND(AH!$U$12=1,826+1=AH!$U$6),IF(AH!$U$4=0,"unavailable",INDEX('Market Data'!$AP$5:$AP$66,AH!$U$4)),IF(AH!$U$5=1,INDEX('Live History'!$H$5:$H$3004,MATCH($A831,'Live History'!$G$5:$G$3004,1)),INDEX('AH History'!$B$5:$B$1380,$K831))),NA()),NA())</f>
        <v/>
      </c>
      <c r="I831" s="34">
        <f>IFERROR(IF(ISNUMBER($A831),IF(AND(AH!$U$12=1,826+1=AH!$U$6),TODAY(),IF(AH!$U$5=1,INDEX('Live History'!$G$5:$G$3004,MATCH($A831,'Live History'!$G$5:$G$3004,1)),INDEX('AH History'!$C$5:$C$1380,$K831))),NA()),NA())</f>
        <v/>
      </c>
      <c r="J831" s="32">
        <f>IFERROR(IF(AND($F831&gt;0,$H831&gt;0,$A831-$G831&lt;=10,$A831-$I831&lt;=5,$G831&gt;0,$I831&gt;0),$F831*$H831,NA()),NA())</f>
        <v/>
      </c>
      <c r="K831" s="15">
        <f>IF($A831="","",IF(AH!$U$5=1,IFERROR(MATCH($A831,'Live History'!$A$5:$A$3004,0),0),AH!$U$7+826))</f>
        <v/>
      </c>
      <c r="L831" s="15">
        <f>IF(ISNUMBER(A831),TEXT(A831,"dd-mmm-yy"),"")</f>
        <v/>
      </c>
    </row>
    <row r="832">
      <c r="A832" s="14">
        <f>IF(OR(AH!$U$4=0,827+1&gt;AH!$U$6,AND(AH!$M$5="Bloomberg",AH!$U$5=0)),"",IFERROR(IF(AND(AH!$U$12=1,827+1=AH!$U$6),TODAY(),IF(AH!$U$5=1,INDEX('Live History'!$A$5:$A$3004,AH!$U$7+827),INDEX('AH History'!$A$5:$A$1380,AH!$U$7+827))),""))</f>
        <v/>
      </c>
      <c r="B832" s="33">
        <f>IFERROR(IF(AH!$U$11=1,NA(),$J832/$E832-1),NA())</f>
        <v/>
      </c>
      <c r="C832" s="269">
        <f>IFERROR(100*$E832/$E$5,NA())</f>
        <v/>
      </c>
      <c r="D832" s="269">
        <f>IFERROR(100*$J832/$J$5,NA())</f>
        <v/>
      </c>
      <c r="E832" s="32">
        <f>IFERROR(IF(AND(ISNUMBER($A832),N(IF(AND(AH!$U$12=1,827+1=AH!$U$6),IF(AH!$U$4=0,"unavailable",INDEX('Market Data'!$AN$5:$AN$66,AH!$U$4)),IF(AH!$U$5=1,INDEX('Live History'!$B$5:$B$3004,$K832),INDEX('AH History'!$D$5:$GG$1380,$K832,AH!$U$10))))&gt;0),IF(AND(AH!$U$12=1,827+1=AH!$U$6),IF(AH!$U$4=0,"unavailable",INDEX('Market Data'!$AN$5:$AN$66,AH!$U$4)),IF(AH!$U$5=1,INDEX('Live History'!$B$5:$B$3004,$K832),INDEX('AH History'!$D$5:$GG$1380,$K832,AH!$U$10))),NA()),NA())</f>
        <v/>
      </c>
      <c r="F832" s="32">
        <f>IFERROR(IF(ISNUMBER($A832),IF(AND(AH!$U$12=1,827+1=AH!$U$6),IF(AH!$U$4=0,"unavailable",INDEX('Market Data'!$AO$5:$AO$66,AH!$U$4)),IF(AH!$U$5=1,INDEX('Live History'!$E$5:$E$3004,MATCH($A832,'Live History'!$D$5:$D$3004,1)),INDEX('AH History'!$D$5:$GG$1380,$K832,AH!$U$10+1))),NA()),NA())</f>
        <v/>
      </c>
      <c r="G832" s="34">
        <f>IFERROR(IF(ISNUMBER($A832),IF(AND(AH!$U$12=1,827+1=AH!$U$6),IF(AH!$U$4=0,"unavailable",INDEX('Market Data'!$AK$5:$AK$66,AH!$U$4)),IF(AH!$U$5=1,INDEX('Live History'!$D$5:$D$3004,MATCH($A832,'Live History'!$D$5:$D$3004,1)),INDEX('AH History'!$D$5:$GG$1380,$K832,AH!$U$10+2))),NA()),NA())</f>
        <v/>
      </c>
      <c r="H832" s="266">
        <f>IFERROR(IF(ISNUMBER($A832),IF(AND(AH!$U$12=1,827+1=AH!$U$6),IF(AH!$U$4=0,"unavailable",INDEX('Market Data'!$AP$5:$AP$66,AH!$U$4)),IF(AH!$U$5=1,INDEX('Live History'!$H$5:$H$3004,MATCH($A832,'Live History'!$G$5:$G$3004,1)),INDEX('AH History'!$B$5:$B$1380,$K832))),NA()),NA())</f>
        <v/>
      </c>
      <c r="I832" s="34">
        <f>IFERROR(IF(ISNUMBER($A832),IF(AND(AH!$U$12=1,827+1=AH!$U$6),TODAY(),IF(AH!$U$5=1,INDEX('Live History'!$G$5:$G$3004,MATCH($A832,'Live History'!$G$5:$G$3004,1)),INDEX('AH History'!$C$5:$C$1380,$K832))),NA()),NA())</f>
        <v/>
      </c>
      <c r="J832" s="32">
        <f>IFERROR(IF(AND($F832&gt;0,$H832&gt;0,$A832-$G832&lt;=10,$A832-$I832&lt;=5,$G832&gt;0,$I832&gt;0),$F832*$H832,NA()),NA())</f>
        <v/>
      </c>
      <c r="K832" s="15">
        <f>IF($A832="","",IF(AH!$U$5=1,IFERROR(MATCH($A832,'Live History'!$A$5:$A$3004,0),0),AH!$U$7+827))</f>
        <v/>
      </c>
      <c r="L832" s="15">
        <f>IF(ISNUMBER(A832),TEXT(A832,"dd-mmm-yy"),"")</f>
        <v/>
      </c>
    </row>
    <row r="833">
      <c r="A833" s="14">
        <f>IF(OR(AH!$U$4=0,828+1&gt;AH!$U$6,AND(AH!$M$5="Bloomberg",AH!$U$5=0)),"",IFERROR(IF(AND(AH!$U$12=1,828+1=AH!$U$6),TODAY(),IF(AH!$U$5=1,INDEX('Live History'!$A$5:$A$3004,AH!$U$7+828),INDEX('AH History'!$A$5:$A$1380,AH!$U$7+828))),""))</f>
        <v/>
      </c>
      <c r="B833" s="33">
        <f>IFERROR(IF(AH!$U$11=1,NA(),$J833/$E833-1),NA())</f>
        <v/>
      </c>
      <c r="C833" s="269">
        <f>IFERROR(100*$E833/$E$5,NA())</f>
        <v/>
      </c>
      <c r="D833" s="269">
        <f>IFERROR(100*$J833/$J$5,NA())</f>
        <v/>
      </c>
      <c r="E833" s="32">
        <f>IFERROR(IF(AND(ISNUMBER($A833),N(IF(AND(AH!$U$12=1,828+1=AH!$U$6),IF(AH!$U$4=0,"unavailable",INDEX('Market Data'!$AN$5:$AN$66,AH!$U$4)),IF(AH!$U$5=1,INDEX('Live History'!$B$5:$B$3004,$K833),INDEX('AH History'!$D$5:$GG$1380,$K833,AH!$U$10))))&gt;0),IF(AND(AH!$U$12=1,828+1=AH!$U$6),IF(AH!$U$4=0,"unavailable",INDEX('Market Data'!$AN$5:$AN$66,AH!$U$4)),IF(AH!$U$5=1,INDEX('Live History'!$B$5:$B$3004,$K833),INDEX('AH History'!$D$5:$GG$1380,$K833,AH!$U$10))),NA()),NA())</f>
        <v/>
      </c>
      <c r="F833" s="32">
        <f>IFERROR(IF(ISNUMBER($A833),IF(AND(AH!$U$12=1,828+1=AH!$U$6),IF(AH!$U$4=0,"unavailable",INDEX('Market Data'!$AO$5:$AO$66,AH!$U$4)),IF(AH!$U$5=1,INDEX('Live History'!$E$5:$E$3004,MATCH($A833,'Live History'!$D$5:$D$3004,1)),INDEX('AH History'!$D$5:$GG$1380,$K833,AH!$U$10+1))),NA()),NA())</f>
        <v/>
      </c>
      <c r="G833" s="34">
        <f>IFERROR(IF(ISNUMBER($A833),IF(AND(AH!$U$12=1,828+1=AH!$U$6),IF(AH!$U$4=0,"unavailable",INDEX('Market Data'!$AK$5:$AK$66,AH!$U$4)),IF(AH!$U$5=1,INDEX('Live History'!$D$5:$D$3004,MATCH($A833,'Live History'!$D$5:$D$3004,1)),INDEX('AH History'!$D$5:$GG$1380,$K833,AH!$U$10+2))),NA()),NA())</f>
        <v/>
      </c>
      <c r="H833" s="266">
        <f>IFERROR(IF(ISNUMBER($A833),IF(AND(AH!$U$12=1,828+1=AH!$U$6),IF(AH!$U$4=0,"unavailable",INDEX('Market Data'!$AP$5:$AP$66,AH!$U$4)),IF(AH!$U$5=1,INDEX('Live History'!$H$5:$H$3004,MATCH($A833,'Live History'!$G$5:$G$3004,1)),INDEX('AH History'!$B$5:$B$1380,$K833))),NA()),NA())</f>
        <v/>
      </c>
      <c r="I833" s="34">
        <f>IFERROR(IF(ISNUMBER($A833),IF(AND(AH!$U$12=1,828+1=AH!$U$6),TODAY(),IF(AH!$U$5=1,INDEX('Live History'!$G$5:$G$3004,MATCH($A833,'Live History'!$G$5:$G$3004,1)),INDEX('AH History'!$C$5:$C$1380,$K833))),NA()),NA())</f>
        <v/>
      </c>
      <c r="J833" s="32">
        <f>IFERROR(IF(AND($F833&gt;0,$H833&gt;0,$A833-$G833&lt;=10,$A833-$I833&lt;=5,$G833&gt;0,$I833&gt;0),$F833*$H833,NA()),NA())</f>
        <v/>
      </c>
      <c r="K833" s="15">
        <f>IF($A833="","",IF(AH!$U$5=1,IFERROR(MATCH($A833,'Live History'!$A$5:$A$3004,0),0),AH!$U$7+828))</f>
        <v/>
      </c>
      <c r="L833" s="15">
        <f>IF(ISNUMBER(A833),TEXT(A833,"dd-mmm-yy"),"")</f>
        <v/>
      </c>
    </row>
    <row r="834">
      <c r="A834" s="14">
        <f>IF(OR(AH!$U$4=0,829+1&gt;AH!$U$6,AND(AH!$M$5="Bloomberg",AH!$U$5=0)),"",IFERROR(IF(AND(AH!$U$12=1,829+1=AH!$U$6),TODAY(),IF(AH!$U$5=1,INDEX('Live History'!$A$5:$A$3004,AH!$U$7+829),INDEX('AH History'!$A$5:$A$1380,AH!$U$7+829))),""))</f>
        <v/>
      </c>
      <c r="B834" s="33">
        <f>IFERROR(IF(AH!$U$11=1,NA(),$J834/$E834-1),NA())</f>
        <v/>
      </c>
      <c r="C834" s="269">
        <f>IFERROR(100*$E834/$E$5,NA())</f>
        <v/>
      </c>
      <c r="D834" s="269">
        <f>IFERROR(100*$J834/$J$5,NA())</f>
        <v/>
      </c>
      <c r="E834" s="32">
        <f>IFERROR(IF(AND(ISNUMBER($A834),N(IF(AND(AH!$U$12=1,829+1=AH!$U$6),IF(AH!$U$4=0,"unavailable",INDEX('Market Data'!$AN$5:$AN$66,AH!$U$4)),IF(AH!$U$5=1,INDEX('Live History'!$B$5:$B$3004,$K834),INDEX('AH History'!$D$5:$GG$1380,$K834,AH!$U$10))))&gt;0),IF(AND(AH!$U$12=1,829+1=AH!$U$6),IF(AH!$U$4=0,"unavailable",INDEX('Market Data'!$AN$5:$AN$66,AH!$U$4)),IF(AH!$U$5=1,INDEX('Live History'!$B$5:$B$3004,$K834),INDEX('AH History'!$D$5:$GG$1380,$K834,AH!$U$10))),NA()),NA())</f>
        <v/>
      </c>
      <c r="F834" s="32">
        <f>IFERROR(IF(ISNUMBER($A834),IF(AND(AH!$U$12=1,829+1=AH!$U$6),IF(AH!$U$4=0,"unavailable",INDEX('Market Data'!$AO$5:$AO$66,AH!$U$4)),IF(AH!$U$5=1,INDEX('Live History'!$E$5:$E$3004,MATCH($A834,'Live History'!$D$5:$D$3004,1)),INDEX('AH History'!$D$5:$GG$1380,$K834,AH!$U$10+1))),NA()),NA())</f>
        <v/>
      </c>
      <c r="G834" s="34">
        <f>IFERROR(IF(ISNUMBER($A834),IF(AND(AH!$U$12=1,829+1=AH!$U$6),IF(AH!$U$4=0,"unavailable",INDEX('Market Data'!$AK$5:$AK$66,AH!$U$4)),IF(AH!$U$5=1,INDEX('Live History'!$D$5:$D$3004,MATCH($A834,'Live History'!$D$5:$D$3004,1)),INDEX('AH History'!$D$5:$GG$1380,$K834,AH!$U$10+2))),NA()),NA())</f>
        <v/>
      </c>
      <c r="H834" s="266">
        <f>IFERROR(IF(ISNUMBER($A834),IF(AND(AH!$U$12=1,829+1=AH!$U$6),IF(AH!$U$4=0,"unavailable",INDEX('Market Data'!$AP$5:$AP$66,AH!$U$4)),IF(AH!$U$5=1,INDEX('Live History'!$H$5:$H$3004,MATCH($A834,'Live History'!$G$5:$G$3004,1)),INDEX('AH History'!$B$5:$B$1380,$K834))),NA()),NA())</f>
        <v/>
      </c>
      <c r="I834" s="34">
        <f>IFERROR(IF(ISNUMBER($A834),IF(AND(AH!$U$12=1,829+1=AH!$U$6),TODAY(),IF(AH!$U$5=1,INDEX('Live History'!$G$5:$G$3004,MATCH($A834,'Live History'!$G$5:$G$3004,1)),INDEX('AH History'!$C$5:$C$1380,$K834))),NA()),NA())</f>
        <v/>
      </c>
      <c r="J834" s="32">
        <f>IFERROR(IF(AND($F834&gt;0,$H834&gt;0,$A834-$G834&lt;=10,$A834-$I834&lt;=5,$G834&gt;0,$I834&gt;0),$F834*$H834,NA()),NA())</f>
        <v/>
      </c>
      <c r="K834" s="15">
        <f>IF($A834="","",IF(AH!$U$5=1,IFERROR(MATCH($A834,'Live History'!$A$5:$A$3004,0),0),AH!$U$7+829))</f>
        <v/>
      </c>
      <c r="L834" s="15">
        <f>IF(ISNUMBER(A834),TEXT(A834,"dd-mmm-yy"),"")</f>
        <v/>
      </c>
    </row>
    <row r="835">
      <c r="A835" s="14">
        <f>IF(OR(AH!$U$4=0,830+1&gt;AH!$U$6,AND(AH!$M$5="Bloomberg",AH!$U$5=0)),"",IFERROR(IF(AND(AH!$U$12=1,830+1=AH!$U$6),TODAY(),IF(AH!$U$5=1,INDEX('Live History'!$A$5:$A$3004,AH!$U$7+830),INDEX('AH History'!$A$5:$A$1380,AH!$U$7+830))),""))</f>
        <v/>
      </c>
      <c r="B835" s="33">
        <f>IFERROR(IF(AH!$U$11=1,NA(),$J835/$E835-1),NA())</f>
        <v/>
      </c>
      <c r="C835" s="269">
        <f>IFERROR(100*$E835/$E$5,NA())</f>
        <v/>
      </c>
      <c r="D835" s="269">
        <f>IFERROR(100*$J835/$J$5,NA())</f>
        <v/>
      </c>
      <c r="E835" s="32">
        <f>IFERROR(IF(AND(ISNUMBER($A835),N(IF(AND(AH!$U$12=1,830+1=AH!$U$6),IF(AH!$U$4=0,"unavailable",INDEX('Market Data'!$AN$5:$AN$66,AH!$U$4)),IF(AH!$U$5=1,INDEX('Live History'!$B$5:$B$3004,$K835),INDEX('AH History'!$D$5:$GG$1380,$K835,AH!$U$10))))&gt;0),IF(AND(AH!$U$12=1,830+1=AH!$U$6),IF(AH!$U$4=0,"unavailable",INDEX('Market Data'!$AN$5:$AN$66,AH!$U$4)),IF(AH!$U$5=1,INDEX('Live History'!$B$5:$B$3004,$K835),INDEX('AH History'!$D$5:$GG$1380,$K835,AH!$U$10))),NA()),NA())</f>
        <v/>
      </c>
      <c r="F835" s="32">
        <f>IFERROR(IF(ISNUMBER($A835),IF(AND(AH!$U$12=1,830+1=AH!$U$6),IF(AH!$U$4=0,"unavailable",INDEX('Market Data'!$AO$5:$AO$66,AH!$U$4)),IF(AH!$U$5=1,INDEX('Live History'!$E$5:$E$3004,MATCH($A835,'Live History'!$D$5:$D$3004,1)),INDEX('AH History'!$D$5:$GG$1380,$K835,AH!$U$10+1))),NA()),NA())</f>
        <v/>
      </c>
      <c r="G835" s="34">
        <f>IFERROR(IF(ISNUMBER($A835),IF(AND(AH!$U$12=1,830+1=AH!$U$6),IF(AH!$U$4=0,"unavailable",INDEX('Market Data'!$AK$5:$AK$66,AH!$U$4)),IF(AH!$U$5=1,INDEX('Live History'!$D$5:$D$3004,MATCH($A835,'Live History'!$D$5:$D$3004,1)),INDEX('AH History'!$D$5:$GG$1380,$K835,AH!$U$10+2))),NA()),NA())</f>
        <v/>
      </c>
      <c r="H835" s="266">
        <f>IFERROR(IF(ISNUMBER($A835),IF(AND(AH!$U$12=1,830+1=AH!$U$6),IF(AH!$U$4=0,"unavailable",INDEX('Market Data'!$AP$5:$AP$66,AH!$U$4)),IF(AH!$U$5=1,INDEX('Live History'!$H$5:$H$3004,MATCH($A835,'Live History'!$G$5:$G$3004,1)),INDEX('AH History'!$B$5:$B$1380,$K835))),NA()),NA())</f>
        <v/>
      </c>
      <c r="I835" s="34">
        <f>IFERROR(IF(ISNUMBER($A835),IF(AND(AH!$U$12=1,830+1=AH!$U$6),TODAY(),IF(AH!$U$5=1,INDEX('Live History'!$G$5:$G$3004,MATCH($A835,'Live History'!$G$5:$G$3004,1)),INDEX('AH History'!$C$5:$C$1380,$K835))),NA()),NA())</f>
        <v/>
      </c>
      <c r="J835" s="32">
        <f>IFERROR(IF(AND($F835&gt;0,$H835&gt;0,$A835-$G835&lt;=10,$A835-$I835&lt;=5,$G835&gt;0,$I835&gt;0),$F835*$H835,NA()),NA())</f>
        <v/>
      </c>
      <c r="K835" s="15">
        <f>IF($A835="","",IF(AH!$U$5=1,IFERROR(MATCH($A835,'Live History'!$A$5:$A$3004,0),0),AH!$U$7+830))</f>
        <v/>
      </c>
      <c r="L835" s="15">
        <f>IF(ISNUMBER(A835),TEXT(A835,"dd-mmm-yy"),"")</f>
        <v/>
      </c>
    </row>
    <row r="836">
      <c r="A836" s="14">
        <f>IF(OR(AH!$U$4=0,831+1&gt;AH!$U$6,AND(AH!$M$5="Bloomberg",AH!$U$5=0)),"",IFERROR(IF(AND(AH!$U$12=1,831+1=AH!$U$6),TODAY(),IF(AH!$U$5=1,INDEX('Live History'!$A$5:$A$3004,AH!$U$7+831),INDEX('AH History'!$A$5:$A$1380,AH!$U$7+831))),""))</f>
        <v/>
      </c>
      <c r="B836" s="33">
        <f>IFERROR(IF(AH!$U$11=1,NA(),$J836/$E836-1),NA())</f>
        <v/>
      </c>
      <c r="C836" s="269">
        <f>IFERROR(100*$E836/$E$5,NA())</f>
        <v/>
      </c>
      <c r="D836" s="269">
        <f>IFERROR(100*$J836/$J$5,NA())</f>
        <v/>
      </c>
      <c r="E836" s="32">
        <f>IFERROR(IF(AND(ISNUMBER($A836),N(IF(AND(AH!$U$12=1,831+1=AH!$U$6),IF(AH!$U$4=0,"unavailable",INDEX('Market Data'!$AN$5:$AN$66,AH!$U$4)),IF(AH!$U$5=1,INDEX('Live History'!$B$5:$B$3004,$K836),INDEX('AH History'!$D$5:$GG$1380,$K836,AH!$U$10))))&gt;0),IF(AND(AH!$U$12=1,831+1=AH!$U$6),IF(AH!$U$4=0,"unavailable",INDEX('Market Data'!$AN$5:$AN$66,AH!$U$4)),IF(AH!$U$5=1,INDEX('Live History'!$B$5:$B$3004,$K836),INDEX('AH History'!$D$5:$GG$1380,$K836,AH!$U$10))),NA()),NA())</f>
        <v/>
      </c>
      <c r="F836" s="32">
        <f>IFERROR(IF(ISNUMBER($A836),IF(AND(AH!$U$12=1,831+1=AH!$U$6),IF(AH!$U$4=0,"unavailable",INDEX('Market Data'!$AO$5:$AO$66,AH!$U$4)),IF(AH!$U$5=1,INDEX('Live History'!$E$5:$E$3004,MATCH($A836,'Live History'!$D$5:$D$3004,1)),INDEX('AH History'!$D$5:$GG$1380,$K836,AH!$U$10+1))),NA()),NA())</f>
        <v/>
      </c>
      <c r="G836" s="34">
        <f>IFERROR(IF(ISNUMBER($A836),IF(AND(AH!$U$12=1,831+1=AH!$U$6),IF(AH!$U$4=0,"unavailable",INDEX('Market Data'!$AK$5:$AK$66,AH!$U$4)),IF(AH!$U$5=1,INDEX('Live History'!$D$5:$D$3004,MATCH($A836,'Live History'!$D$5:$D$3004,1)),INDEX('AH History'!$D$5:$GG$1380,$K836,AH!$U$10+2))),NA()),NA())</f>
        <v/>
      </c>
      <c r="H836" s="266">
        <f>IFERROR(IF(ISNUMBER($A836),IF(AND(AH!$U$12=1,831+1=AH!$U$6),IF(AH!$U$4=0,"unavailable",INDEX('Market Data'!$AP$5:$AP$66,AH!$U$4)),IF(AH!$U$5=1,INDEX('Live History'!$H$5:$H$3004,MATCH($A836,'Live History'!$G$5:$G$3004,1)),INDEX('AH History'!$B$5:$B$1380,$K836))),NA()),NA())</f>
        <v/>
      </c>
      <c r="I836" s="34">
        <f>IFERROR(IF(ISNUMBER($A836),IF(AND(AH!$U$12=1,831+1=AH!$U$6),TODAY(),IF(AH!$U$5=1,INDEX('Live History'!$G$5:$G$3004,MATCH($A836,'Live History'!$G$5:$G$3004,1)),INDEX('AH History'!$C$5:$C$1380,$K836))),NA()),NA())</f>
        <v/>
      </c>
      <c r="J836" s="32">
        <f>IFERROR(IF(AND($F836&gt;0,$H836&gt;0,$A836-$G836&lt;=10,$A836-$I836&lt;=5,$G836&gt;0,$I836&gt;0),$F836*$H836,NA()),NA())</f>
        <v/>
      </c>
      <c r="K836" s="15">
        <f>IF($A836="","",IF(AH!$U$5=1,IFERROR(MATCH($A836,'Live History'!$A$5:$A$3004,0),0),AH!$U$7+831))</f>
        <v/>
      </c>
      <c r="L836" s="15">
        <f>IF(ISNUMBER(A836),TEXT(A836,"dd-mmm-yy"),"")</f>
        <v/>
      </c>
    </row>
    <row r="837">
      <c r="A837" s="14">
        <f>IF(OR(AH!$U$4=0,832+1&gt;AH!$U$6,AND(AH!$M$5="Bloomberg",AH!$U$5=0)),"",IFERROR(IF(AND(AH!$U$12=1,832+1=AH!$U$6),TODAY(),IF(AH!$U$5=1,INDEX('Live History'!$A$5:$A$3004,AH!$U$7+832),INDEX('AH History'!$A$5:$A$1380,AH!$U$7+832))),""))</f>
        <v/>
      </c>
      <c r="B837" s="33">
        <f>IFERROR(IF(AH!$U$11=1,NA(),$J837/$E837-1),NA())</f>
        <v/>
      </c>
      <c r="C837" s="269">
        <f>IFERROR(100*$E837/$E$5,NA())</f>
        <v/>
      </c>
      <c r="D837" s="269">
        <f>IFERROR(100*$J837/$J$5,NA())</f>
        <v/>
      </c>
      <c r="E837" s="32">
        <f>IFERROR(IF(AND(ISNUMBER($A837),N(IF(AND(AH!$U$12=1,832+1=AH!$U$6),IF(AH!$U$4=0,"unavailable",INDEX('Market Data'!$AN$5:$AN$66,AH!$U$4)),IF(AH!$U$5=1,INDEX('Live History'!$B$5:$B$3004,$K837),INDEX('AH History'!$D$5:$GG$1380,$K837,AH!$U$10))))&gt;0),IF(AND(AH!$U$12=1,832+1=AH!$U$6),IF(AH!$U$4=0,"unavailable",INDEX('Market Data'!$AN$5:$AN$66,AH!$U$4)),IF(AH!$U$5=1,INDEX('Live History'!$B$5:$B$3004,$K837),INDEX('AH History'!$D$5:$GG$1380,$K837,AH!$U$10))),NA()),NA())</f>
        <v/>
      </c>
      <c r="F837" s="32">
        <f>IFERROR(IF(ISNUMBER($A837),IF(AND(AH!$U$12=1,832+1=AH!$U$6),IF(AH!$U$4=0,"unavailable",INDEX('Market Data'!$AO$5:$AO$66,AH!$U$4)),IF(AH!$U$5=1,INDEX('Live History'!$E$5:$E$3004,MATCH($A837,'Live History'!$D$5:$D$3004,1)),INDEX('AH History'!$D$5:$GG$1380,$K837,AH!$U$10+1))),NA()),NA())</f>
        <v/>
      </c>
      <c r="G837" s="34">
        <f>IFERROR(IF(ISNUMBER($A837),IF(AND(AH!$U$12=1,832+1=AH!$U$6),IF(AH!$U$4=0,"unavailable",INDEX('Market Data'!$AK$5:$AK$66,AH!$U$4)),IF(AH!$U$5=1,INDEX('Live History'!$D$5:$D$3004,MATCH($A837,'Live History'!$D$5:$D$3004,1)),INDEX('AH History'!$D$5:$GG$1380,$K837,AH!$U$10+2))),NA()),NA())</f>
        <v/>
      </c>
      <c r="H837" s="266">
        <f>IFERROR(IF(ISNUMBER($A837),IF(AND(AH!$U$12=1,832+1=AH!$U$6),IF(AH!$U$4=0,"unavailable",INDEX('Market Data'!$AP$5:$AP$66,AH!$U$4)),IF(AH!$U$5=1,INDEX('Live History'!$H$5:$H$3004,MATCH($A837,'Live History'!$G$5:$G$3004,1)),INDEX('AH History'!$B$5:$B$1380,$K837))),NA()),NA())</f>
        <v/>
      </c>
      <c r="I837" s="34">
        <f>IFERROR(IF(ISNUMBER($A837),IF(AND(AH!$U$12=1,832+1=AH!$U$6),TODAY(),IF(AH!$U$5=1,INDEX('Live History'!$G$5:$G$3004,MATCH($A837,'Live History'!$G$5:$G$3004,1)),INDEX('AH History'!$C$5:$C$1380,$K837))),NA()),NA())</f>
        <v/>
      </c>
      <c r="J837" s="32">
        <f>IFERROR(IF(AND($F837&gt;0,$H837&gt;0,$A837-$G837&lt;=10,$A837-$I837&lt;=5,$G837&gt;0,$I837&gt;0),$F837*$H837,NA()),NA())</f>
        <v/>
      </c>
      <c r="K837" s="15">
        <f>IF($A837="","",IF(AH!$U$5=1,IFERROR(MATCH($A837,'Live History'!$A$5:$A$3004,0),0),AH!$U$7+832))</f>
        <v/>
      </c>
      <c r="L837" s="15">
        <f>IF(ISNUMBER(A837),TEXT(A837,"dd-mmm-yy"),"")</f>
        <v/>
      </c>
    </row>
    <row r="838">
      <c r="A838" s="14">
        <f>IF(OR(AH!$U$4=0,833+1&gt;AH!$U$6,AND(AH!$M$5="Bloomberg",AH!$U$5=0)),"",IFERROR(IF(AND(AH!$U$12=1,833+1=AH!$U$6),TODAY(),IF(AH!$U$5=1,INDEX('Live History'!$A$5:$A$3004,AH!$U$7+833),INDEX('AH History'!$A$5:$A$1380,AH!$U$7+833))),""))</f>
        <v/>
      </c>
      <c r="B838" s="33">
        <f>IFERROR(IF(AH!$U$11=1,NA(),$J838/$E838-1),NA())</f>
        <v/>
      </c>
      <c r="C838" s="269">
        <f>IFERROR(100*$E838/$E$5,NA())</f>
        <v/>
      </c>
      <c r="D838" s="269">
        <f>IFERROR(100*$J838/$J$5,NA())</f>
        <v/>
      </c>
      <c r="E838" s="32">
        <f>IFERROR(IF(AND(ISNUMBER($A838),N(IF(AND(AH!$U$12=1,833+1=AH!$U$6),IF(AH!$U$4=0,"unavailable",INDEX('Market Data'!$AN$5:$AN$66,AH!$U$4)),IF(AH!$U$5=1,INDEX('Live History'!$B$5:$B$3004,$K838),INDEX('AH History'!$D$5:$GG$1380,$K838,AH!$U$10))))&gt;0),IF(AND(AH!$U$12=1,833+1=AH!$U$6),IF(AH!$U$4=0,"unavailable",INDEX('Market Data'!$AN$5:$AN$66,AH!$U$4)),IF(AH!$U$5=1,INDEX('Live History'!$B$5:$B$3004,$K838),INDEX('AH History'!$D$5:$GG$1380,$K838,AH!$U$10))),NA()),NA())</f>
        <v/>
      </c>
      <c r="F838" s="32">
        <f>IFERROR(IF(ISNUMBER($A838),IF(AND(AH!$U$12=1,833+1=AH!$U$6),IF(AH!$U$4=0,"unavailable",INDEX('Market Data'!$AO$5:$AO$66,AH!$U$4)),IF(AH!$U$5=1,INDEX('Live History'!$E$5:$E$3004,MATCH($A838,'Live History'!$D$5:$D$3004,1)),INDEX('AH History'!$D$5:$GG$1380,$K838,AH!$U$10+1))),NA()),NA())</f>
        <v/>
      </c>
      <c r="G838" s="34">
        <f>IFERROR(IF(ISNUMBER($A838),IF(AND(AH!$U$12=1,833+1=AH!$U$6),IF(AH!$U$4=0,"unavailable",INDEX('Market Data'!$AK$5:$AK$66,AH!$U$4)),IF(AH!$U$5=1,INDEX('Live History'!$D$5:$D$3004,MATCH($A838,'Live History'!$D$5:$D$3004,1)),INDEX('AH History'!$D$5:$GG$1380,$K838,AH!$U$10+2))),NA()),NA())</f>
        <v/>
      </c>
      <c r="H838" s="266">
        <f>IFERROR(IF(ISNUMBER($A838),IF(AND(AH!$U$12=1,833+1=AH!$U$6),IF(AH!$U$4=0,"unavailable",INDEX('Market Data'!$AP$5:$AP$66,AH!$U$4)),IF(AH!$U$5=1,INDEX('Live History'!$H$5:$H$3004,MATCH($A838,'Live History'!$G$5:$G$3004,1)),INDEX('AH History'!$B$5:$B$1380,$K838))),NA()),NA())</f>
        <v/>
      </c>
      <c r="I838" s="34">
        <f>IFERROR(IF(ISNUMBER($A838),IF(AND(AH!$U$12=1,833+1=AH!$U$6),TODAY(),IF(AH!$U$5=1,INDEX('Live History'!$G$5:$G$3004,MATCH($A838,'Live History'!$G$5:$G$3004,1)),INDEX('AH History'!$C$5:$C$1380,$K838))),NA()),NA())</f>
        <v/>
      </c>
      <c r="J838" s="32">
        <f>IFERROR(IF(AND($F838&gt;0,$H838&gt;0,$A838-$G838&lt;=10,$A838-$I838&lt;=5,$G838&gt;0,$I838&gt;0),$F838*$H838,NA()),NA())</f>
        <v/>
      </c>
      <c r="K838" s="15">
        <f>IF($A838="","",IF(AH!$U$5=1,IFERROR(MATCH($A838,'Live History'!$A$5:$A$3004,0),0),AH!$U$7+833))</f>
        <v/>
      </c>
      <c r="L838" s="15">
        <f>IF(ISNUMBER(A838),TEXT(A838,"dd-mmm-yy"),"")</f>
        <v/>
      </c>
    </row>
    <row r="839">
      <c r="A839" s="14">
        <f>IF(OR(AH!$U$4=0,834+1&gt;AH!$U$6,AND(AH!$M$5="Bloomberg",AH!$U$5=0)),"",IFERROR(IF(AND(AH!$U$12=1,834+1=AH!$U$6),TODAY(),IF(AH!$U$5=1,INDEX('Live History'!$A$5:$A$3004,AH!$U$7+834),INDEX('AH History'!$A$5:$A$1380,AH!$U$7+834))),""))</f>
        <v/>
      </c>
      <c r="B839" s="33">
        <f>IFERROR(IF(AH!$U$11=1,NA(),$J839/$E839-1),NA())</f>
        <v/>
      </c>
      <c r="C839" s="269">
        <f>IFERROR(100*$E839/$E$5,NA())</f>
        <v/>
      </c>
      <c r="D839" s="269">
        <f>IFERROR(100*$J839/$J$5,NA())</f>
        <v/>
      </c>
      <c r="E839" s="32">
        <f>IFERROR(IF(AND(ISNUMBER($A839),N(IF(AND(AH!$U$12=1,834+1=AH!$U$6),IF(AH!$U$4=0,"unavailable",INDEX('Market Data'!$AN$5:$AN$66,AH!$U$4)),IF(AH!$U$5=1,INDEX('Live History'!$B$5:$B$3004,$K839),INDEX('AH History'!$D$5:$GG$1380,$K839,AH!$U$10))))&gt;0),IF(AND(AH!$U$12=1,834+1=AH!$U$6),IF(AH!$U$4=0,"unavailable",INDEX('Market Data'!$AN$5:$AN$66,AH!$U$4)),IF(AH!$U$5=1,INDEX('Live History'!$B$5:$B$3004,$K839),INDEX('AH History'!$D$5:$GG$1380,$K839,AH!$U$10))),NA()),NA())</f>
        <v/>
      </c>
      <c r="F839" s="32">
        <f>IFERROR(IF(ISNUMBER($A839),IF(AND(AH!$U$12=1,834+1=AH!$U$6),IF(AH!$U$4=0,"unavailable",INDEX('Market Data'!$AO$5:$AO$66,AH!$U$4)),IF(AH!$U$5=1,INDEX('Live History'!$E$5:$E$3004,MATCH($A839,'Live History'!$D$5:$D$3004,1)),INDEX('AH History'!$D$5:$GG$1380,$K839,AH!$U$10+1))),NA()),NA())</f>
        <v/>
      </c>
      <c r="G839" s="34">
        <f>IFERROR(IF(ISNUMBER($A839),IF(AND(AH!$U$12=1,834+1=AH!$U$6),IF(AH!$U$4=0,"unavailable",INDEX('Market Data'!$AK$5:$AK$66,AH!$U$4)),IF(AH!$U$5=1,INDEX('Live History'!$D$5:$D$3004,MATCH($A839,'Live History'!$D$5:$D$3004,1)),INDEX('AH History'!$D$5:$GG$1380,$K839,AH!$U$10+2))),NA()),NA())</f>
        <v/>
      </c>
      <c r="H839" s="266">
        <f>IFERROR(IF(ISNUMBER($A839),IF(AND(AH!$U$12=1,834+1=AH!$U$6),IF(AH!$U$4=0,"unavailable",INDEX('Market Data'!$AP$5:$AP$66,AH!$U$4)),IF(AH!$U$5=1,INDEX('Live History'!$H$5:$H$3004,MATCH($A839,'Live History'!$G$5:$G$3004,1)),INDEX('AH History'!$B$5:$B$1380,$K839))),NA()),NA())</f>
        <v/>
      </c>
      <c r="I839" s="34">
        <f>IFERROR(IF(ISNUMBER($A839),IF(AND(AH!$U$12=1,834+1=AH!$U$6),TODAY(),IF(AH!$U$5=1,INDEX('Live History'!$G$5:$G$3004,MATCH($A839,'Live History'!$G$5:$G$3004,1)),INDEX('AH History'!$C$5:$C$1380,$K839))),NA()),NA())</f>
        <v/>
      </c>
      <c r="J839" s="32">
        <f>IFERROR(IF(AND($F839&gt;0,$H839&gt;0,$A839-$G839&lt;=10,$A839-$I839&lt;=5,$G839&gt;0,$I839&gt;0),$F839*$H839,NA()),NA())</f>
        <v/>
      </c>
      <c r="K839" s="15">
        <f>IF($A839="","",IF(AH!$U$5=1,IFERROR(MATCH($A839,'Live History'!$A$5:$A$3004,0),0),AH!$U$7+834))</f>
        <v/>
      </c>
      <c r="L839" s="15">
        <f>IF(ISNUMBER(A839),TEXT(A839,"dd-mmm-yy"),"")</f>
        <v/>
      </c>
    </row>
    <row r="840">
      <c r="A840" s="14">
        <f>IF(OR(AH!$U$4=0,835+1&gt;AH!$U$6,AND(AH!$M$5="Bloomberg",AH!$U$5=0)),"",IFERROR(IF(AND(AH!$U$12=1,835+1=AH!$U$6),TODAY(),IF(AH!$U$5=1,INDEX('Live History'!$A$5:$A$3004,AH!$U$7+835),INDEX('AH History'!$A$5:$A$1380,AH!$U$7+835))),""))</f>
        <v/>
      </c>
      <c r="B840" s="33">
        <f>IFERROR(IF(AH!$U$11=1,NA(),$J840/$E840-1),NA())</f>
        <v/>
      </c>
      <c r="C840" s="269">
        <f>IFERROR(100*$E840/$E$5,NA())</f>
        <v/>
      </c>
      <c r="D840" s="269">
        <f>IFERROR(100*$J840/$J$5,NA())</f>
        <v/>
      </c>
      <c r="E840" s="32">
        <f>IFERROR(IF(AND(ISNUMBER($A840),N(IF(AND(AH!$U$12=1,835+1=AH!$U$6),IF(AH!$U$4=0,"unavailable",INDEX('Market Data'!$AN$5:$AN$66,AH!$U$4)),IF(AH!$U$5=1,INDEX('Live History'!$B$5:$B$3004,$K840),INDEX('AH History'!$D$5:$GG$1380,$K840,AH!$U$10))))&gt;0),IF(AND(AH!$U$12=1,835+1=AH!$U$6),IF(AH!$U$4=0,"unavailable",INDEX('Market Data'!$AN$5:$AN$66,AH!$U$4)),IF(AH!$U$5=1,INDEX('Live History'!$B$5:$B$3004,$K840),INDEX('AH History'!$D$5:$GG$1380,$K840,AH!$U$10))),NA()),NA())</f>
        <v/>
      </c>
      <c r="F840" s="32">
        <f>IFERROR(IF(ISNUMBER($A840),IF(AND(AH!$U$12=1,835+1=AH!$U$6),IF(AH!$U$4=0,"unavailable",INDEX('Market Data'!$AO$5:$AO$66,AH!$U$4)),IF(AH!$U$5=1,INDEX('Live History'!$E$5:$E$3004,MATCH($A840,'Live History'!$D$5:$D$3004,1)),INDEX('AH History'!$D$5:$GG$1380,$K840,AH!$U$10+1))),NA()),NA())</f>
        <v/>
      </c>
      <c r="G840" s="34">
        <f>IFERROR(IF(ISNUMBER($A840),IF(AND(AH!$U$12=1,835+1=AH!$U$6),IF(AH!$U$4=0,"unavailable",INDEX('Market Data'!$AK$5:$AK$66,AH!$U$4)),IF(AH!$U$5=1,INDEX('Live History'!$D$5:$D$3004,MATCH($A840,'Live History'!$D$5:$D$3004,1)),INDEX('AH History'!$D$5:$GG$1380,$K840,AH!$U$10+2))),NA()),NA())</f>
        <v/>
      </c>
      <c r="H840" s="266">
        <f>IFERROR(IF(ISNUMBER($A840),IF(AND(AH!$U$12=1,835+1=AH!$U$6),IF(AH!$U$4=0,"unavailable",INDEX('Market Data'!$AP$5:$AP$66,AH!$U$4)),IF(AH!$U$5=1,INDEX('Live History'!$H$5:$H$3004,MATCH($A840,'Live History'!$G$5:$G$3004,1)),INDEX('AH History'!$B$5:$B$1380,$K840))),NA()),NA())</f>
        <v/>
      </c>
      <c r="I840" s="34">
        <f>IFERROR(IF(ISNUMBER($A840),IF(AND(AH!$U$12=1,835+1=AH!$U$6),TODAY(),IF(AH!$U$5=1,INDEX('Live History'!$G$5:$G$3004,MATCH($A840,'Live History'!$G$5:$G$3004,1)),INDEX('AH History'!$C$5:$C$1380,$K840))),NA()),NA())</f>
        <v/>
      </c>
      <c r="J840" s="32">
        <f>IFERROR(IF(AND($F840&gt;0,$H840&gt;0,$A840-$G840&lt;=10,$A840-$I840&lt;=5,$G840&gt;0,$I840&gt;0),$F840*$H840,NA()),NA())</f>
        <v/>
      </c>
      <c r="K840" s="15">
        <f>IF($A840="","",IF(AH!$U$5=1,IFERROR(MATCH($A840,'Live History'!$A$5:$A$3004,0),0),AH!$U$7+835))</f>
        <v/>
      </c>
      <c r="L840" s="15">
        <f>IF(ISNUMBER(A840),TEXT(A840,"dd-mmm-yy"),"")</f>
        <v/>
      </c>
    </row>
    <row r="841">
      <c r="A841" s="14">
        <f>IF(OR(AH!$U$4=0,836+1&gt;AH!$U$6,AND(AH!$M$5="Bloomberg",AH!$U$5=0)),"",IFERROR(IF(AND(AH!$U$12=1,836+1=AH!$U$6),TODAY(),IF(AH!$U$5=1,INDEX('Live History'!$A$5:$A$3004,AH!$U$7+836),INDEX('AH History'!$A$5:$A$1380,AH!$U$7+836))),""))</f>
        <v/>
      </c>
      <c r="B841" s="33">
        <f>IFERROR(IF(AH!$U$11=1,NA(),$J841/$E841-1),NA())</f>
        <v/>
      </c>
      <c r="C841" s="269">
        <f>IFERROR(100*$E841/$E$5,NA())</f>
        <v/>
      </c>
      <c r="D841" s="269">
        <f>IFERROR(100*$J841/$J$5,NA())</f>
        <v/>
      </c>
      <c r="E841" s="32">
        <f>IFERROR(IF(AND(ISNUMBER($A841),N(IF(AND(AH!$U$12=1,836+1=AH!$U$6),IF(AH!$U$4=0,"unavailable",INDEX('Market Data'!$AN$5:$AN$66,AH!$U$4)),IF(AH!$U$5=1,INDEX('Live History'!$B$5:$B$3004,$K841),INDEX('AH History'!$D$5:$GG$1380,$K841,AH!$U$10))))&gt;0),IF(AND(AH!$U$12=1,836+1=AH!$U$6),IF(AH!$U$4=0,"unavailable",INDEX('Market Data'!$AN$5:$AN$66,AH!$U$4)),IF(AH!$U$5=1,INDEX('Live History'!$B$5:$B$3004,$K841),INDEX('AH History'!$D$5:$GG$1380,$K841,AH!$U$10))),NA()),NA())</f>
        <v/>
      </c>
      <c r="F841" s="32">
        <f>IFERROR(IF(ISNUMBER($A841),IF(AND(AH!$U$12=1,836+1=AH!$U$6),IF(AH!$U$4=0,"unavailable",INDEX('Market Data'!$AO$5:$AO$66,AH!$U$4)),IF(AH!$U$5=1,INDEX('Live History'!$E$5:$E$3004,MATCH($A841,'Live History'!$D$5:$D$3004,1)),INDEX('AH History'!$D$5:$GG$1380,$K841,AH!$U$10+1))),NA()),NA())</f>
        <v/>
      </c>
      <c r="G841" s="34">
        <f>IFERROR(IF(ISNUMBER($A841),IF(AND(AH!$U$12=1,836+1=AH!$U$6),IF(AH!$U$4=0,"unavailable",INDEX('Market Data'!$AK$5:$AK$66,AH!$U$4)),IF(AH!$U$5=1,INDEX('Live History'!$D$5:$D$3004,MATCH($A841,'Live History'!$D$5:$D$3004,1)),INDEX('AH History'!$D$5:$GG$1380,$K841,AH!$U$10+2))),NA()),NA())</f>
        <v/>
      </c>
      <c r="H841" s="266">
        <f>IFERROR(IF(ISNUMBER($A841),IF(AND(AH!$U$12=1,836+1=AH!$U$6),IF(AH!$U$4=0,"unavailable",INDEX('Market Data'!$AP$5:$AP$66,AH!$U$4)),IF(AH!$U$5=1,INDEX('Live History'!$H$5:$H$3004,MATCH($A841,'Live History'!$G$5:$G$3004,1)),INDEX('AH History'!$B$5:$B$1380,$K841))),NA()),NA())</f>
        <v/>
      </c>
      <c r="I841" s="34">
        <f>IFERROR(IF(ISNUMBER($A841),IF(AND(AH!$U$12=1,836+1=AH!$U$6),TODAY(),IF(AH!$U$5=1,INDEX('Live History'!$G$5:$G$3004,MATCH($A841,'Live History'!$G$5:$G$3004,1)),INDEX('AH History'!$C$5:$C$1380,$K841))),NA()),NA())</f>
        <v/>
      </c>
      <c r="J841" s="32">
        <f>IFERROR(IF(AND($F841&gt;0,$H841&gt;0,$A841-$G841&lt;=10,$A841-$I841&lt;=5,$G841&gt;0,$I841&gt;0),$F841*$H841,NA()),NA())</f>
        <v/>
      </c>
      <c r="K841" s="15">
        <f>IF($A841="","",IF(AH!$U$5=1,IFERROR(MATCH($A841,'Live History'!$A$5:$A$3004,0),0),AH!$U$7+836))</f>
        <v/>
      </c>
      <c r="L841" s="15">
        <f>IF(ISNUMBER(A841),TEXT(A841,"dd-mmm-yy"),"")</f>
        <v/>
      </c>
    </row>
    <row r="842">
      <c r="A842" s="14">
        <f>IF(OR(AH!$U$4=0,837+1&gt;AH!$U$6,AND(AH!$M$5="Bloomberg",AH!$U$5=0)),"",IFERROR(IF(AND(AH!$U$12=1,837+1=AH!$U$6),TODAY(),IF(AH!$U$5=1,INDEX('Live History'!$A$5:$A$3004,AH!$U$7+837),INDEX('AH History'!$A$5:$A$1380,AH!$U$7+837))),""))</f>
        <v/>
      </c>
      <c r="B842" s="33">
        <f>IFERROR(IF(AH!$U$11=1,NA(),$J842/$E842-1),NA())</f>
        <v/>
      </c>
      <c r="C842" s="269">
        <f>IFERROR(100*$E842/$E$5,NA())</f>
        <v/>
      </c>
      <c r="D842" s="269">
        <f>IFERROR(100*$J842/$J$5,NA())</f>
        <v/>
      </c>
      <c r="E842" s="32">
        <f>IFERROR(IF(AND(ISNUMBER($A842),N(IF(AND(AH!$U$12=1,837+1=AH!$U$6),IF(AH!$U$4=0,"unavailable",INDEX('Market Data'!$AN$5:$AN$66,AH!$U$4)),IF(AH!$U$5=1,INDEX('Live History'!$B$5:$B$3004,$K842),INDEX('AH History'!$D$5:$GG$1380,$K842,AH!$U$10))))&gt;0),IF(AND(AH!$U$12=1,837+1=AH!$U$6),IF(AH!$U$4=0,"unavailable",INDEX('Market Data'!$AN$5:$AN$66,AH!$U$4)),IF(AH!$U$5=1,INDEX('Live History'!$B$5:$B$3004,$K842),INDEX('AH History'!$D$5:$GG$1380,$K842,AH!$U$10))),NA()),NA())</f>
        <v/>
      </c>
      <c r="F842" s="32">
        <f>IFERROR(IF(ISNUMBER($A842),IF(AND(AH!$U$12=1,837+1=AH!$U$6),IF(AH!$U$4=0,"unavailable",INDEX('Market Data'!$AO$5:$AO$66,AH!$U$4)),IF(AH!$U$5=1,INDEX('Live History'!$E$5:$E$3004,MATCH($A842,'Live History'!$D$5:$D$3004,1)),INDEX('AH History'!$D$5:$GG$1380,$K842,AH!$U$10+1))),NA()),NA())</f>
        <v/>
      </c>
      <c r="G842" s="34">
        <f>IFERROR(IF(ISNUMBER($A842),IF(AND(AH!$U$12=1,837+1=AH!$U$6),IF(AH!$U$4=0,"unavailable",INDEX('Market Data'!$AK$5:$AK$66,AH!$U$4)),IF(AH!$U$5=1,INDEX('Live History'!$D$5:$D$3004,MATCH($A842,'Live History'!$D$5:$D$3004,1)),INDEX('AH History'!$D$5:$GG$1380,$K842,AH!$U$10+2))),NA()),NA())</f>
        <v/>
      </c>
      <c r="H842" s="266">
        <f>IFERROR(IF(ISNUMBER($A842),IF(AND(AH!$U$12=1,837+1=AH!$U$6),IF(AH!$U$4=0,"unavailable",INDEX('Market Data'!$AP$5:$AP$66,AH!$U$4)),IF(AH!$U$5=1,INDEX('Live History'!$H$5:$H$3004,MATCH($A842,'Live History'!$G$5:$G$3004,1)),INDEX('AH History'!$B$5:$B$1380,$K842))),NA()),NA())</f>
        <v/>
      </c>
      <c r="I842" s="34">
        <f>IFERROR(IF(ISNUMBER($A842),IF(AND(AH!$U$12=1,837+1=AH!$U$6),TODAY(),IF(AH!$U$5=1,INDEX('Live History'!$G$5:$G$3004,MATCH($A842,'Live History'!$G$5:$G$3004,1)),INDEX('AH History'!$C$5:$C$1380,$K842))),NA()),NA())</f>
        <v/>
      </c>
      <c r="J842" s="32">
        <f>IFERROR(IF(AND($F842&gt;0,$H842&gt;0,$A842-$G842&lt;=10,$A842-$I842&lt;=5,$G842&gt;0,$I842&gt;0),$F842*$H842,NA()),NA())</f>
        <v/>
      </c>
      <c r="K842" s="15">
        <f>IF($A842="","",IF(AH!$U$5=1,IFERROR(MATCH($A842,'Live History'!$A$5:$A$3004,0),0),AH!$U$7+837))</f>
        <v/>
      </c>
      <c r="L842" s="15">
        <f>IF(ISNUMBER(A842),TEXT(A842,"dd-mmm-yy"),"")</f>
        <v/>
      </c>
    </row>
    <row r="843">
      <c r="A843" s="14">
        <f>IF(OR(AH!$U$4=0,838+1&gt;AH!$U$6,AND(AH!$M$5="Bloomberg",AH!$U$5=0)),"",IFERROR(IF(AND(AH!$U$12=1,838+1=AH!$U$6),TODAY(),IF(AH!$U$5=1,INDEX('Live History'!$A$5:$A$3004,AH!$U$7+838),INDEX('AH History'!$A$5:$A$1380,AH!$U$7+838))),""))</f>
        <v/>
      </c>
      <c r="B843" s="33">
        <f>IFERROR(IF(AH!$U$11=1,NA(),$J843/$E843-1),NA())</f>
        <v/>
      </c>
      <c r="C843" s="269">
        <f>IFERROR(100*$E843/$E$5,NA())</f>
        <v/>
      </c>
      <c r="D843" s="269">
        <f>IFERROR(100*$J843/$J$5,NA())</f>
        <v/>
      </c>
      <c r="E843" s="32">
        <f>IFERROR(IF(AND(ISNUMBER($A843),N(IF(AND(AH!$U$12=1,838+1=AH!$U$6),IF(AH!$U$4=0,"unavailable",INDEX('Market Data'!$AN$5:$AN$66,AH!$U$4)),IF(AH!$U$5=1,INDEX('Live History'!$B$5:$B$3004,$K843),INDEX('AH History'!$D$5:$GG$1380,$K843,AH!$U$10))))&gt;0),IF(AND(AH!$U$12=1,838+1=AH!$U$6),IF(AH!$U$4=0,"unavailable",INDEX('Market Data'!$AN$5:$AN$66,AH!$U$4)),IF(AH!$U$5=1,INDEX('Live History'!$B$5:$B$3004,$K843),INDEX('AH History'!$D$5:$GG$1380,$K843,AH!$U$10))),NA()),NA())</f>
        <v/>
      </c>
      <c r="F843" s="32">
        <f>IFERROR(IF(ISNUMBER($A843),IF(AND(AH!$U$12=1,838+1=AH!$U$6),IF(AH!$U$4=0,"unavailable",INDEX('Market Data'!$AO$5:$AO$66,AH!$U$4)),IF(AH!$U$5=1,INDEX('Live History'!$E$5:$E$3004,MATCH($A843,'Live History'!$D$5:$D$3004,1)),INDEX('AH History'!$D$5:$GG$1380,$K843,AH!$U$10+1))),NA()),NA())</f>
        <v/>
      </c>
      <c r="G843" s="34">
        <f>IFERROR(IF(ISNUMBER($A843),IF(AND(AH!$U$12=1,838+1=AH!$U$6),IF(AH!$U$4=0,"unavailable",INDEX('Market Data'!$AK$5:$AK$66,AH!$U$4)),IF(AH!$U$5=1,INDEX('Live History'!$D$5:$D$3004,MATCH($A843,'Live History'!$D$5:$D$3004,1)),INDEX('AH History'!$D$5:$GG$1380,$K843,AH!$U$10+2))),NA()),NA())</f>
        <v/>
      </c>
      <c r="H843" s="266">
        <f>IFERROR(IF(ISNUMBER($A843),IF(AND(AH!$U$12=1,838+1=AH!$U$6),IF(AH!$U$4=0,"unavailable",INDEX('Market Data'!$AP$5:$AP$66,AH!$U$4)),IF(AH!$U$5=1,INDEX('Live History'!$H$5:$H$3004,MATCH($A843,'Live History'!$G$5:$G$3004,1)),INDEX('AH History'!$B$5:$B$1380,$K843))),NA()),NA())</f>
        <v/>
      </c>
      <c r="I843" s="34">
        <f>IFERROR(IF(ISNUMBER($A843),IF(AND(AH!$U$12=1,838+1=AH!$U$6),TODAY(),IF(AH!$U$5=1,INDEX('Live History'!$G$5:$G$3004,MATCH($A843,'Live History'!$G$5:$G$3004,1)),INDEX('AH History'!$C$5:$C$1380,$K843))),NA()),NA())</f>
        <v/>
      </c>
      <c r="J843" s="32">
        <f>IFERROR(IF(AND($F843&gt;0,$H843&gt;0,$A843-$G843&lt;=10,$A843-$I843&lt;=5,$G843&gt;0,$I843&gt;0),$F843*$H843,NA()),NA())</f>
        <v/>
      </c>
      <c r="K843" s="15">
        <f>IF($A843="","",IF(AH!$U$5=1,IFERROR(MATCH($A843,'Live History'!$A$5:$A$3004,0),0),AH!$U$7+838))</f>
        <v/>
      </c>
      <c r="L843" s="15">
        <f>IF(ISNUMBER(A843),TEXT(A843,"dd-mmm-yy"),"")</f>
        <v/>
      </c>
    </row>
    <row r="844">
      <c r="A844" s="14">
        <f>IF(OR(AH!$U$4=0,839+1&gt;AH!$U$6,AND(AH!$M$5="Bloomberg",AH!$U$5=0)),"",IFERROR(IF(AND(AH!$U$12=1,839+1=AH!$U$6),TODAY(),IF(AH!$U$5=1,INDEX('Live History'!$A$5:$A$3004,AH!$U$7+839),INDEX('AH History'!$A$5:$A$1380,AH!$U$7+839))),""))</f>
        <v/>
      </c>
      <c r="B844" s="33">
        <f>IFERROR(IF(AH!$U$11=1,NA(),$J844/$E844-1),NA())</f>
        <v/>
      </c>
      <c r="C844" s="269">
        <f>IFERROR(100*$E844/$E$5,NA())</f>
        <v/>
      </c>
      <c r="D844" s="269">
        <f>IFERROR(100*$J844/$J$5,NA())</f>
        <v/>
      </c>
      <c r="E844" s="32">
        <f>IFERROR(IF(AND(ISNUMBER($A844),N(IF(AND(AH!$U$12=1,839+1=AH!$U$6),IF(AH!$U$4=0,"unavailable",INDEX('Market Data'!$AN$5:$AN$66,AH!$U$4)),IF(AH!$U$5=1,INDEX('Live History'!$B$5:$B$3004,$K844),INDEX('AH History'!$D$5:$GG$1380,$K844,AH!$U$10))))&gt;0),IF(AND(AH!$U$12=1,839+1=AH!$U$6),IF(AH!$U$4=0,"unavailable",INDEX('Market Data'!$AN$5:$AN$66,AH!$U$4)),IF(AH!$U$5=1,INDEX('Live History'!$B$5:$B$3004,$K844),INDEX('AH History'!$D$5:$GG$1380,$K844,AH!$U$10))),NA()),NA())</f>
        <v/>
      </c>
      <c r="F844" s="32">
        <f>IFERROR(IF(ISNUMBER($A844),IF(AND(AH!$U$12=1,839+1=AH!$U$6),IF(AH!$U$4=0,"unavailable",INDEX('Market Data'!$AO$5:$AO$66,AH!$U$4)),IF(AH!$U$5=1,INDEX('Live History'!$E$5:$E$3004,MATCH($A844,'Live History'!$D$5:$D$3004,1)),INDEX('AH History'!$D$5:$GG$1380,$K844,AH!$U$10+1))),NA()),NA())</f>
        <v/>
      </c>
      <c r="G844" s="34">
        <f>IFERROR(IF(ISNUMBER($A844),IF(AND(AH!$U$12=1,839+1=AH!$U$6),IF(AH!$U$4=0,"unavailable",INDEX('Market Data'!$AK$5:$AK$66,AH!$U$4)),IF(AH!$U$5=1,INDEX('Live History'!$D$5:$D$3004,MATCH($A844,'Live History'!$D$5:$D$3004,1)),INDEX('AH History'!$D$5:$GG$1380,$K844,AH!$U$10+2))),NA()),NA())</f>
        <v/>
      </c>
      <c r="H844" s="266">
        <f>IFERROR(IF(ISNUMBER($A844),IF(AND(AH!$U$12=1,839+1=AH!$U$6),IF(AH!$U$4=0,"unavailable",INDEX('Market Data'!$AP$5:$AP$66,AH!$U$4)),IF(AH!$U$5=1,INDEX('Live History'!$H$5:$H$3004,MATCH($A844,'Live History'!$G$5:$G$3004,1)),INDEX('AH History'!$B$5:$B$1380,$K844))),NA()),NA())</f>
        <v/>
      </c>
      <c r="I844" s="34">
        <f>IFERROR(IF(ISNUMBER($A844),IF(AND(AH!$U$12=1,839+1=AH!$U$6),TODAY(),IF(AH!$U$5=1,INDEX('Live History'!$G$5:$G$3004,MATCH($A844,'Live History'!$G$5:$G$3004,1)),INDEX('AH History'!$C$5:$C$1380,$K844))),NA()),NA())</f>
        <v/>
      </c>
      <c r="J844" s="32">
        <f>IFERROR(IF(AND($F844&gt;0,$H844&gt;0,$A844-$G844&lt;=10,$A844-$I844&lt;=5,$G844&gt;0,$I844&gt;0),$F844*$H844,NA()),NA())</f>
        <v/>
      </c>
      <c r="K844" s="15">
        <f>IF($A844="","",IF(AH!$U$5=1,IFERROR(MATCH($A844,'Live History'!$A$5:$A$3004,0),0),AH!$U$7+839))</f>
        <v/>
      </c>
      <c r="L844" s="15">
        <f>IF(ISNUMBER(A844),TEXT(A844,"dd-mmm-yy"),"")</f>
        <v/>
      </c>
    </row>
    <row r="845">
      <c r="A845" s="14">
        <f>IF(OR(AH!$U$4=0,840+1&gt;AH!$U$6,AND(AH!$M$5="Bloomberg",AH!$U$5=0)),"",IFERROR(IF(AND(AH!$U$12=1,840+1=AH!$U$6),TODAY(),IF(AH!$U$5=1,INDEX('Live History'!$A$5:$A$3004,AH!$U$7+840),INDEX('AH History'!$A$5:$A$1380,AH!$U$7+840))),""))</f>
        <v/>
      </c>
      <c r="B845" s="33">
        <f>IFERROR(IF(AH!$U$11=1,NA(),$J845/$E845-1),NA())</f>
        <v/>
      </c>
      <c r="C845" s="269">
        <f>IFERROR(100*$E845/$E$5,NA())</f>
        <v/>
      </c>
      <c r="D845" s="269">
        <f>IFERROR(100*$J845/$J$5,NA())</f>
        <v/>
      </c>
      <c r="E845" s="32">
        <f>IFERROR(IF(AND(ISNUMBER($A845),N(IF(AND(AH!$U$12=1,840+1=AH!$U$6),IF(AH!$U$4=0,"unavailable",INDEX('Market Data'!$AN$5:$AN$66,AH!$U$4)),IF(AH!$U$5=1,INDEX('Live History'!$B$5:$B$3004,$K845),INDEX('AH History'!$D$5:$GG$1380,$K845,AH!$U$10))))&gt;0),IF(AND(AH!$U$12=1,840+1=AH!$U$6),IF(AH!$U$4=0,"unavailable",INDEX('Market Data'!$AN$5:$AN$66,AH!$U$4)),IF(AH!$U$5=1,INDEX('Live History'!$B$5:$B$3004,$K845),INDEX('AH History'!$D$5:$GG$1380,$K845,AH!$U$10))),NA()),NA())</f>
        <v/>
      </c>
      <c r="F845" s="32">
        <f>IFERROR(IF(ISNUMBER($A845),IF(AND(AH!$U$12=1,840+1=AH!$U$6),IF(AH!$U$4=0,"unavailable",INDEX('Market Data'!$AO$5:$AO$66,AH!$U$4)),IF(AH!$U$5=1,INDEX('Live History'!$E$5:$E$3004,MATCH($A845,'Live History'!$D$5:$D$3004,1)),INDEX('AH History'!$D$5:$GG$1380,$K845,AH!$U$10+1))),NA()),NA())</f>
        <v/>
      </c>
      <c r="G845" s="34">
        <f>IFERROR(IF(ISNUMBER($A845),IF(AND(AH!$U$12=1,840+1=AH!$U$6),IF(AH!$U$4=0,"unavailable",INDEX('Market Data'!$AK$5:$AK$66,AH!$U$4)),IF(AH!$U$5=1,INDEX('Live History'!$D$5:$D$3004,MATCH($A845,'Live History'!$D$5:$D$3004,1)),INDEX('AH History'!$D$5:$GG$1380,$K845,AH!$U$10+2))),NA()),NA())</f>
        <v/>
      </c>
      <c r="H845" s="266">
        <f>IFERROR(IF(ISNUMBER($A845),IF(AND(AH!$U$12=1,840+1=AH!$U$6),IF(AH!$U$4=0,"unavailable",INDEX('Market Data'!$AP$5:$AP$66,AH!$U$4)),IF(AH!$U$5=1,INDEX('Live History'!$H$5:$H$3004,MATCH($A845,'Live History'!$G$5:$G$3004,1)),INDEX('AH History'!$B$5:$B$1380,$K845))),NA()),NA())</f>
        <v/>
      </c>
      <c r="I845" s="34">
        <f>IFERROR(IF(ISNUMBER($A845),IF(AND(AH!$U$12=1,840+1=AH!$U$6),TODAY(),IF(AH!$U$5=1,INDEX('Live History'!$G$5:$G$3004,MATCH($A845,'Live History'!$G$5:$G$3004,1)),INDEX('AH History'!$C$5:$C$1380,$K845))),NA()),NA())</f>
        <v/>
      </c>
      <c r="J845" s="32">
        <f>IFERROR(IF(AND($F845&gt;0,$H845&gt;0,$A845-$G845&lt;=10,$A845-$I845&lt;=5,$G845&gt;0,$I845&gt;0),$F845*$H845,NA()),NA())</f>
        <v/>
      </c>
      <c r="K845" s="15">
        <f>IF($A845="","",IF(AH!$U$5=1,IFERROR(MATCH($A845,'Live History'!$A$5:$A$3004,0),0),AH!$U$7+840))</f>
        <v/>
      </c>
      <c r="L845" s="15">
        <f>IF(ISNUMBER(A845),TEXT(A845,"dd-mmm-yy"),"")</f>
        <v/>
      </c>
    </row>
    <row r="846">
      <c r="A846" s="14">
        <f>IF(OR(AH!$U$4=0,841+1&gt;AH!$U$6,AND(AH!$M$5="Bloomberg",AH!$U$5=0)),"",IFERROR(IF(AND(AH!$U$12=1,841+1=AH!$U$6),TODAY(),IF(AH!$U$5=1,INDEX('Live History'!$A$5:$A$3004,AH!$U$7+841),INDEX('AH History'!$A$5:$A$1380,AH!$U$7+841))),""))</f>
        <v/>
      </c>
      <c r="B846" s="33">
        <f>IFERROR(IF(AH!$U$11=1,NA(),$J846/$E846-1),NA())</f>
        <v/>
      </c>
      <c r="C846" s="269">
        <f>IFERROR(100*$E846/$E$5,NA())</f>
        <v/>
      </c>
      <c r="D846" s="269">
        <f>IFERROR(100*$J846/$J$5,NA())</f>
        <v/>
      </c>
      <c r="E846" s="32">
        <f>IFERROR(IF(AND(ISNUMBER($A846),N(IF(AND(AH!$U$12=1,841+1=AH!$U$6),IF(AH!$U$4=0,"unavailable",INDEX('Market Data'!$AN$5:$AN$66,AH!$U$4)),IF(AH!$U$5=1,INDEX('Live History'!$B$5:$B$3004,$K846),INDEX('AH History'!$D$5:$GG$1380,$K846,AH!$U$10))))&gt;0),IF(AND(AH!$U$12=1,841+1=AH!$U$6),IF(AH!$U$4=0,"unavailable",INDEX('Market Data'!$AN$5:$AN$66,AH!$U$4)),IF(AH!$U$5=1,INDEX('Live History'!$B$5:$B$3004,$K846),INDEX('AH History'!$D$5:$GG$1380,$K846,AH!$U$10))),NA()),NA())</f>
        <v/>
      </c>
      <c r="F846" s="32">
        <f>IFERROR(IF(ISNUMBER($A846),IF(AND(AH!$U$12=1,841+1=AH!$U$6),IF(AH!$U$4=0,"unavailable",INDEX('Market Data'!$AO$5:$AO$66,AH!$U$4)),IF(AH!$U$5=1,INDEX('Live History'!$E$5:$E$3004,MATCH($A846,'Live History'!$D$5:$D$3004,1)),INDEX('AH History'!$D$5:$GG$1380,$K846,AH!$U$10+1))),NA()),NA())</f>
        <v/>
      </c>
      <c r="G846" s="34">
        <f>IFERROR(IF(ISNUMBER($A846),IF(AND(AH!$U$12=1,841+1=AH!$U$6),IF(AH!$U$4=0,"unavailable",INDEX('Market Data'!$AK$5:$AK$66,AH!$U$4)),IF(AH!$U$5=1,INDEX('Live History'!$D$5:$D$3004,MATCH($A846,'Live History'!$D$5:$D$3004,1)),INDEX('AH History'!$D$5:$GG$1380,$K846,AH!$U$10+2))),NA()),NA())</f>
        <v/>
      </c>
      <c r="H846" s="266">
        <f>IFERROR(IF(ISNUMBER($A846),IF(AND(AH!$U$12=1,841+1=AH!$U$6),IF(AH!$U$4=0,"unavailable",INDEX('Market Data'!$AP$5:$AP$66,AH!$U$4)),IF(AH!$U$5=1,INDEX('Live History'!$H$5:$H$3004,MATCH($A846,'Live History'!$G$5:$G$3004,1)),INDEX('AH History'!$B$5:$B$1380,$K846))),NA()),NA())</f>
        <v/>
      </c>
      <c r="I846" s="34">
        <f>IFERROR(IF(ISNUMBER($A846),IF(AND(AH!$U$12=1,841+1=AH!$U$6),TODAY(),IF(AH!$U$5=1,INDEX('Live History'!$G$5:$G$3004,MATCH($A846,'Live History'!$G$5:$G$3004,1)),INDEX('AH History'!$C$5:$C$1380,$K846))),NA()),NA())</f>
        <v/>
      </c>
      <c r="J846" s="32">
        <f>IFERROR(IF(AND($F846&gt;0,$H846&gt;0,$A846-$G846&lt;=10,$A846-$I846&lt;=5,$G846&gt;0,$I846&gt;0),$F846*$H846,NA()),NA())</f>
        <v/>
      </c>
      <c r="K846" s="15">
        <f>IF($A846="","",IF(AH!$U$5=1,IFERROR(MATCH($A846,'Live History'!$A$5:$A$3004,0),0),AH!$U$7+841))</f>
        <v/>
      </c>
      <c r="L846" s="15">
        <f>IF(ISNUMBER(A846),TEXT(A846,"dd-mmm-yy"),"")</f>
        <v/>
      </c>
    </row>
    <row r="847">
      <c r="A847" s="14">
        <f>IF(OR(AH!$U$4=0,842+1&gt;AH!$U$6,AND(AH!$M$5="Bloomberg",AH!$U$5=0)),"",IFERROR(IF(AND(AH!$U$12=1,842+1=AH!$U$6),TODAY(),IF(AH!$U$5=1,INDEX('Live History'!$A$5:$A$3004,AH!$U$7+842),INDEX('AH History'!$A$5:$A$1380,AH!$U$7+842))),""))</f>
        <v/>
      </c>
      <c r="B847" s="33">
        <f>IFERROR(IF(AH!$U$11=1,NA(),$J847/$E847-1),NA())</f>
        <v/>
      </c>
      <c r="C847" s="269">
        <f>IFERROR(100*$E847/$E$5,NA())</f>
        <v/>
      </c>
      <c r="D847" s="269">
        <f>IFERROR(100*$J847/$J$5,NA())</f>
        <v/>
      </c>
      <c r="E847" s="32">
        <f>IFERROR(IF(AND(ISNUMBER($A847),N(IF(AND(AH!$U$12=1,842+1=AH!$U$6),IF(AH!$U$4=0,"unavailable",INDEX('Market Data'!$AN$5:$AN$66,AH!$U$4)),IF(AH!$U$5=1,INDEX('Live History'!$B$5:$B$3004,$K847),INDEX('AH History'!$D$5:$GG$1380,$K847,AH!$U$10))))&gt;0),IF(AND(AH!$U$12=1,842+1=AH!$U$6),IF(AH!$U$4=0,"unavailable",INDEX('Market Data'!$AN$5:$AN$66,AH!$U$4)),IF(AH!$U$5=1,INDEX('Live History'!$B$5:$B$3004,$K847),INDEX('AH History'!$D$5:$GG$1380,$K847,AH!$U$10))),NA()),NA())</f>
        <v/>
      </c>
      <c r="F847" s="32">
        <f>IFERROR(IF(ISNUMBER($A847),IF(AND(AH!$U$12=1,842+1=AH!$U$6),IF(AH!$U$4=0,"unavailable",INDEX('Market Data'!$AO$5:$AO$66,AH!$U$4)),IF(AH!$U$5=1,INDEX('Live History'!$E$5:$E$3004,MATCH($A847,'Live History'!$D$5:$D$3004,1)),INDEX('AH History'!$D$5:$GG$1380,$K847,AH!$U$10+1))),NA()),NA())</f>
        <v/>
      </c>
      <c r="G847" s="34">
        <f>IFERROR(IF(ISNUMBER($A847),IF(AND(AH!$U$12=1,842+1=AH!$U$6),IF(AH!$U$4=0,"unavailable",INDEX('Market Data'!$AK$5:$AK$66,AH!$U$4)),IF(AH!$U$5=1,INDEX('Live History'!$D$5:$D$3004,MATCH($A847,'Live History'!$D$5:$D$3004,1)),INDEX('AH History'!$D$5:$GG$1380,$K847,AH!$U$10+2))),NA()),NA())</f>
        <v/>
      </c>
      <c r="H847" s="266">
        <f>IFERROR(IF(ISNUMBER($A847),IF(AND(AH!$U$12=1,842+1=AH!$U$6),IF(AH!$U$4=0,"unavailable",INDEX('Market Data'!$AP$5:$AP$66,AH!$U$4)),IF(AH!$U$5=1,INDEX('Live History'!$H$5:$H$3004,MATCH($A847,'Live History'!$G$5:$G$3004,1)),INDEX('AH History'!$B$5:$B$1380,$K847))),NA()),NA())</f>
        <v/>
      </c>
      <c r="I847" s="34">
        <f>IFERROR(IF(ISNUMBER($A847),IF(AND(AH!$U$12=1,842+1=AH!$U$6),TODAY(),IF(AH!$U$5=1,INDEX('Live History'!$G$5:$G$3004,MATCH($A847,'Live History'!$G$5:$G$3004,1)),INDEX('AH History'!$C$5:$C$1380,$K847))),NA()),NA())</f>
        <v/>
      </c>
      <c r="J847" s="32">
        <f>IFERROR(IF(AND($F847&gt;0,$H847&gt;0,$A847-$G847&lt;=10,$A847-$I847&lt;=5,$G847&gt;0,$I847&gt;0),$F847*$H847,NA()),NA())</f>
        <v/>
      </c>
      <c r="K847" s="15">
        <f>IF($A847="","",IF(AH!$U$5=1,IFERROR(MATCH($A847,'Live History'!$A$5:$A$3004,0),0),AH!$U$7+842))</f>
        <v/>
      </c>
      <c r="L847" s="15">
        <f>IF(ISNUMBER(A847),TEXT(A847,"dd-mmm-yy"),"")</f>
        <v/>
      </c>
    </row>
    <row r="848">
      <c r="A848" s="14">
        <f>IF(OR(AH!$U$4=0,843+1&gt;AH!$U$6,AND(AH!$M$5="Bloomberg",AH!$U$5=0)),"",IFERROR(IF(AND(AH!$U$12=1,843+1=AH!$U$6),TODAY(),IF(AH!$U$5=1,INDEX('Live History'!$A$5:$A$3004,AH!$U$7+843),INDEX('AH History'!$A$5:$A$1380,AH!$U$7+843))),""))</f>
        <v/>
      </c>
      <c r="B848" s="33">
        <f>IFERROR(IF(AH!$U$11=1,NA(),$J848/$E848-1),NA())</f>
        <v/>
      </c>
      <c r="C848" s="269">
        <f>IFERROR(100*$E848/$E$5,NA())</f>
        <v/>
      </c>
      <c r="D848" s="269">
        <f>IFERROR(100*$J848/$J$5,NA())</f>
        <v/>
      </c>
      <c r="E848" s="32">
        <f>IFERROR(IF(AND(ISNUMBER($A848),N(IF(AND(AH!$U$12=1,843+1=AH!$U$6),IF(AH!$U$4=0,"unavailable",INDEX('Market Data'!$AN$5:$AN$66,AH!$U$4)),IF(AH!$U$5=1,INDEX('Live History'!$B$5:$B$3004,$K848),INDEX('AH History'!$D$5:$GG$1380,$K848,AH!$U$10))))&gt;0),IF(AND(AH!$U$12=1,843+1=AH!$U$6),IF(AH!$U$4=0,"unavailable",INDEX('Market Data'!$AN$5:$AN$66,AH!$U$4)),IF(AH!$U$5=1,INDEX('Live History'!$B$5:$B$3004,$K848),INDEX('AH History'!$D$5:$GG$1380,$K848,AH!$U$10))),NA()),NA())</f>
        <v/>
      </c>
      <c r="F848" s="32">
        <f>IFERROR(IF(ISNUMBER($A848),IF(AND(AH!$U$12=1,843+1=AH!$U$6),IF(AH!$U$4=0,"unavailable",INDEX('Market Data'!$AO$5:$AO$66,AH!$U$4)),IF(AH!$U$5=1,INDEX('Live History'!$E$5:$E$3004,MATCH($A848,'Live History'!$D$5:$D$3004,1)),INDEX('AH History'!$D$5:$GG$1380,$K848,AH!$U$10+1))),NA()),NA())</f>
        <v/>
      </c>
      <c r="G848" s="34">
        <f>IFERROR(IF(ISNUMBER($A848),IF(AND(AH!$U$12=1,843+1=AH!$U$6),IF(AH!$U$4=0,"unavailable",INDEX('Market Data'!$AK$5:$AK$66,AH!$U$4)),IF(AH!$U$5=1,INDEX('Live History'!$D$5:$D$3004,MATCH($A848,'Live History'!$D$5:$D$3004,1)),INDEX('AH History'!$D$5:$GG$1380,$K848,AH!$U$10+2))),NA()),NA())</f>
        <v/>
      </c>
      <c r="H848" s="266">
        <f>IFERROR(IF(ISNUMBER($A848),IF(AND(AH!$U$12=1,843+1=AH!$U$6),IF(AH!$U$4=0,"unavailable",INDEX('Market Data'!$AP$5:$AP$66,AH!$U$4)),IF(AH!$U$5=1,INDEX('Live History'!$H$5:$H$3004,MATCH($A848,'Live History'!$G$5:$G$3004,1)),INDEX('AH History'!$B$5:$B$1380,$K848))),NA()),NA())</f>
        <v/>
      </c>
      <c r="I848" s="34">
        <f>IFERROR(IF(ISNUMBER($A848),IF(AND(AH!$U$12=1,843+1=AH!$U$6),TODAY(),IF(AH!$U$5=1,INDEX('Live History'!$G$5:$G$3004,MATCH($A848,'Live History'!$G$5:$G$3004,1)),INDEX('AH History'!$C$5:$C$1380,$K848))),NA()),NA())</f>
        <v/>
      </c>
      <c r="J848" s="32">
        <f>IFERROR(IF(AND($F848&gt;0,$H848&gt;0,$A848-$G848&lt;=10,$A848-$I848&lt;=5,$G848&gt;0,$I848&gt;0),$F848*$H848,NA()),NA())</f>
        <v/>
      </c>
      <c r="K848" s="15">
        <f>IF($A848="","",IF(AH!$U$5=1,IFERROR(MATCH($A848,'Live History'!$A$5:$A$3004,0),0),AH!$U$7+843))</f>
        <v/>
      </c>
      <c r="L848" s="15">
        <f>IF(ISNUMBER(A848),TEXT(A848,"dd-mmm-yy"),"")</f>
        <v/>
      </c>
    </row>
    <row r="849">
      <c r="A849" s="14">
        <f>IF(OR(AH!$U$4=0,844+1&gt;AH!$U$6,AND(AH!$M$5="Bloomberg",AH!$U$5=0)),"",IFERROR(IF(AND(AH!$U$12=1,844+1=AH!$U$6),TODAY(),IF(AH!$U$5=1,INDEX('Live History'!$A$5:$A$3004,AH!$U$7+844),INDEX('AH History'!$A$5:$A$1380,AH!$U$7+844))),""))</f>
        <v/>
      </c>
      <c r="B849" s="33">
        <f>IFERROR(IF(AH!$U$11=1,NA(),$J849/$E849-1),NA())</f>
        <v/>
      </c>
      <c r="C849" s="269">
        <f>IFERROR(100*$E849/$E$5,NA())</f>
        <v/>
      </c>
      <c r="D849" s="269">
        <f>IFERROR(100*$J849/$J$5,NA())</f>
        <v/>
      </c>
      <c r="E849" s="32">
        <f>IFERROR(IF(AND(ISNUMBER($A849),N(IF(AND(AH!$U$12=1,844+1=AH!$U$6),IF(AH!$U$4=0,"unavailable",INDEX('Market Data'!$AN$5:$AN$66,AH!$U$4)),IF(AH!$U$5=1,INDEX('Live History'!$B$5:$B$3004,$K849),INDEX('AH History'!$D$5:$GG$1380,$K849,AH!$U$10))))&gt;0),IF(AND(AH!$U$12=1,844+1=AH!$U$6),IF(AH!$U$4=0,"unavailable",INDEX('Market Data'!$AN$5:$AN$66,AH!$U$4)),IF(AH!$U$5=1,INDEX('Live History'!$B$5:$B$3004,$K849),INDEX('AH History'!$D$5:$GG$1380,$K849,AH!$U$10))),NA()),NA())</f>
        <v/>
      </c>
      <c r="F849" s="32">
        <f>IFERROR(IF(ISNUMBER($A849),IF(AND(AH!$U$12=1,844+1=AH!$U$6),IF(AH!$U$4=0,"unavailable",INDEX('Market Data'!$AO$5:$AO$66,AH!$U$4)),IF(AH!$U$5=1,INDEX('Live History'!$E$5:$E$3004,MATCH($A849,'Live History'!$D$5:$D$3004,1)),INDEX('AH History'!$D$5:$GG$1380,$K849,AH!$U$10+1))),NA()),NA())</f>
        <v/>
      </c>
      <c r="G849" s="34">
        <f>IFERROR(IF(ISNUMBER($A849),IF(AND(AH!$U$12=1,844+1=AH!$U$6),IF(AH!$U$4=0,"unavailable",INDEX('Market Data'!$AK$5:$AK$66,AH!$U$4)),IF(AH!$U$5=1,INDEX('Live History'!$D$5:$D$3004,MATCH($A849,'Live History'!$D$5:$D$3004,1)),INDEX('AH History'!$D$5:$GG$1380,$K849,AH!$U$10+2))),NA()),NA())</f>
        <v/>
      </c>
      <c r="H849" s="266">
        <f>IFERROR(IF(ISNUMBER($A849),IF(AND(AH!$U$12=1,844+1=AH!$U$6),IF(AH!$U$4=0,"unavailable",INDEX('Market Data'!$AP$5:$AP$66,AH!$U$4)),IF(AH!$U$5=1,INDEX('Live History'!$H$5:$H$3004,MATCH($A849,'Live History'!$G$5:$G$3004,1)),INDEX('AH History'!$B$5:$B$1380,$K849))),NA()),NA())</f>
        <v/>
      </c>
      <c r="I849" s="34">
        <f>IFERROR(IF(ISNUMBER($A849),IF(AND(AH!$U$12=1,844+1=AH!$U$6),TODAY(),IF(AH!$U$5=1,INDEX('Live History'!$G$5:$G$3004,MATCH($A849,'Live History'!$G$5:$G$3004,1)),INDEX('AH History'!$C$5:$C$1380,$K849))),NA()),NA())</f>
        <v/>
      </c>
      <c r="J849" s="32">
        <f>IFERROR(IF(AND($F849&gt;0,$H849&gt;0,$A849-$G849&lt;=10,$A849-$I849&lt;=5,$G849&gt;0,$I849&gt;0),$F849*$H849,NA()),NA())</f>
        <v/>
      </c>
      <c r="K849" s="15">
        <f>IF($A849="","",IF(AH!$U$5=1,IFERROR(MATCH($A849,'Live History'!$A$5:$A$3004,0),0),AH!$U$7+844))</f>
        <v/>
      </c>
      <c r="L849" s="15">
        <f>IF(ISNUMBER(A849),TEXT(A849,"dd-mmm-yy"),"")</f>
        <v/>
      </c>
    </row>
    <row r="850">
      <c r="A850" s="14">
        <f>IF(OR(AH!$U$4=0,845+1&gt;AH!$U$6,AND(AH!$M$5="Bloomberg",AH!$U$5=0)),"",IFERROR(IF(AND(AH!$U$12=1,845+1=AH!$U$6),TODAY(),IF(AH!$U$5=1,INDEX('Live History'!$A$5:$A$3004,AH!$U$7+845),INDEX('AH History'!$A$5:$A$1380,AH!$U$7+845))),""))</f>
        <v/>
      </c>
      <c r="B850" s="33">
        <f>IFERROR(IF(AH!$U$11=1,NA(),$J850/$E850-1),NA())</f>
        <v/>
      </c>
      <c r="C850" s="269">
        <f>IFERROR(100*$E850/$E$5,NA())</f>
        <v/>
      </c>
      <c r="D850" s="269">
        <f>IFERROR(100*$J850/$J$5,NA())</f>
        <v/>
      </c>
      <c r="E850" s="32">
        <f>IFERROR(IF(AND(ISNUMBER($A850),N(IF(AND(AH!$U$12=1,845+1=AH!$U$6),IF(AH!$U$4=0,"unavailable",INDEX('Market Data'!$AN$5:$AN$66,AH!$U$4)),IF(AH!$U$5=1,INDEX('Live History'!$B$5:$B$3004,$K850),INDEX('AH History'!$D$5:$GG$1380,$K850,AH!$U$10))))&gt;0),IF(AND(AH!$U$12=1,845+1=AH!$U$6),IF(AH!$U$4=0,"unavailable",INDEX('Market Data'!$AN$5:$AN$66,AH!$U$4)),IF(AH!$U$5=1,INDEX('Live History'!$B$5:$B$3004,$K850),INDEX('AH History'!$D$5:$GG$1380,$K850,AH!$U$10))),NA()),NA())</f>
        <v/>
      </c>
      <c r="F850" s="32">
        <f>IFERROR(IF(ISNUMBER($A850),IF(AND(AH!$U$12=1,845+1=AH!$U$6),IF(AH!$U$4=0,"unavailable",INDEX('Market Data'!$AO$5:$AO$66,AH!$U$4)),IF(AH!$U$5=1,INDEX('Live History'!$E$5:$E$3004,MATCH($A850,'Live History'!$D$5:$D$3004,1)),INDEX('AH History'!$D$5:$GG$1380,$K850,AH!$U$10+1))),NA()),NA())</f>
        <v/>
      </c>
      <c r="G850" s="34">
        <f>IFERROR(IF(ISNUMBER($A850),IF(AND(AH!$U$12=1,845+1=AH!$U$6),IF(AH!$U$4=0,"unavailable",INDEX('Market Data'!$AK$5:$AK$66,AH!$U$4)),IF(AH!$U$5=1,INDEX('Live History'!$D$5:$D$3004,MATCH($A850,'Live History'!$D$5:$D$3004,1)),INDEX('AH History'!$D$5:$GG$1380,$K850,AH!$U$10+2))),NA()),NA())</f>
        <v/>
      </c>
      <c r="H850" s="266">
        <f>IFERROR(IF(ISNUMBER($A850),IF(AND(AH!$U$12=1,845+1=AH!$U$6),IF(AH!$U$4=0,"unavailable",INDEX('Market Data'!$AP$5:$AP$66,AH!$U$4)),IF(AH!$U$5=1,INDEX('Live History'!$H$5:$H$3004,MATCH($A850,'Live History'!$G$5:$G$3004,1)),INDEX('AH History'!$B$5:$B$1380,$K850))),NA()),NA())</f>
        <v/>
      </c>
      <c r="I850" s="34">
        <f>IFERROR(IF(ISNUMBER($A850),IF(AND(AH!$U$12=1,845+1=AH!$U$6),TODAY(),IF(AH!$U$5=1,INDEX('Live History'!$G$5:$G$3004,MATCH($A850,'Live History'!$G$5:$G$3004,1)),INDEX('AH History'!$C$5:$C$1380,$K850))),NA()),NA())</f>
        <v/>
      </c>
      <c r="J850" s="32">
        <f>IFERROR(IF(AND($F850&gt;0,$H850&gt;0,$A850-$G850&lt;=10,$A850-$I850&lt;=5,$G850&gt;0,$I850&gt;0),$F850*$H850,NA()),NA())</f>
        <v/>
      </c>
      <c r="K850" s="15">
        <f>IF($A850="","",IF(AH!$U$5=1,IFERROR(MATCH($A850,'Live History'!$A$5:$A$3004,0),0),AH!$U$7+845))</f>
        <v/>
      </c>
      <c r="L850" s="15">
        <f>IF(ISNUMBER(A850),TEXT(A850,"dd-mmm-yy"),"")</f>
        <v/>
      </c>
    </row>
    <row r="851">
      <c r="A851" s="14">
        <f>IF(OR(AH!$U$4=0,846+1&gt;AH!$U$6,AND(AH!$M$5="Bloomberg",AH!$U$5=0)),"",IFERROR(IF(AND(AH!$U$12=1,846+1=AH!$U$6),TODAY(),IF(AH!$U$5=1,INDEX('Live History'!$A$5:$A$3004,AH!$U$7+846),INDEX('AH History'!$A$5:$A$1380,AH!$U$7+846))),""))</f>
        <v/>
      </c>
      <c r="B851" s="33">
        <f>IFERROR(IF(AH!$U$11=1,NA(),$J851/$E851-1),NA())</f>
        <v/>
      </c>
      <c r="C851" s="269">
        <f>IFERROR(100*$E851/$E$5,NA())</f>
        <v/>
      </c>
      <c r="D851" s="269">
        <f>IFERROR(100*$J851/$J$5,NA())</f>
        <v/>
      </c>
      <c r="E851" s="32">
        <f>IFERROR(IF(AND(ISNUMBER($A851),N(IF(AND(AH!$U$12=1,846+1=AH!$U$6),IF(AH!$U$4=0,"unavailable",INDEX('Market Data'!$AN$5:$AN$66,AH!$U$4)),IF(AH!$U$5=1,INDEX('Live History'!$B$5:$B$3004,$K851),INDEX('AH History'!$D$5:$GG$1380,$K851,AH!$U$10))))&gt;0),IF(AND(AH!$U$12=1,846+1=AH!$U$6),IF(AH!$U$4=0,"unavailable",INDEX('Market Data'!$AN$5:$AN$66,AH!$U$4)),IF(AH!$U$5=1,INDEX('Live History'!$B$5:$B$3004,$K851),INDEX('AH History'!$D$5:$GG$1380,$K851,AH!$U$10))),NA()),NA())</f>
        <v/>
      </c>
      <c r="F851" s="32">
        <f>IFERROR(IF(ISNUMBER($A851),IF(AND(AH!$U$12=1,846+1=AH!$U$6),IF(AH!$U$4=0,"unavailable",INDEX('Market Data'!$AO$5:$AO$66,AH!$U$4)),IF(AH!$U$5=1,INDEX('Live History'!$E$5:$E$3004,MATCH($A851,'Live History'!$D$5:$D$3004,1)),INDEX('AH History'!$D$5:$GG$1380,$K851,AH!$U$10+1))),NA()),NA())</f>
        <v/>
      </c>
      <c r="G851" s="34">
        <f>IFERROR(IF(ISNUMBER($A851),IF(AND(AH!$U$12=1,846+1=AH!$U$6),IF(AH!$U$4=0,"unavailable",INDEX('Market Data'!$AK$5:$AK$66,AH!$U$4)),IF(AH!$U$5=1,INDEX('Live History'!$D$5:$D$3004,MATCH($A851,'Live History'!$D$5:$D$3004,1)),INDEX('AH History'!$D$5:$GG$1380,$K851,AH!$U$10+2))),NA()),NA())</f>
        <v/>
      </c>
      <c r="H851" s="266">
        <f>IFERROR(IF(ISNUMBER($A851),IF(AND(AH!$U$12=1,846+1=AH!$U$6),IF(AH!$U$4=0,"unavailable",INDEX('Market Data'!$AP$5:$AP$66,AH!$U$4)),IF(AH!$U$5=1,INDEX('Live History'!$H$5:$H$3004,MATCH($A851,'Live History'!$G$5:$G$3004,1)),INDEX('AH History'!$B$5:$B$1380,$K851))),NA()),NA())</f>
        <v/>
      </c>
      <c r="I851" s="34">
        <f>IFERROR(IF(ISNUMBER($A851),IF(AND(AH!$U$12=1,846+1=AH!$U$6),TODAY(),IF(AH!$U$5=1,INDEX('Live History'!$G$5:$G$3004,MATCH($A851,'Live History'!$G$5:$G$3004,1)),INDEX('AH History'!$C$5:$C$1380,$K851))),NA()),NA())</f>
        <v/>
      </c>
      <c r="J851" s="32">
        <f>IFERROR(IF(AND($F851&gt;0,$H851&gt;0,$A851-$G851&lt;=10,$A851-$I851&lt;=5,$G851&gt;0,$I851&gt;0),$F851*$H851,NA()),NA())</f>
        <v/>
      </c>
      <c r="K851" s="15">
        <f>IF($A851="","",IF(AH!$U$5=1,IFERROR(MATCH($A851,'Live History'!$A$5:$A$3004,0),0),AH!$U$7+846))</f>
        <v/>
      </c>
      <c r="L851" s="15">
        <f>IF(ISNUMBER(A851),TEXT(A851,"dd-mmm-yy"),"")</f>
        <v/>
      </c>
    </row>
    <row r="852">
      <c r="A852" s="14">
        <f>IF(OR(AH!$U$4=0,847+1&gt;AH!$U$6,AND(AH!$M$5="Bloomberg",AH!$U$5=0)),"",IFERROR(IF(AND(AH!$U$12=1,847+1=AH!$U$6),TODAY(),IF(AH!$U$5=1,INDEX('Live History'!$A$5:$A$3004,AH!$U$7+847),INDEX('AH History'!$A$5:$A$1380,AH!$U$7+847))),""))</f>
        <v/>
      </c>
      <c r="B852" s="33">
        <f>IFERROR(IF(AH!$U$11=1,NA(),$J852/$E852-1),NA())</f>
        <v/>
      </c>
      <c r="C852" s="269">
        <f>IFERROR(100*$E852/$E$5,NA())</f>
        <v/>
      </c>
      <c r="D852" s="269">
        <f>IFERROR(100*$J852/$J$5,NA())</f>
        <v/>
      </c>
      <c r="E852" s="32">
        <f>IFERROR(IF(AND(ISNUMBER($A852),N(IF(AND(AH!$U$12=1,847+1=AH!$U$6),IF(AH!$U$4=0,"unavailable",INDEX('Market Data'!$AN$5:$AN$66,AH!$U$4)),IF(AH!$U$5=1,INDEX('Live History'!$B$5:$B$3004,$K852),INDEX('AH History'!$D$5:$GG$1380,$K852,AH!$U$10))))&gt;0),IF(AND(AH!$U$12=1,847+1=AH!$U$6),IF(AH!$U$4=0,"unavailable",INDEX('Market Data'!$AN$5:$AN$66,AH!$U$4)),IF(AH!$U$5=1,INDEX('Live History'!$B$5:$B$3004,$K852),INDEX('AH History'!$D$5:$GG$1380,$K852,AH!$U$10))),NA()),NA())</f>
        <v/>
      </c>
      <c r="F852" s="32">
        <f>IFERROR(IF(ISNUMBER($A852),IF(AND(AH!$U$12=1,847+1=AH!$U$6),IF(AH!$U$4=0,"unavailable",INDEX('Market Data'!$AO$5:$AO$66,AH!$U$4)),IF(AH!$U$5=1,INDEX('Live History'!$E$5:$E$3004,MATCH($A852,'Live History'!$D$5:$D$3004,1)),INDEX('AH History'!$D$5:$GG$1380,$K852,AH!$U$10+1))),NA()),NA())</f>
        <v/>
      </c>
      <c r="G852" s="34">
        <f>IFERROR(IF(ISNUMBER($A852),IF(AND(AH!$U$12=1,847+1=AH!$U$6),IF(AH!$U$4=0,"unavailable",INDEX('Market Data'!$AK$5:$AK$66,AH!$U$4)),IF(AH!$U$5=1,INDEX('Live History'!$D$5:$D$3004,MATCH($A852,'Live History'!$D$5:$D$3004,1)),INDEX('AH History'!$D$5:$GG$1380,$K852,AH!$U$10+2))),NA()),NA())</f>
        <v/>
      </c>
      <c r="H852" s="266">
        <f>IFERROR(IF(ISNUMBER($A852),IF(AND(AH!$U$12=1,847+1=AH!$U$6),IF(AH!$U$4=0,"unavailable",INDEX('Market Data'!$AP$5:$AP$66,AH!$U$4)),IF(AH!$U$5=1,INDEX('Live History'!$H$5:$H$3004,MATCH($A852,'Live History'!$G$5:$G$3004,1)),INDEX('AH History'!$B$5:$B$1380,$K852))),NA()),NA())</f>
        <v/>
      </c>
      <c r="I852" s="34">
        <f>IFERROR(IF(ISNUMBER($A852),IF(AND(AH!$U$12=1,847+1=AH!$U$6),TODAY(),IF(AH!$U$5=1,INDEX('Live History'!$G$5:$G$3004,MATCH($A852,'Live History'!$G$5:$G$3004,1)),INDEX('AH History'!$C$5:$C$1380,$K852))),NA()),NA())</f>
        <v/>
      </c>
      <c r="J852" s="32">
        <f>IFERROR(IF(AND($F852&gt;0,$H852&gt;0,$A852-$G852&lt;=10,$A852-$I852&lt;=5,$G852&gt;0,$I852&gt;0),$F852*$H852,NA()),NA())</f>
        <v/>
      </c>
      <c r="K852" s="15">
        <f>IF($A852="","",IF(AH!$U$5=1,IFERROR(MATCH($A852,'Live History'!$A$5:$A$3004,0),0),AH!$U$7+847))</f>
        <v/>
      </c>
      <c r="L852" s="15">
        <f>IF(ISNUMBER(A852),TEXT(A852,"dd-mmm-yy"),"")</f>
        <v/>
      </c>
    </row>
    <row r="853">
      <c r="A853" s="14">
        <f>IF(OR(AH!$U$4=0,848+1&gt;AH!$U$6,AND(AH!$M$5="Bloomberg",AH!$U$5=0)),"",IFERROR(IF(AND(AH!$U$12=1,848+1=AH!$U$6),TODAY(),IF(AH!$U$5=1,INDEX('Live History'!$A$5:$A$3004,AH!$U$7+848),INDEX('AH History'!$A$5:$A$1380,AH!$U$7+848))),""))</f>
        <v/>
      </c>
      <c r="B853" s="33">
        <f>IFERROR(IF(AH!$U$11=1,NA(),$J853/$E853-1),NA())</f>
        <v/>
      </c>
      <c r="C853" s="269">
        <f>IFERROR(100*$E853/$E$5,NA())</f>
        <v/>
      </c>
      <c r="D853" s="269">
        <f>IFERROR(100*$J853/$J$5,NA())</f>
        <v/>
      </c>
      <c r="E853" s="32">
        <f>IFERROR(IF(AND(ISNUMBER($A853),N(IF(AND(AH!$U$12=1,848+1=AH!$U$6),IF(AH!$U$4=0,"unavailable",INDEX('Market Data'!$AN$5:$AN$66,AH!$U$4)),IF(AH!$U$5=1,INDEX('Live History'!$B$5:$B$3004,$K853),INDEX('AH History'!$D$5:$GG$1380,$K853,AH!$U$10))))&gt;0),IF(AND(AH!$U$12=1,848+1=AH!$U$6),IF(AH!$U$4=0,"unavailable",INDEX('Market Data'!$AN$5:$AN$66,AH!$U$4)),IF(AH!$U$5=1,INDEX('Live History'!$B$5:$B$3004,$K853),INDEX('AH History'!$D$5:$GG$1380,$K853,AH!$U$10))),NA()),NA())</f>
        <v/>
      </c>
      <c r="F853" s="32">
        <f>IFERROR(IF(ISNUMBER($A853),IF(AND(AH!$U$12=1,848+1=AH!$U$6),IF(AH!$U$4=0,"unavailable",INDEX('Market Data'!$AO$5:$AO$66,AH!$U$4)),IF(AH!$U$5=1,INDEX('Live History'!$E$5:$E$3004,MATCH($A853,'Live History'!$D$5:$D$3004,1)),INDEX('AH History'!$D$5:$GG$1380,$K853,AH!$U$10+1))),NA()),NA())</f>
        <v/>
      </c>
      <c r="G853" s="34">
        <f>IFERROR(IF(ISNUMBER($A853),IF(AND(AH!$U$12=1,848+1=AH!$U$6),IF(AH!$U$4=0,"unavailable",INDEX('Market Data'!$AK$5:$AK$66,AH!$U$4)),IF(AH!$U$5=1,INDEX('Live History'!$D$5:$D$3004,MATCH($A853,'Live History'!$D$5:$D$3004,1)),INDEX('AH History'!$D$5:$GG$1380,$K853,AH!$U$10+2))),NA()),NA())</f>
        <v/>
      </c>
      <c r="H853" s="266">
        <f>IFERROR(IF(ISNUMBER($A853),IF(AND(AH!$U$12=1,848+1=AH!$U$6),IF(AH!$U$4=0,"unavailable",INDEX('Market Data'!$AP$5:$AP$66,AH!$U$4)),IF(AH!$U$5=1,INDEX('Live History'!$H$5:$H$3004,MATCH($A853,'Live History'!$G$5:$G$3004,1)),INDEX('AH History'!$B$5:$B$1380,$K853))),NA()),NA())</f>
        <v/>
      </c>
      <c r="I853" s="34">
        <f>IFERROR(IF(ISNUMBER($A853),IF(AND(AH!$U$12=1,848+1=AH!$U$6),TODAY(),IF(AH!$U$5=1,INDEX('Live History'!$G$5:$G$3004,MATCH($A853,'Live History'!$G$5:$G$3004,1)),INDEX('AH History'!$C$5:$C$1380,$K853))),NA()),NA())</f>
        <v/>
      </c>
      <c r="J853" s="32">
        <f>IFERROR(IF(AND($F853&gt;0,$H853&gt;0,$A853-$G853&lt;=10,$A853-$I853&lt;=5,$G853&gt;0,$I853&gt;0),$F853*$H853,NA()),NA())</f>
        <v/>
      </c>
      <c r="K853" s="15">
        <f>IF($A853="","",IF(AH!$U$5=1,IFERROR(MATCH($A853,'Live History'!$A$5:$A$3004,0),0),AH!$U$7+848))</f>
        <v/>
      </c>
      <c r="L853" s="15">
        <f>IF(ISNUMBER(A853),TEXT(A853,"dd-mmm-yy"),"")</f>
        <v/>
      </c>
    </row>
    <row r="854">
      <c r="A854" s="14">
        <f>IF(OR(AH!$U$4=0,849+1&gt;AH!$U$6,AND(AH!$M$5="Bloomberg",AH!$U$5=0)),"",IFERROR(IF(AND(AH!$U$12=1,849+1=AH!$U$6),TODAY(),IF(AH!$U$5=1,INDEX('Live History'!$A$5:$A$3004,AH!$U$7+849),INDEX('AH History'!$A$5:$A$1380,AH!$U$7+849))),""))</f>
        <v/>
      </c>
      <c r="B854" s="33">
        <f>IFERROR(IF(AH!$U$11=1,NA(),$J854/$E854-1),NA())</f>
        <v/>
      </c>
      <c r="C854" s="269">
        <f>IFERROR(100*$E854/$E$5,NA())</f>
        <v/>
      </c>
      <c r="D854" s="269">
        <f>IFERROR(100*$J854/$J$5,NA())</f>
        <v/>
      </c>
      <c r="E854" s="32">
        <f>IFERROR(IF(AND(ISNUMBER($A854),N(IF(AND(AH!$U$12=1,849+1=AH!$U$6),IF(AH!$U$4=0,"unavailable",INDEX('Market Data'!$AN$5:$AN$66,AH!$U$4)),IF(AH!$U$5=1,INDEX('Live History'!$B$5:$B$3004,$K854),INDEX('AH History'!$D$5:$GG$1380,$K854,AH!$U$10))))&gt;0),IF(AND(AH!$U$12=1,849+1=AH!$U$6),IF(AH!$U$4=0,"unavailable",INDEX('Market Data'!$AN$5:$AN$66,AH!$U$4)),IF(AH!$U$5=1,INDEX('Live History'!$B$5:$B$3004,$K854),INDEX('AH History'!$D$5:$GG$1380,$K854,AH!$U$10))),NA()),NA())</f>
        <v/>
      </c>
      <c r="F854" s="32">
        <f>IFERROR(IF(ISNUMBER($A854),IF(AND(AH!$U$12=1,849+1=AH!$U$6),IF(AH!$U$4=0,"unavailable",INDEX('Market Data'!$AO$5:$AO$66,AH!$U$4)),IF(AH!$U$5=1,INDEX('Live History'!$E$5:$E$3004,MATCH($A854,'Live History'!$D$5:$D$3004,1)),INDEX('AH History'!$D$5:$GG$1380,$K854,AH!$U$10+1))),NA()),NA())</f>
        <v/>
      </c>
      <c r="G854" s="34">
        <f>IFERROR(IF(ISNUMBER($A854),IF(AND(AH!$U$12=1,849+1=AH!$U$6),IF(AH!$U$4=0,"unavailable",INDEX('Market Data'!$AK$5:$AK$66,AH!$U$4)),IF(AH!$U$5=1,INDEX('Live History'!$D$5:$D$3004,MATCH($A854,'Live History'!$D$5:$D$3004,1)),INDEX('AH History'!$D$5:$GG$1380,$K854,AH!$U$10+2))),NA()),NA())</f>
        <v/>
      </c>
      <c r="H854" s="266">
        <f>IFERROR(IF(ISNUMBER($A854),IF(AND(AH!$U$12=1,849+1=AH!$U$6),IF(AH!$U$4=0,"unavailable",INDEX('Market Data'!$AP$5:$AP$66,AH!$U$4)),IF(AH!$U$5=1,INDEX('Live History'!$H$5:$H$3004,MATCH($A854,'Live History'!$G$5:$G$3004,1)),INDEX('AH History'!$B$5:$B$1380,$K854))),NA()),NA())</f>
        <v/>
      </c>
      <c r="I854" s="34">
        <f>IFERROR(IF(ISNUMBER($A854),IF(AND(AH!$U$12=1,849+1=AH!$U$6),TODAY(),IF(AH!$U$5=1,INDEX('Live History'!$G$5:$G$3004,MATCH($A854,'Live History'!$G$5:$G$3004,1)),INDEX('AH History'!$C$5:$C$1380,$K854))),NA()),NA())</f>
        <v/>
      </c>
      <c r="J854" s="32">
        <f>IFERROR(IF(AND($F854&gt;0,$H854&gt;0,$A854-$G854&lt;=10,$A854-$I854&lt;=5,$G854&gt;0,$I854&gt;0),$F854*$H854,NA()),NA())</f>
        <v/>
      </c>
      <c r="K854" s="15">
        <f>IF($A854="","",IF(AH!$U$5=1,IFERROR(MATCH($A854,'Live History'!$A$5:$A$3004,0),0),AH!$U$7+849))</f>
        <v/>
      </c>
      <c r="L854" s="15">
        <f>IF(ISNUMBER(A854),TEXT(A854,"dd-mmm-yy"),"")</f>
        <v/>
      </c>
    </row>
    <row r="855">
      <c r="A855" s="14">
        <f>IF(OR(AH!$U$4=0,850+1&gt;AH!$U$6,AND(AH!$M$5="Bloomberg",AH!$U$5=0)),"",IFERROR(IF(AND(AH!$U$12=1,850+1=AH!$U$6),TODAY(),IF(AH!$U$5=1,INDEX('Live History'!$A$5:$A$3004,AH!$U$7+850),INDEX('AH History'!$A$5:$A$1380,AH!$U$7+850))),""))</f>
        <v/>
      </c>
      <c r="B855" s="33">
        <f>IFERROR(IF(AH!$U$11=1,NA(),$J855/$E855-1),NA())</f>
        <v/>
      </c>
      <c r="C855" s="269">
        <f>IFERROR(100*$E855/$E$5,NA())</f>
        <v/>
      </c>
      <c r="D855" s="269">
        <f>IFERROR(100*$J855/$J$5,NA())</f>
        <v/>
      </c>
      <c r="E855" s="32">
        <f>IFERROR(IF(AND(ISNUMBER($A855),N(IF(AND(AH!$U$12=1,850+1=AH!$U$6),IF(AH!$U$4=0,"unavailable",INDEX('Market Data'!$AN$5:$AN$66,AH!$U$4)),IF(AH!$U$5=1,INDEX('Live History'!$B$5:$B$3004,$K855),INDEX('AH History'!$D$5:$GG$1380,$K855,AH!$U$10))))&gt;0),IF(AND(AH!$U$12=1,850+1=AH!$U$6),IF(AH!$U$4=0,"unavailable",INDEX('Market Data'!$AN$5:$AN$66,AH!$U$4)),IF(AH!$U$5=1,INDEX('Live History'!$B$5:$B$3004,$K855),INDEX('AH History'!$D$5:$GG$1380,$K855,AH!$U$10))),NA()),NA())</f>
        <v/>
      </c>
      <c r="F855" s="32">
        <f>IFERROR(IF(ISNUMBER($A855),IF(AND(AH!$U$12=1,850+1=AH!$U$6),IF(AH!$U$4=0,"unavailable",INDEX('Market Data'!$AO$5:$AO$66,AH!$U$4)),IF(AH!$U$5=1,INDEX('Live History'!$E$5:$E$3004,MATCH($A855,'Live History'!$D$5:$D$3004,1)),INDEX('AH History'!$D$5:$GG$1380,$K855,AH!$U$10+1))),NA()),NA())</f>
        <v/>
      </c>
      <c r="G855" s="34">
        <f>IFERROR(IF(ISNUMBER($A855),IF(AND(AH!$U$12=1,850+1=AH!$U$6),IF(AH!$U$4=0,"unavailable",INDEX('Market Data'!$AK$5:$AK$66,AH!$U$4)),IF(AH!$U$5=1,INDEX('Live History'!$D$5:$D$3004,MATCH($A855,'Live History'!$D$5:$D$3004,1)),INDEX('AH History'!$D$5:$GG$1380,$K855,AH!$U$10+2))),NA()),NA())</f>
        <v/>
      </c>
      <c r="H855" s="266">
        <f>IFERROR(IF(ISNUMBER($A855),IF(AND(AH!$U$12=1,850+1=AH!$U$6),IF(AH!$U$4=0,"unavailable",INDEX('Market Data'!$AP$5:$AP$66,AH!$U$4)),IF(AH!$U$5=1,INDEX('Live History'!$H$5:$H$3004,MATCH($A855,'Live History'!$G$5:$G$3004,1)),INDEX('AH History'!$B$5:$B$1380,$K855))),NA()),NA())</f>
        <v/>
      </c>
      <c r="I855" s="34">
        <f>IFERROR(IF(ISNUMBER($A855),IF(AND(AH!$U$12=1,850+1=AH!$U$6),TODAY(),IF(AH!$U$5=1,INDEX('Live History'!$G$5:$G$3004,MATCH($A855,'Live History'!$G$5:$G$3004,1)),INDEX('AH History'!$C$5:$C$1380,$K855))),NA()),NA())</f>
        <v/>
      </c>
      <c r="J855" s="32">
        <f>IFERROR(IF(AND($F855&gt;0,$H855&gt;0,$A855-$G855&lt;=10,$A855-$I855&lt;=5,$G855&gt;0,$I855&gt;0),$F855*$H855,NA()),NA())</f>
        <v/>
      </c>
      <c r="K855" s="15">
        <f>IF($A855="","",IF(AH!$U$5=1,IFERROR(MATCH($A855,'Live History'!$A$5:$A$3004,0),0),AH!$U$7+850))</f>
        <v/>
      </c>
      <c r="L855" s="15">
        <f>IF(ISNUMBER(A855),TEXT(A855,"dd-mmm-yy"),"")</f>
        <v/>
      </c>
    </row>
    <row r="856">
      <c r="A856" s="14">
        <f>IF(OR(AH!$U$4=0,851+1&gt;AH!$U$6,AND(AH!$M$5="Bloomberg",AH!$U$5=0)),"",IFERROR(IF(AND(AH!$U$12=1,851+1=AH!$U$6),TODAY(),IF(AH!$U$5=1,INDEX('Live History'!$A$5:$A$3004,AH!$U$7+851),INDEX('AH History'!$A$5:$A$1380,AH!$U$7+851))),""))</f>
        <v/>
      </c>
      <c r="B856" s="33">
        <f>IFERROR(IF(AH!$U$11=1,NA(),$J856/$E856-1),NA())</f>
        <v/>
      </c>
      <c r="C856" s="269">
        <f>IFERROR(100*$E856/$E$5,NA())</f>
        <v/>
      </c>
      <c r="D856" s="269">
        <f>IFERROR(100*$J856/$J$5,NA())</f>
        <v/>
      </c>
      <c r="E856" s="32">
        <f>IFERROR(IF(AND(ISNUMBER($A856),N(IF(AND(AH!$U$12=1,851+1=AH!$U$6),IF(AH!$U$4=0,"unavailable",INDEX('Market Data'!$AN$5:$AN$66,AH!$U$4)),IF(AH!$U$5=1,INDEX('Live History'!$B$5:$B$3004,$K856),INDEX('AH History'!$D$5:$GG$1380,$K856,AH!$U$10))))&gt;0),IF(AND(AH!$U$12=1,851+1=AH!$U$6),IF(AH!$U$4=0,"unavailable",INDEX('Market Data'!$AN$5:$AN$66,AH!$U$4)),IF(AH!$U$5=1,INDEX('Live History'!$B$5:$B$3004,$K856),INDEX('AH History'!$D$5:$GG$1380,$K856,AH!$U$10))),NA()),NA())</f>
        <v/>
      </c>
      <c r="F856" s="32">
        <f>IFERROR(IF(ISNUMBER($A856),IF(AND(AH!$U$12=1,851+1=AH!$U$6),IF(AH!$U$4=0,"unavailable",INDEX('Market Data'!$AO$5:$AO$66,AH!$U$4)),IF(AH!$U$5=1,INDEX('Live History'!$E$5:$E$3004,MATCH($A856,'Live History'!$D$5:$D$3004,1)),INDEX('AH History'!$D$5:$GG$1380,$K856,AH!$U$10+1))),NA()),NA())</f>
        <v/>
      </c>
      <c r="G856" s="34">
        <f>IFERROR(IF(ISNUMBER($A856),IF(AND(AH!$U$12=1,851+1=AH!$U$6),IF(AH!$U$4=0,"unavailable",INDEX('Market Data'!$AK$5:$AK$66,AH!$U$4)),IF(AH!$U$5=1,INDEX('Live History'!$D$5:$D$3004,MATCH($A856,'Live History'!$D$5:$D$3004,1)),INDEX('AH History'!$D$5:$GG$1380,$K856,AH!$U$10+2))),NA()),NA())</f>
        <v/>
      </c>
      <c r="H856" s="266">
        <f>IFERROR(IF(ISNUMBER($A856),IF(AND(AH!$U$12=1,851+1=AH!$U$6),IF(AH!$U$4=0,"unavailable",INDEX('Market Data'!$AP$5:$AP$66,AH!$U$4)),IF(AH!$U$5=1,INDEX('Live History'!$H$5:$H$3004,MATCH($A856,'Live History'!$G$5:$G$3004,1)),INDEX('AH History'!$B$5:$B$1380,$K856))),NA()),NA())</f>
        <v/>
      </c>
      <c r="I856" s="34">
        <f>IFERROR(IF(ISNUMBER($A856),IF(AND(AH!$U$12=1,851+1=AH!$U$6),TODAY(),IF(AH!$U$5=1,INDEX('Live History'!$G$5:$G$3004,MATCH($A856,'Live History'!$G$5:$G$3004,1)),INDEX('AH History'!$C$5:$C$1380,$K856))),NA()),NA())</f>
        <v/>
      </c>
      <c r="J856" s="32">
        <f>IFERROR(IF(AND($F856&gt;0,$H856&gt;0,$A856-$G856&lt;=10,$A856-$I856&lt;=5,$G856&gt;0,$I856&gt;0),$F856*$H856,NA()),NA())</f>
        <v/>
      </c>
      <c r="K856" s="15">
        <f>IF($A856="","",IF(AH!$U$5=1,IFERROR(MATCH($A856,'Live History'!$A$5:$A$3004,0),0),AH!$U$7+851))</f>
        <v/>
      </c>
      <c r="L856" s="15">
        <f>IF(ISNUMBER(A856),TEXT(A856,"dd-mmm-yy"),"")</f>
        <v/>
      </c>
    </row>
    <row r="857">
      <c r="A857" s="14">
        <f>IF(OR(AH!$U$4=0,852+1&gt;AH!$U$6,AND(AH!$M$5="Bloomberg",AH!$U$5=0)),"",IFERROR(IF(AND(AH!$U$12=1,852+1=AH!$U$6),TODAY(),IF(AH!$U$5=1,INDEX('Live History'!$A$5:$A$3004,AH!$U$7+852),INDEX('AH History'!$A$5:$A$1380,AH!$U$7+852))),""))</f>
        <v/>
      </c>
      <c r="B857" s="33">
        <f>IFERROR(IF(AH!$U$11=1,NA(),$J857/$E857-1),NA())</f>
        <v/>
      </c>
      <c r="C857" s="269">
        <f>IFERROR(100*$E857/$E$5,NA())</f>
        <v/>
      </c>
      <c r="D857" s="269">
        <f>IFERROR(100*$J857/$J$5,NA())</f>
        <v/>
      </c>
      <c r="E857" s="32">
        <f>IFERROR(IF(AND(ISNUMBER($A857),N(IF(AND(AH!$U$12=1,852+1=AH!$U$6),IF(AH!$U$4=0,"unavailable",INDEX('Market Data'!$AN$5:$AN$66,AH!$U$4)),IF(AH!$U$5=1,INDEX('Live History'!$B$5:$B$3004,$K857),INDEX('AH History'!$D$5:$GG$1380,$K857,AH!$U$10))))&gt;0),IF(AND(AH!$U$12=1,852+1=AH!$U$6),IF(AH!$U$4=0,"unavailable",INDEX('Market Data'!$AN$5:$AN$66,AH!$U$4)),IF(AH!$U$5=1,INDEX('Live History'!$B$5:$B$3004,$K857),INDEX('AH History'!$D$5:$GG$1380,$K857,AH!$U$10))),NA()),NA())</f>
        <v/>
      </c>
      <c r="F857" s="32">
        <f>IFERROR(IF(ISNUMBER($A857),IF(AND(AH!$U$12=1,852+1=AH!$U$6),IF(AH!$U$4=0,"unavailable",INDEX('Market Data'!$AO$5:$AO$66,AH!$U$4)),IF(AH!$U$5=1,INDEX('Live History'!$E$5:$E$3004,MATCH($A857,'Live History'!$D$5:$D$3004,1)),INDEX('AH History'!$D$5:$GG$1380,$K857,AH!$U$10+1))),NA()),NA())</f>
        <v/>
      </c>
      <c r="G857" s="34">
        <f>IFERROR(IF(ISNUMBER($A857),IF(AND(AH!$U$12=1,852+1=AH!$U$6),IF(AH!$U$4=0,"unavailable",INDEX('Market Data'!$AK$5:$AK$66,AH!$U$4)),IF(AH!$U$5=1,INDEX('Live History'!$D$5:$D$3004,MATCH($A857,'Live History'!$D$5:$D$3004,1)),INDEX('AH History'!$D$5:$GG$1380,$K857,AH!$U$10+2))),NA()),NA())</f>
        <v/>
      </c>
      <c r="H857" s="266">
        <f>IFERROR(IF(ISNUMBER($A857),IF(AND(AH!$U$12=1,852+1=AH!$U$6),IF(AH!$U$4=0,"unavailable",INDEX('Market Data'!$AP$5:$AP$66,AH!$U$4)),IF(AH!$U$5=1,INDEX('Live History'!$H$5:$H$3004,MATCH($A857,'Live History'!$G$5:$G$3004,1)),INDEX('AH History'!$B$5:$B$1380,$K857))),NA()),NA())</f>
        <v/>
      </c>
      <c r="I857" s="34">
        <f>IFERROR(IF(ISNUMBER($A857),IF(AND(AH!$U$12=1,852+1=AH!$U$6),TODAY(),IF(AH!$U$5=1,INDEX('Live History'!$G$5:$G$3004,MATCH($A857,'Live History'!$G$5:$G$3004,1)),INDEX('AH History'!$C$5:$C$1380,$K857))),NA()),NA())</f>
        <v/>
      </c>
      <c r="J857" s="32">
        <f>IFERROR(IF(AND($F857&gt;0,$H857&gt;0,$A857-$G857&lt;=10,$A857-$I857&lt;=5,$G857&gt;0,$I857&gt;0),$F857*$H857,NA()),NA())</f>
        <v/>
      </c>
      <c r="K857" s="15">
        <f>IF($A857="","",IF(AH!$U$5=1,IFERROR(MATCH($A857,'Live History'!$A$5:$A$3004,0),0),AH!$U$7+852))</f>
        <v/>
      </c>
      <c r="L857" s="15">
        <f>IF(ISNUMBER(A857),TEXT(A857,"dd-mmm-yy"),"")</f>
        <v/>
      </c>
    </row>
    <row r="858">
      <c r="A858" s="14">
        <f>IF(OR(AH!$U$4=0,853+1&gt;AH!$U$6,AND(AH!$M$5="Bloomberg",AH!$U$5=0)),"",IFERROR(IF(AND(AH!$U$12=1,853+1=AH!$U$6),TODAY(),IF(AH!$U$5=1,INDEX('Live History'!$A$5:$A$3004,AH!$U$7+853),INDEX('AH History'!$A$5:$A$1380,AH!$U$7+853))),""))</f>
        <v/>
      </c>
      <c r="B858" s="33">
        <f>IFERROR(IF(AH!$U$11=1,NA(),$J858/$E858-1),NA())</f>
        <v/>
      </c>
      <c r="C858" s="269">
        <f>IFERROR(100*$E858/$E$5,NA())</f>
        <v/>
      </c>
      <c r="D858" s="269">
        <f>IFERROR(100*$J858/$J$5,NA())</f>
        <v/>
      </c>
      <c r="E858" s="32">
        <f>IFERROR(IF(AND(ISNUMBER($A858),N(IF(AND(AH!$U$12=1,853+1=AH!$U$6),IF(AH!$U$4=0,"unavailable",INDEX('Market Data'!$AN$5:$AN$66,AH!$U$4)),IF(AH!$U$5=1,INDEX('Live History'!$B$5:$B$3004,$K858),INDEX('AH History'!$D$5:$GG$1380,$K858,AH!$U$10))))&gt;0),IF(AND(AH!$U$12=1,853+1=AH!$U$6),IF(AH!$U$4=0,"unavailable",INDEX('Market Data'!$AN$5:$AN$66,AH!$U$4)),IF(AH!$U$5=1,INDEX('Live History'!$B$5:$B$3004,$K858),INDEX('AH History'!$D$5:$GG$1380,$K858,AH!$U$10))),NA()),NA())</f>
        <v/>
      </c>
      <c r="F858" s="32">
        <f>IFERROR(IF(ISNUMBER($A858),IF(AND(AH!$U$12=1,853+1=AH!$U$6),IF(AH!$U$4=0,"unavailable",INDEX('Market Data'!$AO$5:$AO$66,AH!$U$4)),IF(AH!$U$5=1,INDEX('Live History'!$E$5:$E$3004,MATCH($A858,'Live History'!$D$5:$D$3004,1)),INDEX('AH History'!$D$5:$GG$1380,$K858,AH!$U$10+1))),NA()),NA())</f>
        <v/>
      </c>
      <c r="G858" s="34">
        <f>IFERROR(IF(ISNUMBER($A858),IF(AND(AH!$U$12=1,853+1=AH!$U$6),IF(AH!$U$4=0,"unavailable",INDEX('Market Data'!$AK$5:$AK$66,AH!$U$4)),IF(AH!$U$5=1,INDEX('Live History'!$D$5:$D$3004,MATCH($A858,'Live History'!$D$5:$D$3004,1)),INDEX('AH History'!$D$5:$GG$1380,$K858,AH!$U$10+2))),NA()),NA())</f>
        <v/>
      </c>
      <c r="H858" s="266">
        <f>IFERROR(IF(ISNUMBER($A858),IF(AND(AH!$U$12=1,853+1=AH!$U$6),IF(AH!$U$4=0,"unavailable",INDEX('Market Data'!$AP$5:$AP$66,AH!$U$4)),IF(AH!$U$5=1,INDEX('Live History'!$H$5:$H$3004,MATCH($A858,'Live History'!$G$5:$G$3004,1)),INDEX('AH History'!$B$5:$B$1380,$K858))),NA()),NA())</f>
        <v/>
      </c>
      <c r="I858" s="34">
        <f>IFERROR(IF(ISNUMBER($A858),IF(AND(AH!$U$12=1,853+1=AH!$U$6),TODAY(),IF(AH!$U$5=1,INDEX('Live History'!$G$5:$G$3004,MATCH($A858,'Live History'!$G$5:$G$3004,1)),INDEX('AH History'!$C$5:$C$1380,$K858))),NA()),NA())</f>
        <v/>
      </c>
      <c r="J858" s="32">
        <f>IFERROR(IF(AND($F858&gt;0,$H858&gt;0,$A858-$G858&lt;=10,$A858-$I858&lt;=5,$G858&gt;0,$I858&gt;0),$F858*$H858,NA()),NA())</f>
        <v/>
      </c>
      <c r="K858" s="15">
        <f>IF($A858="","",IF(AH!$U$5=1,IFERROR(MATCH($A858,'Live History'!$A$5:$A$3004,0),0),AH!$U$7+853))</f>
        <v/>
      </c>
      <c r="L858" s="15">
        <f>IF(ISNUMBER(A858),TEXT(A858,"dd-mmm-yy"),"")</f>
        <v/>
      </c>
    </row>
    <row r="859">
      <c r="A859" s="14">
        <f>IF(OR(AH!$U$4=0,854+1&gt;AH!$U$6,AND(AH!$M$5="Bloomberg",AH!$U$5=0)),"",IFERROR(IF(AND(AH!$U$12=1,854+1=AH!$U$6),TODAY(),IF(AH!$U$5=1,INDEX('Live History'!$A$5:$A$3004,AH!$U$7+854),INDEX('AH History'!$A$5:$A$1380,AH!$U$7+854))),""))</f>
        <v/>
      </c>
      <c r="B859" s="33">
        <f>IFERROR(IF(AH!$U$11=1,NA(),$J859/$E859-1),NA())</f>
        <v/>
      </c>
      <c r="C859" s="269">
        <f>IFERROR(100*$E859/$E$5,NA())</f>
        <v/>
      </c>
      <c r="D859" s="269">
        <f>IFERROR(100*$J859/$J$5,NA())</f>
        <v/>
      </c>
      <c r="E859" s="32">
        <f>IFERROR(IF(AND(ISNUMBER($A859),N(IF(AND(AH!$U$12=1,854+1=AH!$U$6),IF(AH!$U$4=0,"unavailable",INDEX('Market Data'!$AN$5:$AN$66,AH!$U$4)),IF(AH!$U$5=1,INDEX('Live History'!$B$5:$B$3004,$K859),INDEX('AH History'!$D$5:$GG$1380,$K859,AH!$U$10))))&gt;0),IF(AND(AH!$U$12=1,854+1=AH!$U$6),IF(AH!$U$4=0,"unavailable",INDEX('Market Data'!$AN$5:$AN$66,AH!$U$4)),IF(AH!$U$5=1,INDEX('Live History'!$B$5:$B$3004,$K859),INDEX('AH History'!$D$5:$GG$1380,$K859,AH!$U$10))),NA()),NA())</f>
        <v/>
      </c>
      <c r="F859" s="32">
        <f>IFERROR(IF(ISNUMBER($A859),IF(AND(AH!$U$12=1,854+1=AH!$U$6),IF(AH!$U$4=0,"unavailable",INDEX('Market Data'!$AO$5:$AO$66,AH!$U$4)),IF(AH!$U$5=1,INDEX('Live History'!$E$5:$E$3004,MATCH($A859,'Live History'!$D$5:$D$3004,1)),INDEX('AH History'!$D$5:$GG$1380,$K859,AH!$U$10+1))),NA()),NA())</f>
        <v/>
      </c>
      <c r="G859" s="34">
        <f>IFERROR(IF(ISNUMBER($A859),IF(AND(AH!$U$12=1,854+1=AH!$U$6),IF(AH!$U$4=0,"unavailable",INDEX('Market Data'!$AK$5:$AK$66,AH!$U$4)),IF(AH!$U$5=1,INDEX('Live History'!$D$5:$D$3004,MATCH($A859,'Live History'!$D$5:$D$3004,1)),INDEX('AH History'!$D$5:$GG$1380,$K859,AH!$U$10+2))),NA()),NA())</f>
        <v/>
      </c>
      <c r="H859" s="266">
        <f>IFERROR(IF(ISNUMBER($A859),IF(AND(AH!$U$12=1,854+1=AH!$U$6),IF(AH!$U$4=0,"unavailable",INDEX('Market Data'!$AP$5:$AP$66,AH!$U$4)),IF(AH!$U$5=1,INDEX('Live History'!$H$5:$H$3004,MATCH($A859,'Live History'!$G$5:$G$3004,1)),INDEX('AH History'!$B$5:$B$1380,$K859))),NA()),NA())</f>
        <v/>
      </c>
      <c r="I859" s="34">
        <f>IFERROR(IF(ISNUMBER($A859),IF(AND(AH!$U$12=1,854+1=AH!$U$6),TODAY(),IF(AH!$U$5=1,INDEX('Live History'!$G$5:$G$3004,MATCH($A859,'Live History'!$G$5:$G$3004,1)),INDEX('AH History'!$C$5:$C$1380,$K859))),NA()),NA())</f>
        <v/>
      </c>
      <c r="J859" s="32">
        <f>IFERROR(IF(AND($F859&gt;0,$H859&gt;0,$A859-$G859&lt;=10,$A859-$I859&lt;=5,$G859&gt;0,$I859&gt;0),$F859*$H859,NA()),NA())</f>
        <v/>
      </c>
      <c r="K859" s="15">
        <f>IF($A859="","",IF(AH!$U$5=1,IFERROR(MATCH($A859,'Live History'!$A$5:$A$3004,0),0),AH!$U$7+854))</f>
        <v/>
      </c>
      <c r="L859" s="15">
        <f>IF(ISNUMBER(A859),TEXT(A859,"dd-mmm-yy"),"")</f>
        <v/>
      </c>
    </row>
    <row r="860">
      <c r="A860" s="14">
        <f>IF(OR(AH!$U$4=0,855+1&gt;AH!$U$6,AND(AH!$M$5="Bloomberg",AH!$U$5=0)),"",IFERROR(IF(AND(AH!$U$12=1,855+1=AH!$U$6),TODAY(),IF(AH!$U$5=1,INDEX('Live History'!$A$5:$A$3004,AH!$U$7+855),INDEX('AH History'!$A$5:$A$1380,AH!$U$7+855))),""))</f>
        <v/>
      </c>
      <c r="B860" s="33">
        <f>IFERROR(IF(AH!$U$11=1,NA(),$J860/$E860-1),NA())</f>
        <v/>
      </c>
      <c r="C860" s="269">
        <f>IFERROR(100*$E860/$E$5,NA())</f>
        <v/>
      </c>
      <c r="D860" s="269">
        <f>IFERROR(100*$J860/$J$5,NA())</f>
        <v/>
      </c>
      <c r="E860" s="32">
        <f>IFERROR(IF(AND(ISNUMBER($A860),N(IF(AND(AH!$U$12=1,855+1=AH!$U$6),IF(AH!$U$4=0,"unavailable",INDEX('Market Data'!$AN$5:$AN$66,AH!$U$4)),IF(AH!$U$5=1,INDEX('Live History'!$B$5:$B$3004,$K860),INDEX('AH History'!$D$5:$GG$1380,$K860,AH!$U$10))))&gt;0),IF(AND(AH!$U$12=1,855+1=AH!$U$6),IF(AH!$U$4=0,"unavailable",INDEX('Market Data'!$AN$5:$AN$66,AH!$U$4)),IF(AH!$U$5=1,INDEX('Live History'!$B$5:$B$3004,$K860),INDEX('AH History'!$D$5:$GG$1380,$K860,AH!$U$10))),NA()),NA())</f>
        <v/>
      </c>
      <c r="F860" s="32">
        <f>IFERROR(IF(ISNUMBER($A860),IF(AND(AH!$U$12=1,855+1=AH!$U$6),IF(AH!$U$4=0,"unavailable",INDEX('Market Data'!$AO$5:$AO$66,AH!$U$4)),IF(AH!$U$5=1,INDEX('Live History'!$E$5:$E$3004,MATCH($A860,'Live History'!$D$5:$D$3004,1)),INDEX('AH History'!$D$5:$GG$1380,$K860,AH!$U$10+1))),NA()),NA())</f>
        <v/>
      </c>
      <c r="G860" s="34">
        <f>IFERROR(IF(ISNUMBER($A860),IF(AND(AH!$U$12=1,855+1=AH!$U$6),IF(AH!$U$4=0,"unavailable",INDEX('Market Data'!$AK$5:$AK$66,AH!$U$4)),IF(AH!$U$5=1,INDEX('Live History'!$D$5:$D$3004,MATCH($A860,'Live History'!$D$5:$D$3004,1)),INDEX('AH History'!$D$5:$GG$1380,$K860,AH!$U$10+2))),NA()),NA())</f>
        <v/>
      </c>
      <c r="H860" s="266">
        <f>IFERROR(IF(ISNUMBER($A860),IF(AND(AH!$U$12=1,855+1=AH!$U$6),IF(AH!$U$4=0,"unavailable",INDEX('Market Data'!$AP$5:$AP$66,AH!$U$4)),IF(AH!$U$5=1,INDEX('Live History'!$H$5:$H$3004,MATCH($A860,'Live History'!$G$5:$G$3004,1)),INDEX('AH History'!$B$5:$B$1380,$K860))),NA()),NA())</f>
        <v/>
      </c>
      <c r="I860" s="34">
        <f>IFERROR(IF(ISNUMBER($A860),IF(AND(AH!$U$12=1,855+1=AH!$U$6),TODAY(),IF(AH!$U$5=1,INDEX('Live History'!$G$5:$G$3004,MATCH($A860,'Live History'!$G$5:$G$3004,1)),INDEX('AH History'!$C$5:$C$1380,$K860))),NA()),NA())</f>
        <v/>
      </c>
      <c r="J860" s="32">
        <f>IFERROR(IF(AND($F860&gt;0,$H860&gt;0,$A860-$G860&lt;=10,$A860-$I860&lt;=5,$G860&gt;0,$I860&gt;0),$F860*$H860,NA()),NA())</f>
        <v/>
      </c>
      <c r="K860" s="15">
        <f>IF($A860="","",IF(AH!$U$5=1,IFERROR(MATCH($A860,'Live History'!$A$5:$A$3004,0),0),AH!$U$7+855))</f>
        <v/>
      </c>
      <c r="L860" s="15">
        <f>IF(ISNUMBER(A860),TEXT(A860,"dd-mmm-yy"),"")</f>
        <v/>
      </c>
    </row>
    <row r="861">
      <c r="A861" s="14">
        <f>IF(OR(AH!$U$4=0,856+1&gt;AH!$U$6,AND(AH!$M$5="Bloomberg",AH!$U$5=0)),"",IFERROR(IF(AND(AH!$U$12=1,856+1=AH!$U$6),TODAY(),IF(AH!$U$5=1,INDEX('Live History'!$A$5:$A$3004,AH!$U$7+856),INDEX('AH History'!$A$5:$A$1380,AH!$U$7+856))),""))</f>
        <v/>
      </c>
      <c r="B861" s="33">
        <f>IFERROR(IF(AH!$U$11=1,NA(),$J861/$E861-1),NA())</f>
        <v/>
      </c>
      <c r="C861" s="269">
        <f>IFERROR(100*$E861/$E$5,NA())</f>
        <v/>
      </c>
      <c r="D861" s="269">
        <f>IFERROR(100*$J861/$J$5,NA())</f>
        <v/>
      </c>
      <c r="E861" s="32">
        <f>IFERROR(IF(AND(ISNUMBER($A861),N(IF(AND(AH!$U$12=1,856+1=AH!$U$6),IF(AH!$U$4=0,"unavailable",INDEX('Market Data'!$AN$5:$AN$66,AH!$U$4)),IF(AH!$U$5=1,INDEX('Live History'!$B$5:$B$3004,$K861),INDEX('AH History'!$D$5:$GG$1380,$K861,AH!$U$10))))&gt;0),IF(AND(AH!$U$12=1,856+1=AH!$U$6),IF(AH!$U$4=0,"unavailable",INDEX('Market Data'!$AN$5:$AN$66,AH!$U$4)),IF(AH!$U$5=1,INDEX('Live History'!$B$5:$B$3004,$K861),INDEX('AH History'!$D$5:$GG$1380,$K861,AH!$U$10))),NA()),NA())</f>
        <v/>
      </c>
      <c r="F861" s="32">
        <f>IFERROR(IF(ISNUMBER($A861),IF(AND(AH!$U$12=1,856+1=AH!$U$6),IF(AH!$U$4=0,"unavailable",INDEX('Market Data'!$AO$5:$AO$66,AH!$U$4)),IF(AH!$U$5=1,INDEX('Live History'!$E$5:$E$3004,MATCH($A861,'Live History'!$D$5:$D$3004,1)),INDEX('AH History'!$D$5:$GG$1380,$K861,AH!$U$10+1))),NA()),NA())</f>
        <v/>
      </c>
      <c r="G861" s="34">
        <f>IFERROR(IF(ISNUMBER($A861),IF(AND(AH!$U$12=1,856+1=AH!$U$6),IF(AH!$U$4=0,"unavailable",INDEX('Market Data'!$AK$5:$AK$66,AH!$U$4)),IF(AH!$U$5=1,INDEX('Live History'!$D$5:$D$3004,MATCH($A861,'Live History'!$D$5:$D$3004,1)),INDEX('AH History'!$D$5:$GG$1380,$K861,AH!$U$10+2))),NA()),NA())</f>
        <v/>
      </c>
      <c r="H861" s="266">
        <f>IFERROR(IF(ISNUMBER($A861),IF(AND(AH!$U$12=1,856+1=AH!$U$6),IF(AH!$U$4=0,"unavailable",INDEX('Market Data'!$AP$5:$AP$66,AH!$U$4)),IF(AH!$U$5=1,INDEX('Live History'!$H$5:$H$3004,MATCH($A861,'Live History'!$G$5:$G$3004,1)),INDEX('AH History'!$B$5:$B$1380,$K861))),NA()),NA())</f>
        <v/>
      </c>
      <c r="I861" s="34">
        <f>IFERROR(IF(ISNUMBER($A861),IF(AND(AH!$U$12=1,856+1=AH!$U$6),TODAY(),IF(AH!$U$5=1,INDEX('Live History'!$G$5:$G$3004,MATCH($A861,'Live History'!$G$5:$G$3004,1)),INDEX('AH History'!$C$5:$C$1380,$K861))),NA()),NA())</f>
        <v/>
      </c>
      <c r="J861" s="32">
        <f>IFERROR(IF(AND($F861&gt;0,$H861&gt;0,$A861-$G861&lt;=10,$A861-$I861&lt;=5,$G861&gt;0,$I861&gt;0),$F861*$H861,NA()),NA())</f>
        <v/>
      </c>
      <c r="K861" s="15">
        <f>IF($A861="","",IF(AH!$U$5=1,IFERROR(MATCH($A861,'Live History'!$A$5:$A$3004,0),0),AH!$U$7+856))</f>
        <v/>
      </c>
      <c r="L861" s="15">
        <f>IF(ISNUMBER(A861),TEXT(A861,"dd-mmm-yy"),"")</f>
        <v/>
      </c>
    </row>
    <row r="862">
      <c r="A862" s="14">
        <f>IF(OR(AH!$U$4=0,857+1&gt;AH!$U$6,AND(AH!$M$5="Bloomberg",AH!$U$5=0)),"",IFERROR(IF(AND(AH!$U$12=1,857+1=AH!$U$6),TODAY(),IF(AH!$U$5=1,INDEX('Live History'!$A$5:$A$3004,AH!$U$7+857),INDEX('AH History'!$A$5:$A$1380,AH!$U$7+857))),""))</f>
        <v/>
      </c>
      <c r="B862" s="33">
        <f>IFERROR(IF(AH!$U$11=1,NA(),$J862/$E862-1),NA())</f>
        <v/>
      </c>
      <c r="C862" s="269">
        <f>IFERROR(100*$E862/$E$5,NA())</f>
        <v/>
      </c>
      <c r="D862" s="269">
        <f>IFERROR(100*$J862/$J$5,NA())</f>
        <v/>
      </c>
      <c r="E862" s="32">
        <f>IFERROR(IF(AND(ISNUMBER($A862),N(IF(AND(AH!$U$12=1,857+1=AH!$U$6),IF(AH!$U$4=0,"unavailable",INDEX('Market Data'!$AN$5:$AN$66,AH!$U$4)),IF(AH!$U$5=1,INDEX('Live History'!$B$5:$B$3004,$K862),INDEX('AH History'!$D$5:$GG$1380,$K862,AH!$U$10))))&gt;0),IF(AND(AH!$U$12=1,857+1=AH!$U$6),IF(AH!$U$4=0,"unavailable",INDEX('Market Data'!$AN$5:$AN$66,AH!$U$4)),IF(AH!$U$5=1,INDEX('Live History'!$B$5:$B$3004,$K862),INDEX('AH History'!$D$5:$GG$1380,$K862,AH!$U$10))),NA()),NA())</f>
        <v/>
      </c>
      <c r="F862" s="32">
        <f>IFERROR(IF(ISNUMBER($A862),IF(AND(AH!$U$12=1,857+1=AH!$U$6),IF(AH!$U$4=0,"unavailable",INDEX('Market Data'!$AO$5:$AO$66,AH!$U$4)),IF(AH!$U$5=1,INDEX('Live History'!$E$5:$E$3004,MATCH($A862,'Live History'!$D$5:$D$3004,1)),INDEX('AH History'!$D$5:$GG$1380,$K862,AH!$U$10+1))),NA()),NA())</f>
        <v/>
      </c>
      <c r="G862" s="34">
        <f>IFERROR(IF(ISNUMBER($A862),IF(AND(AH!$U$12=1,857+1=AH!$U$6),IF(AH!$U$4=0,"unavailable",INDEX('Market Data'!$AK$5:$AK$66,AH!$U$4)),IF(AH!$U$5=1,INDEX('Live History'!$D$5:$D$3004,MATCH($A862,'Live History'!$D$5:$D$3004,1)),INDEX('AH History'!$D$5:$GG$1380,$K862,AH!$U$10+2))),NA()),NA())</f>
        <v/>
      </c>
      <c r="H862" s="266">
        <f>IFERROR(IF(ISNUMBER($A862),IF(AND(AH!$U$12=1,857+1=AH!$U$6),IF(AH!$U$4=0,"unavailable",INDEX('Market Data'!$AP$5:$AP$66,AH!$U$4)),IF(AH!$U$5=1,INDEX('Live History'!$H$5:$H$3004,MATCH($A862,'Live History'!$G$5:$G$3004,1)),INDEX('AH History'!$B$5:$B$1380,$K862))),NA()),NA())</f>
        <v/>
      </c>
      <c r="I862" s="34">
        <f>IFERROR(IF(ISNUMBER($A862),IF(AND(AH!$U$12=1,857+1=AH!$U$6),TODAY(),IF(AH!$U$5=1,INDEX('Live History'!$G$5:$G$3004,MATCH($A862,'Live History'!$G$5:$G$3004,1)),INDEX('AH History'!$C$5:$C$1380,$K862))),NA()),NA())</f>
        <v/>
      </c>
      <c r="J862" s="32">
        <f>IFERROR(IF(AND($F862&gt;0,$H862&gt;0,$A862-$G862&lt;=10,$A862-$I862&lt;=5,$G862&gt;0,$I862&gt;0),$F862*$H862,NA()),NA())</f>
        <v/>
      </c>
      <c r="K862" s="15">
        <f>IF($A862="","",IF(AH!$U$5=1,IFERROR(MATCH($A862,'Live History'!$A$5:$A$3004,0),0),AH!$U$7+857))</f>
        <v/>
      </c>
      <c r="L862" s="15">
        <f>IF(ISNUMBER(A862),TEXT(A862,"dd-mmm-yy"),"")</f>
        <v/>
      </c>
    </row>
    <row r="863">
      <c r="A863" s="14">
        <f>IF(OR(AH!$U$4=0,858+1&gt;AH!$U$6,AND(AH!$M$5="Bloomberg",AH!$U$5=0)),"",IFERROR(IF(AND(AH!$U$12=1,858+1=AH!$U$6),TODAY(),IF(AH!$U$5=1,INDEX('Live History'!$A$5:$A$3004,AH!$U$7+858),INDEX('AH History'!$A$5:$A$1380,AH!$U$7+858))),""))</f>
        <v/>
      </c>
      <c r="B863" s="33">
        <f>IFERROR(IF(AH!$U$11=1,NA(),$J863/$E863-1),NA())</f>
        <v/>
      </c>
      <c r="C863" s="269">
        <f>IFERROR(100*$E863/$E$5,NA())</f>
        <v/>
      </c>
      <c r="D863" s="269">
        <f>IFERROR(100*$J863/$J$5,NA())</f>
        <v/>
      </c>
      <c r="E863" s="32">
        <f>IFERROR(IF(AND(ISNUMBER($A863),N(IF(AND(AH!$U$12=1,858+1=AH!$U$6),IF(AH!$U$4=0,"unavailable",INDEX('Market Data'!$AN$5:$AN$66,AH!$U$4)),IF(AH!$U$5=1,INDEX('Live History'!$B$5:$B$3004,$K863),INDEX('AH History'!$D$5:$GG$1380,$K863,AH!$U$10))))&gt;0),IF(AND(AH!$U$12=1,858+1=AH!$U$6),IF(AH!$U$4=0,"unavailable",INDEX('Market Data'!$AN$5:$AN$66,AH!$U$4)),IF(AH!$U$5=1,INDEX('Live History'!$B$5:$B$3004,$K863),INDEX('AH History'!$D$5:$GG$1380,$K863,AH!$U$10))),NA()),NA())</f>
        <v/>
      </c>
      <c r="F863" s="32">
        <f>IFERROR(IF(ISNUMBER($A863),IF(AND(AH!$U$12=1,858+1=AH!$U$6),IF(AH!$U$4=0,"unavailable",INDEX('Market Data'!$AO$5:$AO$66,AH!$U$4)),IF(AH!$U$5=1,INDEX('Live History'!$E$5:$E$3004,MATCH($A863,'Live History'!$D$5:$D$3004,1)),INDEX('AH History'!$D$5:$GG$1380,$K863,AH!$U$10+1))),NA()),NA())</f>
        <v/>
      </c>
      <c r="G863" s="34">
        <f>IFERROR(IF(ISNUMBER($A863),IF(AND(AH!$U$12=1,858+1=AH!$U$6),IF(AH!$U$4=0,"unavailable",INDEX('Market Data'!$AK$5:$AK$66,AH!$U$4)),IF(AH!$U$5=1,INDEX('Live History'!$D$5:$D$3004,MATCH($A863,'Live History'!$D$5:$D$3004,1)),INDEX('AH History'!$D$5:$GG$1380,$K863,AH!$U$10+2))),NA()),NA())</f>
        <v/>
      </c>
      <c r="H863" s="266">
        <f>IFERROR(IF(ISNUMBER($A863),IF(AND(AH!$U$12=1,858+1=AH!$U$6),IF(AH!$U$4=0,"unavailable",INDEX('Market Data'!$AP$5:$AP$66,AH!$U$4)),IF(AH!$U$5=1,INDEX('Live History'!$H$5:$H$3004,MATCH($A863,'Live History'!$G$5:$G$3004,1)),INDEX('AH History'!$B$5:$B$1380,$K863))),NA()),NA())</f>
        <v/>
      </c>
      <c r="I863" s="34">
        <f>IFERROR(IF(ISNUMBER($A863),IF(AND(AH!$U$12=1,858+1=AH!$U$6),TODAY(),IF(AH!$U$5=1,INDEX('Live History'!$G$5:$G$3004,MATCH($A863,'Live History'!$G$5:$G$3004,1)),INDEX('AH History'!$C$5:$C$1380,$K863))),NA()),NA())</f>
        <v/>
      </c>
      <c r="J863" s="32">
        <f>IFERROR(IF(AND($F863&gt;0,$H863&gt;0,$A863-$G863&lt;=10,$A863-$I863&lt;=5,$G863&gt;0,$I863&gt;0),$F863*$H863,NA()),NA())</f>
        <v/>
      </c>
      <c r="K863" s="15">
        <f>IF($A863="","",IF(AH!$U$5=1,IFERROR(MATCH($A863,'Live History'!$A$5:$A$3004,0),0),AH!$U$7+858))</f>
        <v/>
      </c>
      <c r="L863" s="15">
        <f>IF(ISNUMBER(A863),TEXT(A863,"dd-mmm-yy"),"")</f>
        <v/>
      </c>
    </row>
    <row r="864">
      <c r="A864" s="14">
        <f>IF(OR(AH!$U$4=0,859+1&gt;AH!$U$6,AND(AH!$M$5="Bloomberg",AH!$U$5=0)),"",IFERROR(IF(AND(AH!$U$12=1,859+1=AH!$U$6),TODAY(),IF(AH!$U$5=1,INDEX('Live History'!$A$5:$A$3004,AH!$U$7+859),INDEX('AH History'!$A$5:$A$1380,AH!$U$7+859))),""))</f>
        <v/>
      </c>
      <c r="B864" s="33">
        <f>IFERROR(IF(AH!$U$11=1,NA(),$J864/$E864-1),NA())</f>
        <v/>
      </c>
      <c r="C864" s="269">
        <f>IFERROR(100*$E864/$E$5,NA())</f>
        <v/>
      </c>
      <c r="D864" s="269">
        <f>IFERROR(100*$J864/$J$5,NA())</f>
        <v/>
      </c>
      <c r="E864" s="32">
        <f>IFERROR(IF(AND(ISNUMBER($A864),N(IF(AND(AH!$U$12=1,859+1=AH!$U$6),IF(AH!$U$4=0,"unavailable",INDEX('Market Data'!$AN$5:$AN$66,AH!$U$4)),IF(AH!$U$5=1,INDEX('Live History'!$B$5:$B$3004,$K864),INDEX('AH History'!$D$5:$GG$1380,$K864,AH!$U$10))))&gt;0),IF(AND(AH!$U$12=1,859+1=AH!$U$6),IF(AH!$U$4=0,"unavailable",INDEX('Market Data'!$AN$5:$AN$66,AH!$U$4)),IF(AH!$U$5=1,INDEX('Live History'!$B$5:$B$3004,$K864),INDEX('AH History'!$D$5:$GG$1380,$K864,AH!$U$10))),NA()),NA())</f>
        <v/>
      </c>
      <c r="F864" s="32">
        <f>IFERROR(IF(ISNUMBER($A864),IF(AND(AH!$U$12=1,859+1=AH!$U$6),IF(AH!$U$4=0,"unavailable",INDEX('Market Data'!$AO$5:$AO$66,AH!$U$4)),IF(AH!$U$5=1,INDEX('Live History'!$E$5:$E$3004,MATCH($A864,'Live History'!$D$5:$D$3004,1)),INDEX('AH History'!$D$5:$GG$1380,$K864,AH!$U$10+1))),NA()),NA())</f>
        <v/>
      </c>
      <c r="G864" s="34">
        <f>IFERROR(IF(ISNUMBER($A864),IF(AND(AH!$U$12=1,859+1=AH!$U$6),IF(AH!$U$4=0,"unavailable",INDEX('Market Data'!$AK$5:$AK$66,AH!$U$4)),IF(AH!$U$5=1,INDEX('Live History'!$D$5:$D$3004,MATCH($A864,'Live History'!$D$5:$D$3004,1)),INDEX('AH History'!$D$5:$GG$1380,$K864,AH!$U$10+2))),NA()),NA())</f>
        <v/>
      </c>
      <c r="H864" s="266">
        <f>IFERROR(IF(ISNUMBER($A864),IF(AND(AH!$U$12=1,859+1=AH!$U$6),IF(AH!$U$4=0,"unavailable",INDEX('Market Data'!$AP$5:$AP$66,AH!$U$4)),IF(AH!$U$5=1,INDEX('Live History'!$H$5:$H$3004,MATCH($A864,'Live History'!$G$5:$G$3004,1)),INDEX('AH History'!$B$5:$B$1380,$K864))),NA()),NA())</f>
        <v/>
      </c>
      <c r="I864" s="34">
        <f>IFERROR(IF(ISNUMBER($A864),IF(AND(AH!$U$12=1,859+1=AH!$U$6),TODAY(),IF(AH!$U$5=1,INDEX('Live History'!$G$5:$G$3004,MATCH($A864,'Live History'!$G$5:$G$3004,1)),INDEX('AH History'!$C$5:$C$1380,$K864))),NA()),NA())</f>
        <v/>
      </c>
      <c r="J864" s="32">
        <f>IFERROR(IF(AND($F864&gt;0,$H864&gt;0,$A864-$G864&lt;=10,$A864-$I864&lt;=5,$G864&gt;0,$I864&gt;0),$F864*$H864,NA()),NA())</f>
        <v/>
      </c>
      <c r="K864" s="15">
        <f>IF($A864="","",IF(AH!$U$5=1,IFERROR(MATCH($A864,'Live History'!$A$5:$A$3004,0),0),AH!$U$7+859))</f>
        <v/>
      </c>
      <c r="L864" s="15">
        <f>IF(ISNUMBER(A864),TEXT(A864,"dd-mmm-yy"),"")</f>
        <v/>
      </c>
    </row>
    <row r="865">
      <c r="A865" s="14">
        <f>IF(OR(AH!$U$4=0,860+1&gt;AH!$U$6,AND(AH!$M$5="Bloomberg",AH!$U$5=0)),"",IFERROR(IF(AND(AH!$U$12=1,860+1=AH!$U$6),TODAY(),IF(AH!$U$5=1,INDEX('Live History'!$A$5:$A$3004,AH!$U$7+860),INDEX('AH History'!$A$5:$A$1380,AH!$U$7+860))),""))</f>
        <v/>
      </c>
      <c r="B865" s="33">
        <f>IFERROR(IF(AH!$U$11=1,NA(),$J865/$E865-1),NA())</f>
        <v/>
      </c>
      <c r="C865" s="269">
        <f>IFERROR(100*$E865/$E$5,NA())</f>
        <v/>
      </c>
      <c r="D865" s="269">
        <f>IFERROR(100*$J865/$J$5,NA())</f>
        <v/>
      </c>
      <c r="E865" s="32">
        <f>IFERROR(IF(AND(ISNUMBER($A865),N(IF(AND(AH!$U$12=1,860+1=AH!$U$6),IF(AH!$U$4=0,"unavailable",INDEX('Market Data'!$AN$5:$AN$66,AH!$U$4)),IF(AH!$U$5=1,INDEX('Live History'!$B$5:$B$3004,$K865),INDEX('AH History'!$D$5:$GG$1380,$K865,AH!$U$10))))&gt;0),IF(AND(AH!$U$12=1,860+1=AH!$U$6),IF(AH!$U$4=0,"unavailable",INDEX('Market Data'!$AN$5:$AN$66,AH!$U$4)),IF(AH!$U$5=1,INDEX('Live History'!$B$5:$B$3004,$K865),INDEX('AH History'!$D$5:$GG$1380,$K865,AH!$U$10))),NA()),NA())</f>
        <v/>
      </c>
      <c r="F865" s="32">
        <f>IFERROR(IF(ISNUMBER($A865),IF(AND(AH!$U$12=1,860+1=AH!$U$6),IF(AH!$U$4=0,"unavailable",INDEX('Market Data'!$AO$5:$AO$66,AH!$U$4)),IF(AH!$U$5=1,INDEX('Live History'!$E$5:$E$3004,MATCH($A865,'Live History'!$D$5:$D$3004,1)),INDEX('AH History'!$D$5:$GG$1380,$K865,AH!$U$10+1))),NA()),NA())</f>
        <v/>
      </c>
      <c r="G865" s="34">
        <f>IFERROR(IF(ISNUMBER($A865),IF(AND(AH!$U$12=1,860+1=AH!$U$6),IF(AH!$U$4=0,"unavailable",INDEX('Market Data'!$AK$5:$AK$66,AH!$U$4)),IF(AH!$U$5=1,INDEX('Live History'!$D$5:$D$3004,MATCH($A865,'Live History'!$D$5:$D$3004,1)),INDEX('AH History'!$D$5:$GG$1380,$K865,AH!$U$10+2))),NA()),NA())</f>
        <v/>
      </c>
      <c r="H865" s="266">
        <f>IFERROR(IF(ISNUMBER($A865),IF(AND(AH!$U$12=1,860+1=AH!$U$6),IF(AH!$U$4=0,"unavailable",INDEX('Market Data'!$AP$5:$AP$66,AH!$U$4)),IF(AH!$U$5=1,INDEX('Live History'!$H$5:$H$3004,MATCH($A865,'Live History'!$G$5:$G$3004,1)),INDEX('AH History'!$B$5:$B$1380,$K865))),NA()),NA())</f>
        <v/>
      </c>
      <c r="I865" s="34">
        <f>IFERROR(IF(ISNUMBER($A865),IF(AND(AH!$U$12=1,860+1=AH!$U$6),TODAY(),IF(AH!$U$5=1,INDEX('Live History'!$G$5:$G$3004,MATCH($A865,'Live History'!$G$5:$G$3004,1)),INDEX('AH History'!$C$5:$C$1380,$K865))),NA()),NA())</f>
        <v/>
      </c>
      <c r="J865" s="32">
        <f>IFERROR(IF(AND($F865&gt;0,$H865&gt;0,$A865-$G865&lt;=10,$A865-$I865&lt;=5,$G865&gt;0,$I865&gt;0),$F865*$H865,NA()),NA())</f>
        <v/>
      </c>
      <c r="K865" s="15">
        <f>IF($A865="","",IF(AH!$U$5=1,IFERROR(MATCH($A865,'Live History'!$A$5:$A$3004,0),0),AH!$U$7+860))</f>
        <v/>
      </c>
      <c r="L865" s="15">
        <f>IF(ISNUMBER(A865),TEXT(A865,"dd-mmm-yy"),"")</f>
        <v/>
      </c>
    </row>
    <row r="866">
      <c r="A866" s="14">
        <f>IF(OR(AH!$U$4=0,861+1&gt;AH!$U$6,AND(AH!$M$5="Bloomberg",AH!$U$5=0)),"",IFERROR(IF(AND(AH!$U$12=1,861+1=AH!$U$6),TODAY(),IF(AH!$U$5=1,INDEX('Live History'!$A$5:$A$3004,AH!$U$7+861),INDEX('AH History'!$A$5:$A$1380,AH!$U$7+861))),""))</f>
        <v/>
      </c>
      <c r="B866" s="33">
        <f>IFERROR(IF(AH!$U$11=1,NA(),$J866/$E866-1),NA())</f>
        <v/>
      </c>
      <c r="C866" s="269">
        <f>IFERROR(100*$E866/$E$5,NA())</f>
        <v/>
      </c>
      <c r="D866" s="269">
        <f>IFERROR(100*$J866/$J$5,NA())</f>
        <v/>
      </c>
      <c r="E866" s="32">
        <f>IFERROR(IF(AND(ISNUMBER($A866),N(IF(AND(AH!$U$12=1,861+1=AH!$U$6),IF(AH!$U$4=0,"unavailable",INDEX('Market Data'!$AN$5:$AN$66,AH!$U$4)),IF(AH!$U$5=1,INDEX('Live History'!$B$5:$B$3004,$K866),INDEX('AH History'!$D$5:$GG$1380,$K866,AH!$U$10))))&gt;0),IF(AND(AH!$U$12=1,861+1=AH!$U$6),IF(AH!$U$4=0,"unavailable",INDEX('Market Data'!$AN$5:$AN$66,AH!$U$4)),IF(AH!$U$5=1,INDEX('Live History'!$B$5:$B$3004,$K866),INDEX('AH History'!$D$5:$GG$1380,$K866,AH!$U$10))),NA()),NA())</f>
        <v/>
      </c>
      <c r="F866" s="32">
        <f>IFERROR(IF(ISNUMBER($A866),IF(AND(AH!$U$12=1,861+1=AH!$U$6),IF(AH!$U$4=0,"unavailable",INDEX('Market Data'!$AO$5:$AO$66,AH!$U$4)),IF(AH!$U$5=1,INDEX('Live History'!$E$5:$E$3004,MATCH($A866,'Live History'!$D$5:$D$3004,1)),INDEX('AH History'!$D$5:$GG$1380,$K866,AH!$U$10+1))),NA()),NA())</f>
        <v/>
      </c>
      <c r="G866" s="34">
        <f>IFERROR(IF(ISNUMBER($A866),IF(AND(AH!$U$12=1,861+1=AH!$U$6),IF(AH!$U$4=0,"unavailable",INDEX('Market Data'!$AK$5:$AK$66,AH!$U$4)),IF(AH!$U$5=1,INDEX('Live History'!$D$5:$D$3004,MATCH($A866,'Live History'!$D$5:$D$3004,1)),INDEX('AH History'!$D$5:$GG$1380,$K866,AH!$U$10+2))),NA()),NA())</f>
        <v/>
      </c>
      <c r="H866" s="266">
        <f>IFERROR(IF(ISNUMBER($A866),IF(AND(AH!$U$12=1,861+1=AH!$U$6),IF(AH!$U$4=0,"unavailable",INDEX('Market Data'!$AP$5:$AP$66,AH!$U$4)),IF(AH!$U$5=1,INDEX('Live History'!$H$5:$H$3004,MATCH($A866,'Live History'!$G$5:$G$3004,1)),INDEX('AH History'!$B$5:$B$1380,$K866))),NA()),NA())</f>
        <v/>
      </c>
      <c r="I866" s="34">
        <f>IFERROR(IF(ISNUMBER($A866),IF(AND(AH!$U$12=1,861+1=AH!$U$6),TODAY(),IF(AH!$U$5=1,INDEX('Live History'!$G$5:$G$3004,MATCH($A866,'Live History'!$G$5:$G$3004,1)),INDEX('AH History'!$C$5:$C$1380,$K866))),NA()),NA())</f>
        <v/>
      </c>
      <c r="J866" s="32">
        <f>IFERROR(IF(AND($F866&gt;0,$H866&gt;0,$A866-$G866&lt;=10,$A866-$I866&lt;=5,$G866&gt;0,$I866&gt;0),$F866*$H866,NA()),NA())</f>
        <v/>
      </c>
      <c r="K866" s="15">
        <f>IF($A866="","",IF(AH!$U$5=1,IFERROR(MATCH($A866,'Live History'!$A$5:$A$3004,0),0),AH!$U$7+861))</f>
        <v/>
      </c>
      <c r="L866" s="15">
        <f>IF(ISNUMBER(A866),TEXT(A866,"dd-mmm-yy"),"")</f>
        <v/>
      </c>
    </row>
    <row r="867">
      <c r="A867" s="14">
        <f>IF(OR(AH!$U$4=0,862+1&gt;AH!$U$6,AND(AH!$M$5="Bloomberg",AH!$U$5=0)),"",IFERROR(IF(AND(AH!$U$12=1,862+1=AH!$U$6),TODAY(),IF(AH!$U$5=1,INDEX('Live History'!$A$5:$A$3004,AH!$U$7+862),INDEX('AH History'!$A$5:$A$1380,AH!$U$7+862))),""))</f>
        <v/>
      </c>
      <c r="B867" s="33">
        <f>IFERROR(IF(AH!$U$11=1,NA(),$J867/$E867-1),NA())</f>
        <v/>
      </c>
      <c r="C867" s="269">
        <f>IFERROR(100*$E867/$E$5,NA())</f>
        <v/>
      </c>
      <c r="D867" s="269">
        <f>IFERROR(100*$J867/$J$5,NA())</f>
        <v/>
      </c>
      <c r="E867" s="32">
        <f>IFERROR(IF(AND(ISNUMBER($A867),N(IF(AND(AH!$U$12=1,862+1=AH!$U$6),IF(AH!$U$4=0,"unavailable",INDEX('Market Data'!$AN$5:$AN$66,AH!$U$4)),IF(AH!$U$5=1,INDEX('Live History'!$B$5:$B$3004,$K867),INDEX('AH History'!$D$5:$GG$1380,$K867,AH!$U$10))))&gt;0),IF(AND(AH!$U$12=1,862+1=AH!$U$6),IF(AH!$U$4=0,"unavailable",INDEX('Market Data'!$AN$5:$AN$66,AH!$U$4)),IF(AH!$U$5=1,INDEX('Live History'!$B$5:$B$3004,$K867),INDEX('AH History'!$D$5:$GG$1380,$K867,AH!$U$10))),NA()),NA())</f>
        <v/>
      </c>
      <c r="F867" s="32">
        <f>IFERROR(IF(ISNUMBER($A867),IF(AND(AH!$U$12=1,862+1=AH!$U$6),IF(AH!$U$4=0,"unavailable",INDEX('Market Data'!$AO$5:$AO$66,AH!$U$4)),IF(AH!$U$5=1,INDEX('Live History'!$E$5:$E$3004,MATCH($A867,'Live History'!$D$5:$D$3004,1)),INDEX('AH History'!$D$5:$GG$1380,$K867,AH!$U$10+1))),NA()),NA())</f>
        <v/>
      </c>
      <c r="G867" s="34">
        <f>IFERROR(IF(ISNUMBER($A867),IF(AND(AH!$U$12=1,862+1=AH!$U$6),IF(AH!$U$4=0,"unavailable",INDEX('Market Data'!$AK$5:$AK$66,AH!$U$4)),IF(AH!$U$5=1,INDEX('Live History'!$D$5:$D$3004,MATCH($A867,'Live History'!$D$5:$D$3004,1)),INDEX('AH History'!$D$5:$GG$1380,$K867,AH!$U$10+2))),NA()),NA())</f>
        <v/>
      </c>
      <c r="H867" s="266">
        <f>IFERROR(IF(ISNUMBER($A867),IF(AND(AH!$U$12=1,862+1=AH!$U$6),IF(AH!$U$4=0,"unavailable",INDEX('Market Data'!$AP$5:$AP$66,AH!$U$4)),IF(AH!$U$5=1,INDEX('Live History'!$H$5:$H$3004,MATCH($A867,'Live History'!$G$5:$G$3004,1)),INDEX('AH History'!$B$5:$B$1380,$K867))),NA()),NA())</f>
        <v/>
      </c>
      <c r="I867" s="34">
        <f>IFERROR(IF(ISNUMBER($A867),IF(AND(AH!$U$12=1,862+1=AH!$U$6),TODAY(),IF(AH!$U$5=1,INDEX('Live History'!$G$5:$G$3004,MATCH($A867,'Live History'!$G$5:$G$3004,1)),INDEX('AH History'!$C$5:$C$1380,$K867))),NA()),NA())</f>
        <v/>
      </c>
      <c r="J867" s="32">
        <f>IFERROR(IF(AND($F867&gt;0,$H867&gt;0,$A867-$G867&lt;=10,$A867-$I867&lt;=5,$G867&gt;0,$I867&gt;0),$F867*$H867,NA()),NA())</f>
        <v/>
      </c>
      <c r="K867" s="15">
        <f>IF($A867="","",IF(AH!$U$5=1,IFERROR(MATCH($A867,'Live History'!$A$5:$A$3004,0),0),AH!$U$7+862))</f>
        <v/>
      </c>
      <c r="L867" s="15">
        <f>IF(ISNUMBER(A867),TEXT(A867,"dd-mmm-yy"),"")</f>
        <v/>
      </c>
    </row>
    <row r="868">
      <c r="A868" s="14">
        <f>IF(OR(AH!$U$4=0,863+1&gt;AH!$U$6,AND(AH!$M$5="Bloomberg",AH!$U$5=0)),"",IFERROR(IF(AND(AH!$U$12=1,863+1=AH!$U$6),TODAY(),IF(AH!$U$5=1,INDEX('Live History'!$A$5:$A$3004,AH!$U$7+863),INDEX('AH History'!$A$5:$A$1380,AH!$U$7+863))),""))</f>
        <v/>
      </c>
      <c r="B868" s="33">
        <f>IFERROR(IF(AH!$U$11=1,NA(),$J868/$E868-1),NA())</f>
        <v/>
      </c>
      <c r="C868" s="269">
        <f>IFERROR(100*$E868/$E$5,NA())</f>
        <v/>
      </c>
      <c r="D868" s="269">
        <f>IFERROR(100*$J868/$J$5,NA())</f>
        <v/>
      </c>
      <c r="E868" s="32">
        <f>IFERROR(IF(AND(ISNUMBER($A868),N(IF(AND(AH!$U$12=1,863+1=AH!$U$6),IF(AH!$U$4=0,"unavailable",INDEX('Market Data'!$AN$5:$AN$66,AH!$U$4)),IF(AH!$U$5=1,INDEX('Live History'!$B$5:$B$3004,$K868),INDEX('AH History'!$D$5:$GG$1380,$K868,AH!$U$10))))&gt;0),IF(AND(AH!$U$12=1,863+1=AH!$U$6),IF(AH!$U$4=0,"unavailable",INDEX('Market Data'!$AN$5:$AN$66,AH!$U$4)),IF(AH!$U$5=1,INDEX('Live History'!$B$5:$B$3004,$K868),INDEX('AH History'!$D$5:$GG$1380,$K868,AH!$U$10))),NA()),NA())</f>
        <v/>
      </c>
      <c r="F868" s="32">
        <f>IFERROR(IF(ISNUMBER($A868),IF(AND(AH!$U$12=1,863+1=AH!$U$6),IF(AH!$U$4=0,"unavailable",INDEX('Market Data'!$AO$5:$AO$66,AH!$U$4)),IF(AH!$U$5=1,INDEX('Live History'!$E$5:$E$3004,MATCH($A868,'Live History'!$D$5:$D$3004,1)),INDEX('AH History'!$D$5:$GG$1380,$K868,AH!$U$10+1))),NA()),NA())</f>
        <v/>
      </c>
      <c r="G868" s="34">
        <f>IFERROR(IF(ISNUMBER($A868),IF(AND(AH!$U$12=1,863+1=AH!$U$6),IF(AH!$U$4=0,"unavailable",INDEX('Market Data'!$AK$5:$AK$66,AH!$U$4)),IF(AH!$U$5=1,INDEX('Live History'!$D$5:$D$3004,MATCH($A868,'Live History'!$D$5:$D$3004,1)),INDEX('AH History'!$D$5:$GG$1380,$K868,AH!$U$10+2))),NA()),NA())</f>
        <v/>
      </c>
      <c r="H868" s="266">
        <f>IFERROR(IF(ISNUMBER($A868),IF(AND(AH!$U$12=1,863+1=AH!$U$6),IF(AH!$U$4=0,"unavailable",INDEX('Market Data'!$AP$5:$AP$66,AH!$U$4)),IF(AH!$U$5=1,INDEX('Live History'!$H$5:$H$3004,MATCH($A868,'Live History'!$G$5:$G$3004,1)),INDEX('AH History'!$B$5:$B$1380,$K868))),NA()),NA())</f>
        <v/>
      </c>
      <c r="I868" s="34">
        <f>IFERROR(IF(ISNUMBER($A868),IF(AND(AH!$U$12=1,863+1=AH!$U$6),TODAY(),IF(AH!$U$5=1,INDEX('Live History'!$G$5:$G$3004,MATCH($A868,'Live History'!$G$5:$G$3004,1)),INDEX('AH History'!$C$5:$C$1380,$K868))),NA()),NA())</f>
        <v/>
      </c>
      <c r="J868" s="32">
        <f>IFERROR(IF(AND($F868&gt;0,$H868&gt;0,$A868-$G868&lt;=10,$A868-$I868&lt;=5,$G868&gt;0,$I868&gt;0),$F868*$H868,NA()),NA())</f>
        <v/>
      </c>
      <c r="K868" s="15">
        <f>IF($A868="","",IF(AH!$U$5=1,IFERROR(MATCH($A868,'Live History'!$A$5:$A$3004,0),0),AH!$U$7+863))</f>
        <v/>
      </c>
      <c r="L868" s="15">
        <f>IF(ISNUMBER(A868),TEXT(A868,"dd-mmm-yy"),"")</f>
        <v/>
      </c>
    </row>
    <row r="869">
      <c r="A869" s="14">
        <f>IF(OR(AH!$U$4=0,864+1&gt;AH!$U$6,AND(AH!$M$5="Bloomberg",AH!$U$5=0)),"",IFERROR(IF(AND(AH!$U$12=1,864+1=AH!$U$6),TODAY(),IF(AH!$U$5=1,INDEX('Live History'!$A$5:$A$3004,AH!$U$7+864),INDEX('AH History'!$A$5:$A$1380,AH!$U$7+864))),""))</f>
        <v/>
      </c>
      <c r="B869" s="33">
        <f>IFERROR(IF(AH!$U$11=1,NA(),$J869/$E869-1),NA())</f>
        <v/>
      </c>
      <c r="C869" s="269">
        <f>IFERROR(100*$E869/$E$5,NA())</f>
        <v/>
      </c>
      <c r="D869" s="269">
        <f>IFERROR(100*$J869/$J$5,NA())</f>
        <v/>
      </c>
      <c r="E869" s="32">
        <f>IFERROR(IF(AND(ISNUMBER($A869),N(IF(AND(AH!$U$12=1,864+1=AH!$U$6),IF(AH!$U$4=0,"unavailable",INDEX('Market Data'!$AN$5:$AN$66,AH!$U$4)),IF(AH!$U$5=1,INDEX('Live History'!$B$5:$B$3004,$K869),INDEX('AH History'!$D$5:$GG$1380,$K869,AH!$U$10))))&gt;0),IF(AND(AH!$U$12=1,864+1=AH!$U$6),IF(AH!$U$4=0,"unavailable",INDEX('Market Data'!$AN$5:$AN$66,AH!$U$4)),IF(AH!$U$5=1,INDEX('Live History'!$B$5:$B$3004,$K869),INDEX('AH History'!$D$5:$GG$1380,$K869,AH!$U$10))),NA()),NA())</f>
        <v/>
      </c>
      <c r="F869" s="32">
        <f>IFERROR(IF(ISNUMBER($A869),IF(AND(AH!$U$12=1,864+1=AH!$U$6),IF(AH!$U$4=0,"unavailable",INDEX('Market Data'!$AO$5:$AO$66,AH!$U$4)),IF(AH!$U$5=1,INDEX('Live History'!$E$5:$E$3004,MATCH($A869,'Live History'!$D$5:$D$3004,1)),INDEX('AH History'!$D$5:$GG$1380,$K869,AH!$U$10+1))),NA()),NA())</f>
        <v/>
      </c>
      <c r="G869" s="34">
        <f>IFERROR(IF(ISNUMBER($A869),IF(AND(AH!$U$12=1,864+1=AH!$U$6),IF(AH!$U$4=0,"unavailable",INDEX('Market Data'!$AK$5:$AK$66,AH!$U$4)),IF(AH!$U$5=1,INDEX('Live History'!$D$5:$D$3004,MATCH($A869,'Live History'!$D$5:$D$3004,1)),INDEX('AH History'!$D$5:$GG$1380,$K869,AH!$U$10+2))),NA()),NA())</f>
        <v/>
      </c>
      <c r="H869" s="266">
        <f>IFERROR(IF(ISNUMBER($A869),IF(AND(AH!$U$12=1,864+1=AH!$U$6),IF(AH!$U$4=0,"unavailable",INDEX('Market Data'!$AP$5:$AP$66,AH!$U$4)),IF(AH!$U$5=1,INDEX('Live History'!$H$5:$H$3004,MATCH($A869,'Live History'!$G$5:$G$3004,1)),INDEX('AH History'!$B$5:$B$1380,$K869))),NA()),NA())</f>
        <v/>
      </c>
      <c r="I869" s="34">
        <f>IFERROR(IF(ISNUMBER($A869),IF(AND(AH!$U$12=1,864+1=AH!$U$6),TODAY(),IF(AH!$U$5=1,INDEX('Live History'!$G$5:$G$3004,MATCH($A869,'Live History'!$G$5:$G$3004,1)),INDEX('AH History'!$C$5:$C$1380,$K869))),NA()),NA())</f>
        <v/>
      </c>
      <c r="J869" s="32">
        <f>IFERROR(IF(AND($F869&gt;0,$H869&gt;0,$A869-$G869&lt;=10,$A869-$I869&lt;=5,$G869&gt;0,$I869&gt;0),$F869*$H869,NA()),NA())</f>
        <v/>
      </c>
      <c r="K869" s="15">
        <f>IF($A869="","",IF(AH!$U$5=1,IFERROR(MATCH($A869,'Live History'!$A$5:$A$3004,0),0),AH!$U$7+864))</f>
        <v/>
      </c>
      <c r="L869" s="15">
        <f>IF(ISNUMBER(A869),TEXT(A869,"dd-mmm-yy"),"")</f>
        <v/>
      </c>
    </row>
    <row r="870">
      <c r="A870" s="14">
        <f>IF(OR(AH!$U$4=0,865+1&gt;AH!$U$6,AND(AH!$M$5="Bloomberg",AH!$U$5=0)),"",IFERROR(IF(AND(AH!$U$12=1,865+1=AH!$U$6),TODAY(),IF(AH!$U$5=1,INDEX('Live History'!$A$5:$A$3004,AH!$U$7+865),INDEX('AH History'!$A$5:$A$1380,AH!$U$7+865))),""))</f>
        <v/>
      </c>
      <c r="B870" s="33">
        <f>IFERROR(IF(AH!$U$11=1,NA(),$J870/$E870-1),NA())</f>
        <v/>
      </c>
      <c r="C870" s="269">
        <f>IFERROR(100*$E870/$E$5,NA())</f>
        <v/>
      </c>
      <c r="D870" s="269">
        <f>IFERROR(100*$J870/$J$5,NA())</f>
        <v/>
      </c>
      <c r="E870" s="32">
        <f>IFERROR(IF(AND(ISNUMBER($A870),N(IF(AND(AH!$U$12=1,865+1=AH!$U$6),IF(AH!$U$4=0,"unavailable",INDEX('Market Data'!$AN$5:$AN$66,AH!$U$4)),IF(AH!$U$5=1,INDEX('Live History'!$B$5:$B$3004,$K870),INDEX('AH History'!$D$5:$GG$1380,$K870,AH!$U$10))))&gt;0),IF(AND(AH!$U$12=1,865+1=AH!$U$6),IF(AH!$U$4=0,"unavailable",INDEX('Market Data'!$AN$5:$AN$66,AH!$U$4)),IF(AH!$U$5=1,INDEX('Live History'!$B$5:$B$3004,$K870),INDEX('AH History'!$D$5:$GG$1380,$K870,AH!$U$10))),NA()),NA())</f>
        <v/>
      </c>
      <c r="F870" s="32">
        <f>IFERROR(IF(ISNUMBER($A870),IF(AND(AH!$U$12=1,865+1=AH!$U$6),IF(AH!$U$4=0,"unavailable",INDEX('Market Data'!$AO$5:$AO$66,AH!$U$4)),IF(AH!$U$5=1,INDEX('Live History'!$E$5:$E$3004,MATCH($A870,'Live History'!$D$5:$D$3004,1)),INDEX('AH History'!$D$5:$GG$1380,$K870,AH!$U$10+1))),NA()),NA())</f>
        <v/>
      </c>
      <c r="G870" s="34">
        <f>IFERROR(IF(ISNUMBER($A870),IF(AND(AH!$U$12=1,865+1=AH!$U$6),IF(AH!$U$4=0,"unavailable",INDEX('Market Data'!$AK$5:$AK$66,AH!$U$4)),IF(AH!$U$5=1,INDEX('Live History'!$D$5:$D$3004,MATCH($A870,'Live History'!$D$5:$D$3004,1)),INDEX('AH History'!$D$5:$GG$1380,$K870,AH!$U$10+2))),NA()),NA())</f>
        <v/>
      </c>
      <c r="H870" s="266">
        <f>IFERROR(IF(ISNUMBER($A870),IF(AND(AH!$U$12=1,865+1=AH!$U$6),IF(AH!$U$4=0,"unavailable",INDEX('Market Data'!$AP$5:$AP$66,AH!$U$4)),IF(AH!$U$5=1,INDEX('Live History'!$H$5:$H$3004,MATCH($A870,'Live History'!$G$5:$G$3004,1)),INDEX('AH History'!$B$5:$B$1380,$K870))),NA()),NA())</f>
        <v/>
      </c>
      <c r="I870" s="34">
        <f>IFERROR(IF(ISNUMBER($A870),IF(AND(AH!$U$12=1,865+1=AH!$U$6),TODAY(),IF(AH!$U$5=1,INDEX('Live History'!$G$5:$G$3004,MATCH($A870,'Live History'!$G$5:$G$3004,1)),INDEX('AH History'!$C$5:$C$1380,$K870))),NA()),NA())</f>
        <v/>
      </c>
      <c r="J870" s="32">
        <f>IFERROR(IF(AND($F870&gt;0,$H870&gt;0,$A870-$G870&lt;=10,$A870-$I870&lt;=5,$G870&gt;0,$I870&gt;0),$F870*$H870,NA()),NA())</f>
        <v/>
      </c>
      <c r="K870" s="15">
        <f>IF($A870="","",IF(AH!$U$5=1,IFERROR(MATCH($A870,'Live History'!$A$5:$A$3004,0),0),AH!$U$7+865))</f>
        <v/>
      </c>
      <c r="L870" s="15">
        <f>IF(ISNUMBER(A870),TEXT(A870,"dd-mmm-yy"),"")</f>
        <v/>
      </c>
    </row>
    <row r="871">
      <c r="A871" s="14">
        <f>IF(OR(AH!$U$4=0,866+1&gt;AH!$U$6,AND(AH!$M$5="Bloomberg",AH!$U$5=0)),"",IFERROR(IF(AND(AH!$U$12=1,866+1=AH!$U$6),TODAY(),IF(AH!$U$5=1,INDEX('Live History'!$A$5:$A$3004,AH!$U$7+866),INDEX('AH History'!$A$5:$A$1380,AH!$U$7+866))),""))</f>
        <v/>
      </c>
      <c r="B871" s="33">
        <f>IFERROR(IF(AH!$U$11=1,NA(),$J871/$E871-1),NA())</f>
        <v/>
      </c>
      <c r="C871" s="269">
        <f>IFERROR(100*$E871/$E$5,NA())</f>
        <v/>
      </c>
      <c r="D871" s="269">
        <f>IFERROR(100*$J871/$J$5,NA())</f>
        <v/>
      </c>
      <c r="E871" s="32">
        <f>IFERROR(IF(AND(ISNUMBER($A871),N(IF(AND(AH!$U$12=1,866+1=AH!$U$6),IF(AH!$U$4=0,"unavailable",INDEX('Market Data'!$AN$5:$AN$66,AH!$U$4)),IF(AH!$U$5=1,INDEX('Live History'!$B$5:$B$3004,$K871),INDEX('AH History'!$D$5:$GG$1380,$K871,AH!$U$10))))&gt;0),IF(AND(AH!$U$12=1,866+1=AH!$U$6),IF(AH!$U$4=0,"unavailable",INDEX('Market Data'!$AN$5:$AN$66,AH!$U$4)),IF(AH!$U$5=1,INDEX('Live History'!$B$5:$B$3004,$K871),INDEX('AH History'!$D$5:$GG$1380,$K871,AH!$U$10))),NA()),NA())</f>
        <v/>
      </c>
      <c r="F871" s="32">
        <f>IFERROR(IF(ISNUMBER($A871),IF(AND(AH!$U$12=1,866+1=AH!$U$6),IF(AH!$U$4=0,"unavailable",INDEX('Market Data'!$AO$5:$AO$66,AH!$U$4)),IF(AH!$U$5=1,INDEX('Live History'!$E$5:$E$3004,MATCH($A871,'Live History'!$D$5:$D$3004,1)),INDEX('AH History'!$D$5:$GG$1380,$K871,AH!$U$10+1))),NA()),NA())</f>
        <v/>
      </c>
      <c r="G871" s="34">
        <f>IFERROR(IF(ISNUMBER($A871),IF(AND(AH!$U$12=1,866+1=AH!$U$6),IF(AH!$U$4=0,"unavailable",INDEX('Market Data'!$AK$5:$AK$66,AH!$U$4)),IF(AH!$U$5=1,INDEX('Live History'!$D$5:$D$3004,MATCH($A871,'Live History'!$D$5:$D$3004,1)),INDEX('AH History'!$D$5:$GG$1380,$K871,AH!$U$10+2))),NA()),NA())</f>
        <v/>
      </c>
      <c r="H871" s="266">
        <f>IFERROR(IF(ISNUMBER($A871),IF(AND(AH!$U$12=1,866+1=AH!$U$6),IF(AH!$U$4=0,"unavailable",INDEX('Market Data'!$AP$5:$AP$66,AH!$U$4)),IF(AH!$U$5=1,INDEX('Live History'!$H$5:$H$3004,MATCH($A871,'Live History'!$G$5:$G$3004,1)),INDEX('AH History'!$B$5:$B$1380,$K871))),NA()),NA())</f>
        <v/>
      </c>
      <c r="I871" s="34">
        <f>IFERROR(IF(ISNUMBER($A871),IF(AND(AH!$U$12=1,866+1=AH!$U$6),TODAY(),IF(AH!$U$5=1,INDEX('Live History'!$G$5:$G$3004,MATCH($A871,'Live History'!$G$5:$G$3004,1)),INDEX('AH History'!$C$5:$C$1380,$K871))),NA()),NA())</f>
        <v/>
      </c>
      <c r="J871" s="32">
        <f>IFERROR(IF(AND($F871&gt;0,$H871&gt;0,$A871-$G871&lt;=10,$A871-$I871&lt;=5,$G871&gt;0,$I871&gt;0),$F871*$H871,NA()),NA())</f>
        <v/>
      </c>
      <c r="K871" s="15">
        <f>IF($A871="","",IF(AH!$U$5=1,IFERROR(MATCH($A871,'Live History'!$A$5:$A$3004,0),0),AH!$U$7+866))</f>
        <v/>
      </c>
      <c r="L871" s="15">
        <f>IF(ISNUMBER(A871),TEXT(A871,"dd-mmm-yy"),"")</f>
        <v/>
      </c>
    </row>
    <row r="872">
      <c r="A872" s="14">
        <f>IF(OR(AH!$U$4=0,867+1&gt;AH!$U$6,AND(AH!$M$5="Bloomberg",AH!$U$5=0)),"",IFERROR(IF(AND(AH!$U$12=1,867+1=AH!$U$6),TODAY(),IF(AH!$U$5=1,INDEX('Live History'!$A$5:$A$3004,AH!$U$7+867),INDEX('AH History'!$A$5:$A$1380,AH!$U$7+867))),""))</f>
        <v/>
      </c>
      <c r="B872" s="33">
        <f>IFERROR(IF(AH!$U$11=1,NA(),$J872/$E872-1),NA())</f>
        <v/>
      </c>
      <c r="C872" s="269">
        <f>IFERROR(100*$E872/$E$5,NA())</f>
        <v/>
      </c>
      <c r="D872" s="269">
        <f>IFERROR(100*$J872/$J$5,NA())</f>
        <v/>
      </c>
      <c r="E872" s="32">
        <f>IFERROR(IF(AND(ISNUMBER($A872),N(IF(AND(AH!$U$12=1,867+1=AH!$U$6),IF(AH!$U$4=0,"unavailable",INDEX('Market Data'!$AN$5:$AN$66,AH!$U$4)),IF(AH!$U$5=1,INDEX('Live History'!$B$5:$B$3004,$K872),INDEX('AH History'!$D$5:$GG$1380,$K872,AH!$U$10))))&gt;0),IF(AND(AH!$U$12=1,867+1=AH!$U$6),IF(AH!$U$4=0,"unavailable",INDEX('Market Data'!$AN$5:$AN$66,AH!$U$4)),IF(AH!$U$5=1,INDEX('Live History'!$B$5:$B$3004,$K872),INDEX('AH History'!$D$5:$GG$1380,$K872,AH!$U$10))),NA()),NA())</f>
        <v/>
      </c>
      <c r="F872" s="32">
        <f>IFERROR(IF(ISNUMBER($A872),IF(AND(AH!$U$12=1,867+1=AH!$U$6),IF(AH!$U$4=0,"unavailable",INDEX('Market Data'!$AO$5:$AO$66,AH!$U$4)),IF(AH!$U$5=1,INDEX('Live History'!$E$5:$E$3004,MATCH($A872,'Live History'!$D$5:$D$3004,1)),INDEX('AH History'!$D$5:$GG$1380,$K872,AH!$U$10+1))),NA()),NA())</f>
        <v/>
      </c>
      <c r="G872" s="34">
        <f>IFERROR(IF(ISNUMBER($A872),IF(AND(AH!$U$12=1,867+1=AH!$U$6),IF(AH!$U$4=0,"unavailable",INDEX('Market Data'!$AK$5:$AK$66,AH!$U$4)),IF(AH!$U$5=1,INDEX('Live History'!$D$5:$D$3004,MATCH($A872,'Live History'!$D$5:$D$3004,1)),INDEX('AH History'!$D$5:$GG$1380,$K872,AH!$U$10+2))),NA()),NA())</f>
        <v/>
      </c>
      <c r="H872" s="266">
        <f>IFERROR(IF(ISNUMBER($A872),IF(AND(AH!$U$12=1,867+1=AH!$U$6),IF(AH!$U$4=0,"unavailable",INDEX('Market Data'!$AP$5:$AP$66,AH!$U$4)),IF(AH!$U$5=1,INDEX('Live History'!$H$5:$H$3004,MATCH($A872,'Live History'!$G$5:$G$3004,1)),INDEX('AH History'!$B$5:$B$1380,$K872))),NA()),NA())</f>
        <v/>
      </c>
      <c r="I872" s="34">
        <f>IFERROR(IF(ISNUMBER($A872),IF(AND(AH!$U$12=1,867+1=AH!$U$6),TODAY(),IF(AH!$U$5=1,INDEX('Live History'!$G$5:$G$3004,MATCH($A872,'Live History'!$G$5:$G$3004,1)),INDEX('AH History'!$C$5:$C$1380,$K872))),NA()),NA())</f>
        <v/>
      </c>
      <c r="J872" s="32">
        <f>IFERROR(IF(AND($F872&gt;0,$H872&gt;0,$A872-$G872&lt;=10,$A872-$I872&lt;=5,$G872&gt;0,$I872&gt;0),$F872*$H872,NA()),NA())</f>
        <v/>
      </c>
      <c r="K872" s="15">
        <f>IF($A872="","",IF(AH!$U$5=1,IFERROR(MATCH($A872,'Live History'!$A$5:$A$3004,0),0),AH!$U$7+867))</f>
        <v/>
      </c>
      <c r="L872" s="15">
        <f>IF(ISNUMBER(A872),TEXT(A872,"dd-mmm-yy"),"")</f>
        <v/>
      </c>
    </row>
    <row r="873">
      <c r="A873" s="14">
        <f>IF(OR(AH!$U$4=0,868+1&gt;AH!$U$6,AND(AH!$M$5="Bloomberg",AH!$U$5=0)),"",IFERROR(IF(AND(AH!$U$12=1,868+1=AH!$U$6),TODAY(),IF(AH!$U$5=1,INDEX('Live History'!$A$5:$A$3004,AH!$U$7+868),INDEX('AH History'!$A$5:$A$1380,AH!$U$7+868))),""))</f>
        <v/>
      </c>
      <c r="B873" s="33">
        <f>IFERROR(IF(AH!$U$11=1,NA(),$J873/$E873-1),NA())</f>
        <v/>
      </c>
      <c r="C873" s="269">
        <f>IFERROR(100*$E873/$E$5,NA())</f>
        <v/>
      </c>
      <c r="D873" s="269">
        <f>IFERROR(100*$J873/$J$5,NA())</f>
        <v/>
      </c>
      <c r="E873" s="32">
        <f>IFERROR(IF(AND(ISNUMBER($A873),N(IF(AND(AH!$U$12=1,868+1=AH!$U$6),IF(AH!$U$4=0,"unavailable",INDEX('Market Data'!$AN$5:$AN$66,AH!$U$4)),IF(AH!$U$5=1,INDEX('Live History'!$B$5:$B$3004,$K873),INDEX('AH History'!$D$5:$GG$1380,$K873,AH!$U$10))))&gt;0),IF(AND(AH!$U$12=1,868+1=AH!$U$6),IF(AH!$U$4=0,"unavailable",INDEX('Market Data'!$AN$5:$AN$66,AH!$U$4)),IF(AH!$U$5=1,INDEX('Live History'!$B$5:$B$3004,$K873),INDEX('AH History'!$D$5:$GG$1380,$K873,AH!$U$10))),NA()),NA())</f>
        <v/>
      </c>
      <c r="F873" s="32">
        <f>IFERROR(IF(ISNUMBER($A873),IF(AND(AH!$U$12=1,868+1=AH!$U$6),IF(AH!$U$4=0,"unavailable",INDEX('Market Data'!$AO$5:$AO$66,AH!$U$4)),IF(AH!$U$5=1,INDEX('Live History'!$E$5:$E$3004,MATCH($A873,'Live History'!$D$5:$D$3004,1)),INDEX('AH History'!$D$5:$GG$1380,$K873,AH!$U$10+1))),NA()),NA())</f>
        <v/>
      </c>
      <c r="G873" s="34">
        <f>IFERROR(IF(ISNUMBER($A873),IF(AND(AH!$U$12=1,868+1=AH!$U$6),IF(AH!$U$4=0,"unavailable",INDEX('Market Data'!$AK$5:$AK$66,AH!$U$4)),IF(AH!$U$5=1,INDEX('Live History'!$D$5:$D$3004,MATCH($A873,'Live History'!$D$5:$D$3004,1)),INDEX('AH History'!$D$5:$GG$1380,$K873,AH!$U$10+2))),NA()),NA())</f>
        <v/>
      </c>
      <c r="H873" s="266">
        <f>IFERROR(IF(ISNUMBER($A873),IF(AND(AH!$U$12=1,868+1=AH!$U$6),IF(AH!$U$4=0,"unavailable",INDEX('Market Data'!$AP$5:$AP$66,AH!$U$4)),IF(AH!$U$5=1,INDEX('Live History'!$H$5:$H$3004,MATCH($A873,'Live History'!$G$5:$G$3004,1)),INDEX('AH History'!$B$5:$B$1380,$K873))),NA()),NA())</f>
        <v/>
      </c>
      <c r="I873" s="34">
        <f>IFERROR(IF(ISNUMBER($A873),IF(AND(AH!$U$12=1,868+1=AH!$U$6),TODAY(),IF(AH!$U$5=1,INDEX('Live History'!$G$5:$G$3004,MATCH($A873,'Live History'!$G$5:$G$3004,1)),INDEX('AH History'!$C$5:$C$1380,$K873))),NA()),NA())</f>
        <v/>
      </c>
      <c r="J873" s="32">
        <f>IFERROR(IF(AND($F873&gt;0,$H873&gt;0,$A873-$G873&lt;=10,$A873-$I873&lt;=5,$G873&gt;0,$I873&gt;0),$F873*$H873,NA()),NA())</f>
        <v/>
      </c>
      <c r="K873" s="15">
        <f>IF($A873="","",IF(AH!$U$5=1,IFERROR(MATCH($A873,'Live History'!$A$5:$A$3004,0),0),AH!$U$7+868))</f>
        <v/>
      </c>
      <c r="L873" s="15">
        <f>IF(ISNUMBER(A873),TEXT(A873,"dd-mmm-yy"),"")</f>
        <v/>
      </c>
    </row>
    <row r="874">
      <c r="A874" s="14">
        <f>IF(OR(AH!$U$4=0,869+1&gt;AH!$U$6,AND(AH!$M$5="Bloomberg",AH!$U$5=0)),"",IFERROR(IF(AND(AH!$U$12=1,869+1=AH!$U$6),TODAY(),IF(AH!$U$5=1,INDEX('Live History'!$A$5:$A$3004,AH!$U$7+869),INDEX('AH History'!$A$5:$A$1380,AH!$U$7+869))),""))</f>
        <v/>
      </c>
      <c r="B874" s="33">
        <f>IFERROR(IF(AH!$U$11=1,NA(),$J874/$E874-1),NA())</f>
        <v/>
      </c>
      <c r="C874" s="269">
        <f>IFERROR(100*$E874/$E$5,NA())</f>
        <v/>
      </c>
      <c r="D874" s="269">
        <f>IFERROR(100*$J874/$J$5,NA())</f>
        <v/>
      </c>
      <c r="E874" s="32">
        <f>IFERROR(IF(AND(ISNUMBER($A874),N(IF(AND(AH!$U$12=1,869+1=AH!$U$6),IF(AH!$U$4=0,"unavailable",INDEX('Market Data'!$AN$5:$AN$66,AH!$U$4)),IF(AH!$U$5=1,INDEX('Live History'!$B$5:$B$3004,$K874),INDEX('AH History'!$D$5:$GG$1380,$K874,AH!$U$10))))&gt;0),IF(AND(AH!$U$12=1,869+1=AH!$U$6),IF(AH!$U$4=0,"unavailable",INDEX('Market Data'!$AN$5:$AN$66,AH!$U$4)),IF(AH!$U$5=1,INDEX('Live History'!$B$5:$B$3004,$K874),INDEX('AH History'!$D$5:$GG$1380,$K874,AH!$U$10))),NA()),NA())</f>
        <v/>
      </c>
      <c r="F874" s="32">
        <f>IFERROR(IF(ISNUMBER($A874),IF(AND(AH!$U$12=1,869+1=AH!$U$6),IF(AH!$U$4=0,"unavailable",INDEX('Market Data'!$AO$5:$AO$66,AH!$U$4)),IF(AH!$U$5=1,INDEX('Live History'!$E$5:$E$3004,MATCH($A874,'Live History'!$D$5:$D$3004,1)),INDEX('AH History'!$D$5:$GG$1380,$K874,AH!$U$10+1))),NA()),NA())</f>
        <v/>
      </c>
      <c r="G874" s="34">
        <f>IFERROR(IF(ISNUMBER($A874),IF(AND(AH!$U$12=1,869+1=AH!$U$6),IF(AH!$U$4=0,"unavailable",INDEX('Market Data'!$AK$5:$AK$66,AH!$U$4)),IF(AH!$U$5=1,INDEX('Live History'!$D$5:$D$3004,MATCH($A874,'Live History'!$D$5:$D$3004,1)),INDEX('AH History'!$D$5:$GG$1380,$K874,AH!$U$10+2))),NA()),NA())</f>
        <v/>
      </c>
      <c r="H874" s="266">
        <f>IFERROR(IF(ISNUMBER($A874),IF(AND(AH!$U$12=1,869+1=AH!$U$6),IF(AH!$U$4=0,"unavailable",INDEX('Market Data'!$AP$5:$AP$66,AH!$U$4)),IF(AH!$U$5=1,INDEX('Live History'!$H$5:$H$3004,MATCH($A874,'Live History'!$G$5:$G$3004,1)),INDEX('AH History'!$B$5:$B$1380,$K874))),NA()),NA())</f>
        <v/>
      </c>
      <c r="I874" s="34">
        <f>IFERROR(IF(ISNUMBER($A874),IF(AND(AH!$U$12=1,869+1=AH!$U$6),TODAY(),IF(AH!$U$5=1,INDEX('Live History'!$G$5:$G$3004,MATCH($A874,'Live History'!$G$5:$G$3004,1)),INDEX('AH History'!$C$5:$C$1380,$K874))),NA()),NA())</f>
        <v/>
      </c>
      <c r="J874" s="32">
        <f>IFERROR(IF(AND($F874&gt;0,$H874&gt;0,$A874-$G874&lt;=10,$A874-$I874&lt;=5,$G874&gt;0,$I874&gt;0),$F874*$H874,NA()),NA())</f>
        <v/>
      </c>
      <c r="K874" s="15">
        <f>IF($A874="","",IF(AH!$U$5=1,IFERROR(MATCH($A874,'Live History'!$A$5:$A$3004,0),0),AH!$U$7+869))</f>
        <v/>
      </c>
      <c r="L874" s="15">
        <f>IF(ISNUMBER(A874),TEXT(A874,"dd-mmm-yy"),"")</f>
        <v/>
      </c>
    </row>
    <row r="875">
      <c r="A875" s="14">
        <f>IF(OR(AH!$U$4=0,870+1&gt;AH!$U$6,AND(AH!$M$5="Bloomberg",AH!$U$5=0)),"",IFERROR(IF(AND(AH!$U$12=1,870+1=AH!$U$6),TODAY(),IF(AH!$U$5=1,INDEX('Live History'!$A$5:$A$3004,AH!$U$7+870),INDEX('AH History'!$A$5:$A$1380,AH!$U$7+870))),""))</f>
        <v/>
      </c>
      <c r="B875" s="33">
        <f>IFERROR(IF(AH!$U$11=1,NA(),$J875/$E875-1),NA())</f>
        <v/>
      </c>
      <c r="C875" s="269">
        <f>IFERROR(100*$E875/$E$5,NA())</f>
        <v/>
      </c>
      <c r="D875" s="269">
        <f>IFERROR(100*$J875/$J$5,NA())</f>
        <v/>
      </c>
      <c r="E875" s="32">
        <f>IFERROR(IF(AND(ISNUMBER($A875),N(IF(AND(AH!$U$12=1,870+1=AH!$U$6),IF(AH!$U$4=0,"unavailable",INDEX('Market Data'!$AN$5:$AN$66,AH!$U$4)),IF(AH!$U$5=1,INDEX('Live History'!$B$5:$B$3004,$K875),INDEX('AH History'!$D$5:$GG$1380,$K875,AH!$U$10))))&gt;0),IF(AND(AH!$U$12=1,870+1=AH!$U$6),IF(AH!$U$4=0,"unavailable",INDEX('Market Data'!$AN$5:$AN$66,AH!$U$4)),IF(AH!$U$5=1,INDEX('Live History'!$B$5:$B$3004,$K875),INDEX('AH History'!$D$5:$GG$1380,$K875,AH!$U$10))),NA()),NA())</f>
        <v/>
      </c>
      <c r="F875" s="32">
        <f>IFERROR(IF(ISNUMBER($A875),IF(AND(AH!$U$12=1,870+1=AH!$U$6),IF(AH!$U$4=0,"unavailable",INDEX('Market Data'!$AO$5:$AO$66,AH!$U$4)),IF(AH!$U$5=1,INDEX('Live History'!$E$5:$E$3004,MATCH($A875,'Live History'!$D$5:$D$3004,1)),INDEX('AH History'!$D$5:$GG$1380,$K875,AH!$U$10+1))),NA()),NA())</f>
        <v/>
      </c>
      <c r="G875" s="34">
        <f>IFERROR(IF(ISNUMBER($A875),IF(AND(AH!$U$12=1,870+1=AH!$U$6),IF(AH!$U$4=0,"unavailable",INDEX('Market Data'!$AK$5:$AK$66,AH!$U$4)),IF(AH!$U$5=1,INDEX('Live History'!$D$5:$D$3004,MATCH($A875,'Live History'!$D$5:$D$3004,1)),INDEX('AH History'!$D$5:$GG$1380,$K875,AH!$U$10+2))),NA()),NA())</f>
        <v/>
      </c>
      <c r="H875" s="266">
        <f>IFERROR(IF(ISNUMBER($A875),IF(AND(AH!$U$12=1,870+1=AH!$U$6),IF(AH!$U$4=0,"unavailable",INDEX('Market Data'!$AP$5:$AP$66,AH!$U$4)),IF(AH!$U$5=1,INDEX('Live History'!$H$5:$H$3004,MATCH($A875,'Live History'!$G$5:$G$3004,1)),INDEX('AH History'!$B$5:$B$1380,$K875))),NA()),NA())</f>
        <v/>
      </c>
      <c r="I875" s="34">
        <f>IFERROR(IF(ISNUMBER($A875),IF(AND(AH!$U$12=1,870+1=AH!$U$6),TODAY(),IF(AH!$U$5=1,INDEX('Live History'!$G$5:$G$3004,MATCH($A875,'Live History'!$G$5:$G$3004,1)),INDEX('AH History'!$C$5:$C$1380,$K875))),NA()),NA())</f>
        <v/>
      </c>
      <c r="J875" s="32">
        <f>IFERROR(IF(AND($F875&gt;0,$H875&gt;0,$A875-$G875&lt;=10,$A875-$I875&lt;=5,$G875&gt;0,$I875&gt;0),$F875*$H875,NA()),NA())</f>
        <v/>
      </c>
      <c r="K875" s="15">
        <f>IF($A875="","",IF(AH!$U$5=1,IFERROR(MATCH($A875,'Live History'!$A$5:$A$3004,0),0),AH!$U$7+870))</f>
        <v/>
      </c>
      <c r="L875" s="15">
        <f>IF(ISNUMBER(A875),TEXT(A875,"dd-mmm-yy"),"")</f>
        <v/>
      </c>
    </row>
    <row r="876">
      <c r="A876" s="14">
        <f>IF(OR(AH!$U$4=0,871+1&gt;AH!$U$6,AND(AH!$M$5="Bloomberg",AH!$U$5=0)),"",IFERROR(IF(AND(AH!$U$12=1,871+1=AH!$U$6),TODAY(),IF(AH!$U$5=1,INDEX('Live History'!$A$5:$A$3004,AH!$U$7+871),INDEX('AH History'!$A$5:$A$1380,AH!$U$7+871))),""))</f>
        <v/>
      </c>
      <c r="B876" s="33">
        <f>IFERROR(IF(AH!$U$11=1,NA(),$J876/$E876-1),NA())</f>
        <v/>
      </c>
      <c r="C876" s="269">
        <f>IFERROR(100*$E876/$E$5,NA())</f>
        <v/>
      </c>
      <c r="D876" s="269">
        <f>IFERROR(100*$J876/$J$5,NA())</f>
        <v/>
      </c>
      <c r="E876" s="32">
        <f>IFERROR(IF(AND(ISNUMBER($A876),N(IF(AND(AH!$U$12=1,871+1=AH!$U$6),IF(AH!$U$4=0,"unavailable",INDEX('Market Data'!$AN$5:$AN$66,AH!$U$4)),IF(AH!$U$5=1,INDEX('Live History'!$B$5:$B$3004,$K876),INDEX('AH History'!$D$5:$GG$1380,$K876,AH!$U$10))))&gt;0),IF(AND(AH!$U$12=1,871+1=AH!$U$6),IF(AH!$U$4=0,"unavailable",INDEX('Market Data'!$AN$5:$AN$66,AH!$U$4)),IF(AH!$U$5=1,INDEX('Live History'!$B$5:$B$3004,$K876),INDEX('AH History'!$D$5:$GG$1380,$K876,AH!$U$10))),NA()),NA())</f>
        <v/>
      </c>
      <c r="F876" s="32">
        <f>IFERROR(IF(ISNUMBER($A876),IF(AND(AH!$U$12=1,871+1=AH!$U$6),IF(AH!$U$4=0,"unavailable",INDEX('Market Data'!$AO$5:$AO$66,AH!$U$4)),IF(AH!$U$5=1,INDEX('Live History'!$E$5:$E$3004,MATCH($A876,'Live History'!$D$5:$D$3004,1)),INDEX('AH History'!$D$5:$GG$1380,$K876,AH!$U$10+1))),NA()),NA())</f>
        <v/>
      </c>
      <c r="G876" s="34">
        <f>IFERROR(IF(ISNUMBER($A876),IF(AND(AH!$U$12=1,871+1=AH!$U$6),IF(AH!$U$4=0,"unavailable",INDEX('Market Data'!$AK$5:$AK$66,AH!$U$4)),IF(AH!$U$5=1,INDEX('Live History'!$D$5:$D$3004,MATCH($A876,'Live History'!$D$5:$D$3004,1)),INDEX('AH History'!$D$5:$GG$1380,$K876,AH!$U$10+2))),NA()),NA())</f>
        <v/>
      </c>
      <c r="H876" s="266">
        <f>IFERROR(IF(ISNUMBER($A876),IF(AND(AH!$U$12=1,871+1=AH!$U$6),IF(AH!$U$4=0,"unavailable",INDEX('Market Data'!$AP$5:$AP$66,AH!$U$4)),IF(AH!$U$5=1,INDEX('Live History'!$H$5:$H$3004,MATCH($A876,'Live History'!$G$5:$G$3004,1)),INDEX('AH History'!$B$5:$B$1380,$K876))),NA()),NA())</f>
        <v/>
      </c>
      <c r="I876" s="34">
        <f>IFERROR(IF(ISNUMBER($A876),IF(AND(AH!$U$12=1,871+1=AH!$U$6),TODAY(),IF(AH!$U$5=1,INDEX('Live History'!$G$5:$G$3004,MATCH($A876,'Live History'!$G$5:$G$3004,1)),INDEX('AH History'!$C$5:$C$1380,$K876))),NA()),NA())</f>
        <v/>
      </c>
      <c r="J876" s="32">
        <f>IFERROR(IF(AND($F876&gt;0,$H876&gt;0,$A876-$G876&lt;=10,$A876-$I876&lt;=5,$G876&gt;0,$I876&gt;0),$F876*$H876,NA()),NA())</f>
        <v/>
      </c>
      <c r="K876" s="15">
        <f>IF($A876="","",IF(AH!$U$5=1,IFERROR(MATCH($A876,'Live History'!$A$5:$A$3004,0),0),AH!$U$7+871))</f>
        <v/>
      </c>
      <c r="L876" s="15">
        <f>IF(ISNUMBER(A876),TEXT(A876,"dd-mmm-yy"),"")</f>
        <v/>
      </c>
    </row>
    <row r="877">
      <c r="A877" s="14">
        <f>IF(OR(AH!$U$4=0,872+1&gt;AH!$U$6,AND(AH!$M$5="Bloomberg",AH!$U$5=0)),"",IFERROR(IF(AND(AH!$U$12=1,872+1=AH!$U$6),TODAY(),IF(AH!$U$5=1,INDEX('Live History'!$A$5:$A$3004,AH!$U$7+872),INDEX('AH History'!$A$5:$A$1380,AH!$U$7+872))),""))</f>
        <v/>
      </c>
      <c r="B877" s="33">
        <f>IFERROR(IF(AH!$U$11=1,NA(),$J877/$E877-1),NA())</f>
        <v/>
      </c>
      <c r="C877" s="269">
        <f>IFERROR(100*$E877/$E$5,NA())</f>
        <v/>
      </c>
      <c r="D877" s="269">
        <f>IFERROR(100*$J877/$J$5,NA())</f>
        <v/>
      </c>
      <c r="E877" s="32">
        <f>IFERROR(IF(AND(ISNUMBER($A877),N(IF(AND(AH!$U$12=1,872+1=AH!$U$6),IF(AH!$U$4=0,"unavailable",INDEX('Market Data'!$AN$5:$AN$66,AH!$U$4)),IF(AH!$U$5=1,INDEX('Live History'!$B$5:$B$3004,$K877),INDEX('AH History'!$D$5:$GG$1380,$K877,AH!$U$10))))&gt;0),IF(AND(AH!$U$12=1,872+1=AH!$U$6),IF(AH!$U$4=0,"unavailable",INDEX('Market Data'!$AN$5:$AN$66,AH!$U$4)),IF(AH!$U$5=1,INDEX('Live History'!$B$5:$B$3004,$K877),INDEX('AH History'!$D$5:$GG$1380,$K877,AH!$U$10))),NA()),NA())</f>
        <v/>
      </c>
      <c r="F877" s="32">
        <f>IFERROR(IF(ISNUMBER($A877),IF(AND(AH!$U$12=1,872+1=AH!$U$6),IF(AH!$U$4=0,"unavailable",INDEX('Market Data'!$AO$5:$AO$66,AH!$U$4)),IF(AH!$U$5=1,INDEX('Live History'!$E$5:$E$3004,MATCH($A877,'Live History'!$D$5:$D$3004,1)),INDEX('AH History'!$D$5:$GG$1380,$K877,AH!$U$10+1))),NA()),NA())</f>
        <v/>
      </c>
      <c r="G877" s="34">
        <f>IFERROR(IF(ISNUMBER($A877),IF(AND(AH!$U$12=1,872+1=AH!$U$6),IF(AH!$U$4=0,"unavailable",INDEX('Market Data'!$AK$5:$AK$66,AH!$U$4)),IF(AH!$U$5=1,INDEX('Live History'!$D$5:$D$3004,MATCH($A877,'Live History'!$D$5:$D$3004,1)),INDEX('AH History'!$D$5:$GG$1380,$K877,AH!$U$10+2))),NA()),NA())</f>
        <v/>
      </c>
      <c r="H877" s="266">
        <f>IFERROR(IF(ISNUMBER($A877),IF(AND(AH!$U$12=1,872+1=AH!$U$6),IF(AH!$U$4=0,"unavailable",INDEX('Market Data'!$AP$5:$AP$66,AH!$U$4)),IF(AH!$U$5=1,INDEX('Live History'!$H$5:$H$3004,MATCH($A877,'Live History'!$G$5:$G$3004,1)),INDEX('AH History'!$B$5:$B$1380,$K877))),NA()),NA())</f>
        <v/>
      </c>
      <c r="I877" s="34">
        <f>IFERROR(IF(ISNUMBER($A877),IF(AND(AH!$U$12=1,872+1=AH!$U$6),TODAY(),IF(AH!$U$5=1,INDEX('Live History'!$G$5:$G$3004,MATCH($A877,'Live History'!$G$5:$G$3004,1)),INDEX('AH History'!$C$5:$C$1380,$K877))),NA()),NA())</f>
        <v/>
      </c>
      <c r="J877" s="32">
        <f>IFERROR(IF(AND($F877&gt;0,$H877&gt;0,$A877-$G877&lt;=10,$A877-$I877&lt;=5,$G877&gt;0,$I877&gt;0),$F877*$H877,NA()),NA())</f>
        <v/>
      </c>
      <c r="K877" s="15">
        <f>IF($A877="","",IF(AH!$U$5=1,IFERROR(MATCH($A877,'Live History'!$A$5:$A$3004,0),0),AH!$U$7+872))</f>
        <v/>
      </c>
      <c r="L877" s="15">
        <f>IF(ISNUMBER(A877),TEXT(A877,"dd-mmm-yy"),"")</f>
        <v/>
      </c>
    </row>
    <row r="878">
      <c r="A878" s="14">
        <f>IF(OR(AH!$U$4=0,873+1&gt;AH!$U$6,AND(AH!$M$5="Bloomberg",AH!$U$5=0)),"",IFERROR(IF(AND(AH!$U$12=1,873+1=AH!$U$6),TODAY(),IF(AH!$U$5=1,INDEX('Live History'!$A$5:$A$3004,AH!$U$7+873),INDEX('AH History'!$A$5:$A$1380,AH!$U$7+873))),""))</f>
        <v/>
      </c>
      <c r="B878" s="33">
        <f>IFERROR(IF(AH!$U$11=1,NA(),$J878/$E878-1),NA())</f>
        <v/>
      </c>
      <c r="C878" s="269">
        <f>IFERROR(100*$E878/$E$5,NA())</f>
        <v/>
      </c>
      <c r="D878" s="269">
        <f>IFERROR(100*$J878/$J$5,NA())</f>
        <v/>
      </c>
      <c r="E878" s="32">
        <f>IFERROR(IF(AND(ISNUMBER($A878),N(IF(AND(AH!$U$12=1,873+1=AH!$U$6),IF(AH!$U$4=0,"unavailable",INDEX('Market Data'!$AN$5:$AN$66,AH!$U$4)),IF(AH!$U$5=1,INDEX('Live History'!$B$5:$B$3004,$K878),INDEX('AH History'!$D$5:$GG$1380,$K878,AH!$U$10))))&gt;0),IF(AND(AH!$U$12=1,873+1=AH!$U$6),IF(AH!$U$4=0,"unavailable",INDEX('Market Data'!$AN$5:$AN$66,AH!$U$4)),IF(AH!$U$5=1,INDEX('Live History'!$B$5:$B$3004,$K878),INDEX('AH History'!$D$5:$GG$1380,$K878,AH!$U$10))),NA()),NA())</f>
        <v/>
      </c>
      <c r="F878" s="32">
        <f>IFERROR(IF(ISNUMBER($A878),IF(AND(AH!$U$12=1,873+1=AH!$U$6),IF(AH!$U$4=0,"unavailable",INDEX('Market Data'!$AO$5:$AO$66,AH!$U$4)),IF(AH!$U$5=1,INDEX('Live History'!$E$5:$E$3004,MATCH($A878,'Live History'!$D$5:$D$3004,1)),INDEX('AH History'!$D$5:$GG$1380,$K878,AH!$U$10+1))),NA()),NA())</f>
        <v/>
      </c>
      <c r="G878" s="34">
        <f>IFERROR(IF(ISNUMBER($A878),IF(AND(AH!$U$12=1,873+1=AH!$U$6),IF(AH!$U$4=0,"unavailable",INDEX('Market Data'!$AK$5:$AK$66,AH!$U$4)),IF(AH!$U$5=1,INDEX('Live History'!$D$5:$D$3004,MATCH($A878,'Live History'!$D$5:$D$3004,1)),INDEX('AH History'!$D$5:$GG$1380,$K878,AH!$U$10+2))),NA()),NA())</f>
        <v/>
      </c>
      <c r="H878" s="266">
        <f>IFERROR(IF(ISNUMBER($A878),IF(AND(AH!$U$12=1,873+1=AH!$U$6),IF(AH!$U$4=0,"unavailable",INDEX('Market Data'!$AP$5:$AP$66,AH!$U$4)),IF(AH!$U$5=1,INDEX('Live History'!$H$5:$H$3004,MATCH($A878,'Live History'!$G$5:$G$3004,1)),INDEX('AH History'!$B$5:$B$1380,$K878))),NA()),NA())</f>
        <v/>
      </c>
      <c r="I878" s="34">
        <f>IFERROR(IF(ISNUMBER($A878),IF(AND(AH!$U$12=1,873+1=AH!$U$6),TODAY(),IF(AH!$U$5=1,INDEX('Live History'!$G$5:$G$3004,MATCH($A878,'Live History'!$G$5:$G$3004,1)),INDEX('AH History'!$C$5:$C$1380,$K878))),NA()),NA())</f>
        <v/>
      </c>
      <c r="J878" s="32">
        <f>IFERROR(IF(AND($F878&gt;0,$H878&gt;0,$A878-$G878&lt;=10,$A878-$I878&lt;=5,$G878&gt;0,$I878&gt;0),$F878*$H878,NA()),NA())</f>
        <v/>
      </c>
      <c r="K878" s="15">
        <f>IF($A878="","",IF(AH!$U$5=1,IFERROR(MATCH($A878,'Live History'!$A$5:$A$3004,0),0),AH!$U$7+873))</f>
        <v/>
      </c>
      <c r="L878" s="15">
        <f>IF(ISNUMBER(A878),TEXT(A878,"dd-mmm-yy"),"")</f>
        <v/>
      </c>
    </row>
    <row r="879">
      <c r="A879" s="14">
        <f>IF(OR(AH!$U$4=0,874+1&gt;AH!$U$6,AND(AH!$M$5="Bloomberg",AH!$U$5=0)),"",IFERROR(IF(AND(AH!$U$12=1,874+1=AH!$U$6),TODAY(),IF(AH!$U$5=1,INDEX('Live History'!$A$5:$A$3004,AH!$U$7+874),INDEX('AH History'!$A$5:$A$1380,AH!$U$7+874))),""))</f>
        <v/>
      </c>
      <c r="B879" s="33">
        <f>IFERROR(IF(AH!$U$11=1,NA(),$J879/$E879-1),NA())</f>
        <v/>
      </c>
      <c r="C879" s="269">
        <f>IFERROR(100*$E879/$E$5,NA())</f>
        <v/>
      </c>
      <c r="D879" s="269">
        <f>IFERROR(100*$J879/$J$5,NA())</f>
        <v/>
      </c>
      <c r="E879" s="32">
        <f>IFERROR(IF(AND(ISNUMBER($A879),N(IF(AND(AH!$U$12=1,874+1=AH!$U$6),IF(AH!$U$4=0,"unavailable",INDEX('Market Data'!$AN$5:$AN$66,AH!$U$4)),IF(AH!$U$5=1,INDEX('Live History'!$B$5:$B$3004,$K879),INDEX('AH History'!$D$5:$GG$1380,$K879,AH!$U$10))))&gt;0),IF(AND(AH!$U$12=1,874+1=AH!$U$6),IF(AH!$U$4=0,"unavailable",INDEX('Market Data'!$AN$5:$AN$66,AH!$U$4)),IF(AH!$U$5=1,INDEX('Live History'!$B$5:$B$3004,$K879),INDEX('AH History'!$D$5:$GG$1380,$K879,AH!$U$10))),NA()),NA())</f>
        <v/>
      </c>
      <c r="F879" s="32">
        <f>IFERROR(IF(ISNUMBER($A879),IF(AND(AH!$U$12=1,874+1=AH!$U$6),IF(AH!$U$4=0,"unavailable",INDEX('Market Data'!$AO$5:$AO$66,AH!$U$4)),IF(AH!$U$5=1,INDEX('Live History'!$E$5:$E$3004,MATCH($A879,'Live History'!$D$5:$D$3004,1)),INDEX('AH History'!$D$5:$GG$1380,$K879,AH!$U$10+1))),NA()),NA())</f>
        <v/>
      </c>
      <c r="G879" s="34">
        <f>IFERROR(IF(ISNUMBER($A879),IF(AND(AH!$U$12=1,874+1=AH!$U$6),IF(AH!$U$4=0,"unavailable",INDEX('Market Data'!$AK$5:$AK$66,AH!$U$4)),IF(AH!$U$5=1,INDEX('Live History'!$D$5:$D$3004,MATCH($A879,'Live History'!$D$5:$D$3004,1)),INDEX('AH History'!$D$5:$GG$1380,$K879,AH!$U$10+2))),NA()),NA())</f>
        <v/>
      </c>
      <c r="H879" s="266">
        <f>IFERROR(IF(ISNUMBER($A879),IF(AND(AH!$U$12=1,874+1=AH!$U$6),IF(AH!$U$4=0,"unavailable",INDEX('Market Data'!$AP$5:$AP$66,AH!$U$4)),IF(AH!$U$5=1,INDEX('Live History'!$H$5:$H$3004,MATCH($A879,'Live History'!$G$5:$G$3004,1)),INDEX('AH History'!$B$5:$B$1380,$K879))),NA()),NA())</f>
        <v/>
      </c>
      <c r="I879" s="34">
        <f>IFERROR(IF(ISNUMBER($A879),IF(AND(AH!$U$12=1,874+1=AH!$U$6),TODAY(),IF(AH!$U$5=1,INDEX('Live History'!$G$5:$G$3004,MATCH($A879,'Live History'!$G$5:$G$3004,1)),INDEX('AH History'!$C$5:$C$1380,$K879))),NA()),NA())</f>
        <v/>
      </c>
      <c r="J879" s="32">
        <f>IFERROR(IF(AND($F879&gt;0,$H879&gt;0,$A879-$G879&lt;=10,$A879-$I879&lt;=5,$G879&gt;0,$I879&gt;0),$F879*$H879,NA()),NA())</f>
        <v/>
      </c>
      <c r="K879" s="15">
        <f>IF($A879="","",IF(AH!$U$5=1,IFERROR(MATCH($A879,'Live History'!$A$5:$A$3004,0),0),AH!$U$7+874))</f>
        <v/>
      </c>
      <c r="L879" s="15">
        <f>IF(ISNUMBER(A879),TEXT(A879,"dd-mmm-yy"),"")</f>
        <v/>
      </c>
    </row>
    <row r="880">
      <c r="A880" s="14">
        <f>IF(OR(AH!$U$4=0,875+1&gt;AH!$U$6,AND(AH!$M$5="Bloomberg",AH!$U$5=0)),"",IFERROR(IF(AND(AH!$U$12=1,875+1=AH!$U$6),TODAY(),IF(AH!$U$5=1,INDEX('Live History'!$A$5:$A$3004,AH!$U$7+875),INDEX('AH History'!$A$5:$A$1380,AH!$U$7+875))),""))</f>
        <v/>
      </c>
      <c r="B880" s="33">
        <f>IFERROR(IF(AH!$U$11=1,NA(),$J880/$E880-1),NA())</f>
        <v/>
      </c>
      <c r="C880" s="269">
        <f>IFERROR(100*$E880/$E$5,NA())</f>
        <v/>
      </c>
      <c r="D880" s="269">
        <f>IFERROR(100*$J880/$J$5,NA())</f>
        <v/>
      </c>
      <c r="E880" s="32">
        <f>IFERROR(IF(AND(ISNUMBER($A880),N(IF(AND(AH!$U$12=1,875+1=AH!$U$6),IF(AH!$U$4=0,"unavailable",INDEX('Market Data'!$AN$5:$AN$66,AH!$U$4)),IF(AH!$U$5=1,INDEX('Live History'!$B$5:$B$3004,$K880),INDEX('AH History'!$D$5:$GG$1380,$K880,AH!$U$10))))&gt;0),IF(AND(AH!$U$12=1,875+1=AH!$U$6),IF(AH!$U$4=0,"unavailable",INDEX('Market Data'!$AN$5:$AN$66,AH!$U$4)),IF(AH!$U$5=1,INDEX('Live History'!$B$5:$B$3004,$K880),INDEX('AH History'!$D$5:$GG$1380,$K880,AH!$U$10))),NA()),NA())</f>
        <v/>
      </c>
      <c r="F880" s="32">
        <f>IFERROR(IF(ISNUMBER($A880),IF(AND(AH!$U$12=1,875+1=AH!$U$6),IF(AH!$U$4=0,"unavailable",INDEX('Market Data'!$AO$5:$AO$66,AH!$U$4)),IF(AH!$U$5=1,INDEX('Live History'!$E$5:$E$3004,MATCH($A880,'Live History'!$D$5:$D$3004,1)),INDEX('AH History'!$D$5:$GG$1380,$K880,AH!$U$10+1))),NA()),NA())</f>
        <v/>
      </c>
      <c r="G880" s="34">
        <f>IFERROR(IF(ISNUMBER($A880),IF(AND(AH!$U$12=1,875+1=AH!$U$6),IF(AH!$U$4=0,"unavailable",INDEX('Market Data'!$AK$5:$AK$66,AH!$U$4)),IF(AH!$U$5=1,INDEX('Live History'!$D$5:$D$3004,MATCH($A880,'Live History'!$D$5:$D$3004,1)),INDEX('AH History'!$D$5:$GG$1380,$K880,AH!$U$10+2))),NA()),NA())</f>
        <v/>
      </c>
      <c r="H880" s="266">
        <f>IFERROR(IF(ISNUMBER($A880),IF(AND(AH!$U$12=1,875+1=AH!$U$6),IF(AH!$U$4=0,"unavailable",INDEX('Market Data'!$AP$5:$AP$66,AH!$U$4)),IF(AH!$U$5=1,INDEX('Live History'!$H$5:$H$3004,MATCH($A880,'Live History'!$G$5:$G$3004,1)),INDEX('AH History'!$B$5:$B$1380,$K880))),NA()),NA())</f>
        <v/>
      </c>
      <c r="I880" s="34">
        <f>IFERROR(IF(ISNUMBER($A880),IF(AND(AH!$U$12=1,875+1=AH!$U$6),TODAY(),IF(AH!$U$5=1,INDEX('Live History'!$G$5:$G$3004,MATCH($A880,'Live History'!$G$5:$G$3004,1)),INDEX('AH History'!$C$5:$C$1380,$K880))),NA()),NA())</f>
        <v/>
      </c>
      <c r="J880" s="32">
        <f>IFERROR(IF(AND($F880&gt;0,$H880&gt;0,$A880-$G880&lt;=10,$A880-$I880&lt;=5,$G880&gt;0,$I880&gt;0),$F880*$H880,NA()),NA())</f>
        <v/>
      </c>
      <c r="K880" s="15">
        <f>IF($A880="","",IF(AH!$U$5=1,IFERROR(MATCH($A880,'Live History'!$A$5:$A$3004,0),0),AH!$U$7+875))</f>
        <v/>
      </c>
      <c r="L880" s="15">
        <f>IF(ISNUMBER(A880),TEXT(A880,"dd-mmm-yy"),"")</f>
        <v/>
      </c>
    </row>
    <row r="881">
      <c r="A881" s="14">
        <f>IF(OR(AH!$U$4=0,876+1&gt;AH!$U$6,AND(AH!$M$5="Bloomberg",AH!$U$5=0)),"",IFERROR(IF(AND(AH!$U$12=1,876+1=AH!$U$6),TODAY(),IF(AH!$U$5=1,INDEX('Live History'!$A$5:$A$3004,AH!$U$7+876),INDEX('AH History'!$A$5:$A$1380,AH!$U$7+876))),""))</f>
        <v/>
      </c>
      <c r="B881" s="33">
        <f>IFERROR(IF(AH!$U$11=1,NA(),$J881/$E881-1),NA())</f>
        <v/>
      </c>
      <c r="C881" s="269">
        <f>IFERROR(100*$E881/$E$5,NA())</f>
        <v/>
      </c>
      <c r="D881" s="269">
        <f>IFERROR(100*$J881/$J$5,NA())</f>
        <v/>
      </c>
      <c r="E881" s="32">
        <f>IFERROR(IF(AND(ISNUMBER($A881),N(IF(AND(AH!$U$12=1,876+1=AH!$U$6),IF(AH!$U$4=0,"unavailable",INDEX('Market Data'!$AN$5:$AN$66,AH!$U$4)),IF(AH!$U$5=1,INDEX('Live History'!$B$5:$B$3004,$K881),INDEX('AH History'!$D$5:$GG$1380,$K881,AH!$U$10))))&gt;0),IF(AND(AH!$U$12=1,876+1=AH!$U$6),IF(AH!$U$4=0,"unavailable",INDEX('Market Data'!$AN$5:$AN$66,AH!$U$4)),IF(AH!$U$5=1,INDEX('Live History'!$B$5:$B$3004,$K881),INDEX('AH History'!$D$5:$GG$1380,$K881,AH!$U$10))),NA()),NA())</f>
        <v/>
      </c>
      <c r="F881" s="32">
        <f>IFERROR(IF(ISNUMBER($A881),IF(AND(AH!$U$12=1,876+1=AH!$U$6),IF(AH!$U$4=0,"unavailable",INDEX('Market Data'!$AO$5:$AO$66,AH!$U$4)),IF(AH!$U$5=1,INDEX('Live History'!$E$5:$E$3004,MATCH($A881,'Live History'!$D$5:$D$3004,1)),INDEX('AH History'!$D$5:$GG$1380,$K881,AH!$U$10+1))),NA()),NA())</f>
        <v/>
      </c>
      <c r="G881" s="34">
        <f>IFERROR(IF(ISNUMBER($A881),IF(AND(AH!$U$12=1,876+1=AH!$U$6),IF(AH!$U$4=0,"unavailable",INDEX('Market Data'!$AK$5:$AK$66,AH!$U$4)),IF(AH!$U$5=1,INDEX('Live History'!$D$5:$D$3004,MATCH($A881,'Live History'!$D$5:$D$3004,1)),INDEX('AH History'!$D$5:$GG$1380,$K881,AH!$U$10+2))),NA()),NA())</f>
        <v/>
      </c>
      <c r="H881" s="266">
        <f>IFERROR(IF(ISNUMBER($A881),IF(AND(AH!$U$12=1,876+1=AH!$U$6),IF(AH!$U$4=0,"unavailable",INDEX('Market Data'!$AP$5:$AP$66,AH!$U$4)),IF(AH!$U$5=1,INDEX('Live History'!$H$5:$H$3004,MATCH($A881,'Live History'!$G$5:$G$3004,1)),INDEX('AH History'!$B$5:$B$1380,$K881))),NA()),NA())</f>
        <v/>
      </c>
      <c r="I881" s="34">
        <f>IFERROR(IF(ISNUMBER($A881),IF(AND(AH!$U$12=1,876+1=AH!$U$6),TODAY(),IF(AH!$U$5=1,INDEX('Live History'!$G$5:$G$3004,MATCH($A881,'Live History'!$G$5:$G$3004,1)),INDEX('AH History'!$C$5:$C$1380,$K881))),NA()),NA())</f>
        <v/>
      </c>
      <c r="J881" s="32">
        <f>IFERROR(IF(AND($F881&gt;0,$H881&gt;0,$A881-$G881&lt;=10,$A881-$I881&lt;=5,$G881&gt;0,$I881&gt;0),$F881*$H881,NA()),NA())</f>
        <v/>
      </c>
      <c r="K881" s="15">
        <f>IF($A881="","",IF(AH!$U$5=1,IFERROR(MATCH($A881,'Live History'!$A$5:$A$3004,0),0),AH!$U$7+876))</f>
        <v/>
      </c>
      <c r="L881" s="15">
        <f>IF(ISNUMBER(A881),TEXT(A881,"dd-mmm-yy"),"")</f>
        <v/>
      </c>
    </row>
    <row r="882">
      <c r="A882" s="14">
        <f>IF(OR(AH!$U$4=0,877+1&gt;AH!$U$6,AND(AH!$M$5="Bloomberg",AH!$U$5=0)),"",IFERROR(IF(AND(AH!$U$12=1,877+1=AH!$U$6),TODAY(),IF(AH!$U$5=1,INDEX('Live History'!$A$5:$A$3004,AH!$U$7+877),INDEX('AH History'!$A$5:$A$1380,AH!$U$7+877))),""))</f>
        <v/>
      </c>
      <c r="B882" s="33">
        <f>IFERROR(IF(AH!$U$11=1,NA(),$J882/$E882-1),NA())</f>
        <v/>
      </c>
      <c r="C882" s="269">
        <f>IFERROR(100*$E882/$E$5,NA())</f>
        <v/>
      </c>
      <c r="D882" s="269">
        <f>IFERROR(100*$J882/$J$5,NA())</f>
        <v/>
      </c>
      <c r="E882" s="32">
        <f>IFERROR(IF(AND(ISNUMBER($A882),N(IF(AND(AH!$U$12=1,877+1=AH!$U$6),IF(AH!$U$4=0,"unavailable",INDEX('Market Data'!$AN$5:$AN$66,AH!$U$4)),IF(AH!$U$5=1,INDEX('Live History'!$B$5:$B$3004,$K882),INDEX('AH History'!$D$5:$GG$1380,$K882,AH!$U$10))))&gt;0),IF(AND(AH!$U$12=1,877+1=AH!$U$6),IF(AH!$U$4=0,"unavailable",INDEX('Market Data'!$AN$5:$AN$66,AH!$U$4)),IF(AH!$U$5=1,INDEX('Live History'!$B$5:$B$3004,$K882),INDEX('AH History'!$D$5:$GG$1380,$K882,AH!$U$10))),NA()),NA())</f>
        <v/>
      </c>
      <c r="F882" s="32">
        <f>IFERROR(IF(ISNUMBER($A882),IF(AND(AH!$U$12=1,877+1=AH!$U$6),IF(AH!$U$4=0,"unavailable",INDEX('Market Data'!$AO$5:$AO$66,AH!$U$4)),IF(AH!$U$5=1,INDEX('Live History'!$E$5:$E$3004,MATCH($A882,'Live History'!$D$5:$D$3004,1)),INDEX('AH History'!$D$5:$GG$1380,$K882,AH!$U$10+1))),NA()),NA())</f>
        <v/>
      </c>
      <c r="G882" s="34">
        <f>IFERROR(IF(ISNUMBER($A882),IF(AND(AH!$U$12=1,877+1=AH!$U$6),IF(AH!$U$4=0,"unavailable",INDEX('Market Data'!$AK$5:$AK$66,AH!$U$4)),IF(AH!$U$5=1,INDEX('Live History'!$D$5:$D$3004,MATCH($A882,'Live History'!$D$5:$D$3004,1)),INDEX('AH History'!$D$5:$GG$1380,$K882,AH!$U$10+2))),NA()),NA())</f>
        <v/>
      </c>
      <c r="H882" s="266">
        <f>IFERROR(IF(ISNUMBER($A882),IF(AND(AH!$U$12=1,877+1=AH!$U$6),IF(AH!$U$4=0,"unavailable",INDEX('Market Data'!$AP$5:$AP$66,AH!$U$4)),IF(AH!$U$5=1,INDEX('Live History'!$H$5:$H$3004,MATCH($A882,'Live History'!$G$5:$G$3004,1)),INDEX('AH History'!$B$5:$B$1380,$K882))),NA()),NA())</f>
        <v/>
      </c>
      <c r="I882" s="34">
        <f>IFERROR(IF(ISNUMBER($A882),IF(AND(AH!$U$12=1,877+1=AH!$U$6),TODAY(),IF(AH!$U$5=1,INDEX('Live History'!$G$5:$G$3004,MATCH($A882,'Live History'!$G$5:$G$3004,1)),INDEX('AH History'!$C$5:$C$1380,$K882))),NA()),NA())</f>
        <v/>
      </c>
      <c r="J882" s="32">
        <f>IFERROR(IF(AND($F882&gt;0,$H882&gt;0,$A882-$G882&lt;=10,$A882-$I882&lt;=5,$G882&gt;0,$I882&gt;0),$F882*$H882,NA()),NA())</f>
        <v/>
      </c>
      <c r="K882" s="15">
        <f>IF($A882="","",IF(AH!$U$5=1,IFERROR(MATCH($A882,'Live History'!$A$5:$A$3004,0),0),AH!$U$7+877))</f>
        <v/>
      </c>
      <c r="L882" s="15">
        <f>IF(ISNUMBER(A882),TEXT(A882,"dd-mmm-yy"),"")</f>
        <v/>
      </c>
    </row>
    <row r="883">
      <c r="A883" s="14">
        <f>IF(OR(AH!$U$4=0,878+1&gt;AH!$U$6,AND(AH!$M$5="Bloomberg",AH!$U$5=0)),"",IFERROR(IF(AND(AH!$U$12=1,878+1=AH!$U$6),TODAY(),IF(AH!$U$5=1,INDEX('Live History'!$A$5:$A$3004,AH!$U$7+878),INDEX('AH History'!$A$5:$A$1380,AH!$U$7+878))),""))</f>
        <v/>
      </c>
      <c r="B883" s="33">
        <f>IFERROR(IF(AH!$U$11=1,NA(),$J883/$E883-1),NA())</f>
        <v/>
      </c>
      <c r="C883" s="269">
        <f>IFERROR(100*$E883/$E$5,NA())</f>
        <v/>
      </c>
      <c r="D883" s="269">
        <f>IFERROR(100*$J883/$J$5,NA())</f>
        <v/>
      </c>
      <c r="E883" s="32">
        <f>IFERROR(IF(AND(ISNUMBER($A883),N(IF(AND(AH!$U$12=1,878+1=AH!$U$6),IF(AH!$U$4=0,"unavailable",INDEX('Market Data'!$AN$5:$AN$66,AH!$U$4)),IF(AH!$U$5=1,INDEX('Live History'!$B$5:$B$3004,$K883),INDEX('AH History'!$D$5:$GG$1380,$K883,AH!$U$10))))&gt;0),IF(AND(AH!$U$12=1,878+1=AH!$U$6),IF(AH!$U$4=0,"unavailable",INDEX('Market Data'!$AN$5:$AN$66,AH!$U$4)),IF(AH!$U$5=1,INDEX('Live History'!$B$5:$B$3004,$K883),INDEX('AH History'!$D$5:$GG$1380,$K883,AH!$U$10))),NA()),NA())</f>
        <v/>
      </c>
      <c r="F883" s="32">
        <f>IFERROR(IF(ISNUMBER($A883),IF(AND(AH!$U$12=1,878+1=AH!$U$6),IF(AH!$U$4=0,"unavailable",INDEX('Market Data'!$AO$5:$AO$66,AH!$U$4)),IF(AH!$U$5=1,INDEX('Live History'!$E$5:$E$3004,MATCH($A883,'Live History'!$D$5:$D$3004,1)),INDEX('AH History'!$D$5:$GG$1380,$K883,AH!$U$10+1))),NA()),NA())</f>
        <v/>
      </c>
      <c r="G883" s="34">
        <f>IFERROR(IF(ISNUMBER($A883),IF(AND(AH!$U$12=1,878+1=AH!$U$6),IF(AH!$U$4=0,"unavailable",INDEX('Market Data'!$AK$5:$AK$66,AH!$U$4)),IF(AH!$U$5=1,INDEX('Live History'!$D$5:$D$3004,MATCH($A883,'Live History'!$D$5:$D$3004,1)),INDEX('AH History'!$D$5:$GG$1380,$K883,AH!$U$10+2))),NA()),NA())</f>
        <v/>
      </c>
      <c r="H883" s="266">
        <f>IFERROR(IF(ISNUMBER($A883),IF(AND(AH!$U$12=1,878+1=AH!$U$6),IF(AH!$U$4=0,"unavailable",INDEX('Market Data'!$AP$5:$AP$66,AH!$U$4)),IF(AH!$U$5=1,INDEX('Live History'!$H$5:$H$3004,MATCH($A883,'Live History'!$G$5:$G$3004,1)),INDEX('AH History'!$B$5:$B$1380,$K883))),NA()),NA())</f>
        <v/>
      </c>
      <c r="I883" s="34">
        <f>IFERROR(IF(ISNUMBER($A883),IF(AND(AH!$U$12=1,878+1=AH!$U$6),TODAY(),IF(AH!$U$5=1,INDEX('Live History'!$G$5:$G$3004,MATCH($A883,'Live History'!$G$5:$G$3004,1)),INDEX('AH History'!$C$5:$C$1380,$K883))),NA()),NA())</f>
        <v/>
      </c>
      <c r="J883" s="32">
        <f>IFERROR(IF(AND($F883&gt;0,$H883&gt;0,$A883-$G883&lt;=10,$A883-$I883&lt;=5,$G883&gt;0,$I883&gt;0),$F883*$H883,NA()),NA())</f>
        <v/>
      </c>
      <c r="K883" s="15">
        <f>IF($A883="","",IF(AH!$U$5=1,IFERROR(MATCH($A883,'Live History'!$A$5:$A$3004,0),0),AH!$U$7+878))</f>
        <v/>
      </c>
      <c r="L883" s="15">
        <f>IF(ISNUMBER(A883),TEXT(A883,"dd-mmm-yy"),"")</f>
        <v/>
      </c>
    </row>
    <row r="884">
      <c r="A884" s="14">
        <f>IF(OR(AH!$U$4=0,879+1&gt;AH!$U$6,AND(AH!$M$5="Bloomberg",AH!$U$5=0)),"",IFERROR(IF(AND(AH!$U$12=1,879+1=AH!$U$6),TODAY(),IF(AH!$U$5=1,INDEX('Live History'!$A$5:$A$3004,AH!$U$7+879),INDEX('AH History'!$A$5:$A$1380,AH!$U$7+879))),""))</f>
        <v/>
      </c>
      <c r="B884" s="33">
        <f>IFERROR(IF(AH!$U$11=1,NA(),$J884/$E884-1),NA())</f>
        <v/>
      </c>
      <c r="C884" s="269">
        <f>IFERROR(100*$E884/$E$5,NA())</f>
        <v/>
      </c>
      <c r="D884" s="269">
        <f>IFERROR(100*$J884/$J$5,NA())</f>
        <v/>
      </c>
      <c r="E884" s="32">
        <f>IFERROR(IF(AND(ISNUMBER($A884),N(IF(AND(AH!$U$12=1,879+1=AH!$U$6),IF(AH!$U$4=0,"unavailable",INDEX('Market Data'!$AN$5:$AN$66,AH!$U$4)),IF(AH!$U$5=1,INDEX('Live History'!$B$5:$B$3004,$K884),INDEX('AH History'!$D$5:$GG$1380,$K884,AH!$U$10))))&gt;0),IF(AND(AH!$U$12=1,879+1=AH!$U$6),IF(AH!$U$4=0,"unavailable",INDEX('Market Data'!$AN$5:$AN$66,AH!$U$4)),IF(AH!$U$5=1,INDEX('Live History'!$B$5:$B$3004,$K884),INDEX('AH History'!$D$5:$GG$1380,$K884,AH!$U$10))),NA()),NA())</f>
        <v/>
      </c>
      <c r="F884" s="32">
        <f>IFERROR(IF(ISNUMBER($A884),IF(AND(AH!$U$12=1,879+1=AH!$U$6),IF(AH!$U$4=0,"unavailable",INDEX('Market Data'!$AO$5:$AO$66,AH!$U$4)),IF(AH!$U$5=1,INDEX('Live History'!$E$5:$E$3004,MATCH($A884,'Live History'!$D$5:$D$3004,1)),INDEX('AH History'!$D$5:$GG$1380,$K884,AH!$U$10+1))),NA()),NA())</f>
        <v/>
      </c>
      <c r="G884" s="34">
        <f>IFERROR(IF(ISNUMBER($A884),IF(AND(AH!$U$12=1,879+1=AH!$U$6),IF(AH!$U$4=0,"unavailable",INDEX('Market Data'!$AK$5:$AK$66,AH!$U$4)),IF(AH!$U$5=1,INDEX('Live History'!$D$5:$D$3004,MATCH($A884,'Live History'!$D$5:$D$3004,1)),INDEX('AH History'!$D$5:$GG$1380,$K884,AH!$U$10+2))),NA()),NA())</f>
        <v/>
      </c>
      <c r="H884" s="266">
        <f>IFERROR(IF(ISNUMBER($A884),IF(AND(AH!$U$12=1,879+1=AH!$U$6),IF(AH!$U$4=0,"unavailable",INDEX('Market Data'!$AP$5:$AP$66,AH!$U$4)),IF(AH!$U$5=1,INDEX('Live History'!$H$5:$H$3004,MATCH($A884,'Live History'!$G$5:$G$3004,1)),INDEX('AH History'!$B$5:$B$1380,$K884))),NA()),NA())</f>
        <v/>
      </c>
      <c r="I884" s="34">
        <f>IFERROR(IF(ISNUMBER($A884),IF(AND(AH!$U$12=1,879+1=AH!$U$6),TODAY(),IF(AH!$U$5=1,INDEX('Live History'!$G$5:$G$3004,MATCH($A884,'Live History'!$G$5:$G$3004,1)),INDEX('AH History'!$C$5:$C$1380,$K884))),NA()),NA())</f>
        <v/>
      </c>
      <c r="J884" s="32">
        <f>IFERROR(IF(AND($F884&gt;0,$H884&gt;0,$A884-$G884&lt;=10,$A884-$I884&lt;=5,$G884&gt;0,$I884&gt;0),$F884*$H884,NA()),NA())</f>
        <v/>
      </c>
      <c r="K884" s="15">
        <f>IF($A884="","",IF(AH!$U$5=1,IFERROR(MATCH($A884,'Live History'!$A$5:$A$3004,0),0),AH!$U$7+879))</f>
        <v/>
      </c>
      <c r="L884" s="15">
        <f>IF(ISNUMBER(A884),TEXT(A884,"dd-mmm-yy"),"")</f>
        <v/>
      </c>
    </row>
    <row r="885">
      <c r="A885" s="14">
        <f>IF(OR(AH!$U$4=0,880+1&gt;AH!$U$6,AND(AH!$M$5="Bloomberg",AH!$U$5=0)),"",IFERROR(IF(AND(AH!$U$12=1,880+1=AH!$U$6),TODAY(),IF(AH!$U$5=1,INDEX('Live History'!$A$5:$A$3004,AH!$U$7+880),INDEX('AH History'!$A$5:$A$1380,AH!$U$7+880))),""))</f>
        <v/>
      </c>
      <c r="B885" s="33">
        <f>IFERROR(IF(AH!$U$11=1,NA(),$J885/$E885-1),NA())</f>
        <v/>
      </c>
      <c r="C885" s="269">
        <f>IFERROR(100*$E885/$E$5,NA())</f>
        <v/>
      </c>
      <c r="D885" s="269">
        <f>IFERROR(100*$J885/$J$5,NA())</f>
        <v/>
      </c>
      <c r="E885" s="32">
        <f>IFERROR(IF(AND(ISNUMBER($A885),N(IF(AND(AH!$U$12=1,880+1=AH!$U$6),IF(AH!$U$4=0,"unavailable",INDEX('Market Data'!$AN$5:$AN$66,AH!$U$4)),IF(AH!$U$5=1,INDEX('Live History'!$B$5:$B$3004,$K885),INDEX('AH History'!$D$5:$GG$1380,$K885,AH!$U$10))))&gt;0),IF(AND(AH!$U$12=1,880+1=AH!$U$6),IF(AH!$U$4=0,"unavailable",INDEX('Market Data'!$AN$5:$AN$66,AH!$U$4)),IF(AH!$U$5=1,INDEX('Live History'!$B$5:$B$3004,$K885),INDEX('AH History'!$D$5:$GG$1380,$K885,AH!$U$10))),NA()),NA())</f>
        <v/>
      </c>
      <c r="F885" s="32">
        <f>IFERROR(IF(ISNUMBER($A885),IF(AND(AH!$U$12=1,880+1=AH!$U$6),IF(AH!$U$4=0,"unavailable",INDEX('Market Data'!$AO$5:$AO$66,AH!$U$4)),IF(AH!$U$5=1,INDEX('Live History'!$E$5:$E$3004,MATCH($A885,'Live History'!$D$5:$D$3004,1)),INDEX('AH History'!$D$5:$GG$1380,$K885,AH!$U$10+1))),NA()),NA())</f>
        <v/>
      </c>
      <c r="G885" s="34">
        <f>IFERROR(IF(ISNUMBER($A885),IF(AND(AH!$U$12=1,880+1=AH!$U$6),IF(AH!$U$4=0,"unavailable",INDEX('Market Data'!$AK$5:$AK$66,AH!$U$4)),IF(AH!$U$5=1,INDEX('Live History'!$D$5:$D$3004,MATCH($A885,'Live History'!$D$5:$D$3004,1)),INDEX('AH History'!$D$5:$GG$1380,$K885,AH!$U$10+2))),NA()),NA())</f>
        <v/>
      </c>
      <c r="H885" s="266">
        <f>IFERROR(IF(ISNUMBER($A885),IF(AND(AH!$U$12=1,880+1=AH!$U$6),IF(AH!$U$4=0,"unavailable",INDEX('Market Data'!$AP$5:$AP$66,AH!$U$4)),IF(AH!$U$5=1,INDEX('Live History'!$H$5:$H$3004,MATCH($A885,'Live History'!$G$5:$G$3004,1)),INDEX('AH History'!$B$5:$B$1380,$K885))),NA()),NA())</f>
        <v/>
      </c>
      <c r="I885" s="34">
        <f>IFERROR(IF(ISNUMBER($A885),IF(AND(AH!$U$12=1,880+1=AH!$U$6),TODAY(),IF(AH!$U$5=1,INDEX('Live History'!$G$5:$G$3004,MATCH($A885,'Live History'!$G$5:$G$3004,1)),INDEX('AH History'!$C$5:$C$1380,$K885))),NA()),NA())</f>
        <v/>
      </c>
      <c r="J885" s="32">
        <f>IFERROR(IF(AND($F885&gt;0,$H885&gt;0,$A885-$G885&lt;=10,$A885-$I885&lt;=5,$G885&gt;0,$I885&gt;0),$F885*$H885,NA()),NA())</f>
        <v/>
      </c>
      <c r="K885" s="15">
        <f>IF($A885="","",IF(AH!$U$5=1,IFERROR(MATCH($A885,'Live History'!$A$5:$A$3004,0),0),AH!$U$7+880))</f>
        <v/>
      </c>
      <c r="L885" s="15">
        <f>IF(ISNUMBER(A885),TEXT(A885,"dd-mmm-yy"),"")</f>
        <v/>
      </c>
    </row>
    <row r="886">
      <c r="A886" s="14">
        <f>IF(OR(AH!$U$4=0,881+1&gt;AH!$U$6,AND(AH!$M$5="Bloomberg",AH!$U$5=0)),"",IFERROR(IF(AND(AH!$U$12=1,881+1=AH!$U$6),TODAY(),IF(AH!$U$5=1,INDEX('Live History'!$A$5:$A$3004,AH!$U$7+881),INDEX('AH History'!$A$5:$A$1380,AH!$U$7+881))),""))</f>
        <v/>
      </c>
      <c r="B886" s="33">
        <f>IFERROR(IF(AH!$U$11=1,NA(),$J886/$E886-1),NA())</f>
        <v/>
      </c>
      <c r="C886" s="269">
        <f>IFERROR(100*$E886/$E$5,NA())</f>
        <v/>
      </c>
      <c r="D886" s="269">
        <f>IFERROR(100*$J886/$J$5,NA())</f>
        <v/>
      </c>
      <c r="E886" s="32">
        <f>IFERROR(IF(AND(ISNUMBER($A886),N(IF(AND(AH!$U$12=1,881+1=AH!$U$6),IF(AH!$U$4=0,"unavailable",INDEX('Market Data'!$AN$5:$AN$66,AH!$U$4)),IF(AH!$U$5=1,INDEX('Live History'!$B$5:$B$3004,$K886),INDEX('AH History'!$D$5:$GG$1380,$K886,AH!$U$10))))&gt;0),IF(AND(AH!$U$12=1,881+1=AH!$U$6),IF(AH!$U$4=0,"unavailable",INDEX('Market Data'!$AN$5:$AN$66,AH!$U$4)),IF(AH!$U$5=1,INDEX('Live History'!$B$5:$B$3004,$K886),INDEX('AH History'!$D$5:$GG$1380,$K886,AH!$U$10))),NA()),NA())</f>
        <v/>
      </c>
      <c r="F886" s="32">
        <f>IFERROR(IF(ISNUMBER($A886),IF(AND(AH!$U$12=1,881+1=AH!$U$6),IF(AH!$U$4=0,"unavailable",INDEX('Market Data'!$AO$5:$AO$66,AH!$U$4)),IF(AH!$U$5=1,INDEX('Live History'!$E$5:$E$3004,MATCH($A886,'Live History'!$D$5:$D$3004,1)),INDEX('AH History'!$D$5:$GG$1380,$K886,AH!$U$10+1))),NA()),NA())</f>
        <v/>
      </c>
      <c r="G886" s="34">
        <f>IFERROR(IF(ISNUMBER($A886),IF(AND(AH!$U$12=1,881+1=AH!$U$6),IF(AH!$U$4=0,"unavailable",INDEX('Market Data'!$AK$5:$AK$66,AH!$U$4)),IF(AH!$U$5=1,INDEX('Live History'!$D$5:$D$3004,MATCH($A886,'Live History'!$D$5:$D$3004,1)),INDEX('AH History'!$D$5:$GG$1380,$K886,AH!$U$10+2))),NA()),NA())</f>
        <v/>
      </c>
      <c r="H886" s="266">
        <f>IFERROR(IF(ISNUMBER($A886),IF(AND(AH!$U$12=1,881+1=AH!$U$6),IF(AH!$U$4=0,"unavailable",INDEX('Market Data'!$AP$5:$AP$66,AH!$U$4)),IF(AH!$U$5=1,INDEX('Live History'!$H$5:$H$3004,MATCH($A886,'Live History'!$G$5:$G$3004,1)),INDEX('AH History'!$B$5:$B$1380,$K886))),NA()),NA())</f>
        <v/>
      </c>
      <c r="I886" s="34">
        <f>IFERROR(IF(ISNUMBER($A886),IF(AND(AH!$U$12=1,881+1=AH!$U$6),TODAY(),IF(AH!$U$5=1,INDEX('Live History'!$G$5:$G$3004,MATCH($A886,'Live History'!$G$5:$G$3004,1)),INDEX('AH History'!$C$5:$C$1380,$K886))),NA()),NA())</f>
        <v/>
      </c>
      <c r="J886" s="32">
        <f>IFERROR(IF(AND($F886&gt;0,$H886&gt;0,$A886-$G886&lt;=10,$A886-$I886&lt;=5,$G886&gt;0,$I886&gt;0),$F886*$H886,NA()),NA())</f>
        <v/>
      </c>
      <c r="K886" s="15">
        <f>IF($A886="","",IF(AH!$U$5=1,IFERROR(MATCH($A886,'Live History'!$A$5:$A$3004,0),0),AH!$U$7+881))</f>
        <v/>
      </c>
      <c r="L886" s="15">
        <f>IF(ISNUMBER(A886),TEXT(A886,"dd-mmm-yy"),"")</f>
        <v/>
      </c>
    </row>
    <row r="887">
      <c r="A887" s="14">
        <f>IF(OR(AH!$U$4=0,882+1&gt;AH!$U$6,AND(AH!$M$5="Bloomberg",AH!$U$5=0)),"",IFERROR(IF(AND(AH!$U$12=1,882+1=AH!$U$6),TODAY(),IF(AH!$U$5=1,INDEX('Live History'!$A$5:$A$3004,AH!$U$7+882),INDEX('AH History'!$A$5:$A$1380,AH!$U$7+882))),""))</f>
        <v/>
      </c>
      <c r="B887" s="33">
        <f>IFERROR(IF(AH!$U$11=1,NA(),$J887/$E887-1),NA())</f>
        <v/>
      </c>
      <c r="C887" s="269">
        <f>IFERROR(100*$E887/$E$5,NA())</f>
        <v/>
      </c>
      <c r="D887" s="269">
        <f>IFERROR(100*$J887/$J$5,NA())</f>
        <v/>
      </c>
      <c r="E887" s="32">
        <f>IFERROR(IF(AND(ISNUMBER($A887),N(IF(AND(AH!$U$12=1,882+1=AH!$U$6),IF(AH!$U$4=0,"unavailable",INDEX('Market Data'!$AN$5:$AN$66,AH!$U$4)),IF(AH!$U$5=1,INDEX('Live History'!$B$5:$B$3004,$K887),INDEX('AH History'!$D$5:$GG$1380,$K887,AH!$U$10))))&gt;0),IF(AND(AH!$U$12=1,882+1=AH!$U$6),IF(AH!$U$4=0,"unavailable",INDEX('Market Data'!$AN$5:$AN$66,AH!$U$4)),IF(AH!$U$5=1,INDEX('Live History'!$B$5:$B$3004,$K887),INDEX('AH History'!$D$5:$GG$1380,$K887,AH!$U$10))),NA()),NA())</f>
        <v/>
      </c>
      <c r="F887" s="32">
        <f>IFERROR(IF(ISNUMBER($A887),IF(AND(AH!$U$12=1,882+1=AH!$U$6),IF(AH!$U$4=0,"unavailable",INDEX('Market Data'!$AO$5:$AO$66,AH!$U$4)),IF(AH!$U$5=1,INDEX('Live History'!$E$5:$E$3004,MATCH($A887,'Live History'!$D$5:$D$3004,1)),INDEX('AH History'!$D$5:$GG$1380,$K887,AH!$U$10+1))),NA()),NA())</f>
        <v/>
      </c>
      <c r="G887" s="34">
        <f>IFERROR(IF(ISNUMBER($A887),IF(AND(AH!$U$12=1,882+1=AH!$U$6),IF(AH!$U$4=0,"unavailable",INDEX('Market Data'!$AK$5:$AK$66,AH!$U$4)),IF(AH!$U$5=1,INDEX('Live History'!$D$5:$D$3004,MATCH($A887,'Live History'!$D$5:$D$3004,1)),INDEX('AH History'!$D$5:$GG$1380,$K887,AH!$U$10+2))),NA()),NA())</f>
        <v/>
      </c>
      <c r="H887" s="266">
        <f>IFERROR(IF(ISNUMBER($A887),IF(AND(AH!$U$12=1,882+1=AH!$U$6),IF(AH!$U$4=0,"unavailable",INDEX('Market Data'!$AP$5:$AP$66,AH!$U$4)),IF(AH!$U$5=1,INDEX('Live History'!$H$5:$H$3004,MATCH($A887,'Live History'!$G$5:$G$3004,1)),INDEX('AH History'!$B$5:$B$1380,$K887))),NA()),NA())</f>
        <v/>
      </c>
      <c r="I887" s="34">
        <f>IFERROR(IF(ISNUMBER($A887),IF(AND(AH!$U$12=1,882+1=AH!$U$6),TODAY(),IF(AH!$U$5=1,INDEX('Live History'!$G$5:$G$3004,MATCH($A887,'Live History'!$G$5:$G$3004,1)),INDEX('AH History'!$C$5:$C$1380,$K887))),NA()),NA())</f>
        <v/>
      </c>
      <c r="J887" s="32">
        <f>IFERROR(IF(AND($F887&gt;0,$H887&gt;0,$A887-$G887&lt;=10,$A887-$I887&lt;=5,$G887&gt;0,$I887&gt;0),$F887*$H887,NA()),NA())</f>
        <v/>
      </c>
      <c r="K887" s="15">
        <f>IF($A887="","",IF(AH!$U$5=1,IFERROR(MATCH($A887,'Live History'!$A$5:$A$3004,0),0),AH!$U$7+882))</f>
        <v/>
      </c>
      <c r="L887" s="15">
        <f>IF(ISNUMBER(A887),TEXT(A887,"dd-mmm-yy"),"")</f>
        <v/>
      </c>
    </row>
    <row r="888">
      <c r="A888" s="14">
        <f>IF(OR(AH!$U$4=0,883+1&gt;AH!$U$6,AND(AH!$M$5="Bloomberg",AH!$U$5=0)),"",IFERROR(IF(AND(AH!$U$12=1,883+1=AH!$U$6),TODAY(),IF(AH!$U$5=1,INDEX('Live History'!$A$5:$A$3004,AH!$U$7+883),INDEX('AH History'!$A$5:$A$1380,AH!$U$7+883))),""))</f>
        <v/>
      </c>
      <c r="B888" s="33">
        <f>IFERROR(IF(AH!$U$11=1,NA(),$J888/$E888-1),NA())</f>
        <v/>
      </c>
      <c r="C888" s="269">
        <f>IFERROR(100*$E888/$E$5,NA())</f>
        <v/>
      </c>
      <c r="D888" s="269">
        <f>IFERROR(100*$J888/$J$5,NA())</f>
        <v/>
      </c>
      <c r="E888" s="32">
        <f>IFERROR(IF(AND(ISNUMBER($A888),N(IF(AND(AH!$U$12=1,883+1=AH!$U$6),IF(AH!$U$4=0,"unavailable",INDEX('Market Data'!$AN$5:$AN$66,AH!$U$4)),IF(AH!$U$5=1,INDEX('Live History'!$B$5:$B$3004,$K888),INDEX('AH History'!$D$5:$GG$1380,$K888,AH!$U$10))))&gt;0),IF(AND(AH!$U$12=1,883+1=AH!$U$6),IF(AH!$U$4=0,"unavailable",INDEX('Market Data'!$AN$5:$AN$66,AH!$U$4)),IF(AH!$U$5=1,INDEX('Live History'!$B$5:$B$3004,$K888),INDEX('AH History'!$D$5:$GG$1380,$K888,AH!$U$10))),NA()),NA())</f>
        <v/>
      </c>
      <c r="F888" s="32">
        <f>IFERROR(IF(ISNUMBER($A888),IF(AND(AH!$U$12=1,883+1=AH!$U$6),IF(AH!$U$4=0,"unavailable",INDEX('Market Data'!$AO$5:$AO$66,AH!$U$4)),IF(AH!$U$5=1,INDEX('Live History'!$E$5:$E$3004,MATCH($A888,'Live History'!$D$5:$D$3004,1)),INDEX('AH History'!$D$5:$GG$1380,$K888,AH!$U$10+1))),NA()),NA())</f>
        <v/>
      </c>
      <c r="G888" s="34">
        <f>IFERROR(IF(ISNUMBER($A888),IF(AND(AH!$U$12=1,883+1=AH!$U$6),IF(AH!$U$4=0,"unavailable",INDEX('Market Data'!$AK$5:$AK$66,AH!$U$4)),IF(AH!$U$5=1,INDEX('Live History'!$D$5:$D$3004,MATCH($A888,'Live History'!$D$5:$D$3004,1)),INDEX('AH History'!$D$5:$GG$1380,$K888,AH!$U$10+2))),NA()),NA())</f>
        <v/>
      </c>
      <c r="H888" s="266">
        <f>IFERROR(IF(ISNUMBER($A888),IF(AND(AH!$U$12=1,883+1=AH!$U$6),IF(AH!$U$4=0,"unavailable",INDEX('Market Data'!$AP$5:$AP$66,AH!$U$4)),IF(AH!$U$5=1,INDEX('Live History'!$H$5:$H$3004,MATCH($A888,'Live History'!$G$5:$G$3004,1)),INDEX('AH History'!$B$5:$B$1380,$K888))),NA()),NA())</f>
        <v/>
      </c>
      <c r="I888" s="34">
        <f>IFERROR(IF(ISNUMBER($A888),IF(AND(AH!$U$12=1,883+1=AH!$U$6),TODAY(),IF(AH!$U$5=1,INDEX('Live History'!$G$5:$G$3004,MATCH($A888,'Live History'!$G$5:$G$3004,1)),INDEX('AH History'!$C$5:$C$1380,$K888))),NA()),NA())</f>
        <v/>
      </c>
      <c r="J888" s="32">
        <f>IFERROR(IF(AND($F888&gt;0,$H888&gt;0,$A888-$G888&lt;=10,$A888-$I888&lt;=5,$G888&gt;0,$I888&gt;0),$F888*$H888,NA()),NA())</f>
        <v/>
      </c>
      <c r="K888" s="15">
        <f>IF($A888="","",IF(AH!$U$5=1,IFERROR(MATCH($A888,'Live History'!$A$5:$A$3004,0),0),AH!$U$7+883))</f>
        <v/>
      </c>
      <c r="L888" s="15">
        <f>IF(ISNUMBER(A888),TEXT(A888,"dd-mmm-yy"),"")</f>
        <v/>
      </c>
    </row>
    <row r="889">
      <c r="A889" s="14">
        <f>IF(OR(AH!$U$4=0,884+1&gt;AH!$U$6,AND(AH!$M$5="Bloomberg",AH!$U$5=0)),"",IFERROR(IF(AND(AH!$U$12=1,884+1=AH!$U$6),TODAY(),IF(AH!$U$5=1,INDEX('Live History'!$A$5:$A$3004,AH!$U$7+884),INDEX('AH History'!$A$5:$A$1380,AH!$U$7+884))),""))</f>
        <v/>
      </c>
      <c r="B889" s="33">
        <f>IFERROR(IF(AH!$U$11=1,NA(),$J889/$E889-1),NA())</f>
        <v/>
      </c>
      <c r="C889" s="269">
        <f>IFERROR(100*$E889/$E$5,NA())</f>
        <v/>
      </c>
      <c r="D889" s="269">
        <f>IFERROR(100*$J889/$J$5,NA())</f>
        <v/>
      </c>
      <c r="E889" s="32">
        <f>IFERROR(IF(AND(ISNUMBER($A889),N(IF(AND(AH!$U$12=1,884+1=AH!$U$6),IF(AH!$U$4=0,"unavailable",INDEX('Market Data'!$AN$5:$AN$66,AH!$U$4)),IF(AH!$U$5=1,INDEX('Live History'!$B$5:$B$3004,$K889),INDEX('AH History'!$D$5:$GG$1380,$K889,AH!$U$10))))&gt;0),IF(AND(AH!$U$12=1,884+1=AH!$U$6),IF(AH!$U$4=0,"unavailable",INDEX('Market Data'!$AN$5:$AN$66,AH!$U$4)),IF(AH!$U$5=1,INDEX('Live History'!$B$5:$B$3004,$K889),INDEX('AH History'!$D$5:$GG$1380,$K889,AH!$U$10))),NA()),NA())</f>
        <v/>
      </c>
      <c r="F889" s="32">
        <f>IFERROR(IF(ISNUMBER($A889),IF(AND(AH!$U$12=1,884+1=AH!$U$6),IF(AH!$U$4=0,"unavailable",INDEX('Market Data'!$AO$5:$AO$66,AH!$U$4)),IF(AH!$U$5=1,INDEX('Live History'!$E$5:$E$3004,MATCH($A889,'Live History'!$D$5:$D$3004,1)),INDEX('AH History'!$D$5:$GG$1380,$K889,AH!$U$10+1))),NA()),NA())</f>
        <v/>
      </c>
      <c r="G889" s="34">
        <f>IFERROR(IF(ISNUMBER($A889),IF(AND(AH!$U$12=1,884+1=AH!$U$6),IF(AH!$U$4=0,"unavailable",INDEX('Market Data'!$AK$5:$AK$66,AH!$U$4)),IF(AH!$U$5=1,INDEX('Live History'!$D$5:$D$3004,MATCH($A889,'Live History'!$D$5:$D$3004,1)),INDEX('AH History'!$D$5:$GG$1380,$K889,AH!$U$10+2))),NA()),NA())</f>
        <v/>
      </c>
      <c r="H889" s="266">
        <f>IFERROR(IF(ISNUMBER($A889),IF(AND(AH!$U$12=1,884+1=AH!$U$6),IF(AH!$U$4=0,"unavailable",INDEX('Market Data'!$AP$5:$AP$66,AH!$U$4)),IF(AH!$U$5=1,INDEX('Live History'!$H$5:$H$3004,MATCH($A889,'Live History'!$G$5:$G$3004,1)),INDEX('AH History'!$B$5:$B$1380,$K889))),NA()),NA())</f>
        <v/>
      </c>
      <c r="I889" s="34">
        <f>IFERROR(IF(ISNUMBER($A889),IF(AND(AH!$U$12=1,884+1=AH!$U$6),TODAY(),IF(AH!$U$5=1,INDEX('Live History'!$G$5:$G$3004,MATCH($A889,'Live History'!$G$5:$G$3004,1)),INDEX('AH History'!$C$5:$C$1380,$K889))),NA()),NA())</f>
        <v/>
      </c>
      <c r="J889" s="32">
        <f>IFERROR(IF(AND($F889&gt;0,$H889&gt;0,$A889-$G889&lt;=10,$A889-$I889&lt;=5,$G889&gt;0,$I889&gt;0),$F889*$H889,NA()),NA())</f>
        <v/>
      </c>
      <c r="K889" s="15">
        <f>IF($A889="","",IF(AH!$U$5=1,IFERROR(MATCH($A889,'Live History'!$A$5:$A$3004,0),0),AH!$U$7+884))</f>
        <v/>
      </c>
      <c r="L889" s="15">
        <f>IF(ISNUMBER(A889),TEXT(A889,"dd-mmm-yy"),"")</f>
        <v/>
      </c>
    </row>
    <row r="890">
      <c r="A890" s="14">
        <f>IF(OR(AH!$U$4=0,885+1&gt;AH!$U$6,AND(AH!$M$5="Bloomberg",AH!$U$5=0)),"",IFERROR(IF(AND(AH!$U$12=1,885+1=AH!$U$6),TODAY(),IF(AH!$U$5=1,INDEX('Live History'!$A$5:$A$3004,AH!$U$7+885),INDEX('AH History'!$A$5:$A$1380,AH!$U$7+885))),""))</f>
        <v/>
      </c>
      <c r="B890" s="33">
        <f>IFERROR(IF(AH!$U$11=1,NA(),$J890/$E890-1),NA())</f>
        <v/>
      </c>
      <c r="C890" s="269">
        <f>IFERROR(100*$E890/$E$5,NA())</f>
        <v/>
      </c>
      <c r="D890" s="269">
        <f>IFERROR(100*$J890/$J$5,NA())</f>
        <v/>
      </c>
      <c r="E890" s="32">
        <f>IFERROR(IF(AND(ISNUMBER($A890),N(IF(AND(AH!$U$12=1,885+1=AH!$U$6),IF(AH!$U$4=0,"unavailable",INDEX('Market Data'!$AN$5:$AN$66,AH!$U$4)),IF(AH!$U$5=1,INDEX('Live History'!$B$5:$B$3004,$K890),INDEX('AH History'!$D$5:$GG$1380,$K890,AH!$U$10))))&gt;0),IF(AND(AH!$U$12=1,885+1=AH!$U$6),IF(AH!$U$4=0,"unavailable",INDEX('Market Data'!$AN$5:$AN$66,AH!$U$4)),IF(AH!$U$5=1,INDEX('Live History'!$B$5:$B$3004,$K890),INDEX('AH History'!$D$5:$GG$1380,$K890,AH!$U$10))),NA()),NA())</f>
        <v/>
      </c>
      <c r="F890" s="32">
        <f>IFERROR(IF(ISNUMBER($A890),IF(AND(AH!$U$12=1,885+1=AH!$U$6),IF(AH!$U$4=0,"unavailable",INDEX('Market Data'!$AO$5:$AO$66,AH!$U$4)),IF(AH!$U$5=1,INDEX('Live History'!$E$5:$E$3004,MATCH($A890,'Live History'!$D$5:$D$3004,1)),INDEX('AH History'!$D$5:$GG$1380,$K890,AH!$U$10+1))),NA()),NA())</f>
        <v/>
      </c>
      <c r="G890" s="34">
        <f>IFERROR(IF(ISNUMBER($A890),IF(AND(AH!$U$12=1,885+1=AH!$U$6),IF(AH!$U$4=0,"unavailable",INDEX('Market Data'!$AK$5:$AK$66,AH!$U$4)),IF(AH!$U$5=1,INDEX('Live History'!$D$5:$D$3004,MATCH($A890,'Live History'!$D$5:$D$3004,1)),INDEX('AH History'!$D$5:$GG$1380,$K890,AH!$U$10+2))),NA()),NA())</f>
        <v/>
      </c>
      <c r="H890" s="266">
        <f>IFERROR(IF(ISNUMBER($A890),IF(AND(AH!$U$12=1,885+1=AH!$U$6),IF(AH!$U$4=0,"unavailable",INDEX('Market Data'!$AP$5:$AP$66,AH!$U$4)),IF(AH!$U$5=1,INDEX('Live History'!$H$5:$H$3004,MATCH($A890,'Live History'!$G$5:$G$3004,1)),INDEX('AH History'!$B$5:$B$1380,$K890))),NA()),NA())</f>
        <v/>
      </c>
      <c r="I890" s="34">
        <f>IFERROR(IF(ISNUMBER($A890),IF(AND(AH!$U$12=1,885+1=AH!$U$6),TODAY(),IF(AH!$U$5=1,INDEX('Live History'!$G$5:$G$3004,MATCH($A890,'Live History'!$G$5:$G$3004,1)),INDEX('AH History'!$C$5:$C$1380,$K890))),NA()),NA())</f>
        <v/>
      </c>
      <c r="J890" s="32">
        <f>IFERROR(IF(AND($F890&gt;0,$H890&gt;0,$A890-$G890&lt;=10,$A890-$I890&lt;=5,$G890&gt;0,$I890&gt;0),$F890*$H890,NA()),NA())</f>
        <v/>
      </c>
      <c r="K890" s="15">
        <f>IF($A890="","",IF(AH!$U$5=1,IFERROR(MATCH($A890,'Live History'!$A$5:$A$3004,0),0),AH!$U$7+885))</f>
        <v/>
      </c>
      <c r="L890" s="15">
        <f>IF(ISNUMBER(A890),TEXT(A890,"dd-mmm-yy"),"")</f>
        <v/>
      </c>
    </row>
    <row r="891">
      <c r="A891" s="14">
        <f>IF(OR(AH!$U$4=0,886+1&gt;AH!$U$6,AND(AH!$M$5="Bloomberg",AH!$U$5=0)),"",IFERROR(IF(AND(AH!$U$12=1,886+1=AH!$U$6),TODAY(),IF(AH!$U$5=1,INDEX('Live History'!$A$5:$A$3004,AH!$U$7+886),INDEX('AH History'!$A$5:$A$1380,AH!$U$7+886))),""))</f>
        <v/>
      </c>
      <c r="B891" s="33">
        <f>IFERROR(IF(AH!$U$11=1,NA(),$J891/$E891-1),NA())</f>
        <v/>
      </c>
      <c r="C891" s="269">
        <f>IFERROR(100*$E891/$E$5,NA())</f>
        <v/>
      </c>
      <c r="D891" s="269">
        <f>IFERROR(100*$J891/$J$5,NA())</f>
        <v/>
      </c>
      <c r="E891" s="32">
        <f>IFERROR(IF(AND(ISNUMBER($A891),N(IF(AND(AH!$U$12=1,886+1=AH!$U$6),IF(AH!$U$4=0,"unavailable",INDEX('Market Data'!$AN$5:$AN$66,AH!$U$4)),IF(AH!$U$5=1,INDEX('Live History'!$B$5:$B$3004,$K891),INDEX('AH History'!$D$5:$GG$1380,$K891,AH!$U$10))))&gt;0),IF(AND(AH!$U$12=1,886+1=AH!$U$6),IF(AH!$U$4=0,"unavailable",INDEX('Market Data'!$AN$5:$AN$66,AH!$U$4)),IF(AH!$U$5=1,INDEX('Live History'!$B$5:$B$3004,$K891),INDEX('AH History'!$D$5:$GG$1380,$K891,AH!$U$10))),NA()),NA())</f>
        <v/>
      </c>
      <c r="F891" s="32">
        <f>IFERROR(IF(ISNUMBER($A891),IF(AND(AH!$U$12=1,886+1=AH!$U$6),IF(AH!$U$4=0,"unavailable",INDEX('Market Data'!$AO$5:$AO$66,AH!$U$4)),IF(AH!$U$5=1,INDEX('Live History'!$E$5:$E$3004,MATCH($A891,'Live History'!$D$5:$D$3004,1)),INDEX('AH History'!$D$5:$GG$1380,$K891,AH!$U$10+1))),NA()),NA())</f>
        <v/>
      </c>
      <c r="G891" s="34">
        <f>IFERROR(IF(ISNUMBER($A891),IF(AND(AH!$U$12=1,886+1=AH!$U$6),IF(AH!$U$4=0,"unavailable",INDEX('Market Data'!$AK$5:$AK$66,AH!$U$4)),IF(AH!$U$5=1,INDEX('Live History'!$D$5:$D$3004,MATCH($A891,'Live History'!$D$5:$D$3004,1)),INDEX('AH History'!$D$5:$GG$1380,$K891,AH!$U$10+2))),NA()),NA())</f>
        <v/>
      </c>
      <c r="H891" s="266">
        <f>IFERROR(IF(ISNUMBER($A891),IF(AND(AH!$U$12=1,886+1=AH!$U$6),IF(AH!$U$4=0,"unavailable",INDEX('Market Data'!$AP$5:$AP$66,AH!$U$4)),IF(AH!$U$5=1,INDEX('Live History'!$H$5:$H$3004,MATCH($A891,'Live History'!$G$5:$G$3004,1)),INDEX('AH History'!$B$5:$B$1380,$K891))),NA()),NA())</f>
        <v/>
      </c>
      <c r="I891" s="34">
        <f>IFERROR(IF(ISNUMBER($A891),IF(AND(AH!$U$12=1,886+1=AH!$U$6),TODAY(),IF(AH!$U$5=1,INDEX('Live History'!$G$5:$G$3004,MATCH($A891,'Live History'!$G$5:$G$3004,1)),INDEX('AH History'!$C$5:$C$1380,$K891))),NA()),NA())</f>
        <v/>
      </c>
      <c r="J891" s="32">
        <f>IFERROR(IF(AND($F891&gt;0,$H891&gt;0,$A891-$G891&lt;=10,$A891-$I891&lt;=5,$G891&gt;0,$I891&gt;0),$F891*$H891,NA()),NA())</f>
        <v/>
      </c>
      <c r="K891" s="15">
        <f>IF($A891="","",IF(AH!$U$5=1,IFERROR(MATCH($A891,'Live History'!$A$5:$A$3004,0),0),AH!$U$7+886))</f>
        <v/>
      </c>
      <c r="L891" s="15">
        <f>IF(ISNUMBER(A891),TEXT(A891,"dd-mmm-yy"),"")</f>
        <v/>
      </c>
    </row>
    <row r="892">
      <c r="A892" s="14">
        <f>IF(OR(AH!$U$4=0,887+1&gt;AH!$U$6,AND(AH!$M$5="Bloomberg",AH!$U$5=0)),"",IFERROR(IF(AND(AH!$U$12=1,887+1=AH!$U$6),TODAY(),IF(AH!$U$5=1,INDEX('Live History'!$A$5:$A$3004,AH!$U$7+887),INDEX('AH History'!$A$5:$A$1380,AH!$U$7+887))),""))</f>
        <v/>
      </c>
      <c r="B892" s="33">
        <f>IFERROR(IF(AH!$U$11=1,NA(),$J892/$E892-1),NA())</f>
        <v/>
      </c>
      <c r="C892" s="269">
        <f>IFERROR(100*$E892/$E$5,NA())</f>
        <v/>
      </c>
      <c r="D892" s="269">
        <f>IFERROR(100*$J892/$J$5,NA())</f>
        <v/>
      </c>
      <c r="E892" s="32">
        <f>IFERROR(IF(AND(ISNUMBER($A892),N(IF(AND(AH!$U$12=1,887+1=AH!$U$6),IF(AH!$U$4=0,"unavailable",INDEX('Market Data'!$AN$5:$AN$66,AH!$U$4)),IF(AH!$U$5=1,INDEX('Live History'!$B$5:$B$3004,$K892),INDEX('AH History'!$D$5:$GG$1380,$K892,AH!$U$10))))&gt;0),IF(AND(AH!$U$12=1,887+1=AH!$U$6),IF(AH!$U$4=0,"unavailable",INDEX('Market Data'!$AN$5:$AN$66,AH!$U$4)),IF(AH!$U$5=1,INDEX('Live History'!$B$5:$B$3004,$K892),INDEX('AH History'!$D$5:$GG$1380,$K892,AH!$U$10))),NA()),NA())</f>
        <v/>
      </c>
      <c r="F892" s="32">
        <f>IFERROR(IF(ISNUMBER($A892),IF(AND(AH!$U$12=1,887+1=AH!$U$6),IF(AH!$U$4=0,"unavailable",INDEX('Market Data'!$AO$5:$AO$66,AH!$U$4)),IF(AH!$U$5=1,INDEX('Live History'!$E$5:$E$3004,MATCH($A892,'Live History'!$D$5:$D$3004,1)),INDEX('AH History'!$D$5:$GG$1380,$K892,AH!$U$10+1))),NA()),NA())</f>
        <v/>
      </c>
      <c r="G892" s="34">
        <f>IFERROR(IF(ISNUMBER($A892),IF(AND(AH!$U$12=1,887+1=AH!$U$6),IF(AH!$U$4=0,"unavailable",INDEX('Market Data'!$AK$5:$AK$66,AH!$U$4)),IF(AH!$U$5=1,INDEX('Live History'!$D$5:$D$3004,MATCH($A892,'Live History'!$D$5:$D$3004,1)),INDEX('AH History'!$D$5:$GG$1380,$K892,AH!$U$10+2))),NA()),NA())</f>
        <v/>
      </c>
      <c r="H892" s="266">
        <f>IFERROR(IF(ISNUMBER($A892),IF(AND(AH!$U$12=1,887+1=AH!$U$6),IF(AH!$U$4=0,"unavailable",INDEX('Market Data'!$AP$5:$AP$66,AH!$U$4)),IF(AH!$U$5=1,INDEX('Live History'!$H$5:$H$3004,MATCH($A892,'Live History'!$G$5:$G$3004,1)),INDEX('AH History'!$B$5:$B$1380,$K892))),NA()),NA())</f>
        <v/>
      </c>
      <c r="I892" s="34">
        <f>IFERROR(IF(ISNUMBER($A892),IF(AND(AH!$U$12=1,887+1=AH!$U$6),TODAY(),IF(AH!$U$5=1,INDEX('Live History'!$G$5:$G$3004,MATCH($A892,'Live History'!$G$5:$G$3004,1)),INDEX('AH History'!$C$5:$C$1380,$K892))),NA()),NA())</f>
        <v/>
      </c>
      <c r="J892" s="32">
        <f>IFERROR(IF(AND($F892&gt;0,$H892&gt;0,$A892-$G892&lt;=10,$A892-$I892&lt;=5,$G892&gt;0,$I892&gt;0),$F892*$H892,NA()),NA())</f>
        <v/>
      </c>
      <c r="K892" s="15">
        <f>IF($A892="","",IF(AH!$U$5=1,IFERROR(MATCH($A892,'Live History'!$A$5:$A$3004,0),0),AH!$U$7+887))</f>
        <v/>
      </c>
      <c r="L892" s="15">
        <f>IF(ISNUMBER(A892),TEXT(A892,"dd-mmm-yy"),"")</f>
        <v/>
      </c>
    </row>
    <row r="893">
      <c r="A893" s="14">
        <f>IF(OR(AH!$U$4=0,888+1&gt;AH!$U$6,AND(AH!$M$5="Bloomberg",AH!$U$5=0)),"",IFERROR(IF(AND(AH!$U$12=1,888+1=AH!$U$6),TODAY(),IF(AH!$U$5=1,INDEX('Live History'!$A$5:$A$3004,AH!$U$7+888),INDEX('AH History'!$A$5:$A$1380,AH!$U$7+888))),""))</f>
        <v/>
      </c>
      <c r="B893" s="33">
        <f>IFERROR(IF(AH!$U$11=1,NA(),$J893/$E893-1),NA())</f>
        <v/>
      </c>
      <c r="C893" s="269">
        <f>IFERROR(100*$E893/$E$5,NA())</f>
        <v/>
      </c>
      <c r="D893" s="269">
        <f>IFERROR(100*$J893/$J$5,NA())</f>
        <v/>
      </c>
      <c r="E893" s="32">
        <f>IFERROR(IF(AND(ISNUMBER($A893),N(IF(AND(AH!$U$12=1,888+1=AH!$U$6),IF(AH!$U$4=0,"unavailable",INDEX('Market Data'!$AN$5:$AN$66,AH!$U$4)),IF(AH!$U$5=1,INDEX('Live History'!$B$5:$B$3004,$K893),INDEX('AH History'!$D$5:$GG$1380,$K893,AH!$U$10))))&gt;0),IF(AND(AH!$U$12=1,888+1=AH!$U$6),IF(AH!$U$4=0,"unavailable",INDEX('Market Data'!$AN$5:$AN$66,AH!$U$4)),IF(AH!$U$5=1,INDEX('Live History'!$B$5:$B$3004,$K893),INDEX('AH History'!$D$5:$GG$1380,$K893,AH!$U$10))),NA()),NA())</f>
        <v/>
      </c>
      <c r="F893" s="32">
        <f>IFERROR(IF(ISNUMBER($A893),IF(AND(AH!$U$12=1,888+1=AH!$U$6),IF(AH!$U$4=0,"unavailable",INDEX('Market Data'!$AO$5:$AO$66,AH!$U$4)),IF(AH!$U$5=1,INDEX('Live History'!$E$5:$E$3004,MATCH($A893,'Live History'!$D$5:$D$3004,1)),INDEX('AH History'!$D$5:$GG$1380,$K893,AH!$U$10+1))),NA()),NA())</f>
        <v/>
      </c>
      <c r="G893" s="34">
        <f>IFERROR(IF(ISNUMBER($A893),IF(AND(AH!$U$12=1,888+1=AH!$U$6),IF(AH!$U$4=0,"unavailable",INDEX('Market Data'!$AK$5:$AK$66,AH!$U$4)),IF(AH!$U$5=1,INDEX('Live History'!$D$5:$D$3004,MATCH($A893,'Live History'!$D$5:$D$3004,1)),INDEX('AH History'!$D$5:$GG$1380,$K893,AH!$U$10+2))),NA()),NA())</f>
        <v/>
      </c>
      <c r="H893" s="266">
        <f>IFERROR(IF(ISNUMBER($A893),IF(AND(AH!$U$12=1,888+1=AH!$U$6),IF(AH!$U$4=0,"unavailable",INDEX('Market Data'!$AP$5:$AP$66,AH!$U$4)),IF(AH!$U$5=1,INDEX('Live History'!$H$5:$H$3004,MATCH($A893,'Live History'!$G$5:$G$3004,1)),INDEX('AH History'!$B$5:$B$1380,$K893))),NA()),NA())</f>
        <v/>
      </c>
      <c r="I893" s="34">
        <f>IFERROR(IF(ISNUMBER($A893),IF(AND(AH!$U$12=1,888+1=AH!$U$6),TODAY(),IF(AH!$U$5=1,INDEX('Live History'!$G$5:$G$3004,MATCH($A893,'Live History'!$G$5:$G$3004,1)),INDEX('AH History'!$C$5:$C$1380,$K893))),NA()),NA())</f>
        <v/>
      </c>
      <c r="J893" s="32">
        <f>IFERROR(IF(AND($F893&gt;0,$H893&gt;0,$A893-$G893&lt;=10,$A893-$I893&lt;=5,$G893&gt;0,$I893&gt;0),$F893*$H893,NA()),NA())</f>
        <v/>
      </c>
      <c r="K893" s="15">
        <f>IF($A893="","",IF(AH!$U$5=1,IFERROR(MATCH($A893,'Live History'!$A$5:$A$3004,0),0),AH!$U$7+888))</f>
        <v/>
      </c>
      <c r="L893" s="15">
        <f>IF(ISNUMBER(A893),TEXT(A893,"dd-mmm-yy"),"")</f>
        <v/>
      </c>
    </row>
    <row r="894">
      <c r="A894" s="14">
        <f>IF(OR(AH!$U$4=0,889+1&gt;AH!$U$6,AND(AH!$M$5="Bloomberg",AH!$U$5=0)),"",IFERROR(IF(AND(AH!$U$12=1,889+1=AH!$U$6),TODAY(),IF(AH!$U$5=1,INDEX('Live History'!$A$5:$A$3004,AH!$U$7+889),INDEX('AH History'!$A$5:$A$1380,AH!$U$7+889))),""))</f>
        <v/>
      </c>
      <c r="B894" s="33">
        <f>IFERROR(IF(AH!$U$11=1,NA(),$J894/$E894-1),NA())</f>
        <v/>
      </c>
      <c r="C894" s="269">
        <f>IFERROR(100*$E894/$E$5,NA())</f>
        <v/>
      </c>
      <c r="D894" s="269">
        <f>IFERROR(100*$J894/$J$5,NA())</f>
        <v/>
      </c>
      <c r="E894" s="32">
        <f>IFERROR(IF(AND(ISNUMBER($A894),N(IF(AND(AH!$U$12=1,889+1=AH!$U$6),IF(AH!$U$4=0,"unavailable",INDEX('Market Data'!$AN$5:$AN$66,AH!$U$4)),IF(AH!$U$5=1,INDEX('Live History'!$B$5:$B$3004,$K894),INDEX('AH History'!$D$5:$GG$1380,$K894,AH!$U$10))))&gt;0),IF(AND(AH!$U$12=1,889+1=AH!$U$6),IF(AH!$U$4=0,"unavailable",INDEX('Market Data'!$AN$5:$AN$66,AH!$U$4)),IF(AH!$U$5=1,INDEX('Live History'!$B$5:$B$3004,$K894),INDEX('AH History'!$D$5:$GG$1380,$K894,AH!$U$10))),NA()),NA())</f>
        <v/>
      </c>
      <c r="F894" s="32">
        <f>IFERROR(IF(ISNUMBER($A894),IF(AND(AH!$U$12=1,889+1=AH!$U$6),IF(AH!$U$4=0,"unavailable",INDEX('Market Data'!$AO$5:$AO$66,AH!$U$4)),IF(AH!$U$5=1,INDEX('Live History'!$E$5:$E$3004,MATCH($A894,'Live History'!$D$5:$D$3004,1)),INDEX('AH History'!$D$5:$GG$1380,$K894,AH!$U$10+1))),NA()),NA())</f>
        <v/>
      </c>
      <c r="G894" s="34">
        <f>IFERROR(IF(ISNUMBER($A894),IF(AND(AH!$U$12=1,889+1=AH!$U$6),IF(AH!$U$4=0,"unavailable",INDEX('Market Data'!$AK$5:$AK$66,AH!$U$4)),IF(AH!$U$5=1,INDEX('Live History'!$D$5:$D$3004,MATCH($A894,'Live History'!$D$5:$D$3004,1)),INDEX('AH History'!$D$5:$GG$1380,$K894,AH!$U$10+2))),NA()),NA())</f>
        <v/>
      </c>
      <c r="H894" s="266">
        <f>IFERROR(IF(ISNUMBER($A894),IF(AND(AH!$U$12=1,889+1=AH!$U$6),IF(AH!$U$4=0,"unavailable",INDEX('Market Data'!$AP$5:$AP$66,AH!$U$4)),IF(AH!$U$5=1,INDEX('Live History'!$H$5:$H$3004,MATCH($A894,'Live History'!$G$5:$G$3004,1)),INDEX('AH History'!$B$5:$B$1380,$K894))),NA()),NA())</f>
        <v/>
      </c>
      <c r="I894" s="34">
        <f>IFERROR(IF(ISNUMBER($A894),IF(AND(AH!$U$12=1,889+1=AH!$U$6),TODAY(),IF(AH!$U$5=1,INDEX('Live History'!$G$5:$G$3004,MATCH($A894,'Live History'!$G$5:$G$3004,1)),INDEX('AH History'!$C$5:$C$1380,$K894))),NA()),NA())</f>
        <v/>
      </c>
      <c r="J894" s="32">
        <f>IFERROR(IF(AND($F894&gt;0,$H894&gt;0,$A894-$G894&lt;=10,$A894-$I894&lt;=5,$G894&gt;0,$I894&gt;0),$F894*$H894,NA()),NA())</f>
        <v/>
      </c>
      <c r="K894" s="15">
        <f>IF($A894="","",IF(AH!$U$5=1,IFERROR(MATCH($A894,'Live History'!$A$5:$A$3004,0),0),AH!$U$7+889))</f>
        <v/>
      </c>
      <c r="L894" s="15">
        <f>IF(ISNUMBER(A894),TEXT(A894,"dd-mmm-yy"),"")</f>
        <v/>
      </c>
    </row>
    <row r="895">
      <c r="A895" s="14">
        <f>IF(OR(AH!$U$4=0,890+1&gt;AH!$U$6,AND(AH!$M$5="Bloomberg",AH!$U$5=0)),"",IFERROR(IF(AND(AH!$U$12=1,890+1=AH!$U$6),TODAY(),IF(AH!$U$5=1,INDEX('Live History'!$A$5:$A$3004,AH!$U$7+890),INDEX('AH History'!$A$5:$A$1380,AH!$U$7+890))),""))</f>
        <v/>
      </c>
      <c r="B895" s="33">
        <f>IFERROR(IF(AH!$U$11=1,NA(),$J895/$E895-1),NA())</f>
        <v/>
      </c>
      <c r="C895" s="269">
        <f>IFERROR(100*$E895/$E$5,NA())</f>
        <v/>
      </c>
      <c r="D895" s="269">
        <f>IFERROR(100*$J895/$J$5,NA())</f>
        <v/>
      </c>
      <c r="E895" s="32">
        <f>IFERROR(IF(AND(ISNUMBER($A895),N(IF(AND(AH!$U$12=1,890+1=AH!$U$6),IF(AH!$U$4=0,"unavailable",INDEX('Market Data'!$AN$5:$AN$66,AH!$U$4)),IF(AH!$U$5=1,INDEX('Live History'!$B$5:$B$3004,$K895),INDEX('AH History'!$D$5:$GG$1380,$K895,AH!$U$10))))&gt;0),IF(AND(AH!$U$12=1,890+1=AH!$U$6),IF(AH!$U$4=0,"unavailable",INDEX('Market Data'!$AN$5:$AN$66,AH!$U$4)),IF(AH!$U$5=1,INDEX('Live History'!$B$5:$B$3004,$K895),INDEX('AH History'!$D$5:$GG$1380,$K895,AH!$U$10))),NA()),NA())</f>
        <v/>
      </c>
      <c r="F895" s="32">
        <f>IFERROR(IF(ISNUMBER($A895),IF(AND(AH!$U$12=1,890+1=AH!$U$6),IF(AH!$U$4=0,"unavailable",INDEX('Market Data'!$AO$5:$AO$66,AH!$U$4)),IF(AH!$U$5=1,INDEX('Live History'!$E$5:$E$3004,MATCH($A895,'Live History'!$D$5:$D$3004,1)),INDEX('AH History'!$D$5:$GG$1380,$K895,AH!$U$10+1))),NA()),NA())</f>
        <v/>
      </c>
      <c r="G895" s="34">
        <f>IFERROR(IF(ISNUMBER($A895),IF(AND(AH!$U$12=1,890+1=AH!$U$6),IF(AH!$U$4=0,"unavailable",INDEX('Market Data'!$AK$5:$AK$66,AH!$U$4)),IF(AH!$U$5=1,INDEX('Live History'!$D$5:$D$3004,MATCH($A895,'Live History'!$D$5:$D$3004,1)),INDEX('AH History'!$D$5:$GG$1380,$K895,AH!$U$10+2))),NA()),NA())</f>
        <v/>
      </c>
      <c r="H895" s="266">
        <f>IFERROR(IF(ISNUMBER($A895),IF(AND(AH!$U$12=1,890+1=AH!$U$6),IF(AH!$U$4=0,"unavailable",INDEX('Market Data'!$AP$5:$AP$66,AH!$U$4)),IF(AH!$U$5=1,INDEX('Live History'!$H$5:$H$3004,MATCH($A895,'Live History'!$G$5:$G$3004,1)),INDEX('AH History'!$B$5:$B$1380,$K895))),NA()),NA())</f>
        <v/>
      </c>
      <c r="I895" s="34">
        <f>IFERROR(IF(ISNUMBER($A895),IF(AND(AH!$U$12=1,890+1=AH!$U$6),TODAY(),IF(AH!$U$5=1,INDEX('Live History'!$G$5:$G$3004,MATCH($A895,'Live History'!$G$5:$G$3004,1)),INDEX('AH History'!$C$5:$C$1380,$K895))),NA()),NA())</f>
        <v/>
      </c>
      <c r="J895" s="32">
        <f>IFERROR(IF(AND($F895&gt;0,$H895&gt;0,$A895-$G895&lt;=10,$A895-$I895&lt;=5,$G895&gt;0,$I895&gt;0),$F895*$H895,NA()),NA())</f>
        <v/>
      </c>
      <c r="K895" s="15">
        <f>IF($A895="","",IF(AH!$U$5=1,IFERROR(MATCH($A895,'Live History'!$A$5:$A$3004,0),0),AH!$U$7+890))</f>
        <v/>
      </c>
      <c r="L895" s="15">
        <f>IF(ISNUMBER(A895),TEXT(A895,"dd-mmm-yy"),"")</f>
        <v/>
      </c>
    </row>
    <row r="896">
      <c r="A896" s="14">
        <f>IF(OR(AH!$U$4=0,891+1&gt;AH!$U$6,AND(AH!$M$5="Bloomberg",AH!$U$5=0)),"",IFERROR(IF(AND(AH!$U$12=1,891+1=AH!$U$6),TODAY(),IF(AH!$U$5=1,INDEX('Live History'!$A$5:$A$3004,AH!$U$7+891),INDEX('AH History'!$A$5:$A$1380,AH!$U$7+891))),""))</f>
        <v/>
      </c>
      <c r="B896" s="33">
        <f>IFERROR(IF(AH!$U$11=1,NA(),$J896/$E896-1),NA())</f>
        <v/>
      </c>
      <c r="C896" s="269">
        <f>IFERROR(100*$E896/$E$5,NA())</f>
        <v/>
      </c>
      <c r="D896" s="269">
        <f>IFERROR(100*$J896/$J$5,NA())</f>
        <v/>
      </c>
      <c r="E896" s="32">
        <f>IFERROR(IF(AND(ISNUMBER($A896),N(IF(AND(AH!$U$12=1,891+1=AH!$U$6),IF(AH!$U$4=0,"unavailable",INDEX('Market Data'!$AN$5:$AN$66,AH!$U$4)),IF(AH!$U$5=1,INDEX('Live History'!$B$5:$B$3004,$K896),INDEX('AH History'!$D$5:$GG$1380,$K896,AH!$U$10))))&gt;0),IF(AND(AH!$U$12=1,891+1=AH!$U$6),IF(AH!$U$4=0,"unavailable",INDEX('Market Data'!$AN$5:$AN$66,AH!$U$4)),IF(AH!$U$5=1,INDEX('Live History'!$B$5:$B$3004,$K896),INDEX('AH History'!$D$5:$GG$1380,$K896,AH!$U$10))),NA()),NA())</f>
        <v/>
      </c>
      <c r="F896" s="32">
        <f>IFERROR(IF(ISNUMBER($A896),IF(AND(AH!$U$12=1,891+1=AH!$U$6),IF(AH!$U$4=0,"unavailable",INDEX('Market Data'!$AO$5:$AO$66,AH!$U$4)),IF(AH!$U$5=1,INDEX('Live History'!$E$5:$E$3004,MATCH($A896,'Live History'!$D$5:$D$3004,1)),INDEX('AH History'!$D$5:$GG$1380,$K896,AH!$U$10+1))),NA()),NA())</f>
        <v/>
      </c>
      <c r="G896" s="34">
        <f>IFERROR(IF(ISNUMBER($A896),IF(AND(AH!$U$12=1,891+1=AH!$U$6),IF(AH!$U$4=0,"unavailable",INDEX('Market Data'!$AK$5:$AK$66,AH!$U$4)),IF(AH!$U$5=1,INDEX('Live History'!$D$5:$D$3004,MATCH($A896,'Live History'!$D$5:$D$3004,1)),INDEX('AH History'!$D$5:$GG$1380,$K896,AH!$U$10+2))),NA()),NA())</f>
        <v/>
      </c>
      <c r="H896" s="266">
        <f>IFERROR(IF(ISNUMBER($A896),IF(AND(AH!$U$12=1,891+1=AH!$U$6),IF(AH!$U$4=0,"unavailable",INDEX('Market Data'!$AP$5:$AP$66,AH!$U$4)),IF(AH!$U$5=1,INDEX('Live History'!$H$5:$H$3004,MATCH($A896,'Live History'!$G$5:$G$3004,1)),INDEX('AH History'!$B$5:$B$1380,$K896))),NA()),NA())</f>
        <v/>
      </c>
      <c r="I896" s="34">
        <f>IFERROR(IF(ISNUMBER($A896),IF(AND(AH!$U$12=1,891+1=AH!$U$6),TODAY(),IF(AH!$U$5=1,INDEX('Live History'!$G$5:$G$3004,MATCH($A896,'Live History'!$G$5:$G$3004,1)),INDEX('AH History'!$C$5:$C$1380,$K896))),NA()),NA())</f>
        <v/>
      </c>
      <c r="J896" s="32">
        <f>IFERROR(IF(AND($F896&gt;0,$H896&gt;0,$A896-$G896&lt;=10,$A896-$I896&lt;=5,$G896&gt;0,$I896&gt;0),$F896*$H896,NA()),NA())</f>
        <v/>
      </c>
      <c r="K896" s="15">
        <f>IF($A896="","",IF(AH!$U$5=1,IFERROR(MATCH($A896,'Live History'!$A$5:$A$3004,0),0),AH!$U$7+891))</f>
        <v/>
      </c>
      <c r="L896" s="15">
        <f>IF(ISNUMBER(A896),TEXT(A896,"dd-mmm-yy"),"")</f>
        <v/>
      </c>
    </row>
    <row r="897">
      <c r="A897" s="14">
        <f>IF(OR(AH!$U$4=0,892+1&gt;AH!$U$6,AND(AH!$M$5="Bloomberg",AH!$U$5=0)),"",IFERROR(IF(AND(AH!$U$12=1,892+1=AH!$U$6),TODAY(),IF(AH!$U$5=1,INDEX('Live History'!$A$5:$A$3004,AH!$U$7+892),INDEX('AH History'!$A$5:$A$1380,AH!$U$7+892))),""))</f>
        <v/>
      </c>
      <c r="B897" s="33">
        <f>IFERROR(IF(AH!$U$11=1,NA(),$J897/$E897-1),NA())</f>
        <v/>
      </c>
      <c r="C897" s="269">
        <f>IFERROR(100*$E897/$E$5,NA())</f>
        <v/>
      </c>
      <c r="D897" s="269">
        <f>IFERROR(100*$J897/$J$5,NA())</f>
        <v/>
      </c>
      <c r="E897" s="32">
        <f>IFERROR(IF(AND(ISNUMBER($A897),N(IF(AND(AH!$U$12=1,892+1=AH!$U$6),IF(AH!$U$4=0,"unavailable",INDEX('Market Data'!$AN$5:$AN$66,AH!$U$4)),IF(AH!$U$5=1,INDEX('Live History'!$B$5:$B$3004,$K897),INDEX('AH History'!$D$5:$GG$1380,$K897,AH!$U$10))))&gt;0),IF(AND(AH!$U$12=1,892+1=AH!$U$6),IF(AH!$U$4=0,"unavailable",INDEX('Market Data'!$AN$5:$AN$66,AH!$U$4)),IF(AH!$U$5=1,INDEX('Live History'!$B$5:$B$3004,$K897),INDEX('AH History'!$D$5:$GG$1380,$K897,AH!$U$10))),NA()),NA())</f>
        <v/>
      </c>
      <c r="F897" s="32">
        <f>IFERROR(IF(ISNUMBER($A897),IF(AND(AH!$U$12=1,892+1=AH!$U$6),IF(AH!$U$4=0,"unavailable",INDEX('Market Data'!$AO$5:$AO$66,AH!$U$4)),IF(AH!$U$5=1,INDEX('Live History'!$E$5:$E$3004,MATCH($A897,'Live History'!$D$5:$D$3004,1)),INDEX('AH History'!$D$5:$GG$1380,$K897,AH!$U$10+1))),NA()),NA())</f>
        <v/>
      </c>
      <c r="G897" s="34">
        <f>IFERROR(IF(ISNUMBER($A897),IF(AND(AH!$U$12=1,892+1=AH!$U$6),IF(AH!$U$4=0,"unavailable",INDEX('Market Data'!$AK$5:$AK$66,AH!$U$4)),IF(AH!$U$5=1,INDEX('Live History'!$D$5:$D$3004,MATCH($A897,'Live History'!$D$5:$D$3004,1)),INDEX('AH History'!$D$5:$GG$1380,$K897,AH!$U$10+2))),NA()),NA())</f>
        <v/>
      </c>
      <c r="H897" s="266">
        <f>IFERROR(IF(ISNUMBER($A897),IF(AND(AH!$U$12=1,892+1=AH!$U$6),IF(AH!$U$4=0,"unavailable",INDEX('Market Data'!$AP$5:$AP$66,AH!$U$4)),IF(AH!$U$5=1,INDEX('Live History'!$H$5:$H$3004,MATCH($A897,'Live History'!$G$5:$G$3004,1)),INDEX('AH History'!$B$5:$B$1380,$K897))),NA()),NA())</f>
        <v/>
      </c>
      <c r="I897" s="34">
        <f>IFERROR(IF(ISNUMBER($A897),IF(AND(AH!$U$12=1,892+1=AH!$U$6),TODAY(),IF(AH!$U$5=1,INDEX('Live History'!$G$5:$G$3004,MATCH($A897,'Live History'!$G$5:$G$3004,1)),INDEX('AH History'!$C$5:$C$1380,$K897))),NA()),NA())</f>
        <v/>
      </c>
      <c r="J897" s="32">
        <f>IFERROR(IF(AND($F897&gt;0,$H897&gt;0,$A897-$G897&lt;=10,$A897-$I897&lt;=5,$G897&gt;0,$I897&gt;0),$F897*$H897,NA()),NA())</f>
        <v/>
      </c>
      <c r="K897" s="15">
        <f>IF($A897="","",IF(AH!$U$5=1,IFERROR(MATCH($A897,'Live History'!$A$5:$A$3004,0),0),AH!$U$7+892))</f>
        <v/>
      </c>
      <c r="L897" s="15">
        <f>IF(ISNUMBER(A897),TEXT(A897,"dd-mmm-yy"),"")</f>
        <v/>
      </c>
    </row>
    <row r="898">
      <c r="A898" s="14">
        <f>IF(OR(AH!$U$4=0,893+1&gt;AH!$U$6,AND(AH!$M$5="Bloomberg",AH!$U$5=0)),"",IFERROR(IF(AND(AH!$U$12=1,893+1=AH!$U$6),TODAY(),IF(AH!$U$5=1,INDEX('Live History'!$A$5:$A$3004,AH!$U$7+893),INDEX('AH History'!$A$5:$A$1380,AH!$U$7+893))),""))</f>
        <v/>
      </c>
      <c r="B898" s="33">
        <f>IFERROR(IF(AH!$U$11=1,NA(),$J898/$E898-1),NA())</f>
        <v/>
      </c>
      <c r="C898" s="269">
        <f>IFERROR(100*$E898/$E$5,NA())</f>
        <v/>
      </c>
      <c r="D898" s="269">
        <f>IFERROR(100*$J898/$J$5,NA())</f>
        <v/>
      </c>
      <c r="E898" s="32">
        <f>IFERROR(IF(AND(ISNUMBER($A898),N(IF(AND(AH!$U$12=1,893+1=AH!$U$6),IF(AH!$U$4=0,"unavailable",INDEX('Market Data'!$AN$5:$AN$66,AH!$U$4)),IF(AH!$U$5=1,INDEX('Live History'!$B$5:$B$3004,$K898),INDEX('AH History'!$D$5:$GG$1380,$K898,AH!$U$10))))&gt;0),IF(AND(AH!$U$12=1,893+1=AH!$U$6),IF(AH!$U$4=0,"unavailable",INDEX('Market Data'!$AN$5:$AN$66,AH!$U$4)),IF(AH!$U$5=1,INDEX('Live History'!$B$5:$B$3004,$K898),INDEX('AH History'!$D$5:$GG$1380,$K898,AH!$U$10))),NA()),NA())</f>
        <v/>
      </c>
      <c r="F898" s="32">
        <f>IFERROR(IF(ISNUMBER($A898),IF(AND(AH!$U$12=1,893+1=AH!$U$6),IF(AH!$U$4=0,"unavailable",INDEX('Market Data'!$AO$5:$AO$66,AH!$U$4)),IF(AH!$U$5=1,INDEX('Live History'!$E$5:$E$3004,MATCH($A898,'Live History'!$D$5:$D$3004,1)),INDEX('AH History'!$D$5:$GG$1380,$K898,AH!$U$10+1))),NA()),NA())</f>
        <v/>
      </c>
      <c r="G898" s="34">
        <f>IFERROR(IF(ISNUMBER($A898),IF(AND(AH!$U$12=1,893+1=AH!$U$6),IF(AH!$U$4=0,"unavailable",INDEX('Market Data'!$AK$5:$AK$66,AH!$U$4)),IF(AH!$U$5=1,INDEX('Live History'!$D$5:$D$3004,MATCH($A898,'Live History'!$D$5:$D$3004,1)),INDEX('AH History'!$D$5:$GG$1380,$K898,AH!$U$10+2))),NA()),NA())</f>
        <v/>
      </c>
      <c r="H898" s="266">
        <f>IFERROR(IF(ISNUMBER($A898),IF(AND(AH!$U$12=1,893+1=AH!$U$6),IF(AH!$U$4=0,"unavailable",INDEX('Market Data'!$AP$5:$AP$66,AH!$U$4)),IF(AH!$U$5=1,INDEX('Live History'!$H$5:$H$3004,MATCH($A898,'Live History'!$G$5:$G$3004,1)),INDEX('AH History'!$B$5:$B$1380,$K898))),NA()),NA())</f>
        <v/>
      </c>
      <c r="I898" s="34">
        <f>IFERROR(IF(ISNUMBER($A898),IF(AND(AH!$U$12=1,893+1=AH!$U$6),TODAY(),IF(AH!$U$5=1,INDEX('Live History'!$G$5:$G$3004,MATCH($A898,'Live History'!$G$5:$G$3004,1)),INDEX('AH History'!$C$5:$C$1380,$K898))),NA()),NA())</f>
        <v/>
      </c>
      <c r="J898" s="32">
        <f>IFERROR(IF(AND($F898&gt;0,$H898&gt;0,$A898-$G898&lt;=10,$A898-$I898&lt;=5,$G898&gt;0,$I898&gt;0),$F898*$H898,NA()),NA())</f>
        <v/>
      </c>
      <c r="K898" s="15">
        <f>IF($A898="","",IF(AH!$U$5=1,IFERROR(MATCH($A898,'Live History'!$A$5:$A$3004,0),0),AH!$U$7+893))</f>
        <v/>
      </c>
      <c r="L898" s="15">
        <f>IF(ISNUMBER(A898),TEXT(A898,"dd-mmm-yy"),"")</f>
        <v/>
      </c>
    </row>
    <row r="899">
      <c r="A899" s="14">
        <f>IF(OR(AH!$U$4=0,894+1&gt;AH!$U$6,AND(AH!$M$5="Bloomberg",AH!$U$5=0)),"",IFERROR(IF(AND(AH!$U$12=1,894+1=AH!$U$6),TODAY(),IF(AH!$U$5=1,INDEX('Live History'!$A$5:$A$3004,AH!$U$7+894),INDEX('AH History'!$A$5:$A$1380,AH!$U$7+894))),""))</f>
        <v/>
      </c>
      <c r="B899" s="33">
        <f>IFERROR(IF(AH!$U$11=1,NA(),$J899/$E899-1),NA())</f>
        <v/>
      </c>
      <c r="C899" s="269">
        <f>IFERROR(100*$E899/$E$5,NA())</f>
        <v/>
      </c>
      <c r="D899" s="269">
        <f>IFERROR(100*$J899/$J$5,NA())</f>
        <v/>
      </c>
      <c r="E899" s="32">
        <f>IFERROR(IF(AND(ISNUMBER($A899),N(IF(AND(AH!$U$12=1,894+1=AH!$U$6),IF(AH!$U$4=0,"unavailable",INDEX('Market Data'!$AN$5:$AN$66,AH!$U$4)),IF(AH!$U$5=1,INDEX('Live History'!$B$5:$B$3004,$K899),INDEX('AH History'!$D$5:$GG$1380,$K899,AH!$U$10))))&gt;0),IF(AND(AH!$U$12=1,894+1=AH!$U$6),IF(AH!$U$4=0,"unavailable",INDEX('Market Data'!$AN$5:$AN$66,AH!$U$4)),IF(AH!$U$5=1,INDEX('Live History'!$B$5:$B$3004,$K899),INDEX('AH History'!$D$5:$GG$1380,$K899,AH!$U$10))),NA()),NA())</f>
        <v/>
      </c>
      <c r="F899" s="32">
        <f>IFERROR(IF(ISNUMBER($A899),IF(AND(AH!$U$12=1,894+1=AH!$U$6),IF(AH!$U$4=0,"unavailable",INDEX('Market Data'!$AO$5:$AO$66,AH!$U$4)),IF(AH!$U$5=1,INDEX('Live History'!$E$5:$E$3004,MATCH($A899,'Live History'!$D$5:$D$3004,1)),INDEX('AH History'!$D$5:$GG$1380,$K899,AH!$U$10+1))),NA()),NA())</f>
        <v/>
      </c>
      <c r="G899" s="34">
        <f>IFERROR(IF(ISNUMBER($A899),IF(AND(AH!$U$12=1,894+1=AH!$U$6),IF(AH!$U$4=0,"unavailable",INDEX('Market Data'!$AK$5:$AK$66,AH!$U$4)),IF(AH!$U$5=1,INDEX('Live History'!$D$5:$D$3004,MATCH($A899,'Live History'!$D$5:$D$3004,1)),INDEX('AH History'!$D$5:$GG$1380,$K899,AH!$U$10+2))),NA()),NA())</f>
        <v/>
      </c>
      <c r="H899" s="266">
        <f>IFERROR(IF(ISNUMBER($A899),IF(AND(AH!$U$12=1,894+1=AH!$U$6),IF(AH!$U$4=0,"unavailable",INDEX('Market Data'!$AP$5:$AP$66,AH!$U$4)),IF(AH!$U$5=1,INDEX('Live History'!$H$5:$H$3004,MATCH($A899,'Live History'!$G$5:$G$3004,1)),INDEX('AH History'!$B$5:$B$1380,$K899))),NA()),NA())</f>
        <v/>
      </c>
      <c r="I899" s="34">
        <f>IFERROR(IF(ISNUMBER($A899),IF(AND(AH!$U$12=1,894+1=AH!$U$6),TODAY(),IF(AH!$U$5=1,INDEX('Live History'!$G$5:$G$3004,MATCH($A899,'Live History'!$G$5:$G$3004,1)),INDEX('AH History'!$C$5:$C$1380,$K899))),NA()),NA())</f>
        <v/>
      </c>
      <c r="J899" s="32">
        <f>IFERROR(IF(AND($F899&gt;0,$H899&gt;0,$A899-$G899&lt;=10,$A899-$I899&lt;=5,$G899&gt;0,$I899&gt;0),$F899*$H899,NA()),NA())</f>
        <v/>
      </c>
      <c r="K899" s="15">
        <f>IF($A899="","",IF(AH!$U$5=1,IFERROR(MATCH($A899,'Live History'!$A$5:$A$3004,0),0),AH!$U$7+894))</f>
        <v/>
      </c>
      <c r="L899" s="15">
        <f>IF(ISNUMBER(A899),TEXT(A899,"dd-mmm-yy"),"")</f>
        <v/>
      </c>
    </row>
    <row r="900">
      <c r="A900" s="14">
        <f>IF(OR(AH!$U$4=0,895+1&gt;AH!$U$6,AND(AH!$M$5="Bloomberg",AH!$U$5=0)),"",IFERROR(IF(AND(AH!$U$12=1,895+1=AH!$U$6),TODAY(),IF(AH!$U$5=1,INDEX('Live History'!$A$5:$A$3004,AH!$U$7+895),INDEX('AH History'!$A$5:$A$1380,AH!$U$7+895))),""))</f>
        <v/>
      </c>
      <c r="B900" s="33">
        <f>IFERROR(IF(AH!$U$11=1,NA(),$J900/$E900-1),NA())</f>
        <v/>
      </c>
      <c r="C900" s="269">
        <f>IFERROR(100*$E900/$E$5,NA())</f>
        <v/>
      </c>
      <c r="D900" s="269">
        <f>IFERROR(100*$J900/$J$5,NA())</f>
        <v/>
      </c>
      <c r="E900" s="32">
        <f>IFERROR(IF(AND(ISNUMBER($A900),N(IF(AND(AH!$U$12=1,895+1=AH!$U$6),IF(AH!$U$4=0,"unavailable",INDEX('Market Data'!$AN$5:$AN$66,AH!$U$4)),IF(AH!$U$5=1,INDEX('Live History'!$B$5:$B$3004,$K900),INDEX('AH History'!$D$5:$GG$1380,$K900,AH!$U$10))))&gt;0),IF(AND(AH!$U$12=1,895+1=AH!$U$6),IF(AH!$U$4=0,"unavailable",INDEX('Market Data'!$AN$5:$AN$66,AH!$U$4)),IF(AH!$U$5=1,INDEX('Live History'!$B$5:$B$3004,$K900),INDEX('AH History'!$D$5:$GG$1380,$K900,AH!$U$10))),NA()),NA())</f>
        <v/>
      </c>
      <c r="F900" s="32">
        <f>IFERROR(IF(ISNUMBER($A900),IF(AND(AH!$U$12=1,895+1=AH!$U$6),IF(AH!$U$4=0,"unavailable",INDEX('Market Data'!$AO$5:$AO$66,AH!$U$4)),IF(AH!$U$5=1,INDEX('Live History'!$E$5:$E$3004,MATCH($A900,'Live History'!$D$5:$D$3004,1)),INDEX('AH History'!$D$5:$GG$1380,$K900,AH!$U$10+1))),NA()),NA())</f>
        <v/>
      </c>
      <c r="G900" s="34">
        <f>IFERROR(IF(ISNUMBER($A900),IF(AND(AH!$U$12=1,895+1=AH!$U$6),IF(AH!$U$4=0,"unavailable",INDEX('Market Data'!$AK$5:$AK$66,AH!$U$4)),IF(AH!$U$5=1,INDEX('Live History'!$D$5:$D$3004,MATCH($A900,'Live History'!$D$5:$D$3004,1)),INDEX('AH History'!$D$5:$GG$1380,$K900,AH!$U$10+2))),NA()),NA())</f>
        <v/>
      </c>
      <c r="H900" s="266">
        <f>IFERROR(IF(ISNUMBER($A900),IF(AND(AH!$U$12=1,895+1=AH!$U$6),IF(AH!$U$4=0,"unavailable",INDEX('Market Data'!$AP$5:$AP$66,AH!$U$4)),IF(AH!$U$5=1,INDEX('Live History'!$H$5:$H$3004,MATCH($A900,'Live History'!$G$5:$G$3004,1)),INDEX('AH History'!$B$5:$B$1380,$K900))),NA()),NA())</f>
        <v/>
      </c>
      <c r="I900" s="34">
        <f>IFERROR(IF(ISNUMBER($A900),IF(AND(AH!$U$12=1,895+1=AH!$U$6),TODAY(),IF(AH!$U$5=1,INDEX('Live History'!$G$5:$G$3004,MATCH($A900,'Live History'!$G$5:$G$3004,1)),INDEX('AH History'!$C$5:$C$1380,$K900))),NA()),NA())</f>
        <v/>
      </c>
      <c r="J900" s="32">
        <f>IFERROR(IF(AND($F900&gt;0,$H900&gt;0,$A900-$G900&lt;=10,$A900-$I900&lt;=5,$G900&gt;0,$I900&gt;0),$F900*$H900,NA()),NA())</f>
        <v/>
      </c>
      <c r="K900" s="15">
        <f>IF($A900="","",IF(AH!$U$5=1,IFERROR(MATCH($A900,'Live History'!$A$5:$A$3004,0),0),AH!$U$7+895))</f>
        <v/>
      </c>
      <c r="L900" s="15">
        <f>IF(ISNUMBER(A900),TEXT(A900,"dd-mmm-yy"),"")</f>
        <v/>
      </c>
    </row>
    <row r="901">
      <c r="A901" s="14">
        <f>IF(OR(AH!$U$4=0,896+1&gt;AH!$U$6,AND(AH!$M$5="Bloomberg",AH!$U$5=0)),"",IFERROR(IF(AND(AH!$U$12=1,896+1=AH!$U$6),TODAY(),IF(AH!$U$5=1,INDEX('Live History'!$A$5:$A$3004,AH!$U$7+896),INDEX('AH History'!$A$5:$A$1380,AH!$U$7+896))),""))</f>
        <v/>
      </c>
      <c r="B901" s="33">
        <f>IFERROR(IF(AH!$U$11=1,NA(),$J901/$E901-1),NA())</f>
        <v/>
      </c>
      <c r="C901" s="269">
        <f>IFERROR(100*$E901/$E$5,NA())</f>
        <v/>
      </c>
      <c r="D901" s="269">
        <f>IFERROR(100*$J901/$J$5,NA())</f>
        <v/>
      </c>
      <c r="E901" s="32">
        <f>IFERROR(IF(AND(ISNUMBER($A901),N(IF(AND(AH!$U$12=1,896+1=AH!$U$6),IF(AH!$U$4=0,"unavailable",INDEX('Market Data'!$AN$5:$AN$66,AH!$U$4)),IF(AH!$U$5=1,INDEX('Live History'!$B$5:$B$3004,$K901),INDEX('AH History'!$D$5:$GG$1380,$K901,AH!$U$10))))&gt;0),IF(AND(AH!$U$12=1,896+1=AH!$U$6),IF(AH!$U$4=0,"unavailable",INDEX('Market Data'!$AN$5:$AN$66,AH!$U$4)),IF(AH!$U$5=1,INDEX('Live History'!$B$5:$B$3004,$K901),INDEX('AH History'!$D$5:$GG$1380,$K901,AH!$U$10))),NA()),NA())</f>
        <v/>
      </c>
      <c r="F901" s="32">
        <f>IFERROR(IF(ISNUMBER($A901),IF(AND(AH!$U$12=1,896+1=AH!$U$6),IF(AH!$U$4=0,"unavailable",INDEX('Market Data'!$AO$5:$AO$66,AH!$U$4)),IF(AH!$U$5=1,INDEX('Live History'!$E$5:$E$3004,MATCH($A901,'Live History'!$D$5:$D$3004,1)),INDEX('AH History'!$D$5:$GG$1380,$K901,AH!$U$10+1))),NA()),NA())</f>
        <v/>
      </c>
      <c r="G901" s="34">
        <f>IFERROR(IF(ISNUMBER($A901),IF(AND(AH!$U$12=1,896+1=AH!$U$6),IF(AH!$U$4=0,"unavailable",INDEX('Market Data'!$AK$5:$AK$66,AH!$U$4)),IF(AH!$U$5=1,INDEX('Live History'!$D$5:$D$3004,MATCH($A901,'Live History'!$D$5:$D$3004,1)),INDEX('AH History'!$D$5:$GG$1380,$K901,AH!$U$10+2))),NA()),NA())</f>
        <v/>
      </c>
      <c r="H901" s="266">
        <f>IFERROR(IF(ISNUMBER($A901),IF(AND(AH!$U$12=1,896+1=AH!$U$6),IF(AH!$U$4=0,"unavailable",INDEX('Market Data'!$AP$5:$AP$66,AH!$U$4)),IF(AH!$U$5=1,INDEX('Live History'!$H$5:$H$3004,MATCH($A901,'Live History'!$G$5:$G$3004,1)),INDEX('AH History'!$B$5:$B$1380,$K901))),NA()),NA())</f>
        <v/>
      </c>
      <c r="I901" s="34">
        <f>IFERROR(IF(ISNUMBER($A901),IF(AND(AH!$U$12=1,896+1=AH!$U$6),TODAY(),IF(AH!$U$5=1,INDEX('Live History'!$G$5:$G$3004,MATCH($A901,'Live History'!$G$5:$G$3004,1)),INDEX('AH History'!$C$5:$C$1380,$K901))),NA()),NA())</f>
        <v/>
      </c>
      <c r="J901" s="32">
        <f>IFERROR(IF(AND($F901&gt;0,$H901&gt;0,$A901-$G901&lt;=10,$A901-$I901&lt;=5,$G901&gt;0,$I901&gt;0),$F901*$H901,NA()),NA())</f>
        <v/>
      </c>
      <c r="K901" s="15">
        <f>IF($A901="","",IF(AH!$U$5=1,IFERROR(MATCH($A901,'Live History'!$A$5:$A$3004,0),0),AH!$U$7+896))</f>
        <v/>
      </c>
      <c r="L901" s="15">
        <f>IF(ISNUMBER(A901),TEXT(A901,"dd-mmm-yy"),"")</f>
        <v/>
      </c>
    </row>
    <row r="902">
      <c r="A902" s="14">
        <f>IF(OR(AH!$U$4=0,897+1&gt;AH!$U$6,AND(AH!$M$5="Bloomberg",AH!$U$5=0)),"",IFERROR(IF(AND(AH!$U$12=1,897+1=AH!$U$6),TODAY(),IF(AH!$U$5=1,INDEX('Live History'!$A$5:$A$3004,AH!$U$7+897),INDEX('AH History'!$A$5:$A$1380,AH!$U$7+897))),""))</f>
        <v/>
      </c>
      <c r="B902" s="33">
        <f>IFERROR(IF(AH!$U$11=1,NA(),$J902/$E902-1),NA())</f>
        <v/>
      </c>
      <c r="C902" s="269">
        <f>IFERROR(100*$E902/$E$5,NA())</f>
        <v/>
      </c>
      <c r="D902" s="269">
        <f>IFERROR(100*$J902/$J$5,NA())</f>
        <v/>
      </c>
      <c r="E902" s="32">
        <f>IFERROR(IF(AND(ISNUMBER($A902),N(IF(AND(AH!$U$12=1,897+1=AH!$U$6),IF(AH!$U$4=0,"unavailable",INDEX('Market Data'!$AN$5:$AN$66,AH!$U$4)),IF(AH!$U$5=1,INDEX('Live History'!$B$5:$B$3004,$K902),INDEX('AH History'!$D$5:$GG$1380,$K902,AH!$U$10))))&gt;0),IF(AND(AH!$U$12=1,897+1=AH!$U$6),IF(AH!$U$4=0,"unavailable",INDEX('Market Data'!$AN$5:$AN$66,AH!$U$4)),IF(AH!$U$5=1,INDEX('Live History'!$B$5:$B$3004,$K902),INDEX('AH History'!$D$5:$GG$1380,$K902,AH!$U$10))),NA()),NA())</f>
        <v/>
      </c>
      <c r="F902" s="32">
        <f>IFERROR(IF(ISNUMBER($A902),IF(AND(AH!$U$12=1,897+1=AH!$U$6),IF(AH!$U$4=0,"unavailable",INDEX('Market Data'!$AO$5:$AO$66,AH!$U$4)),IF(AH!$U$5=1,INDEX('Live History'!$E$5:$E$3004,MATCH($A902,'Live History'!$D$5:$D$3004,1)),INDEX('AH History'!$D$5:$GG$1380,$K902,AH!$U$10+1))),NA()),NA())</f>
        <v/>
      </c>
      <c r="G902" s="34">
        <f>IFERROR(IF(ISNUMBER($A902),IF(AND(AH!$U$12=1,897+1=AH!$U$6),IF(AH!$U$4=0,"unavailable",INDEX('Market Data'!$AK$5:$AK$66,AH!$U$4)),IF(AH!$U$5=1,INDEX('Live History'!$D$5:$D$3004,MATCH($A902,'Live History'!$D$5:$D$3004,1)),INDEX('AH History'!$D$5:$GG$1380,$K902,AH!$U$10+2))),NA()),NA())</f>
        <v/>
      </c>
      <c r="H902" s="266">
        <f>IFERROR(IF(ISNUMBER($A902),IF(AND(AH!$U$12=1,897+1=AH!$U$6),IF(AH!$U$4=0,"unavailable",INDEX('Market Data'!$AP$5:$AP$66,AH!$U$4)),IF(AH!$U$5=1,INDEX('Live History'!$H$5:$H$3004,MATCH($A902,'Live History'!$G$5:$G$3004,1)),INDEX('AH History'!$B$5:$B$1380,$K902))),NA()),NA())</f>
        <v/>
      </c>
      <c r="I902" s="34">
        <f>IFERROR(IF(ISNUMBER($A902),IF(AND(AH!$U$12=1,897+1=AH!$U$6),TODAY(),IF(AH!$U$5=1,INDEX('Live History'!$G$5:$G$3004,MATCH($A902,'Live History'!$G$5:$G$3004,1)),INDEX('AH History'!$C$5:$C$1380,$K902))),NA()),NA())</f>
        <v/>
      </c>
      <c r="J902" s="32">
        <f>IFERROR(IF(AND($F902&gt;0,$H902&gt;0,$A902-$G902&lt;=10,$A902-$I902&lt;=5,$G902&gt;0,$I902&gt;0),$F902*$H902,NA()),NA())</f>
        <v/>
      </c>
      <c r="K902" s="15">
        <f>IF($A902="","",IF(AH!$U$5=1,IFERROR(MATCH($A902,'Live History'!$A$5:$A$3004,0),0),AH!$U$7+897))</f>
        <v/>
      </c>
      <c r="L902" s="15">
        <f>IF(ISNUMBER(A902),TEXT(A902,"dd-mmm-yy"),"")</f>
        <v/>
      </c>
    </row>
    <row r="903">
      <c r="A903" s="14">
        <f>IF(OR(AH!$U$4=0,898+1&gt;AH!$U$6,AND(AH!$M$5="Bloomberg",AH!$U$5=0)),"",IFERROR(IF(AND(AH!$U$12=1,898+1=AH!$U$6),TODAY(),IF(AH!$U$5=1,INDEX('Live History'!$A$5:$A$3004,AH!$U$7+898),INDEX('AH History'!$A$5:$A$1380,AH!$U$7+898))),""))</f>
        <v/>
      </c>
      <c r="B903" s="33">
        <f>IFERROR(IF(AH!$U$11=1,NA(),$J903/$E903-1),NA())</f>
        <v/>
      </c>
      <c r="C903" s="269">
        <f>IFERROR(100*$E903/$E$5,NA())</f>
        <v/>
      </c>
      <c r="D903" s="269">
        <f>IFERROR(100*$J903/$J$5,NA())</f>
        <v/>
      </c>
      <c r="E903" s="32">
        <f>IFERROR(IF(AND(ISNUMBER($A903),N(IF(AND(AH!$U$12=1,898+1=AH!$U$6),IF(AH!$U$4=0,"unavailable",INDEX('Market Data'!$AN$5:$AN$66,AH!$U$4)),IF(AH!$U$5=1,INDEX('Live History'!$B$5:$B$3004,$K903),INDEX('AH History'!$D$5:$GG$1380,$K903,AH!$U$10))))&gt;0),IF(AND(AH!$U$12=1,898+1=AH!$U$6),IF(AH!$U$4=0,"unavailable",INDEX('Market Data'!$AN$5:$AN$66,AH!$U$4)),IF(AH!$U$5=1,INDEX('Live History'!$B$5:$B$3004,$K903),INDEX('AH History'!$D$5:$GG$1380,$K903,AH!$U$10))),NA()),NA())</f>
        <v/>
      </c>
      <c r="F903" s="32">
        <f>IFERROR(IF(ISNUMBER($A903),IF(AND(AH!$U$12=1,898+1=AH!$U$6),IF(AH!$U$4=0,"unavailable",INDEX('Market Data'!$AO$5:$AO$66,AH!$U$4)),IF(AH!$U$5=1,INDEX('Live History'!$E$5:$E$3004,MATCH($A903,'Live History'!$D$5:$D$3004,1)),INDEX('AH History'!$D$5:$GG$1380,$K903,AH!$U$10+1))),NA()),NA())</f>
        <v/>
      </c>
      <c r="G903" s="34">
        <f>IFERROR(IF(ISNUMBER($A903),IF(AND(AH!$U$12=1,898+1=AH!$U$6),IF(AH!$U$4=0,"unavailable",INDEX('Market Data'!$AK$5:$AK$66,AH!$U$4)),IF(AH!$U$5=1,INDEX('Live History'!$D$5:$D$3004,MATCH($A903,'Live History'!$D$5:$D$3004,1)),INDEX('AH History'!$D$5:$GG$1380,$K903,AH!$U$10+2))),NA()),NA())</f>
        <v/>
      </c>
      <c r="H903" s="266">
        <f>IFERROR(IF(ISNUMBER($A903),IF(AND(AH!$U$12=1,898+1=AH!$U$6),IF(AH!$U$4=0,"unavailable",INDEX('Market Data'!$AP$5:$AP$66,AH!$U$4)),IF(AH!$U$5=1,INDEX('Live History'!$H$5:$H$3004,MATCH($A903,'Live History'!$G$5:$G$3004,1)),INDEX('AH History'!$B$5:$B$1380,$K903))),NA()),NA())</f>
        <v/>
      </c>
      <c r="I903" s="34">
        <f>IFERROR(IF(ISNUMBER($A903),IF(AND(AH!$U$12=1,898+1=AH!$U$6),TODAY(),IF(AH!$U$5=1,INDEX('Live History'!$G$5:$G$3004,MATCH($A903,'Live History'!$G$5:$G$3004,1)),INDEX('AH History'!$C$5:$C$1380,$K903))),NA()),NA())</f>
        <v/>
      </c>
      <c r="J903" s="32">
        <f>IFERROR(IF(AND($F903&gt;0,$H903&gt;0,$A903-$G903&lt;=10,$A903-$I903&lt;=5,$G903&gt;0,$I903&gt;0),$F903*$H903,NA()),NA())</f>
        <v/>
      </c>
      <c r="K903" s="15">
        <f>IF($A903="","",IF(AH!$U$5=1,IFERROR(MATCH($A903,'Live History'!$A$5:$A$3004,0),0),AH!$U$7+898))</f>
        <v/>
      </c>
      <c r="L903" s="15">
        <f>IF(ISNUMBER(A903),TEXT(A903,"dd-mmm-yy"),"")</f>
        <v/>
      </c>
    </row>
    <row r="904">
      <c r="A904" s="14">
        <f>IF(OR(AH!$U$4=0,899+1&gt;AH!$U$6,AND(AH!$M$5="Bloomberg",AH!$U$5=0)),"",IFERROR(IF(AND(AH!$U$12=1,899+1=AH!$U$6),TODAY(),IF(AH!$U$5=1,INDEX('Live History'!$A$5:$A$3004,AH!$U$7+899),INDEX('AH History'!$A$5:$A$1380,AH!$U$7+899))),""))</f>
        <v/>
      </c>
      <c r="B904" s="33">
        <f>IFERROR(IF(AH!$U$11=1,NA(),$J904/$E904-1),NA())</f>
        <v/>
      </c>
      <c r="C904" s="269">
        <f>IFERROR(100*$E904/$E$5,NA())</f>
        <v/>
      </c>
      <c r="D904" s="269">
        <f>IFERROR(100*$J904/$J$5,NA())</f>
        <v/>
      </c>
      <c r="E904" s="32">
        <f>IFERROR(IF(AND(ISNUMBER($A904),N(IF(AND(AH!$U$12=1,899+1=AH!$U$6),IF(AH!$U$4=0,"unavailable",INDEX('Market Data'!$AN$5:$AN$66,AH!$U$4)),IF(AH!$U$5=1,INDEX('Live History'!$B$5:$B$3004,$K904),INDEX('AH History'!$D$5:$GG$1380,$K904,AH!$U$10))))&gt;0),IF(AND(AH!$U$12=1,899+1=AH!$U$6),IF(AH!$U$4=0,"unavailable",INDEX('Market Data'!$AN$5:$AN$66,AH!$U$4)),IF(AH!$U$5=1,INDEX('Live History'!$B$5:$B$3004,$K904),INDEX('AH History'!$D$5:$GG$1380,$K904,AH!$U$10))),NA()),NA())</f>
        <v/>
      </c>
      <c r="F904" s="32">
        <f>IFERROR(IF(ISNUMBER($A904),IF(AND(AH!$U$12=1,899+1=AH!$U$6),IF(AH!$U$4=0,"unavailable",INDEX('Market Data'!$AO$5:$AO$66,AH!$U$4)),IF(AH!$U$5=1,INDEX('Live History'!$E$5:$E$3004,MATCH($A904,'Live History'!$D$5:$D$3004,1)),INDEX('AH History'!$D$5:$GG$1380,$K904,AH!$U$10+1))),NA()),NA())</f>
        <v/>
      </c>
      <c r="G904" s="34">
        <f>IFERROR(IF(ISNUMBER($A904),IF(AND(AH!$U$12=1,899+1=AH!$U$6),IF(AH!$U$4=0,"unavailable",INDEX('Market Data'!$AK$5:$AK$66,AH!$U$4)),IF(AH!$U$5=1,INDEX('Live History'!$D$5:$D$3004,MATCH($A904,'Live History'!$D$5:$D$3004,1)),INDEX('AH History'!$D$5:$GG$1380,$K904,AH!$U$10+2))),NA()),NA())</f>
        <v/>
      </c>
      <c r="H904" s="266">
        <f>IFERROR(IF(ISNUMBER($A904),IF(AND(AH!$U$12=1,899+1=AH!$U$6),IF(AH!$U$4=0,"unavailable",INDEX('Market Data'!$AP$5:$AP$66,AH!$U$4)),IF(AH!$U$5=1,INDEX('Live History'!$H$5:$H$3004,MATCH($A904,'Live History'!$G$5:$G$3004,1)),INDEX('AH History'!$B$5:$B$1380,$K904))),NA()),NA())</f>
        <v/>
      </c>
      <c r="I904" s="34">
        <f>IFERROR(IF(ISNUMBER($A904),IF(AND(AH!$U$12=1,899+1=AH!$U$6),TODAY(),IF(AH!$U$5=1,INDEX('Live History'!$G$5:$G$3004,MATCH($A904,'Live History'!$G$5:$G$3004,1)),INDEX('AH History'!$C$5:$C$1380,$K904))),NA()),NA())</f>
        <v/>
      </c>
      <c r="J904" s="32">
        <f>IFERROR(IF(AND($F904&gt;0,$H904&gt;0,$A904-$G904&lt;=10,$A904-$I904&lt;=5,$G904&gt;0,$I904&gt;0),$F904*$H904,NA()),NA())</f>
        <v/>
      </c>
      <c r="K904" s="15">
        <f>IF($A904="","",IF(AH!$U$5=1,IFERROR(MATCH($A904,'Live History'!$A$5:$A$3004,0),0),AH!$U$7+899))</f>
        <v/>
      </c>
      <c r="L904" s="15">
        <f>IF(ISNUMBER(A904),TEXT(A904,"dd-mmm-yy"),"")</f>
        <v/>
      </c>
    </row>
    <row r="905">
      <c r="A905" s="14">
        <f>IF(OR(AH!$U$4=0,900+1&gt;AH!$U$6,AND(AH!$M$5="Bloomberg",AH!$U$5=0)),"",IFERROR(IF(AND(AH!$U$12=1,900+1=AH!$U$6),TODAY(),IF(AH!$U$5=1,INDEX('Live History'!$A$5:$A$3004,AH!$U$7+900),INDEX('AH History'!$A$5:$A$1380,AH!$U$7+900))),""))</f>
        <v/>
      </c>
      <c r="B905" s="33">
        <f>IFERROR(IF(AH!$U$11=1,NA(),$J905/$E905-1),NA())</f>
        <v/>
      </c>
      <c r="C905" s="269">
        <f>IFERROR(100*$E905/$E$5,NA())</f>
        <v/>
      </c>
      <c r="D905" s="269">
        <f>IFERROR(100*$J905/$J$5,NA())</f>
        <v/>
      </c>
      <c r="E905" s="32">
        <f>IFERROR(IF(AND(ISNUMBER($A905),N(IF(AND(AH!$U$12=1,900+1=AH!$U$6),IF(AH!$U$4=0,"unavailable",INDEX('Market Data'!$AN$5:$AN$66,AH!$U$4)),IF(AH!$U$5=1,INDEX('Live History'!$B$5:$B$3004,$K905),INDEX('AH History'!$D$5:$GG$1380,$K905,AH!$U$10))))&gt;0),IF(AND(AH!$U$12=1,900+1=AH!$U$6),IF(AH!$U$4=0,"unavailable",INDEX('Market Data'!$AN$5:$AN$66,AH!$U$4)),IF(AH!$U$5=1,INDEX('Live History'!$B$5:$B$3004,$K905),INDEX('AH History'!$D$5:$GG$1380,$K905,AH!$U$10))),NA()),NA())</f>
        <v/>
      </c>
      <c r="F905" s="32">
        <f>IFERROR(IF(ISNUMBER($A905),IF(AND(AH!$U$12=1,900+1=AH!$U$6),IF(AH!$U$4=0,"unavailable",INDEX('Market Data'!$AO$5:$AO$66,AH!$U$4)),IF(AH!$U$5=1,INDEX('Live History'!$E$5:$E$3004,MATCH($A905,'Live History'!$D$5:$D$3004,1)),INDEX('AH History'!$D$5:$GG$1380,$K905,AH!$U$10+1))),NA()),NA())</f>
        <v/>
      </c>
      <c r="G905" s="34">
        <f>IFERROR(IF(ISNUMBER($A905),IF(AND(AH!$U$12=1,900+1=AH!$U$6),IF(AH!$U$4=0,"unavailable",INDEX('Market Data'!$AK$5:$AK$66,AH!$U$4)),IF(AH!$U$5=1,INDEX('Live History'!$D$5:$D$3004,MATCH($A905,'Live History'!$D$5:$D$3004,1)),INDEX('AH History'!$D$5:$GG$1380,$K905,AH!$U$10+2))),NA()),NA())</f>
        <v/>
      </c>
      <c r="H905" s="266">
        <f>IFERROR(IF(ISNUMBER($A905),IF(AND(AH!$U$12=1,900+1=AH!$U$6),IF(AH!$U$4=0,"unavailable",INDEX('Market Data'!$AP$5:$AP$66,AH!$U$4)),IF(AH!$U$5=1,INDEX('Live History'!$H$5:$H$3004,MATCH($A905,'Live History'!$G$5:$G$3004,1)),INDEX('AH History'!$B$5:$B$1380,$K905))),NA()),NA())</f>
        <v/>
      </c>
      <c r="I905" s="34">
        <f>IFERROR(IF(ISNUMBER($A905),IF(AND(AH!$U$12=1,900+1=AH!$U$6),TODAY(),IF(AH!$U$5=1,INDEX('Live History'!$G$5:$G$3004,MATCH($A905,'Live History'!$G$5:$G$3004,1)),INDEX('AH History'!$C$5:$C$1380,$K905))),NA()),NA())</f>
        <v/>
      </c>
      <c r="J905" s="32">
        <f>IFERROR(IF(AND($F905&gt;0,$H905&gt;0,$A905-$G905&lt;=10,$A905-$I905&lt;=5,$G905&gt;0,$I905&gt;0),$F905*$H905,NA()),NA())</f>
        <v/>
      </c>
      <c r="K905" s="15">
        <f>IF($A905="","",IF(AH!$U$5=1,IFERROR(MATCH($A905,'Live History'!$A$5:$A$3004,0),0),AH!$U$7+900))</f>
        <v/>
      </c>
      <c r="L905" s="15">
        <f>IF(ISNUMBER(A905),TEXT(A905,"dd-mmm-yy"),"")</f>
        <v/>
      </c>
    </row>
    <row r="906">
      <c r="A906" s="14">
        <f>IF(OR(AH!$U$4=0,901+1&gt;AH!$U$6,AND(AH!$M$5="Bloomberg",AH!$U$5=0)),"",IFERROR(IF(AND(AH!$U$12=1,901+1=AH!$U$6),TODAY(),IF(AH!$U$5=1,INDEX('Live History'!$A$5:$A$3004,AH!$U$7+901),INDEX('AH History'!$A$5:$A$1380,AH!$U$7+901))),""))</f>
        <v/>
      </c>
      <c r="B906" s="33">
        <f>IFERROR(IF(AH!$U$11=1,NA(),$J906/$E906-1),NA())</f>
        <v/>
      </c>
      <c r="C906" s="269">
        <f>IFERROR(100*$E906/$E$5,NA())</f>
        <v/>
      </c>
      <c r="D906" s="269">
        <f>IFERROR(100*$J906/$J$5,NA())</f>
        <v/>
      </c>
      <c r="E906" s="32">
        <f>IFERROR(IF(AND(ISNUMBER($A906),N(IF(AND(AH!$U$12=1,901+1=AH!$U$6),IF(AH!$U$4=0,"unavailable",INDEX('Market Data'!$AN$5:$AN$66,AH!$U$4)),IF(AH!$U$5=1,INDEX('Live History'!$B$5:$B$3004,$K906),INDEX('AH History'!$D$5:$GG$1380,$K906,AH!$U$10))))&gt;0),IF(AND(AH!$U$12=1,901+1=AH!$U$6),IF(AH!$U$4=0,"unavailable",INDEX('Market Data'!$AN$5:$AN$66,AH!$U$4)),IF(AH!$U$5=1,INDEX('Live History'!$B$5:$B$3004,$K906),INDEX('AH History'!$D$5:$GG$1380,$K906,AH!$U$10))),NA()),NA())</f>
        <v/>
      </c>
      <c r="F906" s="32">
        <f>IFERROR(IF(ISNUMBER($A906),IF(AND(AH!$U$12=1,901+1=AH!$U$6),IF(AH!$U$4=0,"unavailable",INDEX('Market Data'!$AO$5:$AO$66,AH!$U$4)),IF(AH!$U$5=1,INDEX('Live History'!$E$5:$E$3004,MATCH($A906,'Live History'!$D$5:$D$3004,1)),INDEX('AH History'!$D$5:$GG$1380,$K906,AH!$U$10+1))),NA()),NA())</f>
        <v/>
      </c>
      <c r="G906" s="34">
        <f>IFERROR(IF(ISNUMBER($A906),IF(AND(AH!$U$12=1,901+1=AH!$U$6),IF(AH!$U$4=0,"unavailable",INDEX('Market Data'!$AK$5:$AK$66,AH!$U$4)),IF(AH!$U$5=1,INDEX('Live History'!$D$5:$D$3004,MATCH($A906,'Live History'!$D$5:$D$3004,1)),INDEX('AH History'!$D$5:$GG$1380,$K906,AH!$U$10+2))),NA()),NA())</f>
        <v/>
      </c>
      <c r="H906" s="266">
        <f>IFERROR(IF(ISNUMBER($A906),IF(AND(AH!$U$12=1,901+1=AH!$U$6),IF(AH!$U$4=0,"unavailable",INDEX('Market Data'!$AP$5:$AP$66,AH!$U$4)),IF(AH!$U$5=1,INDEX('Live History'!$H$5:$H$3004,MATCH($A906,'Live History'!$G$5:$G$3004,1)),INDEX('AH History'!$B$5:$B$1380,$K906))),NA()),NA())</f>
        <v/>
      </c>
      <c r="I906" s="34">
        <f>IFERROR(IF(ISNUMBER($A906),IF(AND(AH!$U$12=1,901+1=AH!$U$6),TODAY(),IF(AH!$U$5=1,INDEX('Live History'!$G$5:$G$3004,MATCH($A906,'Live History'!$G$5:$G$3004,1)),INDEX('AH History'!$C$5:$C$1380,$K906))),NA()),NA())</f>
        <v/>
      </c>
      <c r="J906" s="32">
        <f>IFERROR(IF(AND($F906&gt;0,$H906&gt;0,$A906-$G906&lt;=10,$A906-$I906&lt;=5,$G906&gt;0,$I906&gt;0),$F906*$H906,NA()),NA())</f>
        <v/>
      </c>
      <c r="K906" s="15">
        <f>IF($A906="","",IF(AH!$U$5=1,IFERROR(MATCH($A906,'Live History'!$A$5:$A$3004,0),0),AH!$U$7+901))</f>
        <v/>
      </c>
      <c r="L906" s="15">
        <f>IF(ISNUMBER(A906),TEXT(A906,"dd-mmm-yy"),"")</f>
        <v/>
      </c>
    </row>
    <row r="907">
      <c r="A907" s="14">
        <f>IF(OR(AH!$U$4=0,902+1&gt;AH!$U$6,AND(AH!$M$5="Bloomberg",AH!$U$5=0)),"",IFERROR(IF(AND(AH!$U$12=1,902+1=AH!$U$6),TODAY(),IF(AH!$U$5=1,INDEX('Live History'!$A$5:$A$3004,AH!$U$7+902),INDEX('AH History'!$A$5:$A$1380,AH!$U$7+902))),""))</f>
        <v/>
      </c>
      <c r="B907" s="33">
        <f>IFERROR(IF(AH!$U$11=1,NA(),$J907/$E907-1),NA())</f>
        <v/>
      </c>
      <c r="C907" s="269">
        <f>IFERROR(100*$E907/$E$5,NA())</f>
        <v/>
      </c>
      <c r="D907" s="269">
        <f>IFERROR(100*$J907/$J$5,NA())</f>
        <v/>
      </c>
      <c r="E907" s="32">
        <f>IFERROR(IF(AND(ISNUMBER($A907),N(IF(AND(AH!$U$12=1,902+1=AH!$U$6),IF(AH!$U$4=0,"unavailable",INDEX('Market Data'!$AN$5:$AN$66,AH!$U$4)),IF(AH!$U$5=1,INDEX('Live History'!$B$5:$B$3004,$K907),INDEX('AH History'!$D$5:$GG$1380,$K907,AH!$U$10))))&gt;0),IF(AND(AH!$U$12=1,902+1=AH!$U$6),IF(AH!$U$4=0,"unavailable",INDEX('Market Data'!$AN$5:$AN$66,AH!$U$4)),IF(AH!$U$5=1,INDEX('Live History'!$B$5:$B$3004,$K907),INDEX('AH History'!$D$5:$GG$1380,$K907,AH!$U$10))),NA()),NA())</f>
        <v/>
      </c>
      <c r="F907" s="32">
        <f>IFERROR(IF(ISNUMBER($A907),IF(AND(AH!$U$12=1,902+1=AH!$U$6),IF(AH!$U$4=0,"unavailable",INDEX('Market Data'!$AO$5:$AO$66,AH!$U$4)),IF(AH!$U$5=1,INDEX('Live History'!$E$5:$E$3004,MATCH($A907,'Live History'!$D$5:$D$3004,1)),INDEX('AH History'!$D$5:$GG$1380,$K907,AH!$U$10+1))),NA()),NA())</f>
        <v/>
      </c>
      <c r="G907" s="34">
        <f>IFERROR(IF(ISNUMBER($A907),IF(AND(AH!$U$12=1,902+1=AH!$U$6),IF(AH!$U$4=0,"unavailable",INDEX('Market Data'!$AK$5:$AK$66,AH!$U$4)),IF(AH!$U$5=1,INDEX('Live History'!$D$5:$D$3004,MATCH($A907,'Live History'!$D$5:$D$3004,1)),INDEX('AH History'!$D$5:$GG$1380,$K907,AH!$U$10+2))),NA()),NA())</f>
        <v/>
      </c>
      <c r="H907" s="266">
        <f>IFERROR(IF(ISNUMBER($A907),IF(AND(AH!$U$12=1,902+1=AH!$U$6),IF(AH!$U$4=0,"unavailable",INDEX('Market Data'!$AP$5:$AP$66,AH!$U$4)),IF(AH!$U$5=1,INDEX('Live History'!$H$5:$H$3004,MATCH($A907,'Live History'!$G$5:$G$3004,1)),INDEX('AH History'!$B$5:$B$1380,$K907))),NA()),NA())</f>
        <v/>
      </c>
      <c r="I907" s="34">
        <f>IFERROR(IF(ISNUMBER($A907),IF(AND(AH!$U$12=1,902+1=AH!$U$6),TODAY(),IF(AH!$U$5=1,INDEX('Live History'!$G$5:$G$3004,MATCH($A907,'Live History'!$G$5:$G$3004,1)),INDEX('AH History'!$C$5:$C$1380,$K907))),NA()),NA())</f>
        <v/>
      </c>
      <c r="J907" s="32">
        <f>IFERROR(IF(AND($F907&gt;0,$H907&gt;0,$A907-$G907&lt;=10,$A907-$I907&lt;=5,$G907&gt;0,$I907&gt;0),$F907*$H907,NA()),NA())</f>
        <v/>
      </c>
      <c r="K907" s="15">
        <f>IF($A907="","",IF(AH!$U$5=1,IFERROR(MATCH($A907,'Live History'!$A$5:$A$3004,0),0),AH!$U$7+902))</f>
        <v/>
      </c>
      <c r="L907" s="15">
        <f>IF(ISNUMBER(A907),TEXT(A907,"dd-mmm-yy"),"")</f>
        <v/>
      </c>
    </row>
    <row r="908">
      <c r="A908" s="14">
        <f>IF(OR(AH!$U$4=0,903+1&gt;AH!$U$6,AND(AH!$M$5="Bloomberg",AH!$U$5=0)),"",IFERROR(IF(AND(AH!$U$12=1,903+1=AH!$U$6),TODAY(),IF(AH!$U$5=1,INDEX('Live History'!$A$5:$A$3004,AH!$U$7+903),INDEX('AH History'!$A$5:$A$1380,AH!$U$7+903))),""))</f>
        <v/>
      </c>
      <c r="B908" s="33">
        <f>IFERROR(IF(AH!$U$11=1,NA(),$J908/$E908-1),NA())</f>
        <v/>
      </c>
      <c r="C908" s="269">
        <f>IFERROR(100*$E908/$E$5,NA())</f>
        <v/>
      </c>
      <c r="D908" s="269">
        <f>IFERROR(100*$J908/$J$5,NA())</f>
        <v/>
      </c>
      <c r="E908" s="32">
        <f>IFERROR(IF(AND(ISNUMBER($A908),N(IF(AND(AH!$U$12=1,903+1=AH!$U$6),IF(AH!$U$4=0,"unavailable",INDEX('Market Data'!$AN$5:$AN$66,AH!$U$4)),IF(AH!$U$5=1,INDEX('Live History'!$B$5:$B$3004,$K908),INDEX('AH History'!$D$5:$GG$1380,$K908,AH!$U$10))))&gt;0),IF(AND(AH!$U$12=1,903+1=AH!$U$6),IF(AH!$U$4=0,"unavailable",INDEX('Market Data'!$AN$5:$AN$66,AH!$U$4)),IF(AH!$U$5=1,INDEX('Live History'!$B$5:$B$3004,$K908),INDEX('AH History'!$D$5:$GG$1380,$K908,AH!$U$10))),NA()),NA())</f>
        <v/>
      </c>
      <c r="F908" s="32">
        <f>IFERROR(IF(ISNUMBER($A908),IF(AND(AH!$U$12=1,903+1=AH!$U$6),IF(AH!$U$4=0,"unavailable",INDEX('Market Data'!$AO$5:$AO$66,AH!$U$4)),IF(AH!$U$5=1,INDEX('Live History'!$E$5:$E$3004,MATCH($A908,'Live History'!$D$5:$D$3004,1)),INDEX('AH History'!$D$5:$GG$1380,$K908,AH!$U$10+1))),NA()),NA())</f>
        <v/>
      </c>
      <c r="G908" s="34">
        <f>IFERROR(IF(ISNUMBER($A908),IF(AND(AH!$U$12=1,903+1=AH!$U$6),IF(AH!$U$4=0,"unavailable",INDEX('Market Data'!$AK$5:$AK$66,AH!$U$4)),IF(AH!$U$5=1,INDEX('Live History'!$D$5:$D$3004,MATCH($A908,'Live History'!$D$5:$D$3004,1)),INDEX('AH History'!$D$5:$GG$1380,$K908,AH!$U$10+2))),NA()),NA())</f>
        <v/>
      </c>
      <c r="H908" s="266">
        <f>IFERROR(IF(ISNUMBER($A908),IF(AND(AH!$U$12=1,903+1=AH!$U$6),IF(AH!$U$4=0,"unavailable",INDEX('Market Data'!$AP$5:$AP$66,AH!$U$4)),IF(AH!$U$5=1,INDEX('Live History'!$H$5:$H$3004,MATCH($A908,'Live History'!$G$5:$G$3004,1)),INDEX('AH History'!$B$5:$B$1380,$K908))),NA()),NA())</f>
        <v/>
      </c>
      <c r="I908" s="34">
        <f>IFERROR(IF(ISNUMBER($A908),IF(AND(AH!$U$12=1,903+1=AH!$U$6),TODAY(),IF(AH!$U$5=1,INDEX('Live History'!$G$5:$G$3004,MATCH($A908,'Live History'!$G$5:$G$3004,1)),INDEX('AH History'!$C$5:$C$1380,$K908))),NA()),NA())</f>
        <v/>
      </c>
      <c r="J908" s="32">
        <f>IFERROR(IF(AND($F908&gt;0,$H908&gt;0,$A908-$G908&lt;=10,$A908-$I908&lt;=5,$G908&gt;0,$I908&gt;0),$F908*$H908,NA()),NA())</f>
        <v/>
      </c>
      <c r="K908" s="15">
        <f>IF($A908="","",IF(AH!$U$5=1,IFERROR(MATCH($A908,'Live History'!$A$5:$A$3004,0),0),AH!$U$7+903))</f>
        <v/>
      </c>
      <c r="L908" s="15">
        <f>IF(ISNUMBER(A908),TEXT(A908,"dd-mmm-yy"),"")</f>
        <v/>
      </c>
    </row>
    <row r="909">
      <c r="A909" s="14">
        <f>IF(OR(AH!$U$4=0,904+1&gt;AH!$U$6,AND(AH!$M$5="Bloomberg",AH!$U$5=0)),"",IFERROR(IF(AND(AH!$U$12=1,904+1=AH!$U$6),TODAY(),IF(AH!$U$5=1,INDEX('Live History'!$A$5:$A$3004,AH!$U$7+904),INDEX('AH History'!$A$5:$A$1380,AH!$U$7+904))),""))</f>
        <v/>
      </c>
      <c r="B909" s="33">
        <f>IFERROR(IF(AH!$U$11=1,NA(),$J909/$E909-1),NA())</f>
        <v/>
      </c>
      <c r="C909" s="269">
        <f>IFERROR(100*$E909/$E$5,NA())</f>
        <v/>
      </c>
      <c r="D909" s="269">
        <f>IFERROR(100*$J909/$J$5,NA())</f>
        <v/>
      </c>
      <c r="E909" s="32">
        <f>IFERROR(IF(AND(ISNUMBER($A909),N(IF(AND(AH!$U$12=1,904+1=AH!$U$6),IF(AH!$U$4=0,"unavailable",INDEX('Market Data'!$AN$5:$AN$66,AH!$U$4)),IF(AH!$U$5=1,INDEX('Live History'!$B$5:$B$3004,$K909),INDEX('AH History'!$D$5:$GG$1380,$K909,AH!$U$10))))&gt;0),IF(AND(AH!$U$12=1,904+1=AH!$U$6),IF(AH!$U$4=0,"unavailable",INDEX('Market Data'!$AN$5:$AN$66,AH!$U$4)),IF(AH!$U$5=1,INDEX('Live History'!$B$5:$B$3004,$K909),INDEX('AH History'!$D$5:$GG$1380,$K909,AH!$U$10))),NA()),NA())</f>
        <v/>
      </c>
      <c r="F909" s="32">
        <f>IFERROR(IF(ISNUMBER($A909),IF(AND(AH!$U$12=1,904+1=AH!$U$6),IF(AH!$U$4=0,"unavailable",INDEX('Market Data'!$AO$5:$AO$66,AH!$U$4)),IF(AH!$U$5=1,INDEX('Live History'!$E$5:$E$3004,MATCH($A909,'Live History'!$D$5:$D$3004,1)),INDEX('AH History'!$D$5:$GG$1380,$K909,AH!$U$10+1))),NA()),NA())</f>
        <v/>
      </c>
      <c r="G909" s="34">
        <f>IFERROR(IF(ISNUMBER($A909),IF(AND(AH!$U$12=1,904+1=AH!$U$6),IF(AH!$U$4=0,"unavailable",INDEX('Market Data'!$AK$5:$AK$66,AH!$U$4)),IF(AH!$U$5=1,INDEX('Live History'!$D$5:$D$3004,MATCH($A909,'Live History'!$D$5:$D$3004,1)),INDEX('AH History'!$D$5:$GG$1380,$K909,AH!$U$10+2))),NA()),NA())</f>
        <v/>
      </c>
      <c r="H909" s="266">
        <f>IFERROR(IF(ISNUMBER($A909),IF(AND(AH!$U$12=1,904+1=AH!$U$6),IF(AH!$U$4=0,"unavailable",INDEX('Market Data'!$AP$5:$AP$66,AH!$U$4)),IF(AH!$U$5=1,INDEX('Live History'!$H$5:$H$3004,MATCH($A909,'Live History'!$G$5:$G$3004,1)),INDEX('AH History'!$B$5:$B$1380,$K909))),NA()),NA())</f>
        <v/>
      </c>
      <c r="I909" s="34">
        <f>IFERROR(IF(ISNUMBER($A909),IF(AND(AH!$U$12=1,904+1=AH!$U$6),TODAY(),IF(AH!$U$5=1,INDEX('Live History'!$G$5:$G$3004,MATCH($A909,'Live History'!$G$5:$G$3004,1)),INDEX('AH History'!$C$5:$C$1380,$K909))),NA()),NA())</f>
        <v/>
      </c>
      <c r="J909" s="32">
        <f>IFERROR(IF(AND($F909&gt;0,$H909&gt;0,$A909-$G909&lt;=10,$A909-$I909&lt;=5,$G909&gt;0,$I909&gt;0),$F909*$H909,NA()),NA())</f>
        <v/>
      </c>
      <c r="K909" s="15">
        <f>IF($A909="","",IF(AH!$U$5=1,IFERROR(MATCH($A909,'Live History'!$A$5:$A$3004,0),0),AH!$U$7+904))</f>
        <v/>
      </c>
      <c r="L909" s="15">
        <f>IF(ISNUMBER(A909),TEXT(A909,"dd-mmm-yy"),"")</f>
        <v/>
      </c>
    </row>
    <row r="910">
      <c r="A910" s="14">
        <f>IF(OR(AH!$U$4=0,905+1&gt;AH!$U$6,AND(AH!$M$5="Bloomberg",AH!$U$5=0)),"",IFERROR(IF(AND(AH!$U$12=1,905+1=AH!$U$6),TODAY(),IF(AH!$U$5=1,INDEX('Live History'!$A$5:$A$3004,AH!$U$7+905),INDEX('AH History'!$A$5:$A$1380,AH!$U$7+905))),""))</f>
        <v/>
      </c>
      <c r="B910" s="33">
        <f>IFERROR(IF(AH!$U$11=1,NA(),$J910/$E910-1),NA())</f>
        <v/>
      </c>
      <c r="C910" s="269">
        <f>IFERROR(100*$E910/$E$5,NA())</f>
        <v/>
      </c>
      <c r="D910" s="269">
        <f>IFERROR(100*$J910/$J$5,NA())</f>
        <v/>
      </c>
      <c r="E910" s="32">
        <f>IFERROR(IF(AND(ISNUMBER($A910),N(IF(AND(AH!$U$12=1,905+1=AH!$U$6),IF(AH!$U$4=0,"unavailable",INDEX('Market Data'!$AN$5:$AN$66,AH!$U$4)),IF(AH!$U$5=1,INDEX('Live History'!$B$5:$B$3004,$K910),INDEX('AH History'!$D$5:$GG$1380,$K910,AH!$U$10))))&gt;0),IF(AND(AH!$U$12=1,905+1=AH!$U$6),IF(AH!$U$4=0,"unavailable",INDEX('Market Data'!$AN$5:$AN$66,AH!$U$4)),IF(AH!$U$5=1,INDEX('Live History'!$B$5:$B$3004,$K910),INDEX('AH History'!$D$5:$GG$1380,$K910,AH!$U$10))),NA()),NA())</f>
        <v/>
      </c>
      <c r="F910" s="32">
        <f>IFERROR(IF(ISNUMBER($A910),IF(AND(AH!$U$12=1,905+1=AH!$U$6),IF(AH!$U$4=0,"unavailable",INDEX('Market Data'!$AO$5:$AO$66,AH!$U$4)),IF(AH!$U$5=1,INDEX('Live History'!$E$5:$E$3004,MATCH($A910,'Live History'!$D$5:$D$3004,1)),INDEX('AH History'!$D$5:$GG$1380,$K910,AH!$U$10+1))),NA()),NA())</f>
        <v/>
      </c>
      <c r="G910" s="34">
        <f>IFERROR(IF(ISNUMBER($A910),IF(AND(AH!$U$12=1,905+1=AH!$U$6),IF(AH!$U$4=0,"unavailable",INDEX('Market Data'!$AK$5:$AK$66,AH!$U$4)),IF(AH!$U$5=1,INDEX('Live History'!$D$5:$D$3004,MATCH($A910,'Live History'!$D$5:$D$3004,1)),INDEX('AH History'!$D$5:$GG$1380,$K910,AH!$U$10+2))),NA()),NA())</f>
        <v/>
      </c>
      <c r="H910" s="266">
        <f>IFERROR(IF(ISNUMBER($A910),IF(AND(AH!$U$12=1,905+1=AH!$U$6),IF(AH!$U$4=0,"unavailable",INDEX('Market Data'!$AP$5:$AP$66,AH!$U$4)),IF(AH!$U$5=1,INDEX('Live History'!$H$5:$H$3004,MATCH($A910,'Live History'!$G$5:$G$3004,1)),INDEX('AH History'!$B$5:$B$1380,$K910))),NA()),NA())</f>
        <v/>
      </c>
      <c r="I910" s="34">
        <f>IFERROR(IF(ISNUMBER($A910),IF(AND(AH!$U$12=1,905+1=AH!$U$6),TODAY(),IF(AH!$U$5=1,INDEX('Live History'!$G$5:$G$3004,MATCH($A910,'Live History'!$G$5:$G$3004,1)),INDEX('AH History'!$C$5:$C$1380,$K910))),NA()),NA())</f>
        <v/>
      </c>
      <c r="J910" s="32">
        <f>IFERROR(IF(AND($F910&gt;0,$H910&gt;0,$A910-$G910&lt;=10,$A910-$I910&lt;=5,$G910&gt;0,$I910&gt;0),$F910*$H910,NA()),NA())</f>
        <v/>
      </c>
      <c r="K910" s="15">
        <f>IF($A910="","",IF(AH!$U$5=1,IFERROR(MATCH($A910,'Live History'!$A$5:$A$3004,0),0),AH!$U$7+905))</f>
        <v/>
      </c>
      <c r="L910" s="15">
        <f>IF(ISNUMBER(A910),TEXT(A910,"dd-mmm-yy"),"")</f>
        <v/>
      </c>
    </row>
    <row r="911">
      <c r="A911" s="14">
        <f>IF(OR(AH!$U$4=0,906+1&gt;AH!$U$6,AND(AH!$M$5="Bloomberg",AH!$U$5=0)),"",IFERROR(IF(AND(AH!$U$12=1,906+1=AH!$U$6),TODAY(),IF(AH!$U$5=1,INDEX('Live History'!$A$5:$A$3004,AH!$U$7+906),INDEX('AH History'!$A$5:$A$1380,AH!$U$7+906))),""))</f>
        <v/>
      </c>
      <c r="B911" s="33">
        <f>IFERROR(IF(AH!$U$11=1,NA(),$J911/$E911-1),NA())</f>
        <v/>
      </c>
      <c r="C911" s="269">
        <f>IFERROR(100*$E911/$E$5,NA())</f>
        <v/>
      </c>
      <c r="D911" s="269">
        <f>IFERROR(100*$J911/$J$5,NA())</f>
        <v/>
      </c>
      <c r="E911" s="32">
        <f>IFERROR(IF(AND(ISNUMBER($A911),N(IF(AND(AH!$U$12=1,906+1=AH!$U$6),IF(AH!$U$4=0,"unavailable",INDEX('Market Data'!$AN$5:$AN$66,AH!$U$4)),IF(AH!$U$5=1,INDEX('Live History'!$B$5:$B$3004,$K911),INDEX('AH History'!$D$5:$GG$1380,$K911,AH!$U$10))))&gt;0),IF(AND(AH!$U$12=1,906+1=AH!$U$6),IF(AH!$U$4=0,"unavailable",INDEX('Market Data'!$AN$5:$AN$66,AH!$U$4)),IF(AH!$U$5=1,INDEX('Live History'!$B$5:$B$3004,$K911),INDEX('AH History'!$D$5:$GG$1380,$K911,AH!$U$10))),NA()),NA())</f>
        <v/>
      </c>
      <c r="F911" s="32">
        <f>IFERROR(IF(ISNUMBER($A911),IF(AND(AH!$U$12=1,906+1=AH!$U$6),IF(AH!$U$4=0,"unavailable",INDEX('Market Data'!$AO$5:$AO$66,AH!$U$4)),IF(AH!$U$5=1,INDEX('Live History'!$E$5:$E$3004,MATCH($A911,'Live History'!$D$5:$D$3004,1)),INDEX('AH History'!$D$5:$GG$1380,$K911,AH!$U$10+1))),NA()),NA())</f>
        <v/>
      </c>
      <c r="G911" s="34">
        <f>IFERROR(IF(ISNUMBER($A911),IF(AND(AH!$U$12=1,906+1=AH!$U$6),IF(AH!$U$4=0,"unavailable",INDEX('Market Data'!$AK$5:$AK$66,AH!$U$4)),IF(AH!$U$5=1,INDEX('Live History'!$D$5:$D$3004,MATCH($A911,'Live History'!$D$5:$D$3004,1)),INDEX('AH History'!$D$5:$GG$1380,$K911,AH!$U$10+2))),NA()),NA())</f>
        <v/>
      </c>
      <c r="H911" s="266">
        <f>IFERROR(IF(ISNUMBER($A911),IF(AND(AH!$U$12=1,906+1=AH!$U$6),IF(AH!$U$4=0,"unavailable",INDEX('Market Data'!$AP$5:$AP$66,AH!$U$4)),IF(AH!$U$5=1,INDEX('Live History'!$H$5:$H$3004,MATCH($A911,'Live History'!$G$5:$G$3004,1)),INDEX('AH History'!$B$5:$B$1380,$K911))),NA()),NA())</f>
        <v/>
      </c>
      <c r="I911" s="34">
        <f>IFERROR(IF(ISNUMBER($A911),IF(AND(AH!$U$12=1,906+1=AH!$U$6),TODAY(),IF(AH!$U$5=1,INDEX('Live History'!$G$5:$G$3004,MATCH($A911,'Live History'!$G$5:$G$3004,1)),INDEX('AH History'!$C$5:$C$1380,$K911))),NA()),NA())</f>
        <v/>
      </c>
      <c r="J911" s="32">
        <f>IFERROR(IF(AND($F911&gt;0,$H911&gt;0,$A911-$G911&lt;=10,$A911-$I911&lt;=5,$G911&gt;0,$I911&gt;0),$F911*$H911,NA()),NA())</f>
        <v/>
      </c>
      <c r="K911" s="15">
        <f>IF($A911="","",IF(AH!$U$5=1,IFERROR(MATCH($A911,'Live History'!$A$5:$A$3004,0),0),AH!$U$7+906))</f>
        <v/>
      </c>
      <c r="L911" s="15">
        <f>IF(ISNUMBER(A911),TEXT(A911,"dd-mmm-yy"),"")</f>
        <v/>
      </c>
    </row>
    <row r="912">
      <c r="A912" s="14">
        <f>IF(OR(AH!$U$4=0,907+1&gt;AH!$U$6,AND(AH!$M$5="Bloomberg",AH!$U$5=0)),"",IFERROR(IF(AND(AH!$U$12=1,907+1=AH!$U$6),TODAY(),IF(AH!$U$5=1,INDEX('Live History'!$A$5:$A$3004,AH!$U$7+907),INDEX('AH History'!$A$5:$A$1380,AH!$U$7+907))),""))</f>
        <v/>
      </c>
      <c r="B912" s="33">
        <f>IFERROR(IF(AH!$U$11=1,NA(),$J912/$E912-1),NA())</f>
        <v/>
      </c>
      <c r="C912" s="269">
        <f>IFERROR(100*$E912/$E$5,NA())</f>
        <v/>
      </c>
      <c r="D912" s="269">
        <f>IFERROR(100*$J912/$J$5,NA())</f>
        <v/>
      </c>
      <c r="E912" s="32">
        <f>IFERROR(IF(AND(ISNUMBER($A912),N(IF(AND(AH!$U$12=1,907+1=AH!$U$6),IF(AH!$U$4=0,"unavailable",INDEX('Market Data'!$AN$5:$AN$66,AH!$U$4)),IF(AH!$U$5=1,INDEX('Live History'!$B$5:$B$3004,$K912),INDEX('AH History'!$D$5:$GG$1380,$K912,AH!$U$10))))&gt;0),IF(AND(AH!$U$12=1,907+1=AH!$U$6),IF(AH!$U$4=0,"unavailable",INDEX('Market Data'!$AN$5:$AN$66,AH!$U$4)),IF(AH!$U$5=1,INDEX('Live History'!$B$5:$B$3004,$K912),INDEX('AH History'!$D$5:$GG$1380,$K912,AH!$U$10))),NA()),NA())</f>
        <v/>
      </c>
      <c r="F912" s="32">
        <f>IFERROR(IF(ISNUMBER($A912),IF(AND(AH!$U$12=1,907+1=AH!$U$6),IF(AH!$U$4=0,"unavailable",INDEX('Market Data'!$AO$5:$AO$66,AH!$U$4)),IF(AH!$U$5=1,INDEX('Live History'!$E$5:$E$3004,MATCH($A912,'Live History'!$D$5:$D$3004,1)),INDEX('AH History'!$D$5:$GG$1380,$K912,AH!$U$10+1))),NA()),NA())</f>
        <v/>
      </c>
      <c r="G912" s="34">
        <f>IFERROR(IF(ISNUMBER($A912),IF(AND(AH!$U$12=1,907+1=AH!$U$6),IF(AH!$U$4=0,"unavailable",INDEX('Market Data'!$AK$5:$AK$66,AH!$U$4)),IF(AH!$U$5=1,INDEX('Live History'!$D$5:$D$3004,MATCH($A912,'Live History'!$D$5:$D$3004,1)),INDEX('AH History'!$D$5:$GG$1380,$K912,AH!$U$10+2))),NA()),NA())</f>
        <v/>
      </c>
      <c r="H912" s="266">
        <f>IFERROR(IF(ISNUMBER($A912),IF(AND(AH!$U$12=1,907+1=AH!$U$6),IF(AH!$U$4=0,"unavailable",INDEX('Market Data'!$AP$5:$AP$66,AH!$U$4)),IF(AH!$U$5=1,INDEX('Live History'!$H$5:$H$3004,MATCH($A912,'Live History'!$G$5:$G$3004,1)),INDEX('AH History'!$B$5:$B$1380,$K912))),NA()),NA())</f>
        <v/>
      </c>
      <c r="I912" s="34">
        <f>IFERROR(IF(ISNUMBER($A912),IF(AND(AH!$U$12=1,907+1=AH!$U$6),TODAY(),IF(AH!$U$5=1,INDEX('Live History'!$G$5:$G$3004,MATCH($A912,'Live History'!$G$5:$G$3004,1)),INDEX('AH History'!$C$5:$C$1380,$K912))),NA()),NA())</f>
        <v/>
      </c>
      <c r="J912" s="32">
        <f>IFERROR(IF(AND($F912&gt;0,$H912&gt;0,$A912-$G912&lt;=10,$A912-$I912&lt;=5,$G912&gt;0,$I912&gt;0),$F912*$H912,NA()),NA())</f>
        <v/>
      </c>
      <c r="K912" s="15">
        <f>IF($A912="","",IF(AH!$U$5=1,IFERROR(MATCH($A912,'Live History'!$A$5:$A$3004,0),0),AH!$U$7+907))</f>
        <v/>
      </c>
      <c r="L912" s="15">
        <f>IF(ISNUMBER(A912),TEXT(A912,"dd-mmm-yy"),"")</f>
        <v/>
      </c>
    </row>
    <row r="913">
      <c r="A913" s="14">
        <f>IF(OR(AH!$U$4=0,908+1&gt;AH!$U$6,AND(AH!$M$5="Bloomberg",AH!$U$5=0)),"",IFERROR(IF(AND(AH!$U$12=1,908+1=AH!$U$6),TODAY(),IF(AH!$U$5=1,INDEX('Live History'!$A$5:$A$3004,AH!$U$7+908),INDEX('AH History'!$A$5:$A$1380,AH!$U$7+908))),""))</f>
        <v/>
      </c>
      <c r="B913" s="33">
        <f>IFERROR(IF(AH!$U$11=1,NA(),$J913/$E913-1),NA())</f>
        <v/>
      </c>
      <c r="C913" s="269">
        <f>IFERROR(100*$E913/$E$5,NA())</f>
        <v/>
      </c>
      <c r="D913" s="269">
        <f>IFERROR(100*$J913/$J$5,NA())</f>
        <v/>
      </c>
      <c r="E913" s="32">
        <f>IFERROR(IF(AND(ISNUMBER($A913),N(IF(AND(AH!$U$12=1,908+1=AH!$U$6),IF(AH!$U$4=0,"unavailable",INDEX('Market Data'!$AN$5:$AN$66,AH!$U$4)),IF(AH!$U$5=1,INDEX('Live History'!$B$5:$B$3004,$K913),INDEX('AH History'!$D$5:$GG$1380,$K913,AH!$U$10))))&gt;0),IF(AND(AH!$U$12=1,908+1=AH!$U$6),IF(AH!$U$4=0,"unavailable",INDEX('Market Data'!$AN$5:$AN$66,AH!$U$4)),IF(AH!$U$5=1,INDEX('Live History'!$B$5:$B$3004,$K913),INDEX('AH History'!$D$5:$GG$1380,$K913,AH!$U$10))),NA()),NA())</f>
        <v/>
      </c>
      <c r="F913" s="32">
        <f>IFERROR(IF(ISNUMBER($A913),IF(AND(AH!$U$12=1,908+1=AH!$U$6),IF(AH!$U$4=0,"unavailable",INDEX('Market Data'!$AO$5:$AO$66,AH!$U$4)),IF(AH!$U$5=1,INDEX('Live History'!$E$5:$E$3004,MATCH($A913,'Live History'!$D$5:$D$3004,1)),INDEX('AH History'!$D$5:$GG$1380,$K913,AH!$U$10+1))),NA()),NA())</f>
        <v/>
      </c>
      <c r="G913" s="34">
        <f>IFERROR(IF(ISNUMBER($A913),IF(AND(AH!$U$12=1,908+1=AH!$U$6),IF(AH!$U$4=0,"unavailable",INDEX('Market Data'!$AK$5:$AK$66,AH!$U$4)),IF(AH!$U$5=1,INDEX('Live History'!$D$5:$D$3004,MATCH($A913,'Live History'!$D$5:$D$3004,1)),INDEX('AH History'!$D$5:$GG$1380,$K913,AH!$U$10+2))),NA()),NA())</f>
        <v/>
      </c>
      <c r="H913" s="266">
        <f>IFERROR(IF(ISNUMBER($A913),IF(AND(AH!$U$12=1,908+1=AH!$U$6),IF(AH!$U$4=0,"unavailable",INDEX('Market Data'!$AP$5:$AP$66,AH!$U$4)),IF(AH!$U$5=1,INDEX('Live History'!$H$5:$H$3004,MATCH($A913,'Live History'!$G$5:$G$3004,1)),INDEX('AH History'!$B$5:$B$1380,$K913))),NA()),NA())</f>
        <v/>
      </c>
      <c r="I913" s="34">
        <f>IFERROR(IF(ISNUMBER($A913),IF(AND(AH!$U$12=1,908+1=AH!$U$6),TODAY(),IF(AH!$U$5=1,INDEX('Live History'!$G$5:$G$3004,MATCH($A913,'Live History'!$G$5:$G$3004,1)),INDEX('AH History'!$C$5:$C$1380,$K913))),NA()),NA())</f>
        <v/>
      </c>
      <c r="J913" s="32">
        <f>IFERROR(IF(AND($F913&gt;0,$H913&gt;0,$A913-$G913&lt;=10,$A913-$I913&lt;=5,$G913&gt;0,$I913&gt;0),$F913*$H913,NA()),NA())</f>
        <v/>
      </c>
      <c r="K913" s="15">
        <f>IF($A913="","",IF(AH!$U$5=1,IFERROR(MATCH($A913,'Live History'!$A$5:$A$3004,0),0),AH!$U$7+908))</f>
        <v/>
      </c>
      <c r="L913" s="15">
        <f>IF(ISNUMBER(A913),TEXT(A913,"dd-mmm-yy"),"")</f>
        <v/>
      </c>
    </row>
    <row r="914">
      <c r="A914" s="14">
        <f>IF(OR(AH!$U$4=0,909+1&gt;AH!$U$6,AND(AH!$M$5="Bloomberg",AH!$U$5=0)),"",IFERROR(IF(AND(AH!$U$12=1,909+1=AH!$U$6),TODAY(),IF(AH!$U$5=1,INDEX('Live History'!$A$5:$A$3004,AH!$U$7+909),INDEX('AH History'!$A$5:$A$1380,AH!$U$7+909))),""))</f>
        <v/>
      </c>
      <c r="B914" s="33">
        <f>IFERROR(IF(AH!$U$11=1,NA(),$J914/$E914-1),NA())</f>
        <v/>
      </c>
      <c r="C914" s="269">
        <f>IFERROR(100*$E914/$E$5,NA())</f>
        <v/>
      </c>
      <c r="D914" s="269">
        <f>IFERROR(100*$J914/$J$5,NA())</f>
        <v/>
      </c>
      <c r="E914" s="32">
        <f>IFERROR(IF(AND(ISNUMBER($A914),N(IF(AND(AH!$U$12=1,909+1=AH!$U$6),IF(AH!$U$4=0,"unavailable",INDEX('Market Data'!$AN$5:$AN$66,AH!$U$4)),IF(AH!$U$5=1,INDEX('Live History'!$B$5:$B$3004,$K914),INDEX('AH History'!$D$5:$GG$1380,$K914,AH!$U$10))))&gt;0),IF(AND(AH!$U$12=1,909+1=AH!$U$6),IF(AH!$U$4=0,"unavailable",INDEX('Market Data'!$AN$5:$AN$66,AH!$U$4)),IF(AH!$U$5=1,INDEX('Live History'!$B$5:$B$3004,$K914),INDEX('AH History'!$D$5:$GG$1380,$K914,AH!$U$10))),NA()),NA())</f>
        <v/>
      </c>
      <c r="F914" s="32">
        <f>IFERROR(IF(ISNUMBER($A914),IF(AND(AH!$U$12=1,909+1=AH!$U$6),IF(AH!$U$4=0,"unavailable",INDEX('Market Data'!$AO$5:$AO$66,AH!$U$4)),IF(AH!$U$5=1,INDEX('Live History'!$E$5:$E$3004,MATCH($A914,'Live History'!$D$5:$D$3004,1)),INDEX('AH History'!$D$5:$GG$1380,$K914,AH!$U$10+1))),NA()),NA())</f>
        <v/>
      </c>
      <c r="G914" s="34">
        <f>IFERROR(IF(ISNUMBER($A914),IF(AND(AH!$U$12=1,909+1=AH!$U$6),IF(AH!$U$4=0,"unavailable",INDEX('Market Data'!$AK$5:$AK$66,AH!$U$4)),IF(AH!$U$5=1,INDEX('Live History'!$D$5:$D$3004,MATCH($A914,'Live History'!$D$5:$D$3004,1)),INDEX('AH History'!$D$5:$GG$1380,$K914,AH!$U$10+2))),NA()),NA())</f>
        <v/>
      </c>
      <c r="H914" s="266">
        <f>IFERROR(IF(ISNUMBER($A914),IF(AND(AH!$U$12=1,909+1=AH!$U$6),IF(AH!$U$4=0,"unavailable",INDEX('Market Data'!$AP$5:$AP$66,AH!$U$4)),IF(AH!$U$5=1,INDEX('Live History'!$H$5:$H$3004,MATCH($A914,'Live History'!$G$5:$G$3004,1)),INDEX('AH History'!$B$5:$B$1380,$K914))),NA()),NA())</f>
        <v/>
      </c>
      <c r="I914" s="34">
        <f>IFERROR(IF(ISNUMBER($A914),IF(AND(AH!$U$12=1,909+1=AH!$U$6),TODAY(),IF(AH!$U$5=1,INDEX('Live History'!$G$5:$G$3004,MATCH($A914,'Live History'!$G$5:$G$3004,1)),INDEX('AH History'!$C$5:$C$1380,$K914))),NA()),NA())</f>
        <v/>
      </c>
      <c r="J914" s="32">
        <f>IFERROR(IF(AND($F914&gt;0,$H914&gt;0,$A914-$G914&lt;=10,$A914-$I914&lt;=5,$G914&gt;0,$I914&gt;0),$F914*$H914,NA()),NA())</f>
        <v/>
      </c>
      <c r="K914" s="15">
        <f>IF($A914="","",IF(AH!$U$5=1,IFERROR(MATCH($A914,'Live History'!$A$5:$A$3004,0),0),AH!$U$7+909))</f>
        <v/>
      </c>
      <c r="L914" s="15">
        <f>IF(ISNUMBER(A914),TEXT(A914,"dd-mmm-yy"),"")</f>
        <v/>
      </c>
    </row>
    <row r="915">
      <c r="A915" s="14">
        <f>IF(OR(AH!$U$4=0,910+1&gt;AH!$U$6,AND(AH!$M$5="Bloomberg",AH!$U$5=0)),"",IFERROR(IF(AND(AH!$U$12=1,910+1=AH!$U$6),TODAY(),IF(AH!$U$5=1,INDEX('Live History'!$A$5:$A$3004,AH!$U$7+910),INDEX('AH History'!$A$5:$A$1380,AH!$U$7+910))),""))</f>
        <v/>
      </c>
      <c r="B915" s="33">
        <f>IFERROR(IF(AH!$U$11=1,NA(),$J915/$E915-1),NA())</f>
        <v/>
      </c>
      <c r="C915" s="269">
        <f>IFERROR(100*$E915/$E$5,NA())</f>
        <v/>
      </c>
      <c r="D915" s="269">
        <f>IFERROR(100*$J915/$J$5,NA())</f>
        <v/>
      </c>
      <c r="E915" s="32">
        <f>IFERROR(IF(AND(ISNUMBER($A915),N(IF(AND(AH!$U$12=1,910+1=AH!$U$6),IF(AH!$U$4=0,"unavailable",INDEX('Market Data'!$AN$5:$AN$66,AH!$U$4)),IF(AH!$U$5=1,INDEX('Live History'!$B$5:$B$3004,$K915),INDEX('AH History'!$D$5:$GG$1380,$K915,AH!$U$10))))&gt;0),IF(AND(AH!$U$12=1,910+1=AH!$U$6),IF(AH!$U$4=0,"unavailable",INDEX('Market Data'!$AN$5:$AN$66,AH!$U$4)),IF(AH!$U$5=1,INDEX('Live History'!$B$5:$B$3004,$K915),INDEX('AH History'!$D$5:$GG$1380,$K915,AH!$U$10))),NA()),NA())</f>
        <v/>
      </c>
      <c r="F915" s="32">
        <f>IFERROR(IF(ISNUMBER($A915),IF(AND(AH!$U$12=1,910+1=AH!$U$6),IF(AH!$U$4=0,"unavailable",INDEX('Market Data'!$AO$5:$AO$66,AH!$U$4)),IF(AH!$U$5=1,INDEX('Live History'!$E$5:$E$3004,MATCH($A915,'Live History'!$D$5:$D$3004,1)),INDEX('AH History'!$D$5:$GG$1380,$K915,AH!$U$10+1))),NA()),NA())</f>
        <v/>
      </c>
      <c r="G915" s="34">
        <f>IFERROR(IF(ISNUMBER($A915),IF(AND(AH!$U$12=1,910+1=AH!$U$6),IF(AH!$U$4=0,"unavailable",INDEX('Market Data'!$AK$5:$AK$66,AH!$U$4)),IF(AH!$U$5=1,INDEX('Live History'!$D$5:$D$3004,MATCH($A915,'Live History'!$D$5:$D$3004,1)),INDEX('AH History'!$D$5:$GG$1380,$K915,AH!$U$10+2))),NA()),NA())</f>
        <v/>
      </c>
      <c r="H915" s="266">
        <f>IFERROR(IF(ISNUMBER($A915),IF(AND(AH!$U$12=1,910+1=AH!$U$6),IF(AH!$U$4=0,"unavailable",INDEX('Market Data'!$AP$5:$AP$66,AH!$U$4)),IF(AH!$U$5=1,INDEX('Live History'!$H$5:$H$3004,MATCH($A915,'Live History'!$G$5:$G$3004,1)),INDEX('AH History'!$B$5:$B$1380,$K915))),NA()),NA())</f>
        <v/>
      </c>
      <c r="I915" s="34">
        <f>IFERROR(IF(ISNUMBER($A915),IF(AND(AH!$U$12=1,910+1=AH!$U$6),TODAY(),IF(AH!$U$5=1,INDEX('Live History'!$G$5:$G$3004,MATCH($A915,'Live History'!$G$5:$G$3004,1)),INDEX('AH History'!$C$5:$C$1380,$K915))),NA()),NA())</f>
        <v/>
      </c>
      <c r="J915" s="32">
        <f>IFERROR(IF(AND($F915&gt;0,$H915&gt;0,$A915-$G915&lt;=10,$A915-$I915&lt;=5,$G915&gt;0,$I915&gt;0),$F915*$H915,NA()),NA())</f>
        <v/>
      </c>
      <c r="K915" s="15">
        <f>IF($A915="","",IF(AH!$U$5=1,IFERROR(MATCH($A915,'Live History'!$A$5:$A$3004,0),0),AH!$U$7+910))</f>
        <v/>
      </c>
      <c r="L915" s="15">
        <f>IF(ISNUMBER(A915),TEXT(A915,"dd-mmm-yy"),"")</f>
        <v/>
      </c>
    </row>
    <row r="916">
      <c r="A916" s="14">
        <f>IF(OR(AH!$U$4=0,911+1&gt;AH!$U$6,AND(AH!$M$5="Bloomberg",AH!$U$5=0)),"",IFERROR(IF(AND(AH!$U$12=1,911+1=AH!$U$6),TODAY(),IF(AH!$U$5=1,INDEX('Live History'!$A$5:$A$3004,AH!$U$7+911),INDEX('AH History'!$A$5:$A$1380,AH!$U$7+911))),""))</f>
        <v/>
      </c>
      <c r="B916" s="33">
        <f>IFERROR(IF(AH!$U$11=1,NA(),$J916/$E916-1),NA())</f>
        <v/>
      </c>
      <c r="C916" s="269">
        <f>IFERROR(100*$E916/$E$5,NA())</f>
        <v/>
      </c>
      <c r="D916" s="269">
        <f>IFERROR(100*$J916/$J$5,NA())</f>
        <v/>
      </c>
      <c r="E916" s="32">
        <f>IFERROR(IF(AND(ISNUMBER($A916),N(IF(AND(AH!$U$12=1,911+1=AH!$U$6),IF(AH!$U$4=0,"unavailable",INDEX('Market Data'!$AN$5:$AN$66,AH!$U$4)),IF(AH!$U$5=1,INDEX('Live History'!$B$5:$B$3004,$K916),INDEX('AH History'!$D$5:$GG$1380,$K916,AH!$U$10))))&gt;0),IF(AND(AH!$U$12=1,911+1=AH!$U$6),IF(AH!$U$4=0,"unavailable",INDEX('Market Data'!$AN$5:$AN$66,AH!$U$4)),IF(AH!$U$5=1,INDEX('Live History'!$B$5:$B$3004,$K916),INDEX('AH History'!$D$5:$GG$1380,$K916,AH!$U$10))),NA()),NA())</f>
        <v/>
      </c>
      <c r="F916" s="32">
        <f>IFERROR(IF(ISNUMBER($A916),IF(AND(AH!$U$12=1,911+1=AH!$U$6),IF(AH!$U$4=0,"unavailable",INDEX('Market Data'!$AO$5:$AO$66,AH!$U$4)),IF(AH!$U$5=1,INDEX('Live History'!$E$5:$E$3004,MATCH($A916,'Live History'!$D$5:$D$3004,1)),INDEX('AH History'!$D$5:$GG$1380,$K916,AH!$U$10+1))),NA()),NA())</f>
        <v/>
      </c>
      <c r="G916" s="34">
        <f>IFERROR(IF(ISNUMBER($A916),IF(AND(AH!$U$12=1,911+1=AH!$U$6),IF(AH!$U$4=0,"unavailable",INDEX('Market Data'!$AK$5:$AK$66,AH!$U$4)),IF(AH!$U$5=1,INDEX('Live History'!$D$5:$D$3004,MATCH($A916,'Live History'!$D$5:$D$3004,1)),INDEX('AH History'!$D$5:$GG$1380,$K916,AH!$U$10+2))),NA()),NA())</f>
        <v/>
      </c>
      <c r="H916" s="266">
        <f>IFERROR(IF(ISNUMBER($A916),IF(AND(AH!$U$12=1,911+1=AH!$U$6),IF(AH!$U$4=0,"unavailable",INDEX('Market Data'!$AP$5:$AP$66,AH!$U$4)),IF(AH!$U$5=1,INDEX('Live History'!$H$5:$H$3004,MATCH($A916,'Live History'!$G$5:$G$3004,1)),INDEX('AH History'!$B$5:$B$1380,$K916))),NA()),NA())</f>
        <v/>
      </c>
      <c r="I916" s="34">
        <f>IFERROR(IF(ISNUMBER($A916),IF(AND(AH!$U$12=1,911+1=AH!$U$6),TODAY(),IF(AH!$U$5=1,INDEX('Live History'!$G$5:$G$3004,MATCH($A916,'Live History'!$G$5:$G$3004,1)),INDEX('AH History'!$C$5:$C$1380,$K916))),NA()),NA())</f>
        <v/>
      </c>
      <c r="J916" s="32">
        <f>IFERROR(IF(AND($F916&gt;0,$H916&gt;0,$A916-$G916&lt;=10,$A916-$I916&lt;=5,$G916&gt;0,$I916&gt;0),$F916*$H916,NA()),NA())</f>
        <v/>
      </c>
      <c r="K916" s="15">
        <f>IF($A916="","",IF(AH!$U$5=1,IFERROR(MATCH($A916,'Live History'!$A$5:$A$3004,0),0),AH!$U$7+911))</f>
        <v/>
      </c>
      <c r="L916" s="15">
        <f>IF(ISNUMBER(A916),TEXT(A916,"dd-mmm-yy"),"")</f>
        <v/>
      </c>
    </row>
    <row r="917">
      <c r="A917" s="14">
        <f>IF(OR(AH!$U$4=0,912+1&gt;AH!$U$6,AND(AH!$M$5="Bloomberg",AH!$U$5=0)),"",IFERROR(IF(AND(AH!$U$12=1,912+1=AH!$U$6),TODAY(),IF(AH!$U$5=1,INDEX('Live History'!$A$5:$A$3004,AH!$U$7+912),INDEX('AH History'!$A$5:$A$1380,AH!$U$7+912))),""))</f>
        <v/>
      </c>
      <c r="B917" s="33">
        <f>IFERROR(IF(AH!$U$11=1,NA(),$J917/$E917-1),NA())</f>
        <v/>
      </c>
      <c r="C917" s="269">
        <f>IFERROR(100*$E917/$E$5,NA())</f>
        <v/>
      </c>
      <c r="D917" s="269">
        <f>IFERROR(100*$J917/$J$5,NA())</f>
        <v/>
      </c>
      <c r="E917" s="32">
        <f>IFERROR(IF(AND(ISNUMBER($A917),N(IF(AND(AH!$U$12=1,912+1=AH!$U$6),IF(AH!$U$4=0,"unavailable",INDEX('Market Data'!$AN$5:$AN$66,AH!$U$4)),IF(AH!$U$5=1,INDEX('Live History'!$B$5:$B$3004,$K917),INDEX('AH History'!$D$5:$GG$1380,$K917,AH!$U$10))))&gt;0),IF(AND(AH!$U$12=1,912+1=AH!$U$6),IF(AH!$U$4=0,"unavailable",INDEX('Market Data'!$AN$5:$AN$66,AH!$U$4)),IF(AH!$U$5=1,INDEX('Live History'!$B$5:$B$3004,$K917),INDEX('AH History'!$D$5:$GG$1380,$K917,AH!$U$10))),NA()),NA())</f>
        <v/>
      </c>
      <c r="F917" s="32">
        <f>IFERROR(IF(ISNUMBER($A917),IF(AND(AH!$U$12=1,912+1=AH!$U$6),IF(AH!$U$4=0,"unavailable",INDEX('Market Data'!$AO$5:$AO$66,AH!$U$4)),IF(AH!$U$5=1,INDEX('Live History'!$E$5:$E$3004,MATCH($A917,'Live History'!$D$5:$D$3004,1)),INDEX('AH History'!$D$5:$GG$1380,$K917,AH!$U$10+1))),NA()),NA())</f>
        <v/>
      </c>
      <c r="G917" s="34">
        <f>IFERROR(IF(ISNUMBER($A917),IF(AND(AH!$U$12=1,912+1=AH!$U$6),IF(AH!$U$4=0,"unavailable",INDEX('Market Data'!$AK$5:$AK$66,AH!$U$4)),IF(AH!$U$5=1,INDEX('Live History'!$D$5:$D$3004,MATCH($A917,'Live History'!$D$5:$D$3004,1)),INDEX('AH History'!$D$5:$GG$1380,$K917,AH!$U$10+2))),NA()),NA())</f>
        <v/>
      </c>
      <c r="H917" s="266">
        <f>IFERROR(IF(ISNUMBER($A917),IF(AND(AH!$U$12=1,912+1=AH!$U$6),IF(AH!$U$4=0,"unavailable",INDEX('Market Data'!$AP$5:$AP$66,AH!$U$4)),IF(AH!$U$5=1,INDEX('Live History'!$H$5:$H$3004,MATCH($A917,'Live History'!$G$5:$G$3004,1)),INDEX('AH History'!$B$5:$B$1380,$K917))),NA()),NA())</f>
        <v/>
      </c>
      <c r="I917" s="34">
        <f>IFERROR(IF(ISNUMBER($A917),IF(AND(AH!$U$12=1,912+1=AH!$U$6),TODAY(),IF(AH!$U$5=1,INDEX('Live History'!$G$5:$G$3004,MATCH($A917,'Live History'!$G$5:$G$3004,1)),INDEX('AH History'!$C$5:$C$1380,$K917))),NA()),NA())</f>
        <v/>
      </c>
      <c r="J917" s="32">
        <f>IFERROR(IF(AND($F917&gt;0,$H917&gt;0,$A917-$G917&lt;=10,$A917-$I917&lt;=5,$G917&gt;0,$I917&gt;0),$F917*$H917,NA()),NA())</f>
        <v/>
      </c>
      <c r="K917" s="15">
        <f>IF($A917="","",IF(AH!$U$5=1,IFERROR(MATCH($A917,'Live History'!$A$5:$A$3004,0),0),AH!$U$7+912))</f>
        <v/>
      </c>
      <c r="L917" s="15">
        <f>IF(ISNUMBER(A917),TEXT(A917,"dd-mmm-yy"),"")</f>
        <v/>
      </c>
    </row>
    <row r="918">
      <c r="A918" s="14">
        <f>IF(OR(AH!$U$4=0,913+1&gt;AH!$U$6,AND(AH!$M$5="Bloomberg",AH!$U$5=0)),"",IFERROR(IF(AND(AH!$U$12=1,913+1=AH!$U$6),TODAY(),IF(AH!$U$5=1,INDEX('Live History'!$A$5:$A$3004,AH!$U$7+913),INDEX('AH History'!$A$5:$A$1380,AH!$U$7+913))),""))</f>
        <v/>
      </c>
      <c r="B918" s="33">
        <f>IFERROR(IF(AH!$U$11=1,NA(),$J918/$E918-1),NA())</f>
        <v/>
      </c>
      <c r="C918" s="269">
        <f>IFERROR(100*$E918/$E$5,NA())</f>
        <v/>
      </c>
      <c r="D918" s="269">
        <f>IFERROR(100*$J918/$J$5,NA())</f>
        <v/>
      </c>
      <c r="E918" s="32">
        <f>IFERROR(IF(AND(ISNUMBER($A918),N(IF(AND(AH!$U$12=1,913+1=AH!$U$6),IF(AH!$U$4=0,"unavailable",INDEX('Market Data'!$AN$5:$AN$66,AH!$U$4)),IF(AH!$U$5=1,INDEX('Live History'!$B$5:$B$3004,$K918),INDEX('AH History'!$D$5:$GG$1380,$K918,AH!$U$10))))&gt;0),IF(AND(AH!$U$12=1,913+1=AH!$U$6),IF(AH!$U$4=0,"unavailable",INDEX('Market Data'!$AN$5:$AN$66,AH!$U$4)),IF(AH!$U$5=1,INDEX('Live History'!$B$5:$B$3004,$K918),INDEX('AH History'!$D$5:$GG$1380,$K918,AH!$U$10))),NA()),NA())</f>
        <v/>
      </c>
      <c r="F918" s="32">
        <f>IFERROR(IF(ISNUMBER($A918),IF(AND(AH!$U$12=1,913+1=AH!$U$6),IF(AH!$U$4=0,"unavailable",INDEX('Market Data'!$AO$5:$AO$66,AH!$U$4)),IF(AH!$U$5=1,INDEX('Live History'!$E$5:$E$3004,MATCH($A918,'Live History'!$D$5:$D$3004,1)),INDEX('AH History'!$D$5:$GG$1380,$K918,AH!$U$10+1))),NA()),NA())</f>
        <v/>
      </c>
      <c r="G918" s="34">
        <f>IFERROR(IF(ISNUMBER($A918),IF(AND(AH!$U$12=1,913+1=AH!$U$6),IF(AH!$U$4=0,"unavailable",INDEX('Market Data'!$AK$5:$AK$66,AH!$U$4)),IF(AH!$U$5=1,INDEX('Live History'!$D$5:$D$3004,MATCH($A918,'Live History'!$D$5:$D$3004,1)),INDEX('AH History'!$D$5:$GG$1380,$K918,AH!$U$10+2))),NA()),NA())</f>
        <v/>
      </c>
      <c r="H918" s="266">
        <f>IFERROR(IF(ISNUMBER($A918),IF(AND(AH!$U$12=1,913+1=AH!$U$6),IF(AH!$U$4=0,"unavailable",INDEX('Market Data'!$AP$5:$AP$66,AH!$U$4)),IF(AH!$U$5=1,INDEX('Live History'!$H$5:$H$3004,MATCH($A918,'Live History'!$G$5:$G$3004,1)),INDEX('AH History'!$B$5:$B$1380,$K918))),NA()),NA())</f>
        <v/>
      </c>
      <c r="I918" s="34">
        <f>IFERROR(IF(ISNUMBER($A918),IF(AND(AH!$U$12=1,913+1=AH!$U$6),TODAY(),IF(AH!$U$5=1,INDEX('Live History'!$G$5:$G$3004,MATCH($A918,'Live History'!$G$5:$G$3004,1)),INDEX('AH History'!$C$5:$C$1380,$K918))),NA()),NA())</f>
        <v/>
      </c>
      <c r="J918" s="32">
        <f>IFERROR(IF(AND($F918&gt;0,$H918&gt;0,$A918-$G918&lt;=10,$A918-$I918&lt;=5,$G918&gt;0,$I918&gt;0),$F918*$H918,NA()),NA())</f>
        <v/>
      </c>
      <c r="K918" s="15">
        <f>IF($A918="","",IF(AH!$U$5=1,IFERROR(MATCH($A918,'Live History'!$A$5:$A$3004,0),0),AH!$U$7+913))</f>
        <v/>
      </c>
      <c r="L918" s="15">
        <f>IF(ISNUMBER(A918),TEXT(A918,"dd-mmm-yy"),"")</f>
        <v/>
      </c>
    </row>
    <row r="919">
      <c r="A919" s="14">
        <f>IF(OR(AH!$U$4=0,914+1&gt;AH!$U$6,AND(AH!$M$5="Bloomberg",AH!$U$5=0)),"",IFERROR(IF(AND(AH!$U$12=1,914+1=AH!$U$6),TODAY(),IF(AH!$U$5=1,INDEX('Live History'!$A$5:$A$3004,AH!$U$7+914),INDEX('AH History'!$A$5:$A$1380,AH!$U$7+914))),""))</f>
        <v/>
      </c>
      <c r="B919" s="33">
        <f>IFERROR(IF(AH!$U$11=1,NA(),$J919/$E919-1),NA())</f>
        <v/>
      </c>
      <c r="C919" s="269">
        <f>IFERROR(100*$E919/$E$5,NA())</f>
        <v/>
      </c>
      <c r="D919" s="269">
        <f>IFERROR(100*$J919/$J$5,NA())</f>
        <v/>
      </c>
      <c r="E919" s="32">
        <f>IFERROR(IF(AND(ISNUMBER($A919),N(IF(AND(AH!$U$12=1,914+1=AH!$U$6),IF(AH!$U$4=0,"unavailable",INDEX('Market Data'!$AN$5:$AN$66,AH!$U$4)),IF(AH!$U$5=1,INDEX('Live History'!$B$5:$B$3004,$K919),INDEX('AH History'!$D$5:$GG$1380,$K919,AH!$U$10))))&gt;0),IF(AND(AH!$U$12=1,914+1=AH!$U$6),IF(AH!$U$4=0,"unavailable",INDEX('Market Data'!$AN$5:$AN$66,AH!$U$4)),IF(AH!$U$5=1,INDEX('Live History'!$B$5:$B$3004,$K919),INDEX('AH History'!$D$5:$GG$1380,$K919,AH!$U$10))),NA()),NA())</f>
        <v/>
      </c>
      <c r="F919" s="32">
        <f>IFERROR(IF(ISNUMBER($A919),IF(AND(AH!$U$12=1,914+1=AH!$U$6),IF(AH!$U$4=0,"unavailable",INDEX('Market Data'!$AO$5:$AO$66,AH!$U$4)),IF(AH!$U$5=1,INDEX('Live History'!$E$5:$E$3004,MATCH($A919,'Live History'!$D$5:$D$3004,1)),INDEX('AH History'!$D$5:$GG$1380,$K919,AH!$U$10+1))),NA()),NA())</f>
        <v/>
      </c>
      <c r="G919" s="34">
        <f>IFERROR(IF(ISNUMBER($A919),IF(AND(AH!$U$12=1,914+1=AH!$U$6),IF(AH!$U$4=0,"unavailable",INDEX('Market Data'!$AK$5:$AK$66,AH!$U$4)),IF(AH!$U$5=1,INDEX('Live History'!$D$5:$D$3004,MATCH($A919,'Live History'!$D$5:$D$3004,1)),INDEX('AH History'!$D$5:$GG$1380,$K919,AH!$U$10+2))),NA()),NA())</f>
        <v/>
      </c>
      <c r="H919" s="266">
        <f>IFERROR(IF(ISNUMBER($A919),IF(AND(AH!$U$12=1,914+1=AH!$U$6),IF(AH!$U$4=0,"unavailable",INDEX('Market Data'!$AP$5:$AP$66,AH!$U$4)),IF(AH!$U$5=1,INDEX('Live History'!$H$5:$H$3004,MATCH($A919,'Live History'!$G$5:$G$3004,1)),INDEX('AH History'!$B$5:$B$1380,$K919))),NA()),NA())</f>
        <v/>
      </c>
      <c r="I919" s="34">
        <f>IFERROR(IF(ISNUMBER($A919),IF(AND(AH!$U$12=1,914+1=AH!$U$6),TODAY(),IF(AH!$U$5=1,INDEX('Live History'!$G$5:$G$3004,MATCH($A919,'Live History'!$G$5:$G$3004,1)),INDEX('AH History'!$C$5:$C$1380,$K919))),NA()),NA())</f>
        <v/>
      </c>
      <c r="J919" s="32">
        <f>IFERROR(IF(AND($F919&gt;0,$H919&gt;0,$A919-$G919&lt;=10,$A919-$I919&lt;=5,$G919&gt;0,$I919&gt;0),$F919*$H919,NA()),NA())</f>
        <v/>
      </c>
      <c r="K919" s="15">
        <f>IF($A919="","",IF(AH!$U$5=1,IFERROR(MATCH($A919,'Live History'!$A$5:$A$3004,0),0),AH!$U$7+914))</f>
        <v/>
      </c>
      <c r="L919" s="15">
        <f>IF(ISNUMBER(A919),TEXT(A919,"dd-mmm-yy"),"")</f>
        <v/>
      </c>
    </row>
    <row r="920">
      <c r="A920" s="14">
        <f>IF(OR(AH!$U$4=0,915+1&gt;AH!$U$6,AND(AH!$M$5="Bloomberg",AH!$U$5=0)),"",IFERROR(IF(AND(AH!$U$12=1,915+1=AH!$U$6),TODAY(),IF(AH!$U$5=1,INDEX('Live History'!$A$5:$A$3004,AH!$U$7+915),INDEX('AH History'!$A$5:$A$1380,AH!$U$7+915))),""))</f>
        <v/>
      </c>
      <c r="B920" s="33">
        <f>IFERROR(IF(AH!$U$11=1,NA(),$J920/$E920-1),NA())</f>
        <v/>
      </c>
      <c r="C920" s="269">
        <f>IFERROR(100*$E920/$E$5,NA())</f>
        <v/>
      </c>
      <c r="D920" s="269">
        <f>IFERROR(100*$J920/$J$5,NA())</f>
        <v/>
      </c>
      <c r="E920" s="32">
        <f>IFERROR(IF(AND(ISNUMBER($A920),N(IF(AND(AH!$U$12=1,915+1=AH!$U$6),IF(AH!$U$4=0,"unavailable",INDEX('Market Data'!$AN$5:$AN$66,AH!$U$4)),IF(AH!$U$5=1,INDEX('Live History'!$B$5:$B$3004,$K920),INDEX('AH History'!$D$5:$GG$1380,$K920,AH!$U$10))))&gt;0),IF(AND(AH!$U$12=1,915+1=AH!$U$6),IF(AH!$U$4=0,"unavailable",INDEX('Market Data'!$AN$5:$AN$66,AH!$U$4)),IF(AH!$U$5=1,INDEX('Live History'!$B$5:$B$3004,$K920),INDEX('AH History'!$D$5:$GG$1380,$K920,AH!$U$10))),NA()),NA())</f>
        <v/>
      </c>
      <c r="F920" s="32">
        <f>IFERROR(IF(ISNUMBER($A920),IF(AND(AH!$U$12=1,915+1=AH!$U$6),IF(AH!$U$4=0,"unavailable",INDEX('Market Data'!$AO$5:$AO$66,AH!$U$4)),IF(AH!$U$5=1,INDEX('Live History'!$E$5:$E$3004,MATCH($A920,'Live History'!$D$5:$D$3004,1)),INDEX('AH History'!$D$5:$GG$1380,$K920,AH!$U$10+1))),NA()),NA())</f>
        <v/>
      </c>
      <c r="G920" s="34">
        <f>IFERROR(IF(ISNUMBER($A920),IF(AND(AH!$U$12=1,915+1=AH!$U$6),IF(AH!$U$4=0,"unavailable",INDEX('Market Data'!$AK$5:$AK$66,AH!$U$4)),IF(AH!$U$5=1,INDEX('Live History'!$D$5:$D$3004,MATCH($A920,'Live History'!$D$5:$D$3004,1)),INDEX('AH History'!$D$5:$GG$1380,$K920,AH!$U$10+2))),NA()),NA())</f>
        <v/>
      </c>
      <c r="H920" s="266">
        <f>IFERROR(IF(ISNUMBER($A920),IF(AND(AH!$U$12=1,915+1=AH!$U$6),IF(AH!$U$4=0,"unavailable",INDEX('Market Data'!$AP$5:$AP$66,AH!$U$4)),IF(AH!$U$5=1,INDEX('Live History'!$H$5:$H$3004,MATCH($A920,'Live History'!$G$5:$G$3004,1)),INDEX('AH History'!$B$5:$B$1380,$K920))),NA()),NA())</f>
        <v/>
      </c>
      <c r="I920" s="34">
        <f>IFERROR(IF(ISNUMBER($A920),IF(AND(AH!$U$12=1,915+1=AH!$U$6),TODAY(),IF(AH!$U$5=1,INDEX('Live History'!$G$5:$G$3004,MATCH($A920,'Live History'!$G$5:$G$3004,1)),INDEX('AH History'!$C$5:$C$1380,$K920))),NA()),NA())</f>
        <v/>
      </c>
      <c r="J920" s="32">
        <f>IFERROR(IF(AND($F920&gt;0,$H920&gt;0,$A920-$G920&lt;=10,$A920-$I920&lt;=5,$G920&gt;0,$I920&gt;0),$F920*$H920,NA()),NA())</f>
        <v/>
      </c>
      <c r="K920" s="15">
        <f>IF($A920="","",IF(AH!$U$5=1,IFERROR(MATCH($A920,'Live History'!$A$5:$A$3004,0),0),AH!$U$7+915))</f>
        <v/>
      </c>
      <c r="L920" s="15">
        <f>IF(ISNUMBER(A920),TEXT(A920,"dd-mmm-yy"),"")</f>
        <v/>
      </c>
    </row>
    <row r="921">
      <c r="A921" s="14">
        <f>IF(OR(AH!$U$4=0,916+1&gt;AH!$U$6,AND(AH!$M$5="Bloomberg",AH!$U$5=0)),"",IFERROR(IF(AND(AH!$U$12=1,916+1=AH!$U$6),TODAY(),IF(AH!$U$5=1,INDEX('Live History'!$A$5:$A$3004,AH!$U$7+916),INDEX('AH History'!$A$5:$A$1380,AH!$U$7+916))),""))</f>
        <v/>
      </c>
      <c r="B921" s="33">
        <f>IFERROR(IF(AH!$U$11=1,NA(),$J921/$E921-1),NA())</f>
        <v/>
      </c>
      <c r="C921" s="269">
        <f>IFERROR(100*$E921/$E$5,NA())</f>
        <v/>
      </c>
      <c r="D921" s="269">
        <f>IFERROR(100*$J921/$J$5,NA())</f>
        <v/>
      </c>
      <c r="E921" s="32">
        <f>IFERROR(IF(AND(ISNUMBER($A921),N(IF(AND(AH!$U$12=1,916+1=AH!$U$6),IF(AH!$U$4=0,"unavailable",INDEX('Market Data'!$AN$5:$AN$66,AH!$U$4)),IF(AH!$U$5=1,INDEX('Live History'!$B$5:$B$3004,$K921),INDEX('AH History'!$D$5:$GG$1380,$K921,AH!$U$10))))&gt;0),IF(AND(AH!$U$12=1,916+1=AH!$U$6),IF(AH!$U$4=0,"unavailable",INDEX('Market Data'!$AN$5:$AN$66,AH!$U$4)),IF(AH!$U$5=1,INDEX('Live History'!$B$5:$B$3004,$K921),INDEX('AH History'!$D$5:$GG$1380,$K921,AH!$U$10))),NA()),NA())</f>
        <v/>
      </c>
      <c r="F921" s="32">
        <f>IFERROR(IF(ISNUMBER($A921),IF(AND(AH!$U$12=1,916+1=AH!$U$6),IF(AH!$U$4=0,"unavailable",INDEX('Market Data'!$AO$5:$AO$66,AH!$U$4)),IF(AH!$U$5=1,INDEX('Live History'!$E$5:$E$3004,MATCH($A921,'Live History'!$D$5:$D$3004,1)),INDEX('AH History'!$D$5:$GG$1380,$K921,AH!$U$10+1))),NA()),NA())</f>
        <v/>
      </c>
      <c r="G921" s="34">
        <f>IFERROR(IF(ISNUMBER($A921),IF(AND(AH!$U$12=1,916+1=AH!$U$6),IF(AH!$U$4=0,"unavailable",INDEX('Market Data'!$AK$5:$AK$66,AH!$U$4)),IF(AH!$U$5=1,INDEX('Live History'!$D$5:$D$3004,MATCH($A921,'Live History'!$D$5:$D$3004,1)),INDEX('AH History'!$D$5:$GG$1380,$K921,AH!$U$10+2))),NA()),NA())</f>
        <v/>
      </c>
      <c r="H921" s="266">
        <f>IFERROR(IF(ISNUMBER($A921),IF(AND(AH!$U$12=1,916+1=AH!$U$6),IF(AH!$U$4=0,"unavailable",INDEX('Market Data'!$AP$5:$AP$66,AH!$U$4)),IF(AH!$U$5=1,INDEX('Live History'!$H$5:$H$3004,MATCH($A921,'Live History'!$G$5:$G$3004,1)),INDEX('AH History'!$B$5:$B$1380,$K921))),NA()),NA())</f>
        <v/>
      </c>
      <c r="I921" s="34">
        <f>IFERROR(IF(ISNUMBER($A921),IF(AND(AH!$U$12=1,916+1=AH!$U$6),TODAY(),IF(AH!$U$5=1,INDEX('Live History'!$G$5:$G$3004,MATCH($A921,'Live History'!$G$5:$G$3004,1)),INDEX('AH History'!$C$5:$C$1380,$K921))),NA()),NA())</f>
        <v/>
      </c>
      <c r="J921" s="32">
        <f>IFERROR(IF(AND($F921&gt;0,$H921&gt;0,$A921-$G921&lt;=10,$A921-$I921&lt;=5,$G921&gt;0,$I921&gt;0),$F921*$H921,NA()),NA())</f>
        <v/>
      </c>
      <c r="K921" s="15">
        <f>IF($A921="","",IF(AH!$U$5=1,IFERROR(MATCH($A921,'Live History'!$A$5:$A$3004,0),0),AH!$U$7+916))</f>
        <v/>
      </c>
      <c r="L921" s="15">
        <f>IF(ISNUMBER(A921),TEXT(A921,"dd-mmm-yy"),"")</f>
        <v/>
      </c>
    </row>
    <row r="922">
      <c r="A922" s="14">
        <f>IF(OR(AH!$U$4=0,917+1&gt;AH!$U$6,AND(AH!$M$5="Bloomberg",AH!$U$5=0)),"",IFERROR(IF(AND(AH!$U$12=1,917+1=AH!$U$6),TODAY(),IF(AH!$U$5=1,INDEX('Live History'!$A$5:$A$3004,AH!$U$7+917),INDEX('AH History'!$A$5:$A$1380,AH!$U$7+917))),""))</f>
        <v/>
      </c>
      <c r="B922" s="33">
        <f>IFERROR(IF(AH!$U$11=1,NA(),$J922/$E922-1),NA())</f>
        <v/>
      </c>
      <c r="C922" s="269">
        <f>IFERROR(100*$E922/$E$5,NA())</f>
        <v/>
      </c>
      <c r="D922" s="269">
        <f>IFERROR(100*$J922/$J$5,NA())</f>
        <v/>
      </c>
      <c r="E922" s="32">
        <f>IFERROR(IF(AND(ISNUMBER($A922),N(IF(AND(AH!$U$12=1,917+1=AH!$U$6),IF(AH!$U$4=0,"unavailable",INDEX('Market Data'!$AN$5:$AN$66,AH!$U$4)),IF(AH!$U$5=1,INDEX('Live History'!$B$5:$B$3004,$K922),INDEX('AH History'!$D$5:$GG$1380,$K922,AH!$U$10))))&gt;0),IF(AND(AH!$U$12=1,917+1=AH!$U$6),IF(AH!$U$4=0,"unavailable",INDEX('Market Data'!$AN$5:$AN$66,AH!$U$4)),IF(AH!$U$5=1,INDEX('Live History'!$B$5:$B$3004,$K922),INDEX('AH History'!$D$5:$GG$1380,$K922,AH!$U$10))),NA()),NA())</f>
        <v/>
      </c>
      <c r="F922" s="32">
        <f>IFERROR(IF(ISNUMBER($A922),IF(AND(AH!$U$12=1,917+1=AH!$U$6),IF(AH!$U$4=0,"unavailable",INDEX('Market Data'!$AO$5:$AO$66,AH!$U$4)),IF(AH!$U$5=1,INDEX('Live History'!$E$5:$E$3004,MATCH($A922,'Live History'!$D$5:$D$3004,1)),INDEX('AH History'!$D$5:$GG$1380,$K922,AH!$U$10+1))),NA()),NA())</f>
        <v/>
      </c>
      <c r="G922" s="34">
        <f>IFERROR(IF(ISNUMBER($A922),IF(AND(AH!$U$12=1,917+1=AH!$U$6),IF(AH!$U$4=0,"unavailable",INDEX('Market Data'!$AK$5:$AK$66,AH!$U$4)),IF(AH!$U$5=1,INDEX('Live History'!$D$5:$D$3004,MATCH($A922,'Live History'!$D$5:$D$3004,1)),INDEX('AH History'!$D$5:$GG$1380,$K922,AH!$U$10+2))),NA()),NA())</f>
        <v/>
      </c>
      <c r="H922" s="266">
        <f>IFERROR(IF(ISNUMBER($A922),IF(AND(AH!$U$12=1,917+1=AH!$U$6),IF(AH!$U$4=0,"unavailable",INDEX('Market Data'!$AP$5:$AP$66,AH!$U$4)),IF(AH!$U$5=1,INDEX('Live History'!$H$5:$H$3004,MATCH($A922,'Live History'!$G$5:$G$3004,1)),INDEX('AH History'!$B$5:$B$1380,$K922))),NA()),NA())</f>
        <v/>
      </c>
      <c r="I922" s="34">
        <f>IFERROR(IF(ISNUMBER($A922),IF(AND(AH!$U$12=1,917+1=AH!$U$6),TODAY(),IF(AH!$U$5=1,INDEX('Live History'!$G$5:$G$3004,MATCH($A922,'Live History'!$G$5:$G$3004,1)),INDEX('AH History'!$C$5:$C$1380,$K922))),NA()),NA())</f>
        <v/>
      </c>
      <c r="J922" s="32">
        <f>IFERROR(IF(AND($F922&gt;0,$H922&gt;0,$A922-$G922&lt;=10,$A922-$I922&lt;=5,$G922&gt;0,$I922&gt;0),$F922*$H922,NA()),NA())</f>
        <v/>
      </c>
      <c r="K922" s="15">
        <f>IF($A922="","",IF(AH!$U$5=1,IFERROR(MATCH($A922,'Live History'!$A$5:$A$3004,0),0),AH!$U$7+917))</f>
        <v/>
      </c>
      <c r="L922" s="15">
        <f>IF(ISNUMBER(A922),TEXT(A922,"dd-mmm-yy"),"")</f>
        <v/>
      </c>
    </row>
    <row r="923">
      <c r="A923" s="14">
        <f>IF(OR(AH!$U$4=0,918+1&gt;AH!$U$6,AND(AH!$M$5="Bloomberg",AH!$U$5=0)),"",IFERROR(IF(AND(AH!$U$12=1,918+1=AH!$U$6),TODAY(),IF(AH!$U$5=1,INDEX('Live History'!$A$5:$A$3004,AH!$U$7+918),INDEX('AH History'!$A$5:$A$1380,AH!$U$7+918))),""))</f>
        <v/>
      </c>
      <c r="B923" s="33">
        <f>IFERROR(IF(AH!$U$11=1,NA(),$J923/$E923-1),NA())</f>
        <v/>
      </c>
      <c r="C923" s="269">
        <f>IFERROR(100*$E923/$E$5,NA())</f>
        <v/>
      </c>
      <c r="D923" s="269">
        <f>IFERROR(100*$J923/$J$5,NA())</f>
        <v/>
      </c>
      <c r="E923" s="32">
        <f>IFERROR(IF(AND(ISNUMBER($A923),N(IF(AND(AH!$U$12=1,918+1=AH!$U$6),IF(AH!$U$4=0,"unavailable",INDEX('Market Data'!$AN$5:$AN$66,AH!$U$4)),IF(AH!$U$5=1,INDEX('Live History'!$B$5:$B$3004,$K923),INDEX('AH History'!$D$5:$GG$1380,$K923,AH!$U$10))))&gt;0),IF(AND(AH!$U$12=1,918+1=AH!$U$6),IF(AH!$U$4=0,"unavailable",INDEX('Market Data'!$AN$5:$AN$66,AH!$U$4)),IF(AH!$U$5=1,INDEX('Live History'!$B$5:$B$3004,$K923),INDEX('AH History'!$D$5:$GG$1380,$K923,AH!$U$10))),NA()),NA())</f>
        <v/>
      </c>
      <c r="F923" s="32">
        <f>IFERROR(IF(ISNUMBER($A923),IF(AND(AH!$U$12=1,918+1=AH!$U$6),IF(AH!$U$4=0,"unavailable",INDEX('Market Data'!$AO$5:$AO$66,AH!$U$4)),IF(AH!$U$5=1,INDEX('Live History'!$E$5:$E$3004,MATCH($A923,'Live History'!$D$5:$D$3004,1)),INDEX('AH History'!$D$5:$GG$1380,$K923,AH!$U$10+1))),NA()),NA())</f>
        <v/>
      </c>
      <c r="G923" s="34">
        <f>IFERROR(IF(ISNUMBER($A923),IF(AND(AH!$U$12=1,918+1=AH!$U$6),IF(AH!$U$4=0,"unavailable",INDEX('Market Data'!$AK$5:$AK$66,AH!$U$4)),IF(AH!$U$5=1,INDEX('Live History'!$D$5:$D$3004,MATCH($A923,'Live History'!$D$5:$D$3004,1)),INDEX('AH History'!$D$5:$GG$1380,$K923,AH!$U$10+2))),NA()),NA())</f>
        <v/>
      </c>
      <c r="H923" s="266">
        <f>IFERROR(IF(ISNUMBER($A923),IF(AND(AH!$U$12=1,918+1=AH!$U$6),IF(AH!$U$4=0,"unavailable",INDEX('Market Data'!$AP$5:$AP$66,AH!$U$4)),IF(AH!$U$5=1,INDEX('Live History'!$H$5:$H$3004,MATCH($A923,'Live History'!$G$5:$G$3004,1)),INDEX('AH History'!$B$5:$B$1380,$K923))),NA()),NA())</f>
        <v/>
      </c>
      <c r="I923" s="34">
        <f>IFERROR(IF(ISNUMBER($A923),IF(AND(AH!$U$12=1,918+1=AH!$U$6),TODAY(),IF(AH!$U$5=1,INDEX('Live History'!$G$5:$G$3004,MATCH($A923,'Live History'!$G$5:$G$3004,1)),INDEX('AH History'!$C$5:$C$1380,$K923))),NA()),NA())</f>
        <v/>
      </c>
      <c r="J923" s="32">
        <f>IFERROR(IF(AND($F923&gt;0,$H923&gt;0,$A923-$G923&lt;=10,$A923-$I923&lt;=5,$G923&gt;0,$I923&gt;0),$F923*$H923,NA()),NA())</f>
        <v/>
      </c>
      <c r="K923" s="15">
        <f>IF($A923="","",IF(AH!$U$5=1,IFERROR(MATCH($A923,'Live History'!$A$5:$A$3004,0),0),AH!$U$7+918))</f>
        <v/>
      </c>
      <c r="L923" s="15">
        <f>IF(ISNUMBER(A923),TEXT(A923,"dd-mmm-yy"),"")</f>
        <v/>
      </c>
    </row>
    <row r="924">
      <c r="A924" s="14">
        <f>IF(OR(AH!$U$4=0,919+1&gt;AH!$U$6,AND(AH!$M$5="Bloomberg",AH!$U$5=0)),"",IFERROR(IF(AND(AH!$U$12=1,919+1=AH!$U$6),TODAY(),IF(AH!$U$5=1,INDEX('Live History'!$A$5:$A$3004,AH!$U$7+919),INDEX('AH History'!$A$5:$A$1380,AH!$U$7+919))),""))</f>
        <v/>
      </c>
      <c r="B924" s="33">
        <f>IFERROR(IF(AH!$U$11=1,NA(),$J924/$E924-1),NA())</f>
        <v/>
      </c>
      <c r="C924" s="269">
        <f>IFERROR(100*$E924/$E$5,NA())</f>
        <v/>
      </c>
      <c r="D924" s="269">
        <f>IFERROR(100*$J924/$J$5,NA())</f>
        <v/>
      </c>
      <c r="E924" s="32">
        <f>IFERROR(IF(AND(ISNUMBER($A924),N(IF(AND(AH!$U$12=1,919+1=AH!$U$6),IF(AH!$U$4=0,"unavailable",INDEX('Market Data'!$AN$5:$AN$66,AH!$U$4)),IF(AH!$U$5=1,INDEX('Live History'!$B$5:$B$3004,$K924),INDEX('AH History'!$D$5:$GG$1380,$K924,AH!$U$10))))&gt;0),IF(AND(AH!$U$12=1,919+1=AH!$U$6),IF(AH!$U$4=0,"unavailable",INDEX('Market Data'!$AN$5:$AN$66,AH!$U$4)),IF(AH!$U$5=1,INDEX('Live History'!$B$5:$B$3004,$K924),INDEX('AH History'!$D$5:$GG$1380,$K924,AH!$U$10))),NA()),NA())</f>
        <v/>
      </c>
      <c r="F924" s="32">
        <f>IFERROR(IF(ISNUMBER($A924),IF(AND(AH!$U$12=1,919+1=AH!$U$6),IF(AH!$U$4=0,"unavailable",INDEX('Market Data'!$AO$5:$AO$66,AH!$U$4)),IF(AH!$U$5=1,INDEX('Live History'!$E$5:$E$3004,MATCH($A924,'Live History'!$D$5:$D$3004,1)),INDEX('AH History'!$D$5:$GG$1380,$K924,AH!$U$10+1))),NA()),NA())</f>
        <v/>
      </c>
      <c r="G924" s="34">
        <f>IFERROR(IF(ISNUMBER($A924),IF(AND(AH!$U$12=1,919+1=AH!$U$6),IF(AH!$U$4=0,"unavailable",INDEX('Market Data'!$AK$5:$AK$66,AH!$U$4)),IF(AH!$U$5=1,INDEX('Live History'!$D$5:$D$3004,MATCH($A924,'Live History'!$D$5:$D$3004,1)),INDEX('AH History'!$D$5:$GG$1380,$K924,AH!$U$10+2))),NA()),NA())</f>
        <v/>
      </c>
      <c r="H924" s="266">
        <f>IFERROR(IF(ISNUMBER($A924),IF(AND(AH!$U$12=1,919+1=AH!$U$6),IF(AH!$U$4=0,"unavailable",INDEX('Market Data'!$AP$5:$AP$66,AH!$U$4)),IF(AH!$U$5=1,INDEX('Live History'!$H$5:$H$3004,MATCH($A924,'Live History'!$G$5:$G$3004,1)),INDEX('AH History'!$B$5:$B$1380,$K924))),NA()),NA())</f>
        <v/>
      </c>
      <c r="I924" s="34">
        <f>IFERROR(IF(ISNUMBER($A924),IF(AND(AH!$U$12=1,919+1=AH!$U$6),TODAY(),IF(AH!$U$5=1,INDEX('Live History'!$G$5:$G$3004,MATCH($A924,'Live History'!$G$5:$G$3004,1)),INDEX('AH History'!$C$5:$C$1380,$K924))),NA()),NA())</f>
        <v/>
      </c>
      <c r="J924" s="32">
        <f>IFERROR(IF(AND($F924&gt;0,$H924&gt;0,$A924-$G924&lt;=10,$A924-$I924&lt;=5,$G924&gt;0,$I924&gt;0),$F924*$H924,NA()),NA())</f>
        <v/>
      </c>
      <c r="K924" s="15">
        <f>IF($A924="","",IF(AH!$U$5=1,IFERROR(MATCH($A924,'Live History'!$A$5:$A$3004,0),0),AH!$U$7+919))</f>
        <v/>
      </c>
      <c r="L924" s="15">
        <f>IF(ISNUMBER(A924),TEXT(A924,"dd-mmm-yy"),"")</f>
        <v/>
      </c>
    </row>
    <row r="925">
      <c r="A925" s="14">
        <f>IF(OR(AH!$U$4=0,920+1&gt;AH!$U$6,AND(AH!$M$5="Bloomberg",AH!$U$5=0)),"",IFERROR(IF(AND(AH!$U$12=1,920+1=AH!$U$6),TODAY(),IF(AH!$U$5=1,INDEX('Live History'!$A$5:$A$3004,AH!$U$7+920),INDEX('AH History'!$A$5:$A$1380,AH!$U$7+920))),""))</f>
        <v/>
      </c>
      <c r="B925" s="33">
        <f>IFERROR(IF(AH!$U$11=1,NA(),$J925/$E925-1),NA())</f>
        <v/>
      </c>
      <c r="C925" s="269">
        <f>IFERROR(100*$E925/$E$5,NA())</f>
        <v/>
      </c>
      <c r="D925" s="269">
        <f>IFERROR(100*$J925/$J$5,NA())</f>
        <v/>
      </c>
      <c r="E925" s="32">
        <f>IFERROR(IF(AND(ISNUMBER($A925),N(IF(AND(AH!$U$12=1,920+1=AH!$U$6),IF(AH!$U$4=0,"unavailable",INDEX('Market Data'!$AN$5:$AN$66,AH!$U$4)),IF(AH!$U$5=1,INDEX('Live History'!$B$5:$B$3004,$K925),INDEX('AH History'!$D$5:$GG$1380,$K925,AH!$U$10))))&gt;0),IF(AND(AH!$U$12=1,920+1=AH!$U$6),IF(AH!$U$4=0,"unavailable",INDEX('Market Data'!$AN$5:$AN$66,AH!$U$4)),IF(AH!$U$5=1,INDEX('Live History'!$B$5:$B$3004,$K925),INDEX('AH History'!$D$5:$GG$1380,$K925,AH!$U$10))),NA()),NA())</f>
        <v/>
      </c>
      <c r="F925" s="32">
        <f>IFERROR(IF(ISNUMBER($A925),IF(AND(AH!$U$12=1,920+1=AH!$U$6),IF(AH!$U$4=0,"unavailable",INDEX('Market Data'!$AO$5:$AO$66,AH!$U$4)),IF(AH!$U$5=1,INDEX('Live History'!$E$5:$E$3004,MATCH($A925,'Live History'!$D$5:$D$3004,1)),INDEX('AH History'!$D$5:$GG$1380,$K925,AH!$U$10+1))),NA()),NA())</f>
        <v/>
      </c>
      <c r="G925" s="34">
        <f>IFERROR(IF(ISNUMBER($A925),IF(AND(AH!$U$12=1,920+1=AH!$U$6),IF(AH!$U$4=0,"unavailable",INDEX('Market Data'!$AK$5:$AK$66,AH!$U$4)),IF(AH!$U$5=1,INDEX('Live History'!$D$5:$D$3004,MATCH($A925,'Live History'!$D$5:$D$3004,1)),INDEX('AH History'!$D$5:$GG$1380,$K925,AH!$U$10+2))),NA()),NA())</f>
        <v/>
      </c>
      <c r="H925" s="266">
        <f>IFERROR(IF(ISNUMBER($A925),IF(AND(AH!$U$12=1,920+1=AH!$U$6),IF(AH!$U$4=0,"unavailable",INDEX('Market Data'!$AP$5:$AP$66,AH!$U$4)),IF(AH!$U$5=1,INDEX('Live History'!$H$5:$H$3004,MATCH($A925,'Live History'!$G$5:$G$3004,1)),INDEX('AH History'!$B$5:$B$1380,$K925))),NA()),NA())</f>
        <v/>
      </c>
      <c r="I925" s="34">
        <f>IFERROR(IF(ISNUMBER($A925),IF(AND(AH!$U$12=1,920+1=AH!$U$6),TODAY(),IF(AH!$U$5=1,INDEX('Live History'!$G$5:$G$3004,MATCH($A925,'Live History'!$G$5:$G$3004,1)),INDEX('AH History'!$C$5:$C$1380,$K925))),NA()),NA())</f>
        <v/>
      </c>
      <c r="J925" s="32">
        <f>IFERROR(IF(AND($F925&gt;0,$H925&gt;0,$A925-$G925&lt;=10,$A925-$I925&lt;=5,$G925&gt;0,$I925&gt;0),$F925*$H925,NA()),NA())</f>
        <v/>
      </c>
      <c r="K925" s="15">
        <f>IF($A925="","",IF(AH!$U$5=1,IFERROR(MATCH($A925,'Live History'!$A$5:$A$3004,0),0),AH!$U$7+920))</f>
        <v/>
      </c>
      <c r="L925" s="15">
        <f>IF(ISNUMBER(A925),TEXT(A925,"dd-mmm-yy"),"")</f>
        <v/>
      </c>
    </row>
    <row r="926">
      <c r="A926" s="14">
        <f>IF(OR(AH!$U$4=0,921+1&gt;AH!$U$6,AND(AH!$M$5="Bloomberg",AH!$U$5=0)),"",IFERROR(IF(AND(AH!$U$12=1,921+1=AH!$U$6),TODAY(),IF(AH!$U$5=1,INDEX('Live History'!$A$5:$A$3004,AH!$U$7+921),INDEX('AH History'!$A$5:$A$1380,AH!$U$7+921))),""))</f>
        <v/>
      </c>
      <c r="B926" s="33">
        <f>IFERROR(IF(AH!$U$11=1,NA(),$J926/$E926-1),NA())</f>
        <v/>
      </c>
      <c r="C926" s="269">
        <f>IFERROR(100*$E926/$E$5,NA())</f>
        <v/>
      </c>
      <c r="D926" s="269">
        <f>IFERROR(100*$J926/$J$5,NA())</f>
        <v/>
      </c>
      <c r="E926" s="32">
        <f>IFERROR(IF(AND(ISNUMBER($A926),N(IF(AND(AH!$U$12=1,921+1=AH!$U$6),IF(AH!$U$4=0,"unavailable",INDEX('Market Data'!$AN$5:$AN$66,AH!$U$4)),IF(AH!$U$5=1,INDEX('Live History'!$B$5:$B$3004,$K926),INDEX('AH History'!$D$5:$GG$1380,$K926,AH!$U$10))))&gt;0),IF(AND(AH!$U$12=1,921+1=AH!$U$6),IF(AH!$U$4=0,"unavailable",INDEX('Market Data'!$AN$5:$AN$66,AH!$U$4)),IF(AH!$U$5=1,INDEX('Live History'!$B$5:$B$3004,$K926),INDEX('AH History'!$D$5:$GG$1380,$K926,AH!$U$10))),NA()),NA())</f>
        <v/>
      </c>
      <c r="F926" s="32">
        <f>IFERROR(IF(ISNUMBER($A926),IF(AND(AH!$U$12=1,921+1=AH!$U$6),IF(AH!$U$4=0,"unavailable",INDEX('Market Data'!$AO$5:$AO$66,AH!$U$4)),IF(AH!$U$5=1,INDEX('Live History'!$E$5:$E$3004,MATCH($A926,'Live History'!$D$5:$D$3004,1)),INDEX('AH History'!$D$5:$GG$1380,$K926,AH!$U$10+1))),NA()),NA())</f>
        <v/>
      </c>
      <c r="G926" s="34">
        <f>IFERROR(IF(ISNUMBER($A926),IF(AND(AH!$U$12=1,921+1=AH!$U$6),IF(AH!$U$4=0,"unavailable",INDEX('Market Data'!$AK$5:$AK$66,AH!$U$4)),IF(AH!$U$5=1,INDEX('Live History'!$D$5:$D$3004,MATCH($A926,'Live History'!$D$5:$D$3004,1)),INDEX('AH History'!$D$5:$GG$1380,$K926,AH!$U$10+2))),NA()),NA())</f>
        <v/>
      </c>
      <c r="H926" s="266">
        <f>IFERROR(IF(ISNUMBER($A926),IF(AND(AH!$U$12=1,921+1=AH!$U$6),IF(AH!$U$4=0,"unavailable",INDEX('Market Data'!$AP$5:$AP$66,AH!$U$4)),IF(AH!$U$5=1,INDEX('Live History'!$H$5:$H$3004,MATCH($A926,'Live History'!$G$5:$G$3004,1)),INDEX('AH History'!$B$5:$B$1380,$K926))),NA()),NA())</f>
        <v/>
      </c>
      <c r="I926" s="34">
        <f>IFERROR(IF(ISNUMBER($A926),IF(AND(AH!$U$12=1,921+1=AH!$U$6),TODAY(),IF(AH!$U$5=1,INDEX('Live History'!$G$5:$G$3004,MATCH($A926,'Live History'!$G$5:$G$3004,1)),INDEX('AH History'!$C$5:$C$1380,$K926))),NA()),NA())</f>
        <v/>
      </c>
      <c r="J926" s="32">
        <f>IFERROR(IF(AND($F926&gt;0,$H926&gt;0,$A926-$G926&lt;=10,$A926-$I926&lt;=5,$G926&gt;0,$I926&gt;0),$F926*$H926,NA()),NA())</f>
        <v/>
      </c>
      <c r="K926" s="15">
        <f>IF($A926="","",IF(AH!$U$5=1,IFERROR(MATCH($A926,'Live History'!$A$5:$A$3004,0),0),AH!$U$7+921))</f>
        <v/>
      </c>
      <c r="L926" s="15">
        <f>IF(ISNUMBER(A926),TEXT(A926,"dd-mmm-yy"),"")</f>
        <v/>
      </c>
    </row>
    <row r="927">
      <c r="A927" s="14">
        <f>IF(OR(AH!$U$4=0,922+1&gt;AH!$U$6,AND(AH!$M$5="Bloomberg",AH!$U$5=0)),"",IFERROR(IF(AND(AH!$U$12=1,922+1=AH!$U$6),TODAY(),IF(AH!$U$5=1,INDEX('Live History'!$A$5:$A$3004,AH!$U$7+922),INDEX('AH History'!$A$5:$A$1380,AH!$U$7+922))),""))</f>
        <v/>
      </c>
      <c r="B927" s="33">
        <f>IFERROR(IF(AH!$U$11=1,NA(),$J927/$E927-1),NA())</f>
        <v/>
      </c>
      <c r="C927" s="269">
        <f>IFERROR(100*$E927/$E$5,NA())</f>
        <v/>
      </c>
      <c r="D927" s="269">
        <f>IFERROR(100*$J927/$J$5,NA())</f>
        <v/>
      </c>
      <c r="E927" s="32">
        <f>IFERROR(IF(AND(ISNUMBER($A927),N(IF(AND(AH!$U$12=1,922+1=AH!$U$6),IF(AH!$U$4=0,"unavailable",INDEX('Market Data'!$AN$5:$AN$66,AH!$U$4)),IF(AH!$U$5=1,INDEX('Live History'!$B$5:$B$3004,$K927),INDEX('AH History'!$D$5:$GG$1380,$K927,AH!$U$10))))&gt;0),IF(AND(AH!$U$12=1,922+1=AH!$U$6),IF(AH!$U$4=0,"unavailable",INDEX('Market Data'!$AN$5:$AN$66,AH!$U$4)),IF(AH!$U$5=1,INDEX('Live History'!$B$5:$B$3004,$K927),INDEX('AH History'!$D$5:$GG$1380,$K927,AH!$U$10))),NA()),NA())</f>
        <v/>
      </c>
      <c r="F927" s="32">
        <f>IFERROR(IF(ISNUMBER($A927),IF(AND(AH!$U$12=1,922+1=AH!$U$6),IF(AH!$U$4=0,"unavailable",INDEX('Market Data'!$AO$5:$AO$66,AH!$U$4)),IF(AH!$U$5=1,INDEX('Live History'!$E$5:$E$3004,MATCH($A927,'Live History'!$D$5:$D$3004,1)),INDEX('AH History'!$D$5:$GG$1380,$K927,AH!$U$10+1))),NA()),NA())</f>
        <v/>
      </c>
      <c r="G927" s="34">
        <f>IFERROR(IF(ISNUMBER($A927),IF(AND(AH!$U$12=1,922+1=AH!$U$6),IF(AH!$U$4=0,"unavailable",INDEX('Market Data'!$AK$5:$AK$66,AH!$U$4)),IF(AH!$U$5=1,INDEX('Live History'!$D$5:$D$3004,MATCH($A927,'Live History'!$D$5:$D$3004,1)),INDEX('AH History'!$D$5:$GG$1380,$K927,AH!$U$10+2))),NA()),NA())</f>
        <v/>
      </c>
      <c r="H927" s="266">
        <f>IFERROR(IF(ISNUMBER($A927),IF(AND(AH!$U$12=1,922+1=AH!$U$6),IF(AH!$U$4=0,"unavailable",INDEX('Market Data'!$AP$5:$AP$66,AH!$U$4)),IF(AH!$U$5=1,INDEX('Live History'!$H$5:$H$3004,MATCH($A927,'Live History'!$G$5:$G$3004,1)),INDEX('AH History'!$B$5:$B$1380,$K927))),NA()),NA())</f>
        <v/>
      </c>
      <c r="I927" s="34">
        <f>IFERROR(IF(ISNUMBER($A927),IF(AND(AH!$U$12=1,922+1=AH!$U$6),TODAY(),IF(AH!$U$5=1,INDEX('Live History'!$G$5:$G$3004,MATCH($A927,'Live History'!$G$5:$G$3004,1)),INDEX('AH History'!$C$5:$C$1380,$K927))),NA()),NA())</f>
        <v/>
      </c>
      <c r="J927" s="32">
        <f>IFERROR(IF(AND($F927&gt;0,$H927&gt;0,$A927-$G927&lt;=10,$A927-$I927&lt;=5,$G927&gt;0,$I927&gt;0),$F927*$H927,NA()),NA())</f>
        <v/>
      </c>
      <c r="K927" s="15">
        <f>IF($A927="","",IF(AH!$U$5=1,IFERROR(MATCH($A927,'Live History'!$A$5:$A$3004,0),0),AH!$U$7+922))</f>
        <v/>
      </c>
      <c r="L927" s="15">
        <f>IF(ISNUMBER(A927),TEXT(A927,"dd-mmm-yy"),"")</f>
        <v/>
      </c>
    </row>
    <row r="928">
      <c r="A928" s="14">
        <f>IF(OR(AH!$U$4=0,923+1&gt;AH!$U$6,AND(AH!$M$5="Bloomberg",AH!$U$5=0)),"",IFERROR(IF(AND(AH!$U$12=1,923+1=AH!$U$6),TODAY(),IF(AH!$U$5=1,INDEX('Live History'!$A$5:$A$3004,AH!$U$7+923),INDEX('AH History'!$A$5:$A$1380,AH!$U$7+923))),""))</f>
        <v/>
      </c>
      <c r="B928" s="33">
        <f>IFERROR(IF(AH!$U$11=1,NA(),$J928/$E928-1),NA())</f>
        <v/>
      </c>
      <c r="C928" s="269">
        <f>IFERROR(100*$E928/$E$5,NA())</f>
        <v/>
      </c>
      <c r="D928" s="269">
        <f>IFERROR(100*$J928/$J$5,NA())</f>
        <v/>
      </c>
      <c r="E928" s="32">
        <f>IFERROR(IF(AND(ISNUMBER($A928),N(IF(AND(AH!$U$12=1,923+1=AH!$U$6),IF(AH!$U$4=0,"unavailable",INDEX('Market Data'!$AN$5:$AN$66,AH!$U$4)),IF(AH!$U$5=1,INDEX('Live History'!$B$5:$B$3004,$K928),INDEX('AH History'!$D$5:$GG$1380,$K928,AH!$U$10))))&gt;0),IF(AND(AH!$U$12=1,923+1=AH!$U$6),IF(AH!$U$4=0,"unavailable",INDEX('Market Data'!$AN$5:$AN$66,AH!$U$4)),IF(AH!$U$5=1,INDEX('Live History'!$B$5:$B$3004,$K928),INDEX('AH History'!$D$5:$GG$1380,$K928,AH!$U$10))),NA()),NA())</f>
        <v/>
      </c>
      <c r="F928" s="32">
        <f>IFERROR(IF(ISNUMBER($A928),IF(AND(AH!$U$12=1,923+1=AH!$U$6),IF(AH!$U$4=0,"unavailable",INDEX('Market Data'!$AO$5:$AO$66,AH!$U$4)),IF(AH!$U$5=1,INDEX('Live History'!$E$5:$E$3004,MATCH($A928,'Live History'!$D$5:$D$3004,1)),INDEX('AH History'!$D$5:$GG$1380,$K928,AH!$U$10+1))),NA()),NA())</f>
        <v/>
      </c>
      <c r="G928" s="34">
        <f>IFERROR(IF(ISNUMBER($A928),IF(AND(AH!$U$12=1,923+1=AH!$U$6),IF(AH!$U$4=0,"unavailable",INDEX('Market Data'!$AK$5:$AK$66,AH!$U$4)),IF(AH!$U$5=1,INDEX('Live History'!$D$5:$D$3004,MATCH($A928,'Live History'!$D$5:$D$3004,1)),INDEX('AH History'!$D$5:$GG$1380,$K928,AH!$U$10+2))),NA()),NA())</f>
        <v/>
      </c>
      <c r="H928" s="266">
        <f>IFERROR(IF(ISNUMBER($A928),IF(AND(AH!$U$12=1,923+1=AH!$U$6),IF(AH!$U$4=0,"unavailable",INDEX('Market Data'!$AP$5:$AP$66,AH!$U$4)),IF(AH!$U$5=1,INDEX('Live History'!$H$5:$H$3004,MATCH($A928,'Live History'!$G$5:$G$3004,1)),INDEX('AH History'!$B$5:$B$1380,$K928))),NA()),NA())</f>
        <v/>
      </c>
      <c r="I928" s="34">
        <f>IFERROR(IF(ISNUMBER($A928),IF(AND(AH!$U$12=1,923+1=AH!$U$6),TODAY(),IF(AH!$U$5=1,INDEX('Live History'!$G$5:$G$3004,MATCH($A928,'Live History'!$G$5:$G$3004,1)),INDEX('AH History'!$C$5:$C$1380,$K928))),NA()),NA())</f>
        <v/>
      </c>
      <c r="J928" s="32">
        <f>IFERROR(IF(AND($F928&gt;0,$H928&gt;0,$A928-$G928&lt;=10,$A928-$I928&lt;=5,$G928&gt;0,$I928&gt;0),$F928*$H928,NA()),NA())</f>
        <v/>
      </c>
      <c r="K928" s="15">
        <f>IF($A928="","",IF(AH!$U$5=1,IFERROR(MATCH($A928,'Live History'!$A$5:$A$3004,0),0),AH!$U$7+923))</f>
        <v/>
      </c>
      <c r="L928" s="15">
        <f>IF(ISNUMBER(A928),TEXT(A928,"dd-mmm-yy"),"")</f>
        <v/>
      </c>
    </row>
    <row r="929">
      <c r="A929" s="14">
        <f>IF(OR(AH!$U$4=0,924+1&gt;AH!$U$6,AND(AH!$M$5="Bloomberg",AH!$U$5=0)),"",IFERROR(IF(AND(AH!$U$12=1,924+1=AH!$U$6),TODAY(),IF(AH!$U$5=1,INDEX('Live History'!$A$5:$A$3004,AH!$U$7+924),INDEX('AH History'!$A$5:$A$1380,AH!$U$7+924))),""))</f>
        <v/>
      </c>
      <c r="B929" s="33">
        <f>IFERROR(IF(AH!$U$11=1,NA(),$J929/$E929-1),NA())</f>
        <v/>
      </c>
      <c r="C929" s="269">
        <f>IFERROR(100*$E929/$E$5,NA())</f>
        <v/>
      </c>
      <c r="D929" s="269">
        <f>IFERROR(100*$J929/$J$5,NA())</f>
        <v/>
      </c>
      <c r="E929" s="32">
        <f>IFERROR(IF(AND(ISNUMBER($A929),N(IF(AND(AH!$U$12=1,924+1=AH!$U$6),IF(AH!$U$4=0,"unavailable",INDEX('Market Data'!$AN$5:$AN$66,AH!$U$4)),IF(AH!$U$5=1,INDEX('Live History'!$B$5:$B$3004,$K929),INDEX('AH History'!$D$5:$GG$1380,$K929,AH!$U$10))))&gt;0),IF(AND(AH!$U$12=1,924+1=AH!$U$6),IF(AH!$U$4=0,"unavailable",INDEX('Market Data'!$AN$5:$AN$66,AH!$U$4)),IF(AH!$U$5=1,INDEX('Live History'!$B$5:$B$3004,$K929),INDEX('AH History'!$D$5:$GG$1380,$K929,AH!$U$10))),NA()),NA())</f>
        <v/>
      </c>
      <c r="F929" s="32">
        <f>IFERROR(IF(ISNUMBER($A929),IF(AND(AH!$U$12=1,924+1=AH!$U$6),IF(AH!$U$4=0,"unavailable",INDEX('Market Data'!$AO$5:$AO$66,AH!$U$4)),IF(AH!$U$5=1,INDEX('Live History'!$E$5:$E$3004,MATCH($A929,'Live History'!$D$5:$D$3004,1)),INDEX('AH History'!$D$5:$GG$1380,$K929,AH!$U$10+1))),NA()),NA())</f>
        <v/>
      </c>
      <c r="G929" s="34">
        <f>IFERROR(IF(ISNUMBER($A929),IF(AND(AH!$U$12=1,924+1=AH!$U$6),IF(AH!$U$4=0,"unavailable",INDEX('Market Data'!$AK$5:$AK$66,AH!$U$4)),IF(AH!$U$5=1,INDEX('Live History'!$D$5:$D$3004,MATCH($A929,'Live History'!$D$5:$D$3004,1)),INDEX('AH History'!$D$5:$GG$1380,$K929,AH!$U$10+2))),NA()),NA())</f>
        <v/>
      </c>
      <c r="H929" s="266">
        <f>IFERROR(IF(ISNUMBER($A929),IF(AND(AH!$U$12=1,924+1=AH!$U$6),IF(AH!$U$4=0,"unavailable",INDEX('Market Data'!$AP$5:$AP$66,AH!$U$4)),IF(AH!$U$5=1,INDEX('Live History'!$H$5:$H$3004,MATCH($A929,'Live History'!$G$5:$G$3004,1)),INDEX('AH History'!$B$5:$B$1380,$K929))),NA()),NA())</f>
        <v/>
      </c>
      <c r="I929" s="34">
        <f>IFERROR(IF(ISNUMBER($A929),IF(AND(AH!$U$12=1,924+1=AH!$U$6),TODAY(),IF(AH!$U$5=1,INDEX('Live History'!$G$5:$G$3004,MATCH($A929,'Live History'!$G$5:$G$3004,1)),INDEX('AH History'!$C$5:$C$1380,$K929))),NA()),NA())</f>
        <v/>
      </c>
      <c r="J929" s="32">
        <f>IFERROR(IF(AND($F929&gt;0,$H929&gt;0,$A929-$G929&lt;=10,$A929-$I929&lt;=5,$G929&gt;0,$I929&gt;0),$F929*$H929,NA()),NA())</f>
        <v/>
      </c>
      <c r="K929" s="15">
        <f>IF($A929="","",IF(AH!$U$5=1,IFERROR(MATCH($A929,'Live History'!$A$5:$A$3004,0),0),AH!$U$7+924))</f>
        <v/>
      </c>
      <c r="L929" s="15">
        <f>IF(ISNUMBER(A929),TEXT(A929,"dd-mmm-yy"),"")</f>
        <v/>
      </c>
    </row>
    <row r="930">
      <c r="A930" s="14">
        <f>IF(OR(AH!$U$4=0,925+1&gt;AH!$U$6,AND(AH!$M$5="Bloomberg",AH!$U$5=0)),"",IFERROR(IF(AND(AH!$U$12=1,925+1=AH!$U$6),TODAY(),IF(AH!$U$5=1,INDEX('Live History'!$A$5:$A$3004,AH!$U$7+925),INDEX('AH History'!$A$5:$A$1380,AH!$U$7+925))),""))</f>
        <v/>
      </c>
      <c r="B930" s="33">
        <f>IFERROR(IF(AH!$U$11=1,NA(),$J930/$E930-1),NA())</f>
        <v/>
      </c>
      <c r="C930" s="269">
        <f>IFERROR(100*$E930/$E$5,NA())</f>
        <v/>
      </c>
      <c r="D930" s="269">
        <f>IFERROR(100*$J930/$J$5,NA())</f>
        <v/>
      </c>
      <c r="E930" s="32">
        <f>IFERROR(IF(AND(ISNUMBER($A930),N(IF(AND(AH!$U$12=1,925+1=AH!$U$6),IF(AH!$U$4=0,"unavailable",INDEX('Market Data'!$AN$5:$AN$66,AH!$U$4)),IF(AH!$U$5=1,INDEX('Live History'!$B$5:$B$3004,$K930),INDEX('AH History'!$D$5:$GG$1380,$K930,AH!$U$10))))&gt;0),IF(AND(AH!$U$12=1,925+1=AH!$U$6),IF(AH!$U$4=0,"unavailable",INDEX('Market Data'!$AN$5:$AN$66,AH!$U$4)),IF(AH!$U$5=1,INDEX('Live History'!$B$5:$B$3004,$K930),INDEX('AH History'!$D$5:$GG$1380,$K930,AH!$U$10))),NA()),NA())</f>
        <v/>
      </c>
      <c r="F930" s="32">
        <f>IFERROR(IF(ISNUMBER($A930),IF(AND(AH!$U$12=1,925+1=AH!$U$6),IF(AH!$U$4=0,"unavailable",INDEX('Market Data'!$AO$5:$AO$66,AH!$U$4)),IF(AH!$U$5=1,INDEX('Live History'!$E$5:$E$3004,MATCH($A930,'Live History'!$D$5:$D$3004,1)),INDEX('AH History'!$D$5:$GG$1380,$K930,AH!$U$10+1))),NA()),NA())</f>
        <v/>
      </c>
      <c r="G930" s="34">
        <f>IFERROR(IF(ISNUMBER($A930),IF(AND(AH!$U$12=1,925+1=AH!$U$6),IF(AH!$U$4=0,"unavailable",INDEX('Market Data'!$AK$5:$AK$66,AH!$U$4)),IF(AH!$U$5=1,INDEX('Live History'!$D$5:$D$3004,MATCH($A930,'Live History'!$D$5:$D$3004,1)),INDEX('AH History'!$D$5:$GG$1380,$K930,AH!$U$10+2))),NA()),NA())</f>
        <v/>
      </c>
      <c r="H930" s="266">
        <f>IFERROR(IF(ISNUMBER($A930),IF(AND(AH!$U$12=1,925+1=AH!$U$6),IF(AH!$U$4=0,"unavailable",INDEX('Market Data'!$AP$5:$AP$66,AH!$U$4)),IF(AH!$U$5=1,INDEX('Live History'!$H$5:$H$3004,MATCH($A930,'Live History'!$G$5:$G$3004,1)),INDEX('AH History'!$B$5:$B$1380,$K930))),NA()),NA())</f>
        <v/>
      </c>
      <c r="I930" s="34">
        <f>IFERROR(IF(ISNUMBER($A930),IF(AND(AH!$U$12=1,925+1=AH!$U$6),TODAY(),IF(AH!$U$5=1,INDEX('Live History'!$G$5:$G$3004,MATCH($A930,'Live History'!$G$5:$G$3004,1)),INDEX('AH History'!$C$5:$C$1380,$K930))),NA()),NA())</f>
        <v/>
      </c>
      <c r="J930" s="32">
        <f>IFERROR(IF(AND($F930&gt;0,$H930&gt;0,$A930-$G930&lt;=10,$A930-$I930&lt;=5,$G930&gt;0,$I930&gt;0),$F930*$H930,NA()),NA())</f>
        <v/>
      </c>
      <c r="K930" s="15">
        <f>IF($A930="","",IF(AH!$U$5=1,IFERROR(MATCH($A930,'Live History'!$A$5:$A$3004,0),0),AH!$U$7+925))</f>
        <v/>
      </c>
      <c r="L930" s="15">
        <f>IF(ISNUMBER(A930),TEXT(A930,"dd-mmm-yy"),"")</f>
        <v/>
      </c>
    </row>
    <row r="931">
      <c r="A931" s="14">
        <f>IF(OR(AH!$U$4=0,926+1&gt;AH!$U$6,AND(AH!$M$5="Bloomberg",AH!$U$5=0)),"",IFERROR(IF(AND(AH!$U$12=1,926+1=AH!$U$6),TODAY(),IF(AH!$U$5=1,INDEX('Live History'!$A$5:$A$3004,AH!$U$7+926),INDEX('AH History'!$A$5:$A$1380,AH!$U$7+926))),""))</f>
        <v/>
      </c>
      <c r="B931" s="33">
        <f>IFERROR(IF(AH!$U$11=1,NA(),$J931/$E931-1),NA())</f>
        <v/>
      </c>
      <c r="C931" s="269">
        <f>IFERROR(100*$E931/$E$5,NA())</f>
        <v/>
      </c>
      <c r="D931" s="269">
        <f>IFERROR(100*$J931/$J$5,NA())</f>
        <v/>
      </c>
      <c r="E931" s="32">
        <f>IFERROR(IF(AND(ISNUMBER($A931),N(IF(AND(AH!$U$12=1,926+1=AH!$U$6),IF(AH!$U$4=0,"unavailable",INDEX('Market Data'!$AN$5:$AN$66,AH!$U$4)),IF(AH!$U$5=1,INDEX('Live History'!$B$5:$B$3004,$K931),INDEX('AH History'!$D$5:$GG$1380,$K931,AH!$U$10))))&gt;0),IF(AND(AH!$U$12=1,926+1=AH!$U$6),IF(AH!$U$4=0,"unavailable",INDEX('Market Data'!$AN$5:$AN$66,AH!$U$4)),IF(AH!$U$5=1,INDEX('Live History'!$B$5:$B$3004,$K931),INDEX('AH History'!$D$5:$GG$1380,$K931,AH!$U$10))),NA()),NA())</f>
        <v/>
      </c>
      <c r="F931" s="32">
        <f>IFERROR(IF(ISNUMBER($A931),IF(AND(AH!$U$12=1,926+1=AH!$U$6),IF(AH!$U$4=0,"unavailable",INDEX('Market Data'!$AO$5:$AO$66,AH!$U$4)),IF(AH!$U$5=1,INDEX('Live History'!$E$5:$E$3004,MATCH($A931,'Live History'!$D$5:$D$3004,1)),INDEX('AH History'!$D$5:$GG$1380,$K931,AH!$U$10+1))),NA()),NA())</f>
        <v/>
      </c>
      <c r="G931" s="34">
        <f>IFERROR(IF(ISNUMBER($A931),IF(AND(AH!$U$12=1,926+1=AH!$U$6),IF(AH!$U$4=0,"unavailable",INDEX('Market Data'!$AK$5:$AK$66,AH!$U$4)),IF(AH!$U$5=1,INDEX('Live History'!$D$5:$D$3004,MATCH($A931,'Live History'!$D$5:$D$3004,1)),INDEX('AH History'!$D$5:$GG$1380,$K931,AH!$U$10+2))),NA()),NA())</f>
        <v/>
      </c>
      <c r="H931" s="266">
        <f>IFERROR(IF(ISNUMBER($A931),IF(AND(AH!$U$12=1,926+1=AH!$U$6),IF(AH!$U$4=0,"unavailable",INDEX('Market Data'!$AP$5:$AP$66,AH!$U$4)),IF(AH!$U$5=1,INDEX('Live History'!$H$5:$H$3004,MATCH($A931,'Live History'!$G$5:$G$3004,1)),INDEX('AH History'!$B$5:$B$1380,$K931))),NA()),NA())</f>
        <v/>
      </c>
      <c r="I931" s="34">
        <f>IFERROR(IF(ISNUMBER($A931),IF(AND(AH!$U$12=1,926+1=AH!$U$6),TODAY(),IF(AH!$U$5=1,INDEX('Live History'!$G$5:$G$3004,MATCH($A931,'Live History'!$G$5:$G$3004,1)),INDEX('AH History'!$C$5:$C$1380,$K931))),NA()),NA())</f>
        <v/>
      </c>
      <c r="J931" s="32">
        <f>IFERROR(IF(AND($F931&gt;0,$H931&gt;0,$A931-$G931&lt;=10,$A931-$I931&lt;=5,$G931&gt;0,$I931&gt;0),$F931*$H931,NA()),NA())</f>
        <v/>
      </c>
      <c r="K931" s="15">
        <f>IF($A931="","",IF(AH!$U$5=1,IFERROR(MATCH($A931,'Live History'!$A$5:$A$3004,0),0),AH!$U$7+926))</f>
        <v/>
      </c>
      <c r="L931" s="15">
        <f>IF(ISNUMBER(A931),TEXT(A931,"dd-mmm-yy"),"")</f>
        <v/>
      </c>
    </row>
    <row r="932">
      <c r="A932" s="14">
        <f>IF(OR(AH!$U$4=0,927+1&gt;AH!$U$6,AND(AH!$M$5="Bloomberg",AH!$U$5=0)),"",IFERROR(IF(AND(AH!$U$12=1,927+1=AH!$U$6),TODAY(),IF(AH!$U$5=1,INDEX('Live History'!$A$5:$A$3004,AH!$U$7+927),INDEX('AH History'!$A$5:$A$1380,AH!$U$7+927))),""))</f>
        <v/>
      </c>
      <c r="B932" s="33">
        <f>IFERROR(IF(AH!$U$11=1,NA(),$J932/$E932-1),NA())</f>
        <v/>
      </c>
      <c r="C932" s="269">
        <f>IFERROR(100*$E932/$E$5,NA())</f>
        <v/>
      </c>
      <c r="D932" s="269">
        <f>IFERROR(100*$J932/$J$5,NA())</f>
        <v/>
      </c>
      <c r="E932" s="32">
        <f>IFERROR(IF(AND(ISNUMBER($A932),N(IF(AND(AH!$U$12=1,927+1=AH!$U$6),IF(AH!$U$4=0,"unavailable",INDEX('Market Data'!$AN$5:$AN$66,AH!$U$4)),IF(AH!$U$5=1,INDEX('Live History'!$B$5:$B$3004,$K932),INDEX('AH History'!$D$5:$GG$1380,$K932,AH!$U$10))))&gt;0),IF(AND(AH!$U$12=1,927+1=AH!$U$6),IF(AH!$U$4=0,"unavailable",INDEX('Market Data'!$AN$5:$AN$66,AH!$U$4)),IF(AH!$U$5=1,INDEX('Live History'!$B$5:$B$3004,$K932),INDEX('AH History'!$D$5:$GG$1380,$K932,AH!$U$10))),NA()),NA())</f>
        <v/>
      </c>
      <c r="F932" s="32">
        <f>IFERROR(IF(ISNUMBER($A932),IF(AND(AH!$U$12=1,927+1=AH!$U$6),IF(AH!$U$4=0,"unavailable",INDEX('Market Data'!$AO$5:$AO$66,AH!$U$4)),IF(AH!$U$5=1,INDEX('Live History'!$E$5:$E$3004,MATCH($A932,'Live History'!$D$5:$D$3004,1)),INDEX('AH History'!$D$5:$GG$1380,$K932,AH!$U$10+1))),NA()),NA())</f>
        <v/>
      </c>
      <c r="G932" s="34">
        <f>IFERROR(IF(ISNUMBER($A932),IF(AND(AH!$U$12=1,927+1=AH!$U$6),IF(AH!$U$4=0,"unavailable",INDEX('Market Data'!$AK$5:$AK$66,AH!$U$4)),IF(AH!$U$5=1,INDEX('Live History'!$D$5:$D$3004,MATCH($A932,'Live History'!$D$5:$D$3004,1)),INDEX('AH History'!$D$5:$GG$1380,$K932,AH!$U$10+2))),NA()),NA())</f>
        <v/>
      </c>
      <c r="H932" s="266">
        <f>IFERROR(IF(ISNUMBER($A932),IF(AND(AH!$U$12=1,927+1=AH!$U$6),IF(AH!$U$4=0,"unavailable",INDEX('Market Data'!$AP$5:$AP$66,AH!$U$4)),IF(AH!$U$5=1,INDEX('Live History'!$H$5:$H$3004,MATCH($A932,'Live History'!$G$5:$G$3004,1)),INDEX('AH History'!$B$5:$B$1380,$K932))),NA()),NA())</f>
        <v/>
      </c>
      <c r="I932" s="34">
        <f>IFERROR(IF(ISNUMBER($A932),IF(AND(AH!$U$12=1,927+1=AH!$U$6),TODAY(),IF(AH!$U$5=1,INDEX('Live History'!$G$5:$G$3004,MATCH($A932,'Live History'!$G$5:$G$3004,1)),INDEX('AH History'!$C$5:$C$1380,$K932))),NA()),NA())</f>
        <v/>
      </c>
      <c r="J932" s="32">
        <f>IFERROR(IF(AND($F932&gt;0,$H932&gt;0,$A932-$G932&lt;=10,$A932-$I932&lt;=5,$G932&gt;0,$I932&gt;0),$F932*$H932,NA()),NA())</f>
        <v/>
      </c>
      <c r="K932" s="15">
        <f>IF($A932="","",IF(AH!$U$5=1,IFERROR(MATCH($A932,'Live History'!$A$5:$A$3004,0),0),AH!$U$7+927))</f>
        <v/>
      </c>
      <c r="L932" s="15">
        <f>IF(ISNUMBER(A932),TEXT(A932,"dd-mmm-yy"),"")</f>
        <v/>
      </c>
    </row>
    <row r="933">
      <c r="A933" s="14">
        <f>IF(OR(AH!$U$4=0,928+1&gt;AH!$U$6,AND(AH!$M$5="Bloomberg",AH!$U$5=0)),"",IFERROR(IF(AND(AH!$U$12=1,928+1=AH!$U$6),TODAY(),IF(AH!$U$5=1,INDEX('Live History'!$A$5:$A$3004,AH!$U$7+928),INDEX('AH History'!$A$5:$A$1380,AH!$U$7+928))),""))</f>
        <v/>
      </c>
      <c r="B933" s="33">
        <f>IFERROR(IF(AH!$U$11=1,NA(),$J933/$E933-1),NA())</f>
        <v/>
      </c>
      <c r="C933" s="269">
        <f>IFERROR(100*$E933/$E$5,NA())</f>
        <v/>
      </c>
      <c r="D933" s="269">
        <f>IFERROR(100*$J933/$J$5,NA())</f>
        <v/>
      </c>
      <c r="E933" s="32">
        <f>IFERROR(IF(AND(ISNUMBER($A933),N(IF(AND(AH!$U$12=1,928+1=AH!$U$6),IF(AH!$U$4=0,"unavailable",INDEX('Market Data'!$AN$5:$AN$66,AH!$U$4)),IF(AH!$U$5=1,INDEX('Live History'!$B$5:$B$3004,$K933),INDEX('AH History'!$D$5:$GG$1380,$K933,AH!$U$10))))&gt;0),IF(AND(AH!$U$12=1,928+1=AH!$U$6),IF(AH!$U$4=0,"unavailable",INDEX('Market Data'!$AN$5:$AN$66,AH!$U$4)),IF(AH!$U$5=1,INDEX('Live History'!$B$5:$B$3004,$K933),INDEX('AH History'!$D$5:$GG$1380,$K933,AH!$U$10))),NA()),NA())</f>
        <v/>
      </c>
      <c r="F933" s="32">
        <f>IFERROR(IF(ISNUMBER($A933),IF(AND(AH!$U$12=1,928+1=AH!$U$6),IF(AH!$U$4=0,"unavailable",INDEX('Market Data'!$AO$5:$AO$66,AH!$U$4)),IF(AH!$U$5=1,INDEX('Live History'!$E$5:$E$3004,MATCH($A933,'Live History'!$D$5:$D$3004,1)),INDEX('AH History'!$D$5:$GG$1380,$K933,AH!$U$10+1))),NA()),NA())</f>
        <v/>
      </c>
      <c r="G933" s="34">
        <f>IFERROR(IF(ISNUMBER($A933),IF(AND(AH!$U$12=1,928+1=AH!$U$6),IF(AH!$U$4=0,"unavailable",INDEX('Market Data'!$AK$5:$AK$66,AH!$U$4)),IF(AH!$U$5=1,INDEX('Live History'!$D$5:$D$3004,MATCH($A933,'Live History'!$D$5:$D$3004,1)),INDEX('AH History'!$D$5:$GG$1380,$K933,AH!$U$10+2))),NA()),NA())</f>
        <v/>
      </c>
      <c r="H933" s="266">
        <f>IFERROR(IF(ISNUMBER($A933),IF(AND(AH!$U$12=1,928+1=AH!$U$6),IF(AH!$U$4=0,"unavailable",INDEX('Market Data'!$AP$5:$AP$66,AH!$U$4)),IF(AH!$U$5=1,INDEX('Live History'!$H$5:$H$3004,MATCH($A933,'Live History'!$G$5:$G$3004,1)),INDEX('AH History'!$B$5:$B$1380,$K933))),NA()),NA())</f>
        <v/>
      </c>
      <c r="I933" s="34">
        <f>IFERROR(IF(ISNUMBER($A933),IF(AND(AH!$U$12=1,928+1=AH!$U$6),TODAY(),IF(AH!$U$5=1,INDEX('Live History'!$G$5:$G$3004,MATCH($A933,'Live History'!$G$5:$G$3004,1)),INDEX('AH History'!$C$5:$C$1380,$K933))),NA()),NA())</f>
        <v/>
      </c>
      <c r="J933" s="32">
        <f>IFERROR(IF(AND($F933&gt;0,$H933&gt;0,$A933-$G933&lt;=10,$A933-$I933&lt;=5,$G933&gt;0,$I933&gt;0),$F933*$H933,NA()),NA())</f>
        <v/>
      </c>
      <c r="K933" s="15">
        <f>IF($A933="","",IF(AH!$U$5=1,IFERROR(MATCH($A933,'Live History'!$A$5:$A$3004,0),0),AH!$U$7+928))</f>
        <v/>
      </c>
      <c r="L933" s="15">
        <f>IF(ISNUMBER(A933),TEXT(A933,"dd-mmm-yy"),"")</f>
        <v/>
      </c>
    </row>
    <row r="934">
      <c r="A934" s="14">
        <f>IF(OR(AH!$U$4=0,929+1&gt;AH!$U$6,AND(AH!$M$5="Bloomberg",AH!$U$5=0)),"",IFERROR(IF(AND(AH!$U$12=1,929+1=AH!$U$6),TODAY(),IF(AH!$U$5=1,INDEX('Live History'!$A$5:$A$3004,AH!$U$7+929),INDEX('AH History'!$A$5:$A$1380,AH!$U$7+929))),""))</f>
        <v/>
      </c>
      <c r="B934" s="33">
        <f>IFERROR(IF(AH!$U$11=1,NA(),$J934/$E934-1),NA())</f>
        <v/>
      </c>
      <c r="C934" s="269">
        <f>IFERROR(100*$E934/$E$5,NA())</f>
        <v/>
      </c>
      <c r="D934" s="269">
        <f>IFERROR(100*$J934/$J$5,NA())</f>
        <v/>
      </c>
      <c r="E934" s="32">
        <f>IFERROR(IF(AND(ISNUMBER($A934),N(IF(AND(AH!$U$12=1,929+1=AH!$U$6),IF(AH!$U$4=0,"unavailable",INDEX('Market Data'!$AN$5:$AN$66,AH!$U$4)),IF(AH!$U$5=1,INDEX('Live History'!$B$5:$B$3004,$K934),INDEX('AH History'!$D$5:$GG$1380,$K934,AH!$U$10))))&gt;0),IF(AND(AH!$U$12=1,929+1=AH!$U$6),IF(AH!$U$4=0,"unavailable",INDEX('Market Data'!$AN$5:$AN$66,AH!$U$4)),IF(AH!$U$5=1,INDEX('Live History'!$B$5:$B$3004,$K934),INDEX('AH History'!$D$5:$GG$1380,$K934,AH!$U$10))),NA()),NA())</f>
        <v/>
      </c>
      <c r="F934" s="32">
        <f>IFERROR(IF(ISNUMBER($A934),IF(AND(AH!$U$12=1,929+1=AH!$U$6),IF(AH!$U$4=0,"unavailable",INDEX('Market Data'!$AO$5:$AO$66,AH!$U$4)),IF(AH!$U$5=1,INDEX('Live History'!$E$5:$E$3004,MATCH($A934,'Live History'!$D$5:$D$3004,1)),INDEX('AH History'!$D$5:$GG$1380,$K934,AH!$U$10+1))),NA()),NA())</f>
        <v/>
      </c>
      <c r="G934" s="34">
        <f>IFERROR(IF(ISNUMBER($A934),IF(AND(AH!$U$12=1,929+1=AH!$U$6),IF(AH!$U$4=0,"unavailable",INDEX('Market Data'!$AK$5:$AK$66,AH!$U$4)),IF(AH!$U$5=1,INDEX('Live History'!$D$5:$D$3004,MATCH($A934,'Live History'!$D$5:$D$3004,1)),INDEX('AH History'!$D$5:$GG$1380,$K934,AH!$U$10+2))),NA()),NA())</f>
        <v/>
      </c>
      <c r="H934" s="266">
        <f>IFERROR(IF(ISNUMBER($A934),IF(AND(AH!$U$12=1,929+1=AH!$U$6),IF(AH!$U$4=0,"unavailable",INDEX('Market Data'!$AP$5:$AP$66,AH!$U$4)),IF(AH!$U$5=1,INDEX('Live History'!$H$5:$H$3004,MATCH($A934,'Live History'!$G$5:$G$3004,1)),INDEX('AH History'!$B$5:$B$1380,$K934))),NA()),NA())</f>
        <v/>
      </c>
      <c r="I934" s="34">
        <f>IFERROR(IF(ISNUMBER($A934),IF(AND(AH!$U$12=1,929+1=AH!$U$6),TODAY(),IF(AH!$U$5=1,INDEX('Live History'!$G$5:$G$3004,MATCH($A934,'Live History'!$G$5:$G$3004,1)),INDEX('AH History'!$C$5:$C$1380,$K934))),NA()),NA())</f>
        <v/>
      </c>
      <c r="J934" s="32">
        <f>IFERROR(IF(AND($F934&gt;0,$H934&gt;0,$A934-$G934&lt;=10,$A934-$I934&lt;=5,$G934&gt;0,$I934&gt;0),$F934*$H934,NA()),NA())</f>
        <v/>
      </c>
      <c r="K934" s="15">
        <f>IF($A934="","",IF(AH!$U$5=1,IFERROR(MATCH($A934,'Live History'!$A$5:$A$3004,0),0),AH!$U$7+929))</f>
        <v/>
      </c>
      <c r="L934" s="15">
        <f>IF(ISNUMBER(A934),TEXT(A934,"dd-mmm-yy"),"")</f>
        <v/>
      </c>
    </row>
    <row r="935">
      <c r="A935" s="14">
        <f>IF(OR(AH!$U$4=0,930+1&gt;AH!$U$6,AND(AH!$M$5="Bloomberg",AH!$U$5=0)),"",IFERROR(IF(AND(AH!$U$12=1,930+1=AH!$U$6),TODAY(),IF(AH!$U$5=1,INDEX('Live History'!$A$5:$A$3004,AH!$U$7+930),INDEX('AH History'!$A$5:$A$1380,AH!$U$7+930))),""))</f>
        <v/>
      </c>
      <c r="B935" s="33">
        <f>IFERROR(IF(AH!$U$11=1,NA(),$J935/$E935-1),NA())</f>
        <v/>
      </c>
      <c r="C935" s="269">
        <f>IFERROR(100*$E935/$E$5,NA())</f>
        <v/>
      </c>
      <c r="D935" s="269">
        <f>IFERROR(100*$J935/$J$5,NA())</f>
        <v/>
      </c>
      <c r="E935" s="32">
        <f>IFERROR(IF(AND(ISNUMBER($A935),N(IF(AND(AH!$U$12=1,930+1=AH!$U$6),IF(AH!$U$4=0,"unavailable",INDEX('Market Data'!$AN$5:$AN$66,AH!$U$4)),IF(AH!$U$5=1,INDEX('Live History'!$B$5:$B$3004,$K935),INDEX('AH History'!$D$5:$GG$1380,$K935,AH!$U$10))))&gt;0),IF(AND(AH!$U$12=1,930+1=AH!$U$6),IF(AH!$U$4=0,"unavailable",INDEX('Market Data'!$AN$5:$AN$66,AH!$U$4)),IF(AH!$U$5=1,INDEX('Live History'!$B$5:$B$3004,$K935),INDEX('AH History'!$D$5:$GG$1380,$K935,AH!$U$10))),NA()),NA())</f>
        <v/>
      </c>
      <c r="F935" s="32">
        <f>IFERROR(IF(ISNUMBER($A935),IF(AND(AH!$U$12=1,930+1=AH!$U$6),IF(AH!$U$4=0,"unavailable",INDEX('Market Data'!$AO$5:$AO$66,AH!$U$4)),IF(AH!$U$5=1,INDEX('Live History'!$E$5:$E$3004,MATCH($A935,'Live History'!$D$5:$D$3004,1)),INDEX('AH History'!$D$5:$GG$1380,$K935,AH!$U$10+1))),NA()),NA())</f>
        <v/>
      </c>
      <c r="G935" s="34">
        <f>IFERROR(IF(ISNUMBER($A935),IF(AND(AH!$U$12=1,930+1=AH!$U$6),IF(AH!$U$4=0,"unavailable",INDEX('Market Data'!$AK$5:$AK$66,AH!$U$4)),IF(AH!$U$5=1,INDEX('Live History'!$D$5:$D$3004,MATCH($A935,'Live History'!$D$5:$D$3004,1)),INDEX('AH History'!$D$5:$GG$1380,$K935,AH!$U$10+2))),NA()),NA())</f>
        <v/>
      </c>
      <c r="H935" s="266">
        <f>IFERROR(IF(ISNUMBER($A935),IF(AND(AH!$U$12=1,930+1=AH!$U$6),IF(AH!$U$4=0,"unavailable",INDEX('Market Data'!$AP$5:$AP$66,AH!$U$4)),IF(AH!$U$5=1,INDEX('Live History'!$H$5:$H$3004,MATCH($A935,'Live History'!$G$5:$G$3004,1)),INDEX('AH History'!$B$5:$B$1380,$K935))),NA()),NA())</f>
        <v/>
      </c>
      <c r="I935" s="34">
        <f>IFERROR(IF(ISNUMBER($A935),IF(AND(AH!$U$12=1,930+1=AH!$U$6),TODAY(),IF(AH!$U$5=1,INDEX('Live History'!$G$5:$G$3004,MATCH($A935,'Live History'!$G$5:$G$3004,1)),INDEX('AH History'!$C$5:$C$1380,$K935))),NA()),NA())</f>
        <v/>
      </c>
      <c r="J935" s="32">
        <f>IFERROR(IF(AND($F935&gt;0,$H935&gt;0,$A935-$G935&lt;=10,$A935-$I935&lt;=5,$G935&gt;0,$I935&gt;0),$F935*$H935,NA()),NA())</f>
        <v/>
      </c>
      <c r="K935" s="15">
        <f>IF($A935="","",IF(AH!$U$5=1,IFERROR(MATCH($A935,'Live History'!$A$5:$A$3004,0),0),AH!$U$7+930))</f>
        <v/>
      </c>
      <c r="L935" s="15">
        <f>IF(ISNUMBER(A935),TEXT(A935,"dd-mmm-yy"),"")</f>
        <v/>
      </c>
    </row>
    <row r="936">
      <c r="A936" s="14">
        <f>IF(OR(AH!$U$4=0,931+1&gt;AH!$U$6,AND(AH!$M$5="Bloomberg",AH!$U$5=0)),"",IFERROR(IF(AND(AH!$U$12=1,931+1=AH!$U$6),TODAY(),IF(AH!$U$5=1,INDEX('Live History'!$A$5:$A$3004,AH!$U$7+931),INDEX('AH History'!$A$5:$A$1380,AH!$U$7+931))),""))</f>
        <v/>
      </c>
      <c r="B936" s="33">
        <f>IFERROR(IF(AH!$U$11=1,NA(),$J936/$E936-1),NA())</f>
        <v/>
      </c>
      <c r="C936" s="269">
        <f>IFERROR(100*$E936/$E$5,NA())</f>
        <v/>
      </c>
      <c r="D936" s="269">
        <f>IFERROR(100*$J936/$J$5,NA())</f>
        <v/>
      </c>
      <c r="E936" s="32">
        <f>IFERROR(IF(AND(ISNUMBER($A936),N(IF(AND(AH!$U$12=1,931+1=AH!$U$6),IF(AH!$U$4=0,"unavailable",INDEX('Market Data'!$AN$5:$AN$66,AH!$U$4)),IF(AH!$U$5=1,INDEX('Live History'!$B$5:$B$3004,$K936),INDEX('AH History'!$D$5:$GG$1380,$K936,AH!$U$10))))&gt;0),IF(AND(AH!$U$12=1,931+1=AH!$U$6),IF(AH!$U$4=0,"unavailable",INDEX('Market Data'!$AN$5:$AN$66,AH!$U$4)),IF(AH!$U$5=1,INDEX('Live History'!$B$5:$B$3004,$K936),INDEX('AH History'!$D$5:$GG$1380,$K936,AH!$U$10))),NA()),NA())</f>
        <v/>
      </c>
      <c r="F936" s="32">
        <f>IFERROR(IF(ISNUMBER($A936),IF(AND(AH!$U$12=1,931+1=AH!$U$6),IF(AH!$U$4=0,"unavailable",INDEX('Market Data'!$AO$5:$AO$66,AH!$U$4)),IF(AH!$U$5=1,INDEX('Live History'!$E$5:$E$3004,MATCH($A936,'Live History'!$D$5:$D$3004,1)),INDEX('AH History'!$D$5:$GG$1380,$K936,AH!$U$10+1))),NA()),NA())</f>
        <v/>
      </c>
      <c r="G936" s="34">
        <f>IFERROR(IF(ISNUMBER($A936),IF(AND(AH!$U$12=1,931+1=AH!$U$6),IF(AH!$U$4=0,"unavailable",INDEX('Market Data'!$AK$5:$AK$66,AH!$U$4)),IF(AH!$U$5=1,INDEX('Live History'!$D$5:$D$3004,MATCH($A936,'Live History'!$D$5:$D$3004,1)),INDEX('AH History'!$D$5:$GG$1380,$K936,AH!$U$10+2))),NA()),NA())</f>
        <v/>
      </c>
      <c r="H936" s="266">
        <f>IFERROR(IF(ISNUMBER($A936),IF(AND(AH!$U$12=1,931+1=AH!$U$6),IF(AH!$U$4=0,"unavailable",INDEX('Market Data'!$AP$5:$AP$66,AH!$U$4)),IF(AH!$U$5=1,INDEX('Live History'!$H$5:$H$3004,MATCH($A936,'Live History'!$G$5:$G$3004,1)),INDEX('AH History'!$B$5:$B$1380,$K936))),NA()),NA())</f>
        <v/>
      </c>
      <c r="I936" s="34">
        <f>IFERROR(IF(ISNUMBER($A936),IF(AND(AH!$U$12=1,931+1=AH!$U$6),TODAY(),IF(AH!$U$5=1,INDEX('Live History'!$G$5:$G$3004,MATCH($A936,'Live History'!$G$5:$G$3004,1)),INDEX('AH History'!$C$5:$C$1380,$K936))),NA()),NA())</f>
        <v/>
      </c>
      <c r="J936" s="32">
        <f>IFERROR(IF(AND($F936&gt;0,$H936&gt;0,$A936-$G936&lt;=10,$A936-$I936&lt;=5,$G936&gt;0,$I936&gt;0),$F936*$H936,NA()),NA())</f>
        <v/>
      </c>
      <c r="K936" s="15">
        <f>IF($A936="","",IF(AH!$U$5=1,IFERROR(MATCH($A936,'Live History'!$A$5:$A$3004,0),0),AH!$U$7+931))</f>
        <v/>
      </c>
      <c r="L936" s="15">
        <f>IF(ISNUMBER(A936),TEXT(A936,"dd-mmm-yy"),"")</f>
        <v/>
      </c>
    </row>
    <row r="937">
      <c r="A937" s="14">
        <f>IF(OR(AH!$U$4=0,932+1&gt;AH!$U$6,AND(AH!$M$5="Bloomberg",AH!$U$5=0)),"",IFERROR(IF(AND(AH!$U$12=1,932+1=AH!$U$6),TODAY(),IF(AH!$U$5=1,INDEX('Live History'!$A$5:$A$3004,AH!$U$7+932),INDEX('AH History'!$A$5:$A$1380,AH!$U$7+932))),""))</f>
        <v/>
      </c>
      <c r="B937" s="33">
        <f>IFERROR(IF(AH!$U$11=1,NA(),$J937/$E937-1),NA())</f>
        <v/>
      </c>
      <c r="C937" s="269">
        <f>IFERROR(100*$E937/$E$5,NA())</f>
        <v/>
      </c>
      <c r="D937" s="269">
        <f>IFERROR(100*$J937/$J$5,NA())</f>
        <v/>
      </c>
      <c r="E937" s="32">
        <f>IFERROR(IF(AND(ISNUMBER($A937),N(IF(AND(AH!$U$12=1,932+1=AH!$U$6),IF(AH!$U$4=0,"unavailable",INDEX('Market Data'!$AN$5:$AN$66,AH!$U$4)),IF(AH!$U$5=1,INDEX('Live History'!$B$5:$B$3004,$K937),INDEX('AH History'!$D$5:$GG$1380,$K937,AH!$U$10))))&gt;0),IF(AND(AH!$U$12=1,932+1=AH!$U$6),IF(AH!$U$4=0,"unavailable",INDEX('Market Data'!$AN$5:$AN$66,AH!$U$4)),IF(AH!$U$5=1,INDEX('Live History'!$B$5:$B$3004,$K937),INDEX('AH History'!$D$5:$GG$1380,$K937,AH!$U$10))),NA()),NA())</f>
        <v/>
      </c>
      <c r="F937" s="32">
        <f>IFERROR(IF(ISNUMBER($A937),IF(AND(AH!$U$12=1,932+1=AH!$U$6),IF(AH!$U$4=0,"unavailable",INDEX('Market Data'!$AO$5:$AO$66,AH!$U$4)),IF(AH!$U$5=1,INDEX('Live History'!$E$5:$E$3004,MATCH($A937,'Live History'!$D$5:$D$3004,1)),INDEX('AH History'!$D$5:$GG$1380,$K937,AH!$U$10+1))),NA()),NA())</f>
        <v/>
      </c>
      <c r="G937" s="34">
        <f>IFERROR(IF(ISNUMBER($A937),IF(AND(AH!$U$12=1,932+1=AH!$U$6),IF(AH!$U$4=0,"unavailable",INDEX('Market Data'!$AK$5:$AK$66,AH!$U$4)),IF(AH!$U$5=1,INDEX('Live History'!$D$5:$D$3004,MATCH($A937,'Live History'!$D$5:$D$3004,1)),INDEX('AH History'!$D$5:$GG$1380,$K937,AH!$U$10+2))),NA()),NA())</f>
        <v/>
      </c>
      <c r="H937" s="266">
        <f>IFERROR(IF(ISNUMBER($A937),IF(AND(AH!$U$12=1,932+1=AH!$U$6),IF(AH!$U$4=0,"unavailable",INDEX('Market Data'!$AP$5:$AP$66,AH!$U$4)),IF(AH!$U$5=1,INDEX('Live History'!$H$5:$H$3004,MATCH($A937,'Live History'!$G$5:$G$3004,1)),INDEX('AH History'!$B$5:$B$1380,$K937))),NA()),NA())</f>
        <v/>
      </c>
      <c r="I937" s="34">
        <f>IFERROR(IF(ISNUMBER($A937),IF(AND(AH!$U$12=1,932+1=AH!$U$6),TODAY(),IF(AH!$U$5=1,INDEX('Live History'!$G$5:$G$3004,MATCH($A937,'Live History'!$G$5:$G$3004,1)),INDEX('AH History'!$C$5:$C$1380,$K937))),NA()),NA())</f>
        <v/>
      </c>
      <c r="J937" s="32">
        <f>IFERROR(IF(AND($F937&gt;0,$H937&gt;0,$A937-$G937&lt;=10,$A937-$I937&lt;=5,$G937&gt;0,$I937&gt;0),$F937*$H937,NA()),NA())</f>
        <v/>
      </c>
      <c r="K937" s="15">
        <f>IF($A937="","",IF(AH!$U$5=1,IFERROR(MATCH($A937,'Live History'!$A$5:$A$3004,0),0),AH!$U$7+932))</f>
        <v/>
      </c>
      <c r="L937" s="15">
        <f>IF(ISNUMBER(A937),TEXT(A937,"dd-mmm-yy"),"")</f>
        <v/>
      </c>
    </row>
    <row r="938">
      <c r="A938" s="14">
        <f>IF(OR(AH!$U$4=0,933+1&gt;AH!$U$6,AND(AH!$M$5="Bloomberg",AH!$U$5=0)),"",IFERROR(IF(AND(AH!$U$12=1,933+1=AH!$U$6),TODAY(),IF(AH!$U$5=1,INDEX('Live History'!$A$5:$A$3004,AH!$U$7+933),INDEX('AH History'!$A$5:$A$1380,AH!$U$7+933))),""))</f>
        <v/>
      </c>
      <c r="B938" s="33">
        <f>IFERROR(IF(AH!$U$11=1,NA(),$J938/$E938-1),NA())</f>
        <v/>
      </c>
      <c r="C938" s="269">
        <f>IFERROR(100*$E938/$E$5,NA())</f>
        <v/>
      </c>
      <c r="D938" s="269">
        <f>IFERROR(100*$J938/$J$5,NA())</f>
        <v/>
      </c>
      <c r="E938" s="32">
        <f>IFERROR(IF(AND(ISNUMBER($A938),N(IF(AND(AH!$U$12=1,933+1=AH!$U$6),IF(AH!$U$4=0,"unavailable",INDEX('Market Data'!$AN$5:$AN$66,AH!$U$4)),IF(AH!$U$5=1,INDEX('Live History'!$B$5:$B$3004,$K938),INDEX('AH History'!$D$5:$GG$1380,$K938,AH!$U$10))))&gt;0),IF(AND(AH!$U$12=1,933+1=AH!$U$6),IF(AH!$U$4=0,"unavailable",INDEX('Market Data'!$AN$5:$AN$66,AH!$U$4)),IF(AH!$U$5=1,INDEX('Live History'!$B$5:$B$3004,$K938),INDEX('AH History'!$D$5:$GG$1380,$K938,AH!$U$10))),NA()),NA())</f>
        <v/>
      </c>
      <c r="F938" s="32">
        <f>IFERROR(IF(ISNUMBER($A938),IF(AND(AH!$U$12=1,933+1=AH!$U$6),IF(AH!$U$4=0,"unavailable",INDEX('Market Data'!$AO$5:$AO$66,AH!$U$4)),IF(AH!$U$5=1,INDEX('Live History'!$E$5:$E$3004,MATCH($A938,'Live History'!$D$5:$D$3004,1)),INDEX('AH History'!$D$5:$GG$1380,$K938,AH!$U$10+1))),NA()),NA())</f>
        <v/>
      </c>
      <c r="G938" s="34">
        <f>IFERROR(IF(ISNUMBER($A938),IF(AND(AH!$U$12=1,933+1=AH!$U$6),IF(AH!$U$4=0,"unavailable",INDEX('Market Data'!$AK$5:$AK$66,AH!$U$4)),IF(AH!$U$5=1,INDEX('Live History'!$D$5:$D$3004,MATCH($A938,'Live History'!$D$5:$D$3004,1)),INDEX('AH History'!$D$5:$GG$1380,$K938,AH!$U$10+2))),NA()),NA())</f>
        <v/>
      </c>
      <c r="H938" s="266">
        <f>IFERROR(IF(ISNUMBER($A938),IF(AND(AH!$U$12=1,933+1=AH!$U$6),IF(AH!$U$4=0,"unavailable",INDEX('Market Data'!$AP$5:$AP$66,AH!$U$4)),IF(AH!$U$5=1,INDEX('Live History'!$H$5:$H$3004,MATCH($A938,'Live History'!$G$5:$G$3004,1)),INDEX('AH History'!$B$5:$B$1380,$K938))),NA()),NA())</f>
        <v/>
      </c>
      <c r="I938" s="34">
        <f>IFERROR(IF(ISNUMBER($A938),IF(AND(AH!$U$12=1,933+1=AH!$U$6),TODAY(),IF(AH!$U$5=1,INDEX('Live History'!$G$5:$G$3004,MATCH($A938,'Live History'!$G$5:$G$3004,1)),INDEX('AH History'!$C$5:$C$1380,$K938))),NA()),NA())</f>
        <v/>
      </c>
      <c r="J938" s="32">
        <f>IFERROR(IF(AND($F938&gt;0,$H938&gt;0,$A938-$G938&lt;=10,$A938-$I938&lt;=5,$G938&gt;0,$I938&gt;0),$F938*$H938,NA()),NA())</f>
        <v/>
      </c>
      <c r="K938" s="15">
        <f>IF($A938="","",IF(AH!$U$5=1,IFERROR(MATCH($A938,'Live History'!$A$5:$A$3004,0),0),AH!$U$7+933))</f>
        <v/>
      </c>
      <c r="L938" s="15">
        <f>IF(ISNUMBER(A938),TEXT(A938,"dd-mmm-yy"),"")</f>
        <v/>
      </c>
    </row>
    <row r="939">
      <c r="A939" s="14">
        <f>IF(OR(AH!$U$4=0,934+1&gt;AH!$U$6,AND(AH!$M$5="Bloomberg",AH!$U$5=0)),"",IFERROR(IF(AND(AH!$U$12=1,934+1=AH!$U$6),TODAY(),IF(AH!$U$5=1,INDEX('Live History'!$A$5:$A$3004,AH!$U$7+934),INDEX('AH History'!$A$5:$A$1380,AH!$U$7+934))),""))</f>
        <v/>
      </c>
      <c r="B939" s="33">
        <f>IFERROR(IF(AH!$U$11=1,NA(),$J939/$E939-1),NA())</f>
        <v/>
      </c>
      <c r="C939" s="269">
        <f>IFERROR(100*$E939/$E$5,NA())</f>
        <v/>
      </c>
      <c r="D939" s="269">
        <f>IFERROR(100*$J939/$J$5,NA())</f>
        <v/>
      </c>
      <c r="E939" s="32">
        <f>IFERROR(IF(AND(ISNUMBER($A939),N(IF(AND(AH!$U$12=1,934+1=AH!$U$6),IF(AH!$U$4=0,"unavailable",INDEX('Market Data'!$AN$5:$AN$66,AH!$U$4)),IF(AH!$U$5=1,INDEX('Live History'!$B$5:$B$3004,$K939),INDEX('AH History'!$D$5:$GG$1380,$K939,AH!$U$10))))&gt;0),IF(AND(AH!$U$12=1,934+1=AH!$U$6),IF(AH!$U$4=0,"unavailable",INDEX('Market Data'!$AN$5:$AN$66,AH!$U$4)),IF(AH!$U$5=1,INDEX('Live History'!$B$5:$B$3004,$K939),INDEX('AH History'!$D$5:$GG$1380,$K939,AH!$U$10))),NA()),NA())</f>
        <v/>
      </c>
      <c r="F939" s="32">
        <f>IFERROR(IF(ISNUMBER($A939),IF(AND(AH!$U$12=1,934+1=AH!$U$6),IF(AH!$U$4=0,"unavailable",INDEX('Market Data'!$AO$5:$AO$66,AH!$U$4)),IF(AH!$U$5=1,INDEX('Live History'!$E$5:$E$3004,MATCH($A939,'Live History'!$D$5:$D$3004,1)),INDEX('AH History'!$D$5:$GG$1380,$K939,AH!$U$10+1))),NA()),NA())</f>
        <v/>
      </c>
      <c r="G939" s="34">
        <f>IFERROR(IF(ISNUMBER($A939),IF(AND(AH!$U$12=1,934+1=AH!$U$6),IF(AH!$U$4=0,"unavailable",INDEX('Market Data'!$AK$5:$AK$66,AH!$U$4)),IF(AH!$U$5=1,INDEX('Live History'!$D$5:$D$3004,MATCH($A939,'Live History'!$D$5:$D$3004,1)),INDEX('AH History'!$D$5:$GG$1380,$K939,AH!$U$10+2))),NA()),NA())</f>
        <v/>
      </c>
      <c r="H939" s="266">
        <f>IFERROR(IF(ISNUMBER($A939),IF(AND(AH!$U$12=1,934+1=AH!$U$6),IF(AH!$U$4=0,"unavailable",INDEX('Market Data'!$AP$5:$AP$66,AH!$U$4)),IF(AH!$U$5=1,INDEX('Live History'!$H$5:$H$3004,MATCH($A939,'Live History'!$G$5:$G$3004,1)),INDEX('AH History'!$B$5:$B$1380,$K939))),NA()),NA())</f>
        <v/>
      </c>
      <c r="I939" s="34">
        <f>IFERROR(IF(ISNUMBER($A939),IF(AND(AH!$U$12=1,934+1=AH!$U$6),TODAY(),IF(AH!$U$5=1,INDEX('Live History'!$G$5:$G$3004,MATCH($A939,'Live History'!$G$5:$G$3004,1)),INDEX('AH History'!$C$5:$C$1380,$K939))),NA()),NA())</f>
        <v/>
      </c>
      <c r="J939" s="32">
        <f>IFERROR(IF(AND($F939&gt;0,$H939&gt;0,$A939-$G939&lt;=10,$A939-$I939&lt;=5,$G939&gt;0,$I939&gt;0),$F939*$H939,NA()),NA())</f>
        <v/>
      </c>
      <c r="K939" s="15">
        <f>IF($A939="","",IF(AH!$U$5=1,IFERROR(MATCH($A939,'Live History'!$A$5:$A$3004,0),0),AH!$U$7+934))</f>
        <v/>
      </c>
      <c r="L939" s="15">
        <f>IF(ISNUMBER(A939),TEXT(A939,"dd-mmm-yy"),"")</f>
        <v/>
      </c>
    </row>
    <row r="940">
      <c r="A940" s="14">
        <f>IF(OR(AH!$U$4=0,935+1&gt;AH!$U$6,AND(AH!$M$5="Bloomberg",AH!$U$5=0)),"",IFERROR(IF(AND(AH!$U$12=1,935+1=AH!$U$6),TODAY(),IF(AH!$U$5=1,INDEX('Live History'!$A$5:$A$3004,AH!$U$7+935),INDEX('AH History'!$A$5:$A$1380,AH!$U$7+935))),""))</f>
        <v/>
      </c>
      <c r="B940" s="33">
        <f>IFERROR(IF(AH!$U$11=1,NA(),$J940/$E940-1),NA())</f>
        <v/>
      </c>
      <c r="C940" s="269">
        <f>IFERROR(100*$E940/$E$5,NA())</f>
        <v/>
      </c>
      <c r="D940" s="269">
        <f>IFERROR(100*$J940/$J$5,NA())</f>
        <v/>
      </c>
      <c r="E940" s="32">
        <f>IFERROR(IF(AND(ISNUMBER($A940),N(IF(AND(AH!$U$12=1,935+1=AH!$U$6),IF(AH!$U$4=0,"unavailable",INDEX('Market Data'!$AN$5:$AN$66,AH!$U$4)),IF(AH!$U$5=1,INDEX('Live History'!$B$5:$B$3004,$K940),INDEX('AH History'!$D$5:$GG$1380,$K940,AH!$U$10))))&gt;0),IF(AND(AH!$U$12=1,935+1=AH!$U$6),IF(AH!$U$4=0,"unavailable",INDEX('Market Data'!$AN$5:$AN$66,AH!$U$4)),IF(AH!$U$5=1,INDEX('Live History'!$B$5:$B$3004,$K940),INDEX('AH History'!$D$5:$GG$1380,$K940,AH!$U$10))),NA()),NA())</f>
        <v/>
      </c>
      <c r="F940" s="32">
        <f>IFERROR(IF(ISNUMBER($A940),IF(AND(AH!$U$12=1,935+1=AH!$U$6),IF(AH!$U$4=0,"unavailable",INDEX('Market Data'!$AO$5:$AO$66,AH!$U$4)),IF(AH!$U$5=1,INDEX('Live History'!$E$5:$E$3004,MATCH($A940,'Live History'!$D$5:$D$3004,1)),INDEX('AH History'!$D$5:$GG$1380,$K940,AH!$U$10+1))),NA()),NA())</f>
        <v/>
      </c>
      <c r="G940" s="34">
        <f>IFERROR(IF(ISNUMBER($A940),IF(AND(AH!$U$12=1,935+1=AH!$U$6),IF(AH!$U$4=0,"unavailable",INDEX('Market Data'!$AK$5:$AK$66,AH!$U$4)),IF(AH!$U$5=1,INDEX('Live History'!$D$5:$D$3004,MATCH($A940,'Live History'!$D$5:$D$3004,1)),INDEX('AH History'!$D$5:$GG$1380,$K940,AH!$U$10+2))),NA()),NA())</f>
        <v/>
      </c>
      <c r="H940" s="266">
        <f>IFERROR(IF(ISNUMBER($A940),IF(AND(AH!$U$12=1,935+1=AH!$U$6),IF(AH!$U$4=0,"unavailable",INDEX('Market Data'!$AP$5:$AP$66,AH!$U$4)),IF(AH!$U$5=1,INDEX('Live History'!$H$5:$H$3004,MATCH($A940,'Live History'!$G$5:$G$3004,1)),INDEX('AH History'!$B$5:$B$1380,$K940))),NA()),NA())</f>
        <v/>
      </c>
      <c r="I940" s="34">
        <f>IFERROR(IF(ISNUMBER($A940),IF(AND(AH!$U$12=1,935+1=AH!$U$6),TODAY(),IF(AH!$U$5=1,INDEX('Live History'!$G$5:$G$3004,MATCH($A940,'Live History'!$G$5:$G$3004,1)),INDEX('AH History'!$C$5:$C$1380,$K940))),NA()),NA())</f>
        <v/>
      </c>
      <c r="J940" s="32">
        <f>IFERROR(IF(AND($F940&gt;0,$H940&gt;0,$A940-$G940&lt;=10,$A940-$I940&lt;=5,$G940&gt;0,$I940&gt;0),$F940*$H940,NA()),NA())</f>
        <v/>
      </c>
      <c r="K940" s="15">
        <f>IF($A940="","",IF(AH!$U$5=1,IFERROR(MATCH($A940,'Live History'!$A$5:$A$3004,0),0),AH!$U$7+935))</f>
        <v/>
      </c>
      <c r="L940" s="15">
        <f>IF(ISNUMBER(A940),TEXT(A940,"dd-mmm-yy"),"")</f>
        <v/>
      </c>
    </row>
    <row r="941">
      <c r="A941" s="14">
        <f>IF(OR(AH!$U$4=0,936+1&gt;AH!$U$6,AND(AH!$M$5="Bloomberg",AH!$U$5=0)),"",IFERROR(IF(AND(AH!$U$12=1,936+1=AH!$U$6),TODAY(),IF(AH!$U$5=1,INDEX('Live History'!$A$5:$A$3004,AH!$U$7+936),INDEX('AH History'!$A$5:$A$1380,AH!$U$7+936))),""))</f>
        <v/>
      </c>
      <c r="B941" s="33">
        <f>IFERROR(IF(AH!$U$11=1,NA(),$J941/$E941-1),NA())</f>
        <v/>
      </c>
      <c r="C941" s="269">
        <f>IFERROR(100*$E941/$E$5,NA())</f>
        <v/>
      </c>
      <c r="D941" s="269">
        <f>IFERROR(100*$J941/$J$5,NA())</f>
        <v/>
      </c>
      <c r="E941" s="32">
        <f>IFERROR(IF(AND(ISNUMBER($A941),N(IF(AND(AH!$U$12=1,936+1=AH!$U$6),IF(AH!$U$4=0,"unavailable",INDEX('Market Data'!$AN$5:$AN$66,AH!$U$4)),IF(AH!$U$5=1,INDEX('Live History'!$B$5:$B$3004,$K941),INDEX('AH History'!$D$5:$GG$1380,$K941,AH!$U$10))))&gt;0),IF(AND(AH!$U$12=1,936+1=AH!$U$6),IF(AH!$U$4=0,"unavailable",INDEX('Market Data'!$AN$5:$AN$66,AH!$U$4)),IF(AH!$U$5=1,INDEX('Live History'!$B$5:$B$3004,$K941),INDEX('AH History'!$D$5:$GG$1380,$K941,AH!$U$10))),NA()),NA())</f>
        <v/>
      </c>
      <c r="F941" s="32">
        <f>IFERROR(IF(ISNUMBER($A941),IF(AND(AH!$U$12=1,936+1=AH!$U$6),IF(AH!$U$4=0,"unavailable",INDEX('Market Data'!$AO$5:$AO$66,AH!$U$4)),IF(AH!$U$5=1,INDEX('Live History'!$E$5:$E$3004,MATCH($A941,'Live History'!$D$5:$D$3004,1)),INDEX('AH History'!$D$5:$GG$1380,$K941,AH!$U$10+1))),NA()),NA())</f>
        <v/>
      </c>
      <c r="G941" s="34">
        <f>IFERROR(IF(ISNUMBER($A941),IF(AND(AH!$U$12=1,936+1=AH!$U$6),IF(AH!$U$4=0,"unavailable",INDEX('Market Data'!$AK$5:$AK$66,AH!$U$4)),IF(AH!$U$5=1,INDEX('Live History'!$D$5:$D$3004,MATCH($A941,'Live History'!$D$5:$D$3004,1)),INDEX('AH History'!$D$5:$GG$1380,$K941,AH!$U$10+2))),NA()),NA())</f>
        <v/>
      </c>
      <c r="H941" s="266">
        <f>IFERROR(IF(ISNUMBER($A941),IF(AND(AH!$U$12=1,936+1=AH!$U$6),IF(AH!$U$4=0,"unavailable",INDEX('Market Data'!$AP$5:$AP$66,AH!$U$4)),IF(AH!$U$5=1,INDEX('Live History'!$H$5:$H$3004,MATCH($A941,'Live History'!$G$5:$G$3004,1)),INDEX('AH History'!$B$5:$B$1380,$K941))),NA()),NA())</f>
        <v/>
      </c>
      <c r="I941" s="34">
        <f>IFERROR(IF(ISNUMBER($A941),IF(AND(AH!$U$12=1,936+1=AH!$U$6),TODAY(),IF(AH!$U$5=1,INDEX('Live History'!$G$5:$G$3004,MATCH($A941,'Live History'!$G$5:$G$3004,1)),INDEX('AH History'!$C$5:$C$1380,$K941))),NA()),NA())</f>
        <v/>
      </c>
      <c r="J941" s="32">
        <f>IFERROR(IF(AND($F941&gt;0,$H941&gt;0,$A941-$G941&lt;=10,$A941-$I941&lt;=5,$G941&gt;0,$I941&gt;0),$F941*$H941,NA()),NA())</f>
        <v/>
      </c>
      <c r="K941" s="15">
        <f>IF($A941="","",IF(AH!$U$5=1,IFERROR(MATCH($A941,'Live History'!$A$5:$A$3004,0),0),AH!$U$7+936))</f>
        <v/>
      </c>
      <c r="L941" s="15">
        <f>IF(ISNUMBER(A941),TEXT(A941,"dd-mmm-yy"),"")</f>
        <v/>
      </c>
    </row>
    <row r="942">
      <c r="A942" s="14">
        <f>IF(OR(AH!$U$4=0,937+1&gt;AH!$U$6,AND(AH!$M$5="Bloomberg",AH!$U$5=0)),"",IFERROR(IF(AND(AH!$U$12=1,937+1=AH!$U$6),TODAY(),IF(AH!$U$5=1,INDEX('Live History'!$A$5:$A$3004,AH!$U$7+937),INDEX('AH History'!$A$5:$A$1380,AH!$U$7+937))),""))</f>
        <v/>
      </c>
      <c r="B942" s="33">
        <f>IFERROR(IF(AH!$U$11=1,NA(),$J942/$E942-1),NA())</f>
        <v/>
      </c>
      <c r="C942" s="269">
        <f>IFERROR(100*$E942/$E$5,NA())</f>
        <v/>
      </c>
      <c r="D942" s="269">
        <f>IFERROR(100*$J942/$J$5,NA())</f>
        <v/>
      </c>
      <c r="E942" s="32">
        <f>IFERROR(IF(AND(ISNUMBER($A942),N(IF(AND(AH!$U$12=1,937+1=AH!$U$6),IF(AH!$U$4=0,"unavailable",INDEX('Market Data'!$AN$5:$AN$66,AH!$U$4)),IF(AH!$U$5=1,INDEX('Live History'!$B$5:$B$3004,$K942),INDEX('AH History'!$D$5:$GG$1380,$K942,AH!$U$10))))&gt;0),IF(AND(AH!$U$12=1,937+1=AH!$U$6),IF(AH!$U$4=0,"unavailable",INDEX('Market Data'!$AN$5:$AN$66,AH!$U$4)),IF(AH!$U$5=1,INDEX('Live History'!$B$5:$B$3004,$K942),INDEX('AH History'!$D$5:$GG$1380,$K942,AH!$U$10))),NA()),NA())</f>
        <v/>
      </c>
      <c r="F942" s="32">
        <f>IFERROR(IF(ISNUMBER($A942),IF(AND(AH!$U$12=1,937+1=AH!$U$6),IF(AH!$U$4=0,"unavailable",INDEX('Market Data'!$AO$5:$AO$66,AH!$U$4)),IF(AH!$U$5=1,INDEX('Live History'!$E$5:$E$3004,MATCH($A942,'Live History'!$D$5:$D$3004,1)),INDEX('AH History'!$D$5:$GG$1380,$K942,AH!$U$10+1))),NA()),NA())</f>
        <v/>
      </c>
      <c r="G942" s="34">
        <f>IFERROR(IF(ISNUMBER($A942),IF(AND(AH!$U$12=1,937+1=AH!$U$6),IF(AH!$U$4=0,"unavailable",INDEX('Market Data'!$AK$5:$AK$66,AH!$U$4)),IF(AH!$U$5=1,INDEX('Live History'!$D$5:$D$3004,MATCH($A942,'Live History'!$D$5:$D$3004,1)),INDEX('AH History'!$D$5:$GG$1380,$K942,AH!$U$10+2))),NA()),NA())</f>
        <v/>
      </c>
      <c r="H942" s="266">
        <f>IFERROR(IF(ISNUMBER($A942),IF(AND(AH!$U$12=1,937+1=AH!$U$6),IF(AH!$U$4=0,"unavailable",INDEX('Market Data'!$AP$5:$AP$66,AH!$U$4)),IF(AH!$U$5=1,INDEX('Live History'!$H$5:$H$3004,MATCH($A942,'Live History'!$G$5:$G$3004,1)),INDEX('AH History'!$B$5:$B$1380,$K942))),NA()),NA())</f>
        <v/>
      </c>
      <c r="I942" s="34">
        <f>IFERROR(IF(ISNUMBER($A942),IF(AND(AH!$U$12=1,937+1=AH!$U$6),TODAY(),IF(AH!$U$5=1,INDEX('Live History'!$G$5:$G$3004,MATCH($A942,'Live History'!$G$5:$G$3004,1)),INDEX('AH History'!$C$5:$C$1380,$K942))),NA()),NA())</f>
        <v/>
      </c>
      <c r="J942" s="32">
        <f>IFERROR(IF(AND($F942&gt;0,$H942&gt;0,$A942-$G942&lt;=10,$A942-$I942&lt;=5,$G942&gt;0,$I942&gt;0),$F942*$H942,NA()),NA())</f>
        <v/>
      </c>
      <c r="K942" s="15">
        <f>IF($A942="","",IF(AH!$U$5=1,IFERROR(MATCH($A942,'Live History'!$A$5:$A$3004,0),0),AH!$U$7+937))</f>
        <v/>
      </c>
      <c r="L942" s="15">
        <f>IF(ISNUMBER(A942),TEXT(A942,"dd-mmm-yy"),"")</f>
        <v/>
      </c>
    </row>
    <row r="943">
      <c r="A943" s="14">
        <f>IF(OR(AH!$U$4=0,938+1&gt;AH!$U$6,AND(AH!$M$5="Bloomberg",AH!$U$5=0)),"",IFERROR(IF(AND(AH!$U$12=1,938+1=AH!$U$6),TODAY(),IF(AH!$U$5=1,INDEX('Live History'!$A$5:$A$3004,AH!$U$7+938),INDEX('AH History'!$A$5:$A$1380,AH!$U$7+938))),""))</f>
        <v/>
      </c>
      <c r="B943" s="33">
        <f>IFERROR(IF(AH!$U$11=1,NA(),$J943/$E943-1),NA())</f>
        <v/>
      </c>
      <c r="C943" s="269">
        <f>IFERROR(100*$E943/$E$5,NA())</f>
        <v/>
      </c>
      <c r="D943" s="269">
        <f>IFERROR(100*$J943/$J$5,NA())</f>
        <v/>
      </c>
      <c r="E943" s="32">
        <f>IFERROR(IF(AND(ISNUMBER($A943),N(IF(AND(AH!$U$12=1,938+1=AH!$U$6),IF(AH!$U$4=0,"unavailable",INDEX('Market Data'!$AN$5:$AN$66,AH!$U$4)),IF(AH!$U$5=1,INDEX('Live History'!$B$5:$B$3004,$K943),INDEX('AH History'!$D$5:$GG$1380,$K943,AH!$U$10))))&gt;0),IF(AND(AH!$U$12=1,938+1=AH!$U$6),IF(AH!$U$4=0,"unavailable",INDEX('Market Data'!$AN$5:$AN$66,AH!$U$4)),IF(AH!$U$5=1,INDEX('Live History'!$B$5:$B$3004,$K943),INDEX('AH History'!$D$5:$GG$1380,$K943,AH!$U$10))),NA()),NA())</f>
        <v/>
      </c>
      <c r="F943" s="32">
        <f>IFERROR(IF(ISNUMBER($A943),IF(AND(AH!$U$12=1,938+1=AH!$U$6),IF(AH!$U$4=0,"unavailable",INDEX('Market Data'!$AO$5:$AO$66,AH!$U$4)),IF(AH!$U$5=1,INDEX('Live History'!$E$5:$E$3004,MATCH($A943,'Live History'!$D$5:$D$3004,1)),INDEX('AH History'!$D$5:$GG$1380,$K943,AH!$U$10+1))),NA()),NA())</f>
        <v/>
      </c>
      <c r="G943" s="34">
        <f>IFERROR(IF(ISNUMBER($A943),IF(AND(AH!$U$12=1,938+1=AH!$U$6),IF(AH!$U$4=0,"unavailable",INDEX('Market Data'!$AK$5:$AK$66,AH!$U$4)),IF(AH!$U$5=1,INDEX('Live History'!$D$5:$D$3004,MATCH($A943,'Live History'!$D$5:$D$3004,1)),INDEX('AH History'!$D$5:$GG$1380,$K943,AH!$U$10+2))),NA()),NA())</f>
        <v/>
      </c>
      <c r="H943" s="266">
        <f>IFERROR(IF(ISNUMBER($A943),IF(AND(AH!$U$12=1,938+1=AH!$U$6),IF(AH!$U$4=0,"unavailable",INDEX('Market Data'!$AP$5:$AP$66,AH!$U$4)),IF(AH!$U$5=1,INDEX('Live History'!$H$5:$H$3004,MATCH($A943,'Live History'!$G$5:$G$3004,1)),INDEX('AH History'!$B$5:$B$1380,$K943))),NA()),NA())</f>
        <v/>
      </c>
      <c r="I943" s="34">
        <f>IFERROR(IF(ISNUMBER($A943),IF(AND(AH!$U$12=1,938+1=AH!$U$6),TODAY(),IF(AH!$U$5=1,INDEX('Live History'!$G$5:$G$3004,MATCH($A943,'Live History'!$G$5:$G$3004,1)),INDEX('AH History'!$C$5:$C$1380,$K943))),NA()),NA())</f>
        <v/>
      </c>
      <c r="J943" s="32">
        <f>IFERROR(IF(AND($F943&gt;0,$H943&gt;0,$A943-$G943&lt;=10,$A943-$I943&lt;=5,$G943&gt;0,$I943&gt;0),$F943*$H943,NA()),NA())</f>
        <v/>
      </c>
      <c r="K943" s="15">
        <f>IF($A943="","",IF(AH!$U$5=1,IFERROR(MATCH($A943,'Live History'!$A$5:$A$3004,0),0),AH!$U$7+938))</f>
        <v/>
      </c>
      <c r="L943" s="15">
        <f>IF(ISNUMBER(A943),TEXT(A943,"dd-mmm-yy"),"")</f>
        <v/>
      </c>
    </row>
    <row r="944">
      <c r="A944" s="14">
        <f>IF(OR(AH!$U$4=0,939+1&gt;AH!$U$6,AND(AH!$M$5="Bloomberg",AH!$U$5=0)),"",IFERROR(IF(AND(AH!$U$12=1,939+1=AH!$U$6),TODAY(),IF(AH!$U$5=1,INDEX('Live History'!$A$5:$A$3004,AH!$U$7+939),INDEX('AH History'!$A$5:$A$1380,AH!$U$7+939))),""))</f>
        <v/>
      </c>
      <c r="B944" s="33">
        <f>IFERROR(IF(AH!$U$11=1,NA(),$J944/$E944-1),NA())</f>
        <v/>
      </c>
      <c r="C944" s="269">
        <f>IFERROR(100*$E944/$E$5,NA())</f>
        <v/>
      </c>
      <c r="D944" s="269">
        <f>IFERROR(100*$J944/$J$5,NA())</f>
        <v/>
      </c>
      <c r="E944" s="32">
        <f>IFERROR(IF(AND(ISNUMBER($A944),N(IF(AND(AH!$U$12=1,939+1=AH!$U$6),IF(AH!$U$4=0,"unavailable",INDEX('Market Data'!$AN$5:$AN$66,AH!$U$4)),IF(AH!$U$5=1,INDEX('Live History'!$B$5:$B$3004,$K944),INDEX('AH History'!$D$5:$GG$1380,$K944,AH!$U$10))))&gt;0),IF(AND(AH!$U$12=1,939+1=AH!$U$6),IF(AH!$U$4=0,"unavailable",INDEX('Market Data'!$AN$5:$AN$66,AH!$U$4)),IF(AH!$U$5=1,INDEX('Live History'!$B$5:$B$3004,$K944),INDEX('AH History'!$D$5:$GG$1380,$K944,AH!$U$10))),NA()),NA())</f>
        <v/>
      </c>
      <c r="F944" s="32">
        <f>IFERROR(IF(ISNUMBER($A944),IF(AND(AH!$U$12=1,939+1=AH!$U$6),IF(AH!$U$4=0,"unavailable",INDEX('Market Data'!$AO$5:$AO$66,AH!$U$4)),IF(AH!$U$5=1,INDEX('Live History'!$E$5:$E$3004,MATCH($A944,'Live History'!$D$5:$D$3004,1)),INDEX('AH History'!$D$5:$GG$1380,$K944,AH!$U$10+1))),NA()),NA())</f>
        <v/>
      </c>
      <c r="G944" s="34">
        <f>IFERROR(IF(ISNUMBER($A944),IF(AND(AH!$U$12=1,939+1=AH!$U$6),IF(AH!$U$4=0,"unavailable",INDEX('Market Data'!$AK$5:$AK$66,AH!$U$4)),IF(AH!$U$5=1,INDEX('Live History'!$D$5:$D$3004,MATCH($A944,'Live History'!$D$5:$D$3004,1)),INDEX('AH History'!$D$5:$GG$1380,$K944,AH!$U$10+2))),NA()),NA())</f>
        <v/>
      </c>
      <c r="H944" s="266">
        <f>IFERROR(IF(ISNUMBER($A944),IF(AND(AH!$U$12=1,939+1=AH!$U$6),IF(AH!$U$4=0,"unavailable",INDEX('Market Data'!$AP$5:$AP$66,AH!$U$4)),IF(AH!$U$5=1,INDEX('Live History'!$H$5:$H$3004,MATCH($A944,'Live History'!$G$5:$G$3004,1)),INDEX('AH History'!$B$5:$B$1380,$K944))),NA()),NA())</f>
        <v/>
      </c>
      <c r="I944" s="34">
        <f>IFERROR(IF(ISNUMBER($A944),IF(AND(AH!$U$12=1,939+1=AH!$U$6),TODAY(),IF(AH!$U$5=1,INDEX('Live History'!$G$5:$G$3004,MATCH($A944,'Live History'!$G$5:$G$3004,1)),INDEX('AH History'!$C$5:$C$1380,$K944))),NA()),NA())</f>
        <v/>
      </c>
      <c r="J944" s="32">
        <f>IFERROR(IF(AND($F944&gt;0,$H944&gt;0,$A944-$G944&lt;=10,$A944-$I944&lt;=5,$G944&gt;0,$I944&gt;0),$F944*$H944,NA()),NA())</f>
        <v/>
      </c>
      <c r="K944" s="15">
        <f>IF($A944="","",IF(AH!$U$5=1,IFERROR(MATCH($A944,'Live History'!$A$5:$A$3004,0),0),AH!$U$7+939))</f>
        <v/>
      </c>
      <c r="L944" s="15">
        <f>IF(ISNUMBER(A944),TEXT(A944,"dd-mmm-yy"),"")</f>
        <v/>
      </c>
    </row>
    <row r="945">
      <c r="A945" s="14">
        <f>IF(OR(AH!$U$4=0,940+1&gt;AH!$U$6,AND(AH!$M$5="Bloomberg",AH!$U$5=0)),"",IFERROR(IF(AND(AH!$U$12=1,940+1=AH!$U$6),TODAY(),IF(AH!$U$5=1,INDEX('Live History'!$A$5:$A$3004,AH!$U$7+940),INDEX('AH History'!$A$5:$A$1380,AH!$U$7+940))),""))</f>
        <v/>
      </c>
      <c r="B945" s="33">
        <f>IFERROR(IF(AH!$U$11=1,NA(),$J945/$E945-1),NA())</f>
        <v/>
      </c>
      <c r="C945" s="269">
        <f>IFERROR(100*$E945/$E$5,NA())</f>
        <v/>
      </c>
      <c r="D945" s="269">
        <f>IFERROR(100*$J945/$J$5,NA())</f>
        <v/>
      </c>
      <c r="E945" s="32">
        <f>IFERROR(IF(AND(ISNUMBER($A945),N(IF(AND(AH!$U$12=1,940+1=AH!$U$6),IF(AH!$U$4=0,"unavailable",INDEX('Market Data'!$AN$5:$AN$66,AH!$U$4)),IF(AH!$U$5=1,INDEX('Live History'!$B$5:$B$3004,$K945),INDEX('AH History'!$D$5:$GG$1380,$K945,AH!$U$10))))&gt;0),IF(AND(AH!$U$12=1,940+1=AH!$U$6),IF(AH!$U$4=0,"unavailable",INDEX('Market Data'!$AN$5:$AN$66,AH!$U$4)),IF(AH!$U$5=1,INDEX('Live History'!$B$5:$B$3004,$K945),INDEX('AH History'!$D$5:$GG$1380,$K945,AH!$U$10))),NA()),NA())</f>
        <v/>
      </c>
      <c r="F945" s="32">
        <f>IFERROR(IF(ISNUMBER($A945),IF(AND(AH!$U$12=1,940+1=AH!$U$6),IF(AH!$U$4=0,"unavailable",INDEX('Market Data'!$AO$5:$AO$66,AH!$U$4)),IF(AH!$U$5=1,INDEX('Live History'!$E$5:$E$3004,MATCH($A945,'Live History'!$D$5:$D$3004,1)),INDEX('AH History'!$D$5:$GG$1380,$K945,AH!$U$10+1))),NA()),NA())</f>
        <v/>
      </c>
      <c r="G945" s="34">
        <f>IFERROR(IF(ISNUMBER($A945),IF(AND(AH!$U$12=1,940+1=AH!$U$6),IF(AH!$U$4=0,"unavailable",INDEX('Market Data'!$AK$5:$AK$66,AH!$U$4)),IF(AH!$U$5=1,INDEX('Live History'!$D$5:$D$3004,MATCH($A945,'Live History'!$D$5:$D$3004,1)),INDEX('AH History'!$D$5:$GG$1380,$K945,AH!$U$10+2))),NA()),NA())</f>
        <v/>
      </c>
      <c r="H945" s="266">
        <f>IFERROR(IF(ISNUMBER($A945),IF(AND(AH!$U$12=1,940+1=AH!$U$6),IF(AH!$U$4=0,"unavailable",INDEX('Market Data'!$AP$5:$AP$66,AH!$U$4)),IF(AH!$U$5=1,INDEX('Live History'!$H$5:$H$3004,MATCH($A945,'Live History'!$G$5:$G$3004,1)),INDEX('AH History'!$B$5:$B$1380,$K945))),NA()),NA())</f>
        <v/>
      </c>
      <c r="I945" s="34">
        <f>IFERROR(IF(ISNUMBER($A945),IF(AND(AH!$U$12=1,940+1=AH!$U$6),TODAY(),IF(AH!$U$5=1,INDEX('Live History'!$G$5:$G$3004,MATCH($A945,'Live History'!$G$5:$G$3004,1)),INDEX('AH History'!$C$5:$C$1380,$K945))),NA()),NA())</f>
        <v/>
      </c>
      <c r="J945" s="32">
        <f>IFERROR(IF(AND($F945&gt;0,$H945&gt;0,$A945-$G945&lt;=10,$A945-$I945&lt;=5,$G945&gt;0,$I945&gt;0),$F945*$H945,NA()),NA())</f>
        <v/>
      </c>
      <c r="K945" s="15">
        <f>IF($A945="","",IF(AH!$U$5=1,IFERROR(MATCH($A945,'Live History'!$A$5:$A$3004,0),0),AH!$U$7+940))</f>
        <v/>
      </c>
      <c r="L945" s="15">
        <f>IF(ISNUMBER(A945),TEXT(A945,"dd-mmm-yy"),"")</f>
        <v/>
      </c>
    </row>
    <row r="946">
      <c r="A946" s="14">
        <f>IF(OR(AH!$U$4=0,941+1&gt;AH!$U$6,AND(AH!$M$5="Bloomberg",AH!$U$5=0)),"",IFERROR(IF(AND(AH!$U$12=1,941+1=AH!$U$6),TODAY(),IF(AH!$U$5=1,INDEX('Live History'!$A$5:$A$3004,AH!$U$7+941),INDEX('AH History'!$A$5:$A$1380,AH!$U$7+941))),""))</f>
        <v/>
      </c>
      <c r="B946" s="33">
        <f>IFERROR(IF(AH!$U$11=1,NA(),$J946/$E946-1),NA())</f>
        <v/>
      </c>
      <c r="C946" s="269">
        <f>IFERROR(100*$E946/$E$5,NA())</f>
        <v/>
      </c>
      <c r="D946" s="269">
        <f>IFERROR(100*$J946/$J$5,NA())</f>
        <v/>
      </c>
      <c r="E946" s="32">
        <f>IFERROR(IF(AND(ISNUMBER($A946),N(IF(AND(AH!$U$12=1,941+1=AH!$U$6),IF(AH!$U$4=0,"unavailable",INDEX('Market Data'!$AN$5:$AN$66,AH!$U$4)),IF(AH!$U$5=1,INDEX('Live History'!$B$5:$B$3004,$K946),INDEX('AH History'!$D$5:$GG$1380,$K946,AH!$U$10))))&gt;0),IF(AND(AH!$U$12=1,941+1=AH!$U$6),IF(AH!$U$4=0,"unavailable",INDEX('Market Data'!$AN$5:$AN$66,AH!$U$4)),IF(AH!$U$5=1,INDEX('Live History'!$B$5:$B$3004,$K946),INDEX('AH History'!$D$5:$GG$1380,$K946,AH!$U$10))),NA()),NA())</f>
        <v/>
      </c>
      <c r="F946" s="32">
        <f>IFERROR(IF(ISNUMBER($A946),IF(AND(AH!$U$12=1,941+1=AH!$U$6),IF(AH!$U$4=0,"unavailable",INDEX('Market Data'!$AO$5:$AO$66,AH!$U$4)),IF(AH!$U$5=1,INDEX('Live History'!$E$5:$E$3004,MATCH($A946,'Live History'!$D$5:$D$3004,1)),INDEX('AH History'!$D$5:$GG$1380,$K946,AH!$U$10+1))),NA()),NA())</f>
        <v/>
      </c>
      <c r="G946" s="34">
        <f>IFERROR(IF(ISNUMBER($A946),IF(AND(AH!$U$12=1,941+1=AH!$U$6),IF(AH!$U$4=0,"unavailable",INDEX('Market Data'!$AK$5:$AK$66,AH!$U$4)),IF(AH!$U$5=1,INDEX('Live History'!$D$5:$D$3004,MATCH($A946,'Live History'!$D$5:$D$3004,1)),INDEX('AH History'!$D$5:$GG$1380,$K946,AH!$U$10+2))),NA()),NA())</f>
        <v/>
      </c>
      <c r="H946" s="266">
        <f>IFERROR(IF(ISNUMBER($A946),IF(AND(AH!$U$12=1,941+1=AH!$U$6),IF(AH!$U$4=0,"unavailable",INDEX('Market Data'!$AP$5:$AP$66,AH!$U$4)),IF(AH!$U$5=1,INDEX('Live History'!$H$5:$H$3004,MATCH($A946,'Live History'!$G$5:$G$3004,1)),INDEX('AH History'!$B$5:$B$1380,$K946))),NA()),NA())</f>
        <v/>
      </c>
      <c r="I946" s="34">
        <f>IFERROR(IF(ISNUMBER($A946),IF(AND(AH!$U$12=1,941+1=AH!$U$6),TODAY(),IF(AH!$U$5=1,INDEX('Live History'!$G$5:$G$3004,MATCH($A946,'Live History'!$G$5:$G$3004,1)),INDEX('AH History'!$C$5:$C$1380,$K946))),NA()),NA())</f>
        <v/>
      </c>
      <c r="J946" s="32">
        <f>IFERROR(IF(AND($F946&gt;0,$H946&gt;0,$A946-$G946&lt;=10,$A946-$I946&lt;=5,$G946&gt;0,$I946&gt;0),$F946*$H946,NA()),NA())</f>
        <v/>
      </c>
      <c r="K946" s="15">
        <f>IF($A946="","",IF(AH!$U$5=1,IFERROR(MATCH($A946,'Live History'!$A$5:$A$3004,0),0),AH!$U$7+941))</f>
        <v/>
      </c>
      <c r="L946" s="15">
        <f>IF(ISNUMBER(A946),TEXT(A946,"dd-mmm-yy"),"")</f>
        <v/>
      </c>
    </row>
    <row r="947">
      <c r="A947" s="14">
        <f>IF(OR(AH!$U$4=0,942+1&gt;AH!$U$6,AND(AH!$M$5="Bloomberg",AH!$U$5=0)),"",IFERROR(IF(AND(AH!$U$12=1,942+1=AH!$U$6),TODAY(),IF(AH!$U$5=1,INDEX('Live History'!$A$5:$A$3004,AH!$U$7+942),INDEX('AH History'!$A$5:$A$1380,AH!$U$7+942))),""))</f>
        <v/>
      </c>
      <c r="B947" s="33">
        <f>IFERROR(IF(AH!$U$11=1,NA(),$J947/$E947-1),NA())</f>
        <v/>
      </c>
      <c r="C947" s="269">
        <f>IFERROR(100*$E947/$E$5,NA())</f>
        <v/>
      </c>
      <c r="D947" s="269">
        <f>IFERROR(100*$J947/$J$5,NA())</f>
        <v/>
      </c>
      <c r="E947" s="32">
        <f>IFERROR(IF(AND(ISNUMBER($A947),N(IF(AND(AH!$U$12=1,942+1=AH!$U$6),IF(AH!$U$4=0,"unavailable",INDEX('Market Data'!$AN$5:$AN$66,AH!$U$4)),IF(AH!$U$5=1,INDEX('Live History'!$B$5:$B$3004,$K947),INDEX('AH History'!$D$5:$GG$1380,$K947,AH!$U$10))))&gt;0),IF(AND(AH!$U$12=1,942+1=AH!$U$6),IF(AH!$U$4=0,"unavailable",INDEX('Market Data'!$AN$5:$AN$66,AH!$U$4)),IF(AH!$U$5=1,INDEX('Live History'!$B$5:$B$3004,$K947),INDEX('AH History'!$D$5:$GG$1380,$K947,AH!$U$10))),NA()),NA())</f>
        <v/>
      </c>
      <c r="F947" s="32">
        <f>IFERROR(IF(ISNUMBER($A947),IF(AND(AH!$U$12=1,942+1=AH!$U$6),IF(AH!$U$4=0,"unavailable",INDEX('Market Data'!$AO$5:$AO$66,AH!$U$4)),IF(AH!$U$5=1,INDEX('Live History'!$E$5:$E$3004,MATCH($A947,'Live History'!$D$5:$D$3004,1)),INDEX('AH History'!$D$5:$GG$1380,$K947,AH!$U$10+1))),NA()),NA())</f>
        <v/>
      </c>
      <c r="G947" s="34">
        <f>IFERROR(IF(ISNUMBER($A947),IF(AND(AH!$U$12=1,942+1=AH!$U$6),IF(AH!$U$4=0,"unavailable",INDEX('Market Data'!$AK$5:$AK$66,AH!$U$4)),IF(AH!$U$5=1,INDEX('Live History'!$D$5:$D$3004,MATCH($A947,'Live History'!$D$5:$D$3004,1)),INDEX('AH History'!$D$5:$GG$1380,$K947,AH!$U$10+2))),NA()),NA())</f>
        <v/>
      </c>
      <c r="H947" s="266">
        <f>IFERROR(IF(ISNUMBER($A947),IF(AND(AH!$U$12=1,942+1=AH!$U$6),IF(AH!$U$4=0,"unavailable",INDEX('Market Data'!$AP$5:$AP$66,AH!$U$4)),IF(AH!$U$5=1,INDEX('Live History'!$H$5:$H$3004,MATCH($A947,'Live History'!$G$5:$G$3004,1)),INDEX('AH History'!$B$5:$B$1380,$K947))),NA()),NA())</f>
        <v/>
      </c>
      <c r="I947" s="34">
        <f>IFERROR(IF(ISNUMBER($A947),IF(AND(AH!$U$12=1,942+1=AH!$U$6),TODAY(),IF(AH!$U$5=1,INDEX('Live History'!$G$5:$G$3004,MATCH($A947,'Live History'!$G$5:$G$3004,1)),INDEX('AH History'!$C$5:$C$1380,$K947))),NA()),NA())</f>
        <v/>
      </c>
      <c r="J947" s="32">
        <f>IFERROR(IF(AND($F947&gt;0,$H947&gt;0,$A947-$G947&lt;=10,$A947-$I947&lt;=5,$G947&gt;0,$I947&gt;0),$F947*$H947,NA()),NA())</f>
        <v/>
      </c>
      <c r="K947" s="15">
        <f>IF($A947="","",IF(AH!$U$5=1,IFERROR(MATCH($A947,'Live History'!$A$5:$A$3004,0),0),AH!$U$7+942))</f>
        <v/>
      </c>
      <c r="L947" s="15">
        <f>IF(ISNUMBER(A947),TEXT(A947,"dd-mmm-yy"),"")</f>
        <v/>
      </c>
    </row>
    <row r="948">
      <c r="A948" s="14">
        <f>IF(OR(AH!$U$4=0,943+1&gt;AH!$U$6,AND(AH!$M$5="Bloomberg",AH!$U$5=0)),"",IFERROR(IF(AND(AH!$U$12=1,943+1=AH!$U$6),TODAY(),IF(AH!$U$5=1,INDEX('Live History'!$A$5:$A$3004,AH!$U$7+943),INDEX('AH History'!$A$5:$A$1380,AH!$U$7+943))),""))</f>
        <v/>
      </c>
      <c r="B948" s="33">
        <f>IFERROR(IF(AH!$U$11=1,NA(),$J948/$E948-1),NA())</f>
        <v/>
      </c>
      <c r="C948" s="269">
        <f>IFERROR(100*$E948/$E$5,NA())</f>
        <v/>
      </c>
      <c r="D948" s="269">
        <f>IFERROR(100*$J948/$J$5,NA())</f>
        <v/>
      </c>
      <c r="E948" s="32">
        <f>IFERROR(IF(AND(ISNUMBER($A948),N(IF(AND(AH!$U$12=1,943+1=AH!$U$6),IF(AH!$U$4=0,"unavailable",INDEX('Market Data'!$AN$5:$AN$66,AH!$U$4)),IF(AH!$U$5=1,INDEX('Live History'!$B$5:$B$3004,$K948),INDEX('AH History'!$D$5:$GG$1380,$K948,AH!$U$10))))&gt;0),IF(AND(AH!$U$12=1,943+1=AH!$U$6),IF(AH!$U$4=0,"unavailable",INDEX('Market Data'!$AN$5:$AN$66,AH!$U$4)),IF(AH!$U$5=1,INDEX('Live History'!$B$5:$B$3004,$K948),INDEX('AH History'!$D$5:$GG$1380,$K948,AH!$U$10))),NA()),NA())</f>
        <v/>
      </c>
      <c r="F948" s="32">
        <f>IFERROR(IF(ISNUMBER($A948),IF(AND(AH!$U$12=1,943+1=AH!$U$6),IF(AH!$U$4=0,"unavailable",INDEX('Market Data'!$AO$5:$AO$66,AH!$U$4)),IF(AH!$U$5=1,INDEX('Live History'!$E$5:$E$3004,MATCH($A948,'Live History'!$D$5:$D$3004,1)),INDEX('AH History'!$D$5:$GG$1380,$K948,AH!$U$10+1))),NA()),NA())</f>
        <v/>
      </c>
      <c r="G948" s="34">
        <f>IFERROR(IF(ISNUMBER($A948),IF(AND(AH!$U$12=1,943+1=AH!$U$6),IF(AH!$U$4=0,"unavailable",INDEX('Market Data'!$AK$5:$AK$66,AH!$U$4)),IF(AH!$U$5=1,INDEX('Live History'!$D$5:$D$3004,MATCH($A948,'Live History'!$D$5:$D$3004,1)),INDEX('AH History'!$D$5:$GG$1380,$K948,AH!$U$10+2))),NA()),NA())</f>
        <v/>
      </c>
      <c r="H948" s="266">
        <f>IFERROR(IF(ISNUMBER($A948),IF(AND(AH!$U$12=1,943+1=AH!$U$6),IF(AH!$U$4=0,"unavailable",INDEX('Market Data'!$AP$5:$AP$66,AH!$U$4)),IF(AH!$U$5=1,INDEX('Live History'!$H$5:$H$3004,MATCH($A948,'Live History'!$G$5:$G$3004,1)),INDEX('AH History'!$B$5:$B$1380,$K948))),NA()),NA())</f>
        <v/>
      </c>
      <c r="I948" s="34">
        <f>IFERROR(IF(ISNUMBER($A948),IF(AND(AH!$U$12=1,943+1=AH!$U$6),TODAY(),IF(AH!$U$5=1,INDEX('Live History'!$G$5:$G$3004,MATCH($A948,'Live History'!$G$5:$G$3004,1)),INDEX('AH History'!$C$5:$C$1380,$K948))),NA()),NA())</f>
        <v/>
      </c>
      <c r="J948" s="32">
        <f>IFERROR(IF(AND($F948&gt;0,$H948&gt;0,$A948-$G948&lt;=10,$A948-$I948&lt;=5,$G948&gt;0,$I948&gt;0),$F948*$H948,NA()),NA())</f>
        <v/>
      </c>
      <c r="K948" s="15">
        <f>IF($A948="","",IF(AH!$U$5=1,IFERROR(MATCH($A948,'Live History'!$A$5:$A$3004,0),0),AH!$U$7+943))</f>
        <v/>
      </c>
      <c r="L948" s="15">
        <f>IF(ISNUMBER(A948),TEXT(A948,"dd-mmm-yy"),"")</f>
        <v/>
      </c>
    </row>
    <row r="949">
      <c r="A949" s="14">
        <f>IF(OR(AH!$U$4=0,944+1&gt;AH!$U$6,AND(AH!$M$5="Bloomberg",AH!$U$5=0)),"",IFERROR(IF(AND(AH!$U$12=1,944+1=AH!$U$6),TODAY(),IF(AH!$U$5=1,INDEX('Live History'!$A$5:$A$3004,AH!$U$7+944),INDEX('AH History'!$A$5:$A$1380,AH!$U$7+944))),""))</f>
        <v/>
      </c>
      <c r="B949" s="33">
        <f>IFERROR(IF(AH!$U$11=1,NA(),$J949/$E949-1),NA())</f>
        <v/>
      </c>
      <c r="C949" s="269">
        <f>IFERROR(100*$E949/$E$5,NA())</f>
        <v/>
      </c>
      <c r="D949" s="269">
        <f>IFERROR(100*$J949/$J$5,NA())</f>
        <v/>
      </c>
      <c r="E949" s="32">
        <f>IFERROR(IF(AND(ISNUMBER($A949),N(IF(AND(AH!$U$12=1,944+1=AH!$U$6),IF(AH!$U$4=0,"unavailable",INDEX('Market Data'!$AN$5:$AN$66,AH!$U$4)),IF(AH!$U$5=1,INDEX('Live History'!$B$5:$B$3004,$K949),INDEX('AH History'!$D$5:$GG$1380,$K949,AH!$U$10))))&gt;0),IF(AND(AH!$U$12=1,944+1=AH!$U$6),IF(AH!$U$4=0,"unavailable",INDEX('Market Data'!$AN$5:$AN$66,AH!$U$4)),IF(AH!$U$5=1,INDEX('Live History'!$B$5:$B$3004,$K949),INDEX('AH History'!$D$5:$GG$1380,$K949,AH!$U$10))),NA()),NA())</f>
        <v/>
      </c>
      <c r="F949" s="32">
        <f>IFERROR(IF(ISNUMBER($A949),IF(AND(AH!$U$12=1,944+1=AH!$U$6),IF(AH!$U$4=0,"unavailable",INDEX('Market Data'!$AO$5:$AO$66,AH!$U$4)),IF(AH!$U$5=1,INDEX('Live History'!$E$5:$E$3004,MATCH($A949,'Live History'!$D$5:$D$3004,1)),INDEX('AH History'!$D$5:$GG$1380,$K949,AH!$U$10+1))),NA()),NA())</f>
        <v/>
      </c>
      <c r="G949" s="34">
        <f>IFERROR(IF(ISNUMBER($A949),IF(AND(AH!$U$12=1,944+1=AH!$U$6),IF(AH!$U$4=0,"unavailable",INDEX('Market Data'!$AK$5:$AK$66,AH!$U$4)),IF(AH!$U$5=1,INDEX('Live History'!$D$5:$D$3004,MATCH($A949,'Live History'!$D$5:$D$3004,1)),INDEX('AH History'!$D$5:$GG$1380,$K949,AH!$U$10+2))),NA()),NA())</f>
        <v/>
      </c>
      <c r="H949" s="266">
        <f>IFERROR(IF(ISNUMBER($A949),IF(AND(AH!$U$12=1,944+1=AH!$U$6),IF(AH!$U$4=0,"unavailable",INDEX('Market Data'!$AP$5:$AP$66,AH!$U$4)),IF(AH!$U$5=1,INDEX('Live History'!$H$5:$H$3004,MATCH($A949,'Live History'!$G$5:$G$3004,1)),INDEX('AH History'!$B$5:$B$1380,$K949))),NA()),NA())</f>
        <v/>
      </c>
      <c r="I949" s="34">
        <f>IFERROR(IF(ISNUMBER($A949),IF(AND(AH!$U$12=1,944+1=AH!$U$6),TODAY(),IF(AH!$U$5=1,INDEX('Live History'!$G$5:$G$3004,MATCH($A949,'Live History'!$G$5:$G$3004,1)),INDEX('AH History'!$C$5:$C$1380,$K949))),NA()),NA())</f>
        <v/>
      </c>
      <c r="J949" s="32">
        <f>IFERROR(IF(AND($F949&gt;0,$H949&gt;0,$A949-$G949&lt;=10,$A949-$I949&lt;=5,$G949&gt;0,$I949&gt;0),$F949*$H949,NA()),NA())</f>
        <v/>
      </c>
      <c r="K949" s="15">
        <f>IF($A949="","",IF(AH!$U$5=1,IFERROR(MATCH($A949,'Live History'!$A$5:$A$3004,0),0),AH!$U$7+944))</f>
        <v/>
      </c>
      <c r="L949" s="15">
        <f>IF(ISNUMBER(A949),TEXT(A949,"dd-mmm-yy"),"")</f>
        <v/>
      </c>
    </row>
    <row r="950">
      <c r="A950" s="14">
        <f>IF(OR(AH!$U$4=0,945+1&gt;AH!$U$6,AND(AH!$M$5="Bloomberg",AH!$U$5=0)),"",IFERROR(IF(AND(AH!$U$12=1,945+1=AH!$U$6),TODAY(),IF(AH!$U$5=1,INDEX('Live History'!$A$5:$A$3004,AH!$U$7+945),INDEX('AH History'!$A$5:$A$1380,AH!$U$7+945))),""))</f>
        <v/>
      </c>
      <c r="B950" s="33">
        <f>IFERROR(IF(AH!$U$11=1,NA(),$J950/$E950-1),NA())</f>
        <v/>
      </c>
      <c r="C950" s="269">
        <f>IFERROR(100*$E950/$E$5,NA())</f>
        <v/>
      </c>
      <c r="D950" s="269">
        <f>IFERROR(100*$J950/$J$5,NA())</f>
        <v/>
      </c>
      <c r="E950" s="32">
        <f>IFERROR(IF(AND(ISNUMBER($A950),N(IF(AND(AH!$U$12=1,945+1=AH!$U$6),IF(AH!$U$4=0,"unavailable",INDEX('Market Data'!$AN$5:$AN$66,AH!$U$4)),IF(AH!$U$5=1,INDEX('Live History'!$B$5:$B$3004,$K950),INDEX('AH History'!$D$5:$GG$1380,$K950,AH!$U$10))))&gt;0),IF(AND(AH!$U$12=1,945+1=AH!$U$6),IF(AH!$U$4=0,"unavailable",INDEX('Market Data'!$AN$5:$AN$66,AH!$U$4)),IF(AH!$U$5=1,INDEX('Live History'!$B$5:$B$3004,$K950),INDEX('AH History'!$D$5:$GG$1380,$K950,AH!$U$10))),NA()),NA())</f>
        <v/>
      </c>
      <c r="F950" s="32">
        <f>IFERROR(IF(ISNUMBER($A950),IF(AND(AH!$U$12=1,945+1=AH!$U$6),IF(AH!$U$4=0,"unavailable",INDEX('Market Data'!$AO$5:$AO$66,AH!$U$4)),IF(AH!$U$5=1,INDEX('Live History'!$E$5:$E$3004,MATCH($A950,'Live History'!$D$5:$D$3004,1)),INDEX('AH History'!$D$5:$GG$1380,$K950,AH!$U$10+1))),NA()),NA())</f>
        <v/>
      </c>
      <c r="G950" s="34">
        <f>IFERROR(IF(ISNUMBER($A950),IF(AND(AH!$U$12=1,945+1=AH!$U$6),IF(AH!$U$4=0,"unavailable",INDEX('Market Data'!$AK$5:$AK$66,AH!$U$4)),IF(AH!$U$5=1,INDEX('Live History'!$D$5:$D$3004,MATCH($A950,'Live History'!$D$5:$D$3004,1)),INDEX('AH History'!$D$5:$GG$1380,$K950,AH!$U$10+2))),NA()),NA())</f>
        <v/>
      </c>
      <c r="H950" s="266">
        <f>IFERROR(IF(ISNUMBER($A950),IF(AND(AH!$U$12=1,945+1=AH!$U$6),IF(AH!$U$4=0,"unavailable",INDEX('Market Data'!$AP$5:$AP$66,AH!$U$4)),IF(AH!$U$5=1,INDEX('Live History'!$H$5:$H$3004,MATCH($A950,'Live History'!$G$5:$G$3004,1)),INDEX('AH History'!$B$5:$B$1380,$K950))),NA()),NA())</f>
        <v/>
      </c>
      <c r="I950" s="34">
        <f>IFERROR(IF(ISNUMBER($A950),IF(AND(AH!$U$12=1,945+1=AH!$U$6),TODAY(),IF(AH!$U$5=1,INDEX('Live History'!$G$5:$G$3004,MATCH($A950,'Live History'!$G$5:$G$3004,1)),INDEX('AH History'!$C$5:$C$1380,$K950))),NA()),NA())</f>
        <v/>
      </c>
      <c r="J950" s="32">
        <f>IFERROR(IF(AND($F950&gt;0,$H950&gt;0,$A950-$G950&lt;=10,$A950-$I950&lt;=5,$G950&gt;0,$I950&gt;0),$F950*$H950,NA()),NA())</f>
        <v/>
      </c>
      <c r="K950" s="15">
        <f>IF($A950="","",IF(AH!$U$5=1,IFERROR(MATCH($A950,'Live History'!$A$5:$A$3004,0),0),AH!$U$7+945))</f>
        <v/>
      </c>
      <c r="L950" s="15">
        <f>IF(ISNUMBER(A950),TEXT(A950,"dd-mmm-yy"),"")</f>
        <v/>
      </c>
    </row>
    <row r="951">
      <c r="A951" s="14">
        <f>IF(OR(AH!$U$4=0,946+1&gt;AH!$U$6,AND(AH!$M$5="Bloomberg",AH!$U$5=0)),"",IFERROR(IF(AND(AH!$U$12=1,946+1=AH!$U$6),TODAY(),IF(AH!$U$5=1,INDEX('Live History'!$A$5:$A$3004,AH!$U$7+946),INDEX('AH History'!$A$5:$A$1380,AH!$U$7+946))),""))</f>
        <v/>
      </c>
      <c r="B951" s="33">
        <f>IFERROR(IF(AH!$U$11=1,NA(),$J951/$E951-1),NA())</f>
        <v/>
      </c>
      <c r="C951" s="269">
        <f>IFERROR(100*$E951/$E$5,NA())</f>
        <v/>
      </c>
      <c r="D951" s="269">
        <f>IFERROR(100*$J951/$J$5,NA())</f>
        <v/>
      </c>
      <c r="E951" s="32">
        <f>IFERROR(IF(AND(ISNUMBER($A951),N(IF(AND(AH!$U$12=1,946+1=AH!$U$6),IF(AH!$U$4=0,"unavailable",INDEX('Market Data'!$AN$5:$AN$66,AH!$U$4)),IF(AH!$U$5=1,INDEX('Live History'!$B$5:$B$3004,$K951),INDEX('AH History'!$D$5:$GG$1380,$K951,AH!$U$10))))&gt;0),IF(AND(AH!$U$12=1,946+1=AH!$U$6),IF(AH!$U$4=0,"unavailable",INDEX('Market Data'!$AN$5:$AN$66,AH!$U$4)),IF(AH!$U$5=1,INDEX('Live History'!$B$5:$B$3004,$K951),INDEX('AH History'!$D$5:$GG$1380,$K951,AH!$U$10))),NA()),NA())</f>
        <v/>
      </c>
      <c r="F951" s="32">
        <f>IFERROR(IF(ISNUMBER($A951),IF(AND(AH!$U$12=1,946+1=AH!$U$6),IF(AH!$U$4=0,"unavailable",INDEX('Market Data'!$AO$5:$AO$66,AH!$U$4)),IF(AH!$U$5=1,INDEX('Live History'!$E$5:$E$3004,MATCH($A951,'Live History'!$D$5:$D$3004,1)),INDEX('AH History'!$D$5:$GG$1380,$K951,AH!$U$10+1))),NA()),NA())</f>
        <v/>
      </c>
      <c r="G951" s="34">
        <f>IFERROR(IF(ISNUMBER($A951),IF(AND(AH!$U$12=1,946+1=AH!$U$6),IF(AH!$U$4=0,"unavailable",INDEX('Market Data'!$AK$5:$AK$66,AH!$U$4)),IF(AH!$U$5=1,INDEX('Live History'!$D$5:$D$3004,MATCH($A951,'Live History'!$D$5:$D$3004,1)),INDEX('AH History'!$D$5:$GG$1380,$K951,AH!$U$10+2))),NA()),NA())</f>
        <v/>
      </c>
      <c r="H951" s="266">
        <f>IFERROR(IF(ISNUMBER($A951),IF(AND(AH!$U$12=1,946+1=AH!$U$6),IF(AH!$U$4=0,"unavailable",INDEX('Market Data'!$AP$5:$AP$66,AH!$U$4)),IF(AH!$U$5=1,INDEX('Live History'!$H$5:$H$3004,MATCH($A951,'Live History'!$G$5:$G$3004,1)),INDEX('AH History'!$B$5:$B$1380,$K951))),NA()),NA())</f>
        <v/>
      </c>
      <c r="I951" s="34">
        <f>IFERROR(IF(ISNUMBER($A951),IF(AND(AH!$U$12=1,946+1=AH!$U$6),TODAY(),IF(AH!$U$5=1,INDEX('Live History'!$G$5:$G$3004,MATCH($A951,'Live History'!$G$5:$G$3004,1)),INDEX('AH History'!$C$5:$C$1380,$K951))),NA()),NA())</f>
        <v/>
      </c>
      <c r="J951" s="32">
        <f>IFERROR(IF(AND($F951&gt;0,$H951&gt;0,$A951-$G951&lt;=10,$A951-$I951&lt;=5,$G951&gt;0,$I951&gt;0),$F951*$H951,NA()),NA())</f>
        <v/>
      </c>
      <c r="K951" s="15">
        <f>IF($A951="","",IF(AH!$U$5=1,IFERROR(MATCH($A951,'Live History'!$A$5:$A$3004,0),0),AH!$U$7+946))</f>
        <v/>
      </c>
      <c r="L951" s="15">
        <f>IF(ISNUMBER(A951),TEXT(A951,"dd-mmm-yy"),"")</f>
        <v/>
      </c>
    </row>
    <row r="952">
      <c r="A952" s="14">
        <f>IF(OR(AH!$U$4=0,947+1&gt;AH!$U$6,AND(AH!$M$5="Bloomberg",AH!$U$5=0)),"",IFERROR(IF(AND(AH!$U$12=1,947+1=AH!$U$6),TODAY(),IF(AH!$U$5=1,INDEX('Live History'!$A$5:$A$3004,AH!$U$7+947),INDEX('AH History'!$A$5:$A$1380,AH!$U$7+947))),""))</f>
        <v/>
      </c>
      <c r="B952" s="33">
        <f>IFERROR(IF(AH!$U$11=1,NA(),$J952/$E952-1),NA())</f>
        <v/>
      </c>
      <c r="C952" s="269">
        <f>IFERROR(100*$E952/$E$5,NA())</f>
        <v/>
      </c>
      <c r="D952" s="269">
        <f>IFERROR(100*$J952/$J$5,NA())</f>
        <v/>
      </c>
      <c r="E952" s="32">
        <f>IFERROR(IF(AND(ISNUMBER($A952),N(IF(AND(AH!$U$12=1,947+1=AH!$U$6),IF(AH!$U$4=0,"unavailable",INDEX('Market Data'!$AN$5:$AN$66,AH!$U$4)),IF(AH!$U$5=1,INDEX('Live History'!$B$5:$B$3004,$K952),INDEX('AH History'!$D$5:$GG$1380,$K952,AH!$U$10))))&gt;0),IF(AND(AH!$U$12=1,947+1=AH!$U$6),IF(AH!$U$4=0,"unavailable",INDEX('Market Data'!$AN$5:$AN$66,AH!$U$4)),IF(AH!$U$5=1,INDEX('Live History'!$B$5:$B$3004,$K952),INDEX('AH History'!$D$5:$GG$1380,$K952,AH!$U$10))),NA()),NA())</f>
        <v/>
      </c>
      <c r="F952" s="32">
        <f>IFERROR(IF(ISNUMBER($A952),IF(AND(AH!$U$12=1,947+1=AH!$U$6),IF(AH!$U$4=0,"unavailable",INDEX('Market Data'!$AO$5:$AO$66,AH!$U$4)),IF(AH!$U$5=1,INDEX('Live History'!$E$5:$E$3004,MATCH($A952,'Live History'!$D$5:$D$3004,1)),INDEX('AH History'!$D$5:$GG$1380,$K952,AH!$U$10+1))),NA()),NA())</f>
        <v/>
      </c>
      <c r="G952" s="34">
        <f>IFERROR(IF(ISNUMBER($A952),IF(AND(AH!$U$12=1,947+1=AH!$U$6),IF(AH!$U$4=0,"unavailable",INDEX('Market Data'!$AK$5:$AK$66,AH!$U$4)),IF(AH!$U$5=1,INDEX('Live History'!$D$5:$D$3004,MATCH($A952,'Live History'!$D$5:$D$3004,1)),INDEX('AH History'!$D$5:$GG$1380,$K952,AH!$U$10+2))),NA()),NA())</f>
        <v/>
      </c>
      <c r="H952" s="266">
        <f>IFERROR(IF(ISNUMBER($A952),IF(AND(AH!$U$12=1,947+1=AH!$U$6),IF(AH!$U$4=0,"unavailable",INDEX('Market Data'!$AP$5:$AP$66,AH!$U$4)),IF(AH!$U$5=1,INDEX('Live History'!$H$5:$H$3004,MATCH($A952,'Live History'!$G$5:$G$3004,1)),INDEX('AH History'!$B$5:$B$1380,$K952))),NA()),NA())</f>
        <v/>
      </c>
      <c r="I952" s="34">
        <f>IFERROR(IF(ISNUMBER($A952),IF(AND(AH!$U$12=1,947+1=AH!$U$6),TODAY(),IF(AH!$U$5=1,INDEX('Live History'!$G$5:$G$3004,MATCH($A952,'Live History'!$G$5:$G$3004,1)),INDEX('AH History'!$C$5:$C$1380,$K952))),NA()),NA())</f>
        <v/>
      </c>
      <c r="J952" s="32">
        <f>IFERROR(IF(AND($F952&gt;0,$H952&gt;0,$A952-$G952&lt;=10,$A952-$I952&lt;=5,$G952&gt;0,$I952&gt;0),$F952*$H952,NA()),NA())</f>
        <v/>
      </c>
      <c r="K952" s="15">
        <f>IF($A952="","",IF(AH!$U$5=1,IFERROR(MATCH($A952,'Live History'!$A$5:$A$3004,0),0),AH!$U$7+947))</f>
        <v/>
      </c>
      <c r="L952" s="15">
        <f>IF(ISNUMBER(A952),TEXT(A952,"dd-mmm-yy"),"")</f>
        <v/>
      </c>
    </row>
    <row r="953">
      <c r="A953" s="14">
        <f>IF(OR(AH!$U$4=0,948+1&gt;AH!$U$6,AND(AH!$M$5="Bloomberg",AH!$U$5=0)),"",IFERROR(IF(AND(AH!$U$12=1,948+1=AH!$U$6),TODAY(),IF(AH!$U$5=1,INDEX('Live History'!$A$5:$A$3004,AH!$U$7+948),INDEX('AH History'!$A$5:$A$1380,AH!$U$7+948))),""))</f>
        <v/>
      </c>
      <c r="B953" s="33">
        <f>IFERROR(IF(AH!$U$11=1,NA(),$J953/$E953-1),NA())</f>
        <v/>
      </c>
      <c r="C953" s="269">
        <f>IFERROR(100*$E953/$E$5,NA())</f>
        <v/>
      </c>
      <c r="D953" s="269">
        <f>IFERROR(100*$J953/$J$5,NA())</f>
        <v/>
      </c>
      <c r="E953" s="32">
        <f>IFERROR(IF(AND(ISNUMBER($A953),N(IF(AND(AH!$U$12=1,948+1=AH!$U$6),IF(AH!$U$4=0,"unavailable",INDEX('Market Data'!$AN$5:$AN$66,AH!$U$4)),IF(AH!$U$5=1,INDEX('Live History'!$B$5:$B$3004,$K953),INDEX('AH History'!$D$5:$GG$1380,$K953,AH!$U$10))))&gt;0),IF(AND(AH!$U$12=1,948+1=AH!$U$6),IF(AH!$U$4=0,"unavailable",INDEX('Market Data'!$AN$5:$AN$66,AH!$U$4)),IF(AH!$U$5=1,INDEX('Live History'!$B$5:$B$3004,$K953),INDEX('AH History'!$D$5:$GG$1380,$K953,AH!$U$10))),NA()),NA())</f>
        <v/>
      </c>
      <c r="F953" s="32">
        <f>IFERROR(IF(ISNUMBER($A953),IF(AND(AH!$U$12=1,948+1=AH!$U$6),IF(AH!$U$4=0,"unavailable",INDEX('Market Data'!$AO$5:$AO$66,AH!$U$4)),IF(AH!$U$5=1,INDEX('Live History'!$E$5:$E$3004,MATCH($A953,'Live History'!$D$5:$D$3004,1)),INDEX('AH History'!$D$5:$GG$1380,$K953,AH!$U$10+1))),NA()),NA())</f>
        <v/>
      </c>
      <c r="G953" s="34">
        <f>IFERROR(IF(ISNUMBER($A953),IF(AND(AH!$U$12=1,948+1=AH!$U$6),IF(AH!$U$4=0,"unavailable",INDEX('Market Data'!$AK$5:$AK$66,AH!$U$4)),IF(AH!$U$5=1,INDEX('Live History'!$D$5:$D$3004,MATCH($A953,'Live History'!$D$5:$D$3004,1)),INDEX('AH History'!$D$5:$GG$1380,$K953,AH!$U$10+2))),NA()),NA())</f>
        <v/>
      </c>
      <c r="H953" s="266">
        <f>IFERROR(IF(ISNUMBER($A953),IF(AND(AH!$U$12=1,948+1=AH!$U$6),IF(AH!$U$4=0,"unavailable",INDEX('Market Data'!$AP$5:$AP$66,AH!$U$4)),IF(AH!$U$5=1,INDEX('Live History'!$H$5:$H$3004,MATCH($A953,'Live History'!$G$5:$G$3004,1)),INDEX('AH History'!$B$5:$B$1380,$K953))),NA()),NA())</f>
        <v/>
      </c>
      <c r="I953" s="34">
        <f>IFERROR(IF(ISNUMBER($A953),IF(AND(AH!$U$12=1,948+1=AH!$U$6),TODAY(),IF(AH!$U$5=1,INDEX('Live History'!$G$5:$G$3004,MATCH($A953,'Live History'!$G$5:$G$3004,1)),INDEX('AH History'!$C$5:$C$1380,$K953))),NA()),NA())</f>
        <v/>
      </c>
      <c r="J953" s="32">
        <f>IFERROR(IF(AND($F953&gt;0,$H953&gt;0,$A953-$G953&lt;=10,$A953-$I953&lt;=5,$G953&gt;0,$I953&gt;0),$F953*$H953,NA()),NA())</f>
        <v/>
      </c>
      <c r="K953" s="15">
        <f>IF($A953="","",IF(AH!$U$5=1,IFERROR(MATCH($A953,'Live History'!$A$5:$A$3004,0),0),AH!$U$7+948))</f>
        <v/>
      </c>
      <c r="L953" s="15">
        <f>IF(ISNUMBER(A953),TEXT(A953,"dd-mmm-yy"),"")</f>
        <v/>
      </c>
    </row>
    <row r="954">
      <c r="A954" s="14">
        <f>IF(OR(AH!$U$4=0,949+1&gt;AH!$U$6,AND(AH!$M$5="Bloomberg",AH!$U$5=0)),"",IFERROR(IF(AND(AH!$U$12=1,949+1=AH!$U$6),TODAY(),IF(AH!$U$5=1,INDEX('Live History'!$A$5:$A$3004,AH!$U$7+949),INDEX('AH History'!$A$5:$A$1380,AH!$U$7+949))),""))</f>
        <v/>
      </c>
      <c r="B954" s="33">
        <f>IFERROR(IF(AH!$U$11=1,NA(),$J954/$E954-1),NA())</f>
        <v/>
      </c>
      <c r="C954" s="269">
        <f>IFERROR(100*$E954/$E$5,NA())</f>
        <v/>
      </c>
      <c r="D954" s="269">
        <f>IFERROR(100*$J954/$J$5,NA())</f>
        <v/>
      </c>
      <c r="E954" s="32">
        <f>IFERROR(IF(AND(ISNUMBER($A954),N(IF(AND(AH!$U$12=1,949+1=AH!$U$6),IF(AH!$U$4=0,"unavailable",INDEX('Market Data'!$AN$5:$AN$66,AH!$U$4)),IF(AH!$U$5=1,INDEX('Live History'!$B$5:$B$3004,$K954),INDEX('AH History'!$D$5:$GG$1380,$K954,AH!$U$10))))&gt;0),IF(AND(AH!$U$12=1,949+1=AH!$U$6),IF(AH!$U$4=0,"unavailable",INDEX('Market Data'!$AN$5:$AN$66,AH!$U$4)),IF(AH!$U$5=1,INDEX('Live History'!$B$5:$B$3004,$K954),INDEX('AH History'!$D$5:$GG$1380,$K954,AH!$U$10))),NA()),NA())</f>
        <v/>
      </c>
      <c r="F954" s="32">
        <f>IFERROR(IF(ISNUMBER($A954),IF(AND(AH!$U$12=1,949+1=AH!$U$6),IF(AH!$U$4=0,"unavailable",INDEX('Market Data'!$AO$5:$AO$66,AH!$U$4)),IF(AH!$U$5=1,INDEX('Live History'!$E$5:$E$3004,MATCH($A954,'Live History'!$D$5:$D$3004,1)),INDEX('AH History'!$D$5:$GG$1380,$K954,AH!$U$10+1))),NA()),NA())</f>
        <v/>
      </c>
      <c r="G954" s="34">
        <f>IFERROR(IF(ISNUMBER($A954),IF(AND(AH!$U$12=1,949+1=AH!$U$6),IF(AH!$U$4=0,"unavailable",INDEX('Market Data'!$AK$5:$AK$66,AH!$U$4)),IF(AH!$U$5=1,INDEX('Live History'!$D$5:$D$3004,MATCH($A954,'Live History'!$D$5:$D$3004,1)),INDEX('AH History'!$D$5:$GG$1380,$K954,AH!$U$10+2))),NA()),NA())</f>
        <v/>
      </c>
      <c r="H954" s="266">
        <f>IFERROR(IF(ISNUMBER($A954),IF(AND(AH!$U$12=1,949+1=AH!$U$6),IF(AH!$U$4=0,"unavailable",INDEX('Market Data'!$AP$5:$AP$66,AH!$U$4)),IF(AH!$U$5=1,INDEX('Live History'!$H$5:$H$3004,MATCH($A954,'Live History'!$G$5:$G$3004,1)),INDEX('AH History'!$B$5:$B$1380,$K954))),NA()),NA())</f>
        <v/>
      </c>
      <c r="I954" s="34">
        <f>IFERROR(IF(ISNUMBER($A954),IF(AND(AH!$U$12=1,949+1=AH!$U$6),TODAY(),IF(AH!$U$5=1,INDEX('Live History'!$G$5:$G$3004,MATCH($A954,'Live History'!$G$5:$G$3004,1)),INDEX('AH History'!$C$5:$C$1380,$K954))),NA()),NA())</f>
        <v/>
      </c>
      <c r="J954" s="32">
        <f>IFERROR(IF(AND($F954&gt;0,$H954&gt;0,$A954-$G954&lt;=10,$A954-$I954&lt;=5,$G954&gt;0,$I954&gt;0),$F954*$H954,NA()),NA())</f>
        <v/>
      </c>
      <c r="K954" s="15">
        <f>IF($A954="","",IF(AH!$U$5=1,IFERROR(MATCH($A954,'Live History'!$A$5:$A$3004,0),0),AH!$U$7+949))</f>
        <v/>
      </c>
      <c r="L954" s="15">
        <f>IF(ISNUMBER(A954),TEXT(A954,"dd-mmm-yy"),"")</f>
        <v/>
      </c>
    </row>
    <row r="955">
      <c r="A955" s="14">
        <f>IF(OR(AH!$U$4=0,950+1&gt;AH!$U$6,AND(AH!$M$5="Bloomberg",AH!$U$5=0)),"",IFERROR(IF(AND(AH!$U$12=1,950+1=AH!$U$6),TODAY(),IF(AH!$U$5=1,INDEX('Live History'!$A$5:$A$3004,AH!$U$7+950),INDEX('AH History'!$A$5:$A$1380,AH!$U$7+950))),""))</f>
        <v/>
      </c>
      <c r="B955" s="33">
        <f>IFERROR(IF(AH!$U$11=1,NA(),$J955/$E955-1),NA())</f>
        <v/>
      </c>
      <c r="C955" s="269">
        <f>IFERROR(100*$E955/$E$5,NA())</f>
        <v/>
      </c>
      <c r="D955" s="269">
        <f>IFERROR(100*$J955/$J$5,NA())</f>
        <v/>
      </c>
      <c r="E955" s="32">
        <f>IFERROR(IF(AND(ISNUMBER($A955),N(IF(AND(AH!$U$12=1,950+1=AH!$U$6),IF(AH!$U$4=0,"unavailable",INDEX('Market Data'!$AN$5:$AN$66,AH!$U$4)),IF(AH!$U$5=1,INDEX('Live History'!$B$5:$B$3004,$K955),INDEX('AH History'!$D$5:$GG$1380,$K955,AH!$U$10))))&gt;0),IF(AND(AH!$U$12=1,950+1=AH!$U$6),IF(AH!$U$4=0,"unavailable",INDEX('Market Data'!$AN$5:$AN$66,AH!$U$4)),IF(AH!$U$5=1,INDEX('Live History'!$B$5:$B$3004,$K955),INDEX('AH History'!$D$5:$GG$1380,$K955,AH!$U$10))),NA()),NA())</f>
        <v/>
      </c>
      <c r="F955" s="32">
        <f>IFERROR(IF(ISNUMBER($A955),IF(AND(AH!$U$12=1,950+1=AH!$U$6),IF(AH!$U$4=0,"unavailable",INDEX('Market Data'!$AO$5:$AO$66,AH!$U$4)),IF(AH!$U$5=1,INDEX('Live History'!$E$5:$E$3004,MATCH($A955,'Live History'!$D$5:$D$3004,1)),INDEX('AH History'!$D$5:$GG$1380,$K955,AH!$U$10+1))),NA()),NA())</f>
        <v/>
      </c>
      <c r="G955" s="34">
        <f>IFERROR(IF(ISNUMBER($A955),IF(AND(AH!$U$12=1,950+1=AH!$U$6),IF(AH!$U$4=0,"unavailable",INDEX('Market Data'!$AK$5:$AK$66,AH!$U$4)),IF(AH!$U$5=1,INDEX('Live History'!$D$5:$D$3004,MATCH($A955,'Live History'!$D$5:$D$3004,1)),INDEX('AH History'!$D$5:$GG$1380,$K955,AH!$U$10+2))),NA()),NA())</f>
        <v/>
      </c>
      <c r="H955" s="266">
        <f>IFERROR(IF(ISNUMBER($A955),IF(AND(AH!$U$12=1,950+1=AH!$U$6),IF(AH!$U$4=0,"unavailable",INDEX('Market Data'!$AP$5:$AP$66,AH!$U$4)),IF(AH!$U$5=1,INDEX('Live History'!$H$5:$H$3004,MATCH($A955,'Live History'!$G$5:$G$3004,1)),INDEX('AH History'!$B$5:$B$1380,$K955))),NA()),NA())</f>
        <v/>
      </c>
      <c r="I955" s="34">
        <f>IFERROR(IF(ISNUMBER($A955),IF(AND(AH!$U$12=1,950+1=AH!$U$6),TODAY(),IF(AH!$U$5=1,INDEX('Live History'!$G$5:$G$3004,MATCH($A955,'Live History'!$G$5:$G$3004,1)),INDEX('AH History'!$C$5:$C$1380,$K955))),NA()),NA())</f>
        <v/>
      </c>
      <c r="J955" s="32">
        <f>IFERROR(IF(AND($F955&gt;0,$H955&gt;0,$A955-$G955&lt;=10,$A955-$I955&lt;=5,$G955&gt;0,$I955&gt;0),$F955*$H955,NA()),NA())</f>
        <v/>
      </c>
      <c r="K955" s="15">
        <f>IF($A955="","",IF(AH!$U$5=1,IFERROR(MATCH($A955,'Live History'!$A$5:$A$3004,0),0),AH!$U$7+950))</f>
        <v/>
      </c>
      <c r="L955" s="15">
        <f>IF(ISNUMBER(A955),TEXT(A955,"dd-mmm-yy"),"")</f>
        <v/>
      </c>
    </row>
    <row r="956">
      <c r="A956" s="14">
        <f>IF(OR(AH!$U$4=0,951+1&gt;AH!$U$6,AND(AH!$M$5="Bloomberg",AH!$U$5=0)),"",IFERROR(IF(AND(AH!$U$12=1,951+1=AH!$U$6),TODAY(),IF(AH!$U$5=1,INDEX('Live History'!$A$5:$A$3004,AH!$U$7+951),INDEX('AH History'!$A$5:$A$1380,AH!$U$7+951))),""))</f>
        <v/>
      </c>
      <c r="B956" s="33">
        <f>IFERROR(IF(AH!$U$11=1,NA(),$J956/$E956-1),NA())</f>
        <v/>
      </c>
      <c r="C956" s="269">
        <f>IFERROR(100*$E956/$E$5,NA())</f>
        <v/>
      </c>
      <c r="D956" s="269">
        <f>IFERROR(100*$J956/$J$5,NA())</f>
        <v/>
      </c>
      <c r="E956" s="32">
        <f>IFERROR(IF(AND(ISNUMBER($A956),N(IF(AND(AH!$U$12=1,951+1=AH!$U$6),IF(AH!$U$4=0,"unavailable",INDEX('Market Data'!$AN$5:$AN$66,AH!$U$4)),IF(AH!$U$5=1,INDEX('Live History'!$B$5:$B$3004,$K956),INDEX('AH History'!$D$5:$GG$1380,$K956,AH!$U$10))))&gt;0),IF(AND(AH!$U$12=1,951+1=AH!$U$6),IF(AH!$U$4=0,"unavailable",INDEX('Market Data'!$AN$5:$AN$66,AH!$U$4)),IF(AH!$U$5=1,INDEX('Live History'!$B$5:$B$3004,$K956),INDEX('AH History'!$D$5:$GG$1380,$K956,AH!$U$10))),NA()),NA())</f>
        <v/>
      </c>
      <c r="F956" s="32">
        <f>IFERROR(IF(ISNUMBER($A956),IF(AND(AH!$U$12=1,951+1=AH!$U$6),IF(AH!$U$4=0,"unavailable",INDEX('Market Data'!$AO$5:$AO$66,AH!$U$4)),IF(AH!$U$5=1,INDEX('Live History'!$E$5:$E$3004,MATCH($A956,'Live History'!$D$5:$D$3004,1)),INDEX('AH History'!$D$5:$GG$1380,$K956,AH!$U$10+1))),NA()),NA())</f>
        <v/>
      </c>
      <c r="G956" s="34">
        <f>IFERROR(IF(ISNUMBER($A956),IF(AND(AH!$U$12=1,951+1=AH!$U$6),IF(AH!$U$4=0,"unavailable",INDEX('Market Data'!$AK$5:$AK$66,AH!$U$4)),IF(AH!$U$5=1,INDEX('Live History'!$D$5:$D$3004,MATCH($A956,'Live History'!$D$5:$D$3004,1)),INDEX('AH History'!$D$5:$GG$1380,$K956,AH!$U$10+2))),NA()),NA())</f>
        <v/>
      </c>
      <c r="H956" s="266">
        <f>IFERROR(IF(ISNUMBER($A956),IF(AND(AH!$U$12=1,951+1=AH!$U$6),IF(AH!$U$4=0,"unavailable",INDEX('Market Data'!$AP$5:$AP$66,AH!$U$4)),IF(AH!$U$5=1,INDEX('Live History'!$H$5:$H$3004,MATCH($A956,'Live History'!$G$5:$G$3004,1)),INDEX('AH History'!$B$5:$B$1380,$K956))),NA()),NA())</f>
        <v/>
      </c>
      <c r="I956" s="34">
        <f>IFERROR(IF(ISNUMBER($A956),IF(AND(AH!$U$12=1,951+1=AH!$U$6),TODAY(),IF(AH!$U$5=1,INDEX('Live History'!$G$5:$G$3004,MATCH($A956,'Live History'!$G$5:$G$3004,1)),INDEX('AH History'!$C$5:$C$1380,$K956))),NA()),NA())</f>
        <v/>
      </c>
      <c r="J956" s="32">
        <f>IFERROR(IF(AND($F956&gt;0,$H956&gt;0,$A956-$G956&lt;=10,$A956-$I956&lt;=5,$G956&gt;0,$I956&gt;0),$F956*$H956,NA()),NA())</f>
        <v/>
      </c>
      <c r="K956" s="15">
        <f>IF($A956="","",IF(AH!$U$5=1,IFERROR(MATCH($A956,'Live History'!$A$5:$A$3004,0),0),AH!$U$7+951))</f>
        <v/>
      </c>
      <c r="L956" s="15">
        <f>IF(ISNUMBER(A956),TEXT(A956,"dd-mmm-yy"),"")</f>
        <v/>
      </c>
    </row>
    <row r="957">
      <c r="A957" s="14">
        <f>IF(OR(AH!$U$4=0,952+1&gt;AH!$U$6,AND(AH!$M$5="Bloomberg",AH!$U$5=0)),"",IFERROR(IF(AND(AH!$U$12=1,952+1=AH!$U$6),TODAY(),IF(AH!$U$5=1,INDEX('Live History'!$A$5:$A$3004,AH!$U$7+952),INDEX('AH History'!$A$5:$A$1380,AH!$U$7+952))),""))</f>
        <v/>
      </c>
      <c r="B957" s="33">
        <f>IFERROR(IF(AH!$U$11=1,NA(),$J957/$E957-1),NA())</f>
        <v/>
      </c>
      <c r="C957" s="269">
        <f>IFERROR(100*$E957/$E$5,NA())</f>
        <v/>
      </c>
      <c r="D957" s="269">
        <f>IFERROR(100*$J957/$J$5,NA())</f>
        <v/>
      </c>
      <c r="E957" s="32">
        <f>IFERROR(IF(AND(ISNUMBER($A957),N(IF(AND(AH!$U$12=1,952+1=AH!$U$6),IF(AH!$U$4=0,"unavailable",INDEX('Market Data'!$AN$5:$AN$66,AH!$U$4)),IF(AH!$U$5=1,INDEX('Live History'!$B$5:$B$3004,$K957),INDEX('AH History'!$D$5:$GG$1380,$K957,AH!$U$10))))&gt;0),IF(AND(AH!$U$12=1,952+1=AH!$U$6),IF(AH!$U$4=0,"unavailable",INDEX('Market Data'!$AN$5:$AN$66,AH!$U$4)),IF(AH!$U$5=1,INDEX('Live History'!$B$5:$B$3004,$K957),INDEX('AH History'!$D$5:$GG$1380,$K957,AH!$U$10))),NA()),NA())</f>
        <v/>
      </c>
      <c r="F957" s="32">
        <f>IFERROR(IF(ISNUMBER($A957),IF(AND(AH!$U$12=1,952+1=AH!$U$6),IF(AH!$U$4=0,"unavailable",INDEX('Market Data'!$AO$5:$AO$66,AH!$U$4)),IF(AH!$U$5=1,INDEX('Live History'!$E$5:$E$3004,MATCH($A957,'Live History'!$D$5:$D$3004,1)),INDEX('AH History'!$D$5:$GG$1380,$K957,AH!$U$10+1))),NA()),NA())</f>
        <v/>
      </c>
      <c r="G957" s="34">
        <f>IFERROR(IF(ISNUMBER($A957),IF(AND(AH!$U$12=1,952+1=AH!$U$6),IF(AH!$U$4=0,"unavailable",INDEX('Market Data'!$AK$5:$AK$66,AH!$U$4)),IF(AH!$U$5=1,INDEX('Live History'!$D$5:$D$3004,MATCH($A957,'Live History'!$D$5:$D$3004,1)),INDEX('AH History'!$D$5:$GG$1380,$K957,AH!$U$10+2))),NA()),NA())</f>
        <v/>
      </c>
      <c r="H957" s="266">
        <f>IFERROR(IF(ISNUMBER($A957),IF(AND(AH!$U$12=1,952+1=AH!$U$6),IF(AH!$U$4=0,"unavailable",INDEX('Market Data'!$AP$5:$AP$66,AH!$U$4)),IF(AH!$U$5=1,INDEX('Live History'!$H$5:$H$3004,MATCH($A957,'Live History'!$G$5:$G$3004,1)),INDEX('AH History'!$B$5:$B$1380,$K957))),NA()),NA())</f>
        <v/>
      </c>
      <c r="I957" s="34">
        <f>IFERROR(IF(ISNUMBER($A957),IF(AND(AH!$U$12=1,952+1=AH!$U$6),TODAY(),IF(AH!$U$5=1,INDEX('Live History'!$G$5:$G$3004,MATCH($A957,'Live History'!$G$5:$G$3004,1)),INDEX('AH History'!$C$5:$C$1380,$K957))),NA()),NA())</f>
        <v/>
      </c>
      <c r="J957" s="32">
        <f>IFERROR(IF(AND($F957&gt;0,$H957&gt;0,$A957-$G957&lt;=10,$A957-$I957&lt;=5,$G957&gt;0,$I957&gt;0),$F957*$H957,NA()),NA())</f>
        <v/>
      </c>
      <c r="K957" s="15">
        <f>IF($A957="","",IF(AH!$U$5=1,IFERROR(MATCH($A957,'Live History'!$A$5:$A$3004,0),0),AH!$U$7+952))</f>
        <v/>
      </c>
      <c r="L957" s="15">
        <f>IF(ISNUMBER(A957),TEXT(A957,"dd-mmm-yy"),"")</f>
        <v/>
      </c>
    </row>
    <row r="958">
      <c r="A958" s="14">
        <f>IF(OR(AH!$U$4=0,953+1&gt;AH!$U$6,AND(AH!$M$5="Bloomberg",AH!$U$5=0)),"",IFERROR(IF(AND(AH!$U$12=1,953+1=AH!$U$6),TODAY(),IF(AH!$U$5=1,INDEX('Live History'!$A$5:$A$3004,AH!$U$7+953),INDEX('AH History'!$A$5:$A$1380,AH!$U$7+953))),""))</f>
        <v/>
      </c>
      <c r="B958" s="33">
        <f>IFERROR(IF(AH!$U$11=1,NA(),$J958/$E958-1),NA())</f>
        <v/>
      </c>
      <c r="C958" s="269">
        <f>IFERROR(100*$E958/$E$5,NA())</f>
        <v/>
      </c>
      <c r="D958" s="269">
        <f>IFERROR(100*$J958/$J$5,NA())</f>
        <v/>
      </c>
      <c r="E958" s="32">
        <f>IFERROR(IF(AND(ISNUMBER($A958),N(IF(AND(AH!$U$12=1,953+1=AH!$U$6),IF(AH!$U$4=0,"unavailable",INDEX('Market Data'!$AN$5:$AN$66,AH!$U$4)),IF(AH!$U$5=1,INDEX('Live History'!$B$5:$B$3004,$K958),INDEX('AH History'!$D$5:$GG$1380,$K958,AH!$U$10))))&gt;0),IF(AND(AH!$U$12=1,953+1=AH!$U$6),IF(AH!$U$4=0,"unavailable",INDEX('Market Data'!$AN$5:$AN$66,AH!$U$4)),IF(AH!$U$5=1,INDEX('Live History'!$B$5:$B$3004,$K958),INDEX('AH History'!$D$5:$GG$1380,$K958,AH!$U$10))),NA()),NA())</f>
        <v/>
      </c>
      <c r="F958" s="32">
        <f>IFERROR(IF(ISNUMBER($A958),IF(AND(AH!$U$12=1,953+1=AH!$U$6),IF(AH!$U$4=0,"unavailable",INDEX('Market Data'!$AO$5:$AO$66,AH!$U$4)),IF(AH!$U$5=1,INDEX('Live History'!$E$5:$E$3004,MATCH($A958,'Live History'!$D$5:$D$3004,1)),INDEX('AH History'!$D$5:$GG$1380,$K958,AH!$U$10+1))),NA()),NA())</f>
        <v/>
      </c>
      <c r="G958" s="34">
        <f>IFERROR(IF(ISNUMBER($A958),IF(AND(AH!$U$12=1,953+1=AH!$U$6),IF(AH!$U$4=0,"unavailable",INDEX('Market Data'!$AK$5:$AK$66,AH!$U$4)),IF(AH!$U$5=1,INDEX('Live History'!$D$5:$D$3004,MATCH($A958,'Live History'!$D$5:$D$3004,1)),INDEX('AH History'!$D$5:$GG$1380,$K958,AH!$U$10+2))),NA()),NA())</f>
        <v/>
      </c>
      <c r="H958" s="266">
        <f>IFERROR(IF(ISNUMBER($A958),IF(AND(AH!$U$12=1,953+1=AH!$U$6),IF(AH!$U$4=0,"unavailable",INDEX('Market Data'!$AP$5:$AP$66,AH!$U$4)),IF(AH!$U$5=1,INDEX('Live History'!$H$5:$H$3004,MATCH($A958,'Live History'!$G$5:$G$3004,1)),INDEX('AH History'!$B$5:$B$1380,$K958))),NA()),NA())</f>
        <v/>
      </c>
      <c r="I958" s="34">
        <f>IFERROR(IF(ISNUMBER($A958),IF(AND(AH!$U$12=1,953+1=AH!$U$6),TODAY(),IF(AH!$U$5=1,INDEX('Live History'!$G$5:$G$3004,MATCH($A958,'Live History'!$G$5:$G$3004,1)),INDEX('AH History'!$C$5:$C$1380,$K958))),NA()),NA())</f>
        <v/>
      </c>
      <c r="J958" s="32">
        <f>IFERROR(IF(AND($F958&gt;0,$H958&gt;0,$A958-$G958&lt;=10,$A958-$I958&lt;=5,$G958&gt;0,$I958&gt;0),$F958*$H958,NA()),NA())</f>
        <v/>
      </c>
      <c r="K958" s="15">
        <f>IF($A958="","",IF(AH!$U$5=1,IFERROR(MATCH($A958,'Live History'!$A$5:$A$3004,0),0),AH!$U$7+953))</f>
        <v/>
      </c>
      <c r="L958" s="15">
        <f>IF(ISNUMBER(A958),TEXT(A958,"dd-mmm-yy"),"")</f>
        <v/>
      </c>
    </row>
    <row r="959">
      <c r="A959" s="14">
        <f>IF(OR(AH!$U$4=0,954+1&gt;AH!$U$6,AND(AH!$M$5="Bloomberg",AH!$U$5=0)),"",IFERROR(IF(AND(AH!$U$12=1,954+1=AH!$U$6),TODAY(),IF(AH!$U$5=1,INDEX('Live History'!$A$5:$A$3004,AH!$U$7+954),INDEX('AH History'!$A$5:$A$1380,AH!$U$7+954))),""))</f>
        <v/>
      </c>
      <c r="B959" s="33">
        <f>IFERROR(IF(AH!$U$11=1,NA(),$J959/$E959-1),NA())</f>
        <v/>
      </c>
      <c r="C959" s="269">
        <f>IFERROR(100*$E959/$E$5,NA())</f>
        <v/>
      </c>
      <c r="D959" s="269">
        <f>IFERROR(100*$J959/$J$5,NA())</f>
        <v/>
      </c>
      <c r="E959" s="32">
        <f>IFERROR(IF(AND(ISNUMBER($A959),N(IF(AND(AH!$U$12=1,954+1=AH!$U$6),IF(AH!$U$4=0,"unavailable",INDEX('Market Data'!$AN$5:$AN$66,AH!$U$4)),IF(AH!$U$5=1,INDEX('Live History'!$B$5:$B$3004,$K959),INDEX('AH History'!$D$5:$GG$1380,$K959,AH!$U$10))))&gt;0),IF(AND(AH!$U$12=1,954+1=AH!$U$6),IF(AH!$U$4=0,"unavailable",INDEX('Market Data'!$AN$5:$AN$66,AH!$U$4)),IF(AH!$U$5=1,INDEX('Live History'!$B$5:$B$3004,$K959),INDEX('AH History'!$D$5:$GG$1380,$K959,AH!$U$10))),NA()),NA())</f>
        <v/>
      </c>
      <c r="F959" s="32">
        <f>IFERROR(IF(ISNUMBER($A959),IF(AND(AH!$U$12=1,954+1=AH!$U$6),IF(AH!$U$4=0,"unavailable",INDEX('Market Data'!$AO$5:$AO$66,AH!$U$4)),IF(AH!$U$5=1,INDEX('Live History'!$E$5:$E$3004,MATCH($A959,'Live History'!$D$5:$D$3004,1)),INDEX('AH History'!$D$5:$GG$1380,$K959,AH!$U$10+1))),NA()),NA())</f>
        <v/>
      </c>
      <c r="G959" s="34">
        <f>IFERROR(IF(ISNUMBER($A959),IF(AND(AH!$U$12=1,954+1=AH!$U$6),IF(AH!$U$4=0,"unavailable",INDEX('Market Data'!$AK$5:$AK$66,AH!$U$4)),IF(AH!$U$5=1,INDEX('Live History'!$D$5:$D$3004,MATCH($A959,'Live History'!$D$5:$D$3004,1)),INDEX('AH History'!$D$5:$GG$1380,$K959,AH!$U$10+2))),NA()),NA())</f>
        <v/>
      </c>
      <c r="H959" s="266">
        <f>IFERROR(IF(ISNUMBER($A959),IF(AND(AH!$U$12=1,954+1=AH!$U$6),IF(AH!$U$4=0,"unavailable",INDEX('Market Data'!$AP$5:$AP$66,AH!$U$4)),IF(AH!$U$5=1,INDEX('Live History'!$H$5:$H$3004,MATCH($A959,'Live History'!$G$5:$G$3004,1)),INDEX('AH History'!$B$5:$B$1380,$K959))),NA()),NA())</f>
        <v/>
      </c>
      <c r="I959" s="34">
        <f>IFERROR(IF(ISNUMBER($A959),IF(AND(AH!$U$12=1,954+1=AH!$U$6),TODAY(),IF(AH!$U$5=1,INDEX('Live History'!$G$5:$G$3004,MATCH($A959,'Live History'!$G$5:$G$3004,1)),INDEX('AH History'!$C$5:$C$1380,$K959))),NA()),NA())</f>
        <v/>
      </c>
      <c r="J959" s="32">
        <f>IFERROR(IF(AND($F959&gt;0,$H959&gt;0,$A959-$G959&lt;=10,$A959-$I959&lt;=5,$G959&gt;0,$I959&gt;0),$F959*$H959,NA()),NA())</f>
        <v/>
      </c>
      <c r="K959" s="15">
        <f>IF($A959="","",IF(AH!$U$5=1,IFERROR(MATCH($A959,'Live History'!$A$5:$A$3004,0),0),AH!$U$7+954))</f>
        <v/>
      </c>
      <c r="L959" s="15">
        <f>IF(ISNUMBER(A959),TEXT(A959,"dd-mmm-yy"),"")</f>
        <v/>
      </c>
    </row>
    <row r="960">
      <c r="A960" s="14">
        <f>IF(OR(AH!$U$4=0,955+1&gt;AH!$U$6,AND(AH!$M$5="Bloomberg",AH!$U$5=0)),"",IFERROR(IF(AND(AH!$U$12=1,955+1=AH!$U$6),TODAY(),IF(AH!$U$5=1,INDEX('Live History'!$A$5:$A$3004,AH!$U$7+955),INDEX('AH History'!$A$5:$A$1380,AH!$U$7+955))),""))</f>
        <v/>
      </c>
      <c r="B960" s="33">
        <f>IFERROR(IF(AH!$U$11=1,NA(),$J960/$E960-1),NA())</f>
        <v/>
      </c>
      <c r="C960" s="269">
        <f>IFERROR(100*$E960/$E$5,NA())</f>
        <v/>
      </c>
      <c r="D960" s="269">
        <f>IFERROR(100*$J960/$J$5,NA())</f>
        <v/>
      </c>
      <c r="E960" s="32">
        <f>IFERROR(IF(AND(ISNUMBER($A960),N(IF(AND(AH!$U$12=1,955+1=AH!$U$6),IF(AH!$U$4=0,"unavailable",INDEX('Market Data'!$AN$5:$AN$66,AH!$U$4)),IF(AH!$U$5=1,INDEX('Live History'!$B$5:$B$3004,$K960),INDEX('AH History'!$D$5:$GG$1380,$K960,AH!$U$10))))&gt;0),IF(AND(AH!$U$12=1,955+1=AH!$U$6),IF(AH!$U$4=0,"unavailable",INDEX('Market Data'!$AN$5:$AN$66,AH!$U$4)),IF(AH!$U$5=1,INDEX('Live History'!$B$5:$B$3004,$K960),INDEX('AH History'!$D$5:$GG$1380,$K960,AH!$U$10))),NA()),NA())</f>
        <v/>
      </c>
      <c r="F960" s="32">
        <f>IFERROR(IF(ISNUMBER($A960),IF(AND(AH!$U$12=1,955+1=AH!$U$6),IF(AH!$U$4=0,"unavailable",INDEX('Market Data'!$AO$5:$AO$66,AH!$U$4)),IF(AH!$U$5=1,INDEX('Live History'!$E$5:$E$3004,MATCH($A960,'Live History'!$D$5:$D$3004,1)),INDEX('AH History'!$D$5:$GG$1380,$K960,AH!$U$10+1))),NA()),NA())</f>
        <v/>
      </c>
      <c r="G960" s="34">
        <f>IFERROR(IF(ISNUMBER($A960),IF(AND(AH!$U$12=1,955+1=AH!$U$6),IF(AH!$U$4=0,"unavailable",INDEX('Market Data'!$AK$5:$AK$66,AH!$U$4)),IF(AH!$U$5=1,INDEX('Live History'!$D$5:$D$3004,MATCH($A960,'Live History'!$D$5:$D$3004,1)),INDEX('AH History'!$D$5:$GG$1380,$K960,AH!$U$10+2))),NA()),NA())</f>
        <v/>
      </c>
      <c r="H960" s="266">
        <f>IFERROR(IF(ISNUMBER($A960),IF(AND(AH!$U$12=1,955+1=AH!$U$6),IF(AH!$U$4=0,"unavailable",INDEX('Market Data'!$AP$5:$AP$66,AH!$U$4)),IF(AH!$U$5=1,INDEX('Live History'!$H$5:$H$3004,MATCH($A960,'Live History'!$G$5:$G$3004,1)),INDEX('AH History'!$B$5:$B$1380,$K960))),NA()),NA())</f>
        <v/>
      </c>
      <c r="I960" s="34">
        <f>IFERROR(IF(ISNUMBER($A960),IF(AND(AH!$U$12=1,955+1=AH!$U$6),TODAY(),IF(AH!$U$5=1,INDEX('Live History'!$G$5:$G$3004,MATCH($A960,'Live History'!$G$5:$G$3004,1)),INDEX('AH History'!$C$5:$C$1380,$K960))),NA()),NA())</f>
        <v/>
      </c>
      <c r="J960" s="32">
        <f>IFERROR(IF(AND($F960&gt;0,$H960&gt;0,$A960-$G960&lt;=10,$A960-$I960&lt;=5,$G960&gt;0,$I960&gt;0),$F960*$H960,NA()),NA())</f>
        <v/>
      </c>
      <c r="K960" s="15">
        <f>IF($A960="","",IF(AH!$U$5=1,IFERROR(MATCH($A960,'Live History'!$A$5:$A$3004,0),0),AH!$U$7+955))</f>
        <v/>
      </c>
      <c r="L960" s="15">
        <f>IF(ISNUMBER(A960),TEXT(A960,"dd-mmm-yy"),"")</f>
        <v/>
      </c>
    </row>
    <row r="961">
      <c r="A961" s="14">
        <f>IF(OR(AH!$U$4=0,956+1&gt;AH!$U$6,AND(AH!$M$5="Bloomberg",AH!$U$5=0)),"",IFERROR(IF(AND(AH!$U$12=1,956+1=AH!$U$6),TODAY(),IF(AH!$U$5=1,INDEX('Live History'!$A$5:$A$3004,AH!$U$7+956),INDEX('AH History'!$A$5:$A$1380,AH!$U$7+956))),""))</f>
        <v/>
      </c>
      <c r="B961" s="33">
        <f>IFERROR(IF(AH!$U$11=1,NA(),$J961/$E961-1),NA())</f>
        <v/>
      </c>
      <c r="C961" s="269">
        <f>IFERROR(100*$E961/$E$5,NA())</f>
        <v/>
      </c>
      <c r="D961" s="269">
        <f>IFERROR(100*$J961/$J$5,NA())</f>
        <v/>
      </c>
      <c r="E961" s="32">
        <f>IFERROR(IF(AND(ISNUMBER($A961),N(IF(AND(AH!$U$12=1,956+1=AH!$U$6),IF(AH!$U$4=0,"unavailable",INDEX('Market Data'!$AN$5:$AN$66,AH!$U$4)),IF(AH!$U$5=1,INDEX('Live History'!$B$5:$B$3004,$K961),INDEX('AH History'!$D$5:$GG$1380,$K961,AH!$U$10))))&gt;0),IF(AND(AH!$U$12=1,956+1=AH!$U$6),IF(AH!$U$4=0,"unavailable",INDEX('Market Data'!$AN$5:$AN$66,AH!$U$4)),IF(AH!$U$5=1,INDEX('Live History'!$B$5:$B$3004,$K961),INDEX('AH History'!$D$5:$GG$1380,$K961,AH!$U$10))),NA()),NA())</f>
        <v/>
      </c>
      <c r="F961" s="32">
        <f>IFERROR(IF(ISNUMBER($A961),IF(AND(AH!$U$12=1,956+1=AH!$U$6),IF(AH!$U$4=0,"unavailable",INDEX('Market Data'!$AO$5:$AO$66,AH!$U$4)),IF(AH!$U$5=1,INDEX('Live History'!$E$5:$E$3004,MATCH($A961,'Live History'!$D$5:$D$3004,1)),INDEX('AH History'!$D$5:$GG$1380,$K961,AH!$U$10+1))),NA()),NA())</f>
        <v/>
      </c>
      <c r="G961" s="34">
        <f>IFERROR(IF(ISNUMBER($A961),IF(AND(AH!$U$12=1,956+1=AH!$U$6),IF(AH!$U$4=0,"unavailable",INDEX('Market Data'!$AK$5:$AK$66,AH!$U$4)),IF(AH!$U$5=1,INDEX('Live History'!$D$5:$D$3004,MATCH($A961,'Live History'!$D$5:$D$3004,1)),INDEX('AH History'!$D$5:$GG$1380,$K961,AH!$U$10+2))),NA()),NA())</f>
        <v/>
      </c>
      <c r="H961" s="266">
        <f>IFERROR(IF(ISNUMBER($A961),IF(AND(AH!$U$12=1,956+1=AH!$U$6),IF(AH!$U$4=0,"unavailable",INDEX('Market Data'!$AP$5:$AP$66,AH!$U$4)),IF(AH!$U$5=1,INDEX('Live History'!$H$5:$H$3004,MATCH($A961,'Live History'!$G$5:$G$3004,1)),INDEX('AH History'!$B$5:$B$1380,$K961))),NA()),NA())</f>
        <v/>
      </c>
      <c r="I961" s="34">
        <f>IFERROR(IF(ISNUMBER($A961),IF(AND(AH!$U$12=1,956+1=AH!$U$6),TODAY(),IF(AH!$U$5=1,INDEX('Live History'!$G$5:$G$3004,MATCH($A961,'Live History'!$G$5:$G$3004,1)),INDEX('AH History'!$C$5:$C$1380,$K961))),NA()),NA())</f>
        <v/>
      </c>
      <c r="J961" s="32">
        <f>IFERROR(IF(AND($F961&gt;0,$H961&gt;0,$A961-$G961&lt;=10,$A961-$I961&lt;=5,$G961&gt;0,$I961&gt;0),$F961*$H961,NA()),NA())</f>
        <v/>
      </c>
      <c r="K961" s="15">
        <f>IF($A961="","",IF(AH!$U$5=1,IFERROR(MATCH($A961,'Live History'!$A$5:$A$3004,0),0),AH!$U$7+956))</f>
        <v/>
      </c>
      <c r="L961" s="15">
        <f>IF(ISNUMBER(A961),TEXT(A961,"dd-mmm-yy"),"")</f>
        <v/>
      </c>
    </row>
    <row r="962">
      <c r="A962" s="14">
        <f>IF(OR(AH!$U$4=0,957+1&gt;AH!$U$6,AND(AH!$M$5="Bloomberg",AH!$U$5=0)),"",IFERROR(IF(AND(AH!$U$12=1,957+1=AH!$U$6),TODAY(),IF(AH!$U$5=1,INDEX('Live History'!$A$5:$A$3004,AH!$U$7+957),INDEX('AH History'!$A$5:$A$1380,AH!$U$7+957))),""))</f>
        <v/>
      </c>
      <c r="B962" s="33">
        <f>IFERROR(IF(AH!$U$11=1,NA(),$J962/$E962-1),NA())</f>
        <v/>
      </c>
      <c r="C962" s="269">
        <f>IFERROR(100*$E962/$E$5,NA())</f>
        <v/>
      </c>
      <c r="D962" s="269">
        <f>IFERROR(100*$J962/$J$5,NA())</f>
        <v/>
      </c>
      <c r="E962" s="32">
        <f>IFERROR(IF(AND(ISNUMBER($A962),N(IF(AND(AH!$U$12=1,957+1=AH!$U$6),IF(AH!$U$4=0,"unavailable",INDEX('Market Data'!$AN$5:$AN$66,AH!$U$4)),IF(AH!$U$5=1,INDEX('Live History'!$B$5:$B$3004,$K962),INDEX('AH History'!$D$5:$GG$1380,$K962,AH!$U$10))))&gt;0),IF(AND(AH!$U$12=1,957+1=AH!$U$6),IF(AH!$U$4=0,"unavailable",INDEX('Market Data'!$AN$5:$AN$66,AH!$U$4)),IF(AH!$U$5=1,INDEX('Live History'!$B$5:$B$3004,$K962),INDEX('AH History'!$D$5:$GG$1380,$K962,AH!$U$10))),NA()),NA())</f>
        <v/>
      </c>
      <c r="F962" s="32">
        <f>IFERROR(IF(ISNUMBER($A962),IF(AND(AH!$U$12=1,957+1=AH!$U$6),IF(AH!$U$4=0,"unavailable",INDEX('Market Data'!$AO$5:$AO$66,AH!$U$4)),IF(AH!$U$5=1,INDEX('Live History'!$E$5:$E$3004,MATCH($A962,'Live History'!$D$5:$D$3004,1)),INDEX('AH History'!$D$5:$GG$1380,$K962,AH!$U$10+1))),NA()),NA())</f>
        <v/>
      </c>
      <c r="G962" s="34">
        <f>IFERROR(IF(ISNUMBER($A962),IF(AND(AH!$U$12=1,957+1=AH!$U$6),IF(AH!$U$4=0,"unavailable",INDEX('Market Data'!$AK$5:$AK$66,AH!$U$4)),IF(AH!$U$5=1,INDEX('Live History'!$D$5:$D$3004,MATCH($A962,'Live History'!$D$5:$D$3004,1)),INDEX('AH History'!$D$5:$GG$1380,$K962,AH!$U$10+2))),NA()),NA())</f>
        <v/>
      </c>
      <c r="H962" s="266">
        <f>IFERROR(IF(ISNUMBER($A962),IF(AND(AH!$U$12=1,957+1=AH!$U$6),IF(AH!$U$4=0,"unavailable",INDEX('Market Data'!$AP$5:$AP$66,AH!$U$4)),IF(AH!$U$5=1,INDEX('Live History'!$H$5:$H$3004,MATCH($A962,'Live History'!$G$5:$G$3004,1)),INDEX('AH History'!$B$5:$B$1380,$K962))),NA()),NA())</f>
        <v/>
      </c>
      <c r="I962" s="34">
        <f>IFERROR(IF(ISNUMBER($A962),IF(AND(AH!$U$12=1,957+1=AH!$U$6),TODAY(),IF(AH!$U$5=1,INDEX('Live History'!$G$5:$G$3004,MATCH($A962,'Live History'!$G$5:$G$3004,1)),INDEX('AH History'!$C$5:$C$1380,$K962))),NA()),NA())</f>
        <v/>
      </c>
      <c r="J962" s="32">
        <f>IFERROR(IF(AND($F962&gt;0,$H962&gt;0,$A962-$G962&lt;=10,$A962-$I962&lt;=5,$G962&gt;0,$I962&gt;0),$F962*$H962,NA()),NA())</f>
        <v/>
      </c>
      <c r="K962" s="15">
        <f>IF($A962="","",IF(AH!$U$5=1,IFERROR(MATCH($A962,'Live History'!$A$5:$A$3004,0),0),AH!$U$7+957))</f>
        <v/>
      </c>
      <c r="L962" s="15">
        <f>IF(ISNUMBER(A962),TEXT(A962,"dd-mmm-yy"),"")</f>
        <v/>
      </c>
    </row>
    <row r="963">
      <c r="A963" s="14">
        <f>IF(OR(AH!$U$4=0,958+1&gt;AH!$U$6,AND(AH!$M$5="Bloomberg",AH!$U$5=0)),"",IFERROR(IF(AND(AH!$U$12=1,958+1=AH!$U$6),TODAY(),IF(AH!$U$5=1,INDEX('Live History'!$A$5:$A$3004,AH!$U$7+958),INDEX('AH History'!$A$5:$A$1380,AH!$U$7+958))),""))</f>
        <v/>
      </c>
      <c r="B963" s="33">
        <f>IFERROR(IF(AH!$U$11=1,NA(),$J963/$E963-1),NA())</f>
        <v/>
      </c>
      <c r="C963" s="269">
        <f>IFERROR(100*$E963/$E$5,NA())</f>
        <v/>
      </c>
      <c r="D963" s="269">
        <f>IFERROR(100*$J963/$J$5,NA())</f>
        <v/>
      </c>
      <c r="E963" s="32">
        <f>IFERROR(IF(AND(ISNUMBER($A963),N(IF(AND(AH!$U$12=1,958+1=AH!$U$6),IF(AH!$U$4=0,"unavailable",INDEX('Market Data'!$AN$5:$AN$66,AH!$U$4)),IF(AH!$U$5=1,INDEX('Live History'!$B$5:$B$3004,$K963),INDEX('AH History'!$D$5:$GG$1380,$K963,AH!$U$10))))&gt;0),IF(AND(AH!$U$12=1,958+1=AH!$U$6),IF(AH!$U$4=0,"unavailable",INDEX('Market Data'!$AN$5:$AN$66,AH!$U$4)),IF(AH!$U$5=1,INDEX('Live History'!$B$5:$B$3004,$K963),INDEX('AH History'!$D$5:$GG$1380,$K963,AH!$U$10))),NA()),NA())</f>
        <v/>
      </c>
      <c r="F963" s="32">
        <f>IFERROR(IF(ISNUMBER($A963),IF(AND(AH!$U$12=1,958+1=AH!$U$6),IF(AH!$U$4=0,"unavailable",INDEX('Market Data'!$AO$5:$AO$66,AH!$U$4)),IF(AH!$U$5=1,INDEX('Live History'!$E$5:$E$3004,MATCH($A963,'Live History'!$D$5:$D$3004,1)),INDEX('AH History'!$D$5:$GG$1380,$K963,AH!$U$10+1))),NA()),NA())</f>
        <v/>
      </c>
      <c r="G963" s="34">
        <f>IFERROR(IF(ISNUMBER($A963),IF(AND(AH!$U$12=1,958+1=AH!$U$6),IF(AH!$U$4=0,"unavailable",INDEX('Market Data'!$AK$5:$AK$66,AH!$U$4)),IF(AH!$U$5=1,INDEX('Live History'!$D$5:$D$3004,MATCH($A963,'Live History'!$D$5:$D$3004,1)),INDEX('AH History'!$D$5:$GG$1380,$K963,AH!$U$10+2))),NA()),NA())</f>
        <v/>
      </c>
      <c r="H963" s="266">
        <f>IFERROR(IF(ISNUMBER($A963),IF(AND(AH!$U$12=1,958+1=AH!$U$6),IF(AH!$U$4=0,"unavailable",INDEX('Market Data'!$AP$5:$AP$66,AH!$U$4)),IF(AH!$U$5=1,INDEX('Live History'!$H$5:$H$3004,MATCH($A963,'Live History'!$G$5:$G$3004,1)),INDEX('AH History'!$B$5:$B$1380,$K963))),NA()),NA())</f>
        <v/>
      </c>
      <c r="I963" s="34">
        <f>IFERROR(IF(ISNUMBER($A963),IF(AND(AH!$U$12=1,958+1=AH!$U$6),TODAY(),IF(AH!$U$5=1,INDEX('Live History'!$G$5:$G$3004,MATCH($A963,'Live History'!$G$5:$G$3004,1)),INDEX('AH History'!$C$5:$C$1380,$K963))),NA()),NA())</f>
        <v/>
      </c>
      <c r="J963" s="32">
        <f>IFERROR(IF(AND($F963&gt;0,$H963&gt;0,$A963-$G963&lt;=10,$A963-$I963&lt;=5,$G963&gt;0,$I963&gt;0),$F963*$H963,NA()),NA())</f>
        <v/>
      </c>
      <c r="K963" s="15">
        <f>IF($A963="","",IF(AH!$U$5=1,IFERROR(MATCH($A963,'Live History'!$A$5:$A$3004,0),0),AH!$U$7+958))</f>
        <v/>
      </c>
      <c r="L963" s="15">
        <f>IF(ISNUMBER(A963),TEXT(A963,"dd-mmm-yy"),"")</f>
        <v/>
      </c>
    </row>
    <row r="964">
      <c r="A964" s="14">
        <f>IF(OR(AH!$U$4=0,959+1&gt;AH!$U$6,AND(AH!$M$5="Bloomberg",AH!$U$5=0)),"",IFERROR(IF(AND(AH!$U$12=1,959+1=AH!$U$6),TODAY(),IF(AH!$U$5=1,INDEX('Live History'!$A$5:$A$3004,AH!$U$7+959),INDEX('AH History'!$A$5:$A$1380,AH!$U$7+959))),""))</f>
        <v/>
      </c>
      <c r="B964" s="33">
        <f>IFERROR(IF(AH!$U$11=1,NA(),$J964/$E964-1),NA())</f>
        <v/>
      </c>
      <c r="C964" s="269">
        <f>IFERROR(100*$E964/$E$5,NA())</f>
        <v/>
      </c>
      <c r="D964" s="269">
        <f>IFERROR(100*$J964/$J$5,NA())</f>
        <v/>
      </c>
      <c r="E964" s="32">
        <f>IFERROR(IF(AND(ISNUMBER($A964),N(IF(AND(AH!$U$12=1,959+1=AH!$U$6),IF(AH!$U$4=0,"unavailable",INDEX('Market Data'!$AN$5:$AN$66,AH!$U$4)),IF(AH!$U$5=1,INDEX('Live History'!$B$5:$B$3004,$K964),INDEX('AH History'!$D$5:$GG$1380,$K964,AH!$U$10))))&gt;0),IF(AND(AH!$U$12=1,959+1=AH!$U$6),IF(AH!$U$4=0,"unavailable",INDEX('Market Data'!$AN$5:$AN$66,AH!$U$4)),IF(AH!$U$5=1,INDEX('Live History'!$B$5:$B$3004,$K964),INDEX('AH History'!$D$5:$GG$1380,$K964,AH!$U$10))),NA()),NA())</f>
        <v/>
      </c>
      <c r="F964" s="32">
        <f>IFERROR(IF(ISNUMBER($A964),IF(AND(AH!$U$12=1,959+1=AH!$U$6),IF(AH!$U$4=0,"unavailable",INDEX('Market Data'!$AO$5:$AO$66,AH!$U$4)),IF(AH!$U$5=1,INDEX('Live History'!$E$5:$E$3004,MATCH($A964,'Live History'!$D$5:$D$3004,1)),INDEX('AH History'!$D$5:$GG$1380,$K964,AH!$U$10+1))),NA()),NA())</f>
        <v/>
      </c>
      <c r="G964" s="34">
        <f>IFERROR(IF(ISNUMBER($A964),IF(AND(AH!$U$12=1,959+1=AH!$U$6),IF(AH!$U$4=0,"unavailable",INDEX('Market Data'!$AK$5:$AK$66,AH!$U$4)),IF(AH!$U$5=1,INDEX('Live History'!$D$5:$D$3004,MATCH($A964,'Live History'!$D$5:$D$3004,1)),INDEX('AH History'!$D$5:$GG$1380,$K964,AH!$U$10+2))),NA()),NA())</f>
        <v/>
      </c>
      <c r="H964" s="266">
        <f>IFERROR(IF(ISNUMBER($A964),IF(AND(AH!$U$12=1,959+1=AH!$U$6),IF(AH!$U$4=0,"unavailable",INDEX('Market Data'!$AP$5:$AP$66,AH!$U$4)),IF(AH!$U$5=1,INDEX('Live History'!$H$5:$H$3004,MATCH($A964,'Live History'!$G$5:$G$3004,1)),INDEX('AH History'!$B$5:$B$1380,$K964))),NA()),NA())</f>
        <v/>
      </c>
      <c r="I964" s="34">
        <f>IFERROR(IF(ISNUMBER($A964),IF(AND(AH!$U$12=1,959+1=AH!$U$6),TODAY(),IF(AH!$U$5=1,INDEX('Live History'!$G$5:$G$3004,MATCH($A964,'Live History'!$G$5:$G$3004,1)),INDEX('AH History'!$C$5:$C$1380,$K964))),NA()),NA())</f>
        <v/>
      </c>
      <c r="J964" s="32">
        <f>IFERROR(IF(AND($F964&gt;0,$H964&gt;0,$A964-$G964&lt;=10,$A964-$I964&lt;=5,$G964&gt;0,$I964&gt;0),$F964*$H964,NA()),NA())</f>
        <v/>
      </c>
      <c r="K964" s="15">
        <f>IF($A964="","",IF(AH!$U$5=1,IFERROR(MATCH($A964,'Live History'!$A$5:$A$3004,0),0),AH!$U$7+959))</f>
        <v/>
      </c>
      <c r="L964" s="15">
        <f>IF(ISNUMBER(A964),TEXT(A964,"dd-mmm-yy"),"")</f>
        <v/>
      </c>
    </row>
    <row r="965">
      <c r="A965" s="14">
        <f>IF(OR(AH!$U$4=0,960+1&gt;AH!$U$6,AND(AH!$M$5="Bloomberg",AH!$U$5=0)),"",IFERROR(IF(AND(AH!$U$12=1,960+1=AH!$U$6),TODAY(),IF(AH!$U$5=1,INDEX('Live History'!$A$5:$A$3004,AH!$U$7+960),INDEX('AH History'!$A$5:$A$1380,AH!$U$7+960))),""))</f>
        <v/>
      </c>
      <c r="B965" s="33">
        <f>IFERROR(IF(AH!$U$11=1,NA(),$J965/$E965-1),NA())</f>
        <v/>
      </c>
      <c r="C965" s="269">
        <f>IFERROR(100*$E965/$E$5,NA())</f>
        <v/>
      </c>
      <c r="D965" s="269">
        <f>IFERROR(100*$J965/$J$5,NA())</f>
        <v/>
      </c>
      <c r="E965" s="32">
        <f>IFERROR(IF(AND(ISNUMBER($A965),N(IF(AND(AH!$U$12=1,960+1=AH!$U$6),IF(AH!$U$4=0,"unavailable",INDEX('Market Data'!$AN$5:$AN$66,AH!$U$4)),IF(AH!$U$5=1,INDEX('Live History'!$B$5:$B$3004,$K965),INDEX('AH History'!$D$5:$GG$1380,$K965,AH!$U$10))))&gt;0),IF(AND(AH!$U$12=1,960+1=AH!$U$6),IF(AH!$U$4=0,"unavailable",INDEX('Market Data'!$AN$5:$AN$66,AH!$U$4)),IF(AH!$U$5=1,INDEX('Live History'!$B$5:$B$3004,$K965),INDEX('AH History'!$D$5:$GG$1380,$K965,AH!$U$10))),NA()),NA())</f>
        <v/>
      </c>
      <c r="F965" s="32">
        <f>IFERROR(IF(ISNUMBER($A965),IF(AND(AH!$U$12=1,960+1=AH!$U$6),IF(AH!$U$4=0,"unavailable",INDEX('Market Data'!$AO$5:$AO$66,AH!$U$4)),IF(AH!$U$5=1,INDEX('Live History'!$E$5:$E$3004,MATCH($A965,'Live History'!$D$5:$D$3004,1)),INDEX('AH History'!$D$5:$GG$1380,$K965,AH!$U$10+1))),NA()),NA())</f>
        <v/>
      </c>
      <c r="G965" s="34">
        <f>IFERROR(IF(ISNUMBER($A965),IF(AND(AH!$U$12=1,960+1=AH!$U$6),IF(AH!$U$4=0,"unavailable",INDEX('Market Data'!$AK$5:$AK$66,AH!$U$4)),IF(AH!$U$5=1,INDEX('Live History'!$D$5:$D$3004,MATCH($A965,'Live History'!$D$5:$D$3004,1)),INDEX('AH History'!$D$5:$GG$1380,$K965,AH!$U$10+2))),NA()),NA())</f>
        <v/>
      </c>
      <c r="H965" s="266">
        <f>IFERROR(IF(ISNUMBER($A965),IF(AND(AH!$U$12=1,960+1=AH!$U$6),IF(AH!$U$4=0,"unavailable",INDEX('Market Data'!$AP$5:$AP$66,AH!$U$4)),IF(AH!$U$5=1,INDEX('Live History'!$H$5:$H$3004,MATCH($A965,'Live History'!$G$5:$G$3004,1)),INDEX('AH History'!$B$5:$B$1380,$K965))),NA()),NA())</f>
        <v/>
      </c>
      <c r="I965" s="34">
        <f>IFERROR(IF(ISNUMBER($A965),IF(AND(AH!$U$12=1,960+1=AH!$U$6),TODAY(),IF(AH!$U$5=1,INDEX('Live History'!$G$5:$G$3004,MATCH($A965,'Live History'!$G$5:$G$3004,1)),INDEX('AH History'!$C$5:$C$1380,$K965))),NA()),NA())</f>
        <v/>
      </c>
      <c r="J965" s="32">
        <f>IFERROR(IF(AND($F965&gt;0,$H965&gt;0,$A965-$G965&lt;=10,$A965-$I965&lt;=5,$G965&gt;0,$I965&gt;0),$F965*$H965,NA()),NA())</f>
        <v/>
      </c>
      <c r="K965" s="15">
        <f>IF($A965="","",IF(AH!$U$5=1,IFERROR(MATCH($A965,'Live History'!$A$5:$A$3004,0),0),AH!$U$7+960))</f>
        <v/>
      </c>
      <c r="L965" s="15">
        <f>IF(ISNUMBER(A965),TEXT(A965,"dd-mmm-yy"),"")</f>
        <v/>
      </c>
    </row>
    <row r="966">
      <c r="A966" s="14">
        <f>IF(OR(AH!$U$4=0,961+1&gt;AH!$U$6,AND(AH!$M$5="Bloomberg",AH!$U$5=0)),"",IFERROR(IF(AND(AH!$U$12=1,961+1=AH!$U$6),TODAY(),IF(AH!$U$5=1,INDEX('Live History'!$A$5:$A$3004,AH!$U$7+961),INDEX('AH History'!$A$5:$A$1380,AH!$U$7+961))),""))</f>
        <v/>
      </c>
      <c r="B966" s="33">
        <f>IFERROR(IF(AH!$U$11=1,NA(),$J966/$E966-1),NA())</f>
        <v/>
      </c>
      <c r="C966" s="269">
        <f>IFERROR(100*$E966/$E$5,NA())</f>
        <v/>
      </c>
      <c r="D966" s="269">
        <f>IFERROR(100*$J966/$J$5,NA())</f>
        <v/>
      </c>
      <c r="E966" s="32">
        <f>IFERROR(IF(AND(ISNUMBER($A966),N(IF(AND(AH!$U$12=1,961+1=AH!$U$6),IF(AH!$U$4=0,"unavailable",INDEX('Market Data'!$AN$5:$AN$66,AH!$U$4)),IF(AH!$U$5=1,INDEX('Live History'!$B$5:$B$3004,$K966),INDEX('AH History'!$D$5:$GG$1380,$K966,AH!$U$10))))&gt;0),IF(AND(AH!$U$12=1,961+1=AH!$U$6),IF(AH!$U$4=0,"unavailable",INDEX('Market Data'!$AN$5:$AN$66,AH!$U$4)),IF(AH!$U$5=1,INDEX('Live History'!$B$5:$B$3004,$K966),INDEX('AH History'!$D$5:$GG$1380,$K966,AH!$U$10))),NA()),NA())</f>
        <v/>
      </c>
      <c r="F966" s="32">
        <f>IFERROR(IF(ISNUMBER($A966),IF(AND(AH!$U$12=1,961+1=AH!$U$6),IF(AH!$U$4=0,"unavailable",INDEX('Market Data'!$AO$5:$AO$66,AH!$U$4)),IF(AH!$U$5=1,INDEX('Live History'!$E$5:$E$3004,MATCH($A966,'Live History'!$D$5:$D$3004,1)),INDEX('AH History'!$D$5:$GG$1380,$K966,AH!$U$10+1))),NA()),NA())</f>
        <v/>
      </c>
      <c r="G966" s="34">
        <f>IFERROR(IF(ISNUMBER($A966),IF(AND(AH!$U$12=1,961+1=AH!$U$6),IF(AH!$U$4=0,"unavailable",INDEX('Market Data'!$AK$5:$AK$66,AH!$U$4)),IF(AH!$U$5=1,INDEX('Live History'!$D$5:$D$3004,MATCH($A966,'Live History'!$D$5:$D$3004,1)),INDEX('AH History'!$D$5:$GG$1380,$K966,AH!$U$10+2))),NA()),NA())</f>
        <v/>
      </c>
      <c r="H966" s="266">
        <f>IFERROR(IF(ISNUMBER($A966),IF(AND(AH!$U$12=1,961+1=AH!$U$6),IF(AH!$U$4=0,"unavailable",INDEX('Market Data'!$AP$5:$AP$66,AH!$U$4)),IF(AH!$U$5=1,INDEX('Live History'!$H$5:$H$3004,MATCH($A966,'Live History'!$G$5:$G$3004,1)),INDEX('AH History'!$B$5:$B$1380,$K966))),NA()),NA())</f>
        <v/>
      </c>
      <c r="I966" s="34">
        <f>IFERROR(IF(ISNUMBER($A966),IF(AND(AH!$U$12=1,961+1=AH!$U$6),TODAY(),IF(AH!$U$5=1,INDEX('Live History'!$G$5:$G$3004,MATCH($A966,'Live History'!$G$5:$G$3004,1)),INDEX('AH History'!$C$5:$C$1380,$K966))),NA()),NA())</f>
        <v/>
      </c>
      <c r="J966" s="32">
        <f>IFERROR(IF(AND($F966&gt;0,$H966&gt;0,$A966-$G966&lt;=10,$A966-$I966&lt;=5,$G966&gt;0,$I966&gt;0),$F966*$H966,NA()),NA())</f>
        <v/>
      </c>
      <c r="K966" s="15">
        <f>IF($A966="","",IF(AH!$U$5=1,IFERROR(MATCH($A966,'Live History'!$A$5:$A$3004,0),0),AH!$U$7+961))</f>
        <v/>
      </c>
      <c r="L966" s="15">
        <f>IF(ISNUMBER(A966),TEXT(A966,"dd-mmm-yy"),"")</f>
        <v/>
      </c>
    </row>
    <row r="967">
      <c r="A967" s="14">
        <f>IF(OR(AH!$U$4=0,962+1&gt;AH!$U$6,AND(AH!$M$5="Bloomberg",AH!$U$5=0)),"",IFERROR(IF(AND(AH!$U$12=1,962+1=AH!$U$6),TODAY(),IF(AH!$U$5=1,INDEX('Live History'!$A$5:$A$3004,AH!$U$7+962),INDEX('AH History'!$A$5:$A$1380,AH!$U$7+962))),""))</f>
        <v/>
      </c>
      <c r="B967" s="33">
        <f>IFERROR(IF(AH!$U$11=1,NA(),$J967/$E967-1),NA())</f>
        <v/>
      </c>
      <c r="C967" s="269">
        <f>IFERROR(100*$E967/$E$5,NA())</f>
        <v/>
      </c>
      <c r="D967" s="269">
        <f>IFERROR(100*$J967/$J$5,NA())</f>
        <v/>
      </c>
      <c r="E967" s="32">
        <f>IFERROR(IF(AND(ISNUMBER($A967),N(IF(AND(AH!$U$12=1,962+1=AH!$U$6),IF(AH!$U$4=0,"unavailable",INDEX('Market Data'!$AN$5:$AN$66,AH!$U$4)),IF(AH!$U$5=1,INDEX('Live History'!$B$5:$B$3004,$K967),INDEX('AH History'!$D$5:$GG$1380,$K967,AH!$U$10))))&gt;0),IF(AND(AH!$U$12=1,962+1=AH!$U$6),IF(AH!$U$4=0,"unavailable",INDEX('Market Data'!$AN$5:$AN$66,AH!$U$4)),IF(AH!$U$5=1,INDEX('Live History'!$B$5:$B$3004,$K967),INDEX('AH History'!$D$5:$GG$1380,$K967,AH!$U$10))),NA()),NA())</f>
        <v/>
      </c>
      <c r="F967" s="32">
        <f>IFERROR(IF(ISNUMBER($A967),IF(AND(AH!$U$12=1,962+1=AH!$U$6),IF(AH!$U$4=0,"unavailable",INDEX('Market Data'!$AO$5:$AO$66,AH!$U$4)),IF(AH!$U$5=1,INDEX('Live History'!$E$5:$E$3004,MATCH($A967,'Live History'!$D$5:$D$3004,1)),INDEX('AH History'!$D$5:$GG$1380,$K967,AH!$U$10+1))),NA()),NA())</f>
        <v/>
      </c>
      <c r="G967" s="34">
        <f>IFERROR(IF(ISNUMBER($A967),IF(AND(AH!$U$12=1,962+1=AH!$U$6),IF(AH!$U$4=0,"unavailable",INDEX('Market Data'!$AK$5:$AK$66,AH!$U$4)),IF(AH!$U$5=1,INDEX('Live History'!$D$5:$D$3004,MATCH($A967,'Live History'!$D$5:$D$3004,1)),INDEX('AH History'!$D$5:$GG$1380,$K967,AH!$U$10+2))),NA()),NA())</f>
        <v/>
      </c>
      <c r="H967" s="266">
        <f>IFERROR(IF(ISNUMBER($A967),IF(AND(AH!$U$12=1,962+1=AH!$U$6),IF(AH!$U$4=0,"unavailable",INDEX('Market Data'!$AP$5:$AP$66,AH!$U$4)),IF(AH!$U$5=1,INDEX('Live History'!$H$5:$H$3004,MATCH($A967,'Live History'!$G$5:$G$3004,1)),INDEX('AH History'!$B$5:$B$1380,$K967))),NA()),NA())</f>
        <v/>
      </c>
      <c r="I967" s="34">
        <f>IFERROR(IF(ISNUMBER($A967),IF(AND(AH!$U$12=1,962+1=AH!$U$6),TODAY(),IF(AH!$U$5=1,INDEX('Live History'!$G$5:$G$3004,MATCH($A967,'Live History'!$G$5:$G$3004,1)),INDEX('AH History'!$C$5:$C$1380,$K967))),NA()),NA())</f>
        <v/>
      </c>
      <c r="J967" s="32">
        <f>IFERROR(IF(AND($F967&gt;0,$H967&gt;0,$A967-$G967&lt;=10,$A967-$I967&lt;=5,$G967&gt;0,$I967&gt;0),$F967*$H967,NA()),NA())</f>
        <v/>
      </c>
      <c r="K967" s="15">
        <f>IF($A967="","",IF(AH!$U$5=1,IFERROR(MATCH($A967,'Live History'!$A$5:$A$3004,0),0),AH!$U$7+962))</f>
        <v/>
      </c>
      <c r="L967" s="15">
        <f>IF(ISNUMBER(A967),TEXT(A967,"dd-mmm-yy"),"")</f>
        <v/>
      </c>
    </row>
    <row r="968">
      <c r="A968" s="14">
        <f>IF(OR(AH!$U$4=0,963+1&gt;AH!$U$6,AND(AH!$M$5="Bloomberg",AH!$U$5=0)),"",IFERROR(IF(AND(AH!$U$12=1,963+1=AH!$U$6),TODAY(),IF(AH!$U$5=1,INDEX('Live History'!$A$5:$A$3004,AH!$U$7+963),INDEX('AH History'!$A$5:$A$1380,AH!$U$7+963))),""))</f>
        <v/>
      </c>
      <c r="B968" s="33">
        <f>IFERROR(IF(AH!$U$11=1,NA(),$J968/$E968-1),NA())</f>
        <v/>
      </c>
      <c r="C968" s="269">
        <f>IFERROR(100*$E968/$E$5,NA())</f>
        <v/>
      </c>
      <c r="D968" s="269">
        <f>IFERROR(100*$J968/$J$5,NA())</f>
        <v/>
      </c>
      <c r="E968" s="32">
        <f>IFERROR(IF(AND(ISNUMBER($A968),N(IF(AND(AH!$U$12=1,963+1=AH!$U$6),IF(AH!$U$4=0,"unavailable",INDEX('Market Data'!$AN$5:$AN$66,AH!$U$4)),IF(AH!$U$5=1,INDEX('Live History'!$B$5:$B$3004,$K968),INDEX('AH History'!$D$5:$GG$1380,$K968,AH!$U$10))))&gt;0),IF(AND(AH!$U$12=1,963+1=AH!$U$6),IF(AH!$U$4=0,"unavailable",INDEX('Market Data'!$AN$5:$AN$66,AH!$U$4)),IF(AH!$U$5=1,INDEX('Live History'!$B$5:$B$3004,$K968),INDEX('AH History'!$D$5:$GG$1380,$K968,AH!$U$10))),NA()),NA())</f>
        <v/>
      </c>
      <c r="F968" s="32">
        <f>IFERROR(IF(ISNUMBER($A968),IF(AND(AH!$U$12=1,963+1=AH!$U$6),IF(AH!$U$4=0,"unavailable",INDEX('Market Data'!$AO$5:$AO$66,AH!$U$4)),IF(AH!$U$5=1,INDEX('Live History'!$E$5:$E$3004,MATCH($A968,'Live History'!$D$5:$D$3004,1)),INDEX('AH History'!$D$5:$GG$1380,$K968,AH!$U$10+1))),NA()),NA())</f>
        <v/>
      </c>
      <c r="G968" s="34">
        <f>IFERROR(IF(ISNUMBER($A968),IF(AND(AH!$U$12=1,963+1=AH!$U$6),IF(AH!$U$4=0,"unavailable",INDEX('Market Data'!$AK$5:$AK$66,AH!$U$4)),IF(AH!$U$5=1,INDEX('Live History'!$D$5:$D$3004,MATCH($A968,'Live History'!$D$5:$D$3004,1)),INDEX('AH History'!$D$5:$GG$1380,$K968,AH!$U$10+2))),NA()),NA())</f>
        <v/>
      </c>
      <c r="H968" s="266">
        <f>IFERROR(IF(ISNUMBER($A968),IF(AND(AH!$U$12=1,963+1=AH!$U$6),IF(AH!$U$4=0,"unavailable",INDEX('Market Data'!$AP$5:$AP$66,AH!$U$4)),IF(AH!$U$5=1,INDEX('Live History'!$H$5:$H$3004,MATCH($A968,'Live History'!$G$5:$G$3004,1)),INDEX('AH History'!$B$5:$B$1380,$K968))),NA()),NA())</f>
        <v/>
      </c>
      <c r="I968" s="34">
        <f>IFERROR(IF(ISNUMBER($A968),IF(AND(AH!$U$12=1,963+1=AH!$U$6),TODAY(),IF(AH!$U$5=1,INDEX('Live History'!$G$5:$G$3004,MATCH($A968,'Live History'!$G$5:$G$3004,1)),INDEX('AH History'!$C$5:$C$1380,$K968))),NA()),NA())</f>
        <v/>
      </c>
      <c r="J968" s="32">
        <f>IFERROR(IF(AND($F968&gt;0,$H968&gt;0,$A968-$G968&lt;=10,$A968-$I968&lt;=5,$G968&gt;0,$I968&gt;0),$F968*$H968,NA()),NA())</f>
        <v/>
      </c>
      <c r="K968" s="15">
        <f>IF($A968="","",IF(AH!$U$5=1,IFERROR(MATCH($A968,'Live History'!$A$5:$A$3004,0),0),AH!$U$7+963))</f>
        <v/>
      </c>
      <c r="L968" s="15">
        <f>IF(ISNUMBER(A968),TEXT(A968,"dd-mmm-yy"),"")</f>
        <v/>
      </c>
    </row>
    <row r="969">
      <c r="A969" s="14">
        <f>IF(OR(AH!$U$4=0,964+1&gt;AH!$U$6,AND(AH!$M$5="Bloomberg",AH!$U$5=0)),"",IFERROR(IF(AND(AH!$U$12=1,964+1=AH!$U$6),TODAY(),IF(AH!$U$5=1,INDEX('Live History'!$A$5:$A$3004,AH!$U$7+964),INDEX('AH History'!$A$5:$A$1380,AH!$U$7+964))),""))</f>
        <v/>
      </c>
      <c r="B969" s="33">
        <f>IFERROR(IF(AH!$U$11=1,NA(),$J969/$E969-1),NA())</f>
        <v/>
      </c>
      <c r="C969" s="269">
        <f>IFERROR(100*$E969/$E$5,NA())</f>
        <v/>
      </c>
      <c r="D969" s="269">
        <f>IFERROR(100*$J969/$J$5,NA())</f>
        <v/>
      </c>
      <c r="E969" s="32">
        <f>IFERROR(IF(AND(ISNUMBER($A969),N(IF(AND(AH!$U$12=1,964+1=AH!$U$6),IF(AH!$U$4=0,"unavailable",INDEX('Market Data'!$AN$5:$AN$66,AH!$U$4)),IF(AH!$U$5=1,INDEX('Live History'!$B$5:$B$3004,$K969),INDEX('AH History'!$D$5:$GG$1380,$K969,AH!$U$10))))&gt;0),IF(AND(AH!$U$12=1,964+1=AH!$U$6),IF(AH!$U$4=0,"unavailable",INDEX('Market Data'!$AN$5:$AN$66,AH!$U$4)),IF(AH!$U$5=1,INDEX('Live History'!$B$5:$B$3004,$K969),INDEX('AH History'!$D$5:$GG$1380,$K969,AH!$U$10))),NA()),NA())</f>
        <v/>
      </c>
      <c r="F969" s="32">
        <f>IFERROR(IF(ISNUMBER($A969),IF(AND(AH!$U$12=1,964+1=AH!$U$6),IF(AH!$U$4=0,"unavailable",INDEX('Market Data'!$AO$5:$AO$66,AH!$U$4)),IF(AH!$U$5=1,INDEX('Live History'!$E$5:$E$3004,MATCH($A969,'Live History'!$D$5:$D$3004,1)),INDEX('AH History'!$D$5:$GG$1380,$K969,AH!$U$10+1))),NA()),NA())</f>
        <v/>
      </c>
      <c r="G969" s="34">
        <f>IFERROR(IF(ISNUMBER($A969),IF(AND(AH!$U$12=1,964+1=AH!$U$6),IF(AH!$U$4=0,"unavailable",INDEX('Market Data'!$AK$5:$AK$66,AH!$U$4)),IF(AH!$U$5=1,INDEX('Live History'!$D$5:$D$3004,MATCH($A969,'Live History'!$D$5:$D$3004,1)),INDEX('AH History'!$D$5:$GG$1380,$K969,AH!$U$10+2))),NA()),NA())</f>
        <v/>
      </c>
      <c r="H969" s="266">
        <f>IFERROR(IF(ISNUMBER($A969),IF(AND(AH!$U$12=1,964+1=AH!$U$6),IF(AH!$U$4=0,"unavailable",INDEX('Market Data'!$AP$5:$AP$66,AH!$U$4)),IF(AH!$U$5=1,INDEX('Live History'!$H$5:$H$3004,MATCH($A969,'Live History'!$G$5:$G$3004,1)),INDEX('AH History'!$B$5:$B$1380,$K969))),NA()),NA())</f>
        <v/>
      </c>
      <c r="I969" s="34">
        <f>IFERROR(IF(ISNUMBER($A969),IF(AND(AH!$U$12=1,964+1=AH!$U$6),TODAY(),IF(AH!$U$5=1,INDEX('Live History'!$G$5:$G$3004,MATCH($A969,'Live History'!$G$5:$G$3004,1)),INDEX('AH History'!$C$5:$C$1380,$K969))),NA()),NA())</f>
        <v/>
      </c>
      <c r="J969" s="32">
        <f>IFERROR(IF(AND($F969&gt;0,$H969&gt;0,$A969-$G969&lt;=10,$A969-$I969&lt;=5,$G969&gt;0,$I969&gt;0),$F969*$H969,NA()),NA())</f>
        <v/>
      </c>
      <c r="K969" s="15">
        <f>IF($A969="","",IF(AH!$U$5=1,IFERROR(MATCH($A969,'Live History'!$A$5:$A$3004,0),0),AH!$U$7+964))</f>
        <v/>
      </c>
      <c r="L969" s="15">
        <f>IF(ISNUMBER(A969),TEXT(A969,"dd-mmm-yy"),"")</f>
        <v/>
      </c>
    </row>
    <row r="970">
      <c r="A970" s="14">
        <f>IF(OR(AH!$U$4=0,965+1&gt;AH!$U$6,AND(AH!$M$5="Bloomberg",AH!$U$5=0)),"",IFERROR(IF(AND(AH!$U$12=1,965+1=AH!$U$6),TODAY(),IF(AH!$U$5=1,INDEX('Live History'!$A$5:$A$3004,AH!$U$7+965),INDEX('AH History'!$A$5:$A$1380,AH!$U$7+965))),""))</f>
        <v/>
      </c>
      <c r="B970" s="33">
        <f>IFERROR(IF(AH!$U$11=1,NA(),$J970/$E970-1),NA())</f>
        <v/>
      </c>
      <c r="C970" s="269">
        <f>IFERROR(100*$E970/$E$5,NA())</f>
        <v/>
      </c>
      <c r="D970" s="269">
        <f>IFERROR(100*$J970/$J$5,NA())</f>
        <v/>
      </c>
      <c r="E970" s="32">
        <f>IFERROR(IF(AND(ISNUMBER($A970),N(IF(AND(AH!$U$12=1,965+1=AH!$U$6),IF(AH!$U$4=0,"unavailable",INDEX('Market Data'!$AN$5:$AN$66,AH!$U$4)),IF(AH!$U$5=1,INDEX('Live History'!$B$5:$B$3004,$K970),INDEX('AH History'!$D$5:$GG$1380,$K970,AH!$U$10))))&gt;0),IF(AND(AH!$U$12=1,965+1=AH!$U$6),IF(AH!$U$4=0,"unavailable",INDEX('Market Data'!$AN$5:$AN$66,AH!$U$4)),IF(AH!$U$5=1,INDEX('Live History'!$B$5:$B$3004,$K970),INDEX('AH History'!$D$5:$GG$1380,$K970,AH!$U$10))),NA()),NA())</f>
        <v/>
      </c>
      <c r="F970" s="32">
        <f>IFERROR(IF(ISNUMBER($A970),IF(AND(AH!$U$12=1,965+1=AH!$U$6),IF(AH!$U$4=0,"unavailable",INDEX('Market Data'!$AO$5:$AO$66,AH!$U$4)),IF(AH!$U$5=1,INDEX('Live History'!$E$5:$E$3004,MATCH($A970,'Live History'!$D$5:$D$3004,1)),INDEX('AH History'!$D$5:$GG$1380,$K970,AH!$U$10+1))),NA()),NA())</f>
        <v/>
      </c>
      <c r="G970" s="34">
        <f>IFERROR(IF(ISNUMBER($A970),IF(AND(AH!$U$12=1,965+1=AH!$U$6),IF(AH!$U$4=0,"unavailable",INDEX('Market Data'!$AK$5:$AK$66,AH!$U$4)),IF(AH!$U$5=1,INDEX('Live History'!$D$5:$D$3004,MATCH($A970,'Live History'!$D$5:$D$3004,1)),INDEX('AH History'!$D$5:$GG$1380,$K970,AH!$U$10+2))),NA()),NA())</f>
        <v/>
      </c>
      <c r="H970" s="266">
        <f>IFERROR(IF(ISNUMBER($A970),IF(AND(AH!$U$12=1,965+1=AH!$U$6),IF(AH!$U$4=0,"unavailable",INDEX('Market Data'!$AP$5:$AP$66,AH!$U$4)),IF(AH!$U$5=1,INDEX('Live History'!$H$5:$H$3004,MATCH($A970,'Live History'!$G$5:$G$3004,1)),INDEX('AH History'!$B$5:$B$1380,$K970))),NA()),NA())</f>
        <v/>
      </c>
      <c r="I970" s="34">
        <f>IFERROR(IF(ISNUMBER($A970),IF(AND(AH!$U$12=1,965+1=AH!$U$6),TODAY(),IF(AH!$U$5=1,INDEX('Live History'!$G$5:$G$3004,MATCH($A970,'Live History'!$G$5:$G$3004,1)),INDEX('AH History'!$C$5:$C$1380,$K970))),NA()),NA())</f>
        <v/>
      </c>
      <c r="J970" s="32">
        <f>IFERROR(IF(AND($F970&gt;0,$H970&gt;0,$A970-$G970&lt;=10,$A970-$I970&lt;=5,$G970&gt;0,$I970&gt;0),$F970*$H970,NA()),NA())</f>
        <v/>
      </c>
      <c r="K970" s="15">
        <f>IF($A970="","",IF(AH!$U$5=1,IFERROR(MATCH($A970,'Live History'!$A$5:$A$3004,0),0),AH!$U$7+965))</f>
        <v/>
      </c>
      <c r="L970" s="15">
        <f>IF(ISNUMBER(A970),TEXT(A970,"dd-mmm-yy"),"")</f>
        <v/>
      </c>
    </row>
    <row r="971">
      <c r="A971" s="14">
        <f>IF(OR(AH!$U$4=0,966+1&gt;AH!$U$6,AND(AH!$M$5="Bloomberg",AH!$U$5=0)),"",IFERROR(IF(AND(AH!$U$12=1,966+1=AH!$U$6),TODAY(),IF(AH!$U$5=1,INDEX('Live History'!$A$5:$A$3004,AH!$U$7+966),INDEX('AH History'!$A$5:$A$1380,AH!$U$7+966))),""))</f>
        <v/>
      </c>
      <c r="B971" s="33">
        <f>IFERROR(IF(AH!$U$11=1,NA(),$J971/$E971-1),NA())</f>
        <v/>
      </c>
      <c r="C971" s="269">
        <f>IFERROR(100*$E971/$E$5,NA())</f>
        <v/>
      </c>
      <c r="D971" s="269">
        <f>IFERROR(100*$J971/$J$5,NA())</f>
        <v/>
      </c>
      <c r="E971" s="32">
        <f>IFERROR(IF(AND(ISNUMBER($A971),N(IF(AND(AH!$U$12=1,966+1=AH!$U$6),IF(AH!$U$4=0,"unavailable",INDEX('Market Data'!$AN$5:$AN$66,AH!$U$4)),IF(AH!$U$5=1,INDEX('Live History'!$B$5:$B$3004,$K971),INDEX('AH History'!$D$5:$GG$1380,$K971,AH!$U$10))))&gt;0),IF(AND(AH!$U$12=1,966+1=AH!$U$6),IF(AH!$U$4=0,"unavailable",INDEX('Market Data'!$AN$5:$AN$66,AH!$U$4)),IF(AH!$U$5=1,INDEX('Live History'!$B$5:$B$3004,$K971),INDEX('AH History'!$D$5:$GG$1380,$K971,AH!$U$10))),NA()),NA())</f>
        <v/>
      </c>
      <c r="F971" s="32">
        <f>IFERROR(IF(ISNUMBER($A971),IF(AND(AH!$U$12=1,966+1=AH!$U$6),IF(AH!$U$4=0,"unavailable",INDEX('Market Data'!$AO$5:$AO$66,AH!$U$4)),IF(AH!$U$5=1,INDEX('Live History'!$E$5:$E$3004,MATCH($A971,'Live History'!$D$5:$D$3004,1)),INDEX('AH History'!$D$5:$GG$1380,$K971,AH!$U$10+1))),NA()),NA())</f>
        <v/>
      </c>
      <c r="G971" s="34">
        <f>IFERROR(IF(ISNUMBER($A971),IF(AND(AH!$U$12=1,966+1=AH!$U$6),IF(AH!$U$4=0,"unavailable",INDEX('Market Data'!$AK$5:$AK$66,AH!$U$4)),IF(AH!$U$5=1,INDEX('Live History'!$D$5:$D$3004,MATCH($A971,'Live History'!$D$5:$D$3004,1)),INDEX('AH History'!$D$5:$GG$1380,$K971,AH!$U$10+2))),NA()),NA())</f>
        <v/>
      </c>
      <c r="H971" s="266">
        <f>IFERROR(IF(ISNUMBER($A971),IF(AND(AH!$U$12=1,966+1=AH!$U$6),IF(AH!$U$4=0,"unavailable",INDEX('Market Data'!$AP$5:$AP$66,AH!$U$4)),IF(AH!$U$5=1,INDEX('Live History'!$H$5:$H$3004,MATCH($A971,'Live History'!$G$5:$G$3004,1)),INDEX('AH History'!$B$5:$B$1380,$K971))),NA()),NA())</f>
        <v/>
      </c>
      <c r="I971" s="34">
        <f>IFERROR(IF(ISNUMBER($A971),IF(AND(AH!$U$12=1,966+1=AH!$U$6),TODAY(),IF(AH!$U$5=1,INDEX('Live History'!$G$5:$G$3004,MATCH($A971,'Live History'!$G$5:$G$3004,1)),INDEX('AH History'!$C$5:$C$1380,$K971))),NA()),NA())</f>
        <v/>
      </c>
      <c r="J971" s="32">
        <f>IFERROR(IF(AND($F971&gt;0,$H971&gt;0,$A971-$G971&lt;=10,$A971-$I971&lt;=5,$G971&gt;0,$I971&gt;0),$F971*$H971,NA()),NA())</f>
        <v/>
      </c>
      <c r="K971" s="15">
        <f>IF($A971="","",IF(AH!$U$5=1,IFERROR(MATCH($A971,'Live History'!$A$5:$A$3004,0),0),AH!$U$7+966))</f>
        <v/>
      </c>
      <c r="L971" s="15">
        <f>IF(ISNUMBER(A971),TEXT(A971,"dd-mmm-yy"),"")</f>
        <v/>
      </c>
    </row>
    <row r="972">
      <c r="A972" s="14">
        <f>IF(OR(AH!$U$4=0,967+1&gt;AH!$U$6,AND(AH!$M$5="Bloomberg",AH!$U$5=0)),"",IFERROR(IF(AND(AH!$U$12=1,967+1=AH!$U$6),TODAY(),IF(AH!$U$5=1,INDEX('Live History'!$A$5:$A$3004,AH!$U$7+967),INDEX('AH History'!$A$5:$A$1380,AH!$U$7+967))),""))</f>
        <v/>
      </c>
      <c r="B972" s="33">
        <f>IFERROR(IF(AH!$U$11=1,NA(),$J972/$E972-1),NA())</f>
        <v/>
      </c>
      <c r="C972" s="269">
        <f>IFERROR(100*$E972/$E$5,NA())</f>
        <v/>
      </c>
      <c r="D972" s="269">
        <f>IFERROR(100*$J972/$J$5,NA())</f>
        <v/>
      </c>
      <c r="E972" s="32">
        <f>IFERROR(IF(AND(ISNUMBER($A972),N(IF(AND(AH!$U$12=1,967+1=AH!$U$6),IF(AH!$U$4=0,"unavailable",INDEX('Market Data'!$AN$5:$AN$66,AH!$U$4)),IF(AH!$U$5=1,INDEX('Live History'!$B$5:$B$3004,$K972),INDEX('AH History'!$D$5:$GG$1380,$K972,AH!$U$10))))&gt;0),IF(AND(AH!$U$12=1,967+1=AH!$U$6),IF(AH!$U$4=0,"unavailable",INDEX('Market Data'!$AN$5:$AN$66,AH!$U$4)),IF(AH!$U$5=1,INDEX('Live History'!$B$5:$B$3004,$K972),INDEX('AH History'!$D$5:$GG$1380,$K972,AH!$U$10))),NA()),NA())</f>
        <v/>
      </c>
      <c r="F972" s="32">
        <f>IFERROR(IF(ISNUMBER($A972),IF(AND(AH!$U$12=1,967+1=AH!$U$6),IF(AH!$U$4=0,"unavailable",INDEX('Market Data'!$AO$5:$AO$66,AH!$U$4)),IF(AH!$U$5=1,INDEX('Live History'!$E$5:$E$3004,MATCH($A972,'Live History'!$D$5:$D$3004,1)),INDEX('AH History'!$D$5:$GG$1380,$K972,AH!$U$10+1))),NA()),NA())</f>
        <v/>
      </c>
      <c r="G972" s="34">
        <f>IFERROR(IF(ISNUMBER($A972),IF(AND(AH!$U$12=1,967+1=AH!$U$6),IF(AH!$U$4=0,"unavailable",INDEX('Market Data'!$AK$5:$AK$66,AH!$U$4)),IF(AH!$U$5=1,INDEX('Live History'!$D$5:$D$3004,MATCH($A972,'Live History'!$D$5:$D$3004,1)),INDEX('AH History'!$D$5:$GG$1380,$K972,AH!$U$10+2))),NA()),NA())</f>
        <v/>
      </c>
      <c r="H972" s="266">
        <f>IFERROR(IF(ISNUMBER($A972),IF(AND(AH!$U$12=1,967+1=AH!$U$6),IF(AH!$U$4=0,"unavailable",INDEX('Market Data'!$AP$5:$AP$66,AH!$U$4)),IF(AH!$U$5=1,INDEX('Live History'!$H$5:$H$3004,MATCH($A972,'Live History'!$G$5:$G$3004,1)),INDEX('AH History'!$B$5:$B$1380,$K972))),NA()),NA())</f>
        <v/>
      </c>
      <c r="I972" s="34">
        <f>IFERROR(IF(ISNUMBER($A972),IF(AND(AH!$U$12=1,967+1=AH!$U$6),TODAY(),IF(AH!$U$5=1,INDEX('Live History'!$G$5:$G$3004,MATCH($A972,'Live History'!$G$5:$G$3004,1)),INDEX('AH History'!$C$5:$C$1380,$K972))),NA()),NA())</f>
        <v/>
      </c>
      <c r="J972" s="32">
        <f>IFERROR(IF(AND($F972&gt;0,$H972&gt;0,$A972-$G972&lt;=10,$A972-$I972&lt;=5,$G972&gt;0,$I972&gt;0),$F972*$H972,NA()),NA())</f>
        <v/>
      </c>
      <c r="K972" s="15">
        <f>IF($A972="","",IF(AH!$U$5=1,IFERROR(MATCH($A972,'Live History'!$A$5:$A$3004,0),0),AH!$U$7+967))</f>
        <v/>
      </c>
      <c r="L972" s="15">
        <f>IF(ISNUMBER(A972),TEXT(A972,"dd-mmm-yy"),"")</f>
        <v/>
      </c>
    </row>
    <row r="973">
      <c r="A973" s="14">
        <f>IF(OR(AH!$U$4=0,968+1&gt;AH!$U$6,AND(AH!$M$5="Bloomberg",AH!$U$5=0)),"",IFERROR(IF(AND(AH!$U$12=1,968+1=AH!$U$6),TODAY(),IF(AH!$U$5=1,INDEX('Live History'!$A$5:$A$3004,AH!$U$7+968),INDEX('AH History'!$A$5:$A$1380,AH!$U$7+968))),""))</f>
        <v/>
      </c>
      <c r="B973" s="33">
        <f>IFERROR(IF(AH!$U$11=1,NA(),$J973/$E973-1),NA())</f>
        <v/>
      </c>
      <c r="C973" s="269">
        <f>IFERROR(100*$E973/$E$5,NA())</f>
        <v/>
      </c>
      <c r="D973" s="269">
        <f>IFERROR(100*$J973/$J$5,NA())</f>
        <v/>
      </c>
      <c r="E973" s="32">
        <f>IFERROR(IF(AND(ISNUMBER($A973),N(IF(AND(AH!$U$12=1,968+1=AH!$U$6),IF(AH!$U$4=0,"unavailable",INDEX('Market Data'!$AN$5:$AN$66,AH!$U$4)),IF(AH!$U$5=1,INDEX('Live History'!$B$5:$B$3004,$K973),INDEX('AH History'!$D$5:$GG$1380,$K973,AH!$U$10))))&gt;0),IF(AND(AH!$U$12=1,968+1=AH!$U$6),IF(AH!$U$4=0,"unavailable",INDEX('Market Data'!$AN$5:$AN$66,AH!$U$4)),IF(AH!$U$5=1,INDEX('Live History'!$B$5:$B$3004,$K973),INDEX('AH History'!$D$5:$GG$1380,$K973,AH!$U$10))),NA()),NA())</f>
        <v/>
      </c>
      <c r="F973" s="32">
        <f>IFERROR(IF(ISNUMBER($A973),IF(AND(AH!$U$12=1,968+1=AH!$U$6),IF(AH!$U$4=0,"unavailable",INDEX('Market Data'!$AO$5:$AO$66,AH!$U$4)),IF(AH!$U$5=1,INDEX('Live History'!$E$5:$E$3004,MATCH($A973,'Live History'!$D$5:$D$3004,1)),INDEX('AH History'!$D$5:$GG$1380,$K973,AH!$U$10+1))),NA()),NA())</f>
        <v/>
      </c>
      <c r="G973" s="34">
        <f>IFERROR(IF(ISNUMBER($A973),IF(AND(AH!$U$12=1,968+1=AH!$U$6),IF(AH!$U$4=0,"unavailable",INDEX('Market Data'!$AK$5:$AK$66,AH!$U$4)),IF(AH!$U$5=1,INDEX('Live History'!$D$5:$D$3004,MATCH($A973,'Live History'!$D$5:$D$3004,1)),INDEX('AH History'!$D$5:$GG$1380,$K973,AH!$U$10+2))),NA()),NA())</f>
        <v/>
      </c>
      <c r="H973" s="266">
        <f>IFERROR(IF(ISNUMBER($A973),IF(AND(AH!$U$12=1,968+1=AH!$U$6),IF(AH!$U$4=0,"unavailable",INDEX('Market Data'!$AP$5:$AP$66,AH!$U$4)),IF(AH!$U$5=1,INDEX('Live History'!$H$5:$H$3004,MATCH($A973,'Live History'!$G$5:$G$3004,1)),INDEX('AH History'!$B$5:$B$1380,$K973))),NA()),NA())</f>
        <v/>
      </c>
      <c r="I973" s="34">
        <f>IFERROR(IF(ISNUMBER($A973),IF(AND(AH!$U$12=1,968+1=AH!$U$6),TODAY(),IF(AH!$U$5=1,INDEX('Live History'!$G$5:$G$3004,MATCH($A973,'Live History'!$G$5:$G$3004,1)),INDEX('AH History'!$C$5:$C$1380,$K973))),NA()),NA())</f>
        <v/>
      </c>
      <c r="J973" s="32">
        <f>IFERROR(IF(AND($F973&gt;0,$H973&gt;0,$A973-$G973&lt;=10,$A973-$I973&lt;=5,$G973&gt;0,$I973&gt;0),$F973*$H973,NA()),NA())</f>
        <v/>
      </c>
      <c r="K973" s="15">
        <f>IF($A973="","",IF(AH!$U$5=1,IFERROR(MATCH($A973,'Live History'!$A$5:$A$3004,0),0),AH!$U$7+968))</f>
        <v/>
      </c>
      <c r="L973" s="15">
        <f>IF(ISNUMBER(A973),TEXT(A973,"dd-mmm-yy"),"")</f>
        <v/>
      </c>
    </row>
    <row r="974">
      <c r="A974" s="14">
        <f>IF(OR(AH!$U$4=0,969+1&gt;AH!$U$6,AND(AH!$M$5="Bloomberg",AH!$U$5=0)),"",IFERROR(IF(AND(AH!$U$12=1,969+1=AH!$U$6),TODAY(),IF(AH!$U$5=1,INDEX('Live History'!$A$5:$A$3004,AH!$U$7+969),INDEX('AH History'!$A$5:$A$1380,AH!$U$7+969))),""))</f>
        <v/>
      </c>
      <c r="B974" s="33">
        <f>IFERROR(IF(AH!$U$11=1,NA(),$J974/$E974-1),NA())</f>
        <v/>
      </c>
      <c r="C974" s="269">
        <f>IFERROR(100*$E974/$E$5,NA())</f>
        <v/>
      </c>
      <c r="D974" s="269">
        <f>IFERROR(100*$J974/$J$5,NA())</f>
        <v/>
      </c>
      <c r="E974" s="32">
        <f>IFERROR(IF(AND(ISNUMBER($A974),N(IF(AND(AH!$U$12=1,969+1=AH!$U$6),IF(AH!$U$4=0,"unavailable",INDEX('Market Data'!$AN$5:$AN$66,AH!$U$4)),IF(AH!$U$5=1,INDEX('Live History'!$B$5:$B$3004,$K974),INDEX('AH History'!$D$5:$GG$1380,$K974,AH!$U$10))))&gt;0),IF(AND(AH!$U$12=1,969+1=AH!$U$6),IF(AH!$U$4=0,"unavailable",INDEX('Market Data'!$AN$5:$AN$66,AH!$U$4)),IF(AH!$U$5=1,INDEX('Live History'!$B$5:$B$3004,$K974),INDEX('AH History'!$D$5:$GG$1380,$K974,AH!$U$10))),NA()),NA())</f>
        <v/>
      </c>
      <c r="F974" s="32">
        <f>IFERROR(IF(ISNUMBER($A974),IF(AND(AH!$U$12=1,969+1=AH!$U$6),IF(AH!$U$4=0,"unavailable",INDEX('Market Data'!$AO$5:$AO$66,AH!$U$4)),IF(AH!$U$5=1,INDEX('Live History'!$E$5:$E$3004,MATCH($A974,'Live History'!$D$5:$D$3004,1)),INDEX('AH History'!$D$5:$GG$1380,$K974,AH!$U$10+1))),NA()),NA())</f>
        <v/>
      </c>
      <c r="G974" s="34">
        <f>IFERROR(IF(ISNUMBER($A974),IF(AND(AH!$U$12=1,969+1=AH!$U$6),IF(AH!$U$4=0,"unavailable",INDEX('Market Data'!$AK$5:$AK$66,AH!$U$4)),IF(AH!$U$5=1,INDEX('Live History'!$D$5:$D$3004,MATCH($A974,'Live History'!$D$5:$D$3004,1)),INDEX('AH History'!$D$5:$GG$1380,$K974,AH!$U$10+2))),NA()),NA())</f>
        <v/>
      </c>
      <c r="H974" s="266">
        <f>IFERROR(IF(ISNUMBER($A974),IF(AND(AH!$U$12=1,969+1=AH!$U$6),IF(AH!$U$4=0,"unavailable",INDEX('Market Data'!$AP$5:$AP$66,AH!$U$4)),IF(AH!$U$5=1,INDEX('Live History'!$H$5:$H$3004,MATCH($A974,'Live History'!$G$5:$G$3004,1)),INDEX('AH History'!$B$5:$B$1380,$K974))),NA()),NA())</f>
        <v/>
      </c>
      <c r="I974" s="34">
        <f>IFERROR(IF(ISNUMBER($A974),IF(AND(AH!$U$12=1,969+1=AH!$U$6),TODAY(),IF(AH!$U$5=1,INDEX('Live History'!$G$5:$G$3004,MATCH($A974,'Live History'!$G$5:$G$3004,1)),INDEX('AH History'!$C$5:$C$1380,$K974))),NA()),NA())</f>
        <v/>
      </c>
      <c r="J974" s="32">
        <f>IFERROR(IF(AND($F974&gt;0,$H974&gt;0,$A974-$G974&lt;=10,$A974-$I974&lt;=5,$G974&gt;0,$I974&gt;0),$F974*$H974,NA()),NA())</f>
        <v/>
      </c>
      <c r="K974" s="15">
        <f>IF($A974="","",IF(AH!$U$5=1,IFERROR(MATCH($A974,'Live History'!$A$5:$A$3004,0),0),AH!$U$7+969))</f>
        <v/>
      </c>
      <c r="L974" s="15">
        <f>IF(ISNUMBER(A974),TEXT(A974,"dd-mmm-yy"),"")</f>
        <v/>
      </c>
    </row>
    <row r="975">
      <c r="A975" s="14">
        <f>IF(OR(AH!$U$4=0,970+1&gt;AH!$U$6,AND(AH!$M$5="Bloomberg",AH!$U$5=0)),"",IFERROR(IF(AND(AH!$U$12=1,970+1=AH!$U$6),TODAY(),IF(AH!$U$5=1,INDEX('Live History'!$A$5:$A$3004,AH!$U$7+970),INDEX('AH History'!$A$5:$A$1380,AH!$U$7+970))),""))</f>
        <v/>
      </c>
      <c r="B975" s="33">
        <f>IFERROR(IF(AH!$U$11=1,NA(),$J975/$E975-1),NA())</f>
        <v/>
      </c>
      <c r="C975" s="269">
        <f>IFERROR(100*$E975/$E$5,NA())</f>
        <v/>
      </c>
      <c r="D975" s="269">
        <f>IFERROR(100*$J975/$J$5,NA())</f>
        <v/>
      </c>
      <c r="E975" s="32">
        <f>IFERROR(IF(AND(ISNUMBER($A975),N(IF(AND(AH!$U$12=1,970+1=AH!$U$6),IF(AH!$U$4=0,"unavailable",INDEX('Market Data'!$AN$5:$AN$66,AH!$U$4)),IF(AH!$U$5=1,INDEX('Live History'!$B$5:$B$3004,$K975),INDEX('AH History'!$D$5:$GG$1380,$K975,AH!$U$10))))&gt;0),IF(AND(AH!$U$12=1,970+1=AH!$U$6),IF(AH!$U$4=0,"unavailable",INDEX('Market Data'!$AN$5:$AN$66,AH!$U$4)),IF(AH!$U$5=1,INDEX('Live History'!$B$5:$B$3004,$K975),INDEX('AH History'!$D$5:$GG$1380,$K975,AH!$U$10))),NA()),NA())</f>
        <v/>
      </c>
      <c r="F975" s="32">
        <f>IFERROR(IF(ISNUMBER($A975),IF(AND(AH!$U$12=1,970+1=AH!$U$6),IF(AH!$U$4=0,"unavailable",INDEX('Market Data'!$AO$5:$AO$66,AH!$U$4)),IF(AH!$U$5=1,INDEX('Live History'!$E$5:$E$3004,MATCH($A975,'Live History'!$D$5:$D$3004,1)),INDEX('AH History'!$D$5:$GG$1380,$K975,AH!$U$10+1))),NA()),NA())</f>
        <v/>
      </c>
      <c r="G975" s="34">
        <f>IFERROR(IF(ISNUMBER($A975),IF(AND(AH!$U$12=1,970+1=AH!$U$6),IF(AH!$U$4=0,"unavailable",INDEX('Market Data'!$AK$5:$AK$66,AH!$U$4)),IF(AH!$U$5=1,INDEX('Live History'!$D$5:$D$3004,MATCH($A975,'Live History'!$D$5:$D$3004,1)),INDEX('AH History'!$D$5:$GG$1380,$K975,AH!$U$10+2))),NA()),NA())</f>
        <v/>
      </c>
      <c r="H975" s="266">
        <f>IFERROR(IF(ISNUMBER($A975),IF(AND(AH!$U$12=1,970+1=AH!$U$6),IF(AH!$U$4=0,"unavailable",INDEX('Market Data'!$AP$5:$AP$66,AH!$U$4)),IF(AH!$U$5=1,INDEX('Live History'!$H$5:$H$3004,MATCH($A975,'Live History'!$G$5:$G$3004,1)),INDEX('AH History'!$B$5:$B$1380,$K975))),NA()),NA())</f>
        <v/>
      </c>
      <c r="I975" s="34">
        <f>IFERROR(IF(ISNUMBER($A975),IF(AND(AH!$U$12=1,970+1=AH!$U$6),TODAY(),IF(AH!$U$5=1,INDEX('Live History'!$G$5:$G$3004,MATCH($A975,'Live History'!$G$5:$G$3004,1)),INDEX('AH History'!$C$5:$C$1380,$K975))),NA()),NA())</f>
        <v/>
      </c>
      <c r="J975" s="32">
        <f>IFERROR(IF(AND($F975&gt;0,$H975&gt;0,$A975-$G975&lt;=10,$A975-$I975&lt;=5,$G975&gt;0,$I975&gt;0),$F975*$H975,NA()),NA())</f>
        <v/>
      </c>
      <c r="K975" s="15">
        <f>IF($A975="","",IF(AH!$U$5=1,IFERROR(MATCH($A975,'Live History'!$A$5:$A$3004,0),0),AH!$U$7+970))</f>
        <v/>
      </c>
      <c r="L975" s="15">
        <f>IF(ISNUMBER(A975),TEXT(A975,"dd-mmm-yy"),"")</f>
        <v/>
      </c>
    </row>
    <row r="976">
      <c r="A976" s="14">
        <f>IF(OR(AH!$U$4=0,971+1&gt;AH!$U$6,AND(AH!$M$5="Bloomberg",AH!$U$5=0)),"",IFERROR(IF(AND(AH!$U$12=1,971+1=AH!$U$6),TODAY(),IF(AH!$U$5=1,INDEX('Live History'!$A$5:$A$3004,AH!$U$7+971),INDEX('AH History'!$A$5:$A$1380,AH!$U$7+971))),""))</f>
        <v/>
      </c>
      <c r="B976" s="33">
        <f>IFERROR(IF(AH!$U$11=1,NA(),$J976/$E976-1),NA())</f>
        <v/>
      </c>
      <c r="C976" s="269">
        <f>IFERROR(100*$E976/$E$5,NA())</f>
        <v/>
      </c>
      <c r="D976" s="269">
        <f>IFERROR(100*$J976/$J$5,NA())</f>
        <v/>
      </c>
      <c r="E976" s="32">
        <f>IFERROR(IF(AND(ISNUMBER($A976),N(IF(AND(AH!$U$12=1,971+1=AH!$U$6),IF(AH!$U$4=0,"unavailable",INDEX('Market Data'!$AN$5:$AN$66,AH!$U$4)),IF(AH!$U$5=1,INDEX('Live History'!$B$5:$B$3004,$K976),INDEX('AH History'!$D$5:$GG$1380,$K976,AH!$U$10))))&gt;0),IF(AND(AH!$U$12=1,971+1=AH!$U$6),IF(AH!$U$4=0,"unavailable",INDEX('Market Data'!$AN$5:$AN$66,AH!$U$4)),IF(AH!$U$5=1,INDEX('Live History'!$B$5:$B$3004,$K976),INDEX('AH History'!$D$5:$GG$1380,$K976,AH!$U$10))),NA()),NA())</f>
        <v/>
      </c>
      <c r="F976" s="32">
        <f>IFERROR(IF(ISNUMBER($A976),IF(AND(AH!$U$12=1,971+1=AH!$U$6),IF(AH!$U$4=0,"unavailable",INDEX('Market Data'!$AO$5:$AO$66,AH!$U$4)),IF(AH!$U$5=1,INDEX('Live History'!$E$5:$E$3004,MATCH($A976,'Live History'!$D$5:$D$3004,1)),INDEX('AH History'!$D$5:$GG$1380,$K976,AH!$U$10+1))),NA()),NA())</f>
        <v/>
      </c>
      <c r="G976" s="34">
        <f>IFERROR(IF(ISNUMBER($A976),IF(AND(AH!$U$12=1,971+1=AH!$U$6),IF(AH!$U$4=0,"unavailable",INDEX('Market Data'!$AK$5:$AK$66,AH!$U$4)),IF(AH!$U$5=1,INDEX('Live History'!$D$5:$D$3004,MATCH($A976,'Live History'!$D$5:$D$3004,1)),INDEX('AH History'!$D$5:$GG$1380,$K976,AH!$U$10+2))),NA()),NA())</f>
        <v/>
      </c>
      <c r="H976" s="266">
        <f>IFERROR(IF(ISNUMBER($A976),IF(AND(AH!$U$12=1,971+1=AH!$U$6),IF(AH!$U$4=0,"unavailable",INDEX('Market Data'!$AP$5:$AP$66,AH!$U$4)),IF(AH!$U$5=1,INDEX('Live History'!$H$5:$H$3004,MATCH($A976,'Live History'!$G$5:$G$3004,1)),INDEX('AH History'!$B$5:$B$1380,$K976))),NA()),NA())</f>
        <v/>
      </c>
      <c r="I976" s="34">
        <f>IFERROR(IF(ISNUMBER($A976),IF(AND(AH!$U$12=1,971+1=AH!$U$6),TODAY(),IF(AH!$U$5=1,INDEX('Live History'!$G$5:$G$3004,MATCH($A976,'Live History'!$G$5:$G$3004,1)),INDEX('AH History'!$C$5:$C$1380,$K976))),NA()),NA())</f>
        <v/>
      </c>
      <c r="J976" s="32">
        <f>IFERROR(IF(AND($F976&gt;0,$H976&gt;0,$A976-$G976&lt;=10,$A976-$I976&lt;=5,$G976&gt;0,$I976&gt;0),$F976*$H976,NA()),NA())</f>
        <v/>
      </c>
      <c r="K976" s="15">
        <f>IF($A976="","",IF(AH!$U$5=1,IFERROR(MATCH($A976,'Live History'!$A$5:$A$3004,0),0),AH!$U$7+971))</f>
        <v/>
      </c>
      <c r="L976" s="15">
        <f>IF(ISNUMBER(A976),TEXT(A976,"dd-mmm-yy"),"")</f>
        <v/>
      </c>
    </row>
    <row r="977">
      <c r="A977" s="14">
        <f>IF(OR(AH!$U$4=0,972+1&gt;AH!$U$6,AND(AH!$M$5="Bloomberg",AH!$U$5=0)),"",IFERROR(IF(AND(AH!$U$12=1,972+1=AH!$U$6),TODAY(),IF(AH!$U$5=1,INDEX('Live History'!$A$5:$A$3004,AH!$U$7+972),INDEX('AH History'!$A$5:$A$1380,AH!$U$7+972))),""))</f>
        <v/>
      </c>
      <c r="B977" s="33">
        <f>IFERROR(IF(AH!$U$11=1,NA(),$J977/$E977-1),NA())</f>
        <v/>
      </c>
      <c r="C977" s="269">
        <f>IFERROR(100*$E977/$E$5,NA())</f>
        <v/>
      </c>
      <c r="D977" s="269">
        <f>IFERROR(100*$J977/$J$5,NA())</f>
        <v/>
      </c>
      <c r="E977" s="32">
        <f>IFERROR(IF(AND(ISNUMBER($A977),N(IF(AND(AH!$U$12=1,972+1=AH!$U$6),IF(AH!$U$4=0,"unavailable",INDEX('Market Data'!$AN$5:$AN$66,AH!$U$4)),IF(AH!$U$5=1,INDEX('Live History'!$B$5:$B$3004,$K977),INDEX('AH History'!$D$5:$GG$1380,$K977,AH!$U$10))))&gt;0),IF(AND(AH!$U$12=1,972+1=AH!$U$6),IF(AH!$U$4=0,"unavailable",INDEX('Market Data'!$AN$5:$AN$66,AH!$U$4)),IF(AH!$U$5=1,INDEX('Live History'!$B$5:$B$3004,$K977),INDEX('AH History'!$D$5:$GG$1380,$K977,AH!$U$10))),NA()),NA())</f>
        <v/>
      </c>
      <c r="F977" s="32">
        <f>IFERROR(IF(ISNUMBER($A977),IF(AND(AH!$U$12=1,972+1=AH!$U$6),IF(AH!$U$4=0,"unavailable",INDEX('Market Data'!$AO$5:$AO$66,AH!$U$4)),IF(AH!$U$5=1,INDEX('Live History'!$E$5:$E$3004,MATCH($A977,'Live History'!$D$5:$D$3004,1)),INDEX('AH History'!$D$5:$GG$1380,$K977,AH!$U$10+1))),NA()),NA())</f>
        <v/>
      </c>
      <c r="G977" s="34">
        <f>IFERROR(IF(ISNUMBER($A977),IF(AND(AH!$U$12=1,972+1=AH!$U$6),IF(AH!$U$4=0,"unavailable",INDEX('Market Data'!$AK$5:$AK$66,AH!$U$4)),IF(AH!$U$5=1,INDEX('Live History'!$D$5:$D$3004,MATCH($A977,'Live History'!$D$5:$D$3004,1)),INDEX('AH History'!$D$5:$GG$1380,$K977,AH!$U$10+2))),NA()),NA())</f>
        <v/>
      </c>
      <c r="H977" s="266">
        <f>IFERROR(IF(ISNUMBER($A977),IF(AND(AH!$U$12=1,972+1=AH!$U$6),IF(AH!$U$4=0,"unavailable",INDEX('Market Data'!$AP$5:$AP$66,AH!$U$4)),IF(AH!$U$5=1,INDEX('Live History'!$H$5:$H$3004,MATCH($A977,'Live History'!$G$5:$G$3004,1)),INDEX('AH History'!$B$5:$B$1380,$K977))),NA()),NA())</f>
        <v/>
      </c>
      <c r="I977" s="34">
        <f>IFERROR(IF(ISNUMBER($A977),IF(AND(AH!$U$12=1,972+1=AH!$U$6),TODAY(),IF(AH!$U$5=1,INDEX('Live History'!$G$5:$G$3004,MATCH($A977,'Live History'!$G$5:$G$3004,1)),INDEX('AH History'!$C$5:$C$1380,$K977))),NA()),NA())</f>
        <v/>
      </c>
      <c r="J977" s="32">
        <f>IFERROR(IF(AND($F977&gt;0,$H977&gt;0,$A977-$G977&lt;=10,$A977-$I977&lt;=5,$G977&gt;0,$I977&gt;0),$F977*$H977,NA()),NA())</f>
        <v/>
      </c>
      <c r="K977" s="15">
        <f>IF($A977="","",IF(AH!$U$5=1,IFERROR(MATCH($A977,'Live History'!$A$5:$A$3004,0),0),AH!$U$7+972))</f>
        <v/>
      </c>
      <c r="L977" s="15">
        <f>IF(ISNUMBER(A977),TEXT(A977,"dd-mmm-yy"),"")</f>
        <v/>
      </c>
    </row>
    <row r="978">
      <c r="A978" s="14">
        <f>IF(OR(AH!$U$4=0,973+1&gt;AH!$U$6,AND(AH!$M$5="Bloomberg",AH!$U$5=0)),"",IFERROR(IF(AND(AH!$U$12=1,973+1=AH!$U$6),TODAY(),IF(AH!$U$5=1,INDEX('Live History'!$A$5:$A$3004,AH!$U$7+973),INDEX('AH History'!$A$5:$A$1380,AH!$U$7+973))),""))</f>
        <v/>
      </c>
      <c r="B978" s="33">
        <f>IFERROR(IF(AH!$U$11=1,NA(),$J978/$E978-1),NA())</f>
        <v/>
      </c>
      <c r="C978" s="269">
        <f>IFERROR(100*$E978/$E$5,NA())</f>
        <v/>
      </c>
      <c r="D978" s="269">
        <f>IFERROR(100*$J978/$J$5,NA())</f>
        <v/>
      </c>
      <c r="E978" s="32">
        <f>IFERROR(IF(AND(ISNUMBER($A978),N(IF(AND(AH!$U$12=1,973+1=AH!$U$6),IF(AH!$U$4=0,"unavailable",INDEX('Market Data'!$AN$5:$AN$66,AH!$U$4)),IF(AH!$U$5=1,INDEX('Live History'!$B$5:$B$3004,$K978),INDEX('AH History'!$D$5:$GG$1380,$K978,AH!$U$10))))&gt;0),IF(AND(AH!$U$12=1,973+1=AH!$U$6),IF(AH!$U$4=0,"unavailable",INDEX('Market Data'!$AN$5:$AN$66,AH!$U$4)),IF(AH!$U$5=1,INDEX('Live History'!$B$5:$B$3004,$K978),INDEX('AH History'!$D$5:$GG$1380,$K978,AH!$U$10))),NA()),NA())</f>
        <v/>
      </c>
      <c r="F978" s="32">
        <f>IFERROR(IF(ISNUMBER($A978),IF(AND(AH!$U$12=1,973+1=AH!$U$6),IF(AH!$U$4=0,"unavailable",INDEX('Market Data'!$AO$5:$AO$66,AH!$U$4)),IF(AH!$U$5=1,INDEX('Live History'!$E$5:$E$3004,MATCH($A978,'Live History'!$D$5:$D$3004,1)),INDEX('AH History'!$D$5:$GG$1380,$K978,AH!$U$10+1))),NA()),NA())</f>
        <v/>
      </c>
      <c r="G978" s="34">
        <f>IFERROR(IF(ISNUMBER($A978),IF(AND(AH!$U$12=1,973+1=AH!$U$6),IF(AH!$U$4=0,"unavailable",INDEX('Market Data'!$AK$5:$AK$66,AH!$U$4)),IF(AH!$U$5=1,INDEX('Live History'!$D$5:$D$3004,MATCH($A978,'Live History'!$D$5:$D$3004,1)),INDEX('AH History'!$D$5:$GG$1380,$K978,AH!$U$10+2))),NA()),NA())</f>
        <v/>
      </c>
      <c r="H978" s="266">
        <f>IFERROR(IF(ISNUMBER($A978),IF(AND(AH!$U$12=1,973+1=AH!$U$6),IF(AH!$U$4=0,"unavailable",INDEX('Market Data'!$AP$5:$AP$66,AH!$U$4)),IF(AH!$U$5=1,INDEX('Live History'!$H$5:$H$3004,MATCH($A978,'Live History'!$G$5:$G$3004,1)),INDEX('AH History'!$B$5:$B$1380,$K978))),NA()),NA())</f>
        <v/>
      </c>
      <c r="I978" s="34">
        <f>IFERROR(IF(ISNUMBER($A978),IF(AND(AH!$U$12=1,973+1=AH!$U$6),TODAY(),IF(AH!$U$5=1,INDEX('Live History'!$G$5:$G$3004,MATCH($A978,'Live History'!$G$5:$G$3004,1)),INDEX('AH History'!$C$5:$C$1380,$K978))),NA()),NA())</f>
        <v/>
      </c>
      <c r="J978" s="32">
        <f>IFERROR(IF(AND($F978&gt;0,$H978&gt;0,$A978-$G978&lt;=10,$A978-$I978&lt;=5,$G978&gt;0,$I978&gt;0),$F978*$H978,NA()),NA())</f>
        <v/>
      </c>
      <c r="K978" s="15">
        <f>IF($A978="","",IF(AH!$U$5=1,IFERROR(MATCH($A978,'Live History'!$A$5:$A$3004,0),0),AH!$U$7+973))</f>
        <v/>
      </c>
      <c r="L978" s="15">
        <f>IF(ISNUMBER(A978),TEXT(A978,"dd-mmm-yy"),"")</f>
        <v/>
      </c>
    </row>
    <row r="979">
      <c r="A979" s="14">
        <f>IF(OR(AH!$U$4=0,974+1&gt;AH!$U$6,AND(AH!$M$5="Bloomberg",AH!$U$5=0)),"",IFERROR(IF(AND(AH!$U$12=1,974+1=AH!$U$6),TODAY(),IF(AH!$U$5=1,INDEX('Live History'!$A$5:$A$3004,AH!$U$7+974),INDEX('AH History'!$A$5:$A$1380,AH!$U$7+974))),""))</f>
        <v/>
      </c>
      <c r="B979" s="33">
        <f>IFERROR(IF(AH!$U$11=1,NA(),$J979/$E979-1),NA())</f>
        <v/>
      </c>
      <c r="C979" s="269">
        <f>IFERROR(100*$E979/$E$5,NA())</f>
        <v/>
      </c>
      <c r="D979" s="269">
        <f>IFERROR(100*$J979/$J$5,NA())</f>
        <v/>
      </c>
      <c r="E979" s="32">
        <f>IFERROR(IF(AND(ISNUMBER($A979),N(IF(AND(AH!$U$12=1,974+1=AH!$U$6),IF(AH!$U$4=0,"unavailable",INDEX('Market Data'!$AN$5:$AN$66,AH!$U$4)),IF(AH!$U$5=1,INDEX('Live History'!$B$5:$B$3004,$K979),INDEX('AH History'!$D$5:$GG$1380,$K979,AH!$U$10))))&gt;0),IF(AND(AH!$U$12=1,974+1=AH!$U$6),IF(AH!$U$4=0,"unavailable",INDEX('Market Data'!$AN$5:$AN$66,AH!$U$4)),IF(AH!$U$5=1,INDEX('Live History'!$B$5:$B$3004,$K979),INDEX('AH History'!$D$5:$GG$1380,$K979,AH!$U$10))),NA()),NA())</f>
        <v/>
      </c>
      <c r="F979" s="32">
        <f>IFERROR(IF(ISNUMBER($A979),IF(AND(AH!$U$12=1,974+1=AH!$U$6),IF(AH!$U$4=0,"unavailable",INDEX('Market Data'!$AO$5:$AO$66,AH!$U$4)),IF(AH!$U$5=1,INDEX('Live History'!$E$5:$E$3004,MATCH($A979,'Live History'!$D$5:$D$3004,1)),INDEX('AH History'!$D$5:$GG$1380,$K979,AH!$U$10+1))),NA()),NA())</f>
        <v/>
      </c>
      <c r="G979" s="34">
        <f>IFERROR(IF(ISNUMBER($A979),IF(AND(AH!$U$12=1,974+1=AH!$U$6),IF(AH!$U$4=0,"unavailable",INDEX('Market Data'!$AK$5:$AK$66,AH!$U$4)),IF(AH!$U$5=1,INDEX('Live History'!$D$5:$D$3004,MATCH($A979,'Live History'!$D$5:$D$3004,1)),INDEX('AH History'!$D$5:$GG$1380,$K979,AH!$U$10+2))),NA()),NA())</f>
        <v/>
      </c>
      <c r="H979" s="266">
        <f>IFERROR(IF(ISNUMBER($A979),IF(AND(AH!$U$12=1,974+1=AH!$U$6),IF(AH!$U$4=0,"unavailable",INDEX('Market Data'!$AP$5:$AP$66,AH!$U$4)),IF(AH!$U$5=1,INDEX('Live History'!$H$5:$H$3004,MATCH($A979,'Live History'!$G$5:$G$3004,1)),INDEX('AH History'!$B$5:$B$1380,$K979))),NA()),NA())</f>
        <v/>
      </c>
      <c r="I979" s="34">
        <f>IFERROR(IF(ISNUMBER($A979),IF(AND(AH!$U$12=1,974+1=AH!$U$6),TODAY(),IF(AH!$U$5=1,INDEX('Live History'!$G$5:$G$3004,MATCH($A979,'Live History'!$G$5:$G$3004,1)),INDEX('AH History'!$C$5:$C$1380,$K979))),NA()),NA())</f>
        <v/>
      </c>
      <c r="J979" s="32">
        <f>IFERROR(IF(AND($F979&gt;0,$H979&gt;0,$A979-$G979&lt;=10,$A979-$I979&lt;=5,$G979&gt;0,$I979&gt;0),$F979*$H979,NA()),NA())</f>
        <v/>
      </c>
      <c r="K979" s="15">
        <f>IF($A979="","",IF(AH!$U$5=1,IFERROR(MATCH($A979,'Live History'!$A$5:$A$3004,0),0),AH!$U$7+974))</f>
        <v/>
      </c>
      <c r="L979" s="15">
        <f>IF(ISNUMBER(A979),TEXT(A979,"dd-mmm-yy"),"")</f>
        <v/>
      </c>
    </row>
    <row r="980">
      <c r="A980" s="14">
        <f>IF(OR(AH!$U$4=0,975+1&gt;AH!$U$6,AND(AH!$M$5="Bloomberg",AH!$U$5=0)),"",IFERROR(IF(AND(AH!$U$12=1,975+1=AH!$U$6),TODAY(),IF(AH!$U$5=1,INDEX('Live History'!$A$5:$A$3004,AH!$U$7+975),INDEX('AH History'!$A$5:$A$1380,AH!$U$7+975))),""))</f>
        <v/>
      </c>
      <c r="B980" s="33">
        <f>IFERROR(IF(AH!$U$11=1,NA(),$J980/$E980-1),NA())</f>
        <v/>
      </c>
      <c r="C980" s="269">
        <f>IFERROR(100*$E980/$E$5,NA())</f>
        <v/>
      </c>
      <c r="D980" s="269">
        <f>IFERROR(100*$J980/$J$5,NA())</f>
        <v/>
      </c>
      <c r="E980" s="32">
        <f>IFERROR(IF(AND(ISNUMBER($A980),N(IF(AND(AH!$U$12=1,975+1=AH!$U$6),IF(AH!$U$4=0,"unavailable",INDEX('Market Data'!$AN$5:$AN$66,AH!$U$4)),IF(AH!$U$5=1,INDEX('Live History'!$B$5:$B$3004,$K980),INDEX('AH History'!$D$5:$GG$1380,$K980,AH!$U$10))))&gt;0),IF(AND(AH!$U$12=1,975+1=AH!$U$6),IF(AH!$U$4=0,"unavailable",INDEX('Market Data'!$AN$5:$AN$66,AH!$U$4)),IF(AH!$U$5=1,INDEX('Live History'!$B$5:$B$3004,$K980),INDEX('AH History'!$D$5:$GG$1380,$K980,AH!$U$10))),NA()),NA())</f>
        <v/>
      </c>
      <c r="F980" s="32">
        <f>IFERROR(IF(ISNUMBER($A980),IF(AND(AH!$U$12=1,975+1=AH!$U$6),IF(AH!$U$4=0,"unavailable",INDEX('Market Data'!$AO$5:$AO$66,AH!$U$4)),IF(AH!$U$5=1,INDEX('Live History'!$E$5:$E$3004,MATCH($A980,'Live History'!$D$5:$D$3004,1)),INDEX('AH History'!$D$5:$GG$1380,$K980,AH!$U$10+1))),NA()),NA())</f>
        <v/>
      </c>
      <c r="G980" s="34">
        <f>IFERROR(IF(ISNUMBER($A980),IF(AND(AH!$U$12=1,975+1=AH!$U$6),IF(AH!$U$4=0,"unavailable",INDEX('Market Data'!$AK$5:$AK$66,AH!$U$4)),IF(AH!$U$5=1,INDEX('Live History'!$D$5:$D$3004,MATCH($A980,'Live History'!$D$5:$D$3004,1)),INDEX('AH History'!$D$5:$GG$1380,$K980,AH!$U$10+2))),NA()),NA())</f>
        <v/>
      </c>
      <c r="H980" s="266">
        <f>IFERROR(IF(ISNUMBER($A980),IF(AND(AH!$U$12=1,975+1=AH!$U$6),IF(AH!$U$4=0,"unavailable",INDEX('Market Data'!$AP$5:$AP$66,AH!$U$4)),IF(AH!$U$5=1,INDEX('Live History'!$H$5:$H$3004,MATCH($A980,'Live History'!$G$5:$G$3004,1)),INDEX('AH History'!$B$5:$B$1380,$K980))),NA()),NA())</f>
        <v/>
      </c>
      <c r="I980" s="34">
        <f>IFERROR(IF(ISNUMBER($A980),IF(AND(AH!$U$12=1,975+1=AH!$U$6),TODAY(),IF(AH!$U$5=1,INDEX('Live History'!$G$5:$G$3004,MATCH($A980,'Live History'!$G$5:$G$3004,1)),INDEX('AH History'!$C$5:$C$1380,$K980))),NA()),NA())</f>
        <v/>
      </c>
      <c r="J980" s="32">
        <f>IFERROR(IF(AND($F980&gt;0,$H980&gt;0,$A980-$G980&lt;=10,$A980-$I980&lt;=5,$G980&gt;0,$I980&gt;0),$F980*$H980,NA()),NA())</f>
        <v/>
      </c>
      <c r="K980" s="15">
        <f>IF($A980="","",IF(AH!$U$5=1,IFERROR(MATCH($A980,'Live History'!$A$5:$A$3004,0),0),AH!$U$7+975))</f>
        <v/>
      </c>
      <c r="L980" s="15">
        <f>IF(ISNUMBER(A980),TEXT(A980,"dd-mmm-yy"),"")</f>
        <v/>
      </c>
    </row>
    <row r="981">
      <c r="A981" s="14">
        <f>IF(OR(AH!$U$4=0,976+1&gt;AH!$U$6,AND(AH!$M$5="Bloomberg",AH!$U$5=0)),"",IFERROR(IF(AND(AH!$U$12=1,976+1=AH!$U$6),TODAY(),IF(AH!$U$5=1,INDEX('Live History'!$A$5:$A$3004,AH!$U$7+976),INDEX('AH History'!$A$5:$A$1380,AH!$U$7+976))),""))</f>
        <v/>
      </c>
      <c r="B981" s="33">
        <f>IFERROR(IF(AH!$U$11=1,NA(),$J981/$E981-1),NA())</f>
        <v/>
      </c>
      <c r="C981" s="269">
        <f>IFERROR(100*$E981/$E$5,NA())</f>
        <v/>
      </c>
      <c r="D981" s="269">
        <f>IFERROR(100*$J981/$J$5,NA())</f>
        <v/>
      </c>
      <c r="E981" s="32">
        <f>IFERROR(IF(AND(ISNUMBER($A981),N(IF(AND(AH!$U$12=1,976+1=AH!$U$6),IF(AH!$U$4=0,"unavailable",INDEX('Market Data'!$AN$5:$AN$66,AH!$U$4)),IF(AH!$U$5=1,INDEX('Live History'!$B$5:$B$3004,$K981),INDEX('AH History'!$D$5:$GG$1380,$K981,AH!$U$10))))&gt;0),IF(AND(AH!$U$12=1,976+1=AH!$U$6),IF(AH!$U$4=0,"unavailable",INDEX('Market Data'!$AN$5:$AN$66,AH!$U$4)),IF(AH!$U$5=1,INDEX('Live History'!$B$5:$B$3004,$K981),INDEX('AH History'!$D$5:$GG$1380,$K981,AH!$U$10))),NA()),NA())</f>
        <v/>
      </c>
      <c r="F981" s="32">
        <f>IFERROR(IF(ISNUMBER($A981),IF(AND(AH!$U$12=1,976+1=AH!$U$6),IF(AH!$U$4=0,"unavailable",INDEX('Market Data'!$AO$5:$AO$66,AH!$U$4)),IF(AH!$U$5=1,INDEX('Live History'!$E$5:$E$3004,MATCH($A981,'Live History'!$D$5:$D$3004,1)),INDEX('AH History'!$D$5:$GG$1380,$K981,AH!$U$10+1))),NA()),NA())</f>
        <v/>
      </c>
      <c r="G981" s="34">
        <f>IFERROR(IF(ISNUMBER($A981),IF(AND(AH!$U$12=1,976+1=AH!$U$6),IF(AH!$U$4=0,"unavailable",INDEX('Market Data'!$AK$5:$AK$66,AH!$U$4)),IF(AH!$U$5=1,INDEX('Live History'!$D$5:$D$3004,MATCH($A981,'Live History'!$D$5:$D$3004,1)),INDEX('AH History'!$D$5:$GG$1380,$K981,AH!$U$10+2))),NA()),NA())</f>
        <v/>
      </c>
      <c r="H981" s="266">
        <f>IFERROR(IF(ISNUMBER($A981),IF(AND(AH!$U$12=1,976+1=AH!$U$6),IF(AH!$U$4=0,"unavailable",INDEX('Market Data'!$AP$5:$AP$66,AH!$U$4)),IF(AH!$U$5=1,INDEX('Live History'!$H$5:$H$3004,MATCH($A981,'Live History'!$G$5:$G$3004,1)),INDEX('AH History'!$B$5:$B$1380,$K981))),NA()),NA())</f>
        <v/>
      </c>
      <c r="I981" s="34">
        <f>IFERROR(IF(ISNUMBER($A981),IF(AND(AH!$U$12=1,976+1=AH!$U$6),TODAY(),IF(AH!$U$5=1,INDEX('Live History'!$G$5:$G$3004,MATCH($A981,'Live History'!$G$5:$G$3004,1)),INDEX('AH History'!$C$5:$C$1380,$K981))),NA()),NA())</f>
        <v/>
      </c>
      <c r="J981" s="32">
        <f>IFERROR(IF(AND($F981&gt;0,$H981&gt;0,$A981-$G981&lt;=10,$A981-$I981&lt;=5,$G981&gt;0,$I981&gt;0),$F981*$H981,NA()),NA())</f>
        <v/>
      </c>
      <c r="K981" s="15">
        <f>IF($A981="","",IF(AH!$U$5=1,IFERROR(MATCH($A981,'Live History'!$A$5:$A$3004,0),0),AH!$U$7+976))</f>
        <v/>
      </c>
      <c r="L981" s="15">
        <f>IF(ISNUMBER(A981),TEXT(A981,"dd-mmm-yy"),"")</f>
        <v/>
      </c>
    </row>
    <row r="982">
      <c r="A982" s="14">
        <f>IF(OR(AH!$U$4=0,977+1&gt;AH!$U$6,AND(AH!$M$5="Bloomberg",AH!$U$5=0)),"",IFERROR(IF(AND(AH!$U$12=1,977+1=AH!$U$6),TODAY(),IF(AH!$U$5=1,INDEX('Live History'!$A$5:$A$3004,AH!$U$7+977),INDEX('AH History'!$A$5:$A$1380,AH!$U$7+977))),""))</f>
        <v/>
      </c>
      <c r="B982" s="33">
        <f>IFERROR(IF(AH!$U$11=1,NA(),$J982/$E982-1),NA())</f>
        <v/>
      </c>
      <c r="C982" s="269">
        <f>IFERROR(100*$E982/$E$5,NA())</f>
        <v/>
      </c>
      <c r="D982" s="269">
        <f>IFERROR(100*$J982/$J$5,NA())</f>
        <v/>
      </c>
      <c r="E982" s="32">
        <f>IFERROR(IF(AND(ISNUMBER($A982),N(IF(AND(AH!$U$12=1,977+1=AH!$U$6),IF(AH!$U$4=0,"unavailable",INDEX('Market Data'!$AN$5:$AN$66,AH!$U$4)),IF(AH!$U$5=1,INDEX('Live History'!$B$5:$B$3004,$K982),INDEX('AH History'!$D$5:$GG$1380,$K982,AH!$U$10))))&gt;0),IF(AND(AH!$U$12=1,977+1=AH!$U$6),IF(AH!$U$4=0,"unavailable",INDEX('Market Data'!$AN$5:$AN$66,AH!$U$4)),IF(AH!$U$5=1,INDEX('Live History'!$B$5:$B$3004,$K982),INDEX('AH History'!$D$5:$GG$1380,$K982,AH!$U$10))),NA()),NA())</f>
        <v/>
      </c>
      <c r="F982" s="32">
        <f>IFERROR(IF(ISNUMBER($A982),IF(AND(AH!$U$12=1,977+1=AH!$U$6),IF(AH!$U$4=0,"unavailable",INDEX('Market Data'!$AO$5:$AO$66,AH!$U$4)),IF(AH!$U$5=1,INDEX('Live History'!$E$5:$E$3004,MATCH($A982,'Live History'!$D$5:$D$3004,1)),INDEX('AH History'!$D$5:$GG$1380,$K982,AH!$U$10+1))),NA()),NA())</f>
        <v/>
      </c>
      <c r="G982" s="34">
        <f>IFERROR(IF(ISNUMBER($A982),IF(AND(AH!$U$12=1,977+1=AH!$U$6),IF(AH!$U$4=0,"unavailable",INDEX('Market Data'!$AK$5:$AK$66,AH!$U$4)),IF(AH!$U$5=1,INDEX('Live History'!$D$5:$D$3004,MATCH($A982,'Live History'!$D$5:$D$3004,1)),INDEX('AH History'!$D$5:$GG$1380,$K982,AH!$U$10+2))),NA()),NA())</f>
        <v/>
      </c>
      <c r="H982" s="266">
        <f>IFERROR(IF(ISNUMBER($A982),IF(AND(AH!$U$12=1,977+1=AH!$U$6),IF(AH!$U$4=0,"unavailable",INDEX('Market Data'!$AP$5:$AP$66,AH!$U$4)),IF(AH!$U$5=1,INDEX('Live History'!$H$5:$H$3004,MATCH($A982,'Live History'!$G$5:$G$3004,1)),INDEX('AH History'!$B$5:$B$1380,$K982))),NA()),NA())</f>
        <v/>
      </c>
      <c r="I982" s="34">
        <f>IFERROR(IF(ISNUMBER($A982),IF(AND(AH!$U$12=1,977+1=AH!$U$6),TODAY(),IF(AH!$U$5=1,INDEX('Live History'!$G$5:$G$3004,MATCH($A982,'Live History'!$G$5:$G$3004,1)),INDEX('AH History'!$C$5:$C$1380,$K982))),NA()),NA())</f>
        <v/>
      </c>
      <c r="J982" s="32">
        <f>IFERROR(IF(AND($F982&gt;0,$H982&gt;0,$A982-$G982&lt;=10,$A982-$I982&lt;=5,$G982&gt;0,$I982&gt;0),$F982*$H982,NA()),NA())</f>
        <v/>
      </c>
      <c r="K982" s="15">
        <f>IF($A982="","",IF(AH!$U$5=1,IFERROR(MATCH($A982,'Live History'!$A$5:$A$3004,0),0),AH!$U$7+977))</f>
        <v/>
      </c>
      <c r="L982" s="15">
        <f>IF(ISNUMBER(A982),TEXT(A982,"dd-mmm-yy"),"")</f>
        <v/>
      </c>
    </row>
    <row r="983">
      <c r="A983" s="14">
        <f>IF(OR(AH!$U$4=0,978+1&gt;AH!$U$6,AND(AH!$M$5="Bloomberg",AH!$U$5=0)),"",IFERROR(IF(AND(AH!$U$12=1,978+1=AH!$U$6),TODAY(),IF(AH!$U$5=1,INDEX('Live History'!$A$5:$A$3004,AH!$U$7+978),INDEX('AH History'!$A$5:$A$1380,AH!$U$7+978))),""))</f>
        <v/>
      </c>
      <c r="B983" s="33">
        <f>IFERROR(IF(AH!$U$11=1,NA(),$J983/$E983-1),NA())</f>
        <v/>
      </c>
      <c r="C983" s="269">
        <f>IFERROR(100*$E983/$E$5,NA())</f>
        <v/>
      </c>
      <c r="D983" s="269">
        <f>IFERROR(100*$J983/$J$5,NA())</f>
        <v/>
      </c>
      <c r="E983" s="32">
        <f>IFERROR(IF(AND(ISNUMBER($A983),N(IF(AND(AH!$U$12=1,978+1=AH!$U$6),IF(AH!$U$4=0,"unavailable",INDEX('Market Data'!$AN$5:$AN$66,AH!$U$4)),IF(AH!$U$5=1,INDEX('Live History'!$B$5:$B$3004,$K983),INDEX('AH History'!$D$5:$GG$1380,$K983,AH!$U$10))))&gt;0),IF(AND(AH!$U$12=1,978+1=AH!$U$6),IF(AH!$U$4=0,"unavailable",INDEX('Market Data'!$AN$5:$AN$66,AH!$U$4)),IF(AH!$U$5=1,INDEX('Live History'!$B$5:$B$3004,$K983),INDEX('AH History'!$D$5:$GG$1380,$K983,AH!$U$10))),NA()),NA())</f>
        <v/>
      </c>
      <c r="F983" s="32">
        <f>IFERROR(IF(ISNUMBER($A983),IF(AND(AH!$U$12=1,978+1=AH!$U$6),IF(AH!$U$4=0,"unavailable",INDEX('Market Data'!$AO$5:$AO$66,AH!$U$4)),IF(AH!$U$5=1,INDEX('Live History'!$E$5:$E$3004,MATCH($A983,'Live History'!$D$5:$D$3004,1)),INDEX('AH History'!$D$5:$GG$1380,$K983,AH!$U$10+1))),NA()),NA())</f>
        <v/>
      </c>
      <c r="G983" s="34">
        <f>IFERROR(IF(ISNUMBER($A983),IF(AND(AH!$U$12=1,978+1=AH!$U$6),IF(AH!$U$4=0,"unavailable",INDEX('Market Data'!$AK$5:$AK$66,AH!$U$4)),IF(AH!$U$5=1,INDEX('Live History'!$D$5:$D$3004,MATCH($A983,'Live History'!$D$5:$D$3004,1)),INDEX('AH History'!$D$5:$GG$1380,$K983,AH!$U$10+2))),NA()),NA())</f>
        <v/>
      </c>
      <c r="H983" s="266">
        <f>IFERROR(IF(ISNUMBER($A983),IF(AND(AH!$U$12=1,978+1=AH!$U$6),IF(AH!$U$4=0,"unavailable",INDEX('Market Data'!$AP$5:$AP$66,AH!$U$4)),IF(AH!$U$5=1,INDEX('Live History'!$H$5:$H$3004,MATCH($A983,'Live History'!$G$5:$G$3004,1)),INDEX('AH History'!$B$5:$B$1380,$K983))),NA()),NA())</f>
        <v/>
      </c>
      <c r="I983" s="34">
        <f>IFERROR(IF(ISNUMBER($A983),IF(AND(AH!$U$12=1,978+1=AH!$U$6),TODAY(),IF(AH!$U$5=1,INDEX('Live History'!$G$5:$G$3004,MATCH($A983,'Live History'!$G$5:$G$3004,1)),INDEX('AH History'!$C$5:$C$1380,$K983))),NA()),NA())</f>
        <v/>
      </c>
      <c r="J983" s="32">
        <f>IFERROR(IF(AND($F983&gt;0,$H983&gt;0,$A983-$G983&lt;=10,$A983-$I983&lt;=5,$G983&gt;0,$I983&gt;0),$F983*$H983,NA()),NA())</f>
        <v/>
      </c>
      <c r="K983" s="15">
        <f>IF($A983="","",IF(AH!$U$5=1,IFERROR(MATCH($A983,'Live History'!$A$5:$A$3004,0),0),AH!$U$7+978))</f>
        <v/>
      </c>
      <c r="L983" s="15">
        <f>IF(ISNUMBER(A983),TEXT(A983,"dd-mmm-yy"),"")</f>
        <v/>
      </c>
    </row>
    <row r="984">
      <c r="A984" s="14">
        <f>IF(OR(AH!$U$4=0,979+1&gt;AH!$U$6,AND(AH!$M$5="Bloomberg",AH!$U$5=0)),"",IFERROR(IF(AND(AH!$U$12=1,979+1=AH!$U$6),TODAY(),IF(AH!$U$5=1,INDEX('Live History'!$A$5:$A$3004,AH!$U$7+979),INDEX('AH History'!$A$5:$A$1380,AH!$U$7+979))),""))</f>
        <v/>
      </c>
      <c r="B984" s="33">
        <f>IFERROR(IF(AH!$U$11=1,NA(),$J984/$E984-1),NA())</f>
        <v/>
      </c>
      <c r="C984" s="269">
        <f>IFERROR(100*$E984/$E$5,NA())</f>
        <v/>
      </c>
      <c r="D984" s="269">
        <f>IFERROR(100*$J984/$J$5,NA())</f>
        <v/>
      </c>
      <c r="E984" s="32">
        <f>IFERROR(IF(AND(ISNUMBER($A984),N(IF(AND(AH!$U$12=1,979+1=AH!$U$6),IF(AH!$U$4=0,"unavailable",INDEX('Market Data'!$AN$5:$AN$66,AH!$U$4)),IF(AH!$U$5=1,INDEX('Live History'!$B$5:$B$3004,$K984),INDEX('AH History'!$D$5:$GG$1380,$K984,AH!$U$10))))&gt;0),IF(AND(AH!$U$12=1,979+1=AH!$U$6),IF(AH!$U$4=0,"unavailable",INDEX('Market Data'!$AN$5:$AN$66,AH!$U$4)),IF(AH!$U$5=1,INDEX('Live History'!$B$5:$B$3004,$K984),INDEX('AH History'!$D$5:$GG$1380,$K984,AH!$U$10))),NA()),NA())</f>
        <v/>
      </c>
      <c r="F984" s="32">
        <f>IFERROR(IF(ISNUMBER($A984),IF(AND(AH!$U$12=1,979+1=AH!$U$6),IF(AH!$U$4=0,"unavailable",INDEX('Market Data'!$AO$5:$AO$66,AH!$U$4)),IF(AH!$U$5=1,INDEX('Live History'!$E$5:$E$3004,MATCH($A984,'Live History'!$D$5:$D$3004,1)),INDEX('AH History'!$D$5:$GG$1380,$K984,AH!$U$10+1))),NA()),NA())</f>
        <v/>
      </c>
      <c r="G984" s="34">
        <f>IFERROR(IF(ISNUMBER($A984),IF(AND(AH!$U$12=1,979+1=AH!$U$6),IF(AH!$U$4=0,"unavailable",INDEX('Market Data'!$AK$5:$AK$66,AH!$U$4)),IF(AH!$U$5=1,INDEX('Live History'!$D$5:$D$3004,MATCH($A984,'Live History'!$D$5:$D$3004,1)),INDEX('AH History'!$D$5:$GG$1380,$K984,AH!$U$10+2))),NA()),NA())</f>
        <v/>
      </c>
      <c r="H984" s="266">
        <f>IFERROR(IF(ISNUMBER($A984),IF(AND(AH!$U$12=1,979+1=AH!$U$6),IF(AH!$U$4=0,"unavailable",INDEX('Market Data'!$AP$5:$AP$66,AH!$U$4)),IF(AH!$U$5=1,INDEX('Live History'!$H$5:$H$3004,MATCH($A984,'Live History'!$G$5:$G$3004,1)),INDEX('AH History'!$B$5:$B$1380,$K984))),NA()),NA())</f>
        <v/>
      </c>
      <c r="I984" s="34">
        <f>IFERROR(IF(ISNUMBER($A984),IF(AND(AH!$U$12=1,979+1=AH!$U$6),TODAY(),IF(AH!$U$5=1,INDEX('Live History'!$G$5:$G$3004,MATCH($A984,'Live History'!$G$5:$G$3004,1)),INDEX('AH History'!$C$5:$C$1380,$K984))),NA()),NA())</f>
        <v/>
      </c>
      <c r="J984" s="32">
        <f>IFERROR(IF(AND($F984&gt;0,$H984&gt;0,$A984-$G984&lt;=10,$A984-$I984&lt;=5,$G984&gt;0,$I984&gt;0),$F984*$H984,NA()),NA())</f>
        <v/>
      </c>
      <c r="K984" s="15">
        <f>IF($A984="","",IF(AH!$U$5=1,IFERROR(MATCH($A984,'Live History'!$A$5:$A$3004,0),0),AH!$U$7+979))</f>
        <v/>
      </c>
      <c r="L984" s="15">
        <f>IF(ISNUMBER(A984),TEXT(A984,"dd-mmm-yy"),"")</f>
        <v/>
      </c>
    </row>
    <row r="985">
      <c r="A985" s="14">
        <f>IF(OR(AH!$U$4=0,980+1&gt;AH!$U$6,AND(AH!$M$5="Bloomberg",AH!$U$5=0)),"",IFERROR(IF(AND(AH!$U$12=1,980+1=AH!$U$6),TODAY(),IF(AH!$U$5=1,INDEX('Live History'!$A$5:$A$3004,AH!$U$7+980),INDEX('AH History'!$A$5:$A$1380,AH!$U$7+980))),""))</f>
        <v/>
      </c>
      <c r="B985" s="33">
        <f>IFERROR(IF(AH!$U$11=1,NA(),$J985/$E985-1),NA())</f>
        <v/>
      </c>
      <c r="C985" s="269">
        <f>IFERROR(100*$E985/$E$5,NA())</f>
        <v/>
      </c>
      <c r="D985" s="269">
        <f>IFERROR(100*$J985/$J$5,NA())</f>
        <v/>
      </c>
      <c r="E985" s="32">
        <f>IFERROR(IF(AND(ISNUMBER($A985),N(IF(AND(AH!$U$12=1,980+1=AH!$U$6),IF(AH!$U$4=0,"unavailable",INDEX('Market Data'!$AN$5:$AN$66,AH!$U$4)),IF(AH!$U$5=1,INDEX('Live History'!$B$5:$B$3004,$K985),INDEX('AH History'!$D$5:$GG$1380,$K985,AH!$U$10))))&gt;0),IF(AND(AH!$U$12=1,980+1=AH!$U$6),IF(AH!$U$4=0,"unavailable",INDEX('Market Data'!$AN$5:$AN$66,AH!$U$4)),IF(AH!$U$5=1,INDEX('Live History'!$B$5:$B$3004,$K985),INDEX('AH History'!$D$5:$GG$1380,$K985,AH!$U$10))),NA()),NA())</f>
        <v/>
      </c>
      <c r="F985" s="32">
        <f>IFERROR(IF(ISNUMBER($A985),IF(AND(AH!$U$12=1,980+1=AH!$U$6),IF(AH!$U$4=0,"unavailable",INDEX('Market Data'!$AO$5:$AO$66,AH!$U$4)),IF(AH!$U$5=1,INDEX('Live History'!$E$5:$E$3004,MATCH($A985,'Live History'!$D$5:$D$3004,1)),INDEX('AH History'!$D$5:$GG$1380,$K985,AH!$U$10+1))),NA()),NA())</f>
        <v/>
      </c>
      <c r="G985" s="34">
        <f>IFERROR(IF(ISNUMBER($A985),IF(AND(AH!$U$12=1,980+1=AH!$U$6),IF(AH!$U$4=0,"unavailable",INDEX('Market Data'!$AK$5:$AK$66,AH!$U$4)),IF(AH!$U$5=1,INDEX('Live History'!$D$5:$D$3004,MATCH($A985,'Live History'!$D$5:$D$3004,1)),INDEX('AH History'!$D$5:$GG$1380,$K985,AH!$U$10+2))),NA()),NA())</f>
        <v/>
      </c>
      <c r="H985" s="266">
        <f>IFERROR(IF(ISNUMBER($A985),IF(AND(AH!$U$12=1,980+1=AH!$U$6),IF(AH!$U$4=0,"unavailable",INDEX('Market Data'!$AP$5:$AP$66,AH!$U$4)),IF(AH!$U$5=1,INDEX('Live History'!$H$5:$H$3004,MATCH($A985,'Live History'!$G$5:$G$3004,1)),INDEX('AH History'!$B$5:$B$1380,$K985))),NA()),NA())</f>
        <v/>
      </c>
      <c r="I985" s="34">
        <f>IFERROR(IF(ISNUMBER($A985),IF(AND(AH!$U$12=1,980+1=AH!$U$6),TODAY(),IF(AH!$U$5=1,INDEX('Live History'!$G$5:$G$3004,MATCH($A985,'Live History'!$G$5:$G$3004,1)),INDEX('AH History'!$C$5:$C$1380,$K985))),NA()),NA())</f>
        <v/>
      </c>
      <c r="J985" s="32">
        <f>IFERROR(IF(AND($F985&gt;0,$H985&gt;0,$A985-$G985&lt;=10,$A985-$I985&lt;=5,$G985&gt;0,$I985&gt;0),$F985*$H985,NA()),NA())</f>
        <v/>
      </c>
      <c r="K985" s="15">
        <f>IF($A985="","",IF(AH!$U$5=1,IFERROR(MATCH($A985,'Live History'!$A$5:$A$3004,0),0),AH!$U$7+980))</f>
        <v/>
      </c>
      <c r="L985" s="15">
        <f>IF(ISNUMBER(A985),TEXT(A985,"dd-mmm-yy"),"")</f>
        <v/>
      </c>
    </row>
    <row r="986">
      <c r="A986" s="14">
        <f>IF(OR(AH!$U$4=0,981+1&gt;AH!$U$6,AND(AH!$M$5="Bloomberg",AH!$U$5=0)),"",IFERROR(IF(AND(AH!$U$12=1,981+1=AH!$U$6),TODAY(),IF(AH!$U$5=1,INDEX('Live History'!$A$5:$A$3004,AH!$U$7+981),INDEX('AH History'!$A$5:$A$1380,AH!$U$7+981))),""))</f>
        <v/>
      </c>
      <c r="B986" s="33">
        <f>IFERROR(IF(AH!$U$11=1,NA(),$J986/$E986-1),NA())</f>
        <v/>
      </c>
      <c r="C986" s="269">
        <f>IFERROR(100*$E986/$E$5,NA())</f>
        <v/>
      </c>
      <c r="D986" s="269">
        <f>IFERROR(100*$J986/$J$5,NA())</f>
        <v/>
      </c>
      <c r="E986" s="32">
        <f>IFERROR(IF(AND(ISNUMBER($A986),N(IF(AND(AH!$U$12=1,981+1=AH!$U$6),IF(AH!$U$4=0,"unavailable",INDEX('Market Data'!$AN$5:$AN$66,AH!$U$4)),IF(AH!$U$5=1,INDEX('Live History'!$B$5:$B$3004,$K986),INDEX('AH History'!$D$5:$GG$1380,$K986,AH!$U$10))))&gt;0),IF(AND(AH!$U$12=1,981+1=AH!$U$6),IF(AH!$U$4=0,"unavailable",INDEX('Market Data'!$AN$5:$AN$66,AH!$U$4)),IF(AH!$U$5=1,INDEX('Live History'!$B$5:$B$3004,$K986),INDEX('AH History'!$D$5:$GG$1380,$K986,AH!$U$10))),NA()),NA())</f>
        <v/>
      </c>
      <c r="F986" s="32">
        <f>IFERROR(IF(ISNUMBER($A986),IF(AND(AH!$U$12=1,981+1=AH!$U$6),IF(AH!$U$4=0,"unavailable",INDEX('Market Data'!$AO$5:$AO$66,AH!$U$4)),IF(AH!$U$5=1,INDEX('Live History'!$E$5:$E$3004,MATCH($A986,'Live History'!$D$5:$D$3004,1)),INDEX('AH History'!$D$5:$GG$1380,$K986,AH!$U$10+1))),NA()),NA())</f>
        <v/>
      </c>
      <c r="G986" s="34">
        <f>IFERROR(IF(ISNUMBER($A986),IF(AND(AH!$U$12=1,981+1=AH!$U$6),IF(AH!$U$4=0,"unavailable",INDEX('Market Data'!$AK$5:$AK$66,AH!$U$4)),IF(AH!$U$5=1,INDEX('Live History'!$D$5:$D$3004,MATCH($A986,'Live History'!$D$5:$D$3004,1)),INDEX('AH History'!$D$5:$GG$1380,$K986,AH!$U$10+2))),NA()),NA())</f>
        <v/>
      </c>
      <c r="H986" s="266">
        <f>IFERROR(IF(ISNUMBER($A986),IF(AND(AH!$U$12=1,981+1=AH!$U$6),IF(AH!$U$4=0,"unavailable",INDEX('Market Data'!$AP$5:$AP$66,AH!$U$4)),IF(AH!$U$5=1,INDEX('Live History'!$H$5:$H$3004,MATCH($A986,'Live History'!$G$5:$G$3004,1)),INDEX('AH History'!$B$5:$B$1380,$K986))),NA()),NA())</f>
        <v/>
      </c>
      <c r="I986" s="34">
        <f>IFERROR(IF(ISNUMBER($A986),IF(AND(AH!$U$12=1,981+1=AH!$U$6),TODAY(),IF(AH!$U$5=1,INDEX('Live History'!$G$5:$G$3004,MATCH($A986,'Live History'!$G$5:$G$3004,1)),INDEX('AH History'!$C$5:$C$1380,$K986))),NA()),NA())</f>
        <v/>
      </c>
      <c r="J986" s="32">
        <f>IFERROR(IF(AND($F986&gt;0,$H986&gt;0,$A986-$G986&lt;=10,$A986-$I986&lt;=5,$G986&gt;0,$I986&gt;0),$F986*$H986,NA()),NA())</f>
        <v/>
      </c>
      <c r="K986" s="15">
        <f>IF($A986="","",IF(AH!$U$5=1,IFERROR(MATCH($A986,'Live History'!$A$5:$A$3004,0),0),AH!$U$7+981))</f>
        <v/>
      </c>
      <c r="L986" s="15">
        <f>IF(ISNUMBER(A986),TEXT(A986,"dd-mmm-yy"),"")</f>
        <v/>
      </c>
    </row>
    <row r="987">
      <c r="A987" s="14">
        <f>IF(OR(AH!$U$4=0,982+1&gt;AH!$U$6,AND(AH!$M$5="Bloomberg",AH!$U$5=0)),"",IFERROR(IF(AND(AH!$U$12=1,982+1=AH!$U$6),TODAY(),IF(AH!$U$5=1,INDEX('Live History'!$A$5:$A$3004,AH!$U$7+982),INDEX('AH History'!$A$5:$A$1380,AH!$U$7+982))),""))</f>
        <v/>
      </c>
      <c r="B987" s="33">
        <f>IFERROR(IF(AH!$U$11=1,NA(),$J987/$E987-1),NA())</f>
        <v/>
      </c>
      <c r="C987" s="269">
        <f>IFERROR(100*$E987/$E$5,NA())</f>
        <v/>
      </c>
      <c r="D987" s="269">
        <f>IFERROR(100*$J987/$J$5,NA())</f>
        <v/>
      </c>
      <c r="E987" s="32">
        <f>IFERROR(IF(AND(ISNUMBER($A987),N(IF(AND(AH!$U$12=1,982+1=AH!$U$6),IF(AH!$U$4=0,"unavailable",INDEX('Market Data'!$AN$5:$AN$66,AH!$U$4)),IF(AH!$U$5=1,INDEX('Live History'!$B$5:$B$3004,$K987),INDEX('AH History'!$D$5:$GG$1380,$K987,AH!$U$10))))&gt;0),IF(AND(AH!$U$12=1,982+1=AH!$U$6),IF(AH!$U$4=0,"unavailable",INDEX('Market Data'!$AN$5:$AN$66,AH!$U$4)),IF(AH!$U$5=1,INDEX('Live History'!$B$5:$B$3004,$K987),INDEX('AH History'!$D$5:$GG$1380,$K987,AH!$U$10))),NA()),NA())</f>
        <v/>
      </c>
      <c r="F987" s="32">
        <f>IFERROR(IF(ISNUMBER($A987),IF(AND(AH!$U$12=1,982+1=AH!$U$6),IF(AH!$U$4=0,"unavailable",INDEX('Market Data'!$AO$5:$AO$66,AH!$U$4)),IF(AH!$U$5=1,INDEX('Live History'!$E$5:$E$3004,MATCH($A987,'Live History'!$D$5:$D$3004,1)),INDEX('AH History'!$D$5:$GG$1380,$K987,AH!$U$10+1))),NA()),NA())</f>
        <v/>
      </c>
      <c r="G987" s="34">
        <f>IFERROR(IF(ISNUMBER($A987),IF(AND(AH!$U$12=1,982+1=AH!$U$6),IF(AH!$U$4=0,"unavailable",INDEX('Market Data'!$AK$5:$AK$66,AH!$U$4)),IF(AH!$U$5=1,INDEX('Live History'!$D$5:$D$3004,MATCH($A987,'Live History'!$D$5:$D$3004,1)),INDEX('AH History'!$D$5:$GG$1380,$K987,AH!$U$10+2))),NA()),NA())</f>
        <v/>
      </c>
      <c r="H987" s="266">
        <f>IFERROR(IF(ISNUMBER($A987),IF(AND(AH!$U$12=1,982+1=AH!$U$6),IF(AH!$U$4=0,"unavailable",INDEX('Market Data'!$AP$5:$AP$66,AH!$U$4)),IF(AH!$U$5=1,INDEX('Live History'!$H$5:$H$3004,MATCH($A987,'Live History'!$G$5:$G$3004,1)),INDEX('AH History'!$B$5:$B$1380,$K987))),NA()),NA())</f>
        <v/>
      </c>
      <c r="I987" s="34">
        <f>IFERROR(IF(ISNUMBER($A987),IF(AND(AH!$U$12=1,982+1=AH!$U$6),TODAY(),IF(AH!$U$5=1,INDEX('Live History'!$G$5:$G$3004,MATCH($A987,'Live History'!$G$5:$G$3004,1)),INDEX('AH History'!$C$5:$C$1380,$K987))),NA()),NA())</f>
        <v/>
      </c>
      <c r="J987" s="32">
        <f>IFERROR(IF(AND($F987&gt;0,$H987&gt;0,$A987-$G987&lt;=10,$A987-$I987&lt;=5,$G987&gt;0,$I987&gt;0),$F987*$H987,NA()),NA())</f>
        <v/>
      </c>
      <c r="K987" s="15">
        <f>IF($A987="","",IF(AH!$U$5=1,IFERROR(MATCH($A987,'Live History'!$A$5:$A$3004,0),0),AH!$U$7+982))</f>
        <v/>
      </c>
      <c r="L987" s="15">
        <f>IF(ISNUMBER(A987),TEXT(A987,"dd-mmm-yy"),"")</f>
        <v/>
      </c>
    </row>
    <row r="988">
      <c r="A988" s="14">
        <f>IF(OR(AH!$U$4=0,983+1&gt;AH!$U$6,AND(AH!$M$5="Bloomberg",AH!$U$5=0)),"",IFERROR(IF(AND(AH!$U$12=1,983+1=AH!$U$6),TODAY(),IF(AH!$U$5=1,INDEX('Live History'!$A$5:$A$3004,AH!$U$7+983),INDEX('AH History'!$A$5:$A$1380,AH!$U$7+983))),""))</f>
        <v/>
      </c>
      <c r="B988" s="33">
        <f>IFERROR(IF(AH!$U$11=1,NA(),$J988/$E988-1),NA())</f>
        <v/>
      </c>
      <c r="C988" s="269">
        <f>IFERROR(100*$E988/$E$5,NA())</f>
        <v/>
      </c>
      <c r="D988" s="269">
        <f>IFERROR(100*$J988/$J$5,NA())</f>
        <v/>
      </c>
      <c r="E988" s="32">
        <f>IFERROR(IF(AND(ISNUMBER($A988),N(IF(AND(AH!$U$12=1,983+1=AH!$U$6),IF(AH!$U$4=0,"unavailable",INDEX('Market Data'!$AN$5:$AN$66,AH!$U$4)),IF(AH!$U$5=1,INDEX('Live History'!$B$5:$B$3004,$K988),INDEX('AH History'!$D$5:$GG$1380,$K988,AH!$U$10))))&gt;0),IF(AND(AH!$U$12=1,983+1=AH!$U$6),IF(AH!$U$4=0,"unavailable",INDEX('Market Data'!$AN$5:$AN$66,AH!$U$4)),IF(AH!$U$5=1,INDEX('Live History'!$B$5:$B$3004,$K988),INDEX('AH History'!$D$5:$GG$1380,$K988,AH!$U$10))),NA()),NA())</f>
        <v/>
      </c>
      <c r="F988" s="32">
        <f>IFERROR(IF(ISNUMBER($A988),IF(AND(AH!$U$12=1,983+1=AH!$U$6),IF(AH!$U$4=0,"unavailable",INDEX('Market Data'!$AO$5:$AO$66,AH!$U$4)),IF(AH!$U$5=1,INDEX('Live History'!$E$5:$E$3004,MATCH($A988,'Live History'!$D$5:$D$3004,1)),INDEX('AH History'!$D$5:$GG$1380,$K988,AH!$U$10+1))),NA()),NA())</f>
        <v/>
      </c>
      <c r="G988" s="34">
        <f>IFERROR(IF(ISNUMBER($A988),IF(AND(AH!$U$12=1,983+1=AH!$U$6),IF(AH!$U$4=0,"unavailable",INDEX('Market Data'!$AK$5:$AK$66,AH!$U$4)),IF(AH!$U$5=1,INDEX('Live History'!$D$5:$D$3004,MATCH($A988,'Live History'!$D$5:$D$3004,1)),INDEX('AH History'!$D$5:$GG$1380,$K988,AH!$U$10+2))),NA()),NA())</f>
        <v/>
      </c>
      <c r="H988" s="266">
        <f>IFERROR(IF(ISNUMBER($A988),IF(AND(AH!$U$12=1,983+1=AH!$U$6),IF(AH!$U$4=0,"unavailable",INDEX('Market Data'!$AP$5:$AP$66,AH!$U$4)),IF(AH!$U$5=1,INDEX('Live History'!$H$5:$H$3004,MATCH($A988,'Live History'!$G$5:$G$3004,1)),INDEX('AH History'!$B$5:$B$1380,$K988))),NA()),NA())</f>
        <v/>
      </c>
      <c r="I988" s="34">
        <f>IFERROR(IF(ISNUMBER($A988),IF(AND(AH!$U$12=1,983+1=AH!$U$6),TODAY(),IF(AH!$U$5=1,INDEX('Live History'!$G$5:$G$3004,MATCH($A988,'Live History'!$G$5:$G$3004,1)),INDEX('AH History'!$C$5:$C$1380,$K988))),NA()),NA())</f>
        <v/>
      </c>
      <c r="J988" s="32">
        <f>IFERROR(IF(AND($F988&gt;0,$H988&gt;0,$A988-$G988&lt;=10,$A988-$I988&lt;=5,$G988&gt;0,$I988&gt;0),$F988*$H988,NA()),NA())</f>
        <v/>
      </c>
      <c r="K988" s="15">
        <f>IF($A988="","",IF(AH!$U$5=1,IFERROR(MATCH($A988,'Live History'!$A$5:$A$3004,0),0),AH!$U$7+983))</f>
        <v/>
      </c>
      <c r="L988" s="15">
        <f>IF(ISNUMBER(A988),TEXT(A988,"dd-mmm-yy"),"")</f>
        <v/>
      </c>
    </row>
    <row r="989">
      <c r="A989" s="14">
        <f>IF(OR(AH!$U$4=0,984+1&gt;AH!$U$6,AND(AH!$M$5="Bloomberg",AH!$U$5=0)),"",IFERROR(IF(AND(AH!$U$12=1,984+1=AH!$U$6),TODAY(),IF(AH!$U$5=1,INDEX('Live History'!$A$5:$A$3004,AH!$U$7+984),INDEX('AH History'!$A$5:$A$1380,AH!$U$7+984))),""))</f>
        <v/>
      </c>
      <c r="B989" s="33">
        <f>IFERROR(IF(AH!$U$11=1,NA(),$J989/$E989-1),NA())</f>
        <v/>
      </c>
      <c r="C989" s="269">
        <f>IFERROR(100*$E989/$E$5,NA())</f>
        <v/>
      </c>
      <c r="D989" s="269">
        <f>IFERROR(100*$J989/$J$5,NA())</f>
        <v/>
      </c>
      <c r="E989" s="32">
        <f>IFERROR(IF(AND(ISNUMBER($A989),N(IF(AND(AH!$U$12=1,984+1=AH!$U$6),IF(AH!$U$4=0,"unavailable",INDEX('Market Data'!$AN$5:$AN$66,AH!$U$4)),IF(AH!$U$5=1,INDEX('Live History'!$B$5:$B$3004,$K989),INDEX('AH History'!$D$5:$GG$1380,$K989,AH!$U$10))))&gt;0),IF(AND(AH!$U$12=1,984+1=AH!$U$6),IF(AH!$U$4=0,"unavailable",INDEX('Market Data'!$AN$5:$AN$66,AH!$U$4)),IF(AH!$U$5=1,INDEX('Live History'!$B$5:$B$3004,$K989),INDEX('AH History'!$D$5:$GG$1380,$K989,AH!$U$10))),NA()),NA())</f>
        <v/>
      </c>
      <c r="F989" s="32">
        <f>IFERROR(IF(ISNUMBER($A989),IF(AND(AH!$U$12=1,984+1=AH!$U$6),IF(AH!$U$4=0,"unavailable",INDEX('Market Data'!$AO$5:$AO$66,AH!$U$4)),IF(AH!$U$5=1,INDEX('Live History'!$E$5:$E$3004,MATCH($A989,'Live History'!$D$5:$D$3004,1)),INDEX('AH History'!$D$5:$GG$1380,$K989,AH!$U$10+1))),NA()),NA())</f>
        <v/>
      </c>
      <c r="G989" s="34">
        <f>IFERROR(IF(ISNUMBER($A989),IF(AND(AH!$U$12=1,984+1=AH!$U$6),IF(AH!$U$4=0,"unavailable",INDEX('Market Data'!$AK$5:$AK$66,AH!$U$4)),IF(AH!$U$5=1,INDEX('Live History'!$D$5:$D$3004,MATCH($A989,'Live History'!$D$5:$D$3004,1)),INDEX('AH History'!$D$5:$GG$1380,$K989,AH!$U$10+2))),NA()),NA())</f>
        <v/>
      </c>
      <c r="H989" s="266">
        <f>IFERROR(IF(ISNUMBER($A989),IF(AND(AH!$U$12=1,984+1=AH!$U$6),IF(AH!$U$4=0,"unavailable",INDEX('Market Data'!$AP$5:$AP$66,AH!$U$4)),IF(AH!$U$5=1,INDEX('Live History'!$H$5:$H$3004,MATCH($A989,'Live History'!$G$5:$G$3004,1)),INDEX('AH History'!$B$5:$B$1380,$K989))),NA()),NA())</f>
        <v/>
      </c>
      <c r="I989" s="34">
        <f>IFERROR(IF(ISNUMBER($A989),IF(AND(AH!$U$12=1,984+1=AH!$U$6),TODAY(),IF(AH!$U$5=1,INDEX('Live History'!$G$5:$G$3004,MATCH($A989,'Live History'!$G$5:$G$3004,1)),INDEX('AH History'!$C$5:$C$1380,$K989))),NA()),NA())</f>
        <v/>
      </c>
      <c r="J989" s="32">
        <f>IFERROR(IF(AND($F989&gt;0,$H989&gt;0,$A989-$G989&lt;=10,$A989-$I989&lt;=5,$G989&gt;0,$I989&gt;0),$F989*$H989,NA()),NA())</f>
        <v/>
      </c>
      <c r="K989" s="15">
        <f>IF($A989="","",IF(AH!$U$5=1,IFERROR(MATCH($A989,'Live History'!$A$5:$A$3004,0),0),AH!$U$7+984))</f>
        <v/>
      </c>
      <c r="L989" s="15">
        <f>IF(ISNUMBER(A989),TEXT(A989,"dd-mmm-yy"),"")</f>
        <v/>
      </c>
    </row>
    <row r="990">
      <c r="A990" s="14">
        <f>IF(OR(AH!$U$4=0,985+1&gt;AH!$U$6,AND(AH!$M$5="Bloomberg",AH!$U$5=0)),"",IFERROR(IF(AND(AH!$U$12=1,985+1=AH!$U$6),TODAY(),IF(AH!$U$5=1,INDEX('Live History'!$A$5:$A$3004,AH!$U$7+985),INDEX('AH History'!$A$5:$A$1380,AH!$U$7+985))),""))</f>
        <v/>
      </c>
      <c r="B990" s="33">
        <f>IFERROR(IF(AH!$U$11=1,NA(),$J990/$E990-1),NA())</f>
        <v/>
      </c>
      <c r="C990" s="269">
        <f>IFERROR(100*$E990/$E$5,NA())</f>
        <v/>
      </c>
      <c r="D990" s="269">
        <f>IFERROR(100*$J990/$J$5,NA())</f>
        <v/>
      </c>
      <c r="E990" s="32">
        <f>IFERROR(IF(AND(ISNUMBER($A990),N(IF(AND(AH!$U$12=1,985+1=AH!$U$6),IF(AH!$U$4=0,"unavailable",INDEX('Market Data'!$AN$5:$AN$66,AH!$U$4)),IF(AH!$U$5=1,INDEX('Live History'!$B$5:$B$3004,$K990),INDEX('AH History'!$D$5:$GG$1380,$K990,AH!$U$10))))&gt;0),IF(AND(AH!$U$12=1,985+1=AH!$U$6),IF(AH!$U$4=0,"unavailable",INDEX('Market Data'!$AN$5:$AN$66,AH!$U$4)),IF(AH!$U$5=1,INDEX('Live History'!$B$5:$B$3004,$K990),INDEX('AH History'!$D$5:$GG$1380,$K990,AH!$U$10))),NA()),NA())</f>
        <v/>
      </c>
      <c r="F990" s="32">
        <f>IFERROR(IF(ISNUMBER($A990),IF(AND(AH!$U$12=1,985+1=AH!$U$6),IF(AH!$U$4=0,"unavailable",INDEX('Market Data'!$AO$5:$AO$66,AH!$U$4)),IF(AH!$U$5=1,INDEX('Live History'!$E$5:$E$3004,MATCH($A990,'Live History'!$D$5:$D$3004,1)),INDEX('AH History'!$D$5:$GG$1380,$K990,AH!$U$10+1))),NA()),NA())</f>
        <v/>
      </c>
      <c r="G990" s="34">
        <f>IFERROR(IF(ISNUMBER($A990),IF(AND(AH!$U$12=1,985+1=AH!$U$6),IF(AH!$U$4=0,"unavailable",INDEX('Market Data'!$AK$5:$AK$66,AH!$U$4)),IF(AH!$U$5=1,INDEX('Live History'!$D$5:$D$3004,MATCH($A990,'Live History'!$D$5:$D$3004,1)),INDEX('AH History'!$D$5:$GG$1380,$K990,AH!$U$10+2))),NA()),NA())</f>
        <v/>
      </c>
      <c r="H990" s="266">
        <f>IFERROR(IF(ISNUMBER($A990),IF(AND(AH!$U$12=1,985+1=AH!$U$6),IF(AH!$U$4=0,"unavailable",INDEX('Market Data'!$AP$5:$AP$66,AH!$U$4)),IF(AH!$U$5=1,INDEX('Live History'!$H$5:$H$3004,MATCH($A990,'Live History'!$G$5:$G$3004,1)),INDEX('AH History'!$B$5:$B$1380,$K990))),NA()),NA())</f>
        <v/>
      </c>
      <c r="I990" s="34">
        <f>IFERROR(IF(ISNUMBER($A990),IF(AND(AH!$U$12=1,985+1=AH!$U$6),TODAY(),IF(AH!$U$5=1,INDEX('Live History'!$G$5:$G$3004,MATCH($A990,'Live History'!$G$5:$G$3004,1)),INDEX('AH History'!$C$5:$C$1380,$K990))),NA()),NA())</f>
        <v/>
      </c>
      <c r="J990" s="32">
        <f>IFERROR(IF(AND($F990&gt;0,$H990&gt;0,$A990-$G990&lt;=10,$A990-$I990&lt;=5,$G990&gt;0,$I990&gt;0),$F990*$H990,NA()),NA())</f>
        <v/>
      </c>
      <c r="K990" s="15">
        <f>IF($A990="","",IF(AH!$U$5=1,IFERROR(MATCH($A990,'Live History'!$A$5:$A$3004,0),0),AH!$U$7+985))</f>
        <v/>
      </c>
      <c r="L990" s="15">
        <f>IF(ISNUMBER(A990),TEXT(A990,"dd-mmm-yy"),"")</f>
        <v/>
      </c>
    </row>
    <row r="991">
      <c r="A991" s="14">
        <f>IF(OR(AH!$U$4=0,986+1&gt;AH!$U$6,AND(AH!$M$5="Bloomberg",AH!$U$5=0)),"",IFERROR(IF(AND(AH!$U$12=1,986+1=AH!$U$6),TODAY(),IF(AH!$U$5=1,INDEX('Live History'!$A$5:$A$3004,AH!$U$7+986),INDEX('AH History'!$A$5:$A$1380,AH!$U$7+986))),""))</f>
        <v/>
      </c>
      <c r="B991" s="33">
        <f>IFERROR(IF(AH!$U$11=1,NA(),$J991/$E991-1),NA())</f>
        <v/>
      </c>
      <c r="C991" s="269">
        <f>IFERROR(100*$E991/$E$5,NA())</f>
        <v/>
      </c>
      <c r="D991" s="269">
        <f>IFERROR(100*$J991/$J$5,NA())</f>
        <v/>
      </c>
      <c r="E991" s="32">
        <f>IFERROR(IF(AND(ISNUMBER($A991),N(IF(AND(AH!$U$12=1,986+1=AH!$U$6),IF(AH!$U$4=0,"unavailable",INDEX('Market Data'!$AN$5:$AN$66,AH!$U$4)),IF(AH!$U$5=1,INDEX('Live History'!$B$5:$B$3004,$K991),INDEX('AH History'!$D$5:$GG$1380,$K991,AH!$U$10))))&gt;0),IF(AND(AH!$U$12=1,986+1=AH!$U$6),IF(AH!$U$4=0,"unavailable",INDEX('Market Data'!$AN$5:$AN$66,AH!$U$4)),IF(AH!$U$5=1,INDEX('Live History'!$B$5:$B$3004,$K991),INDEX('AH History'!$D$5:$GG$1380,$K991,AH!$U$10))),NA()),NA())</f>
        <v/>
      </c>
      <c r="F991" s="32">
        <f>IFERROR(IF(ISNUMBER($A991),IF(AND(AH!$U$12=1,986+1=AH!$U$6),IF(AH!$U$4=0,"unavailable",INDEX('Market Data'!$AO$5:$AO$66,AH!$U$4)),IF(AH!$U$5=1,INDEX('Live History'!$E$5:$E$3004,MATCH($A991,'Live History'!$D$5:$D$3004,1)),INDEX('AH History'!$D$5:$GG$1380,$K991,AH!$U$10+1))),NA()),NA())</f>
        <v/>
      </c>
      <c r="G991" s="34">
        <f>IFERROR(IF(ISNUMBER($A991),IF(AND(AH!$U$12=1,986+1=AH!$U$6),IF(AH!$U$4=0,"unavailable",INDEX('Market Data'!$AK$5:$AK$66,AH!$U$4)),IF(AH!$U$5=1,INDEX('Live History'!$D$5:$D$3004,MATCH($A991,'Live History'!$D$5:$D$3004,1)),INDEX('AH History'!$D$5:$GG$1380,$K991,AH!$U$10+2))),NA()),NA())</f>
        <v/>
      </c>
      <c r="H991" s="266">
        <f>IFERROR(IF(ISNUMBER($A991),IF(AND(AH!$U$12=1,986+1=AH!$U$6),IF(AH!$U$4=0,"unavailable",INDEX('Market Data'!$AP$5:$AP$66,AH!$U$4)),IF(AH!$U$5=1,INDEX('Live History'!$H$5:$H$3004,MATCH($A991,'Live History'!$G$5:$G$3004,1)),INDEX('AH History'!$B$5:$B$1380,$K991))),NA()),NA())</f>
        <v/>
      </c>
      <c r="I991" s="34">
        <f>IFERROR(IF(ISNUMBER($A991),IF(AND(AH!$U$12=1,986+1=AH!$U$6),TODAY(),IF(AH!$U$5=1,INDEX('Live History'!$G$5:$G$3004,MATCH($A991,'Live History'!$G$5:$G$3004,1)),INDEX('AH History'!$C$5:$C$1380,$K991))),NA()),NA())</f>
        <v/>
      </c>
      <c r="J991" s="32">
        <f>IFERROR(IF(AND($F991&gt;0,$H991&gt;0,$A991-$G991&lt;=10,$A991-$I991&lt;=5,$G991&gt;0,$I991&gt;0),$F991*$H991,NA()),NA())</f>
        <v/>
      </c>
      <c r="K991" s="15">
        <f>IF($A991="","",IF(AH!$U$5=1,IFERROR(MATCH($A991,'Live History'!$A$5:$A$3004,0),0),AH!$U$7+986))</f>
        <v/>
      </c>
      <c r="L991" s="15">
        <f>IF(ISNUMBER(A991),TEXT(A991,"dd-mmm-yy"),"")</f>
        <v/>
      </c>
    </row>
    <row r="992">
      <c r="A992" s="14">
        <f>IF(OR(AH!$U$4=0,987+1&gt;AH!$U$6,AND(AH!$M$5="Bloomberg",AH!$U$5=0)),"",IFERROR(IF(AND(AH!$U$12=1,987+1=AH!$U$6),TODAY(),IF(AH!$U$5=1,INDEX('Live History'!$A$5:$A$3004,AH!$U$7+987),INDEX('AH History'!$A$5:$A$1380,AH!$U$7+987))),""))</f>
        <v/>
      </c>
      <c r="B992" s="33">
        <f>IFERROR(IF(AH!$U$11=1,NA(),$J992/$E992-1),NA())</f>
        <v/>
      </c>
      <c r="C992" s="269">
        <f>IFERROR(100*$E992/$E$5,NA())</f>
        <v/>
      </c>
      <c r="D992" s="269">
        <f>IFERROR(100*$J992/$J$5,NA())</f>
        <v/>
      </c>
      <c r="E992" s="32">
        <f>IFERROR(IF(AND(ISNUMBER($A992),N(IF(AND(AH!$U$12=1,987+1=AH!$U$6),IF(AH!$U$4=0,"unavailable",INDEX('Market Data'!$AN$5:$AN$66,AH!$U$4)),IF(AH!$U$5=1,INDEX('Live History'!$B$5:$B$3004,$K992),INDEX('AH History'!$D$5:$GG$1380,$K992,AH!$U$10))))&gt;0),IF(AND(AH!$U$12=1,987+1=AH!$U$6),IF(AH!$U$4=0,"unavailable",INDEX('Market Data'!$AN$5:$AN$66,AH!$U$4)),IF(AH!$U$5=1,INDEX('Live History'!$B$5:$B$3004,$K992),INDEX('AH History'!$D$5:$GG$1380,$K992,AH!$U$10))),NA()),NA())</f>
        <v/>
      </c>
      <c r="F992" s="32">
        <f>IFERROR(IF(ISNUMBER($A992),IF(AND(AH!$U$12=1,987+1=AH!$U$6),IF(AH!$U$4=0,"unavailable",INDEX('Market Data'!$AO$5:$AO$66,AH!$U$4)),IF(AH!$U$5=1,INDEX('Live History'!$E$5:$E$3004,MATCH($A992,'Live History'!$D$5:$D$3004,1)),INDEX('AH History'!$D$5:$GG$1380,$K992,AH!$U$10+1))),NA()),NA())</f>
        <v/>
      </c>
      <c r="G992" s="34">
        <f>IFERROR(IF(ISNUMBER($A992),IF(AND(AH!$U$12=1,987+1=AH!$U$6),IF(AH!$U$4=0,"unavailable",INDEX('Market Data'!$AK$5:$AK$66,AH!$U$4)),IF(AH!$U$5=1,INDEX('Live History'!$D$5:$D$3004,MATCH($A992,'Live History'!$D$5:$D$3004,1)),INDEX('AH History'!$D$5:$GG$1380,$K992,AH!$U$10+2))),NA()),NA())</f>
        <v/>
      </c>
      <c r="H992" s="266">
        <f>IFERROR(IF(ISNUMBER($A992),IF(AND(AH!$U$12=1,987+1=AH!$U$6),IF(AH!$U$4=0,"unavailable",INDEX('Market Data'!$AP$5:$AP$66,AH!$U$4)),IF(AH!$U$5=1,INDEX('Live History'!$H$5:$H$3004,MATCH($A992,'Live History'!$G$5:$G$3004,1)),INDEX('AH History'!$B$5:$B$1380,$K992))),NA()),NA())</f>
        <v/>
      </c>
      <c r="I992" s="34">
        <f>IFERROR(IF(ISNUMBER($A992),IF(AND(AH!$U$12=1,987+1=AH!$U$6),TODAY(),IF(AH!$U$5=1,INDEX('Live History'!$G$5:$G$3004,MATCH($A992,'Live History'!$G$5:$G$3004,1)),INDEX('AH History'!$C$5:$C$1380,$K992))),NA()),NA())</f>
        <v/>
      </c>
      <c r="J992" s="32">
        <f>IFERROR(IF(AND($F992&gt;0,$H992&gt;0,$A992-$G992&lt;=10,$A992-$I992&lt;=5,$G992&gt;0,$I992&gt;0),$F992*$H992,NA()),NA())</f>
        <v/>
      </c>
      <c r="K992" s="15">
        <f>IF($A992="","",IF(AH!$U$5=1,IFERROR(MATCH($A992,'Live History'!$A$5:$A$3004,0),0),AH!$U$7+987))</f>
        <v/>
      </c>
      <c r="L992" s="15">
        <f>IF(ISNUMBER(A992),TEXT(A992,"dd-mmm-yy"),"")</f>
        <v/>
      </c>
    </row>
    <row r="993">
      <c r="A993" s="14">
        <f>IF(OR(AH!$U$4=0,988+1&gt;AH!$U$6,AND(AH!$M$5="Bloomberg",AH!$U$5=0)),"",IFERROR(IF(AND(AH!$U$12=1,988+1=AH!$U$6),TODAY(),IF(AH!$U$5=1,INDEX('Live History'!$A$5:$A$3004,AH!$U$7+988),INDEX('AH History'!$A$5:$A$1380,AH!$U$7+988))),""))</f>
        <v/>
      </c>
      <c r="B993" s="33">
        <f>IFERROR(IF(AH!$U$11=1,NA(),$J993/$E993-1),NA())</f>
        <v/>
      </c>
      <c r="C993" s="269">
        <f>IFERROR(100*$E993/$E$5,NA())</f>
        <v/>
      </c>
      <c r="D993" s="269">
        <f>IFERROR(100*$J993/$J$5,NA())</f>
        <v/>
      </c>
      <c r="E993" s="32">
        <f>IFERROR(IF(AND(ISNUMBER($A993),N(IF(AND(AH!$U$12=1,988+1=AH!$U$6),IF(AH!$U$4=0,"unavailable",INDEX('Market Data'!$AN$5:$AN$66,AH!$U$4)),IF(AH!$U$5=1,INDEX('Live History'!$B$5:$B$3004,$K993),INDEX('AH History'!$D$5:$GG$1380,$K993,AH!$U$10))))&gt;0),IF(AND(AH!$U$12=1,988+1=AH!$U$6),IF(AH!$U$4=0,"unavailable",INDEX('Market Data'!$AN$5:$AN$66,AH!$U$4)),IF(AH!$U$5=1,INDEX('Live History'!$B$5:$B$3004,$K993),INDEX('AH History'!$D$5:$GG$1380,$K993,AH!$U$10))),NA()),NA())</f>
        <v/>
      </c>
      <c r="F993" s="32">
        <f>IFERROR(IF(ISNUMBER($A993),IF(AND(AH!$U$12=1,988+1=AH!$U$6),IF(AH!$U$4=0,"unavailable",INDEX('Market Data'!$AO$5:$AO$66,AH!$U$4)),IF(AH!$U$5=1,INDEX('Live History'!$E$5:$E$3004,MATCH($A993,'Live History'!$D$5:$D$3004,1)),INDEX('AH History'!$D$5:$GG$1380,$K993,AH!$U$10+1))),NA()),NA())</f>
        <v/>
      </c>
      <c r="G993" s="34">
        <f>IFERROR(IF(ISNUMBER($A993),IF(AND(AH!$U$12=1,988+1=AH!$U$6),IF(AH!$U$4=0,"unavailable",INDEX('Market Data'!$AK$5:$AK$66,AH!$U$4)),IF(AH!$U$5=1,INDEX('Live History'!$D$5:$D$3004,MATCH($A993,'Live History'!$D$5:$D$3004,1)),INDEX('AH History'!$D$5:$GG$1380,$K993,AH!$U$10+2))),NA()),NA())</f>
        <v/>
      </c>
      <c r="H993" s="266">
        <f>IFERROR(IF(ISNUMBER($A993),IF(AND(AH!$U$12=1,988+1=AH!$U$6),IF(AH!$U$4=0,"unavailable",INDEX('Market Data'!$AP$5:$AP$66,AH!$U$4)),IF(AH!$U$5=1,INDEX('Live History'!$H$5:$H$3004,MATCH($A993,'Live History'!$G$5:$G$3004,1)),INDEX('AH History'!$B$5:$B$1380,$K993))),NA()),NA())</f>
        <v/>
      </c>
      <c r="I993" s="34">
        <f>IFERROR(IF(ISNUMBER($A993),IF(AND(AH!$U$12=1,988+1=AH!$U$6),TODAY(),IF(AH!$U$5=1,INDEX('Live History'!$G$5:$G$3004,MATCH($A993,'Live History'!$G$5:$G$3004,1)),INDEX('AH History'!$C$5:$C$1380,$K993))),NA()),NA())</f>
        <v/>
      </c>
      <c r="J993" s="32">
        <f>IFERROR(IF(AND($F993&gt;0,$H993&gt;0,$A993-$G993&lt;=10,$A993-$I993&lt;=5,$G993&gt;0,$I993&gt;0),$F993*$H993,NA()),NA())</f>
        <v/>
      </c>
      <c r="K993" s="15">
        <f>IF($A993="","",IF(AH!$U$5=1,IFERROR(MATCH($A993,'Live History'!$A$5:$A$3004,0),0),AH!$U$7+988))</f>
        <v/>
      </c>
      <c r="L993" s="15">
        <f>IF(ISNUMBER(A993),TEXT(A993,"dd-mmm-yy"),"")</f>
        <v/>
      </c>
    </row>
    <row r="994">
      <c r="A994" s="14">
        <f>IF(OR(AH!$U$4=0,989+1&gt;AH!$U$6,AND(AH!$M$5="Bloomberg",AH!$U$5=0)),"",IFERROR(IF(AND(AH!$U$12=1,989+1=AH!$U$6),TODAY(),IF(AH!$U$5=1,INDEX('Live History'!$A$5:$A$3004,AH!$U$7+989),INDEX('AH History'!$A$5:$A$1380,AH!$U$7+989))),""))</f>
        <v/>
      </c>
      <c r="B994" s="33">
        <f>IFERROR(IF(AH!$U$11=1,NA(),$J994/$E994-1),NA())</f>
        <v/>
      </c>
      <c r="C994" s="269">
        <f>IFERROR(100*$E994/$E$5,NA())</f>
        <v/>
      </c>
      <c r="D994" s="269">
        <f>IFERROR(100*$J994/$J$5,NA())</f>
        <v/>
      </c>
      <c r="E994" s="32">
        <f>IFERROR(IF(AND(ISNUMBER($A994),N(IF(AND(AH!$U$12=1,989+1=AH!$U$6),IF(AH!$U$4=0,"unavailable",INDEX('Market Data'!$AN$5:$AN$66,AH!$U$4)),IF(AH!$U$5=1,INDEX('Live History'!$B$5:$B$3004,$K994),INDEX('AH History'!$D$5:$GG$1380,$K994,AH!$U$10))))&gt;0),IF(AND(AH!$U$12=1,989+1=AH!$U$6),IF(AH!$U$4=0,"unavailable",INDEX('Market Data'!$AN$5:$AN$66,AH!$U$4)),IF(AH!$U$5=1,INDEX('Live History'!$B$5:$B$3004,$K994),INDEX('AH History'!$D$5:$GG$1380,$K994,AH!$U$10))),NA()),NA())</f>
        <v/>
      </c>
      <c r="F994" s="32">
        <f>IFERROR(IF(ISNUMBER($A994),IF(AND(AH!$U$12=1,989+1=AH!$U$6),IF(AH!$U$4=0,"unavailable",INDEX('Market Data'!$AO$5:$AO$66,AH!$U$4)),IF(AH!$U$5=1,INDEX('Live History'!$E$5:$E$3004,MATCH($A994,'Live History'!$D$5:$D$3004,1)),INDEX('AH History'!$D$5:$GG$1380,$K994,AH!$U$10+1))),NA()),NA())</f>
        <v/>
      </c>
      <c r="G994" s="34">
        <f>IFERROR(IF(ISNUMBER($A994),IF(AND(AH!$U$12=1,989+1=AH!$U$6),IF(AH!$U$4=0,"unavailable",INDEX('Market Data'!$AK$5:$AK$66,AH!$U$4)),IF(AH!$U$5=1,INDEX('Live History'!$D$5:$D$3004,MATCH($A994,'Live History'!$D$5:$D$3004,1)),INDEX('AH History'!$D$5:$GG$1380,$K994,AH!$U$10+2))),NA()),NA())</f>
        <v/>
      </c>
      <c r="H994" s="266">
        <f>IFERROR(IF(ISNUMBER($A994),IF(AND(AH!$U$12=1,989+1=AH!$U$6),IF(AH!$U$4=0,"unavailable",INDEX('Market Data'!$AP$5:$AP$66,AH!$U$4)),IF(AH!$U$5=1,INDEX('Live History'!$H$5:$H$3004,MATCH($A994,'Live History'!$G$5:$G$3004,1)),INDEX('AH History'!$B$5:$B$1380,$K994))),NA()),NA())</f>
        <v/>
      </c>
      <c r="I994" s="34">
        <f>IFERROR(IF(ISNUMBER($A994),IF(AND(AH!$U$12=1,989+1=AH!$U$6),TODAY(),IF(AH!$U$5=1,INDEX('Live History'!$G$5:$G$3004,MATCH($A994,'Live History'!$G$5:$G$3004,1)),INDEX('AH History'!$C$5:$C$1380,$K994))),NA()),NA())</f>
        <v/>
      </c>
      <c r="J994" s="32">
        <f>IFERROR(IF(AND($F994&gt;0,$H994&gt;0,$A994-$G994&lt;=10,$A994-$I994&lt;=5,$G994&gt;0,$I994&gt;0),$F994*$H994,NA()),NA())</f>
        <v/>
      </c>
      <c r="K994" s="15">
        <f>IF($A994="","",IF(AH!$U$5=1,IFERROR(MATCH($A994,'Live History'!$A$5:$A$3004,0),0),AH!$U$7+989))</f>
        <v/>
      </c>
      <c r="L994" s="15">
        <f>IF(ISNUMBER(A994),TEXT(A994,"dd-mmm-yy"),"")</f>
        <v/>
      </c>
    </row>
    <row r="995">
      <c r="A995" s="14">
        <f>IF(OR(AH!$U$4=0,990+1&gt;AH!$U$6,AND(AH!$M$5="Bloomberg",AH!$U$5=0)),"",IFERROR(IF(AND(AH!$U$12=1,990+1=AH!$U$6),TODAY(),IF(AH!$U$5=1,INDEX('Live History'!$A$5:$A$3004,AH!$U$7+990),INDEX('AH History'!$A$5:$A$1380,AH!$U$7+990))),""))</f>
        <v/>
      </c>
      <c r="B995" s="33">
        <f>IFERROR(IF(AH!$U$11=1,NA(),$J995/$E995-1),NA())</f>
        <v/>
      </c>
      <c r="C995" s="269">
        <f>IFERROR(100*$E995/$E$5,NA())</f>
        <v/>
      </c>
      <c r="D995" s="269">
        <f>IFERROR(100*$J995/$J$5,NA())</f>
        <v/>
      </c>
      <c r="E995" s="32">
        <f>IFERROR(IF(AND(ISNUMBER($A995),N(IF(AND(AH!$U$12=1,990+1=AH!$U$6),IF(AH!$U$4=0,"unavailable",INDEX('Market Data'!$AN$5:$AN$66,AH!$U$4)),IF(AH!$U$5=1,INDEX('Live History'!$B$5:$B$3004,$K995),INDEX('AH History'!$D$5:$GG$1380,$K995,AH!$U$10))))&gt;0),IF(AND(AH!$U$12=1,990+1=AH!$U$6),IF(AH!$U$4=0,"unavailable",INDEX('Market Data'!$AN$5:$AN$66,AH!$U$4)),IF(AH!$U$5=1,INDEX('Live History'!$B$5:$B$3004,$K995),INDEX('AH History'!$D$5:$GG$1380,$K995,AH!$U$10))),NA()),NA())</f>
        <v/>
      </c>
      <c r="F995" s="32">
        <f>IFERROR(IF(ISNUMBER($A995),IF(AND(AH!$U$12=1,990+1=AH!$U$6),IF(AH!$U$4=0,"unavailable",INDEX('Market Data'!$AO$5:$AO$66,AH!$U$4)),IF(AH!$U$5=1,INDEX('Live History'!$E$5:$E$3004,MATCH($A995,'Live History'!$D$5:$D$3004,1)),INDEX('AH History'!$D$5:$GG$1380,$K995,AH!$U$10+1))),NA()),NA())</f>
        <v/>
      </c>
      <c r="G995" s="34">
        <f>IFERROR(IF(ISNUMBER($A995),IF(AND(AH!$U$12=1,990+1=AH!$U$6),IF(AH!$U$4=0,"unavailable",INDEX('Market Data'!$AK$5:$AK$66,AH!$U$4)),IF(AH!$U$5=1,INDEX('Live History'!$D$5:$D$3004,MATCH($A995,'Live History'!$D$5:$D$3004,1)),INDEX('AH History'!$D$5:$GG$1380,$K995,AH!$U$10+2))),NA()),NA())</f>
        <v/>
      </c>
      <c r="H995" s="266">
        <f>IFERROR(IF(ISNUMBER($A995),IF(AND(AH!$U$12=1,990+1=AH!$U$6),IF(AH!$U$4=0,"unavailable",INDEX('Market Data'!$AP$5:$AP$66,AH!$U$4)),IF(AH!$U$5=1,INDEX('Live History'!$H$5:$H$3004,MATCH($A995,'Live History'!$G$5:$G$3004,1)),INDEX('AH History'!$B$5:$B$1380,$K995))),NA()),NA())</f>
        <v/>
      </c>
      <c r="I995" s="34">
        <f>IFERROR(IF(ISNUMBER($A995),IF(AND(AH!$U$12=1,990+1=AH!$U$6),TODAY(),IF(AH!$U$5=1,INDEX('Live History'!$G$5:$G$3004,MATCH($A995,'Live History'!$G$5:$G$3004,1)),INDEX('AH History'!$C$5:$C$1380,$K995))),NA()),NA())</f>
        <v/>
      </c>
      <c r="J995" s="32">
        <f>IFERROR(IF(AND($F995&gt;0,$H995&gt;0,$A995-$G995&lt;=10,$A995-$I995&lt;=5,$G995&gt;0,$I995&gt;0),$F995*$H995,NA()),NA())</f>
        <v/>
      </c>
      <c r="K995" s="15">
        <f>IF($A995="","",IF(AH!$U$5=1,IFERROR(MATCH($A995,'Live History'!$A$5:$A$3004,0),0),AH!$U$7+990))</f>
        <v/>
      </c>
      <c r="L995" s="15">
        <f>IF(ISNUMBER(A995),TEXT(A995,"dd-mmm-yy"),"")</f>
        <v/>
      </c>
    </row>
    <row r="996">
      <c r="A996" s="14">
        <f>IF(OR(AH!$U$4=0,991+1&gt;AH!$U$6,AND(AH!$M$5="Bloomberg",AH!$U$5=0)),"",IFERROR(IF(AND(AH!$U$12=1,991+1=AH!$U$6),TODAY(),IF(AH!$U$5=1,INDEX('Live History'!$A$5:$A$3004,AH!$U$7+991),INDEX('AH History'!$A$5:$A$1380,AH!$U$7+991))),""))</f>
        <v/>
      </c>
      <c r="B996" s="33">
        <f>IFERROR(IF(AH!$U$11=1,NA(),$J996/$E996-1),NA())</f>
        <v/>
      </c>
      <c r="C996" s="269">
        <f>IFERROR(100*$E996/$E$5,NA())</f>
        <v/>
      </c>
      <c r="D996" s="269">
        <f>IFERROR(100*$J996/$J$5,NA())</f>
        <v/>
      </c>
      <c r="E996" s="32">
        <f>IFERROR(IF(AND(ISNUMBER($A996),N(IF(AND(AH!$U$12=1,991+1=AH!$U$6),IF(AH!$U$4=0,"unavailable",INDEX('Market Data'!$AN$5:$AN$66,AH!$U$4)),IF(AH!$U$5=1,INDEX('Live History'!$B$5:$B$3004,$K996),INDEX('AH History'!$D$5:$GG$1380,$K996,AH!$U$10))))&gt;0),IF(AND(AH!$U$12=1,991+1=AH!$U$6),IF(AH!$U$4=0,"unavailable",INDEX('Market Data'!$AN$5:$AN$66,AH!$U$4)),IF(AH!$U$5=1,INDEX('Live History'!$B$5:$B$3004,$K996),INDEX('AH History'!$D$5:$GG$1380,$K996,AH!$U$10))),NA()),NA())</f>
        <v/>
      </c>
      <c r="F996" s="32">
        <f>IFERROR(IF(ISNUMBER($A996),IF(AND(AH!$U$12=1,991+1=AH!$U$6),IF(AH!$U$4=0,"unavailable",INDEX('Market Data'!$AO$5:$AO$66,AH!$U$4)),IF(AH!$U$5=1,INDEX('Live History'!$E$5:$E$3004,MATCH($A996,'Live History'!$D$5:$D$3004,1)),INDEX('AH History'!$D$5:$GG$1380,$K996,AH!$U$10+1))),NA()),NA())</f>
        <v/>
      </c>
      <c r="G996" s="34">
        <f>IFERROR(IF(ISNUMBER($A996),IF(AND(AH!$U$12=1,991+1=AH!$U$6),IF(AH!$U$4=0,"unavailable",INDEX('Market Data'!$AK$5:$AK$66,AH!$U$4)),IF(AH!$U$5=1,INDEX('Live History'!$D$5:$D$3004,MATCH($A996,'Live History'!$D$5:$D$3004,1)),INDEX('AH History'!$D$5:$GG$1380,$K996,AH!$U$10+2))),NA()),NA())</f>
        <v/>
      </c>
      <c r="H996" s="266">
        <f>IFERROR(IF(ISNUMBER($A996),IF(AND(AH!$U$12=1,991+1=AH!$U$6),IF(AH!$U$4=0,"unavailable",INDEX('Market Data'!$AP$5:$AP$66,AH!$U$4)),IF(AH!$U$5=1,INDEX('Live History'!$H$5:$H$3004,MATCH($A996,'Live History'!$G$5:$G$3004,1)),INDEX('AH History'!$B$5:$B$1380,$K996))),NA()),NA())</f>
        <v/>
      </c>
      <c r="I996" s="34">
        <f>IFERROR(IF(ISNUMBER($A996),IF(AND(AH!$U$12=1,991+1=AH!$U$6),TODAY(),IF(AH!$U$5=1,INDEX('Live History'!$G$5:$G$3004,MATCH($A996,'Live History'!$G$5:$G$3004,1)),INDEX('AH History'!$C$5:$C$1380,$K996))),NA()),NA())</f>
        <v/>
      </c>
      <c r="J996" s="32">
        <f>IFERROR(IF(AND($F996&gt;0,$H996&gt;0,$A996-$G996&lt;=10,$A996-$I996&lt;=5,$G996&gt;0,$I996&gt;0),$F996*$H996,NA()),NA())</f>
        <v/>
      </c>
      <c r="K996" s="15">
        <f>IF($A996="","",IF(AH!$U$5=1,IFERROR(MATCH($A996,'Live History'!$A$5:$A$3004,0),0),AH!$U$7+991))</f>
        <v/>
      </c>
      <c r="L996" s="15">
        <f>IF(ISNUMBER(A996),TEXT(A996,"dd-mmm-yy"),"")</f>
        <v/>
      </c>
    </row>
    <row r="997">
      <c r="A997" s="14">
        <f>IF(OR(AH!$U$4=0,992+1&gt;AH!$U$6,AND(AH!$M$5="Bloomberg",AH!$U$5=0)),"",IFERROR(IF(AND(AH!$U$12=1,992+1=AH!$U$6),TODAY(),IF(AH!$U$5=1,INDEX('Live History'!$A$5:$A$3004,AH!$U$7+992),INDEX('AH History'!$A$5:$A$1380,AH!$U$7+992))),""))</f>
        <v/>
      </c>
      <c r="B997" s="33">
        <f>IFERROR(IF(AH!$U$11=1,NA(),$J997/$E997-1),NA())</f>
        <v/>
      </c>
      <c r="C997" s="269">
        <f>IFERROR(100*$E997/$E$5,NA())</f>
        <v/>
      </c>
      <c r="D997" s="269">
        <f>IFERROR(100*$J997/$J$5,NA())</f>
        <v/>
      </c>
      <c r="E997" s="32">
        <f>IFERROR(IF(AND(ISNUMBER($A997),N(IF(AND(AH!$U$12=1,992+1=AH!$U$6),IF(AH!$U$4=0,"unavailable",INDEX('Market Data'!$AN$5:$AN$66,AH!$U$4)),IF(AH!$U$5=1,INDEX('Live History'!$B$5:$B$3004,$K997),INDEX('AH History'!$D$5:$GG$1380,$K997,AH!$U$10))))&gt;0),IF(AND(AH!$U$12=1,992+1=AH!$U$6),IF(AH!$U$4=0,"unavailable",INDEX('Market Data'!$AN$5:$AN$66,AH!$U$4)),IF(AH!$U$5=1,INDEX('Live History'!$B$5:$B$3004,$K997),INDEX('AH History'!$D$5:$GG$1380,$K997,AH!$U$10))),NA()),NA())</f>
        <v/>
      </c>
      <c r="F997" s="32">
        <f>IFERROR(IF(ISNUMBER($A997),IF(AND(AH!$U$12=1,992+1=AH!$U$6),IF(AH!$U$4=0,"unavailable",INDEX('Market Data'!$AO$5:$AO$66,AH!$U$4)),IF(AH!$U$5=1,INDEX('Live History'!$E$5:$E$3004,MATCH($A997,'Live History'!$D$5:$D$3004,1)),INDEX('AH History'!$D$5:$GG$1380,$K997,AH!$U$10+1))),NA()),NA())</f>
        <v/>
      </c>
      <c r="G997" s="34">
        <f>IFERROR(IF(ISNUMBER($A997),IF(AND(AH!$U$12=1,992+1=AH!$U$6),IF(AH!$U$4=0,"unavailable",INDEX('Market Data'!$AK$5:$AK$66,AH!$U$4)),IF(AH!$U$5=1,INDEX('Live History'!$D$5:$D$3004,MATCH($A997,'Live History'!$D$5:$D$3004,1)),INDEX('AH History'!$D$5:$GG$1380,$K997,AH!$U$10+2))),NA()),NA())</f>
        <v/>
      </c>
      <c r="H997" s="266">
        <f>IFERROR(IF(ISNUMBER($A997),IF(AND(AH!$U$12=1,992+1=AH!$U$6),IF(AH!$U$4=0,"unavailable",INDEX('Market Data'!$AP$5:$AP$66,AH!$U$4)),IF(AH!$U$5=1,INDEX('Live History'!$H$5:$H$3004,MATCH($A997,'Live History'!$G$5:$G$3004,1)),INDEX('AH History'!$B$5:$B$1380,$K997))),NA()),NA())</f>
        <v/>
      </c>
      <c r="I997" s="34">
        <f>IFERROR(IF(ISNUMBER($A997),IF(AND(AH!$U$12=1,992+1=AH!$U$6),TODAY(),IF(AH!$U$5=1,INDEX('Live History'!$G$5:$G$3004,MATCH($A997,'Live History'!$G$5:$G$3004,1)),INDEX('AH History'!$C$5:$C$1380,$K997))),NA()),NA())</f>
        <v/>
      </c>
      <c r="J997" s="32">
        <f>IFERROR(IF(AND($F997&gt;0,$H997&gt;0,$A997-$G997&lt;=10,$A997-$I997&lt;=5,$G997&gt;0,$I997&gt;0),$F997*$H997,NA()),NA())</f>
        <v/>
      </c>
      <c r="K997" s="15">
        <f>IF($A997="","",IF(AH!$U$5=1,IFERROR(MATCH($A997,'Live History'!$A$5:$A$3004,0),0),AH!$U$7+992))</f>
        <v/>
      </c>
      <c r="L997" s="15">
        <f>IF(ISNUMBER(A997),TEXT(A997,"dd-mmm-yy"),"")</f>
        <v/>
      </c>
    </row>
    <row r="998">
      <c r="A998" s="14">
        <f>IF(OR(AH!$U$4=0,993+1&gt;AH!$U$6,AND(AH!$M$5="Bloomberg",AH!$U$5=0)),"",IFERROR(IF(AND(AH!$U$12=1,993+1=AH!$U$6),TODAY(),IF(AH!$U$5=1,INDEX('Live History'!$A$5:$A$3004,AH!$U$7+993),INDEX('AH History'!$A$5:$A$1380,AH!$U$7+993))),""))</f>
        <v/>
      </c>
      <c r="B998" s="33">
        <f>IFERROR(IF(AH!$U$11=1,NA(),$J998/$E998-1),NA())</f>
        <v/>
      </c>
      <c r="C998" s="269">
        <f>IFERROR(100*$E998/$E$5,NA())</f>
        <v/>
      </c>
      <c r="D998" s="269">
        <f>IFERROR(100*$J998/$J$5,NA())</f>
        <v/>
      </c>
      <c r="E998" s="32">
        <f>IFERROR(IF(AND(ISNUMBER($A998),N(IF(AND(AH!$U$12=1,993+1=AH!$U$6),IF(AH!$U$4=0,"unavailable",INDEX('Market Data'!$AN$5:$AN$66,AH!$U$4)),IF(AH!$U$5=1,INDEX('Live History'!$B$5:$B$3004,$K998),INDEX('AH History'!$D$5:$GG$1380,$K998,AH!$U$10))))&gt;0),IF(AND(AH!$U$12=1,993+1=AH!$U$6),IF(AH!$U$4=0,"unavailable",INDEX('Market Data'!$AN$5:$AN$66,AH!$U$4)),IF(AH!$U$5=1,INDEX('Live History'!$B$5:$B$3004,$K998),INDEX('AH History'!$D$5:$GG$1380,$K998,AH!$U$10))),NA()),NA())</f>
        <v/>
      </c>
      <c r="F998" s="32">
        <f>IFERROR(IF(ISNUMBER($A998),IF(AND(AH!$U$12=1,993+1=AH!$U$6),IF(AH!$U$4=0,"unavailable",INDEX('Market Data'!$AO$5:$AO$66,AH!$U$4)),IF(AH!$U$5=1,INDEX('Live History'!$E$5:$E$3004,MATCH($A998,'Live History'!$D$5:$D$3004,1)),INDEX('AH History'!$D$5:$GG$1380,$K998,AH!$U$10+1))),NA()),NA())</f>
        <v/>
      </c>
      <c r="G998" s="34">
        <f>IFERROR(IF(ISNUMBER($A998),IF(AND(AH!$U$12=1,993+1=AH!$U$6),IF(AH!$U$4=0,"unavailable",INDEX('Market Data'!$AK$5:$AK$66,AH!$U$4)),IF(AH!$U$5=1,INDEX('Live History'!$D$5:$D$3004,MATCH($A998,'Live History'!$D$5:$D$3004,1)),INDEX('AH History'!$D$5:$GG$1380,$K998,AH!$U$10+2))),NA()),NA())</f>
        <v/>
      </c>
      <c r="H998" s="266">
        <f>IFERROR(IF(ISNUMBER($A998),IF(AND(AH!$U$12=1,993+1=AH!$U$6),IF(AH!$U$4=0,"unavailable",INDEX('Market Data'!$AP$5:$AP$66,AH!$U$4)),IF(AH!$U$5=1,INDEX('Live History'!$H$5:$H$3004,MATCH($A998,'Live History'!$G$5:$G$3004,1)),INDEX('AH History'!$B$5:$B$1380,$K998))),NA()),NA())</f>
        <v/>
      </c>
      <c r="I998" s="34">
        <f>IFERROR(IF(ISNUMBER($A998),IF(AND(AH!$U$12=1,993+1=AH!$U$6),TODAY(),IF(AH!$U$5=1,INDEX('Live History'!$G$5:$G$3004,MATCH($A998,'Live History'!$G$5:$G$3004,1)),INDEX('AH History'!$C$5:$C$1380,$K998))),NA()),NA())</f>
        <v/>
      </c>
      <c r="J998" s="32">
        <f>IFERROR(IF(AND($F998&gt;0,$H998&gt;0,$A998-$G998&lt;=10,$A998-$I998&lt;=5,$G998&gt;0,$I998&gt;0),$F998*$H998,NA()),NA())</f>
        <v/>
      </c>
      <c r="K998" s="15">
        <f>IF($A998="","",IF(AH!$U$5=1,IFERROR(MATCH($A998,'Live History'!$A$5:$A$3004,0),0),AH!$U$7+993))</f>
        <v/>
      </c>
      <c r="L998" s="15">
        <f>IF(ISNUMBER(A998),TEXT(A998,"dd-mmm-yy"),"")</f>
        <v/>
      </c>
    </row>
    <row r="999">
      <c r="A999" s="14">
        <f>IF(OR(AH!$U$4=0,994+1&gt;AH!$U$6,AND(AH!$M$5="Bloomberg",AH!$U$5=0)),"",IFERROR(IF(AND(AH!$U$12=1,994+1=AH!$U$6),TODAY(),IF(AH!$U$5=1,INDEX('Live History'!$A$5:$A$3004,AH!$U$7+994),INDEX('AH History'!$A$5:$A$1380,AH!$U$7+994))),""))</f>
        <v/>
      </c>
      <c r="B999" s="33">
        <f>IFERROR(IF(AH!$U$11=1,NA(),$J999/$E999-1),NA())</f>
        <v/>
      </c>
      <c r="C999" s="269">
        <f>IFERROR(100*$E999/$E$5,NA())</f>
        <v/>
      </c>
      <c r="D999" s="269">
        <f>IFERROR(100*$J999/$J$5,NA())</f>
        <v/>
      </c>
      <c r="E999" s="32">
        <f>IFERROR(IF(AND(ISNUMBER($A999),N(IF(AND(AH!$U$12=1,994+1=AH!$U$6),IF(AH!$U$4=0,"unavailable",INDEX('Market Data'!$AN$5:$AN$66,AH!$U$4)),IF(AH!$U$5=1,INDEX('Live History'!$B$5:$B$3004,$K999),INDEX('AH History'!$D$5:$GG$1380,$K999,AH!$U$10))))&gt;0),IF(AND(AH!$U$12=1,994+1=AH!$U$6),IF(AH!$U$4=0,"unavailable",INDEX('Market Data'!$AN$5:$AN$66,AH!$U$4)),IF(AH!$U$5=1,INDEX('Live History'!$B$5:$B$3004,$K999),INDEX('AH History'!$D$5:$GG$1380,$K999,AH!$U$10))),NA()),NA())</f>
        <v/>
      </c>
      <c r="F999" s="32">
        <f>IFERROR(IF(ISNUMBER($A999),IF(AND(AH!$U$12=1,994+1=AH!$U$6),IF(AH!$U$4=0,"unavailable",INDEX('Market Data'!$AO$5:$AO$66,AH!$U$4)),IF(AH!$U$5=1,INDEX('Live History'!$E$5:$E$3004,MATCH($A999,'Live History'!$D$5:$D$3004,1)),INDEX('AH History'!$D$5:$GG$1380,$K999,AH!$U$10+1))),NA()),NA())</f>
        <v/>
      </c>
      <c r="G999" s="34">
        <f>IFERROR(IF(ISNUMBER($A999),IF(AND(AH!$U$12=1,994+1=AH!$U$6),IF(AH!$U$4=0,"unavailable",INDEX('Market Data'!$AK$5:$AK$66,AH!$U$4)),IF(AH!$U$5=1,INDEX('Live History'!$D$5:$D$3004,MATCH($A999,'Live History'!$D$5:$D$3004,1)),INDEX('AH History'!$D$5:$GG$1380,$K999,AH!$U$10+2))),NA()),NA())</f>
        <v/>
      </c>
      <c r="H999" s="266">
        <f>IFERROR(IF(ISNUMBER($A999),IF(AND(AH!$U$12=1,994+1=AH!$U$6),IF(AH!$U$4=0,"unavailable",INDEX('Market Data'!$AP$5:$AP$66,AH!$U$4)),IF(AH!$U$5=1,INDEX('Live History'!$H$5:$H$3004,MATCH($A999,'Live History'!$G$5:$G$3004,1)),INDEX('AH History'!$B$5:$B$1380,$K999))),NA()),NA())</f>
        <v/>
      </c>
      <c r="I999" s="34">
        <f>IFERROR(IF(ISNUMBER($A999),IF(AND(AH!$U$12=1,994+1=AH!$U$6),TODAY(),IF(AH!$U$5=1,INDEX('Live History'!$G$5:$G$3004,MATCH($A999,'Live History'!$G$5:$G$3004,1)),INDEX('AH History'!$C$5:$C$1380,$K999))),NA()),NA())</f>
        <v/>
      </c>
      <c r="J999" s="32">
        <f>IFERROR(IF(AND($F999&gt;0,$H999&gt;0,$A999-$G999&lt;=10,$A999-$I999&lt;=5,$G999&gt;0,$I999&gt;0),$F999*$H999,NA()),NA())</f>
        <v/>
      </c>
      <c r="K999" s="15">
        <f>IF($A999="","",IF(AH!$U$5=1,IFERROR(MATCH($A999,'Live History'!$A$5:$A$3004,0),0),AH!$U$7+994))</f>
        <v/>
      </c>
      <c r="L999" s="15">
        <f>IF(ISNUMBER(A999),TEXT(A999,"dd-mmm-yy"),"")</f>
        <v/>
      </c>
    </row>
    <row r="1000">
      <c r="A1000" s="14">
        <f>IF(OR(AH!$U$4=0,995+1&gt;AH!$U$6,AND(AH!$M$5="Bloomberg",AH!$U$5=0)),"",IFERROR(IF(AND(AH!$U$12=1,995+1=AH!$U$6),TODAY(),IF(AH!$U$5=1,INDEX('Live History'!$A$5:$A$3004,AH!$U$7+995),INDEX('AH History'!$A$5:$A$1380,AH!$U$7+995))),""))</f>
        <v/>
      </c>
      <c r="B1000" s="33">
        <f>IFERROR(IF(AH!$U$11=1,NA(),$J1000/$E1000-1),NA())</f>
        <v/>
      </c>
      <c r="C1000" s="269">
        <f>IFERROR(100*$E1000/$E$5,NA())</f>
        <v/>
      </c>
      <c r="D1000" s="269">
        <f>IFERROR(100*$J1000/$J$5,NA())</f>
        <v/>
      </c>
      <c r="E1000" s="32">
        <f>IFERROR(IF(AND(ISNUMBER($A1000),N(IF(AND(AH!$U$12=1,995+1=AH!$U$6),IF(AH!$U$4=0,"unavailable",INDEX('Market Data'!$AN$5:$AN$66,AH!$U$4)),IF(AH!$U$5=1,INDEX('Live History'!$B$5:$B$3004,$K1000),INDEX('AH History'!$D$5:$GG$1380,$K1000,AH!$U$10))))&gt;0),IF(AND(AH!$U$12=1,995+1=AH!$U$6),IF(AH!$U$4=0,"unavailable",INDEX('Market Data'!$AN$5:$AN$66,AH!$U$4)),IF(AH!$U$5=1,INDEX('Live History'!$B$5:$B$3004,$K1000),INDEX('AH History'!$D$5:$GG$1380,$K1000,AH!$U$10))),NA()),NA())</f>
        <v/>
      </c>
      <c r="F1000" s="32">
        <f>IFERROR(IF(ISNUMBER($A1000),IF(AND(AH!$U$12=1,995+1=AH!$U$6),IF(AH!$U$4=0,"unavailable",INDEX('Market Data'!$AO$5:$AO$66,AH!$U$4)),IF(AH!$U$5=1,INDEX('Live History'!$E$5:$E$3004,MATCH($A1000,'Live History'!$D$5:$D$3004,1)),INDEX('AH History'!$D$5:$GG$1380,$K1000,AH!$U$10+1))),NA()),NA())</f>
        <v/>
      </c>
      <c r="G1000" s="34">
        <f>IFERROR(IF(ISNUMBER($A1000),IF(AND(AH!$U$12=1,995+1=AH!$U$6),IF(AH!$U$4=0,"unavailable",INDEX('Market Data'!$AK$5:$AK$66,AH!$U$4)),IF(AH!$U$5=1,INDEX('Live History'!$D$5:$D$3004,MATCH($A1000,'Live History'!$D$5:$D$3004,1)),INDEX('AH History'!$D$5:$GG$1380,$K1000,AH!$U$10+2))),NA()),NA())</f>
        <v/>
      </c>
      <c r="H1000" s="266">
        <f>IFERROR(IF(ISNUMBER($A1000),IF(AND(AH!$U$12=1,995+1=AH!$U$6),IF(AH!$U$4=0,"unavailable",INDEX('Market Data'!$AP$5:$AP$66,AH!$U$4)),IF(AH!$U$5=1,INDEX('Live History'!$H$5:$H$3004,MATCH($A1000,'Live History'!$G$5:$G$3004,1)),INDEX('AH History'!$B$5:$B$1380,$K1000))),NA()),NA())</f>
        <v/>
      </c>
      <c r="I1000" s="34">
        <f>IFERROR(IF(ISNUMBER($A1000),IF(AND(AH!$U$12=1,995+1=AH!$U$6),TODAY(),IF(AH!$U$5=1,INDEX('Live History'!$G$5:$G$3004,MATCH($A1000,'Live History'!$G$5:$G$3004,1)),INDEX('AH History'!$C$5:$C$1380,$K1000))),NA()),NA())</f>
        <v/>
      </c>
      <c r="J1000" s="32">
        <f>IFERROR(IF(AND($F1000&gt;0,$H1000&gt;0,$A1000-$G1000&lt;=10,$A1000-$I1000&lt;=5,$G1000&gt;0,$I1000&gt;0),$F1000*$H1000,NA()),NA())</f>
        <v/>
      </c>
      <c r="K1000" s="15">
        <f>IF($A1000="","",IF(AH!$U$5=1,IFERROR(MATCH($A1000,'Live History'!$A$5:$A$3004,0),0),AH!$U$7+995))</f>
        <v/>
      </c>
      <c r="L1000" s="15">
        <f>IF(ISNUMBER(A1000),TEXT(A1000,"dd-mmm-yy"),"")</f>
        <v/>
      </c>
    </row>
    <row r="1001">
      <c r="A1001" s="14">
        <f>IF(OR(AH!$U$4=0,996+1&gt;AH!$U$6,AND(AH!$M$5="Bloomberg",AH!$U$5=0)),"",IFERROR(IF(AND(AH!$U$12=1,996+1=AH!$U$6),TODAY(),IF(AH!$U$5=1,INDEX('Live History'!$A$5:$A$3004,AH!$U$7+996),INDEX('AH History'!$A$5:$A$1380,AH!$U$7+996))),""))</f>
        <v/>
      </c>
      <c r="B1001" s="33">
        <f>IFERROR(IF(AH!$U$11=1,NA(),$J1001/$E1001-1),NA())</f>
        <v/>
      </c>
      <c r="C1001" s="269">
        <f>IFERROR(100*$E1001/$E$5,NA())</f>
        <v/>
      </c>
      <c r="D1001" s="269">
        <f>IFERROR(100*$J1001/$J$5,NA())</f>
        <v/>
      </c>
      <c r="E1001" s="32">
        <f>IFERROR(IF(AND(ISNUMBER($A1001),N(IF(AND(AH!$U$12=1,996+1=AH!$U$6),IF(AH!$U$4=0,"unavailable",INDEX('Market Data'!$AN$5:$AN$66,AH!$U$4)),IF(AH!$U$5=1,INDEX('Live History'!$B$5:$B$3004,$K1001),INDEX('AH History'!$D$5:$GG$1380,$K1001,AH!$U$10))))&gt;0),IF(AND(AH!$U$12=1,996+1=AH!$U$6),IF(AH!$U$4=0,"unavailable",INDEX('Market Data'!$AN$5:$AN$66,AH!$U$4)),IF(AH!$U$5=1,INDEX('Live History'!$B$5:$B$3004,$K1001),INDEX('AH History'!$D$5:$GG$1380,$K1001,AH!$U$10))),NA()),NA())</f>
        <v/>
      </c>
      <c r="F1001" s="32">
        <f>IFERROR(IF(ISNUMBER($A1001),IF(AND(AH!$U$12=1,996+1=AH!$U$6),IF(AH!$U$4=0,"unavailable",INDEX('Market Data'!$AO$5:$AO$66,AH!$U$4)),IF(AH!$U$5=1,INDEX('Live History'!$E$5:$E$3004,MATCH($A1001,'Live History'!$D$5:$D$3004,1)),INDEX('AH History'!$D$5:$GG$1380,$K1001,AH!$U$10+1))),NA()),NA())</f>
        <v/>
      </c>
      <c r="G1001" s="34">
        <f>IFERROR(IF(ISNUMBER($A1001),IF(AND(AH!$U$12=1,996+1=AH!$U$6),IF(AH!$U$4=0,"unavailable",INDEX('Market Data'!$AK$5:$AK$66,AH!$U$4)),IF(AH!$U$5=1,INDEX('Live History'!$D$5:$D$3004,MATCH($A1001,'Live History'!$D$5:$D$3004,1)),INDEX('AH History'!$D$5:$GG$1380,$K1001,AH!$U$10+2))),NA()),NA())</f>
        <v/>
      </c>
      <c r="H1001" s="266">
        <f>IFERROR(IF(ISNUMBER($A1001),IF(AND(AH!$U$12=1,996+1=AH!$U$6),IF(AH!$U$4=0,"unavailable",INDEX('Market Data'!$AP$5:$AP$66,AH!$U$4)),IF(AH!$U$5=1,INDEX('Live History'!$H$5:$H$3004,MATCH($A1001,'Live History'!$G$5:$G$3004,1)),INDEX('AH History'!$B$5:$B$1380,$K1001))),NA()),NA())</f>
        <v/>
      </c>
      <c r="I1001" s="34">
        <f>IFERROR(IF(ISNUMBER($A1001),IF(AND(AH!$U$12=1,996+1=AH!$U$6),TODAY(),IF(AH!$U$5=1,INDEX('Live History'!$G$5:$G$3004,MATCH($A1001,'Live History'!$G$5:$G$3004,1)),INDEX('AH History'!$C$5:$C$1380,$K1001))),NA()),NA())</f>
        <v/>
      </c>
      <c r="J1001" s="32">
        <f>IFERROR(IF(AND($F1001&gt;0,$H1001&gt;0,$A1001-$G1001&lt;=10,$A1001-$I1001&lt;=5,$G1001&gt;0,$I1001&gt;0),$F1001*$H1001,NA()),NA())</f>
        <v/>
      </c>
      <c r="K1001" s="15">
        <f>IF($A1001="","",IF(AH!$U$5=1,IFERROR(MATCH($A1001,'Live History'!$A$5:$A$3004,0),0),AH!$U$7+996))</f>
        <v/>
      </c>
      <c r="L1001" s="15">
        <f>IF(ISNUMBER(A1001),TEXT(A1001,"dd-mmm-yy"),"")</f>
        <v/>
      </c>
    </row>
    <row r="1002">
      <c r="A1002" s="14">
        <f>IF(OR(AH!$U$4=0,997+1&gt;AH!$U$6,AND(AH!$M$5="Bloomberg",AH!$U$5=0)),"",IFERROR(IF(AND(AH!$U$12=1,997+1=AH!$U$6),TODAY(),IF(AH!$U$5=1,INDEX('Live History'!$A$5:$A$3004,AH!$U$7+997),INDEX('AH History'!$A$5:$A$1380,AH!$U$7+997))),""))</f>
        <v/>
      </c>
      <c r="B1002" s="33">
        <f>IFERROR(IF(AH!$U$11=1,NA(),$J1002/$E1002-1),NA())</f>
        <v/>
      </c>
      <c r="C1002" s="269">
        <f>IFERROR(100*$E1002/$E$5,NA())</f>
        <v/>
      </c>
      <c r="D1002" s="269">
        <f>IFERROR(100*$J1002/$J$5,NA())</f>
        <v/>
      </c>
      <c r="E1002" s="32">
        <f>IFERROR(IF(AND(ISNUMBER($A1002),N(IF(AND(AH!$U$12=1,997+1=AH!$U$6),IF(AH!$U$4=0,"unavailable",INDEX('Market Data'!$AN$5:$AN$66,AH!$U$4)),IF(AH!$U$5=1,INDEX('Live History'!$B$5:$B$3004,$K1002),INDEX('AH History'!$D$5:$GG$1380,$K1002,AH!$U$10))))&gt;0),IF(AND(AH!$U$12=1,997+1=AH!$U$6),IF(AH!$U$4=0,"unavailable",INDEX('Market Data'!$AN$5:$AN$66,AH!$U$4)),IF(AH!$U$5=1,INDEX('Live History'!$B$5:$B$3004,$K1002),INDEX('AH History'!$D$5:$GG$1380,$K1002,AH!$U$10))),NA()),NA())</f>
        <v/>
      </c>
      <c r="F1002" s="32">
        <f>IFERROR(IF(ISNUMBER($A1002),IF(AND(AH!$U$12=1,997+1=AH!$U$6),IF(AH!$U$4=0,"unavailable",INDEX('Market Data'!$AO$5:$AO$66,AH!$U$4)),IF(AH!$U$5=1,INDEX('Live History'!$E$5:$E$3004,MATCH($A1002,'Live History'!$D$5:$D$3004,1)),INDEX('AH History'!$D$5:$GG$1380,$K1002,AH!$U$10+1))),NA()),NA())</f>
        <v/>
      </c>
      <c r="G1002" s="34">
        <f>IFERROR(IF(ISNUMBER($A1002),IF(AND(AH!$U$12=1,997+1=AH!$U$6),IF(AH!$U$4=0,"unavailable",INDEX('Market Data'!$AK$5:$AK$66,AH!$U$4)),IF(AH!$U$5=1,INDEX('Live History'!$D$5:$D$3004,MATCH($A1002,'Live History'!$D$5:$D$3004,1)),INDEX('AH History'!$D$5:$GG$1380,$K1002,AH!$U$10+2))),NA()),NA())</f>
        <v/>
      </c>
      <c r="H1002" s="266">
        <f>IFERROR(IF(ISNUMBER($A1002),IF(AND(AH!$U$12=1,997+1=AH!$U$6),IF(AH!$U$4=0,"unavailable",INDEX('Market Data'!$AP$5:$AP$66,AH!$U$4)),IF(AH!$U$5=1,INDEX('Live History'!$H$5:$H$3004,MATCH($A1002,'Live History'!$G$5:$G$3004,1)),INDEX('AH History'!$B$5:$B$1380,$K1002))),NA()),NA())</f>
        <v/>
      </c>
      <c r="I1002" s="34">
        <f>IFERROR(IF(ISNUMBER($A1002),IF(AND(AH!$U$12=1,997+1=AH!$U$6),TODAY(),IF(AH!$U$5=1,INDEX('Live History'!$G$5:$G$3004,MATCH($A1002,'Live History'!$G$5:$G$3004,1)),INDEX('AH History'!$C$5:$C$1380,$K1002))),NA()),NA())</f>
        <v/>
      </c>
      <c r="J1002" s="32">
        <f>IFERROR(IF(AND($F1002&gt;0,$H1002&gt;0,$A1002-$G1002&lt;=10,$A1002-$I1002&lt;=5,$G1002&gt;0,$I1002&gt;0),$F1002*$H1002,NA()),NA())</f>
        <v/>
      </c>
      <c r="K1002" s="15">
        <f>IF($A1002="","",IF(AH!$U$5=1,IFERROR(MATCH($A1002,'Live History'!$A$5:$A$3004,0),0),AH!$U$7+997))</f>
        <v/>
      </c>
      <c r="L1002" s="15">
        <f>IF(ISNUMBER(A1002),TEXT(A1002,"dd-mmm-yy"),"")</f>
        <v/>
      </c>
    </row>
    <row r="1003">
      <c r="A1003" s="14">
        <f>IF(OR(AH!$U$4=0,998+1&gt;AH!$U$6,AND(AH!$M$5="Bloomberg",AH!$U$5=0)),"",IFERROR(IF(AND(AH!$U$12=1,998+1=AH!$U$6),TODAY(),IF(AH!$U$5=1,INDEX('Live History'!$A$5:$A$3004,AH!$U$7+998),INDEX('AH History'!$A$5:$A$1380,AH!$U$7+998))),""))</f>
        <v/>
      </c>
      <c r="B1003" s="33">
        <f>IFERROR(IF(AH!$U$11=1,NA(),$J1003/$E1003-1),NA())</f>
        <v/>
      </c>
      <c r="C1003" s="269">
        <f>IFERROR(100*$E1003/$E$5,NA())</f>
        <v/>
      </c>
      <c r="D1003" s="269">
        <f>IFERROR(100*$J1003/$J$5,NA())</f>
        <v/>
      </c>
      <c r="E1003" s="32">
        <f>IFERROR(IF(AND(ISNUMBER($A1003),N(IF(AND(AH!$U$12=1,998+1=AH!$U$6),IF(AH!$U$4=0,"unavailable",INDEX('Market Data'!$AN$5:$AN$66,AH!$U$4)),IF(AH!$U$5=1,INDEX('Live History'!$B$5:$B$3004,$K1003),INDEX('AH History'!$D$5:$GG$1380,$K1003,AH!$U$10))))&gt;0),IF(AND(AH!$U$12=1,998+1=AH!$U$6),IF(AH!$U$4=0,"unavailable",INDEX('Market Data'!$AN$5:$AN$66,AH!$U$4)),IF(AH!$U$5=1,INDEX('Live History'!$B$5:$B$3004,$K1003),INDEX('AH History'!$D$5:$GG$1380,$K1003,AH!$U$10))),NA()),NA())</f>
        <v/>
      </c>
      <c r="F1003" s="32">
        <f>IFERROR(IF(ISNUMBER($A1003),IF(AND(AH!$U$12=1,998+1=AH!$U$6),IF(AH!$U$4=0,"unavailable",INDEX('Market Data'!$AO$5:$AO$66,AH!$U$4)),IF(AH!$U$5=1,INDEX('Live History'!$E$5:$E$3004,MATCH($A1003,'Live History'!$D$5:$D$3004,1)),INDEX('AH History'!$D$5:$GG$1380,$K1003,AH!$U$10+1))),NA()),NA())</f>
        <v/>
      </c>
      <c r="G1003" s="34">
        <f>IFERROR(IF(ISNUMBER($A1003),IF(AND(AH!$U$12=1,998+1=AH!$U$6),IF(AH!$U$4=0,"unavailable",INDEX('Market Data'!$AK$5:$AK$66,AH!$U$4)),IF(AH!$U$5=1,INDEX('Live History'!$D$5:$D$3004,MATCH($A1003,'Live History'!$D$5:$D$3004,1)),INDEX('AH History'!$D$5:$GG$1380,$K1003,AH!$U$10+2))),NA()),NA())</f>
        <v/>
      </c>
      <c r="H1003" s="266">
        <f>IFERROR(IF(ISNUMBER($A1003),IF(AND(AH!$U$12=1,998+1=AH!$U$6),IF(AH!$U$4=0,"unavailable",INDEX('Market Data'!$AP$5:$AP$66,AH!$U$4)),IF(AH!$U$5=1,INDEX('Live History'!$H$5:$H$3004,MATCH($A1003,'Live History'!$G$5:$G$3004,1)),INDEX('AH History'!$B$5:$B$1380,$K1003))),NA()),NA())</f>
        <v/>
      </c>
      <c r="I1003" s="34">
        <f>IFERROR(IF(ISNUMBER($A1003),IF(AND(AH!$U$12=1,998+1=AH!$U$6),TODAY(),IF(AH!$U$5=1,INDEX('Live History'!$G$5:$G$3004,MATCH($A1003,'Live History'!$G$5:$G$3004,1)),INDEX('AH History'!$C$5:$C$1380,$K1003))),NA()),NA())</f>
        <v/>
      </c>
      <c r="J1003" s="32">
        <f>IFERROR(IF(AND($F1003&gt;0,$H1003&gt;0,$A1003-$G1003&lt;=10,$A1003-$I1003&lt;=5,$G1003&gt;0,$I1003&gt;0),$F1003*$H1003,NA()),NA())</f>
        <v/>
      </c>
      <c r="K1003" s="15">
        <f>IF($A1003="","",IF(AH!$U$5=1,IFERROR(MATCH($A1003,'Live History'!$A$5:$A$3004,0),0),AH!$U$7+998))</f>
        <v/>
      </c>
      <c r="L1003" s="15">
        <f>IF(ISNUMBER(A1003),TEXT(A1003,"dd-mmm-yy"),"")</f>
        <v/>
      </c>
    </row>
    <row r="1004">
      <c r="A1004" s="14">
        <f>IF(OR(AH!$U$4=0,999+1&gt;AH!$U$6,AND(AH!$M$5="Bloomberg",AH!$U$5=0)),"",IFERROR(IF(AND(AH!$U$12=1,999+1=AH!$U$6),TODAY(),IF(AH!$U$5=1,INDEX('Live History'!$A$5:$A$3004,AH!$U$7+999),INDEX('AH History'!$A$5:$A$1380,AH!$U$7+999))),""))</f>
        <v/>
      </c>
      <c r="B1004" s="33">
        <f>IFERROR(IF(AH!$U$11=1,NA(),$J1004/$E1004-1),NA())</f>
        <v/>
      </c>
      <c r="C1004" s="269">
        <f>IFERROR(100*$E1004/$E$5,NA())</f>
        <v/>
      </c>
      <c r="D1004" s="269">
        <f>IFERROR(100*$J1004/$J$5,NA())</f>
        <v/>
      </c>
      <c r="E1004" s="32">
        <f>IFERROR(IF(AND(ISNUMBER($A1004),N(IF(AND(AH!$U$12=1,999+1=AH!$U$6),IF(AH!$U$4=0,"unavailable",INDEX('Market Data'!$AN$5:$AN$66,AH!$U$4)),IF(AH!$U$5=1,INDEX('Live History'!$B$5:$B$3004,$K1004),INDEX('AH History'!$D$5:$GG$1380,$K1004,AH!$U$10))))&gt;0),IF(AND(AH!$U$12=1,999+1=AH!$U$6),IF(AH!$U$4=0,"unavailable",INDEX('Market Data'!$AN$5:$AN$66,AH!$U$4)),IF(AH!$U$5=1,INDEX('Live History'!$B$5:$B$3004,$K1004),INDEX('AH History'!$D$5:$GG$1380,$K1004,AH!$U$10))),NA()),NA())</f>
        <v/>
      </c>
      <c r="F1004" s="32">
        <f>IFERROR(IF(ISNUMBER($A1004),IF(AND(AH!$U$12=1,999+1=AH!$U$6),IF(AH!$U$4=0,"unavailable",INDEX('Market Data'!$AO$5:$AO$66,AH!$U$4)),IF(AH!$U$5=1,INDEX('Live History'!$E$5:$E$3004,MATCH($A1004,'Live History'!$D$5:$D$3004,1)),INDEX('AH History'!$D$5:$GG$1380,$K1004,AH!$U$10+1))),NA()),NA())</f>
        <v/>
      </c>
      <c r="G1004" s="34">
        <f>IFERROR(IF(ISNUMBER($A1004),IF(AND(AH!$U$12=1,999+1=AH!$U$6),IF(AH!$U$4=0,"unavailable",INDEX('Market Data'!$AK$5:$AK$66,AH!$U$4)),IF(AH!$U$5=1,INDEX('Live History'!$D$5:$D$3004,MATCH($A1004,'Live History'!$D$5:$D$3004,1)),INDEX('AH History'!$D$5:$GG$1380,$K1004,AH!$U$10+2))),NA()),NA())</f>
        <v/>
      </c>
      <c r="H1004" s="266">
        <f>IFERROR(IF(ISNUMBER($A1004),IF(AND(AH!$U$12=1,999+1=AH!$U$6),IF(AH!$U$4=0,"unavailable",INDEX('Market Data'!$AP$5:$AP$66,AH!$U$4)),IF(AH!$U$5=1,INDEX('Live History'!$H$5:$H$3004,MATCH($A1004,'Live History'!$G$5:$G$3004,1)),INDEX('AH History'!$B$5:$B$1380,$K1004))),NA()),NA())</f>
        <v/>
      </c>
      <c r="I1004" s="34">
        <f>IFERROR(IF(ISNUMBER($A1004),IF(AND(AH!$U$12=1,999+1=AH!$U$6),TODAY(),IF(AH!$U$5=1,INDEX('Live History'!$G$5:$G$3004,MATCH($A1004,'Live History'!$G$5:$G$3004,1)),INDEX('AH History'!$C$5:$C$1380,$K1004))),NA()),NA())</f>
        <v/>
      </c>
      <c r="J1004" s="32">
        <f>IFERROR(IF(AND($F1004&gt;0,$H1004&gt;0,$A1004-$G1004&lt;=10,$A1004-$I1004&lt;=5,$G1004&gt;0,$I1004&gt;0),$F1004*$H1004,NA()),NA())</f>
        <v/>
      </c>
      <c r="K1004" s="15">
        <f>IF($A1004="","",IF(AH!$U$5=1,IFERROR(MATCH($A1004,'Live History'!$A$5:$A$3004,0),0),AH!$U$7+999))</f>
        <v/>
      </c>
      <c r="L1004" s="15">
        <f>IF(ISNUMBER(A1004),TEXT(A1004,"dd-mmm-yy"),"")</f>
        <v/>
      </c>
    </row>
    <row r="1005">
      <c r="A1005" s="14">
        <f>IF(OR(AH!$U$4=0,1000+1&gt;AH!$U$6,AND(AH!$M$5="Bloomberg",AH!$U$5=0)),"",IFERROR(IF(AND(AH!$U$12=1,1000+1=AH!$U$6),TODAY(),IF(AH!$U$5=1,INDEX('Live History'!$A$5:$A$3004,AH!$U$7+1000),INDEX('AH History'!$A$5:$A$1380,AH!$U$7+1000))),""))</f>
        <v/>
      </c>
      <c r="B1005" s="33">
        <f>IFERROR(IF(AH!$U$11=1,NA(),$J1005/$E1005-1),NA())</f>
        <v/>
      </c>
      <c r="C1005" s="269">
        <f>IFERROR(100*$E1005/$E$5,NA())</f>
        <v/>
      </c>
      <c r="D1005" s="269">
        <f>IFERROR(100*$J1005/$J$5,NA())</f>
        <v/>
      </c>
      <c r="E1005" s="32">
        <f>IFERROR(IF(AND(ISNUMBER($A1005),N(IF(AND(AH!$U$12=1,1000+1=AH!$U$6),IF(AH!$U$4=0,"unavailable",INDEX('Market Data'!$AN$5:$AN$66,AH!$U$4)),IF(AH!$U$5=1,INDEX('Live History'!$B$5:$B$3004,$K1005),INDEX('AH History'!$D$5:$GG$1380,$K1005,AH!$U$10))))&gt;0),IF(AND(AH!$U$12=1,1000+1=AH!$U$6),IF(AH!$U$4=0,"unavailable",INDEX('Market Data'!$AN$5:$AN$66,AH!$U$4)),IF(AH!$U$5=1,INDEX('Live History'!$B$5:$B$3004,$K1005),INDEX('AH History'!$D$5:$GG$1380,$K1005,AH!$U$10))),NA()),NA())</f>
        <v/>
      </c>
      <c r="F1005" s="32">
        <f>IFERROR(IF(ISNUMBER($A1005),IF(AND(AH!$U$12=1,1000+1=AH!$U$6),IF(AH!$U$4=0,"unavailable",INDEX('Market Data'!$AO$5:$AO$66,AH!$U$4)),IF(AH!$U$5=1,INDEX('Live History'!$E$5:$E$3004,MATCH($A1005,'Live History'!$D$5:$D$3004,1)),INDEX('AH History'!$D$5:$GG$1380,$K1005,AH!$U$10+1))),NA()),NA())</f>
        <v/>
      </c>
      <c r="G1005" s="34">
        <f>IFERROR(IF(ISNUMBER($A1005),IF(AND(AH!$U$12=1,1000+1=AH!$U$6),IF(AH!$U$4=0,"unavailable",INDEX('Market Data'!$AK$5:$AK$66,AH!$U$4)),IF(AH!$U$5=1,INDEX('Live History'!$D$5:$D$3004,MATCH($A1005,'Live History'!$D$5:$D$3004,1)),INDEX('AH History'!$D$5:$GG$1380,$K1005,AH!$U$10+2))),NA()),NA())</f>
        <v/>
      </c>
      <c r="H1005" s="266">
        <f>IFERROR(IF(ISNUMBER($A1005),IF(AND(AH!$U$12=1,1000+1=AH!$U$6),IF(AH!$U$4=0,"unavailable",INDEX('Market Data'!$AP$5:$AP$66,AH!$U$4)),IF(AH!$U$5=1,INDEX('Live History'!$H$5:$H$3004,MATCH($A1005,'Live History'!$G$5:$G$3004,1)),INDEX('AH History'!$B$5:$B$1380,$K1005))),NA()),NA())</f>
        <v/>
      </c>
      <c r="I1005" s="34">
        <f>IFERROR(IF(ISNUMBER($A1005),IF(AND(AH!$U$12=1,1000+1=AH!$U$6),TODAY(),IF(AH!$U$5=1,INDEX('Live History'!$G$5:$G$3004,MATCH($A1005,'Live History'!$G$5:$G$3004,1)),INDEX('AH History'!$C$5:$C$1380,$K1005))),NA()),NA())</f>
        <v/>
      </c>
      <c r="J1005" s="32">
        <f>IFERROR(IF(AND($F1005&gt;0,$H1005&gt;0,$A1005-$G1005&lt;=10,$A1005-$I1005&lt;=5,$G1005&gt;0,$I1005&gt;0),$F1005*$H1005,NA()),NA())</f>
        <v/>
      </c>
      <c r="K1005" s="15">
        <f>IF($A1005="","",IF(AH!$U$5=1,IFERROR(MATCH($A1005,'Live History'!$A$5:$A$3004,0),0),AH!$U$7+1000))</f>
        <v/>
      </c>
      <c r="L1005" s="15">
        <f>IF(ISNUMBER(A1005),TEXT(A1005,"dd-mmm-yy"),"")</f>
        <v/>
      </c>
    </row>
    <row r="1006">
      <c r="A1006" s="14">
        <f>IF(OR(AH!$U$4=0,1001+1&gt;AH!$U$6,AND(AH!$M$5="Bloomberg",AH!$U$5=0)),"",IFERROR(IF(AND(AH!$U$12=1,1001+1=AH!$U$6),TODAY(),IF(AH!$U$5=1,INDEX('Live History'!$A$5:$A$3004,AH!$U$7+1001),INDEX('AH History'!$A$5:$A$1380,AH!$U$7+1001))),""))</f>
        <v/>
      </c>
      <c r="B1006" s="33">
        <f>IFERROR(IF(AH!$U$11=1,NA(),$J1006/$E1006-1),NA())</f>
        <v/>
      </c>
      <c r="C1006" s="269">
        <f>IFERROR(100*$E1006/$E$5,NA())</f>
        <v/>
      </c>
      <c r="D1006" s="269">
        <f>IFERROR(100*$J1006/$J$5,NA())</f>
        <v/>
      </c>
      <c r="E1006" s="32">
        <f>IFERROR(IF(AND(ISNUMBER($A1006),N(IF(AND(AH!$U$12=1,1001+1=AH!$U$6),IF(AH!$U$4=0,"unavailable",INDEX('Market Data'!$AN$5:$AN$66,AH!$U$4)),IF(AH!$U$5=1,INDEX('Live History'!$B$5:$B$3004,$K1006),INDEX('AH History'!$D$5:$GG$1380,$K1006,AH!$U$10))))&gt;0),IF(AND(AH!$U$12=1,1001+1=AH!$U$6),IF(AH!$U$4=0,"unavailable",INDEX('Market Data'!$AN$5:$AN$66,AH!$U$4)),IF(AH!$U$5=1,INDEX('Live History'!$B$5:$B$3004,$K1006),INDEX('AH History'!$D$5:$GG$1380,$K1006,AH!$U$10))),NA()),NA())</f>
        <v/>
      </c>
      <c r="F1006" s="32">
        <f>IFERROR(IF(ISNUMBER($A1006),IF(AND(AH!$U$12=1,1001+1=AH!$U$6),IF(AH!$U$4=0,"unavailable",INDEX('Market Data'!$AO$5:$AO$66,AH!$U$4)),IF(AH!$U$5=1,INDEX('Live History'!$E$5:$E$3004,MATCH($A1006,'Live History'!$D$5:$D$3004,1)),INDEX('AH History'!$D$5:$GG$1380,$K1006,AH!$U$10+1))),NA()),NA())</f>
        <v/>
      </c>
      <c r="G1006" s="34">
        <f>IFERROR(IF(ISNUMBER($A1006),IF(AND(AH!$U$12=1,1001+1=AH!$U$6),IF(AH!$U$4=0,"unavailable",INDEX('Market Data'!$AK$5:$AK$66,AH!$U$4)),IF(AH!$U$5=1,INDEX('Live History'!$D$5:$D$3004,MATCH($A1006,'Live History'!$D$5:$D$3004,1)),INDEX('AH History'!$D$5:$GG$1380,$K1006,AH!$U$10+2))),NA()),NA())</f>
        <v/>
      </c>
      <c r="H1006" s="266">
        <f>IFERROR(IF(ISNUMBER($A1006),IF(AND(AH!$U$12=1,1001+1=AH!$U$6),IF(AH!$U$4=0,"unavailable",INDEX('Market Data'!$AP$5:$AP$66,AH!$U$4)),IF(AH!$U$5=1,INDEX('Live History'!$H$5:$H$3004,MATCH($A1006,'Live History'!$G$5:$G$3004,1)),INDEX('AH History'!$B$5:$B$1380,$K1006))),NA()),NA())</f>
        <v/>
      </c>
      <c r="I1006" s="34">
        <f>IFERROR(IF(ISNUMBER($A1006),IF(AND(AH!$U$12=1,1001+1=AH!$U$6),TODAY(),IF(AH!$U$5=1,INDEX('Live History'!$G$5:$G$3004,MATCH($A1006,'Live History'!$G$5:$G$3004,1)),INDEX('AH History'!$C$5:$C$1380,$K1006))),NA()),NA())</f>
        <v/>
      </c>
      <c r="J1006" s="32">
        <f>IFERROR(IF(AND($F1006&gt;0,$H1006&gt;0,$A1006-$G1006&lt;=10,$A1006-$I1006&lt;=5,$G1006&gt;0,$I1006&gt;0),$F1006*$H1006,NA()),NA())</f>
        <v/>
      </c>
      <c r="K1006" s="15">
        <f>IF($A1006="","",IF(AH!$U$5=1,IFERROR(MATCH($A1006,'Live History'!$A$5:$A$3004,0),0),AH!$U$7+1001))</f>
        <v/>
      </c>
      <c r="L1006" s="15">
        <f>IF(ISNUMBER(A1006),TEXT(A1006,"dd-mmm-yy"),"")</f>
        <v/>
      </c>
    </row>
    <row r="1007">
      <c r="A1007" s="14">
        <f>IF(OR(AH!$U$4=0,1002+1&gt;AH!$U$6,AND(AH!$M$5="Bloomberg",AH!$U$5=0)),"",IFERROR(IF(AND(AH!$U$12=1,1002+1=AH!$U$6),TODAY(),IF(AH!$U$5=1,INDEX('Live History'!$A$5:$A$3004,AH!$U$7+1002),INDEX('AH History'!$A$5:$A$1380,AH!$U$7+1002))),""))</f>
        <v/>
      </c>
      <c r="B1007" s="33">
        <f>IFERROR(IF(AH!$U$11=1,NA(),$J1007/$E1007-1),NA())</f>
        <v/>
      </c>
      <c r="C1007" s="269">
        <f>IFERROR(100*$E1007/$E$5,NA())</f>
        <v/>
      </c>
      <c r="D1007" s="269">
        <f>IFERROR(100*$J1007/$J$5,NA())</f>
        <v/>
      </c>
      <c r="E1007" s="32">
        <f>IFERROR(IF(AND(ISNUMBER($A1007),N(IF(AND(AH!$U$12=1,1002+1=AH!$U$6),IF(AH!$U$4=0,"unavailable",INDEX('Market Data'!$AN$5:$AN$66,AH!$U$4)),IF(AH!$U$5=1,INDEX('Live History'!$B$5:$B$3004,$K1007),INDEX('AH History'!$D$5:$GG$1380,$K1007,AH!$U$10))))&gt;0),IF(AND(AH!$U$12=1,1002+1=AH!$U$6),IF(AH!$U$4=0,"unavailable",INDEX('Market Data'!$AN$5:$AN$66,AH!$U$4)),IF(AH!$U$5=1,INDEX('Live History'!$B$5:$B$3004,$K1007),INDEX('AH History'!$D$5:$GG$1380,$K1007,AH!$U$10))),NA()),NA())</f>
        <v/>
      </c>
      <c r="F1007" s="32">
        <f>IFERROR(IF(ISNUMBER($A1007),IF(AND(AH!$U$12=1,1002+1=AH!$U$6),IF(AH!$U$4=0,"unavailable",INDEX('Market Data'!$AO$5:$AO$66,AH!$U$4)),IF(AH!$U$5=1,INDEX('Live History'!$E$5:$E$3004,MATCH($A1007,'Live History'!$D$5:$D$3004,1)),INDEX('AH History'!$D$5:$GG$1380,$K1007,AH!$U$10+1))),NA()),NA())</f>
        <v/>
      </c>
      <c r="G1007" s="34">
        <f>IFERROR(IF(ISNUMBER($A1007),IF(AND(AH!$U$12=1,1002+1=AH!$U$6),IF(AH!$U$4=0,"unavailable",INDEX('Market Data'!$AK$5:$AK$66,AH!$U$4)),IF(AH!$U$5=1,INDEX('Live History'!$D$5:$D$3004,MATCH($A1007,'Live History'!$D$5:$D$3004,1)),INDEX('AH History'!$D$5:$GG$1380,$K1007,AH!$U$10+2))),NA()),NA())</f>
        <v/>
      </c>
      <c r="H1007" s="266">
        <f>IFERROR(IF(ISNUMBER($A1007),IF(AND(AH!$U$12=1,1002+1=AH!$U$6),IF(AH!$U$4=0,"unavailable",INDEX('Market Data'!$AP$5:$AP$66,AH!$U$4)),IF(AH!$U$5=1,INDEX('Live History'!$H$5:$H$3004,MATCH($A1007,'Live History'!$G$5:$G$3004,1)),INDEX('AH History'!$B$5:$B$1380,$K1007))),NA()),NA())</f>
        <v/>
      </c>
      <c r="I1007" s="34">
        <f>IFERROR(IF(ISNUMBER($A1007),IF(AND(AH!$U$12=1,1002+1=AH!$U$6),TODAY(),IF(AH!$U$5=1,INDEX('Live History'!$G$5:$G$3004,MATCH($A1007,'Live History'!$G$5:$G$3004,1)),INDEX('AH History'!$C$5:$C$1380,$K1007))),NA()),NA())</f>
        <v/>
      </c>
      <c r="J1007" s="32">
        <f>IFERROR(IF(AND($F1007&gt;0,$H1007&gt;0,$A1007-$G1007&lt;=10,$A1007-$I1007&lt;=5,$G1007&gt;0,$I1007&gt;0),$F1007*$H1007,NA()),NA())</f>
        <v/>
      </c>
      <c r="K1007" s="15">
        <f>IF($A1007="","",IF(AH!$U$5=1,IFERROR(MATCH($A1007,'Live History'!$A$5:$A$3004,0),0),AH!$U$7+1002))</f>
        <v/>
      </c>
      <c r="L1007" s="15">
        <f>IF(ISNUMBER(A1007),TEXT(A1007,"dd-mmm-yy"),"")</f>
        <v/>
      </c>
    </row>
    <row r="1008">
      <c r="A1008" s="14">
        <f>IF(OR(AH!$U$4=0,1003+1&gt;AH!$U$6,AND(AH!$M$5="Bloomberg",AH!$U$5=0)),"",IFERROR(IF(AND(AH!$U$12=1,1003+1=AH!$U$6),TODAY(),IF(AH!$U$5=1,INDEX('Live History'!$A$5:$A$3004,AH!$U$7+1003),INDEX('AH History'!$A$5:$A$1380,AH!$U$7+1003))),""))</f>
        <v/>
      </c>
      <c r="B1008" s="33">
        <f>IFERROR(IF(AH!$U$11=1,NA(),$J1008/$E1008-1),NA())</f>
        <v/>
      </c>
      <c r="C1008" s="269">
        <f>IFERROR(100*$E1008/$E$5,NA())</f>
        <v/>
      </c>
      <c r="D1008" s="269">
        <f>IFERROR(100*$J1008/$J$5,NA())</f>
        <v/>
      </c>
      <c r="E1008" s="32">
        <f>IFERROR(IF(AND(ISNUMBER($A1008),N(IF(AND(AH!$U$12=1,1003+1=AH!$U$6),IF(AH!$U$4=0,"unavailable",INDEX('Market Data'!$AN$5:$AN$66,AH!$U$4)),IF(AH!$U$5=1,INDEX('Live History'!$B$5:$B$3004,$K1008),INDEX('AH History'!$D$5:$GG$1380,$K1008,AH!$U$10))))&gt;0),IF(AND(AH!$U$12=1,1003+1=AH!$U$6),IF(AH!$U$4=0,"unavailable",INDEX('Market Data'!$AN$5:$AN$66,AH!$U$4)),IF(AH!$U$5=1,INDEX('Live History'!$B$5:$B$3004,$K1008),INDEX('AH History'!$D$5:$GG$1380,$K1008,AH!$U$10))),NA()),NA())</f>
        <v/>
      </c>
      <c r="F1008" s="32">
        <f>IFERROR(IF(ISNUMBER($A1008),IF(AND(AH!$U$12=1,1003+1=AH!$U$6),IF(AH!$U$4=0,"unavailable",INDEX('Market Data'!$AO$5:$AO$66,AH!$U$4)),IF(AH!$U$5=1,INDEX('Live History'!$E$5:$E$3004,MATCH($A1008,'Live History'!$D$5:$D$3004,1)),INDEX('AH History'!$D$5:$GG$1380,$K1008,AH!$U$10+1))),NA()),NA())</f>
        <v/>
      </c>
      <c r="G1008" s="34">
        <f>IFERROR(IF(ISNUMBER($A1008),IF(AND(AH!$U$12=1,1003+1=AH!$U$6),IF(AH!$U$4=0,"unavailable",INDEX('Market Data'!$AK$5:$AK$66,AH!$U$4)),IF(AH!$U$5=1,INDEX('Live History'!$D$5:$D$3004,MATCH($A1008,'Live History'!$D$5:$D$3004,1)),INDEX('AH History'!$D$5:$GG$1380,$K1008,AH!$U$10+2))),NA()),NA())</f>
        <v/>
      </c>
      <c r="H1008" s="266">
        <f>IFERROR(IF(ISNUMBER($A1008),IF(AND(AH!$U$12=1,1003+1=AH!$U$6),IF(AH!$U$4=0,"unavailable",INDEX('Market Data'!$AP$5:$AP$66,AH!$U$4)),IF(AH!$U$5=1,INDEX('Live History'!$H$5:$H$3004,MATCH($A1008,'Live History'!$G$5:$G$3004,1)),INDEX('AH History'!$B$5:$B$1380,$K1008))),NA()),NA())</f>
        <v/>
      </c>
      <c r="I1008" s="34">
        <f>IFERROR(IF(ISNUMBER($A1008),IF(AND(AH!$U$12=1,1003+1=AH!$U$6),TODAY(),IF(AH!$U$5=1,INDEX('Live History'!$G$5:$G$3004,MATCH($A1008,'Live History'!$G$5:$G$3004,1)),INDEX('AH History'!$C$5:$C$1380,$K1008))),NA()),NA())</f>
        <v/>
      </c>
      <c r="J1008" s="32">
        <f>IFERROR(IF(AND($F1008&gt;0,$H1008&gt;0,$A1008-$G1008&lt;=10,$A1008-$I1008&lt;=5,$G1008&gt;0,$I1008&gt;0),$F1008*$H1008,NA()),NA())</f>
        <v/>
      </c>
      <c r="K1008" s="15">
        <f>IF($A1008="","",IF(AH!$U$5=1,IFERROR(MATCH($A1008,'Live History'!$A$5:$A$3004,0),0),AH!$U$7+1003))</f>
        <v/>
      </c>
      <c r="L1008" s="15">
        <f>IF(ISNUMBER(A1008),TEXT(A1008,"dd-mmm-yy"),"")</f>
        <v/>
      </c>
    </row>
    <row r="1009">
      <c r="A1009" s="14">
        <f>IF(OR(AH!$U$4=0,1004+1&gt;AH!$U$6,AND(AH!$M$5="Bloomberg",AH!$U$5=0)),"",IFERROR(IF(AND(AH!$U$12=1,1004+1=AH!$U$6),TODAY(),IF(AH!$U$5=1,INDEX('Live History'!$A$5:$A$3004,AH!$U$7+1004),INDEX('AH History'!$A$5:$A$1380,AH!$U$7+1004))),""))</f>
        <v/>
      </c>
      <c r="B1009" s="33">
        <f>IFERROR(IF(AH!$U$11=1,NA(),$J1009/$E1009-1),NA())</f>
        <v/>
      </c>
      <c r="C1009" s="269">
        <f>IFERROR(100*$E1009/$E$5,NA())</f>
        <v/>
      </c>
      <c r="D1009" s="269">
        <f>IFERROR(100*$J1009/$J$5,NA())</f>
        <v/>
      </c>
      <c r="E1009" s="32">
        <f>IFERROR(IF(AND(ISNUMBER($A1009),N(IF(AND(AH!$U$12=1,1004+1=AH!$U$6),IF(AH!$U$4=0,"unavailable",INDEX('Market Data'!$AN$5:$AN$66,AH!$U$4)),IF(AH!$U$5=1,INDEX('Live History'!$B$5:$B$3004,$K1009),INDEX('AH History'!$D$5:$GG$1380,$K1009,AH!$U$10))))&gt;0),IF(AND(AH!$U$12=1,1004+1=AH!$U$6),IF(AH!$U$4=0,"unavailable",INDEX('Market Data'!$AN$5:$AN$66,AH!$U$4)),IF(AH!$U$5=1,INDEX('Live History'!$B$5:$B$3004,$K1009),INDEX('AH History'!$D$5:$GG$1380,$K1009,AH!$U$10))),NA()),NA())</f>
        <v/>
      </c>
      <c r="F1009" s="32">
        <f>IFERROR(IF(ISNUMBER($A1009),IF(AND(AH!$U$12=1,1004+1=AH!$U$6),IF(AH!$U$4=0,"unavailable",INDEX('Market Data'!$AO$5:$AO$66,AH!$U$4)),IF(AH!$U$5=1,INDEX('Live History'!$E$5:$E$3004,MATCH($A1009,'Live History'!$D$5:$D$3004,1)),INDEX('AH History'!$D$5:$GG$1380,$K1009,AH!$U$10+1))),NA()),NA())</f>
        <v/>
      </c>
      <c r="G1009" s="34">
        <f>IFERROR(IF(ISNUMBER($A1009),IF(AND(AH!$U$12=1,1004+1=AH!$U$6),IF(AH!$U$4=0,"unavailable",INDEX('Market Data'!$AK$5:$AK$66,AH!$U$4)),IF(AH!$U$5=1,INDEX('Live History'!$D$5:$D$3004,MATCH($A1009,'Live History'!$D$5:$D$3004,1)),INDEX('AH History'!$D$5:$GG$1380,$K1009,AH!$U$10+2))),NA()),NA())</f>
        <v/>
      </c>
      <c r="H1009" s="266">
        <f>IFERROR(IF(ISNUMBER($A1009),IF(AND(AH!$U$12=1,1004+1=AH!$U$6),IF(AH!$U$4=0,"unavailable",INDEX('Market Data'!$AP$5:$AP$66,AH!$U$4)),IF(AH!$U$5=1,INDEX('Live History'!$H$5:$H$3004,MATCH($A1009,'Live History'!$G$5:$G$3004,1)),INDEX('AH History'!$B$5:$B$1380,$K1009))),NA()),NA())</f>
        <v/>
      </c>
      <c r="I1009" s="34">
        <f>IFERROR(IF(ISNUMBER($A1009),IF(AND(AH!$U$12=1,1004+1=AH!$U$6),TODAY(),IF(AH!$U$5=1,INDEX('Live History'!$G$5:$G$3004,MATCH($A1009,'Live History'!$G$5:$G$3004,1)),INDEX('AH History'!$C$5:$C$1380,$K1009))),NA()),NA())</f>
        <v/>
      </c>
      <c r="J1009" s="32">
        <f>IFERROR(IF(AND($F1009&gt;0,$H1009&gt;0,$A1009-$G1009&lt;=10,$A1009-$I1009&lt;=5,$G1009&gt;0,$I1009&gt;0),$F1009*$H1009,NA()),NA())</f>
        <v/>
      </c>
      <c r="K1009" s="15">
        <f>IF($A1009="","",IF(AH!$U$5=1,IFERROR(MATCH($A1009,'Live History'!$A$5:$A$3004,0),0),AH!$U$7+1004))</f>
        <v/>
      </c>
      <c r="L1009" s="15">
        <f>IF(ISNUMBER(A1009),TEXT(A1009,"dd-mmm-yy"),"")</f>
        <v/>
      </c>
    </row>
    <row r="1010">
      <c r="A1010" s="14">
        <f>IF(OR(AH!$U$4=0,1005+1&gt;AH!$U$6,AND(AH!$M$5="Bloomberg",AH!$U$5=0)),"",IFERROR(IF(AND(AH!$U$12=1,1005+1=AH!$U$6),TODAY(),IF(AH!$U$5=1,INDEX('Live History'!$A$5:$A$3004,AH!$U$7+1005),INDEX('AH History'!$A$5:$A$1380,AH!$U$7+1005))),""))</f>
        <v/>
      </c>
      <c r="B1010" s="33">
        <f>IFERROR(IF(AH!$U$11=1,NA(),$J1010/$E1010-1),NA())</f>
        <v/>
      </c>
      <c r="C1010" s="269">
        <f>IFERROR(100*$E1010/$E$5,NA())</f>
        <v/>
      </c>
      <c r="D1010" s="269">
        <f>IFERROR(100*$J1010/$J$5,NA())</f>
        <v/>
      </c>
      <c r="E1010" s="32">
        <f>IFERROR(IF(AND(ISNUMBER($A1010),N(IF(AND(AH!$U$12=1,1005+1=AH!$U$6),IF(AH!$U$4=0,"unavailable",INDEX('Market Data'!$AN$5:$AN$66,AH!$U$4)),IF(AH!$U$5=1,INDEX('Live History'!$B$5:$B$3004,$K1010),INDEX('AH History'!$D$5:$GG$1380,$K1010,AH!$U$10))))&gt;0),IF(AND(AH!$U$12=1,1005+1=AH!$U$6),IF(AH!$U$4=0,"unavailable",INDEX('Market Data'!$AN$5:$AN$66,AH!$U$4)),IF(AH!$U$5=1,INDEX('Live History'!$B$5:$B$3004,$K1010),INDEX('AH History'!$D$5:$GG$1380,$K1010,AH!$U$10))),NA()),NA())</f>
        <v/>
      </c>
      <c r="F1010" s="32">
        <f>IFERROR(IF(ISNUMBER($A1010),IF(AND(AH!$U$12=1,1005+1=AH!$U$6),IF(AH!$U$4=0,"unavailable",INDEX('Market Data'!$AO$5:$AO$66,AH!$U$4)),IF(AH!$U$5=1,INDEX('Live History'!$E$5:$E$3004,MATCH($A1010,'Live History'!$D$5:$D$3004,1)),INDEX('AH History'!$D$5:$GG$1380,$K1010,AH!$U$10+1))),NA()),NA())</f>
        <v/>
      </c>
      <c r="G1010" s="34">
        <f>IFERROR(IF(ISNUMBER($A1010),IF(AND(AH!$U$12=1,1005+1=AH!$U$6),IF(AH!$U$4=0,"unavailable",INDEX('Market Data'!$AK$5:$AK$66,AH!$U$4)),IF(AH!$U$5=1,INDEX('Live History'!$D$5:$D$3004,MATCH($A1010,'Live History'!$D$5:$D$3004,1)),INDEX('AH History'!$D$5:$GG$1380,$K1010,AH!$U$10+2))),NA()),NA())</f>
        <v/>
      </c>
      <c r="H1010" s="266">
        <f>IFERROR(IF(ISNUMBER($A1010),IF(AND(AH!$U$12=1,1005+1=AH!$U$6),IF(AH!$U$4=0,"unavailable",INDEX('Market Data'!$AP$5:$AP$66,AH!$U$4)),IF(AH!$U$5=1,INDEX('Live History'!$H$5:$H$3004,MATCH($A1010,'Live History'!$G$5:$G$3004,1)),INDEX('AH History'!$B$5:$B$1380,$K1010))),NA()),NA())</f>
        <v/>
      </c>
      <c r="I1010" s="34">
        <f>IFERROR(IF(ISNUMBER($A1010),IF(AND(AH!$U$12=1,1005+1=AH!$U$6),TODAY(),IF(AH!$U$5=1,INDEX('Live History'!$G$5:$G$3004,MATCH($A1010,'Live History'!$G$5:$G$3004,1)),INDEX('AH History'!$C$5:$C$1380,$K1010))),NA()),NA())</f>
        <v/>
      </c>
      <c r="J1010" s="32">
        <f>IFERROR(IF(AND($F1010&gt;0,$H1010&gt;0,$A1010-$G1010&lt;=10,$A1010-$I1010&lt;=5,$G1010&gt;0,$I1010&gt;0),$F1010*$H1010,NA()),NA())</f>
        <v/>
      </c>
      <c r="K1010" s="15">
        <f>IF($A1010="","",IF(AH!$U$5=1,IFERROR(MATCH($A1010,'Live History'!$A$5:$A$3004,0),0),AH!$U$7+1005))</f>
        <v/>
      </c>
      <c r="L1010" s="15">
        <f>IF(ISNUMBER(A1010),TEXT(A1010,"dd-mmm-yy"),"")</f>
        <v/>
      </c>
    </row>
    <row r="1011">
      <c r="A1011" s="14">
        <f>IF(OR(AH!$U$4=0,1006+1&gt;AH!$U$6,AND(AH!$M$5="Bloomberg",AH!$U$5=0)),"",IFERROR(IF(AND(AH!$U$12=1,1006+1=AH!$U$6),TODAY(),IF(AH!$U$5=1,INDEX('Live History'!$A$5:$A$3004,AH!$U$7+1006),INDEX('AH History'!$A$5:$A$1380,AH!$U$7+1006))),""))</f>
        <v/>
      </c>
      <c r="B1011" s="33">
        <f>IFERROR(IF(AH!$U$11=1,NA(),$J1011/$E1011-1),NA())</f>
        <v/>
      </c>
      <c r="C1011" s="269">
        <f>IFERROR(100*$E1011/$E$5,NA())</f>
        <v/>
      </c>
      <c r="D1011" s="269">
        <f>IFERROR(100*$J1011/$J$5,NA())</f>
        <v/>
      </c>
      <c r="E1011" s="32">
        <f>IFERROR(IF(AND(ISNUMBER($A1011),N(IF(AND(AH!$U$12=1,1006+1=AH!$U$6),IF(AH!$U$4=0,"unavailable",INDEX('Market Data'!$AN$5:$AN$66,AH!$U$4)),IF(AH!$U$5=1,INDEX('Live History'!$B$5:$B$3004,$K1011),INDEX('AH History'!$D$5:$GG$1380,$K1011,AH!$U$10))))&gt;0),IF(AND(AH!$U$12=1,1006+1=AH!$U$6),IF(AH!$U$4=0,"unavailable",INDEX('Market Data'!$AN$5:$AN$66,AH!$U$4)),IF(AH!$U$5=1,INDEX('Live History'!$B$5:$B$3004,$K1011),INDEX('AH History'!$D$5:$GG$1380,$K1011,AH!$U$10))),NA()),NA())</f>
        <v/>
      </c>
      <c r="F1011" s="32">
        <f>IFERROR(IF(ISNUMBER($A1011),IF(AND(AH!$U$12=1,1006+1=AH!$U$6),IF(AH!$U$4=0,"unavailable",INDEX('Market Data'!$AO$5:$AO$66,AH!$U$4)),IF(AH!$U$5=1,INDEX('Live History'!$E$5:$E$3004,MATCH($A1011,'Live History'!$D$5:$D$3004,1)),INDEX('AH History'!$D$5:$GG$1380,$K1011,AH!$U$10+1))),NA()),NA())</f>
        <v/>
      </c>
      <c r="G1011" s="34">
        <f>IFERROR(IF(ISNUMBER($A1011),IF(AND(AH!$U$12=1,1006+1=AH!$U$6),IF(AH!$U$4=0,"unavailable",INDEX('Market Data'!$AK$5:$AK$66,AH!$U$4)),IF(AH!$U$5=1,INDEX('Live History'!$D$5:$D$3004,MATCH($A1011,'Live History'!$D$5:$D$3004,1)),INDEX('AH History'!$D$5:$GG$1380,$K1011,AH!$U$10+2))),NA()),NA())</f>
        <v/>
      </c>
      <c r="H1011" s="266">
        <f>IFERROR(IF(ISNUMBER($A1011),IF(AND(AH!$U$12=1,1006+1=AH!$U$6),IF(AH!$U$4=0,"unavailable",INDEX('Market Data'!$AP$5:$AP$66,AH!$U$4)),IF(AH!$U$5=1,INDEX('Live History'!$H$5:$H$3004,MATCH($A1011,'Live History'!$G$5:$G$3004,1)),INDEX('AH History'!$B$5:$B$1380,$K1011))),NA()),NA())</f>
        <v/>
      </c>
      <c r="I1011" s="34">
        <f>IFERROR(IF(ISNUMBER($A1011),IF(AND(AH!$U$12=1,1006+1=AH!$U$6),TODAY(),IF(AH!$U$5=1,INDEX('Live History'!$G$5:$G$3004,MATCH($A1011,'Live History'!$G$5:$G$3004,1)),INDEX('AH History'!$C$5:$C$1380,$K1011))),NA()),NA())</f>
        <v/>
      </c>
      <c r="J1011" s="32">
        <f>IFERROR(IF(AND($F1011&gt;0,$H1011&gt;0,$A1011-$G1011&lt;=10,$A1011-$I1011&lt;=5,$G1011&gt;0,$I1011&gt;0),$F1011*$H1011,NA()),NA())</f>
        <v/>
      </c>
      <c r="K1011" s="15">
        <f>IF($A1011="","",IF(AH!$U$5=1,IFERROR(MATCH($A1011,'Live History'!$A$5:$A$3004,0),0),AH!$U$7+1006))</f>
        <v/>
      </c>
      <c r="L1011" s="15">
        <f>IF(ISNUMBER(A1011),TEXT(A1011,"dd-mmm-yy"),"")</f>
        <v/>
      </c>
    </row>
    <row r="1012">
      <c r="A1012" s="14">
        <f>IF(OR(AH!$U$4=0,1007+1&gt;AH!$U$6,AND(AH!$M$5="Bloomberg",AH!$U$5=0)),"",IFERROR(IF(AND(AH!$U$12=1,1007+1=AH!$U$6),TODAY(),IF(AH!$U$5=1,INDEX('Live History'!$A$5:$A$3004,AH!$U$7+1007),INDEX('AH History'!$A$5:$A$1380,AH!$U$7+1007))),""))</f>
        <v/>
      </c>
      <c r="B1012" s="33">
        <f>IFERROR(IF(AH!$U$11=1,NA(),$J1012/$E1012-1),NA())</f>
        <v/>
      </c>
      <c r="C1012" s="269">
        <f>IFERROR(100*$E1012/$E$5,NA())</f>
        <v/>
      </c>
      <c r="D1012" s="269">
        <f>IFERROR(100*$J1012/$J$5,NA())</f>
        <v/>
      </c>
      <c r="E1012" s="32">
        <f>IFERROR(IF(AND(ISNUMBER($A1012),N(IF(AND(AH!$U$12=1,1007+1=AH!$U$6),IF(AH!$U$4=0,"unavailable",INDEX('Market Data'!$AN$5:$AN$66,AH!$U$4)),IF(AH!$U$5=1,INDEX('Live History'!$B$5:$B$3004,$K1012),INDEX('AH History'!$D$5:$GG$1380,$K1012,AH!$U$10))))&gt;0),IF(AND(AH!$U$12=1,1007+1=AH!$U$6),IF(AH!$U$4=0,"unavailable",INDEX('Market Data'!$AN$5:$AN$66,AH!$U$4)),IF(AH!$U$5=1,INDEX('Live History'!$B$5:$B$3004,$K1012),INDEX('AH History'!$D$5:$GG$1380,$K1012,AH!$U$10))),NA()),NA())</f>
        <v/>
      </c>
      <c r="F1012" s="32">
        <f>IFERROR(IF(ISNUMBER($A1012),IF(AND(AH!$U$12=1,1007+1=AH!$U$6),IF(AH!$U$4=0,"unavailable",INDEX('Market Data'!$AO$5:$AO$66,AH!$U$4)),IF(AH!$U$5=1,INDEX('Live History'!$E$5:$E$3004,MATCH($A1012,'Live History'!$D$5:$D$3004,1)),INDEX('AH History'!$D$5:$GG$1380,$K1012,AH!$U$10+1))),NA()),NA())</f>
        <v/>
      </c>
      <c r="G1012" s="34">
        <f>IFERROR(IF(ISNUMBER($A1012),IF(AND(AH!$U$12=1,1007+1=AH!$U$6),IF(AH!$U$4=0,"unavailable",INDEX('Market Data'!$AK$5:$AK$66,AH!$U$4)),IF(AH!$U$5=1,INDEX('Live History'!$D$5:$D$3004,MATCH($A1012,'Live History'!$D$5:$D$3004,1)),INDEX('AH History'!$D$5:$GG$1380,$K1012,AH!$U$10+2))),NA()),NA())</f>
        <v/>
      </c>
      <c r="H1012" s="266">
        <f>IFERROR(IF(ISNUMBER($A1012),IF(AND(AH!$U$12=1,1007+1=AH!$U$6),IF(AH!$U$4=0,"unavailable",INDEX('Market Data'!$AP$5:$AP$66,AH!$U$4)),IF(AH!$U$5=1,INDEX('Live History'!$H$5:$H$3004,MATCH($A1012,'Live History'!$G$5:$G$3004,1)),INDEX('AH History'!$B$5:$B$1380,$K1012))),NA()),NA())</f>
        <v/>
      </c>
      <c r="I1012" s="34">
        <f>IFERROR(IF(ISNUMBER($A1012),IF(AND(AH!$U$12=1,1007+1=AH!$U$6),TODAY(),IF(AH!$U$5=1,INDEX('Live History'!$G$5:$G$3004,MATCH($A1012,'Live History'!$G$5:$G$3004,1)),INDEX('AH History'!$C$5:$C$1380,$K1012))),NA()),NA())</f>
        <v/>
      </c>
      <c r="J1012" s="32">
        <f>IFERROR(IF(AND($F1012&gt;0,$H1012&gt;0,$A1012-$G1012&lt;=10,$A1012-$I1012&lt;=5,$G1012&gt;0,$I1012&gt;0),$F1012*$H1012,NA()),NA())</f>
        <v/>
      </c>
      <c r="K1012" s="15">
        <f>IF($A1012="","",IF(AH!$U$5=1,IFERROR(MATCH($A1012,'Live History'!$A$5:$A$3004,0),0),AH!$U$7+1007))</f>
        <v/>
      </c>
      <c r="L1012" s="15">
        <f>IF(ISNUMBER(A1012),TEXT(A1012,"dd-mmm-yy"),"")</f>
        <v/>
      </c>
    </row>
    <row r="1013">
      <c r="A1013" s="14">
        <f>IF(OR(AH!$U$4=0,1008+1&gt;AH!$U$6,AND(AH!$M$5="Bloomberg",AH!$U$5=0)),"",IFERROR(IF(AND(AH!$U$12=1,1008+1=AH!$U$6),TODAY(),IF(AH!$U$5=1,INDEX('Live History'!$A$5:$A$3004,AH!$U$7+1008),INDEX('AH History'!$A$5:$A$1380,AH!$U$7+1008))),""))</f>
        <v/>
      </c>
      <c r="B1013" s="33">
        <f>IFERROR(IF(AH!$U$11=1,NA(),$J1013/$E1013-1),NA())</f>
        <v/>
      </c>
      <c r="C1013" s="269">
        <f>IFERROR(100*$E1013/$E$5,NA())</f>
        <v/>
      </c>
      <c r="D1013" s="269">
        <f>IFERROR(100*$J1013/$J$5,NA())</f>
        <v/>
      </c>
      <c r="E1013" s="32">
        <f>IFERROR(IF(AND(ISNUMBER($A1013),N(IF(AND(AH!$U$12=1,1008+1=AH!$U$6),IF(AH!$U$4=0,"unavailable",INDEX('Market Data'!$AN$5:$AN$66,AH!$U$4)),IF(AH!$U$5=1,INDEX('Live History'!$B$5:$B$3004,$K1013),INDEX('AH History'!$D$5:$GG$1380,$K1013,AH!$U$10))))&gt;0),IF(AND(AH!$U$12=1,1008+1=AH!$U$6),IF(AH!$U$4=0,"unavailable",INDEX('Market Data'!$AN$5:$AN$66,AH!$U$4)),IF(AH!$U$5=1,INDEX('Live History'!$B$5:$B$3004,$K1013),INDEX('AH History'!$D$5:$GG$1380,$K1013,AH!$U$10))),NA()),NA())</f>
        <v/>
      </c>
      <c r="F1013" s="32">
        <f>IFERROR(IF(ISNUMBER($A1013),IF(AND(AH!$U$12=1,1008+1=AH!$U$6),IF(AH!$U$4=0,"unavailable",INDEX('Market Data'!$AO$5:$AO$66,AH!$U$4)),IF(AH!$U$5=1,INDEX('Live History'!$E$5:$E$3004,MATCH($A1013,'Live History'!$D$5:$D$3004,1)),INDEX('AH History'!$D$5:$GG$1380,$K1013,AH!$U$10+1))),NA()),NA())</f>
        <v/>
      </c>
      <c r="G1013" s="34">
        <f>IFERROR(IF(ISNUMBER($A1013),IF(AND(AH!$U$12=1,1008+1=AH!$U$6),IF(AH!$U$4=0,"unavailable",INDEX('Market Data'!$AK$5:$AK$66,AH!$U$4)),IF(AH!$U$5=1,INDEX('Live History'!$D$5:$D$3004,MATCH($A1013,'Live History'!$D$5:$D$3004,1)),INDEX('AH History'!$D$5:$GG$1380,$K1013,AH!$U$10+2))),NA()),NA())</f>
        <v/>
      </c>
      <c r="H1013" s="266">
        <f>IFERROR(IF(ISNUMBER($A1013),IF(AND(AH!$U$12=1,1008+1=AH!$U$6),IF(AH!$U$4=0,"unavailable",INDEX('Market Data'!$AP$5:$AP$66,AH!$U$4)),IF(AH!$U$5=1,INDEX('Live History'!$H$5:$H$3004,MATCH($A1013,'Live History'!$G$5:$G$3004,1)),INDEX('AH History'!$B$5:$B$1380,$K1013))),NA()),NA())</f>
        <v/>
      </c>
      <c r="I1013" s="34">
        <f>IFERROR(IF(ISNUMBER($A1013),IF(AND(AH!$U$12=1,1008+1=AH!$U$6),TODAY(),IF(AH!$U$5=1,INDEX('Live History'!$G$5:$G$3004,MATCH($A1013,'Live History'!$G$5:$G$3004,1)),INDEX('AH History'!$C$5:$C$1380,$K1013))),NA()),NA())</f>
        <v/>
      </c>
      <c r="J1013" s="32">
        <f>IFERROR(IF(AND($F1013&gt;0,$H1013&gt;0,$A1013-$G1013&lt;=10,$A1013-$I1013&lt;=5,$G1013&gt;0,$I1013&gt;0),$F1013*$H1013,NA()),NA())</f>
        <v/>
      </c>
      <c r="K1013" s="15">
        <f>IF($A1013="","",IF(AH!$U$5=1,IFERROR(MATCH($A1013,'Live History'!$A$5:$A$3004,0),0),AH!$U$7+1008))</f>
        <v/>
      </c>
      <c r="L1013" s="15">
        <f>IF(ISNUMBER(A1013),TEXT(A1013,"dd-mmm-yy"),"")</f>
        <v/>
      </c>
    </row>
    <row r="1014">
      <c r="A1014" s="14">
        <f>IF(OR(AH!$U$4=0,1009+1&gt;AH!$U$6,AND(AH!$M$5="Bloomberg",AH!$U$5=0)),"",IFERROR(IF(AND(AH!$U$12=1,1009+1=AH!$U$6),TODAY(),IF(AH!$U$5=1,INDEX('Live History'!$A$5:$A$3004,AH!$U$7+1009),INDEX('AH History'!$A$5:$A$1380,AH!$U$7+1009))),""))</f>
        <v/>
      </c>
      <c r="B1014" s="33">
        <f>IFERROR(IF(AH!$U$11=1,NA(),$J1014/$E1014-1),NA())</f>
        <v/>
      </c>
      <c r="C1014" s="269">
        <f>IFERROR(100*$E1014/$E$5,NA())</f>
        <v/>
      </c>
      <c r="D1014" s="269">
        <f>IFERROR(100*$J1014/$J$5,NA())</f>
        <v/>
      </c>
      <c r="E1014" s="32">
        <f>IFERROR(IF(AND(ISNUMBER($A1014),N(IF(AND(AH!$U$12=1,1009+1=AH!$U$6),IF(AH!$U$4=0,"unavailable",INDEX('Market Data'!$AN$5:$AN$66,AH!$U$4)),IF(AH!$U$5=1,INDEX('Live History'!$B$5:$B$3004,$K1014),INDEX('AH History'!$D$5:$GG$1380,$K1014,AH!$U$10))))&gt;0),IF(AND(AH!$U$12=1,1009+1=AH!$U$6),IF(AH!$U$4=0,"unavailable",INDEX('Market Data'!$AN$5:$AN$66,AH!$U$4)),IF(AH!$U$5=1,INDEX('Live History'!$B$5:$B$3004,$K1014),INDEX('AH History'!$D$5:$GG$1380,$K1014,AH!$U$10))),NA()),NA())</f>
        <v/>
      </c>
      <c r="F1014" s="32">
        <f>IFERROR(IF(ISNUMBER($A1014),IF(AND(AH!$U$12=1,1009+1=AH!$U$6),IF(AH!$U$4=0,"unavailable",INDEX('Market Data'!$AO$5:$AO$66,AH!$U$4)),IF(AH!$U$5=1,INDEX('Live History'!$E$5:$E$3004,MATCH($A1014,'Live History'!$D$5:$D$3004,1)),INDEX('AH History'!$D$5:$GG$1380,$K1014,AH!$U$10+1))),NA()),NA())</f>
        <v/>
      </c>
      <c r="G1014" s="34">
        <f>IFERROR(IF(ISNUMBER($A1014),IF(AND(AH!$U$12=1,1009+1=AH!$U$6),IF(AH!$U$4=0,"unavailable",INDEX('Market Data'!$AK$5:$AK$66,AH!$U$4)),IF(AH!$U$5=1,INDEX('Live History'!$D$5:$D$3004,MATCH($A1014,'Live History'!$D$5:$D$3004,1)),INDEX('AH History'!$D$5:$GG$1380,$K1014,AH!$U$10+2))),NA()),NA())</f>
        <v/>
      </c>
      <c r="H1014" s="266">
        <f>IFERROR(IF(ISNUMBER($A1014),IF(AND(AH!$U$12=1,1009+1=AH!$U$6),IF(AH!$U$4=0,"unavailable",INDEX('Market Data'!$AP$5:$AP$66,AH!$U$4)),IF(AH!$U$5=1,INDEX('Live History'!$H$5:$H$3004,MATCH($A1014,'Live History'!$G$5:$G$3004,1)),INDEX('AH History'!$B$5:$B$1380,$K1014))),NA()),NA())</f>
        <v/>
      </c>
      <c r="I1014" s="34">
        <f>IFERROR(IF(ISNUMBER($A1014),IF(AND(AH!$U$12=1,1009+1=AH!$U$6),TODAY(),IF(AH!$U$5=1,INDEX('Live History'!$G$5:$G$3004,MATCH($A1014,'Live History'!$G$5:$G$3004,1)),INDEX('AH History'!$C$5:$C$1380,$K1014))),NA()),NA())</f>
        <v/>
      </c>
      <c r="J1014" s="32">
        <f>IFERROR(IF(AND($F1014&gt;0,$H1014&gt;0,$A1014-$G1014&lt;=10,$A1014-$I1014&lt;=5,$G1014&gt;0,$I1014&gt;0),$F1014*$H1014,NA()),NA())</f>
        <v/>
      </c>
      <c r="K1014" s="15">
        <f>IF($A1014="","",IF(AH!$U$5=1,IFERROR(MATCH($A1014,'Live History'!$A$5:$A$3004,0),0),AH!$U$7+1009))</f>
        <v/>
      </c>
      <c r="L1014" s="15">
        <f>IF(ISNUMBER(A1014),TEXT(A1014,"dd-mmm-yy"),"")</f>
        <v/>
      </c>
    </row>
    <row r="1015">
      <c r="A1015" s="14">
        <f>IF(OR(AH!$U$4=0,1010+1&gt;AH!$U$6,AND(AH!$M$5="Bloomberg",AH!$U$5=0)),"",IFERROR(IF(AND(AH!$U$12=1,1010+1=AH!$U$6),TODAY(),IF(AH!$U$5=1,INDEX('Live History'!$A$5:$A$3004,AH!$U$7+1010),INDEX('AH History'!$A$5:$A$1380,AH!$U$7+1010))),""))</f>
        <v/>
      </c>
      <c r="B1015" s="33">
        <f>IFERROR(IF(AH!$U$11=1,NA(),$J1015/$E1015-1),NA())</f>
        <v/>
      </c>
      <c r="C1015" s="269">
        <f>IFERROR(100*$E1015/$E$5,NA())</f>
        <v/>
      </c>
      <c r="D1015" s="269">
        <f>IFERROR(100*$J1015/$J$5,NA())</f>
        <v/>
      </c>
      <c r="E1015" s="32">
        <f>IFERROR(IF(AND(ISNUMBER($A1015),N(IF(AND(AH!$U$12=1,1010+1=AH!$U$6),IF(AH!$U$4=0,"unavailable",INDEX('Market Data'!$AN$5:$AN$66,AH!$U$4)),IF(AH!$U$5=1,INDEX('Live History'!$B$5:$B$3004,$K1015),INDEX('AH History'!$D$5:$GG$1380,$K1015,AH!$U$10))))&gt;0),IF(AND(AH!$U$12=1,1010+1=AH!$U$6),IF(AH!$U$4=0,"unavailable",INDEX('Market Data'!$AN$5:$AN$66,AH!$U$4)),IF(AH!$U$5=1,INDEX('Live History'!$B$5:$B$3004,$K1015),INDEX('AH History'!$D$5:$GG$1380,$K1015,AH!$U$10))),NA()),NA())</f>
        <v/>
      </c>
      <c r="F1015" s="32">
        <f>IFERROR(IF(ISNUMBER($A1015),IF(AND(AH!$U$12=1,1010+1=AH!$U$6),IF(AH!$U$4=0,"unavailable",INDEX('Market Data'!$AO$5:$AO$66,AH!$U$4)),IF(AH!$U$5=1,INDEX('Live History'!$E$5:$E$3004,MATCH($A1015,'Live History'!$D$5:$D$3004,1)),INDEX('AH History'!$D$5:$GG$1380,$K1015,AH!$U$10+1))),NA()),NA())</f>
        <v/>
      </c>
      <c r="G1015" s="34">
        <f>IFERROR(IF(ISNUMBER($A1015),IF(AND(AH!$U$12=1,1010+1=AH!$U$6),IF(AH!$U$4=0,"unavailable",INDEX('Market Data'!$AK$5:$AK$66,AH!$U$4)),IF(AH!$U$5=1,INDEX('Live History'!$D$5:$D$3004,MATCH($A1015,'Live History'!$D$5:$D$3004,1)),INDEX('AH History'!$D$5:$GG$1380,$K1015,AH!$U$10+2))),NA()),NA())</f>
        <v/>
      </c>
      <c r="H1015" s="266">
        <f>IFERROR(IF(ISNUMBER($A1015),IF(AND(AH!$U$12=1,1010+1=AH!$U$6),IF(AH!$U$4=0,"unavailable",INDEX('Market Data'!$AP$5:$AP$66,AH!$U$4)),IF(AH!$U$5=1,INDEX('Live History'!$H$5:$H$3004,MATCH($A1015,'Live History'!$G$5:$G$3004,1)),INDEX('AH History'!$B$5:$B$1380,$K1015))),NA()),NA())</f>
        <v/>
      </c>
      <c r="I1015" s="34">
        <f>IFERROR(IF(ISNUMBER($A1015),IF(AND(AH!$U$12=1,1010+1=AH!$U$6),TODAY(),IF(AH!$U$5=1,INDEX('Live History'!$G$5:$G$3004,MATCH($A1015,'Live History'!$G$5:$G$3004,1)),INDEX('AH History'!$C$5:$C$1380,$K1015))),NA()),NA())</f>
        <v/>
      </c>
      <c r="J1015" s="32">
        <f>IFERROR(IF(AND($F1015&gt;0,$H1015&gt;0,$A1015-$G1015&lt;=10,$A1015-$I1015&lt;=5,$G1015&gt;0,$I1015&gt;0),$F1015*$H1015,NA()),NA())</f>
        <v/>
      </c>
      <c r="K1015" s="15">
        <f>IF($A1015="","",IF(AH!$U$5=1,IFERROR(MATCH($A1015,'Live History'!$A$5:$A$3004,0),0),AH!$U$7+1010))</f>
        <v/>
      </c>
      <c r="L1015" s="15">
        <f>IF(ISNUMBER(A1015),TEXT(A1015,"dd-mmm-yy"),"")</f>
        <v/>
      </c>
    </row>
    <row r="1016">
      <c r="A1016" s="14">
        <f>IF(OR(AH!$U$4=0,1011+1&gt;AH!$U$6,AND(AH!$M$5="Bloomberg",AH!$U$5=0)),"",IFERROR(IF(AND(AH!$U$12=1,1011+1=AH!$U$6),TODAY(),IF(AH!$U$5=1,INDEX('Live History'!$A$5:$A$3004,AH!$U$7+1011),INDEX('AH History'!$A$5:$A$1380,AH!$U$7+1011))),""))</f>
        <v/>
      </c>
      <c r="B1016" s="33">
        <f>IFERROR(IF(AH!$U$11=1,NA(),$J1016/$E1016-1),NA())</f>
        <v/>
      </c>
      <c r="C1016" s="269">
        <f>IFERROR(100*$E1016/$E$5,NA())</f>
        <v/>
      </c>
      <c r="D1016" s="269">
        <f>IFERROR(100*$J1016/$J$5,NA())</f>
        <v/>
      </c>
      <c r="E1016" s="32">
        <f>IFERROR(IF(AND(ISNUMBER($A1016),N(IF(AND(AH!$U$12=1,1011+1=AH!$U$6),IF(AH!$U$4=0,"unavailable",INDEX('Market Data'!$AN$5:$AN$66,AH!$U$4)),IF(AH!$U$5=1,INDEX('Live History'!$B$5:$B$3004,$K1016),INDEX('AH History'!$D$5:$GG$1380,$K1016,AH!$U$10))))&gt;0),IF(AND(AH!$U$12=1,1011+1=AH!$U$6),IF(AH!$U$4=0,"unavailable",INDEX('Market Data'!$AN$5:$AN$66,AH!$U$4)),IF(AH!$U$5=1,INDEX('Live History'!$B$5:$B$3004,$K1016),INDEX('AH History'!$D$5:$GG$1380,$K1016,AH!$U$10))),NA()),NA())</f>
        <v/>
      </c>
      <c r="F1016" s="32">
        <f>IFERROR(IF(ISNUMBER($A1016),IF(AND(AH!$U$12=1,1011+1=AH!$U$6),IF(AH!$U$4=0,"unavailable",INDEX('Market Data'!$AO$5:$AO$66,AH!$U$4)),IF(AH!$U$5=1,INDEX('Live History'!$E$5:$E$3004,MATCH($A1016,'Live History'!$D$5:$D$3004,1)),INDEX('AH History'!$D$5:$GG$1380,$K1016,AH!$U$10+1))),NA()),NA())</f>
        <v/>
      </c>
      <c r="G1016" s="34">
        <f>IFERROR(IF(ISNUMBER($A1016),IF(AND(AH!$U$12=1,1011+1=AH!$U$6),IF(AH!$U$4=0,"unavailable",INDEX('Market Data'!$AK$5:$AK$66,AH!$U$4)),IF(AH!$U$5=1,INDEX('Live History'!$D$5:$D$3004,MATCH($A1016,'Live History'!$D$5:$D$3004,1)),INDEX('AH History'!$D$5:$GG$1380,$K1016,AH!$U$10+2))),NA()),NA())</f>
        <v/>
      </c>
      <c r="H1016" s="266">
        <f>IFERROR(IF(ISNUMBER($A1016),IF(AND(AH!$U$12=1,1011+1=AH!$U$6),IF(AH!$U$4=0,"unavailable",INDEX('Market Data'!$AP$5:$AP$66,AH!$U$4)),IF(AH!$U$5=1,INDEX('Live History'!$H$5:$H$3004,MATCH($A1016,'Live History'!$G$5:$G$3004,1)),INDEX('AH History'!$B$5:$B$1380,$K1016))),NA()),NA())</f>
        <v/>
      </c>
      <c r="I1016" s="34">
        <f>IFERROR(IF(ISNUMBER($A1016),IF(AND(AH!$U$12=1,1011+1=AH!$U$6),TODAY(),IF(AH!$U$5=1,INDEX('Live History'!$G$5:$G$3004,MATCH($A1016,'Live History'!$G$5:$G$3004,1)),INDEX('AH History'!$C$5:$C$1380,$K1016))),NA()),NA())</f>
        <v/>
      </c>
      <c r="J1016" s="32">
        <f>IFERROR(IF(AND($F1016&gt;0,$H1016&gt;0,$A1016-$G1016&lt;=10,$A1016-$I1016&lt;=5,$G1016&gt;0,$I1016&gt;0),$F1016*$H1016,NA()),NA())</f>
        <v/>
      </c>
      <c r="K1016" s="15">
        <f>IF($A1016="","",IF(AH!$U$5=1,IFERROR(MATCH($A1016,'Live History'!$A$5:$A$3004,0),0),AH!$U$7+1011))</f>
        <v/>
      </c>
      <c r="L1016" s="15">
        <f>IF(ISNUMBER(A1016),TEXT(A1016,"dd-mmm-yy"),"")</f>
        <v/>
      </c>
    </row>
    <row r="1017">
      <c r="A1017" s="14">
        <f>IF(OR(AH!$U$4=0,1012+1&gt;AH!$U$6,AND(AH!$M$5="Bloomberg",AH!$U$5=0)),"",IFERROR(IF(AND(AH!$U$12=1,1012+1=AH!$U$6),TODAY(),IF(AH!$U$5=1,INDEX('Live History'!$A$5:$A$3004,AH!$U$7+1012),INDEX('AH History'!$A$5:$A$1380,AH!$U$7+1012))),""))</f>
        <v/>
      </c>
      <c r="B1017" s="33">
        <f>IFERROR(IF(AH!$U$11=1,NA(),$J1017/$E1017-1),NA())</f>
        <v/>
      </c>
      <c r="C1017" s="269">
        <f>IFERROR(100*$E1017/$E$5,NA())</f>
        <v/>
      </c>
      <c r="D1017" s="269">
        <f>IFERROR(100*$J1017/$J$5,NA())</f>
        <v/>
      </c>
      <c r="E1017" s="32">
        <f>IFERROR(IF(AND(ISNUMBER($A1017),N(IF(AND(AH!$U$12=1,1012+1=AH!$U$6),IF(AH!$U$4=0,"unavailable",INDEX('Market Data'!$AN$5:$AN$66,AH!$U$4)),IF(AH!$U$5=1,INDEX('Live History'!$B$5:$B$3004,$K1017),INDEX('AH History'!$D$5:$GG$1380,$K1017,AH!$U$10))))&gt;0),IF(AND(AH!$U$12=1,1012+1=AH!$U$6),IF(AH!$U$4=0,"unavailable",INDEX('Market Data'!$AN$5:$AN$66,AH!$U$4)),IF(AH!$U$5=1,INDEX('Live History'!$B$5:$B$3004,$K1017),INDEX('AH History'!$D$5:$GG$1380,$K1017,AH!$U$10))),NA()),NA())</f>
        <v/>
      </c>
      <c r="F1017" s="32">
        <f>IFERROR(IF(ISNUMBER($A1017),IF(AND(AH!$U$12=1,1012+1=AH!$U$6),IF(AH!$U$4=0,"unavailable",INDEX('Market Data'!$AO$5:$AO$66,AH!$U$4)),IF(AH!$U$5=1,INDEX('Live History'!$E$5:$E$3004,MATCH($A1017,'Live History'!$D$5:$D$3004,1)),INDEX('AH History'!$D$5:$GG$1380,$K1017,AH!$U$10+1))),NA()),NA())</f>
        <v/>
      </c>
      <c r="G1017" s="34">
        <f>IFERROR(IF(ISNUMBER($A1017),IF(AND(AH!$U$12=1,1012+1=AH!$U$6),IF(AH!$U$4=0,"unavailable",INDEX('Market Data'!$AK$5:$AK$66,AH!$U$4)),IF(AH!$U$5=1,INDEX('Live History'!$D$5:$D$3004,MATCH($A1017,'Live History'!$D$5:$D$3004,1)),INDEX('AH History'!$D$5:$GG$1380,$K1017,AH!$U$10+2))),NA()),NA())</f>
        <v/>
      </c>
      <c r="H1017" s="266">
        <f>IFERROR(IF(ISNUMBER($A1017),IF(AND(AH!$U$12=1,1012+1=AH!$U$6),IF(AH!$U$4=0,"unavailable",INDEX('Market Data'!$AP$5:$AP$66,AH!$U$4)),IF(AH!$U$5=1,INDEX('Live History'!$H$5:$H$3004,MATCH($A1017,'Live History'!$G$5:$G$3004,1)),INDEX('AH History'!$B$5:$B$1380,$K1017))),NA()),NA())</f>
        <v/>
      </c>
      <c r="I1017" s="34">
        <f>IFERROR(IF(ISNUMBER($A1017),IF(AND(AH!$U$12=1,1012+1=AH!$U$6),TODAY(),IF(AH!$U$5=1,INDEX('Live History'!$G$5:$G$3004,MATCH($A1017,'Live History'!$G$5:$G$3004,1)),INDEX('AH History'!$C$5:$C$1380,$K1017))),NA()),NA())</f>
        <v/>
      </c>
      <c r="J1017" s="32">
        <f>IFERROR(IF(AND($F1017&gt;0,$H1017&gt;0,$A1017-$G1017&lt;=10,$A1017-$I1017&lt;=5,$G1017&gt;0,$I1017&gt;0),$F1017*$H1017,NA()),NA())</f>
        <v/>
      </c>
      <c r="K1017" s="15">
        <f>IF($A1017="","",IF(AH!$U$5=1,IFERROR(MATCH($A1017,'Live History'!$A$5:$A$3004,0),0),AH!$U$7+1012))</f>
        <v/>
      </c>
      <c r="L1017" s="15">
        <f>IF(ISNUMBER(A1017),TEXT(A1017,"dd-mmm-yy"),"")</f>
        <v/>
      </c>
    </row>
    <row r="1018">
      <c r="A1018" s="14">
        <f>IF(OR(AH!$U$4=0,1013+1&gt;AH!$U$6,AND(AH!$M$5="Bloomberg",AH!$U$5=0)),"",IFERROR(IF(AND(AH!$U$12=1,1013+1=AH!$U$6),TODAY(),IF(AH!$U$5=1,INDEX('Live History'!$A$5:$A$3004,AH!$U$7+1013),INDEX('AH History'!$A$5:$A$1380,AH!$U$7+1013))),""))</f>
        <v/>
      </c>
      <c r="B1018" s="33">
        <f>IFERROR(IF(AH!$U$11=1,NA(),$J1018/$E1018-1),NA())</f>
        <v/>
      </c>
      <c r="C1018" s="269">
        <f>IFERROR(100*$E1018/$E$5,NA())</f>
        <v/>
      </c>
      <c r="D1018" s="269">
        <f>IFERROR(100*$J1018/$J$5,NA())</f>
        <v/>
      </c>
      <c r="E1018" s="32">
        <f>IFERROR(IF(AND(ISNUMBER($A1018),N(IF(AND(AH!$U$12=1,1013+1=AH!$U$6),IF(AH!$U$4=0,"unavailable",INDEX('Market Data'!$AN$5:$AN$66,AH!$U$4)),IF(AH!$U$5=1,INDEX('Live History'!$B$5:$B$3004,$K1018),INDEX('AH History'!$D$5:$GG$1380,$K1018,AH!$U$10))))&gt;0),IF(AND(AH!$U$12=1,1013+1=AH!$U$6),IF(AH!$U$4=0,"unavailable",INDEX('Market Data'!$AN$5:$AN$66,AH!$U$4)),IF(AH!$U$5=1,INDEX('Live History'!$B$5:$B$3004,$K1018),INDEX('AH History'!$D$5:$GG$1380,$K1018,AH!$U$10))),NA()),NA())</f>
        <v/>
      </c>
      <c r="F1018" s="32">
        <f>IFERROR(IF(ISNUMBER($A1018),IF(AND(AH!$U$12=1,1013+1=AH!$U$6),IF(AH!$U$4=0,"unavailable",INDEX('Market Data'!$AO$5:$AO$66,AH!$U$4)),IF(AH!$U$5=1,INDEX('Live History'!$E$5:$E$3004,MATCH($A1018,'Live History'!$D$5:$D$3004,1)),INDEX('AH History'!$D$5:$GG$1380,$K1018,AH!$U$10+1))),NA()),NA())</f>
        <v/>
      </c>
      <c r="G1018" s="34">
        <f>IFERROR(IF(ISNUMBER($A1018),IF(AND(AH!$U$12=1,1013+1=AH!$U$6),IF(AH!$U$4=0,"unavailable",INDEX('Market Data'!$AK$5:$AK$66,AH!$U$4)),IF(AH!$U$5=1,INDEX('Live History'!$D$5:$D$3004,MATCH($A1018,'Live History'!$D$5:$D$3004,1)),INDEX('AH History'!$D$5:$GG$1380,$K1018,AH!$U$10+2))),NA()),NA())</f>
        <v/>
      </c>
      <c r="H1018" s="266">
        <f>IFERROR(IF(ISNUMBER($A1018),IF(AND(AH!$U$12=1,1013+1=AH!$U$6),IF(AH!$U$4=0,"unavailable",INDEX('Market Data'!$AP$5:$AP$66,AH!$U$4)),IF(AH!$U$5=1,INDEX('Live History'!$H$5:$H$3004,MATCH($A1018,'Live History'!$G$5:$G$3004,1)),INDEX('AH History'!$B$5:$B$1380,$K1018))),NA()),NA())</f>
        <v/>
      </c>
      <c r="I1018" s="34">
        <f>IFERROR(IF(ISNUMBER($A1018),IF(AND(AH!$U$12=1,1013+1=AH!$U$6),TODAY(),IF(AH!$U$5=1,INDEX('Live History'!$G$5:$G$3004,MATCH($A1018,'Live History'!$G$5:$G$3004,1)),INDEX('AH History'!$C$5:$C$1380,$K1018))),NA()),NA())</f>
        <v/>
      </c>
      <c r="J1018" s="32">
        <f>IFERROR(IF(AND($F1018&gt;0,$H1018&gt;0,$A1018-$G1018&lt;=10,$A1018-$I1018&lt;=5,$G1018&gt;0,$I1018&gt;0),$F1018*$H1018,NA()),NA())</f>
        <v/>
      </c>
      <c r="K1018" s="15">
        <f>IF($A1018="","",IF(AH!$U$5=1,IFERROR(MATCH($A1018,'Live History'!$A$5:$A$3004,0),0),AH!$U$7+1013))</f>
        <v/>
      </c>
      <c r="L1018" s="15">
        <f>IF(ISNUMBER(A1018),TEXT(A1018,"dd-mmm-yy"),"")</f>
        <v/>
      </c>
    </row>
    <row r="1019">
      <c r="A1019" s="14">
        <f>IF(OR(AH!$U$4=0,1014+1&gt;AH!$U$6,AND(AH!$M$5="Bloomberg",AH!$U$5=0)),"",IFERROR(IF(AND(AH!$U$12=1,1014+1=AH!$U$6),TODAY(),IF(AH!$U$5=1,INDEX('Live History'!$A$5:$A$3004,AH!$U$7+1014),INDEX('AH History'!$A$5:$A$1380,AH!$U$7+1014))),""))</f>
        <v/>
      </c>
      <c r="B1019" s="33">
        <f>IFERROR(IF(AH!$U$11=1,NA(),$J1019/$E1019-1),NA())</f>
        <v/>
      </c>
      <c r="C1019" s="269">
        <f>IFERROR(100*$E1019/$E$5,NA())</f>
        <v/>
      </c>
      <c r="D1019" s="269">
        <f>IFERROR(100*$J1019/$J$5,NA())</f>
        <v/>
      </c>
      <c r="E1019" s="32">
        <f>IFERROR(IF(AND(ISNUMBER($A1019),N(IF(AND(AH!$U$12=1,1014+1=AH!$U$6),IF(AH!$U$4=0,"unavailable",INDEX('Market Data'!$AN$5:$AN$66,AH!$U$4)),IF(AH!$U$5=1,INDEX('Live History'!$B$5:$B$3004,$K1019),INDEX('AH History'!$D$5:$GG$1380,$K1019,AH!$U$10))))&gt;0),IF(AND(AH!$U$12=1,1014+1=AH!$U$6),IF(AH!$U$4=0,"unavailable",INDEX('Market Data'!$AN$5:$AN$66,AH!$U$4)),IF(AH!$U$5=1,INDEX('Live History'!$B$5:$B$3004,$K1019),INDEX('AH History'!$D$5:$GG$1380,$K1019,AH!$U$10))),NA()),NA())</f>
        <v/>
      </c>
      <c r="F1019" s="32">
        <f>IFERROR(IF(ISNUMBER($A1019),IF(AND(AH!$U$12=1,1014+1=AH!$U$6),IF(AH!$U$4=0,"unavailable",INDEX('Market Data'!$AO$5:$AO$66,AH!$U$4)),IF(AH!$U$5=1,INDEX('Live History'!$E$5:$E$3004,MATCH($A1019,'Live History'!$D$5:$D$3004,1)),INDEX('AH History'!$D$5:$GG$1380,$K1019,AH!$U$10+1))),NA()),NA())</f>
        <v/>
      </c>
      <c r="G1019" s="34">
        <f>IFERROR(IF(ISNUMBER($A1019),IF(AND(AH!$U$12=1,1014+1=AH!$U$6),IF(AH!$U$4=0,"unavailable",INDEX('Market Data'!$AK$5:$AK$66,AH!$U$4)),IF(AH!$U$5=1,INDEX('Live History'!$D$5:$D$3004,MATCH($A1019,'Live History'!$D$5:$D$3004,1)),INDEX('AH History'!$D$5:$GG$1380,$K1019,AH!$U$10+2))),NA()),NA())</f>
        <v/>
      </c>
      <c r="H1019" s="266">
        <f>IFERROR(IF(ISNUMBER($A1019),IF(AND(AH!$U$12=1,1014+1=AH!$U$6),IF(AH!$U$4=0,"unavailable",INDEX('Market Data'!$AP$5:$AP$66,AH!$U$4)),IF(AH!$U$5=1,INDEX('Live History'!$H$5:$H$3004,MATCH($A1019,'Live History'!$G$5:$G$3004,1)),INDEX('AH History'!$B$5:$B$1380,$K1019))),NA()),NA())</f>
        <v/>
      </c>
      <c r="I1019" s="34">
        <f>IFERROR(IF(ISNUMBER($A1019),IF(AND(AH!$U$12=1,1014+1=AH!$U$6),TODAY(),IF(AH!$U$5=1,INDEX('Live History'!$G$5:$G$3004,MATCH($A1019,'Live History'!$G$5:$G$3004,1)),INDEX('AH History'!$C$5:$C$1380,$K1019))),NA()),NA())</f>
        <v/>
      </c>
      <c r="J1019" s="32">
        <f>IFERROR(IF(AND($F1019&gt;0,$H1019&gt;0,$A1019-$G1019&lt;=10,$A1019-$I1019&lt;=5,$G1019&gt;0,$I1019&gt;0),$F1019*$H1019,NA()),NA())</f>
        <v/>
      </c>
      <c r="K1019" s="15">
        <f>IF($A1019="","",IF(AH!$U$5=1,IFERROR(MATCH($A1019,'Live History'!$A$5:$A$3004,0),0),AH!$U$7+1014))</f>
        <v/>
      </c>
      <c r="L1019" s="15">
        <f>IF(ISNUMBER(A1019),TEXT(A1019,"dd-mmm-yy"),"")</f>
        <v/>
      </c>
    </row>
    <row r="1020">
      <c r="A1020" s="14">
        <f>IF(OR(AH!$U$4=0,1015+1&gt;AH!$U$6,AND(AH!$M$5="Bloomberg",AH!$U$5=0)),"",IFERROR(IF(AND(AH!$U$12=1,1015+1=AH!$U$6),TODAY(),IF(AH!$U$5=1,INDEX('Live History'!$A$5:$A$3004,AH!$U$7+1015),INDEX('AH History'!$A$5:$A$1380,AH!$U$7+1015))),""))</f>
        <v/>
      </c>
      <c r="B1020" s="33">
        <f>IFERROR(IF(AH!$U$11=1,NA(),$J1020/$E1020-1),NA())</f>
        <v/>
      </c>
      <c r="C1020" s="269">
        <f>IFERROR(100*$E1020/$E$5,NA())</f>
        <v/>
      </c>
      <c r="D1020" s="269">
        <f>IFERROR(100*$J1020/$J$5,NA())</f>
        <v/>
      </c>
      <c r="E1020" s="32">
        <f>IFERROR(IF(AND(ISNUMBER($A1020),N(IF(AND(AH!$U$12=1,1015+1=AH!$U$6),IF(AH!$U$4=0,"unavailable",INDEX('Market Data'!$AN$5:$AN$66,AH!$U$4)),IF(AH!$U$5=1,INDEX('Live History'!$B$5:$B$3004,$K1020),INDEX('AH History'!$D$5:$GG$1380,$K1020,AH!$U$10))))&gt;0),IF(AND(AH!$U$12=1,1015+1=AH!$U$6),IF(AH!$U$4=0,"unavailable",INDEX('Market Data'!$AN$5:$AN$66,AH!$U$4)),IF(AH!$U$5=1,INDEX('Live History'!$B$5:$B$3004,$K1020),INDEX('AH History'!$D$5:$GG$1380,$K1020,AH!$U$10))),NA()),NA())</f>
        <v/>
      </c>
      <c r="F1020" s="32">
        <f>IFERROR(IF(ISNUMBER($A1020),IF(AND(AH!$U$12=1,1015+1=AH!$U$6),IF(AH!$U$4=0,"unavailable",INDEX('Market Data'!$AO$5:$AO$66,AH!$U$4)),IF(AH!$U$5=1,INDEX('Live History'!$E$5:$E$3004,MATCH($A1020,'Live History'!$D$5:$D$3004,1)),INDEX('AH History'!$D$5:$GG$1380,$K1020,AH!$U$10+1))),NA()),NA())</f>
        <v/>
      </c>
      <c r="G1020" s="34">
        <f>IFERROR(IF(ISNUMBER($A1020),IF(AND(AH!$U$12=1,1015+1=AH!$U$6),IF(AH!$U$4=0,"unavailable",INDEX('Market Data'!$AK$5:$AK$66,AH!$U$4)),IF(AH!$U$5=1,INDEX('Live History'!$D$5:$D$3004,MATCH($A1020,'Live History'!$D$5:$D$3004,1)),INDEX('AH History'!$D$5:$GG$1380,$K1020,AH!$U$10+2))),NA()),NA())</f>
        <v/>
      </c>
      <c r="H1020" s="266">
        <f>IFERROR(IF(ISNUMBER($A1020),IF(AND(AH!$U$12=1,1015+1=AH!$U$6),IF(AH!$U$4=0,"unavailable",INDEX('Market Data'!$AP$5:$AP$66,AH!$U$4)),IF(AH!$U$5=1,INDEX('Live History'!$H$5:$H$3004,MATCH($A1020,'Live History'!$G$5:$G$3004,1)),INDEX('AH History'!$B$5:$B$1380,$K1020))),NA()),NA())</f>
        <v/>
      </c>
      <c r="I1020" s="34">
        <f>IFERROR(IF(ISNUMBER($A1020),IF(AND(AH!$U$12=1,1015+1=AH!$U$6),TODAY(),IF(AH!$U$5=1,INDEX('Live History'!$G$5:$G$3004,MATCH($A1020,'Live History'!$G$5:$G$3004,1)),INDEX('AH History'!$C$5:$C$1380,$K1020))),NA()),NA())</f>
        <v/>
      </c>
      <c r="J1020" s="32">
        <f>IFERROR(IF(AND($F1020&gt;0,$H1020&gt;0,$A1020-$G1020&lt;=10,$A1020-$I1020&lt;=5,$G1020&gt;0,$I1020&gt;0),$F1020*$H1020,NA()),NA())</f>
        <v/>
      </c>
      <c r="K1020" s="15">
        <f>IF($A1020="","",IF(AH!$U$5=1,IFERROR(MATCH($A1020,'Live History'!$A$5:$A$3004,0),0),AH!$U$7+1015))</f>
        <v/>
      </c>
      <c r="L1020" s="15">
        <f>IF(ISNUMBER(A1020),TEXT(A1020,"dd-mmm-yy"),"")</f>
        <v/>
      </c>
    </row>
    <row r="1021">
      <c r="A1021" s="14">
        <f>IF(OR(AH!$U$4=0,1016+1&gt;AH!$U$6,AND(AH!$M$5="Bloomberg",AH!$U$5=0)),"",IFERROR(IF(AND(AH!$U$12=1,1016+1=AH!$U$6),TODAY(),IF(AH!$U$5=1,INDEX('Live History'!$A$5:$A$3004,AH!$U$7+1016),INDEX('AH History'!$A$5:$A$1380,AH!$U$7+1016))),""))</f>
        <v/>
      </c>
      <c r="B1021" s="33">
        <f>IFERROR(IF(AH!$U$11=1,NA(),$J1021/$E1021-1),NA())</f>
        <v/>
      </c>
      <c r="C1021" s="269">
        <f>IFERROR(100*$E1021/$E$5,NA())</f>
        <v/>
      </c>
      <c r="D1021" s="269">
        <f>IFERROR(100*$J1021/$J$5,NA())</f>
        <v/>
      </c>
      <c r="E1021" s="32">
        <f>IFERROR(IF(AND(ISNUMBER($A1021),N(IF(AND(AH!$U$12=1,1016+1=AH!$U$6),IF(AH!$U$4=0,"unavailable",INDEX('Market Data'!$AN$5:$AN$66,AH!$U$4)),IF(AH!$U$5=1,INDEX('Live History'!$B$5:$B$3004,$K1021),INDEX('AH History'!$D$5:$GG$1380,$K1021,AH!$U$10))))&gt;0),IF(AND(AH!$U$12=1,1016+1=AH!$U$6),IF(AH!$U$4=0,"unavailable",INDEX('Market Data'!$AN$5:$AN$66,AH!$U$4)),IF(AH!$U$5=1,INDEX('Live History'!$B$5:$B$3004,$K1021),INDEX('AH History'!$D$5:$GG$1380,$K1021,AH!$U$10))),NA()),NA())</f>
        <v/>
      </c>
      <c r="F1021" s="32">
        <f>IFERROR(IF(ISNUMBER($A1021),IF(AND(AH!$U$12=1,1016+1=AH!$U$6),IF(AH!$U$4=0,"unavailable",INDEX('Market Data'!$AO$5:$AO$66,AH!$U$4)),IF(AH!$U$5=1,INDEX('Live History'!$E$5:$E$3004,MATCH($A1021,'Live History'!$D$5:$D$3004,1)),INDEX('AH History'!$D$5:$GG$1380,$K1021,AH!$U$10+1))),NA()),NA())</f>
        <v/>
      </c>
      <c r="G1021" s="34">
        <f>IFERROR(IF(ISNUMBER($A1021),IF(AND(AH!$U$12=1,1016+1=AH!$U$6),IF(AH!$U$4=0,"unavailable",INDEX('Market Data'!$AK$5:$AK$66,AH!$U$4)),IF(AH!$U$5=1,INDEX('Live History'!$D$5:$D$3004,MATCH($A1021,'Live History'!$D$5:$D$3004,1)),INDEX('AH History'!$D$5:$GG$1380,$K1021,AH!$U$10+2))),NA()),NA())</f>
        <v/>
      </c>
      <c r="H1021" s="266">
        <f>IFERROR(IF(ISNUMBER($A1021),IF(AND(AH!$U$12=1,1016+1=AH!$U$6),IF(AH!$U$4=0,"unavailable",INDEX('Market Data'!$AP$5:$AP$66,AH!$U$4)),IF(AH!$U$5=1,INDEX('Live History'!$H$5:$H$3004,MATCH($A1021,'Live History'!$G$5:$G$3004,1)),INDEX('AH History'!$B$5:$B$1380,$K1021))),NA()),NA())</f>
        <v/>
      </c>
      <c r="I1021" s="34">
        <f>IFERROR(IF(ISNUMBER($A1021),IF(AND(AH!$U$12=1,1016+1=AH!$U$6),TODAY(),IF(AH!$U$5=1,INDEX('Live History'!$G$5:$G$3004,MATCH($A1021,'Live History'!$G$5:$G$3004,1)),INDEX('AH History'!$C$5:$C$1380,$K1021))),NA()),NA())</f>
        <v/>
      </c>
      <c r="J1021" s="32">
        <f>IFERROR(IF(AND($F1021&gt;0,$H1021&gt;0,$A1021-$G1021&lt;=10,$A1021-$I1021&lt;=5,$G1021&gt;0,$I1021&gt;0),$F1021*$H1021,NA()),NA())</f>
        <v/>
      </c>
      <c r="K1021" s="15">
        <f>IF($A1021="","",IF(AH!$U$5=1,IFERROR(MATCH($A1021,'Live History'!$A$5:$A$3004,0),0),AH!$U$7+1016))</f>
        <v/>
      </c>
      <c r="L1021" s="15">
        <f>IF(ISNUMBER(A1021),TEXT(A1021,"dd-mmm-yy"),"")</f>
        <v/>
      </c>
    </row>
    <row r="1022">
      <c r="A1022" s="14">
        <f>IF(OR(AH!$U$4=0,1017+1&gt;AH!$U$6,AND(AH!$M$5="Bloomberg",AH!$U$5=0)),"",IFERROR(IF(AND(AH!$U$12=1,1017+1=AH!$U$6),TODAY(),IF(AH!$U$5=1,INDEX('Live History'!$A$5:$A$3004,AH!$U$7+1017),INDEX('AH History'!$A$5:$A$1380,AH!$U$7+1017))),""))</f>
        <v/>
      </c>
      <c r="B1022" s="33">
        <f>IFERROR(IF(AH!$U$11=1,NA(),$J1022/$E1022-1),NA())</f>
        <v/>
      </c>
      <c r="C1022" s="269">
        <f>IFERROR(100*$E1022/$E$5,NA())</f>
        <v/>
      </c>
      <c r="D1022" s="269">
        <f>IFERROR(100*$J1022/$J$5,NA())</f>
        <v/>
      </c>
      <c r="E1022" s="32">
        <f>IFERROR(IF(AND(ISNUMBER($A1022),N(IF(AND(AH!$U$12=1,1017+1=AH!$U$6),IF(AH!$U$4=0,"unavailable",INDEX('Market Data'!$AN$5:$AN$66,AH!$U$4)),IF(AH!$U$5=1,INDEX('Live History'!$B$5:$B$3004,$K1022),INDEX('AH History'!$D$5:$GG$1380,$K1022,AH!$U$10))))&gt;0),IF(AND(AH!$U$12=1,1017+1=AH!$U$6),IF(AH!$U$4=0,"unavailable",INDEX('Market Data'!$AN$5:$AN$66,AH!$U$4)),IF(AH!$U$5=1,INDEX('Live History'!$B$5:$B$3004,$K1022),INDEX('AH History'!$D$5:$GG$1380,$K1022,AH!$U$10))),NA()),NA())</f>
        <v/>
      </c>
      <c r="F1022" s="32">
        <f>IFERROR(IF(ISNUMBER($A1022),IF(AND(AH!$U$12=1,1017+1=AH!$U$6),IF(AH!$U$4=0,"unavailable",INDEX('Market Data'!$AO$5:$AO$66,AH!$U$4)),IF(AH!$U$5=1,INDEX('Live History'!$E$5:$E$3004,MATCH($A1022,'Live History'!$D$5:$D$3004,1)),INDEX('AH History'!$D$5:$GG$1380,$K1022,AH!$U$10+1))),NA()),NA())</f>
        <v/>
      </c>
      <c r="G1022" s="34">
        <f>IFERROR(IF(ISNUMBER($A1022),IF(AND(AH!$U$12=1,1017+1=AH!$U$6),IF(AH!$U$4=0,"unavailable",INDEX('Market Data'!$AK$5:$AK$66,AH!$U$4)),IF(AH!$U$5=1,INDEX('Live History'!$D$5:$D$3004,MATCH($A1022,'Live History'!$D$5:$D$3004,1)),INDEX('AH History'!$D$5:$GG$1380,$K1022,AH!$U$10+2))),NA()),NA())</f>
        <v/>
      </c>
      <c r="H1022" s="266">
        <f>IFERROR(IF(ISNUMBER($A1022),IF(AND(AH!$U$12=1,1017+1=AH!$U$6),IF(AH!$U$4=0,"unavailable",INDEX('Market Data'!$AP$5:$AP$66,AH!$U$4)),IF(AH!$U$5=1,INDEX('Live History'!$H$5:$H$3004,MATCH($A1022,'Live History'!$G$5:$G$3004,1)),INDEX('AH History'!$B$5:$B$1380,$K1022))),NA()),NA())</f>
        <v/>
      </c>
      <c r="I1022" s="34">
        <f>IFERROR(IF(ISNUMBER($A1022),IF(AND(AH!$U$12=1,1017+1=AH!$U$6),TODAY(),IF(AH!$U$5=1,INDEX('Live History'!$G$5:$G$3004,MATCH($A1022,'Live History'!$G$5:$G$3004,1)),INDEX('AH History'!$C$5:$C$1380,$K1022))),NA()),NA())</f>
        <v/>
      </c>
      <c r="J1022" s="32">
        <f>IFERROR(IF(AND($F1022&gt;0,$H1022&gt;0,$A1022-$G1022&lt;=10,$A1022-$I1022&lt;=5,$G1022&gt;0,$I1022&gt;0),$F1022*$H1022,NA()),NA())</f>
        <v/>
      </c>
      <c r="K1022" s="15">
        <f>IF($A1022="","",IF(AH!$U$5=1,IFERROR(MATCH($A1022,'Live History'!$A$5:$A$3004,0),0),AH!$U$7+1017))</f>
        <v/>
      </c>
      <c r="L1022" s="15">
        <f>IF(ISNUMBER(A1022),TEXT(A1022,"dd-mmm-yy"),"")</f>
        <v/>
      </c>
    </row>
    <row r="1023">
      <c r="A1023" s="14">
        <f>IF(OR(AH!$U$4=0,1018+1&gt;AH!$U$6,AND(AH!$M$5="Bloomberg",AH!$U$5=0)),"",IFERROR(IF(AND(AH!$U$12=1,1018+1=AH!$U$6),TODAY(),IF(AH!$U$5=1,INDEX('Live History'!$A$5:$A$3004,AH!$U$7+1018),INDEX('AH History'!$A$5:$A$1380,AH!$U$7+1018))),""))</f>
        <v/>
      </c>
      <c r="B1023" s="33">
        <f>IFERROR(IF(AH!$U$11=1,NA(),$J1023/$E1023-1),NA())</f>
        <v/>
      </c>
      <c r="C1023" s="269">
        <f>IFERROR(100*$E1023/$E$5,NA())</f>
        <v/>
      </c>
      <c r="D1023" s="269">
        <f>IFERROR(100*$J1023/$J$5,NA())</f>
        <v/>
      </c>
      <c r="E1023" s="32">
        <f>IFERROR(IF(AND(ISNUMBER($A1023),N(IF(AND(AH!$U$12=1,1018+1=AH!$U$6),IF(AH!$U$4=0,"unavailable",INDEX('Market Data'!$AN$5:$AN$66,AH!$U$4)),IF(AH!$U$5=1,INDEX('Live History'!$B$5:$B$3004,$K1023),INDEX('AH History'!$D$5:$GG$1380,$K1023,AH!$U$10))))&gt;0),IF(AND(AH!$U$12=1,1018+1=AH!$U$6),IF(AH!$U$4=0,"unavailable",INDEX('Market Data'!$AN$5:$AN$66,AH!$U$4)),IF(AH!$U$5=1,INDEX('Live History'!$B$5:$B$3004,$K1023),INDEX('AH History'!$D$5:$GG$1380,$K1023,AH!$U$10))),NA()),NA())</f>
        <v/>
      </c>
      <c r="F1023" s="32">
        <f>IFERROR(IF(ISNUMBER($A1023),IF(AND(AH!$U$12=1,1018+1=AH!$U$6),IF(AH!$U$4=0,"unavailable",INDEX('Market Data'!$AO$5:$AO$66,AH!$U$4)),IF(AH!$U$5=1,INDEX('Live History'!$E$5:$E$3004,MATCH($A1023,'Live History'!$D$5:$D$3004,1)),INDEX('AH History'!$D$5:$GG$1380,$K1023,AH!$U$10+1))),NA()),NA())</f>
        <v/>
      </c>
      <c r="G1023" s="34">
        <f>IFERROR(IF(ISNUMBER($A1023),IF(AND(AH!$U$12=1,1018+1=AH!$U$6),IF(AH!$U$4=0,"unavailable",INDEX('Market Data'!$AK$5:$AK$66,AH!$U$4)),IF(AH!$U$5=1,INDEX('Live History'!$D$5:$D$3004,MATCH($A1023,'Live History'!$D$5:$D$3004,1)),INDEX('AH History'!$D$5:$GG$1380,$K1023,AH!$U$10+2))),NA()),NA())</f>
        <v/>
      </c>
      <c r="H1023" s="266">
        <f>IFERROR(IF(ISNUMBER($A1023),IF(AND(AH!$U$12=1,1018+1=AH!$U$6),IF(AH!$U$4=0,"unavailable",INDEX('Market Data'!$AP$5:$AP$66,AH!$U$4)),IF(AH!$U$5=1,INDEX('Live History'!$H$5:$H$3004,MATCH($A1023,'Live History'!$G$5:$G$3004,1)),INDEX('AH History'!$B$5:$B$1380,$K1023))),NA()),NA())</f>
        <v/>
      </c>
      <c r="I1023" s="34">
        <f>IFERROR(IF(ISNUMBER($A1023),IF(AND(AH!$U$12=1,1018+1=AH!$U$6),TODAY(),IF(AH!$U$5=1,INDEX('Live History'!$G$5:$G$3004,MATCH($A1023,'Live History'!$G$5:$G$3004,1)),INDEX('AH History'!$C$5:$C$1380,$K1023))),NA()),NA())</f>
        <v/>
      </c>
      <c r="J1023" s="32">
        <f>IFERROR(IF(AND($F1023&gt;0,$H1023&gt;0,$A1023-$G1023&lt;=10,$A1023-$I1023&lt;=5,$G1023&gt;0,$I1023&gt;0),$F1023*$H1023,NA()),NA())</f>
        <v/>
      </c>
      <c r="K1023" s="15">
        <f>IF($A1023="","",IF(AH!$U$5=1,IFERROR(MATCH($A1023,'Live History'!$A$5:$A$3004,0),0),AH!$U$7+1018))</f>
        <v/>
      </c>
      <c r="L1023" s="15">
        <f>IF(ISNUMBER(A1023),TEXT(A1023,"dd-mmm-yy"),"")</f>
        <v/>
      </c>
    </row>
    <row r="1024">
      <c r="A1024" s="14">
        <f>IF(OR(AH!$U$4=0,1019+1&gt;AH!$U$6,AND(AH!$M$5="Bloomberg",AH!$U$5=0)),"",IFERROR(IF(AND(AH!$U$12=1,1019+1=AH!$U$6),TODAY(),IF(AH!$U$5=1,INDEX('Live History'!$A$5:$A$3004,AH!$U$7+1019),INDEX('AH History'!$A$5:$A$1380,AH!$U$7+1019))),""))</f>
        <v/>
      </c>
      <c r="B1024" s="33">
        <f>IFERROR(IF(AH!$U$11=1,NA(),$J1024/$E1024-1),NA())</f>
        <v/>
      </c>
      <c r="C1024" s="269">
        <f>IFERROR(100*$E1024/$E$5,NA())</f>
        <v/>
      </c>
      <c r="D1024" s="269">
        <f>IFERROR(100*$J1024/$J$5,NA())</f>
        <v/>
      </c>
      <c r="E1024" s="32">
        <f>IFERROR(IF(AND(ISNUMBER($A1024),N(IF(AND(AH!$U$12=1,1019+1=AH!$U$6),IF(AH!$U$4=0,"unavailable",INDEX('Market Data'!$AN$5:$AN$66,AH!$U$4)),IF(AH!$U$5=1,INDEX('Live History'!$B$5:$B$3004,$K1024),INDEX('AH History'!$D$5:$GG$1380,$K1024,AH!$U$10))))&gt;0),IF(AND(AH!$U$12=1,1019+1=AH!$U$6),IF(AH!$U$4=0,"unavailable",INDEX('Market Data'!$AN$5:$AN$66,AH!$U$4)),IF(AH!$U$5=1,INDEX('Live History'!$B$5:$B$3004,$K1024),INDEX('AH History'!$D$5:$GG$1380,$K1024,AH!$U$10))),NA()),NA())</f>
        <v/>
      </c>
      <c r="F1024" s="32">
        <f>IFERROR(IF(ISNUMBER($A1024),IF(AND(AH!$U$12=1,1019+1=AH!$U$6),IF(AH!$U$4=0,"unavailable",INDEX('Market Data'!$AO$5:$AO$66,AH!$U$4)),IF(AH!$U$5=1,INDEX('Live History'!$E$5:$E$3004,MATCH($A1024,'Live History'!$D$5:$D$3004,1)),INDEX('AH History'!$D$5:$GG$1380,$K1024,AH!$U$10+1))),NA()),NA())</f>
        <v/>
      </c>
      <c r="G1024" s="34">
        <f>IFERROR(IF(ISNUMBER($A1024),IF(AND(AH!$U$12=1,1019+1=AH!$U$6),IF(AH!$U$4=0,"unavailable",INDEX('Market Data'!$AK$5:$AK$66,AH!$U$4)),IF(AH!$U$5=1,INDEX('Live History'!$D$5:$D$3004,MATCH($A1024,'Live History'!$D$5:$D$3004,1)),INDEX('AH History'!$D$5:$GG$1380,$K1024,AH!$U$10+2))),NA()),NA())</f>
        <v/>
      </c>
      <c r="H1024" s="266">
        <f>IFERROR(IF(ISNUMBER($A1024),IF(AND(AH!$U$12=1,1019+1=AH!$U$6),IF(AH!$U$4=0,"unavailable",INDEX('Market Data'!$AP$5:$AP$66,AH!$U$4)),IF(AH!$U$5=1,INDEX('Live History'!$H$5:$H$3004,MATCH($A1024,'Live History'!$G$5:$G$3004,1)),INDEX('AH History'!$B$5:$B$1380,$K1024))),NA()),NA())</f>
        <v/>
      </c>
      <c r="I1024" s="34">
        <f>IFERROR(IF(ISNUMBER($A1024),IF(AND(AH!$U$12=1,1019+1=AH!$U$6),TODAY(),IF(AH!$U$5=1,INDEX('Live History'!$G$5:$G$3004,MATCH($A1024,'Live History'!$G$5:$G$3004,1)),INDEX('AH History'!$C$5:$C$1380,$K1024))),NA()),NA())</f>
        <v/>
      </c>
      <c r="J1024" s="32">
        <f>IFERROR(IF(AND($F1024&gt;0,$H1024&gt;0,$A1024-$G1024&lt;=10,$A1024-$I1024&lt;=5,$G1024&gt;0,$I1024&gt;0),$F1024*$H1024,NA()),NA())</f>
        <v/>
      </c>
      <c r="K1024" s="15">
        <f>IF($A1024="","",IF(AH!$U$5=1,IFERROR(MATCH($A1024,'Live History'!$A$5:$A$3004,0),0),AH!$U$7+1019))</f>
        <v/>
      </c>
      <c r="L1024" s="15">
        <f>IF(ISNUMBER(A1024),TEXT(A1024,"dd-mmm-yy"),"")</f>
        <v/>
      </c>
    </row>
    <row r="1025">
      <c r="A1025" s="14">
        <f>IF(OR(AH!$U$4=0,1020+1&gt;AH!$U$6,AND(AH!$M$5="Bloomberg",AH!$U$5=0)),"",IFERROR(IF(AND(AH!$U$12=1,1020+1=AH!$U$6),TODAY(),IF(AH!$U$5=1,INDEX('Live History'!$A$5:$A$3004,AH!$U$7+1020),INDEX('AH History'!$A$5:$A$1380,AH!$U$7+1020))),""))</f>
        <v/>
      </c>
      <c r="B1025" s="33">
        <f>IFERROR(IF(AH!$U$11=1,NA(),$J1025/$E1025-1),NA())</f>
        <v/>
      </c>
      <c r="C1025" s="269">
        <f>IFERROR(100*$E1025/$E$5,NA())</f>
        <v/>
      </c>
      <c r="D1025" s="269">
        <f>IFERROR(100*$J1025/$J$5,NA())</f>
        <v/>
      </c>
      <c r="E1025" s="32">
        <f>IFERROR(IF(AND(ISNUMBER($A1025),N(IF(AND(AH!$U$12=1,1020+1=AH!$U$6),IF(AH!$U$4=0,"unavailable",INDEX('Market Data'!$AN$5:$AN$66,AH!$U$4)),IF(AH!$U$5=1,INDEX('Live History'!$B$5:$B$3004,$K1025),INDEX('AH History'!$D$5:$GG$1380,$K1025,AH!$U$10))))&gt;0),IF(AND(AH!$U$12=1,1020+1=AH!$U$6),IF(AH!$U$4=0,"unavailable",INDEX('Market Data'!$AN$5:$AN$66,AH!$U$4)),IF(AH!$U$5=1,INDEX('Live History'!$B$5:$B$3004,$K1025),INDEX('AH History'!$D$5:$GG$1380,$K1025,AH!$U$10))),NA()),NA())</f>
        <v/>
      </c>
      <c r="F1025" s="32">
        <f>IFERROR(IF(ISNUMBER($A1025),IF(AND(AH!$U$12=1,1020+1=AH!$U$6),IF(AH!$U$4=0,"unavailable",INDEX('Market Data'!$AO$5:$AO$66,AH!$U$4)),IF(AH!$U$5=1,INDEX('Live History'!$E$5:$E$3004,MATCH($A1025,'Live History'!$D$5:$D$3004,1)),INDEX('AH History'!$D$5:$GG$1380,$K1025,AH!$U$10+1))),NA()),NA())</f>
        <v/>
      </c>
      <c r="G1025" s="34">
        <f>IFERROR(IF(ISNUMBER($A1025),IF(AND(AH!$U$12=1,1020+1=AH!$U$6),IF(AH!$U$4=0,"unavailable",INDEX('Market Data'!$AK$5:$AK$66,AH!$U$4)),IF(AH!$U$5=1,INDEX('Live History'!$D$5:$D$3004,MATCH($A1025,'Live History'!$D$5:$D$3004,1)),INDEX('AH History'!$D$5:$GG$1380,$K1025,AH!$U$10+2))),NA()),NA())</f>
        <v/>
      </c>
      <c r="H1025" s="266">
        <f>IFERROR(IF(ISNUMBER($A1025),IF(AND(AH!$U$12=1,1020+1=AH!$U$6),IF(AH!$U$4=0,"unavailable",INDEX('Market Data'!$AP$5:$AP$66,AH!$U$4)),IF(AH!$U$5=1,INDEX('Live History'!$H$5:$H$3004,MATCH($A1025,'Live History'!$G$5:$G$3004,1)),INDEX('AH History'!$B$5:$B$1380,$K1025))),NA()),NA())</f>
        <v/>
      </c>
      <c r="I1025" s="34">
        <f>IFERROR(IF(ISNUMBER($A1025),IF(AND(AH!$U$12=1,1020+1=AH!$U$6),TODAY(),IF(AH!$U$5=1,INDEX('Live History'!$G$5:$G$3004,MATCH($A1025,'Live History'!$G$5:$G$3004,1)),INDEX('AH History'!$C$5:$C$1380,$K1025))),NA()),NA())</f>
        <v/>
      </c>
      <c r="J1025" s="32">
        <f>IFERROR(IF(AND($F1025&gt;0,$H1025&gt;0,$A1025-$G1025&lt;=10,$A1025-$I1025&lt;=5,$G1025&gt;0,$I1025&gt;0),$F1025*$H1025,NA()),NA())</f>
        <v/>
      </c>
      <c r="K1025" s="15">
        <f>IF($A1025="","",IF(AH!$U$5=1,IFERROR(MATCH($A1025,'Live History'!$A$5:$A$3004,0),0),AH!$U$7+1020))</f>
        <v/>
      </c>
      <c r="L1025" s="15">
        <f>IF(ISNUMBER(A1025),TEXT(A1025,"dd-mmm-yy"),"")</f>
        <v/>
      </c>
    </row>
    <row r="1026">
      <c r="A1026" s="14">
        <f>IF(OR(AH!$U$4=0,1021+1&gt;AH!$U$6,AND(AH!$M$5="Bloomberg",AH!$U$5=0)),"",IFERROR(IF(AND(AH!$U$12=1,1021+1=AH!$U$6),TODAY(),IF(AH!$U$5=1,INDEX('Live History'!$A$5:$A$3004,AH!$U$7+1021),INDEX('AH History'!$A$5:$A$1380,AH!$U$7+1021))),""))</f>
        <v/>
      </c>
      <c r="B1026" s="33">
        <f>IFERROR(IF(AH!$U$11=1,NA(),$J1026/$E1026-1),NA())</f>
        <v/>
      </c>
      <c r="C1026" s="269">
        <f>IFERROR(100*$E1026/$E$5,NA())</f>
        <v/>
      </c>
      <c r="D1026" s="269">
        <f>IFERROR(100*$J1026/$J$5,NA())</f>
        <v/>
      </c>
      <c r="E1026" s="32">
        <f>IFERROR(IF(AND(ISNUMBER($A1026),N(IF(AND(AH!$U$12=1,1021+1=AH!$U$6),IF(AH!$U$4=0,"unavailable",INDEX('Market Data'!$AN$5:$AN$66,AH!$U$4)),IF(AH!$U$5=1,INDEX('Live History'!$B$5:$B$3004,$K1026),INDEX('AH History'!$D$5:$GG$1380,$K1026,AH!$U$10))))&gt;0),IF(AND(AH!$U$12=1,1021+1=AH!$U$6),IF(AH!$U$4=0,"unavailable",INDEX('Market Data'!$AN$5:$AN$66,AH!$U$4)),IF(AH!$U$5=1,INDEX('Live History'!$B$5:$B$3004,$K1026),INDEX('AH History'!$D$5:$GG$1380,$K1026,AH!$U$10))),NA()),NA())</f>
        <v/>
      </c>
      <c r="F1026" s="32">
        <f>IFERROR(IF(ISNUMBER($A1026),IF(AND(AH!$U$12=1,1021+1=AH!$U$6),IF(AH!$U$4=0,"unavailable",INDEX('Market Data'!$AO$5:$AO$66,AH!$U$4)),IF(AH!$U$5=1,INDEX('Live History'!$E$5:$E$3004,MATCH($A1026,'Live History'!$D$5:$D$3004,1)),INDEX('AH History'!$D$5:$GG$1380,$K1026,AH!$U$10+1))),NA()),NA())</f>
        <v/>
      </c>
      <c r="G1026" s="34">
        <f>IFERROR(IF(ISNUMBER($A1026),IF(AND(AH!$U$12=1,1021+1=AH!$U$6),IF(AH!$U$4=0,"unavailable",INDEX('Market Data'!$AK$5:$AK$66,AH!$U$4)),IF(AH!$U$5=1,INDEX('Live History'!$D$5:$D$3004,MATCH($A1026,'Live History'!$D$5:$D$3004,1)),INDEX('AH History'!$D$5:$GG$1380,$K1026,AH!$U$10+2))),NA()),NA())</f>
        <v/>
      </c>
      <c r="H1026" s="266">
        <f>IFERROR(IF(ISNUMBER($A1026),IF(AND(AH!$U$12=1,1021+1=AH!$U$6),IF(AH!$U$4=0,"unavailable",INDEX('Market Data'!$AP$5:$AP$66,AH!$U$4)),IF(AH!$U$5=1,INDEX('Live History'!$H$5:$H$3004,MATCH($A1026,'Live History'!$G$5:$G$3004,1)),INDEX('AH History'!$B$5:$B$1380,$K1026))),NA()),NA())</f>
        <v/>
      </c>
      <c r="I1026" s="34">
        <f>IFERROR(IF(ISNUMBER($A1026),IF(AND(AH!$U$12=1,1021+1=AH!$U$6),TODAY(),IF(AH!$U$5=1,INDEX('Live History'!$G$5:$G$3004,MATCH($A1026,'Live History'!$G$5:$G$3004,1)),INDEX('AH History'!$C$5:$C$1380,$K1026))),NA()),NA())</f>
        <v/>
      </c>
      <c r="J1026" s="32">
        <f>IFERROR(IF(AND($F1026&gt;0,$H1026&gt;0,$A1026-$G1026&lt;=10,$A1026-$I1026&lt;=5,$G1026&gt;0,$I1026&gt;0),$F1026*$H1026,NA()),NA())</f>
        <v/>
      </c>
      <c r="K1026" s="15">
        <f>IF($A1026="","",IF(AH!$U$5=1,IFERROR(MATCH($A1026,'Live History'!$A$5:$A$3004,0),0),AH!$U$7+1021))</f>
        <v/>
      </c>
      <c r="L1026" s="15">
        <f>IF(ISNUMBER(A1026),TEXT(A1026,"dd-mmm-yy"),"")</f>
        <v/>
      </c>
    </row>
    <row r="1027">
      <c r="A1027" s="14">
        <f>IF(OR(AH!$U$4=0,1022+1&gt;AH!$U$6,AND(AH!$M$5="Bloomberg",AH!$U$5=0)),"",IFERROR(IF(AND(AH!$U$12=1,1022+1=AH!$U$6),TODAY(),IF(AH!$U$5=1,INDEX('Live History'!$A$5:$A$3004,AH!$U$7+1022),INDEX('AH History'!$A$5:$A$1380,AH!$U$7+1022))),""))</f>
        <v/>
      </c>
      <c r="B1027" s="33">
        <f>IFERROR(IF(AH!$U$11=1,NA(),$J1027/$E1027-1),NA())</f>
        <v/>
      </c>
      <c r="C1027" s="269">
        <f>IFERROR(100*$E1027/$E$5,NA())</f>
        <v/>
      </c>
      <c r="D1027" s="269">
        <f>IFERROR(100*$J1027/$J$5,NA())</f>
        <v/>
      </c>
      <c r="E1027" s="32">
        <f>IFERROR(IF(AND(ISNUMBER($A1027),N(IF(AND(AH!$U$12=1,1022+1=AH!$U$6),IF(AH!$U$4=0,"unavailable",INDEX('Market Data'!$AN$5:$AN$66,AH!$U$4)),IF(AH!$U$5=1,INDEX('Live History'!$B$5:$B$3004,$K1027),INDEX('AH History'!$D$5:$GG$1380,$K1027,AH!$U$10))))&gt;0),IF(AND(AH!$U$12=1,1022+1=AH!$U$6),IF(AH!$U$4=0,"unavailable",INDEX('Market Data'!$AN$5:$AN$66,AH!$U$4)),IF(AH!$U$5=1,INDEX('Live History'!$B$5:$B$3004,$K1027),INDEX('AH History'!$D$5:$GG$1380,$K1027,AH!$U$10))),NA()),NA())</f>
        <v/>
      </c>
      <c r="F1027" s="32">
        <f>IFERROR(IF(ISNUMBER($A1027),IF(AND(AH!$U$12=1,1022+1=AH!$U$6),IF(AH!$U$4=0,"unavailable",INDEX('Market Data'!$AO$5:$AO$66,AH!$U$4)),IF(AH!$U$5=1,INDEX('Live History'!$E$5:$E$3004,MATCH($A1027,'Live History'!$D$5:$D$3004,1)),INDEX('AH History'!$D$5:$GG$1380,$K1027,AH!$U$10+1))),NA()),NA())</f>
        <v/>
      </c>
      <c r="G1027" s="34">
        <f>IFERROR(IF(ISNUMBER($A1027),IF(AND(AH!$U$12=1,1022+1=AH!$U$6),IF(AH!$U$4=0,"unavailable",INDEX('Market Data'!$AK$5:$AK$66,AH!$U$4)),IF(AH!$U$5=1,INDEX('Live History'!$D$5:$D$3004,MATCH($A1027,'Live History'!$D$5:$D$3004,1)),INDEX('AH History'!$D$5:$GG$1380,$K1027,AH!$U$10+2))),NA()),NA())</f>
        <v/>
      </c>
      <c r="H1027" s="266">
        <f>IFERROR(IF(ISNUMBER($A1027),IF(AND(AH!$U$12=1,1022+1=AH!$U$6),IF(AH!$U$4=0,"unavailable",INDEX('Market Data'!$AP$5:$AP$66,AH!$U$4)),IF(AH!$U$5=1,INDEX('Live History'!$H$5:$H$3004,MATCH($A1027,'Live History'!$G$5:$G$3004,1)),INDEX('AH History'!$B$5:$B$1380,$K1027))),NA()),NA())</f>
        <v/>
      </c>
      <c r="I1027" s="34">
        <f>IFERROR(IF(ISNUMBER($A1027),IF(AND(AH!$U$12=1,1022+1=AH!$U$6),TODAY(),IF(AH!$U$5=1,INDEX('Live History'!$G$5:$G$3004,MATCH($A1027,'Live History'!$G$5:$G$3004,1)),INDEX('AH History'!$C$5:$C$1380,$K1027))),NA()),NA())</f>
        <v/>
      </c>
      <c r="J1027" s="32">
        <f>IFERROR(IF(AND($F1027&gt;0,$H1027&gt;0,$A1027-$G1027&lt;=10,$A1027-$I1027&lt;=5,$G1027&gt;0,$I1027&gt;0),$F1027*$H1027,NA()),NA())</f>
        <v/>
      </c>
      <c r="K1027" s="15">
        <f>IF($A1027="","",IF(AH!$U$5=1,IFERROR(MATCH($A1027,'Live History'!$A$5:$A$3004,0),0),AH!$U$7+1022))</f>
        <v/>
      </c>
      <c r="L1027" s="15">
        <f>IF(ISNUMBER(A1027),TEXT(A1027,"dd-mmm-yy"),"")</f>
        <v/>
      </c>
    </row>
    <row r="1028">
      <c r="A1028" s="14">
        <f>IF(OR(AH!$U$4=0,1023+1&gt;AH!$U$6,AND(AH!$M$5="Bloomberg",AH!$U$5=0)),"",IFERROR(IF(AND(AH!$U$12=1,1023+1=AH!$U$6),TODAY(),IF(AH!$U$5=1,INDEX('Live History'!$A$5:$A$3004,AH!$U$7+1023),INDEX('AH History'!$A$5:$A$1380,AH!$U$7+1023))),""))</f>
        <v/>
      </c>
      <c r="B1028" s="33">
        <f>IFERROR(IF(AH!$U$11=1,NA(),$J1028/$E1028-1),NA())</f>
        <v/>
      </c>
      <c r="C1028" s="269">
        <f>IFERROR(100*$E1028/$E$5,NA())</f>
        <v/>
      </c>
      <c r="D1028" s="269">
        <f>IFERROR(100*$J1028/$J$5,NA())</f>
        <v/>
      </c>
      <c r="E1028" s="32">
        <f>IFERROR(IF(AND(ISNUMBER($A1028),N(IF(AND(AH!$U$12=1,1023+1=AH!$U$6),IF(AH!$U$4=0,"unavailable",INDEX('Market Data'!$AN$5:$AN$66,AH!$U$4)),IF(AH!$U$5=1,INDEX('Live History'!$B$5:$B$3004,$K1028),INDEX('AH History'!$D$5:$GG$1380,$K1028,AH!$U$10))))&gt;0),IF(AND(AH!$U$12=1,1023+1=AH!$U$6),IF(AH!$U$4=0,"unavailable",INDEX('Market Data'!$AN$5:$AN$66,AH!$U$4)),IF(AH!$U$5=1,INDEX('Live History'!$B$5:$B$3004,$K1028),INDEX('AH History'!$D$5:$GG$1380,$K1028,AH!$U$10))),NA()),NA())</f>
        <v/>
      </c>
      <c r="F1028" s="32">
        <f>IFERROR(IF(ISNUMBER($A1028),IF(AND(AH!$U$12=1,1023+1=AH!$U$6),IF(AH!$U$4=0,"unavailable",INDEX('Market Data'!$AO$5:$AO$66,AH!$U$4)),IF(AH!$U$5=1,INDEX('Live History'!$E$5:$E$3004,MATCH($A1028,'Live History'!$D$5:$D$3004,1)),INDEX('AH History'!$D$5:$GG$1380,$K1028,AH!$U$10+1))),NA()),NA())</f>
        <v/>
      </c>
      <c r="G1028" s="34">
        <f>IFERROR(IF(ISNUMBER($A1028),IF(AND(AH!$U$12=1,1023+1=AH!$U$6),IF(AH!$U$4=0,"unavailable",INDEX('Market Data'!$AK$5:$AK$66,AH!$U$4)),IF(AH!$U$5=1,INDEX('Live History'!$D$5:$D$3004,MATCH($A1028,'Live History'!$D$5:$D$3004,1)),INDEX('AH History'!$D$5:$GG$1380,$K1028,AH!$U$10+2))),NA()),NA())</f>
        <v/>
      </c>
      <c r="H1028" s="266">
        <f>IFERROR(IF(ISNUMBER($A1028),IF(AND(AH!$U$12=1,1023+1=AH!$U$6),IF(AH!$U$4=0,"unavailable",INDEX('Market Data'!$AP$5:$AP$66,AH!$U$4)),IF(AH!$U$5=1,INDEX('Live History'!$H$5:$H$3004,MATCH($A1028,'Live History'!$G$5:$G$3004,1)),INDEX('AH History'!$B$5:$B$1380,$K1028))),NA()),NA())</f>
        <v/>
      </c>
      <c r="I1028" s="34">
        <f>IFERROR(IF(ISNUMBER($A1028),IF(AND(AH!$U$12=1,1023+1=AH!$U$6),TODAY(),IF(AH!$U$5=1,INDEX('Live History'!$G$5:$G$3004,MATCH($A1028,'Live History'!$G$5:$G$3004,1)),INDEX('AH History'!$C$5:$C$1380,$K1028))),NA()),NA())</f>
        <v/>
      </c>
      <c r="J1028" s="32">
        <f>IFERROR(IF(AND($F1028&gt;0,$H1028&gt;0,$A1028-$G1028&lt;=10,$A1028-$I1028&lt;=5,$G1028&gt;0,$I1028&gt;0),$F1028*$H1028,NA()),NA())</f>
        <v/>
      </c>
      <c r="K1028" s="15">
        <f>IF($A1028="","",IF(AH!$U$5=1,IFERROR(MATCH($A1028,'Live History'!$A$5:$A$3004,0),0),AH!$U$7+1023))</f>
        <v/>
      </c>
      <c r="L1028" s="15">
        <f>IF(ISNUMBER(A1028),TEXT(A1028,"dd-mmm-yy"),"")</f>
        <v/>
      </c>
    </row>
    <row r="1029">
      <c r="A1029" s="14">
        <f>IF(OR(AH!$U$4=0,1024+1&gt;AH!$U$6,AND(AH!$M$5="Bloomberg",AH!$U$5=0)),"",IFERROR(IF(AND(AH!$U$12=1,1024+1=AH!$U$6),TODAY(),IF(AH!$U$5=1,INDEX('Live History'!$A$5:$A$3004,AH!$U$7+1024),INDEX('AH History'!$A$5:$A$1380,AH!$U$7+1024))),""))</f>
        <v/>
      </c>
      <c r="B1029" s="33">
        <f>IFERROR(IF(AH!$U$11=1,NA(),$J1029/$E1029-1),NA())</f>
        <v/>
      </c>
      <c r="C1029" s="269">
        <f>IFERROR(100*$E1029/$E$5,NA())</f>
        <v/>
      </c>
      <c r="D1029" s="269">
        <f>IFERROR(100*$J1029/$J$5,NA())</f>
        <v/>
      </c>
      <c r="E1029" s="32">
        <f>IFERROR(IF(AND(ISNUMBER($A1029),N(IF(AND(AH!$U$12=1,1024+1=AH!$U$6),IF(AH!$U$4=0,"unavailable",INDEX('Market Data'!$AN$5:$AN$66,AH!$U$4)),IF(AH!$U$5=1,INDEX('Live History'!$B$5:$B$3004,$K1029),INDEX('AH History'!$D$5:$GG$1380,$K1029,AH!$U$10))))&gt;0),IF(AND(AH!$U$12=1,1024+1=AH!$U$6),IF(AH!$U$4=0,"unavailable",INDEX('Market Data'!$AN$5:$AN$66,AH!$U$4)),IF(AH!$U$5=1,INDEX('Live History'!$B$5:$B$3004,$K1029),INDEX('AH History'!$D$5:$GG$1380,$K1029,AH!$U$10))),NA()),NA())</f>
        <v/>
      </c>
      <c r="F1029" s="32">
        <f>IFERROR(IF(ISNUMBER($A1029),IF(AND(AH!$U$12=1,1024+1=AH!$U$6),IF(AH!$U$4=0,"unavailable",INDEX('Market Data'!$AO$5:$AO$66,AH!$U$4)),IF(AH!$U$5=1,INDEX('Live History'!$E$5:$E$3004,MATCH($A1029,'Live History'!$D$5:$D$3004,1)),INDEX('AH History'!$D$5:$GG$1380,$K1029,AH!$U$10+1))),NA()),NA())</f>
        <v/>
      </c>
      <c r="G1029" s="34">
        <f>IFERROR(IF(ISNUMBER($A1029),IF(AND(AH!$U$12=1,1024+1=AH!$U$6),IF(AH!$U$4=0,"unavailable",INDEX('Market Data'!$AK$5:$AK$66,AH!$U$4)),IF(AH!$U$5=1,INDEX('Live History'!$D$5:$D$3004,MATCH($A1029,'Live History'!$D$5:$D$3004,1)),INDEX('AH History'!$D$5:$GG$1380,$K1029,AH!$U$10+2))),NA()),NA())</f>
        <v/>
      </c>
      <c r="H1029" s="266">
        <f>IFERROR(IF(ISNUMBER($A1029),IF(AND(AH!$U$12=1,1024+1=AH!$U$6),IF(AH!$U$4=0,"unavailable",INDEX('Market Data'!$AP$5:$AP$66,AH!$U$4)),IF(AH!$U$5=1,INDEX('Live History'!$H$5:$H$3004,MATCH($A1029,'Live History'!$G$5:$G$3004,1)),INDEX('AH History'!$B$5:$B$1380,$K1029))),NA()),NA())</f>
        <v/>
      </c>
      <c r="I1029" s="34">
        <f>IFERROR(IF(ISNUMBER($A1029),IF(AND(AH!$U$12=1,1024+1=AH!$U$6),TODAY(),IF(AH!$U$5=1,INDEX('Live History'!$G$5:$G$3004,MATCH($A1029,'Live History'!$G$5:$G$3004,1)),INDEX('AH History'!$C$5:$C$1380,$K1029))),NA()),NA())</f>
        <v/>
      </c>
      <c r="J1029" s="32">
        <f>IFERROR(IF(AND($F1029&gt;0,$H1029&gt;0,$A1029-$G1029&lt;=10,$A1029-$I1029&lt;=5,$G1029&gt;0,$I1029&gt;0),$F1029*$H1029,NA()),NA())</f>
        <v/>
      </c>
      <c r="K1029" s="15">
        <f>IF($A1029="","",IF(AH!$U$5=1,IFERROR(MATCH($A1029,'Live History'!$A$5:$A$3004,0),0),AH!$U$7+1024))</f>
        <v/>
      </c>
      <c r="L1029" s="15">
        <f>IF(ISNUMBER(A1029),TEXT(A1029,"dd-mmm-yy"),"")</f>
        <v/>
      </c>
    </row>
    <row r="1030">
      <c r="A1030" s="14">
        <f>IF(OR(AH!$U$4=0,1025+1&gt;AH!$U$6,AND(AH!$M$5="Bloomberg",AH!$U$5=0)),"",IFERROR(IF(AND(AH!$U$12=1,1025+1=AH!$U$6),TODAY(),IF(AH!$U$5=1,INDEX('Live History'!$A$5:$A$3004,AH!$U$7+1025),INDEX('AH History'!$A$5:$A$1380,AH!$U$7+1025))),""))</f>
        <v/>
      </c>
      <c r="B1030" s="33">
        <f>IFERROR(IF(AH!$U$11=1,NA(),$J1030/$E1030-1),NA())</f>
        <v/>
      </c>
      <c r="C1030" s="269">
        <f>IFERROR(100*$E1030/$E$5,NA())</f>
        <v/>
      </c>
      <c r="D1030" s="269">
        <f>IFERROR(100*$J1030/$J$5,NA())</f>
        <v/>
      </c>
      <c r="E1030" s="32">
        <f>IFERROR(IF(AND(ISNUMBER($A1030),N(IF(AND(AH!$U$12=1,1025+1=AH!$U$6),IF(AH!$U$4=0,"unavailable",INDEX('Market Data'!$AN$5:$AN$66,AH!$U$4)),IF(AH!$U$5=1,INDEX('Live History'!$B$5:$B$3004,$K1030),INDEX('AH History'!$D$5:$GG$1380,$K1030,AH!$U$10))))&gt;0),IF(AND(AH!$U$12=1,1025+1=AH!$U$6),IF(AH!$U$4=0,"unavailable",INDEX('Market Data'!$AN$5:$AN$66,AH!$U$4)),IF(AH!$U$5=1,INDEX('Live History'!$B$5:$B$3004,$K1030),INDEX('AH History'!$D$5:$GG$1380,$K1030,AH!$U$10))),NA()),NA())</f>
        <v/>
      </c>
      <c r="F1030" s="32">
        <f>IFERROR(IF(ISNUMBER($A1030),IF(AND(AH!$U$12=1,1025+1=AH!$U$6),IF(AH!$U$4=0,"unavailable",INDEX('Market Data'!$AO$5:$AO$66,AH!$U$4)),IF(AH!$U$5=1,INDEX('Live History'!$E$5:$E$3004,MATCH($A1030,'Live History'!$D$5:$D$3004,1)),INDEX('AH History'!$D$5:$GG$1380,$K1030,AH!$U$10+1))),NA()),NA())</f>
        <v/>
      </c>
      <c r="G1030" s="34">
        <f>IFERROR(IF(ISNUMBER($A1030),IF(AND(AH!$U$12=1,1025+1=AH!$U$6),IF(AH!$U$4=0,"unavailable",INDEX('Market Data'!$AK$5:$AK$66,AH!$U$4)),IF(AH!$U$5=1,INDEX('Live History'!$D$5:$D$3004,MATCH($A1030,'Live History'!$D$5:$D$3004,1)),INDEX('AH History'!$D$5:$GG$1380,$K1030,AH!$U$10+2))),NA()),NA())</f>
        <v/>
      </c>
      <c r="H1030" s="266">
        <f>IFERROR(IF(ISNUMBER($A1030),IF(AND(AH!$U$12=1,1025+1=AH!$U$6),IF(AH!$U$4=0,"unavailable",INDEX('Market Data'!$AP$5:$AP$66,AH!$U$4)),IF(AH!$U$5=1,INDEX('Live History'!$H$5:$H$3004,MATCH($A1030,'Live History'!$G$5:$G$3004,1)),INDEX('AH History'!$B$5:$B$1380,$K1030))),NA()),NA())</f>
        <v/>
      </c>
      <c r="I1030" s="34">
        <f>IFERROR(IF(ISNUMBER($A1030),IF(AND(AH!$U$12=1,1025+1=AH!$U$6),TODAY(),IF(AH!$U$5=1,INDEX('Live History'!$G$5:$G$3004,MATCH($A1030,'Live History'!$G$5:$G$3004,1)),INDEX('AH History'!$C$5:$C$1380,$K1030))),NA()),NA())</f>
        <v/>
      </c>
      <c r="J1030" s="32">
        <f>IFERROR(IF(AND($F1030&gt;0,$H1030&gt;0,$A1030-$G1030&lt;=10,$A1030-$I1030&lt;=5,$G1030&gt;0,$I1030&gt;0),$F1030*$H1030,NA()),NA())</f>
        <v/>
      </c>
      <c r="K1030" s="15">
        <f>IF($A1030="","",IF(AH!$U$5=1,IFERROR(MATCH($A1030,'Live History'!$A$5:$A$3004,0),0),AH!$U$7+1025))</f>
        <v/>
      </c>
      <c r="L1030" s="15">
        <f>IF(ISNUMBER(A1030),TEXT(A1030,"dd-mmm-yy"),"")</f>
        <v/>
      </c>
    </row>
    <row r="1031">
      <c r="A1031" s="14">
        <f>IF(OR(AH!$U$4=0,1026+1&gt;AH!$U$6,AND(AH!$M$5="Bloomberg",AH!$U$5=0)),"",IFERROR(IF(AND(AH!$U$12=1,1026+1=AH!$U$6),TODAY(),IF(AH!$U$5=1,INDEX('Live History'!$A$5:$A$3004,AH!$U$7+1026),INDEX('AH History'!$A$5:$A$1380,AH!$U$7+1026))),""))</f>
        <v/>
      </c>
      <c r="B1031" s="33">
        <f>IFERROR(IF(AH!$U$11=1,NA(),$J1031/$E1031-1),NA())</f>
        <v/>
      </c>
      <c r="C1031" s="269">
        <f>IFERROR(100*$E1031/$E$5,NA())</f>
        <v/>
      </c>
      <c r="D1031" s="269">
        <f>IFERROR(100*$J1031/$J$5,NA())</f>
        <v/>
      </c>
      <c r="E1031" s="32">
        <f>IFERROR(IF(AND(ISNUMBER($A1031),N(IF(AND(AH!$U$12=1,1026+1=AH!$U$6),IF(AH!$U$4=0,"unavailable",INDEX('Market Data'!$AN$5:$AN$66,AH!$U$4)),IF(AH!$U$5=1,INDEX('Live History'!$B$5:$B$3004,$K1031),INDEX('AH History'!$D$5:$GG$1380,$K1031,AH!$U$10))))&gt;0),IF(AND(AH!$U$12=1,1026+1=AH!$U$6),IF(AH!$U$4=0,"unavailable",INDEX('Market Data'!$AN$5:$AN$66,AH!$U$4)),IF(AH!$U$5=1,INDEX('Live History'!$B$5:$B$3004,$K1031),INDEX('AH History'!$D$5:$GG$1380,$K1031,AH!$U$10))),NA()),NA())</f>
        <v/>
      </c>
      <c r="F1031" s="32">
        <f>IFERROR(IF(ISNUMBER($A1031),IF(AND(AH!$U$12=1,1026+1=AH!$U$6),IF(AH!$U$4=0,"unavailable",INDEX('Market Data'!$AO$5:$AO$66,AH!$U$4)),IF(AH!$U$5=1,INDEX('Live History'!$E$5:$E$3004,MATCH($A1031,'Live History'!$D$5:$D$3004,1)),INDEX('AH History'!$D$5:$GG$1380,$K1031,AH!$U$10+1))),NA()),NA())</f>
        <v/>
      </c>
      <c r="G1031" s="34">
        <f>IFERROR(IF(ISNUMBER($A1031),IF(AND(AH!$U$12=1,1026+1=AH!$U$6),IF(AH!$U$4=0,"unavailable",INDEX('Market Data'!$AK$5:$AK$66,AH!$U$4)),IF(AH!$U$5=1,INDEX('Live History'!$D$5:$D$3004,MATCH($A1031,'Live History'!$D$5:$D$3004,1)),INDEX('AH History'!$D$5:$GG$1380,$K1031,AH!$U$10+2))),NA()),NA())</f>
        <v/>
      </c>
      <c r="H1031" s="266">
        <f>IFERROR(IF(ISNUMBER($A1031),IF(AND(AH!$U$12=1,1026+1=AH!$U$6),IF(AH!$U$4=0,"unavailable",INDEX('Market Data'!$AP$5:$AP$66,AH!$U$4)),IF(AH!$U$5=1,INDEX('Live History'!$H$5:$H$3004,MATCH($A1031,'Live History'!$G$5:$G$3004,1)),INDEX('AH History'!$B$5:$B$1380,$K1031))),NA()),NA())</f>
        <v/>
      </c>
      <c r="I1031" s="34">
        <f>IFERROR(IF(ISNUMBER($A1031),IF(AND(AH!$U$12=1,1026+1=AH!$U$6),TODAY(),IF(AH!$U$5=1,INDEX('Live History'!$G$5:$G$3004,MATCH($A1031,'Live History'!$G$5:$G$3004,1)),INDEX('AH History'!$C$5:$C$1380,$K1031))),NA()),NA())</f>
        <v/>
      </c>
      <c r="J1031" s="32">
        <f>IFERROR(IF(AND($F1031&gt;0,$H1031&gt;0,$A1031-$G1031&lt;=10,$A1031-$I1031&lt;=5,$G1031&gt;0,$I1031&gt;0),$F1031*$H1031,NA()),NA())</f>
        <v/>
      </c>
      <c r="K1031" s="15">
        <f>IF($A1031="","",IF(AH!$U$5=1,IFERROR(MATCH($A1031,'Live History'!$A$5:$A$3004,0),0),AH!$U$7+1026))</f>
        <v/>
      </c>
      <c r="L1031" s="15">
        <f>IF(ISNUMBER(A1031),TEXT(A1031,"dd-mmm-yy"),"")</f>
        <v/>
      </c>
    </row>
    <row r="1032">
      <c r="A1032" s="14">
        <f>IF(OR(AH!$U$4=0,1027+1&gt;AH!$U$6,AND(AH!$M$5="Bloomberg",AH!$U$5=0)),"",IFERROR(IF(AND(AH!$U$12=1,1027+1=AH!$U$6),TODAY(),IF(AH!$U$5=1,INDEX('Live History'!$A$5:$A$3004,AH!$U$7+1027),INDEX('AH History'!$A$5:$A$1380,AH!$U$7+1027))),""))</f>
        <v/>
      </c>
      <c r="B1032" s="33">
        <f>IFERROR(IF(AH!$U$11=1,NA(),$J1032/$E1032-1),NA())</f>
        <v/>
      </c>
      <c r="C1032" s="269">
        <f>IFERROR(100*$E1032/$E$5,NA())</f>
        <v/>
      </c>
      <c r="D1032" s="269">
        <f>IFERROR(100*$J1032/$J$5,NA())</f>
        <v/>
      </c>
      <c r="E1032" s="32">
        <f>IFERROR(IF(AND(ISNUMBER($A1032),N(IF(AND(AH!$U$12=1,1027+1=AH!$U$6),IF(AH!$U$4=0,"unavailable",INDEX('Market Data'!$AN$5:$AN$66,AH!$U$4)),IF(AH!$U$5=1,INDEX('Live History'!$B$5:$B$3004,$K1032),INDEX('AH History'!$D$5:$GG$1380,$K1032,AH!$U$10))))&gt;0),IF(AND(AH!$U$12=1,1027+1=AH!$U$6),IF(AH!$U$4=0,"unavailable",INDEX('Market Data'!$AN$5:$AN$66,AH!$U$4)),IF(AH!$U$5=1,INDEX('Live History'!$B$5:$B$3004,$K1032),INDEX('AH History'!$D$5:$GG$1380,$K1032,AH!$U$10))),NA()),NA())</f>
        <v/>
      </c>
      <c r="F1032" s="32">
        <f>IFERROR(IF(ISNUMBER($A1032),IF(AND(AH!$U$12=1,1027+1=AH!$U$6),IF(AH!$U$4=0,"unavailable",INDEX('Market Data'!$AO$5:$AO$66,AH!$U$4)),IF(AH!$U$5=1,INDEX('Live History'!$E$5:$E$3004,MATCH($A1032,'Live History'!$D$5:$D$3004,1)),INDEX('AH History'!$D$5:$GG$1380,$K1032,AH!$U$10+1))),NA()),NA())</f>
        <v/>
      </c>
      <c r="G1032" s="34">
        <f>IFERROR(IF(ISNUMBER($A1032),IF(AND(AH!$U$12=1,1027+1=AH!$U$6),IF(AH!$U$4=0,"unavailable",INDEX('Market Data'!$AK$5:$AK$66,AH!$U$4)),IF(AH!$U$5=1,INDEX('Live History'!$D$5:$D$3004,MATCH($A1032,'Live History'!$D$5:$D$3004,1)),INDEX('AH History'!$D$5:$GG$1380,$K1032,AH!$U$10+2))),NA()),NA())</f>
        <v/>
      </c>
      <c r="H1032" s="266">
        <f>IFERROR(IF(ISNUMBER($A1032),IF(AND(AH!$U$12=1,1027+1=AH!$U$6),IF(AH!$U$4=0,"unavailable",INDEX('Market Data'!$AP$5:$AP$66,AH!$U$4)),IF(AH!$U$5=1,INDEX('Live History'!$H$5:$H$3004,MATCH($A1032,'Live History'!$G$5:$G$3004,1)),INDEX('AH History'!$B$5:$B$1380,$K1032))),NA()),NA())</f>
        <v/>
      </c>
      <c r="I1032" s="34">
        <f>IFERROR(IF(ISNUMBER($A1032),IF(AND(AH!$U$12=1,1027+1=AH!$U$6),TODAY(),IF(AH!$U$5=1,INDEX('Live History'!$G$5:$G$3004,MATCH($A1032,'Live History'!$G$5:$G$3004,1)),INDEX('AH History'!$C$5:$C$1380,$K1032))),NA()),NA())</f>
        <v/>
      </c>
      <c r="J1032" s="32">
        <f>IFERROR(IF(AND($F1032&gt;0,$H1032&gt;0,$A1032-$G1032&lt;=10,$A1032-$I1032&lt;=5,$G1032&gt;0,$I1032&gt;0),$F1032*$H1032,NA()),NA())</f>
        <v/>
      </c>
      <c r="K1032" s="15">
        <f>IF($A1032="","",IF(AH!$U$5=1,IFERROR(MATCH($A1032,'Live History'!$A$5:$A$3004,0),0),AH!$U$7+1027))</f>
        <v/>
      </c>
      <c r="L1032" s="15">
        <f>IF(ISNUMBER(A1032),TEXT(A1032,"dd-mmm-yy"),"")</f>
        <v/>
      </c>
    </row>
    <row r="1033">
      <c r="A1033" s="14">
        <f>IF(OR(AH!$U$4=0,1028+1&gt;AH!$U$6,AND(AH!$M$5="Bloomberg",AH!$U$5=0)),"",IFERROR(IF(AND(AH!$U$12=1,1028+1=AH!$U$6),TODAY(),IF(AH!$U$5=1,INDEX('Live History'!$A$5:$A$3004,AH!$U$7+1028),INDEX('AH History'!$A$5:$A$1380,AH!$U$7+1028))),""))</f>
        <v/>
      </c>
      <c r="B1033" s="33">
        <f>IFERROR(IF(AH!$U$11=1,NA(),$J1033/$E1033-1),NA())</f>
        <v/>
      </c>
      <c r="C1033" s="269">
        <f>IFERROR(100*$E1033/$E$5,NA())</f>
        <v/>
      </c>
      <c r="D1033" s="269">
        <f>IFERROR(100*$J1033/$J$5,NA())</f>
        <v/>
      </c>
      <c r="E1033" s="32">
        <f>IFERROR(IF(AND(ISNUMBER($A1033),N(IF(AND(AH!$U$12=1,1028+1=AH!$U$6),IF(AH!$U$4=0,"unavailable",INDEX('Market Data'!$AN$5:$AN$66,AH!$U$4)),IF(AH!$U$5=1,INDEX('Live History'!$B$5:$B$3004,$K1033),INDEX('AH History'!$D$5:$GG$1380,$K1033,AH!$U$10))))&gt;0),IF(AND(AH!$U$12=1,1028+1=AH!$U$6),IF(AH!$U$4=0,"unavailable",INDEX('Market Data'!$AN$5:$AN$66,AH!$U$4)),IF(AH!$U$5=1,INDEX('Live History'!$B$5:$B$3004,$K1033),INDEX('AH History'!$D$5:$GG$1380,$K1033,AH!$U$10))),NA()),NA())</f>
        <v/>
      </c>
      <c r="F1033" s="32">
        <f>IFERROR(IF(ISNUMBER($A1033),IF(AND(AH!$U$12=1,1028+1=AH!$U$6),IF(AH!$U$4=0,"unavailable",INDEX('Market Data'!$AO$5:$AO$66,AH!$U$4)),IF(AH!$U$5=1,INDEX('Live History'!$E$5:$E$3004,MATCH($A1033,'Live History'!$D$5:$D$3004,1)),INDEX('AH History'!$D$5:$GG$1380,$K1033,AH!$U$10+1))),NA()),NA())</f>
        <v/>
      </c>
      <c r="G1033" s="34">
        <f>IFERROR(IF(ISNUMBER($A1033),IF(AND(AH!$U$12=1,1028+1=AH!$U$6),IF(AH!$U$4=0,"unavailable",INDEX('Market Data'!$AK$5:$AK$66,AH!$U$4)),IF(AH!$U$5=1,INDEX('Live History'!$D$5:$D$3004,MATCH($A1033,'Live History'!$D$5:$D$3004,1)),INDEX('AH History'!$D$5:$GG$1380,$K1033,AH!$U$10+2))),NA()),NA())</f>
        <v/>
      </c>
      <c r="H1033" s="266">
        <f>IFERROR(IF(ISNUMBER($A1033),IF(AND(AH!$U$12=1,1028+1=AH!$U$6),IF(AH!$U$4=0,"unavailable",INDEX('Market Data'!$AP$5:$AP$66,AH!$U$4)),IF(AH!$U$5=1,INDEX('Live History'!$H$5:$H$3004,MATCH($A1033,'Live History'!$G$5:$G$3004,1)),INDEX('AH History'!$B$5:$B$1380,$K1033))),NA()),NA())</f>
        <v/>
      </c>
      <c r="I1033" s="34">
        <f>IFERROR(IF(ISNUMBER($A1033),IF(AND(AH!$U$12=1,1028+1=AH!$U$6),TODAY(),IF(AH!$U$5=1,INDEX('Live History'!$G$5:$G$3004,MATCH($A1033,'Live History'!$G$5:$G$3004,1)),INDEX('AH History'!$C$5:$C$1380,$K1033))),NA()),NA())</f>
        <v/>
      </c>
      <c r="J1033" s="32">
        <f>IFERROR(IF(AND($F1033&gt;0,$H1033&gt;0,$A1033-$G1033&lt;=10,$A1033-$I1033&lt;=5,$G1033&gt;0,$I1033&gt;0),$F1033*$H1033,NA()),NA())</f>
        <v/>
      </c>
      <c r="K1033" s="15">
        <f>IF($A1033="","",IF(AH!$U$5=1,IFERROR(MATCH($A1033,'Live History'!$A$5:$A$3004,0),0),AH!$U$7+1028))</f>
        <v/>
      </c>
      <c r="L1033" s="15">
        <f>IF(ISNUMBER(A1033),TEXT(A1033,"dd-mmm-yy"),"")</f>
        <v/>
      </c>
    </row>
    <row r="1034">
      <c r="A1034" s="14">
        <f>IF(OR(AH!$U$4=0,1029+1&gt;AH!$U$6,AND(AH!$M$5="Bloomberg",AH!$U$5=0)),"",IFERROR(IF(AND(AH!$U$12=1,1029+1=AH!$U$6),TODAY(),IF(AH!$U$5=1,INDEX('Live History'!$A$5:$A$3004,AH!$U$7+1029),INDEX('AH History'!$A$5:$A$1380,AH!$U$7+1029))),""))</f>
        <v/>
      </c>
      <c r="B1034" s="33">
        <f>IFERROR(IF(AH!$U$11=1,NA(),$J1034/$E1034-1),NA())</f>
        <v/>
      </c>
      <c r="C1034" s="269">
        <f>IFERROR(100*$E1034/$E$5,NA())</f>
        <v/>
      </c>
      <c r="D1034" s="269">
        <f>IFERROR(100*$J1034/$J$5,NA())</f>
        <v/>
      </c>
      <c r="E1034" s="32">
        <f>IFERROR(IF(AND(ISNUMBER($A1034),N(IF(AND(AH!$U$12=1,1029+1=AH!$U$6),IF(AH!$U$4=0,"unavailable",INDEX('Market Data'!$AN$5:$AN$66,AH!$U$4)),IF(AH!$U$5=1,INDEX('Live History'!$B$5:$B$3004,$K1034),INDEX('AH History'!$D$5:$GG$1380,$K1034,AH!$U$10))))&gt;0),IF(AND(AH!$U$12=1,1029+1=AH!$U$6),IF(AH!$U$4=0,"unavailable",INDEX('Market Data'!$AN$5:$AN$66,AH!$U$4)),IF(AH!$U$5=1,INDEX('Live History'!$B$5:$B$3004,$K1034),INDEX('AH History'!$D$5:$GG$1380,$K1034,AH!$U$10))),NA()),NA())</f>
        <v/>
      </c>
      <c r="F1034" s="32">
        <f>IFERROR(IF(ISNUMBER($A1034),IF(AND(AH!$U$12=1,1029+1=AH!$U$6),IF(AH!$U$4=0,"unavailable",INDEX('Market Data'!$AO$5:$AO$66,AH!$U$4)),IF(AH!$U$5=1,INDEX('Live History'!$E$5:$E$3004,MATCH($A1034,'Live History'!$D$5:$D$3004,1)),INDEX('AH History'!$D$5:$GG$1380,$K1034,AH!$U$10+1))),NA()),NA())</f>
        <v/>
      </c>
      <c r="G1034" s="34">
        <f>IFERROR(IF(ISNUMBER($A1034),IF(AND(AH!$U$12=1,1029+1=AH!$U$6),IF(AH!$U$4=0,"unavailable",INDEX('Market Data'!$AK$5:$AK$66,AH!$U$4)),IF(AH!$U$5=1,INDEX('Live History'!$D$5:$D$3004,MATCH($A1034,'Live History'!$D$5:$D$3004,1)),INDEX('AH History'!$D$5:$GG$1380,$K1034,AH!$U$10+2))),NA()),NA())</f>
        <v/>
      </c>
      <c r="H1034" s="266">
        <f>IFERROR(IF(ISNUMBER($A1034),IF(AND(AH!$U$12=1,1029+1=AH!$U$6),IF(AH!$U$4=0,"unavailable",INDEX('Market Data'!$AP$5:$AP$66,AH!$U$4)),IF(AH!$U$5=1,INDEX('Live History'!$H$5:$H$3004,MATCH($A1034,'Live History'!$G$5:$G$3004,1)),INDEX('AH History'!$B$5:$B$1380,$K1034))),NA()),NA())</f>
        <v/>
      </c>
      <c r="I1034" s="34">
        <f>IFERROR(IF(ISNUMBER($A1034),IF(AND(AH!$U$12=1,1029+1=AH!$U$6),TODAY(),IF(AH!$U$5=1,INDEX('Live History'!$G$5:$G$3004,MATCH($A1034,'Live History'!$G$5:$G$3004,1)),INDEX('AH History'!$C$5:$C$1380,$K1034))),NA()),NA())</f>
        <v/>
      </c>
      <c r="J1034" s="32">
        <f>IFERROR(IF(AND($F1034&gt;0,$H1034&gt;0,$A1034-$G1034&lt;=10,$A1034-$I1034&lt;=5,$G1034&gt;0,$I1034&gt;0),$F1034*$H1034,NA()),NA())</f>
        <v/>
      </c>
      <c r="K1034" s="15">
        <f>IF($A1034="","",IF(AH!$U$5=1,IFERROR(MATCH($A1034,'Live History'!$A$5:$A$3004,0),0),AH!$U$7+1029))</f>
        <v/>
      </c>
      <c r="L1034" s="15">
        <f>IF(ISNUMBER(A1034),TEXT(A1034,"dd-mmm-yy"),"")</f>
        <v/>
      </c>
    </row>
    <row r="1035">
      <c r="A1035" s="14">
        <f>IF(OR(AH!$U$4=0,1030+1&gt;AH!$U$6,AND(AH!$M$5="Bloomberg",AH!$U$5=0)),"",IFERROR(IF(AND(AH!$U$12=1,1030+1=AH!$U$6),TODAY(),IF(AH!$U$5=1,INDEX('Live History'!$A$5:$A$3004,AH!$U$7+1030),INDEX('AH History'!$A$5:$A$1380,AH!$U$7+1030))),""))</f>
        <v/>
      </c>
      <c r="B1035" s="33">
        <f>IFERROR(IF(AH!$U$11=1,NA(),$J1035/$E1035-1),NA())</f>
        <v/>
      </c>
      <c r="C1035" s="269">
        <f>IFERROR(100*$E1035/$E$5,NA())</f>
        <v/>
      </c>
      <c r="D1035" s="269">
        <f>IFERROR(100*$J1035/$J$5,NA())</f>
        <v/>
      </c>
      <c r="E1035" s="32">
        <f>IFERROR(IF(AND(ISNUMBER($A1035),N(IF(AND(AH!$U$12=1,1030+1=AH!$U$6),IF(AH!$U$4=0,"unavailable",INDEX('Market Data'!$AN$5:$AN$66,AH!$U$4)),IF(AH!$U$5=1,INDEX('Live History'!$B$5:$B$3004,$K1035),INDEX('AH History'!$D$5:$GG$1380,$K1035,AH!$U$10))))&gt;0),IF(AND(AH!$U$12=1,1030+1=AH!$U$6),IF(AH!$U$4=0,"unavailable",INDEX('Market Data'!$AN$5:$AN$66,AH!$U$4)),IF(AH!$U$5=1,INDEX('Live History'!$B$5:$B$3004,$K1035),INDEX('AH History'!$D$5:$GG$1380,$K1035,AH!$U$10))),NA()),NA())</f>
        <v/>
      </c>
      <c r="F1035" s="32">
        <f>IFERROR(IF(ISNUMBER($A1035),IF(AND(AH!$U$12=1,1030+1=AH!$U$6),IF(AH!$U$4=0,"unavailable",INDEX('Market Data'!$AO$5:$AO$66,AH!$U$4)),IF(AH!$U$5=1,INDEX('Live History'!$E$5:$E$3004,MATCH($A1035,'Live History'!$D$5:$D$3004,1)),INDEX('AH History'!$D$5:$GG$1380,$K1035,AH!$U$10+1))),NA()),NA())</f>
        <v/>
      </c>
      <c r="G1035" s="34">
        <f>IFERROR(IF(ISNUMBER($A1035),IF(AND(AH!$U$12=1,1030+1=AH!$U$6),IF(AH!$U$4=0,"unavailable",INDEX('Market Data'!$AK$5:$AK$66,AH!$U$4)),IF(AH!$U$5=1,INDEX('Live History'!$D$5:$D$3004,MATCH($A1035,'Live History'!$D$5:$D$3004,1)),INDEX('AH History'!$D$5:$GG$1380,$K1035,AH!$U$10+2))),NA()),NA())</f>
        <v/>
      </c>
      <c r="H1035" s="266">
        <f>IFERROR(IF(ISNUMBER($A1035),IF(AND(AH!$U$12=1,1030+1=AH!$U$6),IF(AH!$U$4=0,"unavailable",INDEX('Market Data'!$AP$5:$AP$66,AH!$U$4)),IF(AH!$U$5=1,INDEX('Live History'!$H$5:$H$3004,MATCH($A1035,'Live History'!$G$5:$G$3004,1)),INDEX('AH History'!$B$5:$B$1380,$K1035))),NA()),NA())</f>
        <v/>
      </c>
      <c r="I1035" s="34">
        <f>IFERROR(IF(ISNUMBER($A1035),IF(AND(AH!$U$12=1,1030+1=AH!$U$6),TODAY(),IF(AH!$U$5=1,INDEX('Live History'!$G$5:$G$3004,MATCH($A1035,'Live History'!$G$5:$G$3004,1)),INDEX('AH History'!$C$5:$C$1380,$K1035))),NA()),NA())</f>
        <v/>
      </c>
      <c r="J1035" s="32">
        <f>IFERROR(IF(AND($F1035&gt;0,$H1035&gt;0,$A1035-$G1035&lt;=10,$A1035-$I1035&lt;=5,$G1035&gt;0,$I1035&gt;0),$F1035*$H1035,NA()),NA())</f>
        <v/>
      </c>
      <c r="K1035" s="15">
        <f>IF($A1035="","",IF(AH!$U$5=1,IFERROR(MATCH($A1035,'Live History'!$A$5:$A$3004,0),0),AH!$U$7+1030))</f>
        <v/>
      </c>
      <c r="L1035" s="15">
        <f>IF(ISNUMBER(A1035),TEXT(A1035,"dd-mmm-yy"),"")</f>
        <v/>
      </c>
    </row>
    <row r="1036">
      <c r="A1036" s="14">
        <f>IF(OR(AH!$U$4=0,1031+1&gt;AH!$U$6,AND(AH!$M$5="Bloomberg",AH!$U$5=0)),"",IFERROR(IF(AND(AH!$U$12=1,1031+1=AH!$U$6),TODAY(),IF(AH!$U$5=1,INDEX('Live History'!$A$5:$A$3004,AH!$U$7+1031),INDEX('AH History'!$A$5:$A$1380,AH!$U$7+1031))),""))</f>
        <v/>
      </c>
      <c r="B1036" s="33">
        <f>IFERROR(IF(AH!$U$11=1,NA(),$J1036/$E1036-1),NA())</f>
        <v/>
      </c>
      <c r="C1036" s="269">
        <f>IFERROR(100*$E1036/$E$5,NA())</f>
        <v/>
      </c>
      <c r="D1036" s="269">
        <f>IFERROR(100*$J1036/$J$5,NA())</f>
        <v/>
      </c>
      <c r="E1036" s="32">
        <f>IFERROR(IF(AND(ISNUMBER($A1036),N(IF(AND(AH!$U$12=1,1031+1=AH!$U$6),IF(AH!$U$4=0,"unavailable",INDEX('Market Data'!$AN$5:$AN$66,AH!$U$4)),IF(AH!$U$5=1,INDEX('Live History'!$B$5:$B$3004,$K1036),INDEX('AH History'!$D$5:$GG$1380,$K1036,AH!$U$10))))&gt;0),IF(AND(AH!$U$12=1,1031+1=AH!$U$6),IF(AH!$U$4=0,"unavailable",INDEX('Market Data'!$AN$5:$AN$66,AH!$U$4)),IF(AH!$U$5=1,INDEX('Live History'!$B$5:$B$3004,$K1036),INDEX('AH History'!$D$5:$GG$1380,$K1036,AH!$U$10))),NA()),NA())</f>
        <v/>
      </c>
      <c r="F1036" s="32">
        <f>IFERROR(IF(ISNUMBER($A1036),IF(AND(AH!$U$12=1,1031+1=AH!$U$6),IF(AH!$U$4=0,"unavailable",INDEX('Market Data'!$AO$5:$AO$66,AH!$U$4)),IF(AH!$U$5=1,INDEX('Live History'!$E$5:$E$3004,MATCH($A1036,'Live History'!$D$5:$D$3004,1)),INDEX('AH History'!$D$5:$GG$1380,$K1036,AH!$U$10+1))),NA()),NA())</f>
        <v/>
      </c>
      <c r="G1036" s="34">
        <f>IFERROR(IF(ISNUMBER($A1036),IF(AND(AH!$U$12=1,1031+1=AH!$U$6),IF(AH!$U$4=0,"unavailable",INDEX('Market Data'!$AK$5:$AK$66,AH!$U$4)),IF(AH!$U$5=1,INDEX('Live History'!$D$5:$D$3004,MATCH($A1036,'Live History'!$D$5:$D$3004,1)),INDEX('AH History'!$D$5:$GG$1380,$K1036,AH!$U$10+2))),NA()),NA())</f>
        <v/>
      </c>
      <c r="H1036" s="266">
        <f>IFERROR(IF(ISNUMBER($A1036),IF(AND(AH!$U$12=1,1031+1=AH!$U$6),IF(AH!$U$4=0,"unavailable",INDEX('Market Data'!$AP$5:$AP$66,AH!$U$4)),IF(AH!$U$5=1,INDEX('Live History'!$H$5:$H$3004,MATCH($A1036,'Live History'!$G$5:$G$3004,1)),INDEX('AH History'!$B$5:$B$1380,$K1036))),NA()),NA())</f>
        <v/>
      </c>
      <c r="I1036" s="34">
        <f>IFERROR(IF(ISNUMBER($A1036),IF(AND(AH!$U$12=1,1031+1=AH!$U$6),TODAY(),IF(AH!$U$5=1,INDEX('Live History'!$G$5:$G$3004,MATCH($A1036,'Live History'!$G$5:$G$3004,1)),INDEX('AH History'!$C$5:$C$1380,$K1036))),NA()),NA())</f>
        <v/>
      </c>
      <c r="J1036" s="32">
        <f>IFERROR(IF(AND($F1036&gt;0,$H1036&gt;0,$A1036-$G1036&lt;=10,$A1036-$I1036&lt;=5,$G1036&gt;0,$I1036&gt;0),$F1036*$H1036,NA()),NA())</f>
        <v/>
      </c>
      <c r="K1036" s="15">
        <f>IF($A1036="","",IF(AH!$U$5=1,IFERROR(MATCH($A1036,'Live History'!$A$5:$A$3004,0),0),AH!$U$7+1031))</f>
        <v/>
      </c>
      <c r="L1036" s="15">
        <f>IF(ISNUMBER(A1036),TEXT(A1036,"dd-mmm-yy"),"")</f>
        <v/>
      </c>
    </row>
    <row r="1037">
      <c r="A1037" s="14">
        <f>IF(OR(AH!$U$4=0,1032+1&gt;AH!$U$6,AND(AH!$M$5="Bloomberg",AH!$U$5=0)),"",IFERROR(IF(AND(AH!$U$12=1,1032+1=AH!$U$6),TODAY(),IF(AH!$U$5=1,INDEX('Live History'!$A$5:$A$3004,AH!$U$7+1032),INDEX('AH History'!$A$5:$A$1380,AH!$U$7+1032))),""))</f>
        <v/>
      </c>
      <c r="B1037" s="33">
        <f>IFERROR(IF(AH!$U$11=1,NA(),$J1037/$E1037-1),NA())</f>
        <v/>
      </c>
      <c r="C1037" s="269">
        <f>IFERROR(100*$E1037/$E$5,NA())</f>
        <v/>
      </c>
      <c r="D1037" s="269">
        <f>IFERROR(100*$J1037/$J$5,NA())</f>
        <v/>
      </c>
      <c r="E1037" s="32">
        <f>IFERROR(IF(AND(ISNUMBER($A1037),N(IF(AND(AH!$U$12=1,1032+1=AH!$U$6),IF(AH!$U$4=0,"unavailable",INDEX('Market Data'!$AN$5:$AN$66,AH!$U$4)),IF(AH!$U$5=1,INDEX('Live History'!$B$5:$B$3004,$K1037),INDEX('AH History'!$D$5:$GG$1380,$K1037,AH!$U$10))))&gt;0),IF(AND(AH!$U$12=1,1032+1=AH!$U$6),IF(AH!$U$4=0,"unavailable",INDEX('Market Data'!$AN$5:$AN$66,AH!$U$4)),IF(AH!$U$5=1,INDEX('Live History'!$B$5:$B$3004,$K1037),INDEX('AH History'!$D$5:$GG$1380,$K1037,AH!$U$10))),NA()),NA())</f>
        <v/>
      </c>
      <c r="F1037" s="32">
        <f>IFERROR(IF(ISNUMBER($A1037),IF(AND(AH!$U$12=1,1032+1=AH!$U$6),IF(AH!$U$4=0,"unavailable",INDEX('Market Data'!$AO$5:$AO$66,AH!$U$4)),IF(AH!$U$5=1,INDEX('Live History'!$E$5:$E$3004,MATCH($A1037,'Live History'!$D$5:$D$3004,1)),INDEX('AH History'!$D$5:$GG$1380,$K1037,AH!$U$10+1))),NA()),NA())</f>
        <v/>
      </c>
      <c r="G1037" s="34">
        <f>IFERROR(IF(ISNUMBER($A1037),IF(AND(AH!$U$12=1,1032+1=AH!$U$6),IF(AH!$U$4=0,"unavailable",INDEX('Market Data'!$AK$5:$AK$66,AH!$U$4)),IF(AH!$U$5=1,INDEX('Live History'!$D$5:$D$3004,MATCH($A1037,'Live History'!$D$5:$D$3004,1)),INDEX('AH History'!$D$5:$GG$1380,$K1037,AH!$U$10+2))),NA()),NA())</f>
        <v/>
      </c>
      <c r="H1037" s="266">
        <f>IFERROR(IF(ISNUMBER($A1037),IF(AND(AH!$U$12=1,1032+1=AH!$U$6),IF(AH!$U$4=0,"unavailable",INDEX('Market Data'!$AP$5:$AP$66,AH!$U$4)),IF(AH!$U$5=1,INDEX('Live History'!$H$5:$H$3004,MATCH($A1037,'Live History'!$G$5:$G$3004,1)),INDEX('AH History'!$B$5:$B$1380,$K1037))),NA()),NA())</f>
        <v/>
      </c>
      <c r="I1037" s="34">
        <f>IFERROR(IF(ISNUMBER($A1037),IF(AND(AH!$U$12=1,1032+1=AH!$U$6),TODAY(),IF(AH!$U$5=1,INDEX('Live History'!$G$5:$G$3004,MATCH($A1037,'Live History'!$G$5:$G$3004,1)),INDEX('AH History'!$C$5:$C$1380,$K1037))),NA()),NA())</f>
        <v/>
      </c>
      <c r="J1037" s="32">
        <f>IFERROR(IF(AND($F1037&gt;0,$H1037&gt;0,$A1037-$G1037&lt;=10,$A1037-$I1037&lt;=5,$G1037&gt;0,$I1037&gt;0),$F1037*$H1037,NA()),NA())</f>
        <v/>
      </c>
      <c r="K1037" s="15">
        <f>IF($A1037="","",IF(AH!$U$5=1,IFERROR(MATCH($A1037,'Live History'!$A$5:$A$3004,0),0),AH!$U$7+1032))</f>
        <v/>
      </c>
      <c r="L1037" s="15">
        <f>IF(ISNUMBER(A1037),TEXT(A1037,"dd-mmm-yy"),"")</f>
        <v/>
      </c>
    </row>
    <row r="1038">
      <c r="A1038" s="14">
        <f>IF(OR(AH!$U$4=0,1033+1&gt;AH!$U$6,AND(AH!$M$5="Bloomberg",AH!$U$5=0)),"",IFERROR(IF(AND(AH!$U$12=1,1033+1=AH!$U$6),TODAY(),IF(AH!$U$5=1,INDEX('Live History'!$A$5:$A$3004,AH!$U$7+1033),INDEX('AH History'!$A$5:$A$1380,AH!$U$7+1033))),""))</f>
        <v/>
      </c>
      <c r="B1038" s="33">
        <f>IFERROR(IF(AH!$U$11=1,NA(),$J1038/$E1038-1),NA())</f>
        <v/>
      </c>
      <c r="C1038" s="269">
        <f>IFERROR(100*$E1038/$E$5,NA())</f>
        <v/>
      </c>
      <c r="D1038" s="269">
        <f>IFERROR(100*$J1038/$J$5,NA())</f>
        <v/>
      </c>
      <c r="E1038" s="32">
        <f>IFERROR(IF(AND(ISNUMBER($A1038),N(IF(AND(AH!$U$12=1,1033+1=AH!$U$6),IF(AH!$U$4=0,"unavailable",INDEX('Market Data'!$AN$5:$AN$66,AH!$U$4)),IF(AH!$U$5=1,INDEX('Live History'!$B$5:$B$3004,$K1038),INDEX('AH History'!$D$5:$GG$1380,$K1038,AH!$U$10))))&gt;0),IF(AND(AH!$U$12=1,1033+1=AH!$U$6),IF(AH!$U$4=0,"unavailable",INDEX('Market Data'!$AN$5:$AN$66,AH!$U$4)),IF(AH!$U$5=1,INDEX('Live History'!$B$5:$B$3004,$K1038),INDEX('AH History'!$D$5:$GG$1380,$K1038,AH!$U$10))),NA()),NA())</f>
        <v/>
      </c>
      <c r="F1038" s="32">
        <f>IFERROR(IF(ISNUMBER($A1038),IF(AND(AH!$U$12=1,1033+1=AH!$U$6),IF(AH!$U$4=0,"unavailable",INDEX('Market Data'!$AO$5:$AO$66,AH!$U$4)),IF(AH!$U$5=1,INDEX('Live History'!$E$5:$E$3004,MATCH($A1038,'Live History'!$D$5:$D$3004,1)),INDEX('AH History'!$D$5:$GG$1380,$K1038,AH!$U$10+1))),NA()),NA())</f>
        <v/>
      </c>
      <c r="G1038" s="34">
        <f>IFERROR(IF(ISNUMBER($A1038),IF(AND(AH!$U$12=1,1033+1=AH!$U$6),IF(AH!$U$4=0,"unavailable",INDEX('Market Data'!$AK$5:$AK$66,AH!$U$4)),IF(AH!$U$5=1,INDEX('Live History'!$D$5:$D$3004,MATCH($A1038,'Live History'!$D$5:$D$3004,1)),INDEX('AH History'!$D$5:$GG$1380,$K1038,AH!$U$10+2))),NA()),NA())</f>
        <v/>
      </c>
      <c r="H1038" s="266">
        <f>IFERROR(IF(ISNUMBER($A1038),IF(AND(AH!$U$12=1,1033+1=AH!$U$6),IF(AH!$U$4=0,"unavailable",INDEX('Market Data'!$AP$5:$AP$66,AH!$U$4)),IF(AH!$U$5=1,INDEX('Live History'!$H$5:$H$3004,MATCH($A1038,'Live History'!$G$5:$G$3004,1)),INDEX('AH History'!$B$5:$B$1380,$K1038))),NA()),NA())</f>
        <v/>
      </c>
      <c r="I1038" s="34">
        <f>IFERROR(IF(ISNUMBER($A1038),IF(AND(AH!$U$12=1,1033+1=AH!$U$6),TODAY(),IF(AH!$U$5=1,INDEX('Live History'!$G$5:$G$3004,MATCH($A1038,'Live History'!$G$5:$G$3004,1)),INDEX('AH History'!$C$5:$C$1380,$K1038))),NA()),NA())</f>
        <v/>
      </c>
      <c r="J1038" s="32">
        <f>IFERROR(IF(AND($F1038&gt;0,$H1038&gt;0,$A1038-$G1038&lt;=10,$A1038-$I1038&lt;=5,$G1038&gt;0,$I1038&gt;0),$F1038*$H1038,NA()),NA())</f>
        <v/>
      </c>
      <c r="K1038" s="15">
        <f>IF($A1038="","",IF(AH!$U$5=1,IFERROR(MATCH($A1038,'Live History'!$A$5:$A$3004,0),0),AH!$U$7+1033))</f>
        <v/>
      </c>
      <c r="L1038" s="15">
        <f>IF(ISNUMBER(A1038),TEXT(A1038,"dd-mmm-yy"),"")</f>
        <v/>
      </c>
    </row>
    <row r="1039">
      <c r="A1039" s="14">
        <f>IF(OR(AH!$U$4=0,1034+1&gt;AH!$U$6,AND(AH!$M$5="Bloomberg",AH!$U$5=0)),"",IFERROR(IF(AND(AH!$U$12=1,1034+1=AH!$U$6),TODAY(),IF(AH!$U$5=1,INDEX('Live History'!$A$5:$A$3004,AH!$U$7+1034),INDEX('AH History'!$A$5:$A$1380,AH!$U$7+1034))),""))</f>
        <v/>
      </c>
      <c r="B1039" s="33">
        <f>IFERROR(IF(AH!$U$11=1,NA(),$J1039/$E1039-1),NA())</f>
        <v/>
      </c>
      <c r="C1039" s="269">
        <f>IFERROR(100*$E1039/$E$5,NA())</f>
        <v/>
      </c>
      <c r="D1039" s="269">
        <f>IFERROR(100*$J1039/$J$5,NA())</f>
        <v/>
      </c>
      <c r="E1039" s="32">
        <f>IFERROR(IF(AND(ISNUMBER($A1039),N(IF(AND(AH!$U$12=1,1034+1=AH!$U$6),IF(AH!$U$4=0,"unavailable",INDEX('Market Data'!$AN$5:$AN$66,AH!$U$4)),IF(AH!$U$5=1,INDEX('Live History'!$B$5:$B$3004,$K1039),INDEX('AH History'!$D$5:$GG$1380,$K1039,AH!$U$10))))&gt;0),IF(AND(AH!$U$12=1,1034+1=AH!$U$6),IF(AH!$U$4=0,"unavailable",INDEX('Market Data'!$AN$5:$AN$66,AH!$U$4)),IF(AH!$U$5=1,INDEX('Live History'!$B$5:$B$3004,$K1039),INDEX('AH History'!$D$5:$GG$1380,$K1039,AH!$U$10))),NA()),NA())</f>
        <v/>
      </c>
      <c r="F1039" s="32">
        <f>IFERROR(IF(ISNUMBER($A1039),IF(AND(AH!$U$12=1,1034+1=AH!$U$6),IF(AH!$U$4=0,"unavailable",INDEX('Market Data'!$AO$5:$AO$66,AH!$U$4)),IF(AH!$U$5=1,INDEX('Live History'!$E$5:$E$3004,MATCH($A1039,'Live History'!$D$5:$D$3004,1)),INDEX('AH History'!$D$5:$GG$1380,$K1039,AH!$U$10+1))),NA()),NA())</f>
        <v/>
      </c>
      <c r="G1039" s="34">
        <f>IFERROR(IF(ISNUMBER($A1039),IF(AND(AH!$U$12=1,1034+1=AH!$U$6),IF(AH!$U$4=0,"unavailable",INDEX('Market Data'!$AK$5:$AK$66,AH!$U$4)),IF(AH!$U$5=1,INDEX('Live History'!$D$5:$D$3004,MATCH($A1039,'Live History'!$D$5:$D$3004,1)),INDEX('AH History'!$D$5:$GG$1380,$K1039,AH!$U$10+2))),NA()),NA())</f>
        <v/>
      </c>
      <c r="H1039" s="266">
        <f>IFERROR(IF(ISNUMBER($A1039),IF(AND(AH!$U$12=1,1034+1=AH!$U$6),IF(AH!$U$4=0,"unavailable",INDEX('Market Data'!$AP$5:$AP$66,AH!$U$4)),IF(AH!$U$5=1,INDEX('Live History'!$H$5:$H$3004,MATCH($A1039,'Live History'!$G$5:$G$3004,1)),INDEX('AH History'!$B$5:$B$1380,$K1039))),NA()),NA())</f>
        <v/>
      </c>
      <c r="I1039" s="34">
        <f>IFERROR(IF(ISNUMBER($A1039),IF(AND(AH!$U$12=1,1034+1=AH!$U$6),TODAY(),IF(AH!$U$5=1,INDEX('Live History'!$G$5:$G$3004,MATCH($A1039,'Live History'!$G$5:$G$3004,1)),INDEX('AH History'!$C$5:$C$1380,$K1039))),NA()),NA())</f>
        <v/>
      </c>
      <c r="J1039" s="32">
        <f>IFERROR(IF(AND($F1039&gt;0,$H1039&gt;0,$A1039-$G1039&lt;=10,$A1039-$I1039&lt;=5,$G1039&gt;0,$I1039&gt;0),$F1039*$H1039,NA()),NA())</f>
        <v/>
      </c>
      <c r="K1039" s="15">
        <f>IF($A1039="","",IF(AH!$U$5=1,IFERROR(MATCH($A1039,'Live History'!$A$5:$A$3004,0),0),AH!$U$7+1034))</f>
        <v/>
      </c>
      <c r="L1039" s="15">
        <f>IF(ISNUMBER(A1039),TEXT(A1039,"dd-mmm-yy"),"")</f>
        <v/>
      </c>
    </row>
    <row r="1040">
      <c r="A1040" s="14">
        <f>IF(OR(AH!$U$4=0,1035+1&gt;AH!$U$6,AND(AH!$M$5="Bloomberg",AH!$U$5=0)),"",IFERROR(IF(AND(AH!$U$12=1,1035+1=AH!$U$6),TODAY(),IF(AH!$U$5=1,INDEX('Live History'!$A$5:$A$3004,AH!$U$7+1035),INDEX('AH History'!$A$5:$A$1380,AH!$U$7+1035))),""))</f>
        <v/>
      </c>
      <c r="B1040" s="33">
        <f>IFERROR(IF(AH!$U$11=1,NA(),$J1040/$E1040-1),NA())</f>
        <v/>
      </c>
      <c r="C1040" s="269">
        <f>IFERROR(100*$E1040/$E$5,NA())</f>
        <v/>
      </c>
      <c r="D1040" s="269">
        <f>IFERROR(100*$J1040/$J$5,NA())</f>
        <v/>
      </c>
      <c r="E1040" s="32">
        <f>IFERROR(IF(AND(ISNUMBER($A1040),N(IF(AND(AH!$U$12=1,1035+1=AH!$U$6),IF(AH!$U$4=0,"unavailable",INDEX('Market Data'!$AN$5:$AN$66,AH!$U$4)),IF(AH!$U$5=1,INDEX('Live History'!$B$5:$B$3004,$K1040),INDEX('AH History'!$D$5:$GG$1380,$K1040,AH!$U$10))))&gt;0),IF(AND(AH!$U$12=1,1035+1=AH!$U$6),IF(AH!$U$4=0,"unavailable",INDEX('Market Data'!$AN$5:$AN$66,AH!$U$4)),IF(AH!$U$5=1,INDEX('Live History'!$B$5:$B$3004,$K1040),INDEX('AH History'!$D$5:$GG$1380,$K1040,AH!$U$10))),NA()),NA())</f>
        <v/>
      </c>
      <c r="F1040" s="32">
        <f>IFERROR(IF(ISNUMBER($A1040),IF(AND(AH!$U$12=1,1035+1=AH!$U$6),IF(AH!$U$4=0,"unavailable",INDEX('Market Data'!$AO$5:$AO$66,AH!$U$4)),IF(AH!$U$5=1,INDEX('Live History'!$E$5:$E$3004,MATCH($A1040,'Live History'!$D$5:$D$3004,1)),INDEX('AH History'!$D$5:$GG$1380,$K1040,AH!$U$10+1))),NA()),NA())</f>
        <v/>
      </c>
      <c r="G1040" s="34">
        <f>IFERROR(IF(ISNUMBER($A1040),IF(AND(AH!$U$12=1,1035+1=AH!$U$6),IF(AH!$U$4=0,"unavailable",INDEX('Market Data'!$AK$5:$AK$66,AH!$U$4)),IF(AH!$U$5=1,INDEX('Live History'!$D$5:$D$3004,MATCH($A1040,'Live History'!$D$5:$D$3004,1)),INDEX('AH History'!$D$5:$GG$1380,$K1040,AH!$U$10+2))),NA()),NA())</f>
        <v/>
      </c>
      <c r="H1040" s="266">
        <f>IFERROR(IF(ISNUMBER($A1040),IF(AND(AH!$U$12=1,1035+1=AH!$U$6),IF(AH!$U$4=0,"unavailable",INDEX('Market Data'!$AP$5:$AP$66,AH!$U$4)),IF(AH!$U$5=1,INDEX('Live History'!$H$5:$H$3004,MATCH($A1040,'Live History'!$G$5:$G$3004,1)),INDEX('AH History'!$B$5:$B$1380,$K1040))),NA()),NA())</f>
        <v/>
      </c>
      <c r="I1040" s="34">
        <f>IFERROR(IF(ISNUMBER($A1040),IF(AND(AH!$U$12=1,1035+1=AH!$U$6),TODAY(),IF(AH!$U$5=1,INDEX('Live History'!$G$5:$G$3004,MATCH($A1040,'Live History'!$G$5:$G$3004,1)),INDEX('AH History'!$C$5:$C$1380,$K1040))),NA()),NA())</f>
        <v/>
      </c>
      <c r="J1040" s="32">
        <f>IFERROR(IF(AND($F1040&gt;0,$H1040&gt;0,$A1040-$G1040&lt;=10,$A1040-$I1040&lt;=5,$G1040&gt;0,$I1040&gt;0),$F1040*$H1040,NA()),NA())</f>
        <v/>
      </c>
      <c r="K1040" s="15">
        <f>IF($A1040="","",IF(AH!$U$5=1,IFERROR(MATCH($A1040,'Live History'!$A$5:$A$3004,0),0),AH!$U$7+1035))</f>
        <v/>
      </c>
      <c r="L1040" s="15">
        <f>IF(ISNUMBER(A1040),TEXT(A1040,"dd-mmm-yy"),"")</f>
        <v/>
      </c>
    </row>
    <row r="1041">
      <c r="A1041" s="14">
        <f>IF(OR(AH!$U$4=0,1036+1&gt;AH!$U$6,AND(AH!$M$5="Bloomberg",AH!$U$5=0)),"",IFERROR(IF(AND(AH!$U$12=1,1036+1=AH!$U$6),TODAY(),IF(AH!$U$5=1,INDEX('Live History'!$A$5:$A$3004,AH!$U$7+1036),INDEX('AH History'!$A$5:$A$1380,AH!$U$7+1036))),""))</f>
        <v/>
      </c>
      <c r="B1041" s="33">
        <f>IFERROR(IF(AH!$U$11=1,NA(),$J1041/$E1041-1),NA())</f>
        <v/>
      </c>
      <c r="C1041" s="269">
        <f>IFERROR(100*$E1041/$E$5,NA())</f>
        <v/>
      </c>
      <c r="D1041" s="269">
        <f>IFERROR(100*$J1041/$J$5,NA())</f>
        <v/>
      </c>
      <c r="E1041" s="32">
        <f>IFERROR(IF(AND(ISNUMBER($A1041),N(IF(AND(AH!$U$12=1,1036+1=AH!$U$6),IF(AH!$U$4=0,"unavailable",INDEX('Market Data'!$AN$5:$AN$66,AH!$U$4)),IF(AH!$U$5=1,INDEX('Live History'!$B$5:$B$3004,$K1041),INDEX('AH History'!$D$5:$GG$1380,$K1041,AH!$U$10))))&gt;0),IF(AND(AH!$U$12=1,1036+1=AH!$U$6),IF(AH!$U$4=0,"unavailable",INDEX('Market Data'!$AN$5:$AN$66,AH!$U$4)),IF(AH!$U$5=1,INDEX('Live History'!$B$5:$B$3004,$K1041),INDEX('AH History'!$D$5:$GG$1380,$K1041,AH!$U$10))),NA()),NA())</f>
        <v/>
      </c>
      <c r="F1041" s="32">
        <f>IFERROR(IF(ISNUMBER($A1041),IF(AND(AH!$U$12=1,1036+1=AH!$U$6),IF(AH!$U$4=0,"unavailable",INDEX('Market Data'!$AO$5:$AO$66,AH!$U$4)),IF(AH!$U$5=1,INDEX('Live History'!$E$5:$E$3004,MATCH($A1041,'Live History'!$D$5:$D$3004,1)),INDEX('AH History'!$D$5:$GG$1380,$K1041,AH!$U$10+1))),NA()),NA())</f>
        <v/>
      </c>
      <c r="G1041" s="34">
        <f>IFERROR(IF(ISNUMBER($A1041),IF(AND(AH!$U$12=1,1036+1=AH!$U$6),IF(AH!$U$4=0,"unavailable",INDEX('Market Data'!$AK$5:$AK$66,AH!$U$4)),IF(AH!$U$5=1,INDEX('Live History'!$D$5:$D$3004,MATCH($A1041,'Live History'!$D$5:$D$3004,1)),INDEX('AH History'!$D$5:$GG$1380,$K1041,AH!$U$10+2))),NA()),NA())</f>
        <v/>
      </c>
      <c r="H1041" s="266">
        <f>IFERROR(IF(ISNUMBER($A1041),IF(AND(AH!$U$12=1,1036+1=AH!$U$6),IF(AH!$U$4=0,"unavailable",INDEX('Market Data'!$AP$5:$AP$66,AH!$U$4)),IF(AH!$U$5=1,INDEX('Live History'!$H$5:$H$3004,MATCH($A1041,'Live History'!$G$5:$G$3004,1)),INDEX('AH History'!$B$5:$B$1380,$K1041))),NA()),NA())</f>
        <v/>
      </c>
      <c r="I1041" s="34">
        <f>IFERROR(IF(ISNUMBER($A1041),IF(AND(AH!$U$12=1,1036+1=AH!$U$6),TODAY(),IF(AH!$U$5=1,INDEX('Live History'!$G$5:$G$3004,MATCH($A1041,'Live History'!$G$5:$G$3004,1)),INDEX('AH History'!$C$5:$C$1380,$K1041))),NA()),NA())</f>
        <v/>
      </c>
      <c r="J1041" s="32">
        <f>IFERROR(IF(AND($F1041&gt;0,$H1041&gt;0,$A1041-$G1041&lt;=10,$A1041-$I1041&lt;=5,$G1041&gt;0,$I1041&gt;0),$F1041*$H1041,NA()),NA())</f>
        <v/>
      </c>
      <c r="K1041" s="15">
        <f>IF($A1041="","",IF(AH!$U$5=1,IFERROR(MATCH($A1041,'Live History'!$A$5:$A$3004,0),0),AH!$U$7+1036))</f>
        <v/>
      </c>
      <c r="L1041" s="15">
        <f>IF(ISNUMBER(A1041),TEXT(A1041,"dd-mmm-yy"),"")</f>
        <v/>
      </c>
    </row>
    <row r="1042">
      <c r="A1042" s="14">
        <f>IF(OR(AH!$U$4=0,1037+1&gt;AH!$U$6,AND(AH!$M$5="Bloomberg",AH!$U$5=0)),"",IFERROR(IF(AND(AH!$U$12=1,1037+1=AH!$U$6),TODAY(),IF(AH!$U$5=1,INDEX('Live History'!$A$5:$A$3004,AH!$U$7+1037),INDEX('AH History'!$A$5:$A$1380,AH!$U$7+1037))),""))</f>
        <v/>
      </c>
      <c r="B1042" s="33">
        <f>IFERROR(IF(AH!$U$11=1,NA(),$J1042/$E1042-1),NA())</f>
        <v/>
      </c>
      <c r="C1042" s="269">
        <f>IFERROR(100*$E1042/$E$5,NA())</f>
        <v/>
      </c>
      <c r="D1042" s="269">
        <f>IFERROR(100*$J1042/$J$5,NA())</f>
        <v/>
      </c>
      <c r="E1042" s="32">
        <f>IFERROR(IF(AND(ISNUMBER($A1042),N(IF(AND(AH!$U$12=1,1037+1=AH!$U$6),IF(AH!$U$4=0,"unavailable",INDEX('Market Data'!$AN$5:$AN$66,AH!$U$4)),IF(AH!$U$5=1,INDEX('Live History'!$B$5:$B$3004,$K1042),INDEX('AH History'!$D$5:$GG$1380,$K1042,AH!$U$10))))&gt;0),IF(AND(AH!$U$12=1,1037+1=AH!$U$6),IF(AH!$U$4=0,"unavailable",INDEX('Market Data'!$AN$5:$AN$66,AH!$U$4)),IF(AH!$U$5=1,INDEX('Live History'!$B$5:$B$3004,$K1042),INDEX('AH History'!$D$5:$GG$1380,$K1042,AH!$U$10))),NA()),NA())</f>
        <v/>
      </c>
      <c r="F1042" s="32">
        <f>IFERROR(IF(ISNUMBER($A1042),IF(AND(AH!$U$12=1,1037+1=AH!$U$6),IF(AH!$U$4=0,"unavailable",INDEX('Market Data'!$AO$5:$AO$66,AH!$U$4)),IF(AH!$U$5=1,INDEX('Live History'!$E$5:$E$3004,MATCH($A1042,'Live History'!$D$5:$D$3004,1)),INDEX('AH History'!$D$5:$GG$1380,$K1042,AH!$U$10+1))),NA()),NA())</f>
        <v/>
      </c>
      <c r="G1042" s="34">
        <f>IFERROR(IF(ISNUMBER($A1042),IF(AND(AH!$U$12=1,1037+1=AH!$U$6),IF(AH!$U$4=0,"unavailable",INDEX('Market Data'!$AK$5:$AK$66,AH!$U$4)),IF(AH!$U$5=1,INDEX('Live History'!$D$5:$D$3004,MATCH($A1042,'Live History'!$D$5:$D$3004,1)),INDEX('AH History'!$D$5:$GG$1380,$K1042,AH!$U$10+2))),NA()),NA())</f>
        <v/>
      </c>
      <c r="H1042" s="266">
        <f>IFERROR(IF(ISNUMBER($A1042),IF(AND(AH!$U$12=1,1037+1=AH!$U$6),IF(AH!$U$4=0,"unavailable",INDEX('Market Data'!$AP$5:$AP$66,AH!$U$4)),IF(AH!$U$5=1,INDEX('Live History'!$H$5:$H$3004,MATCH($A1042,'Live History'!$G$5:$G$3004,1)),INDEX('AH History'!$B$5:$B$1380,$K1042))),NA()),NA())</f>
        <v/>
      </c>
      <c r="I1042" s="34">
        <f>IFERROR(IF(ISNUMBER($A1042),IF(AND(AH!$U$12=1,1037+1=AH!$U$6),TODAY(),IF(AH!$U$5=1,INDEX('Live History'!$G$5:$G$3004,MATCH($A1042,'Live History'!$G$5:$G$3004,1)),INDEX('AH History'!$C$5:$C$1380,$K1042))),NA()),NA())</f>
        <v/>
      </c>
      <c r="J1042" s="32">
        <f>IFERROR(IF(AND($F1042&gt;0,$H1042&gt;0,$A1042-$G1042&lt;=10,$A1042-$I1042&lt;=5,$G1042&gt;0,$I1042&gt;0),$F1042*$H1042,NA()),NA())</f>
        <v/>
      </c>
      <c r="K1042" s="15">
        <f>IF($A1042="","",IF(AH!$U$5=1,IFERROR(MATCH($A1042,'Live History'!$A$5:$A$3004,0),0),AH!$U$7+1037))</f>
        <v/>
      </c>
      <c r="L1042" s="15">
        <f>IF(ISNUMBER(A1042),TEXT(A1042,"dd-mmm-yy"),"")</f>
        <v/>
      </c>
    </row>
    <row r="1043">
      <c r="A1043" s="14">
        <f>IF(OR(AH!$U$4=0,1038+1&gt;AH!$U$6,AND(AH!$M$5="Bloomberg",AH!$U$5=0)),"",IFERROR(IF(AND(AH!$U$12=1,1038+1=AH!$U$6),TODAY(),IF(AH!$U$5=1,INDEX('Live History'!$A$5:$A$3004,AH!$U$7+1038),INDEX('AH History'!$A$5:$A$1380,AH!$U$7+1038))),""))</f>
        <v/>
      </c>
      <c r="B1043" s="33">
        <f>IFERROR(IF(AH!$U$11=1,NA(),$J1043/$E1043-1),NA())</f>
        <v/>
      </c>
      <c r="C1043" s="269">
        <f>IFERROR(100*$E1043/$E$5,NA())</f>
        <v/>
      </c>
      <c r="D1043" s="269">
        <f>IFERROR(100*$J1043/$J$5,NA())</f>
        <v/>
      </c>
      <c r="E1043" s="32">
        <f>IFERROR(IF(AND(ISNUMBER($A1043),N(IF(AND(AH!$U$12=1,1038+1=AH!$U$6),IF(AH!$U$4=0,"unavailable",INDEX('Market Data'!$AN$5:$AN$66,AH!$U$4)),IF(AH!$U$5=1,INDEX('Live History'!$B$5:$B$3004,$K1043),INDEX('AH History'!$D$5:$GG$1380,$K1043,AH!$U$10))))&gt;0),IF(AND(AH!$U$12=1,1038+1=AH!$U$6),IF(AH!$U$4=0,"unavailable",INDEX('Market Data'!$AN$5:$AN$66,AH!$U$4)),IF(AH!$U$5=1,INDEX('Live History'!$B$5:$B$3004,$K1043),INDEX('AH History'!$D$5:$GG$1380,$K1043,AH!$U$10))),NA()),NA())</f>
        <v/>
      </c>
      <c r="F1043" s="32">
        <f>IFERROR(IF(ISNUMBER($A1043),IF(AND(AH!$U$12=1,1038+1=AH!$U$6),IF(AH!$U$4=0,"unavailable",INDEX('Market Data'!$AO$5:$AO$66,AH!$U$4)),IF(AH!$U$5=1,INDEX('Live History'!$E$5:$E$3004,MATCH($A1043,'Live History'!$D$5:$D$3004,1)),INDEX('AH History'!$D$5:$GG$1380,$K1043,AH!$U$10+1))),NA()),NA())</f>
        <v/>
      </c>
      <c r="G1043" s="34">
        <f>IFERROR(IF(ISNUMBER($A1043),IF(AND(AH!$U$12=1,1038+1=AH!$U$6),IF(AH!$U$4=0,"unavailable",INDEX('Market Data'!$AK$5:$AK$66,AH!$U$4)),IF(AH!$U$5=1,INDEX('Live History'!$D$5:$D$3004,MATCH($A1043,'Live History'!$D$5:$D$3004,1)),INDEX('AH History'!$D$5:$GG$1380,$K1043,AH!$U$10+2))),NA()),NA())</f>
        <v/>
      </c>
      <c r="H1043" s="266">
        <f>IFERROR(IF(ISNUMBER($A1043),IF(AND(AH!$U$12=1,1038+1=AH!$U$6),IF(AH!$U$4=0,"unavailable",INDEX('Market Data'!$AP$5:$AP$66,AH!$U$4)),IF(AH!$U$5=1,INDEX('Live History'!$H$5:$H$3004,MATCH($A1043,'Live History'!$G$5:$G$3004,1)),INDEX('AH History'!$B$5:$B$1380,$K1043))),NA()),NA())</f>
        <v/>
      </c>
      <c r="I1043" s="34">
        <f>IFERROR(IF(ISNUMBER($A1043),IF(AND(AH!$U$12=1,1038+1=AH!$U$6),TODAY(),IF(AH!$U$5=1,INDEX('Live History'!$G$5:$G$3004,MATCH($A1043,'Live History'!$G$5:$G$3004,1)),INDEX('AH History'!$C$5:$C$1380,$K1043))),NA()),NA())</f>
        <v/>
      </c>
      <c r="J1043" s="32">
        <f>IFERROR(IF(AND($F1043&gt;0,$H1043&gt;0,$A1043-$G1043&lt;=10,$A1043-$I1043&lt;=5,$G1043&gt;0,$I1043&gt;0),$F1043*$H1043,NA()),NA())</f>
        <v/>
      </c>
      <c r="K1043" s="15">
        <f>IF($A1043="","",IF(AH!$U$5=1,IFERROR(MATCH($A1043,'Live History'!$A$5:$A$3004,0),0),AH!$U$7+1038))</f>
        <v/>
      </c>
      <c r="L1043" s="15">
        <f>IF(ISNUMBER(A1043),TEXT(A1043,"dd-mmm-yy"),"")</f>
        <v/>
      </c>
    </row>
    <row r="1044">
      <c r="A1044" s="14">
        <f>IF(OR(AH!$U$4=0,1039+1&gt;AH!$U$6,AND(AH!$M$5="Bloomberg",AH!$U$5=0)),"",IFERROR(IF(AND(AH!$U$12=1,1039+1=AH!$U$6),TODAY(),IF(AH!$U$5=1,INDEX('Live History'!$A$5:$A$3004,AH!$U$7+1039),INDEX('AH History'!$A$5:$A$1380,AH!$U$7+1039))),""))</f>
        <v/>
      </c>
      <c r="B1044" s="33">
        <f>IFERROR(IF(AH!$U$11=1,NA(),$J1044/$E1044-1),NA())</f>
        <v/>
      </c>
      <c r="C1044" s="269">
        <f>IFERROR(100*$E1044/$E$5,NA())</f>
        <v/>
      </c>
      <c r="D1044" s="269">
        <f>IFERROR(100*$J1044/$J$5,NA())</f>
        <v/>
      </c>
      <c r="E1044" s="32">
        <f>IFERROR(IF(AND(ISNUMBER($A1044),N(IF(AND(AH!$U$12=1,1039+1=AH!$U$6),IF(AH!$U$4=0,"unavailable",INDEX('Market Data'!$AN$5:$AN$66,AH!$U$4)),IF(AH!$U$5=1,INDEX('Live History'!$B$5:$B$3004,$K1044),INDEX('AH History'!$D$5:$GG$1380,$K1044,AH!$U$10))))&gt;0),IF(AND(AH!$U$12=1,1039+1=AH!$U$6),IF(AH!$U$4=0,"unavailable",INDEX('Market Data'!$AN$5:$AN$66,AH!$U$4)),IF(AH!$U$5=1,INDEX('Live History'!$B$5:$B$3004,$K1044),INDEX('AH History'!$D$5:$GG$1380,$K1044,AH!$U$10))),NA()),NA())</f>
        <v/>
      </c>
      <c r="F1044" s="32">
        <f>IFERROR(IF(ISNUMBER($A1044),IF(AND(AH!$U$12=1,1039+1=AH!$U$6),IF(AH!$U$4=0,"unavailable",INDEX('Market Data'!$AO$5:$AO$66,AH!$U$4)),IF(AH!$U$5=1,INDEX('Live History'!$E$5:$E$3004,MATCH($A1044,'Live History'!$D$5:$D$3004,1)),INDEX('AH History'!$D$5:$GG$1380,$K1044,AH!$U$10+1))),NA()),NA())</f>
        <v/>
      </c>
      <c r="G1044" s="34">
        <f>IFERROR(IF(ISNUMBER($A1044),IF(AND(AH!$U$12=1,1039+1=AH!$U$6),IF(AH!$U$4=0,"unavailable",INDEX('Market Data'!$AK$5:$AK$66,AH!$U$4)),IF(AH!$U$5=1,INDEX('Live History'!$D$5:$D$3004,MATCH($A1044,'Live History'!$D$5:$D$3004,1)),INDEX('AH History'!$D$5:$GG$1380,$K1044,AH!$U$10+2))),NA()),NA())</f>
        <v/>
      </c>
      <c r="H1044" s="266">
        <f>IFERROR(IF(ISNUMBER($A1044),IF(AND(AH!$U$12=1,1039+1=AH!$U$6),IF(AH!$U$4=0,"unavailable",INDEX('Market Data'!$AP$5:$AP$66,AH!$U$4)),IF(AH!$U$5=1,INDEX('Live History'!$H$5:$H$3004,MATCH($A1044,'Live History'!$G$5:$G$3004,1)),INDEX('AH History'!$B$5:$B$1380,$K1044))),NA()),NA())</f>
        <v/>
      </c>
      <c r="I1044" s="34">
        <f>IFERROR(IF(ISNUMBER($A1044),IF(AND(AH!$U$12=1,1039+1=AH!$U$6),TODAY(),IF(AH!$U$5=1,INDEX('Live History'!$G$5:$G$3004,MATCH($A1044,'Live History'!$G$5:$G$3004,1)),INDEX('AH History'!$C$5:$C$1380,$K1044))),NA()),NA())</f>
        <v/>
      </c>
      <c r="J1044" s="32">
        <f>IFERROR(IF(AND($F1044&gt;0,$H1044&gt;0,$A1044-$G1044&lt;=10,$A1044-$I1044&lt;=5,$G1044&gt;0,$I1044&gt;0),$F1044*$H1044,NA()),NA())</f>
        <v/>
      </c>
      <c r="K1044" s="15">
        <f>IF($A1044="","",IF(AH!$U$5=1,IFERROR(MATCH($A1044,'Live History'!$A$5:$A$3004,0),0),AH!$U$7+1039))</f>
        <v/>
      </c>
      <c r="L1044" s="15">
        <f>IF(ISNUMBER(A1044),TEXT(A1044,"dd-mmm-yy"),"")</f>
        <v/>
      </c>
    </row>
    <row r="1045">
      <c r="A1045" s="14">
        <f>IF(OR(AH!$U$4=0,1040+1&gt;AH!$U$6,AND(AH!$M$5="Bloomberg",AH!$U$5=0)),"",IFERROR(IF(AND(AH!$U$12=1,1040+1=AH!$U$6),TODAY(),IF(AH!$U$5=1,INDEX('Live History'!$A$5:$A$3004,AH!$U$7+1040),INDEX('AH History'!$A$5:$A$1380,AH!$U$7+1040))),""))</f>
        <v/>
      </c>
      <c r="B1045" s="33">
        <f>IFERROR(IF(AH!$U$11=1,NA(),$J1045/$E1045-1),NA())</f>
        <v/>
      </c>
      <c r="C1045" s="269">
        <f>IFERROR(100*$E1045/$E$5,NA())</f>
        <v/>
      </c>
      <c r="D1045" s="269">
        <f>IFERROR(100*$J1045/$J$5,NA())</f>
        <v/>
      </c>
      <c r="E1045" s="32">
        <f>IFERROR(IF(AND(ISNUMBER($A1045),N(IF(AND(AH!$U$12=1,1040+1=AH!$U$6),IF(AH!$U$4=0,"unavailable",INDEX('Market Data'!$AN$5:$AN$66,AH!$U$4)),IF(AH!$U$5=1,INDEX('Live History'!$B$5:$B$3004,$K1045),INDEX('AH History'!$D$5:$GG$1380,$K1045,AH!$U$10))))&gt;0),IF(AND(AH!$U$12=1,1040+1=AH!$U$6),IF(AH!$U$4=0,"unavailable",INDEX('Market Data'!$AN$5:$AN$66,AH!$U$4)),IF(AH!$U$5=1,INDEX('Live History'!$B$5:$B$3004,$K1045),INDEX('AH History'!$D$5:$GG$1380,$K1045,AH!$U$10))),NA()),NA())</f>
        <v/>
      </c>
      <c r="F1045" s="32">
        <f>IFERROR(IF(ISNUMBER($A1045),IF(AND(AH!$U$12=1,1040+1=AH!$U$6),IF(AH!$U$4=0,"unavailable",INDEX('Market Data'!$AO$5:$AO$66,AH!$U$4)),IF(AH!$U$5=1,INDEX('Live History'!$E$5:$E$3004,MATCH($A1045,'Live History'!$D$5:$D$3004,1)),INDEX('AH History'!$D$5:$GG$1380,$K1045,AH!$U$10+1))),NA()),NA())</f>
        <v/>
      </c>
      <c r="G1045" s="34">
        <f>IFERROR(IF(ISNUMBER($A1045),IF(AND(AH!$U$12=1,1040+1=AH!$U$6),IF(AH!$U$4=0,"unavailable",INDEX('Market Data'!$AK$5:$AK$66,AH!$U$4)),IF(AH!$U$5=1,INDEX('Live History'!$D$5:$D$3004,MATCH($A1045,'Live History'!$D$5:$D$3004,1)),INDEX('AH History'!$D$5:$GG$1380,$K1045,AH!$U$10+2))),NA()),NA())</f>
        <v/>
      </c>
      <c r="H1045" s="266">
        <f>IFERROR(IF(ISNUMBER($A1045),IF(AND(AH!$U$12=1,1040+1=AH!$U$6),IF(AH!$U$4=0,"unavailable",INDEX('Market Data'!$AP$5:$AP$66,AH!$U$4)),IF(AH!$U$5=1,INDEX('Live History'!$H$5:$H$3004,MATCH($A1045,'Live History'!$G$5:$G$3004,1)),INDEX('AH History'!$B$5:$B$1380,$K1045))),NA()),NA())</f>
        <v/>
      </c>
      <c r="I1045" s="34">
        <f>IFERROR(IF(ISNUMBER($A1045),IF(AND(AH!$U$12=1,1040+1=AH!$U$6),TODAY(),IF(AH!$U$5=1,INDEX('Live History'!$G$5:$G$3004,MATCH($A1045,'Live History'!$G$5:$G$3004,1)),INDEX('AH History'!$C$5:$C$1380,$K1045))),NA()),NA())</f>
        <v/>
      </c>
      <c r="J1045" s="32">
        <f>IFERROR(IF(AND($F1045&gt;0,$H1045&gt;0,$A1045-$G1045&lt;=10,$A1045-$I1045&lt;=5,$G1045&gt;0,$I1045&gt;0),$F1045*$H1045,NA()),NA())</f>
        <v/>
      </c>
      <c r="K1045" s="15">
        <f>IF($A1045="","",IF(AH!$U$5=1,IFERROR(MATCH($A1045,'Live History'!$A$5:$A$3004,0),0),AH!$U$7+1040))</f>
        <v/>
      </c>
      <c r="L1045" s="15">
        <f>IF(ISNUMBER(A1045),TEXT(A1045,"dd-mmm-yy"),"")</f>
        <v/>
      </c>
    </row>
    <row r="1046">
      <c r="A1046" s="14">
        <f>IF(OR(AH!$U$4=0,1041+1&gt;AH!$U$6,AND(AH!$M$5="Bloomberg",AH!$U$5=0)),"",IFERROR(IF(AND(AH!$U$12=1,1041+1=AH!$U$6),TODAY(),IF(AH!$U$5=1,INDEX('Live History'!$A$5:$A$3004,AH!$U$7+1041),INDEX('AH History'!$A$5:$A$1380,AH!$U$7+1041))),""))</f>
        <v/>
      </c>
      <c r="B1046" s="33">
        <f>IFERROR(IF(AH!$U$11=1,NA(),$J1046/$E1046-1),NA())</f>
        <v/>
      </c>
      <c r="C1046" s="269">
        <f>IFERROR(100*$E1046/$E$5,NA())</f>
        <v/>
      </c>
      <c r="D1046" s="269">
        <f>IFERROR(100*$J1046/$J$5,NA())</f>
        <v/>
      </c>
      <c r="E1046" s="32">
        <f>IFERROR(IF(AND(ISNUMBER($A1046),N(IF(AND(AH!$U$12=1,1041+1=AH!$U$6),IF(AH!$U$4=0,"unavailable",INDEX('Market Data'!$AN$5:$AN$66,AH!$U$4)),IF(AH!$U$5=1,INDEX('Live History'!$B$5:$B$3004,$K1046),INDEX('AH History'!$D$5:$GG$1380,$K1046,AH!$U$10))))&gt;0),IF(AND(AH!$U$12=1,1041+1=AH!$U$6),IF(AH!$U$4=0,"unavailable",INDEX('Market Data'!$AN$5:$AN$66,AH!$U$4)),IF(AH!$U$5=1,INDEX('Live History'!$B$5:$B$3004,$K1046),INDEX('AH History'!$D$5:$GG$1380,$K1046,AH!$U$10))),NA()),NA())</f>
        <v/>
      </c>
      <c r="F1046" s="32">
        <f>IFERROR(IF(ISNUMBER($A1046),IF(AND(AH!$U$12=1,1041+1=AH!$U$6),IF(AH!$U$4=0,"unavailable",INDEX('Market Data'!$AO$5:$AO$66,AH!$U$4)),IF(AH!$U$5=1,INDEX('Live History'!$E$5:$E$3004,MATCH($A1046,'Live History'!$D$5:$D$3004,1)),INDEX('AH History'!$D$5:$GG$1380,$K1046,AH!$U$10+1))),NA()),NA())</f>
        <v/>
      </c>
      <c r="G1046" s="34">
        <f>IFERROR(IF(ISNUMBER($A1046),IF(AND(AH!$U$12=1,1041+1=AH!$U$6),IF(AH!$U$4=0,"unavailable",INDEX('Market Data'!$AK$5:$AK$66,AH!$U$4)),IF(AH!$U$5=1,INDEX('Live History'!$D$5:$D$3004,MATCH($A1046,'Live History'!$D$5:$D$3004,1)),INDEX('AH History'!$D$5:$GG$1380,$K1046,AH!$U$10+2))),NA()),NA())</f>
        <v/>
      </c>
      <c r="H1046" s="266">
        <f>IFERROR(IF(ISNUMBER($A1046),IF(AND(AH!$U$12=1,1041+1=AH!$U$6),IF(AH!$U$4=0,"unavailable",INDEX('Market Data'!$AP$5:$AP$66,AH!$U$4)),IF(AH!$U$5=1,INDEX('Live History'!$H$5:$H$3004,MATCH($A1046,'Live History'!$G$5:$G$3004,1)),INDEX('AH History'!$B$5:$B$1380,$K1046))),NA()),NA())</f>
        <v/>
      </c>
      <c r="I1046" s="34">
        <f>IFERROR(IF(ISNUMBER($A1046),IF(AND(AH!$U$12=1,1041+1=AH!$U$6),TODAY(),IF(AH!$U$5=1,INDEX('Live History'!$G$5:$G$3004,MATCH($A1046,'Live History'!$G$5:$G$3004,1)),INDEX('AH History'!$C$5:$C$1380,$K1046))),NA()),NA())</f>
        <v/>
      </c>
      <c r="J1046" s="32">
        <f>IFERROR(IF(AND($F1046&gt;0,$H1046&gt;0,$A1046-$G1046&lt;=10,$A1046-$I1046&lt;=5,$G1046&gt;0,$I1046&gt;0),$F1046*$H1046,NA()),NA())</f>
        <v/>
      </c>
      <c r="K1046" s="15">
        <f>IF($A1046="","",IF(AH!$U$5=1,IFERROR(MATCH($A1046,'Live History'!$A$5:$A$3004,0),0),AH!$U$7+1041))</f>
        <v/>
      </c>
      <c r="L1046" s="15">
        <f>IF(ISNUMBER(A1046),TEXT(A1046,"dd-mmm-yy"),"")</f>
        <v/>
      </c>
    </row>
    <row r="1047">
      <c r="A1047" s="14">
        <f>IF(OR(AH!$U$4=0,1042+1&gt;AH!$U$6,AND(AH!$M$5="Bloomberg",AH!$U$5=0)),"",IFERROR(IF(AND(AH!$U$12=1,1042+1=AH!$U$6),TODAY(),IF(AH!$U$5=1,INDEX('Live History'!$A$5:$A$3004,AH!$U$7+1042),INDEX('AH History'!$A$5:$A$1380,AH!$U$7+1042))),""))</f>
        <v/>
      </c>
      <c r="B1047" s="33">
        <f>IFERROR(IF(AH!$U$11=1,NA(),$J1047/$E1047-1),NA())</f>
        <v/>
      </c>
      <c r="C1047" s="269">
        <f>IFERROR(100*$E1047/$E$5,NA())</f>
        <v/>
      </c>
      <c r="D1047" s="269">
        <f>IFERROR(100*$J1047/$J$5,NA())</f>
        <v/>
      </c>
      <c r="E1047" s="32">
        <f>IFERROR(IF(AND(ISNUMBER($A1047),N(IF(AND(AH!$U$12=1,1042+1=AH!$U$6),IF(AH!$U$4=0,"unavailable",INDEX('Market Data'!$AN$5:$AN$66,AH!$U$4)),IF(AH!$U$5=1,INDEX('Live History'!$B$5:$B$3004,$K1047),INDEX('AH History'!$D$5:$GG$1380,$K1047,AH!$U$10))))&gt;0),IF(AND(AH!$U$12=1,1042+1=AH!$U$6),IF(AH!$U$4=0,"unavailable",INDEX('Market Data'!$AN$5:$AN$66,AH!$U$4)),IF(AH!$U$5=1,INDEX('Live History'!$B$5:$B$3004,$K1047),INDEX('AH History'!$D$5:$GG$1380,$K1047,AH!$U$10))),NA()),NA())</f>
        <v/>
      </c>
      <c r="F1047" s="32">
        <f>IFERROR(IF(ISNUMBER($A1047),IF(AND(AH!$U$12=1,1042+1=AH!$U$6),IF(AH!$U$4=0,"unavailable",INDEX('Market Data'!$AO$5:$AO$66,AH!$U$4)),IF(AH!$U$5=1,INDEX('Live History'!$E$5:$E$3004,MATCH($A1047,'Live History'!$D$5:$D$3004,1)),INDEX('AH History'!$D$5:$GG$1380,$K1047,AH!$U$10+1))),NA()),NA())</f>
        <v/>
      </c>
      <c r="G1047" s="34">
        <f>IFERROR(IF(ISNUMBER($A1047),IF(AND(AH!$U$12=1,1042+1=AH!$U$6),IF(AH!$U$4=0,"unavailable",INDEX('Market Data'!$AK$5:$AK$66,AH!$U$4)),IF(AH!$U$5=1,INDEX('Live History'!$D$5:$D$3004,MATCH($A1047,'Live History'!$D$5:$D$3004,1)),INDEX('AH History'!$D$5:$GG$1380,$K1047,AH!$U$10+2))),NA()),NA())</f>
        <v/>
      </c>
      <c r="H1047" s="266">
        <f>IFERROR(IF(ISNUMBER($A1047),IF(AND(AH!$U$12=1,1042+1=AH!$U$6),IF(AH!$U$4=0,"unavailable",INDEX('Market Data'!$AP$5:$AP$66,AH!$U$4)),IF(AH!$U$5=1,INDEX('Live History'!$H$5:$H$3004,MATCH($A1047,'Live History'!$G$5:$G$3004,1)),INDEX('AH History'!$B$5:$B$1380,$K1047))),NA()),NA())</f>
        <v/>
      </c>
      <c r="I1047" s="34">
        <f>IFERROR(IF(ISNUMBER($A1047),IF(AND(AH!$U$12=1,1042+1=AH!$U$6),TODAY(),IF(AH!$U$5=1,INDEX('Live History'!$G$5:$G$3004,MATCH($A1047,'Live History'!$G$5:$G$3004,1)),INDEX('AH History'!$C$5:$C$1380,$K1047))),NA()),NA())</f>
        <v/>
      </c>
      <c r="J1047" s="32">
        <f>IFERROR(IF(AND($F1047&gt;0,$H1047&gt;0,$A1047-$G1047&lt;=10,$A1047-$I1047&lt;=5,$G1047&gt;0,$I1047&gt;0),$F1047*$H1047,NA()),NA())</f>
        <v/>
      </c>
      <c r="K1047" s="15">
        <f>IF($A1047="","",IF(AH!$U$5=1,IFERROR(MATCH($A1047,'Live History'!$A$5:$A$3004,0),0),AH!$U$7+1042))</f>
        <v/>
      </c>
      <c r="L1047" s="15">
        <f>IF(ISNUMBER(A1047),TEXT(A1047,"dd-mmm-yy"),"")</f>
        <v/>
      </c>
    </row>
    <row r="1048">
      <c r="A1048" s="14">
        <f>IF(OR(AH!$U$4=0,1043+1&gt;AH!$U$6,AND(AH!$M$5="Bloomberg",AH!$U$5=0)),"",IFERROR(IF(AND(AH!$U$12=1,1043+1=AH!$U$6),TODAY(),IF(AH!$U$5=1,INDEX('Live History'!$A$5:$A$3004,AH!$U$7+1043),INDEX('AH History'!$A$5:$A$1380,AH!$U$7+1043))),""))</f>
        <v/>
      </c>
      <c r="B1048" s="33">
        <f>IFERROR(IF(AH!$U$11=1,NA(),$J1048/$E1048-1),NA())</f>
        <v/>
      </c>
      <c r="C1048" s="269">
        <f>IFERROR(100*$E1048/$E$5,NA())</f>
        <v/>
      </c>
      <c r="D1048" s="269">
        <f>IFERROR(100*$J1048/$J$5,NA())</f>
        <v/>
      </c>
      <c r="E1048" s="32">
        <f>IFERROR(IF(AND(ISNUMBER($A1048),N(IF(AND(AH!$U$12=1,1043+1=AH!$U$6),IF(AH!$U$4=0,"unavailable",INDEX('Market Data'!$AN$5:$AN$66,AH!$U$4)),IF(AH!$U$5=1,INDEX('Live History'!$B$5:$B$3004,$K1048),INDEX('AH History'!$D$5:$GG$1380,$K1048,AH!$U$10))))&gt;0),IF(AND(AH!$U$12=1,1043+1=AH!$U$6),IF(AH!$U$4=0,"unavailable",INDEX('Market Data'!$AN$5:$AN$66,AH!$U$4)),IF(AH!$U$5=1,INDEX('Live History'!$B$5:$B$3004,$K1048),INDEX('AH History'!$D$5:$GG$1380,$K1048,AH!$U$10))),NA()),NA())</f>
        <v/>
      </c>
      <c r="F1048" s="32">
        <f>IFERROR(IF(ISNUMBER($A1048),IF(AND(AH!$U$12=1,1043+1=AH!$U$6),IF(AH!$U$4=0,"unavailable",INDEX('Market Data'!$AO$5:$AO$66,AH!$U$4)),IF(AH!$U$5=1,INDEX('Live History'!$E$5:$E$3004,MATCH($A1048,'Live History'!$D$5:$D$3004,1)),INDEX('AH History'!$D$5:$GG$1380,$K1048,AH!$U$10+1))),NA()),NA())</f>
        <v/>
      </c>
      <c r="G1048" s="34">
        <f>IFERROR(IF(ISNUMBER($A1048),IF(AND(AH!$U$12=1,1043+1=AH!$U$6),IF(AH!$U$4=0,"unavailable",INDEX('Market Data'!$AK$5:$AK$66,AH!$U$4)),IF(AH!$U$5=1,INDEX('Live History'!$D$5:$D$3004,MATCH($A1048,'Live History'!$D$5:$D$3004,1)),INDEX('AH History'!$D$5:$GG$1380,$K1048,AH!$U$10+2))),NA()),NA())</f>
        <v/>
      </c>
      <c r="H1048" s="266">
        <f>IFERROR(IF(ISNUMBER($A1048),IF(AND(AH!$U$12=1,1043+1=AH!$U$6),IF(AH!$U$4=0,"unavailable",INDEX('Market Data'!$AP$5:$AP$66,AH!$U$4)),IF(AH!$U$5=1,INDEX('Live History'!$H$5:$H$3004,MATCH($A1048,'Live History'!$G$5:$G$3004,1)),INDEX('AH History'!$B$5:$B$1380,$K1048))),NA()),NA())</f>
        <v/>
      </c>
      <c r="I1048" s="34">
        <f>IFERROR(IF(ISNUMBER($A1048),IF(AND(AH!$U$12=1,1043+1=AH!$U$6),TODAY(),IF(AH!$U$5=1,INDEX('Live History'!$G$5:$G$3004,MATCH($A1048,'Live History'!$G$5:$G$3004,1)),INDEX('AH History'!$C$5:$C$1380,$K1048))),NA()),NA())</f>
        <v/>
      </c>
      <c r="J1048" s="32">
        <f>IFERROR(IF(AND($F1048&gt;0,$H1048&gt;0,$A1048-$G1048&lt;=10,$A1048-$I1048&lt;=5,$G1048&gt;0,$I1048&gt;0),$F1048*$H1048,NA()),NA())</f>
        <v/>
      </c>
      <c r="K1048" s="15">
        <f>IF($A1048="","",IF(AH!$U$5=1,IFERROR(MATCH($A1048,'Live History'!$A$5:$A$3004,0),0),AH!$U$7+1043))</f>
        <v/>
      </c>
      <c r="L1048" s="15">
        <f>IF(ISNUMBER(A1048),TEXT(A1048,"dd-mmm-yy"),"")</f>
        <v/>
      </c>
    </row>
    <row r="1049">
      <c r="A1049" s="14">
        <f>IF(OR(AH!$U$4=0,1044+1&gt;AH!$U$6,AND(AH!$M$5="Bloomberg",AH!$U$5=0)),"",IFERROR(IF(AND(AH!$U$12=1,1044+1=AH!$U$6),TODAY(),IF(AH!$U$5=1,INDEX('Live History'!$A$5:$A$3004,AH!$U$7+1044),INDEX('AH History'!$A$5:$A$1380,AH!$U$7+1044))),""))</f>
        <v/>
      </c>
      <c r="B1049" s="33">
        <f>IFERROR(IF(AH!$U$11=1,NA(),$J1049/$E1049-1),NA())</f>
        <v/>
      </c>
      <c r="C1049" s="269">
        <f>IFERROR(100*$E1049/$E$5,NA())</f>
        <v/>
      </c>
      <c r="D1049" s="269">
        <f>IFERROR(100*$J1049/$J$5,NA())</f>
        <v/>
      </c>
      <c r="E1049" s="32">
        <f>IFERROR(IF(AND(ISNUMBER($A1049),N(IF(AND(AH!$U$12=1,1044+1=AH!$U$6),IF(AH!$U$4=0,"unavailable",INDEX('Market Data'!$AN$5:$AN$66,AH!$U$4)),IF(AH!$U$5=1,INDEX('Live History'!$B$5:$B$3004,$K1049),INDEX('AH History'!$D$5:$GG$1380,$K1049,AH!$U$10))))&gt;0),IF(AND(AH!$U$12=1,1044+1=AH!$U$6),IF(AH!$U$4=0,"unavailable",INDEX('Market Data'!$AN$5:$AN$66,AH!$U$4)),IF(AH!$U$5=1,INDEX('Live History'!$B$5:$B$3004,$K1049),INDEX('AH History'!$D$5:$GG$1380,$K1049,AH!$U$10))),NA()),NA())</f>
        <v/>
      </c>
      <c r="F1049" s="32">
        <f>IFERROR(IF(ISNUMBER($A1049),IF(AND(AH!$U$12=1,1044+1=AH!$U$6),IF(AH!$U$4=0,"unavailable",INDEX('Market Data'!$AO$5:$AO$66,AH!$U$4)),IF(AH!$U$5=1,INDEX('Live History'!$E$5:$E$3004,MATCH($A1049,'Live History'!$D$5:$D$3004,1)),INDEX('AH History'!$D$5:$GG$1380,$K1049,AH!$U$10+1))),NA()),NA())</f>
        <v/>
      </c>
      <c r="G1049" s="34">
        <f>IFERROR(IF(ISNUMBER($A1049),IF(AND(AH!$U$12=1,1044+1=AH!$U$6),IF(AH!$U$4=0,"unavailable",INDEX('Market Data'!$AK$5:$AK$66,AH!$U$4)),IF(AH!$U$5=1,INDEX('Live History'!$D$5:$D$3004,MATCH($A1049,'Live History'!$D$5:$D$3004,1)),INDEX('AH History'!$D$5:$GG$1380,$K1049,AH!$U$10+2))),NA()),NA())</f>
        <v/>
      </c>
      <c r="H1049" s="266">
        <f>IFERROR(IF(ISNUMBER($A1049),IF(AND(AH!$U$12=1,1044+1=AH!$U$6),IF(AH!$U$4=0,"unavailable",INDEX('Market Data'!$AP$5:$AP$66,AH!$U$4)),IF(AH!$U$5=1,INDEX('Live History'!$H$5:$H$3004,MATCH($A1049,'Live History'!$G$5:$G$3004,1)),INDEX('AH History'!$B$5:$B$1380,$K1049))),NA()),NA())</f>
        <v/>
      </c>
      <c r="I1049" s="34">
        <f>IFERROR(IF(ISNUMBER($A1049),IF(AND(AH!$U$12=1,1044+1=AH!$U$6),TODAY(),IF(AH!$U$5=1,INDEX('Live History'!$G$5:$G$3004,MATCH($A1049,'Live History'!$G$5:$G$3004,1)),INDEX('AH History'!$C$5:$C$1380,$K1049))),NA()),NA())</f>
        <v/>
      </c>
      <c r="J1049" s="32">
        <f>IFERROR(IF(AND($F1049&gt;0,$H1049&gt;0,$A1049-$G1049&lt;=10,$A1049-$I1049&lt;=5,$G1049&gt;0,$I1049&gt;0),$F1049*$H1049,NA()),NA())</f>
        <v/>
      </c>
      <c r="K1049" s="15">
        <f>IF($A1049="","",IF(AH!$U$5=1,IFERROR(MATCH($A1049,'Live History'!$A$5:$A$3004,0),0),AH!$U$7+1044))</f>
        <v/>
      </c>
      <c r="L1049" s="15">
        <f>IF(ISNUMBER(A1049),TEXT(A1049,"dd-mmm-yy"),"")</f>
        <v/>
      </c>
    </row>
    <row r="1050">
      <c r="A1050" s="14">
        <f>IF(OR(AH!$U$4=0,1045+1&gt;AH!$U$6,AND(AH!$M$5="Bloomberg",AH!$U$5=0)),"",IFERROR(IF(AND(AH!$U$12=1,1045+1=AH!$U$6),TODAY(),IF(AH!$U$5=1,INDEX('Live History'!$A$5:$A$3004,AH!$U$7+1045),INDEX('AH History'!$A$5:$A$1380,AH!$U$7+1045))),""))</f>
        <v/>
      </c>
      <c r="B1050" s="33">
        <f>IFERROR(IF(AH!$U$11=1,NA(),$J1050/$E1050-1),NA())</f>
        <v/>
      </c>
      <c r="C1050" s="269">
        <f>IFERROR(100*$E1050/$E$5,NA())</f>
        <v/>
      </c>
      <c r="D1050" s="269">
        <f>IFERROR(100*$J1050/$J$5,NA())</f>
        <v/>
      </c>
      <c r="E1050" s="32">
        <f>IFERROR(IF(AND(ISNUMBER($A1050),N(IF(AND(AH!$U$12=1,1045+1=AH!$U$6),IF(AH!$U$4=0,"unavailable",INDEX('Market Data'!$AN$5:$AN$66,AH!$U$4)),IF(AH!$U$5=1,INDEX('Live History'!$B$5:$B$3004,$K1050),INDEX('AH History'!$D$5:$GG$1380,$K1050,AH!$U$10))))&gt;0),IF(AND(AH!$U$12=1,1045+1=AH!$U$6),IF(AH!$U$4=0,"unavailable",INDEX('Market Data'!$AN$5:$AN$66,AH!$U$4)),IF(AH!$U$5=1,INDEX('Live History'!$B$5:$B$3004,$K1050),INDEX('AH History'!$D$5:$GG$1380,$K1050,AH!$U$10))),NA()),NA())</f>
        <v/>
      </c>
      <c r="F1050" s="32">
        <f>IFERROR(IF(ISNUMBER($A1050),IF(AND(AH!$U$12=1,1045+1=AH!$U$6),IF(AH!$U$4=0,"unavailable",INDEX('Market Data'!$AO$5:$AO$66,AH!$U$4)),IF(AH!$U$5=1,INDEX('Live History'!$E$5:$E$3004,MATCH($A1050,'Live History'!$D$5:$D$3004,1)),INDEX('AH History'!$D$5:$GG$1380,$K1050,AH!$U$10+1))),NA()),NA())</f>
        <v/>
      </c>
      <c r="G1050" s="34">
        <f>IFERROR(IF(ISNUMBER($A1050),IF(AND(AH!$U$12=1,1045+1=AH!$U$6),IF(AH!$U$4=0,"unavailable",INDEX('Market Data'!$AK$5:$AK$66,AH!$U$4)),IF(AH!$U$5=1,INDEX('Live History'!$D$5:$D$3004,MATCH($A1050,'Live History'!$D$5:$D$3004,1)),INDEX('AH History'!$D$5:$GG$1380,$K1050,AH!$U$10+2))),NA()),NA())</f>
        <v/>
      </c>
      <c r="H1050" s="266">
        <f>IFERROR(IF(ISNUMBER($A1050),IF(AND(AH!$U$12=1,1045+1=AH!$U$6),IF(AH!$U$4=0,"unavailable",INDEX('Market Data'!$AP$5:$AP$66,AH!$U$4)),IF(AH!$U$5=1,INDEX('Live History'!$H$5:$H$3004,MATCH($A1050,'Live History'!$G$5:$G$3004,1)),INDEX('AH History'!$B$5:$B$1380,$K1050))),NA()),NA())</f>
        <v/>
      </c>
      <c r="I1050" s="34">
        <f>IFERROR(IF(ISNUMBER($A1050),IF(AND(AH!$U$12=1,1045+1=AH!$U$6),TODAY(),IF(AH!$U$5=1,INDEX('Live History'!$G$5:$G$3004,MATCH($A1050,'Live History'!$G$5:$G$3004,1)),INDEX('AH History'!$C$5:$C$1380,$K1050))),NA()),NA())</f>
        <v/>
      </c>
      <c r="J1050" s="32">
        <f>IFERROR(IF(AND($F1050&gt;0,$H1050&gt;0,$A1050-$G1050&lt;=10,$A1050-$I1050&lt;=5,$G1050&gt;0,$I1050&gt;0),$F1050*$H1050,NA()),NA())</f>
        <v/>
      </c>
      <c r="K1050" s="15">
        <f>IF($A1050="","",IF(AH!$U$5=1,IFERROR(MATCH($A1050,'Live History'!$A$5:$A$3004,0),0),AH!$U$7+1045))</f>
        <v/>
      </c>
      <c r="L1050" s="15">
        <f>IF(ISNUMBER(A1050),TEXT(A1050,"dd-mmm-yy"),"")</f>
        <v/>
      </c>
    </row>
    <row r="1051">
      <c r="A1051" s="14">
        <f>IF(OR(AH!$U$4=0,1046+1&gt;AH!$U$6,AND(AH!$M$5="Bloomberg",AH!$U$5=0)),"",IFERROR(IF(AND(AH!$U$12=1,1046+1=AH!$U$6),TODAY(),IF(AH!$U$5=1,INDEX('Live History'!$A$5:$A$3004,AH!$U$7+1046),INDEX('AH History'!$A$5:$A$1380,AH!$U$7+1046))),""))</f>
        <v/>
      </c>
      <c r="B1051" s="33">
        <f>IFERROR(IF(AH!$U$11=1,NA(),$J1051/$E1051-1),NA())</f>
        <v/>
      </c>
      <c r="C1051" s="269">
        <f>IFERROR(100*$E1051/$E$5,NA())</f>
        <v/>
      </c>
      <c r="D1051" s="269">
        <f>IFERROR(100*$J1051/$J$5,NA())</f>
        <v/>
      </c>
      <c r="E1051" s="32">
        <f>IFERROR(IF(AND(ISNUMBER($A1051),N(IF(AND(AH!$U$12=1,1046+1=AH!$U$6),IF(AH!$U$4=0,"unavailable",INDEX('Market Data'!$AN$5:$AN$66,AH!$U$4)),IF(AH!$U$5=1,INDEX('Live History'!$B$5:$B$3004,$K1051),INDEX('AH History'!$D$5:$GG$1380,$K1051,AH!$U$10))))&gt;0),IF(AND(AH!$U$12=1,1046+1=AH!$U$6),IF(AH!$U$4=0,"unavailable",INDEX('Market Data'!$AN$5:$AN$66,AH!$U$4)),IF(AH!$U$5=1,INDEX('Live History'!$B$5:$B$3004,$K1051),INDEX('AH History'!$D$5:$GG$1380,$K1051,AH!$U$10))),NA()),NA())</f>
        <v/>
      </c>
      <c r="F1051" s="32">
        <f>IFERROR(IF(ISNUMBER($A1051),IF(AND(AH!$U$12=1,1046+1=AH!$U$6),IF(AH!$U$4=0,"unavailable",INDEX('Market Data'!$AO$5:$AO$66,AH!$U$4)),IF(AH!$U$5=1,INDEX('Live History'!$E$5:$E$3004,MATCH($A1051,'Live History'!$D$5:$D$3004,1)),INDEX('AH History'!$D$5:$GG$1380,$K1051,AH!$U$10+1))),NA()),NA())</f>
        <v/>
      </c>
      <c r="G1051" s="34">
        <f>IFERROR(IF(ISNUMBER($A1051),IF(AND(AH!$U$12=1,1046+1=AH!$U$6),IF(AH!$U$4=0,"unavailable",INDEX('Market Data'!$AK$5:$AK$66,AH!$U$4)),IF(AH!$U$5=1,INDEX('Live History'!$D$5:$D$3004,MATCH($A1051,'Live History'!$D$5:$D$3004,1)),INDEX('AH History'!$D$5:$GG$1380,$K1051,AH!$U$10+2))),NA()),NA())</f>
        <v/>
      </c>
      <c r="H1051" s="266">
        <f>IFERROR(IF(ISNUMBER($A1051),IF(AND(AH!$U$12=1,1046+1=AH!$U$6),IF(AH!$U$4=0,"unavailable",INDEX('Market Data'!$AP$5:$AP$66,AH!$U$4)),IF(AH!$U$5=1,INDEX('Live History'!$H$5:$H$3004,MATCH($A1051,'Live History'!$G$5:$G$3004,1)),INDEX('AH History'!$B$5:$B$1380,$K1051))),NA()),NA())</f>
        <v/>
      </c>
      <c r="I1051" s="34">
        <f>IFERROR(IF(ISNUMBER($A1051),IF(AND(AH!$U$12=1,1046+1=AH!$U$6),TODAY(),IF(AH!$U$5=1,INDEX('Live History'!$G$5:$G$3004,MATCH($A1051,'Live History'!$G$5:$G$3004,1)),INDEX('AH History'!$C$5:$C$1380,$K1051))),NA()),NA())</f>
        <v/>
      </c>
      <c r="J1051" s="32">
        <f>IFERROR(IF(AND($F1051&gt;0,$H1051&gt;0,$A1051-$G1051&lt;=10,$A1051-$I1051&lt;=5,$G1051&gt;0,$I1051&gt;0),$F1051*$H1051,NA()),NA())</f>
        <v/>
      </c>
      <c r="K1051" s="15">
        <f>IF($A1051="","",IF(AH!$U$5=1,IFERROR(MATCH($A1051,'Live History'!$A$5:$A$3004,0),0),AH!$U$7+1046))</f>
        <v/>
      </c>
      <c r="L1051" s="15">
        <f>IF(ISNUMBER(A1051),TEXT(A1051,"dd-mmm-yy"),"")</f>
        <v/>
      </c>
    </row>
    <row r="1052">
      <c r="A1052" s="14">
        <f>IF(OR(AH!$U$4=0,1047+1&gt;AH!$U$6,AND(AH!$M$5="Bloomberg",AH!$U$5=0)),"",IFERROR(IF(AND(AH!$U$12=1,1047+1=AH!$U$6),TODAY(),IF(AH!$U$5=1,INDEX('Live History'!$A$5:$A$3004,AH!$U$7+1047),INDEX('AH History'!$A$5:$A$1380,AH!$U$7+1047))),""))</f>
        <v/>
      </c>
      <c r="B1052" s="33">
        <f>IFERROR(IF(AH!$U$11=1,NA(),$J1052/$E1052-1),NA())</f>
        <v/>
      </c>
      <c r="C1052" s="269">
        <f>IFERROR(100*$E1052/$E$5,NA())</f>
        <v/>
      </c>
      <c r="D1052" s="269">
        <f>IFERROR(100*$J1052/$J$5,NA())</f>
        <v/>
      </c>
      <c r="E1052" s="32">
        <f>IFERROR(IF(AND(ISNUMBER($A1052),N(IF(AND(AH!$U$12=1,1047+1=AH!$U$6),IF(AH!$U$4=0,"unavailable",INDEX('Market Data'!$AN$5:$AN$66,AH!$U$4)),IF(AH!$U$5=1,INDEX('Live History'!$B$5:$B$3004,$K1052),INDEX('AH History'!$D$5:$GG$1380,$K1052,AH!$U$10))))&gt;0),IF(AND(AH!$U$12=1,1047+1=AH!$U$6),IF(AH!$U$4=0,"unavailable",INDEX('Market Data'!$AN$5:$AN$66,AH!$U$4)),IF(AH!$U$5=1,INDEX('Live History'!$B$5:$B$3004,$K1052),INDEX('AH History'!$D$5:$GG$1380,$K1052,AH!$U$10))),NA()),NA())</f>
        <v/>
      </c>
      <c r="F1052" s="32">
        <f>IFERROR(IF(ISNUMBER($A1052),IF(AND(AH!$U$12=1,1047+1=AH!$U$6),IF(AH!$U$4=0,"unavailable",INDEX('Market Data'!$AO$5:$AO$66,AH!$U$4)),IF(AH!$U$5=1,INDEX('Live History'!$E$5:$E$3004,MATCH($A1052,'Live History'!$D$5:$D$3004,1)),INDEX('AH History'!$D$5:$GG$1380,$K1052,AH!$U$10+1))),NA()),NA())</f>
        <v/>
      </c>
      <c r="G1052" s="34">
        <f>IFERROR(IF(ISNUMBER($A1052),IF(AND(AH!$U$12=1,1047+1=AH!$U$6),IF(AH!$U$4=0,"unavailable",INDEX('Market Data'!$AK$5:$AK$66,AH!$U$4)),IF(AH!$U$5=1,INDEX('Live History'!$D$5:$D$3004,MATCH($A1052,'Live History'!$D$5:$D$3004,1)),INDEX('AH History'!$D$5:$GG$1380,$K1052,AH!$U$10+2))),NA()),NA())</f>
        <v/>
      </c>
      <c r="H1052" s="266">
        <f>IFERROR(IF(ISNUMBER($A1052),IF(AND(AH!$U$12=1,1047+1=AH!$U$6),IF(AH!$U$4=0,"unavailable",INDEX('Market Data'!$AP$5:$AP$66,AH!$U$4)),IF(AH!$U$5=1,INDEX('Live History'!$H$5:$H$3004,MATCH($A1052,'Live History'!$G$5:$G$3004,1)),INDEX('AH History'!$B$5:$B$1380,$K1052))),NA()),NA())</f>
        <v/>
      </c>
      <c r="I1052" s="34">
        <f>IFERROR(IF(ISNUMBER($A1052),IF(AND(AH!$U$12=1,1047+1=AH!$U$6),TODAY(),IF(AH!$U$5=1,INDEX('Live History'!$G$5:$G$3004,MATCH($A1052,'Live History'!$G$5:$G$3004,1)),INDEX('AH History'!$C$5:$C$1380,$K1052))),NA()),NA())</f>
        <v/>
      </c>
      <c r="J1052" s="32">
        <f>IFERROR(IF(AND($F1052&gt;0,$H1052&gt;0,$A1052-$G1052&lt;=10,$A1052-$I1052&lt;=5,$G1052&gt;0,$I1052&gt;0),$F1052*$H1052,NA()),NA())</f>
        <v/>
      </c>
      <c r="K1052" s="15">
        <f>IF($A1052="","",IF(AH!$U$5=1,IFERROR(MATCH($A1052,'Live History'!$A$5:$A$3004,0),0),AH!$U$7+1047))</f>
        <v/>
      </c>
      <c r="L1052" s="15">
        <f>IF(ISNUMBER(A1052),TEXT(A1052,"dd-mmm-yy"),"")</f>
        <v/>
      </c>
    </row>
    <row r="1053">
      <c r="A1053" s="14">
        <f>IF(OR(AH!$U$4=0,1048+1&gt;AH!$U$6,AND(AH!$M$5="Bloomberg",AH!$U$5=0)),"",IFERROR(IF(AND(AH!$U$12=1,1048+1=AH!$U$6),TODAY(),IF(AH!$U$5=1,INDEX('Live History'!$A$5:$A$3004,AH!$U$7+1048),INDEX('AH History'!$A$5:$A$1380,AH!$U$7+1048))),""))</f>
        <v/>
      </c>
      <c r="B1053" s="33">
        <f>IFERROR(IF(AH!$U$11=1,NA(),$J1053/$E1053-1),NA())</f>
        <v/>
      </c>
      <c r="C1053" s="269">
        <f>IFERROR(100*$E1053/$E$5,NA())</f>
        <v/>
      </c>
      <c r="D1053" s="269">
        <f>IFERROR(100*$J1053/$J$5,NA())</f>
        <v/>
      </c>
      <c r="E1053" s="32">
        <f>IFERROR(IF(AND(ISNUMBER($A1053),N(IF(AND(AH!$U$12=1,1048+1=AH!$U$6),IF(AH!$U$4=0,"unavailable",INDEX('Market Data'!$AN$5:$AN$66,AH!$U$4)),IF(AH!$U$5=1,INDEX('Live History'!$B$5:$B$3004,$K1053),INDEX('AH History'!$D$5:$GG$1380,$K1053,AH!$U$10))))&gt;0),IF(AND(AH!$U$12=1,1048+1=AH!$U$6),IF(AH!$U$4=0,"unavailable",INDEX('Market Data'!$AN$5:$AN$66,AH!$U$4)),IF(AH!$U$5=1,INDEX('Live History'!$B$5:$B$3004,$K1053),INDEX('AH History'!$D$5:$GG$1380,$K1053,AH!$U$10))),NA()),NA())</f>
        <v/>
      </c>
      <c r="F1053" s="32">
        <f>IFERROR(IF(ISNUMBER($A1053),IF(AND(AH!$U$12=1,1048+1=AH!$U$6),IF(AH!$U$4=0,"unavailable",INDEX('Market Data'!$AO$5:$AO$66,AH!$U$4)),IF(AH!$U$5=1,INDEX('Live History'!$E$5:$E$3004,MATCH($A1053,'Live History'!$D$5:$D$3004,1)),INDEX('AH History'!$D$5:$GG$1380,$K1053,AH!$U$10+1))),NA()),NA())</f>
        <v/>
      </c>
      <c r="G1053" s="34">
        <f>IFERROR(IF(ISNUMBER($A1053),IF(AND(AH!$U$12=1,1048+1=AH!$U$6),IF(AH!$U$4=0,"unavailable",INDEX('Market Data'!$AK$5:$AK$66,AH!$U$4)),IF(AH!$U$5=1,INDEX('Live History'!$D$5:$D$3004,MATCH($A1053,'Live History'!$D$5:$D$3004,1)),INDEX('AH History'!$D$5:$GG$1380,$K1053,AH!$U$10+2))),NA()),NA())</f>
        <v/>
      </c>
      <c r="H1053" s="266">
        <f>IFERROR(IF(ISNUMBER($A1053),IF(AND(AH!$U$12=1,1048+1=AH!$U$6),IF(AH!$U$4=0,"unavailable",INDEX('Market Data'!$AP$5:$AP$66,AH!$U$4)),IF(AH!$U$5=1,INDEX('Live History'!$H$5:$H$3004,MATCH($A1053,'Live History'!$G$5:$G$3004,1)),INDEX('AH History'!$B$5:$B$1380,$K1053))),NA()),NA())</f>
        <v/>
      </c>
      <c r="I1053" s="34">
        <f>IFERROR(IF(ISNUMBER($A1053),IF(AND(AH!$U$12=1,1048+1=AH!$U$6),TODAY(),IF(AH!$U$5=1,INDEX('Live History'!$G$5:$G$3004,MATCH($A1053,'Live History'!$G$5:$G$3004,1)),INDEX('AH History'!$C$5:$C$1380,$K1053))),NA()),NA())</f>
        <v/>
      </c>
      <c r="J1053" s="32">
        <f>IFERROR(IF(AND($F1053&gt;0,$H1053&gt;0,$A1053-$G1053&lt;=10,$A1053-$I1053&lt;=5,$G1053&gt;0,$I1053&gt;0),$F1053*$H1053,NA()),NA())</f>
        <v/>
      </c>
      <c r="K1053" s="15">
        <f>IF($A1053="","",IF(AH!$U$5=1,IFERROR(MATCH($A1053,'Live History'!$A$5:$A$3004,0),0),AH!$U$7+1048))</f>
        <v/>
      </c>
      <c r="L1053" s="15">
        <f>IF(ISNUMBER(A1053),TEXT(A1053,"dd-mmm-yy"),"")</f>
        <v/>
      </c>
    </row>
    <row r="1054">
      <c r="A1054" s="14">
        <f>IF(OR(AH!$U$4=0,1049+1&gt;AH!$U$6,AND(AH!$M$5="Bloomberg",AH!$U$5=0)),"",IFERROR(IF(AND(AH!$U$12=1,1049+1=AH!$U$6),TODAY(),IF(AH!$U$5=1,INDEX('Live History'!$A$5:$A$3004,AH!$U$7+1049),INDEX('AH History'!$A$5:$A$1380,AH!$U$7+1049))),""))</f>
        <v/>
      </c>
      <c r="B1054" s="33">
        <f>IFERROR(IF(AH!$U$11=1,NA(),$J1054/$E1054-1),NA())</f>
        <v/>
      </c>
      <c r="C1054" s="269">
        <f>IFERROR(100*$E1054/$E$5,NA())</f>
        <v/>
      </c>
      <c r="D1054" s="269">
        <f>IFERROR(100*$J1054/$J$5,NA())</f>
        <v/>
      </c>
      <c r="E1054" s="32">
        <f>IFERROR(IF(AND(ISNUMBER($A1054),N(IF(AND(AH!$U$12=1,1049+1=AH!$U$6),IF(AH!$U$4=0,"unavailable",INDEX('Market Data'!$AN$5:$AN$66,AH!$U$4)),IF(AH!$U$5=1,INDEX('Live History'!$B$5:$B$3004,$K1054),INDEX('AH History'!$D$5:$GG$1380,$K1054,AH!$U$10))))&gt;0),IF(AND(AH!$U$12=1,1049+1=AH!$U$6),IF(AH!$U$4=0,"unavailable",INDEX('Market Data'!$AN$5:$AN$66,AH!$U$4)),IF(AH!$U$5=1,INDEX('Live History'!$B$5:$B$3004,$K1054),INDEX('AH History'!$D$5:$GG$1380,$K1054,AH!$U$10))),NA()),NA())</f>
        <v/>
      </c>
      <c r="F1054" s="32">
        <f>IFERROR(IF(ISNUMBER($A1054),IF(AND(AH!$U$12=1,1049+1=AH!$U$6),IF(AH!$U$4=0,"unavailable",INDEX('Market Data'!$AO$5:$AO$66,AH!$U$4)),IF(AH!$U$5=1,INDEX('Live History'!$E$5:$E$3004,MATCH($A1054,'Live History'!$D$5:$D$3004,1)),INDEX('AH History'!$D$5:$GG$1380,$K1054,AH!$U$10+1))),NA()),NA())</f>
        <v/>
      </c>
      <c r="G1054" s="34">
        <f>IFERROR(IF(ISNUMBER($A1054),IF(AND(AH!$U$12=1,1049+1=AH!$U$6),IF(AH!$U$4=0,"unavailable",INDEX('Market Data'!$AK$5:$AK$66,AH!$U$4)),IF(AH!$U$5=1,INDEX('Live History'!$D$5:$D$3004,MATCH($A1054,'Live History'!$D$5:$D$3004,1)),INDEX('AH History'!$D$5:$GG$1380,$K1054,AH!$U$10+2))),NA()),NA())</f>
        <v/>
      </c>
      <c r="H1054" s="266">
        <f>IFERROR(IF(ISNUMBER($A1054),IF(AND(AH!$U$12=1,1049+1=AH!$U$6),IF(AH!$U$4=0,"unavailable",INDEX('Market Data'!$AP$5:$AP$66,AH!$U$4)),IF(AH!$U$5=1,INDEX('Live History'!$H$5:$H$3004,MATCH($A1054,'Live History'!$G$5:$G$3004,1)),INDEX('AH History'!$B$5:$B$1380,$K1054))),NA()),NA())</f>
        <v/>
      </c>
      <c r="I1054" s="34">
        <f>IFERROR(IF(ISNUMBER($A1054),IF(AND(AH!$U$12=1,1049+1=AH!$U$6),TODAY(),IF(AH!$U$5=1,INDEX('Live History'!$G$5:$G$3004,MATCH($A1054,'Live History'!$G$5:$G$3004,1)),INDEX('AH History'!$C$5:$C$1380,$K1054))),NA()),NA())</f>
        <v/>
      </c>
      <c r="J1054" s="32">
        <f>IFERROR(IF(AND($F1054&gt;0,$H1054&gt;0,$A1054-$G1054&lt;=10,$A1054-$I1054&lt;=5,$G1054&gt;0,$I1054&gt;0),$F1054*$H1054,NA()),NA())</f>
        <v/>
      </c>
      <c r="K1054" s="15">
        <f>IF($A1054="","",IF(AH!$U$5=1,IFERROR(MATCH($A1054,'Live History'!$A$5:$A$3004,0),0),AH!$U$7+1049))</f>
        <v/>
      </c>
      <c r="L1054" s="15">
        <f>IF(ISNUMBER(A1054),TEXT(A1054,"dd-mmm-yy"),"")</f>
        <v/>
      </c>
    </row>
    <row r="1055">
      <c r="A1055" s="14">
        <f>IF(OR(AH!$U$4=0,1050+1&gt;AH!$U$6,AND(AH!$M$5="Bloomberg",AH!$U$5=0)),"",IFERROR(IF(AND(AH!$U$12=1,1050+1=AH!$U$6),TODAY(),IF(AH!$U$5=1,INDEX('Live History'!$A$5:$A$3004,AH!$U$7+1050),INDEX('AH History'!$A$5:$A$1380,AH!$U$7+1050))),""))</f>
        <v/>
      </c>
      <c r="B1055" s="33">
        <f>IFERROR(IF(AH!$U$11=1,NA(),$J1055/$E1055-1),NA())</f>
        <v/>
      </c>
      <c r="C1055" s="269">
        <f>IFERROR(100*$E1055/$E$5,NA())</f>
        <v/>
      </c>
      <c r="D1055" s="269">
        <f>IFERROR(100*$J1055/$J$5,NA())</f>
        <v/>
      </c>
      <c r="E1055" s="32">
        <f>IFERROR(IF(AND(ISNUMBER($A1055),N(IF(AND(AH!$U$12=1,1050+1=AH!$U$6),IF(AH!$U$4=0,"unavailable",INDEX('Market Data'!$AN$5:$AN$66,AH!$U$4)),IF(AH!$U$5=1,INDEX('Live History'!$B$5:$B$3004,$K1055),INDEX('AH History'!$D$5:$GG$1380,$K1055,AH!$U$10))))&gt;0),IF(AND(AH!$U$12=1,1050+1=AH!$U$6),IF(AH!$U$4=0,"unavailable",INDEX('Market Data'!$AN$5:$AN$66,AH!$U$4)),IF(AH!$U$5=1,INDEX('Live History'!$B$5:$B$3004,$K1055),INDEX('AH History'!$D$5:$GG$1380,$K1055,AH!$U$10))),NA()),NA())</f>
        <v/>
      </c>
      <c r="F1055" s="32">
        <f>IFERROR(IF(ISNUMBER($A1055),IF(AND(AH!$U$12=1,1050+1=AH!$U$6),IF(AH!$U$4=0,"unavailable",INDEX('Market Data'!$AO$5:$AO$66,AH!$U$4)),IF(AH!$U$5=1,INDEX('Live History'!$E$5:$E$3004,MATCH($A1055,'Live History'!$D$5:$D$3004,1)),INDEX('AH History'!$D$5:$GG$1380,$K1055,AH!$U$10+1))),NA()),NA())</f>
        <v/>
      </c>
      <c r="G1055" s="34">
        <f>IFERROR(IF(ISNUMBER($A1055),IF(AND(AH!$U$12=1,1050+1=AH!$U$6),IF(AH!$U$4=0,"unavailable",INDEX('Market Data'!$AK$5:$AK$66,AH!$U$4)),IF(AH!$U$5=1,INDEX('Live History'!$D$5:$D$3004,MATCH($A1055,'Live History'!$D$5:$D$3004,1)),INDEX('AH History'!$D$5:$GG$1380,$K1055,AH!$U$10+2))),NA()),NA())</f>
        <v/>
      </c>
      <c r="H1055" s="266">
        <f>IFERROR(IF(ISNUMBER($A1055),IF(AND(AH!$U$12=1,1050+1=AH!$U$6),IF(AH!$U$4=0,"unavailable",INDEX('Market Data'!$AP$5:$AP$66,AH!$U$4)),IF(AH!$U$5=1,INDEX('Live History'!$H$5:$H$3004,MATCH($A1055,'Live History'!$G$5:$G$3004,1)),INDEX('AH History'!$B$5:$B$1380,$K1055))),NA()),NA())</f>
        <v/>
      </c>
      <c r="I1055" s="34">
        <f>IFERROR(IF(ISNUMBER($A1055),IF(AND(AH!$U$12=1,1050+1=AH!$U$6),TODAY(),IF(AH!$U$5=1,INDEX('Live History'!$G$5:$G$3004,MATCH($A1055,'Live History'!$G$5:$G$3004,1)),INDEX('AH History'!$C$5:$C$1380,$K1055))),NA()),NA())</f>
        <v/>
      </c>
      <c r="J1055" s="32">
        <f>IFERROR(IF(AND($F1055&gt;0,$H1055&gt;0,$A1055-$G1055&lt;=10,$A1055-$I1055&lt;=5,$G1055&gt;0,$I1055&gt;0),$F1055*$H1055,NA()),NA())</f>
        <v/>
      </c>
      <c r="K1055" s="15">
        <f>IF($A1055="","",IF(AH!$U$5=1,IFERROR(MATCH($A1055,'Live History'!$A$5:$A$3004,0),0),AH!$U$7+1050))</f>
        <v/>
      </c>
      <c r="L1055" s="15">
        <f>IF(ISNUMBER(A1055),TEXT(A1055,"dd-mmm-yy"),"")</f>
        <v/>
      </c>
    </row>
    <row r="1056">
      <c r="A1056" s="14">
        <f>IF(OR(AH!$U$4=0,1051+1&gt;AH!$U$6,AND(AH!$M$5="Bloomberg",AH!$U$5=0)),"",IFERROR(IF(AND(AH!$U$12=1,1051+1=AH!$U$6),TODAY(),IF(AH!$U$5=1,INDEX('Live History'!$A$5:$A$3004,AH!$U$7+1051),INDEX('AH History'!$A$5:$A$1380,AH!$U$7+1051))),""))</f>
        <v/>
      </c>
      <c r="B1056" s="33">
        <f>IFERROR(IF(AH!$U$11=1,NA(),$J1056/$E1056-1),NA())</f>
        <v/>
      </c>
      <c r="C1056" s="269">
        <f>IFERROR(100*$E1056/$E$5,NA())</f>
        <v/>
      </c>
      <c r="D1056" s="269">
        <f>IFERROR(100*$J1056/$J$5,NA())</f>
        <v/>
      </c>
      <c r="E1056" s="32">
        <f>IFERROR(IF(AND(ISNUMBER($A1056),N(IF(AND(AH!$U$12=1,1051+1=AH!$U$6),IF(AH!$U$4=0,"unavailable",INDEX('Market Data'!$AN$5:$AN$66,AH!$U$4)),IF(AH!$U$5=1,INDEX('Live History'!$B$5:$B$3004,$K1056),INDEX('AH History'!$D$5:$GG$1380,$K1056,AH!$U$10))))&gt;0),IF(AND(AH!$U$12=1,1051+1=AH!$U$6),IF(AH!$U$4=0,"unavailable",INDEX('Market Data'!$AN$5:$AN$66,AH!$U$4)),IF(AH!$U$5=1,INDEX('Live History'!$B$5:$B$3004,$K1056),INDEX('AH History'!$D$5:$GG$1380,$K1056,AH!$U$10))),NA()),NA())</f>
        <v/>
      </c>
      <c r="F1056" s="32">
        <f>IFERROR(IF(ISNUMBER($A1056),IF(AND(AH!$U$12=1,1051+1=AH!$U$6),IF(AH!$U$4=0,"unavailable",INDEX('Market Data'!$AO$5:$AO$66,AH!$U$4)),IF(AH!$U$5=1,INDEX('Live History'!$E$5:$E$3004,MATCH($A1056,'Live History'!$D$5:$D$3004,1)),INDEX('AH History'!$D$5:$GG$1380,$K1056,AH!$U$10+1))),NA()),NA())</f>
        <v/>
      </c>
      <c r="G1056" s="34">
        <f>IFERROR(IF(ISNUMBER($A1056),IF(AND(AH!$U$12=1,1051+1=AH!$U$6),IF(AH!$U$4=0,"unavailable",INDEX('Market Data'!$AK$5:$AK$66,AH!$U$4)),IF(AH!$U$5=1,INDEX('Live History'!$D$5:$D$3004,MATCH($A1056,'Live History'!$D$5:$D$3004,1)),INDEX('AH History'!$D$5:$GG$1380,$K1056,AH!$U$10+2))),NA()),NA())</f>
        <v/>
      </c>
      <c r="H1056" s="266">
        <f>IFERROR(IF(ISNUMBER($A1056),IF(AND(AH!$U$12=1,1051+1=AH!$U$6),IF(AH!$U$4=0,"unavailable",INDEX('Market Data'!$AP$5:$AP$66,AH!$U$4)),IF(AH!$U$5=1,INDEX('Live History'!$H$5:$H$3004,MATCH($A1056,'Live History'!$G$5:$G$3004,1)),INDEX('AH History'!$B$5:$B$1380,$K1056))),NA()),NA())</f>
        <v/>
      </c>
      <c r="I1056" s="34">
        <f>IFERROR(IF(ISNUMBER($A1056),IF(AND(AH!$U$12=1,1051+1=AH!$U$6),TODAY(),IF(AH!$U$5=1,INDEX('Live History'!$G$5:$G$3004,MATCH($A1056,'Live History'!$G$5:$G$3004,1)),INDEX('AH History'!$C$5:$C$1380,$K1056))),NA()),NA())</f>
        <v/>
      </c>
      <c r="J1056" s="32">
        <f>IFERROR(IF(AND($F1056&gt;0,$H1056&gt;0,$A1056-$G1056&lt;=10,$A1056-$I1056&lt;=5,$G1056&gt;0,$I1056&gt;0),$F1056*$H1056,NA()),NA())</f>
        <v/>
      </c>
      <c r="K1056" s="15">
        <f>IF($A1056="","",IF(AH!$U$5=1,IFERROR(MATCH($A1056,'Live History'!$A$5:$A$3004,0),0),AH!$U$7+1051))</f>
        <v/>
      </c>
      <c r="L1056" s="15">
        <f>IF(ISNUMBER(A1056),TEXT(A1056,"dd-mmm-yy"),"")</f>
        <v/>
      </c>
    </row>
    <row r="1057">
      <c r="A1057" s="14">
        <f>IF(OR(AH!$U$4=0,1052+1&gt;AH!$U$6,AND(AH!$M$5="Bloomberg",AH!$U$5=0)),"",IFERROR(IF(AND(AH!$U$12=1,1052+1=AH!$U$6),TODAY(),IF(AH!$U$5=1,INDEX('Live History'!$A$5:$A$3004,AH!$U$7+1052),INDEX('AH History'!$A$5:$A$1380,AH!$U$7+1052))),""))</f>
        <v/>
      </c>
      <c r="B1057" s="33">
        <f>IFERROR(IF(AH!$U$11=1,NA(),$J1057/$E1057-1),NA())</f>
        <v/>
      </c>
      <c r="C1057" s="269">
        <f>IFERROR(100*$E1057/$E$5,NA())</f>
        <v/>
      </c>
      <c r="D1057" s="269">
        <f>IFERROR(100*$J1057/$J$5,NA())</f>
        <v/>
      </c>
      <c r="E1057" s="32">
        <f>IFERROR(IF(AND(ISNUMBER($A1057),N(IF(AND(AH!$U$12=1,1052+1=AH!$U$6),IF(AH!$U$4=0,"unavailable",INDEX('Market Data'!$AN$5:$AN$66,AH!$U$4)),IF(AH!$U$5=1,INDEX('Live History'!$B$5:$B$3004,$K1057),INDEX('AH History'!$D$5:$GG$1380,$K1057,AH!$U$10))))&gt;0),IF(AND(AH!$U$12=1,1052+1=AH!$U$6),IF(AH!$U$4=0,"unavailable",INDEX('Market Data'!$AN$5:$AN$66,AH!$U$4)),IF(AH!$U$5=1,INDEX('Live History'!$B$5:$B$3004,$K1057),INDEX('AH History'!$D$5:$GG$1380,$K1057,AH!$U$10))),NA()),NA())</f>
        <v/>
      </c>
      <c r="F1057" s="32">
        <f>IFERROR(IF(ISNUMBER($A1057),IF(AND(AH!$U$12=1,1052+1=AH!$U$6),IF(AH!$U$4=0,"unavailable",INDEX('Market Data'!$AO$5:$AO$66,AH!$U$4)),IF(AH!$U$5=1,INDEX('Live History'!$E$5:$E$3004,MATCH($A1057,'Live History'!$D$5:$D$3004,1)),INDEX('AH History'!$D$5:$GG$1380,$K1057,AH!$U$10+1))),NA()),NA())</f>
        <v/>
      </c>
      <c r="G1057" s="34">
        <f>IFERROR(IF(ISNUMBER($A1057),IF(AND(AH!$U$12=1,1052+1=AH!$U$6),IF(AH!$U$4=0,"unavailable",INDEX('Market Data'!$AK$5:$AK$66,AH!$U$4)),IF(AH!$U$5=1,INDEX('Live History'!$D$5:$D$3004,MATCH($A1057,'Live History'!$D$5:$D$3004,1)),INDEX('AH History'!$D$5:$GG$1380,$K1057,AH!$U$10+2))),NA()),NA())</f>
        <v/>
      </c>
      <c r="H1057" s="266">
        <f>IFERROR(IF(ISNUMBER($A1057),IF(AND(AH!$U$12=1,1052+1=AH!$U$6),IF(AH!$U$4=0,"unavailable",INDEX('Market Data'!$AP$5:$AP$66,AH!$U$4)),IF(AH!$U$5=1,INDEX('Live History'!$H$5:$H$3004,MATCH($A1057,'Live History'!$G$5:$G$3004,1)),INDEX('AH History'!$B$5:$B$1380,$K1057))),NA()),NA())</f>
        <v/>
      </c>
      <c r="I1057" s="34">
        <f>IFERROR(IF(ISNUMBER($A1057),IF(AND(AH!$U$12=1,1052+1=AH!$U$6),TODAY(),IF(AH!$U$5=1,INDEX('Live History'!$G$5:$G$3004,MATCH($A1057,'Live History'!$G$5:$G$3004,1)),INDEX('AH History'!$C$5:$C$1380,$K1057))),NA()),NA())</f>
        <v/>
      </c>
      <c r="J1057" s="32">
        <f>IFERROR(IF(AND($F1057&gt;0,$H1057&gt;0,$A1057-$G1057&lt;=10,$A1057-$I1057&lt;=5,$G1057&gt;0,$I1057&gt;0),$F1057*$H1057,NA()),NA())</f>
        <v/>
      </c>
      <c r="K1057" s="15">
        <f>IF($A1057="","",IF(AH!$U$5=1,IFERROR(MATCH($A1057,'Live History'!$A$5:$A$3004,0),0),AH!$U$7+1052))</f>
        <v/>
      </c>
      <c r="L1057" s="15">
        <f>IF(ISNUMBER(A1057),TEXT(A1057,"dd-mmm-yy"),"")</f>
        <v/>
      </c>
    </row>
    <row r="1058">
      <c r="A1058" s="14">
        <f>IF(OR(AH!$U$4=0,1053+1&gt;AH!$U$6,AND(AH!$M$5="Bloomberg",AH!$U$5=0)),"",IFERROR(IF(AND(AH!$U$12=1,1053+1=AH!$U$6),TODAY(),IF(AH!$U$5=1,INDEX('Live History'!$A$5:$A$3004,AH!$U$7+1053),INDEX('AH History'!$A$5:$A$1380,AH!$U$7+1053))),""))</f>
        <v/>
      </c>
      <c r="B1058" s="33">
        <f>IFERROR(IF(AH!$U$11=1,NA(),$J1058/$E1058-1),NA())</f>
        <v/>
      </c>
      <c r="C1058" s="269">
        <f>IFERROR(100*$E1058/$E$5,NA())</f>
        <v/>
      </c>
      <c r="D1058" s="269">
        <f>IFERROR(100*$J1058/$J$5,NA())</f>
        <v/>
      </c>
      <c r="E1058" s="32">
        <f>IFERROR(IF(AND(ISNUMBER($A1058),N(IF(AND(AH!$U$12=1,1053+1=AH!$U$6),IF(AH!$U$4=0,"unavailable",INDEX('Market Data'!$AN$5:$AN$66,AH!$U$4)),IF(AH!$U$5=1,INDEX('Live History'!$B$5:$B$3004,$K1058),INDEX('AH History'!$D$5:$GG$1380,$K1058,AH!$U$10))))&gt;0),IF(AND(AH!$U$12=1,1053+1=AH!$U$6),IF(AH!$U$4=0,"unavailable",INDEX('Market Data'!$AN$5:$AN$66,AH!$U$4)),IF(AH!$U$5=1,INDEX('Live History'!$B$5:$B$3004,$K1058),INDEX('AH History'!$D$5:$GG$1380,$K1058,AH!$U$10))),NA()),NA())</f>
        <v/>
      </c>
      <c r="F1058" s="32">
        <f>IFERROR(IF(ISNUMBER($A1058),IF(AND(AH!$U$12=1,1053+1=AH!$U$6),IF(AH!$U$4=0,"unavailable",INDEX('Market Data'!$AO$5:$AO$66,AH!$U$4)),IF(AH!$U$5=1,INDEX('Live History'!$E$5:$E$3004,MATCH($A1058,'Live History'!$D$5:$D$3004,1)),INDEX('AH History'!$D$5:$GG$1380,$K1058,AH!$U$10+1))),NA()),NA())</f>
        <v/>
      </c>
      <c r="G1058" s="34">
        <f>IFERROR(IF(ISNUMBER($A1058),IF(AND(AH!$U$12=1,1053+1=AH!$U$6),IF(AH!$U$4=0,"unavailable",INDEX('Market Data'!$AK$5:$AK$66,AH!$U$4)),IF(AH!$U$5=1,INDEX('Live History'!$D$5:$D$3004,MATCH($A1058,'Live History'!$D$5:$D$3004,1)),INDEX('AH History'!$D$5:$GG$1380,$K1058,AH!$U$10+2))),NA()),NA())</f>
        <v/>
      </c>
      <c r="H1058" s="266">
        <f>IFERROR(IF(ISNUMBER($A1058),IF(AND(AH!$U$12=1,1053+1=AH!$U$6),IF(AH!$U$4=0,"unavailable",INDEX('Market Data'!$AP$5:$AP$66,AH!$U$4)),IF(AH!$U$5=1,INDEX('Live History'!$H$5:$H$3004,MATCH($A1058,'Live History'!$G$5:$G$3004,1)),INDEX('AH History'!$B$5:$B$1380,$K1058))),NA()),NA())</f>
        <v/>
      </c>
      <c r="I1058" s="34">
        <f>IFERROR(IF(ISNUMBER($A1058),IF(AND(AH!$U$12=1,1053+1=AH!$U$6),TODAY(),IF(AH!$U$5=1,INDEX('Live History'!$G$5:$G$3004,MATCH($A1058,'Live History'!$G$5:$G$3004,1)),INDEX('AH History'!$C$5:$C$1380,$K1058))),NA()),NA())</f>
        <v/>
      </c>
      <c r="J1058" s="32">
        <f>IFERROR(IF(AND($F1058&gt;0,$H1058&gt;0,$A1058-$G1058&lt;=10,$A1058-$I1058&lt;=5,$G1058&gt;0,$I1058&gt;0),$F1058*$H1058,NA()),NA())</f>
        <v/>
      </c>
      <c r="K1058" s="15">
        <f>IF($A1058="","",IF(AH!$U$5=1,IFERROR(MATCH($A1058,'Live History'!$A$5:$A$3004,0),0),AH!$U$7+1053))</f>
        <v/>
      </c>
      <c r="L1058" s="15">
        <f>IF(ISNUMBER(A1058),TEXT(A1058,"dd-mmm-yy"),"")</f>
        <v/>
      </c>
    </row>
    <row r="1059">
      <c r="A1059" s="14">
        <f>IF(OR(AH!$U$4=0,1054+1&gt;AH!$U$6,AND(AH!$M$5="Bloomberg",AH!$U$5=0)),"",IFERROR(IF(AND(AH!$U$12=1,1054+1=AH!$U$6),TODAY(),IF(AH!$U$5=1,INDEX('Live History'!$A$5:$A$3004,AH!$U$7+1054),INDEX('AH History'!$A$5:$A$1380,AH!$U$7+1054))),""))</f>
        <v/>
      </c>
      <c r="B1059" s="33">
        <f>IFERROR(IF(AH!$U$11=1,NA(),$J1059/$E1059-1),NA())</f>
        <v/>
      </c>
      <c r="C1059" s="269">
        <f>IFERROR(100*$E1059/$E$5,NA())</f>
        <v/>
      </c>
      <c r="D1059" s="269">
        <f>IFERROR(100*$J1059/$J$5,NA())</f>
        <v/>
      </c>
      <c r="E1059" s="32">
        <f>IFERROR(IF(AND(ISNUMBER($A1059),N(IF(AND(AH!$U$12=1,1054+1=AH!$U$6),IF(AH!$U$4=0,"unavailable",INDEX('Market Data'!$AN$5:$AN$66,AH!$U$4)),IF(AH!$U$5=1,INDEX('Live History'!$B$5:$B$3004,$K1059),INDEX('AH History'!$D$5:$GG$1380,$K1059,AH!$U$10))))&gt;0),IF(AND(AH!$U$12=1,1054+1=AH!$U$6),IF(AH!$U$4=0,"unavailable",INDEX('Market Data'!$AN$5:$AN$66,AH!$U$4)),IF(AH!$U$5=1,INDEX('Live History'!$B$5:$B$3004,$K1059),INDEX('AH History'!$D$5:$GG$1380,$K1059,AH!$U$10))),NA()),NA())</f>
        <v/>
      </c>
      <c r="F1059" s="32">
        <f>IFERROR(IF(ISNUMBER($A1059),IF(AND(AH!$U$12=1,1054+1=AH!$U$6),IF(AH!$U$4=0,"unavailable",INDEX('Market Data'!$AO$5:$AO$66,AH!$U$4)),IF(AH!$U$5=1,INDEX('Live History'!$E$5:$E$3004,MATCH($A1059,'Live History'!$D$5:$D$3004,1)),INDEX('AH History'!$D$5:$GG$1380,$K1059,AH!$U$10+1))),NA()),NA())</f>
        <v/>
      </c>
      <c r="G1059" s="34">
        <f>IFERROR(IF(ISNUMBER($A1059),IF(AND(AH!$U$12=1,1054+1=AH!$U$6),IF(AH!$U$4=0,"unavailable",INDEX('Market Data'!$AK$5:$AK$66,AH!$U$4)),IF(AH!$U$5=1,INDEX('Live History'!$D$5:$D$3004,MATCH($A1059,'Live History'!$D$5:$D$3004,1)),INDEX('AH History'!$D$5:$GG$1380,$K1059,AH!$U$10+2))),NA()),NA())</f>
        <v/>
      </c>
      <c r="H1059" s="266">
        <f>IFERROR(IF(ISNUMBER($A1059),IF(AND(AH!$U$12=1,1054+1=AH!$U$6),IF(AH!$U$4=0,"unavailable",INDEX('Market Data'!$AP$5:$AP$66,AH!$U$4)),IF(AH!$U$5=1,INDEX('Live History'!$H$5:$H$3004,MATCH($A1059,'Live History'!$G$5:$G$3004,1)),INDEX('AH History'!$B$5:$B$1380,$K1059))),NA()),NA())</f>
        <v/>
      </c>
      <c r="I1059" s="34">
        <f>IFERROR(IF(ISNUMBER($A1059),IF(AND(AH!$U$12=1,1054+1=AH!$U$6),TODAY(),IF(AH!$U$5=1,INDEX('Live History'!$G$5:$G$3004,MATCH($A1059,'Live History'!$G$5:$G$3004,1)),INDEX('AH History'!$C$5:$C$1380,$K1059))),NA()),NA())</f>
        <v/>
      </c>
      <c r="J1059" s="32">
        <f>IFERROR(IF(AND($F1059&gt;0,$H1059&gt;0,$A1059-$G1059&lt;=10,$A1059-$I1059&lt;=5,$G1059&gt;0,$I1059&gt;0),$F1059*$H1059,NA()),NA())</f>
        <v/>
      </c>
      <c r="K1059" s="15">
        <f>IF($A1059="","",IF(AH!$U$5=1,IFERROR(MATCH($A1059,'Live History'!$A$5:$A$3004,0),0),AH!$U$7+1054))</f>
        <v/>
      </c>
      <c r="L1059" s="15">
        <f>IF(ISNUMBER(A1059),TEXT(A1059,"dd-mmm-yy"),"")</f>
        <v/>
      </c>
    </row>
    <row r="1060">
      <c r="A1060" s="14">
        <f>IF(OR(AH!$U$4=0,1055+1&gt;AH!$U$6,AND(AH!$M$5="Bloomberg",AH!$U$5=0)),"",IFERROR(IF(AND(AH!$U$12=1,1055+1=AH!$U$6),TODAY(),IF(AH!$U$5=1,INDEX('Live History'!$A$5:$A$3004,AH!$U$7+1055),INDEX('AH History'!$A$5:$A$1380,AH!$U$7+1055))),""))</f>
        <v/>
      </c>
      <c r="B1060" s="33">
        <f>IFERROR(IF(AH!$U$11=1,NA(),$J1060/$E1060-1),NA())</f>
        <v/>
      </c>
      <c r="C1060" s="269">
        <f>IFERROR(100*$E1060/$E$5,NA())</f>
        <v/>
      </c>
      <c r="D1060" s="269">
        <f>IFERROR(100*$J1060/$J$5,NA())</f>
        <v/>
      </c>
      <c r="E1060" s="32">
        <f>IFERROR(IF(AND(ISNUMBER($A1060),N(IF(AND(AH!$U$12=1,1055+1=AH!$U$6),IF(AH!$U$4=0,"unavailable",INDEX('Market Data'!$AN$5:$AN$66,AH!$U$4)),IF(AH!$U$5=1,INDEX('Live History'!$B$5:$B$3004,$K1060),INDEX('AH History'!$D$5:$GG$1380,$K1060,AH!$U$10))))&gt;0),IF(AND(AH!$U$12=1,1055+1=AH!$U$6),IF(AH!$U$4=0,"unavailable",INDEX('Market Data'!$AN$5:$AN$66,AH!$U$4)),IF(AH!$U$5=1,INDEX('Live History'!$B$5:$B$3004,$K1060),INDEX('AH History'!$D$5:$GG$1380,$K1060,AH!$U$10))),NA()),NA())</f>
        <v/>
      </c>
      <c r="F1060" s="32">
        <f>IFERROR(IF(ISNUMBER($A1060),IF(AND(AH!$U$12=1,1055+1=AH!$U$6),IF(AH!$U$4=0,"unavailable",INDEX('Market Data'!$AO$5:$AO$66,AH!$U$4)),IF(AH!$U$5=1,INDEX('Live History'!$E$5:$E$3004,MATCH($A1060,'Live History'!$D$5:$D$3004,1)),INDEX('AH History'!$D$5:$GG$1380,$K1060,AH!$U$10+1))),NA()),NA())</f>
        <v/>
      </c>
      <c r="G1060" s="34">
        <f>IFERROR(IF(ISNUMBER($A1060),IF(AND(AH!$U$12=1,1055+1=AH!$U$6),IF(AH!$U$4=0,"unavailable",INDEX('Market Data'!$AK$5:$AK$66,AH!$U$4)),IF(AH!$U$5=1,INDEX('Live History'!$D$5:$D$3004,MATCH($A1060,'Live History'!$D$5:$D$3004,1)),INDEX('AH History'!$D$5:$GG$1380,$K1060,AH!$U$10+2))),NA()),NA())</f>
        <v/>
      </c>
      <c r="H1060" s="266">
        <f>IFERROR(IF(ISNUMBER($A1060),IF(AND(AH!$U$12=1,1055+1=AH!$U$6),IF(AH!$U$4=0,"unavailable",INDEX('Market Data'!$AP$5:$AP$66,AH!$U$4)),IF(AH!$U$5=1,INDEX('Live History'!$H$5:$H$3004,MATCH($A1060,'Live History'!$G$5:$G$3004,1)),INDEX('AH History'!$B$5:$B$1380,$K1060))),NA()),NA())</f>
        <v/>
      </c>
      <c r="I1060" s="34">
        <f>IFERROR(IF(ISNUMBER($A1060),IF(AND(AH!$U$12=1,1055+1=AH!$U$6),TODAY(),IF(AH!$U$5=1,INDEX('Live History'!$G$5:$G$3004,MATCH($A1060,'Live History'!$G$5:$G$3004,1)),INDEX('AH History'!$C$5:$C$1380,$K1060))),NA()),NA())</f>
        <v/>
      </c>
      <c r="J1060" s="32">
        <f>IFERROR(IF(AND($F1060&gt;0,$H1060&gt;0,$A1060-$G1060&lt;=10,$A1060-$I1060&lt;=5,$G1060&gt;0,$I1060&gt;0),$F1060*$H1060,NA()),NA())</f>
        <v/>
      </c>
      <c r="K1060" s="15">
        <f>IF($A1060="","",IF(AH!$U$5=1,IFERROR(MATCH($A1060,'Live History'!$A$5:$A$3004,0),0),AH!$U$7+1055))</f>
        <v/>
      </c>
      <c r="L1060" s="15">
        <f>IF(ISNUMBER(A1060),TEXT(A1060,"dd-mmm-yy"),"")</f>
        <v/>
      </c>
    </row>
    <row r="1061">
      <c r="A1061" s="14">
        <f>IF(OR(AH!$U$4=0,1056+1&gt;AH!$U$6,AND(AH!$M$5="Bloomberg",AH!$U$5=0)),"",IFERROR(IF(AND(AH!$U$12=1,1056+1=AH!$U$6),TODAY(),IF(AH!$U$5=1,INDEX('Live History'!$A$5:$A$3004,AH!$U$7+1056),INDEX('AH History'!$A$5:$A$1380,AH!$U$7+1056))),""))</f>
        <v/>
      </c>
      <c r="B1061" s="33">
        <f>IFERROR(IF(AH!$U$11=1,NA(),$J1061/$E1061-1),NA())</f>
        <v/>
      </c>
      <c r="C1061" s="269">
        <f>IFERROR(100*$E1061/$E$5,NA())</f>
        <v/>
      </c>
      <c r="D1061" s="269">
        <f>IFERROR(100*$J1061/$J$5,NA())</f>
        <v/>
      </c>
      <c r="E1061" s="32">
        <f>IFERROR(IF(AND(ISNUMBER($A1061),N(IF(AND(AH!$U$12=1,1056+1=AH!$U$6),IF(AH!$U$4=0,"unavailable",INDEX('Market Data'!$AN$5:$AN$66,AH!$U$4)),IF(AH!$U$5=1,INDEX('Live History'!$B$5:$B$3004,$K1061),INDEX('AH History'!$D$5:$GG$1380,$K1061,AH!$U$10))))&gt;0),IF(AND(AH!$U$12=1,1056+1=AH!$U$6),IF(AH!$U$4=0,"unavailable",INDEX('Market Data'!$AN$5:$AN$66,AH!$U$4)),IF(AH!$U$5=1,INDEX('Live History'!$B$5:$B$3004,$K1061),INDEX('AH History'!$D$5:$GG$1380,$K1061,AH!$U$10))),NA()),NA())</f>
        <v/>
      </c>
      <c r="F1061" s="32">
        <f>IFERROR(IF(ISNUMBER($A1061),IF(AND(AH!$U$12=1,1056+1=AH!$U$6),IF(AH!$U$4=0,"unavailable",INDEX('Market Data'!$AO$5:$AO$66,AH!$U$4)),IF(AH!$U$5=1,INDEX('Live History'!$E$5:$E$3004,MATCH($A1061,'Live History'!$D$5:$D$3004,1)),INDEX('AH History'!$D$5:$GG$1380,$K1061,AH!$U$10+1))),NA()),NA())</f>
        <v/>
      </c>
      <c r="G1061" s="34">
        <f>IFERROR(IF(ISNUMBER($A1061),IF(AND(AH!$U$12=1,1056+1=AH!$U$6),IF(AH!$U$4=0,"unavailable",INDEX('Market Data'!$AK$5:$AK$66,AH!$U$4)),IF(AH!$U$5=1,INDEX('Live History'!$D$5:$D$3004,MATCH($A1061,'Live History'!$D$5:$D$3004,1)),INDEX('AH History'!$D$5:$GG$1380,$K1061,AH!$U$10+2))),NA()),NA())</f>
        <v/>
      </c>
      <c r="H1061" s="266">
        <f>IFERROR(IF(ISNUMBER($A1061),IF(AND(AH!$U$12=1,1056+1=AH!$U$6),IF(AH!$U$4=0,"unavailable",INDEX('Market Data'!$AP$5:$AP$66,AH!$U$4)),IF(AH!$U$5=1,INDEX('Live History'!$H$5:$H$3004,MATCH($A1061,'Live History'!$G$5:$G$3004,1)),INDEX('AH History'!$B$5:$B$1380,$K1061))),NA()),NA())</f>
        <v/>
      </c>
      <c r="I1061" s="34">
        <f>IFERROR(IF(ISNUMBER($A1061),IF(AND(AH!$U$12=1,1056+1=AH!$U$6),TODAY(),IF(AH!$U$5=1,INDEX('Live History'!$G$5:$G$3004,MATCH($A1061,'Live History'!$G$5:$G$3004,1)),INDEX('AH History'!$C$5:$C$1380,$K1061))),NA()),NA())</f>
        <v/>
      </c>
      <c r="J1061" s="32">
        <f>IFERROR(IF(AND($F1061&gt;0,$H1061&gt;0,$A1061-$G1061&lt;=10,$A1061-$I1061&lt;=5,$G1061&gt;0,$I1061&gt;0),$F1061*$H1061,NA()),NA())</f>
        <v/>
      </c>
      <c r="K1061" s="15">
        <f>IF($A1061="","",IF(AH!$U$5=1,IFERROR(MATCH($A1061,'Live History'!$A$5:$A$3004,0),0),AH!$U$7+1056))</f>
        <v/>
      </c>
      <c r="L1061" s="15">
        <f>IF(ISNUMBER(A1061),TEXT(A1061,"dd-mmm-yy"),"")</f>
        <v/>
      </c>
    </row>
    <row r="1062">
      <c r="A1062" s="14">
        <f>IF(OR(AH!$U$4=0,1057+1&gt;AH!$U$6,AND(AH!$M$5="Bloomberg",AH!$U$5=0)),"",IFERROR(IF(AND(AH!$U$12=1,1057+1=AH!$U$6),TODAY(),IF(AH!$U$5=1,INDEX('Live History'!$A$5:$A$3004,AH!$U$7+1057),INDEX('AH History'!$A$5:$A$1380,AH!$U$7+1057))),""))</f>
        <v/>
      </c>
      <c r="B1062" s="33">
        <f>IFERROR(IF(AH!$U$11=1,NA(),$J1062/$E1062-1),NA())</f>
        <v/>
      </c>
      <c r="C1062" s="269">
        <f>IFERROR(100*$E1062/$E$5,NA())</f>
        <v/>
      </c>
      <c r="D1062" s="269">
        <f>IFERROR(100*$J1062/$J$5,NA())</f>
        <v/>
      </c>
      <c r="E1062" s="32">
        <f>IFERROR(IF(AND(ISNUMBER($A1062),N(IF(AND(AH!$U$12=1,1057+1=AH!$U$6),IF(AH!$U$4=0,"unavailable",INDEX('Market Data'!$AN$5:$AN$66,AH!$U$4)),IF(AH!$U$5=1,INDEX('Live History'!$B$5:$B$3004,$K1062),INDEX('AH History'!$D$5:$GG$1380,$K1062,AH!$U$10))))&gt;0),IF(AND(AH!$U$12=1,1057+1=AH!$U$6),IF(AH!$U$4=0,"unavailable",INDEX('Market Data'!$AN$5:$AN$66,AH!$U$4)),IF(AH!$U$5=1,INDEX('Live History'!$B$5:$B$3004,$K1062),INDEX('AH History'!$D$5:$GG$1380,$K1062,AH!$U$10))),NA()),NA())</f>
        <v/>
      </c>
      <c r="F1062" s="32">
        <f>IFERROR(IF(ISNUMBER($A1062),IF(AND(AH!$U$12=1,1057+1=AH!$U$6),IF(AH!$U$4=0,"unavailable",INDEX('Market Data'!$AO$5:$AO$66,AH!$U$4)),IF(AH!$U$5=1,INDEX('Live History'!$E$5:$E$3004,MATCH($A1062,'Live History'!$D$5:$D$3004,1)),INDEX('AH History'!$D$5:$GG$1380,$K1062,AH!$U$10+1))),NA()),NA())</f>
        <v/>
      </c>
      <c r="G1062" s="34">
        <f>IFERROR(IF(ISNUMBER($A1062),IF(AND(AH!$U$12=1,1057+1=AH!$U$6),IF(AH!$U$4=0,"unavailable",INDEX('Market Data'!$AK$5:$AK$66,AH!$U$4)),IF(AH!$U$5=1,INDEX('Live History'!$D$5:$D$3004,MATCH($A1062,'Live History'!$D$5:$D$3004,1)),INDEX('AH History'!$D$5:$GG$1380,$K1062,AH!$U$10+2))),NA()),NA())</f>
        <v/>
      </c>
      <c r="H1062" s="266">
        <f>IFERROR(IF(ISNUMBER($A1062),IF(AND(AH!$U$12=1,1057+1=AH!$U$6),IF(AH!$U$4=0,"unavailable",INDEX('Market Data'!$AP$5:$AP$66,AH!$U$4)),IF(AH!$U$5=1,INDEX('Live History'!$H$5:$H$3004,MATCH($A1062,'Live History'!$G$5:$G$3004,1)),INDEX('AH History'!$B$5:$B$1380,$K1062))),NA()),NA())</f>
        <v/>
      </c>
      <c r="I1062" s="34">
        <f>IFERROR(IF(ISNUMBER($A1062),IF(AND(AH!$U$12=1,1057+1=AH!$U$6),TODAY(),IF(AH!$U$5=1,INDEX('Live History'!$G$5:$G$3004,MATCH($A1062,'Live History'!$G$5:$G$3004,1)),INDEX('AH History'!$C$5:$C$1380,$K1062))),NA()),NA())</f>
        <v/>
      </c>
      <c r="J1062" s="32">
        <f>IFERROR(IF(AND($F1062&gt;0,$H1062&gt;0,$A1062-$G1062&lt;=10,$A1062-$I1062&lt;=5,$G1062&gt;0,$I1062&gt;0),$F1062*$H1062,NA()),NA())</f>
        <v/>
      </c>
      <c r="K1062" s="15">
        <f>IF($A1062="","",IF(AH!$U$5=1,IFERROR(MATCH($A1062,'Live History'!$A$5:$A$3004,0),0),AH!$U$7+1057))</f>
        <v/>
      </c>
      <c r="L1062" s="15">
        <f>IF(ISNUMBER(A1062),TEXT(A1062,"dd-mmm-yy"),"")</f>
        <v/>
      </c>
    </row>
    <row r="1063">
      <c r="A1063" s="14">
        <f>IF(OR(AH!$U$4=0,1058+1&gt;AH!$U$6,AND(AH!$M$5="Bloomberg",AH!$U$5=0)),"",IFERROR(IF(AND(AH!$U$12=1,1058+1=AH!$U$6),TODAY(),IF(AH!$U$5=1,INDEX('Live History'!$A$5:$A$3004,AH!$U$7+1058),INDEX('AH History'!$A$5:$A$1380,AH!$U$7+1058))),""))</f>
        <v/>
      </c>
      <c r="B1063" s="33">
        <f>IFERROR(IF(AH!$U$11=1,NA(),$J1063/$E1063-1),NA())</f>
        <v/>
      </c>
      <c r="C1063" s="269">
        <f>IFERROR(100*$E1063/$E$5,NA())</f>
        <v/>
      </c>
      <c r="D1063" s="269">
        <f>IFERROR(100*$J1063/$J$5,NA())</f>
        <v/>
      </c>
      <c r="E1063" s="32">
        <f>IFERROR(IF(AND(ISNUMBER($A1063),N(IF(AND(AH!$U$12=1,1058+1=AH!$U$6),IF(AH!$U$4=0,"unavailable",INDEX('Market Data'!$AN$5:$AN$66,AH!$U$4)),IF(AH!$U$5=1,INDEX('Live History'!$B$5:$B$3004,$K1063),INDEX('AH History'!$D$5:$GG$1380,$K1063,AH!$U$10))))&gt;0),IF(AND(AH!$U$12=1,1058+1=AH!$U$6),IF(AH!$U$4=0,"unavailable",INDEX('Market Data'!$AN$5:$AN$66,AH!$U$4)),IF(AH!$U$5=1,INDEX('Live History'!$B$5:$B$3004,$K1063),INDEX('AH History'!$D$5:$GG$1380,$K1063,AH!$U$10))),NA()),NA())</f>
        <v/>
      </c>
      <c r="F1063" s="32">
        <f>IFERROR(IF(ISNUMBER($A1063),IF(AND(AH!$U$12=1,1058+1=AH!$U$6),IF(AH!$U$4=0,"unavailable",INDEX('Market Data'!$AO$5:$AO$66,AH!$U$4)),IF(AH!$U$5=1,INDEX('Live History'!$E$5:$E$3004,MATCH($A1063,'Live History'!$D$5:$D$3004,1)),INDEX('AH History'!$D$5:$GG$1380,$K1063,AH!$U$10+1))),NA()),NA())</f>
        <v/>
      </c>
      <c r="G1063" s="34">
        <f>IFERROR(IF(ISNUMBER($A1063),IF(AND(AH!$U$12=1,1058+1=AH!$U$6),IF(AH!$U$4=0,"unavailable",INDEX('Market Data'!$AK$5:$AK$66,AH!$U$4)),IF(AH!$U$5=1,INDEX('Live History'!$D$5:$D$3004,MATCH($A1063,'Live History'!$D$5:$D$3004,1)),INDEX('AH History'!$D$5:$GG$1380,$K1063,AH!$U$10+2))),NA()),NA())</f>
        <v/>
      </c>
      <c r="H1063" s="266">
        <f>IFERROR(IF(ISNUMBER($A1063),IF(AND(AH!$U$12=1,1058+1=AH!$U$6),IF(AH!$U$4=0,"unavailable",INDEX('Market Data'!$AP$5:$AP$66,AH!$U$4)),IF(AH!$U$5=1,INDEX('Live History'!$H$5:$H$3004,MATCH($A1063,'Live History'!$G$5:$G$3004,1)),INDEX('AH History'!$B$5:$B$1380,$K1063))),NA()),NA())</f>
        <v/>
      </c>
      <c r="I1063" s="34">
        <f>IFERROR(IF(ISNUMBER($A1063),IF(AND(AH!$U$12=1,1058+1=AH!$U$6),TODAY(),IF(AH!$U$5=1,INDEX('Live History'!$G$5:$G$3004,MATCH($A1063,'Live History'!$G$5:$G$3004,1)),INDEX('AH History'!$C$5:$C$1380,$K1063))),NA()),NA())</f>
        <v/>
      </c>
      <c r="J1063" s="32">
        <f>IFERROR(IF(AND($F1063&gt;0,$H1063&gt;0,$A1063-$G1063&lt;=10,$A1063-$I1063&lt;=5,$G1063&gt;0,$I1063&gt;0),$F1063*$H1063,NA()),NA())</f>
        <v/>
      </c>
      <c r="K1063" s="15">
        <f>IF($A1063="","",IF(AH!$U$5=1,IFERROR(MATCH($A1063,'Live History'!$A$5:$A$3004,0),0),AH!$U$7+1058))</f>
        <v/>
      </c>
      <c r="L1063" s="15">
        <f>IF(ISNUMBER(A1063),TEXT(A1063,"dd-mmm-yy"),"")</f>
        <v/>
      </c>
    </row>
    <row r="1064">
      <c r="A1064" s="14">
        <f>IF(OR(AH!$U$4=0,1059+1&gt;AH!$U$6,AND(AH!$M$5="Bloomberg",AH!$U$5=0)),"",IFERROR(IF(AND(AH!$U$12=1,1059+1=AH!$U$6),TODAY(),IF(AH!$U$5=1,INDEX('Live History'!$A$5:$A$3004,AH!$U$7+1059),INDEX('AH History'!$A$5:$A$1380,AH!$U$7+1059))),""))</f>
        <v/>
      </c>
      <c r="B1064" s="33">
        <f>IFERROR(IF(AH!$U$11=1,NA(),$J1064/$E1064-1),NA())</f>
        <v/>
      </c>
      <c r="C1064" s="269">
        <f>IFERROR(100*$E1064/$E$5,NA())</f>
        <v/>
      </c>
      <c r="D1064" s="269">
        <f>IFERROR(100*$J1064/$J$5,NA())</f>
        <v/>
      </c>
      <c r="E1064" s="32">
        <f>IFERROR(IF(AND(ISNUMBER($A1064),N(IF(AND(AH!$U$12=1,1059+1=AH!$U$6),IF(AH!$U$4=0,"unavailable",INDEX('Market Data'!$AN$5:$AN$66,AH!$U$4)),IF(AH!$U$5=1,INDEX('Live History'!$B$5:$B$3004,$K1064),INDEX('AH History'!$D$5:$GG$1380,$K1064,AH!$U$10))))&gt;0),IF(AND(AH!$U$12=1,1059+1=AH!$U$6),IF(AH!$U$4=0,"unavailable",INDEX('Market Data'!$AN$5:$AN$66,AH!$U$4)),IF(AH!$U$5=1,INDEX('Live History'!$B$5:$B$3004,$K1064),INDEX('AH History'!$D$5:$GG$1380,$K1064,AH!$U$10))),NA()),NA())</f>
        <v/>
      </c>
      <c r="F1064" s="32">
        <f>IFERROR(IF(ISNUMBER($A1064),IF(AND(AH!$U$12=1,1059+1=AH!$U$6),IF(AH!$U$4=0,"unavailable",INDEX('Market Data'!$AO$5:$AO$66,AH!$U$4)),IF(AH!$U$5=1,INDEX('Live History'!$E$5:$E$3004,MATCH($A1064,'Live History'!$D$5:$D$3004,1)),INDEX('AH History'!$D$5:$GG$1380,$K1064,AH!$U$10+1))),NA()),NA())</f>
        <v/>
      </c>
      <c r="G1064" s="34">
        <f>IFERROR(IF(ISNUMBER($A1064),IF(AND(AH!$U$12=1,1059+1=AH!$U$6),IF(AH!$U$4=0,"unavailable",INDEX('Market Data'!$AK$5:$AK$66,AH!$U$4)),IF(AH!$U$5=1,INDEX('Live History'!$D$5:$D$3004,MATCH($A1064,'Live History'!$D$5:$D$3004,1)),INDEX('AH History'!$D$5:$GG$1380,$K1064,AH!$U$10+2))),NA()),NA())</f>
        <v/>
      </c>
      <c r="H1064" s="266">
        <f>IFERROR(IF(ISNUMBER($A1064),IF(AND(AH!$U$12=1,1059+1=AH!$U$6),IF(AH!$U$4=0,"unavailable",INDEX('Market Data'!$AP$5:$AP$66,AH!$U$4)),IF(AH!$U$5=1,INDEX('Live History'!$H$5:$H$3004,MATCH($A1064,'Live History'!$G$5:$G$3004,1)),INDEX('AH History'!$B$5:$B$1380,$K1064))),NA()),NA())</f>
        <v/>
      </c>
      <c r="I1064" s="34">
        <f>IFERROR(IF(ISNUMBER($A1064),IF(AND(AH!$U$12=1,1059+1=AH!$U$6),TODAY(),IF(AH!$U$5=1,INDEX('Live History'!$G$5:$G$3004,MATCH($A1064,'Live History'!$G$5:$G$3004,1)),INDEX('AH History'!$C$5:$C$1380,$K1064))),NA()),NA())</f>
        <v/>
      </c>
      <c r="J1064" s="32">
        <f>IFERROR(IF(AND($F1064&gt;0,$H1064&gt;0,$A1064-$G1064&lt;=10,$A1064-$I1064&lt;=5,$G1064&gt;0,$I1064&gt;0),$F1064*$H1064,NA()),NA())</f>
        <v/>
      </c>
      <c r="K1064" s="15">
        <f>IF($A1064="","",IF(AH!$U$5=1,IFERROR(MATCH($A1064,'Live History'!$A$5:$A$3004,0),0),AH!$U$7+1059))</f>
        <v/>
      </c>
      <c r="L1064" s="15">
        <f>IF(ISNUMBER(A1064),TEXT(A1064,"dd-mmm-yy"),"")</f>
        <v/>
      </c>
    </row>
    <row r="1065">
      <c r="A1065" s="14">
        <f>IF(OR(AH!$U$4=0,1060+1&gt;AH!$U$6,AND(AH!$M$5="Bloomberg",AH!$U$5=0)),"",IFERROR(IF(AND(AH!$U$12=1,1060+1=AH!$U$6),TODAY(),IF(AH!$U$5=1,INDEX('Live History'!$A$5:$A$3004,AH!$U$7+1060),INDEX('AH History'!$A$5:$A$1380,AH!$U$7+1060))),""))</f>
        <v/>
      </c>
      <c r="B1065" s="33">
        <f>IFERROR(IF(AH!$U$11=1,NA(),$J1065/$E1065-1),NA())</f>
        <v/>
      </c>
      <c r="C1065" s="269">
        <f>IFERROR(100*$E1065/$E$5,NA())</f>
        <v/>
      </c>
      <c r="D1065" s="269">
        <f>IFERROR(100*$J1065/$J$5,NA())</f>
        <v/>
      </c>
      <c r="E1065" s="32">
        <f>IFERROR(IF(AND(ISNUMBER($A1065),N(IF(AND(AH!$U$12=1,1060+1=AH!$U$6),IF(AH!$U$4=0,"unavailable",INDEX('Market Data'!$AN$5:$AN$66,AH!$U$4)),IF(AH!$U$5=1,INDEX('Live History'!$B$5:$B$3004,$K1065),INDEX('AH History'!$D$5:$GG$1380,$K1065,AH!$U$10))))&gt;0),IF(AND(AH!$U$12=1,1060+1=AH!$U$6),IF(AH!$U$4=0,"unavailable",INDEX('Market Data'!$AN$5:$AN$66,AH!$U$4)),IF(AH!$U$5=1,INDEX('Live History'!$B$5:$B$3004,$K1065),INDEX('AH History'!$D$5:$GG$1380,$K1065,AH!$U$10))),NA()),NA())</f>
        <v/>
      </c>
      <c r="F1065" s="32">
        <f>IFERROR(IF(ISNUMBER($A1065),IF(AND(AH!$U$12=1,1060+1=AH!$U$6),IF(AH!$U$4=0,"unavailable",INDEX('Market Data'!$AO$5:$AO$66,AH!$U$4)),IF(AH!$U$5=1,INDEX('Live History'!$E$5:$E$3004,MATCH($A1065,'Live History'!$D$5:$D$3004,1)),INDEX('AH History'!$D$5:$GG$1380,$K1065,AH!$U$10+1))),NA()),NA())</f>
        <v/>
      </c>
      <c r="G1065" s="34">
        <f>IFERROR(IF(ISNUMBER($A1065),IF(AND(AH!$U$12=1,1060+1=AH!$U$6),IF(AH!$U$4=0,"unavailable",INDEX('Market Data'!$AK$5:$AK$66,AH!$U$4)),IF(AH!$U$5=1,INDEX('Live History'!$D$5:$D$3004,MATCH($A1065,'Live History'!$D$5:$D$3004,1)),INDEX('AH History'!$D$5:$GG$1380,$K1065,AH!$U$10+2))),NA()),NA())</f>
        <v/>
      </c>
      <c r="H1065" s="266">
        <f>IFERROR(IF(ISNUMBER($A1065),IF(AND(AH!$U$12=1,1060+1=AH!$U$6),IF(AH!$U$4=0,"unavailable",INDEX('Market Data'!$AP$5:$AP$66,AH!$U$4)),IF(AH!$U$5=1,INDEX('Live History'!$H$5:$H$3004,MATCH($A1065,'Live History'!$G$5:$G$3004,1)),INDEX('AH History'!$B$5:$B$1380,$K1065))),NA()),NA())</f>
        <v/>
      </c>
      <c r="I1065" s="34">
        <f>IFERROR(IF(ISNUMBER($A1065),IF(AND(AH!$U$12=1,1060+1=AH!$U$6),TODAY(),IF(AH!$U$5=1,INDEX('Live History'!$G$5:$G$3004,MATCH($A1065,'Live History'!$G$5:$G$3004,1)),INDEX('AH History'!$C$5:$C$1380,$K1065))),NA()),NA())</f>
        <v/>
      </c>
      <c r="J1065" s="32">
        <f>IFERROR(IF(AND($F1065&gt;0,$H1065&gt;0,$A1065-$G1065&lt;=10,$A1065-$I1065&lt;=5,$G1065&gt;0,$I1065&gt;0),$F1065*$H1065,NA()),NA())</f>
        <v/>
      </c>
      <c r="K1065" s="15">
        <f>IF($A1065="","",IF(AH!$U$5=1,IFERROR(MATCH($A1065,'Live History'!$A$5:$A$3004,0),0),AH!$U$7+1060))</f>
        <v/>
      </c>
      <c r="L1065" s="15">
        <f>IF(ISNUMBER(A1065),TEXT(A1065,"dd-mmm-yy"),"")</f>
        <v/>
      </c>
    </row>
    <row r="1066">
      <c r="A1066" s="14">
        <f>IF(OR(AH!$U$4=0,1061+1&gt;AH!$U$6,AND(AH!$M$5="Bloomberg",AH!$U$5=0)),"",IFERROR(IF(AND(AH!$U$12=1,1061+1=AH!$U$6),TODAY(),IF(AH!$U$5=1,INDEX('Live History'!$A$5:$A$3004,AH!$U$7+1061),INDEX('AH History'!$A$5:$A$1380,AH!$U$7+1061))),""))</f>
        <v/>
      </c>
      <c r="B1066" s="33">
        <f>IFERROR(IF(AH!$U$11=1,NA(),$J1066/$E1066-1),NA())</f>
        <v/>
      </c>
      <c r="C1066" s="269">
        <f>IFERROR(100*$E1066/$E$5,NA())</f>
        <v/>
      </c>
      <c r="D1066" s="269">
        <f>IFERROR(100*$J1066/$J$5,NA())</f>
        <v/>
      </c>
      <c r="E1066" s="32">
        <f>IFERROR(IF(AND(ISNUMBER($A1066),N(IF(AND(AH!$U$12=1,1061+1=AH!$U$6),IF(AH!$U$4=0,"unavailable",INDEX('Market Data'!$AN$5:$AN$66,AH!$U$4)),IF(AH!$U$5=1,INDEX('Live History'!$B$5:$B$3004,$K1066),INDEX('AH History'!$D$5:$GG$1380,$K1066,AH!$U$10))))&gt;0),IF(AND(AH!$U$12=1,1061+1=AH!$U$6),IF(AH!$U$4=0,"unavailable",INDEX('Market Data'!$AN$5:$AN$66,AH!$U$4)),IF(AH!$U$5=1,INDEX('Live History'!$B$5:$B$3004,$K1066),INDEX('AH History'!$D$5:$GG$1380,$K1066,AH!$U$10))),NA()),NA())</f>
        <v/>
      </c>
      <c r="F1066" s="32">
        <f>IFERROR(IF(ISNUMBER($A1066),IF(AND(AH!$U$12=1,1061+1=AH!$U$6),IF(AH!$U$4=0,"unavailable",INDEX('Market Data'!$AO$5:$AO$66,AH!$U$4)),IF(AH!$U$5=1,INDEX('Live History'!$E$5:$E$3004,MATCH($A1066,'Live History'!$D$5:$D$3004,1)),INDEX('AH History'!$D$5:$GG$1380,$K1066,AH!$U$10+1))),NA()),NA())</f>
        <v/>
      </c>
      <c r="G1066" s="34">
        <f>IFERROR(IF(ISNUMBER($A1066),IF(AND(AH!$U$12=1,1061+1=AH!$U$6),IF(AH!$U$4=0,"unavailable",INDEX('Market Data'!$AK$5:$AK$66,AH!$U$4)),IF(AH!$U$5=1,INDEX('Live History'!$D$5:$D$3004,MATCH($A1066,'Live History'!$D$5:$D$3004,1)),INDEX('AH History'!$D$5:$GG$1380,$K1066,AH!$U$10+2))),NA()),NA())</f>
        <v/>
      </c>
      <c r="H1066" s="266">
        <f>IFERROR(IF(ISNUMBER($A1066),IF(AND(AH!$U$12=1,1061+1=AH!$U$6),IF(AH!$U$4=0,"unavailable",INDEX('Market Data'!$AP$5:$AP$66,AH!$U$4)),IF(AH!$U$5=1,INDEX('Live History'!$H$5:$H$3004,MATCH($A1066,'Live History'!$G$5:$G$3004,1)),INDEX('AH History'!$B$5:$B$1380,$K1066))),NA()),NA())</f>
        <v/>
      </c>
      <c r="I1066" s="34">
        <f>IFERROR(IF(ISNUMBER($A1066),IF(AND(AH!$U$12=1,1061+1=AH!$U$6),TODAY(),IF(AH!$U$5=1,INDEX('Live History'!$G$5:$G$3004,MATCH($A1066,'Live History'!$G$5:$G$3004,1)),INDEX('AH History'!$C$5:$C$1380,$K1066))),NA()),NA())</f>
        <v/>
      </c>
      <c r="J1066" s="32">
        <f>IFERROR(IF(AND($F1066&gt;0,$H1066&gt;0,$A1066-$G1066&lt;=10,$A1066-$I1066&lt;=5,$G1066&gt;0,$I1066&gt;0),$F1066*$H1066,NA()),NA())</f>
        <v/>
      </c>
      <c r="K1066" s="15">
        <f>IF($A1066="","",IF(AH!$U$5=1,IFERROR(MATCH($A1066,'Live History'!$A$5:$A$3004,0),0),AH!$U$7+1061))</f>
        <v/>
      </c>
      <c r="L1066" s="15">
        <f>IF(ISNUMBER(A1066),TEXT(A1066,"dd-mmm-yy"),"")</f>
        <v/>
      </c>
    </row>
    <row r="1067">
      <c r="A1067" s="14">
        <f>IF(OR(AH!$U$4=0,1062+1&gt;AH!$U$6,AND(AH!$M$5="Bloomberg",AH!$U$5=0)),"",IFERROR(IF(AND(AH!$U$12=1,1062+1=AH!$U$6),TODAY(),IF(AH!$U$5=1,INDEX('Live History'!$A$5:$A$3004,AH!$U$7+1062),INDEX('AH History'!$A$5:$A$1380,AH!$U$7+1062))),""))</f>
        <v/>
      </c>
      <c r="B1067" s="33">
        <f>IFERROR(IF(AH!$U$11=1,NA(),$J1067/$E1067-1),NA())</f>
        <v/>
      </c>
      <c r="C1067" s="269">
        <f>IFERROR(100*$E1067/$E$5,NA())</f>
        <v/>
      </c>
      <c r="D1067" s="269">
        <f>IFERROR(100*$J1067/$J$5,NA())</f>
        <v/>
      </c>
      <c r="E1067" s="32">
        <f>IFERROR(IF(AND(ISNUMBER($A1067),N(IF(AND(AH!$U$12=1,1062+1=AH!$U$6),IF(AH!$U$4=0,"unavailable",INDEX('Market Data'!$AN$5:$AN$66,AH!$U$4)),IF(AH!$U$5=1,INDEX('Live History'!$B$5:$B$3004,$K1067),INDEX('AH History'!$D$5:$GG$1380,$K1067,AH!$U$10))))&gt;0),IF(AND(AH!$U$12=1,1062+1=AH!$U$6),IF(AH!$U$4=0,"unavailable",INDEX('Market Data'!$AN$5:$AN$66,AH!$U$4)),IF(AH!$U$5=1,INDEX('Live History'!$B$5:$B$3004,$K1067),INDEX('AH History'!$D$5:$GG$1380,$K1067,AH!$U$10))),NA()),NA())</f>
        <v/>
      </c>
      <c r="F1067" s="32">
        <f>IFERROR(IF(ISNUMBER($A1067),IF(AND(AH!$U$12=1,1062+1=AH!$U$6),IF(AH!$U$4=0,"unavailable",INDEX('Market Data'!$AO$5:$AO$66,AH!$U$4)),IF(AH!$U$5=1,INDEX('Live History'!$E$5:$E$3004,MATCH($A1067,'Live History'!$D$5:$D$3004,1)),INDEX('AH History'!$D$5:$GG$1380,$K1067,AH!$U$10+1))),NA()),NA())</f>
        <v/>
      </c>
      <c r="G1067" s="34">
        <f>IFERROR(IF(ISNUMBER($A1067),IF(AND(AH!$U$12=1,1062+1=AH!$U$6),IF(AH!$U$4=0,"unavailable",INDEX('Market Data'!$AK$5:$AK$66,AH!$U$4)),IF(AH!$U$5=1,INDEX('Live History'!$D$5:$D$3004,MATCH($A1067,'Live History'!$D$5:$D$3004,1)),INDEX('AH History'!$D$5:$GG$1380,$K1067,AH!$U$10+2))),NA()),NA())</f>
        <v/>
      </c>
      <c r="H1067" s="266">
        <f>IFERROR(IF(ISNUMBER($A1067),IF(AND(AH!$U$12=1,1062+1=AH!$U$6),IF(AH!$U$4=0,"unavailable",INDEX('Market Data'!$AP$5:$AP$66,AH!$U$4)),IF(AH!$U$5=1,INDEX('Live History'!$H$5:$H$3004,MATCH($A1067,'Live History'!$G$5:$G$3004,1)),INDEX('AH History'!$B$5:$B$1380,$K1067))),NA()),NA())</f>
        <v/>
      </c>
      <c r="I1067" s="34">
        <f>IFERROR(IF(ISNUMBER($A1067),IF(AND(AH!$U$12=1,1062+1=AH!$U$6),TODAY(),IF(AH!$U$5=1,INDEX('Live History'!$G$5:$G$3004,MATCH($A1067,'Live History'!$G$5:$G$3004,1)),INDEX('AH History'!$C$5:$C$1380,$K1067))),NA()),NA())</f>
        <v/>
      </c>
      <c r="J1067" s="32">
        <f>IFERROR(IF(AND($F1067&gt;0,$H1067&gt;0,$A1067-$G1067&lt;=10,$A1067-$I1067&lt;=5,$G1067&gt;0,$I1067&gt;0),$F1067*$H1067,NA()),NA())</f>
        <v/>
      </c>
      <c r="K1067" s="15">
        <f>IF($A1067="","",IF(AH!$U$5=1,IFERROR(MATCH($A1067,'Live History'!$A$5:$A$3004,0),0),AH!$U$7+1062))</f>
        <v/>
      </c>
      <c r="L1067" s="15">
        <f>IF(ISNUMBER(A1067),TEXT(A1067,"dd-mmm-yy"),"")</f>
        <v/>
      </c>
    </row>
    <row r="1068">
      <c r="A1068" s="14">
        <f>IF(OR(AH!$U$4=0,1063+1&gt;AH!$U$6,AND(AH!$M$5="Bloomberg",AH!$U$5=0)),"",IFERROR(IF(AND(AH!$U$12=1,1063+1=AH!$U$6),TODAY(),IF(AH!$U$5=1,INDEX('Live History'!$A$5:$A$3004,AH!$U$7+1063),INDEX('AH History'!$A$5:$A$1380,AH!$U$7+1063))),""))</f>
        <v/>
      </c>
      <c r="B1068" s="33">
        <f>IFERROR(IF(AH!$U$11=1,NA(),$J1068/$E1068-1),NA())</f>
        <v/>
      </c>
      <c r="C1068" s="269">
        <f>IFERROR(100*$E1068/$E$5,NA())</f>
        <v/>
      </c>
      <c r="D1068" s="269">
        <f>IFERROR(100*$J1068/$J$5,NA())</f>
        <v/>
      </c>
      <c r="E1068" s="32">
        <f>IFERROR(IF(AND(ISNUMBER($A1068),N(IF(AND(AH!$U$12=1,1063+1=AH!$U$6),IF(AH!$U$4=0,"unavailable",INDEX('Market Data'!$AN$5:$AN$66,AH!$U$4)),IF(AH!$U$5=1,INDEX('Live History'!$B$5:$B$3004,$K1068),INDEX('AH History'!$D$5:$GG$1380,$K1068,AH!$U$10))))&gt;0),IF(AND(AH!$U$12=1,1063+1=AH!$U$6),IF(AH!$U$4=0,"unavailable",INDEX('Market Data'!$AN$5:$AN$66,AH!$U$4)),IF(AH!$U$5=1,INDEX('Live History'!$B$5:$B$3004,$K1068),INDEX('AH History'!$D$5:$GG$1380,$K1068,AH!$U$10))),NA()),NA())</f>
        <v/>
      </c>
      <c r="F1068" s="32">
        <f>IFERROR(IF(ISNUMBER($A1068),IF(AND(AH!$U$12=1,1063+1=AH!$U$6),IF(AH!$U$4=0,"unavailable",INDEX('Market Data'!$AO$5:$AO$66,AH!$U$4)),IF(AH!$U$5=1,INDEX('Live History'!$E$5:$E$3004,MATCH($A1068,'Live History'!$D$5:$D$3004,1)),INDEX('AH History'!$D$5:$GG$1380,$K1068,AH!$U$10+1))),NA()),NA())</f>
        <v/>
      </c>
      <c r="G1068" s="34">
        <f>IFERROR(IF(ISNUMBER($A1068),IF(AND(AH!$U$12=1,1063+1=AH!$U$6),IF(AH!$U$4=0,"unavailable",INDEX('Market Data'!$AK$5:$AK$66,AH!$U$4)),IF(AH!$U$5=1,INDEX('Live History'!$D$5:$D$3004,MATCH($A1068,'Live History'!$D$5:$D$3004,1)),INDEX('AH History'!$D$5:$GG$1380,$K1068,AH!$U$10+2))),NA()),NA())</f>
        <v/>
      </c>
      <c r="H1068" s="266">
        <f>IFERROR(IF(ISNUMBER($A1068),IF(AND(AH!$U$12=1,1063+1=AH!$U$6),IF(AH!$U$4=0,"unavailable",INDEX('Market Data'!$AP$5:$AP$66,AH!$U$4)),IF(AH!$U$5=1,INDEX('Live History'!$H$5:$H$3004,MATCH($A1068,'Live History'!$G$5:$G$3004,1)),INDEX('AH History'!$B$5:$B$1380,$K1068))),NA()),NA())</f>
        <v/>
      </c>
      <c r="I1068" s="34">
        <f>IFERROR(IF(ISNUMBER($A1068),IF(AND(AH!$U$12=1,1063+1=AH!$U$6),TODAY(),IF(AH!$U$5=1,INDEX('Live History'!$G$5:$G$3004,MATCH($A1068,'Live History'!$G$5:$G$3004,1)),INDEX('AH History'!$C$5:$C$1380,$K1068))),NA()),NA())</f>
        <v/>
      </c>
      <c r="J1068" s="32">
        <f>IFERROR(IF(AND($F1068&gt;0,$H1068&gt;0,$A1068-$G1068&lt;=10,$A1068-$I1068&lt;=5,$G1068&gt;0,$I1068&gt;0),$F1068*$H1068,NA()),NA())</f>
        <v/>
      </c>
      <c r="K1068" s="15">
        <f>IF($A1068="","",IF(AH!$U$5=1,IFERROR(MATCH($A1068,'Live History'!$A$5:$A$3004,0),0),AH!$U$7+1063))</f>
        <v/>
      </c>
      <c r="L1068" s="15">
        <f>IF(ISNUMBER(A1068),TEXT(A1068,"dd-mmm-yy"),"")</f>
        <v/>
      </c>
    </row>
    <row r="1069">
      <c r="A1069" s="14">
        <f>IF(OR(AH!$U$4=0,1064+1&gt;AH!$U$6,AND(AH!$M$5="Bloomberg",AH!$U$5=0)),"",IFERROR(IF(AND(AH!$U$12=1,1064+1=AH!$U$6),TODAY(),IF(AH!$U$5=1,INDEX('Live History'!$A$5:$A$3004,AH!$U$7+1064),INDEX('AH History'!$A$5:$A$1380,AH!$U$7+1064))),""))</f>
        <v/>
      </c>
      <c r="B1069" s="33">
        <f>IFERROR(IF(AH!$U$11=1,NA(),$J1069/$E1069-1),NA())</f>
        <v/>
      </c>
      <c r="C1069" s="269">
        <f>IFERROR(100*$E1069/$E$5,NA())</f>
        <v/>
      </c>
      <c r="D1069" s="269">
        <f>IFERROR(100*$J1069/$J$5,NA())</f>
        <v/>
      </c>
      <c r="E1069" s="32">
        <f>IFERROR(IF(AND(ISNUMBER($A1069),N(IF(AND(AH!$U$12=1,1064+1=AH!$U$6),IF(AH!$U$4=0,"unavailable",INDEX('Market Data'!$AN$5:$AN$66,AH!$U$4)),IF(AH!$U$5=1,INDEX('Live History'!$B$5:$B$3004,$K1069),INDEX('AH History'!$D$5:$GG$1380,$K1069,AH!$U$10))))&gt;0),IF(AND(AH!$U$12=1,1064+1=AH!$U$6),IF(AH!$U$4=0,"unavailable",INDEX('Market Data'!$AN$5:$AN$66,AH!$U$4)),IF(AH!$U$5=1,INDEX('Live History'!$B$5:$B$3004,$K1069),INDEX('AH History'!$D$5:$GG$1380,$K1069,AH!$U$10))),NA()),NA())</f>
        <v/>
      </c>
      <c r="F1069" s="32">
        <f>IFERROR(IF(ISNUMBER($A1069),IF(AND(AH!$U$12=1,1064+1=AH!$U$6),IF(AH!$U$4=0,"unavailable",INDEX('Market Data'!$AO$5:$AO$66,AH!$U$4)),IF(AH!$U$5=1,INDEX('Live History'!$E$5:$E$3004,MATCH($A1069,'Live History'!$D$5:$D$3004,1)),INDEX('AH History'!$D$5:$GG$1380,$K1069,AH!$U$10+1))),NA()),NA())</f>
        <v/>
      </c>
      <c r="G1069" s="34">
        <f>IFERROR(IF(ISNUMBER($A1069),IF(AND(AH!$U$12=1,1064+1=AH!$U$6),IF(AH!$U$4=0,"unavailable",INDEX('Market Data'!$AK$5:$AK$66,AH!$U$4)),IF(AH!$U$5=1,INDEX('Live History'!$D$5:$D$3004,MATCH($A1069,'Live History'!$D$5:$D$3004,1)),INDEX('AH History'!$D$5:$GG$1380,$K1069,AH!$U$10+2))),NA()),NA())</f>
        <v/>
      </c>
      <c r="H1069" s="266">
        <f>IFERROR(IF(ISNUMBER($A1069),IF(AND(AH!$U$12=1,1064+1=AH!$U$6),IF(AH!$U$4=0,"unavailable",INDEX('Market Data'!$AP$5:$AP$66,AH!$U$4)),IF(AH!$U$5=1,INDEX('Live History'!$H$5:$H$3004,MATCH($A1069,'Live History'!$G$5:$G$3004,1)),INDEX('AH History'!$B$5:$B$1380,$K1069))),NA()),NA())</f>
        <v/>
      </c>
      <c r="I1069" s="34">
        <f>IFERROR(IF(ISNUMBER($A1069),IF(AND(AH!$U$12=1,1064+1=AH!$U$6),TODAY(),IF(AH!$U$5=1,INDEX('Live History'!$G$5:$G$3004,MATCH($A1069,'Live History'!$G$5:$G$3004,1)),INDEX('AH History'!$C$5:$C$1380,$K1069))),NA()),NA())</f>
        <v/>
      </c>
      <c r="J1069" s="32">
        <f>IFERROR(IF(AND($F1069&gt;0,$H1069&gt;0,$A1069-$G1069&lt;=10,$A1069-$I1069&lt;=5,$G1069&gt;0,$I1069&gt;0),$F1069*$H1069,NA()),NA())</f>
        <v/>
      </c>
      <c r="K1069" s="15">
        <f>IF($A1069="","",IF(AH!$U$5=1,IFERROR(MATCH($A1069,'Live History'!$A$5:$A$3004,0),0),AH!$U$7+1064))</f>
        <v/>
      </c>
      <c r="L1069" s="15">
        <f>IF(ISNUMBER(A1069),TEXT(A1069,"dd-mmm-yy"),"")</f>
        <v/>
      </c>
    </row>
    <row r="1070">
      <c r="A1070" s="14">
        <f>IF(OR(AH!$U$4=0,1065+1&gt;AH!$U$6,AND(AH!$M$5="Bloomberg",AH!$U$5=0)),"",IFERROR(IF(AND(AH!$U$12=1,1065+1=AH!$U$6),TODAY(),IF(AH!$U$5=1,INDEX('Live History'!$A$5:$A$3004,AH!$U$7+1065),INDEX('AH History'!$A$5:$A$1380,AH!$U$7+1065))),""))</f>
        <v/>
      </c>
      <c r="B1070" s="33">
        <f>IFERROR(IF(AH!$U$11=1,NA(),$J1070/$E1070-1),NA())</f>
        <v/>
      </c>
      <c r="C1070" s="269">
        <f>IFERROR(100*$E1070/$E$5,NA())</f>
        <v/>
      </c>
      <c r="D1070" s="269">
        <f>IFERROR(100*$J1070/$J$5,NA())</f>
        <v/>
      </c>
      <c r="E1070" s="32">
        <f>IFERROR(IF(AND(ISNUMBER($A1070),N(IF(AND(AH!$U$12=1,1065+1=AH!$U$6),IF(AH!$U$4=0,"unavailable",INDEX('Market Data'!$AN$5:$AN$66,AH!$U$4)),IF(AH!$U$5=1,INDEX('Live History'!$B$5:$B$3004,$K1070),INDEX('AH History'!$D$5:$GG$1380,$K1070,AH!$U$10))))&gt;0),IF(AND(AH!$U$12=1,1065+1=AH!$U$6),IF(AH!$U$4=0,"unavailable",INDEX('Market Data'!$AN$5:$AN$66,AH!$U$4)),IF(AH!$U$5=1,INDEX('Live History'!$B$5:$B$3004,$K1070),INDEX('AH History'!$D$5:$GG$1380,$K1070,AH!$U$10))),NA()),NA())</f>
        <v/>
      </c>
      <c r="F1070" s="32">
        <f>IFERROR(IF(ISNUMBER($A1070),IF(AND(AH!$U$12=1,1065+1=AH!$U$6),IF(AH!$U$4=0,"unavailable",INDEX('Market Data'!$AO$5:$AO$66,AH!$U$4)),IF(AH!$U$5=1,INDEX('Live History'!$E$5:$E$3004,MATCH($A1070,'Live History'!$D$5:$D$3004,1)),INDEX('AH History'!$D$5:$GG$1380,$K1070,AH!$U$10+1))),NA()),NA())</f>
        <v/>
      </c>
      <c r="G1070" s="34">
        <f>IFERROR(IF(ISNUMBER($A1070),IF(AND(AH!$U$12=1,1065+1=AH!$U$6),IF(AH!$U$4=0,"unavailable",INDEX('Market Data'!$AK$5:$AK$66,AH!$U$4)),IF(AH!$U$5=1,INDEX('Live History'!$D$5:$D$3004,MATCH($A1070,'Live History'!$D$5:$D$3004,1)),INDEX('AH History'!$D$5:$GG$1380,$K1070,AH!$U$10+2))),NA()),NA())</f>
        <v/>
      </c>
      <c r="H1070" s="266">
        <f>IFERROR(IF(ISNUMBER($A1070),IF(AND(AH!$U$12=1,1065+1=AH!$U$6),IF(AH!$U$4=0,"unavailable",INDEX('Market Data'!$AP$5:$AP$66,AH!$U$4)),IF(AH!$U$5=1,INDEX('Live History'!$H$5:$H$3004,MATCH($A1070,'Live History'!$G$5:$G$3004,1)),INDEX('AH History'!$B$5:$B$1380,$K1070))),NA()),NA())</f>
        <v/>
      </c>
      <c r="I1070" s="34">
        <f>IFERROR(IF(ISNUMBER($A1070),IF(AND(AH!$U$12=1,1065+1=AH!$U$6),TODAY(),IF(AH!$U$5=1,INDEX('Live History'!$G$5:$G$3004,MATCH($A1070,'Live History'!$G$5:$G$3004,1)),INDEX('AH History'!$C$5:$C$1380,$K1070))),NA()),NA())</f>
        <v/>
      </c>
      <c r="J1070" s="32">
        <f>IFERROR(IF(AND($F1070&gt;0,$H1070&gt;0,$A1070-$G1070&lt;=10,$A1070-$I1070&lt;=5,$G1070&gt;0,$I1070&gt;0),$F1070*$H1070,NA()),NA())</f>
        <v/>
      </c>
      <c r="K1070" s="15">
        <f>IF($A1070="","",IF(AH!$U$5=1,IFERROR(MATCH($A1070,'Live History'!$A$5:$A$3004,0),0),AH!$U$7+1065))</f>
        <v/>
      </c>
      <c r="L1070" s="15">
        <f>IF(ISNUMBER(A1070),TEXT(A1070,"dd-mmm-yy"),"")</f>
        <v/>
      </c>
    </row>
    <row r="1071">
      <c r="A1071" s="14">
        <f>IF(OR(AH!$U$4=0,1066+1&gt;AH!$U$6,AND(AH!$M$5="Bloomberg",AH!$U$5=0)),"",IFERROR(IF(AND(AH!$U$12=1,1066+1=AH!$U$6),TODAY(),IF(AH!$U$5=1,INDEX('Live History'!$A$5:$A$3004,AH!$U$7+1066),INDEX('AH History'!$A$5:$A$1380,AH!$U$7+1066))),""))</f>
        <v/>
      </c>
      <c r="B1071" s="33">
        <f>IFERROR(IF(AH!$U$11=1,NA(),$J1071/$E1071-1),NA())</f>
        <v/>
      </c>
      <c r="C1071" s="269">
        <f>IFERROR(100*$E1071/$E$5,NA())</f>
        <v/>
      </c>
      <c r="D1071" s="269">
        <f>IFERROR(100*$J1071/$J$5,NA())</f>
        <v/>
      </c>
      <c r="E1071" s="32">
        <f>IFERROR(IF(AND(ISNUMBER($A1071),N(IF(AND(AH!$U$12=1,1066+1=AH!$U$6),IF(AH!$U$4=0,"unavailable",INDEX('Market Data'!$AN$5:$AN$66,AH!$U$4)),IF(AH!$U$5=1,INDEX('Live History'!$B$5:$B$3004,$K1071),INDEX('AH History'!$D$5:$GG$1380,$K1071,AH!$U$10))))&gt;0),IF(AND(AH!$U$12=1,1066+1=AH!$U$6),IF(AH!$U$4=0,"unavailable",INDEX('Market Data'!$AN$5:$AN$66,AH!$U$4)),IF(AH!$U$5=1,INDEX('Live History'!$B$5:$B$3004,$K1071),INDEX('AH History'!$D$5:$GG$1380,$K1071,AH!$U$10))),NA()),NA())</f>
        <v/>
      </c>
      <c r="F1071" s="32">
        <f>IFERROR(IF(ISNUMBER($A1071),IF(AND(AH!$U$12=1,1066+1=AH!$U$6),IF(AH!$U$4=0,"unavailable",INDEX('Market Data'!$AO$5:$AO$66,AH!$U$4)),IF(AH!$U$5=1,INDEX('Live History'!$E$5:$E$3004,MATCH($A1071,'Live History'!$D$5:$D$3004,1)),INDEX('AH History'!$D$5:$GG$1380,$K1071,AH!$U$10+1))),NA()),NA())</f>
        <v/>
      </c>
      <c r="G1071" s="34">
        <f>IFERROR(IF(ISNUMBER($A1071),IF(AND(AH!$U$12=1,1066+1=AH!$U$6),IF(AH!$U$4=0,"unavailable",INDEX('Market Data'!$AK$5:$AK$66,AH!$U$4)),IF(AH!$U$5=1,INDEX('Live History'!$D$5:$D$3004,MATCH($A1071,'Live History'!$D$5:$D$3004,1)),INDEX('AH History'!$D$5:$GG$1380,$K1071,AH!$U$10+2))),NA()),NA())</f>
        <v/>
      </c>
      <c r="H1071" s="266">
        <f>IFERROR(IF(ISNUMBER($A1071),IF(AND(AH!$U$12=1,1066+1=AH!$U$6),IF(AH!$U$4=0,"unavailable",INDEX('Market Data'!$AP$5:$AP$66,AH!$U$4)),IF(AH!$U$5=1,INDEX('Live History'!$H$5:$H$3004,MATCH($A1071,'Live History'!$G$5:$G$3004,1)),INDEX('AH History'!$B$5:$B$1380,$K1071))),NA()),NA())</f>
        <v/>
      </c>
      <c r="I1071" s="34">
        <f>IFERROR(IF(ISNUMBER($A1071),IF(AND(AH!$U$12=1,1066+1=AH!$U$6),TODAY(),IF(AH!$U$5=1,INDEX('Live History'!$G$5:$G$3004,MATCH($A1071,'Live History'!$G$5:$G$3004,1)),INDEX('AH History'!$C$5:$C$1380,$K1071))),NA()),NA())</f>
        <v/>
      </c>
      <c r="J1071" s="32">
        <f>IFERROR(IF(AND($F1071&gt;0,$H1071&gt;0,$A1071-$G1071&lt;=10,$A1071-$I1071&lt;=5,$G1071&gt;0,$I1071&gt;0),$F1071*$H1071,NA()),NA())</f>
        <v/>
      </c>
      <c r="K1071" s="15">
        <f>IF($A1071="","",IF(AH!$U$5=1,IFERROR(MATCH($A1071,'Live History'!$A$5:$A$3004,0),0),AH!$U$7+1066))</f>
        <v/>
      </c>
      <c r="L1071" s="15">
        <f>IF(ISNUMBER(A1071),TEXT(A1071,"dd-mmm-yy"),"")</f>
        <v/>
      </c>
    </row>
    <row r="1072">
      <c r="A1072" s="14">
        <f>IF(OR(AH!$U$4=0,1067+1&gt;AH!$U$6,AND(AH!$M$5="Bloomberg",AH!$U$5=0)),"",IFERROR(IF(AND(AH!$U$12=1,1067+1=AH!$U$6),TODAY(),IF(AH!$U$5=1,INDEX('Live History'!$A$5:$A$3004,AH!$U$7+1067),INDEX('AH History'!$A$5:$A$1380,AH!$U$7+1067))),""))</f>
        <v/>
      </c>
      <c r="B1072" s="33">
        <f>IFERROR(IF(AH!$U$11=1,NA(),$J1072/$E1072-1),NA())</f>
        <v/>
      </c>
      <c r="C1072" s="269">
        <f>IFERROR(100*$E1072/$E$5,NA())</f>
        <v/>
      </c>
      <c r="D1072" s="269">
        <f>IFERROR(100*$J1072/$J$5,NA())</f>
        <v/>
      </c>
      <c r="E1072" s="32">
        <f>IFERROR(IF(AND(ISNUMBER($A1072),N(IF(AND(AH!$U$12=1,1067+1=AH!$U$6),IF(AH!$U$4=0,"unavailable",INDEX('Market Data'!$AN$5:$AN$66,AH!$U$4)),IF(AH!$U$5=1,INDEX('Live History'!$B$5:$B$3004,$K1072),INDEX('AH History'!$D$5:$GG$1380,$K1072,AH!$U$10))))&gt;0),IF(AND(AH!$U$12=1,1067+1=AH!$U$6),IF(AH!$U$4=0,"unavailable",INDEX('Market Data'!$AN$5:$AN$66,AH!$U$4)),IF(AH!$U$5=1,INDEX('Live History'!$B$5:$B$3004,$K1072),INDEX('AH History'!$D$5:$GG$1380,$K1072,AH!$U$10))),NA()),NA())</f>
        <v/>
      </c>
      <c r="F1072" s="32">
        <f>IFERROR(IF(ISNUMBER($A1072),IF(AND(AH!$U$12=1,1067+1=AH!$U$6),IF(AH!$U$4=0,"unavailable",INDEX('Market Data'!$AO$5:$AO$66,AH!$U$4)),IF(AH!$U$5=1,INDEX('Live History'!$E$5:$E$3004,MATCH($A1072,'Live History'!$D$5:$D$3004,1)),INDEX('AH History'!$D$5:$GG$1380,$K1072,AH!$U$10+1))),NA()),NA())</f>
        <v/>
      </c>
      <c r="G1072" s="34">
        <f>IFERROR(IF(ISNUMBER($A1072),IF(AND(AH!$U$12=1,1067+1=AH!$U$6),IF(AH!$U$4=0,"unavailable",INDEX('Market Data'!$AK$5:$AK$66,AH!$U$4)),IF(AH!$U$5=1,INDEX('Live History'!$D$5:$D$3004,MATCH($A1072,'Live History'!$D$5:$D$3004,1)),INDEX('AH History'!$D$5:$GG$1380,$K1072,AH!$U$10+2))),NA()),NA())</f>
        <v/>
      </c>
      <c r="H1072" s="266">
        <f>IFERROR(IF(ISNUMBER($A1072),IF(AND(AH!$U$12=1,1067+1=AH!$U$6),IF(AH!$U$4=0,"unavailable",INDEX('Market Data'!$AP$5:$AP$66,AH!$U$4)),IF(AH!$U$5=1,INDEX('Live History'!$H$5:$H$3004,MATCH($A1072,'Live History'!$G$5:$G$3004,1)),INDEX('AH History'!$B$5:$B$1380,$K1072))),NA()),NA())</f>
        <v/>
      </c>
      <c r="I1072" s="34">
        <f>IFERROR(IF(ISNUMBER($A1072),IF(AND(AH!$U$12=1,1067+1=AH!$U$6),TODAY(),IF(AH!$U$5=1,INDEX('Live History'!$G$5:$G$3004,MATCH($A1072,'Live History'!$G$5:$G$3004,1)),INDEX('AH History'!$C$5:$C$1380,$K1072))),NA()),NA())</f>
        <v/>
      </c>
      <c r="J1072" s="32">
        <f>IFERROR(IF(AND($F1072&gt;0,$H1072&gt;0,$A1072-$G1072&lt;=10,$A1072-$I1072&lt;=5,$G1072&gt;0,$I1072&gt;0),$F1072*$H1072,NA()),NA())</f>
        <v/>
      </c>
      <c r="K1072" s="15">
        <f>IF($A1072="","",IF(AH!$U$5=1,IFERROR(MATCH($A1072,'Live History'!$A$5:$A$3004,0),0),AH!$U$7+1067))</f>
        <v/>
      </c>
      <c r="L1072" s="15">
        <f>IF(ISNUMBER(A1072),TEXT(A1072,"dd-mmm-yy"),"")</f>
        <v/>
      </c>
    </row>
    <row r="1073">
      <c r="A1073" s="14">
        <f>IF(OR(AH!$U$4=0,1068+1&gt;AH!$U$6,AND(AH!$M$5="Bloomberg",AH!$U$5=0)),"",IFERROR(IF(AND(AH!$U$12=1,1068+1=AH!$U$6),TODAY(),IF(AH!$U$5=1,INDEX('Live History'!$A$5:$A$3004,AH!$U$7+1068),INDEX('AH History'!$A$5:$A$1380,AH!$U$7+1068))),""))</f>
        <v/>
      </c>
      <c r="B1073" s="33">
        <f>IFERROR(IF(AH!$U$11=1,NA(),$J1073/$E1073-1),NA())</f>
        <v/>
      </c>
      <c r="C1073" s="269">
        <f>IFERROR(100*$E1073/$E$5,NA())</f>
        <v/>
      </c>
      <c r="D1073" s="269">
        <f>IFERROR(100*$J1073/$J$5,NA())</f>
        <v/>
      </c>
      <c r="E1073" s="32">
        <f>IFERROR(IF(AND(ISNUMBER($A1073),N(IF(AND(AH!$U$12=1,1068+1=AH!$U$6),IF(AH!$U$4=0,"unavailable",INDEX('Market Data'!$AN$5:$AN$66,AH!$U$4)),IF(AH!$U$5=1,INDEX('Live History'!$B$5:$B$3004,$K1073),INDEX('AH History'!$D$5:$GG$1380,$K1073,AH!$U$10))))&gt;0),IF(AND(AH!$U$12=1,1068+1=AH!$U$6),IF(AH!$U$4=0,"unavailable",INDEX('Market Data'!$AN$5:$AN$66,AH!$U$4)),IF(AH!$U$5=1,INDEX('Live History'!$B$5:$B$3004,$K1073),INDEX('AH History'!$D$5:$GG$1380,$K1073,AH!$U$10))),NA()),NA())</f>
        <v/>
      </c>
      <c r="F1073" s="32">
        <f>IFERROR(IF(ISNUMBER($A1073),IF(AND(AH!$U$12=1,1068+1=AH!$U$6),IF(AH!$U$4=0,"unavailable",INDEX('Market Data'!$AO$5:$AO$66,AH!$U$4)),IF(AH!$U$5=1,INDEX('Live History'!$E$5:$E$3004,MATCH($A1073,'Live History'!$D$5:$D$3004,1)),INDEX('AH History'!$D$5:$GG$1380,$K1073,AH!$U$10+1))),NA()),NA())</f>
        <v/>
      </c>
      <c r="G1073" s="34">
        <f>IFERROR(IF(ISNUMBER($A1073),IF(AND(AH!$U$12=1,1068+1=AH!$U$6),IF(AH!$U$4=0,"unavailable",INDEX('Market Data'!$AK$5:$AK$66,AH!$U$4)),IF(AH!$U$5=1,INDEX('Live History'!$D$5:$D$3004,MATCH($A1073,'Live History'!$D$5:$D$3004,1)),INDEX('AH History'!$D$5:$GG$1380,$K1073,AH!$U$10+2))),NA()),NA())</f>
        <v/>
      </c>
      <c r="H1073" s="266">
        <f>IFERROR(IF(ISNUMBER($A1073),IF(AND(AH!$U$12=1,1068+1=AH!$U$6),IF(AH!$U$4=0,"unavailable",INDEX('Market Data'!$AP$5:$AP$66,AH!$U$4)),IF(AH!$U$5=1,INDEX('Live History'!$H$5:$H$3004,MATCH($A1073,'Live History'!$G$5:$G$3004,1)),INDEX('AH History'!$B$5:$B$1380,$K1073))),NA()),NA())</f>
        <v/>
      </c>
      <c r="I1073" s="34">
        <f>IFERROR(IF(ISNUMBER($A1073),IF(AND(AH!$U$12=1,1068+1=AH!$U$6),TODAY(),IF(AH!$U$5=1,INDEX('Live History'!$G$5:$G$3004,MATCH($A1073,'Live History'!$G$5:$G$3004,1)),INDEX('AH History'!$C$5:$C$1380,$K1073))),NA()),NA())</f>
        <v/>
      </c>
      <c r="J1073" s="32">
        <f>IFERROR(IF(AND($F1073&gt;0,$H1073&gt;0,$A1073-$G1073&lt;=10,$A1073-$I1073&lt;=5,$G1073&gt;0,$I1073&gt;0),$F1073*$H1073,NA()),NA())</f>
        <v/>
      </c>
      <c r="K1073" s="15">
        <f>IF($A1073="","",IF(AH!$U$5=1,IFERROR(MATCH($A1073,'Live History'!$A$5:$A$3004,0),0),AH!$U$7+1068))</f>
        <v/>
      </c>
      <c r="L1073" s="15">
        <f>IF(ISNUMBER(A1073),TEXT(A1073,"dd-mmm-yy"),"")</f>
        <v/>
      </c>
    </row>
    <row r="1074">
      <c r="A1074" s="14">
        <f>IF(OR(AH!$U$4=0,1069+1&gt;AH!$U$6,AND(AH!$M$5="Bloomberg",AH!$U$5=0)),"",IFERROR(IF(AND(AH!$U$12=1,1069+1=AH!$U$6),TODAY(),IF(AH!$U$5=1,INDEX('Live History'!$A$5:$A$3004,AH!$U$7+1069),INDEX('AH History'!$A$5:$A$1380,AH!$U$7+1069))),""))</f>
        <v/>
      </c>
      <c r="B1074" s="33">
        <f>IFERROR(IF(AH!$U$11=1,NA(),$J1074/$E1074-1),NA())</f>
        <v/>
      </c>
      <c r="C1074" s="269">
        <f>IFERROR(100*$E1074/$E$5,NA())</f>
        <v/>
      </c>
      <c r="D1074" s="269">
        <f>IFERROR(100*$J1074/$J$5,NA())</f>
        <v/>
      </c>
      <c r="E1074" s="32">
        <f>IFERROR(IF(AND(ISNUMBER($A1074),N(IF(AND(AH!$U$12=1,1069+1=AH!$U$6),IF(AH!$U$4=0,"unavailable",INDEX('Market Data'!$AN$5:$AN$66,AH!$U$4)),IF(AH!$U$5=1,INDEX('Live History'!$B$5:$B$3004,$K1074),INDEX('AH History'!$D$5:$GG$1380,$K1074,AH!$U$10))))&gt;0),IF(AND(AH!$U$12=1,1069+1=AH!$U$6),IF(AH!$U$4=0,"unavailable",INDEX('Market Data'!$AN$5:$AN$66,AH!$U$4)),IF(AH!$U$5=1,INDEX('Live History'!$B$5:$B$3004,$K1074),INDEX('AH History'!$D$5:$GG$1380,$K1074,AH!$U$10))),NA()),NA())</f>
        <v/>
      </c>
      <c r="F1074" s="32">
        <f>IFERROR(IF(ISNUMBER($A1074),IF(AND(AH!$U$12=1,1069+1=AH!$U$6),IF(AH!$U$4=0,"unavailable",INDEX('Market Data'!$AO$5:$AO$66,AH!$U$4)),IF(AH!$U$5=1,INDEX('Live History'!$E$5:$E$3004,MATCH($A1074,'Live History'!$D$5:$D$3004,1)),INDEX('AH History'!$D$5:$GG$1380,$K1074,AH!$U$10+1))),NA()),NA())</f>
        <v/>
      </c>
      <c r="G1074" s="34">
        <f>IFERROR(IF(ISNUMBER($A1074),IF(AND(AH!$U$12=1,1069+1=AH!$U$6),IF(AH!$U$4=0,"unavailable",INDEX('Market Data'!$AK$5:$AK$66,AH!$U$4)),IF(AH!$U$5=1,INDEX('Live History'!$D$5:$D$3004,MATCH($A1074,'Live History'!$D$5:$D$3004,1)),INDEX('AH History'!$D$5:$GG$1380,$K1074,AH!$U$10+2))),NA()),NA())</f>
        <v/>
      </c>
      <c r="H1074" s="266">
        <f>IFERROR(IF(ISNUMBER($A1074),IF(AND(AH!$U$12=1,1069+1=AH!$U$6),IF(AH!$U$4=0,"unavailable",INDEX('Market Data'!$AP$5:$AP$66,AH!$U$4)),IF(AH!$U$5=1,INDEX('Live History'!$H$5:$H$3004,MATCH($A1074,'Live History'!$G$5:$G$3004,1)),INDEX('AH History'!$B$5:$B$1380,$K1074))),NA()),NA())</f>
        <v/>
      </c>
      <c r="I1074" s="34">
        <f>IFERROR(IF(ISNUMBER($A1074),IF(AND(AH!$U$12=1,1069+1=AH!$U$6),TODAY(),IF(AH!$U$5=1,INDEX('Live History'!$G$5:$G$3004,MATCH($A1074,'Live History'!$G$5:$G$3004,1)),INDEX('AH History'!$C$5:$C$1380,$K1074))),NA()),NA())</f>
        <v/>
      </c>
      <c r="J1074" s="32">
        <f>IFERROR(IF(AND($F1074&gt;0,$H1074&gt;0,$A1074-$G1074&lt;=10,$A1074-$I1074&lt;=5,$G1074&gt;0,$I1074&gt;0),$F1074*$H1074,NA()),NA())</f>
        <v/>
      </c>
      <c r="K1074" s="15">
        <f>IF($A1074="","",IF(AH!$U$5=1,IFERROR(MATCH($A1074,'Live History'!$A$5:$A$3004,0),0),AH!$U$7+1069))</f>
        <v/>
      </c>
      <c r="L1074" s="15">
        <f>IF(ISNUMBER(A1074),TEXT(A1074,"dd-mmm-yy"),"")</f>
        <v/>
      </c>
    </row>
    <row r="1075">
      <c r="A1075" s="14">
        <f>IF(OR(AH!$U$4=0,1070+1&gt;AH!$U$6,AND(AH!$M$5="Bloomberg",AH!$U$5=0)),"",IFERROR(IF(AND(AH!$U$12=1,1070+1=AH!$U$6),TODAY(),IF(AH!$U$5=1,INDEX('Live History'!$A$5:$A$3004,AH!$U$7+1070),INDEX('AH History'!$A$5:$A$1380,AH!$U$7+1070))),""))</f>
        <v/>
      </c>
      <c r="B1075" s="33">
        <f>IFERROR(IF(AH!$U$11=1,NA(),$J1075/$E1075-1),NA())</f>
        <v/>
      </c>
      <c r="C1075" s="269">
        <f>IFERROR(100*$E1075/$E$5,NA())</f>
        <v/>
      </c>
      <c r="D1075" s="269">
        <f>IFERROR(100*$J1075/$J$5,NA())</f>
        <v/>
      </c>
      <c r="E1075" s="32">
        <f>IFERROR(IF(AND(ISNUMBER($A1075),N(IF(AND(AH!$U$12=1,1070+1=AH!$U$6),IF(AH!$U$4=0,"unavailable",INDEX('Market Data'!$AN$5:$AN$66,AH!$U$4)),IF(AH!$U$5=1,INDEX('Live History'!$B$5:$B$3004,$K1075),INDEX('AH History'!$D$5:$GG$1380,$K1075,AH!$U$10))))&gt;0),IF(AND(AH!$U$12=1,1070+1=AH!$U$6),IF(AH!$U$4=0,"unavailable",INDEX('Market Data'!$AN$5:$AN$66,AH!$U$4)),IF(AH!$U$5=1,INDEX('Live History'!$B$5:$B$3004,$K1075),INDEX('AH History'!$D$5:$GG$1380,$K1075,AH!$U$10))),NA()),NA())</f>
        <v/>
      </c>
      <c r="F1075" s="32">
        <f>IFERROR(IF(ISNUMBER($A1075),IF(AND(AH!$U$12=1,1070+1=AH!$U$6),IF(AH!$U$4=0,"unavailable",INDEX('Market Data'!$AO$5:$AO$66,AH!$U$4)),IF(AH!$U$5=1,INDEX('Live History'!$E$5:$E$3004,MATCH($A1075,'Live History'!$D$5:$D$3004,1)),INDEX('AH History'!$D$5:$GG$1380,$K1075,AH!$U$10+1))),NA()),NA())</f>
        <v/>
      </c>
      <c r="G1075" s="34">
        <f>IFERROR(IF(ISNUMBER($A1075),IF(AND(AH!$U$12=1,1070+1=AH!$U$6),IF(AH!$U$4=0,"unavailable",INDEX('Market Data'!$AK$5:$AK$66,AH!$U$4)),IF(AH!$U$5=1,INDEX('Live History'!$D$5:$D$3004,MATCH($A1075,'Live History'!$D$5:$D$3004,1)),INDEX('AH History'!$D$5:$GG$1380,$K1075,AH!$U$10+2))),NA()),NA())</f>
        <v/>
      </c>
      <c r="H1075" s="266">
        <f>IFERROR(IF(ISNUMBER($A1075),IF(AND(AH!$U$12=1,1070+1=AH!$U$6),IF(AH!$U$4=0,"unavailable",INDEX('Market Data'!$AP$5:$AP$66,AH!$U$4)),IF(AH!$U$5=1,INDEX('Live History'!$H$5:$H$3004,MATCH($A1075,'Live History'!$G$5:$G$3004,1)),INDEX('AH History'!$B$5:$B$1380,$K1075))),NA()),NA())</f>
        <v/>
      </c>
      <c r="I1075" s="34">
        <f>IFERROR(IF(ISNUMBER($A1075),IF(AND(AH!$U$12=1,1070+1=AH!$U$6),TODAY(),IF(AH!$U$5=1,INDEX('Live History'!$G$5:$G$3004,MATCH($A1075,'Live History'!$G$5:$G$3004,1)),INDEX('AH History'!$C$5:$C$1380,$K1075))),NA()),NA())</f>
        <v/>
      </c>
      <c r="J1075" s="32">
        <f>IFERROR(IF(AND($F1075&gt;0,$H1075&gt;0,$A1075-$G1075&lt;=10,$A1075-$I1075&lt;=5,$G1075&gt;0,$I1075&gt;0),$F1075*$H1075,NA()),NA())</f>
        <v/>
      </c>
      <c r="K1075" s="15">
        <f>IF($A1075="","",IF(AH!$U$5=1,IFERROR(MATCH($A1075,'Live History'!$A$5:$A$3004,0),0),AH!$U$7+1070))</f>
        <v/>
      </c>
      <c r="L1075" s="15">
        <f>IF(ISNUMBER(A1075),TEXT(A1075,"dd-mmm-yy"),"")</f>
        <v/>
      </c>
    </row>
    <row r="1076">
      <c r="A1076" s="14">
        <f>IF(OR(AH!$U$4=0,1071+1&gt;AH!$U$6,AND(AH!$M$5="Bloomberg",AH!$U$5=0)),"",IFERROR(IF(AND(AH!$U$12=1,1071+1=AH!$U$6),TODAY(),IF(AH!$U$5=1,INDEX('Live History'!$A$5:$A$3004,AH!$U$7+1071),INDEX('AH History'!$A$5:$A$1380,AH!$U$7+1071))),""))</f>
        <v/>
      </c>
      <c r="B1076" s="33">
        <f>IFERROR(IF(AH!$U$11=1,NA(),$J1076/$E1076-1),NA())</f>
        <v/>
      </c>
      <c r="C1076" s="269">
        <f>IFERROR(100*$E1076/$E$5,NA())</f>
        <v/>
      </c>
      <c r="D1076" s="269">
        <f>IFERROR(100*$J1076/$J$5,NA())</f>
        <v/>
      </c>
      <c r="E1076" s="32">
        <f>IFERROR(IF(AND(ISNUMBER($A1076),N(IF(AND(AH!$U$12=1,1071+1=AH!$U$6),IF(AH!$U$4=0,"unavailable",INDEX('Market Data'!$AN$5:$AN$66,AH!$U$4)),IF(AH!$U$5=1,INDEX('Live History'!$B$5:$B$3004,$K1076),INDEX('AH History'!$D$5:$GG$1380,$K1076,AH!$U$10))))&gt;0),IF(AND(AH!$U$12=1,1071+1=AH!$U$6),IF(AH!$U$4=0,"unavailable",INDEX('Market Data'!$AN$5:$AN$66,AH!$U$4)),IF(AH!$U$5=1,INDEX('Live History'!$B$5:$B$3004,$K1076),INDEX('AH History'!$D$5:$GG$1380,$K1076,AH!$U$10))),NA()),NA())</f>
        <v/>
      </c>
      <c r="F1076" s="32">
        <f>IFERROR(IF(ISNUMBER($A1076),IF(AND(AH!$U$12=1,1071+1=AH!$U$6),IF(AH!$U$4=0,"unavailable",INDEX('Market Data'!$AO$5:$AO$66,AH!$U$4)),IF(AH!$U$5=1,INDEX('Live History'!$E$5:$E$3004,MATCH($A1076,'Live History'!$D$5:$D$3004,1)),INDEX('AH History'!$D$5:$GG$1380,$K1076,AH!$U$10+1))),NA()),NA())</f>
        <v/>
      </c>
      <c r="G1076" s="34">
        <f>IFERROR(IF(ISNUMBER($A1076),IF(AND(AH!$U$12=1,1071+1=AH!$U$6),IF(AH!$U$4=0,"unavailable",INDEX('Market Data'!$AK$5:$AK$66,AH!$U$4)),IF(AH!$U$5=1,INDEX('Live History'!$D$5:$D$3004,MATCH($A1076,'Live History'!$D$5:$D$3004,1)),INDEX('AH History'!$D$5:$GG$1380,$K1076,AH!$U$10+2))),NA()),NA())</f>
        <v/>
      </c>
      <c r="H1076" s="266">
        <f>IFERROR(IF(ISNUMBER($A1076),IF(AND(AH!$U$12=1,1071+1=AH!$U$6),IF(AH!$U$4=0,"unavailable",INDEX('Market Data'!$AP$5:$AP$66,AH!$U$4)),IF(AH!$U$5=1,INDEX('Live History'!$H$5:$H$3004,MATCH($A1076,'Live History'!$G$5:$G$3004,1)),INDEX('AH History'!$B$5:$B$1380,$K1076))),NA()),NA())</f>
        <v/>
      </c>
      <c r="I1076" s="34">
        <f>IFERROR(IF(ISNUMBER($A1076),IF(AND(AH!$U$12=1,1071+1=AH!$U$6),TODAY(),IF(AH!$U$5=1,INDEX('Live History'!$G$5:$G$3004,MATCH($A1076,'Live History'!$G$5:$G$3004,1)),INDEX('AH History'!$C$5:$C$1380,$K1076))),NA()),NA())</f>
        <v/>
      </c>
      <c r="J1076" s="32">
        <f>IFERROR(IF(AND($F1076&gt;0,$H1076&gt;0,$A1076-$G1076&lt;=10,$A1076-$I1076&lt;=5,$G1076&gt;0,$I1076&gt;0),$F1076*$H1076,NA()),NA())</f>
        <v/>
      </c>
      <c r="K1076" s="15">
        <f>IF($A1076="","",IF(AH!$U$5=1,IFERROR(MATCH($A1076,'Live History'!$A$5:$A$3004,0),0),AH!$U$7+1071))</f>
        <v/>
      </c>
      <c r="L1076" s="15">
        <f>IF(ISNUMBER(A1076),TEXT(A1076,"dd-mmm-yy"),"")</f>
        <v/>
      </c>
    </row>
    <row r="1077">
      <c r="A1077" s="14">
        <f>IF(OR(AH!$U$4=0,1072+1&gt;AH!$U$6,AND(AH!$M$5="Bloomberg",AH!$U$5=0)),"",IFERROR(IF(AND(AH!$U$12=1,1072+1=AH!$U$6),TODAY(),IF(AH!$U$5=1,INDEX('Live History'!$A$5:$A$3004,AH!$U$7+1072),INDEX('AH History'!$A$5:$A$1380,AH!$U$7+1072))),""))</f>
        <v/>
      </c>
      <c r="B1077" s="33">
        <f>IFERROR(IF(AH!$U$11=1,NA(),$J1077/$E1077-1),NA())</f>
        <v/>
      </c>
      <c r="C1077" s="269">
        <f>IFERROR(100*$E1077/$E$5,NA())</f>
        <v/>
      </c>
      <c r="D1077" s="269">
        <f>IFERROR(100*$J1077/$J$5,NA())</f>
        <v/>
      </c>
      <c r="E1077" s="32">
        <f>IFERROR(IF(AND(ISNUMBER($A1077),N(IF(AND(AH!$U$12=1,1072+1=AH!$U$6),IF(AH!$U$4=0,"unavailable",INDEX('Market Data'!$AN$5:$AN$66,AH!$U$4)),IF(AH!$U$5=1,INDEX('Live History'!$B$5:$B$3004,$K1077),INDEX('AH History'!$D$5:$GG$1380,$K1077,AH!$U$10))))&gt;0),IF(AND(AH!$U$12=1,1072+1=AH!$U$6),IF(AH!$U$4=0,"unavailable",INDEX('Market Data'!$AN$5:$AN$66,AH!$U$4)),IF(AH!$U$5=1,INDEX('Live History'!$B$5:$B$3004,$K1077),INDEX('AH History'!$D$5:$GG$1380,$K1077,AH!$U$10))),NA()),NA())</f>
        <v/>
      </c>
      <c r="F1077" s="32">
        <f>IFERROR(IF(ISNUMBER($A1077),IF(AND(AH!$U$12=1,1072+1=AH!$U$6),IF(AH!$U$4=0,"unavailable",INDEX('Market Data'!$AO$5:$AO$66,AH!$U$4)),IF(AH!$U$5=1,INDEX('Live History'!$E$5:$E$3004,MATCH($A1077,'Live History'!$D$5:$D$3004,1)),INDEX('AH History'!$D$5:$GG$1380,$K1077,AH!$U$10+1))),NA()),NA())</f>
        <v/>
      </c>
      <c r="G1077" s="34">
        <f>IFERROR(IF(ISNUMBER($A1077),IF(AND(AH!$U$12=1,1072+1=AH!$U$6),IF(AH!$U$4=0,"unavailable",INDEX('Market Data'!$AK$5:$AK$66,AH!$U$4)),IF(AH!$U$5=1,INDEX('Live History'!$D$5:$D$3004,MATCH($A1077,'Live History'!$D$5:$D$3004,1)),INDEX('AH History'!$D$5:$GG$1380,$K1077,AH!$U$10+2))),NA()),NA())</f>
        <v/>
      </c>
      <c r="H1077" s="266">
        <f>IFERROR(IF(ISNUMBER($A1077),IF(AND(AH!$U$12=1,1072+1=AH!$U$6),IF(AH!$U$4=0,"unavailable",INDEX('Market Data'!$AP$5:$AP$66,AH!$U$4)),IF(AH!$U$5=1,INDEX('Live History'!$H$5:$H$3004,MATCH($A1077,'Live History'!$G$5:$G$3004,1)),INDEX('AH History'!$B$5:$B$1380,$K1077))),NA()),NA())</f>
        <v/>
      </c>
      <c r="I1077" s="34">
        <f>IFERROR(IF(ISNUMBER($A1077),IF(AND(AH!$U$12=1,1072+1=AH!$U$6),TODAY(),IF(AH!$U$5=1,INDEX('Live History'!$G$5:$G$3004,MATCH($A1077,'Live History'!$G$5:$G$3004,1)),INDEX('AH History'!$C$5:$C$1380,$K1077))),NA()),NA())</f>
        <v/>
      </c>
      <c r="J1077" s="32">
        <f>IFERROR(IF(AND($F1077&gt;0,$H1077&gt;0,$A1077-$G1077&lt;=10,$A1077-$I1077&lt;=5,$G1077&gt;0,$I1077&gt;0),$F1077*$H1077,NA()),NA())</f>
        <v/>
      </c>
      <c r="K1077" s="15">
        <f>IF($A1077="","",IF(AH!$U$5=1,IFERROR(MATCH($A1077,'Live History'!$A$5:$A$3004,0),0),AH!$U$7+1072))</f>
        <v/>
      </c>
      <c r="L1077" s="15">
        <f>IF(ISNUMBER(A1077),TEXT(A1077,"dd-mmm-yy"),"")</f>
        <v/>
      </c>
    </row>
    <row r="1078">
      <c r="A1078" s="14">
        <f>IF(OR(AH!$U$4=0,1073+1&gt;AH!$U$6,AND(AH!$M$5="Bloomberg",AH!$U$5=0)),"",IFERROR(IF(AND(AH!$U$12=1,1073+1=AH!$U$6),TODAY(),IF(AH!$U$5=1,INDEX('Live History'!$A$5:$A$3004,AH!$U$7+1073),INDEX('AH History'!$A$5:$A$1380,AH!$U$7+1073))),""))</f>
        <v/>
      </c>
      <c r="B1078" s="33">
        <f>IFERROR(IF(AH!$U$11=1,NA(),$J1078/$E1078-1),NA())</f>
        <v/>
      </c>
      <c r="C1078" s="269">
        <f>IFERROR(100*$E1078/$E$5,NA())</f>
        <v/>
      </c>
      <c r="D1078" s="269">
        <f>IFERROR(100*$J1078/$J$5,NA())</f>
        <v/>
      </c>
      <c r="E1078" s="32">
        <f>IFERROR(IF(AND(ISNUMBER($A1078),N(IF(AND(AH!$U$12=1,1073+1=AH!$U$6),IF(AH!$U$4=0,"unavailable",INDEX('Market Data'!$AN$5:$AN$66,AH!$U$4)),IF(AH!$U$5=1,INDEX('Live History'!$B$5:$B$3004,$K1078),INDEX('AH History'!$D$5:$GG$1380,$K1078,AH!$U$10))))&gt;0),IF(AND(AH!$U$12=1,1073+1=AH!$U$6),IF(AH!$U$4=0,"unavailable",INDEX('Market Data'!$AN$5:$AN$66,AH!$U$4)),IF(AH!$U$5=1,INDEX('Live History'!$B$5:$B$3004,$K1078),INDEX('AH History'!$D$5:$GG$1380,$K1078,AH!$U$10))),NA()),NA())</f>
        <v/>
      </c>
      <c r="F1078" s="32">
        <f>IFERROR(IF(ISNUMBER($A1078),IF(AND(AH!$U$12=1,1073+1=AH!$U$6),IF(AH!$U$4=0,"unavailable",INDEX('Market Data'!$AO$5:$AO$66,AH!$U$4)),IF(AH!$U$5=1,INDEX('Live History'!$E$5:$E$3004,MATCH($A1078,'Live History'!$D$5:$D$3004,1)),INDEX('AH History'!$D$5:$GG$1380,$K1078,AH!$U$10+1))),NA()),NA())</f>
        <v/>
      </c>
      <c r="G1078" s="34">
        <f>IFERROR(IF(ISNUMBER($A1078),IF(AND(AH!$U$12=1,1073+1=AH!$U$6),IF(AH!$U$4=0,"unavailable",INDEX('Market Data'!$AK$5:$AK$66,AH!$U$4)),IF(AH!$U$5=1,INDEX('Live History'!$D$5:$D$3004,MATCH($A1078,'Live History'!$D$5:$D$3004,1)),INDEX('AH History'!$D$5:$GG$1380,$K1078,AH!$U$10+2))),NA()),NA())</f>
        <v/>
      </c>
      <c r="H1078" s="266">
        <f>IFERROR(IF(ISNUMBER($A1078),IF(AND(AH!$U$12=1,1073+1=AH!$U$6),IF(AH!$U$4=0,"unavailable",INDEX('Market Data'!$AP$5:$AP$66,AH!$U$4)),IF(AH!$U$5=1,INDEX('Live History'!$H$5:$H$3004,MATCH($A1078,'Live History'!$G$5:$G$3004,1)),INDEX('AH History'!$B$5:$B$1380,$K1078))),NA()),NA())</f>
        <v/>
      </c>
      <c r="I1078" s="34">
        <f>IFERROR(IF(ISNUMBER($A1078),IF(AND(AH!$U$12=1,1073+1=AH!$U$6),TODAY(),IF(AH!$U$5=1,INDEX('Live History'!$G$5:$G$3004,MATCH($A1078,'Live History'!$G$5:$G$3004,1)),INDEX('AH History'!$C$5:$C$1380,$K1078))),NA()),NA())</f>
        <v/>
      </c>
      <c r="J1078" s="32">
        <f>IFERROR(IF(AND($F1078&gt;0,$H1078&gt;0,$A1078-$G1078&lt;=10,$A1078-$I1078&lt;=5,$G1078&gt;0,$I1078&gt;0),$F1078*$H1078,NA()),NA())</f>
        <v/>
      </c>
      <c r="K1078" s="15">
        <f>IF($A1078="","",IF(AH!$U$5=1,IFERROR(MATCH($A1078,'Live History'!$A$5:$A$3004,0),0),AH!$U$7+1073))</f>
        <v/>
      </c>
      <c r="L1078" s="15">
        <f>IF(ISNUMBER(A1078),TEXT(A1078,"dd-mmm-yy"),"")</f>
        <v/>
      </c>
    </row>
    <row r="1079">
      <c r="A1079" s="14">
        <f>IF(OR(AH!$U$4=0,1074+1&gt;AH!$U$6,AND(AH!$M$5="Bloomberg",AH!$U$5=0)),"",IFERROR(IF(AND(AH!$U$12=1,1074+1=AH!$U$6),TODAY(),IF(AH!$U$5=1,INDEX('Live History'!$A$5:$A$3004,AH!$U$7+1074),INDEX('AH History'!$A$5:$A$1380,AH!$U$7+1074))),""))</f>
        <v/>
      </c>
      <c r="B1079" s="33">
        <f>IFERROR(IF(AH!$U$11=1,NA(),$J1079/$E1079-1),NA())</f>
        <v/>
      </c>
      <c r="C1079" s="269">
        <f>IFERROR(100*$E1079/$E$5,NA())</f>
        <v/>
      </c>
      <c r="D1079" s="269">
        <f>IFERROR(100*$J1079/$J$5,NA())</f>
        <v/>
      </c>
      <c r="E1079" s="32">
        <f>IFERROR(IF(AND(ISNUMBER($A1079),N(IF(AND(AH!$U$12=1,1074+1=AH!$U$6),IF(AH!$U$4=0,"unavailable",INDEX('Market Data'!$AN$5:$AN$66,AH!$U$4)),IF(AH!$U$5=1,INDEX('Live History'!$B$5:$B$3004,$K1079),INDEX('AH History'!$D$5:$GG$1380,$K1079,AH!$U$10))))&gt;0),IF(AND(AH!$U$12=1,1074+1=AH!$U$6),IF(AH!$U$4=0,"unavailable",INDEX('Market Data'!$AN$5:$AN$66,AH!$U$4)),IF(AH!$U$5=1,INDEX('Live History'!$B$5:$B$3004,$K1079),INDEX('AH History'!$D$5:$GG$1380,$K1079,AH!$U$10))),NA()),NA())</f>
        <v/>
      </c>
      <c r="F1079" s="32">
        <f>IFERROR(IF(ISNUMBER($A1079),IF(AND(AH!$U$12=1,1074+1=AH!$U$6),IF(AH!$U$4=0,"unavailable",INDEX('Market Data'!$AO$5:$AO$66,AH!$U$4)),IF(AH!$U$5=1,INDEX('Live History'!$E$5:$E$3004,MATCH($A1079,'Live History'!$D$5:$D$3004,1)),INDEX('AH History'!$D$5:$GG$1380,$K1079,AH!$U$10+1))),NA()),NA())</f>
        <v/>
      </c>
      <c r="G1079" s="34">
        <f>IFERROR(IF(ISNUMBER($A1079),IF(AND(AH!$U$12=1,1074+1=AH!$U$6),IF(AH!$U$4=0,"unavailable",INDEX('Market Data'!$AK$5:$AK$66,AH!$U$4)),IF(AH!$U$5=1,INDEX('Live History'!$D$5:$D$3004,MATCH($A1079,'Live History'!$D$5:$D$3004,1)),INDEX('AH History'!$D$5:$GG$1380,$K1079,AH!$U$10+2))),NA()),NA())</f>
        <v/>
      </c>
      <c r="H1079" s="266">
        <f>IFERROR(IF(ISNUMBER($A1079),IF(AND(AH!$U$12=1,1074+1=AH!$U$6),IF(AH!$U$4=0,"unavailable",INDEX('Market Data'!$AP$5:$AP$66,AH!$U$4)),IF(AH!$U$5=1,INDEX('Live History'!$H$5:$H$3004,MATCH($A1079,'Live History'!$G$5:$G$3004,1)),INDEX('AH History'!$B$5:$B$1380,$K1079))),NA()),NA())</f>
        <v/>
      </c>
      <c r="I1079" s="34">
        <f>IFERROR(IF(ISNUMBER($A1079),IF(AND(AH!$U$12=1,1074+1=AH!$U$6),TODAY(),IF(AH!$U$5=1,INDEX('Live History'!$G$5:$G$3004,MATCH($A1079,'Live History'!$G$5:$G$3004,1)),INDEX('AH History'!$C$5:$C$1380,$K1079))),NA()),NA())</f>
        <v/>
      </c>
      <c r="J1079" s="32">
        <f>IFERROR(IF(AND($F1079&gt;0,$H1079&gt;0,$A1079-$G1079&lt;=10,$A1079-$I1079&lt;=5,$G1079&gt;0,$I1079&gt;0),$F1079*$H1079,NA()),NA())</f>
        <v/>
      </c>
      <c r="K1079" s="15">
        <f>IF($A1079="","",IF(AH!$U$5=1,IFERROR(MATCH($A1079,'Live History'!$A$5:$A$3004,0),0),AH!$U$7+1074))</f>
        <v/>
      </c>
      <c r="L1079" s="15">
        <f>IF(ISNUMBER(A1079),TEXT(A1079,"dd-mmm-yy"),"")</f>
        <v/>
      </c>
    </row>
    <row r="1080">
      <c r="A1080" s="14">
        <f>IF(OR(AH!$U$4=0,1075+1&gt;AH!$U$6,AND(AH!$M$5="Bloomberg",AH!$U$5=0)),"",IFERROR(IF(AND(AH!$U$12=1,1075+1=AH!$U$6),TODAY(),IF(AH!$U$5=1,INDEX('Live History'!$A$5:$A$3004,AH!$U$7+1075),INDEX('AH History'!$A$5:$A$1380,AH!$U$7+1075))),""))</f>
        <v/>
      </c>
      <c r="B1080" s="33">
        <f>IFERROR(IF(AH!$U$11=1,NA(),$J1080/$E1080-1),NA())</f>
        <v/>
      </c>
      <c r="C1080" s="269">
        <f>IFERROR(100*$E1080/$E$5,NA())</f>
        <v/>
      </c>
      <c r="D1080" s="269">
        <f>IFERROR(100*$J1080/$J$5,NA())</f>
        <v/>
      </c>
      <c r="E1080" s="32">
        <f>IFERROR(IF(AND(ISNUMBER($A1080),N(IF(AND(AH!$U$12=1,1075+1=AH!$U$6),IF(AH!$U$4=0,"unavailable",INDEX('Market Data'!$AN$5:$AN$66,AH!$U$4)),IF(AH!$U$5=1,INDEX('Live History'!$B$5:$B$3004,$K1080),INDEX('AH History'!$D$5:$GG$1380,$K1080,AH!$U$10))))&gt;0),IF(AND(AH!$U$12=1,1075+1=AH!$U$6),IF(AH!$U$4=0,"unavailable",INDEX('Market Data'!$AN$5:$AN$66,AH!$U$4)),IF(AH!$U$5=1,INDEX('Live History'!$B$5:$B$3004,$K1080),INDEX('AH History'!$D$5:$GG$1380,$K1080,AH!$U$10))),NA()),NA())</f>
        <v/>
      </c>
      <c r="F1080" s="32">
        <f>IFERROR(IF(ISNUMBER($A1080),IF(AND(AH!$U$12=1,1075+1=AH!$U$6),IF(AH!$U$4=0,"unavailable",INDEX('Market Data'!$AO$5:$AO$66,AH!$U$4)),IF(AH!$U$5=1,INDEX('Live History'!$E$5:$E$3004,MATCH($A1080,'Live History'!$D$5:$D$3004,1)),INDEX('AH History'!$D$5:$GG$1380,$K1080,AH!$U$10+1))),NA()),NA())</f>
        <v/>
      </c>
      <c r="G1080" s="34">
        <f>IFERROR(IF(ISNUMBER($A1080),IF(AND(AH!$U$12=1,1075+1=AH!$U$6),IF(AH!$U$4=0,"unavailable",INDEX('Market Data'!$AK$5:$AK$66,AH!$U$4)),IF(AH!$U$5=1,INDEX('Live History'!$D$5:$D$3004,MATCH($A1080,'Live History'!$D$5:$D$3004,1)),INDEX('AH History'!$D$5:$GG$1380,$K1080,AH!$U$10+2))),NA()),NA())</f>
        <v/>
      </c>
      <c r="H1080" s="266">
        <f>IFERROR(IF(ISNUMBER($A1080),IF(AND(AH!$U$12=1,1075+1=AH!$U$6),IF(AH!$U$4=0,"unavailable",INDEX('Market Data'!$AP$5:$AP$66,AH!$U$4)),IF(AH!$U$5=1,INDEX('Live History'!$H$5:$H$3004,MATCH($A1080,'Live History'!$G$5:$G$3004,1)),INDEX('AH History'!$B$5:$B$1380,$K1080))),NA()),NA())</f>
        <v/>
      </c>
      <c r="I1080" s="34">
        <f>IFERROR(IF(ISNUMBER($A1080),IF(AND(AH!$U$12=1,1075+1=AH!$U$6),TODAY(),IF(AH!$U$5=1,INDEX('Live History'!$G$5:$G$3004,MATCH($A1080,'Live History'!$G$5:$G$3004,1)),INDEX('AH History'!$C$5:$C$1380,$K1080))),NA()),NA())</f>
        <v/>
      </c>
      <c r="J1080" s="32">
        <f>IFERROR(IF(AND($F1080&gt;0,$H1080&gt;0,$A1080-$G1080&lt;=10,$A1080-$I1080&lt;=5,$G1080&gt;0,$I1080&gt;0),$F1080*$H1080,NA()),NA())</f>
        <v/>
      </c>
      <c r="K1080" s="15">
        <f>IF($A1080="","",IF(AH!$U$5=1,IFERROR(MATCH($A1080,'Live History'!$A$5:$A$3004,0),0),AH!$U$7+1075))</f>
        <v/>
      </c>
      <c r="L1080" s="15">
        <f>IF(ISNUMBER(A1080),TEXT(A1080,"dd-mmm-yy"),"")</f>
        <v/>
      </c>
    </row>
    <row r="1081">
      <c r="A1081" s="14">
        <f>IF(OR(AH!$U$4=0,1076+1&gt;AH!$U$6,AND(AH!$M$5="Bloomberg",AH!$U$5=0)),"",IFERROR(IF(AND(AH!$U$12=1,1076+1=AH!$U$6),TODAY(),IF(AH!$U$5=1,INDEX('Live History'!$A$5:$A$3004,AH!$U$7+1076),INDEX('AH History'!$A$5:$A$1380,AH!$U$7+1076))),""))</f>
        <v/>
      </c>
      <c r="B1081" s="33">
        <f>IFERROR(IF(AH!$U$11=1,NA(),$J1081/$E1081-1),NA())</f>
        <v/>
      </c>
      <c r="C1081" s="269">
        <f>IFERROR(100*$E1081/$E$5,NA())</f>
        <v/>
      </c>
      <c r="D1081" s="269">
        <f>IFERROR(100*$J1081/$J$5,NA())</f>
        <v/>
      </c>
      <c r="E1081" s="32">
        <f>IFERROR(IF(AND(ISNUMBER($A1081),N(IF(AND(AH!$U$12=1,1076+1=AH!$U$6),IF(AH!$U$4=0,"unavailable",INDEX('Market Data'!$AN$5:$AN$66,AH!$U$4)),IF(AH!$U$5=1,INDEX('Live History'!$B$5:$B$3004,$K1081),INDEX('AH History'!$D$5:$GG$1380,$K1081,AH!$U$10))))&gt;0),IF(AND(AH!$U$12=1,1076+1=AH!$U$6),IF(AH!$U$4=0,"unavailable",INDEX('Market Data'!$AN$5:$AN$66,AH!$U$4)),IF(AH!$U$5=1,INDEX('Live History'!$B$5:$B$3004,$K1081),INDEX('AH History'!$D$5:$GG$1380,$K1081,AH!$U$10))),NA()),NA())</f>
        <v/>
      </c>
      <c r="F1081" s="32">
        <f>IFERROR(IF(ISNUMBER($A1081),IF(AND(AH!$U$12=1,1076+1=AH!$U$6),IF(AH!$U$4=0,"unavailable",INDEX('Market Data'!$AO$5:$AO$66,AH!$U$4)),IF(AH!$U$5=1,INDEX('Live History'!$E$5:$E$3004,MATCH($A1081,'Live History'!$D$5:$D$3004,1)),INDEX('AH History'!$D$5:$GG$1380,$K1081,AH!$U$10+1))),NA()),NA())</f>
        <v/>
      </c>
      <c r="G1081" s="34">
        <f>IFERROR(IF(ISNUMBER($A1081),IF(AND(AH!$U$12=1,1076+1=AH!$U$6),IF(AH!$U$4=0,"unavailable",INDEX('Market Data'!$AK$5:$AK$66,AH!$U$4)),IF(AH!$U$5=1,INDEX('Live History'!$D$5:$D$3004,MATCH($A1081,'Live History'!$D$5:$D$3004,1)),INDEX('AH History'!$D$5:$GG$1380,$K1081,AH!$U$10+2))),NA()),NA())</f>
        <v/>
      </c>
      <c r="H1081" s="266">
        <f>IFERROR(IF(ISNUMBER($A1081),IF(AND(AH!$U$12=1,1076+1=AH!$U$6),IF(AH!$U$4=0,"unavailable",INDEX('Market Data'!$AP$5:$AP$66,AH!$U$4)),IF(AH!$U$5=1,INDEX('Live History'!$H$5:$H$3004,MATCH($A1081,'Live History'!$G$5:$G$3004,1)),INDEX('AH History'!$B$5:$B$1380,$K1081))),NA()),NA())</f>
        <v/>
      </c>
      <c r="I1081" s="34">
        <f>IFERROR(IF(ISNUMBER($A1081),IF(AND(AH!$U$12=1,1076+1=AH!$U$6),TODAY(),IF(AH!$U$5=1,INDEX('Live History'!$G$5:$G$3004,MATCH($A1081,'Live History'!$G$5:$G$3004,1)),INDEX('AH History'!$C$5:$C$1380,$K1081))),NA()),NA())</f>
        <v/>
      </c>
      <c r="J1081" s="32">
        <f>IFERROR(IF(AND($F1081&gt;0,$H1081&gt;0,$A1081-$G1081&lt;=10,$A1081-$I1081&lt;=5,$G1081&gt;0,$I1081&gt;0),$F1081*$H1081,NA()),NA())</f>
        <v/>
      </c>
      <c r="K1081" s="15">
        <f>IF($A1081="","",IF(AH!$U$5=1,IFERROR(MATCH($A1081,'Live History'!$A$5:$A$3004,0),0),AH!$U$7+1076))</f>
        <v/>
      </c>
      <c r="L1081" s="15">
        <f>IF(ISNUMBER(A1081),TEXT(A1081,"dd-mmm-yy"),"")</f>
        <v/>
      </c>
    </row>
    <row r="1082">
      <c r="A1082" s="14">
        <f>IF(OR(AH!$U$4=0,1077+1&gt;AH!$U$6,AND(AH!$M$5="Bloomberg",AH!$U$5=0)),"",IFERROR(IF(AND(AH!$U$12=1,1077+1=AH!$U$6),TODAY(),IF(AH!$U$5=1,INDEX('Live History'!$A$5:$A$3004,AH!$U$7+1077),INDEX('AH History'!$A$5:$A$1380,AH!$U$7+1077))),""))</f>
        <v/>
      </c>
      <c r="B1082" s="33">
        <f>IFERROR(IF(AH!$U$11=1,NA(),$J1082/$E1082-1),NA())</f>
        <v/>
      </c>
      <c r="C1082" s="269">
        <f>IFERROR(100*$E1082/$E$5,NA())</f>
        <v/>
      </c>
      <c r="D1082" s="269">
        <f>IFERROR(100*$J1082/$J$5,NA())</f>
        <v/>
      </c>
      <c r="E1082" s="32">
        <f>IFERROR(IF(AND(ISNUMBER($A1082),N(IF(AND(AH!$U$12=1,1077+1=AH!$U$6),IF(AH!$U$4=0,"unavailable",INDEX('Market Data'!$AN$5:$AN$66,AH!$U$4)),IF(AH!$U$5=1,INDEX('Live History'!$B$5:$B$3004,$K1082),INDEX('AH History'!$D$5:$GG$1380,$K1082,AH!$U$10))))&gt;0),IF(AND(AH!$U$12=1,1077+1=AH!$U$6),IF(AH!$U$4=0,"unavailable",INDEX('Market Data'!$AN$5:$AN$66,AH!$U$4)),IF(AH!$U$5=1,INDEX('Live History'!$B$5:$B$3004,$K1082),INDEX('AH History'!$D$5:$GG$1380,$K1082,AH!$U$10))),NA()),NA())</f>
        <v/>
      </c>
      <c r="F1082" s="32">
        <f>IFERROR(IF(ISNUMBER($A1082),IF(AND(AH!$U$12=1,1077+1=AH!$U$6),IF(AH!$U$4=0,"unavailable",INDEX('Market Data'!$AO$5:$AO$66,AH!$U$4)),IF(AH!$U$5=1,INDEX('Live History'!$E$5:$E$3004,MATCH($A1082,'Live History'!$D$5:$D$3004,1)),INDEX('AH History'!$D$5:$GG$1380,$K1082,AH!$U$10+1))),NA()),NA())</f>
        <v/>
      </c>
      <c r="G1082" s="34">
        <f>IFERROR(IF(ISNUMBER($A1082),IF(AND(AH!$U$12=1,1077+1=AH!$U$6),IF(AH!$U$4=0,"unavailable",INDEX('Market Data'!$AK$5:$AK$66,AH!$U$4)),IF(AH!$U$5=1,INDEX('Live History'!$D$5:$D$3004,MATCH($A1082,'Live History'!$D$5:$D$3004,1)),INDEX('AH History'!$D$5:$GG$1380,$K1082,AH!$U$10+2))),NA()),NA())</f>
        <v/>
      </c>
      <c r="H1082" s="266">
        <f>IFERROR(IF(ISNUMBER($A1082),IF(AND(AH!$U$12=1,1077+1=AH!$U$6),IF(AH!$U$4=0,"unavailable",INDEX('Market Data'!$AP$5:$AP$66,AH!$U$4)),IF(AH!$U$5=1,INDEX('Live History'!$H$5:$H$3004,MATCH($A1082,'Live History'!$G$5:$G$3004,1)),INDEX('AH History'!$B$5:$B$1380,$K1082))),NA()),NA())</f>
        <v/>
      </c>
      <c r="I1082" s="34">
        <f>IFERROR(IF(ISNUMBER($A1082),IF(AND(AH!$U$12=1,1077+1=AH!$U$6),TODAY(),IF(AH!$U$5=1,INDEX('Live History'!$G$5:$G$3004,MATCH($A1082,'Live History'!$G$5:$G$3004,1)),INDEX('AH History'!$C$5:$C$1380,$K1082))),NA()),NA())</f>
        <v/>
      </c>
      <c r="J1082" s="32">
        <f>IFERROR(IF(AND($F1082&gt;0,$H1082&gt;0,$A1082-$G1082&lt;=10,$A1082-$I1082&lt;=5,$G1082&gt;0,$I1082&gt;0),$F1082*$H1082,NA()),NA())</f>
        <v/>
      </c>
      <c r="K1082" s="15">
        <f>IF($A1082="","",IF(AH!$U$5=1,IFERROR(MATCH($A1082,'Live History'!$A$5:$A$3004,0),0),AH!$U$7+1077))</f>
        <v/>
      </c>
      <c r="L1082" s="15">
        <f>IF(ISNUMBER(A1082),TEXT(A1082,"dd-mmm-yy"),"")</f>
        <v/>
      </c>
    </row>
    <row r="1083">
      <c r="A1083" s="14">
        <f>IF(OR(AH!$U$4=0,1078+1&gt;AH!$U$6,AND(AH!$M$5="Bloomberg",AH!$U$5=0)),"",IFERROR(IF(AND(AH!$U$12=1,1078+1=AH!$U$6),TODAY(),IF(AH!$U$5=1,INDEX('Live History'!$A$5:$A$3004,AH!$U$7+1078),INDEX('AH History'!$A$5:$A$1380,AH!$U$7+1078))),""))</f>
        <v/>
      </c>
      <c r="B1083" s="33">
        <f>IFERROR(IF(AH!$U$11=1,NA(),$J1083/$E1083-1),NA())</f>
        <v/>
      </c>
      <c r="C1083" s="269">
        <f>IFERROR(100*$E1083/$E$5,NA())</f>
        <v/>
      </c>
      <c r="D1083" s="269">
        <f>IFERROR(100*$J1083/$J$5,NA())</f>
        <v/>
      </c>
      <c r="E1083" s="32">
        <f>IFERROR(IF(AND(ISNUMBER($A1083),N(IF(AND(AH!$U$12=1,1078+1=AH!$U$6),IF(AH!$U$4=0,"unavailable",INDEX('Market Data'!$AN$5:$AN$66,AH!$U$4)),IF(AH!$U$5=1,INDEX('Live History'!$B$5:$B$3004,$K1083),INDEX('AH History'!$D$5:$GG$1380,$K1083,AH!$U$10))))&gt;0),IF(AND(AH!$U$12=1,1078+1=AH!$U$6),IF(AH!$U$4=0,"unavailable",INDEX('Market Data'!$AN$5:$AN$66,AH!$U$4)),IF(AH!$U$5=1,INDEX('Live History'!$B$5:$B$3004,$K1083),INDEX('AH History'!$D$5:$GG$1380,$K1083,AH!$U$10))),NA()),NA())</f>
        <v/>
      </c>
      <c r="F1083" s="32">
        <f>IFERROR(IF(ISNUMBER($A1083),IF(AND(AH!$U$12=1,1078+1=AH!$U$6),IF(AH!$U$4=0,"unavailable",INDEX('Market Data'!$AO$5:$AO$66,AH!$U$4)),IF(AH!$U$5=1,INDEX('Live History'!$E$5:$E$3004,MATCH($A1083,'Live History'!$D$5:$D$3004,1)),INDEX('AH History'!$D$5:$GG$1380,$K1083,AH!$U$10+1))),NA()),NA())</f>
        <v/>
      </c>
      <c r="G1083" s="34">
        <f>IFERROR(IF(ISNUMBER($A1083),IF(AND(AH!$U$12=1,1078+1=AH!$U$6),IF(AH!$U$4=0,"unavailable",INDEX('Market Data'!$AK$5:$AK$66,AH!$U$4)),IF(AH!$U$5=1,INDEX('Live History'!$D$5:$D$3004,MATCH($A1083,'Live History'!$D$5:$D$3004,1)),INDEX('AH History'!$D$5:$GG$1380,$K1083,AH!$U$10+2))),NA()),NA())</f>
        <v/>
      </c>
      <c r="H1083" s="266">
        <f>IFERROR(IF(ISNUMBER($A1083),IF(AND(AH!$U$12=1,1078+1=AH!$U$6),IF(AH!$U$4=0,"unavailable",INDEX('Market Data'!$AP$5:$AP$66,AH!$U$4)),IF(AH!$U$5=1,INDEX('Live History'!$H$5:$H$3004,MATCH($A1083,'Live History'!$G$5:$G$3004,1)),INDEX('AH History'!$B$5:$B$1380,$K1083))),NA()),NA())</f>
        <v/>
      </c>
      <c r="I1083" s="34">
        <f>IFERROR(IF(ISNUMBER($A1083),IF(AND(AH!$U$12=1,1078+1=AH!$U$6),TODAY(),IF(AH!$U$5=1,INDEX('Live History'!$G$5:$G$3004,MATCH($A1083,'Live History'!$G$5:$G$3004,1)),INDEX('AH History'!$C$5:$C$1380,$K1083))),NA()),NA())</f>
        <v/>
      </c>
      <c r="J1083" s="32">
        <f>IFERROR(IF(AND($F1083&gt;0,$H1083&gt;0,$A1083-$G1083&lt;=10,$A1083-$I1083&lt;=5,$G1083&gt;0,$I1083&gt;0),$F1083*$H1083,NA()),NA())</f>
        <v/>
      </c>
      <c r="K1083" s="15">
        <f>IF($A1083="","",IF(AH!$U$5=1,IFERROR(MATCH($A1083,'Live History'!$A$5:$A$3004,0),0),AH!$U$7+1078))</f>
        <v/>
      </c>
      <c r="L1083" s="15">
        <f>IF(ISNUMBER(A1083),TEXT(A1083,"dd-mmm-yy"),"")</f>
        <v/>
      </c>
    </row>
    <row r="1084">
      <c r="A1084" s="14">
        <f>IF(OR(AH!$U$4=0,1079+1&gt;AH!$U$6,AND(AH!$M$5="Bloomberg",AH!$U$5=0)),"",IFERROR(IF(AND(AH!$U$12=1,1079+1=AH!$U$6),TODAY(),IF(AH!$U$5=1,INDEX('Live History'!$A$5:$A$3004,AH!$U$7+1079),INDEX('AH History'!$A$5:$A$1380,AH!$U$7+1079))),""))</f>
        <v/>
      </c>
      <c r="B1084" s="33">
        <f>IFERROR(IF(AH!$U$11=1,NA(),$J1084/$E1084-1),NA())</f>
        <v/>
      </c>
      <c r="C1084" s="269">
        <f>IFERROR(100*$E1084/$E$5,NA())</f>
        <v/>
      </c>
      <c r="D1084" s="269">
        <f>IFERROR(100*$J1084/$J$5,NA())</f>
        <v/>
      </c>
      <c r="E1084" s="32">
        <f>IFERROR(IF(AND(ISNUMBER($A1084),N(IF(AND(AH!$U$12=1,1079+1=AH!$U$6),IF(AH!$U$4=0,"unavailable",INDEX('Market Data'!$AN$5:$AN$66,AH!$U$4)),IF(AH!$U$5=1,INDEX('Live History'!$B$5:$B$3004,$K1084),INDEX('AH History'!$D$5:$GG$1380,$K1084,AH!$U$10))))&gt;0),IF(AND(AH!$U$12=1,1079+1=AH!$U$6),IF(AH!$U$4=0,"unavailable",INDEX('Market Data'!$AN$5:$AN$66,AH!$U$4)),IF(AH!$U$5=1,INDEX('Live History'!$B$5:$B$3004,$K1084),INDEX('AH History'!$D$5:$GG$1380,$K1084,AH!$U$10))),NA()),NA())</f>
        <v/>
      </c>
      <c r="F1084" s="32">
        <f>IFERROR(IF(ISNUMBER($A1084),IF(AND(AH!$U$12=1,1079+1=AH!$U$6),IF(AH!$U$4=0,"unavailable",INDEX('Market Data'!$AO$5:$AO$66,AH!$U$4)),IF(AH!$U$5=1,INDEX('Live History'!$E$5:$E$3004,MATCH($A1084,'Live History'!$D$5:$D$3004,1)),INDEX('AH History'!$D$5:$GG$1380,$K1084,AH!$U$10+1))),NA()),NA())</f>
        <v/>
      </c>
      <c r="G1084" s="34">
        <f>IFERROR(IF(ISNUMBER($A1084),IF(AND(AH!$U$12=1,1079+1=AH!$U$6),IF(AH!$U$4=0,"unavailable",INDEX('Market Data'!$AK$5:$AK$66,AH!$U$4)),IF(AH!$U$5=1,INDEX('Live History'!$D$5:$D$3004,MATCH($A1084,'Live History'!$D$5:$D$3004,1)),INDEX('AH History'!$D$5:$GG$1380,$K1084,AH!$U$10+2))),NA()),NA())</f>
        <v/>
      </c>
      <c r="H1084" s="266">
        <f>IFERROR(IF(ISNUMBER($A1084),IF(AND(AH!$U$12=1,1079+1=AH!$U$6),IF(AH!$U$4=0,"unavailable",INDEX('Market Data'!$AP$5:$AP$66,AH!$U$4)),IF(AH!$U$5=1,INDEX('Live History'!$H$5:$H$3004,MATCH($A1084,'Live History'!$G$5:$G$3004,1)),INDEX('AH History'!$B$5:$B$1380,$K1084))),NA()),NA())</f>
        <v/>
      </c>
      <c r="I1084" s="34">
        <f>IFERROR(IF(ISNUMBER($A1084),IF(AND(AH!$U$12=1,1079+1=AH!$U$6),TODAY(),IF(AH!$U$5=1,INDEX('Live History'!$G$5:$G$3004,MATCH($A1084,'Live History'!$G$5:$G$3004,1)),INDEX('AH History'!$C$5:$C$1380,$K1084))),NA()),NA())</f>
        <v/>
      </c>
      <c r="J1084" s="32">
        <f>IFERROR(IF(AND($F1084&gt;0,$H1084&gt;0,$A1084-$G1084&lt;=10,$A1084-$I1084&lt;=5,$G1084&gt;0,$I1084&gt;0),$F1084*$H1084,NA()),NA())</f>
        <v/>
      </c>
      <c r="K1084" s="15">
        <f>IF($A1084="","",IF(AH!$U$5=1,IFERROR(MATCH($A1084,'Live History'!$A$5:$A$3004,0),0),AH!$U$7+1079))</f>
        <v/>
      </c>
      <c r="L1084" s="15">
        <f>IF(ISNUMBER(A1084),TEXT(A1084,"dd-mmm-yy"),"")</f>
        <v/>
      </c>
    </row>
    <row r="1085">
      <c r="A1085" s="14">
        <f>IF(OR(AH!$U$4=0,1080+1&gt;AH!$U$6,AND(AH!$M$5="Bloomberg",AH!$U$5=0)),"",IFERROR(IF(AND(AH!$U$12=1,1080+1=AH!$U$6),TODAY(),IF(AH!$U$5=1,INDEX('Live History'!$A$5:$A$3004,AH!$U$7+1080),INDEX('AH History'!$A$5:$A$1380,AH!$U$7+1080))),""))</f>
        <v/>
      </c>
      <c r="B1085" s="33">
        <f>IFERROR(IF(AH!$U$11=1,NA(),$J1085/$E1085-1),NA())</f>
        <v/>
      </c>
      <c r="C1085" s="269">
        <f>IFERROR(100*$E1085/$E$5,NA())</f>
        <v/>
      </c>
      <c r="D1085" s="269">
        <f>IFERROR(100*$J1085/$J$5,NA())</f>
        <v/>
      </c>
      <c r="E1085" s="32">
        <f>IFERROR(IF(AND(ISNUMBER($A1085),N(IF(AND(AH!$U$12=1,1080+1=AH!$U$6),IF(AH!$U$4=0,"unavailable",INDEX('Market Data'!$AN$5:$AN$66,AH!$U$4)),IF(AH!$U$5=1,INDEX('Live History'!$B$5:$B$3004,$K1085),INDEX('AH History'!$D$5:$GG$1380,$K1085,AH!$U$10))))&gt;0),IF(AND(AH!$U$12=1,1080+1=AH!$U$6),IF(AH!$U$4=0,"unavailable",INDEX('Market Data'!$AN$5:$AN$66,AH!$U$4)),IF(AH!$U$5=1,INDEX('Live History'!$B$5:$B$3004,$K1085),INDEX('AH History'!$D$5:$GG$1380,$K1085,AH!$U$10))),NA()),NA())</f>
        <v/>
      </c>
      <c r="F1085" s="32">
        <f>IFERROR(IF(ISNUMBER($A1085),IF(AND(AH!$U$12=1,1080+1=AH!$U$6),IF(AH!$U$4=0,"unavailable",INDEX('Market Data'!$AO$5:$AO$66,AH!$U$4)),IF(AH!$U$5=1,INDEX('Live History'!$E$5:$E$3004,MATCH($A1085,'Live History'!$D$5:$D$3004,1)),INDEX('AH History'!$D$5:$GG$1380,$K1085,AH!$U$10+1))),NA()),NA())</f>
        <v/>
      </c>
      <c r="G1085" s="34">
        <f>IFERROR(IF(ISNUMBER($A1085),IF(AND(AH!$U$12=1,1080+1=AH!$U$6),IF(AH!$U$4=0,"unavailable",INDEX('Market Data'!$AK$5:$AK$66,AH!$U$4)),IF(AH!$U$5=1,INDEX('Live History'!$D$5:$D$3004,MATCH($A1085,'Live History'!$D$5:$D$3004,1)),INDEX('AH History'!$D$5:$GG$1380,$K1085,AH!$U$10+2))),NA()),NA())</f>
        <v/>
      </c>
      <c r="H1085" s="266">
        <f>IFERROR(IF(ISNUMBER($A1085),IF(AND(AH!$U$12=1,1080+1=AH!$U$6),IF(AH!$U$4=0,"unavailable",INDEX('Market Data'!$AP$5:$AP$66,AH!$U$4)),IF(AH!$U$5=1,INDEX('Live History'!$H$5:$H$3004,MATCH($A1085,'Live History'!$G$5:$G$3004,1)),INDEX('AH History'!$B$5:$B$1380,$K1085))),NA()),NA())</f>
        <v/>
      </c>
      <c r="I1085" s="34">
        <f>IFERROR(IF(ISNUMBER($A1085),IF(AND(AH!$U$12=1,1080+1=AH!$U$6),TODAY(),IF(AH!$U$5=1,INDEX('Live History'!$G$5:$G$3004,MATCH($A1085,'Live History'!$G$5:$G$3004,1)),INDEX('AH History'!$C$5:$C$1380,$K1085))),NA()),NA())</f>
        <v/>
      </c>
      <c r="J1085" s="32">
        <f>IFERROR(IF(AND($F1085&gt;0,$H1085&gt;0,$A1085-$G1085&lt;=10,$A1085-$I1085&lt;=5,$G1085&gt;0,$I1085&gt;0),$F1085*$H1085,NA()),NA())</f>
        <v/>
      </c>
      <c r="K1085" s="15">
        <f>IF($A1085="","",IF(AH!$U$5=1,IFERROR(MATCH($A1085,'Live History'!$A$5:$A$3004,0),0),AH!$U$7+1080))</f>
        <v/>
      </c>
      <c r="L1085" s="15">
        <f>IF(ISNUMBER(A1085),TEXT(A1085,"dd-mmm-yy"),"")</f>
        <v/>
      </c>
    </row>
    <row r="1086">
      <c r="A1086" s="14">
        <f>IF(OR(AH!$U$4=0,1081+1&gt;AH!$U$6,AND(AH!$M$5="Bloomberg",AH!$U$5=0)),"",IFERROR(IF(AND(AH!$U$12=1,1081+1=AH!$U$6),TODAY(),IF(AH!$U$5=1,INDEX('Live History'!$A$5:$A$3004,AH!$U$7+1081),INDEX('AH History'!$A$5:$A$1380,AH!$U$7+1081))),""))</f>
        <v/>
      </c>
      <c r="B1086" s="33">
        <f>IFERROR(IF(AH!$U$11=1,NA(),$J1086/$E1086-1),NA())</f>
        <v/>
      </c>
      <c r="C1086" s="269">
        <f>IFERROR(100*$E1086/$E$5,NA())</f>
        <v/>
      </c>
      <c r="D1086" s="269">
        <f>IFERROR(100*$J1086/$J$5,NA())</f>
        <v/>
      </c>
      <c r="E1086" s="32">
        <f>IFERROR(IF(AND(ISNUMBER($A1086),N(IF(AND(AH!$U$12=1,1081+1=AH!$U$6),IF(AH!$U$4=0,"unavailable",INDEX('Market Data'!$AN$5:$AN$66,AH!$U$4)),IF(AH!$U$5=1,INDEX('Live History'!$B$5:$B$3004,$K1086),INDEX('AH History'!$D$5:$GG$1380,$K1086,AH!$U$10))))&gt;0),IF(AND(AH!$U$12=1,1081+1=AH!$U$6),IF(AH!$U$4=0,"unavailable",INDEX('Market Data'!$AN$5:$AN$66,AH!$U$4)),IF(AH!$U$5=1,INDEX('Live History'!$B$5:$B$3004,$K1086),INDEX('AH History'!$D$5:$GG$1380,$K1086,AH!$U$10))),NA()),NA())</f>
        <v/>
      </c>
      <c r="F1086" s="32">
        <f>IFERROR(IF(ISNUMBER($A1086),IF(AND(AH!$U$12=1,1081+1=AH!$U$6),IF(AH!$U$4=0,"unavailable",INDEX('Market Data'!$AO$5:$AO$66,AH!$U$4)),IF(AH!$U$5=1,INDEX('Live History'!$E$5:$E$3004,MATCH($A1086,'Live History'!$D$5:$D$3004,1)),INDEX('AH History'!$D$5:$GG$1380,$K1086,AH!$U$10+1))),NA()),NA())</f>
        <v/>
      </c>
      <c r="G1086" s="34">
        <f>IFERROR(IF(ISNUMBER($A1086),IF(AND(AH!$U$12=1,1081+1=AH!$U$6),IF(AH!$U$4=0,"unavailable",INDEX('Market Data'!$AK$5:$AK$66,AH!$U$4)),IF(AH!$U$5=1,INDEX('Live History'!$D$5:$D$3004,MATCH($A1086,'Live History'!$D$5:$D$3004,1)),INDEX('AH History'!$D$5:$GG$1380,$K1086,AH!$U$10+2))),NA()),NA())</f>
        <v/>
      </c>
      <c r="H1086" s="266">
        <f>IFERROR(IF(ISNUMBER($A1086),IF(AND(AH!$U$12=1,1081+1=AH!$U$6),IF(AH!$U$4=0,"unavailable",INDEX('Market Data'!$AP$5:$AP$66,AH!$U$4)),IF(AH!$U$5=1,INDEX('Live History'!$H$5:$H$3004,MATCH($A1086,'Live History'!$G$5:$G$3004,1)),INDEX('AH History'!$B$5:$B$1380,$K1086))),NA()),NA())</f>
        <v/>
      </c>
      <c r="I1086" s="34">
        <f>IFERROR(IF(ISNUMBER($A1086),IF(AND(AH!$U$12=1,1081+1=AH!$U$6),TODAY(),IF(AH!$U$5=1,INDEX('Live History'!$G$5:$G$3004,MATCH($A1086,'Live History'!$G$5:$G$3004,1)),INDEX('AH History'!$C$5:$C$1380,$K1086))),NA()),NA())</f>
        <v/>
      </c>
      <c r="J1086" s="32">
        <f>IFERROR(IF(AND($F1086&gt;0,$H1086&gt;0,$A1086-$G1086&lt;=10,$A1086-$I1086&lt;=5,$G1086&gt;0,$I1086&gt;0),$F1086*$H1086,NA()),NA())</f>
        <v/>
      </c>
      <c r="K1086" s="15">
        <f>IF($A1086="","",IF(AH!$U$5=1,IFERROR(MATCH($A1086,'Live History'!$A$5:$A$3004,0),0),AH!$U$7+1081))</f>
        <v/>
      </c>
      <c r="L1086" s="15">
        <f>IF(ISNUMBER(A1086),TEXT(A1086,"dd-mmm-yy"),"")</f>
        <v/>
      </c>
    </row>
    <row r="1087">
      <c r="A1087" s="14">
        <f>IF(OR(AH!$U$4=0,1082+1&gt;AH!$U$6,AND(AH!$M$5="Bloomberg",AH!$U$5=0)),"",IFERROR(IF(AND(AH!$U$12=1,1082+1=AH!$U$6),TODAY(),IF(AH!$U$5=1,INDEX('Live History'!$A$5:$A$3004,AH!$U$7+1082),INDEX('AH History'!$A$5:$A$1380,AH!$U$7+1082))),""))</f>
        <v/>
      </c>
      <c r="B1087" s="33">
        <f>IFERROR(IF(AH!$U$11=1,NA(),$J1087/$E1087-1),NA())</f>
        <v/>
      </c>
      <c r="C1087" s="269">
        <f>IFERROR(100*$E1087/$E$5,NA())</f>
        <v/>
      </c>
      <c r="D1087" s="269">
        <f>IFERROR(100*$J1087/$J$5,NA())</f>
        <v/>
      </c>
      <c r="E1087" s="32">
        <f>IFERROR(IF(AND(ISNUMBER($A1087),N(IF(AND(AH!$U$12=1,1082+1=AH!$U$6),IF(AH!$U$4=0,"unavailable",INDEX('Market Data'!$AN$5:$AN$66,AH!$U$4)),IF(AH!$U$5=1,INDEX('Live History'!$B$5:$B$3004,$K1087),INDEX('AH History'!$D$5:$GG$1380,$K1087,AH!$U$10))))&gt;0),IF(AND(AH!$U$12=1,1082+1=AH!$U$6),IF(AH!$U$4=0,"unavailable",INDEX('Market Data'!$AN$5:$AN$66,AH!$U$4)),IF(AH!$U$5=1,INDEX('Live History'!$B$5:$B$3004,$K1087),INDEX('AH History'!$D$5:$GG$1380,$K1087,AH!$U$10))),NA()),NA())</f>
        <v/>
      </c>
      <c r="F1087" s="32">
        <f>IFERROR(IF(ISNUMBER($A1087),IF(AND(AH!$U$12=1,1082+1=AH!$U$6),IF(AH!$U$4=0,"unavailable",INDEX('Market Data'!$AO$5:$AO$66,AH!$U$4)),IF(AH!$U$5=1,INDEX('Live History'!$E$5:$E$3004,MATCH($A1087,'Live History'!$D$5:$D$3004,1)),INDEX('AH History'!$D$5:$GG$1380,$K1087,AH!$U$10+1))),NA()),NA())</f>
        <v/>
      </c>
      <c r="G1087" s="34">
        <f>IFERROR(IF(ISNUMBER($A1087),IF(AND(AH!$U$12=1,1082+1=AH!$U$6),IF(AH!$U$4=0,"unavailable",INDEX('Market Data'!$AK$5:$AK$66,AH!$U$4)),IF(AH!$U$5=1,INDEX('Live History'!$D$5:$D$3004,MATCH($A1087,'Live History'!$D$5:$D$3004,1)),INDEX('AH History'!$D$5:$GG$1380,$K1087,AH!$U$10+2))),NA()),NA())</f>
        <v/>
      </c>
      <c r="H1087" s="266">
        <f>IFERROR(IF(ISNUMBER($A1087),IF(AND(AH!$U$12=1,1082+1=AH!$U$6),IF(AH!$U$4=0,"unavailable",INDEX('Market Data'!$AP$5:$AP$66,AH!$U$4)),IF(AH!$U$5=1,INDEX('Live History'!$H$5:$H$3004,MATCH($A1087,'Live History'!$G$5:$G$3004,1)),INDEX('AH History'!$B$5:$B$1380,$K1087))),NA()),NA())</f>
        <v/>
      </c>
      <c r="I1087" s="34">
        <f>IFERROR(IF(ISNUMBER($A1087),IF(AND(AH!$U$12=1,1082+1=AH!$U$6),TODAY(),IF(AH!$U$5=1,INDEX('Live History'!$G$5:$G$3004,MATCH($A1087,'Live History'!$G$5:$G$3004,1)),INDEX('AH History'!$C$5:$C$1380,$K1087))),NA()),NA())</f>
        <v/>
      </c>
      <c r="J1087" s="32">
        <f>IFERROR(IF(AND($F1087&gt;0,$H1087&gt;0,$A1087-$G1087&lt;=10,$A1087-$I1087&lt;=5,$G1087&gt;0,$I1087&gt;0),$F1087*$H1087,NA()),NA())</f>
        <v/>
      </c>
      <c r="K1087" s="15">
        <f>IF($A1087="","",IF(AH!$U$5=1,IFERROR(MATCH($A1087,'Live History'!$A$5:$A$3004,0),0),AH!$U$7+1082))</f>
        <v/>
      </c>
      <c r="L1087" s="15">
        <f>IF(ISNUMBER(A1087),TEXT(A1087,"dd-mmm-yy"),"")</f>
        <v/>
      </c>
    </row>
    <row r="1088">
      <c r="A1088" s="14">
        <f>IF(OR(AH!$U$4=0,1083+1&gt;AH!$U$6,AND(AH!$M$5="Bloomberg",AH!$U$5=0)),"",IFERROR(IF(AND(AH!$U$12=1,1083+1=AH!$U$6),TODAY(),IF(AH!$U$5=1,INDEX('Live History'!$A$5:$A$3004,AH!$U$7+1083),INDEX('AH History'!$A$5:$A$1380,AH!$U$7+1083))),""))</f>
        <v/>
      </c>
      <c r="B1088" s="33">
        <f>IFERROR(IF(AH!$U$11=1,NA(),$J1088/$E1088-1),NA())</f>
        <v/>
      </c>
      <c r="C1088" s="269">
        <f>IFERROR(100*$E1088/$E$5,NA())</f>
        <v/>
      </c>
      <c r="D1088" s="269">
        <f>IFERROR(100*$J1088/$J$5,NA())</f>
        <v/>
      </c>
      <c r="E1088" s="32">
        <f>IFERROR(IF(AND(ISNUMBER($A1088),N(IF(AND(AH!$U$12=1,1083+1=AH!$U$6),IF(AH!$U$4=0,"unavailable",INDEX('Market Data'!$AN$5:$AN$66,AH!$U$4)),IF(AH!$U$5=1,INDEX('Live History'!$B$5:$B$3004,$K1088),INDEX('AH History'!$D$5:$GG$1380,$K1088,AH!$U$10))))&gt;0),IF(AND(AH!$U$12=1,1083+1=AH!$U$6),IF(AH!$U$4=0,"unavailable",INDEX('Market Data'!$AN$5:$AN$66,AH!$U$4)),IF(AH!$U$5=1,INDEX('Live History'!$B$5:$B$3004,$K1088),INDEX('AH History'!$D$5:$GG$1380,$K1088,AH!$U$10))),NA()),NA())</f>
        <v/>
      </c>
      <c r="F1088" s="32">
        <f>IFERROR(IF(ISNUMBER($A1088),IF(AND(AH!$U$12=1,1083+1=AH!$U$6),IF(AH!$U$4=0,"unavailable",INDEX('Market Data'!$AO$5:$AO$66,AH!$U$4)),IF(AH!$U$5=1,INDEX('Live History'!$E$5:$E$3004,MATCH($A1088,'Live History'!$D$5:$D$3004,1)),INDEX('AH History'!$D$5:$GG$1380,$K1088,AH!$U$10+1))),NA()),NA())</f>
        <v/>
      </c>
      <c r="G1088" s="34">
        <f>IFERROR(IF(ISNUMBER($A1088),IF(AND(AH!$U$12=1,1083+1=AH!$U$6),IF(AH!$U$4=0,"unavailable",INDEX('Market Data'!$AK$5:$AK$66,AH!$U$4)),IF(AH!$U$5=1,INDEX('Live History'!$D$5:$D$3004,MATCH($A1088,'Live History'!$D$5:$D$3004,1)),INDEX('AH History'!$D$5:$GG$1380,$K1088,AH!$U$10+2))),NA()),NA())</f>
        <v/>
      </c>
      <c r="H1088" s="266">
        <f>IFERROR(IF(ISNUMBER($A1088),IF(AND(AH!$U$12=1,1083+1=AH!$U$6),IF(AH!$U$4=0,"unavailable",INDEX('Market Data'!$AP$5:$AP$66,AH!$U$4)),IF(AH!$U$5=1,INDEX('Live History'!$H$5:$H$3004,MATCH($A1088,'Live History'!$G$5:$G$3004,1)),INDEX('AH History'!$B$5:$B$1380,$K1088))),NA()),NA())</f>
        <v/>
      </c>
      <c r="I1088" s="34">
        <f>IFERROR(IF(ISNUMBER($A1088),IF(AND(AH!$U$12=1,1083+1=AH!$U$6),TODAY(),IF(AH!$U$5=1,INDEX('Live History'!$G$5:$G$3004,MATCH($A1088,'Live History'!$G$5:$G$3004,1)),INDEX('AH History'!$C$5:$C$1380,$K1088))),NA()),NA())</f>
        <v/>
      </c>
      <c r="J1088" s="32">
        <f>IFERROR(IF(AND($F1088&gt;0,$H1088&gt;0,$A1088-$G1088&lt;=10,$A1088-$I1088&lt;=5,$G1088&gt;0,$I1088&gt;0),$F1088*$H1088,NA()),NA())</f>
        <v/>
      </c>
      <c r="K1088" s="15">
        <f>IF($A1088="","",IF(AH!$U$5=1,IFERROR(MATCH($A1088,'Live History'!$A$5:$A$3004,0),0),AH!$U$7+1083))</f>
        <v/>
      </c>
      <c r="L1088" s="15">
        <f>IF(ISNUMBER(A1088),TEXT(A1088,"dd-mmm-yy"),"")</f>
        <v/>
      </c>
    </row>
    <row r="1089">
      <c r="A1089" s="14">
        <f>IF(OR(AH!$U$4=0,1084+1&gt;AH!$U$6,AND(AH!$M$5="Bloomberg",AH!$U$5=0)),"",IFERROR(IF(AND(AH!$U$12=1,1084+1=AH!$U$6),TODAY(),IF(AH!$U$5=1,INDEX('Live History'!$A$5:$A$3004,AH!$U$7+1084),INDEX('AH History'!$A$5:$A$1380,AH!$U$7+1084))),""))</f>
        <v/>
      </c>
      <c r="B1089" s="33">
        <f>IFERROR(IF(AH!$U$11=1,NA(),$J1089/$E1089-1),NA())</f>
        <v/>
      </c>
      <c r="C1089" s="269">
        <f>IFERROR(100*$E1089/$E$5,NA())</f>
        <v/>
      </c>
      <c r="D1089" s="269">
        <f>IFERROR(100*$J1089/$J$5,NA())</f>
        <v/>
      </c>
      <c r="E1089" s="32">
        <f>IFERROR(IF(AND(ISNUMBER($A1089),N(IF(AND(AH!$U$12=1,1084+1=AH!$U$6),IF(AH!$U$4=0,"unavailable",INDEX('Market Data'!$AN$5:$AN$66,AH!$U$4)),IF(AH!$U$5=1,INDEX('Live History'!$B$5:$B$3004,$K1089),INDEX('AH History'!$D$5:$GG$1380,$K1089,AH!$U$10))))&gt;0),IF(AND(AH!$U$12=1,1084+1=AH!$U$6),IF(AH!$U$4=0,"unavailable",INDEX('Market Data'!$AN$5:$AN$66,AH!$U$4)),IF(AH!$U$5=1,INDEX('Live History'!$B$5:$B$3004,$K1089),INDEX('AH History'!$D$5:$GG$1380,$K1089,AH!$U$10))),NA()),NA())</f>
        <v/>
      </c>
      <c r="F1089" s="32">
        <f>IFERROR(IF(ISNUMBER($A1089),IF(AND(AH!$U$12=1,1084+1=AH!$U$6),IF(AH!$U$4=0,"unavailable",INDEX('Market Data'!$AO$5:$AO$66,AH!$U$4)),IF(AH!$U$5=1,INDEX('Live History'!$E$5:$E$3004,MATCH($A1089,'Live History'!$D$5:$D$3004,1)),INDEX('AH History'!$D$5:$GG$1380,$K1089,AH!$U$10+1))),NA()),NA())</f>
        <v/>
      </c>
      <c r="G1089" s="34">
        <f>IFERROR(IF(ISNUMBER($A1089),IF(AND(AH!$U$12=1,1084+1=AH!$U$6),IF(AH!$U$4=0,"unavailable",INDEX('Market Data'!$AK$5:$AK$66,AH!$U$4)),IF(AH!$U$5=1,INDEX('Live History'!$D$5:$D$3004,MATCH($A1089,'Live History'!$D$5:$D$3004,1)),INDEX('AH History'!$D$5:$GG$1380,$K1089,AH!$U$10+2))),NA()),NA())</f>
        <v/>
      </c>
      <c r="H1089" s="266">
        <f>IFERROR(IF(ISNUMBER($A1089),IF(AND(AH!$U$12=1,1084+1=AH!$U$6),IF(AH!$U$4=0,"unavailable",INDEX('Market Data'!$AP$5:$AP$66,AH!$U$4)),IF(AH!$U$5=1,INDEX('Live History'!$H$5:$H$3004,MATCH($A1089,'Live History'!$G$5:$G$3004,1)),INDEX('AH History'!$B$5:$B$1380,$K1089))),NA()),NA())</f>
        <v/>
      </c>
      <c r="I1089" s="34">
        <f>IFERROR(IF(ISNUMBER($A1089),IF(AND(AH!$U$12=1,1084+1=AH!$U$6),TODAY(),IF(AH!$U$5=1,INDEX('Live History'!$G$5:$G$3004,MATCH($A1089,'Live History'!$G$5:$G$3004,1)),INDEX('AH History'!$C$5:$C$1380,$K1089))),NA()),NA())</f>
        <v/>
      </c>
      <c r="J1089" s="32">
        <f>IFERROR(IF(AND($F1089&gt;0,$H1089&gt;0,$A1089-$G1089&lt;=10,$A1089-$I1089&lt;=5,$G1089&gt;0,$I1089&gt;0),$F1089*$H1089,NA()),NA())</f>
        <v/>
      </c>
      <c r="K1089" s="15">
        <f>IF($A1089="","",IF(AH!$U$5=1,IFERROR(MATCH($A1089,'Live History'!$A$5:$A$3004,0),0),AH!$U$7+1084))</f>
        <v/>
      </c>
      <c r="L1089" s="15">
        <f>IF(ISNUMBER(A1089),TEXT(A1089,"dd-mmm-yy"),"")</f>
        <v/>
      </c>
    </row>
    <row r="1090">
      <c r="A1090" s="14">
        <f>IF(OR(AH!$U$4=0,1085+1&gt;AH!$U$6,AND(AH!$M$5="Bloomberg",AH!$U$5=0)),"",IFERROR(IF(AND(AH!$U$12=1,1085+1=AH!$U$6),TODAY(),IF(AH!$U$5=1,INDEX('Live History'!$A$5:$A$3004,AH!$U$7+1085),INDEX('AH History'!$A$5:$A$1380,AH!$U$7+1085))),""))</f>
        <v/>
      </c>
      <c r="B1090" s="33">
        <f>IFERROR(IF(AH!$U$11=1,NA(),$J1090/$E1090-1),NA())</f>
        <v/>
      </c>
      <c r="C1090" s="269">
        <f>IFERROR(100*$E1090/$E$5,NA())</f>
        <v/>
      </c>
      <c r="D1090" s="269">
        <f>IFERROR(100*$J1090/$J$5,NA())</f>
        <v/>
      </c>
      <c r="E1090" s="32">
        <f>IFERROR(IF(AND(ISNUMBER($A1090),N(IF(AND(AH!$U$12=1,1085+1=AH!$U$6),IF(AH!$U$4=0,"unavailable",INDEX('Market Data'!$AN$5:$AN$66,AH!$U$4)),IF(AH!$U$5=1,INDEX('Live History'!$B$5:$B$3004,$K1090),INDEX('AH History'!$D$5:$GG$1380,$K1090,AH!$U$10))))&gt;0),IF(AND(AH!$U$12=1,1085+1=AH!$U$6),IF(AH!$U$4=0,"unavailable",INDEX('Market Data'!$AN$5:$AN$66,AH!$U$4)),IF(AH!$U$5=1,INDEX('Live History'!$B$5:$B$3004,$K1090),INDEX('AH History'!$D$5:$GG$1380,$K1090,AH!$U$10))),NA()),NA())</f>
        <v/>
      </c>
      <c r="F1090" s="32">
        <f>IFERROR(IF(ISNUMBER($A1090),IF(AND(AH!$U$12=1,1085+1=AH!$U$6),IF(AH!$U$4=0,"unavailable",INDEX('Market Data'!$AO$5:$AO$66,AH!$U$4)),IF(AH!$U$5=1,INDEX('Live History'!$E$5:$E$3004,MATCH($A1090,'Live History'!$D$5:$D$3004,1)),INDEX('AH History'!$D$5:$GG$1380,$K1090,AH!$U$10+1))),NA()),NA())</f>
        <v/>
      </c>
      <c r="G1090" s="34">
        <f>IFERROR(IF(ISNUMBER($A1090),IF(AND(AH!$U$12=1,1085+1=AH!$U$6),IF(AH!$U$4=0,"unavailable",INDEX('Market Data'!$AK$5:$AK$66,AH!$U$4)),IF(AH!$U$5=1,INDEX('Live History'!$D$5:$D$3004,MATCH($A1090,'Live History'!$D$5:$D$3004,1)),INDEX('AH History'!$D$5:$GG$1380,$K1090,AH!$U$10+2))),NA()),NA())</f>
        <v/>
      </c>
      <c r="H1090" s="266">
        <f>IFERROR(IF(ISNUMBER($A1090),IF(AND(AH!$U$12=1,1085+1=AH!$U$6),IF(AH!$U$4=0,"unavailable",INDEX('Market Data'!$AP$5:$AP$66,AH!$U$4)),IF(AH!$U$5=1,INDEX('Live History'!$H$5:$H$3004,MATCH($A1090,'Live History'!$G$5:$G$3004,1)),INDEX('AH History'!$B$5:$B$1380,$K1090))),NA()),NA())</f>
        <v/>
      </c>
      <c r="I1090" s="34">
        <f>IFERROR(IF(ISNUMBER($A1090),IF(AND(AH!$U$12=1,1085+1=AH!$U$6),TODAY(),IF(AH!$U$5=1,INDEX('Live History'!$G$5:$G$3004,MATCH($A1090,'Live History'!$G$5:$G$3004,1)),INDEX('AH History'!$C$5:$C$1380,$K1090))),NA()),NA())</f>
        <v/>
      </c>
      <c r="J1090" s="32">
        <f>IFERROR(IF(AND($F1090&gt;0,$H1090&gt;0,$A1090-$G1090&lt;=10,$A1090-$I1090&lt;=5,$G1090&gt;0,$I1090&gt;0),$F1090*$H1090,NA()),NA())</f>
        <v/>
      </c>
      <c r="K1090" s="15">
        <f>IF($A1090="","",IF(AH!$U$5=1,IFERROR(MATCH($A1090,'Live History'!$A$5:$A$3004,0),0),AH!$U$7+1085))</f>
        <v/>
      </c>
      <c r="L1090" s="15">
        <f>IF(ISNUMBER(A1090),TEXT(A1090,"dd-mmm-yy"),"")</f>
        <v/>
      </c>
    </row>
    <row r="1091">
      <c r="A1091" s="14">
        <f>IF(OR(AH!$U$4=0,1086+1&gt;AH!$U$6,AND(AH!$M$5="Bloomberg",AH!$U$5=0)),"",IFERROR(IF(AND(AH!$U$12=1,1086+1=AH!$U$6),TODAY(),IF(AH!$U$5=1,INDEX('Live History'!$A$5:$A$3004,AH!$U$7+1086),INDEX('AH History'!$A$5:$A$1380,AH!$U$7+1086))),""))</f>
        <v/>
      </c>
      <c r="B1091" s="33">
        <f>IFERROR(IF(AH!$U$11=1,NA(),$J1091/$E1091-1),NA())</f>
        <v/>
      </c>
      <c r="C1091" s="269">
        <f>IFERROR(100*$E1091/$E$5,NA())</f>
        <v/>
      </c>
      <c r="D1091" s="269">
        <f>IFERROR(100*$J1091/$J$5,NA())</f>
        <v/>
      </c>
      <c r="E1091" s="32">
        <f>IFERROR(IF(AND(ISNUMBER($A1091),N(IF(AND(AH!$U$12=1,1086+1=AH!$U$6),IF(AH!$U$4=0,"unavailable",INDEX('Market Data'!$AN$5:$AN$66,AH!$U$4)),IF(AH!$U$5=1,INDEX('Live History'!$B$5:$B$3004,$K1091),INDEX('AH History'!$D$5:$GG$1380,$K1091,AH!$U$10))))&gt;0),IF(AND(AH!$U$12=1,1086+1=AH!$U$6),IF(AH!$U$4=0,"unavailable",INDEX('Market Data'!$AN$5:$AN$66,AH!$U$4)),IF(AH!$U$5=1,INDEX('Live History'!$B$5:$B$3004,$K1091),INDEX('AH History'!$D$5:$GG$1380,$K1091,AH!$U$10))),NA()),NA())</f>
        <v/>
      </c>
      <c r="F1091" s="32">
        <f>IFERROR(IF(ISNUMBER($A1091),IF(AND(AH!$U$12=1,1086+1=AH!$U$6),IF(AH!$U$4=0,"unavailable",INDEX('Market Data'!$AO$5:$AO$66,AH!$U$4)),IF(AH!$U$5=1,INDEX('Live History'!$E$5:$E$3004,MATCH($A1091,'Live History'!$D$5:$D$3004,1)),INDEX('AH History'!$D$5:$GG$1380,$K1091,AH!$U$10+1))),NA()),NA())</f>
        <v/>
      </c>
      <c r="G1091" s="34">
        <f>IFERROR(IF(ISNUMBER($A1091),IF(AND(AH!$U$12=1,1086+1=AH!$U$6),IF(AH!$U$4=0,"unavailable",INDEX('Market Data'!$AK$5:$AK$66,AH!$U$4)),IF(AH!$U$5=1,INDEX('Live History'!$D$5:$D$3004,MATCH($A1091,'Live History'!$D$5:$D$3004,1)),INDEX('AH History'!$D$5:$GG$1380,$K1091,AH!$U$10+2))),NA()),NA())</f>
        <v/>
      </c>
      <c r="H1091" s="266">
        <f>IFERROR(IF(ISNUMBER($A1091),IF(AND(AH!$U$12=1,1086+1=AH!$U$6),IF(AH!$U$4=0,"unavailable",INDEX('Market Data'!$AP$5:$AP$66,AH!$U$4)),IF(AH!$U$5=1,INDEX('Live History'!$H$5:$H$3004,MATCH($A1091,'Live History'!$G$5:$G$3004,1)),INDEX('AH History'!$B$5:$B$1380,$K1091))),NA()),NA())</f>
        <v/>
      </c>
      <c r="I1091" s="34">
        <f>IFERROR(IF(ISNUMBER($A1091),IF(AND(AH!$U$12=1,1086+1=AH!$U$6),TODAY(),IF(AH!$U$5=1,INDEX('Live History'!$G$5:$G$3004,MATCH($A1091,'Live History'!$G$5:$G$3004,1)),INDEX('AH History'!$C$5:$C$1380,$K1091))),NA()),NA())</f>
        <v/>
      </c>
      <c r="J1091" s="32">
        <f>IFERROR(IF(AND($F1091&gt;0,$H1091&gt;0,$A1091-$G1091&lt;=10,$A1091-$I1091&lt;=5,$G1091&gt;0,$I1091&gt;0),$F1091*$H1091,NA()),NA())</f>
        <v/>
      </c>
      <c r="K1091" s="15">
        <f>IF($A1091="","",IF(AH!$U$5=1,IFERROR(MATCH($A1091,'Live History'!$A$5:$A$3004,0),0),AH!$U$7+1086))</f>
        <v/>
      </c>
      <c r="L1091" s="15">
        <f>IF(ISNUMBER(A1091),TEXT(A1091,"dd-mmm-yy"),"")</f>
        <v/>
      </c>
    </row>
    <row r="1092">
      <c r="A1092" s="14">
        <f>IF(OR(AH!$U$4=0,1087+1&gt;AH!$U$6,AND(AH!$M$5="Bloomberg",AH!$U$5=0)),"",IFERROR(IF(AND(AH!$U$12=1,1087+1=AH!$U$6),TODAY(),IF(AH!$U$5=1,INDEX('Live History'!$A$5:$A$3004,AH!$U$7+1087),INDEX('AH History'!$A$5:$A$1380,AH!$U$7+1087))),""))</f>
        <v/>
      </c>
      <c r="B1092" s="33">
        <f>IFERROR(IF(AH!$U$11=1,NA(),$J1092/$E1092-1),NA())</f>
        <v/>
      </c>
      <c r="C1092" s="269">
        <f>IFERROR(100*$E1092/$E$5,NA())</f>
        <v/>
      </c>
      <c r="D1092" s="269">
        <f>IFERROR(100*$J1092/$J$5,NA())</f>
        <v/>
      </c>
      <c r="E1092" s="32">
        <f>IFERROR(IF(AND(ISNUMBER($A1092),N(IF(AND(AH!$U$12=1,1087+1=AH!$U$6),IF(AH!$U$4=0,"unavailable",INDEX('Market Data'!$AN$5:$AN$66,AH!$U$4)),IF(AH!$U$5=1,INDEX('Live History'!$B$5:$B$3004,$K1092),INDEX('AH History'!$D$5:$GG$1380,$K1092,AH!$U$10))))&gt;0),IF(AND(AH!$U$12=1,1087+1=AH!$U$6),IF(AH!$U$4=0,"unavailable",INDEX('Market Data'!$AN$5:$AN$66,AH!$U$4)),IF(AH!$U$5=1,INDEX('Live History'!$B$5:$B$3004,$K1092),INDEX('AH History'!$D$5:$GG$1380,$K1092,AH!$U$10))),NA()),NA())</f>
        <v/>
      </c>
      <c r="F1092" s="32">
        <f>IFERROR(IF(ISNUMBER($A1092),IF(AND(AH!$U$12=1,1087+1=AH!$U$6),IF(AH!$U$4=0,"unavailable",INDEX('Market Data'!$AO$5:$AO$66,AH!$U$4)),IF(AH!$U$5=1,INDEX('Live History'!$E$5:$E$3004,MATCH($A1092,'Live History'!$D$5:$D$3004,1)),INDEX('AH History'!$D$5:$GG$1380,$K1092,AH!$U$10+1))),NA()),NA())</f>
        <v/>
      </c>
      <c r="G1092" s="34">
        <f>IFERROR(IF(ISNUMBER($A1092),IF(AND(AH!$U$12=1,1087+1=AH!$U$6),IF(AH!$U$4=0,"unavailable",INDEX('Market Data'!$AK$5:$AK$66,AH!$U$4)),IF(AH!$U$5=1,INDEX('Live History'!$D$5:$D$3004,MATCH($A1092,'Live History'!$D$5:$D$3004,1)),INDEX('AH History'!$D$5:$GG$1380,$K1092,AH!$U$10+2))),NA()),NA())</f>
        <v/>
      </c>
      <c r="H1092" s="266">
        <f>IFERROR(IF(ISNUMBER($A1092),IF(AND(AH!$U$12=1,1087+1=AH!$U$6),IF(AH!$U$4=0,"unavailable",INDEX('Market Data'!$AP$5:$AP$66,AH!$U$4)),IF(AH!$U$5=1,INDEX('Live History'!$H$5:$H$3004,MATCH($A1092,'Live History'!$G$5:$G$3004,1)),INDEX('AH History'!$B$5:$B$1380,$K1092))),NA()),NA())</f>
        <v/>
      </c>
      <c r="I1092" s="34">
        <f>IFERROR(IF(ISNUMBER($A1092),IF(AND(AH!$U$12=1,1087+1=AH!$U$6),TODAY(),IF(AH!$U$5=1,INDEX('Live History'!$G$5:$G$3004,MATCH($A1092,'Live History'!$G$5:$G$3004,1)),INDEX('AH History'!$C$5:$C$1380,$K1092))),NA()),NA())</f>
        <v/>
      </c>
      <c r="J1092" s="32">
        <f>IFERROR(IF(AND($F1092&gt;0,$H1092&gt;0,$A1092-$G1092&lt;=10,$A1092-$I1092&lt;=5,$G1092&gt;0,$I1092&gt;0),$F1092*$H1092,NA()),NA())</f>
        <v/>
      </c>
      <c r="K1092" s="15">
        <f>IF($A1092="","",IF(AH!$U$5=1,IFERROR(MATCH($A1092,'Live History'!$A$5:$A$3004,0),0),AH!$U$7+1087))</f>
        <v/>
      </c>
      <c r="L1092" s="15">
        <f>IF(ISNUMBER(A1092),TEXT(A1092,"dd-mmm-yy"),"")</f>
        <v/>
      </c>
    </row>
    <row r="1093">
      <c r="A1093" s="14">
        <f>IF(OR(AH!$U$4=0,1088+1&gt;AH!$U$6,AND(AH!$M$5="Bloomberg",AH!$U$5=0)),"",IFERROR(IF(AND(AH!$U$12=1,1088+1=AH!$U$6),TODAY(),IF(AH!$U$5=1,INDEX('Live History'!$A$5:$A$3004,AH!$U$7+1088),INDEX('AH History'!$A$5:$A$1380,AH!$U$7+1088))),""))</f>
        <v/>
      </c>
      <c r="B1093" s="33">
        <f>IFERROR(IF(AH!$U$11=1,NA(),$J1093/$E1093-1),NA())</f>
        <v/>
      </c>
      <c r="C1093" s="269">
        <f>IFERROR(100*$E1093/$E$5,NA())</f>
        <v/>
      </c>
      <c r="D1093" s="269">
        <f>IFERROR(100*$J1093/$J$5,NA())</f>
        <v/>
      </c>
      <c r="E1093" s="32">
        <f>IFERROR(IF(AND(ISNUMBER($A1093),N(IF(AND(AH!$U$12=1,1088+1=AH!$U$6),IF(AH!$U$4=0,"unavailable",INDEX('Market Data'!$AN$5:$AN$66,AH!$U$4)),IF(AH!$U$5=1,INDEX('Live History'!$B$5:$B$3004,$K1093),INDEX('AH History'!$D$5:$GG$1380,$K1093,AH!$U$10))))&gt;0),IF(AND(AH!$U$12=1,1088+1=AH!$U$6),IF(AH!$U$4=0,"unavailable",INDEX('Market Data'!$AN$5:$AN$66,AH!$U$4)),IF(AH!$U$5=1,INDEX('Live History'!$B$5:$B$3004,$K1093),INDEX('AH History'!$D$5:$GG$1380,$K1093,AH!$U$10))),NA()),NA())</f>
        <v/>
      </c>
      <c r="F1093" s="32">
        <f>IFERROR(IF(ISNUMBER($A1093),IF(AND(AH!$U$12=1,1088+1=AH!$U$6),IF(AH!$U$4=0,"unavailable",INDEX('Market Data'!$AO$5:$AO$66,AH!$U$4)),IF(AH!$U$5=1,INDEX('Live History'!$E$5:$E$3004,MATCH($A1093,'Live History'!$D$5:$D$3004,1)),INDEX('AH History'!$D$5:$GG$1380,$K1093,AH!$U$10+1))),NA()),NA())</f>
        <v/>
      </c>
      <c r="G1093" s="34">
        <f>IFERROR(IF(ISNUMBER($A1093),IF(AND(AH!$U$12=1,1088+1=AH!$U$6),IF(AH!$U$4=0,"unavailable",INDEX('Market Data'!$AK$5:$AK$66,AH!$U$4)),IF(AH!$U$5=1,INDEX('Live History'!$D$5:$D$3004,MATCH($A1093,'Live History'!$D$5:$D$3004,1)),INDEX('AH History'!$D$5:$GG$1380,$K1093,AH!$U$10+2))),NA()),NA())</f>
        <v/>
      </c>
      <c r="H1093" s="266">
        <f>IFERROR(IF(ISNUMBER($A1093),IF(AND(AH!$U$12=1,1088+1=AH!$U$6),IF(AH!$U$4=0,"unavailable",INDEX('Market Data'!$AP$5:$AP$66,AH!$U$4)),IF(AH!$U$5=1,INDEX('Live History'!$H$5:$H$3004,MATCH($A1093,'Live History'!$G$5:$G$3004,1)),INDEX('AH History'!$B$5:$B$1380,$K1093))),NA()),NA())</f>
        <v/>
      </c>
      <c r="I1093" s="34">
        <f>IFERROR(IF(ISNUMBER($A1093),IF(AND(AH!$U$12=1,1088+1=AH!$U$6),TODAY(),IF(AH!$U$5=1,INDEX('Live History'!$G$5:$G$3004,MATCH($A1093,'Live History'!$G$5:$G$3004,1)),INDEX('AH History'!$C$5:$C$1380,$K1093))),NA()),NA())</f>
        <v/>
      </c>
      <c r="J1093" s="32">
        <f>IFERROR(IF(AND($F1093&gt;0,$H1093&gt;0,$A1093-$G1093&lt;=10,$A1093-$I1093&lt;=5,$G1093&gt;0,$I1093&gt;0),$F1093*$H1093,NA()),NA())</f>
        <v/>
      </c>
      <c r="K1093" s="15">
        <f>IF($A1093="","",IF(AH!$U$5=1,IFERROR(MATCH($A1093,'Live History'!$A$5:$A$3004,0),0),AH!$U$7+1088))</f>
        <v/>
      </c>
      <c r="L1093" s="15">
        <f>IF(ISNUMBER(A1093),TEXT(A1093,"dd-mmm-yy"),"")</f>
        <v/>
      </c>
    </row>
    <row r="1094">
      <c r="A1094" s="14">
        <f>IF(OR(AH!$U$4=0,1089+1&gt;AH!$U$6,AND(AH!$M$5="Bloomberg",AH!$U$5=0)),"",IFERROR(IF(AND(AH!$U$12=1,1089+1=AH!$U$6),TODAY(),IF(AH!$U$5=1,INDEX('Live History'!$A$5:$A$3004,AH!$U$7+1089),INDEX('AH History'!$A$5:$A$1380,AH!$U$7+1089))),""))</f>
        <v/>
      </c>
      <c r="B1094" s="33">
        <f>IFERROR(IF(AH!$U$11=1,NA(),$J1094/$E1094-1),NA())</f>
        <v/>
      </c>
      <c r="C1094" s="269">
        <f>IFERROR(100*$E1094/$E$5,NA())</f>
        <v/>
      </c>
      <c r="D1094" s="269">
        <f>IFERROR(100*$J1094/$J$5,NA())</f>
        <v/>
      </c>
      <c r="E1094" s="32">
        <f>IFERROR(IF(AND(ISNUMBER($A1094),N(IF(AND(AH!$U$12=1,1089+1=AH!$U$6),IF(AH!$U$4=0,"unavailable",INDEX('Market Data'!$AN$5:$AN$66,AH!$U$4)),IF(AH!$U$5=1,INDEX('Live History'!$B$5:$B$3004,$K1094),INDEX('AH History'!$D$5:$GG$1380,$K1094,AH!$U$10))))&gt;0),IF(AND(AH!$U$12=1,1089+1=AH!$U$6),IF(AH!$U$4=0,"unavailable",INDEX('Market Data'!$AN$5:$AN$66,AH!$U$4)),IF(AH!$U$5=1,INDEX('Live History'!$B$5:$B$3004,$K1094),INDEX('AH History'!$D$5:$GG$1380,$K1094,AH!$U$10))),NA()),NA())</f>
        <v/>
      </c>
      <c r="F1094" s="32">
        <f>IFERROR(IF(ISNUMBER($A1094),IF(AND(AH!$U$12=1,1089+1=AH!$U$6),IF(AH!$U$4=0,"unavailable",INDEX('Market Data'!$AO$5:$AO$66,AH!$U$4)),IF(AH!$U$5=1,INDEX('Live History'!$E$5:$E$3004,MATCH($A1094,'Live History'!$D$5:$D$3004,1)),INDEX('AH History'!$D$5:$GG$1380,$K1094,AH!$U$10+1))),NA()),NA())</f>
        <v/>
      </c>
      <c r="G1094" s="34">
        <f>IFERROR(IF(ISNUMBER($A1094),IF(AND(AH!$U$12=1,1089+1=AH!$U$6),IF(AH!$U$4=0,"unavailable",INDEX('Market Data'!$AK$5:$AK$66,AH!$U$4)),IF(AH!$U$5=1,INDEX('Live History'!$D$5:$D$3004,MATCH($A1094,'Live History'!$D$5:$D$3004,1)),INDEX('AH History'!$D$5:$GG$1380,$K1094,AH!$U$10+2))),NA()),NA())</f>
        <v/>
      </c>
      <c r="H1094" s="266">
        <f>IFERROR(IF(ISNUMBER($A1094),IF(AND(AH!$U$12=1,1089+1=AH!$U$6),IF(AH!$U$4=0,"unavailable",INDEX('Market Data'!$AP$5:$AP$66,AH!$U$4)),IF(AH!$U$5=1,INDEX('Live History'!$H$5:$H$3004,MATCH($A1094,'Live History'!$G$5:$G$3004,1)),INDEX('AH History'!$B$5:$B$1380,$K1094))),NA()),NA())</f>
        <v/>
      </c>
      <c r="I1094" s="34">
        <f>IFERROR(IF(ISNUMBER($A1094),IF(AND(AH!$U$12=1,1089+1=AH!$U$6),TODAY(),IF(AH!$U$5=1,INDEX('Live History'!$G$5:$G$3004,MATCH($A1094,'Live History'!$G$5:$G$3004,1)),INDEX('AH History'!$C$5:$C$1380,$K1094))),NA()),NA())</f>
        <v/>
      </c>
      <c r="J1094" s="32">
        <f>IFERROR(IF(AND($F1094&gt;0,$H1094&gt;0,$A1094-$G1094&lt;=10,$A1094-$I1094&lt;=5,$G1094&gt;0,$I1094&gt;0),$F1094*$H1094,NA()),NA())</f>
        <v/>
      </c>
      <c r="K1094" s="15">
        <f>IF($A1094="","",IF(AH!$U$5=1,IFERROR(MATCH($A1094,'Live History'!$A$5:$A$3004,0),0),AH!$U$7+1089))</f>
        <v/>
      </c>
      <c r="L1094" s="15">
        <f>IF(ISNUMBER(A1094),TEXT(A1094,"dd-mmm-yy"),"")</f>
        <v/>
      </c>
    </row>
    <row r="1095">
      <c r="A1095" s="14">
        <f>IF(OR(AH!$U$4=0,1090+1&gt;AH!$U$6,AND(AH!$M$5="Bloomberg",AH!$U$5=0)),"",IFERROR(IF(AND(AH!$U$12=1,1090+1=AH!$U$6),TODAY(),IF(AH!$U$5=1,INDEX('Live History'!$A$5:$A$3004,AH!$U$7+1090),INDEX('AH History'!$A$5:$A$1380,AH!$U$7+1090))),""))</f>
        <v/>
      </c>
      <c r="B1095" s="33">
        <f>IFERROR(IF(AH!$U$11=1,NA(),$J1095/$E1095-1),NA())</f>
        <v/>
      </c>
      <c r="C1095" s="269">
        <f>IFERROR(100*$E1095/$E$5,NA())</f>
        <v/>
      </c>
      <c r="D1095" s="269">
        <f>IFERROR(100*$J1095/$J$5,NA())</f>
        <v/>
      </c>
      <c r="E1095" s="32">
        <f>IFERROR(IF(AND(ISNUMBER($A1095),N(IF(AND(AH!$U$12=1,1090+1=AH!$U$6),IF(AH!$U$4=0,"unavailable",INDEX('Market Data'!$AN$5:$AN$66,AH!$U$4)),IF(AH!$U$5=1,INDEX('Live History'!$B$5:$B$3004,$K1095),INDEX('AH History'!$D$5:$GG$1380,$K1095,AH!$U$10))))&gt;0),IF(AND(AH!$U$12=1,1090+1=AH!$U$6),IF(AH!$U$4=0,"unavailable",INDEX('Market Data'!$AN$5:$AN$66,AH!$U$4)),IF(AH!$U$5=1,INDEX('Live History'!$B$5:$B$3004,$K1095),INDEX('AH History'!$D$5:$GG$1380,$K1095,AH!$U$10))),NA()),NA())</f>
        <v/>
      </c>
      <c r="F1095" s="32">
        <f>IFERROR(IF(ISNUMBER($A1095),IF(AND(AH!$U$12=1,1090+1=AH!$U$6),IF(AH!$U$4=0,"unavailable",INDEX('Market Data'!$AO$5:$AO$66,AH!$U$4)),IF(AH!$U$5=1,INDEX('Live History'!$E$5:$E$3004,MATCH($A1095,'Live History'!$D$5:$D$3004,1)),INDEX('AH History'!$D$5:$GG$1380,$K1095,AH!$U$10+1))),NA()),NA())</f>
        <v/>
      </c>
      <c r="G1095" s="34">
        <f>IFERROR(IF(ISNUMBER($A1095),IF(AND(AH!$U$12=1,1090+1=AH!$U$6),IF(AH!$U$4=0,"unavailable",INDEX('Market Data'!$AK$5:$AK$66,AH!$U$4)),IF(AH!$U$5=1,INDEX('Live History'!$D$5:$D$3004,MATCH($A1095,'Live History'!$D$5:$D$3004,1)),INDEX('AH History'!$D$5:$GG$1380,$K1095,AH!$U$10+2))),NA()),NA())</f>
        <v/>
      </c>
      <c r="H1095" s="266">
        <f>IFERROR(IF(ISNUMBER($A1095),IF(AND(AH!$U$12=1,1090+1=AH!$U$6),IF(AH!$U$4=0,"unavailable",INDEX('Market Data'!$AP$5:$AP$66,AH!$U$4)),IF(AH!$U$5=1,INDEX('Live History'!$H$5:$H$3004,MATCH($A1095,'Live History'!$G$5:$G$3004,1)),INDEX('AH History'!$B$5:$B$1380,$K1095))),NA()),NA())</f>
        <v/>
      </c>
      <c r="I1095" s="34">
        <f>IFERROR(IF(ISNUMBER($A1095),IF(AND(AH!$U$12=1,1090+1=AH!$U$6),TODAY(),IF(AH!$U$5=1,INDEX('Live History'!$G$5:$G$3004,MATCH($A1095,'Live History'!$G$5:$G$3004,1)),INDEX('AH History'!$C$5:$C$1380,$K1095))),NA()),NA())</f>
        <v/>
      </c>
      <c r="J1095" s="32">
        <f>IFERROR(IF(AND($F1095&gt;0,$H1095&gt;0,$A1095-$G1095&lt;=10,$A1095-$I1095&lt;=5,$G1095&gt;0,$I1095&gt;0),$F1095*$H1095,NA()),NA())</f>
        <v/>
      </c>
      <c r="K1095" s="15">
        <f>IF($A1095="","",IF(AH!$U$5=1,IFERROR(MATCH($A1095,'Live History'!$A$5:$A$3004,0),0),AH!$U$7+1090))</f>
        <v/>
      </c>
      <c r="L1095" s="15">
        <f>IF(ISNUMBER(A1095),TEXT(A1095,"dd-mmm-yy"),"")</f>
        <v/>
      </c>
    </row>
    <row r="1096">
      <c r="A1096" s="14">
        <f>IF(OR(AH!$U$4=0,1091+1&gt;AH!$U$6,AND(AH!$M$5="Bloomberg",AH!$U$5=0)),"",IFERROR(IF(AND(AH!$U$12=1,1091+1=AH!$U$6),TODAY(),IF(AH!$U$5=1,INDEX('Live History'!$A$5:$A$3004,AH!$U$7+1091),INDEX('AH History'!$A$5:$A$1380,AH!$U$7+1091))),""))</f>
        <v/>
      </c>
      <c r="B1096" s="33">
        <f>IFERROR(IF(AH!$U$11=1,NA(),$J1096/$E1096-1),NA())</f>
        <v/>
      </c>
      <c r="C1096" s="269">
        <f>IFERROR(100*$E1096/$E$5,NA())</f>
        <v/>
      </c>
      <c r="D1096" s="269">
        <f>IFERROR(100*$J1096/$J$5,NA())</f>
        <v/>
      </c>
      <c r="E1096" s="32">
        <f>IFERROR(IF(AND(ISNUMBER($A1096),N(IF(AND(AH!$U$12=1,1091+1=AH!$U$6),IF(AH!$U$4=0,"unavailable",INDEX('Market Data'!$AN$5:$AN$66,AH!$U$4)),IF(AH!$U$5=1,INDEX('Live History'!$B$5:$B$3004,$K1096),INDEX('AH History'!$D$5:$GG$1380,$K1096,AH!$U$10))))&gt;0),IF(AND(AH!$U$12=1,1091+1=AH!$U$6),IF(AH!$U$4=0,"unavailable",INDEX('Market Data'!$AN$5:$AN$66,AH!$U$4)),IF(AH!$U$5=1,INDEX('Live History'!$B$5:$B$3004,$K1096),INDEX('AH History'!$D$5:$GG$1380,$K1096,AH!$U$10))),NA()),NA())</f>
        <v/>
      </c>
      <c r="F1096" s="32">
        <f>IFERROR(IF(ISNUMBER($A1096),IF(AND(AH!$U$12=1,1091+1=AH!$U$6),IF(AH!$U$4=0,"unavailable",INDEX('Market Data'!$AO$5:$AO$66,AH!$U$4)),IF(AH!$U$5=1,INDEX('Live History'!$E$5:$E$3004,MATCH($A1096,'Live History'!$D$5:$D$3004,1)),INDEX('AH History'!$D$5:$GG$1380,$K1096,AH!$U$10+1))),NA()),NA())</f>
        <v/>
      </c>
      <c r="G1096" s="34">
        <f>IFERROR(IF(ISNUMBER($A1096),IF(AND(AH!$U$12=1,1091+1=AH!$U$6),IF(AH!$U$4=0,"unavailable",INDEX('Market Data'!$AK$5:$AK$66,AH!$U$4)),IF(AH!$U$5=1,INDEX('Live History'!$D$5:$D$3004,MATCH($A1096,'Live History'!$D$5:$D$3004,1)),INDEX('AH History'!$D$5:$GG$1380,$K1096,AH!$U$10+2))),NA()),NA())</f>
        <v/>
      </c>
      <c r="H1096" s="266">
        <f>IFERROR(IF(ISNUMBER($A1096),IF(AND(AH!$U$12=1,1091+1=AH!$U$6),IF(AH!$U$4=0,"unavailable",INDEX('Market Data'!$AP$5:$AP$66,AH!$U$4)),IF(AH!$U$5=1,INDEX('Live History'!$H$5:$H$3004,MATCH($A1096,'Live History'!$G$5:$G$3004,1)),INDEX('AH History'!$B$5:$B$1380,$K1096))),NA()),NA())</f>
        <v/>
      </c>
      <c r="I1096" s="34">
        <f>IFERROR(IF(ISNUMBER($A1096),IF(AND(AH!$U$12=1,1091+1=AH!$U$6),TODAY(),IF(AH!$U$5=1,INDEX('Live History'!$G$5:$G$3004,MATCH($A1096,'Live History'!$G$5:$G$3004,1)),INDEX('AH History'!$C$5:$C$1380,$K1096))),NA()),NA())</f>
        <v/>
      </c>
      <c r="J1096" s="32">
        <f>IFERROR(IF(AND($F1096&gt;0,$H1096&gt;0,$A1096-$G1096&lt;=10,$A1096-$I1096&lt;=5,$G1096&gt;0,$I1096&gt;0),$F1096*$H1096,NA()),NA())</f>
        <v/>
      </c>
      <c r="K1096" s="15">
        <f>IF($A1096="","",IF(AH!$U$5=1,IFERROR(MATCH($A1096,'Live History'!$A$5:$A$3004,0),0),AH!$U$7+1091))</f>
        <v/>
      </c>
      <c r="L1096" s="15">
        <f>IF(ISNUMBER(A1096),TEXT(A1096,"dd-mmm-yy"),"")</f>
        <v/>
      </c>
    </row>
    <row r="1097">
      <c r="A1097" s="14">
        <f>IF(OR(AH!$U$4=0,1092+1&gt;AH!$U$6,AND(AH!$M$5="Bloomberg",AH!$U$5=0)),"",IFERROR(IF(AND(AH!$U$12=1,1092+1=AH!$U$6),TODAY(),IF(AH!$U$5=1,INDEX('Live History'!$A$5:$A$3004,AH!$U$7+1092),INDEX('AH History'!$A$5:$A$1380,AH!$U$7+1092))),""))</f>
        <v/>
      </c>
      <c r="B1097" s="33">
        <f>IFERROR(IF(AH!$U$11=1,NA(),$J1097/$E1097-1),NA())</f>
        <v/>
      </c>
      <c r="C1097" s="269">
        <f>IFERROR(100*$E1097/$E$5,NA())</f>
        <v/>
      </c>
      <c r="D1097" s="269">
        <f>IFERROR(100*$J1097/$J$5,NA())</f>
        <v/>
      </c>
      <c r="E1097" s="32">
        <f>IFERROR(IF(AND(ISNUMBER($A1097),N(IF(AND(AH!$U$12=1,1092+1=AH!$U$6),IF(AH!$U$4=0,"unavailable",INDEX('Market Data'!$AN$5:$AN$66,AH!$U$4)),IF(AH!$U$5=1,INDEX('Live History'!$B$5:$B$3004,$K1097),INDEX('AH History'!$D$5:$GG$1380,$K1097,AH!$U$10))))&gt;0),IF(AND(AH!$U$12=1,1092+1=AH!$U$6),IF(AH!$U$4=0,"unavailable",INDEX('Market Data'!$AN$5:$AN$66,AH!$U$4)),IF(AH!$U$5=1,INDEX('Live History'!$B$5:$B$3004,$K1097),INDEX('AH History'!$D$5:$GG$1380,$K1097,AH!$U$10))),NA()),NA())</f>
        <v/>
      </c>
      <c r="F1097" s="32">
        <f>IFERROR(IF(ISNUMBER($A1097),IF(AND(AH!$U$12=1,1092+1=AH!$U$6),IF(AH!$U$4=0,"unavailable",INDEX('Market Data'!$AO$5:$AO$66,AH!$U$4)),IF(AH!$U$5=1,INDEX('Live History'!$E$5:$E$3004,MATCH($A1097,'Live History'!$D$5:$D$3004,1)),INDEX('AH History'!$D$5:$GG$1380,$K1097,AH!$U$10+1))),NA()),NA())</f>
        <v/>
      </c>
      <c r="G1097" s="34">
        <f>IFERROR(IF(ISNUMBER($A1097),IF(AND(AH!$U$12=1,1092+1=AH!$U$6),IF(AH!$U$4=0,"unavailable",INDEX('Market Data'!$AK$5:$AK$66,AH!$U$4)),IF(AH!$U$5=1,INDEX('Live History'!$D$5:$D$3004,MATCH($A1097,'Live History'!$D$5:$D$3004,1)),INDEX('AH History'!$D$5:$GG$1380,$K1097,AH!$U$10+2))),NA()),NA())</f>
        <v/>
      </c>
      <c r="H1097" s="266">
        <f>IFERROR(IF(ISNUMBER($A1097),IF(AND(AH!$U$12=1,1092+1=AH!$U$6),IF(AH!$U$4=0,"unavailable",INDEX('Market Data'!$AP$5:$AP$66,AH!$U$4)),IF(AH!$U$5=1,INDEX('Live History'!$H$5:$H$3004,MATCH($A1097,'Live History'!$G$5:$G$3004,1)),INDEX('AH History'!$B$5:$B$1380,$K1097))),NA()),NA())</f>
        <v/>
      </c>
      <c r="I1097" s="34">
        <f>IFERROR(IF(ISNUMBER($A1097),IF(AND(AH!$U$12=1,1092+1=AH!$U$6),TODAY(),IF(AH!$U$5=1,INDEX('Live History'!$G$5:$G$3004,MATCH($A1097,'Live History'!$G$5:$G$3004,1)),INDEX('AH History'!$C$5:$C$1380,$K1097))),NA()),NA())</f>
        <v/>
      </c>
      <c r="J1097" s="32">
        <f>IFERROR(IF(AND($F1097&gt;0,$H1097&gt;0,$A1097-$G1097&lt;=10,$A1097-$I1097&lt;=5,$G1097&gt;0,$I1097&gt;0),$F1097*$H1097,NA()),NA())</f>
        <v/>
      </c>
      <c r="K1097" s="15">
        <f>IF($A1097="","",IF(AH!$U$5=1,IFERROR(MATCH($A1097,'Live History'!$A$5:$A$3004,0),0),AH!$U$7+1092))</f>
        <v/>
      </c>
      <c r="L1097" s="15">
        <f>IF(ISNUMBER(A1097),TEXT(A1097,"dd-mmm-yy"),"")</f>
        <v/>
      </c>
    </row>
    <row r="1098">
      <c r="A1098" s="14">
        <f>IF(OR(AH!$U$4=0,1093+1&gt;AH!$U$6,AND(AH!$M$5="Bloomberg",AH!$U$5=0)),"",IFERROR(IF(AND(AH!$U$12=1,1093+1=AH!$U$6),TODAY(),IF(AH!$U$5=1,INDEX('Live History'!$A$5:$A$3004,AH!$U$7+1093),INDEX('AH History'!$A$5:$A$1380,AH!$U$7+1093))),""))</f>
        <v/>
      </c>
      <c r="B1098" s="33">
        <f>IFERROR(IF(AH!$U$11=1,NA(),$J1098/$E1098-1),NA())</f>
        <v/>
      </c>
      <c r="C1098" s="269">
        <f>IFERROR(100*$E1098/$E$5,NA())</f>
        <v/>
      </c>
      <c r="D1098" s="269">
        <f>IFERROR(100*$J1098/$J$5,NA())</f>
        <v/>
      </c>
      <c r="E1098" s="32">
        <f>IFERROR(IF(AND(ISNUMBER($A1098),N(IF(AND(AH!$U$12=1,1093+1=AH!$U$6),IF(AH!$U$4=0,"unavailable",INDEX('Market Data'!$AN$5:$AN$66,AH!$U$4)),IF(AH!$U$5=1,INDEX('Live History'!$B$5:$B$3004,$K1098),INDEX('AH History'!$D$5:$GG$1380,$K1098,AH!$U$10))))&gt;0),IF(AND(AH!$U$12=1,1093+1=AH!$U$6),IF(AH!$U$4=0,"unavailable",INDEX('Market Data'!$AN$5:$AN$66,AH!$U$4)),IF(AH!$U$5=1,INDEX('Live History'!$B$5:$B$3004,$K1098),INDEX('AH History'!$D$5:$GG$1380,$K1098,AH!$U$10))),NA()),NA())</f>
        <v/>
      </c>
      <c r="F1098" s="32">
        <f>IFERROR(IF(ISNUMBER($A1098),IF(AND(AH!$U$12=1,1093+1=AH!$U$6),IF(AH!$U$4=0,"unavailable",INDEX('Market Data'!$AO$5:$AO$66,AH!$U$4)),IF(AH!$U$5=1,INDEX('Live History'!$E$5:$E$3004,MATCH($A1098,'Live History'!$D$5:$D$3004,1)),INDEX('AH History'!$D$5:$GG$1380,$K1098,AH!$U$10+1))),NA()),NA())</f>
        <v/>
      </c>
      <c r="G1098" s="34">
        <f>IFERROR(IF(ISNUMBER($A1098),IF(AND(AH!$U$12=1,1093+1=AH!$U$6),IF(AH!$U$4=0,"unavailable",INDEX('Market Data'!$AK$5:$AK$66,AH!$U$4)),IF(AH!$U$5=1,INDEX('Live History'!$D$5:$D$3004,MATCH($A1098,'Live History'!$D$5:$D$3004,1)),INDEX('AH History'!$D$5:$GG$1380,$K1098,AH!$U$10+2))),NA()),NA())</f>
        <v/>
      </c>
      <c r="H1098" s="266">
        <f>IFERROR(IF(ISNUMBER($A1098),IF(AND(AH!$U$12=1,1093+1=AH!$U$6),IF(AH!$U$4=0,"unavailable",INDEX('Market Data'!$AP$5:$AP$66,AH!$U$4)),IF(AH!$U$5=1,INDEX('Live History'!$H$5:$H$3004,MATCH($A1098,'Live History'!$G$5:$G$3004,1)),INDEX('AH History'!$B$5:$B$1380,$K1098))),NA()),NA())</f>
        <v/>
      </c>
      <c r="I1098" s="34">
        <f>IFERROR(IF(ISNUMBER($A1098),IF(AND(AH!$U$12=1,1093+1=AH!$U$6),TODAY(),IF(AH!$U$5=1,INDEX('Live History'!$G$5:$G$3004,MATCH($A1098,'Live History'!$G$5:$G$3004,1)),INDEX('AH History'!$C$5:$C$1380,$K1098))),NA()),NA())</f>
        <v/>
      </c>
      <c r="J1098" s="32">
        <f>IFERROR(IF(AND($F1098&gt;0,$H1098&gt;0,$A1098-$G1098&lt;=10,$A1098-$I1098&lt;=5,$G1098&gt;0,$I1098&gt;0),$F1098*$H1098,NA()),NA())</f>
        <v/>
      </c>
      <c r="K1098" s="15">
        <f>IF($A1098="","",IF(AH!$U$5=1,IFERROR(MATCH($A1098,'Live History'!$A$5:$A$3004,0),0),AH!$U$7+1093))</f>
        <v/>
      </c>
      <c r="L1098" s="15">
        <f>IF(ISNUMBER(A1098),TEXT(A1098,"dd-mmm-yy"),"")</f>
        <v/>
      </c>
    </row>
    <row r="1099">
      <c r="A1099" s="14">
        <f>IF(OR(AH!$U$4=0,1094+1&gt;AH!$U$6,AND(AH!$M$5="Bloomberg",AH!$U$5=0)),"",IFERROR(IF(AND(AH!$U$12=1,1094+1=AH!$U$6),TODAY(),IF(AH!$U$5=1,INDEX('Live History'!$A$5:$A$3004,AH!$U$7+1094),INDEX('AH History'!$A$5:$A$1380,AH!$U$7+1094))),""))</f>
        <v/>
      </c>
      <c r="B1099" s="33">
        <f>IFERROR(IF(AH!$U$11=1,NA(),$J1099/$E1099-1),NA())</f>
        <v/>
      </c>
      <c r="C1099" s="269">
        <f>IFERROR(100*$E1099/$E$5,NA())</f>
        <v/>
      </c>
      <c r="D1099" s="269">
        <f>IFERROR(100*$J1099/$J$5,NA())</f>
        <v/>
      </c>
      <c r="E1099" s="32">
        <f>IFERROR(IF(AND(ISNUMBER($A1099),N(IF(AND(AH!$U$12=1,1094+1=AH!$U$6),IF(AH!$U$4=0,"unavailable",INDEX('Market Data'!$AN$5:$AN$66,AH!$U$4)),IF(AH!$U$5=1,INDEX('Live History'!$B$5:$B$3004,$K1099),INDEX('AH History'!$D$5:$GG$1380,$K1099,AH!$U$10))))&gt;0),IF(AND(AH!$U$12=1,1094+1=AH!$U$6),IF(AH!$U$4=0,"unavailable",INDEX('Market Data'!$AN$5:$AN$66,AH!$U$4)),IF(AH!$U$5=1,INDEX('Live History'!$B$5:$B$3004,$K1099),INDEX('AH History'!$D$5:$GG$1380,$K1099,AH!$U$10))),NA()),NA())</f>
        <v/>
      </c>
      <c r="F1099" s="32">
        <f>IFERROR(IF(ISNUMBER($A1099),IF(AND(AH!$U$12=1,1094+1=AH!$U$6),IF(AH!$U$4=0,"unavailable",INDEX('Market Data'!$AO$5:$AO$66,AH!$U$4)),IF(AH!$U$5=1,INDEX('Live History'!$E$5:$E$3004,MATCH($A1099,'Live History'!$D$5:$D$3004,1)),INDEX('AH History'!$D$5:$GG$1380,$K1099,AH!$U$10+1))),NA()),NA())</f>
        <v/>
      </c>
      <c r="G1099" s="34">
        <f>IFERROR(IF(ISNUMBER($A1099),IF(AND(AH!$U$12=1,1094+1=AH!$U$6),IF(AH!$U$4=0,"unavailable",INDEX('Market Data'!$AK$5:$AK$66,AH!$U$4)),IF(AH!$U$5=1,INDEX('Live History'!$D$5:$D$3004,MATCH($A1099,'Live History'!$D$5:$D$3004,1)),INDEX('AH History'!$D$5:$GG$1380,$K1099,AH!$U$10+2))),NA()),NA())</f>
        <v/>
      </c>
      <c r="H1099" s="266">
        <f>IFERROR(IF(ISNUMBER($A1099),IF(AND(AH!$U$12=1,1094+1=AH!$U$6),IF(AH!$U$4=0,"unavailable",INDEX('Market Data'!$AP$5:$AP$66,AH!$U$4)),IF(AH!$U$5=1,INDEX('Live History'!$H$5:$H$3004,MATCH($A1099,'Live History'!$G$5:$G$3004,1)),INDEX('AH History'!$B$5:$B$1380,$K1099))),NA()),NA())</f>
        <v/>
      </c>
      <c r="I1099" s="34">
        <f>IFERROR(IF(ISNUMBER($A1099),IF(AND(AH!$U$12=1,1094+1=AH!$U$6),TODAY(),IF(AH!$U$5=1,INDEX('Live History'!$G$5:$G$3004,MATCH($A1099,'Live History'!$G$5:$G$3004,1)),INDEX('AH History'!$C$5:$C$1380,$K1099))),NA()),NA())</f>
        <v/>
      </c>
      <c r="J1099" s="32">
        <f>IFERROR(IF(AND($F1099&gt;0,$H1099&gt;0,$A1099-$G1099&lt;=10,$A1099-$I1099&lt;=5,$G1099&gt;0,$I1099&gt;0),$F1099*$H1099,NA()),NA())</f>
        <v/>
      </c>
      <c r="K1099" s="15">
        <f>IF($A1099="","",IF(AH!$U$5=1,IFERROR(MATCH($A1099,'Live History'!$A$5:$A$3004,0),0),AH!$U$7+1094))</f>
        <v/>
      </c>
      <c r="L1099" s="15">
        <f>IF(ISNUMBER(A1099),TEXT(A1099,"dd-mmm-yy"),"")</f>
        <v/>
      </c>
    </row>
    <row r="1100">
      <c r="A1100" s="14">
        <f>IF(OR(AH!$U$4=0,1095+1&gt;AH!$U$6,AND(AH!$M$5="Bloomberg",AH!$U$5=0)),"",IFERROR(IF(AND(AH!$U$12=1,1095+1=AH!$U$6),TODAY(),IF(AH!$U$5=1,INDEX('Live History'!$A$5:$A$3004,AH!$U$7+1095),INDEX('AH History'!$A$5:$A$1380,AH!$U$7+1095))),""))</f>
        <v/>
      </c>
      <c r="B1100" s="33">
        <f>IFERROR(IF(AH!$U$11=1,NA(),$J1100/$E1100-1),NA())</f>
        <v/>
      </c>
      <c r="C1100" s="269">
        <f>IFERROR(100*$E1100/$E$5,NA())</f>
        <v/>
      </c>
      <c r="D1100" s="269">
        <f>IFERROR(100*$J1100/$J$5,NA())</f>
        <v/>
      </c>
      <c r="E1100" s="32">
        <f>IFERROR(IF(AND(ISNUMBER($A1100),N(IF(AND(AH!$U$12=1,1095+1=AH!$U$6),IF(AH!$U$4=0,"unavailable",INDEX('Market Data'!$AN$5:$AN$66,AH!$U$4)),IF(AH!$U$5=1,INDEX('Live History'!$B$5:$B$3004,$K1100),INDEX('AH History'!$D$5:$GG$1380,$K1100,AH!$U$10))))&gt;0),IF(AND(AH!$U$12=1,1095+1=AH!$U$6),IF(AH!$U$4=0,"unavailable",INDEX('Market Data'!$AN$5:$AN$66,AH!$U$4)),IF(AH!$U$5=1,INDEX('Live History'!$B$5:$B$3004,$K1100),INDEX('AH History'!$D$5:$GG$1380,$K1100,AH!$U$10))),NA()),NA())</f>
        <v/>
      </c>
      <c r="F1100" s="32">
        <f>IFERROR(IF(ISNUMBER($A1100),IF(AND(AH!$U$12=1,1095+1=AH!$U$6),IF(AH!$U$4=0,"unavailable",INDEX('Market Data'!$AO$5:$AO$66,AH!$U$4)),IF(AH!$U$5=1,INDEX('Live History'!$E$5:$E$3004,MATCH($A1100,'Live History'!$D$5:$D$3004,1)),INDEX('AH History'!$D$5:$GG$1380,$K1100,AH!$U$10+1))),NA()),NA())</f>
        <v/>
      </c>
      <c r="G1100" s="34">
        <f>IFERROR(IF(ISNUMBER($A1100),IF(AND(AH!$U$12=1,1095+1=AH!$U$6),IF(AH!$U$4=0,"unavailable",INDEX('Market Data'!$AK$5:$AK$66,AH!$U$4)),IF(AH!$U$5=1,INDEX('Live History'!$D$5:$D$3004,MATCH($A1100,'Live History'!$D$5:$D$3004,1)),INDEX('AH History'!$D$5:$GG$1380,$K1100,AH!$U$10+2))),NA()),NA())</f>
        <v/>
      </c>
      <c r="H1100" s="266">
        <f>IFERROR(IF(ISNUMBER($A1100),IF(AND(AH!$U$12=1,1095+1=AH!$U$6),IF(AH!$U$4=0,"unavailable",INDEX('Market Data'!$AP$5:$AP$66,AH!$U$4)),IF(AH!$U$5=1,INDEX('Live History'!$H$5:$H$3004,MATCH($A1100,'Live History'!$G$5:$G$3004,1)),INDEX('AH History'!$B$5:$B$1380,$K1100))),NA()),NA())</f>
        <v/>
      </c>
      <c r="I1100" s="34">
        <f>IFERROR(IF(ISNUMBER($A1100),IF(AND(AH!$U$12=1,1095+1=AH!$U$6),TODAY(),IF(AH!$U$5=1,INDEX('Live History'!$G$5:$G$3004,MATCH($A1100,'Live History'!$G$5:$G$3004,1)),INDEX('AH History'!$C$5:$C$1380,$K1100))),NA()),NA())</f>
        <v/>
      </c>
      <c r="J1100" s="32">
        <f>IFERROR(IF(AND($F1100&gt;0,$H1100&gt;0,$A1100-$G1100&lt;=10,$A1100-$I1100&lt;=5,$G1100&gt;0,$I1100&gt;0),$F1100*$H1100,NA()),NA())</f>
        <v/>
      </c>
      <c r="K1100" s="15">
        <f>IF($A1100="","",IF(AH!$U$5=1,IFERROR(MATCH($A1100,'Live History'!$A$5:$A$3004,0),0),AH!$U$7+1095))</f>
        <v/>
      </c>
      <c r="L1100" s="15">
        <f>IF(ISNUMBER(A1100),TEXT(A1100,"dd-mmm-yy"),"")</f>
        <v/>
      </c>
    </row>
    <row r="1101">
      <c r="A1101" s="14">
        <f>IF(OR(AH!$U$4=0,1096+1&gt;AH!$U$6,AND(AH!$M$5="Bloomberg",AH!$U$5=0)),"",IFERROR(IF(AND(AH!$U$12=1,1096+1=AH!$U$6),TODAY(),IF(AH!$U$5=1,INDEX('Live History'!$A$5:$A$3004,AH!$U$7+1096),INDEX('AH History'!$A$5:$A$1380,AH!$U$7+1096))),""))</f>
        <v/>
      </c>
      <c r="B1101" s="33">
        <f>IFERROR(IF(AH!$U$11=1,NA(),$J1101/$E1101-1),NA())</f>
        <v/>
      </c>
      <c r="C1101" s="269">
        <f>IFERROR(100*$E1101/$E$5,NA())</f>
        <v/>
      </c>
      <c r="D1101" s="269">
        <f>IFERROR(100*$J1101/$J$5,NA())</f>
        <v/>
      </c>
      <c r="E1101" s="32">
        <f>IFERROR(IF(AND(ISNUMBER($A1101),N(IF(AND(AH!$U$12=1,1096+1=AH!$U$6),IF(AH!$U$4=0,"unavailable",INDEX('Market Data'!$AN$5:$AN$66,AH!$U$4)),IF(AH!$U$5=1,INDEX('Live History'!$B$5:$B$3004,$K1101),INDEX('AH History'!$D$5:$GG$1380,$K1101,AH!$U$10))))&gt;0),IF(AND(AH!$U$12=1,1096+1=AH!$U$6),IF(AH!$U$4=0,"unavailable",INDEX('Market Data'!$AN$5:$AN$66,AH!$U$4)),IF(AH!$U$5=1,INDEX('Live History'!$B$5:$B$3004,$K1101),INDEX('AH History'!$D$5:$GG$1380,$K1101,AH!$U$10))),NA()),NA())</f>
        <v/>
      </c>
      <c r="F1101" s="32">
        <f>IFERROR(IF(ISNUMBER($A1101),IF(AND(AH!$U$12=1,1096+1=AH!$U$6),IF(AH!$U$4=0,"unavailable",INDEX('Market Data'!$AO$5:$AO$66,AH!$U$4)),IF(AH!$U$5=1,INDEX('Live History'!$E$5:$E$3004,MATCH($A1101,'Live History'!$D$5:$D$3004,1)),INDEX('AH History'!$D$5:$GG$1380,$K1101,AH!$U$10+1))),NA()),NA())</f>
        <v/>
      </c>
      <c r="G1101" s="34">
        <f>IFERROR(IF(ISNUMBER($A1101),IF(AND(AH!$U$12=1,1096+1=AH!$U$6),IF(AH!$U$4=0,"unavailable",INDEX('Market Data'!$AK$5:$AK$66,AH!$U$4)),IF(AH!$U$5=1,INDEX('Live History'!$D$5:$D$3004,MATCH($A1101,'Live History'!$D$5:$D$3004,1)),INDEX('AH History'!$D$5:$GG$1380,$K1101,AH!$U$10+2))),NA()),NA())</f>
        <v/>
      </c>
      <c r="H1101" s="266">
        <f>IFERROR(IF(ISNUMBER($A1101),IF(AND(AH!$U$12=1,1096+1=AH!$U$6),IF(AH!$U$4=0,"unavailable",INDEX('Market Data'!$AP$5:$AP$66,AH!$U$4)),IF(AH!$U$5=1,INDEX('Live History'!$H$5:$H$3004,MATCH($A1101,'Live History'!$G$5:$G$3004,1)),INDEX('AH History'!$B$5:$B$1380,$K1101))),NA()),NA())</f>
        <v/>
      </c>
      <c r="I1101" s="34">
        <f>IFERROR(IF(ISNUMBER($A1101),IF(AND(AH!$U$12=1,1096+1=AH!$U$6),TODAY(),IF(AH!$U$5=1,INDEX('Live History'!$G$5:$G$3004,MATCH($A1101,'Live History'!$G$5:$G$3004,1)),INDEX('AH History'!$C$5:$C$1380,$K1101))),NA()),NA())</f>
        <v/>
      </c>
      <c r="J1101" s="32">
        <f>IFERROR(IF(AND($F1101&gt;0,$H1101&gt;0,$A1101-$G1101&lt;=10,$A1101-$I1101&lt;=5,$G1101&gt;0,$I1101&gt;0),$F1101*$H1101,NA()),NA())</f>
        <v/>
      </c>
      <c r="K1101" s="15">
        <f>IF($A1101="","",IF(AH!$U$5=1,IFERROR(MATCH($A1101,'Live History'!$A$5:$A$3004,0),0),AH!$U$7+1096))</f>
        <v/>
      </c>
      <c r="L1101" s="15">
        <f>IF(ISNUMBER(A1101),TEXT(A1101,"dd-mmm-yy"),"")</f>
        <v/>
      </c>
    </row>
    <row r="1102">
      <c r="A1102" s="14">
        <f>IF(OR(AH!$U$4=0,1097+1&gt;AH!$U$6,AND(AH!$M$5="Bloomberg",AH!$U$5=0)),"",IFERROR(IF(AND(AH!$U$12=1,1097+1=AH!$U$6),TODAY(),IF(AH!$U$5=1,INDEX('Live History'!$A$5:$A$3004,AH!$U$7+1097),INDEX('AH History'!$A$5:$A$1380,AH!$U$7+1097))),""))</f>
        <v/>
      </c>
      <c r="B1102" s="33">
        <f>IFERROR(IF(AH!$U$11=1,NA(),$J1102/$E1102-1),NA())</f>
        <v/>
      </c>
      <c r="C1102" s="269">
        <f>IFERROR(100*$E1102/$E$5,NA())</f>
        <v/>
      </c>
      <c r="D1102" s="269">
        <f>IFERROR(100*$J1102/$J$5,NA())</f>
        <v/>
      </c>
      <c r="E1102" s="32">
        <f>IFERROR(IF(AND(ISNUMBER($A1102),N(IF(AND(AH!$U$12=1,1097+1=AH!$U$6),IF(AH!$U$4=0,"unavailable",INDEX('Market Data'!$AN$5:$AN$66,AH!$U$4)),IF(AH!$U$5=1,INDEX('Live History'!$B$5:$B$3004,$K1102),INDEX('AH History'!$D$5:$GG$1380,$K1102,AH!$U$10))))&gt;0),IF(AND(AH!$U$12=1,1097+1=AH!$U$6),IF(AH!$U$4=0,"unavailable",INDEX('Market Data'!$AN$5:$AN$66,AH!$U$4)),IF(AH!$U$5=1,INDEX('Live History'!$B$5:$B$3004,$K1102),INDEX('AH History'!$D$5:$GG$1380,$K1102,AH!$U$10))),NA()),NA())</f>
        <v/>
      </c>
      <c r="F1102" s="32">
        <f>IFERROR(IF(ISNUMBER($A1102),IF(AND(AH!$U$12=1,1097+1=AH!$U$6),IF(AH!$U$4=0,"unavailable",INDEX('Market Data'!$AO$5:$AO$66,AH!$U$4)),IF(AH!$U$5=1,INDEX('Live History'!$E$5:$E$3004,MATCH($A1102,'Live History'!$D$5:$D$3004,1)),INDEX('AH History'!$D$5:$GG$1380,$K1102,AH!$U$10+1))),NA()),NA())</f>
        <v/>
      </c>
      <c r="G1102" s="34">
        <f>IFERROR(IF(ISNUMBER($A1102),IF(AND(AH!$U$12=1,1097+1=AH!$U$6),IF(AH!$U$4=0,"unavailable",INDEX('Market Data'!$AK$5:$AK$66,AH!$U$4)),IF(AH!$U$5=1,INDEX('Live History'!$D$5:$D$3004,MATCH($A1102,'Live History'!$D$5:$D$3004,1)),INDEX('AH History'!$D$5:$GG$1380,$K1102,AH!$U$10+2))),NA()),NA())</f>
        <v/>
      </c>
      <c r="H1102" s="266">
        <f>IFERROR(IF(ISNUMBER($A1102),IF(AND(AH!$U$12=1,1097+1=AH!$U$6),IF(AH!$U$4=0,"unavailable",INDEX('Market Data'!$AP$5:$AP$66,AH!$U$4)),IF(AH!$U$5=1,INDEX('Live History'!$H$5:$H$3004,MATCH($A1102,'Live History'!$G$5:$G$3004,1)),INDEX('AH History'!$B$5:$B$1380,$K1102))),NA()),NA())</f>
        <v/>
      </c>
      <c r="I1102" s="34">
        <f>IFERROR(IF(ISNUMBER($A1102),IF(AND(AH!$U$12=1,1097+1=AH!$U$6),TODAY(),IF(AH!$U$5=1,INDEX('Live History'!$G$5:$G$3004,MATCH($A1102,'Live History'!$G$5:$G$3004,1)),INDEX('AH History'!$C$5:$C$1380,$K1102))),NA()),NA())</f>
        <v/>
      </c>
      <c r="J1102" s="32">
        <f>IFERROR(IF(AND($F1102&gt;0,$H1102&gt;0,$A1102-$G1102&lt;=10,$A1102-$I1102&lt;=5,$G1102&gt;0,$I1102&gt;0),$F1102*$H1102,NA()),NA())</f>
        <v/>
      </c>
      <c r="K1102" s="15">
        <f>IF($A1102="","",IF(AH!$U$5=1,IFERROR(MATCH($A1102,'Live History'!$A$5:$A$3004,0),0),AH!$U$7+1097))</f>
        <v/>
      </c>
      <c r="L1102" s="15">
        <f>IF(ISNUMBER(A1102),TEXT(A1102,"dd-mmm-yy"),"")</f>
        <v/>
      </c>
    </row>
    <row r="1103">
      <c r="A1103" s="14">
        <f>IF(OR(AH!$U$4=0,1098+1&gt;AH!$U$6,AND(AH!$M$5="Bloomberg",AH!$U$5=0)),"",IFERROR(IF(AND(AH!$U$12=1,1098+1=AH!$U$6),TODAY(),IF(AH!$U$5=1,INDEX('Live History'!$A$5:$A$3004,AH!$U$7+1098),INDEX('AH History'!$A$5:$A$1380,AH!$U$7+1098))),""))</f>
        <v/>
      </c>
      <c r="B1103" s="33">
        <f>IFERROR(IF(AH!$U$11=1,NA(),$J1103/$E1103-1),NA())</f>
        <v/>
      </c>
      <c r="C1103" s="269">
        <f>IFERROR(100*$E1103/$E$5,NA())</f>
        <v/>
      </c>
      <c r="D1103" s="269">
        <f>IFERROR(100*$J1103/$J$5,NA())</f>
        <v/>
      </c>
      <c r="E1103" s="32">
        <f>IFERROR(IF(AND(ISNUMBER($A1103),N(IF(AND(AH!$U$12=1,1098+1=AH!$U$6),IF(AH!$U$4=0,"unavailable",INDEX('Market Data'!$AN$5:$AN$66,AH!$U$4)),IF(AH!$U$5=1,INDEX('Live History'!$B$5:$B$3004,$K1103),INDEX('AH History'!$D$5:$GG$1380,$K1103,AH!$U$10))))&gt;0),IF(AND(AH!$U$12=1,1098+1=AH!$U$6),IF(AH!$U$4=0,"unavailable",INDEX('Market Data'!$AN$5:$AN$66,AH!$U$4)),IF(AH!$U$5=1,INDEX('Live History'!$B$5:$B$3004,$K1103),INDEX('AH History'!$D$5:$GG$1380,$K1103,AH!$U$10))),NA()),NA())</f>
        <v/>
      </c>
      <c r="F1103" s="32">
        <f>IFERROR(IF(ISNUMBER($A1103),IF(AND(AH!$U$12=1,1098+1=AH!$U$6),IF(AH!$U$4=0,"unavailable",INDEX('Market Data'!$AO$5:$AO$66,AH!$U$4)),IF(AH!$U$5=1,INDEX('Live History'!$E$5:$E$3004,MATCH($A1103,'Live History'!$D$5:$D$3004,1)),INDEX('AH History'!$D$5:$GG$1380,$K1103,AH!$U$10+1))),NA()),NA())</f>
        <v/>
      </c>
      <c r="G1103" s="34">
        <f>IFERROR(IF(ISNUMBER($A1103),IF(AND(AH!$U$12=1,1098+1=AH!$U$6),IF(AH!$U$4=0,"unavailable",INDEX('Market Data'!$AK$5:$AK$66,AH!$U$4)),IF(AH!$U$5=1,INDEX('Live History'!$D$5:$D$3004,MATCH($A1103,'Live History'!$D$5:$D$3004,1)),INDEX('AH History'!$D$5:$GG$1380,$K1103,AH!$U$10+2))),NA()),NA())</f>
        <v/>
      </c>
      <c r="H1103" s="266">
        <f>IFERROR(IF(ISNUMBER($A1103),IF(AND(AH!$U$12=1,1098+1=AH!$U$6),IF(AH!$U$4=0,"unavailable",INDEX('Market Data'!$AP$5:$AP$66,AH!$U$4)),IF(AH!$U$5=1,INDEX('Live History'!$H$5:$H$3004,MATCH($A1103,'Live History'!$G$5:$G$3004,1)),INDEX('AH History'!$B$5:$B$1380,$K1103))),NA()),NA())</f>
        <v/>
      </c>
      <c r="I1103" s="34">
        <f>IFERROR(IF(ISNUMBER($A1103),IF(AND(AH!$U$12=1,1098+1=AH!$U$6),TODAY(),IF(AH!$U$5=1,INDEX('Live History'!$G$5:$G$3004,MATCH($A1103,'Live History'!$G$5:$G$3004,1)),INDEX('AH History'!$C$5:$C$1380,$K1103))),NA()),NA())</f>
        <v/>
      </c>
      <c r="J1103" s="32">
        <f>IFERROR(IF(AND($F1103&gt;0,$H1103&gt;0,$A1103-$G1103&lt;=10,$A1103-$I1103&lt;=5,$G1103&gt;0,$I1103&gt;0),$F1103*$H1103,NA()),NA())</f>
        <v/>
      </c>
      <c r="K1103" s="15">
        <f>IF($A1103="","",IF(AH!$U$5=1,IFERROR(MATCH($A1103,'Live History'!$A$5:$A$3004,0),0),AH!$U$7+1098))</f>
        <v/>
      </c>
      <c r="L1103" s="15">
        <f>IF(ISNUMBER(A1103),TEXT(A1103,"dd-mmm-yy"),"")</f>
        <v/>
      </c>
    </row>
    <row r="1104">
      <c r="A1104" s="14">
        <f>IF(OR(AH!$U$4=0,1099+1&gt;AH!$U$6,AND(AH!$M$5="Bloomberg",AH!$U$5=0)),"",IFERROR(IF(AND(AH!$U$12=1,1099+1=AH!$U$6),TODAY(),IF(AH!$U$5=1,INDEX('Live History'!$A$5:$A$3004,AH!$U$7+1099),INDEX('AH History'!$A$5:$A$1380,AH!$U$7+1099))),""))</f>
        <v/>
      </c>
      <c r="B1104" s="33">
        <f>IFERROR(IF(AH!$U$11=1,NA(),$J1104/$E1104-1),NA())</f>
        <v/>
      </c>
      <c r="C1104" s="269">
        <f>IFERROR(100*$E1104/$E$5,NA())</f>
        <v/>
      </c>
      <c r="D1104" s="269">
        <f>IFERROR(100*$J1104/$J$5,NA())</f>
        <v/>
      </c>
      <c r="E1104" s="32">
        <f>IFERROR(IF(AND(ISNUMBER($A1104),N(IF(AND(AH!$U$12=1,1099+1=AH!$U$6),IF(AH!$U$4=0,"unavailable",INDEX('Market Data'!$AN$5:$AN$66,AH!$U$4)),IF(AH!$U$5=1,INDEX('Live History'!$B$5:$B$3004,$K1104),INDEX('AH History'!$D$5:$GG$1380,$K1104,AH!$U$10))))&gt;0),IF(AND(AH!$U$12=1,1099+1=AH!$U$6),IF(AH!$U$4=0,"unavailable",INDEX('Market Data'!$AN$5:$AN$66,AH!$U$4)),IF(AH!$U$5=1,INDEX('Live History'!$B$5:$B$3004,$K1104),INDEX('AH History'!$D$5:$GG$1380,$K1104,AH!$U$10))),NA()),NA())</f>
        <v/>
      </c>
      <c r="F1104" s="32">
        <f>IFERROR(IF(ISNUMBER($A1104),IF(AND(AH!$U$12=1,1099+1=AH!$U$6),IF(AH!$U$4=0,"unavailable",INDEX('Market Data'!$AO$5:$AO$66,AH!$U$4)),IF(AH!$U$5=1,INDEX('Live History'!$E$5:$E$3004,MATCH($A1104,'Live History'!$D$5:$D$3004,1)),INDEX('AH History'!$D$5:$GG$1380,$K1104,AH!$U$10+1))),NA()),NA())</f>
        <v/>
      </c>
      <c r="G1104" s="34">
        <f>IFERROR(IF(ISNUMBER($A1104),IF(AND(AH!$U$12=1,1099+1=AH!$U$6),IF(AH!$U$4=0,"unavailable",INDEX('Market Data'!$AK$5:$AK$66,AH!$U$4)),IF(AH!$U$5=1,INDEX('Live History'!$D$5:$D$3004,MATCH($A1104,'Live History'!$D$5:$D$3004,1)),INDEX('AH History'!$D$5:$GG$1380,$K1104,AH!$U$10+2))),NA()),NA())</f>
        <v/>
      </c>
      <c r="H1104" s="266">
        <f>IFERROR(IF(ISNUMBER($A1104),IF(AND(AH!$U$12=1,1099+1=AH!$U$6),IF(AH!$U$4=0,"unavailable",INDEX('Market Data'!$AP$5:$AP$66,AH!$U$4)),IF(AH!$U$5=1,INDEX('Live History'!$H$5:$H$3004,MATCH($A1104,'Live History'!$G$5:$G$3004,1)),INDEX('AH History'!$B$5:$B$1380,$K1104))),NA()),NA())</f>
        <v/>
      </c>
      <c r="I1104" s="34">
        <f>IFERROR(IF(ISNUMBER($A1104),IF(AND(AH!$U$12=1,1099+1=AH!$U$6),TODAY(),IF(AH!$U$5=1,INDEX('Live History'!$G$5:$G$3004,MATCH($A1104,'Live History'!$G$5:$G$3004,1)),INDEX('AH History'!$C$5:$C$1380,$K1104))),NA()),NA())</f>
        <v/>
      </c>
      <c r="J1104" s="32">
        <f>IFERROR(IF(AND($F1104&gt;0,$H1104&gt;0,$A1104-$G1104&lt;=10,$A1104-$I1104&lt;=5,$G1104&gt;0,$I1104&gt;0),$F1104*$H1104,NA()),NA())</f>
        <v/>
      </c>
      <c r="K1104" s="15">
        <f>IF($A1104="","",IF(AH!$U$5=1,IFERROR(MATCH($A1104,'Live History'!$A$5:$A$3004,0),0),AH!$U$7+1099))</f>
        <v/>
      </c>
      <c r="L1104" s="15">
        <f>IF(ISNUMBER(A1104),TEXT(A1104,"dd-mmm-yy"),"")</f>
        <v/>
      </c>
    </row>
    <row r="1105">
      <c r="A1105" s="14">
        <f>IF(OR(AH!$U$4=0,1100+1&gt;AH!$U$6,AND(AH!$M$5="Bloomberg",AH!$U$5=0)),"",IFERROR(IF(AND(AH!$U$12=1,1100+1=AH!$U$6),TODAY(),IF(AH!$U$5=1,INDEX('Live History'!$A$5:$A$3004,AH!$U$7+1100),INDEX('AH History'!$A$5:$A$1380,AH!$U$7+1100))),""))</f>
        <v/>
      </c>
      <c r="B1105" s="33">
        <f>IFERROR(IF(AH!$U$11=1,NA(),$J1105/$E1105-1),NA())</f>
        <v/>
      </c>
      <c r="C1105" s="269">
        <f>IFERROR(100*$E1105/$E$5,NA())</f>
        <v/>
      </c>
      <c r="D1105" s="269">
        <f>IFERROR(100*$J1105/$J$5,NA())</f>
        <v/>
      </c>
      <c r="E1105" s="32">
        <f>IFERROR(IF(AND(ISNUMBER($A1105),N(IF(AND(AH!$U$12=1,1100+1=AH!$U$6),IF(AH!$U$4=0,"unavailable",INDEX('Market Data'!$AN$5:$AN$66,AH!$U$4)),IF(AH!$U$5=1,INDEX('Live History'!$B$5:$B$3004,$K1105),INDEX('AH History'!$D$5:$GG$1380,$K1105,AH!$U$10))))&gt;0),IF(AND(AH!$U$12=1,1100+1=AH!$U$6),IF(AH!$U$4=0,"unavailable",INDEX('Market Data'!$AN$5:$AN$66,AH!$U$4)),IF(AH!$U$5=1,INDEX('Live History'!$B$5:$B$3004,$K1105),INDEX('AH History'!$D$5:$GG$1380,$K1105,AH!$U$10))),NA()),NA())</f>
        <v/>
      </c>
      <c r="F1105" s="32">
        <f>IFERROR(IF(ISNUMBER($A1105),IF(AND(AH!$U$12=1,1100+1=AH!$U$6),IF(AH!$U$4=0,"unavailable",INDEX('Market Data'!$AO$5:$AO$66,AH!$U$4)),IF(AH!$U$5=1,INDEX('Live History'!$E$5:$E$3004,MATCH($A1105,'Live History'!$D$5:$D$3004,1)),INDEX('AH History'!$D$5:$GG$1380,$K1105,AH!$U$10+1))),NA()),NA())</f>
        <v/>
      </c>
      <c r="G1105" s="34">
        <f>IFERROR(IF(ISNUMBER($A1105),IF(AND(AH!$U$12=1,1100+1=AH!$U$6),IF(AH!$U$4=0,"unavailable",INDEX('Market Data'!$AK$5:$AK$66,AH!$U$4)),IF(AH!$U$5=1,INDEX('Live History'!$D$5:$D$3004,MATCH($A1105,'Live History'!$D$5:$D$3004,1)),INDEX('AH History'!$D$5:$GG$1380,$K1105,AH!$U$10+2))),NA()),NA())</f>
        <v/>
      </c>
      <c r="H1105" s="266">
        <f>IFERROR(IF(ISNUMBER($A1105),IF(AND(AH!$U$12=1,1100+1=AH!$U$6),IF(AH!$U$4=0,"unavailable",INDEX('Market Data'!$AP$5:$AP$66,AH!$U$4)),IF(AH!$U$5=1,INDEX('Live History'!$H$5:$H$3004,MATCH($A1105,'Live History'!$G$5:$G$3004,1)),INDEX('AH History'!$B$5:$B$1380,$K1105))),NA()),NA())</f>
        <v/>
      </c>
      <c r="I1105" s="34">
        <f>IFERROR(IF(ISNUMBER($A1105),IF(AND(AH!$U$12=1,1100+1=AH!$U$6),TODAY(),IF(AH!$U$5=1,INDEX('Live History'!$G$5:$G$3004,MATCH($A1105,'Live History'!$G$5:$G$3004,1)),INDEX('AH History'!$C$5:$C$1380,$K1105))),NA()),NA())</f>
        <v/>
      </c>
      <c r="J1105" s="32">
        <f>IFERROR(IF(AND($F1105&gt;0,$H1105&gt;0,$A1105-$G1105&lt;=10,$A1105-$I1105&lt;=5,$G1105&gt;0,$I1105&gt;0),$F1105*$H1105,NA()),NA())</f>
        <v/>
      </c>
      <c r="K1105" s="15">
        <f>IF($A1105="","",IF(AH!$U$5=1,IFERROR(MATCH($A1105,'Live History'!$A$5:$A$3004,0),0),AH!$U$7+1100))</f>
        <v/>
      </c>
      <c r="L1105" s="15">
        <f>IF(ISNUMBER(A1105),TEXT(A1105,"dd-mmm-yy"),"")</f>
        <v/>
      </c>
    </row>
    <row r="1106">
      <c r="A1106" s="14">
        <f>IF(OR(AH!$U$4=0,1101+1&gt;AH!$U$6,AND(AH!$M$5="Bloomberg",AH!$U$5=0)),"",IFERROR(IF(AND(AH!$U$12=1,1101+1=AH!$U$6),TODAY(),IF(AH!$U$5=1,INDEX('Live History'!$A$5:$A$3004,AH!$U$7+1101),INDEX('AH History'!$A$5:$A$1380,AH!$U$7+1101))),""))</f>
        <v/>
      </c>
      <c r="B1106" s="33">
        <f>IFERROR(IF(AH!$U$11=1,NA(),$J1106/$E1106-1),NA())</f>
        <v/>
      </c>
      <c r="C1106" s="269">
        <f>IFERROR(100*$E1106/$E$5,NA())</f>
        <v/>
      </c>
      <c r="D1106" s="269">
        <f>IFERROR(100*$J1106/$J$5,NA())</f>
        <v/>
      </c>
      <c r="E1106" s="32">
        <f>IFERROR(IF(AND(ISNUMBER($A1106),N(IF(AND(AH!$U$12=1,1101+1=AH!$U$6),IF(AH!$U$4=0,"unavailable",INDEX('Market Data'!$AN$5:$AN$66,AH!$U$4)),IF(AH!$U$5=1,INDEX('Live History'!$B$5:$B$3004,$K1106),INDEX('AH History'!$D$5:$GG$1380,$K1106,AH!$U$10))))&gt;0),IF(AND(AH!$U$12=1,1101+1=AH!$U$6),IF(AH!$U$4=0,"unavailable",INDEX('Market Data'!$AN$5:$AN$66,AH!$U$4)),IF(AH!$U$5=1,INDEX('Live History'!$B$5:$B$3004,$K1106),INDEX('AH History'!$D$5:$GG$1380,$K1106,AH!$U$10))),NA()),NA())</f>
        <v/>
      </c>
      <c r="F1106" s="32">
        <f>IFERROR(IF(ISNUMBER($A1106),IF(AND(AH!$U$12=1,1101+1=AH!$U$6),IF(AH!$U$4=0,"unavailable",INDEX('Market Data'!$AO$5:$AO$66,AH!$U$4)),IF(AH!$U$5=1,INDEX('Live History'!$E$5:$E$3004,MATCH($A1106,'Live History'!$D$5:$D$3004,1)),INDEX('AH History'!$D$5:$GG$1380,$K1106,AH!$U$10+1))),NA()),NA())</f>
        <v/>
      </c>
      <c r="G1106" s="34">
        <f>IFERROR(IF(ISNUMBER($A1106),IF(AND(AH!$U$12=1,1101+1=AH!$U$6),IF(AH!$U$4=0,"unavailable",INDEX('Market Data'!$AK$5:$AK$66,AH!$U$4)),IF(AH!$U$5=1,INDEX('Live History'!$D$5:$D$3004,MATCH($A1106,'Live History'!$D$5:$D$3004,1)),INDEX('AH History'!$D$5:$GG$1380,$K1106,AH!$U$10+2))),NA()),NA())</f>
        <v/>
      </c>
      <c r="H1106" s="266">
        <f>IFERROR(IF(ISNUMBER($A1106),IF(AND(AH!$U$12=1,1101+1=AH!$U$6),IF(AH!$U$4=0,"unavailable",INDEX('Market Data'!$AP$5:$AP$66,AH!$U$4)),IF(AH!$U$5=1,INDEX('Live History'!$H$5:$H$3004,MATCH($A1106,'Live History'!$G$5:$G$3004,1)),INDEX('AH History'!$B$5:$B$1380,$K1106))),NA()),NA())</f>
        <v/>
      </c>
      <c r="I1106" s="34">
        <f>IFERROR(IF(ISNUMBER($A1106),IF(AND(AH!$U$12=1,1101+1=AH!$U$6),TODAY(),IF(AH!$U$5=1,INDEX('Live History'!$G$5:$G$3004,MATCH($A1106,'Live History'!$G$5:$G$3004,1)),INDEX('AH History'!$C$5:$C$1380,$K1106))),NA()),NA())</f>
        <v/>
      </c>
      <c r="J1106" s="32">
        <f>IFERROR(IF(AND($F1106&gt;0,$H1106&gt;0,$A1106-$G1106&lt;=10,$A1106-$I1106&lt;=5,$G1106&gt;0,$I1106&gt;0),$F1106*$H1106,NA()),NA())</f>
        <v/>
      </c>
      <c r="K1106" s="15">
        <f>IF($A1106="","",IF(AH!$U$5=1,IFERROR(MATCH($A1106,'Live History'!$A$5:$A$3004,0),0),AH!$U$7+1101))</f>
        <v/>
      </c>
      <c r="L1106" s="15">
        <f>IF(ISNUMBER(A1106),TEXT(A1106,"dd-mmm-yy"),"")</f>
        <v/>
      </c>
    </row>
    <row r="1107">
      <c r="A1107" s="14">
        <f>IF(OR(AH!$U$4=0,1102+1&gt;AH!$U$6,AND(AH!$M$5="Bloomberg",AH!$U$5=0)),"",IFERROR(IF(AND(AH!$U$12=1,1102+1=AH!$U$6),TODAY(),IF(AH!$U$5=1,INDEX('Live History'!$A$5:$A$3004,AH!$U$7+1102),INDEX('AH History'!$A$5:$A$1380,AH!$U$7+1102))),""))</f>
        <v/>
      </c>
      <c r="B1107" s="33">
        <f>IFERROR(IF(AH!$U$11=1,NA(),$J1107/$E1107-1),NA())</f>
        <v/>
      </c>
      <c r="C1107" s="269">
        <f>IFERROR(100*$E1107/$E$5,NA())</f>
        <v/>
      </c>
      <c r="D1107" s="269">
        <f>IFERROR(100*$J1107/$J$5,NA())</f>
        <v/>
      </c>
      <c r="E1107" s="32">
        <f>IFERROR(IF(AND(ISNUMBER($A1107),N(IF(AND(AH!$U$12=1,1102+1=AH!$U$6),IF(AH!$U$4=0,"unavailable",INDEX('Market Data'!$AN$5:$AN$66,AH!$U$4)),IF(AH!$U$5=1,INDEX('Live History'!$B$5:$B$3004,$K1107),INDEX('AH History'!$D$5:$GG$1380,$K1107,AH!$U$10))))&gt;0),IF(AND(AH!$U$12=1,1102+1=AH!$U$6),IF(AH!$U$4=0,"unavailable",INDEX('Market Data'!$AN$5:$AN$66,AH!$U$4)),IF(AH!$U$5=1,INDEX('Live History'!$B$5:$B$3004,$K1107),INDEX('AH History'!$D$5:$GG$1380,$K1107,AH!$U$10))),NA()),NA())</f>
        <v/>
      </c>
      <c r="F1107" s="32">
        <f>IFERROR(IF(ISNUMBER($A1107),IF(AND(AH!$U$12=1,1102+1=AH!$U$6),IF(AH!$U$4=0,"unavailable",INDEX('Market Data'!$AO$5:$AO$66,AH!$U$4)),IF(AH!$U$5=1,INDEX('Live History'!$E$5:$E$3004,MATCH($A1107,'Live History'!$D$5:$D$3004,1)),INDEX('AH History'!$D$5:$GG$1380,$K1107,AH!$U$10+1))),NA()),NA())</f>
        <v/>
      </c>
      <c r="G1107" s="34">
        <f>IFERROR(IF(ISNUMBER($A1107),IF(AND(AH!$U$12=1,1102+1=AH!$U$6),IF(AH!$U$4=0,"unavailable",INDEX('Market Data'!$AK$5:$AK$66,AH!$U$4)),IF(AH!$U$5=1,INDEX('Live History'!$D$5:$D$3004,MATCH($A1107,'Live History'!$D$5:$D$3004,1)),INDEX('AH History'!$D$5:$GG$1380,$K1107,AH!$U$10+2))),NA()),NA())</f>
        <v/>
      </c>
      <c r="H1107" s="266">
        <f>IFERROR(IF(ISNUMBER($A1107),IF(AND(AH!$U$12=1,1102+1=AH!$U$6),IF(AH!$U$4=0,"unavailable",INDEX('Market Data'!$AP$5:$AP$66,AH!$U$4)),IF(AH!$U$5=1,INDEX('Live History'!$H$5:$H$3004,MATCH($A1107,'Live History'!$G$5:$G$3004,1)),INDEX('AH History'!$B$5:$B$1380,$K1107))),NA()),NA())</f>
        <v/>
      </c>
      <c r="I1107" s="34">
        <f>IFERROR(IF(ISNUMBER($A1107),IF(AND(AH!$U$12=1,1102+1=AH!$U$6),TODAY(),IF(AH!$U$5=1,INDEX('Live History'!$G$5:$G$3004,MATCH($A1107,'Live History'!$G$5:$G$3004,1)),INDEX('AH History'!$C$5:$C$1380,$K1107))),NA()),NA())</f>
        <v/>
      </c>
      <c r="J1107" s="32">
        <f>IFERROR(IF(AND($F1107&gt;0,$H1107&gt;0,$A1107-$G1107&lt;=10,$A1107-$I1107&lt;=5,$G1107&gt;0,$I1107&gt;0),$F1107*$H1107,NA()),NA())</f>
        <v/>
      </c>
      <c r="K1107" s="15">
        <f>IF($A1107="","",IF(AH!$U$5=1,IFERROR(MATCH($A1107,'Live History'!$A$5:$A$3004,0),0),AH!$U$7+1102))</f>
        <v/>
      </c>
      <c r="L1107" s="15">
        <f>IF(ISNUMBER(A1107),TEXT(A1107,"dd-mmm-yy"),"")</f>
        <v/>
      </c>
    </row>
    <row r="1108">
      <c r="A1108" s="14">
        <f>IF(OR(AH!$U$4=0,1103+1&gt;AH!$U$6,AND(AH!$M$5="Bloomberg",AH!$U$5=0)),"",IFERROR(IF(AND(AH!$U$12=1,1103+1=AH!$U$6),TODAY(),IF(AH!$U$5=1,INDEX('Live History'!$A$5:$A$3004,AH!$U$7+1103),INDEX('AH History'!$A$5:$A$1380,AH!$U$7+1103))),""))</f>
        <v/>
      </c>
      <c r="B1108" s="33">
        <f>IFERROR(IF(AH!$U$11=1,NA(),$J1108/$E1108-1),NA())</f>
        <v/>
      </c>
      <c r="C1108" s="269">
        <f>IFERROR(100*$E1108/$E$5,NA())</f>
        <v/>
      </c>
      <c r="D1108" s="269">
        <f>IFERROR(100*$J1108/$J$5,NA())</f>
        <v/>
      </c>
      <c r="E1108" s="32">
        <f>IFERROR(IF(AND(ISNUMBER($A1108),N(IF(AND(AH!$U$12=1,1103+1=AH!$U$6),IF(AH!$U$4=0,"unavailable",INDEX('Market Data'!$AN$5:$AN$66,AH!$U$4)),IF(AH!$U$5=1,INDEX('Live History'!$B$5:$B$3004,$K1108),INDEX('AH History'!$D$5:$GG$1380,$K1108,AH!$U$10))))&gt;0),IF(AND(AH!$U$12=1,1103+1=AH!$U$6),IF(AH!$U$4=0,"unavailable",INDEX('Market Data'!$AN$5:$AN$66,AH!$U$4)),IF(AH!$U$5=1,INDEX('Live History'!$B$5:$B$3004,$K1108),INDEX('AH History'!$D$5:$GG$1380,$K1108,AH!$U$10))),NA()),NA())</f>
        <v/>
      </c>
      <c r="F1108" s="32">
        <f>IFERROR(IF(ISNUMBER($A1108),IF(AND(AH!$U$12=1,1103+1=AH!$U$6),IF(AH!$U$4=0,"unavailable",INDEX('Market Data'!$AO$5:$AO$66,AH!$U$4)),IF(AH!$U$5=1,INDEX('Live History'!$E$5:$E$3004,MATCH($A1108,'Live History'!$D$5:$D$3004,1)),INDEX('AH History'!$D$5:$GG$1380,$K1108,AH!$U$10+1))),NA()),NA())</f>
        <v/>
      </c>
      <c r="G1108" s="34">
        <f>IFERROR(IF(ISNUMBER($A1108),IF(AND(AH!$U$12=1,1103+1=AH!$U$6),IF(AH!$U$4=0,"unavailable",INDEX('Market Data'!$AK$5:$AK$66,AH!$U$4)),IF(AH!$U$5=1,INDEX('Live History'!$D$5:$D$3004,MATCH($A1108,'Live History'!$D$5:$D$3004,1)),INDEX('AH History'!$D$5:$GG$1380,$K1108,AH!$U$10+2))),NA()),NA())</f>
        <v/>
      </c>
      <c r="H1108" s="266">
        <f>IFERROR(IF(ISNUMBER($A1108),IF(AND(AH!$U$12=1,1103+1=AH!$U$6),IF(AH!$U$4=0,"unavailable",INDEX('Market Data'!$AP$5:$AP$66,AH!$U$4)),IF(AH!$U$5=1,INDEX('Live History'!$H$5:$H$3004,MATCH($A1108,'Live History'!$G$5:$G$3004,1)),INDEX('AH History'!$B$5:$B$1380,$K1108))),NA()),NA())</f>
        <v/>
      </c>
      <c r="I1108" s="34">
        <f>IFERROR(IF(ISNUMBER($A1108),IF(AND(AH!$U$12=1,1103+1=AH!$U$6),TODAY(),IF(AH!$U$5=1,INDEX('Live History'!$G$5:$G$3004,MATCH($A1108,'Live History'!$G$5:$G$3004,1)),INDEX('AH History'!$C$5:$C$1380,$K1108))),NA()),NA())</f>
        <v/>
      </c>
      <c r="J1108" s="32">
        <f>IFERROR(IF(AND($F1108&gt;0,$H1108&gt;0,$A1108-$G1108&lt;=10,$A1108-$I1108&lt;=5,$G1108&gt;0,$I1108&gt;0),$F1108*$H1108,NA()),NA())</f>
        <v/>
      </c>
      <c r="K1108" s="15">
        <f>IF($A1108="","",IF(AH!$U$5=1,IFERROR(MATCH($A1108,'Live History'!$A$5:$A$3004,0),0),AH!$U$7+1103))</f>
        <v/>
      </c>
      <c r="L1108" s="15">
        <f>IF(ISNUMBER(A1108),TEXT(A1108,"dd-mmm-yy"),"")</f>
        <v/>
      </c>
    </row>
    <row r="1109">
      <c r="A1109" s="14">
        <f>IF(OR(AH!$U$4=0,1104+1&gt;AH!$U$6,AND(AH!$M$5="Bloomberg",AH!$U$5=0)),"",IFERROR(IF(AND(AH!$U$12=1,1104+1=AH!$U$6),TODAY(),IF(AH!$U$5=1,INDEX('Live History'!$A$5:$A$3004,AH!$U$7+1104),INDEX('AH History'!$A$5:$A$1380,AH!$U$7+1104))),""))</f>
        <v/>
      </c>
      <c r="B1109" s="33">
        <f>IFERROR(IF(AH!$U$11=1,NA(),$J1109/$E1109-1),NA())</f>
        <v/>
      </c>
      <c r="C1109" s="269">
        <f>IFERROR(100*$E1109/$E$5,NA())</f>
        <v/>
      </c>
      <c r="D1109" s="269">
        <f>IFERROR(100*$J1109/$J$5,NA())</f>
        <v/>
      </c>
      <c r="E1109" s="32">
        <f>IFERROR(IF(AND(ISNUMBER($A1109),N(IF(AND(AH!$U$12=1,1104+1=AH!$U$6),IF(AH!$U$4=0,"unavailable",INDEX('Market Data'!$AN$5:$AN$66,AH!$U$4)),IF(AH!$U$5=1,INDEX('Live History'!$B$5:$B$3004,$K1109),INDEX('AH History'!$D$5:$GG$1380,$K1109,AH!$U$10))))&gt;0),IF(AND(AH!$U$12=1,1104+1=AH!$U$6),IF(AH!$U$4=0,"unavailable",INDEX('Market Data'!$AN$5:$AN$66,AH!$U$4)),IF(AH!$U$5=1,INDEX('Live History'!$B$5:$B$3004,$K1109),INDEX('AH History'!$D$5:$GG$1380,$K1109,AH!$U$10))),NA()),NA())</f>
        <v/>
      </c>
      <c r="F1109" s="32">
        <f>IFERROR(IF(ISNUMBER($A1109),IF(AND(AH!$U$12=1,1104+1=AH!$U$6),IF(AH!$U$4=0,"unavailable",INDEX('Market Data'!$AO$5:$AO$66,AH!$U$4)),IF(AH!$U$5=1,INDEX('Live History'!$E$5:$E$3004,MATCH($A1109,'Live History'!$D$5:$D$3004,1)),INDEX('AH History'!$D$5:$GG$1380,$K1109,AH!$U$10+1))),NA()),NA())</f>
        <v/>
      </c>
      <c r="G1109" s="34">
        <f>IFERROR(IF(ISNUMBER($A1109),IF(AND(AH!$U$12=1,1104+1=AH!$U$6),IF(AH!$U$4=0,"unavailable",INDEX('Market Data'!$AK$5:$AK$66,AH!$U$4)),IF(AH!$U$5=1,INDEX('Live History'!$D$5:$D$3004,MATCH($A1109,'Live History'!$D$5:$D$3004,1)),INDEX('AH History'!$D$5:$GG$1380,$K1109,AH!$U$10+2))),NA()),NA())</f>
        <v/>
      </c>
      <c r="H1109" s="266">
        <f>IFERROR(IF(ISNUMBER($A1109),IF(AND(AH!$U$12=1,1104+1=AH!$U$6),IF(AH!$U$4=0,"unavailable",INDEX('Market Data'!$AP$5:$AP$66,AH!$U$4)),IF(AH!$U$5=1,INDEX('Live History'!$H$5:$H$3004,MATCH($A1109,'Live History'!$G$5:$G$3004,1)),INDEX('AH History'!$B$5:$B$1380,$K1109))),NA()),NA())</f>
        <v/>
      </c>
      <c r="I1109" s="34">
        <f>IFERROR(IF(ISNUMBER($A1109),IF(AND(AH!$U$12=1,1104+1=AH!$U$6),TODAY(),IF(AH!$U$5=1,INDEX('Live History'!$G$5:$G$3004,MATCH($A1109,'Live History'!$G$5:$G$3004,1)),INDEX('AH History'!$C$5:$C$1380,$K1109))),NA()),NA())</f>
        <v/>
      </c>
      <c r="J1109" s="32">
        <f>IFERROR(IF(AND($F1109&gt;0,$H1109&gt;0,$A1109-$G1109&lt;=10,$A1109-$I1109&lt;=5,$G1109&gt;0,$I1109&gt;0),$F1109*$H1109,NA()),NA())</f>
        <v/>
      </c>
      <c r="K1109" s="15">
        <f>IF($A1109="","",IF(AH!$U$5=1,IFERROR(MATCH($A1109,'Live History'!$A$5:$A$3004,0),0),AH!$U$7+1104))</f>
        <v/>
      </c>
      <c r="L1109" s="15">
        <f>IF(ISNUMBER(A1109),TEXT(A1109,"dd-mmm-yy"),"")</f>
        <v/>
      </c>
    </row>
    <row r="1110">
      <c r="A1110" s="14">
        <f>IF(OR(AH!$U$4=0,1105+1&gt;AH!$U$6,AND(AH!$M$5="Bloomberg",AH!$U$5=0)),"",IFERROR(IF(AND(AH!$U$12=1,1105+1=AH!$U$6),TODAY(),IF(AH!$U$5=1,INDEX('Live History'!$A$5:$A$3004,AH!$U$7+1105),INDEX('AH History'!$A$5:$A$1380,AH!$U$7+1105))),""))</f>
        <v/>
      </c>
      <c r="B1110" s="33">
        <f>IFERROR(IF(AH!$U$11=1,NA(),$J1110/$E1110-1),NA())</f>
        <v/>
      </c>
      <c r="C1110" s="269">
        <f>IFERROR(100*$E1110/$E$5,NA())</f>
        <v/>
      </c>
      <c r="D1110" s="269">
        <f>IFERROR(100*$J1110/$J$5,NA())</f>
        <v/>
      </c>
      <c r="E1110" s="32">
        <f>IFERROR(IF(AND(ISNUMBER($A1110),N(IF(AND(AH!$U$12=1,1105+1=AH!$U$6),IF(AH!$U$4=0,"unavailable",INDEX('Market Data'!$AN$5:$AN$66,AH!$U$4)),IF(AH!$U$5=1,INDEX('Live History'!$B$5:$B$3004,$K1110),INDEX('AH History'!$D$5:$GG$1380,$K1110,AH!$U$10))))&gt;0),IF(AND(AH!$U$12=1,1105+1=AH!$U$6),IF(AH!$U$4=0,"unavailable",INDEX('Market Data'!$AN$5:$AN$66,AH!$U$4)),IF(AH!$U$5=1,INDEX('Live History'!$B$5:$B$3004,$K1110),INDEX('AH History'!$D$5:$GG$1380,$K1110,AH!$U$10))),NA()),NA())</f>
        <v/>
      </c>
      <c r="F1110" s="32">
        <f>IFERROR(IF(ISNUMBER($A1110),IF(AND(AH!$U$12=1,1105+1=AH!$U$6),IF(AH!$U$4=0,"unavailable",INDEX('Market Data'!$AO$5:$AO$66,AH!$U$4)),IF(AH!$U$5=1,INDEX('Live History'!$E$5:$E$3004,MATCH($A1110,'Live History'!$D$5:$D$3004,1)),INDEX('AH History'!$D$5:$GG$1380,$K1110,AH!$U$10+1))),NA()),NA())</f>
        <v/>
      </c>
      <c r="G1110" s="34">
        <f>IFERROR(IF(ISNUMBER($A1110),IF(AND(AH!$U$12=1,1105+1=AH!$U$6),IF(AH!$U$4=0,"unavailable",INDEX('Market Data'!$AK$5:$AK$66,AH!$U$4)),IF(AH!$U$5=1,INDEX('Live History'!$D$5:$D$3004,MATCH($A1110,'Live History'!$D$5:$D$3004,1)),INDEX('AH History'!$D$5:$GG$1380,$K1110,AH!$U$10+2))),NA()),NA())</f>
        <v/>
      </c>
      <c r="H1110" s="266">
        <f>IFERROR(IF(ISNUMBER($A1110),IF(AND(AH!$U$12=1,1105+1=AH!$U$6),IF(AH!$U$4=0,"unavailable",INDEX('Market Data'!$AP$5:$AP$66,AH!$U$4)),IF(AH!$U$5=1,INDEX('Live History'!$H$5:$H$3004,MATCH($A1110,'Live History'!$G$5:$G$3004,1)),INDEX('AH History'!$B$5:$B$1380,$K1110))),NA()),NA())</f>
        <v/>
      </c>
      <c r="I1110" s="34">
        <f>IFERROR(IF(ISNUMBER($A1110),IF(AND(AH!$U$12=1,1105+1=AH!$U$6),TODAY(),IF(AH!$U$5=1,INDEX('Live History'!$G$5:$G$3004,MATCH($A1110,'Live History'!$G$5:$G$3004,1)),INDEX('AH History'!$C$5:$C$1380,$K1110))),NA()),NA())</f>
        <v/>
      </c>
      <c r="J1110" s="32">
        <f>IFERROR(IF(AND($F1110&gt;0,$H1110&gt;0,$A1110-$G1110&lt;=10,$A1110-$I1110&lt;=5,$G1110&gt;0,$I1110&gt;0),$F1110*$H1110,NA()),NA())</f>
        <v/>
      </c>
      <c r="K1110" s="15">
        <f>IF($A1110="","",IF(AH!$U$5=1,IFERROR(MATCH($A1110,'Live History'!$A$5:$A$3004,0),0),AH!$U$7+1105))</f>
        <v/>
      </c>
      <c r="L1110" s="15">
        <f>IF(ISNUMBER(A1110),TEXT(A1110,"dd-mmm-yy"),"")</f>
        <v/>
      </c>
    </row>
    <row r="1111">
      <c r="A1111" s="14">
        <f>IF(OR(AH!$U$4=0,1106+1&gt;AH!$U$6,AND(AH!$M$5="Bloomberg",AH!$U$5=0)),"",IFERROR(IF(AND(AH!$U$12=1,1106+1=AH!$U$6),TODAY(),IF(AH!$U$5=1,INDEX('Live History'!$A$5:$A$3004,AH!$U$7+1106),INDEX('AH History'!$A$5:$A$1380,AH!$U$7+1106))),""))</f>
        <v/>
      </c>
      <c r="B1111" s="33">
        <f>IFERROR(IF(AH!$U$11=1,NA(),$J1111/$E1111-1),NA())</f>
        <v/>
      </c>
      <c r="C1111" s="269">
        <f>IFERROR(100*$E1111/$E$5,NA())</f>
        <v/>
      </c>
      <c r="D1111" s="269">
        <f>IFERROR(100*$J1111/$J$5,NA())</f>
        <v/>
      </c>
      <c r="E1111" s="32">
        <f>IFERROR(IF(AND(ISNUMBER($A1111),N(IF(AND(AH!$U$12=1,1106+1=AH!$U$6),IF(AH!$U$4=0,"unavailable",INDEX('Market Data'!$AN$5:$AN$66,AH!$U$4)),IF(AH!$U$5=1,INDEX('Live History'!$B$5:$B$3004,$K1111),INDEX('AH History'!$D$5:$GG$1380,$K1111,AH!$U$10))))&gt;0),IF(AND(AH!$U$12=1,1106+1=AH!$U$6),IF(AH!$U$4=0,"unavailable",INDEX('Market Data'!$AN$5:$AN$66,AH!$U$4)),IF(AH!$U$5=1,INDEX('Live History'!$B$5:$B$3004,$K1111),INDEX('AH History'!$D$5:$GG$1380,$K1111,AH!$U$10))),NA()),NA())</f>
        <v/>
      </c>
      <c r="F1111" s="32">
        <f>IFERROR(IF(ISNUMBER($A1111),IF(AND(AH!$U$12=1,1106+1=AH!$U$6),IF(AH!$U$4=0,"unavailable",INDEX('Market Data'!$AO$5:$AO$66,AH!$U$4)),IF(AH!$U$5=1,INDEX('Live History'!$E$5:$E$3004,MATCH($A1111,'Live History'!$D$5:$D$3004,1)),INDEX('AH History'!$D$5:$GG$1380,$K1111,AH!$U$10+1))),NA()),NA())</f>
        <v/>
      </c>
      <c r="G1111" s="34">
        <f>IFERROR(IF(ISNUMBER($A1111),IF(AND(AH!$U$12=1,1106+1=AH!$U$6),IF(AH!$U$4=0,"unavailable",INDEX('Market Data'!$AK$5:$AK$66,AH!$U$4)),IF(AH!$U$5=1,INDEX('Live History'!$D$5:$D$3004,MATCH($A1111,'Live History'!$D$5:$D$3004,1)),INDEX('AH History'!$D$5:$GG$1380,$K1111,AH!$U$10+2))),NA()),NA())</f>
        <v/>
      </c>
      <c r="H1111" s="266">
        <f>IFERROR(IF(ISNUMBER($A1111),IF(AND(AH!$U$12=1,1106+1=AH!$U$6),IF(AH!$U$4=0,"unavailable",INDEX('Market Data'!$AP$5:$AP$66,AH!$U$4)),IF(AH!$U$5=1,INDEX('Live History'!$H$5:$H$3004,MATCH($A1111,'Live History'!$G$5:$G$3004,1)),INDEX('AH History'!$B$5:$B$1380,$K1111))),NA()),NA())</f>
        <v/>
      </c>
      <c r="I1111" s="34">
        <f>IFERROR(IF(ISNUMBER($A1111),IF(AND(AH!$U$12=1,1106+1=AH!$U$6),TODAY(),IF(AH!$U$5=1,INDEX('Live History'!$G$5:$G$3004,MATCH($A1111,'Live History'!$G$5:$G$3004,1)),INDEX('AH History'!$C$5:$C$1380,$K1111))),NA()),NA())</f>
        <v/>
      </c>
      <c r="J1111" s="32">
        <f>IFERROR(IF(AND($F1111&gt;0,$H1111&gt;0,$A1111-$G1111&lt;=10,$A1111-$I1111&lt;=5,$G1111&gt;0,$I1111&gt;0),$F1111*$H1111,NA()),NA())</f>
        <v/>
      </c>
      <c r="K1111" s="15">
        <f>IF($A1111="","",IF(AH!$U$5=1,IFERROR(MATCH($A1111,'Live History'!$A$5:$A$3004,0),0),AH!$U$7+1106))</f>
        <v/>
      </c>
      <c r="L1111" s="15">
        <f>IF(ISNUMBER(A1111),TEXT(A1111,"dd-mmm-yy"),"")</f>
        <v/>
      </c>
    </row>
    <row r="1112">
      <c r="A1112" s="14">
        <f>IF(OR(AH!$U$4=0,1107+1&gt;AH!$U$6,AND(AH!$M$5="Bloomberg",AH!$U$5=0)),"",IFERROR(IF(AND(AH!$U$12=1,1107+1=AH!$U$6),TODAY(),IF(AH!$U$5=1,INDEX('Live History'!$A$5:$A$3004,AH!$U$7+1107),INDEX('AH History'!$A$5:$A$1380,AH!$U$7+1107))),""))</f>
        <v/>
      </c>
      <c r="B1112" s="33">
        <f>IFERROR(IF(AH!$U$11=1,NA(),$J1112/$E1112-1),NA())</f>
        <v/>
      </c>
      <c r="C1112" s="269">
        <f>IFERROR(100*$E1112/$E$5,NA())</f>
        <v/>
      </c>
      <c r="D1112" s="269">
        <f>IFERROR(100*$J1112/$J$5,NA())</f>
        <v/>
      </c>
      <c r="E1112" s="32">
        <f>IFERROR(IF(AND(ISNUMBER($A1112),N(IF(AND(AH!$U$12=1,1107+1=AH!$U$6),IF(AH!$U$4=0,"unavailable",INDEX('Market Data'!$AN$5:$AN$66,AH!$U$4)),IF(AH!$U$5=1,INDEX('Live History'!$B$5:$B$3004,$K1112),INDEX('AH History'!$D$5:$GG$1380,$K1112,AH!$U$10))))&gt;0),IF(AND(AH!$U$12=1,1107+1=AH!$U$6),IF(AH!$U$4=0,"unavailable",INDEX('Market Data'!$AN$5:$AN$66,AH!$U$4)),IF(AH!$U$5=1,INDEX('Live History'!$B$5:$B$3004,$K1112),INDEX('AH History'!$D$5:$GG$1380,$K1112,AH!$U$10))),NA()),NA())</f>
        <v/>
      </c>
      <c r="F1112" s="32">
        <f>IFERROR(IF(ISNUMBER($A1112),IF(AND(AH!$U$12=1,1107+1=AH!$U$6),IF(AH!$U$4=0,"unavailable",INDEX('Market Data'!$AO$5:$AO$66,AH!$U$4)),IF(AH!$U$5=1,INDEX('Live History'!$E$5:$E$3004,MATCH($A1112,'Live History'!$D$5:$D$3004,1)),INDEX('AH History'!$D$5:$GG$1380,$K1112,AH!$U$10+1))),NA()),NA())</f>
        <v/>
      </c>
      <c r="G1112" s="34">
        <f>IFERROR(IF(ISNUMBER($A1112),IF(AND(AH!$U$12=1,1107+1=AH!$U$6),IF(AH!$U$4=0,"unavailable",INDEX('Market Data'!$AK$5:$AK$66,AH!$U$4)),IF(AH!$U$5=1,INDEX('Live History'!$D$5:$D$3004,MATCH($A1112,'Live History'!$D$5:$D$3004,1)),INDEX('AH History'!$D$5:$GG$1380,$K1112,AH!$U$10+2))),NA()),NA())</f>
        <v/>
      </c>
      <c r="H1112" s="266">
        <f>IFERROR(IF(ISNUMBER($A1112),IF(AND(AH!$U$12=1,1107+1=AH!$U$6),IF(AH!$U$4=0,"unavailable",INDEX('Market Data'!$AP$5:$AP$66,AH!$U$4)),IF(AH!$U$5=1,INDEX('Live History'!$H$5:$H$3004,MATCH($A1112,'Live History'!$G$5:$G$3004,1)),INDEX('AH History'!$B$5:$B$1380,$K1112))),NA()),NA())</f>
        <v/>
      </c>
      <c r="I1112" s="34">
        <f>IFERROR(IF(ISNUMBER($A1112),IF(AND(AH!$U$12=1,1107+1=AH!$U$6),TODAY(),IF(AH!$U$5=1,INDEX('Live History'!$G$5:$G$3004,MATCH($A1112,'Live History'!$G$5:$G$3004,1)),INDEX('AH History'!$C$5:$C$1380,$K1112))),NA()),NA())</f>
        <v/>
      </c>
      <c r="J1112" s="32">
        <f>IFERROR(IF(AND($F1112&gt;0,$H1112&gt;0,$A1112-$G1112&lt;=10,$A1112-$I1112&lt;=5,$G1112&gt;0,$I1112&gt;0),$F1112*$H1112,NA()),NA())</f>
        <v/>
      </c>
      <c r="K1112" s="15">
        <f>IF($A1112="","",IF(AH!$U$5=1,IFERROR(MATCH($A1112,'Live History'!$A$5:$A$3004,0),0),AH!$U$7+1107))</f>
        <v/>
      </c>
      <c r="L1112" s="15">
        <f>IF(ISNUMBER(A1112),TEXT(A1112,"dd-mmm-yy"),"")</f>
        <v/>
      </c>
    </row>
    <row r="1113">
      <c r="A1113" s="14">
        <f>IF(OR(AH!$U$4=0,1108+1&gt;AH!$U$6,AND(AH!$M$5="Bloomberg",AH!$U$5=0)),"",IFERROR(IF(AND(AH!$U$12=1,1108+1=AH!$U$6),TODAY(),IF(AH!$U$5=1,INDEX('Live History'!$A$5:$A$3004,AH!$U$7+1108),INDEX('AH History'!$A$5:$A$1380,AH!$U$7+1108))),""))</f>
        <v/>
      </c>
      <c r="B1113" s="33">
        <f>IFERROR(IF(AH!$U$11=1,NA(),$J1113/$E1113-1),NA())</f>
        <v/>
      </c>
      <c r="C1113" s="269">
        <f>IFERROR(100*$E1113/$E$5,NA())</f>
        <v/>
      </c>
      <c r="D1113" s="269">
        <f>IFERROR(100*$J1113/$J$5,NA())</f>
        <v/>
      </c>
      <c r="E1113" s="32">
        <f>IFERROR(IF(AND(ISNUMBER($A1113),N(IF(AND(AH!$U$12=1,1108+1=AH!$U$6),IF(AH!$U$4=0,"unavailable",INDEX('Market Data'!$AN$5:$AN$66,AH!$U$4)),IF(AH!$U$5=1,INDEX('Live History'!$B$5:$B$3004,$K1113),INDEX('AH History'!$D$5:$GG$1380,$K1113,AH!$U$10))))&gt;0),IF(AND(AH!$U$12=1,1108+1=AH!$U$6),IF(AH!$U$4=0,"unavailable",INDEX('Market Data'!$AN$5:$AN$66,AH!$U$4)),IF(AH!$U$5=1,INDEX('Live History'!$B$5:$B$3004,$K1113),INDEX('AH History'!$D$5:$GG$1380,$K1113,AH!$U$10))),NA()),NA())</f>
        <v/>
      </c>
      <c r="F1113" s="32">
        <f>IFERROR(IF(ISNUMBER($A1113),IF(AND(AH!$U$12=1,1108+1=AH!$U$6),IF(AH!$U$4=0,"unavailable",INDEX('Market Data'!$AO$5:$AO$66,AH!$U$4)),IF(AH!$U$5=1,INDEX('Live History'!$E$5:$E$3004,MATCH($A1113,'Live History'!$D$5:$D$3004,1)),INDEX('AH History'!$D$5:$GG$1380,$K1113,AH!$U$10+1))),NA()),NA())</f>
        <v/>
      </c>
      <c r="G1113" s="34">
        <f>IFERROR(IF(ISNUMBER($A1113),IF(AND(AH!$U$12=1,1108+1=AH!$U$6),IF(AH!$U$4=0,"unavailable",INDEX('Market Data'!$AK$5:$AK$66,AH!$U$4)),IF(AH!$U$5=1,INDEX('Live History'!$D$5:$D$3004,MATCH($A1113,'Live History'!$D$5:$D$3004,1)),INDEX('AH History'!$D$5:$GG$1380,$K1113,AH!$U$10+2))),NA()),NA())</f>
        <v/>
      </c>
      <c r="H1113" s="266">
        <f>IFERROR(IF(ISNUMBER($A1113),IF(AND(AH!$U$12=1,1108+1=AH!$U$6),IF(AH!$U$4=0,"unavailable",INDEX('Market Data'!$AP$5:$AP$66,AH!$U$4)),IF(AH!$U$5=1,INDEX('Live History'!$H$5:$H$3004,MATCH($A1113,'Live History'!$G$5:$G$3004,1)),INDEX('AH History'!$B$5:$B$1380,$K1113))),NA()),NA())</f>
        <v/>
      </c>
      <c r="I1113" s="34">
        <f>IFERROR(IF(ISNUMBER($A1113),IF(AND(AH!$U$12=1,1108+1=AH!$U$6),TODAY(),IF(AH!$U$5=1,INDEX('Live History'!$G$5:$G$3004,MATCH($A1113,'Live History'!$G$5:$G$3004,1)),INDEX('AH History'!$C$5:$C$1380,$K1113))),NA()),NA())</f>
        <v/>
      </c>
      <c r="J1113" s="32">
        <f>IFERROR(IF(AND($F1113&gt;0,$H1113&gt;0,$A1113-$G1113&lt;=10,$A1113-$I1113&lt;=5,$G1113&gt;0,$I1113&gt;0),$F1113*$H1113,NA()),NA())</f>
        <v/>
      </c>
      <c r="K1113" s="15">
        <f>IF($A1113="","",IF(AH!$U$5=1,IFERROR(MATCH($A1113,'Live History'!$A$5:$A$3004,0),0),AH!$U$7+1108))</f>
        <v/>
      </c>
      <c r="L1113" s="15">
        <f>IF(ISNUMBER(A1113),TEXT(A1113,"dd-mmm-yy"),"")</f>
        <v/>
      </c>
    </row>
    <row r="1114">
      <c r="A1114" s="14">
        <f>IF(OR(AH!$U$4=0,1109+1&gt;AH!$U$6,AND(AH!$M$5="Bloomberg",AH!$U$5=0)),"",IFERROR(IF(AND(AH!$U$12=1,1109+1=AH!$U$6),TODAY(),IF(AH!$U$5=1,INDEX('Live History'!$A$5:$A$3004,AH!$U$7+1109),INDEX('AH History'!$A$5:$A$1380,AH!$U$7+1109))),""))</f>
        <v/>
      </c>
      <c r="B1114" s="33">
        <f>IFERROR(IF(AH!$U$11=1,NA(),$J1114/$E1114-1),NA())</f>
        <v/>
      </c>
      <c r="C1114" s="269">
        <f>IFERROR(100*$E1114/$E$5,NA())</f>
        <v/>
      </c>
      <c r="D1114" s="269">
        <f>IFERROR(100*$J1114/$J$5,NA())</f>
        <v/>
      </c>
      <c r="E1114" s="32">
        <f>IFERROR(IF(AND(ISNUMBER($A1114),N(IF(AND(AH!$U$12=1,1109+1=AH!$U$6),IF(AH!$U$4=0,"unavailable",INDEX('Market Data'!$AN$5:$AN$66,AH!$U$4)),IF(AH!$U$5=1,INDEX('Live History'!$B$5:$B$3004,$K1114),INDEX('AH History'!$D$5:$GG$1380,$K1114,AH!$U$10))))&gt;0),IF(AND(AH!$U$12=1,1109+1=AH!$U$6),IF(AH!$U$4=0,"unavailable",INDEX('Market Data'!$AN$5:$AN$66,AH!$U$4)),IF(AH!$U$5=1,INDEX('Live History'!$B$5:$B$3004,$K1114),INDEX('AH History'!$D$5:$GG$1380,$K1114,AH!$U$10))),NA()),NA())</f>
        <v/>
      </c>
      <c r="F1114" s="32">
        <f>IFERROR(IF(ISNUMBER($A1114),IF(AND(AH!$U$12=1,1109+1=AH!$U$6),IF(AH!$U$4=0,"unavailable",INDEX('Market Data'!$AO$5:$AO$66,AH!$U$4)),IF(AH!$U$5=1,INDEX('Live History'!$E$5:$E$3004,MATCH($A1114,'Live History'!$D$5:$D$3004,1)),INDEX('AH History'!$D$5:$GG$1380,$K1114,AH!$U$10+1))),NA()),NA())</f>
        <v/>
      </c>
      <c r="G1114" s="34">
        <f>IFERROR(IF(ISNUMBER($A1114),IF(AND(AH!$U$12=1,1109+1=AH!$U$6),IF(AH!$U$4=0,"unavailable",INDEX('Market Data'!$AK$5:$AK$66,AH!$U$4)),IF(AH!$U$5=1,INDEX('Live History'!$D$5:$D$3004,MATCH($A1114,'Live History'!$D$5:$D$3004,1)),INDEX('AH History'!$D$5:$GG$1380,$K1114,AH!$U$10+2))),NA()),NA())</f>
        <v/>
      </c>
      <c r="H1114" s="266">
        <f>IFERROR(IF(ISNUMBER($A1114),IF(AND(AH!$U$12=1,1109+1=AH!$U$6),IF(AH!$U$4=0,"unavailable",INDEX('Market Data'!$AP$5:$AP$66,AH!$U$4)),IF(AH!$U$5=1,INDEX('Live History'!$H$5:$H$3004,MATCH($A1114,'Live History'!$G$5:$G$3004,1)),INDEX('AH History'!$B$5:$B$1380,$K1114))),NA()),NA())</f>
        <v/>
      </c>
      <c r="I1114" s="34">
        <f>IFERROR(IF(ISNUMBER($A1114),IF(AND(AH!$U$12=1,1109+1=AH!$U$6),TODAY(),IF(AH!$U$5=1,INDEX('Live History'!$G$5:$G$3004,MATCH($A1114,'Live History'!$G$5:$G$3004,1)),INDEX('AH History'!$C$5:$C$1380,$K1114))),NA()),NA())</f>
        <v/>
      </c>
      <c r="J1114" s="32">
        <f>IFERROR(IF(AND($F1114&gt;0,$H1114&gt;0,$A1114-$G1114&lt;=10,$A1114-$I1114&lt;=5,$G1114&gt;0,$I1114&gt;0),$F1114*$H1114,NA()),NA())</f>
        <v/>
      </c>
      <c r="K1114" s="15">
        <f>IF($A1114="","",IF(AH!$U$5=1,IFERROR(MATCH($A1114,'Live History'!$A$5:$A$3004,0),0),AH!$U$7+1109))</f>
        <v/>
      </c>
      <c r="L1114" s="15">
        <f>IF(ISNUMBER(A1114),TEXT(A1114,"dd-mmm-yy"),"")</f>
        <v/>
      </c>
    </row>
    <row r="1115">
      <c r="A1115" s="14">
        <f>IF(OR(AH!$U$4=0,1110+1&gt;AH!$U$6,AND(AH!$M$5="Bloomberg",AH!$U$5=0)),"",IFERROR(IF(AND(AH!$U$12=1,1110+1=AH!$U$6),TODAY(),IF(AH!$U$5=1,INDEX('Live History'!$A$5:$A$3004,AH!$U$7+1110),INDEX('AH History'!$A$5:$A$1380,AH!$U$7+1110))),""))</f>
        <v/>
      </c>
      <c r="B1115" s="33">
        <f>IFERROR(IF(AH!$U$11=1,NA(),$J1115/$E1115-1),NA())</f>
        <v/>
      </c>
      <c r="C1115" s="269">
        <f>IFERROR(100*$E1115/$E$5,NA())</f>
        <v/>
      </c>
      <c r="D1115" s="269">
        <f>IFERROR(100*$J1115/$J$5,NA())</f>
        <v/>
      </c>
      <c r="E1115" s="32">
        <f>IFERROR(IF(AND(ISNUMBER($A1115),N(IF(AND(AH!$U$12=1,1110+1=AH!$U$6),IF(AH!$U$4=0,"unavailable",INDEX('Market Data'!$AN$5:$AN$66,AH!$U$4)),IF(AH!$U$5=1,INDEX('Live History'!$B$5:$B$3004,$K1115),INDEX('AH History'!$D$5:$GG$1380,$K1115,AH!$U$10))))&gt;0),IF(AND(AH!$U$12=1,1110+1=AH!$U$6),IF(AH!$U$4=0,"unavailable",INDEX('Market Data'!$AN$5:$AN$66,AH!$U$4)),IF(AH!$U$5=1,INDEX('Live History'!$B$5:$B$3004,$K1115),INDEX('AH History'!$D$5:$GG$1380,$K1115,AH!$U$10))),NA()),NA())</f>
        <v/>
      </c>
      <c r="F1115" s="32">
        <f>IFERROR(IF(ISNUMBER($A1115),IF(AND(AH!$U$12=1,1110+1=AH!$U$6),IF(AH!$U$4=0,"unavailable",INDEX('Market Data'!$AO$5:$AO$66,AH!$U$4)),IF(AH!$U$5=1,INDEX('Live History'!$E$5:$E$3004,MATCH($A1115,'Live History'!$D$5:$D$3004,1)),INDEX('AH History'!$D$5:$GG$1380,$K1115,AH!$U$10+1))),NA()),NA())</f>
        <v/>
      </c>
      <c r="G1115" s="34">
        <f>IFERROR(IF(ISNUMBER($A1115),IF(AND(AH!$U$12=1,1110+1=AH!$U$6),IF(AH!$U$4=0,"unavailable",INDEX('Market Data'!$AK$5:$AK$66,AH!$U$4)),IF(AH!$U$5=1,INDEX('Live History'!$D$5:$D$3004,MATCH($A1115,'Live History'!$D$5:$D$3004,1)),INDEX('AH History'!$D$5:$GG$1380,$K1115,AH!$U$10+2))),NA()),NA())</f>
        <v/>
      </c>
      <c r="H1115" s="266">
        <f>IFERROR(IF(ISNUMBER($A1115),IF(AND(AH!$U$12=1,1110+1=AH!$U$6),IF(AH!$U$4=0,"unavailable",INDEX('Market Data'!$AP$5:$AP$66,AH!$U$4)),IF(AH!$U$5=1,INDEX('Live History'!$H$5:$H$3004,MATCH($A1115,'Live History'!$G$5:$G$3004,1)),INDEX('AH History'!$B$5:$B$1380,$K1115))),NA()),NA())</f>
        <v/>
      </c>
      <c r="I1115" s="34">
        <f>IFERROR(IF(ISNUMBER($A1115),IF(AND(AH!$U$12=1,1110+1=AH!$U$6),TODAY(),IF(AH!$U$5=1,INDEX('Live History'!$G$5:$G$3004,MATCH($A1115,'Live History'!$G$5:$G$3004,1)),INDEX('AH History'!$C$5:$C$1380,$K1115))),NA()),NA())</f>
        <v/>
      </c>
      <c r="J1115" s="32">
        <f>IFERROR(IF(AND($F1115&gt;0,$H1115&gt;0,$A1115-$G1115&lt;=10,$A1115-$I1115&lt;=5,$G1115&gt;0,$I1115&gt;0),$F1115*$H1115,NA()),NA())</f>
        <v/>
      </c>
      <c r="K1115" s="15">
        <f>IF($A1115="","",IF(AH!$U$5=1,IFERROR(MATCH($A1115,'Live History'!$A$5:$A$3004,0),0),AH!$U$7+1110))</f>
        <v/>
      </c>
      <c r="L1115" s="15">
        <f>IF(ISNUMBER(A1115),TEXT(A1115,"dd-mmm-yy"),"")</f>
        <v/>
      </c>
    </row>
    <row r="1116">
      <c r="A1116" s="14">
        <f>IF(OR(AH!$U$4=0,1111+1&gt;AH!$U$6,AND(AH!$M$5="Bloomberg",AH!$U$5=0)),"",IFERROR(IF(AND(AH!$U$12=1,1111+1=AH!$U$6),TODAY(),IF(AH!$U$5=1,INDEX('Live History'!$A$5:$A$3004,AH!$U$7+1111),INDEX('AH History'!$A$5:$A$1380,AH!$U$7+1111))),""))</f>
        <v/>
      </c>
      <c r="B1116" s="33">
        <f>IFERROR(IF(AH!$U$11=1,NA(),$J1116/$E1116-1),NA())</f>
        <v/>
      </c>
      <c r="C1116" s="269">
        <f>IFERROR(100*$E1116/$E$5,NA())</f>
        <v/>
      </c>
      <c r="D1116" s="269">
        <f>IFERROR(100*$J1116/$J$5,NA())</f>
        <v/>
      </c>
      <c r="E1116" s="32">
        <f>IFERROR(IF(AND(ISNUMBER($A1116),N(IF(AND(AH!$U$12=1,1111+1=AH!$U$6),IF(AH!$U$4=0,"unavailable",INDEX('Market Data'!$AN$5:$AN$66,AH!$U$4)),IF(AH!$U$5=1,INDEX('Live History'!$B$5:$B$3004,$K1116),INDEX('AH History'!$D$5:$GG$1380,$K1116,AH!$U$10))))&gt;0),IF(AND(AH!$U$12=1,1111+1=AH!$U$6),IF(AH!$U$4=0,"unavailable",INDEX('Market Data'!$AN$5:$AN$66,AH!$U$4)),IF(AH!$U$5=1,INDEX('Live History'!$B$5:$B$3004,$K1116),INDEX('AH History'!$D$5:$GG$1380,$K1116,AH!$U$10))),NA()),NA())</f>
        <v/>
      </c>
      <c r="F1116" s="32">
        <f>IFERROR(IF(ISNUMBER($A1116),IF(AND(AH!$U$12=1,1111+1=AH!$U$6),IF(AH!$U$4=0,"unavailable",INDEX('Market Data'!$AO$5:$AO$66,AH!$U$4)),IF(AH!$U$5=1,INDEX('Live History'!$E$5:$E$3004,MATCH($A1116,'Live History'!$D$5:$D$3004,1)),INDEX('AH History'!$D$5:$GG$1380,$K1116,AH!$U$10+1))),NA()),NA())</f>
        <v/>
      </c>
      <c r="G1116" s="34">
        <f>IFERROR(IF(ISNUMBER($A1116),IF(AND(AH!$U$12=1,1111+1=AH!$U$6),IF(AH!$U$4=0,"unavailable",INDEX('Market Data'!$AK$5:$AK$66,AH!$U$4)),IF(AH!$U$5=1,INDEX('Live History'!$D$5:$D$3004,MATCH($A1116,'Live History'!$D$5:$D$3004,1)),INDEX('AH History'!$D$5:$GG$1380,$K1116,AH!$U$10+2))),NA()),NA())</f>
        <v/>
      </c>
      <c r="H1116" s="266">
        <f>IFERROR(IF(ISNUMBER($A1116),IF(AND(AH!$U$12=1,1111+1=AH!$U$6),IF(AH!$U$4=0,"unavailable",INDEX('Market Data'!$AP$5:$AP$66,AH!$U$4)),IF(AH!$U$5=1,INDEX('Live History'!$H$5:$H$3004,MATCH($A1116,'Live History'!$G$5:$G$3004,1)),INDEX('AH History'!$B$5:$B$1380,$K1116))),NA()),NA())</f>
        <v/>
      </c>
      <c r="I1116" s="34">
        <f>IFERROR(IF(ISNUMBER($A1116),IF(AND(AH!$U$12=1,1111+1=AH!$U$6),TODAY(),IF(AH!$U$5=1,INDEX('Live History'!$G$5:$G$3004,MATCH($A1116,'Live History'!$G$5:$G$3004,1)),INDEX('AH History'!$C$5:$C$1380,$K1116))),NA()),NA())</f>
        <v/>
      </c>
      <c r="J1116" s="32">
        <f>IFERROR(IF(AND($F1116&gt;0,$H1116&gt;0,$A1116-$G1116&lt;=10,$A1116-$I1116&lt;=5,$G1116&gt;0,$I1116&gt;0),$F1116*$H1116,NA()),NA())</f>
        <v/>
      </c>
      <c r="K1116" s="15">
        <f>IF($A1116="","",IF(AH!$U$5=1,IFERROR(MATCH($A1116,'Live History'!$A$5:$A$3004,0),0),AH!$U$7+1111))</f>
        <v/>
      </c>
      <c r="L1116" s="15">
        <f>IF(ISNUMBER(A1116),TEXT(A1116,"dd-mmm-yy"),"")</f>
        <v/>
      </c>
    </row>
    <row r="1117">
      <c r="A1117" s="14">
        <f>IF(OR(AH!$U$4=0,1112+1&gt;AH!$U$6,AND(AH!$M$5="Bloomberg",AH!$U$5=0)),"",IFERROR(IF(AND(AH!$U$12=1,1112+1=AH!$U$6),TODAY(),IF(AH!$U$5=1,INDEX('Live History'!$A$5:$A$3004,AH!$U$7+1112),INDEX('AH History'!$A$5:$A$1380,AH!$U$7+1112))),""))</f>
        <v/>
      </c>
      <c r="B1117" s="33">
        <f>IFERROR(IF(AH!$U$11=1,NA(),$J1117/$E1117-1),NA())</f>
        <v/>
      </c>
      <c r="C1117" s="269">
        <f>IFERROR(100*$E1117/$E$5,NA())</f>
        <v/>
      </c>
      <c r="D1117" s="269">
        <f>IFERROR(100*$J1117/$J$5,NA())</f>
        <v/>
      </c>
      <c r="E1117" s="32">
        <f>IFERROR(IF(AND(ISNUMBER($A1117),N(IF(AND(AH!$U$12=1,1112+1=AH!$U$6),IF(AH!$U$4=0,"unavailable",INDEX('Market Data'!$AN$5:$AN$66,AH!$U$4)),IF(AH!$U$5=1,INDEX('Live History'!$B$5:$B$3004,$K1117),INDEX('AH History'!$D$5:$GG$1380,$K1117,AH!$U$10))))&gt;0),IF(AND(AH!$U$12=1,1112+1=AH!$U$6),IF(AH!$U$4=0,"unavailable",INDEX('Market Data'!$AN$5:$AN$66,AH!$U$4)),IF(AH!$U$5=1,INDEX('Live History'!$B$5:$B$3004,$K1117),INDEX('AH History'!$D$5:$GG$1380,$K1117,AH!$U$10))),NA()),NA())</f>
        <v/>
      </c>
      <c r="F1117" s="32">
        <f>IFERROR(IF(ISNUMBER($A1117),IF(AND(AH!$U$12=1,1112+1=AH!$U$6),IF(AH!$U$4=0,"unavailable",INDEX('Market Data'!$AO$5:$AO$66,AH!$U$4)),IF(AH!$U$5=1,INDEX('Live History'!$E$5:$E$3004,MATCH($A1117,'Live History'!$D$5:$D$3004,1)),INDEX('AH History'!$D$5:$GG$1380,$K1117,AH!$U$10+1))),NA()),NA())</f>
        <v/>
      </c>
      <c r="G1117" s="34">
        <f>IFERROR(IF(ISNUMBER($A1117),IF(AND(AH!$U$12=1,1112+1=AH!$U$6),IF(AH!$U$4=0,"unavailable",INDEX('Market Data'!$AK$5:$AK$66,AH!$U$4)),IF(AH!$U$5=1,INDEX('Live History'!$D$5:$D$3004,MATCH($A1117,'Live History'!$D$5:$D$3004,1)),INDEX('AH History'!$D$5:$GG$1380,$K1117,AH!$U$10+2))),NA()),NA())</f>
        <v/>
      </c>
      <c r="H1117" s="266">
        <f>IFERROR(IF(ISNUMBER($A1117),IF(AND(AH!$U$12=1,1112+1=AH!$U$6),IF(AH!$U$4=0,"unavailable",INDEX('Market Data'!$AP$5:$AP$66,AH!$U$4)),IF(AH!$U$5=1,INDEX('Live History'!$H$5:$H$3004,MATCH($A1117,'Live History'!$G$5:$G$3004,1)),INDEX('AH History'!$B$5:$B$1380,$K1117))),NA()),NA())</f>
        <v/>
      </c>
      <c r="I1117" s="34">
        <f>IFERROR(IF(ISNUMBER($A1117),IF(AND(AH!$U$12=1,1112+1=AH!$U$6),TODAY(),IF(AH!$U$5=1,INDEX('Live History'!$G$5:$G$3004,MATCH($A1117,'Live History'!$G$5:$G$3004,1)),INDEX('AH History'!$C$5:$C$1380,$K1117))),NA()),NA())</f>
        <v/>
      </c>
      <c r="J1117" s="32">
        <f>IFERROR(IF(AND($F1117&gt;0,$H1117&gt;0,$A1117-$G1117&lt;=10,$A1117-$I1117&lt;=5,$G1117&gt;0,$I1117&gt;0),$F1117*$H1117,NA()),NA())</f>
        <v/>
      </c>
      <c r="K1117" s="15">
        <f>IF($A1117="","",IF(AH!$U$5=1,IFERROR(MATCH($A1117,'Live History'!$A$5:$A$3004,0),0),AH!$U$7+1112))</f>
        <v/>
      </c>
      <c r="L1117" s="15">
        <f>IF(ISNUMBER(A1117),TEXT(A1117,"dd-mmm-yy"),"")</f>
        <v/>
      </c>
    </row>
    <row r="1118">
      <c r="A1118" s="14">
        <f>IF(OR(AH!$U$4=0,1113+1&gt;AH!$U$6,AND(AH!$M$5="Bloomberg",AH!$U$5=0)),"",IFERROR(IF(AND(AH!$U$12=1,1113+1=AH!$U$6),TODAY(),IF(AH!$U$5=1,INDEX('Live History'!$A$5:$A$3004,AH!$U$7+1113),INDEX('AH History'!$A$5:$A$1380,AH!$U$7+1113))),""))</f>
        <v/>
      </c>
      <c r="B1118" s="33">
        <f>IFERROR(IF(AH!$U$11=1,NA(),$J1118/$E1118-1),NA())</f>
        <v/>
      </c>
      <c r="C1118" s="269">
        <f>IFERROR(100*$E1118/$E$5,NA())</f>
        <v/>
      </c>
      <c r="D1118" s="269">
        <f>IFERROR(100*$J1118/$J$5,NA())</f>
        <v/>
      </c>
      <c r="E1118" s="32">
        <f>IFERROR(IF(AND(ISNUMBER($A1118),N(IF(AND(AH!$U$12=1,1113+1=AH!$U$6),IF(AH!$U$4=0,"unavailable",INDEX('Market Data'!$AN$5:$AN$66,AH!$U$4)),IF(AH!$U$5=1,INDEX('Live History'!$B$5:$B$3004,$K1118),INDEX('AH History'!$D$5:$GG$1380,$K1118,AH!$U$10))))&gt;0),IF(AND(AH!$U$12=1,1113+1=AH!$U$6),IF(AH!$U$4=0,"unavailable",INDEX('Market Data'!$AN$5:$AN$66,AH!$U$4)),IF(AH!$U$5=1,INDEX('Live History'!$B$5:$B$3004,$K1118),INDEX('AH History'!$D$5:$GG$1380,$K1118,AH!$U$10))),NA()),NA())</f>
        <v/>
      </c>
      <c r="F1118" s="32">
        <f>IFERROR(IF(ISNUMBER($A1118),IF(AND(AH!$U$12=1,1113+1=AH!$U$6),IF(AH!$U$4=0,"unavailable",INDEX('Market Data'!$AO$5:$AO$66,AH!$U$4)),IF(AH!$U$5=1,INDEX('Live History'!$E$5:$E$3004,MATCH($A1118,'Live History'!$D$5:$D$3004,1)),INDEX('AH History'!$D$5:$GG$1380,$K1118,AH!$U$10+1))),NA()),NA())</f>
        <v/>
      </c>
      <c r="G1118" s="34">
        <f>IFERROR(IF(ISNUMBER($A1118),IF(AND(AH!$U$12=1,1113+1=AH!$U$6),IF(AH!$U$4=0,"unavailable",INDEX('Market Data'!$AK$5:$AK$66,AH!$U$4)),IF(AH!$U$5=1,INDEX('Live History'!$D$5:$D$3004,MATCH($A1118,'Live History'!$D$5:$D$3004,1)),INDEX('AH History'!$D$5:$GG$1380,$K1118,AH!$U$10+2))),NA()),NA())</f>
        <v/>
      </c>
      <c r="H1118" s="266">
        <f>IFERROR(IF(ISNUMBER($A1118),IF(AND(AH!$U$12=1,1113+1=AH!$U$6),IF(AH!$U$4=0,"unavailable",INDEX('Market Data'!$AP$5:$AP$66,AH!$U$4)),IF(AH!$U$5=1,INDEX('Live History'!$H$5:$H$3004,MATCH($A1118,'Live History'!$G$5:$G$3004,1)),INDEX('AH History'!$B$5:$B$1380,$K1118))),NA()),NA())</f>
        <v/>
      </c>
      <c r="I1118" s="34">
        <f>IFERROR(IF(ISNUMBER($A1118),IF(AND(AH!$U$12=1,1113+1=AH!$U$6),TODAY(),IF(AH!$U$5=1,INDEX('Live History'!$G$5:$G$3004,MATCH($A1118,'Live History'!$G$5:$G$3004,1)),INDEX('AH History'!$C$5:$C$1380,$K1118))),NA()),NA())</f>
        <v/>
      </c>
      <c r="J1118" s="32">
        <f>IFERROR(IF(AND($F1118&gt;0,$H1118&gt;0,$A1118-$G1118&lt;=10,$A1118-$I1118&lt;=5,$G1118&gt;0,$I1118&gt;0),$F1118*$H1118,NA()),NA())</f>
        <v/>
      </c>
      <c r="K1118" s="15">
        <f>IF($A1118="","",IF(AH!$U$5=1,IFERROR(MATCH($A1118,'Live History'!$A$5:$A$3004,0),0),AH!$U$7+1113))</f>
        <v/>
      </c>
      <c r="L1118" s="15">
        <f>IF(ISNUMBER(A1118),TEXT(A1118,"dd-mmm-yy"),"")</f>
        <v/>
      </c>
    </row>
    <row r="1119">
      <c r="A1119" s="14">
        <f>IF(OR(AH!$U$4=0,1114+1&gt;AH!$U$6,AND(AH!$M$5="Bloomberg",AH!$U$5=0)),"",IFERROR(IF(AND(AH!$U$12=1,1114+1=AH!$U$6),TODAY(),IF(AH!$U$5=1,INDEX('Live History'!$A$5:$A$3004,AH!$U$7+1114),INDEX('AH History'!$A$5:$A$1380,AH!$U$7+1114))),""))</f>
        <v/>
      </c>
      <c r="B1119" s="33">
        <f>IFERROR(IF(AH!$U$11=1,NA(),$J1119/$E1119-1),NA())</f>
        <v/>
      </c>
      <c r="C1119" s="269">
        <f>IFERROR(100*$E1119/$E$5,NA())</f>
        <v/>
      </c>
      <c r="D1119" s="269">
        <f>IFERROR(100*$J1119/$J$5,NA())</f>
        <v/>
      </c>
      <c r="E1119" s="32">
        <f>IFERROR(IF(AND(ISNUMBER($A1119),N(IF(AND(AH!$U$12=1,1114+1=AH!$U$6),IF(AH!$U$4=0,"unavailable",INDEX('Market Data'!$AN$5:$AN$66,AH!$U$4)),IF(AH!$U$5=1,INDEX('Live History'!$B$5:$B$3004,$K1119),INDEX('AH History'!$D$5:$GG$1380,$K1119,AH!$U$10))))&gt;0),IF(AND(AH!$U$12=1,1114+1=AH!$U$6),IF(AH!$U$4=0,"unavailable",INDEX('Market Data'!$AN$5:$AN$66,AH!$U$4)),IF(AH!$U$5=1,INDEX('Live History'!$B$5:$B$3004,$K1119),INDEX('AH History'!$D$5:$GG$1380,$K1119,AH!$U$10))),NA()),NA())</f>
        <v/>
      </c>
      <c r="F1119" s="32">
        <f>IFERROR(IF(ISNUMBER($A1119),IF(AND(AH!$U$12=1,1114+1=AH!$U$6),IF(AH!$U$4=0,"unavailable",INDEX('Market Data'!$AO$5:$AO$66,AH!$U$4)),IF(AH!$U$5=1,INDEX('Live History'!$E$5:$E$3004,MATCH($A1119,'Live History'!$D$5:$D$3004,1)),INDEX('AH History'!$D$5:$GG$1380,$K1119,AH!$U$10+1))),NA()),NA())</f>
        <v/>
      </c>
      <c r="G1119" s="34">
        <f>IFERROR(IF(ISNUMBER($A1119),IF(AND(AH!$U$12=1,1114+1=AH!$U$6),IF(AH!$U$4=0,"unavailable",INDEX('Market Data'!$AK$5:$AK$66,AH!$U$4)),IF(AH!$U$5=1,INDEX('Live History'!$D$5:$D$3004,MATCH($A1119,'Live History'!$D$5:$D$3004,1)),INDEX('AH History'!$D$5:$GG$1380,$K1119,AH!$U$10+2))),NA()),NA())</f>
        <v/>
      </c>
      <c r="H1119" s="266">
        <f>IFERROR(IF(ISNUMBER($A1119),IF(AND(AH!$U$12=1,1114+1=AH!$U$6),IF(AH!$U$4=0,"unavailable",INDEX('Market Data'!$AP$5:$AP$66,AH!$U$4)),IF(AH!$U$5=1,INDEX('Live History'!$H$5:$H$3004,MATCH($A1119,'Live History'!$G$5:$G$3004,1)),INDEX('AH History'!$B$5:$B$1380,$K1119))),NA()),NA())</f>
        <v/>
      </c>
      <c r="I1119" s="34">
        <f>IFERROR(IF(ISNUMBER($A1119),IF(AND(AH!$U$12=1,1114+1=AH!$U$6),TODAY(),IF(AH!$U$5=1,INDEX('Live History'!$G$5:$G$3004,MATCH($A1119,'Live History'!$G$5:$G$3004,1)),INDEX('AH History'!$C$5:$C$1380,$K1119))),NA()),NA())</f>
        <v/>
      </c>
      <c r="J1119" s="32">
        <f>IFERROR(IF(AND($F1119&gt;0,$H1119&gt;0,$A1119-$G1119&lt;=10,$A1119-$I1119&lt;=5,$G1119&gt;0,$I1119&gt;0),$F1119*$H1119,NA()),NA())</f>
        <v/>
      </c>
      <c r="K1119" s="15">
        <f>IF($A1119="","",IF(AH!$U$5=1,IFERROR(MATCH($A1119,'Live History'!$A$5:$A$3004,0),0),AH!$U$7+1114))</f>
        <v/>
      </c>
      <c r="L1119" s="15">
        <f>IF(ISNUMBER(A1119),TEXT(A1119,"dd-mmm-yy"),"")</f>
        <v/>
      </c>
    </row>
    <row r="1120">
      <c r="A1120" s="14">
        <f>IF(OR(AH!$U$4=0,1115+1&gt;AH!$U$6,AND(AH!$M$5="Bloomberg",AH!$U$5=0)),"",IFERROR(IF(AND(AH!$U$12=1,1115+1=AH!$U$6),TODAY(),IF(AH!$U$5=1,INDEX('Live History'!$A$5:$A$3004,AH!$U$7+1115),INDEX('AH History'!$A$5:$A$1380,AH!$U$7+1115))),""))</f>
        <v/>
      </c>
      <c r="B1120" s="33">
        <f>IFERROR(IF(AH!$U$11=1,NA(),$J1120/$E1120-1),NA())</f>
        <v/>
      </c>
      <c r="C1120" s="269">
        <f>IFERROR(100*$E1120/$E$5,NA())</f>
        <v/>
      </c>
      <c r="D1120" s="269">
        <f>IFERROR(100*$J1120/$J$5,NA())</f>
        <v/>
      </c>
      <c r="E1120" s="32">
        <f>IFERROR(IF(AND(ISNUMBER($A1120),N(IF(AND(AH!$U$12=1,1115+1=AH!$U$6),IF(AH!$U$4=0,"unavailable",INDEX('Market Data'!$AN$5:$AN$66,AH!$U$4)),IF(AH!$U$5=1,INDEX('Live History'!$B$5:$B$3004,$K1120),INDEX('AH History'!$D$5:$GG$1380,$K1120,AH!$U$10))))&gt;0),IF(AND(AH!$U$12=1,1115+1=AH!$U$6),IF(AH!$U$4=0,"unavailable",INDEX('Market Data'!$AN$5:$AN$66,AH!$U$4)),IF(AH!$U$5=1,INDEX('Live History'!$B$5:$B$3004,$K1120),INDEX('AH History'!$D$5:$GG$1380,$K1120,AH!$U$10))),NA()),NA())</f>
        <v/>
      </c>
      <c r="F1120" s="32">
        <f>IFERROR(IF(ISNUMBER($A1120),IF(AND(AH!$U$12=1,1115+1=AH!$U$6),IF(AH!$U$4=0,"unavailable",INDEX('Market Data'!$AO$5:$AO$66,AH!$U$4)),IF(AH!$U$5=1,INDEX('Live History'!$E$5:$E$3004,MATCH($A1120,'Live History'!$D$5:$D$3004,1)),INDEX('AH History'!$D$5:$GG$1380,$K1120,AH!$U$10+1))),NA()),NA())</f>
        <v/>
      </c>
      <c r="G1120" s="34">
        <f>IFERROR(IF(ISNUMBER($A1120),IF(AND(AH!$U$12=1,1115+1=AH!$U$6),IF(AH!$U$4=0,"unavailable",INDEX('Market Data'!$AK$5:$AK$66,AH!$U$4)),IF(AH!$U$5=1,INDEX('Live History'!$D$5:$D$3004,MATCH($A1120,'Live History'!$D$5:$D$3004,1)),INDEX('AH History'!$D$5:$GG$1380,$K1120,AH!$U$10+2))),NA()),NA())</f>
        <v/>
      </c>
      <c r="H1120" s="266">
        <f>IFERROR(IF(ISNUMBER($A1120),IF(AND(AH!$U$12=1,1115+1=AH!$U$6),IF(AH!$U$4=0,"unavailable",INDEX('Market Data'!$AP$5:$AP$66,AH!$U$4)),IF(AH!$U$5=1,INDEX('Live History'!$H$5:$H$3004,MATCH($A1120,'Live History'!$G$5:$G$3004,1)),INDEX('AH History'!$B$5:$B$1380,$K1120))),NA()),NA())</f>
        <v/>
      </c>
      <c r="I1120" s="34">
        <f>IFERROR(IF(ISNUMBER($A1120),IF(AND(AH!$U$12=1,1115+1=AH!$U$6),TODAY(),IF(AH!$U$5=1,INDEX('Live History'!$G$5:$G$3004,MATCH($A1120,'Live History'!$G$5:$G$3004,1)),INDEX('AH History'!$C$5:$C$1380,$K1120))),NA()),NA())</f>
        <v/>
      </c>
      <c r="J1120" s="32">
        <f>IFERROR(IF(AND($F1120&gt;0,$H1120&gt;0,$A1120-$G1120&lt;=10,$A1120-$I1120&lt;=5,$G1120&gt;0,$I1120&gt;0),$F1120*$H1120,NA()),NA())</f>
        <v/>
      </c>
      <c r="K1120" s="15">
        <f>IF($A1120="","",IF(AH!$U$5=1,IFERROR(MATCH($A1120,'Live History'!$A$5:$A$3004,0),0),AH!$U$7+1115))</f>
        <v/>
      </c>
      <c r="L1120" s="15">
        <f>IF(ISNUMBER(A1120),TEXT(A1120,"dd-mmm-yy"),"")</f>
        <v/>
      </c>
    </row>
    <row r="1121">
      <c r="A1121" s="14">
        <f>IF(OR(AH!$U$4=0,1116+1&gt;AH!$U$6,AND(AH!$M$5="Bloomberg",AH!$U$5=0)),"",IFERROR(IF(AND(AH!$U$12=1,1116+1=AH!$U$6),TODAY(),IF(AH!$U$5=1,INDEX('Live History'!$A$5:$A$3004,AH!$U$7+1116),INDEX('AH History'!$A$5:$A$1380,AH!$U$7+1116))),""))</f>
        <v/>
      </c>
      <c r="B1121" s="33">
        <f>IFERROR(IF(AH!$U$11=1,NA(),$J1121/$E1121-1),NA())</f>
        <v/>
      </c>
      <c r="C1121" s="269">
        <f>IFERROR(100*$E1121/$E$5,NA())</f>
        <v/>
      </c>
      <c r="D1121" s="269">
        <f>IFERROR(100*$J1121/$J$5,NA())</f>
        <v/>
      </c>
      <c r="E1121" s="32">
        <f>IFERROR(IF(AND(ISNUMBER($A1121),N(IF(AND(AH!$U$12=1,1116+1=AH!$U$6),IF(AH!$U$4=0,"unavailable",INDEX('Market Data'!$AN$5:$AN$66,AH!$U$4)),IF(AH!$U$5=1,INDEX('Live History'!$B$5:$B$3004,$K1121),INDEX('AH History'!$D$5:$GG$1380,$K1121,AH!$U$10))))&gt;0),IF(AND(AH!$U$12=1,1116+1=AH!$U$6),IF(AH!$U$4=0,"unavailable",INDEX('Market Data'!$AN$5:$AN$66,AH!$U$4)),IF(AH!$U$5=1,INDEX('Live History'!$B$5:$B$3004,$K1121),INDEX('AH History'!$D$5:$GG$1380,$K1121,AH!$U$10))),NA()),NA())</f>
        <v/>
      </c>
      <c r="F1121" s="32">
        <f>IFERROR(IF(ISNUMBER($A1121),IF(AND(AH!$U$12=1,1116+1=AH!$U$6),IF(AH!$U$4=0,"unavailable",INDEX('Market Data'!$AO$5:$AO$66,AH!$U$4)),IF(AH!$U$5=1,INDEX('Live History'!$E$5:$E$3004,MATCH($A1121,'Live History'!$D$5:$D$3004,1)),INDEX('AH History'!$D$5:$GG$1380,$K1121,AH!$U$10+1))),NA()),NA())</f>
        <v/>
      </c>
      <c r="G1121" s="34">
        <f>IFERROR(IF(ISNUMBER($A1121),IF(AND(AH!$U$12=1,1116+1=AH!$U$6),IF(AH!$U$4=0,"unavailable",INDEX('Market Data'!$AK$5:$AK$66,AH!$U$4)),IF(AH!$U$5=1,INDEX('Live History'!$D$5:$D$3004,MATCH($A1121,'Live History'!$D$5:$D$3004,1)),INDEX('AH History'!$D$5:$GG$1380,$K1121,AH!$U$10+2))),NA()),NA())</f>
        <v/>
      </c>
      <c r="H1121" s="266">
        <f>IFERROR(IF(ISNUMBER($A1121),IF(AND(AH!$U$12=1,1116+1=AH!$U$6),IF(AH!$U$4=0,"unavailable",INDEX('Market Data'!$AP$5:$AP$66,AH!$U$4)),IF(AH!$U$5=1,INDEX('Live History'!$H$5:$H$3004,MATCH($A1121,'Live History'!$G$5:$G$3004,1)),INDEX('AH History'!$B$5:$B$1380,$K1121))),NA()),NA())</f>
        <v/>
      </c>
      <c r="I1121" s="34">
        <f>IFERROR(IF(ISNUMBER($A1121),IF(AND(AH!$U$12=1,1116+1=AH!$U$6),TODAY(),IF(AH!$U$5=1,INDEX('Live History'!$G$5:$G$3004,MATCH($A1121,'Live History'!$G$5:$G$3004,1)),INDEX('AH History'!$C$5:$C$1380,$K1121))),NA()),NA())</f>
        <v/>
      </c>
      <c r="J1121" s="32">
        <f>IFERROR(IF(AND($F1121&gt;0,$H1121&gt;0,$A1121-$G1121&lt;=10,$A1121-$I1121&lt;=5,$G1121&gt;0,$I1121&gt;0),$F1121*$H1121,NA()),NA())</f>
        <v/>
      </c>
      <c r="K1121" s="15">
        <f>IF($A1121="","",IF(AH!$U$5=1,IFERROR(MATCH($A1121,'Live History'!$A$5:$A$3004,0),0),AH!$U$7+1116))</f>
        <v/>
      </c>
      <c r="L1121" s="15">
        <f>IF(ISNUMBER(A1121),TEXT(A1121,"dd-mmm-yy"),"")</f>
        <v/>
      </c>
    </row>
    <row r="1122">
      <c r="A1122" s="14">
        <f>IF(OR(AH!$U$4=0,1117+1&gt;AH!$U$6,AND(AH!$M$5="Bloomberg",AH!$U$5=0)),"",IFERROR(IF(AND(AH!$U$12=1,1117+1=AH!$U$6),TODAY(),IF(AH!$U$5=1,INDEX('Live History'!$A$5:$A$3004,AH!$U$7+1117),INDEX('AH History'!$A$5:$A$1380,AH!$U$7+1117))),""))</f>
        <v/>
      </c>
      <c r="B1122" s="33">
        <f>IFERROR(IF(AH!$U$11=1,NA(),$J1122/$E1122-1),NA())</f>
        <v/>
      </c>
      <c r="C1122" s="269">
        <f>IFERROR(100*$E1122/$E$5,NA())</f>
        <v/>
      </c>
      <c r="D1122" s="269">
        <f>IFERROR(100*$J1122/$J$5,NA())</f>
        <v/>
      </c>
      <c r="E1122" s="32">
        <f>IFERROR(IF(AND(ISNUMBER($A1122),N(IF(AND(AH!$U$12=1,1117+1=AH!$U$6),IF(AH!$U$4=0,"unavailable",INDEX('Market Data'!$AN$5:$AN$66,AH!$U$4)),IF(AH!$U$5=1,INDEX('Live History'!$B$5:$B$3004,$K1122),INDEX('AH History'!$D$5:$GG$1380,$K1122,AH!$U$10))))&gt;0),IF(AND(AH!$U$12=1,1117+1=AH!$U$6),IF(AH!$U$4=0,"unavailable",INDEX('Market Data'!$AN$5:$AN$66,AH!$U$4)),IF(AH!$U$5=1,INDEX('Live History'!$B$5:$B$3004,$K1122),INDEX('AH History'!$D$5:$GG$1380,$K1122,AH!$U$10))),NA()),NA())</f>
        <v/>
      </c>
      <c r="F1122" s="32">
        <f>IFERROR(IF(ISNUMBER($A1122),IF(AND(AH!$U$12=1,1117+1=AH!$U$6),IF(AH!$U$4=0,"unavailable",INDEX('Market Data'!$AO$5:$AO$66,AH!$U$4)),IF(AH!$U$5=1,INDEX('Live History'!$E$5:$E$3004,MATCH($A1122,'Live History'!$D$5:$D$3004,1)),INDEX('AH History'!$D$5:$GG$1380,$K1122,AH!$U$10+1))),NA()),NA())</f>
        <v/>
      </c>
      <c r="G1122" s="34">
        <f>IFERROR(IF(ISNUMBER($A1122),IF(AND(AH!$U$12=1,1117+1=AH!$U$6),IF(AH!$U$4=0,"unavailable",INDEX('Market Data'!$AK$5:$AK$66,AH!$U$4)),IF(AH!$U$5=1,INDEX('Live History'!$D$5:$D$3004,MATCH($A1122,'Live History'!$D$5:$D$3004,1)),INDEX('AH History'!$D$5:$GG$1380,$K1122,AH!$U$10+2))),NA()),NA())</f>
        <v/>
      </c>
      <c r="H1122" s="266">
        <f>IFERROR(IF(ISNUMBER($A1122),IF(AND(AH!$U$12=1,1117+1=AH!$U$6),IF(AH!$U$4=0,"unavailable",INDEX('Market Data'!$AP$5:$AP$66,AH!$U$4)),IF(AH!$U$5=1,INDEX('Live History'!$H$5:$H$3004,MATCH($A1122,'Live History'!$G$5:$G$3004,1)),INDEX('AH History'!$B$5:$B$1380,$K1122))),NA()),NA())</f>
        <v/>
      </c>
      <c r="I1122" s="34">
        <f>IFERROR(IF(ISNUMBER($A1122),IF(AND(AH!$U$12=1,1117+1=AH!$U$6),TODAY(),IF(AH!$U$5=1,INDEX('Live History'!$G$5:$G$3004,MATCH($A1122,'Live History'!$G$5:$G$3004,1)),INDEX('AH History'!$C$5:$C$1380,$K1122))),NA()),NA())</f>
        <v/>
      </c>
      <c r="J1122" s="32">
        <f>IFERROR(IF(AND($F1122&gt;0,$H1122&gt;0,$A1122-$G1122&lt;=10,$A1122-$I1122&lt;=5,$G1122&gt;0,$I1122&gt;0),$F1122*$H1122,NA()),NA())</f>
        <v/>
      </c>
      <c r="K1122" s="15">
        <f>IF($A1122="","",IF(AH!$U$5=1,IFERROR(MATCH($A1122,'Live History'!$A$5:$A$3004,0),0),AH!$U$7+1117))</f>
        <v/>
      </c>
      <c r="L1122" s="15">
        <f>IF(ISNUMBER(A1122),TEXT(A1122,"dd-mmm-yy"),"")</f>
        <v/>
      </c>
    </row>
    <row r="1123">
      <c r="A1123" s="14">
        <f>IF(OR(AH!$U$4=0,1118+1&gt;AH!$U$6,AND(AH!$M$5="Bloomberg",AH!$U$5=0)),"",IFERROR(IF(AND(AH!$U$12=1,1118+1=AH!$U$6),TODAY(),IF(AH!$U$5=1,INDEX('Live History'!$A$5:$A$3004,AH!$U$7+1118),INDEX('AH History'!$A$5:$A$1380,AH!$U$7+1118))),""))</f>
        <v/>
      </c>
      <c r="B1123" s="33">
        <f>IFERROR(IF(AH!$U$11=1,NA(),$J1123/$E1123-1),NA())</f>
        <v/>
      </c>
      <c r="C1123" s="269">
        <f>IFERROR(100*$E1123/$E$5,NA())</f>
        <v/>
      </c>
      <c r="D1123" s="269">
        <f>IFERROR(100*$J1123/$J$5,NA())</f>
        <v/>
      </c>
      <c r="E1123" s="32">
        <f>IFERROR(IF(AND(ISNUMBER($A1123),N(IF(AND(AH!$U$12=1,1118+1=AH!$U$6),IF(AH!$U$4=0,"unavailable",INDEX('Market Data'!$AN$5:$AN$66,AH!$U$4)),IF(AH!$U$5=1,INDEX('Live History'!$B$5:$B$3004,$K1123),INDEX('AH History'!$D$5:$GG$1380,$K1123,AH!$U$10))))&gt;0),IF(AND(AH!$U$12=1,1118+1=AH!$U$6),IF(AH!$U$4=0,"unavailable",INDEX('Market Data'!$AN$5:$AN$66,AH!$U$4)),IF(AH!$U$5=1,INDEX('Live History'!$B$5:$B$3004,$K1123),INDEX('AH History'!$D$5:$GG$1380,$K1123,AH!$U$10))),NA()),NA())</f>
        <v/>
      </c>
      <c r="F1123" s="32">
        <f>IFERROR(IF(ISNUMBER($A1123),IF(AND(AH!$U$12=1,1118+1=AH!$U$6),IF(AH!$U$4=0,"unavailable",INDEX('Market Data'!$AO$5:$AO$66,AH!$U$4)),IF(AH!$U$5=1,INDEX('Live History'!$E$5:$E$3004,MATCH($A1123,'Live History'!$D$5:$D$3004,1)),INDEX('AH History'!$D$5:$GG$1380,$K1123,AH!$U$10+1))),NA()),NA())</f>
        <v/>
      </c>
      <c r="G1123" s="34">
        <f>IFERROR(IF(ISNUMBER($A1123),IF(AND(AH!$U$12=1,1118+1=AH!$U$6),IF(AH!$U$4=0,"unavailable",INDEX('Market Data'!$AK$5:$AK$66,AH!$U$4)),IF(AH!$U$5=1,INDEX('Live History'!$D$5:$D$3004,MATCH($A1123,'Live History'!$D$5:$D$3004,1)),INDEX('AH History'!$D$5:$GG$1380,$K1123,AH!$U$10+2))),NA()),NA())</f>
        <v/>
      </c>
      <c r="H1123" s="266">
        <f>IFERROR(IF(ISNUMBER($A1123),IF(AND(AH!$U$12=1,1118+1=AH!$U$6),IF(AH!$U$4=0,"unavailable",INDEX('Market Data'!$AP$5:$AP$66,AH!$U$4)),IF(AH!$U$5=1,INDEX('Live History'!$H$5:$H$3004,MATCH($A1123,'Live History'!$G$5:$G$3004,1)),INDEX('AH History'!$B$5:$B$1380,$K1123))),NA()),NA())</f>
        <v/>
      </c>
      <c r="I1123" s="34">
        <f>IFERROR(IF(ISNUMBER($A1123),IF(AND(AH!$U$12=1,1118+1=AH!$U$6),TODAY(),IF(AH!$U$5=1,INDEX('Live History'!$G$5:$G$3004,MATCH($A1123,'Live History'!$G$5:$G$3004,1)),INDEX('AH History'!$C$5:$C$1380,$K1123))),NA()),NA())</f>
        <v/>
      </c>
      <c r="J1123" s="32">
        <f>IFERROR(IF(AND($F1123&gt;0,$H1123&gt;0,$A1123-$G1123&lt;=10,$A1123-$I1123&lt;=5,$G1123&gt;0,$I1123&gt;0),$F1123*$H1123,NA()),NA())</f>
        <v/>
      </c>
      <c r="K1123" s="15">
        <f>IF($A1123="","",IF(AH!$U$5=1,IFERROR(MATCH($A1123,'Live History'!$A$5:$A$3004,0),0),AH!$U$7+1118))</f>
        <v/>
      </c>
      <c r="L1123" s="15">
        <f>IF(ISNUMBER(A1123),TEXT(A1123,"dd-mmm-yy"),"")</f>
        <v/>
      </c>
    </row>
    <row r="1124">
      <c r="A1124" s="14">
        <f>IF(OR(AH!$U$4=0,1119+1&gt;AH!$U$6,AND(AH!$M$5="Bloomberg",AH!$U$5=0)),"",IFERROR(IF(AND(AH!$U$12=1,1119+1=AH!$U$6),TODAY(),IF(AH!$U$5=1,INDEX('Live History'!$A$5:$A$3004,AH!$U$7+1119),INDEX('AH History'!$A$5:$A$1380,AH!$U$7+1119))),""))</f>
        <v/>
      </c>
      <c r="B1124" s="33">
        <f>IFERROR(IF(AH!$U$11=1,NA(),$J1124/$E1124-1),NA())</f>
        <v/>
      </c>
      <c r="C1124" s="269">
        <f>IFERROR(100*$E1124/$E$5,NA())</f>
        <v/>
      </c>
      <c r="D1124" s="269">
        <f>IFERROR(100*$J1124/$J$5,NA())</f>
        <v/>
      </c>
      <c r="E1124" s="32">
        <f>IFERROR(IF(AND(ISNUMBER($A1124),N(IF(AND(AH!$U$12=1,1119+1=AH!$U$6),IF(AH!$U$4=0,"unavailable",INDEX('Market Data'!$AN$5:$AN$66,AH!$U$4)),IF(AH!$U$5=1,INDEX('Live History'!$B$5:$B$3004,$K1124),INDEX('AH History'!$D$5:$GG$1380,$K1124,AH!$U$10))))&gt;0),IF(AND(AH!$U$12=1,1119+1=AH!$U$6),IF(AH!$U$4=0,"unavailable",INDEX('Market Data'!$AN$5:$AN$66,AH!$U$4)),IF(AH!$U$5=1,INDEX('Live History'!$B$5:$B$3004,$K1124),INDEX('AH History'!$D$5:$GG$1380,$K1124,AH!$U$10))),NA()),NA())</f>
        <v/>
      </c>
      <c r="F1124" s="32">
        <f>IFERROR(IF(ISNUMBER($A1124),IF(AND(AH!$U$12=1,1119+1=AH!$U$6),IF(AH!$U$4=0,"unavailable",INDEX('Market Data'!$AO$5:$AO$66,AH!$U$4)),IF(AH!$U$5=1,INDEX('Live History'!$E$5:$E$3004,MATCH($A1124,'Live History'!$D$5:$D$3004,1)),INDEX('AH History'!$D$5:$GG$1380,$K1124,AH!$U$10+1))),NA()),NA())</f>
        <v/>
      </c>
      <c r="G1124" s="34">
        <f>IFERROR(IF(ISNUMBER($A1124),IF(AND(AH!$U$12=1,1119+1=AH!$U$6),IF(AH!$U$4=0,"unavailable",INDEX('Market Data'!$AK$5:$AK$66,AH!$U$4)),IF(AH!$U$5=1,INDEX('Live History'!$D$5:$D$3004,MATCH($A1124,'Live History'!$D$5:$D$3004,1)),INDEX('AH History'!$D$5:$GG$1380,$K1124,AH!$U$10+2))),NA()),NA())</f>
        <v/>
      </c>
      <c r="H1124" s="266">
        <f>IFERROR(IF(ISNUMBER($A1124),IF(AND(AH!$U$12=1,1119+1=AH!$U$6),IF(AH!$U$4=0,"unavailable",INDEX('Market Data'!$AP$5:$AP$66,AH!$U$4)),IF(AH!$U$5=1,INDEX('Live History'!$H$5:$H$3004,MATCH($A1124,'Live History'!$G$5:$G$3004,1)),INDEX('AH History'!$B$5:$B$1380,$K1124))),NA()),NA())</f>
        <v/>
      </c>
      <c r="I1124" s="34">
        <f>IFERROR(IF(ISNUMBER($A1124),IF(AND(AH!$U$12=1,1119+1=AH!$U$6),TODAY(),IF(AH!$U$5=1,INDEX('Live History'!$G$5:$G$3004,MATCH($A1124,'Live History'!$G$5:$G$3004,1)),INDEX('AH History'!$C$5:$C$1380,$K1124))),NA()),NA())</f>
        <v/>
      </c>
      <c r="J1124" s="32">
        <f>IFERROR(IF(AND($F1124&gt;0,$H1124&gt;0,$A1124-$G1124&lt;=10,$A1124-$I1124&lt;=5,$G1124&gt;0,$I1124&gt;0),$F1124*$H1124,NA()),NA())</f>
        <v/>
      </c>
      <c r="K1124" s="15">
        <f>IF($A1124="","",IF(AH!$U$5=1,IFERROR(MATCH($A1124,'Live History'!$A$5:$A$3004,0),0),AH!$U$7+1119))</f>
        <v/>
      </c>
      <c r="L1124" s="15">
        <f>IF(ISNUMBER(A1124),TEXT(A1124,"dd-mmm-yy"),"")</f>
        <v/>
      </c>
    </row>
    <row r="1125">
      <c r="A1125" s="14">
        <f>IF(OR(AH!$U$4=0,1120+1&gt;AH!$U$6,AND(AH!$M$5="Bloomberg",AH!$U$5=0)),"",IFERROR(IF(AND(AH!$U$12=1,1120+1=AH!$U$6),TODAY(),IF(AH!$U$5=1,INDEX('Live History'!$A$5:$A$3004,AH!$U$7+1120),INDEX('AH History'!$A$5:$A$1380,AH!$U$7+1120))),""))</f>
        <v/>
      </c>
      <c r="B1125" s="33">
        <f>IFERROR(IF(AH!$U$11=1,NA(),$J1125/$E1125-1),NA())</f>
        <v/>
      </c>
      <c r="C1125" s="269">
        <f>IFERROR(100*$E1125/$E$5,NA())</f>
        <v/>
      </c>
      <c r="D1125" s="269">
        <f>IFERROR(100*$J1125/$J$5,NA())</f>
        <v/>
      </c>
      <c r="E1125" s="32">
        <f>IFERROR(IF(AND(ISNUMBER($A1125),N(IF(AND(AH!$U$12=1,1120+1=AH!$U$6),IF(AH!$U$4=0,"unavailable",INDEX('Market Data'!$AN$5:$AN$66,AH!$U$4)),IF(AH!$U$5=1,INDEX('Live History'!$B$5:$B$3004,$K1125),INDEX('AH History'!$D$5:$GG$1380,$K1125,AH!$U$10))))&gt;0),IF(AND(AH!$U$12=1,1120+1=AH!$U$6),IF(AH!$U$4=0,"unavailable",INDEX('Market Data'!$AN$5:$AN$66,AH!$U$4)),IF(AH!$U$5=1,INDEX('Live History'!$B$5:$B$3004,$K1125),INDEX('AH History'!$D$5:$GG$1380,$K1125,AH!$U$10))),NA()),NA())</f>
        <v/>
      </c>
      <c r="F1125" s="32">
        <f>IFERROR(IF(ISNUMBER($A1125),IF(AND(AH!$U$12=1,1120+1=AH!$U$6),IF(AH!$U$4=0,"unavailable",INDEX('Market Data'!$AO$5:$AO$66,AH!$U$4)),IF(AH!$U$5=1,INDEX('Live History'!$E$5:$E$3004,MATCH($A1125,'Live History'!$D$5:$D$3004,1)),INDEX('AH History'!$D$5:$GG$1380,$K1125,AH!$U$10+1))),NA()),NA())</f>
        <v/>
      </c>
      <c r="G1125" s="34">
        <f>IFERROR(IF(ISNUMBER($A1125),IF(AND(AH!$U$12=1,1120+1=AH!$U$6),IF(AH!$U$4=0,"unavailable",INDEX('Market Data'!$AK$5:$AK$66,AH!$U$4)),IF(AH!$U$5=1,INDEX('Live History'!$D$5:$D$3004,MATCH($A1125,'Live History'!$D$5:$D$3004,1)),INDEX('AH History'!$D$5:$GG$1380,$K1125,AH!$U$10+2))),NA()),NA())</f>
        <v/>
      </c>
      <c r="H1125" s="266">
        <f>IFERROR(IF(ISNUMBER($A1125),IF(AND(AH!$U$12=1,1120+1=AH!$U$6),IF(AH!$U$4=0,"unavailable",INDEX('Market Data'!$AP$5:$AP$66,AH!$U$4)),IF(AH!$U$5=1,INDEX('Live History'!$H$5:$H$3004,MATCH($A1125,'Live History'!$G$5:$G$3004,1)),INDEX('AH History'!$B$5:$B$1380,$K1125))),NA()),NA())</f>
        <v/>
      </c>
      <c r="I1125" s="34">
        <f>IFERROR(IF(ISNUMBER($A1125),IF(AND(AH!$U$12=1,1120+1=AH!$U$6),TODAY(),IF(AH!$U$5=1,INDEX('Live History'!$G$5:$G$3004,MATCH($A1125,'Live History'!$G$5:$G$3004,1)),INDEX('AH History'!$C$5:$C$1380,$K1125))),NA()),NA())</f>
        <v/>
      </c>
      <c r="J1125" s="32">
        <f>IFERROR(IF(AND($F1125&gt;0,$H1125&gt;0,$A1125-$G1125&lt;=10,$A1125-$I1125&lt;=5,$G1125&gt;0,$I1125&gt;0),$F1125*$H1125,NA()),NA())</f>
        <v/>
      </c>
      <c r="K1125" s="15">
        <f>IF($A1125="","",IF(AH!$U$5=1,IFERROR(MATCH($A1125,'Live History'!$A$5:$A$3004,0),0),AH!$U$7+1120))</f>
        <v/>
      </c>
      <c r="L1125" s="15">
        <f>IF(ISNUMBER(A1125),TEXT(A1125,"dd-mmm-yy"),"")</f>
        <v/>
      </c>
    </row>
    <row r="1126">
      <c r="A1126" s="14">
        <f>IF(OR(AH!$U$4=0,1121+1&gt;AH!$U$6,AND(AH!$M$5="Bloomberg",AH!$U$5=0)),"",IFERROR(IF(AND(AH!$U$12=1,1121+1=AH!$U$6),TODAY(),IF(AH!$U$5=1,INDEX('Live History'!$A$5:$A$3004,AH!$U$7+1121),INDEX('AH History'!$A$5:$A$1380,AH!$U$7+1121))),""))</f>
        <v/>
      </c>
      <c r="B1126" s="33">
        <f>IFERROR(IF(AH!$U$11=1,NA(),$J1126/$E1126-1),NA())</f>
        <v/>
      </c>
      <c r="C1126" s="269">
        <f>IFERROR(100*$E1126/$E$5,NA())</f>
        <v/>
      </c>
      <c r="D1126" s="269">
        <f>IFERROR(100*$J1126/$J$5,NA())</f>
        <v/>
      </c>
      <c r="E1126" s="32">
        <f>IFERROR(IF(AND(ISNUMBER($A1126),N(IF(AND(AH!$U$12=1,1121+1=AH!$U$6),IF(AH!$U$4=0,"unavailable",INDEX('Market Data'!$AN$5:$AN$66,AH!$U$4)),IF(AH!$U$5=1,INDEX('Live History'!$B$5:$B$3004,$K1126),INDEX('AH History'!$D$5:$GG$1380,$K1126,AH!$U$10))))&gt;0),IF(AND(AH!$U$12=1,1121+1=AH!$U$6),IF(AH!$U$4=0,"unavailable",INDEX('Market Data'!$AN$5:$AN$66,AH!$U$4)),IF(AH!$U$5=1,INDEX('Live History'!$B$5:$B$3004,$K1126),INDEX('AH History'!$D$5:$GG$1380,$K1126,AH!$U$10))),NA()),NA())</f>
        <v/>
      </c>
      <c r="F1126" s="32">
        <f>IFERROR(IF(ISNUMBER($A1126),IF(AND(AH!$U$12=1,1121+1=AH!$U$6),IF(AH!$U$4=0,"unavailable",INDEX('Market Data'!$AO$5:$AO$66,AH!$U$4)),IF(AH!$U$5=1,INDEX('Live History'!$E$5:$E$3004,MATCH($A1126,'Live History'!$D$5:$D$3004,1)),INDEX('AH History'!$D$5:$GG$1380,$K1126,AH!$U$10+1))),NA()),NA())</f>
        <v/>
      </c>
      <c r="G1126" s="34">
        <f>IFERROR(IF(ISNUMBER($A1126),IF(AND(AH!$U$12=1,1121+1=AH!$U$6),IF(AH!$U$4=0,"unavailable",INDEX('Market Data'!$AK$5:$AK$66,AH!$U$4)),IF(AH!$U$5=1,INDEX('Live History'!$D$5:$D$3004,MATCH($A1126,'Live History'!$D$5:$D$3004,1)),INDEX('AH History'!$D$5:$GG$1380,$K1126,AH!$U$10+2))),NA()),NA())</f>
        <v/>
      </c>
      <c r="H1126" s="266">
        <f>IFERROR(IF(ISNUMBER($A1126),IF(AND(AH!$U$12=1,1121+1=AH!$U$6),IF(AH!$U$4=0,"unavailable",INDEX('Market Data'!$AP$5:$AP$66,AH!$U$4)),IF(AH!$U$5=1,INDEX('Live History'!$H$5:$H$3004,MATCH($A1126,'Live History'!$G$5:$G$3004,1)),INDEX('AH History'!$B$5:$B$1380,$K1126))),NA()),NA())</f>
        <v/>
      </c>
      <c r="I1126" s="34">
        <f>IFERROR(IF(ISNUMBER($A1126),IF(AND(AH!$U$12=1,1121+1=AH!$U$6),TODAY(),IF(AH!$U$5=1,INDEX('Live History'!$G$5:$G$3004,MATCH($A1126,'Live History'!$G$5:$G$3004,1)),INDEX('AH History'!$C$5:$C$1380,$K1126))),NA()),NA())</f>
        <v/>
      </c>
      <c r="J1126" s="32">
        <f>IFERROR(IF(AND($F1126&gt;0,$H1126&gt;0,$A1126-$G1126&lt;=10,$A1126-$I1126&lt;=5,$G1126&gt;0,$I1126&gt;0),$F1126*$H1126,NA()),NA())</f>
        <v/>
      </c>
      <c r="K1126" s="15">
        <f>IF($A1126="","",IF(AH!$U$5=1,IFERROR(MATCH($A1126,'Live History'!$A$5:$A$3004,0),0),AH!$U$7+1121))</f>
        <v/>
      </c>
      <c r="L1126" s="15">
        <f>IF(ISNUMBER(A1126),TEXT(A1126,"dd-mmm-yy"),"")</f>
        <v/>
      </c>
    </row>
    <row r="1127">
      <c r="A1127" s="14">
        <f>IF(OR(AH!$U$4=0,1122+1&gt;AH!$U$6,AND(AH!$M$5="Bloomberg",AH!$U$5=0)),"",IFERROR(IF(AND(AH!$U$12=1,1122+1=AH!$U$6),TODAY(),IF(AH!$U$5=1,INDEX('Live History'!$A$5:$A$3004,AH!$U$7+1122),INDEX('AH History'!$A$5:$A$1380,AH!$U$7+1122))),""))</f>
        <v/>
      </c>
      <c r="B1127" s="33">
        <f>IFERROR(IF(AH!$U$11=1,NA(),$J1127/$E1127-1),NA())</f>
        <v/>
      </c>
      <c r="C1127" s="269">
        <f>IFERROR(100*$E1127/$E$5,NA())</f>
        <v/>
      </c>
      <c r="D1127" s="269">
        <f>IFERROR(100*$J1127/$J$5,NA())</f>
        <v/>
      </c>
      <c r="E1127" s="32">
        <f>IFERROR(IF(AND(ISNUMBER($A1127),N(IF(AND(AH!$U$12=1,1122+1=AH!$U$6),IF(AH!$U$4=0,"unavailable",INDEX('Market Data'!$AN$5:$AN$66,AH!$U$4)),IF(AH!$U$5=1,INDEX('Live History'!$B$5:$B$3004,$K1127),INDEX('AH History'!$D$5:$GG$1380,$K1127,AH!$U$10))))&gt;0),IF(AND(AH!$U$12=1,1122+1=AH!$U$6),IF(AH!$U$4=0,"unavailable",INDEX('Market Data'!$AN$5:$AN$66,AH!$U$4)),IF(AH!$U$5=1,INDEX('Live History'!$B$5:$B$3004,$K1127),INDEX('AH History'!$D$5:$GG$1380,$K1127,AH!$U$10))),NA()),NA())</f>
        <v/>
      </c>
      <c r="F1127" s="32">
        <f>IFERROR(IF(ISNUMBER($A1127),IF(AND(AH!$U$12=1,1122+1=AH!$U$6),IF(AH!$U$4=0,"unavailable",INDEX('Market Data'!$AO$5:$AO$66,AH!$U$4)),IF(AH!$U$5=1,INDEX('Live History'!$E$5:$E$3004,MATCH($A1127,'Live History'!$D$5:$D$3004,1)),INDEX('AH History'!$D$5:$GG$1380,$K1127,AH!$U$10+1))),NA()),NA())</f>
        <v/>
      </c>
      <c r="G1127" s="34">
        <f>IFERROR(IF(ISNUMBER($A1127),IF(AND(AH!$U$12=1,1122+1=AH!$U$6),IF(AH!$U$4=0,"unavailable",INDEX('Market Data'!$AK$5:$AK$66,AH!$U$4)),IF(AH!$U$5=1,INDEX('Live History'!$D$5:$D$3004,MATCH($A1127,'Live History'!$D$5:$D$3004,1)),INDEX('AH History'!$D$5:$GG$1380,$K1127,AH!$U$10+2))),NA()),NA())</f>
        <v/>
      </c>
      <c r="H1127" s="266">
        <f>IFERROR(IF(ISNUMBER($A1127),IF(AND(AH!$U$12=1,1122+1=AH!$U$6),IF(AH!$U$4=0,"unavailable",INDEX('Market Data'!$AP$5:$AP$66,AH!$U$4)),IF(AH!$U$5=1,INDEX('Live History'!$H$5:$H$3004,MATCH($A1127,'Live History'!$G$5:$G$3004,1)),INDEX('AH History'!$B$5:$B$1380,$K1127))),NA()),NA())</f>
        <v/>
      </c>
      <c r="I1127" s="34">
        <f>IFERROR(IF(ISNUMBER($A1127),IF(AND(AH!$U$12=1,1122+1=AH!$U$6),TODAY(),IF(AH!$U$5=1,INDEX('Live History'!$G$5:$G$3004,MATCH($A1127,'Live History'!$G$5:$G$3004,1)),INDEX('AH History'!$C$5:$C$1380,$K1127))),NA()),NA())</f>
        <v/>
      </c>
      <c r="J1127" s="32">
        <f>IFERROR(IF(AND($F1127&gt;0,$H1127&gt;0,$A1127-$G1127&lt;=10,$A1127-$I1127&lt;=5,$G1127&gt;0,$I1127&gt;0),$F1127*$H1127,NA()),NA())</f>
        <v/>
      </c>
      <c r="K1127" s="15">
        <f>IF($A1127="","",IF(AH!$U$5=1,IFERROR(MATCH($A1127,'Live History'!$A$5:$A$3004,0),0),AH!$U$7+1122))</f>
        <v/>
      </c>
      <c r="L1127" s="15">
        <f>IF(ISNUMBER(A1127),TEXT(A1127,"dd-mmm-yy"),"")</f>
        <v/>
      </c>
    </row>
    <row r="1128">
      <c r="A1128" s="14">
        <f>IF(OR(AH!$U$4=0,1123+1&gt;AH!$U$6,AND(AH!$M$5="Bloomberg",AH!$U$5=0)),"",IFERROR(IF(AND(AH!$U$12=1,1123+1=AH!$U$6),TODAY(),IF(AH!$U$5=1,INDEX('Live History'!$A$5:$A$3004,AH!$U$7+1123),INDEX('AH History'!$A$5:$A$1380,AH!$U$7+1123))),""))</f>
        <v/>
      </c>
      <c r="B1128" s="33">
        <f>IFERROR(IF(AH!$U$11=1,NA(),$J1128/$E1128-1),NA())</f>
        <v/>
      </c>
      <c r="C1128" s="269">
        <f>IFERROR(100*$E1128/$E$5,NA())</f>
        <v/>
      </c>
      <c r="D1128" s="269">
        <f>IFERROR(100*$J1128/$J$5,NA())</f>
        <v/>
      </c>
      <c r="E1128" s="32">
        <f>IFERROR(IF(AND(ISNUMBER($A1128),N(IF(AND(AH!$U$12=1,1123+1=AH!$U$6),IF(AH!$U$4=0,"unavailable",INDEX('Market Data'!$AN$5:$AN$66,AH!$U$4)),IF(AH!$U$5=1,INDEX('Live History'!$B$5:$B$3004,$K1128),INDEX('AH History'!$D$5:$GG$1380,$K1128,AH!$U$10))))&gt;0),IF(AND(AH!$U$12=1,1123+1=AH!$U$6),IF(AH!$U$4=0,"unavailable",INDEX('Market Data'!$AN$5:$AN$66,AH!$U$4)),IF(AH!$U$5=1,INDEX('Live History'!$B$5:$B$3004,$K1128),INDEX('AH History'!$D$5:$GG$1380,$K1128,AH!$U$10))),NA()),NA())</f>
        <v/>
      </c>
      <c r="F1128" s="32">
        <f>IFERROR(IF(ISNUMBER($A1128),IF(AND(AH!$U$12=1,1123+1=AH!$U$6),IF(AH!$U$4=0,"unavailable",INDEX('Market Data'!$AO$5:$AO$66,AH!$U$4)),IF(AH!$U$5=1,INDEX('Live History'!$E$5:$E$3004,MATCH($A1128,'Live History'!$D$5:$D$3004,1)),INDEX('AH History'!$D$5:$GG$1380,$K1128,AH!$U$10+1))),NA()),NA())</f>
        <v/>
      </c>
      <c r="G1128" s="34">
        <f>IFERROR(IF(ISNUMBER($A1128),IF(AND(AH!$U$12=1,1123+1=AH!$U$6),IF(AH!$U$4=0,"unavailable",INDEX('Market Data'!$AK$5:$AK$66,AH!$U$4)),IF(AH!$U$5=1,INDEX('Live History'!$D$5:$D$3004,MATCH($A1128,'Live History'!$D$5:$D$3004,1)),INDEX('AH History'!$D$5:$GG$1380,$K1128,AH!$U$10+2))),NA()),NA())</f>
        <v/>
      </c>
      <c r="H1128" s="266">
        <f>IFERROR(IF(ISNUMBER($A1128),IF(AND(AH!$U$12=1,1123+1=AH!$U$6),IF(AH!$U$4=0,"unavailable",INDEX('Market Data'!$AP$5:$AP$66,AH!$U$4)),IF(AH!$U$5=1,INDEX('Live History'!$H$5:$H$3004,MATCH($A1128,'Live History'!$G$5:$G$3004,1)),INDEX('AH History'!$B$5:$B$1380,$K1128))),NA()),NA())</f>
        <v/>
      </c>
      <c r="I1128" s="34">
        <f>IFERROR(IF(ISNUMBER($A1128),IF(AND(AH!$U$12=1,1123+1=AH!$U$6),TODAY(),IF(AH!$U$5=1,INDEX('Live History'!$G$5:$G$3004,MATCH($A1128,'Live History'!$G$5:$G$3004,1)),INDEX('AH History'!$C$5:$C$1380,$K1128))),NA()),NA())</f>
        <v/>
      </c>
      <c r="J1128" s="32">
        <f>IFERROR(IF(AND($F1128&gt;0,$H1128&gt;0,$A1128-$G1128&lt;=10,$A1128-$I1128&lt;=5,$G1128&gt;0,$I1128&gt;0),$F1128*$H1128,NA()),NA())</f>
        <v/>
      </c>
      <c r="K1128" s="15">
        <f>IF($A1128="","",IF(AH!$U$5=1,IFERROR(MATCH($A1128,'Live History'!$A$5:$A$3004,0),0),AH!$U$7+1123))</f>
        <v/>
      </c>
      <c r="L1128" s="15">
        <f>IF(ISNUMBER(A1128),TEXT(A1128,"dd-mmm-yy"),"")</f>
        <v/>
      </c>
    </row>
    <row r="1129">
      <c r="A1129" s="14">
        <f>IF(OR(AH!$U$4=0,1124+1&gt;AH!$U$6,AND(AH!$M$5="Bloomberg",AH!$U$5=0)),"",IFERROR(IF(AND(AH!$U$12=1,1124+1=AH!$U$6),TODAY(),IF(AH!$U$5=1,INDEX('Live History'!$A$5:$A$3004,AH!$U$7+1124),INDEX('AH History'!$A$5:$A$1380,AH!$U$7+1124))),""))</f>
        <v/>
      </c>
      <c r="B1129" s="33">
        <f>IFERROR(IF(AH!$U$11=1,NA(),$J1129/$E1129-1),NA())</f>
        <v/>
      </c>
      <c r="C1129" s="269">
        <f>IFERROR(100*$E1129/$E$5,NA())</f>
        <v/>
      </c>
      <c r="D1129" s="269">
        <f>IFERROR(100*$J1129/$J$5,NA())</f>
        <v/>
      </c>
      <c r="E1129" s="32">
        <f>IFERROR(IF(AND(ISNUMBER($A1129),N(IF(AND(AH!$U$12=1,1124+1=AH!$U$6),IF(AH!$U$4=0,"unavailable",INDEX('Market Data'!$AN$5:$AN$66,AH!$U$4)),IF(AH!$U$5=1,INDEX('Live History'!$B$5:$B$3004,$K1129),INDEX('AH History'!$D$5:$GG$1380,$K1129,AH!$U$10))))&gt;0),IF(AND(AH!$U$12=1,1124+1=AH!$U$6),IF(AH!$U$4=0,"unavailable",INDEX('Market Data'!$AN$5:$AN$66,AH!$U$4)),IF(AH!$U$5=1,INDEX('Live History'!$B$5:$B$3004,$K1129),INDEX('AH History'!$D$5:$GG$1380,$K1129,AH!$U$10))),NA()),NA())</f>
        <v/>
      </c>
      <c r="F1129" s="32">
        <f>IFERROR(IF(ISNUMBER($A1129),IF(AND(AH!$U$12=1,1124+1=AH!$U$6),IF(AH!$U$4=0,"unavailable",INDEX('Market Data'!$AO$5:$AO$66,AH!$U$4)),IF(AH!$U$5=1,INDEX('Live History'!$E$5:$E$3004,MATCH($A1129,'Live History'!$D$5:$D$3004,1)),INDEX('AH History'!$D$5:$GG$1380,$K1129,AH!$U$10+1))),NA()),NA())</f>
        <v/>
      </c>
      <c r="G1129" s="34">
        <f>IFERROR(IF(ISNUMBER($A1129),IF(AND(AH!$U$12=1,1124+1=AH!$U$6),IF(AH!$U$4=0,"unavailable",INDEX('Market Data'!$AK$5:$AK$66,AH!$U$4)),IF(AH!$U$5=1,INDEX('Live History'!$D$5:$D$3004,MATCH($A1129,'Live History'!$D$5:$D$3004,1)),INDEX('AH History'!$D$5:$GG$1380,$K1129,AH!$U$10+2))),NA()),NA())</f>
        <v/>
      </c>
      <c r="H1129" s="266">
        <f>IFERROR(IF(ISNUMBER($A1129),IF(AND(AH!$U$12=1,1124+1=AH!$U$6),IF(AH!$U$4=0,"unavailable",INDEX('Market Data'!$AP$5:$AP$66,AH!$U$4)),IF(AH!$U$5=1,INDEX('Live History'!$H$5:$H$3004,MATCH($A1129,'Live History'!$G$5:$G$3004,1)),INDEX('AH History'!$B$5:$B$1380,$K1129))),NA()),NA())</f>
        <v/>
      </c>
      <c r="I1129" s="34">
        <f>IFERROR(IF(ISNUMBER($A1129),IF(AND(AH!$U$12=1,1124+1=AH!$U$6),TODAY(),IF(AH!$U$5=1,INDEX('Live History'!$G$5:$G$3004,MATCH($A1129,'Live History'!$G$5:$G$3004,1)),INDEX('AH History'!$C$5:$C$1380,$K1129))),NA()),NA())</f>
        <v/>
      </c>
      <c r="J1129" s="32">
        <f>IFERROR(IF(AND($F1129&gt;0,$H1129&gt;0,$A1129-$G1129&lt;=10,$A1129-$I1129&lt;=5,$G1129&gt;0,$I1129&gt;0),$F1129*$H1129,NA()),NA())</f>
        <v/>
      </c>
      <c r="K1129" s="15">
        <f>IF($A1129="","",IF(AH!$U$5=1,IFERROR(MATCH($A1129,'Live History'!$A$5:$A$3004,0),0),AH!$U$7+1124))</f>
        <v/>
      </c>
      <c r="L1129" s="15">
        <f>IF(ISNUMBER(A1129),TEXT(A1129,"dd-mmm-yy"),"")</f>
        <v/>
      </c>
    </row>
    <row r="1130">
      <c r="A1130" s="14">
        <f>IF(OR(AH!$U$4=0,1125+1&gt;AH!$U$6,AND(AH!$M$5="Bloomberg",AH!$U$5=0)),"",IFERROR(IF(AND(AH!$U$12=1,1125+1=AH!$U$6),TODAY(),IF(AH!$U$5=1,INDEX('Live History'!$A$5:$A$3004,AH!$U$7+1125),INDEX('AH History'!$A$5:$A$1380,AH!$U$7+1125))),""))</f>
        <v/>
      </c>
      <c r="B1130" s="33">
        <f>IFERROR(IF(AH!$U$11=1,NA(),$J1130/$E1130-1),NA())</f>
        <v/>
      </c>
      <c r="C1130" s="269">
        <f>IFERROR(100*$E1130/$E$5,NA())</f>
        <v/>
      </c>
      <c r="D1130" s="269">
        <f>IFERROR(100*$J1130/$J$5,NA())</f>
        <v/>
      </c>
      <c r="E1130" s="32">
        <f>IFERROR(IF(AND(ISNUMBER($A1130),N(IF(AND(AH!$U$12=1,1125+1=AH!$U$6),IF(AH!$U$4=0,"unavailable",INDEX('Market Data'!$AN$5:$AN$66,AH!$U$4)),IF(AH!$U$5=1,INDEX('Live History'!$B$5:$B$3004,$K1130),INDEX('AH History'!$D$5:$GG$1380,$K1130,AH!$U$10))))&gt;0),IF(AND(AH!$U$12=1,1125+1=AH!$U$6),IF(AH!$U$4=0,"unavailable",INDEX('Market Data'!$AN$5:$AN$66,AH!$U$4)),IF(AH!$U$5=1,INDEX('Live History'!$B$5:$B$3004,$K1130),INDEX('AH History'!$D$5:$GG$1380,$K1130,AH!$U$10))),NA()),NA())</f>
        <v/>
      </c>
      <c r="F1130" s="32">
        <f>IFERROR(IF(ISNUMBER($A1130),IF(AND(AH!$U$12=1,1125+1=AH!$U$6),IF(AH!$U$4=0,"unavailable",INDEX('Market Data'!$AO$5:$AO$66,AH!$U$4)),IF(AH!$U$5=1,INDEX('Live History'!$E$5:$E$3004,MATCH($A1130,'Live History'!$D$5:$D$3004,1)),INDEX('AH History'!$D$5:$GG$1380,$K1130,AH!$U$10+1))),NA()),NA())</f>
        <v/>
      </c>
      <c r="G1130" s="34">
        <f>IFERROR(IF(ISNUMBER($A1130),IF(AND(AH!$U$12=1,1125+1=AH!$U$6),IF(AH!$U$4=0,"unavailable",INDEX('Market Data'!$AK$5:$AK$66,AH!$U$4)),IF(AH!$U$5=1,INDEX('Live History'!$D$5:$D$3004,MATCH($A1130,'Live History'!$D$5:$D$3004,1)),INDEX('AH History'!$D$5:$GG$1380,$K1130,AH!$U$10+2))),NA()),NA())</f>
        <v/>
      </c>
      <c r="H1130" s="266">
        <f>IFERROR(IF(ISNUMBER($A1130),IF(AND(AH!$U$12=1,1125+1=AH!$U$6),IF(AH!$U$4=0,"unavailable",INDEX('Market Data'!$AP$5:$AP$66,AH!$U$4)),IF(AH!$U$5=1,INDEX('Live History'!$H$5:$H$3004,MATCH($A1130,'Live History'!$G$5:$G$3004,1)),INDEX('AH History'!$B$5:$B$1380,$K1130))),NA()),NA())</f>
        <v/>
      </c>
      <c r="I1130" s="34">
        <f>IFERROR(IF(ISNUMBER($A1130),IF(AND(AH!$U$12=1,1125+1=AH!$U$6),TODAY(),IF(AH!$U$5=1,INDEX('Live History'!$G$5:$G$3004,MATCH($A1130,'Live History'!$G$5:$G$3004,1)),INDEX('AH History'!$C$5:$C$1380,$K1130))),NA()),NA())</f>
        <v/>
      </c>
      <c r="J1130" s="32">
        <f>IFERROR(IF(AND($F1130&gt;0,$H1130&gt;0,$A1130-$G1130&lt;=10,$A1130-$I1130&lt;=5,$G1130&gt;0,$I1130&gt;0),$F1130*$H1130,NA()),NA())</f>
        <v/>
      </c>
      <c r="K1130" s="15">
        <f>IF($A1130="","",IF(AH!$U$5=1,IFERROR(MATCH($A1130,'Live History'!$A$5:$A$3004,0),0),AH!$U$7+1125))</f>
        <v/>
      </c>
      <c r="L1130" s="15">
        <f>IF(ISNUMBER(A1130),TEXT(A1130,"dd-mmm-yy"),"")</f>
        <v/>
      </c>
    </row>
    <row r="1131">
      <c r="A1131" s="14">
        <f>IF(OR(AH!$U$4=0,1126+1&gt;AH!$U$6,AND(AH!$M$5="Bloomberg",AH!$U$5=0)),"",IFERROR(IF(AND(AH!$U$12=1,1126+1=AH!$U$6),TODAY(),IF(AH!$U$5=1,INDEX('Live History'!$A$5:$A$3004,AH!$U$7+1126),INDEX('AH History'!$A$5:$A$1380,AH!$U$7+1126))),""))</f>
        <v/>
      </c>
      <c r="B1131" s="33">
        <f>IFERROR(IF(AH!$U$11=1,NA(),$J1131/$E1131-1),NA())</f>
        <v/>
      </c>
      <c r="C1131" s="269">
        <f>IFERROR(100*$E1131/$E$5,NA())</f>
        <v/>
      </c>
      <c r="D1131" s="269">
        <f>IFERROR(100*$J1131/$J$5,NA())</f>
        <v/>
      </c>
      <c r="E1131" s="32">
        <f>IFERROR(IF(AND(ISNUMBER($A1131),N(IF(AND(AH!$U$12=1,1126+1=AH!$U$6),IF(AH!$U$4=0,"unavailable",INDEX('Market Data'!$AN$5:$AN$66,AH!$U$4)),IF(AH!$U$5=1,INDEX('Live History'!$B$5:$B$3004,$K1131),INDEX('AH History'!$D$5:$GG$1380,$K1131,AH!$U$10))))&gt;0),IF(AND(AH!$U$12=1,1126+1=AH!$U$6),IF(AH!$U$4=0,"unavailable",INDEX('Market Data'!$AN$5:$AN$66,AH!$U$4)),IF(AH!$U$5=1,INDEX('Live History'!$B$5:$B$3004,$K1131),INDEX('AH History'!$D$5:$GG$1380,$K1131,AH!$U$10))),NA()),NA())</f>
        <v/>
      </c>
      <c r="F1131" s="32">
        <f>IFERROR(IF(ISNUMBER($A1131),IF(AND(AH!$U$12=1,1126+1=AH!$U$6),IF(AH!$U$4=0,"unavailable",INDEX('Market Data'!$AO$5:$AO$66,AH!$U$4)),IF(AH!$U$5=1,INDEX('Live History'!$E$5:$E$3004,MATCH($A1131,'Live History'!$D$5:$D$3004,1)),INDEX('AH History'!$D$5:$GG$1380,$K1131,AH!$U$10+1))),NA()),NA())</f>
        <v/>
      </c>
      <c r="G1131" s="34">
        <f>IFERROR(IF(ISNUMBER($A1131),IF(AND(AH!$U$12=1,1126+1=AH!$U$6),IF(AH!$U$4=0,"unavailable",INDEX('Market Data'!$AK$5:$AK$66,AH!$U$4)),IF(AH!$U$5=1,INDEX('Live History'!$D$5:$D$3004,MATCH($A1131,'Live History'!$D$5:$D$3004,1)),INDEX('AH History'!$D$5:$GG$1380,$K1131,AH!$U$10+2))),NA()),NA())</f>
        <v/>
      </c>
      <c r="H1131" s="266">
        <f>IFERROR(IF(ISNUMBER($A1131),IF(AND(AH!$U$12=1,1126+1=AH!$U$6),IF(AH!$U$4=0,"unavailable",INDEX('Market Data'!$AP$5:$AP$66,AH!$U$4)),IF(AH!$U$5=1,INDEX('Live History'!$H$5:$H$3004,MATCH($A1131,'Live History'!$G$5:$G$3004,1)),INDEX('AH History'!$B$5:$B$1380,$K1131))),NA()),NA())</f>
        <v/>
      </c>
      <c r="I1131" s="34">
        <f>IFERROR(IF(ISNUMBER($A1131),IF(AND(AH!$U$12=1,1126+1=AH!$U$6),TODAY(),IF(AH!$U$5=1,INDEX('Live History'!$G$5:$G$3004,MATCH($A1131,'Live History'!$G$5:$G$3004,1)),INDEX('AH History'!$C$5:$C$1380,$K1131))),NA()),NA())</f>
        <v/>
      </c>
      <c r="J1131" s="32">
        <f>IFERROR(IF(AND($F1131&gt;0,$H1131&gt;0,$A1131-$G1131&lt;=10,$A1131-$I1131&lt;=5,$G1131&gt;0,$I1131&gt;0),$F1131*$H1131,NA()),NA())</f>
        <v/>
      </c>
      <c r="K1131" s="15">
        <f>IF($A1131="","",IF(AH!$U$5=1,IFERROR(MATCH($A1131,'Live History'!$A$5:$A$3004,0),0),AH!$U$7+1126))</f>
        <v/>
      </c>
      <c r="L1131" s="15">
        <f>IF(ISNUMBER(A1131),TEXT(A1131,"dd-mmm-yy"),"")</f>
        <v/>
      </c>
    </row>
    <row r="1132">
      <c r="A1132" s="14">
        <f>IF(OR(AH!$U$4=0,1127+1&gt;AH!$U$6,AND(AH!$M$5="Bloomberg",AH!$U$5=0)),"",IFERROR(IF(AND(AH!$U$12=1,1127+1=AH!$U$6),TODAY(),IF(AH!$U$5=1,INDEX('Live History'!$A$5:$A$3004,AH!$U$7+1127),INDEX('AH History'!$A$5:$A$1380,AH!$U$7+1127))),""))</f>
        <v/>
      </c>
      <c r="B1132" s="33">
        <f>IFERROR(IF(AH!$U$11=1,NA(),$J1132/$E1132-1),NA())</f>
        <v/>
      </c>
      <c r="C1132" s="269">
        <f>IFERROR(100*$E1132/$E$5,NA())</f>
        <v/>
      </c>
      <c r="D1132" s="269">
        <f>IFERROR(100*$J1132/$J$5,NA())</f>
        <v/>
      </c>
      <c r="E1132" s="32">
        <f>IFERROR(IF(AND(ISNUMBER($A1132),N(IF(AND(AH!$U$12=1,1127+1=AH!$U$6),IF(AH!$U$4=0,"unavailable",INDEX('Market Data'!$AN$5:$AN$66,AH!$U$4)),IF(AH!$U$5=1,INDEX('Live History'!$B$5:$B$3004,$K1132),INDEX('AH History'!$D$5:$GG$1380,$K1132,AH!$U$10))))&gt;0),IF(AND(AH!$U$12=1,1127+1=AH!$U$6),IF(AH!$U$4=0,"unavailable",INDEX('Market Data'!$AN$5:$AN$66,AH!$U$4)),IF(AH!$U$5=1,INDEX('Live History'!$B$5:$B$3004,$K1132),INDEX('AH History'!$D$5:$GG$1380,$K1132,AH!$U$10))),NA()),NA())</f>
        <v/>
      </c>
      <c r="F1132" s="32">
        <f>IFERROR(IF(ISNUMBER($A1132),IF(AND(AH!$U$12=1,1127+1=AH!$U$6),IF(AH!$U$4=0,"unavailable",INDEX('Market Data'!$AO$5:$AO$66,AH!$U$4)),IF(AH!$U$5=1,INDEX('Live History'!$E$5:$E$3004,MATCH($A1132,'Live History'!$D$5:$D$3004,1)),INDEX('AH History'!$D$5:$GG$1380,$K1132,AH!$U$10+1))),NA()),NA())</f>
        <v/>
      </c>
      <c r="G1132" s="34">
        <f>IFERROR(IF(ISNUMBER($A1132),IF(AND(AH!$U$12=1,1127+1=AH!$U$6),IF(AH!$U$4=0,"unavailable",INDEX('Market Data'!$AK$5:$AK$66,AH!$U$4)),IF(AH!$U$5=1,INDEX('Live History'!$D$5:$D$3004,MATCH($A1132,'Live History'!$D$5:$D$3004,1)),INDEX('AH History'!$D$5:$GG$1380,$K1132,AH!$U$10+2))),NA()),NA())</f>
        <v/>
      </c>
      <c r="H1132" s="266">
        <f>IFERROR(IF(ISNUMBER($A1132),IF(AND(AH!$U$12=1,1127+1=AH!$U$6),IF(AH!$U$4=0,"unavailable",INDEX('Market Data'!$AP$5:$AP$66,AH!$U$4)),IF(AH!$U$5=1,INDEX('Live History'!$H$5:$H$3004,MATCH($A1132,'Live History'!$G$5:$G$3004,1)),INDEX('AH History'!$B$5:$B$1380,$K1132))),NA()),NA())</f>
        <v/>
      </c>
      <c r="I1132" s="34">
        <f>IFERROR(IF(ISNUMBER($A1132),IF(AND(AH!$U$12=1,1127+1=AH!$U$6),TODAY(),IF(AH!$U$5=1,INDEX('Live History'!$G$5:$G$3004,MATCH($A1132,'Live History'!$G$5:$G$3004,1)),INDEX('AH History'!$C$5:$C$1380,$K1132))),NA()),NA())</f>
        <v/>
      </c>
      <c r="J1132" s="32">
        <f>IFERROR(IF(AND($F1132&gt;0,$H1132&gt;0,$A1132-$G1132&lt;=10,$A1132-$I1132&lt;=5,$G1132&gt;0,$I1132&gt;0),$F1132*$H1132,NA()),NA())</f>
        <v/>
      </c>
      <c r="K1132" s="15">
        <f>IF($A1132="","",IF(AH!$U$5=1,IFERROR(MATCH($A1132,'Live History'!$A$5:$A$3004,0),0),AH!$U$7+1127))</f>
        <v/>
      </c>
      <c r="L1132" s="15">
        <f>IF(ISNUMBER(A1132),TEXT(A1132,"dd-mmm-yy"),"")</f>
        <v/>
      </c>
    </row>
    <row r="1133">
      <c r="A1133" s="14">
        <f>IF(OR(AH!$U$4=0,1128+1&gt;AH!$U$6,AND(AH!$M$5="Bloomberg",AH!$U$5=0)),"",IFERROR(IF(AND(AH!$U$12=1,1128+1=AH!$U$6),TODAY(),IF(AH!$U$5=1,INDEX('Live History'!$A$5:$A$3004,AH!$U$7+1128),INDEX('AH History'!$A$5:$A$1380,AH!$U$7+1128))),""))</f>
        <v/>
      </c>
      <c r="B1133" s="33">
        <f>IFERROR(IF(AH!$U$11=1,NA(),$J1133/$E1133-1),NA())</f>
        <v/>
      </c>
      <c r="C1133" s="269">
        <f>IFERROR(100*$E1133/$E$5,NA())</f>
        <v/>
      </c>
      <c r="D1133" s="269">
        <f>IFERROR(100*$J1133/$J$5,NA())</f>
        <v/>
      </c>
      <c r="E1133" s="32">
        <f>IFERROR(IF(AND(ISNUMBER($A1133),N(IF(AND(AH!$U$12=1,1128+1=AH!$U$6),IF(AH!$U$4=0,"unavailable",INDEX('Market Data'!$AN$5:$AN$66,AH!$U$4)),IF(AH!$U$5=1,INDEX('Live History'!$B$5:$B$3004,$K1133),INDEX('AH History'!$D$5:$GG$1380,$K1133,AH!$U$10))))&gt;0),IF(AND(AH!$U$12=1,1128+1=AH!$U$6),IF(AH!$U$4=0,"unavailable",INDEX('Market Data'!$AN$5:$AN$66,AH!$U$4)),IF(AH!$U$5=1,INDEX('Live History'!$B$5:$B$3004,$K1133),INDEX('AH History'!$D$5:$GG$1380,$K1133,AH!$U$10))),NA()),NA())</f>
        <v/>
      </c>
      <c r="F1133" s="32">
        <f>IFERROR(IF(ISNUMBER($A1133),IF(AND(AH!$U$12=1,1128+1=AH!$U$6),IF(AH!$U$4=0,"unavailable",INDEX('Market Data'!$AO$5:$AO$66,AH!$U$4)),IF(AH!$U$5=1,INDEX('Live History'!$E$5:$E$3004,MATCH($A1133,'Live History'!$D$5:$D$3004,1)),INDEX('AH History'!$D$5:$GG$1380,$K1133,AH!$U$10+1))),NA()),NA())</f>
        <v/>
      </c>
      <c r="G1133" s="34">
        <f>IFERROR(IF(ISNUMBER($A1133),IF(AND(AH!$U$12=1,1128+1=AH!$U$6),IF(AH!$U$4=0,"unavailable",INDEX('Market Data'!$AK$5:$AK$66,AH!$U$4)),IF(AH!$U$5=1,INDEX('Live History'!$D$5:$D$3004,MATCH($A1133,'Live History'!$D$5:$D$3004,1)),INDEX('AH History'!$D$5:$GG$1380,$K1133,AH!$U$10+2))),NA()),NA())</f>
        <v/>
      </c>
      <c r="H1133" s="266">
        <f>IFERROR(IF(ISNUMBER($A1133),IF(AND(AH!$U$12=1,1128+1=AH!$U$6),IF(AH!$U$4=0,"unavailable",INDEX('Market Data'!$AP$5:$AP$66,AH!$U$4)),IF(AH!$U$5=1,INDEX('Live History'!$H$5:$H$3004,MATCH($A1133,'Live History'!$G$5:$G$3004,1)),INDEX('AH History'!$B$5:$B$1380,$K1133))),NA()),NA())</f>
        <v/>
      </c>
      <c r="I1133" s="34">
        <f>IFERROR(IF(ISNUMBER($A1133),IF(AND(AH!$U$12=1,1128+1=AH!$U$6),TODAY(),IF(AH!$U$5=1,INDEX('Live History'!$G$5:$G$3004,MATCH($A1133,'Live History'!$G$5:$G$3004,1)),INDEX('AH History'!$C$5:$C$1380,$K1133))),NA()),NA())</f>
        <v/>
      </c>
      <c r="J1133" s="32">
        <f>IFERROR(IF(AND($F1133&gt;0,$H1133&gt;0,$A1133-$G1133&lt;=10,$A1133-$I1133&lt;=5,$G1133&gt;0,$I1133&gt;0),$F1133*$H1133,NA()),NA())</f>
        <v/>
      </c>
      <c r="K1133" s="15">
        <f>IF($A1133="","",IF(AH!$U$5=1,IFERROR(MATCH($A1133,'Live History'!$A$5:$A$3004,0),0),AH!$U$7+1128))</f>
        <v/>
      </c>
      <c r="L1133" s="15">
        <f>IF(ISNUMBER(A1133),TEXT(A1133,"dd-mmm-yy"),"")</f>
        <v/>
      </c>
    </row>
    <row r="1134">
      <c r="A1134" s="14">
        <f>IF(OR(AH!$U$4=0,1129+1&gt;AH!$U$6,AND(AH!$M$5="Bloomberg",AH!$U$5=0)),"",IFERROR(IF(AND(AH!$U$12=1,1129+1=AH!$U$6),TODAY(),IF(AH!$U$5=1,INDEX('Live History'!$A$5:$A$3004,AH!$U$7+1129),INDEX('AH History'!$A$5:$A$1380,AH!$U$7+1129))),""))</f>
        <v/>
      </c>
      <c r="B1134" s="33">
        <f>IFERROR(IF(AH!$U$11=1,NA(),$J1134/$E1134-1),NA())</f>
        <v/>
      </c>
      <c r="C1134" s="269">
        <f>IFERROR(100*$E1134/$E$5,NA())</f>
        <v/>
      </c>
      <c r="D1134" s="269">
        <f>IFERROR(100*$J1134/$J$5,NA())</f>
        <v/>
      </c>
      <c r="E1134" s="32">
        <f>IFERROR(IF(AND(ISNUMBER($A1134),N(IF(AND(AH!$U$12=1,1129+1=AH!$U$6),IF(AH!$U$4=0,"unavailable",INDEX('Market Data'!$AN$5:$AN$66,AH!$U$4)),IF(AH!$U$5=1,INDEX('Live History'!$B$5:$B$3004,$K1134),INDEX('AH History'!$D$5:$GG$1380,$K1134,AH!$U$10))))&gt;0),IF(AND(AH!$U$12=1,1129+1=AH!$U$6),IF(AH!$U$4=0,"unavailable",INDEX('Market Data'!$AN$5:$AN$66,AH!$U$4)),IF(AH!$U$5=1,INDEX('Live History'!$B$5:$B$3004,$K1134),INDEX('AH History'!$D$5:$GG$1380,$K1134,AH!$U$10))),NA()),NA())</f>
        <v/>
      </c>
      <c r="F1134" s="32">
        <f>IFERROR(IF(ISNUMBER($A1134),IF(AND(AH!$U$12=1,1129+1=AH!$U$6),IF(AH!$U$4=0,"unavailable",INDEX('Market Data'!$AO$5:$AO$66,AH!$U$4)),IF(AH!$U$5=1,INDEX('Live History'!$E$5:$E$3004,MATCH($A1134,'Live History'!$D$5:$D$3004,1)),INDEX('AH History'!$D$5:$GG$1380,$K1134,AH!$U$10+1))),NA()),NA())</f>
        <v/>
      </c>
      <c r="G1134" s="34">
        <f>IFERROR(IF(ISNUMBER($A1134),IF(AND(AH!$U$12=1,1129+1=AH!$U$6),IF(AH!$U$4=0,"unavailable",INDEX('Market Data'!$AK$5:$AK$66,AH!$U$4)),IF(AH!$U$5=1,INDEX('Live History'!$D$5:$D$3004,MATCH($A1134,'Live History'!$D$5:$D$3004,1)),INDEX('AH History'!$D$5:$GG$1380,$K1134,AH!$U$10+2))),NA()),NA())</f>
        <v/>
      </c>
      <c r="H1134" s="266">
        <f>IFERROR(IF(ISNUMBER($A1134),IF(AND(AH!$U$12=1,1129+1=AH!$U$6),IF(AH!$U$4=0,"unavailable",INDEX('Market Data'!$AP$5:$AP$66,AH!$U$4)),IF(AH!$U$5=1,INDEX('Live History'!$H$5:$H$3004,MATCH($A1134,'Live History'!$G$5:$G$3004,1)),INDEX('AH History'!$B$5:$B$1380,$K1134))),NA()),NA())</f>
        <v/>
      </c>
      <c r="I1134" s="34">
        <f>IFERROR(IF(ISNUMBER($A1134),IF(AND(AH!$U$12=1,1129+1=AH!$U$6),TODAY(),IF(AH!$U$5=1,INDEX('Live History'!$G$5:$G$3004,MATCH($A1134,'Live History'!$G$5:$G$3004,1)),INDEX('AH History'!$C$5:$C$1380,$K1134))),NA()),NA())</f>
        <v/>
      </c>
      <c r="J1134" s="32">
        <f>IFERROR(IF(AND($F1134&gt;0,$H1134&gt;0,$A1134-$G1134&lt;=10,$A1134-$I1134&lt;=5,$G1134&gt;0,$I1134&gt;0),$F1134*$H1134,NA()),NA())</f>
        <v/>
      </c>
      <c r="K1134" s="15">
        <f>IF($A1134="","",IF(AH!$U$5=1,IFERROR(MATCH($A1134,'Live History'!$A$5:$A$3004,0),0),AH!$U$7+1129))</f>
        <v/>
      </c>
      <c r="L1134" s="15">
        <f>IF(ISNUMBER(A1134),TEXT(A1134,"dd-mmm-yy"),"")</f>
        <v/>
      </c>
    </row>
    <row r="1135">
      <c r="A1135" s="14">
        <f>IF(OR(AH!$U$4=0,1130+1&gt;AH!$U$6,AND(AH!$M$5="Bloomberg",AH!$U$5=0)),"",IFERROR(IF(AND(AH!$U$12=1,1130+1=AH!$U$6),TODAY(),IF(AH!$U$5=1,INDEX('Live History'!$A$5:$A$3004,AH!$U$7+1130),INDEX('AH History'!$A$5:$A$1380,AH!$U$7+1130))),""))</f>
        <v/>
      </c>
      <c r="B1135" s="33">
        <f>IFERROR(IF(AH!$U$11=1,NA(),$J1135/$E1135-1),NA())</f>
        <v/>
      </c>
      <c r="C1135" s="269">
        <f>IFERROR(100*$E1135/$E$5,NA())</f>
        <v/>
      </c>
      <c r="D1135" s="269">
        <f>IFERROR(100*$J1135/$J$5,NA())</f>
        <v/>
      </c>
      <c r="E1135" s="32">
        <f>IFERROR(IF(AND(ISNUMBER($A1135),N(IF(AND(AH!$U$12=1,1130+1=AH!$U$6),IF(AH!$U$4=0,"unavailable",INDEX('Market Data'!$AN$5:$AN$66,AH!$U$4)),IF(AH!$U$5=1,INDEX('Live History'!$B$5:$B$3004,$K1135),INDEX('AH History'!$D$5:$GG$1380,$K1135,AH!$U$10))))&gt;0),IF(AND(AH!$U$12=1,1130+1=AH!$U$6),IF(AH!$U$4=0,"unavailable",INDEX('Market Data'!$AN$5:$AN$66,AH!$U$4)),IF(AH!$U$5=1,INDEX('Live History'!$B$5:$B$3004,$K1135),INDEX('AH History'!$D$5:$GG$1380,$K1135,AH!$U$10))),NA()),NA())</f>
        <v/>
      </c>
      <c r="F1135" s="32">
        <f>IFERROR(IF(ISNUMBER($A1135),IF(AND(AH!$U$12=1,1130+1=AH!$U$6),IF(AH!$U$4=0,"unavailable",INDEX('Market Data'!$AO$5:$AO$66,AH!$U$4)),IF(AH!$U$5=1,INDEX('Live History'!$E$5:$E$3004,MATCH($A1135,'Live History'!$D$5:$D$3004,1)),INDEX('AH History'!$D$5:$GG$1380,$K1135,AH!$U$10+1))),NA()),NA())</f>
        <v/>
      </c>
      <c r="G1135" s="34">
        <f>IFERROR(IF(ISNUMBER($A1135),IF(AND(AH!$U$12=1,1130+1=AH!$U$6),IF(AH!$U$4=0,"unavailable",INDEX('Market Data'!$AK$5:$AK$66,AH!$U$4)),IF(AH!$U$5=1,INDEX('Live History'!$D$5:$D$3004,MATCH($A1135,'Live History'!$D$5:$D$3004,1)),INDEX('AH History'!$D$5:$GG$1380,$K1135,AH!$U$10+2))),NA()),NA())</f>
        <v/>
      </c>
      <c r="H1135" s="266">
        <f>IFERROR(IF(ISNUMBER($A1135),IF(AND(AH!$U$12=1,1130+1=AH!$U$6),IF(AH!$U$4=0,"unavailable",INDEX('Market Data'!$AP$5:$AP$66,AH!$U$4)),IF(AH!$U$5=1,INDEX('Live History'!$H$5:$H$3004,MATCH($A1135,'Live History'!$G$5:$G$3004,1)),INDEX('AH History'!$B$5:$B$1380,$K1135))),NA()),NA())</f>
        <v/>
      </c>
      <c r="I1135" s="34">
        <f>IFERROR(IF(ISNUMBER($A1135),IF(AND(AH!$U$12=1,1130+1=AH!$U$6),TODAY(),IF(AH!$U$5=1,INDEX('Live History'!$G$5:$G$3004,MATCH($A1135,'Live History'!$G$5:$G$3004,1)),INDEX('AH History'!$C$5:$C$1380,$K1135))),NA()),NA())</f>
        <v/>
      </c>
      <c r="J1135" s="32">
        <f>IFERROR(IF(AND($F1135&gt;0,$H1135&gt;0,$A1135-$G1135&lt;=10,$A1135-$I1135&lt;=5,$G1135&gt;0,$I1135&gt;0),$F1135*$H1135,NA()),NA())</f>
        <v/>
      </c>
      <c r="K1135" s="15">
        <f>IF($A1135="","",IF(AH!$U$5=1,IFERROR(MATCH($A1135,'Live History'!$A$5:$A$3004,0),0),AH!$U$7+1130))</f>
        <v/>
      </c>
      <c r="L1135" s="15">
        <f>IF(ISNUMBER(A1135),TEXT(A1135,"dd-mmm-yy"),"")</f>
        <v/>
      </c>
    </row>
    <row r="1136">
      <c r="A1136" s="14">
        <f>IF(OR(AH!$U$4=0,1131+1&gt;AH!$U$6,AND(AH!$M$5="Bloomberg",AH!$U$5=0)),"",IFERROR(IF(AND(AH!$U$12=1,1131+1=AH!$U$6),TODAY(),IF(AH!$U$5=1,INDEX('Live History'!$A$5:$A$3004,AH!$U$7+1131),INDEX('AH History'!$A$5:$A$1380,AH!$U$7+1131))),""))</f>
        <v/>
      </c>
      <c r="B1136" s="33">
        <f>IFERROR(IF(AH!$U$11=1,NA(),$J1136/$E1136-1),NA())</f>
        <v/>
      </c>
      <c r="C1136" s="269">
        <f>IFERROR(100*$E1136/$E$5,NA())</f>
        <v/>
      </c>
      <c r="D1136" s="269">
        <f>IFERROR(100*$J1136/$J$5,NA())</f>
        <v/>
      </c>
      <c r="E1136" s="32">
        <f>IFERROR(IF(AND(ISNUMBER($A1136),N(IF(AND(AH!$U$12=1,1131+1=AH!$U$6),IF(AH!$U$4=0,"unavailable",INDEX('Market Data'!$AN$5:$AN$66,AH!$U$4)),IF(AH!$U$5=1,INDEX('Live History'!$B$5:$B$3004,$K1136),INDEX('AH History'!$D$5:$GG$1380,$K1136,AH!$U$10))))&gt;0),IF(AND(AH!$U$12=1,1131+1=AH!$U$6),IF(AH!$U$4=0,"unavailable",INDEX('Market Data'!$AN$5:$AN$66,AH!$U$4)),IF(AH!$U$5=1,INDEX('Live History'!$B$5:$B$3004,$K1136),INDEX('AH History'!$D$5:$GG$1380,$K1136,AH!$U$10))),NA()),NA())</f>
        <v/>
      </c>
      <c r="F1136" s="32">
        <f>IFERROR(IF(ISNUMBER($A1136),IF(AND(AH!$U$12=1,1131+1=AH!$U$6),IF(AH!$U$4=0,"unavailable",INDEX('Market Data'!$AO$5:$AO$66,AH!$U$4)),IF(AH!$U$5=1,INDEX('Live History'!$E$5:$E$3004,MATCH($A1136,'Live History'!$D$5:$D$3004,1)),INDEX('AH History'!$D$5:$GG$1380,$K1136,AH!$U$10+1))),NA()),NA())</f>
        <v/>
      </c>
      <c r="G1136" s="34">
        <f>IFERROR(IF(ISNUMBER($A1136),IF(AND(AH!$U$12=1,1131+1=AH!$U$6),IF(AH!$U$4=0,"unavailable",INDEX('Market Data'!$AK$5:$AK$66,AH!$U$4)),IF(AH!$U$5=1,INDEX('Live History'!$D$5:$D$3004,MATCH($A1136,'Live History'!$D$5:$D$3004,1)),INDEX('AH History'!$D$5:$GG$1380,$K1136,AH!$U$10+2))),NA()),NA())</f>
        <v/>
      </c>
      <c r="H1136" s="266">
        <f>IFERROR(IF(ISNUMBER($A1136),IF(AND(AH!$U$12=1,1131+1=AH!$U$6),IF(AH!$U$4=0,"unavailable",INDEX('Market Data'!$AP$5:$AP$66,AH!$U$4)),IF(AH!$U$5=1,INDEX('Live History'!$H$5:$H$3004,MATCH($A1136,'Live History'!$G$5:$G$3004,1)),INDEX('AH History'!$B$5:$B$1380,$K1136))),NA()),NA())</f>
        <v/>
      </c>
      <c r="I1136" s="34">
        <f>IFERROR(IF(ISNUMBER($A1136),IF(AND(AH!$U$12=1,1131+1=AH!$U$6),TODAY(),IF(AH!$U$5=1,INDEX('Live History'!$G$5:$G$3004,MATCH($A1136,'Live History'!$G$5:$G$3004,1)),INDEX('AH History'!$C$5:$C$1380,$K1136))),NA()),NA())</f>
        <v/>
      </c>
      <c r="J1136" s="32">
        <f>IFERROR(IF(AND($F1136&gt;0,$H1136&gt;0,$A1136-$G1136&lt;=10,$A1136-$I1136&lt;=5,$G1136&gt;0,$I1136&gt;0),$F1136*$H1136,NA()),NA())</f>
        <v/>
      </c>
      <c r="K1136" s="15">
        <f>IF($A1136="","",IF(AH!$U$5=1,IFERROR(MATCH($A1136,'Live History'!$A$5:$A$3004,0),0),AH!$U$7+1131))</f>
        <v/>
      </c>
      <c r="L1136" s="15">
        <f>IF(ISNUMBER(A1136),TEXT(A1136,"dd-mmm-yy"),"")</f>
        <v/>
      </c>
    </row>
    <row r="1137">
      <c r="A1137" s="14">
        <f>IF(OR(AH!$U$4=0,1132+1&gt;AH!$U$6,AND(AH!$M$5="Bloomberg",AH!$U$5=0)),"",IFERROR(IF(AND(AH!$U$12=1,1132+1=AH!$U$6),TODAY(),IF(AH!$U$5=1,INDEX('Live History'!$A$5:$A$3004,AH!$U$7+1132),INDEX('AH History'!$A$5:$A$1380,AH!$U$7+1132))),""))</f>
        <v/>
      </c>
      <c r="B1137" s="33">
        <f>IFERROR(IF(AH!$U$11=1,NA(),$J1137/$E1137-1),NA())</f>
        <v/>
      </c>
      <c r="C1137" s="269">
        <f>IFERROR(100*$E1137/$E$5,NA())</f>
        <v/>
      </c>
      <c r="D1137" s="269">
        <f>IFERROR(100*$J1137/$J$5,NA())</f>
        <v/>
      </c>
      <c r="E1137" s="32">
        <f>IFERROR(IF(AND(ISNUMBER($A1137),N(IF(AND(AH!$U$12=1,1132+1=AH!$U$6),IF(AH!$U$4=0,"unavailable",INDEX('Market Data'!$AN$5:$AN$66,AH!$U$4)),IF(AH!$U$5=1,INDEX('Live History'!$B$5:$B$3004,$K1137),INDEX('AH History'!$D$5:$GG$1380,$K1137,AH!$U$10))))&gt;0),IF(AND(AH!$U$12=1,1132+1=AH!$U$6),IF(AH!$U$4=0,"unavailable",INDEX('Market Data'!$AN$5:$AN$66,AH!$U$4)),IF(AH!$U$5=1,INDEX('Live History'!$B$5:$B$3004,$K1137),INDEX('AH History'!$D$5:$GG$1380,$K1137,AH!$U$10))),NA()),NA())</f>
        <v/>
      </c>
      <c r="F1137" s="32">
        <f>IFERROR(IF(ISNUMBER($A1137),IF(AND(AH!$U$12=1,1132+1=AH!$U$6),IF(AH!$U$4=0,"unavailable",INDEX('Market Data'!$AO$5:$AO$66,AH!$U$4)),IF(AH!$U$5=1,INDEX('Live History'!$E$5:$E$3004,MATCH($A1137,'Live History'!$D$5:$D$3004,1)),INDEX('AH History'!$D$5:$GG$1380,$K1137,AH!$U$10+1))),NA()),NA())</f>
        <v/>
      </c>
      <c r="G1137" s="34">
        <f>IFERROR(IF(ISNUMBER($A1137),IF(AND(AH!$U$12=1,1132+1=AH!$U$6),IF(AH!$U$4=0,"unavailable",INDEX('Market Data'!$AK$5:$AK$66,AH!$U$4)),IF(AH!$U$5=1,INDEX('Live History'!$D$5:$D$3004,MATCH($A1137,'Live History'!$D$5:$D$3004,1)),INDEX('AH History'!$D$5:$GG$1380,$K1137,AH!$U$10+2))),NA()),NA())</f>
        <v/>
      </c>
      <c r="H1137" s="266">
        <f>IFERROR(IF(ISNUMBER($A1137),IF(AND(AH!$U$12=1,1132+1=AH!$U$6),IF(AH!$U$4=0,"unavailable",INDEX('Market Data'!$AP$5:$AP$66,AH!$U$4)),IF(AH!$U$5=1,INDEX('Live History'!$H$5:$H$3004,MATCH($A1137,'Live History'!$G$5:$G$3004,1)),INDEX('AH History'!$B$5:$B$1380,$K1137))),NA()),NA())</f>
        <v/>
      </c>
      <c r="I1137" s="34">
        <f>IFERROR(IF(ISNUMBER($A1137),IF(AND(AH!$U$12=1,1132+1=AH!$U$6),TODAY(),IF(AH!$U$5=1,INDEX('Live History'!$G$5:$G$3004,MATCH($A1137,'Live History'!$G$5:$G$3004,1)),INDEX('AH History'!$C$5:$C$1380,$K1137))),NA()),NA())</f>
        <v/>
      </c>
      <c r="J1137" s="32">
        <f>IFERROR(IF(AND($F1137&gt;0,$H1137&gt;0,$A1137-$G1137&lt;=10,$A1137-$I1137&lt;=5,$G1137&gt;0,$I1137&gt;0),$F1137*$H1137,NA()),NA())</f>
        <v/>
      </c>
      <c r="K1137" s="15">
        <f>IF($A1137="","",IF(AH!$U$5=1,IFERROR(MATCH($A1137,'Live History'!$A$5:$A$3004,0),0),AH!$U$7+1132))</f>
        <v/>
      </c>
      <c r="L1137" s="15">
        <f>IF(ISNUMBER(A1137),TEXT(A1137,"dd-mmm-yy"),"")</f>
        <v/>
      </c>
    </row>
    <row r="1138">
      <c r="A1138" s="14">
        <f>IF(OR(AH!$U$4=0,1133+1&gt;AH!$U$6,AND(AH!$M$5="Bloomberg",AH!$U$5=0)),"",IFERROR(IF(AND(AH!$U$12=1,1133+1=AH!$U$6),TODAY(),IF(AH!$U$5=1,INDEX('Live History'!$A$5:$A$3004,AH!$U$7+1133),INDEX('AH History'!$A$5:$A$1380,AH!$U$7+1133))),""))</f>
        <v/>
      </c>
      <c r="B1138" s="33">
        <f>IFERROR(IF(AH!$U$11=1,NA(),$J1138/$E1138-1),NA())</f>
        <v/>
      </c>
      <c r="C1138" s="269">
        <f>IFERROR(100*$E1138/$E$5,NA())</f>
        <v/>
      </c>
      <c r="D1138" s="269">
        <f>IFERROR(100*$J1138/$J$5,NA())</f>
        <v/>
      </c>
      <c r="E1138" s="32">
        <f>IFERROR(IF(AND(ISNUMBER($A1138),N(IF(AND(AH!$U$12=1,1133+1=AH!$U$6),IF(AH!$U$4=0,"unavailable",INDEX('Market Data'!$AN$5:$AN$66,AH!$U$4)),IF(AH!$U$5=1,INDEX('Live History'!$B$5:$B$3004,$K1138),INDEX('AH History'!$D$5:$GG$1380,$K1138,AH!$U$10))))&gt;0),IF(AND(AH!$U$12=1,1133+1=AH!$U$6),IF(AH!$U$4=0,"unavailable",INDEX('Market Data'!$AN$5:$AN$66,AH!$U$4)),IF(AH!$U$5=1,INDEX('Live History'!$B$5:$B$3004,$K1138),INDEX('AH History'!$D$5:$GG$1380,$K1138,AH!$U$10))),NA()),NA())</f>
        <v/>
      </c>
      <c r="F1138" s="32">
        <f>IFERROR(IF(ISNUMBER($A1138),IF(AND(AH!$U$12=1,1133+1=AH!$U$6),IF(AH!$U$4=0,"unavailable",INDEX('Market Data'!$AO$5:$AO$66,AH!$U$4)),IF(AH!$U$5=1,INDEX('Live History'!$E$5:$E$3004,MATCH($A1138,'Live History'!$D$5:$D$3004,1)),INDEX('AH History'!$D$5:$GG$1380,$K1138,AH!$U$10+1))),NA()),NA())</f>
        <v/>
      </c>
      <c r="G1138" s="34">
        <f>IFERROR(IF(ISNUMBER($A1138),IF(AND(AH!$U$12=1,1133+1=AH!$U$6),IF(AH!$U$4=0,"unavailable",INDEX('Market Data'!$AK$5:$AK$66,AH!$U$4)),IF(AH!$U$5=1,INDEX('Live History'!$D$5:$D$3004,MATCH($A1138,'Live History'!$D$5:$D$3004,1)),INDEX('AH History'!$D$5:$GG$1380,$K1138,AH!$U$10+2))),NA()),NA())</f>
        <v/>
      </c>
      <c r="H1138" s="266">
        <f>IFERROR(IF(ISNUMBER($A1138),IF(AND(AH!$U$12=1,1133+1=AH!$U$6),IF(AH!$U$4=0,"unavailable",INDEX('Market Data'!$AP$5:$AP$66,AH!$U$4)),IF(AH!$U$5=1,INDEX('Live History'!$H$5:$H$3004,MATCH($A1138,'Live History'!$G$5:$G$3004,1)),INDEX('AH History'!$B$5:$B$1380,$K1138))),NA()),NA())</f>
        <v/>
      </c>
      <c r="I1138" s="34">
        <f>IFERROR(IF(ISNUMBER($A1138),IF(AND(AH!$U$12=1,1133+1=AH!$U$6),TODAY(),IF(AH!$U$5=1,INDEX('Live History'!$G$5:$G$3004,MATCH($A1138,'Live History'!$G$5:$G$3004,1)),INDEX('AH History'!$C$5:$C$1380,$K1138))),NA()),NA())</f>
        <v/>
      </c>
      <c r="J1138" s="32">
        <f>IFERROR(IF(AND($F1138&gt;0,$H1138&gt;0,$A1138-$G1138&lt;=10,$A1138-$I1138&lt;=5,$G1138&gt;0,$I1138&gt;0),$F1138*$H1138,NA()),NA())</f>
        <v/>
      </c>
      <c r="K1138" s="15">
        <f>IF($A1138="","",IF(AH!$U$5=1,IFERROR(MATCH($A1138,'Live History'!$A$5:$A$3004,0),0),AH!$U$7+1133))</f>
        <v/>
      </c>
      <c r="L1138" s="15">
        <f>IF(ISNUMBER(A1138),TEXT(A1138,"dd-mmm-yy"),"")</f>
        <v/>
      </c>
    </row>
    <row r="1139">
      <c r="A1139" s="14">
        <f>IF(OR(AH!$U$4=0,1134+1&gt;AH!$U$6,AND(AH!$M$5="Bloomberg",AH!$U$5=0)),"",IFERROR(IF(AND(AH!$U$12=1,1134+1=AH!$U$6),TODAY(),IF(AH!$U$5=1,INDEX('Live History'!$A$5:$A$3004,AH!$U$7+1134),INDEX('AH History'!$A$5:$A$1380,AH!$U$7+1134))),""))</f>
        <v/>
      </c>
      <c r="B1139" s="33">
        <f>IFERROR(IF(AH!$U$11=1,NA(),$J1139/$E1139-1),NA())</f>
        <v/>
      </c>
      <c r="C1139" s="269">
        <f>IFERROR(100*$E1139/$E$5,NA())</f>
        <v/>
      </c>
      <c r="D1139" s="269">
        <f>IFERROR(100*$J1139/$J$5,NA())</f>
        <v/>
      </c>
      <c r="E1139" s="32">
        <f>IFERROR(IF(AND(ISNUMBER($A1139),N(IF(AND(AH!$U$12=1,1134+1=AH!$U$6),IF(AH!$U$4=0,"unavailable",INDEX('Market Data'!$AN$5:$AN$66,AH!$U$4)),IF(AH!$U$5=1,INDEX('Live History'!$B$5:$B$3004,$K1139),INDEX('AH History'!$D$5:$GG$1380,$K1139,AH!$U$10))))&gt;0),IF(AND(AH!$U$12=1,1134+1=AH!$U$6),IF(AH!$U$4=0,"unavailable",INDEX('Market Data'!$AN$5:$AN$66,AH!$U$4)),IF(AH!$U$5=1,INDEX('Live History'!$B$5:$B$3004,$K1139),INDEX('AH History'!$D$5:$GG$1380,$K1139,AH!$U$10))),NA()),NA())</f>
        <v/>
      </c>
      <c r="F1139" s="32">
        <f>IFERROR(IF(ISNUMBER($A1139),IF(AND(AH!$U$12=1,1134+1=AH!$U$6),IF(AH!$U$4=0,"unavailable",INDEX('Market Data'!$AO$5:$AO$66,AH!$U$4)),IF(AH!$U$5=1,INDEX('Live History'!$E$5:$E$3004,MATCH($A1139,'Live History'!$D$5:$D$3004,1)),INDEX('AH History'!$D$5:$GG$1380,$K1139,AH!$U$10+1))),NA()),NA())</f>
        <v/>
      </c>
      <c r="G1139" s="34">
        <f>IFERROR(IF(ISNUMBER($A1139),IF(AND(AH!$U$12=1,1134+1=AH!$U$6),IF(AH!$U$4=0,"unavailable",INDEX('Market Data'!$AK$5:$AK$66,AH!$U$4)),IF(AH!$U$5=1,INDEX('Live History'!$D$5:$D$3004,MATCH($A1139,'Live History'!$D$5:$D$3004,1)),INDEX('AH History'!$D$5:$GG$1380,$K1139,AH!$U$10+2))),NA()),NA())</f>
        <v/>
      </c>
      <c r="H1139" s="266">
        <f>IFERROR(IF(ISNUMBER($A1139),IF(AND(AH!$U$12=1,1134+1=AH!$U$6),IF(AH!$U$4=0,"unavailable",INDEX('Market Data'!$AP$5:$AP$66,AH!$U$4)),IF(AH!$U$5=1,INDEX('Live History'!$H$5:$H$3004,MATCH($A1139,'Live History'!$G$5:$G$3004,1)),INDEX('AH History'!$B$5:$B$1380,$K1139))),NA()),NA())</f>
        <v/>
      </c>
      <c r="I1139" s="34">
        <f>IFERROR(IF(ISNUMBER($A1139),IF(AND(AH!$U$12=1,1134+1=AH!$U$6),TODAY(),IF(AH!$U$5=1,INDEX('Live History'!$G$5:$G$3004,MATCH($A1139,'Live History'!$G$5:$G$3004,1)),INDEX('AH History'!$C$5:$C$1380,$K1139))),NA()),NA())</f>
        <v/>
      </c>
      <c r="J1139" s="32">
        <f>IFERROR(IF(AND($F1139&gt;0,$H1139&gt;0,$A1139-$G1139&lt;=10,$A1139-$I1139&lt;=5,$G1139&gt;0,$I1139&gt;0),$F1139*$H1139,NA()),NA())</f>
        <v/>
      </c>
      <c r="K1139" s="15">
        <f>IF($A1139="","",IF(AH!$U$5=1,IFERROR(MATCH($A1139,'Live History'!$A$5:$A$3004,0),0),AH!$U$7+1134))</f>
        <v/>
      </c>
      <c r="L1139" s="15">
        <f>IF(ISNUMBER(A1139),TEXT(A1139,"dd-mmm-yy"),"")</f>
        <v/>
      </c>
    </row>
    <row r="1140">
      <c r="A1140" s="14">
        <f>IF(OR(AH!$U$4=0,1135+1&gt;AH!$U$6,AND(AH!$M$5="Bloomberg",AH!$U$5=0)),"",IFERROR(IF(AND(AH!$U$12=1,1135+1=AH!$U$6),TODAY(),IF(AH!$U$5=1,INDEX('Live History'!$A$5:$A$3004,AH!$U$7+1135),INDEX('AH History'!$A$5:$A$1380,AH!$U$7+1135))),""))</f>
        <v/>
      </c>
      <c r="B1140" s="33">
        <f>IFERROR(IF(AH!$U$11=1,NA(),$J1140/$E1140-1),NA())</f>
        <v/>
      </c>
      <c r="C1140" s="269">
        <f>IFERROR(100*$E1140/$E$5,NA())</f>
        <v/>
      </c>
      <c r="D1140" s="269">
        <f>IFERROR(100*$J1140/$J$5,NA())</f>
        <v/>
      </c>
      <c r="E1140" s="32">
        <f>IFERROR(IF(AND(ISNUMBER($A1140),N(IF(AND(AH!$U$12=1,1135+1=AH!$U$6),IF(AH!$U$4=0,"unavailable",INDEX('Market Data'!$AN$5:$AN$66,AH!$U$4)),IF(AH!$U$5=1,INDEX('Live History'!$B$5:$B$3004,$K1140),INDEX('AH History'!$D$5:$GG$1380,$K1140,AH!$U$10))))&gt;0),IF(AND(AH!$U$12=1,1135+1=AH!$U$6),IF(AH!$U$4=0,"unavailable",INDEX('Market Data'!$AN$5:$AN$66,AH!$U$4)),IF(AH!$U$5=1,INDEX('Live History'!$B$5:$B$3004,$K1140),INDEX('AH History'!$D$5:$GG$1380,$K1140,AH!$U$10))),NA()),NA())</f>
        <v/>
      </c>
      <c r="F1140" s="32">
        <f>IFERROR(IF(ISNUMBER($A1140),IF(AND(AH!$U$12=1,1135+1=AH!$U$6),IF(AH!$U$4=0,"unavailable",INDEX('Market Data'!$AO$5:$AO$66,AH!$U$4)),IF(AH!$U$5=1,INDEX('Live History'!$E$5:$E$3004,MATCH($A1140,'Live History'!$D$5:$D$3004,1)),INDEX('AH History'!$D$5:$GG$1380,$K1140,AH!$U$10+1))),NA()),NA())</f>
        <v/>
      </c>
      <c r="G1140" s="34">
        <f>IFERROR(IF(ISNUMBER($A1140),IF(AND(AH!$U$12=1,1135+1=AH!$U$6),IF(AH!$U$4=0,"unavailable",INDEX('Market Data'!$AK$5:$AK$66,AH!$U$4)),IF(AH!$U$5=1,INDEX('Live History'!$D$5:$D$3004,MATCH($A1140,'Live History'!$D$5:$D$3004,1)),INDEX('AH History'!$D$5:$GG$1380,$K1140,AH!$U$10+2))),NA()),NA())</f>
        <v/>
      </c>
      <c r="H1140" s="266">
        <f>IFERROR(IF(ISNUMBER($A1140),IF(AND(AH!$U$12=1,1135+1=AH!$U$6),IF(AH!$U$4=0,"unavailable",INDEX('Market Data'!$AP$5:$AP$66,AH!$U$4)),IF(AH!$U$5=1,INDEX('Live History'!$H$5:$H$3004,MATCH($A1140,'Live History'!$G$5:$G$3004,1)),INDEX('AH History'!$B$5:$B$1380,$K1140))),NA()),NA())</f>
        <v/>
      </c>
      <c r="I1140" s="34">
        <f>IFERROR(IF(ISNUMBER($A1140),IF(AND(AH!$U$12=1,1135+1=AH!$U$6),TODAY(),IF(AH!$U$5=1,INDEX('Live History'!$G$5:$G$3004,MATCH($A1140,'Live History'!$G$5:$G$3004,1)),INDEX('AH History'!$C$5:$C$1380,$K1140))),NA()),NA())</f>
        <v/>
      </c>
      <c r="J1140" s="32">
        <f>IFERROR(IF(AND($F1140&gt;0,$H1140&gt;0,$A1140-$G1140&lt;=10,$A1140-$I1140&lt;=5,$G1140&gt;0,$I1140&gt;0),$F1140*$H1140,NA()),NA())</f>
        <v/>
      </c>
      <c r="K1140" s="15">
        <f>IF($A1140="","",IF(AH!$U$5=1,IFERROR(MATCH($A1140,'Live History'!$A$5:$A$3004,0),0),AH!$U$7+1135))</f>
        <v/>
      </c>
      <c r="L1140" s="15">
        <f>IF(ISNUMBER(A1140),TEXT(A1140,"dd-mmm-yy"),"")</f>
        <v/>
      </c>
    </row>
    <row r="1141">
      <c r="A1141" s="14">
        <f>IF(OR(AH!$U$4=0,1136+1&gt;AH!$U$6,AND(AH!$M$5="Bloomberg",AH!$U$5=0)),"",IFERROR(IF(AND(AH!$U$12=1,1136+1=AH!$U$6),TODAY(),IF(AH!$U$5=1,INDEX('Live History'!$A$5:$A$3004,AH!$U$7+1136),INDEX('AH History'!$A$5:$A$1380,AH!$U$7+1136))),""))</f>
        <v/>
      </c>
      <c r="B1141" s="33">
        <f>IFERROR(IF(AH!$U$11=1,NA(),$J1141/$E1141-1),NA())</f>
        <v/>
      </c>
      <c r="C1141" s="269">
        <f>IFERROR(100*$E1141/$E$5,NA())</f>
        <v/>
      </c>
      <c r="D1141" s="269">
        <f>IFERROR(100*$J1141/$J$5,NA())</f>
        <v/>
      </c>
      <c r="E1141" s="32">
        <f>IFERROR(IF(AND(ISNUMBER($A1141),N(IF(AND(AH!$U$12=1,1136+1=AH!$U$6),IF(AH!$U$4=0,"unavailable",INDEX('Market Data'!$AN$5:$AN$66,AH!$U$4)),IF(AH!$U$5=1,INDEX('Live History'!$B$5:$B$3004,$K1141),INDEX('AH History'!$D$5:$GG$1380,$K1141,AH!$U$10))))&gt;0),IF(AND(AH!$U$12=1,1136+1=AH!$U$6),IF(AH!$U$4=0,"unavailable",INDEX('Market Data'!$AN$5:$AN$66,AH!$U$4)),IF(AH!$U$5=1,INDEX('Live History'!$B$5:$B$3004,$K1141),INDEX('AH History'!$D$5:$GG$1380,$K1141,AH!$U$10))),NA()),NA())</f>
        <v/>
      </c>
      <c r="F1141" s="32">
        <f>IFERROR(IF(ISNUMBER($A1141),IF(AND(AH!$U$12=1,1136+1=AH!$U$6),IF(AH!$U$4=0,"unavailable",INDEX('Market Data'!$AO$5:$AO$66,AH!$U$4)),IF(AH!$U$5=1,INDEX('Live History'!$E$5:$E$3004,MATCH($A1141,'Live History'!$D$5:$D$3004,1)),INDEX('AH History'!$D$5:$GG$1380,$K1141,AH!$U$10+1))),NA()),NA())</f>
        <v/>
      </c>
      <c r="G1141" s="34">
        <f>IFERROR(IF(ISNUMBER($A1141),IF(AND(AH!$U$12=1,1136+1=AH!$U$6),IF(AH!$U$4=0,"unavailable",INDEX('Market Data'!$AK$5:$AK$66,AH!$U$4)),IF(AH!$U$5=1,INDEX('Live History'!$D$5:$D$3004,MATCH($A1141,'Live History'!$D$5:$D$3004,1)),INDEX('AH History'!$D$5:$GG$1380,$K1141,AH!$U$10+2))),NA()),NA())</f>
        <v/>
      </c>
      <c r="H1141" s="266">
        <f>IFERROR(IF(ISNUMBER($A1141),IF(AND(AH!$U$12=1,1136+1=AH!$U$6),IF(AH!$U$4=0,"unavailable",INDEX('Market Data'!$AP$5:$AP$66,AH!$U$4)),IF(AH!$U$5=1,INDEX('Live History'!$H$5:$H$3004,MATCH($A1141,'Live History'!$G$5:$G$3004,1)),INDEX('AH History'!$B$5:$B$1380,$K1141))),NA()),NA())</f>
        <v/>
      </c>
      <c r="I1141" s="34">
        <f>IFERROR(IF(ISNUMBER($A1141),IF(AND(AH!$U$12=1,1136+1=AH!$U$6),TODAY(),IF(AH!$U$5=1,INDEX('Live History'!$G$5:$G$3004,MATCH($A1141,'Live History'!$G$5:$G$3004,1)),INDEX('AH History'!$C$5:$C$1380,$K1141))),NA()),NA())</f>
        <v/>
      </c>
      <c r="J1141" s="32">
        <f>IFERROR(IF(AND($F1141&gt;0,$H1141&gt;0,$A1141-$G1141&lt;=10,$A1141-$I1141&lt;=5,$G1141&gt;0,$I1141&gt;0),$F1141*$H1141,NA()),NA())</f>
        <v/>
      </c>
      <c r="K1141" s="15">
        <f>IF($A1141="","",IF(AH!$U$5=1,IFERROR(MATCH($A1141,'Live History'!$A$5:$A$3004,0),0),AH!$U$7+1136))</f>
        <v/>
      </c>
      <c r="L1141" s="15">
        <f>IF(ISNUMBER(A1141),TEXT(A1141,"dd-mmm-yy"),"")</f>
        <v/>
      </c>
    </row>
    <row r="1142">
      <c r="A1142" s="14">
        <f>IF(OR(AH!$U$4=0,1137+1&gt;AH!$U$6,AND(AH!$M$5="Bloomberg",AH!$U$5=0)),"",IFERROR(IF(AND(AH!$U$12=1,1137+1=AH!$U$6),TODAY(),IF(AH!$U$5=1,INDEX('Live History'!$A$5:$A$3004,AH!$U$7+1137),INDEX('AH History'!$A$5:$A$1380,AH!$U$7+1137))),""))</f>
        <v/>
      </c>
      <c r="B1142" s="33">
        <f>IFERROR(IF(AH!$U$11=1,NA(),$J1142/$E1142-1),NA())</f>
        <v/>
      </c>
      <c r="C1142" s="269">
        <f>IFERROR(100*$E1142/$E$5,NA())</f>
        <v/>
      </c>
      <c r="D1142" s="269">
        <f>IFERROR(100*$J1142/$J$5,NA())</f>
        <v/>
      </c>
      <c r="E1142" s="32">
        <f>IFERROR(IF(AND(ISNUMBER($A1142),N(IF(AND(AH!$U$12=1,1137+1=AH!$U$6),IF(AH!$U$4=0,"unavailable",INDEX('Market Data'!$AN$5:$AN$66,AH!$U$4)),IF(AH!$U$5=1,INDEX('Live History'!$B$5:$B$3004,$K1142),INDEX('AH History'!$D$5:$GG$1380,$K1142,AH!$U$10))))&gt;0),IF(AND(AH!$U$12=1,1137+1=AH!$U$6),IF(AH!$U$4=0,"unavailable",INDEX('Market Data'!$AN$5:$AN$66,AH!$U$4)),IF(AH!$U$5=1,INDEX('Live History'!$B$5:$B$3004,$K1142),INDEX('AH History'!$D$5:$GG$1380,$K1142,AH!$U$10))),NA()),NA())</f>
        <v/>
      </c>
      <c r="F1142" s="32">
        <f>IFERROR(IF(ISNUMBER($A1142),IF(AND(AH!$U$12=1,1137+1=AH!$U$6),IF(AH!$U$4=0,"unavailable",INDEX('Market Data'!$AO$5:$AO$66,AH!$U$4)),IF(AH!$U$5=1,INDEX('Live History'!$E$5:$E$3004,MATCH($A1142,'Live History'!$D$5:$D$3004,1)),INDEX('AH History'!$D$5:$GG$1380,$K1142,AH!$U$10+1))),NA()),NA())</f>
        <v/>
      </c>
      <c r="G1142" s="34">
        <f>IFERROR(IF(ISNUMBER($A1142),IF(AND(AH!$U$12=1,1137+1=AH!$U$6),IF(AH!$U$4=0,"unavailable",INDEX('Market Data'!$AK$5:$AK$66,AH!$U$4)),IF(AH!$U$5=1,INDEX('Live History'!$D$5:$D$3004,MATCH($A1142,'Live History'!$D$5:$D$3004,1)),INDEX('AH History'!$D$5:$GG$1380,$K1142,AH!$U$10+2))),NA()),NA())</f>
        <v/>
      </c>
      <c r="H1142" s="266">
        <f>IFERROR(IF(ISNUMBER($A1142),IF(AND(AH!$U$12=1,1137+1=AH!$U$6),IF(AH!$U$4=0,"unavailable",INDEX('Market Data'!$AP$5:$AP$66,AH!$U$4)),IF(AH!$U$5=1,INDEX('Live History'!$H$5:$H$3004,MATCH($A1142,'Live History'!$G$5:$G$3004,1)),INDEX('AH History'!$B$5:$B$1380,$K1142))),NA()),NA())</f>
        <v/>
      </c>
      <c r="I1142" s="34">
        <f>IFERROR(IF(ISNUMBER($A1142),IF(AND(AH!$U$12=1,1137+1=AH!$U$6),TODAY(),IF(AH!$U$5=1,INDEX('Live History'!$G$5:$G$3004,MATCH($A1142,'Live History'!$G$5:$G$3004,1)),INDEX('AH History'!$C$5:$C$1380,$K1142))),NA()),NA())</f>
        <v/>
      </c>
      <c r="J1142" s="32">
        <f>IFERROR(IF(AND($F1142&gt;0,$H1142&gt;0,$A1142-$G1142&lt;=10,$A1142-$I1142&lt;=5,$G1142&gt;0,$I1142&gt;0),$F1142*$H1142,NA()),NA())</f>
        <v/>
      </c>
      <c r="K1142" s="15">
        <f>IF($A1142="","",IF(AH!$U$5=1,IFERROR(MATCH($A1142,'Live History'!$A$5:$A$3004,0),0),AH!$U$7+1137))</f>
        <v/>
      </c>
      <c r="L1142" s="15">
        <f>IF(ISNUMBER(A1142),TEXT(A1142,"dd-mmm-yy"),"")</f>
        <v/>
      </c>
    </row>
    <row r="1143">
      <c r="A1143" s="14">
        <f>IF(OR(AH!$U$4=0,1138+1&gt;AH!$U$6,AND(AH!$M$5="Bloomberg",AH!$U$5=0)),"",IFERROR(IF(AND(AH!$U$12=1,1138+1=AH!$U$6),TODAY(),IF(AH!$U$5=1,INDEX('Live History'!$A$5:$A$3004,AH!$U$7+1138),INDEX('AH History'!$A$5:$A$1380,AH!$U$7+1138))),""))</f>
        <v/>
      </c>
      <c r="B1143" s="33">
        <f>IFERROR(IF(AH!$U$11=1,NA(),$J1143/$E1143-1),NA())</f>
        <v/>
      </c>
      <c r="C1143" s="269">
        <f>IFERROR(100*$E1143/$E$5,NA())</f>
        <v/>
      </c>
      <c r="D1143" s="269">
        <f>IFERROR(100*$J1143/$J$5,NA())</f>
        <v/>
      </c>
      <c r="E1143" s="32">
        <f>IFERROR(IF(AND(ISNUMBER($A1143),N(IF(AND(AH!$U$12=1,1138+1=AH!$U$6),IF(AH!$U$4=0,"unavailable",INDEX('Market Data'!$AN$5:$AN$66,AH!$U$4)),IF(AH!$U$5=1,INDEX('Live History'!$B$5:$B$3004,$K1143),INDEX('AH History'!$D$5:$GG$1380,$K1143,AH!$U$10))))&gt;0),IF(AND(AH!$U$12=1,1138+1=AH!$U$6),IF(AH!$U$4=0,"unavailable",INDEX('Market Data'!$AN$5:$AN$66,AH!$U$4)),IF(AH!$U$5=1,INDEX('Live History'!$B$5:$B$3004,$K1143),INDEX('AH History'!$D$5:$GG$1380,$K1143,AH!$U$10))),NA()),NA())</f>
        <v/>
      </c>
      <c r="F1143" s="32">
        <f>IFERROR(IF(ISNUMBER($A1143),IF(AND(AH!$U$12=1,1138+1=AH!$U$6),IF(AH!$U$4=0,"unavailable",INDEX('Market Data'!$AO$5:$AO$66,AH!$U$4)),IF(AH!$U$5=1,INDEX('Live History'!$E$5:$E$3004,MATCH($A1143,'Live History'!$D$5:$D$3004,1)),INDEX('AH History'!$D$5:$GG$1380,$K1143,AH!$U$10+1))),NA()),NA())</f>
        <v/>
      </c>
      <c r="G1143" s="34">
        <f>IFERROR(IF(ISNUMBER($A1143),IF(AND(AH!$U$12=1,1138+1=AH!$U$6),IF(AH!$U$4=0,"unavailable",INDEX('Market Data'!$AK$5:$AK$66,AH!$U$4)),IF(AH!$U$5=1,INDEX('Live History'!$D$5:$D$3004,MATCH($A1143,'Live History'!$D$5:$D$3004,1)),INDEX('AH History'!$D$5:$GG$1380,$K1143,AH!$U$10+2))),NA()),NA())</f>
        <v/>
      </c>
      <c r="H1143" s="266">
        <f>IFERROR(IF(ISNUMBER($A1143),IF(AND(AH!$U$12=1,1138+1=AH!$U$6),IF(AH!$U$4=0,"unavailable",INDEX('Market Data'!$AP$5:$AP$66,AH!$U$4)),IF(AH!$U$5=1,INDEX('Live History'!$H$5:$H$3004,MATCH($A1143,'Live History'!$G$5:$G$3004,1)),INDEX('AH History'!$B$5:$B$1380,$K1143))),NA()),NA())</f>
        <v/>
      </c>
      <c r="I1143" s="34">
        <f>IFERROR(IF(ISNUMBER($A1143),IF(AND(AH!$U$12=1,1138+1=AH!$U$6),TODAY(),IF(AH!$U$5=1,INDEX('Live History'!$G$5:$G$3004,MATCH($A1143,'Live History'!$G$5:$G$3004,1)),INDEX('AH History'!$C$5:$C$1380,$K1143))),NA()),NA())</f>
        <v/>
      </c>
      <c r="J1143" s="32">
        <f>IFERROR(IF(AND($F1143&gt;0,$H1143&gt;0,$A1143-$G1143&lt;=10,$A1143-$I1143&lt;=5,$G1143&gt;0,$I1143&gt;0),$F1143*$H1143,NA()),NA())</f>
        <v/>
      </c>
      <c r="K1143" s="15">
        <f>IF($A1143="","",IF(AH!$U$5=1,IFERROR(MATCH($A1143,'Live History'!$A$5:$A$3004,0),0),AH!$U$7+1138))</f>
        <v/>
      </c>
      <c r="L1143" s="15">
        <f>IF(ISNUMBER(A1143),TEXT(A1143,"dd-mmm-yy"),"")</f>
        <v/>
      </c>
    </row>
    <row r="1144">
      <c r="A1144" s="14">
        <f>IF(OR(AH!$U$4=0,1139+1&gt;AH!$U$6,AND(AH!$M$5="Bloomberg",AH!$U$5=0)),"",IFERROR(IF(AND(AH!$U$12=1,1139+1=AH!$U$6),TODAY(),IF(AH!$U$5=1,INDEX('Live History'!$A$5:$A$3004,AH!$U$7+1139),INDEX('AH History'!$A$5:$A$1380,AH!$U$7+1139))),""))</f>
        <v/>
      </c>
      <c r="B1144" s="33">
        <f>IFERROR(IF(AH!$U$11=1,NA(),$J1144/$E1144-1),NA())</f>
        <v/>
      </c>
      <c r="C1144" s="269">
        <f>IFERROR(100*$E1144/$E$5,NA())</f>
        <v/>
      </c>
      <c r="D1144" s="269">
        <f>IFERROR(100*$J1144/$J$5,NA())</f>
        <v/>
      </c>
      <c r="E1144" s="32">
        <f>IFERROR(IF(AND(ISNUMBER($A1144),N(IF(AND(AH!$U$12=1,1139+1=AH!$U$6),IF(AH!$U$4=0,"unavailable",INDEX('Market Data'!$AN$5:$AN$66,AH!$U$4)),IF(AH!$U$5=1,INDEX('Live History'!$B$5:$B$3004,$K1144),INDEX('AH History'!$D$5:$GG$1380,$K1144,AH!$U$10))))&gt;0),IF(AND(AH!$U$12=1,1139+1=AH!$U$6),IF(AH!$U$4=0,"unavailable",INDEX('Market Data'!$AN$5:$AN$66,AH!$U$4)),IF(AH!$U$5=1,INDEX('Live History'!$B$5:$B$3004,$K1144),INDEX('AH History'!$D$5:$GG$1380,$K1144,AH!$U$10))),NA()),NA())</f>
        <v/>
      </c>
      <c r="F1144" s="32">
        <f>IFERROR(IF(ISNUMBER($A1144),IF(AND(AH!$U$12=1,1139+1=AH!$U$6),IF(AH!$U$4=0,"unavailable",INDEX('Market Data'!$AO$5:$AO$66,AH!$U$4)),IF(AH!$U$5=1,INDEX('Live History'!$E$5:$E$3004,MATCH($A1144,'Live History'!$D$5:$D$3004,1)),INDEX('AH History'!$D$5:$GG$1380,$K1144,AH!$U$10+1))),NA()),NA())</f>
        <v/>
      </c>
      <c r="G1144" s="34">
        <f>IFERROR(IF(ISNUMBER($A1144),IF(AND(AH!$U$12=1,1139+1=AH!$U$6),IF(AH!$U$4=0,"unavailable",INDEX('Market Data'!$AK$5:$AK$66,AH!$U$4)),IF(AH!$U$5=1,INDEX('Live History'!$D$5:$D$3004,MATCH($A1144,'Live History'!$D$5:$D$3004,1)),INDEX('AH History'!$D$5:$GG$1380,$K1144,AH!$U$10+2))),NA()),NA())</f>
        <v/>
      </c>
      <c r="H1144" s="266">
        <f>IFERROR(IF(ISNUMBER($A1144),IF(AND(AH!$U$12=1,1139+1=AH!$U$6),IF(AH!$U$4=0,"unavailable",INDEX('Market Data'!$AP$5:$AP$66,AH!$U$4)),IF(AH!$U$5=1,INDEX('Live History'!$H$5:$H$3004,MATCH($A1144,'Live History'!$G$5:$G$3004,1)),INDEX('AH History'!$B$5:$B$1380,$K1144))),NA()),NA())</f>
        <v/>
      </c>
      <c r="I1144" s="34">
        <f>IFERROR(IF(ISNUMBER($A1144),IF(AND(AH!$U$12=1,1139+1=AH!$U$6),TODAY(),IF(AH!$U$5=1,INDEX('Live History'!$G$5:$G$3004,MATCH($A1144,'Live History'!$G$5:$G$3004,1)),INDEX('AH History'!$C$5:$C$1380,$K1144))),NA()),NA())</f>
        <v/>
      </c>
      <c r="J1144" s="32">
        <f>IFERROR(IF(AND($F1144&gt;0,$H1144&gt;0,$A1144-$G1144&lt;=10,$A1144-$I1144&lt;=5,$G1144&gt;0,$I1144&gt;0),$F1144*$H1144,NA()),NA())</f>
        <v/>
      </c>
      <c r="K1144" s="15">
        <f>IF($A1144="","",IF(AH!$U$5=1,IFERROR(MATCH($A1144,'Live History'!$A$5:$A$3004,0),0),AH!$U$7+1139))</f>
        <v/>
      </c>
      <c r="L1144" s="15">
        <f>IF(ISNUMBER(A1144),TEXT(A1144,"dd-mmm-yy"),"")</f>
        <v/>
      </c>
    </row>
    <row r="1145">
      <c r="A1145" s="14">
        <f>IF(OR(AH!$U$4=0,1140+1&gt;AH!$U$6,AND(AH!$M$5="Bloomberg",AH!$U$5=0)),"",IFERROR(IF(AND(AH!$U$12=1,1140+1=AH!$U$6),TODAY(),IF(AH!$U$5=1,INDEX('Live History'!$A$5:$A$3004,AH!$U$7+1140),INDEX('AH History'!$A$5:$A$1380,AH!$U$7+1140))),""))</f>
        <v/>
      </c>
      <c r="B1145" s="33">
        <f>IFERROR(IF(AH!$U$11=1,NA(),$J1145/$E1145-1),NA())</f>
        <v/>
      </c>
      <c r="C1145" s="269">
        <f>IFERROR(100*$E1145/$E$5,NA())</f>
        <v/>
      </c>
      <c r="D1145" s="269">
        <f>IFERROR(100*$J1145/$J$5,NA())</f>
        <v/>
      </c>
      <c r="E1145" s="32">
        <f>IFERROR(IF(AND(ISNUMBER($A1145),N(IF(AND(AH!$U$12=1,1140+1=AH!$U$6),IF(AH!$U$4=0,"unavailable",INDEX('Market Data'!$AN$5:$AN$66,AH!$U$4)),IF(AH!$U$5=1,INDEX('Live History'!$B$5:$B$3004,$K1145),INDEX('AH History'!$D$5:$GG$1380,$K1145,AH!$U$10))))&gt;0),IF(AND(AH!$U$12=1,1140+1=AH!$U$6),IF(AH!$U$4=0,"unavailable",INDEX('Market Data'!$AN$5:$AN$66,AH!$U$4)),IF(AH!$U$5=1,INDEX('Live History'!$B$5:$B$3004,$K1145),INDEX('AH History'!$D$5:$GG$1380,$K1145,AH!$U$10))),NA()),NA())</f>
        <v/>
      </c>
      <c r="F1145" s="32">
        <f>IFERROR(IF(ISNUMBER($A1145),IF(AND(AH!$U$12=1,1140+1=AH!$U$6),IF(AH!$U$4=0,"unavailable",INDEX('Market Data'!$AO$5:$AO$66,AH!$U$4)),IF(AH!$U$5=1,INDEX('Live History'!$E$5:$E$3004,MATCH($A1145,'Live History'!$D$5:$D$3004,1)),INDEX('AH History'!$D$5:$GG$1380,$K1145,AH!$U$10+1))),NA()),NA())</f>
        <v/>
      </c>
      <c r="G1145" s="34">
        <f>IFERROR(IF(ISNUMBER($A1145),IF(AND(AH!$U$12=1,1140+1=AH!$U$6),IF(AH!$U$4=0,"unavailable",INDEX('Market Data'!$AK$5:$AK$66,AH!$U$4)),IF(AH!$U$5=1,INDEX('Live History'!$D$5:$D$3004,MATCH($A1145,'Live History'!$D$5:$D$3004,1)),INDEX('AH History'!$D$5:$GG$1380,$K1145,AH!$U$10+2))),NA()),NA())</f>
        <v/>
      </c>
      <c r="H1145" s="266">
        <f>IFERROR(IF(ISNUMBER($A1145),IF(AND(AH!$U$12=1,1140+1=AH!$U$6),IF(AH!$U$4=0,"unavailable",INDEX('Market Data'!$AP$5:$AP$66,AH!$U$4)),IF(AH!$U$5=1,INDEX('Live History'!$H$5:$H$3004,MATCH($A1145,'Live History'!$G$5:$G$3004,1)),INDEX('AH History'!$B$5:$B$1380,$K1145))),NA()),NA())</f>
        <v/>
      </c>
      <c r="I1145" s="34">
        <f>IFERROR(IF(ISNUMBER($A1145),IF(AND(AH!$U$12=1,1140+1=AH!$U$6),TODAY(),IF(AH!$U$5=1,INDEX('Live History'!$G$5:$G$3004,MATCH($A1145,'Live History'!$G$5:$G$3004,1)),INDEX('AH History'!$C$5:$C$1380,$K1145))),NA()),NA())</f>
        <v/>
      </c>
      <c r="J1145" s="32">
        <f>IFERROR(IF(AND($F1145&gt;0,$H1145&gt;0,$A1145-$G1145&lt;=10,$A1145-$I1145&lt;=5,$G1145&gt;0,$I1145&gt;0),$F1145*$H1145,NA()),NA())</f>
        <v/>
      </c>
      <c r="K1145" s="15">
        <f>IF($A1145="","",IF(AH!$U$5=1,IFERROR(MATCH($A1145,'Live History'!$A$5:$A$3004,0),0),AH!$U$7+1140))</f>
        <v/>
      </c>
      <c r="L1145" s="15">
        <f>IF(ISNUMBER(A1145),TEXT(A1145,"dd-mmm-yy"),"")</f>
        <v/>
      </c>
    </row>
    <row r="1146">
      <c r="A1146" s="14">
        <f>IF(OR(AH!$U$4=0,1141+1&gt;AH!$U$6,AND(AH!$M$5="Bloomberg",AH!$U$5=0)),"",IFERROR(IF(AND(AH!$U$12=1,1141+1=AH!$U$6),TODAY(),IF(AH!$U$5=1,INDEX('Live History'!$A$5:$A$3004,AH!$U$7+1141),INDEX('AH History'!$A$5:$A$1380,AH!$U$7+1141))),""))</f>
        <v/>
      </c>
      <c r="B1146" s="33">
        <f>IFERROR(IF(AH!$U$11=1,NA(),$J1146/$E1146-1),NA())</f>
        <v/>
      </c>
      <c r="C1146" s="269">
        <f>IFERROR(100*$E1146/$E$5,NA())</f>
        <v/>
      </c>
      <c r="D1146" s="269">
        <f>IFERROR(100*$J1146/$J$5,NA())</f>
        <v/>
      </c>
      <c r="E1146" s="32">
        <f>IFERROR(IF(AND(ISNUMBER($A1146),N(IF(AND(AH!$U$12=1,1141+1=AH!$U$6),IF(AH!$U$4=0,"unavailable",INDEX('Market Data'!$AN$5:$AN$66,AH!$U$4)),IF(AH!$U$5=1,INDEX('Live History'!$B$5:$B$3004,$K1146),INDEX('AH History'!$D$5:$GG$1380,$K1146,AH!$U$10))))&gt;0),IF(AND(AH!$U$12=1,1141+1=AH!$U$6),IF(AH!$U$4=0,"unavailable",INDEX('Market Data'!$AN$5:$AN$66,AH!$U$4)),IF(AH!$U$5=1,INDEX('Live History'!$B$5:$B$3004,$K1146),INDEX('AH History'!$D$5:$GG$1380,$K1146,AH!$U$10))),NA()),NA())</f>
        <v/>
      </c>
      <c r="F1146" s="32">
        <f>IFERROR(IF(ISNUMBER($A1146),IF(AND(AH!$U$12=1,1141+1=AH!$U$6),IF(AH!$U$4=0,"unavailable",INDEX('Market Data'!$AO$5:$AO$66,AH!$U$4)),IF(AH!$U$5=1,INDEX('Live History'!$E$5:$E$3004,MATCH($A1146,'Live History'!$D$5:$D$3004,1)),INDEX('AH History'!$D$5:$GG$1380,$K1146,AH!$U$10+1))),NA()),NA())</f>
        <v/>
      </c>
      <c r="G1146" s="34">
        <f>IFERROR(IF(ISNUMBER($A1146),IF(AND(AH!$U$12=1,1141+1=AH!$U$6),IF(AH!$U$4=0,"unavailable",INDEX('Market Data'!$AK$5:$AK$66,AH!$U$4)),IF(AH!$U$5=1,INDEX('Live History'!$D$5:$D$3004,MATCH($A1146,'Live History'!$D$5:$D$3004,1)),INDEX('AH History'!$D$5:$GG$1380,$K1146,AH!$U$10+2))),NA()),NA())</f>
        <v/>
      </c>
      <c r="H1146" s="266">
        <f>IFERROR(IF(ISNUMBER($A1146),IF(AND(AH!$U$12=1,1141+1=AH!$U$6),IF(AH!$U$4=0,"unavailable",INDEX('Market Data'!$AP$5:$AP$66,AH!$U$4)),IF(AH!$U$5=1,INDEX('Live History'!$H$5:$H$3004,MATCH($A1146,'Live History'!$G$5:$G$3004,1)),INDEX('AH History'!$B$5:$B$1380,$K1146))),NA()),NA())</f>
        <v/>
      </c>
      <c r="I1146" s="34">
        <f>IFERROR(IF(ISNUMBER($A1146),IF(AND(AH!$U$12=1,1141+1=AH!$U$6),TODAY(),IF(AH!$U$5=1,INDEX('Live History'!$G$5:$G$3004,MATCH($A1146,'Live History'!$G$5:$G$3004,1)),INDEX('AH History'!$C$5:$C$1380,$K1146))),NA()),NA())</f>
        <v/>
      </c>
      <c r="J1146" s="32">
        <f>IFERROR(IF(AND($F1146&gt;0,$H1146&gt;0,$A1146-$G1146&lt;=10,$A1146-$I1146&lt;=5,$G1146&gt;0,$I1146&gt;0),$F1146*$H1146,NA()),NA())</f>
        <v/>
      </c>
      <c r="K1146" s="15">
        <f>IF($A1146="","",IF(AH!$U$5=1,IFERROR(MATCH($A1146,'Live History'!$A$5:$A$3004,0),0),AH!$U$7+1141))</f>
        <v/>
      </c>
      <c r="L1146" s="15">
        <f>IF(ISNUMBER(A1146),TEXT(A1146,"dd-mmm-yy"),"")</f>
        <v/>
      </c>
    </row>
    <row r="1147">
      <c r="A1147" s="14">
        <f>IF(OR(AH!$U$4=0,1142+1&gt;AH!$U$6,AND(AH!$M$5="Bloomberg",AH!$U$5=0)),"",IFERROR(IF(AND(AH!$U$12=1,1142+1=AH!$U$6),TODAY(),IF(AH!$U$5=1,INDEX('Live History'!$A$5:$A$3004,AH!$U$7+1142),INDEX('AH History'!$A$5:$A$1380,AH!$U$7+1142))),""))</f>
        <v/>
      </c>
      <c r="B1147" s="33">
        <f>IFERROR(IF(AH!$U$11=1,NA(),$J1147/$E1147-1),NA())</f>
        <v/>
      </c>
      <c r="C1147" s="269">
        <f>IFERROR(100*$E1147/$E$5,NA())</f>
        <v/>
      </c>
      <c r="D1147" s="269">
        <f>IFERROR(100*$J1147/$J$5,NA())</f>
        <v/>
      </c>
      <c r="E1147" s="32">
        <f>IFERROR(IF(AND(ISNUMBER($A1147),N(IF(AND(AH!$U$12=1,1142+1=AH!$U$6),IF(AH!$U$4=0,"unavailable",INDEX('Market Data'!$AN$5:$AN$66,AH!$U$4)),IF(AH!$U$5=1,INDEX('Live History'!$B$5:$B$3004,$K1147),INDEX('AH History'!$D$5:$GG$1380,$K1147,AH!$U$10))))&gt;0),IF(AND(AH!$U$12=1,1142+1=AH!$U$6),IF(AH!$U$4=0,"unavailable",INDEX('Market Data'!$AN$5:$AN$66,AH!$U$4)),IF(AH!$U$5=1,INDEX('Live History'!$B$5:$B$3004,$K1147),INDEX('AH History'!$D$5:$GG$1380,$K1147,AH!$U$10))),NA()),NA())</f>
        <v/>
      </c>
      <c r="F1147" s="32">
        <f>IFERROR(IF(ISNUMBER($A1147),IF(AND(AH!$U$12=1,1142+1=AH!$U$6),IF(AH!$U$4=0,"unavailable",INDEX('Market Data'!$AO$5:$AO$66,AH!$U$4)),IF(AH!$U$5=1,INDEX('Live History'!$E$5:$E$3004,MATCH($A1147,'Live History'!$D$5:$D$3004,1)),INDEX('AH History'!$D$5:$GG$1380,$K1147,AH!$U$10+1))),NA()),NA())</f>
        <v/>
      </c>
      <c r="G1147" s="34">
        <f>IFERROR(IF(ISNUMBER($A1147),IF(AND(AH!$U$12=1,1142+1=AH!$U$6),IF(AH!$U$4=0,"unavailable",INDEX('Market Data'!$AK$5:$AK$66,AH!$U$4)),IF(AH!$U$5=1,INDEX('Live History'!$D$5:$D$3004,MATCH($A1147,'Live History'!$D$5:$D$3004,1)),INDEX('AH History'!$D$5:$GG$1380,$K1147,AH!$U$10+2))),NA()),NA())</f>
        <v/>
      </c>
      <c r="H1147" s="266">
        <f>IFERROR(IF(ISNUMBER($A1147),IF(AND(AH!$U$12=1,1142+1=AH!$U$6),IF(AH!$U$4=0,"unavailable",INDEX('Market Data'!$AP$5:$AP$66,AH!$U$4)),IF(AH!$U$5=1,INDEX('Live History'!$H$5:$H$3004,MATCH($A1147,'Live History'!$G$5:$G$3004,1)),INDEX('AH History'!$B$5:$B$1380,$K1147))),NA()),NA())</f>
        <v/>
      </c>
      <c r="I1147" s="34">
        <f>IFERROR(IF(ISNUMBER($A1147),IF(AND(AH!$U$12=1,1142+1=AH!$U$6),TODAY(),IF(AH!$U$5=1,INDEX('Live History'!$G$5:$G$3004,MATCH($A1147,'Live History'!$G$5:$G$3004,1)),INDEX('AH History'!$C$5:$C$1380,$K1147))),NA()),NA())</f>
        <v/>
      </c>
      <c r="J1147" s="32">
        <f>IFERROR(IF(AND($F1147&gt;0,$H1147&gt;0,$A1147-$G1147&lt;=10,$A1147-$I1147&lt;=5,$G1147&gt;0,$I1147&gt;0),$F1147*$H1147,NA()),NA())</f>
        <v/>
      </c>
      <c r="K1147" s="15">
        <f>IF($A1147="","",IF(AH!$U$5=1,IFERROR(MATCH($A1147,'Live History'!$A$5:$A$3004,0),0),AH!$U$7+1142))</f>
        <v/>
      </c>
      <c r="L1147" s="15">
        <f>IF(ISNUMBER(A1147),TEXT(A1147,"dd-mmm-yy"),"")</f>
        <v/>
      </c>
    </row>
    <row r="1148">
      <c r="A1148" s="14">
        <f>IF(OR(AH!$U$4=0,1143+1&gt;AH!$U$6,AND(AH!$M$5="Bloomberg",AH!$U$5=0)),"",IFERROR(IF(AND(AH!$U$12=1,1143+1=AH!$U$6),TODAY(),IF(AH!$U$5=1,INDEX('Live History'!$A$5:$A$3004,AH!$U$7+1143),INDEX('AH History'!$A$5:$A$1380,AH!$U$7+1143))),""))</f>
        <v/>
      </c>
      <c r="B1148" s="33">
        <f>IFERROR(IF(AH!$U$11=1,NA(),$J1148/$E1148-1),NA())</f>
        <v/>
      </c>
      <c r="C1148" s="269">
        <f>IFERROR(100*$E1148/$E$5,NA())</f>
        <v/>
      </c>
      <c r="D1148" s="269">
        <f>IFERROR(100*$J1148/$J$5,NA())</f>
        <v/>
      </c>
      <c r="E1148" s="32">
        <f>IFERROR(IF(AND(ISNUMBER($A1148),N(IF(AND(AH!$U$12=1,1143+1=AH!$U$6),IF(AH!$U$4=0,"unavailable",INDEX('Market Data'!$AN$5:$AN$66,AH!$U$4)),IF(AH!$U$5=1,INDEX('Live History'!$B$5:$B$3004,$K1148),INDEX('AH History'!$D$5:$GG$1380,$K1148,AH!$U$10))))&gt;0),IF(AND(AH!$U$12=1,1143+1=AH!$U$6),IF(AH!$U$4=0,"unavailable",INDEX('Market Data'!$AN$5:$AN$66,AH!$U$4)),IF(AH!$U$5=1,INDEX('Live History'!$B$5:$B$3004,$K1148),INDEX('AH History'!$D$5:$GG$1380,$K1148,AH!$U$10))),NA()),NA())</f>
        <v/>
      </c>
      <c r="F1148" s="32">
        <f>IFERROR(IF(ISNUMBER($A1148),IF(AND(AH!$U$12=1,1143+1=AH!$U$6),IF(AH!$U$4=0,"unavailable",INDEX('Market Data'!$AO$5:$AO$66,AH!$U$4)),IF(AH!$U$5=1,INDEX('Live History'!$E$5:$E$3004,MATCH($A1148,'Live History'!$D$5:$D$3004,1)),INDEX('AH History'!$D$5:$GG$1380,$K1148,AH!$U$10+1))),NA()),NA())</f>
        <v/>
      </c>
      <c r="G1148" s="34">
        <f>IFERROR(IF(ISNUMBER($A1148),IF(AND(AH!$U$12=1,1143+1=AH!$U$6),IF(AH!$U$4=0,"unavailable",INDEX('Market Data'!$AK$5:$AK$66,AH!$U$4)),IF(AH!$U$5=1,INDEX('Live History'!$D$5:$D$3004,MATCH($A1148,'Live History'!$D$5:$D$3004,1)),INDEX('AH History'!$D$5:$GG$1380,$K1148,AH!$U$10+2))),NA()),NA())</f>
        <v/>
      </c>
      <c r="H1148" s="266">
        <f>IFERROR(IF(ISNUMBER($A1148),IF(AND(AH!$U$12=1,1143+1=AH!$U$6),IF(AH!$U$4=0,"unavailable",INDEX('Market Data'!$AP$5:$AP$66,AH!$U$4)),IF(AH!$U$5=1,INDEX('Live History'!$H$5:$H$3004,MATCH($A1148,'Live History'!$G$5:$G$3004,1)),INDEX('AH History'!$B$5:$B$1380,$K1148))),NA()),NA())</f>
        <v/>
      </c>
      <c r="I1148" s="34">
        <f>IFERROR(IF(ISNUMBER($A1148),IF(AND(AH!$U$12=1,1143+1=AH!$U$6),TODAY(),IF(AH!$U$5=1,INDEX('Live History'!$G$5:$G$3004,MATCH($A1148,'Live History'!$G$5:$G$3004,1)),INDEX('AH History'!$C$5:$C$1380,$K1148))),NA()),NA())</f>
        <v/>
      </c>
      <c r="J1148" s="32">
        <f>IFERROR(IF(AND($F1148&gt;0,$H1148&gt;0,$A1148-$G1148&lt;=10,$A1148-$I1148&lt;=5,$G1148&gt;0,$I1148&gt;0),$F1148*$H1148,NA()),NA())</f>
        <v/>
      </c>
      <c r="K1148" s="15">
        <f>IF($A1148="","",IF(AH!$U$5=1,IFERROR(MATCH($A1148,'Live History'!$A$5:$A$3004,0),0),AH!$U$7+1143))</f>
        <v/>
      </c>
      <c r="L1148" s="15">
        <f>IF(ISNUMBER(A1148),TEXT(A1148,"dd-mmm-yy"),"")</f>
        <v/>
      </c>
    </row>
    <row r="1149">
      <c r="A1149" s="14">
        <f>IF(OR(AH!$U$4=0,1144+1&gt;AH!$U$6,AND(AH!$M$5="Bloomberg",AH!$U$5=0)),"",IFERROR(IF(AND(AH!$U$12=1,1144+1=AH!$U$6),TODAY(),IF(AH!$U$5=1,INDEX('Live History'!$A$5:$A$3004,AH!$U$7+1144),INDEX('AH History'!$A$5:$A$1380,AH!$U$7+1144))),""))</f>
        <v/>
      </c>
      <c r="B1149" s="33">
        <f>IFERROR(IF(AH!$U$11=1,NA(),$J1149/$E1149-1),NA())</f>
        <v/>
      </c>
      <c r="C1149" s="269">
        <f>IFERROR(100*$E1149/$E$5,NA())</f>
        <v/>
      </c>
      <c r="D1149" s="269">
        <f>IFERROR(100*$J1149/$J$5,NA())</f>
        <v/>
      </c>
      <c r="E1149" s="32">
        <f>IFERROR(IF(AND(ISNUMBER($A1149),N(IF(AND(AH!$U$12=1,1144+1=AH!$U$6),IF(AH!$U$4=0,"unavailable",INDEX('Market Data'!$AN$5:$AN$66,AH!$U$4)),IF(AH!$U$5=1,INDEX('Live History'!$B$5:$B$3004,$K1149),INDEX('AH History'!$D$5:$GG$1380,$K1149,AH!$U$10))))&gt;0),IF(AND(AH!$U$12=1,1144+1=AH!$U$6),IF(AH!$U$4=0,"unavailable",INDEX('Market Data'!$AN$5:$AN$66,AH!$U$4)),IF(AH!$U$5=1,INDEX('Live History'!$B$5:$B$3004,$K1149),INDEX('AH History'!$D$5:$GG$1380,$K1149,AH!$U$10))),NA()),NA())</f>
        <v/>
      </c>
      <c r="F1149" s="32">
        <f>IFERROR(IF(ISNUMBER($A1149),IF(AND(AH!$U$12=1,1144+1=AH!$U$6),IF(AH!$U$4=0,"unavailable",INDEX('Market Data'!$AO$5:$AO$66,AH!$U$4)),IF(AH!$U$5=1,INDEX('Live History'!$E$5:$E$3004,MATCH($A1149,'Live History'!$D$5:$D$3004,1)),INDEX('AH History'!$D$5:$GG$1380,$K1149,AH!$U$10+1))),NA()),NA())</f>
        <v/>
      </c>
      <c r="G1149" s="34">
        <f>IFERROR(IF(ISNUMBER($A1149),IF(AND(AH!$U$12=1,1144+1=AH!$U$6),IF(AH!$U$4=0,"unavailable",INDEX('Market Data'!$AK$5:$AK$66,AH!$U$4)),IF(AH!$U$5=1,INDEX('Live History'!$D$5:$D$3004,MATCH($A1149,'Live History'!$D$5:$D$3004,1)),INDEX('AH History'!$D$5:$GG$1380,$K1149,AH!$U$10+2))),NA()),NA())</f>
        <v/>
      </c>
      <c r="H1149" s="266">
        <f>IFERROR(IF(ISNUMBER($A1149),IF(AND(AH!$U$12=1,1144+1=AH!$U$6),IF(AH!$U$4=0,"unavailable",INDEX('Market Data'!$AP$5:$AP$66,AH!$U$4)),IF(AH!$U$5=1,INDEX('Live History'!$H$5:$H$3004,MATCH($A1149,'Live History'!$G$5:$G$3004,1)),INDEX('AH History'!$B$5:$B$1380,$K1149))),NA()),NA())</f>
        <v/>
      </c>
      <c r="I1149" s="34">
        <f>IFERROR(IF(ISNUMBER($A1149),IF(AND(AH!$U$12=1,1144+1=AH!$U$6),TODAY(),IF(AH!$U$5=1,INDEX('Live History'!$G$5:$G$3004,MATCH($A1149,'Live History'!$G$5:$G$3004,1)),INDEX('AH History'!$C$5:$C$1380,$K1149))),NA()),NA())</f>
        <v/>
      </c>
      <c r="J1149" s="32">
        <f>IFERROR(IF(AND($F1149&gt;0,$H1149&gt;0,$A1149-$G1149&lt;=10,$A1149-$I1149&lt;=5,$G1149&gt;0,$I1149&gt;0),$F1149*$H1149,NA()),NA())</f>
        <v/>
      </c>
      <c r="K1149" s="15">
        <f>IF($A1149="","",IF(AH!$U$5=1,IFERROR(MATCH($A1149,'Live History'!$A$5:$A$3004,0),0),AH!$U$7+1144))</f>
        <v/>
      </c>
      <c r="L1149" s="15">
        <f>IF(ISNUMBER(A1149),TEXT(A1149,"dd-mmm-yy"),"")</f>
        <v/>
      </c>
    </row>
    <row r="1150">
      <c r="A1150" s="14">
        <f>IF(OR(AH!$U$4=0,1145+1&gt;AH!$U$6,AND(AH!$M$5="Bloomberg",AH!$U$5=0)),"",IFERROR(IF(AND(AH!$U$12=1,1145+1=AH!$U$6),TODAY(),IF(AH!$U$5=1,INDEX('Live History'!$A$5:$A$3004,AH!$U$7+1145),INDEX('AH History'!$A$5:$A$1380,AH!$U$7+1145))),""))</f>
        <v/>
      </c>
      <c r="B1150" s="33">
        <f>IFERROR(IF(AH!$U$11=1,NA(),$J1150/$E1150-1),NA())</f>
        <v/>
      </c>
      <c r="C1150" s="269">
        <f>IFERROR(100*$E1150/$E$5,NA())</f>
        <v/>
      </c>
      <c r="D1150" s="269">
        <f>IFERROR(100*$J1150/$J$5,NA())</f>
        <v/>
      </c>
      <c r="E1150" s="32">
        <f>IFERROR(IF(AND(ISNUMBER($A1150),N(IF(AND(AH!$U$12=1,1145+1=AH!$U$6),IF(AH!$U$4=0,"unavailable",INDEX('Market Data'!$AN$5:$AN$66,AH!$U$4)),IF(AH!$U$5=1,INDEX('Live History'!$B$5:$B$3004,$K1150),INDEX('AH History'!$D$5:$GG$1380,$K1150,AH!$U$10))))&gt;0),IF(AND(AH!$U$12=1,1145+1=AH!$U$6),IF(AH!$U$4=0,"unavailable",INDEX('Market Data'!$AN$5:$AN$66,AH!$U$4)),IF(AH!$U$5=1,INDEX('Live History'!$B$5:$B$3004,$K1150),INDEX('AH History'!$D$5:$GG$1380,$K1150,AH!$U$10))),NA()),NA())</f>
        <v/>
      </c>
      <c r="F1150" s="32">
        <f>IFERROR(IF(ISNUMBER($A1150),IF(AND(AH!$U$12=1,1145+1=AH!$U$6),IF(AH!$U$4=0,"unavailable",INDEX('Market Data'!$AO$5:$AO$66,AH!$U$4)),IF(AH!$U$5=1,INDEX('Live History'!$E$5:$E$3004,MATCH($A1150,'Live History'!$D$5:$D$3004,1)),INDEX('AH History'!$D$5:$GG$1380,$K1150,AH!$U$10+1))),NA()),NA())</f>
        <v/>
      </c>
      <c r="G1150" s="34">
        <f>IFERROR(IF(ISNUMBER($A1150),IF(AND(AH!$U$12=1,1145+1=AH!$U$6),IF(AH!$U$4=0,"unavailable",INDEX('Market Data'!$AK$5:$AK$66,AH!$U$4)),IF(AH!$U$5=1,INDEX('Live History'!$D$5:$D$3004,MATCH($A1150,'Live History'!$D$5:$D$3004,1)),INDEX('AH History'!$D$5:$GG$1380,$K1150,AH!$U$10+2))),NA()),NA())</f>
        <v/>
      </c>
      <c r="H1150" s="266">
        <f>IFERROR(IF(ISNUMBER($A1150),IF(AND(AH!$U$12=1,1145+1=AH!$U$6),IF(AH!$U$4=0,"unavailable",INDEX('Market Data'!$AP$5:$AP$66,AH!$U$4)),IF(AH!$U$5=1,INDEX('Live History'!$H$5:$H$3004,MATCH($A1150,'Live History'!$G$5:$G$3004,1)),INDEX('AH History'!$B$5:$B$1380,$K1150))),NA()),NA())</f>
        <v/>
      </c>
      <c r="I1150" s="34">
        <f>IFERROR(IF(ISNUMBER($A1150),IF(AND(AH!$U$12=1,1145+1=AH!$U$6),TODAY(),IF(AH!$U$5=1,INDEX('Live History'!$G$5:$G$3004,MATCH($A1150,'Live History'!$G$5:$G$3004,1)),INDEX('AH History'!$C$5:$C$1380,$K1150))),NA()),NA())</f>
        <v/>
      </c>
      <c r="J1150" s="32">
        <f>IFERROR(IF(AND($F1150&gt;0,$H1150&gt;0,$A1150-$G1150&lt;=10,$A1150-$I1150&lt;=5,$G1150&gt;0,$I1150&gt;0),$F1150*$H1150,NA()),NA())</f>
        <v/>
      </c>
      <c r="K1150" s="15">
        <f>IF($A1150="","",IF(AH!$U$5=1,IFERROR(MATCH($A1150,'Live History'!$A$5:$A$3004,0),0),AH!$U$7+1145))</f>
        <v/>
      </c>
      <c r="L1150" s="15">
        <f>IF(ISNUMBER(A1150),TEXT(A1150,"dd-mmm-yy"),"")</f>
        <v/>
      </c>
    </row>
    <row r="1151">
      <c r="A1151" s="14">
        <f>IF(OR(AH!$U$4=0,1146+1&gt;AH!$U$6,AND(AH!$M$5="Bloomberg",AH!$U$5=0)),"",IFERROR(IF(AND(AH!$U$12=1,1146+1=AH!$U$6),TODAY(),IF(AH!$U$5=1,INDEX('Live History'!$A$5:$A$3004,AH!$U$7+1146),INDEX('AH History'!$A$5:$A$1380,AH!$U$7+1146))),""))</f>
        <v/>
      </c>
      <c r="B1151" s="33">
        <f>IFERROR(IF(AH!$U$11=1,NA(),$J1151/$E1151-1),NA())</f>
        <v/>
      </c>
      <c r="C1151" s="269">
        <f>IFERROR(100*$E1151/$E$5,NA())</f>
        <v/>
      </c>
      <c r="D1151" s="269">
        <f>IFERROR(100*$J1151/$J$5,NA())</f>
        <v/>
      </c>
      <c r="E1151" s="32">
        <f>IFERROR(IF(AND(ISNUMBER($A1151),N(IF(AND(AH!$U$12=1,1146+1=AH!$U$6),IF(AH!$U$4=0,"unavailable",INDEX('Market Data'!$AN$5:$AN$66,AH!$U$4)),IF(AH!$U$5=1,INDEX('Live History'!$B$5:$B$3004,$K1151),INDEX('AH History'!$D$5:$GG$1380,$K1151,AH!$U$10))))&gt;0),IF(AND(AH!$U$12=1,1146+1=AH!$U$6),IF(AH!$U$4=0,"unavailable",INDEX('Market Data'!$AN$5:$AN$66,AH!$U$4)),IF(AH!$U$5=1,INDEX('Live History'!$B$5:$B$3004,$K1151),INDEX('AH History'!$D$5:$GG$1380,$K1151,AH!$U$10))),NA()),NA())</f>
        <v/>
      </c>
      <c r="F1151" s="32">
        <f>IFERROR(IF(ISNUMBER($A1151),IF(AND(AH!$U$12=1,1146+1=AH!$U$6),IF(AH!$U$4=0,"unavailable",INDEX('Market Data'!$AO$5:$AO$66,AH!$U$4)),IF(AH!$U$5=1,INDEX('Live History'!$E$5:$E$3004,MATCH($A1151,'Live History'!$D$5:$D$3004,1)),INDEX('AH History'!$D$5:$GG$1380,$K1151,AH!$U$10+1))),NA()),NA())</f>
        <v/>
      </c>
      <c r="G1151" s="34">
        <f>IFERROR(IF(ISNUMBER($A1151),IF(AND(AH!$U$12=1,1146+1=AH!$U$6),IF(AH!$U$4=0,"unavailable",INDEX('Market Data'!$AK$5:$AK$66,AH!$U$4)),IF(AH!$U$5=1,INDEX('Live History'!$D$5:$D$3004,MATCH($A1151,'Live History'!$D$5:$D$3004,1)),INDEX('AH History'!$D$5:$GG$1380,$K1151,AH!$U$10+2))),NA()),NA())</f>
        <v/>
      </c>
      <c r="H1151" s="266">
        <f>IFERROR(IF(ISNUMBER($A1151),IF(AND(AH!$U$12=1,1146+1=AH!$U$6),IF(AH!$U$4=0,"unavailable",INDEX('Market Data'!$AP$5:$AP$66,AH!$U$4)),IF(AH!$U$5=1,INDEX('Live History'!$H$5:$H$3004,MATCH($A1151,'Live History'!$G$5:$G$3004,1)),INDEX('AH History'!$B$5:$B$1380,$K1151))),NA()),NA())</f>
        <v/>
      </c>
      <c r="I1151" s="34">
        <f>IFERROR(IF(ISNUMBER($A1151),IF(AND(AH!$U$12=1,1146+1=AH!$U$6),TODAY(),IF(AH!$U$5=1,INDEX('Live History'!$G$5:$G$3004,MATCH($A1151,'Live History'!$G$5:$G$3004,1)),INDEX('AH History'!$C$5:$C$1380,$K1151))),NA()),NA())</f>
        <v/>
      </c>
      <c r="J1151" s="32">
        <f>IFERROR(IF(AND($F1151&gt;0,$H1151&gt;0,$A1151-$G1151&lt;=10,$A1151-$I1151&lt;=5,$G1151&gt;0,$I1151&gt;0),$F1151*$H1151,NA()),NA())</f>
        <v/>
      </c>
      <c r="K1151" s="15">
        <f>IF($A1151="","",IF(AH!$U$5=1,IFERROR(MATCH($A1151,'Live History'!$A$5:$A$3004,0),0),AH!$U$7+1146))</f>
        <v/>
      </c>
      <c r="L1151" s="15">
        <f>IF(ISNUMBER(A1151),TEXT(A1151,"dd-mmm-yy"),"")</f>
        <v/>
      </c>
    </row>
    <row r="1152">
      <c r="A1152" s="14">
        <f>IF(OR(AH!$U$4=0,1147+1&gt;AH!$U$6,AND(AH!$M$5="Bloomberg",AH!$U$5=0)),"",IFERROR(IF(AND(AH!$U$12=1,1147+1=AH!$U$6),TODAY(),IF(AH!$U$5=1,INDEX('Live History'!$A$5:$A$3004,AH!$U$7+1147),INDEX('AH History'!$A$5:$A$1380,AH!$U$7+1147))),""))</f>
        <v/>
      </c>
      <c r="B1152" s="33">
        <f>IFERROR(IF(AH!$U$11=1,NA(),$J1152/$E1152-1),NA())</f>
        <v/>
      </c>
      <c r="C1152" s="269">
        <f>IFERROR(100*$E1152/$E$5,NA())</f>
        <v/>
      </c>
      <c r="D1152" s="269">
        <f>IFERROR(100*$J1152/$J$5,NA())</f>
        <v/>
      </c>
      <c r="E1152" s="32">
        <f>IFERROR(IF(AND(ISNUMBER($A1152),N(IF(AND(AH!$U$12=1,1147+1=AH!$U$6),IF(AH!$U$4=0,"unavailable",INDEX('Market Data'!$AN$5:$AN$66,AH!$U$4)),IF(AH!$U$5=1,INDEX('Live History'!$B$5:$B$3004,$K1152),INDEX('AH History'!$D$5:$GG$1380,$K1152,AH!$U$10))))&gt;0),IF(AND(AH!$U$12=1,1147+1=AH!$U$6),IF(AH!$U$4=0,"unavailable",INDEX('Market Data'!$AN$5:$AN$66,AH!$U$4)),IF(AH!$U$5=1,INDEX('Live History'!$B$5:$B$3004,$K1152),INDEX('AH History'!$D$5:$GG$1380,$K1152,AH!$U$10))),NA()),NA())</f>
        <v/>
      </c>
      <c r="F1152" s="32">
        <f>IFERROR(IF(ISNUMBER($A1152),IF(AND(AH!$U$12=1,1147+1=AH!$U$6),IF(AH!$U$4=0,"unavailable",INDEX('Market Data'!$AO$5:$AO$66,AH!$U$4)),IF(AH!$U$5=1,INDEX('Live History'!$E$5:$E$3004,MATCH($A1152,'Live History'!$D$5:$D$3004,1)),INDEX('AH History'!$D$5:$GG$1380,$K1152,AH!$U$10+1))),NA()),NA())</f>
        <v/>
      </c>
      <c r="G1152" s="34">
        <f>IFERROR(IF(ISNUMBER($A1152),IF(AND(AH!$U$12=1,1147+1=AH!$U$6),IF(AH!$U$4=0,"unavailable",INDEX('Market Data'!$AK$5:$AK$66,AH!$U$4)),IF(AH!$U$5=1,INDEX('Live History'!$D$5:$D$3004,MATCH($A1152,'Live History'!$D$5:$D$3004,1)),INDEX('AH History'!$D$5:$GG$1380,$K1152,AH!$U$10+2))),NA()),NA())</f>
        <v/>
      </c>
      <c r="H1152" s="266">
        <f>IFERROR(IF(ISNUMBER($A1152),IF(AND(AH!$U$12=1,1147+1=AH!$U$6),IF(AH!$U$4=0,"unavailable",INDEX('Market Data'!$AP$5:$AP$66,AH!$U$4)),IF(AH!$U$5=1,INDEX('Live History'!$H$5:$H$3004,MATCH($A1152,'Live History'!$G$5:$G$3004,1)),INDEX('AH History'!$B$5:$B$1380,$K1152))),NA()),NA())</f>
        <v/>
      </c>
      <c r="I1152" s="34">
        <f>IFERROR(IF(ISNUMBER($A1152),IF(AND(AH!$U$12=1,1147+1=AH!$U$6),TODAY(),IF(AH!$U$5=1,INDEX('Live History'!$G$5:$G$3004,MATCH($A1152,'Live History'!$G$5:$G$3004,1)),INDEX('AH History'!$C$5:$C$1380,$K1152))),NA()),NA())</f>
        <v/>
      </c>
      <c r="J1152" s="32">
        <f>IFERROR(IF(AND($F1152&gt;0,$H1152&gt;0,$A1152-$G1152&lt;=10,$A1152-$I1152&lt;=5,$G1152&gt;0,$I1152&gt;0),$F1152*$H1152,NA()),NA())</f>
        <v/>
      </c>
      <c r="K1152" s="15">
        <f>IF($A1152="","",IF(AH!$U$5=1,IFERROR(MATCH($A1152,'Live History'!$A$5:$A$3004,0),0),AH!$U$7+1147))</f>
        <v/>
      </c>
      <c r="L1152" s="15">
        <f>IF(ISNUMBER(A1152),TEXT(A1152,"dd-mmm-yy"),"")</f>
        <v/>
      </c>
    </row>
    <row r="1153">
      <c r="A1153" s="14">
        <f>IF(OR(AH!$U$4=0,1148+1&gt;AH!$U$6,AND(AH!$M$5="Bloomberg",AH!$U$5=0)),"",IFERROR(IF(AND(AH!$U$12=1,1148+1=AH!$U$6),TODAY(),IF(AH!$U$5=1,INDEX('Live History'!$A$5:$A$3004,AH!$U$7+1148),INDEX('AH History'!$A$5:$A$1380,AH!$U$7+1148))),""))</f>
        <v/>
      </c>
      <c r="B1153" s="33">
        <f>IFERROR(IF(AH!$U$11=1,NA(),$J1153/$E1153-1),NA())</f>
        <v/>
      </c>
      <c r="C1153" s="269">
        <f>IFERROR(100*$E1153/$E$5,NA())</f>
        <v/>
      </c>
      <c r="D1153" s="269">
        <f>IFERROR(100*$J1153/$J$5,NA())</f>
        <v/>
      </c>
      <c r="E1153" s="32">
        <f>IFERROR(IF(AND(ISNUMBER($A1153),N(IF(AND(AH!$U$12=1,1148+1=AH!$U$6),IF(AH!$U$4=0,"unavailable",INDEX('Market Data'!$AN$5:$AN$66,AH!$U$4)),IF(AH!$U$5=1,INDEX('Live History'!$B$5:$B$3004,$K1153),INDEX('AH History'!$D$5:$GG$1380,$K1153,AH!$U$10))))&gt;0),IF(AND(AH!$U$12=1,1148+1=AH!$U$6),IF(AH!$U$4=0,"unavailable",INDEX('Market Data'!$AN$5:$AN$66,AH!$U$4)),IF(AH!$U$5=1,INDEX('Live History'!$B$5:$B$3004,$K1153),INDEX('AH History'!$D$5:$GG$1380,$K1153,AH!$U$10))),NA()),NA())</f>
        <v/>
      </c>
      <c r="F1153" s="32">
        <f>IFERROR(IF(ISNUMBER($A1153),IF(AND(AH!$U$12=1,1148+1=AH!$U$6),IF(AH!$U$4=0,"unavailable",INDEX('Market Data'!$AO$5:$AO$66,AH!$U$4)),IF(AH!$U$5=1,INDEX('Live History'!$E$5:$E$3004,MATCH($A1153,'Live History'!$D$5:$D$3004,1)),INDEX('AH History'!$D$5:$GG$1380,$K1153,AH!$U$10+1))),NA()),NA())</f>
        <v/>
      </c>
      <c r="G1153" s="34">
        <f>IFERROR(IF(ISNUMBER($A1153),IF(AND(AH!$U$12=1,1148+1=AH!$U$6),IF(AH!$U$4=0,"unavailable",INDEX('Market Data'!$AK$5:$AK$66,AH!$U$4)),IF(AH!$U$5=1,INDEX('Live History'!$D$5:$D$3004,MATCH($A1153,'Live History'!$D$5:$D$3004,1)),INDEX('AH History'!$D$5:$GG$1380,$K1153,AH!$U$10+2))),NA()),NA())</f>
        <v/>
      </c>
      <c r="H1153" s="266">
        <f>IFERROR(IF(ISNUMBER($A1153),IF(AND(AH!$U$12=1,1148+1=AH!$U$6),IF(AH!$U$4=0,"unavailable",INDEX('Market Data'!$AP$5:$AP$66,AH!$U$4)),IF(AH!$U$5=1,INDEX('Live History'!$H$5:$H$3004,MATCH($A1153,'Live History'!$G$5:$G$3004,1)),INDEX('AH History'!$B$5:$B$1380,$K1153))),NA()),NA())</f>
        <v/>
      </c>
      <c r="I1153" s="34">
        <f>IFERROR(IF(ISNUMBER($A1153),IF(AND(AH!$U$12=1,1148+1=AH!$U$6),TODAY(),IF(AH!$U$5=1,INDEX('Live History'!$G$5:$G$3004,MATCH($A1153,'Live History'!$G$5:$G$3004,1)),INDEX('AH History'!$C$5:$C$1380,$K1153))),NA()),NA())</f>
        <v/>
      </c>
      <c r="J1153" s="32">
        <f>IFERROR(IF(AND($F1153&gt;0,$H1153&gt;0,$A1153-$G1153&lt;=10,$A1153-$I1153&lt;=5,$G1153&gt;0,$I1153&gt;0),$F1153*$H1153,NA()),NA())</f>
        <v/>
      </c>
      <c r="K1153" s="15">
        <f>IF($A1153="","",IF(AH!$U$5=1,IFERROR(MATCH($A1153,'Live History'!$A$5:$A$3004,0),0),AH!$U$7+1148))</f>
        <v/>
      </c>
      <c r="L1153" s="15">
        <f>IF(ISNUMBER(A1153),TEXT(A1153,"dd-mmm-yy"),"")</f>
        <v/>
      </c>
    </row>
    <row r="1154">
      <c r="A1154" s="14">
        <f>IF(OR(AH!$U$4=0,1149+1&gt;AH!$U$6,AND(AH!$M$5="Bloomberg",AH!$U$5=0)),"",IFERROR(IF(AND(AH!$U$12=1,1149+1=AH!$U$6),TODAY(),IF(AH!$U$5=1,INDEX('Live History'!$A$5:$A$3004,AH!$U$7+1149),INDEX('AH History'!$A$5:$A$1380,AH!$U$7+1149))),""))</f>
        <v/>
      </c>
      <c r="B1154" s="33">
        <f>IFERROR(IF(AH!$U$11=1,NA(),$J1154/$E1154-1),NA())</f>
        <v/>
      </c>
      <c r="C1154" s="269">
        <f>IFERROR(100*$E1154/$E$5,NA())</f>
        <v/>
      </c>
      <c r="D1154" s="269">
        <f>IFERROR(100*$J1154/$J$5,NA())</f>
        <v/>
      </c>
      <c r="E1154" s="32">
        <f>IFERROR(IF(AND(ISNUMBER($A1154),N(IF(AND(AH!$U$12=1,1149+1=AH!$U$6),IF(AH!$U$4=0,"unavailable",INDEX('Market Data'!$AN$5:$AN$66,AH!$U$4)),IF(AH!$U$5=1,INDEX('Live History'!$B$5:$B$3004,$K1154),INDEX('AH History'!$D$5:$GG$1380,$K1154,AH!$U$10))))&gt;0),IF(AND(AH!$U$12=1,1149+1=AH!$U$6),IF(AH!$U$4=0,"unavailable",INDEX('Market Data'!$AN$5:$AN$66,AH!$U$4)),IF(AH!$U$5=1,INDEX('Live History'!$B$5:$B$3004,$K1154),INDEX('AH History'!$D$5:$GG$1380,$K1154,AH!$U$10))),NA()),NA())</f>
        <v/>
      </c>
      <c r="F1154" s="32">
        <f>IFERROR(IF(ISNUMBER($A1154),IF(AND(AH!$U$12=1,1149+1=AH!$U$6),IF(AH!$U$4=0,"unavailable",INDEX('Market Data'!$AO$5:$AO$66,AH!$U$4)),IF(AH!$U$5=1,INDEX('Live History'!$E$5:$E$3004,MATCH($A1154,'Live History'!$D$5:$D$3004,1)),INDEX('AH History'!$D$5:$GG$1380,$K1154,AH!$U$10+1))),NA()),NA())</f>
        <v/>
      </c>
      <c r="G1154" s="34">
        <f>IFERROR(IF(ISNUMBER($A1154),IF(AND(AH!$U$12=1,1149+1=AH!$U$6),IF(AH!$U$4=0,"unavailable",INDEX('Market Data'!$AK$5:$AK$66,AH!$U$4)),IF(AH!$U$5=1,INDEX('Live History'!$D$5:$D$3004,MATCH($A1154,'Live History'!$D$5:$D$3004,1)),INDEX('AH History'!$D$5:$GG$1380,$K1154,AH!$U$10+2))),NA()),NA())</f>
        <v/>
      </c>
      <c r="H1154" s="266">
        <f>IFERROR(IF(ISNUMBER($A1154),IF(AND(AH!$U$12=1,1149+1=AH!$U$6),IF(AH!$U$4=0,"unavailable",INDEX('Market Data'!$AP$5:$AP$66,AH!$U$4)),IF(AH!$U$5=1,INDEX('Live History'!$H$5:$H$3004,MATCH($A1154,'Live History'!$G$5:$G$3004,1)),INDEX('AH History'!$B$5:$B$1380,$K1154))),NA()),NA())</f>
        <v/>
      </c>
      <c r="I1154" s="34">
        <f>IFERROR(IF(ISNUMBER($A1154),IF(AND(AH!$U$12=1,1149+1=AH!$U$6),TODAY(),IF(AH!$U$5=1,INDEX('Live History'!$G$5:$G$3004,MATCH($A1154,'Live History'!$G$5:$G$3004,1)),INDEX('AH History'!$C$5:$C$1380,$K1154))),NA()),NA())</f>
        <v/>
      </c>
      <c r="J1154" s="32">
        <f>IFERROR(IF(AND($F1154&gt;0,$H1154&gt;0,$A1154-$G1154&lt;=10,$A1154-$I1154&lt;=5,$G1154&gt;0,$I1154&gt;0),$F1154*$H1154,NA()),NA())</f>
        <v/>
      </c>
      <c r="K1154" s="15">
        <f>IF($A1154="","",IF(AH!$U$5=1,IFERROR(MATCH($A1154,'Live History'!$A$5:$A$3004,0),0),AH!$U$7+1149))</f>
        <v/>
      </c>
      <c r="L1154" s="15">
        <f>IF(ISNUMBER(A1154),TEXT(A1154,"dd-mmm-yy"),"")</f>
        <v/>
      </c>
    </row>
    <row r="1155">
      <c r="A1155" s="14">
        <f>IF(OR(AH!$U$4=0,1150+1&gt;AH!$U$6,AND(AH!$M$5="Bloomberg",AH!$U$5=0)),"",IFERROR(IF(AND(AH!$U$12=1,1150+1=AH!$U$6),TODAY(),IF(AH!$U$5=1,INDEX('Live History'!$A$5:$A$3004,AH!$U$7+1150),INDEX('AH History'!$A$5:$A$1380,AH!$U$7+1150))),""))</f>
        <v/>
      </c>
      <c r="B1155" s="33">
        <f>IFERROR(IF(AH!$U$11=1,NA(),$J1155/$E1155-1),NA())</f>
        <v/>
      </c>
      <c r="C1155" s="269">
        <f>IFERROR(100*$E1155/$E$5,NA())</f>
        <v/>
      </c>
      <c r="D1155" s="269">
        <f>IFERROR(100*$J1155/$J$5,NA())</f>
        <v/>
      </c>
      <c r="E1155" s="32">
        <f>IFERROR(IF(AND(ISNUMBER($A1155),N(IF(AND(AH!$U$12=1,1150+1=AH!$U$6),IF(AH!$U$4=0,"unavailable",INDEX('Market Data'!$AN$5:$AN$66,AH!$U$4)),IF(AH!$U$5=1,INDEX('Live History'!$B$5:$B$3004,$K1155),INDEX('AH History'!$D$5:$GG$1380,$K1155,AH!$U$10))))&gt;0),IF(AND(AH!$U$12=1,1150+1=AH!$U$6),IF(AH!$U$4=0,"unavailable",INDEX('Market Data'!$AN$5:$AN$66,AH!$U$4)),IF(AH!$U$5=1,INDEX('Live History'!$B$5:$B$3004,$K1155),INDEX('AH History'!$D$5:$GG$1380,$K1155,AH!$U$10))),NA()),NA())</f>
        <v/>
      </c>
      <c r="F1155" s="32">
        <f>IFERROR(IF(ISNUMBER($A1155),IF(AND(AH!$U$12=1,1150+1=AH!$U$6),IF(AH!$U$4=0,"unavailable",INDEX('Market Data'!$AO$5:$AO$66,AH!$U$4)),IF(AH!$U$5=1,INDEX('Live History'!$E$5:$E$3004,MATCH($A1155,'Live History'!$D$5:$D$3004,1)),INDEX('AH History'!$D$5:$GG$1380,$K1155,AH!$U$10+1))),NA()),NA())</f>
        <v/>
      </c>
      <c r="G1155" s="34">
        <f>IFERROR(IF(ISNUMBER($A1155),IF(AND(AH!$U$12=1,1150+1=AH!$U$6),IF(AH!$U$4=0,"unavailable",INDEX('Market Data'!$AK$5:$AK$66,AH!$U$4)),IF(AH!$U$5=1,INDEX('Live History'!$D$5:$D$3004,MATCH($A1155,'Live History'!$D$5:$D$3004,1)),INDEX('AH History'!$D$5:$GG$1380,$K1155,AH!$U$10+2))),NA()),NA())</f>
        <v/>
      </c>
      <c r="H1155" s="266">
        <f>IFERROR(IF(ISNUMBER($A1155),IF(AND(AH!$U$12=1,1150+1=AH!$U$6),IF(AH!$U$4=0,"unavailable",INDEX('Market Data'!$AP$5:$AP$66,AH!$U$4)),IF(AH!$U$5=1,INDEX('Live History'!$H$5:$H$3004,MATCH($A1155,'Live History'!$G$5:$G$3004,1)),INDEX('AH History'!$B$5:$B$1380,$K1155))),NA()),NA())</f>
        <v/>
      </c>
      <c r="I1155" s="34">
        <f>IFERROR(IF(ISNUMBER($A1155),IF(AND(AH!$U$12=1,1150+1=AH!$U$6),TODAY(),IF(AH!$U$5=1,INDEX('Live History'!$G$5:$G$3004,MATCH($A1155,'Live History'!$G$5:$G$3004,1)),INDEX('AH History'!$C$5:$C$1380,$K1155))),NA()),NA())</f>
        <v/>
      </c>
      <c r="J1155" s="32">
        <f>IFERROR(IF(AND($F1155&gt;0,$H1155&gt;0,$A1155-$G1155&lt;=10,$A1155-$I1155&lt;=5,$G1155&gt;0,$I1155&gt;0),$F1155*$H1155,NA()),NA())</f>
        <v/>
      </c>
      <c r="K1155" s="15">
        <f>IF($A1155="","",IF(AH!$U$5=1,IFERROR(MATCH($A1155,'Live History'!$A$5:$A$3004,0),0),AH!$U$7+1150))</f>
        <v/>
      </c>
      <c r="L1155" s="15">
        <f>IF(ISNUMBER(A1155),TEXT(A1155,"dd-mmm-yy"),"")</f>
        <v/>
      </c>
    </row>
    <row r="1156">
      <c r="A1156" s="14">
        <f>IF(OR(AH!$U$4=0,1151+1&gt;AH!$U$6,AND(AH!$M$5="Bloomberg",AH!$U$5=0)),"",IFERROR(IF(AND(AH!$U$12=1,1151+1=AH!$U$6),TODAY(),IF(AH!$U$5=1,INDEX('Live History'!$A$5:$A$3004,AH!$U$7+1151),INDEX('AH History'!$A$5:$A$1380,AH!$U$7+1151))),""))</f>
        <v/>
      </c>
      <c r="B1156" s="33">
        <f>IFERROR(IF(AH!$U$11=1,NA(),$J1156/$E1156-1),NA())</f>
        <v/>
      </c>
      <c r="C1156" s="269">
        <f>IFERROR(100*$E1156/$E$5,NA())</f>
        <v/>
      </c>
      <c r="D1156" s="269">
        <f>IFERROR(100*$J1156/$J$5,NA())</f>
        <v/>
      </c>
      <c r="E1156" s="32">
        <f>IFERROR(IF(AND(ISNUMBER($A1156),N(IF(AND(AH!$U$12=1,1151+1=AH!$U$6),IF(AH!$U$4=0,"unavailable",INDEX('Market Data'!$AN$5:$AN$66,AH!$U$4)),IF(AH!$U$5=1,INDEX('Live History'!$B$5:$B$3004,$K1156),INDEX('AH History'!$D$5:$GG$1380,$K1156,AH!$U$10))))&gt;0),IF(AND(AH!$U$12=1,1151+1=AH!$U$6),IF(AH!$U$4=0,"unavailable",INDEX('Market Data'!$AN$5:$AN$66,AH!$U$4)),IF(AH!$U$5=1,INDEX('Live History'!$B$5:$B$3004,$K1156),INDEX('AH History'!$D$5:$GG$1380,$K1156,AH!$U$10))),NA()),NA())</f>
        <v/>
      </c>
      <c r="F1156" s="32">
        <f>IFERROR(IF(ISNUMBER($A1156),IF(AND(AH!$U$12=1,1151+1=AH!$U$6),IF(AH!$U$4=0,"unavailable",INDEX('Market Data'!$AO$5:$AO$66,AH!$U$4)),IF(AH!$U$5=1,INDEX('Live History'!$E$5:$E$3004,MATCH($A1156,'Live History'!$D$5:$D$3004,1)),INDEX('AH History'!$D$5:$GG$1380,$K1156,AH!$U$10+1))),NA()),NA())</f>
        <v/>
      </c>
      <c r="G1156" s="34">
        <f>IFERROR(IF(ISNUMBER($A1156),IF(AND(AH!$U$12=1,1151+1=AH!$U$6),IF(AH!$U$4=0,"unavailable",INDEX('Market Data'!$AK$5:$AK$66,AH!$U$4)),IF(AH!$U$5=1,INDEX('Live History'!$D$5:$D$3004,MATCH($A1156,'Live History'!$D$5:$D$3004,1)),INDEX('AH History'!$D$5:$GG$1380,$K1156,AH!$U$10+2))),NA()),NA())</f>
        <v/>
      </c>
      <c r="H1156" s="266">
        <f>IFERROR(IF(ISNUMBER($A1156),IF(AND(AH!$U$12=1,1151+1=AH!$U$6),IF(AH!$U$4=0,"unavailable",INDEX('Market Data'!$AP$5:$AP$66,AH!$U$4)),IF(AH!$U$5=1,INDEX('Live History'!$H$5:$H$3004,MATCH($A1156,'Live History'!$G$5:$G$3004,1)),INDEX('AH History'!$B$5:$B$1380,$K1156))),NA()),NA())</f>
        <v/>
      </c>
      <c r="I1156" s="34">
        <f>IFERROR(IF(ISNUMBER($A1156),IF(AND(AH!$U$12=1,1151+1=AH!$U$6),TODAY(),IF(AH!$U$5=1,INDEX('Live History'!$G$5:$G$3004,MATCH($A1156,'Live History'!$G$5:$G$3004,1)),INDEX('AH History'!$C$5:$C$1380,$K1156))),NA()),NA())</f>
        <v/>
      </c>
      <c r="J1156" s="32">
        <f>IFERROR(IF(AND($F1156&gt;0,$H1156&gt;0,$A1156-$G1156&lt;=10,$A1156-$I1156&lt;=5,$G1156&gt;0,$I1156&gt;0),$F1156*$H1156,NA()),NA())</f>
        <v/>
      </c>
      <c r="K1156" s="15">
        <f>IF($A1156="","",IF(AH!$U$5=1,IFERROR(MATCH($A1156,'Live History'!$A$5:$A$3004,0),0),AH!$U$7+1151))</f>
        <v/>
      </c>
      <c r="L1156" s="15">
        <f>IF(ISNUMBER(A1156),TEXT(A1156,"dd-mmm-yy"),"")</f>
        <v/>
      </c>
    </row>
    <row r="1157">
      <c r="A1157" s="14">
        <f>IF(OR(AH!$U$4=0,1152+1&gt;AH!$U$6,AND(AH!$M$5="Bloomberg",AH!$U$5=0)),"",IFERROR(IF(AND(AH!$U$12=1,1152+1=AH!$U$6),TODAY(),IF(AH!$U$5=1,INDEX('Live History'!$A$5:$A$3004,AH!$U$7+1152),INDEX('AH History'!$A$5:$A$1380,AH!$U$7+1152))),""))</f>
        <v/>
      </c>
      <c r="B1157" s="33">
        <f>IFERROR(IF(AH!$U$11=1,NA(),$J1157/$E1157-1),NA())</f>
        <v/>
      </c>
      <c r="C1157" s="269">
        <f>IFERROR(100*$E1157/$E$5,NA())</f>
        <v/>
      </c>
      <c r="D1157" s="269">
        <f>IFERROR(100*$J1157/$J$5,NA())</f>
        <v/>
      </c>
      <c r="E1157" s="32">
        <f>IFERROR(IF(AND(ISNUMBER($A1157),N(IF(AND(AH!$U$12=1,1152+1=AH!$U$6),IF(AH!$U$4=0,"unavailable",INDEX('Market Data'!$AN$5:$AN$66,AH!$U$4)),IF(AH!$U$5=1,INDEX('Live History'!$B$5:$B$3004,$K1157),INDEX('AH History'!$D$5:$GG$1380,$K1157,AH!$U$10))))&gt;0),IF(AND(AH!$U$12=1,1152+1=AH!$U$6),IF(AH!$U$4=0,"unavailable",INDEX('Market Data'!$AN$5:$AN$66,AH!$U$4)),IF(AH!$U$5=1,INDEX('Live History'!$B$5:$B$3004,$K1157),INDEX('AH History'!$D$5:$GG$1380,$K1157,AH!$U$10))),NA()),NA())</f>
        <v/>
      </c>
      <c r="F1157" s="32">
        <f>IFERROR(IF(ISNUMBER($A1157),IF(AND(AH!$U$12=1,1152+1=AH!$U$6),IF(AH!$U$4=0,"unavailable",INDEX('Market Data'!$AO$5:$AO$66,AH!$U$4)),IF(AH!$U$5=1,INDEX('Live History'!$E$5:$E$3004,MATCH($A1157,'Live History'!$D$5:$D$3004,1)),INDEX('AH History'!$D$5:$GG$1380,$K1157,AH!$U$10+1))),NA()),NA())</f>
        <v/>
      </c>
      <c r="G1157" s="34">
        <f>IFERROR(IF(ISNUMBER($A1157),IF(AND(AH!$U$12=1,1152+1=AH!$U$6),IF(AH!$U$4=0,"unavailable",INDEX('Market Data'!$AK$5:$AK$66,AH!$U$4)),IF(AH!$U$5=1,INDEX('Live History'!$D$5:$D$3004,MATCH($A1157,'Live History'!$D$5:$D$3004,1)),INDEX('AH History'!$D$5:$GG$1380,$K1157,AH!$U$10+2))),NA()),NA())</f>
        <v/>
      </c>
      <c r="H1157" s="266">
        <f>IFERROR(IF(ISNUMBER($A1157),IF(AND(AH!$U$12=1,1152+1=AH!$U$6),IF(AH!$U$4=0,"unavailable",INDEX('Market Data'!$AP$5:$AP$66,AH!$U$4)),IF(AH!$U$5=1,INDEX('Live History'!$H$5:$H$3004,MATCH($A1157,'Live History'!$G$5:$G$3004,1)),INDEX('AH History'!$B$5:$B$1380,$K1157))),NA()),NA())</f>
        <v/>
      </c>
      <c r="I1157" s="34">
        <f>IFERROR(IF(ISNUMBER($A1157),IF(AND(AH!$U$12=1,1152+1=AH!$U$6),TODAY(),IF(AH!$U$5=1,INDEX('Live History'!$G$5:$G$3004,MATCH($A1157,'Live History'!$G$5:$G$3004,1)),INDEX('AH History'!$C$5:$C$1380,$K1157))),NA()),NA())</f>
        <v/>
      </c>
      <c r="J1157" s="32">
        <f>IFERROR(IF(AND($F1157&gt;0,$H1157&gt;0,$A1157-$G1157&lt;=10,$A1157-$I1157&lt;=5,$G1157&gt;0,$I1157&gt;0),$F1157*$H1157,NA()),NA())</f>
        <v/>
      </c>
      <c r="K1157" s="15">
        <f>IF($A1157="","",IF(AH!$U$5=1,IFERROR(MATCH($A1157,'Live History'!$A$5:$A$3004,0),0),AH!$U$7+1152))</f>
        <v/>
      </c>
      <c r="L1157" s="15">
        <f>IF(ISNUMBER(A1157),TEXT(A1157,"dd-mmm-yy"),"")</f>
        <v/>
      </c>
    </row>
    <row r="1158">
      <c r="A1158" s="14">
        <f>IF(OR(AH!$U$4=0,1153+1&gt;AH!$U$6,AND(AH!$M$5="Bloomberg",AH!$U$5=0)),"",IFERROR(IF(AND(AH!$U$12=1,1153+1=AH!$U$6),TODAY(),IF(AH!$U$5=1,INDEX('Live History'!$A$5:$A$3004,AH!$U$7+1153),INDEX('AH History'!$A$5:$A$1380,AH!$U$7+1153))),""))</f>
        <v/>
      </c>
      <c r="B1158" s="33">
        <f>IFERROR(IF(AH!$U$11=1,NA(),$J1158/$E1158-1),NA())</f>
        <v/>
      </c>
      <c r="C1158" s="269">
        <f>IFERROR(100*$E1158/$E$5,NA())</f>
        <v/>
      </c>
      <c r="D1158" s="269">
        <f>IFERROR(100*$J1158/$J$5,NA())</f>
        <v/>
      </c>
      <c r="E1158" s="32">
        <f>IFERROR(IF(AND(ISNUMBER($A1158),N(IF(AND(AH!$U$12=1,1153+1=AH!$U$6),IF(AH!$U$4=0,"unavailable",INDEX('Market Data'!$AN$5:$AN$66,AH!$U$4)),IF(AH!$U$5=1,INDEX('Live History'!$B$5:$B$3004,$K1158),INDEX('AH History'!$D$5:$GG$1380,$K1158,AH!$U$10))))&gt;0),IF(AND(AH!$U$12=1,1153+1=AH!$U$6),IF(AH!$U$4=0,"unavailable",INDEX('Market Data'!$AN$5:$AN$66,AH!$U$4)),IF(AH!$U$5=1,INDEX('Live History'!$B$5:$B$3004,$K1158),INDEX('AH History'!$D$5:$GG$1380,$K1158,AH!$U$10))),NA()),NA())</f>
        <v/>
      </c>
      <c r="F1158" s="32">
        <f>IFERROR(IF(ISNUMBER($A1158),IF(AND(AH!$U$12=1,1153+1=AH!$U$6),IF(AH!$U$4=0,"unavailable",INDEX('Market Data'!$AO$5:$AO$66,AH!$U$4)),IF(AH!$U$5=1,INDEX('Live History'!$E$5:$E$3004,MATCH($A1158,'Live History'!$D$5:$D$3004,1)),INDEX('AH History'!$D$5:$GG$1380,$K1158,AH!$U$10+1))),NA()),NA())</f>
        <v/>
      </c>
      <c r="G1158" s="34">
        <f>IFERROR(IF(ISNUMBER($A1158),IF(AND(AH!$U$12=1,1153+1=AH!$U$6),IF(AH!$U$4=0,"unavailable",INDEX('Market Data'!$AK$5:$AK$66,AH!$U$4)),IF(AH!$U$5=1,INDEX('Live History'!$D$5:$D$3004,MATCH($A1158,'Live History'!$D$5:$D$3004,1)),INDEX('AH History'!$D$5:$GG$1380,$K1158,AH!$U$10+2))),NA()),NA())</f>
        <v/>
      </c>
      <c r="H1158" s="266">
        <f>IFERROR(IF(ISNUMBER($A1158),IF(AND(AH!$U$12=1,1153+1=AH!$U$6),IF(AH!$U$4=0,"unavailable",INDEX('Market Data'!$AP$5:$AP$66,AH!$U$4)),IF(AH!$U$5=1,INDEX('Live History'!$H$5:$H$3004,MATCH($A1158,'Live History'!$G$5:$G$3004,1)),INDEX('AH History'!$B$5:$B$1380,$K1158))),NA()),NA())</f>
        <v/>
      </c>
      <c r="I1158" s="34">
        <f>IFERROR(IF(ISNUMBER($A1158),IF(AND(AH!$U$12=1,1153+1=AH!$U$6),TODAY(),IF(AH!$U$5=1,INDEX('Live History'!$G$5:$G$3004,MATCH($A1158,'Live History'!$G$5:$G$3004,1)),INDEX('AH History'!$C$5:$C$1380,$K1158))),NA()),NA())</f>
        <v/>
      </c>
      <c r="J1158" s="32">
        <f>IFERROR(IF(AND($F1158&gt;0,$H1158&gt;0,$A1158-$G1158&lt;=10,$A1158-$I1158&lt;=5,$G1158&gt;0,$I1158&gt;0),$F1158*$H1158,NA()),NA())</f>
        <v/>
      </c>
      <c r="K1158" s="15">
        <f>IF($A1158="","",IF(AH!$U$5=1,IFERROR(MATCH($A1158,'Live History'!$A$5:$A$3004,0),0),AH!$U$7+1153))</f>
        <v/>
      </c>
      <c r="L1158" s="15">
        <f>IF(ISNUMBER(A1158),TEXT(A1158,"dd-mmm-yy"),"")</f>
        <v/>
      </c>
    </row>
    <row r="1159">
      <c r="A1159" s="14">
        <f>IF(OR(AH!$U$4=0,1154+1&gt;AH!$U$6,AND(AH!$M$5="Bloomberg",AH!$U$5=0)),"",IFERROR(IF(AND(AH!$U$12=1,1154+1=AH!$U$6),TODAY(),IF(AH!$U$5=1,INDEX('Live History'!$A$5:$A$3004,AH!$U$7+1154),INDEX('AH History'!$A$5:$A$1380,AH!$U$7+1154))),""))</f>
        <v/>
      </c>
      <c r="B1159" s="33">
        <f>IFERROR(IF(AH!$U$11=1,NA(),$J1159/$E1159-1),NA())</f>
        <v/>
      </c>
      <c r="C1159" s="269">
        <f>IFERROR(100*$E1159/$E$5,NA())</f>
        <v/>
      </c>
      <c r="D1159" s="269">
        <f>IFERROR(100*$J1159/$J$5,NA())</f>
        <v/>
      </c>
      <c r="E1159" s="32">
        <f>IFERROR(IF(AND(ISNUMBER($A1159),N(IF(AND(AH!$U$12=1,1154+1=AH!$U$6),IF(AH!$U$4=0,"unavailable",INDEX('Market Data'!$AN$5:$AN$66,AH!$U$4)),IF(AH!$U$5=1,INDEX('Live History'!$B$5:$B$3004,$K1159),INDEX('AH History'!$D$5:$GG$1380,$K1159,AH!$U$10))))&gt;0),IF(AND(AH!$U$12=1,1154+1=AH!$U$6),IF(AH!$U$4=0,"unavailable",INDEX('Market Data'!$AN$5:$AN$66,AH!$U$4)),IF(AH!$U$5=1,INDEX('Live History'!$B$5:$B$3004,$K1159),INDEX('AH History'!$D$5:$GG$1380,$K1159,AH!$U$10))),NA()),NA())</f>
        <v/>
      </c>
      <c r="F1159" s="32">
        <f>IFERROR(IF(ISNUMBER($A1159),IF(AND(AH!$U$12=1,1154+1=AH!$U$6),IF(AH!$U$4=0,"unavailable",INDEX('Market Data'!$AO$5:$AO$66,AH!$U$4)),IF(AH!$U$5=1,INDEX('Live History'!$E$5:$E$3004,MATCH($A1159,'Live History'!$D$5:$D$3004,1)),INDEX('AH History'!$D$5:$GG$1380,$K1159,AH!$U$10+1))),NA()),NA())</f>
        <v/>
      </c>
      <c r="G1159" s="34">
        <f>IFERROR(IF(ISNUMBER($A1159),IF(AND(AH!$U$12=1,1154+1=AH!$U$6),IF(AH!$U$4=0,"unavailable",INDEX('Market Data'!$AK$5:$AK$66,AH!$U$4)),IF(AH!$U$5=1,INDEX('Live History'!$D$5:$D$3004,MATCH($A1159,'Live History'!$D$5:$D$3004,1)),INDEX('AH History'!$D$5:$GG$1380,$K1159,AH!$U$10+2))),NA()),NA())</f>
        <v/>
      </c>
      <c r="H1159" s="266">
        <f>IFERROR(IF(ISNUMBER($A1159),IF(AND(AH!$U$12=1,1154+1=AH!$U$6),IF(AH!$U$4=0,"unavailable",INDEX('Market Data'!$AP$5:$AP$66,AH!$U$4)),IF(AH!$U$5=1,INDEX('Live History'!$H$5:$H$3004,MATCH($A1159,'Live History'!$G$5:$G$3004,1)),INDEX('AH History'!$B$5:$B$1380,$K1159))),NA()),NA())</f>
        <v/>
      </c>
      <c r="I1159" s="34">
        <f>IFERROR(IF(ISNUMBER($A1159),IF(AND(AH!$U$12=1,1154+1=AH!$U$6),TODAY(),IF(AH!$U$5=1,INDEX('Live History'!$G$5:$G$3004,MATCH($A1159,'Live History'!$G$5:$G$3004,1)),INDEX('AH History'!$C$5:$C$1380,$K1159))),NA()),NA())</f>
        <v/>
      </c>
      <c r="J1159" s="32">
        <f>IFERROR(IF(AND($F1159&gt;0,$H1159&gt;0,$A1159-$G1159&lt;=10,$A1159-$I1159&lt;=5,$G1159&gt;0,$I1159&gt;0),$F1159*$H1159,NA()),NA())</f>
        <v/>
      </c>
      <c r="K1159" s="15">
        <f>IF($A1159="","",IF(AH!$U$5=1,IFERROR(MATCH($A1159,'Live History'!$A$5:$A$3004,0),0),AH!$U$7+1154))</f>
        <v/>
      </c>
      <c r="L1159" s="15">
        <f>IF(ISNUMBER(A1159),TEXT(A1159,"dd-mmm-yy"),"")</f>
        <v/>
      </c>
    </row>
    <row r="1160">
      <c r="A1160" s="14">
        <f>IF(OR(AH!$U$4=0,1155+1&gt;AH!$U$6,AND(AH!$M$5="Bloomberg",AH!$U$5=0)),"",IFERROR(IF(AND(AH!$U$12=1,1155+1=AH!$U$6),TODAY(),IF(AH!$U$5=1,INDEX('Live History'!$A$5:$A$3004,AH!$U$7+1155),INDEX('AH History'!$A$5:$A$1380,AH!$U$7+1155))),""))</f>
        <v/>
      </c>
      <c r="B1160" s="33">
        <f>IFERROR(IF(AH!$U$11=1,NA(),$J1160/$E1160-1),NA())</f>
        <v/>
      </c>
      <c r="C1160" s="269">
        <f>IFERROR(100*$E1160/$E$5,NA())</f>
        <v/>
      </c>
      <c r="D1160" s="269">
        <f>IFERROR(100*$J1160/$J$5,NA())</f>
        <v/>
      </c>
      <c r="E1160" s="32">
        <f>IFERROR(IF(AND(ISNUMBER($A1160),N(IF(AND(AH!$U$12=1,1155+1=AH!$U$6),IF(AH!$U$4=0,"unavailable",INDEX('Market Data'!$AN$5:$AN$66,AH!$U$4)),IF(AH!$U$5=1,INDEX('Live History'!$B$5:$B$3004,$K1160),INDEX('AH History'!$D$5:$GG$1380,$K1160,AH!$U$10))))&gt;0),IF(AND(AH!$U$12=1,1155+1=AH!$U$6),IF(AH!$U$4=0,"unavailable",INDEX('Market Data'!$AN$5:$AN$66,AH!$U$4)),IF(AH!$U$5=1,INDEX('Live History'!$B$5:$B$3004,$K1160),INDEX('AH History'!$D$5:$GG$1380,$K1160,AH!$U$10))),NA()),NA())</f>
        <v/>
      </c>
      <c r="F1160" s="32">
        <f>IFERROR(IF(ISNUMBER($A1160),IF(AND(AH!$U$12=1,1155+1=AH!$U$6),IF(AH!$U$4=0,"unavailable",INDEX('Market Data'!$AO$5:$AO$66,AH!$U$4)),IF(AH!$U$5=1,INDEX('Live History'!$E$5:$E$3004,MATCH($A1160,'Live History'!$D$5:$D$3004,1)),INDEX('AH History'!$D$5:$GG$1380,$K1160,AH!$U$10+1))),NA()),NA())</f>
        <v/>
      </c>
      <c r="G1160" s="34">
        <f>IFERROR(IF(ISNUMBER($A1160),IF(AND(AH!$U$12=1,1155+1=AH!$U$6),IF(AH!$U$4=0,"unavailable",INDEX('Market Data'!$AK$5:$AK$66,AH!$U$4)),IF(AH!$U$5=1,INDEX('Live History'!$D$5:$D$3004,MATCH($A1160,'Live History'!$D$5:$D$3004,1)),INDEX('AH History'!$D$5:$GG$1380,$K1160,AH!$U$10+2))),NA()),NA())</f>
        <v/>
      </c>
      <c r="H1160" s="266">
        <f>IFERROR(IF(ISNUMBER($A1160),IF(AND(AH!$U$12=1,1155+1=AH!$U$6),IF(AH!$U$4=0,"unavailable",INDEX('Market Data'!$AP$5:$AP$66,AH!$U$4)),IF(AH!$U$5=1,INDEX('Live History'!$H$5:$H$3004,MATCH($A1160,'Live History'!$G$5:$G$3004,1)),INDEX('AH History'!$B$5:$B$1380,$K1160))),NA()),NA())</f>
        <v/>
      </c>
      <c r="I1160" s="34">
        <f>IFERROR(IF(ISNUMBER($A1160),IF(AND(AH!$U$12=1,1155+1=AH!$U$6),TODAY(),IF(AH!$U$5=1,INDEX('Live History'!$G$5:$G$3004,MATCH($A1160,'Live History'!$G$5:$G$3004,1)),INDEX('AH History'!$C$5:$C$1380,$K1160))),NA()),NA())</f>
        <v/>
      </c>
      <c r="J1160" s="32">
        <f>IFERROR(IF(AND($F1160&gt;0,$H1160&gt;0,$A1160-$G1160&lt;=10,$A1160-$I1160&lt;=5,$G1160&gt;0,$I1160&gt;0),$F1160*$H1160,NA()),NA())</f>
        <v/>
      </c>
      <c r="K1160" s="15">
        <f>IF($A1160="","",IF(AH!$U$5=1,IFERROR(MATCH($A1160,'Live History'!$A$5:$A$3004,0),0),AH!$U$7+1155))</f>
        <v/>
      </c>
      <c r="L1160" s="15">
        <f>IF(ISNUMBER(A1160),TEXT(A1160,"dd-mmm-yy"),"")</f>
        <v/>
      </c>
    </row>
    <row r="1161">
      <c r="A1161" s="14">
        <f>IF(OR(AH!$U$4=0,1156+1&gt;AH!$U$6,AND(AH!$M$5="Bloomberg",AH!$U$5=0)),"",IFERROR(IF(AND(AH!$U$12=1,1156+1=AH!$U$6),TODAY(),IF(AH!$U$5=1,INDEX('Live History'!$A$5:$A$3004,AH!$U$7+1156),INDEX('AH History'!$A$5:$A$1380,AH!$U$7+1156))),""))</f>
        <v/>
      </c>
      <c r="B1161" s="33">
        <f>IFERROR(IF(AH!$U$11=1,NA(),$J1161/$E1161-1),NA())</f>
        <v/>
      </c>
      <c r="C1161" s="269">
        <f>IFERROR(100*$E1161/$E$5,NA())</f>
        <v/>
      </c>
      <c r="D1161" s="269">
        <f>IFERROR(100*$J1161/$J$5,NA())</f>
        <v/>
      </c>
      <c r="E1161" s="32">
        <f>IFERROR(IF(AND(ISNUMBER($A1161),N(IF(AND(AH!$U$12=1,1156+1=AH!$U$6),IF(AH!$U$4=0,"unavailable",INDEX('Market Data'!$AN$5:$AN$66,AH!$U$4)),IF(AH!$U$5=1,INDEX('Live History'!$B$5:$B$3004,$K1161),INDEX('AH History'!$D$5:$GG$1380,$K1161,AH!$U$10))))&gt;0),IF(AND(AH!$U$12=1,1156+1=AH!$U$6),IF(AH!$U$4=0,"unavailable",INDEX('Market Data'!$AN$5:$AN$66,AH!$U$4)),IF(AH!$U$5=1,INDEX('Live History'!$B$5:$B$3004,$K1161),INDEX('AH History'!$D$5:$GG$1380,$K1161,AH!$U$10))),NA()),NA())</f>
        <v/>
      </c>
      <c r="F1161" s="32">
        <f>IFERROR(IF(ISNUMBER($A1161),IF(AND(AH!$U$12=1,1156+1=AH!$U$6),IF(AH!$U$4=0,"unavailable",INDEX('Market Data'!$AO$5:$AO$66,AH!$U$4)),IF(AH!$U$5=1,INDEX('Live History'!$E$5:$E$3004,MATCH($A1161,'Live History'!$D$5:$D$3004,1)),INDEX('AH History'!$D$5:$GG$1380,$K1161,AH!$U$10+1))),NA()),NA())</f>
        <v/>
      </c>
      <c r="G1161" s="34">
        <f>IFERROR(IF(ISNUMBER($A1161),IF(AND(AH!$U$12=1,1156+1=AH!$U$6),IF(AH!$U$4=0,"unavailable",INDEX('Market Data'!$AK$5:$AK$66,AH!$U$4)),IF(AH!$U$5=1,INDEX('Live History'!$D$5:$D$3004,MATCH($A1161,'Live History'!$D$5:$D$3004,1)),INDEX('AH History'!$D$5:$GG$1380,$K1161,AH!$U$10+2))),NA()),NA())</f>
        <v/>
      </c>
      <c r="H1161" s="266">
        <f>IFERROR(IF(ISNUMBER($A1161),IF(AND(AH!$U$12=1,1156+1=AH!$U$6),IF(AH!$U$4=0,"unavailable",INDEX('Market Data'!$AP$5:$AP$66,AH!$U$4)),IF(AH!$U$5=1,INDEX('Live History'!$H$5:$H$3004,MATCH($A1161,'Live History'!$G$5:$G$3004,1)),INDEX('AH History'!$B$5:$B$1380,$K1161))),NA()),NA())</f>
        <v/>
      </c>
      <c r="I1161" s="34">
        <f>IFERROR(IF(ISNUMBER($A1161),IF(AND(AH!$U$12=1,1156+1=AH!$U$6),TODAY(),IF(AH!$U$5=1,INDEX('Live History'!$G$5:$G$3004,MATCH($A1161,'Live History'!$G$5:$G$3004,1)),INDEX('AH History'!$C$5:$C$1380,$K1161))),NA()),NA())</f>
        <v/>
      </c>
      <c r="J1161" s="32">
        <f>IFERROR(IF(AND($F1161&gt;0,$H1161&gt;0,$A1161-$G1161&lt;=10,$A1161-$I1161&lt;=5,$G1161&gt;0,$I1161&gt;0),$F1161*$H1161,NA()),NA())</f>
        <v/>
      </c>
      <c r="K1161" s="15">
        <f>IF($A1161="","",IF(AH!$U$5=1,IFERROR(MATCH($A1161,'Live History'!$A$5:$A$3004,0),0),AH!$U$7+1156))</f>
        <v/>
      </c>
      <c r="L1161" s="15">
        <f>IF(ISNUMBER(A1161),TEXT(A1161,"dd-mmm-yy"),"")</f>
        <v/>
      </c>
    </row>
    <row r="1162">
      <c r="A1162" s="14">
        <f>IF(OR(AH!$U$4=0,1157+1&gt;AH!$U$6,AND(AH!$M$5="Bloomberg",AH!$U$5=0)),"",IFERROR(IF(AND(AH!$U$12=1,1157+1=AH!$U$6),TODAY(),IF(AH!$U$5=1,INDEX('Live History'!$A$5:$A$3004,AH!$U$7+1157),INDEX('AH History'!$A$5:$A$1380,AH!$U$7+1157))),""))</f>
        <v/>
      </c>
      <c r="B1162" s="33">
        <f>IFERROR(IF(AH!$U$11=1,NA(),$J1162/$E1162-1),NA())</f>
        <v/>
      </c>
      <c r="C1162" s="269">
        <f>IFERROR(100*$E1162/$E$5,NA())</f>
        <v/>
      </c>
      <c r="D1162" s="269">
        <f>IFERROR(100*$J1162/$J$5,NA())</f>
        <v/>
      </c>
      <c r="E1162" s="32">
        <f>IFERROR(IF(AND(ISNUMBER($A1162),N(IF(AND(AH!$U$12=1,1157+1=AH!$U$6),IF(AH!$U$4=0,"unavailable",INDEX('Market Data'!$AN$5:$AN$66,AH!$U$4)),IF(AH!$U$5=1,INDEX('Live History'!$B$5:$B$3004,$K1162),INDEX('AH History'!$D$5:$GG$1380,$K1162,AH!$U$10))))&gt;0),IF(AND(AH!$U$12=1,1157+1=AH!$U$6),IF(AH!$U$4=0,"unavailable",INDEX('Market Data'!$AN$5:$AN$66,AH!$U$4)),IF(AH!$U$5=1,INDEX('Live History'!$B$5:$B$3004,$K1162),INDEX('AH History'!$D$5:$GG$1380,$K1162,AH!$U$10))),NA()),NA())</f>
        <v/>
      </c>
      <c r="F1162" s="32">
        <f>IFERROR(IF(ISNUMBER($A1162),IF(AND(AH!$U$12=1,1157+1=AH!$U$6),IF(AH!$U$4=0,"unavailable",INDEX('Market Data'!$AO$5:$AO$66,AH!$U$4)),IF(AH!$U$5=1,INDEX('Live History'!$E$5:$E$3004,MATCH($A1162,'Live History'!$D$5:$D$3004,1)),INDEX('AH History'!$D$5:$GG$1380,$K1162,AH!$U$10+1))),NA()),NA())</f>
        <v/>
      </c>
      <c r="G1162" s="34">
        <f>IFERROR(IF(ISNUMBER($A1162),IF(AND(AH!$U$12=1,1157+1=AH!$U$6),IF(AH!$U$4=0,"unavailable",INDEX('Market Data'!$AK$5:$AK$66,AH!$U$4)),IF(AH!$U$5=1,INDEX('Live History'!$D$5:$D$3004,MATCH($A1162,'Live History'!$D$5:$D$3004,1)),INDEX('AH History'!$D$5:$GG$1380,$K1162,AH!$U$10+2))),NA()),NA())</f>
        <v/>
      </c>
      <c r="H1162" s="266">
        <f>IFERROR(IF(ISNUMBER($A1162),IF(AND(AH!$U$12=1,1157+1=AH!$U$6),IF(AH!$U$4=0,"unavailable",INDEX('Market Data'!$AP$5:$AP$66,AH!$U$4)),IF(AH!$U$5=1,INDEX('Live History'!$H$5:$H$3004,MATCH($A1162,'Live History'!$G$5:$G$3004,1)),INDEX('AH History'!$B$5:$B$1380,$K1162))),NA()),NA())</f>
        <v/>
      </c>
      <c r="I1162" s="34">
        <f>IFERROR(IF(ISNUMBER($A1162),IF(AND(AH!$U$12=1,1157+1=AH!$U$6),TODAY(),IF(AH!$U$5=1,INDEX('Live History'!$G$5:$G$3004,MATCH($A1162,'Live History'!$G$5:$G$3004,1)),INDEX('AH History'!$C$5:$C$1380,$K1162))),NA()),NA())</f>
        <v/>
      </c>
      <c r="J1162" s="32">
        <f>IFERROR(IF(AND($F1162&gt;0,$H1162&gt;0,$A1162-$G1162&lt;=10,$A1162-$I1162&lt;=5,$G1162&gt;0,$I1162&gt;0),$F1162*$H1162,NA()),NA())</f>
        <v/>
      </c>
      <c r="K1162" s="15">
        <f>IF($A1162="","",IF(AH!$U$5=1,IFERROR(MATCH($A1162,'Live History'!$A$5:$A$3004,0),0),AH!$U$7+1157))</f>
        <v/>
      </c>
      <c r="L1162" s="15">
        <f>IF(ISNUMBER(A1162),TEXT(A1162,"dd-mmm-yy"),"")</f>
        <v/>
      </c>
    </row>
    <row r="1163">
      <c r="A1163" s="14">
        <f>IF(OR(AH!$U$4=0,1158+1&gt;AH!$U$6,AND(AH!$M$5="Bloomberg",AH!$U$5=0)),"",IFERROR(IF(AND(AH!$U$12=1,1158+1=AH!$U$6),TODAY(),IF(AH!$U$5=1,INDEX('Live History'!$A$5:$A$3004,AH!$U$7+1158),INDEX('AH History'!$A$5:$A$1380,AH!$U$7+1158))),""))</f>
        <v/>
      </c>
      <c r="B1163" s="33">
        <f>IFERROR(IF(AH!$U$11=1,NA(),$J1163/$E1163-1),NA())</f>
        <v/>
      </c>
      <c r="C1163" s="269">
        <f>IFERROR(100*$E1163/$E$5,NA())</f>
        <v/>
      </c>
      <c r="D1163" s="269">
        <f>IFERROR(100*$J1163/$J$5,NA())</f>
        <v/>
      </c>
      <c r="E1163" s="32">
        <f>IFERROR(IF(AND(ISNUMBER($A1163),N(IF(AND(AH!$U$12=1,1158+1=AH!$U$6),IF(AH!$U$4=0,"unavailable",INDEX('Market Data'!$AN$5:$AN$66,AH!$U$4)),IF(AH!$U$5=1,INDEX('Live History'!$B$5:$B$3004,$K1163),INDEX('AH History'!$D$5:$GG$1380,$K1163,AH!$U$10))))&gt;0),IF(AND(AH!$U$12=1,1158+1=AH!$U$6),IF(AH!$U$4=0,"unavailable",INDEX('Market Data'!$AN$5:$AN$66,AH!$U$4)),IF(AH!$U$5=1,INDEX('Live History'!$B$5:$B$3004,$K1163),INDEX('AH History'!$D$5:$GG$1380,$K1163,AH!$U$10))),NA()),NA())</f>
        <v/>
      </c>
      <c r="F1163" s="32">
        <f>IFERROR(IF(ISNUMBER($A1163),IF(AND(AH!$U$12=1,1158+1=AH!$U$6),IF(AH!$U$4=0,"unavailable",INDEX('Market Data'!$AO$5:$AO$66,AH!$U$4)),IF(AH!$U$5=1,INDEX('Live History'!$E$5:$E$3004,MATCH($A1163,'Live History'!$D$5:$D$3004,1)),INDEX('AH History'!$D$5:$GG$1380,$K1163,AH!$U$10+1))),NA()),NA())</f>
        <v/>
      </c>
      <c r="G1163" s="34">
        <f>IFERROR(IF(ISNUMBER($A1163),IF(AND(AH!$U$12=1,1158+1=AH!$U$6),IF(AH!$U$4=0,"unavailable",INDEX('Market Data'!$AK$5:$AK$66,AH!$U$4)),IF(AH!$U$5=1,INDEX('Live History'!$D$5:$D$3004,MATCH($A1163,'Live History'!$D$5:$D$3004,1)),INDEX('AH History'!$D$5:$GG$1380,$K1163,AH!$U$10+2))),NA()),NA())</f>
        <v/>
      </c>
      <c r="H1163" s="266">
        <f>IFERROR(IF(ISNUMBER($A1163),IF(AND(AH!$U$12=1,1158+1=AH!$U$6),IF(AH!$U$4=0,"unavailable",INDEX('Market Data'!$AP$5:$AP$66,AH!$U$4)),IF(AH!$U$5=1,INDEX('Live History'!$H$5:$H$3004,MATCH($A1163,'Live History'!$G$5:$G$3004,1)),INDEX('AH History'!$B$5:$B$1380,$K1163))),NA()),NA())</f>
        <v/>
      </c>
      <c r="I1163" s="34">
        <f>IFERROR(IF(ISNUMBER($A1163),IF(AND(AH!$U$12=1,1158+1=AH!$U$6),TODAY(),IF(AH!$U$5=1,INDEX('Live History'!$G$5:$G$3004,MATCH($A1163,'Live History'!$G$5:$G$3004,1)),INDEX('AH History'!$C$5:$C$1380,$K1163))),NA()),NA())</f>
        <v/>
      </c>
      <c r="J1163" s="32">
        <f>IFERROR(IF(AND($F1163&gt;0,$H1163&gt;0,$A1163-$G1163&lt;=10,$A1163-$I1163&lt;=5,$G1163&gt;0,$I1163&gt;0),$F1163*$H1163,NA()),NA())</f>
        <v/>
      </c>
      <c r="K1163" s="15">
        <f>IF($A1163="","",IF(AH!$U$5=1,IFERROR(MATCH($A1163,'Live History'!$A$5:$A$3004,0),0),AH!$U$7+1158))</f>
        <v/>
      </c>
      <c r="L1163" s="15">
        <f>IF(ISNUMBER(A1163),TEXT(A1163,"dd-mmm-yy"),"")</f>
        <v/>
      </c>
    </row>
    <row r="1164">
      <c r="A1164" s="14">
        <f>IF(OR(AH!$U$4=0,1159+1&gt;AH!$U$6,AND(AH!$M$5="Bloomberg",AH!$U$5=0)),"",IFERROR(IF(AND(AH!$U$12=1,1159+1=AH!$U$6),TODAY(),IF(AH!$U$5=1,INDEX('Live History'!$A$5:$A$3004,AH!$U$7+1159),INDEX('AH History'!$A$5:$A$1380,AH!$U$7+1159))),""))</f>
        <v/>
      </c>
      <c r="B1164" s="33">
        <f>IFERROR(IF(AH!$U$11=1,NA(),$J1164/$E1164-1),NA())</f>
        <v/>
      </c>
      <c r="C1164" s="269">
        <f>IFERROR(100*$E1164/$E$5,NA())</f>
        <v/>
      </c>
      <c r="D1164" s="269">
        <f>IFERROR(100*$J1164/$J$5,NA())</f>
        <v/>
      </c>
      <c r="E1164" s="32">
        <f>IFERROR(IF(AND(ISNUMBER($A1164),N(IF(AND(AH!$U$12=1,1159+1=AH!$U$6),IF(AH!$U$4=0,"unavailable",INDEX('Market Data'!$AN$5:$AN$66,AH!$U$4)),IF(AH!$U$5=1,INDEX('Live History'!$B$5:$B$3004,$K1164),INDEX('AH History'!$D$5:$GG$1380,$K1164,AH!$U$10))))&gt;0),IF(AND(AH!$U$12=1,1159+1=AH!$U$6),IF(AH!$U$4=0,"unavailable",INDEX('Market Data'!$AN$5:$AN$66,AH!$U$4)),IF(AH!$U$5=1,INDEX('Live History'!$B$5:$B$3004,$K1164),INDEX('AH History'!$D$5:$GG$1380,$K1164,AH!$U$10))),NA()),NA())</f>
        <v/>
      </c>
      <c r="F1164" s="32">
        <f>IFERROR(IF(ISNUMBER($A1164),IF(AND(AH!$U$12=1,1159+1=AH!$U$6),IF(AH!$U$4=0,"unavailable",INDEX('Market Data'!$AO$5:$AO$66,AH!$U$4)),IF(AH!$U$5=1,INDEX('Live History'!$E$5:$E$3004,MATCH($A1164,'Live History'!$D$5:$D$3004,1)),INDEX('AH History'!$D$5:$GG$1380,$K1164,AH!$U$10+1))),NA()),NA())</f>
        <v/>
      </c>
      <c r="G1164" s="34">
        <f>IFERROR(IF(ISNUMBER($A1164),IF(AND(AH!$U$12=1,1159+1=AH!$U$6),IF(AH!$U$4=0,"unavailable",INDEX('Market Data'!$AK$5:$AK$66,AH!$U$4)),IF(AH!$U$5=1,INDEX('Live History'!$D$5:$D$3004,MATCH($A1164,'Live History'!$D$5:$D$3004,1)),INDEX('AH History'!$D$5:$GG$1380,$K1164,AH!$U$10+2))),NA()),NA())</f>
        <v/>
      </c>
      <c r="H1164" s="266">
        <f>IFERROR(IF(ISNUMBER($A1164),IF(AND(AH!$U$12=1,1159+1=AH!$U$6),IF(AH!$U$4=0,"unavailable",INDEX('Market Data'!$AP$5:$AP$66,AH!$U$4)),IF(AH!$U$5=1,INDEX('Live History'!$H$5:$H$3004,MATCH($A1164,'Live History'!$G$5:$G$3004,1)),INDEX('AH History'!$B$5:$B$1380,$K1164))),NA()),NA())</f>
        <v/>
      </c>
      <c r="I1164" s="34">
        <f>IFERROR(IF(ISNUMBER($A1164),IF(AND(AH!$U$12=1,1159+1=AH!$U$6),TODAY(),IF(AH!$U$5=1,INDEX('Live History'!$G$5:$G$3004,MATCH($A1164,'Live History'!$G$5:$G$3004,1)),INDEX('AH History'!$C$5:$C$1380,$K1164))),NA()),NA())</f>
        <v/>
      </c>
      <c r="J1164" s="32">
        <f>IFERROR(IF(AND($F1164&gt;0,$H1164&gt;0,$A1164-$G1164&lt;=10,$A1164-$I1164&lt;=5,$G1164&gt;0,$I1164&gt;0),$F1164*$H1164,NA()),NA())</f>
        <v/>
      </c>
      <c r="K1164" s="15">
        <f>IF($A1164="","",IF(AH!$U$5=1,IFERROR(MATCH($A1164,'Live History'!$A$5:$A$3004,0),0),AH!$U$7+1159))</f>
        <v/>
      </c>
      <c r="L1164" s="15">
        <f>IF(ISNUMBER(A1164),TEXT(A1164,"dd-mmm-yy"),"")</f>
        <v/>
      </c>
    </row>
    <row r="1165">
      <c r="A1165" s="14">
        <f>IF(OR(AH!$U$4=0,1160+1&gt;AH!$U$6,AND(AH!$M$5="Bloomberg",AH!$U$5=0)),"",IFERROR(IF(AND(AH!$U$12=1,1160+1=AH!$U$6),TODAY(),IF(AH!$U$5=1,INDEX('Live History'!$A$5:$A$3004,AH!$U$7+1160),INDEX('AH History'!$A$5:$A$1380,AH!$U$7+1160))),""))</f>
        <v/>
      </c>
      <c r="B1165" s="33">
        <f>IFERROR(IF(AH!$U$11=1,NA(),$J1165/$E1165-1),NA())</f>
        <v/>
      </c>
      <c r="C1165" s="269">
        <f>IFERROR(100*$E1165/$E$5,NA())</f>
        <v/>
      </c>
      <c r="D1165" s="269">
        <f>IFERROR(100*$J1165/$J$5,NA())</f>
        <v/>
      </c>
      <c r="E1165" s="32">
        <f>IFERROR(IF(AND(ISNUMBER($A1165),N(IF(AND(AH!$U$12=1,1160+1=AH!$U$6),IF(AH!$U$4=0,"unavailable",INDEX('Market Data'!$AN$5:$AN$66,AH!$U$4)),IF(AH!$U$5=1,INDEX('Live History'!$B$5:$B$3004,$K1165),INDEX('AH History'!$D$5:$GG$1380,$K1165,AH!$U$10))))&gt;0),IF(AND(AH!$U$12=1,1160+1=AH!$U$6),IF(AH!$U$4=0,"unavailable",INDEX('Market Data'!$AN$5:$AN$66,AH!$U$4)),IF(AH!$U$5=1,INDEX('Live History'!$B$5:$B$3004,$K1165),INDEX('AH History'!$D$5:$GG$1380,$K1165,AH!$U$10))),NA()),NA())</f>
        <v/>
      </c>
      <c r="F1165" s="32">
        <f>IFERROR(IF(ISNUMBER($A1165),IF(AND(AH!$U$12=1,1160+1=AH!$U$6),IF(AH!$U$4=0,"unavailable",INDEX('Market Data'!$AO$5:$AO$66,AH!$U$4)),IF(AH!$U$5=1,INDEX('Live History'!$E$5:$E$3004,MATCH($A1165,'Live History'!$D$5:$D$3004,1)),INDEX('AH History'!$D$5:$GG$1380,$K1165,AH!$U$10+1))),NA()),NA())</f>
        <v/>
      </c>
      <c r="G1165" s="34">
        <f>IFERROR(IF(ISNUMBER($A1165),IF(AND(AH!$U$12=1,1160+1=AH!$U$6),IF(AH!$U$4=0,"unavailable",INDEX('Market Data'!$AK$5:$AK$66,AH!$U$4)),IF(AH!$U$5=1,INDEX('Live History'!$D$5:$D$3004,MATCH($A1165,'Live History'!$D$5:$D$3004,1)),INDEX('AH History'!$D$5:$GG$1380,$K1165,AH!$U$10+2))),NA()),NA())</f>
        <v/>
      </c>
      <c r="H1165" s="266">
        <f>IFERROR(IF(ISNUMBER($A1165),IF(AND(AH!$U$12=1,1160+1=AH!$U$6),IF(AH!$U$4=0,"unavailable",INDEX('Market Data'!$AP$5:$AP$66,AH!$U$4)),IF(AH!$U$5=1,INDEX('Live History'!$H$5:$H$3004,MATCH($A1165,'Live History'!$G$5:$G$3004,1)),INDEX('AH History'!$B$5:$B$1380,$K1165))),NA()),NA())</f>
        <v/>
      </c>
      <c r="I1165" s="34">
        <f>IFERROR(IF(ISNUMBER($A1165),IF(AND(AH!$U$12=1,1160+1=AH!$U$6),TODAY(),IF(AH!$U$5=1,INDEX('Live History'!$G$5:$G$3004,MATCH($A1165,'Live History'!$G$5:$G$3004,1)),INDEX('AH History'!$C$5:$C$1380,$K1165))),NA()),NA())</f>
        <v/>
      </c>
      <c r="J1165" s="32">
        <f>IFERROR(IF(AND($F1165&gt;0,$H1165&gt;0,$A1165-$G1165&lt;=10,$A1165-$I1165&lt;=5,$G1165&gt;0,$I1165&gt;0),$F1165*$H1165,NA()),NA())</f>
        <v/>
      </c>
      <c r="K1165" s="15">
        <f>IF($A1165="","",IF(AH!$U$5=1,IFERROR(MATCH($A1165,'Live History'!$A$5:$A$3004,0),0),AH!$U$7+1160))</f>
        <v/>
      </c>
      <c r="L1165" s="15">
        <f>IF(ISNUMBER(A1165),TEXT(A1165,"dd-mmm-yy"),"")</f>
        <v/>
      </c>
    </row>
    <row r="1166">
      <c r="A1166" s="14">
        <f>IF(OR(AH!$U$4=0,1161+1&gt;AH!$U$6,AND(AH!$M$5="Bloomberg",AH!$U$5=0)),"",IFERROR(IF(AND(AH!$U$12=1,1161+1=AH!$U$6),TODAY(),IF(AH!$U$5=1,INDEX('Live History'!$A$5:$A$3004,AH!$U$7+1161),INDEX('AH History'!$A$5:$A$1380,AH!$U$7+1161))),""))</f>
        <v/>
      </c>
      <c r="B1166" s="33">
        <f>IFERROR(IF(AH!$U$11=1,NA(),$J1166/$E1166-1),NA())</f>
        <v/>
      </c>
      <c r="C1166" s="269">
        <f>IFERROR(100*$E1166/$E$5,NA())</f>
        <v/>
      </c>
      <c r="D1166" s="269">
        <f>IFERROR(100*$J1166/$J$5,NA())</f>
        <v/>
      </c>
      <c r="E1166" s="32">
        <f>IFERROR(IF(AND(ISNUMBER($A1166),N(IF(AND(AH!$U$12=1,1161+1=AH!$U$6),IF(AH!$U$4=0,"unavailable",INDEX('Market Data'!$AN$5:$AN$66,AH!$U$4)),IF(AH!$U$5=1,INDEX('Live History'!$B$5:$B$3004,$K1166),INDEX('AH History'!$D$5:$GG$1380,$K1166,AH!$U$10))))&gt;0),IF(AND(AH!$U$12=1,1161+1=AH!$U$6),IF(AH!$U$4=0,"unavailable",INDEX('Market Data'!$AN$5:$AN$66,AH!$U$4)),IF(AH!$U$5=1,INDEX('Live History'!$B$5:$B$3004,$K1166),INDEX('AH History'!$D$5:$GG$1380,$K1166,AH!$U$10))),NA()),NA())</f>
        <v/>
      </c>
      <c r="F1166" s="32">
        <f>IFERROR(IF(ISNUMBER($A1166),IF(AND(AH!$U$12=1,1161+1=AH!$U$6),IF(AH!$U$4=0,"unavailable",INDEX('Market Data'!$AO$5:$AO$66,AH!$U$4)),IF(AH!$U$5=1,INDEX('Live History'!$E$5:$E$3004,MATCH($A1166,'Live History'!$D$5:$D$3004,1)),INDEX('AH History'!$D$5:$GG$1380,$K1166,AH!$U$10+1))),NA()),NA())</f>
        <v/>
      </c>
      <c r="G1166" s="34">
        <f>IFERROR(IF(ISNUMBER($A1166),IF(AND(AH!$U$12=1,1161+1=AH!$U$6),IF(AH!$U$4=0,"unavailable",INDEX('Market Data'!$AK$5:$AK$66,AH!$U$4)),IF(AH!$U$5=1,INDEX('Live History'!$D$5:$D$3004,MATCH($A1166,'Live History'!$D$5:$D$3004,1)),INDEX('AH History'!$D$5:$GG$1380,$K1166,AH!$U$10+2))),NA()),NA())</f>
        <v/>
      </c>
      <c r="H1166" s="266">
        <f>IFERROR(IF(ISNUMBER($A1166),IF(AND(AH!$U$12=1,1161+1=AH!$U$6),IF(AH!$U$4=0,"unavailable",INDEX('Market Data'!$AP$5:$AP$66,AH!$U$4)),IF(AH!$U$5=1,INDEX('Live History'!$H$5:$H$3004,MATCH($A1166,'Live History'!$G$5:$G$3004,1)),INDEX('AH History'!$B$5:$B$1380,$K1166))),NA()),NA())</f>
        <v/>
      </c>
      <c r="I1166" s="34">
        <f>IFERROR(IF(ISNUMBER($A1166),IF(AND(AH!$U$12=1,1161+1=AH!$U$6),TODAY(),IF(AH!$U$5=1,INDEX('Live History'!$G$5:$G$3004,MATCH($A1166,'Live History'!$G$5:$G$3004,1)),INDEX('AH History'!$C$5:$C$1380,$K1166))),NA()),NA())</f>
        <v/>
      </c>
      <c r="J1166" s="32">
        <f>IFERROR(IF(AND($F1166&gt;0,$H1166&gt;0,$A1166-$G1166&lt;=10,$A1166-$I1166&lt;=5,$G1166&gt;0,$I1166&gt;0),$F1166*$H1166,NA()),NA())</f>
        <v/>
      </c>
      <c r="K1166" s="15">
        <f>IF($A1166="","",IF(AH!$U$5=1,IFERROR(MATCH($A1166,'Live History'!$A$5:$A$3004,0),0),AH!$U$7+1161))</f>
        <v/>
      </c>
      <c r="L1166" s="15">
        <f>IF(ISNUMBER(A1166),TEXT(A1166,"dd-mmm-yy"),"")</f>
        <v/>
      </c>
    </row>
    <row r="1167">
      <c r="A1167" s="14">
        <f>IF(OR(AH!$U$4=0,1162+1&gt;AH!$U$6,AND(AH!$M$5="Bloomberg",AH!$U$5=0)),"",IFERROR(IF(AND(AH!$U$12=1,1162+1=AH!$U$6),TODAY(),IF(AH!$U$5=1,INDEX('Live History'!$A$5:$A$3004,AH!$U$7+1162),INDEX('AH History'!$A$5:$A$1380,AH!$U$7+1162))),""))</f>
        <v/>
      </c>
      <c r="B1167" s="33">
        <f>IFERROR(IF(AH!$U$11=1,NA(),$J1167/$E1167-1),NA())</f>
        <v/>
      </c>
      <c r="C1167" s="269">
        <f>IFERROR(100*$E1167/$E$5,NA())</f>
        <v/>
      </c>
      <c r="D1167" s="269">
        <f>IFERROR(100*$J1167/$J$5,NA())</f>
        <v/>
      </c>
      <c r="E1167" s="32">
        <f>IFERROR(IF(AND(ISNUMBER($A1167),N(IF(AND(AH!$U$12=1,1162+1=AH!$U$6),IF(AH!$U$4=0,"unavailable",INDEX('Market Data'!$AN$5:$AN$66,AH!$U$4)),IF(AH!$U$5=1,INDEX('Live History'!$B$5:$B$3004,$K1167),INDEX('AH History'!$D$5:$GG$1380,$K1167,AH!$U$10))))&gt;0),IF(AND(AH!$U$12=1,1162+1=AH!$U$6),IF(AH!$U$4=0,"unavailable",INDEX('Market Data'!$AN$5:$AN$66,AH!$U$4)),IF(AH!$U$5=1,INDEX('Live History'!$B$5:$B$3004,$K1167),INDEX('AH History'!$D$5:$GG$1380,$K1167,AH!$U$10))),NA()),NA())</f>
        <v/>
      </c>
      <c r="F1167" s="32">
        <f>IFERROR(IF(ISNUMBER($A1167),IF(AND(AH!$U$12=1,1162+1=AH!$U$6),IF(AH!$U$4=0,"unavailable",INDEX('Market Data'!$AO$5:$AO$66,AH!$U$4)),IF(AH!$U$5=1,INDEX('Live History'!$E$5:$E$3004,MATCH($A1167,'Live History'!$D$5:$D$3004,1)),INDEX('AH History'!$D$5:$GG$1380,$K1167,AH!$U$10+1))),NA()),NA())</f>
        <v/>
      </c>
      <c r="G1167" s="34">
        <f>IFERROR(IF(ISNUMBER($A1167),IF(AND(AH!$U$12=1,1162+1=AH!$U$6),IF(AH!$U$4=0,"unavailable",INDEX('Market Data'!$AK$5:$AK$66,AH!$U$4)),IF(AH!$U$5=1,INDEX('Live History'!$D$5:$D$3004,MATCH($A1167,'Live History'!$D$5:$D$3004,1)),INDEX('AH History'!$D$5:$GG$1380,$K1167,AH!$U$10+2))),NA()),NA())</f>
        <v/>
      </c>
      <c r="H1167" s="266">
        <f>IFERROR(IF(ISNUMBER($A1167),IF(AND(AH!$U$12=1,1162+1=AH!$U$6),IF(AH!$U$4=0,"unavailable",INDEX('Market Data'!$AP$5:$AP$66,AH!$U$4)),IF(AH!$U$5=1,INDEX('Live History'!$H$5:$H$3004,MATCH($A1167,'Live History'!$G$5:$G$3004,1)),INDEX('AH History'!$B$5:$B$1380,$K1167))),NA()),NA())</f>
        <v/>
      </c>
      <c r="I1167" s="34">
        <f>IFERROR(IF(ISNUMBER($A1167),IF(AND(AH!$U$12=1,1162+1=AH!$U$6),TODAY(),IF(AH!$U$5=1,INDEX('Live History'!$G$5:$G$3004,MATCH($A1167,'Live History'!$G$5:$G$3004,1)),INDEX('AH History'!$C$5:$C$1380,$K1167))),NA()),NA())</f>
        <v/>
      </c>
      <c r="J1167" s="32">
        <f>IFERROR(IF(AND($F1167&gt;0,$H1167&gt;0,$A1167-$G1167&lt;=10,$A1167-$I1167&lt;=5,$G1167&gt;0,$I1167&gt;0),$F1167*$H1167,NA()),NA())</f>
        <v/>
      </c>
      <c r="K1167" s="15">
        <f>IF($A1167="","",IF(AH!$U$5=1,IFERROR(MATCH($A1167,'Live History'!$A$5:$A$3004,0),0),AH!$U$7+1162))</f>
        <v/>
      </c>
      <c r="L1167" s="15">
        <f>IF(ISNUMBER(A1167),TEXT(A1167,"dd-mmm-yy"),"")</f>
        <v/>
      </c>
    </row>
    <row r="1168">
      <c r="A1168" s="14">
        <f>IF(OR(AH!$U$4=0,1163+1&gt;AH!$U$6,AND(AH!$M$5="Bloomberg",AH!$U$5=0)),"",IFERROR(IF(AND(AH!$U$12=1,1163+1=AH!$U$6),TODAY(),IF(AH!$U$5=1,INDEX('Live History'!$A$5:$A$3004,AH!$U$7+1163),INDEX('AH History'!$A$5:$A$1380,AH!$U$7+1163))),""))</f>
        <v/>
      </c>
      <c r="B1168" s="33">
        <f>IFERROR(IF(AH!$U$11=1,NA(),$J1168/$E1168-1),NA())</f>
        <v/>
      </c>
      <c r="C1168" s="269">
        <f>IFERROR(100*$E1168/$E$5,NA())</f>
        <v/>
      </c>
      <c r="D1168" s="269">
        <f>IFERROR(100*$J1168/$J$5,NA())</f>
        <v/>
      </c>
      <c r="E1168" s="32">
        <f>IFERROR(IF(AND(ISNUMBER($A1168),N(IF(AND(AH!$U$12=1,1163+1=AH!$U$6),IF(AH!$U$4=0,"unavailable",INDEX('Market Data'!$AN$5:$AN$66,AH!$U$4)),IF(AH!$U$5=1,INDEX('Live History'!$B$5:$B$3004,$K1168),INDEX('AH History'!$D$5:$GG$1380,$K1168,AH!$U$10))))&gt;0),IF(AND(AH!$U$12=1,1163+1=AH!$U$6),IF(AH!$U$4=0,"unavailable",INDEX('Market Data'!$AN$5:$AN$66,AH!$U$4)),IF(AH!$U$5=1,INDEX('Live History'!$B$5:$B$3004,$K1168),INDEX('AH History'!$D$5:$GG$1380,$K1168,AH!$U$10))),NA()),NA())</f>
        <v/>
      </c>
      <c r="F1168" s="32">
        <f>IFERROR(IF(ISNUMBER($A1168),IF(AND(AH!$U$12=1,1163+1=AH!$U$6),IF(AH!$U$4=0,"unavailable",INDEX('Market Data'!$AO$5:$AO$66,AH!$U$4)),IF(AH!$U$5=1,INDEX('Live History'!$E$5:$E$3004,MATCH($A1168,'Live History'!$D$5:$D$3004,1)),INDEX('AH History'!$D$5:$GG$1380,$K1168,AH!$U$10+1))),NA()),NA())</f>
        <v/>
      </c>
      <c r="G1168" s="34">
        <f>IFERROR(IF(ISNUMBER($A1168),IF(AND(AH!$U$12=1,1163+1=AH!$U$6),IF(AH!$U$4=0,"unavailable",INDEX('Market Data'!$AK$5:$AK$66,AH!$U$4)),IF(AH!$U$5=1,INDEX('Live History'!$D$5:$D$3004,MATCH($A1168,'Live History'!$D$5:$D$3004,1)),INDEX('AH History'!$D$5:$GG$1380,$K1168,AH!$U$10+2))),NA()),NA())</f>
        <v/>
      </c>
      <c r="H1168" s="266">
        <f>IFERROR(IF(ISNUMBER($A1168),IF(AND(AH!$U$12=1,1163+1=AH!$U$6),IF(AH!$U$4=0,"unavailable",INDEX('Market Data'!$AP$5:$AP$66,AH!$U$4)),IF(AH!$U$5=1,INDEX('Live History'!$H$5:$H$3004,MATCH($A1168,'Live History'!$G$5:$G$3004,1)),INDEX('AH History'!$B$5:$B$1380,$K1168))),NA()),NA())</f>
        <v/>
      </c>
      <c r="I1168" s="34">
        <f>IFERROR(IF(ISNUMBER($A1168),IF(AND(AH!$U$12=1,1163+1=AH!$U$6),TODAY(),IF(AH!$U$5=1,INDEX('Live History'!$G$5:$G$3004,MATCH($A1168,'Live History'!$G$5:$G$3004,1)),INDEX('AH History'!$C$5:$C$1380,$K1168))),NA()),NA())</f>
        <v/>
      </c>
      <c r="J1168" s="32">
        <f>IFERROR(IF(AND($F1168&gt;0,$H1168&gt;0,$A1168-$G1168&lt;=10,$A1168-$I1168&lt;=5,$G1168&gt;0,$I1168&gt;0),$F1168*$H1168,NA()),NA())</f>
        <v/>
      </c>
      <c r="K1168" s="15">
        <f>IF($A1168="","",IF(AH!$U$5=1,IFERROR(MATCH($A1168,'Live History'!$A$5:$A$3004,0),0),AH!$U$7+1163))</f>
        <v/>
      </c>
      <c r="L1168" s="15">
        <f>IF(ISNUMBER(A1168),TEXT(A1168,"dd-mmm-yy"),"")</f>
        <v/>
      </c>
    </row>
    <row r="1169">
      <c r="A1169" s="14">
        <f>IF(OR(AH!$U$4=0,1164+1&gt;AH!$U$6,AND(AH!$M$5="Bloomberg",AH!$U$5=0)),"",IFERROR(IF(AND(AH!$U$12=1,1164+1=AH!$U$6),TODAY(),IF(AH!$U$5=1,INDEX('Live History'!$A$5:$A$3004,AH!$U$7+1164),INDEX('AH History'!$A$5:$A$1380,AH!$U$7+1164))),""))</f>
        <v/>
      </c>
      <c r="B1169" s="33">
        <f>IFERROR(IF(AH!$U$11=1,NA(),$J1169/$E1169-1),NA())</f>
        <v/>
      </c>
      <c r="C1169" s="269">
        <f>IFERROR(100*$E1169/$E$5,NA())</f>
        <v/>
      </c>
      <c r="D1169" s="269">
        <f>IFERROR(100*$J1169/$J$5,NA())</f>
        <v/>
      </c>
      <c r="E1169" s="32">
        <f>IFERROR(IF(AND(ISNUMBER($A1169),N(IF(AND(AH!$U$12=1,1164+1=AH!$U$6),IF(AH!$U$4=0,"unavailable",INDEX('Market Data'!$AN$5:$AN$66,AH!$U$4)),IF(AH!$U$5=1,INDEX('Live History'!$B$5:$B$3004,$K1169),INDEX('AH History'!$D$5:$GG$1380,$K1169,AH!$U$10))))&gt;0),IF(AND(AH!$U$12=1,1164+1=AH!$U$6),IF(AH!$U$4=0,"unavailable",INDEX('Market Data'!$AN$5:$AN$66,AH!$U$4)),IF(AH!$U$5=1,INDEX('Live History'!$B$5:$B$3004,$K1169),INDEX('AH History'!$D$5:$GG$1380,$K1169,AH!$U$10))),NA()),NA())</f>
        <v/>
      </c>
      <c r="F1169" s="32">
        <f>IFERROR(IF(ISNUMBER($A1169),IF(AND(AH!$U$12=1,1164+1=AH!$U$6),IF(AH!$U$4=0,"unavailable",INDEX('Market Data'!$AO$5:$AO$66,AH!$U$4)),IF(AH!$U$5=1,INDEX('Live History'!$E$5:$E$3004,MATCH($A1169,'Live History'!$D$5:$D$3004,1)),INDEX('AH History'!$D$5:$GG$1380,$K1169,AH!$U$10+1))),NA()),NA())</f>
        <v/>
      </c>
      <c r="G1169" s="34">
        <f>IFERROR(IF(ISNUMBER($A1169),IF(AND(AH!$U$12=1,1164+1=AH!$U$6),IF(AH!$U$4=0,"unavailable",INDEX('Market Data'!$AK$5:$AK$66,AH!$U$4)),IF(AH!$U$5=1,INDEX('Live History'!$D$5:$D$3004,MATCH($A1169,'Live History'!$D$5:$D$3004,1)),INDEX('AH History'!$D$5:$GG$1380,$K1169,AH!$U$10+2))),NA()),NA())</f>
        <v/>
      </c>
      <c r="H1169" s="266">
        <f>IFERROR(IF(ISNUMBER($A1169),IF(AND(AH!$U$12=1,1164+1=AH!$U$6),IF(AH!$U$4=0,"unavailable",INDEX('Market Data'!$AP$5:$AP$66,AH!$U$4)),IF(AH!$U$5=1,INDEX('Live History'!$H$5:$H$3004,MATCH($A1169,'Live History'!$G$5:$G$3004,1)),INDEX('AH History'!$B$5:$B$1380,$K1169))),NA()),NA())</f>
        <v/>
      </c>
      <c r="I1169" s="34">
        <f>IFERROR(IF(ISNUMBER($A1169),IF(AND(AH!$U$12=1,1164+1=AH!$U$6),TODAY(),IF(AH!$U$5=1,INDEX('Live History'!$G$5:$G$3004,MATCH($A1169,'Live History'!$G$5:$G$3004,1)),INDEX('AH History'!$C$5:$C$1380,$K1169))),NA()),NA())</f>
        <v/>
      </c>
      <c r="J1169" s="32">
        <f>IFERROR(IF(AND($F1169&gt;0,$H1169&gt;0,$A1169-$G1169&lt;=10,$A1169-$I1169&lt;=5,$G1169&gt;0,$I1169&gt;0),$F1169*$H1169,NA()),NA())</f>
        <v/>
      </c>
      <c r="K1169" s="15">
        <f>IF($A1169="","",IF(AH!$U$5=1,IFERROR(MATCH($A1169,'Live History'!$A$5:$A$3004,0),0),AH!$U$7+1164))</f>
        <v/>
      </c>
      <c r="L1169" s="15">
        <f>IF(ISNUMBER(A1169),TEXT(A1169,"dd-mmm-yy"),"")</f>
        <v/>
      </c>
    </row>
    <row r="1170">
      <c r="A1170" s="14">
        <f>IF(OR(AH!$U$4=0,1165+1&gt;AH!$U$6,AND(AH!$M$5="Bloomberg",AH!$U$5=0)),"",IFERROR(IF(AND(AH!$U$12=1,1165+1=AH!$U$6),TODAY(),IF(AH!$U$5=1,INDEX('Live History'!$A$5:$A$3004,AH!$U$7+1165),INDEX('AH History'!$A$5:$A$1380,AH!$U$7+1165))),""))</f>
        <v/>
      </c>
      <c r="B1170" s="33">
        <f>IFERROR(IF(AH!$U$11=1,NA(),$J1170/$E1170-1),NA())</f>
        <v/>
      </c>
      <c r="C1170" s="269">
        <f>IFERROR(100*$E1170/$E$5,NA())</f>
        <v/>
      </c>
      <c r="D1170" s="269">
        <f>IFERROR(100*$J1170/$J$5,NA())</f>
        <v/>
      </c>
      <c r="E1170" s="32">
        <f>IFERROR(IF(AND(ISNUMBER($A1170),N(IF(AND(AH!$U$12=1,1165+1=AH!$U$6),IF(AH!$U$4=0,"unavailable",INDEX('Market Data'!$AN$5:$AN$66,AH!$U$4)),IF(AH!$U$5=1,INDEX('Live History'!$B$5:$B$3004,$K1170),INDEX('AH History'!$D$5:$GG$1380,$K1170,AH!$U$10))))&gt;0),IF(AND(AH!$U$12=1,1165+1=AH!$U$6),IF(AH!$U$4=0,"unavailable",INDEX('Market Data'!$AN$5:$AN$66,AH!$U$4)),IF(AH!$U$5=1,INDEX('Live History'!$B$5:$B$3004,$K1170),INDEX('AH History'!$D$5:$GG$1380,$K1170,AH!$U$10))),NA()),NA())</f>
        <v/>
      </c>
      <c r="F1170" s="32">
        <f>IFERROR(IF(ISNUMBER($A1170),IF(AND(AH!$U$12=1,1165+1=AH!$U$6),IF(AH!$U$4=0,"unavailable",INDEX('Market Data'!$AO$5:$AO$66,AH!$U$4)),IF(AH!$U$5=1,INDEX('Live History'!$E$5:$E$3004,MATCH($A1170,'Live History'!$D$5:$D$3004,1)),INDEX('AH History'!$D$5:$GG$1380,$K1170,AH!$U$10+1))),NA()),NA())</f>
        <v/>
      </c>
      <c r="G1170" s="34">
        <f>IFERROR(IF(ISNUMBER($A1170),IF(AND(AH!$U$12=1,1165+1=AH!$U$6),IF(AH!$U$4=0,"unavailable",INDEX('Market Data'!$AK$5:$AK$66,AH!$U$4)),IF(AH!$U$5=1,INDEX('Live History'!$D$5:$D$3004,MATCH($A1170,'Live History'!$D$5:$D$3004,1)),INDEX('AH History'!$D$5:$GG$1380,$K1170,AH!$U$10+2))),NA()),NA())</f>
        <v/>
      </c>
      <c r="H1170" s="266">
        <f>IFERROR(IF(ISNUMBER($A1170),IF(AND(AH!$U$12=1,1165+1=AH!$U$6),IF(AH!$U$4=0,"unavailable",INDEX('Market Data'!$AP$5:$AP$66,AH!$U$4)),IF(AH!$U$5=1,INDEX('Live History'!$H$5:$H$3004,MATCH($A1170,'Live History'!$G$5:$G$3004,1)),INDEX('AH History'!$B$5:$B$1380,$K1170))),NA()),NA())</f>
        <v/>
      </c>
      <c r="I1170" s="34">
        <f>IFERROR(IF(ISNUMBER($A1170),IF(AND(AH!$U$12=1,1165+1=AH!$U$6),TODAY(),IF(AH!$U$5=1,INDEX('Live History'!$G$5:$G$3004,MATCH($A1170,'Live History'!$G$5:$G$3004,1)),INDEX('AH History'!$C$5:$C$1380,$K1170))),NA()),NA())</f>
        <v/>
      </c>
      <c r="J1170" s="32">
        <f>IFERROR(IF(AND($F1170&gt;0,$H1170&gt;0,$A1170-$G1170&lt;=10,$A1170-$I1170&lt;=5,$G1170&gt;0,$I1170&gt;0),$F1170*$H1170,NA()),NA())</f>
        <v/>
      </c>
      <c r="K1170" s="15">
        <f>IF($A1170="","",IF(AH!$U$5=1,IFERROR(MATCH($A1170,'Live History'!$A$5:$A$3004,0),0),AH!$U$7+1165))</f>
        <v/>
      </c>
      <c r="L1170" s="15">
        <f>IF(ISNUMBER(A1170),TEXT(A1170,"dd-mmm-yy"),"")</f>
        <v/>
      </c>
    </row>
    <row r="1171">
      <c r="A1171" s="14">
        <f>IF(OR(AH!$U$4=0,1166+1&gt;AH!$U$6,AND(AH!$M$5="Bloomberg",AH!$U$5=0)),"",IFERROR(IF(AND(AH!$U$12=1,1166+1=AH!$U$6),TODAY(),IF(AH!$U$5=1,INDEX('Live History'!$A$5:$A$3004,AH!$U$7+1166),INDEX('AH History'!$A$5:$A$1380,AH!$U$7+1166))),""))</f>
        <v/>
      </c>
      <c r="B1171" s="33">
        <f>IFERROR(IF(AH!$U$11=1,NA(),$J1171/$E1171-1),NA())</f>
        <v/>
      </c>
      <c r="C1171" s="269">
        <f>IFERROR(100*$E1171/$E$5,NA())</f>
        <v/>
      </c>
      <c r="D1171" s="269">
        <f>IFERROR(100*$J1171/$J$5,NA())</f>
        <v/>
      </c>
      <c r="E1171" s="32">
        <f>IFERROR(IF(AND(ISNUMBER($A1171),N(IF(AND(AH!$U$12=1,1166+1=AH!$U$6),IF(AH!$U$4=0,"unavailable",INDEX('Market Data'!$AN$5:$AN$66,AH!$U$4)),IF(AH!$U$5=1,INDEX('Live History'!$B$5:$B$3004,$K1171),INDEX('AH History'!$D$5:$GG$1380,$K1171,AH!$U$10))))&gt;0),IF(AND(AH!$U$12=1,1166+1=AH!$U$6),IF(AH!$U$4=0,"unavailable",INDEX('Market Data'!$AN$5:$AN$66,AH!$U$4)),IF(AH!$U$5=1,INDEX('Live History'!$B$5:$B$3004,$K1171),INDEX('AH History'!$D$5:$GG$1380,$K1171,AH!$U$10))),NA()),NA())</f>
        <v/>
      </c>
      <c r="F1171" s="32">
        <f>IFERROR(IF(ISNUMBER($A1171),IF(AND(AH!$U$12=1,1166+1=AH!$U$6),IF(AH!$U$4=0,"unavailable",INDEX('Market Data'!$AO$5:$AO$66,AH!$U$4)),IF(AH!$U$5=1,INDEX('Live History'!$E$5:$E$3004,MATCH($A1171,'Live History'!$D$5:$D$3004,1)),INDEX('AH History'!$D$5:$GG$1380,$K1171,AH!$U$10+1))),NA()),NA())</f>
        <v/>
      </c>
      <c r="G1171" s="34">
        <f>IFERROR(IF(ISNUMBER($A1171),IF(AND(AH!$U$12=1,1166+1=AH!$U$6),IF(AH!$U$4=0,"unavailable",INDEX('Market Data'!$AK$5:$AK$66,AH!$U$4)),IF(AH!$U$5=1,INDEX('Live History'!$D$5:$D$3004,MATCH($A1171,'Live History'!$D$5:$D$3004,1)),INDEX('AH History'!$D$5:$GG$1380,$K1171,AH!$U$10+2))),NA()),NA())</f>
        <v/>
      </c>
      <c r="H1171" s="266">
        <f>IFERROR(IF(ISNUMBER($A1171),IF(AND(AH!$U$12=1,1166+1=AH!$U$6),IF(AH!$U$4=0,"unavailable",INDEX('Market Data'!$AP$5:$AP$66,AH!$U$4)),IF(AH!$U$5=1,INDEX('Live History'!$H$5:$H$3004,MATCH($A1171,'Live History'!$G$5:$G$3004,1)),INDEX('AH History'!$B$5:$B$1380,$K1171))),NA()),NA())</f>
        <v/>
      </c>
      <c r="I1171" s="34">
        <f>IFERROR(IF(ISNUMBER($A1171),IF(AND(AH!$U$12=1,1166+1=AH!$U$6),TODAY(),IF(AH!$U$5=1,INDEX('Live History'!$G$5:$G$3004,MATCH($A1171,'Live History'!$G$5:$G$3004,1)),INDEX('AH History'!$C$5:$C$1380,$K1171))),NA()),NA())</f>
        <v/>
      </c>
      <c r="J1171" s="32">
        <f>IFERROR(IF(AND($F1171&gt;0,$H1171&gt;0,$A1171-$G1171&lt;=10,$A1171-$I1171&lt;=5,$G1171&gt;0,$I1171&gt;0),$F1171*$H1171,NA()),NA())</f>
        <v/>
      </c>
      <c r="K1171" s="15">
        <f>IF($A1171="","",IF(AH!$U$5=1,IFERROR(MATCH($A1171,'Live History'!$A$5:$A$3004,0),0),AH!$U$7+1166))</f>
        <v/>
      </c>
      <c r="L1171" s="15">
        <f>IF(ISNUMBER(A1171),TEXT(A1171,"dd-mmm-yy"),"")</f>
        <v/>
      </c>
    </row>
    <row r="1172">
      <c r="A1172" s="14">
        <f>IF(OR(AH!$U$4=0,1167+1&gt;AH!$U$6,AND(AH!$M$5="Bloomberg",AH!$U$5=0)),"",IFERROR(IF(AND(AH!$U$12=1,1167+1=AH!$U$6),TODAY(),IF(AH!$U$5=1,INDEX('Live History'!$A$5:$A$3004,AH!$U$7+1167),INDEX('AH History'!$A$5:$A$1380,AH!$U$7+1167))),""))</f>
        <v/>
      </c>
      <c r="B1172" s="33">
        <f>IFERROR(IF(AH!$U$11=1,NA(),$J1172/$E1172-1),NA())</f>
        <v/>
      </c>
      <c r="C1172" s="269">
        <f>IFERROR(100*$E1172/$E$5,NA())</f>
        <v/>
      </c>
      <c r="D1172" s="269">
        <f>IFERROR(100*$J1172/$J$5,NA())</f>
        <v/>
      </c>
      <c r="E1172" s="32">
        <f>IFERROR(IF(AND(ISNUMBER($A1172),N(IF(AND(AH!$U$12=1,1167+1=AH!$U$6),IF(AH!$U$4=0,"unavailable",INDEX('Market Data'!$AN$5:$AN$66,AH!$U$4)),IF(AH!$U$5=1,INDEX('Live History'!$B$5:$B$3004,$K1172),INDEX('AH History'!$D$5:$GG$1380,$K1172,AH!$U$10))))&gt;0),IF(AND(AH!$U$12=1,1167+1=AH!$U$6),IF(AH!$U$4=0,"unavailable",INDEX('Market Data'!$AN$5:$AN$66,AH!$U$4)),IF(AH!$U$5=1,INDEX('Live History'!$B$5:$B$3004,$K1172),INDEX('AH History'!$D$5:$GG$1380,$K1172,AH!$U$10))),NA()),NA())</f>
        <v/>
      </c>
      <c r="F1172" s="32">
        <f>IFERROR(IF(ISNUMBER($A1172),IF(AND(AH!$U$12=1,1167+1=AH!$U$6),IF(AH!$U$4=0,"unavailable",INDEX('Market Data'!$AO$5:$AO$66,AH!$U$4)),IF(AH!$U$5=1,INDEX('Live History'!$E$5:$E$3004,MATCH($A1172,'Live History'!$D$5:$D$3004,1)),INDEX('AH History'!$D$5:$GG$1380,$K1172,AH!$U$10+1))),NA()),NA())</f>
        <v/>
      </c>
      <c r="G1172" s="34">
        <f>IFERROR(IF(ISNUMBER($A1172),IF(AND(AH!$U$12=1,1167+1=AH!$U$6),IF(AH!$U$4=0,"unavailable",INDEX('Market Data'!$AK$5:$AK$66,AH!$U$4)),IF(AH!$U$5=1,INDEX('Live History'!$D$5:$D$3004,MATCH($A1172,'Live History'!$D$5:$D$3004,1)),INDEX('AH History'!$D$5:$GG$1380,$K1172,AH!$U$10+2))),NA()),NA())</f>
        <v/>
      </c>
      <c r="H1172" s="266">
        <f>IFERROR(IF(ISNUMBER($A1172),IF(AND(AH!$U$12=1,1167+1=AH!$U$6),IF(AH!$U$4=0,"unavailable",INDEX('Market Data'!$AP$5:$AP$66,AH!$U$4)),IF(AH!$U$5=1,INDEX('Live History'!$H$5:$H$3004,MATCH($A1172,'Live History'!$G$5:$G$3004,1)),INDEX('AH History'!$B$5:$B$1380,$K1172))),NA()),NA())</f>
        <v/>
      </c>
      <c r="I1172" s="34">
        <f>IFERROR(IF(ISNUMBER($A1172),IF(AND(AH!$U$12=1,1167+1=AH!$U$6),TODAY(),IF(AH!$U$5=1,INDEX('Live History'!$G$5:$G$3004,MATCH($A1172,'Live History'!$G$5:$G$3004,1)),INDEX('AH History'!$C$5:$C$1380,$K1172))),NA()),NA())</f>
        <v/>
      </c>
      <c r="J1172" s="32">
        <f>IFERROR(IF(AND($F1172&gt;0,$H1172&gt;0,$A1172-$G1172&lt;=10,$A1172-$I1172&lt;=5,$G1172&gt;0,$I1172&gt;0),$F1172*$H1172,NA()),NA())</f>
        <v/>
      </c>
      <c r="K1172" s="15">
        <f>IF($A1172="","",IF(AH!$U$5=1,IFERROR(MATCH($A1172,'Live History'!$A$5:$A$3004,0),0),AH!$U$7+1167))</f>
        <v/>
      </c>
      <c r="L1172" s="15">
        <f>IF(ISNUMBER(A1172),TEXT(A1172,"dd-mmm-yy"),"")</f>
        <v/>
      </c>
    </row>
    <row r="1173">
      <c r="A1173" s="14">
        <f>IF(OR(AH!$U$4=0,1168+1&gt;AH!$U$6,AND(AH!$M$5="Bloomberg",AH!$U$5=0)),"",IFERROR(IF(AND(AH!$U$12=1,1168+1=AH!$U$6),TODAY(),IF(AH!$U$5=1,INDEX('Live History'!$A$5:$A$3004,AH!$U$7+1168),INDEX('AH History'!$A$5:$A$1380,AH!$U$7+1168))),""))</f>
        <v/>
      </c>
      <c r="B1173" s="33">
        <f>IFERROR(IF(AH!$U$11=1,NA(),$J1173/$E1173-1),NA())</f>
        <v/>
      </c>
      <c r="C1173" s="269">
        <f>IFERROR(100*$E1173/$E$5,NA())</f>
        <v/>
      </c>
      <c r="D1173" s="269">
        <f>IFERROR(100*$J1173/$J$5,NA())</f>
        <v/>
      </c>
      <c r="E1173" s="32">
        <f>IFERROR(IF(AND(ISNUMBER($A1173),N(IF(AND(AH!$U$12=1,1168+1=AH!$U$6),IF(AH!$U$4=0,"unavailable",INDEX('Market Data'!$AN$5:$AN$66,AH!$U$4)),IF(AH!$U$5=1,INDEX('Live History'!$B$5:$B$3004,$K1173),INDEX('AH History'!$D$5:$GG$1380,$K1173,AH!$U$10))))&gt;0),IF(AND(AH!$U$12=1,1168+1=AH!$U$6),IF(AH!$U$4=0,"unavailable",INDEX('Market Data'!$AN$5:$AN$66,AH!$U$4)),IF(AH!$U$5=1,INDEX('Live History'!$B$5:$B$3004,$K1173),INDEX('AH History'!$D$5:$GG$1380,$K1173,AH!$U$10))),NA()),NA())</f>
        <v/>
      </c>
      <c r="F1173" s="32">
        <f>IFERROR(IF(ISNUMBER($A1173),IF(AND(AH!$U$12=1,1168+1=AH!$U$6),IF(AH!$U$4=0,"unavailable",INDEX('Market Data'!$AO$5:$AO$66,AH!$U$4)),IF(AH!$U$5=1,INDEX('Live History'!$E$5:$E$3004,MATCH($A1173,'Live History'!$D$5:$D$3004,1)),INDEX('AH History'!$D$5:$GG$1380,$K1173,AH!$U$10+1))),NA()),NA())</f>
        <v/>
      </c>
      <c r="G1173" s="34">
        <f>IFERROR(IF(ISNUMBER($A1173),IF(AND(AH!$U$12=1,1168+1=AH!$U$6),IF(AH!$U$4=0,"unavailable",INDEX('Market Data'!$AK$5:$AK$66,AH!$U$4)),IF(AH!$U$5=1,INDEX('Live History'!$D$5:$D$3004,MATCH($A1173,'Live History'!$D$5:$D$3004,1)),INDEX('AH History'!$D$5:$GG$1380,$K1173,AH!$U$10+2))),NA()),NA())</f>
        <v/>
      </c>
      <c r="H1173" s="266">
        <f>IFERROR(IF(ISNUMBER($A1173),IF(AND(AH!$U$12=1,1168+1=AH!$U$6),IF(AH!$U$4=0,"unavailable",INDEX('Market Data'!$AP$5:$AP$66,AH!$U$4)),IF(AH!$U$5=1,INDEX('Live History'!$H$5:$H$3004,MATCH($A1173,'Live History'!$G$5:$G$3004,1)),INDEX('AH History'!$B$5:$B$1380,$K1173))),NA()),NA())</f>
        <v/>
      </c>
      <c r="I1173" s="34">
        <f>IFERROR(IF(ISNUMBER($A1173),IF(AND(AH!$U$12=1,1168+1=AH!$U$6),TODAY(),IF(AH!$U$5=1,INDEX('Live History'!$G$5:$G$3004,MATCH($A1173,'Live History'!$G$5:$G$3004,1)),INDEX('AH History'!$C$5:$C$1380,$K1173))),NA()),NA())</f>
        <v/>
      </c>
      <c r="J1173" s="32">
        <f>IFERROR(IF(AND($F1173&gt;0,$H1173&gt;0,$A1173-$G1173&lt;=10,$A1173-$I1173&lt;=5,$G1173&gt;0,$I1173&gt;0),$F1173*$H1173,NA()),NA())</f>
        <v/>
      </c>
      <c r="K1173" s="15">
        <f>IF($A1173="","",IF(AH!$U$5=1,IFERROR(MATCH($A1173,'Live History'!$A$5:$A$3004,0),0),AH!$U$7+1168))</f>
        <v/>
      </c>
      <c r="L1173" s="15">
        <f>IF(ISNUMBER(A1173),TEXT(A1173,"dd-mmm-yy"),"")</f>
        <v/>
      </c>
    </row>
    <row r="1174">
      <c r="A1174" s="14">
        <f>IF(OR(AH!$U$4=0,1169+1&gt;AH!$U$6,AND(AH!$M$5="Bloomberg",AH!$U$5=0)),"",IFERROR(IF(AND(AH!$U$12=1,1169+1=AH!$U$6),TODAY(),IF(AH!$U$5=1,INDEX('Live History'!$A$5:$A$3004,AH!$U$7+1169),INDEX('AH History'!$A$5:$A$1380,AH!$U$7+1169))),""))</f>
        <v/>
      </c>
      <c r="B1174" s="33">
        <f>IFERROR(IF(AH!$U$11=1,NA(),$J1174/$E1174-1),NA())</f>
        <v/>
      </c>
      <c r="C1174" s="269">
        <f>IFERROR(100*$E1174/$E$5,NA())</f>
        <v/>
      </c>
      <c r="D1174" s="269">
        <f>IFERROR(100*$J1174/$J$5,NA())</f>
        <v/>
      </c>
      <c r="E1174" s="32">
        <f>IFERROR(IF(AND(ISNUMBER($A1174),N(IF(AND(AH!$U$12=1,1169+1=AH!$U$6),IF(AH!$U$4=0,"unavailable",INDEX('Market Data'!$AN$5:$AN$66,AH!$U$4)),IF(AH!$U$5=1,INDEX('Live History'!$B$5:$B$3004,$K1174),INDEX('AH History'!$D$5:$GG$1380,$K1174,AH!$U$10))))&gt;0),IF(AND(AH!$U$12=1,1169+1=AH!$U$6),IF(AH!$U$4=0,"unavailable",INDEX('Market Data'!$AN$5:$AN$66,AH!$U$4)),IF(AH!$U$5=1,INDEX('Live History'!$B$5:$B$3004,$K1174),INDEX('AH History'!$D$5:$GG$1380,$K1174,AH!$U$10))),NA()),NA())</f>
        <v/>
      </c>
      <c r="F1174" s="32">
        <f>IFERROR(IF(ISNUMBER($A1174),IF(AND(AH!$U$12=1,1169+1=AH!$U$6),IF(AH!$U$4=0,"unavailable",INDEX('Market Data'!$AO$5:$AO$66,AH!$U$4)),IF(AH!$U$5=1,INDEX('Live History'!$E$5:$E$3004,MATCH($A1174,'Live History'!$D$5:$D$3004,1)),INDEX('AH History'!$D$5:$GG$1380,$K1174,AH!$U$10+1))),NA()),NA())</f>
        <v/>
      </c>
      <c r="G1174" s="34">
        <f>IFERROR(IF(ISNUMBER($A1174),IF(AND(AH!$U$12=1,1169+1=AH!$U$6),IF(AH!$U$4=0,"unavailable",INDEX('Market Data'!$AK$5:$AK$66,AH!$U$4)),IF(AH!$U$5=1,INDEX('Live History'!$D$5:$D$3004,MATCH($A1174,'Live History'!$D$5:$D$3004,1)),INDEX('AH History'!$D$5:$GG$1380,$K1174,AH!$U$10+2))),NA()),NA())</f>
        <v/>
      </c>
      <c r="H1174" s="266">
        <f>IFERROR(IF(ISNUMBER($A1174),IF(AND(AH!$U$12=1,1169+1=AH!$U$6),IF(AH!$U$4=0,"unavailable",INDEX('Market Data'!$AP$5:$AP$66,AH!$U$4)),IF(AH!$U$5=1,INDEX('Live History'!$H$5:$H$3004,MATCH($A1174,'Live History'!$G$5:$G$3004,1)),INDEX('AH History'!$B$5:$B$1380,$K1174))),NA()),NA())</f>
        <v/>
      </c>
      <c r="I1174" s="34">
        <f>IFERROR(IF(ISNUMBER($A1174),IF(AND(AH!$U$12=1,1169+1=AH!$U$6),TODAY(),IF(AH!$U$5=1,INDEX('Live History'!$G$5:$G$3004,MATCH($A1174,'Live History'!$G$5:$G$3004,1)),INDEX('AH History'!$C$5:$C$1380,$K1174))),NA()),NA())</f>
        <v/>
      </c>
      <c r="J1174" s="32">
        <f>IFERROR(IF(AND($F1174&gt;0,$H1174&gt;0,$A1174-$G1174&lt;=10,$A1174-$I1174&lt;=5,$G1174&gt;0,$I1174&gt;0),$F1174*$H1174,NA()),NA())</f>
        <v/>
      </c>
      <c r="K1174" s="15">
        <f>IF($A1174="","",IF(AH!$U$5=1,IFERROR(MATCH($A1174,'Live History'!$A$5:$A$3004,0),0),AH!$U$7+1169))</f>
        <v/>
      </c>
      <c r="L1174" s="15">
        <f>IF(ISNUMBER(A1174),TEXT(A1174,"dd-mmm-yy"),"")</f>
        <v/>
      </c>
    </row>
    <row r="1175">
      <c r="A1175" s="14">
        <f>IF(OR(AH!$U$4=0,1170+1&gt;AH!$U$6,AND(AH!$M$5="Bloomberg",AH!$U$5=0)),"",IFERROR(IF(AND(AH!$U$12=1,1170+1=AH!$U$6),TODAY(),IF(AH!$U$5=1,INDEX('Live History'!$A$5:$A$3004,AH!$U$7+1170),INDEX('AH History'!$A$5:$A$1380,AH!$U$7+1170))),""))</f>
        <v/>
      </c>
      <c r="B1175" s="33">
        <f>IFERROR(IF(AH!$U$11=1,NA(),$J1175/$E1175-1),NA())</f>
        <v/>
      </c>
      <c r="C1175" s="269">
        <f>IFERROR(100*$E1175/$E$5,NA())</f>
        <v/>
      </c>
      <c r="D1175" s="269">
        <f>IFERROR(100*$J1175/$J$5,NA())</f>
        <v/>
      </c>
      <c r="E1175" s="32">
        <f>IFERROR(IF(AND(ISNUMBER($A1175),N(IF(AND(AH!$U$12=1,1170+1=AH!$U$6),IF(AH!$U$4=0,"unavailable",INDEX('Market Data'!$AN$5:$AN$66,AH!$U$4)),IF(AH!$U$5=1,INDEX('Live History'!$B$5:$B$3004,$K1175),INDEX('AH History'!$D$5:$GG$1380,$K1175,AH!$U$10))))&gt;0),IF(AND(AH!$U$12=1,1170+1=AH!$U$6),IF(AH!$U$4=0,"unavailable",INDEX('Market Data'!$AN$5:$AN$66,AH!$U$4)),IF(AH!$U$5=1,INDEX('Live History'!$B$5:$B$3004,$K1175),INDEX('AH History'!$D$5:$GG$1380,$K1175,AH!$U$10))),NA()),NA())</f>
        <v/>
      </c>
      <c r="F1175" s="32">
        <f>IFERROR(IF(ISNUMBER($A1175),IF(AND(AH!$U$12=1,1170+1=AH!$U$6),IF(AH!$U$4=0,"unavailable",INDEX('Market Data'!$AO$5:$AO$66,AH!$U$4)),IF(AH!$U$5=1,INDEX('Live History'!$E$5:$E$3004,MATCH($A1175,'Live History'!$D$5:$D$3004,1)),INDEX('AH History'!$D$5:$GG$1380,$K1175,AH!$U$10+1))),NA()),NA())</f>
        <v/>
      </c>
      <c r="G1175" s="34">
        <f>IFERROR(IF(ISNUMBER($A1175),IF(AND(AH!$U$12=1,1170+1=AH!$U$6),IF(AH!$U$4=0,"unavailable",INDEX('Market Data'!$AK$5:$AK$66,AH!$U$4)),IF(AH!$U$5=1,INDEX('Live History'!$D$5:$D$3004,MATCH($A1175,'Live History'!$D$5:$D$3004,1)),INDEX('AH History'!$D$5:$GG$1380,$K1175,AH!$U$10+2))),NA()),NA())</f>
        <v/>
      </c>
      <c r="H1175" s="266">
        <f>IFERROR(IF(ISNUMBER($A1175),IF(AND(AH!$U$12=1,1170+1=AH!$U$6),IF(AH!$U$4=0,"unavailable",INDEX('Market Data'!$AP$5:$AP$66,AH!$U$4)),IF(AH!$U$5=1,INDEX('Live History'!$H$5:$H$3004,MATCH($A1175,'Live History'!$G$5:$G$3004,1)),INDEX('AH History'!$B$5:$B$1380,$K1175))),NA()),NA())</f>
        <v/>
      </c>
      <c r="I1175" s="34">
        <f>IFERROR(IF(ISNUMBER($A1175),IF(AND(AH!$U$12=1,1170+1=AH!$U$6),TODAY(),IF(AH!$U$5=1,INDEX('Live History'!$G$5:$G$3004,MATCH($A1175,'Live History'!$G$5:$G$3004,1)),INDEX('AH History'!$C$5:$C$1380,$K1175))),NA()),NA())</f>
        <v/>
      </c>
      <c r="J1175" s="32">
        <f>IFERROR(IF(AND($F1175&gt;0,$H1175&gt;0,$A1175-$G1175&lt;=10,$A1175-$I1175&lt;=5,$G1175&gt;0,$I1175&gt;0),$F1175*$H1175,NA()),NA())</f>
        <v/>
      </c>
      <c r="K1175" s="15">
        <f>IF($A1175="","",IF(AH!$U$5=1,IFERROR(MATCH($A1175,'Live History'!$A$5:$A$3004,0),0),AH!$U$7+1170))</f>
        <v/>
      </c>
      <c r="L1175" s="15">
        <f>IF(ISNUMBER(A1175),TEXT(A1175,"dd-mmm-yy"),"")</f>
        <v/>
      </c>
    </row>
    <row r="1176">
      <c r="A1176" s="14">
        <f>IF(OR(AH!$U$4=0,1171+1&gt;AH!$U$6,AND(AH!$M$5="Bloomberg",AH!$U$5=0)),"",IFERROR(IF(AND(AH!$U$12=1,1171+1=AH!$U$6),TODAY(),IF(AH!$U$5=1,INDEX('Live History'!$A$5:$A$3004,AH!$U$7+1171),INDEX('AH History'!$A$5:$A$1380,AH!$U$7+1171))),""))</f>
        <v/>
      </c>
      <c r="B1176" s="33">
        <f>IFERROR(IF(AH!$U$11=1,NA(),$J1176/$E1176-1),NA())</f>
        <v/>
      </c>
      <c r="C1176" s="269">
        <f>IFERROR(100*$E1176/$E$5,NA())</f>
        <v/>
      </c>
      <c r="D1176" s="269">
        <f>IFERROR(100*$J1176/$J$5,NA())</f>
        <v/>
      </c>
      <c r="E1176" s="32">
        <f>IFERROR(IF(AND(ISNUMBER($A1176),N(IF(AND(AH!$U$12=1,1171+1=AH!$U$6),IF(AH!$U$4=0,"unavailable",INDEX('Market Data'!$AN$5:$AN$66,AH!$U$4)),IF(AH!$U$5=1,INDEX('Live History'!$B$5:$B$3004,$K1176),INDEX('AH History'!$D$5:$GG$1380,$K1176,AH!$U$10))))&gt;0),IF(AND(AH!$U$12=1,1171+1=AH!$U$6),IF(AH!$U$4=0,"unavailable",INDEX('Market Data'!$AN$5:$AN$66,AH!$U$4)),IF(AH!$U$5=1,INDEX('Live History'!$B$5:$B$3004,$K1176),INDEX('AH History'!$D$5:$GG$1380,$K1176,AH!$U$10))),NA()),NA())</f>
        <v/>
      </c>
      <c r="F1176" s="32">
        <f>IFERROR(IF(ISNUMBER($A1176),IF(AND(AH!$U$12=1,1171+1=AH!$U$6),IF(AH!$U$4=0,"unavailable",INDEX('Market Data'!$AO$5:$AO$66,AH!$U$4)),IF(AH!$U$5=1,INDEX('Live History'!$E$5:$E$3004,MATCH($A1176,'Live History'!$D$5:$D$3004,1)),INDEX('AH History'!$D$5:$GG$1380,$K1176,AH!$U$10+1))),NA()),NA())</f>
        <v/>
      </c>
      <c r="G1176" s="34">
        <f>IFERROR(IF(ISNUMBER($A1176),IF(AND(AH!$U$12=1,1171+1=AH!$U$6),IF(AH!$U$4=0,"unavailable",INDEX('Market Data'!$AK$5:$AK$66,AH!$U$4)),IF(AH!$U$5=1,INDEX('Live History'!$D$5:$D$3004,MATCH($A1176,'Live History'!$D$5:$D$3004,1)),INDEX('AH History'!$D$5:$GG$1380,$K1176,AH!$U$10+2))),NA()),NA())</f>
        <v/>
      </c>
      <c r="H1176" s="266">
        <f>IFERROR(IF(ISNUMBER($A1176),IF(AND(AH!$U$12=1,1171+1=AH!$U$6),IF(AH!$U$4=0,"unavailable",INDEX('Market Data'!$AP$5:$AP$66,AH!$U$4)),IF(AH!$U$5=1,INDEX('Live History'!$H$5:$H$3004,MATCH($A1176,'Live History'!$G$5:$G$3004,1)),INDEX('AH History'!$B$5:$B$1380,$K1176))),NA()),NA())</f>
        <v/>
      </c>
      <c r="I1176" s="34">
        <f>IFERROR(IF(ISNUMBER($A1176),IF(AND(AH!$U$12=1,1171+1=AH!$U$6),TODAY(),IF(AH!$U$5=1,INDEX('Live History'!$G$5:$G$3004,MATCH($A1176,'Live History'!$G$5:$G$3004,1)),INDEX('AH History'!$C$5:$C$1380,$K1176))),NA()),NA())</f>
        <v/>
      </c>
      <c r="J1176" s="32">
        <f>IFERROR(IF(AND($F1176&gt;0,$H1176&gt;0,$A1176-$G1176&lt;=10,$A1176-$I1176&lt;=5,$G1176&gt;0,$I1176&gt;0),$F1176*$H1176,NA()),NA())</f>
        <v/>
      </c>
      <c r="K1176" s="15">
        <f>IF($A1176="","",IF(AH!$U$5=1,IFERROR(MATCH($A1176,'Live History'!$A$5:$A$3004,0),0),AH!$U$7+1171))</f>
        <v/>
      </c>
      <c r="L1176" s="15">
        <f>IF(ISNUMBER(A1176),TEXT(A1176,"dd-mmm-yy"),"")</f>
        <v/>
      </c>
    </row>
    <row r="1177">
      <c r="A1177" s="14">
        <f>IF(OR(AH!$U$4=0,1172+1&gt;AH!$U$6,AND(AH!$M$5="Bloomberg",AH!$U$5=0)),"",IFERROR(IF(AND(AH!$U$12=1,1172+1=AH!$U$6),TODAY(),IF(AH!$U$5=1,INDEX('Live History'!$A$5:$A$3004,AH!$U$7+1172),INDEX('AH History'!$A$5:$A$1380,AH!$U$7+1172))),""))</f>
        <v/>
      </c>
      <c r="B1177" s="33">
        <f>IFERROR(IF(AH!$U$11=1,NA(),$J1177/$E1177-1),NA())</f>
        <v/>
      </c>
      <c r="C1177" s="269">
        <f>IFERROR(100*$E1177/$E$5,NA())</f>
        <v/>
      </c>
      <c r="D1177" s="269">
        <f>IFERROR(100*$J1177/$J$5,NA())</f>
        <v/>
      </c>
      <c r="E1177" s="32">
        <f>IFERROR(IF(AND(ISNUMBER($A1177),N(IF(AND(AH!$U$12=1,1172+1=AH!$U$6),IF(AH!$U$4=0,"unavailable",INDEX('Market Data'!$AN$5:$AN$66,AH!$U$4)),IF(AH!$U$5=1,INDEX('Live History'!$B$5:$B$3004,$K1177),INDEX('AH History'!$D$5:$GG$1380,$K1177,AH!$U$10))))&gt;0),IF(AND(AH!$U$12=1,1172+1=AH!$U$6),IF(AH!$U$4=0,"unavailable",INDEX('Market Data'!$AN$5:$AN$66,AH!$U$4)),IF(AH!$U$5=1,INDEX('Live History'!$B$5:$B$3004,$K1177),INDEX('AH History'!$D$5:$GG$1380,$K1177,AH!$U$10))),NA()),NA())</f>
        <v/>
      </c>
      <c r="F1177" s="32">
        <f>IFERROR(IF(ISNUMBER($A1177),IF(AND(AH!$U$12=1,1172+1=AH!$U$6),IF(AH!$U$4=0,"unavailable",INDEX('Market Data'!$AO$5:$AO$66,AH!$U$4)),IF(AH!$U$5=1,INDEX('Live History'!$E$5:$E$3004,MATCH($A1177,'Live History'!$D$5:$D$3004,1)),INDEX('AH History'!$D$5:$GG$1380,$K1177,AH!$U$10+1))),NA()),NA())</f>
        <v/>
      </c>
      <c r="G1177" s="34">
        <f>IFERROR(IF(ISNUMBER($A1177),IF(AND(AH!$U$12=1,1172+1=AH!$U$6),IF(AH!$U$4=0,"unavailable",INDEX('Market Data'!$AK$5:$AK$66,AH!$U$4)),IF(AH!$U$5=1,INDEX('Live History'!$D$5:$D$3004,MATCH($A1177,'Live History'!$D$5:$D$3004,1)),INDEX('AH History'!$D$5:$GG$1380,$K1177,AH!$U$10+2))),NA()),NA())</f>
        <v/>
      </c>
      <c r="H1177" s="266">
        <f>IFERROR(IF(ISNUMBER($A1177),IF(AND(AH!$U$12=1,1172+1=AH!$U$6),IF(AH!$U$4=0,"unavailable",INDEX('Market Data'!$AP$5:$AP$66,AH!$U$4)),IF(AH!$U$5=1,INDEX('Live History'!$H$5:$H$3004,MATCH($A1177,'Live History'!$G$5:$G$3004,1)),INDEX('AH History'!$B$5:$B$1380,$K1177))),NA()),NA())</f>
        <v/>
      </c>
      <c r="I1177" s="34">
        <f>IFERROR(IF(ISNUMBER($A1177),IF(AND(AH!$U$12=1,1172+1=AH!$U$6),TODAY(),IF(AH!$U$5=1,INDEX('Live History'!$G$5:$G$3004,MATCH($A1177,'Live History'!$G$5:$G$3004,1)),INDEX('AH History'!$C$5:$C$1380,$K1177))),NA()),NA())</f>
        <v/>
      </c>
      <c r="J1177" s="32">
        <f>IFERROR(IF(AND($F1177&gt;0,$H1177&gt;0,$A1177-$G1177&lt;=10,$A1177-$I1177&lt;=5,$G1177&gt;0,$I1177&gt;0),$F1177*$H1177,NA()),NA())</f>
        <v/>
      </c>
      <c r="K1177" s="15">
        <f>IF($A1177="","",IF(AH!$U$5=1,IFERROR(MATCH($A1177,'Live History'!$A$5:$A$3004,0),0),AH!$U$7+1172))</f>
        <v/>
      </c>
      <c r="L1177" s="15">
        <f>IF(ISNUMBER(A1177),TEXT(A1177,"dd-mmm-yy"),"")</f>
        <v/>
      </c>
    </row>
    <row r="1178">
      <c r="A1178" s="14">
        <f>IF(OR(AH!$U$4=0,1173+1&gt;AH!$U$6,AND(AH!$M$5="Bloomberg",AH!$U$5=0)),"",IFERROR(IF(AND(AH!$U$12=1,1173+1=AH!$U$6),TODAY(),IF(AH!$U$5=1,INDEX('Live History'!$A$5:$A$3004,AH!$U$7+1173),INDEX('AH History'!$A$5:$A$1380,AH!$U$7+1173))),""))</f>
        <v/>
      </c>
      <c r="B1178" s="33">
        <f>IFERROR(IF(AH!$U$11=1,NA(),$J1178/$E1178-1),NA())</f>
        <v/>
      </c>
      <c r="C1178" s="269">
        <f>IFERROR(100*$E1178/$E$5,NA())</f>
        <v/>
      </c>
      <c r="D1178" s="269">
        <f>IFERROR(100*$J1178/$J$5,NA())</f>
        <v/>
      </c>
      <c r="E1178" s="32">
        <f>IFERROR(IF(AND(ISNUMBER($A1178),N(IF(AND(AH!$U$12=1,1173+1=AH!$U$6),IF(AH!$U$4=0,"unavailable",INDEX('Market Data'!$AN$5:$AN$66,AH!$U$4)),IF(AH!$U$5=1,INDEX('Live History'!$B$5:$B$3004,$K1178),INDEX('AH History'!$D$5:$GG$1380,$K1178,AH!$U$10))))&gt;0),IF(AND(AH!$U$12=1,1173+1=AH!$U$6),IF(AH!$U$4=0,"unavailable",INDEX('Market Data'!$AN$5:$AN$66,AH!$U$4)),IF(AH!$U$5=1,INDEX('Live History'!$B$5:$B$3004,$K1178),INDEX('AH History'!$D$5:$GG$1380,$K1178,AH!$U$10))),NA()),NA())</f>
        <v/>
      </c>
      <c r="F1178" s="32">
        <f>IFERROR(IF(ISNUMBER($A1178),IF(AND(AH!$U$12=1,1173+1=AH!$U$6),IF(AH!$U$4=0,"unavailable",INDEX('Market Data'!$AO$5:$AO$66,AH!$U$4)),IF(AH!$U$5=1,INDEX('Live History'!$E$5:$E$3004,MATCH($A1178,'Live History'!$D$5:$D$3004,1)),INDEX('AH History'!$D$5:$GG$1380,$K1178,AH!$U$10+1))),NA()),NA())</f>
        <v/>
      </c>
      <c r="G1178" s="34">
        <f>IFERROR(IF(ISNUMBER($A1178),IF(AND(AH!$U$12=1,1173+1=AH!$U$6),IF(AH!$U$4=0,"unavailable",INDEX('Market Data'!$AK$5:$AK$66,AH!$U$4)),IF(AH!$U$5=1,INDEX('Live History'!$D$5:$D$3004,MATCH($A1178,'Live History'!$D$5:$D$3004,1)),INDEX('AH History'!$D$5:$GG$1380,$K1178,AH!$U$10+2))),NA()),NA())</f>
        <v/>
      </c>
      <c r="H1178" s="266">
        <f>IFERROR(IF(ISNUMBER($A1178),IF(AND(AH!$U$12=1,1173+1=AH!$U$6),IF(AH!$U$4=0,"unavailable",INDEX('Market Data'!$AP$5:$AP$66,AH!$U$4)),IF(AH!$U$5=1,INDEX('Live History'!$H$5:$H$3004,MATCH($A1178,'Live History'!$G$5:$G$3004,1)),INDEX('AH History'!$B$5:$B$1380,$K1178))),NA()),NA())</f>
        <v/>
      </c>
      <c r="I1178" s="34">
        <f>IFERROR(IF(ISNUMBER($A1178),IF(AND(AH!$U$12=1,1173+1=AH!$U$6),TODAY(),IF(AH!$U$5=1,INDEX('Live History'!$G$5:$G$3004,MATCH($A1178,'Live History'!$G$5:$G$3004,1)),INDEX('AH History'!$C$5:$C$1380,$K1178))),NA()),NA())</f>
        <v/>
      </c>
      <c r="J1178" s="32">
        <f>IFERROR(IF(AND($F1178&gt;0,$H1178&gt;0,$A1178-$G1178&lt;=10,$A1178-$I1178&lt;=5,$G1178&gt;0,$I1178&gt;0),$F1178*$H1178,NA()),NA())</f>
        <v/>
      </c>
      <c r="K1178" s="15">
        <f>IF($A1178="","",IF(AH!$U$5=1,IFERROR(MATCH($A1178,'Live History'!$A$5:$A$3004,0),0),AH!$U$7+1173))</f>
        <v/>
      </c>
      <c r="L1178" s="15">
        <f>IF(ISNUMBER(A1178),TEXT(A1178,"dd-mmm-yy"),"")</f>
        <v/>
      </c>
    </row>
    <row r="1179">
      <c r="A1179" s="14">
        <f>IF(OR(AH!$U$4=0,1174+1&gt;AH!$U$6,AND(AH!$M$5="Bloomberg",AH!$U$5=0)),"",IFERROR(IF(AND(AH!$U$12=1,1174+1=AH!$U$6),TODAY(),IF(AH!$U$5=1,INDEX('Live History'!$A$5:$A$3004,AH!$U$7+1174),INDEX('AH History'!$A$5:$A$1380,AH!$U$7+1174))),""))</f>
        <v/>
      </c>
      <c r="B1179" s="33">
        <f>IFERROR(IF(AH!$U$11=1,NA(),$J1179/$E1179-1),NA())</f>
        <v/>
      </c>
      <c r="C1179" s="269">
        <f>IFERROR(100*$E1179/$E$5,NA())</f>
        <v/>
      </c>
      <c r="D1179" s="269">
        <f>IFERROR(100*$J1179/$J$5,NA())</f>
        <v/>
      </c>
      <c r="E1179" s="32">
        <f>IFERROR(IF(AND(ISNUMBER($A1179),N(IF(AND(AH!$U$12=1,1174+1=AH!$U$6),IF(AH!$U$4=0,"unavailable",INDEX('Market Data'!$AN$5:$AN$66,AH!$U$4)),IF(AH!$U$5=1,INDEX('Live History'!$B$5:$B$3004,$K1179),INDEX('AH History'!$D$5:$GG$1380,$K1179,AH!$U$10))))&gt;0),IF(AND(AH!$U$12=1,1174+1=AH!$U$6),IF(AH!$U$4=0,"unavailable",INDEX('Market Data'!$AN$5:$AN$66,AH!$U$4)),IF(AH!$U$5=1,INDEX('Live History'!$B$5:$B$3004,$K1179),INDEX('AH History'!$D$5:$GG$1380,$K1179,AH!$U$10))),NA()),NA())</f>
        <v/>
      </c>
      <c r="F1179" s="32">
        <f>IFERROR(IF(ISNUMBER($A1179),IF(AND(AH!$U$12=1,1174+1=AH!$U$6),IF(AH!$U$4=0,"unavailable",INDEX('Market Data'!$AO$5:$AO$66,AH!$U$4)),IF(AH!$U$5=1,INDEX('Live History'!$E$5:$E$3004,MATCH($A1179,'Live History'!$D$5:$D$3004,1)),INDEX('AH History'!$D$5:$GG$1380,$K1179,AH!$U$10+1))),NA()),NA())</f>
        <v/>
      </c>
      <c r="G1179" s="34">
        <f>IFERROR(IF(ISNUMBER($A1179),IF(AND(AH!$U$12=1,1174+1=AH!$U$6),IF(AH!$U$4=0,"unavailable",INDEX('Market Data'!$AK$5:$AK$66,AH!$U$4)),IF(AH!$U$5=1,INDEX('Live History'!$D$5:$D$3004,MATCH($A1179,'Live History'!$D$5:$D$3004,1)),INDEX('AH History'!$D$5:$GG$1380,$K1179,AH!$U$10+2))),NA()),NA())</f>
        <v/>
      </c>
      <c r="H1179" s="266">
        <f>IFERROR(IF(ISNUMBER($A1179),IF(AND(AH!$U$12=1,1174+1=AH!$U$6),IF(AH!$U$4=0,"unavailable",INDEX('Market Data'!$AP$5:$AP$66,AH!$U$4)),IF(AH!$U$5=1,INDEX('Live History'!$H$5:$H$3004,MATCH($A1179,'Live History'!$G$5:$G$3004,1)),INDEX('AH History'!$B$5:$B$1380,$K1179))),NA()),NA())</f>
        <v/>
      </c>
      <c r="I1179" s="34">
        <f>IFERROR(IF(ISNUMBER($A1179),IF(AND(AH!$U$12=1,1174+1=AH!$U$6),TODAY(),IF(AH!$U$5=1,INDEX('Live History'!$G$5:$G$3004,MATCH($A1179,'Live History'!$G$5:$G$3004,1)),INDEX('AH History'!$C$5:$C$1380,$K1179))),NA()),NA())</f>
        <v/>
      </c>
      <c r="J1179" s="32">
        <f>IFERROR(IF(AND($F1179&gt;0,$H1179&gt;0,$A1179-$G1179&lt;=10,$A1179-$I1179&lt;=5,$G1179&gt;0,$I1179&gt;0),$F1179*$H1179,NA()),NA())</f>
        <v/>
      </c>
      <c r="K1179" s="15">
        <f>IF($A1179="","",IF(AH!$U$5=1,IFERROR(MATCH($A1179,'Live History'!$A$5:$A$3004,0),0),AH!$U$7+1174))</f>
        <v/>
      </c>
      <c r="L1179" s="15">
        <f>IF(ISNUMBER(A1179),TEXT(A1179,"dd-mmm-yy"),"")</f>
        <v/>
      </c>
    </row>
    <row r="1180">
      <c r="A1180" s="14">
        <f>IF(OR(AH!$U$4=0,1175+1&gt;AH!$U$6,AND(AH!$M$5="Bloomberg",AH!$U$5=0)),"",IFERROR(IF(AND(AH!$U$12=1,1175+1=AH!$U$6),TODAY(),IF(AH!$U$5=1,INDEX('Live History'!$A$5:$A$3004,AH!$U$7+1175),INDEX('AH History'!$A$5:$A$1380,AH!$U$7+1175))),""))</f>
        <v/>
      </c>
      <c r="B1180" s="33">
        <f>IFERROR(IF(AH!$U$11=1,NA(),$J1180/$E1180-1),NA())</f>
        <v/>
      </c>
      <c r="C1180" s="269">
        <f>IFERROR(100*$E1180/$E$5,NA())</f>
        <v/>
      </c>
      <c r="D1180" s="269">
        <f>IFERROR(100*$J1180/$J$5,NA())</f>
        <v/>
      </c>
      <c r="E1180" s="32">
        <f>IFERROR(IF(AND(ISNUMBER($A1180),N(IF(AND(AH!$U$12=1,1175+1=AH!$U$6),IF(AH!$U$4=0,"unavailable",INDEX('Market Data'!$AN$5:$AN$66,AH!$U$4)),IF(AH!$U$5=1,INDEX('Live History'!$B$5:$B$3004,$K1180),INDEX('AH History'!$D$5:$GG$1380,$K1180,AH!$U$10))))&gt;0),IF(AND(AH!$U$12=1,1175+1=AH!$U$6),IF(AH!$U$4=0,"unavailable",INDEX('Market Data'!$AN$5:$AN$66,AH!$U$4)),IF(AH!$U$5=1,INDEX('Live History'!$B$5:$B$3004,$K1180),INDEX('AH History'!$D$5:$GG$1380,$K1180,AH!$U$10))),NA()),NA())</f>
        <v/>
      </c>
      <c r="F1180" s="32">
        <f>IFERROR(IF(ISNUMBER($A1180),IF(AND(AH!$U$12=1,1175+1=AH!$U$6),IF(AH!$U$4=0,"unavailable",INDEX('Market Data'!$AO$5:$AO$66,AH!$U$4)),IF(AH!$U$5=1,INDEX('Live History'!$E$5:$E$3004,MATCH($A1180,'Live History'!$D$5:$D$3004,1)),INDEX('AH History'!$D$5:$GG$1380,$K1180,AH!$U$10+1))),NA()),NA())</f>
        <v/>
      </c>
      <c r="G1180" s="34">
        <f>IFERROR(IF(ISNUMBER($A1180),IF(AND(AH!$U$12=1,1175+1=AH!$U$6),IF(AH!$U$4=0,"unavailable",INDEX('Market Data'!$AK$5:$AK$66,AH!$U$4)),IF(AH!$U$5=1,INDEX('Live History'!$D$5:$D$3004,MATCH($A1180,'Live History'!$D$5:$D$3004,1)),INDEX('AH History'!$D$5:$GG$1380,$K1180,AH!$U$10+2))),NA()),NA())</f>
        <v/>
      </c>
      <c r="H1180" s="266">
        <f>IFERROR(IF(ISNUMBER($A1180),IF(AND(AH!$U$12=1,1175+1=AH!$U$6),IF(AH!$U$4=0,"unavailable",INDEX('Market Data'!$AP$5:$AP$66,AH!$U$4)),IF(AH!$U$5=1,INDEX('Live History'!$H$5:$H$3004,MATCH($A1180,'Live History'!$G$5:$G$3004,1)),INDEX('AH History'!$B$5:$B$1380,$K1180))),NA()),NA())</f>
        <v/>
      </c>
      <c r="I1180" s="34">
        <f>IFERROR(IF(ISNUMBER($A1180),IF(AND(AH!$U$12=1,1175+1=AH!$U$6),TODAY(),IF(AH!$U$5=1,INDEX('Live History'!$G$5:$G$3004,MATCH($A1180,'Live History'!$G$5:$G$3004,1)),INDEX('AH History'!$C$5:$C$1380,$K1180))),NA()),NA())</f>
        <v/>
      </c>
      <c r="J1180" s="32">
        <f>IFERROR(IF(AND($F1180&gt;0,$H1180&gt;0,$A1180-$G1180&lt;=10,$A1180-$I1180&lt;=5,$G1180&gt;0,$I1180&gt;0),$F1180*$H1180,NA()),NA())</f>
        <v/>
      </c>
      <c r="K1180" s="15">
        <f>IF($A1180="","",IF(AH!$U$5=1,IFERROR(MATCH($A1180,'Live History'!$A$5:$A$3004,0),0),AH!$U$7+1175))</f>
        <v/>
      </c>
      <c r="L1180" s="15">
        <f>IF(ISNUMBER(A1180),TEXT(A1180,"dd-mmm-yy"),"")</f>
        <v/>
      </c>
    </row>
    <row r="1181">
      <c r="A1181" s="14">
        <f>IF(OR(AH!$U$4=0,1176+1&gt;AH!$U$6,AND(AH!$M$5="Bloomberg",AH!$U$5=0)),"",IFERROR(IF(AND(AH!$U$12=1,1176+1=AH!$U$6),TODAY(),IF(AH!$U$5=1,INDEX('Live History'!$A$5:$A$3004,AH!$U$7+1176),INDEX('AH History'!$A$5:$A$1380,AH!$U$7+1176))),""))</f>
        <v/>
      </c>
      <c r="B1181" s="33">
        <f>IFERROR(IF(AH!$U$11=1,NA(),$J1181/$E1181-1),NA())</f>
        <v/>
      </c>
      <c r="C1181" s="269">
        <f>IFERROR(100*$E1181/$E$5,NA())</f>
        <v/>
      </c>
      <c r="D1181" s="269">
        <f>IFERROR(100*$J1181/$J$5,NA())</f>
        <v/>
      </c>
      <c r="E1181" s="32">
        <f>IFERROR(IF(AND(ISNUMBER($A1181),N(IF(AND(AH!$U$12=1,1176+1=AH!$U$6),IF(AH!$U$4=0,"unavailable",INDEX('Market Data'!$AN$5:$AN$66,AH!$U$4)),IF(AH!$U$5=1,INDEX('Live History'!$B$5:$B$3004,$K1181),INDEX('AH History'!$D$5:$GG$1380,$K1181,AH!$U$10))))&gt;0),IF(AND(AH!$U$12=1,1176+1=AH!$U$6),IF(AH!$U$4=0,"unavailable",INDEX('Market Data'!$AN$5:$AN$66,AH!$U$4)),IF(AH!$U$5=1,INDEX('Live History'!$B$5:$B$3004,$K1181),INDEX('AH History'!$D$5:$GG$1380,$K1181,AH!$U$10))),NA()),NA())</f>
        <v/>
      </c>
      <c r="F1181" s="32">
        <f>IFERROR(IF(ISNUMBER($A1181),IF(AND(AH!$U$12=1,1176+1=AH!$U$6),IF(AH!$U$4=0,"unavailable",INDEX('Market Data'!$AO$5:$AO$66,AH!$U$4)),IF(AH!$U$5=1,INDEX('Live History'!$E$5:$E$3004,MATCH($A1181,'Live History'!$D$5:$D$3004,1)),INDEX('AH History'!$D$5:$GG$1380,$K1181,AH!$U$10+1))),NA()),NA())</f>
        <v/>
      </c>
      <c r="G1181" s="34">
        <f>IFERROR(IF(ISNUMBER($A1181),IF(AND(AH!$U$12=1,1176+1=AH!$U$6),IF(AH!$U$4=0,"unavailable",INDEX('Market Data'!$AK$5:$AK$66,AH!$U$4)),IF(AH!$U$5=1,INDEX('Live History'!$D$5:$D$3004,MATCH($A1181,'Live History'!$D$5:$D$3004,1)),INDEX('AH History'!$D$5:$GG$1380,$K1181,AH!$U$10+2))),NA()),NA())</f>
        <v/>
      </c>
      <c r="H1181" s="266">
        <f>IFERROR(IF(ISNUMBER($A1181),IF(AND(AH!$U$12=1,1176+1=AH!$U$6),IF(AH!$U$4=0,"unavailable",INDEX('Market Data'!$AP$5:$AP$66,AH!$U$4)),IF(AH!$U$5=1,INDEX('Live History'!$H$5:$H$3004,MATCH($A1181,'Live History'!$G$5:$G$3004,1)),INDEX('AH History'!$B$5:$B$1380,$K1181))),NA()),NA())</f>
        <v/>
      </c>
      <c r="I1181" s="34">
        <f>IFERROR(IF(ISNUMBER($A1181),IF(AND(AH!$U$12=1,1176+1=AH!$U$6),TODAY(),IF(AH!$U$5=1,INDEX('Live History'!$G$5:$G$3004,MATCH($A1181,'Live History'!$G$5:$G$3004,1)),INDEX('AH History'!$C$5:$C$1380,$K1181))),NA()),NA())</f>
        <v/>
      </c>
      <c r="J1181" s="32">
        <f>IFERROR(IF(AND($F1181&gt;0,$H1181&gt;0,$A1181-$G1181&lt;=10,$A1181-$I1181&lt;=5,$G1181&gt;0,$I1181&gt;0),$F1181*$H1181,NA()),NA())</f>
        <v/>
      </c>
      <c r="K1181" s="15">
        <f>IF($A1181="","",IF(AH!$U$5=1,IFERROR(MATCH($A1181,'Live History'!$A$5:$A$3004,0),0),AH!$U$7+1176))</f>
        <v/>
      </c>
      <c r="L1181" s="15">
        <f>IF(ISNUMBER(A1181),TEXT(A1181,"dd-mmm-yy"),"")</f>
        <v/>
      </c>
    </row>
    <row r="1182">
      <c r="A1182" s="14">
        <f>IF(OR(AH!$U$4=0,1177+1&gt;AH!$U$6,AND(AH!$M$5="Bloomberg",AH!$U$5=0)),"",IFERROR(IF(AND(AH!$U$12=1,1177+1=AH!$U$6),TODAY(),IF(AH!$U$5=1,INDEX('Live History'!$A$5:$A$3004,AH!$U$7+1177),INDEX('AH History'!$A$5:$A$1380,AH!$U$7+1177))),""))</f>
        <v/>
      </c>
      <c r="B1182" s="33">
        <f>IFERROR(IF(AH!$U$11=1,NA(),$J1182/$E1182-1),NA())</f>
        <v/>
      </c>
      <c r="C1182" s="269">
        <f>IFERROR(100*$E1182/$E$5,NA())</f>
        <v/>
      </c>
      <c r="D1182" s="269">
        <f>IFERROR(100*$J1182/$J$5,NA())</f>
        <v/>
      </c>
      <c r="E1182" s="32">
        <f>IFERROR(IF(AND(ISNUMBER($A1182),N(IF(AND(AH!$U$12=1,1177+1=AH!$U$6),IF(AH!$U$4=0,"unavailable",INDEX('Market Data'!$AN$5:$AN$66,AH!$U$4)),IF(AH!$U$5=1,INDEX('Live History'!$B$5:$B$3004,$K1182),INDEX('AH History'!$D$5:$GG$1380,$K1182,AH!$U$10))))&gt;0),IF(AND(AH!$U$12=1,1177+1=AH!$U$6),IF(AH!$U$4=0,"unavailable",INDEX('Market Data'!$AN$5:$AN$66,AH!$U$4)),IF(AH!$U$5=1,INDEX('Live History'!$B$5:$B$3004,$K1182),INDEX('AH History'!$D$5:$GG$1380,$K1182,AH!$U$10))),NA()),NA())</f>
        <v/>
      </c>
      <c r="F1182" s="32">
        <f>IFERROR(IF(ISNUMBER($A1182),IF(AND(AH!$U$12=1,1177+1=AH!$U$6),IF(AH!$U$4=0,"unavailable",INDEX('Market Data'!$AO$5:$AO$66,AH!$U$4)),IF(AH!$U$5=1,INDEX('Live History'!$E$5:$E$3004,MATCH($A1182,'Live History'!$D$5:$D$3004,1)),INDEX('AH History'!$D$5:$GG$1380,$K1182,AH!$U$10+1))),NA()),NA())</f>
        <v/>
      </c>
      <c r="G1182" s="34">
        <f>IFERROR(IF(ISNUMBER($A1182),IF(AND(AH!$U$12=1,1177+1=AH!$U$6),IF(AH!$U$4=0,"unavailable",INDEX('Market Data'!$AK$5:$AK$66,AH!$U$4)),IF(AH!$U$5=1,INDEX('Live History'!$D$5:$D$3004,MATCH($A1182,'Live History'!$D$5:$D$3004,1)),INDEX('AH History'!$D$5:$GG$1380,$K1182,AH!$U$10+2))),NA()),NA())</f>
        <v/>
      </c>
      <c r="H1182" s="266">
        <f>IFERROR(IF(ISNUMBER($A1182),IF(AND(AH!$U$12=1,1177+1=AH!$U$6),IF(AH!$U$4=0,"unavailable",INDEX('Market Data'!$AP$5:$AP$66,AH!$U$4)),IF(AH!$U$5=1,INDEX('Live History'!$H$5:$H$3004,MATCH($A1182,'Live History'!$G$5:$G$3004,1)),INDEX('AH History'!$B$5:$B$1380,$K1182))),NA()),NA())</f>
        <v/>
      </c>
      <c r="I1182" s="34">
        <f>IFERROR(IF(ISNUMBER($A1182),IF(AND(AH!$U$12=1,1177+1=AH!$U$6),TODAY(),IF(AH!$U$5=1,INDEX('Live History'!$G$5:$G$3004,MATCH($A1182,'Live History'!$G$5:$G$3004,1)),INDEX('AH History'!$C$5:$C$1380,$K1182))),NA()),NA())</f>
        <v/>
      </c>
      <c r="J1182" s="32">
        <f>IFERROR(IF(AND($F1182&gt;0,$H1182&gt;0,$A1182-$G1182&lt;=10,$A1182-$I1182&lt;=5,$G1182&gt;0,$I1182&gt;0),$F1182*$H1182,NA()),NA())</f>
        <v/>
      </c>
      <c r="K1182" s="15">
        <f>IF($A1182="","",IF(AH!$U$5=1,IFERROR(MATCH($A1182,'Live History'!$A$5:$A$3004,0),0),AH!$U$7+1177))</f>
        <v/>
      </c>
      <c r="L1182" s="15">
        <f>IF(ISNUMBER(A1182),TEXT(A1182,"dd-mmm-yy"),"")</f>
        <v/>
      </c>
    </row>
    <row r="1183">
      <c r="A1183" s="14">
        <f>IF(OR(AH!$U$4=0,1178+1&gt;AH!$U$6,AND(AH!$M$5="Bloomberg",AH!$U$5=0)),"",IFERROR(IF(AND(AH!$U$12=1,1178+1=AH!$U$6),TODAY(),IF(AH!$U$5=1,INDEX('Live History'!$A$5:$A$3004,AH!$U$7+1178),INDEX('AH History'!$A$5:$A$1380,AH!$U$7+1178))),""))</f>
        <v/>
      </c>
      <c r="B1183" s="33">
        <f>IFERROR(IF(AH!$U$11=1,NA(),$J1183/$E1183-1),NA())</f>
        <v/>
      </c>
      <c r="C1183" s="269">
        <f>IFERROR(100*$E1183/$E$5,NA())</f>
        <v/>
      </c>
      <c r="D1183" s="269">
        <f>IFERROR(100*$J1183/$J$5,NA())</f>
        <v/>
      </c>
      <c r="E1183" s="32">
        <f>IFERROR(IF(AND(ISNUMBER($A1183),N(IF(AND(AH!$U$12=1,1178+1=AH!$U$6),IF(AH!$U$4=0,"unavailable",INDEX('Market Data'!$AN$5:$AN$66,AH!$U$4)),IF(AH!$U$5=1,INDEX('Live History'!$B$5:$B$3004,$K1183),INDEX('AH History'!$D$5:$GG$1380,$K1183,AH!$U$10))))&gt;0),IF(AND(AH!$U$12=1,1178+1=AH!$U$6),IF(AH!$U$4=0,"unavailable",INDEX('Market Data'!$AN$5:$AN$66,AH!$U$4)),IF(AH!$U$5=1,INDEX('Live History'!$B$5:$B$3004,$K1183),INDEX('AH History'!$D$5:$GG$1380,$K1183,AH!$U$10))),NA()),NA())</f>
        <v/>
      </c>
      <c r="F1183" s="32">
        <f>IFERROR(IF(ISNUMBER($A1183),IF(AND(AH!$U$12=1,1178+1=AH!$U$6),IF(AH!$U$4=0,"unavailable",INDEX('Market Data'!$AO$5:$AO$66,AH!$U$4)),IF(AH!$U$5=1,INDEX('Live History'!$E$5:$E$3004,MATCH($A1183,'Live History'!$D$5:$D$3004,1)),INDEX('AH History'!$D$5:$GG$1380,$K1183,AH!$U$10+1))),NA()),NA())</f>
        <v/>
      </c>
      <c r="G1183" s="34">
        <f>IFERROR(IF(ISNUMBER($A1183),IF(AND(AH!$U$12=1,1178+1=AH!$U$6),IF(AH!$U$4=0,"unavailable",INDEX('Market Data'!$AK$5:$AK$66,AH!$U$4)),IF(AH!$U$5=1,INDEX('Live History'!$D$5:$D$3004,MATCH($A1183,'Live History'!$D$5:$D$3004,1)),INDEX('AH History'!$D$5:$GG$1380,$K1183,AH!$U$10+2))),NA()),NA())</f>
        <v/>
      </c>
      <c r="H1183" s="266">
        <f>IFERROR(IF(ISNUMBER($A1183),IF(AND(AH!$U$12=1,1178+1=AH!$U$6),IF(AH!$U$4=0,"unavailable",INDEX('Market Data'!$AP$5:$AP$66,AH!$U$4)),IF(AH!$U$5=1,INDEX('Live History'!$H$5:$H$3004,MATCH($A1183,'Live History'!$G$5:$G$3004,1)),INDEX('AH History'!$B$5:$B$1380,$K1183))),NA()),NA())</f>
        <v/>
      </c>
      <c r="I1183" s="34">
        <f>IFERROR(IF(ISNUMBER($A1183),IF(AND(AH!$U$12=1,1178+1=AH!$U$6),TODAY(),IF(AH!$U$5=1,INDEX('Live History'!$G$5:$G$3004,MATCH($A1183,'Live History'!$G$5:$G$3004,1)),INDEX('AH History'!$C$5:$C$1380,$K1183))),NA()),NA())</f>
        <v/>
      </c>
      <c r="J1183" s="32">
        <f>IFERROR(IF(AND($F1183&gt;0,$H1183&gt;0,$A1183-$G1183&lt;=10,$A1183-$I1183&lt;=5,$G1183&gt;0,$I1183&gt;0),$F1183*$H1183,NA()),NA())</f>
        <v/>
      </c>
      <c r="K1183" s="15">
        <f>IF($A1183="","",IF(AH!$U$5=1,IFERROR(MATCH($A1183,'Live History'!$A$5:$A$3004,0),0),AH!$U$7+1178))</f>
        <v/>
      </c>
      <c r="L1183" s="15">
        <f>IF(ISNUMBER(A1183),TEXT(A1183,"dd-mmm-yy"),"")</f>
        <v/>
      </c>
    </row>
    <row r="1184">
      <c r="A1184" s="14">
        <f>IF(OR(AH!$U$4=0,1179+1&gt;AH!$U$6,AND(AH!$M$5="Bloomberg",AH!$U$5=0)),"",IFERROR(IF(AND(AH!$U$12=1,1179+1=AH!$U$6),TODAY(),IF(AH!$U$5=1,INDEX('Live History'!$A$5:$A$3004,AH!$U$7+1179),INDEX('AH History'!$A$5:$A$1380,AH!$U$7+1179))),""))</f>
        <v/>
      </c>
      <c r="B1184" s="33">
        <f>IFERROR(IF(AH!$U$11=1,NA(),$J1184/$E1184-1),NA())</f>
        <v/>
      </c>
      <c r="C1184" s="269">
        <f>IFERROR(100*$E1184/$E$5,NA())</f>
        <v/>
      </c>
      <c r="D1184" s="269">
        <f>IFERROR(100*$J1184/$J$5,NA())</f>
        <v/>
      </c>
      <c r="E1184" s="32">
        <f>IFERROR(IF(AND(ISNUMBER($A1184),N(IF(AND(AH!$U$12=1,1179+1=AH!$U$6),IF(AH!$U$4=0,"unavailable",INDEX('Market Data'!$AN$5:$AN$66,AH!$U$4)),IF(AH!$U$5=1,INDEX('Live History'!$B$5:$B$3004,$K1184),INDEX('AH History'!$D$5:$GG$1380,$K1184,AH!$U$10))))&gt;0),IF(AND(AH!$U$12=1,1179+1=AH!$U$6),IF(AH!$U$4=0,"unavailable",INDEX('Market Data'!$AN$5:$AN$66,AH!$U$4)),IF(AH!$U$5=1,INDEX('Live History'!$B$5:$B$3004,$K1184),INDEX('AH History'!$D$5:$GG$1380,$K1184,AH!$U$10))),NA()),NA())</f>
        <v/>
      </c>
      <c r="F1184" s="32">
        <f>IFERROR(IF(ISNUMBER($A1184),IF(AND(AH!$U$12=1,1179+1=AH!$U$6),IF(AH!$U$4=0,"unavailable",INDEX('Market Data'!$AO$5:$AO$66,AH!$U$4)),IF(AH!$U$5=1,INDEX('Live History'!$E$5:$E$3004,MATCH($A1184,'Live History'!$D$5:$D$3004,1)),INDEX('AH History'!$D$5:$GG$1380,$K1184,AH!$U$10+1))),NA()),NA())</f>
        <v/>
      </c>
      <c r="G1184" s="34">
        <f>IFERROR(IF(ISNUMBER($A1184),IF(AND(AH!$U$12=1,1179+1=AH!$U$6),IF(AH!$U$4=0,"unavailable",INDEX('Market Data'!$AK$5:$AK$66,AH!$U$4)),IF(AH!$U$5=1,INDEX('Live History'!$D$5:$D$3004,MATCH($A1184,'Live History'!$D$5:$D$3004,1)),INDEX('AH History'!$D$5:$GG$1380,$K1184,AH!$U$10+2))),NA()),NA())</f>
        <v/>
      </c>
      <c r="H1184" s="266">
        <f>IFERROR(IF(ISNUMBER($A1184),IF(AND(AH!$U$12=1,1179+1=AH!$U$6),IF(AH!$U$4=0,"unavailable",INDEX('Market Data'!$AP$5:$AP$66,AH!$U$4)),IF(AH!$U$5=1,INDEX('Live History'!$H$5:$H$3004,MATCH($A1184,'Live History'!$G$5:$G$3004,1)),INDEX('AH History'!$B$5:$B$1380,$K1184))),NA()),NA())</f>
        <v/>
      </c>
      <c r="I1184" s="34">
        <f>IFERROR(IF(ISNUMBER($A1184),IF(AND(AH!$U$12=1,1179+1=AH!$U$6),TODAY(),IF(AH!$U$5=1,INDEX('Live History'!$G$5:$G$3004,MATCH($A1184,'Live History'!$G$5:$G$3004,1)),INDEX('AH History'!$C$5:$C$1380,$K1184))),NA()),NA())</f>
        <v/>
      </c>
      <c r="J1184" s="32">
        <f>IFERROR(IF(AND($F1184&gt;0,$H1184&gt;0,$A1184-$G1184&lt;=10,$A1184-$I1184&lt;=5,$G1184&gt;0,$I1184&gt;0),$F1184*$H1184,NA()),NA())</f>
        <v/>
      </c>
      <c r="K1184" s="15">
        <f>IF($A1184="","",IF(AH!$U$5=1,IFERROR(MATCH($A1184,'Live History'!$A$5:$A$3004,0),0),AH!$U$7+1179))</f>
        <v/>
      </c>
      <c r="L1184" s="15">
        <f>IF(ISNUMBER(A1184),TEXT(A1184,"dd-mmm-yy"),"")</f>
        <v/>
      </c>
    </row>
    <row r="1185">
      <c r="A1185" s="14">
        <f>IF(OR(AH!$U$4=0,1180+1&gt;AH!$U$6,AND(AH!$M$5="Bloomberg",AH!$U$5=0)),"",IFERROR(IF(AND(AH!$U$12=1,1180+1=AH!$U$6),TODAY(),IF(AH!$U$5=1,INDEX('Live History'!$A$5:$A$3004,AH!$U$7+1180),INDEX('AH History'!$A$5:$A$1380,AH!$U$7+1180))),""))</f>
        <v/>
      </c>
      <c r="B1185" s="33">
        <f>IFERROR(IF(AH!$U$11=1,NA(),$J1185/$E1185-1),NA())</f>
        <v/>
      </c>
      <c r="C1185" s="269">
        <f>IFERROR(100*$E1185/$E$5,NA())</f>
        <v/>
      </c>
      <c r="D1185" s="269">
        <f>IFERROR(100*$J1185/$J$5,NA())</f>
        <v/>
      </c>
      <c r="E1185" s="32">
        <f>IFERROR(IF(AND(ISNUMBER($A1185),N(IF(AND(AH!$U$12=1,1180+1=AH!$U$6),IF(AH!$U$4=0,"unavailable",INDEX('Market Data'!$AN$5:$AN$66,AH!$U$4)),IF(AH!$U$5=1,INDEX('Live History'!$B$5:$B$3004,$K1185),INDEX('AH History'!$D$5:$GG$1380,$K1185,AH!$U$10))))&gt;0),IF(AND(AH!$U$12=1,1180+1=AH!$U$6),IF(AH!$U$4=0,"unavailable",INDEX('Market Data'!$AN$5:$AN$66,AH!$U$4)),IF(AH!$U$5=1,INDEX('Live History'!$B$5:$B$3004,$K1185),INDEX('AH History'!$D$5:$GG$1380,$K1185,AH!$U$10))),NA()),NA())</f>
        <v/>
      </c>
      <c r="F1185" s="32">
        <f>IFERROR(IF(ISNUMBER($A1185),IF(AND(AH!$U$12=1,1180+1=AH!$U$6),IF(AH!$U$4=0,"unavailable",INDEX('Market Data'!$AO$5:$AO$66,AH!$U$4)),IF(AH!$U$5=1,INDEX('Live History'!$E$5:$E$3004,MATCH($A1185,'Live History'!$D$5:$D$3004,1)),INDEX('AH History'!$D$5:$GG$1380,$K1185,AH!$U$10+1))),NA()),NA())</f>
        <v/>
      </c>
      <c r="G1185" s="34">
        <f>IFERROR(IF(ISNUMBER($A1185),IF(AND(AH!$U$12=1,1180+1=AH!$U$6),IF(AH!$U$4=0,"unavailable",INDEX('Market Data'!$AK$5:$AK$66,AH!$U$4)),IF(AH!$U$5=1,INDEX('Live History'!$D$5:$D$3004,MATCH($A1185,'Live History'!$D$5:$D$3004,1)),INDEX('AH History'!$D$5:$GG$1380,$K1185,AH!$U$10+2))),NA()),NA())</f>
        <v/>
      </c>
      <c r="H1185" s="266">
        <f>IFERROR(IF(ISNUMBER($A1185),IF(AND(AH!$U$12=1,1180+1=AH!$U$6),IF(AH!$U$4=0,"unavailable",INDEX('Market Data'!$AP$5:$AP$66,AH!$U$4)),IF(AH!$U$5=1,INDEX('Live History'!$H$5:$H$3004,MATCH($A1185,'Live History'!$G$5:$G$3004,1)),INDEX('AH History'!$B$5:$B$1380,$K1185))),NA()),NA())</f>
        <v/>
      </c>
      <c r="I1185" s="34">
        <f>IFERROR(IF(ISNUMBER($A1185),IF(AND(AH!$U$12=1,1180+1=AH!$U$6),TODAY(),IF(AH!$U$5=1,INDEX('Live History'!$G$5:$G$3004,MATCH($A1185,'Live History'!$G$5:$G$3004,1)),INDEX('AH History'!$C$5:$C$1380,$K1185))),NA()),NA())</f>
        <v/>
      </c>
      <c r="J1185" s="32">
        <f>IFERROR(IF(AND($F1185&gt;0,$H1185&gt;0,$A1185-$G1185&lt;=10,$A1185-$I1185&lt;=5,$G1185&gt;0,$I1185&gt;0),$F1185*$H1185,NA()),NA())</f>
        <v/>
      </c>
      <c r="K1185" s="15">
        <f>IF($A1185="","",IF(AH!$U$5=1,IFERROR(MATCH($A1185,'Live History'!$A$5:$A$3004,0),0),AH!$U$7+1180))</f>
        <v/>
      </c>
      <c r="L1185" s="15">
        <f>IF(ISNUMBER(A1185),TEXT(A1185,"dd-mmm-yy"),"")</f>
        <v/>
      </c>
    </row>
    <row r="1186">
      <c r="A1186" s="14">
        <f>IF(OR(AH!$U$4=0,1181+1&gt;AH!$U$6,AND(AH!$M$5="Bloomberg",AH!$U$5=0)),"",IFERROR(IF(AND(AH!$U$12=1,1181+1=AH!$U$6),TODAY(),IF(AH!$U$5=1,INDEX('Live History'!$A$5:$A$3004,AH!$U$7+1181),INDEX('AH History'!$A$5:$A$1380,AH!$U$7+1181))),""))</f>
        <v/>
      </c>
      <c r="B1186" s="33">
        <f>IFERROR(IF(AH!$U$11=1,NA(),$J1186/$E1186-1),NA())</f>
        <v/>
      </c>
      <c r="C1186" s="269">
        <f>IFERROR(100*$E1186/$E$5,NA())</f>
        <v/>
      </c>
      <c r="D1186" s="269">
        <f>IFERROR(100*$J1186/$J$5,NA())</f>
        <v/>
      </c>
      <c r="E1186" s="32">
        <f>IFERROR(IF(AND(ISNUMBER($A1186),N(IF(AND(AH!$U$12=1,1181+1=AH!$U$6),IF(AH!$U$4=0,"unavailable",INDEX('Market Data'!$AN$5:$AN$66,AH!$U$4)),IF(AH!$U$5=1,INDEX('Live History'!$B$5:$B$3004,$K1186),INDEX('AH History'!$D$5:$GG$1380,$K1186,AH!$U$10))))&gt;0),IF(AND(AH!$U$12=1,1181+1=AH!$U$6),IF(AH!$U$4=0,"unavailable",INDEX('Market Data'!$AN$5:$AN$66,AH!$U$4)),IF(AH!$U$5=1,INDEX('Live History'!$B$5:$B$3004,$K1186),INDEX('AH History'!$D$5:$GG$1380,$K1186,AH!$U$10))),NA()),NA())</f>
        <v/>
      </c>
      <c r="F1186" s="32">
        <f>IFERROR(IF(ISNUMBER($A1186),IF(AND(AH!$U$12=1,1181+1=AH!$U$6),IF(AH!$U$4=0,"unavailable",INDEX('Market Data'!$AO$5:$AO$66,AH!$U$4)),IF(AH!$U$5=1,INDEX('Live History'!$E$5:$E$3004,MATCH($A1186,'Live History'!$D$5:$D$3004,1)),INDEX('AH History'!$D$5:$GG$1380,$K1186,AH!$U$10+1))),NA()),NA())</f>
        <v/>
      </c>
      <c r="G1186" s="34">
        <f>IFERROR(IF(ISNUMBER($A1186),IF(AND(AH!$U$12=1,1181+1=AH!$U$6),IF(AH!$U$4=0,"unavailable",INDEX('Market Data'!$AK$5:$AK$66,AH!$U$4)),IF(AH!$U$5=1,INDEX('Live History'!$D$5:$D$3004,MATCH($A1186,'Live History'!$D$5:$D$3004,1)),INDEX('AH History'!$D$5:$GG$1380,$K1186,AH!$U$10+2))),NA()),NA())</f>
        <v/>
      </c>
      <c r="H1186" s="266">
        <f>IFERROR(IF(ISNUMBER($A1186),IF(AND(AH!$U$12=1,1181+1=AH!$U$6),IF(AH!$U$4=0,"unavailable",INDEX('Market Data'!$AP$5:$AP$66,AH!$U$4)),IF(AH!$U$5=1,INDEX('Live History'!$H$5:$H$3004,MATCH($A1186,'Live History'!$G$5:$G$3004,1)),INDEX('AH History'!$B$5:$B$1380,$K1186))),NA()),NA())</f>
        <v/>
      </c>
      <c r="I1186" s="34">
        <f>IFERROR(IF(ISNUMBER($A1186),IF(AND(AH!$U$12=1,1181+1=AH!$U$6),TODAY(),IF(AH!$U$5=1,INDEX('Live History'!$G$5:$G$3004,MATCH($A1186,'Live History'!$G$5:$G$3004,1)),INDEX('AH History'!$C$5:$C$1380,$K1186))),NA()),NA())</f>
        <v/>
      </c>
      <c r="J1186" s="32">
        <f>IFERROR(IF(AND($F1186&gt;0,$H1186&gt;0,$A1186-$G1186&lt;=10,$A1186-$I1186&lt;=5,$G1186&gt;0,$I1186&gt;0),$F1186*$H1186,NA()),NA())</f>
        <v/>
      </c>
      <c r="K1186" s="15">
        <f>IF($A1186="","",IF(AH!$U$5=1,IFERROR(MATCH($A1186,'Live History'!$A$5:$A$3004,0),0),AH!$U$7+1181))</f>
        <v/>
      </c>
      <c r="L1186" s="15">
        <f>IF(ISNUMBER(A1186),TEXT(A1186,"dd-mmm-yy"),"")</f>
        <v/>
      </c>
    </row>
    <row r="1187">
      <c r="A1187" s="14">
        <f>IF(OR(AH!$U$4=0,1182+1&gt;AH!$U$6,AND(AH!$M$5="Bloomberg",AH!$U$5=0)),"",IFERROR(IF(AND(AH!$U$12=1,1182+1=AH!$U$6),TODAY(),IF(AH!$U$5=1,INDEX('Live History'!$A$5:$A$3004,AH!$U$7+1182),INDEX('AH History'!$A$5:$A$1380,AH!$U$7+1182))),""))</f>
        <v/>
      </c>
      <c r="B1187" s="33">
        <f>IFERROR(IF(AH!$U$11=1,NA(),$J1187/$E1187-1),NA())</f>
        <v/>
      </c>
      <c r="C1187" s="269">
        <f>IFERROR(100*$E1187/$E$5,NA())</f>
        <v/>
      </c>
      <c r="D1187" s="269">
        <f>IFERROR(100*$J1187/$J$5,NA())</f>
        <v/>
      </c>
      <c r="E1187" s="32">
        <f>IFERROR(IF(AND(ISNUMBER($A1187),N(IF(AND(AH!$U$12=1,1182+1=AH!$U$6),IF(AH!$U$4=0,"unavailable",INDEX('Market Data'!$AN$5:$AN$66,AH!$U$4)),IF(AH!$U$5=1,INDEX('Live History'!$B$5:$B$3004,$K1187),INDEX('AH History'!$D$5:$GG$1380,$K1187,AH!$U$10))))&gt;0),IF(AND(AH!$U$12=1,1182+1=AH!$U$6),IF(AH!$U$4=0,"unavailable",INDEX('Market Data'!$AN$5:$AN$66,AH!$U$4)),IF(AH!$U$5=1,INDEX('Live History'!$B$5:$B$3004,$K1187),INDEX('AH History'!$D$5:$GG$1380,$K1187,AH!$U$10))),NA()),NA())</f>
        <v/>
      </c>
      <c r="F1187" s="32">
        <f>IFERROR(IF(ISNUMBER($A1187),IF(AND(AH!$U$12=1,1182+1=AH!$U$6),IF(AH!$U$4=0,"unavailable",INDEX('Market Data'!$AO$5:$AO$66,AH!$U$4)),IF(AH!$U$5=1,INDEX('Live History'!$E$5:$E$3004,MATCH($A1187,'Live History'!$D$5:$D$3004,1)),INDEX('AH History'!$D$5:$GG$1380,$K1187,AH!$U$10+1))),NA()),NA())</f>
        <v/>
      </c>
      <c r="G1187" s="34">
        <f>IFERROR(IF(ISNUMBER($A1187),IF(AND(AH!$U$12=1,1182+1=AH!$U$6),IF(AH!$U$4=0,"unavailable",INDEX('Market Data'!$AK$5:$AK$66,AH!$U$4)),IF(AH!$U$5=1,INDEX('Live History'!$D$5:$D$3004,MATCH($A1187,'Live History'!$D$5:$D$3004,1)),INDEX('AH History'!$D$5:$GG$1380,$K1187,AH!$U$10+2))),NA()),NA())</f>
        <v/>
      </c>
      <c r="H1187" s="266">
        <f>IFERROR(IF(ISNUMBER($A1187),IF(AND(AH!$U$12=1,1182+1=AH!$U$6),IF(AH!$U$4=0,"unavailable",INDEX('Market Data'!$AP$5:$AP$66,AH!$U$4)),IF(AH!$U$5=1,INDEX('Live History'!$H$5:$H$3004,MATCH($A1187,'Live History'!$G$5:$G$3004,1)),INDEX('AH History'!$B$5:$B$1380,$K1187))),NA()),NA())</f>
        <v/>
      </c>
      <c r="I1187" s="34">
        <f>IFERROR(IF(ISNUMBER($A1187),IF(AND(AH!$U$12=1,1182+1=AH!$U$6),TODAY(),IF(AH!$U$5=1,INDEX('Live History'!$G$5:$G$3004,MATCH($A1187,'Live History'!$G$5:$G$3004,1)),INDEX('AH History'!$C$5:$C$1380,$K1187))),NA()),NA())</f>
        <v/>
      </c>
      <c r="J1187" s="32">
        <f>IFERROR(IF(AND($F1187&gt;0,$H1187&gt;0,$A1187-$G1187&lt;=10,$A1187-$I1187&lt;=5,$G1187&gt;0,$I1187&gt;0),$F1187*$H1187,NA()),NA())</f>
        <v/>
      </c>
      <c r="K1187" s="15">
        <f>IF($A1187="","",IF(AH!$U$5=1,IFERROR(MATCH($A1187,'Live History'!$A$5:$A$3004,0),0),AH!$U$7+1182))</f>
        <v/>
      </c>
      <c r="L1187" s="15">
        <f>IF(ISNUMBER(A1187),TEXT(A1187,"dd-mmm-yy"),"")</f>
        <v/>
      </c>
    </row>
    <row r="1188">
      <c r="A1188" s="14">
        <f>IF(OR(AH!$U$4=0,1183+1&gt;AH!$U$6,AND(AH!$M$5="Bloomberg",AH!$U$5=0)),"",IFERROR(IF(AND(AH!$U$12=1,1183+1=AH!$U$6),TODAY(),IF(AH!$U$5=1,INDEX('Live History'!$A$5:$A$3004,AH!$U$7+1183),INDEX('AH History'!$A$5:$A$1380,AH!$U$7+1183))),""))</f>
        <v/>
      </c>
      <c r="B1188" s="33">
        <f>IFERROR(IF(AH!$U$11=1,NA(),$J1188/$E1188-1),NA())</f>
        <v/>
      </c>
      <c r="C1188" s="269">
        <f>IFERROR(100*$E1188/$E$5,NA())</f>
        <v/>
      </c>
      <c r="D1188" s="269">
        <f>IFERROR(100*$J1188/$J$5,NA())</f>
        <v/>
      </c>
      <c r="E1188" s="32">
        <f>IFERROR(IF(AND(ISNUMBER($A1188),N(IF(AND(AH!$U$12=1,1183+1=AH!$U$6),IF(AH!$U$4=0,"unavailable",INDEX('Market Data'!$AN$5:$AN$66,AH!$U$4)),IF(AH!$U$5=1,INDEX('Live History'!$B$5:$B$3004,$K1188),INDEX('AH History'!$D$5:$GG$1380,$K1188,AH!$U$10))))&gt;0),IF(AND(AH!$U$12=1,1183+1=AH!$U$6),IF(AH!$U$4=0,"unavailable",INDEX('Market Data'!$AN$5:$AN$66,AH!$U$4)),IF(AH!$U$5=1,INDEX('Live History'!$B$5:$B$3004,$K1188),INDEX('AH History'!$D$5:$GG$1380,$K1188,AH!$U$10))),NA()),NA())</f>
        <v/>
      </c>
      <c r="F1188" s="32">
        <f>IFERROR(IF(ISNUMBER($A1188),IF(AND(AH!$U$12=1,1183+1=AH!$U$6),IF(AH!$U$4=0,"unavailable",INDEX('Market Data'!$AO$5:$AO$66,AH!$U$4)),IF(AH!$U$5=1,INDEX('Live History'!$E$5:$E$3004,MATCH($A1188,'Live History'!$D$5:$D$3004,1)),INDEX('AH History'!$D$5:$GG$1380,$K1188,AH!$U$10+1))),NA()),NA())</f>
        <v/>
      </c>
      <c r="G1188" s="34">
        <f>IFERROR(IF(ISNUMBER($A1188),IF(AND(AH!$U$12=1,1183+1=AH!$U$6),IF(AH!$U$4=0,"unavailable",INDEX('Market Data'!$AK$5:$AK$66,AH!$U$4)),IF(AH!$U$5=1,INDEX('Live History'!$D$5:$D$3004,MATCH($A1188,'Live History'!$D$5:$D$3004,1)),INDEX('AH History'!$D$5:$GG$1380,$K1188,AH!$U$10+2))),NA()),NA())</f>
        <v/>
      </c>
      <c r="H1188" s="266">
        <f>IFERROR(IF(ISNUMBER($A1188),IF(AND(AH!$U$12=1,1183+1=AH!$U$6),IF(AH!$U$4=0,"unavailable",INDEX('Market Data'!$AP$5:$AP$66,AH!$U$4)),IF(AH!$U$5=1,INDEX('Live History'!$H$5:$H$3004,MATCH($A1188,'Live History'!$G$5:$G$3004,1)),INDEX('AH History'!$B$5:$B$1380,$K1188))),NA()),NA())</f>
        <v/>
      </c>
      <c r="I1188" s="34">
        <f>IFERROR(IF(ISNUMBER($A1188),IF(AND(AH!$U$12=1,1183+1=AH!$U$6),TODAY(),IF(AH!$U$5=1,INDEX('Live History'!$G$5:$G$3004,MATCH($A1188,'Live History'!$G$5:$G$3004,1)),INDEX('AH History'!$C$5:$C$1380,$K1188))),NA()),NA())</f>
        <v/>
      </c>
      <c r="J1188" s="32">
        <f>IFERROR(IF(AND($F1188&gt;0,$H1188&gt;0,$A1188-$G1188&lt;=10,$A1188-$I1188&lt;=5,$G1188&gt;0,$I1188&gt;0),$F1188*$H1188,NA()),NA())</f>
        <v/>
      </c>
      <c r="K1188" s="15">
        <f>IF($A1188="","",IF(AH!$U$5=1,IFERROR(MATCH($A1188,'Live History'!$A$5:$A$3004,0),0),AH!$U$7+1183))</f>
        <v/>
      </c>
      <c r="L1188" s="15">
        <f>IF(ISNUMBER(A1188),TEXT(A1188,"dd-mmm-yy"),"")</f>
        <v/>
      </c>
    </row>
    <row r="1189">
      <c r="A1189" s="14">
        <f>IF(OR(AH!$U$4=0,1184+1&gt;AH!$U$6,AND(AH!$M$5="Bloomberg",AH!$U$5=0)),"",IFERROR(IF(AND(AH!$U$12=1,1184+1=AH!$U$6),TODAY(),IF(AH!$U$5=1,INDEX('Live History'!$A$5:$A$3004,AH!$U$7+1184),INDEX('AH History'!$A$5:$A$1380,AH!$U$7+1184))),""))</f>
        <v/>
      </c>
      <c r="B1189" s="33">
        <f>IFERROR(IF(AH!$U$11=1,NA(),$J1189/$E1189-1),NA())</f>
        <v/>
      </c>
      <c r="C1189" s="269">
        <f>IFERROR(100*$E1189/$E$5,NA())</f>
        <v/>
      </c>
      <c r="D1189" s="269">
        <f>IFERROR(100*$J1189/$J$5,NA())</f>
        <v/>
      </c>
      <c r="E1189" s="32">
        <f>IFERROR(IF(AND(ISNUMBER($A1189),N(IF(AND(AH!$U$12=1,1184+1=AH!$U$6),IF(AH!$U$4=0,"unavailable",INDEX('Market Data'!$AN$5:$AN$66,AH!$U$4)),IF(AH!$U$5=1,INDEX('Live History'!$B$5:$B$3004,$K1189),INDEX('AH History'!$D$5:$GG$1380,$K1189,AH!$U$10))))&gt;0),IF(AND(AH!$U$12=1,1184+1=AH!$U$6),IF(AH!$U$4=0,"unavailable",INDEX('Market Data'!$AN$5:$AN$66,AH!$U$4)),IF(AH!$U$5=1,INDEX('Live History'!$B$5:$B$3004,$K1189),INDEX('AH History'!$D$5:$GG$1380,$K1189,AH!$U$10))),NA()),NA())</f>
        <v/>
      </c>
      <c r="F1189" s="32">
        <f>IFERROR(IF(ISNUMBER($A1189),IF(AND(AH!$U$12=1,1184+1=AH!$U$6),IF(AH!$U$4=0,"unavailable",INDEX('Market Data'!$AO$5:$AO$66,AH!$U$4)),IF(AH!$U$5=1,INDEX('Live History'!$E$5:$E$3004,MATCH($A1189,'Live History'!$D$5:$D$3004,1)),INDEX('AH History'!$D$5:$GG$1380,$K1189,AH!$U$10+1))),NA()),NA())</f>
        <v/>
      </c>
      <c r="G1189" s="34">
        <f>IFERROR(IF(ISNUMBER($A1189),IF(AND(AH!$U$12=1,1184+1=AH!$U$6),IF(AH!$U$4=0,"unavailable",INDEX('Market Data'!$AK$5:$AK$66,AH!$U$4)),IF(AH!$U$5=1,INDEX('Live History'!$D$5:$D$3004,MATCH($A1189,'Live History'!$D$5:$D$3004,1)),INDEX('AH History'!$D$5:$GG$1380,$K1189,AH!$U$10+2))),NA()),NA())</f>
        <v/>
      </c>
      <c r="H1189" s="266">
        <f>IFERROR(IF(ISNUMBER($A1189),IF(AND(AH!$U$12=1,1184+1=AH!$U$6),IF(AH!$U$4=0,"unavailable",INDEX('Market Data'!$AP$5:$AP$66,AH!$U$4)),IF(AH!$U$5=1,INDEX('Live History'!$H$5:$H$3004,MATCH($A1189,'Live History'!$G$5:$G$3004,1)),INDEX('AH History'!$B$5:$B$1380,$K1189))),NA()),NA())</f>
        <v/>
      </c>
      <c r="I1189" s="34">
        <f>IFERROR(IF(ISNUMBER($A1189),IF(AND(AH!$U$12=1,1184+1=AH!$U$6),TODAY(),IF(AH!$U$5=1,INDEX('Live History'!$G$5:$G$3004,MATCH($A1189,'Live History'!$G$5:$G$3004,1)),INDEX('AH History'!$C$5:$C$1380,$K1189))),NA()),NA())</f>
        <v/>
      </c>
      <c r="J1189" s="32">
        <f>IFERROR(IF(AND($F1189&gt;0,$H1189&gt;0,$A1189-$G1189&lt;=10,$A1189-$I1189&lt;=5,$G1189&gt;0,$I1189&gt;0),$F1189*$H1189,NA()),NA())</f>
        <v/>
      </c>
      <c r="K1189" s="15">
        <f>IF($A1189="","",IF(AH!$U$5=1,IFERROR(MATCH($A1189,'Live History'!$A$5:$A$3004,0),0),AH!$U$7+1184))</f>
        <v/>
      </c>
      <c r="L1189" s="15">
        <f>IF(ISNUMBER(A1189),TEXT(A1189,"dd-mmm-yy"),"")</f>
        <v/>
      </c>
    </row>
    <row r="1190">
      <c r="A1190" s="14">
        <f>IF(OR(AH!$U$4=0,1185+1&gt;AH!$U$6,AND(AH!$M$5="Bloomberg",AH!$U$5=0)),"",IFERROR(IF(AND(AH!$U$12=1,1185+1=AH!$U$6),TODAY(),IF(AH!$U$5=1,INDEX('Live History'!$A$5:$A$3004,AH!$U$7+1185),INDEX('AH History'!$A$5:$A$1380,AH!$U$7+1185))),""))</f>
        <v/>
      </c>
      <c r="B1190" s="33">
        <f>IFERROR(IF(AH!$U$11=1,NA(),$J1190/$E1190-1),NA())</f>
        <v/>
      </c>
      <c r="C1190" s="269">
        <f>IFERROR(100*$E1190/$E$5,NA())</f>
        <v/>
      </c>
      <c r="D1190" s="269">
        <f>IFERROR(100*$J1190/$J$5,NA())</f>
        <v/>
      </c>
      <c r="E1190" s="32">
        <f>IFERROR(IF(AND(ISNUMBER($A1190),N(IF(AND(AH!$U$12=1,1185+1=AH!$U$6),IF(AH!$U$4=0,"unavailable",INDEX('Market Data'!$AN$5:$AN$66,AH!$U$4)),IF(AH!$U$5=1,INDEX('Live History'!$B$5:$B$3004,$K1190),INDEX('AH History'!$D$5:$GG$1380,$K1190,AH!$U$10))))&gt;0),IF(AND(AH!$U$12=1,1185+1=AH!$U$6),IF(AH!$U$4=0,"unavailable",INDEX('Market Data'!$AN$5:$AN$66,AH!$U$4)),IF(AH!$U$5=1,INDEX('Live History'!$B$5:$B$3004,$K1190),INDEX('AH History'!$D$5:$GG$1380,$K1190,AH!$U$10))),NA()),NA())</f>
        <v/>
      </c>
      <c r="F1190" s="32">
        <f>IFERROR(IF(ISNUMBER($A1190),IF(AND(AH!$U$12=1,1185+1=AH!$U$6),IF(AH!$U$4=0,"unavailable",INDEX('Market Data'!$AO$5:$AO$66,AH!$U$4)),IF(AH!$U$5=1,INDEX('Live History'!$E$5:$E$3004,MATCH($A1190,'Live History'!$D$5:$D$3004,1)),INDEX('AH History'!$D$5:$GG$1380,$K1190,AH!$U$10+1))),NA()),NA())</f>
        <v/>
      </c>
      <c r="G1190" s="34">
        <f>IFERROR(IF(ISNUMBER($A1190),IF(AND(AH!$U$12=1,1185+1=AH!$U$6),IF(AH!$U$4=0,"unavailable",INDEX('Market Data'!$AK$5:$AK$66,AH!$U$4)),IF(AH!$U$5=1,INDEX('Live History'!$D$5:$D$3004,MATCH($A1190,'Live History'!$D$5:$D$3004,1)),INDEX('AH History'!$D$5:$GG$1380,$K1190,AH!$U$10+2))),NA()),NA())</f>
        <v/>
      </c>
      <c r="H1190" s="266">
        <f>IFERROR(IF(ISNUMBER($A1190),IF(AND(AH!$U$12=1,1185+1=AH!$U$6),IF(AH!$U$4=0,"unavailable",INDEX('Market Data'!$AP$5:$AP$66,AH!$U$4)),IF(AH!$U$5=1,INDEX('Live History'!$H$5:$H$3004,MATCH($A1190,'Live History'!$G$5:$G$3004,1)),INDEX('AH History'!$B$5:$B$1380,$K1190))),NA()),NA())</f>
        <v/>
      </c>
      <c r="I1190" s="34">
        <f>IFERROR(IF(ISNUMBER($A1190),IF(AND(AH!$U$12=1,1185+1=AH!$U$6),TODAY(),IF(AH!$U$5=1,INDEX('Live History'!$G$5:$G$3004,MATCH($A1190,'Live History'!$G$5:$G$3004,1)),INDEX('AH History'!$C$5:$C$1380,$K1190))),NA()),NA())</f>
        <v/>
      </c>
      <c r="J1190" s="32">
        <f>IFERROR(IF(AND($F1190&gt;0,$H1190&gt;0,$A1190-$G1190&lt;=10,$A1190-$I1190&lt;=5,$G1190&gt;0,$I1190&gt;0),$F1190*$H1190,NA()),NA())</f>
        <v/>
      </c>
      <c r="K1190" s="15">
        <f>IF($A1190="","",IF(AH!$U$5=1,IFERROR(MATCH($A1190,'Live History'!$A$5:$A$3004,0),0),AH!$U$7+1185))</f>
        <v/>
      </c>
      <c r="L1190" s="15">
        <f>IF(ISNUMBER(A1190),TEXT(A1190,"dd-mmm-yy"),"")</f>
        <v/>
      </c>
    </row>
    <row r="1191">
      <c r="A1191" s="14">
        <f>IF(OR(AH!$U$4=0,1186+1&gt;AH!$U$6,AND(AH!$M$5="Bloomberg",AH!$U$5=0)),"",IFERROR(IF(AND(AH!$U$12=1,1186+1=AH!$U$6),TODAY(),IF(AH!$U$5=1,INDEX('Live History'!$A$5:$A$3004,AH!$U$7+1186),INDEX('AH History'!$A$5:$A$1380,AH!$U$7+1186))),""))</f>
        <v/>
      </c>
      <c r="B1191" s="33">
        <f>IFERROR(IF(AH!$U$11=1,NA(),$J1191/$E1191-1),NA())</f>
        <v/>
      </c>
      <c r="C1191" s="269">
        <f>IFERROR(100*$E1191/$E$5,NA())</f>
        <v/>
      </c>
      <c r="D1191" s="269">
        <f>IFERROR(100*$J1191/$J$5,NA())</f>
        <v/>
      </c>
      <c r="E1191" s="32">
        <f>IFERROR(IF(AND(ISNUMBER($A1191),N(IF(AND(AH!$U$12=1,1186+1=AH!$U$6),IF(AH!$U$4=0,"unavailable",INDEX('Market Data'!$AN$5:$AN$66,AH!$U$4)),IF(AH!$U$5=1,INDEX('Live History'!$B$5:$B$3004,$K1191),INDEX('AH History'!$D$5:$GG$1380,$K1191,AH!$U$10))))&gt;0),IF(AND(AH!$U$12=1,1186+1=AH!$U$6),IF(AH!$U$4=0,"unavailable",INDEX('Market Data'!$AN$5:$AN$66,AH!$U$4)),IF(AH!$U$5=1,INDEX('Live History'!$B$5:$B$3004,$K1191),INDEX('AH History'!$D$5:$GG$1380,$K1191,AH!$U$10))),NA()),NA())</f>
        <v/>
      </c>
      <c r="F1191" s="32">
        <f>IFERROR(IF(ISNUMBER($A1191),IF(AND(AH!$U$12=1,1186+1=AH!$U$6),IF(AH!$U$4=0,"unavailable",INDEX('Market Data'!$AO$5:$AO$66,AH!$U$4)),IF(AH!$U$5=1,INDEX('Live History'!$E$5:$E$3004,MATCH($A1191,'Live History'!$D$5:$D$3004,1)),INDEX('AH History'!$D$5:$GG$1380,$K1191,AH!$U$10+1))),NA()),NA())</f>
        <v/>
      </c>
      <c r="G1191" s="34">
        <f>IFERROR(IF(ISNUMBER($A1191),IF(AND(AH!$U$12=1,1186+1=AH!$U$6),IF(AH!$U$4=0,"unavailable",INDEX('Market Data'!$AK$5:$AK$66,AH!$U$4)),IF(AH!$U$5=1,INDEX('Live History'!$D$5:$D$3004,MATCH($A1191,'Live History'!$D$5:$D$3004,1)),INDEX('AH History'!$D$5:$GG$1380,$K1191,AH!$U$10+2))),NA()),NA())</f>
        <v/>
      </c>
      <c r="H1191" s="266">
        <f>IFERROR(IF(ISNUMBER($A1191),IF(AND(AH!$U$12=1,1186+1=AH!$U$6),IF(AH!$U$4=0,"unavailable",INDEX('Market Data'!$AP$5:$AP$66,AH!$U$4)),IF(AH!$U$5=1,INDEX('Live History'!$H$5:$H$3004,MATCH($A1191,'Live History'!$G$5:$G$3004,1)),INDEX('AH History'!$B$5:$B$1380,$K1191))),NA()),NA())</f>
        <v/>
      </c>
      <c r="I1191" s="34">
        <f>IFERROR(IF(ISNUMBER($A1191),IF(AND(AH!$U$12=1,1186+1=AH!$U$6),TODAY(),IF(AH!$U$5=1,INDEX('Live History'!$G$5:$G$3004,MATCH($A1191,'Live History'!$G$5:$G$3004,1)),INDEX('AH History'!$C$5:$C$1380,$K1191))),NA()),NA())</f>
        <v/>
      </c>
      <c r="J1191" s="32">
        <f>IFERROR(IF(AND($F1191&gt;0,$H1191&gt;0,$A1191-$G1191&lt;=10,$A1191-$I1191&lt;=5,$G1191&gt;0,$I1191&gt;0),$F1191*$H1191,NA()),NA())</f>
        <v/>
      </c>
      <c r="K1191" s="15">
        <f>IF($A1191="","",IF(AH!$U$5=1,IFERROR(MATCH($A1191,'Live History'!$A$5:$A$3004,0),0),AH!$U$7+1186))</f>
        <v/>
      </c>
      <c r="L1191" s="15">
        <f>IF(ISNUMBER(A1191),TEXT(A1191,"dd-mmm-yy"),"")</f>
        <v/>
      </c>
    </row>
    <row r="1192">
      <c r="A1192" s="14">
        <f>IF(OR(AH!$U$4=0,1187+1&gt;AH!$U$6,AND(AH!$M$5="Bloomberg",AH!$U$5=0)),"",IFERROR(IF(AND(AH!$U$12=1,1187+1=AH!$U$6),TODAY(),IF(AH!$U$5=1,INDEX('Live History'!$A$5:$A$3004,AH!$U$7+1187),INDEX('AH History'!$A$5:$A$1380,AH!$U$7+1187))),""))</f>
        <v/>
      </c>
      <c r="B1192" s="33">
        <f>IFERROR(IF(AH!$U$11=1,NA(),$J1192/$E1192-1),NA())</f>
        <v/>
      </c>
      <c r="C1192" s="269">
        <f>IFERROR(100*$E1192/$E$5,NA())</f>
        <v/>
      </c>
      <c r="D1192" s="269">
        <f>IFERROR(100*$J1192/$J$5,NA())</f>
        <v/>
      </c>
      <c r="E1192" s="32">
        <f>IFERROR(IF(AND(ISNUMBER($A1192),N(IF(AND(AH!$U$12=1,1187+1=AH!$U$6),IF(AH!$U$4=0,"unavailable",INDEX('Market Data'!$AN$5:$AN$66,AH!$U$4)),IF(AH!$U$5=1,INDEX('Live History'!$B$5:$B$3004,$K1192),INDEX('AH History'!$D$5:$GG$1380,$K1192,AH!$U$10))))&gt;0),IF(AND(AH!$U$12=1,1187+1=AH!$U$6),IF(AH!$U$4=0,"unavailable",INDEX('Market Data'!$AN$5:$AN$66,AH!$U$4)),IF(AH!$U$5=1,INDEX('Live History'!$B$5:$B$3004,$K1192),INDEX('AH History'!$D$5:$GG$1380,$K1192,AH!$U$10))),NA()),NA())</f>
        <v/>
      </c>
      <c r="F1192" s="32">
        <f>IFERROR(IF(ISNUMBER($A1192),IF(AND(AH!$U$12=1,1187+1=AH!$U$6),IF(AH!$U$4=0,"unavailable",INDEX('Market Data'!$AO$5:$AO$66,AH!$U$4)),IF(AH!$U$5=1,INDEX('Live History'!$E$5:$E$3004,MATCH($A1192,'Live History'!$D$5:$D$3004,1)),INDEX('AH History'!$D$5:$GG$1380,$K1192,AH!$U$10+1))),NA()),NA())</f>
        <v/>
      </c>
      <c r="G1192" s="34">
        <f>IFERROR(IF(ISNUMBER($A1192),IF(AND(AH!$U$12=1,1187+1=AH!$U$6),IF(AH!$U$4=0,"unavailable",INDEX('Market Data'!$AK$5:$AK$66,AH!$U$4)),IF(AH!$U$5=1,INDEX('Live History'!$D$5:$D$3004,MATCH($A1192,'Live History'!$D$5:$D$3004,1)),INDEX('AH History'!$D$5:$GG$1380,$K1192,AH!$U$10+2))),NA()),NA())</f>
        <v/>
      </c>
      <c r="H1192" s="266">
        <f>IFERROR(IF(ISNUMBER($A1192),IF(AND(AH!$U$12=1,1187+1=AH!$U$6),IF(AH!$U$4=0,"unavailable",INDEX('Market Data'!$AP$5:$AP$66,AH!$U$4)),IF(AH!$U$5=1,INDEX('Live History'!$H$5:$H$3004,MATCH($A1192,'Live History'!$G$5:$G$3004,1)),INDEX('AH History'!$B$5:$B$1380,$K1192))),NA()),NA())</f>
        <v/>
      </c>
      <c r="I1192" s="34">
        <f>IFERROR(IF(ISNUMBER($A1192),IF(AND(AH!$U$12=1,1187+1=AH!$U$6),TODAY(),IF(AH!$U$5=1,INDEX('Live History'!$G$5:$G$3004,MATCH($A1192,'Live History'!$G$5:$G$3004,1)),INDEX('AH History'!$C$5:$C$1380,$K1192))),NA()),NA())</f>
        <v/>
      </c>
      <c r="J1192" s="32">
        <f>IFERROR(IF(AND($F1192&gt;0,$H1192&gt;0,$A1192-$G1192&lt;=10,$A1192-$I1192&lt;=5,$G1192&gt;0,$I1192&gt;0),$F1192*$H1192,NA()),NA())</f>
        <v/>
      </c>
      <c r="K1192" s="15">
        <f>IF($A1192="","",IF(AH!$U$5=1,IFERROR(MATCH($A1192,'Live History'!$A$5:$A$3004,0),0),AH!$U$7+1187))</f>
        <v/>
      </c>
      <c r="L1192" s="15">
        <f>IF(ISNUMBER(A1192),TEXT(A1192,"dd-mmm-yy"),"")</f>
        <v/>
      </c>
    </row>
    <row r="1193">
      <c r="A1193" s="14">
        <f>IF(OR(AH!$U$4=0,1188+1&gt;AH!$U$6,AND(AH!$M$5="Bloomberg",AH!$U$5=0)),"",IFERROR(IF(AND(AH!$U$12=1,1188+1=AH!$U$6),TODAY(),IF(AH!$U$5=1,INDEX('Live History'!$A$5:$A$3004,AH!$U$7+1188),INDEX('AH History'!$A$5:$A$1380,AH!$U$7+1188))),""))</f>
        <v/>
      </c>
      <c r="B1193" s="33">
        <f>IFERROR(IF(AH!$U$11=1,NA(),$J1193/$E1193-1),NA())</f>
        <v/>
      </c>
      <c r="C1193" s="269">
        <f>IFERROR(100*$E1193/$E$5,NA())</f>
        <v/>
      </c>
      <c r="D1193" s="269">
        <f>IFERROR(100*$J1193/$J$5,NA())</f>
        <v/>
      </c>
      <c r="E1193" s="32">
        <f>IFERROR(IF(AND(ISNUMBER($A1193),N(IF(AND(AH!$U$12=1,1188+1=AH!$U$6),IF(AH!$U$4=0,"unavailable",INDEX('Market Data'!$AN$5:$AN$66,AH!$U$4)),IF(AH!$U$5=1,INDEX('Live History'!$B$5:$B$3004,$K1193),INDEX('AH History'!$D$5:$GG$1380,$K1193,AH!$U$10))))&gt;0),IF(AND(AH!$U$12=1,1188+1=AH!$U$6),IF(AH!$U$4=0,"unavailable",INDEX('Market Data'!$AN$5:$AN$66,AH!$U$4)),IF(AH!$U$5=1,INDEX('Live History'!$B$5:$B$3004,$K1193),INDEX('AH History'!$D$5:$GG$1380,$K1193,AH!$U$10))),NA()),NA())</f>
        <v/>
      </c>
      <c r="F1193" s="32">
        <f>IFERROR(IF(ISNUMBER($A1193),IF(AND(AH!$U$12=1,1188+1=AH!$U$6),IF(AH!$U$4=0,"unavailable",INDEX('Market Data'!$AO$5:$AO$66,AH!$U$4)),IF(AH!$U$5=1,INDEX('Live History'!$E$5:$E$3004,MATCH($A1193,'Live History'!$D$5:$D$3004,1)),INDEX('AH History'!$D$5:$GG$1380,$K1193,AH!$U$10+1))),NA()),NA())</f>
        <v/>
      </c>
      <c r="G1193" s="34">
        <f>IFERROR(IF(ISNUMBER($A1193),IF(AND(AH!$U$12=1,1188+1=AH!$U$6),IF(AH!$U$4=0,"unavailable",INDEX('Market Data'!$AK$5:$AK$66,AH!$U$4)),IF(AH!$U$5=1,INDEX('Live History'!$D$5:$D$3004,MATCH($A1193,'Live History'!$D$5:$D$3004,1)),INDEX('AH History'!$D$5:$GG$1380,$K1193,AH!$U$10+2))),NA()),NA())</f>
        <v/>
      </c>
      <c r="H1193" s="266">
        <f>IFERROR(IF(ISNUMBER($A1193),IF(AND(AH!$U$12=1,1188+1=AH!$U$6),IF(AH!$U$4=0,"unavailable",INDEX('Market Data'!$AP$5:$AP$66,AH!$U$4)),IF(AH!$U$5=1,INDEX('Live History'!$H$5:$H$3004,MATCH($A1193,'Live History'!$G$5:$G$3004,1)),INDEX('AH History'!$B$5:$B$1380,$K1193))),NA()),NA())</f>
        <v/>
      </c>
      <c r="I1193" s="34">
        <f>IFERROR(IF(ISNUMBER($A1193),IF(AND(AH!$U$12=1,1188+1=AH!$U$6),TODAY(),IF(AH!$U$5=1,INDEX('Live History'!$G$5:$G$3004,MATCH($A1193,'Live History'!$G$5:$G$3004,1)),INDEX('AH History'!$C$5:$C$1380,$K1193))),NA()),NA())</f>
        <v/>
      </c>
      <c r="J1193" s="32">
        <f>IFERROR(IF(AND($F1193&gt;0,$H1193&gt;0,$A1193-$G1193&lt;=10,$A1193-$I1193&lt;=5,$G1193&gt;0,$I1193&gt;0),$F1193*$H1193,NA()),NA())</f>
        <v/>
      </c>
      <c r="K1193" s="15">
        <f>IF($A1193="","",IF(AH!$U$5=1,IFERROR(MATCH($A1193,'Live History'!$A$5:$A$3004,0),0),AH!$U$7+1188))</f>
        <v/>
      </c>
      <c r="L1193" s="15">
        <f>IF(ISNUMBER(A1193),TEXT(A1193,"dd-mmm-yy"),"")</f>
        <v/>
      </c>
    </row>
    <row r="1194">
      <c r="A1194" s="14">
        <f>IF(OR(AH!$U$4=0,1189+1&gt;AH!$U$6,AND(AH!$M$5="Bloomberg",AH!$U$5=0)),"",IFERROR(IF(AND(AH!$U$12=1,1189+1=AH!$U$6),TODAY(),IF(AH!$U$5=1,INDEX('Live History'!$A$5:$A$3004,AH!$U$7+1189),INDEX('AH History'!$A$5:$A$1380,AH!$U$7+1189))),""))</f>
        <v/>
      </c>
      <c r="B1194" s="33">
        <f>IFERROR(IF(AH!$U$11=1,NA(),$J1194/$E1194-1),NA())</f>
        <v/>
      </c>
      <c r="C1194" s="269">
        <f>IFERROR(100*$E1194/$E$5,NA())</f>
        <v/>
      </c>
      <c r="D1194" s="269">
        <f>IFERROR(100*$J1194/$J$5,NA())</f>
        <v/>
      </c>
      <c r="E1194" s="32">
        <f>IFERROR(IF(AND(ISNUMBER($A1194),N(IF(AND(AH!$U$12=1,1189+1=AH!$U$6),IF(AH!$U$4=0,"unavailable",INDEX('Market Data'!$AN$5:$AN$66,AH!$U$4)),IF(AH!$U$5=1,INDEX('Live History'!$B$5:$B$3004,$K1194),INDEX('AH History'!$D$5:$GG$1380,$K1194,AH!$U$10))))&gt;0),IF(AND(AH!$U$12=1,1189+1=AH!$U$6),IF(AH!$U$4=0,"unavailable",INDEX('Market Data'!$AN$5:$AN$66,AH!$U$4)),IF(AH!$U$5=1,INDEX('Live History'!$B$5:$B$3004,$K1194),INDEX('AH History'!$D$5:$GG$1380,$K1194,AH!$U$10))),NA()),NA())</f>
        <v/>
      </c>
      <c r="F1194" s="32">
        <f>IFERROR(IF(ISNUMBER($A1194),IF(AND(AH!$U$12=1,1189+1=AH!$U$6),IF(AH!$U$4=0,"unavailable",INDEX('Market Data'!$AO$5:$AO$66,AH!$U$4)),IF(AH!$U$5=1,INDEX('Live History'!$E$5:$E$3004,MATCH($A1194,'Live History'!$D$5:$D$3004,1)),INDEX('AH History'!$D$5:$GG$1380,$K1194,AH!$U$10+1))),NA()),NA())</f>
        <v/>
      </c>
      <c r="G1194" s="34">
        <f>IFERROR(IF(ISNUMBER($A1194),IF(AND(AH!$U$12=1,1189+1=AH!$U$6),IF(AH!$U$4=0,"unavailable",INDEX('Market Data'!$AK$5:$AK$66,AH!$U$4)),IF(AH!$U$5=1,INDEX('Live History'!$D$5:$D$3004,MATCH($A1194,'Live History'!$D$5:$D$3004,1)),INDEX('AH History'!$D$5:$GG$1380,$K1194,AH!$U$10+2))),NA()),NA())</f>
        <v/>
      </c>
      <c r="H1194" s="266">
        <f>IFERROR(IF(ISNUMBER($A1194),IF(AND(AH!$U$12=1,1189+1=AH!$U$6),IF(AH!$U$4=0,"unavailable",INDEX('Market Data'!$AP$5:$AP$66,AH!$U$4)),IF(AH!$U$5=1,INDEX('Live History'!$H$5:$H$3004,MATCH($A1194,'Live History'!$G$5:$G$3004,1)),INDEX('AH History'!$B$5:$B$1380,$K1194))),NA()),NA())</f>
        <v/>
      </c>
      <c r="I1194" s="34">
        <f>IFERROR(IF(ISNUMBER($A1194),IF(AND(AH!$U$12=1,1189+1=AH!$U$6),TODAY(),IF(AH!$U$5=1,INDEX('Live History'!$G$5:$G$3004,MATCH($A1194,'Live History'!$G$5:$G$3004,1)),INDEX('AH History'!$C$5:$C$1380,$K1194))),NA()),NA())</f>
        <v/>
      </c>
      <c r="J1194" s="32">
        <f>IFERROR(IF(AND($F1194&gt;0,$H1194&gt;0,$A1194-$G1194&lt;=10,$A1194-$I1194&lt;=5,$G1194&gt;0,$I1194&gt;0),$F1194*$H1194,NA()),NA())</f>
        <v/>
      </c>
      <c r="K1194" s="15">
        <f>IF($A1194="","",IF(AH!$U$5=1,IFERROR(MATCH($A1194,'Live History'!$A$5:$A$3004,0),0),AH!$U$7+1189))</f>
        <v/>
      </c>
      <c r="L1194" s="15">
        <f>IF(ISNUMBER(A1194),TEXT(A1194,"dd-mmm-yy"),"")</f>
        <v/>
      </c>
    </row>
    <row r="1195">
      <c r="A1195" s="14">
        <f>IF(OR(AH!$U$4=0,1190+1&gt;AH!$U$6,AND(AH!$M$5="Bloomberg",AH!$U$5=0)),"",IFERROR(IF(AND(AH!$U$12=1,1190+1=AH!$U$6),TODAY(),IF(AH!$U$5=1,INDEX('Live History'!$A$5:$A$3004,AH!$U$7+1190),INDEX('AH History'!$A$5:$A$1380,AH!$U$7+1190))),""))</f>
        <v/>
      </c>
      <c r="B1195" s="33">
        <f>IFERROR(IF(AH!$U$11=1,NA(),$J1195/$E1195-1),NA())</f>
        <v/>
      </c>
      <c r="C1195" s="269">
        <f>IFERROR(100*$E1195/$E$5,NA())</f>
        <v/>
      </c>
      <c r="D1195" s="269">
        <f>IFERROR(100*$J1195/$J$5,NA())</f>
        <v/>
      </c>
      <c r="E1195" s="32">
        <f>IFERROR(IF(AND(ISNUMBER($A1195),N(IF(AND(AH!$U$12=1,1190+1=AH!$U$6),IF(AH!$U$4=0,"unavailable",INDEX('Market Data'!$AN$5:$AN$66,AH!$U$4)),IF(AH!$U$5=1,INDEX('Live History'!$B$5:$B$3004,$K1195),INDEX('AH History'!$D$5:$GG$1380,$K1195,AH!$U$10))))&gt;0),IF(AND(AH!$U$12=1,1190+1=AH!$U$6),IF(AH!$U$4=0,"unavailable",INDEX('Market Data'!$AN$5:$AN$66,AH!$U$4)),IF(AH!$U$5=1,INDEX('Live History'!$B$5:$B$3004,$K1195),INDEX('AH History'!$D$5:$GG$1380,$K1195,AH!$U$10))),NA()),NA())</f>
        <v/>
      </c>
      <c r="F1195" s="32">
        <f>IFERROR(IF(ISNUMBER($A1195),IF(AND(AH!$U$12=1,1190+1=AH!$U$6),IF(AH!$U$4=0,"unavailable",INDEX('Market Data'!$AO$5:$AO$66,AH!$U$4)),IF(AH!$U$5=1,INDEX('Live History'!$E$5:$E$3004,MATCH($A1195,'Live History'!$D$5:$D$3004,1)),INDEX('AH History'!$D$5:$GG$1380,$K1195,AH!$U$10+1))),NA()),NA())</f>
        <v/>
      </c>
      <c r="G1195" s="34">
        <f>IFERROR(IF(ISNUMBER($A1195),IF(AND(AH!$U$12=1,1190+1=AH!$U$6),IF(AH!$U$4=0,"unavailable",INDEX('Market Data'!$AK$5:$AK$66,AH!$U$4)),IF(AH!$U$5=1,INDEX('Live History'!$D$5:$D$3004,MATCH($A1195,'Live History'!$D$5:$D$3004,1)),INDEX('AH History'!$D$5:$GG$1380,$K1195,AH!$U$10+2))),NA()),NA())</f>
        <v/>
      </c>
      <c r="H1195" s="266">
        <f>IFERROR(IF(ISNUMBER($A1195),IF(AND(AH!$U$12=1,1190+1=AH!$U$6),IF(AH!$U$4=0,"unavailable",INDEX('Market Data'!$AP$5:$AP$66,AH!$U$4)),IF(AH!$U$5=1,INDEX('Live History'!$H$5:$H$3004,MATCH($A1195,'Live History'!$G$5:$G$3004,1)),INDEX('AH History'!$B$5:$B$1380,$K1195))),NA()),NA())</f>
        <v/>
      </c>
      <c r="I1195" s="34">
        <f>IFERROR(IF(ISNUMBER($A1195),IF(AND(AH!$U$12=1,1190+1=AH!$U$6),TODAY(),IF(AH!$U$5=1,INDEX('Live History'!$G$5:$G$3004,MATCH($A1195,'Live History'!$G$5:$G$3004,1)),INDEX('AH History'!$C$5:$C$1380,$K1195))),NA()),NA())</f>
        <v/>
      </c>
      <c r="J1195" s="32">
        <f>IFERROR(IF(AND($F1195&gt;0,$H1195&gt;0,$A1195-$G1195&lt;=10,$A1195-$I1195&lt;=5,$G1195&gt;0,$I1195&gt;0),$F1195*$H1195,NA()),NA())</f>
        <v/>
      </c>
      <c r="K1195" s="15">
        <f>IF($A1195="","",IF(AH!$U$5=1,IFERROR(MATCH($A1195,'Live History'!$A$5:$A$3004,0),0),AH!$U$7+1190))</f>
        <v/>
      </c>
      <c r="L1195" s="15">
        <f>IF(ISNUMBER(A1195),TEXT(A1195,"dd-mmm-yy"),"")</f>
        <v/>
      </c>
    </row>
    <row r="1196">
      <c r="A1196" s="14">
        <f>IF(OR(AH!$U$4=0,1191+1&gt;AH!$U$6,AND(AH!$M$5="Bloomberg",AH!$U$5=0)),"",IFERROR(IF(AND(AH!$U$12=1,1191+1=AH!$U$6),TODAY(),IF(AH!$U$5=1,INDEX('Live History'!$A$5:$A$3004,AH!$U$7+1191),INDEX('AH History'!$A$5:$A$1380,AH!$U$7+1191))),""))</f>
        <v/>
      </c>
      <c r="B1196" s="33">
        <f>IFERROR(IF(AH!$U$11=1,NA(),$J1196/$E1196-1),NA())</f>
        <v/>
      </c>
      <c r="C1196" s="269">
        <f>IFERROR(100*$E1196/$E$5,NA())</f>
        <v/>
      </c>
      <c r="D1196" s="269">
        <f>IFERROR(100*$J1196/$J$5,NA())</f>
        <v/>
      </c>
      <c r="E1196" s="32">
        <f>IFERROR(IF(AND(ISNUMBER($A1196),N(IF(AND(AH!$U$12=1,1191+1=AH!$U$6),IF(AH!$U$4=0,"unavailable",INDEX('Market Data'!$AN$5:$AN$66,AH!$U$4)),IF(AH!$U$5=1,INDEX('Live History'!$B$5:$B$3004,$K1196),INDEX('AH History'!$D$5:$GG$1380,$K1196,AH!$U$10))))&gt;0),IF(AND(AH!$U$12=1,1191+1=AH!$U$6),IF(AH!$U$4=0,"unavailable",INDEX('Market Data'!$AN$5:$AN$66,AH!$U$4)),IF(AH!$U$5=1,INDEX('Live History'!$B$5:$B$3004,$K1196),INDEX('AH History'!$D$5:$GG$1380,$K1196,AH!$U$10))),NA()),NA())</f>
        <v/>
      </c>
      <c r="F1196" s="32">
        <f>IFERROR(IF(ISNUMBER($A1196),IF(AND(AH!$U$12=1,1191+1=AH!$U$6),IF(AH!$U$4=0,"unavailable",INDEX('Market Data'!$AO$5:$AO$66,AH!$U$4)),IF(AH!$U$5=1,INDEX('Live History'!$E$5:$E$3004,MATCH($A1196,'Live History'!$D$5:$D$3004,1)),INDEX('AH History'!$D$5:$GG$1380,$K1196,AH!$U$10+1))),NA()),NA())</f>
        <v/>
      </c>
      <c r="G1196" s="34">
        <f>IFERROR(IF(ISNUMBER($A1196),IF(AND(AH!$U$12=1,1191+1=AH!$U$6),IF(AH!$U$4=0,"unavailable",INDEX('Market Data'!$AK$5:$AK$66,AH!$U$4)),IF(AH!$U$5=1,INDEX('Live History'!$D$5:$D$3004,MATCH($A1196,'Live History'!$D$5:$D$3004,1)),INDEX('AH History'!$D$5:$GG$1380,$K1196,AH!$U$10+2))),NA()),NA())</f>
        <v/>
      </c>
      <c r="H1196" s="266">
        <f>IFERROR(IF(ISNUMBER($A1196),IF(AND(AH!$U$12=1,1191+1=AH!$U$6),IF(AH!$U$4=0,"unavailable",INDEX('Market Data'!$AP$5:$AP$66,AH!$U$4)),IF(AH!$U$5=1,INDEX('Live History'!$H$5:$H$3004,MATCH($A1196,'Live History'!$G$5:$G$3004,1)),INDEX('AH History'!$B$5:$B$1380,$K1196))),NA()),NA())</f>
        <v/>
      </c>
      <c r="I1196" s="34">
        <f>IFERROR(IF(ISNUMBER($A1196),IF(AND(AH!$U$12=1,1191+1=AH!$U$6),TODAY(),IF(AH!$U$5=1,INDEX('Live History'!$G$5:$G$3004,MATCH($A1196,'Live History'!$G$5:$G$3004,1)),INDEX('AH History'!$C$5:$C$1380,$K1196))),NA()),NA())</f>
        <v/>
      </c>
      <c r="J1196" s="32">
        <f>IFERROR(IF(AND($F1196&gt;0,$H1196&gt;0,$A1196-$G1196&lt;=10,$A1196-$I1196&lt;=5,$G1196&gt;0,$I1196&gt;0),$F1196*$H1196,NA()),NA())</f>
        <v/>
      </c>
      <c r="K1196" s="15">
        <f>IF($A1196="","",IF(AH!$U$5=1,IFERROR(MATCH($A1196,'Live History'!$A$5:$A$3004,0),0),AH!$U$7+1191))</f>
        <v/>
      </c>
      <c r="L1196" s="15">
        <f>IF(ISNUMBER(A1196),TEXT(A1196,"dd-mmm-yy"),"")</f>
        <v/>
      </c>
    </row>
    <row r="1197">
      <c r="A1197" s="14">
        <f>IF(OR(AH!$U$4=0,1192+1&gt;AH!$U$6,AND(AH!$M$5="Bloomberg",AH!$U$5=0)),"",IFERROR(IF(AND(AH!$U$12=1,1192+1=AH!$U$6),TODAY(),IF(AH!$U$5=1,INDEX('Live History'!$A$5:$A$3004,AH!$U$7+1192),INDEX('AH History'!$A$5:$A$1380,AH!$U$7+1192))),""))</f>
        <v/>
      </c>
      <c r="B1197" s="33">
        <f>IFERROR(IF(AH!$U$11=1,NA(),$J1197/$E1197-1),NA())</f>
        <v/>
      </c>
      <c r="C1197" s="269">
        <f>IFERROR(100*$E1197/$E$5,NA())</f>
        <v/>
      </c>
      <c r="D1197" s="269">
        <f>IFERROR(100*$J1197/$J$5,NA())</f>
        <v/>
      </c>
      <c r="E1197" s="32">
        <f>IFERROR(IF(AND(ISNUMBER($A1197),N(IF(AND(AH!$U$12=1,1192+1=AH!$U$6),IF(AH!$U$4=0,"unavailable",INDEX('Market Data'!$AN$5:$AN$66,AH!$U$4)),IF(AH!$U$5=1,INDEX('Live History'!$B$5:$B$3004,$K1197),INDEX('AH History'!$D$5:$GG$1380,$K1197,AH!$U$10))))&gt;0),IF(AND(AH!$U$12=1,1192+1=AH!$U$6),IF(AH!$U$4=0,"unavailable",INDEX('Market Data'!$AN$5:$AN$66,AH!$U$4)),IF(AH!$U$5=1,INDEX('Live History'!$B$5:$B$3004,$K1197),INDEX('AH History'!$D$5:$GG$1380,$K1197,AH!$U$10))),NA()),NA())</f>
        <v/>
      </c>
      <c r="F1197" s="32">
        <f>IFERROR(IF(ISNUMBER($A1197),IF(AND(AH!$U$12=1,1192+1=AH!$U$6),IF(AH!$U$4=0,"unavailable",INDEX('Market Data'!$AO$5:$AO$66,AH!$U$4)),IF(AH!$U$5=1,INDEX('Live History'!$E$5:$E$3004,MATCH($A1197,'Live History'!$D$5:$D$3004,1)),INDEX('AH History'!$D$5:$GG$1380,$K1197,AH!$U$10+1))),NA()),NA())</f>
        <v/>
      </c>
      <c r="G1197" s="34">
        <f>IFERROR(IF(ISNUMBER($A1197),IF(AND(AH!$U$12=1,1192+1=AH!$U$6),IF(AH!$U$4=0,"unavailable",INDEX('Market Data'!$AK$5:$AK$66,AH!$U$4)),IF(AH!$U$5=1,INDEX('Live History'!$D$5:$D$3004,MATCH($A1197,'Live History'!$D$5:$D$3004,1)),INDEX('AH History'!$D$5:$GG$1380,$K1197,AH!$U$10+2))),NA()),NA())</f>
        <v/>
      </c>
      <c r="H1197" s="266">
        <f>IFERROR(IF(ISNUMBER($A1197),IF(AND(AH!$U$12=1,1192+1=AH!$U$6),IF(AH!$U$4=0,"unavailable",INDEX('Market Data'!$AP$5:$AP$66,AH!$U$4)),IF(AH!$U$5=1,INDEX('Live History'!$H$5:$H$3004,MATCH($A1197,'Live History'!$G$5:$G$3004,1)),INDEX('AH History'!$B$5:$B$1380,$K1197))),NA()),NA())</f>
        <v/>
      </c>
      <c r="I1197" s="34">
        <f>IFERROR(IF(ISNUMBER($A1197),IF(AND(AH!$U$12=1,1192+1=AH!$U$6),TODAY(),IF(AH!$U$5=1,INDEX('Live History'!$G$5:$G$3004,MATCH($A1197,'Live History'!$G$5:$G$3004,1)),INDEX('AH History'!$C$5:$C$1380,$K1197))),NA()),NA())</f>
        <v/>
      </c>
      <c r="J1197" s="32">
        <f>IFERROR(IF(AND($F1197&gt;0,$H1197&gt;0,$A1197-$G1197&lt;=10,$A1197-$I1197&lt;=5,$G1197&gt;0,$I1197&gt;0),$F1197*$H1197,NA()),NA())</f>
        <v/>
      </c>
      <c r="K1197" s="15">
        <f>IF($A1197="","",IF(AH!$U$5=1,IFERROR(MATCH($A1197,'Live History'!$A$5:$A$3004,0),0),AH!$U$7+1192))</f>
        <v/>
      </c>
      <c r="L1197" s="15">
        <f>IF(ISNUMBER(A1197),TEXT(A1197,"dd-mmm-yy"),"")</f>
        <v/>
      </c>
    </row>
    <row r="1198">
      <c r="A1198" s="14">
        <f>IF(OR(AH!$U$4=0,1193+1&gt;AH!$U$6,AND(AH!$M$5="Bloomberg",AH!$U$5=0)),"",IFERROR(IF(AND(AH!$U$12=1,1193+1=AH!$U$6),TODAY(),IF(AH!$U$5=1,INDEX('Live History'!$A$5:$A$3004,AH!$U$7+1193),INDEX('AH History'!$A$5:$A$1380,AH!$U$7+1193))),""))</f>
        <v/>
      </c>
      <c r="B1198" s="33">
        <f>IFERROR(IF(AH!$U$11=1,NA(),$J1198/$E1198-1),NA())</f>
        <v/>
      </c>
      <c r="C1198" s="269">
        <f>IFERROR(100*$E1198/$E$5,NA())</f>
        <v/>
      </c>
      <c r="D1198" s="269">
        <f>IFERROR(100*$J1198/$J$5,NA())</f>
        <v/>
      </c>
      <c r="E1198" s="32">
        <f>IFERROR(IF(AND(ISNUMBER($A1198),N(IF(AND(AH!$U$12=1,1193+1=AH!$U$6),IF(AH!$U$4=0,"unavailable",INDEX('Market Data'!$AN$5:$AN$66,AH!$U$4)),IF(AH!$U$5=1,INDEX('Live History'!$B$5:$B$3004,$K1198),INDEX('AH History'!$D$5:$GG$1380,$K1198,AH!$U$10))))&gt;0),IF(AND(AH!$U$12=1,1193+1=AH!$U$6),IF(AH!$U$4=0,"unavailable",INDEX('Market Data'!$AN$5:$AN$66,AH!$U$4)),IF(AH!$U$5=1,INDEX('Live History'!$B$5:$B$3004,$K1198),INDEX('AH History'!$D$5:$GG$1380,$K1198,AH!$U$10))),NA()),NA())</f>
        <v/>
      </c>
      <c r="F1198" s="32">
        <f>IFERROR(IF(ISNUMBER($A1198),IF(AND(AH!$U$12=1,1193+1=AH!$U$6),IF(AH!$U$4=0,"unavailable",INDEX('Market Data'!$AO$5:$AO$66,AH!$U$4)),IF(AH!$U$5=1,INDEX('Live History'!$E$5:$E$3004,MATCH($A1198,'Live History'!$D$5:$D$3004,1)),INDEX('AH History'!$D$5:$GG$1380,$K1198,AH!$U$10+1))),NA()),NA())</f>
        <v/>
      </c>
      <c r="G1198" s="34">
        <f>IFERROR(IF(ISNUMBER($A1198),IF(AND(AH!$U$12=1,1193+1=AH!$U$6),IF(AH!$U$4=0,"unavailable",INDEX('Market Data'!$AK$5:$AK$66,AH!$U$4)),IF(AH!$U$5=1,INDEX('Live History'!$D$5:$D$3004,MATCH($A1198,'Live History'!$D$5:$D$3004,1)),INDEX('AH History'!$D$5:$GG$1380,$K1198,AH!$U$10+2))),NA()),NA())</f>
        <v/>
      </c>
      <c r="H1198" s="266">
        <f>IFERROR(IF(ISNUMBER($A1198),IF(AND(AH!$U$12=1,1193+1=AH!$U$6),IF(AH!$U$4=0,"unavailable",INDEX('Market Data'!$AP$5:$AP$66,AH!$U$4)),IF(AH!$U$5=1,INDEX('Live History'!$H$5:$H$3004,MATCH($A1198,'Live History'!$G$5:$G$3004,1)),INDEX('AH History'!$B$5:$B$1380,$K1198))),NA()),NA())</f>
        <v/>
      </c>
      <c r="I1198" s="34">
        <f>IFERROR(IF(ISNUMBER($A1198),IF(AND(AH!$U$12=1,1193+1=AH!$U$6),TODAY(),IF(AH!$U$5=1,INDEX('Live History'!$G$5:$G$3004,MATCH($A1198,'Live History'!$G$5:$G$3004,1)),INDEX('AH History'!$C$5:$C$1380,$K1198))),NA()),NA())</f>
        <v/>
      </c>
      <c r="J1198" s="32">
        <f>IFERROR(IF(AND($F1198&gt;0,$H1198&gt;0,$A1198-$G1198&lt;=10,$A1198-$I1198&lt;=5,$G1198&gt;0,$I1198&gt;0),$F1198*$H1198,NA()),NA())</f>
        <v/>
      </c>
      <c r="K1198" s="15">
        <f>IF($A1198="","",IF(AH!$U$5=1,IFERROR(MATCH($A1198,'Live History'!$A$5:$A$3004,0),0),AH!$U$7+1193))</f>
        <v/>
      </c>
      <c r="L1198" s="15">
        <f>IF(ISNUMBER(A1198),TEXT(A1198,"dd-mmm-yy"),"")</f>
        <v/>
      </c>
    </row>
    <row r="1199">
      <c r="A1199" s="14">
        <f>IF(OR(AH!$U$4=0,1194+1&gt;AH!$U$6,AND(AH!$M$5="Bloomberg",AH!$U$5=0)),"",IFERROR(IF(AND(AH!$U$12=1,1194+1=AH!$U$6),TODAY(),IF(AH!$U$5=1,INDEX('Live History'!$A$5:$A$3004,AH!$U$7+1194),INDEX('AH History'!$A$5:$A$1380,AH!$U$7+1194))),""))</f>
        <v/>
      </c>
      <c r="B1199" s="33">
        <f>IFERROR(IF(AH!$U$11=1,NA(),$J1199/$E1199-1),NA())</f>
        <v/>
      </c>
      <c r="C1199" s="269">
        <f>IFERROR(100*$E1199/$E$5,NA())</f>
        <v/>
      </c>
      <c r="D1199" s="269">
        <f>IFERROR(100*$J1199/$J$5,NA())</f>
        <v/>
      </c>
      <c r="E1199" s="32">
        <f>IFERROR(IF(AND(ISNUMBER($A1199),N(IF(AND(AH!$U$12=1,1194+1=AH!$U$6),IF(AH!$U$4=0,"unavailable",INDEX('Market Data'!$AN$5:$AN$66,AH!$U$4)),IF(AH!$U$5=1,INDEX('Live History'!$B$5:$B$3004,$K1199),INDEX('AH History'!$D$5:$GG$1380,$K1199,AH!$U$10))))&gt;0),IF(AND(AH!$U$12=1,1194+1=AH!$U$6),IF(AH!$U$4=0,"unavailable",INDEX('Market Data'!$AN$5:$AN$66,AH!$U$4)),IF(AH!$U$5=1,INDEX('Live History'!$B$5:$B$3004,$K1199),INDEX('AH History'!$D$5:$GG$1380,$K1199,AH!$U$10))),NA()),NA())</f>
        <v/>
      </c>
      <c r="F1199" s="32">
        <f>IFERROR(IF(ISNUMBER($A1199),IF(AND(AH!$U$12=1,1194+1=AH!$U$6),IF(AH!$U$4=0,"unavailable",INDEX('Market Data'!$AO$5:$AO$66,AH!$U$4)),IF(AH!$U$5=1,INDEX('Live History'!$E$5:$E$3004,MATCH($A1199,'Live History'!$D$5:$D$3004,1)),INDEX('AH History'!$D$5:$GG$1380,$K1199,AH!$U$10+1))),NA()),NA())</f>
        <v/>
      </c>
      <c r="G1199" s="34">
        <f>IFERROR(IF(ISNUMBER($A1199),IF(AND(AH!$U$12=1,1194+1=AH!$U$6),IF(AH!$U$4=0,"unavailable",INDEX('Market Data'!$AK$5:$AK$66,AH!$U$4)),IF(AH!$U$5=1,INDEX('Live History'!$D$5:$D$3004,MATCH($A1199,'Live History'!$D$5:$D$3004,1)),INDEX('AH History'!$D$5:$GG$1380,$K1199,AH!$U$10+2))),NA()),NA())</f>
        <v/>
      </c>
      <c r="H1199" s="266">
        <f>IFERROR(IF(ISNUMBER($A1199),IF(AND(AH!$U$12=1,1194+1=AH!$U$6),IF(AH!$U$4=0,"unavailable",INDEX('Market Data'!$AP$5:$AP$66,AH!$U$4)),IF(AH!$U$5=1,INDEX('Live History'!$H$5:$H$3004,MATCH($A1199,'Live History'!$G$5:$G$3004,1)),INDEX('AH History'!$B$5:$B$1380,$K1199))),NA()),NA())</f>
        <v/>
      </c>
      <c r="I1199" s="34">
        <f>IFERROR(IF(ISNUMBER($A1199),IF(AND(AH!$U$12=1,1194+1=AH!$U$6),TODAY(),IF(AH!$U$5=1,INDEX('Live History'!$G$5:$G$3004,MATCH($A1199,'Live History'!$G$5:$G$3004,1)),INDEX('AH History'!$C$5:$C$1380,$K1199))),NA()),NA())</f>
        <v/>
      </c>
      <c r="J1199" s="32">
        <f>IFERROR(IF(AND($F1199&gt;0,$H1199&gt;0,$A1199-$G1199&lt;=10,$A1199-$I1199&lt;=5,$G1199&gt;0,$I1199&gt;0),$F1199*$H1199,NA()),NA())</f>
        <v/>
      </c>
      <c r="K1199" s="15">
        <f>IF($A1199="","",IF(AH!$U$5=1,IFERROR(MATCH($A1199,'Live History'!$A$5:$A$3004,0),0),AH!$U$7+1194))</f>
        <v/>
      </c>
      <c r="L1199" s="15">
        <f>IF(ISNUMBER(A1199),TEXT(A1199,"dd-mmm-yy"),"")</f>
        <v/>
      </c>
    </row>
    <row r="1200">
      <c r="A1200" s="14">
        <f>IF(OR(AH!$U$4=0,1195+1&gt;AH!$U$6,AND(AH!$M$5="Bloomberg",AH!$U$5=0)),"",IFERROR(IF(AND(AH!$U$12=1,1195+1=AH!$U$6),TODAY(),IF(AH!$U$5=1,INDEX('Live History'!$A$5:$A$3004,AH!$U$7+1195),INDEX('AH History'!$A$5:$A$1380,AH!$U$7+1195))),""))</f>
        <v/>
      </c>
      <c r="B1200" s="33">
        <f>IFERROR(IF(AH!$U$11=1,NA(),$J1200/$E1200-1),NA())</f>
        <v/>
      </c>
      <c r="C1200" s="269">
        <f>IFERROR(100*$E1200/$E$5,NA())</f>
        <v/>
      </c>
      <c r="D1200" s="269">
        <f>IFERROR(100*$J1200/$J$5,NA())</f>
        <v/>
      </c>
      <c r="E1200" s="32">
        <f>IFERROR(IF(AND(ISNUMBER($A1200),N(IF(AND(AH!$U$12=1,1195+1=AH!$U$6),IF(AH!$U$4=0,"unavailable",INDEX('Market Data'!$AN$5:$AN$66,AH!$U$4)),IF(AH!$U$5=1,INDEX('Live History'!$B$5:$B$3004,$K1200),INDEX('AH History'!$D$5:$GG$1380,$K1200,AH!$U$10))))&gt;0),IF(AND(AH!$U$12=1,1195+1=AH!$U$6),IF(AH!$U$4=0,"unavailable",INDEX('Market Data'!$AN$5:$AN$66,AH!$U$4)),IF(AH!$U$5=1,INDEX('Live History'!$B$5:$B$3004,$K1200),INDEX('AH History'!$D$5:$GG$1380,$K1200,AH!$U$10))),NA()),NA())</f>
        <v/>
      </c>
      <c r="F1200" s="32">
        <f>IFERROR(IF(ISNUMBER($A1200),IF(AND(AH!$U$12=1,1195+1=AH!$U$6),IF(AH!$U$4=0,"unavailable",INDEX('Market Data'!$AO$5:$AO$66,AH!$U$4)),IF(AH!$U$5=1,INDEX('Live History'!$E$5:$E$3004,MATCH($A1200,'Live History'!$D$5:$D$3004,1)),INDEX('AH History'!$D$5:$GG$1380,$K1200,AH!$U$10+1))),NA()),NA())</f>
        <v/>
      </c>
      <c r="G1200" s="34">
        <f>IFERROR(IF(ISNUMBER($A1200),IF(AND(AH!$U$12=1,1195+1=AH!$U$6),IF(AH!$U$4=0,"unavailable",INDEX('Market Data'!$AK$5:$AK$66,AH!$U$4)),IF(AH!$U$5=1,INDEX('Live History'!$D$5:$D$3004,MATCH($A1200,'Live History'!$D$5:$D$3004,1)),INDEX('AH History'!$D$5:$GG$1380,$K1200,AH!$U$10+2))),NA()),NA())</f>
        <v/>
      </c>
      <c r="H1200" s="266">
        <f>IFERROR(IF(ISNUMBER($A1200),IF(AND(AH!$U$12=1,1195+1=AH!$U$6),IF(AH!$U$4=0,"unavailable",INDEX('Market Data'!$AP$5:$AP$66,AH!$U$4)),IF(AH!$U$5=1,INDEX('Live History'!$H$5:$H$3004,MATCH($A1200,'Live History'!$G$5:$G$3004,1)),INDEX('AH History'!$B$5:$B$1380,$K1200))),NA()),NA())</f>
        <v/>
      </c>
      <c r="I1200" s="34">
        <f>IFERROR(IF(ISNUMBER($A1200),IF(AND(AH!$U$12=1,1195+1=AH!$U$6),TODAY(),IF(AH!$U$5=1,INDEX('Live History'!$G$5:$G$3004,MATCH($A1200,'Live History'!$G$5:$G$3004,1)),INDEX('AH History'!$C$5:$C$1380,$K1200))),NA()),NA())</f>
        <v/>
      </c>
      <c r="J1200" s="32">
        <f>IFERROR(IF(AND($F1200&gt;0,$H1200&gt;0,$A1200-$G1200&lt;=10,$A1200-$I1200&lt;=5,$G1200&gt;0,$I1200&gt;0),$F1200*$H1200,NA()),NA())</f>
        <v/>
      </c>
      <c r="K1200" s="15">
        <f>IF($A1200="","",IF(AH!$U$5=1,IFERROR(MATCH($A1200,'Live History'!$A$5:$A$3004,0),0),AH!$U$7+1195))</f>
        <v/>
      </c>
      <c r="L1200" s="15">
        <f>IF(ISNUMBER(A1200),TEXT(A1200,"dd-mmm-yy"),"")</f>
        <v/>
      </c>
    </row>
    <row r="1201">
      <c r="A1201" s="14">
        <f>IF(OR(AH!$U$4=0,1196+1&gt;AH!$U$6,AND(AH!$M$5="Bloomberg",AH!$U$5=0)),"",IFERROR(IF(AND(AH!$U$12=1,1196+1=AH!$U$6),TODAY(),IF(AH!$U$5=1,INDEX('Live History'!$A$5:$A$3004,AH!$U$7+1196),INDEX('AH History'!$A$5:$A$1380,AH!$U$7+1196))),""))</f>
        <v/>
      </c>
      <c r="B1201" s="33">
        <f>IFERROR(IF(AH!$U$11=1,NA(),$J1201/$E1201-1),NA())</f>
        <v/>
      </c>
      <c r="C1201" s="269">
        <f>IFERROR(100*$E1201/$E$5,NA())</f>
        <v/>
      </c>
      <c r="D1201" s="269">
        <f>IFERROR(100*$J1201/$J$5,NA())</f>
        <v/>
      </c>
      <c r="E1201" s="32">
        <f>IFERROR(IF(AND(ISNUMBER($A1201),N(IF(AND(AH!$U$12=1,1196+1=AH!$U$6),IF(AH!$U$4=0,"unavailable",INDEX('Market Data'!$AN$5:$AN$66,AH!$U$4)),IF(AH!$U$5=1,INDEX('Live History'!$B$5:$B$3004,$K1201),INDEX('AH History'!$D$5:$GG$1380,$K1201,AH!$U$10))))&gt;0),IF(AND(AH!$U$12=1,1196+1=AH!$U$6),IF(AH!$U$4=0,"unavailable",INDEX('Market Data'!$AN$5:$AN$66,AH!$U$4)),IF(AH!$U$5=1,INDEX('Live History'!$B$5:$B$3004,$K1201),INDEX('AH History'!$D$5:$GG$1380,$K1201,AH!$U$10))),NA()),NA())</f>
        <v/>
      </c>
      <c r="F1201" s="32">
        <f>IFERROR(IF(ISNUMBER($A1201),IF(AND(AH!$U$12=1,1196+1=AH!$U$6),IF(AH!$U$4=0,"unavailable",INDEX('Market Data'!$AO$5:$AO$66,AH!$U$4)),IF(AH!$U$5=1,INDEX('Live History'!$E$5:$E$3004,MATCH($A1201,'Live History'!$D$5:$D$3004,1)),INDEX('AH History'!$D$5:$GG$1380,$K1201,AH!$U$10+1))),NA()),NA())</f>
        <v/>
      </c>
      <c r="G1201" s="34">
        <f>IFERROR(IF(ISNUMBER($A1201),IF(AND(AH!$U$12=1,1196+1=AH!$U$6),IF(AH!$U$4=0,"unavailable",INDEX('Market Data'!$AK$5:$AK$66,AH!$U$4)),IF(AH!$U$5=1,INDEX('Live History'!$D$5:$D$3004,MATCH($A1201,'Live History'!$D$5:$D$3004,1)),INDEX('AH History'!$D$5:$GG$1380,$K1201,AH!$U$10+2))),NA()),NA())</f>
        <v/>
      </c>
      <c r="H1201" s="266">
        <f>IFERROR(IF(ISNUMBER($A1201),IF(AND(AH!$U$12=1,1196+1=AH!$U$6),IF(AH!$U$4=0,"unavailable",INDEX('Market Data'!$AP$5:$AP$66,AH!$U$4)),IF(AH!$U$5=1,INDEX('Live History'!$H$5:$H$3004,MATCH($A1201,'Live History'!$G$5:$G$3004,1)),INDEX('AH History'!$B$5:$B$1380,$K1201))),NA()),NA())</f>
        <v/>
      </c>
      <c r="I1201" s="34">
        <f>IFERROR(IF(ISNUMBER($A1201),IF(AND(AH!$U$12=1,1196+1=AH!$U$6),TODAY(),IF(AH!$U$5=1,INDEX('Live History'!$G$5:$G$3004,MATCH($A1201,'Live History'!$G$5:$G$3004,1)),INDEX('AH History'!$C$5:$C$1380,$K1201))),NA()),NA())</f>
        <v/>
      </c>
      <c r="J1201" s="32">
        <f>IFERROR(IF(AND($F1201&gt;0,$H1201&gt;0,$A1201-$G1201&lt;=10,$A1201-$I1201&lt;=5,$G1201&gt;0,$I1201&gt;0),$F1201*$H1201,NA()),NA())</f>
        <v/>
      </c>
      <c r="K1201" s="15">
        <f>IF($A1201="","",IF(AH!$U$5=1,IFERROR(MATCH($A1201,'Live History'!$A$5:$A$3004,0),0),AH!$U$7+1196))</f>
        <v/>
      </c>
      <c r="L1201" s="15">
        <f>IF(ISNUMBER(A1201),TEXT(A1201,"dd-mmm-yy"),"")</f>
        <v/>
      </c>
    </row>
    <row r="1202">
      <c r="A1202" s="14">
        <f>IF(OR(AH!$U$4=0,1197+1&gt;AH!$U$6,AND(AH!$M$5="Bloomberg",AH!$U$5=0)),"",IFERROR(IF(AND(AH!$U$12=1,1197+1=AH!$U$6),TODAY(),IF(AH!$U$5=1,INDEX('Live History'!$A$5:$A$3004,AH!$U$7+1197),INDEX('AH History'!$A$5:$A$1380,AH!$U$7+1197))),""))</f>
        <v/>
      </c>
      <c r="B1202" s="33">
        <f>IFERROR(IF(AH!$U$11=1,NA(),$J1202/$E1202-1),NA())</f>
        <v/>
      </c>
      <c r="C1202" s="269">
        <f>IFERROR(100*$E1202/$E$5,NA())</f>
        <v/>
      </c>
      <c r="D1202" s="269">
        <f>IFERROR(100*$J1202/$J$5,NA())</f>
        <v/>
      </c>
      <c r="E1202" s="32">
        <f>IFERROR(IF(AND(ISNUMBER($A1202),N(IF(AND(AH!$U$12=1,1197+1=AH!$U$6),IF(AH!$U$4=0,"unavailable",INDEX('Market Data'!$AN$5:$AN$66,AH!$U$4)),IF(AH!$U$5=1,INDEX('Live History'!$B$5:$B$3004,$K1202),INDEX('AH History'!$D$5:$GG$1380,$K1202,AH!$U$10))))&gt;0),IF(AND(AH!$U$12=1,1197+1=AH!$U$6),IF(AH!$U$4=0,"unavailable",INDEX('Market Data'!$AN$5:$AN$66,AH!$U$4)),IF(AH!$U$5=1,INDEX('Live History'!$B$5:$B$3004,$K1202),INDEX('AH History'!$D$5:$GG$1380,$K1202,AH!$U$10))),NA()),NA())</f>
        <v/>
      </c>
      <c r="F1202" s="32">
        <f>IFERROR(IF(ISNUMBER($A1202),IF(AND(AH!$U$12=1,1197+1=AH!$U$6),IF(AH!$U$4=0,"unavailable",INDEX('Market Data'!$AO$5:$AO$66,AH!$U$4)),IF(AH!$U$5=1,INDEX('Live History'!$E$5:$E$3004,MATCH($A1202,'Live History'!$D$5:$D$3004,1)),INDEX('AH History'!$D$5:$GG$1380,$K1202,AH!$U$10+1))),NA()),NA())</f>
        <v/>
      </c>
      <c r="G1202" s="34">
        <f>IFERROR(IF(ISNUMBER($A1202),IF(AND(AH!$U$12=1,1197+1=AH!$U$6),IF(AH!$U$4=0,"unavailable",INDEX('Market Data'!$AK$5:$AK$66,AH!$U$4)),IF(AH!$U$5=1,INDEX('Live History'!$D$5:$D$3004,MATCH($A1202,'Live History'!$D$5:$D$3004,1)),INDEX('AH History'!$D$5:$GG$1380,$K1202,AH!$U$10+2))),NA()),NA())</f>
        <v/>
      </c>
      <c r="H1202" s="266">
        <f>IFERROR(IF(ISNUMBER($A1202),IF(AND(AH!$U$12=1,1197+1=AH!$U$6),IF(AH!$U$4=0,"unavailable",INDEX('Market Data'!$AP$5:$AP$66,AH!$U$4)),IF(AH!$U$5=1,INDEX('Live History'!$H$5:$H$3004,MATCH($A1202,'Live History'!$G$5:$G$3004,1)),INDEX('AH History'!$B$5:$B$1380,$K1202))),NA()),NA())</f>
        <v/>
      </c>
      <c r="I1202" s="34">
        <f>IFERROR(IF(ISNUMBER($A1202),IF(AND(AH!$U$12=1,1197+1=AH!$U$6),TODAY(),IF(AH!$U$5=1,INDEX('Live History'!$G$5:$G$3004,MATCH($A1202,'Live History'!$G$5:$G$3004,1)),INDEX('AH History'!$C$5:$C$1380,$K1202))),NA()),NA())</f>
        <v/>
      </c>
      <c r="J1202" s="32">
        <f>IFERROR(IF(AND($F1202&gt;0,$H1202&gt;0,$A1202-$G1202&lt;=10,$A1202-$I1202&lt;=5,$G1202&gt;0,$I1202&gt;0),$F1202*$H1202,NA()),NA())</f>
        <v/>
      </c>
      <c r="K1202" s="15">
        <f>IF($A1202="","",IF(AH!$U$5=1,IFERROR(MATCH($A1202,'Live History'!$A$5:$A$3004,0),0),AH!$U$7+1197))</f>
        <v/>
      </c>
      <c r="L1202" s="15">
        <f>IF(ISNUMBER(A1202),TEXT(A1202,"dd-mmm-yy"),"")</f>
        <v/>
      </c>
    </row>
    <row r="1203">
      <c r="A1203" s="14">
        <f>IF(OR(AH!$U$4=0,1198+1&gt;AH!$U$6,AND(AH!$M$5="Bloomberg",AH!$U$5=0)),"",IFERROR(IF(AND(AH!$U$12=1,1198+1=AH!$U$6),TODAY(),IF(AH!$U$5=1,INDEX('Live History'!$A$5:$A$3004,AH!$U$7+1198),INDEX('AH History'!$A$5:$A$1380,AH!$U$7+1198))),""))</f>
        <v/>
      </c>
      <c r="B1203" s="33">
        <f>IFERROR(IF(AH!$U$11=1,NA(),$J1203/$E1203-1),NA())</f>
        <v/>
      </c>
      <c r="C1203" s="269">
        <f>IFERROR(100*$E1203/$E$5,NA())</f>
        <v/>
      </c>
      <c r="D1203" s="269">
        <f>IFERROR(100*$J1203/$J$5,NA())</f>
        <v/>
      </c>
      <c r="E1203" s="32">
        <f>IFERROR(IF(AND(ISNUMBER($A1203),N(IF(AND(AH!$U$12=1,1198+1=AH!$U$6),IF(AH!$U$4=0,"unavailable",INDEX('Market Data'!$AN$5:$AN$66,AH!$U$4)),IF(AH!$U$5=1,INDEX('Live History'!$B$5:$B$3004,$K1203),INDEX('AH History'!$D$5:$GG$1380,$K1203,AH!$U$10))))&gt;0),IF(AND(AH!$U$12=1,1198+1=AH!$U$6),IF(AH!$U$4=0,"unavailable",INDEX('Market Data'!$AN$5:$AN$66,AH!$U$4)),IF(AH!$U$5=1,INDEX('Live History'!$B$5:$B$3004,$K1203),INDEX('AH History'!$D$5:$GG$1380,$K1203,AH!$U$10))),NA()),NA())</f>
        <v/>
      </c>
      <c r="F1203" s="32">
        <f>IFERROR(IF(ISNUMBER($A1203),IF(AND(AH!$U$12=1,1198+1=AH!$U$6),IF(AH!$U$4=0,"unavailable",INDEX('Market Data'!$AO$5:$AO$66,AH!$U$4)),IF(AH!$U$5=1,INDEX('Live History'!$E$5:$E$3004,MATCH($A1203,'Live History'!$D$5:$D$3004,1)),INDEX('AH History'!$D$5:$GG$1380,$K1203,AH!$U$10+1))),NA()),NA())</f>
        <v/>
      </c>
      <c r="G1203" s="34">
        <f>IFERROR(IF(ISNUMBER($A1203),IF(AND(AH!$U$12=1,1198+1=AH!$U$6),IF(AH!$U$4=0,"unavailable",INDEX('Market Data'!$AK$5:$AK$66,AH!$U$4)),IF(AH!$U$5=1,INDEX('Live History'!$D$5:$D$3004,MATCH($A1203,'Live History'!$D$5:$D$3004,1)),INDEX('AH History'!$D$5:$GG$1380,$K1203,AH!$U$10+2))),NA()),NA())</f>
        <v/>
      </c>
      <c r="H1203" s="266">
        <f>IFERROR(IF(ISNUMBER($A1203),IF(AND(AH!$U$12=1,1198+1=AH!$U$6),IF(AH!$U$4=0,"unavailable",INDEX('Market Data'!$AP$5:$AP$66,AH!$U$4)),IF(AH!$U$5=1,INDEX('Live History'!$H$5:$H$3004,MATCH($A1203,'Live History'!$G$5:$G$3004,1)),INDEX('AH History'!$B$5:$B$1380,$K1203))),NA()),NA())</f>
        <v/>
      </c>
      <c r="I1203" s="34">
        <f>IFERROR(IF(ISNUMBER($A1203),IF(AND(AH!$U$12=1,1198+1=AH!$U$6),TODAY(),IF(AH!$U$5=1,INDEX('Live History'!$G$5:$G$3004,MATCH($A1203,'Live History'!$G$5:$G$3004,1)),INDEX('AH History'!$C$5:$C$1380,$K1203))),NA()),NA())</f>
        <v/>
      </c>
      <c r="J1203" s="32">
        <f>IFERROR(IF(AND($F1203&gt;0,$H1203&gt;0,$A1203-$G1203&lt;=10,$A1203-$I1203&lt;=5,$G1203&gt;0,$I1203&gt;0),$F1203*$H1203,NA()),NA())</f>
        <v/>
      </c>
      <c r="K1203" s="15">
        <f>IF($A1203="","",IF(AH!$U$5=1,IFERROR(MATCH($A1203,'Live History'!$A$5:$A$3004,0),0),AH!$U$7+1198))</f>
        <v/>
      </c>
      <c r="L1203" s="15">
        <f>IF(ISNUMBER(A1203),TEXT(A1203,"dd-mmm-yy"),"")</f>
        <v/>
      </c>
    </row>
    <row r="1204">
      <c r="A1204" s="14">
        <f>IF(OR(AH!$U$4=0,1199+1&gt;AH!$U$6,AND(AH!$M$5="Bloomberg",AH!$U$5=0)),"",IFERROR(IF(AND(AH!$U$12=1,1199+1=AH!$U$6),TODAY(),IF(AH!$U$5=1,INDEX('Live History'!$A$5:$A$3004,AH!$U$7+1199),INDEX('AH History'!$A$5:$A$1380,AH!$U$7+1199))),""))</f>
        <v/>
      </c>
      <c r="B1204" s="33">
        <f>IFERROR(IF(AH!$U$11=1,NA(),$J1204/$E1204-1),NA())</f>
        <v/>
      </c>
      <c r="C1204" s="269">
        <f>IFERROR(100*$E1204/$E$5,NA())</f>
        <v/>
      </c>
      <c r="D1204" s="269">
        <f>IFERROR(100*$J1204/$J$5,NA())</f>
        <v/>
      </c>
      <c r="E1204" s="32">
        <f>IFERROR(IF(AND(ISNUMBER($A1204),N(IF(AND(AH!$U$12=1,1199+1=AH!$U$6),IF(AH!$U$4=0,"unavailable",INDEX('Market Data'!$AN$5:$AN$66,AH!$U$4)),IF(AH!$U$5=1,INDEX('Live History'!$B$5:$B$3004,$K1204),INDEX('AH History'!$D$5:$GG$1380,$K1204,AH!$U$10))))&gt;0),IF(AND(AH!$U$12=1,1199+1=AH!$U$6),IF(AH!$U$4=0,"unavailable",INDEX('Market Data'!$AN$5:$AN$66,AH!$U$4)),IF(AH!$U$5=1,INDEX('Live History'!$B$5:$B$3004,$K1204),INDEX('AH History'!$D$5:$GG$1380,$K1204,AH!$U$10))),NA()),NA())</f>
        <v/>
      </c>
      <c r="F1204" s="32">
        <f>IFERROR(IF(ISNUMBER($A1204),IF(AND(AH!$U$12=1,1199+1=AH!$U$6),IF(AH!$U$4=0,"unavailable",INDEX('Market Data'!$AO$5:$AO$66,AH!$U$4)),IF(AH!$U$5=1,INDEX('Live History'!$E$5:$E$3004,MATCH($A1204,'Live History'!$D$5:$D$3004,1)),INDEX('AH History'!$D$5:$GG$1380,$K1204,AH!$U$10+1))),NA()),NA())</f>
        <v/>
      </c>
      <c r="G1204" s="34">
        <f>IFERROR(IF(ISNUMBER($A1204),IF(AND(AH!$U$12=1,1199+1=AH!$U$6),IF(AH!$U$4=0,"unavailable",INDEX('Market Data'!$AK$5:$AK$66,AH!$U$4)),IF(AH!$U$5=1,INDEX('Live History'!$D$5:$D$3004,MATCH($A1204,'Live History'!$D$5:$D$3004,1)),INDEX('AH History'!$D$5:$GG$1380,$K1204,AH!$U$10+2))),NA()),NA())</f>
        <v/>
      </c>
      <c r="H1204" s="266">
        <f>IFERROR(IF(ISNUMBER($A1204),IF(AND(AH!$U$12=1,1199+1=AH!$U$6),IF(AH!$U$4=0,"unavailable",INDEX('Market Data'!$AP$5:$AP$66,AH!$U$4)),IF(AH!$U$5=1,INDEX('Live History'!$H$5:$H$3004,MATCH($A1204,'Live History'!$G$5:$G$3004,1)),INDEX('AH History'!$B$5:$B$1380,$K1204))),NA()),NA())</f>
        <v/>
      </c>
      <c r="I1204" s="34">
        <f>IFERROR(IF(ISNUMBER($A1204),IF(AND(AH!$U$12=1,1199+1=AH!$U$6),TODAY(),IF(AH!$U$5=1,INDEX('Live History'!$G$5:$G$3004,MATCH($A1204,'Live History'!$G$5:$G$3004,1)),INDEX('AH History'!$C$5:$C$1380,$K1204))),NA()),NA())</f>
        <v/>
      </c>
      <c r="J1204" s="32">
        <f>IFERROR(IF(AND($F1204&gt;0,$H1204&gt;0,$A1204-$G1204&lt;=10,$A1204-$I1204&lt;=5,$G1204&gt;0,$I1204&gt;0),$F1204*$H1204,NA()),NA())</f>
        <v/>
      </c>
      <c r="K1204" s="15">
        <f>IF($A1204="","",IF(AH!$U$5=1,IFERROR(MATCH($A1204,'Live History'!$A$5:$A$3004,0),0),AH!$U$7+1199))</f>
        <v/>
      </c>
      <c r="L1204" s="15">
        <f>IF(ISNUMBER(A1204),TEXT(A1204,"dd-mmm-yy"),"")</f>
        <v/>
      </c>
    </row>
    <row r="1205">
      <c r="A1205" s="14">
        <f>IF(OR(AH!$U$4=0,1200+1&gt;AH!$U$6,AND(AH!$M$5="Bloomberg",AH!$U$5=0)),"",IFERROR(IF(AND(AH!$U$12=1,1200+1=AH!$U$6),TODAY(),IF(AH!$U$5=1,INDEX('Live History'!$A$5:$A$3004,AH!$U$7+1200),INDEX('AH History'!$A$5:$A$1380,AH!$U$7+1200))),""))</f>
        <v/>
      </c>
      <c r="B1205" s="33">
        <f>IFERROR(IF(AH!$U$11=1,NA(),$J1205/$E1205-1),NA())</f>
        <v/>
      </c>
      <c r="C1205" s="269">
        <f>IFERROR(100*$E1205/$E$5,NA())</f>
        <v/>
      </c>
      <c r="D1205" s="269">
        <f>IFERROR(100*$J1205/$J$5,NA())</f>
        <v/>
      </c>
      <c r="E1205" s="32">
        <f>IFERROR(IF(AND(ISNUMBER($A1205),N(IF(AND(AH!$U$12=1,1200+1=AH!$U$6),IF(AH!$U$4=0,"unavailable",INDEX('Market Data'!$AN$5:$AN$66,AH!$U$4)),IF(AH!$U$5=1,INDEX('Live History'!$B$5:$B$3004,$K1205),INDEX('AH History'!$D$5:$GG$1380,$K1205,AH!$U$10))))&gt;0),IF(AND(AH!$U$12=1,1200+1=AH!$U$6),IF(AH!$U$4=0,"unavailable",INDEX('Market Data'!$AN$5:$AN$66,AH!$U$4)),IF(AH!$U$5=1,INDEX('Live History'!$B$5:$B$3004,$K1205),INDEX('AH History'!$D$5:$GG$1380,$K1205,AH!$U$10))),NA()),NA())</f>
        <v/>
      </c>
      <c r="F1205" s="32">
        <f>IFERROR(IF(ISNUMBER($A1205),IF(AND(AH!$U$12=1,1200+1=AH!$U$6),IF(AH!$U$4=0,"unavailable",INDEX('Market Data'!$AO$5:$AO$66,AH!$U$4)),IF(AH!$U$5=1,INDEX('Live History'!$E$5:$E$3004,MATCH($A1205,'Live History'!$D$5:$D$3004,1)),INDEX('AH History'!$D$5:$GG$1380,$K1205,AH!$U$10+1))),NA()),NA())</f>
        <v/>
      </c>
      <c r="G1205" s="34">
        <f>IFERROR(IF(ISNUMBER($A1205),IF(AND(AH!$U$12=1,1200+1=AH!$U$6),IF(AH!$U$4=0,"unavailable",INDEX('Market Data'!$AK$5:$AK$66,AH!$U$4)),IF(AH!$U$5=1,INDEX('Live History'!$D$5:$D$3004,MATCH($A1205,'Live History'!$D$5:$D$3004,1)),INDEX('AH History'!$D$5:$GG$1380,$K1205,AH!$U$10+2))),NA()),NA())</f>
        <v/>
      </c>
      <c r="H1205" s="266">
        <f>IFERROR(IF(ISNUMBER($A1205),IF(AND(AH!$U$12=1,1200+1=AH!$U$6),IF(AH!$U$4=0,"unavailable",INDEX('Market Data'!$AP$5:$AP$66,AH!$U$4)),IF(AH!$U$5=1,INDEX('Live History'!$H$5:$H$3004,MATCH($A1205,'Live History'!$G$5:$G$3004,1)),INDEX('AH History'!$B$5:$B$1380,$K1205))),NA()),NA())</f>
        <v/>
      </c>
      <c r="I1205" s="34">
        <f>IFERROR(IF(ISNUMBER($A1205),IF(AND(AH!$U$12=1,1200+1=AH!$U$6),TODAY(),IF(AH!$U$5=1,INDEX('Live History'!$G$5:$G$3004,MATCH($A1205,'Live History'!$G$5:$G$3004,1)),INDEX('AH History'!$C$5:$C$1380,$K1205))),NA()),NA())</f>
        <v/>
      </c>
      <c r="J1205" s="32">
        <f>IFERROR(IF(AND($F1205&gt;0,$H1205&gt;0,$A1205-$G1205&lt;=10,$A1205-$I1205&lt;=5,$G1205&gt;0,$I1205&gt;0),$F1205*$H1205,NA()),NA())</f>
        <v/>
      </c>
      <c r="K1205" s="15">
        <f>IF($A1205="","",IF(AH!$U$5=1,IFERROR(MATCH($A1205,'Live History'!$A$5:$A$3004,0),0),AH!$U$7+1200))</f>
        <v/>
      </c>
      <c r="L1205" s="15">
        <f>IF(ISNUMBER(A1205),TEXT(A1205,"dd-mmm-yy"),"")</f>
        <v/>
      </c>
    </row>
    <row r="1206">
      <c r="A1206" s="14">
        <f>IF(OR(AH!$U$4=0,1201+1&gt;AH!$U$6,AND(AH!$M$5="Bloomberg",AH!$U$5=0)),"",IFERROR(IF(AND(AH!$U$12=1,1201+1=AH!$U$6),TODAY(),IF(AH!$U$5=1,INDEX('Live History'!$A$5:$A$3004,AH!$U$7+1201),INDEX('AH History'!$A$5:$A$1380,AH!$U$7+1201))),""))</f>
        <v/>
      </c>
      <c r="B1206" s="33">
        <f>IFERROR(IF(AH!$U$11=1,NA(),$J1206/$E1206-1),NA())</f>
        <v/>
      </c>
      <c r="C1206" s="269">
        <f>IFERROR(100*$E1206/$E$5,NA())</f>
        <v/>
      </c>
      <c r="D1206" s="269">
        <f>IFERROR(100*$J1206/$J$5,NA())</f>
        <v/>
      </c>
      <c r="E1206" s="32">
        <f>IFERROR(IF(AND(ISNUMBER($A1206),N(IF(AND(AH!$U$12=1,1201+1=AH!$U$6),IF(AH!$U$4=0,"unavailable",INDEX('Market Data'!$AN$5:$AN$66,AH!$U$4)),IF(AH!$U$5=1,INDEX('Live History'!$B$5:$B$3004,$K1206),INDEX('AH History'!$D$5:$GG$1380,$K1206,AH!$U$10))))&gt;0),IF(AND(AH!$U$12=1,1201+1=AH!$U$6),IF(AH!$U$4=0,"unavailable",INDEX('Market Data'!$AN$5:$AN$66,AH!$U$4)),IF(AH!$U$5=1,INDEX('Live History'!$B$5:$B$3004,$K1206),INDEX('AH History'!$D$5:$GG$1380,$K1206,AH!$U$10))),NA()),NA())</f>
        <v/>
      </c>
      <c r="F1206" s="32">
        <f>IFERROR(IF(ISNUMBER($A1206),IF(AND(AH!$U$12=1,1201+1=AH!$U$6),IF(AH!$U$4=0,"unavailable",INDEX('Market Data'!$AO$5:$AO$66,AH!$U$4)),IF(AH!$U$5=1,INDEX('Live History'!$E$5:$E$3004,MATCH($A1206,'Live History'!$D$5:$D$3004,1)),INDEX('AH History'!$D$5:$GG$1380,$K1206,AH!$U$10+1))),NA()),NA())</f>
        <v/>
      </c>
      <c r="G1206" s="34">
        <f>IFERROR(IF(ISNUMBER($A1206),IF(AND(AH!$U$12=1,1201+1=AH!$U$6),IF(AH!$U$4=0,"unavailable",INDEX('Market Data'!$AK$5:$AK$66,AH!$U$4)),IF(AH!$U$5=1,INDEX('Live History'!$D$5:$D$3004,MATCH($A1206,'Live History'!$D$5:$D$3004,1)),INDEX('AH History'!$D$5:$GG$1380,$K1206,AH!$U$10+2))),NA()),NA())</f>
        <v/>
      </c>
      <c r="H1206" s="266">
        <f>IFERROR(IF(ISNUMBER($A1206),IF(AND(AH!$U$12=1,1201+1=AH!$U$6),IF(AH!$U$4=0,"unavailable",INDEX('Market Data'!$AP$5:$AP$66,AH!$U$4)),IF(AH!$U$5=1,INDEX('Live History'!$H$5:$H$3004,MATCH($A1206,'Live History'!$G$5:$G$3004,1)),INDEX('AH History'!$B$5:$B$1380,$K1206))),NA()),NA())</f>
        <v/>
      </c>
      <c r="I1206" s="34">
        <f>IFERROR(IF(ISNUMBER($A1206),IF(AND(AH!$U$12=1,1201+1=AH!$U$6),TODAY(),IF(AH!$U$5=1,INDEX('Live History'!$G$5:$G$3004,MATCH($A1206,'Live History'!$G$5:$G$3004,1)),INDEX('AH History'!$C$5:$C$1380,$K1206))),NA()),NA())</f>
        <v/>
      </c>
      <c r="J1206" s="32">
        <f>IFERROR(IF(AND($F1206&gt;0,$H1206&gt;0,$A1206-$G1206&lt;=10,$A1206-$I1206&lt;=5,$G1206&gt;0,$I1206&gt;0),$F1206*$H1206,NA()),NA())</f>
        <v/>
      </c>
      <c r="K1206" s="15">
        <f>IF($A1206="","",IF(AH!$U$5=1,IFERROR(MATCH($A1206,'Live History'!$A$5:$A$3004,0),0),AH!$U$7+1201))</f>
        <v/>
      </c>
      <c r="L1206" s="15">
        <f>IF(ISNUMBER(A1206),TEXT(A1206,"dd-mmm-yy"),"")</f>
        <v/>
      </c>
    </row>
    <row r="1207">
      <c r="A1207" s="14">
        <f>IF(OR(AH!$U$4=0,1202+1&gt;AH!$U$6,AND(AH!$M$5="Bloomberg",AH!$U$5=0)),"",IFERROR(IF(AND(AH!$U$12=1,1202+1=AH!$U$6),TODAY(),IF(AH!$U$5=1,INDEX('Live History'!$A$5:$A$3004,AH!$U$7+1202),INDEX('AH History'!$A$5:$A$1380,AH!$U$7+1202))),""))</f>
        <v/>
      </c>
      <c r="B1207" s="33">
        <f>IFERROR(IF(AH!$U$11=1,NA(),$J1207/$E1207-1),NA())</f>
        <v/>
      </c>
      <c r="C1207" s="269">
        <f>IFERROR(100*$E1207/$E$5,NA())</f>
        <v/>
      </c>
      <c r="D1207" s="269">
        <f>IFERROR(100*$J1207/$J$5,NA())</f>
        <v/>
      </c>
      <c r="E1207" s="32">
        <f>IFERROR(IF(AND(ISNUMBER($A1207),N(IF(AND(AH!$U$12=1,1202+1=AH!$U$6),IF(AH!$U$4=0,"unavailable",INDEX('Market Data'!$AN$5:$AN$66,AH!$U$4)),IF(AH!$U$5=1,INDEX('Live History'!$B$5:$B$3004,$K1207),INDEX('AH History'!$D$5:$GG$1380,$K1207,AH!$U$10))))&gt;0),IF(AND(AH!$U$12=1,1202+1=AH!$U$6),IF(AH!$U$4=0,"unavailable",INDEX('Market Data'!$AN$5:$AN$66,AH!$U$4)),IF(AH!$U$5=1,INDEX('Live History'!$B$5:$B$3004,$K1207),INDEX('AH History'!$D$5:$GG$1380,$K1207,AH!$U$10))),NA()),NA())</f>
        <v/>
      </c>
      <c r="F1207" s="32">
        <f>IFERROR(IF(ISNUMBER($A1207),IF(AND(AH!$U$12=1,1202+1=AH!$U$6),IF(AH!$U$4=0,"unavailable",INDEX('Market Data'!$AO$5:$AO$66,AH!$U$4)),IF(AH!$U$5=1,INDEX('Live History'!$E$5:$E$3004,MATCH($A1207,'Live History'!$D$5:$D$3004,1)),INDEX('AH History'!$D$5:$GG$1380,$K1207,AH!$U$10+1))),NA()),NA())</f>
        <v/>
      </c>
      <c r="G1207" s="34">
        <f>IFERROR(IF(ISNUMBER($A1207),IF(AND(AH!$U$12=1,1202+1=AH!$U$6),IF(AH!$U$4=0,"unavailable",INDEX('Market Data'!$AK$5:$AK$66,AH!$U$4)),IF(AH!$U$5=1,INDEX('Live History'!$D$5:$D$3004,MATCH($A1207,'Live History'!$D$5:$D$3004,1)),INDEX('AH History'!$D$5:$GG$1380,$K1207,AH!$U$10+2))),NA()),NA())</f>
        <v/>
      </c>
      <c r="H1207" s="266">
        <f>IFERROR(IF(ISNUMBER($A1207),IF(AND(AH!$U$12=1,1202+1=AH!$U$6),IF(AH!$U$4=0,"unavailable",INDEX('Market Data'!$AP$5:$AP$66,AH!$U$4)),IF(AH!$U$5=1,INDEX('Live History'!$H$5:$H$3004,MATCH($A1207,'Live History'!$G$5:$G$3004,1)),INDEX('AH History'!$B$5:$B$1380,$K1207))),NA()),NA())</f>
        <v/>
      </c>
      <c r="I1207" s="34">
        <f>IFERROR(IF(ISNUMBER($A1207),IF(AND(AH!$U$12=1,1202+1=AH!$U$6),TODAY(),IF(AH!$U$5=1,INDEX('Live History'!$G$5:$G$3004,MATCH($A1207,'Live History'!$G$5:$G$3004,1)),INDEX('AH History'!$C$5:$C$1380,$K1207))),NA()),NA())</f>
        <v/>
      </c>
      <c r="J1207" s="32">
        <f>IFERROR(IF(AND($F1207&gt;0,$H1207&gt;0,$A1207-$G1207&lt;=10,$A1207-$I1207&lt;=5,$G1207&gt;0,$I1207&gt;0),$F1207*$H1207,NA()),NA())</f>
        <v/>
      </c>
      <c r="K1207" s="15">
        <f>IF($A1207="","",IF(AH!$U$5=1,IFERROR(MATCH($A1207,'Live History'!$A$5:$A$3004,0),0),AH!$U$7+1202))</f>
        <v/>
      </c>
      <c r="L1207" s="15">
        <f>IF(ISNUMBER(A1207),TEXT(A1207,"dd-mmm-yy"),"")</f>
        <v/>
      </c>
    </row>
    <row r="1208">
      <c r="A1208" s="14">
        <f>IF(OR(AH!$U$4=0,1203+1&gt;AH!$U$6,AND(AH!$M$5="Bloomberg",AH!$U$5=0)),"",IFERROR(IF(AND(AH!$U$12=1,1203+1=AH!$U$6),TODAY(),IF(AH!$U$5=1,INDEX('Live History'!$A$5:$A$3004,AH!$U$7+1203),INDEX('AH History'!$A$5:$A$1380,AH!$U$7+1203))),""))</f>
        <v/>
      </c>
      <c r="B1208" s="33">
        <f>IFERROR(IF(AH!$U$11=1,NA(),$J1208/$E1208-1),NA())</f>
        <v/>
      </c>
      <c r="C1208" s="269">
        <f>IFERROR(100*$E1208/$E$5,NA())</f>
        <v/>
      </c>
      <c r="D1208" s="269">
        <f>IFERROR(100*$J1208/$J$5,NA())</f>
        <v/>
      </c>
      <c r="E1208" s="32">
        <f>IFERROR(IF(AND(ISNUMBER($A1208),N(IF(AND(AH!$U$12=1,1203+1=AH!$U$6),IF(AH!$U$4=0,"unavailable",INDEX('Market Data'!$AN$5:$AN$66,AH!$U$4)),IF(AH!$U$5=1,INDEX('Live History'!$B$5:$B$3004,$K1208),INDEX('AH History'!$D$5:$GG$1380,$K1208,AH!$U$10))))&gt;0),IF(AND(AH!$U$12=1,1203+1=AH!$U$6),IF(AH!$U$4=0,"unavailable",INDEX('Market Data'!$AN$5:$AN$66,AH!$U$4)),IF(AH!$U$5=1,INDEX('Live History'!$B$5:$B$3004,$K1208),INDEX('AH History'!$D$5:$GG$1380,$K1208,AH!$U$10))),NA()),NA())</f>
        <v/>
      </c>
      <c r="F1208" s="32">
        <f>IFERROR(IF(ISNUMBER($A1208),IF(AND(AH!$U$12=1,1203+1=AH!$U$6),IF(AH!$U$4=0,"unavailable",INDEX('Market Data'!$AO$5:$AO$66,AH!$U$4)),IF(AH!$U$5=1,INDEX('Live History'!$E$5:$E$3004,MATCH($A1208,'Live History'!$D$5:$D$3004,1)),INDEX('AH History'!$D$5:$GG$1380,$K1208,AH!$U$10+1))),NA()),NA())</f>
        <v/>
      </c>
      <c r="G1208" s="34">
        <f>IFERROR(IF(ISNUMBER($A1208),IF(AND(AH!$U$12=1,1203+1=AH!$U$6),IF(AH!$U$4=0,"unavailable",INDEX('Market Data'!$AK$5:$AK$66,AH!$U$4)),IF(AH!$U$5=1,INDEX('Live History'!$D$5:$D$3004,MATCH($A1208,'Live History'!$D$5:$D$3004,1)),INDEX('AH History'!$D$5:$GG$1380,$K1208,AH!$U$10+2))),NA()),NA())</f>
        <v/>
      </c>
      <c r="H1208" s="266">
        <f>IFERROR(IF(ISNUMBER($A1208),IF(AND(AH!$U$12=1,1203+1=AH!$U$6),IF(AH!$U$4=0,"unavailable",INDEX('Market Data'!$AP$5:$AP$66,AH!$U$4)),IF(AH!$U$5=1,INDEX('Live History'!$H$5:$H$3004,MATCH($A1208,'Live History'!$G$5:$G$3004,1)),INDEX('AH History'!$B$5:$B$1380,$K1208))),NA()),NA())</f>
        <v/>
      </c>
      <c r="I1208" s="34">
        <f>IFERROR(IF(ISNUMBER($A1208),IF(AND(AH!$U$12=1,1203+1=AH!$U$6),TODAY(),IF(AH!$U$5=1,INDEX('Live History'!$G$5:$G$3004,MATCH($A1208,'Live History'!$G$5:$G$3004,1)),INDEX('AH History'!$C$5:$C$1380,$K1208))),NA()),NA())</f>
        <v/>
      </c>
      <c r="J1208" s="32">
        <f>IFERROR(IF(AND($F1208&gt;0,$H1208&gt;0,$A1208-$G1208&lt;=10,$A1208-$I1208&lt;=5,$G1208&gt;0,$I1208&gt;0),$F1208*$H1208,NA()),NA())</f>
        <v/>
      </c>
      <c r="K1208" s="15">
        <f>IF($A1208="","",IF(AH!$U$5=1,IFERROR(MATCH($A1208,'Live History'!$A$5:$A$3004,0),0),AH!$U$7+1203))</f>
        <v/>
      </c>
      <c r="L1208" s="15">
        <f>IF(ISNUMBER(A1208),TEXT(A1208,"dd-mmm-yy"),"")</f>
        <v/>
      </c>
    </row>
    <row r="1209">
      <c r="A1209" s="14">
        <f>IF(OR(AH!$U$4=0,1204+1&gt;AH!$U$6,AND(AH!$M$5="Bloomberg",AH!$U$5=0)),"",IFERROR(IF(AND(AH!$U$12=1,1204+1=AH!$U$6),TODAY(),IF(AH!$U$5=1,INDEX('Live History'!$A$5:$A$3004,AH!$U$7+1204),INDEX('AH History'!$A$5:$A$1380,AH!$U$7+1204))),""))</f>
        <v/>
      </c>
      <c r="B1209" s="33">
        <f>IFERROR(IF(AH!$U$11=1,NA(),$J1209/$E1209-1),NA())</f>
        <v/>
      </c>
      <c r="C1209" s="269">
        <f>IFERROR(100*$E1209/$E$5,NA())</f>
        <v/>
      </c>
      <c r="D1209" s="269">
        <f>IFERROR(100*$J1209/$J$5,NA())</f>
        <v/>
      </c>
      <c r="E1209" s="32">
        <f>IFERROR(IF(AND(ISNUMBER($A1209),N(IF(AND(AH!$U$12=1,1204+1=AH!$U$6),IF(AH!$U$4=0,"unavailable",INDEX('Market Data'!$AN$5:$AN$66,AH!$U$4)),IF(AH!$U$5=1,INDEX('Live History'!$B$5:$B$3004,$K1209),INDEX('AH History'!$D$5:$GG$1380,$K1209,AH!$U$10))))&gt;0),IF(AND(AH!$U$12=1,1204+1=AH!$U$6),IF(AH!$U$4=0,"unavailable",INDEX('Market Data'!$AN$5:$AN$66,AH!$U$4)),IF(AH!$U$5=1,INDEX('Live History'!$B$5:$B$3004,$K1209),INDEX('AH History'!$D$5:$GG$1380,$K1209,AH!$U$10))),NA()),NA())</f>
        <v/>
      </c>
      <c r="F1209" s="32">
        <f>IFERROR(IF(ISNUMBER($A1209),IF(AND(AH!$U$12=1,1204+1=AH!$U$6),IF(AH!$U$4=0,"unavailable",INDEX('Market Data'!$AO$5:$AO$66,AH!$U$4)),IF(AH!$U$5=1,INDEX('Live History'!$E$5:$E$3004,MATCH($A1209,'Live History'!$D$5:$D$3004,1)),INDEX('AH History'!$D$5:$GG$1380,$K1209,AH!$U$10+1))),NA()),NA())</f>
        <v/>
      </c>
      <c r="G1209" s="34">
        <f>IFERROR(IF(ISNUMBER($A1209),IF(AND(AH!$U$12=1,1204+1=AH!$U$6),IF(AH!$U$4=0,"unavailable",INDEX('Market Data'!$AK$5:$AK$66,AH!$U$4)),IF(AH!$U$5=1,INDEX('Live History'!$D$5:$D$3004,MATCH($A1209,'Live History'!$D$5:$D$3004,1)),INDEX('AH History'!$D$5:$GG$1380,$K1209,AH!$U$10+2))),NA()),NA())</f>
        <v/>
      </c>
      <c r="H1209" s="266">
        <f>IFERROR(IF(ISNUMBER($A1209),IF(AND(AH!$U$12=1,1204+1=AH!$U$6),IF(AH!$U$4=0,"unavailable",INDEX('Market Data'!$AP$5:$AP$66,AH!$U$4)),IF(AH!$U$5=1,INDEX('Live History'!$H$5:$H$3004,MATCH($A1209,'Live History'!$G$5:$G$3004,1)),INDEX('AH History'!$B$5:$B$1380,$K1209))),NA()),NA())</f>
        <v/>
      </c>
      <c r="I1209" s="34">
        <f>IFERROR(IF(ISNUMBER($A1209),IF(AND(AH!$U$12=1,1204+1=AH!$U$6),TODAY(),IF(AH!$U$5=1,INDEX('Live History'!$G$5:$G$3004,MATCH($A1209,'Live History'!$G$5:$G$3004,1)),INDEX('AH History'!$C$5:$C$1380,$K1209))),NA()),NA())</f>
        <v/>
      </c>
      <c r="J1209" s="32">
        <f>IFERROR(IF(AND($F1209&gt;0,$H1209&gt;0,$A1209-$G1209&lt;=10,$A1209-$I1209&lt;=5,$G1209&gt;0,$I1209&gt;0),$F1209*$H1209,NA()),NA())</f>
        <v/>
      </c>
      <c r="K1209" s="15">
        <f>IF($A1209="","",IF(AH!$U$5=1,IFERROR(MATCH($A1209,'Live History'!$A$5:$A$3004,0),0),AH!$U$7+1204))</f>
        <v/>
      </c>
      <c r="L1209" s="15">
        <f>IF(ISNUMBER(A1209),TEXT(A1209,"dd-mmm-yy"),"")</f>
        <v/>
      </c>
    </row>
    <row r="1210">
      <c r="A1210" s="14">
        <f>IF(OR(AH!$U$4=0,1205+1&gt;AH!$U$6,AND(AH!$M$5="Bloomberg",AH!$U$5=0)),"",IFERROR(IF(AND(AH!$U$12=1,1205+1=AH!$U$6),TODAY(),IF(AH!$U$5=1,INDEX('Live History'!$A$5:$A$3004,AH!$U$7+1205),INDEX('AH History'!$A$5:$A$1380,AH!$U$7+1205))),""))</f>
        <v/>
      </c>
      <c r="B1210" s="33">
        <f>IFERROR(IF(AH!$U$11=1,NA(),$J1210/$E1210-1),NA())</f>
        <v/>
      </c>
      <c r="C1210" s="269">
        <f>IFERROR(100*$E1210/$E$5,NA())</f>
        <v/>
      </c>
      <c r="D1210" s="269">
        <f>IFERROR(100*$J1210/$J$5,NA())</f>
        <v/>
      </c>
      <c r="E1210" s="32">
        <f>IFERROR(IF(AND(ISNUMBER($A1210),N(IF(AND(AH!$U$12=1,1205+1=AH!$U$6),IF(AH!$U$4=0,"unavailable",INDEX('Market Data'!$AN$5:$AN$66,AH!$U$4)),IF(AH!$U$5=1,INDEX('Live History'!$B$5:$B$3004,$K1210),INDEX('AH History'!$D$5:$GG$1380,$K1210,AH!$U$10))))&gt;0),IF(AND(AH!$U$12=1,1205+1=AH!$U$6),IF(AH!$U$4=0,"unavailable",INDEX('Market Data'!$AN$5:$AN$66,AH!$U$4)),IF(AH!$U$5=1,INDEX('Live History'!$B$5:$B$3004,$K1210),INDEX('AH History'!$D$5:$GG$1380,$K1210,AH!$U$10))),NA()),NA())</f>
        <v/>
      </c>
      <c r="F1210" s="32">
        <f>IFERROR(IF(ISNUMBER($A1210),IF(AND(AH!$U$12=1,1205+1=AH!$U$6),IF(AH!$U$4=0,"unavailable",INDEX('Market Data'!$AO$5:$AO$66,AH!$U$4)),IF(AH!$U$5=1,INDEX('Live History'!$E$5:$E$3004,MATCH($A1210,'Live History'!$D$5:$D$3004,1)),INDEX('AH History'!$D$5:$GG$1380,$K1210,AH!$U$10+1))),NA()),NA())</f>
        <v/>
      </c>
      <c r="G1210" s="34">
        <f>IFERROR(IF(ISNUMBER($A1210),IF(AND(AH!$U$12=1,1205+1=AH!$U$6),IF(AH!$U$4=0,"unavailable",INDEX('Market Data'!$AK$5:$AK$66,AH!$U$4)),IF(AH!$U$5=1,INDEX('Live History'!$D$5:$D$3004,MATCH($A1210,'Live History'!$D$5:$D$3004,1)),INDEX('AH History'!$D$5:$GG$1380,$K1210,AH!$U$10+2))),NA()),NA())</f>
        <v/>
      </c>
      <c r="H1210" s="266">
        <f>IFERROR(IF(ISNUMBER($A1210),IF(AND(AH!$U$12=1,1205+1=AH!$U$6),IF(AH!$U$4=0,"unavailable",INDEX('Market Data'!$AP$5:$AP$66,AH!$U$4)),IF(AH!$U$5=1,INDEX('Live History'!$H$5:$H$3004,MATCH($A1210,'Live History'!$G$5:$G$3004,1)),INDEX('AH History'!$B$5:$B$1380,$K1210))),NA()),NA())</f>
        <v/>
      </c>
      <c r="I1210" s="34">
        <f>IFERROR(IF(ISNUMBER($A1210),IF(AND(AH!$U$12=1,1205+1=AH!$U$6),TODAY(),IF(AH!$U$5=1,INDEX('Live History'!$G$5:$G$3004,MATCH($A1210,'Live History'!$G$5:$G$3004,1)),INDEX('AH History'!$C$5:$C$1380,$K1210))),NA()),NA())</f>
        <v/>
      </c>
      <c r="J1210" s="32">
        <f>IFERROR(IF(AND($F1210&gt;0,$H1210&gt;0,$A1210-$G1210&lt;=10,$A1210-$I1210&lt;=5,$G1210&gt;0,$I1210&gt;0),$F1210*$H1210,NA()),NA())</f>
        <v/>
      </c>
      <c r="K1210" s="15">
        <f>IF($A1210="","",IF(AH!$U$5=1,IFERROR(MATCH($A1210,'Live History'!$A$5:$A$3004,0),0),AH!$U$7+1205))</f>
        <v/>
      </c>
      <c r="L1210" s="15">
        <f>IF(ISNUMBER(A1210),TEXT(A1210,"dd-mmm-yy"),"")</f>
        <v/>
      </c>
    </row>
    <row r="1211">
      <c r="A1211" s="14">
        <f>IF(OR(AH!$U$4=0,1206+1&gt;AH!$U$6,AND(AH!$M$5="Bloomberg",AH!$U$5=0)),"",IFERROR(IF(AND(AH!$U$12=1,1206+1=AH!$U$6),TODAY(),IF(AH!$U$5=1,INDEX('Live History'!$A$5:$A$3004,AH!$U$7+1206),INDEX('AH History'!$A$5:$A$1380,AH!$U$7+1206))),""))</f>
        <v/>
      </c>
      <c r="B1211" s="33">
        <f>IFERROR(IF(AH!$U$11=1,NA(),$J1211/$E1211-1),NA())</f>
        <v/>
      </c>
      <c r="C1211" s="269">
        <f>IFERROR(100*$E1211/$E$5,NA())</f>
        <v/>
      </c>
      <c r="D1211" s="269">
        <f>IFERROR(100*$J1211/$J$5,NA())</f>
        <v/>
      </c>
      <c r="E1211" s="32">
        <f>IFERROR(IF(AND(ISNUMBER($A1211),N(IF(AND(AH!$U$12=1,1206+1=AH!$U$6),IF(AH!$U$4=0,"unavailable",INDEX('Market Data'!$AN$5:$AN$66,AH!$U$4)),IF(AH!$U$5=1,INDEX('Live History'!$B$5:$B$3004,$K1211),INDEX('AH History'!$D$5:$GG$1380,$K1211,AH!$U$10))))&gt;0),IF(AND(AH!$U$12=1,1206+1=AH!$U$6),IF(AH!$U$4=0,"unavailable",INDEX('Market Data'!$AN$5:$AN$66,AH!$U$4)),IF(AH!$U$5=1,INDEX('Live History'!$B$5:$B$3004,$K1211),INDEX('AH History'!$D$5:$GG$1380,$K1211,AH!$U$10))),NA()),NA())</f>
        <v/>
      </c>
      <c r="F1211" s="32">
        <f>IFERROR(IF(ISNUMBER($A1211),IF(AND(AH!$U$12=1,1206+1=AH!$U$6),IF(AH!$U$4=0,"unavailable",INDEX('Market Data'!$AO$5:$AO$66,AH!$U$4)),IF(AH!$U$5=1,INDEX('Live History'!$E$5:$E$3004,MATCH($A1211,'Live History'!$D$5:$D$3004,1)),INDEX('AH History'!$D$5:$GG$1380,$K1211,AH!$U$10+1))),NA()),NA())</f>
        <v/>
      </c>
      <c r="G1211" s="34">
        <f>IFERROR(IF(ISNUMBER($A1211),IF(AND(AH!$U$12=1,1206+1=AH!$U$6),IF(AH!$U$4=0,"unavailable",INDEX('Market Data'!$AK$5:$AK$66,AH!$U$4)),IF(AH!$U$5=1,INDEX('Live History'!$D$5:$D$3004,MATCH($A1211,'Live History'!$D$5:$D$3004,1)),INDEX('AH History'!$D$5:$GG$1380,$K1211,AH!$U$10+2))),NA()),NA())</f>
        <v/>
      </c>
      <c r="H1211" s="266">
        <f>IFERROR(IF(ISNUMBER($A1211),IF(AND(AH!$U$12=1,1206+1=AH!$U$6),IF(AH!$U$4=0,"unavailable",INDEX('Market Data'!$AP$5:$AP$66,AH!$U$4)),IF(AH!$U$5=1,INDEX('Live History'!$H$5:$H$3004,MATCH($A1211,'Live History'!$G$5:$G$3004,1)),INDEX('AH History'!$B$5:$B$1380,$K1211))),NA()),NA())</f>
        <v/>
      </c>
      <c r="I1211" s="34">
        <f>IFERROR(IF(ISNUMBER($A1211),IF(AND(AH!$U$12=1,1206+1=AH!$U$6),TODAY(),IF(AH!$U$5=1,INDEX('Live History'!$G$5:$G$3004,MATCH($A1211,'Live History'!$G$5:$G$3004,1)),INDEX('AH History'!$C$5:$C$1380,$K1211))),NA()),NA())</f>
        <v/>
      </c>
      <c r="J1211" s="32">
        <f>IFERROR(IF(AND($F1211&gt;0,$H1211&gt;0,$A1211-$G1211&lt;=10,$A1211-$I1211&lt;=5,$G1211&gt;0,$I1211&gt;0),$F1211*$H1211,NA()),NA())</f>
        <v/>
      </c>
      <c r="K1211" s="15">
        <f>IF($A1211="","",IF(AH!$U$5=1,IFERROR(MATCH($A1211,'Live History'!$A$5:$A$3004,0),0),AH!$U$7+1206))</f>
        <v/>
      </c>
      <c r="L1211" s="15">
        <f>IF(ISNUMBER(A1211),TEXT(A1211,"dd-mmm-yy"),"")</f>
        <v/>
      </c>
    </row>
    <row r="1212">
      <c r="A1212" s="14">
        <f>IF(OR(AH!$U$4=0,1207+1&gt;AH!$U$6,AND(AH!$M$5="Bloomberg",AH!$U$5=0)),"",IFERROR(IF(AND(AH!$U$12=1,1207+1=AH!$U$6),TODAY(),IF(AH!$U$5=1,INDEX('Live History'!$A$5:$A$3004,AH!$U$7+1207),INDEX('AH History'!$A$5:$A$1380,AH!$U$7+1207))),""))</f>
        <v/>
      </c>
      <c r="B1212" s="33">
        <f>IFERROR(IF(AH!$U$11=1,NA(),$J1212/$E1212-1),NA())</f>
        <v/>
      </c>
      <c r="C1212" s="269">
        <f>IFERROR(100*$E1212/$E$5,NA())</f>
        <v/>
      </c>
      <c r="D1212" s="269">
        <f>IFERROR(100*$J1212/$J$5,NA())</f>
        <v/>
      </c>
      <c r="E1212" s="32">
        <f>IFERROR(IF(AND(ISNUMBER($A1212),N(IF(AND(AH!$U$12=1,1207+1=AH!$U$6),IF(AH!$U$4=0,"unavailable",INDEX('Market Data'!$AN$5:$AN$66,AH!$U$4)),IF(AH!$U$5=1,INDEX('Live History'!$B$5:$B$3004,$K1212),INDEX('AH History'!$D$5:$GG$1380,$K1212,AH!$U$10))))&gt;0),IF(AND(AH!$U$12=1,1207+1=AH!$U$6),IF(AH!$U$4=0,"unavailable",INDEX('Market Data'!$AN$5:$AN$66,AH!$U$4)),IF(AH!$U$5=1,INDEX('Live History'!$B$5:$B$3004,$K1212),INDEX('AH History'!$D$5:$GG$1380,$K1212,AH!$U$10))),NA()),NA())</f>
        <v/>
      </c>
      <c r="F1212" s="32">
        <f>IFERROR(IF(ISNUMBER($A1212),IF(AND(AH!$U$12=1,1207+1=AH!$U$6),IF(AH!$U$4=0,"unavailable",INDEX('Market Data'!$AO$5:$AO$66,AH!$U$4)),IF(AH!$U$5=1,INDEX('Live History'!$E$5:$E$3004,MATCH($A1212,'Live History'!$D$5:$D$3004,1)),INDEX('AH History'!$D$5:$GG$1380,$K1212,AH!$U$10+1))),NA()),NA())</f>
        <v/>
      </c>
      <c r="G1212" s="34">
        <f>IFERROR(IF(ISNUMBER($A1212),IF(AND(AH!$U$12=1,1207+1=AH!$U$6),IF(AH!$U$4=0,"unavailable",INDEX('Market Data'!$AK$5:$AK$66,AH!$U$4)),IF(AH!$U$5=1,INDEX('Live History'!$D$5:$D$3004,MATCH($A1212,'Live History'!$D$5:$D$3004,1)),INDEX('AH History'!$D$5:$GG$1380,$K1212,AH!$U$10+2))),NA()),NA())</f>
        <v/>
      </c>
      <c r="H1212" s="266">
        <f>IFERROR(IF(ISNUMBER($A1212),IF(AND(AH!$U$12=1,1207+1=AH!$U$6),IF(AH!$U$4=0,"unavailable",INDEX('Market Data'!$AP$5:$AP$66,AH!$U$4)),IF(AH!$U$5=1,INDEX('Live History'!$H$5:$H$3004,MATCH($A1212,'Live History'!$G$5:$G$3004,1)),INDEX('AH History'!$B$5:$B$1380,$K1212))),NA()),NA())</f>
        <v/>
      </c>
      <c r="I1212" s="34">
        <f>IFERROR(IF(ISNUMBER($A1212),IF(AND(AH!$U$12=1,1207+1=AH!$U$6),TODAY(),IF(AH!$U$5=1,INDEX('Live History'!$G$5:$G$3004,MATCH($A1212,'Live History'!$G$5:$G$3004,1)),INDEX('AH History'!$C$5:$C$1380,$K1212))),NA()),NA())</f>
        <v/>
      </c>
      <c r="J1212" s="32">
        <f>IFERROR(IF(AND($F1212&gt;0,$H1212&gt;0,$A1212-$G1212&lt;=10,$A1212-$I1212&lt;=5,$G1212&gt;0,$I1212&gt;0),$F1212*$H1212,NA()),NA())</f>
        <v/>
      </c>
      <c r="K1212" s="15">
        <f>IF($A1212="","",IF(AH!$U$5=1,IFERROR(MATCH($A1212,'Live History'!$A$5:$A$3004,0),0),AH!$U$7+1207))</f>
        <v/>
      </c>
      <c r="L1212" s="15">
        <f>IF(ISNUMBER(A1212),TEXT(A1212,"dd-mmm-yy"),"")</f>
        <v/>
      </c>
    </row>
    <row r="1213">
      <c r="A1213" s="14">
        <f>IF(OR(AH!$U$4=0,1208+1&gt;AH!$U$6,AND(AH!$M$5="Bloomberg",AH!$U$5=0)),"",IFERROR(IF(AND(AH!$U$12=1,1208+1=AH!$U$6),TODAY(),IF(AH!$U$5=1,INDEX('Live History'!$A$5:$A$3004,AH!$U$7+1208),INDEX('AH History'!$A$5:$A$1380,AH!$U$7+1208))),""))</f>
        <v/>
      </c>
      <c r="B1213" s="33">
        <f>IFERROR(IF(AH!$U$11=1,NA(),$J1213/$E1213-1),NA())</f>
        <v/>
      </c>
      <c r="C1213" s="269">
        <f>IFERROR(100*$E1213/$E$5,NA())</f>
        <v/>
      </c>
      <c r="D1213" s="269">
        <f>IFERROR(100*$J1213/$J$5,NA())</f>
        <v/>
      </c>
      <c r="E1213" s="32">
        <f>IFERROR(IF(AND(ISNUMBER($A1213),N(IF(AND(AH!$U$12=1,1208+1=AH!$U$6),IF(AH!$U$4=0,"unavailable",INDEX('Market Data'!$AN$5:$AN$66,AH!$U$4)),IF(AH!$U$5=1,INDEX('Live History'!$B$5:$B$3004,$K1213),INDEX('AH History'!$D$5:$GG$1380,$K1213,AH!$U$10))))&gt;0),IF(AND(AH!$U$12=1,1208+1=AH!$U$6),IF(AH!$U$4=0,"unavailable",INDEX('Market Data'!$AN$5:$AN$66,AH!$U$4)),IF(AH!$U$5=1,INDEX('Live History'!$B$5:$B$3004,$K1213),INDEX('AH History'!$D$5:$GG$1380,$K1213,AH!$U$10))),NA()),NA())</f>
        <v/>
      </c>
      <c r="F1213" s="32">
        <f>IFERROR(IF(ISNUMBER($A1213),IF(AND(AH!$U$12=1,1208+1=AH!$U$6),IF(AH!$U$4=0,"unavailable",INDEX('Market Data'!$AO$5:$AO$66,AH!$U$4)),IF(AH!$U$5=1,INDEX('Live History'!$E$5:$E$3004,MATCH($A1213,'Live History'!$D$5:$D$3004,1)),INDEX('AH History'!$D$5:$GG$1380,$K1213,AH!$U$10+1))),NA()),NA())</f>
        <v/>
      </c>
      <c r="G1213" s="34">
        <f>IFERROR(IF(ISNUMBER($A1213),IF(AND(AH!$U$12=1,1208+1=AH!$U$6),IF(AH!$U$4=0,"unavailable",INDEX('Market Data'!$AK$5:$AK$66,AH!$U$4)),IF(AH!$U$5=1,INDEX('Live History'!$D$5:$D$3004,MATCH($A1213,'Live History'!$D$5:$D$3004,1)),INDEX('AH History'!$D$5:$GG$1380,$K1213,AH!$U$10+2))),NA()),NA())</f>
        <v/>
      </c>
      <c r="H1213" s="266">
        <f>IFERROR(IF(ISNUMBER($A1213),IF(AND(AH!$U$12=1,1208+1=AH!$U$6),IF(AH!$U$4=0,"unavailable",INDEX('Market Data'!$AP$5:$AP$66,AH!$U$4)),IF(AH!$U$5=1,INDEX('Live History'!$H$5:$H$3004,MATCH($A1213,'Live History'!$G$5:$G$3004,1)),INDEX('AH History'!$B$5:$B$1380,$K1213))),NA()),NA())</f>
        <v/>
      </c>
      <c r="I1213" s="34">
        <f>IFERROR(IF(ISNUMBER($A1213),IF(AND(AH!$U$12=1,1208+1=AH!$U$6),TODAY(),IF(AH!$U$5=1,INDEX('Live History'!$G$5:$G$3004,MATCH($A1213,'Live History'!$G$5:$G$3004,1)),INDEX('AH History'!$C$5:$C$1380,$K1213))),NA()),NA())</f>
        <v/>
      </c>
      <c r="J1213" s="32">
        <f>IFERROR(IF(AND($F1213&gt;0,$H1213&gt;0,$A1213-$G1213&lt;=10,$A1213-$I1213&lt;=5,$G1213&gt;0,$I1213&gt;0),$F1213*$H1213,NA()),NA())</f>
        <v/>
      </c>
      <c r="K1213" s="15">
        <f>IF($A1213="","",IF(AH!$U$5=1,IFERROR(MATCH($A1213,'Live History'!$A$5:$A$3004,0),0),AH!$U$7+1208))</f>
        <v/>
      </c>
      <c r="L1213" s="15">
        <f>IF(ISNUMBER(A1213),TEXT(A1213,"dd-mmm-yy"),"")</f>
        <v/>
      </c>
    </row>
    <row r="1214">
      <c r="A1214" s="14">
        <f>IF(OR(AH!$U$4=0,1209+1&gt;AH!$U$6,AND(AH!$M$5="Bloomberg",AH!$U$5=0)),"",IFERROR(IF(AND(AH!$U$12=1,1209+1=AH!$U$6),TODAY(),IF(AH!$U$5=1,INDEX('Live History'!$A$5:$A$3004,AH!$U$7+1209),INDEX('AH History'!$A$5:$A$1380,AH!$U$7+1209))),""))</f>
        <v/>
      </c>
      <c r="B1214" s="33">
        <f>IFERROR(IF(AH!$U$11=1,NA(),$J1214/$E1214-1),NA())</f>
        <v/>
      </c>
      <c r="C1214" s="269">
        <f>IFERROR(100*$E1214/$E$5,NA())</f>
        <v/>
      </c>
      <c r="D1214" s="269">
        <f>IFERROR(100*$J1214/$J$5,NA())</f>
        <v/>
      </c>
      <c r="E1214" s="32">
        <f>IFERROR(IF(AND(ISNUMBER($A1214),N(IF(AND(AH!$U$12=1,1209+1=AH!$U$6),IF(AH!$U$4=0,"unavailable",INDEX('Market Data'!$AN$5:$AN$66,AH!$U$4)),IF(AH!$U$5=1,INDEX('Live History'!$B$5:$B$3004,$K1214),INDEX('AH History'!$D$5:$GG$1380,$K1214,AH!$U$10))))&gt;0),IF(AND(AH!$U$12=1,1209+1=AH!$U$6),IF(AH!$U$4=0,"unavailable",INDEX('Market Data'!$AN$5:$AN$66,AH!$U$4)),IF(AH!$U$5=1,INDEX('Live History'!$B$5:$B$3004,$K1214),INDEX('AH History'!$D$5:$GG$1380,$K1214,AH!$U$10))),NA()),NA())</f>
        <v/>
      </c>
      <c r="F1214" s="32">
        <f>IFERROR(IF(ISNUMBER($A1214),IF(AND(AH!$U$12=1,1209+1=AH!$U$6),IF(AH!$U$4=0,"unavailable",INDEX('Market Data'!$AO$5:$AO$66,AH!$U$4)),IF(AH!$U$5=1,INDEX('Live History'!$E$5:$E$3004,MATCH($A1214,'Live History'!$D$5:$D$3004,1)),INDEX('AH History'!$D$5:$GG$1380,$K1214,AH!$U$10+1))),NA()),NA())</f>
        <v/>
      </c>
      <c r="G1214" s="34">
        <f>IFERROR(IF(ISNUMBER($A1214),IF(AND(AH!$U$12=1,1209+1=AH!$U$6),IF(AH!$U$4=0,"unavailable",INDEX('Market Data'!$AK$5:$AK$66,AH!$U$4)),IF(AH!$U$5=1,INDEX('Live History'!$D$5:$D$3004,MATCH($A1214,'Live History'!$D$5:$D$3004,1)),INDEX('AH History'!$D$5:$GG$1380,$K1214,AH!$U$10+2))),NA()),NA())</f>
        <v/>
      </c>
      <c r="H1214" s="266">
        <f>IFERROR(IF(ISNUMBER($A1214),IF(AND(AH!$U$12=1,1209+1=AH!$U$6),IF(AH!$U$4=0,"unavailable",INDEX('Market Data'!$AP$5:$AP$66,AH!$U$4)),IF(AH!$U$5=1,INDEX('Live History'!$H$5:$H$3004,MATCH($A1214,'Live History'!$G$5:$G$3004,1)),INDEX('AH History'!$B$5:$B$1380,$K1214))),NA()),NA())</f>
        <v/>
      </c>
      <c r="I1214" s="34">
        <f>IFERROR(IF(ISNUMBER($A1214),IF(AND(AH!$U$12=1,1209+1=AH!$U$6),TODAY(),IF(AH!$U$5=1,INDEX('Live History'!$G$5:$G$3004,MATCH($A1214,'Live History'!$G$5:$G$3004,1)),INDEX('AH History'!$C$5:$C$1380,$K1214))),NA()),NA())</f>
        <v/>
      </c>
      <c r="J1214" s="32">
        <f>IFERROR(IF(AND($F1214&gt;0,$H1214&gt;0,$A1214-$G1214&lt;=10,$A1214-$I1214&lt;=5,$G1214&gt;0,$I1214&gt;0),$F1214*$H1214,NA()),NA())</f>
        <v/>
      </c>
      <c r="K1214" s="15">
        <f>IF($A1214="","",IF(AH!$U$5=1,IFERROR(MATCH($A1214,'Live History'!$A$5:$A$3004,0),0),AH!$U$7+1209))</f>
        <v/>
      </c>
      <c r="L1214" s="15">
        <f>IF(ISNUMBER(A1214),TEXT(A1214,"dd-mmm-yy"),"")</f>
        <v/>
      </c>
    </row>
    <row r="1215">
      <c r="A1215" s="14">
        <f>IF(OR(AH!$U$4=0,1210+1&gt;AH!$U$6,AND(AH!$M$5="Bloomberg",AH!$U$5=0)),"",IFERROR(IF(AND(AH!$U$12=1,1210+1=AH!$U$6),TODAY(),IF(AH!$U$5=1,INDEX('Live History'!$A$5:$A$3004,AH!$U$7+1210),INDEX('AH History'!$A$5:$A$1380,AH!$U$7+1210))),""))</f>
        <v/>
      </c>
      <c r="B1215" s="33">
        <f>IFERROR(IF(AH!$U$11=1,NA(),$J1215/$E1215-1),NA())</f>
        <v/>
      </c>
      <c r="C1215" s="269">
        <f>IFERROR(100*$E1215/$E$5,NA())</f>
        <v/>
      </c>
      <c r="D1215" s="269">
        <f>IFERROR(100*$J1215/$J$5,NA())</f>
        <v/>
      </c>
      <c r="E1215" s="32">
        <f>IFERROR(IF(AND(ISNUMBER($A1215),N(IF(AND(AH!$U$12=1,1210+1=AH!$U$6),IF(AH!$U$4=0,"unavailable",INDEX('Market Data'!$AN$5:$AN$66,AH!$U$4)),IF(AH!$U$5=1,INDEX('Live History'!$B$5:$B$3004,$K1215),INDEX('AH History'!$D$5:$GG$1380,$K1215,AH!$U$10))))&gt;0),IF(AND(AH!$U$12=1,1210+1=AH!$U$6),IF(AH!$U$4=0,"unavailable",INDEX('Market Data'!$AN$5:$AN$66,AH!$U$4)),IF(AH!$U$5=1,INDEX('Live History'!$B$5:$B$3004,$K1215),INDEX('AH History'!$D$5:$GG$1380,$K1215,AH!$U$10))),NA()),NA())</f>
        <v/>
      </c>
      <c r="F1215" s="32">
        <f>IFERROR(IF(ISNUMBER($A1215),IF(AND(AH!$U$12=1,1210+1=AH!$U$6),IF(AH!$U$4=0,"unavailable",INDEX('Market Data'!$AO$5:$AO$66,AH!$U$4)),IF(AH!$U$5=1,INDEX('Live History'!$E$5:$E$3004,MATCH($A1215,'Live History'!$D$5:$D$3004,1)),INDEX('AH History'!$D$5:$GG$1380,$K1215,AH!$U$10+1))),NA()),NA())</f>
        <v/>
      </c>
      <c r="G1215" s="34">
        <f>IFERROR(IF(ISNUMBER($A1215),IF(AND(AH!$U$12=1,1210+1=AH!$U$6),IF(AH!$U$4=0,"unavailable",INDEX('Market Data'!$AK$5:$AK$66,AH!$U$4)),IF(AH!$U$5=1,INDEX('Live History'!$D$5:$D$3004,MATCH($A1215,'Live History'!$D$5:$D$3004,1)),INDEX('AH History'!$D$5:$GG$1380,$K1215,AH!$U$10+2))),NA()),NA())</f>
        <v/>
      </c>
      <c r="H1215" s="266">
        <f>IFERROR(IF(ISNUMBER($A1215),IF(AND(AH!$U$12=1,1210+1=AH!$U$6),IF(AH!$U$4=0,"unavailable",INDEX('Market Data'!$AP$5:$AP$66,AH!$U$4)),IF(AH!$U$5=1,INDEX('Live History'!$H$5:$H$3004,MATCH($A1215,'Live History'!$G$5:$G$3004,1)),INDEX('AH History'!$B$5:$B$1380,$K1215))),NA()),NA())</f>
        <v/>
      </c>
      <c r="I1215" s="34">
        <f>IFERROR(IF(ISNUMBER($A1215),IF(AND(AH!$U$12=1,1210+1=AH!$U$6),TODAY(),IF(AH!$U$5=1,INDEX('Live History'!$G$5:$G$3004,MATCH($A1215,'Live History'!$G$5:$G$3004,1)),INDEX('AH History'!$C$5:$C$1380,$K1215))),NA()),NA())</f>
        <v/>
      </c>
      <c r="J1215" s="32">
        <f>IFERROR(IF(AND($F1215&gt;0,$H1215&gt;0,$A1215-$G1215&lt;=10,$A1215-$I1215&lt;=5,$G1215&gt;0,$I1215&gt;0),$F1215*$H1215,NA()),NA())</f>
        <v/>
      </c>
      <c r="K1215" s="15">
        <f>IF($A1215="","",IF(AH!$U$5=1,IFERROR(MATCH($A1215,'Live History'!$A$5:$A$3004,0),0),AH!$U$7+1210))</f>
        <v/>
      </c>
      <c r="L1215" s="15">
        <f>IF(ISNUMBER(A1215),TEXT(A1215,"dd-mmm-yy"),"")</f>
        <v/>
      </c>
    </row>
    <row r="1216">
      <c r="A1216" s="14">
        <f>IF(OR(AH!$U$4=0,1211+1&gt;AH!$U$6,AND(AH!$M$5="Bloomberg",AH!$U$5=0)),"",IFERROR(IF(AND(AH!$U$12=1,1211+1=AH!$U$6),TODAY(),IF(AH!$U$5=1,INDEX('Live History'!$A$5:$A$3004,AH!$U$7+1211),INDEX('AH History'!$A$5:$A$1380,AH!$U$7+1211))),""))</f>
        <v/>
      </c>
      <c r="B1216" s="33">
        <f>IFERROR(IF(AH!$U$11=1,NA(),$J1216/$E1216-1),NA())</f>
        <v/>
      </c>
      <c r="C1216" s="269">
        <f>IFERROR(100*$E1216/$E$5,NA())</f>
        <v/>
      </c>
      <c r="D1216" s="269">
        <f>IFERROR(100*$J1216/$J$5,NA())</f>
        <v/>
      </c>
      <c r="E1216" s="32">
        <f>IFERROR(IF(AND(ISNUMBER($A1216),N(IF(AND(AH!$U$12=1,1211+1=AH!$U$6),IF(AH!$U$4=0,"unavailable",INDEX('Market Data'!$AN$5:$AN$66,AH!$U$4)),IF(AH!$U$5=1,INDEX('Live History'!$B$5:$B$3004,$K1216),INDEX('AH History'!$D$5:$GG$1380,$K1216,AH!$U$10))))&gt;0),IF(AND(AH!$U$12=1,1211+1=AH!$U$6),IF(AH!$U$4=0,"unavailable",INDEX('Market Data'!$AN$5:$AN$66,AH!$U$4)),IF(AH!$U$5=1,INDEX('Live History'!$B$5:$B$3004,$K1216),INDEX('AH History'!$D$5:$GG$1380,$K1216,AH!$U$10))),NA()),NA())</f>
        <v/>
      </c>
      <c r="F1216" s="32">
        <f>IFERROR(IF(ISNUMBER($A1216),IF(AND(AH!$U$12=1,1211+1=AH!$U$6),IF(AH!$U$4=0,"unavailable",INDEX('Market Data'!$AO$5:$AO$66,AH!$U$4)),IF(AH!$U$5=1,INDEX('Live History'!$E$5:$E$3004,MATCH($A1216,'Live History'!$D$5:$D$3004,1)),INDEX('AH History'!$D$5:$GG$1380,$K1216,AH!$U$10+1))),NA()),NA())</f>
        <v/>
      </c>
      <c r="G1216" s="34">
        <f>IFERROR(IF(ISNUMBER($A1216),IF(AND(AH!$U$12=1,1211+1=AH!$U$6),IF(AH!$U$4=0,"unavailable",INDEX('Market Data'!$AK$5:$AK$66,AH!$U$4)),IF(AH!$U$5=1,INDEX('Live History'!$D$5:$D$3004,MATCH($A1216,'Live History'!$D$5:$D$3004,1)),INDEX('AH History'!$D$5:$GG$1380,$K1216,AH!$U$10+2))),NA()),NA())</f>
        <v/>
      </c>
      <c r="H1216" s="266">
        <f>IFERROR(IF(ISNUMBER($A1216),IF(AND(AH!$U$12=1,1211+1=AH!$U$6),IF(AH!$U$4=0,"unavailable",INDEX('Market Data'!$AP$5:$AP$66,AH!$U$4)),IF(AH!$U$5=1,INDEX('Live History'!$H$5:$H$3004,MATCH($A1216,'Live History'!$G$5:$G$3004,1)),INDEX('AH History'!$B$5:$B$1380,$K1216))),NA()),NA())</f>
        <v/>
      </c>
      <c r="I1216" s="34">
        <f>IFERROR(IF(ISNUMBER($A1216),IF(AND(AH!$U$12=1,1211+1=AH!$U$6),TODAY(),IF(AH!$U$5=1,INDEX('Live History'!$G$5:$G$3004,MATCH($A1216,'Live History'!$G$5:$G$3004,1)),INDEX('AH History'!$C$5:$C$1380,$K1216))),NA()),NA())</f>
        <v/>
      </c>
      <c r="J1216" s="32">
        <f>IFERROR(IF(AND($F1216&gt;0,$H1216&gt;0,$A1216-$G1216&lt;=10,$A1216-$I1216&lt;=5,$G1216&gt;0,$I1216&gt;0),$F1216*$H1216,NA()),NA())</f>
        <v/>
      </c>
      <c r="K1216" s="15">
        <f>IF($A1216="","",IF(AH!$U$5=1,IFERROR(MATCH($A1216,'Live History'!$A$5:$A$3004,0),0),AH!$U$7+1211))</f>
        <v/>
      </c>
      <c r="L1216" s="15">
        <f>IF(ISNUMBER(A1216),TEXT(A1216,"dd-mmm-yy"),"")</f>
        <v/>
      </c>
    </row>
    <row r="1217">
      <c r="A1217" s="14">
        <f>IF(OR(AH!$U$4=0,1212+1&gt;AH!$U$6,AND(AH!$M$5="Bloomberg",AH!$U$5=0)),"",IFERROR(IF(AND(AH!$U$12=1,1212+1=AH!$U$6),TODAY(),IF(AH!$U$5=1,INDEX('Live History'!$A$5:$A$3004,AH!$U$7+1212),INDEX('AH History'!$A$5:$A$1380,AH!$U$7+1212))),""))</f>
        <v/>
      </c>
      <c r="B1217" s="33">
        <f>IFERROR(IF(AH!$U$11=1,NA(),$J1217/$E1217-1),NA())</f>
        <v/>
      </c>
      <c r="C1217" s="269">
        <f>IFERROR(100*$E1217/$E$5,NA())</f>
        <v/>
      </c>
      <c r="D1217" s="269">
        <f>IFERROR(100*$J1217/$J$5,NA())</f>
        <v/>
      </c>
      <c r="E1217" s="32">
        <f>IFERROR(IF(AND(ISNUMBER($A1217),N(IF(AND(AH!$U$12=1,1212+1=AH!$U$6),IF(AH!$U$4=0,"unavailable",INDEX('Market Data'!$AN$5:$AN$66,AH!$U$4)),IF(AH!$U$5=1,INDEX('Live History'!$B$5:$B$3004,$K1217),INDEX('AH History'!$D$5:$GG$1380,$K1217,AH!$U$10))))&gt;0),IF(AND(AH!$U$12=1,1212+1=AH!$U$6),IF(AH!$U$4=0,"unavailable",INDEX('Market Data'!$AN$5:$AN$66,AH!$U$4)),IF(AH!$U$5=1,INDEX('Live History'!$B$5:$B$3004,$K1217),INDEX('AH History'!$D$5:$GG$1380,$K1217,AH!$U$10))),NA()),NA())</f>
        <v/>
      </c>
      <c r="F1217" s="32">
        <f>IFERROR(IF(ISNUMBER($A1217),IF(AND(AH!$U$12=1,1212+1=AH!$U$6),IF(AH!$U$4=0,"unavailable",INDEX('Market Data'!$AO$5:$AO$66,AH!$U$4)),IF(AH!$U$5=1,INDEX('Live History'!$E$5:$E$3004,MATCH($A1217,'Live History'!$D$5:$D$3004,1)),INDEX('AH History'!$D$5:$GG$1380,$K1217,AH!$U$10+1))),NA()),NA())</f>
        <v/>
      </c>
      <c r="G1217" s="34">
        <f>IFERROR(IF(ISNUMBER($A1217),IF(AND(AH!$U$12=1,1212+1=AH!$U$6),IF(AH!$U$4=0,"unavailable",INDEX('Market Data'!$AK$5:$AK$66,AH!$U$4)),IF(AH!$U$5=1,INDEX('Live History'!$D$5:$D$3004,MATCH($A1217,'Live History'!$D$5:$D$3004,1)),INDEX('AH History'!$D$5:$GG$1380,$K1217,AH!$U$10+2))),NA()),NA())</f>
        <v/>
      </c>
      <c r="H1217" s="266">
        <f>IFERROR(IF(ISNUMBER($A1217),IF(AND(AH!$U$12=1,1212+1=AH!$U$6),IF(AH!$U$4=0,"unavailable",INDEX('Market Data'!$AP$5:$AP$66,AH!$U$4)),IF(AH!$U$5=1,INDEX('Live History'!$H$5:$H$3004,MATCH($A1217,'Live History'!$G$5:$G$3004,1)),INDEX('AH History'!$B$5:$B$1380,$K1217))),NA()),NA())</f>
        <v/>
      </c>
      <c r="I1217" s="34">
        <f>IFERROR(IF(ISNUMBER($A1217),IF(AND(AH!$U$12=1,1212+1=AH!$U$6),TODAY(),IF(AH!$U$5=1,INDEX('Live History'!$G$5:$G$3004,MATCH($A1217,'Live History'!$G$5:$G$3004,1)),INDEX('AH History'!$C$5:$C$1380,$K1217))),NA()),NA())</f>
        <v/>
      </c>
      <c r="J1217" s="32">
        <f>IFERROR(IF(AND($F1217&gt;0,$H1217&gt;0,$A1217-$G1217&lt;=10,$A1217-$I1217&lt;=5,$G1217&gt;0,$I1217&gt;0),$F1217*$H1217,NA()),NA())</f>
        <v/>
      </c>
      <c r="K1217" s="15">
        <f>IF($A1217="","",IF(AH!$U$5=1,IFERROR(MATCH($A1217,'Live History'!$A$5:$A$3004,0),0),AH!$U$7+1212))</f>
        <v/>
      </c>
      <c r="L1217" s="15">
        <f>IF(ISNUMBER(A1217),TEXT(A1217,"dd-mmm-yy"),"")</f>
        <v/>
      </c>
    </row>
    <row r="1218">
      <c r="A1218" s="14">
        <f>IF(OR(AH!$U$4=0,1213+1&gt;AH!$U$6,AND(AH!$M$5="Bloomberg",AH!$U$5=0)),"",IFERROR(IF(AND(AH!$U$12=1,1213+1=AH!$U$6),TODAY(),IF(AH!$U$5=1,INDEX('Live History'!$A$5:$A$3004,AH!$U$7+1213),INDEX('AH History'!$A$5:$A$1380,AH!$U$7+1213))),""))</f>
        <v/>
      </c>
      <c r="B1218" s="33">
        <f>IFERROR(IF(AH!$U$11=1,NA(),$J1218/$E1218-1),NA())</f>
        <v/>
      </c>
      <c r="C1218" s="269">
        <f>IFERROR(100*$E1218/$E$5,NA())</f>
        <v/>
      </c>
      <c r="D1218" s="269">
        <f>IFERROR(100*$J1218/$J$5,NA())</f>
        <v/>
      </c>
      <c r="E1218" s="32">
        <f>IFERROR(IF(AND(ISNUMBER($A1218),N(IF(AND(AH!$U$12=1,1213+1=AH!$U$6),IF(AH!$U$4=0,"unavailable",INDEX('Market Data'!$AN$5:$AN$66,AH!$U$4)),IF(AH!$U$5=1,INDEX('Live History'!$B$5:$B$3004,$K1218),INDEX('AH History'!$D$5:$GG$1380,$K1218,AH!$U$10))))&gt;0),IF(AND(AH!$U$12=1,1213+1=AH!$U$6),IF(AH!$U$4=0,"unavailable",INDEX('Market Data'!$AN$5:$AN$66,AH!$U$4)),IF(AH!$U$5=1,INDEX('Live History'!$B$5:$B$3004,$K1218),INDEX('AH History'!$D$5:$GG$1380,$K1218,AH!$U$10))),NA()),NA())</f>
        <v/>
      </c>
      <c r="F1218" s="32">
        <f>IFERROR(IF(ISNUMBER($A1218),IF(AND(AH!$U$12=1,1213+1=AH!$U$6),IF(AH!$U$4=0,"unavailable",INDEX('Market Data'!$AO$5:$AO$66,AH!$U$4)),IF(AH!$U$5=1,INDEX('Live History'!$E$5:$E$3004,MATCH($A1218,'Live History'!$D$5:$D$3004,1)),INDEX('AH History'!$D$5:$GG$1380,$K1218,AH!$U$10+1))),NA()),NA())</f>
        <v/>
      </c>
      <c r="G1218" s="34">
        <f>IFERROR(IF(ISNUMBER($A1218),IF(AND(AH!$U$12=1,1213+1=AH!$U$6),IF(AH!$U$4=0,"unavailable",INDEX('Market Data'!$AK$5:$AK$66,AH!$U$4)),IF(AH!$U$5=1,INDEX('Live History'!$D$5:$D$3004,MATCH($A1218,'Live History'!$D$5:$D$3004,1)),INDEX('AH History'!$D$5:$GG$1380,$K1218,AH!$U$10+2))),NA()),NA())</f>
        <v/>
      </c>
      <c r="H1218" s="266">
        <f>IFERROR(IF(ISNUMBER($A1218),IF(AND(AH!$U$12=1,1213+1=AH!$U$6),IF(AH!$U$4=0,"unavailable",INDEX('Market Data'!$AP$5:$AP$66,AH!$U$4)),IF(AH!$U$5=1,INDEX('Live History'!$H$5:$H$3004,MATCH($A1218,'Live History'!$G$5:$G$3004,1)),INDEX('AH History'!$B$5:$B$1380,$K1218))),NA()),NA())</f>
        <v/>
      </c>
      <c r="I1218" s="34">
        <f>IFERROR(IF(ISNUMBER($A1218),IF(AND(AH!$U$12=1,1213+1=AH!$U$6),TODAY(),IF(AH!$U$5=1,INDEX('Live History'!$G$5:$G$3004,MATCH($A1218,'Live History'!$G$5:$G$3004,1)),INDEX('AH History'!$C$5:$C$1380,$K1218))),NA()),NA())</f>
        <v/>
      </c>
      <c r="J1218" s="32">
        <f>IFERROR(IF(AND($F1218&gt;0,$H1218&gt;0,$A1218-$G1218&lt;=10,$A1218-$I1218&lt;=5,$G1218&gt;0,$I1218&gt;0),$F1218*$H1218,NA()),NA())</f>
        <v/>
      </c>
      <c r="K1218" s="15">
        <f>IF($A1218="","",IF(AH!$U$5=1,IFERROR(MATCH($A1218,'Live History'!$A$5:$A$3004,0),0),AH!$U$7+1213))</f>
        <v/>
      </c>
      <c r="L1218" s="15">
        <f>IF(ISNUMBER(A1218),TEXT(A1218,"dd-mmm-yy"),"")</f>
        <v/>
      </c>
    </row>
    <row r="1219">
      <c r="A1219" s="14">
        <f>IF(OR(AH!$U$4=0,1214+1&gt;AH!$U$6,AND(AH!$M$5="Bloomberg",AH!$U$5=0)),"",IFERROR(IF(AND(AH!$U$12=1,1214+1=AH!$U$6),TODAY(),IF(AH!$U$5=1,INDEX('Live History'!$A$5:$A$3004,AH!$U$7+1214),INDEX('AH History'!$A$5:$A$1380,AH!$U$7+1214))),""))</f>
        <v/>
      </c>
      <c r="B1219" s="33">
        <f>IFERROR(IF(AH!$U$11=1,NA(),$J1219/$E1219-1),NA())</f>
        <v/>
      </c>
      <c r="C1219" s="269">
        <f>IFERROR(100*$E1219/$E$5,NA())</f>
        <v/>
      </c>
      <c r="D1219" s="269">
        <f>IFERROR(100*$J1219/$J$5,NA())</f>
        <v/>
      </c>
      <c r="E1219" s="32">
        <f>IFERROR(IF(AND(ISNUMBER($A1219),N(IF(AND(AH!$U$12=1,1214+1=AH!$U$6),IF(AH!$U$4=0,"unavailable",INDEX('Market Data'!$AN$5:$AN$66,AH!$U$4)),IF(AH!$U$5=1,INDEX('Live History'!$B$5:$B$3004,$K1219),INDEX('AH History'!$D$5:$GG$1380,$K1219,AH!$U$10))))&gt;0),IF(AND(AH!$U$12=1,1214+1=AH!$U$6),IF(AH!$U$4=0,"unavailable",INDEX('Market Data'!$AN$5:$AN$66,AH!$U$4)),IF(AH!$U$5=1,INDEX('Live History'!$B$5:$B$3004,$K1219),INDEX('AH History'!$D$5:$GG$1380,$K1219,AH!$U$10))),NA()),NA())</f>
        <v/>
      </c>
      <c r="F1219" s="32">
        <f>IFERROR(IF(ISNUMBER($A1219),IF(AND(AH!$U$12=1,1214+1=AH!$U$6),IF(AH!$U$4=0,"unavailable",INDEX('Market Data'!$AO$5:$AO$66,AH!$U$4)),IF(AH!$U$5=1,INDEX('Live History'!$E$5:$E$3004,MATCH($A1219,'Live History'!$D$5:$D$3004,1)),INDEX('AH History'!$D$5:$GG$1380,$K1219,AH!$U$10+1))),NA()),NA())</f>
        <v/>
      </c>
      <c r="G1219" s="34">
        <f>IFERROR(IF(ISNUMBER($A1219),IF(AND(AH!$U$12=1,1214+1=AH!$U$6),IF(AH!$U$4=0,"unavailable",INDEX('Market Data'!$AK$5:$AK$66,AH!$U$4)),IF(AH!$U$5=1,INDEX('Live History'!$D$5:$D$3004,MATCH($A1219,'Live History'!$D$5:$D$3004,1)),INDEX('AH History'!$D$5:$GG$1380,$K1219,AH!$U$10+2))),NA()),NA())</f>
        <v/>
      </c>
      <c r="H1219" s="266">
        <f>IFERROR(IF(ISNUMBER($A1219),IF(AND(AH!$U$12=1,1214+1=AH!$U$6),IF(AH!$U$4=0,"unavailable",INDEX('Market Data'!$AP$5:$AP$66,AH!$U$4)),IF(AH!$U$5=1,INDEX('Live History'!$H$5:$H$3004,MATCH($A1219,'Live History'!$G$5:$G$3004,1)),INDEX('AH History'!$B$5:$B$1380,$K1219))),NA()),NA())</f>
        <v/>
      </c>
      <c r="I1219" s="34">
        <f>IFERROR(IF(ISNUMBER($A1219),IF(AND(AH!$U$12=1,1214+1=AH!$U$6),TODAY(),IF(AH!$U$5=1,INDEX('Live History'!$G$5:$G$3004,MATCH($A1219,'Live History'!$G$5:$G$3004,1)),INDEX('AH History'!$C$5:$C$1380,$K1219))),NA()),NA())</f>
        <v/>
      </c>
      <c r="J1219" s="32">
        <f>IFERROR(IF(AND($F1219&gt;0,$H1219&gt;0,$A1219-$G1219&lt;=10,$A1219-$I1219&lt;=5,$G1219&gt;0,$I1219&gt;0),$F1219*$H1219,NA()),NA())</f>
        <v/>
      </c>
      <c r="K1219" s="15">
        <f>IF($A1219="","",IF(AH!$U$5=1,IFERROR(MATCH($A1219,'Live History'!$A$5:$A$3004,0),0),AH!$U$7+1214))</f>
        <v/>
      </c>
      <c r="L1219" s="15">
        <f>IF(ISNUMBER(A1219),TEXT(A1219,"dd-mmm-yy"),"")</f>
        <v/>
      </c>
    </row>
    <row r="1220">
      <c r="A1220" s="14">
        <f>IF(OR(AH!$U$4=0,1215+1&gt;AH!$U$6,AND(AH!$M$5="Bloomberg",AH!$U$5=0)),"",IFERROR(IF(AND(AH!$U$12=1,1215+1=AH!$U$6),TODAY(),IF(AH!$U$5=1,INDEX('Live History'!$A$5:$A$3004,AH!$U$7+1215),INDEX('AH History'!$A$5:$A$1380,AH!$U$7+1215))),""))</f>
        <v/>
      </c>
      <c r="B1220" s="33">
        <f>IFERROR(IF(AH!$U$11=1,NA(),$J1220/$E1220-1),NA())</f>
        <v/>
      </c>
      <c r="C1220" s="269">
        <f>IFERROR(100*$E1220/$E$5,NA())</f>
        <v/>
      </c>
      <c r="D1220" s="269">
        <f>IFERROR(100*$J1220/$J$5,NA())</f>
        <v/>
      </c>
      <c r="E1220" s="32">
        <f>IFERROR(IF(AND(ISNUMBER($A1220),N(IF(AND(AH!$U$12=1,1215+1=AH!$U$6),IF(AH!$U$4=0,"unavailable",INDEX('Market Data'!$AN$5:$AN$66,AH!$U$4)),IF(AH!$U$5=1,INDEX('Live History'!$B$5:$B$3004,$K1220),INDEX('AH History'!$D$5:$GG$1380,$K1220,AH!$U$10))))&gt;0),IF(AND(AH!$U$12=1,1215+1=AH!$U$6),IF(AH!$U$4=0,"unavailable",INDEX('Market Data'!$AN$5:$AN$66,AH!$U$4)),IF(AH!$U$5=1,INDEX('Live History'!$B$5:$B$3004,$K1220),INDEX('AH History'!$D$5:$GG$1380,$K1220,AH!$U$10))),NA()),NA())</f>
        <v/>
      </c>
      <c r="F1220" s="32">
        <f>IFERROR(IF(ISNUMBER($A1220),IF(AND(AH!$U$12=1,1215+1=AH!$U$6),IF(AH!$U$4=0,"unavailable",INDEX('Market Data'!$AO$5:$AO$66,AH!$U$4)),IF(AH!$U$5=1,INDEX('Live History'!$E$5:$E$3004,MATCH($A1220,'Live History'!$D$5:$D$3004,1)),INDEX('AH History'!$D$5:$GG$1380,$K1220,AH!$U$10+1))),NA()),NA())</f>
        <v/>
      </c>
      <c r="G1220" s="34">
        <f>IFERROR(IF(ISNUMBER($A1220),IF(AND(AH!$U$12=1,1215+1=AH!$U$6),IF(AH!$U$4=0,"unavailable",INDEX('Market Data'!$AK$5:$AK$66,AH!$U$4)),IF(AH!$U$5=1,INDEX('Live History'!$D$5:$D$3004,MATCH($A1220,'Live History'!$D$5:$D$3004,1)),INDEX('AH History'!$D$5:$GG$1380,$K1220,AH!$U$10+2))),NA()),NA())</f>
        <v/>
      </c>
      <c r="H1220" s="266">
        <f>IFERROR(IF(ISNUMBER($A1220),IF(AND(AH!$U$12=1,1215+1=AH!$U$6),IF(AH!$U$4=0,"unavailable",INDEX('Market Data'!$AP$5:$AP$66,AH!$U$4)),IF(AH!$U$5=1,INDEX('Live History'!$H$5:$H$3004,MATCH($A1220,'Live History'!$G$5:$G$3004,1)),INDEX('AH History'!$B$5:$B$1380,$K1220))),NA()),NA())</f>
        <v/>
      </c>
      <c r="I1220" s="34">
        <f>IFERROR(IF(ISNUMBER($A1220),IF(AND(AH!$U$12=1,1215+1=AH!$U$6),TODAY(),IF(AH!$U$5=1,INDEX('Live History'!$G$5:$G$3004,MATCH($A1220,'Live History'!$G$5:$G$3004,1)),INDEX('AH History'!$C$5:$C$1380,$K1220))),NA()),NA())</f>
        <v/>
      </c>
      <c r="J1220" s="32">
        <f>IFERROR(IF(AND($F1220&gt;0,$H1220&gt;0,$A1220-$G1220&lt;=10,$A1220-$I1220&lt;=5,$G1220&gt;0,$I1220&gt;0),$F1220*$H1220,NA()),NA())</f>
        <v/>
      </c>
      <c r="K1220" s="15">
        <f>IF($A1220="","",IF(AH!$U$5=1,IFERROR(MATCH($A1220,'Live History'!$A$5:$A$3004,0),0),AH!$U$7+1215))</f>
        <v/>
      </c>
      <c r="L1220" s="15">
        <f>IF(ISNUMBER(A1220),TEXT(A1220,"dd-mmm-yy"),"")</f>
        <v/>
      </c>
    </row>
    <row r="1221">
      <c r="A1221" s="14">
        <f>IF(OR(AH!$U$4=0,1216+1&gt;AH!$U$6,AND(AH!$M$5="Bloomberg",AH!$U$5=0)),"",IFERROR(IF(AND(AH!$U$12=1,1216+1=AH!$U$6),TODAY(),IF(AH!$U$5=1,INDEX('Live History'!$A$5:$A$3004,AH!$U$7+1216),INDEX('AH History'!$A$5:$A$1380,AH!$U$7+1216))),""))</f>
        <v/>
      </c>
      <c r="B1221" s="33">
        <f>IFERROR(IF(AH!$U$11=1,NA(),$J1221/$E1221-1),NA())</f>
        <v/>
      </c>
      <c r="C1221" s="269">
        <f>IFERROR(100*$E1221/$E$5,NA())</f>
        <v/>
      </c>
      <c r="D1221" s="269">
        <f>IFERROR(100*$J1221/$J$5,NA())</f>
        <v/>
      </c>
      <c r="E1221" s="32">
        <f>IFERROR(IF(AND(ISNUMBER($A1221),N(IF(AND(AH!$U$12=1,1216+1=AH!$U$6),IF(AH!$U$4=0,"unavailable",INDEX('Market Data'!$AN$5:$AN$66,AH!$U$4)),IF(AH!$U$5=1,INDEX('Live History'!$B$5:$B$3004,$K1221),INDEX('AH History'!$D$5:$GG$1380,$K1221,AH!$U$10))))&gt;0),IF(AND(AH!$U$12=1,1216+1=AH!$U$6),IF(AH!$U$4=0,"unavailable",INDEX('Market Data'!$AN$5:$AN$66,AH!$U$4)),IF(AH!$U$5=1,INDEX('Live History'!$B$5:$B$3004,$K1221),INDEX('AH History'!$D$5:$GG$1380,$K1221,AH!$U$10))),NA()),NA())</f>
        <v/>
      </c>
      <c r="F1221" s="32">
        <f>IFERROR(IF(ISNUMBER($A1221),IF(AND(AH!$U$12=1,1216+1=AH!$U$6),IF(AH!$U$4=0,"unavailable",INDEX('Market Data'!$AO$5:$AO$66,AH!$U$4)),IF(AH!$U$5=1,INDEX('Live History'!$E$5:$E$3004,MATCH($A1221,'Live History'!$D$5:$D$3004,1)),INDEX('AH History'!$D$5:$GG$1380,$K1221,AH!$U$10+1))),NA()),NA())</f>
        <v/>
      </c>
      <c r="G1221" s="34">
        <f>IFERROR(IF(ISNUMBER($A1221),IF(AND(AH!$U$12=1,1216+1=AH!$U$6),IF(AH!$U$4=0,"unavailable",INDEX('Market Data'!$AK$5:$AK$66,AH!$U$4)),IF(AH!$U$5=1,INDEX('Live History'!$D$5:$D$3004,MATCH($A1221,'Live History'!$D$5:$D$3004,1)),INDEX('AH History'!$D$5:$GG$1380,$K1221,AH!$U$10+2))),NA()),NA())</f>
        <v/>
      </c>
      <c r="H1221" s="266">
        <f>IFERROR(IF(ISNUMBER($A1221),IF(AND(AH!$U$12=1,1216+1=AH!$U$6),IF(AH!$U$4=0,"unavailable",INDEX('Market Data'!$AP$5:$AP$66,AH!$U$4)),IF(AH!$U$5=1,INDEX('Live History'!$H$5:$H$3004,MATCH($A1221,'Live History'!$G$5:$G$3004,1)),INDEX('AH History'!$B$5:$B$1380,$K1221))),NA()),NA())</f>
        <v/>
      </c>
      <c r="I1221" s="34">
        <f>IFERROR(IF(ISNUMBER($A1221),IF(AND(AH!$U$12=1,1216+1=AH!$U$6),TODAY(),IF(AH!$U$5=1,INDEX('Live History'!$G$5:$G$3004,MATCH($A1221,'Live History'!$G$5:$G$3004,1)),INDEX('AH History'!$C$5:$C$1380,$K1221))),NA()),NA())</f>
        <v/>
      </c>
      <c r="J1221" s="32">
        <f>IFERROR(IF(AND($F1221&gt;0,$H1221&gt;0,$A1221-$G1221&lt;=10,$A1221-$I1221&lt;=5,$G1221&gt;0,$I1221&gt;0),$F1221*$H1221,NA()),NA())</f>
        <v/>
      </c>
      <c r="K1221" s="15">
        <f>IF($A1221="","",IF(AH!$U$5=1,IFERROR(MATCH($A1221,'Live History'!$A$5:$A$3004,0),0),AH!$U$7+1216))</f>
        <v/>
      </c>
      <c r="L1221" s="15">
        <f>IF(ISNUMBER(A1221),TEXT(A1221,"dd-mmm-yy"),"")</f>
        <v/>
      </c>
    </row>
    <row r="1222">
      <c r="A1222" s="14">
        <f>IF(OR(AH!$U$4=0,1217+1&gt;AH!$U$6,AND(AH!$M$5="Bloomberg",AH!$U$5=0)),"",IFERROR(IF(AND(AH!$U$12=1,1217+1=AH!$U$6),TODAY(),IF(AH!$U$5=1,INDEX('Live History'!$A$5:$A$3004,AH!$U$7+1217),INDEX('AH History'!$A$5:$A$1380,AH!$U$7+1217))),""))</f>
        <v/>
      </c>
      <c r="B1222" s="33">
        <f>IFERROR(IF(AH!$U$11=1,NA(),$J1222/$E1222-1),NA())</f>
        <v/>
      </c>
      <c r="C1222" s="269">
        <f>IFERROR(100*$E1222/$E$5,NA())</f>
        <v/>
      </c>
      <c r="D1222" s="269">
        <f>IFERROR(100*$J1222/$J$5,NA())</f>
        <v/>
      </c>
      <c r="E1222" s="32">
        <f>IFERROR(IF(AND(ISNUMBER($A1222),N(IF(AND(AH!$U$12=1,1217+1=AH!$U$6),IF(AH!$U$4=0,"unavailable",INDEX('Market Data'!$AN$5:$AN$66,AH!$U$4)),IF(AH!$U$5=1,INDEX('Live History'!$B$5:$B$3004,$K1222),INDEX('AH History'!$D$5:$GG$1380,$K1222,AH!$U$10))))&gt;0),IF(AND(AH!$U$12=1,1217+1=AH!$U$6),IF(AH!$U$4=0,"unavailable",INDEX('Market Data'!$AN$5:$AN$66,AH!$U$4)),IF(AH!$U$5=1,INDEX('Live History'!$B$5:$B$3004,$K1222),INDEX('AH History'!$D$5:$GG$1380,$K1222,AH!$U$10))),NA()),NA())</f>
        <v/>
      </c>
      <c r="F1222" s="32">
        <f>IFERROR(IF(ISNUMBER($A1222),IF(AND(AH!$U$12=1,1217+1=AH!$U$6),IF(AH!$U$4=0,"unavailable",INDEX('Market Data'!$AO$5:$AO$66,AH!$U$4)),IF(AH!$U$5=1,INDEX('Live History'!$E$5:$E$3004,MATCH($A1222,'Live History'!$D$5:$D$3004,1)),INDEX('AH History'!$D$5:$GG$1380,$K1222,AH!$U$10+1))),NA()),NA())</f>
        <v/>
      </c>
      <c r="G1222" s="34">
        <f>IFERROR(IF(ISNUMBER($A1222),IF(AND(AH!$U$12=1,1217+1=AH!$U$6),IF(AH!$U$4=0,"unavailable",INDEX('Market Data'!$AK$5:$AK$66,AH!$U$4)),IF(AH!$U$5=1,INDEX('Live History'!$D$5:$D$3004,MATCH($A1222,'Live History'!$D$5:$D$3004,1)),INDEX('AH History'!$D$5:$GG$1380,$K1222,AH!$U$10+2))),NA()),NA())</f>
        <v/>
      </c>
      <c r="H1222" s="266">
        <f>IFERROR(IF(ISNUMBER($A1222),IF(AND(AH!$U$12=1,1217+1=AH!$U$6),IF(AH!$U$4=0,"unavailable",INDEX('Market Data'!$AP$5:$AP$66,AH!$U$4)),IF(AH!$U$5=1,INDEX('Live History'!$H$5:$H$3004,MATCH($A1222,'Live History'!$G$5:$G$3004,1)),INDEX('AH History'!$B$5:$B$1380,$K1222))),NA()),NA())</f>
        <v/>
      </c>
      <c r="I1222" s="34">
        <f>IFERROR(IF(ISNUMBER($A1222),IF(AND(AH!$U$12=1,1217+1=AH!$U$6),TODAY(),IF(AH!$U$5=1,INDEX('Live History'!$G$5:$G$3004,MATCH($A1222,'Live History'!$G$5:$G$3004,1)),INDEX('AH History'!$C$5:$C$1380,$K1222))),NA()),NA())</f>
        <v/>
      </c>
      <c r="J1222" s="32">
        <f>IFERROR(IF(AND($F1222&gt;0,$H1222&gt;0,$A1222-$G1222&lt;=10,$A1222-$I1222&lt;=5,$G1222&gt;0,$I1222&gt;0),$F1222*$H1222,NA()),NA())</f>
        <v/>
      </c>
      <c r="K1222" s="15">
        <f>IF($A1222="","",IF(AH!$U$5=1,IFERROR(MATCH($A1222,'Live History'!$A$5:$A$3004,0),0),AH!$U$7+1217))</f>
        <v/>
      </c>
      <c r="L1222" s="15">
        <f>IF(ISNUMBER(A1222),TEXT(A1222,"dd-mmm-yy"),"")</f>
        <v/>
      </c>
    </row>
    <row r="1223">
      <c r="A1223" s="14">
        <f>IF(OR(AH!$U$4=0,1218+1&gt;AH!$U$6,AND(AH!$M$5="Bloomberg",AH!$U$5=0)),"",IFERROR(IF(AND(AH!$U$12=1,1218+1=AH!$U$6),TODAY(),IF(AH!$U$5=1,INDEX('Live History'!$A$5:$A$3004,AH!$U$7+1218),INDEX('AH History'!$A$5:$A$1380,AH!$U$7+1218))),""))</f>
        <v/>
      </c>
      <c r="B1223" s="33">
        <f>IFERROR(IF(AH!$U$11=1,NA(),$J1223/$E1223-1),NA())</f>
        <v/>
      </c>
      <c r="C1223" s="269">
        <f>IFERROR(100*$E1223/$E$5,NA())</f>
        <v/>
      </c>
      <c r="D1223" s="269">
        <f>IFERROR(100*$J1223/$J$5,NA())</f>
        <v/>
      </c>
      <c r="E1223" s="32">
        <f>IFERROR(IF(AND(ISNUMBER($A1223),N(IF(AND(AH!$U$12=1,1218+1=AH!$U$6),IF(AH!$U$4=0,"unavailable",INDEX('Market Data'!$AN$5:$AN$66,AH!$U$4)),IF(AH!$U$5=1,INDEX('Live History'!$B$5:$B$3004,$K1223),INDEX('AH History'!$D$5:$GG$1380,$K1223,AH!$U$10))))&gt;0),IF(AND(AH!$U$12=1,1218+1=AH!$U$6),IF(AH!$U$4=0,"unavailable",INDEX('Market Data'!$AN$5:$AN$66,AH!$U$4)),IF(AH!$U$5=1,INDEX('Live History'!$B$5:$B$3004,$K1223),INDEX('AH History'!$D$5:$GG$1380,$K1223,AH!$U$10))),NA()),NA())</f>
        <v/>
      </c>
      <c r="F1223" s="32">
        <f>IFERROR(IF(ISNUMBER($A1223),IF(AND(AH!$U$12=1,1218+1=AH!$U$6),IF(AH!$U$4=0,"unavailable",INDEX('Market Data'!$AO$5:$AO$66,AH!$U$4)),IF(AH!$U$5=1,INDEX('Live History'!$E$5:$E$3004,MATCH($A1223,'Live History'!$D$5:$D$3004,1)),INDEX('AH History'!$D$5:$GG$1380,$K1223,AH!$U$10+1))),NA()),NA())</f>
        <v/>
      </c>
      <c r="G1223" s="34">
        <f>IFERROR(IF(ISNUMBER($A1223),IF(AND(AH!$U$12=1,1218+1=AH!$U$6),IF(AH!$U$4=0,"unavailable",INDEX('Market Data'!$AK$5:$AK$66,AH!$U$4)),IF(AH!$U$5=1,INDEX('Live History'!$D$5:$D$3004,MATCH($A1223,'Live History'!$D$5:$D$3004,1)),INDEX('AH History'!$D$5:$GG$1380,$K1223,AH!$U$10+2))),NA()),NA())</f>
        <v/>
      </c>
      <c r="H1223" s="266">
        <f>IFERROR(IF(ISNUMBER($A1223),IF(AND(AH!$U$12=1,1218+1=AH!$U$6),IF(AH!$U$4=0,"unavailable",INDEX('Market Data'!$AP$5:$AP$66,AH!$U$4)),IF(AH!$U$5=1,INDEX('Live History'!$H$5:$H$3004,MATCH($A1223,'Live History'!$G$5:$G$3004,1)),INDEX('AH History'!$B$5:$B$1380,$K1223))),NA()),NA())</f>
        <v/>
      </c>
      <c r="I1223" s="34">
        <f>IFERROR(IF(ISNUMBER($A1223),IF(AND(AH!$U$12=1,1218+1=AH!$U$6),TODAY(),IF(AH!$U$5=1,INDEX('Live History'!$G$5:$G$3004,MATCH($A1223,'Live History'!$G$5:$G$3004,1)),INDEX('AH History'!$C$5:$C$1380,$K1223))),NA()),NA())</f>
        <v/>
      </c>
      <c r="J1223" s="32">
        <f>IFERROR(IF(AND($F1223&gt;0,$H1223&gt;0,$A1223-$G1223&lt;=10,$A1223-$I1223&lt;=5,$G1223&gt;0,$I1223&gt;0),$F1223*$H1223,NA()),NA())</f>
        <v/>
      </c>
      <c r="K1223" s="15">
        <f>IF($A1223="","",IF(AH!$U$5=1,IFERROR(MATCH($A1223,'Live History'!$A$5:$A$3004,0),0),AH!$U$7+1218))</f>
        <v/>
      </c>
      <c r="L1223" s="15">
        <f>IF(ISNUMBER(A1223),TEXT(A1223,"dd-mmm-yy"),"")</f>
        <v/>
      </c>
    </row>
    <row r="1224">
      <c r="A1224" s="14">
        <f>IF(OR(AH!$U$4=0,1219+1&gt;AH!$U$6,AND(AH!$M$5="Bloomberg",AH!$U$5=0)),"",IFERROR(IF(AND(AH!$U$12=1,1219+1=AH!$U$6),TODAY(),IF(AH!$U$5=1,INDEX('Live History'!$A$5:$A$3004,AH!$U$7+1219),INDEX('AH History'!$A$5:$A$1380,AH!$U$7+1219))),""))</f>
        <v/>
      </c>
      <c r="B1224" s="33">
        <f>IFERROR(IF(AH!$U$11=1,NA(),$J1224/$E1224-1),NA())</f>
        <v/>
      </c>
      <c r="C1224" s="269">
        <f>IFERROR(100*$E1224/$E$5,NA())</f>
        <v/>
      </c>
      <c r="D1224" s="269">
        <f>IFERROR(100*$J1224/$J$5,NA())</f>
        <v/>
      </c>
      <c r="E1224" s="32">
        <f>IFERROR(IF(AND(ISNUMBER($A1224),N(IF(AND(AH!$U$12=1,1219+1=AH!$U$6),IF(AH!$U$4=0,"unavailable",INDEX('Market Data'!$AN$5:$AN$66,AH!$U$4)),IF(AH!$U$5=1,INDEX('Live History'!$B$5:$B$3004,$K1224),INDEX('AH History'!$D$5:$GG$1380,$K1224,AH!$U$10))))&gt;0),IF(AND(AH!$U$12=1,1219+1=AH!$U$6),IF(AH!$U$4=0,"unavailable",INDEX('Market Data'!$AN$5:$AN$66,AH!$U$4)),IF(AH!$U$5=1,INDEX('Live History'!$B$5:$B$3004,$K1224),INDEX('AH History'!$D$5:$GG$1380,$K1224,AH!$U$10))),NA()),NA())</f>
        <v/>
      </c>
      <c r="F1224" s="32">
        <f>IFERROR(IF(ISNUMBER($A1224),IF(AND(AH!$U$12=1,1219+1=AH!$U$6),IF(AH!$U$4=0,"unavailable",INDEX('Market Data'!$AO$5:$AO$66,AH!$U$4)),IF(AH!$U$5=1,INDEX('Live History'!$E$5:$E$3004,MATCH($A1224,'Live History'!$D$5:$D$3004,1)),INDEX('AH History'!$D$5:$GG$1380,$K1224,AH!$U$10+1))),NA()),NA())</f>
        <v/>
      </c>
      <c r="G1224" s="34">
        <f>IFERROR(IF(ISNUMBER($A1224),IF(AND(AH!$U$12=1,1219+1=AH!$U$6),IF(AH!$U$4=0,"unavailable",INDEX('Market Data'!$AK$5:$AK$66,AH!$U$4)),IF(AH!$U$5=1,INDEX('Live History'!$D$5:$D$3004,MATCH($A1224,'Live History'!$D$5:$D$3004,1)),INDEX('AH History'!$D$5:$GG$1380,$K1224,AH!$U$10+2))),NA()),NA())</f>
        <v/>
      </c>
      <c r="H1224" s="266">
        <f>IFERROR(IF(ISNUMBER($A1224),IF(AND(AH!$U$12=1,1219+1=AH!$U$6),IF(AH!$U$4=0,"unavailable",INDEX('Market Data'!$AP$5:$AP$66,AH!$U$4)),IF(AH!$U$5=1,INDEX('Live History'!$H$5:$H$3004,MATCH($A1224,'Live History'!$G$5:$G$3004,1)),INDEX('AH History'!$B$5:$B$1380,$K1224))),NA()),NA())</f>
        <v/>
      </c>
      <c r="I1224" s="34">
        <f>IFERROR(IF(ISNUMBER($A1224),IF(AND(AH!$U$12=1,1219+1=AH!$U$6),TODAY(),IF(AH!$U$5=1,INDEX('Live History'!$G$5:$G$3004,MATCH($A1224,'Live History'!$G$5:$G$3004,1)),INDEX('AH History'!$C$5:$C$1380,$K1224))),NA()),NA())</f>
        <v/>
      </c>
      <c r="J1224" s="32">
        <f>IFERROR(IF(AND($F1224&gt;0,$H1224&gt;0,$A1224-$G1224&lt;=10,$A1224-$I1224&lt;=5,$G1224&gt;0,$I1224&gt;0),$F1224*$H1224,NA()),NA())</f>
        <v/>
      </c>
      <c r="K1224" s="15">
        <f>IF($A1224="","",IF(AH!$U$5=1,IFERROR(MATCH($A1224,'Live History'!$A$5:$A$3004,0),0),AH!$U$7+1219))</f>
        <v/>
      </c>
      <c r="L1224" s="15">
        <f>IF(ISNUMBER(A1224),TEXT(A1224,"dd-mmm-yy"),"")</f>
        <v/>
      </c>
    </row>
    <row r="1225">
      <c r="A1225" s="14">
        <f>IF(OR(AH!$U$4=0,1220+1&gt;AH!$U$6,AND(AH!$M$5="Bloomberg",AH!$U$5=0)),"",IFERROR(IF(AND(AH!$U$12=1,1220+1=AH!$U$6),TODAY(),IF(AH!$U$5=1,INDEX('Live History'!$A$5:$A$3004,AH!$U$7+1220),INDEX('AH History'!$A$5:$A$1380,AH!$U$7+1220))),""))</f>
        <v/>
      </c>
      <c r="B1225" s="33">
        <f>IFERROR(IF(AH!$U$11=1,NA(),$J1225/$E1225-1),NA())</f>
        <v/>
      </c>
      <c r="C1225" s="269">
        <f>IFERROR(100*$E1225/$E$5,NA())</f>
        <v/>
      </c>
      <c r="D1225" s="269">
        <f>IFERROR(100*$J1225/$J$5,NA())</f>
        <v/>
      </c>
      <c r="E1225" s="32">
        <f>IFERROR(IF(AND(ISNUMBER($A1225),N(IF(AND(AH!$U$12=1,1220+1=AH!$U$6),IF(AH!$U$4=0,"unavailable",INDEX('Market Data'!$AN$5:$AN$66,AH!$U$4)),IF(AH!$U$5=1,INDEX('Live History'!$B$5:$B$3004,$K1225),INDEX('AH History'!$D$5:$GG$1380,$K1225,AH!$U$10))))&gt;0),IF(AND(AH!$U$12=1,1220+1=AH!$U$6),IF(AH!$U$4=0,"unavailable",INDEX('Market Data'!$AN$5:$AN$66,AH!$U$4)),IF(AH!$U$5=1,INDEX('Live History'!$B$5:$B$3004,$K1225),INDEX('AH History'!$D$5:$GG$1380,$K1225,AH!$U$10))),NA()),NA())</f>
        <v/>
      </c>
      <c r="F1225" s="32">
        <f>IFERROR(IF(ISNUMBER($A1225),IF(AND(AH!$U$12=1,1220+1=AH!$U$6),IF(AH!$U$4=0,"unavailable",INDEX('Market Data'!$AO$5:$AO$66,AH!$U$4)),IF(AH!$U$5=1,INDEX('Live History'!$E$5:$E$3004,MATCH($A1225,'Live History'!$D$5:$D$3004,1)),INDEX('AH History'!$D$5:$GG$1380,$K1225,AH!$U$10+1))),NA()),NA())</f>
        <v/>
      </c>
      <c r="G1225" s="34">
        <f>IFERROR(IF(ISNUMBER($A1225),IF(AND(AH!$U$12=1,1220+1=AH!$U$6),IF(AH!$U$4=0,"unavailable",INDEX('Market Data'!$AK$5:$AK$66,AH!$U$4)),IF(AH!$U$5=1,INDEX('Live History'!$D$5:$D$3004,MATCH($A1225,'Live History'!$D$5:$D$3004,1)),INDEX('AH History'!$D$5:$GG$1380,$K1225,AH!$U$10+2))),NA()),NA())</f>
        <v/>
      </c>
      <c r="H1225" s="266">
        <f>IFERROR(IF(ISNUMBER($A1225),IF(AND(AH!$U$12=1,1220+1=AH!$U$6),IF(AH!$U$4=0,"unavailable",INDEX('Market Data'!$AP$5:$AP$66,AH!$U$4)),IF(AH!$U$5=1,INDEX('Live History'!$H$5:$H$3004,MATCH($A1225,'Live History'!$G$5:$G$3004,1)),INDEX('AH History'!$B$5:$B$1380,$K1225))),NA()),NA())</f>
        <v/>
      </c>
      <c r="I1225" s="34">
        <f>IFERROR(IF(ISNUMBER($A1225),IF(AND(AH!$U$12=1,1220+1=AH!$U$6),TODAY(),IF(AH!$U$5=1,INDEX('Live History'!$G$5:$G$3004,MATCH($A1225,'Live History'!$G$5:$G$3004,1)),INDEX('AH History'!$C$5:$C$1380,$K1225))),NA()),NA())</f>
        <v/>
      </c>
      <c r="J1225" s="32">
        <f>IFERROR(IF(AND($F1225&gt;0,$H1225&gt;0,$A1225-$G1225&lt;=10,$A1225-$I1225&lt;=5,$G1225&gt;0,$I1225&gt;0),$F1225*$H1225,NA()),NA())</f>
        <v/>
      </c>
      <c r="K1225" s="15">
        <f>IF($A1225="","",IF(AH!$U$5=1,IFERROR(MATCH($A1225,'Live History'!$A$5:$A$3004,0),0),AH!$U$7+1220))</f>
        <v/>
      </c>
      <c r="L1225" s="15">
        <f>IF(ISNUMBER(A1225),TEXT(A1225,"dd-mmm-yy"),"")</f>
        <v/>
      </c>
    </row>
    <row r="1226">
      <c r="A1226" s="14">
        <f>IF(OR(AH!$U$4=0,1221+1&gt;AH!$U$6,AND(AH!$M$5="Bloomberg",AH!$U$5=0)),"",IFERROR(IF(AND(AH!$U$12=1,1221+1=AH!$U$6),TODAY(),IF(AH!$U$5=1,INDEX('Live History'!$A$5:$A$3004,AH!$U$7+1221),INDEX('AH History'!$A$5:$A$1380,AH!$U$7+1221))),""))</f>
        <v/>
      </c>
      <c r="B1226" s="33">
        <f>IFERROR(IF(AH!$U$11=1,NA(),$J1226/$E1226-1),NA())</f>
        <v/>
      </c>
      <c r="C1226" s="269">
        <f>IFERROR(100*$E1226/$E$5,NA())</f>
        <v/>
      </c>
      <c r="D1226" s="269">
        <f>IFERROR(100*$J1226/$J$5,NA())</f>
        <v/>
      </c>
      <c r="E1226" s="32">
        <f>IFERROR(IF(AND(ISNUMBER($A1226),N(IF(AND(AH!$U$12=1,1221+1=AH!$U$6),IF(AH!$U$4=0,"unavailable",INDEX('Market Data'!$AN$5:$AN$66,AH!$U$4)),IF(AH!$U$5=1,INDEX('Live History'!$B$5:$B$3004,$K1226),INDEX('AH History'!$D$5:$GG$1380,$K1226,AH!$U$10))))&gt;0),IF(AND(AH!$U$12=1,1221+1=AH!$U$6),IF(AH!$U$4=0,"unavailable",INDEX('Market Data'!$AN$5:$AN$66,AH!$U$4)),IF(AH!$U$5=1,INDEX('Live History'!$B$5:$B$3004,$K1226),INDEX('AH History'!$D$5:$GG$1380,$K1226,AH!$U$10))),NA()),NA())</f>
        <v/>
      </c>
      <c r="F1226" s="32">
        <f>IFERROR(IF(ISNUMBER($A1226),IF(AND(AH!$U$12=1,1221+1=AH!$U$6),IF(AH!$U$4=0,"unavailable",INDEX('Market Data'!$AO$5:$AO$66,AH!$U$4)),IF(AH!$U$5=1,INDEX('Live History'!$E$5:$E$3004,MATCH($A1226,'Live History'!$D$5:$D$3004,1)),INDEX('AH History'!$D$5:$GG$1380,$K1226,AH!$U$10+1))),NA()),NA())</f>
        <v/>
      </c>
      <c r="G1226" s="34">
        <f>IFERROR(IF(ISNUMBER($A1226),IF(AND(AH!$U$12=1,1221+1=AH!$U$6),IF(AH!$U$4=0,"unavailable",INDEX('Market Data'!$AK$5:$AK$66,AH!$U$4)),IF(AH!$U$5=1,INDEX('Live History'!$D$5:$D$3004,MATCH($A1226,'Live History'!$D$5:$D$3004,1)),INDEX('AH History'!$D$5:$GG$1380,$K1226,AH!$U$10+2))),NA()),NA())</f>
        <v/>
      </c>
      <c r="H1226" s="266">
        <f>IFERROR(IF(ISNUMBER($A1226),IF(AND(AH!$U$12=1,1221+1=AH!$U$6),IF(AH!$U$4=0,"unavailable",INDEX('Market Data'!$AP$5:$AP$66,AH!$U$4)),IF(AH!$U$5=1,INDEX('Live History'!$H$5:$H$3004,MATCH($A1226,'Live History'!$G$5:$G$3004,1)),INDEX('AH History'!$B$5:$B$1380,$K1226))),NA()),NA())</f>
        <v/>
      </c>
      <c r="I1226" s="34">
        <f>IFERROR(IF(ISNUMBER($A1226),IF(AND(AH!$U$12=1,1221+1=AH!$U$6),TODAY(),IF(AH!$U$5=1,INDEX('Live History'!$G$5:$G$3004,MATCH($A1226,'Live History'!$G$5:$G$3004,1)),INDEX('AH History'!$C$5:$C$1380,$K1226))),NA()),NA())</f>
        <v/>
      </c>
      <c r="J1226" s="32">
        <f>IFERROR(IF(AND($F1226&gt;0,$H1226&gt;0,$A1226-$G1226&lt;=10,$A1226-$I1226&lt;=5,$G1226&gt;0,$I1226&gt;0),$F1226*$H1226,NA()),NA())</f>
        <v/>
      </c>
      <c r="K1226" s="15">
        <f>IF($A1226="","",IF(AH!$U$5=1,IFERROR(MATCH($A1226,'Live History'!$A$5:$A$3004,0),0),AH!$U$7+1221))</f>
        <v/>
      </c>
      <c r="L1226" s="15">
        <f>IF(ISNUMBER(A1226),TEXT(A1226,"dd-mmm-yy"),"")</f>
        <v/>
      </c>
    </row>
    <row r="1227">
      <c r="A1227" s="14">
        <f>IF(OR(AH!$U$4=0,1222+1&gt;AH!$U$6,AND(AH!$M$5="Bloomberg",AH!$U$5=0)),"",IFERROR(IF(AND(AH!$U$12=1,1222+1=AH!$U$6),TODAY(),IF(AH!$U$5=1,INDEX('Live History'!$A$5:$A$3004,AH!$U$7+1222),INDEX('AH History'!$A$5:$A$1380,AH!$U$7+1222))),""))</f>
        <v/>
      </c>
      <c r="B1227" s="33">
        <f>IFERROR(IF(AH!$U$11=1,NA(),$J1227/$E1227-1),NA())</f>
        <v/>
      </c>
      <c r="C1227" s="269">
        <f>IFERROR(100*$E1227/$E$5,NA())</f>
        <v/>
      </c>
      <c r="D1227" s="269">
        <f>IFERROR(100*$J1227/$J$5,NA())</f>
        <v/>
      </c>
      <c r="E1227" s="32">
        <f>IFERROR(IF(AND(ISNUMBER($A1227),N(IF(AND(AH!$U$12=1,1222+1=AH!$U$6),IF(AH!$U$4=0,"unavailable",INDEX('Market Data'!$AN$5:$AN$66,AH!$U$4)),IF(AH!$U$5=1,INDEX('Live History'!$B$5:$B$3004,$K1227),INDEX('AH History'!$D$5:$GG$1380,$K1227,AH!$U$10))))&gt;0),IF(AND(AH!$U$12=1,1222+1=AH!$U$6),IF(AH!$U$4=0,"unavailable",INDEX('Market Data'!$AN$5:$AN$66,AH!$U$4)),IF(AH!$U$5=1,INDEX('Live History'!$B$5:$B$3004,$K1227),INDEX('AH History'!$D$5:$GG$1380,$K1227,AH!$U$10))),NA()),NA())</f>
        <v/>
      </c>
      <c r="F1227" s="32">
        <f>IFERROR(IF(ISNUMBER($A1227),IF(AND(AH!$U$12=1,1222+1=AH!$U$6),IF(AH!$U$4=0,"unavailable",INDEX('Market Data'!$AO$5:$AO$66,AH!$U$4)),IF(AH!$U$5=1,INDEX('Live History'!$E$5:$E$3004,MATCH($A1227,'Live History'!$D$5:$D$3004,1)),INDEX('AH History'!$D$5:$GG$1380,$K1227,AH!$U$10+1))),NA()),NA())</f>
        <v/>
      </c>
      <c r="G1227" s="34">
        <f>IFERROR(IF(ISNUMBER($A1227),IF(AND(AH!$U$12=1,1222+1=AH!$U$6),IF(AH!$U$4=0,"unavailable",INDEX('Market Data'!$AK$5:$AK$66,AH!$U$4)),IF(AH!$U$5=1,INDEX('Live History'!$D$5:$D$3004,MATCH($A1227,'Live History'!$D$5:$D$3004,1)),INDEX('AH History'!$D$5:$GG$1380,$K1227,AH!$U$10+2))),NA()),NA())</f>
        <v/>
      </c>
      <c r="H1227" s="266">
        <f>IFERROR(IF(ISNUMBER($A1227),IF(AND(AH!$U$12=1,1222+1=AH!$U$6),IF(AH!$U$4=0,"unavailable",INDEX('Market Data'!$AP$5:$AP$66,AH!$U$4)),IF(AH!$U$5=1,INDEX('Live History'!$H$5:$H$3004,MATCH($A1227,'Live History'!$G$5:$G$3004,1)),INDEX('AH History'!$B$5:$B$1380,$K1227))),NA()),NA())</f>
        <v/>
      </c>
      <c r="I1227" s="34">
        <f>IFERROR(IF(ISNUMBER($A1227),IF(AND(AH!$U$12=1,1222+1=AH!$U$6),TODAY(),IF(AH!$U$5=1,INDEX('Live History'!$G$5:$G$3004,MATCH($A1227,'Live History'!$G$5:$G$3004,1)),INDEX('AH History'!$C$5:$C$1380,$K1227))),NA()),NA())</f>
        <v/>
      </c>
      <c r="J1227" s="32">
        <f>IFERROR(IF(AND($F1227&gt;0,$H1227&gt;0,$A1227-$G1227&lt;=10,$A1227-$I1227&lt;=5,$G1227&gt;0,$I1227&gt;0),$F1227*$H1227,NA()),NA())</f>
        <v/>
      </c>
      <c r="K1227" s="15">
        <f>IF($A1227="","",IF(AH!$U$5=1,IFERROR(MATCH($A1227,'Live History'!$A$5:$A$3004,0),0),AH!$U$7+1222))</f>
        <v/>
      </c>
      <c r="L1227" s="15">
        <f>IF(ISNUMBER(A1227),TEXT(A1227,"dd-mmm-yy"),"")</f>
        <v/>
      </c>
    </row>
    <row r="1228">
      <c r="A1228" s="14">
        <f>IF(OR(AH!$U$4=0,1223+1&gt;AH!$U$6,AND(AH!$M$5="Bloomberg",AH!$U$5=0)),"",IFERROR(IF(AND(AH!$U$12=1,1223+1=AH!$U$6),TODAY(),IF(AH!$U$5=1,INDEX('Live History'!$A$5:$A$3004,AH!$U$7+1223),INDEX('AH History'!$A$5:$A$1380,AH!$U$7+1223))),""))</f>
        <v/>
      </c>
      <c r="B1228" s="33">
        <f>IFERROR(IF(AH!$U$11=1,NA(),$J1228/$E1228-1),NA())</f>
        <v/>
      </c>
      <c r="C1228" s="269">
        <f>IFERROR(100*$E1228/$E$5,NA())</f>
        <v/>
      </c>
      <c r="D1228" s="269">
        <f>IFERROR(100*$J1228/$J$5,NA())</f>
        <v/>
      </c>
      <c r="E1228" s="32">
        <f>IFERROR(IF(AND(ISNUMBER($A1228),N(IF(AND(AH!$U$12=1,1223+1=AH!$U$6),IF(AH!$U$4=0,"unavailable",INDEX('Market Data'!$AN$5:$AN$66,AH!$U$4)),IF(AH!$U$5=1,INDEX('Live History'!$B$5:$B$3004,$K1228),INDEX('AH History'!$D$5:$GG$1380,$K1228,AH!$U$10))))&gt;0),IF(AND(AH!$U$12=1,1223+1=AH!$U$6),IF(AH!$U$4=0,"unavailable",INDEX('Market Data'!$AN$5:$AN$66,AH!$U$4)),IF(AH!$U$5=1,INDEX('Live History'!$B$5:$B$3004,$K1228),INDEX('AH History'!$D$5:$GG$1380,$K1228,AH!$U$10))),NA()),NA())</f>
        <v/>
      </c>
      <c r="F1228" s="32">
        <f>IFERROR(IF(ISNUMBER($A1228),IF(AND(AH!$U$12=1,1223+1=AH!$U$6),IF(AH!$U$4=0,"unavailable",INDEX('Market Data'!$AO$5:$AO$66,AH!$U$4)),IF(AH!$U$5=1,INDEX('Live History'!$E$5:$E$3004,MATCH($A1228,'Live History'!$D$5:$D$3004,1)),INDEX('AH History'!$D$5:$GG$1380,$K1228,AH!$U$10+1))),NA()),NA())</f>
        <v/>
      </c>
      <c r="G1228" s="34">
        <f>IFERROR(IF(ISNUMBER($A1228),IF(AND(AH!$U$12=1,1223+1=AH!$U$6),IF(AH!$U$4=0,"unavailable",INDEX('Market Data'!$AK$5:$AK$66,AH!$U$4)),IF(AH!$U$5=1,INDEX('Live History'!$D$5:$D$3004,MATCH($A1228,'Live History'!$D$5:$D$3004,1)),INDEX('AH History'!$D$5:$GG$1380,$K1228,AH!$U$10+2))),NA()),NA())</f>
        <v/>
      </c>
      <c r="H1228" s="266">
        <f>IFERROR(IF(ISNUMBER($A1228),IF(AND(AH!$U$12=1,1223+1=AH!$U$6),IF(AH!$U$4=0,"unavailable",INDEX('Market Data'!$AP$5:$AP$66,AH!$U$4)),IF(AH!$U$5=1,INDEX('Live History'!$H$5:$H$3004,MATCH($A1228,'Live History'!$G$5:$G$3004,1)),INDEX('AH History'!$B$5:$B$1380,$K1228))),NA()),NA())</f>
        <v/>
      </c>
      <c r="I1228" s="34">
        <f>IFERROR(IF(ISNUMBER($A1228),IF(AND(AH!$U$12=1,1223+1=AH!$U$6),TODAY(),IF(AH!$U$5=1,INDEX('Live History'!$G$5:$G$3004,MATCH($A1228,'Live History'!$G$5:$G$3004,1)),INDEX('AH History'!$C$5:$C$1380,$K1228))),NA()),NA())</f>
        <v/>
      </c>
      <c r="J1228" s="32">
        <f>IFERROR(IF(AND($F1228&gt;0,$H1228&gt;0,$A1228-$G1228&lt;=10,$A1228-$I1228&lt;=5,$G1228&gt;0,$I1228&gt;0),$F1228*$H1228,NA()),NA())</f>
        <v/>
      </c>
      <c r="K1228" s="15">
        <f>IF($A1228="","",IF(AH!$U$5=1,IFERROR(MATCH($A1228,'Live History'!$A$5:$A$3004,0),0),AH!$U$7+1223))</f>
        <v/>
      </c>
      <c r="L1228" s="15">
        <f>IF(ISNUMBER(A1228),TEXT(A1228,"dd-mmm-yy"),"")</f>
        <v/>
      </c>
    </row>
    <row r="1229">
      <c r="A1229" s="14">
        <f>IF(OR(AH!$U$4=0,1224+1&gt;AH!$U$6,AND(AH!$M$5="Bloomberg",AH!$U$5=0)),"",IFERROR(IF(AND(AH!$U$12=1,1224+1=AH!$U$6),TODAY(),IF(AH!$U$5=1,INDEX('Live History'!$A$5:$A$3004,AH!$U$7+1224),INDEX('AH History'!$A$5:$A$1380,AH!$U$7+1224))),""))</f>
        <v/>
      </c>
      <c r="B1229" s="33">
        <f>IFERROR(IF(AH!$U$11=1,NA(),$J1229/$E1229-1),NA())</f>
        <v/>
      </c>
      <c r="C1229" s="269">
        <f>IFERROR(100*$E1229/$E$5,NA())</f>
        <v/>
      </c>
      <c r="D1229" s="269">
        <f>IFERROR(100*$J1229/$J$5,NA())</f>
        <v/>
      </c>
      <c r="E1229" s="32">
        <f>IFERROR(IF(AND(ISNUMBER($A1229),N(IF(AND(AH!$U$12=1,1224+1=AH!$U$6),IF(AH!$U$4=0,"unavailable",INDEX('Market Data'!$AN$5:$AN$66,AH!$U$4)),IF(AH!$U$5=1,INDEX('Live History'!$B$5:$B$3004,$K1229),INDEX('AH History'!$D$5:$GG$1380,$K1229,AH!$U$10))))&gt;0),IF(AND(AH!$U$12=1,1224+1=AH!$U$6),IF(AH!$U$4=0,"unavailable",INDEX('Market Data'!$AN$5:$AN$66,AH!$U$4)),IF(AH!$U$5=1,INDEX('Live History'!$B$5:$B$3004,$K1229),INDEX('AH History'!$D$5:$GG$1380,$K1229,AH!$U$10))),NA()),NA())</f>
        <v/>
      </c>
      <c r="F1229" s="32">
        <f>IFERROR(IF(ISNUMBER($A1229),IF(AND(AH!$U$12=1,1224+1=AH!$U$6),IF(AH!$U$4=0,"unavailable",INDEX('Market Data'!$AO$5:$AO$66,AH!$U$4)),IF(AH!$U$5=1,INDEX('Live History'!$E$5:$E$3004,MATCH($A1229,'Live History'!$D$5:$D$3004,1)),INDEX('AH History'!$D$5:$GG$1380,$K1229,AH!$U$10+1))),NA()),NA())</f>
        <v/>
      </c>
      <c r="G1229" s="34">
        <f>IFERROR(IF(ISNUMBER($A1229),IF(AND(AH!$U$12=1,1224+1=AH!$U$6),IF(AH!$U$4=0,"unavailable",INDEX('Market Data'!$AK$5:$AK$66,AH!$U$4)),IF(AH!$U$5=1,INDEX('Live History'!$D$5:$D$3004,MATCH($A1229,'Live History'!$D$5:$D$3004,1)),INDEX('AH History'!$D$5:$GG$1380,$K1229,AH!$U$10+2))),NA()),NA())</f>
        <v/>
      </c>
      <c r="H1229" s="266">
        <f>IFERROR(IF(ISNUMBER($A1229),IF(AND(AH!$U$12=1,1224+1=AH!$U$6),IF(AH!$U$4=0,"unavailable",INDEX('Market Data'!$AP$5:$AP$66,AH!$U$4)),IF(AH!$U$5=1,INDEX('Live History'!$H$5:$H$3004,MATCH($A1229,'Live History'!$G$5:$G$3004,1)),INDEX('AH History'!$B$5:$B$1380,$K1229))),NA()),NA())</f>
        <v/>
      </c>
      <c r="I1229" s="34">
        <f>IFERROR(IF(ISNUMBER($A1229),IF(AND(AH!$U$12=1,1224+1=AH!$U$6),TODAY(),IF(AH!$U$5=1,INDEX('Live History'!$G$5:$G$3004,MATCH($A1229,'Live History'!$G$5:$G$3004,1)),INDEX('AH History'!$C$5:$C$1380,$K1229))),NA()),NA())</f>
        <v/>
      </c>
      <c r="J1229" s="32">
        <f>IFERROR(IF(AND($F1229&gt;0,$H1229&gt;0,$A1229-$G1229&lt;=10,$A1229-$I1229&lt;=5,$G1229&gt;0,$I1229&gt;0),$F1229*$H1229,NA()),NA())</f>
        <v/>
      </c>
      <c r="K1229" s="15">
        <f>IF($A1229="","",IF(AH!$U$5=1,IFERROR(MATCH($A1229,'Live History'!$A$5:$A$3004,0),0),AH!$U$7+1224))</f>
        <v/>
      </c>
      <c r="L1229" s="15">
        <f>IF(ISNUMBER(A1229),TEXT(A1229,"dd-mmm-yy"),"")</f>
        <v/>
      </c>
    </row>
    <row r="1230">
      <c r="A1230" s="14">
        <f>IF(OR(AH!$U$4=0,1225+1&gt;AH!$U$6,AND(AH!$M$5="Bloomberg",AH!$U$5=0)),"",IFERROR(IF(AND(AH!$U$12=1,1225+1=AH!$U$6),TODAY(),IF(AH!$U$5=1,INDEX('Live History'!$A$5:$A$3004,AH!$U$7+1225),INDEX('AH History'!$A$5:$A$1380,AH!$U$7+1225))),""))</f>
        <v/>
      </c>
      <c r="B1230" s="33">
        <f>IFERROR(IF(AH!$U$11=1,NA(),$J1230/$E1230-1),NA())</f>
        <v/>
      </c>
      <c r="C1230" s="269">
        <f>IFERROR(100*$E1230/$E$5,NA())</f>
        <v/>
      </c>
      <c r="D1230" s="269">
        <f>IFERROR(100*$J1230/$J$5,NA())</f>
        <v/>
      </c>
      <c r="E1230" s="32">
        <f>IFERROR(IF(AND(ISNUMBER($A1230),N(IF(AND(AH!$U$12=1,1225+1=AH!$U$6),IF(AH!$U$4=0,"unavailable",INDEX('Market Data'!$AN$5:$AN$66,AH!$U$4)),IF(AH!$U$5=1,INDEX('Live History'!$B$5:$B$3004,$K1230),INDEX('AH History'!$D$5:$GG$1380,$K1230,AH!$U$10))))&gt;0),IF(AND(AH!$U$12=1,1225+1=AH!$U$6),IF(AH!$U$4=0,"unavailable",INDEX('Market Data'!$AN$5:$AN$66,AH!$U$4)),IF(AH!$U$5=1,INDEX('Live History'!$B$5:$B$3004,$K1230),INDEX('AH History'!$D$5:$GG$1380,$K1230,AH!$U$10))),NA()),NA())</f>
        <v/>
      </c>
      <c r="F1230" s="32">
        <f>IFERROR(IF(ISNUMBER($A1230),IF(AND(AH!$U$12=1,1225+1=AH!$U$6),IF(AH!$U$4=0,"unavailable",INDEX('Market Data'!$AO$5:$AO$66,AH!$U$4)),IF(AH!$U$5=1,INDEX('Live History'!$E$5:$E$3004,MATCH($A1230,'Live History'!$D$5:$D$3004,1)),INDEX('AH History'!$D$5:$GG$1380,$K1230,AH!$U$10+1))),NA()),NA())</f>
        <v/>
      </c>
      <c r="G1230" s="34">
        <f>IFERROR(IF(ISNUMBER($A1230),IF(AND(AH!$U$12=1,1225+1=AH!$U$6),IF(AH!$U$4=0,"unavailable",INDEX('Market Data'!$AK$5:$AK$66,AH!$U$4)),IF(AH!$U$5=1,INDEX('Live History'!$D$5:$D$3004,MATCH($A1230,'Live History'!$D$5:$D$3004,1)),INDEX('AH History'!$D$5:$GG$1380,$K1230,AH!$U$10+2))),NA()),NA())</f>
        <v/>
      </c>
      <c r="H1230" s="266">
        <f>IFERROR(IF(ISNUMBER($A1230),IF(AND(AH!$U$12=1,1225+1=AH!$U$6),IF(AH!$U$4=0,"unavailable",INDEX('Market Data'!$AP$5:$AP$66,AH!$U$4)),IF(AH!$U$5=1,INDEX('Live History'!$H$5:$H$3004,MATCH($A1230,'Live History'!$G$5:$G$3004,1)),INDEX('AH History'!$B$5:$B$1380,$K1230))),NA()),NA())</f>
        <v/>
      </c>
      <c r="I1230" s="34">
        <f>IFERROR(IF(ISNUMBER($A1230),IF(AND(AH!$U$12=1,1225+1=AH!$U$6),TODAY(),IF(AH!$U$5=1,INDEX('Live History'!$G$5:$G$3004,MATCH($A1230,'Live History'!$G$5:$G$3004,1)),INDEX('AH History'!$C$5:$C$1380,$K1230))),NA()),NA())</f>
        <v/>
      </c>
      <c r="J1230" s="32">
        <f>IFERROR(IF(AND($F1230&gt;0,$H1230&gt;0,$A1230-$G1230&lt;=10,$A1230-$I1230&lt;=5,$G1230&gt;0,$I1230&gt;0),$F1230*$H1230,NA()),NA())</f>
        <v/>
      </c>
      <c r="K1230" s="15">
        <f>IF($A1230="","",IF(AH!$U$5=1,IFERROR(MATCH($A1230,'Live History'!$A$5:$A$3004,0),0),AH!$U$7+1225))</f>
        <v/>
      </c>
      <c r="L1230" s="15">
        <f>IF(ISNUMBER(A1230),TEXT(A1230,"dd-mmm-yy"),"")</f>
        <v/>
      </c>
    </row>
    <row r="1231">
      <c r="A1231" s="14">
        <f>IF(OR(AH!$U$4=0,1226+1&gt;AH!$U$6,AND(AH!$M$5="Bloomberg",AH!$U$5=0)),"",IFERROR(IF(AND(AH!$U$12=1,1226+1=AH!$U$6),TODAY(),IF(AH!$U$5=1,INDEX('Live History'!$A$5:$A$3004,AH!$U$7+1226),INDEX('AH History'!$A$5:$A$1380,AH!$U$7+1226))),""))</f>
        <v/>
      </c>
      <c r="B1231" s="33">
        <f>IFERROR(IF(AH!$U$11=1,NA(),$J1231/$E1231-1),NA())</f>
        <v/>
      </c>
      <c r="C1231" s="269">
        <f>IFERROR(100*$E1231/$E$5,NA())</f>
        <v/>
      </c>
      <c r="D1231" s="269">
        <f>IFERROR(100*$J1231/$J$5,NA())</f>
        <v/>
      </c>
      <c r="E1231" s="32">
        <f>IFERROR(IF(AND(ISNUMBER($A1231),N(IF(AND(AH!$U$12=1,1226+1=AH!$U$6),IF(AH!$U$4=0,"unavailable",INDEX('Market Data'!$AN$5:$AN$66,AH!$U$4)),IF(AH!$U$5=1,INDEX('Live History'!$B$5:$B$3004,$K1231),INDEX('AH History'!$D$5:$GG$1380,$K1231,AH!$U$10))))&gt;0),IF(AND(AH!$U$12=1,1226+1=AH!$U$6),IF(AH!$U$4=0,"unavailable",INDEX('Market Data'!$AN$5:$AN$66,AH!$U$4)),IF(AH!$U$5=1,INDEX('Live History'!$B$5:$B$3004,$K1231),INDEX('AH History'!$D$5:$GG$1380,$K1231,AH!$U$10))),NA()),NA())</f>
        <v/>
      </c>
      <c r="F1231" s="32">
        <f>IFERROR(IF(ISNUMBER($A1231),IF(AND(AH!$U$12=1,1226+1=AH!$U$6),IF(AH!$U$4=0,"unavailable",INDEX('Market Data'!$AO$5:$AO$66,AH!$U$4)),IF(AH!$U$5=1,INDEX('Live History'!$E$5:$E$3004,MATCH($A1231,'Live History'!$D$5:$D$3004,1)),INDEX('AH History'!$D$5:$GG$1380,$K1231,AH!$U$10+1))),NA()),NA())</f>
        <v/>
      </c>
      <c r="G1231" s="34">
        <f>IFERROR(IF(ISNUMBER($A1231),IF(AND(AH!$U$12=1,1226+1=AH!$U$6),IF(AH!$U$4=0,"unavailable",INDEX('Market Data'!$AK$5:$AK$66,AH!$U$4)),IF(AH!$U$5=1,INDEX('Live History'!$D$5:$D$3004,MATCH($A1231,'Live History'!$D$5:$D$3004,1)),INDEX('AH History'!$D$5:$GG$1380,$K1231,AH!$U$10+2))),NA()),NA())</f>
        <v/>
      </c>
      <c r="H1231" s="266">
        <f>IFERROR(IF(ISNUMBER($A1231),IF(AND(AH!$U$12=1,1226+1=AH!$U$6),IF(AH!$U$4=0,"unavailable",INDEX('Market Data'!$AP$5:$AP$66,AH!$U$4)),IF(AH!$U$5=1,INDEX('Live History'!$H$5:$H$3004,MATCH($A1231,'Live History'!$G$5:$G$3004,1)),INDEX('AH History'!$B$5:$B$1380,$K1231))),NA()),NA())</f>
        <v/>
      </c>
      <c r="I1231" s="34">
        <f>IFERROR(IF(ISNUMBER($A1231),IF(AND(AH!$U$12=1,1226+1=AH!$U$6),TODAY(),IF(AH!$U$5=1,INDEX('Live History'!$G$5:$G$3004,MATCH($A1231,'Live History'!$G$5:$G$3004,1)),INDEX('AH History'!$C$5:$C$1380,$K1231))),NA()),NA())</f>
        <v/>
      </c>
      <c r="J1231" s="32">
        <f>IFERROR(IF(AND($F1231&gt;0,$H1231&gt;0,$A1231-$G1231&lt;=10,$A1231-$I1231&lt;=5,$G1231&gt;0,$I1231&gt;0),$F1231*$H1231,NA()),NA())</f>
        <v/>
      </c>
      <c r="K1231" s="15">
        <f>IF($A1231="","",IF(AH!$U$5=1,IFERROR(MATCH($A1231,'Live History'!$A$5:$A$3004,0),0),AH!$U$7+1226))</f>
        <v/>
      </c>
      <c r="L1231" s="15">
        <f>IF(ISNUMBER(A1231),TEXT(A1231,"dd-mmm-yy"),"")</f>
        <v/>
      </c>
    </row>
    <row r="1232">
      <c r="A1232" s="14">
        <f>IF(OR(AH!$U$4=0,1227+1&gt;AH!$U$6,AND(AH!$M$5="Bloomberg",AH!$U$5=0)),"",IFERROR(IF(AND(AH!$U$12=1,1227+1=AH!$U$6),TODAY(),IF(AH!$U$5=1,INDEX('Live History'!$A$5:$A$3004,AH!$U$7+1227),INDEX('AH History'!$A$5:$A$1380,AH!$U$7+1227))),""))</f>
        <v/>
      </c>
      <c r="B1232" s="33">
        <f>IFERROR(IF(AH!$U$11=1,NA(),$J1232/$E1232-1),NA())</f>
        <v/>
      </c>
      <c r="C1232" s="269">
        <f>IFERROR(100*$E1232/$E$5,NA())</f>
        <v/>
      </c>
      <c r="D1232" s="269">
        <f>IFERROR(100*$J1232/$J$5,NA())</f>
        <v/>
      </c>
      <c r="E1232" s="32">
        <f>IFERROR(IF(AND(ISNUMBER($A1232),N(IF(AND(AH!$U$12=1,1227+1=AH!$U$6),IF(AH!$U$4=0,"unavailable",INDEX('Market Data'!$AN$5:$AN$66,AH!$U$4)),IF(AH!$U$5=1,INDEX('Live History'!$B$5:$B$3004,$K1232),INDEX('AH History'!$D$5:$GG$1380,$K1232,AH!$U$10))))&gt;0),IF(AND(AH!$U$12=1,1227+1=AH!$U$6),IF(AH!$U$4=0,"unavailable",INDEX('Market Data'!$AN$5:$AN$66,AH!$U$4)),IF(AH!$U$5=1,INDEX('Live History'!$B$5:$B$3004,$K1232),INDEX('AH History'!$D$5:$GG$1380,$K1232,AH!$U$10))),NA()),NA())</f>
        <v/>
      </c>
      <c r="F1232" s="32">
        <f>IFERROR(IF(ISNUMBER($A1232),IF(AND(AH!$U$12=1,1227+1=AH!$U$6),IF(AH!$U$4=0,"unavailable",INDEX('Market Data'!$AO$5:$AO$66,AH!$U$4)),IF(AH!$U$5=1,INDEX('Live History'!$E$5:$E$3004,MATCH($A1232,'Live History'!$D$5:$D$3004,1)),INDEX('AH History'!$D$5:$GG$1380,$K1232,AH!$U$10+1))),NA()),NA())</f>
        <v/>
      </c>
      <c r="G1232" s="34">
        <f>IFERROR(IF(ISNUMBER($A1232),IF(AND(AH!$U$12=1,1227+1=AH!$U$6),IF(AH!$U$4=0,"unavailable",INDEX('Market Data'!$AK$5:$AK$66,AH!$U$4)),IF(AH!$U$5=1,INDEX('Live History'!$D$5:$D$3004,MATCH($A1232,'Live History'!$D$5:$D$3004,1)),INDEX('AH History'!$D$5:$GG$1380,$K1232,AH!$U$10+2))),NA()),NA())</f>
        <v/>
      </c>
      <c r="H1232" s="266">
        <f>IFERROR(IF(ISNUMBER($A1232),IF(AND(AH!$U$12=1,1227+1=AH!$U$6),IF(AH!$U$4=0,"unavailable",INDEX('Market Data'!$AP$5:$AP$66,AH!$U$4)),IF(AH!$U$5=1,INDEX('Live History'!$H$5:$H$3004,MATCH($A1232,'Live History'!$G$5:$G$3004,1)),INDEX('AH History'!$B$5:$B$1380,$K1232))),NA()),NA())</f>
        <v/>
      </c>
      <c r="I1232" s="34">
        <f>IFERROR(IF(ISNUMBER($A1232),IF(AND(AH!$U$12=1,1227+1=AH!$U$6),TODAY(),IF(AH!$U$5=1,INDEX('Live History'!$G$5:$G$3004,MATCH($A1232,'Live History'!$G$5:$G$3004,1)),INDEX('AH History'!$C$5:$C$1380,$K1232))),NA()),NA())</f>
        <v/>
      </c>
      <c r="J1232" s="32">
        <f>IFERROR(IF(AND($F1232&gt;0,$H1232&gt;0,$A1232-$G1232&lt;=10,$A1232-$I1232&lt;=5,$G1232&gt;0,$I1232&gt;0),$F1232*$H1232,NA()),NA())</f>
        <v/>
      </c>
      <c r="K1232" s="15">
        <f>IF($A1232="","",IF(AH!$U$5=1,IFERROR(MATCH($A1232,'Live History'!$A$5:$A$3004,0),0),AH!$U$7+1227))</f>
        <v/>
      </c>
      <c r="L1232" s="15">
        <f>IF(ISNUMBER(A1232),TEXT(A1232,"dd-mmm-yy"),"")</f>
        <v/>
      </c>
    </row>
    <row r="1233">
      <c r="A1233" s="14">
        <f>IF(OR(AH!$U$4=0,1228+1&gt;AH!$U$6,AND(AH!$M$5="Bloomberg",AH!$U$5=0)),"",IFERROR(IF(AND(AH!$U$12=1,1228+1=AH!$U$6),TODAY(),IF(AH!$U$5=1,INDEX('Live History'!$A$5:$A$3004,AH!$U$7+1228),INDEX('AH History'!$A$5:$A$1380,AH!$U$7+1228))),""))</f>
        <v/>
      </c>
      <c r="B1233" s="33">
        <f>IFERROR(IF(AH!$U$11=1,NA(),$J1233/$E1233-1),NA())</f>
        <v/>
      </c>
      <c r="C1233" s="269">
        <f>IFERROR(100*$E1233/$E$5,NA())</f>
        <v/>
      </c>
      <c r="D1233" s="269">
        <f>IFERROR(100*$J1233/$J$5,NA())</f>
        <v/>
      </c>
      <c r="E1233" s="32">
        <f>IFERROR(IF(AND(ISNUMBER($A1233),N(IF(AND(AH!$U$12=1,1228+1=AH!$U$6),IF(AH!$U$4=0,"unavailable",INDEX('Market Data'!$AN$5:$AN$66,AH!$U$4)),IF(AH!$U$5=1,INDEX('Live History'!$B$5:$B$3004,$K1233),INDEX('AH History'!$D$5:$GG$1380,$K1233,AH!$U$10))))&gt;0),IF(AND(AH!$U$12=1,1228+1=AH!$U$6),IF(AH!$U$4=0,"unavailable",INDEX('Market Data'!$AN$5:$AN$66,AH!$U$4)),IF(AH!$U$5=1,INDEX('Live History'!$B$5:$B$3004,$K1233),INDEX('AH History'!$D$5:$GG$1380,$K1233,AH!$U$10))),NA()),NA())</f>
        <v/>
      </c>
      <c r="F1233" s="32">
        <f>IFERROR(IF(ISNUMBER($A1233),IF(AND(AH!$U$12=1,1228+1=AH!$U$6),IF(AH!$U$4=0,"unavailable",INDEX('Market Data'!$AO$5:$AO$66,AH!$U$4)),IF(AH!$U$5=1,INDEX('Live History'!$E$5:$E$3004,MATCH($A1233,'Live History'!$D$5:$D$3004,1)),INDEX('AH History'!$D$5:$GG$1380,$K1233,AH!$U$10+1))),NA()),NA())</f>
        <v/>
      </c>
      <c r="G1233" s="34">
        <f>IFERROR(IF(ISNUMBER($A1233),IF(AND(AH!$U$12=1,1228+1=AH!$U$6),IF(AH!$U$4=0,"unavailable",INDEX('Market Data'!$AK$5:$AK$66,AH!$U$4)),IF(AH!$U$5=1,INDEX('Live History'!$D$5:$D$3004,MATCH($A1233,'Live History'!$D$5:$D$3004,1)),INDEX('AH History'!$D$5:$GG$1380,$K1233,AH!$U$10+2))),NA()),NA())</f>
        <v/>
      </c>
      <c r="H1233" s="266">
        <f>IFERROR(IF(ISNUMBER($A1233),IF(AND(AH!$U$12=1,1228+1=AH!$U$6),IF(AH!$U$4=0,"unavailable",INDEX('Market Data'!$AP$5:$AP$66,AH!$U$4)),IF(AH!$U$5=1,INDEX('Live History'!$H$5:$H$3004,MATCH($A1233,'Live History'!$G$5:$G$3004,1)),INDEX('AH History'!$B$5:$B$1380,$K1233))),NA()),NA())</f>
        <v/>
      </c>
      <c r="I1233" s="34">
        <f>IFERROR(IF(ISNUMBER($A1233),IF(AND(AH!$U$12=1,1228+1=AH!$U$6),TODAY(),IF(AH!$U$5=1,INDEX('Live History'!$G$5:$G$3004,MATCH($A1233,'Live History'!$G$5:$G$3004,1)),INDEX('AH History'!$C$5:$C$1380,$K1233))),NA()),NA())</f>
        <v/>
      </c>
      <c r="J1233" s="32">
        <f>IFERROR(IF(AND($F1233&gt;0,$H1233&gt;0,$A1233-$G1233&lt;=10,$A1233-$I1233&lt;=5,$G1233&gt;0,$I1233&gt;0),$F1233*$H1233,NA()),NA())</f>
        <v/>
      </c>
      <c r="K1233" s="15">
        <f>IF($A1233="","",IF(AH!$U$5=1,IFERROR(MATCH($A1233,'Live History'!$A$5:$A$3004,0),0),AH!$U$7+1228))</f>
        <v/>
      </c>
      <c r="L1233" s="15">
        <f>IF(ISNUMBER(A1233),TEXT(A1233,"dd-mmm-yy"),"")</f>
        <v/>
      </c>
    </row>
    <row r="1234">
      <c r="A1234" s="14">
        <f>IF(OR(AH!$U$4=0,1229+1&gt;AH!$U$6,AND(AH!$M$5="Bloomberg",AH!$U$5=0)),"",IFERROR(IF(AND(AH!$U$12=1,1229+1=AH!$U$6),TODAY(),IF(AH!$U$5=1,INDEX('Live History'!$A$5:$A$3004,AH!$U$7+1229),INDEX('AH History'!$A$5:$A$1380,AH!$U$7+1229))),""))</f>
        <v/>
      </c>
      <c r="B1234" s="33">
        <f>IFERROR(IF(AH!$U$11=1,NA(),$J1234/$E1234-1),NA())</f>
        <v/>
      </c>
      <c r="C1234" s="269">
        <f>IFERROR(100*$E1234/$E$5,NA())</f>
        <v/>
      </c>
      <c r="D1234" s="269">
        <f>IFERROR(100*$J1234/$J$5,NA())</f>
        <v/>
      </c>
      <c r="E1234" s="32">
        <f>IFERROR(IF(AND(ISNUMBER($A1234),N(IF(AND(AH!$U$12=1,1229+1=AH!$U$6),IF(AH!$U$4=0,"unavailable",INDEX('Market Data'!$AN$5:$AN$66,AH!$U$4)),IF(AH!$U$5=1,INDEX('Live History'!$B$5:$B$3004,$K1234),INDEX('AH History'!$D$5:$GG$1380,$K1234,AH!$U$10))))&gt;0),IF(AND(AH!$U$12=1,1229+1=AH!$U$6),IF(AH!$U$4=0,"unavailable",INDEX('Market Data'!$AN$5:$AN$66,AH!$U$4)),IF(AH!$U$5=1,INDEX('Live History'!$B$5:$B$3004,$K1234),INDEX('AH History'!$D$5:$GG$1380,$K1234,AH!$U$10))),NA()),NA())</f>
        <v/>
      </c>
      <c r="F1234" s="32">
        <f>IFERROR(IF(ISNUMBER($A1234),IF(AND(AH!$U$12=1,1229+1=AH!$U$6),IF(AH!$U$4=0,"unavailable",INDEX('Market Data'!$AO$5:$AO$66,AH!$U$4)),IF(AH!$U$5=1,INDEX('Live History'!$E$5:$E$3004,MATCH($A1234,'Live History'!$D$5:$D$3004,1)),INDEX('AH History'!$D$5:$GG$1380,$K1234,AH!$U$10+1))),NA()),NA())</f>
        <v/>
      </c>
      <c r="G1234" s="34">
        <f>IFERROR(IF(ISNUMBER($A1234),IF(AND(AH!$U$12=1,1229+1=AH!$U$6),IF(AH!$U$4=0,"unavailable",INDEX('Market Data'!$AK$5:$AK$66,AH!$U$4)),IF(AH!$U$5=1,INDEX('Live History'!$D$5:$D$3004,MATCH($A1234,'Live History'!$D$5:$D$3004,1)),INDEX('AH History'!$D$5:$GG$1380,$K1234,AH!$U$10+2))),NA()),NA())</f>
        <v/>
      </c>
      <c r="H1234" s="266">
        <f>IFERROR(IF(ISNUMBER($A1234),IF(AND(AH!$U$12=1,1229+1=AH!$U$6),IF(AH!$U$4=0,"unavailable",INDEX('Market Data'!$AP$5:$AP$66,AH!$U$4)),IF(AH!$U$5=1,INDEX('Live History'!$H$5:$H$3004,MATCH($A1234,'Live History'!$G$5:$G$3004,1)),INDEX('AH History'!$B$5:$B$1380,$K1234))),NA()),NA())</f>
        <v/>
      </c>
      <c r="I1234" s="34">
        <f>IFERROR(IF(ISNUMBER($A1234),IF(AND(AH!$U$12=1,1229+1=AH!$U$6),TODAY(),IF(AH!$U$5=1,INDEX('Live History'!$G$5:$G$3004,MATCH($A1234,'Live History'!$G$5:$G$3004,1)),INDEX('AH History'!$C$5:$C$1380,$K1234))),NA()),NA())</f>
        <v/>
      </c>
      <c r="J1234" s="32">
        <f>IFERROR(IF(AND($F1234&gt;0,$H1234&gt;0,$A1234-$G1234&lt;=10,$A1234-$I1234&lt;=5,$G1234&gt;0,$I1234&gt;0),$F1234*$H1234,NA()),NA())</f>
        <v/>
      </c>
      <c r="K1234" s="15">
        <f>IF($A1234="","",IF(AH!$U$5=1,IFERROR(MATCH($A1234,'Live History'!$A$5:$A$3004,0),0),AH!$U$7+1229))</f>
        <v/>
      </c>
      <c r="L1234" s="15">
        <f>IF(ISNUMBER(A1234),TEXT(A1234,"dd-mmm-yy"),"")</f>
        <v/>
      </c>
    </row>
    <row r="1235">
      <c r="A1235" s="14">
        <f>IF(OR(AH!$U$4=0,1230+1&gt;AH!$U$6,AND(AH!$M$5="Bloomberg",AH!$U$5=0)),"",IFERROR(IF(AND(AH!$U$12=1,1230+1=AH!$U$6),TODAY(),IF(AH!$U$5=1,INDEX('Live History'!$A$5:$A$3004,AH!$U$7+1230),INDEX('AH History'!$A$5:$A$1380,AH!$U$7+1230))),""))</f>
        <v/>
      </c>
      <c r="B1235" s="33">
        <f>IFERROR(IF(AH!$U$11=1,NA(),$J1235/$E1235-1),NA())</f>
        <v/>
      </c>
      <c r="C1235" s="269">
        <f>IFERROR(100*$E1235/$E$5,NA())</f>
        <v/>
      </c>
      <c r="D1235" s="269">
        <f>IFERROR(100*$J1235/$J$5,NA())</f>
        <v/>
      </c>
      <c r="E1235" s="32">
        <f>IFERROR(IF(AND(ISNUMBER($A1235),N(IF(AND(AH!$U$12=1,1230+1=AH!$U$6),IF(AH!$U$4=0,"unavailable",INDEX('Market Data'!$AN$5:$AN$66,AH!$U$4)),IF(AH!$U$5=1,INDEX('Live History'!$B$5:$B$3004,$K1235),INDEX('AH History'!$D$5:$GG$1380,$K1235,AH!$U$10))))&gt;0),IF(AND(AH!$U$12=1,1230+1=AH!$U$6),IF(AH!$U$4=0,"unavailable",INDEX('Market Data'!$AN$5:$AN$66,AH!$U$4)),IF(AH!$U$5=1,INDEX('Live History'!$B$5:$B$3004,$K1235),INDEX('AH History'!$D$5:$GG$1380,$K1235,AH!$U$10))),NA()),NA())</f>
        <v/>
      </c>
      <c r="F1235" s="32">
        <f>IFERROR(IF(ISNUMBER($A1235),IF(AND(AH!$U$12=1,1230+1=AH!$U$6),IF(AH!$U$4=0,"unavailable",INDEX('Market Data'!$AO$5:$AO$66,AH!$U$4)),IF(AH!$U$5=1,INDEX('Live History'!$E$5:$E$3004,MATCH($A1235,'Live History'!$D$5:$D$3004,1)),INDEX('AH History'!$D$5:$GG$1380,$K1235,AH!$U$10+1))),NA()),NA())</f>
        <v/>
      </c>
      <c r="G1235" s="34">
        <f>IFERROR(IF(ISNUMBER($A1235),IF(AND(AH!$U$12=1,1230+1=AH!$U$6),IF(AH!$U$4=0,"unavailable",INDEX('Market Data'!$AK$5:$AK$66,AH!$U$4)),IF(AH!$U$5=1,INDEX('Live History'!$D$5:$D$3004,MATCH($A1235,'Live History'!$D$5:$D$3004,1)),INDEX('AH History'!$D$5:$GG$1380,$K1235,AH!$U$10+2))),NA()),NA())</f>
        <v/>
      </c>
      <c r="H1235" s="266">
        <f>IFERROR(IF(ISNUMBER($A1235),IF(AND(AH!$U$12=1,1230+1=AH!$U$6),IF(AH!$U$4=0,"unavailable",INDEX('Market Data'!$AP$5:$AP$66,AH!$U$4)),IF(AH!$U$5=1,INDEX('Live History'!$H$5:$H$3004,MATCH($A1235,'Live History'!$G$5:$G$3004,1)),INDEX('AH History'!$B$5:$B$1380,$K1235))),NA()),NA())</f>
        <v/>
      </c>
      <c r="I1235" s="34">
        <f>IFERROR(IF(ISNUMBER($A1235),IF(AND(AH!$U$12=1,1230+1=AH!$U$6),TODAY(),IF(AH!$U$5=1,INDEX('Live History'!$G$5:$G$3004,MATCH($A1235,'Live History'!$G$5:$G$3004,1)),INDEX('AH History'!$C$5:$C$1380,$K1235))),NA()),NA())</f>
        <v/>
      </c>
      <c r="J1235" s="32">
        <f>IFERROR(IF(AND($F1235&gt;0,$H1235&gt;0,$A1235-$G1235&lt;=10,$A1235-$I1235&lt;=5,$G1235&gt;0,$I1235&gt;0),$F1235*$H1235,NA()),NA())</f>
        <v/>
      </c>
      <c r="K1235" s="15">
        <f>IF($A1235="","",IF(AH!$U$5=1,IFERROR(MATCH($A1235,'Live History'!$A$5:$A$3004,0),0),AH!$U$7+1230))</f>
        <v/>
      </c>
      <c r="L1235" s="15">
        <f>IF(ISNUMBER(A1235),TEXT(A1235,"dd-mmm-yy"),"")</f>
        <v/>
      </c>
    </row>
    <row r="1236">
      <c r="A1236" s="14">
        <f>IF(OR(AH!$U$4=0,1231+1&gt;AH!$U$6,AND(AH!$M$5="Bloomberg",AH!$U$5=0)),"",IFERROR(IF(AND(AH!$U$12=1,1231+1=AH!$U$6),TODAY(),IF(AH!$U$5=1,INDEX('Live History'!$A$5:$A$3004,AH!$U$7+1231),INDEX('AH History'!$A$5:$A$1380,AH!$U$7+1231))),""))</f>
        <v/>
      </c>
      <c r="B1236" s="33">
        <f>IFERROR(IF(AH!$U$11=1,NA(),$J1236/$E1236-1),NA())</f>
        <v/>
      </c>
      <c r="C1236" s="269">
        <f>IFERROR(100*$E1236/$E$5,NA())</f>
        <v/>
      </c>
      <c r="D1236" s="269">
        <f>IFERROR(100*$J1236/$J$5,NA())</f>
        <v/>
      </c>
      <c r="E1236" s="32">
        <f>IFERROR(IF(AND(ISNUMBER($A1236),N(IF(AND(AH!$U$12=1,1231+1=AH!$U$6),IF(AH!$U$4=0,"unavailable",INDEX('Market Data'!$AN$5:$AN$66,AH!$U$4)),IF(AH!$U$5=1,INDEX('Live History'!$B$5:$B$3004,$K1236),INDEX('AH History'!$D$5:$GG$1380,$K1236,AH!$U$10))))&gt;0),IF(AND(AH!$U$12=1,1231+1=AH!$U$6),IF(AH!$U$4=0,"unavailable",INDEX('Market Data'!$AN$5:$AN$66,AH!$U$4)),IF(AH!$U$5=1,INDEX('Live History'!$B$5:$B$3004,$K1236),INDEX('AH History'!$D$5:$GG$1380,$K1236,AH!$U$10))),NA()),NA())</f>
        <v/>
      </c>
      <c r="F1236" s="32">
        <f>IFERROR(IF(ISNUMBER($A1236),IF(AND(AH!$U$12=1,1231+1=AH!$U$6),IF(AH!$U$4=0,"unavailable",INDEX('Market Data'!$AO$5:$AO$66,AH!$U$4)),IF(AH!$U$5=1,INDEX('Live History'!$E$5:$E$3004,MATCH($A1236,'Live History'!$D$5:$D$3004,1)),INDEX('AH History'!$D$5:$GG$1380,$K1236,AH!$U$10+1))),NA()),NA())</f>
        <v/>
      </c>
      <c r="G1236" s="34">
        <f>IFERROR(IF(ISNUMBER($A1236),IF(AND(AH!$U$12=1,1231+1=AH!$U$6),IF(AH!$U$4=0,"unavailable",INDEX('Market Data'!$AK$5:$AK$66,AH!$U$4)),IF(AH!$U$5=1,INDEX('Live History'!$D$5:$D$3004,MATCH($A1236,'Live History'!$D$5:$D$3004,1)),INDEX('AH History'!$D$5:$GG$1380,$K1236,AH!$U$10+2))),NA()),NA())</f>
        <v/>
      </c>
      <c r="H1236" s="266">
        <f>IFERROR(IF(ISNUMBER($A1236),IF(AND(AH!$U$12=1,1231+1=AH!$U$6),IF(AH!$U$4=0,"unavailable",INDEX('Market Data'!$AP$5:$AP$66,AH!$U$4)),IF(AH!$U$5=1,INDEX('Live History'!$H$5:$H$3004,MATCH($A1236,'Live History'!$G$5:$G$3004,1)),INDEX('AH History'!$B$5:$B$1380,$K1236))),NA()),NA())</f>
        <v/>
      </c>
      <c r="I1236" s="34">
        <f>IFERROR(IF(ISNUMBER($A1236),IF(AND(AH!$U$12=1,1231+1=AH!$U$6),TODAY(),IF(AH!$U$5=1,INDEX('Live History'!$G$5:$G$3004,MATCH($A1236,'Live History'!$G$5:$G$3004,1)),INDEX('AH History'!$C$5:$C$1380,$K1236))),NA()),NA())</f>
        <v/>
      </c>
      <c r="J1236" s="32">
        <f>IFERROR(IF(AND($F1236&gt;0,$H1236&gt;0,$A1236-$G1236&lt;=10,$A1236-$I1236&lt;=5,$G1236&gt;0,$I1236&gt;0),$F1236*$H1236,NA()),NA())</f>
        <v/>
      </c>
      <c r="K1236" s="15">
        <f>IF($A1236="","",IF(AH!$U$5=1,IFERROR(MATCH($A1236,'Live History'!$A$5:$A$3004,0),0),AH!$U$7+1231))</f>
        <v/>
      </c>
      <c r="L1236" s="15">
        <f>IF(ISNUMBER(A1236),TEXT(A1236,"dd-mmm-yy"),"")</f>
        <v/>
      </c>
    </row>
    <row r="1237">
      <c r="A1237" s="14">
        <f>IF(OR(AH!$U$4=0,1232+1&gt;AH!$U$6,AND(AH!$M$5="Bloomberg",AH!$U$5=0)),"",IFERROR(IF(AND(AH!$U$12=1,1232+1=AH!$U$6),TODAY(),IF(AH!$U$5=1,INDEX('Live History'!$A$5:$A$3004,AH!$U$7+1232),INDEX('AH History'!$A$5:$A$1380,AH!$U$7+1232))),""))</f>
        <v/>
      </c>
      <c r="B1237" s="33">
        <f>IFERROR(IF(AH!$U$11=1,NA(),$J1237/$E1237-1),NA())</f>
        <v/>
      </c>
      <c r="C1237" s="269">
        <f>IFERROR(100*$E1237/$E$5,NA())</f>
        <v/>
      </c>
      <c r="D1237" s="269">
        <f>IFERROR(100*$J1237/$J$5,NA())</f>
        <v/>
      </c>
      <c r="E1237" s="32">
        <f>IFERROR(IF(AND(ISNUMBER($A1237),N(IF(AND(AH!$U$12=1,1232+1=AH!$U$6),IF(AH!$U$4=0,"unavailable",INDEX('Market Data'!$AN$5:$AN$66,AH!$U$4)),IF(AH!$U$5=1,INDEX('Live History'!$B$5:$B$3004,$K1237),INDEX('AH History'!$D$5:$GG$1380,$K1237,AH!$U$10))))&gt;0),IF(AND(AH!$U$12=1,1232+1=AH!$U$6),IF(AH!$U$4=0,"unavailable",INDEX('Market Data'!$AN$5:$AN$66,AH!$U$4)),IF(AH!$U$5=1,INDEX('Live History'!$B$5:$B$3004,$K1237),INDEX('AH History'!$D$5:$GG$1380,$K1237,AH!$U$10))),NA()),NA())</f>
        <v/>
      </c>
      <c r="F1237" s="32">
        <f>IFERROR(IF(ISNUMBER($A1237),IF(AND(AH!$U$12=1,1232+1=AH!$U$6),IF(AH!$U$4=0,"unavailable",INDEX('Market Data'!$AO$5:$AO$66,AH!$U$4)),IF(AH!$U$5=1,INDEX('Live History'!$E$5:$E$3004,MATCH($A1237,'Live History'!$D$5:$D$3004,1)),INDEX('AH History'!$D$5:$GG$1380,$K1237,AH!$U$10+1))),NA()),NA())</f>
        <v/>
      </c>
      <c r="G1237" s="34">
        <f>IFERROR(IF(ISNUMBER($A1237),IF(AND(AH!$U$12=1,1232+1=AH!$U$6),IF(AH!$U$4=0,"unavailable",INDEX('Market Data'!$AK$5:$AK$66,AH!$U$4)),IF(AH!$U$5=1,INDEX('Live History'!$D$5:$D$3004,MATCH($A1237,'Live History'!$D$5:$D$3004,1)),INDEX('AH History'!$D$5:$GG$1380,$K1237,AH!$U$10+2))),NA()),NA())</f>
        <v/>
      </c>
      <c r="H1237" s="266">
        <f>IFERROR(IF(ISNUMBER($A1237),IF(AND(AH!$U$12=1,1232+1=AH!$U$6),IF(AH!$U$4=0,"unavailable",INDEX('Market Data'!$AP$5:$AP$66,AH!$U$4)),IF(AH!$U$5=1,INDEX('Live History'!$H$5:$H$3004,MATCH($A1237,'Live History'!$G$5:$G$3004,1)),INDEX('AH History'!$B$5:$B$1380,$K1237))),NA()),NA())</f>
        <v/>
      </c>
      <c r="I1237" s="34">
        <f>IFERROR(IF(ISNUMBER($A1237),IF(AND(AH!$U$12=1,1232+1=AH!$U$6),TODAY(),IF(AH!$U$5=1,INDEX('Live History'!$G$5:$G$3004,MATCH($A1237,'Live History'!$G$5:$G$3004,1)),INDEX('AH History'!$C$5:$C$1380,$K1237))),NA()),NA())</f>
        <v/>
      </c>
      <c r="J1237" s="32">
        <f>IFERROR(IF(AND($F1237&gt;0,$H1237&gt;0,$A1237-$G1237&lt;=10,$A1237-$I1237&lt;=5,$G1237&gt;0,$I1237&gt;0),$F1237*$H1237,NA()),NA())</f>
        <v/>
      </c>
      <c r="K1237" s="15">
        <f>IF($A1237="","",IF(AH!$U$5=1,IFERROR(MATCH($A1237,'Live History'!$A$5:$A$3004,0),0),AH!$U$7+1232))</f>
        <v/>
      </c>
      <c r="L1237" s="15">
        <f>IF(ISNUMBER(A1237),TEXT(A1237,"dd-mmm-yy"),"")</f>
        <v/>
      </c>
    </row>
    <row r="1238">
      <c r="A1238" s="14">
        <f>IF(OR(AH!$U$4=0,1233+1&gt;AH!$U$6,AND(AH!$M$5="Bloomberg",AH!$U$5=0)),"",IFERROR(IF(AND(AH!$U$12=1,1233+1=AH!$U$6),TODAY(),IF(AH!$U$5=1,INDEX('Live History'!$A$5:$A$3004,AH!$U$7+1233),INDEX('AH History'!$A$5:$A$1380,AH!$U$7+1233))),""))</f>
        <v/>
      </c>
      <c r="B1238" s="33">
        <f>IFERROR(IF(AH!$U$11=1,NA(),$J1238/$E1238-1),NA())</f>
        <v/>
      </c>
      <c r="C1238" s="269">
        <f>IFERROR(100*$E1238/$E$5,NA())</f>
        <v/>
      </c>
      <c r="D1238" s="269">
        <f>IFERROR(100*$J1238/$J$5,NA())</f>
        <v/>
      </c>
      <c r="E1238" s="32">
        <f>IFERROR(IF(AND(ISNUMBER($A1238),N(IF(AND(AH!$U$12=1,1233+1=AH!$U$6),IF(AH!$U$4=0,"unavailable",INDEX('Market Data'!$AN$5:$AN$66,AH!$U$4)),IF(AH!$U$5=1,INDEX('Live History'!$B$5:$B$3004,$K1238),INDEX('AH History'!$D$5:$GG$1380,$K1238,AH!$U$10))))&gt;0),IF(AND(AH!$U$12=1,1233+1=AH!$U$6),IF(AH!$U$4=0,"unavailable",INDEX('Market Data'!$AN$5:$AN$66,AH!$U$4)),IF(AH!$U$5=1,INDEX('Live History'!$B$5:$B$3004,$K1238),INDEX('AH History'!$D$5:$GG$1380,$K1238,AH!$U$10))),NA()),NA())</f>
        <v/>
      </c>
      <c r="F1238" s="32">
        <f>IFERROR(IF(ISNUMBER($A1238),IF(AND(AH!$U$12=1,1233+1=AH!$U$6),IF(AH!$U$4=0,"unavailable",INDEX('Market Data'!$AO$5:$AO$66,AH!$U$4)),IF(AH!$U$5=1,INDEX('Live History'!$E$5:$E$3004,MATCH($A1238,'Live History'!$D$5:$D$3004,1)),INDEX('AH History'!$D$5:$GG$1380,$K1238,AH!$U$10+1))),NA()),NA())</f>
        <v/>
      </c>
      <c r="G1238" s="34">
        <f>IFERROR(IF(ISNUMBER($A1238),IF(AND(AH!$U$12=1,1233+1=AH!$U$6),IF(AH!$U$4=0,"unavailable",INDEX('Market Data'!$AK$5:$AK$66,AH!$U$4)),IF(AH!$U$5=1,INDEX('Live History'!$D$5:$D$3004,MATCH($A1238,'Live History'!$D$5:$D$3004,1)),INDEX('AH History'!$D$5:$GG$1380,$K1238,AH!$U$10+2))),NA()),NA())</f>
        <v/>
      </c>
      <c r="H1238" s="266">
        <f>IFERROR(IF(ISNUMBER($A1238),IF(AND(AH!$U$12=1,1233+1=AH!$U$6),IF(AH!$U$4=0,"unavailable",INDEX('Market Data'!$AP$5:$AP$66,AH!$U$4)),IF(AH!$U$5=1,INDEX('Live History'!$H$5:$H$3004,MATCH($A1238,'Live History'!$G$5:$G$3004,1)),INDEX('AH History'!$B$5:$B$1380,$K1238))),NA()),NA())</f>
        <v/>
      </c>
      <c r="I1238" s="34">
        <f>IFERROR(IF(ISNUMBER($A1238),IF(AND(AH!$U$12=1,1233+1=AH!$U$6),TODAY(),IF(AH!$U$5=1,INDEX('Live History'!$G$5:$G$3004,MATCH($A1238,'Live History'!$G$5:$G$3004,1)),INDEX('AH History'!$C$5:$C$1380,$K1238))),NA()),NA())</f>
        <v/>
      </c>
      <c r="J1238" s="32">
        <f>IFERROR(IF(AND($F1238&gt;0,$H1238&gt;0,$A1238-$G1238&lt;=10,$A1238-$I1238&lt;=5,$G1238&gt;0,$I1238&gt;0),$F1238*$H1238,NA()),NA())</f>
        <v/>
      </c>
      <c r="K1238" s="15">
        <f>IF($A1238="","",IF(AH!$U$5=1,IFERROR(MATCH($A1238,'Live History'!$A$5:$A$3004,0),0),AH!$U$7+1233))</f>
        <v/>
      </c>
      <c r="L1238" s="15">
        <f>IF(ISNUMBER(A1238),TEXT(A1238,"dd-mmm-yy"),"")</f>
        <v/>
      </c>
    </row>
    <row r="1239">
      <c r="A1239" s="14">
        <f>IF(OR(AH!$U$4=0,1234+1&gt;AH!$U$6,AND(AH!$M$5="Bloomberg",AH!$U$5=0)),"",IFERROR(IF(AND(AH!$U$12=1,1234+1=AH!$U$6),TODAY(),IF(AH!$U$5=1,INDEX('Live History'!$A$5:$A$3004,AH!$U$7+1234),INDEX('AH History'!$A$5:$A$1380,AH!$U$7+1234))),""))</f>
        <v/>
      </c>
      <c r="B1239" s="33">
        <f>IFERROR(IF(AH!$U$11=1,NA(),$J1239/$E1239-1),NA())</f>
        <v/>
      </c>
      <c r="C1239" s="269">
        <f>IFERROR(100*$E1239/$E$5,NA())</f>
        <v/>
      </c>
      <c r="D1239" s="269">
        <f>IFERROR(100*$J1239/$J$5,NA())</f>
        <v/>
      </c>
      <c r="E1239" s="32">
        <f>IFERROR(IF(AND(ISNUMBER($A1239),N(IF(AND(AH!$U$12=1,1234+1=AH!$U$6),IF(AH!$U$4=0,"unavailable",INDEX('Market Data'!$AN$5:$AN$66,AH!$U$4)),IF(AH!$U$5=1,INDEX('Live History'!$B$5:$B$3004,$K1239),INDEX('AH History'!$D$5:$GG$1380,$K1239,AH!$U$10))))&gt;0),IF(AND(AH!$U$12=1,1234+1=AH!$U$6),IF(AH!$U$4=0,"unavailable",INDEX('Market Data'!$AN$5:$AN$66,AH!$U$4)),IF(AH!$U$5=1,INDEX('Live History'!$B$5:$B$3004,$K1239),INDEX('AH History'!$D$5:$GG$1380,$K1239,AH!$U$10))),NA()),NA())</f>
        <v/>
      </c>
      <c r="F1239" s="32">
        <f>IFERROR(IF(ISNUMBER($A1239),IF(AND(AH!$U$12=1,1234+1=AH!$U$6),IF(AH!$U$4=0,"unavailable",INDEX('Market Data'!$AO$5:$AO$66,AH!$U$4)),IF(AH!$U$5=1,INDEX('Live History'!$E$5:$E$3004,MATCH($A1239,'Live History'!$D$5:$D$3004,1)),INDEX('AH History'!$D$5:$GG$1380,$K1239,AH!$U$10+1))),NA()),NA())</f>
        <v/>
      </c>
      <c r="G1239" s="34">
        <f>IFERROR(IF(ISNUMBER($A1239),IF(AND(AH!$U$12=1,1234+1=AH!$U$6),IF(AH!$U$4=0,"unavailable",INDEX('Market Data'!$AK$5:$AK$66,AH!$U$4)),IF(AH!$U$5=1,INDEX('Live History'!$D$5:$D$3004,MATCH($A1239,'Live History'!$D$5:$D$3004,1)),INDEX('AH History'!$D$5:$GG$1380,$K1239,AH!$U$10+2))),NA()),NA())</f>
        <v/>
      </c>
      <c r="H1239" s="266">
        <f>IFERROR(IF(ISNUMBER($A1239),IF(AND(AH!$U$12=1,1234+1=AH!$U$6),IF(AH!$U$4=0,"unavailable",INDEX('Market Data'!$AP$5:$AP$66,AH!$U$4)),IF(AH!$U$5=1,INDEX('Live History'!$H$5:$H$3004,MATCH($A1239,'Live History'!$G$5:$G$3004,1)),INDEX('AH History'!$B$5:$B$1380,$K1239))),NA()),NA())</f>
        <v/>
      </c>
      <c r="I1239" s="34">
        <f>IFERROR(IF(ISNUMBER($A1239),IF(AND(AH!$U$12=1,1234+1=AH!$U$6),TODAY(),IF(AH!$U$5=1,INDEX('Live History'!$G$5:$G$3004,MATCH($A1239,'Live History'!$G$5:$G$3004,1)),INDEX('AH History'!$C$5:$C$1380,$K1239))),NA()),NA())</f>
        <v/>
      </c>
      <c r="J1239" s="32">
        <f>IFERROR(IF(AND($F1239&gt;0,$H1239&gt;0,$A1239-$G1239&lt;=10,$A1239-$I1239&lt;=5,$G1239&gt;0,$I1239&gt;0),$F1239*$H1239,NA()),NA())</f>
        <v/>
      </c>
      <c r="K1239" s="15">
        <f>IF($A1239="","",IF(AH!$U$5=1,IFERROR(MATCH($A1239,'Live History'!$A$5:$A$3004,0),0),AH!$U$7+1234))</f>
        <v/>
      </c>
      <c r="L1239" s="15">
        <f>IF(ISNUMBER(A1239),TEXT(A1239,"dd-mmm-yy"),"")</f>
        <v/>
      </c>
    </row>
    <row r="1240">
      <c r="A1240" s="14">
        <f>IF(OR(AH!$U$4=0,1235+1&gt;AH!$U$6,AND(AH!$M$5="Bloomberg",AH!$U$5=0)),"",IFERROR(IF(AND(AH!$U$12=1,1235+1=AH!$U$6),TODAY(),IF(AH!$U$5=1,INDEX('Live History'!$A$5:$A$3004,AH!$U$7+1235),INDEX('AH History'!$A$5:$A$1380,AH!$U$7+1235))),""))</f>
        <v/>
      </c>
      <c r="B1240" s="33">
        <f>IFERROR(IF(AH!$U$11=1,NA(),$J1240/$E1240-1),NA())</f>
        <v/>
      </c>
      <c r="C1240" s="269">
        <f>IFERROR(100*$E1240/$E$5,NA())</f>
        <v/>
      </c>
      <c r="D1240" s="269">
        <f>IFERROR(100*$J1240/$J$5,NA())</f>
        <v/>
      </c>
      <c r="E1240" s="32">
        <f>IFERROR(IF(AND(ISNUMBER($A1240),N(IF(AND(AH!$U$12=1,1235+1=AH!$U$6),IF(AH!$U$4=0,"unavailable",INDEX('Market Data'!$AN$5:$AN$66,AH!$U$4)),IF(AH!$U$5=1,INDEX('Live History'!$B$5:$B$3004,$K1240),INDEX('AH History'!$D$5:$GG$1380,$K1240,AH!$U$10))))&gt;0),IF(AND(AH!$U$12=1,1235+1=AH!$U$6),IF(AH!$U$4=0,"unavailable",INDEX('Market Data'!$AN$5:$AN$66,AH!$U$4)),IF(AH!$U$5=1,INDEX('Live History'!$B$5:$B$3004,$K1240),INDEX('AH History'!$D$5:$GG$1380,$K1240,AH!$U$10))),NA()),NA())</f>
        <v/>
      </c>
      <c r="F1240" s="32">
        <f>IFERROR(IF(ISNUMBER($A1240),IF(AND(AH!$U$12=1,1235+1=AH!$U$6),IF(AH!$U$4=0,"unavailable",INDEX('Market Data'!$AO$5:$AO$66,AH!$U$4)),IF(AH!$U$5=1,INDEX('Live History'!$E$5:$E$3004,MATCH($A1240,'Live History'!$D$5:$D$3004,1)),INDEX('AH History'!$D$5:$GG$1380,$K1240,AH!$U$10+1))),NA()),NA())</f>
        <v/>
      </c>
      <c r="G1240" s="34">
        <f>IFERROR(IF(ISNUMBER($A1240),IF(AND(AH!$U$12=1,1235+1=AH!$U$6),IF(AH!$U$4=0,"unavailable",INDEX('Market Data'!$AK$5:$AK$66,AH!$U$4)),IF(AH!$U$5=1,INDEX('Live History'!$D$5:$D$3004,MATCH($A1240,'Live History'!$D$5:$D$3004,1)),INDEX('AH History'!$D$5:$GG$1380,$K1240,AH!$U$10+2))),NA()),NA())</f>
        <v/>
      </c>
      <c r="H1240" s="266">
        <f>IFERROR(IF(ISNUMBER($A1240),IF(AND(AH!$U$12=1,1235+1=AH!$U$6),IF(AH!$U$4=0,"unavailable",INDEX('Market Data'!$AP$5:$AP$66,AH!$U$4)),IF(AH!$U$5=1,INDEX('Live History'!$H$5:$H$3004,MATCH($A1240,'Live History'!$G$5:$G$3004,1)),INDEX('AH History'!$B$5:$B$1380,$K1240))),NA()),NA())</f>
        <v/>
      </c>
      <c r="I1240" s="34">
        <f>IFERROR(IF(ISNUMBER($A1240),IF(AND(AH!$U$12=1,1235+1=AH!$U$6),TODAY(),IF(AH!$U$5=1,INDEX('Live History'!$G$5:$G$3004,MATCH($A1240,'Live History'!$G$5:$G$3004,1)),INDEX('AH History'!$C$5:$C$1380,$K1240))),NA()),NA())</f>
        <v/>
      </c>
      <c r="J1240" s="32">
        <f>IFERROR(IF(AND($F1240&gt;0,$H1240&gt;0,$A1240-$G1240&lt;=10,$A1240-$I1240&lt;=5,$G1240&gt;0,$I1240&gt;0),$F1240*$H1240,NA()),NA())</f>
        <v/>
      </c>
      <c r="K1240" s="15">
        <f>IF($A1240="","",IF(AH!$U$5=1,IFERROR(MATCH($A1240,'Live History'!$A$5:$A$3004,0),0),AH!$U$7+1235))</f>
        <v/>
      </c>
      <c r="L1240" s="15">
        <f>IF(ISNUMBER(A1240),TEXT(A1240,"dd-mmm-yy"),"")</f>
        <v/>
      </c>
    </row>
    <row r="1241">
      <c r="A1241" s="14">
        <f>IF(OR(AH!$U$4=0,1236+1&gt;AH!$U$6,AND(AH!$M$5="Bloomberg",AH!$U$5=0)),"",IFERROR(IF(AND(AH!$U$12=1,1236+1=AH!$U$6),TODAY(),IF(AH!$U$5=1,INDEX('Live History'!$A$5:$A$3004,AH!$U$7+1236),INDEX('AH History'!$A$5:$A$1380,AH!$U$7+1236))),""))</f>
        <v/>
      </c>
      <c r="B1241" s="33">
        <f>IFERROR(IF(AH!$U$11=1,NA(),$J1241/$E1241-1),NA())</f>
        <v/>
      </c>
      <c r="C1241" s="269">
        <f>IFERROR(100*$E1241/$E$5,NA())</f>
        <v/>
      </c>
      <c r="D1241" s="269">
        <f>IFERROR(100*$J1241/$J$5,NA())</f>
        <v/>
      </c>
      <c r="E1241" s="32">
        <f>IFERROR(IF(AND(ISNUMBER($A1241),N(IF(AND(AH!$U$12=1,1236+1=AH!$U$6),IF(AH!$U$4=0,"unavailable",INDEX('Market Data'!$AN$5:$AN$66,AH!$U$4)),IF(AH!$U$5=1,INDEX('Live History'!$B$5:$B$3004,$K1241),INDEX('AH History'!$D$5:$GG$1380,$K1241,AH!$U$10))))&gt;0),IF(AND(AH!$U$12=1,1236+1=AH!$U$6),IF(AH!$U$4=0,"unavailable",INDEX('Market Data'!$AN$5:$AN$66,AH!$U$4)),IF(AH!$U$5=1,INDEX('Live History'!$B$5:$B$3004,$K1241),INDEX('AH History'!$D$5:$GG$1380,$K1241,AH!$U$10))),NA()),NA())</f>
        <v/>
      </c>
      <c r="F1241" s="32">
        <f>IFERROR(IF(ISNUMBER($A1241),IF(AND(AH!$U$12=1,1236+1=AH!$U$6),IF(AH!$U$4=0,"unavailable",INDEX('Market Data'!$AO$5:$AO$66,AH!$U$4)),IF(AH!$U$5=1,INDEX('Live History'!$E$5:$E$3004,MATCH($A1241,'Live History'!$D$5:$D$3004,1)),INDEX('AH History'!$D$5:$GG$1380,$K1241,AH!$U$10+1))),NA()),NA())</f>
        <v/>
      </c>
      <c r="G1241" s="34">
        <f>IFERROR(IF(ISNUMBER($A1241),IF(AND(AH!$U$12=1,1236+1=AH!$U$6),IF(AH!$U$4=0,"unavailable",INDEX('Market Data'!$AK$5:$AK$66,AH!$U$4)),IF(AH!$U$5=1,INDEX('Live History'!$D$5:$D$3004,MATCH($A1241,'Live History'!$D$5:$D$3004,1)),INDEX('AH History'!$D$5:$GG$1380,$K1241,AH!$U$10+2))),NA()),NA())</f>
        <v/>
      </c>
      <c r="H1241" s="266">
        <f>IFERROR(IF(ISNUMBER($A1241),IF(AND(AH!$U$12=1,1236+1=AH!$U$6),IF(AH!$U$4=0,"unavailable",INDEX('Market Data'!$AP$5:$AP$66,AH!$U$4)),IF(AH!$U$5=1,INDEX('Live History'!$H$5:$H$3004,MATCH($A1241,'Live History'!$G$5:$G$3004,1)),INDEX('AH History'!$B$5:$B$1380,$K1241))),NA()),NA())</f>
        <v/>
      </c>
      <c r="I1241" s="34">
        <f>IFERROR(IF(ISNUMBER($A1241),IF(AND(AH!$U$12=1,1236+1=AH!$U$6),TODAY(),IF(AH!$U$5=1,INDEX('Live History'!$G$5:$G$3004,MATCH($A1241,'Live History'!$G$5:$G$3004,1)),INDEX('AH History'!$C$5:$C$1380,$K1241))),NA()),NA())</f>
        <v/>
      </c>
      <c r="J1241" s="32">
        <f>IFERROR(IF(AND($F1241&gt;0,$H1241&gt;0,$A1241-$G1241&lt;=10,$A1241-$I1241&lt;=5,$G1241&gt;0,$I1241&gt;0),$F1241*$H1241,NA()),NA())</f>
        <v/>
      </c>
      <c r="K1241" s="15">
        <f>IF($A1241="","",IF(AH!$U$5=1,IFERROR(MATCH($A1241,'Live History'!$A$5:$A$3004,0),0),AH!$U$7+1236))</f>
        <v/>
      </c>
      <c r="L1241" s="15">
        <f>IF(ISNUMBER(A1241),TEXT(A1241,"dd-mmm-yy"),"")</f>
        <v/>
      </c>
    </row>
    <row r="1242">
      <c r="A1242" s="14">
        <f>IF(OR(AH!$U$4=0,1237+1&gt;AH!$U$6,AND(AH!$M$5="Bloomberg",AH!$U$5=0)),"",IFERROR(IF(AND(AH!$U$12=1,1237+1=AH!$U$6),TODAY(),IF(AH!$U$5=1,INDEX('Live History'!$A$5:$A$3004,AH!$U$7+1237),INDEX('AH History'!$A$5:$A$1380,AH!$U$7+1237))),""))</f>
        <v/>
      </c>
      <c r="B1242" s="33">
        <f>IFERROR(IF(AH!$U$11=1,NA(),$J1242/$E1242-1),NA())</f>
        <v/>
      </c>
      <c r="C1242" s="269">
        <f>IFERROR(100*$E1242/$E$5,NA())</f>
        <v/>
      </c>
      <c r="D1242" s="269">
        <f>IFERROR(100*$J1242/$J$5,NA())</f>
        <v/>
      </c>
      <c r="E1242" s="32">
        <f>IFERROR(IF(AND(ISNUMBER($A1242),N(IF(AND(AH!$U$12=1,1237+1=AH!$U$6),IF(AH!$U$4=0,"unavailable",INDEX('Market Data'!$AN$5:$AN$66,AH!$U$4)),IF(AH!$U$5=1,INDEX('Live History'!$B$5:$B$3004,$K1242),INDEX('AH History'!$D$5:$GG$1380,$K1242,AH!$U$10))))&gt;0),IF(AND(AH!$U$12=1,1237+1=AH!$U$6),IF(AH!$U$4=0,"unavailable",INDEX('Market Data'!$AN$5:$AN$66,AH!$U$4)),IF(AH!$U$5=1,INDEX('Live History'!$B$5:$B$3004,$K1242),INDEX('AH History'!$D$5:$GG$1380,$K1242,AH!$U$10))),NA()),NA())</f>
        <v/>
      </c>
      <c r="F1242" s="32">
        <f>IFERROR(IF(ISNUMBER($A1242),IF(AND(AH!$U$12=1,1237+1=AH!$U$6),IF(AH!$U$4=0,"unavailable",INDEX('Market Data'!$AO$5:$AO$66,AH!$U$4)),IF(AH!$U$5=1,INDEX('Live History'!$E$5:$E$3004,MATCH($A1242,'Live History'!$D$5:$D$3004,1)),INDEX('AH History'!$D$5:$GG$1380,$K1242,AH!$U$10+1))),NA()),NA())</f>
        <v/>
      </c>
      <c r="G1242" s="34">
        <f>IFERROR(IF(ISNUMBER($A1242),IF(AND(AH!$U$12=1,1237+1=AH!$U$6),IF(AH!$U$4=0,"unavailable",INDEX('Market Data'!$AK$5:$AK$66,AH!$U$4)),IF(AH!$U$5=1,INDEX('Live History'!$D$5:$D$3004,MATCH($A1242,'Live History'!$D$5:$D$3004,1)),INDEX('AH History'!$D$5:$GG$1380,$K1242,AH!$U$10+2))),NA()),NA())</f>
        <v/>
      </c>
      <c r="H1242" s="266">
        <f>IFERROR(IF(ISNUMBER($A1242),IF(AND(AH!$U$12=1,1237+1=AH!$U$6),IF(AH!$U$4=0,"unavailable",INDEX('Market Data'!$AP$5:$AP$66,AH!$U$4)),IF(AH!$U$5=1,INDEX('Live History'!$H$5:$H$3004,MATCH($A1242,'Live History'!$G$5:$G$3004,1)),INDEX('AH History'!$B$5:$B$1380,$K1242))),NA()),NA())</f>
        <v/>
      </c>
      <c r="I1242" s="34">
        <f>IFERROR(IF(ISNUMBER($A1242),IF(AND(AH!$U$12=1,1237+1=AH!$U$6),TODAY(),IF(AH!$U$5=1,INDEX('Live History'!$G$5:$G$3004,MATCH($A1242,'Live History'!$G$5:$G$3004,1)),INDEX('AH History'!$C$5:$C$1380,$K1242))),NA()),NA())</f>
        <v/>
      </c>
      <c r="J1242" s="32">
        <f>IFERROR(IF(AND($F1242&gt;0,$H1242&gt;0,$A1242-$G1242&lt;=10,$A1242-$I1242&lt;=5,$G1242&gt;0,$I1242&gt;0),$F1242*$H1242,NA()),NA())</f>
        <v/>
      </c>
      <c r="K1242" s="15">
        <f>IF($A1242="","",IF(AH!$U$5=1,IFERROR(MATCH($A1242,'Live History'!$A$5:$A$3004,0),0),AH!$U$7+1237))</f>
        <v/>
      </c>
      <c r="L1242" s="15">
        <f>IF(ISNUMBER(A1242),TEXT(A1242,"dd-mmm-yy"),"")</f>
        <v/>
      </c>
    </row>
    <row r="1243">
      <c r="A1243" s="14">
        <f>IF(OR(AH!$U$4=0,1238+1&gt;AH!$U$6,AND(AH!$M$5="Bloomberg",AH!$U$5=0)),"",IFERROR(IF(AND(AH!$U$12=1,1238+1=AH!$U$6),TODAY(),IF(AH!$U$5=1,INDEX('Live History'!$A$5:$A$3004,AH!$U$7+1238),INDEX('AH History'!$A$5:$A$1380,AH!$U$7+1238))),""))</f>
        <v/>
      </c>
      <c r="B1243" s="33">
        <f>IFERROR(IF(AH!$U$11=1,NA(),$J1243/$E1243-1),NA())</f>
        <v/>
      </c>
      <c r="C1243" s="269">
        <f>IFERROR(100*$E1243/$E$5,NA())</f>
        <v/>
      </c>
      <c r="D1243" s="269">
        <f>IFERROR(100*$J1243/$J$5,NA())</f>
        <v/>
      </c>
      <c r="E1243" s="32">
        <f>IFERROR(IF(AND(ISNUMBER($A1243),N(IF(AND(AH!$U$12=1,1238+1=AH!$U$6),IF(AH!$U$4=0,"unavailable",INDEX('Market Data'!$AN$5:$AN$66,AH!$U$4)),IF(AH!$U$5=1,INDEX('Live History'!$B$5:$B$3004,$K1243),INDEX('AH History'!$D$5:$GG$1380,$K1243,AH!$U$10))))&gt;0),IF(AND(AH!$U$12=1,1238+1=AH!$U$6),IF(AH!$U$4=0,"unavailable",INDEX('Market Data'!$AN$5:$AN$66,AH!$U$4)),IF(AH!$U$5=1,INDEX('Live History'!$B$5:$B$3004,$K1243),INDEX('AH History'!$D$5:$GG$1380,$K1243,AH!$U$10))),NA()),NA())</f>
        <v/>
      </c>
      <c r="F1243" s="32">
        <f>IFERROR(IF(ISNUMBER($A1243),IF(AND(AH!$U$12=1,1238+1=AH!$U$6),IF(AH!$U$4=0,"unavailable",INDEX('Market Data'!$AO$5:$AO$66,AH!$U$4)),IF(AH!$U$5=1,INDEX('Live History'!$E$5:$E$3004,MATCH($A1243,'Live History'!$D$5:$D$3004,1)),INDEX('AH History'!$D$5:$GG$1380,$K1243,AH!$U$10+1))),NA()),NA())</f>
        <v/>
      </c>
      <c r="G1243" s="34">
        <f>IFERROR(IF(ISNUMBER($A1243),IF(AND(AH!$U$12=1,1238+1=AH!$U$6),IF(AH!$U$4=0,"unavailable",INDEX('Market Data'!$AK$5:$AK$66,AH!$U$4)),IF(AH!$U$5=1,INDEX('Live History'!$D$5:$D$3004,MATCH($A1243,'Live History'!$D$5:$D$3004,1)),INDEX('AH History'!$D$5:$GG$1380,$K1243,AH!$U$10+2))),NA()),NA())</f>
        <v/>
      </c>
      <c r="H1243" s="266">
        <f>IFERROR(IF(ISNUMBER($A1243),IF(AND(AH!$U$12=1,1238+1=AH!$U$6),IF(AH!$U$4=0,"unavailable",INDEX('Market Data'!$AP$5:$AP$66,AH!$U$4)),IF(AH!$U$5=1,INDEX('Live History'!$H$5:$H$3004,MATCH($A1243,'Live History'!$G$5:$G$3004,1)),INDEX('AH History'!$B$5:$B$1380,$K1243))),NA()),NA())</f>
        <v/>
      </c>
      <c r="I1243" s="34">
        <f>IFERROR(IF(ISNUMBER($A1243),IF(AND(AH!$U$12=1,1238+1=AH!$U$6),TODAY(),IF(AH!$U$5=1,INDEX('Live History'!$G$5:$G$3004,MATCH($A1243,'Live History'!$G$5:$G$3004,1)),INDEX('AH History'!$C$5:$C$1380,$K1243))),NA()),NA())</f>
        <v/>
      </c>
      <c r="J1243" s="32">
        <f>IFERROR(IF(AND($F1243&gt;0,$H1243&gt;0,$A1243-$G1243&lt;=10,$A1243-$I1243&lt;=5,$G1243&gt;0,$I1243&gt;0),$F1243*$H1243,NA()),NA())</f>
        <v/>
      </c>
      <c r="K1243" s="15">
        <f>IF($A1243="","",IF(AH!$U$5=1,IFERROR(MATCH($A1243,'Live History'!$A$5:$A$3004,0),0),AH!$U$7+1238))</f>
        <v/>
      </c>
      <c r="L1243" s="15">
        <f>IF(ISNUMBER(A1243),TEXT(A1243,"dd-mmm-yy"),"")</f>
        <v/>
      </c>
    </row>
    <row r="1244">
      <c r="A1244" s="14">
        <f>IF(OR(AH!$U$4=0,1239+1&gt;AH!$U$6,AND(AH!$M$5="Bloomberg",AH!$U$5=0)),"",IFERROR(IF(AND(AH!$U$12=1,1239+1=AH!$U$6),TODAY(),IF(AH!$U$5=1,INDEX('Live History'!$A$5:$A$3004,AH!$U$7+1239),INDEX('AH History'!$A$5:$A$1380,AH!$U$7+1239))),""))</f>
        <v/>
      </c>
      <c r="B1244" s="33">
        <f>IFERROR(IF(AH!$U$11=1,NA(),$J1244/$E1244-1),NA())</f>
        <v/>
      </c>
      <c r="C1244" s="269">
        <f>IFERROR(100*$E1244/$E$5,NA())</f>
        <v/>
      </c>
      <c r="D1244" s="269">
        <f>IFERROR(100*$J1244/$J$5,NA())</f>
        <v/>
      </c>
      <c r="E1244" s="32">
        <f>IFERROR(IF(AND(ISNUMBER($A1244),N(IF(AND(AH!$U$12=1,1239+1=AH!$U$6),IF(AH!$U$4=0,"unavailable",INDEX('Market Data'!$AN$5:$AN$66,AH!$U$4)),IF(AH!$U$5=1,INDEX('Live History'!$B$5:$B$3004,$K1244),INDEX('AH History'!$D$5:$GG$1380,$K1244,AH!$U$10))))&gt;0),IF(AND(AH!$U$12=1,1239+1=AH!$U$6),IF(AH!$U$4=0,"unavailable",INDEX('Market Data'!$AN$5:$AN$66,AH!$U$4)),IF(AH!$U$5=1,INDEX('Live History'!$B$5:$B$3004,$K1244),INDEX('AH History'!$D$5:$GG$1380,$K1244,AH!$U$10))),NA()),NA())</f>
        <v/>
      </c>
      <c r="F1244" s="32">
        <f>IFERROR(IF(ISNUMBER($A1244),IF(AND(AH!$U$12=1,1239+1=AH!$U$6),IF(AH!$U$4=0,"unavailable",INDEX('Market Data'!$AO$5:$AO$66,AH!$U$4)),IF(AH!$U$5=1,INDEX('Live History'!$E$5:$E$3004,MATCH($A1244,'Live History'!$D$5:$D$3004,1)),INDEX('AH History'!$D$5:$GG$1380,$K1244,AH!$U$10+1))),NA()),NA())</f>
        <v/>
      </c>
      <c r="G1244" s="34">
        <f>IFERROR(IF(ISNUMBER($A1244),IF(AND(AH!$U$12=1,1239+1=AH!$U$6),IF(AH!$U$4=0,"unavailable",INDEX('Market Data'!$AK$5:$AK$66,AH!$U$4)),IF(AH!$U$5=1,INDEX('Live History'!$D$5:$D$3004,MATCH($A1244,'Live History'!$D$5:$D$3004,1)),INDEX('AH History'!$D$5:$GG$1380,$K1244,AH!$U$10+2))),NA()),NA())</f>
        <v/>
      </c>
      <c r="H1244" s="266">
        <f>IFERROR(IF(ISNUMBER($A1244),IF(AND(AH!$U$12=1,1239+1=AH!$U$6),IF(AH!$U$4=0,"unavailable",INDEX('Market Data'!$AP$5:$AP$66,AH!$U$4)),IF(AH!$U$5=1,INDEX('Live History'!$H$5:$H$3004,MATCH($A1244,'Live History'!$G$5:$G$3004,1)),INDEX('AH History'!$B$5:$B$1380,$K1244))),NA()),NA())</f>
        <v/>
      </c>
      <c r="I1244" s="34">
        <f>IFERROR(IF(ISNUMBER($A1244),IF(AND(AH!$U$12=1,1239+1=AH!$U$6),TODAY(),IF(AH!$U$5=1,INDEX('Live History'!$G$5:$G$3004,MATCH($A1244,'Live History'!$G$5:$G$3004,1)),INDEX('AH History'!$C$5:$C$1380,$K1244))),NA()),NA())</f>
        <v/>
      </c>
      <c r="J1244" s="32">
        <f>IFERROR(IF(AND($F1244&gt;0,$H1244&gt;0,$A1244-$G1244&lt;=10,$A1244-$I1244&lt;=5,$G1244&gt;0,$I1244&gt;0),$F1244*$H1244,NA()),NA())</f>
        <v/>
      </c>
      <c r="K1244" s="15">
        <f>IF($A1244="","",IF(AH!$U$5=1,IFERROR(MATCH($A1244,'Live History'!$A$5:$A$3004,0),0),AH!$U$7+1239))</f>
        <v/>
      </c>
      <c r="L1244" s="15">
        <f>IF(ISNUMBER(A1244),TEXT(A1244,"dd-mmm-yy"),"")</f>
        <v/>
      </c>
    </row>
    <row r="1245">
      <c r="A1245" s="14">
        <f>IF(OR(AH!$U$4=0,1240+1&gt;AH!$U$6,AND(AH!$M$5="Bloomberg",AH!$U$5=0)),"",IFERROR(IF(AND(AH!$U$12=1,1240+1=AH!$U$6),TODAY(),IF(AH!$U$5=1,INDEX('Live History'!$A$5:$A$3004,AH!$U$7+1240),INDEX('AH History'!$A$5:$A$1380,AH!$U$7+1240))),""))</f>
        <v/>
      </c>
      <c r="B1245" s="33">
        <f>IFERROR(IF(AH!$U$11=1,NA(),$J1245/$E1245-1),NA())</f>
        <v/>
      </c>
      <c r="C1245" s="269">
        <f>IFERROR(100*$E1245/$E$5,NA())</f>
        <v/>
      </c>
      <c r="D1245" s="269">
        <f>IFERROR(100*$J1245/$J$5,NA())</f>
        <v/>
      </c>
      <c r="E1245" s="32">
        <f>IFERROR(IF(AND(ISNUMBER($A1245),N(IF(AND(AH!$U$12=1,1240+1=AH!$U$6),IF(AH!$U$4=0,"unavailable",INDEX('Market Data'!$AN$5:$AN$66,AH!$U$4)),IF(AH!$U$5=1,INDEX('Live History'!$B$5:$B$3004,$K1245),INDEX('AH History'!$D$5:$GG$1380,$K1245,AH!$U$10))))&gt;0),IF(AND(AH!$U$12=1,1240+1=AH!$U$6),IF(AH!$U$4=0,"unavailable",INDEX('Market Data'!$AN$5:$AN$66,AH!$U$4)),IF(AH!$U$5=1,INDEX('Live History'!$B$5:$B$3004,$K1245),INDEX('AH History'!$D$5:$GG$1380,$K1245,AH!$U$10))),NA()),NA())</f>
        <v/>
      </c>
      <c r="F1245" s="32">
        <f>IFERROR(IF(ISNUMBER($A1245),IF(AND(AH!$U$12=1,1240+1=AH!$U$6),IF(AH!$U$4=0,"unavailable",INDEX('Market Data'!$AO$5:$AO$66,AH!$U$4)),IF(AH!$U$5=1,INDEX('Live History'!$E$5:$E$3004,MATCH($A1245,'Live History'!$D$5:$D$3004,1)),INDEX('AH History'!$D$5:$GG$1380,$K1245,AH!$U$10+1))),NA()),NA())</f>
        <v/>
      </c>
      <c r="G1245" s="34">
        <f>IFERROR(IF(ISNUMBER($A1245),IF(AND(AH!$U$12=1,1240+1=AH!$U$6),IF(AH!$U$4=0,"unavailable",INDEX('Market Data'!$AK$5:$AK$66,AH!$U$4)),IF(AH!$U$5=1,INDEX('Live History'!$D$5:$D$3004,MATCH($A1245,'Live History'!$D$5:$D$3004,1)),INDEX('AH History'!$D$5:$GG$1380,$K1245,AH!$U$10+2))),NA()),NA())</f>
        <v/>
      </c>
      <c r="H1245" s="266">
        <f>IFERROR(IF(ISNUMBER($A1245),IF(AND(AH!$U$12=1,1240+1=AH!$U$6),IF(AH!$U$4=0,"unavailable",INDEX('Market Data'!$AP$5:$AP$66,AH!$U$4)),IF(AH!$U$5=1,INDEX('Live History'!$H$5:$H$3004,MATCH($A1245,'Live History'!$G$5:$G$3004,1)),INDEX('AH History'!$B$5:$B$1380,$K1245))),NA()),NA())</f>
        <v/>
      </c>
      <c r="I1245" s="34">
        <f>IFERROR(IF(ISNUMBER($A1245),IF(AND(AH!$U$12=1,1240+1=AH!$U$6),TODAY(),IF(AH!$U$5=1,INDEX('Live History'!$G$5:$G$3004,MATCH($A1245,'Live History'!$G$5:$G$3004,1)),INDEX('AH History'!$C$5:$C$1380,$K1245))),NA()),NA())</f>
        <v/>
      </c>
      <c r="J1245" s="32">
        <f>IFERROR(IF(AND($F1245&gt;0,$H1245&gt;0,$A1245-$G1245&lt;=10,$A1245-$I1245&lt;=5,$G1245&gt;0,$I1245&gt;0),$F1245*$H1245,NA()),NA())</f>
        <v/>
      </c>
      <c r="K1245" s="15">
        <f>IF($A1245="","",IF(AH!$U$5=1,IFERROR(MATCH($A1245,'Live History'!$A$5:$A$3004,0),0),AH!$U$7+1240))</f>
        <v/>
      </c>
      <c r="L1245" s="15">
        <f>IF(ISNUMBER(A1245),TEXT(A1245,"dd-mmm-yy"),"")</f>
        <v/>
      </c>
    </row>
    <row r="1246">
      <c r="A1246" s="14">
        <f>IF(OR(AH!$U$4=0,1241+1&gt;AH!$U$6,AND(AH!$M$5="Bloomberg",AH!$U$5=0)),"",IFERROR(IF(AND(AH!$U$12=1,1241+1=AH!$U$6),TODAY(),IF(AH!$U$5=1,INDEX('Live History'!$A$5:$A$3004,AH!$U$7+1241),INDEX('AH History'!$A$5:$A$1380,AH!$U$7+1241))),""))</f>
        <v/>
      </c>
      <c r="B1246" s="33">
        <f>IFERROR(IF(AH!$U$11=1,NA(),$J1246/$E1246-1),NA())</f>
        <v/>
      </c>
      <c r="C1246" s="269">
        <f>IFERROR(100*$E1246/$E$5,NA())</f>
        <v/>
      </c>
      <c r="D1246" s="269">
        <f>IFERROR(100*$J1246/$J$5,NA())</f>
        <v/>
      </c>
      <c r="E1246" s="32">
        <f>IFERROR(IF(AND(ISNUMBER($A1246),N(IF(AND(AH!$U$12=1,1241+1=AH!$U$6),IF(AH!$U$4=0,"unavailable",INDEX('Market Data'!$AN$5:$AN$66,AH!$U$4)),IF(AH!$U$5=1,INDEX('Live History'!$B$5:$B$3004,$K1246),INDEX('AH History'!$D$5:$GG$1380,$K1246,AH!$U$10))))&gt;0),IF(AND(AH!$U$12=1,1241+1=AH!$U$6),IF(AH!$U$4=0,"unavailable",INDEX('Market Data'!$AN$5:$AN$66,AH!$U$4)),IF(AH!$U$5=1,INDEX('Live History'!$B$5:$B$3004,$K1246),INDEX('AH History'!$D$5:$GG$1380,$K1246,AH!$U$10))),NA()),NA())</f>
        <v/>
      </c>
      <c r="F1246" s="32">
        <f>IFERROR(IF(ISNUMBER($A1246),IF(AND(AH!$U$12=1,1241+1=AH!$U$6),IF(AH!$U$4=0,"unavailable",INDEX('Market Data'!$AO$5:$AO$66,AH!$U$4)),IF(AH!$U$5=1,INDEX('Live History'!$E$5:$E$3004,MATCH($A1246,'Live History'!$D$5:$D$3004,1)),INDEX('AH History'!$D$5:$GG$1380,$K1246,AH!$U$10+1))),NA()),NA())</f>
        <v/>
      </c>
      <c r="G1246" s="34">
        <f>IFERROR(IF(ISNUMBER($A1246),IF(AND(AH!$U$12=1,1241+1=AH!$U$6),IF(AH!$U$4=0,"unavailable",INDEX('Market Data'!$AK$5:$AK$66,AH!$U$4)),IF(AH!$U$5=1,INDEX('Live History'!$D$5:$D$3004,MATCH($A1246,'Live History'!$D$5:$D$3004,1)),INDEX('AH History'!$D$5:$GG$1380,$K1246,AH!$U$10+2))),NA()),NA())</f>
        <v/>
      </c>
      <c r="H1246" s="266">
        <f>IFERROR(IF(ISNUMBER($A1246),IF(AND(AH!$U$12=1,1241+1=AH!$U$6),IF(AH!$U$4=0,"unavailable",INDEX('Market Data'!$AP$5:$AP$66,AH!$U$4)),IF(AH!$U$5=1,INDEX('Live History'!$H$5:$H$3004,MATCH($A1246,'Live History'!$G$5:$G$3004,1)),INDEX('AH History'!$B$5:$B$1380,$K1246))),NA()),NA())</f>
        <v/>
      </c>
      <c r="I1246" s="34">
        <f>IFERROR(IF(ISNUMBER($A1246),IF(AND(AH!$U$12=1,1241+1=AH!$U$6),TODAY(),IF(AH!$U$5=1,INDEX('Live History'!$G$5:$G$3004,MATCH($A1246,'Live History'!$G$5:$G$3004,1)),INDEX('AH History'!$C$5:$C$1380,$K1246))),NA()),NA())</f>
        <v/>
      </c>
      <c r="J1246" s="32">
        <f>IFERROR(IF(AND($F1246&gt;0,$H1246&gt;0,$A1246-$G1246&lt;=10,$A1246-$I1246&lt;=5,$G1246&gt;0,$I1246&gt;0),$F1246*$H1246,NA()),NA())</f>
        <v/>
      </c>
      <c r="K1246" s="15">
        <f>IF($A1246="","",IF(AH!$U$5=1,IFERROR(MATCH($A1246,'Live History'!$A$5:$A$3004,0),0),AH!$U$7+1241))</f>
        <v/>
      </c>
      <c r="L1246" s="15">
        <f>IF(ISNUMBER(A1246),TEXT(A1246,"dd-mmm-yy"),"")</f>
        <v/>
      </c>
    </row>
    <row r="1247">
      <c r="A1247" s="14">
        <f>IF(OR(AH!$U$4=0,1242+1&gt;AH!$U$6,AND(AH!$M$5="Bloomberg",AH!$U$5=0)),"",IFERROR(IF(AND(AH!$U$12=1,1242+1=AH!$U$6),TODAY(),IF(AH!$U$5=1,INDEX('Live History'!$A$5:$A$3004,AH!$U$7+1242),INDEX('AH History'!$A$5:$A$1380,AH!$U$7+1242))),""))</f>
        <v/>
      </c>
      <c r="B1247" s="33">
        <f>IFERROR(IF(AH!$U$11=1,NA(),$J1247/$E1247-1),NA())</f>
        <v/>
      </c>
      <c r="C1247" s="269">
        <f>IFERROR(100*$E1247/$E$5,NA())</f>
        <v/>
      </c>
      <c r="D1247" s="269">
        <f>IFERROR(100*$J1247/$J$5,NA())</f>
        <v/>
      </c>
      <c r="E1247" s="32">
        <f>IFERROR(IF(AND(ISNUMBER($A1247),N(IF(AND(AH!$U$12=1,1242+1=AH!$U$6),IF(AH!$U$4=0,"unavailable",INDEX('Market Data'!$AN$5:$AN$66,AH!$U$4)),IF(AH!$U$5=1,INDEX('Live History'!$B$5:$B$3004,$K1247),INDEX('AH History'!$D$5:$GG$1380,$K1247,AH!$U$10))))&gt;0),IF(AND(AH!$U$12=1,1242+1=AH!$U$6),IF(AH!$U$4=0,"unavailable",INDEX('Market Data'!$AN$5:$AN$66,AH!$U$4)),IF(AH!$U$5=1,INDEX('Live History'!$B$5:$B$3004,$K1247),INDEX('AH History'!$D$5:$GG$1380,$K1247,AH!$U$10))),NA()),NA())</f>
        <v/>
      </c>
      <c r="F1247" s="32">
        <f>IFERROR(IF(ISNUMBER($A1247),IF(AND(AH!$U$12=1,1242+1=AH!$U$6),IF(AH!$U$4=0,"unavailable",INDEX('Market Data'!$AO$5:$AO$66,AH!$U$4)),IF(AH!$U$5=1,INDEX('Live History'!$E$5:$E$3004,MATCH($A1247,'Live History'!$D$5:$D$3004,1)),INDEX('AH History'!$D$5:$GG$1380,$K1247,AH!$U$10+1))),NA()),NA())</f>
        <v/>
      </c>
      <c r="G1247" s="34">
        <f>IFERROR(IF(ISNUMBER($A1247),IF(AND(AH!$U$12=1,1242+1=AH!$U$6),IF(AH!$U$4=0,"unavailable",INDEX('Market Data'!$AK$5:$AK$66,AH!$U$4)),IF(AH!$U$5=1,INDEX('Live History'!$D$5:$D$3004,MATCH($A1247,'Live History'!$D$5:$D$3004,1)),INDEX('AH History'!$D$5:$GG$1380,$K1247,AH!$U$10+2))),NA()),NA())</f>
        <v/>
      </c>
      <c r="H1247" s="266">
        <f>IFERROR(IF(ISNUMBER($A1247),IF(AND(AH!$U$12=1,1242+1=AH!$U$6),IF(AH!$U$4=0,"unavailable",INDEX('Market Data'!$AP$5:$AP$66,AH!$U$4)),IF(AH!$U$5=1,INDEX('Live History'!$H$5:$H$3004,MATCH($A1247,'Live History'!$G$5:$G$3004,1)),INDEX('AH History'!$B$5:$B$1380,$K1247))),NA()),NA())</f>
        <v/>
      </c>
      <c r="I1247" s="34">
        <f>IFERROR(IF(ISNUMBER($A1247),IF(AND(AH!$U$12=1,1242+1=AH!$U$6),TODAY(),IF(AH!$U$5=1,INDEX('Live History'!$G$5:$G$3004,MATCH($A1247,'Live History'!$G$5:$G$3004,1)),INDEX('AH History'!$C$5:$C$1380,$K1247))),NA()),NA())</f>
        <v/>
      </c>
      <c r="J1247" s="32">
        <f>IFERROR(IF(AND($F1247&gt;0,$H1247&gt;0,$A1247-$G1247&lt;=10,$A1247-$I1247&lt;=5,$G1247&gt;0,$I1247&gt;0),$F1247*$H1247,NA()),NA())</f>
        <v/>
      </c>
      <c r="K1247" s="15">
        <f>IF($A1247="","",IF(AH!$U$5=1,IFERROR(MATCH($A1247,'Live History'!$A$5:$A$3004,0),0),AH!$U$7+1242))</f>
        <v/>
      </c>
      <c r="L1247" s="15">
        <f>IF(ISNUMBER(A1247),TEXT(A1247,"dd-mmm-yy"),"")</f>
        <v/>
      </c>
    </row>
    <row r="1248">
      <c r="A1248" s="14">
        <f>IF(OR(AH!$U$4=0,1243+1&gt;AH!$U$6,AND(AH!$M$5="Bloomberg",AH!$U$5=0)),"",IFERROR(IF(AND(AH!$U$12=1,1243+1=AH!$U$6),TODAY(),IF(AH!$U$5=1,INDEX('Live History'!$A$5:$A$3004,AH!$U$7+1243),INDEX('AH History'!$A$5:$A$1380,AH!$U$7+1243))),""))</f>
        <v/>
      </c>
      <c r="B1248" s="33">
        <f>IFERROR(IF(AH!$U$11=1,NA(),$J1248/$E1248-1),NA())</f>
        <v/>
      </c>
      <c r="C1248" s="269">
        <f>IFERROR(100*$E1248/$E$5,NA())</f>
        <v/>
      </c>
      <c r="D1248" s="269">
        <f>IFERROR(100*$J1248/$J$5,NA())</f>
        <v/>
      </c>
      <c r="E1248" s="32">
        <f>IFERROR(IF(AND(ISNUMBER($A1248),N(IF(AND(AH!$U$12=1,1243+1=AH!$U$6),IF(AH!$U$4=0,"unavailable",INDEX('Market Data'!$AN$5:$AN$66,AH!$U$4)),IF(AH!$U$5=1,INDEX('Live History'!$B$5:$B$3004,$K1248),INDEX('AH History'!$D$5:$GG$1380,$K1248,AH!$U$10))))&gt;0),IF(AND(AH!$U$12=1,1243+1=AH!$U$6),IF(AH!$U$4=0,"unavailable",INDEX('Market Data'!$AN$5:$AN$66,AH!$U$4)),IF(AH!$U$5=1,INDEX('Live History'!$B$5:$B$3004,$K1248),INDEX('AH History'!$D$5:$GG$1380,$K1248,AH!$U$10))),NA()),NA())</f>
        <v/>
      </c>
      <c r="F1248" s="32">
        <f>IFERROR(IF(ISNUMBER($A1248),IF(AND(AH!$U$12=1,1243+1=AH!$U$6),IF(AH!$U$4=0,"unavailable",INDEX('Market Data'!$AO$5:$AO$66,AH!$U$4)),IF(AH!$U$5=1,INDEX('Live History'!$E$5:$E$3004,MATCH($A1248,'Live History'!$D$5:$D$3004,1)),INDEX('AH History'!$D$5:$GG$1380,$K1248,AH!$U$10+1))),NA()),NA())</f>
        <v/>
      </c>
      <c r="G1248" s="34">
        <f>IFERROR(IF(ISNUMBER($A1248),IF(AND(AH!$U$12=1,1243+1=AH!$U$6),IF(AH!$U$4=0,"unavailable",INDEX('Market Data'!$AK$5:$AK$66,AH!$U$4)),IF(AH!$U$5=1,INDEX('Live History'!$D$5:$D$3004,MATCH($A1248,'Live History'!$D$5:$D$3004,1)),INDEX('AH History'!$D$5:$GG$1380,$K1248,AH!$U$10+2))),NA()),NA())</f>
        <v/>
      </c>
      <c r="H1248" s="266">
        <f>IFERROR(IF(ISNUMBER($A1248),IF(AND(AH!$U$12=1,1243+1=AH!$U$6),IF(AH!$U$4=0,"unavailable",INDEX('Market Data'!$AP$5:$AP$66,AH!$U$4)),IF(AH!$U$5=1,INDEX('Live History'!$H$5:$H$3004,MATCH($A1248,'Live History'!$G$5:$G$3004,1)),INDEX('AH History'!$B$5:$B$1380,$K1248))),NA()),NA())</f>
        <v/>
      </c>
      <c r="I1248" s="34">
        <f>IFERROR(IF(ISNUMBER($A1248),IF(AND(AH!$U$12=1,1243+1=AH!$U$6),TODAY(),IF(AH!$U$5=1,INDEX('Live History'!$G$5:$G$3004,MATCH($A1248,'Live History'!$G$5:$G$3004,1)),INDEX('AH History'!$C$5:$C$1380,$K1248))),NA()),NA())</f>
        <v/>
      </c>
      <c r="J1248" s="32">
        <f>IFERROR(IF(AND($F1248&gt;0,$H1248&gt;0,$A1248-$G1248&lt;=10,$A1248-$I1248&lt;=5,$G1248&gt;0,$I1248&gt;0),$F1248*$H1248,NA()),NA())</f>
        <v/>
      </c>
      <c r="K1248" s="15">
        <f>IF($A1248="","",IF(AH!$U$5=1,IFERROR(MATCH($A1248,'Live History'!$A$5:$A$3004,0),0),AH!$U$7+1243))</f>
        <v/>
      </c>
      <c r="L1248" s="15">
        <f>IF(ISNUMBER(A1248),TEXT(A1248,"dd-mmm-yy"),"")</f>
        <v/>
      </c>
    </row>
    <row r="1249">
      <c r="A1249" s="14">
        <f>IF(OR(AH!$U$4=0,1244+1&gt;AH!$U$6,AND(AH!$M$5="Bloomberg",AH!$U$5=0)),"",IFERROR(IF(AND(AH!$U$12=1,1244+1=AH!$U$6),TODAY(),IF(AH!$U$5=1,INDEX('Live History'!$A$5:$A$3004,AH!$U$7+1244),INDEX('AH History'!$A$5:$A$1380,AH!$U$7+1244))),""))</f>
        <v/>
      </c>
      <c r="B1249" s="33">
        <f>IFERROR(IF(AH!$U$11=1,NA(),$J1249/$E1249-1),NA())</f>
        <v/>
      </c>
      <c r="C1249" s="269">
        <f>IFERROR(100*$E1249/$E$5,NA())</f>
        <v/>
      </c>
      <c r="D1249" s="269">
        <f>IFERROR(100*$J1249/$J$5,NA())</f>
        <v/>
      </c>
      <c r="E1249" s="32">
        <f>IFERROR(IF(AND(ISNUMBER($A1249),N(IF(AND(AH!$U$12=1,1244+1=AH!$U$6),IF(AH!$U$4=0,"unavailable",INDEX('Market Data'!$AN$5:$AN$66,AH!$U$4)),IF(AH!$U$5=1,INDEX('Live History'!$B$5:$B$3004,$K1249),INDEX('AH History'!$D$5:$GG$1380,$K1249,AH!$U$10))))&gt;0),IF(AND(AH!$U$12=1,1244+1=AH!$U$6),IF(AH!$U$4=0,"unavailable",INDEX('Market Data'!$AN$5:$AN$66,AH!$U$4)),IF(AH!$U$5=1,INDEX('Live History'!$B$5:$B$3004,$K1249),INDEX('AH History'!$D$5:$GG$1380,$K1249,AH!$U$10))),NA()),NA())</f>
        <v/>
      </c>
      <c r="F1249" s="32">
        <f>IFERROR(IF(ISNUMBER($A1249),IF(AND(AH!$U$12=1,1244+1=AH!$U$6),IF(AH!$U$4=0,"unavailable",INDEX('Market Data'!$AO$5:$AO$66,AH!$U$4)),IF(AH!$U$5=1,INDEX('Live History'!$E$5:$E$3004,MATCH($A1249,'Live History'!$D$5:$D$3004,1)),INDEX('AH History'!$D$5:$GG$1380,$K1249,AH!$U$10+1))),NA()),NA())</f>
        <v/>
      </c>
      <c r="G1249" s="34">
        <f>IFERROR(IF(ISNUMBER($A1249),IF(AND(AH!$U$12=1,1244+1=AH!$U$6),IF(AH!$U$4=0,"unavailable",INDEX('Market Data'!$AK$5:$AK$66,AH!$U$4)),IF(AH!$U$5=1,INDEX('Live History'!$D$5:$D$3004,MATCH($A1249,'Live History'!$D$5:$D$3004,1)),INDEX('AH History'!$D$5:$GG$1380,$K1249,AH!$U$10+2))),NA()),NA())</f>
        <v/>
      </c>
      <c r="H1249" s="266">
        <f>IFERROR(IF(ISNUMBER($A1249),IF(AND(AH!$U$12=1,1244+1=AH!$U$6),IF(AH!$U$4=0,"unavailable",INDEX('Market Data'!$AP$5:$AP$66,AH!$U$4)),IF(AH!$U$5=1,INDEX('Live History'!$H$5:$H$3004,MATCH($A1249,'Live History'!$G$5:$G$3004,1)),INDEX('AH History'!$B$5:$B$1380,$K1249))),NA()),NA())</f>
        <v/>
      </c>
      <c r="I1249" s="34">
        <f>IFERROR(IF(ISNUMBER($A1249),IF(AND(AH!$U$12=1,1244+1=AH!$U$6),TODAY(),IF(AH!$U$5=1,INDEX('Live History'!$G$5:$G$3004,MATCH($A1249,'Live History'!$G$5:$G$3004,1)),INDEX('AH History'!$C$5:$C$1380,$K1249))),NA()),NA())</f>
        <v/>
      </c>
      <c r="J1249" s="32">
        <f>IFERROR(IF(AND($F1249&gt;0,$H1249&gt;0,$A1249-$G1249&lt;=10,$A1249-$I1249&lt;=5,$G1249&gt;0,$I1249&gt;0),$F1249*$H1249,NA()),NA())</f>
        <v/>
      </c>
      <c r="K1249" s="15">
        <f>IF($A1249="","",IF(AH!$U$5=1,IFERROR(MATCH($A1249,'Live History'!$A$5:$A$3004,0),0),AH!$U$7+1244))</f>
        <v/>
      </c>
      <c r="L1249" s="15">
        <f>IF(ISNUMBER(A1249),TEXT(A1249,"dd-mmm-yy"),"")</f>
        <v/>
      </c>
    </row>
    <row r="1250">
      <c r="A1250" s="14">
        <f>IF(OR(AH!$U$4=0,1245+1&gt;AH!$U$6,AND(AH!$M$5="Bloomberg",AH!$U$5=0)),"",IFERROR(IF(AND(AH!$U$12=1,1245+1=AH!$U$6),TODAY(),IF(AH!$U$5=1,INDEX('Live History'!$A$5:$A$3004,AH!$U$7+1245),INDEX('AH History'!$A$5:$A$1380,AH!$U$7+1245))),""))</f>
        <v/>
      </c>
      <c r="B1250" s="33">
        <f>IFERROR(IF(AH!$U$11=1,NA(),$J1250/$E1250-1),NA())</f>
        <v/>
      </c>
      <c r="C1250" s="269">
        <f>IFERROR(100*$E1250/$E$5,NA())</f>
        <v/>
      </c>
      <c r="D1250" s="269">
        <f>IFERROR(100*$J1250/$J$5,NA())</f>
        <v/>
      </c>
      <c r="E1250" s="32">
        <f>IFERROR(IF(AND(ISNUMBER($A1250),N(IF(AND(AH!$U$12=1,1245+1=AH!$U$6),IF(AH!$U$4=0,"unavailable",INDEX('Market Data'!$AN$5:$AN$66,AH!$U$4)),IF(AH!$U$5=1,INDEX('Live History'!$B$5:$B$3004,$K1250),INDEX('AH History'!$D$5:$GG$1380,$K1250,AH!$U$10))))&gt;0),IF(AND(AH!$U$12=1,1245+1=AH!$U$6),IF(AH!$U$4=0,"unavailable",INDEX('Market Data'!$AN$5:$AN$66,AH!$U$4)),IF(AH!$U$5=1,INDEX('Live History'!$B$5:$B$3004,$K1250),INDEX('AH History'!$D$5:$GG$1380,$K1250,AH!$U$10))),NA()),NA())</f>
        <v/>
      </c>
      <c r="F1250" s="32">
        <f>IFERROR(IF(ISNUMBER($A1250),IF(AND(AH!$U$12=1,1245+1=AH!$U$6),IF(AH!$U$4=0,"unavailable",INDEX('Market Data'!$AO$5:$AO$66,AH!$U$4)),IF(AH!$U$5=1,INDEX('Live History'!$E$5:$E$3004,MATCH($A1250,'Live History'!$D$5:$D$3004,1)),INDEX('AH History'!$D$5:$GG$1380,$K1250,AH!$U$10+1))),NA()),NA())</f>
        <v/>
      </c>
      <c r="G1250" s="34">
        <f>IFERROR(IF(ISNUMBER($A1250),IF(AND(AH!$U$12=1,1245+1=AH!$U$6),IF(AH!$U$4=0,"unavailable",INDEX('Market Data'!$AK$5:$AK$66,AH!$U$4)),IF(AH!$U$5=1,INDEX('Live History'!$D$5:$D$3004,MATCH($A1250,'Live History'!$D$5:$D$3004,1)),INDEX('AH History'!$D$5:$GG$1380,$K1250,AH!$U$10+2))),NA()),NA())</f>
        <v/>
      </c>
      <c r="H1250" s="266">
        <f>IFERROR(IF(ISNUMBER($A1250),IF(AND(AH!$U$12=1,1245+1=AH!$U$6),IF(AH!$U$4=0,"unavailable",INDEX('Market Data'!$AP$5:$AP$66,AH!$U$4)),IF(AH!$U$5=1,INDEX('Live History'!$H$5:$H$3004,MATCH($A1250,'Live History'!$G$5:$G$3004,1)),INDEX('AH History'!$B$5:$B$1380,$K1250))),NA()),NA())</f>
        <v/>
      </c>
      <c r="I1250" s="34">
        <f>IFERROR(IF(ISNUMBER($A1250),IF(AND(AH!$U$12=1,1245+1=AH!$U$6),TODAY(),IF(AH!$U$5=1,INDEX('Live History'!$G$5:$G$3004,MATCH($A1250,'Live History'!$G$5:$G$3004,1)),INDEX('AH History'!$C$5:$C$1380,$K1250))),NA()),NA())</f>
        <v/>
      </c>
      <c r="J1250" s="32">
        <f>IFERROR(IF(AND($F1250&gt;0,$H1250&gt;0,$A1250-$G1250&lt;=10,$A1250-$I1250&lt;=5,$G1250&gt;0,$I1250&gt;0),$F1250*$H1250,NA()),NA())</f>
        <v/>
      </c>
      <c r="K1250" s="15">
        <f>IF($A1250="","",IF(AH!$U$5=1,IFERROR(MATCH($A1250,'Live History'!$A$5:$A$3004,0),0),AH!$U$7+1245))</f>
        <v/>
      </c>
      <c r="L1250" s="15">
        <f>IF(ISNUMBER(A1250),TEXT(A1250,"dd-mmm-yy"),"")</f>
        <v/>
      </c>
    </row>
    <row r="1251">
      <c r="A1251" s="14">
        <f>IF(OR(AH!$U$4=0,1246+1&gt;AH!$U$6,AND(AH!$M$5="Bloomberg",AH!$U$5=0)),"",IFERROR(IF(AND(AH!$U$12=1,1246+1=AH!$U$6),TODAY(),IF(AH!$U$5=1,INDEX('Live History'!$A$5:$A$3004,AH!$U$7+1246),INDEX('AH History'!$A$5:$A$1380,AH!$U$7+1246))),""))</f>
        <v/>
      </c>
      <c r="B1251" s="33">
        <f>IFERROR(IF(AH!$U$11=1,NA(),$J1251/$E1251-1),NA())</f>
        <v/>
      </c>
      <c r="C1251" s="269">
        <f>IFERROR(100*$E1251/$E$5,NA())</f>
        <v/>
      </c>
      <c r="D1251" s="269">
        <f>IFERROR(100*$J1251/$J$5,NA())</f>
        <v/>
      </c>
      <c r="E1251" s="32">
        <f>IFERROR(IF(AND(ISNUMBER($A1251),N(IF(AND(AH!$U$12=1,1246+1=AH!$U$6),IF(AH!$U$4=0,"unavailable",INDEX('Market Data'!$AN$5:$AN$66,AH!$U$4)),IF(AH!$U$5=1,INDEX('Live History'!$B$5:$B$3004,$K1251),INDEX('AH History'!$D$5:$GG$1380,$K1251,AH!$U$10))))&gt;0),IF(AND(AH!$U$12=1,1246+1=AH!$U$6),IF(AH!$U$4=0,"unavailable",INDEX('Market Data'!$AN$5:$AN$66,AH!$U$4)),IF(AH!$U$5=1,INDEX('Live History'!$B$5:$B$3004,$K1251),INDEX('AH History'!$D$5:$GG$1380,$K1251,AH!$U$10))),NA()),NA())</f>
        <v/>
      </c>
      <c r="F1251" s="32">
        <f>IFERROR(IF(ISNUMBER($A1251),IF(AND(AH!$U$12=1,1246+1=AH!$U$6),IF(AH!$U$4=0,"unavailable",INDEX('Market Data'!$AO$5:$AO$66,AH!$U$4)),IF(AH!$U$5=1,INDEX('Live History'!$E$5:$E$3004,MATCH($A1251,'Live History'!$D$5:$D$3004,1)),INDEX('AH History'!$D$5:$GG$1380,$K1251,AH!$U$10+1))),NA()),NA())</f>
        <v/>
      </c>
      <c r="G1251" s="34">
        <f>IFERROR(IF(ISNUMBER($A1251),IF(AND(AH!$U$12=1,1246+1=AH!$U$6),IF(AH!$U$4=0,"unavailable",INDEX('Market Data'!$AK$5:$AK$66,AH!$U$4)),IF(AH!$U$5=1,INDEX('Live History'!$D$5:$D$3004,MATCH($A1251,'Live History'!$D$5:$D$3004,1)),INDEX('AH History'!$D$5:$GG$1380,$K1251,AH!$U$10+2))),NA()),NA())</f>
        <v/>
      </c>
      <c r="H1251" s="266">
        <f>IFERROR(IF(ISNUMBER($A1251),IF(AND(AH!$U$12=1,1246+1=AH!$U$6),IF(AH!$U$4=0,"unavailable",INDEX('Market Data'!$AP$5:$AP$66,AH!$U$4)),IF(AH!$U$5=1,INDEX('Live History'!$H$5:$H$3004,MATCH($A1251,'Live History'!$G$5:$G$3004,1)),INDEX('AH History'!$B$5:$B$1380,$K1251))),NA()),NA())</f>
        <v/>
      </c>
      <c r="I1251" s="34">
        <f>IFERROR(IF(ISNUMBER($A1251),IF(AND(AH!$U$12=1,1246+1=AH!$U$6),TODAY(),IF(AH!$U$5=1,INDEX('Live History'!$G$5:$G$3004,MATCH($A1251,'Live History'!$G$5:$G$3004,1)),INDEX('AH History'!$C$5:$C$1380,$K1251))),NA()),NA())</f>
        <v/>
      </c>
      <c r="J1251" s="32">
        <f>IFERROR(IF(AND($F1251&gt;0,$H1251&gt;0,$A1251-$G1251&lt;=10,$A1251-$I1251&lt;=5,$G1251&gt;0,$I1251&gt;0),$F1251*$H1251,NA()),NA())</f>
        <v/>
      </c>
      <c r="K1251" s="15">
        <f>IF($A1251="","",IF(AH!$U$5=1,IFERROR(MATCH($A1251,'Live History'!$A$5:$A$3004,0),0),AH!$U$7+1246))</f>
        <v/>
      </c>
      <c r="L1251" s="15">
        <f>IF(ISNUMBER(A1251),TEXT(A1251,"dd-mmm-yy"),"")</f>
        <v/>
      </c>
    </row>
    <row r="1252">
      <c r="A1252" s="14">
        <f>IF(OR(AH!$U$4=0,1247+1&gt;AH!$U$6,AND(AH!$M$5="Bloomberg",AH!$U$5=0)),"",IFERROR(IF(AND(AH!$U$12=1,1247+1=AH!$U$6),TODAY(),IF(AH!$U$5=1,INDEX('Live History'!$A$5:$A$3004,AH!$U$7+1247),INDEX('AH History'!$A$5:$A$1380,AH!$U$7+1247))),""))</f>
        <v/>
      </c>
      <c r="B1252" s="33">
        <f>IFERROR(IF(AH!$U$11=1,NA(),$J1252/$E1252-1),NA())</f>
        <v/>
      </c>
      <c r="C1252" s="269">
        <f>IFERROR(100*$E1252/$E$5,NA())</f>
        <v/>
      </c>
      <c r="D1252" s="269">
        <f>IFERROR(100*$J1252/$J$5,NA())</f>
        <v/>
      </c>
      <c r="E1252" s="32">
        <f>IFERROR(IF(AND(ISNUMBER($A1252),N(IF(AND(AH!$U$12=1,1247+1=AH!$U$6),IF(AH!$U$4=0,"unavailable",INDEX('Market Data'!$AN$5:$AN$66,AH!$U$4)),IF(AH!$U$5=1,INDEX('Live History'!$B$5:$B$3004,$K1252),INDEX('AH History'!$D$5:$GG$1380,$K1252,AH!$U$10))))&gt;0),IF(AND(AH!$U$12=1,1247+1=AH!$U$6),IF(AH!$U$4=0,"unavailable",INDEX('Market Data'!$AN$5:$AN$66,AH!$U$4)),IF(AH!$U$5=1,INDEX('Live History'!$B$5:$B$3004,$K1252),INDEX('AH History'!$D$5:$GG$1380,$K1252,AH!$U$10))),NA()),NA())</f>
        <v/>
      </c>
      <c r="F1252" s="32">
        <f>IFERROR(IF(ISNUMBER($A1252),IF(AND(AH!$U$12=1,1247+1=AH!$U$6),IF(AH!$U$4=0,"unavailable",INDEX('Market Data'!$AO$5:$AO$66,AH!$U$4)),IF(AH!$U$5=1,INDEX('Live History'!$E$5:$E$3004,MATCH($A1252,'Live History'!$D$5:$D$3004,1)),INDEX('AH History'!$D$5:$GG$1380,$K1252,AH!$U$10+1))),NA()),NA())</f>
        <v/>
      </c>
      <c r="G1252" s="34">
        <f>IFERROR(IF(ISNUMBER($A1252),IF(AND(AH!$U$12=1,1247+1=AH!$U$6),IF(AH!$U$4=0,"unavailable",INDEX('Market Data'!$AK$5:$AK$66,AH!$U$4)),IF(AH!$U$5=1,INDEX('Live History'!$D$5:$D$3004,MATCH($A1252,'Live History'!$D$5:$D$3004,1)),INDEX('AH History'!$D$5:$GG$1380,$K1252,AH!$U$10+2))),NA()),NA())</f>
        <v/>
      </c>
      <c r="H1252" s="266">
        <f>IFERROR(IF(ISNUMBER($A1252),IF(AND(AH!$U$12=1,1247+1=AH!$U$6),IF(AH!$U$4=0,"unavailable",INDEX('Market Data'!$AP$5:$AP$66,AH!$U$4)),IF(AH!$U$5=1,INDEX('Live History'!$H$5:$H$3004,MATCH($A1252,'Live History'!$G$5:$G$3004,1)),INDEX('AH History'!$B$5:$B$1380,$K1252))),NA()),NA())</f>
        <v/>
      </c>
      <c r="I1252" s="34">
        <f>IFERROR(IF(ISNUMBER($A1252),IF(AND(AH!$U$12=1,1247+1=AH!$U$6),TODAY(),IF(AH!$U$5=1,INDEX('Live History'!$G$5:$G$3004,MATCH($A1252,'Live History'!$G$5:$G$3004,1)),INDEX('AH History'!$C$5:$C$1380,$K1252))),NA()),NA())</f>
        <v/>
      </c>
      <c r="J1252" s="32">
        <f>IFERROR(IF(AND($F1252&gt;0,$H1252&gt;0,$A1252-$G1252&lt;=10,$A1252-$I1252&lt;=5,$G1252&gt;0,$I1252&gt;0),$F1252*$H1252,NA()),NA())</f>
        <v/>
      </c>
      <c r="K1252" s="15">
        <f>IF($A1252="","",IF(AH!$U$5=1,IFERROR(MATCH($A1252,'Live History'!$A$5:$A$3004,0),0),AH!$U$7+1247))</f>
        <v/>
      </c>
      <c r="L1252" s="15">
        <f>IF(ISNUMBER(A1252),TEXT(A1252,"dd-mmm-yy"),"")</f>
        <v/>
      </c>
    </row>
    <row r="1253">
      <c r="A1253" s="14">
        <f>IF(OR(AH!$U$4=0,1248+1&gt;AH!$U$6,AND(AH!$M$5="Bloomberg",AH!$U$5=0)),"",IFERROR(IF(AND(AH!$U$12=1,1248+1=AH!$U$6),TODAY(),IF(AH!$U$5=1,INDEX('Live History'!$A$5:$A$3004,AH!$U$7+1248),INDEX('AH History'!$A$5:$A$1380,AH!$U$7+1248))),""))</f>
        <v/>
      </c>
      <c r="B1253" s="33">
        <f>IFERROR(IF(AH!$U$11=1,NA(),$J1253/$E1253-1),NA())</f>
        <v/>
      </c>
      <c r="C1253" s="269">
        <f>IFERROR(100*$E1253/$E$5,NA())</f>
        <v/>
      </c>
      <c r="D1253" s="269">
        <f>IFERROR(100*$J1253/$J$5,NA())</f>
        <v/>
      </c>
      <c r="E1253" s="32">
        <f>IFERROR(IF(AND(ISNUMBER($A1253),N(IF(AND(AH!$U$12=1,1248+1=AH!$U$6),IF(AH!$U$4=0,"unavailable",INDEX('Market Data'!$AN$5:$AN$66,AH!$U$4)),IF(AH!$U$5=1,INDEX('Live History'!$B$5:$B$3004,$K1253),INDEX('AH History'!$D$5:$GG$1380,$K1253,AH!$U$10))))&gt;0),IF(AND(AH!$U$12=1,1248+1=AH!$U$6),IF(AH!$U$4=0,"unavailable",INDEX('Market Data'!$AN$5:$AN$66,AH!$U$4)),IF(AH!$U$5=1,INDEX('Live History'!$B$5:$B$3004,$K1253),INDEX('AH History'!$D$5:$GG$1380,$K1253,AH!$U$10))),NA()),NA())</f>
        <v/>
      </c>
      <c r="F1253" s="32">
        <f>IFERROR(IF(ISNUMBER($A1253),IF(AND(AH!$U$12=1,1248+1=AH!$U$6),IF(AH!$U$4=0,"unavailable",INDEX('Market Data'!$AO$5:$AO$66,AH!$U$4)),IF(AH!$U$5=1,INDEX('Live History'!$E$5:$E$3004,MATCH($A1253,'Live History'!$D$5:$D$3004,1)),INDEX('AH History'!$D$5:$GG$1380,$K1253,AH!$U$10+1))),NA()),NA())</f>
        <v/>
      </c>
      <c r="G1253" s="34">
        <f>IFERROR(IF(ISNUMBER($A1253),IF(AND(AH!$U$12=1,1248+1=AH!$U$6),IF(AH!$U$4=0,"unavailable",INDEX('Market Data'!$AK$5:$AK$66,AH!$U$4)),IF(AH!$U$5=1,INDEX('Live History'!$D$5:$D$3004,MATCH($A1253,'Live History'!$D$5:$D$3004,1)),INDEX('AH History'!$D$5:$GG$1380,$K1253,AH!$U$10+2))),NA()),NA())</f>
        <v/>
      </c>
      <c r="H1253" s="266">
        <f>IFERROR(IF(ISNUMBER($A1253),IF(AND(AH!$U$12=1,1248+1=AH!$U$6),IF(AH!$U$4=0,"unavailable",INDEX('Market Data'!$AP$5:$AP$66,AH!$U$4)),IF(AH!$U$5=1,INDEX('Live History'!$H$5:$H$3004,MATCH($A1253,'Live History'!$G$5:$G$3004,1)),INDEX('AH History'!$B$5:$B$1380,$K1253))),NA()),NA())</f>
        <v/>
      </c>
      <c r="I1253" s="34">
        <f>IFERROR(IF(ISNUMBER($A1253),IF(AND(AH!$U$12=1,1248+1=AH!$U$6),TODAY(),IF(AH!$U$5=1,INDEX('Live History'!$G$5:$G$3004,MATCH($A1253,'Live History'!$G$5:$G$3004,1)),INDEX('AH History'!$C$5:$C$1380,$K1253))),NA()),NA())</f>
        <v/>
      </c>
      <c r="J1253" s="32">
        <f>IFERROR(IF(AND($F1253&gt;0,$H1253&gt;0,$A1253-$G1253&lt;=10,$A1253-$I1253&lt;=5,$G1253&gt;0,$I1253&gt;0),$F1253*$H1253,NA()),NA())</f>
        <v/>
      </c>
      <c r="K1253" s="15">
        <f>IF($A1253="","",IF(AH!$U$5=1,IFERROR(MATCH($A1253,'Live History'!$A$5:$A$3004,0),0),AH!$U$7+1248))</f>
        <v/>
      </c>
      <c r="L1253" s="15">
        <f>IF(ISNUMBER(A1253),TEXT(A1253,"dd-mmm-yy"),"")</f>
        <v/>
      </c>
    </row>
    <row r="1254">
      <c r="A1254" s="14">
        <f>IF(OR(AH!$U$4=0,1249+1&gt;AH!$U$6,AND(AH!$M$5="Bloomberg",AH!$U$5=0)),"",IFERROR(IF(AND(AH!$U$12=1,1249+1=AH!$U$6),TODAY(),IF(AH!$U$5=1,INDEX('Live History'!$A$5:$A$3004,AH!$U$7+1249),INDEX('AH History'!$A$5:$A$1380,AH!$U$7+1249))),""))</f>
        <v/>
      </c>
      <c r="B1254" s="33">
        <f>IFERROR(IF(AH!$U$11=1,NA(),$J1254/$E1254-1),NA())</f>
        <v/>
      </c>
      <c r="C1254" s="269">
        <f>IFERROR(100*$E1254/$E$5,NA())</f>
        <v/>
      </c>
      <c r="D1254" s="269">
        <f>IFERROR(100*$J1254/$J$5,NA())</f>
        <v/>
      </c>
      <c r="E1254" s="32">
        <f>IFERROR(IF(AND(ISNUMBER($A1254),N(IF(AND(AH!$U$12=1,1249+1=AH!$U$6),IF(AH!$U$4=0,"unavailable",INDEX('Market Data'!$AN$5:$AN$66,AH!$U$4)),IF(AH!$U$5=1,INDEX('Live History'!$B$5:$B$3004,$K1254),INDEX('AH History'!$D$5:$GG$1380,$K1254,AH!$U$10))))&gt;0),IF(AND(AH!$U$12=1,1249+1=AH!$U$6),IF(AH!$U$4=0,"unavailable",INDEX('Market Data'!$AN$5:$AN$66,AH!$U$4)),IF(AH!$U$5=1,INDEX('Live History'!$B$5:$B$3004,$K1254),INDEX('AH History'!$D$5:$GG$1380,$K1254,AH!$U$10))),NA()),NA())</f>
        <v/>
      </c>
      <c r="F1254" s="32">
        <f>IFERROR(IF(ISNUMBER($A1254),IF(AND(AH!$U$12=1,1249+1=AH!$U$6),IF(AH!$U$4=0,"unavailable",INDEX('Market Data'!$AO$5:$AO$66,AH!$U$4)),IF(AH!$U$5=1,INDEX('Live History'!$E$5:$E$3004,MATCH($A1254,'Live History'!$D$5:$D$3004,1)),INDEX('AH History'!$D$5:$GG$1380,$K1254,AH!$U$10+1))),NA()),NA())</f>
        <v/>
      </c>
      <c r="G1254" s="34">
        <f>IFERROR(IF(ISNUMBER($A1254),IF(AND(AH!$U$12=1,1249+1=AH!$U$6),IF(AH!$U$4=0,"unavailable",INDEX('Market Data'!$AK$5:$AK$66,AH!$U$4)),IF(AH!$U$5=1,INDEX('Live History'!$D$5:$D$3004,MATCH($A1254,'Live History'!$D$5:$D$3004,1)),INDEX('AH History'!$D$5:$GG$1380,$K1254,AH!$U$10+2))),NA()),NA())</f>
        <v/>
      </c>
      <c r="H1254" s="266">
        <f>IFERROR(IF(ISNUMBER($A1254),IF(AND(AH!$U$12=1,1249+1=AH!$U$6),IF(AH!$U$4=0,"unavailable",INDEX('Market Data'!$AP$5:$AP$66,AH!$U$4)),IF(AH!$U$5=1,INDEX('Live History'!$H$5:$H$3004,MATCH($A1254,'Live History'!$G$5:$G$3004,1)),INDEX('AH History'!$B$5:$B$1380,$K1254))),NA()),NA())</f>
        <v/>
      </c>
      <c r="I1254" s="34">
        <f>IFERROR(IF(ISNUMBER($A1254),IF(AND(AH!$U$12=1,1249+1=AH!$U$6),TODAY(),IF(AH!$U$5=1,INDEX('Live History'!$G$5:$G$3004,MATCH($A1254,'Live History'!$G$5:$G$3004,1)),INDEX('AH History'!$C$5:$C$1380,$K1254))),NA()),NA())</f>
        <v/>
      </c>
      <c r="J1254" s="32">
        <f>IFERROR(IF(AND($F1254&gt;0,$H1254&gt;0,$A1254-$G1254&lt;=10,$A1254-$I1254&lt;=5,$G1254&gt;0,$I1254&gt;0),$F1254*$H1254,NA()),NA())</f>
        <v/>
      </c>
      <c r="K1254" s="15">
        <f>IF($A1254="","",IF(AH!$U$5=1,IFERROR(MATCH($A1254,'Live History'!$A$5:$A$3004,0),0),AH!$U$7+1249))</f>
        <v/>
      </c>
      <c r="L1254" s="15">
        <f>IF(ISNUMBER(A1254),TEXT(A1254,"dd-mmm-yy"),"")</f>
        <v/>
      </c>
    </row>
    <row r="1255">
      <c r="A1255" s="14">
        <f>IF(OR(AH!$U$4=0,1250+1&gt;AH!$U$6,AND(AH!$M$5="Bloomberg",AH!$U$5=0)),"",IFERROR(IF(AND(AH!$U$12=1,1250+1=AH!$U$6),TODAY(),IF(AH!$U$5=1,INDEX('Live History'!$A$5:$A$3004,AH!$U$7+1250),INDEX('AH History'!$A$5:$A$1380,AH!$U$7+1250))),""))</f>
        <v/>
      </c>
      <c r="B1255" s="33">
        <f>IFERROR(IF(AH!$U$11=1,NA(),$J1255/$E1255-1),NA())</f>
        <v/>
      </c>
      <c r="C1255" s="269">
        <f>IFERROR(100*$E1255/$E$5,NA())</f>
        <v/>
      </c>
      <c r="D1255" s="269">
        <f>IFERROR(100*$J1255/$J$5,NA())</f>
        <v/>
      </c>
      <c r="E1255" s="32">
        <f>IFERROR(IF(AND(ISNUMBER($A1255),N(IF(AND(AH!$U$12=1,1250+1=AH!$U$6),IF(AH!$U$4=0,"unavailable",INDEX('Market Data'!$AN$5:$AN$66,AH!$U$4)),IF(AH!$U$5=1,INDEX('Live History'!$B$5:$B$3004,$K1255),INDEX('AH History'!$D$5:$GG$1380,$K1255,AH!$U$10))))&gt;0),IF(AND(AH!$U$12=1,1250+1=AH!$U$6),IF(AH!$U$4=0,"unavailable",INDEX('Market Data'!$AN$5:$AN$66,AH!$U$4)),IF(AH!$U$5=1,INDEX('Live History'!$B$5:$B$3004,$K1255),INDEX('AH History'!$D$5:$GG$1380,$K1255,AH!$U$10))),NA()),NA())</f>
        <v/>
      </c>
      <c r="F1255" s="32">
        <f>IFERROR(IF(ISNUMBER($A1255),IF(AND(AH!$U$12=1,1250+1=AH!$U$6),IF(AH!$U$4=0,"unavailable",INDEX('Market Data'!$AO$5:$AO$66,AH!$U$4)),IF(AH!$U$5=1,INDEX('Live History'!$E$5:$E$3004,MATCH($A1255,'Live History'!$D$5:$D$3004,1)),INDEX('AH History'!$D$5:$GG$1380,$K1255,AH!$U$10+1))),NA()),NA())</f>
        <v/>
      </c>
      <c r="G1255" s="34">
        <f>IFERROR(IF(ISNUMBER($A1255),IF(AND(AH!$U$12=1,1250+1=AH!$U$6),IF(AH!$U$4=0,"unavailable",INDEX('Market Data'!$AK$5:$AK$66,AH!$U$4)),IF(AH!$U$5=1,INDEX('Live History'!$D$5:$D$3004,MATCH($A1255,'Live History'!$D$5:$D$3004,1)),INDEX('AH History'!$D$5:$GG$1380,$K1255,AH!$U$10+2))),NA()),NA())</f>
        <v/>
      </c>
      <c r="H1255" s="266">
        <f>IFERROR(IF(ISNUMBER($A1255),IF(AND(AH!$U$12=1,1250+1=AH!$U$6),IF(AH!$U$4=0,"unavailable",INDEX('Market Data'!$AP$5:$AP$66,AH!$U$4)),IF(AH!$U$5=1,INDEX('Live History'!$H$5:$H$3004,MATCH($A1255,'Live History'!$G$5:$G$3004,1)),INDEX('AH History'!$B$5:$B$1380,$K1255))),NA()),NA())</f>
        <v/>
      </c>
      <c r="I1255" s="34">
        <f>IFERROR(IF(ISNUMBER($A1255),IF(AND(AH!$U$12=1,1250+1=AH!$U$6),TODAY(),IF(AH!$U$5=1,INDEX('Live History'!$G$5:$G$3004,MATCH($A1255,'Live History'!$G$5:$G$3004,1)),INDEX('AH History'!$C$5:$C$1380,$K1255))),NA()),NA())</f>
        <v/>
      </c>
      <c r="J1255" s="32">
        <f>IFERROR(IF(AND($F1255&gt;0,$H1255&gt;0,$A1255-$G1255&lt;=10,$A1255-$I1255&lt;=5,$G1255&gt;0,$I1255&gt;0),$F1255*$H1255,NA()),NA())</f>
        <v/>
      </c>
      <c r="K1255" s="15">
        <f>IF($A1255="","",IF(AH!$U$5=1,IFERROR(MATCH($A1255,'Live History'!$A$5:$A$3004,0),0),AH!$U$7+1250))</f>
        <v/>
      </c>
      <c r="L1255" s="15">
        <f>IF(ISNUMBER(A1255),TEXT(A1255,"dd-mmm-yy"),"")</f>
        <v/>
      </c>
    </row>
    <row r="1256">
      <c r="A1256" s="14">
        <f>IF(OR(AH!$U$4=0,1251+1&gt;AH!$U$6,AND(AH!$M$5="Bloomberg",AH!$U$5=0)),"",IFERROR(IF(AND(AH!$U$12=1,1251+1=AH!$U$6),TODAY(),IF(AH!$U$5=1,INDEX('Live History'!$A$5:$A$3004,AH!$U$7+1251),INDEX('AH History'!$A$5:$A$1380,AH!$U$7+1251))),""))</f>
        <v/>
      </c>
      <c r="B1256" s="33">
        <f>IFERROR(IF(AH!$U$11=1,NA(),$J1256/$E1256-1),NA())</f>
        <v/>
      </c>
      <c r="C1256" s="269">
        <f>IFERROR(100*$E1256/$E$5,NA())</f>
        <v/>
      </c>
      <c r="D1256" s="269">
        <f>IFERROR(100*$J1256/$J$5,NA())</f>
        <v/>
      </c>
      <c r="E1256" s="32">
        <f>IFERROR(IF(AND(ISNUMBER($A1256),N(IF(AND(AH!$U$12=1,1251+1=AH!$U$6),IF(AH!$U$4=0,"unavailable",INDEX('Market Data'!$AN$5:$AN$66,AH!$U$4)),IF(AH!$U$5=1,INDEX('Live History'!$B$5:$B$3004,$K1256),INDEX('AH History'!$D$5:$GG$1380,$K1256,AH!$U$10))))&gt;0),IF(AND(AH!$U$12=1,1251+1=AH!$U$6),IF(AH!$U$4=0,"unavailable",INDEX('Market Data'!$AN$5:$AN$66,AH!$U$4)),IF(AH!$U$5=1,INDEX('Live History'!$B$5:$B$3004,$K1256),INDEX('AH History'!$D$5:$GG$1380,$K1256,AH!$U$10))),NA()),NA())</f>
        <v/>
      </c>
      <c r="F1256" s="32">
        <f>IFERROR(IF(ISNUMBER($A1256),IF(AND(AH!$U$12=1,1251+1=AH!$U$6),IF(AH!$U$4=0,"unavailable",INDEX('Market Data'!$AO$5:$AO$66,AH!$U$4)),IF(AH!$U$5=1,INDEX('Live History'!$E$5:$E$3004,MATCH($A1256,'Live History'!$D$5:$D$3004,1)),INDEX('AH History'!$D$5:$GG$1380,$K1256,AH!$U$10+1))),NA()),NA())</f>
        <v/>
      </c>
      <c r="G1256" s="34">
        <f>IFERROR(IF(ISNUMBER($A1256),IF(AND(AH!$U$12=1,1251+1=AH!$U$6),IF(AH!$U$4=0,"unavailable",INDEX('Market Data'!$AK$5:$AK$66,AH!$U$4)),IF(AH!$U$5=1,INDEX('Live History'!$D$5:$D$3004,MATCH($A1256,'Live History'!$D$5:$D$3004,1)),INDEX('AH History'!$D$5:$GG$1380,$K1256,AH!$U$10+2))),NA()),NA())</f>
        <v/>
      </c>
      <c r="H1256" s="266">
        <f>IFERROR(IF(ISNUMBER($A1256),IF(AND(AH!$U$12=1,1251+1=AH!$U$6),IF(AH!$U$4=0,"unavailable",INDEX('Market Data'!$AP$5:$AP$66,AH!$U$4)),IF(AH!$U$5=1,INDEX('Live History'!$H$5:$H$3004,MATCH($A1256,'Live History'!$G$5:$G$3004,1)),INDEX('AH History'!$B$5:$B$1380,$K1256))),NA()),NA())</f>
        <v/>
      </c>
      <c r="I1256" s="34">
        <f>IFERROR(IF(ISNUMBER($A1256),IF(AND(AH!$U$12=1,1251+1=AH!$U$6),TODAY(),IF(AH!$U$5=1,INDEX('Live History'!$G$5:$G$3004,MATCH($A1256,'Live History'!$G$5:$G$3004,1)),INDEX('AH History'!$C$5:$C$1380,$K1256))),NA()),NA())</f>
        <v/>
      </c>
      <c r="J1256" s="32">
        <f>IFERROR(IF(AND($F1256&gt;0,$H1256&gt;0,$A1256-$G1256&lt;=10,$A1256-$I1256&lt;=5,$G1256&gt;0,$I1256&gt;0),$F1256*$H1256,NA()),NA())</f>
        <v/>
      </c>
      <c r="K1256" s="15">
        <f>IF($A1256="","",IF(AH!$U$5=1,IFERROR(MATCH($A1256,'Live History'!$A$5:$A$3004,0),0),AH!$U$7+1251))</f>
        <v/>
      </c>
      <c r="L1256" s="15">
        <f>IF(ISNUMBER(A1256),TEXT(A1256,"dd-mmm-yy"),"")</f>
        <v/>
      </c>
    </row>
    <row r="1257">
      <c r="A1257" s="14">
        <f>IF(OR(AH!$U$4=0,1252+1&gt;AH!$U$6,AND(AH!$M$5="Bloomberg",AH!$U$5=0)),"",IFERROR(IF(AND(AH!$U$12=1,1252+1=AH!$U$6),TODAY(),IF(AH!$U$5=1,INDEX('Live History'!$A$5:$A$3004,AH!$U$7+1252),INDEX('AH History'!$A$5:$A$1380,AH!$U$7+1252))),""))</f>
        <v/>
      </c>
      <c r="B1257" s="33">
        <f>IFERROR(IF(AH!$U$11=1,NA(),$J1257/$E1257-1),NA())</f>
        <v/>
      </c>
      <c r="C1257" s="269">
        <f>IFERROR(100*$E1257/$E$5,NA())</f>
        <v/>
      </c>
      <c r="D1257" s="269">
        <f>IFERROR(100*$J1257/$J$5,NA())</f>
        <v/>
      </c>
      <c r="E1257" s="32">
        <f>IFERROR(IF(AND(ISNUMBER($A1257),N(IF(AND(AH!$U$12=1,1252+1=AH!$U$6),IF(AH!$U$4=0,"unavailable",INDEX('Market Data'!$AN$5:$AN$66,AH!$U$4)),IF(AH!$U$5=1,INDEX('Live History'!$B$5:$B$3004,$K1257),INDEX('AH History'!$D$5:$GG$1380,$K1257,AH!$U$10))))&gt;0),IF(AND(AH!$U$12=1,1252+1=AH!$U$6),IF(AH!$U$4=0,"unavailable",INDEX('Market Data'!$AN$5:$AN$66,AH!$U$4)),IF(AH!$U$5=1,INDEX('Live History'!$B$5:$B$3004,$K1257),INDEX('AH History'!$D$5:$GG$1380,$K1257,AH!$U$10))),NA()),NA())</f>
        <v/>
      </c>
      <c r="F1257" s="32">
        <f>IFERROR(IF(ISNUMBER($A1257),IF(AND(AH!$U$12=1,1252+1=AH!$U$6),IF(AH!$U$4=0,"unavailable",INDEX('Market Data'!$AO$5:$AO$66,AH!$U$4)),IF(AH!$U$5=1,INDEX('Live History'!$E$5:$E$3004,MATCH($A1257,'Live History'!$D$5:$D$3004,1)),INDEX('AH History'!$D$5:$GG$1380,$K1257,AH!$U$10+1))),NA()),NA())</f>
        <v/>
      </c>
      <c r="G1257" s="34">
        <f>IFERROR(IF(ISNUMBER($A1257),IF(AND(AH!$U$12=1,1252+1=AH!$U$6),IF(AH!$U$4=0,"unavailable",INDEX('Market Data'!$AK$5:$AK$66,AH!$U$4)),IF(AH!$U$5=1,INDEX('Live History'!$D$5:$D$3004,MATCH($A1257,'Live History'!$D$5:$D$3004,1)),INDEX('AH History'!$D$5:$GG$1380,$K1257,AH!$U$10+2))),NA()),NA())</f>
        <v/>
      </c>
      <c r="H1257" s="266">
        <f>IFERROR(IF(ISNUMBER($A1257),IF(AND(AH!$U$12=1,1252+1=AH!$U$6),IF(AH!$U$4=0,"unavailable",INDEX('Market Data'!$AP$5:$AP$66,AH!$U$4)),IF(AH!$U$5=1,INDEX('Live History'!$H$5:$H$3004,MATCH($A1257,'Live History'!$G$5:$G$3004,1)),INDEX('AH History'!$B$5:$B$1380,$K1257))),NA()),NA())</f>
        <v/>
      </c>
      <c r="I1257" s="34">
        <f>IFERROR(IF(ISNUMBER($A1257),IF(AND(AH!$U$12=1,1252+1=AH!$U$6),TODAY(),IF(AH!$U$5=1,INDEX('Live History'!$G$5:$G$3004,MATCH($A1257,'Live History'!$G$5:$G$3004,1)),INDEX('AH History'!$C$5:$C$1380,$K1257))),NA()),NA())</f>
        <v/>
      </c>
      <c r="J1257" s="32">
        <f>IFERROR(IF(AND($F1257&gt;0,$H1257&gt;0,$A1257-$G1257&lt;=10,$A1257-$I1257&lt;=5,$G1257&gt;0,$I1257&gt;0),$F1257*$H1257,NA()),NA())</f>
        <v/>
      </c>
      <c r="K1257" s="15">
        <f>IF($A1257="","",IF(AH!$U$5=1,IFERROR(MATCH($A1257,'Live History'!$A$5:$A$3004,0),0),AH!$U$7+1252))</f>
        <v/>
      </c>
      <c r="L1257" s="15">
        <f>IF(ISNUMBER(A1257),TEXT(A1257,"dd-mmm-yy"),"")</f>
        <v/>
      </c>
    </row>
    <row r="1258">
      <c r="A1258" s="14">
        <f>IF(OR(AH!$U$4=0,1253+1&gt;AH!$U$6,AND(AH!$M$5="Bloomberg",AH!$U$5=0)),"",IFERROR(IF(AND(AH!$U$12=1,1253+1=AH!$U$6),TODAY(),IF(AH!$U$5=1,INDEX('Live History'!$A$5:$A$3004,AH!$U$7+1253),INDEX('AH History'!$A$5:$A$1380,AH!$U$7+1253))),""))</f>
        <v/>
      </c>
      <c r="B1258" s="33">
        <f>IFERROR(IF(AH!$U$11=1,NA(),$J1258/$E1258-1),NA())</f>
        <v/>
      </c>
      <c r="C1258" s="269">
        <f>IFERROR(100*$E1258/$E$5,NA())</f>
        <v/>
      </c>
      <c r="D1258" s="269">
        <f>IFERROR(100*$J1258/$J$5,NA())</f>
        <v/>
      </c>
      <c r="E1258" s="32">
        <f>IFERROR(IF(AND(ISNUMBER($A1258),N(IF(AND(AH!$U$12=1,1253+1=AH!$U$6),IF(AH!$U$4=0,"unavailable",INDEX('Market Data'!$AN$5:$AN$66,AH!$U$4)),IF(AH!$U$5=1,INDEX('Live History'!$B$5:$B$3004,$K1258),INDEX('AH History'!$D$5:$GG$1380,$K1258,AH!$U$10))))&gt;0),IF(AND(AH!$U$12=1,1253+1=AH!$U$6),IF(AH!$U$4=0,"unavailable",INDEX('Market Data'!$AN$5:$AN$66,AH!$U$4)),IF(AH!$U$5=1,INDEX('Live History'!$B$5:$B$3004,$K1258),INDEX('AH History'!$D$5:$GG$1380,$K1258,AH!$U$10))),NA()),NA())</f>
        <v/>
      </c>
      <c r="F1258" s="32">
        <f>IFERROR(IF(ISNUMBER($A1258),IF(AND(AH!$U$12=1,1253+1=AH!$U$6),IF(AH!$U$4=0,"unavailable",INDEX('Market Data'!$AO$5:$AO$66,AH!$U$4)),IF(AH!$U$5=1,INDEX('Live History'!$E$5:$E$3004,MATCH($A1258,'Live History'!$D$5:$D$3004,1)),INDEX('AH History'!$D$5:$GG$1380,$K1258,AH!$U$10+1))),NA()),NA())</f>
        <v/>
      </c>
      <c r="G1258" s="34">
        <f>IFERROR(IF(ISNUMBER($A1258),IF(AND(AH!$U$12=1,1253+1=AH!$U$6),IF(AH!$U$4=0,"unavailable",INDEX('Market Data'!$AK$5:$AK$66,AH!$U$4)),IF(AH!$U$5=1,INDEX('Live History'!$D$5:$D$3004,MATCH($A1258,'Live History'!$D$5:$D$3004,1)),INDEX('AH History'!$D$5:$GG$1380,$K1258,AH!$U$10+2))),NA()),NA())</f>
        <v/>
      </c>
      <c r="H1258" s="266">
        <f>IFERROR(IF(ISNUMBER($A1258),IF(AND(AH!$U$12=1,1253+1=AH!$U$6),IF(AH!$U$4=0,"unavailable",INDEX('Market Data'!$AP$5:$AP$66,AH!$U$4)),IF(AH!$U$5=1,INDEX('Live History'!$H$5:$H$3004,MATCH($A1258,'Live History'!$G$5:$G$3004,1)),INDEX('AH History'!$B$5:$B$1380,$K1258))),NA()),NA())</f>
        <v/>
      </c>
      <c r="I1258" s="34">
        <f>IFERROR(IF(ISNUMBER($A1258),IF(AND(AH!$U$12=1,1253+1=AH!$U$6),TODAY(),IF(AH!$U$5=1,INDEX('Live History'!$G$5:$G$3004,MATCH($A1258,'Live History'!$G$5:$G$3004,1)),INDEX('AH History'!$C$5:$C$1380,$K1258))),NA()),NA())</f>
        <v/>
      </c>
      <c r="J1258" s="32">
        <f>IFERROR(IF(AND($F1258&gt;0,$H1258&gt;0,$A1258-$G1258&lt;=10,$A1258-$I1258&lt;=5,$G1258&gt;0,$I1258&gt;0),$F1258*$H1258,NA()),NA())</f>
        <v/>
      </c>
      <c r="K1258" s="15">
        <f>IF($A1258="","",IF(AH!$U$5=1,IFERROR(MATCH($A1258,'Live History'!$A$5:$A$3004,0),0),AH!$U$7+1253))</f>
        <v/>
      </c>
      <c r="L1258" s="15">
        <f>IF(ISNUMBER(A1258),TEXT(A1258,"dd-mmm-yy"),"")</f>
        <v/>
      </c>
    </row>
    <row r="1259">
      <c r="A1259" s="14">
        <f>IF(OR(AH!$U$4=0,1254+1&gt;AH!$U$6,AND(AH!$M$5="Bloomberg",AH!$U$5=0)),"",IFERROR(IF(AND(AH!$U$12=1,1254+1=AH!$U$6),TODAY(),IF(AH!$U$5=1,INDEX('Live History'!$A$5:$A$3004,AH!$U$7+1254),INDEX('AH History'!$A$5:$A$1380,AH!$U$7+1254))),""))</f>
        <v/>
      </c>
      <c r="B1259" s="33">
        <f>IFERROR(IF(AH!$U$11=1,NA(),$J1259/$E1259-1),NA())</f>
        <v/>
      </c>
      <c r="C1259" s="269">
        <f>IFERROR(100*$E1259/$E$5,NA())</f>
        <v/>
      </c>
      <c r="D1259" s="269">
        <f>IFERROR(100*$J1259/$J$5,NA())</f>
        <v/>
      </c>
      <c r="E1259" s="32">
        <f>IFERROR(IF(AND(ISNUMBER($A1259),N(IF(AND(AH!$U$12=1,1254+1=AH!$U$6),IF(AH!$U$4=0,"unavailable",INDEX('Market Data'!$AN$5:$AN$66,AH!$U$4)),IF(AH!$U$5=1,INDEX('Live History'!$B$5:$B$3004,$K1259),INDEX('AH History'!$D$5:$GG$1380,$K1259,AH!$U$10))))&gt;0),IF(AND(AH!$U$12=1,1254+1=AH!$U$6),IF(AH!$U$4=0,"unavailable",INDEX('Market Data'!$AN$5:$AN$66,AH!$U$4)),IF(AH!$U$5=1,INDEX('Live History'!$B$5:$B$3004,$K1259),INDEX('AH History'!$D$5:$GG$1380,$K1259,AH!$U$10))),NA()),NA())</f>
        <v/>
      </c>
      <c r="F1259" s="32">
        <f>IFERROR(IF(ISNUMBER($A1259),IF(AND(AH!$U$12=1,1254+1=AH!$U$6),IF(AH!$U$4=0,"unavailable",INDEX('Market Data'!$AO$5:$AO$66,AH!$U$4)),IF(AH!$U$5=1,INDEX('Live History'!$E$5:$E$3004,MATCH($A1259,'Live History'!$D$5:$D$3004,1)),INDEX('AH History'!$D$5:$GG$1380,$K1259,AH!$U$10+1))),NA()),NA())</f>
        <v/>
      </c>
      <c r="G1259" s="34">
        <f>IFERROR(IF(ISNUMBER($A1259),IF(AND(AH!$U$12=1,1254+1=AH!$U$6),IF(AH!$U$4=0,"unavailable",INDEX('Market Data'!$AK$5:$AK$66,AH!$U$4)),IF(AH!$U$5=1,INDEX('Live History'!$D$5:$D$3004,MATCH($A1259,'Live History'!$D$5:$D$3004,1)),INDEX('AH History'!$D$5:$GG$1380,$K1259,AH!$U$10+2))),NA()),NA())</f>
        <v/>
      </c>
      <c r="H1259" s="266">
        <f>IFERROR(IF(ISNUMBER($A1259),IF(AND(AH!$U$12=1,1254+1=AH!$U$6),IF(AH!$U$4=0,"unavailable",INDEX('Market Data'!$AP$5:$AP$66,AH!$U$4)),IF(AH!$U$5=1,INDEX('Live History'!$H$5:$H$3004,MATCH($A1259,'Live History'!$G$5:$G$3004,1)),INDEX('AH History'!$B$5:$B$1380,$K1259))),NA()),NA())</f>
        <v/>
      </c>
      <c r="I1259" s="34">
        <f>IFERROR(IF(ISNUMBER($A1259),IF(AND(AH!$U$12=1,1254+1=AH!$U$6),TODAY(),IF(AH!$U$5=1,INDEX('Live History'!$G$5:$G$3004,MATCH($A1259,'Live History'!$G$5:$G$3004,1)),INDEX('AH History'!$C$5:$C$1380,$K1259))),NA()),NA())</f>
        <v/>
      </c>
      <c r="J1259" s="32">
        <f>IFERROR(IF(AND($F1259&gt;0,$H1259&gt;0,$A1259-$G1259&lt;=10,$A1259-$I1259&lt;=5,$G1259&gt;0,$I1259&gt;0),$F1259*$H1259,NA()),NA())</f>
        <v/>
      </c>
      <c r="K1259" s="15">
        <f>IF($A1259="","",IF(AH!$U$5=1,IFERROR(MATCH($A1259,'Live History'!$A$5:$A$3004,0),0),AH!$U$7+1254))</f>
        <v/>
      </c>
      <c r="L1259" s="15">
        <f>IF(ISNUMBER(A1259),TEXT(A1259,"dd-mmm-yy"),"")</f>
        <v/>
      </c>
    </row>
    <row r="1260">
      <c r="A1260" s="14">
        <f>IF(OR(AH!$U$4=0,1255+1&gt;AH!$U$6,AND(AH!$M$5="Bloomberg",AH!$U$5=0)),"",IFERROR(IF(AND(AH!$U$12=1,1255+1=AH!$U$6),TODAY(),IF(AH!$U$5=1,INDEX('Live History'!$A$5:$A$3004,AH!$U$7+1255),INDEX('AH History'!$A$5:$A$1380,AH!$U$7+1255))),""))</f>
        <v/>
      </c>
      <c r="B1260" s="33">
        <f>IFERROR(IF(AH!$U$11=1,NA(),$J1260/$E1260-1),NA())</f>
        <v/>
      </c>
      <c r="C1260" s="269">
        <f>IFERROR(100*$E1260/$E$5,NA())</f>
        <v/>
      </c>
      <c r="D1260" s="269">
        <f>IFERROR(100*$J1260/$J$5,NA())</f>
        <v/>
      </c>
      <c r="E1260" s="32">
        <f>IFERROR(IF(AND(ISNUMBER($A1260),N(IF(AND(AH!$U$12=1,1255+1=AH!$U$6),IF(AH!$U$4=0,"unavailable",INDEX('Market Data'!$AN$5:$AN$66,AH!$U$4)),IF(AH!$U$5=1,INDEX('Live History'!$B$5:$B$3004,$K1260),INDEX('AH History'!$D$5:$GG$1380,$K1260,AH!$U$10))))&gt;0),IF(AND(AH!$U$12=1,1255+1=AH!$U$6),IF(AH!$U$4=0,"unavailable",INDEX('Market Data'!$AN$5:$AN$66,AH!$U$4)),IF(AH!$U$5=1,INDEX('Live History'!$B$5:$B$3004,$K1260),INDEX('AH History'!$D$5:$GG$1380,$K1260,AH!$U$10))),NA()),NA())</f>
        <v/>
      </c>
      <c r="F1260" s="32">
        <f>IFERROR(IF(ISNUMBER($A1260),IF(AND(AH!$U$12=1,1255+1=AH!$U$6),IF(AH!$U$4=0,"unavailable",INDEX('Market Data'!$AO$5:$AO$66,AH!$U$4)),IF(AH!$U$5=1,INDEX('Live History'!$E$5:$E$3004,MATCH($A1260,'Live History'!$D$5:$D$3004,1)),INDEX('AH History'!$D$5:$GG$1380,$K1260,AH!$U$10+1))),NA()),NA())</f>
        <v/>
      </c>
      <c r="G1260" s="34">
        <f>IFERROR(IF(ISNUMBER($A1260),IF(AND(AH!$U$12=1,1255+1=AH!$U$6),IF(AH!$U$4=0,"unavailable",INDEX('Market Data'!$AK$5:$AK$66,AH!$U$4)),IF(AH!$U$5=1,INDEX('Live History'!$D$5:$D$3004,MATCH($A1260,'Live History'!$D$5:$D$3004,1)),INDEX('AH History'!$D$5:$GG$1380,$K1260,AH!$U$10+2))),NA()),NA())</f>
        <v/>
      </c>
      <c r="H1260" s="266">
        <f>IFERROR(IF(ISNUMBER($A1260),IF(AND(AH!$U$12=1,1255+1=AH!$U$6),IF(AH!$U$4=0,"unavailable",INDEX('Market Data'!$AP$5:$AP$66,AH!$U$4)),IF(AH!$U$5=1,INDEX('Live History'!$H$5:$H$3004,MATCH($A1260,'Live History'!$G$5:$G$3004,1)),INDEX('AH History'!$B$5:$B$1380,$K1260))),NA()),NA())</f>
        <v/>
      </c>
      <c r="I1260" s="34">
        <f>IFERROR(IF(ISNUMBER($A1260),IF(AND(AH!$U$12=1,1255+1=AH!$U$6),TODAY(),IF(AH!$U$5=1,INDEX('Live History'!$G$5:$G$3004,MATCH($A1260,'Live History'!$G$5:$G$3004,1)),INDEX('AH History'!$C$5:$C$1380,$K1260))),NA()),NA())</f>
        <v/>
      </c>
      <c r="J1260" s="32">
        <f>IFERROR(IF(AND($F1260&gt;0,$H1260&gt;0,$A1260-$G1260&lt;=10,$A1260-$I1260&lt;=5,$G1260&gt;0,$I1260&gt;0),$F1260*$H1260,NA()),NA())</f>
        <v/>
      </c>
      <c r="K1260" s="15">
        <f>IF($A1260="","",IF(AH!$U$5=1,IFERROR(MATCH($A1260,'Live History'!$A$5:$A$3004,0),0),AH!$U$7+1255))</f>
        <v/>
      </c>
      <c r="L1260" s="15">
        <f>IF(ISNUMBER(A1260),TEXT(A1260,"dd-mmm-yy"),"")</f>
        <v/>
      </c>
    </row>
    <row r="1261">
      <c r="A1261" s="14">
        <f>IF(OR(AH!$U$4=0,1256+1&gt;AH!$U$6,AND(AH!$M$5="Bloomberg",AH!$U$5=0)),"",IFERROR(IF(AND(AH!$U$12=1,1256+1=AH!$U$6),TODAY(),IF(AH!$U$5=1,INDEX('Live History'!$A$5:$A$3004,AH!$U$7+1256),INDEX('AH History'!$A$5:$A$1380,AH!$U$7+1256))),""))</f>
        <v/>
      </c>
      <c r="B1261" s="33">
        <f>IFERROR(IF(AH!$U$11=1,NA(),$J1261/$E1261-1),NA())</f>
        <v/>
      </c>
      <c r="C1261" s="269">
        <f>IFERROR(100*$E1261/$E$5,NA())</f>
        <v/>
      </c>
      <c r="D1261" s="269">
        <f>IFERROR(100*$J1261/$J$5,NA())</f>
        <v/>
      </c>
      <c r="E1261" s="32">
        <f>IFERROR(IF(AND(ISNUMBER($A1261),N(IF(AND(AH!$U$12=1,1256+1=AH!$U$6),IF(AH!$U$4=0,"unavailable",INDEX('Market Data'!$AN$5:$AN$66,AH!$U$4)),IF(AH!$U$5=1,INDEX('Live History'!$B$5:$B$3004,$K1261),INDEX('AH History'!$D$5:$GG$1380,$K1261,AH!$U$10))))&gt;0),IF(AND(AH!$U$12=1,1256+1=AH!$U$6),IF(AH!$U$4=0,"unavailable",INDEX('Market Data'!$AN$5:$AN$66,AH!$U$4)),IF(AH!$U$5=1,INDEX('Live History'!$B$5:$B$3004,$K1261),INDEX('AH History'!$D$5:$GG$1380,$K1261,AH!$U$10))),NA()),NA())</f>
        <v/>
      </c>
      <c r="F1261" s="32">
        <f>IFERROR(IF(ISNUMBER($A1261),IF(AND(AH!$U$12=1,1256+1=AH!$U$6),IF(AH!$U$4=0,"unavailable",INDEX('Market Data'!$AO$5:$AO$66,AH!$U$4)),IF(AH!$U$5=1,INDEX('Live History'!$E$5:$E$3004,MATCH($A1261,'Live History'!$D$5:$D$3004,1)),INDEX('AH History'!$D$5:$GG$1380,$K1261,AH!$U$10+1))),NA()),NA())</f>
        <v/>
      </c>
      <c r="G1261" s="34">
        <f>IFERROR(IF(ISNUMBER($A1261),IF(AND(AH!$U$12=1,1256+1=AH!$U$6),IF(AH!$U$4=0,"unavailable",INDEX('Market Data'!$AK$5:$AK$66,AH!$U$4)),IF(AH!$U$5=1,INDEX('Live History'!$D$5:$D$3004,MATCH($A1261,'Live History'!$D$5:$D$3004,1)),INDEX('AH History'!$D$5:$GG$1380,$K1261,AH!$U$10+2))),NA()),NA())</f>
        <v/>
      </c>
      <c r="H1261" s="266">
        <f>IFERROR(IF(ISNUMBER($A1261),IF(AND(AH!$U$12=1,1256+1=AH!$U$6),IF(AH!$U$4=0,"unavailable",INDEX('Market Data'!$AP$5:$AP$66,AH!$U$4)),IF(AH!$U$5=1,INDEX('Live History'!$H$5:$H$3004,MATCH($A1261,'Live History'!$G$5:$G$3004,1)),INDEX('AH History'!$B$5:$B$1380,$K1261))),NA()),NA())</f>
        <v/>
      </c>
      <c r="I1261" s="34">
        <f>IFERROR(IF(ISNUMBER($A1261),IF(AND(AH!$U$12=1,1256+1=AH!$U$6),TODAY(),IF(AH!$U$5=1,INDEX('Live History'!$G$5:$G$3004,MATCH($A1261,'Live History'!$G$5:$G$3004,1)),INDEX('AH History'!$C$5:$C$1380,$K1261))),NA()),NA())</f>
        <v/>
      </c>
      <c r="J1261" s="32">
        <f>IFERROR(IF(AND($F1261&gt;0,$H1261&gt;0,$A1261-$G1261&lt;=10,$A1261-$I1261&lt;=5,$G1261&gt;0,$I1261&gt;0),$F1261*$H1261,NA()),NA())</f>
        <v/>
      </c>
      <c r="K1261" s="15">
        <f>IF($A1261="","",IF(AH!$U$5=1,IFERROR(MATCH($A1261,'Live History'!$A$5:$A$3004,0),0),AH!$U$7+1256))</f>
        <v/>
      </c>
      <c r="L1261" s="15">
        <f>IF(ISNUMBER(A1261),TEXT(A1261,"dd-mmm-yy"),"")</f>
        <v/>
      </c>
    </row>
    <row r="1262">
      <c r="A1262" s="14">
        <f>IF(OR(AH!$U$4=0,1257+1&gt;AH!$U$6,AND(AH!$M$5="Bloomberg",AH!$U$5=0)),"",IFERROR(IF(AND(AH!$U$12=1,1257+1=AH!$U$6),TODAY(),IF(AH!$U$5=1,INDEX('Live History'!$A$5:$A$3004,AH!$U$7+1257),INDEX('AH History'!$A$5:$A$1380,AH!$U$7+1257))),""))</f>
        <v/>
      </c>
      <c r="B1262" s="33">
        <f>IFERROR(IF(AH!$U$11=1,NA(),$J1262/$E1262-1),NA())</f>
        <v/>
      </c>
      <c r="C1262" s="269">
        <f>IFERROR(100*$E1262/$E$5,NA())</f>
        <v/>
      </c>
      <c r="D1262" s="269">
        <f>IFERROR(100*$J1262/$J$5,NA())</f>
        <v/>
      </c>
      <c r="E1262" s="32">
        <f>IFERROR(IF(AND(ISNUMBER($A1262),N(IF(AND(AH!$U$12=1,1257+1=AH!$U$6),IF(AH!$U$4=0,"unavailable",INDEX('Market Data'!$AN$5:$AN$66,AH!$U$4)),IF(AH!$U$5=1,INDEX('Live History'!$B$5:$B$3004,$K1262),INDEX('AH History'!$D$5:$GG$1380,$K1262,AH!$U$10))))&gt;0),IF(AND(AH!$U$12=1,1257+1=AH!$U$6),IF(AH!$U$4=0,"unavailable",INDEX('Market Data'!$AN$5:$AN$66,AH!$U$4)),IF(AH!$U$5=1,INDEX('Live History'!$B$5:$B$3004,$K1262),INDEX('AH History'!$D$5:$GG$1380,$K1262,AH!$U$10))),NA()),NA())</f>
        <v/>
      </c>
      <c r="F1262" s="32">
        <f>IFERROR(IF(ISNUMBER($A1262),IF(AND(AH!$U$12=1,1257+1=AH!$U$6),IF(AH!$U$4=0,"unavailable",INDEX('Market Data'!$AO$5:$AO$66,AH!$U$4)),IF(AH!$U$5=1,INDEX('Live History'!$E$5:$E$3004,MATCH($A1262,'Live History'!$D$5:$D$3004,1)),INDEX('AH History'!$D$5:$GG$1380,$K1262,AH!$U$10+1))),NA()),NA())</f>
        <v/>
      </c>
      <c r="G1262" s="34">
        <f>IFERROR(IF(ISNUMBER($A1262),IF(AND(AH!$U$12=1,1257+1=AH!$U$6),IF(AH!$U$4=0,"unavailable",INDEX('Market Data'!$AK$5:$AK$66,AH!$U$4)),IF(AH!$U$5=1,INDEX('Live History'!$D$5:$D$3004,MATCH($A1262,'Live History'!$D$5:$D$3004,1)),INDEX('AH History'!$D$5:$GG$1380,$K1262,AH!$U$10+2))),NA()),NA())</f>
        <v/>
      </c>
      <c r="H1262" s="266">
        <f>IFERROR(IF(ISNUMBER($A1262),IF(AND(AH!$U$12=1,1257+1=AH!$U$6),IF(AH!$U$4=0,"unavailable",INDEX('Market Data'!$AP$5:$AP$66,AH!$U$4)),IF(AH!$U$5=1,INDEX('Live History'!$H$5:$H$3004,MATCH($A1262,'Live History'!$G$5:$G$3004,1)),INDEX('AH History'!$B$5:$B$1380,$K1262))),NA()),NA())</f>
        <v/>
      </c>
      <c r="I1262" s="34">
        <f>IFERROR(IF(ISNUMBER($A1262),IF(AND(AH!$U$12=1,1257+1=AH!$U$6),TODAY(),IF(AH!$U$5=1,INDEX('Live History'!$G$5:$G$3004,MATCH($A1262,'Live History'!$G$5:$G$3004,1)),INDEX('AH History'!$C$5:$C$1380,$K1262))),NA()),NA())</f>
        <v/>
      </c>
      <c r="J1262" s="32">
        <f>IFERROR(IF(AND($F1262&gt;0,$H1262&gt;0,$A1262-$G1262&lt;=10,$A1262-$I1262&lt;=5,$G1262&gt;0,$I1262&gt;0),$F1262*$H1262,NA()),NA())</f>
        <v/>
      </c>
      <c r="K1262" s="15">
        <f>IF($A1262="","",IF(AH!$U$5=1,IFERROR(MATCH($A1262,'Live History'!$A$5:$A$3004,0),0),AH!$U$7+1257))</f>
        <v/>
      </c>
      <c r="L1262" s="15">
        <f>IF(ISNUMBER(A1262),TEXT(A1262,"dd-mmm-yy"),"")</f>
        <v/>
      </c>
    </row>
    <row r="1263">
      <c r="A1263" s="14">
        <f>IF(OR(AH!$U$4=0,1258+1&gt;AH!$U$6,AND(AH!$M$5="Bloomberg",AH!$U$5=0)),"",IFERROR(IF(AND(AH!$U$12=1,1258+1=AH!$U$6),TODAY(),IF(AH!$U$5=1,INDEX('Live History'!$A$5:$A$3004,AH!$U$7+1258),INDEX('AH History'!$A$5:$A$1380,AH!$U$7+1258))),""))</f>
        <v/>
      </c>
      <c r="B1263" s="33">
        <f>IFERROR(IF(AH!$U$11=1,NA(),$J1263/$E1263-1),NA())</f>
        <v/>
      </c>
      <c r="C1263" s="269">
        <f>IFERROR(100*$E1263/$E$5,NA())</f>
        <v/>
      </c>
      <c r="D1263" s="269">
        <f>IFERROR(100*$J1263/$J$5,NA())</f>
        <v/>
      </c>
      <c r="E1263" s="32">
        <f>IFERROR(IF(AND(ISNUMBER($A1263),N(IF(AND(AH!$U$12=1,1258+1=AH!$U$6),IF(AH!$U$4=0,"unavailable",INDEX('Market Data'!$AN$5:$AN$66,AH!$U$4)),IF(AH!$U$5=1,INDEX('Live History'!$B$5:$B$3004,$K1263),INDEX('AH History'!$D$5:$GG$1380,$K1263,AH!$U$10))))&gt;0),IF(AND(AH!$U$12=1,1258+1=AH!$U$6),IF(AH!$U$4=0,"unavailable",INDEX('Market Data'!$AN$5:$AN$66,AH!$U$4)),IF(AH!$U$5=1,INDEX('Live History'!$B$5:$B$3004,$K1263),INDEX('AH History'!$D$5:$GG$1380,$K1263,AH!$U$10))),NA()),NA())</f>
        <v/>
      </c>
      <c r="F1263" s="32">
        <f>IFERROR(IF(ISNUMBER($A1263),IF(AND(AH!$U$12=1,1258+1=AH!$U$6),IF(AH!$U$4=0,"unavailable",INDEX('Market Data'!$AO$5:$AO$66,AH!$U$4)),IF(AH!$U$5=1,INDEX('Live History'!$E$5:$E$3004,MATCH($A1263,'Live History'!$D$5:$D$3004,1)),INDEX('AH History'!$D$5:$GG$1380,$K1263,AH!$U$10+1))),NA()),NA())</f>
        <v/>
      </c>
      <c r="G1263" s="34">
        <f>IFERROR(IF(ISNUMBER($A1263),IF(AND(AH!$U$12=1,1258+1=AH!$U$6),IF(AH!$U$4=0,"unavailable",INDEX('Market Data'!$AK$5:$AK$66,AH!$U$4)),IF(AH!$U$5=1,INDEX('Live History'!$D$5:$D$3004,MATCH($A1263,'Live History'!$D$5:$D$3004,1)),INDEX('AH History'!$D$5:$GG$1380,$K1263,AH!$U$10+2))),NA()),NA())</f>
        <v/>
      </c>
      <c r="H1263" s="266">
        <f>IFERROR(IF(ISNUMBER($A1263),IF(AND(AH!$U$12=1,1258+1=AH!$U$6),IF(AH!$U$4=0,"unavailable",INDEX('Market Data'!$AP$5:$AP$66,AH!$U$4)),IF(AH!$U$5=1,INDEX('Live History'!$H$5:$H$3004,MATCH($A1263,'Live History'!$G$5:$G$3004,1)),INDEX('AH History'!$B$5:$B$1380,$K1263))),NA()),NA())</f>
        <v/>
      </c>
      <c r="I1263" s="34">
        <f>IFERROR(IF(ISNUMBER($A1263),IF(AND(AH!$U$12=1,1258+1=AH!$U$6),TODAY(),IF(AH!$U$5=1,INDEX('Live History'!$G$5:$G$3004,MATCH($A1263,'Live History'!$G$5:$G$3004,1)),INDEX('AH History'!$C$5:$C$1380,$K1263))),NA()),NA())</f>
        <v/>
      </c>
      <c r="J1263" s="32">
        <f>IFERROR(IF(AND($F1263&gt;0,$H1263&gt;0,$A1263-$G1263&lt;=10,$A1263-$I1263&lt;=5,$G1263&gt;0,$I1263&gt;0),$F1263*$H1263,NA()),NA())</f>
        <v/>
      </c>
      <c r="K1263" s="15">
        <f>IF($A1263="","",IF(AH!$U$5=1,IFERROR(MATCH($A1263,'Live History'!$A$5:$A$3004,0),0),AH!$U$7+1258))</f>
        <v/>
      </c>
      <c r="L1263" s="15">
        <f>IF(ISNUMBER(A1263),TEXT(A1263,"dd-mmm-yy"),"")</f>
        <v/>
      </c>
    </row>
    <row r="1264">
      <c r="A1264" s="14">
        <f>IF(OR(AH!$U$4=0,1259+1&gt;AH!$U$6,AND(AH!$M$5="Bloomberg",AH!$U$5=0)),"",IFERROR(IF(AND(AH!$U$12=1,1259+1=AH!$U$6),TODAY(),IF(AH!$U$5=1,INDEX('Live History'!$A$5:$A$3004,AH!$U$7+1259),INDEX('AH History'!$A$5:$A$1380,AH!$U$7+1259))),""))</f>
        <v/>
      </c>
      <c r="B1264" s="33">
        <f>IFERROR(IF(AH!$U$11=1,NA(),$J1264/$E1264-1),NA())</f>
        <v/>
      </c>
      <c r="C1264" s="269">
        <f>IFERROR(100*$E1264/$E$5,NA())</f>
        <v/>
      </c>
      <c r="D1264" s="269">
        <f>IFERROR(100*$J1264/$J$5,NA())</f>
        <v/>
      </c>
      <c r="E1264" s="32">
        <f>IFERROR(IF(AND(ISNUMBER($A1264),N(IF(AND(AH!$U$12=1,1259+1=AH!$U$6),IF(AH!$U$4=0,"unavailable",INDEX('Market Data'!$AN$5:$AN$66,AH!$U$4)),IF(AH!$U$5=1,INDEX('Live History'!$B$5:$B$3004,$K1264),INDEX('AH History'!$D$5:$GG$1380,$K1264,AH!$U$10))))&gt;0),IF(AND(AH!$U$12=1,1259+1=AH!$U$6),IF(AH!$U$4=0,"unavailable",INDEX('Market Data'!$AN$5:$AN$66,AH!$U$4)),IF(AH!$U$5=1,INDEX('Live History'!$B$5:$B$3004,$K1264),INDEX('AH History'!$D$5:$GG$1380,$K1264,AH!$U$10))),NA()),NA())</f>
        <v/>
      </c>
      <c r="F1264" s="32">
        <f>IFERROR(IF(ISNUMBER($A1264),IF(AND(AH!$U$12=1,1259+1=AH!$U$6),IF(AH!$U$4=0,"unavailable",INDEX('Market Data'!$AO$5:$AO$66,AH!$U$4)),IF(AH!$U$5=1,INDEX('Live History'!$E$5:$E$3004,MATCH($A1264,'Live History'!$D$5:$D$3004,1)),INDEX('AH History'!$D$5:$GG$1380,$K1264,AH!$U$10+1))),NA()),NA())</f>
        <v/>
      </c>
      <c r="G1264" s="34">
        <f>IFERROR(IF(ISNUMBER($A1264),IF(AND(AH!$U$12=1,1259+1=AH!$U$6),IF(AH!$U$4=0,"unavailable",INDEX('Market Data'!$AK$5:$AK$66,AH!$U$4)),IF(AH!$U$5=1,INDEX('Live History'!$D$5:$D$3004,MATCH($A1264,'Live History'!$D$5:$D$3004,1)),INDEX('AH History'!$D$5:$GG$1380,$K1264,AH!$U$10+2))),NA()),NA())</f>
        <v/>
      </c>
      <c r="H1264" s="266">
        <f>IFERROR(IF(ISNUMBER($A1264),IF(AND(AH!$U$12=1,1259+1=AH!$U$6),IF(AH!$U$4=0,"unavailable",INDEX('Market Data'!$AP$5:$AP$66,AH!$U$4)),IF(AH!$U$5=1,INDEX('Live History'!$H$5:$H$3004,MATCH($A1264,'Live History'!$G$5:$G$3004,1)),INDEX('AH History'!$B$5:$B$1380,$K1264))),NA()),NA())</f>
        <v/>
      </c>
      <c r="I1264" s="34">
        <f>IFERROR(IF(ISNUMBER($A1264),IF(AND(AH!$U$12=1,1259+1=AH!$U$6),TODAY(),IF(AH!$U$5=1,INDEX('Live History'!$G$5:$G$3004,MATCH($A1264,'Live History'!$G$5:$G$3004,1)),INDEX('AH History'!$C$5:$C$1380,$K1264))),NA()),NA())</f>
        <v/>
      </c>
      <c r="J1264" s="32">
        <f>IFERROR(IF(AND($F1264&gt;0,$H1264&gt;0,$A1264-$G1264&lt;=10,$A1264-$I1264&lt;=5,$G1264&gt;0,$I1264&gt;0),$F1264*$H1264,NA()),NA())</f>
        <v/>
      </c>
      <c r="K1264" s="15">
        <f>IF($A1264="","",IF(AH!$U$5=1,IFERROR(MATCH($A1264,'Live History'!$A$5:$A$3004,0),0),AH!$U$7+1259))</f>
        <v/>
      </c>
      <c r="L1264" s="15">
        <f>IF(ISNUMBER(A1264),TEXT(A1264,"dd-mmm-yy"),"")</f>
        <v/>
      </c>
    </row>
    <row r="1265">
      <c r="A1265" s="14">
        <f>IF(OR(AH!$U$4=0,1260+1&gt;AH!$U$6,AND(AH!$M$5="Bloomberg",AH!$U$5=0)),"",IFERROR(IF(AND(AH!$U$12=1,1260+1=AH!$U$6),TODAY(),IF(AH!$U$5=1,INDEX('Live History'!$A$5:$A$3004,AH!$U$7+1260),INDEX('AH History'!$A$5:$A$1380,AH!$U$7+1260))),""))</f>
        <v/>
      </c>
      <c r="B1265" s="33">
        <f>IFERROR(IF(AH!$U$11=1,NA(),$J1265/$E1265-1),NA())</f>
        <v/>
      </c>
      <c r="C1265" s="269">
        <f>IFERROR(100*$E1265/$E$5,NA())</f>
        <v/>
      </c>
      <c r="D1265" s="269">
        <f>IFERROR(100*$J1265/$J$5,NA())</f>
        <v/>
      </c>
      <c r="E1265" s="32">
        <f>IFERROR(IF(AND(ISNUMBER($A1265),N(IF(AND(AH!$U$12=1,1260+1=AH!$U$6),IF(AH!$U$4=0,"unavailable",INDEX('Market Data'!$AN$5:$AN$66,AH!$U$4)),IF(AH!$U$5=1,INDEX('Live History'!$B$5:$B$3004,$K1265),INDEX('AH History'!$D$5:$GG$1380,$K1265,AH!$U$10))))&gt;0),IF(AND(AH!$U$12=1,1260+1=AH!$U$6),IF(AH!$U$4=0,"unavailable",INDEX('Market Data'!$AN$5:$AN$66,AH!$U$4)),IF(AH!$U$5=1,INDEX('Live History'!$B$5:$B$3004,$K1265),INDEX('AH History'!$D$5:$GG$1380,$K1265,AH!$U$10))),NA()),NA())</f>
        <v/>
      </c>
      <c r="F1265" s="32">
        <f>IFERROR(IF(ISNUMBER($A1265),IF(AND(AH!$U$12=1,1260+1=AH!$U$6),IF(AH!$U$4=0,"unavailable",INDEX('Market Data'!$AO$5:$AO$66,AH!$U$4)),IF(AH!$U$5=1,INDEX('Live History'!$E$5:$E$3004,MATCH($A1265,'Live History'!$D$5:$D$3004,1)),INDEX('AH History'!$D$5:$GG$1380,$K1265,AH!$U$10+1))),NA()),NA())</f>
        <v/>
      </c>
      <c r="G1265" s="34">
        <f>IFERROR(IF(ISNUMBER($A1265),IF(AND(AH!$U$12=1,1260+1=AH!$U$6),IF(AH!$U$4=0,"unavailable",INDEX('Market Data'!$AK$5:$AK$66,AH!$U$4)),IF(AH!$U$5=1,INDEX('Live History'!$D$5:$D$3004,MATCH($A1265,'Live History'!$D$5:$D$3004,1)),INDEX('AH History'!$D$5:$GG$1380,$K1265,AH!$U$10+2))),NA()),NA())</f>
        <v/>
      </c>
      <c r="H1265" s="266">
        <f>IFERROR(IF(ISNUMBER($A1265),IF(AND(AH!$U$12=1,1260+1=AH!$U$6),IF(AH!$U$4=0,"unavailable",INDEX('Market Data'!$AP$5:$AP$66,AH!$U$4)),IF(AH!$U$5=1,INDEX('Live History'!$H$5:$H$3004,MATCH($A1265,'Live History'!$G$5:$G$3004,1)),INDEX('AH History'!$B$5:$B$1380,$K1265))),NA()),NA())</f>
        <v/>
      </c>
      <c r="I1265" s="34">
        <f>IFERROR(IF(ISNUMBER($A1265),IF(AND(AH!$U$12=1,1260+1=AH!$U$6),TODAY(),IF(AH!$U$5=1,INDEX('Live History'!$G$5:$G$3004,MATCH($A1265,'Live History'!$G$5:$G$3004,1)),INDEX('AH History'!$C$5:$C$1380,$K1265))),NA()),NA())</f>
        <v/>
      </c>
      <c r="J1265" s="32">
        <f>IFERROR(IF(AND($F1265&gt;0,$H1265&gt;0,$A1265-$G1265&lt;=10,$A1265-$I1265&lt;=5,$G1265&gt;0,$I1265&gt;0),$F1265*$H1265,NA()),NA())</f>
        <v/>
      </c>
      <c r="K1265" s="15">
        <f>IF($A1265="","",IF(AH!$U$5=1,IFERROR(MATCH($A1265,'Live History'!$A$5:$A$3004,0),0),AH!$U$7+1260))</f>
        <v/>
      </c>
      <c r="L1265" s="15">
        <f>IF(ISNUMBER(A1265),TEXT(A1265,"dd-mmm-yy"),"")</f>
        <v/>
      </c>
    </row>
    <row r="1266">
      <c r="A1266" s="14">
        <f>IF(OR(AH!$U$4=0,1261+1&gt;AH!$U$6,AND(AH!$M$5="Bloomberg",AH!$U$5=0)),"",IFERROR(IF(AND(AH!$U$12=1,1261+1=AH!$U$6),TODAY(),IF(AH!$U$5=1,INDEX('Live History'!$A$5:$A$3004,AH!$U$7+1261),INDEX('AH History'!$A$5:$A$1380,AH!$U$7+1261))),""))</f>
        <v/>
      </c>
      <c r="B1266" s="33">
        <f>IFERROR(IF(AH!$U$11=1,NA(),$J1266/$E1266-1),NA())</f>
        <v/>
      </c>
      <c r="C1266" s="269">
        <f>IFERROR(100*$E1266/$E$5,NA())</f>
        <v/>
      </c>
      <c r="D1266" s="269">
        <f>IFERROR(100*$J1266/$J$5,NA())</f>
        <v/>
      </c>
      <c r="E1266" s="32">
        <f>IFERROR(IF(AND(ISNUMBER($A1266),N(IF(AND(AH!$U$12=1,1261+1=AH!$U$6),IF(AH!$U$4=0,"unavailable",INDEX('Market Data'!$AN$5:$AN$66,AH!$U$4)),IF(AH!$U$5=1,INDEX('Live History'!$B$5:$B$3004,$K1266),INDEX('AH History'!$D$5:$GG$1380,$K1266,AH!$U$10))))&gt;0),IF(AND(AH!$U$12=1,1261+1=AH!$U$6),IF(AH!$U$4=0,"unavailable",INDEX('Market Data'!$AN$5:$AN$66,AH!$U$4)),IF(AH!$U$5=1,INDEX('Live History'!$B$5:$B$3004,$K1266),INDEX('AH History'!$D$5:$GG$1380,$K1266,AH!$U$10))),NA()),NA())</f>
        <v/>
      </c>
      <c r="F1266" s="32">
        <f>IFERROR(IF(ISNUMBER($A1266),IF(AND(AH!$U$12=1,1261+1=AH!$U$6),IF(AH!$U$4=0,"unavailable",INDEX('Market Data'!$AO$5:$AO$66,AH!$U$4)),IF(AH!$U$5=1,INDEX('Live History'!$E$5:$E$3004,MATCH($A1266,'Live History'!$D$5:$D$3004,1)),INDEX('AH History'!$D$5:$GG$1380,$K1266,AH!$U$10+1))),NA()),NA())</f>
        <v/>
      </c>
      <c r="G1266" s="34">
        <f>IFERROR(IF(ISNUMBER($A1266),IF(AND(AH!$U$12=1,1261+1=AH!$U$6),IF(AH!$U$4=0,"unavailable",INDEX('Market Data'!$AK$5:$AK$66,AH!$U$4)),IF(AH!$U$5=1,INDEX('Live History'!$D$5:$D$3004,MATCH($A1266,'Live History'!$D$5:$D$3004,1)),INDEX('AH History'!$D$5:$GG$1380,$K1266,AH!$U$10+2))),NA()),NA())</f>
        <v/>
      </c>
      <c r="H1266" s="266">
        <f>IFERROR(IF(ISNUMBER($A1266),IF(AND(AH!$U$12=1,1261+1=AH!$U$6),IF(AH!$U$4=0,"unavailable",INDEX('Market Data'!$AP$5:$AP$66,AH!$U$4)),IF(AH!$U$5=1,INDEX('Live History'!$H$5:$H$3004,MATCH($A1266,'Live History'!$G$5:$G$3004,1)),INDEX('AH History'!$B$5:$B$1380,$K1266))),NA()),NA())</f>
        <v/>
      </c>
      <c r="I1266" s="34">
        <f>IFERROR(IF(ISNUMBER($A1266),IF(AND(AH!$U$12=1,1261+1=AH!$U$6),TODAY(),IF(AH!$U$5=1,INDEX('Live History'!$G$5:$G$3004,MATCH($A1266,'Live History'!$G$5:$G$3004,1)),INDEX('AH History'!$C$5:$C$1380,$K1266))),NA()),NA())</f>
        <v/>
      </c>
      <c r="J1266" s="32">
        <f>IFERROR(IF(AND($F1266&gt;0,$H1266&gt;0,$A1266-$G1266&lt;=10,$A1266-$I1266&lt;=5,$G1266&gt;0,$I1266&gt;0),$F1266*$H1266,NA()),NA())</f>
        <v/>
      </c>
      <c r="K1266" s="15">
        <f>IF($A1266="","",IF(AH!$U$5=1,IFERROR(MATCH($A1266,'Live History'!$A$5:$A$3004,0),0),AH!$U$7+1261))</f>
        <v/>
      </c>
      <c r="L1266" s="15">
        <f>IF(ISNUMBER(A1266),TEXT(A1266,"dd-mmm-yy"),"")</f>
        <v/>
      </c>
    </row>
    <row r="1267">
      <c r="A1267" s="14">
        <f>IF(OR(AH!$U$4=0,1262+1&gt;AH!$U$6,AND(AH!$M$5="Bloomberg",AH!$U$5=0)),"",IFERROR(IF(AND(AH!$U$12=1,1262+1=AH!$U$6),TODAY(),IF(AH!$U$5=1,INDEX('Live History'!$A$5:$A$3004,AH!$U$7+1262),INDEX('AH History'!$A$5:$A$1380,AH!$U$7+1262))),""))</f>
        <v/>
      </c>
      <c r="B1267" s="33">
        <f>IFERROR(IF(AH!$U$11=1,NA(),$J1267/$E1267-1),NA())</f>
        <v/>
      </c>
      <c r="C1267" s="269">
        <f>IFERROR(100*$E1267/$E$5,NA())</f>
        <v/>
      </c>
      <c r="D1267" s="269">
        <f>IFERROR(100*$J1267/$J$5,NA())</f>
        <v/>
      </c>
      <c r="E1267" s="32">
        <f>IFERROR(IF(AND(ISNUMBER($A1267),N(IF(AND(AH!$U$12=1,1262+1=AH!$U$6),IF(AH!$U$4=0,"unavailable",INDEX('Market Data'!$AN$5:$AN$66,AH!$U$4)),IF(AH!$U$5=1,INDEX('Live History'!$B$5:$B$3004,$K1267),INDEX('AH History'!$D$5:$GG$1380,$K1267,AH!$U$10))))&gt;0),IF(AND(AH!$U$12=1,1262+1=AH!$U$6),IF(AH!$U$4=0,"unavailable",INDEX('Market Data'!$AN$5:$AN$66,AH!$U$4)),IF(AH!$U$5=1,INDEX('Live History'!$B$5:$B$3004,$K1267),INDEX('AH History'!$D$5:$GG$1380,$K1267,AH!$U$10))),NA()),NA())</f>
        <v/>
      </c>
      <c r="F1267" s="32">
        <f>IFERROR(IF(ISNUMBER($A1267),IF(AND(AH!$U$12=1,1262+1=AH!$U$6),IF(AH!$U$4=0,"unavailable",INDEX('Market Data'!$AO$5:$AO$66,AH!$U$4)),IF(AH!$U$5=1,INDEX('Live History'!$E$5:$E$3004,MATCH($A1267,'Live History'!$D$5:$D$3004,1)),INDEX('AH History'!$D$5:$GG$1380,$K1267,AH!$U$10+1))),NA()),NA())</f>
        <v/>
      </c>
      <c r="G1267" s="34">
        <f>IFERROR(IF(ISNUMBER($A1267),IF(AND(AH!$U$12=1,1262+1=AH!$U$6),IF(AH!$U$4=0,"unavailable",INDEX('Market Data'!$AK$5:$AK$66,AH!$U$4)),IF(AH!$U$5=1,INDEX('Live History'!$D$5:$D$3004,MATCH($A1267,'Live History'!$D$5:$D$3004,1)),INDEX('AH History'!$D$5:$GG$1380,$K1267,AH!$U$10+2))),NA()),NA())</f>
        <v/>
      </c>
      <c r="H1267" s="266">
        <f>IFERROR(IF(ISNUMBER($A1267),IF(AND(AH!$U$12=1,1262+1=AH!$U$6),IF(AH!$U$4=0,"unavailable",INDEX('Market Data'!$AP$5:$AP$66,AH!$U$4)),IF(AH!$U$5=1,INDEX('Live History'!$H$5:$H$3004,MATCH($A1267,'Live History'!$G$5:$G$3004,1)),INDEX('AH History'!$B$5:$B$1380,$K1267))),NA()),NA())</f>
        <v/>
      </c>
      <c r="I1267" s="34">
        <f>IFERROR(IF(ISNUMBER($A1267),IF(AND(AH!$U$12=1,1262+1=AH!$U$6),TODAY(),IF(AH!$U$5=1,INDEX('Live History'!$G$5:$G$3004,MATCH($A1267,'Live History'!$G$5:$G$3004,1)),INDEX('AH History'!$C$5:$C$1380,$K1267))),NA()),NA())</f>
        <v/>
      </c>
      <c r="J1267" s="32">
        <f>IFERROR(IF(AND($F1267&gt;0,$H1267&gt;0,$A1267-$G1267&lt;=10,$A1267-$I1267&lt;=5,$G1267&gt;0,$I1267&gt;0),$F1267*$H1267,NA()),NA())</f>
        <v/>
      </c>
      <c r="K1267" s="15">
        <f>IF($A1267="","",IF(AH!$U$5=1,IFERROR(MATCH($A1267,'Live History'!$A$5:$A$3004,0),0),AH!$U$7+1262))</f>
        <v/>
      </c>
      <c r="L1267" s="15">
        <f>IF(ISNUMBER(A1267),TEXT(A1267,"dd-mmm-yy"),"")</f>
        <v/>
      </c>
    </row>
    <row r="1268">
      <c r="A1268" s="14">
        <f>IF(OR(AH!$U$4=0,1263+1&gt;AH!$U$6,AND(AH!$M$5="Bloomberg",AH!$U$5=0)),"",IFERROR(IF(AND(AH!$U$12=1,1263+1=AH!$U$6),TODAY(),IF(AH!$U$5=1,INDEX('Live History'!$A$5:$A$3004,AH!$U$7+1263),INDEX('AH History'!$A$5:$A$1380,AH!$U$7+1263))),""))</f>
        <v/>
      </c>
      <c r="B1268" s="33">
        <f>IFERROR(IF(AH!$U$11=1,NA(),$J1268/$E1268-1),NA())</f>
        <v/>
      </c>
      <c r="C1268" s="269">
        <f>IFERROR(100*$E1268/$E$5,NA())</f>
        <v/>
      </c>
      <c r="D1268" s="269">
        <f>IFERROR(100*$J1268/$J$5,NA())</f>
        <v/>
      </c>
      <c r="E1268" s="32">
        <f>IFERROR(IF(AND(ISNUMBER($A1268),N(IF(AND(AH!$U$12=1,1263+1=AH!$U$6),IF(AH!$U$4=0,"unavailable",INDEX('Market Data'!$AN$5:$AN$66,AH!$U$4)),IF(AH!$U$5=1,INDEX('Live History'!$B$5:$B$3004,$K1268),INDEX('AH History'!$D$5:$GG$1380,$K1268,AH!$U$10))))&gt;0),IF(AND(AH!$U$12=1,1263+1=AH!$U$6),IF(AH!$U$4=0,"unavailable",INDEX('Market Data'!$AN$5:$AN$66,AH!$U$4)),IF(AH!$U$5=1,INDEX('Live History'!$B$5:$B$3004,$K1268),INDEX('AH History'!$D$5:$GG$1380,$K1268,AH!$U$10))),NA()),NA())</f>
        <v/>
      </c>
      <c r="F1268" s="32">
        <f>IFERROR(IF(ISNUMBER($A1268),IF(AND(AH!$U$12=1,1263+1=AH!$U$6),IF(AH!$U$4=0,"unavailable",INDEX('Market Data'!$AO$5:$AO$66,AH!$U$4)),IF(AH!$U$5=1,INDEX('Live History'!$E$5:$E$3004,MATCH($A1268,'Live History'!$D$5:$D$3004,1)),INDEX('AH History'!$D$5:$GG$1380,$K1268,AH!$U$10+1))),NA()),NA())</f>
        <v/>
      </c>
      <c r="G1268" s="34">
        <f>IFERROR(IF(ISNUMBER($A1268),IF(AND(AH!$U$12=1,1263+1=AH!$U$6),IF(AH!$U$4=0,"unavailable",INDEX('Market Data'!$AK$5:$AK$66,AH!$U$4)),IF(AH!$U$5=1,INDEX('Live History'!$D$5:$D$3004,MATCH($A1268,'Live History'!$D$5:$D$3004,1)),INDEX('AH History'!$D$5:$GG$1380,$K1268,AH!$U$10+2))),NA()),NA())</f>
        <v/>
      </c>
      <c r="H1268" s="266">
        <f>IFERROR(IF(ISNUMBER($A1268),IF(AND(AH!$U$12=1,1263+1=AH!$U$6),IF(AH!$U$4=0,"unavailable",INDEX('Market Data'!$AP$5:$AP$66,AH!$U$4)),IF(AH!$U$5=1,INDEX('Live History'!$H$5:$H$3004,MATCH($A1268,'Live History'!$G$5:$G$3004,1)),INDEX('AH History'!$B$5:$B$1380,$K1268))),NA()),NA())</f>
        <v/>
      </c>
      <c r="I1268" s="34">
        <f>IFERROR(IF(ISNUMBER($A1268),IF(AND(AH!$U$12=1,1263+1=AH!$U$6),TODAY(),IF(AH!$U$5=1,INDEX('Live History'!$G$5:$G$3004,MATCH($A1268,'Live History'!$G$5:$G$3004,1)),INDEX('AH History'!$C$5:$C$1380,$K1268))),NA()),NA())</f>
        <v/>
      </c>
      <c r="J1268" s="32">
        <f>IFERROR(IF(AND($F1268&gt;0,$H1268&gt;0,$A1268-$G1268&lt;=10,$A1268-$I1268&lt;=5,$G1268&gt;0,$I1268&gt;0),$F1268*$H1268,NA()),NA())</f>
        <v/>
      </c>
      <c r="K1268" s="15">
        <f>IF($A1268="","",IF(AH!$U$5=1,IFERROR(MATCH($A1268,'Live History'!$A$5:$A$3004,0),0),AH!$U$7+1263))</f>
        <v/>
      </c>
      <c r="L1268" s="15">
        <f>IF(ISNUMBER(A1268),TEXT(A1268,"dd-mmm-yy"),"")</f>
        <v/>
      </c>
    </row>
    <row r="1269">
      <c r="A1269" s="14">
        <f>IF(OR(AH!$U$4=0,1264+1&gt;AH!$U$6,AND(AH!$M$5="Bloomberg",AH!$U$5=0)),"",IFERROR(IF(AND(AH!$U$12=1,1264+1=AH!$U$6),TODAY(),IF(AH!$U$5=1,INDEX('Live History'!$A$5:$A$3004,AH!$U$7+1264),INDEX('AH History'!$A$5:$A$1380,AH!$U$7+1264))),""))</f>
        <v/>
      </c>
      <c r="B1269" s="33">
        <f>IFERROR(IF(AH!$U$11=1,NA(),$J1269/$E1269-1),NA())</f>
        <v/>
      </c>
      <c r="C1269" s="269">
        <f>IFERROR(100*$E1269/$E$5,NA())</f>
        <v/>
      </c>
      <c r="D1269" s="269">
        <f>IFERROR(100*$J1269/$J$5,NA())</f>
        <v/>
      </c>
      <c r="E1269" s="32">
        <f>IFERROR(IF(AND(ISNUMBER($A1269),N(IF(AND(AH!$U$12=1,1264+1=AH!$U$6),IF(AH!$U$4=0,"unavailable",INDEX('Market Data'!$AN$5:$AN$66,AH!$U$4)),IF(AH!$U$5=1,INDEX('Live History'!$B$5:$B$3004,$K1269),INDEX('AH History'!$D$5:$GG$1380,$K1269,AH!$U$10))))&gt;0),IF(AND(AH!$U$12=1,1264+1=AH!$U$6),IF(AH!$U$4=0,"unavailable",INDEX('Market Data'!$AN$5:$AN$66,AH!$U$4)),IF(AH!$U$5=1,INDEX('Live History'!$B$5:$B$3004,$K1269),INDEX('AH History'!$D$5:$GG$1380,$K1269,AH!$U$10))),NA()),NA())</f>
        <v/>
      </c>
      <c r="F1269" s="32">
        <f>IFERROR(IF(ISNUMBER($A1269),IF(AND(AH!$U$12=1,1264+1=AH!$U$6),IF(AH!$U$4=0,"unavailable",INDEX('Market Data'!$AO$5:$AO$66,AH!$U$4)),IF(AH!$U$5=1,INDEX('Live History'!$E$5:$E$3004,MATCH($A1269,'Live History'!$D$5:$D$3004,1)),INDEX('AH History'!$D$5:$GG$1380,$K1269,AH!$U$10+1))),NA()),NA())</f>
        <v/>
      </c>
      <c r="G1269" s="34">
        <f>IFERROR(IF(ISNUMBER($A1269),IF(AND(AH!$U$12=1,1264+1=AH!$U$6),IF(AH!$U$4=0,"unavailable",INDEX('Market Data'!$AK$5:$AK$66,AH!$U$4)),IF(AH!$U$5=1,INDEX('Live History'!$D$5:$D$3004,MATCH($A1269,'Live History'!$D$5:$D$3004,1)),INDEX('AH History'!$D$5:$GG$1380,$K1269,AH!$U$10+2))),NA()),NA())</f>
        <v/>
      </c>
      <c r="H1269" s="266">
        <f>IFERROR(IF(ISNUMBER($A1269),IF(AND(AH!$U$12=1,1264+1=AH!$U$6),IF(AH!$U$4=0,"unavailable",INDEX('Market Data'!$AP$5:$AP$66,AH!$U$4)),IF(AH!$U$5=1,INDEX('Live History'!$H$5:$H$3004,MATCH($A1269,'Live History'!$G$5:$G$3004,1)),INDEX('AH History'!$B$5:$B$1380,$K1269))),NA()),NA())</f>
        <v/>
      </c>
      <c r="I1269" s="34">
        <f>IFERROR(IF(ISNUMBER($A1269),IF(AND(AH!$U$12=1,1264+1=AH!$U$6),TODAY(),IF(AH!$U$5=1,INDEX('Live History'!$G$5:$G$3004,MATCH($A1269,'Live History'!$G$5:$G$3004,1)),INDEX('AH History'!$C$5:$C$1380,$K1269))),NA()),NA())</f>
        <v/>
      </c>
      <c r="J1269" s="32">
        <f>IFERROR(IF(AND($F1269&gt;0,$H1269&gt;0,$A1269-$G1269&lt;=10,$A1269-$I1269&lt;=5,$G1269&gt;0,$I1269&gt;0),$F1269*$H1269,NA()),NA())</f>
        <v/>
      </c>
      <c r="K1269" s="15">
        <f>IF($A1269="","",IF(AH!$U$5=1,IFERROR(MATCH($A1269,'Live History'!$A$5:$A$3004,0),0),AH!$U$7+1264))</f>
        <v/>
      </c>
      <c r="L1269" s="15">
        <f>IF(ISNUMBER(A1269),TEXT(A1269,"dd-mmm-yy"),"")</f>
        <v/>
      </c>
    </row>
    <row r="1270">
      <c r="A1270" s="14">
        <f>IF(OR(AH!$U$4=0,1265+1&gt;AH!$U$6,AND(AH!$M$5="Bloomberg",AH!$U$5=0)),"",IFERROR(IF(AND(AH!$U$12=1,1265+1=AH!$U$6),TODAY(),IF(AH!$U$5=1,INDEX('Live History'!$A$5:$A$3004,AH!$U$7+1265),INDEX('AH History'!$A$5:$A$1380,AH!$U$7+1265))),""))</f>
        <v/>
      </c>
      <c r="B1270" s="33">
        <f>IFERROR(IF(AH!$U$11=1,NA(),$J1270/$E1270-1),NA())</f>
        <v/>
      </c>
      <c r="C1270" s="269">
        <f>IFERROR(100*$E1270/$E$5,NA())</f>
        <v/>
      </c>
      <c r="D1270" s="269">
        <f>IFERROR(100*$J1270/$J$5,NA())</f>
        <v/>
      </c>
      <c r="E1270" s="32">
        <f>IFERROR(IF(AND(ISNUMBER($A1270),N(IF(AND(AH!$U$12=1,1265+1=AH!$U$6),IF(AH!$U$4=0,"unavailable",INDEX('Market Data'!$AN$5:$AN$66,AH!$U$4)),IF(AH!$U$5=1,INDEX('Live History'!$B$5:$B$3004,$K1270),INDEX('AH History'!$D$5:$GG$1380,$K1270,AH!$U$10))))&gt;0),IF(AND(AH!$U$12=1,1265+1=AH!$U$6),IF(AH!$U$4=0,"unavailable",INDEX('Market Data'!$AN$5:$AN$66,AH!$U$4)),IF(AH!$U$5=1,INDEX('Live History'!$B$5:$B$3004,$K1270),INDEX('AH History'!$D$5:$GG$1380,$K1270,AH!$U$10))),NA()),NA())</f>
        <v/>
      </c>
      <c r="F1270" s="32">
        <f>IFERROR(IF(ISNUMBER($A1270),IF(AND(AH!$U$12=1,1265+1=AH!$U$6),IF(AH!$U$4=0,"unavailable",INDEX('Market Data'!$AO$5:$AO$66,AH!$U$4)),IF(AH!$U$5=1,INDEX('Live History'!$E$5:$E$3004,MATCH($A1270,'Live History'!$D$5:$D$3004,1)),INDEX('AH History'!$D$5:$GG$1380,$K1270,AH!$U$10+1))),NA()),NA())</f>
        <v/>
      </c>
      <c r="G1270" s="34">
        <f>IFERROR(IF(ISNUMBER($A1270),IF(AND(AH!$U$12=1,1265+1=AH!$U$6),IF(AH!$U$4=0,"unavailable",INDEX('Market Data'!$AK$5:$AK$66,AH!$U$4)),IF(AH!$U$5=1,INDEX('Live History'!$D$5:$D$3004,MATCH($A1270,'Live History'!$D$5:$D$3004,1)),INDEX('AH History'!$D$5:$GG$1380,$K1270,AH!$U$10+2))),NA()),NA())</f>
        <v/>
      </c>
      <c r="H1270" s="266">
        <f>IFERROR(IF(ISNUMBER($A1270),IF(AND(AH!$U$12=1,1265+1=AH!$U$6),IF(AH!$U$4=0,"unavailable",INDEX('Market Data'!$AP$5:$AP$66,AH!$U$4)),IF(AH!$U$5=1,INDEX('Live History'!$H$5:$H$3004,MATCH($A1270,'Live History'!$G$5:$G$3004,1)),INDEX('AH History'!$B$5:$B$1380,$K1270))),NA()),NA())</f>
        <v/>
      </c>
      <c r="I1270" s="34">
        <f>IFERROR(IF(ISNUMBER($A1270),IF(AND(AH!$U$12=1,1265+1=AH!$U$6),TODAY(),IF(AH!$U$5=1,INDEX('Live History'!$G$5:$G$3004,MATCH($A1270,'Live History'!$G$5:$G$3004,1)),INDEX('AH History'!$C$5:$C$1380,$K1270))),NA()),NA())</f>
        <v/>
      </c>
      <c r="J1270" s="32">
        <f>IFERROR(IF(AND($F1270&gt;0,$H1270&gt;0,$A1270-$G1270&lt;=10,$A1270-$I1270&lt;=5,$G1270&gt;0,$I1270&gt;0),$F1270*$H1270,NA()),NA())</f>
        <v/>
      </c>
      <c r="K1270" s="15">
        <f>IF($A1270="","",IF(AH!$U$5=1,IFERROR(MATCH($A1270,'Live History'!$A$5:$A$3004,0),0),AH!$U$7+1265))</f>
        <v/>
      </c>
      <c r="L1270" s="15">
        <f>IF(ISNUMBER(A1270),TEXT(A1270,"dd-mmm-yy"),"")</f>
        <v/>
      </c>
    </row>
    <row r="1271">
      <c r="A1271" s="14">
        <f>IF(OR(AH!$U$4=0,1266+1&gt;AH!$U$6,AND(AH!$M$5="Bloomberg",AH!$U$5=0)),"",IFERROR(IF(AND(AH!$U$12=1,1266+1=AH!$U$6),TODAY(),IF(AH!$U$5=1,INDEX('Live History'!$A$5:$A$3004,AH!$U$7+1266),INDEX('AH History'!$A$5:$A$1380,AH!$U$7+1266))),""))</f>
        <v/>
      </c>
      <c r="B1271" s="33">
        <f>IFERROR(IF(AH!$U$11=1,NA(),$J1271/$E1271-1),NA())</f>
        <v/>
      </c>
      <c r="C1271" s="269">
        <f>IFERROR(100*$E1271/$E$5,NA())</f>
        <v/>
      </c>
      <c r="D1271" s="269">
        <f>IFERROR(100*$J1271/$J$5,NA())</f>
        <v/>
      </c>
      <c r="E1271" s="32">
        <f>IFERROR(IF(AND(ISNUMBER($A1271),N(IF(AND(AH!$U$12=1,1266+1=AH!$U$6),IF(AH!$U$4=0,"unavailable",INDEX('Market Data'!$AN$5:$AN$66,AH!$U$4)),IF(AH!$U$5=1,INDEX('Live History'!$B$5:$B$3004,$K1271),INDEX('AH History'!$D$5:$GG$1380,$K1271,AH!$U$10))))&gt;0),IF(AND(AH!$U$12=1,1266+1=AH!$U$6),IF(AH!$U$4=0,"unavailable",INDEX('Market Data'!$AN$5:$AN$66,AH!$U$4)),IF(AH!$U$5=1,INDEX('Live History'!$B$5:$B$3004,$K1271),INDEX('AH History'!$D$5:$GG$1380,$K1271,AH!$U$10))),NA()),NA())</f>
        <v/>
      </c>
      <c r="F1271" s="32">
        <f>IFERROR(IF(ISNUMBER($A1271),IF(AND(AH!$U$12=1,1266+1=AH!$U$6),IF(AH!$U$4=0,"unavailable",INDEX('Market Data'!$AO$5:$AO$66,AH!$U$4)),IF(AH!$U$5=1,INDEX('Live History'!$E$5:$E$3004,MATCH($A1271,'Live History'!$D$5:$D$3004,1)),INDEX('AH History'!$D$5:$GG$1380,$K1271,AH!$U$10+1))),NA()),NA())</f>
        <v/>
      </c>
      <c r="G1271" s="34">
        <f>IFERROR(IF(ISNUMBER($A1271),IF(AND(AH!$U$12=1,1266+1=AH!$U$6),IF(AH!$U$4=0,"unavailable",INDEX('Market Data'!$AK$5:$AK$66,AH!$U$4)),IF(AH!$U$5=1,INDEX('Live History'!$D$5:$D$3004,MATCH($A1271,'Live History'!$D$5:$D$3004,1)),INDEX('AH History'!$D$5:$GG$1380,$K1271,AH!$U$10+2))),NA()),NA())</f>
        <v/>
      </c>
      <c r="H1271" s="266">
        <f>IFERROR(IF(ISNUMBER($A1271),IF(AND(AH!$U$12=1,1266+1=AH!$U$6),IF(AH!$U$4=0,"unavailable",INDEX('Market Data'!$AP$5:$AP$66,AH!$U$4)),IF(AH!$U$5=1,INDEX('Live History'!$H$5:$H$3004,MATCH($A1271,'Live History'!$G$5:$G$3004,1)),INDEX('AH History'!$B$5:$B$1380,$K1271))),NA()),NA())</f>
        <v/>
      </c>
      <c r="I1271" s="34">
        <f>IFERROR(IF(ISNUMBER($A1271),IF(AND(AH!$U$12=1,1266+1=AH!$U$6),TODAY(),IF(AH!$U$5=1,INDEX('Live History'!$G$5:$G$3004,MATCH($A1271,'Live History'!$G$5:$G$3004,1)),INDEX('AH History'!$C$5:$C$1380,$K1271))),NA()),NA())</f>
        <v/>
      </c>
      <c r="J1271" s="32">
        <f>IFERROR(IF(AND($F1271&gt;0,$H1271&gt;0,$A1271-$G1271&lt;=10,$A1271-$I1271&lt;=5,$G1271&gt;0,$I1271&gt;0),$F1271*$H1271,NA()),NA())</f>
        <v/>
      </c>
      <c r="K1271" s="15">
        <f>IF($A1271="","",IF(AH!$U$5=1,IFERROR(MATCH($A1271,'Live History'!$A$5:$A$3004,0),0),AH!$U$7+1266))</f>
        <v/>
      </c>
      <c r="L1271" s="15">
        <f>IF(ISNUMBER(A1271),TEXT(A1271,"dd-mmm-yy"),"")</f>
        <v/>
      </c>
    </row>
    <row r="1272">
      <c r="A1272" s="14">
        <f>IF(OR(AH!$U$4=0,1267+1&gt;AH!$U$6,AND(AH!$M$5="Bloomberg",AH!$U$5=0)),"",IFERROR(IF(AND(AH!$U$12=1,1267+1=AH!$U$6),TODAY(),IF(AH!$U$5=1,INDEX('Live History'!$A$5:$A$3004,AH!$U$7+1267),INDEX('AH History'!$A$5:$A$1380,AH!$U$7+1267))),""))</f>
        <v/>
      </c>
      <c r="B1272" s="33">
        <f>IFERROR(IF(AH!$U$11=1,NA(),$J1272/$E1272-1),NA())</f>
        <v/>
      </c>
      <c r="C1272" s="269">
        <f>IFERROR(100*$E1272/$E$5,NA())</f>
        <v/>
      </c>
      <c r="D1272" s="269">
        <f>IFERROR(100*$J1272/$J$5,NA())</f>
        <v/>
      </c>
      <c r="E1272" s="32">
        <f>IFERROR(IF(AND(ISNUMBER($A1272),N(IF(AND(AH!$U$12=1,1267+1=AH!$U$6),IF(AH!$U$4=0,"unavailable",INDEX('Market Data'!$AN$5:$AN$66,AH!$U$4)),IF(AH!$U$5=1,INDEX('Live History'!$B$5:$B$3004,$K1272),INDEX('AH History'!$D$5:$GG$1380,$K1272,AH!$U$10))))&gt;0),IF(AND(AH!$U$12=1,1267+1=AH!$U$6),IF(AH!$U$4=0,"unavailable",INDEX('Market Data'!$AN$5:$AN$66,AH!$U$4)),IF(AH!$U$5=1,INDEX('Live History'!$B$5:$B$3004,$K1272),INDEX('AH History'!$D$5:$GG$1380,$K1272,AH!$U$10))),NA()),NA())</f>
        <v/>
      </c>
      <c r="F1272" s="32">
        <f>IFERROR(IF(ISNUMBER($A1272),IF(AND(AH!$U$12=1,1267+1=AH!$U$6),IF(AH!$U$4=0,"unavailable",INDEX('Market Data'!$AO$5:$AO$66,AH!$U$4)),IF(AH!$U$5=1,INDEX('Live History'!$E$5:$E$3004,MATCH($A1272,'Live History'!$D$5:$D$3004,1)),INDEX('AH History'!$D$5:$GG$1380,$K1272,AH!$U$10+1))),NA()),NA())</f>
        <v/>
      </c>
      <c r="G1272" s="34">
        <f>IFERROR(IF(ISNUMBER($A1272),IF(AND(AH!$U$12=1,1267+1=AH!$U$6),IF(AH!$U$4=0,"unavailable",INDEX('Market Data'!$AK$5:$AK$66,AH!$U$4)),IF(AH!$U$5=1,INDEX('Live History'!$D$5:$D$3004,MATCH($A1272,'Live History'!$D$5:$D$3004,1)),INDEX('AH History'!$D$5:$GG$1380,$K1272,AH!$U$10+2))),NA()),NA())</f>
        <v/>
      </c>
      <c r="H1272" s="266">
        <f>IFERROR(IF(ISNUMBER($A1272),IF(AND(AH!$U$12=1,1267+1=AH!$U$6),IF(AH!$U$4=0,"unavailable",INDEX('Market Data'!$AP$5:$AP$66,AH!$U$4)),IF(AH!$U$5=1,INDEX('Live History'!$H$5:$H$3004,MATCH($A1272,'Live History'!$G$5:$G$3004,1)),INDEX('AH History'!$B$5:$B$1380,$K1272))),NA()),NA())</f>
        <v/>
      </c>
      <c r="I1272" s="34">
        <f>IFERROR(IF(ISNUMBER($A1272),IF(AND(AH!$U$12=1,1267+1=AH!$U$6),TODAY(),IF(AH!$U$5=1,INDEX('Live History'!$G$5:$G$3004,MATCH($A1272,'Live History'!$G$5:$G$3004,1)),INDEX('AH History'!$C$5:$C$1380,$K1272))),NA()),NA())</f>
        <v/>
      </c>
      <c r="J1272" s="32">
        <f>IFERROR(IF(AND($F1272&gt;0,$H1272&gt;0,$A1272-$G1272&lt;=10,$A1272-$I1272&lt;=5,$G1272&gt;0,$I1272&gt;0),$F1272*$H1272,NA()),NA())</f>
        <v/>
      </c>
      <c r="K1272" s="15">
        <f>IF($A1272="","",IF(AH!$U$5=1,IFERROR(MATCH($A1272,'Live History'!$A$5:$A$3004,0),0),AH!$U$7+1267))</f>
        <v/>
      </c>
      <c r="L1272" s="15">
        <f>IF(ISNUMBER(A1272),TEXT(A1272,"dd-mmm-yy"),"")</f>
        <v/>
      </c>
    </row>
    <row r="1273">
      <c r="A1273" s="14">
        <f>IF(OR(AH!$U$4=0,1268+1&gt;AH!$U$6,AND(AH!$M$5="Bloomberg",AH!$U$5=0)),"",IFERROR(IF(AND(AH!$U$12=1,1268+1=AH!$U$6),TODAY(),IF(AH!$U$5=1,INDEX('Live History'!$A$5:$A$3004,AH!$U$7+1268),INDEX('AH History'!$A$5:$A$1380,AH!$U$7+1268))),""))</f>
        <v/>
      </c>
      <c r="B1273" s="33">
        <f>IFERROR(IF(AH!$U$11=1,NA(),$J1273/$E1273-1),NA())</f>
        <v/>
      </c>
      <c r="C1273" s="269">
        <f>IFERROR(100*$E1273/$E$5,NA())</f>
        <v/>
      </c>
      <c r="D1273" s="269">
        <f>IFERROR(100*$J1273/$J$5,NA())</f>
        <v/>
      </c>
      <c r="E1273" s="32">
        <f>IFERROR(IF(AND(ISNUMBER($A1273),N(IF(AND(AH!$U$12=1,1268+1=AH!$U$6),IF(AH!$U$4=0,"unavailable",INDEX('Market Data'!$AN$5:$AN$66,AH!$U$4)),IF(AH!$U$5=1,INDEX('Live History'!$B$5:$B$3004,$K1273),INDEX('AH History'!$D$5:$GG$1380,$K1273,AH!$U$10))))&gt;0),IF(AND(AH!$U$12=1,1268+1=AH!$U$6),IF(AH!$U$4=0,"unavailable",INDEX('Market Data'!$AN$5:$AN$66,AH!$U$4)),IF(AH!$U$5=1,INDEX('Live History'!$B$5:$B$3004,$K1273),INDEX('AH History'!$D$5:$GG$1380,$K1273,AH!$U$10))),NA()),NA())</f>
        <v/>
      </c>
      <c r="F1273" s="32">
        <f>IFERROR(IF(ISNUMBER($A1273),IF(AND(AH!$U$12=1,1268+1=AH!$U$6),IF(AH!$U$4=0,"unavailable",INDEX('Market Data'!$AO$5:$AO$66,AH!$U$4)),IF(AH!$U$5=1,INDEX('Live History'!$E$5:$E$3004,MATCH($A1273,'Live History'!$D$5:$D$3004,1)),INDEX('AH History'!$D$5:$GG$1380,$K1273,AH!$U$10+1))),NA()),NA())</f>
        <v/>
      </c>
      <c r="G1273" s="34">
        <f>IFERROR(IF(ISNUMBER($A1273),IF(AND(AH!$U$12=1,1268+1=AH!$U$6),IF(AH!$U$4=0,"unavailable",INDEX('Market Data'!$AK$5:$AK$66,AH!$U$4)),IF(AH!$U$5=1,INDEX('Live History'!$D$5:$D$3004,MATCH($A1273,'Live History'!$D$5:$D$3004,1)),INDEX('AH History'!$D$5:$GG$1380,$K1273,AH!$U$10+2))),NA()),NA())</f>
        <v/>
      </c>
      <c r="H1273" s="266">
        <f>IFERROR(IF(ISNUMBER($A1273),IF(AND(AH!$U$12=1,1268+1=AH!$U$6),IF(AH!$U$4=0,"unavailable",INDEX('Market Data'!$AP$5:$AP$66,AH!$U$4)),IF(AH!$U$5=1,INDEX('Live History'!$H$5:$H$3004,MATCH($A1273,'Live History'!$G$5:$G$3004,1)),INDEX('AH History'!$B$5:$B$1380,$K1273))),NA()),NA())</f>
        <v/>
      </c>
      <c r="I1273" s="34">
        <f>IFERROR(IF(ISNUMBER($A1273),IF(AND(AH!$U$12=1,1268+1=AH!$U$6),TODAY(),IF(AH!$U$5=1,INDEX('Live History'!$G$5:$G$3004,MATCH($A1273,'Live History'!$G$5:$G$3004,1)),INDEX('AH History'!$C$5:$C$1380,$K1273))),NA()),NA())</f>
        <v/>
      </c>
      <c r="J1273" s="32">
        <f>IFERROR(IF(AND($F1273&gt;0,$H1273&gt;0,$A1273-$G1273&lt;=10,$A1273-$I1273&lt;=5,$G1273&gt;0,$I1273&gt;0),$F1273*$H1273,NA()),NA())</f>
        <v/>
      </c>
      <c r="K1273" s="15">
        <f>IF($A1273="","",IF(AH!$U$5=1,IFERROR(MATCH($A1273,'Live History'!$A$5:$A$3004,0),0),AH!$U$7+1268))</f>
        <v/>
      </c>
      <c r="L1273" s="15">
        <f>IF(ISNUMBER(A1273),TEXT(A1273,"dd-mmm-yy"),"")</f>
        <v/>
      </c>
    </row>
    <row r="1274">
      <c r="A1274" s="14">
        <f>IF(OR(AH!$U$4=0,1269+1&gt;AH!$U$6,AND(AH!$M$5="Bloomberg",AH!$U$5=0)),"",IFERROR(IF(AND(AH!$U$12=1,1269+1=AH!$U$6),TODAY(),IF(AH!$U$5=1,INDEX('Live History'!$A$5:$A$3004,AH!$U$7+1269),INDEX('AH History'!$A$5:$A$1380,AH!$U$7+1269))),""))</f>
        <v/>
      </c>
      <c r="B1274" s="33">
        <f>IFERROR(IF(AH!$U$11=1,NA(),$J1274/$E1274-1),NA())</f>
        <v/>
      </c>
      <c r="C1274" s="269">
        <f>IFERROR(100*$E1274/$E$5,NA())</f>
        <v/>
      </c>
      <c r="D1274" s="269">
        <f>IFERROR(100*$J1274/$J$5,NA())</f>
        <v/>
      </c>
      <c r="E1274" s="32">
        <f>IFERROR(IF(AND(ISNUMBER($A1274),N(IF(AND(AH!$U$12=1,1269+1=AH!$U$6),IF(AH!$U$4=0,"unavailable",INDEX('Market Data'!$AN$5:$AN$66,AH!$U$4)),IF(AH!$U$5=1,INDEX('Live History'!$B$5:$B$3004,$K1274),INDEX('AH History'!$D$5:$GG$1380,$K1274,AH!$U$10))))&gt;0),IF(AND(AH!$U$12=1,1269+1=AH!$U$6),IF(AH!$U$4=0,"unavailable",INDEX('Market Data'!$AN$5:$AN$66,AH!$U$4)),IF(AH!$U$5=1,INDEX('Live History'!$B$5:$B$3004,$K1274),INDEX('AH History'!$D$5:$GG$1380,$K1274,AH!$U$10))),NA()),NA())</f>
        <v/>
      </c>
      <c r="F1274" s="32">
        <f>IFERROR(IF(ISNUMBER($A1274),IF(AND(AH!$U$12=1,1269+1=AH!$U$6),IF(AH!$U$4=0,"unavailable",INDEX('Market Data'!$AO$5:$AO$66,AH!$U$4)),IF(AH!$U$5=1,INDEX('Live History'!$E$5:$E$3004,MATCH($A1274,'Live History'!$D$5:$D$3004,1)),INDEX('AH History'!$D$5:$GG$1380,$K1274,AH!$U$10+1))),NA()),NA())</f>
        <v/>
      </c>
      <c r="G1274" s="34">
        <f>IFERROR(IF(ISNUMBER($A1274),IF(AND(AH!$U$12=1,1269+1=AH!$U$6),IF(AH!$U$4=0,"unavailable",INDEX('Market Data'!$AK$5:$AK$66,AH!$U$4)),IF(AH!$U$5=1,INDEX('Live History'!$D$5:$D$3004,MATCH($A1274,'Live History'!$D$5:$D$3004,1)),INDEX('AH History'!$D$5:$GG$1380,$K1274,AH!$U$10+2))),NA()),NA())</f>
        <v/>
      </c>
      <c r="H1274" s="266">
        <f>IFERROR(IF(ISNUMBER($A1274),IF(AND(AH!$U$12=1,1269+1=AH!$U$6),IF(AH!$U$4=0,"unavailable",INDEX('Market Data'!$AP$5:$AP$66,AH!$U$4)),IF(AH!$U$5=1,INDEX('Live History'!$H$5:$H$3004,MATCH($A1274,'Live History'!$G$5:$G$3004,1)),INDEX('AH History'!$B$5:$B$1380,$K1274))),NA()),NA())</f>
        <v/>
      </c>
      <c r="I1274" s="34">
        <f>IFERROR(IF(ISNUMBER($A1274),IF(AND(AH!$U$12=1,1269+1=AH!$U$6),TODAY(),IF(AH!$U$5=1,INDEX('Live History'!$G$5:$G$3004,MATCH($A1274,'Live History'!$G$5:$G$3004,1)),INDEX('AH History'!$C$5:$C$1380,$K1274))),NA()),NA())</f>
        <v/>
      </c>
      <c r="J1274" s="32">
        <f>IFERROR(IF(AND($F1274&gt;0,$H1274&gt;0,$A1274-$G1274&lt;=10,$A1274-$I1274&lt;=5,$G1274&gt;0,$I1274&gt;0),$F1274*$H1274,NA()),NA())</f>
        <v/>
      </c>
      <c r="K1274" s="15">
        <f>IF($A1274="","",IF(AH!$U$5=1,IFERROR(MATCH($A1274,'Live History'!$A$5:$A$3004,0),0),AH!$U$7+1269))</f>
        <v/>
      </c>
      <c r="L1274" s="15">
        <f>IF(ISNUMBER(A1274),TEXT(A1274,"dd-mmm-yy"),"")</f>
        <v/>
      </c>
    </row>
    <row r="1275">
      <c r="A1275" s="14">
        <f>IF(OR(AH!$U$4=0,1270+1&gt;AH!$U$6,AND(AH!$M$5="Bloomberg",AH!$U$5=0)),"",IFERROR(IF(AND(AH!$U$12=1,1270+1=AH!$U$6),TODAY(),IF(AH!$U$5=1,INDEX('Live History'!$A$5:$A$3004,AH!$U$7+1270),INDEX('AH History'!$A$5:$A$1380,AH!$U$7+1270))),""))</f>
        <v/>
      </c>
      <c r="B1275" s="33">
        <f>IFERROR(IF(AH!$U$11=1,NA(),$J1275/$E1275-1),NA())</f>
        <v/>
      </c>
      <c r="C1275" s="269">
        <f>IFERROR(100*$E1275/$E$5,NA())</f>
        <v/>
      </c>
      <c r="D1275" s="269">
        <f>IFERROR(100*$J1275/$J$5,NA())</f>
        <v/>
      </c>
      <c r="E1275" s="32">
        <f>IFERROR(IF(AND(ISNUMBER($A1275),N(IF(AND(AH!$U$12=1,1270+1=AH!$U$6),IF(AH!$U$4=0,"unavailable",INDEX('Market Data'!$AN$5:$AN$66,AH!$U$4)),IF(AH!$U$5=1,INDEX('Live History'!$B$5:$B$3004,$K1275),INDEX('AH History'!$D$5:$GG$1380,$K1275,AH!$U$10))))&gt;0),IF(AND(AH!$U$12=1,1270+1=AH!$U$6),IF(AH!$U$4=0,"unavailable",INDEX('Market Data'!$AN$5:$AN$66,AH!$U$4)),IF(AH!$U$5=1,INDEX('Live History'!$B$5:$B$3004,$K1275),INDEX('AH History'!$D$5:$GG$1380,$K1275,AH!$U$10))),NA()),NA())</f>
        <v/>
      </c>
      <c r="F1275" s="32">
        <f>IFERROR(IF(ISNUMBER($A1275),IF(AND(AH!$U$12=1,1270+1=AH!$U$6),IF(AH!$U$4=0,"unavailable",INDEX('Market Data'!$AO$5:$AO$66,AH!$U$4)),IF(AH!$U$5=1,INDEX('Live History'!$E$5:$E$3004,MATCH($A1275,'Live History'!$D$5:$D$3004,1)),INDEX('AH History'!$D$5:$GG$1380,$K1275,AH!$U$10+1))),NA()),NA())</f>
        <v/>
      </c>
      <c r="G1275" s="34">
        <f>IFERROR(IF(ISNUMBER($A1275),IF(AND(AH!$U$12=1,1270+1=AH!$U$6),IF(AH!$U$4=0,"unavailable",INDEX('Market Data'!$AK$5:$AK$66,AH!$U$4)),IF(AH!$U$5=1,INDEX('Live History'!$D$5:$D$3004,MATCH($A1275,'Live History'!$D$5:$D$3004,1)),INDEX('AH History'!$D$5:$GG$1380,$K1275,AH!$U$10+2))),NA()),NA())</f>
        <v/>
      </c>
      <c r="H1275" s="266">
        <f>IFERROR(IF(ISNUMBER($A1275),IF(AND(AH!$U$12=1,1270+1=AH!$U$6),IF(AH!$U$4=0,"unavailable",INDEX('Market Data'!$AP$5:$AP$66,AH!$U$4)),IF(AH!$U$5=1,INDEX('Live History'!$H$5:$H$3004,MATCH($A1275,'Live History'!$G$5:$G$3004,1)),INDEX('AH History'!$B$5:$B$1380,$K1275))),NA()),NA())</f>
        <v/>
      </c>
      <c r="I1275" s="34">
        <f>IFERROR(IF(ISNUMBER($A1275),IF(AND(AH!$U$12=1,1270+1=AH!$U$6),TODAY(),IF(AH!$U$5=1,INDEX('Live History'!$G$5:$G$3004,MATCH($A1275,'Live History'!$G$5:$G$3004,1)),INDEX('AH History'!$C$5:$C$1380,$K1275))),NA()),NA())</f>
        <v/>
      </c>
      <c r="J1275" s="32">
        <f>IFERROR(IF(AND($F1275&gt;0,$H1275&gt;0,$A1275-$G1275&lt;=10,$A1275-$I1275&lt;=5,$G1275&gt;0,$I1275&gt;0),$F1275*$H1275,NA()),NA())</f>
        <v/>
      </c>
      <c r="K1275" s="15">
        <f>IF($A1275="","",IF(AH!$U$5=1,IFERROR(MATCH($A1275,'Live History'!$A$5:$A$3004,0),0),AH!$U$7+1270))</f>
        <v/>
      </c>
      <c r="L1275" s="15">
        <f>IF(ISNUMBER(A1275),TEXT(A1275,"dd-mmm-yy"),"")</f>
        <v/>
      </c>
    </row>
    <row r="1276">
      <c r="A1276" s="14">
        <f>IF(OR(AH!$U$4=0,1271+1&gt;AH!$U$6,AND(AH!$M$5="Bloomberg",AH!$U$5=0)),"",IFERROR(IF(AND(AH!$U$12=1,1271+1=AH!$U$6),TODAY(),IF(AH!$U$5=1,INDEX('Live History'!$A$5:$A$3004,AH!$U$7+1271),INDEX('AH History'!$A$5:$A$1380,AH!$U$7+1271))),""))</f>
        <v/>
      </c>
      <c r="B1276" s="33">
        <f>IFERROR(IF(AH!$U$11=1,NA(),$J1276/$E1276-1),NA())</f>
        <v/>
      </c>
      <c r="C1276" s="269">
        <f>IFERROR(100*$E1276/$E$5,NA())</f>
        <v/>
      </c>
      <c r="D1276" s="269">
        <f>IFERROR(100*$J1276/$J$5,NA())</f>
        <v/>
      </c>
      <c r="E1276" s="32">
        <f>IFERROR(IF(AND(ISNUMBER($A1276),N(IF(AND(AH!$U$12=1,1271+1=AH!$U$6),IF(AH!$U$4=0,"unavailable",INDEX('Market Data'!$AN$5:$AN$66,AH!$U$4)),IF(AH!$U$5=1,INDEX('Live History'!$B$5:$B$3004,$K1276),INDEX('AH History'!$D$5:$GG$1380,$K1276,AH!$U$10))))&gt;0),IF(AND(AH!$U$12=1,1271+1=AH!$U$6),IF(AH!$U$4=0,"unavailable",INDEX('Market Data'!$AN$5:$AN$66,AH!$U$4)),IF(AH!$U$5=1,INDEX('Live History'!$B$5:$B$3004,$K1276),INDEX('AH History'!$D$5:$GG$1380,$K1276,AH!$U$10))),NA()),NA())</f>
        <v/>
      </c>
      <c r="F1276" s="32">
        <f>IFERROR(IF(ISNUMBER($A1276),IF(AND(AH!$U$12=1,1271+1=AH!$U$6),IF(AH!$U$4=0,"unavailable",INDEX('Market Data'!$AO$5:$AO$66,AH!$U$4)),IF(AH!$U$5=1,INDEX('Live History'!$E$5:$E$3004,MATCH($A1276,'Live History'!$D$5:$D$3004,1)),INDEX('AH History'!$D$5:$GG$1380,$K1276,AH!$U$10+1))),NA()),NA())</f>
        <v/>
      </c>
      <c r="G1276" s="34">
        <f>IFERROR(IF(ISNUMBER($A1276),IF(AND(AH!$U$12=1,1271+1=AH!$U$6),IF(AH!$U$4=0,"unavailable",INDEX('Market Data'!$AK$5:$AK$66,AH!$U$4)),IF(AH!$U$5=1,INDEX('Live History'!$D$5:$D$3004,MATCH($A1276,'Live History'!$D$5:$D$3004,1)),INDEX('AH History'!$D$5:$GG$1380,$K1276,AH!$U$10+2))),NA()),NA())</f>
        <v/>
      </c>
      <c r="H1276" s="266">
        <f>IFERROR(IF(ISNUMBER($A1276),IF(AND(AH!$U$12=1,1271+1=AH!$U$6),IF(AH!$U$4=0,"unavailable",INDEX('Market Data'!$AP$5:$AP$66,AH!$U$4)),IF(AH!$U$5=1,INDEX('Live History'!$H$5:$H$3004,MATCH($A1276,'Live History'!$G$5:$G$3004,1)),INDEX('AH History'!$B$5:$B$1380,$K1276))),NA()),NA())</f>
        <v/>
      </c>
      <c r="I1276" s="34">
        <f>IFERROR(IF(ISNUMBER($A1276),IF(AND(AH!$U$12=1,1271+1=AH!$U$6),TODAY(),IF(AH!$U$5=1,INDEX('Live History'!$G$5:$G$3004,MATCH($A1276,'Live History'!$G$5:$G$3004,1)),INDEX('AH History'!$C$5:$C$1380,$K1276))),NA()),NA())</f>
        <v/>
      </c>
      <c r="J1276" s="32">
        <f>IFERROR(IF(AND($F1276&gt;0,$H1276&gt;0,$A1276-$G1276&lt;=10,$A1276-$I1276&lt;=5,$G1276&gt;0,$I1276&gt;0),$F1276*$H1276,NA()),NA())</f>
        <v/>
      </c>
      <c r="K1276" s="15">
        <f>IF($A1276="","",IF(AH!$U$5=1,IFERROR(MATCH($A1276,'Live History'!$A$5:$A$3004,0),0),AH!$U$7+1271))</f>
        <v/>
      </c>
      <c r="L1276" s="15">
        <f>IF(ISNUMBER(A1276),TEXT(A1276,"dd-mmm-yy"),"")</f>
        <v/>
      </c>
    </row>
    <row r="1277">
      <c r="A1277" s="14">
        <f>IF(OR(AH!$U$4=0,1272+1&gt;AH!$U$6,AND(AH!$M$5="Bloomberg",AH!$U$5=0)),"",IFERROR(IF(AND(AH!$U$12=1,1272+1=AH!$U$6),TODAY(),IF(AH!$U$5=1,INDEX('Live History'!$A$5:$A$3004,AH!$U$7+1272),INDEX('AH History'!$A$5:$A$1380,AH!$U$7+1272))),""))</f>
        <v/>
      </c>
      <c r="B1277" s="33">
        <f>IFERROR(IF(AH!$U$11=1,NA(),$J1277/$E1277-1),NA())</f>
        <v/>
      </c>
      <c r="C1277" s="269">
        <f>IFERROR(100*$E1277/$E$5,NA())</f>
        <v/>
      </c>
      <c r="D1277" s="269">
        <f>IFERROR(100*$J1277/$J$5,NA())</f>
        <v/>
      </c>
      <c r="E1277" s="32">
        <f>IFERROR(IF(AND(ISNUMBER($A1277),N(IF(AND(AH!$U$12=1,1272+1=AH!$U$6),IF(AH!$U$4=0,"unavailable",INDEX('Market Data'!$AN$5:$AN$66,AH!$U$4)),IF(AH!$U$5=1,INDEX('Live History'!$B$5:$B$3004,$K1277),INDEX('AH History'!$D$5:$GG$1380,$K1277,AH!$U$10))))&gt;0),IF(AND(AH!$U$12=1,1272+1=AH!$U$6),IF(AH!$U$4=0,"unavailable",INDEX('Market Data'!$AN$5:$AN$66,AH!$U$4)),IF(AH!$U$5=1,INDEX('Live History'!$B$5:$B$3004,$K1277),INDEX('AH History'!$D$5:$GG$1380,$K1277,AH!$U$10))),NA()),NA())</f>
        <v/>
      </c>
      <c r="F1277" s="32">
        <f>IFERROR(IF(ISNUMBER($A1277),IF(AND(AH!$U$12=1,1272+1=AH!$U$6),IF(AH!$U$4=0,"unavailable",INDEX('Market Data'!$AO$5:$AO$66,AH!$U$4)),IF(AH!$U$5=1,INDEX('Live History'!$E$5:$E$3004,MATCH($A1277,'Live History'!$D$5:$D$3004,1)),INDEX('AH History'!$D$5:$GG$1380,$K1277,AH!$U$10+1))),NA()),NA())</f>
        <v/>
      </c>
      <c r="G1277" s="34">
        <f>IFERROR(IF(ISNUMBER($A1277),IF(AND(AH!$U$12=1,1272+1=AH!$U$6),IF(AH!$U$4=0,"unavailable",INDEX('Market Data'!$AK$5:$AK$66,AH!$U$4)),IF(AH!$U$5=1,INDEX('Live History'!$D$5:$D$3004,MATCH($A1277,'Live History'!$D$5:$D$3004,1)),INDEX('AH History'!$D$5:$GG$1380,$K1277,AH!$U$10+2))),NA()),NA())</f>
        <v/>
      </c>
      <c r="H1277" s="266">
        <f>IFERROR(IF(ISNUMBER($A1277),IF(AND(AH!$U$12=1,1272+1=AH!$U$6),IF(AH!$U$4=0,"unavailable",INDEX('Market Data'!$AP$5:$AP$66,AH!$U$4)),IF(AH!$U$5=1,INDEX('Live History'!$H$5:$H$3004,MATCH($A1277,'Live History'!$G$5:$G$3004,1)),INDEX('AH History'!$B$5:$B$1380,$K1277))),NA()),NA())</f>
        <v/>
      </c>
      <c r="I1277" s="34">
        <f>IFERROR(IF(ISNUMBER($A1277),IF(AND(AH!$U$12=1,1272+1=AH!$U$6),TODAY(),IF(AH!$U$5=1,INDEX('Live History'!$G$5:$G$3004,MATCH($A1277,'Live History'!$G$5:$G$3004,1)),INDEX('AH History'!$C$5:$C$1380,$K1277))),NA()),NA())</f>
        <v/>
      </c>
      <c r="J1277" s="32">
        <f>IFERROR(IF(AND($F1277&gt;0,$H1277&gt;0,$A1277-$G1277&lt;=10,$A1277-$I1277&lt;=5,$G1277&gt;0,$I1277&gt;0),$F1277*$H1277,NA()),NA())</f>
        <v/>
      </c>
      <c r="K1277" s="15">
        <f>IF($A1277="","",IF(AH!$U$5=1,IFERROR(MATCH($A1277,'Live History'!$A$5:$A$3004,0),0),AH!$U$7+1272))</f>
        <v/>
      </c>
      <c r="L1277" s="15">
        <f>IF(ISNUMBER(A1277),TEXT(A1277,"dd-mmm-yy"),"")</f>
        <v/>
      </c>
    </row>
    <row r="1278">
      <c r="A1278" s="14">
        <f>IF(OR(AH!$U$4=0,1273+1&gt;AH!$U$6,AND(AH!$M$5="Bloomberg",AH!$U$5=0)),"",IFERROR(IF(AND(AH!$U$12=1,1273+1=AH!$U$6),TODAY(),IF(AH!$U$5=1,INDEX('Live History'!$A$5:$A$3004,AH!$U$7+1273),INDEX('AH History'!$A$5:$A$1380,AH!$U$7+1273))),""))</f>
        <v/>
      </c>
      <c r="B1278" s="33">
        <f>IFERROR(IF(AH!$U$11=1,NA(),$J1278/$E1278-1),NA())</f>
        <v/>
      </c>
      <c r="C1278" s="269">
        <f>IFERROR(100*$E1278/$E$5,NA())</f>
        <v/>
      </c>
      <c r="D1278" s="269">
        <f>IFERROR(100*$J1278/$J$5,NA())</f>
        <v/>
      </c>
      <c r="E1278" s="32">
        <f>IFERROR(IF(AND(ISNUMBER($A1278),N(IF(AND(AH!$U$12=1,1273+1=AH!$U$6),IF(AH!$U$4=0,"unavailable",INDEX('Market Data'!$AN$5:$AN$66,AH!$U$4)),IF(AH!$U$5=1,INDEX('Live History'!$B$5:$B$3004,$K1278),INDEX('AH History'!$D$5:$GG$1380,$K1278,AH!$U$10))))&gt;0),IF(AND(AH!$U$12=1,1273+1=AH!$U$6),IF(AH!$U$4=0,"unavailable",INDEX('Market Data'!$AN$5:$AN$66,AH!$U$4)),IF(AH!$U$5=1,INDEX('Live History'!$B$5:$B$3004,$K1278),INDEX('AH History'!$D$5:$GG$1380,$K1278,AH!$U$10))),NA()),NA())</f>
        <v/>
      </c>
      <c r="F1278" s="32">
        <f>IFERROR(IF(ISNUMBER($A1278),IF(AND(AH!$U$12=1,1273+1=AH!$U$6),IF(AH!$U$4=0,"unavailable",INDEX('Market Data'!$AO$5:$AO$66,AH!$U$4)),IF(AH!$U$5=1,INDEX('Live History'!$E$5:$E$3004,MATCH($A1278,'Live History'!$D$5:$D$3004,1)),INDEX('AH History'!$D$5:$GG$1380,$K1278,AH!$U$10+1))),NA()),NA())</f>
        <v/>
      </c>
      <c r="G1278" s="34">
        <f>IFERROR(IF(ISNUMBER($A1278),IF(AND(AH!$U$12=1,1273+1=AH!$U$6),IF(AH!$U$4=0,"unavailable",INDEX('Market Data'!$AK$5:$AK$66,AH!$U$4)),IF(AH!$U$5=1,INDEX('Live History'!$D$5:$D$3004,MATCH($A1278,'Live History'!$D$5:$D$3004,1)),INDEX('AH History'!$D$5:$GG$1380,$K1278,AH!$U$10+2))),NA()),NA())</f>
        <v/>
      </c>
      <c r="H1278" s="266">
        <f>IFERROR(IF(ISNUMBER($A1278),IF(AND(AH!$U$12=1,1273+1=AH!$U$6),IF(AH!$U$4=0,"unavailable",INDEX('Market Data'!$AP$5:$AP$66,AH!$U$4)),IF(AH!$U$5=1,INDEX('Live History'!$H$5:$H$3004,MATCH($A1278,'Live History'!$G$5:$G$3004,1)),INDEX('AH History'!$B$5:$B$1380,$K1278))),NA()),NA())</f>
        <v/>
      </c>
      <c r="I1278" s="34">
        <f>IFERROR(IF(ISNUMBER($A1278),IF(AND(AH!$U$12=1,1273+1=AH!$U$6),TODAY(),IF(AH!$U$5=1,INDEX('Live History'!$G$5:$G$3004,MATCH($A1278,'Live History'!$G$5:$G$3004,1)),INDEX('AH History'!$C$5:$C$1380,$K1278))),NA()),NA())</f>
        <v/>
      </c>
      <c r="J1278" s="32">
        <f>IFERROR(IF(AND($F1278&gt;0,$H1278&gt;0,$A1278-$G1278&lt;=10,$A1278-$I1278&lt;=5,$G1278&gt;0,$I1278&gt;0),$F1278*$H1278,NA()),NA())</f>
        <v/>
      </c>
      <c r="K1278" s="15">
        <f>IF($A1278="","",IF(AH!$U$5=1,IFERROR(MATCH($A1278,'Live History'!$A$5:$A$3004,0),0),AH!$U$7+1273))</f>
        <v/>
      </c>
      <c r="L1278" s="15">
        <f>IF(ISNUMBER(A1278),TEXT(A1278,"dd-mmm-yy"),"")</f>
        <v/>
      </c>
    </row>
    <row r="1279">
      <c r="A1279" s="14">
        <f>IF(OR(AH!$U$4=0,1274+1&gt;AH!$U$6,AND(AH!$M$5="Bloomberg",AH!$U$5=0)),"",IFERROR(IF(AND(AH!$U$12=1,1274+1=AH!$U$6),TODAY(),IF(AH!$U$5=1,INDEX('Live History'!$A$5:$A$3004,AH!$U$7+1274),INDEX('AH History'!$A$5:$A$1380,AH!$U$7+1274))),""))</f>
        <v/>
      </c>
      <c r="B1279" s="33">
        <f>IFERROR(IF(AH!$U$11=1,NA(),$J1279/$E1279-1),NA())</f>
        <v/>
      </c>
      <c r="C1279" s="269">
        <f>IFERROR(100*$E1279/$E$5,NA())</f>
        <v/>
      </c>
      <c r="D1279" s="269">
        <f>IFERROR(100*$J1279/$J$5,NA())</f>
        <v/>
      </c>
      <c r="E1279" s="32">
        <f>IFERROR(IF(AND(ISNUMBER($A1279),N(IF(AND(AH!$U$12=1,1274+1=AH!$U$6),IF(AH!$U$4=0,"unavailable",INDEX('Market Data'!$AN$5:$AN$66,AH!$U$4)),IF(AH!$U$5=1,INDEX('Live History'!$B$5:$B$3004,$K1279),INDEX('AH History'!$D$5:$GG$1380,$K1279,AH!$U$10))))&gt;0),IF(AND(AH!$U$12=1,1274+1=AH!$U$6),IF(AH!$U$4=0,"unavailable",INDEX('Market Data'!$AN$5:$AN$66,AH!$U$4)),IF(AH!$U$5=1,INDEX('Live History'!$B$5:$B$3004,$K1279),INDEX('AH History'!$D$5:$GG$1380,$K1279,AH!$U$10))),NA()),NA())</f>
        <v/>
      </c>
      <c r="F1279" s="32">
        <f>IFERROR(IF(ISNUMBER($A1279),IF(AND(AH!$U$12=1,1274+1=AH!$U$6),IF(AH!$U$4=0,"unavailable",INDEX('Market Data'!$AO$5:$AO$66,AH!$U$4)),IF(AH!$U$5=1,INDEX('Live History'!$E$5:$E$3004,MATCH($A1279,'Live History'!$D$5:$D$3004,1)),INDEX('AH History'!$D$5:$GG$1380,$K1279,AH!$U$10+1))),NA()),NA())</f>
        <v/>
      </c>
      <c r="G1279" s="34">
        <f>IFERROR(IF(ISNUMBER($A1279),IF(AND(AH!$U$12=1,1274+1=AH!$U$6),IF(AH!$U$4=0,"unavailable",INDEX('Market Data'!$AK$5:$AK$66,AH!$U$4)),IF(AH!$U$5=1,INDEX('Live History'!$D$5:$D$3004,MATCH($A1279,'Live History'!$D$5:$D$3004,1)),INDEX('AH History'!$D$5:$GG$1380,$K1279,AH!$U$10+2))),NA()),NA())</f>
        <v/>
      </c>
      <c r="H1279" s="266">
        <f>IFERROR(IF(ISNUMBER($A1279),IF(AND(AH!$U$12=1,1274+1=AH!$U$6),IF(AH!$U$4=0,"unavailable",INDEX('Market Data'!$AP$5:$AP$66,AH!$U$4)),IF(AH!$U$5=1,INDEX('Live History'!$H$5:$H$3004,MATCH($A1279,'Live History'!$G$5:$G$3004,1)),INDEX('AH History'!$B$5:$B$1380,$K1279))),NA()),NA())</f>
        <v/>
      </c>
      <c r="I1279" s="34">
        <f>IFERROR(IF(ISNUMBER($A1279),IF(AND(AH!$U$12=1,1274+1=AH!$U$6),TODAY(),IF(AH!$U$5=1,INDEX('Live History'!$G$5:$G$3004,MATCH($A1279,'Live History'!$G$5:$G$3004,1)),INDEX('AH History'!$C$5:$C$1380,$K1279))),NA()),NA())</f>
        <v/>
      </c>
      <c r="J1279" s="32">
        <f>IFERROR(IF(AND($F1279&gt;0,$H1279&gt;0,$A1279-$G1279&lt;=10,$A1279-$I1279&lt;=5,$G1279&gt;0,$I1279&gt;0),$F1279*$H1279,NA()),NA())</f>
        <v/>
      </c>
      <c r="K1279" s="15">
        <f>IF($A1279="","",IF(AH!$U$5=1,IFERROR(MATCH($A1279,'Live History'!$A$5:$A$3004,0),0),AH!$U$7+1274))</f>
        <v/>
      </c>
      <c r="L1279" s="15">
        <f>IF(ISNUMBER(A1279),TEXT(A1279,"dd-mmm-yy"),"")</f>
        <v/>
      </c>
    </row>
    <row r="1280">
      <c r="A1280" s="14">
        <f>IF(OR(AH!$U$4=0,1275+1&gt;AH!$U$6,AND(AH!$M$5="Bloomberg",AH!$U$5=0)),"",IFERROR(IF(AND(AH!$U$12=1,1275+1=AH!$U$6),TODAY(),IF(AH!$U$5=1,INDEX('Live History'!$A$5:$A$3004,AH!$U$7+1275),INDEX('AH History'!$A$5:$A$1380,AH!$U$7+1275))),""))</f>
        <v/>
      </c>
      <c r="B1280" s="33">
        <f>IFERROR(IF(AH!$U$11=1,NA(),$J1280/$E1280-1),NA())</f>
        <v/>
      </c>
      <c r="C1280" s="269">
        <f>IFERROR(100*$E1280/$E$5,NA())</f>
        <v/>
      </c>
      <c r="D1280" s="269">
        <f>IFERROR(100*$J1280/$J$5,NA())</f>
        <v/>
      </c>
      <c r="E1280" s="32">
        <f>IFERROR(IF(AND(ISNUMBER($A1280),N(IF(AND(AH!$U$12=1,1275+1=AH!$U$6),IF(AH!$U$4=0,"unavailable",INDEX('Market Data'!$AN$5:$AN$66,AH!$U$4)),IF(AH!$U$5=1,INDEX('Live History'!$B$5:$B$3004,$K1280),INDEX('AH History'!$D$5:$GG$1380,$K1280,AH!$U$10))))&gt;0),IF(AND(AH!$U$12=1,1275+1=AH!$U$6),IF(AH!$U$4=0,"unavailable",INDEX('Market Data'!$AN$5:$AN$66,AH!$U$4)),IF(AH!$U$5=1,INDEX('Live History'!$B$5:$B$3004,$K1280),INDEX('AH History'!$D$5:$GG$1380,$K1280,AH!$U$10))),NA()),NA())</f>
        <v/>
      </c>
      <c r="F1280" s="32">
        <f>IFERROR(IF(ISNUMBER($A1280),IF(AND(AH!$U$12=1,1275+1=AH!$U$6),IF(AH!$U$4=0,"unavailable",INDEX('Market Data'!$AO$5:$AO$66,AH!$U$4)),IF(AH!$U$5=1,INDEX('Live History'!$E$5:$E$3004,MATCH($A1280,'Live History'!$D$5:$D$3004,1)),INDEX('AH History'!$D$5:$GG$1380,$K1280,AH!$U$10+1))),NA()),NA())</f>
        <v/>
      </c>
      <c r="G1280" s="34">
        <f>IFERROR(IF(ISNUMBER($A1280),IF(AND(AH!$U$12=1,1275+1=AH!$U$6),IF(AH!$U$4=0,"unavailable",INDEX('Market Data'!$AK$5:$AK$66,AH!$U$4)),IF(AH!$U$5=1,INDEX('Live History'!$D$5:$D$3004,MATCH($A1280,'Live History'!$D$5:$D$3004,1)),INDEX('AH History'!$D$5:$GG$1380,$K1280,AH!$U$10+2))),NA()),NA())</f>
        <v/>
      </c>
      <c r="H1280" s="266">
        <f>IFERROR(IF(ISNUMBER($A1280),IF(AND(AH!$U$12=1,1275+1=AH!$U$6),IF(AH!$U$4=0,"unavailable",INDEX('Market Data'!$AP$5:$AP$66,AH!$U$4)),IF(AH!$U$5=1,INDEX('Live History'!$H$5:$H$3004,MATCH($A1280,'Live History'!$G$5:$G$3004,1)),INDEX('AH History'!$B$5:$B$1380,$K1280))),NA()),NA())</f>
        <v/>
      </c>
      <c r="I1280" s="34">
        <f>IFERROR(IF(ISNUMBER($A1280),IF(AND(AH!$U$12=1,1275+1=AH!$U$6),TODAY(),IF(AH!$U$5=1,INDEX('Live History'!$G$5:$G$3004,MATCH($A1280,'Live History'!$G$5:$G$3004,1)),INDEX('AH History'!$C$5:$C$1380,$K1280))),NA()),NA())</f>
        <v/>
      </c>
      <c r="J1280" s="32">
        <f>IFERROR(IF(AND($F1280&gt;0,$H1280&gt;0,$A1280-$G1280&lt;=10,$A1280-$I1280&lt;=5,$G1280&gt;0,$I1280&gt;0),$F1280*$H1280,NA()),NA())</f>
        <v/>
      </c>
      <c r="K1280" s="15">
        <f>IF($A1280="","",IF(AH!$U$5=1,IFERROR(MATCH($A1280,'Live History'!$A$5:$A$3004,0),0),AH!$U$7+1275))</f>
        <v/>
      </c>
      <c r="L1280" s="15">
        <f>IF(ISNUMBER(A1280),TEXT(A1280,"dd-mmm-yy"),"")</f>
        <v/>
      </c>
    </row>
    <row r="1281">
      <c r="A1281" s="14">
        <f>IF(OR(AH!$U$4=0,1276+1&gt;AH!$U$6,AND(AH!$M$5="Bloomberg",AH!$U$5=0)),"",IFERROR(IF(AND(AH!$U$12=1,1276+1=AH!$U$6),TODAY(),IF(AH!$U$5=1,INDEX('Live History'!$A$5:$A$3004,AH!$U$7+1276),INDEX('AH History'!$A$5:$A$1380,AH!$U$7+1276))),""))</f>
        <v/>
      </c>
      <c r="B1281" s="33">
        <f>IFERROR(IF(AH!$U$11=1,NA(),$J1281/$E1281-1),NA())</f>
        <v/>
      </c>
      <c r="C1281" s="269">
        <f>IFERROR(100*$E1281/$E$5,NA())</f>
        <v/>
      </c>
      <c r="D1281" s="269">
        <f>IFERROR(100*$J1281/$J$5,NA())</f>
        <v/>
      </c>
      <c r="E1281" s="32">
        <f>IFERROR(IF(AND(ISNUMBER($A1281),N(IF(AND(AH!$U$12=1,1276+1=AH!$U$6),IF(AH!$U$4=0,"unavailable",INDEX('Market Data'!$AN$5:$AN$66,AH!$U$4)),IF(AH!$U$5=1,INDEX('Live History'!$B$5:$B$3004,$K1281),INDEX('AH History'!$D$5:$GG$1380,$K1281,AH!$U$10))))&gt;0),IF(AND(AH!$U$12=1,1276+1=AH!$U$6),IF(AH!$U$4=0,"unavailable",INDEX('Market Data'!$AN$5:$AN$66,AH!$U$4)),IF(AH!$U$5=1,INDEX('Live History'!$B$5:$B$3004,$K1281),INDEX('AH History'!$D$5:$GG$1380,$K1281,AH!$U$10))),NA()),NA())</f>
        <v/>
      </c>
      <c r="F1281" s="32">
        <f>IFERROR(IF(ISNUMBER($A1281),IF(AND(AH!$U$12=1,1276+1=AH!$U$6),IF(AH!$U$4=0,"unavailable",INDEX('Market Data'!$AO$5:$AO$66,AH!$U$4)),IF(AH!$U$5=1,INDEX('Live History'!$E$5:$E$3004,MATCH($A1281,'Live History'!$D$5:$D$3004,1)),INDEX('AH History'!$D$5:$GG$1380,$K1281,AH!$U$10+1))),NA()),NA())</f>
        <v/>
      </c>
      <c r="G1281" s="34">
        <f>IFERROR(IF(ISNUMBER($A1281),IF(AND(AH!$U$12=1,1276+1=AH!$U$6),IF(AH!$U$4=0,"unavailable",INDEX('Market Data'!$AK$5:$AK$66,AH!$U$4)),IF(AH!$U$5=1,INDEX('Live History'!$D$5:$D$3004,MATCH($A1281,'Live History'!$D$5:$D$3004,1)),INDEX('AH History'!$D$5:$GG$1380,$K1281,AH!$U$10+2))),NA()),NA())</f>
        <v/>
      </c>
      <c r="H1281" s="266">
        <f>IFERROR(IF(ISNUMBER($A1281),IF(AND(AH!$U$12=1,1276+1=AH!$U$6),IF(AH!$U$4=0,"unavailable",INDEX('Market Data'!$AP$5:$AP$66,AH!$U$4)),IF(AH!$U$5=1,INDEX('Live History'!$H$5:$H$3004,MATCH($A1281,'Live History'!$G$5:$G$3004,1)),INDEX('AH History'!$B$5:$B$1380,$K1281))),NA()),NA())</f>
        <v/>
      </c>
      <c r="I1281" s="34">
        <f>IFERROR(IF(ISNUMBER($A1281),IF(AND(AH!$U$12=1,1276+1=AH!$U$6),TODAY(),IF(AH!$U$5=1,INDEX('Live History'!$G$5:$G$3004,MATCH($A1281,'Live History'!$G$5:$G$3004,1)),INDEX('AH History'!$C$5:$C$1380,$K1281))),NA()),NA())</f>
        <v/>
      </c>
      <c r="J1281" s="32">
        <f>IFERROR(IF(AND($F1281&gt;0,$H1281&gt;0,$A1281-$G1281&lt;=10,$A1281-$I1281&lt;=5,$G1281&gt;0,$I1281&gt;0),$F1281*$H1281,NA()),NA())</f>
        <v/>
      </c>
      <c r="K1281" s="15">
        <f>IF($A1281="","",IF(AH!$U$5=1,IFERROR(MATCH($A1281,'Live History'!$A$5:$A$3004,0),0),AH!$U$7+1276))</f>
        <v/>
      </c>
      <c r="L1281" s="15">
        <f>IF(ISNUMBER(A1281),TEXT(A1281,"dd-mmm-yy"),"")</f>
        <v/>
      </c>
    </row>
    <row r="1282">
      <c r="A1282" s="14">
        <f>IF(OR(AH!$U$4=0,1277+1&gt;AH!$U$6,AND(AH!$M$5="Bloomberg",AH!$U$5=0)),"",IFERROR(IF(AND(AH!$U$12=1,1277+1=AH!$U$6),TODAY(),IF(AH!$U$5=1,INDEX('Live History'!$A$5:$A$3004,AH!$U$7+1277),INDEX('AH History'!$A$5:$A$1380,AH!$U$7+1277))),""))</f>
        <v/>
      </c>
      <c r="B1282" s="33">
        <f>IFERROR(IF(AH!$U$11=1,NA(),$J1282/$E1282-1),NA())</f>
        <v/>
      </c>
      <c r="C1282" s="269">
        <f>IFERROR(100*$E1282/$E$5,NA())</f>
        <v/>
      </c>
      <c r="D1282" s="269">
        <f>IFERROR(100*$J1282/$J$5,NA())</f>
        <v/>
      </c>
      <c r="E1282" s="32">
        <f>IFERROR(IF(AND(ISNUMBER($A1282),N(IF(AND(AH!$U$12=1,1277+1=AH!$U$6),IF(AH!$U$4=0,"unavailable",INDEX('Market Data'!$AN$5:$AN$66,AH!$U$4)),IF(AH!$U$5=1,INDEX('Live History'!$B$5:$B$3004,$K1282),INDEX('AH History'!$D$5:$GG$1380,$K1282,AH!$U$10))))&gt;0),IF(AND(AH!$U$12=1,1277+1=AH!$U$6),IF(AH!$U$4=0,"unavailable",INDEX('Market Data'!$AN$5:$AN$66,AH!$U$4)),IF(AH!$U$5=1,INDEX('Live History'!$B$5:$B$3004,$K1282),INDEX('AH History'!$D$5:$GG$1380,$K1282,AH!$U$10))),NA()),NA())</f>
        <v/>
      </c>
      <c r="F1282" s="32">
        <f>IFERROR(IF(ISNUMBER($A1282),IF(AND(AH!$U$12=1,1277+1=AH!$U$6),IF(AH!$U$4=0,"unavailable",INDEX('Market Data'!$AO$5:$AO$66,AH!$U$4)),IF(AH!$U$5=1,INDEX('Live History'!$E$5:$E$3004,MATCH($A1282,'Live History'!$D$5:$D$3004,1)),INDEX('AH History'!$D$5:$GG$1380,$K1282,AH!$U$10+1))),NA()),NA())</f>
        <v/>
      </c>
      <c r="G1282" s="34">
        <f>IFERROR(IF(ISNUMBER($A1282),IF(AND(AH!$U$12=1,1277+1=AH!$U$6),IF(AH!$U$4=0,"unavailable",INDEX('Market Data'!$AK$5:$AK$66,AH!$U$4)),IF(AH!$U$5=1,INDEX('Live History'!$D$5:$D$3004,MATCH($A1282,'Live History'!$D$5:$D$3004,1)),INDEX('AH History'!$D$5:$GG$1380,$K1282,AH!$U$10+2))),NA()),NA())</f>
        <v/>
      </c>
      <c r="H1282" s="266">
        <f>IFERROR(IF(ISNUMBER($A1282),IF(AND(AH!$U$12=1,1277+1=AH!$U$6),IF(AH!$U$4=0,"unavailable",INDEX('Market Data'!$AP$5:$AP$66,AH!$U$4)),IF(AH!$U$5=1,INDEX('Live History'!$H$5:$H$3004,MATCH($A1282,'Live History'!$G$5:$G$3004,1)),INDEX('AH History'!$B$5:$B$1380,$K1282))),NA()),NA())</f>
        <v/>
      </c>
      <c r="I1282" s="34">
        <f>IFERROR(IF(ISNUMBER($A1282),IF(AND(AH!$U$12=1,1277+1=AH!$U$6),TODAY(),IF(AH!$U$5=1,INDEX('Live History'!$G$5:$G$3004,MATCH($A1282,'Live History'!$G$5:$G$3004,1)),INDEX('AH History'!$C$5:$C$1380,$K1282))),NA()),NA())</f>
        <v/>
      </c>
      <c r="J1282" s="32">
        <f>IFERROR(IF(AND($F1282&gt;0,$H1282&gt;0,$A1282-$G1282&lt;=10,$A1282-$I1282&lt;=5,$G1282&gt;0,$I1282&gt;0),$F1282*$H1282,NA()),NA())</f>
        <v/>
      </c>
      <c r="K1282" s="15">
        <f>IF($A1282="","",IF(AH!$U$5=1,IFERROR(MATCH($A1282,'Live History'!$A$5:$A$3004,0),0),AH!$U$7+1277))</f>
        <v/>
      </c>
      <c r="L1282" s="15">
        <f>IF(ISNUMBER(A1282),TEXT(A1282,"dd-mmm-yy"),"")</f>
        <v/>
      </c>
    </row>
    <row r="1283">
      <c r="A1283" s="14">
        <f>IF(OR(AH!$U$4=0,1278+1&gt;AH!$U$6,AND(AH!$M$5="Bloomberg",AH!$U$5=0)),"",IFERROR(IF(AND(AH!$U$12=1,1278+1=AH!$U$6),TODAY(),IF(AH!$U$5=1,INDEX('Live History'!$A$5:$A$3004,AH!$U$7+1278),INDEX('AH History'!$A$5:$A$1380,AH!$U$7+1278))),""))</f>
        <v/>
      </c>
      <c r="B1283" s="33">
        <f>IFERROR(IF(AH!$U$11=1,NA(),$J1283/$E1283-1),NA())</f>
        <v/>
      </c>
      <c r="C1283" s="269">
        <f>IFERROR(100*$E1283/$E$5,NA())</f>
        <v/>
      </c>
      <c r="D1283" s="269">
        <f>IFERROR(100*$J1283/$J$5,NA())</f>
        <v/>
      </c>
      <c r="E1283" s="32">
        <f>IFERROR(IF(AND(ISNUMBER($A1283),N(IF(AND(AH!$U$12=1,1278+1=AH!$U$6),IF(AH!$U$4=0,"unavailable",INDEX('Market Data'!$AN$5:$AN$66,AH!$U$4)),IF(AH!$U$5=1,INDEX('Live History'!$B$5:$B$3004,$K1283),INDEX('AH History'!$D$5:$GG$1380,$K1283,AH!$U$10))))&gt;0),IF(AND(AH!$U$12=1,1278+1=AH!$U$6),IF(AH!$U$4=0,"unavailable",INDEX('Market Data'!$AN$5:$AN$66,AH!$U$4)),IF(AH!$U$5=1,INDEX('Live History'!$B$5:$B$3004,$K1283),INDEX('AH History'!$D$5:$GG$1380,$K1283,AH!$U$10))),NA()),NA())</f>
        <v/>
      </c>
      <c r="F1283" s="32">
        <f>IFERROR(IF(ISNUMBER($A1283),IF(AND(AH!$U$12=1,1278+1=AH!$U$6),IF(AH!$U$4=0,"unavailable",INDEX('Market Data'!$AO$5:$AO$66,AH!$U$4)),IF(AH!$U$5=1,INDEX('Live History'!$E$5:$E$3004,MATCH($A1283,'Live History'!$D$5:$D$3004,1)),INDEX('AH History'!$D$5:$GG$1380,$K1283,AH!$U$10+1))),NA()),NA())</f>
        <v/>
      </c>
      <c r="G1283" s="34">
        <f>IFERROR(IF(ISNUMBER($A1283),IF(AND(AH!$U$12=1,1278+1=AH!$U$6),IF(AH!$U$4=0,"unavailable",INDEX('Market Data'!$AK$5:$AK$66,AH!$U$4)),IF(AH!$U$5=1,INDEX('Live History'!$D$5:$D$3004,MATCH($A1283,'Live History'!$D$5:$D$3004,1)),INDEX('AH History'!$D$5:$GG$1380,$K1283,AH!$U$10+2))),NA()),NA())</f>
        <v/>
      </c>
      <c r="H1283" s="266">
        <f>IFERROR(IF(ISNUMBER($A1283),IF(AND(AH!$U$12=1,1278+1=AH!$U$6),IF(AH!$U$4=0,"unavailable",INDEX('Market Data'!$AP$5:$AP$66,AH!$U$4)),IF(AH!$U$5=1,INDEX('Live History'!$H$5:$H$3004,MATCH($A1283,'Live History'!$G$5:$G$3004,1)),INDEX('AH History'!$B$5:$B$1380,$K1283))),NA()),NA())</f>
        <v/>
      </c>
      <c r="I1283" s="34">
        <f>IFERROR(IF(ISNUMBER($A1283),IF(AND(AH!$U$12=1,1278+1=AH!$U$6),TODAY(),IF(AH!$U$5=1,INDEX('Live History'!$G$5:$G$3004,MATCH($A1283,'Live History'!$G$5:$G$3004,1)),INDEX('AH History'!$C$5:$C$1380,$K1283))),NA()),NA())</f>
        <v/>
      </c>
      <c r="J1283" s="32">
        <f>IFERROR(IF(AND($F1283&gt;0,$H1283&gt;0,$A1283-$G1283&lt;=10,$A1283-$I1283&lt;=5,$G1283&gt;0,$I1283&gt;0),$F1283*$H1283,NA()),NA())</f>
        <v/>
      </c>
      <c r="K1283" s="15">
        <f>IF($A1283="","",IF(AH!$U$5=1,IFERROR(MATCH($A1283,'Live History'!$A$5:$A$3004,0),0),AH!$U$7+1278))</f>
        <v/>
      </c>
      <c r="L1283" s="15">
        <f>IF(ISNUMBER(A1283),TEXT(A1283,"dd-mmm-yy"),"")</f>
        <v/>
      </c>
    </row>
    <row r="1284">
      <c r="A1284" s="14">
        <f>IF(OR(AH!$U$4=0,1279+1&gt;AH!$U$6,AND(AH!$M$5="Bloomberg",AH!$U$5=0)),"",IFERROR(IF(AND(AH!$U$12=1,1279+1=AH!$U$6),TODAY(),IF(AH!$U$5=1,INDEX('Live History'!$A$5:$A$3004,AH!$U$7+1279),INDEX('AH History'!$A$5:$A$1380,AH!$U$7+1279))),""))</f>
        <v/>
      </c>
      <c r="B1284" s="33">
        <f>IFERROR(IF(AH!$U$11=1,NA(),$J1284/$E1284-1),NA())</f>
        <v/>
      </c>
      <c r="C1284" s="269">
        <f>IFERROR(100*$E1284/$E$5,NA())</f>
        <v/>
      </c>
      <c r="D1284" s="269">
        <f>IFERROR(100*$J1284/$J$5,NA())</f>
        <v/>
      </c>
      <c r="E1284" s="32">
        <f>IFERROR(IF(AND(ISNUMBER($A1284),N(IF(AND(AH!$U$12=1,1279+1=AH!$U$6),IF(AH!$U$4=0,"unavailable",INDEX('Market Data'!$AN$5:$AN$66,AH!$U$4)),IF(AH!$U$5=1,INDEX('Live History'!$B$5:$B$3004,$K1284),INDEX('AH History'!$D$5:$GG$1380,$K1284,AH!$U$10))))&gt;0),IF(AND(AH!$U$12=1,1279+1=AH!$U$6),IF(AH!$U$4=0,"unavailable",INDEX('Market Data'!$AN$5:$AN$66,AH!$U$4)),IF(AH!$U$5=1,INDEX('Live History'!$B$5:$B$3004,$K1284),INDEX('AH History'!$D$5:$GG$1380,$K1284,AH!$U$10))),NA()),NA())</f>
        <v/>
      </c>
      <c r="F1284" s="32">
        <f>IFERROR(IF(ISNUMBER($A1284),IF(AND(AH!$U$12=1,1279+1=AH!$U$6),IF(AH!$U$4=0,"unavailable",INDEX('Market Data'!$AO$5:$AO$66,AH!$U$4)),IF(AH!$U$5=1,INDEX('Live History'!$E$5:$E$3004,MATCH($A1284,'Live History'!$D$5:$D$3004,1)),INDEX('AH History'!$D$5:$GG$1380,$K1284,AH!$U$10+1))),NA()),NA())</f>
        <v/>
      </c>
      <c r="G1284" s="34">
        <f>IFERROR(IF(ISNUMBER($A1284),IF(AND(AH!$U$12=1,1279+1=AH!$U$6),IF(AH!$U$4=0,"unavailable",INDEX('Market Data'!$AK$5:$AK$66,AH!$U$4)),IF(AH!$U$5=1,INDEX('Live History'!$D$5:$D$3004,MATCH($A1284,'Live History'!$D$5:$D$3004,1)),INDEX('AH History'!$D$5:$GG$1380,$K1284,AH!$U$10+2))),NA()),NA())</f>
        <v/>
      </c>
      <c r="H1284" s="266">
        <f>IFERROR(IF(ISNUMBER($A1284),IF(AND(AH!$U$12=1,1279+1=AH!$U$6),IF(AH!$U$4=0,"unavailable",INDEX('Market Data'!$AP$5:$AP$66,AH!$U$4)),IF(AH!$U$5=1,INDEX('Live History'!$H$5:$H$3004,MATCH($A1284,'Live History'!$G$5:$G$3004,1)),INDEX('AH History'!$B$5:$B$1380,$K1284))),NA()),NA())</f>
        <v/>
      </c>
      <c r="I1284" s="34">
        <f>IFERROR(IF(ISNUMBER($A1284),IF(AND(AH!$U$12=1,1279+1=AH!$U$6),TODAY(),IF(AH!$U$5=1,INDEX('Live History'!$G$5:$G$3004,MATCH($A1284,'Live History'!$G$5:$G$3004,1)),INDEX('AH History'!$C$5:$C$1380,$K1284))),NA()),NA())</f>
        <v/>
      </c>
      <c r="J1284" s="32">
        <f>IFERROR(IF(AND($F1284&gt;0,$H1284&gt;0,$A1284-$G1284&lt;=10,$A1284-$I1284&lt;=5,$G1284&gt;0,$I1284&gt;0),$F1284*$H1284,NA()),NA())</f>
        <v/>
      </c>
      <c r="K1284" s="15">
        <f>IF($A1284="","",IF(AH!$U$5=1,IFERROR(MATCH($A1284,'Live History'!$A$5:$A$3004,0),0),AH!$U$7+1279))</f>
        <v/>
      </c>
      <c r="L1284" s="15">
        <f>IF(ISNUMBER(A1284),TEXT(A1284,"dd-mmm-yy"),"")</f>
        <v/>
      </c>
    </row>
    <row r="1285">
      <c r="A1285" s="14">
        <f>IF(OR(AH!$U$4=0,1280+1&gt;AH!$U$6,AND(AH!$M$5="Bloomberg",AH!$U$5=0)),"",IFERROR(IF(AND(AH!$U$12=1,1280+1=AH!$U$6),TODAY(),IF(AH!$U$5=1,INDEX('Live History'!$A$5:$A$3004,AH!$U$7+1280),INDEX('AH History'!$A$5:$A$1380,AH!$U$7+1280))),""))</f>
        <v/>
      </c>
      <c r="B1285" s="33">
        <f>IFERROR(IF(AH!$U$11=1,NA(),$J1285/$E1285-1),NA())</f>
        <v/>
      </c>
      <c r="C1285" s="269">
        <f>IFERROR(100*$E1285/$E$5,NA())</f>
        <v/>
      </c>
      <c r="D1285" s="269">
        <f>IFERROR(100*$J1285/$J$5,NA())</f>
        <v/>
      </c>
      <c r="E1285" s="32">
        <f>IFERROR(IF(AND(ISNUMBER($A1285),N(IF(AND(AH!$U$12=1,1280+1=AH!$U$6),IF(AH!$U$4=0,"unavailable",INDEX('Market Data'!$AN$5:$AN$66,AH!$U$4)),IF(AH!$U$5=1,INDEX('Live History'!$B$5:$B$3004,$K1285),INDEX('AH History'!$D$5:$GG$1380,$K1285,AH!$U$10))))&gt;0),IF(AND(AH!$U$12=1,1280+1=AH!$U$6),IF(AH!$U$4=0,"unavailable",INDEX('Market Data'!$AN$5:$AN$66,AH!$U$4)),IF(AH!$U$5=1,INDEX('Live History'!$B$5:$B$3004,$K1285),INDEX('AH History'!$D$5:$GG$1380,$K1285,AH!$U$10))),NA()),NA())</f>
        <v/>
      </c>
      <c r="F1285" s="32">
        <f>IFERROR(IF(ISNUMBER($A1285),IF(AND(AH!$U$12=1,1280+1=AH!$U$6),IF(AH!$U$4=0,"unavailable",INDEX('Market Data'!$AO$5:$AO$66,AH!$U$4)),IF(AH!$U$5=1,INDEX('Live History'!$E$5:$E$3004,MATCH($A1285,'Live History'!$D$5:$D$3004,1)),INDEX('AH History'!$D$5:$GG$1380,$K1285,AH!$U$10+1))),NA()),NA())</f>
        <v/>
      </c>
      <c r="G1285" s="34">
        <f>IFERROR(IF(ISNUMBER($A1285),IF(AND(AH!$U$12=1,1280+1=AH!$U$6),IF(AH!$U$4=0,"unavailable",INDEX('Market Data'!$AK$5:$AK$66,AH!$U$4)),IF(AH!$U$5=1,INDEX('Live History'!$D$5:$D$3004,MATCH($A1285,'Live History'!$D$5:$D$3004,1)),INDEX('AH History'!$D$5:$GG$1380,$K1285,AH!$U$10+2))),NA()),NA())</f>
        <v/>
      </c>
      <c r="H1285" s="266">
        <f>IFERROR(IF(ISNUMBER($A1285),IF(AND(AH!$U$12=1,1280+1=AH!$U$6),IF(AH!$U$4=0,"unavailable",INDEX('Market Data'!$AP$5:$AP$66,AH!$U$4)),IF(AH!$U$5=1,INDEX('Live History'!$H$5:$H$3004,MATCH($A1285,'Live History'!$G$5:$G$3004,1)),INDEX('AH History'!$B$5:$B$1380,$K1285))),NA()),NA())</f>
        <v/>
      </c>
      <c r="I1285" s="34">
        <f>IFERROR(IF(ISNUMBER($A1285),IF(AND(AH!$U$12=1,1280+1=AH!$U$6),TODAY(),IF(AH!$U$5=1,INDEX('Live History'!$G$5:$G$3004,MATCH($A1285,'Live History'!$G$5:$G$3004,1)),INDEX('AH History'!$C$5:$C$1380,$K1285))),NA()),NA())</f>
        <v/>
      </c>
      <c r="J1285" s="32">
        <f>IFERROR(IF(AND($F1285&gt;0,$H1285&gt;0,$A1285-$G1285&lt;=10,$A1285-$I1285&lt;=5,$G1285&gt;0,$I1285&gt;0),$F1285*$H1285,NA()),NA())</f>
        <v/>
      </c>
      <c r="K1285" s="15">
        <f>IF($A1285="","",IF(AH!$U$5=1,IFERROR(MATCH($A1285,'Live History'!$A$5:$A$3004,0),0),AH!$U$7+1280))</f>
        <v/>
      </c>
      <c r="L1285" s="15">
        <f>IF(ISNUMBER(A1285),TEXT(A1285,"dd-mmm-yy"),"")</f>
        <v/>
      </c>
    </row>
    <row r="1286">
      <c r="A1286" s="14">
        <f>IF(OR(AH!$U$4=0,1281+1&gt;AH!$U$6,AND(AH!$M$5="Bloomberg",AH!$U$5=0)),"",IFERROR(IF(AND(AH!$U$12=1,1281+1=AH!$U$6),TODAY(),IF(AH!$U$5=1,INDEX('Live History'!$A$5:$A$3004,AH!$U$7+1281),INDEX('AH History'!$A$5:$A$1380,AH!$U$7+1281))),""))</f>
        <v/>
      </c>
      <c r="B1286" s="33">
        <f>IFERROR(IF(AH!$U$11=1,NA(),$J1286/$E1286-1),NA())</f>
        <v/>
      </c>
      <c r="C1286" s="269">
        <f>IFERROR(100*$E1286/$E$5,NA())</f>
        <v/>
      </c>
      <c r="D1286" s="269">
        <f>IFERROR(100*$J1286/$J$5,NA())</f>
        <v/>
      </c>
      <c r="E1286" s="32">
        <f>IFERROR(IF(AND(ISNUMBER($A1286),N(IF(AND(AH!$U$12=1,1281+1=AH!$U$6),IF(AH!$U$4=0,"unavailable",INDEX('Market Data'!$AN$5:$AN$66,AH!$U$4)),IF(AH!$U$5=1,INDEX('Live History'!$B$5:$B$3004,$K1286),INDEX('AH History'!$D$5:$GG$1380,$K1286,AH!$U$10))))&gt;0),IF(AND(AH!$U$12=1,1281+1=AH!$U$6),IF(AH!$U$4=0,"unavailable",INDEX('Market Data'!$AN$5:$AN$66,AH!$U$4)),IF(AH!$U$5=1,INDEX('Live History'!$B$5:$B$3004,$K1286),INDEX('AH History'!$D$5:$GG$1380,$K1286,AH!$U$10))),NA()),NA())</f>
        <v/>
      </c>
      <c r="F1286" s="32">
        <f>IFERROR(IF(ISNUMBER($A1286),IF(AND(AH!$U$12=1,1281+1=AH!$U$6),IF(AH!$U$4=0,"unavailable",INDEX('Market Data'!$AO$5:$AO$66,AH!$U$4)),IF(AH!$U$5=1,INDEX('Live History'!$E$5:$E$3004,MATCH($A1286,'Live History'!$D$5:$D$3004,1)),INDEX('AH History'!$D$5:$GG$1380,$K1286,AH!$U$10+1))),NA()),NA())</f>
        <v/>
      </c>
      <c r="G1286" s="34">
        <f>IFERROR(IF(ISNUMBER($A1286),IF(AND(AH!$U$12=1,1281+1=AH!$U$6),IF(AH!$U$4=0,"unavailable",INDEX('Market Data'!$AK$5:$AK$66,AH!$U$4)),IF(AH!$U$5=1,INDEX('Live History'!$D$5:$D$3004,MATCH($A1286,'Live History'!$D$5:$D$3004,1)),INDEX('AH History'!$D$5:$GG$1380,$K1286,AH!$U$10+2))),NA()),NA())</f>
        <v/>
      </c>
      <c r="H1286" s="266">
        <f>IFERROR(IF(ISNUMBER($A1286),IF(AND(AH!$U$12=1,1281+1=AH!$U$6),IF(AH!$U$4=0,"unavailable",INDEX('Market Data'!$AP$5:$AP$66,AH!$U$4)),IF(AH!$U$5=1,INDEX('Live History'!$H$5:$H$3004,MATCH($A1286,'Live History'!$G$5:$G$3004,1)),INDEX('AH History'!$B$5:$B$1380,$K1286))),NA()),NA())</f>
        <v/>
      </c>
      <c r="I1286" s="34">
        <f>IFERROR(IF(ISNUMBER($A1286),IF(AND(AH!$U$12=1,1281+1=AH!$U$6),TODAY(),IF(AH!$U$5=1,INDEX('Live History'!$G$5:$G$3004,MATCH($A1286,'Live History'!$G$5:$G$3004,1)),INDEX('AH History'!$C$5:$C$1380,$K1286))),NA()),NA())</f>
        <v/>
      </c>
      <c r="J1286" s="32">
        <f>IFERROR(IF(AND($F1286&gt;0,$H1286&gt;0,$A1286-$G1286&lt;=10,$A1286-$I1286&lt;=5,$G1286&gt;0,$I1286&gt;0),$F1286*$H1286,NA()),NA())</f>
        <v/>
      </c>
      <c r="K1286" s="15">
        <f>IF($A1286="","",IF(AH!$U$5=1,IFERROR(MATCH($A1286,'Live History'!$A$5:$A$3004,0),0),AH!$U$7+1281))</f>
        <v/>
      </c>
      <c r="L1286" s="15">
        <f>IF(ISNUMBER(A1286),TEXT(A1286,"dd-mmm-yy"),"")</f>
        <v/>
      </c>
    </row>
    <row r="1287">
      <c r="A1287" s="14">
        <f>IF(OR(AH!$U$4=0,1282+1&gt;AH!$U$6,AND(AH!$M$5="Bloomberg",AH!$U$5=0)),"",IFERROR(IF(AND(AH!$U$12=1,1282+1=AH!$U$6),TODAY(),IF(AH!$U$5=1,INDEX('Live History'!$A$5:$A$3004,AH!$U$7+1282),INDEX('AH History'!$A$5:$A$1380,AH!$U$7+1282))),""))</f>
        <v/>
      </c>
      <c r="B1287" s="33">
        <f>IFERROR(IF(AH!$U$11=1,NA(),$J1287/$E1287-1),NA())</f>
        <v/>
      </c>
      <c r="C1287" s="269">
        <f>IFERROR(100*$E1287/$E$5,NA())</f>
        <v/>
      </c>
      <c r="D1287" s="269">
        <f>IFERROR(100*$J1287/$J$5,NA())</f>
        <v/>
      </c>
      <c r="E1287" s="32">
        <f>IFERROR(IF(AND(ISNUMBER($A1287),N(IF(AND(AH!$U$12=1,1282+1=AH!$U$6),IF(AH!$U$4=0,"unavailable",INDEX('Market Data'!$AN$5:$AN$66,AH!$U$4)),IF(AH!$U$5=1,INDEX('Live History'!$B$5:$B$3004,$K1287),INDEX('AH History'!$D$5:$GG$1380,$K1287,AH!$U$10))))&gt;0),IF(AND(AH!$U$12=1,1282+1=AH!$U$6),IF(AH!$U$4=0,"unavailable",INDEX('Market Data'!$AN$5:$AN$66,AH!$U$4)),IF(AH!$U$5=1,INDEX('Live History'!$B$5:$B$3004,$K1287),INDEX('AH History'!$D$5:$GG$1380,$K1287,AH!$U$10))),NA()),NA())</f>
        <v/>
      </c>
      <c r="F1287" s="32">
        <f>IFERROR(IF(ISNUMBER($A1287),IF(AND(AH!$U$12=1,1282+1=AH!$U$6),IF(AH!$U$4=0,"unavailable",INDEX('Market Data'!$AO$5:$AO$66,AH!$U$4)),IF(AH!$U$5=1,INDEX('Live History'!$E$5:$E$3004,MATCH($A1287,'Live History'!$D$5:$D$3004,1)),INDEX('AH History'!$D$5:$GG$1380,$K1287,AH!$U$10+1))),NA()),NA())</f>
        <v/>
      </c>
      <c r="G1287" s="34">
        <f>IFERROR(IF(ISNUMBER($A1287),IF(AND(AH!$U$12=1,1282+1=AH!$U$6),IF(AH!$U$4=0,"unavailable",INDEX('Market Data'!$AK$5:$AK$66,AH!$U$4)),IF(AH!$U$5=1,INDEX('Live History'!$D$5:$D$3004,MATCH($A1287,'Live History'!$D$5:$D$3004,1)),INDEX('AH History'!$D$5:$GG$1380,$K1287,AH!$U$10+2))),NA()),NA())</f>
        <v/>
      </c>
      <c r="H1287" s="266">
        <f>IFERROR(IF(ISNUMBER($A1287),IF(AND(AH!$U$12=1,1282+1=AH!$U$6),IF(AH!$U$4=0,"unavailable",INDEX('Market Data'!$AP$5:$AP$66,AH!$U$4)),IF(AH!$U$5=1,INDEX('Live History'!$H$5:$H$3004,MATCH($A1287,'Live History'!$G$5:$G$3004,1)),INDEX('AH History'!$B$5:$B$1380,$K1287))),NA()),NA())</f>
        <v/>
      </c>
      <c r="I1287" s="34">
        <f>IFERROR(IF(ISNUMBER($A1287),IF(AND(AH!$U$12=1,1282+1=AH!$U$6),TODAY(),IF(AH!$U$5=1,INDEX('Live History'!$G$5:$G$3004,MATCH($A1287,'Live History'!$G$5:$G$3004,1)),INDEX('AH History'!$C$5:$C$1380,$K1287))),NA()),NA())</f>
        <v/>
      </c>
      <c r="J1287" s="32">
        <f>IFERROR(IF(AND($F1287&gt;0,$H1287&gt;0,$A1287-$G1287&lt;=10,$A1287-$I1287&lt;=5,$G1287&gt;0,$I1287&gt;0),$F1287*$H1287,NA()),NA())</f>
        <v/>
      </c>
      <c r="K1287" s="15">
        <f>IF($A1287="","",IF(AH!$U$5=1,IFERROR(MATCH($A1287,'Live History'!$A$5:$A$3004,0),0),AH!$U$7+1282))</f>
        <v/>
      </c>
      <c r="L1287" s="15">
        <f>IF(ISNUMBER(A1287),TEXT(A1287,"dd-mmm-yy"),"")</f>
        <v/>
      </c>
    </row>
    <row r="1288">
      <c r="A1288" s="14">
        <f>IF(OR(AH!$U$4=0,1283+1&gt;AH!$U$6,AND(AH!$M$5="Bloomberg",AH!$U$5=0)),"",IFERROR(IF(AND(AH!$U$12=1,1283+1=AH!$U$6),TODAY(),IF(AH!$U$5=1,INDEX('Live History'!$A$5:$A$3004,AH!$U$7+1283),INDEX('AH History'!$A$5:$A$1380,AH!$U$7+1283))),""))</f>
        <v/>
      </c>
      <c r="B1288" s="33">
        <f>IFERROR(IF(AH!$U$11=1,NA(),$J1288/$E1288-1),NA())</f>
        <v/>
      </c>
      <c r="C1288" s="269">
        <f>IFERROR(100*$E1288/$E$5,NA())</f>
        <v/>
      </c>
      <c r="D1288" s="269">
        <f>IFERROR(100*$J1288/$J$5,NA())</f>
        <v/>
      </c>
      <c r="E1288" s="32">
        <f>IFERROR(IF(AND(ISNUMBER($A1288),N(IF(AND(AH!$U$12=1,1283+1=AH!$U$6),IF(AH!$U$4=0,"unavailable",INDEX('Market Data'!$AN$5:$AN$66,AH!$U$4)),IF(AH!$U$5=1,INDEX('Live History'!$B$5:$B$3004,$K1288),INDEX('AH History'!$D$5:$GG$1380,$K1288,AH!$U$10))))&gt;0),IF(AND(AH!$U$12=1,1283+1=AH!$U$6),IF(AH!$U$4=0,"unavailable",INDEX('Market Data'!$AN$5:$AN$66,AH!$U$4)),IF(AH!$U$5=1,INDEX('Live History'!$B$5:$B$3004,$K1288),INDEX('AH History'!$D$5:$GG$1380,$K1288,AH!$U$10))),NA()),NA())</f>
        <v/>
      </c>
      <c r="F1288" s="32">
        <f>IFERROR(IF(ISNUMBER($A1288),IF(AND(AH!$U$12=1,1283+1=AH!$U$6),IF(AH!$U$4=0,"unavailable",INDEX('Market Data'!$AO$5:$AO$66,AH!$U$4)),IF(AH!$U$5=1,INDEX('Live History'!$E$5:$E$3004,MATCH($A1288,'Live History'!$D$5:$D$3004,1)),INDEX('AH History'!$D$5:$GG$1380,$K1288,AH!$U$10+1))),NA()),NA())</f>
        <v/>
      </c>
      <c r="G1288" s="34">
        <f>IFERROR(IF(ISNUMBER($A1288),IF(AND(AH!$U$12=1,1283+1=AH!$U$6),IF(AH!$U$4=0,"unavailable",INDEX('Market Data'!$AK$5:$AK$66,AH!$U$4)),IF(AH!$U$5=1,INDEX('Live History'!$D$5:$D$3004,MATCH($A1288,'Live History'!$D$5:$D$3004,1)),INDEX('AH History'!$D$5:$GG$1380,$K1288,AH!$U$10+2))),NA()),NA())</f>
        <v/>
      </c>
      <c r="H1288" s="266">
        <f>IFERROR(IF(ISNUMBER($A1288),IF(AND(AH!$U$12=1,1283+1=AH!$U$6),IF(AH!$U$4=0,"unavailable",INDEX('Market Data'!$AP$5:$AP$66,AH!$U$4)),IF(AH!$U$5=1,INDEX('Live History'!$H$5:$H$3004,MATCH($A1288,'Live History'!$G$5:$G$3004,1)),INDEX('AH History'!$B$5:$B$1380,$K1288))),NA()),NA())</f>
        <v/>
      </c>
      <c r="I1288" s="34">
        <f>IFERROR(IF(ISNUMBER($A1288),IF(AND(AH!$U$12=1,1283+1=AH!$U$6),TODAY(),IF(AH!$U$5=1,INDEX('Live History'!$G$5:$G$3004,MATCH($A1288,'Live History'!$G$5:$G$3004,1)),INDEX('AH History'!$C$5:$C$1380,$K1288))),NA()),NA())</f>
        <v/>
      </c>
      <c r="J1288" s="32">
        <f>IFERROR(IF(AND($F1288&gt;0,$H1288&gt;0,$A1288-$G1288&lt;=10,$A1288-$I1288&lt;=5,$G1288&gt;0,$I1288&gt;0),$F1288*$H1288,NA()),NA())</f>
        <v/>
      </c>
      <c r="K1288" s="15">
        <f>IF($A1288="","",IF(AH!$U$5=1,IFERROR(MATCH($A1288,'Live History'!$A$5:$A$3004,0),0),AH!$U$7+1283))</f>
        <v/>
      </c>
      <c r="L1288" s="15">
        <f>IF(ISNUMBER(A1288),TEXT(A1288,"dd-mmm-yy"),"")</f>
        <v/>
      </c>
    </row>
    <row r="1289">
      <c r="A1289" s="14">
        <f>IF(OR(AH!$U$4=0,1284+1&gt;AH!$U$6,AND(AH!$M$5="Bloomberg",AH!$U$5=0)),"",IFERROR(IF(AND(AH!$U$12=1,1284+1=AH!$U$6),TODAY(),IF(AH!$U$5=1,INDEX('Live History'!$A$5:$A$3004,AH!$U$7+1284),INDEX('AH History'!$A$5:$A$1380,AH!$U$7+1284))),""))</f>
        <v/>
      </c>
      <c r="B1289" s="33">
        <f>IFERROR(IF(AH!$U$11=1,NA(),$J1289/$E1289-1),NA())</f>
        <v/>
      </c>
      <c r="C1289" s="269">
        <f>IFERROR(100*$E1289/$E$5,NA())</f>
        <v/>
      </c>
      <c r="D1289" s="269">
        <f>IFERROR(100*$J1289/$J$5,NA())</f>
        <v/>
      </c>
      <c r="E1289" s="32">
        <f>IFERROR(IF(AND(ISNUMBER($A1289),N(IF(AND(AH!$U$12=1,1284+1=AH!$U$6),IF(AH!$U$4=0,"unavailable",INDEX('Market Data'!$AN$5:$AN$66,AH!$U$4)),IF(AH!$U$5=1,INDEX('Live History'!$B$5:$B$3004,$K1289),INDEX('AH History'!$D$5:$GG$1380,$K1289,AH!$U$10))))&gt;0),IF(AND(AH!$U$12=1,1284+1=AH!$U$6),IF(AH!$U$4=0,"unavailable",INDEX('Market Data'!$AN$5:$AN$66,AH!$U$4)),IF(AH!$U$5=1,INDEX('Live History'!$B$5:$B$3004,$K1289),INDEX('AH History'!$D$5:$GG$1380,$K1289,AH!$U$10))),NA()),NA())</f>
        <v/>
      </c>
      <c r="F1289" s="32">
        <f>IFERROR(IF(ISNUMBER($A1289),IF(AND(AH!$U$12=1,1284+1=AH!$U$6),IF(AH!$U$4=0,"unavailable",INDEX('Market Data'!$AO$5:$AO$66,AH!$U$4)),IF(AH!$U$5=1,INDEX('Live History'!$E$5:$E$3004,MATCH($A1289,'Live History'!$D$5:$D$3004,1)),INDEX('AH History'!$D$5:$GG$1380,$K1289,AH!$U$10+1))),NA()),NA())</f>
        <v/>
      </c>
      <c r="G1289" s="34">
        <f>IFERROR(IF(ISNUMBER($A1289),IF(AND(AH!$U$12=1,1284+1=AH!$U$6),IF(AH!$U$4=0,"unavailable",INDEX('Market Data'!$AK$5:$AK$66,AH!$U$4)),IF(AH!$U$5=1,INDEX('Live History'!$D$5:$D$3004,MATCH($A1289,'Live History'!$D$5:$D$3004,1)),INDEX('AH History'!$D$5:$GG$1380,$K1289,AH!$U$10+2))),NA()),NA())</f>
        <v/>
      </c>
      <c r="H1289" s="266">
        <f>IFERROR(IF(ISNUMBER($A1289),IF(AND(AH!$U$12=1,1284+1=AH!$U$6),IF(AH!$U$4=0,"unavailable",INDEX('Market Data'!$AP$5:$AP$66,AH!$U$4)),IF(AH!$U$5=1,INDEX('Live History'!$H$5:$H$3004,MATCH($A1289,'Live History'!$G$5:$G$3004,1)),INDEX('AH History'!$B$5:$B$1380,$K1289))),NA()),NA())</f>
        <v/>
      </c>
      <c r="I1289" s="34">
        <f>IFERROR(IF(ISNUMBER($A1289),IF(AND(AH!$U$12=1,1284+1=AH!$U$6),TODAY(),IF(AH!$U$5=1,INDEX('Live History'!$G$5:$G$3004,MATCH($A1289,'Live History'!$G$5:$G$3004,1)),INDEX('AH History'!$C$5:$C$1380,$K1289))),NA()),NA())</f>
        <v/>
      </c>
      <c r="J1289" s="32">
        <f>IFERROR(IF(AND($F1289&gt;0,$H1289&gt;0,$A1289-$G1289&lt;=10,$A1289-$I1289&lt;=5,$G1289&gt;0,$I1289&gt;0),$F1289*$H1289,NA()),NA())</f>
        <v/>
      </c>
      <c r="K1289" s="15">
        <f>IF($A1289="","",IF(AH!$U$5=1,IFERROR(MATCH($A1289,'Live History'!$A$5:$A$3004,0),0),AH!$U$7+1284))</f>
        <v/>
      </c>
      <c r="L1289" s="15">
        <f>IF(ISNUMBER(A1289),TEXT(A1289,"dd-mmm-yy"),"")</f>
        <v/>
      </c>
    </row>
    <row r="1290">
      <c r="A1290" s="14">
        <f>IF(OR(AH!$U$4=0,1285+1&gt;AH!$U$6,AND(AH!$M$5="Bloomberg",AH!$U$5=0)),"",IFERROR(IF(AND(AH!$U$12=1,1285+1=AH!$U$6),TODAY(),IF(AH!$U$5=1,INDEX('Live History'!$A$5:$A$3004,AH!$U$7+1285),INDEX('AH History'!$A$5:$A$1380,AH!$U$7+1285))),""))</f>
        <v/>
      </c>
      <c r="B1290" s="33">
        <f>IFERROR(IF(AH!$U$11=1,NA(),$J1290/$E1290-1),NA())</f>
        <v/>
      </c>
      <c r="C1290" s="269">
        <f>IFERROR(100*$E1290/$E$5,NA())</f>
        <v/>
      </c>
      <c r="D1290" s="269">
        <f>IFERROR(100*$J1290/$J$5,NA())</f>
        <v/>
      </c>
      <c r="E1290" s="32">
        <f>IFERROR(IF(AND(ISNUMBER($A1290),N(IF(AND(AH!$U$12=1,1285+1=AH!$U$6),IF(AH!$U$4=0,"unavailable",INDEX('Market Data'!$AN$5:$AN$66,AH!$U$4)),IF(AH!$U$5=1,INDEX('Live History'!$B$5:$B$3004,$K1290),INDEX('AH History'!$D$5:$GG$1380,$K1290,AH!$U$10))))&gt;0),IF(AND(AH!$U$12=1,1285+1=AH!$U$6),IF(AH!$U$4=0,"unavailable",INDEX('Market Data'!$AN$5:$AN$66,AH!$U$4)),IF(AH!$U$5=1,INDEX('Live History'!$B$5:$B$3004,$K1290),INDEX('AH History'!$D$5:$GG$1380,$K1290,AH!$U$10))),NA()),NA())</f>
        <v/>
      </c>
      <c r="F1290" s="32">
        <f>IFERROR(IF(ISNUMBER($A1290),IF(AND(AH!$U$12=1,1285+1=AH!$U$6),IF(AH!$U$4=0,"unavailable",INDEX('Market Data'!$AO$5:$AO$66,AH!$U$4)),IF(AH!$U$5=1,INDEX('Live History'!$E$5:$E$3004,MATCH($A1290,'Live History'!$D$5:$D$3004,1)),INDEX('AH History'!$D$5:$GG$1380,$K1290,AH!$U$10+1))),NA()),NA())</f>
        <v/>
      </c>
      <c r="G1290" s="34">
        <f>IFERROR(IF(ISNUMBER($A1290),IF(AND(AH!$U$12=1,1285+1=AH!$U$6),IF(AH!$U$4=0,"unavailable",INDEX('Market Data'!$AK$5:$AK$66,AH!$U$4)),IF(AH!$U$5=1,INDEX('Live History'!$D$5:$D$3004,MATCH($A1290,'Live History'!$D$5:$D$3004,1)),INDEX('AH History'!$D$5:$GG$1380,$K1290,AH!$U$10+2))),NA()),NA())</f>
        <v/>
      </c>
      <c r="H1290" s="266">
        <f>IFERROR(IF(ISNUMBER($A1290),IF(AND(AH!$U$12=1,1285+1=AH!$U$6),IF(AH!$U$4=0,"unavailable",INDEX('Market Data'!$AP$5:$AP$66,AH!$U$4)),IF(AH!$U$5=1,INDEX('Live History'!$H$5:$H$3004,MATCH($A1290,'Live History'!$G$5:$G$3004,1)),INDEX('AH History'!$B$5:$B$1380,$K1290))),NA()),NA())</f>
        <v/>
      </c>
      <c r="I1290" s="34">
        <f>IFERROR(IF(ISNUMBER($A1290),IF(AND(AH!$U$12=1,1285+1=AH!$U$6),TODAY(),IF(AH!$U$5=1,INDEX('Live History'!$G$5:$G$3004,MATCH($A1290,'Live History'!$G$5:$G$3004,1)),INDEX('AH History'!$C$5:$C$1380,$K1290))),NA()),NA())</f>
        <v/>
      </c>
      <c r="J1290" s="32">
        <f>IFERROR(IF(AND($F1290&gt;0,$H1290&gt;0,$A1290-$G1290&lt;=10,$A1290-$I1290&lt;=5,$G1290&gt;0,$I1290&gt;0),$F1290*$H1290,NA()),NA())</f>
        <v/>
      </c>
      <c r="K1290" s="15">
        <f>IF($A1290="","",IF(AH!$U$5=1,IFERROR(MATCH($A1290,'Live History'!$A$5:$A$3004,0),0),AH!$U$7+1285))</f>
        <v/>
      </c>
      <c r="L1290" s="15">
        <f>IF(ISNUMBER(A1290),TEXT(A1290,"dd-mmm-yy"),"")</f>
        <v/>
      </c>
    </row>
    <row r="1291">
      <c r="A1291" s="14">
        <f>IF(OR(AH!$U$4=0,1286+1&gt;AH!$U$6,AND(AH!$M$5="Bloomberg",AH!$U$5=0)),"",IFERROR(IF(AND(AH!$U$12=1,1286+1=AH!$U$6),TODAY(),IF(AH!$U$5=1,INDEX('Live History'!$A$5:$A$3004,AH!$U$7+1286),INDEX('AH History'!$A$5:$A$1380,AH!$U$7+1286))),""))</f>
        <v/>
      </c>
      <c r="B1291" s="33">
        <f>IFERROR(IF(AH!$U$11=1,NA(),$J1291/$E1291-1),NA())</f>
        <v/>
      </c>
      <c r="C1291" s="269">
        <f>IFERROR(100*$E1291/$E$5,NA())</f>
        <v/>
      </c>
      <c r="D1291" s="269">
        <f>IFERROR(100*$J1291/$J$5,NA())</f>
        <v/>
      </c>
      <c r="E1291" s="32">
        <f>IFERROR(IF(AND(ISNUMBER($A1291),N(IF(AND(AH!$U$12=1,1286+1=AH!$U$6),IF(AH!$U$4=0,"unavailable",INDEX('Market Data'!$AN$5:$AN$66,AH!$U$4)),IF(AH!$U$5=1,INDEX('Live History'!$B$5:$B$3004,$K1291),INDEX('AH History'!$D$5:$GG$1380,$K1291,AH!$U$10))))&gt;0),IF(AND(AH!$U$12=1,1286+1=AH!$U$6),IF(AH!$U$4=0,"unavailable",INDEX('Market Data'!$AN$5:$AN$66,AH!$U$4)),IF(AH!$U$5=1,INDEX('Live History'!$B$5:$B$3004,$K1291),INDEX('AH History'!$D$5:$GG$1380,$K1291,AH!$U$10))),NA()),NA())</f>
        <v/>
      </c>
      <c r="F1291" s="32">
        <f>IFERROR(IF(ISNUMBER($A1291),IF(AND(AH!$U$12=1,1286+1=AH!$U$6),IF(AH!$U$4=0,"unavailable",INDEX('Market Data'!$AO$5:$AO$66,AH!$U$4)),IF(AH!$U$5=1,INDEX('Live History'!$E$5:$E$3004,MATCH($A1291,'Live History'!$D$5:$D$3004,1)),INDEX('AH History'!$D$5:$GG$1380,$K1291,AH!$U$10+1))),NA()),NA())</f>
        <v/>
      </c>
      <c r="G1291" s="34">
        <f>IFERROR(IF(ISNUMBER($A1291),IF(AND(AH!$U$12=1,1286+1=AH!$U$6),IF(AH!$U$4=0,"unavailable",INDEX('Market Data'!$AK$5:$AK$66,AH!$U$4)),IF(AH!$U$5=1,INDEX('Live History'!$D$5:$D$3004,MATCH($A1291,'Live History'!$D$5:$D$3004,1)),INDEX('AH History'!$D$5:$GG$1380,$K1291,AH!$U$10+2))),NA()),NA())</f>
        <v/>
      </c>
      <c r="H1291" s="266">
        <f>IFERROR(IF(ISNUMBER($A1291),IF(AND(AH!$U$12=1,1286+1=AH!$U$6),IF(AH!$U$4=0,"unavailable",INDEX('Market Data'!$AP$5:$AP$66,AH!$U$4)),IF(AH!$U$5=1,INDEX('Live History'!$H$5:$H$3004,MATCH($A1291,'Live History'!$G$5:$G$3004,1)),INDEX('AH History'!$B$5:$B$1380,$K1291))),NA()),NA())</f>
        <v/>
      </c>
      <c r="I1291" s="34">
        <f>IFERROR(IF(ISNUMBER($A1291),IF(AND(AH!$U$12=1,1286+1=AH!$U$6),TODAY(),IF(AH!$U$5=1,INDEX('Live History'!$G$5:$G$3004,MATCH($A1291,'Live History'!$G$5:$G$3004,1)),INDEX('AH History'!$C$5:$C$1380,$K1291))),NA()),NA())</f>
        <v/>
      </c>
      <c r="J1291" s="32">
        <f>IFERROR(IF(AND($F1291&gt;0,$H1291&gt;0,$A1291-$G1291&lt;=10,$A1291-$I1291&lt;=5,$G1291&gt;0,$I1291&gt;0),$F1291*$H1291,NA()),NA())</f>
        <v/>
      </c>
      <c r="K1291" s="15">
        <f>IF($A1291="","",IF(AH!$U$5=1,IFERROR(MATCH($A1291,'Live History'!$A$5:$A$3004,0),0),AH!$U$7+1286))</f>
        <v/>
      </c>
      <c r="L1291" s="15">
        <f>IF(ISNUMBER(A1291),TEXT(A1291,"dd-mmm-yy"),"")</f>
        <v/>
      </c>
    </row>
    <row r="1292">
      <c r="A1292" s="14">
        <f>IF(OR(AH!$U$4=0,1287+1&gt;AH!$U$6,AND(AH!$M$5="Bloomberg",AH!$U$5=0)),"",IFERROR(IF(AND(AH!$U$12=1,1287+1=AH!$U$6),TODAY(),IF(AH!$U$5=1,INDEX('Live History'!$A$5:$A$3004,AH!$U$7+1287),INDEX('AH History'!$A$5:$A$1380,AH!$U$7+1287))),""))</f>
        <v/>
      </c>
      <c r="B1292" s="33">
        <f>IFERROR(IF(AH!$U$11=1,NA(),$J1292/$E1292-1),NA())</f>
        <v/>
      </c>
      <c r="C1292" s="269">
        <f>IFERROR(100*$E1292/$E$5,NA())</f>
        <v/>
      </c>
      <c r="D1292" s="269">
        <f>IFERROR(100*$J1292/$J$5,NA())</f>
        <v/>
      </c>
      <c r="E1292" s="32">
        <f>IFERROR(IF(AND(ISNUMBER($A1292),N(IF(AND(AH!$U$12=1,1287+1=AH!$U$6),IF(AH!$U$4=0,"unavailable",INDEX('Market Data'!$AN$5:$AN$66,AH!$U$4)),IF(AH!$U$5=1,INDEX('Live History'!$B$5:$B$3004,$K1292),INDEX('AH History'!$D$5:$GG$1380,$K1292,AH!$U$10))))&gt;0),IF(AND(AH!$U$12=1,1287+1=AH!$U$6),IF(AH!$U$4=0,"unavailable",INDEX('Market Data'!$AN$5:$AN$66,AH!$U$4)),IF(AH!$U$5=1,INDEX('Live History'!$B$5:$B$3004,$K1292),INDEX('AH History'!$D$5:$GG$1380,$K1292,AH!$U$10))),NA()),NA())</f>
        <v/>
      </c>
      <c r="F1292" s="32">
        <f>IFERROR(IF(ISNUMBER($A1292),IF(AND(AH!$U$12=1,1287+1=AH!$U$6),IF(AH!$U$4=0,"unavailable",INDEX('Market Data'!$AO$5:$AO$66,AH!$U$4)),IF(AH!$U$5=1,INDEX('Live History'!$E$5:$E$3004,MATCH($A1292,'Live History'!$D$5:$D$3004,1)),INDEX('AH History'!$D$5:$GG$1380,$K1292,AH!$U$10+1))),NA()),NA())</f>
        <v/>
      </c>
      <c r="G1292" s="34">
        <f>IFERROR(IF(ISNUMBER($A1292),IF(AND(AH!$U$12=1,1287+1=AH!$U$6),IF(AH!$U$4=0,"unavailable",INDEX('Market Data'!$AK$5:$AK$66,AH!$U$4)),IF(AH!$U$5=1,INDEX('Live History'!$D$5:$D$3004,MATCH($A1292,'Live History'!$D$5:$D$3004,1)),INDEX('AH History'!$D$5:$GG$1380,$K1292,AH!$U$10+2))),NA()),NA())</f>
        <v/>
      </c>
      <c r="H1292" s="266">
        <f>IFERROR(IF(ISNUMBER($A1292),IF(AND(AH!$U$12=1,1287+1=AH!$U$6),IF(AH!$U$4=0,"unavailable",INDEX('Market Data'!$AP$5:$AP$66,AH!$U$4)),IF(AH!$U$5=1,INDEX('Live History'!$H$5:$H$3004,MATCH($A1292,'Live History'!$G$5:$G$3004,1)),INDEX('AH History'!$B$5:$B$1380,$K1292))),NA()),NA())</f>
        <v/>
      </c>
      <c r="I1292" s="34">
        <f>IFERROR(IF(ISNUMBER($A1292),IF(AND(AH!$U$12=1,1287+1=AH!$U$6),TODAY(),IF(AH!$U$5=1,INDEX('Live History'!$G$5:$G$3004,MATCH($A1292,'Live History'!$G$5:$G$3004,1)),INDEX('AH History'!$C$5:$C$1380,$K1292))),NA()),NA())</f>
        <v/>
      </c>
      <c r="J1292" s="32">
        <f>IFERROR(IF(AND($F1292&gt;0,$H1292&gt;0,$A1292-$G1292&lt;=10,$A1292-$I1292&lt;=5,$G1292&gt;0,$I1292&gt;0),$F1292*$H1292,NA()),NA())</f>
        <v/>
      </c>
      <c r="K1292" s="15">
        <f>IF($A1292="","",IF(AH!$U$5=1,IFERROR(MATCH($A1292,'Live History'!$A$5:$A$3004,0),0),AH!$U$7+1287))</f>
        <v/>
      </c>
      <c r="L1292" s="15">
        <f>IF(ISNUMBER(A1292),TEXT(A1292,"dd-mmm-yy"),"")</f>
        <v/>
      </c>
    </row>
    <row r="1293">
      <c r="A1293" s="14">
        <f>IF(OR(AH!$U$4=0,1288+1&gt;AH!$U$6,AND(AH!$M$5="Bloomberg",AH!$U$5=0)),"",IFERROR(IF(AND(AH!$U$12=1,1288+1=AH!$U$6),TODAY(),IF(AH!$U$5=1,INDEX('Live History'!$A$5:$A$3004,AH!$U$7+1288),INDEX('AH History'!$A$5:$A$1380,AH!$U$7+1288))),""))</f>
        <v/>
      </c>
      <c r="B1293" s="33">
        <f>IFERROR(IF(AH!$U$11=1,NA(),$J1293/$E1293-1),NA())</f>
        <v/>
      </c>
      <c r="C1293" s="269">
        <f>IFERROR(100*$E1293/$E$5,NA())</f>
        <v/>
      </c>
      <c r="D1293" s="269">
        <f>IFERROR(100*$J1293/$J$5,NA())</f>
        <v/>
      </c>
      <c r="E1293" s="32">
        <f>IFERROR(IF(AND(ISNUMBER($A1293),N(IF(AND(AH!$U$12=1,1288+1=AH!$U$6),IF(AH!$U$4=0,"unavailable",INDEX('Market Data'!$AN$5:$AN$66,AH!$U$4)),IF(AH!$U$5=1,INDEX('Live History'!$B$5:$B$3004,$K1293),INDEX('AH History'!$D$5:$GG$1380,$K1293,AH!$U$10))))&gt;0),IF(AND(AH!$U$12=1,1288+1=AH!$U$6),IF(AH!$U$4=0,"unavailable",INDEX('Market Data'!$AN$5:$AN$66,AH!$U$4)),IF(AH!$U$5=1,INDEX('Live History'!$B$5:$B$3004,$K1293),INDEX('AH History'!$D$5:$GG$1380,$K1293,AH!$U$10))),NA()),NA())</f>
        <v/>
      </c>
      <c r="F1293" s="32">
        <f>IFERROR(IF(ISNUMBER($A1293),IF(AND(AH!$U$12=1,1288+1=AH!$U$6),IF(AH!$U$4=0,"unavailable",INDEX('Market Data'!$AO$5:$AO$66,AH!$U$4)),IF(AH!$U$5=1,INDEX('Live History'!$E$5:$E$3004,MATCH($A1293,'Live History'!$D$5:$D$3004,1)),INDEX('AH History'!$D$5:$GG$1380,$K1293,AH!$U$10+1))),NA()),NA())</f>
        <v/>
      </c>
      <c r="G1293" s="34">
        <f>IFERROR(IF(ISNUMBER($A1293),IF(AND(AH!$U$12=1,1288+1=AH!$U$6),IF(AH!$U$4=0,"unavailable",INDEX('Market Data'!$AK$5:$AK$66,AH!$U$4)),IF(AH!$U$5=1,INDEX('Live History'!$D$5:$D$3004,MATCH($A1293,'Live History'!$D$5:$D$3004,1)),INDEX('AH History'!$D$5:$GG$1380,$K1293,AH!$U$10+2))),NA()),NA())</f>
        <v/>
      </c>
      <c r="H1293" s="266">
        <f>IFERROR(IF(ISNUMBER($A1293),IF(AND(AH!$U$12=1,1288+1=AH!$U$6),IF(AH!$U$4=0,"unavailable",INDEX('Market Data'!$AP$5:$AP$66,AH!$U$4)),IF(AH!$U$5=1,INDEX('Live History'!$H$5:$H$3004,MATCH($A1293,'Live History'!$G$5:$G$3004,1)),INDEX('AH History'!$B$5:$B$1380,$K1293))),NA()),NA())</f>
        <v/>
      </c>
      <c r="I1293" s="34">
        <f>IFERROR(IF(ISNUMBER($A1293),IF(AND(AH!$U$12=1,1288+1=AH!$U$6),TODAY(),IF(AH!$U$5=1,INDEX('Live History'!$G$5:$G$3004,MATCH($A1293,'Live History'!$G$5:$G$3004,1)),INDEX('AH History'!$C$5:$C$1380,$K1293))),NA()),NA())</f>
        <v/>
      </c>
      <c r="J1293" s="32">
        <f>IFERROR(IF(AND($F1293&gt;0,$H1293&gt;0,$A1293-$G1293&lt;=10,$A1293-$I1293&lt;=5,$G1293&gt;0,$I1293&gt;0),$F1293*$H1293,NA()),NA())</f>
        <v/>
      </c>
      <c r="K1293" s="15">
        <f>IF($A1293="","",IF(AH!$U$5=1,IFERROR(MATCH($A1293,'Live History'!$A$5:$A$3004,0),0),AH!$U$7+1288))</f>
        <v/>
      </c>
      <c r="L1293" s="15">
        <f>IF(ISNUMBER(A1293),TEXT(A1293,"dd-mmm-yy"),"")</f>
        <v/>
      </c>
    </row>
    <row r="1294">
      <c r="A1294" s="14">
        <f>IF(OR(AH!$U$4=0,1289+1&gt;AH!$U$6,AND(AH!$M$5="Bloomberg",AH!$U$5=0)),"",IFERROR(IF(AND(AH!$U$12=1,1289+1=AH!$U$6),TODAY(),IF(AH!$U$5=1,INDEX('Live History'!$A$5:$A$3004,AH!$U$7+1289),INDEX('AH History'!$A$5:$A$1380,AH!$U$7+1289))),""))</f>
        <v/>
      </c>
      <c r="B1294" s="33">
        <f>IFERROR(IF(AH!$U$11=1,NA(),$J1294/$E1294-1),NA())</f>
        <v/>
      </c>
      <c r="C1294" s="269">
        <f>IFERROR(100*$E1294/$E$5,NA())</f>
        <v/>
      </c>
      <c r="D1294" s="269">
        <f>IFERROR(100*$J1294/$J$5,NA())</f>
        <v/>
      </c>
      <c r="E1294" s="32">
        <f>IFERROR(IF(AND(ISNUMBER($A1294),N(IF(AND(AH!$U$12=1,1289+1=AH!$U$6),IF(AH!$U$4=0,"unavailable",INDEX('Market Data'!$AN$5:$AN$66,AH!$U$4)),IF(AH!$U$5=1,INDEX('Live History'!$B$5:$B$3004,$K1294),INDEX('AH History'!$D$5:$GG$1380,$K1294,AH!$U$10))))&gt;0),IF(AND(AH!$U$12=1,1289+1=AH!$U$6),IF(AH!$U$4=0,"unavailable",INDEX('Market Data'!$AN$5:$AN$66,AH!$U$4)),IF(AH!$U$5=1,INDEX('Live History'!$B$5:$B$3004,$K1294),INDEX('AH History'!$D$5:$GG$1380,$K1294,AH!$U$10))),NA()),NA())</f>
        <v/>
      </c>
      <c r="F1294" s="32">
        <f>IFERROR(IF(ISNUMBER($A1294),IF(AND(AH!$U$12=1,1289+1=AH!$U$6),IF(AH!$U$4=0,"unavailable",INDEX('Market Data'!$AO$5:$AO$66,AH!$U$4)),IF(AH!$U$5=1,INDEX('Live History'!$E$5:$E$3004,MATCH($A1294,'Live History'!$D$5:$D$3004,1)),INDEX('AH History'!$D$5:$GG$1380,$K1294,AH!$U$10+1))),NA()),NA())</f>
        <v/>
      </c>
      <c r="G1294" s="34">
        <f>IFERROR(IF(ISNUMBER($A1294),IF(AND(AH!$U$12=1,1289+1=AH!$U$6),IF(AH!$U$4=0,"unavailable",INDEX('Market Data'!$AK$5:$AK$66,AH!$U$4)),IF(AH!$U$5=1,INDEX('Live History'!$D$5:$D$3004,MATCH($A1294,'Live History'!$D$5:$D$3004,1)),INDEX('AH History'!$D$5:$GG$1380,$K1294,AH!$U$10+2))),NA()),NA())</f>
        <v/>
      </c>
      <c r="H1294" s="266">
        <f>IFERROR(IF(ISNUMBER($A1294),IF(AND(AH!$U$12=1,1289+1=AH!$U$6),IF(AH!$U$4=0,"unavailable",INDEX('Market Data'!$AP$5:$AP$66,AH!$U$4)),IF(AH!$U$5=1,INDEX('Live History'!$H$5:$H$3004,MATCH($A1294,'Live History'!$G$5:$G$3004,1)),INDEX('AH History'!$B$5:$B$1380,$K1294))),NA()),NA())</f>
        <v/>
      </c>
      <c r="I1294" s="34">
        <f>IFERROR(IF(ISNUMBER($A1294),IF(AND(AH!$U$12=1,1289+1=AH!$U$6),TODAY(),IF(AH!$U$5=1,INDEX('Live History'!$G$5:$G$3004,MATCH($A1294,'Live History'!$G$5:$G$3004,1)),INDEX('AH History'!$C$5:$C$1380,$K1294))),NA()),NA())</f>
        <v/>
      </c>
      <c r="J1294" s="32">
        <f>IFERROR(IF(AND($F1294&gt;0,$H1294&gt;0,$A1294-$G1294&lt;=10,$A1294-$I1294&lt;=5,$G1294&gt;0,$I1294&gt;0),$F1294*$H1294,NA()),NA())</f>
        <v/>
      </c>
      <c r="K1294" s="15">
        <f>IF($A1294="","",IF(AH!$U$5=1,IFERROR(MATCH($A1294,'Live History'!$A$5:$A$3004,0),0),AH!$U$7+1289))</f>
        <v/>
      </c>
      <c r="L1294" s="15">
        <f>IF(ISNUMBER(A1294),TEXT(A1294,"dd-mmm-yy"),"")</f>
        <v/>
      </c>
    </row>
    <row r="1295">
      <c r="A1295" s="14">
        <f>IF(OR(AH!$U$4=0,1290+1&gt;AH!$U$6,AND(AH!$M$5="Bloomberg",AH!$U$5=0)),"",IFERROR(IF(AND(AH!$U$12=1,1290+1=AH!$U$6),TODAY(),IF(AH!$U$5=1,INDEX('Live History'!$A$5:$A$3004,AH!$U$7+1290),INDEX('AH History'!$A$5:$A$1380,AH!$U$7+1290))),""))</f>
        <v/>
      </c>
      <c r="B1295" s="33">
        <f>IFERROR(IF(AH!$U$11=1,NA(),$J1295/$E1295-1),NA())</f>
        <v/>
      </c>
      <c r="C1295" s="269">
        <f>IFERROR(100*$E1295/$E$5,NA())</f>
        <v/>
      </c>
      <c r="D1295" s="269">
        <f>IFERROR(100*$J1295/$J$5,NA())</f>
        <v/>
      </c>
      <c r="E1295" s="32">
        <f>IFERROR(IF(AND(ISNUMBER($A1295),N(IF(AND(AH!$U$12=1,1290+1=AH!$U$6),IF(AH!$U$4=0,"unavailable",INDEX('Market Data'!$AN$5:$AN$66,AH!$U$4)),IF(AH!$U$5=1,INDEX('Live History'!$B$5:$B$3004,$K1295),INDEX('AH History'!$D$5:$GG$1380,$K1295,AH!$U$10))))&gt;0),IF(AND(AH!$U$12=1,1290+1=AH!$U$6),IF(AH!$U$4=0,"unavailable",INDEX('Market Data'!$AN$5:$AN$66,AH!$U$4)),IF(AH!$U$5=1,INDEX('Live History'!$B$5:$B$3004,$K1295),INDEX('AH History'!$D$5:$GG$1380,$K1295,AH!$U$10))),NA()),NA())</f>
        <v/>
      </c>
      <c r="F1295" s="32">
        <f>IFERROR(IF(ISNUMBER($A1295),IF(AND(AH!$U$12=1,1290+1=AH!$U$6),IF(AH!$U$4=0,"unavailable",INDEX('Market Data'!$AO$5:$AO$66,AH!$U$4)),IF(AH!$U$5=1,INDEX('Live History'!$E$5:$E$3004,MATCH($A1295,'Live History'!$D$5:$D$3004,1)),INDEX('AH History'!$D$5:$GG$1380,$K1295,AH!$U$10+1))),NA()),NA())</f>
        <v/>
      </c>
      <c r="G1295" s="34">
        <f>IFERROR(IF(ISNUMBER($A1295),IF(AND(AH!$U$12=1,1290+1=AH!$U$6),IF(AH!$U$4=0,"unavailable",INDEX('Market Data'!$AK$5:$AK$66,AH!$U$4)),IF(AH!$U$5=1,INDEX('Live History'!$D$5:$D$3004,MATCH($A1295,'Live History'!$D$5:$D$3004,1)),INDEX('AH History'!$D$5:$GG$1380,$K1295,AH!$U$10+2))),NA()),NA())</f>
        <v/>
      </c>
      <c r="H1295" s="266">
        <f>IFERROR(IF(ISNUMBER($A1295),IF(AND(AH!$U$12=1,1290+1=AH!$U$6),IF(AH!$U$4=0,"unavailable",INDEX('Market Data'!$AP$5:$AP$66,AH!$U$4)),IF(AH!$U$5=1,INDEX('Live History'!$H$5:$H$3004,MATCH($A1295,'Live History'!$G$5:$G$3004,1)),INDEX('AH History'!$B$5:$B$1380,$K1295))),NA()),NA())</f>
        <v/>
      </c>
      <c r="I1295" s="34">
        <f>IFERROR(IF(ISNUMBER($A1295),IF(AND(AH!$U$12=1,1290+1=AH!$U$6),TODAY(),IF(AH!$U$5=1,INDEX('Live History'!$G$5:$G$3004,MATCH($A1295,'Live History'!$G$5:$G$3004,1)),INDEX('AH History'!$C$5:$C$1380,$K1295))),NA()),NA())</f>
        <v/>
      </c>
      <c r="J1295" s="32">
        <f>IFERROR(IF(AND($F1295&gt;0,$H1295&gt;0,$A1295-$G1295&lt;=10,$A1295-$I1295&lt;=5,$G1295&gt;0,$I1295&gt;0),$F1295*$H1295,NA()),NA())</f>
        <v/>
      </c>
      <c r="K1295" s="15">
        <f>IF($A1295="","",IF(AH!$U$5=1,IFERROR(MATCH($A1295,'Live History'!$A$5:$A$3004,0),0),AH!$U$7+1290))</f>
        <v/>
      </c>
      <c r="L1295" s="15">
        <f>IF(ISNUMBER(A1295),TEXT(A1295,"dd-mmm-yy"),"")</f>
        <v/>
      </c>
    </row>
    <row r="1296">
      <c r="A1296" s="14">
        <f>IF(OR(AH!$U$4=0,1291+1&gt;AH!$U$6,AND(AH!$M$5="Bloomberg",AH!$U$5=0)),"",IFERROR(IF(AND(AH!$U$12=1,1291+1=AH!$U$6),TODAY(),IF(AH!$U$5=1,INDEX('Live History'!$A$5:$A$3004,AH!$U$7+1291),INDEX('AH History'!$A$5:$A$1380,AH!$U$7+1291))),""))</f>
        <v/>
      </c>
      <c r="B1296" s="33">
        <f>IFERROR(IF(AH!$U$11=1,NA(),$J1296/$E1296-1),NA())</f>
        <v/>
      </c>
      <c r="C1296" s="269">
        <f>IFERROR(100*$E1296/$E$5,NA())</f>
        <v/>
      </c>
      <c r="D1296" s="269">
        <f>IFERROR(100*$J1296/$J$5,NA())</f>
        <v/>
      </c>
      <c r="E1296" s="32">
        <f>IFERROR(IF(AND(ISNUMBER($A1296),N(IF(AND(AH!$U$12=1,1291+1=AH!$U$6),IF(AH!$U$4=0,"unavailable",INDEX('Market Data'!$AN$5:$AN$66,AH!$U$4)),IF(AH!$U$5=1,INDEX('Live History'!$B$5:$B$3004,$K1296),INDEX('AH History'!$D$5:$GG$1380,$K1296,AH!$U$10))))&gt;0),IF(AND(AH!$U$12=1,1291+1=AH!$U$6),IF(AH!$U$4=0,"unavailable",INDEX('Market Data'!$AN$5:$AN$66,AH!$U$4)),IF(AH!$U$5=1,INDEX('Live History'!$B$5:$B$3004,$K1296),INDEX('AH History'!$D$5:$GG$1380,$K1296,AH!$U$10))),NA()),NA())</f>
        <v/>
      </c>
      <c r="F1296" s="32">
        <f>IFERROR(IF(ISNUMBER($A1296),IF(AND(AH!$U$12=1,1291+1=AH!$U$6),IF(AH!$U$4=0,"unavailable",INDEX('Market Data'!$AO$5:$AO$66,AH!$U$4)),IF(AH!$U$5=1,INDEX('Live History'!$E$5:$E$3004,MATCH($A1296,'Live History'!$D$5:$D$3004,1)),INDEX('AH History'!$D$5:$GG$1380,$K1296,AH!$U$10+1))),NA()),NA())</f>
        <v/>
      </c>
      <c r="G1296" s="34">
        <f>IFERROR(IF(ISNUMBER($A1296),IF(AND(AH!$U$12=1,1291+1=AH!$U$6),IF(AH!$U$4=0,"unavailable",INDEX('Market Data'!$AK$5:$AK$66,AH!$U$4)),IF(AH!$U$5=1,INDEX('Live History'!$D$5:$D$3004,MATCH($A1296,'Live History'!$D$5:$D$3004,1)),INDEX('AH History'!$D$5:$GG$1380,$K1296,AH!$U$10+2))),NA()),NA())</f>
        <v/>
      </c>
      <c r="H1296" s="266">
        <f>IFERROR(IF(ISNUMBER($A1296),IF(AND(AH!$U$12=1,1291+1=AH!$U$6),IF(AH!$U$4=0,"unavailable",INDEX('Market Data'!$AP$5:$AP$66,AH!$U$4)),IF(AH!$U$5=1,INDEX('Live History'!$H$5:$H$3004,MATCH($A1296,'Live History'!$G$5:$G$3004,1)),INDEX('AH History'!$B$5:$B$1380,$K1296))),NA()),NA())</f>
        <v/>
      </c>
      <c r="I1296" s="34">
        <f>IFERROR(IF(ISNUMBER($A1296),IF(AND(AH!$U$12=1,1291+1=AH!$U$6),TODAY(),IF(AH!$U$5=1,INDEX('Live History'!$G$5:$G$3004,MATCH($A1296,'Live History'!$G$5:$G$3004,1)),INDEX('AH History'!$C$5:$C$1380,$K1296))),NA()),NA())</f>
        <v/>
      </c>
      <c r="J1296" s="32">
        <f>IFERROR(IF(AND($F1296&gt;0,$H1296&gt;0,$A1296-$G1296&lt;=10,$A1296-$I1296&lt;=5,$G1296&gt;0,$I1296&gt;0),$F1296*$H1296,NA()),NA())</f>
        <v/>
      </c>
      <c r="K1296" s="15">
        <f>IF($A1296="","",IF(AH!$U$5=1,IFERROR(MATCH($A1296,'Live History'!$A$5:$A$3004,0),0),AH!$U$7+1291))</f>
        <v/>
      </c>
      <c r="L1296" s="15">
        <f>IF(ISNUMBER(A1296),TEXT(A1296,"dd-mmm-yy"),"")</f>
        <v/>
      </c>
    </row>
    <row r="1297">
      <c r="A1297" s="14">
        <f>IF(OR(AH!$U$4=0,1292+1&gt;AH!$U$6,AND(AH!$M$5="Bloomberg",AH!$U$5=0)),"",IFERROR(IF(AND(AH!$U$12=1,1292+1=AH!$U$6),TODAY(),IF(AH!$U$5=1,INDEX('Live History'!$A$5:$A$3004,AH!$U$7+1292),INDEX('AH History'!$A$5:$A$1380,AH!$U$7+1292))),""))</f>
        <v/>
      </c>
      <c r="B1297" s="33">
        <f>IFERROR(IF(AH!$U$11=1,NA(),$J1297/$E1297-1),NA())</f>
        <v/>
      </c>
      <c r="C1297" s="269">
        <f>IFERROR(100*$E1297/$E$5,NA())</f>
        <v/>
      </c>
      <c r="D1297" s="269">
        <f>IFERROR(100*$J1297/$J$5,NA())</f>
        <v/>
      </c>
      <c r="E1297" s="32">
        <f>IFERROR(IF(AND(ISNUMBER($A1297),N(IF(AND(AH!$U$12=1,1292+1=AH!$U$6),IF(AH!$U$4=0,"unavailable",INDEX('Market Data'!$AN$5:$AN$66,AH!$U$4)),IF(AH!$U$5=1,INDEX('Live History'!$B$5:$B$3004,$K1297),INDEX('AH History'!$D$5:$GG$1380,$K1297,AH!$U$10))))&gt;0),IF(AND(AH!$U$12=1,1292+1=AH!$U$6),IF(AH!$U$4=0,"unavailable",INDEX('Market Data'!$AN$5:$AN$66,AH!$U$4)),IF(AH!$U$5=1,INDEX('Live History'!$B$5:$B$3004,$K1297),INDEX('AH History'!$D$5:$GG$1380,$K1297,AH!$U$10))),NA()),NA())</f>
        <v/>
      </c>
      <c r="F1297" s="32">
        <f>IFERROR(IF(ISNUMBER($A1297),IF(AND(AH!$U$12=1,1292+1=AH!$U$6),IF(AH!$U$4=0,"unavailable",INDEX('Market Data'!$AO$5:$AO$66,AH!$U$4)),IF(AH!$U$5=1,INDEX('Live History'!$E$5:$E$3004,MATCH($A1297,'Live History'!$D$5:$D$3004,1)),INDEX('AH History'!$D$5:$GG$1380,$K1297,AH!$U$10+1))),NA()),NA())</f>
        <v/>
      </c>
      <c r="G1297" s="34">
        <f>IFERROR(IF(ISNUMBER($A1297),IF(AND(AH!$U$12=1,1292+1=AH!$U$6),IF(AH!$U$4=0,"unavailable",INDEX('Market Data'!$AK$5:$AK$66,AH!$U$4)),IF(AH!$U$5=1,INDEX('Live History'!$D$5:$D$3004,MATCH($A1297,'Live History'!$D$5:$D$3004,1)),INDEX('AH History'!$D$5:$GG$1380,$K1297,AH!$U$10+2))),NA()),NA())</f>
        <v/>
      </c>
      <c r="H1297" s="266">
        <f>IFERROR(IF(ISNUMBER($A1297),IF(AND(AH!$U$12=1,1292+1=AH!$U$6),IF(AH!$U$4=0,"unavailable",INDEX('Market Data'!$AP$5:$AP$66,AH!$U$4)),IF(AH!$U$5=1,INDEX('Live History'!$H$5:$H$3004,MATCH($A1297,'Live History'!$G$5:$G$3004,1)),INDEX('AH History'!$B$5:$B$1380,$K1297))),NA()),NA())</f>
        <v/>
      </c>
      <c r="I1297" s="34">
        <f>IFERROR(IF(ISNUMBER($A1297),IF(AND(AH!$U$12=1,1292+1=AH!$U$6),TODAY(),IF(AH!$U$5=1,INDEX('Live History'!$G$5:$G$3004,MATCH($A1297,'Live History'!$G$5:$G$3004,1)),INDEX('AH History'!$C$5:$C$1380,$K1297))),NA()),NA())</f>
        <v/>
      </c>
      <c r="J1297" s="32">
        <f>IFERROR(IF(AND($F1297&gt;0,$H1297&gt;0,$A1297-$G1297&lt;=10,$A1297-$I1297&lt;=5,$G1297&gt;0,$I1297&gt;0),$F1297*$H1297,NA()),NA())</f>
        <v/>
      </c>
      <c r="K1297" s="15">
        <f>IF($A1297="","",IF(AH!$U$5=1,IFERROR(MATCH($A1297,'Live History'!$A$5:$A$3004,0),0),AH!$U$7+1292))</f>
        <v/>
      </c>
      <c r="L1297" s="15">
        <f>IF(ISNUMBER(A1297),TEXT(A1297,"dd-mmm-yy"),"")</f>
        <v/>
      </c>
    </row>
    <row r="1298">
      <c r="A1298" s="14">
        <f>IF(OR(AH!$U$4=0,1293+1&gt;AH!$U$6,AND(AH!$M$5="Bloomberg",AH!$U$5=0)),"",IFERROR(IF(AND(AH!$U$12=1,1293+1=AH!$U$6),TODAY(),IF(AH!$U$5=1,INDEX('Live History'!$A$5:$A$3004,AH!$U$7+1293),INDEX('AH History'!$A$5:$A$1380,AH!$U$7+1293))),""))</f>
        <v/>
      </c>
      <c r="B1298" s="33">
        <f>IFERROR(IF(AH!$U$11=1,NA(),$J1298/$E1298-1),NA())</f>
        <v/>
      </c>
      <c r="C1298" s="269">
        <f>IFERROR(100*$E1298/$E$5,NA())</f>
        <v/>
      </c>
      <c r="D1298" s="269">
        <f>IFERROR(100*$J1298/$J$5,NA())</f>
        <v/>
      </c>
      <c r="E1298" s="32">
        <f>IFERROR(IF(AND(ISNUMBER($A1298),N(IF(AND(AH!$U$12=1,1293+1=AH!$U$6),IF(AH!$U$4=0,"unavailable",INDEX('Market Data'!$AN$5:$AN$66,AH!$U$4)),IF(AH!$U$5=1,INDEX('Live History'!$B$5:$B$3004,$K1298),INDEX('AH History'!$D$5:$GG$1380,$K1298,AH!$U$10))))&gt;0),IF(AND(AH!$U$12=1,1293+1=AH!$U$6),IF(AH!$U$4=0,"unavailable",INDEX('Market Data'!$AN$5:$AN$66,AH!$U$4)),IF(AH!$U$5=1,INDEX('Live History'!$B$5:$B$3004,$K1298),INDEX('AH History'!$D$5:$GG$1380,$K1298,AH!$U$10))),NA()),NA())</f>
        <v/>
      </c>
      <c r="F1298" s="32">
        <f>IFERROR(IF(ISNUMBER($A1298),IF(AND(AH!$U$12=1,1293+1=AH!$U$6),IF(AH!$U$4=0,"unavailable",INDEX('Market Data'!$AO$5:$AO$66,AH!$U$4)),IF(AH!$U$5=1,INDEX('Live History'!$E$5:$E$3004,MATCH($A1298,'Live History'!$D$5:$D$3004,1)),INDEX('AH History'!$D$5:$GG$1380,$K1298,AH!$U$10+1))),NA()),NA())</f>
        <v/>
      </c>
      <c r="G1298" s="34">
        <f>IFERROR(IF(ISNUMBER($A1298),IF(AND(AH!$U$12=1,1293+1=AH!$U$6),IF(AH!$U$4=0,"unavailable",INDEX('Market Data'!$AK$5:$AK$66,AH!$U$4)),IF(AH!$U$5=1,INDEX('Live History'!$D$5:$D$3004,MATCH($A1298,'Live History'!$D$5:$D$3004,1)),INDEX('AH History'!$D$5:$GG$1380,$K1298,AH!$U$10+2))),NA()),NA())</f>
        <v/>
      </c>
      <c r="H1298" s="266">
        <f>IFERROR(IF(ISNUMBER($A1298),IF(AND(AH!$U$12=1,1293+1=AH!$U$6),IF(AH!$U$4=0,"unavailable",INDEX('Market Data'!$AP$5:$AP$66,AH!$U$4)),IF(AH!$U$5=1,INDEX('Live History'!$H$5:$H$3004,MATCH($A1298,'Live History'!$G$5:$G$3004,1)),INDEX('AH History'!$B$5:$B$1380,$K1298))),NA()),NA())</f>
        <v/>
      </c>
      <c r="I1298" s="34">
        <f>IFERROR(IF(ISNUMBER($A1298),IF(AND(AH!$U$12=1,1293+1=AH!$U$6),TODAY(),IF(AH!$U$5=1,INDEX('Live History'!$G$5:$G$3004,MATCH($A1298,'Live History'!$G$5:$G$3004,1)),INDEX('AH History'!$C$5:$C$1380,$K1298))),NA()),NA())</f>
        <v/>
      </c>
      <c r="J1298" s="32">
        <f>IFERROR(IF(AND($F1298&gt;0,$H1298&gt;0,$A1298-$G1298&lt;=10,$A1298-$I1298&lt;=5,$G1298&gt;0,$I1298&gt;0),$F1298*$H1298,NA()),NA())</f>
        <v/>
      </c>
      <c r="K1298" s="15">
        <f>IF($A1298="","",IF(AH!$U$5=1,IFERROR(MATCH($A1298,'Live History'!$A$5:$A$3004,0),0),AH!$U$7+1293))</f>
        <v/>
      </c>
      <c r="L1298" s="15">
        <f>IF(ISNUMBER(A1298),TEXT(A1298,"dd-mmm-yy"),"")</f>
        <v/>
      </c>
    </row>
    <row r="1299">
      <c r="A1299" s="14">
        <f>IF(OR(AH!$U$4=0,1294+1&gt;AH!$U$6,AND(AH!$M$5="Bloomberg",AH!$U$5=0)),"",IFERROR(IF(AND(AH!$U$12=1,1294+1=AH!$U$6),TODAY(),IF(AH!$U$5=1,INDEX('Live History'!$A$5:$A$3004,AH!$U$7+1294),INDEX('AH History'!$A$5:$A$1380,AH!$U$7+1294))),""))</f>
        <v/>
      </c>
      <c r="B1299" s="33">
        <f>IFERROR(IF(AH!$U$11=1,NA(),$J1299/$E1299-1),NA())</f>
        <v/>
      </c>
      <c r="C1299" s="269">
        <f>IFERROR(100*$E1299/$E$5,NA())</f>
        <v/>
      </c>
      <c r="D1299" s="269">
        <f>IFERROR(100*$J1299/$J$5,NA())</f>
        <v/>
      </c>
      <c r="E1299" s="32">
        <f>IFERROR(IF(AND(ISNUMBER($A1299),N(IF(AND(AH!$U$12=1,1294+1=AH!$U$6),IF(AH!$U$4=0,"unavailable",INDEX('Market Data'!$AN$5:$AN$66,AH!$U$4)),IF(AH!$U$5=1,INDEX('Live History'!$B$5:$B$3004,$K1299),INDEX('AH History'!$D$5:$GG$1380,$K1299,AH!$U$10))))&gt;0),IF(AND(AH!$U$12=1,1294+1=AH!$U$6),IF(AH!$U$4=0,"unavailable",INDEX('Market Data'!$AN$5:$AN$66,AH!$U$4)),IF(AH!$U$5=1,INDEX('Live History'!$B$5:$B$3004,$K1299),INDEX('AH History'!$D$5:$GG$1380,$K1299,AH!$U$10))),NA()),NA())</f>
        <v/>
      </c>
      <c r="F1299" s="32">
        <f>IFERROR(IF(ISNUMBER($A1299),IF(AND(AH!$U$12=1,1294+1=AH!$U$6),IF(AH!$U$4=0,"unavailable",INDEX('Market Data'!$AO$5:$AO$66,AH!$U$4)),IF(AH!$U$5=1,INDEX('Live History'!$E$5:$E$3004,MATCH($A1299,'Live History'!$D$5:$D$3004,1)),INDEX('AH History'!$D$5:$GG$1380,$K1299,AH!$U$10+1))),NA()),NA())</f>
        <v/>
      </c>
      <c r="G1299" s="34">
        <f>IFERROR(IF(ISNUMBER($A1299),IF(AND(AH!$U$12=1,1294+1=AH!$U$6),IF(AH!$U$4=0,"unavailable",INDEX('Market Data'!$AK$5:$AK$66,AH!$U$4)),IF(AH!$U$5=1,INDEX('Live History'!$D$5:$D$3004,MATCH($A1299,'Live History'!$D$5:$D$3004,1)),INDEX('AH History'!$D$5:$GG$1380,$K1299,AH!$U$10+2))),NA()),NA())</f>
        <v/>
      </c>
      <c r="H1299" s="266">
        <f>IFERROR(IF(ISNUMBER($A1299),IF(AND(AH!$U$12=1,1294+1=AH!$U$6),IF(AH!$U$4=0,"unavailable",INDEX('Market Data'!$AP$5:$AP$66,AH!$U$4)),IF(AH!$U$5=1,INDEX('Live History'!$H$5:$H$3004,MATCH($A1299,'Live History'!$G$5:$G$3004,1)),INDEX('AH History'!$B$5:$B$1380,$K1299))),NA()),NA())</f>
        <v/>
      </c>
      <c r="I1299" s="34">
        <f>IFERROR(IF(ISNUMBER($A1299),IF(AND(AH!$U$12=1,1294+1=AH!$U$6),TODAY(),IF(AH!$U$5=1,INDEX('Live History'!$G$5:$G$3004,MATCH($A1299,'Live History'!$G$5:$G$3004,1)),INDEX('AH History'!$C$5:$C$1380,$K1299))),NA()),NA())</f>
        <v/>
      </c>
      <c r="J1299" s="32">
        <f>IFERROR(IF(AND($F1299&gt;0,$H1299&gt;0,$A1299-$G1299&lt;=10,$A1299-$I1299&lt;=5,$G1299&gt;0,$I1299&gt;0),$F1299*$H1299,NA()),NA())</f>
        <v/>
      </c>
      <c r="K1299" s="15">
        <f>IF($A1299="","",IF(AH!$U$5=1,IFERROR(MATCH($A1299,'Live History'!$A$5:$A$3004,0),0),AH!$U$7+1294))</f>
        <v/>
      </c>
      <c r="L1299" s="15">
        <f>IF(ISNUMBER(A1299),TEXT(A1299,"dd-mmm-yy"),"")</f>
        <v/>
      </c>
    </row>
    <row r="1300">
      <c r="A1300" s="14">
        <f>IF(OR(AH!$U$4=0,1295+1&gt;AH!$U$6,AND(AH!$M$5="Bloomberg",AH!$U$5=0)),"",IFERROR(IF(AND(AH!$U$12=1,1295+1=AH!$U$6),TODAY(),IF(AH!$U$5=1,INDEX('Live History'!$A$5:$A$3004,AH!$U$7+1295),INDEX('AH History'!$A$5:$A$1380,AH!$U$7+1295))),""))</f>
        <v/>
      </c>
      <c r="B1300" s="33">
        <f>IFERROR(IF(AH!$U$11=1,NA(),$J1300/$E1300-1),NA())</f>
        <v/>
      </c>
      <c r="C1300" s="269">
        <f>IFERROR(100*$E1300/$E$5,NA())</f>
        <v/>
      </c>
      <c r="D1300" s="269">
        <f>IFERROR(100*$J1300/$J$5,NA())</f>
        <v/>
      </c>
      <c r="E1300" s="32">
        <f>IFERROR(IF(AND(ISNUMBER($A1300),N(IF(AND(AH!$U$12=1,1295+1=AH!$U$6),IF(AH!$U$4=0,"unavailable",INDEX('Market Data'!$AN$5:$AN$66,AH!$U$4)),IF(AH!$U$5=1,INDEX('Live History'!$B$5:$B$3004,$K1300),INDEX('AH History'!$D$5:$GG$1380,$K1300,AH!$U$10))))&gt;0),IF(AND(AH!$U$12=1,1295+1=AH!$U$6),IF(AH!$U$4=0,"unavailable",INDEX('Market Data'!$AN$5:$AN$66,AH!$U$4)),IF(AH!$U$5=1,INDEX('Live History'!$B$5:$B$3004,$K1300),INDEX('AH History'!$D$5:$GG$1380,$K1300,AH!$U$10))),NA()),NA())</f>
        <v/>
      </c>
      <c r="F1300" s="32">
        <f>IFERROR(IF(ISNUMBER($A1300),IF(AND(AH!$U$12=1,1295+1=AH!$U$6),IF(AH!$U$4=0,"unavailable",INDEX('Market Data'!$AO$5:$AO$66,AH!$U$4)),IF(AH!$U$5=1,INDEX('Live History'!$E$5:$E$3004,MATCH($A1300,'Live History'!$D$5:$D$3004,1)),INDEX('AH History'!$D$5:$GG$1380,$K1300,AH!$U$10+1))),NA()),NA())</f>
        <v/>
      </c>
      <c r="G1300" s="34">
        <f>IFERROR(IF(ISNUMBER($A1300),IF(AND(AH!$U$12=1,1295+1=AH!$U$6),IF(AH!$U$4=0,"unavailable",INDEX('Market Data'!$AK$5:$AK$66,AH!$U$4)),IF(AH!$U$5=1,INDEX('Live History'!$D$5:$D$3004,MATCH($A1300,'Live History'!$D$5:$D$3004,1)),INDEX('AH History'!$D$5:$GG$1380,$K1300,AH!$U$10+2))),NA()),NA())</f>
        <v/>
      </c>
      <c r="H1300" s="266">
        <f>IFERROR(IF(ISNUMBER($A1300),IF(AND(AH!$U$12=1,1295+1=AH!$U$6),IF(AH!$U$4=0,"unavailable",INDEX('Market Data'!$AP$5:$AP$66,AH!$U$4)),IF(AH!$U$5=1,INDEX('Live History'!$H$5:$H$3004,MATCH($A1300,'Live History'!$G$5:$G$3004,1)),INDEX('AH History'!$B$5:$B$1380,$K1300))),NA()),NA())</f>
        <v/>
      </c>
      <c r="I1300" s="34">
        <f>IFERROR(IF(ISNUMBER($A1300),IF(AND(AH!$U$12=1,1295+1=AH!$U$6),TODAY(),IF(AH!$U$5=1,INDEX('Live History'!$G$5:$G$3004,MATCH($A1300,'Live History'!$G$5:$G$3004,1)),INDEX('AH History'!$C$5:$C$1380,$K1300))),NA()),NA())</f>
        <v/>
      </c>
      <c r="J1300" s="32">
        <f>IFERROR(IF(AND($F1300&gt;0,$H1300&gt;0,$A1300-$G1300&lt;=10,$A1300-$I1300&lt;=5,$G1300&gt;0,$I1300&gt;0),$F1300*$H1300,NA()),NA())</f>
        <v/>
      </c>
      <c r="K1300" s="15">
        <f>IF($A1300="","",IF(AH!$U$5=1,IFERROR(MATCH($A1300,'Live History'!$A$5:$A$3004,0),0),AH!$U$7+1295))</f>
        <v/>
      </c>
      <c r="L1300" s="15">
        <f>IF(ISNUMBER(A1300),TEXT(A1300,"dd-mmm-yy"),"")</f>
        <v/>
      </c>
    </row>
    <row r="1301">
      <c r="A1301" s="14">
        <f>IF(OR(AH!$U$4=0,1296+1&gt;AH!$U$6,AND(AH!$M$5="Bloomberg",AH!$U$5=0)),"",IFERROR(IF(AND(AH!$U$12=1,1296+1=AH!$U$6),TODAY(),IF(AH!$U$5=1,INDEX('Live History'!$A$5:$A$3004,AH!$U$7+1296),INDEX('AH History'!$A$5:$A$1380,AH!$U$7+1296))),""))</f>
        <v/>
      </c>
      <c r="B1301" s="33">
        <f>IFERROR(IF(AH!$U$11=1,NA(),$J1301/$E1301-1),NA())</f>
        <v/>
      </c>
      <c r="C1301" s="269">
        <f>IFERROR(100*$E1301/$E$5,NA())</f>
        <v/>
      </c>
      <c r="D1301" s="269">
        <f>IFERROR(100*$J1301/$J$5,NA())</f>
        <v/>
      </c>
      <c r="E1301" s="32">
        <f>IFERROR(IF(AND(ISNUMBER($A1301),N(IF(AND(AH!$U$12=1,1296+1=AH!$U$6),IF(AH!$U$4=0,"unavailable",INDEX('Market Data'!$AN$5:$AN$66,AH!$U$4)),IF(AH!$U$5=1,INDEX('Live History'!$B$5:$B$3004,$K1301),INDEX('AH History'!$D$5:$GG$1380,$K1301,AH!$U$10))))&gt;0),IF(AND(AH!$U$12=1,1296+1=AH!$U$6),IF(AH!$U$4=0,"unavailable",INDEX('Market Data'!$AN$5:$AN$66,AH!$U$4)),IF(AH!$U$5=1,INDEX('Live History'!$B$5:$B$3004,$K1301),INDEX('AH History'!$D$5:$GG$1380,$K1301,AH!$U$10))),NA()),NA())</f>
        <v/>
      </c>
      <c r="F1301" s="32">
        <f>IFERROR(IF(ISNUMBER($A1301),IF(AND(AH!$U$12=1,1296+1=AH!$U$6),IF(AH!$U$4=0,"unavailable",INDEX('Market Data'!$AO$5:$AO$66,AH!$U$4)),IF(AH!$U$5=1,INDEX('Live History'!$E$5:$E$3004,MATCH($A1301,'Live History'!$D$5:$D$3004,1)),INDEX('AH History'!$D$5:$GG$1380,$K1301,AH!$U$10+1))),NA()),NA())</f>
        <v/>
      </c>
      <c r="G1301" s="34">
        <f>IFERROR(IF(ISNUMBER($A1301),IF(AND(AH!$U$12=1,1296+1=AH!$U$6),IF(AH!$U$4=0,"unavailable",INDEX('Market Data'!$AK$5:$AK$66,AH!$U$4)),IF(AH!$U$5=1,INDEX('Live History'!$D$5:$D$3004,MATCH($A1301,'Live History'!$D$5:$D$3004,1)),INDEX('AH History'!$D$5:$GG$1380,$K1301,AH!$U$10+2))),NA()),NA())</f>
        <v/>
      </c>
      <c r="H1301" s="266">
        <f>IFERROR(IF(ISNUMBER($A1301),IF(AND(AH!$U$12=1,1296+1=AH!$U$6),IF(AH!$U$4=0,"unavailable",INDEX('Market Data'!$AP$5:$AP$66,AH!$U$4)),IF(AH!$U$5=1,INDEX('Live History'!$H$5:$H$3004,MATCH($A1301,'Live History'!$G$5:$G$3004,1)),INDEX('AH History'!$B$5:$B$1380,$K1301))),NA()),NA())</f>
        <v/>
      </c>
      <c r="I1301" s="34">
        <f>IFERROR(IF(ISNUMBER($A1301),IF(AND(AH!$U$12=1,1296+1=AH!$U$6),TODAY(),IF(AH!$U$5=1,INDEX('Live History'!$G$5:$G$3004,MATCH($A1301,'Live History'!$G$5:$G$3004,1)),INDEX('AH History'!$C$5:$C$1380,$K1301))),NA()),NA())</f>
        <v/>
      </c>
      <c r="J1301" s="32">
        <f>IFERROR(IF(AND($F1301&gt;0,$H1301&gt;0,$A1301-$G1301&lt;=10,$A1301-$I1301&lt;=5,$G1301&gt;0,$I1301&gt;0),$F1301*$H1301,NA()),NA())</f>
        <v/>
      </c>
      <c r="K1301" s="15">
        <f>IF($A1301="","",IF(AH!$U$5=1,IFERROR(MATCH($A1301,'Live History'!$A$5:$A$3004,0),0),AH!$U$7+1296))</f>
        <v/>
      </c>
      <c r="L1301" s="15">
        <f>IF(ISNUMBER(A1301),TEXT(A1301,"dd-mmm-yy"),"")</f>
        <v/>
      </c>
    </row>
    <row r="1302">
      <c r="A1302" s="14">
        <f>IF(OR(AH!$U$4=0,1297+1&gt;AH!$U$6,AND(AH!$M$5="Bloomberg",AH!$U$5=0)),"",IFERROR(IF(AND(AH!$U$12=1,1297+1=AH!$U$6),TODAY(),IF(AH!$U$5=1,INDEX('Live History'!$A$5:$A$3004,AH!$U$7+1297),INDEX('AH History'!$A$5:$A$1380,AH!$U$7+1297))),""))</f>
        <v/>
      </c>
      <c r="B1302" s="33">
        <f>IFERROR(IF(AH!$U$11=1,NA(),$J1302/$E1302-1),NA())</f>
        <v/>
      </c>
      <c r="C1302" s="269">
        <f>IFERROR(100*$E1302/$E$5,NA())</f>
        <v/>
      </c>
      <c r="D1302" s="269">
        <f>IFERROR(100*$J1302/$J$5,NA())</f>
        <v/>
      </c>
      <c r="E1302" s="32">
        <f>IFERROR(IF(AND(ISNUMBER($A1302),N(IF(AND(AH!$U$12=1,1297+1=AH!$U$6),IF(AH!$U$4=0,"unavailable",INDEX('Market Data'!$AN$5:$AN$66,AH!$U$4)),IF(AH!$U$5=1,INDEX('Live History'!$B$5:$B$3004,$K1302),INDEX('AH History'!$D$5:$GG$1380,$K1302,AH!$U$10))))&gt;0),IF(AND(AH!$U$12=1,1297+1=AH!$U$6),IF(AH!$U$4=0,"unavailable",INDEX('Market Data'!$AN$5:$AN$66,AH!$U$4)),IF(AH!$U$5=1,INDEX('Live History'!$B$5:$B$3004,$K1302),INDEX('AH History'!$D$5:$GG$1380,$K1302,AH!$U$10))),NA()),NA())</f>
        <v/>
      </c>
      <c r="F1302" s="32">
        <f>IFERROR(IF(ISNUMBER($A1302),IF(AND(AH!$U$12=1,1297+1=AH!$U$6),IF(AH!$U$4=0,"unavailable",INDEX('Market Data'!$AO$5:$AO$66,AH!$U$4)),IF(AH!$U$5=1,INDEX('Live History'!$E$5:$E$3004,MATCH($A1302,'Live History'!$D$5:$D$3004,1)),INDEX('AH History'!$D$5:$GG$1380,$K1302,AH!$U$10+1))),NA()),NA())</f>
        <v/>
      </c>
      <c r="G1302" s="34">
        <f>IFERROR(IF(ISNUMBER($A1302),IF(AND(AH!$U$12=1,1297+1=AH!$U$6),IF(AH!$U$4=0,"unavailable",INDEX('Market Data'!$AK$5:$AK$66,AH!$U$4)),IF(AH!$U$5=1,INDEX('Live History'!$D$5:$D$3004,MATCH($A1302,'Live History'!$D$5:$D$3004,1)),INDEX('AH History'!$D$5:$GG$1380,$K1302,AH!$U$10+2))),NA()),NA())</f>
        <v/>
      </c>
      <c r="H1302" s="266">
        <f>IFERROR(IF(ISNUMBER($A1302),IF(AND(AH!$U$12=1,1297+1=AH!$U$6),IF(AH!$U$4=0,"unavailable",INDEX('Market Data'!$AP$5:$AP$66,AH!$U$4)),IF(AH!$U$5=1,INDEX('Live History'!$H$5:$H$3004,MATCH($A1302,'Live History'!$G$5:$G$3004,1)),INDEX('AH History'!$B$5:$B$1380,$K1302))),NA()),NA())</f>
        <v/>
      </c>
      <c r="I1302" s="34">
        <f>IFERROR(IF(ISNUMBER($A1302),IF(AND(AH!$U$12=1,1297+1=AH!$U$6),TODAY(),IF(AH!$U$5=1,INDEX('Live History'!$G$5:$G$3004,MATCH($A1302,'Live History'!$G$5:$G$3004,1)),INDEX('AH History'!$C$5:$C$1380,$K1302))),NA()),NA())</f>
        <v/>
      </c>
      <c r="J1302" s="32">
        <f>IFERROR(IF(AND($F1302&gt;0,$H1302&gt;0,$A1302-$G1302&lt;=10,$A1302-$I1302&lt;=5,$G1302&gt;0,$I1302&gt;0),$F1302*$H1302,NA()),NA())</f>
        <v/>
      </c>
      <c r="K1302" s="15">
        <f>IF($A1302="","",IF(AH!$U$5=1,IFERROR(MATCH($A1302,'Live History'!$A$5:$A$3004,0),0),AH!$U$7+1297))</f>
        <v/>
      </c>
      <c r="L1302" s="15">
        <f>IF(ISNUMBER(A1302),TEXT(A1302,"dd-mmm-yy"),"")</f>
        <v/>
      </c>
    </row>
    <row r="1303">
      <c r="A1303" s="14">
        <f>IF(OR(AH!$U$4=0,1298+1&gt;AH!$U$6,AND(AH!$M$5="Bloomberg",AH!$U$5=0)),"",IFERROR(IF(AND(AH!$U$12=1,1298+1=AH!$U$6),TODAY(),IF(AH!$U$5=1,INDEX('Live History'!$A$5:$A$3004,AH!$U$7+1298),INDEX('AH History'!$A$5:$A$1380,AH!$U$7+1298))),""))</f>
        <v/>
      </c>
      <c r="B1303" s="33">
        <f>IFERROR(IF(AH!$U$11=1,NA(),$J1303/$E1303-1),NA())</f>
        <v/>
      </c>
      <c r="C1303" s="269">
        <f>IFERROR(100*$E1303/$E$5,NA())</f>
        <v/>
      </c>
      <c r="D1303" s="269">
        <f>IFERROR(100*$J1303/$J$5,NA())</f>
        <v/>
      </c>
      <c r="E1303" s="32">
        <f>IFERROR(IF(AND(ISNUMBER($A1303),N(IF(AND(AH!$U$12=1,1298+1=AH!$U$6),IF(AH!$U$4=0,"unavailable",INDEX('Market Data'!$AN$5:$AN$66,AH!$U$4)),IF(AH!$U$5=1,INDEX('Live History'!$B$5:$B$3004,$K1303),INDEX('AH History'!$D$5:$GG$1380,$K1303,AH!$U$10))))&gt;0),IF(AND(AH!$U$12=1,1298+1=AH!$U$6),IF(AH!$U$4=0,"unavailable",INDEX('Market Data'!$AN$5:$AN$66,AH!$U$4)),IF(AH!$U$5=1,INDEX('Live History'!$B$5:$B$3004,$K1303),INDEX('AH History'!$D$5:$GG$1380,$K1303,AH!$U$10))),NA()),NA())</f>
        <v/>
      </c>
      <c r="F1303" s="32">
        <f>IFERROR(IF(ISNUMBER($A1303),IF(AND(AH!$U$12=1,1298+1=AH!$U$6),IF(AH!$U$4=0,"unavailable",INDEX('Market Data'!$AO$5:$AO$66,AH!$U$4)),IF(AH!$U$5=1,INDEX('Live History'!$E$5:$E$3004,MATCH($A1303,'Live History'!$D$5:$D$3004,1)),INDEX('AH History'!$D$5:$GG$1380,$K1303,AH!$U$10+1))),NA()),NA())</f>
        <v/>
      </c>
      <c r="G1303" s="34">
        <f>IFERROR(IF(ISNUMBER($A1303),IF(AND(AH!$U$12=1,1298+1=AH!$U$6),IF(AH!$U$4=0,"unavailable",INDEX('Market Data'!$AK$5:$AK$66,AH!$U$4)),IF(AH!$U$5=1,INDEX('Live History'!$D$5:$D$3004,MATCH($A1303,'Live History'!$D$5:$D$3004,1)),INDEX('AH History'!$D$5:$GG$1380,$K1303,AH!$U$10+2))),NA()),NA())</f>
        <v/>
      </c>
      <c r="H1303" s="266">
        <f>IFERROR(IF(ISNUMBER($A1303),IF(AND(AH!$U$12=1,1298+1=AH!$U$6),IF(AH!$U$4=0,"unavailable",INDEX('Market Data'!$AP$5:$AP$66,AH!$U$4)),IF(AH!$U$5=1,INDEX('Live History'!$H$5:$H$3004,MATCH($A1303,'Live History'!$G$5:$G$3004,1)),INDEX('AH History'!$B$5:$B$1380,$K1303))),NA()),NA())</f>
        <v/>
      </c>
      <c r="I1303" s="34">
        <f>IFERROR(IF(ISNUMBER($A1303),IF(AND(AH!$U$12=1,1298+1=AH!$U$6),TODAY(),IF(AH!$U$5=1,INDEX('Live History'!$G$5:$G$3004,MATCH($A1303,'Live History'!$G$5:$G$3004,1)),INDEX('AH History'!$C$5:$C$1380,$K1303))),NA()),NA())</f>
        <v/>
      </c>
      <c r="J1303" s="32">
        <f>IFERROR(IF(AND($F1303&gt;0,$H1303&gt;0,$A1303-$G1303&lt;=10,$A1303-$I1303&lt;=5,$G1303&gt;0,$I1303&gt;0),$F1303*$H1303,NA()),NA())</f>
        <v/>
      </c>
      <c r="K1303" s="15">
        <f>IF($A1303="","",IF(AH!$U$5=1,IFERROR(MATCH($A1303,'Live History'!$A$5:$A$3004,0),0),AH!$U$7+1298))</f>
        <v/>
      </c>
      <c r="L1303" s="15">
        <f>IF(ISNUMBER(A1303),TEXT(A1303,"dd-mmm-yy"),"")</f>
        <v/>
      </c>
    </row>
    <row r="1304">
      <c r="A1304" s="14">
        <f>IF(OR(AH!$U$4=0,1299+1&gt;AH!$U$6,AND(AH!$M$5="Bloomberg",AH!$U$5=0)),"",IFERROR(IF(AND(AH!$U$12=1,1299+1=AH!$U$6),TODAY(),IF(AH!$U$5=1,INDEX('Live History'!$A$5:$A$3004,AH!$U$7+1299),INDEX('AH History'!$A$5:$A$1380,AH!$U$7+1299))),""))</f>
        <v/>
      </c>
      <c r="B1304" s="33">
        <f>IFERROR(IF(AH!$U$11=1,NA(),$J1304/$E1304-1),NA())</f>
        <v/>
      </c>
      <c r="C1304" s="269">
        <f>IFERROR(100*$E1304/$E$5,NA())</f>
        <v/>
      </c>
      <c r="D1304" s="269">
        <f>IFERROR(100*$J1304/$J$5,NA())</f>
        <v/>
      </c>
      <c r="E1304" s="32">
        <f>IFERROR(IF(AND(ISNUMBER($A1304),N(IF(AND(AH!$U$12=1,1299+1=AH!$U$6),IF(AH!$U$4=0,"unavailable",INDEX('Market Data'!$AN$5:$AN$66,AH!$U$4)),IF(AH!$U$5=1,INDEX('Live History'!$B$5:$B$3004,$K1304),INDEX('AH History'!$D$5:$GG$1380,$K1304,AH!$U$10))))&gt;0),IF(AND(AH!$U$12=1,1299+1=AH!$U$6),IF(AH!$U$4=0,"unavailable",INDEX('Market Data'!$AN$5:$AN$66,AH!$U$4)),IF(AH!$U$5=1,INDEX('Live History'!$B$5:$B$3004,$K1304),INDEX('AH History'!$D$5:$GG$1380,$K1304,AH!$U$10))),NA()),NA())</f>
        <v/>
      </c>
      <c r="F1304" s="32">
        <f>IFERROR(IF(ISNUMBER($A1304),IF(AND(AH!$U$12=1,1299+1=AH!$U$6),IF(AH!$U$4=0,"unavailable",INDEX('Market Data'!$AO$5:$AO$66,AH!$U$4)),IF(AH!$U$5=1,INDEX('Live History'!$E$5:$E$3004,MATCH($A1304,'Live History'!$D$5:$D$3004,1)),INDEX('AH History'!$D$5:$GG$1380,$K1304,AH!$U$10+1))),NA()),NA())</f>
        <v/>
      </c>
      <c r="G1304" s="34">
        <f>IFERROR(IF(ISNUMBER($A1304),IF(AND(AH!$U$12=1,1299+1=AH!$U$6),IF(AH!$U$4=0,"unavailable",INDEX('Market Data'!$AK$5:$AK$66,AH!$U$4)),IF(AH!$U$5=1,INDEX('Live History'!$D$5:$D$3004,MATCH($A1304,'Live History'!$D$5:$D$3004,1)),INDEX('AH History'!$D$5:$GG$1380,$K1304,AH!$U$10+2))),NA()),NA())</f>
        <v/>
      </c>
      <c r="H1304" s="266">
        <f>IFERROR(IF(ISNUMBER($A1304),IF(AND(AH!$U$12=1,1299+1=AH!$U$6),IF(AH!$U$4=0,"unavailable",INDEX('Market Data'!$AP$5:$AP$66,AH!$U$4)),IF(AH!$U$5=1,INDEX('Live History'!$H$5:$H$3004,MATCH($A1304,'Live History'!$G$5:$G$3004,1)),INDEX('AH History'!$B$5:$B$1380,$K1304))),NA()),NA())</f>
        <v/>
      </c>
      <c r="I1304" s="34">
        <f>IFERROR(IF(ISNUMBER($A1304),IF(AND(AH!$U$12=1,1299+1=AH!$U$6),TODAY(),IF(AH!$U$5=1,INDEX('Live History'!$G$5:$G$3004,MATCH($A1304,'Live History'!$G$5:$G$3004,1)),INDEX('AH History'!$C$5:$C$1380,$K1304))),NA()),NA())</f>
        <v/>
      </c>
      <c r="J1304" s="32">
        <f>IFERROR(IF(AND($F1304&gt;0,$H1304&gt;0,$A1304-$G1304&lt;=10,$A1304-$I1304&lt;=5,$G1304&gt;0,$I1304&gt;0),$F1304*$H1304,NA()),NA())</f>
        <v/>
      </c>
      <c r="K1304" s="15">
        <f>IF($A1304="","",IF(AH!$U$5=1,IFERROR(MATCH($A1304,'Live History'!$A$5:$A$3004,0),0),AH!$U$7+1299))</f>
        <v/>
      </c>
      <c r="L1304" s="15">
        <f>IF(ISNUMBER(A1304),TEXT(A1304,"dd-mmm-yy"),"")</f>
        <v/>
      </c>
    </row>
    <row r="1305">
      <c r="A1305" s="14">
        <f>IF(OR(AH!$U$4=0,1300+1&gt;AH!$U$6,AND(AH!$M$5="Bloomberg",AH!$U$5=0)),"",IFERROR(IF(AND(AH!$U$12=1,1300+1=AH!$U$6),TODAY(),IF(AH!$U$5=1,INDEX('Live History'!$A$5:$A$3004,AH!$U$7+1300),INDEX('AH History'!$A$5:$A$1380,AH!$U$7+1300))),""))</f>
        <v/>
      </c>
      <c r="B1305" s="33">
        <f>IFERROR(IF(AH!$U$11=1,NA(),$J1305/$E1305-1),NA())</f>
        <v/>
      </c>
      <c r="C1305" s="269">
        <f>IFERROR(100*$E1305/$E$5,NA())</f>
        <v/>
      </c>
      <c r="D1305" s="269">
        <f>IFERROR(100*$J1305/$J$5,NA())</f>
        <v/>
      </c>
      <c r="E1305" s="32">
        <f>IFERROR(IF(AND(ISNUMBER($A1305),N(IF(AND(AH!$U$12=1,1300+1=AH!$U$6),IF(AH!$U$4=0,"unavailable",INDEX('Market Data'!$AN$5:$AN$66,AH!$U$4)),IF(AH!$U$5=1,INDEX('Live History'!$B$5:$B$3004,$K1305),INDEX('AH History'!$D$5:$GG$1380,$K1305,AH!$U$10))))&gt;0),IF(AND(AH!$U$12=1,1300+1=AH!$U$6),IF(AH!$U$4=0,"unavailable",INDEX('Market Data'!$AN$5:$AN$66,AH!$U$4)),IF(AH!$U$5=1,INDEX('Live History'!$B$5:$B$3004,$K1305),INDEX('AH History'!$D$5:$GG$1380,$K1305,AH!$U$10))),NA()),NA())</f>
        <v/>
      </c>
      <c r="F1305" s="32">
        <f>IFERROR(IF(ISNUMBER($A1305),IF(AND(AH!$U$12=1,1300+1=AH!$U$6),IF(AH!$U$4=0,"unavailable",INDEX('Market Data'!$AO$5:$AO$66,AH!$U$4)),IF(AH!$U$5=1,INDEX('Live History'!$E$5:$E$3004,MATCH($A1305,'Live History'!$D$5:$D$3004,1)),INDEX('AH History'!$D$5:$GG$1380,$K1305,AH!$U$10+1))),NA()),NA())</f>
        <v/>
      </c>
      <c r="G1305" s="34">
        <f>IFERROR(IF(ISNUMBER($A1305),IF(AND(AH!$U$12=1,1300+1=AH!$U$6),IF(AH!$U$4=0,"unavailable",INDEX('Market Data'!$AK$5:$AK$66,AH!$U$4)),IF(AH!$U$5=1,INDEX('Live History'!$D$5:$D$3004,MATCH($A1305,'Live History'!$D$5:$D$3004,1)),INDEX('AH History'!$D$5:$GG$1380,$K1305,AH!$U$10+2))),NA()),NA())</f>
        <v/>
      </c>
      <c r="H1305" s="266">
        <f>IFERROR(IF(ISNUMBER($A1305),IF(AND(AH!$U$12=1,1300+1=AH!$U$6),IF(AH!$U$4=0,"unavailable",INDEX('Market Data'!$AP$5:$AP$66,AH!$U$4)),IF(AH!$U$5=1,INDEX('Live History'!$H$5:$H$3004,MATCH($A1305,'Live History'!$G$5:$G$3004,1)),INDEX('AH History'!$B$5:$B$1380,$K1305))),NA()),NA())</f>
        <v/>
      </c>
      <c r="I1305" s="34">
        <f>IFERROR(IF(ISNUMBER($A1305),IF(AND(AH!$U$12=1,1300+1=AH!$U$6),TODAY(),IF(AH!$U$5=1,INDEX('Live History'!$G$5:$G$3004,MATCH($A1305,'Live History'!$G$5:$G$3004,1)),INDEX('AH History'!$C$5:$C$1380,$K1305))),NA()),NA())</f>
        <v/>
      </c>
      <c r="J1305" s="32">
        <f>IFERROR(IF(AND($F1305&gt;0,$H1305&gt;0,$A1305-$G1305&lt;=10,$A1305-$I1305&lt;=5,$G1305&gt;0,$I1305&gt;0),$F1305*$H1305,NA()),NA())</f>
        <v/>
      </c>
      <c r="K1305" s="15">
        <f>IF($A1305="","",IF(AH!$U$5=1,IFERROR(MATCH($A1305,'Live History'!$A$5:$A$3004,0),0),AH!$U$7+1300))</f>
        <v/>
      </c>
      <c r="L1305" s="15">
        <f>IF(ISNUMBER(A1305),TEXT(A1305,"dd-mmm-yy"),"")</f>
        <v/>
      </c>
    </row>
    <row r="1306">
      <c r="A1306" s="14">
        <f>IF(OR(AH!$U$4=0,1301+1&gt;AH!$U$6,AND(AH!$M$5="Bloomberg",AH!$U$5=0)),"",IFERROR(IF(AND(AH!$U$12=1,1301+1=AH!$U$6),TODAY(),IF(AH!$U$5=1,INDEX('Live History'!$A$5:$A$3004,AH!$U$7+1301),INDEX('AH History'!$A$5:$A$1380,AH!$U$7+1301))),""))</f>
        <v/>
      </c>
      <c r="B1306" s="33">
        <f>IFERROR(IF(AH!$U$11=1,NA(),$J1306/$E1306-1),NA())</f>
        <v/>
      </c>
      <c r="C1306" s="269">
        <f>IFERROR(100*$E1306/$E$5,NA())</f>
        <v/>
      </c>
      <c r="D1306" s="269">
        <f>IFERROR(100*$J1306/$J$5,NA())</f>
        <v/>
      </c>
      <c r="E1306" s="32">
        <f>IFERROR(IF(AND(ISNUMBER($A1306),N(IF(AND(AH!$U$12=1,1301+1=AH!$U$6),IF(AH!$U$4=0,"unavailable",INDEX('Market Data'!$AN$5:$AN$66,AH!$U$4)),IF(AH!$U$5=1,INDEX('Live History'!$B$5:$B$3004,$K1306),INDEX('AH History'!$D$5:$GG$1380,$K1306,AH!$U$10))))&gt;0),IF(AND(AH!$U$12=1,1301+1=AH!$U$6),IF(AH!$U$4=0,"unavailable",INDEX('Market Data'!$AN$5:$AN$66,AH!$U$4)),IF(AH!$U$5=1,INDEX('Live History'!$B$5:$B$3004,$K1306),INDEX('AH History'!$D$5:$GG$1380,$K1306,AH!$U$10))),NA()),NA())</f>
        <v/>
      </c>
      <c r="F1306" s="32">
        <f>IFERROR(IF(ISNUMBER($A1306),IF(AND(AH!$U$12=1,1301+1=AH!$U$6),IF(AH!$U$4=0,"unavailable",INDEX('Market Data'!$AO$5:$AO$66,AH!$U$4)),IF(AH!$U$5=1,INDEX('Live History'!$E$5:$E$3004,MATCH($A1306,'Live History'!$D$5:$D$3004,1)),INDEX('AH History'!$D$5:$GG$1380,$K1306,AH!$U$10+1))),NA()),NA())</f>
        <v/>
      </c>
      <c r="G1306" s="34">
        <f>IFERROR(IF(ISNUMBER($A1306),IF(AND(AH!$U$12=1,1301+1=AH!$U$6),IF(AH!$U$4=0,"unavailable",INDEX('Market Data'!$AK$5:$AK$66,AH!$U$4)),IF(AH!$U$5=1,INDEX('Live History'!$D$5:$D$3004,MATCH($A1306,'Live History'!$D$5:$D$3004,1)),INDEX('AH History'!$D$5:$GG$1380,$K1306,AH!$U$10+2))),NA()),NA())</f>
        <v/>
      </c>
      <c r="H1306" s="266">
        <f>IFERROR(IF(ISNUMBER($A1306),IF(AND(AH!$U$12=1,1301+1=AH!$U$6),IF(AH!$U$4=0,"unavailable",INDEX('Market Data'!$AP$5:$AP$66,AH!$U$4)),IF(AH!$U$5=1,INDEX('Live History'!$H$5:$H$3004,MATCH($A1306,'Live History'!$G$5:$G$3004,1)),INDEX('AH History'!$B$5:$B$1380,$K1306))),NA()),NA())</f>
        <v/>
      </c>
      <c r="I1306" s="34">
        <f>IFERROR(IF(ISNUMBER($A1306),IF(AND(AH!$U$12=1,1301+1=AH!$U$6),TODAY(),IF(AH!$U$5=1,INDEX('Live History'!$G$5:$G$3004,MATCH($A1306,'Live History'!$G$5:$G$3004,1)),INDEX('AH History'!$C$5:$C$1380,$K1306))),NA()),NA())</f>
        <v/>
      </c>
      <c r="J1306" s="32">
        <f>IFERROR(IF(AND($F1306&gt;0,$H1306&gt;0,$A1306-$G1306&lt;=10,$A1306-$I1306&lt;=5,$G1306&gt;0,$I1306&gt;0),$F1306*$H1306,NA()),NA())</f>
        <v/>
      </c>
      <c r="K1306" s="15">
        <f>IF($A1306="","",IF(AH!$U$5=1,IFERROR(MATCH($A1306,'Live History'!$A$5:$A$3004,0),0),AH!$U$7+1301))</f>
        <v/>
      </c>
      <c r="L1306" s="15">
        <f>IF(ISNUMBER(A1306),TEXT(A1306,"dd-mmm-yy"),"")</f>
        <v/>
      </c>
    </row>
    <row r="1307">
      <c r="A1307" s="14">
        <f>IF(OR(AH!$U$4=0,1302+1&gt;AH!$U$6,AND(AH!$M$5="Bloomberg",AH!$U$5=0)),"",IFERROR(IF(AND(AH!$U$12=1,1302+1=AH!$U$6),TODAY(),IF(AH!$U$5=1,INDEX('Live History'!$A$5:$A$3004,AH!$U$7+1302),INDEX('AH History'!$A$5:$A$1380,AH!$U$7+1302))),""))</f>
        <v/>
      </c>
      <c r="B1307" s="33">
        <f>IFERROR(IF(AH!$U$11=1,NA(),$J1307/$E1307-1),NA())</f>
        <v/>
      </c>
      <c r="C1307" s="269">
        <f>IFERROR(100*$E1307/$E$5,NA())</f>
        <v/>
      </c>
      <c r="D1307" s="269">
        <f>IFERROR(100*$J1307/$J$5,NA())</f>
        <v/>
      </c>
      <c r="E1307" s="32">
        <f>IFERROR(IF(AND(ISNUMBER($A1307),N(IF(AND(AH!$U$12=1,1302+1=AH!$U$6),IF(AH!$U$4=0,"unavailable",INDEX('Market Data'!$AN$5:$AN$66,AH!$U$4)),IF(AH!$U$5=1,INDEX('Live History'!$B$5:$B$3004,$K1307),INDEX('AH History'!$D$5:$GG$1380,$K1307,AH!$U$10))))&gt;0),IF(AND(AH!$U$12=1,1302+1=AH!$U$6),IF(AH!$U$4=0,"unavailable",INDEX('Market Data'!$AN$5:$AN$66,AH!$U$4)),IF(AH!$U$5=1,INDEX('Live History'!$B$5:$B$3004,$K1307),INDEX('AH History'!$D$5:$GG$1380,$K1307,AH!$U$10))),NA()),NA())</f>
        <v/>
      </c>
      <c r="F1307" s="32">
        <f>IFERROR(IF(ISNUMBER($A1307),IF(AND(AH!$U$12=1,1302+1=AH!$U$6),IF(AH!$U$4=0,"unavailable",INDEX('Market Data'!$AO$5:$AO$66,AH!$U$4)),IF(AH!$U$5=1,INDEX('Live History'!$E$5:$E$3004,MATCH($A1307,'Live History'!$D$5:$D$3004,1)),INDEX('AH History'!$D$5:$GG$1380,$K1307,AH!$U$10+1))),NA()),NA())</f>
        <v/>
      </c>
      <c r="G1307" s="34">
        <f>IFERROR(IF(ISNUMBER($A1307),IF(AND(AH!$U$12=1,1302+1=AH!$U$6),IF(AH!$U$4=0,"unavailable",INDEX('Market Data'!$AK$5:$AK$66,AH!$U$4)),IF(AH!$U$5=1,INDEX('Live History'!$D$5:$D$3004,MATCH($A1307,'Live History'!$D$5:$D$3004,1)),INDEX('AH History'!$D$5:$GG$1380,$K1307,AH!$U$10+2))),NA()),NA())</f>
        <v/>
      </c>
      <c r="H1307" s="266">
        <f>IFERROR(IF(ISNUMBER($A1307),IF(AND(AH!$U$12=1,1302+1=AH!$U$6),IF(AH!$U$4=0,"unavailable",INDEX('Market Data'!$AP$5:$AP$66,AH!$U$4)),IF(AH!$U$5=1,INDEX('Live History'!$H$5:$H$3004,MATCH($A1307,'Live History'!$G$5:$G$3004,1)),INDEX('AH History'!$B$5:$B$1380,$K1307))),NA()),NA())</f>
        <v/>
      </c>
      <c r="I1307" s="34">
        <f>IFERROR(IF(ISNUMBER($A1307),IF(AND(AH!$U$12=1,1302+1=AH!$U$6),TODAY(),IF(AH!$U$5=1,INDEX('Live History'!$G$5:$G$3004,MATCH($A1307,'Live History'!$G$5:$G$3004,1)),INDEX('AH History'!$C$5:$C$1380,$K1307))),NA()),NA())</f>
        <v/>
      </c>
      <c r="J1307" s="32">
        <f>IFERROR(IF(AND($F1307&gt;0,$H1307&gt;0,$A1307-$G1307&lt;=10,$A1307-$I1307&lt;=5,$G1307&gt;0,$I1307&gt;0),$F1307*$H1307,NA()),NA())</f>
        <v/>
      </c>
      <c r="K1307" s="15">
        <f>IF($A1307="","",IF(AH!$U$5=1,IFERROR(MATCH($A1307,'Live History'!$A$5:$A$3004,0),0),AH!$U$7+1302))</f>
        <v/>
      </c>
      <c r="L1307" s="15">
        <f>IF(ISNUMBER(A1307),TEXT(A1307,"dd-mmm-yy"),"")</f>
        <v/>
      </c>
    </row>
    <row r="1308">
      <c r="A1308" s="14">
        <f>IF(OR(AH!$U$4=0,1303+1&gt;AH!$U$6,AND(AH!$M$5="Bloomberg",AH!$U$5=0)),"",IFERROR(IF(AND(AH!$U$12=1,1303+1=AH!$U$6),TODAY(),IF(AH!$U$5=1,INDEX('Live History'!$A$5:$A$3004,AH!$U$7+1303),INDEX('AH History'!$A$5:$A$1380,AH!$U$7+1303))),""))</f>
        <v/>
      </c>
      <c r="B1308" s="33">
        <f>IFERROR(IF(AH!$U$11=1,NA(),$J1308/$E1308-1),NA())</f>
        <v/>
      </c>
      <c r="C1308" s="269">
        <f>IFERROR(100*$E1308/$E$5,NA())</f>
        <v/>
      </c>
      <c r="D1308" s="269">
        <f>IFERROR(100*$J1308/$J$5,NA())</f>
        <v/>
      </c>
      <c r="E1308" s="32">
        <f>IFERROR(IF(AND(ISNUMBER($A1308),N(IF(AND(AH!$U$12=1,1303+1=AH!$U$6),IF(AH!$U$4=0,"unavailable",INDEX('Market Data'!$AN$5:$AN$66,AH!$U$4)),IF(AH!$U$5=1,INDEX('Live History'!$B$5:$B$3004,$K1308),INDEX('AH History'!$D$5:$GG$1380,$K1308,AH!$U$10))))&gt;0),IF(AND(AH!$U$12=1,1303+1=AH!$U$6),IF(AH!$U$4=0,"unavailable",INDEX('Market Data'!$AN$5:$AN$66,AH!$U$4)),IF(AH!$U$5=1,INDEX('Live History'!$B$5:$B$3004,$K1308),INDEX('AH History'!$D$5:$GG$1380,$K1308,AH!$U$10))),NA()),NA())</f>
        <v/>
      </c>
      <c r="F1308" s="32">
        <f>IFERROR(IF(ISNUMBER($A1308),IF(AND(AH!$U$12=1,1303+1=AH!$U$6),IF(AH!$U$4=0,"unavailable",INDEX('Market Data'!$AO$5:$AO$66,AH!$U$4)),IF(AH!$U$5=1,INDEX('Live History'!$E$5:$E$3004,MATCH($A1308,'Live History'!$D$5:$D$3004,1)),INDEX('AH History'!$D$5:$GG$1380,$K1308,AH!$U$10+1))),NA()),NA())</f>
        <v/>
      </c>
      <c r="G1308" s="34">
        <f>IFERROR(IF(ISNUMBER($A1308),IF(AND(AH!$U$12=1,1303+1=AH!$U$6),IF(AH!$U$4=0,"unavailable",INDEX('Market Data'!$AK$5:$AK$66,AH!$U$4)),IF(AH!$U$5=1,INDEX('Live History'!$D$5:$D$3004,MATCH($A1308,'Live History'!$D$5:$D$3004,1)),INDEX('AH History'!$D$5:$GG$1380,$K1308,AH!$U$10+2))),NA()),NA())</f>
        <v/>
      </c>
      <c r="H1308" s="266">
        <f>IFERROR(IF(ISNUMBER($A1308),IF(AND(AH!$U$12=1,1303+1=AH!$U$6),IF(AH!$U$4=0,"unavailable",INDEX('Market Data'!$AP$5:$AP$66,AH!$U$4)),IF(AH!$U$5=1,INDEX('Live History'!$H$5:$H$3004,MATCH($A1308,'Live History'!$G$5:$G$3004,1)),INDEX('AH History'!$B$5:$B$1380,$K1308))),NA()),NA())</f>
        <v/>
      </c>
      <c r="I1308" s="34">
        <f>IFERROR(IF(ISNUMBER($A1308),IF(AND(AH!$U$12=1,1303+1=AH!$U$6),TODAY(),IF(AH!$U$5=1,INDEX('Live History'!$G$5:$G$3004,MATCH($A1308,'Live History'!$G$5:$G$3004,1)),INDEX('AH History'!$C$5:$C$1380,$K1308))),NA()),NA())</f>
        <v/>
      </c>
      <c r="J1308" s="32">
        <f>IFERROR(IF(AND($F1308&gt;0,$H1308&gt;0,$A1308-$G1308&lt;=10,$A1308-$I1308&lt;=5,$G1308&gt;0,$I1308&gt;0),$F1308*$H1308,NA()),NA())</f>
        <v/>
      </c>
      <c r="K1308" s="15">
        <f>IF($A1308="","",IF(AH!$U$5=1,IFERROR(MATCH($A1308,'Live History'!$A$5:$A$3004,0),0),AH!$U$7+1303))</f>
        <v/>
      </c>
      <c r="L1308" s="15">
        <f>IF(ISNUMBER(A1308),TEXT(A1308,"dd-mmm-yy"),"")</f>
        <v/>
      </c>
    </row>
    <row r="1309">
      <c r="A1309" s="14">
        <f>IF(OR(AH!$U$4=0,1304+1&gt;AH!$U$6,AND(AH!$M$5="Bloomberg",AH!$U$5=0)),"",IFERROR(IF(AND(AH!$U$12=1,1304+1=AH!$U$6),TODAY(),IF(AH!$U$5=1,INDEX('Live History'!$A$5:$A$3004,AH!$U$7+1304),INDEX('AH History'!$A$5:$A$1380,AH!$U$7+1304))),""))</f>
        <v/>
      </c>
      <c r="B1309" s="33">
        <f>IFERROR(IF(AH!$U$11=1,NA(),$J1309/$E1309-1),NA())</f>
        <v/>
      </c>
      <c r="C1309" s="269">
        <f>IFERROR(100*$E1309/$E$5,NA())</f>
        <v/>
      </c>
      <c r="D1309" s="269">
        <f>IFERROR(100*$J1309/$J$5,NA())</f>
        <v/>
      </c>
      <c r="E1309" s="32">
        <f>IFERROR(IF(AND(ISNUMBER($A1309),N(IF(AND(AH!$U$12=1,1304+1=AH!$U$6),IF(AH!$U$4=0,"unavailable",INDEX('Market Data'!$AN$5:$AN$66,AH!$U$4)),IF(AH!$U$5=1,INDEX('Live History'!$B$5:$B$3004,$K1309),INDEX('AH History'!$D$5:$GG$1380,$K1309,AH!$U$10))))&gt;0),IF(AND(AH!$U$12=1,1304+1=AH!$U$6),IF(AH!$U$4=0,"unavailable",INDEX('Market Data'!$AN$5:$AN$66,AH!$U$4)),IF(AH!$U$5=1,INDEX('Live History'!$B$5:$B$3004,$K1309),INDEX('AH History'!$D$5:$GG$1380,$K1309,AH!$U$10))),NA()),NA())</f>
        <v/>
      </c>
      <c r="F1309" s="32">
        <f>IFERROR(IF(ISNUMBER($A1309),IF(AND(AH!$U$12=1,1304+1=AH!$U$6),IF(AH!$U$4=0,"unavailable",INDEX('Market Data'!$AO$5:$AO$66,AH!$U$4)),IF(AH!$U$5=1,INDEX('Live History'!$E$5:$E$3004,MATCH($A1309,'Live History'!$D$5:$D$3004,1)),INDEX('AH History'!$D$5:$GG$1380,$K1309,AH!$U$10+1))),NA()),NA())</f>
        <v/>
      </c>
      <c r="G1309" s="34">
        <f>IFERROR(IF(ISNUMBER($A1309),IF(AND(AH!$U$12=1,1304+1=AH!$U$6),IF(AH!$U$4=0,"unavailable",INDEX('Market Data'!$AK$5:$AK$66,AH!$U$4)),IF(AH!$U$5=1,INDEX('Live History'!$D$5:$D$3004,MATCH($A1309,'Live History'!$D$5:$D$3004,1)),INDEX('AH History'!$D$5:$GG$1380,$K1309,AH!$U$10+2))),NA()),NA())</f>
        <v/>
      </c>
      <c r="H1309" s="266">
        <f>IFERROR(IF(ISNUMBER($A1309),IF(AND(AH!$U$12=1,1304+1=AH!$U$6),IF(AH!$U$4=0,"unavailable",INDEX('Market Data'!$AP$5:$AP$66,AH!$U$4)),IF(AH!$U$5=1,INDEX('Live History'!$H$5:$H$3004,MATCH($A1309,'Live History'!$G$5:$G$3004,1)),INDEX('AH History'!$B$5:$B$1380,$K1309))),NA()),NA())</f>
        <v/>
      </c>
      <c r="I1309" s="34">
        <f>IFERROR(IF(ISNUMBER($A1309),IF(AND(AH!$U$12=1,1304+1=AH!$U$6),TODAY(),IF(AH!$U$5=1,INDEX('Live History'!$G$5:$G$3004,MATCH($A1309,'Live History'!$G$5:$G$3004,1)),INDEX('AH History'!$C$5:$C$1380,$K1309))),NA()),NA())</f>
        <v/>
      </c>
      <c r="J1309" s="32">
        <f>IFERROR(IF(AND($F1309&gt;0,$H1309&gt;0,$A1309-$G1309&lt;=10,$A1309-$I1309&lt;=5,$G1309&gt;0,$I1309&gt;0),$F1309*$H1309,NA()),NA())</f>
        <v/>
      </c>
      <c r="K1309" s="15">
        <f>IF($A1309="","",IF(AH!$U$5=1,IFERROR(MATCH($A1309,'Live History'!$A$5:$A$3004,0),0),AH!$U$7+1304))</f>
        <v/>
      </c>
      <c r="L1309" s="15">
        <f>IF(ISNUMBER(A1309),TEXT(A1309,"dd-mmm-yy"),"")</f>
        <v/>
      </c>
    </row>
    <row r="1310">
      <c r="A1310" s="14">
        <f>IF(OR(AH!$U$4=0,1305+1&gt;AH!$U$6,AND(AH!$M$5="Bloomberg",AH!$U$5=0)),"",IFERROR(IF(AND(AH!$U$12=1,1305+1=AH!$U$6),TODAY(),IF(AH!$U$5=1,INDEX('Live History'!$A$5:$A$3004,AH!$U$7+1305),INDEX('AH History'!$A$5:$A$1380,AH!$U$7+1305))),""))</f>
        <v/>
      </c>
      <c r="B1310" s="33">
        <f>IFERROR(IF(AH!$U$11=1,NA(),$J1310/$E1310-1),NA())</f>
        <v/>
      </c>
      <c r="C1310" s="269">
        <f>IFERROR(100*$E1310/$E$5,NA())</f>
        <v/>
      </c>
      <c r="D1310" s="269">
        <f>IFERROR(100*$J1310/$J$5,NA())</f>
        <v/>
      </c>
      <c r="E1310" s="32">
        <f>IFERROR(IF(AND(ISNUMBER($A1310),N(IF(AND(AH!$U$12=1,1305+1=AH!$U$6),IF(AH!$U$4=0,"unavailable",INDEX('Market Data'!$AN$5:$AN$66,AH!$U$4)),IF(AH!$U$5=1,INDEX('Live History'!$B$5:$B$3004,$K1310),INDEX('AH History'!$D$5:$GG$1380,$K1310,AH!$U$10))))&gt;0),IF(AND(AH!$U$12=1,1305+1=AH!$U$6),IF(AH!$U$4=0,"unavailable",INDEX('Market Data'!$AN$5:$AN$66,AH!$U$4)),IF(AH!$U$5=1,INDEX('Live History'!$B$5:$B$3004,$K1310),INDEX('AH History'!$D$5:$GG$1380,$K1310,AH!$U$10))),NA()),NA())</f>
        <v/>
      </c>
      <c r="F1310" s="32">
        <f>IFERROR(IF(ISNUMBER($A1310),IF(AND(AH!$U$12=1,1305+1=AH!$U$6),IF(AH!$U$4=0,"unavailable",INDEX('Market Data'!$AO$5:$AO$66,AH!$U$4)),IF(AH!$U$5=1,INDEX('Live History'!$E$5:$E$3004,MATCH($A1310,'Live History'!$D$5:$D$3004,1)),INDEX('AH History'!$D$5:$GG$1380,$K1310,AH!$U$10+1))),NA()),NA())</f>
        <v/>
      </c>
      <c r="G1310" s="34">
        <f>IFERROR(IF(ISNUMBER($A1310),IF(AND(AH!$U$12=1,1305+1=AH!$U$6),IF(AH!$U$4=0,"unavailable",INDEX('Market Data'!$AK$5:$AK$66,AH!$U$4)),IF(AH!$U$5=1,INDEX('Live History'!$D$5:$D$3004,MATCH($A1310,'Live History'!$D$5:$D$3004,1)),INDEX('AH History'!$D$5:$GG$1380,$K1310,AH!$U$10+2))),NA()),NA())</f>
        <v/>
      </c>
      <c r="H1310" s="266">
        <f>IFERROR(IF(ISNUMBER($A1310),IF(AND(AH!$U$12=1,1305+1=AH!$U$6),IF(AH!$U$4=0,"unavailable",INDEX('Market Data'!$AP$5:$AP$66,AH!$U$4)),IF(AH!$U$5=1,INDEX('Live History'!$H$5:$H$3004,MATCH($A1310,'Live History'!$G$5:$G$3004,1)),INDEX('AH History'!$B$5:$B$1380,$K1310))),NA()),NA())</f>
        <v/>
      </c>
      <c r="I1310" s="34">
        <f>IFERROR(IF(ISNUMBER($A1310),IF(AND(AH!$U$12=1,1305+1=AH!$U$6),TODAY(),IF(AH!$U$5=1,INDEX('Live History'!$G$5:$G$3004,MATCH($A1310,'Live History'!$G$5:$G$3004,1)),INDEX('AH History'!$C$5:$C$1380,$K1310))),NA()),NA())</f>
        <v/>
      </c>
      <c r="J1310" s="32">
        <f>IFERROR(IF(AND($F1310&gt;0,$H1310&gt;0,$A1310-$G1310&lt;=10,$A1310-$I1310&lt;=5,$G1310&gt;0,$I1310&gt;0),$F1310*$H1310,NA()),NA())</f>
        <v/>
      </c>
      <c r="K1310" s="15">
        <f>IF($A1310="","",IF(AH!$U$5=1,IFERROR(MATCH($A1310,'Live History'!$A$5:$A$3004,0),0),AH!$U$7+1305))</f>
        <v/>
      </c>
      <c r="L1310" s="15">
        <f>IF(ISNUMBER(A1310),TEXT(A1310,"dd-mmm-yy"),"")</f>
        <v/>
      </c>
    </row>
    <row r="1311">
      <c r="A1311" s="14">
        <f>IF(OR(AH!$U$4=0,1306+1&gt;AH!$U$6,AND(AH!$M$5="Bloomberg",AH!$U$5=0)),"",IFERROR(IF(AND(AH!$U$12=1,1306+1=AH!$U$6),TODAY(),IF(AH!$U$5=1,INDEX('Live History'!$A$5:$A$3004,AH!$U$7+1306),INDEX('AH History'!$A$5:$A$1380,AH!$U$7+1306))),""))</f>
        <v/>
      </c>
      <c r="B1311" s="33">
        <f>IFERROR(IF(AH!$U$11=1,NA(),$J1311/$E1311-1),NA())</f>
        <v/>
      </c>
      <c r="C1311" s="269">
        <f>IFERROR(100*$E1311/$E$5,NA())</f>
        <v/>
      </c>
      <c r="D1311" s="269">
        <f>IFERROR(100*$J1311/$J$5,NA())</f>
        <v/>
      </c>
      <c r="E1311" s="32">
        <f>IFERROR(IF(AND(ISNUMBER($A1311),N(IF(AND(AH!$U$12=1,1306+1=AH!$U$6),IF(AH!$U$4=0,"unavailable",INDEX('Market Data'!$AN$5:$AN$66,AH!$U$4)),IF(AH!$U$5=1,INDEX('Live History'!$B$5:$B$3004,$K1311),INDEX('AH History'!$D$5:$GG$1380,$K1311,AH!$U$10))))&gt;0),IF(AND(AH!$U$12=1,1306+1=AH!$U$6),IF(AH!$U$4=0,"unavailable",INDEX('Market Data'!$AN$5:$AN$66,AH!$U$4)),IF(AH!$U$5=1,INDEX('Live History'!$B$5:$B$3004,$K1311),INDEX('AH History'!$D$5:$GG$1380,$K1311,AH!$U$10))),NA()),NA())</f>
        <v/>
      </c>
      <c r="F1311" s="32">
        <f>IFERROR(IF(ISNUMBER($A1311),IF(AND(AH!$U$12=1,1306+1=AH!$U$6),IF(AH!$U$4=0,"unavailable",INDEX('Market Data'!$AO$5:$AO$66,AH!$U$4)),IF(AH!$U$5=1,INDEX('Live History'!$E$5:$E$3004,MATCH($A1311,'Live History'!$D$5:$D$3004,1)),INDEX('AH History'!$D$5:$GG$1380,$K1311,AH!$U$10+1))),NA()),NA())</f>
        <v/>
      </c>
      <c r="G1311" s="34">
        <f>IFERROR(IF(ISNUMBER($A1311),IF(AND(AH!$U$12=1,1306+1=AH!$U$6),IF(AH!$U$4=0,"unavailable",INDEX('Market Data'!$AK$5:$AK$66,AH!$U$4)),IF(AH!$U$5=1,INDEX('Live History'!$D$5:$D$3004,MATCH($A1311,'Live History'!$D$5:$D$3004,1)),INDEX('AH History'!$D$5:$GG$1380,$K1311,AH!$U$10+2))),NA()),NA())</f>
        <v/>
      </c>
      <c r="H1311" s="266">
        <f>IFERROR(IF(ISNUMBER($A1311),IF(AND(AH!$U$12=1,1306+1=AH!$U$6),IF(AH!$U$4=0,"unavailable",INDEX('Market Data'!$AP$5:$AP$66,AH!$U$4)),IF(AH!$U$5=1,INDEX('Live History'!$H$5:$H$3004,MATCH($A1311,'Live History'!$G$5:$G$3004,1)),INDEX('AH History'!$B$5:$B$1380,$K1311))),NA()),NA())</f>
        <v/>
      </c>
      <c r="I1311" s="34">
        <f>IFERROR(IF(ISNUMBER($A1311),IF(AND(AH!$U$12=1,1306+1=AH!$U$6),TODAY(),IF(AH!$U$5=1,INDEX('Live History'!$G$5:$G$3004,MATCH($A1311,'Live History'!$G$5:$G$3004,1)),INDEX('AH History'!$C$5:$C$1380,$K1311))),NA()),NA())</f>
        <v/>
      </c>
      <c r="J1311" s="32">
        <f>IFERROR(IF(AND($F1311&gt;0,$H1311&gt;0,$A1311-$G1311&lt;=10,$A1311-$I1311&lt;=5,$G1311&gt;0,$I1311&gt;0),$F1311*$H1311,NA()),NA())</f>
        <v/>
      </c>
      <c r="K1311" s="15">
        <f>IF($A1311="","",IF(AH!$U$5=1,IFERROR(MATCH($A1311,'Live History'!$A$5:$A$3004,0),0),AH!$U$7+1306))</f>
        <v/>
      </c>
      <c r="L1311" s="15">
        <f>IF(ISNUMBER(A1311),TEXT(A1311,"dd-mmm-yy"),"")</f>
        <v/>
      </c>
    </row>
    <row r="1312">
      <c r="A1312" s="14">
        <f>IF(OR(AH!$U$4=0,1307+1&gt;AH!$U$6,AND(AH!$M$5="Bloomberg",AH!$U$5=0)),"",IFERROR(IF(AND(AH!$U$12=1,1307+1=AH!$U$6),TODAY(),IF(AH!$U$5=1,INDEX('Live History'!$A$5:$A$3004,AH!$U$7+1307),INDEX('AH History'!$A$5:$A$1380,AH!$U$7+1307))),""))</f>
        <v/>
      </c>
      <c r="B1312" s="33">
        <f>IFERROR(IF(AH!$U$11=1,NA(),$J1312/$E1312-1),NA())</f>
        <v/>
      </c>
      <c r="C1312" s="269">
        <f>IFERROR(100*$E1312/$E$5,NA())</f>
        <v/>
      </c>
      <c r="D1312" s="269">
        <f>IFERROR(100*$J1312/$J$5,NA())</f>
        <v/>
      </c>
      <c r="E1312" s="32">
        <f>IFERROR(IF(AND(ISNUMBER($A1312),N(IF(AND(AH!$U$12=1,1307+1=AH!$U$6),IF(AH!$U$4=0,"unavailable",INDEX('Market Data'!$AN$5:$AN$66,AH!$U$4)),IF(AH!$U$5=1,INDEX('Live History'!$B$5:$B$3004,$K1312),INDEX('AH History'!$D$5:$GG$1380,$K1312,AH!$U$10))))&gt;0),IF(AND(AH!$U$12=1,1307+1=AH!$U$6),IF(AH!$U$4=0,"unavailable",INDEX('Market Data'!$AN$5:$AN$66,AH!$U$4)),IF(AH!$U$5=1,INDEX('Live History'!$B$5:$B$3004,$K1312),INDEX('AH History'!$D$5:$GG$1380,$K1312,AH!$U$10))),NA()),NA())</f>
        <v/>
      </c>
      <c r="F1312" s="32">
        <f>IFERROR(IF(ISNUMBER($A1312),IF(AND(AH!$U$12=1,1307+1=AH!$U$6),IF(AH!$U$4=0,"unavailable",INDEX('Market Data'!$AO$5:$AO$66,AH!$U$4)),IF(AH!$U$5=1,INDEX('Live History'!$E$5:$E$3004,MATCH($A1312,'Live History'!$D$5:$D$3004,1)),INDEX('AH History'!$D$5:$GG$1380,$K1312,AH!$U$10+1))),NA()),NA())</f>
        <v/>
      </c>
      <c r="G1312" s="34">
        <f>IFERROR(IF(ISNUMBER($A1312),IF(AND(AH!$U$12=1,1307+1=AH!$U$6),IF(AH!$U$4=0,"unavailable",INDEX('Market Data'!$AK$5:$AK$66,AH!$U$4)),IF(AH!$U$5=1,INDEX('Live History'!$D$5:$D$3004,MATCH($A1312,'Live History'!$D$5:$D$3004,1)),INDEX('AH History'!$D$5:$GG$1380,$K1312,AH!$U$10+2))),NA()),NA())</f>
        <v/>
      </c>
      <c r="H1312" s="266">
        <f>IFERROR(IF(ISNUMBER($A1312),IF(AND(AH!$U$12=1,1307+1=AH!$U$6),IF(AH!$U$4=0,"unavailable",INDEX('Market Data'!$AP$5:$AP$66,AH!$U$4)),IF(AH!$U$5=1,INDEX('Live History'!$H$5:$H$3004,MATCH($A1312,'Live History'!$G$5:$G$3004,1)),INDEX('AH History'!$B$5:$B$1380,$K1312))),NA()),NA())</f>
        <v/>
      </c>
      <c r="I1312" s="34">
        <f>IFERROR(IF(ISNUMBER($A1312),IF(AND(AH!$U$12=1,1307+1=AH!$U$6),TODAY(),IF(AH!$U$5=1,INDEX('Live History'!$G$5:$G$3004,MATCH($A1312,'Live History'!$G$5:$G$3004,1)),INDEX('AH History'!$C$5:$C$1380,$K1312))),NA()),NA())</f>
        <v/>
      </c>
      <c r="J1312" s="32">
        <f>IFERROR(IF(AND($F1312&gt;0,$H1312&gt;0,$A1312-$G1312&lt;=10,$A1312-$I1312&lt;=5,$G1312&gt;0,$I1312&gt;0),$F1312*$H1312,NA()),NA())</f>
        <v/>
      </c>
      <c r="K1312" s="15">
        <f>IF($A1312="","",IF(AH!$U$5=1,IFERROR(MATCH($A1312,'Live History'!$A$5:$A$3004,0),0),AH!$U$7+1307))</f>
        <v/>
      </c>
      <c r="L1312" s="15">
        <f>IF(ISNUMBER(A1312),TEXT(A1312,"dd-mmm-yy"),"")</f>
        <v/>
      </c>
    </row>
    <row r="1313">
      <c r="A1313" s="14">
        <f>IF(OR(AH!$U$4=0,1308+1&gt;AH!$U$6,AND(AH!$M$5="Bloomberg",AH!$U$5=0)),"",IFERROR(IF(AND(AH!$U$12=1,1308+1=AH!$U$6),TODAY(),IF(AH!$U$5=1,INDEX('Live History'!$A$5:$A$3004,AH!$U$7+1308),INDEX('AH History'!$A$5:$A$1380,AH!$U$7+1308))),""))</f>
        <v/>
      </c>
      <c r="B1313" s="33">
        <f>IFERROR(IF(AH!$U$11=1,NA(),$J1313/$E1313-1),NA())</f>
        <v/>
      </c>
      <c r="C1313" s="269">
        <f>IFERROR(100*$E1313/$E$5,NA())</f>
        <v/>
      </c>
      <c r="D1313" s="269">
        <f>IFERROR(100*$J1313/$J$5,NA())</f>
        <v/>
      </c>
      <c r="E1313" s="32">
        <f>IFERROR(IF(AND(ISNUMBER($A1313),N(IF(AND(AH!$U$12=1,1308+1=AH!$U$6),IF(AH!$U$4=0,"unavailable",INDEX('Market Data'!$AN$5:$AN$66,AH!$U$4)),IF(AH!$U$5=1,INDEX('Live History'!$B$5:$B$3004,$K1313),INDEX('AH History'!$D$5:$GG$1380,$K1313,AH!$U$10))))&gt;0),IF(AND(AH!$U$12=1,1308+1=AH!$U$6),IF(AH!$U$4=0,"unavailable",INDEX('Market Data'!$AN$5:$AN$66,AH!$U$4)),IF(AH!$U$5=1,INDEX('Live History'!$B$5:$B$3004,$K1313),INDEX('AH History'!$D$5:$GG$1380,$K1313,AH!$U$10))),NA()),NA())</f>
        <v/>
      </c>
      <c r="F1313" s="32">
        <f>IFERROR(IF(ISNUMBER($A1313),IF(AND(AH!$U$12=1,1308+1=AH!$U$6),IF(AH!$U$4=0,"unavailable",INDEX('Market Data'!$AO$5:$AO$66,AH!$U$4)),IF(AH!$U$5=1,INDEX('Live History'!$E$5:$E$3004,MATCH($A1313,'Live History'!$D$5:$D$3004,1)),INDEX('AH History'!$D$5:$GG$1380,$K1313,AH!$U$10+1))),NA()),NA())</f>
        <v/>
      </c>
      <c r="G1313" s="34">
        <f>IFERROR(IF(ISNUMBER($A1313),IF(AND(AH!$U$12=1,1308+1=AH!$U$6),IF(AH!$U$4=0,"unavailable",INDEX('Market Data'!$AK$5:$AK$66,AH!$U$4)),IF(AH!$U$5=1,INDEX('Live History'!$D$5:$D$3004,MATCH($A1313,'Live History'!$D$5:$D$3004,1)),INDEX('AH History'!$D$5:$GG$1380,$K1313,AH!$U$10+2))),NA()),NA())</f>
        <v/>
      </c>
      <c r="H1313" s="266">
        <f>IFERROR(IF(ISNUMBER($A1313),IF(AND(AH!$U$12=1,1308+1=AH!$U$6),IF(AH!$U$4=0,"unavailable",INDEX('Market Data'!$AP$5:$AP$66,AH!$U$4)),IF(AH!$U$5=1,INDEX('Live History'!$H$5:$H$3004,MATCH($A1313,'Live History'!$G$5:$G$3004,1)),INDEX('AH History'!$B$5:$B$1380,$K1313))),NA()),NA())</f>
        <v/>
      </c>
      <c r="I1313" s="34">
        <f>IFERROR(IF(ISNUMBER($A1313),IF(AND(AH!$U$12=1,1308+1=AH!$U$6),TODAY(),IF(AH!$U$5=1,INDEX('Live History'!$G$5:$G$3004,MATCH($A1313,'Live History'!$G$5:$G$3004,1)),INDEX('AH History'!$C$5:$C$1380,$K1313))),NA()),NA())</f>
        <v/>
      </c>
      <c r="J1313" s="32">
        <f>IFERROR(IF(AND($F1313&gt;0,$H1313&gt;0,$A1313-$G1313&lt;=10,$A1313-$I1313&lt;=5,$G1313&gt;0,$I1313&gt;0),$F1313*$H1313,NA()),NA())</f>
        <v/>
      </c>
      <c r="K1313" s="15">
        <f>IF($A1313="","",IF(AH!$U$5=1,IFERROR(MATCH($A1313,'Live History'!$A$5:$A$3004,0),0),AH!$U$7+1308))</f>
        <v/>
      </c>
      <c r="L1313" s="15">
        <f>IF(ISNUMBER(A1313),TEXT(A1313,"dd-mmm-yy"),"")</f>
        <v/>
      </c>
    </row>
    <row r="1314">
      <c r="A1314" s="14">
        <f>IF(OR(AH!$U$4=0,1309+1&gt;AH!$U$6,AND(AH!$M$5="Bloomberg",AH!$U$5=0)),"",IFERROR(IF(AND(AH!$U$12=1,1309+1=AH!$U$6),TODAY(),IF(AH!$U$5=1,INDEX('Live History'!$A$5:$A$3004,AH!$U$7+1309),INDEX('AH History'!$A$5:$A$1380,AH!$U$7+1309))),""))</f>
        <v/>
      </c>
      <c r="B1314" s="33">
        <f>IFERROR(IF(AH!$U$11=1,NA(),$J1314/$E1314-1),NA())</f>
        <v/>
      </c>
      <c r="C1314" s="269">
        <f>IFERROR(100*$E1314/$E$5,NA())</f>
        <v/>
      </c>
      <c r="D1314" s="269">
        <f>IFERROR(100*$J1314/$J$5,NA())</f>
        <v/>
      </c>
      <c r="E1314" s="32">
        <f>IFERROR(IF(AND(ISNUMBER($A1314),N(IF(AND(AH!$U$12=1,1309+1=AH!$U$6),IF(AH!$U$4=0,"unavailable",INDEX('Market Data'!$AN$5:$AN$66,AH!$U$4)),IF(AH!$U$5=1,INDEX('Live History'!$B$5:$B$3004,$K1314),INDEX('AH History'!$D$5:$GG$1380,$K1314,AH!$U$10))))&gt;0),IF(AND(AH!$U$12=1,1309+1=AH!$U$6),IF(AH!$U$4=0,"unavailable",INDEX('Market Data'!$AN$5:$AN$66,AH!$U$4)),IF(AH!$U$5=1,INDEX('Live History'!$B$5:$B$3004,$K1314),INDEX('AH History'!$D$5:$GG$1380,$K1314,AH!$U$10))),NA()),NA())</f>
        <v/>
      </c>
      <c r="F1314" s="32">
        <f>IFERROR(IF(ISNUMBER($A1314),IF(AND(AH!$U$12=1,1309+1=AH!$U$6),IF(AH!$U$4=0,"unavailable",INDEX('Market Data'!$AO$5:$AO$66,AH!$U$4)),IF(AH!$U$5=1,INDEX('Live History'!$E$5:$E$3004,MATCH($A1314,'Live History'!$D$5:$D$3004,1)),INDEX('AH History'!$D$5:$GG$1380,$K1314,AH!$U$10+1))),NA()),NA())</f>
        <v/>
      </c>
      <c r="G1314" s="34">
        <f>IFERROR(IF(ISNUMBER($A1314),IF(AND(AH!$U$12=1,1309+1=AH!$U$6),IF(AH!$U$4=0,"unavailable",INDEX('Market Data'!$AK$5:$AK$66,AH!$U$4)),IF(AH!$U$5=1,INDEX('Live History'!$D$5:$D$3004,MATCH($A1314,'Live History'!$D$5:$D$3004,1)),INDEX('AH History'!$D$5:$GG$1380,$K1314,AH!$U$10+2))),NA()),NA())</f>
        <v/>
      </c>
      <c r="H1314" s="266">
        <f>IFERROR(IF(ISNUMBER($A1314),IF(AND(AH!$U$12=1,1309+1=AH!$U$6),IF(AH!$U$4=0,"unavailable",INDEX('Market Data'!$AP$5:$AP$66,AH!$U$4)),IF(AH!$U$5=1,INDEX('Live History'!$H$5:$H$3004,MATCH($A1314,'Live History'!$G$5:$G$3004,1)),INDEX('AH History'!$B$5:$B$1380,$K1314))),NA()),NA())</f>
        <v/>
      </c>
      <c r="I1314" s="34">
        <f>IFERROR(IF(ISNUMBER($A1314),IF(AND(AH!$U$12=1,1309+1=AH!$U$6),TODAY(),IF(AH!$U$5=1,INDEX('Live History'!$G$5:$G$3004,MATCH($A1314,'Live History'!$G$5:$G$3004,1)),INDEX('AH History'!$C$5:$C$1380,$K1314))),NA()),NA())</f>
        <v/>
      </c>
      <c r="J1314" s="32">
        <f>IFERROR(IF(AND($F1314&gt;0,$H1314&gt;0,$A1314-$G1314&lt;=10,$A1314-$I1314&lt;=5,$G1314&gt;0,$I1314&gt;0),$F1314*$H1314,NA()),NA())</f>
        <v/>
      </c>
      <c r="K1314" s="15">
        <f>IF($A1314="","",IF(AH!$U$5=1,IFERROR(MATCH($A1314,'Live History'!$A$5:$A$3004,0),0),AH!$U$7+1309))</f>
        <v/>
      </c>
      <c r="L1314" s="15">
        <f>IF(ISNUMBER(A1314),TEXT(A1314,"dd-mmm-yy"),"")</f>
        <v/>
      </c>
    </row>
    <row r="1315">
      <c r="A1315" s="14">
        <f>IF(OR(AH!$U$4=0,1310+1&gt;AH!$U$6,AND(AH!$M$5="Bloomberg",AH!$U$5=0)),"",IFERROR(IF(AND(AH!$U$12=1,1310+1=AH!$U$6),TODAY(),IF(AH!$U$5=1,INDEX('Live History'!$A$5:$A$3004,AH!$U$7+1310),INDEX('AH History'!$A$5:$A$1380,AH!$U$7+1310))),""))</f>
        <v/>
      </c>
      <c r="B1315" s="33">
        <f>IFERROR(IF(AH!$U$11=1,NA(),$J1315/$E1315-1),NA())</f>
        <v/>
      </c>
      <c r="C1315" s="269">
        <f>IFERROR(100*$E1315/$E$5,NA())</f>
        <v/>
      </c>
      <c r="D1315" s="269">
        <f>IFERROR(100*$J1315/$J$5,NA())</f>
        <v/>
      </c>
      <c r="E1315" s="32">
        <f>IFERROR(IF(AND(ISNUMBER($A1315),N(IF(AND(AH!$U$12=1,1310+1=AH!$U$6),IF(AH!$U$4=0,"unavailable",INDEX('Market Data'!$AN$5:$AN$66,AH!$U$4)),IF(AH!$U$5=1,INDEX('Live History'!$B$5:$B$3004,$K1315),INDEX('AH History'!$D$5:$GG$1380,$K1315,AH!$U$10))))&gt;0),IF(AND(AH!$U$12=1,1310+1=AH!$U$6),IF(AH!$U$4=0,"unavailable",INDEX('Market Data'!$AN$5:$AN$66,AH!$U$4)),IF(AH!$U$5=1,INDEX('Live History'!$B$5:$B$3004,$K1315),INDEX('AH History'!$D$5:$GG$1380,$K1315,AH!$U$10))),NA()),NA())</f>
        <v/>
      </c>
      <c r="F1315" s="32">
        <f>IFERROR(IF(ISNUMBER($A1315),IF(AND(AH!$U$12=1,1310+1=AH!$U$6),IF(AH!$U$4=0,"unavailable",INDEX('Market Data'!$AO$5:$AO$66,AH!$U$4)),IF(AH!$U$5=1,INDEX('Live History'!$E$5:$E$3004,MATCH($A1315,'Live History'!$D$5:$D$3004,1)),INDEX('AH History'!$D$5:$GG$1380,$K1315,AH!$U$10+1))),NA()),NA())</f>
        <v/>
      </c>
      <c r="G1315" s="34">
        <f>IFERROR(IF(ISNUMBER($A1315),IF(AND(AH!$U$12=1,1310+1=AH!$U$6),IF(AH!$U$4=0,"unavailable",INDEX('Market Data'!$AK$5:$AK$66,AH!$U$4)),IF(AH!$U$5=1,INDEX('Live History'!$D$5:$D$3004,MATCH($A1315,'Live History'!$D$5:$D$3004,1)),INDEX('AH History'!$D$5:$GG$1380,$K1315,AH!$U$10+2))),NA()),NA())</f>
        <v/>
      </c>
      <c r="H1315" s="266">
        <f>IFERROR(IF(ISNUMBER($A1315),IF(AND(AH!$U$12=1,1310+1=AH!$U$6),IF(AH!$U$4=0,"unavailable",INDEX('Market Data'!$AP$5:$AP$66,AH!$U$4)),IF(AH!$U$5=1,INDEX('Live History'!$H$5:$H$3004,MATCH($A1315,'Live History'!$G$5:$G$3004,1)),INDEX('AH History'!$B$5:$B$1380,$K1315))),NA()),NA())</f>
        <v/>
      </c>
      <c r="I1315" s="34">
        <f>IFERROR(IF(ISNUMBER($A1315),IF(AND(AH!$U$12=1,1310+1=AH!$U$6),TODAY(),IF(AH!$U$5=1,INDEX('Live History'!$G$5:$G$3004,MATCH($A1315,'Live History'!$G$5:$G$3004,1)),INDEX('AH History'!$C$5:$C$1380,$K1315))),NA()),NA())</f>
        <v/>
      </c>
      <c r="J1315" s="32">
        <f>IFERROR(IF(AND($F1315&gt;0,$H1315&gt;0,$A1315-$G1315&lt;=10,$A1315-$I1315&lt;=5,$G1315&gt;0,$I1315&gt;0),$F1315*$H1315,NA()),NA())</f>
        <v/>
      </c>
      <c r="K1315" s="15">
        <f>IF($A1315="","",IF(AH!$U$5=1,IFERROR(MATCH($A1315,'Live History'!$A$5:$A$3004,0),0),AH!$U$7+1310))</f>
        <v/>
      </c>
      <c r="L1315" s="15">
        <f>IF(ISNUMBER(A1315),TEXT(A1315,"dd-mmm-yy"),"")</f>
        <v/>
      </c>
    </row>
    <row r="1316">
      <c r="A1316" s="14">
        <f>IF(OR(AH!$U$4=0,1311+1&gt;AH!$U$6,AND(AH!$M$5="Bloomberg",AH!$U$5=0)),"",IFERROR(IF(AND(AH!$U$12=1,1311+1=AH!$U$6),TODAY(),IF(AH!$U$5=1,INDEX('Live History'!$A$5:$A$3004,AH!$U$7+1311),INDEX('AH History'!$A$5:$A$1380,AH!$U$7+1311))),""))</f>
        <v/>
      </c>
      <c r="B1316" s="33">
        <f>IFERROR(IF(AH!$U$11=1,NA(),$J1316/$E1316-1),NA())</f>
        <v/>
      </c>
      <c r="C1316" s="269">
        <f>IFERROR(100*$E1316/$E$5,NA())</f>
        <v/>
      </c>
      <c r="D1316" s="269">
        <f>IFERROR(100*$J1316/$J$5,NA())</f>
        <v/>
      </c>
      <c r="E1316" s="32">
        <f>IFERROR(IF(AND(ISNUMBER($A1316),N(IF(AND(AH!$U$12=1,1311+1=AH!$U$6),IF(AH!$U$4=0,"unavailable",INDEX('Market Data'!$AN$5:$AN$66,AH!$U$4)),IF(AH!$U$5=1,INDEX('Live History'!$B$5:$B$3004,$K1316),INDEX('AH History'!$D$5:$GG$1380,$K1316,AH!$U$10))))&gt;0),IF(AND(AH!$U$12=1,1311+1=AH!$U$6),IF(AH!$U$4=0,"unavailable",INDEX('Market Data'!$AN$5:$AN$66,AH!$U$4)),IF(AH!$U$5=1,INDEX('Live History'!$B$5:$B$3004,$K1316),INDEX('AH History'!$D$5:$GG$1380,$K1316,AH!$U$10))),NA()),NA())</f>
        <v/>
      </c>
      <c r="F1316" s="32">
        <f>IFERROR(IF(ISNUMBER($A1316),IF(AND(AH!$U$12=1,1311+1=AH!$U$6),IF(AH!$U$4=0,"unavailable",INDEX('Market Data'!$AO$5:$AO$66,AH!$U$4)),IF(AH!$U$5=1,INDEX('Live History'!$E$5:$E$3004,MATCH($A1316,'Live History'!$D$5:$D$3004,1)),INDEX('AH History'!$D$5:$GG$1380,$K1316,AH!$U$10+1))),NA()),NA())</f>
        <v/>
      </c>
      <c r="G1316" s="34">
        <f>IFERROR(IF(ISNUMBER($A1316),IF(AND(AH!$U$12=1,1311+1=AH!$U$6),IF(AH!$U$4=0,"unavailable",INDEX('Market Data'!$AK$5:$AK$66,AH!$U$4)),IF(AH!$U$5=1,INDEX('Live History'!$D$5:$D$3004,MATCH($A1316,'Live History'!$D$5:$D$3004,1)),INDEX('AH History'!$D$5:$GG$1380,$K1316,AH!$U$10+2))),NA()),NA())</f>
        <v/>
      </c>
      <c r="H1316" s="266">
        <f>IFERROR(IF(ISNUMBER($A1316),IF(AND(AH!$U$12=1,1311+1=AH!$U$6),IF(AH!$U$4=0,"unavailable",INDEX('Market Data'!$AP$5:$AP$66,AH!$U$4)),IF(AH!$U$5=1,INDEX('Live History'!$H$5:$H$3004,MATCH($A1316,'Live History'!$G$5:$G$3004,1)),INDEX('AH History'!$B$5:$B$1380,$K1316))),NA()),NA())</f>
        <v/>
      </c>
      <c r="I1316" s="34">
        <f>IFERROR(IF(ISNUMBER($A1316),IF(AND(AH!$U$12=1,1311+1=AH!$U$6),TODAY(),IF(AH!$U$5=1,INDEX('Live History'!$G$5:$G$3004,MATCH($A1316,'Live History'!$G$5:$G$3004,1)),INDEX('AH History'!$C$5:$C$1380,$K1316))),NA()),NA())</f>
        <v/>
      </c>
      <c r="J1316" s="32">
        <f>IFERROR(IF(AND($F1316&gt;0,$H1316&gt;0,$A1316-$G1316&lt;=10,$A1316-$I1316&lt;=5,$G1316&gt;0,$I1316&gt;0),$F1316*$H1316,NA()),NA())</f>
        <v/>
      </c>
      <c r="K1316" s="15">
        <f>IF($A1316="","",IF(AH!$U$5=1,IFERROR(MATCH($A1316,'Live History'!$A$5:$A$3004,0),0),AH!$U$7+1311))</f>
        <v/>
      </c>
      <c r="L1316" s="15">
        <f>IF(ISNUMBER(A1316),TEXT(A1316,"dd-mmm-yy"),"")</f>
        <v/>
      </c>
    </row>
    <row r="1317">
      <c r="A1317" s="14">
        <f>IF(OR(AH!$U$4=0,1312+1&gt;AH!$U$6,AND(AH!$M$5="Bloomberg",AH!$U$5=0)),"",IFERROR(IF(AND(AH!$U$12=1,1312+1=AH!$U$6),TODAY(),IF(AH!$U$5=1,INDEX('Live History'!$A$5:$A$3004,AH!$U$7+1312),INDEX('AH History'!$A$5:$A$1380,AH!$U$7+1312))),""))</f>
        <v/>
      </c>
      <c r="B1317" s="33">
        <f>IFERROR(IF(AH!$U$11=1,NA(),$J1317/$E1317-1),NA())</f>
        <v/>
      </c>
      <c r="C1317" s="269">
        <f>IFERROR(100*$E1317/$E$5,NA())</f>
        <v/>
      </c>
      <c r="D1317" s="269">
        <f>IFERROR(100*$J1317/$J$5,NA())</f>
        <v/>
      </c>
      <c r="E1317" s="32">
        <f>IFERROR(IF(AND(ISNUMBER($A1317),N(IF(AND(AH!$U$12=1,1312+1=AH!$U$6),IF(AH!$U$4=0,"unavailable",INDEX('Market Data'!$AN$5:$AN$66,AH!$U$4)),IF(AH!$U$5=1,INDEX('Live History'!$B$5:$B$3004,$K1317),INDEX('AH History'!$D$5:$GG$1380,$K1317,AH!$U$10))))&gt;0),IF(AND(AH!$U$12=1,1312+1=AH!$U$6),IF(AH!$U$4=0,"unavailable",INDEX('Market Data'!$AN$5:$AN$66,AH!$U$4)),IF(AH!$U$5=1,INDEX('Live History'!$B$5:$B$3004,$K1317),INDEX('AH History'!$D$5:$GG$1380,$K1317,AH!$U$10))),NA()),NA())</f>
        <v/>
      </c>
      <c r="F1317" s="32">
        <f>IFERROR(IF(ISNUMBER($A1317),IF(AND(AH!$U$12=1,1312+1=AH!$U$6),IF(AH!$U$4=0,"unavailable",INDEX('Market Data'!$AO$5:$AO$66,AH!$U$4)),IF(AH!$U$5=1,INDEX('Live History'!$E$5:$E$3004,MATCH($A1317,'Live History'!$D$5:$D$3004,1)),INDEX('AH History'!$D$5:$GG$1380,$K1317,AH!$U$10+1))),NA()),NA())</f>
        <v/>
      </c>
      <c r="G1317" s="34">
        <f>IFERROR(IF(ISNUMBER($A1317),IF(AND(AH!$U$12=1,1312+1=AH!$U$6),IF(AH!$U$4=0,"unavailable",INDEX('Market Data'!$AK$5:$AK$66,AH!$U$4)),IF(AH!$U$5=1,INDEX('Live History'!$D$5:$D$3004,MATCH($A1317,'Live History'!$D$5:$D$3004,1)),INDEX('AH History'!$D$5:$GG$1380,$K1317,AH!$U$10+2))),NA()),NA())</f>
        <v/>
      </c>
      <c r="H1317" s="266">
        <f>IFERROR(IF(ISNUMBER($A1317),IF(AND(AH!$U$12=1,1312+1=AH!$U$6),IF(AH!$U$4=0,"unavailable",INDEX('Market Data'!$AP$5:$AP$66,AH!$U$4)),IF(AH!$U$5=1,INDEX('Live History'!$H$5:$H$3004,MATCH($A1317,'Live History'!$G$5:$G$3004,1)),INDEX('AH History'!$B$5:$B$1380,$K1317))),NA()),NA())</f>
        <v/>
      </c>
      <c r="I1317" s="34">
        <f>IFERROR(IF(ISNUMBER($A1317),IF(AND(AH!$U$12=1,1312+1=AH!$U$6),TODAY(),IF(AH!$U$5=1,INDEX('Live History'!$G$5:$G$3004,MATCH($A1317,'Live History'!$G$5:$G$3004,1)),INDEX('AH History'!$C$5:$C$1380,$K1317))),NA()),NA())</f>
        <v/>
      </c>
      <c r="J1317" s="32">
        <f>IFERROR(IF(AND($F1317&gt;0,$H1317&gt;0,$A1317-$G1317&lt;=10,$A1317-$I1317&lt;=5,$G1317&gt;0,$I1317&gt;0),$F1317*$H1317,NA()),NA())</f>
        <v/>
      </c>
      <c r="K1317" s="15">
        <f>IF($A1317="","",IF(AH!$U$5=1,IFERROR(MATCH($A1317,'Live History'!$A$5:$A$3004,0),0),AH!$U$7+1312))</f>
        <v/>
      </c>
      <c r="L1317" s="15">
        <f>IF(ISNUMBER(A1317),TEXT(A1317,"dd-mmm-yy"),"")</f>
        <v/>
      </c>
    </row>
    <row r="1318">
      <c r="A1318" s="14">
        <f>IF(OR(AH!$U$4=0,1313+1&gt;AH!$U$6,AND(AH!$M$5="Bloomberg",AH!$U$5=0)),"",IFERROR(IF(AND(AH!$U$12=1,1313+1=AH!$U$6),TODAY(),IF(AH!$U$5=1,INDEX('Live History'!$A$5:$A$3004,AH!$U$7+1313),INDEX('AH History'!$A$5:$A$1380,AH!$U$7+1313))),""))</f>
        <v/>
      </c>
      <c r="B1318" s="33">
        <f>IFERROR(IF(AH!$U$11=1,NA(),$J1318/$E1318-1),NA())</f>
        <v/>
      </c>
      <c r="C1318" s="269">
        <f>IFERROR(100*$E1318/$E$5,NA())</f>
        <v/>
      </c>
      <c r="D1318" s="269">
        <f>IFERROR(100*$J1318/$J$5,NA())</f>
        <v/>
      </c>
      <c r="E1318" s="32">
        <f>IFERROR(IF(AND(ISNUMBER($A1318),N(IF(AND(AH!$U$12=1,1313+1=AH!$U$6),IF(AH!$U$4=0,"unavailable",INDEX('Market Data'!$AN$5:$AN$66,AH!$U$4)),IF(AH!$U$5=1,INDEX('Live History'!$B$5:$B$3004,$K1318),INDEX('AH History'!$D$5:$GG$1380,$K1318,AH!$U$10))))&gt;0),IF(AND(AH!$U$12=1,1313+1=AH!$U$6),IF(AH!$U$4=0,"unavailable",INDEX('Market Data'!$AN$5:$AN$66,AH!$U$4)),IF(AH!$U$5=1,INDEX('Live History'!$B$5:$B$3004,$K1318),INDEX('AH History'!$D$5:$GG$1380,$K1318,AH!$U$10))),NA()),NA())</f>
        <v/>
      </c>
      <c r="F1318" s="32">
        <f>IFERROR(IF(ISNUMBER($A1318),IF(AND(AH!$U$12=1,1313+1=AH!$U$6),IF(AH!$U$4=0,"unavailable",INDEX('Market Data'!$AO$5:$AO$66,AH!$U$4)),IF(AH!$U$5=1,INDEX('Live History'!$E$5:$E$3004,MATCH($A1318,'Live History'!$D$5:$D$3004,1)),INDEX('AH History'!$D$5:$GG$1380,$K1318,AH!$U$10+1))),NA()),NA())</f>
        <v/>
      </c>
      <c r="G1318" s="34">
        <f>IFERROR(IF(ISNUMBER($A1318),IF(AND(AH!$U$12=1,1313+1=AH!$U$6),IF(AH!$U$4=0,"unavailable",INDEX('Market Data'!$AK$5:$AK$66,AH!$U$4)),IF(AH!$U$5=1,INDEX('Live History'!$D$5:$D$3004,MATCH($A1318,'Live History'!$D$5:$D$3004,1)),INDEX('AH History'!$D$5:$GG$1380,$K1318,AH!$U$10+2))),NA()),NA())</f>
        <v/>
      </c>
      <c r="H1318" s="266">
        <f>IFERROR(IF(ISNUMBER($A1318),IF(AND(AH!$U$12=1,1313+1=AH!$U$6),IF(AH!$U$4=0,"unavailable",INDEX('Market Data'!$AP$5:$AP$66,AH!$U$4)),IF(AH!$U$5=1,INDEX('Live History'!$H$5:$H$3004,MATCH($A1318,'Live History'!$G$5:$G$3004,1)),INDEX('AH History'!$B$5:$B$1380,$K1318))),NA()),NA())</f>
        <v/>
      </c>
      <c r="I1318" s="34">
        <f>IFERROR(IF(ISNUMBER($A1318),IF(AND(AH!$U$12=1,1313+1=AH!$U$6),TODAY(),IF(AH!$U$5=1,INDEX('Live History'!$G$5:$G$3004,MATCH($A1318,'Live History'!$G$5:$G$3004,1)),INDEX('AH History'!$C$5:$C$1380,$K1318))),NA()),NA())</f>
        <v/>
      </c>
      <c r="J1318" s="32">
        <f>IFERROR(IF(AND($F1318&gt;0,$H1318&gt;0,$A1318-$G1318&lt;=10,$A1318-$I1318&lt;=5,$G1318&gt;0,$I1318&gt;0),$F1318*$H1318,NA()),NA())</f>
        <v/>
      </c>
      <c r="K1318" s="15">
        <f>IF($A1318="","",IF(AH!$U$5=1,IFERROR(MATCH($A1318,'Live History'!$A$5:$A$3004,0),0),AH!$U$7+1313))</f>
        <v/>
      </c>
      <c r="L1318" s="15">
        <f>IF(ISNUMBER(A1318),TEXT(A1318,"dd-mmm-yy"),"")</f>
        <v/>
      </c>
    </row>
    <row r="1319">
      <c r="A1319" s="14">
        <f>IF(OR(AH!$U$4=0,1314+1&gt;AH!$U$6,AND(AH!$M$5="Bloomberg",AH!$U$5=0)),"",IFERROR(IF(AND(AH!$U$12=1,1314+1=AH!$U$6),TODAY(),IF(AH!$U$5=1,INDEX('Live History'!$A$5:$A$3004,AH!$U$7+1314),INDEX('AH History'!$A$5:$A$1380,AH!$U$7+1314))),""))</f>
        <v/>
      </c>
      <c r="B1319" s="33">
        <f>IFERROR(IF(AH!$U$11=1,NA(),$J1319/$E1319-1),NA())</f>
        <v/>
      </c>
      <c r="C1319" s="269">
        <f>IFERROR(100*$E1319/$E$5,NA())</f>
        <v/>
      </c>
      <c r="D1319" s="269">
        <f>IFERROR(100*$J1319/$J$5,NA())</f>
        <v/>
      </c>
      <c r="E1319" s="32">
        <f>IFERROR(IF(AND(ISNUMBER($A1319),N(IF(AND(AH!$U$12=1,1314+1=AH!$U$6),IF(AH!$U$4=0,"unavailable",INDEX('Market Data'!$AN$5:$AN$66,AH!$U$4)),IF(AH!$U$5=1,INDEX('Live History'!$B$5:$B$3004,$K1319),INDEX('AH History'!$D$5:$GG$1380,$K1319,AH!$U$10))))&gt;0),IF(AND(AH!$U$12=1,1314+1=AH!$U$6),IF(AH!$U$4=0,"unavailable",INDEX('Market Data'!$AN$5:$AN$66,AH!$U$4)),IF(AH!$U$5=1,INDEX('Live History'!$B$5:$B$3004,$K1319),INDEX('AH History'!$D$5:$GG$1380,$K1319,AH!$U$10))),NA()),NA())</f>
        <v/>
      </c>
      <c r="F1319" s="32">
        <f>IFERROR(IF(ISNUMBER($A1319),IF(AND(AH!$U$12=1,1314+1=AH!$U$6),IF(AH!$U$4=0,"unavailable",INDEX('Market Data'!$AO$5:$AO$66,AH!$U$4)),IF(AH!$U$5=1,INDEX('Live History'!$E$5:$E$3004,MATCH($A1319,'Live History'!$D$5:$D$3004,1)),INDEX('AH History'!$D$5:$GG$1380,$K1319,AH!$U$10+1))),NA()),NA())</f>
        <v/>
      </c>
      <c r="G1319" s="34">
        <f>IFERROR(IF(ISNUMBER($A1319),IF(AND(AH!$U$12=1,1314+1=AH!$U$6),IF(AH!$U$4=0,"unavailable",INDEX('Market Data'!$AK$5:$AK$66,AH!$U$4)),IF(AH!$U$5=1,INDEX('Live History'!$D$5:$D$3004,MATCH($A1319,'Live History'!$D$5:$D$3004,1)),INDEX('AH History'!$D$5:$GG$1380,$K1319,AH!$U$10+2))),NA()),NA())</f>
        <v/>
      </c>
      <c r="H1319" s="266">
        <f>IFERROR(IF(ISNUMBER($A1319),IF(AND(AH!$U$12=1,1314+1=AH!$U$6),IF(AH!$U$4=0,"unavailable",INDEX('Market Data'!$AP$5:$AP$66,AH!$U$4)),IF(AH!$U$5=1,INDEX('Live History'!$H$5:$H$3004,MATCH($A1319,'Live History'!$G$5:$G$3004,1)),INDEX('AH History'!$B$5:$B$1380,$K1319))),NA()),NA())</f>
        <v/>
      </c>
      <c r="I1319" s="34">
        <f>IFERROR(IF(ISNUMBER($A1319),IF(AND(AH!$U$12=1,1314+1=AH!$U$6),TODAY(),IF(AH!$U$5=1,INDEX('Live History'!$G$5:$G$3004,MATCH($A1319,'Live History'!$G$5:$G$3004,1)),INDEX('AH History'!$C$5:$C$1380,$K1319))),NA()),NA())</f>
        <v/>
      </c>
      <c r="J1319" s="32">
        <f>IFERROR(IF(AND($F1319&gt;0,$H1319&gt;0,$A1319-$G1319&lt;=10,$A1319-$I1319&lt;=5,$G1319&gt;0,$I1319&gt;0),$F1319*$H1319,NA()),NA())</f>
        <v/>
      </c>
      <c r="K1319" s="15">
        <f>IF($A1319="","",IF(AH!$U$5=1,IFERROR(MATCH($A1319,'Live History'!$A$5:$A$3004,0),0),AH!$U$7+1314))</f>
        <v/>
      </c>
      <c r="L1319" s="15">
        <f>IF(ISNUMBER(A1319),TEXT(A1319,"dd-mmm-yy"),"")</f>
        <v/>
      </c>
    </row>
    <row r="1320">
      <c r="A1320" s="14">
        <f>IF(OR(AH!$U$4=0,1315+1&gt;AH!$U$6,AND(AH!$M$5="Bloomberg",AH!$U$5=0)),"",IFERROR(IF(AND(AH!$U$12=1,1315+1=AH!$U$6),TODAY(),IF(AH!$U$5=1,INDEX('Live History'!$A$5:$A$3004,AH!$U$7+1315),INDEX('AH History'!$A$5:$A$1380,AH!$U$7+1315))),""))</f>
        <v/>
      </c>
      <c r="B1320" s="33">
        <f>IFERROR(IF(AH!$U$11=1,NA(),$J1320/$E1320-1),NA())</f>
        <v/>
      </c>
      <c r="C1320" s="269">
        <f>IFERROR(100*$E1320/$E$5,NA())</f>
        <v/>
      </c>
      <c r="D1320" s="269">
        <f>IFERROR(100*$J1320/$J$5,NA())</f>
        <v/>
      </c>
      <c r="E1320" s="32">
        <f>IFERROR(IF(AND(ISNUMBER($A1320),N(IF(AND(AH!$U$12=1,1315+1=AH!$U$6),IF(AH!$U$4=0,"unavailable",INDEX('Market Data'!$AN$5:$AN$66,AH!$U$4)),IF(AH!$U$5=1,INDEX('Live History'!$B$5:$B$3004,$K1320),INDEX('AH History'!$D$5:$GG$1380,$K1320,AH!$U$10))))&gt;0),IF(AND(AH!$U$12=1,1315+1=AH!$U$6),IF(AH!$U$4=0,"unavailable",INDEX('Market Data'!$AN$5:$AN$66,AH!$U$4)),IF(AH!$U$5=1,INDEX('Live History'!$B$5:$B$3004,$K1320),INDEX('AH History'!$D$5:$GG$1380,$K1320,AH!$U$10))),NA()),NA())</f>
        <v/>
      </c>
      <c r="F1320" s="32">
        <f>IFERROR(IF(ISNUMBER($A1320),IF(AND(AH!$U$12=1,1315+1=AH!$U$6),IF(AH!$U$4=0,"unavailable",INDEX('Market Data'!$AO$5:$AO$66,AH!$U$4)),IF(AH!$U$5=1,INDEX('Live History'!$E$5:$E$3004,MATCH($A1320,'Live History'!$D$5:$D$3004,1)),INDEX('AH History'!$D$5:$GG$1380,$K1320,AH!$U$10+1))),NA()),NA())</f>
        <v/>
      </c>
      <c r="G1320" s="34">
        <f>IFERROR(IF(ISNUMBER($A1320),IF(AND(AH!$U$12=1,1315+1=AH!$U$6),IF(AH!$U$4=0,"unavailable",INDEX('Market Data'!$AK$5:$AK$66,AH!$U$4)),IF(AH!$U$5=1,INDEX('Live History'!$D$5:$D$3004,MATCH($A1320,'Live History'!$D$5:$D$3004,1)),INDEX('AH History'!$D$5:$GG$1380,$K1320,AH!$U$10+2))),NA()),NA())</f>
        <v/>
      </c>
      <c r="H1320" s="266">
        <f>IFERROR(IF(ISNUMBER($A1320),IF(AND(AH!$U$12=1,1315+1=AH!$U$6),IF(AH!$U$4=0,"unavailable",INDEX('Market Data'!$AP$5:$AP$66,AH!$U$4)),IF(AH!$U$5=1,INDEX('Live History'!$H$5:$H$3004,MATCH($A1320,'Live History'!$G$5:$G$3004,1)),INDEX('AH History'!$B$5:$B$1380,$K1320))),NA()),NA())</f>
        <v/>
      </c>
      <c r="I1320" s="34">
        <f>IFERROR(IF(ISNUMBER($A1320),IF(AND(AH!$U$12=1,1315+1=AH!$U$6),TODAY(),IF(AH!$U$5=1,INDEX('Live History'!$G$5:$G$3004,MATCH($A1320,'Live History'!$G$5:$G$3004,1)),INDEX('AH History'!$C$5:$C$1380,$K1320))),NA()),NA())</f>
        <v/>
      </c>
      <c r="J1320" s="32">
        <f>IFERROR(IF(AND($F1320&gt;0,$H1320&gt;0,$A1320-$G1320&lt;=10,$A1320-$I1320&lt;=5,$G1320&gt;0,$I1320&gt;0),$F1320*$H1320,NA()),NA())</f>
        <v/>
      </c>
      <c r="K1320" s="15">
        <f>IF($A1320="","",IF(AH!$U$5=1,IFERROR(MATCH($A1320,'Live History'!$A$5:$A$3004,0),0),AH!$U$7+1315))</f>
        <v/>
      </c>
      <c r="L1320" s="15">
        <f>IF(ISNUMBER(A1320),TEXT(A1320,"dd-mmm-yy"),"")</f>
        <v/>
      </c>
    </row>
    <row r="1321">
      <c r="A1321" s="14">
        <f>IF(OR(AH!$U$4=0,1316+1&gt;AH!$U$6,AND(AH!$M$5="Bloomberg",AH!$U$5=0)),"",IFERROR(IF(AND(AH!$U$12=1,1316+1=AH!$U$6),TODAY(),IF(AH!$U$5=1,INDEX('Live History'!$A$5:$A$3004,AH!$U$7+1316),INDEX('AH History'!$A$5:$A$1380,AH!$U$7+1316))),""))</f>
        <v/>
      </c>
      <c r="B1321" s="33">
        <f>IFERROR(IF(AH!$U$11=1,NA(),$J1321/$E1321-1),NA())</f>
        <v/>
      </c>
      <c r="C1321" s="269">
        <f>IFERROR(100*$E1321/$E$5,NA())</f>
        <v/>
      </c>
      <c r="D1321" s="269">
        <f>IFERROR(100*$J1321/$J$5,NA())</f>
        <v/>
      </c>
      <c r="E1321" s="32">
        <f>IFERROR(IF(AND(ISNUMBER($A1321),N(IF(AND(AH!$U$12=1,1316+1=AH!$U$6),IF(AH!$U$4=0,"unavailable",INDEX('Market Data'!$AN$5:$AN$66,AH!$U$4)),IF(AH!$U$5=1,INDEX('Live History'!$B$5:$B$3004,$K1321),INDEX('AH History'!$D$5:$GG$1380,$K1321,AH!$U$10))))&gt;0),IF(AND(AH!$U$12=1,1316+1=AH!$U$6),IF(AH!$U$4=0,"unavailable",INDEX('Market Data'!$AN$5:$AN$66,AH!$U$4)),IF(AH!$U$5=1,INDEX('Live History'!$B$5:$B$3004,$K1321),INDEX('AH History'!$D$5:$GG$1380,$K1321,AH!$U$10))),NA()),NA())</f>
        <v/>
      </c>
      <c r="F1321" s="32">
        <f>IFERROR(IF(ISNUMBER($A1321),IF(AND(AH!$U$12=1,1316+1=AH!$U$6),IF(AH!$U$4=0,"unavailable",INDEX('Market Data'!$AO$5:$AO$66,AH!$U$4)),IF(AH!$U$5=1,INDEX('Live History'!$E$5:$E$3004,MATCH($A1321,'Live History'!$D$5:$D$3004,1)),INDEX('AH History'!$D$5:$GG$1380,$K1321,AH!$U$10+1))),NA()),NA())</f>
        <v/>
      </c>
      <c r="G1321" s="34">
        <f>IFERROR(IF(ISNUMBER($A1321),IF(AND(AH!$U$12=1,1316+1=AH!$U$6),IF(AH!$U$4=0,"unavailable",INDEX('Market Data'!$AK$5:$AK$66,AH!$U$4)),IF(AH!$U$5=1,INDEX('Live History'!$D$5:$D$3004,MATCH($A1321,'Live History'!$D$5:$D$3004,1)),INDEX('AH History'!$D$5:$GG$1380,$K1321,AH!$U$10+2))),NA()),NA())</f>
        <v/>
      </c>
      <c r="H1321" s="266">
        <f>IFERROR(IF(ISNUMBER($A1321),IF(AND(AH!$U$12=1,1316+1=AH!$U$6),IF(AH!$U$4=0,"unavailable",INDEX('Market Data'!$AP$5:$AP$66,AH!$U$4)),IF(AH!$U$5=1,INDEX('Live History'!$H$5:$H$3004,MATCH($A1321,'Live History'!$G$5:$G$3004,1)),INDEX('AH History'!$B$5:$B$1380,$K1321))),NA()),NA())</f>
        <v/>
      </c>
      <c r="I1321" s="34">
        <f>IFERROR(IF(ISNUMBER($A1321),IF(AND(AH!$U$12=1,1316+1=AH!$U$6),TODAY(),IF(AH!$U$5=1,INDEX('Live History'!$G$5:$G$3004,MATCH($A1321,'Live History'!$G$5:$G$3004,1)),INDEX('AH History'!$C$5:$C$1380,$K1321))),NA()),NA())</f>
        <v/>
      </c>
      <c r="J1321" s="32">
        <f>IFERROR(IF(AND($F1321&gt;0,$H1321&gt;0,$A1321-$G1321&lt;=10,$A1321-$I1321&lt;=5,$G1321&gt;0,$I1321&gt;0),$F1321*$H1321,NA()),NA())</f>
        <v/>
      </c>
      <c r="K1321" s="15">
        <f>IF($A1321="","",IF(AH!$U$5=1,IFERROR(MATCH($A1321,'Live History'!$A$5:$A$3004,0),0),AH!$U$7+1316))</f>
        <v/>
      </c>
      <c r="L1321" s="15">
        <f>IF(ISNUMBER(A1321),TEXT(A1321,"dd-mmm-yy"),"")</f>
        <v/>
      </c>
    </row>
    <row r="1322">
      <c r="A1322" s="14">
        <f>IF(OR(AH!$U$4=0,1317+1&gt;AH!$U$6,AND(AH!$M$5="Bloomberg",AH!$U$5=0)),"",IFERROR(IF(AND(AH!$U$12=1,1317+1=AH!$U$6),TODAY(),IF(AH!$U$5=1,INDEX('Live History'!$A$5:$A$3004,AH!$U$7+1317),INDEX('AH History'!$A$5:$A$1380,AH!$U$7+1317))),""))</f>
        <v/>
      </c>
      <c r="B1322" s="33">
        <f>IFERROR(IF(AH!$U$11=1,NA(),$J1322/$E1322-1),NA())</f>
        <v/>
      </c>
      <c r="C1322" s="269">
        <f>IFERROR(100*$E1322/$E$5,NA())</f>
        <v/>
      </c>
      <c r="D1322" s="269">
        <f>IFERROR(100*$J1322/$J$5,NA())</f>
        <v/>
      </c>
      <c r="E1322" s="32">
        <f>IFERROR(IF(AND(ISNUMBER($A1322),N(IF(AND(AH!$U$12=1,1317+1=AH!$U$6),IF(AH!$U$4=0,"unavailable",INDEX('Market Data'!$AN$5:$AN$66,AH!$U$4)),IF(AH!$U$5=1,INDEX('Live History'!$B$5:$B$3004,$K1322),INDEX('AH History'!$D$5:$GG$1380,$K1322,AH!$U$10))))&gt;0),IF(AND(AH!$U$12=1,1317+1=AH!$U$6),IF(AH!$U$4=0,"unavailable",INDEX('Market Data'!$AN$5:$AN$66,AH!$U$4)),IF(AH!$U$5=1,INDEX('Live History'!$B$5:$B$3004,$K1322),INDEX('AH History'!$D$5:$GG$1380,$K1322,AH!$U$10))),NA()),NA())</f>
        <v/>
      </c>
      <c r="F1322" s="32">
        <f>IFERROR(IF(ISNUMBER($A1322),IF(AND(AH!$U$12=1,1317+1=AH!$U$6),IF(AH!$U$4=0,"unavailable",INDEX('Market Data'!$AO$5:$AO$66,AH!$U$4)),IF(AH!$U$5=1,INDEX('Live History'!$E$5:$E$3004,MATCH($A1322,'Live History'!$D$5:$D$3004,1)),INDEX('AH History'!$D$5:$GG$1380,$K1322,AH!$U$10+1))),NA()),NA())</f>
        <v/>
      </c>
      <c r="G1322" s="34">
        <f>IFERROR(IF(ISNUMBER($A1322),IF(AND(AH!$U$12=1,1317+1=AH!$U$6),IF(AH!$U$4=0,"unavailable",INDEX('Market Data'!$AK$5:$AK$66,AH!$U$4)),IF(AH!$U$5=1,INDEX('Live History'!$D$5:$D$3004,MATCH($A1322,'Live History'!$D$5:$D$3004,1)),INDEX('AH History'!$D$5:$GG$1380,$K1322,AH!$U$10+2))),NA()),NA())</f>
        <v/>
      </c>
      <c r="H1322" s="266">
        <f>IFERROR(IF(ISNUMBER($A1322),IF(AND(AH!$U$12=1,1317+1=AH!$U$6),IF(AH!$U$4=0,"unavailable",INDEX('Market Data'!$AP$5:$AP$66,AH!$U$4)),IF(AH!$U$5=1,INDEX('Live History'!$H$5:$H$3004,MATCH($A1322,'Live History'!$G$5:$G$3004,1)),INDEX('AH History'!$B$5:$B$1380,$K1322))),NA()),NA())</f>
        <v/>
      </c>
      <c r="I1322" s="34">
        <f>IFERROR(IF(ISNUMBER($A1322),IF(AND(AH!$U$12=1,1317+1=AH!$U$6),TODAY(),IF(AH!$U$5=1,INDEX('Live History'!$G$5:$G$3004,MATCH($A1322,'Live History'!$G$5:$G$3004,1)),INDEX('AH History'!$C$5:$C$1380,$K1322))),NA()),NA())</f>
        <v/>
      </c>
      <c r="J1322" s="32">
        <f>IFERROR(IF(AND($F1322&gt;0,$H1322&gt;0,$A1322-$G1322&lt;=10,$A1322-$I1322&lt;=5,$G1322&gt;0,$I1322&gt;0),$F1322*$H1322,NA()),NA())</f>
        <v/>
      </c>
      <c r="K1322" s="15">
        <f>IF($A1322="","",IF(AH!$U$5=1,IFERROR(MATCH($A1322,'Live History'!$A$5:$A$3004,0),0),AH!$U$7+1317))</f>
        <v/>
      </c>
      <c r="L1322" s="15">
        <f>IF(ISNUMBER(A1322),TEXT(A1322,"dd-mmm-yy"),"")</f>
        <v/>
      </c>
    </row>
    <row r="1323">
      <c r="A1323" s="14">
        <f>IF(OR(AH!$U$4=0,1318+1&gt;AH!$U$6,AND(AH!$M$5="Bloomberg",AH!$U$5=0)),"",IFERROR(IF(AND(AH!$U$12=1,1318+1=AH!$U$6),TODAY(),IF(AH!$U$5=1,INDEX('Live History'!$A$5:$A$3004,AH!$U$7+1318),INDEX('AH History'!$A$5:$A$1380,AH!$U$7+1318))),""))</f>
        <v/>
      </c>
      <c r="B1323" s="33">
        <f>IFERROR(IF(AH!$U$11=1,NA(),$J1323/$E1323-1),NA())</f>
        <v/>
      </c>
      <c r="C1323" s="269">
        <f>IFERROR(100*$E1323/$E$5,NA())</f>
        <v/>
      </c>
      <c r="D1323" s="269">
        <f>IFERROR(100*$J1323/$J$5,NA())</f>
        <v/>
      </c>
      <c r="E1323" s="32">
        <f>IFERROR(IF(AND(ISNUMBER($A1323),N(IF(AND(AH!$U$12=1,1318+1=AH!$U$6),IF(AH!$U$4=0,"unavailable",INDEX('Market Data'!$AN$5:$AN$66,AH!$U$4)),IF(AH!$U$5=1,INDEX('Live History'!$B$5:$B$3004,$K1323),INDEX('AH History'!$D$5:$GG$1380,$K1323,AH!$U$10))))&gt;0),IF(AND(AH!$U$12=1,1318+1=AH!$U$6),IF(AH!$U$4=0,"unavailable",INDEX('Market Data'!$AN$5:$AN$66,AH!$U$4)),IF(AH!$U$5=1,INDEX('Live History'!$B$5:$B$3004,$K1323),INDEX('AH History'!$D$5:$GG$1380,$K1323,AH!$U$10))),NA()),NA())</f>
        <v/>
      </c>
      <c r="F1323" s="32">
        <f>IFERROR(IF(ISNUMBER($A1323),IF(AND(AH!$U$12=1,1318+1=AH!$U$6),IF(AH!$U$4=0,"unavailable",INDEX('Market Data'!$AO$5:$AO$66,AH!$U$4)),IF(AH!$U$5=1,INDEX('Live History'!$E$5:$E$3004,MATCH($A1323,'Live History'!$D$5:$D$3004,1)),INDEX('AH History'!$D$5:$GG$1380,$K1323,AH!$U$10+1))),NA()),NA())</f>
        <v/>
      </c>
      <c r="G1323" s="34">
        <f>IFERROR(IF(ISNUMBER($A1323),IF(AND(AH!$U$12=1,1318+1=AH!$U$6),IF(AH!$U$4=0,"unavailable",INDEX('Market Data'!$AK$5:$AK$66,AH!$U$4)),IF(AH!$U$5=1,INDEX('Live History'!$D$5:$D$3004,MATCH($A1323,'Live History'!$D$5:$D$3004,1)),INDEX('AH History'!$D$5:$GG$1380,$K1323,AH!$U$10+2))),NA()),NA())</f>
        <v/>
      </c>
      <c r="H1323" s="266">
        <f>IFERROR(IF(ISNUMBER($A1323),IF(AND(AH!$U$12=1,1318+1=AH!$U$6),IF(AH!$U$4=0,"unavailable",INDEX('Market Data'!$AP$5:$AP$66,AH!$U$4)),IF(AH!$U$5=1,INDEX('Live History'!$H$5:$H$3004,MATCH($A1323,'Live History'!$G$5:$G$3004,1)),INDEX('AH History'!$B$5:$B$1380,$K1323))),NA()),NA())</f>
        <v/>
      </c>
      <c r="I1323" s="34">
        <f>IFERROR(IF(ISNUMBER($A1323),IF(AND(AH!$U$12=1,1318+1=AH!$U$6),TODAY(),IF(AH!$U$5=1,INDEX('Live History'!$G$5:$G$3004,MATCH($A1323,'Live History'!$G$5:$G$3004,1)),INDEX('AH History'!$C$5:$C$1380,$K1323))),NA()),NA())</f>
        <v/>
      </c>
      <c r="J1323" s="32">
        <f>IFERROR(IF(AND($F1323&gt;0,$H1323&gt;0,$A1323-$G1323&lt;=10,$A1323-$I1323&lt;=5,$G1323&gt;0,$I1323&gt;0),$F1323*$H1323,NA()),NA())</f>
        <v/>
      </c>
      <c r="K1323" s="15">
        <f>IF($A1323="","",IF(AH!$U$5=1,IFERROR(MATCH($A1323,'Live History'!$A$5:$A$3004,0),0),AH!$U$7+1318))</f>
        <v/>
      </c>
      <c r="L1323" s="15">
        <f>IF(ISNUMBER(A1323),TEXT(A1323,"dd-mmm-yy"),"")</f>
        <v/>
      </c>
    </row>
    <row r="1324">
      <c r="A1324" s="14">
        <f>IF(OR(AH!$U$4=0,1319+1&gt;AH!$U$6,AND(AH!$M$5="Bloomberg",AH!$U$5=0)),"",IFERROR(IF(AND(AH!$U$12=1,1319+1=AH!$U$6),TODAY(),IF(AH!$U$5=1,INDEX('Live History'!$A$5:$A$3004,AH!$U$7+1319),INDEX('AH History'!$A$5:$A$1380,AH!$U$7+1319))),""))</f>
        <v/>
      </c>
      <c r="B1324" s="33">
        <f>IFERROR(IF(AH!$U$11=1,NA(),$J1324/$E1324-1),NA())</f>
        <v/>
      </c>
      <c r="C1324" s="269">
        <f>IFERROR(100*$E1324/$E$5,NA())</f>
        <v/>
      </c>
      <c r="D1324" s="269">
        <f>IFERROR(100*$J1324/$J$5,NA())</f>
        <v/>
      </c>
      <c r="E1324" s="32">
        <f>IFERROR(IF(AND(ISNUMBER($A1324),N(IF(AND(AH!$U$12=1,1319+1=AH!$U$6),IF(AH!$U$4=0,"unavailable",INDEX('Market Data'!$AN$5:$AN$66,AH!$U$4)),IF(AH!$U$5=1,INDEX('Live History'!$B$5:$B$3004,$K1324),INDEX('AH History'!$D$5:$GG$1380,$K1324,AH!$U$10))))&gt;0),IF(AND(AH!$U$12=1,1319+1=AH!$U$6),IF(AH!$U$4=0,"unavailable",INDEX('Market Data'!$AN$5:$AN$66,AH!$U$4)),IF(AH!$U$5=1,INDEX('Live History'!$B$5:$B$3004,$K1324),INDEX('AH History'!$D$5:$GG$1380,$K1324,AH!$U$10))),NA()),NA())</f>
        <v/>
      </c>
      <c r="F1324" s="32">
        <f>IFERROR(IF(ISNUMBER($A1324),IF(AND(AH!$U$12=1,1319+1=AH!$U$6),IF(AH!$U$4=0,"unavailable",INDEX('Market Data'!$AO$5:$AO$66,AH!$U$4)),IF(AH!$U$5=1,INDEX('Live History'!$E$5:$E$3004,MATCH($A1324,'Live History'!$D$5:$D$3004,1)),INDEX('AH History'!$D$5:$GG$1380,$K1324,AH!$U$10+1))),NA()),NA())</f>
        <v/>
      </c>
      <c r="G1324" s="34">
        <f>IFERROR(IF(ISNUMBER($A1324),IF(AND(AH!$U$12=1,1319+1=AH!$U$6),IF(AH!$U$4=0,"unavailable",INDEX('Market Data'!$AK$5:$AK$66,AH!$U$4)),IF(AH!$U$5=1,INDEX('Live History'!$D$5:$D$3004,MATCH($A1324,'Live History'!$D$5:$D$3004,1)),INDEX('AH History'!$D$5:$GG$1380,$K1324,AH!$U$10+2))),NA()),NA())</f>
        <v/>
      </c>
      <c r="H1324" s="266">
        <f>IFERROR(IF(ISNUMBER($A1324),IF(AND(AH!$U$12=1,1319+1=AH!$U$6),IF(AH!$U$4=0,"unavailable",INDEX('Market Data'!$AP$5:$AP$66,AH!$U$4)),IF(AH!$U$5=1,INDEX('Live History'!$H$5:$H$3004,MATCH($A1324,'Live History'!$G$5:$G$3004,1)),INDEX('AH History'!$B$5:$B$1380,$K1324))),NA()),NA())</f>
        <v/>
      </c>
      <c r="I1324" s="34">
        <f>IFERROR(IF(ISNUMBER($A1324),IF(AND(AH!$U$12=1,1319+1=AH!$U$6),TODAY(),IF(AH!$U$5=1,INDEX('Live History'!$G$5:$G$3004,MATCH($A1324,'Live History'!$G$5:$G$3004,1)),INDEX('AH History'!$C$5:$C$1380,$K1324))),NA()),NA())</f>
        <v/>
      </c>
      <c r="J1324" s="32">
        <f>IFERROR(IF(AND($F1324&gt;0,$H1324&gt;0,$A1324-$G1324&lt;=10,$A1324-$I1324&lt;=5,$G1324&gt;0,$I1324&gt;0),$F1324*$H1324,NA()),NA())</f>
        <v/>
      </c>
      <c r="K1324" s="15">
        <f>IF($A1324="","",IF(AH!$U$5=1,IFERROR(MATCH($A1324,'Live History'!$A$5:$A$3004,0),0),AH!$U$7+1319))</f>
        <v/>
      </c>
      <c r="L1324" s="15">
        <f>IF(ISNUMBER(A1324),TEXT(A1324,"dd-mmm-yy"),"")</f>
        <v/>
      </c>
    </row>
    <row r="1325">
      <c r="A1325" s="14">
        <f>IF(OR(AH!$U$4=0,1320+1&gt;AH!$U$6,AND(AH!$M$5="Bloomberg",AH!$U$5=0)),"",IFERROR(IF(AND(AH!$U$12=1,1320+1=AH!$U$6),TODAY(),IF(AH!$U$5=1,INDEX('Live History'!$A$5:$A$3004,AH!$U$7+1320),INDEX('AH History'!$A$5:$A$1380,AH!$U$7+1320))),""))</f>
        <v/>
      </c>
      <c r="B1325" s="33">
        <f>IFERROR(IF(AH!$U$11=1,NA(),$J1325/$E1325-1),NA())</f>
        <v/>
      </c>
      <c r="C1325" s="269">
        <f>IFERROR(100*$E1325/$E$5,NA())</f>
        <v/>
      </c>
      <c r="D1325" s="269">
        <f>IFERROR(100*$J1325/$J$5,NA())</f>
        <v/>
      </c>
      <c r="E1325" s="32">
        <f>IFERROR(IF(AND(ISNUMBER($A1325),N(IF(AND(AH!$U$12=1,1320+1=AH!$U$6),IF(AH!$U$4=0,"unavailable",INDEX('Market Data'!$AN$5:$AN$66,AH!$U$4)),IF(AH!$U$5=1,INDEX('Live History'!$B$5:$B$3004,$K1325),INDEX('AH History'!$D$5:$GG$1380,$K1325,AH!$U$10))))&gt;0),IF(AND(AH!$U$12=1,1320+1=AH!$U$6),IF(AH!$U$4=0,"unavailable",INDEX('Market Data'!$AN$5:$AN$66,AH!$U$4)),IF(AH!$U$5=1,INDEX('Live History'!$B$5:$B$3004,$K1325),INDEX('AH History'!$D$5:$GG$1380,$K1325,AH!$U$10))),NA()),NA())</f>
        <v/>
      </c>
      <c r="F1325" s="32">
        <f>IFERROR(IF(ISNUMBER($A1325),IF(AND(AH!$U$12=1,1320+1=AH!$U$6),IF(AH!$U$4=0,"unavailable",INDEX('Market Data'!$AO$5:$AO$66,AH!$U$4)),IF(AH!$U$5=1,INDEX('Live History'!$E$5:$E$3004,MATCH($A1325,'Live History'!$D$5:$D$3004,1)),INDEX('AH History'!$D$5:$GG$1380,$K1325,AH!$U$10+1))),NA()),NA())</f>
        <v/>
      </c>
      <c r="G1325" s="34">
        <f>IFERROR(IF(ISNUMBER($A1325),IF(AND(AH!$U$12=1,1320+1=AH!$U$6),IF(AH!$U$4=0,"unavailable",INDEX('Market Data'!$AK$5:$AK$66,AH!$U$4)),IF(AH!$U$5=1,INDEX('Live History'!$D$5:$D$3004,MATCH($A1325,'Live History'!$D$5:$D$3004,1)),INDEX('AH History'!$D$5:$GG$1380,$K1325,AH!$U$10+2))),NA()),NA())</f>
        <v/>
      </c>
      <c r="H1325" s="266">
        <f>IFERROR(IF(ISNUMBER($A1325),IF(AND(AH!$U$12=1,1320+1=AH!$U$6),IF(AH!$U$4=0,"unavailable",INDEX('Market Data'!$AP$5:$AP$66,AH!$U$4)),IF(AH!$U$5=1,INDEX('Live History'!$H$5:$H$3004,MATCH($A1325,'Live History'!$G$5:$G$3004,1)),INDEX('AH History'!$B$5:$B$1380,$K1325))),NA()),NA())</f>
        <v/>
      </c>
      <c r="I1325" s="34">
        <f>IFERROR(IF(ISNUMBER($A1325),IF(AND(AH!$U$12=1,1320+1=AH!$U$6),TODAY(),IF(AH!$U$5=1,INDEX('Live History'!$G$5:$G$3004,MATCH($A1325,'Live History'!$G$5:$G$3004,1)),INDEX('AH History'!$C$5:$C$1380,$K1325))),NA()),NA())</f>
        <v/>
      </c>
      <c r="J1325" s="32">
        <f>IFERROR(IF(AND($F1325&gt;0,$H1325&gt;0,$A1325-$G1325&lt;=10,$A1325-$I1325&lt;=5,$G1325&gt;0,$I1325&gt;0),$F1325*$H1325,NA()),NA())</f>
        <v/>
      </c>
      <c r="K1325" s="15">
        <f>IF($A1325="","",IF(AH!$U$5=1,IFERROR(MATCH($A1325,'Live History'!$A$5:$A$3004,0),0),AH!$U$7+1320))</f>
        <v/>
      </c>
      <c r="L1325" s="15">
        <f>IF(ISNUMBER(A1325),TEXT(A1325,"dd-mmm-yy"),"")</f>
        <v/>
      </c>
    </row>
    <row r="1326">
      <c r="A1326" s="14">
        <f>IF(OR(AH!$U$4=0,1321+1&gt;AH!$U$6,AND(AH!$M$5="Bloomberg",AH!$U$5=0)),"",IFERROR(IF(AND(AH!$U$12=1,1321+1=AH!$U$6),TODAY(),IF(AH!$U$5=1,INDEX('Live History'!$A$5:$A$3004,AH!$U$7+1321),INDEX('AH History'!$A$5:$A$1380,AH!$U$7+1321))),""))</f>
        <v/>
      </c>
      <c r="B1326" s="33">
        <f>IFERROR(IF(AH!$U$11=1,NA(),$J1326/$E1326-1),NA())</f>
        <v/>
      </c>
      <c r="C1326" s="269">
        <f>IFERROR(100*$E1326/$E$5,NA())</f>
        <v/>
      </c>
      <c r="D1326" s="269">
        <f>IFERROR(100*$J1326/$J$5,NA())</f>
        <v/>
      </c>
      <c r="E1326" s="32">
        <f>IFERROR(IF(AND(ISNUMBER($A1326),N(IF(AND(AH!$U$12=1,1321+1=AH!$U$6),IF(AH!$U$4=0,"unavailable",INDEX('Market Data'!$AN$5:$AN$66,AH!$U$4)),IF(AH!$U$5=1,INDEX('Live History'!$B$5:$B$3004,$K1326),INDEX('AH History'!$D$5:$GG$1380,$K1326,AH!$U$10))))&gt;0),IF(AND(AH!$U$12=1,1321+1=AH!$U$6),IF(AH!$U$4=0,"unavailable",INDEX('Market Data'!$AN$5:$AN$66,AH!$U$4)),IF(AH!$U$5=1,INDEX('Live History'!$B$5:$B$3004,$K1326),INDEX('AH History'!$D$5:$GG$1380,$K1326,AH!$U$10))),NA()),NA())</f>
        <v/>
      </c>
      <c r="F1326" s="32">
        <f>IFERROR(IF(ISNUMBER($A1326),IF(AND(AH!$U$12=1,1321+1=AH!$U$6),IF(AH!$U$4=0,"unavailable",INDEX('Market Data'!$AO$5:$AO$66,AH!$U$4)),IF(AH!$U$5=1,INDEX('Live History'!$E$5:$E$3004,MATCH($A1326,'Live History'!$D$5:$D$3004,1)),INDEX('AH History'!$D$5:$GG$1380,$K1326,AH!$U$10+1))),NA()),NA())</f>
        <v/>
      </c>
      <c r="G1326" s="34">
        <f>IFERROR(IF(ISNUMBER($A1326),IF(AND(AH!$U$12=1,1321+1=AH!$U$6),IF(AH!$U$4=0,"unavailable",INDEX('Market Data'!$AK$5:$AK$66,AH!$U$4)),IF(AH!$U$5=1,INDEX('Live History'!$D$5:$D$3004,MATCH($A1326,'Live History'!$D$5:$D$3004,1)),INDEX('AH History'!$D$5:$GG$1380,$K1326,AH!$U$10+2))),NA()),NA())</f>
        <v/>
      </c>
      <c r="H1326" s="266">
        <f>IFERROR(IF(ISNUMBER($A1326),IF(AND(AH!$U$12=1,1321+1=AH!$U$6),IF(AH!$U$4=0,"unavailable",INDEX('Market Data'!$AP$5:$AP$66,AH!$U$4)),IF(AH!$U$5=1,INDEX('Live History'!$H$5:$H$3004,MATCH($A1326,'Live History'!$G$5:$G$3004,1)),INDEX('AH History'!$B$5:$B$1380,$K1326))),NA()),NA())</f>
        <v/>
      </c>
      <c r="I1326" s="34">
        <f>IFERROR(IF(ISNUMBER($A1326),IF(AND(AH!$U$12=1,1321+1=AH!$U$6),TODAY(),IF(AH!$U$5=1,INDEX('Live History'!$G$5:$G$3004,MATCH($A1326,'Live History'!$G$5:$G$3004,1)),INDEX('AH History'!$C$5:$C$1380,$K1326))),NA()),NA())</f>
        <v/>
      </c>
      <c r="J1326" s="32">
        <f>IFERROR(IF(AND($F1326&gt;0,$H1326&gt;0,$A1326-$G1326&lt;=10,$A1326-$I1326&lt;=5,$G1326&gt;0,$I1326&gt;0),$F1326*$H1326,NA()),NA())</f>
        <v/>
      </c>
      <c r="K1326" s="15">
        <f>IF($A1326="","",IF(AH!$U$5=1,IFERROR(MATCH($A1326,'Live History'!$A$5:$A$3004,0),0),AH!$U$7+1321))</f>
        <v/>
      </c>
      <c r="L1326" s="15">
        <f>IF(ISNUMBER(A1326),TEXT(A1326,"dd-mmm-yy"),"")</f>
        <v/>
      </c>
    </row>
    <row r="1327">
      <c r="A1327" s="14">
        <f>IF(OR(AH!$U$4=0,1322+1&gt;AH!$U$6,AND(AH!$M$5="Bloomberg",AH!$U$5=0)),"",IFERROR(IF(AND(AH!$U$12=1,1322+1=AH!$U$6),TODAY(),IF(AH!$U$5=1,INDEX('Live History'!$A$5:$A$3004,AH!$U$7+1322),INDEX('AH History'!$A$5:$A$1380,AH!$U$7+1322))),""))</f>
        <v/>
      </c>
      <c r="B1327" s="33">
        <f>IFERROR(IF(AH!$U$11=1,NA(),$J1327/$E1327-1),NA())</f>
        <v/>
      </c>
      <c r="C1327" s="269">
        <f>IFERROR(100*$E1327/$E$5,NA())</f>
        <v/>
      </c>
      <c r="D1327" s="269">
        <f>IFERROR(100*$J1327/$J$5,NA())</f>
        <v/>
      </c>
      <c r="E1327" s="32">
        <f>IFERROR(IF(AND(ISNUMBER($A1327),N(IF(AND(AH!$U$12=1,1322+1=AH!$U$6),IF(AH!$U$4=0,"unavailable",INDEX('Market Data'!$AN$5:$AN$66,AH!$U$4)),IF(AH!$U$5=1,INDEX('Live History'!$B$5:$B$3004,$K1327),INDEX('AH History'!$D$5:$GG$1380,$K1327,AH!$U$10))))&gt;0),IF(AND(AH!$U$12=1,1322+1=AH!$U$6),IF(AH!$U$4=0,"unavailable",INDEX('Market Data'!$AN$5:$AN$66,AH!$U$4)),IF(AH!$U$5=1,INDEX('Live History'!$B$5:$B$3004,$K1327),INDEX('AH History'!$D$5:$GG$1380,$K1327,AH!$U$10))),NA()),NA())</f>
        <v/>
      </c>
      <c r="F1327" s="32">
        <f>IFERROR(IF(ISNUMBER($A1327),IF(AND(AH!$U$12=1,1322+1=AH!$U$6),IF(AH!$U$4=0,"unavailable",INDEX('Market Data'!$AO$5:$AO$66,AH!$U$4)),IF(AH!$U$5=1,INDEX('Live History'!$E$5:$E$3004,MATCH($A1327,'Live History'!$D$5:$D$3004,1)),INDEX('AH History'!$D$5:$GG$1380,$K1327,AH!$U$10+1))),NA()),NA())</f>
        <v/>
      </c>
      <c r="G1327" s="34">
        <f>IFERROR(IF(ISNUMBER($A1327),IF(AND(AH!$U$12=1,1322+1=AH!$U$6),IF(AH!$U$4=0,"unavailable",INDEX('Market Data'!$AK$5:$AK$66,AH!$U$4)),IF(AH!$U$5=1,INDEX('Live History'!$D$5:$D$3004,MATCH($A1327,'Live History'!$D$5:$D$3004,1)),INDEX('AH History'!$D$5:$GG$1380,$K1327,AH!$U$10+2))),NA()),NA())</f>
        <v/>
      </c>
      <c r="H1327" s="266">
        <f>IFERROR(IF(ISNUMBER($A1327),IF(AND(AH!$U$12=1,1322+1=AH!$U$6),IF(AH!$U$4=0,"unavailable",INDEX('Market Data'!$AP$5:$AP$66,AH!$U$4)),IF(AH!$U$5=1,INDEX('Live History'!$H$5:$H$3004,MATCH($A1327,'Live History'!$G$5:$G$3004,1)),INDEX('AH History'!$B$5:$B$1380,$K1327))),NA()),NA())</f>
        <v/>
      </c>
      <c r="I1327" s="34">
        <f>IFERROR(IF(ISNUMBER($A1327),IF(AND(AH!$U$12=1,1322+1=AH!$U$6),TODAY(),IF(AH!$U$5=1,INDEX('Live History'!$G$5:$G$3004,MATCH($A1327,'Live History'!$G$5:$G$3004,1)),INDEX('AH History'!$C$5:$C$1380,$K1327))),NA()),NA())</f>
        <v/>
      </c>
      <c r="J1327" s="32">
        <f>IFERROR(IF(AND($F1327&gt;0,$H1327&gt;0,$A1327-$G1327&lt;=10,$A1327-$I1327&lt;=5,$G1327&gt;0,$I1327&gt;0),$F1327*$H1327,NA()),NA())</f>
        <v/>
      </c>
      <c r="K1327" s="15">
        <f>IF($A1327="","",IF(AH!$U$5=1,IFERROR(MATCH($A1327,'Live History'!$A$5:$A$3004,0),0),AH!$U$7+1322))</f>
        <v/>
      </c>
      <c r="L1327" s="15">
        <f>IF(ISNUMBER(A1327),TEXT(A1327,"dd-mmm-yy"),"")</f>
        <v/>
      </c>
    </row>
    <row r="1328">
      <c r="A1328" s="14">
        <f>IF(OR(AH!$U$4=0,1323+1&gt;AH!$U$6,AND(AH!$M$5="Bloomberg",AH!$U$5=0)),"",IFERROR(IF(AND(AH!$U$12=1,1323+1=AH!$U$6),TODAY(),IF(AH!$U$5=1,INDEX('Live History'!$A$5:$A$3004,AH!$U$7+1323),INDEX('AH History'!$A$5:$A$1380,AH!$U$7+1323))),""))</f>
        <v/>
      </c>
      <c r="B1328" s="33">
        <f>IFERROR(IF(AH!$U$11=1,NA(),$J1328/$E1328-1),NA())</f>
        <v/>
      </c>
      <c r="C1328" s="269">
        <f>IFERROR(100*$E1328/$E$5,NA())</f>
        <v/>
      </c>
      <c r="D1328" s="269">
        <f>IFERROR(100*$J1328/$J$5,NA())</f>
        <v/>
      </c>
      <c r="E1328" s="32">
        <f>IFERROR(IF(AND(ISNUMBER($A1328),N(IF(AND(AH!$U$12=1,1323+1=AH!$U$6),IF(AH!$U$4=0,"unavailable",INDEX('Market Data'!$AN$5:$AN$66,AH!$U$4)),IF(AH!$U$5=1,INDEX('Live History'!$B$5:$B$3004,$K1328),INDEX('AH History'!$D$5:$GG$1380,$K1328,AH!$U$10))))&gt;0),IF(AND(AH!$U$12=1,1323+1=AH!$U$6),IF(AH!$U$4=0,"unavailable",INDEX('Market Data'!$AN$5:$AN$66,AH!$U$4)),IF(AH!$U$5=1,INDEX('Live History'!$B$5:$B$3004,$K1328),INDEX('AH History'!$D$5:$GG$1380,$K1328,AH!$U$10))),NA()),NA())</f>
        <v/>
      </c>
      <c r="F1328" s="32">
        <f>IFERROR(IF(ISNUMBER($A1328),IF(AND(AH!$U$12=1,1323+1=AH!$U$6),IF(AH!$U$4=0,"unavailable",INDEX('Market Data'!$AO$5:$AO$66,AH!$U$4)),IF(AH!$U$5=1,INDEX('Live History'!$E$5:$E$3004,MATCH($A1328,'Live History'!$D$5:$D$3004,1)),INDEX('AH History'!$D$5:$GG$1380,$K1328,AH!$U$10+1))),NA()),NA())</f>
        <v/>
      </c>
      <c r="G1328" s="34">
        <f>IFERROR(IF(ISNUMBER($A1328),IF(AND(AH!$U$12=1,1323+1=AH!$U$6),IF(AH!$U$4=0,"unavailable",INDEX('Market Data'!$AK$5:$AK$66,AH!$U$4)),IF(AH!$U$5=1,INDEX('Live History'!$D$5:$D$3004,MATCH($A1328,'Live History'!$D$5:$D$3004,1)),INDEX('AH History'!$D$5:$GG$1380,$K1328,AH!$U$10+2))),NA()),NA())</f>
        <v/>
      </c>
      <c r="H1328" s="266">
        <f>IFERROR(IF(ISNUMBER($A1328),IF(AND(AH!$U$12=1,1323+1=AH!$U$6),IF(AH!$U$4=0,"unavailable",INDEX('Market Data'!$AP$5:$AP$66,AH!$U$4)),IF(AH!$U$5=1,INDEX('Live History'!$H$5:$H$3004,MATCH($A1328,'Live History'!$G$5:$G$3004,1)),INDEX('AH History'!$B$5:$B$1380,$K1328))),NA()),NA())</f>
        <v/>
      </c>
      <c r="I1328" s="34">
        <f>IFERROR(IF(ISNUMBER($A1328),IF(AND(AH!$U$12=1,1323+1=AH!$U$6),TODAY(),IF(AH!$U$5=1,INDEX('Live History'!$G$5:$G$3004,MATCH($A1328,'Live History'!$G$5:$G$3004,1)),INDEX('AH History'!$C$5:$C$1380,$K1328))),NA()),NA())</f>
        <v/>
      </c>
      <c r="J1328" s="32">
        <f>IFERROR(IF(AND($F1328&gt;0,$H1328&gt;0,$A1328-$G1328&lt;=10,$A1328-$I1328&lt;=5,$G1328&gt;0,$I1328&gt;0),$F1328*$H1328,NA()),NA())</f>
        <v/>
      </c>
      <c r="K1328" s="15">
        <f>IF($A1328="","",IF(AH!$U$5=1,IFERROR(MATCH($A1328,'Live History'!$A$5:$A$3004,0),0),AH!$U$7+1323))</f>
        <v/>
      </c>
      <c r="L1328" s="15">
        <f>IF(ISNUMBER(A1328),TEXT(A1328,"dd-mmm-yy"),"")</f>
        <v/>
      </c>
    </row>
    <row r="1329">
      <c r="A1329" s="14">
        <f>IF(OR(AH!$U$4=0,1324+1&gt;AH!$U$6,AND(AH!$M$5="Bloomberg",AH!$U$5=0)),"",IFERROR(IF(AND(AH!$U$12=1,1324+1=AH!$U$6),TODAY(),IF(AH!$U$5=1,INDEX('Live History'!$A$5:$A$3004,AH!$U$7+1324),INDEX('AH History'!$A$5:$A$1380,AH!$U$7+1324))),""))</f>
        <v/>
      </c>
      <c r="B1329" s="33">
        <f>IFERROR(IF(AH!$U$11=1,NA(),$J1329/$E1329-1),NA())</f>
        <v/>
      </c>
      <c r="C1329" s="269">
        <f>IFERROR(100*$E1329/$E$5,NA())</f>
        <v/>
      </c>
      <c r="D1329" s="269">
        <f>IFERROR(100*$J1329/$J$5,NA())</f>
        <v/>
      </c>
      <c r="E1329" s="32">
        <f>IFERROR(IF(AND(ISNUMBER($A1329),N(IF(AND(AH!$U$12=1,1324+1=AH!$U$6),IF(AH!$U$4=0,"unavailable",INDEX('Market Data'!$AN$5:$AN$66,AH!$U$4)),IF(AH!$U$5=1,INDEX('Live History'!$B$5:$B$3004,$K1329),INDEX('AH History'!$D$5:$GG$1380,$K1329,AH!$U$10))))&gt;0),IF(AND(AH!$U$12=1,1324+1=AH!$U$6),IF(AH!$U$4=0,"unavailable",INDEX('Market Data'!$AN$5:$AN$66,AH!$U$4)),IF(AH!$U$5=1,INDEX('Live History'!$B$5:$B$3004,$K1329),INDEX('AH History'!$D$5:$GG$1380,$K1329,AH!$U$10))),NA()),NA())</f>
        <v/>
      </c>
      <c r="F1329" s="32">
        <f>IFERROR(IF(ISNUMBER($A1329),IF(AND(AH!$U$12=1,1324+1=AH!$U$6),IF(AH!$U$4=0,"unavailable",INDEX('Market Data'!$AO$5:$AO$66,AH!$U$4)),IF(AH!$U$5=1,INDEX('Live History'!$E$5:$E$3004,MATCH($A1329,'Live History'!$D$5:$D$3004,1)),INDEX('AH History'!$D$5:$GG$1380,$K1329,AH!$U$10+1))),NA()),NA())</f>
        <v/>
      </c>
      <c r="G1329" s="34">
        <f>IFERROR(IF(ISNUMBER($A1329),IF(AND(AH!$U$12=1,1324+1=AH!$U$6),IF(AH!$U$4=0,"unavailable",INDEX('Market Data'!$AK$5:$AK$66,AH!$U$4)),IF(AH!$U$5=1,INDEX('Live History'!$D$5:$D$3004,MATCH($A1329,'Live History'!$D$5:$D$3004,1)),INDEX('AH History'!$D$5:$GG$1380,$K1329,AH!$U$10+2))),NA()),NA())</f>
        <v/>
      </c>
      <c r="H1329" s="266">
        <f>IFERROR(IF(ISNUMBER($A1329),IF(AND(AH!$U$12=1,1324+1=AH!$U$6),IF(AH!$U$4=0,"unavailable",INDEX('Market Data'!$AP$5:$AP$66,AH!$U$4)),IF(AH!$U$5=1,INDEX('Live History'!$H$5:$H$3004,MATCH($A1329,'Live History'!$G$5:$G$3004,1)),INDEX('AH History'!$B$5:$B$1380,$K1329))),NA()),NA())</f>
        <v/>
      </c>
      <c r="I1329" s="34">
        <f>IFERROR(IF(ISNUMBER($A1329),IF(AND(AH!$U$12=1,1324+1=AH!$U$6),TODAY(),IF(AH!$U$5=1,INDEX('Live History'!$G$5:$G$3004,MATCH($A1329,'Live History'!$G$5:$G$3004,1)),INDEX('AH History'!$C$5:$C$1380,$K1329))),NA()),NA())</f>
        <v/>
      </c>
      <c r="J1329" s="32">
        <f>IFERROR(IF(AND($F1329&gt;0,$H1329&gt;0,$A1329-$G1329&lt;=10,$A1329-$I1329&lt;=5,$G1329&gt;0,$I1329&gt;0),$F1329*$H1329,NA()),NA())</f>
        <v/>
      </c>
      <c r="K1329" s="15">
        <f>IF($A1329="","",IF(AH!$U$5=1,IFERROR(MATCH($A1329,'Live History'!$A$5:$A$3004,0),0),AH!$U$7+1324))</f>
        <v/>
      </c>
      <c r="L1329" s="15">
        <f>IF(ISNUMBER(A1329),TEXT(A1329,"dd-mmm-yy"),"")</f>
        <v/>
      </c>
    </row>
    <row r="1330">
      <c r="A1330" s="14">
        <f>IF(OR(AH!$U$4=0,1325+1&gt;AH!$U$6,AND(AH!$M$5="Bloomberg",AH!$U$5=0)),"",IFERROR(IF(AND(AH!$U$12=1,1325+1=AH!$U$6),TODAY(),IF(AH!$U$5=1,INDEX('Live History'!$A$5:$A$3004,AH!$U$7+1325),INDEX('AH History'!$A$5:$A$1380,AH!$U$7+1325))),""))</f>
        <v/>
      </c>
      <c r="B1330" s="33">
        <f>IFERROR(IF(AH!$U$11=1,NA(),$J1330/$E1330-1),NA())</f>
        <v/>
      </c>
      <c r="C1330" s="269">
        <f>IFERROR(100*$E1330/$E$5,NA())</f>
        <v/>
      </c>
      <c r="D1330" s="269">
        <f>IFERROR(100*$J1330/$J$5,NA())</f>
        <v/>
      </c>
      <c r="E1330" s="32">
        <f>IFERROR(IF(AND(ISNUMBER($A1330),N(IF(AND(AH!$U$12=1,1325+1=AH!$U$6),IF(AH!$U$4=0,"unavailable",INDEX('Market Data'!$AN$5:$AN$66,AH!$U$4)),IF(AH!$U$5=1,INDEX('Live History'!$B$5:$B$3004,$K1330),INDEX('AH History'!$D$5:$GG$1380,$K1330,AH!$U$10))))&gt;0),IF(AND(AH!$U$12=1,1325+1=AH!$U$6),IF(AH!$U$4=0,"unavailable",INDEX('Market Data'!$AN$5:$AN$66,AH!$U$4)),IF(AH!$U$5=1,INDEX('Live History'!$B$5:$B$3004,$K1330),INDEX('AH History'!$D$5:$GG$1380,$K1330,AH!$U$10))),NA()),NA())</f>
        <v/>
      </c>
      <c r="F1330" s="32">
        <f>IFERROR(IF(ISNUMBER($A1330),IF(AND(AH!$U$12=1,1325+1=AH!$U$6),IF(AH!$U$4=0,"unavailable",INDEX('Market Data'!$AO$5:$AO$66,AH!$U$4)),IF(AH!$U$5=1,INDEX('Live History'!$E$5:$E$3004,MATCH($A1330,'Live History'!$D$5:$D$3004,1)),INDEX('AH History'!$D$5:$GG$1380,$K1330,AH!$U$10+1))),NA()),NA())</f>
        <v/>
      </c>
      <c r="G1330" s="34">
        <f>IFERROR(IF(ISNUMBER($A1330),IF(AND(AH!$U$12=1,1325+1=AH!$U$6),IF(AH!$U$4=0,"unavailable",INDEX('Market Data'!$AK$5:$AK$66,AH!$U$4)),IF(AH!$U$5=1,INDEX('Live History'!$D$5:$D$3004,MATCH($A1330,'Live History'!$D$5:$D$3004,1)),INDEX('AH History'!$D$5:$GG$1380,$K1330,AH!$U$10+2))),NA()),NA())</f>
        <v/>
      </c>
      <c r="H1330" s="266">
        <f>IFERROR(IF(ISNUMBER($A1330),IF(AND(AH!$U$12=1,1325+1=AH!$U$6),IF(AH!$U$4=0,"unavailable",INDEX('Market Data'!$AP$5:$AP$66,AH!$U$4)),IF(AH!$U$5=1,INDEX('Live History'!$H$5:$H$3004,MATCH($A1330,'Live History'!$G$5:$G$3004,1)),INDEX('AH History'!$B$5:$B$1380,$K1330))),NA()),NA())</f>
        <v/>
      </c>
      <c r="I1330" s="34">
        <f>IFERROR(IF(ISNUMBER($A1330),IF(AND(AH!$U$12=1,1325+1=AH!$U$6),TODAY(),IF(AH!$U$5=1,INDEX('Live History'!$G$5:$G$3004,MATCH($A1330,'Live History'!$G$5:$G$3004,1)),INDEX('AH History'!$C$5:$C$1380,$K1330))),NA()),NA())</f>
        <v/>
      </c>
      <c r="J1330" s="32">
        <f>IFERROR(IF(AND($F1330&gt;0,$H1330&gt;0,$A1330-$G1330&lt;=10,$A1330-$I1330&lt;=5,$G1330&gt;0,$I1330&gt;0),$F1330*$H1330,NA()),NA())</f>
        <v/>
      </c>
      <c r="K1330" s="15">
        <f>IF($A1330="","",IF(AH!$U$5=1,IFERROR(MATCH($A1330,'Live History'!$A$5:$A$3004,0),0),AH!$U$7+1325))</f>
        <v/>
      </c>
      <c r="L1330" s="15">
        <f>IF(ISNUMBER(A1330),TEXT(A1330,"dd-mmm-yy"),"")</f>
        <v/>
      </c>
    </row>
    <row r="1331">
      <c r="A1331" s="14">
        <f>IF(OR(AH!$U$4=0,1326+1&gt;AH!$U$6,AND(AH!$M$5="Bloomberg",AH!$U$5=0)),"",IFERROR(IF(AND(AH!$U$12=1,1326+1=AH!$U$6),TODAY(),IF(AH!$U$5=1,INDEX('Live History'!$A$5:$A$3004,AH!$U$7+1326),INDEX('AH History'!$A$5:$A$1380,AH!$U$7+1326))),""))</f>
        <v/>
      </c>
      <c r="B1331" s="33">
        <f>IFERROR(IF(AH!$U$11=1,NA(),$J1331/$E1331-1),NA())</f>
        <v/>
      </c>
      <c r="C1331" s="269">
        <f>IFERROR(100*$E1331/$E$5,NA())</f>
        <v/>
      </c>
      <c r="D1331" s="269">
        <f>IFERROR(100*$J1331/$J$5,NA())</f>
        <v/>
      </c>
      <c r="E1331" s="32">
        <f>IFERROR(IF(AND(ISNUMBER($A1331),N(IF(AND(AH!$U$12=1,1326+1=AH!$U$6),IF(AH!$U$4=0,"unavailable",INDEX('Market Data'!$AN$5:$AN$66,AH!$U$4)),IF(AH!$U$5=1,INDEX('Live History'!$B$5:$B$3004,$K1331),INDEX('AH History'!$D$5:$GG$1380,$K1331,AH!$U$10))))&gt;0),IF(AND(AH!$U$12=1,1326+1=AH!$U$6),IF(AH!$U$4=0,"unavailable",INDEX('Market Data'!$AN$5:$AN$66,AH!$U$4)),IF(AH!$U$5=1,INDEX('Live History'!$B$5:$B$3004,$K1331),INDEX('AH History'!$D$5:$GG$1380,$K1331,AH!$U$10))),NA()),NA())</f>
        <v/>
      </c>
      <c r="F1331" s="32">
        <f>IFERROR(IF(ISNUMBER($A1331),IF(AND(AH!$U$12=1,1326+1=AH!$U$6),IF(AH!$U$4=0,"unavailable",INDEX('Market Data'!$AO$5:$AO$66,AH!$U$4)),IF(AH!$U$5=1,INDEX('Live History'!$E$5:$E$3004,MATCH($A1331,'Live History'!$D$5:$D$3004,1)),INDEX('AH History'!$D$5:$GG$1380,$K1331,AH!$U$10+1))),NA()),NA())</f>
        <v/>
      </c>
      <c r="G1331" s="34">
        <f>IFERROR(IF(ISNUMBER($A1331),IF(AND(AH!$U$12=1,1326+1=AH!$U$6),IF(AH!$U$4=0,"unavailable",INDEX('Market Data'!$AK$5:$AK$66,AH!$U$4)),IF(AH!$U$5=1,INDEX('Live History'!$D$5:$D$3004,MATCH($A1331,'Live History'!$D$5:$D$3004,1)),INDEX('AH History'!$D$5:$GG$1380,$K1331,AH!$U$10+2))),NA()),NA())</f>
        <v/>
      </c>
      <c r="H1331" s="266">
        <f>IFERROR(IF(ISNUMBER($A1331),IF(AND(AH!$U$12=1,1326+1=AH!$U$6),IF(AH!$U$4=0,"unavailable",INDEX('Market Data'!$AP$5:$AP$66,AH!$U$4)),IF(AH!$U$5=1,INDEX('Live History'!$H$5:$H$3004,MATCH($A1331,'Live History'!$G$5:$G$3004,1)),INDEX('AH History'!$B$5:$B$1380,$K1331))),NA()),NA())</f>
        <v/>
      </c>
      <c r="I1331" s="34">
        <f>IFERROR(IF(ISNUMBER($A1331),IF(AND(AH!$U$12=1,1326+1=AH!$U$6),TODAY(),IF(AH!$U$5=1,INDEX('Live History'!$G$5:$G$3004,MATCH($A1331,'Live History'!$G$5:$G$3004,1)),INDEX('AH History'!$C$5:$C$1380,$K1331))),NA()),NA())</f>
        <v/>
      </c>
      <c r="J1331" s="32">
        <f>IFERROR(IF(AND($F1331&gt;0,$H1331&gt;0,$A1331-$G1331&lt;=10,$A1331-$I1331&lt;=5,$G1331&gt;0,$I1331&gt;0),$F1331*$H1331,NA()),NA())</f>
        <v/>
      </c>
      <c r="K1331" s="15">
        <f>IF($A1331="","",IF(AH!$U$5=1,IFERROR(MATCH($A1331,'Live History'!$A$5:$A$3004,0),0),AH!$U$7+1326))</f>
        <v/>
      </c>
      <c r="L1331" s="15">
        <f>IF(ISNUMBER(A1331),TEXT(A1331,"dd-mmm-yy"),"")</f>
        <v/>
      </c>
    </row>
    <row r="1332">
      <c r="A1332" s="14">
        <f>IF(OR(AH!$U$4=0,1327+1&gt;AH!$U$6,AND(AH!$M$5="Bloomberg",AH!$U$5=0)),"",IFERROR(IF(AND(AH!$U$12=1,1327+1=AH!$U$6),TODAY(),IF(AH!$U$5=1,INDEX('Live History'!$A$5:$A$3004,AH!$U$7+1327),INDEX('AH History'!$A$5:$A$1380,AH!$U$7+1327))),""))</f>
        <v/>
      </c>
      <c r="B1332" s="33">
        <f>IFERROR(IF(AH!$U$11=1,NA(),$J1332/$E1332-1),NA())</f>
        <v/>
      </c>
      <c r="C1332" s="269">
        <f>IFERROR(100*$E1332/$E$5,NA())</f>
        <v/>
      </c>
      <c r="D1332" s="269">
        <f>IFERROR(100*$J1332/$J$5,NA())</f>
        <v/>
      </c>
      <c r="E1332" s="32">
        <f>IFERROR(IF(AND(ISNUMBER($A1332),N(IF(AND(AH!$U$12=1,1327+1=AH!$U$6),IF(AH!$U$4=0,"unavailable",INDEX('Market Data'!$AN$5:$AN$66,AH!$U$4)),IF(AH!$U$5=1,INDEX('Live History'!$B$5:$B$3004,$K1332),INDEX('AH History'!$D$5:$GG$1380,$K1332,AH!$U$10))))&gt;0),IF(AND(AH!$U$12=1,1327+1=AH!$U$6),IF(AH!$U$4=0,"unavailable",INDEX('Market Data'!$AN$5:$AN$66,AH!$U$4)),IF(AH!$U$5=1,INDEX('Live History'!$B$5:$B$3004,$K1332),INDEX('AH History'!$D$5:$GG$1380,$K1332,AH!$U$10))),NA()),NA())</f>
        <v/>
      </c>
      <c r="F1332" s="32">
        <f>IFERROR(IF(ISNUMBER($A1332),IF(AND(AH!$U$12=1,1327+1=AH!$U$6),IF(AH!$U$4=0,"unavailable",INDEX('Market Data'!$AO$5:$AO$66,AH!$U$4)),IF(AH!$U$5=1,INDEX('Live History'!$E$5:$E$3004,MATCH($A1332,'Live History'!$D$5:$D$3004,1)),INDEX('AH History'!$D$5:$GG$1380,$K1332,AH!$U$10+1))),NA()),NA())</f>
        <v/>
      </c>
      <c r="G1332" s="34">
        <f>IFERROR(IF(ISNUMBER($A1332),IF(AND(AH!$U$12=1,1327+1=AH!$U$6),IF(AH!$U$4=0,"unavailable",INDEX('Market Data'!$AK$5:$AK$66,AH!$U$4)),IF(AH!$U$5=1,INDEX('Live History'!$D$5:$D$3004,MATCH($A1332,'Live History'!$D$5:$D$3004,1)),INDEX('AH History'!$D$5:$GG$1380,$K1332,AH!$U$10+2))),NA()),NA())</f>
        <v/>
      </c>
      <c r="H1332" s="266">
        <f>IFERROR(IF(ISNUMBER($A1332),IF(AND(AH!$U$12=1,1327+1=AH!$U$6),IF(AH!$U$4=0,"unavailable",INDEX('Market Data'!$AP$5:$AP$66,AH!$U$4)),IF(AH!$U$5=1,INDEX('Live History'!$H$5:$H$3004,MATCH($A1332,'Live History'!$G$5:$G$3004,1)),INDEX('AH History'!$B$5:$B$1380,$K1332))),NA()),NA())</f>
        <v/>
      </c>
      <c r="I1332" s="34">
        <f>IFERROR(IF(ISNUMBER($A1332),IF(AND(AH!$U$12=1,1327+1=AH!$U$6),TODAY(),IF(AH!$U$5=1,INDEX('Live History'!$G$5:$G$3004,MATCH($A1332,'Live History'!$G$5:$G$3004,1)),INDEX('AH History'!$C$5:$C$1380,$K1332))),NA()),NA())</f>
        <v/>
      </c>
      <c r="J1332" s="32">
        <f>IFERROR(IF(AND($F1332&gt;0,$H1332&gt;0,$A1332-$G1332&lt;=10,$A1332-$I1332&lt;=5,$G1332&gt;0,$I1332&gt;0),$F1332*$H1332,NA()),NA())</f>
        <v/>
      </c>
      <c r="K1332" s="15">
        <f>IF($A1332="","",IF(AH!$U$5=1,IFERROR(MATCH($A1332,'Live History'!$A$5:$A$3004,0),0),AH!$U$7+1327))</f>
        <v/>
      </c>
      <c r="L1332" s="15">
        <f>IF(ISNUMBER(A1332),TEXT(A1332,"dd-mmm-yy"),"")</f>
        <v/>
      </c>
    </row>
    <row r="1333">
      <c r="A1333" s="14">
        <f>IF(OR(AH!$U$4=0,1328+1&gt;AH!$U$6,AND(AH!$M$5="Bloomberg",AH!$U$5=0)),"",IFERROR(IF(AND(AH!$U$12=1,1328+1=AH!$U$6),TODAY(),IF(AH!$U$5=1,INDEX('Live History'!$A$5:$A$3004,AH!$U$7+1328),INDEX('AH History'!$A$5:$A$1380,AH!$U$7+1328))),""))</f>
        <v/>
      </c>
      <c r="B1333" s="33">
        <f>IFERROR(IF(AH!$U$11=1,NA(),$J1333/$E1333-1),NA())</f>
        <v/>
      </c>
      <c r="C1333" s="269">
        <f>IFERROR(100*$E1333/$E$5,NA())</f>
        <v/>
      </c>
      <c r="D1333" s="269">
        <f>IFERROR(100*$J1333/$J$5,NA())</f>
        <v/>
      </c>
      <c r="E1333" s="32">
        <f>IFERROR(IF(AND(ISNUMBER($A1333),N(IF(AND(AH!$U$12=1,1328+1=AH!$U$6),IF(AH!$U$4=0,"unavailable",INDEX('Market Data'!$AN$5:$AN$66,AH!$U$4)),IF(AH!$U$5=1,INDEX('Live History'!$B$5:$B$3004,$K1333),INDEX('AH History'!$D$5:$GG$1380,$K1333,AH!$U$10))))&gt;0),IF(AND(AH!$U$12=1,1328+1=AH!$U$6),IF(AH!$U$4=0,"unavailable",INDEX('Market Data'!$AN$5:$AN$66,AH!$U$4)),IF(AH!$U$5=1,INDEX('Live History'!$B$5:$B$3004,$K1333),INDEX('AH History'!$D$5:$GG$1380,$K1333,AH!$U$10))),NA()),NA())</f>
        <v/>
      </c>
      <c r="F1333" s="32">
        <f>IFERROR(IF(ISNUMBER($A1333),IF(AND(AH!$U$12=1,1328+1=AH!$U$6),IF(AH!$U$4=0,"unavailable",INDEX('Market Data'!$AO$5:$AO$66,AH!$U$4)),IF(AH!$U$5=1,INDEX('Live History'!$E$5:$E$3004,MATCH($A1333,'Live History'!$D$5:$D$3004,1)),INDEX('AH History'!$D$5:$GG$1380,$K1333,AH!$U$10+1))),NA()),NA())</f>
        <v/>
      </c>
      <c r="G1333" s="34">
        <f>IFERROR(IF(ISNUMBER($A1333),IF(AND(AH!$U$12=1,1328+1=AH!$U$6),IF(AH!$U$4=0,"unavailable",INDEX('Market Data'!$AK$5:$AK$66,AH!$U$4)),IF(AH!$U$5=1,INDEX('Live History'!$D$5:$D$3004,MATCH($A1333,'Live History'!$D$5:$D$3004,1)),INDEX('AH History'!$D$5:$GG$1380,$K1333,AH!$U$10+2))),NA()),NA())</f>
        <v/>
      </c>
      <c r="H1333" s="266">
        <f>IFERROR(IF(ISNUMBER($A1333),IF(AND(AH!$U$12=1,1328+1=AH!$U$6),IF(AH!$U$4=0,"unavailable",INDEX('Market Data'!$AP$5:$AP$66,AH!$U$4)),IF(AH!$U$5=1,INDEX('Live History'!$H$5:$H$3004,MATCH($A1333,'Live History'!$G$5:$G$3004,1)),INDEX('AH History'!$B$5:$B$1380,$K1333))),NA()),NA())</f>
        <v/>
      </c>
      <c r="I1333" s="34">
        <f>IFERROR(IF(ISNUMBER($A1333),IF(AND(AH!$U$12=1,1328+1=AH!$U$6),TODAY(),IF(AH!$U$5=1,INDEX('Live History'!$G$5:$G$3004,MATCH($A1333,'Live History'!$G$5:$G$3004,1)),INDEX('AH History'!$C$5:$C$1380,$K1333))),NA()),NA())</f>
        <v/>
      </c>
      <c r="J1333" s="32">
        <f>IFERROR(IF(AND($F1333&gt;0,$H1333&gt;0,$A1333-$G1333&lt;=10,$A1333-$I1333&lt;=5,$G1333&gt;0,$I1333&gt;0),$F1333*$H1333,NA()),NA())</f>
        <v/>
      </c>
      <c r="K1333" s="15">
        <f>IF($A1333="","",IF(AH!$U$5=1,IFERROR(MATCH($A1333,'Live History'!$A$5:$A$3004,0),0),AH!$U$7+1328))</f>
        <v/>
      </c>
      <c r="L1333" s="15">
        <f>IF(ISNUMBER(A1333),TEXT(A1333,"dd-mmm-yy"),"")</f>
        <v/>
      </c>
    </row>
    <row r="1334">
      <c r="A1334" s="14">
        <f>IF(OR(AH!$U$4=0,1329+1&gt;AH!$U$6,AND(AH!$M$5="Bloomberg",AH!$U$5=0)),"",IFERROR(IF(AND(AH!$U$12=1,1329+1=AH!$U$6),TODAY(),IF(AH!$U$5=1,INDEX('Live History'!$A$5:$A$3004,AH!$U$7+1329),INDEX('AH History'!$A$5:$A$1380,AH!$U$7+1329))),""))</f>
        <v/>
      </c>
      <c r="B1334" s="33">
        <f>IFERROR(IF(AH!$U$11=1,NA(),$J1334/$E1334-1),NA())</f>
        <v/>
      </c>
      <c r="C1334" s="269">
        <f>IFERROR(100*$E1334/$E$5,NA())</f>
        <v/>
      </c>
      <c r="D1334" s="269">
        <f>IFERROR(100*$J1334/$J$5,NA())</f>
        <v/>
      </c>
      <c r="E1334" s="32">
        <f>IFERROR(IF(AND(ISNUMBER($A1334),N(IF(AND(AH!$U$12=1,1329+1=AH!$U$6),IF(AH!$U$4=0,"unavailable",INDEX('Market Data'!$AN$5:$AN$66,AH!$U$4)),IF(AH!$U$5=1,INDEX('Live History'!$B$5:$B$3004,$K1334),INDEX('AH History'!$D$5:$GG$1380,$K1334,AH!$U$10))))&gt;0),IF(AND(AH!$U$12=1,1329+1=AH!$U$6),IF(AH!$U$4=0,"unavailable",INDEX('Market Data'!$AN$5:$AN$66,AH!$U$4)),IF(AH!$U$5=1,INDEX('Live History'!$B$5:$B$3004,$K1334),INDEX('AH History'!$D$5:$GG$1380,$K1334,AH!$U$10))),NA()),NA())</f>
        <v/>
      </c>
      <c r="F1334" s="32">
        <f>IFERROR(IF(ISNUMBER($A1334),IF(AND(AH!$U$12=1,1329+1=AH!$U$6),IF(AH!$U$4=0,"unavailable",INDEX('Market Data'!$AO$5:$AO$66,AH!$U$4)),IF(AH!$U$5=1,INDEX('Live History'!$E$5:$E$3004,MATCH($A1334,'Live History'!$D$5:$D$3004,1)),INDEX('AH History'!$D$5:$GG$1380,$K1334,AH!$U$10+1))),NA()),NA())</f>
        <v/>
      </c>
      <c r="G1334" s="34">
        <f>IFERROR(IF(ISNUMBER($A1334),IF(AND(AH!$U$12=1,1329+1=AH!$U$6),IF(AH!$U$4=0,"unavailable",INDEX('Market Data'!$AK$5:$AK$66,AH!$U$4)),IF(AH!$U$5=1,INDEX('Live History'!$D$5:$D$3004,MATCH($A1334,'Live History'!$D$5:$D$3004,1)),INDEX('AH History'!$D$5:$GG$1380,$K1334,AH!$U$10+2))),NA()),NA())</f>
        <v/>
      </c>
      <c r="H1334" s="266">
        <f>IFERROR(IF(ISNUMBER($A1334),IF(AND(AH!$U$12=1,1329+1=AH!$U$6),IF(AH!$U$4=0,"unavailable",INDEX('Market Data'!$AP$5:$AP$66,AH!$U$4)),IF(AH!$U$5=1,INDEX('Live History'!$H$5:$H$3004,MATCH($A1334,'Live History'!$G$5:$G$3004,1)),INDEX('AH History'!$B$5:$B$1380,$K1334))),NA()),NA())</f>
        <v/>
      </c>
      <c r="I1334" s="34">
        <f>IFERROR(IF(ISNUMBER($A1334),IF(AND(AH!$U$12=1,1329+1=AH!$U$6),TODAY(),IF(AH!$U$5=1,INDEX('Live History'!$G$5:$G$3004,MATCH($A1334,'Live History'!$G$5:$G$3004,1)),INDEX('AH History'!$C$5:$C$1380,$K1334))),NA()),NA())</f>
        <v/>
      </c>
      <c r="J1334" s="32">
        <f>IFERROR(IF(AND($F1334&gt;0,$H1334&gt;0,$A1334-$G1334&lt;=10,$A1334-$I1334&lt;=5,$G1334&gt;0,$I1334&gt;0),$F1334*$H1334,NA()),NA())</f>
        <v/>
      </c>
      <c r="K1334" s="15">
        <f>IF($A1334="","",IF(AH!$U$5=1,IFERROR(MATCH($A1334,'Live History'!$A$5:$A$3004,0),0),AH!$U$7+1329))</f>
        <v/>
      </c>
      <c r="L1334" s="15">
        <f>IF(ISNUMBER(A1334),TEXT(A1334,"dd-mmm-yy"),"")</f>
        <v/>
      </c>
    </row>
    <row r="1335">
      <c r="A1335" s="14">
        <f>IF(OR(AH!$U$4=0,1330+1&gt;AH!$U$6,AND(AH!$M$5="Bloomberg",AH!$U$5=0)),"",IFERROR(IF(AND(AH!$U$12=1,1330+1=AH!$U$6),TODAY(),IF(AH!$U$5=1,INDEX('Live History'!$A$5:$A$3004,AH!$U$7+1330),INDEX('AH History'!$A$5:$A$1380,AH!$U$7+1330))),""))</f>
        <v/>
      </c>
      <c r="B1335" s="33">
        <f>IFERROR(IF(AH!$U$11=1,NA(),$J1335/$E1335-1),NA())</f>
        <v/>
      </c>
      <c r="C1335" s="269">
        <f>IFERROR(100*$E1335/$E$5,NA())</f>
        <v/>
      </c>
      <c r="D1335" s="269">
        <f>IFERROR(100*$J1335/$J$5,NA())</f>
        <v/>
      </c>
      <c r="E1335" s="32">
        <f>IFERROR(IF(AND(ISNUMBER($A1335),N(IF(AND(AH!$U$12=1,1330+1=AH!$U$6),IF(AH!$U$4=0,"unavailable",INDEX('Market Data'!$AN$5:$AN$66,AH!$U$4)),IF(AH!$U$5=1,INDEX('Live History'!$B$5:$B$3004,$K1335),INDEX('AH History'!$D$5:$GG$1380,$K1335,AH!$U$10))))&gt;0),IF(AND(AH!$U$12=1,1330+1=AH!$U$6),IF(AH!$U$4=0,"unavailable",INDEX('Market Data'!$AN$5:$AN$66,AH!$U$4)),IF(AH!$U$5=1,INDEX('Live History'!$B$5:$B$3004,$K1335),INDEX('AH History'!$D$5:$GG$1380,$K1335,AH!$U$10))),NA()),NA())</f>
        <v/>
      </c>
      <c r="F1335" s="32">
        <f>IFERROR(IF(ISNUMBER($A1335),IF(AND(AH!$U$12=1,1330+1=AH!$U$6),IF(AH!$U$4=0,"unavailable",INDEX('Market Data'!$AO$5:$AO$66,AH!$U$4)),IF(AH!$U$5=1,INDEX('Live History'!$E$5:$E$3004,MATCH($A1335,'Live History'!$D$5:$D$3004,1)),INDEX('AH History'!$D$5:$GG$1380,$K1335,AH!$U$10+1))),NA()),NA())</f>
        <v/>
      </c>
      <c r="G1335" s="34">
        <f>IFERROR(IF(ISNUMBER($A1335),IF(AND(AH!$U$12=1,1330+1=AH!$U$6),IF(AH!$U$4=0,"unavailable",INDEX('Market Data'!$AK$5:$AK$66,AH!$U$4)),IF(AH!$U$5=1,INDEX('Live History'!$D$5:$D$3004,MATCH($A1335,'Live History'!$D$5:$D$3004,1)),INDEX('AH History'!$D$5:$GG$1380,$K1335,AH!$U$10+2))),NA()),NA())</f>
        <v/>
      </c>
      <c r="H1335" s="266">
        <f>IFERROR(IF(ISNUMBER($A1335),IF(AND(AH!$U$12=1,1330+1=AH!$U$6),IF(AH!$U$4=0,"unavailable",INDEX('Market Data'!$AP$5:$AP$66,AH!$U$4)),IF(AH!$U$5=1,INDEX('Live History'!$H$5:$H$3004,MATCH($A1335,'Live History'!$G$5:$G$3004,1)),INDEX('AH History'!$B$5:$B$1380,$K1335))),NA()),NA())</f>
        <v/>
      </c>
      <c r="I1335" s="34">
        <f>IFERROR(IF(ISNUMBER($A1335),IF(AND(AH!$U$12=1,1330+1=AH!$U$6),TODAY(),IF(AH!$U$5=1,INDEX('Live History'!$G$5:$G$3004,MATCH($A1335,'Live History'!$G$5:$G$3004,1)),INDEX('AH History'!$C$5:$C$1380,$K1335))),NA()),NA())</f>
        <v/>
      </c>
      <c r="J1335" s="32">
        <f>IFERROR(IF(AND($F1335&gt;0,$H1335&gt;0,$A1335-$G1335&lt;=10,$A1335-$I1335&lt;=5,$G1335&gt;0,$I1335&gt;0),$F1335*$H1335,NA()),NA())</f>
        <v/>
      </c>
      <c r="K1335" s="15">
        <f>IF($A1335="","",IF(AH!$U$5=1,IFERROR(MATCH($A1335,'Live History'!$A$5:$A$3004,0),0),AH!$U$7+1330))</f>
        <v/>
      </c>
      <c r="L1335" s="15">
        <f>IF(ISNUMBER(A1335),TEXT(A1335,"dd-mmm-yy"),"")</f>
        <v/>
      </c>
    </row>
    <row r="1336">
      <c r="A1336" s="14">
        <f>IF(OR(AH!$U$4=0,1331+1&gt;AH!$U$6,AND(AH!$M$5="Bloomberg",AH!$U$5=0)),"",IFERROR(IF(AND(AH!$U$12=1,1331+1=AH!$U$6),TODAY(),IF(AH!$U$5=1,INDEX('Live History'!$A$5:$A$3004,AH!$U$7+1331),INDEX('AH History'!$A$5:$A$1380,AH!$U$7+1331))),""))</f>
        <v/>
      </c>
      <c r="B1336" s="33">
        <f>IFERROR(IF(AH!$U$11=1,NA(),$J1336/$E1336-1),NA())</f>
        <v/>
      </c>
      <c r="C1336" s="269">
        <f>IFERROR(100*$E1336/$E$5,NA())</f>
        <v/>
      </c>
      <c r="D1336" s="269">
        <f>IFERROR(100*$J1336/$J$5,NA())</f>
        <v/>
      </c>
      <c r="E1336" s="32">
        <f>IFERROR(IF(AND(ISNUMBER($A1336),N(IF(AND(AH!$U$12=1,1331+1=AH!$U$6),IF(AH!$U$4=0,"unavailable",INDEX('Market Data'!$AN$5:$AN$66,AH!$U$4)),IF(AH!$U$5=1,INDEX('Live History'!$B$5:$B$3004,$K1336),INDEX('AH History'!$D$5:$GG$1380,$K1336,AH!$U$10))))&gt;0),IF(AND(AH!$U$12=1,1331+1=AH!$U$6),IF(AH!$U$4=0,"unavailable",INDEX('Market Data'!$AN$5:$AN$66,AH!$U$4)),IF(AH!$U$5=1,INDEX('Live History'!$B$5:$B$3004,$K1336),INDEX('AH History'!$D$5:$GG$1380,$K1336,AH!$U$10))),NA()),NA())</f>
        <v/>
      </c>
      <c r="F1336" s="32">
        <f>IFERROR(IF(ISNUMBER($A1336),IF(AND(AH!$U$12=1,1331+1=AH!$U$6),IF(AH!$U$4=0,"unavailable",INDEX('Market Data'!$AO$5:$AO$66,AH!$U$4)),IF(AH!$U$5=1,INDEX('Live History'!$E$5:$E$3004,MATCH($A1336,'Live History'!$D$5:$D$3004,1)),INDEX('AH History'!$D$5:$GG$1380,$K1336,AH!$U$10+1))),NA()),NA())</f>
        <v/>
      </c>
      <c r="G1336" s="34">
        <f>IFERROR(IF(ISNUMBER($A1336),IF(AND(AH!$U$12=1,1331+1=AH!$U$6),IF(AH!$U$4=0,"unavailable",INDEX('Market Data'!$AK$5:$AK$66,AH!$U$4)),IF(AH!$U$5=1,INDEX('Live History'!$D$5:$D$3004,MATCH($A1336,'Live History'!$D$5:$D$3004,1)),INDEX('AH History'!$D$5:$GG$1380,$K1336,AH!$U$10+2))),NA()),NA())</f>
        <v/>
      </c>
      <c r="H1336" s="266">
        <f>IFERROR(IF(ISNUMBER($A1336),IF(AND(AH!$U$12=1,1331+1=AH!$U$6),IF(AH!$U$4=0,"unavailable",INDEX('Market Data'!$AP$5:$AP$66,AH!$U$4)),IF(AH!$U$5=1,INDEX('Live History'!$H$5:$H$3004,MATCH($A1336,'Live History'!$G$5:$G$3004,1)),INDEX('AH History'!$B$5:$B$1380,$K1336))),NA()),NA())</f>
        <v/>
      </c>
      <c r="I1336" s="34">
        <f>IFERROR(IF(ISNUMBER($A1336),IF(AND(AH!$U$12=1,1331+1=AH!$U$6),TODAY(),IF(AH!$U$5=1,INDEX('Live History'!$G$5:$G$3004,MATCH($A1336,'Live History'!$G$5:$G$3004,1)),INDEX('AH History'!$C$5:$C$1380,$K1336))),NA()),NA())</f>
        <v/>
      </c>
      <c r="J1336" s="32">
        <f>IFERROR(IF(AND($F1336&gt;0,$H1336&gt;0,$A1336-$G1336&lt;=10,$A1336-$I1336&lt;=5,$G1336&gt;0,$I1336&gt;0),$F1336*$H1336,NA()),NA())</f>
        <v/>
      </c>
      <c r="K1336" s="15">
        <f>IF($A1336="","",IF(AH!$U$5=1,IFERROR(MATCH($A1336,'Live History'!$A$5:$A$3004,0),0),AH!$U$7+1331))</f>
        <v/>
      </c>
      <c r="L1336" s="15">
        <f>IF(ISNUMBER(A1336),TEXT(A1336,"dd-mmm-yy"),"")</f>
        <v/>
      </c>
    </row>
    <row r="1337">
      <c r="A1337" s="14">
        <f>IF(OR(AH!$U$4=0,1332+1&gt;AH!$U$6,AND(AH!$M$5="Bloomberg",AH!$U$5=0)),"",IFERROR(IF(AND(AH!$U$12=1,1332+1=AH!$U$6),TODAY(),IF(AH!$U$5=1,INDEX('Live History'!$A$5:$A$3004,AH!$U$7+1332),INDEX('AH History'!$A$5:$A$1380,AH!$U$7+1332))),""))</f>
        <v/>
      </c>
      <c r="B1337" s="33">
        <f>IFERROR(IF(AH!$U$11=1,NA(),$J1337/$E1337-1),NA())</f>
        <v/>
      </c>
      <c r="C1337" s="269">
        <f>IFERROR(100*$E1337/$E$5,NA())</f>
        <v/>
      </c>
      <c r="D1337" s="269">
        <f>IFERROR(100*$J1337/$J$5,NA())</f>
        <v/>
      </c>
      <c r="E1337" s="32">
        <f>IFERROR(IF(AND(ISNUMBER($A1337),N(IF(AND(AH!$U$12=1,1332+1=AH!$U$6),IF(AH!$U$4=0,"unavailable",INDEX('Market Data'!$AN$5:$AN$66,AH!$U$4)),IF(AH!$U$5=1,INDEX('Live History'!$B$5:$B$3004,$K1337),INDEX('AH History'!$D$5:$GG$1380,$K1337,AH!$U$10))))&gt;0),IF(AND(AH!$U$12=1,1332+1=AH!$U$6),IF(AH!$U$4=0,"unavailable",INDEX('Market Data'!$AN$5:$AN$66,AH!$U$4)),IF(AH!$U$5=1,INDEX('Live History'!$B$5:$B$3004,$K1337),INDEX('AH History'!$D$5:$GG$1380,$K1337,AH!$U$10))),NA()),NA())</f>
        <v/>
      </c>
      <c r="F1337" s="32">
        <f>IFERROR(IF(ISNUMBER($A1337),IF(AND(AH!$U$12=1,1332+1=AH!$U$6),IF(AH!$U$4=0,"unavailable",INDEX('Market Data'!$AO$5:$AO$66,AH!$U$4)),IF(AH!$U$5=1,INDEX('Live History'!$E$5:$E$3004,MATCH($A1337,'Live History'!$D$5:$D$3004,1)),INDEX('AH History'!$D$5:$GG$1380,$K1337,AH!$U$10+1))),NA()),NA())</f>
        <v/>
      </c>
      <c r="G1337" s="34">
        <f>IFERROR(IF(ISNUMBER($A1337),IF(AND(AH!$U$12=1,1332+1=AH!$U$6),IF(AH!$U$4=0,"unavailable",INDEX('Market Data'!$AK$5:$AK$66,AH!$U$4)),IF(AH!$U$5=1,INDEX('Live History'!$D$5:$D$3004,MATCH($A1337,'Live History'!$D$5:$D$3004,1)),INDEX('AH History'!$D$5:$GG$1380,$K1337,AH!$U$10+2))),NA()),NA())</f>
        <v/>
      </c>
      <c r="H1337" s="266">
        <f>IFERROR(IF(ISNUMBER($A1337),IF(AND(AH!$U$12=1,1332+1=AH!$U$6),IF(AH!$U$4=0,"unavailable",INDEX('Market Data'!$AP$5:$AP$66,AH!$U$4)),IF(AH!$U$5=1,INDEX('Live History'!$H$5:$H$3004,MATCH($A1337,'Live History'!$G$5:$G$3004,1)),INDEX('AH History'!$B$5:$B$1380,$K1337))),NA()),NA())</f>
        <v/>
      </c>
      <c r="I1337" s="34">
        <f>IFERROR(IF(ISNUMBER($A1337),IF(AND(AH!$U$12=1,1332+1=AH!$U$6),TODAY(),IF(AH!$U$5=1,INDEX('Live History'!$G$5:$G$3004,MATCH($A1337,'Live History'!$G$5:$G$3004,1)),INDEX('AH History'!$C$5:$C$1380,$K1337))),NA()),NA())</f>
        <v/>
      </c>
      <c r="J1337" s="32">
        <f>IFERROR(IF(AND($F1337&gt;0,$H1337&gt;0,$A1337-$G1337&lt;=10,$A1337-$I1337&lt;=5,$G1337&gt;0,$I1337&gt;0),$F1337*$H1337,NA()),NA())</f>
        <v/>
      </c>
      <c r="K1337" s="15">
        <f>IF($A1337="","",IF(AH!$U$5=1,IFERROR(MATCH($A1337,'Live History'!$A$5:$A$3004,0),0),AH!$U$7+1332))</f>
        <v/>
      </c>
      <c r="L1337" s="15">
        <f>IF(ISNUMBER(A1337),TEXT(A1337,"dd-mmm-yy"),"")</f>
        <v/>
      </c>
    </row>
    <row r="1338">
      <c r="A1338" s="14">
        <f>IF(OR(AH!$U$4=0,1333+1&gt;AH!$U$6,AND(AH!$M$5="Bloomberg",AH!$U$5=0)),"",IFERROR(IF(AND(AH!$U$12=1,1333+1=AH!$U$6),TODAY(),IF(AH!$U$5=1,INDEX('Live History'!$A$5:$A$3004,AH!$U$7+1333),INDEX('AH History'!$A$5:$A$1380,AH!$U$7+1333))),""))</f>
        <v/>
      </c>
      <c r="B1338" s="33">
        <f>IFERROR(IF(AH!$U$11=1,NA(),$J1338/$E1338-1),NA())</f>
        <v/>
      </c>
      <c r="C1338" s="269">
        <f>IFERROR(100*$E1338/$E$5,NA())</f>
        <v/>
      </c>
      <c r="D1338" s="269">
        <f>IFERROR(100*$J1338/$J$5,NA())</f>
        <v/>
      </c>
      <c r="E1338" s="32">
        <f>IFERROR(IF(AND(ISNUMBER($A1338),N(IF(AND(AH!$U$12=1,1333+1=AH!$U$6),IF(AH!$U$4=0,"unavailable",INDEX('Market Data'!$AN$5:$AN$66,AH!$U$4)),IF(AH!$U$5=1,INDEX('Live History'!$B$5:$B$3004,$K1338),INDEX('AH History'!$D$5:$GG$1380,$K1338,AH!$U$10))))&gt;0),IF(AND(AH!$U$12=1,1333+1=AH!$U$6),IF(AH!$U$4=0,"unavailable",INDEX('Market Data'!$AN$5:$AN$66,AH!$U$4)),IF(AH!$U$5=1,INDEX('Live History'!$B$5:$B$3004,$K1338),INDEX('AH History'!$D$5:$GG$1380,$K1338,AH!$U$10))),NA()),NA())</f>
        <v/>
      </c>
      <c r="F1338" s="32">
        <f>IFERROR(IF(ISNUMBER($A1338),IF(AND(AH!$U$12=1,1333+1=AH!$U$6),IF(AH!$U$4=0,"unavailable",INDEX('Market Data'!$AO$5:$AO$66,AH!$U$4)),IF(AH!$U$5=1,INDEX('Live History'!$E$5:$E$3004,MATCH($A1338,'Live History'!$D$5:$D$3004,1)),INDEX('AH History'!$D$5:$GG$1380,$K1338,AH!$U$10+1))),NA()),NA())</f>
        <v/>
      </c>
      <c r="G1338" s="34">
        <f>IFERROR(IF(ISNUMBER($A1338),IF(AND(AH!$U$12=1,1333+1=AH!$U$6),IF(AH!$U$4=0,"unavailable",INDEX('Market Data'!$AK$5:$AK$66,AH!$U$4)),IF(AH!$U$5=1,INDEX('Live History'!$D$5:$D$3004,MATCH($A1338,'Live History'!$D$5:$D$3004,1)),INDEX('AH History'!$D$5:$GG$1380,$K1338,AH!$U$10+2))),NA()),NA())</f>
        <v/>
      </c>
      <c r="H1338" s="266">
        <f>IFERROR(IF(ISNUMBER($A1338),IF(AND(AH!$U$12=1,1333+1=AH!$U$6),IF(AH!$U$4=0,"unavailable",INDEX('Market Data'!$AP$5:$AP$66,AH!$U$4)),IF(AH!$U$5=1,INDEX('Live History'!$H$5:$H$3004,MATCH($A1338,'Live History'!$G$5:$G$3004,1)),INDEX('AH History'!$B$5:$B$1380,$K1338))),NA()),NA())</f>
        <v/>
      </c>
      <c r="I1338" s="34">
        <f>IFERROR(IF(ISNUMBER($A1338),IF(AND(AH!$U$12=1,1333+1=AH!$U$6),TODAY(),IF(AH!$U$5=1,INDEX('Live History'!$G$5:$G$3004,MATCH($A1338,'Live History'!$G$5:$G$3004,1)),INDEX('AH History'!$C$5:$C$1380,$K1338))),NA()),NA())</f>
        <v/>
      </c>
      <c r="J1338" s="32">
        <f>IFERROR(IF(AND($F1338&gt;0,$H1338&gt;0,$A1338-$G1338&lt;=10,$A1338-$I1338&lt;=5,$G1338&gt;0,$I1338&gt;0),$F1338*$H1338,NA()),NA())</f>
        <v/>
      </c>
      <c r="K1338" s="15">
        <f>IF($A1338="","",IF(AH!$U$5=1,IFERROR(MATCH($A1338,'Live History'!$A$5:$A$3004,0),0),AH!$U$7+1333))</f>
        <v/>
      </c>
      <c r="L1338" s="15">
        <f>IF(ISNUMBER(A1338),TEXT(A1338,"dd-mmm-yy"),"")</f>
        <v/>
      </c>
    </row>
    <row r="1339">
      <c r="A1339" s="14">
        <f>IF(OR(AH!$U$4=0,1334+1&gt;AH!$U$6,AND(AH!$M$5="Bloomberg",AH!$U$5=0)),"",IFERROR(IF(AND(AH!$U$12=1,1334+1=AH!$U$6),TODAY(),IF(AH!$U$5=1,INDEX('Live History'!$A$5:$A$3004,AH!$U$7+1334),INDEX('AH History'!$A$5:$A$1380,AH!$U$7+1334))),""))</f>
        <v/>
      </c>
      <c r="B1339" s="33">
        <f>IFERROR(IF(AH!$U$11=1,NA(),$J1339/$E1339-1),NA())</f>
        <v/>
      </c>
      <c r="C1339" s="269">
        <f>IFERROR(100*$E1339/$E$5,NA())</f>
        <v/>
      </c>
      <c r="D1339" s="269">
        <f>IFERROR(100*$J1339/$J$5,NA())</f>
        <v/>
      </c>
      <c r="E1339" s="32">
        <f>IFERROR(IF(AND(ISNUMBER($A1339),N(IF(AND(AH!$U$12=1,1334+1=AH!$U$6),IF(AH!$U$4=0,"unavailable",INDEX('Market Data'!$AN$5:$AN$66,AH!$U$4)),IF(AH!$U$5=1,INDEX('Live History'!$B$5:$B$3004,$K1339),INDEX('AH History'!$D$5:$GG$1380,$K1339,AH!$U$10))))&gt;0),IF(AND(AH!$U$12=1,1334+1=AH!$U$6),IF(AH!$U$4=0,"unavailable",INDEX('Market Data'!$AN$5:$AN$66,AH!$U$4)),IF(AH!$U$5=1,INDEX('Live History'!$B$5:$B$3004,$K1339),INDEX('AH History'!$D$5:$GG$1380,$K1339,AH!$U$10))),NA()),NA())</f>
        <v/>
      </c>
      <c r="F1339" s="32">
        <f>IFERROR(IF(ISNUMBER($A1339),IF(AND(AH!$U$12=1,1334+1=AH!$U$6),IF(AH!$U$4=0,"unavailable",INDEX('Market Data'!$AO$5:$AO$66,AH!$U$4)),IF(AH!$U$5=1,INDEX('Live History'!$E$5:$E$3004,MATCH($A1339,'Live History'!$D$5:$D$3004,1)),INDEX('AH History'!$D$5:$GG$1380,$K1339,AH!$U$10+1))),NA()),NA())</f>
        <v/>
      </c>
      <c r="G1339" s="34">
        <f>IFERROR(IF(ISNUMBER($A1339),IF(AND(AH!$U$12=1,1334+1=AH!$U$6),IF(AH!$U$4=0,"unavailable",INDEX('Market Data'!$AK$5:$AK$66,AH!$U$4)),IF(AH!$U$5=1,INDEX('Live History'!$D$5:$D$3004,MATCH($A1339,'Live History'!$D$5:$D$3004,1)),INDEX('AH History'!$D$5:$GG$1380,$K1339,AH!$U$10+2))),NA()),NA())</f>
        <v/>
      </c>
      <c r="H1339" s="266">
        <f>IFERROR(IF(ISNUMBER($A1339),IF(AND(AH!$U$12=1,1334+1=AH!$U$6),IF(AH!$U$4=0,"unavailable",INDEX('Market Data'!$AP$5:$AP$66,AH!$U$4)),IF(AH!$U$5=1,INDEX('Live History'!$H$5:$H$3004,MATCH($A1339,'Live History'!$G$5:$G$3004,1)),INDEX('AH History'!$B$5:$B$1380,$K1339))),NA()),NA())</f>
        <v/>
      </c>
      <c r="I1339" s="34">
        <f>IFERROR(IF(ISNUMBER($A1339),IF(AND(AH!$U$12=1,1334+1=AH!$U$6),TODAY(),IF(AH!$U$5=1,INDEX('Live History'!$G$5:$G$3004,MATCH($A1339,'Live History'!$G$5:$G$3004,1)),INDEX('AH History'!$C$5:$C$1380,$K1339))),NA()),NA())</f>
        <v/>
      </c>
      <c r="J1339" s="32">
        <f>IFERROR(IF(AND($F1339&gt;0,$H1339&gt;0,$A1339-$G1339&lt;=10,$A1339-$I1339&lt;=5,$G1339&gt;0,$I1339&gt;0),$F1339*$H1339,NA()),NA())</f>
        <v/>
      </c>
      <c r="K1339" s="15">
        <f>IF($A1339="","",IF(AH!$U$5=1,IFERROR(MATCH($A1339,'Live History'!$A$5:$A$3004,0),0),AH!$U$7+1334))</f>
        <v/>
      </c>
      <c r="L1339" s="15">
        <f>IF(ISNUMBER(A1339),TEXT(A1339,"dd-mmm-yy"),"")</f>
        <v/>
      </c>
    </row>
    <row r="1340">
      <c r="A1340" s="14">
        <f>IF(OR(AH!$U$4=0,1335+1&gt;AH!$U$6,AND(AH!$M$5="Bloomberg",AH!$U$5=0)),"",IFERROR(IF(AND(AH!$U$12=1,1335+1=AH!$U$6),TODAY(),IF(AH!$U$5=1,INDEX('Live History'!$A$5:$A$3004,AH!$U$7+1335),INDEX('AH History'!$A$5:$A$1380,AH!$U$7+1335))),""))</f>
        <v/>
      </c>
      <c r="B1340" s="33">
        <f>IFERROR(IF(AH!$U$11=1,NA(),$J1340/$E1340-1),NA())</f>
        <v/>
      </c>
      <c r="C1340" s="269">
        <f>IFERROR(100*$E1340/$E$5,NA())</f>
        <v/>
      </c>
      <c r="D1340" s="269">
        <f>IFERROR(100*$J1340/$J$5,NA())</f>
        <v/>
      </c>
      <c r="E1340" s="32">
        <f>IFERROR(IF(AND(ISNUMBER($A1340),N(IF(AND(AH!$U$12=1,1335+1=AH!$U$6),IF(AH!$U$4=0,"unavailable",INDEX('Market Data'!$AN$5:$AN$66,AH!$U$4)),IF(AH!$U$5=1,INDEX('Live History'!$B$5:$B$3004,$K1340),INDEX('AH History'!$D$5:$GG$1380,$K1340,AH!$U$10))))&gt;0),IF(AND(AH!$U$12=1,1335+1=AH!$U$6),IF(AH!$U$4=0,"unavailable",INDEX('Market Data'!$AN$5:$AN$66,AH!$U$4)),IF(AH!$U$5=1,INDEX('Live History'!$B$5:$B$3004,$K1340),INDEX('AH History'!$D$5:$GG$1380,$K1340,AH!$U$10))),NA()),NA())</f>
        <v/>
      </c>
      <c r="F1340" s="32">
        <f>IFERROR(IF(ISNUMBER($A1340),IF(AND(AH!$U$12=1,1335+1=AH!$U$6),IF(AH!$U$4=0,"unavailable",INDEX('Market Data'!$AO$5:$AO$66,AH!$U$4)),IF(AH!$U$5=1,INDEX('Live History'!$E$5:$E$3004,MATCH($A1340,'Live History'!$D$5:$D$3004,1)),INDEX('AH History'!$D$5:$GG$1380,$K1340,AH!$U$10+1))),NA()),NA())</f>
        <v/>
      </c>
      <c r="G1340" s="34">
        <f>IFERROR(IF(ISNUMBER($A1340),IF(AND(AH!$U$12=1,1335+1=AH!$U$6),IF(AH!$U$4=0,"unavailable",INDEX('Market Data'!$AK$5:$AK$66,AH!$U$4)),IF(AH!$U$5=1,INDEX('Live History'!$D$5:$D$3004,MATCH($A1340,'Live History'!$D$5:$D$3004,1)),INDEX('AH History'!$D$5:$GG$1380,$K1340,AH!$U$10+2))),NA()),NA())</f>
        <v/>
      </c>
      <c r="H1340" s="266">
        <f>IFERROR(IF(ISNUMBER($A1340),IF(AND(AH!$U$12=1,1335+1=AH!$U$6),IF(AH!$U$4=0,"unavailable",INDEX('Market Data'!$AP$5:$AP$66,AH!$U$4)),IF(AH!$U$5=1,INDEX('Live History'!$H$5:$H$3004,MATCH($A1340,'Live History'!$G$5:$G$3004,1)),INDEX('AH History'!$B$5:$B$1380,$K1340))),NA()),NA())</f>
        <v/>
      </c>
      <c r="I1340" s="34">
        <f>IFERROR(IF(ISNUMBER($A1340),IF(AND(AH!$U$12=1,1335+1=AH!$U$6),TODAY(),IF(AH!$U$5=1,INDEX('Live History'!$G$5:$G$3004,MATCH($A1340,'Live History'!$G$5:$G$3004,1)),INDEX('AH History'!$C$5:$C$1380,$K1340))),NA()),NA())</f>
        <v/>
      </c>
      <c r="J1340" s="32">
        <f>IFERROR(IF(AND($F1340&gt;0,$H1340&gt;0,$A1340-$G1340&lt;=10,$A1340-$I1340&lt;=5,$G1340&gt;0,$I1340&gt;0),$F1340*$H1340,NA()),NA())</f>
        <v/>
      </c>
      <c r="K1340" s="15">
        <f>IF($A1340="","",IF(AH!$U$5=1,IFERROR(MATCH($A1340,'Live History'!$A$5:$A$3004,0),0),AH!$U$7+1335))</f>
        <v/>
      </c>
      <c r="L1340" s="15">
        <f>IF(ISNUMBER(A1340),TEXT(A1340,"dd-mmm-yy"),"")</f>
        <v/>
      </c>
    </row>
    <row r="1341">
      <c r="A1341" s="14">
        <f>IF(OR(AH!$U$4=0,1336+1&gt;AH!$U$6,AND(AH!$M$5="Bloomberg",AH!$U$5=0)),"",IFERROR(IF(AND(AH!$U$12=1,1336+1=AH!$U$6),TODAY(),IF(AH!$U$5=1,INDEX('Live History'!$A$5:$A$3004,AH!$U$7+1336),INDEX('AH History'!$A$5:$A$1380,AH!$U$7+1336))),""))</f>
        <v/>
      </c>
      <c r="B1341" s="33">
        <f>IFERROR(IF(AH!$U$11=1,NA(),$J1341/$E1341-1),NA())</f>
        <v/>
      </c>
      <c r="C1341" s="269">
        <f>IFERROR(100*$E1341/$E$5,NA())</f>
        <v/>
      </c>
      <c r="D1341" s="269">
        <f>IFERROR(100*$J1341/$J$5,NA())</f>
        <v/>
      </c>
      <c r="E1341" s="32">
        <f>IFERROR(IF(AND(ISNUMBER($A1341),N(IF(AND(AH!$U$12=1,1336+1=AH!$U$6),IF(AH!$U$4=0,"unavailable",INDEX('Market Data'!$AN$5:$AN$66,AH!$U$4)),IF(AH!$U$5=1,INDEX('Live History'!$B$5:$B$3004,$K1341),INDEX('AH History'!$D$5:$GG$1380,$K1341,AH!$U$10))))&gt;0),IF(AND(AH!$U$12=1,1336+1=AH!$U$6),IF(AH!$U$4=0,"unavailable",INDEX('Market Data'!$AN$5:$AN$66,AH!$U$4)),IF(AH!$U$5=1,INDEX('Live History'!$B$5:$B$3004,$K1341),INDEX('AH History'!$D$5:$GG$1380,$K1341,AH!$U$10))),NA()),NA())</f>
        <v/>
      </c>
      <c r="F1341" s="32">
        <f>IFERROR(IF(ISNUMBER($A1341),IF(AND(AH!$U$12=1,1336+1=AH!$U$6),IF(AH!$U$4=0,"unavailable",INDEX('Market Data'!$AO$5:$AO$66,AH!$U$4)),IF(AH!$U$5=1,INDEX('Live History'!$E$5:$E$3004,MATCH($A1341,'Live History'!$D$5:$D$3004,1)),INDEX('AH History'!$D$5:$GG$1380,$K1341,AH!$U$10+1))),NA()),NA())</f>
        <v/>
      </c>
      <c r="G1341" s="34">
        <f>IFERROR(IF(ISNUMBER($A1341),IF(AND(AH!$U$12=1,1336+1=AH!$U$6),IF(AH!$U$4=0,"unavailable",INDEX('Market Data'!$AK$5:$AK$66,AH!$U$4)),IF(AH!$U$5=1,INDEX('Live History'!$D$5:$D$3004,MATCH($A1341,'Live History'!$D$5:$D$3004,1)),INDEX('AH History'!$D$5:$GG$1380,$K1341,AH!$U$10+2))),NA()),NA())</f>
        <v/>
      </c>
      <c r="H1341" s="266">
        <f>IFERROR(IF(ISNUMBER($A1341),IF(AND(AH!$U$12=1,1336+1=AH!$U$6),IF(AH!$U$4=0,"unavailable",INDEX('Market Data'!$AP$5:$AP$66,AH!$U$4)),IF(AH!$U$5=1,INDEX('Live History'!$H$5:$H$3004,MATCH($A1341,'Live History'!$G$5:$G$3004,1)),INDEX('AH History'!$B$5:$B$1380,$K1341))),NA()),NA())</f>
        <v/>
      </c>
      <c r="I1341" s="34">
        <f>IFERROR(IF(ISNUMBER($A1341),IF(AND(AH!$U$12=1,1336+1=AH!$U$6),TODAY(),IF(AH!$U$5=1,INDEX('Live History'!$G$5:$G$3004,MATCH($A1341,'Live History'!$G$5:$G$3004,1)),INDEX('AH History'!$C$5:$C$1380,$K1341))),NA()),NA())</f>
        <v/>
      </c>
      <c r="J1341" s="32">
        <f>IFERROR(IF(AND($F1341&gt;0,$H1341&gt;0,$A1341-$G1341&lt;=10,$A1341-$I1341&lt;=5,$G1341&gt;0,$I1341&gt;0),$F1341*$H1341,NA()),NA())</f>
        <v/>
      </c>
      <c r="K1341" s="15">
        <f>IF($A1341="","",IF(AH!$U$5=1,IFERROR(MATCH($A1341,'Live History'!$A$5:$A$3004,0),0),AH!$U$7+1336))</f>
        <v/>
      </c>
      <c r="L1341" s="15">
        <f>IF(ISNUMBER(A1341),TEXT(A1341,"dd-mmm-yy"),"")</f>
        <v/>
      </c>
    </row>
    <row r="1342">
      <c r="A1342" s="14">
        <f>IF(OR(AH!$U$4=0,1337+1&gt;AH!$U$6,AND(AH!$M$5="Bloomberg",AH!$U$5=0)),"",IFERROR(IF(AND(AH!$U$12=1,1337+1=AH!$U$6),TODAY(),IF(AH!$U$5=1,INDEX('Live History'!$A$5:$A$3004,AH!$U$7+1337),INDEX('AH History'!$A$5:$A$1380,AH!$U$7+1337))),""))</f>
        <v/>
      </c>
      <c r="B1342" s="33">
        <f>IFERROR(IF(AH!$U$11=1,NA(),$J1342/$E1342-1),NA())</f>
        <v/>
      </c>
      <c r="C1342" s="269">
        <f>IFERROR(100*$E1342/$E$5,NA())</f>
        <v/>
      </c>
      <c r="D1342" s="269">
        <f>IFERROR(100*$J1342/$J$5,NA())</f>
        <v/>
      </c>
      <c r="E1342" s="32">
        <f>IFERROR(IF(AND(ISNUMBER($A1342),N(IF(AND(AH!$U$12=1,1337+1=AH!$U$6),IF(AH!$U$4=0,"unavailable",INDEX('Market Data'!$AN$5:$AN$66,AH!$U$4)),IF(AH!$U$5=1,INDEX('Live History'!$B$5:$B$3004,$K1342),INDEX('AH History'!$D$5:$GG$1380,$K1342,AH!$U$10))))&gt;0),IF(AND(AH!$U$12=1,1337+1=AH!$U$6),IF(AH!$U$4=0,"unavailable",INDEX('Market Data'!$AN$5:$AN$66,AH!$U$4)),IF(AH!$U$5=1,INDEX('Live History'!$B$5:$B$3004,$K1342),INDEX('AH History'!$D$5:$GG$1380,$K1342,AH!$U$10))),NA()),NA())</f>
        <v/>
      </c>
      <c r="F1342" s="32">
        <f>IFERROR(IF(ISNUMBER($A1342),IF(AND(AH!$U$12=1,1337+1=AH!$U$6),IF(AH!$U$4=0,"unavailable",INDEX('Market Data'!$AO$5:$AO$66,AH!$U$4)),IF(AH!$U$5=1,INDEX('Live History'!$E$5:$E$3004,MATCH($A1342,'Live History'!$D$5:$D$3004,1)),INDEX('AH History'!$D$5:$GG$1380,$K1342,AH!$U$10+1))),NA()),NA())</f>
        <v/>
      </c>
      <c r="G1342" s="34">
        <f>IFERROR(IF(ISNUMBER($A1342),IF(AND(AH!$U$12=1,1337+1=AH!$U$6),IF(AH!$U$4=0,"unavailable",INDEX('Market Data'!$AK$5:$AK$66,AH!$U$4)),IF(AH!$U$5=1,INDEX('Live History'!$D$5:$D$3004,MATCH($A1342,'Live History'!$D$5:$D$3004,1)),INDEX('AH History'!$D$5:$GG$1380,$K1342,AH!$U$10+2))),NA()),NA())</f>
        <v/>
      </c>
      <c r="H1342" s="266">
        <f>IFERROR(IF(ISNUMBER($A1342),IF(AND(AH!$U$12=1,1337+1=AH!$U$6),IF(AH!$U$4=0,"unavailable",INDEX('Market Data'!$AP$5:$AP$66,AH!$U$4)),IF(AH!$U$5=1,INDEX('Live History'!$H$5:$H$3004,MATCH($A1342,'Live History'!$G$5:$G$3004,1)),INDEX('AH History'!$B$5:$B$1380,$K1342))),NA()),NA())</f>
        <v/>
      </c>
      <c r="I1342" s="34">
        <f>IFERROR(IF(ISNUMBER($A1342),IF(AND(AH!$U$12=1,1337+1=AH!$U$6),TODAY(),IF(AH!$U$5=1,INDEX('Live History'!$G$5:$G$3004,MATCH($A1342,'Live History'!$G$5:$G$3004,1)),INDEX('AH History'!$C$5:$C$1380,$K1342))),NA()),NA())</f>
        <v/>
      </c>
      <c r="J1342" s="32">
        <f>IFERROR(IF(AND($F1342&gt;0,$H1342&gt;0,$A1342-$G1342&lt;=10,$A1342-$I1342&lt;=5,$G1342&gt;0,$I1342&gt;0),$F1342*$H1342,NA()),NA())</f>
        <v/>
      </c>
      <c r="K1342" s="15">
        <f>IF($A1342="","",IF(AH!$U$5=1,IFERROR(MATCH($A1342,'Live History'!$A$5:$A$3004,0),0),AH!$U$7+1337))</f>
        <v/>
      </c>
      <c r="L1342" s="15">
        <f>IF(ISNUMBER(A1342),TEXT(A1342,"dd-mmm-yy"),"")</f>
        <v/>
      </c>
    </row>
    <row r="1343">
      <c r="A1343" s="14">
        <f>IF(OR(AH!$U$4=0,1338+1&gt;AH!$U$6,AND(AH!$M$5="Bloomberg",AH!$U$5=0)),"",IFERROR(IF(AND(AH!$U$12=1,1338+1=AH!$U$6),TODAY(),IF(AH!$U$5=1,INDEX('Live History'!$A$5:$A$3004,AH!$U$7+1338),INDEX('AH History'!$A$5:$A$1380,AH!$U$7+1338))),""))</f>
        <v/>
      </c>
      <c r="B1343" s="33">
        <f>IFERROR(IF(AH!$U$11=1,NA(),$J1343/$E1343-1),NA())</f>
        <v/>
      </c>
      <c r="C1343" s="269">
        <f>IFERROR(100*$E1343/$E$5,NA())</f>
        <v/>
      </c>
      <c r="D1343" s="269">
        <f>IFERROR(100*$J1343/$J$5,NA())</f>
        <v/>
      </c>
      <c r="E1343" s="32">
        <f>IFERROR(IF(AND(ISNUMBER($A1343),N(IF(AND(AH!$U$12=1,1338+1=AH!$U$6),IF(AH!$U$4=0,"unavailable",INDEX('Market Data'!$AN$5:$AN$66,AH!$U$4)),IF(AH!$U$5=1,INDEX('Live History'!$B$5:$B$3004,$K1343),INDEX('AH History'!$D$5:$GG$1380,$K1343,AH!$U$10))))&gt;0),IF(AND(AH!$U$12=1,1338+1=AH!$U$6),IF(AH!$U$4=0,"unavailable",INDEX('Market Data'!$AN$5:$AN$66,AH!$U$4)),IF(AH!$U$5=1,INDEX('Live History'!$B$5:$B$3004,$K1343),INDEX('AH History'!$D$5:$GG$1380,$K1343,AH!$U$10))),NA()),NA())</f>
        <v/>
      </c>
      <c r="F1343" s="32">
        <f>IFERROR(IF(ISNUMBER($A1343),IF(AND(AH!$U$12=1,1338+1=AH!$U$6),IF(AH!$U$4=0,"unavailable",INDEX('Market Data'!$AO$5:$AO$66,AH!$U$4)),IF(AH!$U$5=1,INDEX('Live History'!$E$5:$E$3004,MATCH($A1343,'Live History'!$D$5:$D$3004,1)),INDEX('AH History'!$D$5:$GG$1380,$K1343,AH!$U$10+1))),NA()),NA())</f>
        <v/>
      </c>
      <c r="G1343" s="34">
        <f>IFERROR(IF(ISNUMBER($A1343),IF(AND(AH!$U$12=1,1338+1=AH!$U$6),IF(AH!$U$4=0,"unavailable",INDEX('Market Data'!$AK$5:$AK$66,AH!$U$4)),IF(AH!$U$5=1,INDEX('Live History'!$D$5:$D$3004,MATCH($A1343,'Live History'!$D$5:$D$3004,1)),INDEX('AH History'!$D$5:$GG$1380,$K1343,AH!$U$10+2))),NA()),NA())</f>
        <v/>
      </c>
      <c r="H1343" s="266">
        <f>IFERROR(IF(ISNUMBER($A1343),IF(AND(AH!$U$12=1,1338+1=AH!$U$6),IF(AH!$U$4=0,"unavailable",INDEX('Market Data'!$AP$5:$AP$66,AH!$U$4)),IF(AH!$U$5=1,INDEX('Live History'!$H$5:$H$3004,MATCH($A1343,'Live History'!$G$5:$G$3004,1)),INDEX('AH History'!$B$5:$B$1380,$K1343))),NA()),NA())</f>
        <v/>
      </c>
      <c r="I1343" s="34">
        <f>IFERROR(IF(ISNUMBER($A1343),IF(AND(AH!$U$12=1,1338+1=AH!$U$6),TODAY(),IF(AH!$U$5=1,INDEX('Live History'!$G$5:$G$3004,MATCH($A1343,'Live History'!$G$5:$G$3004,1)),INDEX('AH History'!$C$5:$C$1380,$K1343))),NA()),NA())</f>
        <v/>
      </c>
      <c r="J1343" s="32">
        <f>IFERROR(IF(AND($F1343&gt;0,$H1343&gt;0,$A1343-$G1343&lt;=10,$A1343-$I1343&lt;=5,$G1343&gt;0,$I1343&gt;0),$F1343*$H1343,NA()),NA())</f>
        <v/>
      </c>
      <c r="K1343" s="15">
        <f>IF($A1343="","",IF(AH!$U$5=1,IFERROR(MATCH($A1343,'Live History'!$A$5:$A$3004,0),0),AH!$U$7+1338))</f>
        <v/>
      </c>
      <c r="L1343" s="15">
        <f>IF(ISNUMBER(A1343),TEXT(A1343,"dd-mmm-yy"),"")</f>
        <v/>
      </c>
    </row>
    <row r="1344">
      <c r="A1344" s="14">
        <f>IF(OR(AH!$U$4=0,1339+1&gt;AH!$U$6,AND(AH!$M$5="Bloomberg",AH!$U$5=0)),"",IFERROR(IF(AND(AH!$U$12=1,1339+1=AH!$U$6),TODAY(),IF(AH!$U$5=1,INDEX('Live History'!$A$5:$A$3004,AH!$U$7+1339),INDEX('AH History'!$A$5:$A$1380,AH!$U$7+1339))),""))</f>
        <v/>
      </c>
      <c r="B1344" s="33">
        <f>IFERROR(IF(AH!$U$11=1,NA(),$J1344/$E1344-1),NA())</f>
        <v/>
      </c>
      <c r="C1344" s="269">
        <f>IFERROR(100*$E1344/$E$5,NA())</f>
        <v/>
      </c>
      <c r="D1344" s="269">
        <f>IFERROR(100*$J1344/$J$5,NA())</f>
        <v/>
      </c>
      <c r="E1344" s="32">
        <f>IFERROR(IF(AND(ISNUMBER($A1344),N(IF(AND(AH!$U$12=1,1339+1=AH!$U$6),IF(AH!$U$4=0,"unavailable",INDEX('Market Data'!$AN$5:$AN$66,AH!$U$4)),IF(AH!$U$5=1,INDEX('Live History'!$B$5:$B$3004,$K1344),INDEX('AH History'!$D$5:$GG$1380,$K1344,AH!$U$10))))&gt;0),IF(AND(AH!$U$12=1,1339+1=AH!$U$6),IF(AH!$U$4=0,"unavailable",INDEX('Market Data'!$AN$5:$AN$66,AH!$U$4)),IF(AH!$U$5=1,INDEX('Live History'!$B$5:$B$3004,$K1344),INDEX('AH History'!$D$5:$GG$1380,$K1344,AH!$U$10))),NA()),NA())</f>
        <v/>
      </c>
      <c r="F1344" s="32">
        <f>IFERROR(IF(ISNUMBER($A1344),IF(AND(AH!$U$12=1,1339+1=AH!$U$6),IF(AH!$U$4=0,"unavailable",INDEX('Market Data'!$AO$5:$AO$66,AH!$U$4)),IF(AH!$U$5=1,INDEX('Live History'!$E$5:$E$3004,MATCH($A1344,'Live History'!$D$5:$D$3004,1)),INDEX('AH History'!$D$5:$GG$1380,$K1344,AH!$U$10+1))),NA()),NA())</f>
        <v/>
      </c>
      <c r="G1344" s="34">
        <f>IFERROR(IF(ISNUMBER($A1344),IF(AND(AH!$U$12=1,1339+1=AH!$U$6),IF(AH!$U$4=0,"unavailable",INDEX('Market Data'!$AK$5:$AK$66,AH!$U$4)),IF(AH!$U$5=1,INDEX('Live History'!$D$5:$D$3004,MATCH($A1344,'Live History'!$D$5:$D$3004,1)),INDEX('AH History'!$D$5:$GG$1380,$K1344,AH!$U$10+2))),NA()),NA())</f>
        <v/>
      </c>
      <c r="H1344" s="266">
        <f>IFERROR(IF(ISNUMBER($A1344),IF(AND(AH!$U$12=1,1339+1=AH!$U$6),IF(AH!$U$4=0,"unavailable",INDEX('Market Data'!$AP$5:$AP$66,AH!$U$4)),IF(AH!$U$5=1,INDEX('Live History'!$H$5:$H$3004,MATCH($A1344,'Live History'!$G$5:$G$3004,1)),INDEX('AH History'!$B$5:$B$1380,$K1344))),NA()),NA())</f>
        <v/>
      </c>
      <c r="I1344" s="34">
        <f>IFERROR(IF(ISNUMBER($A1344),IF(AND(AH!$U$12=1,1339+1=AH!$U$6),TODAY(),IF(AH!$U$5=1,INDEX('Live History'!$G$5:$G$3004,MATCH($A1344,'Live History'!$G$5:$G$3004,1)),INDEX('AH History'!$C$5:$C$1380,$K1344))),NA()),NA())</f>
        <v/>
      </c>
      <c r="J1344" s="32">
        <f>IFERROR(IF(AND($F1344&gt;0,$H1344&gt;0,$A1344-$G1344&lt;=10,$A1344-$I1344&lt;=5,$G1344&gt;0,$I1344&gt;0),$F1344*$H1344,NA()),NA())</f>
        <v/>
      </c>
      <c r="K1344" s="15">
        <f>IF($A1344="","",IF(AH!$U$5=1,IFERROR(MATCH($A1344,'Live History'!$A$5:$A$3004,0),0),AH!$U$7+1339))</f>
        <v/>
      </c>
      <c r="L1344" s="15">
        <f>IF(ISNUMBER(A1344),TEXT(A1344,"dd-mmm-yy"),"")</f>
        <v/>
      </c>
    </row>
    <row r="1345">
      <c r="A1345" s="14">
        <f>IF(OR(AH!$U$4=0,1340+1&gt;AH!$U$6,AND(AH!$M$5="Bloomberg",AH!$U$5=0)),"",IFERROR(IF(AND(AH!$U$12=1,1340+1=AH!$U$6),TODAY(),IF(AH!$U$5=1,INDEX('Live History'!$A$5:$A$3004,AH!$U$7+1340),INDEX('AH History'!$A$5:$A$1380,AH!$U$7+1340))),""))</f>
        <v/>
      </c>
      <c r="B1345" s="33">
        <f>IFERROR(IF(AH!$U$11=1,NA(),$J1345/$E1345-1),NA())</f>
        <v/>
      </c>
      <c r="C1345" s="269">
        <f>IFERROR(100*$E1345/$E$5,NA())</f>
        <v/>
      </c>
      <c r="D1345" s="269">
        <f>IFERROR(100*$J1345/$J$5,NA())</f>
        <v/>
      </c>
      <c r="E1345" s="32">
        <f>IFERROR(IF(AND(ISNUMBER($A1345),N(IF(AND(AH!$U$12=1,1340+1=AH!$U$6),IF(AH!$U$4=0,"unavailable",INDEX('Market Data'!$AN$5:$AN$66,AH!$U$4)),IF(AH!$U$5=1,INDEX('Live History'!$B$5:$B$3004,$K1345),INDEX('AH History'!$D$5:$GG$1380,$K1345,AH!$U$10))))&gt;0),IF(AND(AH!$U$12=1,1340+1=AH!$U$6),IF(AH!$U$4=0,"unavailable",INDEX('Market Data'!$AN$5:$AN$66,AH!$U$4)),IF(AH!$U$5=1,INDEX('Live History'!$B$5:$B$3004,$K1345),INDEX('AH History'!$D$5:$GG$1380,$K1345,AH!$U$10))),NA()),NA())</f>
        <v/>
      </c>
      <c r="F1345" s="32">
        <f>IFERROR(IF(ISNUMBER($A1345),IF(AND(AH!$U$12=1,1340+1=AH!$U$6),IF(AH!$U$4=0,"unavailable",INDEX('Market Data'!$AO$5:$AO$66,AH!$U$4)),IF(AH!$U$5=1,INDEX('Live History'!$E$5:$E$3004,MATCH($A1345,'Live History'!$D$5:$D$3004,1)),INDEX('AH History'!$D$5:$GG$1380,$K1345,AH!$U$10+1))),NA()),NA())</f>
        <v/>
      </c>
      <c r="G1345" s="34">
        <f>IFERROR(IF(ISNUMBER($A1345),IF(AND(AH!$U$12=1,1340+1=AH!$U$6),IF(AH!$U$4=0,"unavailable",INDEX('Market Data'!$AK$5:$AK$66,AH!$U$4)),IF(AH!$U$5=1,INDEX('Live History'!$D$5:$D$3004,MATCH($A1345,'Live History'!$D$5:$D$3004,1)),INDEX('AH History'!$D$5:$GG$1380,$K1345,AH!$U$10+2))),NA()),NA())</f>
        <v/>
      </c>
      <c r="H1345" s="266">
        <f>IFERROR(IF(ISNUMBER($A1345),IF(AND(AH!$U$12=1,1340+1=AH!$U$6),IF(AH!$U$4=0,"unavailable",INDEX('Market Data'!$AP$5:$AP$66,AH!$U$4)),IF(AH!$U$5=1,INDEX('Live History'!$H$5:$H$3004,MATCH($A1345,'Live History'!$G$5:$G$3004,1)),INDEX('AH History'!$B$5:$B$1380,$K1345))),NA()),NA())</f>
        <v/>
      </c>
      <c r="I1345" s="34">
        <f>IFERROR(IF(ISNUMBER($A1345),IF(AND(AH!$U$12=1,1340+1=AH!$U$6),TODAY(),IF(AH!$U$5=1,INDEX('Live History'!$G$5:$G$3004,MATCH($A1345,'Live History'!$G$5:$G$3004,1)),INDEX('AH History'!$C$5:$C$1380,$K1345))),NA()),NA())</f>
        <v/>
      </c>
      <c r="J1345" s="32">
        <f>IFERROR(IF(AND($F1345&gt;0,$H1345&gt;0,$A1345-$G1345&lt;=10,$A1345-$I1345&lt;=5,$G1345&gt;0,$I1345&gt;0),$F1345*$H1345,NA()),NA())</f>
        <v/>
      </c>
      <c r="K1345" s="15">
        <f>IF($A1345="","",IF(AH!$U$5=1,IFERROR(MATCH($A1345,'Live History'!$A$5:$A$3004,0),0),AH!$U$7+1340))</f>
        <v/>
      </c>
      <c r="L1345" s="15">
        <f>IF(ISNUMBER(A1345),TEXT(A1345,"dd-mmm-yy"),"")</f>
        <v/>
      </c>
    </row>
    <row r="1346">
      <c r="A1346" s="14">
        <f>IF(OR(AH!$U$4=0,1341+1&gt;AH!$U$6,AND(AH!$M$5="Bloomberg",AH!$U$5=0)),"",IFERROR(IF(AND(AH!$U$12=1,1341+1=AH!$U$6),TODAY(),IF(AH!$U$5=1,INDEX('Live History'!$A$5:$A$3004,AH!$U$7+1341),INDEX('AH History'!$A$5:$A$1380,AH!$U$7+1341))),""))</f>
        <v/>
      </c>
      <c r="B1346" s="33">
        <f>IFERROR(IF(AH!$U$11=1,NA(),$J1346/$E1346-1),NA())</f>
        <v/>
      </c>
      <c r="C1346" s="269">
        <f>IFERROR(100*$E1346/$E$5,NA())</f>
        <v/>
      </c>
      <c r="D1346" s="269">
        <f>IFERROR(100*$J1346/$J$5,NA())</f>
        <v/>
      </c>
      <c r="E1346" s="32">
        <f>IFERROR(IF(AND(ISNUMBER($A1346),N(IF(AND(AH!$U$12=1,1341+1=AH!$U$6),IF(AH!$U$4=0,"unavailable",INDEX('Market Data'!$AN$5:$AN$66,AH!$U$4)),IF(AH!$U$5=1,INDEX('Live History'!$B$5:$B$3004,$K1346),INDEX('AH History'!$D$5:$GG$1380,$K1346,AH!$U$10))))&gt;0),IF(AND(AH!$U$12=1,1341+1=AH!$U$6),IF(AH!$U$4=0,"unavailable",INDEX('Market Data'!$AN$5:$AN$66,AH!$U$4)),IF(AH!$U$5=1,INDEX('Live History'!$B$5:$B$3004,$K1346),INDEX('AH History'!$D$5:$GG$1380,$K1346,AH!$U$10))),NA()),NA())</f>
        <v/>
      </c>
      <c r="F1346" s="32">
        <f>IFERROR(IF(ISNUMBER($A1346),IF(AND(AH!$U$12=1,1341+1=AH!$U$6),IF(AH!$U$4=0,"unavailable",INDEX('Market Data'!$AO$5:$AO$66,AH!$U$4)),IF(AH!$U$5=1,INDEX('Live History'!$E$5:$E$3004,MATCH($A1346,'Live History'!$D$5:$D$3004,1)),INDEX('AH History'!$D$5:$GG$1380,$K1346,AH!$U$10+1))),NA()),NA())</f>
        <v/>
      </c>
      <c r="G1346" s="34">
        <f>IFERROR(IF(ISNUMBER($A1346),IF(AND(AH!$U$12=1,1341+1=AH!$U$6),IF(AH!$U$4=0,"unavailable",INDEX('Market Data'!$AK$5:$AK$66,AH!$U$4)),IF(AH!$U$5=1,INDEX('Live History'!$D$5:$D$3004,MATCH($A1346,'Live History'!$D$5:$D$3004,1)),INDEX('AH History'!$D$5:$GG$1380,$K1346,AH!$U$10+2))),NA()),NA())</f>
        <v/>
      </c>
      <c r="H1346" s="266">
        <f>IFERROR(IF(ISNUMBER($A1346),IF(AND(AH!$U$12=1,1341+1=AH!$U$6),IF(AH!$U$4=0,"unavailable",INDEX('Market Data'!$AP$5:$AP$66,AH!$U$4)),IF(AH!$U$5=1,INDEX('Live History'!$H$5:$H$3004,MATCH($A1346,'Live History'!$G$5:$G$3004,1)),INDEX('AH History'!$B$5:$B$1380,$K1346))),NA()),NA())</f>
        <v/>
      </c>
      <c r="I1346" s="34">
        <f>IFERROR(IF(ISNUMBER($A1346),IF(AND(AH!$U$12=1,1341+1=AH!$U$6),TODAY(),IF(AH!$U$5=1,INDEX('Live History'!$G$5:$G$3004,MATCH($A1346,'Live History'!$G$5:$G$3004,1)),INDEX('AH History'!$C$5:$C$1380,$K1346))),NA()),NA())</f>
        <v/>
      </c>
      <c r="J1346" s="32">
        <f>IFERROR(IF(AND($F1346&gt;0,$H1346&gt;0,$A1346-$G1346&lt;=10,$A1346-$I1346&lt;=5,$G1346&gt;0,$I1346&gt;0),$F1346*$H1346,NA()),NA())</f>
        <v/>
      </c>
      <c r="K1346" s="15">
        <f>IF($A1346="","",IF(AH!$U$5=1,IFERROR(MATCH($A1346,'Live History'!$A$5:$A$3004,0),0),AH!$U$7+1341))</f>
        <v/>
      </c>
      <c r="L1346" s="15">
        <f>IF(ISNUMBER(A1346),TEXT(A1346,"dd-mmm-yy"),"")</f>
        <v/>
      </c>
    </row>
    <row r="1347">
      <c r="A1347" s="14">
        <f>IF(OR(AH!$U$4=0,1342+1&gt;AH!$U$6,AND(AH!$M$5="Bloomberg",AH!$U$5=0)),"",IFERROR(IF(AND(AH!$U$12=1,1342+1=AH!$U$6),TODAY(),IF(AH!$U$5=1,INDEX('Live History'!$A$5:$A$3004,AH!$U$7+1342),INDEX('AH History'!$A$5:$A$1380,AH!$U$7+1342))),""))</f>
        <v/>
      </c>
      <c r="B1347" s="33">
        <f>IFERROR(IF(AH!$U$11=1,NA(),$J1347/$E1347-1),NA())</f>
        <v/>
      </c>
      <c r="C1347" s="269">
        <f>IFERROR(100*$E1347/$E$5,NA())</f>
        <v/>
      </c>
      <c r="D1347" s="269">
        <f>IFERROR(100*$J1347/$J$5,NA())</f>
        <v/>
      </c>
      <c r="E1347" s="32">
        <f>IFERROR(IF(AND(ISNUMBER($A1347),N(IF(AND(AH!$U$12=1,1342+1=AH!$U$6),IF(AH!$U$4=0,"unavailable",INDEX('Market Data'!$AN$5:$AN$66,AH!$U$4)),IF(AH!$U$5=1,INDEX('Live History'!$B$5:$B$3004,$K1347),INDEX('AH History'!$D$5:$GG$1380,$K1347,AH!$U$10))))&gt;0),IF(AND(AH!$U$12=1,1342+1=AH!$U$6),IF(AH!$U$4=0,"unavailable",INDEX('Market Data'!$AN$5:$AN$66,AH!$U$4)),IF(AH!$U$5=1,INDEX('Live History'!$B$5:$B$3004,$K1347),INDEX('AH History'!$D$5:$GG$1380,$K1347,AH!$U$10))),NA()),NA())</f>
        <v/>
      </c>
      <c r="F1347" s="32">
        <f>IFERROR(IF(ISNUMBER($A1347),IF(AND(AH!$U$12=1,1342+1=AH!$U$6),IF(AH!$U$4=0,"unavailable",INDEX('Market Data'!$AO$5:$AO$66,AH!$U$4)),IF(AH!$U$5=1,INDEX('Live History'!$E$5:$E$3004,MATCH($A1347,'Live History'!$D$5:$D$3004,1)),INDEX('AH History'!$D$5:$GG$1380,$K1347,AH!$U$10+1))),NA()),NA())</f>
        <v/>
      </c>
      <c r="G1347" s="34">
        <f>IFERROR(IF(ISNUMBER($A1347),IF(AND(AH!$U$12=1,1342+1=AH!$U$6),IF(AH!$U$4=0,"unavailable",INDEX('Market Data'!$AK$5:$AK$66,AH!$U$4)),IF(AH!$U$5=1,INDEX('Live History'!$D$5:$D$3004,MATCH($A1347,'Live History'!$D$5:$D$3004,1)),INDEX('AH History'!$D$5:$GG$1380,$K1347,AH!$U$10+2))),NA()),NA())</f>
        <v/>
      </c>
      <c r="H1347" s="266">
        <f>IFERROR(IF(ISNUMBER($A1347),IF(AND(AH!$U$12=1,1342+1=AH!$U$6),IF(AH!$U$4=0,"unavailable",INDEX('Market Data'!$AP$5:$AP$66,AH!$U$4)),IF(AH!$U$5=1,INDEX('Live History'!$H$5:$H$3004,MATCH($A1347,'Live History'!$G$5:$G$3004,1)),INDEX('AH History'!$B$5:$B$1380,$K1347))),NA()),NA())</f>
        <v/>
      </c>
      <c r="I1347" s="34">
        <f>IFERROR(IF(ISNUMBER($A1347),IF(AND(AH!$U$12=1,1342+1=AH!$U$6),TODAY(),IF(AH!$U$5=1,INDEX('Live History'!$G$5:$G$3004,MATCH($A1347,'Live History'!$G$5:$G$3004,1)),INDEX('AH History'!$C$5:$C$1380,$K1347))),NA()),NA())</f>
        <v/>
      </c>
      <c r="J1347" s="32">
        <f>IFERROR(IF(AND($F1347&gt;0,$H1347&gt;0,$A1347-$G1347&lt;=10,$A1347-$I1347&lt;=5,$G1347&gt;0,$I1347&gt;0),$F1347*$H1347,NA()),NA())</f>
        <v/>
      </c>
      <c r="K1347" s="15">
        <f>IF($A1347="","",IF(AH!$U$5=1,IFERROR(MATCH($A1347,'Live History'!$A$5:$A$3004,0),0),AH!$U$7+1342))</f>
        <v/>
      </c>
      <c r="L1347" s="15">
        <f>IF(ISNUMBER(A1347),TEXT(A1347,"dd-mmm-yy"),"")</f>
        <v/>
      </c>
    </row>
    <row r="1348">
      <c r="A1348" s="14">
        <f>IF(OR(AH!$U$4=0,1343+1&gt;AH!$U$6,AND(AH!$M$5="Bloomberg",AH!$U$5=0)),"",IFERROR(IF(AND(AH!$U$12=1,1343+1=AH!$U$6),TODAY(),IF(AH!$U$5=1,INDEX('Live History'!$A$5:$A$3004,AH!$U$7+1343),INDEX('AH History'!$A$5:$A$1380,AH!$U$7+1343))),""))</f>
        <v/>
      </c>
      <c r="B1348" s="33">
        <f>IFERROR(IF(AH!$U$11=1,NA(),$J1348/$E1348-1),NA())</f>
        <v/>
      </c>
      <c r="C1348" s="269">
        <f>IFERROR(100*$E1348/$E$5,NA())</f>
        <v/>
      </c>
      <c r="D1348" s="269">
        <f>IFERROR(100*$J1348/$J$5,NA())</f>
        <v/>
      </c>
      <c r="E1348" s="32">
        <f>IFERROR(IF(AND(ISNUMBER($A1348),N(IF(AND(AH!$U$12=1,1343+1=AH!$U$6),IF(AH!$U$4=0,"unavailable",INDEX('Market Data'!$AN$5:$AN$66,AH!$U$4)),IF(AH!$U$5=1,INDEX('Live History'!$B$5:$B$3004,$K1348),INDEX('AH History'!$D$5:$GG$1380,$K1348,AH!$U$10))))&gt;0),IF(AND(AH!$U$12=1,1343+1=AH!$U$6),IF(AH!$U$4=0,"unavailable",INDEX('Market Data'!$AN$5:$AN$66,AH!$U$4)),IF(AH!$U$5=1,INDEX('Live History'!$B$5:$B$3004,$K1348),INDEX('AH History'!$D$5:$GG$1380,$K1348,AH!$U$10))),NA()),NA())</f>
        <v/>
      </c>
      <c r="F1348" s="32">
        <f>IFERROR(IF(ISNUMBER($A1348),IF(AND(AH!$U$12=1,1343+1=AH!$U$6),IF(AH!$U$4=0,"unavailable",INDEX('Market Data'!$AO$5:$AO$66,AH!$U$4)),IF(AH!$U$5=1,INDEX('Live History'!$E$5:$E$3004,MATCH($A1348,'Live History'!$D$5:$D$3004,1)),INDEX('AH History'!$D$5:$GG$1380,$K1348,AH!$U$10+1))),NA()),NA())</f>
        <v/>
      </c>
      <c r="G1348" s="34">
        <f>IFERROR(IF(ISNUMBER($A1348),IF(AND(AH!$U$12=1,1343+1=AH!$U$6),IF(AH!$U$4=0,"unavailable",INDEX('Market Data'!$AK$5:$AK$66,AH!$U$4)),IF(AH!$U$5=1,INDEX('Live History'!$D$5:$D$3004,MATCH($A1348,'Live History'!$D$5:$D$3004,1)),INDEX('AH History'!$D$5:$GG$1380,$K1348,AH!$U$10+2))),NA()),NA())</f>
        <v/>
      </c>
      <c r="H1348" s="266">
        <f>IFERROR(IF(ISNUMBER($A1348),IF(AND(AH!$U$12=1,1343+1=AH!$U$6),IF(AH!$U$4=0,"unavailable",INDEX('Market Data'!$AP$5:$AP$66,AH!$U$4)),IF(AH!$U$5=1,INDEX('Live History'!$H$5:$H$3004,MATCH($A1348,'Live History'!$G$5:$G$3004,1)),INDEX('AH History'!$B$5:$B$1380,$K1348))),NA()),NA())</f>
        <v/>
      </c>
      <c r="I1348" s="34">
        <f>IFERROR(IF(ISNUMBER($A1348),IF(AND(AH!$U$12=1,1343+1=AH!$U$6),TODAY(),IF(AH!$U$5=1,INDEX('Live History'!$G$5:$G$3004,MATCH($A1348,'Live History'!$G$5:$G$3004,1)),INDEX('AH History'!$C$5:$C$1380,$K1348))),NA()),NA())</f>
        <v/>
      </c>
      <c r="J1348" s="32">
        <f>IFERROR(IF(AND($F1348&gt;0,$H1348&gt;0,$A1348-$G1348&lt;=10,$A1348-$I1348&lt;=5,$G1348&gt;0,$I1348&gt;0),$F1348*$H1348,NA()),NA())</f>
        <v/>
      </c>
      <c r="K1348" s="15">
        <f>IF($A1348="","",IF(AH!$U$5=1,IFERROR(MATCH($A1348,'Live History'!$A$5:$A$3004,0),0),AH!$U$7+1343))</f>
        <v/>
      </c>
      <c r="L1348" s="15">
        <f>IF(ISNUMBER(A1348),TEXT(A1348,"dd-mmm-yy"),"")</f>
        <v/>
      </c>
    </row>
    <row r="1349">
      <c r="A1349" s="14">
        <f>IF(OR(AH!$U$4=0,1344+1&gt;AH!$U$6,AND(AH!$M$5="Bloomberg",AH!$U$5=0)),"",IFERROR(IF(AND(AH!$U$12=1,1344+1=AH!$U$6),TODAY(),IF(AH!$U$5=1,INDEX('Live History'!$A$5:$A$3004,AH!$U$7+1344),INDEX('AH History'!$A$5:$A$1380,AH!$U$7+1344))),""))</f>
        <v/>
      </c>
      <c r="B1349" s="33">
        <f>IFERROR(IF(AH!$U$11=1,NA(),$J1349/$E1349-1),NA())</f>
        <v/>
      </c>
      <c r="C1349" s="269">
        <f>IFERROR(100*$E1349/$E$5,NA())</f>
        <v/>
      </c>
      <c r="D1349" s="269">
        <f>IFERROR(100*$J1349/$J$5,NA())</f>
        <v/>
      </c>
      <c r="E1349" s="32">
        <f>IFERROR(IF(AND(ISNUMBER($A1349),N(IF(AND(AH!$U$12=1,1344+1=AH!$U$6),IF(AH!$U$4=0,"unavailable",INDEX('Market Data'!$AN$5:$AN$66,AH!$U$4)),IF(AH!$U$5=1,INDEX('Live History'!$B$5:$B$3004,$K1349),INDEX('AH History'!$D$5:$GG$1380,$K1349,AH!$U$10))))&gt;0),IF(AND(AH!$U$12=1,1344+1=AH!$U$6),IF(AH!$U$4=0,"unavailable",INDEX('Market Data'!$AN$5:$AN$66,AH!$U$4)),IF(AH!$U$5=1,INDEX('Live History'!$B$5:$B$3004,$K1349),INDEX('AH History'!$D$5:$GG$1380,$K1349,AH!$U$10))),NA()),NA())</f>
        <v/>
      </c>
      <c r="F1349" s="32">
        <f>IFERROR(IF(ISNUMBER($A1349),IF(AND(AH!$U$12=1,1344+1=AH!$U$6),IF(AH!$U$4=0,"unavailable",INDEX('Market Data'!$AO$5:$AO$66,AH!$U$4)),IF(AH!$U$5=1,INDEX('Live History'!$E$5:$E$3004,MATCH($A1349,'Live History'!$D$5:$D$3004,1)),INDEX('AH History'!$D$5:$GG$1380,$K1349,AH!$U$10+1))),NA()),NA())</f>
        <v/>
      </c>
      <c r="G1349" s="34">
        <f>IFERROR(IF(ISNUMBER($A1349),IF(AND(AH!$U$12=1,1344+1=AH!$U$6),IF(AH!$U$4=0,"unavailable",INDEX('Market Data'!$AK$5:$AK$66,AH!$U$4)),IF(AH!$U$5=1,INDEX('Live History'!$D$5:$D$3004,MATCH($A1349,'Live History'!$D$5:$D$3004,1)),INDEX('AH History'!$D$5:$GG$1380,$K1349,AH!$U$10+2))),NA()),NA())</f>
        <v/>
      </c>
      <c r="H1349" s="266">
        <f>IFERROR(IF(ISNUMBER($A1349),IF(AND(AH!$U$12=1,1344+1=AH!$U$6),IF(AH!$U$4=0,"unavailable",INDEX('Market Data'!$AP$5:$AP$66,AH!$U$4)),IF(AH!$U$5=1,INDEX('Live History'!$H$5:$H$3004,MATCH($A1349,'Live History'!$G$5:$G$3004,1)),INDEX('AH History'!$B$5:$B$1380,$K1349))),NA()),NA())</f>
        <v/>
      </c>
      <c r="I1349" s="34">
        <f>IFERROR(IF(ISNUMBER($A1349),IF(AND(AH!$U$12=1,1344+1=AH!$U$6),TODAY(),IF(AH!$U$5=1,INDEX('Live History'!$G$5:$G$3004,MATCH($A1349,'Live History'!$G$5:$G$3004,1)),INDEX('AH History'!$C$5:$C$1380,$K1349))),NA()),NA())</f>
        <v/>
      </c>
      <c r="J1349" s="32">
        <f>IFERROR(IF(AND($F1349&gt;0,$H1349&gt;0,$A1349-$G1349&lt;=10,$A1349-$I1349&lt;=5,$G1349&gt;0,$I1349&gt;0),$F1349*$H1349,NA()),NA())</f>
        <v/>
      </c>
      <c r="K1349" s="15">
        <f>IF($A1349="","",IF(AH!$U$5=1,IFERROR(MATCH($A1349,'Live History'!$A$5:$A$3004,0),0),AH!$U$7+1344))</f>
        <v/>
      </c>
      <c r="L1349" s="15">
        <f>IF(ISNUMBER(A1349),TEXT(A1349,"dd-mmm-yy"),"")</f>
        <v/>
      </c>
    </row>
    <row r="1350">
      <c r="A1350" s="14">
        <f>IF(OR(AH!$U$4=0,1345+1&gt;AH!$U$6,AND(AH!$M$5="Bloomberg",AH!$U$5=0)),"",IFERROR(IF(AND(AH!$U$12=1,1345+1=AH!$U$6),TODAY(),IF(AH!$U$5=1,INDEX('Live History'!$A$5:$A$3004,AH!$U$7+1345),INDEX('AH History'!$A$5:$A$1380,AH!$U$7+1345))),""))</f>
        <v/>
      </c>
      <c r="B1350" s="33">
        <f>IFERROR(IF(AH!$U$11=1,NA(),$J1350/$E1350-1),NA())</f>
        <v/>
      </c>
      <c r="C1350" s="269">
        <f>IFERROR(100*$E1350/$E$5,NA())</f>
        <v/>
      </c>
      <c r="D1350" s="269">
        <f>IFERROR(100*$J1350/$J$5,NA())</f>
        <v/>
      </c>
      <c r="E1350" s="32">
        <f>IFERROR(IF(AND(ISNUMBER($A1350),N(IF(AND(AH!$U$12=1,1345+1=AH!$U$6),IF(AH!$U$4=0,"unavailable",INDEX('Market Data'!$AN$5:$AN$66,AH!$U$4)),IF(AH!$U$5=1,INDEX('Live History'!$B$5:$B$3004,$K1350),INDEX('AH History'!$D$5:$GG$1380,$K1350,AH!$U$10))))&gt;0),IF(AND(AH!$U$12=1,1345+1=AH!$U$6),IF(AH!$U$4=0,"unavailable",INDEX('Market Data'!$AN$5:$AN$66,AH!$U$4)),IF(AH!$U$5=1,INDEX('Live History'!$B$5:$B$3004,$K1350),INDEX('AH History'!$D$5:$GG$1380,$K1350,AH!$U$10))),NA()),NA())</f>
        <v/>
      </c>
      <c r="F1350" s="32">
        <f>IFERROR(IF(ISNUMBER($A1350),IF(AND(AH!$U$12=1,1345+1=AH!$U$6),IF(AH!$U$4=0,"unavailable",INDEX('Market Data'!$AO$5:$AO$66,AH!$U$4)),IF(AH!$U$5=1,INDEX('Live History'!$E$5:$E$3004,MATCH($A1350,'Live History'!$D$5:$D$3004,1)),INDEX('AH History'!$D$5:$GG$1380,$K1350,AH!$U$10+1))),NA()),NA())</f>
        <v/>
      </c>
      <c r="G1350" s="34">
        <f>IFERROR(IF(ISNUMBER($A1350),IF(AND(AH!$U$12=1,1345+1=AH!$U$6),IF(AH!$U$4=0,"unavailable",INDEX('Market Data'!$AK$5:$AK$66,AH!$U$4)),IF(AH!$U$5=1,INDEX('Live History'!$D$5:$D$3004,MATCH($A1350,'Live History'!$D$5:$D$3004,1)),INDEX('AH History'!$D$5:$GG$1380,$K1350,AH!$U$10+2))),NA()),NA())</f>
        <v/>
      </c>
      <c r="H1350" s="266">
        <f>IFERROR(IF(ISNUMBER($A1350),IF(AND(AH!$U$12=1,1345+1=AH!$U$6),IF(AH!$U$4=0,"unavailable",INDEX('Market Data'!$AP$5:$AP$66,AH!$U$4)),IF(AH!$U$5=1,INDEX('Live History'!$H$5:$H$3004,MATCH($A1350,'Live History'!$G$5:$G$3004,1)),INDEX('AH History'!$B$5:$B$1380,$K1350))),NA()),NA())</f>
        <v/>
      </c>
      <c r="I1350" s="34">
        <f>IFERROR(IF(ISNUMBER($A1350),IF(AND(AH!$U$12=1,1345+1=AH!$U$6),TODAY(),IF(AH!$U$5=1,INDEX('Live History'!$G$5:$G$3004,MATCH($A1350,'Live History'!$G$5:$G$3004,1)),INDEX('AH History'!$C$5:$C$1380,$K1350))),NA()),NA())</f>
        <v/>
      </c>
      <c r="J1350" s="32">
        <f>IFERROR(IF(AND($F1350&gt;0,$H1350&gt;0,$A1350-$G1350&lt;=10,$A1350-$I1350&lt;=5,$G1350&gt;0,$I1350&gt;0),$F1350*$H1350,NA()),NA())</f>
        <v/>
      </c>
      <c r="K1350" s="15">
        <f>IF($A1350="","",IF(AH!$U$5=1,IFERROR(MATCH($A1350,'Live History'!$A$5:$A$3004,0),0),AH!$U$7+1345))</f>
        <v/>
      </c>
      <c r="L1350" s="15">
        <f>IF(ISNUMBER(A1350),TEXT(A1350,"dd-mmm-yy"),"")</f>
        <v/>
      </c>
    </row>
    <row r="1351">
      <c r="A1351" s="14">
        <f>IF(OR(AH!$U$4=0,1346+1&gt;AH!$U$6,AND(AH!$M$5="Bloomberg",AH!$U$5=0)),"",IFERROR(IF(AND(AH!$U$12=1,1346+1=AH!$U$6),TODAY(),IF(AH!$U$5=1,INDEX('Live History'!$A$5:$A$3004,AH!$U$7+1346),INDEX('AH History'!$A$5:$A$1380,AH!$U$7+1346))),""))</f>
        <v/>
      </c>
      <c r="B1351" s="33">
        <f>IFERROR(IF(AH!$U$11=1,NA(),$J1351/$E1351-1),NA())</f>
        <v/>
      </c>
      <c r="C1351" s="269">
        <f>IFERROR(100*$E1351/$E$5,NA())</f>
        <v/>
      </c>
      <c r="D1351" s="269">
        <f>IFERROR(100*$J1351/$J$5,NA())</f>
        <v/>
      </c>
      <c r="E1351" s="32">
        <f>IFERROR(IF(AND(ISNUMBER($A1351),N(IF(AND(AH!$U$12=1,1346+1=AH!$U$6),IF(AH!$U$4=0,"unavailable",INDEX('Market Data'!$AN$5:$AN$66,AH!$U$4)),IF(AH!$U$5=1,INDEX('Live History'!$B$5:$B$3004,$K1351),INDEX('AH History'!$D$5:$GG$1380,$K1351,AH!$U$10))))&gt;0),IF(AND(AH!$U$12=1,1346+1=AH!$U$6),IF(AH!$U$4=0,"unavailable",INDEX('Market Data'!$AN$5:$AN$66,AH!$U$4)),IF(AH!$U$5=1,INDEX('Live History'!$B$5:$B$3004,$K1351),INDEX('AH History'!$D$5:$GG$1380,$K1351,AH!$U$10))),NA()),NA())</f>
        <v/>
      </c>
      <c r="F1351" s="32">
        <f>IFERROR(IF(ISNUMBER($A1351),IF(AND(AH!$U$12=1,1346+1=AH!$U$6),IF(AH!$U$4=0,"unavailable",INDEX('Market Data'!$AO$5:$AO$66,AH!$U$4)),IF(AH!$U$5=1,INDEX('Live History'!$E$5:$E$3004,MATCH($A1351,'Live History'!$D$5:$D$3004,1)),INDEX('AH History'!$D$5:$GG$1380,$K1351,AH!$U$10+1))),NA()),NA())</f>
        <v/>
      </c>
      <c r="G1351" s="34">
        <f>IFERROR(IF(ISNUMBER($A1351),IF(AND(AH!$U$12=1,1346+1=AH!$U$6),IF(AH!$U$4=0,"unavailable",INDEX('Market Data'!$AK$5:$AK$66,AH!$U$4)),IF(AH!$U$5=1,INDEX('Live History'!$D$5:$D$3004,MATCH($A1351,'Live History'!$D$5:$D$3004,1)),INDEX('AH History'!$D$5:$GG$1380,$K1351,AH!$U$10+2))),NA()),NA())</f>
        <v/>
      </c>
      <c r="H1351" s="266">
        <f>IFERROR(IF(ISNUMBER($A1351),IF(AND(AH!$U$12=1,1346+1=AH!$U$6),IF(AH!$U$4=0,"unavailable",INDEX('Market Data'!$AP$5:$AP$66,AH!$U$4)),IF(AH!$U$5=1,INDEX('Live History'!$H$5:$H$3004,MATCH($A1351,'Live History'!$G$5:$G$3004,1)),INDEX('AH History'!$B$5:$B$1380,$K1351))),NA()),NA())</f>
        <v/>
      </c>
      <c r="I1351" s="34">
        <f>IFERROR(IF(ISNUMBER($A1351),IF(AND(AH!$U$12=1,1346+1=AH!$U$6),TODAY(),IF(AH!$U$5=1,INDEX('Live History'!$G$5:$G$3004,MATCH($A1351,'Live History'!$G$5:$G$3004,1)),INDEX('AH History'!$C$5:$C$1380,$K1351))),NA()),NA())</f>
        <v/>
      </c>
      <c r="J1351" s="32">
        <f>IFERROR(IF(AND($F1351&gt;0,$H1351&gt;0,$A1351-$G1351&lt;=10,$A1351-$I1351&lt;=5,$G1351&gt;0,$I1351&gt;0),$F1351*$H1351,NA()),NA())</f>
        <v/>
      </c>
      <c r="K1351" s="15">
        <f>IF($A1351="","",IF(AH!$U$5=1,IFERROR(MATCH($A1351,'Live History'!$A$5:$A$3004,0),0),AH!$U$7+1346))</f>
        <v/>
      </c>
      <c r="L1351" s="15">
        <f>IF(ISNUMBER(A1351),TEXT(A1351,"dd-mmm-yy"),"")</f>
        <v/>
      </c>
    </row>
    <row r="1352">
      <c r="A1352" s="14">
        <f>IF(OR(AH!$U$4=0,1347+1&gt;AH!$U$6,AND(AH!$M$5="Bloomberg",AH!$U$5=0)),"",IFERROR(IF(AND(AH!$U$12=1,1347+1=AH!$U$6),TODAY(),IF(AH!$U$5=1,INDEX('Live History'!$A$5:$A$3004,AH!$U$7+1347),INDEX('AH History'!$A$5:$A$1380,AH!$U$7+1347))),""))</f>
        <v/>
      </c>
      <c r="B1352" s="33">
        <f>IFERROR(IF(AH!$U$11=1,NA(),$J1352/$E1352-1),NA())</f>
        <v/>
      </c>
      <c r="C1352" s="269">
        <f>IFERROR(100*$E1352/$E$5,NA())</f>
        <v/>
      </c>
      <c r="D1352" s="269">
        <f>IFERROR(100*$J1352/$J$5,NA())</f>
        <v/>
      </c>
      <c r="E1352" s="32">
        <f>IFERROR(IF(AND(ISNUMBER($A1352),N(IF(AND(AH!$U$12=1,1347+1=AH!$U$6),IF(AH!$U$4=0,"unavailable",INDEX('Market Data'!$AN$5:$AN$66,AH!$U$4)),IF(AH!$U$5=1,INDEX('Live History'!$B$5:$B$3004,$K1352),INDEX('AH History'!$D$5:$GG$1380,$K1352,AH!$U$10))))&gt;0),IF(AND(AH!$U$12=1,1347+1=AH!$U$6),IF(AH!$U$4=0,"unavailable",INDEX('Market Data'!$AN$5:$AN$66,AH!$U$4)),IF(AH!$U$5=1,INDEX('Live History'!$B$5:$B$3004,$K1352),INDEX('AH History'!$D$5:$GG$1380,$K1352,AH!$U$10))),NA()),NA())</f>
        <v/>
      </c>
      <c r="F1352" s="32">
        <f>IFERROR(IF(ISNUMBER($A1352),IF(AND(AH!$U$12=1,1347+1=AH!$U$6),IF(AH!$U$4=0,"unavailable",INDEX('Market Data'!$AO$5:$AO$66,AH!$U$4)),IF(AH!$U$5=1,INDEX('Live History'!$E$5:$E$3004,MATCH($A1352,'Live History'!$D$5:$D$3004,1)),INDEX('AH History'!$D$5:$GG$1380,$K1352,AH!$U$10+1))),NA()),NA())</f>
        <v/>
      </c>
      <c r="G1352" s="34">
        <f>IFERROR(IF(ISNUMBER($A1352),IF(AND(AH!$U$12=1,1347+1=AH!$U$6),IF(AH!$U$4=0,"unavailable",INDEX('Market Data'!$AK$5:$AK$66,AH!$U$4)),IF(AH!$U$5=1,INDEX('Live History'!$D$5:$D$3004,MATCH($A1352,'Live History'!$D$5:$D$3004,1)),INDEX('AH History'!$D$5:$GG$1380,$K1352,AH!$U$10+2))),NA()),NA())</f>
        <v/>
      </c>
      <c r="H1352" s="266">
        <f>IFERROR(IF(ISNUMBER($A1352),IF(AND(AH!$U$12=1,1347+1=AH!$U$6),IF(AH!$U$4=0,"unavailable",INDEX('Market Data'!$AP$5:$AP$66,AH!$U$4)),IF(AH!$U$5=1,INDEX('Live History'!$H$5:$H$3004,MATCH($A1352,'Live History'!$G$5:$G$3004,1)),INDEX('AH History'!$B$5:$B$1380,$K1352))),NA()),NA())</f>
        <v/>
      </c>
      <c r="I1352" s="34">
        <f>IFERROR(IF(ISNUMBER($A1352),IF(AND(AH!$U$12=1,1347+1=AH!$U$6),TODAY(),IF(AH!$U$5=1,INDEX('Live History'!$G$5:$G$3004,MATCH($A1352,'Live History'!$G$5:$G$3004,1)),INDEX('AH History'!$C$5:$C$1380,$K1352))),NA()),NA())</f>
        <v/>
      </c>
      <c r="J1352" s="32">
        <f>IFERROR(IF(AND($F1352&gt;0,$H1352&gt;0,$A1352-$G1352&lt;=10,$A1352-$I1352&lt;=5,$G1352&gt;0,$I1352&gt;0),$F1352*$H1352,NA()),NA())</f>
        <v/>
      </c>
      <c r="K1352" s="15">
        <f>IF($A1352="","",IF(AH!$U$5=1,IFERROR(MATCH($A1352,'Live History'!$A$5:$A$3004,0),0),AH!$U$7+1347))</f>
        <v/>
      </c>
      <c r="L1352" s="15">
        <f>IF(ISNUMBER(A1352),TEXT(A1352,"dd-mmm-yy"),"")</f>
        <v/>
      </c>
    </row>
    <row r="1353">
      <c r="A1353" s="14">
        <f>IF(OR(AH!$U$4=0,1348+1&gt;AH!$U$6,AND(AH!$M$5="Bloomberg",AH!$U$5=0)),"",IFERROR(IF(AND(AH!$U$12=1,1348+1=AH!$U$6),TODAY(),IF(AH!$U$5=1,INDEX('Live History'!$A$5:$A$3004,AH!$U$7+1348),INDEX('AH History'!$A$5:$A$1380,AH!$U$7+1348))),""))</f>
        <v/>
      </c>
      <c r="B1353" s="33">
        <f>IFERROR(IF(AH!$U$11=1,NA(),$J1353/$E1353-1),NA())</f>
        <v/>
      </c>
      <c r="C1353" s="269">
        <f>IFERROR(100*$E1353/$E$5,NA())</f>
        <v/>
      </c>
      <c r="D1353" s="269">
        <f>IFERROR(100*$J1353/$J$5,NA())</f>
        <v/>
      </c>
      <c r="E1353" s="32">
        <f>IFERROR(IF(AND(ISNUMBER($A1353),N(IF(AND(AH!$U$12=1,1348+1=AH!$U$6),IF(AH!$U$4=0,"unavailable",INDEX('Market Data'!$AN$5:$AN$66,AH!$U$4)),IF(AH!$U$5=1,INDEX('Live History'!$B$5:$B$3004,$K1353),INDEX('AH History'!$D$5:$GG$1380,$K1353,AH!$U$10))))&gt;0),IF(AND(AH!$U$12=1,1348+1=AH!$U$6),IF(AH!$U$4=0,"unavailable",INDEX('Market Data'!$AN$5:$AN$66,AH!$U$4)),IF(AH!$U$5=1,INDEX('Live History'!$B$5:$B$3004,$K1353),INDEX('AH History'!$D$5:$GG$1380,$K1353,AH!$U$10))),NA()),NA())</f>
        <v/>
      </c>
      <c r="F1353" s="32">
        <f>IFERROR(IF(ISNUMBER($A1353),IF(AND(AH!$U$12=1,1348+1=AH!$U$6),IF(AH!$U$4=0,"unavailable",INDEX('Market Data'!$AO$5:$AO$66,AH!$U$4)),IF(AH!$U$5=1,INDEX('Live History'!$E$5:$E$3004,MATCH($A1353,'Live History'!$D$5:$D$3004,1)),INDEX('AH History'!$D$5:$GG$1380,$K1353,AH!$U$10+1))),NA()),NA())</f>
        <v/>
      </c>
      <c r="G1353" s="34">
        <f>IFERROR(IF(ISNUMBER($A1353),IF(AND(AH!$U$12=1,1348+1=AH!$U$6),IF(AH!$U$4=0,"unavailable",INDEX('Market Data'!$AK$5:$AK$66,AH!$U$4)),IF(AH!$U$5=1,INDEX('Live History'!$D$5:$D$3004,MATCH($A1353,'Live History'!$D$5:$D$3004,1)),INDEX('AH History'!$D$5:$GG$1380,$K1353,AH!$U$10+2))),NA()),NA())</f>
        <v/>
      </c>
      <c r="H1353" s="266">
        <f>IFERROR(IF(ISNUMBER($A1353),IF(AND(AH!$U$12=1,1348+1=AH!$U$6),IF(AH!$U$4=0,"unavailable",INDEX('Market Data'!$AP$5:$AP$66,AH!$U$4)),IF(AH!$U$5=1,INDEX('Live History'!$H$5:$H$3004,MATCH($A1353,'Live History'!$G$5:$G$3004,1)),INDEX('AH History'!$B$5:$B$1380,$K1353))),NA()),NA())</f>
        <v/>
      </c>
      <c r="I1353" s="34">
        <f>IFERROR(IF(ISNUMBER($A1353),IF(AND(AH!$U$12=1,1348+1=AH!$U$6),TODAY(),IF(AH!$U$5=1,INDEX('Live History'!$G$5:$G$3004,MATCH($A1353,'Live History'!$G$5:$G$3004,1)),INDEX('AH History'!$C$5:$C$1380,$K1353))),NA()),NA())</f>
        <v/>
      </c>
      <c r="J1353" s="32">
        <f>IFERROR(IF(AND($F1353&gt;0,$H1353&gt;0,$A1353-$G1353&lt;=10,$A1353-$I1353&lt;=5,$G1353&gt;0,$I1353&gt;0),$F1353*$H1353,NA()),NA())</f>
        <v/>
      </c>
      <c r="K1353" s="15">
        <f>IF($A1353="","",IF(AH!$U$5=1,IFERROR(MATCH($A1353,'Live History'!$A$5:$A$3004,0),0),AH!$U$7+1348))</f>
        <v/>
      </c>
      <c r="L1353" s="15">
        <f>IF(ISNUMBER(A1353),TEXT(A1353,"dd-mmm-yy"),"")</f>
        <v/>
      </c>
    </row>
    <row r="1354">
      <c r="A1354" s="14">
        <f>IF(OR(AH!$U$4=0,1349+1&gt;AH!$U$6,AND(AH!$M$5="Bloomberg",AH!$U$5=0)),"",IFERROR(IF(AND(AH!$U$12=1,1349+1=AH!$U$6),TODAY(),IF(AH!$U$5=1,INDEX('Live History'!$A$5:$A$3004,AH!$U$7+1349),INDEX('AH History'!$A$5:$A$1380,AH!$U$7+1349))),""))</f>
        <v/>
      </c>
      <c r="B1354" s="33">
        <f>IFERROR(IF(AH!$U$11=1,NA(),$J1354/$E1354-1),NA())</f>
        <v/>
      </c>
      <c r="C1354" s="269">
        <f>IFERROR(100*$E1354/$E$5,NA())</f>
        <v/>
      </c>
      <c r="D1354" s="269">
        <f>IFERROR(100*$J1354/$J$5,NA())</f>
        <v/>
      </c>
      <c r="E1354" s="32">
        <f>IFERROR(IF(AND(ISNUMBER($A1354),N(IF(AND(AH!$U$12=1,1349+1=AH!$U$6),IF(AH!$U$4=0,"unavailable",INDEX('Market Data'!$AN$5:$AN$66,AH!$U$4)),IF(AH!$U$5=1,INDEX('Live History'!$B$5:$B$3004,$K1354),INDEX('AH History'!$D$5:$GG$1380,$K1354,AH!$U$10))))&gt;0),IF(AND(AH!$U$12=1,1349+1=AH!$U$6),IF(AH!$U$4=0,"unavailable",INDEX('Market Data'!$AN$5:$AN$66,AH!$U$4)),IF(AH!$U$5=1,INDEX('Live History'!$B$5:$B$3004,$K1354),INDEX('AH History'!$D$5:$GG$1380,$K1354,AH!$U$10))),NA()),NA())</f>
        <v/>
      </c>
      <c r="F1354" s="32">
        <f>IFERROR(IF(ISNUMBER($A1354),IF(AND(AH!$U$12=1,1349+1=AH!$U$6),IF(AH!$U$4=0,"unavailable",INDEX('Market Data'!$AO$5:$AO$66,AH!$U$4)),IF(AH!$U$5=1,INDEX('Live History'!$E$5:$E$3004,MATCH($A1354,'Live History'!$D$5:$D$3004,1)),INDEX('AH History'!$D$5:$GG$1380,$K1354,AH!$U$10+1))),NA()),NA())</f>
        <v/>
      </c>
      <c r="G1354" s="34">
        <f>IFERROR(IF(ISNUMBER($A1354),IF(AND(AH!$U$12=1,1349+1=AH!$U$6),IF(AH!$U$4=0,"unavailable",INDEX('Market Data'!$AK$5:$AK$66,AH!$U$4)),IF(AH!$U$5=1,INDEX('Live History'!$D$5:$D$3004,MATCH($A1354,'Live History'!$D$5:$D$3004,1)),INDEX('AH History'!$D$5:$GG$1380,$K1354,AH!$U$10+2))),NA()),NA())</f>
        <v/>
      </c>
      <c r="H1354" s="266">
        <f>IFERROR(IF(ISNUMBER($A1354),IF(AND(AH!$U$12=1,1349+1=AH!$U$6),IF(AH!$U$4=0,"unavailable",INDEX('Market Data'!$AP$5:$AP$66,AH!$U$4)),IF(AH!$U$5=1,INDEX('Live History'!$H$5:$H$3004,MATCH($A1354,'Live History'!$G$5:$G$3004,1)),INDEX('AH History'!$B$5:$B$1380,$K1354))),NA()),NA())</f>
        <v/>
      </c>
      <c r="I1354" s="34">
        <f>IFERROR(IF(ISNUMBER($A1354),IF(AND(AH!$U$12=1,1349+1=AH!$U$6),TODAY(),IF(AH!$U$5=1,INDEX('Live History'!$G$5:$G$3004,MATCH($A1354,'Live History'!$G$5:$G$3004,1)),INDEX('AH History'!$C$5:$C$1380,$K1354))),NA()),NA())</f>
        <v/>
      </c>
      <c r="J1354" s="32">
        <f>IFERROR(IF(AND($F1354&gt;0,$H1354&gt;0,$A1354-$G1354&lt;=10,$A1354-$I1354&lt;=5,$G1354&gt;0,$I1354&gt;0),$F1354*$H1354,NA()),NA())</f>
        <v/>
      </c>
      <c r="K1354" s="15">
        <f>IF($A1354="","",IF(AH!$U$5=1,IFERROR(MATCH($A1354,'Live History'!$A$5:$A$3004,0),0),AH!$U$7+1349))</f>
        <v/>
      </c>
      <c r="L1354" s="15">
        <f>IF(ISNUMBER(A1354),TEXT(A1354,"dd-mmm-yy"),"")</f>
        <v/>
      </c>
    </row>
    <row r="1355">
      <c r="A1355" s="14">
        <f>IF(OR(AH!$U$4=0,1350+1&gt;AH!$U$6,AND(AH!$M$5="Bloomberg",AH!$U$5=0)),"",IFERROR(IF(AND(AH!$U$12=1,1350+1=AH!$U$6),TODAY(),IF(AH!$U$5=1,INDEX('Live History'!$A$5:$A$3004,AH!$U$7+1350),INDEX('AH History'!$A$5:$A$1380,AH!$U$7+1350))),""))</f>
        <v/>
      </c>
      <c r="B1355" s="33">
        <f>IFERROR(IF(AH!$U$11=1,NA(),$J1355/$E1355-1),NA())</f>
        <v/>
      </c>
      <c r="C1355" s="269">
        <f>IFERROR(100*$E1355/$E$5,NA())</f>
        <v/>
      </c>
      <c r="D1355" s="269">
        <f>IFERROR(100*$J1355/$J$5,NA())</f>
        <v/>
      </c>
      <c r="E1355" s="32">
        <f>IFERROR(IF(AND(ISNUMBER($A1355),N(IF(AND(AH!$U$12=1,1350+1=AH!$U$6),IF(AH!$U$4=0,"unavailable",INDEX('Market Data'!$AN$5:$AN$66,AH!$U$4)),IF(AH!$U$5=1,INDEX('Live History'!$B$5:$B$3004,$K1355),INDEX('AH History'!$D$5:$GG$1380,$K1355,AH!$U$10))))&gt;0),IF(AND(AH!$U$12=1,1350+1=AH!$U$6),IF(AH!$U$4=0,"unavailable",INDEX('Market Data'!$AN$5:$AN$66,AH!$U$4)),IF(AH!$U$5=1,INDEX('Live History'!$B$5:$B$3004,$K1355),INDEX('AH History'!$D$5:$GG$1380,$K1355,AH!$U$10))),NA()),NA())</f>
        <v/>
      </c>
      <c r="F1355" s="32">
        <f>IFERROR(IF(ISNUMBER($A1355),IF(AND(AH!$U$12=1,1350+1=AH!$U$6),IF(AH!$U$4=0,"unavailable",INDEX('Market Data'!$AO$5:$AO$66,AH!$U$4)),IF(AH!$U$5=1,INDEX('Live History'!$E$5:$E$3004,MATCH($A1355,'Live History'!$D$5:$D$3004,1)),INDEX('AH History'!$D$5:$GG$1380,$K1355,AH!$U$10+1))),NA()),NA())</f>
        <v/>
      </c>
      <c r="G1355" s="34">
        <f>IFERROR(IF(ISNUMBER($A1355),IF(AND(AH!$U$12=1,1350+1=AH!$U$6),IF(AH!$U$4=0,"unavailable",INDEX('Market Data'!$AK$5:$AK$66,AH!$U$4)),IF(AH!$U$5=1,INDEX('Live History'!$D$5:$D$3004,MATCH($A1355,'Live History'!$D$5:$D$3004,1)),INDEX('AH History'!$D$5:$GG$1380,$K1355,AH!$U$10+2))),NA()),NA())</f>
        <v/>
      </c>
      <c r="H1355" s="266">
        <f>IFERROR(IF(ISNUMBER($A1355),IF(AND(AH!$U$12=1,1350+1=AH!$U$6),IF(AH!$U$4=0,"unavailable",INDEX('Market Data'!$AP$5:$AP$66,AH!$U$4)),IF(AH!$U$5=1,INDEX('Live History'!$H$5:$H$3004,MATCH($A1355,'Live History'!$G$5:$G$3004,1)),INDEX('AH History'!$B$5:$B$1380,$K1355))),NA()),NA())</f>
        <v/>
      </c>
      <c r="I1355" s="34">
        <f>IFERROR(IF(ISNUMBER($A1355),IF(AND(AH!$U$12=1,1350+1=AH!$U$6),TODAY(),IF(AH!$U$5=1,INDEX('Live History'!$G$5:$G$3004,MATCH($A1355,'Live History'!$G$5:$G$3004,1)),INDEX('AH History'!$C$5:$C$1380,$K1355))),NA()),NA())</f>
        <v/>
      </c>
      <c r="J1355" s="32">
        <f>IFERROR(IF(AND($F1355&gt;0,$H1355&gt;0,$A1355-$G1355&lt;=10,$A1355-$I1355&lt;=5,$G1355&gt;0,$I1355&gt;0),$F1355*$H1355,NA()),NA())</f>
        <v/>
      </c>
      <c r="K1355" s="15">
        <f>IF($A1355="","",IF(AH!$U$5=1,IFERROR(MATCH($A1355,'Live History'!$A$5:$A$3004,0),0),AH!$U$7+1350))</f>
        <v/>
      </c>
      <c r="L1355" s="15">
        <f>IF(ISNUMBER(A1355),TEXT(A1355,"dd-mmm-yy"),"")</f>
        <v/>
      </c>
    </row>
    <row r="1356">
      <c r="A1356" s="14">
        <f>IF(OR(AH!$U$4=0,1351+1&gt;AH!$U$6,AND(AH!$M$5="Bloomberg",AH!$U$5=0)),"",IFERROR(IF(AND(AH!$U$12=1,1351+1=AH!$U$6),TODAY(),IF(AH!$U$5=1,INDEX('Live History'!$A$5:$A$3004,AH!$U$7+1351),INDEX('AH History'!$A$5:$A$1380,AH!$U$7+1351))),""))</f>
        <v/>
      </c>
      <c r="B1356" s="33">
        <f>IFERROR(IF(AH!$U$11=1,NA(),$J1356/$E1356-1),NA())</f>
        <v/>
      </c>
      <c r="C1356" s="269">
        <f>IFERROR(100*$E1356/$E$5,NA())</f>
        <v/>
      </c>
      <c r="D1356" s="269">
        <f>IFERROR(100*$J1356/$J$5,NA())</f>
        <v/>
      </c>
      <c r="E1356" s="32">
        <f>IFERROR(IF(AND(ISNUMBER($A1356),N(IF(AND(AH!$U$12=1,1351+1=AH!$U$6),IF(AH!$U$4=0,"unavailable",INDEX('Market Data'!$AN$5:$AN$66,AH!$U$4)),IF(AH!$U$5=1,INDEX('Live History'!$B$5:$B$3004,$K1356),INDEX('AH History'!$D$5:$GG$1380,$K1356,AH!$U$10))))&gt;0),IF(AND(AH!$U$12=1,1351+1=AH!$U$6),IF(AH!$U$4=0,"unavailable",INDEX('Market Data'!$AN$5:$AN$66,AH!$U$4)),IF(AH!$U$5=1,INDEX('Live History'!$B$5:$B$3004,$K1356),INDEX('AH History'!$D$5:$GG$1380,$K1356,AH!$U$10))),NA()),NA())</f>
        <v/>
      </c>
      <c r="F1356" s="32">
        <f>IFERROR(IF(ISNUMBER($A1356),IF(AND(AH!$U$12=1,1351+1=AH!$U$6),IF(AH!$U$4=0,"unavailable",INDEX('Market Data'!$AO$5:$AO$66,AH!$U$4)),IF(AH!$U$5=1,INDEX('Live History'!$E$5:$E$3004,MATCH($A1356,'Live History'!$D$5:$D$3004,1)),INDEX('AH History'!$D$5:$GG$1380,$K1356,AH!$U$10+1))),NA()),NA())</f>
        <v/>
      </c>
      <c r="G1356" s="34">
        <f>IFERROR(IF(ISNUMBER($A1356),IF(AND(AH!$U$12=1,1351+1=AH!$U$6),IF(AH!$U$4=0,"unavailable",INDEX('Market Data'!$AK$5:$AK$66,AH!$U$4)),IF(AH!$U$5=1,INDEX('Live History'!$D$5:$D$3004,MATCH($A1356,'Live History'!$D$5:$D$3004,1)),INDEX('AH History'!$D$5:$GG$1380,$K1356,AH!$U$10+2))),NA()),NA())</f>
        <v/>
      </c>
      <c r="H1356" s="266">
        <f>IFERROR(IF(ISNUMBER($A1356),IF(AND(AH!$U$12=1,1351+1=AH!$U$6),IF(AH!$U$4=0,"unavailable",INDEX('Market Data'!$AP$5:$AP$66,AH!$U$4)),IF(AH!$U$5=1,INDEX('Live History'!$H$5:$H$3004,MATCH($A1356,'Live History'!$G$5:$G$3004,1)),INDEX('AH History'!$B$5:$B$1380,$K1356))),NA()),NA())</f>
        <v/>
      </c>
      <c r="I1356" s="34">
        <f>IFERROR(IF(ISNUMBER($A1356),IF(AND(AH!$U$12=1,1351+1=AH!$U$6),TODAY(),IF(AH!$U$5=1,INDEX('Live History'!$G$5:$G$3004,MATCH($A1356,'Live History'!$G$5:$G$3004,1)),INDEX('AH History'!$C$5:$C$1380,$K1356))),NA()),NA())</f>
        <v/>
      </c>
      <c r="J1356" s="32">
        <f>IFERROR(IF(AND($F1356&gt;0,$H1356&gt;0,$A1356-$G1356&lt;=10,$A1356-$I1356&lt;=5,$G1356&gt;0,$I1356&gt;0),$F1356*$H1356,NA()),NA())</f>
        <v/>
      </c>
      <c r="K1356" s="15">
        <f>IF($A1356="","",IF(AH!$U$5=1,IFERROR(MATCH($A1356,'Live History'!$A$5:$A$3004,0),0),AH!$U$7+1351))</f>
        <v/>
      </c>
      <c r="L1356" s="15">
        <f>IF(ISNUMBER(A1356),TEXT(A1356,"dd-mmm-yy"),"")</f>
        <v/>
      </c>
    </row>
    <row r="1357">
      <c r="A1357" s="14">
        <f>IF(OR(AH!$U$4=0,1352+1&gt;AH!$U$6,AND(AH!$M$5="Bloomberg",AH!$U$5=0)),"",IFERROR(IF(AND(AH!$U$12=1,1352+1=AH!$U$6),TODAY(),IF(AH!$U$5=1,INDEX('Live History'!$A$5:$A$3004,AH!$U$7+1352),INDEX('AH History'!$A$5:$A$1380,AH!$U$7+1352))),""))</f>
        <v/>
      </c>
      <c r="B1357" s="33">
        <f>IFERROR(IF(AH!$U$11=1,NA(),$J1357/$E1357-1),NA())</f>
        <v/>
      </c>
      <c r="C1357" s="269">
        <f>IFERROR(100*$E1357/$E$5,NA())</f>
        <v/>
      </c>
      <c r="D1357" s="269">
        <f>IFERROR(100*$J1357/$J$5,NA())</f>
        <v/>
      </c>
      <c r="E1357" s="32">
        <f>IFERROR(IF(AND(ISNUMBER($A1357),N(IF(AND(AH!$U$12=1,1352+1=AH!$U$6),IF(AH!$U$4=0,"unavailable",INDEX('Market Data'!$AN$5:$AN$66,AH!$U$4)),IF(AH!$U$5=1,INDEX('Live History'!$B$5:$B$3004,$K1357),INDEX('AH History'!$D$5:$GG$1380,$K1357,AH!$U$10))))&gt;0),IF(AND(AH!$U$12=1,1352+1=AH!$U$6),IF(AH!$U$4=0,"unavailable",INDEX('Market Data'!$AN$5:$AN$66,AH!$U$4)),IF(AH!$U$5=1,INDEX('Live History'!$B$5:$B$3004,$K1357),INDEX('AH History'!$D$5:$GG$1380,$K1357,AH!$U$10))),NA()),NA())</f>
        <v/>
      </c>
      <c r="F1357" s="32">
        <f>IFERROR(IF(ISNUMBER($A1357),IF(AND(AH!$U$12=1,1352+1=AH!$U$6),IF(AH!$U$4=0,"unavailable",INDEX('Market Data'!$AO$5:$AO$66,AH!$U$4)),IF(AH!$U$5=1,INDEX('Live History'!$E$5:$E$3004,MATCH($A1357,'Live History'!$D$5:$D$3004,1)),INDEX('AH History'!$D$5:$GG$1380,$K1357,AH!$U$10+1))),NA()),NA())</f>
        <v/>
      </c>
      <c r="G1357" s="34">
        <f>IFERROR(IF(ISNUMBER($A1357),IF(AND(AH!$U$12=1,1352+1=AH!$U$6),IF(AH!$U$4=0,"unavailable",INDEX('Market Data'!$AK$5:$AK$66,AH!$U$4)),IF(AH!$U$5=1,INDEX('Live History'!$D$5:$D$3004,MATCH($A1357,'Live History'!$D$5:$D$3004,1)),INDEX('AH History'!$D$5:$GG$1380,$K1357,AH!$U$10+2))),NA()),NA())</f>
        <v/>
      </c>
      <c r="H1357" s="266">
        <f>IFERROR(IF(ISNUMBER($A1357),IF(AND(AH!$U$12=1,1352+1=AH!$U$6),IF(AH!$U$4=0,"unavailable",INDEX('Market Data'!$AP$5:$AP$66,AH!$U$4)),IF(AH!$U$5=1,INDEX('Live History'!$H$5:$H$3004,MATCH($A1357,'Live History'!$G$5:$G$3004,1)),INDEX('AH History'!$B$5:$B$1380,$K1357))),NA()),NA())</f>
        <v/>
      </c>
      <c r="I1357" s="34">
        <f>IFERROR(IF(ISNUMBER($A1357),IF(AND(AH!$U$12=1,1352+1=AH!$U$6),TODAY(),IF(AH!$U$5=1,INDEX('Live History'!$G$5:$G$3004,MATCH($A1357,'Live History'!$G$5:$G$3004,1)),INDEX('AH History'!$C$5:$C$1380,$K1357))),NA()),NA())</f>
        <v/>
      </c>
      <c r="J1357" s="32">
        <f>IFERROR(IF(AND($F1357&gt;0,$H1357&gt;0,$A1357-$G1357&lt;=10,$A1357-$I1357&lt;=5,$G1357&gt;0,$I1357&gt;0),$F1357*$H1357,NA()),NA())</f>
        <v/>
      </c>
      <c r="K1357" s="15">
        <f>IF($A1357="","",IF(AH!$U$5=1,IFERROR(MATCH($A1357,'Live History'!$A$5:$A$3004,0),0),AH!$U$7+1352))</f>
        <v/>
      </c>
      <c r="L1357" s="15">
        <f>IF(ISNUMBER(A1357),TEXT(A1357,"dd-mmm-yy"),"")</f>
        <v/>
      </c>
    </row>
    <row r="1358">
      <c r="A1358" s="14">
        <f>IF(OR(AH!$U$4=0,1353+1&gt;AH!$U$6,AND(AH!$M$5="Bloomberg",AH!$U$5=0)),"",IFERROR(IF(AND(AH!$U$12=1,1353+1=AH!$U$6),TODAY(),IF(AH!$U$5=1,INDEX('Live History'!$A$5:$A$3004,AH!$U$7+1353),INDEX('AH History'!$A$5:$A$1380,AH!$U$7+1353))),""))</f>
        <v/>
      </c>
      <c r="B1358" s="33">
        <f>IFERROR(IF(AH!$U$11=1,NA(),$J1358/$E1358-1),NA())</f>
        <v/>
      </c>
      <c r="C1358" s="269">
        <f>IFERROR(100*$E1358/$E$5,NA())</f>
        <v/>
      </c>
      <c r="D1358" s="269">
        <f>IFERROR(100*$J1358/$J$5,NA())</f>
        <v/>
      </c>
      <c r="E1358" s="32">
        <f>IFERROR(IF(AND(ISNUMBER($A1358),N(IF(AND(AH!$U$12=1,1353+1=AH!$U$6),IF(AH!$U$4=0,"unavailable",INDEX('Market Data'!$AN$5:$AN$66,AH!$U$4)),IF(AH!$U$5=1,INDEX('Live History'!$B$5:$B$3004,$K1358),INDEX('AH History'!$D$5:$GG$1380,$K1358,AH!$U$10))))&gt;0),IF(AND(AH!$U$12=1,1353+1=AH!$U$6),IF(AH!$U$4=0,"unavailable",INDEX('Market Data'!$AN$5:$AN$66,AH!$U$4)),IF(AH!$U$5=1,INDEX('Live History'!$B$5:$B$3004,$K1358),INDEX('AH History'!$D$5:$GG$1380,$K1358,AH!$U$10))),NA()),NA())</f>
        <v/>
      </c>
      <c r="F1358" s="32">
        <f>IFERROR(IF(ISNUMBER($A1358),IF(AND(AH!$U$12=1,1353+1=AH!$U$6),IF(AH!$U$4=0,"unavailable",INDEX('Market Data'!$AO$5:$AO$66,AH!$U$4)),IF(AH!$U$5=1,INDEX('Live History'!$E$5:$E$3004,MATCH($A1358,'Live History'!$D$5:$D$3004,1)),INDEX('AH History'!$D$5:$GG$1380,$K1358,AH!$U$10+1))),NA()),NA())</f>
        <v/>
      </c>
      <c r="G1358" s="34">
        <f>IFERROR(IF(ISNUMBER($A1358),IF(AND(AH!$U$12=1,1353+1=AH!$U$6),IF(AH!$U$4=0,"unavailable",INDEX('Market Data'!$AK$5:$AK$66,AH!$U$4)),IF(AH!$U$5=1,INDEX('Live History'!$D$5:$D$3004,MATCH($A1358,'Live History'!$D$5:$D$3004,1)),INDEX('AH History'!$D$5:$GG$1380,$K1358,AH!$U$10+2))),NA()),NA())</f>
        <v/>
      </c>
      <c r="H1358" s="266">
        <f>IFERROR(IF(ISNUMBER($A1358),IF(AND(AH!$U$12=1,1353+1=AH!$U$6),IF(AH!$U$4=0,"unavailable",INDEX('Market Data'!$AP$5:$AP$66,AH!$U$4)),IF(AH!$U$5=1,INDEX('Live History'!$H$5:$H$3004,MATCH($A1358,'Live History'!$G$5:$G$3004,1)),INDEX('AH History'!$B$5:$B$1380,$K1358))),NA()),NA())</f>
        <v/>
      </c>
      <c r="I1358" s="34">
        <f>IFERROR(IF(ISNUMBER($A1358),IF(AND(AH!$U$12=1,1353+1=AH!$U$6),TODAY(),IF(AH!$U$5=1,INDEX('Live History'!$G$5:$G$3004,MATCH($A1358,'Live History'!$G$5:$G$3004,1)),INDEX('AH History'!$C$5:$C$1380,$K1358))),NA()),NA())</f>
        <v/>
      </c>
      <c r="J1358" s="32">
        <f>IFERROR(IF(AND($F1358&gt;0,$H1358&gt;0,$A1358-$G1358&lt;=10,$A1358-$I1358&lt;=5,$G1358&gt;0,$I1358&gt;0),$F1358*$H1358,NA()),NA())</f>
        <v/>
      </c>
      <c r="K1358" s="15">
        <f>IF($A1358="","",IF(AH!$U$5=1,IFERROR(MATCH($A1358,'Live History'!$A$5:$A$3004,0),0),AH!$U$7+1353))</f>
        <v/>
      </c>
      <c r="L1358" s="15">
        <f>IF(ISNUMBER(A1358),TEXT(A1358,"dd-mmm-yy"),"")</f>
        <v/>
      </c>
    </row>
    <row r="1359">
      <c r="A1359" s="14">
        <f>IF(OR(AH!$U$4=0,1354+1&gt;AH!$U$6,AND(AH!$M$5="Bloomberg",AH!$U$5=0)),"",IFERROR(IF(AND(AH!$U$12=1,1354+1=AH!$U$6),TODAY(),IF(AH!$U$5=1,INDEX('Live History'!$A$5:$A$3004,AH!$U$7+1354),INDEX('AH History'!$A$5:$A$1380,AH!$U$7+1354))),""))</f>
        <v/>
      </c>
      <c r="B1359" s="33">
        <f>IFERROR(IF(AH!$U$11=1,NA(),$J1359/$E1359-1),NA())</f>
        <v/>
      </c>
      <c r="C1359" s="269">
        <f>IFERROR(100*$E1359/$E$5,NA())</f>
        <v/>
      </c>
      <c r="D1359" s="269">
        <f>IFERROR(100*$J1359/$J$5,NA())</f>
        <v/>
      </c>
      <c r="E1359" s="32">
        <f>IFERROR(IF(AND(ISNUMBER($A1359),N(IF(AND(AH!$U$12=1,1354+1=AH!$U$6),IF(AH!$U$4=0,"unavailable",INDEX('Market Data'!$AN$5:$AN$66,AH!$U$4)),IF(AH!$U$5=1,INDEX('Live History'!$B$5:$B$3004,$K1359),INDEX('AH History'!$D$5:$GG$1380,$K1359,AH!$U$10))))&gt;0),IF(AND(AH!$U$12=1,1354+1=AH!$U$6),IF(AH!$U$4=0,"unavailable",INDEX('Market Data'!$AN$5:$AN$66,AH!$U$4)),IF(AH!$U$5=1,INDEX('Live History'!$B$5:$B$3004,$K1359),INDEX('AH History'!$D$5:$GG$1380,$K1359,AH!$U$10))),NA()),NA())</f>
        <v/>
      </c>
      <c r="F1359" s="32">
        <f>IFERROR(IF(ISNUMBER($A1359),IF(AND(AH!$U$12=1,1354+1=AH!$U$6),IF(AH!$U$4=0,"unavailable",INDEX('Market Data'!$AO$5:$AO$66,AH!$U$4)),IF(AH!$U$5=1,INDEX('Live History'!$E$5:$E$3004,MATCH($A1359,'Live History'!$D$5:$D$3004,1)),INDEX('AH History'!$D$5:$GG$1380,$K1359,AH!$U$10+1))),NA()),NA())</f>
        <v/>
      </c>
      <c r="G1359" s="34">
        <f>IFERROR(IF(ISNUMBER($A1359),IF(AND(AH!$U$12=1,1354+1=AH!$U$6),IF(AH!$U$4=0,"unavailable",INDEX('Market Data'!$AK$5:$AK$66,AH!$U$4)),IF(AH!$U$5=1,INDEX('Live History'!$D$5:$D$3004,MATCH($A1359,'Live History'!$D$5:$D$3004,1)),INDEX('AH History'!$D$5:$GG$1380,$K1359,AH!$U$10+2))),NA()),NA())</f>
        <v/>
      </c>
      <c r="H1359" s="266">
        <f>IFERROR(IF(ISNUMBER($A1359),IF(AND(AH!$U$12=1,1354+1=AH!$U$6),IF(AH!$U$4=0,"unavailable",INDEX('Market Data'!$AP$5:$AP$66,AH!$U$4)),IF(AH!$U$5=1,INDEX('Live History'!$H$5:$H$3004,MATCH($A1359,'Live History'!$G$5:$G$3004,1)),INDEX('AH History'!$B$5:$B$1380,$K1359))),NA()),NA())</f>
        <v/>
      </c>
      <c r="I1359" s="34">
        <f>IFERROR(IF(ISNUMBER($A1359),IF(AND(AH!$U$12=1,1354+1=AH!$U$6),TODAY(),IF(AH!$U$5=1,INDEX('Live History'!$G$5:$G$3004,MATCH($A1359,'Live History'!$G$5:$G$3004,1)),INDEX('AH History'!$C$5:$C$1380,$K1359))),NA()),NA())</f>
        <v/>
      </c>
      <c r="J1359" s="32">
        <f>IFERROR(IF(AND($F1359&gt;0,$H1359&gt;0,$A1359-$G1359&lt;=10,$A1359-$I1359&lt;=5,$G1359&gt;0,$I1359&gt;0),$F1359*$H1359,NA()),NA())</f>
        <v/>
      </c>
      <c r="K1359" s="15">
        <f>IF($A1359="","",IF(AH!$U$5=1,IFERROR(MATCH($A1359,'Live History'!$A$5:$A$3004,0),0),AH!$U$7+1354))</f>
        <v/>
      </c>
      <c r="L1359" s="15">
        <f>IF(ISNUMBER(A1359),TEXT(A1359,"dd-mmm-yy"),"")</f>
        <v/>
      </c>
    </row>
    <row r="1360">
      <c r="A1360" s="14">
        <f>IF(OR(AH!$U$4=0,1355+1&gt;AH!$U$6,AND(AH!$M$5="Bloomberg",AH!$U$5=0)),"",IFERROR(IF(AND(AH!$U$12=1,1355+1=AH!$U$6),TODAY(),IF(AH!$U$5=1,INDEX('Live History'!$A$5:$A$3004,AH!$U$7+1355),INDEX('AH History'!$A$5:$A$1380,AH!$U$7+1355))),""))</f>
        <v/>
      </c>
      <c r="B1360" s="33">
        <f>IFERROR(IF(AH!$U$11=1,NA(),$J1360/$E1360-1),NA())</f>
        <v/>
      </c>
      <c r="C1360" s="269">
        <f>IFERROR(100*$E1360/$E$5,NA())</f>
        <v/>
      </c>
      <c r="D1360" s="269">
        <f>IFERROR(100*$J1360/$J$5,NA())</f>
        <v/>
      </c>
      <c r="E1360" s="32">
        <f>IFERROR(IF(AND(ISNUMBER($A1360),N(IF(AND(AH!$U$12=1,1355+1=AH!$U$6),IF(AH!$U$4=0,"unavailable",INDEX('Market Data'!$AN$5:$AN$66,AH!$U$4)),IF(AH!$U$5=1,INDEX('Live History'!$B$5:$B$3004,$K1360),INDEX('AH History'!$D$5:$GG$1380,$K1360,AH!$U$10))))&gt;0),IF(AND(AH!$U$12=1,1355+1=AH!$U$6),IF(AH!$U$4=0,"unavailable",INDEX('Market Data'!$AN$5:$AN$66,AH!$U$4)),IF(AH!$U$5=1,INDEX('Live History'!$B$5:$B$3004,$K1360),INDEX('AH History'!$D$5:$GG$1380,$K1360,AH!$U$10))),NA()),NA())</f>
        <v/>
      </c>
      <c r="F1360" s="32">
        <f>IFERROR(IF(ISNUMBER($A1360),IF(AND(AH!$U$12=1,1355+1=AH!$U$6),IF(AH!$U$4=0,"unavailable",INDEX('Market Data'!$AO$5:$AO$66,AH!$U$4)),IF(AH!$U$5=1,INDEX('Live History'!$E$5:$E$3004,MATCH($A1360,'Live History'!$D$5:$D$3004,1)),INDEX('AH History'!$D$5:$GG$1380,$K1360,AH!$U$10+1))),NA()),NA())</f>
        <v/>
      </c>
      <c r="G1360" s="34">
        <f>IFERROR(IF(ISNUMBER($A1360),IF(AND(AH!$U$12=1,1355+1=AH!$U$6),IF(AH!$U$4=0,"unavailable",INDEX('Market Data'!$AK$5:$AK$66,AH!$U$4)),IF(AH!$U$5=1,INDEX('Live History'!$D$5:$D$3004,MATCH($A1360,'Live History'!$D$5:$D$3004,1)),INDEX('AH History'!$D$5:$GG$1380,$K1360,AH!$U$10+2))),NA()),NA())</f>
        <v/>
      </c>
      <c r="H1360" s="266">
        <f>IFERROR(IF(ISNUMBER($A1360),IF(AND(AH!$U$12=1,1355+1=AH!$U$6),IF(AH!$U$4=0,"unavailable",INDEX('Market Data'!$AP$5:$AP$66,AH!$U$4)),IF(AH!$U$5=1,INDEX('Live History'!$H$5:$H$3004,MATCH($A1360,'Live History'!$G$5:$G$3004,1)),INDEX('AH History'!$B$5:$B$1380,$K1360))),NA()),NA())</f>
        <v/>
      </c>
      <c r="I1360" s="34">
        <f>IFERROR(IF(ISNUMBER($A1360),IF(AND(AH!$U$12=1,1355+1=AH!$U$6),TODAY(),IF(AH!$U$5=1,INDEX('Live History'!$G$5:$G$3004,MATCH($A1360,'Live History'!$G$5:$G$3004,1)),INDEX('AH History'!$C$5:$C$1380,$K1360))),NA()),NA())</f>
        <v/>
      </c>
      <c r="J1360" s="32">
        <f>IFERROR(IF(AND($F1360&gt;0,$H1360&gt;0,$A1360-$G1360&lt;=10,$A1360-$I1360&lt;=5,$G1360&gt;0,$I1360&gt;0),$F1360*$H1360,NA()),NA())</f>
        <v/>
      </c>
      <c r="K1360" s="15">
        <f>IF($A1360="","",IF(AH!$U$5=1,IFERROR(MATCH($A1360,'Live History'!$A$5:$A$3004,0),0),AH!$U$7+1355))</f>
        <v/>
      </c>
      <c r="L1360" s="15">
        <f>IF(ISNUMBER(A1360),TEXT(A1360,"dd-mmm-yy"),"")</f>
        <v/>
      </c>
    </row>
    <row r="1361">
      <c r="A1361" s="14">
        <f>IF(OR(AH!$U$4=0,1356+1&gt;AH!$U$6,AND(AH!$M$5="Bloomberg",AH!$U$5=0)),"",IFERROR(IF(AND(AH!$U$12=1,1356+1=AH!$U$6),TODAY(),IF(AH!$U$5=1,INDEX('Live History'!$A$5:$A$3004,AH!$U$7+1356),INDEX('AH History'!$A$5:$A$1380,AH!$U$7+1356))),""))</f>
        <v/>
      </c>
      <c r="B1361" s="33">
        <f>IFERROR(IF(AH!$U$11=1,NA(),$J1361/$E1361-1),NA())</f>
        <v/>
      </c>
      <c r="C1361" s="269">
        <f>IFERROR(100*$E1361/$E$5,NA())</f>
        <v/>
      </c>
      <c r="D1361" s="269">
        <f>IFERROR(100*$J1361/$J$5,NA())</f>
        <v/>
      </c>
      <c r="E1361" s="32">
        <f>IFERROR(IF(AND(ISNUMBER($A1361),N(IF(AND(AH!$U$12=1,1356+1=AH!$U$6),IF(AH!$U$4=0,"unavailable",INDEX('Market Data'!$AN$5:$AN$66,AH!$U$4)),IF(AH!$U$5=1,INDEX('Live History'!$B$5:$B$3004,$K1361),INDEX('AH History'!$D$5:$GG$1380,$K1361,AH!$U$10))))&gt;0),IF(AND(AH!$U$12=1,1356+1=AH!$U$6),IF(AH!$U$4=0,"unavailable",INDEX('Market Data'!$AN$5:$AN$66,AH!$U$4)),IF(AH!$U$5=1,INDEX('Live History'!$B$5:$B$3004,$K1361),INDEX('AH History'!$D$5:$GG$1380,$K1361,AH!$U$10))),NA()),NA())</f>
        <v/>
      </c>
      <c r="F1361" s="32">
        <f>IFERROR(IF(ISNUMBER($A1361),IF(AND(AH!$U$12=1,1356+1=AH!$U$6),IF(AH!$U$4=0,"unavailable",INDEX('Market Data'!$AO$5:$AO$66,AH!$U$4)),IF(AH!$U$5=1,INDEX('Live History'!$E$5:$E$3004,MATCH($A1361,'Live History'!$D$5:$D$3004,1)),INDEX('AH History'!$D$5:$GG$1380,$K1361,AH!$U$10+1))),NA()),NA())</f>
        <v/>
      </c>
      <c r="G1361" s="34">
        <f>IFERROR(IF(ISNUMBER($A1361),IF(AND(AH!$U$12=1,1356+1=AH!$U$6),IF(AH!$U$4=0,"unavailable",INDEX('Market Data'!$AK$5:$AK$66,AH!$U$4)),IF(AH!$U$5=1,INDEX('Live History'!$D$5:$D$3004,MATCH($A1361,'Live History'!$D$5:$D$3004,1)),INDEX('AH History'!$D$5:$GG$1380,$K1361,AH!$U$10+2))),NA()),NA())</f>
        <v/>
      </c>
      <c r="H1361" s="266">
        <f>IFERROR(IF(ISNUMBER($A1361),IF(AND(AH!$U$12=1,1356+1=AH!$U$6),IF(AH!$U$4=0,"unavailable",INDEX('Market Data'!$AP$5:$AP$66,AH!$U$4)),IF(AH!$U$5=1,INDEX('Live History'!$H$5:$H$3004,MATCH($A1361,'Live History'!$G$5:$G$3004,1)),INDEX('AH History'!$B$5:$B$1380,$K1361))),NA()),NA())</f>
        <v/>
      </c>
      <c r="I1361" s="34">
        <f>IFERROR(IF(ISNUMBER($A1361),IF(AND(AH!$U$12=1,1356+1=AH!$U$6),TODAY(),IF(AH!$U$5=1,INDEX('Live History'!$G$5:$G$3004,MATCH($A1361,'Live History'!$G$5:$G$3004,1)),INDEX('AH History'!$C$5:$C$1380,$K1361))),NA()),NA())</f>
        <v/>
      </c>
      <c r="J1361" s="32">
        <f>IFERROR(IF(AND($F1361&gt;0,$H1361&gt;0,$A1361-$G1361&lt;=10,$A1361-$I1361&lt;=5,$G1361&gt;0,$I1361&gt;0),$F1361*$H1361,NA()),NA())</f>
        <v/>
      </c>
      <c r="K1361" s="15">
        <f>IF($A1361="","",IF(AH!$U$5=1,IFERROR(MATCH($A1361,'Live History'!$A$5:$A$3004,0),0),AH!$U$7+1356))</f>
        <v/>
      </c>
      <c r="L1361" s="15">
        <f>IF(ISNUMBER(A1361),TEXT(A1361,"dd-mmm-yy"),"")</f>
        <v/>
      </c>
    </row>
    <row r="1362">
      <c r="A1362" s="14">
        <f>IF(OR(AH!$U$4=0,1357+1&gt;AH!$U$6,AND(AH!$M$5="Bloomberg",AH!$U$5=0)),"",IFERROR(IF(AND(AH!$U$12=1,1357+1=AH!$U$6),TODAY(),IF(AH!$U$5=1,INDEX('Live History'!$A$5:$A$3004,AH!$U$7+1357),INDEX('AH History'!$A$5:$A$1380,AH!$U$7+1357))),""))</f>
        <v/>
      </c>
      <c r="B1362" s="33">
        <f>IFERROR(IF(AH!$U$11=1,NA(),$J1362/$E1362-1),NA())</f>
        <v/>
      </c>
      <c r="C1362" s="269">
        <f>IFERROR(100*$E1362/$E$5,NA())</f>
        <v/>
      </c>
      <c r="D1362" s="269">
        <f>IFERROR(100*$J1362/$J$5,NA())</f>
        <v/>
      </c>
      <c r="E1362" s="32">
        <f>IFERROR(IF(AND(ISNUMBER($A1362),N(IF(AND(AH!$U$12=1,1357+1=AH!$U$6),IF(AH!$U$4=0,"unavailable",INDEX('Market Data'!$AN$5:$AN$66,AH!$U$4)),IF(AH!$U$5=1,INDEX('Live History'!$B$5:$B$3004,$K1362),INDEX('AH History'!$D$5:$GG$1380,$K1362,AH!$U$10))))&gt;0),IF(AND(AH!$U$12=1,1357+1=AH!$U$6),IF(AH!$U$4=0,"unavailable",INDEX('Market Data'!$AN$5:$AN$66,AH!$U$4)),IF(AH!$U$5=1,INDEX('Live History'!$B$5:$B$3004,$K1362),INDEX('AH History'!$D$5:$GG$1380,$K1362,AH!$U$10))),NA()),NA())</f>
        <v/>
      </c>
      <c r="F1362" s="32">
        <f>IFERROR(IF(ISNUMBER($A1362),IF(AND(AH!$U$12=1,1357+1=AH!$U$6),IF(AH!$U$4=0,"unavailable",INDEX('Market Data'!$AO$5:$AO$66,AH!$U$4)),IF(AH!$U$5=1,INDEX('Live History'!$E$5:$E$3004,MATCH($A1362,'Live History'!$D$5:$D$3004,1)),INDEX('AH History'!$D$5:$GG$1380,$K1362,AH!$U$10+1))),NA()),NA())</f>
        <v/>
      </c>
      <c r="G1362" s="34">
        <f>IFERROR(IF(ISNUMBER($A1362),IF(AND(AH!$U$12=1,1357+1=AH!$U$6),IF(AH!$U$4=0,"unavailable",INDEX('Market Data'!$AK$5:$AK$66,AH!$U$4)),IF(AH!$U$5=1,INDEX('Live History'!$D$5:$D$3004,MATCH($A1362,'Live History'!$D$5:$D$3004,1)),INDEX('AH History'!$D$5:$GG$1380,$K1362,AH!$U$10+2))),NA()),NA())</f>
        <v/>
      </c>
      <c r="H1362" s="266">
        <f>IFERROR(IF(ISNUMBER($A1362),IF(AND(AH!$U$12=1,1357+1=AH!$U$6),IF(AH!$U$4=0,"unavailable",INDEX('Market Data'!$AP$5:$AP$66,AH!$U$4)),IF(AH!$U$5=1,INDEX('Live History'!$H$5:$H$3004,MATCH($A1362,'Live History'!$G$5:$G$3004,1)),INDEX('AH History'!$B$5:$B$1380,$K1362))),NA()),NA())</f>
        <v/>
      </c>
      <c r="I1362" s="34">
        <f>IFERROR(IF(ISNUMBER($A1362),IF(AND(AH!$U$12=1,1357+1=AH!$U$6),TODAY(),IF(AH!$U$5=1,INDEX('Live History'!$G$5:$G$3004,MATCH($A1362,'Live History'!$G$5:$G$3004,1)),INDEX('AH History'!$C$5:$C$1380,$K1362))),NA()),NA())</f>
        <v/>
      </c>
      <c r="J1362" s="32">
        <f>IFERROR(IF(AND($F1362&gt;0,$H1362&gt;0,$A1362-$G1362&lt;=10,$A1362-$I1362&lt;=5,$G1362&gt;0,$I1362&gt;0),$F1362*$H1362,NA()),NA())</f>
        <v/>
      </c>
      <c r="K1362" s="15">
        <f>IF($A1362="","",IF(AH!$U$5=1,IFERROR(MATCH($A1362,'Live History'!$A$5:$A$3004,0),0),AH!$U$7+1357))</f>
        <v/>
      </c>
      <c r="L1362" s="15">
        <f>IF(ISNUMBER(A1362),TEXT(A1362,"dd-mmm-yy"),"")</f>
        <v/>
      </c>
    </row>
    <row r="1363">
      <c r="A1363" s="14">
        <f>IF(OR(AH!$U$4=0,1358+1&gt;AH!$U$6,AND(AH!$M$5="Bloomberg",AH!$U$5=0)),"",IFERROR(IF(AND(AH!$U$12=1,1358+1=AH!$U$6),TODAY(),IF(AH!$U$5=1,INDEX('Live History'!$A$5:$A$3004,AH!$U$7+1358),INDEX('AH History'!$A$5:$A$1380,AH!$U$7+1358))),""))</f>
        <v/>
      </c>
      <c r="B1363" s="33">
        <f>IFERROR(IF(AH!$U$11=1,NA(),$J1363/$E1363-1),NA())</f>
        <v/>
      </c>
      <c r="C1363" s="269">
        <f>IFERROR(100*$E1363/$E$5,NA())</f>
        <v/>
      </c>
      <c r="D1363" s="269">
        <f>IFERROR(100*$J1363/$J$5,NA())</f>
        <v/>
      </c>
      <c r="E1363" s="32">
        <f>IFERROR(IF(AND(ISNUMBER($A1363),N(IF(AND(AH!$U$12=1,1358+1=AH!$U$6),IF(AH!$U$4=0,"unavailable",INDEX('Market Data'!$AN$5:$AN$66,AH!$U$4)),IF(AH!$U$5=1,INDEX('Live History'!$B$5:$B$3004,$K1363),INDEX('AH History'!$D$5:$GG$1380,$K1363,AH!$U$10))))&gt;0),IF(AND(AH!$U$12=1,1358+1=AH!$U$6),IF(AH!$U$4=0,"unavailable",INDEX('Market Data'!$AN$5:$AN$66,AH!$U$4)),IF(AH!$U$5=1,INDEX('Live History'!$B$5:$B$3004,$K1363),INDEX('AH History'!$D$5:$GG$1380,$K1363,AH!$U$10))),NA()),NA())</f>
        <v/>
      </c>
      <c r="F1363" s="32">
        <f>IFERROR(IF(ISNUMBER($A1363),IF(AND(AH!$U$12=1,1358+1=AH!$U$6),IF(AH!$U$4=0,"unavailable",INDEX('Market Data'!$AO$5:$AO$66,AH!$U$4)),IF(AH!$U$5=1,INDEX('Live History'!$E$5:$E$3004,MATCH($A1363,'Live History'!$D$5:$D$3004,1)),INDEX('AH History'!$D$5:$GG$1380,$K1363,AH!$U$10+1))),NA()),NA())</f>
        <v/>
      </c>
      <c r="G1363" s="34">
        <f>IFERROR(IF(ISNUMBER($A1363),IF(AND(AH!$U$12=1,1358+1=AH!$U$6),IF(AH!$U$4=0,"unavailable",INDEX('Market Data'!$AK$5:$AK$66,AH!$U$4)),IF(AH!$U$5=1,INDEX('Live History'!$D$5:$D$3004,MATCH($A1363,'Live History'!$D$5:$D$3004,1)),INDEX('AH History'!$D$5:$GG$1380,$K1363,AH!$U$10+2))),NA()),NA())</f>
        <v/>
      </c>
      <c r="H1363" s="266">
        <f>IFERROR(IF(ISNUMBER($A1363),IF(AND(AH!$U$12=1,1358+1=AH!$U$6),IF(AH!$U$4=0,"unavailable",INDEX('Market Data'!$AP$5:$AP$66,AH!$U$4)),IF(AH!$U$5=1,INDEX('Live History'!$H$5:$H$3004,MATCH($A1363,'Live History'!$G$5:$G$3004,1)),INDEX('AH History'!$B$5:$B$1380,$K1363))),NA()),NA())</f>
        <v/>
      </c>
      <c r="I1363" s="34">
        <f>IFERROR(IF(ISNUMBER($A1363),IF(AND(AH!$U$12=1,1358+1=AH!$U$6),TODAY(),IF(AH!$U$5=1,INDEX('Live History'!$G$5:$G$3004,MATCH($A1363,'Live History'!$G$5:$G$3004,1)),INDEX('AH History'!$C$5:$C$1380,$K1363))),NA()),NA())</f>
        <v/>
      </c>
      <c r="J1363" s="32">
        <f>IFERROR(IF(AND($F1363&gt;0,$H1363&gt;0,$A1363-$G1363&lt;=10,$A1363-$I1363&lt;=5,$G1363&gt;0,$I1363&gt;0),$F1363*$H1363,NA()),NA())</f>
        <v/>
      </c>
      <c r="K1363" s="15">
        <f>IF($A1363="","",IF(AH!$U$5=1,IFERROR(MATCH($A1363,'Live History'!$A$5:$A$3004,0),0),AH!$U$7+1358))</f>
        <v/>
      </c>
      <c r="L1363" s="15">
        <f>IF(ISNUMBER(A1363),TEXT(A1363,"dd-mmm-yy"),"")</f>
        <v/>
      </c>
    </row>
    <row r="1364">
      <c r="A1364" s="14">
        <f>IF(OR(AH!$U$4=0,1359+1&gt;AH!$U$6,AND(AH!$M$5="Bloomberg",AH!$U$5=0)),"",IFERROR(IF(AND(AH!$U$12=1,1359+1=AH!$U$6),TODAY(),IF(AH!$U$5=1,INDEX('Live History'!$A$5:$A$3004,AH!$U$7+1359),INDEX('AH History'!$A$5:$A$1380,AH!$U$7+1359))),""))</f>
        <v/>
      </c>
      <c r="B1364" s="33">
        <f>IFERROR(IF(AH!$U$11=1,NA(),$J1364/$E1364-1),NA())</f>
        <v/>
      </c>
      <c r="C1364" s="269">
        <f>IFERROR(100*$E1364/$E$5,NA())</f>
        <v/>
      </c>
      <c r="D1364" s="269">
        <f>IFERROR(100*$J1364/$J$5,NA())</f>
        <v/>
      </c>
      <c r="E1364" s="32">
        <f>IFERROR(IF(AND(ISNUMBER($A1364),N(IF(AND(AH!$U$12=1,1359+1=AH!$U$6),IF(AH!$U$4=0,"unavailable",INDEX('Market Data'!$AN$5:$AN$66,AH!$U$4)),IF(AH!$U$5=1,INDEX('Live History'!$B$5:$B$3004,$K1364),INDEX('AH History'!$D$5:$GG$1380,$K1364,AH!$U$10))))&gt;0),IF(AND(AH!$U$12=1,1359+1=AH!$U$6),IF(AH!$U$4=0,"unavailable",INDEX('Market Data'!$AN$5:$AN$66,AH!$U$4)),IF(AH!$U$5=1,INDEX('Live History'!$B$5:$B$3004,$K1364),INDEX('AH History'!$D$5:$GG$1380,$K1364,AH!$U$10))),NA()),NA())</f>
        <v/>
      </c>
      <c r="F1364" s="32">
        <f>IFERROR(IF(ISNUMBER($A1364),IF(AND(AH!$U$12=1,1359+1=AH!$U$6),IF(AH!$U$4=0,"unavailable",INDEX('Market Data'!$AO$5:$AO$66,AH!$U$4)),IF(AH!$U$5=1,INDEX('Live History'!$E$5:$E$3004,MATCH($A1364,'Live History'!$D$5:$D$3004,1)),INDEX('AH History'!$D$5:$GG$1380,$K1364,AH!$U$10+1))),NA()),NA())</f>
        <v/>
      </c>
      <c r="G1364" s="34">
        <f>IFERROR(IF(ISNUMBER($A1364),IF(AND(AH!$U$12=1,1359+1=AH!$U$6),IF(AH!$U$4=0,"unavailable",INDEX('Market Data'!$AK$5:$AK$66,AH!$U$4)),IF(AH!$U$5=1,INDEX('Live History'!$D$5:$D$3004,MATCH($A1364,'Live History'!$D$5:$D$3004,1)),INDEX('AH History'!$D$5:$GG$1380,$K1364,AH!$U$10+2))),NA()),NA())</f>
        <v/>
      </c>
      <c r="H1364" s="266">
        <f>IFERROR(IF(ISNUMBER($A1364),IF(AND(AH!$U$12=1,1359+1=AH!$U$6),IF(AH!$U$4=0,"unavailable",INDEX('Market Data'!$AP$5:$AP$66,AH!$U$4)),IF(AH!$U$5=1,INDEX('Live History'!$H$5:$H$3004,MATCH($A1364,'Live History'!$G$5:$G$3004,1)),INDEX('AH History'!$B$5:$B$1380,$K1364))),NA()),NA())</f>
        <v/>
      </c>
      <c r="I1364" s="34">
        <f>IFERROR(IF(ISNUMBER($A1364),IF(AND(AH!$U$12=1,1359+1=AH!$U$6),TODAY(),IF(AH!$U$5=1,INDEX('Live History'!$G$5:$G$3004,MATCH($A1364,'Live History'!$G$5:$G$3004,1)),INDEX('AH History'!$C$5:$C$1380,$K1364))),NA()),NA())</f>
        <v/>
      </c>
      <c r="J1364" s="32">
        <f>IFERROR(IF(AND($F1364&gt;0,$H1364&gt;0,$A1364-$G1364&lt;=10,$A1364-$I1364&lt;=5,$G1364&gt;0,$I1364&gt;0),$F1364*$H1364,NA()),NA())</f>
        <v/>
      </c>
      <c r="K1364" s="15">
        <f>IF($A1364="","",IF(AH!$U$5=1,IFERROR(MATCH($A1364,'Live History'!$A$5:$A$3004,0),0),AH!$U$7+1359))</f>
        <v/>
      </c>
      <c r="L1364" s="15">
        <f>IF(ISNUMBER(A1364),TEXT(A1364,"dd-mmm-yy"),"")</f>
        <v/>
      </c>
    </row>
    <row r="1365">
      <c r="A1365" s="14">
        <f>IF(OR(AH!$U$4=0,1360+1&gt;AH!$U$6,AND(AH!$M$5="Bloomberg",AH!$U$5=0)),"",IFERROR(IF(AND(AH!$U$12=1,1360+1=AH!$U$6),TODAY(),IF(AH!$U$5=1,INDEX('Live History'!$A$5:$A$3004,AH!$U$7+1360),INDEX('AH History'!$A$5:$A$1380,AH!$U$7+1360))),""))</f>
        <v/>
      </c>
      <c r="B1365" s="33">
        <f>IFERROR(IF(AH!$U$11=1,NA(),$J1365/$E1365-1),NA())</f>
        <v/>
      </c>
      <c r="C1365" s="269">
        <f>IFERROR(100*$E1365/$E$5,NA())</f>
        <v/>
      </c>
      <c r="D1365" s="269">
        <f>IFERROR(100*$J1365/$J$5,NA())</f>
        <v/>
      </c>
      <c r="E1365" s="32">
        <f>IFERROR(IF(AND(ISNUMBER($A1365),N(IF(AND(AH!$U$12=1,1360+1=AH!$U$6),IF(AH!$U$4=0,"unavailable",INDEX('Market Data'!$AN$5:$AN$66,AH!$U$4)),IF(AH!$U$5=1,INDEX('Live History'!$B$5:$B$3004,$K1365),INDEX('AH History'!$D$5:$GG$1380,$K1365,AH!$U$10))))&gt;0),IF(AND(AH!$U$12=1,1360+1=AH!$U$6),IF(AH!$U$4=0,"unavailable",INDEX('Market Data'!$AN$5:$AN$66,AH!$U$4)),IF(AH!$U$5=1,INDEX('Live History'!$B$5:$B$3004,$K1365),INDEX('AH History'!$D$5:$GG$1380,$K1365,AH!$U$10))),NA()),NA())</f>
        <v/>
      </c>
      <c r="F1365" s="32">
        <f>IFERROR(IF(ISNUMBER($A1365),IF(AND(AH!$U$12=1,1360+1=AH!$U$6),IF(AH!$U$4=0,"unavailable",INDEX('Market Data'!$AO$5:$AO$66,AH!$U$4)),IF(AH!$U$5=1,INDEX('Live History'!$E$5:$E$3004,MATCH($A1365,'Live History'!$D$5:$D$3004,1)),INDEX('AH History'!$D$5:$GG$1380,$K1365,AH!$U$10+1))),NA()),NA())</f>
        <v/>
      </c>
      <c r="G1365" s="34">
        <f>IFERROR(IF(ISNUMBER($A1365),IF(AND(AH!$U$12=1,1360+1=AH!$U$6),IF(AH!$U$4=0,"unavailable",INDEX('Market Data'!$AK$5:$AK$66,AH!$U$4)),IF(AH!$U$5=1,INDEX('Live History'!$D$5:$D$3004,MATCH($A1365,'Live History'!$D$5:$D$3004,1)),INDEX('AH History'!$D$5:$GG$1380,$K1365,AH!$U$10+2))),NA()),NA())</f>
        <v/>
      </c>
      <c r="H1365" s="266">
        <f>IFERROR(IF(ISNUMBER($A1365),IF(AND(AH!$U$12=1,1360+1=AH!$U$6),IF(AH!$U$4=0,"unavailable",INDEX('Market Data'!$AP$5:$AP$66,AH!$U$4)),IF(AH!$U$5=1,INDEX('Live History'!$H$5:$H$3004,MATCH($A1365,'Live History'!$G$5:$G$3004,1)),INDEX('AH History'!$B$5:$B$1380,$K1365))),NA()),NA())</f>
        <v/>
      </c>
      <c r="I1365" s="34">
        <f>IFERROR(IF(ISNUMBER($A1365),IF(AND(AH!$U$12=1,1360+1=AH!$U$6),TODAY(),IF(AH!$U$5=1,INDEX('Live History'!$G$5:$G$3004,MATCH($A1365,'Live History'!$G$5:$G$3004,1)),INDEX('AH History'!$C$5:$C$1380,$K1365))),NA()),NA())</f>
        <v/>
      </c>
      <c r="J1365" s="32">
        <f>IFERROR(IF(AND($F1365&gt;0,$H1365&gt;0,$A1365-$G1365&lt;=10,$A1365-$I1365&lt;=5,$G1365&gt;0,$I1365&gt;0),$F1365*$H1365,NA()),NA())</f>
        <v/>
      </c>
      <c r="K1365" s="15">
        <f>IF($A1365="","",IF(AH!$U$5=1,IFERROR(MATCH($A1365,'Live History'!$A$5:$A$3004,0),0),AH!$U$7+1360))</f>
        <v/>
      </c>
      <c r="L1365" s="15">
        <f>IF(ISNUMBER(A1365),TEXT(A1365,"dd-mmm-yy"),"")</f>
        <v/>
      </c>
    </row>
    <row r="1366">
      <c r="A1366" s="14">
        <f>IF(OR(AH!$U$4=0,1361+1&gt;AH!$U$6,AND(AH!$M$5="Bloomberg",AH!$U$5=0)),"",IFERROR(IF(AND(AH!$U$12=1,1361+1=AH!$U$6),TODAY(),IF(AH!$U$5=1,INDEX('Live History'!$A$5:$A$3004,AH!$U$7+1361),INDEX('AH History'!$A$5:$A$1380,AH!$U$7+1361))),""))</f>
        <v/>
      </c>
      <c r="B1366" s="33">
        <f>IFERROR(IF(AH!$U$11=1,NA(),$J1366/$E1366-1),NA())</f>
        <v/>
      </c>
      <c r="C1366" s="269">
        <f>IFERROR(100*$E1366/$E$5,NA())</f>
        <v/>
      </c>
      <c r="D1366" s="269">
        <f>IFERROR(100*$J1366/$J$5,NA())</f>
        <v/>
      </c>
      <c r="E1366" s="32">
        <f>IFERROR(IF(AND(ISNUMBER($A1366),N(IF(AND(AH!$U$12=1,1361+1=AH!$U$6),IF(AH!$U$4=0,"unavailable",INDEX('Market Data'!$AN$5:$AN$66,AH!$U$4)),IF(AH!$U$5=1,INDEX('Live History'!$B$5:$B$3004,$K1366),INDEX('AH History'!$D$5:$GG$1380,$K1366,AH!$U$10))))&gt;0),IF(AND(AH!$U$12=1,1361+1=AH!$U$6),IF(AH!$U$4=0,"unavailable",INDEX('Market Data'!$AN$5:$AN$66,AH!$U$4)),IF(AH!$U$5=1,INDEX('Live History'!$B$5:$B$3004,$K1366),INDEX('AH History'!$D$5:$GG$1380,$K1366,AH!$U$10))),NA()),NA())</f>
        <v/>
      </c>
      <c r="F1366" s="32">
        <f>IFERROR(IF(ISNUMBER($A1366),IF(AND(AH!$U$12=1,1361+1=AH!$U$6),IF(AH!$U$4=0,"unavailable",INDEX('Market Data'!$AO$5:$AO$66,AH!$U$4)),IF(AH!$U$5=1,INDEX('Live History'!$E$5:$E$3004,MATCH($A1366,'Live History'!$D$5:$D$3004,1)),INDEX('AH History'!$D$5:$GG$1380,$K1366,AH!$U$10+1))),NA()),NA())</f>
        <v/>
      </c>
      <c r="G1366" s="34">
        <f>IFERROR(IF(ISNUMBER($A1366),IF(AND(AH!$U$12=1,1361+1=AH!$U$6),IF(AH!$U$4=0,"unavailable",INDEX('Market Data'!$AK$5:$AK$66,AH!$U$4)),IF(AH!$U$5=1,INDEX('Live History'!$D$5:$D$3004,MATCH($A1366,'Live History'!$D$5:$D$3004,1)),INDEX('AH History'!$D$5:$GG$1380,$K1366,AH!$U$10+2))),NA()),NA())</f>
        <v/>
      </c>
      <c r="H1366" s="266">
        <f>IFERROR(IF(ISNUMBER($A1366),IF(AND(AH!$U$12=1,1361+1=AH!$U$6),IF(AH!$U$4=0,"unavailable",INDEX('Market Data'!$AP$5:$AP$66,AH!$U$4)),IF(AH!$U$5=1,INDEX('Live History'!$H$5:$H$3004,MATCH($A1366,'Live History'!$G$5:$G$3004,1)),INDEX('AH History'!$B$5:$B$1380,$K1366))),NA()),NA())</f>
        <v/>
      </c>
      <c r="I1366" s="34">
        <f>IFERROR(IF(ISNUMBER($A1366),IF(AND(AH!$U$12=1,1361+1=AH!$U$6),TODAY(),IF(AH!$U$5=1,INDEX('Live History'!$G$5:$G$3004,MATCH($A1366,'Live History'!$G$5:$G$3004,1)),INDEX('AH History'!$C$5:$C$1380,$K1366))),NA()),NA())</f>
        <v/>
      </c>
      <c r="J1366" s="32">
        <f>IFERROR(IF(AND($F1366&gt;0,$H1366&gt;0,$A1366-$G1366&lt;=10,$A1366-$I1366&lt;=5,$G1366&gt;0,$I1366&gt;0),$F1366*$H1366,NA()),NA())</f>
        <v/>
      </c>
      <c r="K1366" s="15">
        <f>IF($A1366="","",IF(AH!$U$5=1,IFERROR(MATCH($A1366,'Live History'!$A$5:$A$3004,0),0),AH!$U$7+1361))</f>
        <v/>
      </c>
      <c r="L1366" s="15">
        <f>IF(ISNUMBER(A1366),TEXT(A1366,"dd-mmm-yy"),"")</f>
        <v/>
      </c>
    </row>
    <row r="1367">
      <c r="A1367" s="14">
        <f>IF(OR(AH!$U$4=0,1362+1&gt;AH!$U$6,AND(AH!$M$5="Bloomberg",AH!$U$5=0)),"",IFERROR(IF(AND(AH!$U$12=1,1362+1=AH!$U$6),TODAY(),IF(AH!$U$5=1,INDEX('Live History'!$A$5:$A$3004,AH!$U$7+1362),INDEX('AH History'!$A$5:$A$1380,AH!$U$7+1362))),""))</f>
        <v/>
      </c>
      <c r="B1367" s="33">
        <f>IFERROR(IF(AH!$U$11=1,NA(),$J1367/$E1367-1),NA())</f>
        <v/>
      </c>
      <c r="C1367" s="269">
        <f>IFERROR(100*$E1367/$E$5,NA())</f>
        <v/>
      </c>
      <c r="D1367" s="269">
        <f>IFERROR(100*$J1367/$J$5,NA())</f>
        <v/>
      </c>
      <c r="E1367" s="32">
        <f>IFERROR(IF(AND(ISNUMBER($A1367),N(IF(AND(AH!$U$12=1,1362+1=AH!$U$6),IF(AH!$U$4=0,"unavailable",INDEX('Market Data'!$AN$5:$AN$66,AH!$U$4)),IF(AH!$U$5=1,INDEX('Live History'!$B$5:$B$3004,$K1367),INDEX('AH History'!$D$5:$GG$1380,$K1367,AH!$U$10))))&gt;0),IF(AND(AH!$U$12=1,1362+1=AH!$U$6),IF(AH!$U$4=0,"unavailable",INDEX('Market Data'!$AN$5:$AN$66,AH!$U$4)),IF(AH!$U$5=1,INDEX('Live History'!$B$5:$B$3004,$K1367),INDEX('AH History'!$D$5:$GG$1380,$K1367,AH!$U$10))),NA()),NA())</f>
        <v/>
      </c>
      <c r="F1367" s="32">
        <f>IFERROR(IF(ISNUMBER($A1367),IF(AND(AH!$U$12=1,1362+1=AH!$U$6),IF(AH!$U$4=0,"unavailable",INDEX('Market Data'!$AO$5:$AO$66,AH!$U$4)),IF(AH!$U$5=1,INDEX('Live History'!$E$5:$E$3004,MATCH($A1367,'Live History'!$D$5:$D$3004,1)),INDEX('AH History'!$D$5:$GG$1380,$K1367,AH!$U$10+1))),NA()),NA())</f>
        <v/>
      </c>
      <c r="G1367" s="34">
        <f>IFERROR(IF(ISNUMBER($A1367),IF(AND(AH!$U$12=1,1362+1=AH!$U$6),IF(AH!$U$4=0,"unavailable",INDEX('Market Data'!$AK$5:$AK$66,AH!$U$4)),IF(AH!$U$5=1,INDEX('Live History'!$D$5:$D$3004,MATCH($A1367,'Live History'!$D$5:$D$3004,1)),INDEX('AH History'!$D$5:$GG$1380,$K1367,AH!$U$10+2))),NA()),NA())</f>
        <v/>
      </c>
      <c r="H1367" s="266">
        <f>IFERROR(IF(ISNUMBER($A1367),IF(AND(AH!$U$12=1,1362+1=AH!$U$6),IF(AH!$U$4=0,"unavailable",INDEX('Market Data'!$AP$5:$AP$66,AH!$U$4)),IF(AH!$U$5=1,INDEX('Live History'!$H$5:$H$3004,MATCH($A1367,'Live History'!$G$5:$G$3004,1)),INDEX('AH History'!$B$5:$B$1380,$K1367))),NA()),NA())</f>
        <v/>
      </c>
      <c r="I1367" s="34">
        <f>IFERROR(IF(ISNUMBER($A1367),IF(AND(AH!$U$12=1,1362+1=AH!$U$6),TODAY(),IF(AH!$U$5=1,INDEX('Live History'!$G$5:$G$3004,MATCH($A1367,'Live History'!$G$5:$G$3004,1)),INDEX('AH History'!$C$5:$C$1380,$K1367))),NA()),NA())</f>
        <v/>
      </c>
      <c r="J1367" s="32">
        <f>IFERROR(IF(AND($F1367&gt;0,$H1367&gt;0,$A1367-$G1367&lt;=10,$A1367-$I1367&lt;=5,$G1367&gt;0,$I1367&gt;0),$F1367*$H1367,NA()),NA())</f>
        <v/>
      </c>
      <c r="K1367" s="15">
        <f>IF($A1367="","",IF(AH!$U$5=1,IFERROR(MATCH($A1367,'Live History'!$A$5:$A$3004,0),0),AH!$U$7+1362))</f>
        <v/>
      </c>
      <c r="L1367" s="15">
        <f>IF(ISNUMBER(A1367),TEXT(A1367,"dd-mmm-yy"),"")</f>
        <v/>
      </c>
    </row>
    <row r="1368">
      <c r="A1368" s="14">
        <f>IF(OR(AH!$U$4=0,1363+1&gt;AH!$U$6,AND(AH!$M$5="Bloomberg",AH!$U$5=0)),"",IFERROR(IF(AND(AH!$U$12=1,1363+1=AH!$U$6),TODAY(),IF(AH!$U$5=1,INDEX('Live History'!$A$5:$A$3004,AH!$U$7+1363),INDEX('AH History'!$A$5:$A$1380,AH!$U$7+1363))),""))</f>
        <v/>
      </c>
      <c r="B1368" s="33">
        <f>IFERROR(IF(AH!$U$11=1,NA(),$J1368/$E1368-1),NA())</f>
        <v/>
      </c>
      <c r="C1368" s="269">
        <f>IFERROR(100*$E1368/$E$5,NA())</f>
        <v/>
      </c>
      <c r="D1368" s="269">
        <f>IFERROR(100*$J1368/$J$5,NA())</f>
        <v/>
      </c>
      <c r="E1368" s="32">
        <f>IFERROR(IF(AND(ISNUMBER($A1368),N(IF(AND(AH!$U$12=1,1363+1=AH!$U$6),IF(AH!$U$4=0,"unavailable",INDEX('Market Data'!$AN$5:$AN$66,AH!$U$4)),IF(AH!$U$5=1,INDEX('Live History'!$B$5:$B$3004,$K1368),INDEX('AH History'!$D$5:$GG$1380,$K1368,AH!$U$10))))&gt;0),IF(AND(AH!$U$12=1,1363+1=AH!$U$6),IF(AH!$U$4=0,"unavailable",INDEX('Market Data'!$AN$5:$AN$66,AH!$U$4)),IF(AH!$U$5=1,INDEX('Live History'!$B$5:$B$3004,$K1368),INDEX('AH History'!$D$5:$GG$1380,$K1368,AH!$U$10))),NA()),NA())</f>
        <v/>
      </c>
      <c r="F1368" s="32">
        <f>IFERROR(IF(ISNUMBER($A1368),IF(AND(AH!$U$12=1,1363+1=AH!$U$6),IF(AH!$U$4=0,"unavailable",INDEX('Market Data'!$AO$5:$AO$66,AH!$U$4)),IF(AH!$U$5=1,INDEX('Live History'!$E$5:$E$3004,MATCH($A1368,'Live History'!$D$5:$D$3004,1)),INDEX('AH History'!$D$5:$GG$1380,$K1368,AH!$U$10+1))),NA()),NA())</f>
        <v/>
      </c>
      <c r="G1368" s="34">
        <f>IFERROR(IF(ISNUMBER($A1368),IF(AND(AH!$U$12=1,1363+1=AH!$U$6),IF(AH!$U$4=0,"unavailable",INDEX('Market Data'!$AK$5:$AK$66,AH!$U$4)),IF(AH!$U$5=1,INDEX('Live History'!$D$5:$D$3004,MATCH($A1368,'Live History'!$D$5:$D$3004,1)),INDEX('AH History'!$D$5:$GG$1380,$K1368,AH!$U$10+2))),NA()),NA())</f>
        <v/>
      </c>
      <c r="H1368" s="266">
        <f>IFERROR(IF(ISNUMBER($A1368),IF(AND(AH!$U$12=1,1363+1=AH!$U$6),IF(AH!$U$4=0,"unavailable",INDEX('Market Data'!$AP$5:$AP$66,AH!$U$4)),IF(AH!$U$5=1,INDEX('Live History'!$H$5:$H$3004,MATCH($A1368,'Live History'!$G$5:$G$3004,1)),INDEX('AH History'!$B$5:$B$1380,$K1368))),NA()),NA())</f>
        <v/>
      </c>
      <c r="I1368" s="34">
        <f>IFERROR(IF(ISNUMBER($A1368),IF(AND(AH!$U$12=1,1363+1=AH!$U$6),TODAY(),IF(AH!$U$5=1,INDEX('Live History'!$G$5:$G$3004,MATCH($A1368,'Live History'!$G$5:$G$3004,1)),INDEX('AH History'!$C$5:$C$1380,$K1368))),NA()),NA())</f>
        <v/>
      </c>
      <c r="J1368" s="32">
        <f>IFERROR(IF(AND($F1368&gt;0,$H1368&gt;0,$A1368-$G1368&lt;=10,$A1368-$I1368&lt;=5,$G1368&gt;0,$I1368&gt;0),$F1368*$H1368,NA()),NA())</f>
        <v/>
      </c>
      <c r="K1368" s="15">
        <f>IF($A1368="","",IF(AH!$U$5=1,IFERROR(MATCH($A1368,'Live History'!$A$5:$A$3004,0),0),AH!$U$7+1363))</f>
        <v/>
      </c>
      <c r="L1368" s="15">
        <f>IF(ISNUMBER(A1368),TEXT(A1368,"dd-mmm-yy"),"")</f>
        <v/>
      </c>
    </row>
    <row r="1369">
      <c r="A1369" s="14">
        <f>IF(OR(AH!$U$4=0,1364+1&gt;AH!$U$6,AND(AH!$M$5="Bloomberg",AH!$U$5=0)),"",IFERROR(IF(AND(AH!$U$12=1,1364+1=AH!$U$6),TODAY(),IF(AH!$U$5=1,INDEX('Live History'!$A$5:$A$3004,AH!$U$7+1364),INDEX('AH History'!$A$5:$A$1380,AH!$U$7+1364))),""))</f>
        <v/>
      </c>
      <c r="B1369" s="33">
        <f>IFERROR(IF(AH!$U$11=1,NA(),$J1369/$E1369-1),NA())</f>
        <v/>
      </c>
      <c r="C1369" s="269">
        <f>IFERROR(100*$E1369/$E$5,NA())</f>
        <v/>
      </c>
      <c r="D1369" s="269">
        <f>IFERROR(100*$J1369/$J$5,NA())</f>
        <v/>
      </c>
      <c r="E1369" s="32">
        <f>IFERROR(IF(AND(ISNUMBER($A1369),N(IF(AND(AH!$U$12=1,1364+1=AH!$U$6),IF(AH!$U$4=0,"unavailable",INDEX('Market Data'!$AN$5:$AN$66,AH!$U$4)),IF(AH!$U$5=1,INDEX('Live History'!$B$5:$B$3004,$K1369),INDEX('AH History'!$D$5:$GG$1380,$K1369,AH!$U$10))))&gt;0),IF(AND(AH!$U$12=1,1364+1=AH!$U$6),IF(AH!$U$4=0,"unavailable",INDEX('Market Data'!$AN$5:$AN$66,AH!$U$4)),IF(AH!$U$5=1,INDEX('Live History'!$B$5:$B$3004,$K1369),INDEX('AH History'!$D$5:$GG$1380,$K1369,AH!$U$10))),NA()),NA())</f>
        <v/>
      </c>
      <c r="F1369" s="32">
        <f>IFERROR(IF(ISNUMBER($A1369),IF(AND(AH!$U$12=1,1364+1=AH!$U$6),IF(AH!$U$4=0,"unavailable",INDEX('Market Data'!$AO$5:$AO$66,AH!$U$4)),IF(AH!$U$5=1,INDEX('Live History'!$E$5:$E$3004,MATCH($A1369,'Live History'!$D$5:$D$3004,1)),INDEX('AH History'!$D$5:$GG$1380,$K1369,AH!$U$10+1))),NA()),NA())</f>
        <v/>
      </c>
      <c r="G1369" s="34">
        <f>IFERROR(IF(ISNUMBER($A1369),IF(AND(AH!$U$12=1,1364+1=AH!$U$6),IF(AH!$U$4=0,"unavailable",INDEX('Market Data'!$AK$5:$AK$66,AH!$U$4)),IF(AH!$U$5=1,INDEX('Live History'!$D$5:$D$3004,MATCH($A1369,'Live History'!$D$5:$D$3004,1)),INDEX('AH History'!$D$5:$GG$1380,$K1369,AH!$U$10+2))),NA()),NA())</f>
        <v/>
      </c>
      <c r="H1369" s="266">
        <f>IFERROR(IF(ISNUMBER($A1369),IF(AND(AH!$U$12=1,1364+1=AH!$U$6),IF(AH!$U$4=0,"unavailable",INDEX('Market Data'!$AP$5:$AP$66,AH!$U$4)),IF(AH!$U$5=1,INDEX('Live History'!$H$5:$H$3004,MATCH($A1369,'Live History'!$G$5:$G$3004,1)),INDEX('AH History'!$B$5:$B$1380,$K1369))),NA()),NA())</f>
        <v/>
      </c>
      <c r="I1369" s="34">
        <f>IFERROR(IF(ISNUMBER($A1369),IF(AND(AH!$U$12=1,1364+1=AH!$U$6),TODAY(),IF(AH!$U$5=1,INDEX('Live History'!$G$5:$G$3004,MATCH($A1369,'Live History'!$G$5:$G$3004,1)),INDEX('AH History'!$C$5:$C$1380,$K1369))),NA()),NA())</f>
        <v/>
      </c>
      <c r="J1369" s="32">
        <f>IFERROR(IF(AND($F1369&gt;0,$H1369&gt;0,$A1369-$G1369&lt;=10,$A1369-$I1369&lt;=5,$G1369&gt;0,$I1369&gt;0),$F1369*$H1369,NA()),NA())</f>
        <v/>
      </c>
      <c r="K1369" s="15">
        <f>IF($A1369="","",IF(AH!$U$5=1,IFERROR(MATCH($A1369,'Live History'!$A$5:$A$3004,0),0),AH!$U$7+1364))</f>
        <v/>
      </c>
      <c r="L1369" s="15">
        <f>IF(ISNUMBER(A1369),TEXT(A1369,"dd-mmm-yy"),"")</f>
        <v/>
      </c>
    </row>
    <row r="1370">
      <c r="A1370" s="14">
        <f>IF(OR(AH!$U$4=0,1365+1&gt;AH!$U$6,AND(AH!$M$5="Bloomberg",AH!$U$5=0)),"",IFERROR(IF(AND(AH!$U$12=1,1365+1=AH!$U$6),TODAY(),IF(AH!$U$5=1,INDEX('Live History'!$A$5:$A$3004,AH!$U$7+1365),INDEX('AH History'!$A$5:$A$1380,AH!$U$7+1365))),""))</f>
        <v/>
      </c>
      <c r="B1370" s="33">
        <f>IFERROR(IF(AH!$U$11=1,NA(),$J1370/$E1370-1),NA())</f>
        <v/>
      </c>
      <c r="C1370" s="269">
        <f>IFERROR(100*$E1370/$E$5,NA())</f>
        <v/>
      </c>
      <c r="D1370" s="269">
        <f>IFERROR(100*$J1370/$J$5,NA())</f>
        <v/>
      </c>
      <c r="E1370" s="32">
        <f>IFERROR(IF(AND(ISNUMBER($A1370),N(IF(AND(AH!$U$12=1,1365+1=AH!$U$6),IF(AH!$U$4=0,"unavailable",INDEX('Market Data'!$AN$5:$AN$66,AH!$U$4)),IF(AH!$U$5=1,INDEX('Live History'!$B$5:$B$3004,$K1370),INDEX('AH History'!$D$5:$GG$1380,$K1370,AH!$U$10))))&gt;0),IF(AND(AH!$U$12=1,1365+1=AH!$U$6),IF(AH!$U$4=0,"unavailable",INDEX('Market Data'!$AN$5:$AN$66,AH!$U$4)),IF(AH!$U$5=1,INDEX('Live History'!$B$5:$B$3004,$K1370),INDEX('AH History'!$D$5:$GG$1380,$K1370,AH!$U$10))),NA()),NA())</f>
        <v/>
      </c>
      <c r="F1370" s="32">
        <f>IFERROR(IF(ISNUMBER($A1370),IF(AND(AH!$U$12=1,1365+1=AH!$U$6),IF(AH!$U$4=0,"unavailable",INDEX('Market Data'!$AO$5:$AO$66,AH!$U$4)),IF(AH!$U$5=1,INDEX('Live History'!$E$5:$E$3004,MATCH($A1370,'Live History'!$D$5:$D$3004,1)),INDEX('AH History'!$D$5:$GG$1380,$K1370,AH!$U$10+1))),NA()),NA())</f>
        <v/>
      </c>
      <c r="G1370" s="34">
        <f>IFERROR(IF(ISNUMBER($A1370),IF(AND(AH!$U$12=1,1365+1=AH!$U$6),IF(AH!$U$4=0,"unavailable",INDEX('Market Data'!$AK$5:$AK$66,AH!$U$4)),IF(AH!$U$5=1,INDEX('Live History'!$D$5:$D$3004,MATCH($A1370,'Live History'!$D$5:$D$3004,1)),INDEX('AH History'!$D$5:$GG$1380,$K1370,AH!$U$10+2))),NA()),NA())</f>
        <v/>
      </c>
      <c r="H1370" s="266">
        <f>IFERROR(IF(ISNUMBER($A1370),IF(AND(AH!$U$12=1,1365+1=AH!$U$6),IF(AH!$U$4=0,"unavailable",INDEX('Market Data'!$AP$5:$AP$66,AH!$U$4)),IF(AH!$U$5=1,INDEX('Live History'!$H$5:$H$3004,MATCH($A1370,'Live History'!$G$5:$G$3004,1)),INDEX('AH History'!$B$5:$B$1380,$K1370))),NA()),NA())</f>
        <v/>
      </c>
      <c r="I1370" s="34">
        <f>IFERROR(IF(ISNUMBER($A1370),IF(AND(AH!$U$12=1,1365+1=AH!$U$6),TODAY(),IF(AH!$U$5=1,INDEX('Live History'!$G$5:$G$3004,MATCH($A1370,'Live History'!$G$5:$G$3004,1)),INDEX('AH History'!$C$5:$C$1380,$K1370))),NA()),NA())</f>
        <v/>
      </c>
      <c r="J1370" s="32">
        <f>IFERROR(IF(AND($F1370&gt;0,$H1370&gt;0,$A1370-$G1370&lt;=10,$A1370-$I1370&lt;=5,$G1370&gt;0,$I1370&gt;0),$F1370*$H1370,NA()),NA())</f>
        <v/>
      </c>
      <c r="K1370" s="15">
        <f>IF($A1370="","",IF(AH!$U$5=1,IFERROR(MATCH($A1370,'Live History'!$A$5:$A$3004,0),0),AH!$U$7+1365))</f>
        <v/>
      </c>
      <c r="L1370" s="15">
        <f>IF(ISNUMBER(A1370),TEXT(A1370,"dd-mmm-yy"),"")</f>
        <v/>
      </c>
    </row>
    <row r="1371">
      <c r="A1371" s="14">
        <f>IF(OR(AH!$U$4=0,1366+1&gt;AH!$U$6,AND(AH!$M$5="Bloomberg",AH!$U$5=0)),"",IFERROR(IF(AND(AH!$U$12=1,1366+1=AH!$U$6),TODAY(),IF(AH!$U$5=1,INDEX('Live History'!$A$5:$A$3004,AH!$U$7+1366),INDEX('AH History'!$A$5:$A$1380,AH!$U$7+1366))),""))</f>
        <v/>
      </c>
      <c r="B1371" s="33">
        <f>IFERROR(IF(AH!$U$11=1,NA(),$J1371/$E1371-1),NA())</f>
        <v/>
      </c>
      <c r="C1371" s="269">
        <f>IFERROR(100*$E1371/$E$5,NA())</f>
        <v/>
      </c>
      <c r="D1371" s="269">
        <f>IFERROR(100*$J1371/$J$5,NA())</f>
        <v/>
      </c>
      <c r="E1371" s="32">
        <f>IFERROR(IF(AND(ISNUMBER($A1371),N(IF(AND(AH!$U$12=1,1366+1=AH!$U$6),IF(AH!$U$4=0,"unavailable",INDEX('Market Data'!$AN$5:$AN$66,AH!$U$4)),IF(AH!$U$5=1,INDEX('Live History'!$B$5:$B$3004,$K1371),INDEX('AH History'!$D$5:$GG$1380,$K1371,AH!$U$10))))&gt;0),IF(AND(AH!$U$12=1,1366+1=AH!$U$6),IF(AH!$U$4=0,"unavailable",INDEX('Market Data'!$AN$5:$AN$66,AH!$U$4)),IF(AH!$U$5=1,INDEX('Live History'!$B$5:$B$3004,$K1371),INDEX('AH History'!$D$5:$GG$1380,$K1371,AH!$U$10))),NA()),NA())</f>
        <v/>
      </c>
      <c r="F1371" s="32">
        <f>IFERROR(IF(ISNUMBER($A1371),IF(AND(AH!$U$12=1,1366+1=AH!$U$6),IF(AH!$U$4=0,"unavailable",INDEX('Market Data'!$AO$5:$AO$66,AH!$U$4)),IF(AH!$U$5=1,INDEX('Live History'!$E$5:$E$3004,MATCH($A1371,'Live History'!$D$5:$D$3004,1)),INDEX('AH History'!$D$5:$GG$1380,$K1371,AH!$U$10+1))),NA()),NA())</f>
        <v/>
      </c>
      <c r="G1371" s="34">
        <f>IFERROR(IF(ISNUMBER($A1371),IF(AND(AH!$U$12=1,1366+1=AH!$U$6),IF(AH!$U$4=0,"unavailable",INDEX('Market Data'!$AK$5:$AK$66,AH!$U$4)),IF(AH!$U$5=1,INDEX('Live History'!$D$5:$D$3004,MATCH($A1371,'Live History'!$D$5:$D$3004,1)),INDEX('AH History'!$D$5:$GG$1380,$K1371,AH!$U$10+2))),NA()),NA())</f>
        <v/>
      </c>
      <c r="H1371" s="266">
        <f>IFERROR(IF(ISNUMBER($A1371),IF(AND(AH!$U$12=1,1366+1=AH!$U$6),IF(AH!$U$4=0,"unavailable",INDEX('Market Data'!$AP$5:$AP$66,AH!$U$4)),IF(AH!$U$5=1,INDEX('Live History'!$H$5:$H$3004,MATCH($A1371,'Live History'!$G$5:$G$3004,1)),INDEX('AH History'!$B$5:$B$1380,$K1371))),NA()),NA())</f>
        <v/>
      </c>
      <c r="I1371" s="34">
        <f>IFERROR(IF(ISNUMBER($A1371),IF(AND(AH!$U$12=1,1366+1=AH!$U$6),TODAY(),IF(AH!$U$5=1,INDEX('Live History'!$G$5:$G$3004,MATCH($A1371,'Live History'!$G$5:$G$3004,1)),INDEX('AH History'!$C$5:$C$1380,$K1371))),NA()),NA())</f>
        <v/>
      </c>
      <c r="J1371" s="32">
        <f>IFERROR(IF(AND($F1371&gt;0,$H1371&gt;0,$A1371-$G1371&lt;=10,$A1371-$I1371&lt;=5,$G1371&gt;0,$I1371&gt;0),$F1371*$H1371,NA()),NA())</f>
        <v/>
      </c>
      <c r="K1371" s="15">
        <f>IF($A1371="","",IF(AH!$U$5=1,IFERROR(MATCH($A1371,'Live History'!$A$5:$A$3004,0),0),AH!$U$7+1366))</f>
        <v/>
      </c>
      <c r="L1371" s="15">
        <f>IF(ISNUMBER(A1371),TEXT(A1371,"dd-mmm-yy"),"")</f>
        <v/>
      </c>
    </row>
    <row r="1372">
      <c r="A1372" s="14">
        <f>IF(OR(AH!$U$4=0,1367+1&gt;AH!$U$6,AND(AH!$M$5="Bloomberg",AH!$U$5=0)),"",IFERROR(IF(AND(AH!$U$12=1,1367+1=AH!$U$6),TODAY(),IF(AH!$U$5=1,INDEX('Live History'!$A$5:$A$3004,AH!$U$7+1367),INDEX('AH History'!$A$5:$A$1380,AH!$U$7+1367))),""))</f>
        <v/>
      </c>
      <c r="B1372" s="33">
        <f>IFERROR(IF(AH!$U$11=1,NA(),$J1372/$E1372-1),NA())</f>
        <v/>
      </c>
      <c r="C1372" s="269">
        <f>IFERROR(100*$E1372/$E$5,NA())</f>
        <v/>
      </c>
      <c r="D1372" s="269">
        <f>IFERROR(100*$J1372/$J$5,NA())</f>
        <v/>
      </c>
      <c r="E1372" s="32">
        <f>IFERROR(IF(AND(ISNUMBER($A1372),N(IF(AND(AH!$U$12=1,1367+1=AH!$U$6),IF(AH!$U$4=0,"unavailable",INDEX('Market Data'!$AN$5:$AN$66,AH!$U$4)),IF(AH!$U$5=1,INDEX('Live History'!$B$5:$B$3004,$K1372),INDEX('AH History'!$D$5:$GG$1380,$K1372,AH!$U$10))))&gt;0),IF(AND(AH!$U$12=1,1367+1=AH!$U$6),IF(AH!$U$4=0,"unavailable",INDEX('Market Data'!$AN$5:$AN$66,AH!$U$4)),IF(AH!$U$5=1,INDEX('Live History'!$B$5:$B$3004,$K1372),INDEX('AH History'!$D$5:$GG$1380,$K1372,AH!$U$10))),NA()),NA())</f>
        <v/>
      </c>
      <c r="F1372" s="32">
        <f>IFERROR(IF(ISNUMBER($A1372),IF(AND(AH!$U$12=1,1367+1=AH!$U$6),IF(AH!$U$4=0,"unavailable",INDEX('Market Data'!$AO$5:$AO$66,AH!$U$4)),IF(AH!$U$5=1,INDEX('Live History'!$E$5:$E$3004,MATCH($A1372,'Live History'!$D$5:$D$3004,1)),INDEX('AH History'!$D$5:$GG$1380,$K1372,AH!$U$10+1))),NA()),NA())</f>
        <v/>
      </c>
      <c r="G1372" s="34">
        <f>IFERROR(IF(ISNUMBER($A1372),IF(AND(AH!$U$12=1,1367+1=AH!$U$6),IF(AH!$U$4=0,"unavailable",INDEX('Market Data'!$AK$5:$AK$66,AH!$U$4)),IF(AH!$U$5=1,INDEX('Live History'!$D$5:$D$3004,MATCH($A1372,'Live History'!$D$5:$D$3004,1)),INDEX('AH History'!$D$5:$GG$1380,$K1372,AH!$U$10+2))),NA()),NA())</f>
        <v/>
      </c>
      <c r="H1372" s="266">
        <f>IFERROR(IF(ISNUMBER($A1372),IF(AND(AH!$U$12=1,1367+1=AH!$U$6),IF(AH!$U$4=0,"unavailable",INDEX('Market Data'!$AP$5:$AP$66,AH!$U$4)),IF(AH!$U$5=1,INDEX('Live History'!$H$5:$H$3004,MATCH($A1372,'Live History'!$G$5:$G$3004,1)),INDEX('AH History'!$B$5:$B$1380,$K1372))),NA()),NA())</f>
        <v/>
      </c>
      <c r="I1372" s="34">
        <f>IFERROR(IF(ISNUMBER($A1372),IF(AND(AH!$U$12=1,1367+1=AH!$U$6),TODAY(),IF(AH!$U$5=1,INDEX('Live History'!$G$5:$G$3004,MATCH($A1372,'Live History'!$G$5:$G$3004,1)),INDEX('AH History'!$C$5:$C$1380,$K1372))),NA()),NA())</f>
        <v/>
      </c>
      <c r="J1372" s="32">
        <f>IFERROR(IF(AND($F1372&gt;0,$H1372&gt;0,$A1372-$G1372&lt;=10,$A1372-$I1372&lt;=5,$G1372&gt;0,$I1372&gt;0),$F1372*$H1372,NA()),NA())</f>
        <v/>
      </c>
      <c r="K1372" s="15">
        <f>IF($A1372="","",IF(AH!$U$5=1,IFERROR(MATCH($A1372,'Live History'!$A$5:$A$3004,0),0),AH!$U$7+1367))</f>
        <v/>
      </c>
      <c r="L1372" s="15">
        <f>IF(ISNUMBER(A1372),TEXT(A1372,"dd-mmm-yy"),"")</f>
        <v/>
      </c>
    </row>
    <row r="1373">
      <c r="A1373" s="14">
        <f>IF(OR(AH!$U$4=0,1368+1&gt;AH!$U$6,AND(AH!$M$5="Bloomberg",AH!$U$5=0)),"",IFERROR(IF(AND(AH!$U$12=1,1368+1=AH!$U$6),TODAY(),IF(AH!$U$5=1,INDEX('Live History'!$A$5:$A$3004,AH!$U$7+1368),INDEX('AH History'!$A$5:$A$1380,AH!$U$7+1368))),""))</f>
        <v/>
      </c>
      <c r="B1373" s="33">
        <f>IFERROR(IF(AH!$U$11=1,NA(),$J1373/$E1373-1),NA())</f>
        <v/>
      </c>
      <c r="C1373" s="269">
        <f>IFERROR(100*$E1373/$E$5,NA())</f>
        <v/>
      </c>
      <c r="D1373" s="269">
        <f>IFERROR(100*$J1373/$J$5,NA())</f>
        <v/>
      </c>
      <c r="E1373" s="32">
        <f>IFERROR(IF(AND(ISNUMBER($A1373),N(IF(AND(AH!$U$12=1,1368+1=AH!$U$6),IF(AH!$U$4=0,"unavailable",INDEX('Market Data'!$AN$5:$AN$66,AH!$U$4)),IF(AH!$U$5=1,INDEX('Live History'!$B$5:$B$3004,$K1373),INDEX('AH History'!$D$5:$GG$1380,$K1373,AH!$U$10))))&gt;0),IF(AND(AH!$U$12=1,1368+1=AH!$U$6),IF(AH!$U$4=0,"unavailable",INDEX('Market Data'!$AN$5:$AN$66,AH!$U$4)),IF(AH!$U$5=1,INDEX('Live History'!$B$5:$B$3004,$K1373),INDEX('AH History'!$D$5:$GG$1380,$K1373,AH!$U$10))),NA()),NA())</f>
        <v/>
      </c>
      <c r="F1373" s="32">
        <f>IFERROR(IF(ISNUMBER($A1373),IF(AND(AH!$U$12=1,1368+1=AH!$U$6),IF(AH!$U$4=0,"unavailable",INDEX('Market Data'!$AO$5:$AO$66,AH!$U$4)),IF(AH!$U$5=1,INDEX('Live History'!$E$5:$E$3004,MATCH($A1373,'Live History'!$D$5:$D$3004,1)),INDEX('AH History'!$D$5:$GG$1380,$K1373,AH!$U$10+1))),NA()),NA())</f>
        <v/>
      </c>
      <c r="G1373" s="34">
        <f>IFERROR(IF(ISNUMBER($A1373),IF(AND(AH!$U$12=1,1368+1=AH!$U$6),IF(AH!$U$4=0,"unavailable",INDEX('Market Data'!$AK$5:$AK$66,AH!$U$4)),IF(AH!$U$5=1,INDEX('Live History'!$D$5:$D$3004,MATCH($A1373,'Live History'!$D$5:$D$3004,1)),INDEX('AH History'!$D$5:$GG$1380,$K1373,AH!$U$10+2))),NA()),NA())</f>
        <v/>
      </c>
      <c r="H1373" s="266">
        <f>IFERROR(IF(ISNUMBER($A1373),IF(AND(AH!$U$12=1,1368+1=AH!$U$6),IF(AH!$U$4=0,"unavailable",INDEX('Market Data'!$AP$5:$AP$66,AH!$U$4)),IF(AH!$U$5=1,INDEX('Live History'!$H$5:$H$3004,MATCH($A1373,'Live History'!$G$5:$G$3004,1)),INDEX('AH History'!$B$5:$B$1380,$K1373))),NA()),NA())</f>
        <v/>
      </c>
      <c r="I1373" s="34">
        <f>IFERROR(IF(ISNUMBER($A1373),IF(AND(AH!$U$12=1,1368+1=AH!$U$6),TODAY(),IF(AH!$U$5=1,INDEX('Live History'!$G$5:$G$3004,MATCH($A1373,'Live History'!$G$5:$G$3004,1)),INDEX('AH History'!$C$5:$C$1380,$K1373))),NA()),NA())</f>
        <v/>
      </c>
      <c r="J1373" s="32">
        <f>IFERROR(IF(AND($F1373&gt;0,$H1373&gt;0,$A1373-$G1373&lt;=10,$A1373-$I1373&lt;=5,$G1373&gt;0,$I1373&gt;0),$F1373*$H1373,NA()),NA())</f>
        <v/>
      </c>
      <c r="K1373" s="15">
        <f>IF($A1373="","",IF(AH!$U$5=1,IFERROR(MATCH($A1373,'Live History'!$A$5:$A$3004,0),0),AH!$U$7+1368))</f>
        <v/>
      </c>
      <c r="L1373" s="15">
        <f>IF(ISNUMBER(A1373),TEXT(A1373,"dd-mmm-yy"),"")</f>
        <v/>
      </c>
    </row>
    <row r="1374">
      <c r="A1374" s="14">
        <f>IF(OR(AH!$U$4=0,1369+1&gt;AH!$U$6,AND(AH!$M$5="Bloomberg",AH!$U$5=0)),"",IFERROR(IF(AND(AH!$U$12=1,1369+1=AH!$U$6),TODAY(),IF(AH!$U$5=1,INDEX('Live History'!$A$5:$A$3004,AH!$U$7+1369),INDEX('AH History'!$A$5:$A$1380,AH!$U$7+1369))),""))</f>
        <v/>
      </c>
      <c r="B1374" s="33">
        <f>IFERROR(IF(AH!$U$11=1,NA(),$J1374/$E1374-1),NA())</f>
        <v/>
      </c>
      <c r="C1374" s="269">
        <f>IFERROR(100*$E1374/$E$5,NA())</f>
        <v/>
      </c>
      <c r="D1374" s="269">
        <f>IFERROR(100*$J1374/$J$5,NA())</f>
        <v/>
      </c>
      <c r="E1374" s="32">
        <f>IFERROR(IF(AND(ISNUMBER($A1374),N(IF(AND(AH!$U$12=1,1369+1=AH!$U$6),IF(AH!$U$4=0,"unavailable",INDEX('Market Data'!$AN$5:$AN$66,AH!$U$4)),IF(AH!$U$5=1,INDEX('Live History'!$B$5:$B$3004,$K1374),INDEX('AH History'!$D$5:$GG$1380,$K1374,AH!$U$10))))&gt;0),IF(AND(AH!$U$12=1,1369+1=AH!$U$6),IF(AH!$U$4=0,"unavailable",INDEX('Market Data'!$AN$5:$AN$66,AH!$U$4)),IF(AH!$U$5=1,INDEX('Live History'!$B$5:$B$3004,$K1374),INDEX('AH History'!$D$5:$GG$1380,$K1374,AH!$U$10))),NA()),NA())</f>
        <v/>
      </c>
      <c r="F1374" s="32">
        <f>IFERROR(IF(ISNUMBER($A1374),IF(AND(AH!$U$12=1,1369+1=AH!$U$6),IF(AH!$U$4=0,"unavailable",INDEX('Market Data'!$AO$5:$AO$66,AH!$U$4)),IF(AH!$U$5=1,INDEX('Live History'!$E$5:$E$3004,MATCH($A1374,'Live History'!$D$5:$D$3004,1)),INDEX('AH History'!$D$5:$GG$1380,$K1374,AH!$U$10+1))),NA()),NA())</f>
        <v/>
      </c>
      <c r="G1374" s="34">
        <f>IFERROR(IF(ISNUMBER($A1374),IF(AND(AH!$U$12=1,1369+1=AH!$U$6),IF(AH!$U$4=0,"unavailable",INDEX('Market Data'!$AK$5:$AK$66,AH!$U$4)),IF(AH!$U$5=1,INDEX('Live History'!$D$5:$D$3004,MATCH($A1374,'Live History'!$D$5:$D$3004,1)),INDEX('AH History'!$D$5:$GG$1380,$K1374,AH!$U$10+2))),NA()),NA())</f>
        <v/>
      </c>
      <c r="H1374" s="266">
        <f>IFERROR(IF(ISNUMBER($A1374),IF(AND(AH!$U$12=1,1369+1=AH!$U$6),IF(AH!$U$4=0,"unavailable",INDEX('Market Data'!$AP$5:$AP$66,AH!$U$4)),IF(AH!$U$5=1,INDEX('Live History'!$H$5:$H$3004,MATCH($A1374,'Live History'!$G$5:$G$3004,1)),INDEX('AH History'!$B$5:$B$1380,$K1374))),NA()),NA())</f>
        <v/>
      </c>
      <c r="I1374" s="34">
        <f>IFERROR(IF(ISNUMBER($A1374),IF(AND(AH!$U$12=1,1369+1=AH!$U$6),TODAY(),IF(AH!$U$5=1,INDEX('Live History'!$G$5:$G$3004,MATCH($A1374,'Live History'!$G$5:$G$3004,1)),INDEX('AH History'!$C$5:$C$1380,$K1374))),NA()),NA())</f>
        <v/>
      </c>
      <c r="J1374" s="32">
        <f>IFERROR(IF(AND($F1374&gt;0,$H1374&gt;0,$A1374-$G1374&lt;=10,$A1374-$I1374&lt;=5,$G1374&gt;0,$I1374&gt;0),$F1374*$H1374,NA()),NA())</f>
        <v/>
      </c>
      <c r="K1374" s="15">
        <f>IF($A1374="","",IF(AH!$U$5=1,IFERROR(MATCH($A1374,'Live History'!$A$5:$A$3004,0),0),AH!$U$7+1369))</f>
        <v/>
      </c>
      <c r="L1374" s="15">
        <f>IF(ISNUMBER(A1374),TEXT(A1374,"dd-mmm-yy"),"")</f>
        <v/>
      </c>
    </row>
    <row r="1375">
      <c r="A1375" s="14">
        <f>IF(OR(AH!$U$4=0,1370+1&gt;AH!$U$6,AND(AH!$M$5="Bloomberg",AH!$U$5=0)),"",IFERROR(IF(AND(AH!$U$12=1,1370+1=AH!$U$6),TODAY(),IF(AH!$U$5=1,INDEX('Live History'!$A$5:$A$3004,AH!$U$7+1370),INDEX('AH History'!$A$5:$A$1380,AH!$U$7+1370))),""))</f>
        <v/>
      </c>
      <c r="B1375" s="33">
        <f>IFERROR(IF(AH!$U$11=1,NA(),$J1375/$E1375-1),NA())</f>
        <v/>
      </c>
      <c r="C1375" s="269">
        <f>IFERROR(100*$E1375/$E$5,NA())</f>
        <v/>
      </c>
      <c r="D1375" s="269">
        <f>IFERROR(100*$J1375/$J$5,NA())</f>
        <v/>
      </c>
      <c r="E1375" s="32">
        <f>IFERROR(IF(AND(ISNUMBER($A1375),N(IF(AND(AH!$U$12=1,1370+1=AH!$U$6),IF(AH!$U$4=0,"unavailable",INDEX('Market Data'!$AN$5:$AN$66,AH!$U$4)),IF(AH!$U$5=1,INDEX('Live History'!$B$5:$B$3004,$K1375),INDEX('AH History'!$D$5:$GG$1380,$K1375,AH!$U$10))))&gt;0),IF(AND(AH!$U$12=1,1370+1=AH!$U$6),IF(AH!$U$4=0,"unavailable",INDEX('Market Data'!$AN$5:$AN$66,AH!$U$4)),IF(AH!$U$5=1,INDEX('Live History'!$B$5:$B$3004,$K1375),INDEX('AH History'!$D$5:$GG$1380,$K1375,AH!$U$10))),NA()),NA())</f>
        <v/>
      </c>
      <c r="F1375" s="32">
        <f>IFERROR(IF(ISNUMBER($A1375),IF(AND(AH!$U$12=1,1370+1=AH!$U$6),IF(AH!$U$4=0,"unavailable",INDEX('Market Data'!$AO$5:$AO$66,AH!$U$4)),IF(AH!$U$5=1,INDEX('Live History'!$E$5:$E$3004,MATCH($A1375,'Live History'!$D$5:$D$3004,1)),INDEX('AH History'!$D$5:$GG$1380,$K1375,AH!$U$10+1))),NA()),NA())</f>
        <v/>
      </c>
      <c r="G1375" s="34">
        <f>IFERROR(IF(ISNUMBER($A1375),IF(AND(AH!$U$12=1,1370+1=AH!$U$6),IF(AH!$U$4=0,"unavailable",INDEX('Market Data'!$AK$5:$AK$66,AH!$U$4)),IF(AH!$U$5=1,INDEX('Live History'!$D$5:$D$3004,MATCH($A1375,'Live History'!$D$5:$D$3004,1)),INDEX('AH History'!$D$5:$GG$1380,$K1375,AH!$U$10+2))),NA()),NA())</f>
        <v/>
      </c>
      <c r="H1375" s="266">
        <f>IFERROR(IF(ISNUMBER($A1375),IF(AND(AH!$U$12=1,1370+1=AH!$U$6),IF(AH!$U$4=0,"unavailable",INDEX('Market Data'!$AP$5:$AP$66,AH!$U$4)),IF(AH!$U$5=1,INDEX('Live History'!$H$5:$H$3004,MATCH($A1375,'Live History'!$G$5:$G$3004,1)),INDEX('AH History'!$B$5:$B$1380,$K1375))),NA()),NA())</f>
        <v/>
      </c>
      <c r="I1375" s="34">
        <f>IFERROR(IF(ISNUMBER($A1375),IF(AND(AH!$U$12=1,1370+1=AH!$U$6),TODAY(),IF(AH!$U$5=1,INDEX('Live History'!$G$5:$G$3004,MATCH($A1375,'Live History'!$G$5:$G$3004,1)),INDEX('AH History'!$C$5:$C$1380,$K1375))),NA()),NA())</f>
        <v/>
      </c>
      <c r="J1375" s="32">
        <f>IFERROR(IF(AND($F1375&gt;0,$H1375&gt;0,$A1375-$G1375&lt;=10,$A1375-$I1375&lt;=5,$G1375&gt;0,$I1375&gt;0),$F1375*$H1375,NA()),NA())</f>
        <v/>
      </c>
      <c r="K1375" s="15">
        <f>IF($A1375="","",IF(AH!$U$5=1,IFERROR(MATCH($A1375,'Live History'!$A$5:$A$3004,0),0),AH!$U$7+1370))</f>
        <v/>
      </c>
      <c r="L1375" s="15">
        <f>IF(ISNUMBER(A1375),TEXT(A1375,"dd-mmm-yy"),"")</f>
        <v/>
      </c>
    </row>
    <row r="1376">
      <c r="A1376" s="14">
        <f>IF(OR(AH!$U$4=0,1371+1&gt;AH!$U$6,AND(AH!$M$5="Bloomberg",AH!$U$5=0)),"",IFERROR(IF(AND(AH!$U$12=1,1371+1=AH!$U$6),TODAY(),IF(AH!$U$5=1,INDEX('Live History'!$A$5:$A$3004,AH!$U$7+1371),INDEX('AH History'!$A$5:$A$1380,AH!$U$7+1371))),""))</f>
        <v/>
      </c>
      <c r="B1376" s="33">
        <f>IFERROR(IF(AH!$U$11=1,NA(),$J1376/$E1376-1),NA())</f>
        <v/>
      </c>
      <c r="C1376" s="269">
        <f>IFERROR(100*$E1376/$E$5,NA())</f>
        <v/>
      </c>
      <c r="D1376" s="269">
        <f>IFERROR(100*$J1376/$J$5,NA())</f>
        <v/>
      </c>
      <c r="E1376" s="32">
        <f>IFERROR(IF(AND(ISNUMBER($A1376),N(IF(AND(AH!$U$12=1,1371+1=AH!$U$6),IF(AH!$U$4=0,"unavailable",INDEX('Market Data'!$AN$5:$AN$66,AH!$U$4)),IF(AH!$U$5=1,INDEX('Live History'!$B$5:$B$3004,$K1376),INDEX('AH History'!$D$5:$GG$1380,$K1376,AH!$U$10))))&gt;0),IF(AND(AH!$U$12=1,1371+1=AH!$U$6),IF(AH!$U$4=0,"unavailable",INDEX('Market Data'!$AN$5:$AN$66,AH!$U$4)),IF(AH!$U$5=1,INDEX('Live History'!$B$5:$B$3004,$K1376),INDEX('AH History'!$D$5:$GG$1380,$K1376,AH!$U$10))),NA()),NA())</f>
        <v/>
      </c>
      <c r="F1376" s="32">
        <f>IFERROR(IF(ISNUMBER($A1376),IF(AND(AH!$U$12=1,1371+1=AH!$U$6),IF(AH!$U$4=0,"unavailable",INDEX('Market Data'!$AO$5:$AO$66,AH!$U$4)),IF(AH!$U$5=1,INDEX('Live History'!$E$5:$E$3004,MATCH($A1376,'Live History'!$D$5:$D$3004,1)),INDEX('AH History'!$D$5:$GG$1380,$K1376,AH!$U$10+1))),NA()),NA())</f>
        <v/>
      </c>
      <c r="G1376" s="34">
        <f>IFERROR(IF(ISNUMBER($A1376),IF(AND(AH!$U$12=1,1371+1=AH!$U$6),IF(AH!$U$4=0,"unavailable",INDEX('Market Data'!$AK$5:$AK$66,AH!$U$4)),IF(AH!$U$5=1,INDEX('Live History'!$D$5:$D$3004,MATCH($A1376,'Live History'!$D$5:$D$3004,1)),INDEX('AH History'!$D$5:$GG$1380,$K1376,AH!$U$10+2))),NA()),NA())</f>
        <v/>
      </c>
      <c r="H1376" s="266">
        <f>IFERROR(IF(ISNUMBER($A1376),IF(AND(AH!$U$12=1,1371+1=AH!$U$6),IF(AH!$U$4=0,"unavailable",INDEX('Market Data'!$AP$5:$AP$66,AH!$U$4)),IF(AH!$U$5=1,INDEX('Live History'!$H$5:$H$3004,MATCH($A1376,'Live History'!$G$5:$G$3004,1)),INDEX('AH History'!$B$5:$B$1380,$K1376))),NA()),NA())</f>
        <v/>
      </c>
      <c r="I1376" s="34">
        <f>IFERROR(IF(ISNUMBER($A1376),IF(AND(AH!$U$12=1,1371+1=AH!$U$6),TODAY(),IF(AH!$U$5=1,INDEX('Live History'!$G$5:$G$3004,MATCH($A1376,'Live History'!$G$5:$G$3004,1)),INDEX('AH History'!$C$5:$C$1380,$K1376))),NA()),NA())</f>
        <v/>
      </c>
      <c r="J1376" s="32">
        <f>IFERROR(IF(AND($F1376&gt;0,$H1376&gt;0,$A1376-$G1376&lt;=10,$A1376-$I1376&lt;=5,$G1376&gt;0,$I1376&gt;0),$F1376*$H1376,NA()),NA())</f>
        <v/>
      </c>
      <c r="K1376" s="15">
        <f>IF($A1376="","",IF(AH!$U$5=1,IFERROR(MATCH($A1376,'Live History'!$A$5:$A$3004,0),0),AH!$U$7+1371))</f>
        <v/>
      </c>
      <c r="L1376" s="15">
        <f>IF(ISNUMBER(A1376),TEXT(A1376,"dd-mmm-yy"),"")</f>
        <v/>
      </c>
    </row>
    <row r="1377">
      <c r="A1377" s="14">
        <f>IF(OR(AH!$U$4=0,1372+1&gt;AH!$U$6,AND(AH!$M$5="Bloomberg",AH!$U$5=0)),"",IFERROR(IF(AND(AH!$U$12=1,1372+1=AH!$U$6),TODAY(),IF(AH!$U$5=1,INDEX('Live History'!$A$5:$A$3004,AH!$U$7+1372),INDEX('AH History'!$A$5:$A$1380,AH!$U$7+1372))),""))</f>
        <v/>
      </c>
      <c r="B1377" s="33">
        <f>IFERROR(IF(AH!$U$11=1,NA(),$J1377/$E1377-1),NA())</f>
        <v/>
      </c>
      <c r="C1377" s="269">
        <f>IFERROR(100*$E1377/$E$5,NA())</f>
        <v/>
      </c>
      <c r="D1377" s="269">
        <f>IFERROR(100*$J1377/$J$5,NA())</f>
        <v/>
      </c>
      <c r="E1377" s="32">
        <f>IFERROR(IF(AND(ISNUMBER($A1377),N(IF(AND(AH!$U$12=1,1372+1=AH!$U$6),IF(AH!$U$4=0,"unavailable",INDEX('Market Data'!$AN$5:$AN$66,AH!$U$4)),IF(AH!$U$5=1,INDEX('Live History'!$B$5:$B$3004,$K1377),INDEX('AH History'!$D$5:$GG$1380,$K1377,AH!$U$10))))&gt;0),IF(AND(AH!$U$12=1,1372+1=AH!$U$6),IF(AH!$U$4=0,"unavailable",INDEX('Market Data'!$AN$5:$AN$66,AH!$U$4)),IF(AH!$U$5=1,INDEX('Live History'!$B$5:$B$3004,$K1377),INDEX('AH History'!$D$5:$GG$1380,$K1377,AH!$U$10))),NA()),NA())</f>
        <v/>
      </c>
      <c r="F1377" s="32">
        <f>IFERROR(IF(ISNUMBER($A1377),IF(AND(AH!$U$12=1,1372+1=AH!$U$6),IF(AH!$U$4=0,"unavailable",INDEX('Market Data'!$AO$5:$AO$66,AH!$U$4)),IF(AH!$U$5=1,INDEX('Live History'!$E$5:$E$3004,MATCH($A1377,'Live History'!$D$5:$D$3004,1)),INDEX('AH History'!$D$5:$GG$1380,$K1377,AH!$U$10+1))),NA()),NA())</f>
        <v/>
      </c>
      <c r="G1377" s="34">
        <f>IFERROR(IF(ISNUMBER($A1377),IF(AND(AH!$U$12=1,1372+1=AH!$U$6),IF(AH!$U$4=0,"unavailable",INDEX('Market Data'!$AK$5:$AK$66,AH!$U$4)),IF(AH!$U$5=1,INDEX('Live History'!$D$5:$D$3004,MATCH($A1377,'Live History'!$D$5:$D$3004,1)),INDEX('AH History'!$D$5:$GG$1380,$K1377,AH!$U$10+2))),NA()),NA())</f>
        <v/>
      </c>
      <c r="H1377" s="266">
        <f>IFERROR(IF(ISNUMBER($A1377),IF(AND(AH!$U$12=1,1372+1=AH!$U$6),IF(AH!$U$4=0,"unavailable",INDEX('Market Data'!$AP$5:$AP$66,AH!$U$4)),IF(AH!$U$5=1,INDEX('Live History'!$H$5:$H$3004,MATCH($A1377,'Live History'!$G$5:$G$3004,1)),INDEX('AH History'!$B$5:$B$1380,$K1377))),NA()),NA())</f>
        <v/>
      </c>
      <c r="I1377" s="34">
        <f>IFERROR(IF(ISNUMBER($A1377),IF(AND(AH!$U$12=1,1372+1=AH!$U$6),TODAY(),IF(AH!$U$5=1,INDEX('Live History'!$G$5:$G$3004,MATCH($A1377,'Live History'!$G$5:$G$3004,1)),INDEX('AH History'!$C$5:$C$1380,$K1377))),NA()),NA())</f>
        <v/>
      </c>
      <c r="J1377" s="32">
        <f>IFERROR(IF(AND($F1377&gt;0,$H1377&gt;0,$A1377-$G1377&lt;=10,$A1377-$I1377&lt;=5,$G1377&gt;0,$I1377&gt;0),$F1377*$H1377,NA()),NA())</f>
        <v/>
      </c>
      <c r="K1377" s="15">
        <f>IF($A1377="","",IF(AH!$U$5=1,IFERROR(MATCH($A1377,'Live History'!$A$5:$A$3004,0),0),AH!$U$7+1372))</f>
        <v/>
      </c>
      <c r="L1377" s="15">
        <f>IF(ISNUMBER(A1377),TEXT(A1377,"dd-mmm-yy"),"")</f>
        <v/>
      </c>
    </row>
    <row r="1378">
      <c r="A1378" s="14">
        <f>IF(OR(AH!$U$4=0,1373+1&gt;AH!$U$6,AND(AH!$M$5="Bloomberg",AH!$U$5=0)),"",IFERROR(IF(AND(AH!$U$12=1,1373+1=AH!$U$6),TODAY(),IF(AH!$U$5=1,INDEX('Live History'!$A$5:$A$3004,AH!$U$7+1373),INDEX('AH History'!$A$5:$A$1380,AH!$U$7+1373))),""))</f>
        <v/>
      </c>
      <c r="B1378" s="33">
        <f>IFERROR(IF(AH!$U$11=1,NA(),$J1378/$E1378-1),NA())</f>
        <v/>
      </c>
      <c r="C1378" s="269">
        <f>IFERROR(100*$E1378/$E$5,NA())</f>
        <v/>
      </c>
      <c r="D1378" s="269">
        <f>IFERROR(100*$J1378/$J$5,NA())</f>
        <v/>
      </c>
      <c r="E1378" s="32">
        <f>IFERROR(IF(AND(ISNUMBER($A1378),N(IF(AND(AH!$U$12=1,1373+1=AH!$U$6),IF(AH!$U$4=0,"unavailable",INDEX('Market Data'!$AN$5:$AN$66,AH!$U$4)),IF(AH!$U$5=1,INDEX('Live History'!$B$5:$B$3004,$K1378),INDEX('AH History'!$D$5:$GG$1380,$K1378,AH!$U$10))))&gt;0),IF(AND(AH!$U$12=1,1373+1=AH!$U$6),IF(AH!$U$4=0,"unavailable",INDEX('Market Data'!$AN$5:$AN$66,AH!$U$4)),IF(AH!$U$5=1,INDEX('Live History'!$B$5:$B$3004,$K1378),INDEX('AH History'!$D$5:$GG$1380,$K1378,AH!$U$10))),NA()),NA())</f>
        <v/>
      </c>
      <c r="F1378" s="32">
        <f>IFERROR(IF(ISNUMBER($A1378),IF(AND(AH!$U$12=1,1373+1=AH!$U$6),IF(AH!$U$4=0,"unavailable",INDEX('Market Data'!$AO$5:$AO$66,AH!$U$4)),IF(AH!$U$5=1,INDEX('Live History'!$E$5:$E$3004,MATCH($A1378,'Live History'!$D$5:$D$3004,1)),INDEX('AH History'!$D$5:$GG$1380,$K1378,AH!$U$10+1))),NA()),NA())</f>
        <v/>
      </c>
      <c r="G1378" s="34">
        <f>IFERROR(IF(ISNUMBER($A1378),IF(AND(AH!$U$12=1,1373+1=AH!$U$6),IF(AH!$U$4=0,"unavailable",INDEX('Market Data'!$AK$5:$AK$66,AH!$U$4)),IF(AH!$U$5=1,INDEX('Live History'!$D$5:$D$3004,MATCH($A1378,'Live History'!$D$5:$D$3004,1)),INDEX('AH History'!$D$5:$GG$1380,$K1378,AH!$U$10+2))),NA()),NA())</f>
        <v/>
      </c>
      <c r="H1378" s="266">
        <f>IFERROR(IF(ISNUMBER($A1378),IF(AND(AH!$U$12=1,1373+1=AH!$U$6),IF(AH!$U$4=0,"unavailable",INDEX('Market Data'!$AP$5:$AP$66,AH!$U$4)),IF(AH!$U$5=1,INDEX('Live History'!$H$5:$H$3004,MATCH($A1378,'Live History'!$G$5:$G$3004,1)),INDEX('AH History'!$B$5:$B$1380,$K1378))),NA()),NA())</f>
        <v/>
      </c>
      <c r="I1378" s="34">
        <f>IFERROR(IF(ISNUMBER($A1378),IF(AND(AH!$U$12=1,1373+1=AH!$U$6),TODAY(),IF(AH!$U$5=1,INDEX('Live History'!$G$5:$G$3004,MATCH($A1378,'Live History'!$G$5:$G$3004,1)),INDEX('AH History'!$C$5:$C$1380,$K1378))),NA()),NA())</f>
        <v/>
      </c>
      <c r="J1378" s="32">
        <f>IFERROR(IF(AND($F1378&gt;0,$H1378&gt;0,$A1378-$G1378&lt;=10,$A1378-$I1378&lt;=5,$G1378&gt;0,$I1378&gt;0),$F1378*$H1378,NA()),NA())</f>
        <v/>
      </c>
      <c r="K1378" s="15">
        <f>IF($A1378="","",IF(AH!$U$5=1,IFERROR(MATCH($A1378,'Live History'!$A$5:$A$3004,0),0),AH!$U$7+1373))</f>
        <v/>
      </c>
      <c r="L1378" s="15">
        <f>IF(ISNUMBER(A1378),TEXT(A1378,"dd-mmm-yy"),"")</f>
        <v/>
      </c>
    </row>
    <row r="1379">
      <c r="A1379" s="14">
        <f>IF(OR(AH!$U$4=0,1374+1&gt;AH!$U$6,AND(AH!$M$5="Bloomberg",AH!$U$5=0)),"",IFERROR(IF(AND(AH!$U$12=1,1374+1=AH!$U$6),TODAY(),IF(AH!$U$5=1,INDEX('Live History'!$A$5:$A$3004,AH!$U$7+1374),INDEX('AH History'!$A$5:$A$1380,AH!$U$7+1374))),""))</f>
        <v/>
      </c>
      <c r="B1379" s="33">
        <f>IFERROR(IF(AH!$U$11=1,NA(),$J1379/$E1379-1),NA())</f>
        <v/>
      </c>
      <c r="C1379" s="269">
        <f>IFERROR(100*$E1379/$E$5,NA())</f>
        <v/>
      </c>
      <c r="D1379" s="269">
        <f>IFERROR(100*$J1379/$J$5,NA())</f>
        <v/>
      </c>
      <c r="E1379" s="32">
        <f>IFERROR(IF(AND(ISNUMBER($A1379),N(IF(AND(AH!$U$12=1,1374+1=AH!$U$6),IF(AH!$U$4=0,"unavailable",INDEX('Market Data'!$AN$5:$AN$66,AH!$U$4)),IF(AH!$U$5=1,INDEX('Live History'!$B$5:$B$3004,$K1379),INDEX('AH History'!$D$5:$GG$1380,$K1379,AH!$U$10))))&gt;0),IF(AND(AH!$U$12=1,1374+1=AH!$U$6),IF(AH!$U$4=0,"unavailable",INDEX('Market Data'!$AN$5:$AN$66,AH!$U$4)),IF(AH!$U$5=1,INDEX('Live History'!$B$5:$B$3004,$K1379),INDEX('AH History'!$D$5:$GG$1380,$K1379,AH!$U$10))),NA()),NA())</f>
        <v/>
      </c>
      <c r="F1379" s="32">
        <f>IFERROR(IF(ISNUMBER($A1379),IF(AND(AH!$U$12=1,1374+1=AH!$U$6),IF(AH!$U$4=0,"unavailable",INDEX('Market Data'!$AO$5:$AO$66,AH!$U$4)),IF(AH!$U$5=1,INDEX('Live History'!$E$5:$E$3004,MATCH($A1379,'Live History'!$D$5:$D$3004,1)),INDEX('AH History'!$D$5:$GG$1380,$K1379,AH!$U$10+1))),NA()),NA())</f>
        <v/>
      </c>
      <c r="G1379" s="34">
        <f>IFERROR(IF(ISNUMBER($A1379),IF(AND(AH!$U$12=1,1374+1=AH!$U$6),IF(AH!$U$4=0,"unavailable",INDEX('Market Data'!$AK$5:$AK$66,AH!$U$4)),IF(AH!$U$5=1,INDEX('Live History'!$D$5:$D$3004,MATCH($A1379,'Live History'!$D$5:$D$3004,1)),INDEX('AH History'!$D$5:$GG$1380,$K1379,AH!$U$10+2))),NA()),NA())</f>
        <v/>
      </c>
      <c r="H1379" s="266">
        <f>IFERROR(IF(ISNUMBER($A1379),IF(AND(AH!$U$12=1,1374+1=AH!$U$6),IF(AH!$U$4=0,"unavailable",INDEX('Market Data'!$AP$5:$AP$66,AH!$U$4)),IF(AH!$U$5=1,INDEX('Live History'!$H$5:$H$3004,MATCH($A1379,'Live History'!$G$5:$G$3004,1)),INDEX('AH History'!$B$5:$B$1380,$K1379))),NA()),NA())</f>
        <v/>
      </c>
      <c r="I1379" s="34">
        <f>IFERROR(IF(ISNUMBER($A1379),IF(AND(AH!$U$12=1,1374+1=AH!$U$6),TODAY(),IF(AH!$U$5=1,INDEX('Live History'!$G$5:$G$3004,MATCH($A1379,'Live History'!$G$5:$G$3004,1)),INDEX('AH History'!$C$5:$C$1380,$K1379))),NA()),NA())</f>
        <v/>
      </c>
      <c r="J1379" s="32">
        <f>IFERROR(IF(AND($F1379&gt;0,$H1379&gt;0,$A1379-$G1379&lt;=10,$A1379-$I1379&lt;=5,$G1379&gt;0,$I1379&gt;0),$F1379*$H1379,NA()),NA())</f>
        <v/>
      </c>
      <c r="K1379" s="15">
        <f>IF($A1379="","",IF(AH!$U$5=1,IFERROR(MATCH($A1379,'Live History'!$A$5:$A$3004,0),0),AH!$U$7+1374))</f>
        <v/>
      </c>
      <c r="L1379" s="15">
        <f>IF(ISNUMBER(A1379),TEXT(A1379,"dd-mmm-yy"),"")</f>
        <v/>
      </c>
    </row>
    <row r="1380">
      <c r="A1380" s="14">
        <f>IF(OR(AH!$U$4=0,1375+1&gt;AH!$U$6,AND(AH!$M$5="Bloomberg",AH!$U$5=0)),"",IFERROR(IF(AND(AH!$U$12=1,1375+1=AH!$U$6),TODAY(),IF(AH!$U$5=1,INDEX('Live History'!$A$5:$A$3004,AH!$U$7+1375),INDEX('AH History'!$A$5:$A$1380,AH!$U$7+1375))),""))</f>
        <v/>
      </c>
      <c r="B1380" s="33">
        <f>IFERROR(IF(AH!$U$11=1,NA(),$J1380/$E1380-1),NA())</f>
        <v/>
      </c>
      <c r="C1380" s="269">
        <f>IFERROR(100*$E1380/$E$5,NA())</f>
        <v/>
      </c>
      <c r="D1380" s="269">
        <f>IFERROR(100*$J1380/$J$5,NA())</f>
        <v/>
      </c>
      <c r="E1380" s="32">
        <f>IFERROR(IF(AND(ISNUMBER($A1380),N(IF(AND(AH!$U$12=1,1375+1=AH!$U$6),IF(AH!$U$4=0,"unavailable",INDEX('Market Data'!$AN$5:$AN$66,AH!$U$4)),IF(AH!$U$5=1,INDEX('Live History'!$B$5:$B$3004,$K1380),INDEX('AH History'!$D$5:$GG$1380,$K1380,AH!$U$10))))&gt;0),IF(AND(AH!$U$12=1,1375+1=AH!$U$6),IF(AH!$U$4=0,"unavailable",INDEX('Market Data'!$AN$5:$AN$66,AH!$U$4)),IF(AH!$U$5=1,INDEX('Live History'!$B$5:$B$3004,$K1380),INDEX('AH History'!$D$5:$GG$1380,$K1380,AH!$U$10))),NA()),NA())</f>
        <v/>
      </c>
      <c r="F1380" s="32">
        <f>IFERROR(IF(ISNUMBER($A1380),IF(AND(AH!$U$12=1,1375+1=AH!$U$6),IF(AH!$U$4=0,"unavailable",INDEX('Market Data'!$AO$5:$AO$66,AH!$U$4)),IF(AH!$U$5=1,INDEX('Live History'!$E$5:$E$3004,MATCH($A1380,'Live History'!$D$5:$D$3004,1)),INDEX('AH History'!$D$5:$GG$1380,$K1380,AH!$U$10+1))),NA()),NA())</f>
        <v/>
      </c>
      <c r="G1380" s="34">
        <f>IFERROR(IF(ISNUMBER($A1380),IF(AND(AH!$U$12=1,1375+1=AH!$U$6),IF(AH!$U$4=0,"unavailable",INDEX('Market Data'!$AK$5:$AK$66,AH!$U$4)),IF(AH!$U$5=1,INDEX('Live History'!$D$5:$D$3004,MATCH($A1380,'Live History'!$D$5:$D$3004,1)),INDEX('AH History'!$D$5:$GG$1380,$K1380,AH!$U$10+2))),NA()),NA())</f>
        <v/>
      </c>
      <c r="H1380" s="266">
        <f>IFERROR(IF(ISNUMBER($A1380),IF(AND(AH!$U$12=1,1375+1=AH!$U$6),IF(AH!$U$4=0,"unavailable",INDEX('Market Data'!$AP$5:$AP$66,AH!$U$4)),IF(AH!$U$5=1,INDEX('Live History'!$H$5:$H$3004,MATCH($A1380,'Live History'!$G$5:$G$3004,1)),INDEX('AH History'!$B$5:$B$1380,$K1380))),NA()),NA())</f>
        <v/>
      </c>
      <c r="I1380" s="34">
        <f>IFERROR(IF(ISNUMBER($A1380),IF(AND(AH!$U$12=1,1375+1=AH!$U$6),TODAY(),IF(AH!$U$5=1,INDEX('Live History'!$G$5:$G$3004,MATCH($A1380,'Live History'!$G$5:$G$3004,1)),INDEX('AH History'!$C$5:$C$1380,$K1380))),NA()),NA())</f>
        <v/>
      </c>
      <c r="J1380" s="32">
        <f>IFERROR(IF(AND($F1380&gt;0,$H1380&gt;0,$A1380-$G1380&lt;=10,$A1380-$I1380&lt;=5,$G1380&gt;0,$I1380&gt;0),$F1380*$H1380,NA()),NA())</f>
        <v/>
      </c>
      <c r="K1380" s="15">
        <f>IF($A1380="","",IF(AH!$U$5=1,IFERROR(MATCH($A1380,'Live History'!$A$5:$A$3004,0),0),AH!$U$7+1375))</f>
        <v/>
      </c>
      <c r="L1380" s="15">
        <f>IF(ISNUMBER(A1380),TEXT(A1380,"dd-mmm-yy"),"")</f>
        <v/>
      </c>
    </row>
    <row r="1381">
      <c r="A1381" s="14">
        <f>IF(OR(AH!$U$4=0,1376+1&gt;AH!$U$6,AND(AH!$M$5="Bloomberg",AH!$U$5=0)),"",IFERROR(IF(AND(AH!$U$12=1,1376+1=AH!$U$6),TODAY(),IF(AH!$U$5=1,INDEX('Live History'!$A$5:$A$3004,AH!$U$7+1376),INDEX('AH History'!$A$5:$A$1380,AH!$U$7+1376))),""))</f>
        <v/>
      </c>
      <c r="B1381" s="33">
        <f>IFERROR(IF(AH!$U$11=1,NA(),$J1381/$E1381-1),NA())</f>
        <v/>
      </c>
      <c r="C1381" s="269">
        <f>IFERROR(100*$E1381/$E$5,NA())</f>
        <v/>
      </c>
      <c r="D1381" s="269">
        <f>IFERROR(100*$J1381/$J$5,NA())</f>
        <v/>
      </c>
      <c r="E1381" s="32">
        <f>IFERROR(IF(AND(ISNUMBER($A1381),N(IF(AND(AH!$U$12=1,1376+1=AH!$U$6),IF(AH!$U$4=0,"unavailable",INDEX('Market Data'!$AN$5:$AN$66,AH!$U$4)),IF(AH!$U$5=1,INDEX('Live History'!$B$5:$B$3004,$K1381),INDEX('AH History'!$D$5:$GG$1380,$K1381,AH!$U$10))))&gt;0),IF(AND(AH!$U$12=1,1376+1=AH!$U$6),IF(AH!$U$4=0,"unavailable",INDEX('Market Data'!$AN$5:$AN$66,AH!$U$4)),IF(AH!$U$5=1,INDEX('Live History'!$B$5:$B$3004,$K1381),INDEX('AH History'!$D$5:$GG$1380,$K1381,AH!$U$10))),NA()),NA())</f>
        <v/>
      </c>
      <c r="F1381" s="32">
        <f>IFERROR(IF(ISNUMBER($A1381),IF(AND(AH!$U$12=1,1376+1=AH!$U$6),IF(AH!$U$4=0,"unavailable",INDEX('Market Data'!$AO$5:$AO$66,AH!$U$4)),IF(AH!$U$5=1,INDEX('Live History'!$E$5:$E$3004,MATCH($A1381,'Live History'!$D$5:$D$3004,1)),INDEX('AH History'!$D$5:$GG$1380,$K1381,AH!$U$10+1))),NA()),NA())</f>
        <v/>
      </c>
      <c r="G1381" s="34">
        <f>IFERROR(IF(ISNUMBER($A1381),IF(AND(AH!$U$12=1,1376+1=AH!$U$6),IF(AH!$U$4=0,"unavailable",INDEX('Market Data'!$AK$5:$AK$66,AH!$U$4)),IF(AH!$U$5=1,INDEX('Live History'!$D$5:$D$3004,MATCH($A1381,'Live History'!$D$5:$D$3004,1)),INDEX('AH History'!$D$5:$GG$1380,$K1381,AH!$U$10+2))),NA()),NA())</f>
        <v/>
      </c>
      <c r="H1381" s="266">
        <f>IFERROR(IF(ISNUMBER($A1381),IF(AND(AH!$U$12=1,1376+1=AH!$U$6),IF(AH!$U$4=0,"unavailable",INDEX('Market Data'!$AP$5:$AP$66,AH!$U$4)),IF(AH!$U$5=1,INDEX('Live History'!$H$5:$H$3004,MATCH($A1381,'Live History'!$G$5:$G$3004,1)),INDEX('AH History'!$B$5:$B$1380,$K1381))),NA()),NA())</f>
        <v/>
      </c>
      <c r="I1381" s="34">
        <f>IFERROR(IF(ISNUMBER($A1381),IF(AND(AH!$U$12=1,1376+1=AH!$U$6),TODAY(),IF(AH!$U$5=1,INDEX('Live History'!$G$5:$G$3004,MATCH($A1381,'Live History'!$G$5:$G$3004,1)),INDEX('AH History'!$C$5:$C$1380,$K1381))),NA()),NA())</f>
        <v/>
      </c>
      <c r="J1381" s="32">
        <f>IFERROR(IF(AND($F1381&gt;0,$H1381&gt;0,$A1381-$G1381&lt;=10,$A1381-$I1381&lt;=5,$G1381&gt;0,$I1381&gt;0),$F1381*$H1381,NA()),NA())</f>
        <v/>
      </c>
      <c r="K1381" s="15">
        <f>IF($A1381="","",IF(AH!$U$5=1,IFERROR(MATCH($A1381,'Live History'!$A$5:$A$3004,0),0),AH!$U$7+1376))</f>
        <v/>
      </c>
      <c r="L1381" s="15">
        <f>IF(ISNUMBER(A1381),TEXT(A1381,"dd-mmm-yy"),"")</f>
        <v/>
      </c>
    </row>
    <row r="1382">
      <c r="A1382" s="14">
        <f>IF(OR(AH!$U$4=0,1377+1&gt;AH!$U$6,AND(AH!$M$5="Bloomberg",AH!$U$5=0)),"",IFERROR(IF(AND(AH!$U$12=1,1377+1=AH!$U$6),TODAY(),IF(AH!$U$5=1,INDEX('Live History'!$A$5:$A$3004,AH!$U$7+1377),INDEX('AH History'!$A$5:$A$1380,AH!$U$7+1377))),""))</f>
        <v/>
      </c>
      <c r="B1382" s="33">
        <f>IFERROR(IF(AH!$U$11=1,NA(),$J1382/$E1382-1),NA())</f>
        <v/>
      </c>
      <c r="C1382" s="269">
        <f>IFERROR(100*$E1382/$E$5,NA())</f>
        <v/>
      </c>
      <c r="D1382" s="269">
        <f>IFERROR(100*$J1382/$J$5,NA())</f>
        <v/>
      </c>
      <c r="E1382" s="32">
        <f>IFERROR(IF(AND(ISNUMBER($A1382),N(IF(AND(AH!$U$12=1,1377+1=AH!$U$6),IF(AH!$U$4=0,"unavailable",INDEX('Market Data'!$AN$5:$AN$66,AH!$U$4)),IF(AH!$U$5=1,INDEX('Live History'!$B$5:$B$3004,$K1382),INDEX('AH History'!$D$5:$GG$1380,$K1382,AH!$U$10))))&gt;0),IF(AND(AH!$U$12=1,1377+1=AH!$U$6),IF(AH!$U$4=0,"unavailable",INDEX('Market Data'!$AN$5:$AN$66,AH!$U$4)),IF(AH!$U$5=1,INDEX('Live History'!$B$5:$B$3004,$K1382),INDEX('AH History'!$D$5:$GG$1380,$K1382,AH!$U$10))),NA()),NA())</f>
        <v/>
      </c>
      <c r="F1382" s="32">
        <f>IFERROR(IF(ISNUMBER($A1382),IF(AND(AH!$U$12=1,1377+1=AH!$U$6),IF(AH!$U$4=0,"unavailable",INDEX('Market Data'!$AO$5:$AO$66,AH!$U$4)),IF(AH!$U$5=1,INDEX('Live History'!$E$5:$E$3004,MATCH($A1382,'Live History'!$D$5:$D$3004,1)),INDEX('AH History'!$D$5:$GG$1380,$K1382,AH!$U$10+1))),NA()),NA())</f>
        <v/>
      </c>
      <c r="G1382" s="34">
        <f>IFERROR(IF(ISNUMBER($A1382),IF(AND(AH!$U$12=1,1377+1=AH!$U$6),IF(AH!$U$4=0,"unavailable",INDEX('Market Data'!$AK$5:$AK$66,AH!$U$4)),IF(AH!$U$5=1,INDEX('Live History'!$D$5:$D$3004,MATCH($A1382,'Live History'!$D$5:$D$3004,1)),INDEX('AH History'!$D$5:$GG$1380,$K1382,AH!$U$10+2))),NA()),NA())</f>
        <v/>
      </c>
      <c r="H1382" s="266">
        <f>IFERROR(IF(ISNUMBER($A1382),IF(AND(AH!$U$12=1,1377+1=AH!$U$6),IF(AH!$U$4=0,"unavailable",INDEX('Market Data'!$AP$5:$AP$66,AH!$U$4)),IF(AH!$U$5=1,INDEX('Live History'!$H$5:$H$3004,MATCH($A1382,'Live History'!$G$5:$G$3004,1)),INDEX('AH History'!$B$5:$B$1380,$K1382))),NA()),NA())</f>
        <v/>
      </c>
      <c r="I1382" s="34">
        <f>IFERROR(IF(ISNUMBER($A1382),IF(AND(AH!$U$12=1,1377+1=AH!$U$6),TODAY(),IF(AH!$U$5=1,INDEX('Live History'!$G$5:$G$3004,MATCH($A1382,'Live History'!$G$5:$G$3004,1)),INDEX('AH History'!$C$5:$C$1380,$K1382))),NA()),NA())</f>
        <v/>
      </c>
      <c r="J1382" s="32">
        <f>IFERROR(IF(AND($F1382&gt;0,$H1382&gt;0,$A1382-$G1382&lt;=10,$A1382-$I1382&lt;=5,$G1382&gt;0,$I1382&gt;0),$F1382*$H1382,NA()),NA())</f>
        <v/>
      </c>
      <c r="K1382" s="15">
        <f>IF($A1382="","",IF(AH!$U$5=1,IFERROR(MATCH($A1382,'Live History'!$A$5:$A$3004,0),0),AH!$U$7+1377))</f>
        <v/>
      </c>
      <c r="L1382" s="15">
        <f>IF(ISNUMBER(A1382),TEXT(A1382,"dd-mmm-yy"),"")</f>
        <v/>
      </c>
    </row>
    <row r="1383">
      <c r="A1383" s="14">
        <f>IF(OR(AH!$U$4=0,1378+1&gt;AH!$U$6,AND(AH!$M$5="Bloomberg",AH!$U$5=0)),"",IFERROR(IF(AND(AH!$U$12=1,1378+1=AH!$U$6),TODAY(),IF(AH!$U$5=1,INDEX('Live History'!$A$5:$A$3004,AH!$U$7+1378),INDEX('AH History'!$A$5:$A$1380,AH!$U$7+1378))),""))</f>
        <v/>
      </c>
      <c r="B1383" s="33">
        <f>IFERROR(IF(AH!$U$11=1,NA(),$J1383/$E1383-1),NA())</f>
        <v/>
      </c>
      <c r="C1383" s="269">
        <f>IFERROR(100*$E1383/$E$5,NA())</f>
        <v/>
      </c>
      <c r="D1383" s="269">
        <f>IFERROR(100*$J1383/$J$5,NA())</f>
        <v/>
      </c>
      <c r="E1383" s="32">
        <f>IFERROR(IF(AND(ISNUMBER($A1383),N(IF(AND(AH!$U$12=1,1378+1=AH!$U$6),IF(AH!$U$4=0,"unavailable",INDEX('Market Data'!$AN$5:$AN$66,AH!$U$4)),IF(AH!$U$5=1,INDEX('Live History'!$B$5:$B$3004,$K1383),INDEX('AH History'!$D$5:$GG$1380,$K1383,AH!$U$10))))&gt;0),IF(AND(AH!$U$12=1,1378+1=AH!$U$6),IF(AH!$U$4=0,"unavailable",INDEX('Market Data'!$AN$5:$AN$66,AH!$U$4)),IF(AH!$U$5=1,INDEX('Live History'!$B$5:$B$3004,$K1383),INDEX('AH History'!$D$5:$GG$1380,$K1383,AH!$U$10))),NA()),NA())</f>
        <v/>
      </c>
      <c r="F1383" s="32">
        <f>IFERROR(IF(ISNUMBER($A1383),IF(AND(AH!$U$12=1,1378+1=AH!$U$6),IF(AH!$U$4=0,"unavailable",INDEX('Market Data'!$AO$5:$AO$66,AH!$U$4)),IF(AH!$U$5=1,INDEX('Live History'!$E$5:$E$3004,MATCH($A1383,'Live History'!$D$5:$D$3004,1)),INDEX('AH History'!$D$5:$GG$1380,$K1383,AH!$U$10+1))),NA()),NA())</f>
        <v/>
      </c>
      <c r="G1383" s="34">
        <f>IFERROR(IF(ISNUMBER($A1383),IF(AND(AH!$U$12=1,1378+1=AH!$U$6),IF(AH!$U$4=0,"unavailable",INDEX('Market Data'!$AK$5:$AK$66,AH!$U$4)),IF(AH!$U$5=1,INDEX('Live History'!$D$5:$D$3004,MATCH($A1383,'Live History'!$D$5:$D$3004,1)),INDEX('AH History'!$D$5:$GG$1380,$K1383,AH!$U$10+2))),NA()),NA())</f>
        <v/>
      </c>
      <c r="H1383" s="266">
        <f>IFERROR(IF(ISNUMBER($A1383),IF(AND(AH!$U$12=1,1378+1=AH!$U$6),IF(AH!$U$4=0,"unavailable",INDEX('Market Data'!$AP$5:$AP$66,AH!$U$4)),IF(AH!$U$5=1,INDEX('Live History'!$H$5:$H$3004,MATCH($A1383,'Live History'!$G$5:$G$3004,1)),INDEX('AH History'!$B$5:$B$1380,$K1383))),NA()),NA())</f>
        <v/>
      </c>
      <c r="I1383" s="34">
        <f>IFERROR(IF(ISNUMBER($A1383),IF(AND(AH!$U$12=1,1378+1=AH!$U$6),TODAY(),IF(AH!$U$5=1,INDEX('Live History'!$G$5:$G$3004,MATCH($A1383,'Live History'!$G$5:$G$3004,1)),INDEX('AH History'!$C$5:$C$1380,$K1383))),NA()),NA())</f>
        <v/>
      </c>
      <c r="J1383" s="32">
        <f>IFERROR(IF(AND($F1383&gt;0,$H1383&gt;0,$A1383-$G1383&lt;=10,$A1383-$I1383&lt;=5,$G1383&gt;0,$I1383&gt;0),$F1383*$H1383,NA()),NA())</f>
        <v/>
      </c>
      <c r="K1383" s="15">
        <f>IF($A1383="","",IF(AH!$U$5=1,IFERROR(MATCH($A1383,'Live History'!$A$5:$A$3004,0),0),AH!$U$7+1378))</f>
        <v/>
      </c>
      <c r="L1383" s="15">
        <f>IF(ISNUMBER(A1383),TEXT(A1383,"dd-mmm-yy"),"")</f>
        <v/>
      </c>
    </row>
    <row r="1384">
      <c r="A1384" s="14">
        <f>IF(OR(AH!$U$4=0,1379+1&gt;AH!$U$6,AND(AH!$M$5="Bloomberg",AH!$U$5=0)),"",IFERROR(IF(AND(AH!$U$12=1,1379+1=AH!$U$6),TODAY(),IF(AH!$U$5=1,INDEX('Live History'!$A$5:$A$3004,AH!$U$7+1379),INDEX('AH History'!$A$5:$A$1380,AH!$U$7+1379))),""))</f>
        <v/>
      </c>
      <c r="B1384" s="33">
        <f>IFERROR(IF(AH!$U$11=1,NA(),$J1384/$E1384-1),NA())</f>
        <v/>
      </c>
      <c r="C1384" s="269">
        <f>IFERROR(100*$E1384/$E$5,NA())</f>
        <v/>
      </c>
      <c r="D1384" s="269">
        <f>IFERROR(100*$J1384/$J$5,NA())</f>
        <v/>
      </c>
      <c r="E1384" s="32">
        <f>IFERROR(IF(AND(ISNUMBER($A1384),N(IF(AND(AH!$U$12=1,1379+1=AH!$U$6),IF(AH!$U$4=0,"unavailable",INDEX('Market Data'!$AN$5:$AN$66,AH!$U$4)),IF(AH!$U$5=1,INDEX('Live History'!$B$5:$B$3004,$K1384),INDEX('AH History'!$D$5:$GG$1380,$K1384,AH!$U$10))))&gt;0),IF(AND(AH!$U$12=1,1379+1=AH!$U$6),IF(AH!$U$4=0,"unavailable",INDEX('Market Data'!$AN$5:$AN$66,AH!$U$4)),IF(AH!$U$5=1,INDEX('Live History'!$B$5:$B$3004,$K1384),INDEX('AH History'!$D$5:$GG$1380,$K1384,AH!$U$10))),NA()),NA())</f>
        <v/>
      </c>
      <c r="F1384" s="32">
        <f>IFERROR(IF(ISNUMBER($A1384),IF(AND(AH!$U$12=1,1379+1=AH!$U$6),IF(AH!$U$4=0,"unavailable",INDEX('Market Data'!$AO$5:$AO$66,AH!$U$4)),IF(AH!$U$5=1,INDEX('Live History'!$E$5:$E$3004,MATCH($A1384,'Live History'!$D$5:$D$3004,1)),INDEX('AH History'!$D$5:$GG$1380,$K1384,AH!$U$10+1))),NA()),NA())</f>
        <v/>
      </c>
      <c r="G1384" s="34">
        <f>IFERROR(IF(ISNUMBER($A1384),IF(AND(AH!$U$12=1,1379+1=AH!$U$6),IF(AH!$U$4=0,"unavailable",INDEX('Market Data'!$AK$5:$AK$66,AH!$U$4)),IF(AH!$U$5=1,INDEX('Live History'!$D$5:$D$3004,MATCH($A1384,'Live History'!$D$5:$D$3004,1)),INDEX('AH History'!$D$5:$GG$1380,$K1384,AH!$U$10+2))),NA()),NA())</f>
        <v/>
      </c>
      <c r="H1384" s="266">
        <f>IFERROR(IF(ISNUMBER($A1384),IF(AND(AH!$U$12=1,1379+1=AH!$U$6),IF(AH!$U$4=0,"unavailable",INDEX('Market Data'!$AP$5:$AP$66,AH!$U$4)),IF(AH!$U$5=1,INDEX('Live History'!$H$5:$H$3004,MATCH($A1384,'Live History'!$G$5:$G$3004,1)),INDEX('AH History'!$B$5:$B$1380,$K1384))),NA()),NA())</f>
        <v/>
      </c>
      <c r="I1384" s="34">
        <f>IFERROR(IF(ISNUMBER($A1384),IF(AND(AH!$U$12=1,1379+1=AH!$U$6),TODAY(),IF(AH!$U$5=1,INDEX('Live History'!$G$5:$G$3004,MATCH($A1384,'Live History'!$G$5:$G$3004,1)),INDEX('AH History'!$C$5:$C$1380,$K1384))),NA()),NA())</f>
        <v/>
      </c>
      <c r="J1384" s="32">
        <f>IFERROR(IF(AND($F1384&gt;0,$H1384&gt;0,$A1384-$G1384&lt;=10,$A1384-$I1384&lt;=5,$G1384&gt;0,$I1384&gt;0),$F1384*$H1384,NA()),NA())</f>
        <v/>
      </c>
      <c r="K1384" s="15">
        <f>IF($A1384="","",IF(AH!$U$5=1,IFERROR(MATCH($A1384,'Live History'!$A$5:$A$3004,0),0),AH!$U$7+1379))</f>
        <v/>
      </c>
      <c r="L1384" s="15">
        <f>IF(ISNUMBER(A1384),TEXT(A1384,"dd-mmm-yy"),"")</f>
        <v/>
      </c>
    </row>
    <row r="1385">
      <c r="A1385" s="14">
        <f>IF(OR(AH!$U$4=0,1380+1&gt;AH!$U$6,AND(AH!$M$5="Bloomberg",AH!$U$5=0)),"",IFERROR(IF(AND(AH!$U$12=1,1380+1=AH!$U$6),TODAY(),IF(AH!$U$5=1,INDEX('Live History'!$A$5:$A$3004,AH!$U$7+1380),INDEX('AH History'!$A$5:$A$1380,AH!$U$7+1380))),""))</f>
        <v/>
      </c>
      <c r="B1385" s="33">
        <f>IFERROR(IF(AH!$U$11=1,NA(),$J1385/$E1385-1),NA())</f>
        <v/>
      </c>
      <c r="C1385" s="269">
        <f>IFERROR(100*$E1385/$E$5,NA())</f>
        <v/>
      </c>
      <c r="D1385" s="269">
        <f>IFERROR(100*$J1385/$J$5,NA())</f>
        <v/>
      </c>
      <c r="E1385" s="32">
        <f>IFERROR(IF(AND(ISNUMBER($A1385),N(IF(AND(AH!$U$12=1,1380+1=AH!$U$6),IF(AH!$U$4=0,"unavailable",INDEX('Market Data'!$AN$5:$AN$66,AH!$U$4)),IF(AH!$U$5=1,INDEX('Live History'!$B$5:$B$3004,$K1385),INDEX('AH History'!$D$5:$GG$1380,$K1385,AH!$U$10))))&gt;0),IF(AND(AH!$U$12=1,1380+1=AH!$U$6),IF(AH!$U$4=0,"unavailable",INDEX('Market Data'!$AN$5:$AN$66,AH!$U$4)),IF(AH!$U$5=1,INDEX('Live History'!$B$5:$B$3004,$K1385),INDEX('AH History'!$D$5:$GG$1380,$K1385,AH!$U$10))),NA()),NA())</f>
        <v/>
      </c>
      <c r="F1385" s="32">
        <f>IFERROR(IF(ISNUMBER($A1385),IF(AND(AH!$U$12=1,1380+1=AH!$U$6),IF(AH!$U$4=0,"unavailable",INDEX('Market Data'!$AO$5:$AO$66,AH!$U$4)),IF(AH!$U$5=1,INDEX('Live History'!$E$5:$E$3004,MATCH($A1385,'Live History'!$D$5:$D$3004,1)),INDEX('AH History'!$D$5:$GG$1380,$K1385,AH!$U$10+1))),NA()),NA())</f>
        <v/>
      </c>
      <c r="G1385" s="34">
        <f>IFERROR(IF(ISNUMBER($A1385),IF(AND(AH!$U$12=1,1380+1=AH!$U$6),IF(AH!$U$4=0,"unavailable",INDEX('Market Data'!$AK$5:$AK$66,AH!$U$4)),IF(AH!$U$5=1,INDEX('Live History'!$D$5:$D$3004,MATCH($A1385,'Live History'!$D$5:$D$3004,1)),INDEX('AH History'!$D$5:$GG$1380,$K1385,AH!$U$10+2))),NA()),NA())</f>
        <v/>
      </c>
      <c r="H1385" s="266">
        <f>IFERROR(IF(ISNUMBER($A1385),IF(AND(AH!$U$12=1,1380+1=AH!$U$6),IF(AH!$U$4=0,"unavailable",INDEX('Market Data'!$AP$5:$AP$66,AH!$U$4)),IF(AH!$U$5=1,INDEX('Live History'!$H$5:$H$3004,MATCH($A1385,'Live History'!$G$5:$G$3004,1)),INDEX('AH History'!$B$5:$B$1380,$K1385))),NA()),NA())</f>
        <v/>
      </c>
      <c r="I1385" s="34">
        <f>IFERROR(IF(ISNUMBER($A1385),IF(AND(AH!$U$12=1,1380+1=AH!$U$6),TODAY(),IF(AH!$U$5=1,INDEX('Live History'!$G$5:$G$3004,MATCH($A1385,'Live History'!$G$5:$G$3004,1)),INDEX('AH History'!$C$5:$C$1380,$K1385))),NA()),NA())</f>
        <v/>
      </c>
      <c r="J1385" s="32">
        <f>IFERROR(IF(AND($F1385&gt;0,$H1385&gt;0,$A1385-$G1385&lt;=10,$A1385-$I1385&lt;=5,$G1385&gt;0,$I1385&gt;0),$F1385*$H1385,NA()),NA())</f>
        <v/>
      </c>
      <c r="K1385" s="15">
        <f>IF($A1385="","",IF(AH!$U$5=1,IFERROR(MATCH($A1385,'Live History'!$A$5:$A$3004,0),0),AH!$U$7+1380))</f>
        <v/>
      </c>
      <c r="L1385" s="15">
        <f>IF(ISNUMBER(A1385),TEXT(A1385,"dd-mmm-yy"),"")</f>
        <v/>
      </c>
    </row>
    <row r="1386">
      <c r="A1386" s="14">
        <f>IF(OR(AH!$U$4=0,1381+1&gt;AH!$U$6,AND(AH!$M$5="Bloomberg",AH!$U$5=0)),"",IFERROR(IF(AND(AH!$U$12=1,1381+1=AH!$U$6),TODAY(),IF(AH!$U$5=1,INDEX('Live History'!$A$5:$A$3004,AH!$U$7+1381),INDEX('AH History'!$A$5:$A$1380,AH!$U$7+1381))),""))</f>
        <v/>
      </c>
      <c r="B1386" s="33">
        <f>IFERROR(IF(AH!$U$11=1,NA(),$J1386/$E1386-1),NA())</f>
        <v/>
      </c>
      <c r="C1386" s="269">
        <f>IFERROR(100*$E1386/$E$5,NA())</f>
        <v/>
      </c>
      <c r="D1386" s="269">
        <f>IFERROR(100*$J1386/$J$5,NA())</f>
        <v/>
      </c>
      <c r="E1386" s="32">
        <f>IFERROR(IF(AND(ISNUMBER($A1386),N(IF(AND(AH!$U$12=1,1381+1=AH!$U$6),IF(AH!$U$4=0,"unavailable",INDEX('Market Data'!$AN$5:$AN$66,AH!$U$4)),IF(AH!$U$5=1,INDEX('Live History'!$B$5:$B$3004,$K1386),INDEX('AH History'!$D$5:$GG$1380,$K1386,AH!$U$10))))&gt;0),IF(AND(AH!$U$12=1,1381+1=AH!$U$6),IF(AH!$U$4=0,"unavailable",INDEX('Market Data'!$AN$5:$AN$66,AH!$U$4)),IF(AH!$U$5=1,INDEX('Live History'!$B$5:$B$3004,$K1386),INDEX('AH History'!$D$5:$GG$1380,$K1386,AH!$U$10))),NA()),NA())</f>
        <v/>
      </c>
      <c r="F1386" s="32">
        <f>IFERROR(IF(ISNUMBER($A1386),IF(AND(AH!$U$12=1,1381+1=AH!$U$6),IF(AH!$U$4=0,"unavailable",INDEX('Market Data'!$AO$5:$AO$66,AH!$U$4)),IF(AH!$U$5=1,INDEX('Live History'!$E$5:$E$3004,MATCH($A1386,'Live History'!$D$5:$D$3004,1)),INDEX('AH History'!$D$5:$GG$1380,$K1386,AH!$U$10+1))),NA()),NA())</f>
        <v/>
      </c>
      <c r="G1386" s="34">
        <f>IFERROR(IF(ISNUMBER($A1386),IF(AND(AH!$U$12=1,1381+1=AH!$U$6),IF(AH!$U$4=0,"unavailable",INDEX('Market Data'!$AK$5:$AK$66,AH!$U$4)),IF(AH!$U$5=1,INDEX('Live History'!$D$5:$D$3004,MATCH($A1386,'Live History'!$D$5:$D$3004,1)),INDEX('AH History'!$D$5:$GG$1380,$K1386,AH!$U$10+2))),NA()),NA())</f>
        <v/>
      </c>
      <c r="H1386" s="266">
        <f>IFERROR(IF(ISNUMBER($A1386),IF(AND(AH!$U$12=1,1381+1=AH!$U$6),IF(AH!$U$4=0,"unavailable",INDEX('Market Data'!$AP$5:$AP$66,AH!$U$4)),IF(AH!$U$5=1,INDEX('Live History'!$H$5:$H$3004,MATCH($A1386,'Live History'!$G$5:$G$3004,1)),INDEX('AH History'!$B$5:$B$1380,$K1386))),NA()),NA())</f>
        <v/>
      </c>
      <c r="I1386" s="34">
        <f>IFERROR(IF(ISNUMBER($A1386),IF(AND(AH!$U$12=1,1381+1=AH!$U$6),TODAY(),IF(AH!$U$5=1,INDEX('Live History'!$G$5:$G$3004,MATCH($A1386,'Live History'!$G$5:$G$3004,1)),INDEX('AH History'!$C$5:$C$1380,$K1386))),NA()),NA())</f>
        <v/>
      </c>
      <c r="J1386" s="32">
        <f>IFERROR(IF(AND($F1386&gt;0,$H1386&gt;0,$A1386-$G1386&lt;=10,$A1386-$I1386&lt;=5,$G1386&gt;0,$I1386&gt;0),$F1386*$H1386,NA()),NA())</f>
        <v/>
      </c>
      <c r="K1386" s="15">
        <f>IF($A1386="","",IF(AH!$U$5=1,IFERROR(MATCH($A1386,'Live History'!$A$5:$A$3004,0),0),AH!$U$7+1381))</f>
        <v/>
      </c>
      <c r="L1386" s="15">
        <f>IF(ISNUMBER(A1386),TEXT(A1386,"dd-mmm-yy"),"")</f>
        <v/>
      </c>
    </row>
    <row r="1387">
      <c r="A1387" s="14">
        <f>IF(OR(AH!$U$4=0,1382+1&gt;AH!$U$6,AND(AH!$M$5="Bloomberg",AH!$U$5=0)),"",IFERROR(IF(AND(AH!$U$12=1,1382+1=AH!$U$6),TODAY(),IF(AH!$U$5=1,INDEX('Live History'!$A$5:$A$3004,AH!$U$7+1382),INDEX('AH History'!$A$5:$A$1380,AH!$U$7+1382))),""))</f>
        <v/>
      </c>
      <c r="B1387" s="33">
        <f>IFERROR(IF(AH!$U$11=1,NA(),$J1387/$E1387-1),NA())</f>
        <v/>
      </c>
      <c r="C1387" s="269">
        <f>IFERROR(100*$E1387/$E$5,NA())</f>
        <v/>
      </c>
      <c r="D1387" s="269">
        <f>IFERROR(100*$J1387/$J$5,NA())</f>
        <v/>
      </c>
      <c r="E1387" s="32">
        <f>IFERROR(IF(AND(ISNUMBER($A1387),N(IF(AND(AH!$U$12=1,1382+1=AH!$U$6),IF(AH!$U$4=0,"unavailable",INDEX('Market Data'!$AN$5:$AN$66,AH!$U$4)),IF(AH!$U$5=1,INDEX('Live History'!$B$5:$B$3004,$K1387),INDEX('AH History'!$D$5:$GG$1380,$K1387,AH!$U$10))))&gt;0),IF(AND(AH!$U$12=1,1382+1=AH!$U$6),IF(AH!$U$4=0,"unavailable",INDEX('Market Data'!$AN$5:$AN$66,AH!$U$4)),IF(AH!$U$5=1,INDEX('Live History'!$B$5:$B$3004,$K1387),INDEX('AH History'!$D$5:$GG$1380,$K1387,AH!$U$10))),NA()),NA())</f>
        <v/>
      </c>
      <c r="F1387" s="32">
        <f>IFERROR(IF(ISNUMBER($A1387),IF(AND(AH!$U$12=1,1382+1=AH!$U$6),IF(AH!$U$4=0,"unavailable",INDEX('Market Data'!$AO$5:$AO$66,AH!$U$4)),IF(AH!$U$5=1,INDEX('Live History'!$E$5:$E$3004,MATCH($A1387,'Live History'!$D$5:$D$3004,1)),INDEX('AH History'!$D$5:$GG$1380,$K1387,AH!$U$10+1))),NA()),NA())</f>
        <v/>
      </c>
      <c r="G1387" s="34">
        <f>IFERROR(IF(ISNUMBER($A1387),IF(AND(AH!$U$12=1,1382+1=AH!$U$6),IF(AH!$U$4=0,"unavailable",INDEX('Market Data'!$AK$5:$AK$66,AH!$U$4)),IF(AH!$U$5=1,INDEX('Live History'!$D$5:$D$3004,MATCH($A1387,'Live History'!$D$5:$D$3004,1)),INDEX('AH History'!$D$5:$GG$1380,$K1387,AH!$U$10+2))),NA()),NA())</f>
        <v/>
      </c>
      <c r="H1387" s="266">
        <f>IFERROR(IF(ISNUMBER($A1387),IF(AND(AH!$U$12=1,1382+1=AH!$U$6),IF(AH!$U$4=0,"unavailable",INDEX('Market Data'!$AP$5:$AP$66,AH!$U$4)),IF(AH!$U$5=1,INDEX('Live History'!$H$5:$H$3004,MATCH($A1387,'Live History'!$G$5:$G$3004,1)),INDEX('AH History'!$B$5:$B$1380,$K1387))),NA()),NA())</f>
        <v/>
      </c>
      <c r="I1387" s="34">
        <f>IFERROR(IF(ISNUMBER($A1387),IF(AND(AH!$U$12=1,1382+1=AH!$U$6),TODAY(),IF(AH!$U$5=1,INDEX('Live History'!$G$5:$G$3004,MATCH($A1387,'Live History'!$G$5:$G$3004,1)),INDEX('AH History'!$C$5:$C$1380,$K1387))),NA()),NA())</f>
        <v/>
      </c>
      <c r="J1387" s="32">
        <f>IFERROR(IF(AND($F1387&gt;0,$H1387&gt;0,$A1387-$G1387&lt;=10,$A1387-$I1387&lt;=5,$G1387&gt;0,$I1387&gt;0),$F1387*$H1387,NA()),NA())</f>
        <v/>
      </c>
      <c r="K1387" s="15">
        <f>IF($A1387="","",IF(AH!$U$5=1,IFERROR(MATCH($A1387,'Live History'!$A$5:$A$3004,0),0),AH!$U$7+1382))</f>
        <v/>
      </c>
      <c r="L1387" s="15">
        <f>IF(ISNUMBER(A1387),TEXT(A1387,"dd-mmm-yy"),"")</f>
        <v/>
      </c>
    </row>
    <row r="1388">
      <c r="A1388" s="14">
        <f>IF(OR(AH!$U$4=0,1383+1&gt;AH!$U$6,AND(AH!$M$5="Bloomberg",AH!$U$5=0)),"",IFERROR(IF(AND(AH!$U$12=1,1383+1=AH!$U$6),TODAY(),IF(AH!$U$5=1,INDEX('Live History'!$A$5:$A$3004,AH!$U$7+1383),INDEX('AH History'!$A$5:$A$1380,AH!$U$7+1383))),""))</f>
        <v/>
      </c>
      <c r="B1388" s="33">
        <f>IFERROR(IF(AH!$U$11=1,NA(),$J1388/$E1388-1),NA())</f>
        <v/>
      </c>
      <c r="C1388" s="269">
        <f>IFERROR(100*$E1388/$E$5,NA())</f>
        <v/>
      </c>
      <c r="D1388" s="269">
        <f>IFERROR(100*$J1388/$J$5,NA())</f>
        <v/>
      </c>
      <c r="E1388" s="32">
        <f>IFERROR(IF(AND(ISNUMBER($A1388),N(IF(AND(AH!$U$12=1,1383+1=AH!$U$6),IF(AH!$U$4=0,"unavailable",INDEX('Market Data'!$AN$5:$AN$66,AH!$U$4)),IF(AH!$U$5=1,INDEX('Live History'!$B$5:$B$3004,$K1388),INDEX('AH History'!$D$5:$GG$1380,$K1388,AH!$U$10))))&gt;0),IF(AND(AH!$U$12=1,1383+1=AH!$U$6),IF(AH!$U$4=0,"unavailable",INDEX('Market Data'!$AN$5:$AN$66,AH!$U$4)),IF(AH!$U$5=1,INDEX('Live History'!$B$5:$B$3004,$K1388),INDEX('AH History'!$D$5:$GG$1380,$K1388,AH!$U$10))),NA()),NA())</f>
        <v/>
      </c>
      <c r="F1388" s="32">
        <f>IFERROR(IF(ISNUMBER($A1388),IF(AND(AH!$U$12=1,1383+1=AH!$U$6),IF(AH!$U$4=0,"unavailable",INDEX('Market Data'!$AO$5:$AO$66,AH!$U$4)),IF(AH!$U$5=1,INDEX('Live History'!$E$5:$E$3004,MATCH($A1388,'Live History'!$D$5:$D$3004,1)),INDEX('AH History'!$D$5:$GG$1380,$K1388,AH!$U$10+1))),NA()),NA())</f>
        <v/>
      </c>
      <c r="G1388" s="34">
        <f>IFERROR(IF(ISNUMBER($A1388),IF(AND(AH!$U$12=1,1383+1=AH!$U$6),IF(AH!$U$4=0,"unavailable",INDEX('Market Data'!$AK$5:$AK$66,AH!$U$4)),IF(AH!$U$5=1,INDEX('Live History'!$D$5:$D$3004,MATCH($A1388,'Live History'!$D$5:$D$3004,1)),INDEX('AH History'!$D$5:$GG$1380,$K1388,AH!$U$10+2))),NA()),NA())</f>
        <v/>
      </c>
      <c r="H1388" s="266">
        <f>IFERROR(IF(ISNUMBER($A1388),IF(AND(AH!$U$12=1,1383+1=AH!$U$6),IF(AH!$U$4=0,"unavailable",INDEX('Market Data'!$AP$5:$AP$66,AH!$U$4)),IF(AH!$U$5=1,INDEX('Live History'!$H$5:$H$3004,MATCH($A1388,'Live History'!$G$5:$G$3004,1)),INDEX('AH History'!$B$5:$B$1380,$K1388))),NA()),NA())</f>
        <v/>
      </c>
      <c r="I1388" s="34">
        <f>IFERROR(IF(ISNUMBER($A1388),IF(AND(AH!$U$12=1,1383+1=AH!$U$6),TODAY(),IF(AH!$U$5=1,INDEX('Live History'!$G$5:$G$3004,MATCH($A1388,'Live History'!$G$5:$G$3004,1)),INDEX('AH History'!$C$5:$C$1380,$K1388))),NA()),NA())</f>
        <v/>
      </c>
      <c r="J1388" s="32">
        <f>IFERROR(IF(AND($F1388&gt;0,$H1388&gt;0,$A1388-$G1388&lt;=10,$A1388-$I1388&lt;=5,$G1388&gt;0,$I1388&gt;0),$F1388*$H1388,NA()),NA())</f>
        <v/>
      </c>
      <c r="K1388" s="15">
        <f>IF($A1388="","",IF(AH!$U$5=1,IFERROR(MATCH($A1388,'Live History'!$A$5:$A$3004,0),0),AH!$U$7+1383))</f>
        <v/>
      </c>
      <c r="L1388" s="15">
        <f>IF(ISNUMBER(A1388),TEXT(A1388,"dd-mmm-yy"),"")</f>
        <v/>
      </c>
    </row>
    <row r="1389">
      <c r="A1389" s="14">
        <f>IF(OR(AH!$U$4=0,1384+1&gt;AH!$U$6,AND(AH!$M$5="Bloomberg",AH!$U$5=0)),"",IFERROR(IF(AND(AH!$U$12=1,1384+1=AH!$U$6),TODAY(),IF(AH!$U$5=1,INDEX('Live History'!$A$5:$A$3004,AH!$U$7+1384),INDEX('AH History'!$A$5:$A$1380,AH!$U$7+1384))),""))</f>
        <v/>
      </c>
      <c r="B1389" s="33">
        <f>IFERROR(IF(AH!$U$11=1,NA(),$J1389/$E1389-1),NA())</f>
        <v/>
      </c>
      <c r="C1389" s="269">
        <f>IFERROR(100*$E1389/$E$5,NA())</f>
        <v/>
      </c>
      <c r="D1389" s="269">
        <f>IFERROR(100*$J1389/$J$5,NA())</f>
        <v/>
      </c>
      <c r="E1389" s="32">
        <f>IFERROR(IF(AND(ISNUMBER($A1389),N(IF(AND(AH!$U$12=1,1384+1=AH!$U$6),IF(AH!$U$4=0,"unavailable",INDEX('Market Data'!$AN$5:$AN$66,AH!$U$4)),IF(AH!$U$5=1,INDEX('Live History'!$B$5:$B$3004,$K1389),INDEX('AH History'!$D$5:$GG$1380,$K1389,AH!$U$10))))&gt;0),IF(AND(AH!$U$12=1,1384+1=AH!$U$6),IF(AH!$U$4=0,"unavailable",INDEX('Market Data'!$AN$5:$AN$66,AH!$U$4)),IF(AH!$U$5=1,INDEX('Live History'!$B$5:$B$3004,$K1389),INDEX('AH History'!$D$5:$GG$1380,$K1389,AH!$U$10))),NA()),NA())</f>
        <v/>
      </c>
      <c r="F1389" s="32">
        <f>IFERROR(IF(ISNUMBER($A1389),IF(AND(AH!$U$12=1,1384+1=AH!$U$6),IF(AH!$U$4=0,"unavailable",INDEX('Market Data'!$AO$5:$AO$66,AH!$U$4)),IF(AH!$U$5=1,INDEX('Live History'!$E$5:$E$3004,MATCH($A1389,'Live History'!$D$5:$D$3004,1)),INDEX('AH History'!$D$5:$GG$1380,$K1389,AH!$U$10+1))),NA()),NA())</f>
        <v/>
      </c>
      <c r="G1389" s="34">
        <f>IFERROR(IF(ISNUMBER($A1389),IF(AND(AH!$U$12=1,1384+1=AH!$U$6),IF(AH!$U$4=0,"unavailable",INDEX('Market Data'!$AK$5:$AK$66,AH!$U$4)),IF(AH!$U$5=1,INDEX('Live History'!$D$5:$D$3004,MATCH($A1389,'Live History'!$D$5:$D$3004,1)),INDEX('AH History'!$D$5:$GG$1380,$K1389,AH!$U$10+2))),NA()),NA())</f>
        <v/>
      </c>
      <c r="H1389" s="266">
        <f>IFERROR(IF(ISNUMBER($A1389),IF(AND(AH!$U$12=1,1384+1=AH!$U$6),IF(AH!$U$4=0,"unavailable",INDEX('Market Data'!$AP$5:$AP$66,AH!$U$4)),IF(AH!$U$5=1,INDEX('Live History'!$H$5:$H$3004,MATCH($A1389,'Live History'!$G$5:$G$3004,1)),INDEX('AH History'!$B$5:$B$1380,$K1389))),NA()),NA())</f>
        <v/>
      </c>
      <c r="I1389" s="34">
        <f>IFERROR(IF(ISNUMBER($A1389),IF(AND(AH!$U$12=1,1384+1=AH!$U$6),TODAY(),IF(AH!$U$5=1,INDEX('Live History'!$G$5:$G$3004,MATCH($A1389,'Live History'!$G$5:$G$3004,1)),INDEX('AH History'!$C$5:$C$1380,$K1389))),NA()),NA())</f>
        <v/>
      </c>
      <c r="J1389" s="32">
        <f>IFERROR(IF(AND($F1389&gt;0,$H1389&gt;0,$A1389-$G1389&lt;=10,$A1389-$I1389&lt;=5,$G1389&gt;0,$I1389&gt;0),$F1389*$H1389,NA()),NA())</f>
        <v/>
      </c>
      <c r="K1389" s="15">
        <f>IF($A1389="","",IF(AH!$U$5=1,IFERROR(MATCH($A1389,'Live History'!$A$5:$A$3004,0),0),AH!$U$7+1384))</f>
        <v/>
      </c>
      <c r="L1389" s="15">
        <f>IF(ISNUMBER(A1389),TEXT(A1389,"dd-mmm-yy"),"")</f>
        <v/>
      </c>
    </row>
    <row r="1390">
      <c r="A1390" s="14">
        <f>IF(OR(AH!$U$4=0,1385+1&gt;AH!$U$6,AND(AH!$M$5="Bloomberg",AH!$U$5=0)),"",IFERROR(IF(AND(AH!$U$12=1,1385+1=AH!$U$6),TODAY(),IF(AH!$U$5=1,INDEX('Live History'!$A$5:$A$3004,AH!$U$7+1385),INDEX('AH History'!$A$5:$A$1380,AH!$U$7+1385))),""))</f>
        <v/>
      </c>
      <c r="B1390" s="33">
        <f>IFERROR(IF(AH!$U$11=1,NA(),$J1390/$E1390-1),NA())</f>
        <v/>
      </c>
      <c r="C1390" s="269">
        <f>IFERROR(100*$E1390/$E$5,NA())</f>
        <v/>
      </c>
      <c r="D1390" s="269">
        <f>IFERROR(100*$J1390/$J$5,NA())</f>
        <v/>
      </c>
      <c r="E1390" s="32">
        <f>IFERROR(IF(AND(ISNUMBER($A1390),N(IF(AND(AH!$U$12=1,1385+1=AH!$U$6),IF(AH!$U$4=0,"unavailable",INDEX('Market Data'!$AN$5:$AN$66,AH!$U$4)),IF(AH!$U$5=1,INDEX('Live History'!$B$5:$B$3004,$K1390),INDEX('AH History'!$D$5:$GG$1380,$K1390,AH!$U$10))))&gt;0),IF(AND(AH!$U$12=1,1385+1=AH!$U$6),IF(AH!$U$4=0,"unavailable",INDEX('Market Data'!$AN$5:$AN$66,AH!$U$4)),IF(AH!$U$5=1,INDEX('Live History'!$B$5:$B$3004,$K1390),INDEX('AH History'!$D$5:$GG$1380,$K1390,AH!$U$10))),NA()),NA())</f>
        <v/>
      </c>
      <c r="F1390" s="32">
        <f>IFERROR(IF(ISNUMBER($A1390),IF(AND(AH!$U$12=1,1385+1=AH!$U$6),IF(AH!$U$4=0,"unavailable",INDEX('Market Data'!$AO$5:$AO$66,AH!$U$4)),IF(AH!$U$5=1,INDEX('Live History'!$E$5:$E$3004,MATCH($A1390,'Live History'!$D$5:$D$3004,1)),INDEX('AH History'!$D$5:$GG$1380,$K1390,AH!$U$10+1))),NA()),NA())</f>
        <v/>
      </c>
      <c r="G1390" s="34">
        <f>IFERROR(IF(ISNUMBER($A1390),IF(AND(AH!$U$12=1,1385+1=AH!$U$6),IF(AH!$U$4=0,"unavailable",INDEX('Market Data'!$AK$5:$AK$66,AH!$U$4)),IF(AH!$U$5=1,INDEX('Live History'!$D$5:$D$3004,MATCH($A1390,'Live History'!$D$5:$D$3004,1)),INDEX('AH History'!$D$5:$GG$1380,$K1390,AH!$U$10+2))),NA()),NA())</f>
        <v/>
      </c>
      <c r="H1390" s="266">
        <f>IFERROR(IF(ISNUMBER($A1390),IF(AND(AH!$U$12=1,1385+1=AH!$U$6),IF(AH!$U$4=0,"unavailable",INDEX('Market Data'!$AP$5:$AP$66,AH!$U$4)),IF(AH!$U$5=1,INDEX('Live History'!$H$5:$H$3004,MATCH($A1390,'Live History'!$G$5:$G$3004,1)),INDEX('AH History'!$B$5:$B$1380,$K1390))),NA()),NA())</f>
        <v/>
      </c>
      <c r="I1390" s="34">
        <f>IFERROR(IF(ISNUMBER($A1390),IF(AND(AH!$U$12=1,1385+1=AH!$U$6),TODAY(),IF(AH!$U$5=1,INDEX('Live History'!$G$5:$G$3004,MATCH($A1390,'Live History'!$G$5:$G$3004,1)),INDEX('AH History'!$C$5:$C$1380,$K1390))),NA()),NA())</f>
        <v/>
      </c>
      <c r="J1390" s="32">
        <f>IFERROR(IF(AND($F1390&gt;0,$H1390&gt;0,$A1390-$G1390&lt;=10,$A1390-$I1390&lt;=5,$G1390&gt;0,$I1390&gt;0),$F1390*$H1390,NA()),NA())</f>
        <v/>
      </c>
      <c r="K1390" s="15">
        <f>IF($A1390="","",IF(AH!$U$5=1,IFERROR(MATCH($A1390,'Live History'!$A$5:$A$3004,0),0),AH!$U$7+1385))</f>
        <v/>
      </c>
      <c r="L1390" s="15">
        <f>IF(ISNUMBER(A1390),TEXT(A1390,"dd-mmm-yy"),"")</f>
        <v/>
      </c>
    </row>
    <row r="1391">
      <c r="A1391" s="14">
        <f>IF(OR(AH!$U$4=0,1386+1&gt;AH!$U$6,AND(AH!$M$5="Bloomberg",AH!$U$5=0)),"",IFERROR(IF(AND(AH!$U$12=1,1386+1=AH!$U$6),TODAY(),IF(AH!$U$5=1,INDEX('Live History'!$A$5:$A$3004,AH!$U$7+1386),INDEX('AH History'!$A$5:$A$1380,AH!$U$7+1386))),""))</f>
        <v/>
      </c>
      <c r="B1391" s="33">
        <f>IFERROR(IF(AH!$U$11=1,NA(),$J1391/$E1391-1),NA())</f>
        <v/>
      </c>
      <c r="C1391" s="269">
        <f>IFERROR(100*$E1391/$E$5,NA())</f>
        <v/>
      </c>
      <c r="D1391" s="269">
        <f>IFERROR(100*$J1391/$J$5,NA())</f>
        <v/>
      </c>
      <c r="E1391" s="32">
        <f>IFERROR(IF(AND(ISNUMBER($A1391),N(IF(AND(AH!$U$12=1,1386+1=AH!$U$6),IF(AH!$U$4=0,"unavailable",INDEX('Market Data'!$AN$5:$AN$66,AH!$U$4)),IF(AH!$U$5=1,INDEX('Live History'!$B$5:$B$3004,$K1391),INDEX('AH History'!$D$5:$GG$1380,$K1391,AH!$U$10))))&gt;0),IF(AND(AH!$U$12=1,1386+1=AH!$U$6),IF(AH!$U$4=0,"unavailable",INDEX('Market Data'!$AN$5:$AN$66,AH!$U$4)),IF(AH!$U$5=1,INDEX('Live History'!$B$5:$B$3004,$K1391),INDEX('AH History'!$D$5:$GG$1380,$K1391,AH!$U$10))),NA()),NA())</f>
        <v/>
      </c>
      <c r="F1391" s="32">
        <f>IFERROR(IF(ISNUMBER($A1391),IF(AND(AH!$U$12=1,1386+1=AH!$U$6),IF(AH!$U$4=0,"unavailable",INDEX('Market Data'!$AO$5:$AO$66,AH!$U$4)),IF(AH!$U$5=1,INDEX('Live History'!$E$5:$E$3004,MATCH($A1391,'Live History'!$D$5:$D$3004,1)),INDEX('AH History'!$D$5:$GG$1380,$K1391,AH!$U$10+1))),NA()),NA())</f>
        <v/>
      </c>
      <c r="G1391" s="34">
        <f>IFERROR(IF(ISNUMBER($A1391),IF(AND(AH!$U$12=1,1386+1=AH!$U$6),IF(AH!$U$4=0,"unavailable",INDEX('Market Data'!$AK$5:$AK$66,AH!$U$4)),IF(AH!$U$5=1,INDEX('Live History'!$D$5:$D$3004,MATCH($A1391,'Live History'!$D$5:$D$3004,1)),INDEX('AH History'!$D$5:$GG$1380,$K1391,AH!$U$10+2))),NA()),NA())</f>
        <v/>
      </c>
      <c r="H1391" s="266">
        <f>IFERROR(IF(ISNUMBER($A1391),IF(AND(AH!$U$12=1,1386+1=AH!$U$6),IF(AH!$U$4=0,"unavailable",INDEX('Market Data'!$AP$5:$AP$66,AH!$U$4)),IF(AH!$U$5=1,INDEX('Live History'!$H$5:$H$3004,MATCH($A1391,'Live History'!$G$5:$G$3004,1)),INDEX('AH History'!$B$5:$B$1380,$K1391))),NA()),NA())</f>
        <v/>
      </c>
      <c r="I1391" s="34">
        <f>IFERROR(IF(ISNUMBER($A1391),IF(AND(AH!$U$12=1,1386+1=AH!$U$6),TODAY(),IF(AH!$U$5=1,INDEX('Live History'!$G$5:$G$3004,MATCH($A1391,'Live History'!$G$5:$G$3004,1)),INDEX('AH History'!$C$5:$C$1380,$K1391))),NA()),NA())</f>
        <v/>
      </c>
      <c r="J1391" s="32">
        <f>IFERROR(IF(AND($F1391&gt;0,$H1391&gt;0,$A1391-$G1391&lt;=10,$A1391-$I1391&lt;=5,$G1391&gt;0,$I1391&gt;0),$F1391*$H1391,NA()),NA())</f>
        <v/>
      </c>
      <c r="K1391" s="15">
        <f>IF($A1391="","",IF(AH!$U$5=1,IFERROR(MATCH($A1391,'Live History'!$A$5:$A$3004,0),0),AH!$U$7+1386))</f>
        <v/>
      </c>
      <c r="L1391" s="15">
        <f>IF(ISNUMBER(A1391),TEXT(A1391,"dd-mmm-yy"),"")</f>
        <v/>
      </c>
    </row>
    <row r="1392">
      <c r="A1392" s="14">
        <f>IF(OR(AH!$U$4=0,1387+1&gt;AH!$U$6,AND(AH!$M$5="Bloomberg",AH!$U$5=0)),"",IFERROR(IF(AND(AH!$U$12=1,1387+1=AH!$U$6),TODAY(),IF(AH!$U$5=1,INDEX('Live History'!$A$5:$A$3004,AH!$U$7+1387),INDEX('AH History'!$A$5:$A$1380,AH!$U$7+1387))),""))</f>
        <v/>
      </c>
      <c r="B1392" s="33">
        <f>IFERROR(IF(AH!$U$11=1,NA(),$J1392/$E1392-1),NA())</f>
        <v/>
      </c>
      <c r="C1392" s="269">
        <f>IFERROR(100*$E1392/$E$5,NA())</f>
        <v/>
      </c>
      <c r="D1392" s="269">
        <f>IFERROR(100*$J1392/$J$5,NA())</f>
        <v/>
      </c>
      <c r="E1392" s="32">
        <f>IFERROR(IF(AND(ISNUMBER($A1392),N(IF(AND(AH!$U$12=1,1387+1=AH!$U$6),IF(AH!$U$4=0,"unavailable",INDEX('Market Data'!$AN$5:$AN$66,AH!$U$4)),IF(AH!$U$5=1,INDEX('Live History'!$B$5:$B$3004,$K1392),INDEX('AH History'!$D$5:$GG$1380,$K1392,AH!$U$10))))&gt;0),IF(AND(AH!$U$12=1,1387+1=AH!$U$6),IF(AH!$U$4=0,"unavailable",INDEX('Market Data'!$AN$5:$AN$66,AH!$U$4)),IF(AH!$U$5=1,INDEX('Live History'!$B$5:$B$3004,$K1392),INDEX('AH History'!$D$5:$GG$1380,$K1392,AH!$U$10))),NA()),NA())</f>
        <v/>
      </c>
      <c r="F1392" s="32">
        <f>IFERROR(IF(ISNUMBER($A1392),IF(AND(AH!$U$12=1,1387+1=AH!$U$6),IF(AH!$U$4=0,"unavailable",INDEX('Market Data'!$AO$5:$AO$66,AH!$U$4)),IF(AH!$U$5=1,INDEX('Live History'!$E$5:$E$3004,MATCH($A1392,'Live History'!$D$5:$D$3004,1)),INDEX('AH History'!$D$5:$GG$1380,$K1392,AH!$U$10+1))),NA()),NA())</f>
        <v/>
      </c>
      <c r="G1392" s="34">
        <f>IFERROR(IF(ISNUMBER($A1392),IF(AND(AH!$U$12=1,1387+1=AH!$U$6),IF(AH!$U$4=0,"unavailable",INDEX('Market Data'!$AK$5:$AK$66,AH!$U$4)),IF(AH!$U$5=1,INDEX('Live History'!$D$5:$D$3004,MATCH($A1392,'Live History'!$D$5:$D$3004,1)),INDEX('AH History'!$D$5:$GG$1380,$K1392,AH!$U$10+2))),NA()),NA())</f>
        <v/>
      </c>
      <c r="H1392" s="266">
        <f>IFERROR(IF(ISNUMBER($A1392),IF(AND(AH!$U$12=1,1387+1=AH!$U$6),IF(AH!$U$4=0,"unavailable",INDEX('Market Data'!$AP$5:$AP$66,AH!$U$4)),IF(AH!$U$5=1,INDEX('Live History'!$H$5:$H$3004,MATCH($A1392,'Live History'!$G$5:$G$3004,1)),INDEX('AH History'!$B$5:$B$1380,$K1392))),NA()),NA())</f>
        <v/>
      </c>
      <c r="I1392" s="34">
        <f>IFERROR(IF(ISNUMBER($A1392),IF(AND(AH!$U$12=1,1387+1=AH!$U$6),TODAY(),IF(AH!$U$5=1,INDEX('Live History'!$G$5:$G$3004,MATCH($A1392,'Live History'!$G$5:$G$3004,1)),INDEX('AH History'!$C$5:$C$1380,$K1392))),NA()),NA())</f>
        <v/>
      </c>
      <c r="J1392" s="32">
        <f>IFERROR(IF(AND($F1392&gt;0,$H1392&gt;0,$A1392-$G1392&lt;=10,$A1392-$I1392&lt;=5,$G1392&gt;0,$I1392&gt;0),$F1392*$H1392,NA()),NA())</f>
        <v/>
      </c>
      <c r="K1392" s="15">
        <f>IF($A1392="","",IF(AH!$U$5=1,IFERROR(MATCH($A1392,'Live History'!$A$5:$A$3004,0),0),AH!$U$7+1387))</f>
        <v/>
      </c>
      <c r="L1392" s="15">
        <f>IF(ISNUMBER(A1392),TEXT(A1392,"dd-mmm-yy"),"")</f>
        <v/>
      </c>
    </row>
    <row r="1393">
      <c r="A1393" s="14">
        <f>IF(OR(AH!$U$4=0,1388+1&gt;AH!$U$6,AND(AH!$M$5="Bloomberg",AH!$U$5=0)),"",IFERROR(IF(AND(AH!$U$12=1,1388+1=AH!$U$6),TODAY(),IF(AH!$U$5=1,INDEX('Live History'!$A$5:$A$3004,AH!$U$7+1388),INDEX('AH History'!$A$5:$A$1380,AH!$U$7+1388))),""))</f>
        <v/>
      </c>
      <c r="B1393" s="33">
        <f>IFERROR(IF(AH!$U$11=1,NA(),$J1393/$E1393-1),NA())</f>
        <v/>
      </c>
      <c r="C1393" s="269">
        <f>IFERROR(100*$E1393/$E$5,NA())</f>
        <v/>
      </c>
      <c r="D1393" s="269">
        <f>IFERROR(100*$J1393/$J$5,NA())</f>
        <v/>
      </c>
      <c r="E1393" s="32">
        <f>IFERROR(IF(AND(ISNUMBER($A1393),N(IF(AND(AH!$U$12=1,1388+1=AH!$U$6),IF(AH!$U$4=0,"unavailable",INDEX('Market Data'!$AN$5:$AN$66,AH!$U$4)),IF(AH!$U$5=1,INDEX('Live History'!$B$5:$B$3004,$K1393),INDEX('AH History'!$D$5:$GG$1380,$K1393,AH!$U$10))))&gt;0),IF(AND(AH!$U$12=1,1388+1=AH!$U$6),IF(AH!$U$4=0,"unavailable",INDEX('Market Data'!$AN$5:$AN$66,AH!$U$4)),IF(AH!$U$5=1,INDEX('Live History'!$B$5:$B$3004,$K1393),INDEX('AH History'!$D$5:$GG$1380,$K1393,AH!$U$10))),NA()),NA())</f>
        <v/>
      </c>
      <c r="F1393" s="32">
        <f>IFERROR(IF(ISNUMBER($A1393),IF(AND(AH!$U$12=1,1388+1=AH!$U$6),IF(AH!$U$4=0,"unavailable",INDEX('Market Data'!$AO$5:$AO$66,AH!$U$4)),IF(AH!$U$5=1,INDEX('Live History'!$E$5:$E$3004,MATCH($A1393,'Live History'!$D$5:$D$3004,1)),INDEX('AH History'!$D$5:$GG$1380,$K1393,AH!$U$10+1))),NA()),NA())</f>
        <v/>
      </c>
      <c r="G1393" s="34">
        <f>IFERROR(IF(ISNUMBER($A1393),IF(AND(AH!$U$12=1,1388+1=AH!$U$6),IF(AH!$U$4=0,"unavailable",INDEX('Market Data'!$AK$5:$AK$66,AH!$U$4)),IF(AH!$U$5=1,INDEX('Live History'!$D$5:$D$3004,MATCH($A1393,'Live History'!$D$5:$D$3004,1)),INDEX('AH History'!$D$5:$GG$1380,$K1393,AH!$U$10+2))),NA()),NA())</f>
        <v/>
      </c>
      <c r="H1393" s="266">
        <f>IFERROR(IF(ISNUMBER($A1393),IF(AND(AH!$U$12=1,1388+1=AH!$U$6),IF(AH!$U$4=0,"unavailable",INDEX('Market Data'!$AP$5:$AP$66,AH!$U$4)),IF(AH!$U$5=1,INDEX('Live History'!$H$5:$H$3004,MATCH($A1393,'Live History'!$G$5:$G$3004,1)),INDEX('AH History'!$B$5:$B$1380,$K1393))),NA()),NA())</f>
        <v/>
      </c>
      <c r="I1393" s="34">
        <f>IFERROR(IF(ISNUMBER($A1393),IF(AND(AH!$U$12=1,1388+1=AH!$U$6),TODAY(),IF(AH!$U$5=1,INDEX('Live History'!$G$5:$G$3004,MATCH($A1393,'Live History'!$G$5:$G$3004,1)),INDEX('AH History'!$C$5:$C$1380,$K1393))),NA()),NA())</f>
        <v/>
      </c>
      <c r="J1393" s="32">
        <f>IFERROR(IF(AND($F1393&gt;0,$H1393&gt;0,$A1393-$G1393&lt;=10,$A1393-$I1393&lt;=5,$G1393&gt;0,$I1393&gt;0),$F1393*$H1393,NA()),NA())</f>
        <v/>
      </c>
      <c r="K1393" s="15">
        <f>IF($A1393="","",IF(AH!$U$5=1,IFERROR(MATCH($A1393,'Live History'!$A$5:$A$3004,0),0),AH!$U$7+1388))</f>
        <v/>
      </c>
      <c r="L1393" s="15">
        <f>IF(ISNUMBER(A1393),TEXT(A1393,"dd-mmm-yy"),"")</f>
        <v/>
      </c>
    </row>
    <row r="1394">
      <c r="A1394" s="14">
        <f>IF(OR(AH!$U$4=0,1389+1&gt;AH!$U$6,AND(AH!$M$5="Bloomberg",AH!$U$5=0)),"",IFERROR(IF(AND(AH!$U$12=1,1389+1=AH!$U$6),TODAY(),IF(AH!$U$5=1,INDEX('Live History'!$A$5:$A$3004,AH!$U$7+1389),INDEX('AH History'!$A$5:$A$1380,AH!$U$7+1389))),""))</f>
        <v/>
      </c>
      <c r="B1394" s="33">
        <f>IFERROR(IF(AH!$U$11=1,NA(),$J1394/$E1394-1),NA())</f>
        <v/>
      </c>
      <c r="C1394" s="269">
        <f>IFERROR(100*$E1394/$E$5,NA())</f>
        <v/>
      </c>
      <c r="D1394" s="269">
        <f>IFERROR(100*$J1394/$J$5,NA())</f>
        <v/>
      </c>
      <c r="E1394" s="32">
        <f>IFERROR(IF(AND(ISNUMBER($A1394),N(IF(AND(AH!$U$12=1,1389+1=AH!$U$6),IF(AH!$U$4=0,"unavailable",INDEX('Market Data'!$AN$5:$AN$66,AH!$U$4)),IF(AH!$U$5=1,INDEX('Live History'!$B$5:$B$3004,$K1394),INDEX('AH History'!$D$5:$GG$1380,$K1394,AH!$U$10))))&gt;0),IF(AND(AH!$U$12=1,1389+1=AH!$U$6),IF(AH!$U$4=0,"unavailable",INDEX('Market Data'!$AN$5:$AN$66,AH!$U$4)),IF(AH!$U$5=1,INDEX('Live History'!$B$5:$B$3004,$K1394),INDEX('AH History'!$D$5:$GG$1380,$K1394,AH!$U$10))),NA()),NA())</f>
        <v/>
      </c>
      <c r="F1394" s="32">
        <f>IFERROR(IF(ISNUMBER($A1394),IF(AND(AH!$U$12=1,1389+1=AH!$U$6),IF(AH!$U$4=0,"unavailable",INDEX('Market Data'!$AO$5:$AO$66,AH!$U$4)),IF(AH!$U$5=1,INDEX('Live History'!$E$5:$E$3004,MATCH($A1394,'Live History'!$D$5:$D$3004,1)),INDEX('AH History'!$D$5:$GG$1380,$K1394,AH!$U$10+1))),NA()),NA())</f>
        <v/>
      </c>
      <c r="G1394" s="34">
        <f>IFERROR(IF(ISNUMBER($A1394),IF(AND(AH!$U$12=1,1389+1=AH!$U$6),IF(AH!$U$4=0,"unavailable",INDEX('Market Data'!$AK$5:$AK$66,AH!$U$4)),IF(AH!$U$5=1,INDEX('Live History'!$D$5:$D$3004,MATCH($A1394,'Live History'!$D$5:$D$3004,1)),INDEX('AH History'!$D$5:$GG$1380,$K1394,AH!$U$10+2))),NA()),NA())</f>
        <v/>
      </c>
      <c r="H1394" s="266">
        <f>IFERROR(IF(ISNUMBER($A1394),IF(AND(AH!$U$12=1,1389+1=AH!$U$6),IF(AH!$U$4=0,"unavailable",INDEX('Market Data'!$AP$5:$AP$66,AH!$U$4)),IF(AH!$U$5=1,INDEX('Live History'!$H$5:$H$3004,MATCH($A1394,'Live History'!$G$5:$G$3004,1)),INDEX('AH History'!$B$5:$B$1380,$K1394))),NA()),NA())</f>
        <v/>
      </c>
      <c r="I1394" s="34">
        <f>IFERROR(IF(ISNUMBER($A1394),IF(AND(AH!$U$12=1,1389+1=AH!$U$6),TODAY(),IF(AH!$U$5=1,INDEX('Live History'!$G$5:$G$3004,MATCH($A1394,'Live History'!$G$5:$G$3004,1)),INDEX('AH History'!$C$5:$C$1380,$K1394))),NA()),NA())</f>
        <v/>
      </c>
      <c r="J1394" s="32">
        <f>IFERROR(IF(AND($F1394&gt;0,$H1394&gt;0,$A1394-$G1394&lt;=10,$A1394-$I1394&lt;=5,$G1394&gt;0,$I1394&gt;0),$F1394*$H1394,NA()),NA())</f>
        <v/>
      </c>
      <c r="K1394" s="15">
        <f>IF($A1394="","",IF(AH!$U$5=1,IFERROR(MATCH($A1394,'Live History'!$A$5:$A$3004,0),0),AH!$U$7+1389))</f>
        <v/>
      </c>
      <c r="L1394" s="15">
        <f>IF(ISNUMBER(A1394),TEXT(A1394,"dd-mmm-yy"),"")</f>
        <v/>
      </c>
    </row>
    <row r="1395">
      <c r="A1395" s="14">
        <f>IF(OR(AH!$U$4=0,1390+1&gt;AH!$U$6,AND(AH!$M$5="Bloomberg",AH!$U$5=0)),"",IFERROR(IF(AND(AH!$U$12=1,1390+1=AH!$U$6),TODAY(),IF(AH!$U$5=1,INDEX('Live History'!$A$5:$A$3004,AH!$U$7+1390),INDEX('AH History'!$A$5:$A$1380,AH!$U$7+1390))),""))</f>
        <v/>
      </c>
      <c r="B1395" s="33">
        <f>IFERROR(IF(AH!$U$11=1,NA(),$J1395/$E1395-1),NA())</f>
        <v/>
      </c>
      <c r="C1395" s="269">
        <f>IFERROR(100*$E1395/$E$5,NA())</f>
        <v/>
      </c>
      <c r="D1395" s="269">
        <f>IFERROR(100*$J1395/$J$5,NA())</f>
        <v/>
      </c>
      <c r="E1395" s="32">
        <f>IFERROR(IF(AND(ISNUMBER($A1395),N(IF(AND(AH!$U$12=1,1390+1=AH!$U$6),IF(AH!$U$4=0,"unavailable",INDEX('Market Data'!$AN$5:$AN$66,AH!$U$4)),IF(AH!$U$5=1,INDEX('Live History'!$B$5:$B$3004,$K1395),INDEX('AH History'!$D$5:$GG$1380,$K1395,AH!$U$10))))&gt;0),IF(AND(AH!$U$12=1,1390+1=AH!$U$6),IF(AH!$U$4=0,"unavailable",INDEX('Market Data'!$AN$5:$AN$66,AH!$U$4)),IF(AH!$U$5=1,INDEX('Live History'!$B$5:$B$3004,$K1395),INDEX('AH History'!$D$5:$GG$1380,$K1395,AH!$U$10))),NA()),NA())</f>
        <v/>
      </c>
      <c r="F1395" s="32">
        <f>IFERROR(IF(ISNUMBER($A1395),IF(AND(AH!$U$12=1,1390+1=AH!$U$6),IF(AH!$U$4=0,"unavailable",INDEX('Market Data'!$AO$5:$AO$66,AH!$U$4)),IF(AH!$U$5=1,INDEX('Live History'!$E$5:$E$3004,MATCH($A1395,'Live History'!$D$5:$D$3004,1)),INDEX('AH History'!$D$5:$GG$1380,$K1395,AH!$U$10+1))),NA()),NA())</f>
        <v/>
      </c>
      <c r="G1395" s="34">
        <f>IFERROR(IF(ISNUMBER($A1395),IF(AND(AH!$U$12=1,1390+1=AH!$U$6),IF(AH!$U$4=0,"unavailable",INDEX('Market Data'!$AK$5:$AK$66,AH!$U$4)),IF(AH!$U$5=1,INDEX('Live History'!$D$5:$D$3004,MATCH($A1395,'Live History'!$D$5:$D$3004,1)),INDEX('AH History'!$D$5:$GG$1380,$K1395,AH!$U$10+2))),NA()),NA())</f>
        <v/>
      </c>
      <c r="H1395" s="266">
        <f>IFERROR(IF(ISNUMBER($A1395),IF(AND(AH!$U$12=1,1390+1=AH!$U$6),IF(AH!$U$4=0,"unavailable",INDEX('Market Data'!$AP$5:$AP$66,AH!$U$4)),IF(AH!$U$5=1,INDEX('Live History'!$H$5:$H$3004,MATCH($A1395,'Live History'!$G$5:$G$3004,1)),INDEX('AH History'!$B$5:$B$1380,$K1395))),NA()),NA())</f>
        <v/>
      </c>
      <c r="I1395" s="34">
        <f>IFERROR(IF(ISNUMBER($A1395),IF(AND(AH!$U$12=1,1390+1=AH!$U$6),TODAY(),IF(AH!$U$5=1,INDEX('Live History'!$G$5:$G$3004,MATCH($A1395,'Live History'!$G$5:$G$3004,1)),INDEX('AH History'!$C$5:$C$1380,$K1395))),NA()),NA())</f>
        <v/>
      </c>
      <c r="J1395" s="32">
        <f>IFERROR(IF(AND($F1395&gt;0,$H1395&gt;0,$A1395-$G1395&lt;=10,$A1395-$I1395&lt;=5,$G1395&gt;0,$I1395&gt;0),$F1395*$H1395,NA()),NA())</f>
        <v/>
      </c>
      <c r="K1395" s="15">
        <f>IF($A1395="","",IF(AH!$U$5=1,IFERROR(MATCH($A1395,'Live History'!$A$5:$A$3004,0),0),AH!$U$7+1390))</f>
        <v/>
      </c>
      <c r="L1395" s="15">
        <f>IF(ISNUMBER(A1395),TEXT(A1395,"dd-mmm-yy"),"")</f>
        <v/>
      </c>
    </row>
    <row r="1396">
      <c r="A1396" s="14">
        <f>IF(OR(AH!$U$4=0,1391+1&gt;AH!$U$6,AND(AH!$M$5="Bloomberg",AH!$U$5=0)),"",IFERROR(IF(AND(AH!$U$12=1,1391+1=AH!$U$6),TODAY(),IF(AH!$U$5=1,INDEX('Live History'!$A$5:$A$3004,AH!$U$7+1391),INDEX('AH History'!$A$5:$A$1380,AH!$U$7+1391))),""))</f>
        <v/>
      </c>
      <c r="B1396" s="33">
        <f>IFERROR(IF(AH!$U$11=1,NA(),$J1396/$E1396-1),NA())</f>
        <v/>
      </c>
      <c r="C1396" s="269">
        <f>IFERROR(100*$E1396/$E$5,NA())</f>
        <v/>
      </c>
      <c r="D1396" s="269">
        <f>IFERROR(100*$J1396/$J$5,NA())</f>
        <v/>
      </c>
      <c r="E1396" s="32">
        <f>IFERROR(IF(AND(ISNUMBER($A1396),N(IF(AND(AH!$U$12=1,1391+1=AH!$U$6),IF(AH!$U$4=0,"unavailable",INDEX('Market Data'!$AN$5:$AN$66,AH!$U$4)),IF(AH!$U$5=1,INDEX('Live History'!$B$5:$B$3004,$K1396),INDEX('AH History'!$D$5:$GG$1380,$K1396,AH!$U$10))))&gt;0),IF(AND(AH!$U$12=1,1391+1=AH!$U$6),IF(AH!$U$4=0,"unavailable",INDEX('Market Data'!$AN$5:$AN$66,AH!$U$4)),IF(AH!$U$5=1,INDEX('Live History'!$B$5:$B$3004,$K1396),INDEX('AH History'!$D$5:$GG$1380,$K1396,AH!$U$10))),NA()),NA())</f>
        <v/>
      </c>
      <c r="F1396" s="32">
        <f>IFERROR(IF(ISNUMBER($A1396),IF(AND(AH!$U$12=1,1391+1=AH!$U$6),IF(AH!$U$4=0,"unavailable",INDEX('Market Data'!$AO$5:$AO$66,AH!$U$4)),IF(AH!$U$5=1,INDEX('Live History'!$E$5:$E$3004,MATCH($A1396,'Live History'!$D$5:$D$3004,1)),INDEX('AH History'!$D$5:$GG$1380,$K1396,AH!$U$10+1))),NA()),NA())</f>
        <v/>
      </c>
      <c r="G1396" s="34">
        <f>IFERROR(IF(ISNUMBER($A1396),IF(AND(AH!$U$12=1,1391+1=AH!$U$6),IF(AH!$U$4=0,"unavailable",INDEX('Market Data'!$AK$5:$AK$66,AH!$U$4)),IF(AH!$U$5=1,INDEX('Live History'!$D$5:$D$3004,MATCH($A1396,'Live History'!$D$5:$D$3004,1)),INDEX('AH History'!$D$5:$GG$1380,$K1396,AH!$U$10+2))),NA()),NA())</f>
        <v/>
      </c>
      <c r="H1396" s="266">
        <f>IFERROR(IF(ISNUMBER($A1396),IF(AND(AH!$U$12=1,1391+1=AH!$U$6),IF(AH!$U$4=0,"unavailable",INDEX('Market Data'!$AP$5:$AP$66,AH!$U$4)),IF(AH!$U$5=1,INDEX('Live History'!$H$5:$H$3004,MATCH($A1396,'Live History'!$G$5:$G$3004,1)),INDEX('AH History'!$B$5:$B$1380,$K1396))),NA()),NA())</f>
        <v/>
      </c>
      <c r="I1396" s="34">
        <f>IFERROR(IF(ISNUMBER($A1396),IF(AND(AH!$U$12=1,1391+1=AH!$U$6),TODAY(),IF(AH!$U$5=1,INDEX('Live History'!$G$5:$G$3004,MATCH($A1396,'Live History'!$G$5:$G$3004,1)),INDEX('AH History'!$C$5:$C$1380,$K1396))),NA()),NA())</f>
        <v/>
      </c>
      <c r="J1396" s="32">
        <f>IFERROR(IF(AND($F1396&gt;0,$H1396&gt;0,$A1396-$G1396&lt;=10,$A1396-$I1396&lt;=5,$G1396&gt;0,$I1396&gt;0),$F1396*$H1396,NA()),NA())</f>
        <v/>
      </c>
      <c r="K1396" s="15">
        <f>IF($A1396="","",IF(AH!$U$5=1,IFERROR(MATCH($A1396,'Live History'!$A$5:$A$3004,0),0),AH!$U$7+1391))</f>
        <v/>
      </c>
      <c r="L1396" s="15">
        <f>IF(ISNUMBER(A1396),TEXT(A1396,"dd-mmm-yy"),"")</f>
        <v/>
      </c>
    </row>
    <row r="1397">
      <c r="A1397" s="14">
        <f>IF(OR(AH!$U$4=0,1392+1&gt;AH!$U$6,AND(AH!$M$5="Bloomberg",AH!$U$5=0)),"",IFERROR(IF(AND(AH!$U$12=1,1392+1=AH!$U$6),TODAY(),IF(AH!$U$5=1,INDEX('Live History'!$A$5:$A$3004,AH!$U$7+1392),INDEX('AH History'!$A$5:$A$1380,AH!$U$7+1392))),""))</f>
        <v/>
      </c>
      <c r="B1397" s="33">
        <f>IFERROR(IF(AH!$U$11=1,NA(),$J1397/$E1397-1),NA())</f>
        <v/>
      </c>
      <c r="C1397" s="269">
        <f>IFERROR(100*$E1397/$E$5,NA())</f>
        <v/>
      </c>
      <c r="D1397" s="269">
        <f>IFERROR(100*$J1397/$J$5,NA())</f>
        <v/>
      </c>
      <c r="E1397" s="32">
        <f>IFERROR(IF(AND(ISNUMBER($A1397),N(IF(AND(AH!$U$12=1,1392+1=AH!$U$6),IF(AH!$U$4=0,"unavailable",INDEX('Market Data'!$AN$5:$AN$66,AH!$U$4)),IF(AH!$U$5=1,INDEX('Live History'!$B$5:$B$3004,$K1397),INDEX('AH History'!$D$5:$GG$1380,$K1397,AH!$U$10))))&gt;0),IF(AND(AH!$U$12=1,1392+1=AH!$U$6),IF(AH!$U$4=0,"unavailable",INDEX('Market Data'!$AN$5:$AN$66,AH!$U$4)),IF(AH!$U$5=1,INDEX('Live History'!$B$5:$B$3004,$K1397),INDEX('AH History'!$D$5:$GG$1380,$K1397,AH!$U$10))),NA()),NA())</f>
        <v/>
      </c>
      <c r="F1397" s="32">
        <f>IFERROR(IF(ISNUMBER($A1397),IF(AND(AH!$U$12=1,1392+1=AH!$U$6),IF(AH!$U$4=0,"unavailable",INDEX('Market Data'!$AO$5:$AO$66,AH!$U$4)),IF(AH!$U$5=1,INDEX('Live History'!$E$5:$E$3004,MATCH($A1397,'Live History'!$D$5:$D$3004,1)),INDEX('AH History'!$D$5:$GG$1380,$K1397,AH!$U$10+1))),NA()),NA())</f>
        <v/>
      </c>
      <c r="G1397" s="34">
        <f>IFERROR(IF(ISNUMBER($A1397),IF(AND(AH!$U$12=1,1392+1=AH!$U$6),IF(AH!$U$4=0,"unavailable",INDEX('Market Data'!$AK$5:$AK$66,AH!$U$4)),IF(AH!$U$5=1,INDEX('Live History'!$D$5:$D$3004,MATCH($A1397,'Live History'!$D$5:$D$3004,1)),INDEX('AH History'!$D$5:$GG$1380,$K1397,AH!$U$10+2))),NA()),NA())</f>
        <v/>
      </c>
      <c r="H1397" s="266">
        <f>IFERROR(IF(ISNUMBER($A1397),IF(AND(AH!$U$12=1,1392+1=AH!$U$6),IF(AH!$U$4=0,"unavailable",INDEX('Market Data'!$AP$5:$AP$66,AH!$U$4)),IF(AH!$U$5=1,INDEX('Live History'!$H$5:$H$3004,MATCH($A1397,'Live History'!$G$5:$G$3004,1)),INDEX('AH History'!$B$5:$B$1380,$K1397))),NA()),NA())</f>
        <v/>
      </c>
      <c r="I1397" s="34">
        <f>IFERROR(IF(ISNUMBER($A1397),IF(AND(AH!$U$12=1,1392+1=AH!$U$6),TODAY(),IF(AH!$U$5=1,INDEX('Live History'!$G$5:$G$3004,MATCH($A1397,'Live History'!$G$5:$G$3004,1)),INDEX('AH History'!$C$5:$C$1380,$K1397))),NA()),NA())</f>
        <v/>
      </c>
      <c r="J1397" s="32">
        <f>IFERROR(IF(AND($F1397&gt;0,$H1397&gt;0,$A1397-$G1397&lt;=10,$A1397-$I1397&lt;=5,$G1397&gt;0,$I1397&gt;0),$F1397*$H1397,NA()),NA())</f>
        <v/>
      </c>
      <c r="K1397" s="15">
        <f>IF($A1397="","",IF(AH!$U$5=1,IFERROR(MATCH($A1397,'Live History'!$A$5:$A$3004,0),0),AH!$U$7+1392))</f>
        <v/>
      </c>
      <c r="L1397" s="15">
        <f>IF(ISNUMBER(A1397),TEXT(A1397,"dd-mmm-yy"),"")</f>
        <v/>
      </c>
    </row>
    <row r="1398">
      <c r="A1398" s="14">
        <f>IF(OR(AH!$U$4=0,1393+1&gt;AH!$U$6,AND(AH!$M$5="Bloomberg",AH!$U$5=0)),"",IFERROR(IF(AND(AH!$U$12=1,1393+1=AH!$U$6),TODAY(),IF(AH!$U$5=1,INDEX('Live History'!$A$5:$A$3004,AH!$U$7+1393),INDEX('AH History'!$A$5:$A$1380,AH!$U$7+1393))),""))</f>
        <v/>
      </c>
      <c r="B1398" s="33">
        <f>IFERROR(IF(AH!$U$11=1,NA(),$J1398/$E1398-1),NA())</f>
        <v/>
      </c>
      <c r="C1398" s="269">
        <f>IFERROR(100*$E1398/$E$5,NA())</f>
        <v/>
      </c>
      <c r="D1398" s="269">
        <f>IFERROR(100*$J1398/$J$5,NA())</f>
        <v/>
      </c>
      <c r="E1398" s="32">
        <f>IFERROR(IF(AND(ISNUMBER($A1398),N(IF(AND(AH!$U$12=1,1393+1=AH!$U$6),IF(AH!$U$4=0,"unavailable",INDEX('Market Data'!$AN$5:$AN$66,AH!$U$4)),IF(AH!$U$5=1,INDEX('Live History'!$B$5:$B$3004,$K1398),INDEX('AH History'!$D$5:$GG$1380,$K1398,AH!$U$10))))&gt;0),IF(AND(AH!$U$12=1,1393+1=AH!$U$6),IF(AH!$U$4=0,"unavailable",INDEX('Market Data'!$AN$5:$AN$66,AH!$U$4)),IF(AH!$U$5=1,INDEX('Live History'!$B$5:$B$3004,$K1398),INDEX('AH History'!$D$5:$GG$1380,$K1398,AH!$U$10))),NA()),NA())</f>
        <v/>
      </c>
      <c r="F1398" s="32">
        <f>IFERROR(IF(ISNUMBER($A1398),IF(AND(AH!$U$12=1,1393+1=AH!$U$6),IF(AH!$U$4=0,"unavailable",INDEX('Market Data'!$AO$5:$AO$66,AH!$U$4)),IF(AH!$U$5=1,INDEX('Live History'!$E$5:$E$3004,MATCH($A1398,'Live History'!$D$5:$D$3004,1)),INDEX('AH History'!$D$5:$GG$1380,$K1398,AH!$U$10+1))),NA()),NA())</f>
        <v/>
      </c>
      <c r="G1398" s="34">
        <f>IFERROR(IF(ISNUMBER($A1398),IF(AND(AH!$U$12=1,1393+1=AH!$U$6),IF(AH!$U$4=0,"unavailable",INDEX('Market Data'!$AK$5:$AK$66,AH!$U$4)),IF(AH!$U$5=1,INDEX('Live History'!$D$5:$D$3004,MATCH($A1398,'Live History'!$D$5:$D$3004,1)),INDEX('AH History'!$D$5:$GG$1380,$K1398,AH!$U$10+2))),NA()),NA())</f>
        <v/>
      </c>
      <c r="H1398" s="266">
        <f>IFERROR(IF(ISNUMBER($A1398),IF(AND(AH!$U$12=1,1393+1=AH!$U$6),IF(AH!$U$4=0,"unavailable",INDEX('Market Data'!$AP$5:$AP$66,AH!$U$4)),IF(AH!$U$5=1,INDEX('Live History'!$H$5:$H$3004,MATCH($A1398,'Live History'!$G$5:$G$3004,1)),INDEX('AH History'!$B$5:$B$1380,$K1398))),NA()),NA())</f>
        <v/>
      </c>
      <c r="I1398" s="34">
        <f>IFERROR(IF(ISNUMBER($A1398),IF(AND(AH!$U$12=1,1393+1=AH!$U$6),TODAY(),IF(AH!$U$5=1,INDEX('Live History'!$G$5:$G$3004,MATCH($A1398,'Live History'!$G$5:$G$3004,1)),INDEX('AH History'!$C$5:$C$1380,$K1398))),NA()),NA())</f>
        <v/>
      </c>
      <c r="J1398" s="32">
        <f>IFERROR(IF(AND($F1398&gt;0,$H1398&gt;0,$A1398-$G1398&lt;=10,$A1398-$I1398&lt;=5,$G1398&gt;0,$I1398&gt;0),$F1398*$H1398,NA()),NA())</f>
        <v/>
      </c>
      <c r="K1398" s="15">
        <f>IF($A1398="","",IF(AH!$U$5=1,IFERROR(MATCH($A1398,'Live History'!$A$5:$A$3004,0),0),AH!$U$7+1393))</f>
        <v/>
      </c>
      <c r="L1398" s="15">
        <f>IF(ISNUMBER(A1398),TEXT(A1398,"dd-mmm-yy"),"")</f>
        <v/>
      </c>
    </row>
    <row r="1399">
      <c r="A1399" s="14">
        <f>IF(OR(AH!$U$4=0,1394+1&gt;AH!$U$6,AND(AH!$M$5="Bloomberg",AH!$U$5=0)),"",IFERROR(IF(AND(AH!$U$12=1,1394+1=AH!$U$6),TODAY(),IF(AH!$U$5=1,INDEX('Live History'!$A$5:$A$3004,AH!$U$7+1394),INDEX('AH History'!$A$5:$A$1380,AH!$U$7+1394))),""))</f>
        <v/>
      </c>
      <c r="B1399" s="33">
        <f>IFERROR(IF(AH!$U$11=1,NA(),$J1399/$E1399-1),NA())</f>
        <v/>
      </c>
      <c r="C1399" s="269">
        <f>IFERROR(100*$E1399/$E$5,NA())</f>
        <v/>
      </c>
      <c r="D1399" s="269">
        <f>IFERROR(100*$J1399/$J$5,NA())</f>
        <v/>
      </c>
      <c r="E1399" s="32">
        <f>IFERROR(IF(AND(ISNUMBER($A1399),N(IF(AND(AH!$U$12=1,1394+1=AH!$U$6),IF(AH!$U$4=0,"unavailable",INDEX('Market Data'!$AN$5:$AN$66,AH!$U$4)),IF(AH!$U$5=1,INDEX('Live History'!$B$5:$B$3004,$K1399),INDEX('AH History'!$D$5:$GG$1380,$K1399,AH!$U$10))))&gt;0),IF(AND(AH!$U$12=1,1394+1=AH!$U$6),IF(AH!$U$4=0,"unavailable",INDEX('Market Data'!$AN$5:$AN$66,AH!$U$4)),IF(AH!$U$5=1,INDEX('Live History'!$B$5:$B$3004,$K1399),INDEX('AH History'!$D$5:$GG$1380,$K1399,AH!$U$10))),NA()),NA())</f>
        <v/>
      </c>
      <c r="F1399" s="32">
        <f>IFERROR(IF(ISNUMBER($A1399),IF(AND(AH!$U$12=1,1394+1=AH!$U$6),IF(AH!$U$4=0,"unavailable",INDEX('Market Data'!$AO$5:$AO$66,AH!$U$4)),IF(AH!$U$5=1,INDEX('Live History'!$E$5:$E$3004,MATCH($A1399,'Live History'!$D$5:$D$3004,1)),INDEX('AH History'!$D$5:$GG$1380,$K1399,AH!$U$10+1))),NA()),NA())</f>
        <v/>
      </c>
      <c r="G1399" s="34">
        <f>IFERROR(IF(ISNUMBER($A1399),IF(AND(AH!$U$12=1,1394+1=AH!$U$6),IF(AH!$U$4=0,"unavailable",INDEX('Market Data'!$AK$5:$AK$66,AH!$U$4)),IF(AH!$U$5=1,INDEX('Live History'!$D$5:$D$3004,MATCH($A1399,'Live History'!$D$5:$D$3004,1)),INDEX('AH History'!$D$5:$GG$1380,$K1399,AH!$U$10+2))),NA()),NA())</f>
        <v/>
      </c>
      <c r="H1399" s="266">
        <f>IFERROR(IF(ISNUMBER($A1399),IF(AND(AH!$U$12=1,1394+1=AH!$U$6),IF(AH!$U$4=0,"unavailable",INDEX('Market Data'!$AP$5:$AP$66,AH!$U$4)),IF(AH!$U$5=1,INDEX('Live History'!$H$5:$H$3004,MATCH($A1399,'Live History'!$G$5:$G$3004,1)),INDEX('AH History'!$B$5:$B$1380,$K1399))),NA()),NA())</f>
        <v/>
      </c>
      <c r="I1399" s="34">
        <f>IFERROR(IF(ISNUMBER($A1399),IF(AND(AH!$U$12=1,1394+1=AH!$U$6),TODAY(),IF(AH!$U$5=1,INDEX('Live History'!$G$5:$G$3004,MATCH($A1399,'Live History'!$G$5:$G$3004,1)),INDEX('AH History'!$C$5:$C$1380,$K1399))),NA()),NA())</f>
        <v/>
      </c>
      <c r="J1399" s="32">
        <f>IFERROR(IF(AND($F1399&gt;0,$H1399&gt;0,$A1399-$G1399&lt;=10,$A1399-$I1399&lt;=5,$G1399&gt;0,$I1399&gt;0),$F1399*$H1399,NA()),NA())</f>
        <v/>
      </c>
      <c r="K1399" s="15">
        <f>IF($A1399="","",IF(AH!$U$5=1,IFERROR(MATCH($A1399,'Live History'!$A$5:$A$3004,0),0),AH!$U$7+1394))</f>
        <v/>
      </c>
      <c r="L1399" s="15">
        <f>IF(ISNUMBER(A1399),TEXT(A1399,"dd-mmm-yy"),"")</f>
        <v/>
      </c>
    </row>
    <row r="1400">
      <c r="A1400" s="14">
        <f>IF(OR(AH!$U$4=0,1395+1&gt;AH!$U$6,AND(AH!$M$5="Bloomberg",AH!$U$5=0)),"",IFERROR(IF(AND(AH!$U$12=1,1395+1=AH!$U$6),TODAY(),IF(AH!$U$5=1,INDEX('Live History'!$A$5:$A$3004,AH!$U$7+1395),INDEX('AH History'!$A$5:$A$1380,AH!$U$7+1395))),""))</f>
        <v/>
      </c>
      <c r="B1400" s="33">
        <f>IFERROR(IF(AH!$U$11=1,NA(),$J1400/$E1400-1),NA())</f>
        <v/>
      </c>
      <c r="C1400" s="269">
        <f>IFERROR(100*$E1400/$E$5,NA())</f>
        <v/>
      </c>
      <c r="D1400" s="269">
        <f>IFERROR(100*$J1400/$J$5,NA())</f>
        <v/>
      </c>
      <c r="E1400" s="32">
        <f>IFERROR(IF(AND(ISNUMBER($A1400),N(IF(AND(AH!$U$12=1,1395+1=AH!$U$6),IF(AH!$U$4=0,"unavailable",INDEX('Market Data'!$AN$5:$AN$66,AH!$U$4)),IF(AH!$U$5=1,INDEX('Live History'!$B$5:$B$3004,$K1400),INDEX('AH History'!$D$5:$GG$1380,$K1400,AH!$U$10))))&gt;0),IF(AND(AH!$U$12=1,1395+1=AH!$U$6),IF(AH!$U$4=0,"unavailable",INDEX('Market Data'!$AN$5:$AN$66,AH!$U$4)),IF(AH!$U$5=1,INDEX('Live History'!$B$5:$B$3004,$K1400),INDEX('AH History'!$D$5:$GG$1380,$K1400,AH!$U$10))),NA()),NA())</f>
        <v/>
      </c>
      <c r="F1400" s="32">
        <f>IFERROR(IF(ISNUMBER($A1400),IF(AND(AH!$U$12=1,1395+1=AH!$U$6),IF(AH!$U$4=0,"unavailable",INDEX('Market Data'!$AO$5:$AO$66,AH!$U$4)),IF(AH!$U$5=1,INDEX('Live History'!$E$5:$E$3004,MATCH($A1400,'Live History'!$D$5:$D$3004,1)),INDEX('AH History'!$D$5:$GG$1380,$K1400,AH!$U$10+1))),NA()),NA())</f>
        <v/>
      </c>
      <c r="G1400" s="34">
        <f>IFERROR(IF(ISNUMBER($A1400),IF(AND(AH!$U$12=1,1395+1=AH!$U$6),IF(AH!$U$4=0,"unavailable",INDEX('Market Data'!$AK$5:$AK$66,AH!$U$4)),IF(AH!$U$5=1,INDEX('Live History'!$D$5:$D$3004,MATCH($A1400,'Live History'!$D$5:$D$3004,1)),INDEX('AH History'!$D$5:$GG$1380,$K1400,AH!$U$10+2))),NA()),NA())</f>
        <v/>
      </c>
      <c r="H1400" s="266">
        <f>IFERROR(IF(ISNUMBER($A1400),IF(AND(AH!$U$12=1,1395+1=AH!$U$6),IF(AH!$U$4=0,"unavailable",INDEX('Market Data'!$AP$5:$AP$66,AH!$U$4)),IF(AH!$U$5=1,INDEX('Live History'!$H$5:$H$3004,MATCH($A1400,'Live History'!$G$5:$G$3004,1)),INDEX('AH History'!$B$5:$B$1380,$K1400))),NA()),NA())</f>
        <v/>
      </c>
      <c r="I1400" s="34">
        <f>IFERROR(IF(ISNUMBER($A1400),IF(AND(AH!$U$12=1,1395+1=AH!$U$6),TODAY(),IF(AH!$U$5=1,INDEX('Live History'!$G$5:$G$3004,MATCH($A1400,'Live History'!$G$5:$G$3004,1)),INDEX('AH History'!$C$5:$C$1380,$K1400))),NA()),NA())</f>
        <v/>
      </c>
      <c r="J1400" s="32">
        <f>IFERROR(IF(AND($F1400&gt;0,$H1400&gt;0,$A1400-$G1400&lt;=10,$A1400-$I1400&lt;=5,$G1400&gt;0,$I1400&gt;0),$F1400*$H1400,NA()),NA())</f>
        <v/>
      </c>
      <c r="K1400" s="15">
        <f>IF($A1400="","",IF(AH!$U$5=1,IFERROR(MATCH($A1400,'Live History'!$A$5:$A$3004,0),0),AH!$U$7+1395))</f>
        <v/>
      </c>
      <c r="L1400" s="15">
        <f>IF(ISNUMBER(A1400),TEXT(A1400,"dd-mmm-yy"),"")</f>
        <v/>
      </c>
    </row>
    <row r="1401">
      <c r="A1401" s="14">
        <f>IF(OR(AH!$U$4=0,1396+1&gt;AH!$U$6,AND(AH!$M$5="Bloomberg",AH!$U$5=0)),"",IFERROR(IF(AND(AH!$U$12=1,1396+1=AH!$U$6),TODAY(),IF(AH!$U$5=1,INDEX('Live History'!$A$5:$A$3004,AH!$U$7+1396),INDEX('AH History'!$A$5:$A$1380,AH!$U$7+1396))),""))</f>
        <v/>
      </c>
      <c r="B1401" s="33">
        <f>IFERROR(IF(AH!$U$11=1,NA(),$J1401/$E1401-1),NA())</f>
        <v/>
      </c>
      <c r="C1401" s="269">
        <f>IFERROR(100*$E1401/$E$5,NA())</f>
        <v/>
      </c>
      <c r="D1401" s="269">
        <f>IFERROR(100*$J1401/$J$5,NA())</f>
        <v/>
      </c>
      <c r="E1401" s="32">
        <f>IFERROR(IF(AND(ISNUMBER($A1401),N(IF(AND(AH!$U$12=1,1396+1=AH!$U$6),IF(AH!$U$4=0,"unavailable",INDEX('Market Data'!$AN$5:$AN$66,AH!$U$4)),IF(AH!$U$5=1,INDEX('Live History'!$B$5:$B$3004,$K1401),INDEX('AH History'!$D$5:$GG$1380,$K1401,AH!$U$10))))&gt;0),IF(AND(AH!$U$12=1,1396+1=AH!$U$6),IF(AH!$U$4=0,"unavailable",INDEX('Market Data'!$AN$5:$AN$66,AH!$U$4)),IF(AH!$U$5=1,INDEX('Live History'!$B$5:$B$3004,$K1401),INDEX('AH History'!$D$5:$GG$1380,$K1401,AH!$U$10))),NA()),NA())</f>
        <v/>
      </c>
      <c r="F1401" s="32">
        <f>IFERROR(IF(ISNUMBER($A1401),IF(AND(AH!$U$12=1,1396+1=AH!$U$6),IF(AH!$U$4=0,"unavailable",INDEX('Market Data'!$AO$5:$AO$66,AH!$U$4)),IF(AH!$U$5=1,INDEX('Live History'!$E$5:$E$3004,MATCH($A1401,'Live History'!$D$5:$D$3004,1)),INDEX('AH History'!$D$5:$GG$1380,$K1401,AH!$U$10+1))),NA()),NA())</f>
        <v/>
      </c>
      <c r="G1401" s="34">
        <f>IFERROR(IF(ISNUMBER($A1401),IF(AND(AH!$U$12=1,1396+1=AH!$U$6),IF(AH!$U$4=0,"unavailable",INDEX('Market Data'!$AK$5:$AK$66,AH!$U$4)),IF(AH!$U$5=1,INDEX('Live History'!$D$5:$D$3004,MATCH($A1401,'Live History'!$D$5:$D$3004,1)),INDEX('AH History'!$D$5:$GG$1380,$K1401,AH!$U$10+2))),NA()),NA())</f>
        <v/>
      </c>
      <c r="H1401" s="266">
        <f>IFERROR(IF(ISNUMBER($A1401),IF(AND(AH!$U$12=1,1396+1=AH!$U$6),IF(AH!$U$4=0,"unavailable",INDEX('Market Data'!$AP$5:$AP$66,AH!$U$4)),IF(AH!$U$5=1,INDEX('Live History'!$H$5:$H$3004,MATCH($A1401,'Live History'!$G$5:$G$3004,1)),INDEX('AH History'!$B$5:$B$1380,$K1401))),NA()),NA())</f>
        <v/>
      </c>
      <c r="I1401" s="34">
        <f>IFERROR(IF(ISNUMBER($A1401),IF(AND(AH!$U$12=1,1396+1=AH!$U$6),TODAY(),IF(AH!$U$5=1,INDEX('Live History'!$G$5:$G$3004,MATCH($A1401,'Live History'!$G$5:$G$3004,1)),INDEX('AH History'!$C$5:$C$1380,$K1401))),NA()),NA())</f>
        <v/>
      </c>
      <c r="J1401" s="32">
        <f>IFERROR(IF(AND($F1401&gt;0,$H1401&gt;0,$A1401-$G1401&lt;=10,$A1401-$I1401&lt;=5,$G1401&gt;0,$I1401&gt;0),$F1401*$H1401,NA()),NA())</f>
        <v/>
      </c>
      <c r="K1401" s="15">
        <f>IF($A1401="","",IF(AH!$U$5=1,IFERROR(MATCH($A1401,'Live History'!$A$5:$A$3004,0),0),AH!$U$7+1396))</f>
        <v/>
      </c>
      <c r="L1401" s="15">
        <f>IF(ISNUMBER(A1401),TEXT(A1401,"dd-mmm-yy"),"")</f>
        <v/>
      </c>
    </row>
    <row r="1402">
      <c r="A1402" s="14">
        <f>IF(OR(AH!$U$4=0,1397+1&gt;AH!$U$6,AND(AH!$M$5="Bloomberg",AH!$U$5=0)),"",IFERROR(IF(AND(AH!$U$12=1,1397+1=AH!$U$6),TODAY(),IF(AH!$U$5=1,INDEX('Live History'!$A$5:$A$3004,AH!$U$7+1397),INDEX('AH History'!$A$5:$A$1380,AH!$U$7+1397))),""))</f>
        <v/>
      </c>
      <c r="B1402" s="33">
        <f>IFERROR(IF(AH!$U$11=1,NA(),$J1402/$E1402-1),NA())</f>
        <v/>
      </c>
      <c r="C1402" s="269">
        <f>IFERROR(100*$E1402/$E$5,NA())</f>
        <v/>
      </c>
      <c r="D1402" s="269">
        <f>IFERROR(100*$J1402/$J$5,NA())</f>
        <v/>
      </c>
      <c r="E1402" s="32">
        <f>IFERROR(IF(AND(ISNUMBER($A1402),N(IF(AND(AH!$U$12=1,1397+1=AH!$U$6),IF(AH!$U$4=0,"unavailable",INDEX('Market Data'!$AN$5:$AN$66,AH!$U$4)),IF(AH!$U$5=1,INDEX('Live History'!$B$5:$B$3004,$K1402),INDEX('AH History'!$D$5:$GG$1380,$K1402,AH!$U$10))))&gt;0),IF(AND(AH!$U$12=1,1397+1=AH!$U$6),IF(AH!$U$4=0,"unavailable",INDEX('Market Data'!$AN$5:$AN$66,AH!$U$4)),IF(AH!$U$5=1,INDEX('Live History'!$B$5:$B$3004,$K1402),INDEX('AH History'!$D$5:$GG$1380,$K1402,AH!$U$10))),NA()),NA())</f>
        <v/>
      </c>
      <c r="F1402" s="32">
        <f>IFERROR(IF(ISNUMBER($A1402),IF(AND(AH!$U$12=1,1397+1=AH!$U$6),IF(AH!$U$4=0,"unavailable",INDEX('Market Data'!$AO$5:$AO$66,AH!$U$4)),IF(AH!$U$5=1,INDEX('Live History'!$E$5:$E$3004,MATCH($A1402,'Live History'!$D$5:$D$3004,1)),INDEX('AH History'!$D$5:$GG$1380,$K1402,AH!$U$10+1))),NA()),NA())</f>
        <v/>
      </c>
      <c r="G1402" s="34">
        <f>IFERROR(IF(ISNUMBER($A1402),IF(AND(AH!$U$12=1,1397+1=AH!$U$6),IF(AH!$U$4=0,"unavailable",INDEX('Market Data'!$AK$5:$AK$66,AH!$U$4)),IF(AH!$U$5=1,INDEX('Live History'!$D$5:$D$3004,MATCH($A1402,'Live History'!$D$5:$D$3004,1)),INDEX('AH History'!$D$5:$GG$1380,$K1402,AH!$U$10+2))),NA()),NA())</f>
        <v/>
      </c>
      <c r="H1402" s="266">
        <f>IFERROR(IF(ISNUMBER($A1402),IF(AND(AH!$U$12=1,1397+1=AH!$U$6),IF(AH!$U$4=0,"unavailable",INDEX('Market Data'!$AP$5:$AP$66,AH!$U$4)),IF(AH!$U$5=1,INDEX('Live History'!$H$5:$H$3004,MATCH($A1402,'Live History'!$G$5:$G$3004,1)),INDEX('AH History'!$B$5:$B$1380,$K1402))),NA()),NA())</f>
        <v/>
      </c>
      <c r="I1402" s="34">
        <f>IFERROR(IF(ISNUMBER($A1402),IF(AND(AH!$U$12=1,1397+1=AH!$U$6),TODAY(),IF(AH!$U$5=1,INDEX('Live History'!$G$5:$G$3004,MATCH($A1402,'Live History'!$G$5:$G$3004,1)),INDEX('AH History'!$C$5:$C$1380,$K1402))),NA()),NA())</f>
        <v/>
      </c>
      <c r="J1402" s="32">
        <f>IFERROR(IF(AND($F1402&gt;0,$H1402&gt;0,$A1402-$G1402&lt;=10,$A1402-$I1402&lt;=5,$G1402&gt;0,$I1402&gt;0),$F1402*$H1402,NA()),NA())</f>
        <v/>
      </c>
      <c r="K1402" s="15">
        <f>IF($A1402="","",IF(AH!$U$5=1,IFERROR(MATCH($A1402,'Live History'!$A$5:$A$3004,0),0),AH!$U$7+1397))</f>
        <v/>
      </c>
      <c r="L1402" s="15">
        <f>IF(ISNUMBER(A1402),TEXT(A1402,"dd-mmm-yy"),"")</f>
        <v/>
      </c>
    </row>
    <row r="1403">
      <c r="A1403" s="14">
        <f>IF(OR(AH!$U$4=0,1398+1&gt;AH!$U$6,AND(AH!$M$5="Bloomberg",AH!$U$5=0)),"",IFERROR(IF(AND(AH!$U$12=1,1398+1=AH!$U$6),TODAY(),IF(AH!$U$5=1,INDEX('Live History'!$A$5:$A$3004,AH!$U$7+1398),INDEX('AH History'!$A$5:$A$1380,AH!$U$7+1398))),""))</f>
        <v/>
      </c>
      <c r="B1403" s="33">
        <f>IFERROR(IF(AH!$U$11=1,NA(),$J1403/$E1403-1),NA())</f>
        <v/>
      </c>
      <c r="C1403" s="269">
        <f>IFERROR(100*$E1403/$E$5,NA())</f>
        <v/>
      </c>
      <c r="D1403" s="269">
        <f>IFERROR(100*$J1403/$J$5,NA())</f>
        <v/>
      </c>
      <c r="E1403" s="32">
        <f>IFERROR(IF(AND(ISNUMBER($A1403),N(IF(AND(AH!$U$12=1,1398+1=AH!$U$6),IF(AH!$U$4=0,"unavailable",INDEX('Market Data'!$AN$5:$AN$66,AH!$U$4)),IF(AH!$U$5=1,INDEX('Live History'!$B$5:$B$3004,$K1403),INDEX('AH History'!$D$5:$GG$1380,$K1403,AH!$U$10))))&gt;0),IF(AND(AH!$U$12=1,1398+1=AH!$U$6),IF(AH!$U$4=0,"unavailable",INDEX('Market Data'!$AN$5:$AN$66,AH!$U$4)),IF(AH!$U$5=1,INDEX('Live History'!$B$5:$B$3004,$K1403),INDEX('AH History'!$D$5:$GG$1380,$K1403,AH!$U$10))),NA()),NA())</f>
        <v/>
      </c>
      <c r="F1403" s="32">
        <f>IFERROR(IF(ISNUMBER($A1403),IF(AND(AH!$U$12=1,1398+1=AH!$U$6),IF(AH!$U$4=0,"unavailable",INDEX('Market Data'!$AO$5:$AO$66,AH!$U$4)),IF(AH!$U$5=1,INDEX('Live History'!$E$5:$E$3004,MATCH($A1403,'Live History'!$D$5:$D$3004,1)),INDEX('AH History'!$D$5:$GG$1380,$K1403,AH!$U$10+1))),NA()),NA())</f>
        <v/>
      </c>
      <c r="G1403" s="34">
        <f>IFERROR(IF(ISNUMBER($A1403),IF(AND(AH!$U$12=1,1398+1=AH!$U$6),IF(AH!$U$4=0,"unavailable",INDEX('Market Data'!$AK$5:$AK$66,AH!$U$4)),IF(AH!$U$5=1,INDEX('Live History'!$D$5:$D$3004,MATCH($A1403,'Live History'!$D$5:$D$3004,1)),INDEX('AH History'!$D$5:$GG$1380,$K1403,AH!$U$10+2))),NA()),NA())</f>
        <v/>
      </c>
      <c r="H1403" s="266">
        <f>IFERROR(IF(ISNUMBER($A1403),IF(AND(AH!$U$12=1,1398+1=AH!$U$6),IF(AH!$U$4=0,"unavailable",INDEX('Market Data'!$AP$5:$AP$66,AH!$U$4)),IF(AH!$U$5=1,INDEX('Live History'!$H$5:$H$3004,MATCH($A1403,'Live History'!$G$5:$G$3004,1)),INDEX('AH History'!$B$5:$B$1380,$K1403))),NA()),NA())</f>
        <v/>
      </c>
      <c r="I1403" s="34">
        <f>IFERROR(IF(ISNUMBER($A1403),IF(AND(AH!$U$12=1,1398+1=AH!$U$6),TODAY(),IF(AH!$U$5=1,INDEX('Live History'!$G$5:$G$3004,MATCH($A1403,'Live History'!$G$5:$G$3004,1)),INDEX('AH History'!$C$5:$C$1380,$K1403))),NA()),NA())</f>
        <v/>
      </c>
      <c r="J1403" s="32">
        <f>IFERROR(IF(AND($F1403&gt;0,$H1403&gt;0,$A1403-$G1403&lt;=10,$A1403-$I1403&lt;=5,$G1403&gt;0,$I1403&gt;0),$F1403*$H1403,NA()),NA())</f>
        <v/>
      </c>
      <c r="K1403" s="15">
        <f>IF($A1403="","",IF(AH!$U$5=1,IFERROR(MATCH($A1403,'Live History'!$A$5:$A$3004,0),0),AH!$U$7+1398))</f>
        <v/>
      </c>
      <c r="L1403" s="15">
        <f>IF(ISNUMBER(A1403),TEXT(A1403,"dd-mmm-yy"),"")</f>
        <v/>
      </c>
    </row>
    <row r="1404">
      <c r="A1404" s="14">
        <f>IF(OR(AH!$U$4=0,1399+1&gt;AH!$U$6,AND(AH!$M$5="Bloomberg",AH!$U$5=0)),"",IFERROR(IF(AND(AH!$U$12=1,1399+1=AH!$U$6),TODAY(),IF(AH!$U$5=1,INDEX('Live History'!$A$5:$A$3004,AH!$U$7+1399),INDEX('AH History'!$A$5:$A$1380,AH!$U$7+1399))),""))</f>
        <v/>
      </c>
      <c r="B1404" s="33">
        <f>IFERROR(IF(AH!$U$11=1,NA(),$J1404/$E1404-1),NA())</f>
        <v/>
      </c>
      <c r="C1404" s="269">
        <f>IFERROR(100*$E1404/$E$5,NA())</f>
        <v/>
      </c>
      <c r="D1404" s="269">
        <f>IFERROR(100*$J1404/$J$5,NA())</f>
        <v/>
      </c>
      <c r="E1404" s="32">
        <f>IFERROR(IF(AND(ISNUMBER($A1404),N(IF(AND(AH!$U$12=1,1399+1=AH!$U$6),IF(AH!$U$4=0,"unavailable",INDEX('Market Data'!$AN$5:$AN$66,AH!$U$4)),IF(AH!$U$5=1,INDEX('Live History'!$B$5:$B$3004,$K1404),INDEX('AH History'!$D$5:$GG$1380,$K1404,AH!$U$10))))&gt;0),IF(AND(AH!$U$12=1,1399+1=AH!$U$6),IF(AH!$U$4=0,"unavailable",INDEX('Market Data'!$AN$5:$AN$66,AH!$U$4)),IF(AH!$U$5=1,INDEX('Live History'!$B$5:$B$3004,$K1404),INDEX('AH History'!$D$5:$GG$1380,$K1404,AH!$U$10))),NA()),NA())</f>
        <v/>
      </c>
      <c r="F1404" s="32">
        <f>IFERROR(IF(ISNUMBER($A1404),IF(AND(AH!$U$12=1,1399+1=AH!$U$6),IF(AH!$U$4=0,"unavailable",INDEX('Market Data'!$AO$5:$AO$66,AH!$U$4)),IF(AH!$U$5=1,INDEX('Live History'!$E$5:$E$3004,MATCH($A1404,'Live History'!$D$5:$D$3004,1)),INDEX('AH History'!$D$5:$GG$1380,$K1404,AH!$U$10+1))),NA()),NA())</f>
        <v/>
      </c>
      <c r="G1404" s="34">
        <f>IFERROR(IF(ISNUMBER($A1404),IF(AND(AH!$U$12=1,1399+1=AH!$U$6),IF(AH!$U$4=0,"unavailable",INDEX('Market Data'!$AK$5:$AK$66,AH!$U$4)),IF(AH!$U$5=1,INDEX('Live History'!$D$5:$D$3004,MATCH($A1404,'Live History'!$D$5:$D$3004,1)),INDEX('AH History'!$D$5:$GG$1380,$K1404,AH!$U$10+2))),NA()),NA())</f>
        <v/>
      </c>
      <c r="H1404" s="266">
        <f>IFERROR(IF(ISNUMBER($A1404),IF(AND(AH!$U$12=1,1399+1=AH!$U$6),IF(AH!$U$4=0,"unavailable",INDEX('Market Data'!$AP$5:$AP$66,AH!$U$4)),IF(AH!$U$5=1,INDEX('Live History'!$H$5:$H$3004,MATCH($A1404,'Live History'!$G$5:$G$3004,1)),INDEX('AH History'!$B$5:$B$1380,$K1404))),NA()),NA())</f>
        <v/>
      </c>
      <c r="I1404" s="34">
        <f>IFERROR(IF(ISNUMBER($A1404),IF(AND(AH!$U$12=1,1399+1=AH!$U$6),TODAY(),IF(AH!$U$5=1,INDEX('Live History'!$G$5:$G$3004,MATCH($A1404,'Live History'!$G$5:$G$3004,1)),INDEX('AH History'!$C$5:$C$1380,$K1404))),NA()),NA())</f>
        <v/>
      </c>
      <c r="J1404" s="32">
        <f>IFERROR(IF(AND($F1404&gt;0,$H1404&gt;0,$A1404-$G1404&lt;=10,$A1404-$I1404&lt;=5,$G1404&gt;0,$I1404&gt;0),$F1404*$H1404,NA()),NA())</f>
        <v/>
      </c>
      <c r="K1404" s="15">
        <f>IF($A1404="","",IF(AH!$U$5=1,IFERROR(MATCH($A1404,'Live History'!$A$5:$A$3004,0),0),AH!$U$7+1399))</f>
        <v/>
      </c>
      <c r="L1404" s="15">
        <f>IF(ISNUMBER(A1404),TEXT(A1404,"dd-mmm-yy"),"")</f>
        <v/>
      </c>
    </row>
    <row r="1405">
      <c r="A1405" s="14">
        <f>IF(OR(AH!$U$4=0,1400+1&gt;AH!$U$6,AND(AH!$M$5="Bloomberg",AH!$U$5=0)),"",IFERROR(IF(AND(AH!$U$12=1,1400+1=AH!$U$6),TODAY(),IF(AH!$U$5=1,INDEX('Live History'!$A$5:$A$3004,AH!$U$7+1400),INDEX('AH History'!$A$5:$A$1380,AH!$U$7+1400))),""))</f>
        <v/>
      </c>
      <c r="B1405" s="33">
        <f>IFERROR(IF(AH!$U$11=1,NA(),$J1405/$E1405-1),NA())</f>
        <v/>
      </c>
      <c r="C1405" s="269">
        <f>IFERROR(100*$E1405/$E$5,NA())</f>
        <v/>
      </c>
      <c r="D1405" s="269">
        <f>IFERROR(100*$J1405/$J$5,NA())</f>
        <v/>
      </c>
      <c r="E1405" s="32">
        <f>IFERROR(IF(AND(ISNUMBER($A1405),N(IF(AND(AH!$U$12=1,1400+1=AH!$U$6),IF(AH!$U$4=0,"unavailable",INDEX('Market Data'!$AN$5:$AN$66,AH!$U$4)),IF(AH!$U$5=1,INDEX('Live History'!$B$5:$B$3004,$K1405),INDEX('AH History'!$D$5:$GG$1380,$K1405,AH!$U$10))))&gt;0),IF(AND(AH!$U$12=1,1400+1=AH!$U$6),IF(AH!$U$4=0,"unavailable",INDEX('Market Data'!$AN$5:$AN$66,AH!$U$4)),IF(AH!$U$5=1,INDEX('Live History'!$B$5:$B$3004,$K1405),INDEX('AH History'!$D$5:$GG$1380,$K1405,AH!$U$10))),NA()),NA())</f>
        <v/>
      </c>
      <c r="F1405" s="32">
        <f>IFERROR(IF(ISNUMBER($A1405),IF(AND(AH!$U$12=1,1400+1=AH!$U$6),IF(AH!$U$4=0,"unavailable",INDEX('Market Data'!$AO$5:$AO$66,AH!$U$4)),IF(AH!$U$5=1,INDEX('Live History'!$E$5:$E$3004,MATCH($A1405,'Live History'!$D$5:$D$3004,1)),INDEX('AH History'!$D$5:$GG$1380,$K1405,AH!$U$10+1))),NA()),NA())</f>
        <v/>
      </c>
      <c r="G1405" s="34">
        <f>IFERROR(IF(ISNUMBER($A1405),IF(AND(AH!$U$12=1,1400+1=AH!$U$6),IF(AH!$U$4=0,"unavailable",INDEX('Market Data'!$AK$5:$AK$66,AH!$U$4)),IF(AH!$U$5=1,INDEX('Live History'!$D$5:$D$3004,MATCH($A1405,'Live History'!$D$5:$D$3004,1)),INDEX('AH History'!$D$5:$GG$1380,$K1405,AH!$U$10+2))),NA()),NA())</f>
        <v/>
      </c>
      <c r="H1405" s="266">
        <f>IFERROR(IF(ISNUMBER($A1405),IF(AND(AH!$U$12=1,1400+1=AH!$U$6),IF(AH!$U$4=0,"unavailable",INDEX('Market Data'!$AP$5:$AP$66,AH!$U$4)),IF(AH!$U$5=1,INDEX('Live History'!$H$5:$H$3004,MATCH($A1405,'Live History'!$G$5:$G$3004,1)),INDEX('AH History'!$B$5:$B$1380,$K1405))),NA()),NA())</f>
        <v/>
      </c>
      <c r="I1405" s="34">
        <f>IFERROR(IF(ISNUMBER($A1405),IF(AND(AH!$U$12=1,1400+1=AH!$U$6),TODAY(),IF(AH!$U$5=1,INDEX('Live History'!$G$5:$G$3004,MATCH($A1405,'Live History'!$G$5:$G$3004,1)),INDEX('AH History'!$C$5:$C$1380,$K1405))),NA()),NA())</f>
        <v/>
      </c>
      <c r="J1405" s="32">
        <f>IFERROR(IF(AND($F1405&gt;0,$H1405&gt;0,$A1405-$G1405&lt;=10,$A1405-$I1405&lt;=5,$G1405&gt;0,$I1405&gt;0),$F1405*$H1405,NA()),NA())</f>
        <v/>
      </c>
      <c r="K1405" s="15">
        <f>IF($A1405="","",IF(AH!$U$5=1,IFERROR(MATCH($A1405,'Live History'!$A$5:$A$3004,0),0),AH!$U$7+1400))</f>
        <v/>
      </c>
      <c r="L1405" s="15">
        <f>IF(ISNUMBER(A1405),TEXT(A1405,"dd-mmm-yy"),"")</f>
        <v/>
      </c>
    </row>
    <row r="1406">
      <c r="A1406" s="14">
        <f>IF(OR(AH!$U$4=0,1401+1&gt;AH!$U$6,AND(AH!$M$5="Bloomberg",AH!$U$5=0)),"",IFERROR(IF(AND(AH!$U$12=1,1401+1=AH!$U$6),TODAY(),IF(AH!$U$5=1,INDEX('Live History'!$A$5:$A$3004,AH!$U$7+1401),INDEX('AH History'!$A$5:$A$1380,AH!$U$7+1401))),""))</f>
        <v/>
      </c>
      <c r="B1406" s="33">
        <f>IFERROR(IF(AH!$U$11=1,NA(),$J1406/$E1406-1),NA())</f>
        <v/>
      </c>
      <c r="C1406" s="269">
        <f>IFERROR(100*$E1406/$E$5,NA())</f>
        <v/>
      </c>
      <c r="D1406" s="269">
        <f>IFERROR(100*$J1406/$J$5,NA())</f>
        <v/>
      </c>
      <c r="E1406" s="32">
        <f>IFERROR(IF(AND(ISNUMBER($A1406),N(IF(AND(AH!$U$12=1,1401+1=AH!$U$6),IF(AH!$U$4=0,"unavailable",INDEX('Market Data'!$AN$5:$AN$66,AH!$U$4)),IF(AH!$U$5=1,INDEX('Live History'!$B$5:$B$3004,$K1406),INDEX('AH History'!$D$5:$GG$1380,$K1406,AH!$U$10))))&gt;0),IF(AND(AH!$U$12=1,1401+1=AH!$U$6),IF(AH!$U$4=0,"unavailable",INDEX('Market Data'!$AN$5:$AN$66,AH!$U$4)),IF(AH!$U$5=1,INDEX('Live History'!$B$5:$B$3004,$K1406),INDEX('AH History'!$D$5:$GG$1380,$K1406,AH!$U$10))),NA()),NA())</f>
        <v/>
      </c>
      <c r="F1406" s="32">
        <f>IFERROR(IF(ISNUMBER($A1406),IF(AND(AH!$U$12=1,1401+1=AH!$U$6),IF(AH!$U$4=0,"unavailable",INDEX('Market Data'!$AO$5:$AO$66,AH!$U$4)),IF(AH!$U$5=1,INDEX('Live History'!$E$5:$E$3004,MATCH($A1406,'Live History'!$D$5:$D$3004,1)),INDEX('AH History'!$D$5:$GG$1380,$K1406,AH!$U$10+1))),NA()),NA())</f>
        <v/>
      </c>
      <c r="G1406" s="34">
        <f>IFERROR(IF(ISNUMBER($A1406),IF(AND(AH!$U$12=1,1401+1=AH!$U$6),IF(AH!$U$4=0,"unavailable",INDEX('Market Data'!$AK$5:$AK$66,AH!$U$4)),IF(AH!$U$5=1,INDEX('Live History'!$D$5:$D$3004,MATCH($A1406,'Live History'!$D$5:$D$3004,1)),INDEX('AH History'!$D$5:$GG$1380,$K1406,AH!$U$10+2))),NA()),NA())</f>
        <v/>
      </c>
      <c r="H1406" s="266">
        <f>IFERROR(IF(ISNUMBER($A1406),IF(AND(AH!$U$12=1,1401+1=AH!$U$6),IF(AH!$U$4=0,"unavailable",INDEX('Market Data'!$AP$5:$AP$66,AH!$U$4)),IF(AH!$U$5=1,INDEX('Live History'!$H$5:$H$3004,MATCH($A1406,'Live History'!$G$5:$G$3004,1)),INDEX('AH History'!$B$5:$B$1380,$K1406))),NA()),NA())</f>
        <v/>
      </c>
      <c r="I1406" s="34">
        <f>IFERROR(IF(ISNUMBER($A1406),IF(AND(AH!$U$12=1,1401+1=AH!$U$6),TODAY(),IF(AH!$U$5=1,INDEX('Live History'!$G$5:$G$3004,MATCH($A1406,'Live History'!$G$5:$G$3004,1)),INDEX('AH History'!$C$5:$C$1380,$K1406))),NA()),NA())</f>
        <v/>
      </c>
      <c r="J1406" s="32">
        <f>IFERROR(IF(AND($F1406&gt;0,$H1406&gt;0,$A1406-$G1406&lt;=10,$A1406-$I1406&lt;=5,$G1406&gt;0,$I1406&gt;0),$F1406*$H1406,NA()),NA())</f>
        <v/>
      </c>
      <c r="K1406" s="15">
        <f>IF($A1406="","",IF(AH!$U$5=1,IFERROR(MATCH($A1406,'Live History'!$A$5:$A$3004,0),0),AH!$U$7+1401))</f>
        <v/>
      </c>
      <c r="L1406" s="15">
        <f>IF(ISNUMBER(A1406),TEXT(A1406,"dd-mmm-yy"),"")</f>
        <v/>
      </c>
    </row>
    <row r="1407">
      <c r="A1407" s="14">
        <f>IF(OR(AH!$U$4=0,1402+1&gt;AH!$U$6,AND(AH!$M$5="Bloomberg",AH!$U$5=0)),"",IFERROR(IF(AND(AH!$U$12=1,1402+1=AH!$U$6),TODAY(),IF(AH!$U$5=1,INDEX('Live History'!$A$5:$A$3004,AH!$U$7+1402),INDEX('AH History'!$A$5:$A$1380,AH!$U$7+1402))),""))</f>
        <v/>
      </c>
      <c r="B1407" s="33">
        <f>IFERROR(IF(AH!$U$11=1,NA(),$J1407/$E1407-1),NA())</f>
        <v/>
      </c>
      <c r="C1407" s="269">
        <f>IFERROR(100*$E1407/$E$5,NA())</f>
        <v/>
      </c>
      <c r="D1407" s="269">
        <f>IFERROR(100*$J1407/$J$5,NA())</f>
        <v/>
      </c>
      <c r="E1407" s="32">
        <f>IFERROR(IF(AND(ISNUMBER($A1407),N(IF(AND(AH!$U$12=1,1402+1=AH!$U$6),IF(AH!$U$4=0,"unavailable",INDEX('Market Data'!$AN$5:$AN$66,AH!$U$4)),IF(AH!$U$5=1,INDEX('Live History'!$B$5:$B$3004,$K1407),INDEX('AH History'!$D$5:$GG$1380,$K1407,AH!$U$10))))&gt;0),IF(AND(AH!$U$12=1,1402+1=AH!$U$6),IF(AH!$U$4=0,"unavailable",INDEX('Market Data'!$AN$5:$AN$66,AH!$U$4)),IF(AH!$U$5=1,INDEX('Live History'!$B$5:$B$3004,$K1407),INDEX('AH History'!$D$5:$GG$1380,$K1407,AH!$U$10))),NA()),NA())</f>
        <v/>
      </c>
      <c r="F1407" s="32">
        <f>IFERROR(IF(ISNUMBER($A1407),IF(AND(AH!$U$12=1,1402+1=AH!$U$6),IF(AH!$U$4=0,"unavailable",INDEX('Market Data'!$AO$5:$AO$66,AH!$U$4)),IF(AH!$U$5=1,INDEX('Live History'!$E$5:$E$3004,MATCH($A1407,'Live History'!$D$5:$D$3004,1)),INDEX('AH History'!$D$5:$GG$1380,$K1407,AH!$U$10+1))),NA()),NA())</f>
        <v/>
      </c>
      <c r="G1407" s="34">
        <f>IFERROR(IF(ISNUMBER($A1407),IF(AND(AH!$U$12=1,1402+1=AH!$U$6),IF(AH!$U$4=0,"unavailable",INDEX('Market Data'!$AK$5:$AK$66,AH!$U$4)),IF(AH!$U$5=1,INDEX('Live History'!$D$5:$D$3004,MATCH($A1407,'Live History'!$D$5:$D$3004,1)),INDEX('AH History'!$D$5:$GG$1380,$K1407,AH!$U$10+2))),NA()),NA())</f>
        <v/>
      </c>
      <c r="H1407" s="266">
        <f>IFERROR(IF(ISNUMBER($A1407),IF(AND(AH!$U$12=1,1402+1=AH!$U$6),IF(AH!$U$4=0,"unavailable",INDEX('Market Data'!$AP$5:$AP$66,AH!$U$4)),IF(AH!$U$5=1,INDEX('Live History'!$H$5:$H$3004,MATCH($A1407,'Live History'!$G$5:$G$3004,1)),INDEX('AH History'!$B$5:$B$1380,$K1407))),NA()),NA())</f>
        <v/>
      </c>
      <c r="I1407" s="34">
        <f>IFERROR(IF(ISNUMBER($A1407),IF(AND(AH!$U$12=1,1402+1=AH!$U$6),TODAY(),IF(AH!$U$5=1,INDEX('Live History'!$G$5:$G$3004,MATCH($A1407,'Live History'!$G$5:$G$3004,1)),INDEX('AH History'!$C$5:$C$1380,$K1407))),NA()),NA())</f>
        <v/>
      </c>
      <c r="J1407" s="32">
        <f>IFERROR(IF(AND($F1407&gt;0,$H1407&gt;0,$A1407-$G1407&lt;=10,$A1407-$I1407&lt;=5,$G1407&gt;0,$I1407&gt;0),$F1407*$H1407,NA()),NA())</f>
        <v/>
      </c>
      <c r="K1407" s="15">
        <f>IF($A1407="","",IF(AH!$U$5=1,IFERROR(MATCH($A1407,'Live History'!$A$5:$A$3004,0),0),AH!$U$7+1402))</f>
        <v/>
      </c>
      <c r="L1407" s="15">
        <f>IF(ISNUMBER(A1407),TEXT(A1407,"dd-mmm-yy"),"")</f>
        <v/>
      </c>
    </row>
    <row r="1408">
      <c r="A1408" s="14">
        <f>IF(OR(AH!$U$4=0,1403+1&gt;AH!$U$6,AND(AH!$M$5="Bloomberg",AH!$U$5=0)),"",IFERROR(IF(AND(AH!$U$12=1,1403+1=AH!$U$6),TODAY(),IF(AH!$U$5=1,INDEX('Live History'!$A$5:$A$3004,AH!$U$7+1403),INDEX('AH History'!$A$5:$A$1380,AH!$U$7+1403))),""))</f>
        <v/>
      </c>
      <c r="B1408" s="33">
        <f>IFERROR(IF(AH!$U$11=1,NA(),$J1408/$E1408-1),NA())</f>
        <v/>
      </c>
      <c r="C1408" s="269">
        <f>IFERROR(100*$E1408/$E$5,NA())</f>
        <v/>
      </c>
      <c r="D1408" s="269">
        <f>IFERROR(100*$J1408/$J$5,NA())</f>
        <v/>
      </c>
      <c r="E1408" s="32">
        <f>IFERROR(IF(AND(ISNUMBER($A1408),N(IF(AND(AH!$U$12=1,1403+1=AH!$U$6),IF(AH!$U$4=0,"unavailable",INDEX('Market Data'!$AN$5:$AN$66,AH!$U$4)),IF(AH!$U$5=1,INDEX('Live History'!$B$5:$B$3004,$K1408),INDEX('AH History'!$D$5:$GG$1380,$K1408,AH!$U$10))))&gt;0),IF(AND(AH!$U$12=1,1403+1=AH!$U$6),IF(AH!$U$4=0,"unavailable",INDEX('Market Data'!$AN$5:$AN$66,AH!$U$4)),IF(AH!$U$5=1,INDEX('Live History'!$B$5:$B$3004,$K1408),INDEX('AH History'!$D$5:$GG$1380,$K1408,AH!$U$10))),NA()),NA())</f>
        <v/>
      </c>
      <c r="F1408" s="32">
        <f>IFERROR(IF(ISNUMBER($A1408),IF(AND(AH!$U$12=1,1403+1=AH!$U$6),IF(AH!$U$4=0,"unavailable",INDEX('Market Data'!$AO$5:$AO$66,AH!$U$4)),IF(AH!$U$5=1,INDEX('Live History'!$E$5:$E$3004,MATCH($A1408,'Live History'!$D$5:$D$3004,1)),INDEX('AH History'!$D$5:$GG$1380,$K1408,AH!$U$10+1))),NA()),NA())</f>
        <v/>
      </c>
      <c r="G1408" s="34">
        <f>IFERROR(IF(ISNUMBER($A1408),IF(AND(AH!$U$12=1,1403+1=AH!$U$6),IF(AH!$U$4=0,"unavailable",INDEX('Market Data'!$AK$5:$AK$66,AH!$U$4)),IF(AH!$U$5=1,INDEX('Live History'!$D$5:$D$3004,MATCH($A1408,'Live History'!$D$5:$D$3004,1)),INDEX('AH History'!$D$5:$GG$1380,$K1408,AH!$U$10+2))),NA()),NA())</f>
        <v/>
      </c>
      <c r="H1408" s="266">
        <f>IFERROR(IF(ISNUMBER($A1408),IF(AND(AH!$U$12=1,1403+1=AH!$U$6),IF(AH!$U$4=0,"unavailable",INDEX('Market Data'!$AP$5:$AP$66,AH!$U$4)),IF(AH!$U$5=1,INDEX('Live History'!$H$5:$H$3004,MATCH($A1408,'Live History'!$G$5:$G$3004,1)),INDEX('AH History'!$B$5:$B$1380,$K1408))),NA()),NA())</f>
        <v/>
      </c>
      <c r="I1408" s="34">
        <f>IFERROR(IF(ISNUMBER($A1408),IF(AND(AH!$U$12=1,1403+1=AH!$U$6),TODAY(),IF(AH!$U$5=1,INDEX('Live History'!$G$5:$G$3004,MATCH($A1408,'Live History'!$G$5:$G$3004,1)),INDEX('AH History'!$C$5:$C$1380,$K1408))),NA()),NA())</f>
        <v/>
      </c>
      <c r="J1408" s="32">
        <f>IFERROR(IF(AND($F1408&gt;0,$H1408&gt;0,$A1408-$G1408&lt;=10,$A1408-$I1408&lt;=5,$G1408&gt;0,$I1408&gt;0),$F1408*$H1408,NA()),NA())</f>
        <v/>
      </c>
      <c r="K1408" s="15">
        <f>IF($A1408="","",IF(AH!$U$5=1,IFERROR(MATCH($A1408,'Live History'!$A$5:$A$3004,0),0),AH!$U$7+1403))</f>
        <v/>
      </c>
      <c r="L1408" s="15">
        <f>IF(ISNUMBER(A1408),TEXT(A1408,"dd-mmm-yy"),"")</f>
        <v/>
      </c>
    </row>
    <row r="1409">
      <c r="A1409" s="14">
        <f>IF(OR(AH!$U$4=0,1404+1&gt;AH!$U$6,AND(AH!$M$5="Bloomberg",AH!$U$5=0)),"",IFERROR(IF(AND(AH!$U$12=1,1404+1=AH!$U$6),TODAY(),IF(AH!$U$5=1,INDEX('Live History'!$A$5:$A$3004,AH!$U$7+1404),INDEX('AH History'!$A$5:$A$1380,AH!$U$7+1404))),""))</f>
        <v/>
      </c>
      <c r="B1409" s="33">
        <f>IFERROR(IF(AH!$U$11=1,NA(),$J1409/$E1409-1),NA())</f>
        <v/>
      </c>
      <c r="C1409" s="269">
        <f>IFERROR(100*$E1409/$E$5,NA())</f>
        <v/>
      </c>
      <c r="D1409" s="269">
        <f>IFERROR(100*$J1409/$J$5,NA())</f>
        <v/>
      </c>
      <c r="E1409" s="32">
        <f>IFERROR(IF(AND(ISNUMBER($A1409),N(IF(AND(AH!$U$12=1,1404+1=AH!$U$6),IF(AH!$U$4=0,"unavailable",INDEX('Market Data'!$AN$5:$AN$66,AH!$U$4)),IF(AH!$U$5=1,INDEX('Live History'!$B$5:$B$3004,$K1409),INDEX('AH History'!$D$5:$GG$1380,$K1409,AH!$U$10))))&gt;0),IF(AND(AH!$U$12=1,1404+1=AH!$U$6),IF(AH!$U$4=0,"unavailable",INDEX('Market Data'!$AN$5:$AN$66,AH!$U$4)),IF(AH!$U$5=1,INDEX('Live History'!$B$5:$B$3004,$K1409),INDEX('AH History'!$D$5:$GG$1380,$K1409,AH!$U$10))),NA()),NA())</f>
        <v/>
      </c>
      <c r="F1409" s="32">
        <f>IFERROR(IF(ISNUMBER($A1409),IF(AND(AH!$U$12=1,1404+1=AH!$U$6),IF(AH!$U$4=0,"unavailable",INDEX('Market Data'!$AO$5:$AO$66,AH!$U$4)),IF(AH!$U$5=1,INDEX('Live History'!$E$5:$E$3004,MATCH($A1409,'Live History'!$D$5:$D$3004,1)),INDEX('AH History'!$D$5:$GG$1380,$K1409,AH!$U$10+1))),NA()),NA())</f>
        <v/>
      </c>
      <c r="G1409" s="34">
        <f>IFERROR(IF(ISNUMBER($A1409),IF(AND(AH!$U$12=1,1404+1=AH!$U$6),IF(AH!$U$4=0,"unavailable",INDEX('Market Data'!$AK$5:$AK$66,AH!$U$4)),IF(AH!$U$5=1,INDEX('Live History'!$D$5:$D$3004,MATCH($A1409,'Live History'!$D$5:$D$3004,1)),INDEX('AH History'!$D$5:$GG$1380,$K1409,AH!$U$10+2))),NA()),NA())</f>
        <v/>
      </c>
      <c r="H1409" s="266">
        <f>IFERROR(IF(ISNUMBER($A1409),IF(AND(AH!$U$12=1,1404+1=AH!$U$6),IF(AH!$U$4=0,"unavailable",INDEX('Market Data'!$AP$5:$AP$66,AH!$U$4)),IF(AH!$U$5=1,INDEX('Live History'!$H$5:$H$3004,MATCH($A1409,'Live History'!$G$5:$G$3004,1)),INDEX('AH History'!$B$5:$B$1380,$K1409))),NA()),NA())</f>
        <v/>
      </c>
      <c r="I1409" s="34">
        <f>IFERROR(IF(ISNUMBER($A1409),IF(AND(AH!$U$12=1,1404+1=AH!$U$6),TODAY(),IF(AH!$U$5=1,INDEX('Live History'!$G$5:$G$3004,MATCH($A1409,'Live History'!$G$5:$G$3004,1)),INDEX('AH History'!$C$5:$C$1380,$K1409))),NA()),NA())</f>
        <v/>
      </c>
      <c r="J1409" s="32">
        <f>IFERROR(IF(AND($F1409&gt;0,$H1409&gt;0,$A1409-$G1409&lt;=10,$A1409-$I1409&lt;=5,$G1409&gt;0,$I1409&gt;0),$F1409*$H1409,NA()),NA())</f>
        <v/>
      </c>
      <c r="K1409" s="15">
        <f>IF($A1409="","",IF(AH!$U$5=1,IFERROR(MATCH($A1409,'Live History'!$A$5:$A$3004,0),0),AH!$U$7+1404))</f>
        <v/>
      </c>
      <c r="L1409" s="15">
        <f>IF(ISNUMBER(A1409),TEXT(A1409,"dd-mmm-yy"),"")</f>
        <v/>
      </c>
    </row>
    <row r="1410">
      <c r="A1410" s="14">
        <f>IF(OR(AH!$U$4=0,1405+1&gt;AH!$U$6,AND(AH!$M$5="Bloomberg",AH!$U$5=0)),"",IFERROR(IF(AND(AH!$U$12=1,1405+1=AH!$U$6),TODAY(),IF(AH!$U$5=1,INDEX('Live History'!$A$5:$A$3004,AH!$U$7+1405),INDEX('AH History'!$A$5:$A$1380,AH!$U$7+1405))),""))</f>
        <v/>
      </c>
      <c r="B1410" s="33">
        <f>IFERROR(IF(AH!$U$11=1,NA(),$J1410/$E1410-1),NA())</f>
        <v/>
      </c>
      <c r="C1410" s="269">
        <f>IFERROR(100*$E1410/$E$5,NA())</f>
        <v/>
      </c>
      <c r="D1410" s="269">
        <f>IFERROR(100*$J1410/$J$5,NA())</f>
        <v/>
      </c>
      <c r="E1410" s="32">
        <f>IFERROR(IF(AND(ISNUMBER($A1410),N(IF(AND(AH!$U$12=1,1405+1=AH!$U$6),IF(AH!$U$4=0,"unavailable",INDEX('Market Data'!$AN$5:$AN$66,AH!$U$4)),IF(AH!$U$5=1,INDEX('Live History'!$B$5:$B$3004,$K1410),INDEX('AH History'!$D$5:$GG$1380,$K1410,AH!$U$10))))&gt;0),IF(AND(AH!$U$12=1,1405+1=AH!$U$6),IF(AH!$U$4=0,"unavailable",INDEX('Market Data'!$AN$5:$AN$66,AH!$U$4)),IF(AH!$U$5=1,INDEX('Live History'!$B$5:$B$3004,$K1410),INDEX('AH History'!$D$5:$GG$1380,$K1410,AH!$U$10))),NA()),NA())</f>
        <v/>
      </c>
      <c r="F1410" s="32">
        <f>IFERROR(IF(ISNUMBER($A1410),IF(AND(AH!$U$12=1,1405+1=AH!$U$6),IF(AH!$U$4=0,"unavailable",INDEX('Market Data'!$AO$5:$AO$66,AH!$U$4)),IF(AH!$U$5=1,INDEX('Live History'!$E$5:$E$3004,MATCH($A1410,'Live History'!$D$5:$D$3004,1)),INDEX('AH History'!$D$5:$GG$1380,$K1410,AH!$U$10+1))),NA()),NA())</f>
        <v/>
      </c>
      <c r="G1410" s="34">
        <f>IFERROR(IF(ISNUMBER($A1410),IF(AND(AH!$U$12=1,1405+1=AH!$U$6),IF(AH!$U$4=0,"unavailable",INDEX('Market Data'!$AK$5:$AK$66,AH!$U$4)),IF(AH!$U$5=1,INDEX('Live History'!$D$5:$D$3004,MATCH($A1410,'Live History'!$D$5:$D$3004,1)),INDEX('AH History'!$D$5:$GG$1380,$K1410,AH!$U$10+2))),NA()),NA())</f>
        <v/>
      </c>
      <c r="H1410" s="266">
        <f>IFERROR(IF(ISNUMBER($A1410),IF(AND(AH!$U$12=1,1405+1=AH!$U$6),IF(AH!$U$4=0,"unavailable",INDEX('Market Data'!$AP$5:$AP$66,AH!$U$4)),IF(AH!$U$5=1,INDEX('Live History'!$H$5:$H$3004,MATCH($A1410,'Live History'!$G$5:$G$3004,1)),INDEX('AH History'!$B$5:$B$1380,$K1410))),NA()),NA())</f>
        <v/>
      </c>
      <c r="I1410" s="34">
        <f>IFERROR(IF(ISNUMBER($A1410),IF(AND(AH!$U$12=1,1405+1=AH!$U$6),TODAY(),IF(AH!$U$5=1,INDEX('Live History'!$G$5:$G$3004,MATCH($A1410,'Live History'!$G$5:$G$3004,1)),INDEX('AH History'!$C$5:$C$1380,$K1410))),NA()),NA())</f>
        <v/>
      </c>
      <c r="J1410" s="32">
        <f>IFERROR(IF(AND($F1410&gt;0,$H1410&gt;0,$A1410-$G1410&lt;=10,$A1410-$I1410&lt;=5,$G1410&gt;0,$I1410&gt;0),$F1410*$H1410,NA()),NA())</f>
        <v/>
      </c>
      <c r="K1410" s="15">
        <f>IF($A1410="","",IF(AH!$U$5=1,IFERROR(MATCH($A1410,'Live History'!$A$5:$A$3004,0),0),AH!$U$7+1405))</f>
        <v/>
      </c>
      <c r="L1410" s="15">
        <f>IF(ISNUMBER(A1410),TEXT(A1410,"dd-mmm-yy"),"")</f>
        <v/>
      </c>
    </row>
    <row r="1411">
      <c r="A1411" s="14">
        <f>IF(OR(AH!$U$4=0,1406+1&gt;AH!$U$6,AND(AH!$M$5="Bloomberg",AH!$U$5=0)),"",IFERROR(IF(AND(AH!$U$12=1,1406+1=AH!$U$6),TODAY(),IF(AH!$U$5=1,INDEX('Live History'!$A$5:$A$3004,AH!$U$7+1406),INDEX('AH History'!$A$5:$A$1380,AH!$U$7+1406))),""))</f>
        <v/>
      </c>
      <c r="B1411" s="33">
        <f>IFERROR(IF(AH!$U$11=1,NA(),$J1411/$E1411-1),NA())</f>
        <v/>
      </c>
      <c r="C1411" s="269">
        <f>IFERROR(100*$E1411/$E$5,NA())</f>
        <v/>
      </c>
      <c r="D1411" s="269">
        <f>IFERROR(100*$J1411/$J$5,NA())</f>
        <v/>
      </c>
      <c r="E1411" s="32">
        <f>IFERROR(IF(AND(ISNUMBER($A1411),N(IF(AND(AH!$U$12=1,1406+1=AH!$U$6),IF(AH!$U$4=0,"unavailable",INDEX('Market Data'!$AN$5:$AN$66,AH!$U$4)),IF(AH!$U$5=1,INDEX('Live History'!$B$5:$B$3004,$K1411),INDEX('AH History'!$D$5:$GG$1380,$K1411,AH!$U$10))))&gt;0),IF(AND(AH!$U$12=1,1406+1=AH!$U$6),IF(AH!$U$4=0,"unavailable",INDEX('Market Data'!$AN$5:$AN$66,AH!$U$4)),IF(AH!$U$5=1,INDEX('Live History'!$B$5:$B$3004,$K1411),INDEX('AH History'!$D$5:$GG$1380,$K1411,AH!$U$10))),NA()),NA())</f>
        <v/>
      </c>
      <c r="F1411" s="32">
        <f>IFERROR(IF(ISNUMBER($A1411),IF(AND(AH!$U$12=1,1406+1=AH!$U$6),IF(AH!$U$4=0,"unavailable",INDEX('Market Data'!$AO$5:$AO$66,AH!$U$4)),IF(AH!$U$5=1,INDEX('Live History'!$E$5:$E$3004,MATCH($A1411,'Live History'!$D$5:$D$3004,1)),INDEX('AH History'!$D$5:$GG$1380,$K1411,AH!$U$10+1))),NA()),NA())</f>
        <v/>
      </c>
      <c r="G1411" s="34">
        <f>IFERROR(IF(ISNUMBER($A1411),IF(AND(AH!$U$12=1,1406+1=AH!$U$6),IF(AH!$U$4=0,"unavailable",INDEX('Market Data'!$AK$5:$AK$66,AH!$U$4)),IF(AH!$U$5=1,INDEX('Live History'!$D$5:$D$3004,MATCH($A1411,'Live History'!$D$5:$D$3004,1)),INDEX('AH History'!$D$5:$GG$1380,$K1411,AH!$U$10+2))),NA()),NA())</f>
        <v/>
      </c>
      <c r="H1411" s="266">
        <f>IFERROR(IF(ISNUMBER($A1411),IF(AND(AH!$U$12=1,1406+1=AH!$U$6),IF(AH!$U$4=0,"unavailable",INDEX('Market Data'!$AP$5:$AP$66,AH!$U$4)),IF(AH!$U$5=1,INDEX('Live History'!$H$5:$H$3004,MATCH($A1411,'Live History'!$G$5:$G$3004,1)),INDEX('AH History'!$B$5:$B$1380,$K1411))),NA()),NA())</f>
        <v/>
      </c>
      <c r="I1411" s="34">
        <f>IFERROR(IF(ISNUMBER($A1411),IF(AND(AH!$U$12=1,1406+1=AH!$U$6),TODAY(),IF(AH!$U$5=1,INDEX('Live History'!$G$5:$G$3004,MATCH($A1411,'Live History'!$G$5:$G$3004,1)),INDEX('AH History'!$C$5:$C$1380,$K1411))),NA()),NA())</f>
        <v/>
      </c>
      <c r="J1411" s="32">
        <f>IFERROR(IF(AND($F1411&gt;0,$H1411&gt;0,$A1411-$G1411&lt;=10,$A1411-$I1411&lt;=5,$G1411&gt;0,$I1411&gt;0),$F1411*$H1411,NA()),NA())</f>
        <v/>
      </c>
      <c r="K1411" s="15">
        <f>IF($A1411="","",IF(AH!$U$5=1,IFERROR(MATCH($A1411,'Live History'!$A$5:$A$3004,0),0),AH!$U$7+1406))</f>
        <v/>
      </c>
      <c r="L1411" s="15">
        <f>IF(ISNUMBER(A1411),TEXT(A1411,"dd-mmm-yy"),"")</f>
        <v/>
      </c>
    </row>
    <row r="1412">
      <c r="A1412" s="14">
        <f>IF(OR(AH!$U$4=0,1407+1&gt;AH!$U$6,AND(AH!$M$5="Bloomberg",AH!$U$5=0)),"",IFERROR(IF(AND(AH!$U$12=1,1407+1=AH!$U$6),TODAY(),IF(AH!$U$5=1,INDEX('Live History'!$A$5:$A$3004,AH!$U$7+1407),INDEX('AH History'!$A$5:$A$1380,AH!$U$7+1407))),""))</f>
        <v/>
      </c>
      <c r="B1412" s="33">
        <f>IFERROR(IF(AH!$U$11=1,NA(),$J1412/$E1412-1),NA())</f>
        <v/>
      </c>
      <c r="C1412" s="269">
        <f>IFERROR(100*$E1412/$E$5,NA())</f>
        <v/>
      </c>
      <c r="D1412" s="269">
        <f>IFERROR(100*$J1412/$J$5,NA())</f>
        <v/>
      </c>
      <c r="E1412" s="32">
        <f>IFERROR(IF(AND(ISNUMBER($A1412),N(IF(AND(AH!$U$12=1,1407+1=AH!$U$6),IF(AH!$U$4=0,"unavailable",INDEX('Market Data'!$AN$5:$AN$66,AH!$U$4)),IF(AH!$U$5=1,INDEX('Live History'!$B$5:$B$3004,$K1412),INDEX('AH History'!$D$5:$GG$1380,$K1412,AH!$U$10))))&gt;0),IF(AND(AH!$U$12=1,1407+1=AH!$U$6),IF(AH!$U$4=0,"unavailable",INDEX('Market Data'!$AN$5:$AN$66,AH!$U$4)),IF(AH!$U$5=1,INDEX('Live History'!$B$5:$B$3004,$K1412),INDEX('AH History'!$D$5:$GG$1380,$K1412,AH!$U$10))),NA()),NA())</f>
        <v/>
      </c>
      <c r="F1412" s="32">
        <f>IFERROR(IF(ISNUMBER($A1412),IF(AND(AH!$U$12=1,1407+1=AH!$U$6),IF(AH!$U$4=0,"unavailable",INDEX('Market Data'!$AO$5:$AO$66,AH!$U$4)),IF(AH!$U$5=1,INDEX('Live History'!$E$5:$E$3004,MATCH($A1412,'Live History'!$D$5:$D$3004,1)),INDEX('AH History'!$D$5:$GG$1380,$K1412,AH!$U$10+1))),NA()),NA())</f>
        <v/>
      </c>
      <c r="G1412" s="34">
        <f>IFERROR(IF(ISNUMBER($A1412),IF(AND(AH!$U$12=1,1407+1=AH!$U$6),IF(AH!$U$4=0,"unavailable",INDEX('Market Data'!$AK$5:$AK$66,AH!$U$4)),IF(AH!$U$5=1,INDEX('Live History'!$D$5:$D$3004,MATCH($A1412,'Live History'!$D$5:$D$3004,1)),INDEX('AH History'!$D$5:$GG$1380,$K1412,AH!$U$10+2))),NA()),NA())</f>
        <v/>
      </c>
      <c r="H1412" s="266">
        <f>IFERROR(IF(ISNUMBER($A1412),IF(AND(AH!$U$12=1,1407+1=AH!$U$6),IF(AH!$U$4=0,"unavailable",INDEX('Market Data'!$AP$5:$AP$66,AH!$U$4)),IF(AH!$U$5=1,INDEX('Live History'!$H$5:$H$3004,MATCH($A1412,'Live History'!$G$5:$G$3004,1)),INDEX('AH History'!$B$5:$B$1380,$K1412))),NA()),NA())</f>
        <v/>
      </c>
      <c r="I1412" s="34">
        <f>IFERROR(IF(ISNUMBER($A1412),IF(AND(AH!$U$12=1,1407+1=AH!$U$6),TODAY(),IF(AH!$U$5=1,INDEX('Live History'!$G$5:$G$3004,MATCH($A1412,'Live History'!$G$5:$G$3004,1)),INDEX('AH History'!$C$5:$C$1380,$K1412))),NA()),NA())</f>
        <v/>
      </c>
      <c r="J1412" s="32">
        <f>IFERROR(IF(AND($F1412&gt;0,$H1412&gt;0,$A1412-$G1412&lt;=10,$A1412-$I1412&lt;=5,$G1412&gt;0,$I1412&gt;0),$F1412*$H1412,NA()),NA())</f>
        <v/>
      </c>
      <c r="K1412" s="15">
        <f>IF($A1412="","",IF(AH!$U$5=1,IFERROR(MATCH($A1412,'Live History'!$A$5:$A$3004,0),0),AH!$U$7+1407))</f>
        <v/>
      </c>
      <c r="L1412" s="15">
        <f>IF(ISNUMBER(A1412),TEXT(A1412,"dd-mmm-yy"),"")</f>
        <v/>
      </c>
    </row>
    <row r="1413">
      <c r="A1413" s="14">
        <f>IF(OR(AH!$U$4=0,1408+1&gt;AH!$U$6,AND(AH!$M$5="Bloomberg",AH!$U$5=0)),"",IFERROR(IF(AND(AH!$U$12=1,1408+1=AH!$U$6),TODAY(),IF(AH!$U$5=1,INDEX('Live History'!$A$5:$A$3004,AH!$U$7+1408),INDEX('AH History'!$A$5:$A$1380,AH!$U$7+1408))),""))</f>
        <v/>
      </c>
      <c r="B1413" s="33">
        <f>IFERROR(IF(AH!$U$11=1,NA(),$J1413/$E1413-1),NA())</f>
        <v/>
      </c>
      <c r="C1413" s="269">
        <f>IFERROR(100*$E1413/$E$5,NA())</f>
        <v/>
      </c>
      <c r="D1413" s="269">
        <f>IFERROR(100*$J1413/$J$5,NA())</f>
        <v/>
      </c>
      <c r="E1413" s="32">
        <f>IFERROR(IF(AND(ISNUMBER($A1413),N(IF(AND(AH!$U$12=1,1408+1=AH!$U$6),IF(AH!$U$4=0,"unavailable",INDEX('Market Data'!$AN$5:$AN$66,AH!$U$4)),IF(AH!$U$5=1,INDEX('Live History'!$B$5:$B$3004,$K1413),INDEX('AH History'!$D$5:$GG$1380,$K1413,AH!$U$10))))&gt;0),IF(AND(AH!$U$12=1,1408+1=AH!$U$6),IF(AH!$U$4=0,"unavailable",INDEX('Market Data'!$AN$5:$AN$66,AH!$U$4)),IF(AH!$U$5=1,INDEX('Live History'!$B$5:$B$3004,$K1413),INDEX('AH History'!$D$5:$GG$1380,$K1413,AH!$U$10))),NA()),NA())</f>
        <v/>
      </c>
      <c r="F1413" s="32">
        <f>IFERROR(IF(ISNUMBER($A1413),IF(AND(AH!$U$12=1,1408+1=AH!$U$6),IF(AH!$U$4=0,"unavailable",INDEX('Market Data'!$AO$5:$AO$66,AH!$U$4)),IF(AH!$U$5=1,INDEX('Live History'!$E$5:$E$3004,MATCH($A1413,'Live History'!$D$5:$D$3004,1)),INDEX('AH History'!$D$5:$GG$1380,$K1413,AH!$U$10+1))),NA()),NA())</f>
        <v/>
      </c>
      <c r="G1413" s="34">
        <f>IFERROR(IF(ISNUMBER($A1413),IF(AND(AH!$U$12=1,1408+1=AH!$U$6),IF(AH!$U$4=0,"unavailable",INDEX('Market Data'!$AK$5:$AK$66,AH!$U$4)),IF(AH!$U$5=1,INDEX('Live History'!$D$5:$D$3004,MATCH($A1413,'Live History'!$D$5:$D$3004,1)),INDEX('AH History'!$D$5:$GG$1380,$K1413,AH!$U$10+2))),NA()),NA())</f>
        <v/>
      </c>
      <c r="H1413" s="266">
        <f>IFERROR(IF(ISNUMBER($A1413),IF(AND(AH!$U$12=1,1408+1=AH!$U$6),IF(AH!$U$4=0,"unavailable",INDEX('Market Data'!$AP$5:$AP$66,AH!$U$4)),IF(AH!$U$5=1,INDEX('Live History'!$H$5:$H$3004,MATCH($A1413,'Live History'!$G$5:$G$3004,1)),INDEX('AH History'!$B$5:$B$1380,$K1413))),NA()),NA())</f>
        <v/>
      </c>
      <c r="I1413" s="34">
        <f>IFERROR(IF(ISNUMBER($A1413),IF(AND(AH!$U$12=1,1408+1=AH!$U$6),TODAY(),IF(AH!$U$5=1,INDEX('Live History'!$G$5:$G$3004,MATCH($A1413,'Live History'!$G$5:$G$3004,1)),INDEX('AH History'!$C$5:$C$1380,$K1413))),NA()),NA())</f>
        <v/>
      </c>
      <c r="J1413" s="32">
        <f>IFERROR(IF(AND($F1413&gt;0,$H1413&gt;0,$A1413-$G1413&lt;=10,$A1413-$I1413&lt;=5,$G1413&gt;0,$I1413&gt;0),$F1413*$H1413,NA()),NA())</f>
        <v/>
      </c>
      <c r="K1413" s="15">
        <f>IF($A1413="","",IF(AH!$U$5=1,IFERROR(MATCH($A1413,'Live History'!$A$5:$A$3004,0),0),AH!$U$7+1408))</f>
        <v/>
      </c>
      <c r="L1413" s="15">
        <f>IF(ISNUMBER(A1413),TEXT(A1413,"dd-mmm-yy"),"")</f>
        <v/>
      </c>
    </row>
    <row r="1414">
      <c r="A1414" s="14">
        <f>IF(OR(AH!$U$4=0,1409+1&gt;AH!$U$6,AND(AH!$M$5="Bloomberg",AH!$U$5=0)),"",IFERROR(IF(AND(AH!$U$12=1,1409+1=AH!$U$6),TODAY(),IF(AH!$U$5=1,INDEX('Live History'!$A$5:$A$3004,AH!$U$7+1409),INDEX('AH History'!$A$5:$A$1380,AH!$U$7+1409))),""))</f>
        <v/>
      </c>
      <c r="B1414" s="33">
        <f>IFERROR(IF(AH!$U$11=1,NA(),$J1414/$E1414-1),NA())</f>
        <v/>
      </c>
      <c r="C1414" s="269">
        <f>IFERROR(100*$E1414/$E$5,NA())</f>
        <v/>
      </c>
      <c r="D1414" s="269">
        <f>IFERROR(100*$J1414/$J$5,NA())</f>
        <v/>
      </c>
      <c r="E1414" s="32">
        <f>IFERROR(IF(AND(ISNUMBER($A1414),N(IF(AND(AH!$U$12=1,1409+1=AH!$U$6),IF(AH!$U$4=0,"unavailable",INDEX('Market Data'!$AN$5:$AN$66,AH!$U$4)),IF(AH!$U$5=1,INDEX('Live History'!$B$5:$B$3004,$K1414),INDEX('AH History'!$D$5:$GG$1380,$K1414,AH!$U$10))))&gt;0),IF(AND(AH!$U$12=1,1409+1=AH!$U$6),IF(AH!$U$4=0,"unavailable",INDEX('Market Data'!$AN$5:$AN$66,AH!$U$4)),IF(AH!$U$5=1,INDEX('Live History'!$B$5:$B$3004,$K1414),INDEX('AH History'!$D$5:$GG$1380,$K1414,AH!$U$10))),NA()),NA())</f>
        <v/>
      </c>
      <c r="F1414" s="32">
        <f>IFERROR(IF(ISNUMBER($A1414),IF(AND(AH!$U$12=1,1409+1=AH!$U$6),IF(AH!$U$4=0,"unavailable",INDEX('Market Data'!$AO$5:$AO$66,AH!$U$4)),IF(AH!$U$5=1,INDEX('Live History'!$E$5:$E$3004,MATCH($A1414,'Live History'!$D$5:$D$3004,1)),INDEX('AH History'!$D$5:$GG$1380,$K1414,AH!$U$10+1))),NA()),NA())</f>
        <v/>
      </c>
      <c r="G1414" s="34">
        <f>IFERROR(IF(ISNUMBER($A1414),IF(AND(AH!$U$12=1,1409+1=AH!$U$6),IF(AH!$U$4=0,"unavailable",INDEX('Market Data'!$AK$5:$AK$66,AH!$U$4)),IF(AH!$U$5=1,INDEX('Live History'!$D$5:$D$3004,MATCH($A1414,'Live History'!$D$5:$D$3004,1)),INDEX('AH History'!$D$5:$GG$1380,$K1414,AH!$U$10+2))),NA()),NA())</f>
        <v/>
      </c>
      <c r="H1414" s="266">
        <f>IFERROR(IF(ISNUMBER($A1414),IF(AND(AH!$U$12=1,1409+1=AH!$U$6),IF(AH!$U$4=0,"unavailable",INDEX('Market Data'!$AP$5:$AP$66,AH!$U$4)),IF(AH!$U$5=1,INDEX('Live History'!$H$5:$H$3004,MATCH($A1414,'Live History'!$G$5:$G$3004,1)),INDEX('AH History'!$B$5:$B$1380,$K1414))),NA()),NA())</f>
        <v/>
      </c>
      <c r="I1414" s="34">
        <f>IFERROR(IF(ISNUMBER($A1414),IF(AND(AH!$U$12=1,1409+1=AH!$U$6),TODAY(),IF(AH!$U$5=1,INDEX('Live History'!$G$5:$G$3004,MATCH($A1414,'Live History'!$G$5:$G$3004,1)),INDEX('AH History'!$C$5:$C$1380,$K1414))),NA()),NA())</f>
        <v/>
      </c>
      <c r="J1414" s="32">
        <f>IFERROR(IF(AND($F1414&gt;0,$H1414&gt;0,$A1414-$G1414&lt;=10,$A1414-$I1414&lt;=5,$G1414&gt;0,$I1414&gt;0),$F1414*$H1414,NA()),NA())</f>
        <v/>
      </c>
      <c r="K1414" s="15">
        <f>IF($A1414="","",IF(AH!$U$5=1,IFERROR(MATCH($A1414,'Live History'!$A$5:$A$3004,0),0),AH!$U$7+1409))</f>
        <v/>
      </c>
      <c r="L1414" s="15">
        <f>IF(ISNUMBER(A1414),TEXT(A1414,"dd-mmm-yy"),"")</f>
        <v/>
      </c>
    </row>
    <row r="1415">
      <c r="A1415" s="14">
        <f>IF(OR(AH!$U$4=0,1410+1&gt;AH!$U$6,AND(AH!$M$5="Bloomberg",AH!$U$5=0)),"",IFERROR(IF(AND(AH!$U$12=1,1410+1=AH!$U$6),TODAY(),IF(AH!$U$5=1,INDEX('Live History'!$A$5:$A$3004,AH!$U$7+1410),INDEX('AH History'!$A$5:$A$1380,AH!$U$7+1410))),""))</f>
        <v/>
      </c>
      <c r="B1415" s="33">
        <f>IFERROR(IF(AH!$U$11=1,NA(),$J1415/$E1415-1),NA())</f>
        <v/>
      </c>
      <c r="C1415" s="269">
        <f>IFERROR(100*$E1415/$E$5,NA())</f>
        <v/>
      </c>
      <c r="D1415" s="269">
        <f>IFERROR(100*$J1415/$J$5,NA())</f>
        <v/>
      </c>
      <c r="E1415" s="32">
        <f>IFERROR(IF(AND(ISNUMBER($A1415),N(IF(AND(AH!$U$12=1,1410+1=AH!$U$6),IF(AH!$U$4=0,"unavailable",INDEX('Market Data'!$AN$5:$AN$66,AH!$U$4)),IF(AH!$U$5=1,INDEX('Live History'!$B$5:$B$3004,$K1415),INDEX('AH History'!$D$5:$GG$1380,$K1415,AH!$U$10))))&gt;0),IF(AND(AH!$U$12=1,1410+1=AH!$U$6),IF(AH!$U$4=0,"unavailable",INDEX('Market Data'!$AN$5:$AN$66,AH!$U$4)),IF(AH!$U$5=1,INDEX('Live History'!$B$5:$B$3004,$K1415),INDEX('AH History'!$D$5:$GG$1380,$K1415,AH!$U$10))),NA()),NA())</f>
        <v/>
      </c>
      <c r="F1415" s="32">
        <f>IFERROR(IF(ISNUMBER($A1415),IF(AND(AH!$U$12=1,1410+1=AH!$U$6),IF(AH!$U$4=0,"unavailable",INDEX('Market Data'!$AO$5:$AO$66,AH!$U$4)),IF(AH!$U$5=1,INDEX('Live History'!$E$5:$E$3004,MATCH($A1415,'Live History'!$D$5:$D$3004,1)),INDEX('AH History'!$D$5:$GG$1380,$K1415,AH!$U$10+1))),NA()),NA())</f>
        <v/>
      </c>
      <c r="G1415" s="34">
        <f>IFERROR(IF(ISNUMBER($A1415),IF(AND(AH!$U$12=1,1410+1=AH!$U$6),IF(AH!$U$4=0,"unavailable",INDEX('Market Data'!$AK$5:$AK$66,AH!$U$4)),IF(AH!$U$5=1,INDEX('Live History'!$D$5:$D$3004,MATCH($A1415,'Live History'!$D$5:$D$3004,1)),INDEX('AH History'!$D$5:$GG$1380,$K1415,AH!$U$10+2))),NA()),NA())</f>
        <v/>
      </c>
      <c r="H1415" s="266">
        <f>IFERROR(IF(ISNUMBER($A1415),IF(AND(AH!$U$12=1,1410+1=AH!$U$6),IF(AH!$U$4=0,"unavailable",INDEX('Market Data'!$AP$5:$AP$66,AH!$U$4)),IF(AH!$U$5=1,INDEX('Live History'!$H$5:$H$3004,MATCH($A1415,'Live History'!$G$5:$G$3004,1)),INDEX('AH History'!$B$5:$B$1380,$K1415))),NA()),NA())</f>
        <v/>
      </c>
      <c r="I1415" s="34">
        <f>IFERROR(IF(ISNUMBER($A1415),IF(AND(AH!$U$12=1,1410+1=AH!$U$6),TODAY(),IF(AH!$U$5=1,INDEX('Live History'!$G$5:$G$3004,MATCH($A1415,'Live History'!$G$5:$G$3004,1)),INDEX('AH History'!$C$5:$C$1380,$K1415))),NA()),NA())</f>
        <v/>
      </c>
      <c r="J1415" s="32">
        <f>IFERROR(IF(AND($F1415&gt;0,$H1415&gt;0,$A1415-$G1415&lt;=10,$A1415-$I1415&lt;=5,$G1415&gt;0,$I1415&gt;0),$F1415*$H1415,NA()),NA())</f>
        <v/>
      </c>
      <c r="K1415" s="15">
        <f>IF($A1415="","",IF(AH!$U$5=1,IFERROR(MATCH($A1415,'Live History'!$A$5:$A$3004,0),0),AH!$U$7+1410))</f>
        <v/>
      </c>
      <c r="L1415" s="15">
        <f>IF(ISNUMBER(A1415),TEXT(A1415,"dd-mmm-yy"),"")</f>
        <v/>
      </c>
    </row>
    <row r="1416">
      <c r="A1416" s="14">
        <f>IF(OR(AH!$U$4=0,1411+1&gt;AH!$U$6,AND(AH!$M$5="Bloomberg",AH!$U$5=0)),"",IFERROR(IF(AND(AH!$U$12=1,1411+1=AH!$U$6),TODAY(),IF(AH!$U$5=1,INDEX('Live History'!$A$5:$A$3004,AH!$U$7+1411),INDEX('AH History'!$A$5:$A$1380,AH!$U$7+1411))),""))</f>
        <v/>
      </c>
      <c r="B1416" s="33">
        <f>IFERROR(IF(AH!$U$11=1,NA(),$J1416/$E1416-1),NA())</f>
        <v/>
      </c>
      <c r="C1416" s="269">
        <f>IFERROR(100*$E1416/$E$5,NA())</f>
        <v/>
      </c>
      <c r="D1416" s="269">
        <f>IFERROR(100*$J1416/$J$5,NA())</f>
        <v/>
      </c>
      <c r="E1416" s="32">
        <f>IFERROR(IF(AND(ISNUMBER($A1416),N(IF(AND(AH!$U$12=1,1411+1=AH!$U$6),IF(AH!$U$4=0,"unavailable",INDEX('Market Data'!$AN$5:$AN$66,AH!$U$4)),IF(AH!$U$5=1,INDEX('Live History'!$B$5:$B$3004,$K1416),INDEX('AH History'!$D$5:$GG$1380,$K1416,AH!$U$10))))&gt;0),IF(AND(AH!$U$12=1,1411+1=AH!$U$6),IF(AH!$U$4=0,"unavailable",INDEX('Market Data'!$AN$5:$AN$66,AH!$U$4)),IF(AH!$U$5=1,INDEX('Live History'!$B$5:$B$3004,$K1416),INDEX('AH History'!$D$5:$GG$1380,$K1416,AH!$U$10))),NA()),NA())</f>
        <v/>
      </c>
      <c r="F1416" s="32">
        <f>IFERROR(IF(ISNUMBER($A1416),IF(AND(AH!$U$12=1,1411+1=AH!$U$6),IF(AH!$U$4=0,"unavailable",INDEX('Market Data'!$AO$5:$AO$66,AH!$U$4)),IF(AH!$U$5=1,INDEX('Live History'!$E$5:$E$3004,MATCH($A1416,'Live History'!$D$5:$D$3004,1)),INDEX('AH History'!$D$5:$GG$1380,$K1416,AH!$U$10+1))),NA()),NA())</f>
        <v/>
      </c>
      <c r="G1416" s="34">
        <f>IFERROR(IF(ISNUMBER($A1416),IF(AND(AH!$U$12=1,1411+1=AH!$U$6),IF(AH!$U$4=0,"unavailable",INDEX('Market Data'!$AK$5:$AK$66,AH!$U$4)),IF(AH!$U$5=1,INDEX('Live History'!$D$5:$D$3004,MATCH($A1416,'Live History'!$D$5:$D$3004,1)),INDEX('AH History'!$D$5:$GG$1380,$K1416,AH!$U$10+2))),NA()),NA())</f>
        <v/>
      </c>
      <c r="H1416" s="266">
        <f>IFERROR(IF(ISNUMBER($A1416),IF(AND(AH!$U$12=1,1411+1=AH!$U$6),IF(AH!$U$4=0,"unavailable",INDEX('Market Data'!$AP$5:$AP$66,AH!$U$4)),IF(AH!$U$5=1,INDEX('Live History'!$H$5:$H$3004,MATCH($A1416,'Live History'!$G$5:$G$3004,1)),INDEX('AH History'!$B$5:$B$1380,$K1416))),NA()),NA())</f>
        <v/>
      </c>
      <c r="I1416" s="34">
        <f>IFERROR(IF(ISNUMBER($A1416),IF(AND(AH!$U$12=1,1411+1=AH!$U$6),TODAY(),IF(AH!$U$5=1,INDEX('Live History'!$G$5:$G$3004,MATCH($A1416,'Live History'!$G$5:$G$3004,1)),INDEX('AH History'!$C$5:$C$1380,$K1416))),NA()),NA())</f>
        <v/>
      </c>
      <c r="J1416" s="32">
        <f>IFERROR(IF(AND($F1416&gt;0,$H1416&gt;0,$A1416-$G1416&lt;=10,$A1416-$I1416&lt;=5,$G1416&gt;0,$I1416&gt;0),$F1416*$H1416,NA()),NA())</f>
        <v/>
      </c>
      <c r="K1416" s="15">
        <f>IF($A1416="","",IF(AH!$U$5=1,IFERROR(MATCH($A1416,'Live History'!$A$5:$A$3004,0),0),AH!$U$7+1411))</f>
        <v/>
      </c>
      <c r="L1416" s="15">
        <f>IF(ISNUMBER(A1416),TEXT(A1416,"dd-mmm-yy"),"")</f>
        <v/>
      </c>
    </row>
    <row r="1417">
      <c r="A1417" s="14">
        <f>IF(OR(AH!$U$4=0,1412+1&gt;AH!$U$6,AND(AH!$M$5="Bloomberg",AH!$U$5=0)),"",IFERROR(IF(AND(AH!$U$12=1,1412+1=AH!$U$6),TODAY(),IF(AH!$U$5=1,INDEX('Live History'!$A$5:$A$3004,AH!$U$7+1412),INDEX('AH History'!$A$5:$A$1380,AH!$U$7+1412))),""))</f>
        <v/>
      </c>
      <c r="B1417" s="33">
        <f>IFERROR(IF(AH!$U$11=1,NA(),$J1417/$E1417-1),NA())</f>
        <v/>
      </c>
      <c r="C1417" s="269">
        <f>IFERROR(100*$E1417/$E$5,NA())</f>
        <v/>
      </c>
      <c r="D1417" s="269">
        <f>IFERROR(100*$J1417/$J$5,NA())</f>
        <v/>
      </c>
      <c r="E1417" s="32">
        <f>IFERROR(IF(AND(ISNUMBER($A1417),N(IF(AND(AH!$U$12=1,1412+1=AH!$U$6),IF(AH!$U$4=0,"unavailable",INDEX('Market Data'!$AN$5:$AN$66,AH!$U$4)),IF(AH!$U$5=1,INDEX('Live History'!$B$5:$B$3004,$K1417),INDEX('AH History'!$D$5:$GG$1380,$K1417,AH!$U$10))))&gt;0),IF(AND(AH!$U$12=1,1412+1=AH!$U$6),IF(AH!$U$4=0,"unavailable",INDEX('Market Data'!$AN$5:$AN$66,AH!$U$4)),IF(AH!$U$5=1,INDEX('Live History'!$B$5:$B$3004,$K1417),INDEX('AH History'!$D$5:$GG$1380,$K1417,AH!$U$10))),NA()),NA())</f>
        <v/>
      </c>
      <c r="F1417" s="32">
        <f>IFERROR(IF(ISNUMBER($A1417),IF(AND(AH!$U$12=1,1412+1=AH!$U$6),IF(AH!$U$4=0,"unavailable",INDEX('Market Data'!$AO$5:$AO$66,AH!$U$4)),IF(AH!$U$5=1,INDEX('Live History'!$E$5:$E$3004,MATCH($A1417,'Live History'!$D$5:$D$3004,1)),INDEX('AH History'!$D$5:$GG$1380,$K1417,AH!$U$10+1))),NA()),NA())</f>
        <v/>
      </c>
      <c r="G1417" s="34">
        <f>IFERROR(IF(ISNUMBER($A1417),IF(AND(AH!$U$12=1,1412+1=AH!$U$6),IF(AH!$U$4=0,"unavailable",INDEX('Market Data'!$AK$5:$AK$66,AH!$U$4)),IF(AH!$U$5=1,INDEX('Live History'!$D$5:$D$3004,MATCH($A1417,'Live History'!$D$5:$D$3004,1)),INDEX('AH History'!$D$5:$GG$1380,$K1417,AH!$U$10+2))),NA()),NA())</f>
        <v/>
      </c>
      <c r="H1417" s="266">
        <f>IFERROR(IF(ISNUMBER($A1417),IF(AND(AH!$U$12=1,1412+1=AH!$U$6),IF(AH!$U$4=0,"unavailable",INDEX('Market Data'!$AP$5:$AP$66,AH!$U$4)),IF(AH!$U$5=1,INDEX('Live History'!$H$5:$H$3004,MATCH($A1417,'Live History'!$G$5:$G$3004,1)),INDEX('AH History'!$B$5:$B$1380,$K1417))),NA()),NA())</f>
        <v/>
      </c>
      <c r="I1417" s="34">
        <f>IFERROR(IF(ISNUMBER($A1417),IF(AND(AH!$U$12=1,1412+1=AH!$U$6),TODAY(),IF(AH!$U$5=1,INDEX('Live History'!$G$5:$G$3004,MATCH($A1417,'Live History'!$G$5:$G$3004,1)),INDEX('AH History'!$C$5:$C$1380,$K1417))),NA()),NA())</f>
        <v/>
      </c>
      <c r="J1417" s="32">
        <f>IFERROR(IF(AND($F1417&gt;0,$H1417&gt;0,$A1417-$G1417&lt;=10,$A1417-$I1417&lt;=5,$G1417&gt;0,$I1417&gt;0),$F1417*$H1417,NA()),NA())</f>
        <v/>
      </c>
      <c r="K1417" s="15">
        <f>IF($A1417="","",IF(AH!$U$5=1,IFERROR(MATCH($A1417,'Live History'!$A$5:$A$3004,0),0),AH!$U$7+1412))</f>
        <v/>
      </c>
      <c r="L1417" s="15">
        <f>IF(ISNUMBER(A1417),TEXT(A1417,"dd-mmm-yy"),"")</f>
        <v/>
      </c>
    </row>
    <row r="1418">
      <c r="A1418" s="14">
        <f>IF(OR(AH!$U$4=0,1413+1&gt;AH!$U$6,AND(AH!$M$5="Bloomberg",AH!$U$5=0)),"",IFERROR(IF(AND(AH!$U$12=1,1413+1=AH!$U$6),TODAY(),IF(AH!$U$5=1,INDEX('Live History'!$A$5:$A$3004,AH!$U$7+1413),INDEX('AH History'!$A$5:$A$1380,AH!$U$7+1413))),""))</f>
        <v/>
      </c>
      <c r="B1418" s="33">
        <f>IFERROR(IF(AH!$U$11=1,NA(),$J1418/$E1418-1),NA())</f>
        <v/>
      </c>
      <c r="C1418" s="269">
        <f>IFERROR(100*$E1418/$E$5,NA())</f>
        <v/>
      </c>
      <c r="D1418" s="269">
        <f>IFERROR(100*$J1418/$J$5,NA())</f>
        <v/>
      </c>
      <c r="E1418" s="32">
        <f>IFERROR(IF(AND(ISNUMBER($A1418),N(IF(AND(AH!$U$12=1,1413+1=AH!$U$6),IF(AH!$U$4=0,"unavailable",INDEX('Market Data'!$AN$5:$AN$66,AH!$U$4)),IF(AH!$U$5=1,INDEX('Live History'!$B$5:$B$3004,$K1418),INDEX('AH History'!$D$5:$GG$1380,$K1418,AH!$U$10))))&gt;0),IF(AND(AH!$U$12=1,1413+1=AH!$U$6),IF(AH!$U$4=0,"unavailable",INDEX('Market Data'!$AN$5:$AN$66,AH!$U$4)),IF(AH!$U$5=1,INDEX('Live History'!$B$5:$B$3004,$K1418),INDEX('AH History'!$D$5:$GG$1380,$K1418,AH!$U$10))),NA()),NA())</f>
        <v/>
      </c>
      <c r="F1418" s="32">
        <f>IFERROR(IF(ISNUMBER($A1418),IF(AND(AH!$U$12=1,1413+1=AH!$U$6),IF(AH!$U$4=0,"unavailable",INDEX('Market Data'!$AO$5:$AO$66,AH!$U$4)),IF(AH!$U$5=1,INDEX('Live History'!$E$5:$E$3004,MATCH($A1418,'Live History'!$D$5:$D$3004,1)),INDEX('AH History'!$D$5:$GG$1380,$K1418,AH!$U$10+1))),NA()),NA())</f>
        <v/>
      </c>
      <c r="G1418" s="34">
        <f>IFERROR(IF(ISNUMBER($A1418),IF(AND(AH!$U$12=1,1413+1=AH!$U$6),IF(AH!$U$4=0,"unavailable",INDEX('Market Data'!$AK$5:$AK$66,AH!$U$4)),IF(AH!$U$5=1,INDEX('Live History'!$D$5:$D$3004,MATCH($A1418,'Live History'!$D$5:$D$3004,1)),INDEX('AH History'!$D$5:$GG$1380,$K1418,AH!$U$10+2))),NA()),NA())</f>
        <v/>
      </c>
      <c r="H1418" s="266">
        <f>IFERROR(IF(ISNUMBER($A1418),IF(AND(AH!$U$12=1,1413+1=AH!$U$6),IF(AH!$U$4=0,"unavailable",INDEX('Market Data'!$AP$5:$AP$66,AH!$U$4)),IF(AH!$U$5=1,INDEX('Live History'!$H$5:$H$3004,MATCH($A1418,'Live History'!$G$5:$G$3004,1)),INDEX('AH History'!$B$5:$B$1380,$K1418))),NA()),NA())</f>
        <v/>
      </c>
      <c r="I1418" s="34">
        <f>IFERROR(IF(ISNUMBER($A1418),IF(AND(AH!$U$12=1,1413+1=AH!$U$6),TODAY(),IF(AH!$U$5=1,INDEX('Live History'!$G$5:$G$3004,MATCH($A1418,'Live History'!$G$5:$G$3004,1)),INDEX('AH History'!$C$5:$C$1380,$K1418))),NA()),NA())</f>
        <v/>
      </c>
      <c r="J1418" s="32">
        <f>IFERROR(IF(AND($F1418&gt;0,$H1418&gt;0,$A1418-$G1418&lt;=10,$A1418-$I1418&lt;=5,$G1418&gt;0,$I1418&gt;0),$F1418*$H1418,NA()),NA())</f>
        <v/>
      </c>
      <c r="K1418" s="15">
        <f>IF($A1418="","",IF(AH!$U$5=1,IFERROR(MATCH($A1418,'Live History'!$A$5:$A$3004,0),0),AH!$U$7+1413))</f>
        <v/>
      </c>
      <c r="L1418" s="15">
        <f>IF(ISNUMBER(A1418),TEXT(A1418,"dd-mmm-yy"),"")</f>
        <v/>
      </c>
    </row>
    <row r="1419">
      <c r="A1419" s="14">
        <f>IF(OR(AH!$U$4=0,1414+1&gt;AH!$U$6,AND(AH!$M$5="Bloomberg",AH!$U$5=0)),"",IFERROR(IF(AND(AH!$U$12=1,1414+1=AH!$U$6),TODAY(),IF(AH!$U$5=1,INDEX('Live History'!$A$5:$A$3004,AH!$U$7+1414),INDEX('AH History'!$A$5:$A$1380,AH!$U$7+1414))),""))</f>
        <v/>
      </c>
      <c r="B1419" s="33">
        <f>IFERROR(IF(AH!$U$11=1,NA(),$J1419/$E1419-1),NA())</f>
        <v/>
      </c>
      <c r="C1419" s="269">
        <f>IFERROR(100*$E1419/$E$5,NA())</f>
        <v/>
      </c>
      <c r="D1419" s="269">
        <f>IFERROR(100*$J1419/$J$5,NA())</f>
        <v/>
      </c>
      <c r="E1419" s="32">
        <f>IFERROR(IF(AND(ISNUMBER($A1419),N(IF(AND(AH!$U$12=1,1414+1=AH!$U$6),IF(AH!$U$4=0,"unavailable",INDEX('Market Data'!$AN$5:$AN$66,AH!$U$4)),IF(AH!$U$5=1,INDEX('Live History'!$B$5:$B$3004,$K1419),INDEX('AH History'!$D$5:$GG$1380,$K1419,AH!$U$10))))&gt;0),IF(AND(AH!$U$12=1,1414+1=AH!$U$6),IF(AH!$U$4=0,"unavailable",INDEX('Market Data'!$AN$5:$AN$66,AH!$U$4)),IF(AH!$U$5=1,INDEX('Live History'!$B$5:$B$3004,$K1419),INDEX('AH History'!$D$5:$GG$1380,$K1419,AH!$U$10))),NA()),NA())</f>
        <v/>
      </c>
      <c r="F1419" s="32">
        <f>IFERROR(IF(ISNUMBER($A1419),IF(AND(AH!$U$12=1,1414+1=AH!$U$6),IF(AH!$U$4=0,"unavailable",INDEX('Market Data'!$AO$5:$AO$66,AH!$U$4)),IF(AH!$U$5=1,INDEX('Live History'!$E$5:$E$3004,MATCH($A1419,'Live History'!$D$5:$D$3004,1)),INDEX('AH History'!$D$5:$GG$1380,$K1419,AH!$U$10+1))),NA()),NA())</f>
        <v/>
      </c>
      <c r="G1419" s="34">
        <f>IFERROR(IF(ISNUMBER($A1419),IF(AND(AH!$U$12=1,1414+1=AH!$U$6),IF(AH!$U$4=0,"unavailable",INDEX('Market Data'!$AK$5:$AK$66,AH!$U$4)),IF(AH!$U$5=1,INDEX('Live History'!$D$5:$D$3004,MATCH($A1419,'Live History'!$D$5:$D$3004,1)),INDEX('AH History'!$D$5:$GG$1380,$K1419,AH!$U$10+2))),NA()),NA())</f>
        <v/>
      </c>
      <c r="H1419" s="266">
        <f>IFERROR(IF(ISNUMBER($A1419),IF(AND(AH!$U$12=1,1414+1=AH!$U$6),IF(AH!$U$4=0,"unavailable",INDEX('Market Data'!$AP$5:$AP$66,AH!$U$4)),IF(AH!$U$5=1,INDEX('Live History'!$H$5:$H$3004,MATCH($A1419,'Live History'!$G$5:$G$3004,1)),INDEX('AH History'!$B$5:$B$1380,$K1419))),NA()),NA())</f>
        <v/>
      </c>
      <c r="I1419" s="34">
        <f>IFERROR(IF(ISNUMBER($A1419),IF(AND(AH!$U$12=1,1414+1=AH!$U$6),TODAY(),IF(AH!$U$5=1,INDEX('Live History'!$G$5:$G$3004,MATCH($A1419,'Live History'!$G$5:$G$3004,1)),INDEX('AH History'!$C$5:$C$1380,$K1419))),NA()),NA())</f>
        <v/>
      </c>
      <c r="J1419" s="32">
        <f>IFERROR(IF(AND($F1419&gt;0,$H1419&gt;0,$A1419-$G1419&lt;=10,$A1419-$I1419&lt;=5,$G1419&gt;0,$I1419&gt;0),$F1419*$H1419,NA()),NA())</f>
        <v/>
      </c>
      <c r="K1419" s="15">
        <f>IF($A1419="","",IF(AH!$U$5=1,IFERROR(MATCH($A1419,'Live History'!$A$5:$A$3004,0),0),AH!$U$7+1414))</f>
        <v/>
      </c>
      <c r="L1419" s="15">
        <f>IF(ISNUMBER(A1419),TEXT(A1419,"dd-mmm-yy"),"")</f>
        <v/>
      </c>
    </row>
    <row r="1420">
      <c r="A1420" s="14">
        <f>IF(OR(AH!$U$4=0,1415+1&gt;AH!$U$6,AND(AH!$M$5="Bloomberg",AH!$U$5=0)),"",IFERROR(IF(AND(AH!$U$12=1,1415+1=AH!$U$6),TODAY(),IF(AH!$U$5=1,INDEX('Live History'!$A$5:$A$3004,AH!$U$7+1415),INDEX('AH History'!$A$5:$A$1380,AH!$U$7+1415))),""))</f>
        <v/>
      </c>
      <c r="B1420" s="33">
        <f>IFERROR(IF(AH!$U$11=1,NA(),$J1420/$E1420-1),NA())</f>
        <v/>
      </c>
      <c r="C1420" s="269">
        <f>IFERROR(100*$E1420/$E$5,NA())</f>
        <v/>
      </c>
      <c r="D1420" s="269">
        <f>IFERROR(100*$J1420/$J$5,NA())</f>
        <v/>
      </c>
      <c r="E1420" s="32">
        <f>IFERROR(IF(AND(ISNUMBER($A1420),N(IF(AND(AH!$U$12=1,1415+1=AH!$U$6),IF(AH!$U$4=0,"unavailable",INDEX('Market Data'!$AN$5:$AN$66,AH!$U$4)),IF(AH!$U$5=1,INDEX('Live History'!$B$5:$B$3004,$K1420),INDEX('AH History'!$D$5:$GG$1380,$K1420,AH!$U$10))))&gt;0),IF(AND(AH!$U$12=1,1415+1=AH!$U$6),IF(AH!$U$4=0,"unavailable",INDEX('Market Data'!$AN$5:$AN$66,AH!$U$4)),IF(AH!$U$5=1,INDEX('Live History'!$B$5:$B$3004,$K1420),INDEX('AH History'!$D$5:$GG$1380,$K1420,AH!$U$10))),NA()),NA())</f>
        <v/>
      </c>
      <c r="F1420" s="32">
        <f>IFERROR(IF(ISNUMBER($A1420),IF(AND(AH!$U$12=1,1415+1=AH!$U$6),IF(AH!$U$4=0,"unavailable",INDEX('Market Data'!$AO$5:$AO$66,AH!$U$4)),IF(AH!$U$5=1,INDEX('Live History'!$E$5:$E$3004,MATCH($A1420,'Live History'!$D$5:$D$3004,1)),INDEX('AH History'!$D$5:$GG$1380,$K1420,AH!$U$10+1))),NA()),NA())</f>
        <v/>
      </c>
      <c r="G1420" s="34">
        <f>IFERROR(IF(ISNUMBER($A1420),IF(AND(AH!$U$12=1,1415+1=AH!$U$6),IF(AH!$U$4=0,"unavailable",INDEX('Market Data'!$AK$5:$AK$66,AH!$U$4)),IF(AH!$U$5=1,INDEX('Live History'!$D$5:$D$3004,MATCH($A1420,'Live History'!$D$5:$D$3004,1)),INDEX('AH History'!$D$5:$GG$1380,$K1420,AH!$U$10+2))),NA()),NA())</f>
        <v/>
      </c>
      <c r="H1420" s="266">
        <f>IFERROR(IF(ISNUMBER($A1420),IF(AND(AH!$U$12=1,1415+1=AH!$U$6),IF(AH!$U$4=0,"unavailable",INDEX('Market Data'!$AP$5:$AP$66,AH!$U$4)),IF(AH!$U$5=1,INDEX('Live History'!$H$5:$H$3004,MATCH($A1420,'Live History'!$G$5:$G$3004,1)),INDEX('AH History'!$B$5:$B$1380,$K1420))),NA()),NA())</f>
        <v/>
      </c>
      <c r="I1420" s="34">
        <f>IFERROR(IF(ISNUMBER($A1420),IF(AND(AH!$U$12=1,1415+1=AH!$U$6),TODAY(),IF(AH!$U$5=1,INDEX('Live History'!$G$5:$G$3004,MATCH($A1420,'Live History'!$G$5:$G$3004,1)),INDEX('AH History'!$C$5:$C$1380,$K1420))),NA()),NA())</f>
        <v/>
      </c>
      <c r="J1420" s="32">
        <f>IFERROR(IF(AND($F1420&gt;0,$H1420&gt;0,$A1420-$G1420&lt;=10,$A1420-$I1420&lt;=5,$G1420&gt;0,$I1420&gt;0),$F1420*$H1420,NA()),NA())</f>
        <v/>
      </c>
      <c r="K1420" s="15">
        <f>IF($A1420="","",IF(AH!$U$5=1,IFERROR(MATCH($A1420,'Live History'!$A$5:$A$3004,0),0),AH!$U$7+1415))</f>
        <v/>
      </c>
      <c r="L1420" s="15">
        <f>IF(ISNUMBER(A1420),TEXT(A1420,"dd-mmm-yy"),"")</f>
        <v/>
      </c>
    </row>
    <row r="1421">
      <c r="A1421" s="14">
        <f>IF(OR(AH!$U$4=0,1416+1&gt;AH!$U$6,AND(AH!$M$5="Bloomberg",AH!$U$5=0)),"",IFERROR(IF(AND(AH!$U$12=1,1416+1=AH!$U$6),TODAY(),IF(AH!$U$5=1,INDEX('Live History'!$A$5:$A$3004,AH!$U$7+1416),INDEX('AH History'!$A$5:$A$1380,AH!$U$7+1416))),""))</f>
        <v/>
      </c>
      <c r="B1421" s="33">
        <f>IFERROR(IF(AH!$U$11=1,NA(),$J1421/$E1421-1),NA())</f>
        <v/>
      </c>
      <c r="C1421" s="269">
        <f>IFERROR(100*$E1421/$E$5,NA())</f>
        <v/>
      </c>
      <c r="D1421" s="269">
        <f>IFERROR(100*$J1421/$J$5,NA())</f>
        <v/>
      </c>
      <c r="E1421" s="32">
        <f>IFERROR(IF(AND(ISNUMBER($A1421),N(IF(AND(AH!$U$12=1,1416+1=AH!$U$6),IF(AH!$U$4=0,"unavailable",INDEX('Market Data'!$AN$5:$AN$66,AH!$U$4)),IF(AH!$U$5=1,INDEX('Live History'!$B$5:$B$3004,$K1421),INDEX('AH History'!$D$5:$GG$1380,$K1421,AH!$U$10))))&gt;0),IF(AND(AH!$U$12=1,1416+1=AH!$U$6),IF(AH!$U$4=0,"unavailable",INDEX('Market Data'!$AN$5:$AN$66,AH!$U$4)),IF(AH!$U$5=1,INDEX('Live History'!$B$5:$B$3004,$K1421),INDEX('AH History'!$D$5:$GG$1380,$K1421,AH!$U$10))),NA()),NA())</f>
        <v/>
      </c>
      <c r="F1421" s="32">
        <f>IFERROR(IF(ISNUMBER($A1421),IF(AND(AH!$U$12=1,1416+1=AH!$U$6),IF(AH!$U$4=0,"unavailable",INDEX('Market Data'!$AO$5:$AO$66,AH!$U$4)),IF(AH!$U$5=1,INDEX('Live History'!$E$5:$E$3004,MATCH($A1421,'Live History'!$D$5:$D$3004,1)),INDEX('AH History'!$D$5:$GG$1380,$K1421,AH!$U$10+1))),NA()),NA())</f>
        <v/>
      </c>
      <c r="G1421" s="34">
        <f>IFERROR(IF(ISNUMBER($A1421),IF(AND(AH!$U$12=1,1416+1=AH!$U$6),IF(AH!$U$4=0,"unavailable",INDEX('Market Data'!$AK$5:$AK$66,AH!$U$4)),IF(AH!$U$5=1,INDEX('Live History'!$D$5:$D$3004,MATCH($A1421,'Live History'!$D$5:$D$3004,1)),INDEX('AH History'!$D$5:$GG$1380,$K1421,AH!$U$10+2))),NA()),NA())</f>
        <v/>
      </c>
      <c r="H1421" s="266">
        <f>IFERROR(IF(ISNUMBER($A1421),IF(AND(AH!$U$12=1,1416+1=AH!$U$6),IF(AH!$U$4=0,"unavailable",INDEX('Market Data'!$AP$5:$AP$66,AH!$U$4)),IF(AH!$U$5=1,INDEX('Live History'!$H$5:$H$3004,MATCH($A1421,'Live History'!$G$5:$G$3004,1)),INDEX('AH History'!$B$5:$B$1380,$K1421))),NA()),NA())</f>
        <v/>
      </c>
      <c r="I1421" s="34">
        <f>IFERROR(IF(ISNUMBER($A1421),IF(AND(AH!$U$12=1,1416+1=AH!$U$6),TODAY(),IF(AH!$U$5=1,INDEX('Live History'!$G$5:$G$3004,MATCH($A1421,'Live History'!$G$5:$G$3004,1)),INDEX('AH History'!$C$5:$C$1380,$K1421))),NA()),NA())</f>
        <v/>
      </c>
      <c r="J1421" s="32">
        <f>IFERROR(IF(AND($F1421&gt;0,$H1421&gt;0,$A1421-$G1421&lt;=10,$A1421-$I1421&lt;=5,$G1421&gt;0,$I1421&gt;0),$F1421*$H1421,NA()),NA())</f>
        <v/>
      </c>
      <c r="K1421" s="15">
        <f>IF($A1421="","",IF(AH!$U$5=1,IFERROR(MATCH($A1421,'Live History'!$A$5:$A$3004,0),0),AH!$U$7+1416))</f>
        <v/>
      </c>
      <c r="L1421" s="15">
        <f>IF(ISNUMBER(A1421),TEXT(A1421,"dd-mmm-yy"),"")</f>
        <v/>
      </c>
    </row>
    <row r="1422">
      <c r="A1422" s="14">
        <f>IF(OR(AH!$U$4=0,1417+1&gt;AH!$U$6,AND(AH!$M$5="Bloomberg",AH!$U$5=0)),"",IFERROR(IF(AND(AH!$U$12=1,1417+1=AH!$U$6),TODAY(),IF(AH!$U$5=1,INDEX('Live History'!$A$5:$A$3004,AH!$U$7+1417),INDEX('AH History'!$A$5:$A$1380,AH!$U$7+1417))),""))</f>
        <v/>
      </c>
      <c r="B1422" s="33">
        <f>IFERROR(IF(AH!$U$11=1,NA(),$J1422/$E1422-1),NA())</f>
        <v/>
      </c>
      <c r="C1422" s="269">
        <f>IFERROR(100*$E1422/$E$5,NA())</f>
        <v/>
      </c>
      <c r="D1422" s="269">
        <f>IFERROR(100*$J1422/$J$5,NA())</f>
        <v/>
      </c>
      <c r="E1422" s="32">
        <f>IFERROR(IF(AND(ISNUMBER($A1422),N(IF(AND(AH!$U$12=1,1417+1=AH!$U$6),IF(AH!$U$4=0,"unavailable",INDEX('Market Data'!$AN$5:$AN$66,AH!$U$4)),IF(AH!$U$5=1,INDEX('Live History'!$B$5:$B$3004,$K1422),INDEX('AH History'!$D$5:$GG$1380,$K1422,AH!$U$10))))&gt;0),IF(AND(AH!$U$12=1,1417+1=AH!$U$6),IF(AH!$U$4=0,"unavailable",INDEX('Market Data'!$AN$5:$AN$66,AH!$U$4)),IF(AH!$U$5=1,INDEX('Live History'!$B$5:$B$3004,$K1422),INDEX('AH History'!$D$5:$GG$1380,$K1422,AH!$U$10))),NA()),NA())</f>
        <v/>
      </c>
      <c r="F1422" s="32">
        <f>IFERROR(IF(ISNUMBER($A1422),IF(AND(AH!$U$12=1,1417+1=AH!$U$6),IF(AH!$U$4=0,"unavailable",INDEX('Market Data'!$AO$5:$AO$66,AH!$U$4)),IF(AH!$U$5=1,INDEX('Live History'!$E$5:$E$3004,MATCH($A1422,'Live History'!$D$5:$D$3004,1)),INDEX('AH History'!$D$5:$GG$1380,$K1422,AH!$U$10+1))),NA()),NA())</f>
        <v/>
      </c>
      <c r="G1422" s="34">
        <f>IFERROR(IF(ISNUMBER($A1422),IF(AND(AH!$U$12=1,1417+1=AH!$U$6),IF(AH!$U$4=0,"unavailable",INDEX('Market Data'!$AK$5:$AK$66,AH!$U$4)),IF(AH!$U$5=1,INDEX('Live History'!$D$5:$D$3004,MATCH($A1422,'Live History'!$D$5:$D$3004,1)),INDEX('AH History'!$D$5:$GG$1380,$K1422,AH!$U$10+2))),NA()),NA())</f>
        <v/>
      </c>
      <c r="H1422" s="266">
        <f>IFERROR(IF(ISNUMBER($A1422),IF(AND(AH!$U$12=1,1417+1=AH!$U$6),IF(AH!$U$4=0,"unavailable",INDEX('Market Data'!$AP$5:$AP$66,AH!$U$4)),IF(AH!$U$5=1,INDEX('Live History'!$H$5:$H$3004,MATCH($A1422,'Live History'!$G$5:$G$3004,1)),INDEX('AH History'!$B$5:$B$1380,$K1422))),NA()),NA())</f>
        <v/>
      </c>
      <c r="I1422" s="34">
        <f>IFERROR(IF(ISNUMBER($A1422),IF(AND(AH!$U$12=1,1417+1=AH!$U$6),TODAY(),IF(AH!$U$5=1,INDEX('Live History'!$G$5:$G$3004,MATCH($A1422,'Live History'!$G$5:$G$3004,1)),INDEX('AH History'!$C$5:$C$1380,$K1422))),NA()),NA())</f>
        <v/>
      </c>
      <c r="J1422" s="32">
        <f>IFERROR(IF(AND($F1422&gt;0,$H1422&gt;0,$A1422-$G1422&lt;=10,$A1422-$I1422&lt;=5,$G1422&gt;0,$I1422&gt;0),$F1422*$H1422,NA()),NA())</f>
        <v/>
      </c>
      <c r="K1422" s="15">
        <f>IF($A1422="","",IF(AH!$U$5=1,IFERROR(MATCH($A1422,'Live History'!$A$5:$A$3004,0),0),AH!$U$7+1417))</f>
        <v/>
      </c>
      <c r="L1422" s="15">
        <f>IF(ISNUMBER(A1422),TEXT(A1422,"dd-mmm-yy"),"")</f>
        <v/>
      </c>
    </row>
    <row r="1423">
      <c r="A1423" s="14">
        <f>IF(OR(AH!$U$4=0,1418+1&gt;AH!$U$6,AND(AH!$M$5="Bloomberg",AH!$U$5=0)),"",IFERROR(IF(AND(AH!$U$12=1,1418+1=AH!$U$6),TODAY(),IF(AH!$U$5=1,INDEX('Live History'!$A$5:$A$3004,AH!$U$7+1418),INDEX('AH History'!$A$5:$A$1380,AH!$U$7+1418))),""))</f>
        <v/>
      </c>
      <c r="B1423" s="33">
        <f>IFERROR(IF(AH!$U$11=1,NA(),$J1423/$E1423-1),NA())</f>
        <v/>
      </c>
      <c r="C1423" s="269">
        <f>IFERROR(100*$E1423/$E$5,NA())</f>
        <v/>
      </c>
      <c r="D1423" s="269">
        <f>IFERROR(100*$J1423/$J$5,NA())</f>
        <v/>
      </c>
      <c r="E1423" s="32">
        <f>IFERROR(IF(AND(ISNUMBER($A1423),N(IF(AND(AH!$U$12=1,1418+1=AH!$U$6),IF(AH!$U$4=0,"unavailable",INDEX('Market Data'!$AN$5:$AN$66,AH!$U$4)),IF(AH!$U$5=1,INDEX('Live History'!$B$5:$B$3004,$K1423),INDEX('AH History'!$D$5:$GG$1380,$K1423,AH!$U$10))))&gt;0),IF(AND(AH!$U$12=1,1418+1=AH!$U$6),IF(AH!$U$4=0,"unavailable",INDEX('Market Data'!$AN$5:$AN$66,AH!$U$4)),IF(AH!$U$5=1,INDEX('Live History'!$B$5:$B$3004,$K1423),INDEX('AH History'!$D$5:$GG$1380,$K1423,AH!$U$10))),NA()),NA())</f>
        <v/>
      </c>
      <c r="F1423" s="32">
        <f>IFERROR(IF(ISNUMBER($A1423),IF(AND(AH!$U$12=1,1418+1=AH!$U$6),IF(AH!$U$4=0,"unavailable",INDEX('Market Data'!$AO$5:$AO$66,AH!$U$4)),IF(AH!$U$5=1,INDEX('Live History'!$E$5:$E$3004,MATCH($A1423,'Live History'!$D$5:$D$3004,1)),INDEX('AH History'!$D$5:$GG$1380,$K1423,AH!$U$10+1))),NA()),NA())</f>
        <v/>
      </c>
      <c r="G1423" s="34">
        <f>IFERROR(IF(ISNUMBER($A1423),IF(AND(AH!$U$12=1,1418+1=AH!$U$6),IF(AH!$U$4=0,"unavailable",INDEX('Market Data'!$AK$5:$AK$66,AH!$U$4)),IF(AH!$U$5=1,INDEX('Live History'!$D$5:$D$3004,MATCH($A1423,'Live History'!$D$5:$D$3004,1)),INDEX('AH History'!$D$5:$GG$1380,$K1423,AH!$U$10+2))),NA()),NA())</f>
        <v/>
      </c>
      <c r="H1423" s="266">
        <f>IFERROR(IF(ISNUMBER($A1423),IF(AND(AH!$U$12=1,1418+1=AH!$U$6),IF(AH!$U$4=0,"unavailable",INDEX('Market Data'!$AP$5:$AP$66,AH!$U$4)),IF(AH!$U$5=1,INDEX('Live History'!$H$5:$H$3004,MATCH($A1423,'Live History'!$G$5:$G$3004,1)),INDEX('AH History'!$B$5:$B$1380,$K1423))),NA()),NA())</f>
        <v/>
      </c>
      <c r="I1423" s="34">
        <f>IFERROR(IF(ISNUMBER($A1423),IF(AND(AH!$U$12=1,1418+1=AH!$U$6),TODAY(),IF(AH!$U$5=1,INDEX('Live History'!$G$5:$G$3004,MATCH($A1423,'Live History'!$G$5:$G$3004,1)),INDEX('AH History'!$C$5:$C$1380,$K1423))),NA()),NA())</f>
        <v/>
      </c>
      <c r="J1423" s="32">
        <f>IFERROR(IF(AND($F1423&gt;0,$H1423&gt;0,$A1423-$G1423&lt;=10,$A1423-$I1423&lt;=5,$G1423&gt;0,$I1423&gt;0),$F1423*$H1423,NA()),NA())</f>
        <v/>
      </c>
      <c r="K1423" s="15">
        <f>IF($A1423="","",IF(AH!$U$5=1,IFERROR(MATCH($A1423,'Live History'!$A$5:$A$3004,0),0),AH!$U$7+1418))</f>
        <v/>
      </c>
      <c r="L1423" s="15">
        <f>IF(ISNUMBER(A1423),TEXT(A1423,"dd-mmm-yy"),"")</f>
        <v/>
      </c>
    </row>
    <row r="1424">
      <c r="A1424" s="14">
        <f>IF(OR(AH!$U$4=0,1419+1&gt;AH!$U$6,AND(AH!$M$5="Bloomberg",AH!$U$5=0)),"",IFERROR(IF(AND(AH!$U$12=1,1419+1=AH!$U$6),TODAY(),IF(AH!$U$5=1,INDEX('Live History'!$A$5:$A$3004,AH!$U$7+1419),INDEX('AH History'!$A$5:$A$1380,AH!$U$7+1419))),""))</f>
        <v/>
      </c>
      <c r="B1424" s="33">
        <f>IFERROR(IF(AH!$U$11=1,NA(),$J1424/$E1424-1),NA())</f>
        <v/>
      </c>
      <c r="C1424" s="269">
        <f>IFERROR(100*$E1424/$E$5,NA())</f>
        <v/>
      </c>
      <c r="D1424" s="269">
        <f>IFERROR(100*$J1424/$J$5,NA())</f>
        <v/>
      </c>
      <c r="E1424" s="32">
        <f>IFERROR(IF(AND(ISNUMBER($A1424),N(IF(AND(AH!$U$12=1,1419+1=AH!$U$6),IF(AH!$U$4=0,"unavailable",INDEX('Market Data'!$AN$5:$AN$66,AH!$U$4)),IF(AH!$U$5=1,INDEX('Live History'!$B$5:$B$3004,$K1424),INDEX('AH History'!$D$5:$GG$1380,$K1424,AH!$U$10))))&gt;0),IF(AND(AH!$U$12=1,1419+1=AH!$U$6),IF(AH!$U$4=0,"unavailable",INDEX('Market Data'!$AN$5:$AN$66,AH!$U$4)),IF(AH!$U$5=1,INDEX('Live History'!$B$5:$B$3004,$K1424),INDEX('AH History'!$D$5:$GG$1380,$K1424,AH!$U$10))),NA()),NA())</f>
        <v/>
      </c>
      <c r="F1424" s="32">
        <f>IFERROR(IF(ISNUMBER($A1424),IF(AND(AH!$U$12=1,1419+1=AH!$U$6),IF(AH!$U$4=0,"unavailable",INDEX('Market Data'!$AO$5:$AO$66,AH!$U$4)),IF(AH!$U$5=1,INDEX('Live History'!$E$5:$E$3004,MATCH($A1424,'Live History'!$D$5:$D$3004,1)),INDEX('AH History'!$D$5:$GG$1380,$K1424,AH!$U$10+1))),NA()),NA())</f>
        <v/>
      </c>
      <c r="G1424" s="34">
        <f>IFERROR(IF(ISNUMBER($A1424),IF(AND(AH!$U$12=1,1419+1=AH!$U$6),IF(AH!$U$4=0,"unavailable",INDEX('Market Data'!$AK$5:$AK$66,AH!$U$4)),IF(AH!$U$5=1,INDEX('Live History'!$D$5:$D$3004,MATCH($A1424,'Live History'!$D$5:$D$3004,1)),INDEX('AH History'!$D$5:$GG$1380,$K1424,AH!$U$10+2))),NA()),NA())</f>
        <v/>
      </c>
      <c r="H1424" s="266">
        <f>IFERROR(IF(ISNUMBER($A1424),IF(AND(AH!$U$12=1,1419+1=AH!$U$6),IF(AH!$U$4=0,"unavailable",INDEX('Market Data'!$AP$5:$AP$66,AH!$U$4)),IF(AH!$U$5=1,INDEX('Live History'!$H$5:$H$3004,MATCH($A1424,'Live History'!$G$5:$G$3004,1)),INDEX('AH History'!$B$5:$B$1380,$K1424))),NA()),NA())</f>
        <v/>
      </c>
      <c r="I1424" s="34">
        <f>IFERROR(IF(ISNUMBER($A1424),IF(AND(AH!$U$12=1,1419+1=AH!$U$6),TODAY(),IF(AH!$U$5=1,INDEX('Live History'!$G$5:$G$3004,MATCH($A1424,'Live History'!$G$5:$G$3004,1)),INDEX('AH History'!$C$5:$C$1380,$K1424))),NA()),NA())</f>
        <v/>
      </c>
      <c r="J1424" s="32">
        <f>IFERROR(IF(AND($F1424&gt;0,$H1424&gt;0,$A1424-$G1424&lt;=10,$A1424-$I1424&lt;=5,$G1424&gt;0,$I1424&gt;0),$F1424*$H1424,NA()),NA())</f>
        <v/>
      </c>
      <c r="K1424" s="15">
        <f>IF($A1424="","",IF(AH!$U$5=1,IFERROR(MATCH($A1424,'Live History'!$A$5:$A$3004,0),0),AH!$U$7+1419))</f>
        <v/>
      </c>
      <c r="L1424" s="15">
        <f>IF(ISNUMBER(A1424),TEXT(A1424,"dd-mmm-yy"),"")</f>
        <v/>
      </c>
    </row>
    <row r="1425">
      <c r="A1425" s="14">
        <f>IF(OR(AH!$U$4=0,1420+1&gt;AH!$U$6,AND(AH!$M$5="Bloomberg",AH!$U$5=0)),"",IFERROR(IF(AND(AH!$U$12=1,1420+1=AH!$U$6),TODAY(),IF(AH!$U$5=1,INDEX('Live History'!$A$5:$A$3004,AH!$U$7+1420),INDEX('AH History'!$A$5:$A$1380,AH!$U$7+1420))),""))</f>
        <v/>
      </c>
      <c r="B1425" s="33">
        <f>IFERROR(IF(AH!$U$11=1,NA(),$J1425/$E1425-1),NA())</f>
        <v/>
      </c>
      <c r="C1425" s="269">
        <f>IFERROR(100*$E1425/$E$5,NA())</f>
        <v/>
      </c>
      <c r="D1425" s="269">
        <f>IFERROR(100*$J1425/$J$5,NA())</f>
        <v/>
      </c>
      <c r="E1425" s="32">
        <f>IFERROR(IF(AND(ISNUMBER($A1425),N(IF(AND(AH!$U$12=1,1420+1=AH!$U$6),IF(AH!$U$4=0,"unavailable",INDEX('Market Data'!$AN$5:$AN$66,AH!$U$4)),IF(AH!$U$5=1,INDEX('Live History'!$B$5:$B$3004,$K1425),INDEX('AH History'!$D$5:$GG$1380,$K1425,AH!$U$10))))&gt;0),IF(AND(AH!$U$12=1,1420+1=AH!$U$6),IF(AH!$U$4=0,"unavailable",INDEX('Market Data'!$AN$5:$AN$66,AH!$U$4)),IF(AH!$U$5=1,INDEX('Live History'!$B$5:$B$3004,$K1425),INDEX('AH History'!$D$5:$GG$1380,$K1425,AH!$U$10))),NA()),NA())</f>
        <v/>
      </c>
      <c r="F1425" s="32">
        <f>IFERROR(IF(ISNUMBER($A1425),IF(AND(AH!$U$12=1,1420+1=AH!$U$6),IF(AH!$U$4=0,"unavailable",INDEX('Market Data'!$AO$5:$AO$66,AH!$U$4)),IF(AH!$U$5=1,INDEX('Live History'!$E$5:$E$3004,MATCH($A1425,'Live History'!$D$5:$D$3004,1)),INDEX('AH History'!$D$5:$GG$1380,$K1425,AH!$U$10+1))),NA()),NA())</f>
        <v/>
      </c>
      <c r="G1425" s="34">
        <f>IFERROR(IF(ISNUMBER($A1425),IF(AND(AH!$U$12=1,1420+1=AH!$U$6),IF(AH!$U$4=0,"unavailable",INDEX('Market Data'!$AK$5:$AK$66,AH!$U$4)),IF(AH!$U$5=1,INDEX('Live History'!$D$5:$D$3004,MATCH($A1425,'Live History'!$D$5:$D$3004,1)),INDEX('AH History'!$D$5:$GG$1380,$K1425,AH!$U$10+2))),NA()),NA())</f>
        <v/>
      </c>
      <c r="H1425" s="266">
        <f>IFERROR(IF(ISNUMBER($A1425),IF(AND(AH!$U$12=1,1420+1=AH!$U$6),IF(AH!$U$4=0,"unavailable",INDEX('Market Data'!$AP$5:$AP$66,AH!$U$4)),IF(AH!$U$5=1,INDEX('Live History'!$H$5:$H$3004,MATCH($A1425,'Live History'!$G$5:$G$3004,1)),INDEX('AH History'!$B$5:$B$1380,$K1425))),NA()),NA())</f>
        <v/>
      </c>
      <c r="I1425" s="34">
        <f>IFERROR(IF(ISNUMBER($A1425),IF(AND(AH!$U$12=1,1420+1=AH!$U$6),TODAY(),IF(AH!$U$5=1,INDEX('Live History'!$G$5:$G$3004,MATCH($A1425,'Live History'!$G$5:$G$3004,1)),INDEX('AH History'!$C$5:$C$1380,$K1425))),NA()),NA())</f>
        <v/>
      </c>
      <c r="J1425" s="32">
        <f>IFERROR(IF(AND($F1425&gt;0,$H1425&gt;0,$A1425-$G1425&lt;=10,$A1425-$I1425&lt;=5,$G1425&gt;0,$I1425&gt;0),$F1425*$H1425,NA()),NA())</f>
        <v/>
      </c>
      <c r="K1425" s="15">
        <f>IF($A1425="","",IF(AH!$U$5=1,IFERROR(MATCH($A1425,'Live History'!$A$5:$A$3004,0),0),AH!$U$7+1420))</f>
        <v/>
      </c>
      <c r="L1425" s="15">
        <f>IF(ISNUMBER(A1425),TEXT(A1425,"dd-mmm-yy"),"")</f>
        <v/>
      </c>
    </row>
    <row r="1426">
      <c r="A1426" s="14">
        <f>IF(OR(AH!$U$4=0,1421+1&gt;AH!$U$6,AND(AH!$M$5="Bloomberg",AH!$U$5=0)),"",IFERROR(IF(AND(AH!$U$12=1,1421+1=AH!$U$6),TODAY(),IF(AH!$U$5=1,INDEX('Live History'!$A$5:$A$3004,AH!$U$7+1421),INDEX('AH History'!$A$5:$A$1380,AH!$U$7+1421))),""))</f>
        <v/>
      </c>
      <c r="B1426" s="33">
        <f>IFERROR(IF(AH!$U$11=1,NA(),$J1426/$E1426-1),NA())</f>
        <v/>
      </c>
      <c r="C1426" s="269">
        <f>IFERROR(100*$E1426/$E$5,NA())</f>
        <v/>
      </c>
      <c r="D1426" s="269">
        <f>IFERROR(100*$J1426/$J$5,NA())</f>
        <v/>
      </c>
      <c r="E1426" s="32">
        <f>IFERROR(IF(AND(ISNUMBER($A1426),N(IF(AND(AH!$U$12=1,1421+1=AH!$U$6),IF(AH!$U$4=0,"unavailable",INDEX('Market Data'!$AN$5:$AN$66,AH!$U$4)),IF(AH!$U$5=1,INDEX('Live History'!$B$5:$B$3004,$K1426),INDEX('AH History'!$D$5:$GG$1380,$K1426,AH!$U$10))))&gt;0),IF(AND(AH!$U$12=1,1421+1=AH!$U$6),IF(AH!$U$4=0,"unavailable",INDEX('Market Data'!$AN$5:$AN$66,AH!$U$4)),IF(AH!$U$5=1,INDEX('Live History'!$B$5:$B$3004,$K1426),INDEX('AH History'!$D$5:$GG$1380,$K1426,AH!$U$10))),NA()),NA())</f>
        <v/>
      </c>
      <c r="F1426" s="32">
        <f>IFERROR(IF(ISNUMBER($A1426),IF(AND(AH!$U$12=1,1421+1=AH!$U$6),IF(AH!$U$4=0,"unavailable",INDEX('Market Data'!$AO$5:$AO$66,AH!$U$4)),IF(AH!$U$5=1,INDEX('Live History'!$E$5:$E$3004,MATCH($A1426,'Live History'!$D$5:$D$3004,1)),INDEX('AH History'!$D$5:$GG$1380,$K1426,AH!$U$10+1))),NA()),NA())</f>
        <v/>
      </c>
      <c r="G1426" s="34">
        <f>IFERROR(IF(ISNUMBER($A1426),IF(AND(AH!$U$12=1,1421+1=AH!$U$6),IF(AH!$U$4=0,"unavailable",INDEX('Market Data'!$AK$5:$AK$66,AH!$U$4)),IF(AH!$U$5=1,INDEX('Live History'!$D$5:$D$3004,MATCH($A1426,'Live History'!$D$5:$D$3004,1)),INDEX('AH History'!$D$5:$GG$1380,$K1426,AH!$U$10+2))),NA()),NA())</f>
        <v/>
      </c>
      <c r="H1426" s="266">
        <f>IFERROR(IF(ISNUMBER($A1426),IF(AND(AH!$U$12=1,1421+1=AH!$U$6),IF(AH!$U$4=0,"unavailable",INDEX('Market Data'!$AP$5:$AP$66,AH!$U$4)),IF(AH!$U$5=1,INDEX('Live History'!$H$5:$H$3004,MATCH($A1426,'Live History'!$G$5:$G$3004,1)),INDEX('AH History'!$B$5:$B$1380,$K1426))),NA()),NA())</f>
        <v/>
      </c>
      <c r="I1426" s="34">
        <f>IFERROR(IF(ISNUMBER($A1426),IF(AND(AH!$U$12=1,1421+1=AH!$U$6),TODAY(),IF(AH!$U$5=1,INDEX('Live History'!$G$5:$G$3004,MATCH($A1426,'Live History'!$G$5:$G$3004,1)),INDEX('AH History'!$C$5:$C$1380,$K1426))),NA()),NA())</f>
        <v/>
      </c>
      <c r="J1426" s="32">
        <f>IFERROR(IF(AND($F1426&gt;0,$H1426&gt;0,$A1426-$G1426&lt;=10,$A1426-$I1426&lt;=5,$G1426&gt;0,$I1426&gt;0),$F1426*$H1426,NA()),NA())</f>
        <v/>
      </c>
      <c r="K1426" s="15">
        <f>IF($A1426="","",IF(AH!$U$5=1,IFERROR(MATCH($A1426,'Live History'!$A$5:$A$3004,0),0),AH!$U$7+1421))</f>
        <v/>
      </c>
      <c r="L1426" s="15">
        <f>IF(ISNUMBER(A1426),TEXT(A1426,"dd-mmm-yy"),"")</f>
        <v/>
      </c>
    </row>
    <row r="1427">
      <c r="A1427" s="14">
        <f>IF(OR(AH!$U$4=0,1422+1&gt;AH!$U$6,AND(AH!$M$5="Bloomberg",AH!$U$5=0)),"",IFERROR(IF(AND(AH!$U$12=1,1422+1=AH!$U$6),TODAY(),IF(AH!$U$5=1,INDEX('Live History'!$A$5:$A$3004,AH!$U$7+1422),INDEX('AH History'!$A$5:$A$1380,AH!$U$7+1422))),""))</f>
        <v/>
      </c>
      <c r="B1427" s="33">
        <f>IFERROR(IF(AH!$U$11=1,NA(),$J1427/$E1427-1),NA())</f>
        <v/>
      </c>
      <c r="C1427" s="269">
        <f>IFERROR(100*$E1427/$E$5,NA())</f>
        <v/>
      </c>
      <c r="D1427" s="269">
        <f>IFERROR(100*$J1427/$J$5,NA())</f>
        <v/>
      </c>
      <c r="E1427" s="32">
        <f>IFERROR(IF(AND(ISNUMBER($A1427),N(IF(AND(AH!$U$12=1,1422+1=AH!$U$6),IF(AH!$U$4=0,"unavailable",INDEX('Market Data'!$AN$5:$AN$66,AH!$U$4)),IF(AH!$U$5=1,INDEX('Live History'!$B$5:$B$3004,$K1427),INDEX('AH History'!$D$5:$GG$1380,$K1427,AH!$U$10))))&gt;0),IF(AND(AH!$U$12=1,1422+1=AH!$U$6),IF(AH!$U$4=0,"unavailable",INDEX('Market Data'!$AN$5:$AN$66,AH!$U$4)),IF(AH!$U$5=1,INDEX('Live History'!$B$5:$B$3004,$K1427),INDEX('AH History'!$D$5:$GG$1380,$K1427,AH!$U$10))),NA()),NA())</f>
        <v/>
      </c>
      <c r="F1427" s="32">
        <f>IFERROR(IF(ISNUMBER($A1427),IF(AND(AH!$U$12=1,1422+1=AH!$U$6),IF(AH!$U$4=0,"unavailable",INDEX('Market Data'!$AO$5:$AO$66,AH!$U$4)),IF(AH!$U$5=1,INDEX('Live History'!$E$5:$E$3004,MATCH($A1427,'Live History'!$D$5:$D$3004,1)),INDEX('AH History'!$D$5:$GG$1380,$K1427,AH!$U$10+1))),NA()),NA())</f>
        <v/>
      </c>
      <c r="G1427" s="34">
        <f>IFERROR(IF(ISNUMBER($A1427),IF(AND(AH!$U$12=1,1422+1=AH!$U$6),IF(AH!$U$4=0,"unavailable",INDEX('Market Data'!$AK$5:$AK$66,AH!$U$4)),IF(AH!$U$5=1,INDEX('Live History'!$D$5:$D$3004,MATCH($A1427,'Live History'!$D$5:$D$3004,1)),INDEX('AH History'!$D$5:$GG$1380,$K1427,AH!$U$10+2))),NA()),NA())</f>
        <v/>
      </c>
      <c r="H1427" s="266">
        <f>IFERROR(IF(ISNUMBER($A1427),IF(AND(AH!$U$12=1,1422+1=AH!$U$6),IF(AH!$U$4=0,"unavailable",INDEX('Market Data'!$AP$5:$AP$66,AH!$U$4)),IF(AH!$U$5=1,INDEX('Live History'!$H$5:$H$3004,MATCH($A1427,'Live History'!$G$5:$G$3004,1)),INDEX('AH History'!$B$5:$B$1380,$K1427))),NA()),NA())</f>
        <v/>
      </c>
      <c r="I1427" s="34">
        <f>IFERROR(IF(ISNUMBER($A1427),IF(AND(AH!$U$12=1,1422+1=AH!$U$6),TODAY(),IF(AH!$U$5=1,INDEX('Live History'!$G$5:$G$3004,MATCH($A1427,'Live History'!$G$5:$G$3004,1)),INDEX('AH History'!$C$5:$C$1380,$K1427))),NA()),NA())</f>
        <v/>
      </c>
      <c r="J1427" s="32">
        <f>IFERROR(IF(AND($F1427&gt;0,$H1427&gt;0,$A1427-$G1427&lt;=10,$A1427-$I1427&lt;=5,$G1427&gt;0,$I1427&gt;0),$F1427*$H1427,NA()),NA())</f>
        <v/>
      </c>
      <c r="K1427" s="15">
        <f>IF($A1427="","",IF(AH!$U$5=1,IFERROR(MATCH($A1427,'Live History'!$A$5:$A$3004,0),0),AH!$U$7+1422))</f>
        <v/>
      </c>
      <c r="L1427" s="15">
        <f>IF(ISNUMBER(A1427),TEXT(A1427,"dd-mmm-yy"),"")</f>
        <v/>
      </c>
    </row>
    <row r="1428">
      <c r="A1428" s="14">
        <f>IF(OR(AH!$U$4=0,1423+1&gt;AH!$U$6,AND(AH!$M$5="Bloomberg",AH!$U$5=0)),"",IFERROR(IF(AND(AH!$U$12=1,1423+1=AH!$U$6),TODAY(),IF(AH!$U$5=1,INDEX('Live History'!$A$5:$A$3004,AH!$U$7+1423),INDEX('AH History'!$A$5:$A$1380,AH!$U$7+1423))),""))</f>
        <v/>
      </c>
      <c r="B1428" s="33">
        <f>IFERROR(IF(AH!$U$11=1,NA(),$J1428/$E1428-1),NA())</f>
        <v/>
      </c>
      <c r="C1428" s="269">
        <f>IFERROR(100*$E1428/$E$5,NA())</f>
        <v/>
      </c>
      <c r="D1428" s="269">
        <f>IFERROR(100*$J1428/$J$5,NA())</f>
        <v/>
      </c>
      <c r="E1428" s="32">
        <f>IFERROR(IF(AND(ISNUMBER($A1428),N(IF(AND(AH!$U$12=1,1423+1=AH!$U$6),IF(AH!$U$4=0,"unavailable",INDEX('Market Data'!$AN$5:$AN$66,AH!$U$4)),IF(AH!$U$5=1,INDEX('Live History'!$B$5:$B$3004,$K1428),INDEX('AH History'!$D$5:$GG$1380,$K1428,AH!$U$10))))&gt;0),IF(AND(AH!$U$12=1,1423+1=AH!$U$6),IF(AH!$U$4=0,"unavailable",INDEX('Market Data'!$AN$5:$AN$66,AH!$U$4)),IF(AH!$U$5=1,INDEX('Live History'!$B$5:$B$3004,$K1428),INDEX('AH History'!$D$5:$GG$1380,$K1428,AH!$U$10))),NA()),NA())</f>
        <v/>
      </c>
      <c r="F1428" s="32">
        <f>IFERROR(IF(ISNUMBER($A1428),IF(AND(AH!$U$12=1,1423+1=AH!$U$6),IF(AH!$U$4=0,"unavailable",INDEX('Market Data'!$AO$5:$AO$66,AH!$U$4)),IF(AH!$U$5=1,INDEX('Live History'!$E$5:$E$3004,MATCH($A1428,'Live History'!$D$5:$D$3004,1)),INDEX('AH History'!$D$5:$GG$1380,$K1428,AH!$U$10+1))),NA()),NA())</f>
        <v/>
      </c>
      <c r="G1428" s="34">
        <f>IFERROR(IF(ISNUMBER($A1428),IF(AND(AH!$U$12=1,1423+1=AH!$U$6),IF(AH!$U$4=0,"unavailable",INDEX('Market Data'!$AK$5:$AK$66,AH!$U$4)),IF(AH!$U$5=1,INDEX('Live History'!$D$5:$D$3004,MATCH($A1428,'Live History'!$D$5:$D$3004,1)),INDEX('AH History'!$D$5:$GG$1380,$K1428,AH!$U$10+2))),NA()),NA())</f>
        <v/>
      </c>
      <c r="H1428" s="266">
        <f>IFERROR(IF(ISNUMBER($A1428),IF(AND(AH!$U$12=1,1423+1=AH!$U$6),IF(AH!$U$4=0,"unavailable",INDEX('Market Data'!$AP$5:$AP$66,AH!$U$4)),IF(AH!$U$5=1,INDEX('Live History'!$H$5:$H$3004,MATCH($A1428,'Live History'!$G$5:$G$3004,1)),INDEX('AH History'!$B$5:$B$1380,$K1428))),NA()),NA())</f>
        <v/>
      </c>
      <c r="I1428" s="34">
        <f>IFERROR(IF(ISNUMBER($A1428),IF(AND(AH!$U$12=1,1423+1=AH!$U$6),TODAY(),IF(AH!$U$5=1,INDEX('Live History'!$G$5:$G$3004,MATCH($A1428,'Live History'!$G$5:$G$3004,1)),INDEX('AH History'!$C$5:$C$1380,$K1428))),NA()),NA())</f>
        <v/>
      </c>
      <c r="J1428" s="32">
        <f>IFERROR(IF(AND($F1428&gt;0,$H1428&gt;0,$A1428-$G1428&lt;=10,$A1428-$I1428&lt;=5,$G1428&gt;0,$I1428&gt;0),$F1428*$H1428,NA()),NA())</f>
        <v/>
      </c>
      <c r="K1428" s="15">
        <f>IF($A1428="","",IF(AH!$U$5=1,IFERROR(MATCH($A1428,'Live History'!$A$5:$A$3004,0),0),AH!$U$7+1423))</f>
        <v/>
      </c>
      <c r="L1428" s="15">
        <f>IF(ISNUMBER(A1428),TEXT(A1428,"dd-mmm-yy"),"")</f>
        <v/>
      </c>
    </row>
    <row r="1429">
      <c r="A1429" s="14">
        <f>IF(OR(AH!$U$4=0,1424+1&gt;AH!$U$6,AND(AH!$M$5="Bloomberg",AH!$U$5=0)),"",IFERROR(IF(AND(AH!$U$12=1,1424+1=AH!$U$6),TODAY(),IF(AH!$U$5=1,INDEX('Live History'!$A$5:$A$3004,AH!$U$7+1424),INDEX('AH History'!$A$5:$A$1380,AH!$U$7+1424))),""))</f>
        <v/>
      </c>
      <c r="B1429" s="33">
        <f>IFERROR(IF(AH!$U$11=1,NA(),$J1429/$E1429-1),NA())</f>
        <v/>
      </c>
      <c r="C1429" s="269">
        <f>IFERROR(100*$E1429/$E$5,NA())</f>
        <v/>
      </c>
      <c r="D1429" s="269">
        <f>IFERROR(100*$J1429/$J$5,NA())</f>
        <v/>
      </c>
      <c r="E1429" s="32">
        <f>IFERROR(IF(AND(ISNUMBER($A1429),N(IF(AND(AH!$U$12=1,1424+1=AH!$U$6),IF(AH!$U$4=0,"unavailable",INDEX('Market Data'!$AN$5:$AN$66,AH!$U$4)),IF(AH!$U$5=1,INDEX('Live History'!$B$5:$B$3004,$K1429),INDEX('AH History'!$D$5:$GG$1380,$K1429,AH!$U$10))))&gt;0),IF(AND(AH!$U$12=1,1424+1=AH!$U$6),IF(AH!$U$4=0,"unavailable",INDEX('Market Data'!$AN$5:$AN$66,AH!$U$4)),IF(AH!$U$5=1,INDEX('Live History'!$B$5:$B$3004,$K1429),INDEX('AH History'!$D$5:$GG$1380,$K1429,AH!$U$10))),NA()),NA())</f>
        <v/>
      </c>
      <c r="F1429" s="32">
        <f>IFERROR(IF(ISNUMBER($A1429),IF(AND(AH!$U$12=1,1424+1=AH!$U$6),IF(AH!$U$4=0,"unavailable",INDEX('Market Data'!$AO$5:$AO$66,AH!$U$4)),IF(AH!$U$5=1,INDEX('Live History'!$E$5:$E$3004,MATCH($A1429,'Live History'!$D$5:$D$3004,1)),INDEX('AH History'!$D$5:$GG$1380,$K1429,AH!$U$10+1))),NA()),NA())</f>
        <v/>
      </c>
      <c r="G1429" s="34">
        <f>IFERROR(IF(ISNUMBER($A1429),IF(AND(AH!$U$12=1,1424+1=AH!$U$6),IF(AH!$U$4=0,"unavailable",INDEX('Market Data'!$AK$5:$AK$66,AH!$U$4)),IF(AH!$U$5=1,INDEX('Live History'!$D$5:$D$3004,MATCH($A1429,'Live History'!$D$5:$D$3004,1)),INDEX('AH History'!$D$5:$GG$1380,$K1429,AH!$U$10+2))),NA()),NA())</f>
        <v/>
      </c>
      <c r="H1429" s="266">
        <f>IFERROR(IF(ISNUMBER($A1429),IF(AND(AH!$U$12=1,1424+1=AH!$U$6),IF(AH!$U$4=0,"unavailable",INDEX('Market Data'!$AP$5:$AP$66,AH!$U$4)),IF(AH!$U$5=1,INDEX('Live History'!$H$5:$H$3004,MATCH($A1429,'Live History'!$G$5:$G$3004,1)),INDEX('AH History'!$B$5:$B$1380,$K1429))),NA()),NA())</f>
        <v/>
      </c>
      <c r="I1429" s="34">
        <f>IFERROR(IF(ISNUMBER($A1429),IF(AND(AH!$U$12=1,1424+1=AH!$U$6),TODAY(),IF(AH!$U$5=1,INDEX('Live History'!$G$5:$G$3004,MATCH($A1429,'Live History'!$G$5:$G$3004,1)),INDEX('AH History'!$C$5:$C$1380,$K1429))),NA()),NA())</f>
        <v/>
      </c>
      <c r="J1429" s="32">
        <f>IFERROR(IF(AND($F1429&gt;0,$H1429&gt;0,$A1429-$G1429&lt;=10,$A1429-$I1429&lt;=5,$G1429&gt;0,$I1429&gt;0),$F1429*$H1429,NA()),NA())</f>
        <v/>
      </c>
      <c r="K1429" s="15">
        <f>IF($A1429="","",IF(AH!$U$5=1,IFERROR(MATCH($A1429,'Live History'!$A$5:$A$3004,0),0),AH!$U$7+1424))</f>
        <v/>
      </c>
      <c r="L1429" s="15">
        <f>IF(ISNUMBER(A1429),TEXT(A1429,"dd-mmm-yy"),"")</f>
        <v/>
      </c>
    </row>
    <row r="1430">
      <c r="A1430" s="14">
        <f>IF(OR(AH!$U$4=0,1425+1&gt;AH!$U$6,AND(AH!$M$5="Bloomberg",AH!$U$5=0)),"",IFERROR(IF(AND(AH!$U$12=1,1425+1=AH!$U$6),TODAY(),IF(AH!$U$5=1,INDEX('Live History'!$A$5:$A$3004,AH!$U$7+1425),INDEX('AH History'!$A$5:$A$1380,AH!$U$7+1425))),""))</f>
        <v/>
      </c>
      <c r="B1430" s="33">
        <f>IFERROR(IF(AH!$U$11=1,NA(),$J1430/$E1430-1),NA())</f>
        <v/>
      </c>
      <c r="C1430" s="269">
        <f>IFERROR(100*$E1430/$E$5,NA())</f>
        <v/>
      </c>
      <c r="D1430" s="269">
        <f>IFERROR(100*$J1430/$J$5,NA())</f>
        <v/>
      </c>
      <c r="E1430" s="32">
        <f>IFERROR(IF(AND(ISNUMBER($A1430),N(IF(AND(AH!$U$12=1,1425+1=AH!$U$6),IF(AH!$U$4=0,"unavailable",INDEX('Market Data'!$AN$5:$AN$66,AH!$U$4)),IF(AH!$U$5=1,INDEX('Live History'!$B$5:$B$3004,$K1430),INDEX('AH History'!$D$5:$GG$1380,$K1430,AH!$U$10))))&gt;0),IF(AND(AH!$U$12=1,1425+1=AH!$U$6),IF(AH!$U$4=0,"unavailable",INDEX('Market Data'!$AN$5:$AN$66,AH!$U$4)),IF(AH!$U$5=1,INDEX('Live History'!$B$5:$B$3004,$K1430),INDEX('AH History'!$D$5:$GG$1380,$K1430,AH!$U$10))),NA()),NA())</f>
        <v/>
      </c>
      <c r="F1430" s="32">
        <f>IFERROR(IF(ISNUMBER($A1430),IF(AND(AH!$U$12=1,1425+1=AH!$U$6),IF(AH!$U$4=0,"unavailable",INDEX('Market Data'!$AO$5:$AO$66,AH!$U$4)),IF(AH!$U$5=1,INDEX('Live History'!$E$5:$E$3004,MATCH($A1430,'Live History'!$D$5:$D$3004,1)),INDEX('AH History'!$D$5:$GG$1380,$K1430,AH!$U$10+1))),NA()),NA())</f>
        <v/>
      </c>
      <c r="G1430" s="34">
        <f>IFERROR(IF(ISNUMBER($A1430),IF(AND(AH!$U$12=1,1425+1=AH!$U$6),IF(AH!$U$4=0,"unavailable",INDEX('Market Data'!$AK$5:$AK$66,AH!$U$4)),IF(AH!$U$5=1,INDEX('Live History'!$D$5:$D$3004,MATCH($A1430,'Live History'!$D$5:$D$3004,1)),INDEX('AH History'!$D$5:$GG$1380,$K1430,AH!$U$10+2))),NA()),NA())</f>
        <v/>
      </c>
      <c r="H1430" s="266">
        <f>IFERROR(IF(ISNUMBER($A1430),IF(AND(AH!$U$12=1,1425+1=AH!$U$6),IF(AH!$U$4=0,"unavailable",INDEX('Market Data'!$AP$5:$AP$66,AH!$U$4)),IF(AH!$U$5=1,INDEX('Live History'!$H$5:$H$3004,MATCH($A1430,'Live History'!$G$5:$G$3004,1)),INDEX('AH History'!$B$5:$B$1380,$K1430))),NA()),NA())</f>
        <v/>
      </c>
      <c r="I1430" s="34">
        <f>IFERROR(IF(ISNUMBER($A1430),IF(AND(AH!$U$12=1,1425+1=AH!$U$6),TODAY(),IF(AH!$U$5=1,INDEX('Live History'!$G$5:$G$3004,MATCH($A1430,'Live History'!$G$5:$G$3004,1)),INDEX('AH History'!$C$5:$C$1380,$K1430))),NA()),NA())</f>
        <v/>
      </c>
      <c r="J1430" s="32">
        <f>IFERROR(IF(AND($F1430&gt;0,$H1430&gt;0,$A1430-$G1430&lt;=10,$A1430-$I1430&lt;=5,$G1430&gt;0,$I1430&gt;0),$F1430*$H1430,NA()),NA())</f>
        <v/>
      </c>
      <c r="K1430" s="15">
        <f>IF($A1430="","",IF(AH!$U$5=1,IFERROR(MATCH($A1430,'Live History'!$A$5:$A$3004,0),0),AH!$U$7+1425))</f>
        <v/>
      </c>
      <c r="L1430" s="15">
        <f>IF(ISNUMBER(A1430),TEXT(A1430,"dd-mmm-yy"),"")</f>
        <v/>
      </c>
    </row>
    <row r="1431">
      <c r="A1431" s="14">
        <f>IF(OR(AH!$U$4=0,1426+1&gt;AH!$U$6,AND(AH!$M$5="Bloomberg",AH!$U$5=0)),"",IFERROR(IF(AND(AH!$U$12=1,1426+1=AH!$U$6),TODAY(),IF(AH!$U$5=1,INDEX('Live History'!$A$5:$A$3004,AH!$U$7+1426),INDEX('AH History'!$A$5:$A$1380,AH!$U$7+1426))),""))</f>
        <v/>
      </c>
      <c r="B1431" s="33">
        <f>IFERROR(IF(AH!$U$11=1,NA(),$J1431/$E1431-1),NA())</f>
        <v/>
      </c>
      <c r="C1431" s="269">
        <f>IFERROR(100*$E1431/$E$5,NA())</f>
        <v/>
      </c>
      <c r="D1431" s="269">
        <f>IFERROR(100*$J1431/$J$5,NA())</f>
        <v/>
      </c>
      <c r="E1431" s="32">
        <f>IFERROR(IF(AND(ISNUMBER($A1431),N(IF(AND(AH!$U$12=1,1426+1=AH!$U$6),IF(AH!$U$4=0,"unavailable",INDEX('Market Data'!$AN$5:$AN$66,AH!$U$4)),IF(AH!$U$5=1,INDEX('Live History'!$B$5:$B$3004,$K1431),INDEX('AH History'!$D$5:$GG$1380,$K1431,AH!$U$10))))&gt;0),IF(AND(AH!$U$12=1,1426+1=AH!$U$6),IF(AH!$U$4=0,"unavailable",INDEX('Market Data'!$AN$5:$AN$66,AH!$U$4)),IF(AH!$U$5=1,INDEX('Live History'!$B$5:$B$3004,$K1431),INDEX('AH History'!$D$5:$GG$1380,$K1431,AH!$U$10))),NA()),NA())</f>
        <v/>
      </c>
      <c r="F1431" s="32">
        <f>IFERROR(IF(ISNUMBER($A1431),IF(AND(AH!$U$12=1,1426+1=AH!$U$6),IF(AH!$U$4=0,"unavailable",INDEX('Market Data'!$AO$5:$AO$66,AH!$U$4)),IF(AH!$U$5=1,INDEX('Live History'!$E$5:$E$3004,MATCH($A1431,'Live History'!$D$5:$D$3004,1)),INDEX('AH History'!$D$5:$GG$1380,$K1431,AH!$U$10+1))),NA()),NA())</f>
        <v/>
      </c>
      <c r="G1431" s="34">
        <f>IFERROR(IF(ISNUMBER($A1431),IF(AND(AH!$U$12=1,1426+1=AH!$U$6),IF(AH!$U$4=0,"unavailable",INDEX('Market Data'!$AK$5:$AK$66,AH!$U$4)),IF(AH!$U$5=1,INDEX('Live History'!$D$5:$D$3004,MATCH($A1431,'Live History'!$D$5:$D$3004,1)),INDEX('AH History'!$D$5:$GG$1380,$K1431,AH!$U$10+2))),NA()),NA())</f>
        <v/>
      </c>
      <c r="H1431" s="266">
        <f>IFERROR(IF(ISNUMBER($A1431),IF(AND(AH!$U$12=1,1426+1=AH!$U$6),IF(AH!$U$4=0,"unavailable",INDEX('Market Data'!$AP$5:$AP$66,AH!$U$4)),IF(AH!$U$5=1,INDEX('Live History'!$H$5:$H$3004,MATCH($A1431,'Live History'!$G$5:$G$3004,1)),INDEX('AH History'!$B$5:$B$1380,$K1431))),NA()),NA())</f>
        <v/>
      </c>
      <c r="I1431" s="34">
        <f>IFERROR(IF(ISNUMBER($A1431),IF(AND(AH!$U$12=1,1426+1=AH!$U$6),TODAY(),IF(AH!$U$5=1,INDEX('Live History'!$G$5:$G$3004,MATCH($A1431,'Live History'!$G$5:$G$3004,1)),INDEX('AH History'!$C$5:$C$1380,$K1431))),NA()),NA())</f>
        <v/>
      </c>
      <c r="J1431" s="32">
        <f>IFERROR(IF(AND($F1431&gt;0,$H1431&gt;0,$A1431-$G1431&lt;=10,$A1431-$I1431&lt;=5,$G1431&gt;0,$I1431&gt;0),$F1431*$H1431,NA()),NA())</f>
        <v/>
      </c>
      <c r="K1431" s="15">
        <f>IF($A1431="","",IF(AH!$U$5=1,IFERROR(MATCH($A1431,'Live History'!$A$5:$A$3004,0),0),AH!$U$7+1426))</f>
        <v/>
      </c>
      <c r="L1431" s="15">
        <f>IF(ISNUMBER(A1431),TEXT(A1431,"dd-mmm-yy"),"")</f>
        <v/>
      </c>
    </row>
    <row r="1432">
      <c r="A1432" s="14">
        <f>IF(OR(AH!$U$4=0,1427+1&gt;AH!$U$6,AND(AH!$M$5="Bloomberg",AH!$U$5=0)),"",IFERROR(IF(AND(AH!$U$12=1,1427+1=AH!$U$6),TODAY(),IF(AH!$U$5=1,INDEX('Live History'!$A$5:$A$3004,AH!$U$7+1427),INDEX('AH History'!$A$5:$A$1380,AH!$U$7+1427))),""))</f>
        <v/>
      </c>
      <c r="B1432" s="33">
        <f>IFERROR(IF(AH!$U$11=1,NA(),$J1432/$E1432-1),NA())</f>
        <v/>
      </c>
      <c r="C1432" s="269">
        <f>IFERROR(100*$E1432/$E$5,NA())</f>
        <v/>
      </c>
      <c r="D1432" s="269">
        <f>IFERROR(100*$J1432/$J$5,NA())</f>
        <v/>
      </c>
      <c r="E1432" s="32">
        <f>IFERROR(IF(AND(ISNUMBER($A1432),N(IF(AND(AH!$U$12=1,1427+1=AH!$U$6),IF(AH!$U$4=0,"unavailable",INDEX('Market Data'!$AN$5:$AN$66,AH!$U$4)),IF(AH!$U$5=1,INDEX('Live History'!$B$5:$B$3004,$K1432),INDEX('AH History'!$D$5:$GG$1380,$K1432,AH!$U$10))))&gt;0),IF(AND(AH!$U$12=1,1427+1=AH!$U$6),IF(AH!$U$4=0,"unavailable",INDEX('Market Data'!$AN$5:$AN$66,AH!$U$4)),IF(AH!$U$5=1,INDEX('Live History'!$B$5:$B$3004,$K1432),INDEX('AH History'!$D$5:$GG$1380,$K1432,AH!$U$10))),NA()),NA())</f>
        <v/>
      </c>
      <c r="F1432" s="32">
        <f>IFERROR(IF(ISNUMBER($A1432),IF(AND(AH!$U$12=1,1427+1=AH!$U$6),IF(AH!$U$4=0,"unavailable",INDEX('Market Data'!$AO$5:$AO$66,AH!$U$4)),IF(AH!$U$5=1,INDEX('Live History'!$E$5:$E$3004,MATCH($A1432,'Live History'!$D$5:$D$3004,1)),INDEX('AH History'!$D$5:$GG$1380,$K1432,AH!$U$10+1))),NA()),NA())</f>
        <v/>
      </c>
      <c r="G1432" s="34">
        <f>IFERROR(IF(ISNUMBER($A1432),IF(AND(AH!$U$12=1,1427+1=AH!$U$6),IF(AH!$U$4=0,"unavailable",INDEX('Market Data'!$AK$5:$AK$66,AH!$U$4)),IF(AH!$U$5=1,INDEX('Live History'!$D$5:$D$3004,MATCH($A1432,'Live History'!$D$5:$D$3004,1)),INDEX('AH History'!$D$5:$GG$1380,$K1432,AH!$U$10+2))),NA()),NA())</f>
        <v/>
      </c>
      <c r="H1432" s="266">
        <f>IFERROR(IF(ISNUMBER($A1432),IF(AND(AH!$U$12=1,1427+1=AH!$U$6),IF(AH!$U$4=0,"unavailable",INDEX('Market Data'!$AP$5:$AP$66,AH!$U$4)),IF(AH!$U$5=1,INDEX('Live History'!$H$5:$H$3004,MATCH($A1432,'Live History'!$G$5:$G$3004,1)),INDEX('AH History'!$B$5:$B$1380,$K1432))),NA()),NA())</f>
        <v/>
      </c>
      <c r="I1432" s="34">
        <f>IFERROR(IF(ISNUMBER($A1432),IF(AND(AH!$U$12=1,1427+1=AH!$U$6),TODAY(),IF(AH!$U$5=1,INDEX('Live History'!$G$5:$G$3004,MATCH($A1432,'Live History'!$G$5:$G$3004,1)),INDEX('AH History'!$C$5:$C$1380,$K1432))),NA()),NA())</f>
        <v/>
      </c>
      <c r="J1432" s="32">
        <f>IFERROR(IF(AND($F1432&gt;0,$H1432&gt;0,$A1432-$G1432&lt;=10,$A1432-$I1432&lt;=5,$G1432&gt;0,$I1432&gt;0),$F1432*$H1432,NA()),NA())</f>
        <v/>
      </c>
      <c r="K1432" s="15">
        <f>IF($A1432="","",IF(AH!$U$5=1,IFERROR(MATCH($A1432,'Live History'!$A$5:$A$3004,0),0),AH!$U$7+1427))</f>
        <v/>
      </c>
      <c r="L1432" s="15">
        <f>IF(ISNUMBER(A1432),TEXT(A1432,"dd-mmm-yy"),"")</f>
        <v/>
      </c>
    </row>
    <row r="1433">
      <c r="A1433" s="14">
        <f>IF(OR(AH!$U$4=0,1428+1&gt;AH!$U$6,AND(AH!$M$5="Bloomberg",AH!$U$5=0)),"",IFERROR(IF(AND(AH!$U$12=1,1428+1=AH!$U$6),TODAY(),IF(AH!$U$5=1,INDEX('Live History'!$A$5:$A$3004,AH!$U$7+1428),INDEX('AH History'!$A$5:$A$1380,AH!$U$7+1428))),""))</f>
        <v/>
      </c>
      <c r="B1433" s="33">
        <f>IFERROR(IF(AH!$U$11=1,NA(),$J1433/$E1433-1),NA())</f>
        <v/>
      </c>
      <c r="C1433" s="269">
        <f>IFERROR(100*$E1433/$E$5,NA())</f>
        <v/>
      </c>
      <c r="D1433" s="269">
        <f>IFERROR(100*$J1433/$J$5,NA())</f>
        <v/>
      </c>
      <c r="E1433" s="32">
        <f>IFERROR(IF(AND(ISNUMBER($A1433),N(IF(AND(AH!$U$12=1,1428+1=AH!$U$6),IF(AH!$U$4=0,"unavailable",INDEX('Market Data'!$AN$5:$AN$66,AH!$U$4)),IF(AH!$U$5=1,INDEX('Live History'!$B$5:$B$3004,$K1433),INDEX('AH History'!$D$5:$GG$1380,$K1433,AH!$U$10))))&gt;0),IF(AND(AH!$U$12=1,1428+1=AH!$U$6),IF(AH!$U$4=0,"unavailable",INDEX('Market Data'!$AN$5:$AN$66,AH!$U$4)),IF(AH!$U$5=1,INDEX('Live History'!$B$5:$B$3004,$K1433),INDEX('AH History'!$D$5:$GG$1380,$K1433,AH!$U$10))),NA()),NA())</f>
        <v/>
      </c>
      <c r="F1433" s="32">
        <f>IFERROR(IF(ISNUMBER($A1433),IF(AND(AH!$U$12=1,1428+1=AH!$U$6),IF(AH!$U$4=0,"unavailable",INDEX('Market Data'!$AO$5:$AO$66,AH!$U$4)),IF(AH!$U$5=1,INDEX('Live History'!$E$5:$E$3004,MATCH($A1433,'Live History'!$D$5:$D$3004,1)),INDEX('AH History'!$D$5:$GG$1380,$K1433,AH!$U$10+1))),NA()),NA())</f>
        <v/>
      </c>
      <c r="G1433" s="34">
        <f>IFERROR(IF(ISNUMBER($A1433),IF(AND(AH!$U$12=1,1428+1=AH!$U$6),IF(AH!$U$4=0,"unavailable",INDEX('Market Data'!$AK$5:$AK$66,AH!$U$4)),IF(AH!$U$5=1,INDEX('Live History'!$D$5:$D$3004,MATCH($A1433,'Live History'!$D$5:$D$3004,1)),INDEX('AH History'!$D$5:$GG$1380,$K1433,AH!$U$10+2))),NA()),NA())</f>
        <v/>
      </c>
      <c r="H1433" s="266">
        <f>IFERROR(IF(ISNUMBER($A1433),IF(AND(AH!$U$12=1,1428+1=AH!$U$6),IF(AH!$U$4=0,"unavailable",INDEX('Market Data'!$AP$5:$AP$66,AH!$U$4)),IF(AH!$U$5=1,INDEX('Live History'!$H$5:$H$3004,MATCH($A1433,'Live History'!$G$5:$G$3004,1)),INDEX('AH History'!$B$5:$B$1380,$K1433))),NA()),NA())</f>
        <v/>
      </c>
      <c r="I1433" s="34">
        <f>IFERROR(IF(ISNUMBER($A1433),IF(AND(AH!$U$12=1,1428+1=AH!$U$6),TODAY(),IF(AH!$U$5=1,INDEX('Live History'!$G$5:$G$3004,MATCH($A1433,'Live History'!$G$5:$G$3004,1)),INDEX('AH History'!$C$5:$C$1380,$K1433))),NA()),NA())</f>
        <v/>
      </c>
      <c r="J1433" s="32">
        <f>IFERROR(IF(AND($F1433&gt;0,$H1433&gt;0,$A1433-$G1433&lt;=10,$A1433-$I1433&lt;=5,$G1433&gt;0,$I1433&gt;0),$F1433*$H1433,NA()),NA())</f>
        <v/>
      </c>
      <c r="K1433" s="15">
        <f>IF($A1433="","",IF(AH!$U$5=1,IFERROR(MATCH($A1433,'Live History'!$A$5:$A$3004,0),0),AH!$U$7+1428))</f>
        <v/>
      </c>
      <c r="L1433" s="15">
        <f>IF(ISNUMBER(A1433),TEXT(A1433,"dd-mmm-yy"),"")</f>
        <v/>
      </c>
    </row>
    <row r="1434">
      <c r="A1434" s="14">
        <f>IF(OR(AH!$U$4=0,1429+1&gt;AH!$U$6,AND(AH!$M$5="Bloomberg",AH!$U$5=0)),"",IFERROR(IF(AND(AH!$U$12=1,1429+1=AH!$U$6),TODAY(),IF(AH!$U$5=1,INDEX('Live History'!$A$5:$A$3004,AH!$U$7+1429),INDEX('AH History'!$A$5:$A$1380,AH!$U$7+1429))),""))</f>
        <v/>
      </c>
      <c r="B1434" s="33">
        <f>IFERROR(IF(AH!$U$11=1,NA(),$J1434/$E1434-1),NA())</f>
        <v/>
      </c>
      <c r="C1434" s="269">
        <f>IFERROR(100*$E1434/$E$5,NA())</f>
        <v/>
      </c>
      <c r="D1434" s="269">
        <f>IFERROR(100*$J1434/$J$5,NA())</f>
        <v/>
      </c>
      <c r="E1434" s="32">
        <f>IFERROR(IF(AND(ISNUMBER($A1434),N(IF(AND(AH!$U$12=1,1429+1=AH!$U$6),IF(AH!$U$4=0,"unavailable",INDEX('Market Data'!$AN$5:$AN$66,AH!$U$4)),IF(AH!$U$5=1,INDEX('Live History'!$B$5:$B$3004,$K1434),INDEX('AH History'!$D$5:$GG$1380,$K1434,AH!$U$10))))&gt;0),IF(AND(AH!$U$12=1,1429+1=AH!$U$6),IF(AH!$U$4=0,"unavailable",INDEX('Market Data'!$AN$5:$AN$66,AH!$U$4)),IF(AH!$U$5=1,INDEX('Live History'!$B$5:$B$3004,$K1434),INDEX('AH History'!$D$5:$GG$1380,$K1434,AH!$U$10))),NA()),NA())</f>
        <v/>
      </c>
      <c r="F1434" s="32">
        <f>IFERROR(IF(ISNUMBER($A1434),IF(AND(AH!$U$12=1,1429+1=AH!$U$6),IF(AH!$U$4=0,"unavailable",INDEX('Market Data'!$AO$5:$AO$66,AH!$U$4)),IF(AH!$U$5=1,INDEX('Live History'!$E$5:$E$3004,MATCH($A1434,'Live History'!$D$5:$D$3004,1)),INDEX('AH History'!$D$5:$GG$1380,$K1434,AH!$U$10+1))),NA()),NA())</f>
        <v/>
      </c>
      <c r="G1434" s="34">
        <f>IFERROR(IF(ISNUMBER($A1434),IF(AND(AH!$U$12=1,1429+1=AH!$U$6),IF(AH!$U$4=0,"unavailable",INDEX('Market Data'!$AK$5:$AK$66,AH!$U$4)),IF(AH!$U$5=1,INDEX('Live History'!$D$5:$D$3004,MATCH($A1434,'Live History'!$D$5:$D$3004,1)),INDEX('AH History'!$D$5:$GG$1380,$K1434,AH!$U$10+2))),NA()),NA())</f>
        <v/>
      </c>
      <c r="H1434" s="266">
        <f>IFERROR(IF(ISNUMBER($A1434),IF(AND(AH!$U$12=1,1429+1=AH!$U$6),IF(AH!$U$4=0,"unavailable",INDEX('Market Data'!$AP$5:$AP$66,AH!$U$4)),IF(AH!$U$5=1,INDEX('Live History'!$H$5:$H$3004,MATCH($A1434,'Live History'!$G$5:$G$3004,1)),INDEX('AH History'!$B$5:$B$1380,$K1434))),NA()),NA())</f>
        <v/>
      </c>
      <c r="I1434" s="34">
        <f>IFERROR(IF(ISNUMBER($A1434),IF(AND(AH!$U$12=1,1429+1=AH!$U$6),TODAY(),IF(AH!$U$5=1,INDEX('Live History'!$G$5:$G$3004,MATCH($A1434,'Live History'!$G$5:$G$3004,1)),INDEX('AH History'!$C$5:$C$1380,$K1434))),NA()),NA())</f>
        <v/>
      </c>
      <c r="J1434" s="32">
        <f>IFERROR(IF(AND($F1434&gt;0,$H1434&gt;0,$A1434-$G1434&lt;=10,$A1434-$I1434&lt;=5,$G1434&gt;0,$I1434&gt;0),$F1434*$H1434,NA()),NA())</f>
        <v/>
      </c>
      <c r="K1434" s="15">
        <f>IF($A1434="","",IF(AH!$U$5=1,IFERROR(MATCH($A1434,'Live History'!$A$5:$A$3004,0),0),AH!$U$7+1429))</f>
        <v/>
      </c>
      <c r="L1434" s="15">
        <f>IF(ISNUMBER(A1434),TEXT(A1434,"dd-mmm-yy"),"")</f>
        <v/>
      </c>
    </row>
    <row r="1435">
      <c r="A1435" s="14">
        <f>IF(OR(AH!$U$4=0,1430+1&gt;AH!$U$6,AND(AH!$M$5="Bloomberg",AH!$U$5=0)),"",IFERROR(IF(AND(AH!$U$12=1,1430+1=AH!$U$6),TODAY(),IF(AH!$U$5=1,INDEX('Live History'!$A$5:$A$3004,AH!$U$7+1430),INDEX('AH History'!$A$5:$A$1380,AH!$U$7+1430))),""))</f>
        <v/>
      </c>
      <c r="B1435" s="33">
        <f>IFERROR(IF(AH!$U$11=1,NA(),$J1435/$E1435-1),NA())</f>
        <v/>
      </c>
      <c r="C1435" s="269">
        <f>IFERROR(100*$E1435/$E$5,NA())</f>
        <v/>
      </c>
      <c r="D1435" s="269">
        <f>IFERROR(100*$J1435/$J$5,NA())</f>
        <v/>
      </c>
      <c r="E1435" s="32">
        <f>IFERROR(IF(AND(ISNUMBER($A1435),N(IF(AND(AH!$U$12=1,1430+1=AH!$U$6),IF(AH!$U$4=0,"unavailable",INDEX('Market Data'!$AN$5:$AN$66,AH!$U$4)),IF(AH!$U$5=1,INDEX('Live History'!$B$5:$B$3004,$K1435),INDEX('AH History'!$D$5:$GG$1380,$K1435,AH!$U$10))))&gt;0),IF(AND(AH!$U$12=1,1430+1=AH!$U$6),IF(AH!$U$4=0,"unavailable",INDEX('Market Data'!$AN$5:$AN$66,AH!$U$4)),IF(AH!$U$5=1,INDEX('Live History'!$B$5:$B$3004,$K1435),INDEX('AH History'!$D$5:$GG$1380,$K1435,AH!$U$10))),NA()),NA())</f>
        <v/>
      </c>
      <c r="F1435" s="32">
        <f>IFERROR(IF(ISNUMBER($A1435),IF(AND(AH!$U$12=1,1430+1=AH!$U$6),IF(AH!$U$4=0,"unavailable",INDEX('Market Data'!$AO$5:$AO$66,AH!$U$4)),IF(AH!$U$5=1,INDEX('Live History'!$E$5:$E$3004,MATCH($A1435,'Live History'!$D$5:$D$3004,1)),INDEX('AH History'!$D$5:$GG$1380,$K1435,AH!$U$10+1))),NA()),NA())</f>
        <v/>
      </c>
      <c r="G1435" s="34">
        <f>IFERROR(IF(ISNUMBER($A1435),IF(AND(AH!$U$12=1,1430+1=AH!$U$6),IF(AH!$U$4=0,"unavailable",INDEX('Market Data'!$AK$5:$AK$66,AH!$U$4)),IF(AH!$U$5=1,INDEX('Live History'!$D$5:$D$3004,MATCH($A1435,'Live History'!$D$5:$D$3004,1)),INDEX('AH History'!$D$5:$GG$1380,$K1435,AH!$U$10+2))),NA()),NA())</f>
        <v/>
      </c>
      <c r="H1435" s="266">
        <f>IFERROR(IF(ISNUMBER($A1435),IF(AND(AH!$U$12=1,1430+1=AH!$U$6),IF(AH!$U$4=0,"unavailable",INDEX('Market Data'!$AP$5:$AP$66,AH!$U$4)),IF(AH!$U$5=1,INDEX('Live History'!$H$5:$H$3004,MATCH($A1435,'Live History'!$G$5:$G$3004,1)),INDEX('AH History'!$B$5:$B$1380,$K1435))),NA()),NA())</f>
        <v/>
      </c>
      <c r="I1435" s="34">
        <f>IFERROR(IF(ISNUMBER($A1435),IF(AND(AH!$U$12=1,1430+1=AH!$U$6),TODAY(),IF(AH!$U$5=1,INDEX('Live History'!$G$5:$G$3004,MATCH($A1435,'Live History'!$G$5:$G$3004,1)),INDEX('AH History'!$C$5:$C$1380,$K1435))),NA()),NA())</f>
        <v/>
      </c>
      <c r="J1435" s="32">
        <f>IFERROR(IF(AND($F1435&gt;0,$H1435&gt;0,$A1435-$G1435&lt;=10,$A1435-$I1435&lt;=5,$G1435&gt;0,$I1435&gt;0),$F1435*$H1435,NA()),NA())</f>
        <v/>
      </c>
      <c r="K1435" s="15">
        <f>IF($A1435="","",IF(AH!$U$5=1,IFERROR(MATCH($A1435,'Live History'!$A$5:$A$3004,0),0),AH!$U$7+1430))</f>
        <v/>
      </c>
      <c r="L1435" s="15">
        <f>IF(ISNUMBER(A1435),TEXT(A1435,"dd-mmm-yy"),"")</f>
        <v/>
      </c>
    </row>
    <row r="1436">
      <c r="A1436" s="14">
        <f>IF(OR(AH!$U$4=0,1431+1&gt;AH!$U$6,AND(AH!$M$5="Bloomberg",AH!$U$5=0)),"",IFERROR(IF(AND(AH!$U$12=1,1431+1=AH!$U$6),TODAY(),IF(AH!$U$5=1,INDEX('Live History'!$A$5:$A$3004,AH!$U$7+1431),INDEX('AH History'!$A$5:$A$1380,AH!$U$7+1431))),""))</f>
        <v/>
      </c>
      <c r="B1436" s="33">
        <f>IFERROR(IF(AH!$U$11=1,NA(),$J1436/$E1436-1),NA())</f>
        <v/>
      </c>
      <c r="C1436" s="269">
        <f>IFERROR(100*$E1436/$E$5,NA())</f>
        <v/>
      </c>
      <c r="D1436" s="269">
        <f>IFERROR(100*$J1436/$J$5,NA())</f>
        <v/>
      </c>
      <c r="E1436" s="32">
        <f>IFERROR(IF(AND(ISNUMBER($A1436),N(IF(AND(AH!$U$12=1,1431+1=AH!$U$6),IF(AH!$U$4=0,"unavailable",INDEX('Market Data'!$AN$5:$AN$66,AH!$U$4)),IF(AH!$U$5=1,INDEX('Live History'!$B$5:$B$3004,$K1436),INDEX('AH History'!$D$5:$GG$1380,$K1436,AH!$U$10))))&gt;0),IF(AND(AH!$U$12=1,1431+1=AH!$U$6),IF(AH!$U$4=0,"unavailable",INDEX('Market Data'!$AN$5:$AN$66,AH!$U$4)),IF(AH!$U$5=1,INDEX('Live History'!$B$5:$B$3004,$K1436),INDEX('AH History'!$D$5:$GG$1380,$K1436,AH!$U$10))),NA()),NA())</f>
        <v/>
      </c>
      <c r="F1436" s="32">
        <f>IFERROR(IF(ISNUMBER($A1436),IF(AND(AH!$U$12=1,1431+1=AH!$U$6),IF(AH!$U$4=0,"unavailable",INDEX('Market Data'!$AO$5:$AO$66,AH!$U$4)),IF(AH!$U$5=1,INDEX('Live History'!$E$5:$E$3004,MATCH($A1436,'Live History'!$D$5:$D$3004,1)),INDEX('AH History'!$D$5:$GG$1380,$K1436,AH!$U$10+1))),NA()),NA())</f>
        <v/>
      </c>
      <c r="G1436" s="34">
        <f>IFERROR(IF(ISNUMBER($A1436),IF(AND(AH!$U$12=1,1431+1=AH!$U$6),IF(AH!$U$4=0,"unavailable",INDEX('Market Data'!$AK$5:$AK$66,AH!$U$4)),IF(AH!$U$5=1,INDEX('Live History'!$D$5:$D$3004,MATCH($A1436,'Live History'!$D$5:$D$3004,1)),INDEX('AH History'!$D$5:$GG$1380,$K1436,AH!$U$10+2))),NA()),NA())</f>
        <v/>
      </c>
      <c r="H1436" s="266">
        <f>IFERROR(IF(ISNUMBER($A1436),IF(AND(AH!$U$12=1,1431+1=AH!$U$6),IF(AH!$U$4=0,"unavailable",INDEX('Market Data'!$AP$5:$AP$66,AH!$U$4)),IF(AH!$U$5=1,INDEX('Live History'!$H$5:$H$3004,MATCH($A1436,'Live History'!$G$5:$G$3004,1)),INDEX('AH History'!$B$5:$B$1380,$K1436))),NA()),NA())</f>
        <v/>
      </c>
      <c r="I1436" s="34">
        <f>IFERROR(IF(ISNUMBER($A1436),IF(AND(AH!$U$12=1,1431+1=AH!$U$6),TODAY(),IF(AH!$U$5=1,INDEX('Live History'!$G$5:$G$3004,MATCH($A1436,'Live History'!$G$5:$G$3004,1)),INDEX('AH History'!$C$5:$C$1380,$K1436))),NA()),NA())</f>
        <v/>
      </c>
      <c r="J1436" s="32">
        <f>IFERROR(IF(AND($F1436&gt;0,$H1436&gt;0,$A1436-$G1436&lt;=10,$A1436-$I1436&lt;=5,$G1436&gt;0,$I1436&gt;0),$F1436*$H1436,NA()),NA())</f>
        <v/>
      </c>
      <c r="K1436" s="15">
        <f>IF($A1436="","",IF(AH!$U$5=1,IFERROR(MATCH($A1436,'Live History'!$A$5:$A$3004,0),0),AH!$U$7+1431))</f>
        <v/>
      </c>
      <c r="L1436" s="15">
        <f>IF(ISNUMBER(A1436),TEXT(A1436,"dd-mmm-yy"),"")</f>
        <v/>
      </c>
    </row>
    <row r="1437">
      <c r="A1437" s="14">
        <f>IF(OR(AH!$U$4=0,1432+1&gt;AH!$U$6,AND(AH!$M$5="Bloomberg",AH!$U$5=0)),"",IFERROR(IF(AND(AH!$U$12=1,1432+1=AH!$U$6),TODAY(),IF(AH!$U$5=1,INDEX('Live History'!$A$5:$A$3004,AH!$U$7+1432),INDEX('AH History'!$A$5:$A$1380,AH!$U$7+1432))),""))</f>
        <v/>
      </c>
      <c r="B1437" s="33">
        <f>IFERROR(IF(AH!$U$11=1,NA(),$J1437/$E1437-1),NA())</f>
        <v/>
      </c>
      <c r="C1437" s="269">
        <f>IFERROR(100*$E1437/$E$5,NA())</f>
        <v/>
      </c>
      <c r="D1437" s="269">
        <f>IFERROR(100*$J1437/$J$5,NA())</f>
        <v/>
      </c>
      <c r="E1437" s="32">
        <f>IFERROR(IF(AND(ISNUMBER($A1437),N(IF(AND(AH!$U$12=1,1432+1=AH!$U$6),IF(AH!$U$4=0,"unavailable",INDEX('Market Data'!$AN$5:$AN$66,AH!$U$4)),IF(AH!$U$5=1,INDEX('Live History'!$B$5:$B$3004,$K1437),INDEX('AH History'!$D$5:$GG$1380,$K1437,AH!$U$10))))&gt;0),IF(AND(AH!$U$12=1,1432+1=AH!$U$6),IF(AH!$U$4=0,"unavailable",INDEX('Market Data'!$AN$5:$AN$66,AH!$U$4)),IF(AH!$U$5=1,INDEX('Live History'!$B$5:$B$3004,$K1437),INDEX('AH History'!$D$5:$GG$1380,$K1437,AH!$U$10))),NA()),NA())</f>
        <v/>
      </c>
      <c r="F1437" s="32">
        <f>IFERROR(IF(ISNUMBER($A1437),IF(AND(AH!$U$12=1,1432+1=AH!$U$6),IF(AH!$U$4=0,"unavailable",INDEX('Market Data'!$AO$5:$AO$66,AH!$U$4)),IF(AH!$U$5=1,INDEX('Live History'!$E$5:$E$3004,MATCH($A1437,'Live History'!$D$5:$D$3004,1)),INDEX('AH History'!$D$5:$GG$1380,$K1437,AH!$U$10+1))),NA()),NA())</f>
        <v/>
      </c>
      <c r="G1437" s="34">
        <f>IFERROR(IF(ISNUMBER($A1437),IF(AND(AH!$U$12=1,1432+1=AH!$U$6),IF(AH!$U$4=0,"unavailable",INDEX('Market Data'!$AK$5:$AK$66,AH!$U$4)),IF(AH!$U$5=1,INDEX('Live History'!$D$5:$D$3004,MATCH($A1437,'Live History'!$D$5:$D$3004,1)),INDEX('AH History'!$D$5:$GG$1380,$K1437,AH!$U$10+2))),NA()),NA())</f>
        <v/>
      </c>
      <c r="H1437" s="266">
        <f>IFERROR(IF(ISNUMBER($A1437),IF(AND(AH!$U$12=1,1432+1=AH!$U$6),IF(AH!$U$4=0,"unavailable",INDEX('Market Data'!$AP$5:$AP$66,AH!$U$4)),IF(AH!$U$5=1,INDEX('Live History'!$H$5:$H$3004,MATCH($A1437,'Live History'!$G$5:$G$3004,1)),INDEX('AH History'!$B$5:$B$1380,$K1437))),NA()),NA())</f>
        <v/>
      </c>
      <c r="I1437" s="34">
        <f>IFERROR(IF(ISNUMBER($A1437),IF(AND(AH!$U$12=1,1432+1=AH!$U$6),TODAY(),IF(AH!$U$5=1,INDEX('Live History'!$G$5:$G$3004,MATCH($A1437,'Live History'!$G$5:$G$3004,1)),INDEX('AH History'!$C$5:$C$1380,$K1437))),NA()),NA())</f>
        <v/>
      </c>
      <c r="J1437" s="32">
        <f>IFERROR(IF(AND($F1437&gt;0,$H1437&gt;0,$A1437-$G1437&lt;=10,$A1437-$I1437&lt;=5,$G1437&gt;0,$I1437&gt;0),$F1437*$H1437,NA()),NA())</f>
        <v/>
      </c>
      <c r="K1437" s="15">
        <f>IF($A1437="","",IF(AH!$U$5=1,IFERROR(MATCH($A1437,'Live History'!$A$5:$A$3004,0),0),AH!$U$7+1432))</f>
        <v/>
      </c>
      <c r="L1437" s="15">
        <f>IF(ISNUMBER(A1437),TEXT(A1437,"dd-mmm-yy"),"")</f>
        <v/>
      </c>
    </row>
    <row r="1438">
      <c r="A1438" s="14">
        <f>IF(OR(AH!$U$4=0,1433+1&gt;AH!$U$6,AND(AH!$M$5="Bloomberg",AH!$U$5=0)),"",IFERROR(IF(AND(AH!$U$12=1,1433+1=AH!$U$6),TODAY(),IF(AH!$U$5=1,INDEX('Live History'!$A$5:$A$3004,AH!$U$7+1433),INDEX('AH History'!$A$5:$A$1380,AH!$U$7+1433))),""))</f>
        <v/>
      </c>
      <c r="B1438" s="33">
        <f>IFERROR(IF(AH!$U$11=1,NA(),$J1438/$E1438-1),NA())</f>
        <v/>
      </c>
      <c r="C1438" s="269">
        <f>IFERROR(100*$E1438/$E$5,NA())</f>
        <v/>
      </c>
      <c r="D1438" s="269">
        <f>IFERROR(100*$J1438/$J$5,NA())</f>
        <v/>
      </c>
      <c r="E1438" s="32">
        <f>IFERROR(IF(AND(ISNUMBER($A1438),N(IF(AND(AH!$U$12=1,1433+1=AH!$U$6),IF(AH!$U$4=0,"unavailable",INDEX('Market Data'!$AN$5:$AN$66,AH!$U$4)),IF(AH!$U$5=1,INDEX('Live History'!$B$5:$B$3004,$K1438),INDEX('AH History'!$D$5:$GG$1380,$K1438,AH!$U$10))))&gt;0),IF(AND(AH!$U$12=1,1433+1=AH!$U$6),IF(AH!$U$4=0,"unavailable",INDEX('Market Data'!$AN$5:$AN$66,AH!$U$4)),IF(AH!$U$5=1,INDEX('Live History'!$B$5:$B$3004,$K1438),INDEX('AH History'!$D$5:$GG$1380,$K1438,AH!$U$10))),NA()),NA())</f>
        <v/>
      </c>
      <c r="F1438" s="32">
        <f>IFERROR(IF(ISNUMBER($A1438),IF(AND(AH!$U$12=1,1433+1=AH!$U$6),IF(AH!$U$4=0,"unavailable",INDEX('Market Data'!$AO$5:$AO$66,AH!$U$4)),IF(AH!$U$5=1,INDEX('Live History'!$E$5:$E$3004,MATCH($A1438,'Live History'!$D$5:$D$3004,1)),INDEX('AH History'!$D$5:$GG$1380,$K1438,AH!$U$10+1))),NA()),NA())</f>
        <v/>
      </c>
      <c r="G1438" s="34">
        <f>IFERROR(IF(ISNUMBER($A1438),IF(AND(AH!$U$12=1,1433+1=AH!$U$6),IF(AH!$U$4=0,"unavailable",INDEX('Market Data'!$AK$5:$AK$66,AH!$U$4)),IF(AH!$U$5=1,INDEX('Live History'!$D$5:$D$3004,MATCH($A1438,'Live History'!$D$5:$D$3004,1)),INDEX('AH History'!$D$5:$GG$1380,$K1438,AH!$U$10+2))),NA()),NA())</f>
        <v/>
      </c>
      <c r="H1438" s="266">
        <f>IFERROR(IF(ISNUMBER($A1438),IF(AND(AH!$U$12=1,1433+1=AH!$U$6),IF(AH!$U$4=0,"unavailable",INDEX('Market Data'!$AP$5:$AP$66,AH!$U$4)),IF(AH!$U$5=1,INDEX('Live History'!$H$5:$H$3004,MATCH($A1438,'Live History'!$G$5:$G$3004,1)),INDEX('AH History'!$B$5:$B$1380,$K1438))),NA()),NA())</f>
        <v/>
      </c>
      <c r="I1438" s="34">
        <f>IFERROR(IF(ISNUMBER($A1438),IF(AND(AH!$U$12=1,1433+1=AH!$U$6),TODAY(),IF(AH!$U$5=1,INDEX('Live History'!$G$5:$G$3004,MATCH($A1438,'Live History'!$G$5:$G$3004,1)),INDEX('AH History'!$C$5:$C$1380,$K1438))),NA()),NA())</f>
        <v/>
      </c>
      <c r="J1438" s="32">
        <f>IFERROR(IF(AND($F1438&gt;0,$H1438&gt;0,$A1438-$G1438&lt;=10,$A1438-$I1438&lt;=5,$G1438&gt;0,$I1438&gt;0),$F1438*$H1438,NA()),NA())</f>
        <v/>
      </c>
      <c r="K1438" s="15">
        <f>IF($A1438="","",IF(AH!$U$5=1,IFERROR(MATCH($A1438,'Live History'!$A$5:$A$3004,0),0),AH!$U$7+1433))</f>
        <v/>
      </c>
      <c r="L1438" s="15">
        <f>IF(ISNUMBER(A1438),TEXT(A1438,"dd-mmm-yy"),"")</f>
        <v/>
      </c>
    </row>
    <row r="1439">
      <c r="A1439" s="14">
        <f>IF(OR(AH!$U$4=0,1434+1&gt;AH!$U$6,AND(AH!$M$5="Bloomberg",AH!$U$5=0)),"",IFERROR(IF(AND(AH!$U$12=1,1434+1=AH!$U$6),TODAY(),IF(AH!$U$5=1,INDEX('Live History'!$A$5:$A$3004,AH!$U$7+1434),INDEX('AH History'!$A$5:$A$1380,AH!$U$7+1434))),""))</f>
        <v/>
      </c>
      <c r="B1439" s="33">
        <f>IFERROR(IF(AH!$U$11=1,NA(),$J1439/$E1439-1),NA())</f>
        <v/>
      </c>
      <c r="C1439" s="269">
        <f>IFERROR(100*$E1439/$E$5,NA())</f>
        <v/>
      </c>
      <c r="D1439" s="269">
        <f>IFERROR(100*$J1439/$J$5,NA())</f>
        <v/>
      </c>
      <c r="E1439" s="32">
        <f>IFERROR(IF(AND(ISNUMBER($A1439),N(IF(AND(AH!$U$12=1,1434+1=AH!$U$6),IF(AH!$U$4=0,"unavailable",INDEX('Market Data'!$AN$5:$AN$66,AH!$U$4)),IF(AH!$U$5=1,INDEX('Live History'!$B$5:$B$3004,$K1439),INDEX('AH History'!$D$5:$GG$1380,$K1439,AH!$U$10))))&gt;0),IF(AND(AH!$U$12=1,1434+1=AH!$U$6),IF(AH!$U$4=0,"unavailable",INDEX('Market Data'!$AN$5:$AN$66,AH!$U$4)),IF(AH!$U$5=1,INDEX('Live History'!$B$5:$B$3004,$K1439),INDEX('AH History'!$D$5:$GG$1380,$K1439,AH!$U$10))),NA()),NA())</f>
        <v/>
      </c>
      <c r="F1439" s="32">
        <f>IFERROR(IF(ISNUMBER($A1439),IF(AND(AH!$U$12=1,1434+1=AH!$U$6),IF(AH!$U$4=0,"unavailable",INDEX('Market Data'!$AO$5:$AO$66,AH!$U$4)),IF(AH!$U$5=1,INDEX('Live History'!$E$5:$E$3004,MATCH($A1439,'Live History'!$D$5:$D$3004,1)),INDEX('AH History'!$D$5:$GG$1380,$K1439,AH!$U$10+1))),NA()),NA())</f>
        <v/>
      </c>
      <c r="G1439" s="34">
        <f>IFERROR(IF(ISNUMBER($A1439),IF(AND(AH!$U$12=1,1434+1=AH!$U$6),IF(AH!$U$4=0,"unavailable",INDEX('Market Data'!$AK$5:$AK$66,AH!$U$4)),IF(AH!$U$5=1,INDEX('Live History'!$D$5:$D$3004,MATCH($A1439,'Live History'!$D$5:$D$3004,1)),INDEX('AH History'!$D$5:$GG$1380,$K1439,AH!$U$10+2))),NA()),NA())</f>
        <v/>
      </c>
      <c r="H1439" s="266">
        <f>IFERROR(IF(ISNUMBER($A1439),IF(AND(AH!$U$12=1,1434+1=AH!$U$6),IF(AH!$U$4=0,"unavailable",INDEX('Market Data'!$AP$5:$AP$66,AH!$U$4)),IF(AH!$U$5=1,INDEX('Live History'!$H$5:$H$3004,MATCH($A1439,'Live History'!$G$5:$G$3004,1)),INDEX('AH History'!$B$5:$B$1380,$K1439))),NA()),NA())</f>
        <v/>
      </c>
      <c r="I1439" s="34">
        <f>IFERROR(IF(ISNUMBER($A1439),IF(AND(AH!$U$12=1,1434+1=AH!$U$6),TODAY(),IF(AH!$U$5=1,INDEX('Live History'!$G$5:$G$3004,MATCH($A1439,'Live History'!$G$5:$G$3004,1)),INDEX('AH History'!$C$5:$C$1380,$K1439))),NA()),NA())</f>
        <v/>
      </c>
      <c r="J1439" s="32">
        <f>IFERROR(IF(AND($F1439&gt;0,$H1439&gt;0,$A1439-$G1439&lt;=10,$A1439-$I1439&lt;=5,$G1439&gt;0,$I1439&gt;0),$F1439*$H1439,NA()),NA())</f>
        <v/>
      </c>
      <c r="K1439" s="15">
        <f>IF($A1439="","",IF(AH!$U$5=1,IFERROR(MATCH($A1439,'Live History'!$A$5:$A$3004,0),0),AH!$U$7+1434))</f>
        <v/>
      </c>
      <c r="L1439" s="15">
        <f>IF(ISNUMBER(A1439),TEXT(A1439,"dd-mmm-yy"),"")</f>
        <v/>
      </c>
    </row>
    <row r="1440">
      <c r="A1440" s="14">
        <f>IF(OR(AH!$U$4=0,1435+1&gt;AH!$U$6,AND(AH!$M$5="Bloomberg",AH!$U$5=0)),"",IFERROR(IF(AND(AH!$U$12=1,1435+1=AH!$U$6),TODAY(),IF(AH!$U$5=1,INDEX('Live History'!$A$5:$A$3004,AH!$U$7+1435),INDEX('AH History'!$A$5:$A$1380,AH!$U$7+1435))),""))</f>
        <v/>
      </c>
      <c r="B1440" s="33">
        <f>IFERROR(IF(AH!$U$11=1,NA(),$J1440/$E1440-1),NA())</f>
        <v/>
      </c>
      <c r="C1440" s="269">
        <f>IFERROR(100*$E1440/$E$5,NA())</f>
        <v/>
      </c>
      <c r="D1440" s="269">
        <f>IFERROR(100*$J1440/$J$5,NA())</f>
        <v/>
      </c>
      <c r="E1440" s="32">
        <f>IFERROR(IF(AND(ISNUMBER($A1440),N(IF(AND(AH!$U$12=1,1435+1=AH!$U$6),IF(AH!$U$4=0,"unavailable",INDEX('Market Data'!$AN$5:$AN$66,AH!$U$4)),IF(AH!$U$5=1,INDEX('Live History'!$B$5:$B$3004,$K1440),INDEX('AH History'!$D$5:$GG$1380,$K1440,AH!$U$10))))&gt;0),IF(AND(AH!$U$12=1,1435+1=AH!$U$6),IF(AH!$U$4=0,"unavailable",INDEX('Market Data'!$AN$5:$AN$66,AH!$U$4)),IF(AH!$U$5=1,INDEX('Live History'!$B$5:$B$3004,$K1440),INDEX('AH History'!$D$5:$GG$1380,$K1440,AH!$U$10))),NA()),NA())</f>
        <v/>
      </c>
      <c r="F1440" s="32">
        <f>IFERROR(IF(ISNUMBER($A1440),IF(AND(AH!$U$12=1,1435+1=AH!$U$6),IF(AH!$U$4=0,"unavailable",INDEX('Market Data'!$AO$5:$AO$66,AH!$U$4)),IF(AH!$U$5=1,INDEX('Live History'!$E$5:$E$3004,MATCH($A1440,'Live History'!$D$5:$D$3004,1)),INDEX('AH History'!$D$5:$GG$1380,$K1440,AH!$U$10+1))),NA()),NA())</f>
        <v/>
      </c>
      <c r="G1440" s="34">
        <f>IFERROR(IF(ISNUMBER($A1440),IF(AND(AH!$U$12=1,1435+1=AH!$U$6),IF(AH!$U$4=0,"unavailable",INDEX('Market Data'!$AK$5:$AK$66,AH!$U$4)),IF(AH!$U$5=1,INDEX('Live History'!$D$5:$D$3004,MATCH($A1440,'Live History'!$D$5:$D$3004,1)),INDEX('AH History'!$D$5:$GG$1380,$K1440,AH!$U$10+2))),NA()),NA())</f>
        <v/>
      </c>
      <c r="H1440" s="266">
        <f>IFERROR(IF(ISNUMBER($A1440),IF(AND(AH!$U$12=1,1435+1=AH!$U$6),IF(AH!$U$4=0,"unavailable",INDEX('Market Data'!$AP$5:$AP$66,AH!$U$4)),IF(AH!$U$5=1,INDEX('Live History'!$H$5:$H$3004,MATCH($A1440,'Live History'!$G$5:$G$3004,1)),INDEX('AH History'!$B$5:$B$1380,$K1440))),NA()),NA())</f>
        <v/>
      </c>
      <c r="I1440" s="34">
        <f>IFERROR(IF(ISNUMBER($A1440),IF(AND(AH!$U$12=1,1435+1=AH!$U$6),TODAY(),IF(AH!$U$5=1,INDEX('Live History'!$G$5:$G$3004,MATCH($A1440,'Live History'!$G$5:$G$3004,1)),INDEX('AH History'!$C$5:$C$1380,$K1440))),NA()),NA())</f>
        <v/>
      </c>
      <c r="J1440" s="32">
        <f>IFERROR(IF(AND($F1440&gt;0,$H1440&gt;0,$A1440-$G1440&lt;=10,$A1440-$I1440&lt;=5,$G1440&gt;0,$I1440&gt;0),$F1440*$H1440,NA()),NA())</f>
        <v/>
      </c>
      <c r="K1440" s="15">
        <f>IF($A1440="","",IF(AH!$U$5=1,IFERROR(MATCH($A1440,'Live History'!$A$5:$A$3004,0),0),AH!$U$7+1435))</f>
        <v/>
      </c>
      <c r="L1440" s="15">
        <f>IF(ISNUMBER(A1440),TEXT(A1440,"dd-mmm-yy"),"")</f>
        <v/>
      </c>
    </row>
    <row r="1441">
      <c r="A1441" s="14">
        <f>IF(OR(AH!$U$4=0,1436+1&gt;AH!$U$6,AND(AH!$M$5="Bloomberg",AH!$U$5=0)),"",IFERROR(IF(AND(AH!$U$12=1,1436+1=AH!$U$6),TODAY(),IF(AH!$U$5=1,INDEX('Live History'!$A$5:$A$3004,AH!$U$7+1436),INDEX('AH History'!$A$5:$A$1380,AH!$U$7+1436))),""))</f>
        <v/>
      </c>
      <c r="B1441" s="33">
        <f>IFERROR(IF(AH!$U$11=1,NA(),$J1441/$E1441-1),NA())</f>
        <v/>
      </c>
      <c r="C1441" s="269">
        <f>IFERROR(100*$E1441/$E$5,NA())</f>
        <v/>
      </c>
      <c r="D1441" s="269">
        <f>IFERROR(100*$J1441/$J$5,NA())</f>
        <v/>
      </c>
      <c r="E1441" s="32">
        <f>IFERROR(IF(AND(ISNUMBER($A1441),N(IF(AND(AH!$U$12=1,1436+1=AH!$U$6),IF(AH!$U$4=0,"unavailable",INDEX('Market Data'!$AN$5:$AN$66,AH!$U$4)),IF(AH!$U$5=1,INDEX('Live History'!$B$5:$B$3004,$K1441),INDEX('AH History'!$D$5:$GG$1380,$K1441,AH!$U$10))))&gt;0),IF(AND(AH!$U$12=1,1436+1=AH!$U$6),IF(AH!$U$4=0,"unavailable",INDEX('Market Data'!$AN$5:$AN$66,AH!$U$4)),IF(AH!$U$5=1,INDEX('Live History'!$B$5:$B$3004,$K1441),INDEX('AH History'!$D$5:$GG$1380,$K1441,AH!$U$10))),NA()),NA())</f>
        <v/>
      </c>
      <c r="F1441" s="32">
        <f>IFERROR(IF(ISNUMBER($A1441),IF(AND(AH!$U$12=1,1436+1=AH!$U$6),IF(AH!$U$4=0,"unavailable",INDEX('Market Data'!$AO$5:$AO$66,AH!$U$4)),IF(AH!$U$5=1,INDEX('Live History'!$E$5:$E$3004,MATCH($A1441,'Live History'!$D$5:$D$3004,1)),INDEX('AH History'!$D$5:$GG$1380,$K1441,AH!$U$10+1))),NA()),NA())</f>
        <v/>
      </c>
      <c r="G1441" s="34">
        <f>IFERROR(IF(ISNUMBER($A1441),IF(AND(AH!$U$12=1,1436+1=AH!$U$6),IF(AH!$U$4=0,"unavailable",INDEX('Market Data'!$AK$5:$AK$66,AH!$U$4)),IF(AH!$U$5=1,INDEX('Live History'!$D$5:$D$3004,MATCH($A1441,'Live History'!$D$5:$D$3004,1)),INDEX('AH History'!$D$5:$GG$1380,$K1441,AH!$U$10+2))),NA()),NA())</f>
        <v/>
      </c>
      <c r="H1441" s="266">
        <f>IFERROR(IF(ISNUMBER($A1441),IF(AND(AH!$U$12=1,1436+1=AH!$U$6),IF(AH!$U$4=0,"unavailable",INDEX('Market Data'!$AP$5:$AP$66,AH!$U$4)),IF(AH!$U$5=1,INDEX('Live History'!$H$5:$H$3004,MATCH($A1441,'Live History'!$G$5:$G$3004,1)),INDEX('AH History'!$B$5:$B$1380,$K1441))),NA()),NA())</f>
        <v/>
      </c>
      <c r="I1441" s="34">
        <f>IFERROR(IF(ISNUMBER($A1441),IF(AND(AH!$U$12=1,1436+1=AH!$U$6),TODAY(),IF(AH!$U$5=1,INDEX('Live History'!$G$5:$G$3004,MATCH($A1441,'Live History'!$G$5:$G$3004,1)),INDEX('AH History'!$C$5:$C$1380,$K1441))),NA()),NA())</f>
        <v/>
      </c>
      <c r="J1441" s="32">
        <f>IFERROR(IF(AND($F1441&gt;0,$H1441&gt;0,$A1441-$G1441&lt;=10,$A1441-$I1441&lt;=5,$G1441&gt;0,$I1441&gt;0),$F1441*$H1441,NA()),NA())</f>
        <v/>
      </c>
      <c r="K1441" s="15">
        <f>IF($A1441="","",IF(AH!$U$5=1,IFERROR(MATCH($A1441,'Live History'!$A$5:$A$3004,0),0),AH!$U$7+1436))</f>
        <v/>
      </c>
      <c r="L1441" s="15">
        <f>IF(ISNUMBER(A1441),TEXT(A1441,"dd-mmm-yy"),"")</f>
        <v/>
      </c>
    </row>
    <row r="1442">
      <c r="A1442" s="14">
        <f>IF(OR(AH!$U$4=0,1437+1&gt;AH!$U$6,AND(AH!$M$5="Bloomberg",AH!$U$5=0)),"",IFERROR(IF(AND(AH!$U$12=1,1437+1=AH!$U$6),TODAY(),IF(AH!$U$5=1,INDEX('Live History'!$A$5:$A$3004,AH!$U$7+1437),INDEX('AH History'!$A$5:$A$1380,AH!$U$7+1437))),""))</f>
        <v/>
      </c>
      <c r="B1442" s="33">
        <f>IFERROR(IF(AH!$U$11=1,NA(),$J1442/$E1442-1),NA())</f>
        <v/>
      </c>
      <c r="C1442" s="269">
        <f>IFERROR(100*$E1442/$E$5,NA())</f>
        <v/>
      </c>
      <c r="D1442" s="269">
        <f>IFERROR(100*$J1442/$J$5,NA())</f>
        <v/>
      </c>
      <c r="E1442" s="32">
        <f>IFERROR(IF(AND(ISNUMBER($A1442),N(IF(AND(AH!$U$12=1,1437+1=AH!$U$6),IF(AH!$U$4=0,"unavailable",INDEX('Market Data'!$AN$5:$AN$66,AH!$U$4)),IF(AH!$U$5=1,INDEX('Live History'!$B$5:$B$3004,$K1442),INDEX('AH History'!$D$5:$GG$1380,$K1442,AH!$U$10))))&gt;0),IF(AND(AH!$U$12=1,1437+1=AH!$U$6),IF(AH!$U$4=0,"unavailable",INDEX('Market Data'!$AN$5:$AN$66,AH!$U$4)),IF(AH!$U$5=1,INDEX('Live History'!$B$5:$B$3004,$K1442),INDEX('AH History'!$D$5:$GG$1380,$K1442,AH!$U$10))),NA()),NA())</f>
        <v/>
      </c>
      <c r="F1442" s="32">
        <f>IFERROR(IF(ISNUMBER($A1442),IF(AND(AH!$U$12=1,1437+1=AH!$U$6),IF(AH!$U$4=0,"unavailable",INDEX('Market Data'!$AO$5:$AO$66,AH!$U$4)),IF(AH!$U$5=1,INDEX('Live History'!$E$5:$E$3004,MATCH($A1442,'Live History'!$D$5:$D$3004,1)),INDEX('AH History'!$D$5:$GG$1380,$K1442,AH!$U$10+1))),NA()),NA())</f>
        <v/>
      </c>
      <c r="G1442" s="34">
        <f>IFERROR(IF(ISNUMBER($A1442),IF(AND(AH!$U$12=1,1437+1=AH!$U$6),IF(AH!$U$4=0,"unavailable",INDEX('Market Data'!$AK$5:$AK$66,AH!$U$4)),IF(AH!$U$5=1,INDEX('Live History'!$D$5:$D$3004,MATCH($A1442,'Live History'!$D$5:$D$3004,1)),INDEX('AH History'!$D$5:$GG$1380,$K1442,AH!$U$10+2))),NA()),NA())</f>
        <v/>
      </c>
      <c r="H1442" s="266">
        <f>IFERROR(IF(ISNUMBER($A1442),IF(AND(AH!$U$12=1,1437+1=AH!$U$6),IF(AH!$U$4=0,"unavailable",INDEX('Market Data'!$AP$5:$AP$66,AH!$U$4)),IF(AH!$U$5=1,INDEX('Live History'!$H$5:$H$3004,MATCH($A1442,'Live History'!$G$5:$G$3004,1)),INDEX('AH History'!$B$5:$B$1380,$K1442))),NA()),NA())</f>
        <v/>
      </c>
      <c r="I1442" s="34">
        <f>IFERROR(IF(ISNUMBER($A1442),IF(AND(AH!$U$12=1,1437+1=AH!$U$6),TODAY(),IF(AH!$U$5=1,INDEX('Live History'!$G$5:$G$3004,MATCH($A1442,'Live History'!$G$5:$G$3004,1)),INDEX('AH History'!$C$5:$C$1380,$K1442))),NA()),NA())</f>
        <v/>
      </c>
      <c r="J1442" s="32">
        <f>IFERROR(IF(AND($F1442&gt;0,$H1442&gt;0,$A1442-$G1442&lt;=10,$A1442-$I1442&lt;=5,$G1442&gt;0,$I1442&gt;0),$F1442*$H1442,NA()),NA())</f>
        <v/>
      </c>
      <c r="K1442" s="15">
        <f>IF($A1442="","",IF(AH!$U$5=1,IFERROR(MATCH($A1442,'Live History'!$A$5:$A$3004,0),0),AH!$U$7+1437))</f>
        <v/>
      </c>
      <c r="L1442" s="15">
        <f>IF(ISNUMBER(A1442),TEXT(A1442,"dd-mmm-yy"),"")</f>
        <v/>
      </c>
    </row>
    <row r="1443">
      <c r="A1443" s="14">
        <f>IF(OR(AH!$U$4=0,1438+1&gt;AH!$U$6,AND(AH!$M$5="Bloomberg",AH!$U$5=0)),"",IFERROR(IF(AND(AH!$U$12=1,1438+1=AH!$U$6),TODAY(),IF(AH!$U$5=1,INDEX('Live History'!$A$5:$A$3004,AH!$U$7+1438),INDEX('AH History'!$A$5:$A$1380,AH!$U$7+1438))),""))</f>
        <v/>
      </c>
      <c r="B1443" s="33">
        <f>IFERROR(IF(AH!$U$11=1,NA(),$J1443/$E1443-1),NA())</f>
        <v/>
      </c>
      <c r="C1443" s="269">
        <f>IFERROR(100*$E1443/$E$5,NA())</f>
        <v/>
      </c>
      <c r="D1443" s="269">
        <f>IFERROR(100*$J1443/$J$5,NA())</f>
        <v/>
      </c>
      <c r="E1443" s="32">
        <f>IFERROR(IF(AND(ISNUMBER($A1443),N(IF(AND(AH!$U$12=1,1438+1=AH!$U$6),IF(AH!$U$4=0,"unavailable",INDEX('Market Data'!$AN$5:$AN$66,AH!$U$4)),IF(AH!$U$5=1,INDEX('Live History'!$B$5:$B$3004,$K1443),INDEX('AH History'!$D$5:$GG$1380,$K1443,AH!$U$10))))&gt;0),IF(AND(AH!$U$12=1,1438+1=AH!$U$6),IF(AH!$U$4=0,"unavailable",INDEX('Market Data'!$AN$5:$AN$66,AH!$U$4)),IF(AH!$U$5=1,INDEX('Live History'!$B$5:$B$3004,$K1443),INDEX('AH History'!$D$5:$GG$1380,$K1443,AH!$U$10))),NA()),NA())</f>
        <v/>
      </c>
      <c r="F1443" s="32">
        <f>IFERROR(IF(ISNUMBER($A1443),IF(AND(AH!$U$12=1,1438+1=AH!$U$6),IF(AH!$U$4=0,"unavailable",INDEX('Market Data'!$AO$5:$AO$66,AH!$U$4)),IF(AH!$U$5=1,INDEX('Live History'!$E$5:$E$3004,MATCH($A1443,'Live History'!$D$5:$D$3004,1)),INDEX('AH History'!$D$5:$GG$1380,$K1443,AH!$U$10+1))),NA()),NA())</f>
        <v/>
      </c>
      <c r="G1443" s="34">
        <f>IFERROR(IF(ISNUMBER($A1443),IF(AND(AH!$U$12=1,1438+1=AH!$U$6),IF(AH!$U$4=0,"unavailable",INDEX('Market Data'!$AK$5:$AK$66,AH!$U$4)),IF(AH!$U$5=1,INDEX('Live History'!$D$5:$D$3004,MATCH($A1443,'Live History'!$D$5:$D$3004,1)),INDEX('AH History'!$D$5:$GG$1380,$K1443,AH!$U$10+2))),NA()),NA())</f>
        <v/>
      </c>
      <c r="H1443" s="266">
        <f>IFERROR(IF(ISNUMBER($A1443),IF(AND(AH!$U$12=1,1438+1=AH!$U$6),IF(AH!$U$4=0,"unavailable",INDEX('Market Data'!$AP$5:$AP$66,AH!$U$4)),IF(AH!$U$5=1,INDEX('Live History'!$H$5:$H$3004,MATCH($A1443,'Live History'!$G$5:$G$3004,1)),INDEX('AH History'!$B$5:$B$1380,$K1443))),NA()),NA())</f>
        <v/>
      </c>
      <c r="I1443" s="34">
        <f>IFERROR(IF(ISNUMBER($A1443),IF(AND(AH!$U$12=1,1438+1=AH!$U$6),TODAY(),IF(AH!$U$5=1,INDEX('Live History'!$G$5:$G$3004,MATCH($A1443,'Live History'!$G$5:$G$3004,1)),INDEX('AH History'!$C$5:$C$1380,$K1443))),NA()),NA())</f>
        <v/>
      </c>
      <c r="J1443" s="32">
        <f>IFERROR(IF(AND($F1443&gt;0,$H1443&gt;0,$A1443-$G1443&lt;=10,$A1443-$I1443&lt;=5,$G1443&gt;0,$I1443&gt;0),$F1443*$H1443,NA()),NA())</f>
        <v/>
      </c>
      <c r="K1443" s="15">
        <f>IF($A1443="","",IF(AH!$U$5=1,IFERROR(MATCH($A1443,'Live History'!$A$5:$A$3004,0),0),AH!$U$7+1438))</f>
        <v/>
      </c>
      <c r="L1443" s="15">
        <f>IF(ISNUMBER(A1443),TEXT(A1443,"dd-mmm-yy"),"")</f>
        <v/>
      </c>
    </row>
    <row r="1444">
      <c r="A1444" s="14">
        <f>IF(OR(AH!$U$4=0,1439+1&gt;AH!$U$6,AND(AH!$M$5="Bloomberg",AH!$U$5=0)),"",IFERROR(IF(AND(AH!$U$12=1,1439+1=AH!$U$6),TODAY(),IF(AH!$U$5=1,INDEX('Live History'!$A$5:$A$3004,AH!$U$7+1439),INDEX('AH History'!$A$5:$A$1380,AH!$U$7+1439))),""))</f>
        <v/>
      </c>
      <c r="B1444" s="33">
        <f>IFERROR(IF(AH!$U$11=1,NA(),$J1444/$E1444-1),NA())</f>
        <v/>
      </c>
      <c r="C1444" s="269">
        <f>IFERROR(100*$E1444/$E$5,NA())</f>
        <v/>
      </c>
      <c r="D1444" s="269">
        <f>IFERROR(100*$J1444/$J$5,NA())</f>
        <v/>
      </c>
      <c r="E1444" s="32">
        <f>IFERROR(IF(AND(ISNUMBER($A1444),N(IF(AND(AH!$U$12=1,1439+1=AH!$U$6),IF(AH!$U$4=0,"unavailable",INDEX('Market Data'!$AN$5:$AN$66,AH!$U$4)),IF(AH!$U$5=1,INDEX('Live History'!$B$5:$B$3004,$K1444),INDEX('AH History'!$D$5:$GG$1380,$K1444,AH!$U$10))))&gt;0),IF(AND(AH!$U$12=1,1439+1=AH!$U$6),IF(AH!$U$4=0,"unavailable",INDEX('Market Data'!$AN$5:$AN$66,AH!$U$4)),IF(AH!$U$5=1,INDEX('Live History'!$B$5:$B$3004,$K1444),INDEX('AH History'!$D$5:$GG$1380,$K1444,AH!$U$10))),NA()),NA())</f>
        <v/>
      </c>
      <c r="F1444" s="32">
        <f>IFERROR(IF(ISNUMBER($A1444),IF(AND(AH!$U$12=1,1439+1=AH!$U$6),IF(AH!$U$4=0,"unavailable",INDEX('Market Data'!$AO$5:$AO$66,AH!$U$4)),IF(AH!$U$5=1,INDEX('Live History'!$E$5:$E$3004,MATCH($A1444,'Live History'!$D$5:$D$3004,1)),INDEX('AH History'!$D$5:$GG$1380,$K1444,AH!$U$10+1))),NA()),NA())</f>
        <v/>
      </c>
      <c r="G1444" s="34">
        <f>IFERROR(IF(ISNUMBER($A1444),IF(AND(AH!$U$12=1,1439+1=AH!$U$6),IF(AH!$U$4=0,"unavailable",INDEX('Market Data'!$AK$5:$AK$66,AH!$U$4)),IF(AH!$U$5=1,INDEX('Live History'!$D$5:$D$3004,MATCH($A1444,'Live History'!$D$5:$D$3004,1)),INDEX('AH History'!$D$5:$GG$1380,$K1444,AH!$U$10+2))),NA()),NA())</f>
        <v/>
      </c>
      <c r="H1444" s="266">
        <f>IFERROR(IF(ISNUMBER($A1444),IF(AND(AH!$U$12=1,1439+1=AH!$U$6),IF(AH!$U$4=0,"unavailable",INDEX('Market Data'!$AP$5:$AP$66,AH!$U$4)),IF(AH!$U$5=1,INDEX('Live History'!$H$5:$H$3004,MATCH($A1444,'Live History'!$G$5:$G$3004,1)),INDEX('AH History'!$B$5:$B$1380,$K1444))),NA()),NA())</f>
        <v/>
      </c>
      <c r="I1444" s="34">
        <f>IFERROR(IF(ISNUMBER($A1444),IF(AND(AH!$U$12=1,1439+1=AH!$U$6),TODAY(),IF(AH!$U$5=1,INDEX('Live History'!$G$5:$G$3004,MATCH($A1444,'Live History'!$G$5:$G$3004,1)),INDEX('AH History'!$C$5:$C$1380,$K1444))),NA()),NA())</f>
        <v/>
      </c>
      <c r="J1444" s="32">
        <f>IFERROR(IF(AND($F1444&gt;0,$H1444&gt;0,$A1444-$G1444&lt;=10,$A1444-$I1444&lt;=5,$G1444&gt;0,$I1444&gt;0),$F1444*$H1444,NA()),NA())</f>
        <v/>
      </c>
      <c r="K1444" s="15">
        <f>IF($A1444="","",IF(AH!$U$5=1,IFERROR(MATCH($A1444,'Live History'!$A$5:$A$3004,0),0),AH!$U$7+1439))</f>
        <v/>
      </c>
      <c r="L1444" s="15">
        <f>IF(ISNUMBER(A1444),TEXT(A1444,"dd-mmm-yy"),"")</f>
        <v/>
      </c>
    </row>
    <row r="1445">
      <c r="A1445" s="14">
        <f>IF(OR(AH!$U$4=0,1440+1&gt;AH!$U$6,AND(AH!$M$5="Bloomberg",AH!$U$5=0)),"",IFERROR(IF(AND(AH!$U$12=1,1440+1=AH!$U$6),TODAY(),IF(AH!$U$5=1,INDEX('Live History'!$A$5:$A$3004,AH!$U$7+1440),INDEX('AH History'!$A$5:$A$1380,AH!$U$7+1440))),""))</f>
        <v/>
      </c>
      <c r="B1445" s="33">
        <f>IFERROR(IF(AH!$U$11=1,NA(),$J1445/$E1445-1),NA())</f>
        <v/>
      </c>
      <c r="C1445" s="269">
        <f>IFERROR(100*$E1445/$E$5,NA())</f>
        <v/>
      </c>
      <c r="D1445" s="269">
        <f>IFERROR(100*$J1445/$J$5,NA())</f>
        <v/>
      </c>
      <c r="E1445" s="32">
        <f>IFERROR(IF(AND(ISNUMBER($A1445),N(IF(AND(AH!$U$12=1,1440+1=AH!$U$6),IF(AH!$U$4=0,"unavailable",INDEX('Market Data'!$AN$5:$AN$66,AH!$U$4)),IF(AH!$U$5=1,INDEX('Live History'!$B$5:$B$3004,$K1445),INDEX('AH History'!$D$5:$GG$1380,$K1445,AH!$U$10))))&gt;0),IF(AND(AH!$U$12=1,1440+1=AH!$U$6),IF(AH!$U$4=0,"unavailable",INDEX('Market Data'!$AN$5:$AN$66,AH!$U$4)),IF(AH!$U$5=1,INDEX('Live History'!$B$5:$B$3004,$K1445),INDEX('AH History'!$D$5:$GG$1380,$K1445,AH!$U$10))),NA()),NA())</f>
        <v/>
      </c>
      <c r="F1445" s="32">
        <f>IFERROR(IF(ISNUMBER($A1445),IF(AND(AH!$U$12=1,1440+1=AH!$U$6),IF(AH!$U$4=0,"unavailable",INDEX('Market Data'!$AO$5:$AO$66,AH!$U$4)),IF(AH!$U$5=1,INDEX('Live History'!$E$5:$E$3004,MATCH($A1445,'Live History'!$D$5:$D$3004,1)),INDEX('AH History'!$D$5:$GG$1380,$K1445,AH!$U$10+1))),NA()),NA())</f>
        <v/>
      </c>
      <c r="G1445" s="34">
        <f>IFERROR(IF(ISNUMBER($A1445),IF(AND(AH!$U$12=1,1440+1=AH!$U$6),IF(AH!$U$4=0,"unavailable",INDEX('Market Data'!$AK$5:$AK$66,AH!$U$4)),IF(AH!$U$5=1,INDEX('Live History'!$D$5:$D$3004,MATCH($A1445,'Live History'!$D$5:$D$3004,1)),INDEX('AH History'!$D$5:$GG$1380,$K1445,AH!$U$10+2))),NA()),NA())</f>
        <v/>
      </c>
      <c r="H1445" s="266">
        <f>IFERROR(IF(ISNUMBER($A1445),IF(AND(AH!$U$12=1,1440+1=AH!$U$6),IF(AH!$U$4=0,"unavailable",INDEX('Market Data'!$AP$5:$AP$66,AH!$U$4)),IF(AH!$U$5=1,INDEX('Live History'!$H$5:$H$3004,MATCH($A1445,'Live History'!$G$5:$G$3004,1)),INDEX('AH History'!$B$5:$B$1380,$K1445))),NA()),NA())</f>
        <v/>
      </c>
      <c r="I1445" s="34">
        <f>IFERROR(IF(ISNUMBER($A1445),IF(AND(AH!$U$12=1,1440+1=AH!$U$6),TODAY(),IF(AH!$U$5=1,INDEX('Live History'!$G$5:$G$3004,MATCH($A1445,'Live History'!$G$5:$G$3004,1)),INDEX('AH History'!$C$5:$C$1380,$K1445))),NA()),NA())</f>
        <v/>
      </c>
      <c r="J1445" s="32">
        <f>IFERROR(IF(AND($F1445&gt;0,$H1445&gt;0,$A1445-$G1445&lt;=10,$A1445-$I1445&lt;=5,$G1445&gt;0,$I1445&gt;0),$F1445*$H1445,NA()),NA())</f>
        <v/>
      </c>
      <c r="K1445" s="15">
        <f>IF($A1445="","",IF(AH!$U$5=1,IFERROR(MATCH($A1445,'Live History'!$A$5:$A$3004,0),0),AH!$U$7+1440))</f>
        <v/>
      </c>
      <c r="L1445" s="15">
        <f>IF(ISNUMBER(A1445),TEXT(A1445,"dd-mmm-yy"),"")</f>
        <v/>
      </c>
    </row>
    <row r="1446">
      <c r="A1446" s="14">
        <f>IF(OR(AH!$U$4=0,1441+1&gt;AH!$U$6,AND(AH!$M$5="Bloomberg",AH!$U$5=0)),"",IFERROR(IF(AND(AH!$U$12=1,1441+1=AH!$U$6),TODAY(),IF(AH!$U$5=1,INDEX('Live History'!$A$5:$A$3004,AH!$U$7+1441),INDEX('AH History'!$A$5:$A$1380,AH!$U$7+1441))),""))</f>
        <v/>
      </c>
      <c r="B1446" s="33">
        <f>IFERROR(IF(AH!$U$11=1,NA(),$J1446/$E1446-1),NA())</f>
        <v/>
      </c>
      <c r="C1446" s="269">
        <f>IFERROR(100*$E1446/$E$5,NA())</f>
        <v/>
      </c>
      <c r="D1446" s="269">
        <f>IFERROR(100*$J1446/$J$5,NA())</f>
        <v/>
      </c>
      <c r="E1446" s="32">
        <f>IFERROR(IF(AND(ISNUMBER($A1446),N(IF(AND(AH!$U$12=1,1441+1=AH!$U$6),IF(AH!$U$4=0,"unavailable",INDEX('Market Data'!$AN$5:$AN$66,AH!$U$4)),IF(AH!$U$5=1,INDEX('Live History'!$B$5:$B$3004,$K1446),INDEX('AH History'!$D$5:$GG$1380,$K1446,AH!$U$10))))&gt;0),IF(AND(AH!$U$12=1,1441+1=AH!$U$6),IF(AH!$U$4=0,"unavailable",INDEX('Market Data'!$AN$5:$AN$66,AH!$U$4)),IF(AH!$U$5=1,INDEX('Live History'!$B$5:$B$3004,$K1446),INDEX('AH History'!$D$5:$GG$1380,$K1446,AH!$U$10))),NA()),NA())</f>
        <v/>
      </c>
      <c r="F1446" s="32">
        <f>IFERROR(IF(ISNUMBER($A1446),IF(AND(AH!$U$12=1,1441+1=AH!$U$6),IF(AH!$U$4=0,"unavailable",INDEX('Market Data'!$AO$5:$AO$66,AH!$U$4)),IF(AH!$U$5=1,INDEX('Live History'!$E$5:$E$3004,MATCH($A1446,'Live History'!$D$5:$D$3004,1)),INDEX('AH History'!$D$5:$GG$1380,$K1446,AH!$U$10+1))),NA()),NA())</f>
        <v/>
      </c>
      <c r="G1446" s="34">
        <f>IFERROR(IF(ISNUMBER($A1446),IF(AND(AH!$U$12=1,1441+1=AH!$U$6),IF(AH!$U$4=0,"unavailable",INDEX('Market Data'!$AK$5:$AK$66,AH!$U$4)),IF(AH!$U$5=1,INDEX('Live History'!$D$5:$D$3004,MATCH($A1446,'Live History'!$D$5:$D$3004,1)),INDEX('AH History'!$D$5:$GG$1380,$K1446,AH!$U$10+2))),NA()),NA())</f>
        <v/>
      </c>
      <c r="H1446" s="266">
        <f>IFERROR(IF(ISNUMBER($A1446),IF(AND(AH!$U$12=1,1441+1=AH!$U$6),IF(AH!$U$4=0,"unavailable",INDEX('Market Data'!$AP$5:$AP$66,AH!$U$4)),IF(AH!$U$5=1,INDEX('Live History'!$H$5:$H$3004,MATCH($A1446,'Live History'!$G$5:$G$3004,1)),INDEX('AH History'!$B$5:$B$1380,$K1446))),NA()),NA())</f>
        <v/>
      </c>
      <c r="I1446" s="34">
        <f>IFERROR(IF(ISNUMBER($A1446),IF(AND(AH!$U$12=1,1441+1=AH!$U$6),TODAY(),IF(AH!$U$5=1,INDEX('Live History'!$G$5:$G$3004,MATCH($A1446,'Live History'!$G$5:$G$3004,1)),INDEX('AH History'!$C$5:$C$1380,$K1446))),NA()),NA())</f>
        <v/>
      </c>
      <c r="J1446" s="32">
        <f>IFERROR(IF(AND($F1446&gt;0,$H1446&gt;0,$A1446-$G1446&lt;=10,$A1446-$I1446&lt;=5,$G1446&gt;0,$I1446&gt;0),$F1446*$H1446,NA()),NA())</f>
        <v/>
      </c>
      <c r="K1446" s="15">
        <f>IF($A1446="","",IF(AH!$U$5=1,IFERROR(MATCH($A1446,'Live History'!$A$5:$A$3004,0),0),AH!$U$7+1441))</f>
        <v/>
      </c>
      <c r="L1446" s="15">
        <f>IF(ISNUMBER(A1446),TEXT(A1446,"dd-mmm-yy"),"")</f>
        <v/>
      </c>
    </row>
    <row r="1447">
      <c r="A1447" s="14">
        <f>IF(OR(AH!$U$4=0,1442+1&gt;AH!$U$6,AND(AH!$M$5="Bloomberg",AH!$U$5=0)),"",IFERROR(IF(AND(AH!$U$12=1,1442+1=AH!$U$6),TODAY(),IF(AH!$U$5=1,INDEX('Live History'!$A$5:$A$3004,AH!$U$7+1442),INDEX('AH History'!$A$5:$A$1380,AH!$U$7+1442))),""))</f>
        <v/>
      </c>
      <c r="B1447" s="33">
        <f>IFERROR(IF(AH!$U$11=1,NA(),$J1447/$E1447-1),NA())</f>
        <v/>
      </c>
      <c r="C1447" s="269">
        <f>IFERROR(100*$E1447/$E$5,NA())</f>
        <v/>
      </c>
      <c r="D1447" s="269">
        <f>IFERROR(100*$J1447/$J$5,NA())</f>
        <v/>
      </c>
      <c r="E1447" s="32">
        <f>IFERROR(IF(AND(ISNUMBER($A1447),N(IF(AND(AH!$U$12=1,1442+1=AH!$U$6),IF(AH!$U$4=0,"unavailable",INDEX('Market Data'!$AN$5:$AN$66,AH!$U$4)),IF(AH!$U$5=1,INDEX('Live History'!$B$5:$B$3004,$K1447),INDEX('AH History'!$D$5:$GG$1380,$K1447,AH!$U$10))))&gt;0),IF(AND(AH!$U$12=1,1442+1=AH!$U$6),IF(AH!$U$4=0,"unavailable",INDEX('Market Data'!$AN$5:$AN$66,AH!$U$4)),IF(AH!$U$5=1,INDEX('Live History'!$B$5:$B$3004,$K1447),INDEX('AH History'!$D$5:$GG$1380,$K1447,AH!$U$10))),NA()),NA())</f>
        <v/>
      </c>
      <c r="F1447" s="32">
        <f>IFERROR(IF(ISNUMBER($A1447),IF(AND(AH!$U$12=1,1442+1=AH!$U$6),IF(AH!$U$4=0,"unavailable",INDEX('Market Data'!$AO$5:$AO$66,AH!$U$4)),IF(AH!$U$5=1,INDEX('Live History'!$E$5:$E$3004,MATCH($A1447,'Live History'!$D$5:$D$3004,1)),INDEX('AH History'!$D$5:$GG$1380,$K1447,AH!$U$10+1))),NA()),NA())</f>
        <v/>
      </c>
      <c r="G1447" s="34">
        <f>IFERROR(IF(ISNUMBER($A1447),IF(AND(AH!$U$12=1,1442+1=AH!$U$6),IF(AH!$U$4=0,"unavailable",INDEX('Market Data'!$AK$5:$AK$66,AH!$U$4)),IF(AH!$U$5=1,INDEX('Live History'!$D$5:$D$3004,MATCH($A1447,'Live History'!$D$5:$D$3004,1)),INDEX('AH History'!$D$5:$GG$1380,$K1447,AH!$U$10+2))),NA()),NA())</f>
        <v/>
      </c>
      <c r="H1447" s="266">
        <f>IFERROR(IF(ISNUMBER($A1447),IF(AND(AH!$U$12=1,1442+1=AH!$U$6),IF(AH!$U$4=0,"unavailable",INDEX('Market Data'!$AP$5:$AP$66,AH!$U$4)),IF(AH!$U$5=1,INDEX('Live History'!$H$5:$H$3004,MATCH($A1447,'Live History'!$G$5:$G$3004,1)),INDEX('AH History'!$B$5:$B$1380,$K1447))),NA()),NA())</f>
        <v/>
      </c>
      <c r="I1447" s="34">
        <f>IFERROR(IF(ISNUMBER($A1447),IF(AND(AH!$U$12=1,1442+1=AH!$U$6),TODAY(),IF(AH!$U$5=1,INDEX('Live History'!$G$5:$G$3004,MATCH($A1447,'Live History'!$G$5:$G$3004,1)),INDEX('AH History'!$C$5:$C$1380,$K1447))),NA()),NA())</f>
        <v/>
      </c>
      <c r="J1447" s="32">
        <f>IFERROR(IF(AND($F1447&gt;0,$H1447&gt;0,$A1447-$G1447&lt;=10,$A1447-$I1447&lt;=5,$G1447&gt;0,$I1447&gt;0),$F1447*$H1447,NA()),NA())</f>
        <v/>
      </c>
      <c r="K1447" s="15">
        <f>IF($A1447="","",IF(AH!$U$5=1,IFERROR(MATCH($A1447,'Live History'!$A$5:$A$3004,0),0),AH!$U$7+1442))</f>
        <v/>
      </c>
      <c r="L1447" s="15">
        <f>IF(ISNUMBER(A1447),TEXT(A1447,"dd-mmm-yy"),"")</f>
        <v/>
      </c>
    </row>
    <row r="1448">
      <c r="A1448" s="14">
        <f>IF(OR(AH!$U$4=0,1443+1&gt;AH!$U$6,AND(AH!$M$5="Bloomberg",AH!$U$5=0)),"",IFERROR(IF(AND(AH!$U$12=1,1443+1=AH!$U$6),TODAY(),IF(AH!$U$5=1,INDEX('Live History'!$A$5:$A$3004,AH!$U$7+1443),INDEX('AH History'!$A$5:$A$1380,AH!$U$7+1443))),""))</f>
        <v/>
      </c>
      <c r="B1448" s="33">
        <f>IFERROR(IF(AH!$U$11=1,NA(),$J1448/$E1448-1),NA())</f>
        <v/>
      </c>
      <c r="C1448" s="269">
        <f>IFERROR(100*$E1448/$E$5,NA())</f>
        <v/>
      </c>
      <c r="D1448" s="269">
        <f>IFERROR(100*$J1448/$J$5,NA())</f>
        <v/>
      </c>
      <c r="E1448" s="32">
        <f>IFERROR(IF(AND(ISNUMBER($A1448),N(IF(AND(AH!$U$12=1,1443+1=AH!$U$6),IF(AH!$U$4=0,"unavailable",INDEX('Market Data'!$AN$5:$AN$66,AH!$U$4)),IF(AH!$U$5=1,INDEX('Live History'!$B$5:$B$3004,$K1448),INDEX('AH History'!$D$5:$GG$1380,$K1448,AH!$U$10))))&gt;0),IF(AND(AH!$U$12=1,1443+1=AH!$U$6),IF(AH!$U$4=0,"unavailable",INDEX('Market Data'!$AN$5:$AN$66,AH!$U$4)),IF(AH!$U$5=1,INDEX('Live History'!$B$5:$B$3004,$K1448),INDEX('AH History'!$D$5:$GG$1380,$K1448,AH!$U$10))),NA()),NA())</f>
        <v/>
      </c>
      <c r="F1448" s="32">
        <f>IFERROR(IF(ISNUMBER($A1448),IF(AND(AH!$U$12=1,1443+1=AH!$U$6),IF(AH!$U$4=0,"unavailable",INDEX('Market Data'!$AO$5:$AO$66,AH!$U$4)),IF(AH!$U$5=1,INDEX('Live History'!$E$5:$E$3004,MATCH($A1448,'Live History'!$D$5:$D$3004,1)),INDEX('AH History'!$D$5:$GG$1380,$K1448,AH!$U$10+1))),NA()),NA())</f>
        <v/>
      </c>
      <c r="G1448" s="34">
        <f>IFERROR(IF(ISNUMBER($A1448),IF(AND(AH!$U$12=1,1443+1=AH!$U$6),IF(AH!$U$4=0,"unavailable",INDEX('Market Data'!$AK$5:$AK$66,AH!$U$4)),IF(AH!$U$5=1,INDEX('Live History'!$D$5:$D$3004,MATCH($A1448,'Live History'!$D$5:$D$3004,1)),INDEX('AH History'!$D$5:$GG$1380,$K1448,AH!$U$10+2))),NA()),NA())</f>
        <v/>
      </c>
      <c r="H1448" s="266">
        <f>IFERROR(IF(ISNUMBER($A1448),IF(AND(AH!$U$12=1,1443+1=AH!$U$6),IF(AH!$U$4=0,"unavailable",INDEX('Market Data'!$AP$5:$AP$66,AH!$U$4)),IF(AH!$U$5=1,INDEX('Live History'!$H$5:$H$3004,MATCH($A1448,'Live History'!$G$5:$G$3004,1)),INDEX('AH History'!$B$5:$B$1380,$K1448))),NA()),NA())</f>
        <v/>
      </c>
      <c r="I1448" s="34">
        <f>IFERROR(IF(ISNUMBER($A1448),IF(AND(AH!$U$12=1,1443+1=AH!$U$6),TODAY(),IF(AH!$U$5=1,INDEX('Live History'!$G$5:$G$3004,MATCH($A1448,'Live History'!$G$5:$G$3004,1)),INDEX('AH History'!$C$5:$C$1380,$K1448))),NA()),NA())</f>
        <v/>
      </c>
      <c r="J1448" s="32">
        <f>IFERROR(IF(AND($F1448&gt;0,$H1448&gt;0,$A1448-$G1448&lt;=10,$A1448-$I1448&lt;=5,$G1448&gt;0,$I1448&gt;0),$F1448*$H1448,NA()),NA())</f>
        <v/>
      </c>
      <c r="K1448" s="15">
        <f>IF($A1448="","",IF(AH!$U$5=1,IFERROR(MATCH($A1448,'Live History'!$A$5:$A$3004,0),0),AH!$U$7+1443))</f>
        <v/>
      </c>
      <c r="L1448" s="15">
        <f>IF(ISNUMBER(A1448),TEXT(A1448,"dd-mmm-yy"),"")</f>
        <v/>
      </c>
    </row>
    <row r="1449">
      <c r="A1449" s="14">
        <f>IF(OR(AH!$U$4=0,1444+1&gt;AH!$U$6,AND(AH!$M$5="Bloomberg",AH!$U$5=0)),"",IFERROR(IF(AND(AH!$U$12=1,1444+1=AH!$U$6),TODAY(),IF(AH!$U$5=1,INDEX('Live History'!$A$5:$A$3004,AH!$U$7+1444),INDEX('AH History'!$A$5:$A$1380,AH!$U$7+1444))),""))</f>
        <v/>
      </c>
      <c r="B1449" s="33">
        <f>IFERROR(IF(AH!$U$11=1,NA(),$J1449/$E1449-1),NA())</f>
        <v/>
      </c>
      <c r="C1449" s="269">
        <f>IFERROR(100*$E1449/$E$5,NA())</f>
        <v/>
      </c>
      <c r="D1449" s="269">
        <f>IFERROR(100*$J1449/$J$5,NA())</f>
        <v/>
      </c>
      <c r="E1449" s="32">
        <f>IFERROR(IF(AND(ISNUMBER($A1449),N(IF(AND(AH!$U$12=1,1444+1=AH!$U$6),IF(AH!$U$4=0,"unavailable",INDEX('Market Data'!$AN$5:$AN$66,AH!$U$4)),IF(AH!$U$5=1,INDEX('Live History'!$B$5:$B$3004,$K1449),INDEX('AH History'!$D$5:$GG$1380,$K1449,AH!$U$10))))&gt;0),IF(AND(AH!$U$12=1,1444+1=AH!$U$6),IF(AH!$U$4=0,"unavailable",INDEX('Market Data'!$AN$5:$AN$66,AH!$U$4)),IF(AH!$U$5=1,INDEX('Live History'!$B$5:$B$3004,$K1449),INDEX('AH History'!$D$5:$GG$1380,$K1449,AH!$U$10))),NA()),NA())</f>
        <v/>
      </c>
      <c r="F1449" s="32">
        <f>IFERROR(IF(ISNUMBER($A1449),IF(AND(AH!$U$12=1,1444+1=AH!$U$6),IF(AH!$U$4=0,"unavailable",INDEX('Market Data'!$AO$5:$AO$66,AH!$U$4)),IF(AH!$U$5=1,INDEX('Live History'!$E$5:$E$3004,MATCH($A1449,'Live History'!$D$5:$D$3004,1)),INDEX('AH History'!$D$5:$GG$1380,$K1449,AH!$U$10+1))),NA()),NA())</f>
        <v/>
      </c>
      <c r="G1449" s="34">
        <f>IFERROR(IF(ISNUMBER($A1449),IF(AND(AH!$U$12=1,1444+1=AH!$U$6),IF(AH!$U$4=0,"unavailable",INDEX('Market Data'!$AK$5:$AK$66,AH!$U$4)),IF(AH!$U$5=1,INDEX('Live History'!$D$5:$D$3004,MATCH($A1449,'Live History'!$D$5:$D$3004,1)),INDEX('AH History'!$D$5:$GG$1380,$K1449,AH!$U$10+2))),NA()),NA())</f>
        <v/>
      </c>
      <c r="H1449" s="266">
        <f>IFERROR(IF(ISNUMBER($A1449),IF(AND(AH!$U$12=1,1444+1=AH!$U$6),IF(AH!$U$4=0,"unavailable",INDEX('Market Data'!$AP$5:$AP$66,AH!$U$4)),IF(AH!$U$5=1,INDEX('Live History'!$H$5:$H$3004,MATCH($A1449,'Live History'!$G$5:$G$3004,1)),INDEX('AH History'!$B$5:$B$1380,$K1449))),NA()),NA())</f>
        <v/>
      </c>
      <c r="I1449" s="34">
        <f>IFERROR(IF(ISNUMBER($A1449),IF(AND(AH!$U$12=1,1444+1=AH!$U$6),TODAY(),IF(AH!$U$5=1,INDEX('Live History'!$G$5:$G$3004,MATCH($A1449,'Live History'!$G$5:$G$3004,1)),INDEX('AH History'!$C$5:$C$1380,$K1449))),NA()),NA())</f>
        <v/>
      </c>
      <c r="J1449" s="32">
        <f>IFERROR(IF(AND($F1449&gt;0,$H1449&gt;0,$A1449-$G1449&lt;=10,$A1449-$I1449&lt;=5,$G1449&gt;0,$I1449&gt;0),$F1449*$H1449,NA()),NA())</f>
        <v/>
      </c>
      <c r="K1449" s="15">
        <f>IF($A1449="","",IF(AH!$U$5=1,IFERROR(MATCH($A1449,'Live History'!$A$5:$A$3004,0),0),AH!$U$7+1444))</f>
        <v/>
      </c>
      <c r="L1449" s="15">
        <f>IF(ISNUMBER(A1449),TEXT(A1449,"dd-mmm-yy"),"")</f>
        <v/>
      </c>
    </row>
    <row r="1450">
      <c r="A1450" s="14">
        <f>IF(OR(AH!$U$4=0,1445+1&gt;AH!$U$6,AND(AH!$M$5="Bloomberg",AH!$U$5=0)),"",IFERROR(IF(AND(AH!$U$12=1,1445+1=AH!$U$6),TODAY(),IF(AH!$U$5=1,INDEX('Live History'!$A$5:$A$3004,AH!$U$7+1445),INDEX('AH History'!$A$5:$A$1380,AH!$U$7+1445))),""))</f>
        <v/>
      </c>
      <c r="B1450" s="33">
        <f>IFERROR(IF(AH!$U$11=1,NA(),$J1450/$E1450-1),NA())</f>
        <v/>
      </c>
      <c r="C1450" s="269">
        <f>IFERROR(100*$E1450/$E$5,NA())</f>
        <v/>
      </c>
      <c r="D1450" s="269">
        <f>IFERROR(100*$J1450/$J$5,NA())</f>
        <v/>
      </c>
      <c r="E1450" s="32">
        <f>IFERROR(IF(AND(ISNUMBER($A1450),N(IF(AND(AH!$U$12=1,1445+1=AH!$U$6),IF(AH!$U$4=0,"unavailable",INDEX('Market Data'!$AN$5:$AN$66,AH!$U$4)),IF(AH!$U$5=1,INDEX('Live History'!$B$5:$B$3004,$K1450),INDEX('AH History'!$D$5:$GG$1380,$K1450,AH!$U$10))))&gt;0),IF(AND(AH!$U$12=1,1445+1=AH!$U$6),IF(AH!$U$4=0,"unavailable",INDEX('Market Data'!$AN$5:$AN$66,AH!$U$4)),IF(AH!$U$5=1,INDEX('Live History'!$B$5:$B$3004,$K1450),INDEX('AH History'!$D$5:$GG$1380,$K1450,AH!$U$10))),NA()),NA())</f>
        <v/>
      </c>
      <c r="F1450" s="32">
        <f>IFERROR(IF(ISNUMBER($A1450),IF(AND(AH!$U$12=1,1445+1=AH!$U$6),IF(AH!$U$4=0,"unavailable",INDEX('Market Data'!$AO$5:$AO$66,AH!$U$4)),IF(AH!$U$5=1,INDEX('Live History'!$E$5:$E$3004,MATCH($A1450,'Live History'!$D$5:$D$3004,1)),INDEX('AH History'!$D$5:$GG$1380,$K1450,AH!$U$10+1))),NA()),NA())</f>
        <v/>
      </c>
      <c r="G1450" s="34">
        <f>IFERROR(IF(ISNUMBER($A1450),IF(AND(AH!$U$12=1,1445+1=AH!$U$6),IF(AH!$U$4=0,"unavailable",INDEX('Market Data'!$AK$5:$AK$66,AH!$U$4)),IF(AH!$U$5=1,INDEX('Live History'!$D$5:$D$3004,MATCH($A1450,'Live History'!$D$5:$D$3004,1)),INDEX('AH History'!$D$5:$GG$1380,$K1450,AH!$U$10+2))),NA()),NA())</f>
        <v/>
      </c>
      <c r="H1450" s="266">
        <f>IFERROR(IF(ISNUMBER($A1450),IF(AND(AH!$U$12=1,1445+1=AH!$U$6),IF(AH!$U$4=0,"unavailable",INDEX('Market Data'!$AP$5:$AP$66,AH!$U$4)),IF(AH!$U$5=1,INDEX('Live History'!$H$5:$H$3004,MATCH($A1450,'Live History'!$G$5:$G$3004,1)),INDEX('AH History'!$B$5:$B$1380,$K1450))),NA()),NA())</f>
        <v/>
      </c>
      <c r="I1450" s="34">
        <f>IFERROR(IF(ISNUMBER($A1450),IF(AND(AH!$U$12=1,1445+1=AH!$U$6),TODAY(),IF(AH!$U$5=1,INDEX('Live History'!$G$5:$G$3004,MATCH($A1450,'Live History'!$G$5:$G$3004,1)),INDEX('AH History'!$C$5:$C$1380,$K1450))),NA()),NA())</f>
        <v/>
      </c>
      <c r="J1450" s="32">
        <f>IFERROR(IF(AND($F1450&gt;0,$H1450&gt;0,$A1450-$G1450&lt;=10,$A1450-$I1450&lt;=5,$G1450&gt;0,$I1450&gt;0),$F1450*$H1450,NA()),NA())</f>
        <v/>
      </c>
      <c r="K1450" s="15">
        <f>IF($A1450="","",IF(AH!$U$5=1,IFERROR(MATCH($A1450,'Live History'!$A$5:$A$3004,0),0),AH!$U$7+1445))</f>
        <v/>
      </c>
      <c r="L1450" s="15">
        <f>IF(ISNUMBER(A1450),TEXT(A1450,"dd-mmm-yy"),"")</f>
        <v/>
      </c>
    </row>
    <row r="1451">
      <c r="A1451" s="14">
        <f>IF(OR(AH!$U$4=0,1446+1&gt;AH!$U$6,AND(AH!$M$5="Bloomberg",AH!$U$5=0)),"",IFERROR(IF(AND(AH!$U$12=1,1446+1=AH!$U$6),TODAY(),IF(AH!$U$5=1,INDEX('Live History'!$A$5:$A$3004,AH!$U$7+1446),INDEX('AH History'!$A$5:$A$1380,AH!$U$7+1446))),""))</f>
        <v/>
      </c>
      <c r="B1451" s="33">
        <f>IFERROR(IF(AH!$U$11=1,NA(),$J1451/$E1451-1),NA())</f>
        <v/>
      </c>
      <c r="C1451" s="269">
        <f>IFERROR(100*$E1451/$E$5,NA())</f>
        <v/>
      </c>
      <c r="D1451" s="269">
        <f>IFERROR(100*$J1451/$J$5,NA())</f>
        <v/>
      </c>
      <c r="E1451" s="32">
        <f>IFERROR(IF(AND(ISNUMBER($A1451),N(IF(AND(AH!$U$12=1,1446+1=AH!$U$6),IF(AH!$U$4=0,"unavailable",INDEX('Market Data'!$AN$5:$AN$66,AH!$U$4)),IF(AH!$U$5=1,INDEX('Live History'!$B$5:$B$3004,$K1451),INDEX('AH History'!$D$5:$GG$1380,$K1451,AH!$U$10))))&gt;0),IF(AND(AH!$U$12=1,1446+1=AH!$U$6),IF(AH!$U$4=0,"unavailable",INDEX('Market Data'!$AN$5:$AN$66,AH!$U$4)),IF(AH!$U$5=1,INDEX('Live History'!$B$5:$B$3004,$K1451),INDEX('AH History'!$D$5:$GG$1380,$K1451,AH!$U$10))),NA()),NA())</f>
        <v/>
      </c>
      <c r="F1451" s="32">
        <f>IFERROR(IF(ISNUMBER($A1451),IF(AND(AH!$U$12=1,1446+1=AH!$U$6),IF(AH!$U$4=0,"unavailable",INDEX('Market Data'!$AO$5:$AO$66,AH!$U$4)),IF(AH!$U$5=1,INDEX('Live History'!$E$5:$E$3004,MATCH($A1451,'Live History'!$D$5:$D$3004,1)),INDEX('AH History'!$D$5:$GG$1380,$K1451,AH!$U$10+1))),NA()),NA())</f>
        <v/>
      </c>
      <c r="G1451" s="34">
        <f>IFERROR(IF(ISNUMBER($A1451),IF(AND(AH!$U$12=1,1446+1=AH!$U$6),IF(AH!$U$4=0,"unavailable",INDEX('Market Data'!$AK$5:$AK$66,AH!$U$4)),IF(AH!$U$5=1,INDEX('Live History'!$D$5:$D$3004,MATCH($A1451,'Live History'!$D$5:$D$3004,1)),INDEX('AH History'!$D$5:$GG$1380,$K1451,AH!$U$10+2))),NA()),NA())</f>
        <v/>
      </c>
      <c r="H1451" s="266">
        <f>IFERROR(IF(ISNUMBER($A1451),IF(AND(AH!$U$12=1,1446+1=AH!$U$6),IF(AH!$U$4=0,"unavailable",INDEX('Market Data'!$AP$5:$AP$66,AH!$U$4)),IF(AH!$U$5=1,INDEX('Live History'!$H$5:$H$3004,MATCH($A1451,'Live History'!$G$5:$G$3004,1)),INDEX('AH History'!$B$5:$B$1380,$K1451))),NA()),NA())</f>
        <v/>
      </c>
      <c r="I1451" s="34">
        <f>IFERROR(IF(ISNUMBER($A1451),IF(AND(AH!$U$12=1,1446+1=AH!$U$6),TODAY(),IF(AH!$U$5=1,INDEX('Live History'!$G$5:$G$3004,MATCH($A1451,'Live History'!$G$5:$G$3004,1)),INDEX('AH History'!$C$5:$C$1380,$K1451))),NA()),NA())</f>
        <v/>
      </c>
      <c r="J1451" s="32">
        <f>IFERROR(IF(AND($F1451&gt;0,$H1451&gt;0,$A1451-$G1451&lt;=10,$A1451-$I1451&lt;=5,$G1451&gt;0,$I1451&gt;0),$F1451*$H1451,NA()),NA())</f>
        <v/>
      </c>
      <c r="K1451" s="15">
        <f>IF($A1451="","",IF(AH!$U$5=1,IFERROR(MATCH($A1451,'Live History'!$A$5:$A$3004,0),0),AH!$U$7+1446))</f>
        <v/>
      </c>
      <c r="L1451" s="15">
        <f>IF(ISNUMBER(A1451),TEXT(A1451,"dd-mmm-yy"),"")</f>
        <v/>
      </c>
    </row>
    <row r="1452">
      <c r="A1452" s="14">
        <f>IF(OR(AH!$U$4=0,1447+1&gt;AH!$U$6,AND(AH!$M$5="Bloomberg",AH!$U$5=0)),"",IFERROR(IF(AND(AH!$U$12=1,1447+1=AH!$U$6),TODAY(),IF(AH!$U$5=1,INDEX('Live History'!$A$5:$A$3004,AH!$U$7+1447),INDEX('AH History'!$A$5:$A$1380,AH!$U$7+1447))),""))</f>
        <v/>
      </c>
      <c r="B1452" s="33">
        <f>IFERROR(IF(AH!$U$11=1,NA(),$J1452/$E1452-1),NA())</f>
        <v/>
      </c>
      <c r="C1452" s="269">
        <f>IFERROR(100*$E1452/$E$5,NA())</f>
        <v/>
      </c>
      <c r="D1452" s="269">
        <f>IFERROR(100*$J1452/$J$5,NA())</f>
        <v/>
      </c>
      <c r="E1452" s="32">
        <f>IFERROR(IF(AND(ISNUMBER($A1452),N(IF(AND(AH!$U$12=1,1447+1=AH!$U$6),IF(AH!$U$4=0,"unavailable",INDEX('Market Data'!$AN$5:$AN$66,AH!$U$4)),IF(AH!$U$5=1,INDEX('Live History'!$B$5:$B$3004,$K1452),INDEX('AH History'!$D$5:$GG$1380,$K1452,AH!$U$10))))&gt;0),IF(AND(AH!$U$12=1,1447+1=AH!$U$6),IF(AH!$U$4=0,"unavailable",INDEX('Market Data'!$AN$5:$AN$66,AH!$U$4)),IF(AH!$U$5=1,INDEX('Live History'!$B$5:$B$3004,$K1452),INDEX('AH History'!$D$5:$GG$1380,$K1452,AH!$U$10))),NA()),NA())</f>
        <v/>
      </c>
      <c r="F1452" s="32">
        <f>IFERROR(IF(ISNUMBER($A1452),IF(AND(AH!$U$12=1,1447+1=AH!$U$6),IF(AH!$U$4=0,"unavailable",INDEX('Market Data'!$AO$5:$AO$66,AH!$U$4)),IF(AH!$U$5=1,INDEX('Live History'!$E$5:$E$3004,MATCH($A1452,'Live History'!$D$5:$D$3004,1)),INDEX('AH History'!$D$5:$GG$1380,$K1452,AH!$U$10+1))),NA()),NA())</f>
        <v/>
      </c>
      <c r="G1452" s="34">
        <f>IFERROR(IF(ISNUMBER($A1452),IF(AND(AH!$U$12=1,1447+1=AH!$U$6),IF(AH!$U$4=0,"unavailable",INDEX('Market Data'!$AK$5:$AK$66,AH!$U$4)),IF(AH!$U$5=1,INDEX('Live History'!$D$5:$D$3004,MATCH($A1452,'Live History'!$D$5:$D$3004,1)),INDEX('AH History'!$D$5:$GG$1380,$K1452,AH!$U$10+2))),NA()),NA())</f>
        <v/>
      </c>
      <c r="H1452" s="266">
        <f>IFERROR(IF(ISNUMBER($A1452),IF(AND(AH!$U$12=1,1447+1=AH!$U$6),IF(AH!$U$4=0,"unavailable",INDEX('Market Data'!$AP$5:$AP$66,AH!$U$4)),IF(AH!$U$5=1,INDEX('Live History'!$H$5:$H$3004,MATCH($A1452,'Live History'!$G$5:$G$3004,1)),INDEX('AH History'!$B$5:$B$1380,$K1452))),NA()),NA())</f>
        <v/>
      </c>
      <c r="I1452" s="34">
        <f>IFERROR(IF(ISNUMBER($A1452),IF(AND(AH!$U$12=1,1447+1=AH!$U$6),TODAY(),IF(AH!$U$5=1,INDEX('Live History'!$G$5:$G$3004,MATCH($A1452,'Live History'!$G$5:$G$3004,1)),INDEX('AH History'!$C$5:$C$1380,$K1452))),NA()),NA())</f>
        <v/>
      </c>
      <c r="J1452" s="32">
        <f>IFERROR(IF(AND($F1452&gt;0,$H1452&gt;0,$A1452-$G1452&lt;=10,$A1452-$I1452&lt;=5,$G1452&gt;0,$I1452&gt;0),$F1452*$H1452,NA()),NA())</f>
        <v/>
      </c>
      <c r="K1452" s="15">
        <f>IF($A1452="","",IF(AH!$U$5=1,IFERROR(MATCH($A1452,'Live History'!$A$5:$A$3004,0),0),AH!$U$7+1447))</f>
        <v/>
      </c>
      <c r="L1452" s="15">
        <f>IF(ISNUMBER(A1452),TEXT(A1452,"dd-mmm-yy"),"")</f>
        <v/>
      </c>
    </row>
    <row r="1453">
      <c r="A1453" s="14">
        <f>IF(OR(AH!$U$4=0,1448+1&gt;AH!$U$6,AND(AH!$M$5="Bloomberg",AH!$U$5=0)),"",IFERROR(IF(AND(AH!$U$12=1,1448+1=AH!$U$6),TODAY(),IF(AH!$U$5=1,INDEX('Live History'!$A$5:$A$3004,AH!$U$7+1448),INDEX('AH History'!$A$5:$A$1380,AH!$U$7+1448))),""))</f>
        <v/>
      </c>
      <c r="B1453" s="33">
        <f>IFERROR(IF(AH!$U$11=1,NA(),$J1453/$E1453-1),NA())</f>
        <v/>
      </c>
      <c r="C1453" s="269">
        <f>IFERROR(100*$E1453/$E$5,NA())</f>
        <v/>
      </c>
      <c r="D1453" s="269">
        <f>IFERROR(100*$J1453/$J$5,NA())</f>
        <v/>
      </c>
      <c r="E1453" s="32">
        <f>IFERROR(IF(AND(ISNUMBER($A1453),N(IF(AND(AH!$U$12=1,1448+1=AH!$U$6),IF(AH!$U$4=0,"unavailable",INDEX('Market Data'!$AN$5:$AN$66,AH!$U$4)),IF(AH!$U$5=1,INDEX('Live History'!$B$5:$B$3004,$K1453),INDEX('AH History'!$D$5:$GG$1380,$K1453,AH!$U$10))))&gt;0),IF(AND(AH!$U$12=1,1448+1=AH!$U$6),IF(AH!$U$4=0,"unavailable",INDEX('Market Data'!$AN$5:$AN$66,AH!$U$4)),IF(AH!$U$5=1,INDEX('Live History'!$B$5:$B$3004,$K1453),INDEX('AH History'!$D$5:$GG$1380,$K1453,AH!$U$10))),NA()),NA())</f>
        <v/>
      </c>
      <c r="F1453" s="32">
        <f>IFERROR(IF(ISNUMBER($A1453),IF(AND(AH!$U$12=1,1448+1=AH!$U$6),IF(AH!$U$4=0,"unavailable",INDEX('Market Data'!$AO$5:$AO$66,AH!$U$4)),IF(AH!$U$5=1,INDEX('Live History'!$E$5:$E$3004,MATCH($A1453,'Live History'!$D$5:$D$3004,1)),INDEX('AH History'!$D$5:$GG$1380,$K1453,AH!$U$10+1))),NA()),NA())</f>
        <v/>
      </c>
      <c r="G1453" s="34">
        <f>IFERROR(IF(ISNUMBER($A1453),IF(AND(AH!$U$12=1,1448+1=AH!$U$6),IF(AH!$U$4=0,"unavailable",INDEX('Market Data'!$AK$5:$AK$66,AH!$U$4)),IF(AH!$U$5=1,INDEX('Live History'!$D$5:$D$3004,MATCH($A1453,'Live History'!$D$5:$D$3004,1)),INDEX('AH History'!$D$5:$GG$1380,$K1453,AH!$U$10+2))),NA()),NA())</f>
        <v/>
      </c>
      <c r="H1453" s="266">
        <f>IFERROR(IF(ISNUMBER($A1453),IF(AND(AH!$U$12=1,1448+1=AH!$U$6),IF(AH!$U$4=0,"unavailable",INDEX('Market Data'!$AP$5:$AP$66,AH!$U$4)),IF(AH!$U$5=1,INDEX('Live History'!$H$5:$H$3004,MATCH($A1453,'Live History'!$G$5:$G$3004,1)),INDEX('AH History'!$B$5:$B$1380,$K1453))),NA()),NA())</f>
        <v/>
      </c>
      <c r="I1453" s="34">
        <f>IFERROR(IF(ISNUMBER($A1453),IF(AND(AH!$U$12=1,1448+1=AH!$U$6),TODAY(),IF(AH!$U$5=1,INDEX('Live History'!$G$5:$G$3004,MATCH($A1453,'Live History'!$G$5:$G$3004,1)),INDEX('AH History'!$C$5:$C$1380,$K1453))),NA()),NA())</f>
        <v/>
      </c>
      <c r="J1453" s="32">
        <f>IFERROR(IF(AND($F1453&gt;0,$H1453&gt;0,$A1453-$G1453&lt;=10,$A1453-$I1453&lt;=5,$G1453&gt;0,$I1453&gt;0),$F1453*$H1453,NA()),NA())</f>
        <v/>
      </c>
      <c r="K1453" s="15">
        <f>IF($A1453="","",IF(AH!$U$5=1,IFERROR(MATCH($A1453,'Live History'!$A$5:$A$3004,0),0),AH!$U$7+1448))</f>
        <v/>
      </c>
      <c r="L1453" s="15">
        <f>IF(ISNUMBER(A1453),TEXT(A1453,"dd-mmm-yy"),"")</f>
        <v/>
      </c>
    </row>
    <row r="1454">
      <c r="A1454" s="14">
        <f>IF(OR(AH!$U$4=0,1449+1&gt;AH!$U$6,AND(AH!$M$5="Bloomberg",AH!$U$5=0)),"",IFERROR(IF(AND(AH!$U$12=1,1449+1=AH!$U$6),TODAY(),IF(AH!$U$5=1,INDEX('Live History'!$A$5:$A$3004,AH!$U$7+1449),INDEX('AH History'!$A$5:$A$1380,AH!$U$7+1449))),""))</f>
        <v/>
      </c>
      <c r="B1454" s="33">
        <f>IFERROR(IF(AH!$U$11=1,NA(),$J1454/$E1454-1),NA())</f>
        <v/>
      </c>
      <c r="C1454" s="269">
        <f>IFERROR(100*$E1454/$E$5,NA())</f>
        <v/>
      </c>
      <c r="D1454" s="269">
        <f>IFERROR(100*$J1454/$J$5,NA())</f>
        <v/>
      </c>
      <c r="E1454" s="32">
        <f>IFERROR(IF(AND(ISNUMBER($A1454),N(IF(AND(AH!$U$12=1,1449+1=AH!$U$6),IF(AH!$U$4=0,"unavailable",INDEX('Market Data'!$AN$5:$AN$66,AH!$U$4)),IF(AH!$U$5=1,INDEX('Live History'!$B$5:$B$3004,$K1454),INDEX('AH History'!$D$5:$GG$1380,$K1454,AH!$U$10))))&gt;0),IF(AND(AH!$U$12=1,1449+1=AH!$U$6),IF(AH!$U$4=0,"unavailable",INDEX('Market Data'!$AN$5:$AN$66,AH!$U$4)),IF(AH!$U$5=1,INDEX('Live History'!$B$5:$B$3004,$K1454),INDEX('AH History'!$D$5:$GG$1380,$K1454,AH!$U$10))),NA()),NA())</f>
        <v/>
      </c>
      <c r="F1454" s="32">
        <f>IFERROR(IF(ISNUMBER($A1454),IF(AND(AH!$U$12=1,1449+1=AH!$U$6),IF(AH!$U$4=0,"unavailable",INDEX('Market Data'!$AO$5:$AO$66,AH!$U$4)),IF(AH!$U$5=1,INDEX('Live History'!$E$5:$E$3004,MATCH($A1454,'Live History'!$D$5:$D$3004,1)),INDEX('AH History'!$D$5:$GG$1380,$K1454,AH!$U$10+1))),NA()),NA())</f>
        <v/>
      </c>
      <c r="G1454" s="34">
        <f>IFERROR(IF(ISNUMBER($A1454),IF(AND(AH!$U$12=1,1449+1=AH!$U$6),IF(AH!$U$4=0,"unavailable",INDEX('Market Data'!$AK$5:$AK$66,AH!$U$4)),IF(AH!$U$5=1,INDEX('Live History'!$D$5:$D$3004,MATCH($A1454,'Live History'!$D$5:$D$3004,1)),INDEX('AH History'!$D$5:$GG$1380,$K1454,AH!$U$10+2))),NA()),NA())</f>
        <v/>
      </c>
      <c r="H1454" s="266">
        <f>IFERROR(IF(ISNUMBER($A1454),IF(AND(AH!$U$12=1,1449+1=AH!$U$6),IF(AH!$U$4=0,"unavailable",INDEX('Market Data'!$AP$5:$AP$66,AH!$U$4)),IF(AH!$U$5=1,INDEX('Live History'!$H$5:$H$3004,MATCH($A1454,'Live History'!$G$5:$G$3004,1)),INDEX('AH History'!$B$5:$B$1380,$K1454))),NA()),NA())</f>
        <v/>
      </c>
      <c r="I1454" s="34">
        <f>IFERROR(IF(ISNUMBER($A1454),IF(AND(AH!$U$12=1,1449+1=AH!$U$6),TODAY(),IF(AH!$U$5=1,INDEX('Live History'!$G$5:$G$3004,MATCH($A1454,'Live History'!$G$5:$G$3004,1)),INDEX('AH History'!$C$5:$C$1380,$K1454))),NA()),NA())</f>
        <v/>
      </c>
      <c r="J1454" s="32">
        <f>IFERROR(IF(AND($F1454&gt;0,$H1454&gt;0,$A1454-$G1454&lt;=10,$A1454-$I1454&lt;=5,$G1454&gt;0,$I1454&gt;0),$F1454*$H1454,NA()),NA())</f>
        <v/>
      </c>
      <c r="K1454" s="15">
        <f>IF($A1454="","",IF(AH!$U$5=1,IFERROR(MATCH($A1454,'Live History'!$A$5:$A$3004,0),0),AH!$U$7+1449))</f>
        <v/>
      </c>
      <c r="L1454" s="15">
        <f>IF(ISNUMBER(A1454),TEXT(A1454,"dd-mmm-yy"),"")</f>
        <v/>
      </c>
    </row>
    <row r="1455">
      <c r="A1455" s="14">
        <f>IF(OR(AH!$U$4=0,1450+1&gt;AH!$U$6,AND(AH!$M$5="Bloomberg",AH!$U$5=0)),"",IFERROR(IF(AND(AH!$U$12=1,1450+1=AH!$U$6),TODAY(),IF(AH!$U$5=1,INDEX('Live History'!$A$5:$A$3004,AH!$U$7+1450),INDEX('AH History'!$A$5:$A$1380,AH!$U$7+1450))),""))</f>
        <v/>
      </c>
      <c r="B1455" s="33">
        <f>IFERROR(IF(AH!$U$11=1,NA(),$J1455/$E1455-1),NA())</f>
        <v/>
      </c>
      <c r="C1455" s="269">
        <f>IFERROR(100*$E1455/$E$5,NA())</f>
        <v/>
      </c>
      <c r="D1455" s="269">
        <f>IFERROR(100*$J1455/$J$5,NA())</f>
        <v/>
      </c>
      <c r="E1455" s="32">
        <f>IFERROR(IF(AND(ISNUMBER($A1455),N(IF(AND(AH!$U$12=1,1450+1=AH!$U$6),IF(AH!$U$4=0,"unavailable",INDEX('Market Data'!$AN$5:$AN$66,AH!$U$4)),IF(AH!$U$5=1,INDEX('Live History'!$B$5:$B$3004,$K1455),INDEX('AH History'!$D$5:$GG$1380,$K1455,AH!$U$10))))&gt;0),IF(AND(AH!$U$12=1,1450+1=AH!$U$6),IF(AH!$U$4=0,"unavailable",INDEX('Market Data'!$AN$5:$AN$66,AH!$U$4)),IF(AH!$U$5=1,INDEX('Live History'!$B$5:$B$3004,$K1455),INDEX('AH History'!$D$5:$GG$1380,$K1455,AH!$U$10))),NA()),NA())</f>
        <v/>
      </c>
      <c r="F1455" s="32">
        <f>IFERROR(IF(ISNUMBER($A1455),IF(AND(AH!$U$12=1,1450+1=AH!$U$6),IF(AH!$U$4=0,"unavailable",INDEX('Market Data'!$AO$5:$AO$66,AH!$U$4)),IF(AH!$U$5=1,INDEX('Live History'!$E$5:$E$3004,MATCH($A1455,'Live History'!$D$5:$D$3004,1)),INDEX('AH History'!$D$5:$GG$1380,$K1455,AH!$U$10+1))),NA()),NA())</f>
        <v/>
      </c>
      <c r="G1455" s="34">
        <f>IFERROR(IF(ISNUMBER($A1455),IF(AND(AH!$U$12=1,1450+1=AH!$U$6),IF(AH!$U$4=0,"unavailable",INDEX('Market Data'!$AK$5:$AK$66,AH!$U$4)),IF(AH!$U$5=1,INDEX('Live History'!$D$5:$D$3004,MATCH($A1455,'Live History'!$D$5:$D$3004,1)),INDEX('AH History'!$D$5:$GG$1380,$K1455,AH!$U$10+2))),NA()),NA())</f>
        <v/>
      </c>
      <c r="H1455" s="266">
        <f>IFERROR(IF(ISNUMBER($A1455),IF(AND(AH!$U$12=1,1450+1=AH!$U$6),IF(AH!$U$4=0,"unavailable",INDEX('Market Data'!$AP$5:$AP$66,AH!$U$4)),IF(AH!$U$5=1,INDEX('Live History'!$H$5:$H$3004,MATCH($A1455,'Live History'!$G$5:$G$3004,1)),INDEX('AH History'!$B$5:$B$1380,$K1455))),NA()),NA())</f>
        <v/>
      </c>
      <c r="I1455" s="34">
        <f>IFERROR(IF(ISNUMBER($A1455),IF(AND(AH!$U$12=1,1450+1=AH!$U$6),TODAY(),IF(AH!$U$5=1,INDEX('Live History'!$G$5:$G$3004,MATCH($A1455,'Live History'!$G$5:$G$3004,1)),INDEX('AH History'!$C$5:$C$1380,$K1455))),NA()),NA())</f>
        <v/>
      </c>
      <c r="J1455" s="32">
        <f>IFERROR(IF(AND($F1455&gt;0,$H1455&gt;0,$A1455-$G1455&lt;=10,$A1455-$I1455&lt;=5,$G1455&gt;0,$I1455&gt;0),$F1455*$H1455,NA()),NA())</f>
        <v/>
      </c>
      <c r="K1455" s="15">
        <f>IF($A1455="","",IF(AH!$U$5=1,IFERROR(MATCH($A1455,'Live History'!$A$5:$A$3004,0),0),AH!$U$7+1450))</f>
        <v/>
      </c>
      <c r="L1455" s="15">
        <f>IF(ISNUMBER(A1455),TEXT(A1455,"dd-mmm-yy"),"")</f>
        <v/>
      </c>
    </row>
    <row r="1456">
      <c r="A1456" s="14">
        <f>IF(OR(AH!$U$4=0,1451+1&gt;AH!$U$6,AND(AH!$M$5="Bloomberg",AH!$U$5=0)),"",IFERROR(IF(AND(AH!$U$12=1,1451+1=AH!$U$6),TODAY(),IF(AH!$U$5=1,INDEX('Live History'!$A$5:$A$3004,AH!$U$7+1451),INDEX('AH History'!$A$5:$A$1380,AH!$U$7+1451))),""))</f>
        <v/>
      </c>
      <c r="B1456" s="33">
        <f>IFERROR(IF(AH!$U$11=1,NA(),$J1456/$E1456-1),NA())</f>
        <v/>
      </c>
      <c r="C1456" s="269">
        <f>IFERROR(100*$E1456/$E$5,NA())</f>
        <v/>
      </c>
      <c r="D1456" s="269">
        <f>IFERROR(100*$J1456/$J$5,NA())</f>
        <v/>
      </c>
      <c r="E1456" s="32">
        <f>IFERROR(IF(AND(ISNUMBER($A1456),N(IF(AND(AH!$U$12=1,1451+1=AH!$U$6),IF(AH!$U$4=0,"unavailable",INDEX('Market Data'!$AN$5:$AN$66,AH!$U$4)),IF(AH!$U$5=1,INDEX('Live History'!$B$5:$B$3004,$K1456),INDEX('AH History'!$D$5:$GG$1380,$K1456,AH!$U$10))))&gt;0),IF(AND(AH!$U$12=1,1451+1=AH!$U$6),IF(AH!$U$4=0,"unavailable",INDEX('Market Data'!$AN$5:$AN$66,AH!$U$4)),IF(AH!$U$5=1,INDEX('Live History'!$B$5:$B$3004,$K1456),INDEX('AH History'!$D$5:$GG$1380,$K1456,AH!$U$10))),NA()),NA())</f>
        <v/>
      </c>
      <c r="F1456" s="32">
        <f>IFERROR(IF(ISNUMBER($A1456),IF(AND(AH!$U$12=1,1451+1=AH!$U$6),IF(AH!$U$4=0,"unavailable",INDEX('Market Data'!$AO$5:$AO$66,AH!$U$4)),IF(AH!$U$5=1,INDEX('Live History'!$E$5:$E$3004,MATCH($A1456,'Live History'!$D$5:$D$3004,1)),INDEX('AH History'!$D$5:$GG$1380,$K1456,AH!$U$10+1))),NA()),NA())</f>
        <v/>
      </c>
      <c r="G1456" s="34">
        <f>IFERROR(IF(ISNUMBER($A1456),IF(AND(AH!$U$12=1,1451+1=AH!$U$6),IF(AH!$U$4=0,"unavailable",INDEX('Market Data'!$AK$5:$AK$66,AH!$U$4)),IF(AH!$U$5=1,INDEX('Live History'!$D$5:$D$3004,MATCH($A1456,'Live History'!$D$5:$D$3004,1)),INDEX('AH History'!$D$5:$GG$1380,$K1456,AH!$U$10+2))),NA()),NA())</f>
        <v/>
      </c>
      <c r="H1456" s="266">
        <f>IFERROR(IF(ISNUMBER($A1456),IF(AND(AH!$U$12=1,1451+1=AH!$U$6),IF(AH!$U$4=0,"unavailable",INDEX('Market Data'!$AP$5:$AP$66,AH!$U$4)),IF(AH!$U$5=1,INDEX('Live History'!$H$5:$H$3004,MATCH($A1456,'Live History'!$G$5:$G$3004,1)),INDEX('AH History'!$B$5:$B$1380,$K1456))),NA()),NA())</f>
        <v/>
      </c>
      <c r="I1456" s="34">
        <f>IFERROR(IF(ISNUMBER($A1456),IF(AND(AH!$U$12=1,1451+1=AH!$U$6),TODAY(),IF(AH!$U$5=1,INDEX('Live History'!$G$5:$G$3004,MATCH($A1456,'Live History'!$G$5:$G$3004,1)),INDEX('AH History'!$C$5:$C$1380,$K1456))),NA()),NA())</f>
        <v/>
      </c>
      <c r="J1456" s="32">
        <f>IFERROR(IF(AND($F1456&gt;0,$H1456&gt;0,$A1456-$G1456&lt;=10,$A1456-$I1456&lt;=5,$G1456&gt;0,$I1456&gt;0),$F1456*$H1456,NA()),NA())</f>
        <v/>
      </c>
      <c r="K1456" s="15">
        <f>IF($A1456="","",IF(AH!$U$5=1,IFERROR(MATCH($A1456,'Live History'!$A$5:$A$3004,0),0),AH!$U$7+1451))</f>
        <v/>
      </c>
      <c r="L1456" s="15">
        <f>IF(ISNUMBER(A1456),TEXT(A1456,"dd-mmm-yy"),"")</f>
        <v/>
      </c>
    </row>
    <row r="1457">
      <c r="A1457" s="14">
        <f>IF(OR(AH!$U$4=0,1452+1&gt;AH!$U$6,AND(AH!$M$5="Bloomberg",AH!$U$5=0)),"",IFERROR(IF(AND(AH!$U$12=1,1452+1=AH!$U$6),TODAY(),IF(AH!$U$5=1,INDEX('Live History'!$A$5:$A$3004,AH!$U$7+1452),INDEX('AH History'!$A$5:$A$1380,AH!$U$7+1452))),""))</f>
        <v/>
      </c>
      <c r="B1457" s="33">
        <f>IFERROR(IF(AH!$U$11=1,NA(),$J1457/$E1457-1),NA())</f>
        <v/>
      </c>
      <c r="C1457" s="269">
        <f>IFERROR(100*$E1457/$E$5,NA())</f>
        <v/>
      </c>
      <c r="D1457" s="269">
        <f>IFERROR(100*$J1457/$J$5,NA())</f>
        <v/>
      </c>
      <c r="E1457" s="32">
        <f>IFERROR(IF(AND(ISNUMBER($A1457),N(IF(AND(AH!$U$12=1,1452+1=AH!$U$6),IF(AH!$U$4=0,"unavailable",INDEX('Market Data'!$AN$5:$AN$66,AH!$U$4)),IF(AH!$U$5=1,INDEX('Live History'!$B$5:$B$3004,$K1457),INDEX('AH History'!$D$5:$GG$1380,$K1457,AH!$U$10))))&gt;0),IF(AND(AH!$U$12=1,1452+1=AH!$U$6),IF(AH!$U$4=0,"unavailable",INDEX('Market Data'!$AN$5:$AN$66,AH!$U$4)),IF(AH!$U$5=1,INDEX('Live History'!$B$5:$B$3004,$K1457),INDEX('AH History'!$D$5:$GG$1380,$K1457,AH!$U$10))),NA()),NA())</f>
        <v/>
      </c>
      <c r="F1457" s="32">
        <f>IFERROR(IF(ISNUMBER($A1457),IF(AND(AH!$U$12=1,1452+1=AH!$U$6),IF(AH!$U$4=0,"unavailable",INDEX('Market Data'!$AO$5:$AO$66,AH!$U$4)),IF(AH!$U$5=1,INDEX('Live History'!$E$5:$E$3004,MATCH($A1457,'Live History'!$D$5:$D$3004,1)),INDEX('AH History'!$D$5:$GG$1380,$K1457,AH!$U$10+1))),NA()),NA())</f>
        <v/>
      </c>
      <c r="G1457" s="34">
        <f>IFERROR(IF(ISNUMBER($A1457),IF(AND(AH!$U$12=1,1452+1=AH!$U$6),IF(AH!$U$4=0,"unavailable",INDEX('Market Data'!$AK$5:$AK$66,AH!$U$4)),IF(AH!$U$5=1,INDEX('Live History'!$D$5:$D$3004,MATCH($A1457,'Live History'!$D$5:$D$3004,1)),INDEX('AH History'!$D$5:$GG$1380,$K1457,AH!$U$10+2))),NA()),NA())</f>
        <v/>
      </c>
      <c r="H1457" s="266">
        <f>IFERROR(IF(ISNUMBER($A1457),IF(AND(AH!$U$12=1,1452+1=AH!$U$6),IF(AH!$U$4=0,"unavailable",INDEX('Market Data'!$AP$5:$AP$66,AH!$U$4)),IF(AH!$U$5=1,INDEX('Live History'!$H$5:$H$3004,MATCH($A1457,'Live History'!$G$5:$G$3004,1)),INDEX('AH History'!$B$5:$B$1380,$K1457))),NA()),NA())</f>
        <v/>
      </c>
      <c r="I1457" s="34">
        <f>IFERROR(IF(ISNUMBER($A1457),IF(AND(AH!$U$12=1,1452+1=AH!$U$6),TODAY(),IF(AH!$U$5=1,INDEX('Live History'!$G$5:$G$3004,MATCH($A1457,'Live History'!$G$5:$G$3004,1)),INDEX('AH History'!$C$5:$C$1380,$K1457))),NA()),NA())</f>
        <v/>
      </c>
      <c r="J1457" s="32">
        <f>IFERROR(IF(AND($F1457&gt;0,$H1457&gt;0,$A1457-$G1457&lt;=10,$A1457-$I1457&lt;=5,$G1457&gt;0,$I1457&gt;0),$F1457*$H1457,NA()),NA())</f>
        <v/>
      </c>
      <c r="K1457" s="15">
        <f>IF($A1457="","",IF(AH!$U$5=1,IFERROR(MATCH($A1457,'Live History'!$A$5:$A$3004,0),0),AH!$U$7+1452))</f>
        <v/>
      </c>
      <c r="L1457" s="15">
        <f>IF(ISNUMBER(A1457),TEXT(A1457,"dd-mmm-yy"),"")</f>
        <v/>
      </c>
    </row>
    <row r="1458">
      <c r="A1458" s="14">
        <f>IF(OR(AH!$U$4=0,1453+1&gt;AH!$U$6,AND(AH!$M$5="Bloomberg",AH!$U$5=0)),"",IFERROR(IF(AND(AH!$U$12=1,1453+1=AH!$U$6),TODAY(),IF(AH!$U$5=1,INDEX('Live History'!$A$5:$A$3004,AH!$U$7+1453),INDEX('AH History'!$A$5:$A$1380,AH!$U$7+1453))),""))</f>
        <v/>
      </c>
      <c r="B1458" s="33">
        <f>IFERROR(IF(AH!$U$11=1,NA(),$J1458/$E1458-1),NA())</f>
        <v/>
      </c>
      <c r="C1458" s="269">
        <f>IFERROR(100*$E1458/$E$5,NA())</f>
        <v/>
      </c>
      <c r="D1458" s="269">
        <f>IFERROR(100*$J1458/$J$5,NA())</f>
        <v/>
      </c>
      <c r="E1458" s="32">
        <f>IFERROR(IF(AND(ISNUMBER($A1458),N(IF(AND(AH!$U$12=1,1453+1=AH!$U$6),IF(AH!$U$4=0,"unavailable",INDEX('Market Data'!$AN$5:$AN$66,AH!$U$4)),IF(AH!$U$5=1,INDEX('Live History'!$B$5:$B$3004,$K1458),INDEX('AH History'!$D$5:$GG$1380,$K1458,AH!$U$10))))&gt;0),IF(AND(AH!$U$12=1,1453+1=AH!$U$6),IF(AH!$U$4=0,"unavailable",INDEX('Market Data'!$AN$5:$AN$66,AH!$U$4)),IF(AH!$U$5=1,INDEX('Live History'!$B$5:$B$3004,$K1458),INDEX('AH History'!$D$5:$GG$1380,$K1458,AH!$U$10))),NA()),NA())</f>
        <v/>
      </c>
      <c r="F1458" s="32">
        <f>IFERROR(IF(ISNUMBER($A1458),IF(AND(AH!$U$12=1,1453+1=AH!$U$6),IF(AH!$U$4=0,"unavailable",INDEX('Market Data'!$AO$5:$AO$66,AH!$U$4)),IF(AH!$U$5=1,INDEX('Live History'!$E$5:$E$3004,MATCH($A1458,'Live History'!$D$5:$D$3004,1)),INDEX('AH History'!$D$5:$GG$1380,$K1458,AH!$U$10+1))),NA()),NA())</f>
        <v/>
      </c>
      <c r="G1458" s="34">
        <f>IFERROR(IF(ISNUMBER($A1458),IF(AND(AH!$U$12=1,1453+1=AH!$U$6),IF(AH!$U$4=0,"unavailable",INDEX('Market Data'!$AK$5:$AK$66,AH!$U$4)),IF(AH!$U$5=1,INDEX('Live History'!$D$5:$D$3004,MATCH($A1458,'Live History'!$D$5:$D$3004,1)),INDEX('AH History'!$D$5:$GG$1380,$K1458,AH!$U$10+2))),NA()),NA())</f>
        <v/>
      </c>
      <c r="H1458" s="266">
        <f>IFERROR(IF(ISNUMBER($A1458),IF(AND(AH!$U$12=1,1453+1=AH!$U$6),IF(AH!$U$4=0,"unavailable",INDEX('Market Data'!$AP$5:$AP$66,AH!$U$4)),IF(AH!$U$5=1,INDEX('Live History'!$H$5:$H$3004,MATCH($A1458,'Live History'!$G$5:$G$3004,1)),INDEX('AH History'!$B$5:$B$1380,$K1458))),NA()),NA())</f>
        <v/>
      </c>
      <c r="I1458" s="34">
        <f>IFERROR(IF(ISNUMBER($A1458),IF(AND(AH!$U$12=1,1453+1=AH!$U$6),TODAY(),IF(AH!$U$5=1,INDEX('Live History'!$G$5:$G$3004,MATCH($A1458,'Live History'!$G$5:$G$3004,1)),INDEX('AH History'!$C$5:$C$1380,$K1458))),NA()),NA())</f>
        <v/>
      </c>
      <c r="J1458" s="32">
        <f>IFERROR(IF(AND($F1458&gt;0,$H1458&gt;0,$A1458-$G1458&lt;=10,$A1458-$I1458&lt;=5,$G1458&gt;0,$I1458&gt;0),$F1458*$H1458,NA()),NA())</f>
        <v/>
      </c>
      <c r="K1458" s="15">
        <f>IF($A1458="","",IF(AH!$U$5=1,IFERROR(MATCH($A1458,'Live History'!$A$5:$A$3004,0),0),AH!$U$7+1453))</f>
        <v/>
      </c>
      <c r="L1458" s="15">
        <f>IF(ISNUMBER(A1458),TEXT(A1458,"dd-mmm-yy"),"")</f>
        <v/>
      </c>
    </row>
    <row r="1459">
      <c r="A1459" s="14">
        <f>IF(OR(AH!$U$4=0,1454+1&gt;AH!$U$6,AND(AH!$M$5="Bloomberg",AH!$U$5=0)),"",IFERROR(IF(AND(AH!$U$12=1,1454+1=AH!$U$6),TODAY(),IF(AH!$U$5=1,INDEX('Live History'!$A$5:$A$3004,AH!$U$7+1454),INDEX('AH History'!$A$5:$A$1380,AH!$U$7+1454))),""))</f>
        <v/>
      </c>
      <c r="B1459" s="33">
        <f>IFERROR(IF(AH!$U$11=1,NA(),$J1459/$E1459-1),NA())</f>
        <v/>
      </c>
      <c r="C1459" s="269">
        <f>IFERROR(100*$E1459/$E$5,NA())</f>
        <v/>
      </c>
      <c r="D1459" s="269">
        <f>IFERROR(100*$J1459/$J$5,NA())</f>
        <v/>
      </c>
      <c r="E1459" s="32">
        <f>IFERROR(IF(AND(ISNUMBER($A1459),N(IF(AND(AH!$U$12=1,1454+1=AH!$U$6),IF(AH!$U$4=0,"unavailable",INDEX('Market Data'!$AN$5:$AN$66,AH!$U$4)),IF(AH!$U$5=1,INDEX('Live History'!$B$5:$B$3004,$K1459),INDEX('AH History'!$D$5:$GG$1380,$K1459,AH!$U$10))))&gt;0),IF(AND(AH!$U$12=1,1454+1=AH!$U$6),IF(AH!$U$4=0,"unavailable",INDEX('Market Data'!$AN$5:$AN$66,AH!$U$4)),IF(AH!$U$5=1,INDEX('Live History'!$B$5:$B$3004,$K1459),INDEX('AH History'!$D$5:$GG$1380,$K1459,AH!$U$10))),NA()),NA())</f>
        <v/>
      </c>
      <c r="F1459" s="32">
        <f>IFERROR(IF(ISNUMBER($A1459),IF(AND(AH!$U$12=1,1454+1=AH!$U$6),IF(AH!$U$4=0,"unavailable",INDEX('Market Data'!$AO$5:$AO$66,AH!$U$4)),IF(AH!$U$5=1,INDEX('Live History'!$E$5:$E$3004,MATCH($A1459,'Live History'!$D$5:$D$3004,1)),INDEX('AH History'!$D$5:$GG$1380,$K1459,AH!$U$10+1))),NA()),NA())</f>
        <v/>
      </c>
      <c r="G1459" s="34">
        <f>IFERROR(IF(ISNUMBER($A1459),IF(AND(AH!$U$12=1,1454+1=AH!$U$6),IF(AH!$U$4=0,"unavailable",INDEX('Market Data'!$AK$5:$AK$66,AH!$U$4)),IF(AH!$U$5=1,INDEX('Live History'!$D$5:$D$3004,MATCH($A1459,'Live History'!$D$5:$D$3004,1)),INDEX('AH History'!$D$5:$GG$1380,$K1459,AH!$U$10+2))),NA()),NA())</f>
        <v/>
      </c>
      <c r="H1459" s="266">
        <f>IFERROR(IF(ISNUMBER($A1459),IF(AND(AH!$U$12=1,1454+1=AH!$U$6),IF(AH!$U$4=0,"unavailable",INDEX('Market Data'!$AP$5:$AP$66,AH!$U$4)),IF(AH!$U$5=1,INDEX('Live History'!$H$5:$H$3004,MATCH($A1459,'Live History'!$G$5:$G$3004,1)),INDEX('AH History'!$B$5:$B$1380,$K1459))),NA()),NA())</f>
        <v/>
      </c>
      <c r="I1459" s="34">
        <f>IFERROR(IF(ISNUMBER($A1459),IF(AND(AH!$U$12=1,1454+1=AH!$U$6),TODAY(),IF(AH!$U$5=1,INDEX('Live History'!$G$5:$G$3004,MATCH($A1459,'Live History'!$G$5:$G$3004,1)),INDEX('AH History'!$C$5:$C$1380,$K1459))),NA()),NA())</f>
        <v/>
      </c>
      <c r="J1459" s="32">
        <f>IFERROR(IF(AND($F1459&gt;0,$H1459&gt;0,$A1459-$G1459&lt;=10,$A1459-$I1459&lt;=5,$G1459&gt;0,$I1459&gt;0),$F1459*$H1459,NA()),NA())</f>
        <v/>
      </c>
      <c r="K1459" s="15">
        <f>IF($A1459="","",IF(AH!$U$5=1,IFERROR(MATCH($A1459,'Live History'!$A$5:$A$3004,0),0),AH!$U$7+1454))</f>
        <v/>
      </c>
      <c r="L1459" s="15">
        <f>IF(ISNUMBER(A1459),TEXT(A1459,"dd-mmm-yy"),"")</f>
        <v/>
      </c>
    </row>
    <row r="1460">
      <c r="A1460" s="14">
        <f>IF(OR(AH!$U$4=0,1455+1&gt;AH!$U$6,AND(AH!$M$5="Bloomberg",AH!$U$5=0)),"",IFERROR(IF(AND(AH!$U$12=1,1455+1=AH!$U$6),TODAY(),IF(AH!$U$5=1,INDEX('Live History'!$A$5:$A$3004,AH!$U$7+1455),INDEX('AH History'!$A$5:$A$1380,AH!$U$7+1455))),""))</f>
        <v/>
      </c>
      <c r="B1460" s="33">
        <f>IFERROR(IF(AH!$U$11=1,NA(),$J1460/$E1460-1),NA())</f>
        <v/>
      </c>
      <c r="C1460" s="269">
        <f>IFERROR(100*$E1460/$E$5,NA())</f>
        <v/>
      </c>
      <c r="D1460" s="269">
        <f>IFERROR(100*$J1460/$J$5,NA())</f>
        <v/>
      </c>
      <c r="E1460" s="32">
        <f>IFERROR(IF(AND(ISNUMBER($A1460),N(IF(AND(AH!$U$12=1,1455+1=AH!$U$6),IF(AH!$U$4=0,"unavailable",INDEX('Market Data'!$AN$5:$AN$66,AH!$U$4)),IF(AH!$U$5=1,INDEX('Live History'!$B$5:$B$3004,$K1460),INDEX('AH History'!$D$5:$GG$1380,$K1460,AH!$U$10))))&gt;0),IF(AND(AH!$U$12=1,1455+1=AH!$U$6),IF(AH!$U$4=0,"unavailable",INDEX('Market Data'!$AN$5:$AN$66,AH!$U$4)),IF(AH!$U$5=1,INDEX('Live History'!$B$5:$B$3004,$K1460),INDEX('AH History'!$D$5:$GG$1380,$K1460,AH!$U$10))),NA()),NA())</f>
        <v/>
      </c>
      <c r="F1460" s="32">
        <f>IFERROR(IF(ISNUMBER($A1460),IF(AND(AH!$U$12=1,1455+1=AH!$U$6),IF(AH!$U$4=0,"unavailable",INDEX('Market Data'!$AO$5:$AO$66,AH!$U$4)),IF(AH!$U$5=1,INDEX('Live History'!$E$5:$E$3004,MATCH($A1460,'Live History'!$D$5:$D$3004,1)),INDEX('AH History'!$D$5:$GG$1380,$K1460,AH!$U$10+1))),NA()),NA())</f>
        <v/>
      </c>
      <c r="G1460" s="34">
        <f>IFERROR(IF(ISNUMBER($A1460),IF(AND(AH!$U$12=1,1455+1=AH!$U$6),IF(AH!$U$4=0,"unavailable",INDEX('Market Data'!$AK$5:$AK$66,AH!$U$4)),IF(AH!$U$5=1,INDEX('Live History'!$D$5:$D$3004,MATCH($A1460,'Live History'!$D$5:$D$3004,1)),INDEX('AH History'!$D$5:$GG$1380,$K1460,AH!$U$10+2))),NA()),NA())</f>
        <v/>
      </c>
      <c r="H1460" s="266">
        <f>IFERROR(IF(ISNUMBER($A1460),IF(AND(AH!$U$12=1,1455+1=AH!$U$6),IF(AH!$U$4=0,"unavailable",INDEX('Market Data'!$AP$5:$AP$66,AH!$U$4)),IF(AH!$U$5=1,INDEX('Live History'!$H$5:$H$3004,MATCH($A1460,'Live History'!$G$5:$G$3004,1)),INDEX('AH History'!$B$5:$B$1380,$K1460))),NA()),NA())</f>
        <v/>
      </c>
      <c r="I1460" s="34">
        <f>IFERROR(IF(ISNUMBER($A1460),IF(AND(AH!$U$12=1,1455+1=AH!$U$6),TODAY(),IF(AH!$U$5=1,INDEX('Live History'!$G$5:$G$3004,MATCH($A1460,'Live History'!$G$5:$G$3004,1)),INDEX('AH History'!$C$5:$C$1380,$K1460))),NA()),NA())</f>
        <v/>
      </c>
      <c r="J1460" s="32">
        <f>IFERROR(IF(AND($F1460&gt;0,$H1460&gt;0,$A1460-$G1460&lt;=10,$A1460-$I1460&lt;=5,$G1460&gt;0,$I1460&gt;0),$F1460*$H1460,NA()),NA())</f>
        <v/>
      </c>
      <c r="K1460" s="15">
        <f>IF($A1460="","",IF(AH!$U$5=1,IFERROR(MATCH($A1460,'Live History'!$A$5:$A$3004,0),0),AH!$U$7+1455))</f>
        <v/>
      </c>
      <c r="L1460" s="15">
        <f>IF(ISNUMBER(A1460),TEXT(A1460,"dd-mmm-yy"),"")</f>
        <v/>
      </c>
    </row>
    <row r="1461">
      <c r="A1461" s="14">
        <f>IF(OR(AH!$U$4=0,1456+1&gt;AH!$U$6,AND(AH!$M$5="Bloomberg",AH!$U$5=0)),"",IFERROR(IF(AND(AH!$U$12=1,1456+1=AH!$U$6),TODAY(),IF(AH!$U$5=1,INDEX('Live History'!$A$5:$A$3004,AH!$U$7+1456),INDEX('AH History'!$A$5:$A$1380,AH!$U$7+1456))),""))</f>
        <v/>
      </c>
      <c r="B1461" s="33">
        <f>IFERROR(IF(AH!$U$11=1,NA(),$J1461/$E1461-1),NA())</f>
        <v/>
      </c>
      <c r="C1461" s="269">
        <f>IFERROR(100*$E1461/$E$5,NA())</f>
        <v/>
      </c>
      <c r="D1461" s="269">
        <f>IFERROR(100*$J1461/$J$5,NA())</f>
        <v/>
      </c>
      <c r="E1461" s="32">
        <f>IFERROR(IF(AND(ISNUMBER($A1461),N(IF(AND(AH!$U$12=1,1456+1=AH!$U$6),IF(AH!$U$4=0,"unavailable",INDEX('Market Data'!$AN$5:$AN$66,AH!$U$4)),IF(AH!$U$5=1,INDEX('Live History'!$B$5:$B$3004,$K1461),INDEX('AH History'!$D$5:$GG$1380,$K1461,AH!$U$10))))&gt;0),IF(AND(AH!$U$12=1,1456+1=AH!$U$6),IF(AH!$U$4=0,"unavailable",INDEX('Market Data'!$AN$5:$AN$66,AH!$U$4)),IF(AH!$U$5=1,INDEX('Live History'!$B$5:$B$3004,$K1461),INDEX('AH History'!$D$5:$GG$1380,$K1461,AH!$U$10))),NA()),NA())</f>
        <v/>
      </c>
      <c r="F1461" s="32">
        <f>IFERROR(IF(ISNUMBER($A1461),IF(AND(AH!$U$12=1,1456+1=AH!$U$6),IF(AH!$U$4=0,"unavailable",INDEX('Market Data'!$AO$5:$AO$66,AH!$U$4)),IF(AH!$U$5=1,INDEX('Live History'!$E$5:$E$3004,MATCH($A1461,'Live History'!$D$5:$D$3004,1)),INDEX('AH History'!$D$5:$GG$1380,$K1461,AH!$U$10+1))),NA()),NA())</f>
        <v/>
      </c>
      <c r="G1461" s="34">
        <f>IFERROR(IF(ISNUMBER($A1461),IF(AND(AH!$U$12=1,1456+1=AH!$U$6),IF(AH!$U$4=0,"unavailable",INDEX('Market Data'!$AK$5:$AK$66,AH!$U$4)),IF(AH!$U$5=1,INDEX('Live History'!$D$5:$D$3004,MATCH($A1461,'Live History'!$D$5:$D$3004,1)),INDEX('AH History'!$D$5:$GG$1380,$K1461,AH!$U$10+2))),NA()),NA())</f>
        <v/>
      </c>
      <c r="H1461" s="266">
        <f>IFERROR(IF(ISNUMBER($A1461),IF(AND(AH!$U$12=1,1456+1=AH!$U$6),IF(AH!$U$4=0,"unavailable",INDEX('Market Data'!$AP$5:$AP$66,AH!$U$4)),IF(AH!$U$5=1,INDEX('Live History'!$H$5:$H$3004,MATCH($A1461,'Live History'!$G$5:$G$3004,1)),INDEX('AH History'!$B$5:$B$1380,$K1461))),NA()),NA())</f>
        <v/>
      </c>
      <c r="I1461" s="34">
        <f>IFERROR(IF(ISNUMBER($A1461),IF(AND(AH!$U$12=1,1456+1=AH!$U$6),TODAY(),IF(AH!$U$5=1,INDEX('Live History'!$G$5:$G$3004,MATCH($A1461,'Live History'!$G$5:$G$3004,1)),INDEX('AH History'!$C$5:$C$1380,$K1461))),NA()),NA())</f>
        <v/>
      </c>
      <c r="J1461" s="32">
        <f>IFERROR(IF(AND($F1461&gt;0,$H1461&gt;0,$A1461-$G1461&lt;=10,$A1461-$I1461&lt;=5,$G1461&gt;0,$I1461&gt;0),$F1461*$H1461,NA()),NA())</f>
        <v/>
      </c>
      <c r="K1461" s="15">
        <f>IF($A1461="","",IF(AH!$U$5=1,IFERROR(MATCH($A1461,'Live History'!$A$5:$A$3004,0),0),AH!$U$7+1456))</f>
        <v/>
      </c>
      <c r="L1461" s="15">
        <f>IF(ISNUMBER(A1461),TEXT(A1461,"dd-mmm-yy"),"")</f>
        <v/>
      </c>
    </row>
    <row r="1462">
      <c r="A1462" s="14">
        <f>IF(OR(AH!$U$4=0,1457+1&gt;AH!$U$6,AND(AH!$M$5="Bloomberg",AH!$U$5=0)),"",IFERROR(IF(AND(AH!$U$12=1,1457+1=AH!$U$6),TODAY(),IF(AH!$U$5=1,INDEX('Live History'!$A$5:$A$3004,AH!$U$7+1457),INDEX('AH History'!$A$5:$A$1380,AH!$U$7+1457))),""))</f>
        <v/>
      </c>
      <c r="B1462" s="33">
        <f>IFERROR(IF(AH!$U$11=1,NA(),$J1462/$E1462-1),NA())</f>
        <v/>
      </c>
      <c r="C1462" s="269">
        <f>IFERROR(100*$E1462/$E$5,NA())</f>
        <v/>
      </c>
      <c r="D1462" s="269">
        <f>IFERROR(100*$J1462/$J$5,NA())</f>
        <v/>
      </c>
      <c r="E1462" s="32">
        <f>IFERROR(IF(AND(ISNUMBER($A1462),N(IF(AND(AH!$U$12=1,1457+1=AH!$U$6),IF(AH!$U$4=0,"unavailable",INDEX('Market Data'!$AN$5:$AN$66,AH!$U$4)),IF(AH!$U$5=1,INDEX('Live History'!$B$5:$B$3004,$K1462),INDEX('AH History'!$D$5:$GG$1380,$K1462,AH!$U$10))))&gt;0),IF(AND(AH!$U$12=1,1457+1=AH!$U$6),IF(AH!$U$4=0,"unavailable",INDEX('Market Data'!$AN$5:$AN$66,AH!$U$4)),IF(AH!$U$5=1,INDEX('Live History'!$B$5:$B$3004,$K1462),INDEX('AH History'!$D$5:$GG$1380,$K1462,AH!$U$10))),NA()),NA())</f>
        <v/>
      </c>
      <c r="F1462" s="32">
        <f>IFERROR(IF(ISNUMBER($A1462),IF(AND(AH!$U$12=1,1457+1=AH!$U$6),IF(AH!$U$4=0,"unavailable",INDEX('Market Data'!$AO$5:$AO$66,AH!$U$4)),IF(AH!$U$5=1,INDEX('Live History'!$E$5:$E$3004,MATCH($A1462,'Live History'!$D$5:$D$3004,1)),INDEX('AH History'!$D$5:$GG$1380,$K1462,AH!$U$10+1))),NA()),NA())</f>
        <v/>
      </c>
      <c r="G1462" s="34">
        <f>IFERROR(IF(ISNUMBER($A1462),IF(AND(AH!$U$12=1,1457+1=AH!$U$6),IF(AH!$U$4=0,"unavailable",INDEX('Market Data'!$AK$5:$AK$66,AH!$U$4)),IF(AH!$U$5=1,INDEX('Live History'!$D$5:$D$3004,MATCH($A1462,'Live History'!$D$5:$D$3004,1)),INDEX('AH History'!$D$5:$GG$1380,$K1462,AH!$U$10+2))),NA()),NA())</f>
        <v/>
      </c>
      <c r="H1462" s="266">
        <f>IFERROR(IF(ISNUMBER($A1462),IF(AND(AH!$U$12=1,1457+1=AH!$U$6),IF(AH!$U$4=0,"unavailable",INDEX('Market Data'!$AP$5:$AP$66,AH!$U$4)),IF(AH!$U$5=1,INDEX('Live History'!$H$5:$H$3004,MATCH($A1462,'Live History'!$G$5:$G$3004,1)),INDEX('AH History'!$B$5:$B$1380,$K1462))),NA()),NA())</f>
        <v/>
      </c>
      <c r="I1462" s="34">
        <f>IFERROR(IF(ISNUMBER($A1462),IF(AND(AH!$U$12=1,1457+1=AH!$U$6),TODAY(),IF(AH!$U$5=1,INDEX('Live History'!$G$5:$G$3004,MATCH($A1462,'Live History'!$G$5:$G$3004,1)),INDEX('AH History'!$C$5:$C$1380,$K1462))),NA()),NA())</f>
        <v/>
      </c>
      <c r="J1462" s="32">
        <f>IFERROR(IF(AND($F1462&gt;0,$H1462&gt;0,$A1462-$G1462&lt;=10,$A1462-$I1462&lt;=5,$G1462&gt;0,$I1462&gt;0),$F1462*$H1462,NA()),NA())</f>
        <v/>
      </c>
      <c r="K1462" s="15">
        <f>IF($A1462="","",IF(AH!$U$5=1,IFERROR(MATCH($A1462,'Live History'!$A$5:$A$3004,0),0),AH!$U$7+1457))</f>
        <v/>
      </c>
      <c r="L1462" s="15">
        <f>IF(ISNUMBER(A1462),TEXT(A1462,"dd-mmm-yy"),"")</f>
        <v/>
      </c>
    </row>
    <row r="1463">
      <c r="A1463" s="14">
        <f>IF(OR(AH!$U$4=0,1458+1&gt;AH!$U$6,AND(AH!$M$5="Bloomberg",AH!$U$5=0)),"",IFERROR(IF(AND(AH!$U$12=1,1458+1=AH!$U$6),TODAY(),IF(AH!$U$5=1,INDEX('Live History'!$A$5:$A$3004,AH!$U$7+1458),INDEX('AH History'!$A$5:$A$1380,AH!$U$7+1458))),""))</f>
        <v/>
      </c>
      <c r="B1463" s="33">
        <f>IFERROR(IF(AH!$U$11=1,NA(),$J1463/$E1463-1),NA())</f>
        <v/>
      </c>
      <c r="C1463" s="269">
        <f>IFERROR(100*$E1463/$E$5,NA())</f>
        <v/>
      </c>
      <c r="D1463" s="269">
        <f>IFERROR(100*$J1463/$J$5,NA())</f>
        <v/>
      </c>
      <c r="E1463" s="32">
        <f>IFERROR(IF(AND(ISNUMBER($A1463),N(IF(AND(AH!$U$12=1,1458+1=AH!$U$6),IF(AH!$U$4=0,"unavailable",INDEX('Market Data'!$AN$5:$AN$66,AH!$U$4)),IF(AH!$U$5=1,INDEX('Live History'!$B$5:$B$3004,$K1463),INDEX('AH History'!$D$5:$GG$1380,$K1463,AH!$U$10))))&gt;0),IF(AND(AH!$U$12=1,1458+1=AH!$U$6),IF(AH!$U$4=0,"unavailable",INDEX('Market Data'!$AN$5:$AN$66,AH!$U$4)),IF(AH!$U$5=1,INDEX('Live History'!$B$5:$B$3004,$K1463),INDEX('AH History'!$D$5:$GG$1380,$K1463,AH!$U$10))),NA()),NA())</f>
        <v/>
      </c>
      <c r="F1463" s="32">
        <f>IFERROR(IF(ISNUMBER($A1463),IF(AND(AH!$U$12=1,1458+1=AH!$U$6),IF(AH!$U$4=0,"unavailable",INDEX('Market Data'!$AO$5:$AO$66,AH!$U$4)),IF(AH!$U$5=1,INDEX('Live History'!$E$5:$E$3004,MATCH($A1463,'Live History'!$D$5:$D$3004,1)),INDEX('AH History'!$D$5:$GG$1380,$K1463,AH!$U$10+1))),NA()),NA())</f>
        <v/>
      </c>
      <c r="G1463" s="34">
        <f>IFERROR(IF(ISNUMBER($A1463),IF(AND(AH!$U$12=1,1458+1=AH!$U$6),IF(AH!$U$4=0,"unavailable",INDEX('Market Data'!$AK$5:$AK$66,AH!$U$4)),IF(AH!$U$5=1,INDEX('Live History'!$D$5:$D$3004,MATCH($A1463,'Live History'!$D$5:$D$3004,1)),INDEX('AH History'!$D$5:$GG$1380,$K1463,AH!$U$10+2))),NA()),NA())</f>
        <v/>
      </c>
      <c r="H1463" s="266">
        <f>IFERROR(IF(ISNUMBER($A1463),IF(AND(AH!$U$12=1,1458+1=AH!$U$6),IF(AH!$U$4=0,"unavailable",INDEX('Market Data'!$AP$5:$AP$66,AH!$U$4)),IF(AH!$U$5=1,INDEX('Live History'!$H$5:$H$3004,MATCH($A1463,'Live History'!$G$5:$G$3004,1)),INDEX('AH History'!$B$5:$B$1380,$K1463))),NA()),NA())</f>
        <v/>
      </c>
      <c r="I1463" s="34">
        <f>IFERROR(IF(ISNUMBER($A1463),IF(AND(AH!$U$12=1,1458+1=AH!$U$6),TODAY(),IF(AH!$U$5=1,INDEX('Live History'!$G$5:$G$3004,MATCH($A1463,'Live History'!$G$5:$G$3004,1)),INDEX('AH History'!$C$5:$C$1380,$K1463))),NA()),NA())</f>
        <v/>
      </c>
      <c r="J1463" s="32">
        <f>IFERROR(IF(AND($F1463&gt;0,$H1463&gt;0,$A1463-$G1463&lt;=10,$A1463-$I1463&lt;=5,$G1463&gt;0,$I1463&gt;0),$F1463*$H1463,NA()),NA())</f>
        <v/>
      </c>
      <c r="K1463" s="15">
        <f>IF($A1463="","",IF(AH!$U$5=1,IFERROR(MATCH($A1463,'Live History'!$A$5:$A$3004,0),0),AH!$U$7+1458))</f>
        <v/>
      </c>
      <c r="L1463" s="15">
        <f>IF(ISNUMBER(A1463),TEXT(A1463,"dd-mmm-yy"),"")</f>
        <v/>
      </c>
    </row>
    <row r="1464">
      <c r="A1464" s="14">
        <f>IF(OR(AH!$U$4=0,1459+1&gt;AH!$U$6,AND(AH!$M$5="Bloomberg",AH!$U$5=0)),"",IFERROR(IF(AND(AH!$U$12=1,1459+1=AH!$U$6),TODAY(),IF(AH!$U$5=1,INDEX('Live History'!$A$5:$A$3004,AH!$U$7+1459),INDEX('AH History'!$A$5:$A$1380,AH!$U$7+1459))),""))</f>
        <v/>
      </c>
      <c r="B1464" s="33">
        <f>IFERROR(IF(AH!$U$11=1,NA(),$J1464/$E1464-1),NA())</f>
        <v/>
      </c>
      <c r="C1464" s="269">
        <f>IFERROR(100*$E1464/$E$5,NA())</f>
        <v/>
      </c>
      <c r="D1464" s="269">
        <f>IFERROR(100*$J1464/$J$5,NA())</f>
        <v/>
      </c>
      <c r="E1464" s="32">
        <f>IFERROR(IF(AND(ISNUMBER($A1464),N(IF(AND(AH!$U$12=1,1459+1=AH!$U$6),IF(AH!$U$4=0,"unavailable",INDEX('Market Data'!$AN$5:$AN$66,AH!$U$4)),IF(AH!$U$5=1,INDEX('Live History'!$B$5:$B$3004,$K1464),INDEX('AH History'!$D$5:$GG$1380,$K1464,AH!$U$10))))&gt;0),IF(AND(AH!$U$12=1,1459+1=AH!$U$6),IF(AH!$U$4=0,"unavailable",INDEX('Market Data'!$AN$5:$AN$66,AH!$U$4)),IF(AH!$U$5=1,INDEX('Live History'!$B$5:$B$3004,$K1464),INDEX('AH History'!$D$5:$GG$1380,$K1464,AH!$U$10))),NA()),NA())</f>
        <v/>
      </c>
      <c r="F1464" s="32">
        <f>IFERROR(IF(ISNUMBER($A1464),IF(AND(AH!$U$12=1,1459+1=AH!$U$6),IF(AH!$U$4=0,"unavailable",INDEX('Market Data'!$AO$5:$AO$66,AH!$U$4)),IF(AH!$U$5=1,INDEX('Live History'!$E$5:$E$3004,MATCH($A1464,'Live History'!$D$5:$D$3004,1)),INDEX('AH History'!$D$5:$GG$1380,$K1464,AH!$U$10+1))),NA()),NA())</f>
        <v/>
      </c>
      <c r="G1464" s="34">
        <f>IFERROR(IF(ISNUMBER($A1464),IF(AND(AH!$U$12=1,1459+1=AH!$U$6),IF(AH!$U$4=0,"unavailable",INDEX('Market Data'!$AK$5:$AK$66,AH!$U$4)),IF(AH!$U$5=1,INDEX('Live History'!$D$5:$D$3004,MATCH($A1464,'Live History'!$D$5:$D$3004,1)),INDEX('AH History'!$D$5:$GG$1380,$K1464,AH!$U$10+2))),NA()),NA())</f>
        <v/>
      </c>
      <c r="H1464" s="266">
        <f>IFERROR(IF(ISNUMBER($A1464),IF(AND(AH!$U$12=1,1459+1=AH!$U$6),IF(AH!$U$4=0,"unavailable",INDEX('Market Data'!$AP$5:$AP$66,AH!$U$4)),IF(AH!$U$5=1,INDEX('Live History'!$H$5:$H$3004,MATCH($A1464,'Live History'!$G$5:$G$3004,1)),INDEX('AH History'!$B$5:$B$1380,$K1464))),NA()),NA())</f>
        <v/>
      </c>
      <c r="I1464" s="34">
        <f>IFERROR(IF(ISNUMBER($A1464),IF(AND(AH!$U$12=1,1459+1=AH!$U$6),TODAY(),IF(AH!$U$5=1,INDEX('Live History'!$G$5:$G$3004,MATCH($A1464,'Live History'!$G$5:$G$3004,1)),INDEX('AH History'!$C$5:$C$1380,$K1464))),NA()),NA())</f>
        <v/>
      </c>
      <c r="J1464" s="32">
        <f>IFERROR(IF(AND($F1464&gt;0,$H1464&gt;0,$A1464-$G1464&lt;=10,$A1464-$I1464&lt;=5,$G1464&gt;0,$I1464&gt;0),$F1464*$H1464,NA()),NA())</f>
        <v/>
      </c>
      <c r="K1464" s="15">
        <f>IF($A1464="","",IF(AH!$U$5=1,IFERROR(MATCH($A1464,'Live History'!$A$5:$A$3004,0),0),AH!$U$7+1459))</f>
        <v/>
      </c>
      <c r="L1464" s="15">
        <f>IF(ISNUMBER(A1464),TEXT(A1464,"dd-mmm-yy"),"")</f>
        <v/>
      </c>
    </row>
    <row r="1465">
      <c r="A1465" s="14">
        <f>IF(OR(AH!$U$4=0,1460+1&gt;AH!$U$6,AND(AH!$M$5="Bloomberg",AH!$U$5=0)),"",IFERROR(IF(AND(AH!$U$12=1,1460+1=AH!$U$6),TODAY(),IF(AH!$U$5=1,INDEX('Live History'!$A$5:$A$3004,AH!$U$7+1460),INDEX('AH History'!$A$5:$A$1380,AH!$U$7+1460))),""))</f>
        <v/>
      </c>
      <c r="B1465" s="33">
        <f>IFERROR(IF(AH!$U$11=1,NA(),$J1465/$E1465-1),NA())</f>
        <v/>
      </c>
      <c r="C1465" s="269">
        <f>IFERROR(100*$E1465/$E$5,NA())</f>
        <v/>
      </c>
      <c r="D1465" s="269">
        <f>IFERROR(100*$J1465/$J$5,NA())</f>
        <v/>
      </c>
      <c r="E1465" s="32">
        <f>IFERROR(IF(AND(ISNUMBER($A1465),N(IF(AND(AH!$U$12=1,1460+1=AH!$U$6),IF(AH!$U$4=0,"unavailable",INDEX('Market Data'!$AN$5:$AN$66,AH!$U$4)),IF(AH!$U$5=1,INDEX('Live History'!$B$5:$B$3004,$K1465),INDEX('AH History'!$D$5:$GG$1380,$K1465,AH!$U$10))))&gt;0),IF(AND(AH!$U$12=1,1460+1=AH!$U$6),IF(AH!$U$4=0,"unavailable",INDEX('Market Data'!$AN$5:$AN$66,AH!$U$4)),IF(AH!$U$5=1,INDEX('Live History'!$B$5:$B$3004,$K1465),INDEX('AH History'!$D$5:$GG$1380,$K1465,AH!$U$10))),NA()),NA())</f>
        <v/>
      </c>
      <c r="F1465" s="32">
        <f>IFERROR(IF(ISNUMBER($A1465),IF(AND(AH!$U$12=1,1460+1=AH!$U$6),IF(AH!$U$4=0,"unavailable",INDEX('Market Data'!$AO$5:$AO$66,AH!$U$4)),IF(AH!$U$5=1,INDEX('Live History'!$E$5:$E$3004,MATCH($A1465,'Live History'!$D$5:$D$3004,1)),INDEX('AH History'!$D$5:$GG$1380,$K1465,AH!$U$10+1))),NA()),NA())</f>
        <v/>
      </c>
      <c r="G1465" s="34">
        <f>IFERROR(IF(ISNUMBER($A1465),IF(AND(AH!$U$12=1,1460+1=AH!$U$6),IF(AH!$U$4=0,"unavailable",INDEX('Market Data'!$AK$5:$AK$66,AH!$U$4)),IF(AH!$U$5=1,INDEX('Live History'!$D$5:$D$3004,MATCH($A1465,'Live History'!$D$5:$D$3004,1)),INDEX('AH History'!$D$5:$GG$1380,$K1465,AH!$U$10+2))),NA()),NA())</f>
        <v/>
      </c>
      <c r="H1465" s="266">
        <f>IFERROR(IF(ISNUMBER($A1465),IF(AND(AH!$U$12=1,1460+1=AH!$U$6),IF(AH!$U$4=0,"unavailable",INDEX('Market Data'!$AP$5:$AP$66,AH!$U$4)),IF(AH!$U$5=1,INDEX('Live History'!$H$5:$H$3004,MATCH($A1465,'Live History'!$G$5:$G$3004,1)),INDEX('AH History'!$B$5:$B$1380,$K1465))),NA()),NA())</f>
        <v/>
      </c>
      <c r="I1465" s="34">
        <f>IFERROR(IF(ISNUMBER($A1465),IF(AND(AH!$U$12=1,1460+1=AH!$U$6),TODAY(),IF(AH!$U$5=1,INDEX('Live History'!$G$5:$G$3004,MATCH($A1465,'Live History'!$G$5:$G$3004,1)),INDEX('AH History'!$C$5:$C$1380,$K1465))),NA()),NA())</f>
        <v/>
      </c>
      <c r="J1465" s="32">
        <f>IFERROR(IF(AND($F1465&gt;0,$H1465&gt;0,$A1465-$G1465&lt;=10,$A1465-$I1465&lt;=5,$G1465&gt;0,$I1465&gt;0),$F1465*$H1465,NA()),NA())</f>
        <v/>
      </c>
      <c r="K1465" s="15">
        <f>IF($A1465="","",IF(AH!$U$5=1,IFERROR(MATCH($A1465,'Live History'!$A$5:$A$3004,0),0),AH!$U$7+1460))</f>
        <v/>
      </c>
      <c r="L1465" s="15">
        <f>IF(ISNUMBER(A1465),TEXT(A1465,"dd-mmm-yy"),"")</f>
        <v/>
      </c>
    </row>
    <row r="1466">
      <c r="A1466" s="14">
        <f>IF(OR(AH!$U$4=0,1461+1&gt;AH!$U$6,AND(AH!$M$5="Bloomberg",AH!$U$5=0)),"",IFERROR(IF(AND(AH!$U$12=1,1461+1=AH!$U$6),TODAY(),IF(AH!$U$5=1,INDEX('Live History'!$A$5:$A$3004,AH!$U$7+1461),INDEX('AH History'!$A$5:$A$1380,AH!$U$7+1461))),""))</f>
        <v/>
      </c>
      <c r="B1466" s="33">
        <f>IFERROR(IF(AH!$U$11=1,NA(),$J1466/$E1466-1),NA())</f>
        <v/>
      </c>
      <c r="C1466" s="269">
        <f>IFERROR(100*$E1466/$E$5,NA())</f>
        <v/>
      </c>
      <c r="D1466" s="269">
        <f>IFERROR(100*$J1466/$J$5,NA())</f>
        <v/>
      </c>
      <c r="E1466" s="32">
        <f>IFERROR(IF(AND(ISNUMBER($A1466),N(IF(AND(AH!$U$12=1,1461+1=AH!$U$6),IF(AH!$U$4=0,"unavailable",INDEX('Market Data'!$AN$5:$AN$66,AH!$U$4)),IF(AH!$U$5=1,INDEX('Live History'!$B$5:$B$3004,$K1466),INDEX('AH History'!$D$5:$GG$1380,$K1466,AH!$U$10))))&gt;0),IF(AND(AH!$U$12=1,1461+1=AH!$U$6),IF(AH!$U$4=0,"unavailable",INDEX('Market Data'!$AN$5:$AN$66,AH!$U$4)),IF(AH!$U$5=1,INDEX('Live History'!$B$5:$B$3004,$K1466),INDEX('AH History'!$D$5:$GG$1380,$K1466,AH!$U$10))),NA()),NA())</f>
        <v/>
      </c>
      <c r="F1466" s="32">
        <f>IFERROR(IF(ISNUMBER($A1466),IF(AND(AH!$U$12=1,1461+1=AH!$U$6),IF(AH!$U$4=0,"unavailable",INDEX('Market Data'!$AO$5:$AO$66,AH!$U$4)),IF(AH!$U$5=1,INDEX('Live History'!$E$5:$E$3004,MATCH($A1466,'Live History'!$D$5:$D$3004,1)),INDEX('AH History'!$D$5:$GG$1380,$K1466,AH!$U$10+1))),NA()),NA())</f>
        <v/>
      </c>
      <c r="G1466" s="34">
        <f>IFERROR(IF(ISNUMBER($A1466),IF(AND(AH!$U$12=1,1461+1=AH!$U$6),IF(AH!$U$4=0,"unavailable",INDEX('Market Data'!$AK$5:$AK$66,AH!$U$4)),IF(AH!$U$5=1,INDEX('Live History'!$D$5:$D$3004,MATCH($A1466,'Live History'!$D$5:$D$3004,1)),INDEX('AH History'!$D$5:$GG$1380,$K1466,AH!$U$10+2))),NA()),NA())</f>
        <v/>
      </c>
      <c r="H1466" s="266">
        <f>IFERROR(IF(ISNUMBER($A1466),IF(AND(AH!$U$12=1,1461+1=AH!$U$6),IF(AH!$U$4=0,"unavailable",INDEX('Market Data'!$AP$5:$AP$66,AH!$U$4)),IF(AH!$U$5=1,INDEX('Live History'!$H$5:$H$3004,MATCH($A1466,'Live History'!$G$5:$G$3004,1)),INDEX('AH History'!$B$5:$B$1380,$K1466))),NA()),NA())</f>
        <v/>
      </c>
      <c r="I1466" s="34">
        <f>IFERROR(IF(ISNUMBER($A1466),IF(AND(AH!$U$12=1,1461+1=AH!$U$6),TODAY(),IF(AH!$U$5=1,INDEX('Live History'!$G$5:$G$3004,MATCH($A1466,'Live History'!$G$5:$G$3004,1)),INDEX('AH History'!$C$5:$C$1380,$K1466))),NA()),NA())</f>
        <v/>
      </c>
      <c r="J1466" s="32">
        <f>IFERROR(IF(AND($F1466&gt;0,$H1466&gt;0,$A1466-$G1466&lt;=10,$A1466-$I1466&lt;=5,$G1466&gt;0,$I1466&gt;0),$F1466*$H1466,NA()),NA())</f>
        <v/>
      </c>
      <c r="K1466" s="15">
        <f>IF($A1466="","",IF(AH!$U$5=1,IFERROR(MATCH($A1466,'Live History'!$A$5:$A$3004,0),0),AH!$U$7+1461))</f>
        <v/>
      </c>
      <c r="L1466" s="15">
        <f>IF(ISNUMBER(A1466),TEXT(A1466,"dd-mmm-yy"),"")</f>
        <v/>
      </c>
    </row>
    <row r="1467">
      <c r="A1467" s="14">
        <f>IF(OR(AH!$U$4=0,1462+1&gt;AH!$U$6,AND(AH!$M$5="Bloomberg",AH!$U$5=0)),"",IFERROR(IF(AND(AH!$U$12=1,1462+1=AH!$U$6),TODAY(),IF(AH!$U$5=1,INDEX('Live History'!$A$5:$A$3004,AH!$U$7+1462),INDEX('AH History'!$A$5:$A$1380,AH!$U$7+1462))),""))</f>
        <v/>
      </c>
      <c r="B1467" s="33">
        <f>IFERROR(IF(AH!$U$11=1,NA(),$J1467/$E1467-1),NA())</f>
        <v/>
      </c>
      <c r="C1467" s="269">
        <f>IFERROR(100*$E1467/$E$5,NA())</f>
        <v/>
      </c>
      <c r="D1467" s="269">
        <f>IFERROR(100*$J1467/$J$5,NA())</f>
        <v/>
      </c>
      <c r="E1467" s="32">
        <f>IFERROR(IF(AND(ISNUMBER($A1467),N(IF(AND(AH!$U$12=1,1462+1=AH!$U$6),IF(AH!$U$4=0,"unavailable",INDEX('Market Data'!$AN$5:$AN$66,AH!$U$4)),IF(AH!$U$5=1,INDEX('Live History'!$B$5:$B$3004,$K1467),INDEX('AH History'!$D$5:$GG$1380,$K1467,AH!$U$10))))&gt;0),IF(AND(AH!$U$12=1,1462+1=AH!$U$6),IF(AH!$U$4=0,"unavailable",INDEX('Market Data'!$AN$5:$AN$66,AH!$U$4)),IF(AH!$U$5=1,INDEX('Live History'!$B$5:$B$3004,$K1467),INDEX('AH History'!$D$5:$GG$1380,$K1467,AH!$U$10))),NA()),NA())</f>
        <v/>
      </c>
      <c r="F1467" s="32">
        <f>IFERROR(IF(ISNUMBER($A1467),IF(AND(AH!$U$12=1,1462+1=AH!$U$6),IF(AH!$U$4=0,"unavailable",INDEX('Market Data'!$AO$5:$AO$66,AH!$U$4)),IF(AH!$U$5=1,INDEX('Live History'!$E$5:$E$3004,MATCH($A1467,'Live History'!$D$5:$D$3004,1)),INDEX('AH History'!$D$5:$GG$1380,$K1467,AH!$U$10+1))),NA()),NA())</f>
        <v/>
      </c>
      <c r="G1467" s="34">
        <f>IFERROR(IF(ISNUMBER($A1467),IF(AND(AH!$U$12=1,1462+1=AH!$U$6),IF(AH!$U$4=0,"unavailable",INDEX('Market Data'!$AK$5:$AK$66,AH!$U$4)),IF(AH!$U$5=1,INDEX('Live History'!$D$5:$D$3004,MATCH($A1467,'Live History'!$D$5:$D$3004,1)),INDEX('AH History'!$D$5:$GG$1380,$K1467,AH!$U$10+2))),NA()),NA())</f>
        <v/>
      </c>
      <c r="H1467" s="266">
        <f>IFERROR(IF(ISNUMBER($A1467),IF(AND(AH!$U$12=1,1462+1=AH!$U$6),IF(AH!$U$4=0,"unavailable",INDEX('Market Data'!$AP$5:$AP$66,AH!$U$4)),IF(AH!$U$5=1,INDEX('Live History'!$H$5:$H$3004,MATCH($A1467,'Live History'!$G$5:$G$3004,1)),INDEX('AH History'!$B$5:$B$1380,$K1467))),NA()),NA())</f>
        <v/>
      </c>
      <c r="I1467" s="34">
        <f>IFERROR(IF(ISNUMBER($A1467),IF(AND(AH!$U$12=1,1462+1=AH!$U$6),TODAY(),IF(AH!$U$5=1,INDEX('Live History'!$G$5:$G$3004,MATCH($A1467,'Live History'!$G$5:$G$3004,1)),INDEX('AH History'!$C$5:$C$1380,$K1467))),NA()),NA())</f>
        <v/>
      </c>
      <c r="J1467" s="32">
        <f>IFERROR(IF(AND($F1467&gt;0,$H1467&gt;0,$A1467-$G1467&lt;=10,$A1467-$I1467&lt;=5,$G1467&gt;0,$I1467&gt;0),$F1467*$H1467,NA()),NA())</f>
        <v/>
      </c>
      <c r="K1467" s="15">
        <f>IF($A1467="","",IF(AH!$U$5=1,IFERROR(MATCH($A1467,'Live History'!$A$5:$A$3004,0),0),AH!$U$7+1462))</f>
        <v/>
      </c>
      <c r="L1467" s="15">
        <f>IF(ISNUMBER(A1467),TEXT(A1467,"dd-mmm-yy"),"")</f>
        <v/>
      </c>
    </row>
    <row r="1468">
      <c r="A1468" s="14">
        <f>IF(OR(AH!$U$4=0,1463+1&gt;AH!$U$6,AND(AH!$M$5="Bloomberg",AH!$U$5=0)),"",IFERROR(IF(AND(AH!$U$12=1,1463+1=AH!$U$6),TODAY(),IF(AH!$U$5=1,INDEX('Live History'!$A$5:$A$3004,AH!$U$7+1463),INDEX('AH History'!$A$5:$A$1380,AH!$U$7+1463))),""))</f>
        <v/>
      </c>
      <c r="B1468" s="33">
        <f>IFERROR(IF(AH!$U$11=1,NA(),$J1468/$E1468-1),NA())</f>
        <v/>
      </c>
      <c r="C1468" s="269">
        <f>IFERROR(100*$E1468/$E$5,NA())</f>
        <v/>
      </c>
      <c r="D1468" s="269">
        <f>IFERROR(100*$J1468/$J$5,NA())</f>
        <v/>
      </c>
      <c r="E1468" s="32">
        <f>IFERROR(IF(AND(ISNUMBER($A1468),N(IF(AND(AH!$U$12=1,1463+1=AH!$U$6),IF(AH!$U$4=0,"unavailable",INDEX('Market Data'!$AN$5:$AN$66,AH!$U$4)),IF(AH!$U$5=1,INDEX('Live History'!$B$5:$B$3004,$K1468),INDEX('AH History'!$D$5:$GG$1380,$K1468,AH!$U$10))))&gt;0),IF(AND(AH!$U$12=1,1463+1=AH!$U$6),IF(AH!$U$4=0,"unavailable",INDEX('Market Data'!$AN$5:$AN$66,AH!$U$4)),IF(AH!$U$5=1,INDEX('Live History'!$B$5:$B$3004,$K1468),INDEX('AH History'!$D$5:$GG$1380,$K1468,AH!$U$10))),NA()),NA())</f>
        <v/>
      </c>
      <c r="F1468" s="32">
        <f>IFERROR(IF(ISNUMBER($A1468),IF(AND(AH!$U$12=1,1463+1=AH!$U$6),IF(AH!$U$4=0,"unavailable",INDEX('Market Data'!$AO$5:$AO$66,AH!$U$4)),IF(AH!$U$5=1,INDEX('Live History'!$E$5:$E$3004,MATCH($A1468,'Live History'!$D$5:$D$3004,1)),INDEX('AH History'!$D$5:$GG$1380,$K1468,AH!$U$10+1))),NA()),NA())</f>
        <v/>
      </c>
      <c r="G1468" s="34">
        <f>IFERROR(IF(ISNUMBER($A1468),IF(AND(AH!$U$12=1,1463+1=AH!$U$6),IF(AH!$U$4=0,"unavailable",INDEX('Market Data'!$AK$5:$AK$66,AH!$U$4)),IF(AH!$U$5=1,INDEX('Live History'!$D$5:$D$3004,MATCH($A1468,'Live History'!$D$5:$D$3004,1)),INDEX('AH History'!$D$5:$GG$1380,$K1468,AH!$U$10+2))),NA()),NA())</f>
        <v/>
      </c>
      <c r="H1468" s="266">
        <f>IFERROR(IF(ISNUMBER($A1468),IF(AND(AH!$U$12=1,1463+1=AH!$U$6),IF(AH!$U$4=0,"unavailable",INDEX('Market Data'!$AP$5:$AP$66,AH!$U$4)),IF(AH!$U$5=1,INDEX('Live History'!$H$5:$H$3004,MATCH($A1468,'Live History'!$G$5:$G$3004,1)),INDEX('AH History'!$B$5:$B$1380,$K1468))),NA()),NA())</f>
        <v/>
      </c>
      <c r="I1468" s="34">
        <f>IFERROR(IF(ISNUMBER($A1468),IF(AND(AH!$U$12=1,1463+1=AH!$U$6),TODAY(),IF(AH!$U$5=1,INDEX('Live History'!$G$5:$G$3004,MATCH($A1468,'Live History'!$G$5:$G$3004,1)),INDEX('AH History'!$C$5:$C$1380,$K1468))),NA()),NA())</f>
        <v/>
      </c>
      <c r="J1468" s="32">
        <f>IFERROR(IF(AND($F1468&gt;0,$H1468&gt;0,$A1468-$G1468&lt;=10,$A1468-$I1468&lt;=5,$G1468&gt;0,$I1468&gt;0),$F1468*$H1468,NA()),NA())</f>
        <v/>
      </c>
      <c r="K1468" s="15">
        <f>IF($A1468="","",IF(AH!$U$5=1,IFERROR(MATCH($A1468,'Live History'!$A$5:$A$3004,0),0),AH!$U$7+1463))</f>
        <v/>
      </c>
      <c r="L1468" s="15">
        <f>IF(ISNUMBER(A1468),TEXT(A1468,"dd-mmm-yy"),"")</f>
        <v/>
      </c>
    </row>
    <row r="1469">
      <c r="A1469" s="14">
        <f>IF(OR(AH!$U$4=0,1464+1&gt;AH!$U$6,AND(AH!$M$5="Bloomberg",AH!$U$5=0)),"",IFERROR(IF(AND(AH!$U$12=1,1464+1=AH!$U$6),TODAY(),IF(AH!$U$5=1,INDEX('Live History'!$A$5:$A$3004,AH!$U$7+1464),INDEX('AH History'!$A$5:$A$1380,AH!$U$7+1464))),""))</f>
        <v/>
      </c>
      <c r="B1469" s="33">
        <f>IFERROR(IF(AH!$U$11=1,NA(),$J1469/$E1469-1),NA())</f>
        <v/>
      </c>
      <c r="C1469" s="269">
        <f>IFERROR(100*$E1469/$E$5,NA())</f>
        <v/>
      </c>
      <c r="D1469" s="269">
        <f>IFERROR(100*$J1469/$J$5,NA())</f>
        <v/>
      </c>
      <c r="E1469" s="32">
        <f>IFERROR(IF(AND(ISNUMBER($A1469),N(IF(AND(AH!$U$12=1,1464+1=AH!$U$6),IF(AH!$U$4=0,"unavailable",INDEX('Market Data'!$AN$5:$AN$66,AH!$U$4)),IF(AH!$U$5=1,INDEX('Live History'!$B$5:$B$3004,$K1469),INDEX('AH History'!$D$5:$GG$1380,$K1469,AH!$U$10))))&gt;0),IF(AND(AH!$U$12=1,1464+1=AH!$U$6),IF(AH!$U$4=0,"unavailable",INDEX('Market Data'!$AN$5:$AN$66,AH!$U$4)),IF(AH!$U$5=1,INDEX('Live History'!$B$5:$B$3004,$K1469),INDEX('AH History'!$D$5:$GG$1380,$K1469,AH!$U$10))),NA()),NA())</f>
        <v/>
      </c>
      <c r="F1469" s="32">
        <f>IFERROR(IF(ISNUMBER($A1469),IF(AND(AH!$U$12=1,1464+1=AH!$U$6),IF(AH!$U$4=0,"unavailable",INDEX('Market Data'!$AO$5:$AO$66,AH!$U$4)),IF(AH!$U$5=1,INDEX('Live History'!$E$5:$E$3004,MATCH($A1469,'Live History'!$D$5:$D$3004,1)),INDEX('AH History'!$D$5:$GG$1380,$K1469,AH!$U$10+1))),NA()),NA())</f>
        <v/>
      </c>
      <c r="G1469" s="34">
        <f>IFERROR(IF(ISNUMBER($A1469),IF(AND(AH!$U$12=1,1464+1=AH!$U$6),IF(AH!$U$4=0,"unavailable",INDEX('Market Data'!$AK$5:$AK$66,AH!$U$4)),IF(AH!$U$5=1,INDEX('Live History'!$D$5:$D$3004,MATCH($A1469,'Live History'!$D$5:$D$3004,1)),INDEX('AH History'!$D$5:$GG$1380,$K1469,AH!$U$10+2))),NA()),NA())</f>
        <v/>
      </c>
      <c r="H1469" s="266">
        <f>IFERROR(IF(ISNUMBER($A1469),IF(AND(AH!$U$12=1,1464+1=AH!$U$6),IF(AH!$U$4=0,"unavailable",INDEX('Market Data'!$AP$5:$AP$66,AH!$U$4)),IF(AH!$U$5=1,INDEX('Live History'!$H$5:$H$3004,MATCH($A1469,'Live History'!$G$5:$G$3004,1)),INDEX('AH History'!$B$5:$B$1380,$K1469))),NA()),NA())</f>
        <v/>
      </c>
      <c r="I1469" s="34">
        <f>IFERROR(IF(ISNUMBER($A1469),IF(AND(AH!$U$12=1,1464+1=AH!$U$6),TODAY(),IF(AH!$U$5=1,INDEX('Live History'!$G$5:$G$3004,MATCH($A1469,'Live History'!$G$5:$G$3004,1)),INDEX('AH History'!$C$5:$C$1380,$K1469))),NA()),NA())</f>
        <v/>
      </c>
      <c r="J1469" s="32">
        <f>IFERROR(IF(AND($F1469&gt;0,$H1469&gt;0,$A1469-$G1469&lt;=10,$A1469-$I1469&lt;=5,$G1469&gt;0,$I1469&gt;0),$F1469*$H1469,NA()),NA())</f>
        <v/>
      </c>
      <c r="K1469" s="15">
        <f>IF($A1469="","",IF(AH!$U$5=1,IFERROR(MATCH($A1469,'Live History'!$A$5:$A$3004,0),0),AH!$U$7+1464))</f>
        <v/>
      </c>
      <c r="L1469" s="15">
        <f>IF(ISNUMBER(A1469),TEXT(A1469,"dd-mmm-yy"),"")</f>
        <v/>
      </c>
    </row>
    <row r="1470">
      <c r="A1470" s="14">
        <f>IF(OR(AH!$U$4=0,1465+1&gt;AH!$U$6,AND(AH!$M$5="Bloomberg",AH!$U$5=0)),"",IFERROR(IF(AND(AH!$U$12=1,1465+1=AH!$U$6),TODAY(),IF(AH!$U$5=1,INDEX('Live History'!$A$5:$A$3004,AH!$U$7+1465),INDEX('AH History'!$A$5:$A$1380,AH!$U$7+1465))),""))</f>
        <v/>
      </c>
      <c r="B1470" s="33">
        <f>IFERROR(IF(AH!$U$11=1,NA(),$J1470/$E1470-1),NA())</f>
        <v/>
      </c>
      <c r="C1470" s="269">
        <f>IFERROR(100*$E1470/$E$5,NA())</f>
        <v/>
      </c>
      <c r="D1470" s="269">
        <f>IFERROR(100*$J1470/$J$5,NA())</f>
        <v/>
      </c>
      <c r="E1470" s="32">
        <f>IFERROR(IF(AND(ISNUMBER($A1470),N(IF(AND(AH!$U$12=1,1465+1=AH!$U$6),IF(AH!$U$4=0,"unavailable",INDEX('Market Data'!$AN$5:$AN$66,AH!$U$4)),IF(AH!$U$5=1,INDEX('Live History'!$B$5:$B$3004,$K1470),INDEX('AH History'!$D$5:$GG$1380,$K1470,AH!$U$10))))&gt;0),IF(AND(AH!$U$12=1,1465+1=AH!$U$6),IF(AH!$U$4=0,"unavailable",INDEX('Market Data'!$AN$5:$AN$66,AH!$U$4)),IF(AH!$U$5=1,INDEX('Live History'!$B$5:$B$3004,$K1470),INDEX('AH History'!$D$5:$GG$1380,$K1470,AH!$U$10))),NA()),NA())</f>
        <v/>
      </c>
      <c r="F1470" s="32">
        <f>IFERROR(IF(ISNUMBER($A1470),IF(AND(AH!$U$12=1,1465+1=AH!$U$6),IF(AH!$U$4=0,"unavailable",INDEX('Market Data'!$AO$5:$AO$66,AH!$U$4)),IF(AH!$U$5=1,INDEX('Live History'!$E$5:$E$3004,MATCH($A1470,'Live History'!$D$5:$D$3004,1)),INDEX('AH History'!$D$5:$GG$1380,$K1470,AH!$U$10+1))),NA()),NA())</f>
        <v/>
      </c>
      <c r="G1470" s="34">
        <f>IFERROR(IF(ISNUMBER($A1470),IF(AND(AH!$U$12=1,1465+1=AH!$U$6),IF(AH!$U$4=0,"unavailable",INDEX('Market Data'!$AK$5:$AK$66,AH!$U$4)),IF(AH!$U$5=1,INDEX('Live History'!$D$5:$D$3004,MATCH($A1470,'Live History'!$D$5:$D$3004,1)),INDEX('AH History'!$D$5:$GG$1380,$K1470,AH!$U$10+2))),NA()),NA())</f>
        <v/>
      </c>
      <c r="H1470" s="266">
        <f>IFERROR(IF(ISNUMBER($A1470),IF(AND(AH!$U$12=1,1465+1=AH!$U$6),IF(AH!$U$4=0,"unavailable",INDEX('Market Data'!$AP$5:$AP$66,AH!$U$4)),IF(AH!$U$5=1,INDEX('Live History'!$H$5:$H$3004,MATCH($A1470,'Live History'!$G$5:$G$3004,1)),INDEX('AH History'!$B$5:$B$1380,$K1470))),NA()),NA())</f>
        <v/>
      </c>
      <c r="I1470" s="34">
        <f>IFERROR(IF(ISNUMBER($A1470),IF(AND(AH!$U$12=1,1465+1=AH!$U$6),TODAY(),IF(AH!$U$5=1,INDEX('Live History'!$G$5:$G$3004,MATCH($A1470,'Live History'!$G$5:$G$3004,1)),INDEX('AH History'!$C$5:$C$1380,$K1470))),NA()),NA())</f>
        <v/>
      </c>
      <c r="J1470" s="32">
        <f>IFERROR(IF(AND($F1470&gt;0,$H1470&gt;0,$A1470-$G1470&lt;=10,$A1470-$I1470&lt;=5,$G1470&gt;0,$I1470&gt;0),$F1470*$H1470,NA()),NA())</f>
        <v/>
      </c>
      <c r="K1470" s="15">
        <f>IF($A1470="","",IF(AH!$U$5=1,IFERROR(MATCH($A1470,'Live History'!$A$5:$A$3004,0),0),AH!$U$7+1465))</f>
        <v/>
      </c>
      <c r="L1470" s="15">
        <f>IF(ISNUMBER(A1470),TEXT(A1470,"dd-mmm-yy"),"")</f>
        <v/>
      </c>
    </row>
    <row r="1471">
      <c r="A1471" s="14">
        <f>IF(OR(AH!$U$4=0,1466+1&gt;AH!$U$6,AND(AH!$M$5="Bloomberg",AH!$U$5=0)),"",IFERROR(IF(AND(AH!$U$12=1,1466+1=AH!$U$6),TODAY(),IF(AH!$U$5=1,INDEX('Live History'!$A$5:$A$3004,AH!$U$7+1466),INDEX('AH History'!$A$5:$A$1380,AH!$U$7+1466))),""))</f>
        <v/>
      </c>
      <c r="B1471" s="33">
        <f>IFERROR(IF(AH!$U$11=1,NA(),$J1471/$E1471-1),NA())</f>
        <v/>
      </c>
      <c r="C1471" s="269">
        <f>IFERROR(100*$E1471/$E$5,NA())</f>
        <v/>
      </c>
      <c r="D1471" s="269">
        <f>IFERROR(100*$J1471/$J$5,NA())</f>
        <v/>
      </c>
      <c r="E1471" s="32">
        <f>IFERROR(IF(AND(ISNUMBER($A1471),N(IF(AND(AH!$U$12=1,1466+1=AH!$U$6),IF(AH!$U$4=0,"unavailable",INDEX('Market Data'!$AN$5:$AN$66,AH!$U$4)),IF(AH!$U$5=1,INDEX('Live History'!$B$5:$B$3004,$K1471),INDEX('AH History'!$D$5:$GG$1380,$K1471,AH!$U$10))))&gt;0),IF(AND(AH!$U$12=1,1466+1=AH!$U$6),IF(AH!$U$4=0,"unavailable",INDEX('Market Data'!$AN$5:$AN$66,AH!$U$4)),IF(AH!$U$5=1,INDEX('Live History'!$B$5:$B$3004,$K1471),INDEX('AH History'!$D$5:$GG$1380,$K1471,AH!$U$10))),NA()),NA())</f>
        <v/>
      </c>
      <c r="F1471" s="32">
        <f>IFERROR(IF(ISNUMBER($A1471),IF(AND(AH!$U$12=1,1466+1=AH!$U$6),IF(AH!$U$4=0,"unavailable",INDEX('Market Data'!$AO$5:$AO$66,AH!$U$4)),IF(AH!$U$5=1,INDEX('Live History'!$E$5:$E$3004,MATCH($A1471,'Live History'!$D$5:$D$3004,1)),INDEX('AH History'!$D$5:$GG$1380,$K1471,AH!$U$10+1))),NA()),NA())</f>
        <v/>
      </c>
      <c r="G1471" s="34">
        <f>IFERROR(IF(ISNUMBER($A1471),IF(AND(AH!$U$12=1,1466+1=AH!$U$6),IF(AH!$U$4=0,"unavailable",INDEX('Market Data'!$AK$5:$AK$66,AH!$U$4)),IF(AH!$U$5=1,INDEX('Live History'!$D$5:$D$3004,MATCH($A1471,'Live History'!$D$5:$D$3004,1)),INDEX('AH History'!$D$5:$GG$1380,$K1471,AH!$U$10+2))),NA()),NA())</f>
        <v/>
      </c>
      <c r="H1471" s="266">
        <f>IFERROR(IF(ISNUMBER($A1471),IF(AND(AH!$U$12=1,1466+1=AH!$U$6),IF(AH!$U$4=0,"unavailable",INDEX('Market Data'!$AP$5:$AP$66,AH!$U$4)),IF(AH!$U$5=1,INDEX('Live History'!$H$5:$H$3004,MATCH($A1471,'Live History'!$G$5:$G$3004,1)),INDEX('AH History'!$B$5:$B$1380,$K1471))),NA()),NA())</f>
        <v/>
      </c>
      <c r="I1471" s="34">
        <f>IFERROR(IF(ISNUMBER($A1471),IF(AND(AH!$U$12=1,1466+1=AH!$U$6),TODAY(),IF(AH!$U$5=1,INDEX('Live History'!$G$5:$G$3004,MATCH($A1471,'Live History'!$G$5:$G$3004,1)),INDEX('AH History'!$C$5:$C$1380,$K1471))),NA()),NA())</f>
        <v/>
      </c>
      <c r="J1471" s="32">
        <f>IFERROR(IF(AND($F1471&gt;0,$H1471&gt;0,$A1471-$G1471&lt;=10,$A1471-$I1471&lt;=5,$G1471&gt;0,$I1471&gt;0),$F1471*$H1471,NA()),NA())</f>
        <v/>
      </c>
      <c r="K1471" s="15">
        <f>IF($A1471="","",IF(AH!$U$5=1,IFERROR(MATCH($A1471,'Live History'!$A$5:$A$3004,0),0),AH!$U$7+1466))</f>
        <v/>
      </c>
      <c r="L1471" s="15">
        <f>IF(ISNUMBER(A1471),TEXT(A1471,"dd-mmm-yy"),"")</f>
        <v/>
      </c>
    </row>
    <row r="1472">
      <c r="A1472" s="14">
        <f>IF(OR(AH!$U$4=0,1467+1&gt;AH!$U$6,AND(AH!$M$5="Bloomberg",AH!$U$5=0)),"",IFERROR(IF(AND(AH!$U$12=1,1467+1=AH!$U$6),TODAY(),IF(AH!$U$5=1,INDEX('Live History'!$A$5:$A$3004,AH!$U$7+1467),INDEX('AH History'!$A$5:$A$1380,AH!$U$7+1467))),""))</f>
        <v/>
      </c>
      <c r="B1472" s="33">
        <f>IFERROR(IF(AH!$U$11=1,NA(),$J1472/$E1472-1),NA())</f>
        <v/>
      </c>
      <c r="C1472" s="269">
        <f>IFERROR(100*$E1472/$E$5,NA())</f>
        <v/>
      </c>
      <c r="D1472" s="269">
        <f>IFERROR(100*$J1472/$J$5,NA())</f>
        <v/>
      </c>
      <c r="E1472" s="32">
        <f>IFERROR(IF(AND(ISNUMBER($A1472),N(IF(AND(AH!$U$12=1,1467+1=AH!$U$6),IF(AH!$U$4=0,"unavailable",INDEX('Market Data'!$AN$5:$AN$66,AH!$U$4)),IF(AH!$U$5=1,INDEX('Live History'!$B$5:$B$3004,$K1472),INDEX('AH History'!$D$5:$GG$1380,$K1472,AH!$U$10))))&gt;0),IF(AND(AH!$U$12=1,1467+1=AH!$U$6),IF(AH!$U$4=0,"unavailable",INDEX('Market Data'!$AN$5:$AN$66,AH!$U$4)),IF(AH!$U$5=1,INDEX('Live History'!$B$5:$B$3004,$K1472),INDEX('AH History'!$D$5:$GG$1380,$K1472,AH!$U$10))),NA()),NA())</f>
        <v/>
      </c>
      <c r="F1472" s="32">
        <f>IFERROR(IF(ISNUMBER($A1472),IF(AND(AH!$U$12=1,1467+1=AH!$U$6),IF(AH!$U$4=0,"unavailable",INDEX('Market Data'!$AO$5:$AO$66,AH!$U$4)),IF(AH!$U$5=1,INDEX('Live History'!$E$5:$E$3004,MATCH($A1472,'Live History'!$D$5:$D$3004,1)),INDEX('AH History'!$D$5:$GG$1380,$K1472,AH!$U$10+1))),NA()),NA())</f>
        <v/>
      </c>
      <c r="G1472" s="34">
        <f>IFERROR(IF(ISNUMBER($A1472),IF(AND(AH!$U$12=1,1467+1=AH!$U$6),IF(AH!$U$4=0,"unavailable",INDEX('Market Data'!$AK$5:$AK$66,AH!$U$4)),IF(AH!$U$5=1,INDEX('Live History'!$D$5:$D$3004,MATCH($A1472,'Live History'!$D$5:$D$3004,1)),INDEX('AH History'!$D$5:$GG$1380,$K1472,AH!$U$10+2))),NA()),NA())</f>
        <v/>
      </c>
      <c r="H1472" s="266">
        <f>IFERROR(IF(ISNUMBER($A1472),IF(AND(AH!$U$12=1,1467+1=AH!$U$6),IF(AH!$U$4=0,"unavailable",INDEX('Market Data'!$AP$5:$AP$66,AH!$U$4)),IF(AH!$U$5=1,INDEX('Live History'!$H$5:$H$3004,MATCH($A1472,'Live History'!$G$5:$G$3004,1)),INDEX('AH History'!$B$5:$B$1380,$K1472))),NA()),NA())</f>
        <v/>
      </c>
      <c r="I1472" s="34">
        <f>IFERROR(IF(ISNUMBER($A1472),IF(AND(AH!$U$12=1,1467+1=AH!$U$6),TODAY(),IF(AH!$U$5=1,INDEX('Live History'!$G$5:$G$3004,MATCH($A1472,'Live History'!$G$5:$G$3004,1)),INDEX('AH History'!$C$5:$C$1380,$K1472))),NA()),NA())</f>
        <v/>
      </c>
      <c r="J1472" s="32">
        <f>IFERROR(IF(AND($F1472&gt;0,$H1472&gt;0,$A1472-$G1472&lt;=10,$A1472-$I1472&lt;=5,$G1472&gt;0,$I1472&gt;0),$F1472*$H1472,NA()),NA())</f>
        <v/>
      </c>
      <c r="K1472" s="15">
        <f>IF($A1472="","",IF(AH!$U$5=1,IFERROR(MATCH($A1472,'Live History'!$A$5:$A$3004,0),0),AH!$U$7+1467))</f>
        <v/>
      </c>
      <c r="L1472" s="15">
        <f>IF(ISNUMBER(A1472),TEXT(A1472,"dd-mmm-yy"),"")</f>
        <v/>
      </c>
    </row>
    <row r="1473">
      <c r="A1473" s="14">
        <f>IF(OR(AH!$U$4=0,1468+1&gt;AH!$U$6,AND(AH!$M$5="Bloomberg",AH!$U$5=0)),"",IFERROR(IF(AND(AH!$U$12=1,1468+1=AH!$U$6),TODAY(),IF(AH!$U$5=1,INDEX('Live History'!$A$5:$A$3004,AH!$U$7+1468),INDEX('AH History'!$A$5:$A$1380,AH!$U$7+1468))),""))</f>
        <v/>
      </c>
      <c r="B1473" s="33">
        <f>IFERROR(IF(AH!$U$11=1,NA(),$J1473/$E1473-1),NA())</f>
        <v/>
      </c>
      <c r="C1473" s="269">
        <f>IFERROR(100*$E1473/$E$5,NA())</f>
        <v/>
      </c>
      <c r="D1473" s="269">
        <f>IFERROR(100*$J1473/$J$5,NA())</f>
        <v/>
      </c>
      <c r="E1473" s="32">
        <f>IFERROR(IF(AND(ISNUMBER($A1473),N(IF(AND(AH!$U$12=1,1468+1=AH!$U$6),IF(AH!$U$4=0,"unavailable",INDEX('Market Data'!$AN$5:$AN$66,AH!$U$4)),IF(AH!$U$5=1,INDEX('Live History'!$B$5:$B$3004,$K1473),INDEX('AH History'!$D$5:$GG$1380,$K1473,AH!$U$10))))&gt;0),IF(AND(AH!$U$12=1,1468+1=AH!$U$6),IF(AH!$U$4=0,"unavailable",INDEX('Market Data'!$AN$5:$AN$66,AH!$U$4)),IF(AH!$U$5=1,INDEX('Live History'!$B$5:$B$3004,$K1473),INDEX('AH History'!$D$5:$GG$1380,$K1473,AH!$U$10))),NA()),NA())</f>
        <v/>
      </c>
      <c r="F1473" s="32">
        <f>IFERROR(IF(ISNUMBER($A1473),IF(AND(AH!$U$12=1,1468+1=AH!$U$6),IF(AH!$U$4=0,"unavailable",INDEX('Market Data'!$AO$5:$AO$66,AH!$U$4)),IF(AH!$U$5=1,INDEX('Live History'!$E$5:$E$3004,MATCH($A1473,'Live History'!$D$5:$D$3004,1)),INDEX('AH History'!$D$5:$GG$1380,$K1473,AH!$U$10+1))),NA()),NA())</f>
        <v/>
      </c>
      <c r="G1473" s="34">
        <f>IFERROR(IF(ISNUMBER($A1473),IF(AND(AH!$U$12=1,1468+1=AH!$U$6),IF(AH!$U$4=0,"unavailable",INDEX('Market Data'!$AK$5:$AK$66,AH!$U$4)),IF(AH!$U$5=1,INDEX('Live History'!$D$5:$D$3004,MATCH($A1473,'Live History'!$D$5:$D$3004,1)),INDEX('AH History'!$D$5:$GG$1380,$K1473,AH!$U$10+2))),NA()),NA())</f>
        <v/>
      </c>
      <c r="H1473" s="266">
        <f>IFERROR(IF(ISNUMBER($A1473),IF(AND(AH!$U$12=1,1468+1=AH!$U$6),IF(AH!$U$4=0,"unavailable",INDEX('Market Data'!$AP$5:$AP$66,AH!$U$4)),IF(AH!$U$5=1,INDEX('Live History'!$H$5:$H$3004,MATCH($A1473,'Live History'!$G$5:$G$3004,1)),INDEX('AH History'!$B$5:$B$1380,$K1473))),NA()),NA())</f>
        <v/>
      </c>
      <c r="I1473" s="34">
        <f>IFERROR(IF(ISNUMBER($A1473),IF(AND(AH!$U$12=1,1468+1=AH!$U$6),TODAY(),IF(AH!$U$5=1,INDEX('Live History'!$G$5:$G$3004,MATCH($A1473,'Live History'!$G$5:$G$3004,1)),INDEX('AH History'!$C$5:$C$1380,$K1473))),NA()),NA())</f>
        <v/>
      </c>
      <c r="J1473" s="32">
        <f>IFERROR(IF(AND($F1473&gt;0,$H1473&gt;0,$A1473-$G1473&lt;=10,$A1473-$I1473&lt;=5,$G1473&gt;0,$I1473&gt;0),$F1473*$H1473,NA()),NA())</f>
        <v/>
      </c>
      <c r="K1473" s="15">
        <f>IF($A1473="","",IF(AH!$U$5=1,IFERROR(MATCH($A1473,'Live History'!$A$5:$A$3004,0),0),AH!$U$7+1468))</f>
        <v/>
      </c>
      <c r="L1473" s="15">
        <f>IF(ISNUMBER(A1473),TEXT(A1473,"dd-mmm-yy"),"")</f>
        <v/>
      </c>
    </row>
    <row r="1474">
      <c r="A1474" s="14">
        <f>IF(OR(AH!$U$4=0,1469+1&gt;AH!$U$6,AND(AH!$M$5="Bloomberg",AH!$U$5=0)),"",IFERROR(IF(AND(AH!$U$12=1,1469+1=AH!$U$6),TODAY(),IF(AH!$U$5=1,INDEX('Live History'!$A$5:$A$3004,AH!$U$7+1469),INDEX('AH History'!$A$5:$A$1380,AH!$U$7+1469))),""))</f>
        <v/>
      </c>
      <c r="B1474" s="33">
        <f>IFERROR(IF(AH!$U$11=1,NA(),$J1474/$E1474-1),NA())</f>
        <v/>
      </c>
      <c r="C1474" s="269">
        <f>IFERROR(100*$E1474/$E$5,NA())</f>
        <v/>
      </c>
      <c r="D1474" s="269">
        <f>IFERROR(100*$J1474/$J$5,NA())</f>
        <v/>
      </c>
      <c r="E1474" s="32">
        <f>IFERROR(IF(AND(ISNUMBER($A1474),N(IF(AND(AH!$U$12=1,1469+1=AH!$U$6),IF(AH!$U$4=0,"unavailable",INDEX('Market Data'!$AN$5:$AN$66,AH!$U$4)),IF(AH!$U$5=1,INDEX('Live History'!$B$5:$B$3004,$K1474),INDEX('AH History'!$D$5:$GG$1380,$K1474,AH!$U$10))))&gt;0),IF(AND(AH!$U$12=1,1469+1=AH!$U$6),IF(AH!$U$4=0,"unavailable",INDEX('Market Data'!$AN$5:$AN$66,AH!$U$4)),IF(AH!$U$5=1,INDEX('Live History'!$B$5:$B$3004,$K1474),INDEX('AH History'!$D$5:$GG$1380,$K1474,AH!$U$10))),NA()),NA())</f>
        <v/>
      </c>
      <c r="F1474" s="32">
        <f>IFERROR(IF(ISNUMBER($A1474),IF(AND(AH!$U$12=1,1469+1=AH!$U$6),IF(AH!$U$4=0,"unavailable",INDEX('Market Data'!$AO$5:$AO$66,AH!$U$4)),IF(AH!$U$5=1,INDEX('Live History'!$E$5:$E$3004,MATCH($A1474,'Live History'!$D$5:$D$3004,1)),INDEX('AH History'!$D$5:$GG$1380,$K1474,AH!$U$10+1))),NA()),NA())</f>
        <v/>
      </c>
      <c r="G1474" s="34">
        <f>IFERROR(IF(ISNUMBER($A1474),IF(AND(AH!$U$12=1,1469+1=AH!$U$6),IF(AH!$U$4=0,"unavailable",INDEX('Market Data'!$AK$5:$AK$66,AH!$U$4)),IF(AH!$U$5=1,INDEX('Live History'!$D$5:$D$3004,MATCH($A1474,'Live History'!$D$5:$D$3004,1)),INDEX('AH History'!$D$5:$GG$1380,$K1474,AH!$U$10+2))),NA()),NA())</f>
        <v/>
      </c>
      <c r="H1474" s="266">
        <f>IFERROR(IF(ISNUMBER($A1474),IF(AND(AH!$U$12=1,1469+1=AH!$U$6),IF(AH!$U$4=0,"unavailable",INDEX('Market Data'!$AP$5:$AP$66,AH!$U$4)),IF(AH!$U$5=1,INDEX('Live History'!$H$5:$H$3004,MATCH($A1474,'Live History'!$G$5:$G$3004,1)),INDEX('AH History'!$B$5:$B$1380,$K1474))),NA()),NA())</f>
        <v/>
      </c>
      <c r="I1474" s="34">
        <f>IFERROR(IF(ISNUMBER($A1474),IF(AND(AH!$U$12=1,1469+1=AH!$U$6),TODAY(),IF(AH!$U$5=1,INDEX('Live History'!$G$5:$G$3004,MATCH($A1474,'Live History'!$G$5:$G$3004,1)),INDEX('AH History'!$C$5:$C$1380,$K1474))),NA()),NA())</f>
        <v/>
      </c>
      <c r="J1474" s="32">
        <f>IFERROR(IF(AND($F1474&gt;0,$H1474&gt;0,$A1474-$G1474&lt;=10,$A1474-$I1474&lt;=5,$G1474&gt;0,$I1474&gt;0),$F1474*$H1474,NA()),NA())</f>
        <v/>
      </c>
      <c r="K1474" s="15">
        <f>IF($A1474="","",IF(AH!$U$5=1,IFERROR(MATCH($A1474,'Live History'!$A$5:$A$3004,0),0),AH!$U$7+1469))</f>
        <v/>
      </c>
      <c r="L1474" s="15">
        <f>IF(ISNUMBER(A1474),TEXT(A1474,"dd-mmm-yy"),"")</f>
        <v/>
      </c>
    </row>
    <row r="1475">
      <c r="A1475" s="14">
        <f>IF(OR(AH!$U$4=0,1470+1&gt;AH!$U$6,AND(AH!$M$5="Bloomberg",AH!$U$5=0)),"",IFERROR(IF(AND(AH!$U$12=1,1470+1=AH!$U$6),TODAY(),IF(AH!$U$5=1,INDEX('Live History'!$A$5:$A$3004,AH!$U$7+1470),INDEX('AH History'!$A$5:$A$1380,AH!$U$7+1470))),""))</f>
        <v/>
      </c>
      <c r="B1475" s="33">
        <f>IFERROR(IF(AH!$U$11=1,NA(),$J1475/$E1475-1),NA())</f>
        <v/>
      </c>
      <c r="C1475" s="269">
        <f>IFERROR(100*$E1475/$E$5,NA())</f>
        <v/>
      </c>
      <c r="D1475" s="269">
        <f>IFERROR(100*$J1475/$J$5,NA())</f>
        <v/>
      </c>
      <c r="E1475" s="32">
        <f>IFERROR(IF(AND(ISNUMBER($A1475),N(IF(AND(AH!$U$12=1,1470+1=AH!$U$6),IF(AH!$U$4=0,"unavailable",INDEX('Market Data'!$AN$5:$AN$66,AH!$U$4)),IF(AH!$U$5=1,INDEX('Live History'!$B$5:$B$3004,$K1475),INDEX('AH History'!$D$5:$GG$1380,$K1475,AH!$U$10))))&gt;0),IF(AND(AH!$U$12=1,1470+1=AH!$U$6),IF(AH!$U$4=0,"unavailable",INDEX('Market Data'!$AN$5:$AN$66,AH!$U$4)),IF(AH!$U$5=1,INDEX('Live History'!$B$5:$B$3004,$K1475),INDEX('AH History'!$D$5:$GG$1380,$K1475,AH!$U$10))),NA()),NA())</f>
        <v/>
      </c>
      <c r="F1475" s="32">
        <f>IFERROR(IF(ISNUMBER($A1475),IF(AND(AH!$U$12=1,1470+1=AH!$U$6),IF(AH!$U$4=0,"unavailable",INDEX('Market Data'!$AO$5:$AO$66,AH!$U$4)),IF(AH!$U$5=1,INDEX('Live History'!$E$5:$E$3004,MATCH($A1475,'Live History'!$D$5:$D$3004,1)),INDEX('AH History'!$D$5:$GG$1380,$K1475,AH!$U$10+1))),NA()),NA())</f>
        <v/>
      </c>
      <c r="G1475" s="34">
        <f>IFERROR(IF(ISNUMBER($A1475),IF(AND(AH!$U$12=1,1470+1=AH!$U$6),IF(AH!$U$4=0,"unavailable",INDEX('Market Data'!$AK$5:$AK$66,AH!$U$4)),IF(AH!$U$5=1,INDEX('Live History'!$D$5:$D$3004,MATCH($A1475,'Live History'!$D$5:$D$3004,1)),INDEX('AH History'!$D$5:$GG$1380,$K1475,AH!$U$10+2))),NA()),NA())</f>
        <v/>
      </c>
      <c r="H1475" s="266">
        <f>IFERROR(IF(ISNUMBER($A1475),IF(AND(AH!$U$12=1,1470+1=AH!$U$6),IF(AH!$U$4=0,"unavailable",INDEX('Market Data'!$AP$5:$AP$66,AH!$U$4)),IF(AH!$U$5=1,INDEX('Live History'!$H$5:$H$3004,MATCH($A1475,'Live History'!$G$5:$G$3004,1)),INDEX('AH History'!$B$5:$B$1380,$K1475))),NA()),NA())</f>
        <v/>
      </c>
      <c r="I1475" s="34">
        <f>IFERROR(IF(ISNUMBER($A1475),IF(AND(AH!$U$12=1,1470+1=AH!$U$6),TODAY(),IF(AH!$U$5=1,INDEX('Live History'!$G$5:$G$3004,MATCH($A1475,'Live History'!$G$5:$G$3004,1)),INDEX('AH History'!$C$5:$C$1380,$K1475))),NA()),NA())</f>
        <v/>
      </c>
      <c r="J1475" s="32">
        <f>IFERROR(IF(AND($F1475&gt;0,$H1475&gt;0,$A1475-$G1475&lt;=10,$A1475-$I1475&lt;=5,$G1475&gt;0,$I1475&gt;0),$F1475*$H1475,NA()),NA())</f>
        <v/>
      </c>
      <c r="K1475" s="15">
        <f>IF($A1475="","",IF(AH!$U$5=1,IFERROR(MATCH($A1475,'Live History'!$A$5:$A$3004,0),0),AH!$U$7+1470))</f>
        <v/>
      </c>
      <c r="L1475" s="15">
        <f>IF(ISNUMBER(A1475),TEXT(A1475,"dd-mmm-yy"),"")</f>
        <v/>
      </c>
    </row>
    <row r="1476">
      <c r="A1476" s="14">
        <f>IF(OR(AH!$U$4=0,1471+1&gt;AH!$U$6,AND(AH!$M$5="Bloomberg",AH!$U$5=0)),"",IFERROR(IF(AND(AH!$U$12=1,1471+1=AH!$U$6),TODAY(),IF(AH!$U$5=1,INDEX('Live History'!$A$5:$A$3004,AH!$U$7+1471),INDEX('AH History'!$A$5:$A$1380,AH!$U$7+1471))),""))</f>
        <v/>
      </c>
      <c r="B1476" s="33">
        <f>IFERROR(IF(AH!$U$11=1,NA(),$J1476/$E1476-1),NA())</f>
        <v/>
      </c>
      <c r="C1476" s="269">
        <f>IFERROR(100*$E1476/$E$5,NA())</f>
        <v/>
      </c>
      <c r="D1476" s="269">
        <f>IFERROR(100*$J1476/$J$5,NA())</f>
        <v/>
      </c>
      <c r="E1476" s="32">
        <f>IFERROR(IF(AND(ISNUMBER($A1476),N(IF(AND(AH!$U$12=1,1471+1=AH!$U$6),IF(AH!$U$4=0,"unavailable",INDEX('Market Data'!$AN$5:$AN$66,AH!$U$4)),IF(AH!$U$5=1,INDEX('Live History'!$B$5:$B$3004,$K1476),INDEX('AH History'!$D$5:$GG$1380,$K1476,AH!$U$10))))&gt;0),IF(AND(AH!$U$12=1,1471+1=AH!$U$6),IF(AH!$U$4=0,"unavailable",INDEX('Market Data'!$AN$5:$AN$66,AH!$U$4)),IF(AH!$U$5=1,INDEX('Live History'!$B$5:$B$3004,$K1476),INDEX('AH History'!$D$5:$GG$1380,$K1476,AH!$U$10))),NA()),NA())</f>
        <v/>
      </c>
      <c r="F1476" s="32">
        <f>IFERROR(IF(ISNUMBER($A1476),IF(AND(AH!$U$12=1,1471+1=AH!$U$6),IF(AH!$U$4=0,"unavailable",INDEX('Market Data'!$AO$5:$AO$66,AH!$U$4)),IF(AH!$U$5=1,INDEX('Live History'!$E$5:$E$3004,MATCH($A1476,'Live History'!$D$5:$D$3004,1)),INDEX('AH History'!$D$5:$GG$1380,$K1476,AH!$U$10+1))),NA()),NA())</f>
        <v/>
      </c>
      <c r="G1476" s="34">
        <f>IFERROR(IF(ISNUMBER($A1476),IF(AND(AH!$U$12=1,1471+1=AH!$U$6),IF(AH!$U$4=0,"unavailable",INDEX('Market Data'!$AK$5:$AK$66,AH!$U$4)),IF(AH!$U$5=1,INDEX('Live History'!$D$5:$D$3004,MATCH($A1476,'Live History'!$D$5:$D$3004,1)),INDEX('AH History'!$D$5:$GG$1380,$K1476,AH!$U$10+2))),NA()),NA())</f>
        <v/>
      </c>
      <c r="H1476" s="266">
        <f>IFERROR(IF(ISNUMBER($A1476),IF(AND(AH!$U$12=1,1471+1=AH!$U$6),IF(AH!$U$4=0,"unavailable",INDEX('Market Data'!$AP$5:$AP$66,AH!$U$4)),IF(AH!$U$5=1,INDEX('Live History'!$H$5:$H$3004,MATCH($A1476,'Live History'!$G$5:$G$3004,1)),INDEX('AH History'!$B$5:$B$1380,$K1476))),NA()),NA())</f>
        <v/>
      </c>
      <c r="I1476" s="34">
        <f>IFERROR(IF(ISNUMBER($A1476),IF(AND(AH!$U$12=1,1471+1=AH!$U$6),TODAY(),IF(AH!$U$5=1,INDEX('Live History'!$G$5:$G$3004,MATCH($A1476,'Live History'!$G$5:$G$3004,1)),INDEX('AH History'!$C$5:$C$1380,$K1476))),NA()),NA())</f>
        <v/>
      </c>
      <c r="J1476" s="32">
        <f>IFERROR(IF(AND($F1476&gt;0,$H1476&gt;0,$A1476-$G1476&lt;=10,$A1476-$I1476&lt;=5,$G1476&gt;0,$I1476&gt;0),$F1476*$H1476,NA()),NA())</f>
        <v/>
      </c>
      <c r="K1476" s="15">
        <f>IF($A1476="","",IF(AH!$U$5=1,IFERROR(MATCH($A1476,'Live History'!$A$5:$A$3004,0),0),AH!$U$7+1471))</f>
        <v/>
      </c>
      <c r="L1476" s="15">
        <f>IF(ISNUMBER(A1476),TEXT(A1476,"dd-mmm-yy"),"")</f>
        <v/>
      </c>
    </row>
    <row r="1477">
      <c r="A1477" s="14">
        <f>IF(OR(AH!$U$4=0,1472+1&gt;AH!$U$6,AND(AH!$M$5="Bloomberg",AH!$U$5=0)),"",IFERROR(IF(AND(AH!$U$12=1,1472+1=AH!$U$6),TODAY(),IF(AH!$U$5=1,INDEX('Live History'!$A$5:$A$3004,AH!$U$7+1472),INDEX('AH History'!$A$5:$A$1380,AH!$U$7+1472))),""))</f>
        <v/>
      </c>
      <c r="B1477" s="33">
        <f>IFERROR(IF(AH!$U$11=1,NA(),$J1477/$E1477-1),NA())</f>
        <v/>
      </c>
      <c r="C1477" s="269">
        <f>IFERROR(100*$E1477/$E$5,NA())</f>
        <v/>
      </c>
      <c r="D1477" s="269">
        <f>IFERROR(100*$J1477/$J$5,NA())</f>
        <v/>
      </c>
      <c r="E1477" s="32">
        <f>IFERROR(IF(AND(ISNUMBER($A1477),N(IF(AND(AH!$U$12=1,1472+1=AH!$U$6),IF(AH!$U$4=0,"unavailable",INDEX('Market Data'!$AN$5:$AN$66,AH!$U$4)),IF(AH!$U$5=1,INDEX('Live History'!$B$5:$B$3004,$K1477),INDEX('AH History'!$D$5:$GG$1380,$K1477,AH!$U$10))))&gt;0),IF(AND(AH!$U$12=1,1472+1=AH!$U$6),IF(AH!$U$4=0,"unavailable",INDEX('Market Data'!$AN$5:$AN$66,AH!$U$4)),IF(AH!$U$5=1,INDEX('Live History'!$B$5:$B$3004,$K1477),INDEX('AH History'!$D$5:$GG$1380,$K1477,AH!$U$10))),NA()),NA())</f>
        <v/>
      </c>
      <c r="F1477" s="32">
        <f>IFERROR(IF(ISNUMBER($A1477),IF(AND(AH!$U$12=1,1472+1=AH!$U$6),IF(AH!$U$4=0,"unavailable",INDEX('Market Data'!$AO$5:$AO$66,AH!$U$4)),IF(AH!$U$5=1,INDEX('Live History'!$E$5:$E$3004,MATCH($A1477,'Live History'!$D$5:$D$3004,1)),INDEX('AH History'!$D$5:$GG$1380,$K1477,AH!$U$10+1))),NA()),NA())</f>
        <v/>
      </c>
      <c r="G1477" s="34">
        <f>IFERROR(IF(ISNUMBER($A1477),IF(AND(AH!$U$12=1,1472+1=AH!$U$6),IF(AH!$U$4=0,"unavailable",INDEX('Market Data'!$AK$5:$AK$66,AH!$U$4)),IF(AH!$U$5=1,INDEX('Live History'!$D$5:$D$3004,MATCH($A1477,'Live History'!$D$5:$D$3004,1)),INDEX('AH History'!$D$5:$GG$1380,$K1477,AH!$U$10+2))),NA()),NA())</f>
        <v/>
      </c>
      <c r="H1477" s="266">
        <f>IFERROR(IF(ISNUMBER($A1477),IF(AND(AH!$U$12=1,1472+1=AH!$U$6),IF(AH!$U$4=0,"unavailable",INDEX('Market Data'!$AP$5:$AP$66,AH!$U$4)),IF(AH!$U$5=1,INDEX('Live History'!$H$5:$H$3004,MATCH($A1477,'Live History'!$G$5:$G$3004,1)),INDEX('AH History'!$B$5:$B$1380,$K1477))),NA()),NA())</f>
        <v/>
      </c>
      <c r="I1477" s="34">
        <f>IFERROR(IF(ISNUMBER($A1477),IF(AND(AH!$U$12=1,1472+1=AH!$U$6),TODAY(),IF(AH!$U$5=1,INDEX('Live History'!$G$5:$G$3004,MATCH($A1477,'Live History'!$G$5:$G$3004,1)),INDEX('AH History'!$C$5:$C$1380,$K1477))),NA()),NA())</f>
        <v/>
      </c>
      <c r="J1477" s="32">
        <f>IFERROR(IF(AND($F1477&gt;0,$H1477&gt;0,$A1477-$G1477&lt;=10,$A1477-$I1477&lt;=5,$G1477&gt;0,$I1477&gt;0),$F1477*$H1477,NA()),NA())</f>
        <v/>
      </c>
      <c r="K1477" s="15">
        <f>IF($A1477="","",IF(AH!$U$5=1,IFERROR(MATCH($A1477,'Live History'!$A$5:$A$3004,0),0),AH!$U$7+1472))</f>
        <v/>
      </c>
      <c r="L1477" s="15">
        <f>IF(ISNUMBER(A1477),TEXT(A1477,"dd-mmm-yy"),"")</f>
        <v/>
      </c>
    </row>
    <row r="1478">
      <c r="A1478" s="14">
        <f>IF(OR(AH!$U$4=0,1473+1&gt;AH!$U$6,AND(AH!$M$5="Bloomberg",AH!$U$5=0)),"",IFERROR(IF(AND(AH!$U$12=1,1473+1=AH!$U$6),TODAY(),IF(AH!$U$5=1,INDEX('Live History'!$A$5:$A$3004,AH!$U$7+1473),INDEX('AH History'!$A$5:$A$1380,AH!$U$7+1473))),""))</f>
        <v/>
      </c>
      <c r="B1478" s="33">
        <f>IFERROR(IF(AH!$U$11=1,NA(),$J1478/$E1478-1),NA())</f>
        <v/>
      </c>
      <c r="C1478" s="269">
        <f>IFERROR(100*$E1478/$E$5,NA())</f>
        <v/>
      </c>
      <c r="D1478" s="269">
        <f>IFERROR(100*$J1478/$J$5,NA())</f>
        <v/>
      </c>
      <c r="E1478" s="32">
        <f>IFERROR(IF(AND(ISNUMBER($A1478),N(IF(AND(AH!$U$12=1,1473+1=AH!$U$6),IF(AH!$U$4=0,"unavailable",INDEX('Market Data'!$AN$5:$AN$66,AH!$U$4)),IF(AH!$U$5=1,INDEX('Live History'!$B$5:$B$3004,$K1478),INDEX('AH History'!$D$5:$GG$1380,$K1478,AH!$U$10))))&gt;0),IF(AND(AH!$U$12=1,1473+1=AH!$U$6),IF(AH!$U$4=0,"unavailable",INDEX('Market Data'!$AN$5:$AN$66,AH!$U$4)),IF(AH!$U$5=1,INDEX('Live History'!$B$5:$B$3004,$K1478),INDEX('AH History'!$D$5:$GG$1380,$K1478,AH!$U$10))),NA()),NA())</f>
        <v/>
      </c>
      <c r="F1478" s="32">
        <f>IFERROR(IF(ISNUMBER($A1478),IF(AND(AH!$U$12=1,1473+1=AH!$U$6),IF(AH!$U$4=0,"unavailable",INDEX('Market Data'!$AO$5:$AO$66,AH!$U$4)),IF(AH!$U$5=1,INDEX('Live History'!$E$5:$E$3004,MATCH($A1478,'Live History'!$D$5:$D$3004,1)),INDEX('AH History'!$D$5:$GG$1380,$K1478,AH!$U$10+1))),NA()),NA())</f>
        <v/>
      </c>
      <c r="G1478" s="34">
        <f>IFERROR(IF(ISNUMBER($A1478),IF(AND(AH!$U$12=1,1473+1=AH!$U$6),IF(AH!$U$4=0,"unavailable",INDEX('Market Data'!$AK$5:$AK$66,AH!$U$4)),IF(AH!$U$5=1,INDEX('Live History'!$D$5:$D$3004,MATCH($A1478,'Live History'!$D$5:$D$3004,1)),INDEX('AH History'!$D$5:$GG$1380,$K1478,AH!$U$10+2))),NA()),NA())</f>
        <v/>
      </c>
      <c r="H1478" s="266">
        <f>IFERROR(IF(ISNUMBER($A1478),IF(AND(AH!$U$12=1,1473+1=AH!$U$6),IF(AH!$U$4=0,"unavailable",INDEX('Market Data'!$AP$5:$AP$66,AH!$U$4)),IF(AH!$U$5=1,INDEX('Live History'!$H$5:$H$3004,MATCH($A1478,'Live History'!$G$5:$G$3004,1)),INDEX('AH History'!$B$5:$B$1380,$K1478))),NA()),NA())</f>
        <v/>
      </c>
      <c r="I1478" s="34">
        <f>IFERROR(IF(ISNUMBER($A1478),IF(AND(AH!$U$12=1,1473+1=AH!$U$6),TODAY(),IF(AH!$U$5=1,INDEX('Live History'!$G$5:$G$3004,MATCH($A1478,'Live History'!$G$5:$G$3004,1)),INDEX('AH History'!$C$5:$C$1380,$K1478))),NA()),NA())</f>
        <v/>
      </c>
      <c r="J1478" s="32">
        <f>IFERROR(IF(AND($F1478&gt;0,$H1478&gt;0,$A1478-$G1478&lt;=10,$A1478-$I1478&lt;=5,$G1478&gt;0,$I1478&gt;0),$F1478*$H1478,NA()),NA())</f>
        <v/>
      </c>
      <c r="K1478" s="15">
        <f>IF($A1478="","",IF(AH!$U$5=1,IFERROR(MATCH($A1478,'Live History'!$A$5:$A$3004,0),0),AH!$U$7+1473))</f>
        <v/>
      </c>
      <c r="L1478" s="15">
        <f>IF(ISNUMBER(A1478),TEXT(A1478,"dd-mmm-yy"),"")</f>
        <v/>
      </c>
    </row>
    <row r="1479">
      <c r="A1479" s="14">
        <f>IF(OR(AH!$U$4=0,1474+1&gt;AH!$U$6,AND(AH!$M$5="Bloomberg",AH!$U$5=0)),"",IFERROR(IF(AND(AH!$U$12=1,1474+1=AH!$U$6),TODAY(),IF(AH!$U$5=1,INDEX('Live History'!$A$5:$A$3004,AH!$U$7+1474),INDEX('AH History'!$A$5:$A$1380,AH!$U$7+1474))),""))</f>
        <v/>
      </c>
      <c r="B1479" s="33">
        <f>IFERROR(IF(AH!$U$11=1,NA(),$J1479/$E1479-1),NA())</f>
        <v/>
      </c>
      <c r="C1479" s="269">
        <f>IFERROR(100*$E1479/$E$5,NA())</f>
        <v/>
      </c>
      <c r="D1479" s="269">
        <f>IFERROR(100*$J1479/$J$5,NA())</f>
        <v/>
      </c>
      <c r="E1479" s="32">
        <f>IFERROR(IF(AND(ISNUMBER($A1479),N(IF(AND(AH!$U$12=1,1474+1=AH!$U$6),IF(AH!$U$4=0,"unavailable",INDEX('Market Data'!$AN$5:$AN$66,AH!$U$4)),IF(AH!$U$5=1,INDEX('Live History'!$B$5:$B$3004,$K1479),INDEX('AH History'!$D$5:$GG$1380,$K1479,AH!$U$10))))&gt;0),IF(AND(AH!$U$12=1,1474+1=AH!$U$6),IF(AH!$U$4=0,"unavailable",INDEX('Market Data'!$AN$5:$AN$66,AH!$U$4)),IF(AH!$U$5=1,INDEX('Live History'!$B$5:$B$3004,$K1479),INDEX('AH History'!$D$5:$GG$1380,$K1479,AH!$U$10))),NA()),NA())</f>
        <v/>
      </c>
      <c r="F1479" s="32">
        <f>IFERROR(IF(ISNUMBER($A1479),IF(AND(AH!$U$12=1,1474+1=AH!$U$6),IF(AH!$U$4=0,"unavailable",INDEX('Market Data'!$AO$5:$AO$66,AH!$U$4)),IF(AH!$U$5=1,INDEX('Live History'!$E$5:$E$3004,MATCH($A1479,'Live History'!$D$5:$D$3004,1)),INDEX('AH History'!$D$5:$GG$1380,$K1479,AH!$U$10+1))),NA()),NA())</f>
        <v/>
      </c>
      <c r="G1479" s="34">
        <f>IFERROR(IF(ISNUMBER($A1479),IF(AND(AH!$U$12=1,1474+1=AH!$U$6),IF(AH!$U$4=0,"unavailable",INDEX('Market Data'!$AK$5:$AK$66,AH!$U$4)),IF(AH!$U$5=1,INDEX('Live History'!$D$5:$D$3004,MATCH($A1479,'Live History'!$D$5:$D$3004,1)),INDEX('AH History'!$D$5:$GG$1380,$K1479,AH!$U$10+2))),NA()),NA())</f>
        <v/>
      </c>
      <c r="H1479" s="266">
        <f>IFERROR(IF(ISNUMBER($A1479),IF(AND(AH!$U$12=1,1474+1=AH!$U$6),IF(AH!$U$4=0,"unavailable",INDEX('Market Data'!$AP$5:$AP$66,AH!$U$4)),IF(AH!$U$5=1,INDEX('Live History'!$H$5:$H$3004,MATCH($A1479,'Live History'!$G$5:$G$3004,1)),INDEX('AH History'!$B$5:$B$1380,$K1479))),NA()),NA())</f>
        <v/>
      </c>
      <c r="I1479" s="34">
        <f>IFERROR(IF(ISNUMBER($A1479),IF(AND(AH!$U$12=1,1474+1=AH!$U$6),TODAY(),IF(AH!$U$5=1,INDEX('Live History'!$G$5:$G$3004,MATCH($A1479,'Live History'!$G$5:$G$3004,1)),INDEX('AH History'!$C$5:$C$1380,$K1479))),NA()),NA())</f>
        <v/>
      </c>
      <c r="J1479" s="32">
        <f>IFERROR(IF(AND($F1479&gt;0,$H1479&gt;0,$A1479-$G1479&lt;=10,$A1479-$I1479&lt;=5,$G1479&gt;0,$I1479&gt;0),$F1479*$H1479,NA()),NA())</f>
        <v/>
      </c>
      <c r="K1479" s="15">
        <f>IF($A1479="","",IF(AH!$U$5=1,IFERROR(MATCH($A1479,'Live History'!$A$5:$A$3004,0),0),AH!$U$7+1474))</f>
        <v/>
      </c>
      <c r="L1479" s="15">
        <f>IF(ISNUMBER(A1479),TEXT(A1479,"dd-mmm-yy"),"")</f>
        <v/>
      </c>
    </row>
    <row r="1480">
      <c r="A1480" s="14">
        <f>IF(OR(AH!$U$4=0,1475+1&gt;AH!$U$6,AND(AH!$M$5="Bloomberg",AH!$U$5=0)),"",IFERROR(IF(AND(AH!$U$12=1,1475+1=AH!$U$6),TODAY(),IF(AH!$U$5=1,INDEX('Live History'!$A$5:$A$3004,AH!$U$7+1475),INDEX('AH History'!$A$5:$A$1380,AH!$U$7+1475))),""))</f>
        <v/>
      </c>
      <c r="B1480" s="33">
        <f>IFERROR(IF(AH!$U$11=1,NA(),$J1480/$E1480-1),NA())</f>
        <v/>
      </c>
      <c r="C1480" s="269">
        <f>IFERROR(100*$E1480/$E$5,NA())</f>
        <v/>
      </c>
      <c r="D1480" s="269">
        <f>IFERROR(100*$J1480/$J$5,NA())</f>
        <v/>
      </c>
      <c r="E1480" s="32">
        <f>IFERROR(IF(AND(ISNUMBER($A1480),N(IF(AND(AH!$U$12=1,1475+1=AH!$U$6),IF(AH!$U$4=0,"unavailable",INDEX('Market Data'!$AN$5:$AN$66,AH!$U$4)),IF(AH!$U$5=1,INDEX('Live History'!$B$5:$B$3004,$K1480),INDEX('AH History'!$D$5:$GG$1380,$K1480,AH!$U$10))))&gt;0),IF(AND(AH!$U$12=1,1475+1=AH!$U$6),IF(AH!$U$4=0,"unavailable",INDEX('Market Data'!$AN$5:$AN$66,AH!$U$4)),IF(AH!$U$5=1,INDEX('Live History'!$B$5:$B$3004,$K1480),INDEX('AH History'!$D$5:$GG$1380,$K1480,AH!$U$10))),NA()),NA())</f>
        <v/>
      </c>
      <c r="F1480" s="32">
        <f>IFERROR(IF(ISNUMBER($A1480),IF(AND(AH!$U$12=1,1475+1=AH!$U$6),IF(AH!$U$4=0,"unavailable",INDEX('Market Data'!$AO$5:$AO$66,AH!$U$4)),IF(AH!$U$5=1,INDEX('Live History'!$E$5:$E$3004,MATCH($A1480,'Live History'!$D$5:$D$3004,1)),INDEX('AH History'!$D$5:$GG$1380,$K1480,AH!$U$10+1))),NA()),NA())</f>
        <v/>
      </c>
      <c r="G1480" s="34">
        <f>IFERROR(IF(ISNUMBER($A1480),IF(AND(AH!$U$12=1,1475+1=AH!$U$6),IF(AH!$U$4=0,"unavailable",INDEX('Market Data'!$AK$5:$AK$66,AH!$U$4)),IF(AH!$U$5=1,INDEX('Live History'!$D$5:$D$3004,MATCH($A1480,'Live History'!$D$5:$D$3004,1)),INDEX('AH History'!$D$5:$GG$1380,$K1480,AH!$U$10+2))),NA()),NA())</f>
        <v/>
      </c>
      <c r="H1480" s="266">
        <f>IFERROR(IF(ISNUMBER($A1480),IF(AND(AH!$U$12=1,1475+1=AH!$U$6),IF(AH!$U$4=0,"unavailable",INDEX('Market Data'!$AP$5:$AP$66,AH!$U$4)),IF(AH!$U$5=1,INDEX('Live History'!$H$5:$H$3004,MATCH($A1480,'Live History'!$G$5:$G$3004,1)),INDEX('AH History'!$B$5:$B$1380,$K1480))),NA()),NA())</f>
        <v/>
      </c>
      <c r="I1480" s="34">
        <f>IFERROR(IF(ISNUMBER($A1480),IF(AND(AH!$U$12=1,1475+1=AH!$U$6),TODAY(),IF(AH!$U$5=1,INDEX('Live History'!$G$5:$G$3004,MATCH($A1480,'Live History'!$G$5:$G$3004,1)),INDEX('AH History'!$C$5:$C$1380,$K1480))),NA()),NA())</f>
        <v/>
      </c>
      <c r="J1480" s="32">
        <f>IFERROR(IF(AND($F1480&gt;0,$H1480&gt;0,$A1480-$G1480&lt;=10,$A1480-$I1480&lt;=5,$G1480&gt;0,$I1480&gt;0),$F1480*$H1480,NA()),NA())</f>
        <v/>
      </c>
      <c r="K1480" s="15">
        <f>IF($A1480="","",IF(AH!$U$5=1,IFERROR(MATCH($A1480,'Live History'!$A$5:$A$3004,0),0),AH!$U$7+1475))</f>
        <v/>
      </c>
      <c r="L1480" s="15">
        <f>IF(ISNUMBER(A1480),TEXT(A1480,"dd-mmm-yy"),"")</f>
        <v/>
      </c>
    </row>
    <row r="1481">
      <c r="A1481" s="14">
        <f>IF(OR(AH!$U$4=0,1476+1&gt;AH!$U$6,AND(AH!$M$5="Bloomberg",AH!$U$5=0)),"",IFERROR(IF(AND(AH!$U$12=1,1476+1=AH!$U$6),TODAY(),IF(AH!$U$5=1,INDEX('Live History'!$A$5:$A$3004,AH!$U$7+1476),INDEX('AH History'!$A$5:$A$1380,AH!$U$7+1476))),""))</f>
        <v/>
      </c>
      <c r="B1481" s="33">
        <f>IFERROR(IF(AH!$U$11=1,NA(),$J1481/$E1481-1),NA())</f>
        <v/>
      </c>
      <c r="C1481" s="269">
        <f>IFERROR(100*$E1481/$E$5,NA())</f>
        <v/>
      </c>
      <c r="D1481" s="269">
        <f>IFERROR(100*$J1481/$J$5,NA())</f>
        <v/>
      </c>
      <c r="E1481" s="32">
        <f>IFERROR(IF(AND(ISNUMBER($A1481),N(IF(AND(AH!$U$12=1,1476+1=AH!$U$6),IF(AH!$U$4=0,"unavailable",INDEX('Market Data'!$AN$5:$AN$66,AH!$U$4)),IF(AH!$U$5=1,INDEX('Live History'!$B$5:$B$3004,$K1481),INDEX('AH History'!$D$5:$GG$1380,$K1481,AH!$U$10))))&gt;0),IF(AND(AH!$U$12=1,1476+1=AH!$U$6),IF(AH!$U$4=0,"unavailable",INDEX('Market Data'!$AN$5:$AN$66,AH!$U$4)),IF(AH!$U$5=1,INDEX('Live History'!$B$5:$B$3004,$K1481),INDEX('AH History'!$D$5:$GG$1380,$K1481,AH!$U$10))),NA()),NA())</f>
        <v/>
      </c>
      <c r="F1481" s="32">
        <f>IFERROR(IF(ISNUMBER($A1481),IF(AND(AH!$U$12=1,1476+1=AH!$U$6),IF(AH!$U$4=0,"unavailable",INDEX('Market Data'!$AO$5:$AO$66,AH!$U$4)),IF(AH!$U$5=1,INDEX('Live History'!$E$5:$E$3004,MATCH($A1481,'Live History'!$D$5:$D$3004,1)),INDEX('AH History'!$D$5:$GG$1380,$K1481,AH!$U$10+1))),NA()),NA())</f>
        <v/>
      </c>
      <c r="G1481" s="34">
        <f>IFERROR(IF(ISNUMBER($A1481),IF(AND(AH!$U$12=1,1476+1=AH!$U$6),IF(AH!$U$4=0,"unavailable",INDEX('Market Data'!$AK$5:$AK$66,AH!$U$4)),IF(AH!$U$5=1,INDEX('Live History'!$D$5:$D$3004,MATCH($A1481,'Live History'!$D$5:$D$3004,1)),INDEX('AH History'!$D$5:$GG$1380,$K1481,AH!$U$10+2))),NA()),NA())</f>
        <v/>
      </c>
      <c r="H1481" s="266">
        <f>IFERROR(IF(ISNUMBER($A1481),IF(AND(AH!$U$12=1,1476+1=AH!$U$6),IF(AH!$U$4=0,"unavailable",INDEX('Market Data'!$AP$5:$AP$66,AH!$U$4)),IF(AH!$U$5=1,INDEX('Live History'!$H$5:$H$3004,MATCH($A1481,'Live History'!$G$5:$G$3004,1)),INDEX('AH History'!$B$5:$B$1380,$K1481))),NA()),NA())</f>
        <v/>
      </c>
      <c r="I1481" s="34">
        <f>IFERROR(IF(ISNUMBER($A1481),IF(AND(AH!$U$12=1,1476+1=AH!$U$6),TODAY(),IF(AH!$U$5=1,INDEX('Live History'!$G$5:$G$3004,MATCH($A1481,'Live History'!$G$5:$G$3004,1)),INDEX('AH History'!$C$5:$C$1380,$K1481))),NA()),NA())</f>
        <v/>
      </c>
      <c r="J1481" s="32">
        <f>IFERROR(IF(AND($F1481&gt;0,$H1481&gt;0,$A1481-$G1481&lt;=10,$A1481-$I1481&lt;=5,$G1481&gt;0,$I1481&gt;0),$F1481*$H1481,NA()),NA())</f>
        <v/>
      </c>
      <c r="K1481" s="15">
        <f>IF($A1481="","",IF(AH!$U$5=1,IFERROR(MATCH($A1481,'Live History'!$A$5:$A$3004,0),0),AH!$U$7+1476))</f>
        <v/>
      </c>
      <c r="L1481" s="15">
        <f>IF(ISNUMBER(A1481),TEXT(A1481,"dd-mmm-yy"),"")</f>
        <v/>
      </c>
    </row>
    <row r="1482">
      <c r="A1482" s="14">
        <f>IF(OR(AH!$U$4=0,1477+1&gt;AH!$U$6,AND(AH!$M$5="Bloomberg",AH!$U$5=0)),"",IFERROR(IF(AND(AH!$U$12=1,1477+1=AH!$U$6),TODAY(),IF(AH!$U$5=1,INDEX('Live History'!$A$5:$A$3004,AH!$U$7+1477),INDEX('AH History'!$A$5:$A$1380,AH!$U$7+1477))),""))</f>
        <v/>
      </c>
      <c r="B1482" s="33">
        <f>IFERROR(IF(AH!$U$11=1,NA(),$J1482/$E1482-1),NA())</f>
        <v/>
      </c>
      <c r="C1482" s="269">
        <f>IFERROR(100*$E1482/$E$5,NA())</f>
        <v/>
      </c>
      <c r="D1482" s="269">
        <f>IFERROR(100*$J1482/$J$5,NA())</f>
        <v/>
      </c>
      <c r="E1482" s="32">
        <f>IFERROR(IF(AND(ISNUMBER($A1482),N(IF(AND(AH!$U$12=1,1477+1=AH!$U$6),IF(AH!$U$4=0,"unavailable",INDEX('Market Data'!$AN$5:$AN$66,AH!$U$4)),IF(AH!$U$5=1,INDEX('Live History'!$B$5:$B$3004,$K1482),INDEX('AH History'!$D$5:$GG$1380,$K1482,AH!$U$10))))&gt;0),IF(AND(AH!$U$12=1,1477+1=AH!$U$6),IF(AH!$U$4=0,"unavailable",INDEX('Market Data'!$AN$5:$AN$66,AH!$U$4)),IF(AH!$U$5=1,INDEX('Live History'!$B$5:$B$3004,$K1482),INDEX('AH History'!$D$5:$GG$1380,$K1482,AH!$U$10))),NA()),NA())</f>
        <v/>
      </c>
      <c r="F1482" s="32">
        <f>IFERROR(IF(ISNUMBER($A1482),IF(AND(AH!$U$12=1,1477+1=AH!$U$6),IF(AH!$U$4=0,"unavailable",INDEX('Market Data'!$AO$5:$AO$66,AH!$U$4)),IF(AH!$U$5=1,INDEX('Live History'!$E$5:$E$3004,MATCH($A1482,'Live History'!$D$5:$D$3004,1)),INDEX('AH History'!$D$5:$GG$1380,$K1482,AH!$U$10+1))),NA()),NA())</f>
        <v/>
      </c>
      <c r="G1482" s="34">
        <f>IFERROR(IF(ISNUMBER($A1482),IF(AND(AH!$U$12=1,1477+1=AH!$U$6),IF(AH!$U$4=0,"unavailable",INDEX('Market Data'!$AK$5:$AK$66,AH!$U$4)),IF(AH!$U$5=1,INDEX('Live History'!$D$5:$D$3004,MATCH($A1482,'Live History'!$D$5:$D$3004,1)),INDEX('AH History'!$D$5:$GG$1380,$K1482,AH!$U$10+2))),NA()),NA())</f>
        <v/>
      </c>
      <c r="H1482" s="266">
        <f>IFERROR(IF(ISNUMBER($A1482),IF(AND(AH!$U$12=1,1477+1=AH!$U$6),IF(AH!$U$4=0,"unavailable",INDEX('Market Data'!$AP$5:$AP$66,AH!$U$4)),IF(AH!$U$5=1,INDEX('Live History'!$H$5:$H$3004,MATCH($A1482,'Live History'!$G$5:$G$3004,1)),INDEX('AH History'!$B$5:$B$1380,$K1482))),NA()),NA())</f>
        <v/>
      </c>
      <c r="I1482" s="34">
        <f>IFERROR(IF(ISNUMBER($A1482),IF(AND(AH!$U$12=1,1477+1=AH!$U$6),TODAY(),IF(AH!$U$5=1,INDEX('Live History'!$G$5:$G$3004,MATCH($A1482,'Live History'!$G$5:$G$3004,1)),INDEX('AH History'!$C$5:$C$1380,$K1482))),NA()),NA())</f>
        <v/>
      </c>
      <c r="J1482" s="32">
        <f>IFERROR(IF(AND($F1482&gt;0,$H1482&gt;0,$A1482-$G1482&lt;=10,$A1482-$I1482&lt;=5,$G1482&gt;0,$I1482&gt;0),$F1482*$H1482,NA()),NA())</f>
        <v/>
      </c>
      <c r="K1482" s="15">
        <f>IF($A1482="","",IF(AH!$U$5=1,IFERROR(MATCH($A1482,'Live History'!$A$5:$A$3004,0),0),AH!$U$7+1477))</f>
        <v/>
      </c>
      <c r="L1482" s="15">
        <f>IF(ISNUMBER(A1482),TEXT(A1482,"dd-mmm-yy"),"")</f>
        <v/>
      </c>
    </row>
    <row r="1483">
      <c r="A1483" s="14">
        <f>IF(OR(AH!$U$4=0,1478+1&gt;AH!$U$6,AND(AH!$M$5="Bloomberg",AH!$U$5=0)),"",IFERROR(IF(AND(AH!$U$12=1,1478+1=AH!$U$6),TODAY(),IF(AH!$U$5=1,INDEX('Live History'!$A$5:$A$3004,AH!$U$7+1478),INDEX('AH History'!$A$5:$A$1380,AH!$U$7+1478))),""))</f>
        <v/>
      </c>
      <c r="B1483" s="33">
        <f>IFERROR(IF(AH!$U$11=1,NA(),$J1483/$E1483-1),NA())</f>
        <v/>
      </c>
      <c r="C1483" s="269">
        <f>IFERROR(100*$E1483/$E$5,NA())</f>
        <v/>
      </c>
      <c r="D1483" s="269">
        <f>IFERROR(100*$J1483/$J$5,NA())</f>
        <v/>
      </c>
      <c r="E1483" s="32">
        <f>IFERROR(IF(AND(ISNUMBER($A1483),N(IF(AND(AH!$U$12=1,1478+1=AH!$U$6),IF(AH!$U$4=0,"unavailable",INDEX('Market Data'!$AN$5:$AN$66,AH!$U$4)),IF(AH!$U$5=1,INDEX('Live History'!$B$5:$B$3004,$K1483),INDEX('AH History'!$D$5:$GG$1380,$K1483,AH!$U$10))))&gt;0),IF(AND(AH!$U$12=1,1478+1=AH!$U$6),IF(AH!$U$4=0,"unavailable",INDEX('Market Data'!$AN$5:$AN$66,AH!$U$4)),IF(AH!$U$5=1,INDEX('Live History'!$B$5:$B$3004,$K1483),INDEX('AH History'!$D$5:$GG$1380,$K1483,AH!$U$10))),NA()),NA())</f>
        <v/>
      </c>
      <c r="F1483" s="32">
        <f>IFERROR(IF(ISNUMBER($A1483),IF(AND(AH!$U$12=1,1478+1=AH!$U$6),IF(AH!$U$4=0,"unavailable",INDEX('Market Data'!$AO$5:$AO$66,AH!$U$4)),IF(AH!$U$5=1,INDEX('Live History'!$E$5:$E$3004,MATCH($A1483,'Live History'!$D$5:$D$3004,1)),INDEX('AH History'!$D$5:$GG$1380,$K1483,AH!$U$10+1))),NA()),NA())</f>
        <v/>
      </c>
      <c r="G1483" s="34">
        <f>IFERROR(IF(ISNUMBER($A1483),IF(AND(AH!$U$12=1,1478+1=AH!$U$6),IF(AH!$U$4=0,"unavailable",INDEX('Market Data'!$AK$5:$AK$66,AH!$U$4)),IF(AH!$U$5=1,INDEX('Live History'!$D$5:$D$3004,MATCH($A1483,'Live History'!$D$5:$D$3004,1)),INDEX('AH History'!$D$5:$GG$1380,$K1483,AH!$U$10+2))),NA()),NA())</f>
        <v/>
      </c>
      <c r="H1483" s="266">
        <f>IFERROR(IF(ISNUMBER($A1483),IF(AND(AH!$U$12=1,1478+1=AH!$U$6),IF(AH!$U$4=0,"unavailable",INDEX('Market Data'!$AP$5:$AP$66,AH!$U$4)),IF(AH!$U$5=1,INDEX('Live History'!$H$5:$H$3004,MATCH($A1483,'Live History'!$G$5:$G$3004,1)),INDEX('AH History'!$B$5:$B$1380,$K1483))),NA()),NA())</f>
        <v/>
      </c>
      <c r="I1483" s="34">
        <f>IFERROR(IF(ISNUMBER($A1483),IF(AND(AH!$U$12=1,1478+1=AH!$U$6),TODAY(),IF(AH!$U$5=1,INDEX('Live History'!$G$5:$G$3004,MATCH($A1483,'Live History'!$G$5:$G$3004,1)),INDEX('AH History'!$C$5:$C$1380,$K1483))),NA()),NA())</f>
        <v/>
      </c>
      <c r="J1483" s="32">
        <f>IFERROR(IF(AND($F1483&gt;0,$H1483&gt;0,$A1483-$G1483&lt;=10,$A1483-$I1483&lt;=5,$G1483&gt;0,$I1483&gt;0),$F1483*$H1483,NA()),NA())</f>
        <v/>
      </c>
      <c r="K1483" s="15">
        <f>IF($A1483="","",IF(AH!$U$5=1,IFERROR(MATCH($A1483,'Live History'!$A$5:$A$3004,0),0),AH!$U$7+1478))</f>
        <v/>
      </c>
      <c r="L1483" s="15">
        <f>IF(ISNUMBER(A1483),TEXT(A1483,"dd-mmm-yy"),"")</f>
        <v/>
      </c>
    </row>
    <row r="1484">
      <c r="A1484" s="14">
        <f>IF(OR(AH!$U$4=0,1479+1&gt;AH!$U$6,AND(AH!$M$5="Bloomberg",AH!$U$5=0)),"",IFERROR(IF(AND(AH!$U$12=1,1479+1=AH!$U$6),TODAY(),IF(AH!$U$5=1,INDEX('Live History'!$A$5:$A$3004,AH!$U$7+1479),INDEX('AH History'!$A$5:$A$1380,AH!$U$7+1479))),""))</f>
        <v/>
      </c>
      <c r="B1484" s="33">
        <f>IFERROR(IF(AH!$U$11=1,NA(),$J1484/$E1484-1),NA())</f>
        <v/>
      </c>
      <c r="C1484" s="269">
        <f>IFERROR(100*$E1484/$E$5,NA())</f>
        <v/>
      </c>
      <c r="D1484" s="269">
        <f>IFERROR(100*$J1484/$J$5,NA())</f>
        <v/>
      </c>
      <c r="E1484" s="32">
        <f>IFERROR(IF(AND(ISNUMBER($A1484),N(IF(AND(AH!$U$12=1,1479+1=AH!$U$6),IF(AH!$U$4=0,"unavailable",INDEX('Market Data'!$AN$5:$AN$66,AH!$U$4)),IF(AH!$U$5=1,INDEX('Live History'!$B$5:$B$3004,$K1484),INDEX('AH History'!$D$5:$GG$1380,$K1484,AH!$U$10))))&gt;0),IF(AND(AH!$U$12=1,1479+1=AH!$U$6),IF(AH!$U$4=0,"unavailable",INDEX('Market Data'!$AN$5:$AN$66,AH!$U$4)),IF(AH!$U$5=1,INDEX('Live History'!$B$5:$B$3004,$K1484),INDEX('AH History'!$D$5:$GG$1380,$K1484,AH!$U$10))),NA()),NA())</f>
        <v/>
      </c>
      <c r="F1484" s="32">
        <f>IFERROR(IF(ISNUMBER($A1484),IF(AND(AH!$U$12=1,1479+1=AH!$U$6),IF(AH!$U$4=0,"unavailable",INDEX('Market Data'!$AO$5:$AO$66,AH!$U$4)),IF(AH!$U$5=1,INDEX('Live History'!$E$5:$E$3004,MATCH($A1484,'Live History'!$D$5:$D$3004,1)),INDEX('AH History'!$D$5:$GG$1380,$K1484,AH!$U$10+1))),NA()),NA())</f>
        <v/>
      </c>
      <c r="G1484" s="34">
        <f>IFERROR(IF(ISNUMBER($A1484),IF(AND(AH!$U$12=1,1479+1=AH!$U$6),IF(AH!$U$4=0,"unavailable",INDEX('Market Data'!$AK$5:$AK$66,AH!$U$4)),IF(AH!$U$5=1,INDEX('Live History'!$D$5:$D$3004,MATCH($A1484,'Live History'!$D$5:$D$3004,1)),INDEX('AH History'!$D$5:$GG$1380,$K1484,AH!$U$10+2))),NA()),NA())</f>
        <v/>
      </c>
      <c r="H1484" s="266">
        <f>IFERROR(IF(ISNUMBER($A1484),IF(AND(AH!$U$12=1,1479+1=AH!$U$6),IF(AH!$U$4=0,"unavailable",INDEX('Market Data'!$AP$5:$AP$66,AH!$U$4)),IF(AH!$U$5=1,INDEX('Live History'!$H$5:$H$3004,MATCH($A1484,'Live History'!$G$5:$G$3004,1)),INDEX('AH History'!$B$5:$B$1380,$K1484))),NA()),NA())</f>
        <v/>
      </c>
      <c r="I1484" s="34">
        <f>IFERROR(IF(ISNUMBER($A1484),IF(AND(AH!$U$12=1,1479+1=AH!$U$6),TODAY(),IF(AH!$U$5=1,INDEX('Live History'!$G$5:$G$3004,MATCH($A1484,'Live History'!$G$5:$G$3004,1)),INDEX('AH History'!$C$5:$C$1380,$K1484))),NA()),NA())</f>
        <v/>
      </c>
      <c r="J1484" s="32">
        <f>IFERROR(IF(AND($F1484&gt;0,$H1484&gt;0,$A1484-$G1484&lt;=10,$A1484-$I1484&lt;=5,$G1484&gt;0,$I1484&gt;0),$F1484*$H1484,NA()),NA())</f>
        <v/>
      </c>
      <c r="K1484" s="15">
        <f>IF($A1484="","",IF(AH!$U$5=1,IFERROR(MATCH($A1484,'Live History'!$A$5:$A$3004,0),0),AH!$U$7+1479))</f>
        <v/>
      </c>
      <c r="L1484" s="15">
        <f>IF(ISNUMBER(A1484),TEXT(A1484,"dd-mmm-yy"),"")</f>
        <v/>
      </c>
    </row>
    <row r="1485">
      <c r="A1485" s="14">
        <f>IF(OR(AH!$U$4=0,1480+1&gt;AH!$U$6,AND(AH!$M$5="Bloomberg",AH!$U$5=0)),"",IFERROR(IF(AND(AH!$U$12=1,1480+1=AH!$U$6),TODAY(),IF(AH!$U$5=1,INDEX('Live History'!$A$5:$A$3004,AH!$U$7+1480),INDEX('AH History'!$A$5:$A$1380,AH!$U$7+1480))),""))</f>
        <v/>
      </c>
      <c r="B1485" s="33">
        <f>IFERROR(IF(AH!$U$11=1,NA(),$J1485/$E1485-1),NA())</f>
        <v/>
      </c>
      <c r="C1485" s="269">
        <f>IFERROR(100*$E1485/$E$5,NA())</f>
        <v/>
      </c>
      <c r="D1485" s="269">
        <f>IFERROR(100*$J1485/$J$5,NA())</f>
        <v/>
      </c>
      <c r="E1485" s="32">
        <f>IFERROR(IF(AND(ISNUMBER($A1485),N(IF(AND(AH!$U$12=1,1480+1=AH!$U$6),IF(AH!$U$4=0,"unavailable",INDEX('Market Data'!$AN$5:$AN$66,AH!$U$4)),IF(AH!$U$5=1,INDEX('Live History'!$B$5:$B$3004,$K1485),INDEX('AH History'!$D$5:$GG$1380,$K1485,AH!$U$10))))&gt;0),IF(AND(AH!$U$12=1,1480+1=AH!$U$6),IF(AH!$U$4=0,"unavailable",INDEX('Market Data'!$AN$5:$AN$66,AH!$U$4)),IF(AH!$U$5=1,INDEX('Live History'!$B$5:$B$3004,$K1485),INDEX('AH History'!$D$5:$GG$1380,$K1485,AH!$U$10))),NA()),NA())</f>
        <v/>
      </c>
      <c r="F1485" s="32">
        <f>IFERROR(IF(ISNUMBER($A1485),IF(AND(AH!$U$12=1,1480+1=AH!$U$6),IF(AH!$U$4=0,"unavailable",INDEX('Market Data'!$AO$5:$AO$66,AH!$U$4)),IF(AH!$U$5=1,INDEX('Live History'!$E$5:$E$3004,MATCH($A1485,'Live History'!$D$5:$D$3004,1)),INDEX('AH History'!$D$5:$GG$1380,$K1485,AH!$U$10+1))),NA()),NA())</f>
        <v/>
      </c>
      <c r="G1485" s="34">
        <f>IFERROR(IF(ISNUMBER($A1485),IF(AND(AH!$U$12=1,1480+1=AH!$U$6),IF(AH!$U$4=0,"unavailable",INDEX('Market Data'!$AK$5:$AK$66,AH!$U$4)),IF(AH!$U$5=1,INDEX('Live History'!$D$5:$D$3004,MATCH($A1485,'Live History'!$D$5:$D$3004,1)),INDEX('AH History'!$D$5:$GG$1380,$K1485,AH!$U$10+2))),NA()),NA())</f>
        <v/>
      </c>
      <c r="H1485" s="266">
        <f>IFERROR(IF(ISNUMBER($A1485),IF(AND(AH!$U$12=1,1480+1=AH!$U$6),IF(AH!$U$4=0,"unavailable",INDEX('Market Data'!$AP$5:$AP$66,AH!$U$4)),IF(AH!$U$5=1,INDEX('Live History'!$H$5:$H$3004,MATCH($A1485,'Live History'!$G$5:$G$3004,1)),INDEX('AH History'!$B$5:$B$1380,$K1485))),NA()),NA())</f>
        <v/>
      </c>
      <c r="I1485" s="34">
        <f>IFERROR(IF(ISNUMBER($A1485),IF(AND(AH!$U$12=1,1480+1=AH!$U$6),TODAY(),IF(AH!$U$5=1,INDEX('Live History'!$G$5:$G$3004,MATCH($A1485,'Live History'!$G$5:$G$3004,1)),INDEX('AH History'!$C$5:$C$1380,$K1485))),NA()),NA())</f>
        <v/>
      </c>
      <c r="J1485" s="32">
        <f>IFERROR(IF(AND($F1485&gt;0,$H1485&gt;0,$A1485-$G1485&lt;=10,$A1485-$I1485&lt;=5,$G1485&gt;0,$I1485&gt;0),$F1485*$H1485,NA()),NA())</f>
        <v/>
      </c>
      <c r="K1485" s="15">
        <f>IF($A1485="","",IF(AH!$U$5=1,IFERROR(MATCH($A1485,'Live History'!$A$5:$A$3004,0),0),AH!$U$7+1480))</f>
        <v/>
      </c>
      <c r="L1485" s="15">
        <f>IF(ISNUMBER(A1485),TEXT(A1485,"dd-mmm-yy"),"")</f>
        <v/>
      </c>
    </row>
    <row r="1486">
      <c r="A1486" s="14">
        <f>IF(OR(AH!$U$4=0,1481+1&gt;AH!$U$6,AND(AH!$M$5="Bloomberg",AH!$U$5=0)),"",IFERROR(IF(AND(AH!$U$12=1,1481+1=AH!$U$6),TODAY(),IF(AH!$U$5=1,INDEX('Live History'!$A$5:$A$3004,AH!$U$7+1481),INDEX('AH History'!$A$5:$A$1380,AH!$U$7+1481))),""))</f>
        <v/>
      </c>
      <c r="B1486" s="33">
        <f>IFERROR(IF(AH!$U$11=1,NA(),$J1486/$E1486-1),NA())</f>
        <v/>
      </c>
      <c r="C1486" s="269">
        <f>IFERROR(100*$E1486/$E$5,NA())</f>
        <v/>
      </c>
      <c r="D1486" s="269">
        <f>IFERROR(100*$J1486/$J$5,NA())</f>
        <v/>
      </c>
      <c r="E1486" s="32">
        <f>IFERROR(IF(AND(ISNUMBER($A1486),N(IF(AND(AH!$U$12=1,1481+1=AH!$U$6),IF(AH!$U$4=0,"unavailable",INDEX('Market Data'!$AN$5:$AN$66,AH!$U$4)),IF(AH!$U$5=1,INDEX('Live History'!$B$5:$B$3004,$K1486),INDEX('AH History'!$D$5:$GG$1380,$K1486,AH!$U$10))))&gt;0),IF(AND(AH!$U$12=1,1481+1=AH!$U$6),IF(AH!$U$4=0,"unavailable",INDEX('Market Data'!$AN$5:$AN$66,AH!$U$4)),IF(AH!$U$5=1,INDEX('Live History'!$B$5:$B$3004,$K1486),INDEX('AH History'!$D$5:$GG$1380,$K1486,AH!$U$10))),NA()),NA())</f>
        <v/>
      </c>
      <c r="F1486" s="32">
        <f>IFERROR(IF(ISNUMBER($A1486),IF(AND(AH!$U$12=1,1481+1=AH!$U$6),IF(AH!$U$4=0,"unavailable",INDEX('Market Data'!$AO$5:$AO$66,AH!$U$4)),IF(AH!$U$5=1,INDEX('Live History'!$E$5:$E$3004,MATCH($A1486,'Live History'!$D$5:$D$3004,1)),INDEX('AH History'!$D$5:$GG$1380,$K1486,AH!$U$10+1))),NA()),NA())</f>
        <v/>
      </c>
      <c r="G1486" s="34">
        <f>IFERROR(IF(ISNUMBER($A1486),IF(AND(AH!$U$12=1,1481+1=AH!$U$6),IF(AH!$U$4=0,"unavailable",INDEX('Market Data'!$AK$5:$AK$66,AH!$U$4)),IF(AH!$U$5=1,INDEX('Live History'!$D$5:$D$3004,MATCH($A1486,'Live History'!$D$5:$D$3004,1)),INDEX('AH History'!$D$5:$GG$1380,$K1486,AH!$U$10+2))),NA()),NA())</f>
        <v/>
      </c>
      <c r="H1486" s="266">
        <f>IFERROR(IF(ISNUMBER($A1486),IF(AND(AH!$U$12=1,1481+1=AH!$U$6),IF(AH!$U$4=0,"unavailable",INDEX('Market Data'!$AP$5:$AP$66,AH!$U$4)),IF(AH!$U$5=1,INDEX('Live History'!$H$5:$H$3004,MATCH($A1486,'Live History'!$G$5:$G$3004,1)),INDEX('AH History'!$B$5:$B$1380,$K1486))),NA()),NA())</f>
        <v/>
      </c>
      <c r="I1486" s="34">
        <f>IFERROR(IF(ISNUMBER($A1486),IF(AND(AH!$U$12=1,1481+1=AH!$U$6),TODAY(),IF(AH!$U$5=1,INDEX('Live History'!$G$5:$G$3004,MATCH($A1486,'Live History'!$G$5:$G$3004,1)),INDEX('AH History'!$C$5:$C$1380,$K1486))),NA()),NA())</f>
        <v/>
      </c>
      <c r="J1486" s="32">
        <f>IFERROR(IF(AND($F1486&gt;0,$H1486&gt;0,$A1486-$G1486&lt;=10,$A1486-$I1486&lt;=5,$G1486&gt;0,$I1486&gt;0),$F1486*$H1486,NA()),NA())</f>
        <v/>
      </c>
      <c r="K1486" s="15">
        <f>IF($A1486="","",IF(AH!$U$5=1,IFERROR(MATCH($A1486,'Live History'!$A$5:$A$3004,0),0),AH!$U$7+1481))</f>
        <v/>
      </c>
      <c r="L1486" s="15">
        <f>IF(ISNUMBER(A1486),TEXT(A1486,"dd-mmm-yy"),"")</f>
        <v/>
      </c>
    </row>
    <row r="1487">
      <c r="A1487" s="14">
        <f>IF(OR(AH!$U$4=0,1482+1&gt;AH!$U$6,AND(AH!$M$5="Bloomberg",AH!$U$5=0)),"",IFERROR(IF(AND(AH!$U$12=1,1482+1=AH!$U$6),TODAY(),IF(AH!$U$5=1,INDEX('Live History'!$A$5:$A$3004,AH!$U$7+1482),INDEX('AH History'!$A$5:$A$1380,AH!$U$7+1482))),""))</f>
        <v/>
      </c>
      <c r="B1487" s="33">
        <f>IFERROR(IF(AH!$U$11=1,NA(),$J1487/$E1487-1),NA())</f>
        <v/>
      </c>
      <c r="C1487" s="269">
        <f>IFERROR(100*$E1487/$E$5,NA())</f>
        <v/>
      </c>
      <c r="D1487" s="269">
        <f>IFERROR(100*$J1487/$J$5,NA())</f>
        <v/>
      </c>
      <c r="E1487" s="32">
        <f>IFERROR(IF(AND(ISNUMBER($A1487),N(IF(AND(AH!$U$12=1,1482+1=AH!$U$6),IF(AH!$U$4=0,"unavailable",INDEX('Market Data'!$AN$5:$AN$66,AH!$U$4)),IF(AH!$U$5=1,INDEX('Live History'!$B$5:$B$3004,$K1487),INDEX('AH History'!$D$5:$GG$1380,$K1487,AH!$U$10))))&gt;0),IF(AND(AH!$U$12=1,1482+1=AH!$U$6),IF(AH!$U$4=0,"unavailable",INDEX('Market Data'!$AN$5:$AN$66,AH!$U$4)),IF(AH!$U$5=1,INDEX('Live History'!$B$5:$B$3004,$K1487),INDEX('AH History'!$D$5:$GG$1380,$K1487,AH!$U$10))),NA()),NA())</f>
        <v/>
      </c>
      <c r="F1487" s="32">
        <f>IFERROR(IF(ISNUMBER($A1487),IF(AND(AH!$U$12=1,1482+1=AH!$U$6),IF(AH!$U$4=0,"unavailable",INDEX('Market Data'!$AO$5:$AO$66,AH!$U$4)),IF(AH!$U$5=1,INDEX('Live History'!$E$5:$E$3004,MATCH($A1487,'Live History'!$D$5:$D$3004,1)),INDEX('AH History'!$D$5:$GG$1380,$K1487,AH!$U$10+1))),NA()),NA())</f>
        <v/>
      </c>
      <c r="G1487" s="34">
        <f>IFERROR(IF(ISNUMBER($A1487),IF(AND(AH!$U$12=1,1482+1=AH!$U$6),IF(AH!$U$4=0,"unavailable",INDEX('Market Data'!$AK$5:$AK$66,AH!$U$4)),IF(AH!$U$5=1,INDEX('Live History'!$D$5:$D$3004,MATCH($A1487,'Live History'!$D$5:$D$3004,1)),INDEX('AH History'!$D$5:$GG$1380,$K1487,AH!$U$10+2))),NA()),NA())</f>
        <v/>
      </c>
      <c r="H1487" s="266">
        <f>IFERROR(IF(ISNUMBER($A1487),IF(AND(AH!$U$12=1,1482+1=AH!$U$6),IF(AH!$U$4=0,"unavailable",INDEX('Market Data'!$AP$5:$AP$66,AH!$U$4)),IF(AH!$U$5=1,INDEX('Live History'!$H$5:$H$3004,MATCH($A1487,'Live History'!$G$5:$G$3004,1)),INDEX('AH History'!$B$5:$B$1380,$K1487))),NA()),NA())</f>
        <v/>
      </c>
      <c r="I1487" s="34">
        <f>IFERROR(IF(ISNUMBER($A1487),IF(AND(AH!$U$12=1,1482+1=AH!$U$6),TODAY(),IF(AH!$U$5=1,INDEX('Live History'!$G$5:$G$3004,MATCH($A1487,'Live History'!$G$5:$G$3004,1)),INDEX('AH History'!$C$5:$C$1380,$K1487))),NA()),NA())</f>
        <v/>
      </c>
      <c r="J1487" s="32">
        <f>IFERROR(IF(AND($F1487&gt;0,$H1487&gt;0,$A1487-$G1487&lt;=10,$A1487-$I1487&lt;=5,$G1487&gt;0,$I1487&gt;0),$F1487*$H1487,NA()),NA())</f>
        <v/>
      </c>
      <c r="K1487" s="15">
        <f>IF($A1487="","",IF(AH!$U$5=1,IFERROR(MATCH($A1487,'Live History'!$A$5:$A$3004,0),0),AH!$U$7+1482))</f>
        <v/>
      </c>
      <c r="L1487" s="15">
        <f>IF(ISNUMBER(A1487),TEXT(A1487,"dd-mmm-yy"),"")</f>
        <v/>
      </c>
    </row>
    <row r="1488">
      <c r="A1488" s="14">
        <f>IF(OR(AH!$U$4=0,1483+1&gt;AH!$U$6,AND(AH!$M$5="Bloomberg",AH!$U$5=0)),"",IFERROR(IF(AND(AH!$U$12=1,1483+1=AH!$U$6),TODAY(),IF(AH!$U$5=1,INDEX('Live History'!$A$5:$A$3004,AH!$U$7+1483),INDEX('AH History'!$A$5:$A$1380,AH!$U$7+1483))),""))</f>
        <v/>
      </c>
      <c r="B1488" s="33">
        <f>IFERROR(IF(AH!$U$11=1,NA(),$J1488/$E1488-1),NA())</f>
        <v/>
      </c>
      <c r="C1488" s="269">
        <f>IFERROR(100*$E1488/$E$5,NA())</f>
        <v/>
      </c>
      <c r="D1488" s="269">
        <f>IFERROR(100*$J1488/$J$5,NA())</f>
        <v/>
      </c>
      <c r="E1488" s="32">
        <f>IFERROR(IF(AND(ISNUMBER($A1488),N(IF(AND(AH!$U$12=1,1483+1=AH!$U$6),IF(AH!$U$4=0,"unavailable",INDEX('Market Data'!$AN$5:$AN$66,AH!$U$4)),IF(AH!$U$5=1,INDEX('Live History'!$B$5:$B$3004,$K1488),INDEX('AH History'!$D$5:$GG$1380,$K1488,AH!$U$10))))&gt;0),IF(AND(AH!$U$12=1,1483+1=AH!$U$6),IF(AH!$U$4=0,"unavailable",INDEX('Market Data'!$AN$5:$AN$66,AH!$U$4)),IF(AH!$U$5=1,INDEX('Live History'!$B$5:$B$3004,$K1488),INDEX('AH History'!$D$5:$GG$1380,$K1488,AH!$U$10))),NA()),NA())</f>
        <v/>
      </c>
      <c r="F1488" s="32">
        <f>IFERROR(IF(ISNUMBER($A1488),IF(AND(AH!$U$12=1,1483+1=AH!$U$6),IF(AH!$U$4=0,"unavailable",INDEX('Market Data'!$AO$5:$AO$66,AH!$U$4)),IF(AH!$U$5=1,INDEX('Live History'!$E$5:$E$3004,MATCH($A1488,'Live History'!$D$5:$D$3004,1)),INDEX('AH History'!$D$5:$GG$1380,$K1488,AH!$U$10+1))),NA()),NA())</f>
        <v/>
      </c>
      <c r="G1488" s="34">
        <f>IFERROR(IF(ISNUMBER($A1488),IF(AND(AH!$U$12=1,1483+1=AH!$U$6),IF(AH!$U$4=0,"unavailable",INDEX('Market Data'!$AK$5:$AK$66,AH!$U$4)),IF(AH!$U$5=1,INDEX('Live History'!$D$5:$D$3004,MATCH($A1488,'Live History'!$D$5:$D$3004,1)),INDEX('AH History'!$D$5:$GG$1380,$K1488,AH!$U$10+2))),NA()),NA())</f>
        <v/>
      </c>
      <c r="H1488" s="266">
        <f>IFERROR(IF(ISNUMBER($A1488),IF(AND(AH!$U$12=1,1483+1=AH!$U$6),IF(AH!$U$4=0,"unavailable",INDEX('Market Data'!$AP$5:$AP$66,AH!$U$4)),IF(AH!$U$5=1,INDEX('Live History'!$H$5:$H$3004,MATCH($A1488,'Live History'!$G$5:$G$3004,1)),INDEX('AH History'!$B$5:$B$1380,$K1488))),NA()),NA())</f>
        <v/>
      </c>
      <c r="I1488" s="34">
        <f>IFERROR(IF(ISNUMBER($A1488),IF(AND(AH!$U$12=1,1483+1=AH!$U$6),TODAY(),IF(AH!$U$5=1,INDEX('Live History'!$G$5:$G$3004,MATCH($A1488,'Live History'!$G$5:$G$3004,1)),INDEX('AH History'!$C$5:$C$1380,$K1488))),NA()),NA())</f>
        <v/>
      </c>
      <c r="J1488" s="32">
        <f>IFERROR(IF(AND($F1488&gt;0,$H1488&gt;0,$A1488-$G1488&lt;=10,$A1488-$I1488&lt;=5,$G1488&gt;0,$I1488&gt;0),$F1488*$H1488,NA()),NA())</f>
        <v/>
      </c>
      <c r="K1488" s="15">
        <f>IF($A1488="","",IF(AH!$U$5=1,IFERROR(MATCH($A1488,'Live History'!$A$5:$A$3004,0),0),AH!$U$7+1483))</f>
        <v/>
      </c>
      <c r="L1488" s="15">
        <f>IF(ISNUMBER(A1488),TEXT(A1488,"dd-mmm-yy"),"")</f>
        <v/>
      </c>
    </row>
    <row r="1489">
      <c r="A1489" s="14">
        <f>IF(OR(AH!$U$4=0,1484+1&gt;AH!$U$6,AND(AH!$M$5="Bloomberg",AH!$U$5=0)),"",IFERROR(IF(AND(AH!$U$12=1,1484+1=AH!$U$6),TODAY(),IF(AH!$U$5=1,INDEX('Live History'!$A$5:$A$3004,AH!$U$7+1484),INDEX('AH History'!$A$5:$A$1380,AH!$U$7+1484))),""))</f>
        <v/>
      </c>
      <c r="B1489" s="33">
        <f>IFERROR(IF(AH!$U$11=1,NA(),$J1489/$E1489-1),NA())</f>
        <v/>
      </c>
      <c r="C1489" s="269">
        <f>IFERROR(100*$E1489/$E$5,NA())</f>
        <v/>
      </c>
      <c r="D1489" s="269">
        <f>IFERROR(100*$J1489/$J$5,NA())</f>
        <v/>
      </c>
      <c r="E1489" s="32">
        <f>IFERROR(IF(AND(ISNUMBER($A1489),N(IF(AND(AH!$U$12=1,1484+1=AH!$U$6),IF(AH!$U$4=0,"unavailable",INDEX('Market Data'!$AN$5:$AN$66,AH!$U$4)),IF(AH!$U$5=1,INDEX('Live History'!$B$5:$B$3004,$K1489),INDEX('AH History'!$D$5:$GG$1380,$K1489,AH!$U$10))))&gt;0),IF(AND(AH!$U$12=1,1484+1=AH!$U$6),IF(AH!$U$4=0,"unavailable",INDEX('Market Data'!$AN$5:$AN$66,AH!$U$4)),IF(AH!$U$5=1,INDEX('Live History'!$B$5:$B$3004,$K1489),INDEX('AH History'!$D$5:$GG$1380,$K1489,AH!$U$10))),NA()),NA())</f>
        <v/>
      </c>
      <c r="F1489" s="32">
        <f>IFERROR(IF(ISNUMBER($A1489),IF(AND(AH!$U$12=1,1484+1=AH!$U$6),IF(AH!$U$4=0,"unavailable",INDEX('Market Data'!$AO$5:$AO$66,AH!$U$4)),IF(AH!$U$5=1,INDEX('Live History'!$E$5:$E$3004,MATCH($A1489,'Live History'!$D$5:$D$3004,1)),INDEX('AH History'!$D$5:$GG$1380,$K1489,AH!$U$10+1))),NA()),NA())</f>
        <v/>
      </c>
      <c r="G1489" s="34">
        <f>IFERROR(IF(ISNUMBER($A1489),IF(AND(AH!$U$12=1,1484+1=AH!$U$6),IF(AH!$U$4=0,"unavailable",INDEX('Market Data'!$AK$5:$AK$66,AH!$U$4)),IF(AH!$U$5=1,INDEX('Live History'!$D$5:$D$3004,MATCH($A1489,'Live History'!$D$5:$D$3004,1)),INDEX('AH History'!$D$5:$GG$1380,$K1489,AH!$U$10+2))),NA()),NA())</f>
        <v/>
      </c>
      <c r="H1489" s="266">
        <f>IFERROR(IF(ISNUMBER($A1489),IF(AND(AH!$U$12=1,1484+1=AH!$U$6),IF(AH!$U$4=0,"unavailable",INDEX('Market Data'!$AP$5:$AP$66,AH!$U$4)),IF(AH!$U$5=1,INDEX('Live History'!$H$5:$H$3004,MATCH($A1489,'Live History'!$G$5:$G$3004,1)),INDEX('AH History'!$B$5:$B$1380,$K1489))),NA()),NA())</f>
        <v/>
      </c>
      <c r="I1489" s="34">
        <f>IFERROR(IF(ISNUMBER($A1489),IF(AND(AH!$U$12=1,1484+1=AH!$U$6),TODAY(),IF(AH!$U$5=1,INDEX('Live History'!$G$5:$G$3004,MATCH($A1489,'Live History'!$G$5:$G$3004,1)),INDEX('AH History'!$C$5:$C$1380,$K1489))),NA()),NA())</f>
        <v/>
      </c>
      <c r="J1489" s="32">
        <f>IFERROR(IF(AND($F1489&gt;0,$H1489&gt;0,$A1489-$G1489&lt;=10,$A1489-$I1489&lt;=5,$G1489&gt;0,$I1489&gt;0),$F1489*$H1489,NA()),NA())</f>
        <v/>
      </c>
      <c r="K1489" s="15">
        <f>IF($A1489="","",IF(AH!$U$5=1,IFERROR(MATCH($A1489,'Live History'!$A$5:$A$3004,0),0),AH!$U$7+1484))</f>
        <v/>
      </c>
      <c r="L1489" s="15">
        <f>IF(ISNUMBER(A1489),TEXT(A1489,"dd-mmm-yy"),"")</f>
        <v/>
      </c>
    </row>
    <row r="1490">
      <c r="A1490" s="14">
        <f>IF(OR(AH!$U$4=0,1485+1&gt;AH!$U$6,AND(AH!$M$5="Bloomberg",AH!$U$5=0)),"",IFERROR(IF(AND(AH!$U$12=1,1485+1=AH!$U$6),TODAY(),IF(AH!$U$5=1,INDEX('Live History'!$A$5:$A$3004,AH!$U$7+1485),INDEX('AH History'!$A$5:$A$1380,AH!$U$7+1485))),""))</f>
        <v/>
      </c>
      <c r="B1490" s="33">
        <f>IFERROR(IF(AH!$U$11=1,NA(),$J1490/$E1490-1),NA())</f>
        <v/>
      </c>
      <c r="C1490" s="269">
        <f>IFERROR(100*$E1490/$E$5,NA())</f>
        <v/>
      </c>
      <c r="D1490" s="269">
        <f>IFERROR(100*$J1490/$J$5,NA())</f>
        <v/>
      </c>
      <c r="E1490" s="32">
        <f>IFERROR(IF(AND(ISNUMBER($A1490),N(IF(AND(AH!$U$12=1,1485+1=AH!$U$6),IF(AH!$U$4=0,"unavailable",INDEX('Market Data'!$AN$5:$AN$66,AH!$U$4)),IF(AH!$U$5=1,INDEX('Live History'!$B$5:$B$3004,$K1490),INDEX('AH History'!$D$5:$GG$1380,$K1490,AH!$U$10))))&gt;0),IF(AND(AH!$U$12=1,1485+1=AH!$U$6),IF(AH!$U$4=0,"unavailable",INDEX('Market Data'!$AN$5:$AN$66,AH!$U$4)),IF(AH!$U$5=1,INDEX('Live History'!$B$5:$B$3004,$K1490),INDEX('AH History'!$D$5:$GG$1380,$K1490,AH!$U$10))),NA()),NA())</f>
        <v/>
      </c>
      <c r="F1490" s="32">
        <f>IFERROR(IF(ISNUMBER($A1490),IF(AND(AH!$U$12=1,1485+1=AH!$U$6),IF(AH!$U$4=0,"unavailable",INDEX('Market Data'!$AO$5:$AO$66,AH!$U$4)),IF(AH!$U$5=1,INDEX('Live History'!$E$5:$E$3004,MATCH($A1490,'Live History'!$D$5:$D$3004,1)),INDEX('AH History'!$D$5:$GG$1380,$K1490,AH!$U$10+1))),NA()),NA())</f>
        <v/>
      </c>
      <c r="G1490" s="34">
        <f>IFERROR(IF(ISNUMBER($A1490),IF(AND(AH!$U$12=1,1485+1=AH!$U$6),IF(AH!$U$4=0,"unavailable",INDEX('Market Data'!$AK$5:$AK$66,AH!$U$4)),IF(AH!$U$5=1,INDEX('Live History'!$D$5:$D$3004,MATCH($A1490,'Live History'!$D$5:$D$3004,1)),INDEX('AH History'!$D$5:$GG$1380,$K1490,AH!$U$10+2))),NA()),NA())</f>
        <v/>
      </c>
      <c r="H1490" s="266">
        <f>IFERROR(IF(ISNUMBER($A1490),IF(AND(AH!$U$12=1,1485+1=AH!$U$6),IF(AH!$U$4=0,"unavailable",INDEX('Market Data'!$AP$5:$AP$66,AH!$U$4)),IF(AH!$U$5=1,INDEX('Live History'!$H$5:$H$3004,MATCH($A1490,'Live History'!$G$5:$G$3004,1)),INDEX('AH History'!$B$5:$B$1380,$K1490))),NA()),NA())</f>
        <v/>
      </c>
      <c r="I1490" s="34">
        <f>IFERROR(IF(ISNUMBER($A1490),IF(AND(AH!$U$12=1,1485+1=AH!$U$6),TODAY(),IF(AH!$U$5=1,INDEX('Live History'!$G$5:$G$3004,MATCH($A1490,'Live History'!$G$5:$G$3004,1)),INDEX('AH History'!$C$5:$C$1380,$K1490))),NA()),NA())</f>
        <v/>
      </c>
      <c r="J1490" s="32">
        <f>IFERROR(IF(AND($F1490&gt;0,$H1490&gt;0,$A1490-$G1490&lt;=10,$A1490-$I1490&lt;=5,$G1490&gt;0,$I1490&gt;0),$F1490*$H1490,NA()),NA())</f>
        <v/>
      </c>
      <c r="K1490" s="15">
        <f>IF($A1490="","",IF(AH!$U$5=1,IFERROR(MATCH($A1490,'Live History'!$A$5:$A$3004,0),0),AH!$U$7+1485))</f>
        <v/>
      </c>
      <c r="L1490" s="15">
        <f>IF(ISNUMBER(A1490),TEXT(A1490,"dd-mmm-yy"),"")</f>
        <v/>
      </c>
    </row>
    <row r="1491">
      <c r="A1491" s="14">
        <f>IF(OR(AH!$U$4=0,1486+1&gt;AH!$U$6,AND(AH!$M$5="Bloomberg",AH!$U$5=0)),"",IFERROR(IF(AND(AH!$U$12=1,1486+1=AH!$U$6),TODAY(),IF(AH!$U$5=1,INDEX('Live History'!$A$5:$A$3004,AH!$U$7+1486),INDEX('AH History'!$A$5:$A$1380,AH!$U$7+1486))),""))</f>
        <v/>
      </c>
      <c r="B1491" s="33">
        <f>IFERROR(IF(AH!$U$11=1,NA(),$J1491/$E1491-1),NA())</f>
        <v/>
      </c>
      <c r="C1491" s="269">
        <f>IFERROR(100*$E1491/$E$5,NA())</f>
        <v/>
      </c>
      <c r="D1491" s="269">
        <f>IFERROR(100*$J1491/$J$5,NA())</f>
        <v/>
      </c>
      <c r="E1491" s="32">
        <f>IFERROR(IF(AND(ISNUMBER($A1491),N(IF(AND(AH!$U$12=1,1486+1=AH!$U$6),IF(AH!$U$4=0,"unavailable",INDEX('Market Data'!$AN$5:$AN$66,AH!$U$4)),IF(AH!$U$5=1,INDEX('Live History'!$B$5:$B$3004,$K1491),INDEX('AH History'!$D$5:$GG$1380,$K1491,AH!$U$10))))&gt;0),IF(AND(AH!$U$12=1,1486+1=AH!$U$6),IF(AH!$U$4=0,"unavailable",INDEX('Market Data'!$AN$5:$AN$66,AH!$U$4)),IF(AH!$U$5=1,INDEX('Live History'!$B$5:$B$3004,$K1491),INDEX('AH History'!$D$5:$GG$1380,$K1491,AH!$U$10))),NA()),NA())</f>
        <v/>
      </c>
      <c r="F1491" s="32">
        <f>IFERROR(IF(ISNUMBER($A1491),IF(AND(AH!$U$12=1,1486+1=AH!$U$6),IF(AH!$U$4=0,"unavailable",INDEX('Market Data'!$AO$5:$AO$66,AH!$U$4)),IF(AH!$U$5=1,INDEX('Live History'!$E$5:$E$3004,MATCH($A1491,'Live History'!$D$5:$D$3004,1)),INDEX('AH History'!$D$5:$GG$1380,$K1491,AH!$U$10+1))),NA()),NA())</f>
        <v/>
      </c>
      <c r="G1491" s="34">
        <f>IFERROR(IF(ISNUMBER($A1491),IF(AND(AH!$U$12=1,1486+1=AH!$U$6),IF(AH!$U$4=0,"unavailable",INDEX('Market Data'!$AK$5:$AK$66,AH!$U$4)),IF(AH!$U$5=1,INDEX('Live History'!$D$5:$D$3004,MATCH($A1491,'Live History'!$D$5:$D$3004,1)),INDEX('AH History'!$D$5:$GG$1380,$K1491,AH!$U$10+2))),NA()),NA())</f>
        <v/>
      </c>
      <c r="H1491" s="266">
        <f>IFERROR(IF(ISNUMBER($A1491),IF(AND(AH!$U$12=1,1486+1=AH!$U$6),IF(AH!$U$4=0,"unavailable",INDEX('Market Data'!$AP$5:$AP$66,AH!$U$4)),IF(AH!$U$5=1,INDEX('Live History'!$H$5:$H$3004,MATCH($A1491,'Live History'!$G$5:$G$3004,1)),INDEX('AH History'!$B$5:$B$1380,$K1491))),NA()),NA())</f>
        <v/>
      </c>
      <c r="I1491" s="34">
        <f>IFERROR(IF(ISNUMBER($A1491),IF(AND(AH!$U$12=1,1486+1=AH!$U$6),TODAY(),IF(AH!$U$5=1,INDEX('Live History'!$G$5:$G$3004,MATCH($A1491,'Live History'!$G$5:$G$3004,1)),INDEX('AH History'!$C$5:$C$1380,$K1491))),NA()),NA())</f>
        <v/>
      </c>
      <c r="J1491" s="32">
        <f>IFERROR(IF(AND($F1491&gt;0,$H1491&gt;0,$A1491-$G1491&lt;=10,$A1491-$I1491&lt;=5,$G1491&gt;0,$I1491&gt;0),$F1491*$H1491,NA()),NA())</f>
        <v/>
      </c>
      <c r="K1491" s="15">
        <f>IF($A1491="","",IF(AH!$U$5=1,IFERROR(MATCH($A1491,'Live History'!$A$5:$A$3004,0),0),AH!$U$7+1486))</f>
        <v/>
      </c>
      <c r="L1491" s="15">
        <f>IF(ISNUMBER(A1491),TEXT(A1491,"dd-mmm-yy"),"")</f>
        <v/>
      </c>
    </row>
    <row r="1492">
      <c r="A1492" s="14">
        <f>IF(OR(AH!$U$4=0,1487+1&gt;AH!$U$6,AND(AH!$M$5="Bloomberg",AH!$U$5=0)),"",IFERROR(IF(AND(AH!$U$12=1,1487+1=AH!$U$6),TODAY(),IF(AH!$U$5=1,INDEX('Live History'!$A$5:$A$3004,AH!$U$7+1487),INDEX('AH History'!$A$5:$A$1380,AH!$U$7+1487))),""))</f>
        <v/>
      </c>
      <c r="B1492" s="33">
        <f>IFERROR(IF(AH!$U$11=1,NA(),$J1492/$E1492-1),NA())</f>
        <v/>
      </c>
      <c r="C1492" s="269">
        <f>IFERROR(100*$E1492/$E$5,NA())</f>
        <v/>
      </c>
      <c r="D1492" s="269">
        <f>IFERROR(100*$J1492/$J$5,NA())</f>
        <v/>
      </c>
      <c r="E1492" s="32">
        <f>IFERROR(IF(AND(ISNUMBER($A1492),N(IF(AND(AH!$U$12=1,1487+1=AH!$U$6),IF(AH!$U$4=0,"unavailable",INDEX('Market Data'!$AN$5:$AN$66,AH!$U$4)),IF(AH!$U$5=1,INDEX('Live History'!$B$5:$B$3004,$K1492),INDEX('AH History'!$D$5:$GG$1380,$K1492,AH!$U$10))))&gt;0),IF(AND(AH!$U$12=1,1487+1=AH!$U$6),IF(AH!$U$4=0,"unavailable",INDEX('Market Data'!$AN$5:$AN$66,AH!$U$4)),IF(AH!$U$5=1,INDEX('Live History'!$B$5:$B$3004,$K1492),INDEX('AH History'!$D$5:$GG$1380,$K1492,AH!$U$10))),NA()),NA())</f>
        <v/>
      </c>
      <c r="F1492" s="32">
        <f>IFERROR(IF(ISNUMBER($A1492),IF(AND(AH!$U$12=1,1487+1=AH!$U$6),IF(AH!$U$4=0,"unavailable",INDEX('Market Data'!$AO$5:$AO$66,AH!$U$4)),IF(AH!$U$5=1,INDEX('Live History'!$E$5:$E$3004,MATCH($A1492,'Live History'!$D$5:$D$3004,1)),INDEX('AH History'!$D$5:$GG$1380,$K1492,AH!$U$10+1))),NA()),NA())</f>
        <v/>
      </c>
      <c r="G1492" s="34">
        <f>IFERROR(IF(ISNUMBER($A1492),IF(AND(AH!$U$12=1,1487+1=AH!$U$6),IF(AH!$U$4=0,"unavailable",INDEX('Market Data'!$AK$5:$AK$66,AH!$U$4)),IF(AH!$U$5=1,INDEX('Live History'!$D$5:$D$3004,MATCH($A1492,'Live History'!$D$5:$D$3004,1)),INDEX('AH History'!$D$5:$GG$1380,$K1492,AH!$U$10+2))),NA()),NA())</f>
        <v/>
      </c>
      <c r="H1492" s="266">
        <f>IFERROR(IF(ISNUMBER($A1492),IF(AND(AH!$U$12=1,1487+1=AH!$U$6),IF(AH!$U$4=0,"unavailable",INDEX('Market Data'!$AP$5:$AP$66,AH!$U$4)),IF(AH!$U$5=1,INDEX('Live History'!$H$5:$H$3004,MATCH($A1492,'Live History'!$G$5:$G$3004,1)),INDEX('AH History'!$B$5:$B$1380,$K1492))),NA()),NA())</f>
        <v/>
      </c>
      <c r="I1492" s="34">
        <f>IFERROR(IF(ISNUMBER($A1492),IF(AND(AH!$U$12=1,1487+1=AH!$U$6),TODAY(),IF(AH!$U$5=1,INDEX('Live History'!$G$5:$G$3004,MATCH($A1492,'Live History'!$G$5:$G$3004,1)),INDEX('AH History'!$C$5:$C$1380,$K1492))),NA()),NA())</f>
        <v/>
      </c>
      <c r="J1492" s="32">
        <f>IFERROR(IF(AND($F1492&gt;0,$H1492&gt;0,$A1492-$G1492&lt;=10,$A1492-$I1492&lt;=5,$G1492&gt;0,$I1492&gt;0),$F1492*$H1492,NA()),NA())</f>
        <v/>
      </c>
      <c r="K1492" s="15">
        <f>IF($A1492="","",IF(AH!$U$5=1,IFERROR(MATCH($A1492,'Live History'!$A$5:$A$3004,0),0),AH!$U$7+1487))</f>
        <v/>
      </c>
      <c r="L1492" s="15">
        <f>IF(ISNUMBER(A1492),TEXT(A1492,"dd-mmm-yy"),"")</f>
        <v/>
      </c>
    </row>
    <row r="1493">
      <c r="A1493" s="14">
        <f>IF(OR(AH!$U$4=0,1488+1&gt;AH!$U$6,AND(AH!$M$5="Bloomberg",AH!$U$5=0)),"",IFERROR(IF(AND(AH!$U$12=1,1488+1=AH!$U$6),TODAY(),IF(AH!$U$5=1,INDEX('Live History'!$A$5:$A$3004,AH!$U$7+1488),INDEX('AH History'!$A$5:$A$1380,AH!$U$7+1488))),""))</f>
        <v/>
      </c>
      <c r="B1493" s="33">
        <f>IFERROR(IF(AH!$U$11=1,NA(),$J1493/$E1493-1),NA())</f>
        <v/>
      </c>
      <c r="C1493" s="269">
        <f>IFERROR(100*$E1493/$E$5,NA())</f>
        <v/>
      </c>
      <c r="D1493" s="269">
        <f>IFERROR(100*$J1493/$J$5,NA())</f>
        <v/>
      </c>
      <c r="E1493" s="32">
        <f>IFERROR(IF(AND(ISNUMBER($A1493),N(IF(AND(AH!$U$12=1,1488+1=AH!$U$6),IF(AH!$U$4=0,"unavailable",INDEX('Market Data'!$AN$5:$AN$66,AH!$U$4)),IF(AH!$U$5=1,INDEX('Live History'!$B$5:$B$3004,$K1493),INDEX('AH History'!$D$5:$GG$1380,$K1493,AH!$U$10))))&gt;0),IF(AND(AH!$U$12=1,1488+1=AH!$U$6),IF(AH!$U$4=0,"unavailable",INDEX('Market Data'!$AN$5:$AN$66,AH!$U$4)),IF(AH!$U$5=1,INDEX('Live History'!$B$5:$B$3004,$K1493),INDEX('AH History'!$D$5:$GG$1380,$K1493,AH!$U$10))),NA()),NA())</f>
        <v/>
      </c>
      <c r="F1493" s="32">
        <f>IFERROR(IF(ISNUMBER($A1493),IF(AND(AH!$U$12=1,1488+1=AH!$U$6),IF(AH!$U$4=0,"unavailable",INDEX('Market Data'!$AO$5:$AO$66,AH!$U$4)),IF(AH!$U$5=1,INDEX('Live History'!$E$5:$E$3004,MATCH($A1493,'Live History'!$D$5:$D$3004,1)),INDEX('AH History'!$D$5:$GG$1380,$K1493,AH!$U$10+1))),NA()),NA())</f>
        <v/>
      </c>
      <c r="G1493" s="34">
        <f>IFERROR(IF(ISNUMBER($A1493),IF(AND(AH!$U$12=1,1488+1=AH!$U$6),IF(AH!$U$4=0,"unavailable",INDEX('Market Data'!$AK$5:$AK$66,AH!$U$4)),IF(AH!$U$5=1,INDEX('Live History'!$D$5:$D$3004,MATCH($A1493,'Live History'!$D$5:$D$3004,1)),INDEX('AH History'!$D$5:$GG$1380,$K1493,AH!$U$10+2))),NA()),NA())</f>
        <v/>
      </c>
      <c r="H1493" s="266">
        <f>IFERROR(IF(ISNUMBER($A1493),IF(AND(AH!$U$12=1,1488+1=AH!$U$6),IF(AH!$U$4=0,"unavailable",INDEX('Market Data'!$AP$5:$AP$66,AH!$U$4)),IF(AH!$U$5=1,INDEX('Live History'!$H$5:$H$3004,MATCH($A1493,'Live History'!$G$5:$G$3004,1)),INDEX('AH History'!$B$5:$B$1380,$K1493))),NA()),NA())</f>
        <v/>
      </c>
      <c r="I1493" s="34">
        <f>IFERROR(IF(ISNUMBER($A1493),IF(AND(AH!$U$12=1,1488+1=AH!$U$6),TODAY(),IF(AH!$U$5=1,INDEX('Live History'!$G$5:$G$3004,MATCH($A1493,'Live History'!$G$5:$G$3004,1)),INDEX('AH History'!$C$5:$C$1380,$K1493))),NA()),NA())</f>
        <v/>
      </c>
      <c r="J1493" s="32">
        <f>IFERROR(IF(AND($F1493&gt;0,$H1493&gt;0,$A1493-$G1493&lt;=10,$A1493-$I1493&lt;=5,$G1493&gt;0,$I1493&gt;0),$F1493*$H1493,NA()),NA())</f>
        <v/>
      </c>
      <c r="K1493" s="15">
        <f>IF($A1493="","",IF(AH!$U$5=1,IFERROR(MATCH($A1493,'Live History'!$A$5:$A$3004,0),0),AH!$U$7+1488))</f>
        <v/>
      </c>
      <c r="L1493" s="15">
        <f>IF(ISNUMBER(A1493),TEXT(A1493,"dd-mmm-yy"),"")</f>
        <v/>
      </c>
    </row>
    <row r="1494">
      <c r="A1494" s="14">
        <f>IF(OR(AH!$U$4=0,1489+1&gt;AH!$U$6,AND(AH!$M$5="Bloomberg",AH!$U$5=0)),"",IFERROR(IF(AND(AH!$U$12=1,1489+1=AH!$U$6),TODAY(),IF(AH!$U$5=1,INDEX('Live History'!$A$5:$A$3004,AH!$U$7+1489),INDEX('AH History'!$A$5:$A$1380,AH!$U$7+1489))),""))</f>
        <v/>
      </c>
      <c r="B1494" s="33">
        <f>IFERROR(IF(AH!$U$11=1,NA(),$J1494/$E1494-1),NA())</f>
        <v/>
      </c>
      <c r="C1494" s="269">
        <f>IFERROR(100*$E1494/$E$5,NA())</f>
        <v/>
      </c>
      <c r="D1494" s="269">
        <f>IFERROR(100*$J1494/$J$5,NA())</f>
        <v/>
      </c>
      <c r="E1494" s="32">
        <f>IFERROR(IF(AND(ISNUMBER($A1494),N(IF(AND(AH!$U$12=1,1489+1=AH!$U$6),IF(AH!$U$4=0,"unavailable",INDEX('Market Data'!$AN$5:$AN$66,AH!$U$4)),IF(AH!$U$5=1,INDEX('Live History'!$B$5:$B$3004,$K1494),INDEX('AH History'!$D$5:$GG$1380,$K1494,AH!$U$10))))&gt;0),IF(AND(AH!$U$12=1,1489+1=AH!$U$6),IF(AH!$U$4=0,"unavailable",INDEX('Market Data'!$AN$5:$AN$66,AH!$U$4)),IF(AH!$U$5=1,INDEX('Live History'!$B$5:$B$3004,$K1494),INDEX('AH History'!$D$5:$GG$1380,$K1494,AH!$U$10))),NA()),NA())</f>
        <v/>
      </c>
      <c r="F1494" s="32">
        <f>IFERROR(IF(ISNUMBER($A1494),IF(AND(AH!$U$12=1,1489+1=AH!$U$6),IF(AH!$U$4=0,"unavailable",INDEX('Market Data'!$AO$5:$AO$66,AH!$U$4)),IF(AH!$U$5=1,INDEX('Live History'!$E$5:$E$3004,MATCH($A1494,'Live History'!$D$5:$D$3004,1)),INDEX('AH History'!$D$5:$GG$1380,$K1494,AH!$U$10+1))),NA()),NA())</f>
        <v/>
      </c>
      <c r="G1494" s="34">
        <f>IFERROR(IF(ISNUMBER($A1494),IF(AND(AH!$U$12=1,1489+1=AH!$U$6),IF(AH!$U$4=0,"unavailable",INDEX('Market Data'!$AK$5:$AK$66,AH!$U$4)),IF(AH!$U$5=1,INDEX('Live History'!$D$5:$D$3004,MATCH($A1494,'Live History'!$D$5:$D$3004,1)),INDEX('AH History'!$D$5:$GG$1380,$K1494,AH!$U$10+2))),NA()),NA())</f>
        <v/>
      </c>
      <c r="H1494" s="266">
        <f>IFERROR(IF(ISNUMBER($A1494),IF(AND(AH!$U$12=1,1489+1=AH!$U$6),IF(AH!$U$4=0,"unavailable",INDEX('Market Data'!$AP$5:$AP$66,AH!$U$4)),IF(AH!$U$5=1,INDEX('Live History'!$H$5:$H$3004,MATCH($A1494,'Live History'!$G$5:$G$3004,1)),INDEX('AH History'!$B$5:$B$1380,$K1494))),NA()),NA())</f>
        <v/>
      </c>
      <c r="I1494" s="34">
        <f>IFERROR(IF(ISNUMBER($A1494),IF(AND(AH!$U$12=1,1489+1=AH!$U$6),TODAY(),IF(AH!$U$5=1,INDEX('Live History'!$G$5:$G$3004,MATCH($A1494,'Live History'!$G$5:$G$3004,1)),INDEX('AH History'!$C$5:$C$1380,$K1494))),NA()),NA())</f>
        <v/>
      </c>
      <c r="J1494" s="32">
        <f>IFERROR(IF(AND($F1494&gt;0,$H1494&gt;0,$A1494-$G1494&lt;=10,$A1494-$I1494&lt;=5,$G1494&gt;0,$I1494&gt;0),$F1494*$H1494,NA()),NA())</f>
        <v/>
      </c>
      <c r="K1494" s="15">
        <f>IF($A1494="","",IF(AH!$U$5=1,IFERROR(MATCH($A1494,'Live History'!$A$5:$A$3004,0),0),AH!$U$7+1489))</f>
        <v/>
      </c>
      <c r="L1494" s="15">
        <f>IF(ISNUMBER(A1494),TEXT(A1494,"dd-mmm-yy"),"")</f>
        <v/>
      </c>
    </row>
    <row r="1495">
      <c r="A1495" s="14">
        <f>IF(OR(AH!$U$4=0,1490+1&gt;AH!$U$6,AND(AH!$M$5="Bloomberg",AH!$U$5=0)),"",IFERROR(IF(AND(AH!$U$12=1,1490+1=AH!$U$6),TODAY(),IF(AH!$U$5=1,INDEX('Live History'!$A$5:$A$3004,AH!$U$7+1490),INDEX('AH History'!$A$5:$A$1380,AH!$U$7+1490))),""))</f>
        <v/>
      </c>
      <c r="B1495" s="33">
        <f>IFERROR(IF(AH!$U$11=1,NA(),$J1495/$E1495-1),NA())</f>
        <v/>
      </c>
      <c r="C1495" s="269">
        <f>IFERROR(100*$E1495/$E$5,NA())</f>
        <v/>
      </c>
      <c r="D1495" s="269">
        <f>IFERROR(100*$J1495/$J$5,NA())</f>
        <v/>
      </c>
      <c r="E1495" s="32">
        <f>IFERROR(IF(AND(ISNUMBER($A1495),N(IF(AND(AH!$U$12=1,1490+1=AH!$U$6),IF(AH!$U$4=0,"unavailable",INDEX('Market Data'!$AN$5:$AN$66,AH!$U$4)),IF(AH!$U$5=1,INDEX('Live History'!$B$5:$B$3004,$K1495),INDEX('AH History'!$D$5:$GG$1380,$K1495,AH!$U$10))))&gt;0),IF(AND(AH!$U$12=1,1490+1=AH!$U$6),IF(AH!$U$4=0,"unavailable",INDEX('Market Data'!$AN$5:$AN$66,AH!$U$4)),IF(AH!$U$5=1,INDEX('Live History'!$B$5:$B$3004,$K1495),INDEX('AH History'!$D$5:$GG$1380,$K1495,AH!$U$10))),NA()),NA())</f>
        <v/>
      </c>
      <c r="F1495" s="32">
        <f>IFERROR(IF(ISNUMBER($A1495),IF(AND(AH!$U$12=1,1490+1=AH!$U$6),IF(AH!$U$4=0,"unavailable",INDEX('Market Data'!$AO$5:$AO$66,AH!$U$4)),IF(AH!$U$5=1,INDEX('Live History'!$E$5:$E$3004,MATCH($A1495,'Live History'!$D$5:$D$3004,1)),INDEX('AH History'!$D$5:$GG$1380,$K1495,AH!$U$10+1))),NA()),NA())</f>
        <v/>
      </c>
      <c r="G1495" s="34">
        <f>IFERROR(IF(ISNUMBER($A1495),IF(AND(AH!$U$12=1,1490+1=AH!$U$6),IF(AH!$U$4=0,"unavailable",INDEX('Market Data'!$AK$5:$AK$66,AH!$U$4)),IF(AH!$U$5=1,INDEX('Live History'!$D$5:$D$3004,MATCH($A1495,'Live History'!$D$5:$D$3004,1)),INDEX('AH History'!$D$5:$GG$1380,$K1495,AH!$U$10+2))),NA()),NA())</f>
        <v/>
      </c>
      <c r="H1495" s="266">
        <f>IFERROR(IF(ISNUMBER($A1495),IF(AND(AH!$U$12=1,1490+1=AH!$U$6),IF(AH!$U$4=0,"unavailable",INDEX('Market Data'!$AP$5:$AP$66,AH!$U$4)),IF(AH!$U$5=1,INDEX('Live History'!$H$5:$H$3004,MATCH($A1495,'Live History'!$G$5:$G$3004,1)),INDEX('AH History'!$B$5:$B$1380,$K1495))),NA()),NA())</f>
        <v/>
      </c>
      <c r="I1495" s="34">
        <f>IFERROR(IF(ISNUMBER($A1495),IF(AND(AH!$U$12=1,1490+1=AH!$U$6),TODAY(),IF(AH!$U$5=1,INDEX('Live History'!$G$5:$G$3004,MATCH($A1495,'Live History'!$G$5:$G$3004,1)),INDEX('AH History'!$C$5:$C$1380,$K1495))),NA()),NA())</f>
        <v/>
      </c>
      <c r="J1495" s="32">
        <f>IFERROR(IF(AND($F1495&gt;0,$H1495&gt;0,$A1495-$G1495&lt;=10,$A1495-$I1495&lt;=5,$G1495&gt;0,$I1495&gt;0),$F1495*$H1495,NA()),NA())</f>
        <v/>
      </c>
      <c r="K1495" s="15">
        <f>IF($A1495="","",IF(AH!$U$5=1,IFERROR(MATCH($A1495,'Live History'!$A$5:$A$3004,0),0),AH!$U$7+1490))</f>
        <v/>
      </c>
      <c r="L1495" s="15">
        <f>IF(ISNUMBER(A1495),TEXT(A1495,"dd-mmm-yy"),"")</f>
        <v/>
      </c>
    </row>
    <row r="1496">
      <c r="A1496" s="14">
        <f>IF(OR(AH!$U$4=0,1491+1&gt;AH!$U$6,AND(AH!$M$5="Bloomberg",AH!$U$5=0)),"",IFERROR(IF(AND(AH!$U$12=1,1491+1=AH!$U$6),TODAY(),IF(AH!$U$5=1,INDEX('Live History'!$A$5:$A$3004,AH!$U$7+1491),INDEX('AH History'!$A$5:$A$1380,AH!$U$7+1491))),""))</f>
        <v/>
      </c>
      <c r="B1496" s="33">
        <f>IFERROR(IF(AH!$U$11=1,NA(),$J1496/$E1496-1),NA())</f>
        <v/>
      </c>
      <c r="C1496" s="269">
        <f>IFERROR(100*$E1496/$E$5,NA())</f>
        <v/>
      </c>
      <c r="D1496" s="269">
        <f>IFERROR(100*$J1496/$J$5,NA())</f>
        <v/>
      </c>
      <c r="E1496" s="32">
        <f>IFERROR(IF(AND(ISNUMBER($A1496),N(IF(AND(AH!$U$12=1,1491+1=AH!$U$6),IF(AH!$U$4=0,"unavailable",INDEX('Market Data'!$AN$5:$AN$66,AH!$U$4)),IF(AH!$U$5=1,INDEX('Live History'!$B$5:$B$3004,$K1496),INDEX('AH History'!$D$5:$GG$1380,$K1496,AH!$U$10))))&gt;0),IF(AND(AH!$U$12=1,1491+1=AH!$U$6),IF(AH!$U$4=0,"unavailable",INDEX('Market Data'!$AN$5:$AN$66,AH!$U$4)),IF(AH!$U$5=1,INDEX('Live History'!$B$5:$B$3004,$K1496),INDEX('AH History'!$D$5:$GG$1380,$K1496,AH!$U$10))),NA()),NA())</f>
        <v/>
      </c>
      <c r="F1496" s="32">
        <f>IFERROR(IF(ISNUMBER($A1496),IF(AND(AH!$U$12=1,1491+1=AH!$U$6),IF(AH!$U$4=0,"unavailable",INDEX('Market Data'!$AO$5:$AO$66,AH!$U$4)),IF(AH!$U$5=1,INDEX('Live History'!$E$5:$E$3004,MATCH($A1496,'Live History'!$D$5:$D$3004,1)),INDEX('AH History'!$D$5:$GG$1380,$K1496,AH!$U$10+1))),NA()),NA())</f>
        <v/>
      </c>
      <c r="G1496" s="34">
        <f>IFERROR(IF(ISNUMBER($A1496),IF(AND(AH!$U$12=1,1491+1=AH!$U$6),IF(AH!$U$4=0,"unavailable",INDEX('Market Data'!$AK$5:$AK$66,AH!$U$4)),IF(AH!$U$5=1,INDEX('Live History'!$D$5:$D$3004,MATCH($A1496,'Live History'!$D$5:$D$3004,1)),INDEX('AH History'!$D$5:$GG$1380,$K1496,AH!$U$10+2))),NA()),NA())</f>
        <v/>
      </c>
      <c r="H1496" s="266">
        <f>IFERROR(IF(ISNUMBER($A1496),IF(AND(AH!$U$12=1,1491+1=AH!$U$6),IF(AH!$U$4=0,"unavailable",INDEX('Market Data'!$AP$5:$AP$66,AH!$U$4)),IF(AH!$U$5=1,INDEX('Live History'!$H$5:$H$3004,MATCH($A1496,'Live History'!$G$5:$G$3004,1)),INDEX('AH History'!$B$5:$B$1380,$K1496))),NA()),NA())</f>
        <v/>
      </c>
      <c r="I1496" s="34">
        <f>IFERROR(IF(ISNUMBER($A1496),IF(AND(AH!$U$12=1,1491+1=AH!$U$6),TODAY(),IF(AH!$U$5=1,INDEX('Live History'!$G$5:$G$3004,MATCH($A1496,'Live History'!$G$5:$G$3004,1)),INDEX('AH History'!$C$5:$C$1380,$K1496))),NA()),NA())</f>
        <v/>
      </c>
      <c r="J1496" s="32">
        <f>IFERROR(IF(AND($F1496&gt;0,$H1496&gt;0,$A1496-$G1496&lt;=10,$A1496-$I1496&lt;=5,$G1496&gt;0,$I1496&gt;0),$F1496*$H1496,NA()),NA())</f>
        <v/>
      </c>
      <c r="K1496" s="15">
        <f>IF($A1496="","",IF(AH!$U$5=1,IFERROR(MATCH($A1496,'Live History'!$A$5:$A$3004,0),0),AH!$U$7+1491))</f>
        <v/>
      </c>
      <c r="L1496" s="15">
        <f>IF(ISNUMBER(A1496),TEXT(A1496,"dd-mmm-yy"),"")</f>
        <v/>
      </c>
    </row>
    <row r="1497">
      <c r="A1497" s="14">
        <f>IF(OR(AH!$U$4=0,1492+1&gt;AH!$U$6,AND(AH!$M$5="Bloomberg",AH!$U$5=0)),"",IFERROR(IF(AND(AH!$U$12=1,1492+1=AH!$U$6),TODAY(),IF(AH!$U$5=1,INDEX('Live History'!$A$5:$A$3004,AH!$U$7+1492),INDEX('AH History'!$A$5:$A$1380,AH!$U$7+1492))),""))</f>
        <v/>
      </c>
      <c r="B1497" s="33">
        <f>IFERROR(IF(AH!$U$11=1,NA(),$J1497/$E1497-1),NA())</f>
        <v/>
      </c>
      <c r="C1497" s="269">
        <f>IFERROR(100*$E1497/$E$5,NA())</f>
        <v/>
      </c>
      <c r="D1497" s="269">
        <f>IFERROR(100*$J1497/$J$5,NA())</f>
        <v/>
      </c>
      <c r="E1497" s="32">
        <f>IFERROR(IF(AND(ISNUMBER($A1497),N(IF(AND(AH!$U$12=1,1492+1=AH!$U$6),IF(AH!$U$4=0,"unavailable",INDEX('Market Data'!$AN$5:$AN$66,AH!$U$4)),IF(AH!$U$5=1,INDEX('Live History'!$B$5:$B$3004,$K1497),INDEX('AH History'!$D$5:$GG$1380,$K1497,AH!$U$10))))&gt;0),IF(AND(AH!$U$12=1,1492+1=AH!$U$6),IF(AH!$U$4=0,"unavailable",INDEX('Market Data'!$AN$5:$AN$66,AH!$U$4)),IF(AH!$U$5=1,INDEX('Live History'!$B$5:$B$3004,$K1497),INDEX('AH History'!$D$5:$GG$1380,$K1497,AH!$U$10))),NA()),NA())</f>
        <v/>
      </c>
      <c r="F1497" s="32">
        <f>IFERROR(IF(ISNUMBER($A1497),IF(AND(AH!$U$12=1,1492+1=AH!$U$6),IF(AH!$U$4=0,"unavailable",INDEX('Market Data'!$AO$5:$AO$66,AH!$U$4)),IF(AH!$U$5=1,INDEX('Live History'!$E$5:$E$3004,MATCH($A1497,'Live History'!$D$5:$D$3004,1)),INDEX('AH History'!$D$5:$GG$1380,$K1497,AH!$U$10+1))),NA()),NA())</f>
        <v/>
      </c>
      <c r="G1497" s="34">
        <f>IFERROR(IF(ISNUMBER($A1497),IF(AND(AH!$U$12=1,1492+1=AH!$U$6),IF(AH!$U$4=0,"unavailable",INDEX('Market Data'!$AK$5:$AK$66,AH!$U$4)),IF(AH!$U$5=1,INDEX('Live History'!$D$5:$D$3004,MATCH($A1497,'Live History'!$D$5:$D$3004,1)),INDEX('AH History'!$D$5:$GG$1380,$K1497,AH!$U$10+2))),NA()),NA())</f>
        <v/>
      </c>
      <c r="H1497" s="266">
        <f>IFERROR(IF(ISNUMBER($A1497),IF(AND(AH!$U$12=1,1492+1=AH!$U$6),IF(AH!$U$4=0,"unavailable",INDEX('Market Data'!$AP$5:$AP$66,AH!$U$4)),IF(AH!$U$5=1,INDEX('Live History'!$H$5:$H$3004,MATCH($A1497,'Live History'!$G$5:$G$3004,1)),INDEX('AH History'!$B$5:$B$1380,$K1497))),NA()),NA())</f>
        <v/>
      </c>
      <c r="I1497" s="34">
        <f>IFERROR(IF(ISNUMBER($A1497),IF(AND(AH!$U$12=1,1492+1=AH!$U$6),TODAY(),IF(AH!$U$5=1,INDEX('Live History'!$G$5:$G$3004,MATCH($A1497,'Live History'!$G$5:$G$3004,1)),INDEX('AH History'!$C$5:$C$1380,$K1497))),NA()),NA())</f>
        <v/>
      </c>
      <c r="J1497" s="32">
        <f>IFERROR(IF(AND($F1497&gt;0,$H1497&gt;0,$A1497-$G1497&lt;=10,$A1497-$I1497&lt;=5,$G1497&gt;0,$I1497&gt;0),$F1497*$H1497,NA()),NA())</f>
        <v/>
      </c>
      <c r="K1497" s="15">
        <f>IF($A1497="","",IF(AH!$U$5=1,IFERROR(MATCH($A1497,'Live History'!$A$5:$A$3004,0),0),AH!$U$7+1492))</f>
        <v/>
      </c>
      <c r="L1497" s="15">
        <f>IF(ISNUMBER(A1497),TEXT(A1497,"dd-mmm-yy"),"")</f>
        <v/>
      </c>
    </row>
    <row r="1498">
      <c r="A1498" s="14">
        <f>IF(OR(AH!$U$4=0,1493+1&gt;AH!$U$6,AND(AH!$M$5="Bloomberg",AH!$U$5=0)),"",IFERROR(IF(AND(AH!$U$12=1,1493+1=AH!$U$6),TODAY(),IF(AH!$U$5=1,INDEX('Live History'!$A$5:$A$3004,AH!$U$7+1493),INDEX('AH History'!$A$5:$A$1380,AH!$U$7+1493))),""))</f>
        <v/>
      </c>
      <c r="B1498" s="33">
        <f>IFERROR(IF(AH!$U$11=1,NA(),$J1498/$E1498-1),NA())</f>
        <v/>
      </c>
      <c r="C1498" s="269">
        <f>IFERROR(100*$E1498/$E$5,NA())</f>
        <v/>
      </c>
      <c r="D1498" s="269">
        <f>IFERROR(100*$J1498/$J$5,NA())</f>
        <v/>
      </c>
      <c r="E1498" s="32">
        <f>IFERROR(IF(AND(ISNUMBER($A1498),N(IF(AND(AH!$U$12=1,1493+1=AH!$U$6),IF(AH!$U$4=0,"unavailable",INDEX('Market Data'!$AN$5:$AN$66,AH!$U$4)),IF(AH!$U$5=1,INDEX('Live History'!$B$5:$B$3004,$K1498),INDEX('AH History'!$D$5:$GG$1380,$K1498,AH!$U$10))))&gt;0),IF(AND(AH!$U$12=1,1493+1=AH!$U$6),IF(AH!$U$4=0,"unavailable",INDEX('Market Data'!$AN$5:$AN$66,AH!$U$4)),IF(AH!$U$5=1,INDEX('Live History'!$B$5:$B$3004,$K1498),INDEX('AH History'!$D$5:$GG$1380,$K1498,AH!$U$10))),NA()),NA())</f>
        <v/>
      </c>
      <c r="F1498" s="32">
        <f>IFERROR(IF(ISNUMBER($A1498),IF(AND(AH!$U$12=1,1493+1=AH!$U$6),IF(AH!$U$4=0,"unavailable",INDEX('Market Data'!$AO$5:$AO$66,AH!$U$4)),IF(AH!$U$5=1,INDEX('Live History'!$E$5:$E$3004,MATCH($A1498,'Live History'!$D$5:$D$3004,1)),INDEX('AH History'!$D$5:$GG$1380,$K1498,AH!$U$10+1))),NA()),NA())</f>
        <v/>
      </c>
      <c r="G1498" s="34">
        <f>IFERROR(IF(ISNUMBER($A1498),IF(AND(AH!$U$12=1,1493+1=AH!$U$6),IF(AH!$U$4=0,"unavailable",INDEX('Market Data'!$AK$5:$AK$66,AH!$U$4)),IF(AH!$U$5=1,INDEX('Live History'!$D$5:$D$3004,MATCH($A1498,'Live History'!$D$5:$D$3004,1)),INDEX('AH History'!$D$5:$GG$1380,$K1498,AH!$U$10+2))),NA()),NA())</f>
        <v/>
      </c>
      <c r="H1498" s="266">
        <f>IFERROR(IF(ISNUMBER($A1498),IF(AND(AH!$U$12=1,1493+1=AH!$U$6),IF(AH!$U$4=0,"unavailable",INDEX('Market Data'!$AP$5:$AP$66,AH!$U$4)),IF(AH!$U$5=1,INDEX('Live History'!$H$5:$H$3004,MATCH($A1498,'Live History'!$G$5:$G$3004,1)),INDEX('AH History'!$B$5:$B$1380,$K1498))),NA()),NA())</f>
        <v/>
      </c>
      <c r="I1498" s="34">
        <f>IFERROR(IF(ISNUMBER($A1498),IF(AND(AH!$U$12=1,1493+1=AH!$U$6),TODAY(),IF(AH!$U$5=1,INDEX('Live History'!$G$5:$G$3004,MATCH($A1498,'Live History'!$G$5:$G$3004,1)),INDEX('AH History'!$C$5:$C$1380,$K1498))),NA()),NA())</f>
        <v/>
      </c>
      <c r="J1498" s="32">
        <f>IFERROR(IF(AND($F1498&gt;0,$H1498&gt;0,$A1498-$G1498&lt;=10,$A1498-$I1498&lt;=5,$G1498&gt;0,$I1498&gt;0),$F1498*$H1498,NA()),NA())</f>
        <v/>
      </c>
      <c r="K1498" s="15">
        <f>IF($A1498="","",IF(AH!$U$5=1,IFERROR(MATCH($A1498,'Live History'!$A$5:$A$3004,0),0),AH!$U$7+1493))</f>
        <v/>
      </c>
      <c r="L1498" s="15">
        <f>IF(ISNUMBER(A1498),TEXT(A1498,"dd-mmm-yy"),"")</f>
        <v/>
      </c>
    </row>
    <row r="1499">
      <c r="A1499" s="14">
        <f>IF(OR(AH!$U$4=0,1494+1&gt;AH!$U$6,AND(AH!$M$5="Bloomberg",AH!$U$5=0)),"",IFERROR(IF(AND(AH!$U$12=1,1494+1=AH!$U$6),TODAY(),IF(AH!$U$5=1,INDEX('Live History'!$A$5:$A$3004,AH!$U$7+1494),INDEX('AH History'!$A$5:$A$1380,AH!$U$7+1494))),""))</f>
        <v/>
      </c>
      <c r="B1499" s="33">
        <f>IFERROR(IF(AH!$U$11=1,NA(),$J1499/$E1499-1),NA())</f>
        <v/>
      </c>
      <c r="C1499" s="269">
        <f>IFERROR(100*$E1499/$E$5,NA())</f>
        <v/>
      </c>
      <c r="D1499" s="269">
        <f>IFERROR(100*$J1499/$J$5,NA())</f>
        <v/>
      </c>
      <c r="E1499" s="32">
        <f>IFERROR(IF(AND(ISNUMBER($A1499),N(IF(AND(AH!$U$12=1,1494+1=AH!$U$6),IF(AH!$U$4=0,"unavailable",INDEX('Market Data'!$AN$5:$AN$66,AH!$U$4)),IF(AH!$U$5=1,INDEX('Live History'!$B$5:$B$3004,$K1499),INDEX('AH History'!$D$5:$GG$1380,$K1499,AH!$U$10))))&gt;0),IF(AND(AH!$U$12=1,1494+1=AH!$U$6),IF(AH!$U$4=0,"unavailable",INDEX('Market Data'!$AN$5:$AN$66,AH!$U$4)),IF(AH!$U$5=1,INDEX('Live History'!$B$5:$B$3004,$K1499),INDEX('AH History'!$D$5:$GG$1380,$K1499,AH!$U$10))),NA()),NA())</f>
        <v/>
      </c>
      <c r="F1499" s="32">
        <f>IFERROR(IF(ISNUMBER($A1499),IF(AND(AH!$U$12=1,1494+1=AH!$U$6),IF(AH!$U$4=0,"unavailable",INDEX('Market Data'!$AO$5:$AO$66,AH!$U$4)),IF(AH!$U$5=1,INDEX('Live History'!$E$5:$E$3004,MATCH($A1499,'Live History'!$D$5:$D$3004,1)),INDEX('AH History'!$D$5:$GG$1380,$K1499,AH!$U$10+1))),NA()),NA())</f>
        <v/>
      </c>
      <c r="G1499" s="34">
        <f>IFERROR(IF(ISNUMBER($A1499),IF(AND(AH!$U$12=1,1494+1=AH!$U$6),IF(AH!$U$4=0,"unavailable",INDEX('Market Data'!$AK$5:$AK$66,AH!$U$4)),IF(AH!$U$5=1,INDEX('Live History'!$D$5:$D$3004,MATCH($A1499,'Live History'!$D$5:$D$3004,1)),INDEX('AH History'!$D$5:$GG$1380,$K1499,AH!$U$10+2))),NA()),NA())</f>
        <v/>
      </c>
      <c r="H1499" s="266">
        <f>IFERROR(IF(ISNUMBER($A1499),IF(AND(AH!$U$12=1,1494+1=AH!$U$6),IF(AH!$U$4=0,"unavailable",INDEX('Market Data'!$AP$5:$AP$66,AH!$U$4)),IF(AH!$U$5=1,INDEX('Live History'!$H$5:$H$3004,MATCH($A1499,'Live History'!$G$5:$G$3004,1)),INDEX('AH History'!$B$5:$B$1380,$K1499))),NA()),NA())</f>
        <v/>
      </c>
      <c r="I1499" s="34">
        <f>IFERROR(IF(ISNUMBER($A1499),IF(AND(AH!$U$12=1,1494+1=AH!$U$6),TODAY(),IF(AH!$U$5=1,INDEX('Live History'!$G$5:$G$3004,MATCH($A1499,'Live History'!$G$5:$G$3004,1)),INDEX('AH History'!$C$5:$C$1380,$K1499))),NA()),NA())</f>
        <v/>
      </c>
      <c r="J1499" s="32">
        <f>IFERROR(IF(AND($F1499&gt;0,$H1499&gt;0,$A1499-$G1499&lt;=10,$A1499-$I1499&lt;=5,$G1499&gt;0,$I1499&gt;0),$F1499*$H1499,NA()),NA())</f>
        <v/>
      </c>
      <c r="K1499" s="15">
        <f>IF($A1499="","",IF(AH!$U$5=1,IFERROR(MATCH($A1499,'Live History'!$A$5:$A$3004,0),0),AH!$U$7+1494))</f>
        <v/>
      </c>
      <c r="L1499" s="15">
        <f>IF(ISNUMBER(A1499),TEXT(A1499,"dd-mmm-yy"),"")</f>
        <v/>
      </c>
    </row>
    <row r="1500">
      <c r="A1500" s="14">
        <f>IF(OR(AH!$U$4=0,1495+1&gt;AH!$U$6,AND(AH!$M$5="Bloomberg",AH!$U$5=0)),"",IFERROR(IF(AND(AH!$U$12=1,1495+1=AH!$U$6),TODAY(),IF(AH!$U$5=1,INDEX('Live History'!$A$5:$A$3004,AH!$U$7+1495),INDEX('AH History'!$A$5:$A$1380,AH!$U$7+1495))),""))</f>
        <v/>
      </c>
      <c r="B1500" s="33">
        <f>IFERROR(IF(AH!$U$11=1,NA(),$J1500/$E1500-1),NA())</f>
        <v/>
      </c>
      <c r="C1500" s="269">
        <f>IFERROR(100*$E1500/$E$5,NA())</f>
        <v/>
      </c>
      <c r="D1500" s="269">
        <f>IFERROR(100*$J1500/$J$5,NA())</f>
        <v/>
      </c>
      <c r="E1500" s="32">
        <f>IFERROR(IF(AND(ISNUMBER($A1500),N(IF(AND(AH!$U$12=1,1495+1=AH!$U$6),IF(AH!$U$4=0,"unavailable",INDEX('Market Data'!$AN$5:$AN$66,AH!$U$4)),IF(AH!$U$5=1,INDEX('Live History'!$B$5:$B$3004,$K1500),INDEX('AH History'!$D$5:$GG$1380,$K1500,AH!$U$10))))&gt;0),IF(AND(AH!$U$12=1,1495+1=AH!$U$6),IF(AH!$U$4=0,"unavailable",INDEX('Market Data'!$AN$5:$AN$66,AH!$U$4)),IF(AH!$U$5=1,INDEX('Live History'!$B$5:$B$3004,$K1500),INDEX('AH History'!$D$5:$GG$1380,$K1500,AH!$U$10))),NA()),NA())</f>
        <v/>
      </c>
      <c r="F1500" s="32">
        <f>IFERROR(IF(ISNUMBER($A1500),IF(AND(AH!$U$12=1,1495+1=AH!$U$6),IF(AH!$U$4=0,"unavailable",INDEX('Market Data'!$AO$5:$AO$66,AH!$U$4)),IF(AH!$U$5=1,INDEX('Live History'!$E$5:$E$3004,MATCH($A1500,'Live History'!$D$5:$D$3004,1)),INDEX('AH History'!$D$5:$GG$1380,$K1500,AH!$U$10+1))),NA()),NA())</f>
        <v/>
      </c>
      <c r="G1500" s="34">
        <f>IFERROR(IF(ISNUMBER($A1500),IF(AND(AH!$U$12=1,1495+1=AH!$U$6),IF(AH!$U$4=0,"unavailable",INDEX('Market Data'!$AK$5:$AK$66,AH!$U$4)),IF(AH!$U$5=1,INDEX('Live History'!$D$5:$D$3004,MATCH($A1500,'Live History'!$D$5:$D$3004,1)),INDEX('AH History'!$D$5:$GG$1380,$K1500,AH!$U$10+2))),NA()),NA())</f>
        <v/>
      </c>
      <c r="H1500" s="266">
        <f>IFERROR(IF(ISNUMBER($A1500),IF(AND(AH!$U$12=1,1495+1=AH!$U$6),IF(AH!$U$4=0,"unavailable",INDEX('Market Data'!$AP$5:$AP$66,AH!$U$4)),IF(AH!$U$5=1,INDEX('Live History'!$H$5:$H$3004,MATCH($A1500,'Live History'!$G$5:$G$3004,1)),INDEX('AH History'!$B$5:$B$1380,$K1500))),NA()),NA())</f>
        <v/>
      </c>
      <c r="I1500" s="34">
        <f>IFERROR(IF(ISNUMBER($A1500),IF(AND(AH!$U$12=1,1495+1=AH!$U$6),TODAY(),IF(AH!$U$5=1,INDEX('Live History'!$G$5:$G$3004,MATCH($A1500,'Live History'!$G$5:$G$3004,1)),INDEX('AH History'!$C$5:$C$1380,$K1500))),NA()),NA())</f>
        <v/>
      </c>
      <c r="J1500" s="32">
        <f>IFERROR(IF(AND($F1500&gt;0,$H1500&gt;0,$A1500-$G1500&lt;=10,$A1500-$I1500&lt;=5,$G1500&gt;0,$I1500&gt;0),$F1500*$H1500,NA()),NA())</f>
        <v/>
      </c>
      <c r="K1500" s="15">
        <f>IF($A1500="","",IF(AH!$U$5=1,IFERROR(MATCH($A1500,'Live History'!$A$5:$A$3004,0),0),AH!$U$7+1495))</f>
        <v/>
      </c>
      <c r="L1500" s="15">
        <f>IF(ISNUMBER(A1500),TEXT(A1500,"dd-mmm-yy"),"")</f>
        <v/>
      </c>
    </row>
    <row r="1501">
      <c r="A1501" s="14">
        <f>IF(OR(AH!$U$4=0,1496+1&gt;AH!$U$6,AND(AH!$M$5="Bloomberg",AH!$U$5=0)),"",IFERROR(IF(AND(AH!$U$12=1,1496+1=AH!$U$6),TODAY(),IF(AH!$U$5=1,INDEX('Live History'!$A$5:$A$3004,AH!$U$7+1496),INDEX('AH History'!$A$5:$A$1380,AH!$U$7+1496))),""))</f>
        <v/>
      </c>
      <c r="B1501" s="33">
        <f>IFERROR(IF(AH!$U$11=1,NA(),$J1501/$E1501-1),NA())</f>
        <v/>
      </c>
      <c r="C1501" s="269">
        <f>IFERROR(100*$E1501/$E$5,NA())</f>
        <v/>
      </c>
      <c r="D1501" s="269">
        <f>IFERROR(100*$J1501/$J$5,NA())</f>
        <v/>
      </c>
      <c r="E1501" s="32">
        <f>IFERROR(IF(AND(ISNUMBER($A1501),N(IF(AND(AH!$U$12=1,1496+1=AH!$U$6),IF(AH!$U$4=0,"unavailable",INDEX('Market Data'!$AN$5:$AN$66,AH!$U$4)),IF(AH!$U$5=1,INDEX('Live History'!$B$5:$B$3004,$K1501),INDEX('AH History'!$D$5:$GG$1380,$K1501,AH!$U$10))))&gt;0),IF(AND(AH!$U$12=1,1496+1=AH!$U$6),IF(AH!$U$4=0,"unavailable",INDEX('Market Data'!$AN$5:$AN$66,AH!$U$4)),IF(AH!$U$5=1,INDEX('Live History'!$B$5:$B$3004,$K1501),INDEX('AH History'!$D$5:$GG$1380,$K1501,AH!$U$10))),NA()),NA())</f>
        <v/>
      </c>
      <c r="F1501" s="32">
        <f>IFERROR(IF(ISNUMBER($A1501),IF(AND(AH!$U$12=1,1496+1=AH!$U$6),IF(AH!$U$4=0,"unavailable",INDEX('Market Data'!$AO$5:$AO$66,AH!$U$4)),IF(AH!$U$5=1,INDEX('Live History'!$E$5:$E$3004,MATCH($A1501,'Live History'!$D$5:$D$3004,1)),INDEX('AH History'!$D$5:$GG$1380,$K1501,AH!$U$10+1))),NA()),NA())</f>
        <v/>
      </c>
      <c r="G1501" s="34">
        <f>IFERROR(IF(ISNUMBER($A1501),IF(AND(AH!$U$12=1,1496+1=AH!$U$6),IF(AH!$U$4=0,"unavailable",INDEX('Market Data'!$AK$5:$AK$66,AH!$U$4)),IF(AH!$U$5=1,INDEX('Live History'!$D$5:$D$3004,MATCH($A1501,'Live History'!$D$5:$D$3004,1)),INDEX('AH History'!$D$5:$GG$1380,$K1501,AH!$U$10+2))),NA()),NA())</f>
        <v/>
      </c>
      <c r="H1501" s="266">
        <f>IFERROR(IF(ISNUMBER($A1501),IF(AND(AH!$U$12=1,1496+1=AH!$U$6),IF(AH!$U$4=0,"unavailable",INDEX('Market Data'!$AP$5:$AP$66,AH!$U$4)),IF(AH!$U$5=1,INDEX('Live History'!$H$5:$H$3004,MATCH($A1501,'Live History'!$G$5:$G$3004,1)),INDEX('AH History'!$B$5:$B$1380,$K1501))),NA()),NA())</f>
        <v/>
      </c>
      <c r="I1501" s="34">
        <f>IFERROR(IF(ISNUMBER($A1501),IF(AND(AH!$U$12=1,1496+1=AH!$U$6),TODAY(),IF(AH!$U$5=1,INDEX('Live History'!$G$5:$G$3004,MATCH($A1501,'Live History'!$G$5:$G$3004,1)),INDEX('AH History'!$C$5:$C$1380,$K1501))),NA()),NA())</f>
        <v/>
      </c>
      <c r="J1501" s="32">
        <f>IFERROR(IF(AND($F1501&gt;0,$H1501&gt;0,$A1501-$G1501&lt;=10,$A1501-$I1501&lt;=5,$G1501&gt;0,$I1501&gt;0),$F1501*$H1501,NA()),NA())</f>
        <v/>
      </c>
      <c r="K1501" s="15">
        <f>IF($A1501="","",IF(AH!$U$5=1,IFERROR(MATCH($A1501,'Live History'!$A$5:$A$3004,0),0),AH!$U$7+1496))</f>
        <v/>
      </c>
      <c r="L1501" s="15">
        <f>IF(ISNUMBER(A1501),TEXT(A1501,"dd-mmm-yy"),"")</f>
        <v/>
      </c>
    </row>
    <row r="1502">
      <c r="A1502" s="14">
        <f>IF(OR(AH!$U$4=0,1497+1&gt;AH!$U$6,AND(AH!$M$5="Bloomberg",AH!$U$5=0)),"",IFERROR(IF(AND(AH!$U$12=1,1497+1=AH!$U$6),TODAY(),IF(AH!$U$5=1,INDEX('Live History'!$A$5:$A$3004,AH!$U$7+1497),INDEX('AH History'!$A$5:$A$1380,AH!$U$7+1497))),""))</f>
        <v/>
      </c>
      <c r="B1502" s="33">
        <f>IFERROR(IF(AH!$U$11=1,NA(),$J1502/$E1502-1),NA())</f>
        <v/>
      </c>
      <c r="C1502" s="269">
        <f>IFERROR(100*$E1502/$E$5,NA())</f>
        <v/>
      </c>
      <c r="D1502" s="269">
        <f>IFERROR(100*$J1502/$J$5,NA())</f>
        <v/>
      </c>
      <c r="E1502" s="32">
        <f>IFERROR(IF(AND(ISNUMBER($A1502),N(IF(AND(AH!$U$12=1,1497+1=AH!$U$6),IF(AH!$U$4=0,"unavailable",INDEX('Market Data'!$AN$5:$AN$66,AH!$U$4)),IF(AH!$U$5=1,INDEX('Live History'!$B$5:$B$3004,$K1502),INDEX('AH History'!$D$5:$GG$1380,$K1502,AH!$U$10))))&gt;0),IF(AND(AH!$U$12=1,1497+1=AH!$U$6),IF(AH!$U$4=0,"unavailable",INDEX('Market Data'!$AN$5:$AN$66,AH!$U$4)),IF(AH!$U$5=1,INDEX('Live History'!$B$5:$B$3004,$K1502),INDEX('AH History'!$D$5:$GG$1380,$K1502,AH!$U$10))),NA()),NA())</f>
        <v/>
      </c>
      <c r="F1502" s="32">
        <f>IFERROR(IF(ISNUMBER($A1502),IF(AND(AH!$U$12=1,1497+1=AH!$U$6),IF(AH!$U$4=0,"unavailable",INDEX('Market Data'!$AO$5:$AO$66,AH!$U$4)),IF(AH!$U$5=1,INDEX('Live History'!$E$5:$E$3004,MATCH($A1502,'Live History'!$D$5:$D$3004,1)),INDEX('AH History'!$D$5:$GG$1380,$K1502,AH!$U$10+1))),NA()),NA())</f>
        <v/>
      </c>
      <c r="G1502" s="34">
        <f>IFERROR(IF(ISNUMBER($A1502),IF(AND(AH!$U$12=1,1497+1=AH!$U$6),IF(AH!$U$4=0,"unavailable",INDEX('Market Data'!$AK$5:$AK$66,AH!$U$4)),IF(AH!$U$5=1,INDEX('Live History'!$D$5:$D$3004,MATCH($A1502,'Live History'!$D$5:$D$3004,1)),INDEX('AH History'!$D$5:$GG$1380,$K1502,AH!$U$10+2))),NA()),NA())</f>
        <v/>
      </c>
      <c r="H1502" s="266">
        <f>IFERROR(IF(ISNUMBER($A1502),IF(AND(AH!$U$12=1,1497+1=AH!$U$6),IF(AH!$U$4=0,"unavailable",INDEX('Market Data'!$AP$5:$AP$66,AH!$U$4)),IF(AH!$U$5=1,INDEX('Live History'!$H$5:$H$3004,MATCH($A1502,'Live History'!$G$5:$G$3004,1)),INDEX('AH History'!$B$5:$B$1380,$K1502))),NA()),NA())</f>
        <v/>
      </c>
      <c r="I1502" s="34">
        <f>IFERROR(IF(ISNUMBER($A1502),IF(AND(AH!$U$12=1,1497+1=AH!$U$6),TODAY(),IF(AH!$U$5=1,INDEX('Live History'!$G$5:$G$3004,MATCH($A1502,'Live History'!$G$5:$G$3004,1)),INDEX('AH History'!$C$5:$C$1380,$K1502))),NA()),NA())</f>
        <v/>
      </c>
      <c r="J1502" s="32">
        <f>IFERROR(IF(AND($F1502&gt;0,$H1502&gt;0,$A1502-$G1502&lt;=10,$A1502-$I1502&lt;=5,$G1502&gt;0,$I1502&gt;0),$F1502*$H1502,NA()),NA())</f>
        <v/>
      </c>
      <c r="K1502" s="15">
        <f>IF($A1502="","",IF(AH!$U$5=1,IFERROR(MATCH($A1502,'Live History'!$A$5:$A$3004,0),0),AH!$U$7+1497))</f>
        <v/>
      </c>
      <c r="L1502" s="15">
        <f>IF(ISNUMBER(A1502),TEXT(A1502,"dd-mmm-yy"),"")</f>
        <v/>
      </c>
    </row>
    <row r="1503">
      <c r="A1503" s="14">
        <f>IF(OR(AH!$U$4=0,1498+1&gt;AH!$U$6,AND(AH!$M$5="Bloomberg",AH!$U$5=0)),"",IFERROR(IF(AND(AH!$U$12=1,1498+1=AH!$U$6),TODAY(),IF(AH!$U$5=1,INDEX('Live History'!$A$5:$A$3004,AH!$U$7+1498),INDEX('AH History'!$A$5:$A$1380,AH!$U$7+1498))),""))</f>
        <v/>
      </c>
      <c r="B1503" s="33">
        <f>IFERROR(IF(AH!$U$11=1,NA(),$J1503/$E1503-1),NA())</f>
        <v/>
      </c>
      <c r="C1503" s="269">
        <f>IFERROR(100*$E1503/$E$5,NA())</f>
        <v/>
      </c>
      <c r="D1503" s="269">
        <f>IFERROR(100*$J1503/$J$5,NA())</f>
        <v/>
      </c>
      <c r="E1503" s="32">
        <f>IFERROR(IF(AND(ISNUMBER($A1503),N(IF(AND(AH!$U$12=1,1498+1=AH!$U$6),IF(AH!$U$4=0,"unavailable",INDEX('Market Data'!$AN$5:$AN$66,AH!$U$4)),IF(AH!$U$5=1,INDEX('Live History'!$B$5:$B$3004,$K1503),INDEX('AH History'!$D$5:$GG$1380,$K1503,AH!$U$10))))&gt;0),IF(AND(AH!$U$12=1,1498+1=AH!$U$6),IF(AH!$U$4=0,"unavailable",INDEX('Market Data'!$AN$5:$AN$66,AH!$U$4)),IF(AH!$U$5=1,INDEX('Live History'!$B$5:$B$3004,$K1503),INDEX('AH History'!$D$5:$GG$1380,$K1503,AH!$U$10))),NA()),NA())</f>
        <v/>
      </c>
      <c r="F1503" s="32">
        <f>IFERROR(IF(ISNUMBER($A1503),IF(AND(AH!$U$12=1,1498+1=AH!$U$6),IF(AH!$U$4=0,"unavailable",INDEX('Market Data'!$AO$5:$AO$66,AH!$U$4)),IF(AH!$U$5=1,INDEX('Live History'!$E$5:$E$3004,MATCH($A1503,'Live History'!$D$5:$D$3004,1)),INDEX('AH History'!$D$5:$GG$1380,$K1503,AH!$U$10+1))),NA()),NA())</f>
        <v/>
      </c>
      <c r="G1503" s="34">
        <f>IFERROR(IF(ISNUMBER($A1503),IF(AND(AH!$U$12=1,1498+1=AH!$U$6),IF(AH!$U$4=0,"unavailable",INDEX('Market Data'!$AK$5:$AK$66,AH!$U$4)),IF(AH!$U$5=1,INDEX('Live History'!$D$5:$D$3004,MATCH($A1503,'Live History'!$D$5:$D$3004,1)),INDEX('AH History'!$D$5:$GG$1380,$K1503,AH!$U$10+2))),NA()),NA())</f>
        <v/>
      </c>
      <c r="H1503" s="266">
        <f>IFERROR(IF(ISNUMBER($A1503),IF(AND(AH!$U$12=1,1498+1=AH!$U$6),IF(AH!$U$4=0,"unavailable",INDEX('Market Data'!$AP$5:$AP$66,AH!$U$4)),IF(AH!$U$5=1,INDEX('Live History'!$H$5:$H$3004,MATCH($A1503,'Live History'!$G$5:$G$3004,1)),INDEX('AH History'!$B$5:$B$1380,$K1503))),NA()),NA())</f>
        <v/>
      </c>
      <c r="I1503" s="34">
        <f>IFERROR(IF(ISNUMBER($A1503),IF(AND(AH!$U$12=1,1498+1=AH!$U$6),TODAY(),IF(AH!$U$5=1,INDEX('Live History'!$G$5:$G$3004,MATCH($A1503,'Live History'!$G$5:$G$3004,1)),INDEX('AH History'!$C$5:$C$1380,$K1503))),NA()),NA())</f>
        <v/>
      </c>
      <c r="J1503" s="32">
        <f>IFERROR(IF(AND($F1503&gt;0,$H1503&gt;0,$A1503-$G1503&lt;=10,$A1503-$I1503&lt;=5,$G1503&gt;0,$I1503&gt;0),$F1503*$H1503,NA()),NA())</f>
        <v/>
      </c>
      <c r="K1503" s="15">
        <f>IF($A1503="","",IF(AH!$U$5=1,IFERROR(MATCH($A1503,'Live History'!$A$5:$A$3004,0),0),AH!$U$7+1498))</f>
        <v/>
      </c>
      <c r="L1503" s="15">
        <f>IF(ISNUMBER(A1503),TEXT(A1503,"dd-mmm-yy"),"")</f>
        <v/>
      </c>
    </row>
    <row r="1504">
      <c r="A1504" s="14">
        <f>IF(OR(AH!$U$4=0,1499+1&gt;AH!$U$6,AND(AH!$M$5="Bloomberg",AH!$U$5=0)),"",IFERROR(IF(AND(AH!$U$12=1,1499+1=AH!$U$6),TODAY(),IF(AH!$U$5=1,INDEX('Live History'!$A$5:$A$3004,AH!$U$7+1499),INDEX('AH History'!$A$5:$A$1380,AH!$U$7+1499))),""))</f>
        <v/>
      </c>
      <c r="B1504" s="33">
        <f>IFERROR(IF(AH!$U$11=1,NA(),$J1504/$E1504-1),NA())</f>
        <v/>
      </c>
      <c r="C1504" s="269">
        <f>IFERROR(100*$E1504/$E$5,NA())</f>
        <v/>
      </c>
      <c r="D1504" s="269">
        <f>IFERROR(100*$J1504/$J$5,NA())</f>
        <v/>
      </c>
      <c r="E1504" s="32">
        <f>IFERROR(IF(AND(ISNUMBER($A1504),N(IF(AND(AH!$U$12=1,1499+1=AH!$U$6),IF(AH!$U$4=0,"unavailable",INDEX('Market Data'!$AN$5:$AN$66,AH!$U$4)),IF(AH!$U$5=1,INDEX('Live History'!$B$5:$B$3004,$K1504),INDEX('AH History'!$D$5:$GG$1380,$K1504,AH!$U$10))))&gt;0),IF(AND(AH!$U$12=1,1499+1=AH!$U$6),IF(AH!$U$4=0,"unavailable",INDEX('Market Data'!$AN$5:$AN$66,AH!$U$4)),IF(AH!$U$5=1,INDEX('Live History'!$B$5:$B$3004,$K1504),INDEX('AH History'!$D$5:$GG$1380,$K1504,AH!$U$10))),NA()),NA())</f>
        <v/>
      </c>
      <c r="F1504" s="32">
        <f>IFERROR(IF(ISNUMBER($A1504),IF(AND(AH!$U$12=1,1499+1=AH!$U$6),IF(AH!$U$4=0,"unavailable",INDEX('Market Data'!$AO$5:$AO$66,AH!$U$4)),IF(AH!$U$5=1,INDEX('Live History'!$E$5:$E$3004,MATCH($A1504,'Live History'!$D$5:$D$3004,1)),INDEX('AH History'!$D$5:$GG$1380,$K1504,AH!$U$10+1))),NA()),NA())</f>
        <v/>
      </c>
      <c r="G1504" s="34">
        <f>IFERROR(IF(ISNUMBER($A1504),IF(AND(AH!$U$12=1,1499+1=AH!$U$6),IF(AH!$U$4=0,"unavailable",INDEX('Market Data'!$AK$5:$AK$66,AH!$U$4)),IF(AH!$U$5=1,INDEX('Live History'!$D$5:$D$3004,MATCH($A1504,'Live History'!$D$5:$D$3004,1)),INDEX('AH History'!$D$5:$GG$1380,$K1504,AH!$U$10+2))),NA()),NA())</f>
        <v/>
      </c>
      <c r="H1504" s="266">
        <f>IFERROR(IF(ISNUMBER($A1504),IF(AND(AH!$U$12=1,1499+1=AH!$U$6),IF(AH!$U$4=0,"unavailable",INDEX('Market Data'!$AP$5:$AP$66,AH!$U$4)),IF(AH!$U$5=1,INDEX('Live History'!$H$5:$H$3004,MATCH($A1504,'Live History'!$G$5:$G$3004,1)),INDEX('AH History'!$B$5:$B$1380,$K1504))),NA()),NA())</f>
        <v/>
      </c>
      <c r="I1504" s="34">
        <f>IFERROR(IF(ISNUMBER($A1504),IF(AND(AH!$U$12=1,1499+1=AH!$U$6),TODAY(),IF(AH!$U$5=1,INDEX('Live History'!$G$5:$G$3004,MATCH($A1504,'Live History'!$G$5:$G$3004,1)),INDEX('AH History'!$C$5:$C$1380,$K1504))),NA()),NA())</f>
        <v/>
      </c>
      <c r="J1504" s="32">
        <f>IFERROR(IF(AND($F1504&gt;0,$H1504&gt;0,$A1504-$G1504&lt;=10,$A1504-$I1504&lt;=5,$G1504&gt;0,$I1504&gt;0),$F1504*$H1504,NA()),NA())</f>
        <v/>
      </c>
      <c r="K1504" s="15">
        <f>IF($A1504="","",IF(AH!$U$5=1,IFERROR(MATCH($A1504,'Live History'!$A$5:$A$3004,0),0),AH!$U$7+1499))</f>
        <v/>
      </c>
      <c r="L1504" s="15">
        <f>IF(ISNUMBER(A1504),TEXT(A1504,"dd-mmm-yy"),"")</f>
        <v/>
      </c>
    </row>
    <row r="1505">
      <c r="A1505" s="14">
        <f>IF(OR(AH!$U$4=0,1500+1&gt;AH!$U$6,AND(AH!$M$5="Bloomberg",AH!$U$5=0)),"",IFERROR(IF(AND(AH!$U$12=1,1500+1=AH!$U$6),TODAY(),IF(AH!$U$5=1,INDEX('Live History'!$A$5:$A$3004,AH!$U$7+1500),INDEX('AH History'!$A$5:$A$1380,AH!$U$7+1500))),""))</f>
        <v/>
      </c>
      <c r="B1505" s="33">
        <f>IFERROR(IF(AH!$U$11=1,NA(),$J1505/$E1505-1),NA())</f>
        <v/>
      </c>
      <c r="C1505" s="269">
        <f>IFERROR(100*$E1505/$E$5,NA())</f>
        <v/>
      </c>
      <c r="D1505" s="269">
        <f>IFERROR(100*$J1505/$J$5,NA())</f>
        <v/>
      </c>
      <c r="E1505" s="32">
        <f>IFERROR(IF(AND(ISNUMBER($A1505),N(IF(AND(AH!$U$12=1,1500+1=AH!$U$6),IF(AH!$U$4=0,"unavailable",INDEX('Market Data'!$AN$5:$AN$66,AH!$U$4)),IF(AH!$U$5=1,INDEX('Live History'!$B$5:$B$3004,$K1505),INDEX('AH History'!$D$5:$GG$1380,$K1505,AH!$U$10))))&gt;0),IF(AND(AH!$U$12=1,1500+1=AH!$U$6),IF(AH!$U$4=0,"unavailable",INDEX('Market Data'!$AN$5:$AN$66,AH!$U$4)),IF(AH!$U$5=1,INDEX('Live History'!$B$5:$B$3004,$K1505),INDEX('AH History'!$D$5:$GG$1380,$K1505,AH!$U$10))),NA()),NA())</f>
        <v/>
      </c>
      <c r="F1505" s="32">
        <f>IFERROR(IF(ISNUMBER($A1505),IF(AND(AH!$U$12=1,1500+1=AH!$U$6),IF(AH!$U$4=0,"unavailable",INDEX('Market Data'!$AO$5:$AO$66,AH!$U$4)),IF(AH!$U$5=1,INDEX('Live History'!$E$5:$E$3004,MATCH($A1505,'Live History'!$D$5:$D$3004,1)),INDEX('AH History'!$D$5:$GG$1380,$K1505,AH!$U$10+1))),NA()),NA())</f>
        <v/>
      </c>
      <c r="G1505" s="34">
        <f>IFERROR(IF(ISNUMBER($A1505),IF(AND(AH!$U$12=1,1500+1=AH!$U$6),IF(AH!$U$4=0,"unavailable",INDEX('Market Data'!$AK$5:$AK$66,AH!$U$4)),IF(AH!$U$5=1,INDEX('Live History'!$D$5:$D$3004,MATCH($A1505,'Live History'!$D$5:$D$3004,1)),INDEX('AH History'!$D$5:$GG$1380,$K1505,AH!$U$10+2))),NA()),NA())</f>
        <v/>
      </c>
      <c r="H1505" s="266">
        <f>IFERROR(IF(ISNUMBER($A1505),IF(AND(AH!$U$12=1,1500+1=AH!$U$6),IF(AH!$U$4=0,"unavailable",INDEX('Market Data'!$AP$5:$AP$66,AH!$U$4)),IF(AH!$U$5=1,INDEX('Live History'!$H$5:$H$3004,MATCH($A1505,'Live History'!$G$5:$G$3004,1)),INDEX('AH History'!$B$5:$B$1380,$K1505))),NA()),NA())</f>
        <v/>
      </c>
      <c r="I1505" s="34">
        <f>IFERROR(IF(ISNUMBER($A1505),IF(AND(AH!$U$12=1,1500+1=AH!$U$6),TODAY(),IF(AH!$U$5=1,INDEX('Live History'!$G$5:$G$3004,MATCH($A1505,'Live History'!$G$5:$G$3004,1)),INDEX('AH History'!$C$5:$C$1380,$K1505))),NA()),NA())</f>
        <v/>
      </c>
      <c r="J1505" s="32">
        <f>IFERROR(IF(AND($F1505&gt;0,$H1505&gt;0,$A1505-$G1505&lt;=10,$A1505-$I1505&lt;=5,$G1505&gt;0,$I1505&gt;0),$F1505*$H1505,NA()),NA())</f>
        <v/>
      </c>
      <c r="K1505" s="15">
        <f>IF($A1505="","",IF(AH!$U$5=1,IFERROR(MATCH($A1505,'Live History'!$A$5:$A$3004,0),0),AH!$U$7+1500))</f>
        <v/>
      </c>
      <c r="L1505" s="15">
        <f>IF(ISNUMBER(A1505),TEXT(A1505,"dd-mmm-yy"),"")</f>
        <v/>
      </c>
    </row>
    <row r="1506">
      <c r="A1506" s="14">
        <f>IF(OR(AH!$U$4=0,1501+1&gt;AH!$U$6,AND(AH!$M$5="Bloomberg",AH!$U$5=0)),"",IFERROR(IF(AND(AH!$U$12=1,1501+1=AH!$U$6),TODAY(),IF(AH!$U$5=1,INDEX('Live History'!$A$5:$A$3004,AH!$U$7+1501),INDEX('AH History'!$A$5:$A$1380,AH!$U$7+1501))),""))</f>
        <v/>
      </c>
      <c r="B1506" s="33">
        <f>IFERROR(IF(AH!$U$11=1,NA(),$J1506/$E1506-1),NA())</f>
        <v/>
      </c>
      <c r="C1506" s="269">
        <f>IFERROR(100*$E1506/$E$5,NA())</f>
        <v/>
      </c>
      <c r="D1506" s="269">
        <f>IFERROR(100*$J1506/$J$5,NA())</f>
        <v/>
      </c>
      <c r="E1506" s="32">
        <f>IFERROR(IF(AND(ISNUMBER($A1506),N(IF(AND(AH!$U$12=1,1501+1=AH!$U$6),IF(AH!$U$4=0,"unavailable",INDEX('Market Data'!$AN$5:$AN$66,AH!$U$4)),IF(AH!$U$5=1,INDEX('Live History'!$B$5:$B$3004,$K1506),INDEX('AH History'!$D$5:$GG$1380,$K1506,AH!$U$10))))&gt;0),IF(AND(AH!$U$12=1,1501+1=AH!$U$6),IF(AH!$U$4=0,"unavailable",INDEX('Market Data'!$AN$5:$AN$66,AH!$U$4)),IF(AH!$U$5=1,INDEX('Live History'!$B$5:$B$3004,$K1506),INDEX('AH History'!$D$5:$GG$1380,$K1506,AH!$U$10))),NA()),NA())</f>
        <v/>
      </c>
      <c r="F1506" s="32">
        <f>IFERROR(IF(ISNUMBER($A1506),IF(AND(AH!$U$12=1,1501+1=AH!$U$6),IF(AH!$U$4=0,"unavailable",INDEX('Market Data'!$AO$5:$AO$66,AH!$U$4)),IF(AH!$U$5=1,INDEX('Live History'!$E$5:$E$3004,MATCH($A1506,'Live History'!$D$5:$D$3004,1)),INDEX('AH History'!$D$5:$GG$1380,$K1506,AH!$U$10+1))),NA()),NA())</f>
        <v/>
      </c>
      <c r="G1506" s="34">
        <f>IFERROR(IF(ISNUMBER($A1506),IF(AND(AH!$U$12=1,1501+1=AH!$U$6),IF(AH!$U$4=0,"unavailable",INDEX('Market Data'!$AK$5:$AK$66,AH!$U$4)),IF(AH!$U$5=1,INDEX('Live History'!$D$5:$D$3004,MATCH($A1506,'Live History'!$D$5:$D$3004,1)),INDEX('AH History'!$D$5:$GG$1380,$K1506,AH!$U$10+2))),NA()),NA())</f>
        <v/>
      </c>
      <c r="H1506" s="266">
        <f>IFERROR(IF(ISNUMBER($A1506),IF(AND(AH!$U$12=1,1501+1=AH!$U$6),IF(AH!$U$4=0,"unavailable",INDEX('Market Data'!$AP$5:$AP$66,AH!$U$4)),IF(AH!$U$5=1,INDEX('Live History'!$H$5:$H$3004,MATCH($A1506,'Live History'!$G$5:$G$3004,1)),INDEX('AH History'!$B$5:$B$1380,$K1506))),NA()),NA())</f>
        <v/>
      </c>
      <c r="I1506" s="34">
        <f>IFERROR(IF(ISNUMBER($A1506),IF(AND(AH!$U$12=1,1501+1=AH!$U$6),TODAY(),IF(AH!$U$5=1,INDEX('Live History'!$G$5:$G$3004,MATCH($A1506,'Live History'!$G$5:$G$3004,1)),INDEX('AH History'!$C$5:$C$1380,$K1506))),NA()),NA())</f>
        <v/>
      </c>
      <c r="J1506" s="32">
        <f>IFERROR(IF(AND($F1506&gt;0,$H1506&gt;0,$A1506-$G1506&lt;=10,$A1506-$I1506&lt;=5,$G1506&gt;0,$I1506&gt;0),$F1506*$H1506,NA()),NA())</f>
        <v/>
      </c>
      <c r="K1506" s="15">
        <f>IF($A1506="","",IF(AH!$U$5=1,IFERROR(MATCH($A1506,'Live History'!$A$5:$A$3004,0),0),AH!$U$7+1501))</f>
        <v/>
      </c>
      <c r="L1506" s="15">
        <f>IF(ISNUMBER(A1506),TEXT(A1506,"dd-mmm-yy"),"")</f>
        <v/>
      </c>
    </row>
    <row r="1507">
      <c r="A1507" s="14">
        <f>IF(OR(AH!$U$4=0,1502+1&gt;AH!$U$6,AND(AH!$M$5="Bloomberg",AH!$U$5=0)),"",IFERROR(IF(AND(AH!$U$12=1,1502+1=AH!$U$6),TODAY(),IF(AH!$U$5=1,INDEX('Live History'!$A$5:$A$3004,AH!$U$7+1502),INDEX('AH History'!$A$5:$A$1380,AH!$U$7+1502))),""))</f>
        <v/>
      </c>
      <c r="B1507" s="33">
        <f>IFERROR(IF(AH!$U$11=1,NA(),$J1507/$E1507-1),NA())</f>
        <v/>
      </c>
      <c r="C1507" s="269">
        <f>IFERROR(100*$E1507/$E$5,NA())</f>
        <v/>
      </c>
      <c r="D1507" s="269">
        <f>IFERROR(100*$J1507/$J$5,NA())</f>
        <v/>
      </c>
      <c r="E1507" s="32">
        <f>IFERROR(IF(AND(ISNUMBER($A1507),N(IF(AND(AH!$U$12=1,1502+1=AH!$U$6),IF(AH!$U$4=0,"unavailable",INDEX('Market Data'!$AN$5:$AN$66,AH!$U$4)),IF(AH!$U$5=1,INDEX('Live History'!$B$5:$B$3004,$K1507),INDEX('AH History'!$D$5:$GG$1380,$K1507,AH!$U$10))))&gt;0),IF(AND(AH!$U$12=1,1502+1=AH!$U$6),IF(AH!$U$4=0,"unavailable",INDEX('Market Data'!$AN$5:$AN$66,AH!$U$4)),IF(AH!$U$5=1,INDEX('Live History'!$B$5:$B$3004,$K1507),INDEX('AH History'!$D$5:$GG$1380,$K1507,AH!$U$10))),NA()),NA())</f>
        <v/>
      </c>
      <c r="F1507" s="32">
        <f>IFERROR(IF(ISNUMBER($A1507),IF(AND(AH!$U$12=1,1502+1=AH!$U$6),IF(AH!$U$4=0,"unavailable",INDEX('Market Data'!$AO$5:$AO$66,AH!$U$4)),IF(AH!$U$5=1,INDEX('Live History'!$E$5:$E$3004,MATCH($A1507,'Live History'!$D$5:$D$3004,1)),INDEX('AH History'!$D$5:$GG$1380,$K1507,AH!$U$10+1))),NA()),NA())</f>
        <v/>
      </c>
      <c r="G1507" s="34">
        <f>IFERROR(IF(ISNUMBER($A1507),IF(AND(AH!$U$12=1,1502+1=AH!$U$6),IF(AH!$U$4=0,"unavailable",INDEX('Market Data'!$AK$5:$AK$66,AH!$U$4)),IF(AH!$U$5=1,INDEX('Live History'!$D$5:$D$3004,MATCH($A1507,'Live History'!$D$5:$D$3004,1)),INDEX('AH History'!$D$5:$GG$1380,$K1507,AH!$U$10+2))),NA()),NA())</f>
        <v/>
      </c>
      <c r="H1507" s="266">
        <f>IFERROR(IF(ISNUMBER($A1507),IF(AND(AH!$U$12=1,1502+1=AH!$U$6),IF(AH!$U$4=0,"unavailable",INDEX('Market Data'!$AP$5:$AP$66,AH!$U$4)),IF(AH!$U$5=1,INDEX('Live History'!$H$5:$H$3004,MATCH($A1507,'Live History'!$G$5:$G$3004,1)),INDEX('AH History'!$B$5:$B$1380,$K1507))),NA()),NA())</f>
        <v/>
      </c>
      <c r="I1507" s="34">
        <f>IFERROR(IF(ISNUMBER($A1507),IF(AND(AH!$U$12=1,1502+1=AH!$U$6),TODAY(),IF(AH!$U$5=1,INDEX('Live History'!$G$5:$G$3004,MATCH($A1507,'Live History'!$G$5:$G$3004,1)),INDEX('AH History'!$C$5:$C$1380,$K1507))),NA()),NA())</f>
        <v/>
      </c>
      <c r="J1507" s="32">
        <f>IFERROR(IF(AND($F1507&gt;0,$H1507&gt;0,$A1507-$G1507&lt;=10,$A1507-$I1507&lt;=5,$G1507&gt;0,$I1507&gt;0),$F1507*$H1507,NA()),NA())</f>
        <v/>
      </c>
      <c r="K1507" s="15">
        <f>IF($A1507="","",IF(AH!$U$5=1,IFERROR(MATCH($A1507,'Live History'!$A$5:$A$3004,0),0),AH!$U$7+1502))</f>
        <v/>
      </c>
      <c r="L1507" s="15">
        <f>IF(ISNUMBER(A1507),TEXT(A1507,"dd-mmm-yy"),"")</f>
        <v/>
      </c>
    </row>
    <row r="1508">
      <c r="A1508" s="14">
        <f>IF(OR(AH!$U$4=0,1503+1&gt;AH!$U$6,AND(AH!$M$5="Bloomberg",AH!$U$5=0)),"",IFERROR(IF(AND(AH!$U$12=1,1503+1=AH!$U$6),TODAY(),IF(AH!$U$5=1,INDEX('Live History'!$A$5:$A$3004,AH!$U$7+1503),INDEX('AH History'!$A$5:$A$1380,AH!$U$7+1503))),""))</f>
        <v/>
      </c>
      <c r="B1508" s="33">
        <f>IFERROR(IF(AH!$U$11=1,NA(),$J1508/$E1508-1),NA())</f>
        <v/>
      </c>
      <c r="C1508" s="269">
        <f>IFERROR(100*$E1508/$E$5,NA())</f>
        <v/>
      </c>
      <c r="D1508" s="269">
        <f>IFERROR(100*$J1508/$J$5,NA())</f>
        <v/>
      </c>
      <c r="E1508" s="32">
        <f>IFERROR(IF(AND(ISNUMBER($A1508),N(IF(AND(AH!$U$12=1,1503+1=AH!$U$6),IF(AH!$U$4=0,"unavailable",INDEX('Market Data'!$AN$5:$AN$66,AH!$U$4)),IF(AH!$U$5=1,INDEX('Live History'!$B$5:$B$3004,$K1508),INDEX('AH History'!$D$5:$GG$1380,$K1508,AH!$U$10))))&gt;0),IF(AND(AH!$U$12=1,1503+1=AH!$U$6),IF(AH!$U$4=0,"unavailable",INDEX('Market Data'!$AN$5:$AN$66,AH!$U$4)),IF(AH!$U$5=1,INDEX('Live History'!$B$5:$B$3004,$K1508),INDEX('AH History'!$D$5:$GG$1380,$K1508,AH!$U$10))),NA()),NA())</f>
        <v/>
      </c>
      <c r="F1508" s="32">
        <f>IFERROR(IF(ISNUMBER($A1508),IF(AND(AH!$U$12=1,1503+1=AH!$U$6),IF(AH!$U$4=0,"unavailable",INDEX('Market Data'!$AO$5:$AO$66,AH!$U$4)),IF(AH!$U$5=1,INDEX('Live History'!$E$5:$E$3004,MATCH($A1508,'Live History'!$D$5:$D$3004,1)),INDEX('AH History'!$D$5:$GG$1380,$K1508,AH!$U$10+1))),NA()),NA())</f>
        <v/>
      </c>
      <c r="G1508" s="34">
        <f>IFERROR(IF(ISNUMBER($A1508),IF(AND(AH!$U$12=1,1503+1=AH!$U$6),IF(AH!$U$4=0,"unavailable",INDEX('Market Data'!$AK$5:$AK$66,AH!$U$4)),IF(AH!$U$5=1,INDEX('Live History'!$D$5:$D$3004,MATCH($A1508,'Live History'!$D$5:$D$3004,1)),INDEX('AH History'!$D$5:$GG$1380,$K1508,AH!$U$10+2))),NA()),NA())</f>
        <v/>
      </c>
      <c r="H1508" s="266">
        <f>IFERROR(IF(ISNUMBER($A1508),IF(AND(AH!$U$12=1,1503+1=AH!$U$6),IF(AH!$U$4=0,"unavailable",INDEX('Market Data'!$AP$5:$AP$66,AH!$U$4)),IF(AH!$U$5=1,INDEX('Live History'!$H$5:$H$3004,MATCH($A1508,'Live History'!$G$5:$G$3004,1)),INDEX('AH History'!$B$5:$B$1380,$K1508))),NA()),NA())</f>
        <v/>
      </c>
      <c r="I1508" s="34">
        <f>IFERROR(IF(ISNUMBER($A1508),IF(AND(AH!$U$12=1,1503+1=AH!$U$6),TODAY(),IF(AH!$U$5=1,INDEX('Live History'!$G$5:$G$3004,MATCH($A1508,'Live History'!$G$5:$G$3004,1)),INDEX('AH History'!$C$5:$C$1380,$K1508))),NA()),NA())</f>
        <v/>
      </c>
      <c r="J1508" s="32">
        <f>IFERROR(IF(AND($F1508&gt;0,$H1508&gt;0,$A1508-$G1508&lt;=10,$A1508-$I1508&lt;=5,$G1508&gt;0,$I1508&gt;0),$F1508*$H1508,NA()),NA())</f>
        <v/>
      </c>
      <c r="K1508" s="15">
        <f>IF($A1508="","",IF(AH!$U$5=1,IFERROR(MATCH($A1508,'Live History'!$A$5:$A$3004,0),0),AH!$U$7+1503))</f>
        <v/>
      </c>
      <c r="L1508" s="15">
        <f>IF(ISNUMBER(A1508),TEXT(A1508,"dd-mmm-yy"),"")</f>
        <v/>
      </c>
    </row>
    <row r="1509">
      <c r="A1509" s="14">
        <f>IF(OR(AH!$U$4=0,1504+1&gt;AH!$U$6,AND(AH!$M$5="Bloomberg",AH!$U$5=0)),"",IFERROR(IF(AND(AH!$U$12=1,1504+1=AH!$U$6),TODAY(),IF(AH!$U$5=1,INDEX('Live History'!$A$5:$A$3004,AH!$U$7+1504),INDEX('AH History'!$A$5:$A$1380,AH!$U$7+1504))),""))</f>
        <v/>
      </c>
      <c r="B1509" s="33">
        <f>IFERROR(IF(AH!$U$11=1,NA(),$J1509/$E1509-1),NA())</f>
        <v/>
      </c>
      <c r="C1509" s="269">
        <f>IFERROR(100*$E1509/$E$5,NA())</f>
        <v/>
      </c>
      <c r="D1509" s="269">
        <f>IFERROR(100*$J1509/$J$5,NA())</f>
        <v/>
      </c>
      <c r="E1509" s="32">
        <f>IFERROR(IF(AND(ISNUMBER($A1509),N(IF(AND(AH!$U$12=1,1504+1=AH!$U$6),IF(AH!$U$4=0,"unavailable",INDEX('Market Data'!$AN$5:$AN$66,AH!$U$4)),IF(AH!$U$5=1,INDEX('Live History'!$B$5:$B$3004,$K1509),INDEX('AH History'!$D$5:$GG$1380,$K1509,AH!$U$10))))&gt;0),IF(AND(AH!$U$12=1,1504+1=AH!$U$6),IF(AH!$U$4=0,"unavailable",INDEX('Market Data'!$AN$5:$AN$66,AH!$U$4)),IF(AH!$U$5=1,INDEX('Live History'!$B$5:$B$3004,$K1509),INDEX('AH History'!$D$5:$GG$1380,$K1509,AH!$U$10))),NA()),NA())</f>
        <v/>
      </c>
      <c r="F1509" s="32">
        <f>IFERROR(IF(ISNUMBER($A1509),IF(AND(AH!$U$12=1,1504+1=AH!$U$6),IF(AH!$U$4=0,"unavailable",INDEX('Market Data'!$AO$5:$AO$66,AH!$U$4)),IF(AH!$U$5=1,INDEX('Live History'!$E$5:$E$3004,MATCH($A1509,'Live History'!$D$5:$D$3004,1)),INDEX('AH History'!$D$5:$GG$1380,$K1509,AH!$U$10+1))),NA()),NA())</f>
        <v/>
      </c>
      <c r="G1509" s="34">
        <f>IFERROR(IF(ISNUMBER($A1509),IF(AND(AH!$U$12=1,1504+1=AH!$U$6),IF(AH!$U$4=0,"unavailable",INDEX('Market Data'!$AK$5:$AK$66,AH!$U$4)),IF(AH!$U$5=1,INDEX('Live History'!$D$5:$D$3004,MATCH($A1509,'Live History'!$D$5:$D$3004,1)),INDEX('AH History'!$D$5:$GG$1380,$K1509,AH!$U$10+2))),NA()),NA())</f>
        <v/>
      </c>
      <c r="H1509" s="266">
        <f>IFERROR(IF(ISNUMBER($A1509),IF(AND(AH!$U$12=1,1504+1=AH!$U$6),IF(AH!$U$4=0,"unavailable",INDEX('Market Data'!$AP$5:$AP$66,AH!$U$4)),IF(AH!$U$5=1,INDEX('Live History'!$H$5:$H$3004,MATCH($A1509,'Live History'!$G$5:$G$3004,1)),INDEX('AH History'!$B$5:$B$1380,$K1509))),NA()),NA())</f>
        <v/>
      </c>
      <c r="I1509" s="34">
        <f>IFERROR(IF(ISNUMBER($A1509),IF(AND(AH!$U$12=1,1504+1=AH!$U$6),TODAY(),IF(AH!$U$5=1,INDEX('Live History'!$G$5:$G$3004,MATCH($A1509,'Live History'!$G$5:$G$3004,1)),INDEX('AH History'!$C$5:$C$1380,$K1509))),NA()),NA())</f>
        <v/>
      </c>
      <c r="J1509" s="32">
        <f>IFERROR(IF(AND($F1509&gt;0,$H1509&gt;0,$A1509-$G1509&lt;=10,$A1509-$I1509&lt;=5,$G1509&gt;0,$I1509&gt;0),$F1509*$H1509,NA()),NA())</f>
        <v/>
      </c>
      <c r="K1509" s="15">
        <f>IF($A1509="","",IF(AH!$U$5=1,IFERROR(MATCH($A1509,'Live History'!$A$5:$A$3004,0),0),AH!$U$7+1504))</f>
        <v/>
      </c>
      <c r="L1509" s="15">
        <f>IF(ISNUMBER(A1509),TEXT(A1509,"dd-mmm-yy"),"")</f>
        <v/>
      </c>
    </row>
    <row r="1510">
      <c r="A1510" s="14">
        <f>IF(OR(AH!$U$4=0,1505+1&gt;AH!$U$6,AND(AH!$M$5="Bloomberg",AH!$U$5=0)),"",IFERROR(IF(AND(AH!$U$12=1,1505+1=AH!$U$6),TODAY(),IF(AH!$U$5=1,INDEX('Live History'!$A$5:$A$3004,AH!$U$7+1505),INDEX('AH History'!$A$5:$A$1380,AH!$U$7+1505))),""))</f>
        <v/>
      </c>
      <c r="B1510" s="33">
        <f>IFERROR(IF(AH!$U$11=1,NA(),$J1510/$E1510-1),NA())</f>
        <v/>
      </c>
      <c r="C1510" s="269">
        <f>IFERROR(100*$E1510/$E$5,NA())</f>
        <v/>
      </c>
      <c r="D1510" s="269">
        <f>IFERROR(100*$J1510/$J$5,NA())</f>
        <v/>
      </c>
      <c r="E1510" s="32">
        <f>IFERROR(IF(AND(ISNUMBER($A1510),N(IF(AND(AH!$U$12=1,1505+1=AH!$U$6),IF(AH!$U$4=0,"unavailable",INDEX('Market Data'!$AN$5:$AN$66,AH!$U$4)),IF(AH!$U$5=1,INDEX('Live History'!$B$5:$B$3004,$K1510),INDEX('AH History'!$D$5:$GG$1380,$K1510,AH!$U$10))))&gt;0),IF(AND(AH!$U$12=1,1505+1=AH!$U$6),IF(AH!$U$4=0,"unavailable",INDEX('Market Data'!$AN$5:$AN$66,AH!$U$4)),IF(AH!$U$5=1,INDEX('Live History'!$B$5:$B$3004,$K1510),INDEX('AH History'!$D$5:$GG$1380,$K1510,AH!$U$10))),NA()),NA())</f>
        <v/>
      </c>
      <c r="F1510" s="32">
        <f>IFERROR(IF(ISNUMBER($A1510),IF(AND(AH!$U$12=1,1505+1=AH!$U$6),IF(AH!$U$4=0,"unavailable",INDEX('Market Data'!$AO$5:$AO$66,AH!$U$4)),IF(AH!$U$5=1,INDEX('Live History'!$E$5:$E$3004,MATCH($A1510,'Live History'!$D$5:$D$3004,1)),INDEX('AH History'!$D$5:$GG$1380,$K1510,AH!$U$10+1))),NA()),NA())</f>
        <v/>
      </c>
      <c r="G1510" s="34">
        <f>IFERROR(IF(ISNUMBER($A1510),IF(AND(AH!$U$12=1,1505+1=AH!$U$6),IF(AH!$U$4=0,"unavailable",INDEX('Market Data'!$AK$5:$AK$66,AH!$U$4)),IF(AH!$U$5=1,INDEX('Live History'!$D$5:$D$3004,MATCH($A1510,'Live History'!$D$5:$D$3004,1)),INDEX('AH History'!$D$5:$GG$1380,$K1510,AH!$U$10+2))),NA()),NA())</f>
        <v/>
      </c>
      <c r="H1510" s="266">
        <f>IFERROR(IF(ISNUMBER($A1510),IF(AND(AH!$U$12=1,1505+1=AH!$U$6),IF(AH!$U$4=0,"unavailable",INDEX('Market Data'!$AP$5:$AP$66,AH!$U$4)),IF(AH!$U$5=1,INDEX('Live History'!$H$5:$H$3004,MATCH($A1510,'Live History'!$G$5:$G$3004,1)),INDEX('AH History'!$B$5:$B$1380,$K1510))),NA()),NA())</f>
        <v/>
      </c>
      <c r="I1510" s="34">
        <f>IFERROR(IF(ISNUMBER($A1510),IF(AND(AH!$U$12=1,1505+1=AH!$U$6),TODAY(),IF(AH!$U$5=1,INDEX('Live History'!$G$5:$G$3004,MATCH($A1510,'Live History'!$G$5:$G$3004,1)),INDEX('AH History'!$C$5:$C$1380,$K1510))),NA()),NA())</f>
        <v/>
      </c>
      <c r="J1510" s="32">
        <f>IFERROR(IF(AND($F1510&gt;0,$H1510&gt;0,$A1510-$G1510&lt;=10,$A1510-$I1510&lt;=5,$G1510&gt;0,$I1510&gt;0),$F1510*$H1510,NA()),NA())</f>
        <v/>
      </c>
      <c r="K1510" s="15">
        <f>IF($A1510="","",IF(AH!$U$5=1,IFERROR(MATCH($A1510,'Live History'!$A$5:$A$3004,0),0),AH!$U$7+1505))</f>
        <v/>
      </c>
      <c r="L1510" s="15">
        <f>IF(ISNUMBER(A1510),TEXT(A1510,"dd-mmm-yy"),"")</f>
        <v/>
      </c>
    </row>
    <row r="1511">
      <c r="A1511" s="14">
        <f>IF(OR(AH!$U$4=0,1506+1&gt;AH!$U$6,AND(AH!$M$5="Bloomberg",AH!$U$5=0)),"",IFERROR(IF(AND(AH!$U$12=1,1506+1=AH!$U$6),TODAY(),IF(AH!$U$5=1,INDEX('Live History'!$A$5:$A$3004,AH!$U$7+1506),INDEX('AH History'!$A$5:$A$1380,AH!$U$7+1506))),""))</f>
        <v/>
      </c>
      <c r="B1511" s="33">
        <f>IFERROR(IF(AH!$U$11=1,NA(),$J1511/$E1511-1),NA())</f>
        <v/>
      </c>
      <c r="C1511" s="269">
        <f>IFERROR(100*$E1511/$E$5,NA())</f>
        <v/>
      </c>
      <c r="D1511" s="269">
        <f>IFERROR(100*$J1511/$J$5,NA())</f>
        <v/>
      </c>
      <c r="E1511" s="32">
        <f>IFERROR(IF(AND(ISNUMBER($A1511),N(IF(AND(AH!$U$12=1,1506+1=AH!$U$6),IF(AH!$U$4=0,"unavailable",INDEX('Market Data'!$AN$5:$AN$66,AH!$U$4)),IF(AH!$U$5=1,INDEX('Live History'!$B$5:$B$3004,$K1511),INDEX('AH History'!$D$5:$GG$1380,$K1511,AH!$U$10))))&gt;0),IF(AND(AH!$U$12=1,1506+1=AH!$U$6),IF(AH!$U$4=0,"unavailable",INDEX('Market Data'!$AN$5:$AN$66,AH!$U$4)),IF(AH!$U$5=1,INDEX('Live History'!$B$5:$B$3004,$K1511),INDEX('AH History'!$D$5:$GG$1380,$K1511,AH!$U$10))),NA()),NA())</f>
        <v/>
      </c>
      <c r="F1511" s="32">
        <f>IFERROR(IF(ISNUMBER($A1511),IF(AND(AH!$U$12=1,1506+1=AH!$U$6),IF(AH!$U$4=0,"unavailable",INDEX('Market Data'!$AO$5:$AO$66,AH!$U$4)),IF(AH!$U$5=1,INDEX('Live History'!$E$5:$E$3004,MATCH($A1511,'Live History'!$D$5:$D$3004,1)),INDEX('AH History'!$D$5:$GG$1380,$K1511,AH!$U$10+1))),NA()),NA())</f>
        <v/>
      </c>
      <c r="G1511" s="34">
        <f>IFERROR(IF(ISNUMBER($A1511),IF(AND(AH!$U$12=1,1506+1=AH!$U$6),IF(AH!$U$4=0,"unavailable",INDEX('Market Data'!$AK$5:$AK$66,AH!$U$4)),IF(AH!$U$5=1,INDEX('Live History'!$D$5:$D$3004,MATCH($A1511,'Live History'!$D$5:$D$3004,1)),INDEX('AH History'!$D$5:$GG$1380,$K1511,AH!$U$10+2))),NA()),NA())</f>
        <v/>
      </c>
      <c r="H1511" s="266">
        <f>IFERROR(IF(ISNUMBER($A1511),IF(AND(AH!$U$12=1,1506+1=AH!$U$6),IF(AH!$U$4=0,"unavailable",INDEX('Market Data'!$AP$5:$AP$66,AH!$U$4)),IF(AH!$U$5=1,INDEX('Live History'!$H$5:$H$3004,MATCH($A1511,'Live History'!$G$5:$G$3004,1)),INDEX('AH History'!$B$5:$B$1380,$K1511))),NA()),NA())</f>
        <v/>
      </c>
      <c r="I1511" s="34">
        <f>IFERROR(IF(ISNUMBER($A1511),IF(AND(AH!$U$12=1,1506+1=AH!$U$6),TODAY(),IF(AH!$U$5=1,INDEX('Live History'!$G$5:$G$3004,MATCH($A1511,'Live History'!$G$5:$G$3004,1)),INDEX('AH History'!$C$5:$C$1380,$K1511))),NA()),NA())</f>
        <v/>
      </c>
      <c r="J1511" s="32">
        <f>IFERROR(IF(AND($F1511&gt;0,$H1511&gt;0,$A1511-$G1511&lt;=10,$A1511-$I1511&lt;=5,$G1511&gt;0,$I1511&gt;0),$F1511*$H1511,NA()),NA())</f>
        <v/>
      </c>
      <c r="K1511" s="15">
        <f>IF($A1511="","",IF(AH!$U$5=1,IFERROR(MATCH($A1511,'Live History'!$A$5:$A$3004,0),0),AH!$U$7+1506))</f>
        <v/>
      </c>
      <c r="L1511" s="15">
        <f>IF(ISNUMBER(A1511),TEXT(A1511,"dd-mmm-yy"),"")</f>
        <v/>
      </c>
    </row>
    <row r="1512">
      <c r="A1512" s="14">
        <f>IF(OR(AH!$U$4=0,1507+1&gt;AH!$U$6,AND(AH!$M$5="Bloomberg",AH!$U$5=0)),"",IFERROR(IF(AND(AH!$U$12=1,1507+1=AH!$U$6),TODAY(),IF(AH!$U$5=1,INDEX('Live History'!$A$5:$A$3004,AH!$U$7+1507),INDEX('AH History'!$A$5:$A$1380,AH!$U$7+1507))),""))</f>
        <v/>
      </c>
      <c r="B1512" s="33">
        <f>IFERROR(IF(AH!$U$11=1,NA(),$J1512/$E1512-1),NA())</f>
        <v/>
      </c>
      <c r="C1512" s="269">
        <f>IFERROR(100*$E1512/$E$5,NA())</f>
        <v/>
      </c>
      <c r="D1512" s="269">
        <f>IFERROR(100*$J1512/$J$5,NA())</f>
        <v/>
      </c>
      <c r="E1512" s="32">
        <f>IFERROR(IF(AND(ISNUMBER($A1512),N(IF(AND(AH!$U$12=1,1507+1=AH!$U$6),IF(AH!$U$4=0,"unavailable",INDEX('Market Data'!$AN$5:$AN$66,AH!$U$4)),IF(AH!$U$5=1,INDEX('Live History'!$B$5:$B$3004,$K1512),INDEX('AH History'!$D$5:$GG$1380,$K1512,AH!$U$10))))&gt;0),IF(AND(AH!$U$12=1,1507+1=AH!$U$6),IF(AH!$U$4=0,"unavailable",INDEX('Market Data'!$AN$5:$AN$66,AH!$U$4)),IF(AH!$U$5=1,INDEX('Live History'!$B$5:$B$3004,$K1512),INDEX('AH History'!$D$5:$GG$1380,$K1512,AH!$U$10))),NA()),NA())</f>
        <v/>
      </c>
      <c r="F1512" s="32">
        <f>IFERROR(IF(ISNUMBER($A1512),IF(AND(AH!$U$12=1,1507+1=AH!$U$6),IF(AH!$U$4=0,"unavailable",INDEX('Market Data'!$AO$5:$AO$66,AH!$U$4)),IF(AH!$U$5=1,INDEX('Live History'!$E$5:$E$3004,MATCH($A1512,'Live History'!$D$5:$D$3004,1)),INDEX('AH History'!$D$5:$GG$1380,$K1512,AH!$U$10+1))),NA()),NA())</f>
        <v/>
      </c>
      <c r="G1512" s="34">
        <f>IFERROR(IF(ISNUMBER($A1512),IF(AND(AH!$U$12=1,1507+1=AH!$U$6),IF(AH!$U$4=0,"unavailable",INDEX('Market Data'!$AK$5:$AK$66,AH!$U$4)),IF(AH!$U$5=1,INDEX('Live History'!$D$5:$D$3004,MATCH($A1512,'Live History'!$D$5:$D$3004,1)),INDEX('AH History'!$D$5:$GG$1380,$K1512,AH!$U$10+2))),NA()),NA())</f>
        <v/>
      </c>
      <c r="H1512" s="266">
        <f>IFERROR(IF(ISNUMBER($A1512),IF(AND(AH!$U$12=1,1507+1=AH!$U$6),IF(AH!$U$4=0,"unavailable",INDEX('Market Data'!$AP$5:$AP$66,AH!$U$4)),IF(AH!$U$5=1,INDEX('Live History'!$H$5:$H$3004,MATCH($A1512,'Live History'!$G$5:$G$3004,1)),INDEX('AH History'!$B$5:$B$1380,$K1512))),NA()),NA())</f>
        <v/>
      </c>
      <c r="I1512" s="34">
        <f>IFERROR(IF(ISNUMBER($A1512),IF(AND(AH!$U$12=1,1507+1=AH!$U$6),TODAY(),IF(AH!$U$5=1,INDEX('Live History'!$G$5:$G$3004,MATCH($A1512,'Live History'!$G$5:$G$3004,1)),INDEX('AH History'!$C$5:$C$1380,$K1512))),NA()),NA())</f>
        <v/>
      </c>
      <c r="J1512" s="32">
        <f>IFERROR(IF(AND($F1512&gt;0,$H1512&gt;0,$A1512-$G1512&lt;=10,$A1512-$I1512&lt;=5,$G1512&gt;0,$I1512&gt;0),$F1512*$H1512,NA()),NA())</f>
        <v/>
      </c>
      <c r="K1512" s="15">
        <f>IF($A1512="","",IF(AH!$U$5=1,IFERROR(MATCH($A1512,'Live History'!$A$5:$A$3004,0),0),AH!$U$7+1507))</f>
        <v/>
      </c>
      <c r="L1512" s="15">
        <f>IF(ISNUMBER(A1512),TEXT(A1512,"dd-mmm-yy"),"")</f>
        <v/>
      </c>
    </row>
    <row r="1513">
      <c r="A1513" s="14">
        <f>IF(OR(AH!$U$4=0,1508+1&gt;AH!$U$6,AND(AH!$M$5="Bloomberg",AH!$U$5=0)),"",IFERROR(IF(AND(AH!$U$12=1,1508+1=AH!$U$6),TODAY(),IF(AH!$U$5=1,INDEX('Live History'!$A$5:$A$3004,AH!$U$7+1508),INDEX('AH History'!$A$5:$A$1380,AH!$U$7+1508))),""))</f>
        <v/>
      </c>
      <c r="B1513" s="33">
        <f>IFERROR(IF(AH!$U$11=1,NA(),$J1513/$E1513-1),NA())</f>
        <v/>
      </c>
      <c r="C1513" s="269">
        <f>IFERROR(100*$E1513/$E$5,NA())</f>
        <v/>
      </c>
      <c r="D1513" s="269">
        <f>IFERROR(100*$J1513/$J$5,NA())</f>
        <v/>
      </c>
      <c r="E1513" s="32">
        <f>IFERROR(IF(AND(ISNUMBER($A1513),N(IF(AND(AH!$U$12=1,1508+1=AH!$U$6),IF(AH!$U$4=0,"unavailable",INDEX('Market Data'!$AN$5:$AN$66,AH!$U$4)),IF(AH!$U$5=1,INDEX('Live History'!$B$5:$B$3004,$K1513),INDEX('AH History'!$D$5:$GG$1380,$K1513,AH!$U$10))))&gt;0),IF(AND(AH!$U$12=1,1508+1=AH!$U$6),IF(AH!$U$4=0,"unavailable",INDEX('Market Data'!$AN$5:$AN$66,AH!$U$4)),IF(AH!$U$5=1,INDEX('Live History'!$B$5:$B$3004,$K1513),INDEX('AH History'!$D$5:$GG$1380,$K1513,AH!$U$10))),NA()),NA())</f>
        <v/>
      </c>
      <c r="F1513" s="32">
        <f>IFERROR(IF(ISNUMBER($A1513),IF(AND(AH!$U$12=1,1508+1=AH!$U$6),IF(AH!$U$4=0,"unavailable",INDEX('Market Data'!$AO$5:$AO$66,AH!$U$4)),IF(AH!$U$5=1,INDEX('Live History'!$E$5:$E$3004,MATCH($A1513,'Live History'!$D$5:$D$3004,1)),INDEX('AH History'!$D$5:$GG$1380,$K1513,AH!$U$10+1))),NA()),NA())</f>
        <v/>
      </c>
      <c r="G1513" s="34">
        <f>IFERROR(IF(ISNUMBER($A1513),IF(AND(AH!$U$12=1,1508+1=AH!$U$6),IF(AH!$U$4=0,"unavailable",INDEX('Market Data'!$AK$5:$AK$66,AH!$U$4)),IF(AH!$U$5=1,INDEX('Live History'!$D$5:$D$3004,MATCH($A1513,'Live History'!$D$5:$D$3004,1)),INDEX('AH History'!$D$5:$GG$1380,$K1513,AH!$U$10+2))),NA()),NA())</f>
        <v/>
      </c>
      <c r="H1513" s="266">
        <f>IFERROR(IF(ISNUMBER($A1513),IF(AND(AH!$U$12=1,1508+1=AH!$U$6),IF(AH!$U$4=0,"unavailable",INDEX('Market Data'!$AP$5:$AP$66,AH!$U$4)),IF(AH!$U$5=1,INDEX('Live History'!$H$5:$H$3004,MATCH($A1513,'Live History'!$G$5:$G$3004,1)),INDEX('AH History'!$B$5:$B$1380,$K1513))),NA()),NA())</f>
        <v/>
      </c>
      <c r="I1513" s="34">
        <f>IFERROR(IF(ISNUMBER($A1513),IF(AND(AH!$U$12=1,1508+1=AH!$U$6),TODAY(),IF(AH!$U$5=1,INDEX('Live History'!$G$5:$G$3004,MATCH($A1513,'Live History'!$G$5:$G$3004,1)),INDEX('AH History'!$C$5:$C$1380,$K1513))),NA()),NA())</f>
        <v/>
      </c>
      <c r="J1513" s="32">
        <f>IFERROR(IF(AND($F1513&gt;0,$H1513&gt;0,$A1513-$G1513&lt;=10,$A1513-$I1513&lt;=5,$G1513&gt;0,$I1513&gt;0),$F1513*$H1513,NA()),NA())</f>
        <v/>
      </c>
      <c r="K1513" s="15">
        <f>IF($A1513="","",IF(AH!$U$5=1,IFERROR(MATCH($A1513,'Live History'!$A$5:$A$3004,0),0),AH!$U$7+1508))</f>
        <v/>
      </c>
      <c r="L1513" s="15">
        <f>IF(ISNUMBER(A1513),TEXT(A1513,"dd-mmm-yy"),"")</f>
        <v/>
      </c>
    </row>
    <row r="1514">
      <c r="A1514" s="14">
        <f>IF(OR(AH!$U$4=0,1509+1&gt;AH!$U$6,AND(AH!$M$5="Bloomberg",AH!$U$5=0)),"",IFERROR(IF(AND(AH!$U$12=1,1509+1=AH!$U$6),TODAY(),IF(AH!$U$5=1,INDEX('Live History'!$A$5:$A$3004,AH!$U$7+1509),INDEX('AH History'!$A$5:$A$1380,AH!$U$7+1509))),""))</f>
        <v/>
      </c>
      <c r="B1514" s="33">
        <f>IFERROR(IF(AH!$U$11=1,NA(),$J1514/$E1514-1),NA())</f>
        <v/>
      </c>
      <c r="C1514" s="269">
        <f>IFERROR(100*$E1514/$E$5,NA())</f>
        <v/>
      </c>
      <c r="D1514" s="269">
        <f>IFERROR(100*$J1514/$J$5,NA())</f>
        <v/>
      </c>
      <c r="E1514" s="32">
        <f>IFERROR(IF(AND(ISNUMBER($A1514),N(IF(AND(AH!$U$12=1,1509+1=AH!$U$6),IF(AH!$U$4=0,"unavailable",INDEX('Market Data'!$AN$5:$AN$66,AH!$U$4)),IF(AH!$U$5=1,INDEX('Live History'!$B$5:$B$3004,$K1514),INDEX('AH History'!$D$5:$GG$1380,$K1514,AH!$U$10))))&gt;0),IF(AND(AH!$U$12=1,1509+1=AH!$U$6),IF(AH!$U$4=0,"unavailable",INDEX('Market Data'!$AN$5:$AN$66,AH!$U$4)),IF(AH!$U$5=1,INDEX('Live History'!$B$5:$B$3004,$K1514),INDEX('AH History'!$D$5:$GG$1380,$K1514,AH!$U$10))),NA()),NA())</f>
        <v/>
      </c>
      <c r="F1514" s="32">
        <f>IFERROR(IF(ISNUMBER($A1514),IF(AND(AH!$U$12=1,1509+1=AH!$U$6),IF(AH!$U$4=0,"unavailable",INDEX('Market Data'!$AO$5:$AO$66,AH!$U$4)),IF(AH!$U$5=1,INDEX('Live History'!$E$5:$E$3004,MATCH($A1514,'Live History'!$D$5:$D$3004,1)),INDEX('AH History'!$D$5:$GG$1380,$K1514,AH!$U$10+1))),NA()),NA())</f>
        <v/>
      </c>
      <c r="G1514" s="34">
        <f>IFERROR(IF(ISNUMBER($A1514),IF(AND(AH!$U$12=1,1509+1=AH!$U$6),IF(AH!$U$4=0,"unavailable",INDEX('Market Data'!$AK$5:$AK$66,AH!$U$4)),IF(AH!$U$5=1,INDEX('Live History'!$D$5:$D$3004,MATCH($A1514,'Live History'!$D$5:$D$3004,1)),INDEX('AH History'!$D$5:$GG$1380,$K1514,AH!$U$10+2))),NA()),NA())</f>
        <v/>
      </c>
      <c r="H1514" s="266">
        <f>IFERROR(IF(ISNUMBER($A1514),IF(AND(AH!$U$12=1,1509+1=AH!$U$6),IF(AH!$U$4=0,"unavailable",INDEX('Market Data'!$AP$5:$AP$66,AH!$U$4)),IF(AH!$U$5=1,INDEX('Live History'!$H$5:$H$3004,MATCH($A1514,'Live History'!$G$5:$G$3004,1)),INDEX('AH History'!$B$5:$B$1380,$K1514))),NA()),NA())</f>
        <v/>
      </c>
      <c r="I1514" s="34">
        <f>IFERROR(IF(ISNUMBER($A1514),IF(AND(AH!$U$12=1,1509+1=AH!$U$6),TODAY(),IF(AH!$U$5=1,INDEX('Live History'!$G$5:$G$3004,MATCH($A1514,'Live History'!$G$5:$G$3004,1)),INDEX('AH History'!$C$5:$C$1380,$K1514))),NA()),NA())</f>
        <v/>
      </c>
      <c r="J1514" s="32">
        <f>IFERROR(IF(AND($F1514&gt;0,$H1514&gt;0,$A1514-$G1514&lt;=10,$A1514-$I1514&lt;=5,$G1514&gt;0,$I1514&gt;0),$F1514*$H1514,NA()),NA())</f>
        <v/>
      </c>
      <c r="K1514" s="15">
        <f>IF($A1514="","",IF(AH!$U$5=1,IFERROR(MATCH($A1514,'Live History'!$A$5:$A$3004,0),0),AH!$U$7+1509))</f>
        <v/>
      </c>
      <c r="L1514" s="15">
        <f>IF(ISNUMBER(A1514),TEXT(A1514,"dd-mmm-yy"),"")</f>
        <v/>
      </c>
    </row>
    <row r="1515">
      <c r="A1515" s="14">
        <f>IF(OR(AH!$U$4=0,1510+1&gt;AH!$U$6,AND(AH!$M$5="Bloomberg",AH!$U$5=0)),"",IFERROR(IF(AND(AH!$U$12=1,1510+1=AH!$U$6),TODAY(),IF(AH!$U$5=1,INDEX('Live History'!$A$5:$A$3004,AH!$U$7+1510),INDEX('AH History'!$A$5:$A$1380,AH!$U$7+1510))),""))</f>
        <v/>
      </c>
      <c r="B1515" s="33">
        <f>IFERROR(IF(AH!$U$11=1,NA(),$J1515/$E1515-1),NA())</f>
        <v/>
      </c>
      <c r="C1515" s="269">
        <f>IFERROR(100*$E1515/$E$5,NA())</f>
        <v/>
      </c>
      <c r="D1515" s="269">
        <f>IFERROR(100*$J1515/$J$5,NA())</f>
        <v/>
      </c>
      <c r="E1515" s="32">
        <f>IFERROR(IF(AND(ISNUMBER($A1515),N(IF(AND(AH!$U$12=1,1510+1=AH!$U$6),IF(AH!$U$4=0,"unavailable",INDEX('Market Data'!$AN$5:$AN$66,AH!$U$4)),IF(AH!$U$5=1,INDEX('Live History'!$B$5:$B$3004,$K1515),INDEX('AH History'!$D$5:$GG$1380,$K1515,AH!$U$10))))&gt;0),IF(AND(AH!$U$12=1,1510+1=AH!$U$6),IF(AH!$U$4=0,"unavailable",INDEX('Market Data'!$AN$5:$AN$66,AH!$U$4)),IF(AH!$U$5=1,INDEX('Live History'!$B$5:$B$3004,$K1515),INDEX('AH History'!$D$5:$GG$1380,$K1515,AH!$U$10))),NA()),NA())</f>
        <v/>
      </c>
      <c r="F1515" s="32">
        <f>IFERROR(IF(ISNUMBER($A1515),IF(AND(AH!$U$12=1,1510+1=AH!$U$6),IF(AH!$U$4=0,"unavailable",INDEX('Market Data'!$AO$5:$AO$66,AH!$U$4)),IF(AH!$U$5=1,INDEX('Live History'!$E$5:$E$3004,MATCH($A1515,'Live History'!$D$5:$D$3004,1)),INDEX('AH History'!$D$5:$GG$1380,$K1515,AH!$U$10+1))),NA()),NA())</f>
        <v/>
      </c>
      <c r="G1515" s="34">
        <f>IFERROR(IF(ISNUMBER($A1515),IF(AND(AH!$U$12=1,1510+1=AH!$U$6),IF(AH!$U$4=0,"unavailable",INDEX('Market Data'!$AK$5:$AK$66,AH!$U$4)),IF(AH!$U$5=1,INDEX('Live History'!$D$5:$D$3004,MATCH($A1515,'Live History'!$D$5:$D$3004,1)),INDEX('AH History'!$D$5:$GG$1380,$K1515,AH!$U$10+2))),NA()),NA())</f>
        <v/>
      </c>
      <c r="H1515" s="266">
        <f>IFERROR(IF(ISNUMBER($A1515),IF(AND(AH!$U$12=1,1510+1=AH!$U$6),IF(AH!$U$4=0,"unavailable",INDEX('Market Data'!$AP$5:$AP$66,AH!$U$4)),IF(AH!$U$5=1,INDEX('Live History'!$H$5:$H$3004,MATCH($A1515,'Live History'!$G$5:$G$3004,1)),INDEX('AH History'!$B$5:$B$1380,$K1515))),NA()),NA())</f>
        <v/>
      </c>
      <c r="I1515" s="34">
        <f>IFERROR(IF(ISNUMBER($A1515),IF(AND(AH!$U$12=1,1510+1=AH!$U$6),TODAY(),IF(AH!$U$5=1,INDEX('Live History'!$G$5:$G$3004,MATCH($A1515,'Live History'!$G$5:$G$3004,1)),INDEX('AH History'!$C$5:$C$1380,$K1515))),NA()),NA())</f>
        <v/>
      </c>
      <c r="J1515" s="32">
        <f>IFERROR(IF(AND($F1515&gt;0,$H1515&gt;0,$A1515-$G1515&lt;=10,$A1515-$I1515&lt;=5,$G1515&gt;0,$I1515&gt;0),$F1515*$H1515,NA()),NA())</f>
        <v/>
      </c>
      <c r="K1515" s="15">
        <f>IF($A1515="","",IF(AH!$U$5=1,IFERROR(MATCH($A1515,'Live History'!$A$5:$A$3004,0),0),AH!$U$7+1510))</f>
        <v/>
      </c>
      <c r="L1515" s="15">
        <f>IF(ISNUMBER(A1515),TEXT(A1515,"dd-mmm-yy"),"")</f>
        <v/>
      </c>
    </row>
    <row r="1516">
      <c r="A1516" s="14">
        <f>IF(OR(AH!$U$4=0,1511+1&gt;AH!$U$6,AND(AH!$M$5="Bloomberg",AH!$U$5=0)),"",IFERROR(IF(AND(AH!$U$12=1,1511+1=AH!$U$6),TODAY(),IF(AH!$U$5=1,INDEX('Live History'!$A$5:$A$3004,AH!$U$7+1511),INDEX('AH History'!$A$5:$A$1380,AH!$U$7+1511))),""))</f>
        <v/>
      </c>
      <c r="B1516" s="33">
        <f>IFERROR(IF(AH!$U$11=1,NA(),$J1516/$E1516-1),NA())</f>
        <v/>
      </c>
      <c r="C1516" s="269">
        <f>IFERROR(100*$E1516/$E$5,NA())</f>
        <v/>
      </c>
      <c r="D1516" s="269">
        <f>IFERROR(100*$J1516/$J$5,NA())</f>
        <v/>
      </c>
      <c r="E1516" s="32">
        <f>IFERROR(IF(AND(ISNUMBER($A1516),N(IF(AND(AH!$U$12=1,1511+1=AH!$U$6),IF(AH!$U$4=0,"unavailable",INDEX('Market Data'!$AN$5:$AN$66,AH!$U$4)),IF(AH!$U$5=1,INDEX('Live History'!$B$5:$B$3004,$K1516),INDEX('AH History'!$D$5:$GG$1380,$K1516,AH!$U$10))))&gt;0),IF(AND(AH!$U$12=1,1511+1=AH!$U$6),IF(AH!$U$4=0,"unavailable",INDEX('Market Data'!$AN$5:$AN$66,AH!$U$4)),IF(AH!$U$5=1,INDEX('Live History'!$B$5:$B$3004,$K1516),INDEX('AH History'!$D$5:$GG$1380,$K1516,AH!$U$10))),NA()),NA())</f>
        <v/>
      </c>
      <c r="F1516" s="32">
        <f>IFERROR(IF(ISNUMBER($A1516),IF(AND(AH!$U$12=1,1511+1=AH!$U$6),IF(AH!$U$4=0,"unavailable",INDEX('Market Data'!$AO$5:$AO$66,AH!$U$4)),IF(AH!$U$5=1,INDEX('Live History'!$E$5:$E$3004,MATCH($A1516,'Live History'!$D$5:$D$3004,1)),INDEX('AH History'!$D$5:$GG$1380,$K1516,AH!$U$10+1))),NA()),NA())</f>
        <v/>
      </c>
      <c r="G1516" s="34">
        <f>IFERROR(IF(ISNUMBER($A1516),IF(AND(AH!$U$12=1,1511+1=AH!$U$6),IF(AH!$U$4=0,"unavailable",INDEX('Market Data'!$AK$5:$AK$66,AH!$U$4)),IF(AH!$U$5=1,INDEX('Live History'!$D$5:$D$3004,MATCH($A1516,'Live History'!$D$5:$D$3004,1)),INDEX('AH History'!$D$5:$GG$1380,$K1516,AH!$U$10+2))),NA()),NA())</f>
        <v/>
      </c>
      <c r="H1516" s="266">
        <f>IFERROR(IF(ISNUMBER($A1516),IF(AND(AH!$U$12=1,1511+1=AH!$U$6),IF(AH!$U$4=0,"unavailable",INDEX('Market Data'!$AP$5:$AP$66,AH!$U$4)),IF(AH!$U$5=1,INDEX('Live History'!$H$5:$H$3004,MATCH($A1516,'Live History'!$G$5:$G$3004,1)),INDEX('AH History'!$B$5:$B$1380,$K1516))),NA()),NA())</f>
        <v/>
      </c>
      <c r="I1516" s="34">
        <f>IFERROR(IF(ISNUMBER($A1516),IF(AND(AH!$U$12=1,1511+1=AH!$U$6),TODAY(),IF(AH!$U$5=1,INDEX('Live History'!$G$5:$G$3004,MATCH($A1516,'Live History'!$G$5:$G$3004,1)),INDEX('AH History'!$C$5:$C$1380,$K1516))),NA()),NA())</f>
        <v/>
      </c>
      <c r="J1516" s="32">
        <f>IFERROR(IF(AND($F1516&gt;0,$H1516&gt;0,$A1516-$G1516&lt;=10,$A1516-$I1516&lt;=5,$G1516&gt;0,$I1516&gt;0),$F1516*$H1516,NA()),NA())</f>
        <v/>
      </c>
      <c r="K1516" s="15">
        <f>IF($A1516="","",IF(AH!$U$5=1,IFERROR(MATCH($A1516,'Live History'!$A$5:$A$3004,0),0),AH!$U$7+1511))</f>
        <v/>
      </c>
      <c r="L1516" s="15">
        <f>IF(ISNUMBER(A1516),TEXT(A1516,"dd-mmm-yy"),"")</f>
        <v/>
      </c>
    </row>
    <row r="1517">
      <c r="A1517" s="14">
        <f>IF(OR(AH!$U$4=0,1512+1&gt;AH!$U$6,AND(AH!$M$5="Bloomberg",AH!$U$5=0)),"",IFERROR(IF(AND(AH!$U$12=1,1512+1=AH!$U$6),TODAY(),IF(AH!$U$5=1,INDEX('Live History'!$A$5:$A$3004,AH!$U$7+1512),INDEX('AH History'!$A$5:$A$1380,AH!$U$7+1512))),""))</f>
        <v/>
      </c>
      <c r="B1517" s="33">
        <f>IFERROR(IF(AH!$U$11=1,NA(),$J1517/$E1517-1),NA())</f>
        <v/>
      </c>
      <c r="C1517" s="269">
        <f>IFERROR(100*$E1517/$E$5,NA())</f>
        <v/>
      </c>
      <c r="D1517" s="269">
        <f>IFERROR(100*$J1517/$J$5,NA())</f>
        <v/>
      </c>
      <c r="E1517" s="32">
        <f>IFERROR(IF(AND(ISNUMBER($A1517),N(IF(AND(AH!$U$12=1,1512+1=AH!$U$6),IF(AH!$U$4=0,"unavailable",INDEX('Market Data'!$AN$5:$AN$66,AH!$U$4)),IF(AH!$U$5=1,INDEX('Live History'!$B$5:$B$3004,$K1517),INDEX('AH History'!$D$5:$GG$1380,$K1517,AH!$U$10))))&gt;0),IF(AND(AH!$U$12=1,1512+1=AH!$U$6),IF(AH!$U$4=0,"unavailable",INDEX('Market Data'!$AN$5:$AN$66,AH!$U$4)),IF(AH!$U$5=1,INDEX('Live History'!$B$5:$B$3004,$K1517),INDEX('AH History'!$D$5:$GG$1380,$K1517,AH!$U$10))),NA()),NA())</f>
        <v/>
      </c>
      <c r="F1517" s="32">
        <f>IFERROR(IF(ISNUMBER($A1517),IF(AND(AH!$U$12=1,1512+1=AH!$U$6),IF(AH!$U$4=0,"unavailable",INDEX('Market Data'!$AO$5:$AO$66,AH!$U$4)),IF(AH!$U$5=1,INDEX('Live History'!$E$5:$E$3004,MATCH($A1517,'Live History'!$D$5:$D$3004,1)),INDEX('AH History'!$D$5:$GG$1380,$K1517,AH!$U$10+1))),NA()),NA())</f>
        <v/>
      </c>
      <c r="G1517" s="34">
        <f>IFERROR(IF(ISNUMBER($A1517),IF(AND(AH!$U$12=1,1512+1=AH!$U$6),IF(AH!$U$4=0,"unavailable",INDEX('Market Data'!$AK$5:$AK$66,AH!$U$4)),IF(AH!$U$5=1,INDEX('Live History'!$D$5:$D$3004,MATCH($A1517,'Live History'!$D$5:$D$3004,1)),INDEX('AH History'!$D$5:$GG$1380,$K1517,AH!$U$10+2))),NA()),NA())</f>
        <v/>
      </c>
      <c r="H1517" s="266">
        <f>IFERROR(IF(ISNUMBER($A1517),IF(AND(AH!$U$12=1,1512+1=AH!$U$6),IF(AH!$U$4=0,"unavailable",INDEX('Market Data'!$AP$5:$AP$66,AH!$U$4)),IF(AH!$U$5=1,INDEX('Live History'!$H$5:$H$3004,MATCH($A1517,'Live History'!$G$5:$G$3004,1)),INDEX('AH History'!$B$5:$B$1380,$K1517))),NA()),NA())</f>
        <v/>
      </c>
      <c r="I1517" s="34">
        <f>IFERROR(IF(ISNUMBER($A1517),IF(AND(AH!$U$12=1,1512+1=AH!$U$6),TODAY(),IF(AH!$U$5=1,INDEX('Live History'!$G$5:$G$3004,MATCH($A1517,'Live History'!$G$5:$G$3004,1)),INDEX('AH History'!$C$5:$C$1380,$K1517))),NA()),NA())</f>
        <v/>
      </c>
      <c r="J1517" s="32">
        <f>IFERROR(IF(AND($F1517&gt;0,$H1517&gt;0,$A1517-$G1517&lt;=10,$A1517-$I1517&lt;=5,$G1517&gt;0,$I1517&gt;0),$F1517*$H1517,NA()),NA())</f>
        <v/>
      </c>
      <c r="K1517" s="15">
        <f>IF($A1517="","",IF(AH!$U$5=1,IFERROR(MATCH($A1517,'Live History'!$A$5:$A$3004,0),0),AH!$U$7+1512))</f>
        <v/>
      </c>
      <c r="L1517" s="15">
        <f>IF(ISNUMBER(A1517),TEXT(A1517,"dd-mmm-yy"),"")</f>
        <v/>
      </c>
    </row>
    <row r="1518">
      <c r="A1518" s="14">
        <f>IF(OR(AH!$U$4=0,1513+1&gt;AH!$U$6,AND(AH!$M$5="Bloomberg",AH!$U$5=0)),"",IFERROR(IF(AND(AH!$U$12=1,1513+1=AH!$U$6),TODAY(),IF(AH!$U$5=1,INDEX('Live History'!$A$5:$A$3004,AH!$U$7+1513),INDEX('AH History'!$A$5:$A$1380,AH!$U$7+1513))),""))</f>
        <v/>
      </c>
      <c r="B1518" s="33">
        <f>IFERROR(IF(AH!$U$11=1,NA(),$J1518/$E1518-1),NA())</f>
        <v/>
      </c>
      <c r="C1518" s="269">
        <f>IFERROR(100*$E1518/$E$5,NA())</f>
        <v/>
      </c>
      <c r="D1518" s="269">
        <f>IFERROR(100*$J1518/$J$5,NA())</f>
        <v/>
      </c>
      <c r="E1518" s="32">
        <f>IFERROR(IF(AND(ISNUMBER($A1518),N(IF(AND(AH!$U$12=1,1513+1=AH!$U$6),IF(AH!$U$4=0,"unavailable",INDEX('Market Data'!$AN$5:$AN$66,AH!$U$4)),IF(AH!$U$5=1,INDEX('Live History'!$B$5:$B$3004,$K1518),INDEX('AH History'!$D$5:$GG$1380,$K1518,AH!$U$10))))&gt;0),IF(AND(AH!$U$12=1,1513+1=AH!$U$6),IF(AH!$U$4=0,"unavailable",INDEX('Market Data'!$AN$5:$AN$66,AH!$U$4)),IF(AH!$U$5=1,INDEX('Live History'!$B$5:$B$3004,$K1518),INDEX('AH History'!$D$5:$GG$1380,$K1518,AH!$U$10))),NA()),NA())</f>
        <v/>
      </c>
      <c r="F1518" s="32">
        <f>IFERROR(IF(ISNUMBER($A1518),IF(AND(AH!$U$12=1,1513+1=AH!$U$6),IF(AH!$U$4=0,"unavailable",INDEX('Market Data'!$AO$5:$AO$66,AH!$U$4)),IF(AH!$U$5=1,INDEX('Live History'!$E$5:$E$3004,MATCH($A1518,'Live History'!$D$5:$D$3004,1)),INDEX('AH History'!$D$5:$GG$1380,$K1518,AH!$U$10+1))),NA()),NA())</f>
        <v/>
      </c>
      <c r="G1518" s="34">
        <f>IFERROR(IF(ISNUMBER($A1518),IF(AND(AH!$U$12=1,1513+1=AH!$U$6),IF(AH!$U$4=0,"unavailable",INDEX('Market Data'!$AK$5:$AK$66,AH!$U$4)),IF(AH!$U$5=1,INDEX('Live History'!$D$5:$D$3004,MATCH($A1518,'Live History'!$D$5:$D$3004,1)),INDEX('AH History'!$D$5:$GG$1380,$K1518,AH!$U$10+2))),NA()),NA())</f>
        <v/>
      </c>
      <c r="H1518" s="266">
        <f>IFERROR(IF(ISNUMBER($A1518),IF(AND(AH!$U$12=1,1513+1=AH!$U$6),IF(AH!$U$4=0,"unavailable",INDEX('Market Data'!$AP$5:$AP$66,AH!$U$4)),IF(AH!$U$5=1,INDEX('Live History'!$H$5:$H$3004,MATCH($A1518,'Live History'!$G$5:$G$3004,1)),INDEX('AH History'!$B$5:$B$1380,$K1518))),NA()),NA())</f>
        <v/>
      </c>
      <c r="I1518" s="34">
        <f>IFERROR(IF(ISNUMBER($A1518),IF(AND(AH!$U$12=1,1513+1=AH!$U$6),TODAY(),IF(AH!$U$5=1,INDEX('Live History'!$G$5:$G$3004,MATCH($A1518,'Live History'!$G$5:$G$3004,1)),INDEX('AH History'!$C$5:$C$1380,$K1518))),NA()),NA())</f>
        <v/>
      </c>
      <c r="J1518" s="32">
        <f>IFERROR(IF(AND($F1518&gt;0,$H1518&gt;0,$A1518-$G1518&lt;=10,$A1518-$I1518&lt;=5,$G1518&gt;0,$I1518&gt;0),$F1518*$H1518,NA()),NA())</f>
        <v/>
      </c>
      <c r="K1518" s="15">
        <f>IF($A1518="","",IF(AH!$U$5=1,IFERROR(MATCH($A1518,'Live History'!$A$5:$A$3004,0),0),AH!$U$7+1513))</f>
        <v/>
      </c>
      <c r="L1518" s="15">
        <f>IF(ISNUMBER(A1518),TEXT(A1518,"dd-mmm-yy"),"")</f>
        <v/>
      </c>
    </row>
    <row r="1519">
      <c r="A1519" s="14">
        <f>IF(OR(AH!$U$4=0,1514+1&gt;AH!$U$6,AND(AH!$M$5="Bloomberg",AH!$U$5=0)),"",IFERROR(IF(AND(AH!$U$12=1,1514+1=AH!$U$6),TODAY(),IF(AH!$U$5=1,INDEX('Live History'!$A$5:$A$3004,AH!$U$7+1514),INDEX('AH History'!$A$5:$A$1380,AH!$U$7+1514))),""))</f>
        <v/>
      </c>
      <c r="B1519" s="33">
        <f>IFERROR(IF(AH!$U$11=1,NA(),$J1519/$E1519-1),NA())</f>
        <v/>
      </c>
      <c r="C1519" s="269">
        <f>IFERROR(100*$E1519/$E$5,NA())</f>
        <v/>
      </c>
      <c r="D1519" s="269">
        <f>IFERROR(100*$J1519/$J$5,NA())</f>
        <v/>
      </c>
      <c r="E1519" s="32">
        <f>IFERROR(IF(AND(ISNUMBER($A1519),N(IF(AND(AH!$U$12=1,1514+1=AH!$U$6),IF(AH!$U$4=0,"unavailable",INDEX('Market Data'!$AN$5:$AN$66,AH!$U$4)),IF(AH!$U$5=1,INDEX('Live History'!$B$5:$B$3004,$K1519),INDEX('AH History'!$D$5:$GG$1380,$K1519,AH!$U$10))))&gt;0),IF(AND(AH!$U$12=1,1514+1=AH!$U$6),IF(AH!$U$4=0,"unavailable",INDEX('Market Data'!$AN$5:$AN$66,AH!$U$4)),IF(AH!$U$5=1,INDEX('Live History'!$B$5:$B$3004,$K1519),INDEX('AH History'!$D$5:$GG$1380,$K1519,AH!$U$10))),NA()),NA())</f>
        <v/>
      </c>
      <c r="F1519" s="32">
        <f>IFERROR(IF(ISNUMBER($A1519),IF(AND(AH!$U$12=1,1514+1=AH!$U$6),IF(AH!$U$4=0,"unavailable",INDEX('Market Data'!$AO$5:$AO$66,AH!$U$4)),IF(AH!$U$5=1,INDEX('Live History'!$E$5:$E$3004,MATCH($A1519,'Live History'!$D$5:$D$3004,1)),INDEX('AH History'!$D$5:$GG$1380,$K1519,AH!$U$10+1))),NA()),NA())</f>
        <v/>
      </c>
      <c r="G1519" s="34">
        <f>IFERROR(IF(ISNUMBER($A1519),IF(AND(AH!$U$12=1,1514+1=AH!$U$6),IF(AH!$U$4=0,"unavailable",INDEX('Market Data'!$AK$5:$AK$66,AH!$U$4)),IF(AH!$U$5=1,INDEX('Live History'!$D$5:$D$3004,MATCH($A1519,'Live History'!$D$5:$D$3004,1)),INDEX('AH History'!$D$5:$GG$1380,$K1519,AH!$U$10+2))),NA()),NA())</f>
        <v/>
      </c>
      <c r="H1519" s="266">
        <f>IFERROR(IF(ISNUMBER($A1519),IF(AND(AH!$U$12=1,1514+1=AH!$U$6),IF(AH!$U$4=0,"unavailable",INDEX('Market Data'!$AP$5:$AP$66,AH!$U$4)),IF(AH!$U$5=1,INDEX('Live History'!$H$5:$H$3004,MATCH($A1519,'Live History'!$G$5:$G$3004,1)),INDEX('AH History'!$B$5:$B$1380,$K1519))),NA()),NA())</f>
        <v/>
      </c>
      <c r="I1519" s="34">
        <f>IFERROR(IF(ISNUMBER($A1519),IF(AND(AH!$U$12=1,1514+1=AH!$U$6),TODAY(),IF(AH!$U$5=1,INDEX('Live History'!$G$5:$G$3004,MATCH($A1519,'Live History'!$G$5:$G$3004,1)),INDEX('AH History'!$C$5:$C$1380,$K1519))),NA()),NA())</f>
        <v/>
      </c>
      <c r="J1519" s="32">
        <f>IFERROR(IF(AND($F1519&gt;0,$H1519&gt;0,$A1519-$G1519&lt;=10,$A1519-$I1519&lt;=5,$G1519&gt;0,$I1519&gt;0),$F1519*$H1519,NA()),NA())</f>
        <v/>
      </c>
      <c r="K1519" s="15">
        <f>IF($A1519="","",IF(AH!$U$5=1,IFERROR(MATCH($A1519,'Live History'!$A$5:$A$3004,0),0),AH!$U$7+1514))</f>
        <v/>
      </c>
      <c r="L1519" s="15">
        <f>IF(ISNUMBER(A1519),TEXT(A1519,"dd-mmm-yy"),"")</f>
        <v/>
      </c>
    </row>
    <row r="1520">
      <c r="A1520" s="14">
        <f>IF(OR(AH!$U$4=0,1515+1&gt;AH!$U$6,AND(AH!$M$5="Bloomberg",AH!$U$5=0)),"",IFERROR(IF(AND(AH!$U$12=1,1515+1=AH!$U$6),TODAY(),IF(AH!$U$5=1,INDEX('Live History'!$A$5:$A$3004,AH!$U$7+1515),INDEX('AH History'!$A$5:$A$1380,AH!$U$7+1515))),""))</f>
        <v/>
      </c>
      <c r="B1520" s="33">
        <f>IFERROR(IF(AH!$U$11=1,NA(),$J1520/$E1520-1),NA())</f>
        <v/>
      </c>
      <c r="C1520" s="269">
        <f>IFERROR(100*$E1520/$E$5,NA())</f>
        <v/>
      </c>
      <c r="D1520" s="269">
        <f>IFERROR(100*$J1520/$J$5,NA())</f>
        <v/>
      </c>
      <c r="E1520" s="32">
        <f>IFERROR(IF(AND(ISNUMBER($A1520),N(IF(AND(AH!$U$12=1,1515+1=AH!$U$6),IF(AH!$U$4=0,"unavailable",INDEX('Market Data'!$AN$5:$AN$66,AH!$U$4)),IF(AH!$U$5=1,INDEX('Live History'!$B$5:$B$3004,$K1520),INDEX('AH History'!$D$5:$GG$1380,$K1520,AH!$U$10))))&gt;0),IF(AND(AH!$U$12=1,1515+1=AH!$U$6),IF(AH!$U$4=0,"unavailable",INDEX('Market Data'!$AN$5:$AN$66,AH!$U$4)),IF(AH!$U$5=1,INDEX('Live History'!$B$5:$B$3004,$K1520),INDEX('AH History'!$D$5:$GG$1380,$K1520,AH!$U$10))),NA()),NA())</f>
        <v/>
      </c>
      <c r="F1520" s="32">
        <f>IFERROR(IF(ISNUMBER($A1520),IF(AND(AH!$U$12=1,1515+1=AH!$U$6),IF(AH!$U$4=0,"unavailable",INDEX('Market Data'!$AO$5:$AO$66,AH!$U$4)),IF(AH!$U$5=1,INDEX('Live History'!$E$5:$E$3004,MATCH($A1520,'Live History'!$D$5:$D$3004,1)),INDEX('AH History'!$D$5:$GG$1380,$K1520,AH!$U$10+1))),NA()),NA())</f>
        <v/>
      </c>
      <c r="G1520" s="34">
        <f>IFERROR(IF(ISNUMBER($A1520),IF(AND(AH!$U$12=1,1515+1=AH!$U$6),IF(AH!$U$4=0,"unavailable",INDEX('Market Data'!$AK$5:$AK$66,AH!$U$4)),IF(AH!$U$5=1,INDEX('Live History'!$D$5:$D$3004,MATCH($A1520,'Live History'!$D$5:$D$3004,1)),INDEX('AH History'!$D$5:$GG$1380,$K1520,AH!$U$10+2))),NA()),NA())</f>
        <v/>
      </c>
      <c r="H1520" s="266">
        <f>IFERROR(IF(ISNUMBER($A1520),IF(AND(AH!$U$12=1,1515+1=AH!$U$6),IF(AH!$U$4=0,"unavailable",INDEX('Market Data'!$AP$5:$AP$66,AH!$U$4)),IF(AH!$U$5=1,INDEX('Live History'!$H$5:$H$3004,MATCH($A1520,'Live History'!$G$5:$G$3004,1)),INDEX('AH History'!$B$5:$B$1380,$K1520))),NA()),NA())</f>
        <v/>
      </c>
      <c r="I1520" s="34">
        <f>IFERROR(IF(ISNUMBER($A1520),IF(AND(AH!$U$12=1,1515+1=AH!$U$6),TODAY(),IF(AH!$U$5=1,INDEX('Live History'!$G$5:$G$3004,MATCH($A1520,'Live History'!$G$5:$G$3004,1)),INDEX('AH History'!$C$5:$C$1380,$K1520))),NA()),NA())</f>
        <v/>
      </c>
      <c r="J1520" s="32">
        <f>IFERROR(IF(AND($F1520&gt;0,$H1520&gt;0,$A1520-$G1520&lt;=10,$A1520-$I1520&lt;=5,$G1520&gt;0,$I1520&gt;0),$F1520*$H1520,NA()),NA())</f>
        <v/>
      </c>
      <c r="K1520" s="15">
        <f>IF($A1520="","",IF(AH!$U$5=1,IFERROR(MATCH($A1520,'Live History'!$A$5:$A$3004,0),0),AH!$U$7+1515))</f>
        <v/>
      </c>
      <c r="L1520" s="15">
        <f>IF(ISNUMBER(A1520),TEXT(A1520,"dd-mmm-yy"),"")</f>
        <v/>
      </c>
    </row>
    <row r="1521">
      <c r="A1521" s="14">
        <f>IF(OR(AH!$U$4=0,1516+1&gt;AH!$U$6,AND(AH!$M$5="Bloomberg",AH!$U$5=0)),"",IFERROR(IF(AND(AH!$U$12=1,1516+1=AH!$U$6),TODAY(),IF(AH!$U$5=1,INDEX('Live History'!$A$5:$A$3004,AH!$U$7+1516),INDEX('AH History'!$A$5:$A$1380,AH!$U$7+1516))),""))</f>
        <v/>
      </c>
      <c r="B1521" s="33">
        <f>IFERROR(IF(AH!$U$11=1,NA(),$J1521/$E1521-1),NA())</f>
        <v/>
      </c>
      <c r="C1521" s="269">
        <f>IFERROR(100*$E1521/$E$5,NA())</f>
        <v/>
      </c>
      <c r="D1521" s="269">
        <f>IFERROR(100*$J1521/$J$5,NA())</f>
        <v/>
      </c>
      <c r="E1521" s="32">
        <f>IFERROR(IF(AND(ISNUMBER($A1521),N(IF(AND(AH!$U$12=1,1516+1=AH!$U$6),IF(AH!$U$4=0,"unavailable",INDEX('Market Data'!$AN$5:$AN$66,AH!$U$4)),IF(AH!$U$5=1,INDEX('Live History'!$B$5:$B$3004,$K1521),INDEX('AH History'!$D$5:$GG$1380,$K1521,AH!$U$10))))&gt;0),IF(AND(AH!$U$12=1,1516+1=AH!$U$6),IF(AH!$U$4=0,"unavailable",INDEX('Market Data'!$AN$5:$AN$66,AH!$U$4)),IF(AH!$U$5=1,INDEX('Live History'!$B$5:$B$3004,$K1521),INDEX('AH History'!$D$5:$GG$1380,$K1521,AH!$U$10))),NA()),NA())</f>
        <v/>
      </c>
      <c r="F1521" s="32">
        <f>IFERROR(IF(ISNUMBER($A1521),IF(AND(AH!$U$12=1,1516+1=AH!$U$6),IF(AH!$U$4=0,"unavailable",INDEX('Market Data'!$AO$5:$AO$66,AH!$U$4)),IF(AH!$U$5=1,INDEX('Live History'!$E$5:$E$3004,MATCH($A1521,'Live History'!$D$5:$D$3004,1)),INDEX('AH History'!$D$5:$GG$1380,$K1521,AH!$U$10+1))),NA()),NA())</f>
        <v/>
      </c>
      <c r="G1521" s="34">
        <f>IFERROR(IF(ISNUMBER($A1521),IF(AND(AH!$U$12=1,1516+1=AH!$U$6),IF(AH!$U$4=0,"unavailable",INDEX('Market Data'!$AK$5:$AK$66,AH!$U$4)),IF(AH!$U$5=1,INDEX('Live History'!$D$5:$D$3004,MATCH($A1521,'Live History'!$D$5:$D$3004,1)),INDEX('AH History'!$D$5:$GG$1380,$K1521,AH!$U$10+2))),NA()),NA())</f>
        <v/>
      </c>
      <c r="H1521" s="266">
        <f>IFERROR(IF(ISNUMBER($A1521),IF(AND(AH!$U$12=1,1516+1=AH!$U$6),IF(AH!$U$4=0,"unavailable",INDEX('Market Data'!$AP$5:$AP$66,AH!$U$4)),IF(AH!$U$5=1,INDEX('Live History'!$H$5:$H$3004,MATCH($A1521,'Live History'!$G$5:$G$3004,1)),INDEX('AH History'!$B$5:$B$1380,$K1521))),NA()),NA())</f>
        <v/>
      </c>
      <c r="I1521" s="34">
        <f>IFERROR(IF(ISNUMBER($A1521),IF(AND(AH!$U$12=1,1516+1=AH!$U$6),TODAY(),IF(AH!$U$5=1,INDEX('Live History'!$G$5:$G$3004,MATCH($A1521,'Live History'!$G$5:$G$3004,1)),INDEX('AH History'!$C$5:$C$1380,$K1521))),NA()),NA())</f>
        <v/>
      </c>
      <c r="J1521" s="32">
        <f>IFERROR(IF(AND($F1521&gt;0,$H1521&gt;0,$A1521-$G1521&lt;=10,$A1521-$I1521&lt;=5,$G1521&gt;0,$I1521&gt;0),$F1521*$H1521,NA()),NA())</f>
        <v/>
      </c>
      <c r="K1521" s="15">
        <f>IF($A1521="","",IF(AH!$U$5=1,IFERROR(MATCH($A1521,'Live History'!$A$5:$A$3004,0),0),AH!$U$7+1516))</f>
        <v/>
      </c>
      <c r="L1521" s="15">
        <f>IF(ISNUMBER(A1521),TEXT(A1521,"dd-mmm-yy"),"")</f>
        <v/>
      </c>
    </row>
    <row r="1522">
      <c r="A1522" s="14">
        <f>IF(OR(AH!$U$4=0,1517+1&gt;AH!$U$6,AND(AH!$M$5="Bloomberg",AH!$U$5=0)),"",IFERROR(IF(AND(AH!$U$12=1,1517+1=AH!$U$6),TODAY(),IF(AH!$U$5=1,INDEX('Live History'!$A$5:$A$3004,AH!$U$7+1517),INDEX('AH History'!$A$5:$A$1380,AH!$U$7+1517))),""))</f>
        <v/>
      </c>
      <c r="B1522" s="33">
        <f>IFERROR(IF(AH!$U$11=1,NA(),$J1522/$E1522-1),NA())</f>
        <v/>
      </c>
      <c r="C1522" s="269">
        <f>IFERROR(100*$E1522/$E$5,NA())</f>
        <v/>
      </c>
      <c r="D1522" s="269">
        <f>IFERROR(100*$J1522/$J$5,NA())</f>
        <v/>
      </c>
      <c r="E1522" s="32">
        <f>IFERROR(IF(AND(ISNUMBER($A1522),N(IF(AND(AH!$U$12=1,1517+1=AH!$U$6),IF(AH!$U$4=0,"unavailable",INDEX('Market Data'!$AN$5:$AN$66,AH!$U$4)),IF(AH!$U$5=1,INDEX('Live History'!$B$5:$B$3004,$K1522),INDEX('AH History'!$D$5:$GG$1380,$K1522,AH!$U$10))))&gt;0),IF(AND(AH!$U$12=1,1517+1=AH!$U$6),IF(AH!$U$4=0,"unavailable",INDEX('Market Data'!$AN$5:$AN$66,AH!$U$4)),IF(AH!$U$5=1,INDEX('Live History'!$B$5:$B$3004,$K1522),INDEX('AH History'!$D$5:$GG$1380,$K1522,AH!$U$10))),NA()),NA())</f>
        <v/>
      </c>
      <c r="F1522" s="32">
        <f>IFERROR(IF(ISNUMBER($A1522),IF(AND(AH!$U$12=1,1517+1=AH!$U$6),IF(AH!$U$4=0,"unavailable",INDEX('Market Data'!$AO$5:$AO$66,AH!$U$4)),IF(AH!$U$5=1,INDEX('Live History'!$E$5:$E$3004,MATCH($A1522,'Live History'!$D$5:$D$3004,1)),INDEX('AH History'!$D$5:$GG$1380,$K1522,AH!$U$10+1))),NA()),NA())</f>
        <v/>
      </c>
      <c r="G1522" s="34">
        <f>IFERROR(IF(ISNUMBER($A1522),IF(AND(AH!$U$12=1,1517+1=AH!$U$6),IF(AH!$U$4=0,"unavailable",INDEX('Market Data'!$AK$5:$AK$66,AH!$U$4)),IF(AH!$U$5=1,INDEX('Live History'!$D$5:$D$3004,MATCH($A1522,'Live History'!$D$5:$D$3004,1)),INDEX('AH History'!$D$5:$GG$1380,$K1522,AH!$U$10+2))),NA()),NA())</f>
        <v/>
      </c>
      <c r="H1522" s="266">
        <f>IFERROR(IF(ISNUMBER($A1522),IF(AND(AH!$U$12=1,1517+1=AH!$U$6),IF(AH!$U$4=0,"unavailable",INDEX('Market Data'!$AP$5:$AP$66,AH!$U$4)),IF(AH!$U$5=1,INDEX('Live History'!$H$5:$H$3004,MATCH($A1522,'Live History'!$G$5:$G$3004,1)),INDEX('AH History'!$B$5:$B$1380,$K1522))),NA()),NA())</f>
        <v/>
      </c>
      <c r="I1522" s="34">
        <f>IFERROR(IF(ISNUMBER($A1522),IF(AND(AH!$U$12=1,1517+1=AH!$U$6),TODAY(),IF(AH!$U$5=1,INDEX('Live History'!$G$5:$G$3004,MATCH($A1522,'Live History'!$G$5:$G$3004,1)),INDEX('AH History'!$C$5:$C$1380,$K1522))),NA()),NA())</f>
        <v/>
      </c>
      <c r="J1522" s="32">
        <f>IFERROR(IF(AND($F1522&gt;0,$H1522&gt;0,$A1522-$G1522&lt;=10,$A1522-$I1522&lt;=5,$G1522&gt;0,$I1522&gt;0),$F1522*$H1522,NA()),NA())</f>
        <v/>
      </c>
      <c r="K1522" s="15">
        <f>IF($A1522="","",IF(AH!$U$5=1,IFERROR(MATCH($A1522,'Live History'!$A$5:$A$3004,0),0),AH!$U$7+1517))</f>
        <v/>
      </c>
      <c r="L1522" s="15">
        <f>IF(ISNUMBER(A1522),TEXT(A1522,"dd-mmm-yy"),"")</f>
        <v/>
      </c>
    </row>
    <row r="1523">
      <c r="A1523" s="14">
        <f>IF(OR(AH!$U$4=0,1518+1&gt;AH!$U$6,AND(AH!$M$5="Bloomberg",AH!$U$5=0)),"",IFERROR(IF(AND(AH!$U$12=1,1518+1=AH!$U$6),TODAY(),IF(AH!$U$5=1,INDEX('Live History'!$A$5:$A$3004,AH!$U$7+1518),INDEX('AH History'!$A$5:$A$1380,AH!$U$7+1518))),""))</f>
        <v/>
      </c>
      <c r="B1523" s="33">
        <f>IFERROR(IF(AH!$U$11=1,NA(),$J1523/$E1523-1),NA())</f>
        <v/>
      </c>
      <c r="C1523" s="269">
        <f>IFERROR(100*$E1523/$E$5,NA())</f>
        <v/>
      </c>
      <c r="D1523" s="269">
        <f>IFERROR(100*$J1523/$J$5,NA())</f>
        <v/>
      </c>
      <c r="E1523" s="32">
        <f>IFERROR(IF(AND(ISNUMBER($A1523),N(IF(AND(AH!$U$12=1,1518+1=AH!$U$6),IF(AH!$U$4=0,"unavailable",INDEX('Market Data'!$AN$5:$AN$66,AH!$U$4)),IF(AH!$U$5=1,INDEX('Live History'!$B$5:$B$3004,$K1523),INDEX('AH History'!$D$5:$GG$1380,$K1523,AH!$U$10))))&gt;0),IF(AND(AH!$U$12=1,1518+1=AH!$U$6),IF(AH!$U$4=0,"unavailable",INDEX('Market Data'!$AN$5:$AN$66,AH!$U$4)),IF(AH!$U$5=1,INDEX('Live History'!$B$5:$B$3004,$K1523),INDEX('AH History'!$D$5:$GG$1380,$K1523,AH!$U$10))),NA()),NA())</f>
        <v/>
      </c>
      <c r="F1523" s="32">
        <f>IFERROR(IF(ISNUMBER($A1523),IF(AND(AH!$U$12=1,1518+1=AH!$U$6),IF(AH!$U$4=0,"unavailable",INDEX('Market Data'!$AO$5:$AO$66,AH!$U$4)),IF(AH!$U$5=1,INDEX('Live History'!$E$5:$E$3004,MATCH($A1523,'Live History'!$D$5:$D$3004,1)),INDEX('AH History'!$D$5:$GG$1380,$K1523,AH!$U$10+1))),NA()),NA())</f>
        <v/>
      </c>
      <c r="G1523" s="34">
        <f>IFERROR(IF(ISNUMBER($A1523),IF(AND(AH!$U$12=1,1518+1=AH!$U$6),IF(AH!$U$4=0,"unavailable",INDEX('Market Data'!$AK$5:$AK$66,AH!$U$4)),IF(AH!$U$5=1,INDEX('Live History'!$D$5:$D$3004,MATCH($A1523,'Live History'!$D$5:$D$3004,1)),INDEX('AH History'!$D$5:$GG$1380,$K1523,AH!$U$10+2))),NA()),NA())</f>
        <v/>
      </c>
      <c r="H1523" s="266">
        <f>IFERROR(IF(ISNUMBER($A1523),IF(AND(AH!$U$12=1,1518+1=AH!$U$6),IF(AH!$U$4=0,"unavailable",INDEX('Market Data'!$AP$5:$AP$66,AH!$U$4)),IF(AH!$U$5=1,INDEX('Live History'!$H$5:$H$3004,MATCH($A1523,'Live History'!$G$5:$G$3004,1)),INDEX('AH History'!$B$5:$B$1380,$K1523))),NA()),NA())</f>
        <v/>
      </c>
      <c r="I1523" s="34">
        <f>IFERROR(IF(ISNUMBER($A1523),IF(AND(AH!$U$12=1,1518+1=AH!$U$6),TODAY(),IF(AH!$U$5=1,INDEX('Live History'!$G$5:$G$3004,MATCH($A1523,'Live History'!$G$5:$G$3004,1)),INDEX('AH History'!$C$5:$C$1380,$K1523))),NA()),NA())</f>
        <v/>
      </c>
      <c r="J1523" s="32">
        <f>IFERROR(IF(AND($F1523&gt;0,$H1523&gt;0,$A1523-$G1523&lt;=10,$A1523-$I1523&lt;=5,$G1523&gt;0,$I1523&gt;0),$F1523*$H1523,NA()),NA())</f>
        <v/>
      </c>
      <c r="K1523" s="15">
        <f>IF($A1523="","",IF(AH!$U$5=1,IFERROR(MATCH($A1523,'Live History'!$A$5:$A$3004,0),0),AH!$U$7+1518))</f>
        <v/>
      </c>
      <c r="L1523" s="15">
        <f>IF(ISNUMBER(A1523),TEXT(A1523,"dd-mmm-yy"),"")</f>
        <v/>
      </c>
    </row>
    <row r="1524">
      <c r="A1524" s="14">
        <f>IF(OR(AH!$U$4=0,1519+1&gt;AH!$U$6,AND(AH!$M$5="Bloomberg",AH!$U$5=0)),"",IFERROR(IF(AND(AH!$U$12=1,1519+1=AH!$U$6),TODAY(),IF(AH!$U$5=1,INDEX('Live History'!$A$5:$A$3004,AH!$U$7+1519),INDEX('AH History'!$A$5:$A$1380,AH!$U$7+1519))),""))</f>
        <v/>
      </c>
      <c r="B1524" s="33">
        <f>IFERROR(IF(AH!$U$11=1,NA(),$J1524/$E1524-1),NA())</f>
        <v/>
      </c>
      <c r="C1524" s="269">
        <f>IFERROR(100*$E1524/$E$5,NA())</f>
        <v/>
      </c>
      <c r="D1524" s="269">
        <f>IFERROR(100*$J1524/$J$5,NA())</f>
        <v/>
      </c>
      <c r="E1524" s="32">
        <f>IFERROR(IF(AND(ISNUMBER($A1524),N(IF(AND(AH!$U$12=1,1519+1=AH!$U$6),IF(AH!$U$4=0,"unavailable",INDEX('Market Data'!$AN$5:$AN$66,AH!$U$4)),IF(AH!$U$5=1,INDEX('Live History'!$B$5:$B$3004,$K1524),INDEX('AH History'!$D$5:$GG$1380,$K1524,AH!$U$10))))&gt;0),IF(AND(AH!$U$12=1,1519+1=AH!$U$6),IF(AH!$U$4=0,"unavailable",INDEX('Market Data'!$AN$5:$AN$66,AH!$U$4)),IF(AH!$U$5=1,INDEX('Live History'!$B$5:$B$3004,$K1524),INDEX('AH History'!$D$5:$GG$1380,$K1524,AH!$U$10))),NA()),NA())</f>
        <v/>
      </c>
      <c r="F1524" s="32">
        <f>IFERROR(IF(ISNUMBER($A1524),IF(AND(AH!$U$12=1,1519+1=AH!$U$6),IF(AH!$U$4=0,"unavailable",INDEX('Market Data'!$AO$5:$AO$66,AH!$U$4)),IF(AH!$U$5=1,INDEX('Live History'!$E$5:$E$3004,MATCH($A1524,'Live History'!$D$5:$D$3004,1)),INDEX('AH History'!$D$5:$GG$1380,$K1524,AH!$U$10+1))),NA()),NA())</f>
        <v/>
      </c>
      <c r="G1524" s="34">
        <f>IFERROR(IF(ISNUMBER($A1524),IF(AND(AH!$U$12=1,1519+1=AH!$U$6),IF(AH!$U$4=0,"unavailable",INDEX('Market Data'!$AK$5:$AK$66,AH!$U$4)),IF(AH!$U$5=1,INDEX('Live History'!$D$5:$D$3004,MATCH($A1524,'Live History'!$D$5:$D$3004,1)),INDEX('AH History'!$D$5:$GG$1380,$K1524,AH!$U$10+2))),NA()),NA())</f>
        <v/>
      </c>
      <c r="H1524" s="266">
        <f>IFERROR(IF(ISNUMBER($A1524),IF(AND(AH!$U$12=1,1519+1=AH!$U$6),IF(AH!$U$4=0,"unavailable",INDEX('Market Data'!$AP$5:$AP$66,AH!$U$4)),IF(AH!$U$5=1,INDEX('Live History'!$H$5:$H$3004,MATCH($A1524,'Live History'!$G$5:$G$3004,1)),INDEX('AH History'!$B$5:$B$1380,$K1524))),NA()),NA())</f>
        <v/>
      </c>
      <c r="I1524" s="34">
        <f>IFERROR(IF(ISNUMBER($A1524),IF(AND(AH!$U$12=1,1519+1=AH!$U$6),TODAY(),IF(AH!$U$5=1,INDEX('Live History'!$G$5:$G$3004,MATCH($A1524,'Live History'!$G$5:$G$3004,1)),INDEX('AH History'!$C$5:$C$1380,$K1524))),NA()),NA())</f>
        <v/>
      </c>
      <c r="J1524" s="32">
        <f>IFERROR(IF(AND($F1524&gt;0,$H1524&gt;0,$A1524-$G1524&lt;=10,$A1524-$I1524&lt;=5,$G1524&gt;0,$I1524&gt;0),$F1524*$H1524,NA()),NA())</f>
        <v/>
      </c>
      <c r="K1524" s="15">
        <f>IF($A1524="","",IF(AH!$U$5=1,IFERROR(MATCH($A1524,'Live History'!$A$5:$A$3004,0),0),AH!$U$7+1519))</f>
        <v/>
      </c>
      <c r="L1524" s="15">
        <f>IF(ISNUMBER(A1524),TEXT(A1524,"dd-mmm-yy"),"")</f>
        <v/>
      </c>
    </row>
    <row r="1525">
      <c r="A1525" s="14">
        <f>IF(OR(AH!$U$4=0,1520+1&gt;AH!$U$6,AND(AH!$M$5="Bloomberg",AH!$U$5=0)),"",IFERROR(IF(AND(AH!$U$12=1,1520+1=AH!$U$6),TODAY(),IF(AH!$U$5=1,INDEX('Live History'!$A$5:$A$3004,AH!$U$7+1520),INDEX('AH History'!$A$5:$A$1380,AH!$U$7+1520))),""))</f>
        <v/>
      </c>
      <c r="B1525" s="33">
        <f>IFERROR(IF(AH!$U$11=1,NA(),$J1525/$E1525-1),NA())</f>
        <v/>
      </c>
      <c r="C1525" s="269">
        <f>IFERROR(100*$E1525/$E$5,NA())</f>
        <v/>
      </c>
      <c r="D1525" s="269">
        <f>IFERROR(100*$J1525/$J$5,NA())</f>
        <v/>
      </c>
      <c r="E1525" s="32">
        <f>IFERROR(IF(AND(ISNUMBER($A1525),N(IF(AND(AH!$U$12=1,1520+1=AH!$U$6),IF(AH!$U$4=0,"unavailable",INDEX('Market Data'!$AN$5:$AN$66,AH!$U$4)),IF(AH!$U$5=1,INDEX('Live History'!$B$5:$B$3004,$K1525),INDEX('AH History'!$D$5:$GG$1380,$K1525,AH!$U$10))))&gt;0),IF(AND(AH!$U$12=1,1520+1=AH!$U$6),IF(AH!$U$4=0,"unavailable",INDEX('Market Data'!$AN$5:$AN$66,AH!$U$4)),IF(AH!$U$5=1,INDEX('Live History'!$B$5:$B$3004,$K1525),INDEX('AH History'!$D$5:$GG$1380,$K1525,AH!$U$10))),NA()),NA())</f>
        <v/>
      </c>
      <c r="F1525" s="32">
        <f>IFERROR(IF(ISNUMBER($A1525),IF(AND(AH!$U$12=1,1520+1=AH!$U$6),IF(AH!$U$4=0,"unavailable",INDEX('Market Data'!$AO$5:$AO$66,AH!$U$4)),IF(AH!$U$5=1,INDEX('Live History'!$E$5:$E$3004,MATCH($A1525,'Live History'!$D$5:$D$3004,1)),INDEX('AH History'!$D$5:$GG$1380,$K1525,AH!$U$10+1))),NA()),NA())</f>
        <v/>
      </c>
      <c r="G1525" s="34">
        <f>IFERROR(IF(ISNUMBER($A1525),IF(AND(AH!$U$12=1,1520+1=AH!$U$6),IF(AH!$U$4=0,"unavailable",INDEX('Market Data'!$AK$5:$AK$66,AH!$U$4)),IF(AH!$U$5=1,INDEX('Live History'!$D$5:$D$3004,MATCH($A1525,'Live History'!$D$5:$D$3004,1)),INDEX('AH History'!$D$5:$GG$1380,$K1525,AH!$U$10+2))),NA()),NA())</f>
        <v/>
      </c>
      <c r="H1525" s="266">
        <f>IFERROR(IF(ISNUMBER($A1525),IF(AND(AH!$U$12=1,1520+1=AH!$U$6),IF(AH!$U$4=0,"unavailable",INDEX('Market Data'!$AP$5:$AP$66,AH!$U$4)),IF(AH!$U$5=1,INDEX('Live History'!$H$5:$H$3004,MATCH($A1525,'Live History'!$G$5:$G$3004,1)),INDEX('AH History'!$B$5:$B$1380,$K1525))),NA()),NA())</f>
        <v/>
      </c>
      <c r="I1525" s="34">
        <f>IFERROR(IF(ISNUMBER($A1525),IF(AND(AH!$U$12=1,1520+1=AH!$U$6),TODAY(),IF(AH!$U$5=1,INDEX('Live History'!$G$5:$G$3004,MATCH($A1525,'Live History'!$G$5:$G$3004,1)),INDEX('AH History'!$C$5:$C$1380,$K1525))),NA()),NA())</f>
        <v/>
      </c>
      <c r="J1525" s="32">
        <f>IFERROR(IF(AND($F1525&gt;0,$H1525&gt;0,$A1525-$G1525&lt;=10,$A1525-$I1525&lt;=5,$G1525&gt;0,$I1525&gt;0),$F1525*$H1525,NA()),NA())</f>
        <v/>
      </c>
      <c r="K1525" s="15">
        <f>IF($A1525="","",IF(AH!$U$5=1,IFERROR(MATCH($A1525,'Live History'!$A$5:$A$3004,0),0),AH!$U$7+1520))</f>
        <v/>
      </c>
      <c r="L1525" s="15">
        <f>IF(ISNUMBER(A1525),TEXT(A1525,"dd-mmm-yy"),"")</f>
        <v/>
      </c>
    </row>
    <row r="1526">
      <c r="A1526" s="14">
        <f>IF(OR(AH!$U$4=0,1521+1&gt;AH!$U$6,AND(AH!$M$5="Bloomberg",AH!$U$5=0)),"",IFERROR(IF(AND(AH!$U$12=1,1521+1=AH!$U$6),TODAY(),IF(AH!$U$5=1,INDEX('Live History'!$A$5:$A$3004,AH!$U$7+1521),INDEX('AH History'!$A$5:$A$1380,AH!$U$7+1521))),""))</f>
        <v/>
      </c>
      <c r="B1526" s="33">
        <f>IFERROR(IF(AH!$U$11=1,NA(),$J1526/$E1526-1),NA())</f>
        <v/>
      </c>
      <c r="C1526" s="269">
        <f>IFERROR(100*$E1526/$E$5,NA())</f>
        <v/>
      </c>
      <c r="D1526" s="269">
        <f>IFERROR(100*$J1526/$J$5,NA())</f>
        <v/>
      </c>
      <c r="E1526" s="32">
        <f>IFERROR(IF(AND(ISNUMBER($A1526),N(IF(AND(AH!$U$12=1,1521+1=AH!$U$6),IF(AH!$U$4=0,"unavailable",INDEX('Market Data'!$AN$5:$AN$66,AH!$U$4)),IF(AH!$U$5=1,INDEX('Live History'!$B$5:$B$3004,$K1526),INDEX('AH History'!$D$5:$GG$1380,$K1526,AH!$U$10))))&gt;0),IF(AND(AH!$U$12=1,1521+1=AH!$U$6),IF(AH!$U$4=0,"unavailable",INDEX('Market Data'!$AN$5:$AN$66,AH!$U$4)),IF(AH!$U$5=1,INDEX('Live History'!$B$5:$B$3004,$K1526),INDEX('AH History'!$D$5:$GG$1380,$K1526,AH!$U$10))),NA()),NA())</f>
        <v/>
      </c>
      <c r="F1526" s="32">
        <f>IFERROR(IF(ISNUMBER($A1526),IF(AND(AH!$U$12=1,1521+1=AH!$U$6),IF(AH!$U$4=0,"unavailable",INDEX('Market Data'!$AO$5:$AO$66,AH!$U$4)),IF(AH!$U$5=1,INDEX('Live History'!$E$5:$E$3004,MATCH($A1526,'Live History'!$D$5:$D$3004,1)),INDEX('AH History'!$D$5:$GG$1380,$K1526,AH!$U$10+1))),NA()),NA())</f>
        <v/>
      </c>
      <c r="G1526" s="34">
        <f>IFERROR(IF(ISNUMBER($A1526),IF(AND(AH!$U$12=1,1521+1=AH!$U$6),IF(AH!$U$4=0,"unavailable",INDEX('Market Data'!$AK$5:$AK$66,AH!$U$4)),IF(AH!$U$5=1,INDEX('Live History'!$D$5:$D$3004,MATCH($A1526,'Live History'!$D$5:$D$3004,1)),INDEX('AH History'!$D$5:$GG$1380,$K1526,AH!$U$10+2))),NA()),NA())</f>
        <v/>
      </c>
      <c r="H1526" s="266">
        <f>IFERROR(IF(ISNUMBER($A1526),IF(AND(AH!$U$12=1,1521+1=AH!$U$6),IF(AH!$U$4=0,"unavailable",INDEX('Market Data'!$AP$5:$AP$66,AH!$U$4)),IF(AH!$U$5=1,INDEX('Live History'!$H$5:$H$3004,MATCH($A1526,'Live History'!$G$5:$G$3004,1)),INDEX('AH History'!$B$5:$B$1380,$K1526))),NA()),NA())</f>
        <v/>
      </c>
      <c r="I1526" s="34">
        <f>IFERROR(IF(ISNUMBER($A1526),IF(AND(AH!$U$12=1,1521+1=AH!$U$6),TODAY(),IF(AH!$U$5=1,INDEX('Live History'!$G$5:$G$3004,MATCH($A1526,'Live History'!$G$5:$G$3004,1)),INDEX('AH History'!$C$5:$C$1380,$K1526))),NA()),NA())</f>
        <v/>
      </c>
      <c r="J1526" s="32">
        <f>IFERROR(IF(AND($F1526&gt;0,$H1526&gt;0,$A1526-$G1526&lt;=10,$A1526-$I1526&lt;=5,$G1526&gt;0,$I1526&gt;0),$F1526*$H1526,NA()),NA())</f>
        <v/>
      </c>
      <c r="K1526" s="15">
        <f>IF($A1526="","",IF(AH!$U$5=1,IFERROR(MATCH($A1526,'Live History'!$A$5:$A$3004,0),0),AH!$U$7+1521))</f>
        <v/>
      </c>
      <c r="L1526" s="15">
        <f>IF(ISNUMBER(A1526),TEXT(A1526,"dd-mmm-yy"),"")</f>
        <v/>
      </c>
    </row>
    <row r="1527">
      <c r="A1527" s="14">
        <f>IF(OR(AH!$U$4=0,1522+1&gt;AH!$U$6,AND(AH!$M$5="Bloomberg",AH!$U$5=0)),"",IFERROR(IF(AND(AH!$U$12=1,1522+1=AH!$U$6),TODAY(),IF(AH!$U$5=1,INDEX('Live History'!$A$5:$A$3004,AH!$U$7+1522),INDEX('AH History'!$A$5:$A$1380,AH!$U$7+1522))),""))</f>
        <v/>
      </c>
      <c r="B1527" s="33">
        <f>IFERROR(IF(AH!$U$11=1,NA(),$J1527/$E1527-1),NA())</f>
        <v/>
      </c>
      <c r="C1527" s="269">
        <f>IFERROR(100*$E1527/$E$5,NA())</f>
        <v/>
      </c>
      <c r="D1527" s="269">
        <f>IFERROR(100*$J1527/$J$5,NA())</f>
        <v/>
      </c>
      <c r="E1527" s="32">
        <f>IFERROR(IF(AND(ISNUMBER($A1527),N(IF(AND(AH!$U$12=1,1522+1=AH!$U$6),IF(AH!$U$4=0,"unavailable",INDEX('Market Data'!$AN$5:$AN$66,AH!$U$4)),IF(AH!$U$5=1,INDEX('Live History'!$B$5:$B$3004,$K1527),INDEX('AH History'!$D$5:$GG$1380,$K1527,AH!$U$10))))&gt;0),IF(AND(AH!$U$12=1,1522+1=AH!$U$6),IF(AH!$U$4=0,"unavailable",INDEX('Market Data'!$AN$5:$AN$66,AH!$U$4)),IF(AH!$U$5=1,INDEX('Live History'!$B$5:$B$3004,$K1527),INDEX('AH History'!$D$5:$GG$1380,$K1527,AH!$U$10))),NA()),NA())</f>
        <v/>
      </c>
      <c r="F1527" s="32">
        <f>IFERROR(IF(ISNUMBER($A1527),IF(AND(AH!$U$12=1,1522+1=AH!$U$6),IF(AH!$U$4=0,"unavailable",INDEX('Market Data'!$AO$5:$AO$66,AH!$U$4)),IF(AH!$U$5=1,INDEX('Live History'!$E$5:$E$3004,MATCH($A1527,'Live History'!$D$5:$D$3004,1)),INDEX('AH History'!$D$5:$GG$1380,$K1527,AH!$U$10+1))),NA()),NA())</f>
        <v/>
      </c>
      <c r="G1527" s="34">
        <f>IFERROR(IF(ISNUMBER($A1527),IF(AND(AH!$U$12=1,1522+1=AH!$U$6),IF(AH!$U$4=0,"unavailable",INDEX('Market Data'!$AK$5:$AK$66,AH!$U$4)),IF(AH!$U$5=1,INDEX('Live History'!$D$5:$D$3004,MATCH($A1527,'Live History'!$D$5:$D$3004,1)),INDEX('AH History'!$D$5:$GG$1380,$K1527,AH!$U$10+2))),NA()),NA())</f>
        <v/>
      </c>
      <c r="H1527" s="266">
        <f>IFERROR(IF(ISNUMBER($A1527),IF(AND(AH!$U$12=1,1522+1=AH!$U$6),IF(AH!$U$4=0,"unavailable",INDEX('Market Data'!$AP$5:$AP$66,AH!$U$4)),IF(AH!$U$5=1,INDEX('Live History'!$H$5:$H$3004,MATCH($A1527,'Live History'!$G$5:$G$3004,1)),INDEX('AH History'!$B$5:$B$1380,$K1527))),NA()),NA())</f>
        <v/>
      </c>
      <c r="I1527" s="34">
        <f>IFERROR(IF(ISNUMBER($A1527),IF(AND(AH!$U$12=1,1522+1=AH!$U$6),TODAY(),IF(AH!$U$5=1,INDEX('Live History'!$G$5:$G$3004,MATCH($A1527,'Live History'!$G$5:$G$3004,1)),INDEX('AH History'!$C$5:$C$1380,$K1527))),NA()),NA())</f>
        <v/>
      </c>
      <c r="J1527" s="32">
        <f>IFERROR(IF(AND($F1527&gt;0,$H1527&gt;0,$A1527-$G1527&lt;=10,$A1527-$I1527&lt;=5,$G1527&gt;0,$I1527&gt;0),$F1527*$H1527,NA()),NA())</f>
        <v/>
      </c>
      <c r="K1527" s="15">
        <f>IF($A1527="","",IF(AH!$U$5=1,IFERROR(MATCH($A1527,'Live History'!$A$5:$A$3004,0),0),AH!$U$7+1522))</f>
        <v/>
      </c>
      <c r="L1527" s="15">
        <f>IF(ISNUMBER(A1527),TEXT(A1527,"dd-mmm-yy"),"")</f>
        <v/>
      </c>
    </row>
    <row r="1528">
      <c r="A1528" s="14">
        <f>IF(OR(AH!$U$4=0,1523+1&gt;AH!$U$6,AND(AH!$M$5="Bloomberg",AH!$U$5=0)),"",IFERROR(IF(AND(AH!$U$12=1,1523+1=AH!$U$6),TODAY(),IF(AH!$U$5=1,INDEX('Live History'!$A$5:$A$3004,AH!$U$7+1523),INDEX('AH History'!$A$5:$A$1380,AH!$U$7+1523))),""))</f>
        <v/>
      </c>
      <c r="B1528" s="33">
        <f>IFERROR(IF(AH!$U$11=1,NA(),$J1528/$E1528-1),NA())</f>
        <v/>
      </c>
      <c r="C1528" s="269">
        <f>IFERROR(100*$E1528/$E$5,NA())</f>
        <v/>
      </c>
      <c r="D1528" s="269">
        <f>IFERROR(100*$J1528/$J$5,NA())</f>
        <v/>
      </c>
      <c r="E1528" s="32">
        <f>IFERROR(IF(AND(ISNUMBER($A1528),N(IF(AND(AH!$U$12=1,1523+1=AH!$U$6),IF(AH!$U$4=0,"unavailable",INDEX('Market Data'!$AN$5:$AN$66,AH!$U$4)),IF(AH!$U$5=1,INDEX('Live History'!$B$5:$B$3004,$K1528),INDEX('AH History'!$D$5:$GG$1380,$K1528,AH!$U$10))))&gt;0),IF(AND(AH!$U$12=1,1523+1=AH!$U$6),IF(AH!$U$4=0,"unavailable",INDEX('Market Data'!$AN$5:$AN$66,AH!$U$4)),IF(AH!$U$5=1,INDEX('Live History'!$B$5:$B$3004,$K1528),INDEX('AH History'!$D$5:$GG$1380,$K1528,AH!$U$10))),NA()),NA())</f>
        <v/>
      </c>
      <c r="F1528" s="32">
        <f>IFERROR(IF(ISNUMBER($A1528),IF(AND(AH!$U$12=1,1523+1=AH!$U$6),IF(AH!$U$4=0,"unavailable",INDEX('Market Data'!$AO$5:$AO$66,AH!$U$4)),IF(AH!$U$5=1,INDEX('Live History'!$E$5:$E$3004,MATCH($A1528,'Live History'!$D$5:$D$3004,1)),INDEX('AH History'!$D$5:$GG$1380,$K1528,AH!$U$10+1))),NA()),NA())</f>
        <v/>
      </c>
      <c r="G1528" s="34">
        <f>IFERROR(IF(ISNUMBER($A1528),IF(AND(AH!$U$12=1,1523+1=AH!$U$6),IF(AH!$U$4=0,"unavailable",INDEX('Market Data'!$AK$5:$AK$66,AH!$U$4)),IF(AH!$U$5=1,INDEX('Live History'!$D$5:$D$3004,MATCH($A1528,'Live History'!$D$5:$D$3004,1)),INDEX('AH History'!$D$5:$GG$1380,$K1528,AH!$U$10+2))),NA()),NA())</f>
        <v/>
      </c>
      <c r="H1528" s="266">
        <f>IFERROR(IF(ISNUMBER($A1528),IF(AND(AH!$U$12=1,1523+1=AH!$U$6),IF(AH!$U$4=0,"unavailable",INDEX('Market Data'!$AP$5:$AP$66,AH!$U$4)),IF(AH!$U$5=1,INDEX('Live History'!$H$5:$H$3004,MATCH($A1528,'Live History'!$G$5:$G$3004,1)),INDEX('AH History'!$B$5:$B$1380,$K1528))),NA()),NA())</f>
        <v/>
      </c>
      <c r="I1528" s="34">
        <f>IFERROR(IF(ISNUMBER($A1528),IF(AND(AH!$U$12=1,1523+1=AH!$U$6),TODAY(),IF(AH!$U$5=1,INDEX('Live History'!$G$5:$G$3004,MATCH($A1528,'Live History'!$G$5:$G$3004,1)),INDEX('AH History'!$C$5:$C$1380,$K1528))),NA()),NA())</f>
        <v/>
      </c>
      <c r="J1528" s="32">
        <f>IFERROR(IF(AND($F1528&gt;0,$H1528&gt;0,$A1528-$G1528&lt;=10,$A1528-$I1528&lt;=5,$G1528&gt;0,$I1528&gt;0),$F1528*$H1528,NA()),NA())</f>
        <v/>
      </c>
      <c r="K1528" s="15">
        <f>IF($A1528="","",IF(AH!$U$5=1,IFERROR(MATCH($A1528,'Live History'!$A$5:$A$3004,0),0),AH!$U$7+1523))</f>
        <v/>
      </c>
      <c r="L1528" s="15">
        <f>IF(ISNUMBER(A1528),TEXT(A1528,"dd-mmm-yy"),"")</f>
        <v/>
      </c>
    </row>
    <row r="1529">
      <c r="A1529" s="14">
        <f>IF(OR(AH!$U$4=0,1524+1&gt;AH!$U$6,AND(AH!$M$5="Bloomberg",AH!$U$5=0)),"",IFERROR(IF(AND(AH!$U$12=1,1524+1=AH!$U$6),TODAY(),IF(AH!$U$5=1,INDEX('Live History'!$A$5:$A$3004,AH!$U$7+1524),INDEX('AH History'!$A$5:$A$1380,AH!$U$7+1524))),""))</f>
        <v/>
      </c>
      <c r="B1529" s="33">
        <f>IFERROR(IF(AH!$U$11=1,NA(),$J1529/$E1529-1),NA())</f>
        <v/>
      </c>
      <c r="C1529" s="269">
        <f>IFERROR(100*$E1529/$E$5,NA())</f>
        <v/>
      </c>
      <c r="D1529" s="269">
        <f>IFERROR(100*$J1529/$J$5,NA())</f>
        <v/>
      </c>
      <c r="E1529" s="32">
        <f>IFERROR(IF(AND(ISNUMBER($A1529),N(IF(AND(AH!$U$12=1,1524+1=AH!$U$6),IF(AH!$U$4=0,"unavailable",INDEX('Market Data'!$AN$5:$AN$66,AH!$U$4)),IF(AH!$U$5=1,INDEX('Live History'!$B$5:$B$3004,$K1529),INDEX('AH History'!$D$5:$GG$1380,$K1529,AH!$U$10))))&gt;0),IF(AND(AH!$U$12=1,1524+1=AH!$U$6),IF(AH!$U$4=0,"unavailable",INDEX('Market Data'!$AN$5:$AN$66,AH!$U$4)),IF(AH!$U$5=1,INDEX('Live History'!$B$5:$B$3004,$K1529),INDEX('AH History'!$D$5:$GG$1380,$K1529,AH!$U$10))),NA()),NA())</f>
        <v/>
      </c>
      <c r="F1529" s="32">
        <f>IFERROR(IF(ISNUMBER($A1529),IF(AND(AH!$U$12=1,1524+1=AH!$U$6),IF(AH!$U$4=0,"unavailable",INDEX('Market Data'!$AO$5:$AO$66,AH!$U$4)),IF(AH!$U$5=1,INDEX('Live History'!$E$5:$E$3004,MATCH($A1529,'Live History'!$D$5:$D$3004,1)),INDEX('AH History'!$D$5:$GG$1380,$K1529,AH!$U$10+1))),NA()),NA())</f>
        <v/>
      </c>
      <c r="G1529" s="34">
        <f>IFERROR(IF(ISNUMBER($A1529),IF(AND(AH!$U$12=1,1524+1=AH!$U$6),IF(AH!$U$4=0,"unavailable",INDEX('Market Data'!$AK$5:$AK$66,AH!$U$4)),IF(AH!$U$5=1,INDEX('Live History'!$D$5:$D$3004,MATCH($A1529,'Live History'!$D$5:$D$3004,1)),INDEX('AH History'!$D$5:$GG$1380,$K1529,AH!$U$10+2))),NA()),NA())</f>
        <v/>
      </c>
      <c r="H1529" s="266">
        <f>IFERROR(IF(ISNUMBER($A1529),IF(AND(AH!$U$12=1,1524+1=AH!$U$6),IF(AH!$U$4=0,"unavailable",INDEX('Market Data'!$AP$5:$AP$66,AH!$U$4)),IF(AH!$U$5=1,INDEX('Live History'!$H$5:$H$3004,MATCH($A1529,'Live History'!$G$5:$G$3004,1)),INDEX('AH History'!$B$5:$B$1380,$K1529))),NA()),NA())</f>
        <v/>
      </c>
      <c r="I1529" s="34">
        <f>IFERROR(IF(ISNUMBER($A1529),IF(AND(AH!$U$12=1,1524+1=AH!$U$6),TODAY(),IF(AH!$U$5=1,INDEX('Live History'!$G$5:$G$3004,MATCH($A1529,'Live History'!$G$5:$G$3004,1)),INDEX('AH History'!$C$5:$C$1380,$K1529))),NA()),NA())</f>
        <v/>
      </c>
      <c r="J1529" s="32">
        <f>IFERROR(IF(AND($F1529&gt;0,$H1529&gt;0,$A1529-$G1529&lt;=10,$A1529-$I1529&lt;=5,$G1529&gt;0,$I1529&gt;0),$F1529*$H1529,NA()),NA())</f>
        <v/>
      </c>
      <c r="K1529" s="15">
        <f>IF($A1529="","",IF(AH!$U$5=1,IFERROR(MATCH($A1529,'Live History'!$A$5:$A$3004,0),0),AH!$U$7+1524))</f>
        <v/>
      </c>
      <c r="L1529" s="15">
        <f>IF(ISNUMBER(A1529),TEXT(A1529,"dd-mmm-yy"),"")</f>
        <v/>
      </c>
    </row>
    <row r="1530">
      <c r="A1530" s="14">
        <f>IF(OR(AH!$U$4=0,1525+1&gt;AH!$U$6,AND(AH!$M$5="Bloomberg",AH!$U$5=0)),"",IFERROR(IF(AND(AH!$U$12=1,1525+1=AH!$U$6),TODAY(),IF(AH!$U$5=1,INDEX('Live History'!$A$5:$A$3004,AH!$U$7+1525),INDEX('AH History'!$A$5:$A$1380,AH!$U$7+1525))),""))</f>
        <v/>
      </c>
      <c r="B1530" s="33">
        <f>IFERROR(IF(AH!$U$11=1,NA(),$J1530/$E1530-1),NA())</f>
        <v/>
      </c>
      <c r="C1530" s="269">
        <f>IFERROR(100*$E1530/$E$5,NA())</f>
        <v/>
      </c>
      <c r="D1530" s="269">
        <f>IFERROR(100*$J1530/$J$5,NA())</f>
        <v/>
      </c>
      <c r="E1530" s="32">
        <f>IFERROR(IF(AND(ISNUMBER($A1530),N(IF(AND(AH!$U$12=1,1525+1=AH!$U$6),IF(AH!$U$4=0,"unavailable",INDEX('Market Data'!$AN$5:$AN$66,AH!$U$4)),IF(AH!$U$5=1,INDEX('Live History'!$B$5:$B$3004,$K1530),INDEX('AH History'!$D$5:$GG$1380,$K1530,AH!$U$10))))&gt;0),IF(AND(AH!$U$12=1,1525+1=AH!$U$6),IF(AH!$U$4=0,"unavailable",INDEX('Market Data'!$AN$5:$AN$66,AH!$U$4)),IF(AH!$U$5=1,INDEX('Live History'!$B$5:$B$3004,$K1530),INDEX('AH History'!$D$5:$GG$1380,$K1530,AH!$U$10))),NA()),NA())</f>
        <v/>
      </c>
      <c r="F1530" s="32">
        <f>IFERROR(IF(ISNUMBER($A1530),IF(AND(AH!$U$12=1,1525+1=AH!$U$6),IF(AH!$U$4=0,"unavailable",INDEX('Market Data'!$AO$5:$AO$66,AH!$U$4)),IF(AH!$U$5=1,INDEX('Live History'!$E$5:$E$3004,MATCH($A1530,'Live History'!$D$5:$D$3004,1)),INDEX('AH History'!$D$5:$GG$1380,$K1530,AH!$U$10+1))),NA()),NA())</f>
        <v/>
      </c>
      <c r="G1530" s="34">
        <f>IFERROR(IF(ISNUMBER($A1530),IF(AND(AH!$U$12=1,1525+1=AH!$U$6),IF(AH!$U$4=0,"unavailable",INDEX('Market Data'!$AK$5:$AK$66,AH!$U$4)),IF(AH!$U$5=1,INDEX('Live History'!$D$5:$D$3004,MATCH($A1530,'Live History'!$D$5:$D$3004,1)),INDEX('AH History'!$D$5:$GG$1380,$K1530,AH!$U$10+2))),NA()),NA())</f>
        <v/>
      </c>
      <c r="H1530" s="266">
        <f>IFERROR(IF(ISNUMBER($A1530),IF(AND(AH!$U$12=1,1525+1=AH!$U$6),IF(AH!$U$4=0,"unavailable",INDEX('Market Data'!$AP$5:$AP$66,AH!$U$4)),IF(AH!$U$5=1,INDEX('Live History'!$H$5:$H$3004,MATCH($A1530,'Live History'!$G$5:$G$3004,1)),INDEX('AH History'!$B$5:$B$1380,$K1530))),NA()),NA())</f>
        <v/>
      </c>
      <c r="I1530" s="34">
        <f>IFERROR(IF(ISNUMBER($A1530),IF(AND(AH!$U$12=1,1525+1=AH!$U$6),TODAY(),IF(AH!$U$5=1,INDEX('Live History'!$G$5:$G$3004,MATCH($A1530,'Live History'!$G$5:$G$3004,1)),INDEX('AH History'!$C$5:$C$1380,$K1530))),NA()),NA())</f>
        <v/>
      </c>
      <c r="J1530" s="32">
        <f>IFERROR(IF(AND($F1530&gt;0,$H1530&gt;0,$A1530-$G1530&lt;=10,$A1530-$I1530&lt;=5,$G1530&gt;0,$I1530&gt;0),$F1530*$H1530,NA()),NA())</f>
        <v/>
      </c>
      <c r="K1530" s="15">
        <f>IF($A1530="","",IF(AH!$U$5=1,IFERROR(MATCH($A1530,'Live History'!$A$5:$A$3004,0),0),AH!$U$7+1525))</f>
        <v/>
      </c>
      <c r="L1530" s="15">
        <f>IF(ISNUMBER(A1530),TEXT(A1530,"dd-mmm-yy"),"")</f>
        <v/>
      </c>
    </row>
    <row r="1531">
      <c r="A1531" s="14">
        <f>IF(OR(AH!$U$4=0,1526+1&gt;AH!$U$6,AND(AH!$M$5="Bloomberg",AH!$U$5=0)),"",IFERROR(IF(AND(AH!$U$12=1,1526+1=AH!$U$6),TODAY(),IF(AH!$U$5=1,INDEX('Live History'!$A$5:$A$3004,AH!$U$7+1526),INDEX('AH History'!$A$5:$A$1380,AH!$U$7+1526))),""))</f>
        <v/>
      </c>
      <c r="B1531" s="33">
        <f>IFERROR(IF(AH!$U$11=1,NA(),$J1531/$E1531-1),NA())</f>
        <v/>
      </c>
      <c r="C1531" s="269">
        <f>IFERROR(100*$E1531/$E$5,NA())</f>
        <v/>
      </c>
      <c r="D1531" s="269">
        <f>IFERROR(100*$J1531/$J$5,NA())</f>
        <v/>
      </c>
      <c r="E1531" s="32">
        <f>IFERROR(IF(AND(ISNUMBER($A1531),N(IF(AND(AH!$U$12=1,1526+1=AH!$U$6),IF(AH!$U$4=0,"unavailable",INDEX('Market Data'!$AN$5:$AN$66,AH!$U$4)),IF(AH!$U$5=1,INDEX('Live History'!$B$5:$B$3004,$K1531),INDEX('AH History'!$D$5:$GG$1380,$K1531,AH!$U$10))))&gt;0),IF(AND(AH!$U$12=1,1526+1=AH!$U$6),IF(AH!$U$4=0,"unavailable",INDEX('Market Data'!$AN$5:$AN$66,AH!$U$4)),IF(AH!$U$5=1,INDEX('Live History'!$B$5:$B$3004,$K1531),INDEX('AH History'!$D$5:$GG$1380,$K1531,AH!$U$10))),NA()),NA())</f>
        <v/>
      </c>
      <c r="F1531" s="32">
        <f>IFERROR(IF(ISNUMBER($A1531),IF(AND(AH!$U$12=1,1526+1=AH!$U$6),IF(AH!$U$4=0,"unavailable",INDEX('Market Data'!$AO$5:$AO$66,AH!$U$4)),IF(AH!$U$5=1,INDEX('Live History'!$E$5:$E$3004,MATCH($A1531,'Live History'!$D$5:$D$3004,1)),INDEX('AH History'!$D$5:$GG$1380,$K1531,AH!$U$10+1))),NA()),NA())</f>
        <v/>
      </c>
      <c r="G1531" s="34">
        <f>IFERROR(IF(ISNUMBER($A1531),IF(AND(AH!$U$12=1,1526+1=AH!$U$6),IF(AH!$U$4=0,"unavailable",INDEX('Market Data'!$AK$5:$AK$66,AH!$U$4)),IF(AH!$U$5=1,INDEX('Live History'!$D$5:$D$3004,MATCH($A1531,'Live History'!$D$5:$D$3004,1)),INDEX('AH History'!$D$5:$GG$1380,$K1531,AH!$U$10+2))),NA()),NA())</f>
        <v/>
      </c>
      <c r="H1531" s="266">
        <f>IFERROR(IF(ISNUMBER($A1531),IF(AND(AH!$U$12=1,1526+1=AH!$U$6),IF(AH!$U$4=0,"unavailable",INDEX('Market Data'!$AP$5:$AP$66,AH!$U$4)),IF(AH!$U$5=1,INDEX('Live History'!$H$5:$H$3004,MATCH($A1531,'Live History'!$G$5:$G$3004,1)),INDEX('AH History'!$B$5:$B$1380,$K1531))),NA()),NA())</f>
        <v/>
      </c>
      <c r="I1531" s="34">
        <f>IFERROR(IF(ISNUMBER($A1531),IF(AND(AH!$U$12=1,1526+1=AH!$U$6),TODAY(),IF(AH!$U$5=1,INDEX('Live History'!$G$5:$G$3004,MATCH($A1531,'Live History'!$G$5:$G$3004,1)),INDEX('AH History'!$C$5:$C$1380,$K1531))),NA()),NA())</f>
        <v/>
      </c>
      <c r="J1531" s="32">
        <f>IFERROR(IF(AND($F1531&gt;0,$H1531&gt;0,$A1531-$G1531&lt;=10,$A1531-$I1531&lt;=5,$G1531&gt;0,$I1531&gt;0),$F1531*$H1531,NA()),NA())</f>
        <v/>
      </c>
      <c r="K1531" s="15">
        <f>IF($A1531="","",IF(AH!$U$5=1,IFERROR(MATCH($A1531,'Live History'!$A$5:$A$3004,0),0),AH!$U$7+1526))</f>
        <v/>
      </c>
      <c r="L1531" s="15">
        <f>IF(ISNUMBER(A1531),TEXT(A1531,"dd-mmm-yy"),"")</f>
        <v/>
      </c>
    </row>
    <row r="1532">
      <c r="A1532" s="14">
        <f>IF(OR(AH!$U$4=0,1527+1&gt;AH!$U$6,AND(AH!$M$5="Bloomberg",AH!$U$5=0)),"",IFERROR(IF(AND(AH!$U$12=1,1527+1=AH!$U$6),TODAY(),IF(AH!$U$5=1,INDEX('Live History'!$A$5:$A$3004,AH!$U$7+1527),INDEX('AH History'!$A$5:$A$1380,AH!$U$7+1527))),""))</f>
        <v/>
      </c>
      <c r="B1532" s="33">
        <f>IFERROR(IF(AH!$U$11=1,NA(),$J1532/$E1532-1),NA())</f>
        <v/>
      </c>
      <c r="C1532" s="269">
        <f>IFERROR(100*$E1532/$E$5,NA())</f>
        <v/>
      </c>
      <c r="D1532" s="269">
        <f>IFERROR(100*$J1532/$J$5,NA())</f>
        <v/>
      </c>
      <c r="E1532" s="32">
        <f>IFERROR(IF(AND(ISNUMBER($A1532),N(IF(AND(AH!$U$12=1,1527+1=AH!$U$6),IF(AH!$U$4=0,"unavailable",INDEX('Market Data'!$AN$5:$AN$66,AH!$U$4)),IF(AH!$U$5=1,INDEX('Live History'!$B$5:$B$3004,$K1532),INDEX('AH History'!$D$5:$GG$1380,$K1532,AH!$U$10))))&gt;0),IF(AND(AH!$U$12=1,1527+1=AH!$U$6),IF(AH!$U$4=0,"unavailable",INDEX('Market Data'!$AN$5:$AN$66,AH!$U$4)),IF(AH!$U$5=1,INDEX('Live History'!$B$5:$B$3004,$K1532),INDEX('AH History'!$D$5:$GG$1380,$K1532,AH!$U$10))),NA()),NA())</f>
        <v/>
      </c>
      <c r="F1532" s="32">
        <f>IFERROR(IF(ISNUMBER($A1532),IF(AND(AH!$U$12=1,1527+1=AH!$U$6),IF(AH!$U$4=0,"unavailable",INDEX('Market Data'!$AO$5:$AO$66,AH!$U$4)),IF(AH!$U$5=1,INDEX('Live History'!$E$5:$E$3004,MATCH($A1532,'Live History'!$D$5:$D$3004,1)),INDEX('AH History'!$D$5:$GG$1380,$K1532,AH!$U$10+1))),NA()),NA())</f>
        <v/>
      </c>
      <c r="G1532" s="34">
        <f>IFERROR(IF(ISNUMBER($A1532),IF(AND(AH!$U$12=1,1527+1=AH!$U$6),IF(AH!$U$4=0,"unavailable",INDEX('Market Data'!$AK$5:$AK$66,AH!$U$4)),IF(AH!$U$5=1,INDEX('Live History'!$D$5:$D$3004,MATCH($A1532,'Live History'!$D$5:$D$3004,1)),INDEX('AH History'!$D$5:$GG$1380,$K1532,AH!$U$10+2))),NA()),NA())</f>
        <v/>
      </c>
      <c r="H1532" s="266">
        <f>IFERROR(IF(ISNUMBER($A1532),IF(AND(AH!$U$12=1,1527+1=AH!$U$6),IF(AH!$U$4=0,"unavailable",INDEX('Market Data'!$AP$5:$AP$66,AH!$U$4)),IF(AH!$U$5=1,INDEX('Live History'!$H$5:$H$3004,MATCH($A1532,'Live History'!$G$5:$G$3004,1)),INDEX('AH History'!$B$5:$B$1380,$K1532))),NA()),NA())</f>
        <v/>
      </c>
      <c r="I1532" s="34">
        <f>IFERROR(IF(ISNUMBER($A1532),IF(AND(AH!$U$12=1,1527+1=AH!$U$6),TODAY(),IF(AH!$U$5=1,INDEX('Live History'!$G$5:$G$3004,MATCH($A1532,'Live History'!$G$5:$G$3004,1)),INDEX('AH History'!$C$5:$C$1380,$K1532))),NA()),NA())</f>
        <v/>
      </c>
      <c r="J1532" s="32">
        <f>IFERROR(IF(AND($F1532&gt;0,$H1532&gt;0,$A1532-$G1532&lt;=10,$A1532-$I1532&lt;=5,$G1532&gt;0,$I1532&gt;0),$F1532*$H1532,NA()),NA())</f>
        <v/>
      </c>
      <c r="K1532" s="15">
        <f>IF($A1532="","",IF(AH!$U$5=1,IFERROR(MATCH($A1532,'Live History'!$A$5:$A$3004,0),0),AH!$U$7+1527))</f>
        <v/>
      </c>
      <c r="L1532" s="15">
        <f>IF(ISNUMBER(A1532),TEXT(A1532,"dd-mmm-yy"),"")</f>
        <v/>
      </c>
    </row>
    <row r="1533">
      <c r="A1533" s="14">
        <f>IF(OR(AH!$U$4=0,1528+1&gt;AH!$U$6,AND(AH!$M$5="Bloomberg",AH!$U$5=0)),"",IFERROR(IF(AND(AH!$U$12=1,1528+1=AH!$U$6),TODAY(),IF(AH!$U$5=1,INDEX('Live History'!$A$5:$A$3004,AH!$U$7+1528),INDEX('AH History'!$A$5:$A$1380,AH!$U$7+1528))),""))</f>
        <v/>
      </c>
      <c r="B1533" s="33">
        <f>IFERROR(IF(AH!$U$11=1,NA(),$J1533/$E1533-1),NA())</f>
        <v/>
      </c>
      <c r="C1533" s="269">
        <f>IFERROR(100*$E1533/$E$5,NA())</f>
        <v/>
      </c>
      <c r="D1533" s="269">
        <f>IFERROR(100*$J1533/$J$5,NA())</f>
        <v/>
      </c>
      <c r="E1533" s="32">
        <f>IFERROR(IF(AND(ISNUMBER($A1533),N(IF(AND(AH!$U$12=1,1528+1=AH!$U$6),IF(AH!$U$4=0,"unavailable",INDEX('Market Data'!$AN$5:$AN$66,AH!$U$4)),IF(AH!$U$5=1,INDEX('Live History'!$B$5:$B$3004,$K1533),INDEX('AH History'!$D$5:$GG$1380,$K1533,AH!$U$10))))&gt;0),IF(AND(AH!$U$12=1,1528+1=AH!$U$6),IF(AH!$U$4=0,"unavailable",INDEX('Market Data'!$AN$5:$AN$66,AH!$U$4)),IF(AH!$U$5=1,INDEX('Live History'!$B$5:$B$3004,$K1533),INDEX('AH History'!$D$5:$GG$1380,$K1533,AH!$U$10))),NA()),NA())</f>
        <v/>
      </c>
      <c r="F1533" s="32">
        <f>IFERROR(IF(ISNUMBER($A1533),IF(AND(AH!$U$12=1,1528+1=AH!$U$6),IF(AH!$U$4=0,"unavailable",INDEX('Market Data'!$AO$5:$AO$66,AH!$U$4)),IF(AH!$U$5=1,INDEX('Live History'!$E$5:$E$3004,MATCH($A1533,'Live History'!$D$5:$D$3004,1)),INDEX('AH History'!$D$5:$GG$1380,$K1533,AH!$U$10+1))),NA()),NA())</f>
        <v/>
      </c>
      <c r="G1533" s="34">
        <f>IFERROR(IF(ISNUMBER($A1533),IF(AND(AH!$U$12=1,1528+1=AH!$U$6),IF(AH!$U$4=0,"unavailable",INDEX('Market Data'!$AK$5:$AK$66,AH!$U$4)),IF(AH!$U$5=1,INDEX('Live History'!$D$5:$D$3004,MATCH($A1533,'Live History'!$D$5:$D$3004,1)),INDEX('AH History'!$D$5:$GG$1380,$K1533,AH!$U$10+2))),NA()),NA())</f>
        <v/>
      </c>
      <c r="H1533" s="266">
        <f>IFERROR(IF(ISNUMBER($A1533),IF(AND(AH!$U$12=1,1528+1=AH!$U$6),IF(AH!$U$4=0,"unavailable",INDEX('Market Data'!$AP$5:$AP$66,AH!$U$4)),IF(AH!$U$5=1,INDEX('Live History'!$H$5:$H$3004,MATCH($A1533,'Live History'!$G$5:$G$3004,1)),INDEX('AH History'!$B$5:$B$1380,$K1533))),NA()),NA())</f>
        <v/>
      </c>
      <c r="I1533" s="34">
        <f>IFERROR(IF(ISNUMBER($A1533),IF(AND(AH!$U$12=1,1528+1=AH!$U$6),TODAY(),IF(AH!$U$5=1,INDEX('Live History'!$G$5:$G$3004,MATCH($A1533,'Live History'!$G$5:$G$3004,1)),INDEX('AH History'!$C$5:$C$1380,$K1533))),NA()),NA())</f>
        <v/>
      </c>
      <c r="J1533" s="32">
        <f>IFERROR(IF(AND($F1533&gt;0,$H1533&gt;0,$A1533-$G1533&lt;=10,$A1533-$I1533&lt;=5,$G1533&gt;0,$I1533&gt;0),$F1533*$H1533,NA()),NA())</f>
        <v/>
      </c>
      <c r="K1533" s="15">
        <f>IF($A1533="","",IF(AH!$U$5=1,IFERROR(MATCH($A1533,'Live History'!$A$5:$A$3004,0),0),AH!$U$7+1528))</f>
        <v/>
      </c>
      <c r="L1533" s="15">
        <f>IF(ISNUMBER(A1533),TEXT(A1533,"dd-mmm-yy"),"")</f>
        <v/>
      </c>
    </row>
    <row r="1534">
      <c r="A1534" s="14">
        <f>IF(OR(AH!$U$4=0,1529+1&gt;AH!$U$6,AND(AH!$M$5="Bloomberg",AH!$U$5=0)),"",IFERROR(IF(AND(AH!$U$12=1,1529+1=AH!$U$6),TODAY(),IF(AH!$U$5=1,INDEX('Live History'!$A$5:$A$3004,AH!$U$7+1529),INDEX('AH History'!$A$5:$A$1380,AH!$U$7+1529))),""))</f>
        <v/>
      </c>
      <c r="B1534" s="33">
        <f>IFERROR(IF(AH!$U$11=1,NA(),$J1534/$E1534-1),NA())</f>
        <v/>
      </c>
      <c r="C1534" s="269">
        <f>IFERROR(100*$E1534/$E$5,NA())</f>
        <v/>
      </c>
      <c r="D1534" s="269">
        <f>IFERROR(100*$J1534/$J$5,NA())</f>
        <v/>
      </c>
      <c r="E1534" s="32">
        <f>IFERROR(IF(AND(ISNUMBER($A1534),N(IF(AND(AH!$U$12=1,1529+1=AH!$U$6),IF(AH!$U$4=0,"unavailable",INDEX('Market Data'!$AN$5:$AN$66,AH!$U$4)),IF(AH!$U$5=1,INDEX('Live History'!$B$5:$B$3004,$K1534),INDEX('AH History'!$D$5:$GG$1380,$K1534,AH!$U$10))))&gt;0),IF(AND(AH!$U$12=1,1529+1=AH!$U$6),IF(AH!$U$4=0,"unavailable",INDEX('Market Data'!$AN$5:$AN$66,AH!$U$4)),IF(AH!$U$5=1,INDEX('Live History'!$B$5:$B$3004,$K1534),INDEX('AH History'!$D$5:$GG$1380,$K1534,AH!$U$10))),NA()),NA())</f>
        <v/>
      </c>
      <c r="F1534" s="32">
        <f>IFERROR(IF(ISNUMBER($A1534),IF(AND(AH!$U$12=1,1529+1=AH!$U$6),IF(AH!$U$4=0,"unavailable",INDEX('Market Data'!$AO$5:$AO$66,AH!$U$4)),IF(AH!$U$5=1,INDEX('Live History'!$E$5:$E$3004,MATCH($A1534,'Live History'!$D$5:$D$3004,1)),INDEX('AH History'!$D$5:$GG$1380,$K1534,AH!$U$10+1))),NA()),NA())</f>
        <v/>
      </c>
      <c r="G1534" s="34">
        <f>IFERROR(IF(ISNUMBER($A1534),IF(AND(AH!$U$12=1,1529+1=AH!$U$6),IF(AH!$U$4=0,"unavailable",INDEX('Market Data'!$AK$5:$AK$66,AH!$U$4)),IF(AH!$U$5=1,INDEX('Live History'!$D$5:$D$3004,MATCH($A1534,'Live History'!$D$5:$D$3004,1)),INDEX('AH History'!$D$5:$GG$1380,$K1534,AH!$U$10+2))),NA()),NA())</f>
        <v/>
      </c>
      <c r="H1534" s="266">
        <f>IFERROR(IF(ISNUMBER($A1534),IF(AND(AH!$U$12=1,1529+1=AH!$U$6),IF(AH!$U$4=0,"unavailable",INDEX('Market Data'!$AP$5:$AP$66,AH!$U$4)),IF(AH!$U$5=1,INDEX('Live History'!$H$5:$H$3004,MATCH($A1534,'Live History'!$G$5:$G$3004,1)),INDEX('AH History'!$B$5:$B$1380,$K1534))),NA()),NA())</f>
        <v/>
      </c>
      <c r="I1534" s="34">
        <f>IFERROR(IF(ISNUMBER($A1534),IF(AND(AH!$U$12=1,1529+1=AH!$U$6),TODAY(),IF(AH!$U$5=1,INDEX('Live History'!$G$5:$G$3004,MATCH($A1534,'Live History'!$G$5:$G$3004,1)),INDEX('AH History'!$C$5:$C$1380,$K1534))),NA()),NA())</f>
        <v/>
      </c>
      <c r="J1534" s="32">
        <f>IFERROR(IF(AND($F1534&gt;0,$H1534&gt;0,$A1534-$G1534&lt;=10,$A1534-$I1534&lt;=5,$G1534&gt;0,$I1534&gt;0),$F1534*$H1534,NA()),NA())</f>
        <v/>
      </c>
      <c r="K1534" s="15">
        <f>IF($A1534="","",IF(AH!$U$5=1,IFERROR(MATCH($A1534,'Live History'!$A$5:$A$3004,0),0),AH!$U$7+1529))</f>
        <v/>
      </c>
      <c r="L1534" s="15">
        <f>IF(ISNUMBER(A1534),TEXT(A1534,"dd-mmm-yy"),"")</f>
        <v/>
      </c>
    </row>
    <row r="1535">
      <c r="A1535" s="14">
        <f>IF(OR(AH!$U$4=0,1530+1&gt;AH!$U$6,AND(AH!$M$5="Bloomberg",AH!$U$5=0)),"",IFERROR(IF(AND(AH!$U$12=1,1530+1=AH!$U$6),TODAY(),IF(AH!$U$5=1,INDEX('Live History'!$A$5:$A$3004,AH!$U$7+1530),INDEX('AH History'!$A$5:$A$1380,AH!$U$7+1530))),""))</f>
        <v/>
      </c>
      <c r="B1535" s="33">
        <f>IFERROR(IF(AH!$U$11=1,NA(),$J1535/$E1535-1),NA())</f>
        <v/>
      </c>
      <c r="C1535" s="269">
        <f>IFERROR(100*$E1535/$E$5,NA())</f>
        <v/>
      </c>
      <c r="D1535" s="269">
        <f>IFERROR(100*$J1535/$J$5,NA())</f>
        <v/>
      </c>
      <c r="E1535" s="32">
        <f>IFERROR(IF(AND(ISNUMBER($A1535),N(IF(AND(AH!$U$12=1,1530+1=AH!$U$6),IF(AH!$U$4=0,"unavailable",INDEX('Market Data'!$AN$5:$AN$66,AH!$U$4)),IF(AH!$U$5=1,INDEX('Live History'!$B$5:$B$3004,$K1535),INDEX('AH History'!$D$5:$GG$1380,$K1535,AH!$U$10))))&gt;0),IF(AND(AH!$U$12=1,1530+1=AH!$U$6),IF(AH!$U$4=0,"unavailable",INDEX('Market Data'!$AN$5:$AN$66,AH!$U$4)),IF(AH!$U$5=1,INDEX('Live History'!$B$5:$B$3004,$K1535),INDEX('AH History'!$D$5:$GG$1380,$K1535,AH!$U$10))),NA()),NA())</f>
        <v/>
      </c>
      <c r="F1535" s="32">
        <f>IFERROR(IF(ISNUMBER($A1535),IF(AND(AH!$U$12=1,1530+1=AH!$U$6),IF(AH!$U$4=0,"unavailable",INDEX('Market Data'!$AO$5:$AO$66,AH!$U$4)),IF(AH!$U$5=1,INDEX('Live History'!$E$5:$E$3004,MATCH($A1535,'Live History'!$D$5:$D$3004,1)),INDEX('AH History'!$D$5:$GG$1380,$K1535,AH!$U$10+1))),NA()),NA())</f>
        <v/>
      </c>
      <c r="G1535" s="34">
        <f>IFERROR(IF(ISNUMBER($A1535),IF(AND(AH!$U$12=1,1530+1=AH!$U$6),IF(AH!$U$4=0,"unavailable",INDEX('Market Data'!$AK$5:$AK$66,AH!$U$4)),IF(AH!$U$5=1,INDEX('Live History'!$D$5:$D$3004,MATCH($A1535,'Live History'!$D$5:$D$3004,1)),INDEX('AH History'!$D$5:$GG$1380,$K1535,AH!$U$10+2))),NA()),NA())</f>
        <v/>
      </c>
      <c r="H1535" s="266">
        <f>IFERROR(IF(ISNUMBER($A1535),IF(AND(AH!$U$12=1,1530+1=AH!$U$6),IF(AH!$U$4=0,"unavailable",INDEX('Market Data'!$AP$5:$AP$66,AH!$U$4)),IF(AH!$U$5=1,INDEX('Live History'!$H$5:$H$3004,MATCH($A1535,'Live History'!$G$5:$G$3004,1)),INDEX('AH History'!$B$5:$B$1380,$K1535))),NA()),NA())</f>
        <v/>
      </c>
      <c r="I1535" s="34">
        <f>IFERROR(IF(ISNUMBER($A1535),IF(AND(AH!$U$12=1,1530+1=AH!$U$6),TODAY(),IF(AH!$U$5=1,INDEX('Live History'!$G$5:$G$3004,MATCH($A1535,'Live History'!$G$5:$G$3004,1)),INDEX('AH History'!$C$5:$C$1380,$K1535))),NA()),NA())</f>
        <v/>
      </c>
      <c r="J1535" s="32">
        <f>IFERROR(IF(AND($F1535&gt;0,$H1535&gt;0,$A1535-$G1535&lt;=10,$A1535-$I1535&lt;=5,$G1535&gt;0,$I1535&gt;0),$F1535*$H1535,NA()),NA())</f>
        <v/>
      </c>
      <c r="K1535" s="15">
        <f>IF($A1535="","",IF(AH!$U$5=1,IFERROR(MATCH($A1535,'Live History'!$A$5:$A$3004,0),0),AH!$U$7+1530))</f>
        <v/>
      </c>
      <c r="L1535" s="15">
        <f>IF(ISNUMBER(A1535),TEXT(A1535,"dd-mmm-yy"),"")</f>
        <v/>
      </c>
    </row>
    <row r="1536">
      <c r="A1536" s="14">
        <f>IF(OR(AH!$U$4=0,1531+1&gt;AH!$U$6,AND(AH!$M$5="Bloomberg",AH!$U$5=0)),"",IFERROR(IF(AND(AH!$U$12=1,1531+1=AH!$U$6),TODAY(),IF(AH!$U$5=1,INDEX('Live History'!$A$5:$A$3004,AH!$U$7+1531),INDEX('AH History'!$A$5:$A$1380,AH!$U$7+1531))),""))</f>
        <v/>
      </c>
      <c r="B1536" s="33">
        <f>IFERROR(IF(AH!$U$11=1,NA(),$J1536/$E1536-1),NA())</f>
        <v/>
      </c>
      <c r="C1536" s="269">
        <f>IFERROR(100*$E1536/$E$5,NA())</f>
        <v/>
      </c>
      <c r="D1536" s="269">
        <f>IFERROR(100*$J1536/$J$5,NA())</f>
        <v/>
      </c>
      <c r="E1536" s="32">
        <f>IFERROR(IF(AND(ISNUMBER($A1536),N(IF(AND(AH!$U$12=1,1531+1=AH!$U$6),IF(AH!$U$4=0,"unavailable",INDEX('Market Data'!$AN$5:$AN$66,AH!$U$4)),IF(AH!$U$5=1,INDEX('Live History'!$B$5:$B$3004,$K1536),INDEX('AH History'!$D$5:$GG$1380,$K1536,AH!$U$10))))&gt;0),IF(AND(AH!$U$12=1,1531+1=AH!$U$6),IF(AH!$U$4=0,"unavailable",INDEX('Market Data'!$AN$5:$AN$66,AH!$U$4)),IF(AH!$U$5=1,INDEX('Live History'!$B$5:$B$3004,$K1536),INDEX('AH History'!$D$5:$GG$1380,$K1536,AH!$U$10))),NA()),NA())</f>
        <v/>
      </c>
      <c r="F1536" s="32">
        <f>IFERROR(IF(ISNUMBER($A1536),IF(AND(AH!$U$12=1,1531+1=AH!$U$6),IF(AH!$U$4=0,"unavailable",INDEX('Market Data'!$AO$5:$AO$66,AH!$U$4)),IF(AH!$U$5=1,INDEX('Live History'!$E$5:$E$3004,MATCH($A1536,'Live History'!$D$5:$D$3004,1)),INDEX('AH History'!$D$5:$GG$1380,$K1536,AH!$U$10+1))),NA()),NA())</f>
        <v/>
      </c>
      <c r="G1536" s="34">
        <f>IFERROR(IF(ISNUMBER($A1536),IF(AND(AH!$U$12=1,1531+1=AH!$U$6),IF(AH!$U$4=0,"unavailable",INDEX('Market Data'!$AK$5:$AK$66,AH!$U$4)),IF(AH!$U$5=1,INDEX('Live History'!$D$5:$D$3004,MATCH($A1536,'Live History'!$D$5:$D$3004,1)),INDEX('AH History'!$D$5:$GG$1380,$K1536,AH!$U$10+2))),NA()),NA())</f>
        <v/>
      </c>
      <c r="H1536" s="266">
        <f>IFERROR(IF(ISNUMBER($A1536),IF(AND(AH!$U$12=1,1531+1=AH!$U$6),IF(AH!$U$4=0,"unavailable",INDEX('Market Data'!$AP$5:$AP$66,AH!$U$4)),IF(AH!$U$5=1,INDEX('Live History'!$H$5:$H$3004,MATCH($A1536,'Live History'!$G$5:$G$3004,1)),INDEX('AH History'!$B$5:$B$1380,$K1536))),NA()),NA())</f>
        <v/>
      </c>
      <c r="I1536" s="34">
        <f>IFERROR(IF(ISNUMBER($A1536),IF(AND(AH!$U$12=1,1531+1=AH!$U$6),TODAY(),IF(AH!$U$5=1,INDEX('Live History'!$G$5:$G$3004,MATCH($A1536,'Live History'!$G$5:$G$3004,1)),INDEX('AH History'!$C$5:$C$1380,$K1536))),NA()),NA())</f>
        <v/>
      </c>
      <c r="J1536" s="32">
        <f>IFERROR(IF(AND($F1536&gt;0,$H1536&gt;0,$A1536-$G1536&lt;=10,$A1536-$I1536&lt;=5,$G1536&gt;0,$I1536&gt;0),$F1536*$H1536,NA()),NA())</f>
        <v/>
      </c>
      <c r="K1536" s="15">
        <f>IF($A1536="","",IF(AH!$U$5=1,IFERROR(MATCH($A1536,'Live History'!$A$5:$A$3004,0),0),AH!$U$7+1531))</f>
        <v/>
      </c>
      <c r="L1536" s="15">
        <f>IF(ISNUMBER(A1536),TEXT(A1536,"dd-mmm-yy"),"")</f>
        <v/>
      </c>
    </row>
    <row r="1537">
      <c r="A1537" s="14">
        <f>IF(OR(AH!$U$4=0,1532+1&gt;AH!$U$6,AND(AH!$M$5="Bloomberg",AH!$U$5=0)),"",IFERROR(IF(AND(AH!$U$12=1,1532+1=AH!$U$6),TODAY(),IF(AH!$U$5=1,INDEX('Live History'!$A$5:$A$3004,AH!$U$7+1532),INDEX('AH History'!$A$5:$A$1380,AH!$U$7+1532))),""))</f>
        <v/>
      </c>
      <c r="B1537" s="33">
        <f>IFERROR(IF(AH!$U$11=1,NA(),$J1537/$E1537-1),NA())</f>
        <v/>
      </c>
      <c r="C1537" s="269">
        <f>IFERROR(100*$E1537/$E$5,NA())</f>
        <v/>
      </c>
      <c r="D1537" s="269">
        <f>IFERROR(100*$J1537/$J$5,NA())</f>
        <v/>
      </c>
      <c r="E1537" s="32">
        <f>IFERROR(IF(AND(ISNUMBER($A1537),N(IF(AND(AH!$U$12=1,1532+1=AH!$U$6),IF(AH!$U$4=0,"unavailable",INDEX('Market Data'!$AN$5:$AN$66,AH!$U$4)),IF(AH!$U$5=1,INDEX('Live History'!$B$5:$B$3004,$K1537),INDEX('AH History'!$D$5:$GG$1380,$K1537,AH!$U$10))))&gt;0),IF(AND(AH!$U$12=1,1532+1=AH!$U$6),IF(AH!$U$4=0,"unavailable",INDEX('Market Data'!$AN$5:$AN$66,AH!$U$4)),IF(AH!$U$5=1,INDEX('Live History'!$B$5:$B$3004,$K1537),INDEX('AH History'!$D$5:$GG$1380,$K1537,AH!$U$10))),NA()),NA())</f>
        <v/>
      </c>
      <c r="F1537" s="32">
        <f>IFERROR(IF(ISNUMBER($A1537),IF(AND(AH!$U$12=1,1532+1=AH!$U$6),IF(AH!$U$4=0,"unavailable",INDEX('Market Data'!$AO$5:$AO$66,AH!$U$4)),IF(AH!$U$5=1,INDEX('Live History'!$E$5:$E$3004,MATCH($A1537,'Live History'!$D$5:$D$3004,1)),INDEX('AH History'!$D$5:$GG$1380,$K1537,AH!$U$10+1))),NA()),NA())</f>
        <v/>
      </c>
      <c r="G1537" s="34">
        <f>IFERROR(IF(ISNUMBER($A1537),IF(AND(AH!$U$12=1,1532+1=AH!$U$6),IF(AH!$U$4=0,"unavailable",INDEX('Market Data'!$AK$5:$AK$66,AH!$U$4)),IF(AH!$U$5=1,INDEX('Live History'!$D$5:$D$3004,MATCH($A1537,'Live History'!$D$5:$D$3004,1)),INDEX('AH History'!$D$5:$GG$1380,$K1537,AH!$U$10+2))),NA()),NA())</f>
        <v/>
      </c>
      <c r="H1537" s="266">
        <f>IFERROR(IF(ISNUMBER($A1537),IF(AND(AH!$U$12=1,1532+1=AH!$U$6),IF(AH!$U$4=0,"unavailable",INDEX('Market Data'!$AP$5:$AP$66,AH!$U$4)),IF(AH!$U$5=1,INDEX('Live History'!$H$5:$H$3004,MATCH($A1537,'Live History'!$G$5:$G$3004,1)),INDEX('AH History'!$B$5:$B$1380,$K1537))),NA()),NA())</f>
        <v/>
      </c>
      <c r="I1537" s="34">
        <f>IFERROR(IF(ISNUMBER($A1537),IF(AND(AH!$U$12=1,1532+1=AH!$U$6),TODAY(),IF(AH!$U$5=1,INDEX('Live History'!$G$5:$G$3004,MATCH($A1537,'Live History'!$G$5:$G$3004,1)),INDEX('AH History'!$C$5:$C$1380,$K1537))),NA()),NA())</f>
        <v/>
      </c>
      <c r="J1537" s="32">
        <f>IFERROR(IF(AND($F1537&gt;0,$H1537&gt;0,$A1537-$G1537&lt;=10,$A1537-$I1537&lt;=5,$G1537&gt;0,$I1537&gt;0),$F1537*$H1537,NA()),NA())</f>
        <v/>
      </c>
      <c r="K1537" s="15">
        <f>IF($A1537="","",IF(AH!$U$5=1,IFERROR(MATCH($A1537,'Live History'!$A$5:$A$3004,0),0),AH!$U$7+1532))</f>
        <v/>
      </c>
      <c r="L1537" s="15">
        <f>IF(ISNUMBER(A1537),TEXT(A1537,"dd-mmm-yy"),"")</f>
        <v/>
      </c>
    </row>
    <row r="1538">
      <c r="A1538" s="14">
        <f>IF(OR(AH!$U$4=0,1533+1&gt;AH!$U$6,AND(AH!$M$5="Bloomberg",AH!$U$5=0)),"",IFERROR(IF(AND(AH!$U$12=1,1533+1=AH!$U$6),TODAY(),IF(AH!$U$5=1,INDEX('Live History'!$A$5:$A$3004,AH!$U$7+1533),INDEX('AH History'!$A$5:$A$1380,AH!$U$7+1533))),""))</f>
        <v/>
      </c>
      <c r="B1538" s="33">
        <f>IFERROR(IF(AH!$U$11=1,NA(),$J1538/$E1538-1),NA())</f>
        <v/>
      </c>
      <c r="C1538" s="269">
        <f>IFERROR(100*$E1538/$E$5,NA())</f>
        <v/>
      </c>
      <c r="D1538" s="269">
        <f>IFERROR(100*$J1538/$J$5,NA())</f>
        <v/>
      </c>
      <c r="E1538" s="32">
        <f>IFERROR(IF(AND(ISNUMBER($A1538),N(IF(AND(AH!$U$12=1,1533+1=AH!$U$6),IF(AH!$U$4=0,"unavailable",INDEX('Market Data'!$AN$5:$AN$66,AH!$U$4)),IF(AH!$U$5=1,INDEX('Live History'!$B$5:$B$3004,$K1538),INDEX('AH History'!$D$5:$GG$1380,$K1538,AH!$U$10))))&gt;0),IF(AND(AH!$U$12=1,1533+1=AH!$U$6),IF(AH!$U$4=0,"unavailable",INDEX('Market Data'!$AN$5:$AN$66,AH!$U$4)),IF(AH!$U$5=1,INDEX('Live History'!$B$5:$B$3004,$K1538),INDEX('AH History'!$D$5:$GG$1380,$K1538,AH!$U$10))),NA()),NA())</f>
        <v/>
      </c>
      <c r="F1538" s="32">
        <f>IFERROR(IF(ISNUMBER($A1538),IF(AND(AH!$U$12=1,1533+1=AH!$U$6),IF(AH!$U$4=0,"unavailable",INDEX('Market Data'!$AO$5:$AO$66,AH!$U$4)),IF(AH!$U$5=1,INDEX('Live History'!$E$5:$E$3004,MATCH($A1538,'Live History'!$D$5:$D$3004,1)),INDEX('AH History'!$D$5:$GG$1380,$K1538,AH!$U$10+1))),NA()),NA())</f>
        <v/>
      </c>
      <c r="G1538" s="34">
        <f>IFERROR(IF(ISNUMBER($A1538),IF(AND(AH!$U$12=1,1533+1=AH!$U$6),IF(AH!$U$4=0,"unavailable",INDEX('Market Data'!$AK$5:$AK$66,AH!$U$4)),IF(AH!$U$5=1,INDEX('Live History'!$D$5:$D$3004,MATCH($A1538,'Live History'!$D$5:$D$3004,1)),INDEX('AH History'!$D$5:$GG$1380,$K1538,AH!$U$10+2))),NA()),NA())</f>
        <v/>
      </c>
      <c r="H1538" s="266">
        <f>IFERROR(IF(ISNUMBER($A1538),IF(AND(AH!$U$12=1,1533+1=AH!$U$6),IF(AH!$U$4=0,"unavailable",INDEX('Market Data'!$AP$5:$AP$66,AH!$U$4)),IF(AH!$U$5=1,INDEX('Live History'!$H$5:$H$3004,MATCH($A1538,'Live History'!$G$5:$G$3004,1)),INDEX('AH History'!$B$5:$B$1380,$K1538))),NA()),NA())</f>
        <v/>
      </c>
      <c r="I1538" s="34">
        <f>IFERROR(IF(ISNUMBER($A1538),IF(AND(AH!$U$12=1,1533+1=AH!$U$6),TODAY(),IF(AH!$U$5=1,INDEX('Live History'!$G$5:$G$3004,MATCH($A1538,'Live History'!$G$5:$G$3004,1)),INDEX('AH History'!$C$5:$C$1380,$K1538))),NA()),NA())</f>
        <v/>
      </c>
      <c r="J1538" s="32">
        <f>IFERROR(IF(AND($F1538&gt;0,$H1538&gt;0,$A1538-$G1538&lt;=10,$A1538-$I1538&lt;=5,$G1538&gt;0,$I1538&gt;0),$F1538*$H1538,NA()),NA())</f>
        <v/>
      </c>
      <c r="K1538" s="15">
        <f>IF($A1538="","",IF(AH!$U$5=1,IFERROR(MATCH($A1538,'Live History'!$A$5:$A$3004,0),0),AH!$U$7+1533))</f>
        <v/>
      </c>
      <c r="L1538" s="15">
        <f>IF(ISNUMBER(A1538),TEXT(A1538,"dd-mmm-yy"),"")</f>
        <v/>
      </c>
    </row>
    <row r="1539">
      <c r="A1539" s="14">
        <f>IF(OR(AH!$U$4=0,1534+1&gt;AH!$U$6,AND(AH!$M$5="Bloomberg",AH!$U$5=0)),"",IFERROR(IF(AND(AH!$U$12=1,1534+1=AH!$U$6),TODAY(),IF(AH!$U$5=1,INDEX('Live History'!$A$5:$A$3004,AH!$U$7+1534),INDEX('AH History'!$A$5:$A$1380,AH!$U$7+1534))),""))</f>
        <v/>
      </c>
      <c r="B1539" s="33">
        <f>IFERROR(IF(AH!$U$11=1,NA(),$J1539/$E1539-1),NA())</f>
        <v/>
      </c>
      <c r="C1539" s="269">
        <f>IFERROR(100*$E1539/$E$5,NA())</f>
        <v/>
      </c>
      <c r="D1539" s="269">
        <f>IFERROR(100*$J1539/$J$5,NA())</f>
        <v/>
      </c>
      <c r="E1539" s="32">
        <f>IFERROR(IF(AND(ISNUMBER($A1539),N(IF(AND(AH!$U$12=1,1534+1=AH!$U$6),IF(AH!$U$4=0,"unavailable",INDEX('Market Data'!$AN$5:$AN$66,AH!$U$4)),IF(AH!$U$5=1,INDEX('Live History'!$B$5:$B$3004,$K1539),INDEX('AH History'!$D$5:$GG$1380,$K1539,AH!$U$10))))&gt;0),IF(AND(AH!$U$12=1,1534+1=AH!$U$6),IF(AH!$U$4=0,"unavailable",INDEX('Market Data'!$AN$5:$AN$66,AH!$U$4)),IF(AH!$U$5=1,INDEX('Live History'!$B$5:$B$3004,$K1539),INDEX('AH History'!$D$5:$GG$1380,$K1539,AH!$U$10))),NA()),NA())</f>
        <v/>
      </c>
      <c r="F1539" s="32">
        <f>IFERROR(IF(ISNUMBER($A1539),IF(AND(AH!$U$12=1,1534+1=AH!$U$6),IF(AH!$U$4=0,"unavailable",INDEX('Market Data'!$AO$5:$AO$66,AH!$U$4)),IF(AH!$U$5=1,INDEX('Live History'!$E$5:$E$3004,MATCH($A1539,'Live History'!$D$5:$D$3004,1)),INDEX('AH History'!$D$5:$GG$1380,$K1539,AH!$U$10+1))),NA()),NA())</f>
        <v/>
      </c>
      <c r="G1539" s="34">
        <f>IFERROR(IF(ISNUMBER($A1539),IF(AND(AH!$U$12=1,1534+1=AH!$U$6),IF(AH!$U$4=0,"unavailable",INDEX('Market Data'!$AK$5:$AK$66,AH!$U$4)),IF(AH!$U$5=1,INDEX('Live History'!$D$5:$D$3004,MATCH($A1539,'Live History'!$D$5:$D$3004,1)),INDEX('AH History'!$D$5:$GG$1380,$K1539,AH!$U$10+2))),NA()),NA())</f>
        <v/>
      </c>
      <c r="H1539" s="266">
        <f>IFERROR(IF(ISNUMBER($A1539),IF(AND(AH!$U$12=1,1534+1=AH!$U$6),IF(AH!$U$4=0,"unavailable",INDEX('Market Data'!$AP$5:$AP$66,AH!$U$4)),IF(AH!$U$5=1,INDEX('Live History'!$H$5:$H$3004,MATCH($A1539,'Live History'!$G$5:$G$3004,1)),INDEX('AH History'!$B$5:$B$1380,$K1539))),NA()),NA())</f>
        <v/>
      </c>
      <c r="I1539" s="34">
        <f>IFERROR(IF(ISNUMBER($A1539),IF(AND(AH!$U$12=1,1534+1=AH!$U$6),TODAY(),IF(AH!$U$5=1,INDEX('Live History'!$G$5:$G$3004,MATCH($A1539,'Live History'!$G$5:$G$3004,1)),INDEX('AH History'!$C$5:$C$1380,$K1539))),NA()),NA())</f>
        <v/>
      </c>
      <c r="J1539" s="32">
        <f>IFERROR(IF(AND($F1539&gt;0,$H1539&gt;0,$A1539-$G1539&lt;=10,$A1539-$I1539&lt;=5,$G1539&gt;0,$I1539&gt;0),$F1539*$H1539,NA()),NA())</f>
        <v/>
      </c>
      <c r="K1539" s="15">
        <f>IF($A1539="","",IF(AH!$U$5=1,IFERROR(MATCH($A1539,'Live History'!$A$5:$A$3004,0),0),AH!$U$7+1534))</f>
        <v/>
      </c>
      <c r="L1539" s="15">
        <f>IF(ISNUMBER(A1539),TEXT(A1539,"dd-mmm-yy"),"")</f>
        <v/>
      </c>
    </row>
    <row r="1540">
      <c r="A1540" s="14">
        <f>IF(OR(AH!$U$4=0,1535+1&gt;AH!$U$6,AND(AH!$M$5="Bloomberg",AH!$U$5=0)),"",IFERROR(IF(AND(AH!$U$12=1,1535+1=AH!$U$6),TODAY(),IF(AH!$U$5=1,INDEX('Live History'!$A$5:$A$3004,AH!$U$7+1535),INDEX('AH History'!$A$5:$A$1380,AH!$U$7+1535))),""))</f>
        <v/>
      </c>
      <c r="B1540" s="33">
        <f>IFERROR(IF(AH!$U$11=1,NA(),$J1540/$E1540-1),NA())</f>
        <v/>
      </c>
      <c r="C1540" s="269">
        <f>IFERROR(100*$E1540/$E$5,NA())</f>
        <v/>
      </c>
      <c r="D1540" s="269">
        <f>IFERROR(100*$J1540/$J$5,NA())</f>
        <v/>
      </c>
      <c r="E1540" s="32">
        <f>IFERROR(IF(AND(ISNUMBER($A1540),N(IF(AND(AH!$U$12=1,1535+1=AH!$U$6),IF(AH!$U$4=0,"unavailable",INDEX('Market Data'!$AN$5:$AN$66,AH!$U$4)),IF(AH!$U$5=1,INDEX('Live History'!$B$5:$B$3004,$K1540),INDEX('AH History'!$D$5:$GG$1380,$K1540,AH!$U$10))))&gt;0),IF(AND(AH!$U$12=1,1535+1=AH!$U$6),IF(AH!$U$4=0,"unavailable",INDEX('Market Data'!$AN$5:$AN$66,AH!$U$4)),IF(AH!$U$5=1,INDEX('Live History'!$B$5:$B$3004,$K1540),INDEX('AH History'!$D$5:$GG$1380,$K1540,AH!$U$10))),NA()),NA())</f>
        <v/>
      </c>
      <c r="F1540" s="32">
        <f>IFERROR(IF(ISNUMBER($A1540),IF(AND(AH!$U$12=1,1535+1=AH!$U$6),IF(AH!$U$4=0,"unavailable",INDEX('Market Data'!$AO$5:$AO$66,AH!$U$4)),IF(AH!$U$5=1,INDEX('Live History'!$E$5:$E$3004,MATCH($A1540,'Live History'!$D$5:$D$3004,1)),INDEX('AH History'!$D$5:$GG$1380,$K1540,AH!$U$10+1))),NA()),NA())</f>
        <v/>
      </c>
      <c r="G1540" s="34">
        <f>IFERROR(IF(ISNUMBER($A1540),IF(AND(AH!$U$12=1,1535+1=AH!$U$6),IF(AH!$U$4=0,"unavailable",INDEX('Market Data'!$AK$5:$AK$66,AH!$U$4)),IF(AH!$U$5=1,INDEX('Live History'!$D$5:$D$3004,MATCH($A1540,'Live History'!$D$5:$D$3004,1)),INDEX('AH History'!$D$5:$GG$1380,$K1540,AH!$U$10+2))),NA()),NA())</f>
        <v/>
      </c>
      <c r="H1540" s="266">
        <f>IFERROR(IF(ISNUMBER($A1540),IF(AND(AH!$U$12=1,1535+1=AH!$U$6),IF(AH!$U$4=0,"unavailable",INDEX('Market Data'!$AP$5:$AP$66,AH!$U$4)),IF(AH!$U$5=1,INDEX('Live History'!$H$5:$H$3004,MATCH($A1540,'Live History'!$G$5:$G$3004,1)),INDEX('AH History'!$B$5:$B$1380,$K1540))),NA()),NA())</f>
        <v/>
      </c>
      <c r="I1540" s="34">
        <f>IFERROR(IF(ISNUMBER($A1540),IF(AND(AH!$U$12=1,1535+1=AH!$U$6),TODAY(),IF(AH!$U$5=1,INDEX('Live History'!$G$5:$G$3004,MATCH($A1540,'Live History'!$G$5:$G$3004,1)),INDEX('AH History'!$C$5:$C$1380,$K1540))),NA()),NA())</f>
        <v/>
      </c>
      <c r="J1540" s="32">
        <f>IFERROR(IF(AND($F1540&gt;0,$H1540&gt;0,$A1540-$G1540&lt;=10,$A1540-$I1540&lt;=5,$G1540&gt;0,$I1540&gt;0),$F1540*$H1540,NA()),NA())</f>
        <v/>
      </c>
      <c r="K1540" s="15">
        <f>IF($A1540="","",IF(AH!$U$5=1,IFERROR(MATCH($A1540,'Live History'!$A$5:$A$3004,0),0),AH!$U$7+1535))</f>
        <v/>
      </c>
      <c r="L1540" s="15">
        <f>IF(ISNUMBER(A1540),TEXT(A1540,"dd-mmm-yy"),"")</f>
        <v/>
      </c>
    </row>
    <row r="1541">
      <c r="A1541" s="14">
        <f>IF(OR(AH!$U$4=0,1536+1&gt;AH!$U$6,AND(AH!$M$5="Bloomberg",AH!$U$5=0)),"",IFERROR(IF(AND(AH!$U$12=1,1536+1=AH!$U$6),TODAY(),IF(AH!$U$5=1,INDEX('Live History'!$A$5:$A$3004,AH!$U$7+1536),INDEX('AH History'!$A$5:$A$1380,AH!$U$7+1536))),""))</f>
        <v/>
      </c>
      <c r="B1541" s="33">
        <f>IFERROR(IF(AH!$U$11=1,NA(),$J1541/$E1541-1),NA())</f>
        <v/>
      </c>
      <c r="C1541" s="269">
        <f>IFERROR(100*$E1541/$E$5,NA())</f>
        <v/>
      </c>
      <c r="D1541" s="269">
        <f>IFERROR(100*$J1541/$J$5,NA())</f>
        <v/>
      </c>
      <c r="E1541" s="32">
        <f>IFERROR(IF(AND(ISNUMBER($A1541),N(IF(AND(AH!$U$12=1,1536+1=AH!$U$6),IF(AH!$U$4=0,"unavailable",INDEX('Market Data'!$AN$5:$AN$66,AH!$U$4)),IF(AH!$U$5=1,INDEX('Live History'!$B$5:$B$3004,$K1541),INDEX('AH History'!$D$5:$GG$1380,$K1541,AH!$U$10))))&gt;0),IF(AND(AH!$U$12=1,1536+1=AH!$U$6),IF(AH!$U$4=0,"unavailable",INDEX('Market Data'!$AN$5:$AN$66,AH!$U$4)),IF(AH!$U$5=1,INDEX('Live History'!$B$5:$B$3004,$K1541),INDEX('AH History'!$D$5:$GG$1380,$K1541,AH!$U$10))),NA()),NA())</f>
        <v/>
      </c>
      <c r="F1541" s="32">
        <f>IFERROR(IF(ISNUMBER($A1541),IF(AND(AH!$U$12=1,1536+1=AH!$U$6),IF(AH!$U$4=0,"unavailable",INDEX('Market Data'!$AO$5:$AO$66,AH!$U$4)),IF(AH!$U$5=1,INDEX('Live History'!$E$5:$E$3004,MATCH($A1541,'Live History'!$D$5:$D$3004,1)),INDEX('AH History'!$D$5:$GG$1380,$K1541,AH!$U$10+1))),NA()),NA())</f>
        <v/>
      </c>
      <c r="G1541" s="34">
        <f>IFERROR(IF(ISNUMBER($A1541),IF(AND(AH!$U$12=1,1536+1=AH!$U$6),IF(AH!$U$4=0,"unavailable",INDEX('Market Data'!$AK$5:$AK$66,AH!$U$4)),IF(AH!$U$5=1,INDEX('Live History'!$D$5:$D$3004,MATCH($A1541,'Live History'!$D$5:$D$3004,1)),INDEX('AH History'!$D$5:$GG$1380,$K1541,AH!$U$10+2))),NA()),NA())</f>
        <v/>
      </c>
      <c r="H1541" s="266">
        <f>IFERROR(IF(ISNUMBER($A1541),IF(AND(AH!$U$12=1,1536+1=AH!$U$6),IF(AH!$U$4=0,"unavailable",INDEX('Market Data'!$AP$5:$AP$66,AH!$U$4)),IF(AH!$U$5=1,INDEX('Live History'!$H$5:$H$3004,MATCH($A1541,'Live History'!$G$5:$G$3004,1)),INDEX('AH History'!$B$5:$B$1380,$K1541))),NA()),NA())</f>
        <v/>
      </c>
      <c r="I1541" s="34">
        <f>IFERROR(IF(ISNUMBER($A1541),IF(AND(AH!$U$12=1,1536+1=AH!$U$6),TODAY(),IF(AH!$U$5=1,INDEX('Live History'!$G$5:$G$3004,MATCH($A1541,'Live History'!$G$5:$G$3004,1)),INDEX('AH History'!$C$5:$C$1380,$K1541))),NA()),NA())</f>
        <v/>
      </c>
      <c r="J1541" s="32">
        <f>IFERROR(IF(AND($F1541&gt;0,$H1541&gt;0,$A1541-$G1541&lt;=10,$A1541-$I1541&lt;=5,$G1541&gt;0,$I1541&gt;0),$F1541*$H1541,NA()),NA())</f>
        <v/>
      </c>
      <c r="K1541" s="15">
        <f>IF($A1541="","",IF(AH!$U$5=1,IFERROR(MATCH($A1541,'Live History'!$A$5:$A$3004,0),0),AH!$U$7+1536))</f>
        <v/>
      </c>
      <c r="L1541" s="15">
        <f>IF(ISNUMBER(A1541),TEXT(A1541,"dd-mmm-yy"),"")</f>
        <v/>
      </c>
    </row>
    <row r="1542">
      <c r="A1542" s="14">
        <f>IF(OR(AH!$U$4=0,1537+1&gt;AH!$U$6,AND(AH!$M$5="Bloomberg",AH!$U$5=0)),"",IFERROR(IF(AND(AH!$U$12=1,1537+1=AH!$U$6),TODAY(),IF(AH!$U$5=1,INDEX('Live History'!$A$5:$A$3004,AH!$U$7+1537),INDEX('AH History'!$A$5:$A$1380,AH!$U$7+1537))),""))</f>
        <v/>
      </c>
      <c r="B1542" s="33">
        <f>IFERROR(IF(AH!$U$11=1,NA(),$J1542/$E1542-1),NA())</f>
        <v/>
      </c>
      <c r="C1542" s="269">
        <f>IFERROR(100*$E1542/$E$5,NA())</f>
        <v/>
      </c>
      <c r="D1542" s="269">
        <f>IFERROR(100*$J1542/$J$5,NA())</f>
        <v/>
      </c>
      <c r="E1542" s="32">
        <f>IFERROR(IF(AND(ISNUMBER($A1542),N(IF(AND(AH!$U$12=1,1537+1=AH!$U$6),IF(AH!$U$4=0,"unavailable",INDEX('Market Data'!$AN$5:$AN$66,AH!$U$4)),IF(AH!$U$5=1,INDEX('Live History'!$B$5:$B$3004,$K1542),INDEX('AH History'!$D$5:$GG$1380,$K1542,AH!$U$10))))&gt;0),IF(AND(AH!$U$12=1,1537+1=AH!$U$6),IF(AH!$U$4=0,"unavailable",INDEX('Market Data'!$AN$5:$AN$66,AH!$U$4)),IF(AH!$U$5=1,INDEX('Live History'!$B$5:$B$3004,$K1542),INDEX('AH History'!$D$5:$GG$1380,$K1542,AH!$U$10))),NA()),NA())</f>
        <v/>
      </c>
      <c r="F1542" s="32">
        <f>IFERROR(IF(ISNUMBER($A1542),IF(AND(AH!$U$12=1,1537+1=AH!$U$6),IF(AH!$U$4=0,"unavailable",INDEX('Market Data'!$AO$5:$AO$66,AH!$U$4)),IF(AH!$U$5=1,INDEX('Live History'!$E$5:$E$3004,MATCH($A1542,'Live History'!$D$5:$D$3004,1)),INDEX('AH History'!$D$5:$GG$1380,$K1542,AH!$U$10+1))),NA()),NA())</f>
        <v/>
      </c>
      <c r="G1542" s="34">
        <f>IFERROR(IF(ISNUMBER($A1542),IF(AND(AH!$U$12=1,1537+1=AH!$U$6),IF(AH!$U$4=0,"unavailable",INDEX('Market Data'!$AK$5:$AK$66,AH!$U$4)),IF(AH!$U$5=1,INDEX('Live History'!$D$5:$D$3004,MATCH($A1542,'Live History'!$D$5:$D$3004,1)),INDEX('AH History'!$D$5:$GG$1380,$K1542,AH!$U$10+2))),NA()),NA())</f>
        <v/>
      </c>
      <c r="H1542" s="266">
        <f>IFERROR(IF(ISNUMBER($A1542),IF(AND(AH!$U$12=1,1537+1=AH!$U$6),IF(AH!$U$4=0,"unavailable",INDEX('Market Data'!$AP$5:$AP$66,AH!$U$4)),IF(AH!$U$5=1,INDEX('Live History'!$H$5:$H$3004,MATCH($A1542,'Live History'!$G$5:$G$3004,1)),INDEX('AH History'!$B$5:$B$1380,$K1542))),NA()),NA())</f>
        <v/>
      </c>
      <c r="I1542" s="34">
        <f>IFERROR(IF(ISNUMBER($A1542),IF(AND(AH!$U$12=1,1537+1=AH!$U$6),TODAY(),IF(AH!$U$5=1,INDEX('Live History'!$G$5:$G$3004,MATCH($A1542,'Live History'!$G$5:$G$3004,1)),INDEX('AH History'!$C$5:$C$1380,$K1542))),NA()),NA())</f>
        <v/>
      </c>
      <c r="J1542" s="32">
        <f>IFERROR(IF(AND($F1542&gt;0,$H1542&gt;0,$A1542-$G1542&lt;=10,$A1542-$I1542&lt;=5,$G1542&gt;0,$I1542&gt;0),$F1542*$H1542,NA()),NA())</f>
        <v/>
      </c>
      <c r="K1542" s="15">
        <f>IF($A1542="","",IF(AH!$U$5=1,IFERROR(MATCH($A1542,'Live History'!$A$5:$A$3004,0),0),AH!$U$7+1537))</f>
        <v/>
      </c>
      <c r="L1542" s="15">
        <f>IF(ISNUMBER(A1542),TEXT(A1542,"dd-mmm-yy"),"")</f>
        <v/>
      </c>
    </row>
    <row r="1543">
      <c r="A1543" s="14">
        <f>IF(OR(AH!$U$4=0,1538+1&gt;AH!$U$6,AND(AH!$M$5="Bloomberg",AH!$U$5=0)),"",IFERROR(IF(AND(AH!$U$12=1,1538+1=AH!$U$6),TODAY(),IF(AH!$U$5=1,INDEX('Live History'!$A$5:$A$3004,AH!$U$7+1538),INDEX('AH History'!$A$5:$A$1380,AH!$U$7+1538))),""))</f>
        <v/>
      </c>
      <c r="B1543" s="33">
        <f>IFERROR(IF(AH!$U$11=1,NA(),$J1543/$E1543-1),NA())</f>
        <v/>
      </c>
      <c r="C1543" s="269">
        <f>IFERROR(100*$E1543/$E$5,NA())</f>
        <v/>
      </c>
      <c r="D1543" s="269">
        <f>IFERROR(100*$J1543/$J$5,NA())</f>
        <v/>
      </c>
      <c r="E1543" s="32">
        <f>IFERROR(IF(AND(ISNUMBER($A1543),N(IF(AND(AH!$U$12=1,1538+1=AH!$U$6),IF(AH!$U$4=0,"unavailable",INDEX('Market Data'!$AN$5:$AN$66,AH!$U$4)),IF(AH!$U$5=1,INDEX('Live History'!$B$5:$B$3004,$K1543),INDEX('AH History'!$D$5:$GG$1380,$K1543,AH!$U$10))))&gt;0),IF(AND(AH!$U$12=1,1538+1=AH!$U$6),IF(AH!$U$4=0,"unavailable",INDEX('Market Data'!$AN$5:$AN$66,AH!$U$4)),IF(AH!$U$5=1,INDEX('Live History'!$B$5:$B$3004,$K1543),INDEX('AH History'!$D$5:$GG$1380,$K1543,AH!$U$10))),NA()),NA())</f>
        <v/>
      </c>
      <c r="F1543" s="32">
        <f>IFERROR(IF(ISNUMBER($A1543),IF(AND(AH!$U$12=1,1538+1=AH!$U$6),IF(AH!$U$4=0,"unavailable",INDEX('Market Data'!$AO$5:$AO$66,AH!$U$4)),IF(AH!$U$5=1,INDEX('Live History'!$E$5:$E$3004,MATCH($A1543,'Live History'!$D$5:$D$3004,1)),INDEX('AH History'!$D$5:$GG$1380,$K1543,AH!$U$10+1))),NA()),NA())</f>
        <v/>
      </c>
      <c r="G1543" s="34">
        <f>IFERROR(IF(ISNUMBER($A1543),IF(AND(AH!$U$12=1,1538+1=AH!$U$6),IF(AH!$U$4=0,"unavailable",INDEX('Market Data'!$AK$5:$AK$66,AH!$U$4)),IF(AH!$U$5=1,INDEX('Live History'!$D$5:$D$3004,MATCH($A1543,'Live History'!$D$5:$D$3004,1)),INDEX('AH History'!$D$5:$GG$1380,$K1543,AH!$U$10+2))),NA()),NA())</f>
        <v/>
      </c>
      <c r="H1543" s="266">
        <f>IFERROR(IF(ISNUMBER($A1543),IF(AND(AH!$U$12=1,1538+1=AH!$U$6),IF(AH!$U$4=0,"unavailable",INDEX('Market Data'!$AP$5:$AP$66,AH!$U$4)),IF(AH!$U$5=1,INDEX('Live History'!$H$5:$H$3004,MATCH($A1543,'Live History'!$G$5:$G$3004,1)),INDEX('AH History'!$B$5:$B$1380,$K1543))),NA()),NA())</f>
        <v/>
      </c>
      <c r="I1543" s="34">
        <f>IFERROR(IF(ISNUMBER($A1543),IF(AND(AH!$U$12=1,1538+1=AH!$U$6),TODAY(),IF(AH!$U$5=1,INDEX('Live History'!$G$5:$G$3004,MATCH($A1543,'Live History'!$G$5:$G$3004,1)),INDEX('AH History'!$C$5:$C$1380,$K1543))),NA()),NA())</f>
        <v/>
      </c>
      <c r="J1543" s="32">
        <f>IFERROR(IF(AND($F1543&gt;0,$H1543&gt;0,$A1543-$G1543&lt;=10,$A1543-$I1543&lt;=5,$G1543&gt;0,$I1543&gt;0),$F1543*$H1543,NA()),NA())</f>
        <v/>
      </c>
      <c r="K1543" s="15">
        <f>IF($A1543="","",IF(AH!$U$5=1,IFERROR(MATCH($A1543,'Live History'!$A$5:$A$3004,0),0),AH!$U$7+1538))</f>
        <v/>
      </c>
      <c r="L1543" s="15">
        <f>IF(ISNUMBER(A1543),TEXT(A1543,"dd-mmm-yy"),"")</f>
        <v/>
      </c>
    </row>
    <row r="1544">
      <c r="A1544" s="14">
        <f>IF(OR(AH!$U$4=0,1539+1&gt;AH!$U$6,AND(AH!$M$5="Bloomberg",AH!$U$5=0)),"",IFERROR(IF(AND(AH!$U$12=1,1539+1=AH!$U$6),TODAY(),IF(AH!$U$5=1,INDEX('Live History'!$A$5:$A$3004,AH!$U$7+1539),INDEX('AH History'!$A$5:$A$1380,AH!$U$7+1539))),""))</f>
        <v/>
      </c>
      <c r="B1544" s="33">
        <f>IFERROR(IF(AH!$U$11=1,NA(),$J1544/$E1544-1),NA())</f>
        <v/>
      </c>
      <c r="C1544" s="269">
        <f>IFERROR(100*$E1544/$E$5,NA())</f>
        <v/>
      </c>
      <c r="D1544" s="269">
        <f>IFERROR(100*$J1544/$J$5,NA())</f>
        <v/>
      </c>
      <c r="E1544" s="32">
        <f>IFERROR(IF(AND(ISNUMBER($A1544),N(IF(AND(AH!$U$12=1,1539+1=AH!$U$6),IF(AH!$U$4=0,"unavailable",INDEX('Market Data'!$AN$5:$AN$66,AH!$U$4)),IF(AH!$U$5=1,INDEX('Live History'!$B$5:$B$3004,$K1544),INDEX('AH History'!$D$5:$GG$1380,$K1544,AH!$U$10))))&gt;0),IF(AND(AH!$U$12=1,1539+1=AH!$U$6),IF(AH!$U$4=0,"unavailable",INDEX('Market Data'!$AN$5:$AN$66,AH!$U$4)),IF(AH!$U$5=1,INDEX('Live History'!$B$5:$B$3004,$K1544),INDEX('AH History'!$D$5:$GG$1380,$K1544,AH!$U$10))),NA()),NA())</f>
        <v/>
      </c>
      <c r="F1544" s="32">
        <f>IFERROR(IF(ISNUMBER($A1544),IF(AND(AH!$U$12=1,1539+1=AH!$U$6),IF(AH!$U$4=0,"unavailable",INDEX('Market Data'!$AO$5:$AO$66,AH!$U$4)),IF(AH!$U$5=1,INDEX('Live History'!$E$5:$E$3004,MATCH($A1544,'Live History'!$D$5:$D$3004,1)),INDEX('AH History'!$D$5:$GG$1380,$K1544,AH!$U$10+1))),NA()),NA())</f>
        <v/>
      </c>
      <c r="G1544" s="34">
        <f>IFERROR(IF(ISNUMBER($A1544),IF(AND(AH!$U$12=1,1539+1=AH!$U$6),IF(AH!$U$4=0,"unavailable",INDEX('Market Data'!$AK$5:$AK$66,AH!$U$4)),IF(AH!$U$5=1,INDEX('Live History'!$D$5:$D$3004,MATCH($A1544,'Live History'!$D$5:$D$3004,1)),INDEX('AH History'!$D$5:$GG$1380,$K1544,AH!$U$10+2))),NA()),NA())</f>
        <v/>
      </c>
      <c r="H1544" s="266">
        <f>IFERROR(IF(ISNUMBER($A1544),IF(AND(AH!$U$12=1,1539+1=AH!$U$6),IF(AH!$U$4=0,"unavailable",INDEX('Market Data'!$AP$5:$AP$66,AH!$U$4)),IF(AH!$U$5=1,INDEX('Live History'!$H$5:$H$3004,MATCH($A1544,'Live History'!$G$5:$G$3004,1)),INDEX('AH History'!$B$5:$B$1380,$K1544))),NA()),NA())</f>
        <v/>
      </c>
      <c r="I1544" s="34">
        <f>IFERROR(IF(ISNUMBER($A1544),IF(AND(AH!$U$12=1,1539+1=AH!$U$6),TODAY(),IF(AH!$U$5=1,INDEX('Live History'!$G$5:$G$3004,MATCH($A1544,'Live History'!$G$5:$G$3004,1)),INDEX('AH History'!$C$5:$C$1380,$K1544))),NA()),NA())</f>
        <v/>
      </c>
      <c r="J1544" s="32">
        <f>IFERROR(IF(AND($F1544&gt;0,$H1544&gt;0,$A1544-$G1544&lt;=10,$A1544-$I1544&lt;=5,$G1544&gt;0,$I1544&gt;0),$F1544*$H1544,NA()),NA())</f>
        <v/>
      </c>
      <c r="K1544" s="15">
        <f>IF($A1544="","",IF(AH!$U$5=1,IFERROR(MATCH($A1544,'Live History'!$A$5:$A$3004,0),0),AH!$U$7+1539))</f>
        <v/>
      </c>
      <c r="L1544" s="15">
        <f>IF(ISNUMBER(A1544),TEXT(A1544,"dd-mmm-yy"),"")</f>
        <v/>
      </c>
    </row>
    <row r="1545">
      <c r="A1545" s="14">
        <f>IF(OR(AH!$U$4=0,1540+1&gt;AH!$U$6,AND(AH!$M$5="Bloomberg",AH!$U$5=0)),"",IFERROR(IF(AND(AH!$U$12=1,1540+1=AH!$U$6),TODAY(),IF(AH!$U$5=1,INDEX('Live History'!$A$5:$A$3004,AH!$U$7+1540),INDEX('AH History'!$A$5:$A$1380,AH!$U$7+1540))),""))</f>
        <v/>
      </c>
      <c r="B1545" s="33">
        <f>IFERROR(IF(AH!$U$11=1,NA(),$J1545/$E1545-1),NA())</f>
        <v/>
      </c>
      <c r="C1545" s="269">
        <f>IFERROR(100*$E1545/$E$5,NA())</f>
        <v/>
      </c>
      <c r="D1545" s="269">
        <f>IFERROR(100*$J1545/$J$5,NA())</f>
        <v/>
      </c>
      <c r="E1545" s="32">
        <f>IFERROR(IF(AND(ISNUMBER($A1545),N(IF(AND(AH!$U$12=1,1540+1=AH!$U$6),IF(AH!$U$4=0,"unavailable",INDEX('Market Data'!$AN$5:$AN$66,AH!$U$4)),IF(AH!$U$5=1,INDEX('Live History'!$B$5:$B$3004,$K1545),INDEX('AH History'!$D$5:$GG$1380,$K1545,AH!$U$10))))&gt;0),IF(AND(AH!$U$12=1,1540+1=AH!$U$6),IF(AH!$U$4=0,"unavailable",INDEX('Market Data'!$AN$5:$AN$66,AH!$U$4)),IF(AH!$U$5=1,INDEX('Live History'!$B$5:$B$3004,$K1545),INDEX('AH History'!$D$5:$GG$1380,$K1545,AH!$U$10))),NA()),NA())</f>
        <v/>
      </c>
      <c r="F1545" s="32">
        <f>IFERROR(IF(ISNUMBER($A1545),IF(AND(AH!$U$12=1,1540+1=AH!$U$6),IF(AH!$U$4=0,"unavailable",INDEX('Market Data'!$AO$5:$AO$66,AH!$U$4)),IF(AH!$U$5=1,INDEX('Live History'!$E$5:$E$3004,MATCH($A1545,'Live History'!$D$5:$D$3004,1)),INDEX('AH History'!$D$5:$GG$1380,$K1545,AH!$U$10+1))),NA()),NA())</f>
        <v/>
      </c>
      <c r="G1545" s="34">
        <f>IFERROR(IF(ISNUMBER($A1545),IF(AND(AH!$U$12=1,1540+1=AH!$U$6),IF(AH!$U$4=0,"unavailable",INDEX('Market Data'!$AK$5:$AK$66,AH!$U$4)),IF(AH!$U$5=1,INDEX('Live History'!$D$5:$D$3004,MATCH($A1545,'Live History'!$D$5:$D$3004,1)),INDEX('AH History'!$D$5:$GG$1380,$K1545,AH!$U$10+2))),NA()),NA())</f>
        <v/>
      </c>
      <c r="H1545" s="266">
        <f>IFERROR(IF(ISNUMBER($A1545),IF(AND(AH!$U$12=1,1540+1=AH!$U$6),IF(AH!$U$4=0,"unavailable",INDEX('Market Data'!$AP$5:$AP$66,AH!$U$4)),IF(AH!$U$5=1,INDEX('Live History'!$H$5:$H$3004,MATCH($A1545,'Live History'!$G$5:$G$3004,1)),INDEX('AH History'!$B$5:$B$1380,$K1545))),NA()),NA())</f>
        <v/>
      </c>
      <c r="I1545" s="34">
        <f>IFERROR(IF(ISNUMBER($A1545),IF(AND(AH!$U$12=1,1540+1=AH!$U$6),TODAY(),IF(AH!$U$5=1,INDEX('Live History'!$G$5:$G$3004,MATCH($A1545,'Live History'!$G$5:$G$3004,1)),INDEX('AH History'!$C$5:$C$1380,$K1545))),NA()),NA())</f>
        <v/>
      </c>
      <c r="J1545" s="32">
        <f>IFERROR(IF(AND($F1545&gt;0,$H1545&gt;0,$A1545-$G1545&lt;=10,$A1545-$I1545&lt;=5,$G1545&gt;0,$I1545&gt;0),$F1545*$H1545,NA()),NA())</f>
        <v/>
      </c>
      <c r="K1545" s="15">
        <f>IF($A1545="","",IF(AH!$U$5=1,IFERROR(MATCH($A1545,'Live History'!$A$5:$A$3004,0),0),AH!$U$7+1540))</f>
        <v/>
      </c>
      <c r="L1545" s="15">
        <f>IF(ISNUMBER(A1545),TEXT(A1545,"dd-mmm-yy"),"")</f>
        <v/>
      </c>
    </row>
    <row r="1546">
      <c r="A1546" s="14">
        <f>IF(OR(AH!$U$4=0,1541+1&gt;AH!$U$6,AND(AH!$M$5="Bloomberg",AH!$U$5=0)),"",IFERROR(IF(AND(AH!$U$12=1,1541+1=AH!$U$6),TODAY(),IF(AH!$U$5=1,INDEX('Live History'!$A$5:$A$3004,AH!$U$7+1541),INDEX('AH History'!$A$5:$A$1380,AH!$U$7+1541))),""))</f>
        <v/>
      </c>
      <c r="B1546" s="33">
        <f>IFERROR(IF(AH!$U$11=1,NA(),$J1546/$E1546-1),NA())</f>
        <v/>
      </c>
      <c r="C1546" s="269">
        <f>IFERROR(100*$E1546/$E$5,NA())</f>
        <v/>
      </c>
      <c r="D1546" s="269">
        <f>IFERROR(100*$J1546/$J$5,NA())</f>
        <v/>
      </c>
      <c r="E1546" s="32">
        <f>IFERROR(IF(AND(ISNUMBER($A1546),N(IF(AND(AH!$U$12=1,1541+1=AH!$U$6),IF(AH!$U$4=0,"unavailable",INDEX('Market Data'!$AN$5:$AN$66,AH!$U$4)),IF(AH!$U$5=1,INDEX('Live History'!$B$5:$B$3004,$K1546),INDEX('AH History'!$D$5:$GG$1380,$K1546,AH!$U$10))))&gt;0),IF(AND(AH!$U$12=1,1541+1=AH!$U$6),IF(AH!$U$4=0,"unavailable",INDEX('Market Data'!$AN$5:$AN$66,AH!$U$4)),IF(AH!$U$5=1,INDEX('Live History'!$B$5:$B$3004,$K1546),INDEX('AH History'!$D$5:$GG$1380,$K1546,AH!$U$10))),NA()),NA())</f>
        <v/>
      </c>
      <c r="F1546" s="32">
        <f>IFERROR(IF(ISNUMBER($A1546),IF(AND(AH!$U$12=1,1541+1=AH!$U$6),IF(AH!$U$4=0,"unavailable",INDEX('Market Data'!$AO$5:$AO$66,AH!$U$4)),IF(AH!$U$5=1,INDEX('Live History'!$E$5:$E$3004,MATCH($A1546,'Live History'!$D$5:$D$3004,1)),INDEX('AH History'!$D$5:$GG$1380,$K1546,AH!$U$10+1))),NA()),NA())</f>
        <v/>
      </c>
      <c r="G1546" s="34">
        <f>IFERROR(IF(ISNUMBER($A1546),IF(AND(AH!$U$12=1,1541+1=AH!$U$6),IF(AH!$U$4=0,"unavailable",INDEX('Market Data'!$AK$5:$AK$66,AH!$U$4)),IF(AH!$U$5=1,INDEX('Live History'!$D$5:$D$3004,MATCH($A1546,'Live History'!$D$5:$D$3004,1)),INDEX('AH History'!$D$5:$GG$1380,$K1546,AH!$U$10+2))),NA()),NA())</f>
        <v/>
      </c>
      <c r="H1546" s="266">
        <f>IFERROR(IF(ISNUMBER($A1546),IF(AND(AH!$U$12=1,1541+1=AH!$U$6),IF(AH!$U$4=0,"unavailable",INDEX('Market Data'!$AP$5:$AP$66,AH!$U$4)),IF(AH!$U$5=1,INDEX('Live History'!$H$5:$H$3004,MATCH($A1546,'Live History'!$G$5:$G$3004,1)),INDEX('AH History'!$B$5:$B$1380,$K1546))),NA()),NA())</f>
        <v/>
      </c>
      <c r="I1546" s="34">
        <f>IFERROR(IF(ISNUMBER($A1546),IF(AND(AH!$U$12=1,1541+1=AH!$U$6),TODAY(),IF(AH!$U$5=1,INDEX('Live History'!$G$5:$G$3004,MATCH($A1546,'Live History'!$G$5:$G$3004,1)),INDEX('AH History'!$C$5:$C$1380,$K1546))),NA()),NA())</f>
        <v/>
      </c>
      <c r="J1546" s="32">
        <f>IFERROR(IF(AND($F1546&gt;0,$H1546&gt;0,$A1546-$G1546&lt;=10,$A1546-$I1546&lt;=5,$G1546&gt;0,$I1546&gt;0),$F1546*$H1546,NA()),NA())</f>
        <v/>
      </c>
      <c r="K1546" s="15">
        <f>IF($A1546="","",IF(AH!$U$5=1,IFERROR(MATCH($A1546,'Live History'!$A$5:$A$3004,0),0),AH!$U$7+1541))</f>
        <v/>
      </c>
      <c r="L1546" s="15">
        <f>IF(ISNUMBER(A1546),TEXT(A1546,"dd-mmm-yy"),"")</f>
        <v/>
      </c>
    </row>
    <row r="1547">
      <c r="A1547" s="14">
        <f>IF(OR(AH!$U$4=0,1542+1&gt;AH!$U$6,AND(AH!$M$5="Bloomberg",AH!$U$5=0)),"",IFERROR(IF(AND(AH!$U$12=1,1542+1=AH!$U$6),TODAY(),IF(AH!$U$5=1,INDEX('Live History'!$A$5:$A$3004,AH!$U$7+1542),INDEX('AH History'!$A$5:$A$1380,AH!$U$7+1542))),""))</f>
        <v/>
      </c>
      <c r="B1547" s="33">
        <f>IFERROR(IF(AH!$U$11=1,NA(),$J1547/$E1547-1),NA())</f>
        <v/>
      </c>
      <c r="C1547" s="269">
        <f>IFERROR(100*$E1547/$E$5,NA())</f>
        <v/>
      </c>
      <c r="D1547" s="269">
        <f>IFERROR(100*$J1547/$J$5,NA())</f>
        <v/>
      </c>
      <c r="E1547" s="32">
        <f>IFERROR(IF(AND(ISNUMBER($A1547),N(IF(AND(AH!$U$12=1,1542+1=AH!$U$6),IF(AH!$U$4=0,"unavailable",INDEX('Market Data'!$AN$5:$AN$66,AH!$U$4)),IF(AH!$U$5=1,INDEX('Live History'!$B$5:$B$3004,$K1547),INDEX('AH History'!$D$5:$GG$1380,$K1547,AH!$U$10))))&gt;0),IF(AND(AH!$U$12=1,1542+1=AH!$U$6),IF(AH!$U$4=0,"unavailable",INDEX('Market Data'!$AN$5:$AN$66,AH!$U$4)),IF(AH!$U$5=1,INDEX('Live History'!$B$5:$B$3004,$K1547),INDEX('AH History'!$D$5:$GG$1380,$K1547,AH!$U$10))),NA()),NA())</f>
        <v/>
      </c>
      <c r="F1547" s="32">
        <f>IFERROR(IF(ISNUMBER($A1547),IF(AND(AH!$U$12=1,1542+1=AH!$U$6),IF(AH!$U$4=0,"unavailable",INDEX('Market Data'!$AO$5:$AO$66,AH!$U$4)),IF(AH!$U$5=1,INDEX('Live History'!$E$5:$E$3004,MATCH($A1547,'Live History'!$D$5:$D$3004,1)),INDEX('AH History'!$D$5:$GG$1380,$K1547,AH!$U$10+1))),NA()),NA())</f>
        <v/>
      </c>
      <c r="G1547" s="34">
        <f>IFERROR(IF(ISNUMBER($A1547),IF(AND(AH!$U$12=1,1542+1=AH!$U$6),IF(AH!$U$4=0,"unavailable",INDEX('Market Data'!$AK$5:$AK$66,AH!$U$4)),IF(AH!$U$5=1,INDEX('Live History'!$D$5:$D$3004,MATCH($A1547,'Live History'!$D$5:$D$3004,1)),INDEX('AH History'!$D$5:$GG$1380,$K1547,AH!$U$10+2))),NA()),NA())</f>
        <v/>
      </c>
      <c r="H1547" s="266">
        <f>IFERROR(IF(ISNUMBER($A1547),IF(AND(AH!$U$12=1,1542+1=AH!$U$6),IF(AH!$U$4=0,"unavailable",INDEX('Market Data'!$AP$5:$AP$66,AH!$U$4)),IF(AH!$U$5=1,INDEX('Live History'!$H$5:$H$3004,MATCH($A1547,'Live History'!$G$5:$G$3004,1)),INDEX('AH History'!$B$5:$B$1380,$K1547))),NA()),NA())</f>
        <v/>
      </c>
      <c r="I1547" s="34">
        <f>IFERROR(IF(ISNUMBER($A1547),IF(AND(AH!$U$12=1,1542+1=AH!$U$6),TODAY(),IF(AH!$U$5=1,INDEX('Live History'!$G$5:$G$3004,MATCH($A1547,'Live History'!$G$5:$G$3004,1)),INDEX('AH History'!$C$5:$C$1380,$K1547))),NA()),NA())</f>
        <v/>
      </c>
      <c r="J1547" s="32">
        <f>IFERROR(IF(AND($F1547&gt;0,$H1547&gt;0,$A1547-$G1547&lt;=10,$A1547-$I1547&lt;=5,$G1547&gt;0,$I1547&gt;0),$F1547*$H1547,NA()),NA())</f>
        <v/>
      </c>
      <c r="K1547" s="15">
        <f>IF($A1547="","",IF(AH!$U$5=1,IFERROR(MATCH($A1547,'Live History'!$A$5:$A$3004,0),0),AH!$U$7+1542))</f>
        <v/>
      </c>
      <c r="L1547" s="15">
        <f>IF(ISNUMBER(A1547),TEXT(A1547,"dd-mmm-yy"),"")</f>
        <v/>
      </c>
    </row>
    <row r="1548">
      <c r="A1548" s="14">
        <f>IF(OR(AH!$U$4=0,1543+1&gt;AH!$U$6,AND(AH!$M$5="Bloomberg",AH!$U$5=0)),"",IFERROR(IF(AND(AH!$U$12=1,1543+1=AH!$U$6),TODAY(),IF(AH!$U$5=1,INDEX('Live History'!$A$5:$A$3004,AH!$U$7+1543),INDEX('AH History'!$A$5:$A$1380,AH!$U$7+1543))),""))</f>
        <v/>
      </c>
      <c r="B1548" s="33">
        <f>IFERROR(IF(AH!$U$11=1,NA(),$J1548/$E1548-1),NA())</f>
        <v/>
      </c>
      <c r="C1548" s="269">
        <f>IFERROR(100*$E1548/$E$5,NA())</f>
        <v/>
      </c>
      <c r="D1548" s="269">
        <f>IFERROR(100*$J1548/$J$5,NA())</f>
        <v/>
      </c>
      <c r="E1548" s="32">
        <f>IFERROR(IF(AND(ISNUMBER($A1548),N(IF(AND(AH!$U$12=1,1543+1=AH!$U$6),IF(AH!$U$4=0,"unavailable",INDEX('Market Data'!$AN$5:$AN$66,AH!$U$4)),IF(AH!$U$5=1,INDEX('Live History'!$B$5:$B$3004,$K1548),INDEX('AH History'!$D$5:$GG$1380,$K1548,AH!$U$10))))&gt;0),IF(AND(AH!$U$12=1,1543+1=AH!$U$6),IF(AH!$U$4=0,"unavailable",INDEX('Market Data'!$AN$5:$AN$66,AH!$U$4)),IF(AH!$U$5=1,INDEX('Live History'!$B$5:$B$3004,$K1548),INDEX('AH History'!$D$5:$GG$1380,$K1548,AH!$U$10))),NA()),NA())</f>
        <v/>
      </c>
      <c r="F1548" s="32">
        <f>IFERROR(IF(ISNUMBER($A1548),IF(AND(AH!$U$12=1,1543+1=AH!$U$6),IF(AH!$U$4=0,"unavailable",INDEX('Market Data'!$AO$5:$AO$66,AH!$U$4)),IF(AH!$U$5=1,INDEX('Live History'!$E$5:$E$3004,MATCH($A1548,'Live History'!$D$5:$D$3004,1)),INDEX('AH History'!$D$5:$GG$1380,$K1548,AH!$U$10+1))),NA()),NA())</f>
        <v/>
      </c>
      <c r="G1548" s="34">
        <f>IFERROR(IF(ISNUMBER($A1548),IF(AND(AH!$U$12=1,1543+1=AH!$U$6),IF(AH!$U$4=0,"unavailable",INDEX('Market Data'!$AK$5:$AK$66,AH!$U$4)),IF(AH!$U$5=1,INDEX('Live History'!$D$5:$D$3004,MATCH($A1548,'Live History'!$D$5:$D$3004,1)),INDEX('AH History'!$D$5:$GG$1380,$K1548,AH!$U$10+2))),NA()),NA())</f>
        <v/>
      </c>
      <c r="H1548" s="266">
        <f>IFERROR(IF(ISNUMBER($A1548),IF(AND(AH!$U$12=1,1543+1=AH!$U$6),IF(AH!$U$4=0,"unavailable",INDEX('Market Data'!$AP$5:$AP$66,AH!$U$4)),IF(AH!$U$5=1,INDEX('Live History'!$H$5:$H$3004,MATCH($A1548,'Live History'!$G$5:$G$3004,1)),INDEX('AH History'!$B$5:$B$1380,$K1548))),NA()),NA())</f>
        <v/>
      </c>
      <c r="I1548" s="34">
        <f>IFERROR(IF(ISNUMBER($A1548),IF(AND(AH!$U$12=1,1543+1=AH!$U$6),TODAY(),IF(AH!$U$5=1,INDEX('Live History'!$G$5:$G$3004,MATCH($A1548,'Live History'!$G$5:$G$3004,1)),INDEX('AH History'!$C$5:$C$1380,$K1548))),NA()),NA())</f>
        <v/>
      </c>
      <c r="J1548" s="32">
        <f>IFERROR(IF(AND($F1548&gt;0,$H1548&gt;0,$A1548-$G1548&lt;=10,$A1548-$I1548&lt;=5,$G1548&gt;0,$I1548&gt;0),$F1548*$H1548,NA()),NA())</f>
        <v/>
      </c>
      <c r="K1548" s="15">
        <f>IF($A1548="","",IF(AH!$U$5=1,IFERROR(MATCH($A1548,'Live History'!$A$5:$A$3004,0),0),AH!$U$7+1543))</f>
        <v/>
      </c>
      <c r="L1548" s="15">
        <f>IF(ISNUMBER(A1548),TEXT(A1548,"dd-mmm-yy"),"")</f>
        <v/>
      </c>
    </row>
    <row r="1549">
      <c r="A1549" s="14">
        <f>IF(OR(AH!$U$4=0,1544+1&gt;AH!$U$6,AND(AH!$M$5="Bloomberg",AH!$U$5=0)),"",IFERROR(IF(AND(AH!$U$12=1,1544+1=AH!$U$6),TODAY(),IF(AH!$U$5=1,INDEX('Live History'!$A$5:$A$3004,AH!$U$7+1544),INDEX('AH History'!$A$5:$A$1380,AH!$U$7+1544))),""))</f>
        <v/>
      </c>
      <c r="B1549" s="33">
        <f>IFERROR(IF(AH!$U$11=1,NA(),$J1549/$E1549-1),NA())</f>
        <v/>
      </c>
      <c r="C1549" s="269">
        <f>IFERROR(100*$E1549/$E$5,NA())</f>
        <v/>
      </c>
      <c r="D1549" s="269">
        <f>IFERROR(100*$J1549/$J$5,NA())</f>
        <v/>
      </c>
      <c r="E1549" s="32">
        <f>IFERROR(IF(AND(ISNUMBER($A1549),N(IF(AND(AH!$U$12=1,1544+1=AH!$U$6),IF(AH!$U$4=0,"unavailable",INDEX('Market Data'!$AN$5:$AN$66,AH!$U$4)),IF(AH!$U$5=1,INDEX('Live History'!$B$5:$B$3004,$K1549),INDEX('AH History'!$D$5:$GG$1380,$K1549,AH!$U$10))))&gt;0),IF(AND(AH!$U$12=1,1544+1=AH!$U$6),IF(AH!$U$4=0,"unavailable",INDEX('Market Data'!$AN$5:$AN$66,AH!$U$4)),IF(AH!$U$5=1,INDEX('Live History'!$B$5:$B$3004,$K1549),INDEX('AH History'!$D$5:$GG$1380,$K1549,AH!$U$10))),NA()),NA())</f>
        <v/>
      </c>
      <c r="F1549" s="32">
        <f>IFERROR(IF(ISNUMBER($A1549),IF(AND(AH!$U$12=1,1544+1=AH!$U$6),IF(AH!$U$4=0,"unavailable",INDEX('Market Data'!$AO$5:$AO$66,AH!$U$4)),IF(AH!$U$5=1,INDEX('Live History'!$E$5:$E$3004,MATCH($A1549,'Live History'!$D$5:$D$3004,1)),INDEX('AH History'!$D$5:$GG$1380,$K1549,AH!$U$10+1))),NA()),NA())</f>
        <v/>
      </c>
      <c r="G1549" s="34">
        <f>IFERROR(IF(ISNUMBER($A1549),IF(AND(AH!$U$12=1,1544+1=AH!$U$6),IF(AH!$U$4=0,"unavailable",INDEX('Market Data'!$AK$5:$AK$66,AH!$U$4)),IF(AH!$U$5=1,INDEX('Live History'!$D$5:$D$3004,MATCH($A1549,'Live History'!$D$5:$D$3004,1)),INDEX('AH History'!$D$5:$GG$1380,$K1549,AH!$U$10+2))),NA()),NA())</f>
        <v/>
      </c>
      <c r="H1549" s="266">
        <f>IFERROR(IF(ISNUMBER($A1549),IF(AND(AH!$U$12=1,1544+1=AH!$U$6),IF(AH!$U$4=0,"unavailable",INDEX('Market Data'!$AP$5:$AP$66,AH!$U$4)),IF(AH!$U$5=1,INDEX('Live History'!$H$5:$H$3004,MATCH($A1549,'Live History'!$G$5:$G$3004,1)),INDEX('AH History'!$B$5:$B$1380,$K1549))),NA()),NA())</f>
        <v/>
      </c>
      <c r="I1549" s="34">
        <f>IFERROR(IF(ISNUMBER($A1549),IF(AND(AH!$U$12=1,1544+1=AH!$U$6),TODAY(),IF(AH!$U$5=1,INDEX('Live History'!$G$5:$G$3004,MATCH($A1549,'Live History'!$G$5:$G$3004,1)),INDEX('AH History'!$C$5:$C$1380,$K1549))),NA()),NA())</f>
        <v/>
      </c>
      <c r="J1549" s="32">
        <f>IFERROR(IF(AND($F1549&gt;0,$H1549&gt;0,$A1549-$G1549&lt;=10,$A1549-$I1549&lt;=5,$G1549&gt;0,$I1549&gt;0),$F1549*$H1549,NA()),NA())</f>
        <v/>
      </c>
      <c r="K1549" s="15">
        <f>IF($A1549="","",IF(AH!$U$5=1,IFERROR(MATCH($A1549,'Live History'!$A$5:$A$3004,0),0),AH!$U$7+1544))</f>
        <v/>
      </c>
      <c r="L1549" s="15">
        <f>IF(ISNUMBER(A1549),TEXT(A1549,"dd-mmm-yy"),"")</f>
        <v/>
      </c>
    </row>
    <row r="1550">
      <c r="A1550" s="14">
        <f>IF(OR(AH!$U$4=0,1545+1&gt;AH!$U$6,AND(AH!$M$5="Bloomberg",AH!$U$5=0)),"",IFERROR(IF(AND(AH!$U$12=1,1545+1=AH!$U$6),TODAY(),IF(AH!$U$5=1,INDEX('Live History'!$A$5:$A$3004,AH!$U$7+1545),INDEX('AH History'!$A$5:$A$1380,AH!$U$7+1545))),""))</f>
        <v/>
      </c>
      <c r="B1550" s="33">
        <f>IFERROR(IF(AH!$U$11=1,NA(),$J1550/$E1550-1),NA())</f>
        <v/>
      </c>
      <c r="C1550" s="269">
        <f>IFERROR(100*$E1550/$E$5,NA())</f>
        <v/>
      </c>
      <c r="D1550" s="269">
        <f>IFERROR(100*$J1550/$J$5,NA())</f>
        <v/>
      </c>
      <c r="E1550" s="32">
        <f>IFERROR(IF(AND(ISNUMBER($A1550),N(IF(AND(AH!$U$12=1,1545+1=AH!$U$6),IF(AH!$U$4=0,"unavailable",INDEX('Market Data'!$AN$5:$AN$66,AH!$U$4)),IF(AH!$U$5=1,INDEX('Live History'!$B$5:$B$3004,$K1550),INDEX('AH History'!$D$5:$GG$1380,$K1550,AH!$U$10))))&gt;0),IF(AND(AH!$U$12=1,1545+1=AH!$U$6),IF(AH!$U$4=0,"unavailable",INDEX('Market Data'!$AN$5:$AN$66,AH!$U$4)),IF(AH!$U$5=1,INDEX('Live History'!$B$5:$B$3004,$K1550),INDEX('AH History'!$D$5:$GG$1380,$K1550,AH!$U$10))),NA()),NA())</f>
        <v/>
      </c>
      <c r="F1550" s="32">
        <f>IFERROR(IF(ISNUMBER($A1550),IF(AND(AH!$U$12=1,1545+1=AH!$U$6),IF(AH!$U$4=0,"unavailable",INDEX('Market Data'!$AO$5:$AO$66,AH!$U$4)),IF(AH!$U$5=1,INDEX('Live History'!$E$5:$E$3004,MATCH($A1550,'Live History'!$D$5:$D$3004,1)),INDEX('AH History'!$D$5:$GG$1380,$K1550,AH!$U$10+1))),NA()),NA())</f>
        <v/>
      </c>
      <c r="G1550" s="34">
        <f>IFERROR(IF(ISNUMBER($A1550),IF(AND(AH!$U$12=1,1545+1=AH!$U$6),IF(AH!$U$4=0,"unavailable",INDEX('Market Data'!$AK$5:$AK$66,AH!$U$4)),IF(AH!$U$5=1,INDEX('Live History'!$D$5:$D$3004,MATCH($A1550,'Live History'!$D$5:$D$3004,1)),INDEX('AH History'!$D$5:$GG$1380,$K1550,AH!$U$10+2))),NA()),NA())</f>
        <v/>
      </c>
      <c r="H1550" s="266">
        <f>IFERROR(IF(ISNUMBER($A1550),IF(AND(AH!$U$12=1,1545+1=AH!$U$6),IF(AH!$U$4=0,"unavailable",INDEX('Market Data'!$AP$5:$AP$66,AH!$U$4)),IF(AH!$U$5=1,INDEX('Live History'!$H$5:$H$3004,MATCH($A1550,'Live History'!$G$5:$G$3004,1)),INDEX('AH History'!$B$5:$B$1380,$K1550))),NA()),NA())</f>
        <v/>
      </c>
      <c r="I1550" s="34">
        <f>IFERROR(IF(ISNUMBER($A1550),IF(AND(AH!$U$12=1,1545+1=AH!$U$6),TODAY(),IF(AH!$U$5=1,INDEX('Live History'!$G$5:$G$3004,MATCH($A1550,'Live History'!$G$5:$G$3004,1)),INDEX('AH History'!$C$5:$C$1380,$K1550))),NA()),NA())</f>
        <v/>
      </c>
      <c r="J1550" s="32">
        <f>IFERROR(IF(AND($F1550&gt;0,$H1550&gt;0,$A1550-$G1550&lt;=10,$A1550-$I1550&lt;=5,$G1550&gt;0,$I1550&gt;0),$F1550*$H1550,NA()),NA())</f>
        <v/>
      </c>
      <c r="K1550" s="15">
        <f>IF($A1550="","",IF(AH!$U$5=1,IFERROR(MATCH($A1550,'Live History'!$A$5:$A$3004,0),0),AH!$U$7+1545))</f>
        <v/>
      </c>
      <c r="L1550" s="15">
        <f>IF(ISNUMBER(A1550),TEXT(A1550,"dd-mmm-yy"),"")</f>
        <v/>
      </c>
    </row>
    <row r="1551">
      <c r="A1551" s="14">
        <f>IF(OR(AH!$U$4=0,1546+1&gt;AH!$U$6,AND(AH!$M$5="Bloomberg",AH!$U$5=0)),"",IFERROR(IF(AND(AH!$U$12=1,1546+1=AH!$U$6),TODAY(),IF(AH!$U$5=1,INDEX('Live History'!$A$5:$A$3004,AH!$U$7+1546),INDEX('AH History'!$A$5:$A$1380,AH!$U$7+1546))),""))</f>
        <v/>
      </c>
      <c r="B1551" s="33">
        <f>IFERROR(IF(AH!$U$11=1,NA(),$J1551/$E1551-1),NA())</f>
        <v/>
      </c>
      <c r="C1551" s="269">
        <f>IFERROR(100*$E1551/$E$5,NA())</f>
        <v/>
      </c>
      <c r="D1551" s="269">
        <f>IFERROR(100*$J1551/$J$5,NA())</f>
        <v/>
      </c>
      <c r="E1551" s="32">
        <f>IFERROR(IF(AND(ISNUMBER($A1551),N(IF(AND(AH!$U$12=1,1546+1=AH!$U$6),IF(AH!$U$4=0,"unavailable",INDEX('Market Data'!$AN$5:$AN$66,AH!$U$4)),IF(AH!$U$5=1,INDEX('Live History'!$B$5:$B$3004,$K1551),INDEX('AH History'!$D$5:$GG$1380,$K1551,AH!$U$10))))&gt;0),IF(AND(AH!$U$12=1,1546+1=AH!$U$6),IF(AH!$U$4=0,"unavailable",INDEX('Market Data'!$AN$5:$AN$66,AH!$U$4)),IF(AH!$U$5=1,INDEX('Live History'!$B$5:$B$3004,$K1551),INDEX('AH History'!$D$5:$GG$1380,$K1551,AH!$U$10))),NA()),NA())</f>
        <v/>
      </c>
      <c r="F1551" s="32">
        <f>IFERROR(IF(ISNUMBER($A1551),IF(AND(AH!$U$12=1,1546+1=AH!$U$6),IF(AH!$U$4=0,"unavailable",INDEX('Market Data'!$AO$5:$AO$66,AH!$U$4)),IF(AH!$U$5=1,INDEX('Live History'!$E$5:$E$3004,MATCH($A1551,'Live History'!$D$5:$D$3004,1)),INDEX('AH History'!$D$5:$GG$1380,$K1551,AH!$U$10+1))),NA()),NA())</f>
        <v/>
      </c>
      <c r="G1551" s="34">
        <f>IFERROR(IF(ISNUMBER($A1551),IF(AND(AH!$U$12=1,1546+1=AH!$U$6),IF(AH!$U$4=0,"unavailable",INDEX('Market Data'!$AK$5:$AK$66,AH!$U$4)),IF(AH!$U$5=1,INDEX('Live History'!$D$5:$D$3004,MATCH($A1551,'Live History'!$D$5:$D$3004,1)),INDEX('AH History'!$D$5:$GG$1380,$K1551,AH!$U$10+2))),NA()),NA())</f>
        <v/>
      </c>
      <c r="H1551" s="266">
        <f>IFERROR(IF(ISNUMBER($A1551),IF(AND(AH!$U$12=1,1546+1=AH!$U$6),IF(AH!$U$4=0,"unavailable",INDEX('Market Data'!$AP$5:$AP$66,AH!$U$4)),IF(AH!$U$5=1,INDEX('Live History'!$H$5:$H$3004,MATCH($A1551,'Live History'!$G$5:$G$3004,1)),INDEX('AH History'!$B$5:$B$1380,$K1551))),NA()),NA())</f>
        <v/>
      </c>
      <c r="I1551" s="34">
        <f>IFERROR(IF(ISNUMBER($A1551),IF(AND(AH!$U$12=1,1546+1=AH!$U$6),TODAY(),IF(AH!$U$5=1,INDEX('Live History'!$G$5:$G$3004,MATCH($A1551,'Live History'!$G$5:$G$3004,1)),INDEX('AH History'!$C$5:$C$1380,$K1551))),NA()),NA())</f>
        <v/>
      </c>
      <c r="J1551" s="32">
        <f>IFERROR(IF(AND($F1551&gt;0,$H1551&gt;0,$A1551-$G1551&lt;=10,$A1551-$I1551&lt;=5,$G1551&gt;0,$I1551&gt;0),$F1551*$H1551,NA()),NA())</f>
        <v/>
      </c>
      <c r="K1551" s="15">
        <f>IF($A1551="","",IF(AH!$U$5=1,IFERROR(MATCH($A1551,'Live History'!$A$5:$A$3004,0),0),AH!$U$7+1546))</f>
        <v/>
      </c>
      <c r="L1551" s="15">
        <f>IF(ISNUMBER(A1551),TEXT(A1551,"dd-mmm-yy"),"")</f>
        <v/>
      </c>
    </row>
    <row r="1552">
      <c r="A1552" s="14">
        <f>IF(OR(AH!$U$4=0,1547+1&gt;AH!$U$6,AND(AH!$M$5="Bloomberg",AH!$U$5=0)),"",IFERROR(IF(AND(AH!$U$12=1,1547+1=AH!$U$6),TODAY(),IF(AH!$U$5=1,INDEX('Live History'!$A$5:$A$3004,AH!$U$7+1547),INDEX('AH History'!$A$5:$A$1380,AH!$U$7+1547))),""))</f>
        <v/>
      </c>
      <c r="B1552" s="33">
        <f>IFERROR(IF(AH!$U$11=1,NA(),$J1552/$E1552-1),NA())</f>
        <v/>
      </c>
      <c r="C1552" s="269">
        <f>IFERROR(100*$E1552/$E$5,NA())</f>
        <v/>
      </c>
      <c r="D1552" s="269">
        <f>IFERROR(100*$J1552/$J$5,NA())</f>
        <v/>
      </c>
      <c r="E1552" s="32">
        <f>IFERROR(IF(AND(ISNUMBER($A1552),N(IF(AND(AH!$U$12=1,1547+1=AH!$U$6),IF(AH!$U$4=0,"unavailable",INDEX('Market Data'!$AN$5:$AN$66,AH!$U$4)),IF(AH!$U$5=1,INDEX('Live History'!$B$5:$B$3004,$K1552),INDEX('AH History'!$D$5:$GG$1380,$K1552,AH!$U$10))))&gt;0),IF(AND(AH!$U$12=1,1547+1=AH!$U$6),IF(AH!$U$4=0,"unavailable",INDEX('Market Data'!$AN$5:$AN$66,AH!$U$4)),IF(AH!$U$5=1,INDEX('Live History'!$B$5:$B$3004,$K1552),INDEX('AH History'!$D$5:$GG$1380,$K1552,AH!$U$10))),NA()),NA())</f>
        <v/>
      </c>
      <c r="F1552" s="32">
        <f>IFERROR(IF(ISNUMBER($A1552),IF(AND(AH!$U$12=1,1547+1=AH!$U$6),IF(AH!$U$4=0,"unavailable",INDEX('Market Data'!$AO$5:$AO$66,AH!$U$4)),IF(AH!$U$5=1,INDEX('Live History'!$E$5:$E$3004,MATCH($A1552,'Live History'!$D$5:$D$3004,1)),INDEX('AH History'!$D$5:$GG$1380,$K1552,AH!$U$10+1))),NA()),NA())</f>
        <v/>
      </c>
      <c r="G1552" s="34">
        <f>IFERROR(IF(ISNUMBER($A1552),IF(AND(AH!$U$12=1,1547+1=AH!$U$6),IF(AH!$U$4=0,"unavailable",INDEX('Market Data'!$AK$5:$AK$66,AH!$U$4)),IF(AH!$U$5=1,INDEX('Live History'!$D$5:$D$3004,MATCH($A1552,'Live History'!$D$5:$D$3004,1)),INDEX('AH History'!$D$5:$GG$1380,$K1552,AH!$U$10+2))),NA()),NA())</f>
        <v/>
      </c>
      <c r="H1552" s="266">
        <f>IFERROR(IF(ISNUMBER($A1552),IF(AND(AH!$U$12=1,1547+1=AH!$U$6),IF(AH!$U$4=0,"unavailable",INDEX('Market Data'!$AP$5:$AP$66,AH!$U$4)),IF(AH!$U$5=1,INDEX('Live History'!$H$5:$H$3004,MATCH($A1552,'Live History'!$G$5:$G$3004,1)),INDEX('AH History'!$B$5:$B$1380,$K1552))),NA()),NA())</f>
        <v/>
      </c>
      <c r="I1552" s="34">
        <f>IFERROR(IF(ISNUMBER($A1552),IF(AND(AH!$U$12=1,1547+1=AH!$U$6),TODAY(),IF(AH!$U$5=1,INDEX('Live History'!$G$5:$G$3004,MATCH($A1552,'Live History'!$G$5:$G$3004,1)),INDEX('AH History'!$C$5:$C$1380,$K1552))),NA()),NA())</f>
        <v/>
      </c>
      <c r="J1552" s="32">
        <f>IFERROR(IF(AND($F1552&gt;0,$H1552&gt;0,$A1552-$G1552&lt;=10,$A1552-$I1552&lt;=5,$G1552&gt;0,$I1552&gt;0),$F1552*$H1552,NA()),NA())</f>
        <v/>
      </c>
      <c r="K1552" s="15">
        <f>IF($A1552="","",IF(AH!$U$5=1,IFERROR(MATCH($A1552,'Live History'!$A$5:$A$3004,0),0),AH!$U$7+1547))</f>
        <v/>
      </c>
      <c r="L1552" s="15">
        <f>IF(ISNUMBER(A1552),TEXT(A1552,"dd-mmm-yy"),"")</f>
        <v/>
      </c>
    </row>
    <row r="1553">
      <c r="A1553" s="14">
        <f>IF(OR(AH!$U$4=0,1548+1&gt;AH!$U$6,AND(AH!$M$5="Bloomberg",AH!$U$5=0)),"",IFERROR(IF(AND(AH!$U$12=1,1548+1=AH!$U$6),TODAY(),IF(AH!$U$5=1,INDEX('Live History'!$A$5:$A$3004,AH!$U$7+1548),INDEX('AH History'!$A$5:$A$1380,AH!$U$7+1548))),""))</f>
        <v/>
      </c>
      <c r="B1553" s="33">
        <f>IFERROR(IF(AH!$U$11=1,NA(),$J1553/$E1553-1),NA())</f>
        <v/>
      </c>
      <c r="C1553" s="269">
        <f>IFERROR(100*$E1553/$E$5,NA())</f>
        <v/>
      </c>
      <c r="D1553" s="269">
        <f>IFERROR(100*$J1553/$J$5,NA())</f>
        <v/>
      </c>
      <c r="E1553" s="32">
        <f>IFERROR(IF(AND(ISNUMBER($A1553),N(IF(AND(AH!$U$12=1,1548+1=AH!$U$6),IF(AH!$U$4=0,"unavailable",INDEX('Market Data'!$AN$5:$AN$66,AH!$U$4)),IF(AH!$U$5=1,INDEX('Live History'!$B$5:$B$3004,$K1553),INDEX('AH History'!$D$5:$GG$1380,$K1553,AH!$U$10))))&gt;0),IF(AND(AH!$U$12=1,1548+1=AH!$U$6),IF(AH!$U$4=0,"unavailable",INDEX('Market Data'!$AN$5:$AN$66,AH!$U$4)),IF(AH!$U$5=1,INDEX('Live History'!$B$5:$B$3004,$K1553),INDEX('AH History'!$D$5:$GG$1380,$K1553,AH!$U$10))),NA()),NA())</f>
        <v/>
      </c>
      <c r="F1553" s="32">
        <f>IFERROR(IF(ISNUMBER($A1553),IF(AND(AH!$U$12=1,1548+1=AH!$U$6),IF(AH!$U$4=0,"unavailable",INDEX('Market Data'!$AO$5:$AO$66,AH!$U$4)),IF(AH!$U$5=1,INDEX('Live History'!$E$5:$E$3004,MATCH($A1553,'Live History'!$D$5:$D$3004,1)),INDEX('AH History'!$D$5:$GG$1380,$K1553,AH!$U$10+1))),NA()),NA())</f>
        <v/>
      </c>
      <c r="G1553" s="34">
        <f>IFERROR(IF(ISNUMBER($A1553),IF(AND(AH!$U$12=1,1548+1=AH!$U$6),IF(AH!$U$4=0,"unavailable",INDEX('Market Data'!$AK$5:$AK$66,AH!$U$4)),IF(AH!$U$5=1,INDEX('Live History'!$D$5:$D$3004,MATCH($A1553,'Live History'!$D$5:$D$3004,1)),INDEX('AH History'!$D$5:$GG$1380,$K1553,AH!$U$10+2))),NA()),NA())</f>
        <v/>
      </c>
      <c r="H1553" s="266">
        <f>IFERROR(IF(ISNUMBER($A1553),IF(AND(AH!$U$12=1,1548+1=AH!$U$6),IF(AH!$U$4=0,"unavailable",INDEX('Market Data'!$AP$5:$AP$66,AH!$U$4)),IF(AH!$U$5=1,INDEX('Live History'!$H$5:$H$3004,MATCH($A1553,'Live History'!$G$5:$G$3004,1)),INDEX('AH History'!$B$5:$B$1380,$K1553))),NA()),NA())</f>
        <v/>
      </c>
      <c r="I1553" s="34">
        <f>IFERROR(IF(ISNUMBER($A1553),IF(AND(AH!$U$12=1,1548+1=AH!$U$6),TODAY(),IF(AH!$U$5=1,INDEX('Live History'!$G$5:$G$3004,MATCH($A1553,'Live History'!$G$5:$G$3004,1)),INDEX('AH History'!$C$5:$C$1380,$K1553))),NA()),NA())</f>
        <v/>
      </c>
      <c r="J1553" s="32">
        <f>IFERROR(IF(AND($F1553&gt;0,$H1553&gt;0,$A1553-$G1553&lt;=10,$A1553-$I1553&lt;=5,$G1553&gt;0,$I1553&gt;0),$F1553*$H1553,NA()),NA())</f>
        <v/>
      </c>
      <c r="K1553" s="15">
        <f>IF($A1553="","",IF(AH!$U$5=1,IFERROR(MATCH($A1553,'Live History'!$A$5:$A$3004,0),0),AH!$U$7+1548))</f>
        <v/>
      </c>
      <c r="L1553" s="15">
        <f>IF(ISNUMBER(A1553),TEXT(A1553,"dd-mmm-yy"),"")</f>
        <v/>
      </c>
    </row>
    <row r="1554">
      <c r="A1554" s="14">
        <f>IF(OR(AH!$U$4=0,1549+1&gt;AH!$U$6,AND(AH!$M$5="Bloomberg",AH!$U$5=0)),"",IFERROR(IF(AND(AH!$U$12=1,1549+1=AH!$U$6),TODAY(),IF(AH!$U$5=1,INDEX('Live History'!$A$5:$A$3004,AH!$U$7+1549),INDEX('AH History'!$A$5:$A$1380,AH!$U$7+1549))),""))</f>
        <v/>
      </c>
      <c r="B1554" s="33">
        <f>IFERROR(IF(AH!$U$11=1,NA(),$J1554/$E1554-1),NA())</f>
        <v/>
      </c>
      <c r="C1554" s="269">
        <f>IFERROR(100*$E1554/$E$5,NA())</f>
        <v/>
      </c>
      <c r="D1554" s="269">
        <f>IFERROR(100*$J1554/$J$5,NA())</f>
        <v/>
      </c>
      <c r="E1554" s="32">
        <f>IFERROR(IF(AND(ISNUMBER($A1554),N(IF(AND(AH!$U$12=1,1549+1=AH!$U$6),IF(AH!$U$4=0,"unavailable",INDEX('Market Data'!$AN$5:$AN$66,AH!$U$4)),IF(AH!$U$5=1,INDEX('Live History'!$B$5:$B$3004,$K1554),INDEX('AH History'!$D$5:$GG$1380,$K1554,AH!$U$10))))&gt;0),IF(AND(AH!$U$12=1,1549+1=AH!$U$6),IF(AH!$U$4=0,"unavailable",INDEX('Market Data'!$AN$5:$AN$66,AH!$U$4)),IF(AH!$U$5=1,INDEX('Live History'!$B$5:$B$3004,$K1554),INDEX('AH History'!$D$5:$GG$1380,$K1554,AH!$U$10))),NA()),NA())</f>
        <v/>
      </c>
      <c r="F1554" s="32">
        <f>IFERROR(IF(ISNUMBER($A1554),IF(AND(AH!$U$12=1,1549+1=AH!$U$6),IF(AH!$U$4=0,"unavailable",INDEX('Market Data'!$AO$5:$AO$66,AH!$U$4)),IF(AH!$U$5=1,INDEX('Live History'!$E$5:$E$3004,MATCH($A1554,'Live History'!$D$5:$D$3004,1)),INDEX('AH History'!$D$5:$GG$1380,$K1554,AH!$U$10+1))),NA()),NA())</f>
        <v/>
      </c>
      <c r="G1554" s="34">
        <f>IFERROR(IF(ISNUMBER($A1554),IF(AND(AH!$U$12=1,1549+1=AH!$U$6),IF(AH!$U$4=0,"unavailable",INDEX('Market Data'!$AK$5:$AK$66,AH!$U$4)),IF(AH!$U$5=1,INDEX('Live History'!$D$5:$D$3004,MATCH($A1554,'Live History'!$D$5:$D$3004,1)),INDEX('AH History'!$D$5:$GG$1380,$K1554,AH!$U$10+2))),NA()),NA())</f>
        <v/>
      </c>
      <c r="H1554" s="266">
        <f>IFERROR(IF(ISNUMBER($A1554),IF(AND(AH!$U$12=1,1549+1=AH!$U$6),IF(AH!$U$4=0,"unavailable",INDEX('Market Data'!$AP$5:$AP$66,AH!$U$4)),IF(AH!$U$5=1,INDEX('Live History'!$H$5:$H$3004,MATCH($A1554,'Live History'!$G$5:$G$3004,1)),INDEX('AH History'!$B$5:$B$1380,$K1554))),NA()),NA())</f>
        <v/>
      </c>
      <c r="I1554" s="34">
        <f>IFERROR(IF(ISNUMBER($A1554),IF(AND(AH!$U$12=1,1549+1=AH!$U$6),TODAY(),IF(AH!$U$5=1,INDEX('Live History'!$G$5:$G$3004,MATCH($A1554,'Live History'!$G$5:$G$3004,1)),INDEX('AH History'!$C$5:$C$1380,$K1554))),NA()),NA())</f>
        <v/>
      </c>
      <c r="J1554" s="32">
        <f>IFERROR(IF(AND($F1554&gt;0,$H1554&gt;0,$A1554-$G1554&lt;=10,$A1554-$I1554&lt;=5,$G1554&gt;0,$I1554&gt;0),$F1554*$H1554,NA()),NA())</f>
        <v/>
      </c>
      <c r="K1554" s="15">
        <f>IF($A1554="","",IF(AH!$U$5=1,IFERROR(MATCH($A1554,'Live History'!$A$5:$A$3004,0),0),AH!$U$7+1549))</f>
        <v/>
      </c>
      <c r="L1554" s="15">
        <f>IF(ISNUMBER(A1554),TEXT(A1554,"dd-mmm-yy"),"")</f>
        <v/>
      </c>
    </row>
    <row r="1555">
      <c r="A1555" s="14">
        <f>IF(OR(AH!$U$4=0,1550+1&gt;AH!$U$6,AND(AH!$M$5="Bloomberg",AH!$U$5=0)),"",IFERROR(IF(AND(AH!$U$12=1,1550+1=AH!$U$6),TODAY(),IF(AH!$U$5=1,INDEX('Live History'!$A$5:$A$3004,AH!$U$7+1550),INDEX('AH History'!$A$5:$A$1380,AH!$U$7+1550))),""))</f>
        <v/>
      </c>
      <c r="B1555" s="33">
        <f>IFERROR(IF(AH!$U$11=1,NA(),$J1555/$E1555-1),NA())</f>
        <v/>
      </c>
      <c r="C1555" s="269">
        <f>IFERROR(100*$E1555/$E$5,NA())</f>
        <v/>
      </c>
      <c r="D1555" s="269">
        <f>IFERROR(100*$J1555/$J$5,NA())</f>
        <v/>
      </c>
      <c r="E1555" s="32">
        <f>IFERROR(IF(AND(ISNUMBER($A1555),N(IF(AND(AH!$U$12=1,1550+1=AH!$U$6),IF(AH!$U$4=0,"unavailable",INDEX('Market Data'!$AN$5:$AN$66,AH!$U$4)),IF(AH!$U$5=1,INDEX('Live History'!$B$5:$B$3004,$K1555),INDEX('AH History'!$D$5:$GG$1380,$K1555,AH!$U$10))))&gt;0),IF(AND(AH!$U$12=1,1550+1=AH!$U$6),IF(AH!$U$4=0,"unavailable",INDEX('Market Data'!$AN$5:$AN$66,AH!$U$4)),IF(AH!$U$5=1,INDEX('Live History'!$B$5:$B$3004,$K1555),INDEX('AH History'!$D$5:$GG$1380,$K1555,AH!$U$10))),NA()),NA())</f>
        <v/>
      </c>
      <c r="F1555" s="32">
        <f>IFERROR(IF(ISNUMBER($A1555),IF(AND(AH!$U$12=1,1550+1=AH!$U$6),IF(AH!$U$4=0,"unavailable",INDEX('Market Data'!$AO$5:$AO$66,AH!$U$4)),IF(AH!$U$5=1,INDEX('Live History'!$E$5:$E$3004,MATCH($A1555,'Live History'!$D$5:$D$3004,1)),INDEX('AH History'!$D$5:$GG$1380,$K1555,AH!$U$10+1))),NA()),NA())</f>
        <v/>
      </c>
      <c r="G1555" s="34">
        <f>IFERROR(IF(ISNUMBER($A1555),IF(AND(AH!$U$12=1,1550+1=AH!$U$6),IF(AH!$U$4=0,"unavailable",INDEX('Market Data'!$AK$5:$AK$66,AH!$U$4)),IF(AH!$U$5=1,INDEX('Live History'!$D$5:$D$3004,MATCH($A1555,'Live History'!$D$5:$D$3004,1)),INDEX('AH History'!$D$5:$GG$1380,$K1555,AH!$U$10+2))),NA()),NA())</f>
        <v/>
      </c>
      <c r="H1555" s="266">
        <f>IFERROR(IF(ISNUMBER($A1555),IF(AND(AH!$U$12=1,1550+1=AH!$U$6),IF(AH!$U$4=0,"unavailable",INDEX('Market Data'!$AP$5:$AP$66,AH!$U$4)),IF(AH!$U$5=1,INDEX('Live History'!$H$5:$H$3004,MATCH($A1555,'Live History'!$G$5:$G$3004,1)),INDEX('AH History'!$B$5:$B$1380,$K1555))),NA()),NA())</f>
        <v/>
      </c>
      <c r="I1555" s="34">
        <f>IFERROR(IF(ISNUMBER($A1555),IF(AND(AH!$U$12=1,1550+1=AH!$U$6),TODAY(),IF(AH!$U$5=1,INDEX('Live History'!$G$5:$G$3004,MATCH($A1555,'Live History'!$G$5:$G$3004,1)),INDEX('AH History'!$C$5:$C$1380,$K1555))),NA()),NA())</f>
        <v/>
      </c>
      <c r="J1555" s="32">
        <f>IFERROR(IF(AND($F1555&gt;0,$H1555&gt;0,$A1555-$G1555&lt;=10,$A1555-$I1555&lt;=5,$G1555&gt;0,$I1555&gt;0),$F1555*$H1555,NA()),NA())</f>
        <v/>
      </c>
      <c r="K1555" s="15">
        <f>IF($A1555="","",IF(AH!$U$5=1,IFERROR(MATCH($A1555,'Live History'!$A$5:$A$3004,0),0),AH!$U$7+1550))</f>
        <v/>
      </c>
      <c r="L1555" s="15">
        <f>IF(ISNUMBER(A1555),TEXT(A1555,"dd-mmm-yy"),"")</f>
        <v/>
      </c>
    </row>
    <row r="1556">
      <c r="A1556" s="14">
        <f>IF(OR(AH!$U$4=0,1551+1&gt;AH!$U$6,AND(AH!$M$5="Bloomberg",AH!$U$5=0)),"",IFERROR(IF(AND(AH!$U$12=1,1551+1=AH!$U$6),TODAY(),IF(AH!$U$5=1,INDEX('Live History'!$A$5:$A$3004,AH!$U$7+1551),INDEX('AH History'!$A$5:$A$1380,AH!$U$7+1551))),""))</f>
        <v/>
      </c>
      <c r="B1556" s="33">
        <f>IFERROR(IF(AH!$U$11=1,NA(),$J1556/$E1556-1),NA())</f>
        <v/>
      </c>
      <c r="C1556" s="269">
        <f>IFERROR(100*$E1556/$E$5,NA())</f>
        <v/>
      </c>
      <c r="D1556" s="269">
        <f>IFERROR(100*$J1556/$J$5,NA())</f>
        <v/>
      </c>
      <c r="E1556" s="32">
        <f>IFERROR(IF(AND(ISNUMBER($A1556),N(IF(AND(AH!$U$12=1,1551+1=AH!$U$6),IF(AH!$U$4=0,"unavailable",INDEX('Market Data'!$AN$5:$AN$66,AH!$U$4)),IF(AH!$U$5=1,INDEX('Live History'!$B$5:$B$3004,$K1556),INDEX('AH History'!$D$5:$GG$1380,$K1556,AH!$U$10))))&gt;0),IF(AND(AH!$U$12=1,1551+1=AH!$U$6),IF(AH!$U$4=0,"unavailable",INDEX('Market Data'!$AN$5:$AN$66,AH!$U$4)),IF(AH!$U$5=1,INDEX('Live History'!$B$5:$B$3004,$K1556),INDEX('AH History'!$D$5:$GG$1380,$K1556,AH!$U$10))),NA()),NA())</f>
        <v/>
      </c>
      <c r="F1556" s="32">
        <f>IFERROR(IF(ISNUMBER($A1556),IF(AND(AH!$U$12=1,1551+1=AH!$U$6),IF(AH!$U$4=0,"unavailable",INDEX('Market Data'!$AO$5:$AO$66,AH!$U$4)),IF(AH!$U$5=1,INDEX('Live History'!$E$5:$E$3004,MATCH($A1556,'Live History'!$D$5:$D$3004,1)),INDEX('AH History'!$D$5:$GG$1380,$K1556,AH!$U$10+1))),NA()),NA())</f>
        <v/>
      </c>
      <c r="G1556" s="34">
        <f>IFERROR(IF(ISNUMBER($A1556),IF(AND(AH!$U$12=1,1551+1=AH!$U$6),IF(AH!$U$4=0,"unavailable",INDEX('Market Data'!$AK$5:$AK$66,AH!$U$4)),IF(AH!$U$5=1,INDEX('Live History'!$D$5:$D$3004,MATCH($A1556,'Live History'!$D$5:$D$3004,1)),INDEX('AH History'!$D$5:$GG$1380,$K1556,AH!$U$10+2))),NA()),NA())</f>
        <v/>
      </c>
      <c r="H1556" s="266">
        <f>IFERROR(IF(ISNUMBER($A1556),IF(AND(AH!$U$12=1,1551+1=AH!$U$6),IF(AH!$U$4=0,"unavailable",INDEX('Market Data'!$AP$5:$AP$66,AH!$U$4)),IF(AH!$U$5=1,INDEX('Live History'!$H$5:$H$3004,MATCH($A1556,'Live History'!$G$5:$G$3004,1)),INDEX('AH History'!$B$5:$B$1380,$K1556))),NA()),NA())</f>
        <v/>
      </c>
      <c r="I1556" s="34">
        <f>IFERROR(IF(ISNUMBER($A1556),IF(AND(AH!$U$12=1,1551+1=AH!$U$6),TODAY(),IF(AH!$U$5=1,INDEX('Live History'!$G$5:$G$3004,MATCH($A1556,'Live History'!$G$5:$G$3004,1)),INDEX('AH History'!$C$5:$C$1380,$K1556))),NA()),NA())</f>
        <v/>
      </c>
      <c r="J1556" s="32">
        <f>IFERROR(IF(AND($F1556&gt;0,$H1556&gt;0,$A1556-$G1556&lt;=10,$A1556-$I1556&lt;=5,$G1556&gt;0,$I1556&gt;0),$F1556*$H1556,NA()),NA())</f>
        <v/>
      </c>
      <c r="K1556" s="15">
        <f>IF($A1556="","",IF(AH!$U$5=1,IFERROR(MATCH($A1556,'Live History'!$A$5:$A$3004,0),0),AH!$U$7+1551))</f>
        <v/>
      </c>
      <c r="L1556" s="15">
        <f>IF(ISNUMBER(A1556),TEXT(A1556,"dd-mmm-yy"),"")</f>
        <v/>
      </c>
    </row>
    <row r="1557">
      <c r="A1557" s="14">
        <f>IF(OR(AH!$U$4=0,1552+1&gt;AH!$U$6,AND(AH!$M$5="Bloomberg",AH!$U$5=0)),"",IFERROR(IF(AND(AH!$U$12=1,1552+1=AH!$U$6),TODAY(),IF(AH!$U$5=1,INDEX('Live History'!$A$5:$A$3004,AH!$U$7+1552),INDEX('AH History'!$A$5:$A$1380,AH!$U$7+1552))),""))</f>
        <v/>
      </c>
      <c r="B1557" s="33">
        <f>IFERROR(IF(AH!$U$11=1,NA(),$J1557/$E1557-1),NA())</f>
        <v/>
      </c>
      <c r="C1557" s="269">
        <f>IFERROR(100*$E1557/$E$5,NA())</f>
        <v/>
      </c>
      <c r="D1557" s="269">
        <f>IFERROR(100*$J1557/$J$5,NA())</f>
        <v/>
      </c>
      <c r="E1557" s="32">
        <f>IFERROR(IF(AND(ISNUMBER($A1557),N(IF(AND(AH!$U$12=1,1552+1=AH!$U$6),IF(AH!$U$4=0,"unavailable",INDEX('Market Data'!$AN$5:$AN$66,AH!$U$4)),IF(AH!$U$5=1,INDEX('Live History'!$B$5:$B$3004,$K1557),INDEX('AH History'!$D$5:$GG$1380,$K1557,AH!$U$10))))&gt;0),IF(AND(AH!$U$12=1,1552+1=AH!$U$6),IF(AH!$U$4=0,"unavailable",INDEX('Market Data'!$AN$5:$AN$66,AH!$U$4)),IF(AH!$U$5=1,INDEX('Live History'!$B$5:$B$3004,$K1557),INDEX('AH History'!$D$5:$GG$1380,$K1557,AH!$U$10))),NA()),NA())</f>
        <v/>
      </c>
      <c r="F1557" s="32">
        <f>IFERROR(IF(ISNUMBER($A1557),IF(AND(AH!$U$12=1,1552+1=AH!$U$6),IF(AH!$U$4=0,"unavailable",INDEX('Market Data'!$AO$5:$AO$66,AH!$U$4)),IF(AH!$U$5=1,INDEX('Live History'!$E$5:$E$3004,MATCH($A1557,'Live History'!$D$5:$D$3004,1)),INDEX('AH History'!$D$5:$GG$1380,$K1557,AH!$U$10+1))),NA()),NA())</f>
        <v/>
      </c>
      <c r="G1557" s="34">
        <f>IFERROR(IF(ISNUMBER($A1557),IF(AND(AH!$U$12=1,1552+1=AH!$U$6),IF(AH!$U$4=0,"unavailable",INDEX('Market Data'!$AK$5:$AK$66,AH!$U$4)),IF(AH!$U$5=1,INDEX('Live History'!$D$5:$D$3004,MATCH($A1557,'Live History'!$D$5:$D$3004,1)),INDEX('AH History'!$D$5:$GG$1380,$K1557,AH!$U$10+2))),NA()),NA())</f>
        <v/>
      </c>
      <c r="H1557" s="266">
        <f>IFERROR(IF(ISNUMBER($A1557),IF(AND(AH!$U$12=1,1552+1=AH!$U$6),IF(AH!$U$4=0,"unavailable",INDEX('Market Data'!$AP$5:$AP$66,AH!$U$4)),IF(AH!$U$5=1,INDEX('Live History'!$H$5:$H$3004,MATCH($A1557,'Live History'!$G$5:$G$3004,1)),INDEX('AH History'!$B$5:$B$1380,$K1557))),NA()),NA())</f>
        <v/>
      </c>
      <c r="I1557" s="34">
        <f>IFERROR(IF(ISNUMBER($A1557),IF(AND(AH!$U$12=1,1552+1=AH!$U$6),TODAY(),IF(AH!$U$5=1,INDEX('Live History'!$G$5:$G$3004,MATCH($A1557,'Live History'!$G$5:$G$3004,1)),INDEX('AH History'!$C$5:$C$1380,$K1557))),NA()),NA())</f>
        <v/>
      </c>
      <c r="J1557" s="32">
        <f>IFERROR(IF(AND($F1557&gt;0,$H1557&gt;0,$A1557-$G1557&lt;=10,$A1557-$I1557&lt;=5,$G1557&gt;0,$I1557&gt;0),$F1557*$H1557,NA()),NA())</f>
        <v/>
      </c>
      <c r="K1557" s="15">
        <f>IF($A1557="","",IF(AH!$U$5=1,IFERROR(MATCH($A1557,'Live History'!$A$5:$A$3004,0),0),AH!$U$7+1552))</f>
        <v/>
      </c>
      <c r="L1557" s="15">
        <f>IF(ISNUMBER(A1557),TEXT(A1557,"dd-mmm-yy"),"")</f>
        <v/>
      </c>
    </row>
    <row r="1558">
      <c r="A1558" s="14">
        <f>IF(OR(AH!$U$4=0,1553+1&gt;AH!$U$6,AND(AH!$M$5="Bloomberg",AH!$U$5=0)),"",IFERROR(IF(AND(AH!$U$12=1,1553+1=AH!$U$6),TODAY(),IF(AH!$U$5=1,INDEX('Live History'!$A$5:$A$3004,AH!$U$7+1553),INDEX('AH History'!$A$5:$A$1380,AH!$U$7+1553))),""))</f>
        <v/>
      </c>
      <c r="B1558" s="33">
        <f>IFERROR(IF(AH!$U$11=1,NA(),$J1558/$E1558-1),NA())</f>
        <v/>
      </c>
      <c r="C1558" s="269">
        <f>IFERROR(100*$E1558/$E$5,NA())</f>
        <v/>
      </c>
      <c r="D1558" s="269">
        <f>IFERROR(100*$J1558/$J$5,NA())</f>
        <v/>
      </c>
      <c r="E1558" s="32">
        <f>IFERROR(IF(AND(ISNUMBER($A1558),N(IF(AND(AH!$U$12=1,1553+1=AH!$U$6),IF(AH!$U$4=0,"unavailable",INDEX('Market Data'!$AN$5:$AN$66,AH!$U$4)),IF(AH!$U$5=1,INDEX('Live History'!$B$5:$B$3004,$K1558),INDEX('AH History'!$D$5:$GG$1380,$K1558,AH!$U$10))))&gt;0),IF(AND(AH!$U$12=1,1553+1=AH!$U$6),IF(AH!$U$4=0,"unavailable",INDEX('Market Data'!$AN$5:$AN$66,AH!$U$4)),IF(AH!$U$5=1,INDEX('Live History'!$B$5:$B$3004,$K1558),INDEX('AH History'!$D$5:$GG$1380,$K1558,AH!$U$10))),NA()),NA())</f>
        <v/>
      </c>
      <c r="F1558" s="32">
        <f>IFERROR(IF(ISNUMBER($A1558),IF(AND(AH!$U$12=1,1553+1=AH!$U$6),IF(AH!$U$4=0,"unavailable",INDEX('Market Data'!$AO$5:$AO$66,AH!$U$4)),IF(AH!$U$5=1,INDEX('Live History'!$E$5:$E$3004,MATCH($A1558,'Live History'!$D$5:$D$3004,1)),INDEX('AH History'!$D$5:$GG$1380,$K1558,AH!$U$10+1))),NA()),NA())</f>
        <v/>
      </c>
      <c r="G1558" s="34">
        <f>IFERROR(IF(ISNUMBER($A1558),IF(AND(AH!$U$12=1,1553+1=AH!$U$6),IF(AH!$U$4=0,"unavailable",INDEX('Market Data'!$AK$5:$AK$66,AH!$U$4)),IF(AH!$U$5=1,INDEX('Live History'!$D$5:$D$3004,MATCH($A1558,'Live History'!$D$5:$D$3004,1)),INDEX('AH History'!$D$5:$GG$1380,$K1558,AH!$U$10+2))),NA()),NA())</f>
        <v/>
      </c>
      <c r="H1558" s="266">
        <f>IFERROR(IF(ISNUMBER($A1558),IF(AND(AH!$U$12=1,1553+1=AH!$U$6),IF(AH!$U$4=0,"unavailable",INDEX('Market Data'!$AP$5:$AP$66,AH!$U$4)),IF(AH!$U$5=1,INDEX('Live History'!$H$5:$H$3004,MATCH($A1558,'Live History'!$G$5:$G$3004,1)),INDEX('AH History'!$B$5:$B$1380,$K1558))),NA()),NA())</f>
        <v/>
      </c>
      <c r="I1558" s="34">
        <f>IFERROR(IF(ISNUMBER($A1558),IF(AND(AH!$U$12=1,1553+1=AH!$U$6),TODAY(),IF(AH!$U$5=1,INDEX('Live History'!$G$5:$G$3004,MATCH($A1558,'Live History'!$G$5:$G$3004,1)),INDEX('AH History'!$C$5:$C$1380,$K1558))),NA()),NA())</f>
        <v/>
      </c>
      <c r="J1558" s="32">
        <f>IFERROR(IF(AND($F1558&gt;0,$H1558&gt;0,$A1558-$G1558&lt;=10,$A1558-$I1558&lt;=5,$G1558&gt;0,$I1558&gt;0),$F1558*$H1558,NA()),NA())</f>
        <v/>
      </c>
      <c r="K1558" s="15">
        <f>IF($A1558="","",IF(AH!$U$5=1,IFERROR(MATCH($A1558,'Live History'!$A$5:$A$3004,0),0),AH!$U$7+1553))</f>
        <v/>
      </c>
      <c r="L1558" s="15">
        <f>IF(ISNUMBER(A1558),TEXT(A1558,"dd-mmm-yy"),"")</f>
        <v/>
      </c>
    </row>
    <row r="1559">
      <c r="A1559" s="14">
        <f>IF(OR(AH!$U$4=0,1554+1&gt;AH!$U$6,AND(AH!$M$5="Bloomberg",AH!$U$5=0)),"",IFERROR(IF(AND(AH!$U$12=1,1554+1=AH!$U$6),TODAY(),IF(AH!$U$5=1,INDEX('Live History'!$A$5:$A$3004,AH!$U$7+1554),INDEX('AH History'!$A$5:$A$1380,AH!$U$7+1554))),""))</f>
        <v/>
      </c>
      <c r="B1559" s="33">
        <f>IFERROR(IF(AH!$U$11=1,NA(),$J1559/$E1559-1),NA())</f>
        <v/>
      </c>
      <c r="C1559" s="269">
        <f>IFERROR(100*$E1559/$E$5,NA())</f>
        <v/>
      </c>
      <c r="D1559" s="269">
        <f>IFERROR(100*$J1559/$J$5,NA())</f>
        <v/>
      </c>
      <c r="E1559" s="32">
        <f>IFERROR(IF(AND(ISNUMBER($A1559),N(IF(AND(AH!$U$12=1,1554+1=AH!$U$6),IF(AH!$U$4=0,"unavailable",INDEX('Market Data'!$AN$5:$AN$66,AH!$U$4)),IF(AH!$U$5=1,INDEX('Live History'!$B$5:$B$3004,$K1559),INDEX('AH History'!$D$5:$GG$1380,$K1559,AH!$U$10))))&gt;0),IF(AND(AH!$U$12=1,1554+1=AH!$U$6),IF(AH!$U$4=0,"unavailable",INDEX('Market Data'!$AN$5:$AN$66,AH!$U$4)),IF(AH!$U$5=1,INDEX('Live History'!$B$5:$B$3004,$K1559),INDEX('AH History'!$D$5:$GG$1380,$K1559,AH!$U$10))),NA()),NA())</f>
        <v/>
      </c>
      <c r="F1559" s="32">
        <f>IFERROR(IF(ISNUMBER($A1559),IF(AND(AH!$U$12=1,1554+1=AH!$U$6),IF(AH!$U$4=0,"unavailable",INDEX('Market Data'!$AO$5:$AO$66,AH!$U$4)),IF(AH!$U$5=1,INDEX('Live History'!$E$5:$E$3004,MATCH($A1559,'Live History'!$D$5:$D$3004,1)),INDEX('AH History'!$D$5:$GG$1380,$K1559,AH!$U$10+1))),NA()),NA())</f>
        <v/>
      </c>
      <c r="G1559" s="34">
        <f>IFERROR(IF(ISNUMBER($A1559),IF(AND(AH!$U$12=1,1554+1=AH!$U$6),IF(AH!$U$4=0,"unavailable",INDEX('Market Data'!$AK$5:$AK$66,AH!$U$4)),IF(AH!$U$5=1,INDEX('Live History'!$D$5:$D$3004,MATCH($A1559,'Live History'!$D$5:$D$3004,1)),INDEX('AH History'!$D$5:$GG$1380,$K1559,AH!$U$10+2))),NA()),NA())</f>
        <v/>
      </c>
      <c r="H1559" s="266">
        <f>IFERROR(IF(ISNUMBER($A1559),IF(AND(AH!$U$12=1,1554+1=AH!$U$6),IF(AH!$U$4=0,"unavailable",INDEX('Market Data'!$AP$5:$AP$66,AH!$U$4)),IF(AH!$U$5=1,INDEX('Live History'!$H$5:$H$3004,MATCH($A1559,'Live History'!$G$5:$G$3004,1)),INDEX('AH History'!$B$5:$B$1380,$K1559))),NA()),NA())</f>
        <v/>
      </c>
      <c r="I1559" s="34">
        <f>IFERROR(IF(ISNUMBER($A1559),IF(AND(AH!$U$12=1,1554+1=AH!$U$6),TODAY(),IF(AH!$U$5=1,INDEX('Live History'!$G$5:$G$3004,MATCH($A1559,'Live History'!$G$5:$G$3004,1)),INDEX('AH History'!$C$5:$C$1380,$K1559))),NA()),NA())</f>
        <v/>
      </c>
      <c r="J1559" s="32">
        <f>IFERROR(IF(AND($F1559&gt;0,$H1559&gt;0,$A1559-$G1559&lt;=10,$A1559-$I1559&lt;=5,$G1559&gt;0,$I1559&gt;0),$F1559*$H1559,NA()),NA())</f>
        <v/>
      </c>
      <c r="K1559" s="15">
        <f>IF($A1559="","",IF(AH!$U$5=1,IFERROR(MATCH($A1559,'Live History'!$A$5:$A$3004,0),0),AH!$U$7+1554))</f>
        <v/>
      </c>
      <c r="L1559" s="15">
        <f>IF(ISNUMBER(A1559),TEXT(A1559,"dd-mmm-yy"),"")</f>
        <v/>
      </c>
    </row>
    <row r="1560">
      <c r="A1560" s="14">
        <f>IF(OR(AH!$U$4=0,1555+1&gt;AH!$U$6,AND(AH!$M$5="Bloomberg",AH!$U$5=0)),"",IFERROR(IF(AND(AH!$U$12=1,1555+1=AH!$U$6),TODAY(),IF(AH!$U$5=1,INDEX('Live History'!$A$5:$A$3004,AH!$U$7+1555),INDEX('AH History'!$A$5:$A$1380,AH!$U$7+1555))),""))</f>
        <v/>
      </c>
      <c r="B1560" s="33">
        <f>IFERROR(IF(AH!$U$11=1,NA(),$J1560/$E1560-1),NA())</f>
        <v/>
      </c>
      <c r="C1560" s="269">
        <f>IFERROR(100*$E1560/$E$5,NA())</f>
        <v/>
      </c>
      <c r="D1560" s="269">
        <f>IFERROR(100*$J1560/$J$5,NA())</f>
        <v/>
      </c>
      <c r="E1560" s="32">
        <f>IFERROR(IF(AND(ISNUMBER($A1560),N(IF(AND(AH!$U$12=1,1555+1=AH!$U$6),IF(AH!$U$4=0,"unavailable",INDEX('Market Data'!$AN$5:$AN$66,AH!$U$4)),IF(AH!$U$5=1,INDEX('Live History'!$B$5:$B$3004,$K1560),INDEX('AH History'!$D$5:$GG$1380,$K1560,AH!$U$10))))&gt;0),IF(AND(AH!$U$12=1,1555+1=AH!$U$6),IF(AH!$U$4=0,"unavailable",INDEX('Market Data'!$AN$5:$AN$66,AH!$U$4)),IF(AH!$U$5=1,INDEX('Live History'!$B$5:$B$3004,$K1560),INDEX('AH History'!$D$5:$GG$1380,$K1560,AH!$U$10))),NA()),NA())</f>
        <v/>
      </c>
      <c r="F1560" s="32">
        <f>IFERROR(IF(ISNUMBER($A1560),IF(AND(AH!$U$12=1,1555+1=AH!$U$6),IF(AH!$U$4=0,"unavailable",INDEX('Market Data'!$AO$5:$AO$66,AH!$U$4)),IF(AH!$U$5=1,INDEX('Live History'!$E$5:$E$3004,MATCH($A1560,'Live History'!$D$5:$D$3004,1)),INDEX('AH History'!$D$5:$GG$1380,$K1560,AH!$U$10+1))),NA()),NA())</f>
        <v/>
      </c>
      <c r="G1560" s="34">
        <f>IFERROR(IF(ISNUMBER($A1560),IF(AND(AH!$U$12=1,1555+1=AH!$U$6),IF(AH!$U$4=0,"unavailable",INDEX('Market Data'!$AK$5:$AK$66,AH!$U$4)),IF(AH!$U$5=1,INDEX('Live History'!$D$5:$D$3004,MATCH($A1560,'Live History'!$D$5:$D$3004,1)),INDEX('AH History'!$D$5:$GG$1380,$K1560,AH!$U$10+2))),NA()),NA())</f>
        <v/>
      </c>
      <c r="H1560" s="266">
        <f>IFERROR(IF(ISNUMBER($A1560),IF(AND(AH!$U$12=1,1555+1=AH!$U$6),IF(AH!$U$4=0,"unavailable",INDEX('Market Data'!$AP$5:$AP$66,AH!$U$4)),IF(AH!$U$5=1,INDEX('Live History'!$H$5:$H$3004,MATCH($A1560,'Live History'!$G$5:$G$3004,1)),INDEX('AH History'!$B$5:$B$1380,$K1560))),NA()),NA())</f>
        <v/>
      </c>
      <c r="I1560" s="34">
        <f>IFERROR(IF(ISNUMBER($A1560),IF(AND(AH!$U$12=1,1555+1=AH!$U$6),TODAY(),IF(AH!$U$5=1,INDEX('Live History'!$G$5:$G$3004,MATCH($A1560,'Live History'!$G$5:$G$3004,1)),INDEX('AH History'!$C$5:$C$1380,$K1560))),NA()),NA())</f>
        <v/>
      </c>
      <c r="J1560" s="32">
        <f>IFERROR(IF(AND($F1560&gt;0,$H1560&gt;0,$A1560-$G1560&lt;=10,$A1560-$I1560&lt;=5,$G1560&gt;0,$I1560&gt;0),$F1560*$H1560,NA()),NA())</f>
        <v/>
      </c>
      <c r="K1560" s="15">
        <f>IF($A1560="","",IF(AH!$U$5=1,IFERROR(MATCH($A1560,'Live History'!$A$5:$A$3004,0),0),AH!$U$7+1555))</f>
        <v/>
      </c>
      <c r="L1560" s="15">
        <f>IF(ISNUMBER(A1560),TEXT(A1560,"dd-mmm-yy"),"")</f>
        <v/>
      </c>
    </row>
    <row r="1561">
      <c r="A1561" s="14">
        <f>IF(OR(AH!$U$4=0,1556+1&gt;AH!$U$6,AND(AH!$M$5="Bloomberg",AH!$U$5=0)),"",IFERROR(IF(AND(AH!$U$12=1,1556+1=AH!$U$6),TODAY(),IF(AH!$U$5=1,INDEX('Live History'!$A$5:$A$3004,AH!$U$7+1556),INDEX('AH History'!$A$5:$A$1380,AH!$U$7+1556))),""))</f>
        <v/>
      </c>
      <c r="B1561" s="33">
        <f>IFERROR(IF(AH!$U$11=1,NA(),$J1561/$E1561-1),NA())</f>
        <v/>
      </c>
      <c r="C1561" s="269">
        <f>IFERROR(100*$E1561/$E$5,NA())</f>
        <v/>
      </c>
      <c r="D1561" s="269">
        <f>IFERROR(100*$J1561/$J$5,NA())</f>
        <v/>
      </c>
      <c r="E1561" s="32">
        <f>IFERROR(IF(AND(ISNUMBER($A1561),N(IF(AND(AH!$U$12=1,1556+1=AH!$U$6),IF(AH!$U$4=0,"unavailable",INDEX('Market Data'!$AN$5:$AN$66,AH!$U$4)),IF(AH!$U$5=1,INDEX('Live History'!$B$5:$B$3004,$K1561),INDEX('AH History'!$D$5:$GG$1380,$K1561,AH!$U$10))))&gt;0),IF(AND(AH!$U$12=1,1556+1=AH!$U$6),IF(AH!$U$4=0,"unavailable",INDEX('Market Data'!$AN$5:$AN$66,AH!$U$4)),IF(AH!$U$5=1,INDEX('Live History'!$B$5:$B$3004,$K1561),INDEX('AH History'!$D$5:$GG$1380,$K1561,AH!$U$10))),NA()),NA())</f>
        <v/>
      </c>
      <c r="F1561" s="32">
        <f>IFERROR(IF(ISNUMBER($A1561),IF(AND(AH!$U$12=1,1556+1=AH!$U$6),IF(AH!$U$4=0,"unavailable",INDEX('Market Data'!$AO$5:$AO$66,AH!$U$4)),IF(AH!$U$5=1,INDEX('Live History'!$E$5:$E$3004,MATCH($A1561,'Live History'!$D$5:$D$3004,1)),INDEX('AH History'!$D$5:$GG$1380,$K1561,AH!$U$10+1))),NA()),NA())</f>
        <v/>
      </c>
      <c r="G1561" s="34">
        <f>IFERROR(IF(ISNUMBER($A1561),IF(AND(AH!$U$12=1,1556+1=AH!$U$6),IF(AH!$U$4=0,"unavailable",INDEX('Market Data'!$AK$5:$AK$66,AH!$U$4)),IF(AH!$U$5=1,INDEX('Live History'!$D$5:$D$3004,MATCH($A1561,'Live History'!$D$5:$D$3004,1)),INDEX('AH History'!$D$5:$GG$1380,$K1561,AH!$U$10+2))),NA()),NA())</f>
        <v/>
      </c>
      <c r="H1561" s="266">
        <f>IFERROR(IF(ISNUMBER($A1561),IF(AND(AH!$U$12=1,1556+1=AH!$U$6),IF(AH!$U$4=0,"unavailable",INDEX('Market Data'!$AP$5:$AP$66,AH!$U$4)),IF(AH!$U$5=1,INDEX('Live History'!$H$5:$H$3004,MATCH($A1561,'Live History'!$G$5:$G$3004,1)),INDEX('AH History'!$B$5:$B$1380,$K1561))),NA()),NA())</f>
        <v/>
      </c>
      <c r="I1561" s="34">
        <f>IFERROR(IF(ISNUMBER($A1561),IF(AND(AH!$U$12=1,1556+1=AH!$U$6),TODAY(),IF(AH!$U$5=1,INDEX('Live History'!$G$5:$G$3004,MATCH($A1561,'Live History'!$G$5:$G$3004,1)),INDEX('AH History'!$C$5:$C$1380,$K1561))),NA()),NA())</f>
        <v/>
      </c>
      <c r="J1561" s="32">
        <f>IFERROR(IF(AND($F1561&gt;0,$H1561&gt;0,$A1561-$G1561&lt;=10,$A1561-$I1561&lt;=5,$G1561&gt;0,$I1561&gt;0),$F1561*$H1561,NA()),NA())</f>
        <v/>
      </c>
      <c r="K1561" s="15">
        <f>IF($A1561="","",IF(AH!$U$5=1,IFERROR(MATCH($A1561,'Live History'!$A$5:$A$3004,0),0),AH!$U$7+1556))</f>
        <v/>
      </c>
      <c r="L1561" s="15">
        <f>IF(ISNUMBER(A1561),TEXT(A1561,"dd-mmm-yy"),"")</f>
        <v/>
      </c>
    </row>
    <row r="1562">
      <c r="A1562" s="14">
        <f>IF(OR(AH!$U$4=0,1557+1&gt;AH!$U$6,AND(AH!$M$5="Bloomberg",AH!$U$5=0)),"",IFERROR(IF(AND(AH!$U$12=1,1557+1=AH!$U$6),TODAY(),IF(AH!$U$5=1,INDEX('Live History'!$A$5:$A$3004,AH!$U$7+1557),INDEX('AH History'!$A$5:$A$1380,AH!$U$7+1557))),""))</f>
        <v/>
      </c>
      <c r="B1562" s="33">
        <f>IFERROR(IF(AH!$U$11=1,NA(),$J1562/$E1562-1),NA())</f>
        <v/>
      </c>
      <c r="C1562" s="269">
        <f>IFERROR(100*$E1562/$E$5,NA())</f>
        <v/>
      </c>
      <c r="D1562" s="269">
        <f>IFERROR(100*$J1562/$J$5,NA())</f>
        <v/>
      </c>
      <c r="E1562" s="32">
        <f>IFERROR(IF(AND(ISNUMBER($A1562),N(IF(AND(AH!$U$12=1,1557+1=AH!$U$6),IF(AH!$U$4=0,"unavailable",INDEX('Market Data'!$AN$5:$AN$66,AH!$U$4)),IF(AH!$U$5=1,INDEX('Live History'!$B$5:$B$3004,$K1562),INDEX('AH History'!$D$5:$GG$1380,$K1562,AH!$U$10))))&gt;0),IF(AND(AH!$U$12=1,1557+1=AH!$U$6),IF(AH!$U$4=0,"unavailable",INDEX('Market Data'!$AN$5:$AN$66,AH!$U$4)),IF(AH!$U$5=1,INDEX('Live History'!$B$5:$B$3004,$K1562),INDEX('AH History'!$D$5:$GG$1380,$K1562,AH!$U$10))),NA()),NA())</f>
        <v/>
      </c>
      <c r="F1562" s="32">
        <f>IFERROR(IF(ISNUMBER($A1562),IF(AND(AH!$U$12=1,1557+1=AH!$U$6),IF(AH!$U$4=0,"unavailable",INDEX('Market Data'!$AO$5:$AO$66,AH!$U$4)),IF(AH!$U$5=1,INDEX('Live History'!$E$5:$E$3004,MATCH($A1562,'Live History'!$D$5:$D$3004,1)),INDEX('AH History'!$D$5:$GG$1380,$K1562,AH!$U$10+1))),NA()),NA())</f>
        <v/>
      </c>
      <c r="G1562" s="34">
        <f>IFERROR(IF(ISNUMBER($A1562),IF(AND(AH!$U$12=1,1557+1=AH!$U$6),IF(AH!$U$4=0,"unavailable",INDEX('Market Data'!$AK$5:$AK$66,AH!$U$4)),IF(AH!$U$5=1,INDEX('Live History'!$D$5:$D$3004,MATCH($A1562,'Live History'!$D$5:$D$3004,1)),INDEX('AH History'!$D$5:$GG$1380,$K1562,AH!$U$10+2))),NA()),NA())</f>
        <v/>
      </c>
      <c r="H1562" s="266">
        <f>IFERROR(IF(ISNUMBER($A1562),IF(AND(AH!$U$12=1,1557+1=AH!$U$6),IF(AH!$U$4=0,"unavailable",INDEX('Market Data'!$AP$5:$AP$66,AH!$U$4)),IF(AH!$U$5=1,INDEX('Live History'!$H$5:$H$3004,MATCH($A1562,'Live History'!$G$5:$G$3004,1)),INDEX('AH History'!$B$5:$B$1380,$K1562))),NA()),NA())</f>
        <v/>
      </c>
      <c r="I1562" s="34">
        <f>IFERROR(IF(ISNUMBER($A1562),IF(AND(AH!$U$12=1,1557+1=AH!$U$6),TODAY(),IF(AH!$U$5=1,INDEX('Live History'!$G$5:$G$3004,MATCH($A1562,'Live History'!$G$5:$G$3004,1)),INDEX('AH History'!$C$5:$C$1380,$K1562))),NA()),NA())</f>
        <v/>
      </c>
      <c r="J1562" s="32">
        <f>IFERROR(IF(AND($F1562&gt;0,$H1562&gt;0,$A1562-$G1562&lt;=10,$A1562-$I1562&lt;=5,$G1562&gt;0,$I1562&gt;0),$F1562*$H1562,NA()),NA())</f>
        <v/>
      </c>
      <c r="K1562" s="15">
        <f>IF($A1562="","",IF(AH!$U$5=1,IFERROR(MATCH($A1562,'Live History'!$A$5:$A$3004,0),0),AH!$U$7+1557))</f>
        <v/>
      </c>
      <c r="L1562" s="15">
        <f>IF(ISNUMBER(A1562),TEXT(A1562,"dd-mmm-yy"),"")</f>
        <v/>
      </c>
    </row>
    <row r="1563">
      <c r="A1563" s="14">
        <f>IF(OR(AH!$U$4=0,1558+1&gt;AH!$U$6,AND(AH!$M$5="Bloomberg",AH!$U$5=0)),"",IFERROR(IF(AND(AH!$U$12=1,1558+1=AH!$U$6),TODAY(),IF(AH!$U$5=1,INDEX('Live History'!$A$5:$A$3004,AH!$U$7+1558),INDEX('AH History'!$A$5:$A$1380,AH!$U$7+1558))),""))</f>
        <v/>
      </c>
      <c r="B1563" s="33">
        <f>IFERROR(IF(AH!$U$11=1,NA(),$J1563/$E1563-1),NA())</f>
        <v/>
      </c>
      <c r="C1563" s="269">
        <f>IFERROR(100*$E1563/$E$5,NA())</f>
        <v/>
      </c>
      <c r="D1563" s="269">
        <f>IFERROR(100*$J1563/$J$5,NA())</f>
        <v/>
      </c>
      <c r="E1563" s="32">
        <f>IFERROR(IF(AND(ISNUMBER($A1563),N(IF(AND(AH!$U$12=1,1558+1=AH!$U$6),IF(AH!$U$4=0,"unavailable",INDEX('Market Data'!$AN$5:$AN$66,AH!$U$4)),IF(AH!$U$5=1,INDEX('Live History'!$B$5:$B$3004,$K1563),INDEX('AH History'!$D$5:$GG$1380,$K1563,AH!$U$10))))&gt;0),IF(AND(AH!$U$12=1,1558+1=AH!$U$6),IF(AH!$U$4=0,"unavailable",INDEX('Market Data'!$AN$5:$AN$66,AH!$U$4)),IF(AH!$U$5=1,INDEX('Live History'!$B$5:$B$3004,$K1563),INDEX('AH History'!$D$5:$GG$1380,$K1563,AH!$U$10))),NA()),NA())</f>
        <v/>
      </c>
      <c r="F1563" s="32">
        <f>IFERROR(IF(ISNUMBER($A1563),IF(AND(AH!$U$12=1,1558+1=AH!$U$6),IF(AH!$U$4=0,"unavailable",INDEX('Market Data'!$AO$5:$AO$66,AH!$U$4)),IF(AH!$U$5=1,INDEX('Live History'!$E$5:$E$3004,MATCH($A1563,'Live History'!$D$5:$D$3004,1)),INDEX('AH History'!$D$5:$GG$1380,$K1563,AH!$U$10+1))),NA()),NA())</f>
        <v/>
      </c>
      <c r="G1563" s="34">
        <f>IFERROR(IF(ISNUMBER($A1563),IF(AND(AH!$U$12=1,1558+1=AH!$U$6),IF(AH!$U$4=0,"unavailable",INDEX('Market Data'!$AK$5:$AK$66,AH!$U$4)),IF(AH!$U$5=1,INDEX('Live History'!$D$5:$D$3004,MATCH($A1563,'Live History'!$D$5:$D$3004,1)),INDEX('AH History'!$D$5:$GG$1380,$K1563,AH!$U$10+2))),NA()),NA())</f>
        <v/>
      </c>
      <c r="H1563" s="266">
        <f>IFERROR(IF(ISNUMBER($A1563),IF(AND(AH!$U$12=1,1558+1=AH!$U$6),IF(AH!$U$4=0,"unavailable",INDEX('Market Data'!$AP$5:$AP$66,AH!$U$4)),IF(AH!$U$5=1,INDEX('Live History'!$H$5:$H$3004,MATCH($A1563,'Live History'!$G$5:$G$3004,1)),INDEX('AH History'!$B$5:$B$1380,$K1563))),NA()),NA())</f>
        <v/>
      </c>
      <c r="I1563" s="34">
        <f>IFERROR(IF(ISNUMBER($A1563),IF(AND(AH!$U$12=1,1558+1=AH!$U$6),TODAY(),IF(AH!$U$5=1,INDEX('Live History'!$G$5:$G$3004,MATCH($A1563,'Live History'!$G$5:$G$3004,1)),INDEX('AH History'!$C$5:$C$1380,$K1563))),NA()),NA())</f>
        <v/>
      </c>
      <c r="J1563" s="32">
        <f>IFERROR(IF(AND($F1563&gt;0,$H1563&gt;0,$A1563-$G1563&lt;=10,$A1563-$I1563&lt;=5,$G1563&gt;0,$I1563&gt;0),$F1563*$H1563,NA()),NA())</f>
        <v/>
      </c>
      <c r="K1563" s="15">
        <f>IF($A1563="","",IF(AH!$U$5=1,IFERROR(MATCH($A1563,'Live History'!$A$5:$A$3004,0),0),AH!$U$7+1558))</f>
        <v/>
      </c>
      <c r="L1563" s="15">
        <f>IF(ISNUMBER(A1563),TEXT(A1563,"dd-mmm-yy"),"")</f>
        <v/>
      </c>
    </row>
    <row r="1564">
      <c r="A1564" s="14">
        <f>IF(OR(AH!$U$4=0,1559+1&gt;AH!$U$6,AND(AH!$M$5="Bloomberg",AH!$U$5=0)),"",IFERROR(IF(AND(AH!$U$12=1,1559+1=AH!$U$6),TODAY(),IF(AH!$U$5=1,INDEX('Live History'!$A$5:$A$3004,AH!$U$7+1559),INDEX('AH History'!$A$5:$A$1380,AH!$U$7+1559))),""))</f>
        <v/>
      </c>
      <c r="B1564" s="33">
        <f>IFERROR(IF(AH!$U$11=1,NA(),$J1564/$E1564-1),NA())</f>
        <v/>
      </c>
      <c r="C1564" s="269">
        <f>IFERROR(100*$E1564/$E$5,NA())</f>
        <v/>
      </c>
      <c r="D1564" s="269">
        <f>IFERROR(100*$J1564/$J$5,NA())</f>
        <v/>
      </c>
      <c r="E1564" s="32">
        <f>IFERROR(IF(AND(ISNUMBER($A1564),N(IF(AND(AH!$U$12=1,1559+1=AH!$U$6),IF(AH!$U$4=0,"unavailable",INDEX('Market Data'!$AN$5:$AN$66,AH!$U$4)),IF(AH!$U$5=1,INDEX('Live History'!$B$5:$B$3004,$K1564),INDEX('AH History'!$D$5:$GG$1380,$K1564,AH!$U$10))))&gt;0),IF(AND(AH!$U$12=1,1559+1=AH!$U$6),IF(AH!$U$4=0,"unavailable",INDEX('Market Data'!$AN$5:$AN$66,AH!$U$4)),IF(AH!$U$5=1,INDEX('Live History'!$B$5:$B$3004,$K1564),INDEX('AH History'!$D$5:$GG$1380,$K1564,AH!$U$10))),NA()),NA())</f>
        <v/>
      </c>
      <c r="F1564" s="32">
        <f>IFERROR(IF(ISNUMBER($A1564),IF(AND(AH!$U$12=1,1559+1=AH!$U$6),IF(AH!$U$4=0,"unavailable",INDEX('Market Data'!$AO$5:$AO$66,AH!$U$4)),IF(AH!$U$5=1,INDEX('Live History'!$E$5:$E$3004,MATCH($A1564,'Live History'!$D$5:$D$3004,1)),INDEX('AH History'!$D$5:$GG$1380,$K1564,AH!$U$10+1))),NA()),NA())</f>
        <v/>
      </c>
      <c r="G1564" s="34">
        <f>IFERROR(IF(ISNUMBER($A1564),IF(AND(AH!$U$12=1,1559+1=AH!$U$6),IF(AH!$U$4=0,"unavailable",INDEX('Market Data'!$AK$5:$AK$66,AH!$U$4)),IF(AH!$U$5=1,INDEX('Live History'!$D$5:$D$3004,MATCH($A1564,'Live History'!$D$5:$D$3004,1)),INDEX('AH History'!$D$5:$GG$1380,$K1564,AH!$U$10+2))),NA()),NA())</f>
        <v/>
      </c>
      <c r="H1564" s="266">
        <f>IFERROR(IF(ISNUMBER($A1564),IF(AND(AH!$U$12=1,1559+1=AH!$U$6),IF(AH!$U$4=0,"unavailable",INDEX('Market Data'!$AP$5:$AP$66,AH!$U$4)),IF(AH!$U$5=1,INDEX('Live History'!$H$5:$H$3004,MATCH($A1564,'Live History'!$G$5:$G$3004,1)),INDEX('AH History'!$B$5:$B$1380,$K1564))),NA()),NA())</f>
        <v/>
      </c>
      <c r="I1564" s="34">
        <f>IFERROR(IF(ISNUMBER($A1564),IF(AND(AH!$U$12=1,1559+1=AH!$U$6),TODAY(),IF(AH!$U$5=1,INDEX('Live History'!$G$5:$G$3004,MATCH($A1564,'Live History'!$G$5:$G$3004,1)),INDEX('AH History'!$C$5:$C$1380,$K1564))),NA()),NA())</f>
        <v/>
      </c>
      <c r="J1564" s="32">
        <f>IFERROR(IF(AND($F1564&gt;0,$H1564&gt;0,$A1564-$G1564&lt;=10,$A1564-$I1564&lt;=5,$G1564&gt;0,$I1564&gt;0),$F1564*$H1564,NA()),NA())</f>
        <v/>
      </c>
      <c r="K1564" s="15">
        <f>IF($A1564="","",IF(AH!$U$5=1,IFERROR(MATCH($A1564,'Live History'!$A$5:$A$3004,0),0),AH!$U$7+1559))</f>
        <v/>
      </c>
      <c r="L1564" s="15">
        <f>IF(ISNUMBER(A1564),TEXT(A1564,"dd-mmm-yy"),"")</f>
        <v/>
      </c>
    </row>
    <row r="1565">
      <c r="A1565" s="14">
        <f>IF(OR(AH!$U$4=0,1560+1&gt;AH!$U$6,AND(AH!$M$5="Bloomberg",AH!$U$5=0)),"",IFERROR(IF(AND(AH!$U$12=1,1560+1=AH!$U$6),TODAY(),IF(AH!$U$5=1,INDEX('Live History'!$A$5:$A$3004,AH!$U$7+1560),INDEX('AH History'!$A$5:$A$1380,AH!$U$7+1560))),""))</f>
        <v/>
      </c>
      <c r="B1565" s="33">
        <f>IFERROR(IF(AH!$U$11=1,NA(),$J1565/$E1565-1),NA())</f>
        <v/>
      </c>
      <c r="C1565" s="269">
        <f>IFERROR(100*$E1565/$E$5,NA())</f>
        <v/>
      </c>
      <c r="D1565" s="269">
        <f>IFERROR(100*$J1565/$J$5,NA())</f>
        <v/>
      </c>
      <c r="E1565" s="32">
        <f>IFERROR(IF(AND(ISNUMBER($A1565),N(IF(AND(AH!$U$12=1,1560+1=AH!$U$6),IF(AH!$U$4=0,"unavailable",INDEX('Market Data'!$AN$5:$AN$66,AH!$U$4)),IF(AH!$U$5=1,INDEX('Live History'!$B$5:$B$3004,$K1565),INDEX('AH History'!$D$5:$GG$1380,$K1565,AH!$U$10))))&gt;0),IF(AND(AH!$U$12=1,1560+1=AH!$U$6),IF(AH!$U$4=0,"unavailable",INDEX('Market Data'!$AN$5:$AN$66,AH!$U$4)),IF(AH!$U$5=1,INDEX('Live History'!$B$5:$B$3004,$K1565),INDEX('AH History'!$D$5:$GG$1380,$K1565,AH!$U$10))),NA()),NA())</f>
        <v/>
      </c>
      <c r="F1565" s="32">
        <f>IFERROR(IF(ISNUMBER($A1565),IF(AND(AH!$U$12=1,1560+1=AH!$U$6),IF(AH!$U$4=0,"unavailable",INDEX('Market Data'!$AO$5:$AO$66,AH!$U$4)),IF(AH!$U$5=1,INDEX('Live History'!$E$5:$E$3004,MATCH($A1565,'Live History'!$D$5:$D$3004,1)),INDEX('AH History'!$D$5:$GG$1380,$K1565,AH!$U$10+1))),NA()),NA())</f>
        <v/>
      </c>
      <c r="G1565" s="34">
        <f>IFERROR(IF(ISNUMBER($A1565),IF(AND(AH!$U$12=1,1560+1=AH!$U$6),IF(AH!$U$4=0,"unavailable",INDEX('Market Data'!$AK$5:$AK$66,AH!$U$4)),IF(AH!$U$5=1,INDEX('Live History'!$D$5:$D$3004,MATCH($A1565,'Live History'!$D$5:$D$3004,1)),INDEX('AH History'!$D$5:$GG$1380,$K1565,AH!$U$10+2))),NA()),NA())</f>
        <v/>
      </c>
      <c r="H1565" s="266">
        <f>IFERROR(IF(ISNUMBER($A1565),IF(AND(AH!$U$12=1,1560+1=AH!$U$6),IF(AH!$U$4=0,"unavailable",INDEX('Market Data'!$AP$5:$AP$66,AH!$U$4)),IF(AH!$U$5=1,INDEX('Live History'!$H$5:$H$3004,MATCH($A1565,'Live History'!$G$5:$G$3004,1)),INDEX('AH History'!$B$5:$B$1380,$K1565))),NA()),NA())</f>
        <v/>
      </c>
      <c r="I1565" s="34">
        <f>IFERROR(IF(ISNUMBER($A1565),IF(AND(AH!$U$12=1,1560+1=AH!$U$6),TODAY(),IF(AH!$U$5=1,INDEX('Live History'!$G$5:$G$3004,MATCH($A1565,'Live History'!$G$5:$G$3004,1)),INDEX('AH History'!$C$5:$C$1380,$K1565))),NA()),NA())</f>
        <v/>
      </c>
      <c r="J1565" s="32">
        <f>IFERROR(IF(AND($F1565&gt;0,$H1565&gt;0,$A1565-$G1565&lt;=10,$A1565-$I1565&lt;=5,$G1565&gt;0,$I1565&gt;0),$F1565*$H1565,NA()),NA())</f>
        <v/>
      </c>
      <c r="K1565" s="15">
        <f>IF($A1565="","",IF(AH!$U$5=1,IFERROR(MATCH($A1565,'Live History'!$A$5:$A$3004,0),0),AH!$U$7+1560))</f>
        <v/>
      </c>
      <c r="L1565" s="15">
        <f>IF(ISNUMBER(A1565),TEXT(A1565,"dd-mmm-yy"),"")</f>
        <v/>
      </c>
    </row>
    <row r="1566">
      <c r="A1566" s="14">
        <f>IF(OR(AH!$U$4=0,1561+1&gt;AH!$U$6,AND(AH!$M$5="Bloomberg",AH!$U$5=0)),"",IFERROR(IF(AND(AH!$U$12=1,1561+1=AH!$U$6),TODAY(),IF(AH!$U$5=1,INDEX('Live History'!$A$5:$A$3004,AH!$U$7+1561),INDEX('AH History'!$A$5:$A$1380,AH!$U$7+1561))),""))</f>
        <v/>
      </c>
      <c r="B1566" s="33">
        <f>IFERROR(IF(AH!$U$11=1,NA(),$J1566/$E1566-1),NA())</f>
        <v/>
      </c>
      <c r="C1566" s="269">
        <f>IFERROR(100*$E1566/$E$5,NA())</f>
        <v/>
      </c>
      <c r="D1566" s="269">
        <f>IFERROR(100*$J1566/$J$5,NA())</f>
        <v/>
      </c>
      <c r="E1566" s="32">
        <f>IFERROR(IF(AND(ISNUMBER($A1566),N(IF(AND(AH!$U$12=1,1561+1=AH!$U$6),IF(AH!$U$4=0,"unavailable",INDEX('Market Data'!$AN$5:$AN$66,AH!$U$4)),IF(AH!$U$5=1,INDEX('Live History'!$B$5:$B$3004,$K1566),INDEX('AH History'!$D$5:$GG$1380,$K1566,AH!$U$10))))&gt;0),IF(AND(AH!$U$12=1,1561+1=AH!$U$6),IF(AH!$U$4=0,"unavailable",INDEX('Market Data'!$AN$5:$AN$66,AH!$U$4)),IF(AH!$U$5=1,INDEX('Live History'!$B$5:$B$3004,$K1566),INDEX('AH History'!$D$5:$GG$1380,$K1566,AH!$U$10))),NA()),NA())</f>
        <v/>
      </c>
      <c r="F1566" s="32">
        <f>IFERROR(IF(ISNUMBER($A1566),IF(AND(AH!$U$12=1,1561+1=AH!$U$6),IF(AH!$U$4=0,"unavailable",INDEX('Market Data'!$AO$5:$AO$66,AH!$U$4)),IF(AH!$U$5=1,INDEX('Live History'!$E$5:$E$3004,MATCH($A1566,'Live History'!$D$5:$D$3004,1)),INDEX('AH History'!$D$5:$GG$1380,$K1566,AH!$U$10+1))),NA()),NA())</f>
        <v/>
      </c>
      <c r="G1566" s="34">
        <f>IFERROR(IF(ISNUMBER($A1566),IF(AND(AH!$U$12=1,1561+1=AH!$U$6),IF(AH!$U$4=0,"unavailable",INDEX('Market Data'!$AK$5:$AK$66,AH!$U$4)),IF(AH!$U$5=1,INDEX('Live History'!$D$5:$D$3004,MATCH($A1566,'Live History'!$D$5:$D$3004,1)),INDEX('AH History'!$D$5:$GG$1380,$K1566,AH!$U$10+2))),NA()),NA())</f>
        <v/>
      </c>
      <c r="H1566" s="266">
        <f>IFERROR(IF(ISNUMBER($A1566),IF(AND(AH!$U$12=1,1561+1=AH!$U$6),IF(AH!$U$4=0,"unavailable",INDEX('Market Data'!$AP$5:$AP$66,AH!$U$4)),IF(AH!$U$5=1,INDEX('Live History'!$H$5:$H$3004,MATCH($A1566,'Live History'!$G$5:$G$3004,1)),INDEX('AH History'!$B$5:$B$1380,$K1566))),NA()),NA())</f>
        <v/>
      </c>
      <c r="I1566" s="34">
        <f>IFERROR(IF(ISNUMBER($A1566),IF(AND(AH!$U$12=1,1561+1=AH!$U$6),TODAY(),IF(AH!$U$5=1,INDEX('Live History'!$G$5:$G$3004,MATCH($A1566,'Live History'!$G$5:$G$3004,1)),INDEX('AH History'!$C$5:$C$1380,$K1566))),NA()),NA())</f>
        <v/>
      </c>
      <c r="J1566" s="32">
        <f>IFERROR(IF(AND($F1566&gt;0,$H1566&gt;0,$A1566-$G1566&lt;=10,$A1566-$I1566&lt;=5,$G1566&gt;0,$I1566&gt;0),$F1566*$H1566,NA()),NA())</f>
        <v/>
      </c>
      <c r="K1566" s="15">
        <f>IF($A1566="","",IF(AH!$U$5=1,IFERROR(MATCH($A1566,'Live History'!$A$5:$A$3004,0),0),AH!$U$7+1561))</f>
        <v/>
      </c>
      <c r="L1566" s="15">
        <f>IF(ISNUMBER(A1566),TEXT(A1566,"dd-mmm-yy"),"")</f>
        <v/>
      </c>
    </row>
    <row r="1567">
      <c r="A1567" s="14">
        <f>IF(OR(AH!$U$4=0,1562+1&gt;AH!$U$6,AND(AH!$M$5="Bloomberg",AH!$U$5=0)),"",IFERROR(IF(AND(AH!$U$12=1,1562+1=AH!$U$6),TODAY(),IF(AH!$U$5=1,INDEX('Live History'!$A$5:$A$3004,AH!$U$7+1562),INDEX('AH History'!$A$5:$A$1380,AH!$U$7+1562))),""))</f>
        <v/>
      </c>
      <c r="B1567" s="33">
        <f>IFERROR(IF(AH!$U$11=1,NA(),$J1567/$E1567-1),NA())</f>
        <v/>
      </c>
      <c r="C1567" s="269">
        <f>IFERROR(100*$E1567/$E$5,NA())</f>
        <v/>
      </c>
      <c r="D1567" s="269">
        <f>IFERROR(100*$J1567/$J$5,NA())</f>
        <v/>
      </c>
      <c r="E1567" s="32">
        <f>IFERROR(IF(AND(ISNUMBER($A1567),N(IF(AND(AH!$U$12=1,1562+1=AH!$U$6),IF(AH!$U$4=0,"unavailable",INDEX('Market Data'!$AN$5:$AN$66,AH!$U$4)),IF(AH!$U$5=1,INDEX('Live History'!$B$5:$B$3004,$K1567),INDEX('AH History'!$D$5:$GG$1380,$K1567,AH!$U$10))))&gt;0),IF(AND(AH!$U$12=1,1562+1=AH!$U$6),IF(AH!$U$4=0,"unavailable",INDEX('Market Data'!$AN$5:$AN$66,AH!$U$4)),IF(AH!$U$5=1,INDEX('Live History'!$B$5:$B$3004,$K1567),INDEX('AH History'!$D$5:$GG$1380,$K1567,AH!$U$10))),NA()),NA())</f>
        <v/>
      </c>
      <c r="F1567" s="32">
        <f>IFERROR(IF(ISNUMBER($A1567),IF(AND(AH!$U$12=1,1562+1=AH!$U$6),IF(AH!$U$4=0,"unavailable",INDEX('Market Data'!$AO$5:$AO$66,AH!$U$4)),IF(AH!$U$5=1,INDEX('Live History'!$E$5:$E$3004,MATCH($A1567,'Live History'!$D$5:$D$3004,1)),INDEX('AH History'!$D$5:$GG$1380,$K1567,AH!$U$10+1))),NA()),NA())</f>
        <v/>
      </c>
      <c r="G1567" s="34">
        <f>IFERROR(IF(ISNUMBER($A1567),IF(AND(AH!$U$12=1,1562+1=AH!$U$6),IF(AH!$U$4=0,"unavailable",INDEX('Market Data'!$AK$5:$AK$66,AH!$U$4)),IF(AH!$U$5=1,INDEX('Live History'!$D$5:$D$3004,MATCH($A1567,'Live History'!$D$5:$D$3004,1)),INDEX('AH History'!$D$5:$GG$1380,$K1567,AH!$U$10+2))),NA()),NA())</f>
        <v/>
      </c>
      <c r="H1567" s="266">
        <f>IFERROR(IF(ISNUMBER($A1567),IF(AND(AH!$U$12=1,1562+1=AH!$U$6),IF(AH!$U$4=0,"unavailable",INDEX('Market Data'!$AP$5:$AP$66,AH!$U$4)),IF(AH!$U$5=1,INDEX('Live History'!$H$5:$H$3004,MATCH($A1567,'Live History'!$G$5:$G$3004,1)),INDEX('AH History'!$B$5:$B$1380,$K1567))),NA()),NA())</f>
        <v/>
      </c>
      <c r="I1567" s="34">
        <f>IFERROR(IF(ISNUMBER($A1567),IF(AND(AH!$U$12=1,1562+1=AH!$U$6),TODAY(),IF(AH!$U$5=1,INDEX('Live History'!$G$5:$G$3004,MATCH($A1567,'Live History'!$G$5:$G$3004,1)),INDEX('AH History'!$C$5:$C$1380,$K1567))),NA()),NA())</f>
        <v/>
      </c>
      <c r="J1567" s="32">
        <f>IFERROR(IF(AND($F1567&gt;0,$H1567&gt;0,$A1567-$G1567&lt;=10,$A1567-$I1567&lt;=5,$G1567&gt;0,$I1567&gt;0),$F1567*$H1567,NA()),NA())</f>
        <v/>
      </c>
      <c r="K1567" s="15">
        <f>IF($A1567="","",IF(AH!$U$5=1,IFERROR(MATCH($A1567,'Live History'!$A$5:$A$3004,0),0),AH!$U$7+1562))</f>
        <v/>
      </c>
      <c r="L1567" s="15">
        <f>IF(ISNUMBER(A1567),TEXT(A1567,"dd-mmm-yy"),"")</f>
        <v/>
      </c>
    </row>
    <row r="1568">
      <c r="A1568" s="14">
        <f>IF(OR(AH!$U$4=0,1563+1&gt;AH!$U$6,AND(AH!$M$5="Bloomberg",AH!$U$5=0)),"",IFERROR(IF(AND(AH!$U$12=1,1563+1=AH!$U$6),TODAY(),IF(AH!$U$5=1,INDEX('Live History'!$A$5:$A$3004,AH!$U$7+1563),INDEX('AH History'!$A$5:$A$1380,AH!$U$7+1563))),""))</f>
        <v/>
      </c>
      <c r="B1568" s="33">
        <f>IFERROR(IF(AH!$U$11=1,NA(),$J1568/$E1568-1),NA())</f>
        <v/>
      </c>
      <c r="C1568" s="269">
        <f>IFERROR(100*$E1568/$E$5,NA())</f>
        <v/>
      </c>
      <c r="D1568" s="269">
        <f>IFERROR(100*$J1568/$J$5,NA())</f>
        <v/>
      </c>
      <c r="E1568" s="32">
        <f>IFERROR(IF(AND(ISNUMBER($A1568),N(IF(AND(AH!$U$12=1,1563+1=AH!$U$6),IF(AH!$U$4=0,"unavailable",INDEX('Market Data'!$AN$5:$AN$66,AH!$U$4)),IF(AH!$U$5=1,INDEX('Live History'!$B$5:$B$3004,$K1568),INDEX('AH History'!$D$5:$GG$1380,$K1568,AH!$U$10))))&gt;0),IF(AND(AH!$U$12=1,1563+1=AH!$U$6),IF(AH!$U$4=0,"unavailable",INDEX('Market Data'!$AN$5:$AN$66,AH!$U$4)),IF(AH!$U$5=1,INDEX('Live History'!$B$5:$B$3004,$K1568),INDEX('AH History'!$D$5:$GG$1380,$K1568,AH!$U$10))),NA()),NA())</f>
        <v/>
      </c>
      <c r="F1568" s="32">
        <f>IFERROR(IF(ISNUMBER($A1568),IF(AND(AH!$U$12=1,1563+1=AH!$U$6),IF(AH!$U$4=0,"unavailable",INDEX('Market Data'!$AO$5:$AO$66,AH!$U$4)),IF(AH!$U$5=1,INDEX('Live History'!$E$5:$E$3004,MATCH($A1568,'Live History'!$D$5:$D$3004,1)),INDEX('AH History'!$D$5:$GG$1380,$K1568,AH!$U$10+1))),NA()),NA())</f>
        <v/>
      </c>
      <c r="G1568" s="34">
        <f>IFERROR(IF(ISNUMBER($A1568),IF(AND(AH!$U$12=1,1563+1=AH!$U$6),IF(AH!$U$4=0,"unavailable",INDEX('Market Data'!$AK$5:$AK$66,AH!$U$4)),IF(AH!$U$5=1,INDEX('Live History'!$D$5:$D$3004,MATCH($A1568,'Live History'!$D$5:$D$3004,1)),INDEX('AH History'!$D$5:$GG$1380,$K1568,AH!$U$10+2))),NA()),NA())</f>
        <v/>
      </c>
      <c r="H1568" s="266">
        <f>IFERROR(IF(ISNUMBER($A1568),IF(AND(AH!$U$12=1,1563+1=AH!$U$6),IF(AH!$U$4=0,"unavailable",INDEX('Market Data'!$AP$5:$AP$66,AH!$U$4)),IF(AH!$U$5=1,INDEX('Live History'!$H$5:$H$3004,MATCH($A1568,'Live History'!$G$5:$G$3004,1)),INDEX('AH History'!$B$5:$B$1380,$K1568))),NA()),NA())</f>
        <v/>
      </c>
      <c r="I1568" s="34">
        <f>IFERROR(IF(ISNUMBER($A1568),IF(AND(AH!$U$12=1,1563+1=AH!$U$6),TODAY(),IF(AH!$U$5=1,INDEX('Live History'!$G$5:$G$3004,MATCH($A1568,'Live History'!$G$5:$G$3004,1)),INDEX('AH History'!$C$5:$C$1380,$K1568))),NA()),NA())</f>
        <v/>
      </c>
      <c r="J1568" s="32">
        <f>IFERROR(IF(AND($F1568&gt;0,$H1568&gt;0,$A1568-$G1568&lt;=10,$A1568-$I1568&lt;=5,$G1568&gt;0,$I1568&gt;0),$F1568*$H1568,NA()),NA())</f>
        <v/>
      </c>
      <c r="K1568" s="15">
        <f>IF($A1568="","",IF(AH!$U$5=1,IFERROR(MATCH($A1568,'Live History'!$A$5:$A$3004,0),0),AH!$U$7+1563))</f>
        <v/>
      </c>
      <c r="L1568" s="15">
        <f>IF(ISNUMBER(A1568),TEXT(A1568,"dd-mmm-yy"),"")</f>
        <v/>
      </c>
    </row>
    <row r="1569">
      <c r="A1569" s="14">
        <f>IF(OR(AH!$U$4=0,1564+1&gt;AH!$U$6,AND(AH!$M$5="Bloomberg",AH!$U$5=0)),"",IFERROR(IF(AND(AH!$U$12=1,1564+1=AH!$U$6),TODAY(),IF(AH!$U$5=1,INDEX('Live History'!$A$5:$A$3004,AH!$U$7+1564),INDEX('AH History'!$A$5:$A$1380,AH!$U$7+1564))),""))</f>
        <v/>
      </c>
      <c r="B1569" s="33">
        <f>IFERROR(IF(AH!$U$11=1,NA(),$J1569/$E1569-1),NA())</f>
        <v/>
      </c>
      <c r="C1569" s="269">
        <f>IFERROR(100*$E1569/$E$5,NA())</f>
        <v/>
      </c>
      <c r="D1569" s="269">
        <f>IFERROR(100*$J1569/$J$5,NA())</f>
        <v/>
      </c>
      <c r="E1569" s="32">
        <f>IFERROR(IF(AND(ISNUMBER($A1569),N(IF(AND(AH!$U$12=1,1564+1=AH!$U$6),IF(AH!$U$4=0,"unavailable",INDEX('Market Data'!$AN$5:$AN$66,AH!$U$4)),IF(AH!$U$5=1,INDEX('Live History'!$B$5:$B$3004,$K1569),INDEX('AH History'!$D$5:$GG$1380,$K1569,AH!$U$10))))&gt;0),IF(AND(AH!$U$12=1,1564+1=AH!$U$6),IF(AH!$U$4=0,"unavailable",INDEX('Market Data'!$AN$5:$AN$66,AH!$U$4)),IF(AH!$U$5=1,INDEX('Live History'!$B$5:$B$3004,$K1569),INDEX('AH History'!$D$5:$GG$1380,$K1569,AH!$U$10))),NA()),NA())</f>
        <v/>
      </c>
      <c r="F1569" s="32">
        <f>IFERROR(IF(ISNUMBER($A1569),IF(AND(AH!$U$12=1,1564+1=AH!$U$6),IF(AH!$U$4=0,"unavailable",INDEX('Market Data'!$AO$5:$AO$66,AH!$U$4)),IF(AH!$U$5=1,INDEX('Live History'!$E$5:$E$3004,MATCH($A1569,'Live History'!$D$5:$D$3004,1)),INDEX('AH History'!$D$5:$GG$1380,$K1569,AH!$U$10+1))),NA()),NA())</f>
        <v/>
      </c>
      <c r="G1569" s="34">
        <f>IFERROR(IF(ISNUMBER($A1569),IF(AND(AH!$U$12=1,1564+1=AH!$U$6),IF(AH!$U$4=0,"unavailable",INDEX('Market Data'!$AK$5:$AK$66,AH!$U$4)),IF(AH!$U$5=1,INDEX('Live History'!$D$5:$D$3004,MATCH($A1569,'Live History'!$D$5:$D$3004,1)),INDEX('AH History'!$D$5:$GG$1380,$K1569,AH!$U$10+2))),NA()),NA())</f>
        <v/>
      </c>
      <c r="H1569" s="266">
        <f>IFERROR(IF(ISNUMBER($A1569),IF(AND(AH!$U$12=1,1564+1=AH!$U$6),IF(AH!$U$4=0,"unavailable",INDEX('Market Data'!$AP$5:$AP$66,AH!$U$4)),IF(AH!$U$5=1,INDEX('Live History'!$H$5:$H$3004,MATCH($A1569,'Live History'!$G$5:$G$3004,1)),INDEX('AH History'!$B$5:$B$1380,$K1569))),NA()),NA())</f>
        <v/>
      </c>
      <c r="I1569" s="34">
        <f>IFERROR(IF(ISNUMBER($A1569),IF(AND(AH!$U$12=1,1564+1=AH!$U$6),TODAY(),IF(AH!$U$5=1,INDEX('Live History'!$G$5:$G$3004,MATCH($A1569,'Live History'!$G$5:$G$3004,1)),INDEX('AH History'!$C$5:$C$1380,$K1569))),NA()),NA())</f>
        <v/>
      </c>
      <c r="J1569" s="32">
        <f>IFERROR(IF(AND($F1569&gt;0,$H1569&gt;0,$A1569-$G1569&lt;=10,$A1569-$I1569&lt;=5,$G1569&gt;0,$I1569&gt;0),$F1569*$H1569,NA()),NA())</f>
        <v/>
      </c>
      <c r="K1569" s="15">
        <f>IF($A1569="","",IF(AH!$U$5=1,IFERROR(MATCH($A1569,'Live History'!$A$5:$A$3004,0),0),AH!$U$7+1564))</f>
        <v/>
      </c>
      <c r="L1569" s="15">
        <f>IF(ISNUMBER(A1569),TEXT(A1569,"dd-mmm-yy"),"")</f>
        <v/>
      </c>
    </row>
    <row r="1570">
      <c r="A1570" s="14">
        <f>IF(OR(AH!$U$4=0,1565+1&gt;AH!$U$6,AND(AH!$M$5="Bloomberg",AH!$U$5=0)),"",IFERROR(IF(AND(AH!$U$12=1,1565+1=AH!$U$6),TODAY(),IF(AH!$U$5=1,INDEX('Live History'!$A$5:$A$3004,AH!$U$7+1565),INDEX('AH History'!$A$5:$A$1380,AH!$U$7+1565))),""))</f>
        <v/>
      </c>
      <c r="B1570" s="33">
        <f>IFERROR(IF(AH!$U$11=1,NA(),$J1570/$E1570-1),NA())</f>
        <v/>
      </c>
      <c r="C1570" s="269">
        <f>IFERROR(100*$E1570/$E$5,NA())</f>
        <v/>
      </c>
      <c r="D1570" s="269">
        <f>IFERROR(100*$J1570/$J$5,NA())</f>
        <v/>
      </c>
      <c r="E1570" s="32">
        <f>IFERROR(IF(AND(ISNUMBER($A1570),N(IF(AND(AH!$U$12=1,1565+1=AH!$U$6),IF(AH!$U$4=0,"unavailable",INDEX('Market Data'!$AN$5:$AN$66,AH!$U$4)),IF(AH!$U$5=1,INDEX('Live History'!$B$5:$B$3004,$K1570),INDEX('AH History'!$D$5:$GG$1380,$K1570,AH!$U$10))))&gt;0),IF(AND(AH!$U$12=1,1565+1=AH!$U$6),IF(AH!$U$4=0,"unavailable",INDEX('Market Data'!$AN$5:$AN$66,AH!$U$4)),IF(AH!$U$5=1,INDEX('Live History'!$B$5:$B$3004,$K1570),INDEX('AH History'!$D$5:$GG$1380,$K1570,AH!$U$10))),NA()),NA())</f>
        <v/>
      </c>
      <c r="F1570" s="32">
        <f>IFERROR(IF(ISNUMBER($A1570),IF(AND(AH!$U$12=1,1565+1=AH!$U$6),IF(AH!$U$4=0,"unavailable",INDEX('Market Data'!$AO$5:$AO$66,AH!$U$4)),IF(AH!$U$5=1,INDEX('Live History'!$E$5:$E$3004,MATCH($A1570,'Live History'!$D$5:$D$3004,1)),INDEX('AH History'!$D$5:$GG$1380,$K1570,AH!$U$10+1))),NA()),NA())</f>
        <v/>
      </c>
      <c r="G1570" s="34">
        <f>IFERROR(IF(ISNUMBER($A1570),IF(AND(AH!$U$12=1,1565+1=AH!$U$6),IF(AH!$U$4=0,"unavailable",INDEX('Market Data'!$AK$5:$AK$66,AH!$U$4)),IF(AH!$U$5=1,INDEX('Live History'!$D$5:$D$3004,MATCH($A1570,'Live History'!$D$5:$D$3004,1)),INDEX('AH History'!$D$5:$GG$1380,$K1570,AH!$U$10+2))),NA()),NA())</f>
        <v/>
      </c>
      <c r="H1570" s="266">
        <f>IFERROR(IF(ISNUMBER($A1570),IF(AND(AH!$U$12=1,1565+1=AH!$U$6),IF(AH!$U$4=0,"unavailable",INDEX('Market Data'!$AP$5:$AP$66,AH!$U$4)),IF(AH!$U$5=1,INDEX('Live History'!$H$5:$H$3004,MATCH($A1570,'Live History'!$G$5:$G$3004,1)),INDEX('AH History'!$B$5:$B$1380,$K1570))),NA()),NA())</f>
        <v/>
      </c>
      <c r="I1570" s="34">
        <f>IFERROR(IF(ISNUMBER($A1570),IF(AND(AH!$U$12=1,1565+1=AH!$U$6),TODAY(),IF(AH!$U$5=1,INDEX('Live History'!$G$5:$G$3004,MATCH($A1570,'Live History'!$G$5:$G$3004,1)),INDEX('AH History'!$C$5:$C$1380,$K1570))),NA()),NA())</f>
        <v/>
      </c>
      <c r="J1570" s="32">
        <f>IFERROR(IF(AND($F1570&gt;0,$H1570&gt;0,$A1570-$G1570&lt;=10,$A1570-$I1570&lt;=5,$G1570&gt;0,$I1570&gt;0),$F1570*$H1570,NA()),NA())</f>
        <v/>
      </c>
      <c r="K1570" s="15">
        <f>IF($A1570="","",IF(AH!$U$5=1,IFERROR(MATCH($A1570,'Live History'!$A$5:$A$3004,0),0),AH!$U$7+1565))</f>
        <v/>
      </c>
      <c r="L1570" s="15">
        <f>IF(ISNUMBER(A1570),TEXT(A1570,"dd-mmm-yy"),"")</f>
        <v/>
      </c>
    </row>
    <row r="1571">
      <c r="A1571" s="14">
        <f>IF(OR(AH!$U$4=0,1566+1&gt;AH!$U$6,AND(AH!$M$5="Bloomberg",AH!$U$5=0)),"",IFERROR(IF(AND(AH!$U$12=1,1566+1=AH!$U$6),TODAY(),IF(AH!$U$5=1,INDEX('Live History'!$A$5:$A$3004,AH!$U$7+1566),INDEX('AH History'!$A$5:$A$1380,AH!$U$7+1566))),""))</f>
        <v/>
      </c>
      <c r="B1571" s="33">
        <f>IFERROR(IF(AH!$U$11=1,NA(),$J1571/$E1571-1),NA())</f>
        <v/>
      </c>
      <c r="C1571" s="269">
        <f>IFERROR(100*$E1571/$E$5,NA())</f>
        <v/>
      </c>
      <c r="D1571" s="269">
        <f>IFERROR(100*$J1571/$J$5,NA())</f>
        <v/>
      </c>
      <c r="E1571" s="32">
        <f>IFERROR(IF(AND(ISNUMBER($A1571),N(IF(AND(AH!$U$12=1,1566+1=AH!$U$6),IF(AH!$U$4=0,"unavailable",INDEX('Market Data'!$AN$5:$AN$66,AH!$U$4)),IF(AH!$U$5=1,INDEX('Live History'!$B$5:$B$3004,$K1571),INDEX('AH History'!$D$5:$GG$1380,$K1571,AH!$U$10))))&gt;0),IF(AND(AH!$U$12=1,1566+1=AH!$U$6),IF(AH!$U$4=0,"unavailable",INDEX('Market Data'!$AN$5:$AN$66,AH!$U$4)),IF(AH!$U$5=1,INDEX('Live History'!$B$5:$B$3004,$K1571),INDEX('AH History'!$D$5:$GG$1380,$K1571,AH!$U$10))),NA()),NA())</f>
        <v/>
      </c>
      <c r="F1571" s="32">
        <f>IFERROR(IF(ISNUMBER($A1571),IF(AND(AH!$U$12=1,1566+1=AH!$U$6),IF(AH!$U$4=0,"unavailable",INDEX('Market Data'!$AO$5:$AO$66,AH!$U$4)),IF(AH!$U$5=1,INDEX('Live History'!$E$5:$E$3004,MATCH($A1571,'Live History'!$D$5:$D$3004,1)),INDEX('AH History'!$D$5:$GG$1380,$K1571,AH!$U$10+1))),NA()),NA())</f>
        <v/>
      </c>
      <c r="G1571" s="34">
        <f>IFERROR(IF(ISNUMBER($A1571),IF(AND(AH!$U$12=1,1566+1=AH!$U$6),IF(AH!$U$4=0,"unavailable",INDEX('Market Data'!$AK$5:$AK$66,AH!$U$4)),IF(AH!$U$5=1,INDEX('Live History'!$D$5:$D$3004,MATCH($A1571,'Live History'!$D$5:$D$3004,1)),INDEX('AH History'!$D$5:$GG$1380,$K1571,AH!$U$10+2))),NA()),NA())</f>
        <v/>
      </c>
      <c r="H1571" s="266">
        <f>IFERROR(IF(ISNUMBER($A1571),IF(AND(AH!$U$12=1,1566+1=AH!$U$6),IF(AH!$U$4=0,"unavailable",INDEX('Market Data'!$AP$5:$AP$66,AH!$U$4)),IF(AH!$U$5=1,INDEX('Live History'!$H$5:$H$3004,MATCH($A1571,'Live History'!$G$5:$G$3004,1)),INDEX('AH History'!$B$5:$B$1380,$K1571))),NA()),NA())</f>
        <v/>
      </c>
      <c r="I1571" s="34">
        <f>IFERROR(IF(ISNUMBER($A1571),IF(AND(AH!$U$12=1,1566+1=AH!$U$6),TODAY(),IF(AH!$U$5=1,INDEX('Live History'!$G$5:$G$3004,MATCH($A1571,'Live History'!$G$5:$G$3004,1)),INDEX('AH History'!$C$5:$C$1380,$K1571))),NA()),NA())</f>
        <v/>
      </c>
      <c r="J1571" s="32">
        <f>IFERROR(IF(AND($F1571&gt;0,$H1571&gt;0,$A1571-$G1571&lt;=10,$A1571-$I1571&lt;=5,$G1571&gt;0,$I1571&gt;0),$F1571*$H1571,NA()),NA())</f>
        <v/>
      </c>
      <c r="K1571" s="15">
        <f>IF($A1571="","",IF(AH!$U$5=1,IFERROR(MATCH($A1571,'Live History'!$A$5:$A$3004,0),0),AH!$U$7+1566))</f>
        <v/>
      </c>
      <c r="L1571" s="15">
        <f>IF(ISNUMBER(A1571),TEXT(A1571,"dd-mmm-yy"),"")</f>
        <v/>
      </c>
    </row>
    <row r="1572">
      <c r="A1572" s="14">
        <f>IF(OR(AH!$U$4=0,1567+1&gt;AH!$U$6,AND(AH!$M$5="Bloomberg",AH!$U$5=0)),"",IFERROR(IF(AND(AH!$U$12=1,1567+1=AH!$U$6),TODAY(),IF(AH!$U$5=1,INDEX('Live History'!$A$5:$A$3004,AH!$U$7+1567),INDEX('AH History'!$A$5:$A$1380,AH!$U$7+1567))),""))</f>
        <v/>
      </c>
      <c r="B1572" s="33">
        <f>IFERROR(IF(AH!$U$11=1,NA(),$J1572/$E1572-1),NA())</f>
        <v/>
      </c>
      <c r="C1572" s="269">
        <f>IFERROR(100*$E1572/$E$5,NA())</f>
        <v/>
      </c>
      <c r="D1572" s="269">
        <f>IFERROR(100*$J1572/$J$5,NA())</f>
        <v/>
      </c>
      <c r="E1572" s="32">
        <f>IFERROR(IF(AND(ISNUMBER($A1572),N(IF(AND(AH!$U$12=1,1567+1=AH!$U$6),IF(AH!$U$4=0,"unavailable",INDEX('Market Data'!$AN$5:$AN$66,AH!$U$4)),IF(AH!$U$5=1,INDEX('Live History'!$B$5:$B$3004,$K1572),INDEX('AH History'!$D$5:$GG$1380,$K1572,AH!$U$10))))&gt;0),IF(AND(AH!$U$12=1,1567+1=AH!$U$6),IF(AH!$U$4=0,"unavailable",INDEX('Market Data'!$AN$5:$AN$66,AH!$U$4)),IF(AH!$U$5=1,INDEX('Live History'!$B$5:$B$3004,$K1572),INDEX('AH History'!$D$5:$GG$1380,$K1572,AH!$U$10))),NA()),NA())</f>
        <v/>
      </c>
      <c r="F1572" s="32">
        <f>IFERROR(IF(ISNUMBER($A1572),IF(AND(AH!$U$12=1,1567+1=AH!$U$6),IF(AH!$U$4=0,"unavailable",INDEX('Market Data'!$AO$5:$AO$66,AH!$U$4)),IF(AH!$U$5=1,INDEX('Live History'!$E$5:$E$3004,MATCH($A1572,'Live History'!$D$5:$D$3004,1)),INDEX('AH History'!$D$5:$GG$1380,$K1572,AH!$U$10+1))),NA()),NA())</f>
        <v/>
      </c>
      <c r="G1572" s="34">
        <f>IFERROR(IF(ISNUMBER($A1572),IF(AND(AH!$U$12=1,1567+1=AH!$U$6),IF(AH!$U$4=0,"unavailable",INDEX('Market Data'!$AK$5:$AK$66,AH!$U$4)),IF(AH!$U$5=1,INDEX('Live History'!$D$5:$D$3004,MATCH($A1572,'Live History'!$D$5:$D$3004,1)),INDEX('AH History'!$D$5:$GG$1380,$K1572,AH!$U$10+2))),NA()),NA())</f>
        <v/>
      </c>
      <c r="H1572" s="266">
        <f>IFERROR(IF(ISNUMBER($A1572),IF(AND(AH!$U$12=1,1567+1=AH!$U$6),IF(AH!$U$4=0,"unavailable",INDEX('Market Data'!$AP$5:$AP$66,AH!$U$4)),IF(AH!$U$5=1,INDEX('Live History'!$H$5:$H$3004,MATCH($A1572,'Live History'!$G$5:$G$3004,1)),INDEX('AH History'!$B$5:$B$1380,$K1572))),NA()),NA())</f>
        <v/>
      </c>
      <c r="I1572" s="34">
        <f>IFERROR(IF(ISNUMBER($A1572),IF(AND(AH!$U$12=1,1567+1=AH!$U$6),TODAY(),IF(AH!$U$5=1,INDEX('Live History'!$G$5:$G$3004,MATCH($A1572,'Live History'!$G$5:$G$3004,1)),INDEX('AH History'!$C$5:$C$1380,$K1572))),NA()),NA())</f>
        <v/>
      </c>
      <c r="J1572" s="32">
        <f>IFERROR(IF(AND($F1572&gt;0,$H1572&gt;0,$A1572-$G1572&lt;=10,$A1572-$I1572&lt;=5,$G1572&gt;0,$I1572&gt;0),$F1572*$H1572,NA()),NA())</f>
        <v/>
      </c>
      <c r="K1572" s="15">
        <f>IF($A1572="","",IF(AH!$U$5=1,IFERROR(MATCH($A1572,'Live History'!$A$5:$A$3004,0),0),AH!$U$7+1567))</f>
        <v/>
      </c>
      <c r="L1572" s="15">
        <f>IF(ISNUMBER(A1572),TEXT(A1572,"dd-mmm-yy"),"")</f>
        <v/>
      </c>
    </row>
    <row r="1573">
      <c r="A1573" s="14">
        <f>IF(OR(AH!$U$4=0,1568+1&gt;AH!$U$6,AND(AH!$M$5="Bloomberg",AH!$U$5=0)),"",IFERROR(IF(AND(AH!$U$12=1,1568+1=AH!$U$6),TODAY(),IF(AH!$U$5=1,INDEX('Live History'!$A$5:$A$3004,AH!$U$7+1568),INDEX('AH History'!$A$5:$A$1380,AH!$U$7+1568))),""))</f>
        <v/>
      </c>
      <c r="B1573" s="33">
        <f>IFERROR(IF(AH!$U$11=1,NA(),$J1573/$E1573-1),NA())</f>
        <v/>
      </c>
      <c r="C1573" s="269">
        <f>IFERROR(100*$E1573/$E$5,NA())</f>
        <v/>
      </c>
      <c r="D1573" s="269">
        <f>IFERROR(100*$J1573/$J$5,NA())</f>
        <v/>
      </c>
      <c r="E1573" s="32">
        <f>IFERROR(IF(AND(ISNUMBER($A1573),N(IF(AND(AH!$U$12=1,1568+1=AH!$U$6),IF(AH!$U$4=0,"unavailable",INDEX('Market Data'!$AN$5:$AN$66,AH!$U$4)),IF(AH!$U$5=1,INDEX('Live History'!$B$5:$B$3004,$K1573),INDEX('AH History'!$D$5:$GG$1380,$K1573,AH!$U$10))))&gt;0),IF(AND(AH!$U$12=1,1568+1=AH!$U$6),IF(AH!$U$4=0,"unavailable",INDEX('Market Data'!$AN$5:$AN$66,AH!$U$4)),IF(AH!$U$5=1,INDEX('Live History'!$B$5:$B$3004,$K1573),INDEX('AH History'!$D$5:$GG$1380,$K1573,AH!$U$10))),NA()),NA())</f>
        <v/>
      </c>
      <c r="F1573" s="32">
        <f>IFERROR(IF(ISNUMBER($A1573),IF(AND(AH!$U$12=1,1568+1=AH!$U$6),IF(AH!$U$4=0,"unavailable",INDEX('Market Data'!$AO$5:$AO$66,AH!$U$4)),IF(AH!$U$5=1,INDEX('Live History'!$E$5:$E$3004,MATCH($A1573,'Live History'!$D$5:$D$3004,1)),INDEX('AH History'!$D$5:$GG$1380,$K1573,AH!$U$10+1))),NA()),NA())</f>
        <v/>
      </c>
      <c r="G1573" s="34">
        <f>IFERROR(IF(ISNUMBER($A1573),IF(AND(AH!$U$12=1,1568+1=AH!$U$6),IF(AH!$U$4=0,"unavailable",INDEX('Market Data'!$AK$5:$AK$66,AH!$U$4)),IF(AH!$U$5=1,INDEX('Live History'!$D$5:$D$3004,MATCH($A1573,'Live History'!$D$5:$D$3004,1)),INDEX('AH History'!$D$5:$GG$1380,$K1573,AH!$U$10+2))),NA()),NA())</f>
        <v/>
      </c>
      <c r="H1573" s="266">
        <f>IFERROR(IF(ISNUMBER($A1573),IF(AND(AH!$U$12=1,1568+1=AH!$U$6),IF(AH!$U$4=0,"unavailable",INDEX('Market Data'!$AP$5:$AP$66,AH!$U$4)),IF(AH!$U$5=1,INDEX('Live History'!$H$5:$H$3004,MATCH($A1573,'Live History'!$G$5:$G$3004,1)),INDEX('AH History'!$B$5:$B$1380,$K1573))),NA()),NA())</f>
        <v/>
      </c>
      <c r="I1573" s="34">
        <f>IFERROR(IF(ISNUMBER($A1573),IF(AND(AH!$U$12=1,1568+1=AH!$U$6),TODAY(),IF(AH!$U$5=1,INDEX('Live History'!$G$5:$G$3004,MATCH($A1573,'Live History'!$G$5:$G$3004,1)),INDEX('AH History'!$C$5:$C$1380,$K1573))),NA()),NA())</f>
        <v/>
      </c>
      <c r="J1573" s="32">
        <f>IFERROR(IF(AND($F1573&gt;0,$H1573&gt;0,$A1573-$G1573&lt;=10,$A1573-$I1573&lt;=5,$G1573&gt;0,$I1573&gt;0),$F1573*$H1573,NA()),NA())</f>
        <v/>
      </c>
      <c r="K1573" s="15">
        <f>IF($A1573="","",IF(AH!$U$5=1,IFERROR(MATCH($A1573,'Live History'!$A$5:$A$3004,0),0),AH!$U$7+1568))</f>
        <v/>
      </c>
      <c r="L1573" s="15">
        <f>IF(ISNUMBER(A1573),TEXT(A1573,"dd-mmm-yy"),"")</f>
        <v/>
      </c>
    </row>
    <row r="1574">
      <c r="A1574" s="14">
        <f>IF(OR(AH!$U$4=0,1569+1&gt;AH!$U$6,AND(AH!$M$5="Bloomberg",AH!$U$5=0)),"",IFERROR(IF(AND(AH!$U$12=1,1569+1=AH!$U$6),TODAY(),IF(AH!$U$5=1,INDEX('Live History'!$A$5:$A$3004,AH!$U$7+1569),INDEX('AH History'!$A$5:$A$1380,AH!$U$7+1569))),""))</f>
        <v/>
      </c>
      <c r="B1574" s="33">
        <f>IFERROR(IF(AH!$U$11=1,NA(),$J1574/$E1574-1),NA())</f>
        <v/>
      </c>
      <c r="C1574" s="269">
        <f>IFERROR(100*$E1574/$E$5,NA())</f>
        <v/>
      </c>
      <c r="D1574" s="269">
        <f>IFERROR(100*$J1574/$J$5,NA())</f>
        <v/>
      </c>
      <c r="E1574" s="32">
        <f>IFERROR(IF(AND(ISNUMBER($A1574),N(IF(AND(AH!$U$12=1,1569+1=AH!$U$6),IF(AH!$U$4=0,"unavailable",INDEX('Market Data'!$AN$5:$AN$66,AH!$U$4)),IF(AH!$U$5=1,INDEX('Live History'!$B$5:$B$3004,$K1574),INDEX('AH History'!$D$5:$GG$1380,$K1574,AH!$U$10))))&gt;0),IF(AND(AH!$U$12=1,1569+1=AH!$U$6),IF(AH!$U$4=0,"unavailable",INDEX('Market Data'!$AN$5:$AN$66,AH!$U$4)),IF(AH!$U$5=1,INDEX('Live History'!$B$5:$B$3004,$K1574),INDEX('AH History'!$D$5:$GG$1380,$K1574,AH!$U$10))),NA()),NA())</f>
        <v/>
      </c>
      <c r="F1574" s="32">
        <f>IFERROR(IF(ISNUMBER($A1574),IF(AND(AH!$U$12=1,1569+1=AH!$U$6),IF(AH!$U$4=0,"unavailable",INDEX('Market Data'!$AO$5:$AO$66,AH!$U$4)),IF(AH!$U$5=1,INDEX('Live History'!$E$5:$E$3004,MATCH($A1574,'Live History'!$D$5:$D$3004,1)),INDEX('AH History'!$D$5:$GG$1380,$K1574,AH!$U$10+1))),NA()),NA())</f>
        <v/>
      </c>
      <c r="G1574" s="34">
        <f>IFERROR(IF(ISNUMBER($A1574),IF(AND(AH!$U$12=1,1569+1=AH!$U$6),IF(AH!$U$4=0,"unavailable",INDEX('Market Data'!$AK$5:$AK$66,AH!$U$4)),IF(AH!$U$5=1,INDEX('Live History'!$D$5:$D$3004,MATCH($A1574,'Live History'!$D$5:$D$3004,1)),INDEX('AH History'!$D$5:$GG$1380,$K1574,AH!$U$10+2))),NA()),NA())</f>
        <v/>
      </c>
      <c r="H1574" s="266">
        <f>IFERROR(IF(ISNUMBER($A1574),IF(AND(AH!$U$12=1,1569+1=AH!$U$6),IF(AH!$U$4=0,"unavailable",INDEX('Market Data'!$AP$5:$AP$66,AH!$U$4)),IF(AH!$U$5=1,INDEX('Live History'!$H$5:$H$3004,MATCH($A1574,'Live History'!$G$5:$G$3004,1)),INDEX('AH History'!$B$5:$B$1380,$K1574))),NA()),NA())</f>
        <v/>
      </c>
      <c r="I1574" s="34">
        <f>IFERROR(IF(ISNUMBER($A1574),IF(AND(AH!$U$12=1,1569+1=AH!$U$6),TODAY(),IF(AH!$U$5=1,INDEX('Live History'!$G$5:$G$3004,MATCH($A1574,'Live History'!$G$5:$G$3004,1)),INDEX('AH History'!$C$5:$C$1380,$K1574))),NA()),NA())</f>
        <v/>
      </c>
      <c r="J1574" s="32">
        <f>IFERROR(IF(AND($F1574&gt;0,$H1574&gt;0,$A1574-$G1574&lt;=10,$A1574-$I1574&lt;=5,$G1574&gt;0,$I1574&gt;0),$F1574*$H1574,NA()),NA())</f>
        <v/>
      </c>
      <c r="K1574" s="15">
        <f>IF($A1574="","",IF(AH!$U$5=1,IFERROR(MATCH($A1574,'Live History'!$A$5:$A$3004,0),0),AH!$U$7+1569))</f>
        <v/>
      </c>
      <c r="L1574" s="15">
        <f>IF(ISNUMBER(A1574),TEXT(A1574,"dd-mmm-yy"),"")</f>
        <v/>
      </c>
    </row>
    <row r="1575">
      <c r="A1575" s="14">
        <f>IF(OR(AH!$U$4=0,1570+1&gt;AH!$U$6,AND(AH!$M$5="Bloomberg",AH!$U$5=0)),"",IFERROR(IF(AND(AH!$U$12=1,1570+1=AH!$U$6),TODAY(),IF(AH!$U$5=1,INDEX('Live History'!$A$5:$A$3004,AH!$U$7+1570),INDEX('AH History'!$A$5:$A$1380,AH!$U$7+1570))),""))</f>
        <v/>
      </c>
      <c r="B1575" s="33">
        <f>IFERROR(IF(AH!$U$11=1,NA(),$J1575/$E1575-1),NA())</f>
        <v/>
      </c>
      <c r="C1575" s="269">
        <f>IFERROR(100*$E1575/$E$5,NA())</f>
        <v/>
      </c>
      <c r="D1575" s="269">
        <f>IFERROR(100*$J1575/$J$5,NA())</f>
        <v/>
      </c>
      <c r="E1575" s="32">
        <f>IFERROR(IF(AND(ISNUMBER($A1575),N(IF(AND(AH!$U$12=1,1570+1=AH!$U$6),IF(AH!$U$4=0,"unavailable",INDEX('Market Data'!$AN$5:$AN$66,AH!$U$4)),IF(AH!$U$5=1,INDEX('Live History'!$B$5:$B$3004,$K1575),INDEX('AH History'!$D$5:$GG$1380,$K1575,AH!$U$10))))&gt;0),IF(AND(AH!$U$12=1,1570+1=AH!$U$6),IF(AH!$U$4=0,"unavailable",INDEX('Market Data'!$AN$5:$AN$66,AH!$U$4)),IF(AH!$U$5=1,INDEX('Live History'!$B$5:$B$3004,$K1575),INDEX('AH History'!$D$5:$GG$1380,$K1575,AH!$U$10))),NA()),NA())</f>
        <v/>
      </c>
      <c r="F1575" s="32">
        <f>IFERROR(IF(ISNUMBER($A1575),IF(AND(AH!$U$12=1,1570+1=AH!$U$6),IF(AH!$U$4=0,"unavailable",INDEX('Market Data'!$AO$5:$AO$66,AH!$U$4)),IF(AH!$U$5=1,INDEX('Live History'!$E$5:$E$3004,MATCH($A1575,'Live History'!$D$5:$D$3004,1)),INDEX('AH History'!$D$5:$GG$1380,$K1575,AH!$U$10+1))),NA()),NA())</f>
        <v/>
      </c>
      <c r="G1575" s="34">
        <f>IFERROR(IF(ISNUMBER($A1575),IF(AND(AH!$U$12=1,1570+1=AH!$U$6),IF(AH!$U$4=0,"unavailable",INDEX('Market Data'!$AK$5:$AK$66,AH!$U$4)),IF(AH!$U$5=1,INDEX('Live History'!$D$5:$D$3004,MATCH($A1575,'Live History'!$D$5:$D$3004,1)),INDEX('AH History'!$D$5:$GG$1380,$K1575,AH!$U$10+2))),NA()),NA())</f>
        <v/>
      </c>
      <c r="H1575" s="266">
        <f>IFERROR(IF(ISNUMBER($A1575),IF(AND(AH!$U$12=1,1570+1=AH!$U$6),IF(AH!$U$4=0,"unavailable",INDEX('Market Data'!$AP$5:$AP$66,AH!$U$4)),IF(AH!$U$5=1,INDEX('Live History'!$H$5:$H$3004,MATCH($A1575,'Live History'!$G$5:$G$3004,1)),INDEX('AH History'!$B$5:$B$1380,$K1575))),NA()),NA())</f>
        <v/>
      </c>
      <c r="I1575" s="34">
        <f>IFERROR(IF(ISNUMBER($A1575),IF(AND(AH!$U$12=1,1570+1=AH!$U$6),TODAY(),IF(AH!$U$5=1,INDEX('Live History'!$G$5:$G$3004,MATCH($A1575,'Live History'!$G$5:$G$3004,1)),INDEX('AH History'!$C$5:$C$1380,$K1575))),NA()),NA())</f>
        <v/>
      </c>
      <c r="J1575" s="32">
        <f>IFERROR(IF(AND($F1575&gt;0,$H1575&gt;0,$A1575-$G1575&lt;=10,$A1575-$I1575&lt;=5,$G1575&gt;0,$I1575&gt;0),$F1575*$H1575,NA()),NA())</f>
        <v/>
      </c>
      <c r="K1575" s="15">
        <f>IF($A1575="","",IF(AH!$U$5=1,IFERROR(MATCH($A1575,'Live History'!$A$5:$A$3004,0),0),AH!$U$7+1570))</f>
        <v/>
      </c>
      <c r="L1575" s="15">
        <f>IF(ISNUMBER(A1575),TEXT(A1575,"dd-mmm-yy"),"")</f>
        <v/>
      </c>
    </row>
    <row r="1576">
      <c r="A1576" s="14">
        <f>IF(OR(AH!$U$4=0,1571+1&gt;AH!$U$6,AND(AH!$M$5="Bloomberg",AH!$U$5=0)),"",IFERROR(IF(AND(AH!$U$12=1,1571+1=AH!$U$6),TODAY(),IF(AH!$U$5=1,INDEX('Live History'!$A$5:$A$3004,AH!$U$7+1571),INDEX('AH History'!$A$5:$A$1380,AH!$U$7+1571))),""))</f>
        <v/>
      </c>
      <c r="B1576" s="33">
        <f>IFERROR(IF(AH!$U$11=1,NA(),$J1576/$E1576-1),NA())</f>
        <v/>
      </c>
      <c r="C1576" s="269">
        <f>IFERROR(100*$E1576/$E$5,NA())</f>
        <v/>
      </c>
      <c r="D1576" s="269">
        <f>IFERROR(100*$J1576/$J$5,NA())</f>
        <v/>
      </c>
      <c r="E1576" s="32">
        <f>IFERROR(IF(AND(ISNUMBER($A1576),N(IF(AND(AH!$U$12=1,1571+1=AH!$U$6),IF(AH!$U$4=0,"unavailable",INDEX('Market Data'!$AN$5:$AN$66,AH!$U$4)),IF(AH!$U$5=1,INDEX('Live History'!$B$5:$B$3004,$K1576),INDEX('AH History'!$D$5:$GG$1380,$K1576,AH!$U$10))))&gt;0),IF(AND(AH!$U$12=1,1571+1=AH!$U$6),IF(AH!$U$4=0,"unavailable",INDEX('Market Data'!$AN$5:$AN$66,AH!$U$4)),IF(AH!$U$5=1,INDEX('Live History'!$B$5:$B$3004,$K1576),INDEX('AH History'!$D$5:$GG$1380,$K1576,AH!$U$10))),NA()),NA())</f>
        <v/>
      </c>
      <c r="F1576" s="32">
        <f>IFERROR(IF(ISNUMBER($A1576),IF(AND(AH!$U$12=1,1571+1=AH!$U$6),IF(AH!$U$4=0,"unavailable",INDEX('Market Data'!$AO$5:$AO$66,AH!$U$4)),IF(AH!$U$5=1,INDEX('Live History'!$E$5:$E$3004,MATCH($A1576,'Live History'!$D$5:$D$3004,1)),INDEX('AH History'!$D$5:$GG$1380,$K1576,AH!$U$10+1))),NA()),NA())</f>
        <v/>
      </c>
      <c r="G1576" s="34">
        <f>IFERROR(IF(ISNUMBER($A1576),IF(AND(AH!$U$12=1,1571+1=AH!$U$6),IF(AH!$U$4=0,"unavailable",INDEX('Market Data'!$AK$5:$AK$66,AH!$U$4)),IF(AH!$U$5=1,INDEX('Live History'!$D$5:$D$3004,MATCH($A1576,'Live History'!$D$5:$D$3004,1)),INDEX('AH History'!$D$5:$GG$1380,$K1576,AH!$U$10+2))),NA()),NA())</f>
        <v/>
      </c>
      <c r="H1576" s="266">
        <f>IFERROR(IF(ISNUMBER($A1576),IF(AND(AH!$U$12=1,1571+1=AH!$U$6),IF(AH!$U$4=0,"unavailable",INDEX('Market Data'!$AP$5:$AP$66,AH!$U$4)),IF(AH!$U$5=1,INDEX('Live History'!$H$5:$H$3004,MATCH($A1576,'Live History'!$G$5:$G$3004,1)),INDEX('AH History'!$B$5:$B$1380,$K1576))),NA()),NA())</f>
        <v/>
      </c>
      <c r="I1576" s="34">
        <f>IFERROR(IF(ISNUMBER($A1576),IF(AND(AH!$U$12=1,1571+1=AH!$U$6),TODAY(),IF(AH!$U$5=1,INDEX('Live History'!$G$5:$G$3004,MATCH($A1576,'Live History'!$G$5:$G$3004,1)),INDEX('AH History'!$C$5:$C$1380,$K1576))),NA()),NA())</f>
        <v/>
      </c>
      <c r="J1576" s="32">
        <f>IFERROR(IF(AND($F1576&gt;0,$H1576&gt;0,$A1576-$G1576&lt;=10,$A1576-$I1576&lt;=5,$G1576&gt;0,$I1576&gt;0),$F1576*$H1576,NA()),NA())</f>
        <v/>
      </c>
      <c r="K1576" s="15">
        <f>IF($A1576="","",IF(AH!$U$5=1,IFERROR(MATCH($A1576,'Live History'!$A$5:$A$3004,0),0),AH!$U$7+1571))</f>
        <v/>
      </c>
      <c r="L1576" s="15">
        <f>IF(ISNUMBER(A1576),TEXT(A1576,"dd-mmm-yy"),"")</f>
        <v/>
      </c>
    </row>
    <row r="1577">
      <c r="A1577" s="14">
        <f>IF(OR(AH!$U$4=0,1572+1&gt;AH!$U$6,AND(AH!$M$5="Bloomberg",AH!$U$5=0)),"",IFERROR(IF(AND(AH!$U$12=1,1572+1=AH!$U$6),TODAY(),IF(AH!$U$5=1,INDEX('Live History'!$A$5:$A$3004,AH!$U$7+1572),INDEX('AH History'!$A$5:$A$1380,AH!$U$7+1572))),""))</f>
        <v/>
      </c>
      <c r="B1577" s="33">
        <f>IFERROR(IF(AH!$U$11=1,NA(),$J1577/$E1577-1),NA())</f>
        <v/>
      </c>
      <c r="C1577" s="269">
        <f>IFERROR(100*$E1577/$E$5,NA())</f>
        <v/>
      </c>
      <c r="D1577" s="269">
        <f>IFERROR(100*$J1577/$J$5,NA())</f>
        <v/>
      </c>
      <c r="E1577" s="32">
        <f>IFERROR(IF(AND(ISNUMBER($A1577),N(IF(AND(AH!$U$12=1,1572+1=AH!$U$6),IF(AH!$U$4=0,"unavailable",INDEX('Market Data'!$AN$5:$AN$66,AH!$U$4)),IF(AH!$U$5=1,INDEX('Live History'!$B$5:$B$3004,$K1577),INDEX('AH History'!$D$5:$GG$1380,$K1577,AH!$U$10))))&gt;0),IF(AND(AH!$U$12=1,1572+1=AH!$U$6),IF(AH!$U$4=0,"unavailable",INDEX('Market Data'!$AN$5:$AN$66,AH!$U$4)),IF(AH!$U$5=1,INDEX('Live History'!$B$5:$B$3004,$K1577),INDEX('AH History'!$D$5:$GG$1380,$K1577,AH!$U$10))),NA()),NA())</f>
        <v/>
      </c>
      <c r="F1577" s="32">
        <f>IFERROR(IF(ISNUMBER($A1577),IF(AND(AH!$U$12=1,1572+1=AH!$U$6),IF(AH!$U$4=0,"unavailable",INDEX('Market Data'!$AO$5:$AO$66,AH!$U$4)),IF(AH!$U$5=1,INDEX('Live History'!$E$5:$E$3004,MATCH($A1577,'Live History'!$D$5:$D$3004,1)),INDEX('AH History'!$D$5:$GG$1380,$K1577,AH!$U$10+1))),NA()),NA())</f>
        <v/>
      </c>
      <c r="G1577" s="34">
        <f>IFERROR(IF(ISNUMBER($A1577),IF(AND(AH!$U$12=1,1572+1=AH!$U$6),IF(AH!$U$4=0,"unavailable",INDEX('Market Data'!$AK$5:$AK$66,AH!$U$4)),IF(AH!$U$5=1,INDEX('Live History'!$D$5:$D$3004,MATCH($A1577,'Live History'!$D$5:$D$3004,1)),INDEX('AH History'!$D$5:$GG$1380,$K1577,AH!$U$10+2))),NA()),NA())</f>
        <v/>
      </c>
      <c r="H1577" s="266">
        <f>IFERROR(IF(ISNUMBER($A1577),IF(AND(AH!$U$12=1,1572+1=AH!$U$6),IF(AH!$U$4=0,"unavailable",INDEX('Market Data'!$AP$5:$AP$66,AH!$U$4)),IF(AH!$U$5=1,INDEX('Live History'!$H$5:$H$3004,MATCH($A1577,'Live History'!$G$5:$G$3004,1)),INDEX('AH History'!$B$5:$B$1380,$K1577))),NA()),NA())</f>
        <v/>
      </c>
      <c r="I1577" s="34">
        <f>IFERROR(IF(ISNUMBER($A1577),IF(AND(AH!$U$12=1,1572+1=AH!$U$6),TODAY(),IF(AH!$U$5=1,INDEX('Live History'!$G$5:$G$3004,MATCH($A1577,'Live History'!$G$5:$G$3004,1)),INDEX('AH History'!$C$5:$C$1380,$K1577))),NA()),NA())</f>
        <v/>
      </c>
      <c r="J1577" s="32">
        <f>IFERROR(IF(AND($F1577&gt;0,$H1577&gt;0,$A1577-$G1577&lt;=10,$A1577-$I1577&lt;=5,$G1577&gt;0,$I1577&gt;0),$F1577*$H1577,NA()),NA())</f>
        <v/>
      </c>
      <c r="K1577" s="15">
        <f>IF($A1577="","",IF(AH!$U$5=1,IFERROR(MATCH($A1577,'Live History'!$A$5:$A$3004,0),0),AH!$U$7+1572))</f>
        <v/>
      </c>
      <c r="L1577" s="15">
        <f>IF(ISNUMBER(A1577),TEXT(A1577,"dd-mmm-yy"),"")</f>
        <v/>
      </c>
    </row>
    <row r="1578">
      <c r="A1578" s="14">
        <f>IF(OR(AH!$U$4=0,1573+1&gt;AH!$U$6,AND(AH!$M$5="Bloomberg",AH!$U$5=0)),"",IFERROR(IF(AND(AH!$U$12=1,1573+1=AH!$U$6),TODAY(),IF(AH!$U$5=1,INDEX('Live History'!$A$5:$A$3004,AH!$U$7+1573),INDEX('AH History'!$A$5:$A$1380,AH!$U$7+1573))),""))</f>
        <v/>
      </c>
      <c r="B1578" s="33">
        <f>IFERROR(IF(AH!$U$11=1,NA(),$J1578/$E1578-1),NA())</f>
        <v/>
      </c>
      <c r="C1578" s="269">
        <f>IFERROR(100*$E1578/$E$5,NA())</f>
        <v/>
      </c>
      <c r="D1578" s="269">
        <f>IFERROR(100*$J1578/$J$5,NA())</f>
        <v/>
      </c>
      <c r="E1578" s="32">
        <f>IFERROR(IF(AND(ISNUMBER($A1578),N(IF(AND(AH!$U$12=1,1573+1=AH!$U$6),IF(AH!$U$4=0,"unavailable",INDEX('Market Data'!$AN$5:$AN$66,AH!$U$4)),IF(AH!$U$5=1,INDEX('Live History'!$B$5:$B$3004,$K1578),INDEX('AH History'!$D$5:$GG$1380,$K1578,AH!$U$10))))&gt;0),IF(AND(AH!$U$12=1,1573+1=AH!$U$6),IF(AH!$U$4=0,"unavailable",INDEX('Market Data'!$AN$5:$AN$66,AH!$U$4)),IF(AH!$U$5=1,INDEX('Live History'!$B$5:$B$3004,$K1578),INDEX('AH History'!$D$5:$GG$1380,$K1578,AH!$U$10))),NA()),NA())</f>
        <v/>
      </c>
      <c r="F1578" s="32">
        <f>IFERROR(IF(ISNUMBER($A1578),IF(AND(AH!$U$12=1,1573+1=AH!$U$6),IF(AH!$U$4=0,"unavailable",INDEX('Market Data'!$AO$5:$AO$66,AH!$U$4)),IF(AH!$U$5=1,INDEX('Live History'!$E$5:$E$3004,MATCH($A1578,'Live History'!$D$5:$D$3004,1)),INDEX('AH History'!$D$5:$GG$1380,$K1578,AH!$U$10+1))),NA()),NA())</f>
        <v/>
      </c>
      <c r="G1578" s="34">
        <f>IFERROR(IF(ISNUMBER($A1578),IF(AND(AH!$U$12=1,1573+1=AH!$U$6),IF(AH!$U$4=0,"unavailable",INDEX('Market Data'!$AK$5:$AK$66,AH!$U$4)),IF(AH!$U$5=1,INDEX('Live History'!$D$5:$D$3004,MATCH($A1578,'Live History'!$D$5:$D$3004,1)),INDEX('AH History'!$D$5:$GG$1380,$K1578,AH!$U$10+2))),NA()),NA())</f>
        <v/>
      </c>
      <c r="H1578" s="266">
        <f>IFERROR(IF(ISNUMBER($A1578),IF(AND(AH!$U$12=1,1573+1=AH!$U$6),IF(AH!$U$4=0,"unavailable",INDEX('Market Data'!$AP$5:$AP$66,AH!$U$4)),IF(AH!$U$5=1,INDEX('Live History'!$H$5:$H$3004,MATCH($A1578,'Live History'!$G$5:$G$3004,1)),INDEX('AH History'!$B$5:$B$1380,$K1578))),NA()),NA())</f>
        <v/>
      </c>
      <c r="I1578" s="34">
        <f>IFERROR(IF(ISNUMBER($A1578),IF(AND(AH!$U$12=1,1573+1=AH!$U$6),TODAY(),IF(AH!$U$5=1,INDEX('Live History'!$G$5:$G$3004,MATCH($A1578,'Live History'!$G$5:$G$3004,1)),INDEX('AH History'!$C$5:$C$1380,$K1578))),NA()),NA())</f>
        <v/>
      </c>
      <c r="J1578" s="32">
        <f>IFERROR(IF(AND($F1578&gt;0,$H1578&gt;0,$A1578-$G1578&lt;=10,$A1578-$I1578&lt;=5,$G1578&gt;0,$I1578&gt;0),$F1578*$H1578,NA()),NA())</f>
        <v/>
      </c>
      <c r="K1578" s="15">
        <f>IF($A1578="","",IF(AH!$U$5=1,IFERROR(MATCH($A1578,'Live History'!$A$5:$A$3004,0),0),AH!$U$7+1573))</f>
        <v/>
      </c>
      <c r="L1578" s="15">
        <f>IF(ISNUMBER(A1578),TEXT(A1578,"dd-mmm-yy"),"")</f>
        <v/>
      </c>
    </row>
    <row r="1579">
      <c r="A1579" s="14">
        <f>IF(OR(AH!$U$4=0,1574+1&gt;AH!$U$6,AND(AH!$M$5="Bloomberg",AH!$U$5=0)),"",IFERROR(IF(AND(AH!$U$12=1,1574+1=AH!$U$6),TODAY(),IF(AH!$U$5=1,INDEX('Live History'!$A$5:$A$3004,AH!$U$7+1574),INDEX('AH History'!$A$5:$A$1380,AH!$U$7+1574))),""))</f>
        <v/>
      </c>
      <c r="B1579" s="33">
        <f>IFERROR(IF(AH!$U$11=1,NA(),$J1579/$E1579-1),NA())</f>
        <v/>
      </c>
      <c r="C1579" s="269">
        <f>IFERROR(100*$E1579/$E$5,NA())</f>
        <v/>
      </c>
      <c r="D1579" s="269">
        <f>IFERROR(100*$J1579/$J$5,NA())</f>
        <v/>
      </c>
      <c r="E1579" s="32">
        <f>IFERROR(IF(AND(ISNUMBER($A1579),N(IF(AND(AH!$U$12=1,1574+1=AH!$U$6),IF(AH!$U$4=0,"unavailable",INDEX('Market Data'!$AN$5:$AN$66,AH!$U$4)),IF(AH!$U$5=1,INDEX('Live History'!$B$5:$B$3004,$K1579),INDEX('AH History'!$D$5:$GG$1380,$K1579,AH!$U$10))))&gt;0),IF(AND(AH!$U$12=1,1574+1=AH!$U$6),IF(AH!$U$4=0,"unavailable",INDEX('Market Data'!$AN$5:$AN$66,AH!$U$4)),IF(AH!$U$5=1,INDEX('Live History'!$B$5:$B$3004,$K1579),INDEX('AH History'!$D$5:$GG$1380,$K1579,AH!$U$10))),NA()),NA())</f>
        <v/>
      </c>
      <c r="F1579" s="32">
        <f>IFERROR(IF(ISNUMBER($A1579),IF(AND(AH!$U$12=1,1574+1=AH!$U$6),IF(AH!$U$4=0,"unavailable",INDEX('Market Data'!$AO$5:$AO$66,AH!$U$4)),IF(AH!$U$5=1,INDEX('Live History'!$E$5:$E$3004,MATCH($A1579,'Live History'!$D$5:$D$3004,1)),INDEX('AH History'!$D$5:$GG$1380,$K1579,AH!$U$10+1))),NA()),NA())</f>
        <v/>
      </c>
      <c r="G1579" s="34">
        <f>IFERROR(IF(ISNUMBER($A1579),IF(AND(AH!$U$12=1,1574+1=AH!$U$6),IF(AH!$U$4=0,"unavailable",INDEX('Market Data'!$AK$5:$AK$66,AH!$U$4)),IF(AH!$U$5=1,INDEX('Live History'!$D$5:$D$3004,MATCH($A1579,'Live History'!$D$5:$D$3004,1)),INDEX('AH History'!$D$5:$GG$1380,$K1579,AH!$U$10+2))),NA()),NA())</f>
        <v/>
      </c>
      <c r="H1579" s="266">
        <f>IFERROR(IF(ISNUMBER($A1579),IF(AND(AH!$U$12=1,1574+1=AH!$U$6),IF(AH!$U$4=0,"unavailable",INDEX('Market Data'!$AP$5:$AP$66,AH!$U$4)),IF(AH!$U$5=1,INDEX('Live History'!$H$5:$H$3004,MATCH($A1579,'Live History'!$G$5:$G$3004,1)),INDEX('AH History'!$B$5:$B$1380,$K1579))),NA()),NA())</f>
        <v/>
      </c>
      <c r="I1579" s="34">
        <f>IFERROR(IF(ISNUMBER($A1579),IF(AND(AH!$U$12=1,1574+1=AH!$U$6),TODAY(),IF(AH!$U$5=1,INDEX('Live History'!$G$5:$G$3004,MATCH($A1579,'Live History'!$G$5:$G$3004,1)),INDEX('AH History'!$C$5:$C$1380,$K1579))),NA()),NA())</f>
        <v/>
      </c>
      <c r="J1579" s="32">
        <f>IFERROR(IF(AND($F1579&gt;0,$H1579&gt;0,$A1579-$G1579&lt;=10,$A1579-$I1579&lt;=5,$G1579&gt;0,$I1579&gt;0),$F1579*$H1579,NA()),NA())</f>
        <v/>
      </c>
      <c r="K1579" s="15">
        <f>IF($A1579="","",IF(AH!$U$5=1,IFERROR(MATCH($A1579,'Live History'!$A$5:$A$3004,0),0),AH!$U$7+1574))</f>
        <v/>
      </c>
      <c r="L1579" s="15">
        <f>IF(ISNUMBER(A1579),TEXT(A1579,"dd-mmm-yy"),"")</f>
        <v/>
      </c>
    </row>
    <row r="1580">
      <c r="A1580" s="14">
        <f>IF(OR(AH!$U$4=0,1575+1&gt;AH!$U$6,AND(AH!$M$5="Bloomberg",AH!$U$5=0)),"",IFERROR(IF(AND(AH!$U$12=1,1575+1=AH!$U$6),TODAY(),IF(AH!$U$5=1,INDEX('Live History'!$A$5:$A$3004,AH!$U$7+1575),INDEX('AH History'!$A$5:$A$1380,AH!$U$7+1575))),""))</f>
        <v/>
      </c>
      <c r="B1580" s="33">
        <f>IFERROR(IF(AH!$U$11=1,NA(),$J1580/$E1580-1),NA())</f>
        <v/>
      </c>
      <c r="C1580" s="269">
        <f>IFERROR(100*$E1580/$E$5,NA())</f>
        <v/>
      </c>
      <c r="D1580" s="269">
        <f>IFERROR(100*$J1580/$J$5,NA())</f>
        <v/>
      </c>
      <c r="E1580" s="32">
        <f>IFERROR(IF(AND(ISNUMBER($A1580),N(IF(AND(AH!$U$12=1,1575+1=AH!$U$6),IF(AH!$U$4=0,"unavailable",INDEX('Market Data'!$AN$5:$AN$66,AH!$U$4)),IF(AH!$U$5=1,INDEX('Live History'!$B$5:$B$3004,$K1580),INDEX('AH History'!$D$5:$GG$1380,$K1580,AH!$U$10))))&gt;0),IF(AND(AH!$U$12=1,1575+1=AH!$U$6),IF(AH!$U$4=0,"unavailable",INDEX('Market Data'!$AN$5:$AN$66,AH!$U$4)),IF(AH!$U$5=1,INDEX('Live History'!$B$5:$B$3004,$K1580),INDEX('AH History'!$D$5:$GG$1380,$K1580,AH!$U$10))),NA()),NA())</f>
        <v/>
      </c>
      <c r="F1580" s="32">
        <f>IFERROR(IF(ISNUMBER($A1580),IF(AND(AH!$U$12=1,1575+1=AH!$U$6),IF(AH!$U$4=0,"unavailable",INDEX('Market Data'!$AO$5:$AO$66,AH!$U$4)),IF(AH!$U$5=1,INDEX('Live History'!$E$5:$E$3004,MATCH($A1580,'Live History'!$D$5:$D$3004,1)),INDEX('AH History'!$D$5:$GG$1380,$K1580,AH!$U$10+1))),NA()),NA())</f>
        <v/>
      </c>
      <c r="G1580" s="34">
        <f>IFERROR(IF(ISNUMBER($A1580),IF(AND(AH!$U$12=1,1575+1=AH!$U$6),IF(AH!$U$4=0,"unavailable",INDEX('Market Data'!$AK$5:$AK$66,AH!$U$4)),IF(AH!$U$5=1,INDEX('Live History'!$D$5:$D$3004,MATCH($A1580,'Live History'!$D$5:$D$3004,1)),INDEX('AH History'!$D$5:$GG$1380,$K1580,AH!$U$10+2))),NA()),NA())</f>
        <v/>
      </c>
      <c r="H1580" s="266">
        <f>IFERROR(IF(ISNUMBER($A1580),IF(AND(AH!$U$12=1,1575+1=AH!$U$6),IF(AH!$U$4=0,"unavailable",INDEX('Market Data'!$AP$5:$AP$66,AH!$U$4)),IF(AH!$U$5=1,INDEX('Live History'!$H$5:$H$3004,MATCH($A1580,'Live History'!$G$5:$G$3004,1)),INDEX('AH History'!$B$5:$B$1380,$K1580))),NA()),NA())</f>
        <v/>
      </c>
      <c r="I1580" s="34">
        <f>IFERROR(IF(ISNUMBER($A1580),IF(AND(AH!$U$12=1,1575+1=AH!$U$6),TODAY(),IF(AH!$U$5=1,INDEX('Live History'!$G$5:$G$3004,MATCH($A1580,'Live History'!$G$5:$G$3004,1)),INDEX('AH History'!$C$5:$C$1380,$K1580))),NA()),NA())</f>
        <v/>
      </c>
      <c r="J1580" s="32">
        <f>IFERROR(IF(AND($F1580&gt;0,$H1580&gt;0,$A1580-$G1580&lt;=10,$A1580-$I1580&lt;=5,$G1580&gt;0,$I1580&gt;0),$F1580*$H1580,NA()),NA())</f>
        <v/>
      </c>
      <c r="K1580" s="15">
        <f>IF($A1580="","",IF(AH!$U$5=1,IFERROR(MATCH($A1580,'Live History'!$A$5:$A$3004,0),0),AH!$U$7+1575))</f>
        <v/>
      </c>
      <c r="L1580" s="15">
        <f>IF(ISNUMBER(A1580),TEXT(A1580,"dd-mmm-yy"),"")</f>
        <v/>
      </c>
    </row>
    <row r="1581">
      <c r="A1581" s="14">
        <f>IF(OR(AH!$U$4=0,1576+1&gt;AH!$U$6,AND(AH!$M$5="Bloomberg",AH!$U$5=0)),"",IFERROR(IF(AND(AH!$U$12=1,1576+1=AH!$U$6),TODAY(),IF(AH!$U$5=1,INDEX('Live History'!$A$5:$A$3004,AH!$U$7+1576),INDEX('AH History'!$A$5:$A$1380,AH!$U$7+1576))),""))</f>
        <v/>
      </c>
      <c r="B1581" s="33">
        <f>IFERROR(IF(AH!$U$11=1,NA(),$J1581/$E1581-1),NA())</f>
        <v/>
      </c>
      <c r="C1581" s="269">
        <f>IFERROR(100*$E1581/$E$5,NA())</f>
        <v/>
      </c>
      <c r="D1581" s="269">
        <f>IFERROR(100*$J1581/$J$5,NA())</f>
        <v/>
      </c>
      <c r="E1581" s="32">
        <f>IFERROR(IF(AND(ISNUMBER($A1581),N(IF(AND(AH!$U$12=1,1576+1=AH!$U$6),IF(AH!$U$4=0,"unavailable",INDEX('Market Data'!$AN$5:$AN$66,AH!$U$4)),IF(AH!$U$5=1,INDEX('Live History'!$B$5:$B$3004,$K1581),INDEX('AH History'!$D$5:$GG$1380,$K1581,AH!$U$10))))&gt;0),IF(AND(AH!$U$12=1,1576+1=AH!$U$6),IF(AH!$U$4=0,"unavailable",INDEX('Market Data'!$AN$5:$AN$66,AH!$U$4)),IF(AH!$U$5=1,INDEX('Live History'!$B$5:$B$3004,$K1581),INDEX('AH History'!$D$5:$GG$1380,$K1581,AH!$U$10))),NA()),NA())</f>
        <v/>
      </c>
      <c r="F1581" s="32">
        <f>IFERROR(IF(ISNUMBER($A1581),IF(AND(AH!$U$12=1,1576+1=AH!$U$6),IF(AH!$U$4=0,"unavailable",INDEX('Market Data'!$AO$5:$AO$66,AH!$U$4)),IF(AH!$U$5=1,INDEX('Live History'!$E$5:$E$3004,MATCH($A1581,'Live History'!$D$5:$D$3004,1)),INDEX('AH History'!$D$5:$GG$1380,$K1581,AH!$U$10+1))),NA()),NA())</f>
        <v/>
      </c>
      <c r="G1581" s="34">
        <f>IFERROR(IF(ISNUMBER($A1581),IF(AND(AH!$U$12=1,1576+1=AH!$U$6),IF(AH!$U$4=0,"unavailable",INDEX('Market Data'!$AK$5:$AK$66,AH!$U$4)),IF(AH!$U$5=1,INDEX('Live History'!$D$5:$D$3004,MATCH($A1581,'Live History'!$D$5:$D$3004,1)),INDEX('AH History'!$D$5:$GG$1380,$K1581,AH!$U$10+2))),NA()),NA())</f>
        <v/>
      </c>
      <c r="H1581" s="266">
        <f>IFERROR(IF(ISNUMBER($A1581),IF(AND(AH!$U$12=1,1576+1=AH!$U$6),IF(AH!$U$4=0,"unavailable",INDEX('Market Data'!$AP$5:$AP$66,AH!$U$4)),IF(AH!$U$5=1,INDEX('Live History'!$H$5:$H$3004,MATCH($A1581,'Live History'!$G$5:$G$3004,1)),INDEX('AH History'!$B$5:$B$1380,$K1581))),NA()),NA())</f>
        <v/>
      </c>
      <c r="I1581" s="34">
        <f>IFERROR(IF(ISNUMBER($A1581),IF(AND(AH!$U$12=1,1576+1=AH!$U$6),TODAY(),IF(AH!$U$5=1,INDEX('Live History'!$G$5:$G$3004,MATCH($A1581,'Live History'!$G$5:$G$3004,1)),INDEX('AH History'!$C$5:$C$1380,$K1581))),NA()),NA())</f>
        <v/>
      </c>
      <c r="J1581" s="32">
        <f>IFERROR(IF(AND($F1581&gt;0,$H1581&gt;0,$A1581-$G1581&lt;=10,$A1581-$I1581&lt;=5,$G1581&gt;0,$I1581&gt;0),$F1581*$H1581,NA()),NA())</f>
        <v/>
      </c>
      <c r="K1581" s="15">
        <f>IF($A1581="","",IF(AH!$U$5=1,IFERROR(MATCH($A1581,'Live History'!$A$5:$A$3004,0),0),AH!$U$7+1576))</f>
        <v/>
      </c>
      <c r="L1581" s="15">
        <f>IF(ISNUMBER(A1581),TEXT(A1581,"dd-mmm-yy"),"")</f>
        <v/>
      </c>
    </row>
    <row r="1582">
      <c r="A1582" s="14">
        <f>IF(OR(AH!$U$4=0,1577+1&gt;AH!$U$6,AND(AH!$M$5="Bloomberg",AH!$U$5=0)),"",IFERROR(IF(AND(AH!$U$12=1,1577+1=AH!$U$6),TODAY(),IF(AH!$U$5=1,INDEX('Live History'!$A$5:$A$3004,AH!$U$7+1577),INDEX('AH History'!$A$5:$A$1380,AH!$U$7+1577))),""))</f>
        <v/>
      </c>
      <c r="B1582" s="33">
        <f>IFERROR(IF(AH!$U$11=1,NA(),$J1582/$E1582-1),NA())</f>
        <v/>
      </c>
      <c r="C1582" s="269">
        <f>IFERROR(100*$E1582/$E$5,NA())</f>
        <v/>
      </c>
      <c r="D1582" s="269">
        <f>IFERROR(100*$J1582/$J$5,NA())</f>
        <v/>
      </c>
      <c r="E1582" s="32">
        <f>IFERROR(IF(AND(ISNUMBER($A1582),N(IF(AND(AH!$U$12=1,1577+1=AH!$U$6),IF(AH!$U$4=0,"unavailable",INDEX('Market Data'!$AN$5:$AN$66,AH!$U$4)),IF(AH!$U$5=1,INDEX('Live History'!$B$5:$B$3004,$K1582),INDEX('AH History'!$D$5:$GG$1380,$K1582,AH!$U$10))))&gt;0),IF(AND(AH!$U$12=1,1577+1=AH!$U$6),IF(AH!$U$4=0,"unavailable",INDEX('Market Data'!$AN$5:$AN$66,AH!$U$4)),IF(AH!$U$5=1,INDEX('Live History'!$B$5:$B$3004,$K1582),INDEX('AH History'!$D$5:$GG$1380,$K1582,AH!$U$10))),NA()),NA())</f>
        <v/>
      </c>
      <c r="F1582" s="32">
        <f>IFERROR(IF(ISNUMBER($A1582),IF(AND(AH!$U$12=1,1577+1=AH!$U$6),IF(AH!$U$4=0,"unavailable",INDEX('Market Data'!$AO$5:$AO$66,AH!$U$4)),IF(AH!$U$5=1,INDEX('Live History'!$E$5:$E$3004,MATCH($A1582,'Live History'!$D$5:$D$3004,1)),INDEX('AH History'!$D$5:$GG$1380,$K1582,AH!$U$10+1))),NA()),NA())</f>
        <v/>
      </c>
      <c r="G1582" s="34">
        <f>IFERROR(IF(ISNUMBER($A1582),IF(AND(AH!$U$12=1,1577+1=AH!$U$6),IF(AH!$U$4=0,"unavailable",INDEX('Market Data'!$AK$5:$AK$66,AH!$U$4)),IF(AH!$U$5=1,INDEX('Live History'!$D$5:$D$3004,MATCH($A1582,'Live History'!$D$5:$D$3004,1)),INDEX('AH History'!$D$5:$GG$1380,$K1582,AH!$U$10+2))),NA()),NA())</f>
        <v/>
      </c>
      <c r="H1582" s="266">
        <f>IFERROR(IF(ISNUMBER($A1582),IF(AND(AH!$U$12=1,1577+1=AH!$U$6),IF(AH!$U$4=0,"unavailable",INDEX('Market Data'!$AP$5:$AP$66,AH!$U$4)),IF(AH!$U$5=1,INDEX('Live History'!$H$5:$H$3004,MATCH($A1582,'Live History'!$G$5:$G$3004,1)),INDEX('AH History'!$B$5:$B$1380,$K1582))),NA()),NA())</f>
        <v/>
      </c>
      <c r="I1582" s="34">
        <f>IFERROR(IF(ISNUMBER($A1582),IF(AND(AH!$U$12=1,1577+1=AH!$U$6),TODAY(),IF(AH!$U$5=1,INDEX('Live History'!$G$5:$G$3004,MATCH($A1582,'Live History'!$G$5:$G$3004,1)),INDEX('AH History'!$C$5:$C$1380,$K1582))),NA()),NA())</f>
        <v/>
      </c>
      <c r="J1582" s="32">
        <f>IFERROR(IF(AND($F1582&gt;0,$H1582&gt;0,$A1582-$G1582&lt;=10,$A1582-$I1582&lt;=5,$G1582&gt;0,$I1582&gt;0),$F1582*$H1582,NA()),NA())</f>
        <v/>
      </c>
      <c r="K1582" s="15">
        <f>IF($A1582="","",IF(AH!$U$5=1,IFERROR(MATCH($A1582,'Live History'!$A$5:$A$3004,0),0),AH!$U$7+1577))</f>
        <v/>
      </c>
      <c r="L1582" s="15">
        <f>IF(ISNUMBER(A1582),TEXT(A1582,"dd-mmm-yy"),"")</f>
        <v/>
      </c>
    </row>
    <row r="1583">
      <c r="A1583" s="14">
        <f>IF(OR(AH!$U$4=0,1578+1&gt;AH!$U$6,AND(AH!$M$5="Bloomberg",AH!$U$5=0)),"",IFERROR(IF(AND(AH!$U$12=1,1578+1=AH!$U$6),TODAY(),IF(AH!$U$5=1,INDEX('Live History'!$A$5:$A$3004,AH!$U$7+1578),INDEX('AH History'!$A$5:$A$1380,AH!$U$7+1578))),""))</f>
        <v/>
      </c>
      <c r="B1583" s="33">
        <f>IFERROR(IF(AH!$U$11=1,NA(),$J1583/$E1583-1),NA())</f>
        <v/>
      </c>
      <c r="C1583" s="269">
        <f>IFERROR(100*$E1583/$E$5,NA())</f>
        <v/>
      </c>
      <c r="D1583" s="269">
        <f>IFERROR(100*$J1583/$J$5,NA())</f>
        <v/>
      </c>
      <c r="E1583" s="32">
        <f>IFERROR(IF(AND(ISNUMBER($A1583),N(IF(AND(AH!$U$12=1,1578+1=AH!$U$6),IF(AH!$U$4=0,"unavailable",INDEX('Market Data'!$AN$5:$AN$66,AH!$U$4)),IF(AH!$U$5=1,INDEX('Live History'!$B$5:$B$3004,$K1583),INDEX('AH History'!$D$5:$GG$1380,$K1583,AH!$U$10))))&gt;0),IF(AND(AH!$U$12=1,1578+1=AH!$U$6),IF(AH!$U$4=0,"unavailable",INDEX('Market Data'!$AN$5:$AN$66,AH!$U$4)),IF(AH!$U$5=1,INDEX('Live History'!$B$5:$B$3004,$K1583),INDEX('AH History'!$D$5:$GG$1380,$K1583,AH!$U$10))),NA()),NA())</f>
        <v/>
      </c>
      <c r="F1583" s="32">
        <f>IFERROR(IF(ISNUMBER($A1583),IF(AND(AH!$U$12=1,1578+1=AH!$U$6),IF(AH!$U$4=0,"unavailable",INDEX('Market Data'!$AO$5:$AO$66,AH!$U$4)),IF(AH!$U$5=1,INDEX('Live History'!$E$5:$E$3004,MATCH($A1583,'Live History'!$D$5:$D$3004,1)),INDEX('AH History'!$D$5:$GG$1380,$K1583,AH!$U$10+1))),NA()),NA())</f>
        <v/>
      </c>
      <c r="G1583" s="34">
        <f>IFERROR(IF(ISNUMBER($A1583),IF(AND(AH!$U$12=1,1578+1=AH!$U$6),IF(AH!$U$4=0,"unavailable",INDEX('Market Data'!$AK$5:$AK$66,AH!$U$4)),IF(AH!$U$5=1,INDEX('Live History'!$D$5:$D$3004,MATCH($A1583,'Live History'!$D$5:$D$3004,1)),INDEX('AH History'!$D$5:$GG$1380,$K1583,AH!$U$10+2))),NA()),NA())</f>
        <v/>
      </c>
      <c r="H1583" s="266">
        <f>IFERROR(IF(ISNUMBER($A1583),IF(AND(AH!$U$12=1,1578+1=AH!$U$6),IF(AH!$U$4=0,"unavailable",INDEX('Market Data'!$AP$5:$AP$66,AH!$U$4)),IF(AH!$U$5=1,INDEX('Live History'!$H$5:$H$3004,MATCH($A1583,'Live History'!$G$5:$G$3004,1)),INDEX('AH History'!$B$5:$B$1380,$K1583))),NA()),NA())</f>
        <v/>
      </c>
      <c r="I1583" s="34">
        <f>IFERROR(IF(ISNUMBER($A1583),IF(AND(AH!$U$12=1,1578+1=AH!$U$6),TODAY(),IF(AH!$U$5=1,INDEX('Live History'!$G$5:$G$3004,MATCH($A1583,'Live History'!$G$5:$G$3004,1)),INDEX('AH History'!$C$5:$C$1380,$K1583))),NA()),NA())</f>
        <v/>
      </c>
      <c r="J1583" s="32">
        <f>IFERROR(IF(AND($F1583&gt;0,$H1583&gt;0,$A1583-$G1583&lt;=10,$A1583-$I1583&lt;=5,$G1583&gt;0,$I1583&gt;0),$F1583*$H1583,NA()),NA())</f>
        <v/>
      </c>
      <c r="K1583" s="15">
        <f>IF($A1583="","",IF(AH!$U$5=1,IFERROR(MATCH($A1583,'Live History'!$A$5:$A$3004,0),0),AH!$U$7+1578))</f>
        <v/>
      </c>
      <c r="L1583" s="15">
        <f>IF(ISNUMBER(A1583),TEXT(A1583,"dd-mmm-yy"),"")</f>
        <v/>
      </c>
    </row>
    <row r="1584">
      <c r="A1584" s="14">
        <f>IF(OR(AH!$U$4=0,1579+1&gt;AH!$U$6,AND(AH!$M$5="Bloomberg",AH!$U$5=0)),"",IFERROR(IF(AND(AH!$U$12=1,1579+1=AH!$U$6),TODAY(),IF(AH!$U$5=1,INDEX('Live History'!$A$5:$A$3004,AH!$U$7+1579),INDEX('AH History'!$A$5:$A$1380,AH!$U$7+1579))),""))</f>
        <v/>
      </c>
      <c r="B1584" s="33">
        <f>IFERROR(IF(AH!$U$11=1,NA(),$J1584/$E1584-1),NA())</f>
        <v/>
      </c>
      <c r="C1584" s="269">
        <f>IFERROR(100*$E1584/$E$5,NA())</f>
        <v/>
      </c>
      <c r="D1584" s="269">
        <f>IFERROR(100*$J1584/$J$5,NA())</f>
        <v/>
      </c>
      <c r="E1584" s="32">
        <f>IFERROR(IF(AND(ISNUMBER($A1584),N(IF(AND(AH!$U$12=1,1579+1=AH!$U$6),IF(AH!$U$4=0,"unavailable",INDEX('Market Data'!$AN$5:$AN$66,AH!$U$4)),IF(AH!$U$5=1,INDEX('Live History'!$B$5:$B$3004,$K1584),INDEX('AH History'!$D$5:$GG$1380,$K1584,AH!$U$10))))&gt;0),IF(AND(AH!$U$12=1,1579+1=AH!$U$6),IF(AH!$U$4=0,"unavailable",INDEX('Market Data'!$AN$5:$AN$66,AH!$U$4)),IF(AH!$U$5=1,INDEX('Live History'!$B$5:$B$3004,$K1584),INDEX('AH History'!$D$5:$GG$1380,$K1584,AH!$U$10))),NA()),NA())</f>
        <v/>
      </c>
      <c r="F1584" s="32">
        <f>IFERROR(IF(ISNUMBER($A1584),IF(AND(AH!$U$12=1,1579+1=AH!$U$6),IF(AH!$U$4=0,"unavailable",INDEX('Market Data'!$AO$5:$AO$66,AH!$U$4)),IF(AH!$U$5=1,INDEX('Live History'!$E$5:$E$3004,MATCH($A1584,'Live History'!$D$5:$D$3004,1)),INDEX('AH History'!$D$5:$GG$1380,$K1584,AH!$U$10+1))),NA()),NA())</f>
        <v/>
      </c>
      <c r="G1584" s="34">
        <f>IFERROR(IF(ISNUMBER($A1584),IF(AND(AH!$U$12=1,1579+1=AH!$U$6),IF(AH!$U$4=0,"unavailable",INDEX('Market Data'!$AK$5:$AK$66,AH!$U$4)),IF(AH!$U$5=1,INDEX('Live History'!$D$5:$D$3004,MATCH($A1584,'Live History'!$D$5:$D$3004,1)),INDEX('AH History'!$D$5:$GG$1380,$K1584,AH!$U$10+2))),NA()),NA())</f>
        <v/>
      </c>
      <c r="H1584" s="266">
        <f>IFERROR(IF(ISNUMBER($A1584),IF(AND(AH!$U$12=1,1579+1=AH!$U$6),IF(AH!$U$4=0,"unavailable",INDEX('Market Data'!$AP$5:$AP$66,AH!$U$4)),IF(AH!$U$5=1,INDEX('Live History'!$H$5:$H$3004,MATCH($A1584,'Live History'!$G$5:$G$3004,1)),INDEX('AH History'!$B$5:$B$1380,$K1584))),NA()),NA())</f>
        <v/>
      </c>
      <c r="I1584" s="34">
        <f>IFERROR(IF(ISNUMBER($A1584),IF(AND(AH!$U$12=1,1579+1=AH!$U$6),TODAY(),IF(AH!$U$5=1,INDEX('Live History'!$G$5:$G$3004,MATCH($A1584,'Live History'!$G$5:$G$3004,1)),INDEX('AH History'!$C$5:$C$1380,$K1584))),NA()),NA())</f>
        <v/>
      </c>
      <c r="J1584" s="32">
        <f>IFERROR(IF(AND($F1584&gt;0,$H1584&gt;0,$A1584-$G1584&lt;=10,$A1584-$I1584&lt;=5,$G1584&gt;0,$I1584&gt;0),$F1584*$H1584,NA()),NA())</f>
        <v/>
      </c>
      <c r="K1584" s="15">
        <f>IF($A1584="","",IF(AH!$U$5=1,IFERROR(MATCH($A1584,'Live History'!$A$5:$A$3004,0),0),AH!$U$7+1579))</f>
        <v/>
      </c>
      <c r="L1584" s="15">
        <f>IF(ISNUMBER(A1584),TEXT(A1584,"dd-mmm-yy"),"")</f>
        <v/>
      </c>
    </row>
    <row r="1585">
      <c r="A1585" s="14">
        <f>IF(OR(AH!$U$4=0,1580+1&gt;AH!$U$6,AND(AH!$M$5="Bloomberg",AH!$U$5=0)),"",IFERROR(IF(AND(AH!$U$12=1,1580+1=AH!$U$6),TODAY(),IF(AH!$U$5=1,INDEX('Live History'!$A$5:$A$3004,AH!$U$7+1580),INDEX('AH History'!$A$5:$A$1380,AH!$U$7+1580))),""))</f>
        <v/>
      </c>
      <c r="B1585" s="33">
        <f>IFERROR(IF(AH!$U$11=1,NA(),$J1585/$E1585-1),NA())</f>
        <v/>
      </c>
      <c r="C1585" s="269">
        <f>IFERROR(100*$E1585/$E$5,NA())</f>
        <v/>
      </c>
      <c r="D1585" s="269">
        <f>IFERROR(100*$J1585/$J$5,NA())</f>
        <v/>
      </c>
      <c r="E1585" s="32">
        <f>IFERROR(IF(AND(ISNUMBER($A1585),N(IF(AND(AH!$U$12=1,1580+1=AH!$U$6),IF(AH!$U$4=0,"unavailable",INDEX('Market Data'!$AN$5:$AN$66,AH!$U$4)),IF(AH!$U$5=1,INDEX('Live History'!$B$5:$B$3004,$K1585),INDEX('AH History'!$D$5:$GG$1380,$K1585,AH!$U$10))))&gt;0),IF(AND(AH!$U$12=1,1580+1=AH!$U$6),IF(AH!$U$4=0,"unavailable",INDEX('Market Data'!$AN$5:$AN$66,AH!$U$4)),IF(AH!$U$5=1,INDEX('Live History'!$B$5:$B$3004,$K1585),INDEX('AH History'!$D$5:$GG$1380,$K1585,AH!$U$10))),NA()),NA())</f>
        <v/>
      </c>
      <c r="F1585" s="32">
        <f>IFERROR(IF(ISNUMBER($A1585),IF(AND(AH!$U$12=1,1580+1=AH!$U$6),IF(AH!$U$4=0,"unavailable",INDEX('Market Data'!$AO$5:$AO$66,AH!$U$4)),IF(AH!$U$5=1,INDEX('Live History'!$E$5:$E$3004,MATCH($A1585,'Live History'!$D$5:$D$3004,1)),INDEX('AH History'!$D$5:$GG$1380,$K1585,AH!$U$10+1))),NA()),NA())</f>
        <v/>
      </c>
      <c r="G1585" s="34">
        <f>IFERROR(IF(ISNUMBER($A1585),IF(AND(AH!$U$12=1,1580+1=AH!$U$6),IF(AH!$U$4=0,"unavailable",INDEX('Market Data'!$AK$5:$AK$66,AH!$U$4)),IF(AH!$U$5=1,INDEX('Live History'!$D$5:$D$3004,MATCH($A1585,'Live History'!$D$5:$D$3004,1)),INDEX('AH History'!$D$5:$GG$1380,$K1585,AH!$U$10+2))),NA()),NA())</f>
        <v/>
      </c>
      <c r="H1585" s="266">
        <f>IFERROR(IF(ISNUMBER($A1585),IF(AND(AH!$U$12=1,1580+1=AH!$U$6),IF(AH!$U$4=0,"unavailable",INDEX('Market Data'!$AP$5:$AP$66,AH!$U$4)),IF(AH!$U$5=1,INDEX('Live History'!$H$5:$H$3004,MATCH($A1585,'Live History'!$G$5:$G$3004,1)),INDEX('AH History'!$B$5:$B$1380,$K1585))),NA()),NA())</f>
        <v/>
      </c>
      <c r="I1585" s="34">
        <f>IFERROR(IF(ISNUMBER($A1585),IF(AND(AH!$U$12=1,1580+1=AH!$U$6),TODAY(),IF(AH!$U$5=1,INDEX('Live History'!$G$5:$G$3004,MATCH($A1585,'Live History'!$G$5:$G$3004,1)),INDEX('AH History'!$C$5:$C$1380,$K1585))),NA()),NA())</f>
        <v/>
      </c>
      <c r="J1585" s="32">
        <f>IFERROR(IF(AND($F1585&gt;0,$H1585&gt;0,$A1585-$G1585&lt;=10,$A1585-$I1585&lt;=5,$G1585&gt;0,$I1585&gt;0),$F1585*$H1585,NA()),NA())</f>
        <v/>
      </c>
      <c r="K1585" s="15">
        <f>IF($A1585="","",IF(AH!$U$5=1,IFERROR(MATCH($A1585,'Live History'!$A$5:$A$3004,0),0),AH!$U$7+1580))</f>
        <v/>
      </c>
      <c r="L1585" s="15">
        <f>IF(ISNUMBER(A1585),TEXT(A1585,"dd-mmm-yy"),"")</f>
        <v/>
      </c>
    </row>
    <row r="1586">
      <c r="A1586" s="14">
        <f>IF(OR(AH!$U$4=0,1581+1&gt;AH!$U$6,AND(AH!$M$5="Bloomberg",AH!$U$5=0)),"",IFERROR(IF(AND(AH!$U$12=1,1581+1=AH!$U$6),TODAY(),IF(AH!$U$5=1,INDEX('Live History'!$A$5:$A$3004,AH!$U$7+1581),INDEX('AH History'!$A$5:$A$1380,AH!$U$7+1581))),""))</f>
        <v/>
      </c>
      <c r="B1586" s="33">
        <f>IFERROR(IF(AH!$U$11=1,NA(),$J1586/$E1586-1),NA())</f>
        <v/>
      </c>
      <c r="C1586" s="269">
        <f>IFERROR(100*$E1586/$E$5,NA())</f>
        <v/>
      </c>
      <c r="D1586" s="269">
        <f>IFERROR(100*$J1586/$J$5,NA())</f>
        <v/>
      </c>
      <c r="E1586" s="32">
        <f>IFERROR(IF(AND(ISNUMBER($A1586),N(IF(AND(AH!$U$12=1,1581+1=AH!$U$6),IF(AH!$U$4=0,"unavailable",INDEX('Market Data'!$AN$5:$AN$66,AH!$U$4)),IF(AH!$U$5=1,INDEX('Live History'!$B$5:$B$3004,$K1586),INDEX('AH History'!$D$5:$GG$1380,$K1586,AH!$U$10))))&gt;0),IF(AND(AH!$U$12=1,1581+1=AH!$U$6),IF(AH!$U$4=0,"unavailable",INDEX('Market Data'!$AN$5:$AN$66,AH!$U$4)),IF(AH!$U$5=1,INDEX('Live History'!$B$5:$B$3004,$K1586),INDEX('AH History'!$D$5:$GG$1380,$K1586,AH!$U$10))),NA()),NA())</f>
        <v/>
      </c>
      <c r="F1586" s="32">
        <f>IFERROR(IF(ISNUMBER($A1586),IF(AND(AH!$U$12=1,1581+1=AH!$U$6),IF(AH!$U$4=0,"unavailable",INDEX('Market Data'!$AO$5:$AO$66,AH!$U$4)),IF(AH!$U$5=1,INDEX('Live History'!$E$5:$E$3004,MATCH($A1586,'Live History'!$D$5:$D$3004,1)),INDEX('AH History'!$D$5:$GG$1380,$K1586,AH!$U$10+1))),NA()),NA())</f>
        <v/>
      </c>
      <c r="G1586" s="34">
        <f>IFERROR(IF(ISNUMBER($A1586),IF(AND(AH!$U$12=1,1581+1=AH!$U$6),IF(AH!$U$4=0,"unavailable",INDEX('Market Data'!$AK$5:$AK$66,AH!$U$4)),IF(AH!$U$5=1,INDEX('Live History'!$D$5:$D$3004,MATCH($A1586,'Live History'!$D$5:$D$3004,1)),INDEX('AH History'!$D$5:$GG$1380,$K1586,AH!$U$10+2))),NA()),NA())</f>
        <v/>
      </c>
      <c r="H1586" s="266">
        <f>IFERROR(IF(ISNUMBER($A1586),IF(AND(AH!$U$12=1,1581+1=AH!$U$6),IF(AH!$U$4=0,"unavailable",INDEX('Market Data'!$AP$5:$AP$66,AH!$U$4)),IF(AH!$U$5=1,INDEX('Live History'!$H$5:$H$3004,MATCH($A1586,'Live History'!$G$5:$G$3004,1)),INDEX('AH History'!$B$5:$B$1380,$K1586))),NA()),NA())</f>
        <v/>
      </c>
      <c r="I1586" s="34">
        <f>IFERROR(IF(ISNUMBER($A1586),IF(AND(AH!$U$12=1,1581+1=AH!$U$6),TODAY(),IF(AH!$U$5=1,INDEX('Live History'!$G$5:$G$3004,MATCH($A1586,'Live History'!$G$5:$G$3004,1)),INDEX('AH History'!$C$5:$C$1380,$K1586))),NA()),NA())</f>
        <v/>
      </c>
      <c r="J1586" s="32">
        <f>IFERROR(IF(AND($F1586&gt;0,$H1586&gt;0,$A1586-$G1586&lt;=10,$A1586-$I1586&lt;=5,$G1586&gt;0,$I1586&gt;0),$F1586*$H1586,NA()),NA())</f>
        <v/>
      </c>
      <c r="K1586" s="15">
        <f>IF($A1586="","",IF(AH!$U$5=1,IFERROR(MATCH($A1586,'Live History'!$A$5:$A$3004,0),0),AH!$U$7+1581))</f>
        <v/>
      </c>
      <c r="L1586" s="15">
        <f>IF(ISNUMBER(A1586),TEXT(A1586,"dd-mmm-yy"),"")</f>
        <v/>
      </c>
    </row>
    <row r="1587">
      <c r="A1587" s="14">
        <f>IF(OR(AH!$U$4=0,1582+1&gt;AH!$U$6,AND(AH!$M$5="Bloomberg",AH!$U$5=0)),"",IFERROR(IF(AND(AH!$U$12=1,1582+1=AH!$U$6),TODAY(),IF(AH!$U$5=1,INDEX('Live History'!$A$5:$A$3004,AH!$U$7+1582),INDEX('AH History'!$A$5:$A$1380,AH!$U$7+1582))),""))</f>
        <v/>
      </c>
      <c r="B1587" s="33">
        <f>IFERROR(IF(AH!$U$11=1,NA(),$J1587/$E1587-1),NA())</f>
        <v/>
      </c>
      <c r="C1587" s="269">
        <f>IFERROR(100*$E1587/$E$5,NA())</f>
        <v/>
      </c>
      <c r="D1587" s="269">
        <f>IFERROR(100*$J1587/$J$5,NA())</f>
        <v/>
      </c>
      <c r="E1587" s="32">
        <f>IFERROR(IF(AND(ISNUMBER($A1587),N(IF(AND(AH!$U$12=1,1582+1=AH!$U$6),IF(AH!$U$4=0,"unavailable",INDEX('Market Data'!$AN$5:$AN$66,AH!$U$4)),IF(AH!$U$5=1,INDEX('Live History'!$B$5:$B$3004,$K1587),INDEX('AH History'!$D$5:$GG$1380,$K1587,AH!$U$10))))&gt;0),IF(AND(AH!$U$12=1,1582+1=AH!$U$6),IF(AH!$U$4=0,"unavailable",INDEX('Market Data'!$AN$5:$AN$66,AH!$U$4)),IF(AH!$U$5=1,INDEX('Live History'!$B$5:$B$3004,$K1587),INDEX('AH History'!$D$5:$GG$1380,$K1587,AH!$U$10))),NA()),NA())</f>
        <v/>
      </c>
      <c r="F1587" s="32">
        <f>IFERROR(IF(ISNUMBER($A1587),IF(AND(AH!$U$12=1,1582+1=AH!$U$6),IF(AH!$U$4=0,"unavailable",INDEX('Market Data'!$AO$5:$AO$66,AH!$U$4)),IF(AH!$U$5=1,INDEX('Live History'!$E$5:$E$3004,MATCH($A1587,'Live History'!$D$5:$D$3004,1)),INDEX('AH History'!$D$5:$GG$1380,$K1587,AH!$U$10+1))),NA()),NA())</f>
        <v/>
      </c>
      <c r="G1587" s="34">
        <f>IFERROR(IF(ISNUMBER($A1587),IF(AND(AH!$U$12=1,1582+1=AH!$U$6),IF(AH!$U$4=0,"unavailable",INDEX('Market Data'!$AK$5:$AK$66,AH!$U$4)),IF(AH!$U$5=1,INDEX('Live History'!$D$5:$D$3004,MATCH($A1587,'Live History'!$D$5:$D$3004,1)),INDEX('AH History'!$D$5:$GG$1380,$K1587,AH!$U$10+2))),NA()),NA())</f>
        <v/>
      </c>
      <c r="H1587" s="266">
        <f>IFERROR(IF(ISNUMBER($A1587),IF(AND(AH!$U$12=1,1582+1=AH!$U$6),IF(AH!$U$4=0,"unavailable",INDEX('Market Data'!$AP$5:$AP$66,AH!$U$4)),IF(AH!$U$5=1,INDEX('Live History'!$H$5:$H$3004,MATCH($A1587,'Live History'!$G$5:$G$3004,1)),INDEX('AH History'!$B$5:$B$1380,$K1587))),NA()),NA())</f>
        <v/>
      </c>
      <c r="I1587" s="34">
        <f>IFERROR(IF(ISNUMBER($A1587),IF(AND(AH!$U$12=1,1582+1=AH!$U$6),TODAY(),IF(AH!$U$5=1,INDEX('Live History'!$G$5:$G$3004,MATCH($A1587,'Live History'!$G$5:$G$3004,1)),INDEX('AH History'!$C$5:$C$1380,$K1587))),NA()),NA())</f>
        <v/>
      </c>
      <c r="J1587" s="32">
        <f>IFERROR(IF(AND($F1587&gt;0,$H1587&gt;0,$A1587-$G1587&lt;=10,$A1587-$I1587&lt;=5,$G1587&gt;0,$I1587&gt;0),$F1587*$H1587,NA()),NA())</f>
        <v/>
      </c>
      <c r="K1587" s="15">
        <f>IF($A1587="","",IF(AH!$U$5=1,IFERROR(MATCH($A1587,'Live History'!$A$5:$A$3004,0),0),AH!$U$7+1582))</f>
        <v/>
      </c>
      <c r="L1587" s="15">
        <f>IF(ISNUMBER(A1587),TEXT(A1587,"dd-mmm-yy"),"")</f>
        <v/>
      </c>
    </row>
    <row r="1588">
      <c r="A1588" s="14">
        <f>IF(OR(AH!$U$4=0,1583+1&gt;AH!$U$6,AND(AH!$M$5="Bloomberg",AH!$U$5=0)),"",IFERROR(IF(AND(AH!$U$12=1,1583+1=AH!$U$6),TODAY(),IF(AH!$U$5=1,INDEX('Live History'!$A$5:$A$3004,AH!$U$7+1583),INDEX('AH History'!$A$5:$A$1380,AH!$U$7+1583))),""))</f>
        <v/>
      </c>
      <c r="B1588" s="33">
        <f>IFERROR(IF(AH!$U$11=1,NA(),$J1588/$E1588-1),NA())</f>
        <v/>
      </c>
      <c r="C1588" s="269">
        <f>IFERROR(100*$E1588/$E$5,NA())</f>
        <v/>
      </c>
      <c r="D1588" s="269">
        <f>IFERROR(100*$J1588/$J$5,NA())</f>
        <v/>
      </c>
      <c r="E1588" s="32">
        <f>IFERROR(IF(AND(ISNUMBER($A1588),N(IF(AND(AH!$U$12=1,1583+1=AH!$U$6),IF(AH!$U$4=0,"unavailable",INDEX('Market Data'!$AN$5:$AN$66,AH!$U$4)),IF(AH!$U$5=1,INDEX('Live History'!$B$5:$B$3004,$K1588),INDEX('AH History'!$D$5:$GG$1380,$K1588,AH!$U$10))))&gt;0),IF(AND(AH!$U$12=1,1583+1=AH!$U$6),IF(AH!$U$4=0,"unavailable",INDEX('Market Data'!$AN$5:$AN$66,AH!$U$4)),IF(AH!$U$5=1,INDEX('Live History'!$B$5:$B$3004,$K1588),INDEX('AH History'!$D$5:$GG$1380,$K1588,AH!$U$10))),NA()),NA())</f>
        <v/>
      </c>
      <c r="F1588" s="32">
        <f>IFERROR(IF(ISNUMBER($A1588),IF(AND(AH!$U$12=1,1583+1=AH!$U$6),IF(AH!$U$4=0,"unavailable",INDEX('Market Data'!$AO$5:$AO$66,AH!$U$4)),IF(AH!$U$5=1,INDEX('Live History'!$E$5:$E$3004,MATCH($A1588,'Live History'!$D$5:$D$3004,1)),INDEX('AH History'!$D$5:$GG$1380,$K1588,AH!$U$10+1))),NA()),NA())</f>
        <v/>
      </c>
      <c r="G1588" s="34">
        <f>IFERROR(IF(ISNUMBER($A1588),IF(AND(AH!$U$12=1,1583+1=AH!$U$6),IF(AH!$U$4=0,"unavailable",INDEX('Market Data'!$AK$5:$AK$66,AH!$U$4)),IF(AH!$U$5=1,INDEX('Live History'!$D$5:$D$3004,MATCH($A1588,'Live History'!$D$5:$D$3004,1)),INDEX('AH History'!$D$5:$GG$1380,$K1588,AH!$U$10+2))),NA()),NA())</f>
        <v/>
      </c>
      <c r="H1588" s="266">
        <f>IFERROR(IF(ISNUMBER($A1588),IF(AND(AH!$U$12=1,1583+1=AH!$U$6),IF(AH!$U$4=0,"unavailable",INDEX('Market Data'!$AP$5:$AP$66,AH!$U$4)),IF(AH!$U$5=1,INDEX('Live History'!$H$5:$H$3004,MATCH($A1588,'Live History'!$G$5:$G$3004,1)),INDEX('AH History'!$B$5:$B$1380,$K1588))),NA()),NA())</f>
        <v/>
      </c>
      <c r="I1588" s="34">
        <f>IFERROR(IF(ISNUMBER($A1588),IF(AND(AH!$U$12=1,1583+1=AH!$U$6),TODAY(),IF(AH!$U$5=1,INDEX('Live History'!$G$5:$G$3004,MATCH($A1588,'Live History'!$G$5:$G$3004,1)),INDEX('AH History'!$C$5:$C$1380,$K1588))),NA()),NA())</f>
        <v/>
      </c>
      <c r="J1588" s="32">
        <f>IFERROR(IF(AND($F1588&gt;0,$H1588&gt;0,$A1588-$G1588&lt;=10,$A1588-$I1588&lt;=5,$G1588&gt;0,$I1588&gt;0),$F1588*$H1588,NA()),NA())</f>
        <v/>
      </c>
      <c r="K1588" s="15">
        <f>IF($A1588="","",IF(AH!$U$5=1,IFERROR(MATCH($A1588,'Live History'!$A$5:$A$3004,0),0),AH!$U$7+1583))</f>
        <v/>
      </c>
      <c r="L1588" s="15">
        <f>IF(ISNUMBER(A1588),TEXT(A1588,"dd-mmm-yy"),"")</f>
        <v/>
      </c>
    </row>
    <row r="1589">
      <c r="A1589" s="14">
        <f>IF(OR(AH!$U$4=0,1584+1&gt;AH!$U$6,AND(AH!$M$5="Bloomberg",AH!$U$5=0)),"",IFERROR(IF(AND(AH!$U$12=1,1584+1=AH!$U$6),TODAY(),IF(AH!$U$5=1,INDEX('Live History'!$A$5:$A$3004,AH!$U$7+1584),INDEX('AH History'!$A$5:$A$1380,AH!$U$7+1584))),""))</f>
        <v/>
      </c>
      <c r="B1589" s="33">
        <f>IFERROR(IF(AH!$U$11=1,NA(),$J1589/$E1589-1),NA())</f>
        <v/>
      </c>
      <c r="C1589" s="269">
        <f>IFERROR(100*$E1589/$E$5,NA())</f>
        <v/>
      </c>
      <c r="D1589" s="269">
        <f>IFERROR(100*$J1589/$J$5,NA())</f>
        <v/>
      </c>
      <c r="E1589" s="32">
        <f>IFERROR(IF(AND(ISNUMBER($A1589),N(IF(AND(AH!$U$12=1,1584+1=AH!$U$6),IF(AH!$U$4=0,"unavailable",INDEX('Market Data'!$AN$5:$AN$66,AH!$U$4)),IF(AH!$U$5=1,INDEX('Live History'!$B$5:$B$3004,$K1589),INDEX('AH History'!$D$5:$GG$1380,$K1589,AH!$U$10))))&gt;0),IF(AND(AH!$U$12=1,1584+1=AH!$U$6),IF(AH!$U$4=0,"unavailable",INDEX('Market Data'!$AN$5:$AN$66,AH!$U$4)),IF(AH!$U$5=1,INDEX('Live History'!$B$5:$B$3004,$K1589),INDEX('AH History'!$D$5:$GG$1380,$K1589,AH!$U$10))),NA()),NA())</f>
        <v/>
      </c>
      <c r="F1589" s="32">
        <f>IFERROR(IF(ISNUMBER($A1589),IF(AND(AH!$U$12=1,1584+1=AH!$U$6),IF(AH!$U$4=0,"unavailable",INDEX('Market Data'!$AO$5:$AO$66,AH!$U$4)),IF(AH!$U$5=1,INDEX('Live History'!$E$5:$E$3004,MATCH($A1589,'Live History'!$D$5:$D$3004,1)),INDEX('AH History'!$D$5:$GG$1380,$K1589,AH!$U$10+1))),NA()),NA())</f>
        <v/>
      </c>
      <c r="G1589" s="34">
        <f>IFERROR(IF(ISNUMBER($A1589),IF(AND(AH!$U$12=1,1584+1=AH!$U$6),IF(AH!$U$4=0,"unavailable",INDEX('Market Data'!$AK$5:$AK$66,AH!$U$4)),IF(AH!$U$5=1,INDEX('Live History'!$D$5:$D$3004,MATCH($A1589,'Live History'!$D$5:$D$3004,1)),INDEX('AH History'!$D$5:$GG$1380,$K1589,AH!$U$10+2))),NA()),NA())</f>
        <v/>
      </c>
      <c r="H1589" s="266">
        <f>IFERROR(IF(ISNUMBER($A1589),IF(AND(AH!$U$12=1,1584+1=AH!$U$6),IF(AH!$U$4=0,"unavailable",INDEX('Market Data'!$AP$5:$AP$66,AH!$U$4)),IF(AH!$U$5=1,INDEX('Live History'!$H$5:$H$3004,MATCH($A1589,'Live History'!$G$5:$G$3004,1)),INDEX('AH History'!$B$5:$B$1380,$K1589))),NA()),NA())</f>
        <v/>
      </c>
      <c r="I1589" s="34">
        <f>IFERROR(IF(ISNUMBER($A1589),IF(AND(AH!$U$12=1,1584+1=AH!$U$6),TODAY(),IF(AH!$U$5=1,INDEX('Live History'!$G$5:$G$3004,MATCH($A1589,'Live History'!$G$5:$G$3004,1)),INDEX('AH History'!$C$5:$C$1380,$K1589))),NA()),NA())</f>
        <v/>
      </c>
      <c r="J1589" s="32">
        <f>IFERROR(IF(AND($F1589&gt;0,$H1589&gt;0,$A1589-$G1589&lt;=10,$A1589-$I1589&lt;=5,$G1589&gt;0,$I1589&gt;0),$F1589*$H1589,NA()),NA())</f>
        <v/>
      </c>
      <c r="K1589" s="15">
        <f>IF($A1589="","",IF(AH!$U$5=1,IFERROR(MATCH($A1589,'Live History'!$A$5:$A$3004,0),0),AH!$U$7+1584))</f>
        <v/>
      </c>
      <c r="L1589" s="15">
        <f>IF(ISNUMBER(A1589),TEXT(A1589,"dd-mmm-yy"),"")</f>
        <v/>
      </c>
    </row>
    <row r="1590">
      <c r="A1590" s="14">
        <f>IF(OR(AH!$U$4=0,1585+1&gt;AH!$U$6,AND(AH!$M$5="Bloomberg",AH!$U$5=0)),"",IFERROR(IF(AND(AH!$U$12=1,1585+1=AH!$U$6),TODAY(),IF(AH!$U$5=1,INDEX('Live History'!$A$5:$A$3004,AH!$U$7+1585),INDEX('AH History'!$A$5:$A$1380,AH!$U$7+1585))),""))</f>
        <v/>
      </c>
      <c r="B1590" s="33">
        <f>IFERROR(IF(AH!$U$11=1,NA(),$J1590/$E1590-1),NA())</f>
        <v/>
      </c>
      <c r="C1590" s="269">
        <f>IFERROR(100*$E1590/$E$5,NA())</f>
        <v/>
      </c>
      <c r="D1590" s="269">
        <f>IFERROR(100*$J1590/$J$5,NA())</f>
        <v/>
      </c>
      <c r="E1590" s="32">
        <f>IFERROR(IF(AND(ISNUMBER($A1590),N(IF(AND(AH!$U$12=1,1585+1=AH!$U$6),IF(AH!$U$4=0,"unavailable",INDEX('Market Data'!$AN$5:$AN$66,AH!$U$4)),IF(AH!$U$5=1,INDEX('Live History'!$B$5:$B$3004,$K1590),INDEX('AH History'!$D$5:$GG$1380,$K1590,AH!$U$10))))&gt;0),IF(AND(AH!$U$12=1,1585+1=AH!$U$6),IF(AH!$U$4=0,"unavailable",INDEX('Market Data'!$AN$5:$AN$66,AH!$U$4)),IF(AH!$U$5=1,INDEX('Live History'!$B$5:$B$3004,$K1590),INDEX('AH History'!$D$5:$GG$1380,$K1590,AH!$U$10))),NA()),NA())</f>
        <v/>
      </c>
      <c r="F1590" s="32">
        <f>IFERROR(IF(ISNUMBER($A1590),IF(AND(AH!$U$12=1,1585+1=AH!$U$6),IF(AH!$U$4=0,"unavailable",INDEX('Market Data'!$AO$5:$AO$66,AH!$U$4)),IF(AH!$U$5=1,INDEX('Live History'!$E$5:$E$3004,MATCH($A1590,'Live History'!$D$5:$D$3004,1)),INDEX('AH History'!$D$5:$GG$1380,$K1590,AH!$U$10+1))),NA()),NA())</f>
        <v/>
      </c>
      <c r="G1590" s="34">
        <f>IFERROR(IF(ISNUMBER($A1590),IF(AND(AH!$U$12=1,1585+1=AH!$U$6),IF(AH!$U$4=0,"unavailable",INDEX('Market Data'!$AK$5:$AK$66,AH!$U$4)),IF(AH!$U$5=1,INDEX('Live History'!$D$5:$D$3004,MATCH($A1590,'Live History'!$D$5:$D$3004,1)),INDEX('AH History'!$D$5:$GG$1380,$K1590,AH!$U$10+2))),NA()),NA())</f>
        <v/>
      </c>
      <c r="H1590" s="266">
        <f>IFERROR(IF(ISNUMBER($A1590),IF(AND(AH!$U$12=1,1585+1=AH!$U$6),IF(AH!$U$4=0,"unavailable",INDEX('Market Data'!$AP$5:$AP$66,AH!$U$4)),IF(AH!$U$5=1,INDEX('Live History'!$H$5:$H$3004,MATCH($A1590,'Live History'!$G$5:$G$3004,1)),INDEX('AH History'!$B$5:$B$1380,$K1590))),NA()),NA())</f>
        <v/>
      </c>
      <c r="I1590" s="34">
        <f>IFERROR(IF(ISNUMBER($A1590),IF(AND(AH!$U$12=1,1585+1=AH!$U$6),TODAY(),IF(AH!$U$5=1,INDEX('Live History'!$G$5:$G$3004,MATCH($A1590,'Live History'!$G$5:$G$3004,1)),INDEX('AH History'!$C$5:$C$1380,$K1590))),NA()),NA())</f>
        <v/>
      </c>
      <c r="J1590" s="32">
        <f>IFERROR(IF(AND($F1590&gt;0,$H1590&gt;0,$A1590-$G1590&lt;=10,$A1590-$I1590&lt;=5,$G1590&gt;0,$I1590&gt;0),$F1590*$H1590,NA()),NA())</f>
        <v/>
      </c>
      <c r="K1590" s="15">
        <f>IF($A1590="","",IF(AH!$U$5=1,IFERROR(MATCH($A1590,'Live History'!$A$5:$A$3004,0),0),AH!$U$7+1585))</f>
        <v/>
      </c>
      <c r="L1590" s="15">
        <f>IF(ISNUMBER(A1590),TEXT(A1590,"dd-mmm-yy"),"")</f>
        <v/>
      </c>
    </row>
    <row r="1591">
      <c r="A1591" s="14">
        <f>IF(OR(AH!$U$4=0,1586+1&gt;AH!$U$6,AND(AH!$M$5="Bloomberg",AH!$U$5=0)),"",IFERROR(IF(AND(AH!$U$12=1,1586+1=AH!$U$6),TODAY(),IF(AH!$U$5=1,INDEX('Live History'!$A$5:$A$3004,AH!$U$7+1586),INDEX('AH History'!$A$5:$A$1380,AH!$U$7+1586))),""))</f>
        <v/>
      </c>
      <c r="B1591" s="33">
        <f>IFERROR(IF(AH!$U$11=1,NA(),$J1591/$E1591-1),NA())</f>
        <v/>
      </c>
      <c r="C1591" s="269">
        <f>IFERROR(100*$E1591/$E$5,NA())</f>
        <v/>
      </c>
      <c r="D1591" s="269">
        <f>IFERROR(100*$J1591/$J$5,NA())</f>
        <v/>
      </c>
      <c r="E1591" s="32">
        <f>IFERROR(IF(AND(ISNUMBER($A1591),N(IF(AND(AH!$U$12=1,1586+1=AH!$U$6),IF(AH!$U$4=0,"unavailable",INDEX('Market Data'!$AN$5:$AN$66,AH!$U$4)),IF(AH!$U$5=1,INDEX('Live History'!$B$5:$B$3004,$K1591),INDEX('AH History'!$D$5:$GG$1380,$K1591,AH!$U$10))))&gt;0),IF(AND(AH!$U$12=1,1586+1=AH!$U$6),IF(AH!$U$4=0,"unavailable",INDEX('Market Data'!$AN$5:$AN$66,AH!$U$4)),IF(AH!$U$5=1,INDEX('Live History'!$B$5:$B$3004,$K1591),INDEX('AH History'!$D$5:$GG$1380,$K1591,AH!$U$10))),NA()),NA())</f>
        <v/>
      </c>
      <c r="F1591" s="32">
        <f>IFERROR(IF(ISNUMBER($A1591),IF(AND(AH!$U$12=1,1586+1=AH!$U$6),IF(AH!$U$4=0,"unavailable",INDEX('Market Data'!$AO$5:$AO$66,AH!$U$4)),IF(AH!$U$5=1,INDEX('Live History'!$E$5:$E$3004,MATCH($A1591,'Live History'!$D$5:$D$3004,1)),INDEX('AH History'!$D$5:$GG$1380,$K1591,AH!$U$10+1))),NA()),NA())</f>
        <v/>
      </c>
      <c r="G1591" s="34">
        <f>IFERROR(IF(ISNUMBER($A1591),IF(AND(AH!$U$12=1,1586+1=AH!$U$6),IF(AH!$U$4=0,"unavailable",INDEX('Market Data'!$AK$5:$AK$66,AH!$U$4)),IF(AH!$U$5=1,INDEX('Live History'!$D$5:$D$3004,MATCH($A1591,'Live History'!$D$5:$D$3004,1)),INDEX('AH History'!$D$5:$GG$1380,$K1591,AH!$U$10+2))),NA()),NA())</f>
        <v/>
      </c>
      <c r="H1591" s="266">
        <f>IFERROR(IF(ISNUMBER($A1591),IF(AND(AH!$U$12=1,1586+1=AH!$U$6),IF(AH!$U$4=0,"unavailable",INDEX('Market Data'!$AP$5:$AP$66,AH!$U$4)),IF(AH!$U$5=1,INDEX('Live History'!$H$5:$H$3004,MATCH($A1591,'Live History'!$G$5:$G$3004,1)),INDEX('AH History'!$B$5:$B$1380,$K1591))),NA()),NA())</f>
        <v/>
      </c>
      <c r="I1591" s="34">
        <f>IFERROR(IF(ISNUMBER($A1591),IF(AND(AH!$U$12=1,1586+1=AH!$U$6),TODAY(),IF(AH!$U$5=1,INDEX('Live History'!$G$5:$G$3004,MATCH($A1591,'Live History'!$G$5:$G$3004,1)),INDEX('AH History'!$C$5:$C$1380,$K1591))),NA()),NA())</f>
        <v/>
      </c>
      <c r="J1591" s="32">
        <f>IFERROR(IF(AND($F1591&gt;0,$H1591&gt;0,$A1591-$G1591&lt;=10,$A1591-$I1591&lt;=5,$G1591&gt;0,$I1591&gt;0),$F1591*$H1591,NA()),NA())</f>
        <v/>
      </c>
      <c r="K1591" s="15">
        <f>IF($A1591="","",IF(AH!$U$5=1,IFERROR(MATCH($A1591,'Live History'!$A$5:$A$3004,0),0),AH!$U$7+1586))</f>
        <v/>
      </c>
      <c r="L1591" s="15">
        <f>IF(ISNUMBER(A1591),TEXT(A1591,"dd-mmm-yy"),"")</f>
        <v/>
      </c>
    </row>
    <row r="1592">
      <c r="A1592" s="14">
        <f>IF(OR(AH!$U$4=0,1587+1&gt;AH!$U$6,AND(AH!$M$5="Bloomberg",AH!$U$5=0)),"",IFERROR(IF(AND(AH!$U$12=1,1587+1=AH!$U$6),TODAY(),IF(AH!$U$5=1,INDEX('Live History'!$A$5:$A$3004,AH!$U$7+1587),INDEX('AH History'!$A$5:$A$1380,AH!$U$7+1587))),""))</f>
        <v/>
      </c>
      <c r="B1592" s="33">
        <f>IFERROR(IF(AH!$U$11=1,NA(),$J1592/$E1592-1),NA())</f>
        <v/>
      </c>
      <c r="C1592" s="269">
        <f>IFERROR(100*$E1592/$E$5,NA())</f>
        <v/>
      </c>
      <c r="D1592" s="269">
        <f>IFERROR(100*$J1592/$J$5,NA())</f>
        <v/>
      </c>
      <c r="E1592" s="32">
        <f>IFERROR(IF(AND(ISNUMBER($A1592),N(IF(AND(AH!$U$12=1,1587+1=AH!$U$6),IF(AH!$U$4=0,"unavailable",INDEX('Market Data'!$AN$5:$AN$66,AH!$U$4)),IF(AH!$U$5=1,INDEX('Live History'!$B$5:$B$3004,$K1592),INDEX('AH History'!$D$5:$GG$1380,$K1592,AH!$U$10))))&gt;0),IF(AND(AH!$U$12=1,1587+1=AH!$U$6),IF(AH!$U$4=0,"unavailable",INDEX('Market Data'!$AN$5:$AN$66,AH!$U$4)),IF(AH!$U$5=1,INDEX('Live History'!$B$5:$B$3004,$K1592),INDEX('AH History'!$D$5:$GG$1380,$K1592,AH!$U$10))),NA()),NA())</f>
        <v/>
      </c>
      <c r="F1592" s="32">
        <f>IFERROR(IF(ISNUMBER($A1592),IF(AND(AH!$U$12=1,1587+1=AH!$U$6),IF(AH!$U$4=0,"unavailable",INDEX('Market Data'!$AO$5:$AO$66,AH!$U$4)),IF(AH!$U$5=1,INDEX('Live History'!$E$5:$E$3004,MATCH($A1592,'Live History'!$D$5:$D$3004,1)),INDEX('AH History'!$D$5:$GG$1380,$K1592,AH!$U$10+1))),NA()),NA())</f>
        <v/>
      </c>
      <c r="G1592" s="34">
        <f>IFERROR(IF(ISNUMBER($A1592),IF(AND(AH!$U$12=1,1587+1=AH!$U$6),IF(AH!$U$4=0,"unavailable",INDEX('Market Data'!$AK$5:$AK$66,AH!$U$4)),IF(AH!$U$5=1,INDEX('Live History'!$D$5:$D$3004,MATCH($A1592,'Live History'!$D$5:$D$3004,1)),INDEX('AH History'!$D$5:$GG$1380,$K1592,AH!$U$10+2))),NA()),NA())</f>
        <v/>
      </c>
      <c r="H1592" s="266">
        <f>IFERROR(IF(ISNUMBER($A1592),IF(AND(AH!$U$12=1,1587+1=AH!$U$6),IF(AH!$U$4=0,"unavailable",INDEX('Market Data'!$AP$5:$AP$66,AH!$U$4)),IF(AH!$U$5=1,INDEX('Live History'!$H$5:$H$3004,MATCH($A1592,'Live History'!$G$5:$G$3004,1)),INDEX('AH History'!$B$5:$B$1380,$K1592))),NA()),NA())</f>
        <v/>
      </c>
      <c r="I1592" s="34">
        <f>IFERROR(IF(ISNUMBER($A1592),IF(AND(AH!$U$12=1,1587+1=AH!$U$6),TODAY(),IF(AH!$U$5=1,INDEX('Live History'!$G$5:$G$3004,MATCH($A1592,'Live History'!$G$5:$G$3004,1)),INDEX('AH History'!$C$5:$C$1380,$K1592))),NA()),NA())</f>
        <v/>
      </c>
      <c r="J1592" s="32">
        <f>IFERROR(IF(AND($F1592&gt;0,$H1592&gt;0,$A1592-$G1592&lt;=10,$A1592-$I1592&lt;=5,$G1592&gt;0,$I1592&gt;0),$F1592*$H1592,NA()),NA())</f>
        <v/>
      </c>
      <c r="K1592" s="15">
        <f>IF($A1592="","",IF(AH!$U$5=1,IFERROR(MATCH($A1592,'Live History'!$A$5:$A$3004,0),0),AH!$U$7+1587))</f>
        <v/>
      </c>
      <c r="L1592" s="15">
        <f>IF(ISNUMBER(A1592),TEXT(A1592,"dd-mmm-yy"),"")</f>
        <v/>
      </c>
    </row>
    <row r="1593">
      <c r="A1593" s="14">
        <f>IF(OR(AH!$U$4=0,1588+1&gt;AH!$U$6,AND(AH!$M$5="Bloomberg",AH!$U$5=0)),"",IFERROR(IF(AND(AH!$U$12=1,1588+1=AH!$U$6),TODAY(),IF(AH!$U$5=1,INDEX('Live History'!$A$5:$A$3004,AH!$U$7+1588),INDEX('AH History'!$A$5:$A$1380,AH!$U$7+1588))),""))</f>
        <v/>
      </c>
      <c r="B1593" s="33">
        <f>IFERROR(IF(AH!$U$11=1,NA(),$J1593/$E1593-1),NA())</f>
        <v/>
      </c>
      <c r="C1593" s="269">
        <f>IFERROR(100*$E1593/$E$5,NA())</f>
        <v/>
      </c>
      <c r="D1593" s="269">
        <f>IFERROR(100*$J1593/$J$5,NA())</f>
        <v/>
      </c>
      <c r="E1593" s="32">
        <f>IFERROR(IF(AND(ISNUMBER($A1593),N(IF(AND(AH!$U$12=1,1588+1=AH!$U$6),IF(AH!$U$4=0,"unavailable",INDEX('Market Data'!$AN$5:$AN$66,AH!$U$4)),IF(AH!$U$5=1,INDEX('Live History'!$B$5:$B$3004,$K1593),INDEX('AH History'!$D$5:$GG$1380,$K1593,AH!$U$10))))&gt;0),IF(AND(AH!$U$12=1,1588+1=AH!$U$6),IF(AH!$U$4=0,"unavailable",INDEX('Market Data'!$AN$5:$AN$66,AH!$U$4)),IF(AH!$U$5=1,INDEX('Live History'!$B$5:$B$3004,$K1593),INDEX('AH History'!$D$5:$GG$1380,$K1593,AH!$U$10))),NA()),NA())</f>
        <v/>
      </c>
      <c r="F1593" s="32">
        <f>IFERROR(IF(ISNUMBER($A1593),IF(AND(AH!$U$12=1,1588+1=AH!$U$6),IF(AH!$U$4=0,"unavailable",INDEX('Market Data'!$AO$5:$AO$66,AH!$U$4)),IF(AH!$U$5=1,INDEX('Live History'!$E$5:$E$3004,MATCH($A1593,'Live History'!$D$5:$D$3004,1)),INDEX('AH History'!$D$5:$GG$1380,$K1593,AH!$U$10+1))),NA()),NA())</f>
        <v/>
      </c>
      <c r="G1593" s="34">
        <f>IFERROR(IF(ISNUMBER($A1593),IF(AND(AH!$U$12=1,1588+1=AH!$U$6),IF(AH!$U$4=0,"unavailable",INDEX('Market Data'!$AK$5:$AK$66,AH!$U$4)),IF(AH!$U$5=1,INDEX('Live History'!$D$5:$D$3004,MATCH($A1593,'Live History'!$D$5:$D$3004,1)),INDEX('AH History'!$D$5:$GG$1380,$K1593,AH!$U$10+2))),NA()),NA())</f>
        <v/>
      </c>
      <c r="H1593" s="266">
        <f>IFERROR(IF(ISNUMBER($A1593),IF(AND(AH!$U$12=1,1588+1=AH!$U$6),IF(AH!$U$4=0,"unavailable",INDEX('Market Data'!$AP$5:$AP$66,AH!$U$4)),IF(AH!$U$5=1,INDEX('Live History'!$H$5:$H$3004,MATCH($A1593,'Live History'!$G$5:$G$3004,1)),INDEX('AH History'!$B$5:$B$1380,$K1593))),NA()),NA())</f>
        <v/>
      </c>
      <c r="I1593" s="34">
        <f>IFERROR(IF(ISNUMBER($A1593),IF(AND(AH!$U$12=1,1588+1=AH!$U$6),TODAY(),IF(AH!$U$5=1,INDEX('Live History'!$G$5:$G$3004,MATCH($A1593,'Live History'!$G$5:$G$3004,1)),INDEX('AH History'!$C$5:$C$1380,$K1593))),NA()),NA())</f>
        <v/>
      </c>
      <c r="J1593" s="32">
        <f>IFERROR(IF(AND($F1593&gt;0,$H1593&gt;0,$A1593-$G1593&lt;=10,$A1593-$I1593&lt;=5,$G1593&gt;0,$I1593&gt;0),$F1593*$H1593,NA()),NA())</f>
        <v/>
      </c>
      <c r="K1593" s="15">
        <f>IF($A1593="","",IF(AH!$U$5=1,IFERROR(MATCH($A1593,'Live History'!$A$5:$A$3004,0),0),AH!$U$7+1588))</f>
        <v/>
      </c>
      <c r="L1593" s="15">
        <f>IF(ISNUMBER(A1593),TEXT(A1593,"dd-mmm-yy"),"")</f>
        <v/>
      </c>
    </row>
    <row r="1594">
      <c r="A1594" s="14">
        <f>IF(OR(AH!$U$4=0,1589+1&gt;AH!$U$6,AND(AH!$M$5="Bloomberg",AH!$U$5=0)),"",IFERROR(IF(AND(AH!$U$12=1,1589+1=AH!$U$6),TODAY(),IF(AH!$U$5=1,INDEX('Live History'!$A$5:$A$3004,AH!$U$7+1589),INDEX('AH History'!$A$5:$A$1380,AH!$U$7+1589))),""))</f>
        <v/>
      </c>
      <c r="B1594" s="33">
        <f>IFERROR(IF(AH!$U$11=1,NA(),$J1594/$E1594-1),NA())</f>
        <v/>
      </c>
      <c r="C1594" s="269">
        <f>IFERROR(100*$E1594/$E$5,NA())</f>
        <v/>
      </c>
      <c r="D1594" s="269">
        <f>IFERROR(100*$J1594/$J$5,NA())</f>
        <v/>
      </c>
      <c r="E1594" s="32">
        <f>IFERROR(IF(AND(ISNUMBER($A1594),N(IF(AND(AH!$U$12=1,1589+1=AH!$U$6),IF(AH!$U$4=0,"unavailable",INDEX('Market Data'!$AN$5:$AN$66,AH!$U$4)),IF(AH!$U$5=1,INDEX('Live History'!$B$5:$B$3004,$K1594),INDEX('AH History'!$D$5:$GG$1380,$K1594,AH!$U$10))))&gt;0),IF(AND(AH!$U$12=1,1589+1=AH!$U$6),IF(AH!$U$4=0,"unavailable",INDEX('Market Data'!$AN$5:$AN$66,AH!$U$4)),IF(AH!$U$5=1,INDEX('Live History'!$B$5:$B$3004,$K1594),INDEX('AH History'!$D$5:$GG$1380,$K1594,AH!$U$10))),NA()),NA())</f>
        <v/>
      </c>
      <c r="F1594" s="32">
        <f>IFERROR(IF(ISNUMBER($A1594),IF(AND(AH!$U$12=1,1589+1=AH!$U$6),IF(AH!$U$4=0,"unavailable",INDEX('Market Data'!$AO$5:$AO$66,AH!$U$4)),IF(AH!$U$5=1,INDEX('Live History'!$E$5:$E$3004,MATCH($A1594,'Live History'!$D$5:$D$3004,1)),INDEX('AH History'!$D$5:$GG$1380,$K1594,AH!$U$10+1))),NA()),NA())</f>
        <v/>
      </c>
      <c r="G1594" s="34">
        <f>IFERROR(IF(ISNUMBER($A1594),IF(AND(AH!$U$12=1,1589+1=AH!$U$6),IF(AH!$U$4=0,"unavailable",INDEX('Market Data'!$AK$5:$AK$66,AH!$U$4)),IF(AH!$U$5=1,INDEX('Live History'!$D$5:$D$3004,MATCH($A1594,'Live History'!$D$5:$D$3004,1)),INDEX('AH History'!$D$5:$GG$1380,$K1594,AH!$U$10+2))),NA()),NA())</f>
        <v/>
      </c>
      <c r="H1594" s="266">
        <f>IFERROR(IF(ISNUMBER($A1594),IF(AND(AH!$U$12=1,1589+1=AH!$U$6),IF(AH!$U$4=0,"unavailable",INDEX('Market Data'!$AP$5:$AP$66,AH!$U$4)),IF(AH!$U$5=1,INDEX('Live History'!$H$5:$H$3004,MATCH($A1594,'Live History'!$G$5:$G$3004,1)),INDEX('AH History'!$B$5:$B$1380,$K1594))),NA()),NA())</f>
        <v/>
      </c>
      <c r="I1594" s="34">
        <f>IFERROR(IF(ISNUMBER($A1594),IF(AND(AH!$U$12=1,1589+1=AH!$U$6),TODAY(),IF(AH!$U$5=1,INDEX('Live History'!$G$5:$G$3004,MATCH($A1594,'Live History'!$G$5:$G$3004,1)),INDEX('AH History'!$C$5:$C$1380,$K1594))),NA()),NA())</f>
        <v/>
      </c>
      <c r="J1594" s="32">
        <f>IFERROR(IF(AND($F1594&gt;0,$H1594&gt;0,$A1594-$G1594&lt;=10,$A1594-$I1594&lt;=5,$G1594&gt;0,$I1594&gt;0),$F1594*$H1594,NA()),NA())</f>
        <v/>
      </c>
      <c r="K1594" s="15">
        <f>IF($A1594="","",IF(AH!$U$5=1,IFERROR(MATCH($A1594,'Live History'!$A$5:$A$3004,0),0),AH!$U$7+1589))</f>
        <v/>
      </c>
      <c r="L1594" s="15">
        <f>IF(ISNUMBER(A1594),TEXT(A1594,"dd-mmm-yy"),"")</f>
        <v/>
      </c>
    </row>
    <row r="1595">
      <c r="A1595" s="14">
        <f>IF(OR(AH!$U$4=0,1590+1&gt;AH!$U$6,AND(AH!$M$5="Bloomberg",AH!$U$5=0)),"",IFERROR(IF(AND(AH!$U$12=1,1590+1=AH!$U$6),TODAY(),IF(AH!$U$5=1,INDEX('Live History'!$A$5:$A$3004,AH!$U$7+1590),INDEX('AH History'!$A$5:$A$1380,AH!$U$7+1590))),""))</f>
        <v/>
      </c>
      <c r="B1595" s="33">
        <f>IFERROR(IF(AH!$U$11=1,NA(),$J1595/$E1595-1),NA())</f>
        <v/>
      </c>
      <c r="C1595" s="269">
        <f>IFERROR(100*$E1595/$E$5,NA())</f>
        <v/>
      </c>
      <c r="D1595" s="269">
        <f>IFERROR(100*$J1595/$J$5,NA())</f>
        <v/>
      </c>
      <c r="E1595" s="32">
        <f>IFERROR(IF(AND(ISNUMBER($A1595),N(IF(AND(AH!$U$12=1,1590+1=AH!$U$6),IF(AH!$U$4=0,"unavailable",INDEX('Market Data'!$AN$5:$AN$66,AH!$U$4)),IF(AH!$U$5=1,INDEX('Live History'!$B$5:$B$3004,$K1595),INDEX('AH History'!$D$5:$GG$1380,$K1595,AH!$U$10))))&gt;0),IF(AND(AH!$U$12=1,1590+1=AH!$U$6),IF(AH!$U$4=0,"unavailable",INDEX('Market Data'!$AN$5:$AN$66,AH!$U$4)),IF(AH!$U$5=1,INDEX('Live History'!$B$5:$B$3004,$K1595),INDEX('AH History'!$D$5:$GG$1380,$K1595,AH!$U$10))),NA()),NA())</f>
        <v/>
      </c>
      <c r="F1595" s="32">
        <f>IFERROR(IF(ISNUMBER($A1595),IF(AND(AH!$U$12=1,1590+1=AH!$U$6),IF(AH!$U$4=0,"unavailable",INDEX('Market Data'!$AO$5:$AO$66,AH!$U$4)),IF(AH!$U$5=1,INDEX('Live History'!$E$5:$E$3004,MATCH($A1595,'Live History'!$D$5:$D$3004,1)),INDEX('AH History'!$D$5:$GG$1380,$K1595,AH!$U$10+1))),NA()),NA())</f>
        <v/>
      </c>
      <c r="G1595" s="34">
        <f>IFERROR(IF(ISNUMBER($A1595),IF(AND(AH!$U$12=1,1590+1=AH!$U$6),IF(AH!$U$4=0,"unavailable",INDEX('Market Data'!$AK$5:$AK$66,AH!$U$4)),IF(AH!$U$5=1,INDEX('Live History'!$D$5:$D$3004,MATCH($A1595,'Live History'!$D$5:$D$3004,1)),INDEX('AH History'!$D$5:$GG$1380,$K1595,AH!$U$10+2))),NA()),NA())</f>
        <v/>
      </c>
      <c r="H1595" s="266">
        <f>IFERROR(IF(ISNUMBER($A1595),IF(AND(AH!$U$12=1,1590+1=AH!$U$6),IF(AH!$U$4=0,"unavailable",INDEX('Market Data'!$AP$5:$AP$66,AH!$U$4)),IF(AH!$U$5=1,INDEX('Live History'!$H$5:$H$3004,MATCH($A1595,'Live History'!$G$5:$G$3004,1)),INDEX('AH History'!$B$5:$B$1380,$K1595))),NA()),NA())</f>
        <v/>
      </c>
      <c r="I1595" s="34">
        <f>IFERROR(IF(ISNUMBER($A1595),IF(AND(AH!$U$12=1,1590+1=AH!$U$6),TODAY(),IF(AH!$U$5=1,INDEX('Live History'!$G$5:$G$3004,MATCH($A1595,'Live History'!$G$5:$G$3004,1)),INDEX('AH History'!$C$5:$C$1380,$K1595))),NA()),NA())</f>
        <v/>
      </c>
      <c r="J1595" s="32">
        <f>IFERROR(IF(AND($F1595&gt;0,$H1595&gt;0,$A1595-$G1595&lt;=10,$A1595-$I1595&lt;=5,$G1595&gt;0,$I1595&gt;0),$F1595*$H1595,NA()),NA())</f>
        <v/>
      </c>
      <c r="K1595" s="15">
        <f>IF($A1595="","",IF(AH!$U$5=1,IFERROR(MATCH($A1595,'Live History'!$A$5:$A$3004,0),0),AH!$U$7+1590))</f>
        <v/>
      </c>
      <c r="L1595" s="15">
        <f>IF(ISNUMBER(A1595),TEXT(A1595,"dd-mmm-yy"),"")</f>
        <v/>
      </c>
    </row>
    <row r="1596">
      <c r="A1596" s="14">
        <f>IF(OR(AH!$U$4=0,1591+1&gt;AH!$U$6,AND(AH!$M$5="Bloomberg",AH!$U$5=0)),"",IFERROR(IF(AND(AH!$U$12=1,1591+1=AH!$U$6),TODAY(),IF(AH!$U$5=1,INDEX('Live History'!$A$5:$A$3004,AH!$U$7+1591),INDEX('AH History'!$A$5:$A$1380,AH!$U$7+1591))),""))</f>
        <v/>
      </c>
      <c r="B1596" s="33">
        <f>IFERROR(IF(AH!$U$11=1,NA(),$J1596/$E1596-1),NA())</f>
        <v/>
      </c>
      <c r="C1596" s="269">
        <f>IFERROR(100*$E1596/$E$5,NA())</f>
        <v/>
      </c>
      <c r="D1596" s="269">
        <f>IFERROR(100*$J1596/$J$5,NA())</f>
        <v/>
      </c>
      <c r="E1596" s="32">
        <f>IFERROR(IF(AND(ISNUMBER($A1596),N(IF(AND(AH!$U$12=1,1591+1=AH!$U$6),IF(AH!$U$4=0,"unavailable",INDEX('Market Data'!$AN$5:$AN$66,AH!$U$4)),IF(AH!$U$5=1,INDEX('Live History'!$B$5:$B$3004,$K1596),INDEX('AH History'!$D$5:$GG$1380,$K1596,AH!$U$10))))&gt;0),IF(AND(AH!$U$12=1,1591+1=AH!$U$6),IF(AH!$U$4=0,"unavailable",INDEX('Market Data'!$AN$5:$AN$66,AH!$U$4)),IF(AH!$U$5=1,INDEX('Live History'!$B$5:$B$3004,$K1596),INDEX('AH History'!$D$5:$GG$1380,$K1596,AH!$U$10))),NA()),NA())</f>
        <v/>
      </c>
      <c r="F1596" s="32">
        <f>IFERROR(IF(ISNUMBER($A1596),IF(AND(AH!$U$12=1,1591+1=AH!$U$6),IF(AH!$U$4=0,"unavailable",INDEX('Market Data'!$AO$5:$AO$66,AH!$U$4)),IF(AH!$U$5=1,INDEX('Live History'!$E$5:$E$3004,MATCH($A1596,'Live History'!$D$5:$D$3004,1)),INDEX('AH History'!$D$5:$GG$1380,$K1596,AH!$U$10+1))),NA()),NA())</f>
        <v/>
      </c>
      <c r="G1596" s="34">
        <f>IFERROR(IF(ISNUMBER($A1596),IF(AND(AH!$U$12=1,1591+1=AH!$U$6),IF(AH!$U$4=0,"unavailable",INDEX('Market Data'!$AK$5:$AK$66,AH!$U$4)),IF(AH!$U$5=1,INDEX('Live History'!$D$5:$D$3004,MATCH($A1596,'Live History'!$D$5:$D$3004,1)),INDEX('AH History'!$D$5:$GG$1380,$K1596,AH!$U$10+2))),NA()),NA())</f>
        <v/>
      </c>
      <c r="H1596" s="266">
        <f>IFERROR(IF(ISNUMBER($A1596),IF(AND(AH!$U$12=1,1591+1=AH!$U$6),IF(AH!$U$4=0,"unavailable",INDEX('Market Data'!$AP$5:$AP$66,AH!$U$4)),IF(AH!$U$5=1,INDEX('Live History'!$H$5:$H$3004,MATCH($A1596,'Live History'!$G$5:$G$3004,1)),INDEX('AH History'!$B$5:$B$1380,$K1596))),NA()),NA())</f>
        <v/>
      </c>
      <c r="I1596" s="34">
        <f>IFERROR(IF(ISNUMBER($A1596),IF(AND(AH!$U$12=1,1591+1=AH!$U$6),TODAY(),IF(AH!$U$5=1,INDEX('Live History'!$G$5:$G$3004,MATCH($A1596,'Live History'!$G$5:$G$3004,1)),INDEX('AH History'!$C$5:$C$1380,$K1596))),NA()),NA())</f>
        <v/>
      </c>
      <c r="J1596" s="32">
        <f>IFERROR(IF(AND($F1596&gt;0,$H1596&gt;0,$A1596-$G1596&lt;=10,$A1596-$I1596&lt;=5,$G1596&gt;0,$I1596&gt;0),$F1596*$H1596,NA()),NA())</f>
        <v/>
      </c>
      <c r="K1596" s="15">
        <f>IF($A1596="","",IF(AH!$U$5=1,IFERROR(MATCH($A1596,'Live History'!$A$5:$A$3004,0),0),AH!$U$7+1591))</f>
        <v/>
      </c>
      <c r="L1596" s="15">
        <f>IF(ISNUMBER(A1596),TEXT(A1596,"dd-mmm-yy"),"")</f>
        <v/>
      </c>
    </row>
    <row r="1597">
      <c r="A1597" s="14">
        <f>IF(OR(AH!$U$4=0,1592+1&gt;AH!$U$6,AND(AH!$M$5="Bloomberg",AH!$U$5=0)),"",IFERROR(IF(AND(AH!$U$12=1,1592+1=AH!$U$6),TODAY(),IF(AH!$U$5=1,INDEX('Live History'!$A$5:$A$3004,AH!$U$7+1592),INDEX('AH History'!$A$5:$A$1380,AH!$U$7+1592))),""))</f>
        <v/>
      </c>
      <c r="B1597" s="33">
        <f>IFERROR(IF(AH!$U$11=1,NA(),$J1597/$E1597-1),NA())</f>
        <v/>
      </c>
      <c r="C1597" s="269">
        <f>IFERROR(100*$E1597/$E$5,NA())</f>
        <v/>
      </c>
      <c r="D1597" s="269">
        <f>IFERROR(100*$J1597/$J$5,NA())</f>
        <v/>
      </c>
      <c r="E1597" s="32">
        <f>IFERROR(IF(AND(ISNUMBER($A1597),N(IF(AND(AH!$U$12=1,1592+1=AH!$U$6),IF(AH!$U$4=0,"unavailable",INDEX('Market Data'!$AN$5:$AN$66,AH!$U$4)),IF(AH!$U$5=1,INDEX('Live History'!$B$5:$B$3004,$K1597),INDEX('AH History'!$D$5:$GG$1380,$K1597,AH!$U$10))))&gt;0),IF(AND(AH!$U$12=1,1592+1=AH!$U$6),IF(AH!$U$4=0,"unavailable",INDEX('Market Data'!$AN$5:$AN$66,AH!$U$4)),IF(AH!$U$5=1,INDEX('Live History'!$B$5:$B$3004,$K1597),INDEX('AH History'!$D$5:$GG$1380,$K1597,AH!$U$10))),NA()),NA())</f>
        <v/>
      </c>
      <c r="F1597" s="32">
        <f>IFERROR(IF(ISNUMBER($A1597),IF(AND(AH!$U$12=1,1592+1=AH!$U$6),IF(AH!$U$4=0,"unavailable",INDEX('Market Data'!$AO$5:$AO$66,AH!$U$4)),IF(AH!$U$5=1,INDEX('Live History'!$E$5:$E$3004,MATCH($A1597,'Live History'!$D$5:$D$3004,1)),INDEX('AH History'!$D$5:$GG$1380,$K1597,AH!$U$10+1))),NA()),NA())</f>
        <v/>
      </c>
      <c r="G1597" s="34">
        <f>IFERROR(IF(ISNUMBER($A1597),IF(AND(AH!$U$12=1,1592+1=AH!$U$6),IF(AH!$U$4=0,"unavailable",INDEX('Market Data'!$AK$5:$AK$66,AH!$U$4)),IF(AH!$U$5=1,INDEX('Live History'!$D$5:$D$3004,MATCH($A1597,'Live History'!$D$5:$D$3004,1)),INDEX('AH History'!$D$5:$GG$1380,$K1597,AH!$U$10+2))),NA()),NA())</f>
        <v/>
      </c>
      <c r="H1597" s="266">
        <f>IFERROR(IF(ISNUMBER($A1597),IF(AND(AH!$U$12=1,1592+1=AH!$U$6),IF(AH!$U$4=0,"unavailable",INDEX('Market Data'!$AP$5:$AP$66,AH!$U$4)),IF(AH!$U$5=1,INDEX('Live History'!$H$5:$H$3004,MATCH($A1597,'Live History'!$G$5:$G$3004,1)),INDEX('AH History'!$B$5:$B$1380,$K1597))),NA()),NA())</f>
        <v/>
      </c>
      <c r="I1597" s="34">
        <f>IFERROR(IF(ISNUMBER($A1597),IF(AND(AH!$U$12=1,1592+1=AH!$U$6),TODAY(),IF(AH!$U$5=1,INDEX('Live History'!$G$5:$G$3004,MATCH($A1597,'Live History'!$G$5:$G$3004,1)),INDEX('AH History'!$C$5:$C$1380,$K1597))),NA()),NA())</f>
        <v/>
      </c>
      <c r="J1597" s="32">
        <f>IFERROR(IF(AND($F1597&gt;0,$H1597&gt;0,$A1597-$G1597&lt;=10,$A1597-$I1597&lt;=5,$G1597&gt;0,$I1597&gt;0),$F1597*$H1597,NA()),NA())</f>
        <v/>
      </c>
      <c r="K1597" s="15">
        <f>IF($A1597="","",IF(AH!$U$5=1,IFERROR(MATCH($A1597,'Live History'!$A$5:$A$3004,0),0),AH!$U$7+1592))</f>
        <v/>
      </c>
      <c r="L1597" s="15">
        <f>IF(ISNUMBER(A1597),TEXT(A1597,"dd-mmm-yy"),"")</f>
        <v/>
      </c>
    </row>
    <row r="1598">
      <c r="A1598" s="14">
        <f>IF(OR(AH!$U$4=0,1593+1&gt;AH!$U$6,AND(AH!$M$5="Bloomberg",AH!$U$5=0)),"",IFERROR(IF(AND(AH!$U$12=1,1593+1=AH!$U$6),TODAY(),IF(AH!$U$5=1,INDEX('Live History'!$A$5:$A$3004,AH!$U$7+1593),INDEX('AH History'!$A$5:$A$1380,AH!$U$7+1593))),""))</f>
        <v/>
      </c>
      <c r="B1598" s="33">
        <f>IFERROR(IF(AH!$U$11=1,NA(),$J1598/$E1598-1),NA())</f>
        <v/>
      </c>
      <c r="C1598" s="269">
        <f>IFERROR(100*$E1598/$E$5,NA())</f>
        <v/>
      </c>
      <c r="D1598" s="269">
        <f>IFERROR(100*$J1598/$J$5,NA())</f>
        <v/>
      </c>
      <c r="E1598" s="32">
        <f>IFERROR(IF(AND(ISNUMBER($A1598),N(IF(AND(AH!$U$12=1,1593+1=AH!$U$6),IF(AH!$U$4=0,"unavailable",INDEX('Market Data'!$AN$5:$AN$66,AH!$U$4)),IF(AH!$U$5=1,INDEX('Live History'!$B$5:$B$3004,$K1598),INDEX('AH History'!$D$5:$GG$1380,$K1598,AH!$U$10))))&gt;0),IF(AND(AH!$U$12=1,1593+1=AH!$U$6),IF(AH!$U$4=0,"unavailable",INDEX('Market Data'!$AN$5:$AN$66,AH!$U$4)),IF(AH!$U$5=1,INDEX('Live History'!$B$5:$B$3004,$K1598),INDEX('AH History'!$D$5:$GG$1380,$K1598,AH!$U$10))),NA()),NA())</f>
        <v/>
      </c>
      <c r="F1598" s="32">
        <f>IFERROR(IF(ISNUMBER($A1598),IF(AND(AH!$U$12=1,1593+1=AH!$U$6),IF(AH!$U$4=0,"unavailable",INDEX('Market Data'!$AO$5:$AO$66,AH!$U$4)),IF(AH!$U$5=1,INDEX('Live History'!$E$5:$E$3004,MATCH($A1598,'Live History'!$D$5:$D$3004,1)),INDEX('AH History'!$D$5:$GG$1380,$K1598,AH!$U$10+1))),NA()),NA())</f>
        <v/>
      </c>
      <c r="G1598" s="34">
        <f>IFERROR(IF(ISNUMBER($A1598),IF(AND(AH!$U$12=1,1593+1=AH!$U$6),IF(AH!$U$4=0,"unavailable",INDEX('Market Data'!$AK$5:$AK$66,AH!$U$4)),IF(AH!$U$5=1,INDEX('Live History'!$D$5:$D$3004,MATCH($A1598,'Live History'!$D$5:$D$3004,1)),INDEX('AH History'!$D$5:$GG$1380,$K1598,AH!$U$10+2))),NA()),NA())</f>
        <v/>
      </c>
      <c r="H1598" s="266">
        <f>IFERROR(IF(ISNUMBER($A1598),IF(AND(AH!$U$12=1,1593+1=AH!$U$6),IF(AH!$U$4=0,"unavailable",INDEX('Market Data'!$AP$5:$AP$66,AH!$U$4)),IF(AH!$U$5=1,INDEX('Live History'!$H$5:$H$3004,MATCH($A1598,'Live History'!$G$5:$G$3004,1)),INDEX('AH History'!$B$5:$B$1380,$K1598))),NA()),NA())</f>
        <v/>
      </c>
      <c r="I1598" s="34">
        <f>IFERROR(IF(ISNUMBER($A1598),IF(AND(AH!$U$12=1,1593+1=AH!$U$6),TODAY(),IF(AH!$U$5=1,INDEX('Live History'!$G$5:$G$3004,MATCH($A1598,'Live History'!$G$5:$G$3004,1)),INDEX('AH History'!$C$5:$C$1380,$K1598))),NA()),NA())</f>
        <v/>
      </c>
      <c r="J1598" s="32">
        <f>IFERROR(IF(AND($F1598&gt;0,$H1598&gt;0,$A1598-$G1598&lt;=10,$A1598-$I1598&lt;=5,$G1598&gt;0,$I1598&gt;0),$F1598*$H1598,NA()),NA())</f>
        <v/>
      </c>
      <c r="K1598" s="15">
        <f>IF($A1598="","",IF(AH!$U$5=1,IFERROR(MATCH($A1598,'Live History'!$A$5:$A$3004,0),0),AH!$U$7+1593))</f>
        <v/>
      </c>
      <c r="L1598" s="15">
        <f>IF(ISNUMBER(A1598),TEXT(A1598,"dd-mmm-yy"),"")</f>
        <v/>
      </c>
    </row>
    <row r="1599">
      <c r="A1599" s="14">
        <f>IF(OR(AH!$U$4=0,1594+1&gt;AH!$U$6,AND(AH!$M$5="Bloomberg",AH!$U$5=0)),"",IFERROR(IF(AND(AH!$U$12=1,1594+1=AH!$U$6),TODAY(),IF(AH!$U$5=1,INDEX('Live History'!$A$5:$A$3004,AH!$U$7+1594),INDEX('AH History'!$A$5:$A$1380,AH!$U$7+1594))),""))</f>
        <v/>
      </c>
      <c r="B1599" s="33">
        <f>IFERROR(IF(AH!$U$11=1,NA(),$J1599/$E1599-1),NA())</f>
        <v/>
      </c>
      <c r="C1599" s="269">
        <f>IFERROR(100*$E1599/$E$5,NA())</f>
        <v/>
      </c>
      <c r="D1599" s="269">
        <f>IFERROR(100*$J1599/$J$5,NA())</f>
        <v/>
      </c>
      <c r="E1599" s="32">
        <f>IFERROR(IF(AND(ISNUMBER($A1599),N(IF(AND(AH!$U$12=1,1594+1=AH!$U$6),IF(AH!$U$4=0,"unavailable",INDEX('Market Data'!$AN$5:$AN$66,AH!$U$4)),IF(AH!$U$5=1,INDEX('Live History'!$B$5:$B$3004,$K1599),INDEX('AH History'!$D$5:$GG$1380,$K1599,AH!$U$10))))&gt;0),IF(AND(AH!$U$12=1,1594+1=AH!$U$6),IF(AH!$U$4=0,"unavailable",INDEX('Market Data'!$AN$5:$AN$66,AH!$U$4)),IF(AH!$U$5=1,INDEX('Live History'!$B$5:$B$3004,$K1599),INDEX('AH History'!$D$5:$GG$1380,$K1599,AH!$U$10))),NA()),NA())</f>
        <v/>
      </c>
      <c r="F1599" s="32">
        <f>IFERROR(IF(ISNUMBER($A1599),IF(AND(AH!$U$12=1,1594+1=AH!$U$6),IF(AH!$U$4=0,"unavailable",INDEX('Market Data'!$AO$5:$AO$66,AH!$U$4)),IF(AH!$U$5=1,INDEX('Live History'!$E$5:$E$3004,MATCH($A1599,'Live History'!$D$5:$D$3004,1)),INDEX('AH History'!$D$5:$GG$1380,$K1599,AH!$U$10+1))),NA()),NA())</f>
        <v/>
      </c>
      <c r="G1599" s="34">
        <f>IFERROR(IF(ISNUMBER($A1599),IF(AND(AH!$U$12=1,1594+1=AH!$U$6),IF(AH!$U$4=0,"unavailable",INDEX('Market Data'!$AK$5:$AK$66,AH!$U$4)),IF(AH!$U$5=1,INDEX('Live History'!$D$5:$D$3004,MATCH($A1599,'Live History'!$D$5:$D$3004,1)),INDEX('AH History'!$D$5:$GG$1380,$K1599,AH!$U$10+2))),NA()),NA())</f>
        <v/>
      </c>
      <c r="H1599" s="266">
        <f>IFERROR(IF(ISNUMBER($A1599),IF(AND(AH!$U$12=1,1594+1=AH!$U$6),IF(AH!$U$4=0,"unavailable",INDEX('Market Data'!$AP$5:$AP$66,AH!$U$4)),IF(AH!$U$5=1,INDEX('Live History'!$H$5:$H$3004,MATCH($A1599,'Live History'!$G$5:$G$3004,1)),INDEX('AH History'!$B$5:$B$1380,$K1599))),NA()),NA())</f>
        <v/>
      </c>
      <c r="I1599" s="34">
        <f>IFERROR(IF(ISNUMBER($A1599),IF(AND(AH!$U$12=1,1594+1=AH!$U$6),TODAY(),IF(AH!$U$5=1,INDEX('Live History'!$G$5:$G$3004,MATCH($A1599,'Live History'!$G$5:$G$3004,1)),INDEX('AH History'!$C$5:$C$1380,$K1599))),NA()),NA())</f>
        <v/>
      </c>
      <c r="J1599" s="32">
        <f>IFERROR(IF(AND($F1599&gt;0,$H1599&gt;0,$A1599-$G1599&lt;=10,$A1599-$I1599&lt;=5,$G1599&gt;0,$I1599&gt;0),$F1599*$H1599,NA()),NA())</f>
        <v/>
      </c>
      <c r="K1599" s="15">
        <f>IF($A1599="","",IF(AH!$U$5=1,IFERROR(MATCH($A1599,'Live History'!$A$5:$A$3004,0),0),AH!$U$7+1594))</f>
        <v/>
      </c>
      <c r="L1599" s="15">
        <f>IF(ISNUMBER(A1599),TEXT(A1599,"dd-mmm-yy"),"")</f>
        <v/>
      </c>
    </row>
    <row r="1600">
      <c r="A1600" s="14">
        <f>IF(OR(AH!$U$4=0,1595+1&gt;AH!$U$6,AND(AH!$M$5="Bloomberg",AH!$U$5=0)),"",IFERROR(IF(AND(AH!$U$12=1,1595+1=AH!$U$6),TODAY(),IF(AH!$U$5=1,INDEX('Live History'!$A$5:$A$3004,AH!$U$7+1595),INDEX('AH History'!$A$5:$A$1380,AH!$U$7+1595))),""))</f>
        <v/>
      </c>
      <c r="B1600" s="33">
        <f>IFERROR(IF(AH!$U$11=1,NA(),$J1600/$E1600-1),NA())</f>
        <v/>
      </c>
      <c r="C1600" s="269">
        <f>IFERROR(100*$E1600/$E$5,NA())</f>
        <v/>
      </c>
      <c r="D1600" s="269">
        <f>IFERROR(100*$J1600/$J$5,NA())</f>
        <v/>
      </c>
      <c r="E1600" s="32">
        <f>IFERROR(IF(AND(ISNUMBER($A1600),N(IF(AND(AH!$U$12=1,1595+1=AH!$U$6),IF(AH!$U$4=0,"unavailable",INDEX('Market Data'!$AN$5:$AN$66,AH!$U$4)),IF(AH!$U$5=1,INDEX('Live History'!$B$5:$B$3004,$K1600),INDEX('AH History'!$D$5:$GG$1380,$K1600,AH!$U$10))))&gt;0),IF(AND(AH!$U$12=1,1595+1=AH!$U$6),IF(AH!$U$4=0,"unavailable",INDEX('Market Data'!$AN$5:$AN$66,AH!$U$4)),IF(AH!$U$5=1,INDEX('Live History'!$B$5:$B$3004,$K1600),INDEX('AH History'!$D$5:$GG$1380,$K1600,AH!$U$10))),NA()),NA())</f>
        <v/>
      </c>
      <c r="F1600" s="32">
        <f>IFERROR(IF(ISNUMBER($A1600),IF(AND(AH!$U$12=1,1595+1=AH!$U$6),IF(AH!$U$4=0,"unavailable",INDEX('Market Data'!$AO$5:$AO$66,AH!$U$4)),IF(AH!$U$5=1,INDEX('Live History'!$E$5:$E$3004,MATCH($A1600,'Live History'!$D$5:$D$3004,1)),INDEX('AH History'!$D$5:$GG$1380,$K1600,AH!$U$10+1))),NA()),NA())</f>
        <v/>
      </c>
      <c r="G1600" s="34">
        <f>IFERROR(IF(ISNUMBER($A1600),IF(AND(AH!$U$12=1,1595+1=AH!$U$6),IF(AH!$U$4=0,"unavailable",INDEX('Market Data'!$AK$5:$AK$66,AH!$U$4)),IF(AH!$U$5=1,INDEX('Live History'!$D$5:$D$3004,MATCH($A1600,'Live History'!$D$5:$D$3004,1)),INDEX('AH History'!$D$5:$GG$1380,$K1600,AH!$U$10+2))),NA()),NA())</f>
        <v/>
      </c>
      <c r="H1600" s="266">
        <f>IFERROR(IF(ISNUMBER($A1600),IF(AND(AH!$U$12=1,1595+1=AH!$U$6),IF(AH!$U$4=0,"unavailable",INDEX('Market Data'!$AP$5:$AP$66,AH!$U$4)),IF(AH!$U$5=1,INDEX('Live History'!$H$5:$H$3004,MATCH($A1600,'Live History'!$G$5:$G$3004,1)),INDEX('AH History'!$B$5:$B$1380,$K1600))),NA()),NA())</f>
        <v/>
      </c>
      <c r="I1600" s="34">
        <f>IFERROR(IF(ISNUMBER($A1600),IF(AND(AH!$U$12=1,1595+1=AH!$U$6),TODAY(),IF(AH!$U$5=1,INDEX('Live History'!$G$5:$G$3004,MATCH($A1600,'Live History'!$G$5:$G$3004,1)),INDEX('AH History'!$C$5:$C$1380,$K1600))),NA()),NA())</f>
        <v/>
      </c>
      <c r="J1600" s="32">
        <f>IFERROR(IF(AND($F1600&gt;0,$H1600&gt;0,$A1600-$G1600&lt;=10,$A1600-$I1600&lt;=5,$G1600&gt;0,$I1600&gt;0),$F1600*$H1600,NA()),NA())</f>
        <v/>
      </c>
      <c r="K1600" s="15">
        <f>IF($A1600="","",IF(AH!$U$5=1,IFERROR(MATCH($A1600,'Live History'!$A$5:$A$3004,0),0),AH!$U$7+1595))</f>
        <v/>
      </c>
      <c r="L1600" s="15">
        <f>IF(ISNUMBER(A1600),TEXT(A1600,"dd-mmm-yy"),"")</f>
        <v/>
      </c>
    </row>
    <row r="1601">
      <c r="A1601" s="14">
        <f>IF(OR(AH!$U$4=0,1596+1&gt;AH!$U$6,AND(AH!$M$5="Bloomberg",AH!$U$5=0)),"",IFERROR(IF(AND(AH!$U$12=1,1596+1=AH!$U$6),TODAY(),IF(AH!$U$5=1,INDEX('Live History'!$A$5:$A$3004,AH!$U$7+1596),INDEX('AH History'!$A$5:$A$1380,AH!$U$7+1596))),""))</f>
        <v/>
      </c>
      <c r="B1601" s="33">
        <f>IFERROR(IF(AH!$U$11=1,NA(),$J1601/$E1601-1),NA())</f>
        <v/>
      </c>
      <c r="C1601" s="269">
        <f>IFERROR(100*$E1601/$E$5,NA())</f>
        <v/>
      </c>
      <c r="D1601" s="269">
        <f>IFERROR(100*$J1601/$J$5,NA())</f>
        <v/>
      </c>
      <c r="E1601" s="32">
        <f>IFERROR(IF(AND(ISNUMBER($A1601),N(IF(AND(AH!$U$12=1,1596+1=AH!$U$6),IF(AH!$U$4=0,"unavailable",INDEX('Market Data'!$AN$5:$AN$66,AH!$U$4)),IF(AH!$U$5=1,INDEX('Live History'!$B$5:$B$3004,$K1601),INDEX('AH History'!$D$5:$GG$1380,$K1601,AH!$U$10))))&gt;0),IF(AND(AH!$U$12=1,1596+1=AH!$U$6),IF(AH!$U$4=0,"unavailable",INDEX('Market Data'!$AN$5:$AN$66,AH!$U$4)),IF(AH!$U$5=1,INDEX('Live History'!$B$5:$B$3004,$K1601),INDEX('AH History'!$D$5:$GG$1380,$K1601,AH!$U$10))),NA()),NA())</f>
        <v/>
      </c>
      <c r="F1601" s="32">
        <f>IFERROR(IF(ISNUMBER($A1601),IF(AND(AH!$U$12=1,1596+1=AH!$U$6),IF(AH!$U$4=0,"unavailable",INDEX('Market Data'!$AO$5:$AO$66,AH!$U$4)),IF(AH!$U$5=1,INDEX('Live History'!$E$5:$E$3004,MATCH($A1601,'Live History'!$D$5:$D$3004,1)),INDEX('AH History'!$D$5:$GG$1380,$K1601,AH!$U$10+1))),NA()),NA())</f>
        <v/>
      </c>
      <c r="G1601" s="34">
        <f>IFERROR(IF(ISNUMBER($A1601),IF(AND(AH!$U$12=1,1596+1=AH!$U$6),IF(AH!$U$4=0,"unavailable",INDEX('Market Data'!$AK$5:$AK$66,AH!$U$4)),IF(AH!$U$5=1,INDEX('Live History'!$D$5:$D$3004,MATCH($A1601,'Live History'!$D$5:$D$3004,1)),INDEX('AH History'!$D$5:$GG$1380,$K1601,AH!$U$10+2))),NA()),NA())</f>
        <v/>
      </c>
      <c r="H1601" s="266">
        <f>IFERROR(IF(ISNUMBER($A1601),IF(AND(AH!$U$12=1,1596+1=AH!$U$6),IF(AH!$U$4=0,"unavailable",INDEX('Market Data'!$AP$5:$AP$66,AH!$U$4)),IF(AH!$U$5=1,INDEX('Live History'!$H$5:$H$3004,MATCH($A1601,'Live History'!$G$5:$G$3004,1)),INDEX('AH History'!$B$5:$B$1380,$K1601))),NA()),NA())</f>
        <v/>
      </c>
      <c r="I1601" s="34">
        <f>IFERROR(IF(ISNUMBER($A1601),IF(AND(AH!$U$12=1,1596+1=AH!$U$6),TODAY(),IF(AH!$U$5=1,INDEX('Live History'!$G$5:$G$3004,MATCH($A1601,'Live History'!$G$5:$G$3004,1)),INDEX('AH History'!$C$5:$C$1380,$K1601))),NA()),NA())</f>
        <v/>
      </c>
      <c r="J1601" s="32">
        <f>IFERROR(IF(AND($F1601&gt;0,$H1601&gt;0,$A1601-$G1601&lt;=10,$A1601-$I1601&lt;=5,$G1601&gt;0,$I1601&gt;0),$F1601*$H1601,NA()),NA())</f>
        <v/>
      </c>
      <c r="K1601" s="15">
        <f>IF($A1601="","",IF(AH!$U$5=1,IFERROR(MATCH($A1601,'Live History'!$A$5:$A$3004,0),0),AH!$U$7+1596))</f>
        <v/>
      </c>
      <c r="L1601" s="15">
        <f>IF(ISNUMBER(A1601),TEXT(A1601,"dd-mmm-yy"),"")</f>
        <v/>
      </c>
    </row>
    <row r="1602">
      <c r="A1602" s="14">
        <f>IF(OR(AH!$U$4=0,1597+1&gt;AH!$U$6,AND(AH!$M$5="Bloomberg",AH!$U$5=0)),"",IFERROR(IF(AND(AH!$U$12=1,1597+1=AH!$U$6),TODAY(),IF(AH!$U$5=1,INDEX('Live History'!$A$5:$A$3004,AH!$U$7+1597),INDEX('AH History'!$A$5:$A$1380,AH!$U$7+1597))),""))</f>
        <v/>
      </c>
      <c r="B1602" s="33">
        <f>IFERROR(IF(AH!$U$11=1,NA(),$J1602/$E1602-1),NA())</f>
        <v/>
      </c>
      <c r="C1602" s="269">
        <f>IFERROR(100*$E1602/$E$5,NA())</f>
        <v/>
      </c>
      <c r="D1602" s="269">
        <f>IFERROR(100*$J1602/$J$5,NA())</f>
        <v/>
      </c>
      <c r="E1602" s="32">
        <f>IFERROR(IF(AND(ISNUMBER($A1602),N(IF(AND(AH!$U$12=1,1597+1=AH!$U$6),IF(AH!$U$4=0,"unavailable",INDEX('Market Data'!$AN$5:$AN$66,AH!$U$4)),IF(AH!$U$5=1,INDEX('Live History'!$B$5:$B$3004,$K1602),INDEX('AH History'!$D$5:$GG$1380,$K1602,AH!$U$10))))&gt;0),IF(AND(AH!$U$12=1,1597+1=AH!$U$6),IF(AH!$U$4=0,"unavailable",INDEX('Market Data'!$AN$5:$AN$66,AH!$U$4)),IF(AH!$U$5=1,INDEX('Live History'!$B$5:$B$3004,$K1602),INDEX('AH History'!$D$5:$GG$1380,$K1602,AH!$U$10))),NA()),NA())</f>
        <v/>
      </c>
      <c r="F1602" s="32">
        <f>IFERROR(IF(ISNUMBER($A1602),IF(AND(AH!$U$12=1,1597+1=AH!$U$6),IF(AH!$U$4=0,"unavailable",INDEX('Market Data'!$AO$5:$AO$66,AH!$U$4)),IF(AH!$U$5=1,INDEX('Live History'!$E$5:$E$3004,MATCH($A1602,'Live History'!$D$5:$D$3004,1)),INDEX('AH History'!$D$5:$GG$1380,$K1602,AH!$U$10+1))),NA()),NA())</f>
        <v/>
      </c>
      <c r="G1602" s="34">
        <f>IFERROR(IF(ISNUMBER($A1602),IF(AND(AH!$U$12=1,1597+1=AH!$U$6),IF(AH!$U$4=0,"unavailable",INDEX('Market Data'!$AK$5:$AK$66,AH!$U$4)),IF(AH!$U$5=1,INDEX('Live History'!$D$5:$D$3004,MATCH($A1602,'Live History'!$D$5:$D$3004,1)),INDEX('AH History'!$D$5:$GG$1380,$K1602,AH!$U$10+2))),NA()),NA())</f>
        <v/>
      </c>
      <c r="H1602" s="266">
        <f>IFERROR(IF(ISNUMBER($A1602),IF(AND(AH!$U$12=1,1597+1=AH!$U$6),IF(AH!$U$4=0,"unavailable",INDEX('Market Data'!$AP$5:$AP$66,AH!$U$4)),IF(AH!$U$5=1,INDEX('Live History'!$H$5:$H$3004,MATCH($A1602,'Live History'!$G$5:$G$3004,1)),INDEX('AH History'!$B$5:$B$1380,$K1602))),NA()),NA())</f>
        <v/>
      </c>
      <c r="I1602" s="34">
        <f>IFERROR(IF(ISNUMBER($A1602),IF(AND(AH!$U$12=1,1597+1=AH!$U$6),TODAY(),IF(AH!$U$5=1,INDEX('Live History'!$G$5:$G$3004,MATCH($A1602,'Live History'!$G$5:$G$3004,1)),INDEX('AH History'!$C$5:$C$1380,$K1602))),NA()),NA())</f>
        <v/>
      </c>
      <c r="J1602" s="32">
        <f>IFERROR(IF(AND($F1602&gt;0,$H1602&gt;0,$A1602-$G1602&lt;=10,$A1602-$I1602&lt;=5,$G1602&gt;0,$I1602&gt;0),$F1602*$H1602,NA()),NA())</f>
        <v/>
      </c>
      <c r="K1602" s="15">
        <f>IF($A1602="","",IF(AH!$U$5=1,IFERROR(MATCH($A1602,'Live History'!$A$5:$A$3004,0),0),AH!$U$7+1597))</f>
        <v/>
      </c>
      <c r="L1602" s="15">
        <f>IF(ISNUMBER(A1602),TEXT(A1602,"dd-mmm-yy"),"")</f>
        <v/>
      </c>
    </row>
    <row r="1603">
      <c r="A1603" s="14">
        <f>IF(OR(AH!$U$4=0,1598+1&gt;AH!$U$6,AND(AH!$M$5="Bloomberg",AH!$U$5=0)),"",IFERROR(IF(AND(AH!$U$12=1,1598+1=AH!$U$6),TODAY(),IF(AH!$U$5=1,INDEX('Live History'!$A$5:$A$3004,AH!$U$7+1598),INDEX('AH History'!$A$5:$A$1380,AH!$U$7+1598))),""))</f>
        <v/>
      </c>
      <c r="B1603" s="33">
        <f>IFERROR(IF(AH!$U$11=1,NA(),$J1603/$E1603-1),NA())</f>
        <v/>
      </c>
      <c r="C1603" s="269">
        <f>IFERROR(100*$E1603/$E$5,NA())</f>
        <v/>
      </c>
      <c r="D1603" s="269">
        <f>IFERROR(100*$J1603/$J$5,NA())</f>
        <v/>
      </c>
      <c r="E1603" s="32">
        <f>IFERROR(IF(AND(ISNUMBER($A1603),N(IF(AND(AH!$U$12=1,1598+1=AH!$U$6),IF(AH!$U$4=0,"unavailable",INDEX('Market Data'!$AN$5:$AN$66,AH!$U$4)),IF(AH!$U$5=1,INDEX('Live History'!$B$5:$B$3004,$K1603),INDEX('AH History'!$D$5:$GG$1380,$K1603,AH!$U$10))))&gt;0),IF(AND(AH!$U$12=1,1598+1=AH!$U$6),IF(AH!$U$4=0,"unavailable",INDEX('Market Data'!$AN$5:$AN$66,AH!$U$4)),IF(AH!$U$5=1,INDEX('Live History'!$B$5:$B$3004,$K1603),INDEX('AH History'!$D$5:$GG$1380,$K1603,AH!$U$10))),NA()),NA())</f>
        <v/>
      </c>
      <c r="F1603" s="32">
        <f>IFERROR(IF(ISNUMBER($A1603),IF(AND(AH!$U$12=1,1598+1=AH!$U$6),IF(AH!$U$4=0,"unavailable",INDEX('Market Data'!$AO$5:$AO$66,AH!$U$4)),IF(AH!$U$5=1,INDEX('Live History'!$E$5:$E$3004,MATCH($A1603,'Live History'!$D$5:$D$3004,1)),INDEX('AH History'!$D$5:$GG$1380,$K1603,AH!$U$10+1))),NA()),NA())</f>
        <v/>
      </c>
      <c r="G1603" s="34">
        <f>IFERROR(IF(ISNUMBER($A1603),IF(AND(AH!$U$12=1,1598+1=AH!$U$6),IF(AH!$U$4=0,"unavailable",INDEX('Market Data'!$AK$5:$AK$66,AH!$U$4)),IF(AH!$U$5=1,INDEX('Live History'!$D$5:$D$3004,MATCH($A1603,'Live History'!$D$5:$D$3004,1)),INDEX('AH History'!$D$5:$GG$1380,$K1603,AH!$U$10+2))),NA()),NA())</f>
        <v/>
      </c>
      <c r="H1603" s="266">
        <f>IFERROR(IF(ISNUMBER($A1603),IF(AND(AH!$U$12=1,1598+1=AH!$U$6),IF(AH!$U$4=0,"unavailable",INDEX('Market Data'!$AP$5:$AP$66,AH!$U$4)),IF(AH!$U$5=1,INDEX('Live History'!$H$5:$H$3004,MATCH($A1603,'Live History'!$G$5:$G$3004,1)),INDEX('AH History'!$B$5:$B$1380,$K1603))),NA()),NA())</f>
        <v/>
      </c>
      <c r="I1603" s="34">
        <f>IFERROR(IF(ISNUMBER($A1603),IF(AND(AH!$U$12=1,1598+1=AH!$U$6),TODAY(),IF(AH!$U$5=1,INDEX('Live History'!$G$5:$G$3004,MATCH($A1603,'Live History'!$G$5:$G$3004,1)),INDEX('AH History'!$C$5:$C$1380,$K1603))),NA()),NA())</f>
        <v/>
      </c>
      <c r="J1603" s="32">
        <f>IFERROR(IF(AND($F1603&gt;0,$H1603&gt;0,$A1603-$G1603&lt;=10,$A1603-$I1603&lt;=5,$G1603&gt;0,$I1603&gt;0),$F1603*$H1603,NA()),NA())</f>
        <v/>
      </c>
      <c r="K1603" s="15">
        <f>IF($A1603="","",IF(AH!$U$5=1,IFERROR(MATCH($A1603,'Live History'!$A$5:$A$3004,0),0),AH!$U$7+1598))</f>
        <v/>
      </c>
      <c r="L1603" s="15">
        <f>IF(ISNUMBER(A1603),TEXT(A1603,"dd-mmm-yy"),"")</f>
        <v/>
      </c>
    </row>
    <row r="1604">
      <c r="A1604" s="14">
        <f>IF(OR(AH!$U$4=0,1599+1&gt;AH!$U$6,AND(AH!$M$5="Bloomberg",AH!$U$5=0)),"",IFERROR(IF(AND(AH!$U$12=1,1599+1=AH!$U$6),TODAY(),IF(AH!$U$5=1,INDEX('Live History'!$A$5:$A$3004,AH!$U$7+1599),INDEX('AH History'!$A$5:$A$1380,AH!$U$7+1599))),""))</f>
        <v/>
      </c>
      <c r="B1604" s="33">
        <f>IFERROR(IF(AH!$U$11=1,NA(),$J1604/$E1604-1),NA())</f>
        <v/>
      </c>
      <c r="C1604" s="269">
        <f>IFERROR(100*$E1604/$E$5,NA())</f>
        <v/>
      </c>
      <c r="D1604" s="269">
        <f>IFERROR(100*$J1604/$J$5,NA())</f>
        <v/>
      </c>
      <c r="E1604" s="32">
        <f>IFERROR(IF(AND(ISNUMBER($A1604),N(IF(AND(AH!$U$12=1,1599+1=AH!$U$6),IF(AH!$U$4=0,"unavailable",INDEX('Market Data'!$AN$5:$AN$66,AH!$U$4)),IF(AH!$U$5=1,INDEX('Live History'!$B$5:$B$3004,$K1604),INDEX('AH History'!$D$5:$GG$1380,$K1604,AH!$U$10))))&gt;0),IF(AND(AH!$U$12=1,1599+1=AH!$U$6),IF(AH!$U$4=0,"unavailable",INDEX('Market Data'!$AN$5:$AN$66,AH!$U$4)),IF(AH!$U$5=1,INDEX('Live History'!$B$5:$B$3004,$K1604),INDEX('AH History'!$D$5:$GG$1380,$K1604,AH!$U$10))),NA()),NA())</f>
        <v/>
      </c>
      <c r="F1604" s="32">
        <f>IFERROR(IF(ISNUMBER($A1604),IF(AND(AH!$U$12=1,1599+1=AH!$U$6),IF(AH!$U$4=0,"unavailable",INDEX('Market Data'!$AO$5:$AO$66,AH!$U$4)),IF(AH!$U$5=1,INDEX('Live History'!$E$5:$E$3004,MATCH($A1604,'Live History'!$D$5:$D$3004,1)),INDEX('AH History'!$D$5:$GG$1380,$K1604,AH!$U$10+1))),NA()),NA())</f>
        <v/>
      </c>
      <c r="G1604" s="34">
        <f>IFERROR(IF(ISNUMBER($A1604),IF(AND(AH!$U$12=1,1599+1=AH!$U$6),IF(AH!$U$4=0,"unavailable",INDEX('Market Data'!$AK$5:$AK$66,AH!$U$4)),IF(AH!$U$5=1,INDEX('Live History'!$D$5:$D$3004,MATCH($A1604,'Live History'!$D$5:$D$3004,1)),INDEX('AH History'!$D$5:$GG$1380,$K1604,AH!$U$10+2))),NA()),NA())</f>
        <v/>
      </c>
      <c r="H1604" s="266">
        <f>IFERROR(IF(ISNUMBER($A1604),IF(AND(AH!$U$12=1,1599+1=AH!$U$6),IF(AH!$U$4=0,"unavailable",INDEX('Market Data'!$AP$5:$AP$66,AH!$U$4)),IF(AH!$U$5=1,INDEX('Live History'!$H$5:$H$3004,MATCH($A1604,'Live History'!$G$5:$G$3004,1)),INDEX('AH History'!$B$5:$B$1380,$K1604))),NA()),NA())</f>
        <v/>
      </c>
      <c r="I1604" s="34">
        <f>IFERROR(IF(ISNUMBER($A1604),IF(AND(AH!$U$12=1,1599+1=AH!$U$6),TODAY(),IF(AH!$U$5=1,INDEX('Live History'!$G$5:$G$3004,MATCH($A1604,'Live History'!$G$5:$G$3004,1)),INDEX('AH History'!$C$5:$C$1380,$K1604))),NA()),NA())</f>
        <v/>
      </c>
      <c r="J1604" s="32">
        <f>IFERROR(IF(AND($F1604&gt;0,$H1604&gt;0,$A1604-$G1604&lt;=10,$A1604-$I1604&lt;=5,$G1604&gt;0,$I1604&gt;0),$F1604*$H1604,NA()),NA())</f>
        <v/>
      </c>
      <c r="K1604" s="15">
        <f>IF($A1604="","",IF(AH!$U$5=1,IFERROR(MATCH($A1604,'Live History'!$A$5:$A$3004,0),0),AH!$U$7+1599))</f>
        <v/>
      </c>
      <c r="L1604" s="15">
        <f>IF(ISNUMBER(A1604),TEXT(A1604,"dd-mmm-yy"),"")</f>
        <v/>
      </c>
    </row>
    <row r="1605">
      <c r="A1605" s="14">
        <f>IF(OR(AH!$U$4=0,1600+1&gt;AH!$U$6,AND(AH!$M$5="Bloomberg",AH!$U$5=0)),"",IFERROR(IF(AND(AH!$U$12=1,1600+1=AH!$U$6),TODAY(),IF(AH!$U$5=1,INDEX('Live History'!$A$5:$A$3004,AH!$U$7+1600),INDEX('AH History'!$A$5:$A$1380,AH!$U$7+1600))),""))</f>
        <v/>
      </c>
      <c r="B1605" s="33">
        <f>IFERROR(IF(AH!$U$11=1,NA(),$J1605/$E1605-1),NA())</f>
        <v/>
      </c>
      <c r="C1605" s="269">
        <f>IFERROR(100*$E1605/$E$5,NA())</f>
        <v/>
      </c>
      <c r="D1605" s="269">
        <f>IFERROR(100*$J1605/$J$5,NA())</f>
        <v/>
      </c>
      <c r="E1605" s="32">
        <f>IFERROR(IF(AND(ISNUMBER($A1605),N(IF(AND(AH!$U$12=1,1600+1=AH!$U$6),IF(AH!$U$4=0,"unavailable",INDEX('Market Data'!$AN$5:$AN$66,AH!$U$4)),IF(AH!$U$5=1,INDEX('Live History'!$B$5:$B$3004,$K1605),INDEX('AH History'!$D$5:$GG$1380,$K1605,AH!$U$10))))&gt;0),IF(AND(AH!$U$12=1,1600+1=AH!$U$6),IF(AH!$U$4=0,"unavailable",INDEX('Market Data'!$AN$5:$AN$66,AH!$U$4)),IF(AH!$U$5=1,INDEX('Live History'!$B$5:$B$3004,$K1605),INDEX('AH History'!$D$5:$GG$1380,$K1605,AH!$U$10))),NA()),NA())</f>
        <v/>
      </c>
      <c r="F1605" s="32">
        <f>IFERROR(IF(ISNUMBER($A1605),IF(AND(AH!$U$12=1,1600+1=AH!$U$6),IF(AH!$U$4=0,"unavailable",INDEX('Market Data'!$AO$5:$AO$66,AH!$U$4)),IF(AH!$U$5=1,INDEX('Live History'!$E$5:$E$3004,MATCH($A1605,'Live History'!$D$5:$D$3004,1)),INDEX('AH History'!$D$5:$GG$1380,$K1605,AH!$U$10+1))),NA()),NA())</f>
        <v/>
      </c>
      <c r="G1605" s="34">
        <f>IFERROR(IF(ISNUMBER($A1605),IF(AND(AH!$U$12=1,1600+1=AH!$U$6),IF(AH!$U$4=0,"unavailable",INDEX('Market Data'!$AK$5:$AK$66,AH!$U$4)),IF(AH!$U$5=1,INDEX('Live History'!$D$5:$D$3004,MATCH($A1605,'Live History'!$D$5:$D$3004,1)),INDEX('AH History'!$D$5:$GG$1380,$K1605,AH!$U$10+2))),NA()),NA())</f>
        <v/>
      </c>
      <c r="H1605" s="266">
        <f>IFERROR(IF(ISNUMBER($A1605),IF(AND(AH!$U$12=1,1600+1=AH!$U$6),IF(AH!$U$4=0,"unavailable",INDEX('Market Data'!$AP$5:$AP$66,AH!$U$4)),IF(AH!$U$5=1,INDEX('Live History'!$H$5:$H$3004,MATCH($A1605,'Live History'!$G$5:$G$3004,1)),INDEX('AH History'!$B$5:$B$1380,$K1605))),NA()),NA())</f>
        <v/>
      </c>
      <c r="I1605" s="34">
        <f>IFERROR(IF(ISNUMBER($A1605),IF(AND(AH!$U$12=1,1600+1=AH!$U$6),TODAY(),IF(AH!$U$5=1,INDEX('Live History'!$G$5:$G$3004,MATCH($A1605,'Live History'!$G$5:$G$3004,1)),INDEX('AH History'!$C$5:$C$1380,$K1605))),NA()),NA())</f>
        <v/>
      </c>
      <c r="J1605" s="32">
        <f>IFERROR(IF(AND($F1605&gt;0,$H1605&gt;0,$A1605-$G1605&lt;=10,$A1605-$I1605&lt;=5,$G1605&gt;0,$I1605&gt;0),$F1605*$H1605,NA()),NA())</f>
        <v/>
      </c>
      <c r="K1605" s="15">
        <f>IF($A1605="","",IF(AH!$U$5=1,IFERROR(MATCH($A1605,'Live History'!$A$5:$A$3004,0),0),AH!$U$7+1600))</f>
        <v/>
      </c>
      <c r="L1605" s="15">
        <f>IF(ISNUMBER(A1605),TEXT(A1605,"dd-mmm-yy"),"")</f>
        <v/>
      </c>
    </row>
    <row r="1606">
      <c r="A1606" s="14">
        <f>IF(OR(AH!$U$4=0,1601+1&gt;AH!$U$6,AND(AH!$M$5="Bloomberg",AH!$U$5=0)),"",IFERROR(IF(AND(AH!$U$12=1,1601+1=AH!$U$6),TODAY(),IF(AH!$U$5=1,INDEX('Live History'!$A$5:$A$3004,AH!$U$7+1601),INDEX('AH History'!$A$5:$A$1380,AH!$U$7+1601))),""))</f>
        <v/>
      </c>
      <c r="B1606" s="33">
        <f>IFERROR(IF(AH!$U$11=1,NA(),$J1606/$E1606-1),NA())</f>
        <v/>
      </c>
      <c r="C1606" s="269">
        <f>IFERROR(100*$E1606/$E$5,NA())</f>
        <v/>
      </c>
      <c r="D1606" s="269">
        <f>IFERROR(100*$J1606/$J$5,NA())</f>
        <v/>
      </c>
      <c r="E1606" s="32">
        <f>IFERROR(IF(AND(ISNUMBER($A1606),N(IF(AND(AH!$U$12=1,1601+1=AH!$U$6),IF(AH!$U$4=0,"unavailable",INDEX('Market Data'!$AN$5:$AN$66,AH!$U$4)),IF(AH!$U$5=1,INDEX('Live History'!$B$5:$B$3004,$K1606),INDEX('AH History'!$D$5:$GG$1380,$K1606,AH!$U$10))))&gt;0),IF(AND(AH!$U$12=1,1601+1=AH!$U$6),IF(AH!$U$4=0,"unavailable",INDEX('Market Data'!$AN$5:$AN$66,AH!$U$4)),IF(AH!$U$5=1,INDEX('Live History'!$B$5:$B$3004,$K1606),INDEX('AH History'!$D$5:$GG$1380,$K1606,AH!$U$10))),NA()),NA())</f>
        <v/>
      </c>
      <c r="F1606" s="32">
        <f>IFERROR(IF(ISNUMBER($A1606),IF(AND(AH!$U$12=1,1601+1=AH!$U$6),IF(AH!$U$4=0,"unavailable",INDEX('Market Data'!$AO$5:$AO$66,AH!$U$4)),IF(AH!$U$5=1,INDEX('Live History'!$E$5:$E$3004,MATCH($A1606,'Live History'!$D$5:$D$3004,1)),INDEX('AH History'!$D$5:$GG$1380,$K1606,AH!$U$10+1))),NA()),NA())</f>
        <v/>
      </c>
      <c r="G1606" s="34">
        <f>IFERROR(IF(ISNUMBER($A1606),IF(AND(AH!$U$12=1,1601+1=AH!$U$6),IF(AH!$U$4=0,"unavailable",INDEX('Market Data'!$AK$5:$AK$66,AH!$U$4)),IF(AH!$U$5=1,INDEX('Live History'!$D$5:$D$3004,MATCH($A1606,'Live History'!$D$5:$D$3004,1)),INDEX('AH History'!$D$5:$GG$1380,$K1606,AH!$U$10+2))),NA()),NA())</f>
        <v/>
      </c>
      <c r="H1606" s="266">
        <f>IFERROR(IF(ISNUMBER($A1606),IF(AND(AH!$U$12=1,1601+1=AH!$U$6),IF(AH!$U$4=0,"unavailable",INDEX('Market Data'!$AP$5:$AP$66,AH!$U$4)),IF(AH!$U$5=1,INDEX('Live History'!$H$5:$H$3004,MATCH($A1606,'Live History'!$G$5:$G$3004,1)),INDEX('AH History'!$B$5:$B$1380,$K1606))),NA()),NA())</f>
        <v/>
      </c>
      <c r="I1606" s="34">
        <f>IFERROR(IF(ISNUMBER($A1606),IF(AND(AH!$U$12=1,1601+1=AH!$U$6),TODAY(),IF(AH!$U$5=1,INDEX('Live History'!$G$5:$G$3004,MATCH($A1606,'Live History'!$G$5:$G$3004,1)),INDEX('AH History'!$C$5:$C$1380,$K1606))),NA()),NA())</f>
        <v/>
      </c>
      <c r="J1606" s="32">
        <f>IFERROR(IF(AND($F1606&gt;0,$H1606&gt;0,$A1606-$G1606&lt;=10,$A1606-$I1606&lt;=5,$G1606&gt;0,$I1606&gt;0),$F1606*$H1606,NA()),NA())</f>
        <v/>
      </c>
      <c r="K1606" s="15">
        <f>IF($A1606="","",IF(AH!$U$5=1,IFERROR(MATCH($A1606,'Live History'!$A$5:$A$3004,0),0),AH!$U$7+1601))</f>
        <v/>
      </c>
      <c r="L1606" s="15">
        <f>IF(ISNUMBER(A1606),TEXT(A1606,"dd-mmm-yy"),"")</f>
        <v/>
      </c>
    </row>
    <row r="1607">
      <c r="A1607" s="14">
        <f>IF(OR(AH!$U$4=0,1602+1&gt;AH!$U$6,AND(AH!$M$5="Bloomberg",AH!$U$5=0)),"",IFERROR(IF(AND(AH!$U$12=1,1602+1=AH!$U$6),TODAY(),IF(AH!$U$5=1,INDEX('Live History'!$A$5:$A$3004,AH!$U$7+1602),INDEX('AH History'!$A$5:$A$1380,AH!$U$7+1602))),""))</f>
        <v/>
      </c>
      <c r="B1607" s="33">
        <f>IFERROR(IF(AH!$U$11=1,NA(),$J1607/$E1607-1),NA())</f>
        <v/>
      </c>
      <c r="C1607" s="269">
        <f>IFERROR(100*$E1607/$E$5,NA())</f>
        <v/>
      </c>
      <c r="D1607" s="269">
        <f>IFERROR(100*$J1607/$J$5,NA())</f>
        <v/>
      </c>
      <c r="E1607" s="32">
        <f>IFERROR(IF(AND(ISNUMBER($A1607),N(IF(AND(AH!$U$12=1,1602+1=AH!$U$6),IF(AH!$U$4=0,"unavailable",INDEX('Market Data'!$AN$5:$AN$66,AH!$U$4)),IF(AH!$U$5=1,INDEX('Live History'!$B$5:$B$3004,$K1607),INDEX('AH History'!$D$5:$GG$1380,$K1607,AH!$U$10))))&gt;0),IF(AND(AH!$U$12=1,1602+1=AH!$U$6),IF(AH!$U$4=0,"unavailable",INDEX('Market Data'!$AN$5:$AN$66,AH!$U$4)),IF(AH!$U$5=1,INDEX('Live History'!$B$5:$B$3004,$K1607),INDEX('AH History'!$D$5:$GG$1380,$K1607,AH!$U$10))),NA()),NA())</f>
        <v/>
      </c>
      <c r="F1607" s="32">
        <f>IFERROR(IF(ISNUMBER($A1607),IF(AND(AH!$U$12=1,1602+1=AH!$U$6),IF(AH!$U$4=0,"unavailable",INDEX('Market Data'!$AO$5:$AO$66,AH!$U$4)),IF(AH!$U$5=1,INDEX('Live History'!$E$5:$E$3004,MATCH($A1607,'Live History'!$D$5:$D$3004,1)),INDEX('AH History'!$D$5:$GG$1380,$K1607,AH!$U$10+1))),NA()),NA())</f>
        <v/>
      </c>
      <c r="G1607" s="34">
        <f>IFERROR(IF(ISNUMBER($A1607),IF(AND(AH!$U$12=1,1602+1=AH!$U$6),IF(AH!$U$4=0,"unavailable",INDEX('Market Data'!$AK$5:$AK$66,AH!$U$4)),IF(AH!$U$5=1,INDEX('Live History'!$D$5:$D$3004,MATCH($A1607,'Live History'!$D$5:$D$3004,1)),INDEX('AH History'!$D$5:$GG$1380,$K1607,AH!$U$10+2))),NA()),NA())</f>
        <v/>
      </c>
      <c r="H1607" s="266">
        <f>IFERROR(IF(ISNUMBER($A1607),IF(AND(AH!$U$12=1,1602+1=AH!$U$6),IF(AH!$U$4=0,"unavailable",INDEX('Market Data'!$AP$5:$AP$66,AH!$U$4)),IF(AH!$U$5=1,INDEX('Live History'!$H$5:$H$3004,MATCH($A1607,'Live History'!$G$5:$G$3004,1)),INDEX('AH History'!$B$5:$B$1380,$K1607))),NA()),NA())</f>
        <v/>
      </c>
      <c r="I1607" s="34">
        <f>IFERROR(IF(ISNUMBER($A1607),IF(AND(AH!$U$12=1,1602+1=AH!$U$6),TODAY(),IF(AH!$U$5=1,INDEX('Live History'!$G$5:$G$3004,MATCH($A1607,'Live History'!$G$5:$G$3004,1)),INDEX('AH History'!$C$5:$C$1380,$K1607))),NA()),NA())</f>
        <v/>
      </c>
      <c r="J1607" s="32">
        <f>IFERROR(IF(AND($F1607&gt;0,$H1607&gt;0,$A1607-$G1607&lt;=10,$A1607-$I1607&lt;=5,$G1607&gt;0,$I1607&gt;0),$F1607*$H1607,NA()),NA())</f>
        <v/>
      </c>
      <c r="K1607" s="15">
        <f>IF($A1607="","",IF(AH!$U$5=1,IFERROR(MATCH($A1607,'Live History'!$A$5:$A$3004,0),0),AH!$U$7+1602))</f>
        <v/>
      </c>
      <c r="L1607" s="15">
        <f>IF(ISNUMBER(A1607),TEXT(A1607,"dd-mmm-yy"),"")</f>
        <v/>
      </c>
    </row>
    <row r="1608">
      <c r="A1608" s="14">
        <f>IF(OR(AH!$U$4=0,1603+1&gt;AH!$U$6,AND(AH!$M$5="Bloomberg",AH!$U$5=0)),"",IFERROR(IF(AND(AH!$U$12=1,1603+1=AH!$U$6),TODAY(),IF(AH!$U$5=1,INDEX('Live History'!$A$5:$A$3004,AH!$U$7+1603),INDEX('AH History'!$A$5:$A$1380,AH!$U$7+1603))),""))</f>
        <v/>
      </c>
      <c r="B1608" s="33">
        <f>IFERROR(IF(AH!$U$11=1,NA(),$J1608/$E1608-1),NA())</f>
        <v/>
      </c>
      <c r="C1608" s="269">
        <f>IFERROR(100*$E1608/$E$5,NA())</f>
        <v/>
      </c>
      <c r="D1608" s="269">
        <f>IFERROR(100*$J1608/$J$5,NA())</f>
        <v/>
      </c>
      <c r="E1608" s="32">
        <f>IFERROR(IF(AND(ISNUMBER($A1608),N(IF(AND(AH!$U$12=1,1603+1=AH!$U$6),IF(AH!$U$4=0,"unavailable",INDEX('Market Data'!$AN$5:$AN$66,AH!$U$4)),IF(AH!$U$5=1,INDEX('Live History'!$B$5:$B$3004,$K1608),INDEX('AH History'!$D$5:$GG$1380,$K1608,AH!$U$10))))&gt;0),IF(AND(AH!$U$12=1,1603+1=AH!$U$6),IF(AH!$U$4=0,"unavailable",INDEX('Market Data'!$AN$5:$AN$66,AH!$U$4)),IF(AH!$U$5=1,INDEX('Live History'!$B$5:$B$3004,$K1608),INDEX('AH History'!$D$5:$GG$1380,$K1608,AH!$U$10))),NA()),NA())</f>
        <v/>
      </c>
      <c r="F1608" s="32">
        <f>IFERROR(IF(ISNUMBER($A1608),IF(AND(AH!$U$12=1,1603+1=AH!$U$6),IF(AH!$U$4=0,"unavailable",INDEX('Market Data'!$AO$5:$AO$66,AH!$U$4)),IF(AH!$U$5=1,INDEX('Live History'!$E$5:$E$3004,MATCH($A1608,'Live History'!$D$5:$D$3004,1)),INDEX('AH History'!$D$5:$GG$1380,$K1608,AH!$U$10+1))),NA()),NA())</f>
        <v/>
      </c>
      <c r="G1608" s="34">
        <f>IFERROR(IF(ISNUMBER($A1608),IF(AND(AH!$U$12=1,1603+1=AH!$U$6),IF(AH!$U$4=0,"unavailable",INDEX('Market Data'!$AK$5:$AK$66,AH!$U$4)),IF(AH!$U$5=1,INDEX('Live History'!$D$5:$D$3004,MATCH($A1608,'Live History'!$D$5:$D$3004,1)),INDEX('AH History'!$D$5:$GG$1380,$K1608,AH!$U$10+2))),NA()),NA())</f>
        <v/>
      </c>
      <c r="H1608" s="266">
        <f>IFERROR(IF(ISNUMBER($A1608),IF(AND(AH!$U$12=1,1603+1=AH!$U$6),IF(AH!$U$4=0,"unavailable",INDEX('Market Data'!$AP$5:$AP$66,AH!$U$4)),IF(AH!$U$5=1,INDEX('Live History'!$H$5:$H$3004,MATCH($A1608,'Live History'!$G$5:$G$3004,1)),INDEX('AH History'!$B$5:$B$1380,$K1608))),NA()),NA())</f>
        <v/>
      </c>
      <c r="I1608" s="34">
        <f>IFERROR(IF(ISNUMBER($A1608),IF(AND(AH!$U$12=1,1603+1=AH!$U$6),TODAY(),IF(AH!$U$5=1,INDEX('Live History'!$G$5:$G$3004,MATCH($A1608,'Live History'!$G$5:$G$3004,1)),INDEX('AH History'!$C$5:$C$1380,$K1608))),NA()),NA())</f>
        <v/>
      </c>
      <c r="J1608" s="32">
        <f>IFERROR(IF(AND($F1608&gt;0,$H1608&gt;0,$A1608-$G1608&lt;=10,$A1608-$I1608&lt;=5,$G1608&gt;0,$I1608&gt;0),$F1608*$H1608,NA()),NA())</f>
        <v/>
      </c>
      <c r="K1608" s="15">
        <f>IF($A1608="","",IF(AH!$U$5=1,IFERROR(MATCH($A1608,'Live History'!$A$5:$A$3004,0),0),AH!$U$7+1603))</f>
        <v/>
      </c>
      <c r="L1608" s="15">
        <f>IF(ISNUMBER(A1608),TEXT(A1608,"dd-mmm-yy"),"")</f>
        <v/>
      </c>
    </row>
    <row r="1609">
      <c r="A1609" s="14">
        <f>IF(OR(AH!$U$4=0,1604+1&gt;AH!$U$6,AND(AH!$M$5="Bloomberg",AH!$U$5=0)),"",IFERROR(IF(AND(AH!$U$12=1,1604+1=AH!$U$6),TODAY(),IF(AH!$U$5=1,INDEX('Live History'!$A$5:$A$3004,AH!$U$7+1604),INDEX('AH History'!$A$5:$A$1380,AH!$U$7+1604))),""))</f>
        <v/>
      </c>
      <c r="B1609" s="33">
        <f>IFERROR(IF(AH!$U$11=1,NA(),$J1609/$E1609-1),NA())</f>
        <v/>
      </c>
      <c r="C1609" s="269">
        <f>IFERROR(100*$E1609/$E$5,NA())</f>
        <v/>
      </c>
      <c r="D1609" s="269">
        <f>IFERROR(100*$J1609/$J$5,NA())</f>
        <v/>
      </c>
      <c r="E1609" s="32">
        <f>IFERROR(IF(AND(ISNUMBER($A1609),N(IF(AND(AH!$U$12=1,1604+1=AH!$U$6),IF(AH!$U$4=0,"unavailable",INDEX('Market Data'!$AN$5:$AN$66,AH!$U$4)),IF(AH!$U$5=1,INDEX('Live History'!$B$5:$B$3004,$K1609),INDEX('AH History'!$D$5:$GG$1380,$K1609,AH!$U$10))))&gt;0),IF(AND(AH!$U$12=1,1604+1=AH!$U$6),IF(AH!$U$4=0,"unavailable",INDEX('Market Data'!$AN$5:$AN$66,AH!$U$4)),IF(AH!$U$5=1,INDEX('Live History'!$B$5:$B$3004,$K1609),INDEX('AH History'!$D$5:$GG$1380,$K1609,AH!$U$10))),NA()),NA())</f>
        <v/>
      </c>
      <c r="F1609" s="32">
        <f>IFERROR(IF(ISNUMBER($A1609),IF(AND(AH!$U$12=1,1604+1=AH!$U$6),IF(AH!$U$4=0,"unavailable",INDEX('Market Data'!$AO$5:$AO$66,AH!$U$4)),IF(AH!$U$5=1,INDEX('Live History'!$E$5:$E$3004,MATCH($A1609,'Live History'!$D$5:$D$3004,1)),INDEX('AH History'!$D$5:$GG$1380,$K1609,AH!$U$10+1))),NA()),NA())</f>
        <v/>
      </c>
      <c r="G1609" s="34">
        <f>IFERROR(IF(ISNUMBER($A1609),IF(AND(AH!$U$12=1,1604+1=AH!$U$6),IF(AH!$U$4=0,"unavailable",INDEX('Market Data'!$AK$5:$AK$66,AH!$U$4)),IF(AH!$U$5=1,INDEX('Live History'!$D$5:$D$3004,MATCH($A1609,'Live History'!$D$5:$D$3004,1)),INDEX('AH History'!$D$5:$GG$1380,$K1609,AH!$U$10+2))),NA()),NA())</f>
        <v/>
      </c>
      <c r="H1609" s="266">
        <f>IFERROR(IF(ISNUMBER($A1609),IF(AND(AH!$U$12=1,1604+1=AH!$U$6),IF(AH!$U$4=0,"unavailable",INDEX('Market Data'!$AP$5:$AP$66,AH!$U$4)),IF(AH!$U$5=1,INDEX('Live History'!$H$5:$H$3004,MATCH($A1609,'Live History'!$G$5:$G$3004,1)),INDEX('AH History'!$B$5:$B$1380,$K1609))),NA()),NA())</f>
        <v/>
      </c>
      <c r="I1609" s="34">
        <f>IFERROR(IF(ISNUMBER($A1609),IF(AND(AH!$U$12=1,1604+1=AH!$U$6),TODAY(),IF(AH!$U$5=1,INDEX('Live History'!$G$5:$G$3004,MATCH($A1609,'Live History'!$G$5:$G$3004,1)),INDEX('AH History'!$C$5:$C$1380,$K1609))),NA()),NA())</f>
        <v/>
      </c>
      <c r="J1609" s="32">
        <f>IFERROR(IF(AND($F1609&gt;0,$H1609&gt;0,$A1609-$G1609&lt;=10,$A1609-$I1609&lt;=5,$G1609&gt;0,$I1609&gt;0),$F1609*$H1609,NA()),NA())</f>
        <v/>
      </c>
      <c r="K1609" s="15">
        <f>IF($A1609="","",IF(AH!$U$5=1,IFERROR(MATCH($A1609,'Live History'!$A$5:$A$3004,0),0),AH!$U$7+1604))</f>
        <v/>
      </c>
      <c r="L1609" s="15">
        <f>IF(ISNUMBER(A1609),TEXT(A1609,"dd-mmm-yy"),"")</f>
        <v/>
      </c>
    </row>
    <row r="1610">
      <c r="A1610" s="14">
        <f>IF(OR(AH!$U$4=0,1605+1&gt;AH!$U$6,AND(AH!$M$5="Bloomberg",AH!$U$5=0)),"",IFERROR(IF(AND(AH!$U$12=1,1605+1=AH!$U$6),TODAY(),IF(AH!$U$5=1,INDEX('Live History'!$A$5:$A$3004,AH!$U$7+1605),INDEX('AH History'!$A$5:$A$1380,AH!$U$7+1605))),""))</f>
        <v/>
      </c>
      <c r="B1610" s="33">
        <f>IFERROR(IF(AH!$U$11=1,NA(),$J1610/$E1610-1),NA())</f>
        <v/>
      </c>
      <c r="C1610" s="269">
        <f>IFERROR(100*$E1610/$E$5,NA())</f>
        <v/>
      </c>
      <c r="D1610" s="269">
        <f>IFERROR(100*$J1610/$J$5,NA())</f>
        <v/>
      </c>
      <c r="E1610" s="32">
        <f>IFERROR(IF(AND(ISNUMBER($A1610),N(IF(AND(AH!$U$12=1,1605+1=AH!$U$6),IF(AH!$U$4=0,"unavailable",INDEX('Market Data'!$AN$5:$AN$66,AH!$U$4)),IF(AH!$U$5=1,INDEX('Live History'!$B$5:$B$3004,$K1610),INDEX('AH History'!$D$5:$GG$1380,$K1610,AH!$U$10))))&gt;0),IF(AND(AH!$U$12=1,1605+1=AH!$U$6),IF(AH!$U$4=0,"unavailable",INDEX('Market Data'!$AN$5:$AN$66,AH!$U$4)),IF(AH!$U$5=1,INDEX('Live History'!$B$5:$B$3004,$K1610),INDEX('AH History'!$D$5:$GG$1380,$K1610,AH!$U$10))),NA()),NA())</f>
        <v/>
      </c>
      <c r="F1610" s="32">
        <f>IFERROR(IF(ISNUMBER($A1610),IF(AND(AH!$U$12=1,1605+1=AH!$U$6),IF(AH!$U$4=0,"unavailable",INDEX('Market Data'!$AO$5:$AO$66,AH!$U$4)),IF(AH!$U$5=1,INDEX('Live History'!$E$5:$E$3004,MATCH($A1610,'Live History'!$D$5:$D$3004,1)),INDEX('AH History'!$D$5:$GG$1380,$K1610,AH!$U$10+1))),NA()),NA())</f>
        <v/>
      </c>
      <c r="G1610" s="34">
        <f>IFERROR(IF(ISNUMBER($A1610),IF(AND(AH!$U$12=1,1605+1=AH!$U$6),IF(AH!$U$4=0,"unavailable",INDEX('Market Data'!$AK$5:$AK$66,AH!$U$4)),IF(AH!$U$5=1,INDEX('Live History'!$D$5:$D$3004,MATCH($A1610,'Live History'!$D$5:$D$3004,1)),INDEX('AH History'!$D$5:$GG$1380,$K1610,AH!$U$10+2))),NA()),NA())</f>
        <v/>
      </c>
      <c r="H1610" s="266">
        <f>IFERROR(IF(ISNUMBER($A1610),IF(AND(AH!$U$12=1,1605+1=AH!$U$6),IF(AH!$U$4=0,"unavailable",INDEX('Market Data'!$AP$5:$AP$66,AH!$U$4)),IF(AH!$U$5=1,INDEX('Live History'!$H$5:$H$3004,MATCH($A1610,'Live History'!$G$5:$G$3004,1)),INDEX('AH History'!$B$5:$B$1380,$K1610))),NA()),NA())</f>
        <v/>
      </c>
      <c r="I1610" s="34">
        <f>IFERROR(IF(ISNUMBER($A1610),IF(AND(AH!$U$12=1,1605+1=AH!$U$6),TODAY(),IF(AH!$U$5=1,INDEX('Live History'!$G$5:$G$3004,MATCH($A1610,'Live History'!$G$5:$G$3004,1)),INDEX('AH History'!$C$5:$C$1380,$K1610))),NA()),NA())</f>
        <v/>
      </c>
      <c r="J1610" s="32">
        <f>IFERROR(IF(AND($F1610&gt;0,$H1610&gt;0,$A1610-$G1610&lt;=10,$A1610-$I1610&lt;=5,$G1610&gt;0,$I1610&gt;0),$F1610*$H1610,NA()),NA())</f>
        <v/>
      </c>
      <c r="K1610" s="15">
        <f>IF($A1610="","",IF(AH!$U$5=1,IFERROR(MATCH($A1610,'Live History'!$A$5:$A$3004,0),0),AH!$U$7+1605))</f>
        <v/>
      </c>
      <c r="L1610" s="15">
        <f>IF(ISNUMBER(A1610),TEXT(A1610,"dd-mmm-yy"),"")</f>
        <v/>
      </c>
    </row>
    <row r="1611">
      <c r="A1611" s="14">
        <f>IF(OR(AH!$U$4=0,1606+1&gt;AH!$U$6,AND(AH!$M$5="Bloomberg",AH!$U$5=0)),"",IFERROR(IF(AND(AH!$U$12=1,1606+1=AH!$U$6),TODAY(),IF(AH!$U$5=1,INDEX('Live History'!$A$5:$A$3004,AH!$U$7+1606),INDEX('AH History'!$A$5:$A$1380,AH!$U$7+1606))),""))</f>
        <v/>
      </c>
      <c r="B1611" s="33">
        <f>IFERROR(IF(AH!$U$11=1,NA(),$J1611/$E1611-1),NA())</f>
        <v/>
      </c>
      <c r="C1611" s="269">
        <f>IFERROR(100*$E1611/$E$5,NA())</f>
        <v/>
      </c>
      <c r="D1611" s="269">
        <f>IFERROR(100*$J1611/$J$5,NA())</f>
        <v/>
      </c>
      <c r="E1611" s="32">
        <f>IFERROR(IF(AND(ISNUMBER($A1611),N(IF(AND(AH!$U$12=1,1606+1=AH!$U$6),IF(AH!$U$4=0,"unavailable",INDEX('Market Data'!$AN$5:$AN$66,AH!$U$4)),IF(AH!$U$5=1,INDEX('Live History'!$B$5:$B$3004,$K1611),INDEX('AH History'!$D$5:$GG$1380,$K1611,AH!$U$10))))&gt;0),IF(AND(AH!$U$12=1,1606+1=AH!$U$6),IF(AH!$U$4=0,"unavailable",INDEX('Market Data'!$AN$5:$AN$66,AH!$U$4)),IF(AH!$U$5=1,INDEX('Live History'!$B$5:$B$3004,$K1611),INDEX('AH History'!$D$5:$GG$1380,$K1611,AH!$U$10))),NA()),NA())</f>
        <v/>
      </c>
      <c r="F1611" s="32">
        <f>IFERROR(IF(ISNUMBER($A1611),IF(AND(AH!$U$12=1,1606+1=AH!$U$6),IF(AH!$U$4=0,"unavailable",INDEX('Market Data'!$AO$5:$AO$66,AH!$U$4)),IF(AH!$U$5=1,INDEX('Live History'!$E$5:$E$3004,MATCH($A1611,'Live History'!$D$5:$D$3004,1)),INDEX('AH History'!$D$5:$GG$1380,$K1611,AH!$U$10+1))),NA()),NA())</f>
        <v/>
      </c>
      <c r="G1611" s="34">
        <f>IFERROR(IF(ISNUMBER($A1611),IF(AND(AH!$U$12=1,1606+1=AH!$U$6),IF(AH!$U$4=0,"unavailable",INDEX('Market Data'!$AK$5:$AK$66,AH!$U$4)),IF(AH!$U$5=1,INDEX('Live History'!$D$5:$D$3004,MATCH($A1611,'Live History'!$D$5:$D$3004,1)),INDEX('AH History'!$D$5:$GG$1380,$K1611,AH!$U$10+2))),NA()),NA())</f>
        <v/>
      </c>
      <c r="H1611" s="266">
        <f>IFERROR(IF(ISNUMBER($A1611),IF(AND(AH!$U$12=1,1606+1=AH!$U$6),IF(AH!$U$4=0,"unavailable",INDEX('Market Data'!$AP$5:$AP$66,AH!$U$4)),IF(AH!$U$5=1,INDEX('Live History'!$H$5:$H$3004,MATCH($A1611,'Live History'!$G$5:$G$3004,1)),INDEX('AH History'!$B$5:$B$1380,$K1611))),NA()),NA())</f>
        <v/>
      </c>
      <c r="I1611" s="34">
        <f>IFERROR(IF(ISNUMBER($A1611),IF(AND(AH!$U$12=1,1606+1=AH!$U$6),TODAY(),IF(AH!$U$5=1,INDEX('Live History'!$G$5:$G$3004,MATCH($A1611,'Live History'!$G$5:$G$3004,1)),INDEX('AH History'!$C$5:$C$1380,$K1611))),NA()),NA())</f>
        <v/>
      </c>
      <c r="J1611" s="32">
        <f>IFERROR(IF(AND($F1611&gt;0,$H1611&gt;0,$A1611-$G1611&lt;=10,$A1611-$I1611&lt;=5,$G1611&gt;0,$I1611&gt;0),$F1611*$H1611,NA()),NA())</f>
        <v/>
      </c>
      <c r="K1611" s="15">
        <f>IF($A1611="","",IF(AH!$U$5=1,IFERROR(MATCH($A1611,'Live History'!$A$5:$A$3004,0),0),AH!$U$7+1606))</f>
        <v/>
      </c>
      <c r="L1611" s="15">
        <f>IF(ISNUMBER(A1611),TEXT(A1611,"dd-mmm-yy"),"")</f>
        <v/>
      </c>
    </row>
    <row r="1612">
      <c r="A1612" s="14">
        <f>IF(OR(AH!$U$4=0,1607+1&gt;AH!$U$6,AND(AH!$M$5="Bloomberg",AH!$U$5=0)),"",IFERROR(IF(AND(AH!$U$12=1,1607+1=AH!$U$6),TODAY(),IF(AH!$U$5=1,INDEX('Live History'!$A$5:$A$3004,AH!$U$7+1607),INDEX('AH History'!$A$5:$A$1380,AH!$U$7+1607))),""))</f>
        <v/>
      </c>
      <c r="B1612" s="33">
        <f>IFERROR(IF(AH!$U$11=1,NA(),$J1612/$E1612-1),NA())</f>
        <v/>
      </c>
      <c r="C1612" s="269">
        <f>IFERROR(100*$E1612/$E$5,NA())</f>
        <v/>
      </c>
      <c r="D1612" s="269">
        <f>IFERROR(100*$J1612/$J$5,NA())</f>
        <v/>
      </c>
      <c r="E1612" s="32">
        <f>IFERROR(IF(AND(ISNUMBER($A1612),N(IF(AND(AH!$U$12=1,1607+1=AH!$U$6),IF(AH!$U$4=0,"unavailable",INDEX('Market Data'!$AN$5:$AN$66,AH!$U$4)),IF(AH!$U$5=1,INDEX('Live History'!$B$5:$B$3004,$K1612),INDEX('AH History'!$D$5:$GG$1380,$K1612,AH!$U$10))))&gt;0),IF(AND(AH!$U$12=1,1607+1=AH!$U$6),IF(AH!$U$4=0,"unavailable",INDEX('Market Data'!$AN$5:$AN$66,AH!$U$4)),IF(AH!$U$5=1,INDEX('Live History'!$B$5:$B$3004,$K1612),INDEX('AH History'!$D$5:$GG$1380,$K1612,AH!$U$10))),NA()),NA())</f>
        <v/>
      </c>
      <c r="F1612" s="32">
        <f>IFERROR(IF(ISNUMBER($A1612),IF(AND(AH!$U$12=1,1607+1=AH!$U$6),IF(AH!$U$4=0,"unavailable",INDEX('Market Data'!$AO$5:$AO$66,AH!$U$4)),IF(AH!$U$5=1,INDEX('Live History'!$E$5:$E$3004,MATCH($A1612,'Live History'!$D$5:$D$3004,1)),INDEX('AH History'!$D$5:$GG$1380,$K1612,AH!$U$10+1))),NA()),NA())</f>
        <v/>
      </c>
      <c r="G1612" s="34">
        <f>IFERROR(IF(ISNUMBER($A1612),IF(AND(AH!$U$12=1,1607+1=AH!$U$6),IF(AH!$U$4=0,"unavailable",INDEX('Market Data'!$AK$5:$AK$66,AH!$U$4)),IF(AH!$U$5=1,INDEX('Live History'!$D$5:$D$3004,MATCH($A1612,'Live History'!$D$5:$D$3004,1)),INDEX('AH History'!$D$5:$GG$1380,$K1612,AH!$U$10+2))),NA()),NA())</f>
        <v/>
      </c>
      <c r="H1612" s="266">
        <f>IFERROR(IF(ISNUMBER($A1612),IF(AND(AH!$U$12=1,1607+1=AH!$U$6),IF(AH!$U$4=0,"unavailable",INDEX('Market Data'!$AP$5:$AP$66,AH!$U$4)),IF(AH!$U$5=1,INDEX('Live History'!$H$5:$H$3004,MATCH($A1612,'Live History'!$G$5:$G$3004,1)),INDEX('AH History'!$B$5:$B$1380,$K1612))),NA()),NA())</f>
        <v/>
      </c>
      <c r="I1612" s="34">
        <f>IFERROR(IF(ISNUMBER($A1612),IF(AND(AH!$U$12=1,1607+1=AH!$U$6),TODAY(),IF(AH!$U$5=1,INDEX('Live History'!$G$5:$G$3004,MATCH($A1612,'Live History'!$G$5:$G$3004,1)),INDEX('AH History'!$C$5:$C$1380,$K1612))),NA()),NA())</f>
        <v/>
      </c>
      <c r="J1612" s="32">
        <f>IFERROR(IF(AND($F1612&gt;0,$H1612&gt;0,$A1612-$G1612&lt;=10,$A1612-$I1612&lt;=5,$G1612&gt;0,$I1612&gt;0),$F1612*$H1612,NA()),NA())</f>
        <v/>
      </c>
      <c r="K1612" s="15">
        <f>IF($A1612="","",IF(AH!$U$5=1,IFERROR(MATCH($A1612,'Live History'!$A$5:$A$3004,0),0),AH!$U$7+1607))</f>
        <v/>
      </c>
      <c r="L1612" s="15">
        <f>IF(ISNUMBER(A1612),TEXT(A1612,"dd-mmm-yy"),"")</f>
        <v/>
      </c>
    </row>
    <row r="1613">
      <c r="A1613" s="14">
        <f>IF(OR(AH!$U$4=0,1608+1&gt;AH!$U$6,AND(AH!$M$5="Bloomberg",AH!$U$5=0)),"",IFERROR(IF(AND(AH!$U$12=1,1608+1=AH!$U$6),TODAY(),IF(AH!$U$5=1,INDEX('Live History'!$A$5:$A$3004,AH!$U$7+1608),INDEX('AH History'!$A$5:$A$1380,AH!$U$7+1608))),""))</f>
        <v/>
      </c>
      <c r="B1613" s="33">
        <f>IFERROR(IF(AH!$U$11=1,NA(),$J1613/$E1613-1),NA())</f>
        <v/>
      </c>
      <c r="C1613" s="269">
        <f>IFERROR(100*$E1613/$E$5,NA())</f>
        <v/>
      </c>
      <c r="D1613" s="269">
        <f>IFERROR(100*$J1613/$J$5,NA())</f>
        <v/>
      </c>
      <c r="E1613" s="32">
        <f>IFERROR(IF(AND(ISNUMBER($A1613),N(IF(AND(AH!$U$12=1,1608+1=AH!$U$6),IF(AH!$U$4=0,"unavailable",INDEX('Market Data'!$AN$5:$AN$66,AH!$U$4)),IF(AH!$U$5=1,INDEX('Live History'!$B$5:$B$3004,$K1613),INDEX('AH History'!$D$5:$GG$1380,$K1613,AH!$U$10))))&gt;0),IF(AND(AH!$U$12=1,1608+1=AH!$U$6),IF(AH!$U$4=0,"unavailable",INDEX('Market Data'!$AN$5:$AN$66,AH!$U$4)),IF(AH!$U$5=1,INDEX('Live History'!$B$5:$B$3004,$K1613),INDEX('AH History'!$D$5:$GG$1380,$K1613,AH!$U$10))),NA()),NA())</f>
        <v/>
      </c>
      <c r="F1613" s="32">
        <f>IFERROR(IF(ISNUMBER($A1613),IF(AND(AH!$U$12=1,1608+1=AH!$U$6),IF(AH!$U$4=0,"unavailable",INDEX('Market Data'!$AO$5:$AO$66,AH!$U$4)),IF(AH!$U$5=1,INDEX('Live History'!$E$5:$E$3004,MATCH($A1613,'Live History'!$D$5:$D$3004,1)),INDEX('AH History'!$D$5:$GG$1380,$K1613,AH!$U$10+1))),NA()),NA())</f>
        <v/>
      </c>
      <c r="G1613" s="34">
        <f>IFERROR(IF(ISNUMBER($A1613),IF(AND(AH!$U$12=1,1608+1=AH!$U$6),IF(AH!$U$4=0,"unavailable",INDEX('Market Data'!$AK$5:$AK$66,AH!$U$4)),IF(AH!$U$5=1,INDEX('Live History'!$D$5:$D$3004,MATCH($A1613,'Live History'!$D$5:$D$3004,1)),INDEX('AH History'!$D$5:$GG$1380,$K1613,AH!$U$10+2))),NA()),NA())</f>
        <v/>
      </c>
      <c r="H1613" s="266">
        <f>IFERROR(IF(ISNUMBER($A1613),IF(AND(AH!$U$12=1,1608+1=AH!$U$6),IF(AH!$U$4=0,"unavailable",INDEX('Market Data'!$AP$5:$AP$66,AH!$U$4)),IF(AH!$U$5=1,INDEX('Live History'!$H$5:$H$3004,MATCH($A1613,'Live History'!$G$5:$G$3004,1)),INDEX('AH History'!$B$5:$B$1380,$K1613))),NA()),NA())</f>
        <v/>
      </c>
      <c r="I1613" s="34">
        <f>IFERROR(IF(ISNUMBER($A1613),IF(AND(AH!$U$12=1,1608+1=AH!$U$6),TODAY(),IF(AH!$U$5=1,INDEX('Live History'!$G$5:$G$3004,MATCH($A1613,'Live History'!$G$5:$G$3004,1)),INDEX('AH History'!$C$5:$C$1380,$K1613))),NA()),NA())</f>
        <v/>
      </c>
      <c r="J1613" s="32">
        <f>IFERROR(IF(AND($F1613&gt;0,$H1613&gt;0,$A1613-$G1613&lt;=10,$A1613-$I1613&lt;=5,$G1613&gt;0,$I1613&gt;0),$F1613*$H1613,NA()),NA())</f>
        <v/>
      </c>
      <c r="K1613" s="15">
        <f>IF($A1613="","",IF(AH!$U$5=1,IFERROR(MATCH($A1613,'Live History'!$A$5:$A$3004,0),0),AH!$U$7+1608))</f>
        <v/>
      </c>
      <c r="L1613" s="15">
        <f>IF(ISNUMBER(A1613),TEXT(A1613,"dd-mmm-yy"),"")</f>
        <v/>
      </c>
    </row>
    <row r="1614">
      <c r="A1614" s="14">
        <f>IF(OR(AH!$U$4=0,1609+1&gt;AH!$U$6,AND(AH!$M$5="Bloomberg",AH!$U$5=0)),"",IFERROR(IF(AND(AH!$U$12=1,1609+1=AH!$U$6),TODAY(),IF(AH!$U$5=1,INDEX('Live History'!$A$5:$A$3004,AH!$U$7+1609),INDEX('AH History'!$A$5:$A$1380,AH!$U$7+1609))),""))</f>
        <v/>
      </c>
      <c r="B1614" s="33">
        <f>IFERROR(IF(AH!$U$11=1,NA(),$J1614/$E1614-1),NA())</f>
        <v/>
      </c>
      <c r="C1614" s="269">
        <f>IFERROR(100*$E1614/$E$5,NA())</f>
        <v/>
      </c>
      <c r="D1614" s="269">
        <f>IFERROR(100*$J1614/$J$5,NA())</f>
        <v/>
      </c>
      <c r="E1614" s="32">
        <f>IFERROR(IF(AND(ISNUMBER($A1614),N(IF(AND(AH!$U$12=1,1609+1=AH!$U$6),IF(AH!$U$4=0,"unavailable",INDEX('Market Data'!$AN$5:$AN$66,AH!$U$4)),IF(AH!$U$5=1,INDEX('Live History'!$B$5:$B$3004,$K1614),INDEX('AH History'!$D$5:$GG$1380,$K1614,AH!$U$10))))&gt;0),IF(AND(AH!$U$12=1,1609+1=AH!$U$6),IF(AH!$U$4=0,"unavailable",INDEX('Market Data'!$AN$5:$AN$66,AH!$U$4)),IF(AH!$U$5=1,INDEX('Live History'!$B$5:$B$3004,$K1614),INDEX('AH History'!$D$5:$GG$1380,$K1614,AH!$U$10))),NA()),NA())</f>
        <v/>
      </c>
      <c r="F1614" s="32">
        <f>IFERROR(IF(ISNUMBER($A1614),IF(AND(AH!$U$12=1,1609+1=AH!$U$6),IF(AH!$U$4=0,"unavailable",INDEX('Market Data'!$AO$5:$AO$66,AH!$U$4)),IF(AH!$U$5=1,INDEX('Live History'!$E$5:$E$3004,MATCH($A1614,'Live History'!$D$5:$D$3004,1)),INDEX('AH History'!$D$5:$GG$1380,$K1614,AH!$U$10+1))),NA()),NA())</f>
        <v/>
      </c>
      <c r="G1614" s="34">
        <f>IFERROR(IF(ISNUMBER($A1614),IF(AND(AH!$U$12=1,1609+1=AH!$U$6),IF(AH!$U$4=0,"unavailable",INDEX('Market Data'!$AK$5:$AK$66,AH!$U$4)),IF(AH!$U$5=1,INDEX('Live History'!$D$5:$D$3004,MATCH($A1614,'Live History'!$D$5:$D$3004,1)),INDEX('AH History'!$D$5:$GG$1380,$K1614,AH!$U$10+2))),NA()),NA())</f>
        <v/>
      </c>
      <c r="H1614" s="266">
        <f>IFERROR(IF(ISNUMBER($A1614),IF(AND(AH!$U$12=1,1609+1=AH!$U$6),IF(AH!$U$4=0,"unavailable",INDEX('Market Data'!$AP$5:$AP$66,AH!$U$4)),IF(AH!$U$5=1,INDEX('Live History'!$H$5:$H$3004,MATCH($A1614,'Live History'!$G$5:$G$3004,1)),INDEX('AH History'!$B$5:$B$1380,$K1614))),NA()),NA())</f>
        <v/>
      </c>
      <c r="I1614" s="34">
        <f>IFERROR(IF(ISNUMBER($A1614),IF(AND(AH!$U$12=1,1609+1=AH!$U$6),TODAY(),IF(AH!$U$5=1,INDEX('Live History'!$G$5:$G$3004,MATCH($A1614,'Live History'!$G$5:$G$3004,1)),INDEX('AH History'!$C$5:$C$1380,$K1614))),NA()),NA())</f>
        <v/>
      </c>
      <c r="J1614" s="32">
        <f>IFERROR(IF(AND($F1614&gt;0,$H1614&gt;0,$A1614-$G1614&lt;=10,$A1614-$I1614&lt;=5,$G1614&gt;0,$I1614&gt;0),$F1614*$H1614,NA()),NA())</f>
        <v/>
      </c>
      <c r="K1614" s="15">
        <f>IF($A1614="","",IF(AH!$U$5=1,IFERROR(MATCH($A1614,'Live History'!$A$5:$A$3004,0),0),AH!$U$7+1609))</f>
        <v/>
      </c>
      <c r="L1614" s="15">
        <f>IF(ISNUMBER(A1614),TEXT(A1614,"dd-mmm-yy"),"")</f>
        <v/>
      </c>
    </row>
    <row r="1615">
      <c r="A1615" s="14">
        <f>IF(OR(AH!$U$4=0,1610+1&gt;AH!$U$6,AND(AH!$M$5="Bloomberg",AH!$U$5=0)),"",IFERROR(IF(AND(AH!$U$12=1,1610+1=AH!$U$6),TODAY(),IF(AH!$U$5=1,INDEX('Live History'!$A$5:$A$3004,AH!$U$7+1610),INDEX('AH History'!$A$5:$A$1380,AH!$U$7+1610))),""))</f>
        <v/>
      </c>
      <c r="B1615" s="33">
        <f>IFERROR(IF(AH!$U$11=1,NA(),$J1615/$E1615-1),NA())</f>
        <v/>
      </c>
      <c r="C1615" s="269">
        <f>IFERROR(100*$E1615/$E$5,NA())</f>
        <v/>
      </c>
      <c r="D1615" s="269">
        <f>IFERROR(100*$J1615/$J$5,NA())</f>
        <v/>
      </c>
      <c r="E1615" s="32">
        <f>IFERROR(IF(AND(ISNUMBER($A1615),N(IF(AND(AH!$U$12=1,1610+1=AH!$U$6),IF(AH!$U$4=0,"unavailable",INDEX('Market Data'!$AN$5:$AN$66,AH!$U$4)),IF(AH!$U$5=1,INDEX('Live History'!$B$5:$B$3004,$K1615),INDEX('AH History'!$D$5:$GG$1380,$K1615,AH!$U$10))))&gt;0),IF(AND(AH!$U$12=1,1610+1=AH!$U$6),IF(AH!$U$4=0,"unavailable",INDEX('Market Data'!$AN$5:$AN$66,AH!$U$4)),IF(AH!$U$5=1,INDEX('Live History'!$B$5:$B$3004,$K1615),INDEX('AH History'!$D$5:$GG$1380,$K1615,AH!$U$10))),NA()),NA())</f>
        <v/>
      </c>
      <c r="F1615" s="32">
        <f>IFERROR(IF(ISNUMBER($A1615),IF(AND(AH!$U$12=1,1610+1=AH!$U$6),IF(AH!$U$4=0,"unavailable",INDEX('Market Data'!$AO$5:$AO$66,AH!$U$4)),IF(AH!$U$5=1,INDEX('Live History'!$E$5:$E$3004,MATCH($A1615,'Live History'!$D$5:$D$3004,1)),INDEX('AH History'!$D$5:$GG$1380,$K1615,AH!$U$10+1))),NA()),NA())</f>
        <v/>
      </c>
      <c r="G1615" s="34">
        <f>IFERROR(IF(ISNUMBER($A1615),IF(AND(AH!$U$12=1,1610+1=AH!$U$6),IF(AH!$U$4=0,"unavailable",INDEX('Market Data'!$AK$5:$AK$66,AH!$U$4)),IF(AH!$U$5=1,INDEX('Live History'!$D$5:$D$3004,MATCH($A1615,'Live History'!$D$5:$D$3004,1)),INDEX('AH History'!$D$5:$GG$1380,$K1615,AH!$U$10+2))),NA()),NA())</f>
        <v/>
      </c>
      <c r="H1615" s="266">
        <f>IFERROR(IF(ISNUMBER($A1615),IF(AND(AH!$U$12=1,1610+1=AH!$U$6),IF(AH!$U$4=0,"unavailable",INDEX('Market Data'!$AP$5:$AP$66,AH!$U$4)),IF(AH!$U$5=1,INDEX('Live History'!$H$5:$H$3004,MATCH($A1615,'Live History'!$G$5:$G$3004,1)),INDEX('AH History'!$B$5:$B$1380,$K1615))),NA()),NA())</f>
        <v/>
      </c>
      <c r="I1615" s="34">
        <f>IFERROR(IF(ISNUMBER($A1615),IF(AND(AH!$U$12=1,1610+1=AH!$U$6),TODAY(),IF(AH!$U$5=1,INDEX('Live History'!$G$5:$G$3004,MATCH($A1615,'Live History'!$G$5:$G$3004,1)),INDEX('AH History'!$C$5:$C$1380,$K1615))),NA()),NA())</f>
        <v/>
      </c>
      <c r="J1615" s="32">
        <f>IFERROR(IF(AND($F1615&gt;0,$H1615&gt;0,$A1615-$G1615&lt;=10,$A1615-$I1615&lt;=5,$G1615&gt;0,$I1615&gt;0),$F1615*$H1615,NA()),NA())</f>
        <v/>
      </c>
      <c r="K1615" s="15">
        <f>IF($A1615="","",IF(AH!$U$5=1,IFERROR(MATCH($A1615,'Live History'!$A$5:$A$3004,0),0),AH!$U$7+1610))</f>
        <v/>
      </c>
      <c r="L1615" s="15">
        <f>IF(ISNUMBER(A1615),TEXT(A1615,"dd-mmm-yy"),"")</f>
        <v/>
      </c>
    </row>
    <row r="1616">
      <c r="A1616" s="14">
        <f>IF(OR(AH!$U$4=0,1611+1&gt;AH!$U$6,AND(AH!$M$5="Bloomberg",AH!$U$5=0)),"",IFERROR(IF(AND(AH!$U$12=1,1611+1=AH!$U$6),TODAY(),IF(AH!$U$5=1,INDEX('Live History'!$A$5:$A$3004,AH!$U$7+1611),INDEX('AH History'!$A$5:$A$1380,AH!$U$7+1611))),""))</f>
        <v/>
      </c>
      <c r="B1616" s="33">
        <f>IFERROR(IF(AH!$U$11=1,NA(),$J1616/$E1616-1),NA())</f>
        <v/>
      </c>
      <c r="C1616" s="269">
        <f>IFERROR(100*$E1616/$E$5,NA())</f>
        <v/>
      </c>
      <c r="D1616" s="269">
        <f>IFERROR(100*$J1616/$J$5,NA())</f>
        <v/>
      </c>
      <c r="E1616" s="32">
        <f>IFERROR(IF(AND(ISNUMBER($A1616),N(IF(AND(AH!$U$12=1,1611+1=AH!$U$6),IF(AH!$U$4=0,"unavailable",INDEX('Market Data'!$AN$5:$AN$66,AH!$U$4)),IF(AH!$U$5=1,INDEX('Live History'!$B$5:$B$3004,$K1616),INDEX('AH History'!$D$5:$GG$1380,$K1616,AH!$U$10))))&gt;0),IF(AND(AH!$U$12=1,1611+1=AH!$U$6),IF(AH!$U$4=0,"unavailable",INDEX('Market Data'!$AN$5:$AN$66,AH!$U$4)),IF(AH!$U$5=1,INDEX('Live History'!$B$5:$B$3004,$K1616),INDEX('AH History'!$D$5:$GG$1380,$K1616,AH!$U$10))),NA()),NA())</f>
        <v/>
      </c>
      <c r="F1616" s="32">
        <f>IFERROR(IF(ISNUMBER($A1616),IF(AND(AH!$U$12=1,1611+1=AH!$U$6),IF(AH!$U$4=0,"unavailable",INDEX('Market Data'!$AO$5:$AO$66,AH!$U$4)),IF(AH!$U$5=1,INDEX('Live History'!$E$5:$E$3004,MATCH($A1616,'Live History'!$D$5:$D$3004,1)),INDEX('AH History'!$D$5:$GG$1380,$K1616,AH!$U$10+1))),NA()),NA())</f>
        <v/>
      </c>
      <c r="G1616" s="34">
        <f>IFERROR(IF(ISNUMBER($A1616),IF(AND(AH!$U$12=1,1611+1=AH!$U$6),IF(AH!$U$4=0,"unavailable",INDEX('Market Data'!$AK$5:$AK$66,AH!$U$4)),IF(AH!$U$5=1,INDEX('Live History'!$D$5:$D$3004,MATCH($A1616,'Live History'!$D$5:$D$3004,1)),INDEX('AH History'!$D$5:$GG$1380,$K1616,AH!$U$10+2))),NA()),NA())</f>
        <v/>
      </c>
      <c r="H1616" s="266">
        <f>IFERROR(IF(ISNUMBER($A1616),IF(AND(AH!$U$12=1,1611+1=AH!$U$6),IF(AH!$U$4=0,"unavailable",INDEX('Market Data'!$AP$5:$AP$66,AH!$U$4)),IF(AH!$U$5=1,INDEX('Live History'!$H$5:$H$3004,MATCH($A1616,'Live History'!$G$5:$G$3004,1)),INDEX('AH History'!$B$5:$B$1380,$K1616))),NA()),NA())</f>
        <v/>
      </c>
      <c r="I1616" s="34">
        <f>IFERROR(IF(ISNUMBER($A1616),IF(AND(AH!$U$12=1,1611+1=AH!$U$6),TODAY(),IF(AH!$U$5=1,INDEX('Live History'!$G$5:$G$3004,MATCH($A1616,'Live History'!$G$5:$G$3004,1)),INDEX('AH History'!$C$5:$C$1380,$K1616))),NA()),NA())</f>
        <v/>
      </c>
      <c r="J1616" s="32">
        <f>IFERROR(IF(AND($F1616&gt;0,$H1616&gt;0,$A1616-$G1616&lt;=10,$A1616-$I1616&lt;=5,$G1616&gt;0,$I1616&gt;0),$F1616*$H1616,NA()),NA())</f>
        <v/>
      </c>
      <c r="K1616" s="15">
        <f>IF($A1616="","",IF(AH!$U$5=1,IFERROR(MATCH($A1616,'Live History'!$A$5:$A$3004,0),0),AH!$U$7+1611))</f>
        <v/>
      </c>
      <c r="L1616" s="15">
        <f>IF(ISNUMBER(A1616),TEXT(A1616,"dd-mmm-yy"),"")</f>
        <v/>
      </c>
    </row>
    <row r="1617">
      <c r="A1617" s="14">
        <f>IF(OR(AH!$U$4=0,1612+1&gt;AH!$U$6,AND(AH!$M$5="Bloomberg",AH!$U$5=0)),"",IFERROR(IF(AND(AH!$U$12=1,1612+1=AH!$U$6),TODAY(),IF(AH!$U$5=1,INDEX('Live History'!$A$5:$A$3004,AH!$U$7+1612),INDEX('AH History'!$A$5:$A$1380,AH!$U$7+1612))),""))</f>
        <v/>
      </c>
      <c r="B1617" s="33">
        <f>IFERROR(IF(AH!$U$11=1,NA(),$J1617/$E1617-1),NA())</f>
        <v/>
      </c>
      <c r="C1617" s="269">
        <f>IFERROR(100*$E1617/$E$5,NA())</f>
        <v/>
      </c>
      <c r="D1617" s="269">
        <f>IFERROR(100*$J1617/$J$5,NA())</f>
        <v/>
      </c>
      <c r="E1617" s="32">
        <f>IFERROR(IF(AND(ISNUMBER($A1617),N(IF(AND(AH!$U$12=1,1612+1=AH!$U$6),IF(AH!$U$4=0,"unavailable",INDEX('Market Data'!$AN$5:$AN$66,AH!$U$4)),IF(AH!$U$5=1,INDEX('Live History'!$B$5:$B$3004,$K1617),INDEX('AH History'!$D$5:$GG$1380,$K1617,AH!$U$10))))&gt;0),IF(AND(AH!$U$12=1,1612+1=AH!$U$6),IF(AH!$U$4=0,"unavailable",INDEX('Market Data'!$AN$5:$AN$66,AH!$U$4)),IF(AH!$U$5=1,INDEX('Live History'!$B$5:$B$3004,$K1617),INDEX('AH History'!$D$5:$GG$1380,$K1617,AH!$U$10))),NA()),NA())</f>
        <v/>
      </c>
      <c r="F1617" s="32">
        <f>IFERROR(IF(ISNUMBER($A1617),IF(AND(AH!$U$12=1,1612+1=AH!$U$6),IF(AH!$U$4=0,"unavailable",INDEX('Market Data'!$AO$5:$AO$66,AH!$U$4)),IF(AH!$U$5=1,INDEX('Live History'!$E$5:$E$3004,MATCH($A1617,'Live History'!$D$5:$D$3004,1)),INDEX('AH History'!$D$5:$GG$1380,$K1617,AH!$U$10+1))),NA()),NA())</f>
        <v/>
      </c>
      <c r="G1617" s="34">
        <f>IFERROR(IF(ISNUMBER($A1617),IF(AND(AH!$U$12=1,1612+1=AH!$U$6),IF(AH!$U$4=0,"unavailable",INDEX('Market Data'!$AK$5:$AK$66,AH!$U$4)),IF(AH!$U$5=1,INDEX('Live History'!$D$5:$D$3004,MATCH($A1617,'Live History'!$D$5:$D$3004,1)),INDEX('AH History'!$D$5:$GG$1380,$K1617,AH!$U$10+2))),NA()),NA())</f>
        <v/>
      </c>
      <c r="H1617" s="266">
        <f>IFERROR(IF(ISNUMBER($A1617),IF(AND(AH!$U$12=1,1612+1=AH!$U$6),IF(AH!$U$4=0,"unavailable",INDEX('Market Data'!$AP$5:$AP$66,AH!$U$4)),IF(AH!$U$5=1,INDEX('Live History'!$H$5:$H$3004,MATCH($A1617,'Live History'!$G$5:$G$3004,1)),INDEX('AH History'!$B$5:$B$1380,$K1617))),NA()),NA())</f>
        <v/>
      </c>
      <c r="I1617" s="34">
        <f>IFERROR(IF(ISNUMBER($A1617),IF(AND(AH!$U$12=1,1612+1=AH!$U$6),TODAY(),IF(AH!$U$5=1,INDEX('Live History'!$G$5:$G$3004,MATCH($A1617,'Live History'!$G$5:$G$3004,1)),INDEX('AH History'!$C$5:$C$1380,$K1617))),NA()),NA())</f>
        <v/>
      </c>
      <c r="J1617" s="32">
        <f>IFERROR(IF(AND($F1617&gt;0,$H1617&gt;0,$A1617-$G1617&lt;=10,$A1617-$I1617&lt;=5,$G1617&gt;0,$I1617&gt;0),$F1617*$H1617,NA()),NA())</f>
        <v/>
      </c>
      <c r="K1617" s="15">
        <f>IF($A1617="","",IF(AH!$U$5=1,IFERROR(MATCH($A1617,'Live History'!$A$5:$A$3004,0),0),AH!$U$7+1612))</f>
        <v/>
      </c>
      <c r="L1617" s="15">
        <f>IF(ISNUMBER(A1617),TEXT(A1617,"dd-mmm-yy"),"")</f>
        <v/>
      </c>
    </row>
    <row r="1618">
      <c r="A1618" s="14">
        <f>IF(OR(AH!$U$4=0,1613+1&gt;AH!$U$6,AND(AH!$M$5="Bloomberg",AH!$U$5=0)),"",IFERROR(IF(AND(AH!$U$12=1,1613+1=AH!$U$6),TODAY(),IF(AH!$U$5=1,INDEX('Live History'!$A$5:$A$3004,AH!$U$7+1613),INDEX('AH History'!$A$5:$A$1380,AH!$U$7+1613))),""))</f>
        <v/>
      </c>
      <c r="B1618" s="33">
        <f>IFERROR(IF(AH!$U$11=1,NA(),$J1618/$E1618-1),NA())</f>
        <v/>
      </c>
      <c r="C1618" s="269">
        <f>IFERROR(100*$E1618/$E$5,NA())</f>
        <v/>
      </c>
      <c r="D1618" s="269">
        <f>IFERROR(100*$J1618/$J$5,NA())</f>
        <v/>
      </c>
      <c r="E1618" s="32">
        <f>IFERROR(IF(AND(ISNUMBER($A1618),N(IF(AND(AH!$U$12=1,1613+1=AH!$U$6),IF(AH!$U$4=0,"unavailable",INDEX('Market Data'!$AN$5:$AN$66,AH!$U$4)),IF(AH!$U$5=1,INDEX('Live History'!$B$5:$B$3004,$K1618),INDEX('AH History'!$D$5:$GG$1380,$K1618,AH!$U$10))))&gt;0),IF(AND(AH!$U$12=1,1613+1=AH!$U$6),IF(AH!$U$4=0,"unavailable",INDEX('Market Data'!$AN$5:$AN$66,AH!$U$4)),IF(AH!$U$5=1,INDEX('Live History'!$B$5:$B$3004,$K1618),INDEX('AH History'!$D$5:$GG$1380,$K1618,AH!$U$10))),NA()),NA())</f>
        <v/>
      </c>
      <c r="F1618" s="32">
        <f>IFERROR(IF(ISNUMBER($A1618),IF(AND(AH!$U$12=1,1613+1=AH!$U$6),IF(AH!$U$4=0,"unavailable",INDEX('Market Data'!$AO$5:$AO$66,AH!$U$4)),IF(AH!$U$5=1,INDEX('Live History'!$E$5:$E$3004,MATCH($A1618,'Live History'!$D$5:$D$3004,1)),INDEX('AH History'!$D$5:$GG$1380,$K1618,AH!$U$10+1))),NA()),NA())</f>
        <v/>
      </c>
      <c r="G1618" s="34">
        <f>IFERROR(IF(ISNUMBER($A1618),IF(AND(AH!$U$12=1,1613+1=AH!$U$6),IF(AH!$U$4=0,"unavailable",INDEX('Market Data'!$AK$5:$AK$66,AH!$U$4)),IF(AH!$U$5=1,INDEX('Live History'!$D$5:$D$3004,MATCH($A1618,'Live History'!$D$5:$D$3004,1)),INDEX('AH History'!$D$5:$GG$1380,$K1618,AH!$U$10+2))),NA()),NA())</f>
        <v/>
      </c>
      <c r="H1618" s="266">
        <f>IFERROR(IF(ISNUMBER($A1618),IF(AND(AH!$U$12=1,1613+1=AH!$U$6),IF(AH!$U$4=0,"unavailable",INDEX('Market Data'!$AP$5:$AP$66,AH!$U$4)),IF(AH!$U$5=1,INDEX('Live History'!$H$5:$H$3004,MATCH($A1618,'Live History'!$G$5:$G$3004,1)),INDEX('AH History'!$B$5:$B$1380,$K1618))),NA()),NA())</f>
        <v/>
      </c>
      <c r="I1618" s="34">
        <f>IFERROR(IF(ISNUMBER($A1618),IF(AND(AH!$U$12=1,1613+1=AH!$U$6),TODAY(),IF(AH!$U$5=1,INDEX('Live History'!$G$5:$G$3004,MATCH($A1618,'Live History'!$G$5:$G$3004,1)),INDEX('AH History'!$C$5:$C$1380,$K1618))),NA()),NA())</f>
        <v/>
      </c>
      <c r="J1618" s="32">
        <f>IFERROR(IF(AND($F1618&gt;0,$H1618&gt;0,$A1618-$G1618&lt;=10,$A1618-$I1618&lt;=5,$G1618&gt;0,$I1618&gt;0),$F1618*$H1618,NA()),NA())</f>
        <v/>
      </c>
      <c r="K1618" s="15">
        <f>IF($A1618="","",IF(AH!$U$5=1,IFERROR(MATCH($A1618,'Live History'!$A$5:$A$3004,0),0),AH!$U$7+1613))</f>
        <v/>
      </c>
      <c r="L1618" s="15">
        <f>IF(ISNUMBER(A1618),TEXT(A1618,"dd-mmm-yy"),"")</f>
        <v/>
      </c>
    </row>
    <row r="1619">
      <c r="A1619" s="14">
        <f>IF(OR(AH!$U$4=0,1614+1&gt;AH!$U$6,AND(AH!$M$5="Bloomberg",AH!$U$5=0)),"",IFERROR(IF(AND(AH!$U$12=1,1614+1=AH!$U$6),TODAY(),IF(AH!$U$5=1,INDEX('Live History'!$A$5:$A$3004,AH!$U$7+1614),INDEX('AH History'!$A$5:$A$1380,AH!$U$7+1614))),""))</f>
        <v/>
      </c>
      <c r="B1619" s="33">
        <f>IFERROR(IF(AH!$U$11=1,NA(),$J1619/$E1619-1),NA())</f>
        <v/>
      </c>
      <c r="C1619" s="269">
        <f>IFERROR(100*$E1619/$E$5,NA())</f>
        <v/>
      </c>
      <c r="D1619" s="269">
        <f>IFERROR(100*$J1619/$J$5,NA())</f>
        <v/>
      </c>
      <c r="E1619" s="32">
        <f>IFERROR(IF(AND(ISNUMBER($A1619),N(IF(AND(AH!$U$12=1,1614+1=AH!$U$6),IF(AH!$U$4=0,"unavailable",INDEX('Market Data'!$AN$5:$AN$66,AH!$U$4)),IF(AH!$U$5=1,INDEX('Live History'!$B$5:$B$3004,$K1619),INDEX('AH History'!$D$5:$GG$1380,$K1619,AH!$U$10))))&gt;0),IF(AND(AH!$U$12=1,1614+1=AH!$U$6),IF(AH!$U$4=0,"unavailable",INDEX('Market Data'!$AN$5:$AN$66,AH!$U$4)),IF(AH!$U$5=1,INDEX('Live History'!$B$5:$B$3004,$K1619),INDEX('AH History'!$D$5:$GG$1380,$K1619,AH!$U$10))),NA()),NA())</f>
        <v/>
      </c>
      <c r="F1619" s="32">
        <f>IFERROR(IF(ISNUMBER($A1619),IF(AND(AH!$U$12=1,1614+1=AH!$U$6),IF(AH!$U$4=0,"unavailable",INDEX('Market Data'!$AO$5:$AO$66,AH!$U$4)),IF(AH!$U$5=1,INDEX('Live History'!$E$5:$E$3004,MATCH($A1619,'Live History'!$D$5:$D$3004,1)),INDEX('AH History'!$D$5:$GG$1380,$K1619,AH!$U$10+1))),NA()),NA())</f>
        <v/>
      </c>
      <c r="G1619" s="34">
        <f>IFERROR(IF(ISNUMBER($A1619),IF(AND(AH!$U$12=1,1614+1=AH!$U$6),IF(AH!$U$4=0,"unavailable",INDEX('Market Data'!$AK$5:$AK$66,AH!$U$4)),IF(AH!$U$5=1,INDEX('Live History'!$D$5:$D$3004,MATCH($A1619,'Live History'!$D$5:$D$3004,1)),INDEX('AH History'!$D$5:$GG$1380,$K1619,AH!$U$10+2))),NA()),NA())</f>
        <v/>
      </c>
      <c r="H1619" s="266">
        <f>IFERROR(IF(ISNUMBER($A1619),IF(AND(AH!$U$12=1,1614+1=AH!$U$6),IF(AH!$U$4=0,"unavailable",INDEX('Market Data'!$AP$5:$AP$66,AH!$U$4)),IF(AH!$U$5=1,INDEX('Live History'!$H$5:$H$3004,MATCH($A1619,'Live History'!$G$5:$G$3004,1)),INDEX('AH History'!$B$5:$B$1380,$K1619))),NA()),NA())</f>
        <v/>
      </c>
      <c r="I1619" s="34">
        <f>IFERROR(IF(ISNUMBER($A1619),IF(AND(AH!$U$12=1,1614+1=AH!$U$6),TODAY(),IF(AH!$U$5=1,INDEX('Live History'!$G$5:$G$3004,MATCH($A1619,'Live History'!$G$5:$G$3004,1)),INDEX('AH History'!$C$5:$C$1380,$K1619))),NA()),NA())</f>
        <v/>
      </c>
      <c r="J1619" s="32">
        <f>IFERROR(IF(AND($F1619&gt;0,$H1619&gt;0,$A1619-$G1619&lt;=10,$A1619-$I1619&lt;=5,$G1619&gt;0,$I1619&gt;0),$F1619*$H1619,NA()),NA())</f>
        <v/>
      </c>
      <c r="K1619" s="15">
        <f>IF($A1619="","",IF(AH!$U$5=1,IFERROR(MATCH($A1619,'Live History'!$A$5:$A$3004,0),0),AH!$U$7+1614))</f>
        <v/>
      </c>
      <c r="L1619" s="15">
        <f>IF(ISNUMBER(A1619),TEXT(A1619,"dd-mmm-yy"),"")</f>
        <v/>
      </c>
    </row>
    <row r="1620">
      <c r="A1620" s="14">
        <f>IF(OR(AH!$U$4=0,1615+1&gt;AH!$U$6,AND(AH!$M$5="Bloomberg",AH!$U$5=0)),"",IFERROR(IF(AND(AH!$U$12=1,1615+1=AH!$U$6),TODAY(),IF(AH!$U$5=1,INDEX('Live History'!$A$5:$A$3004,AH!$U$7+1615),INDEX('AH History'!$A$5:$A$1380,AH!$U$7+1615))),""))</f>
        <v/>
      </c>
      <c r="B1620" s="33">
        <f>IFERROR(IF(AH!$U$11=1,NA(),$J1620/$E1620-1),NA())</f>
        <v/>
      </c>
      <c r="C1620" s="269">
        <f>IFERROR(100*$E1620/$E$5,NA())</f>
        <v/>
      </c>
      <c r="D1620" s="269">
        <f>IFERROR(100*$J1620/$J$5,NA())</f>
        <v/>
      </c>
      <c r="E1620" s="32">
        <f>IFERROR(IF(AND(ISNUMBER($A1620),N(IF(AND(AH!$U$12=1,1615+1=AH!$U$6),IF(AH!$U$4=0,"unavailable",INDEX('Market Data'!$AN$5:$AN$66,AH!$U$4)),IF(AH!$U$5=1,INDEX('Live History'!$B$5:$B$3004,$K1620),INDEX('AH History'!$D$5:$GG$1380,$K1620,AH!$U$10))))&gt;0),IF(AND(AH!$U$12=1,1615+1=AH!$U$6),IF(AH!$U$4=0,"unavailable",INDEX('Market Data'!$AN$5:$AN$66,AH!$U$4)),IF(AH!$U$5=1,INDEX('Live History'!$B$5:$B$3004,$K1620),INDEX('AH History'!$D$5:$GG$1380,$K1620,AH!$U$10))),NA()),NA())</f>
        <v/>
      </c>
      <c r="F1620" s="32">
        <f>IFERROR(IF(ISNUMBER($A1620),IF(AND(AH!$U$12=1,1615+1=AH!$U$6),IF(AH!$U$4=0,"unavailable",INDEX('Market Data'!$AO$5:$AO$66,AH!$U$4)),IF(AH!$U$5=1,INDEX('Live History'!$E$5:$E$3004,MATCH($A1620,'Live History'!$D$5:$D$3004,1)),INDEX('AH History'!$D$5:$GG$1380,$K1620,AH!$U$10+1))),NA()),NA())</f>
        <v/>
      </c>
      <c r="G1620" s="34">
        <f>IFERROR(IF(ISNUMBER($A1620),IF(AND(AH!$U$12=1,1615+1=AH!$U$6),IF(AH!$U$4=0,"unavailable",INDEX('Market Data'!$AK$5:$AK$66,AH!$U$4)),IF(AH!$U$5=1,INDEX('Live History'!$D$5:$D$3004,MATCH($A1620,'Live History'!$D$5:$D$3004,1)),INDEX('AH History'!$D$5:$GG$1380,$K1620,AH!$U$10+2))),NA()),NA())</f>
        <v/>
      </c>
      <c r="H1620" s="266">
        <f>IFERROR(IF(ISNUMBER($A1620),IF(AND(AH!$U$12=1,1615+1=AH!$U$6),IF(AH!$U$4=0,"unavailable",INDEX('Market Data'!$AP$5:$AP$66,AH!$U$4)),IF(AH!$U$5=1,INDEX('Live History'!$H$5:$H$3004,MATCH($A1620,'Live History'!$G$5:$G$3004,1)),INDEX('AH History'!$B$5:$B$1380,$K1620))),NA()),NA())</f>
        <v/>
      </c>
      <c r="I1620" s="34">
        <f>IFERROR(IF(ISNUMBER($A1620),IF(AND(AH!$U$12=1,1615+1=AH!$U$6),TODAY(),IF(AH!$U$5=1,INDEX('Live History'!$G$5:$G$3004,MATCH($A1620,'Live History'!$G$5:$G$3004,1)),INDEX('AH History'!$C$5:$C$1380,$K1620))),NA()),NA())</f>
        <v/>
      </c>
      <c r="J1620" s="32">
        <f>IFERROR(IF(AND($F1620&gt;0,$H1620&gt;0,$A1620-$G1620&lt;=10,$A1620-$I1620&lt;=5,$G1620&gt;0,$I1620&gt;0),$F1620*$H1620,NA()),NA())</f>
        <v/>
      </c>
      <c r="K1620" s="15">
        <f>IF($A1620="","",IF(AH!$U$5=1,IFERROR(MATCH($A1620,'Live History'!$A$5:$A$3004,0),0),AH!$U$7+1615))</f>
        <v/>
      </c>
      <c r="L1620" s="15">
        <f>IF(ISNUMBER(A1620),TEXT(A1620,"dd-mmm-yy"),"")</f>
        <v/>
      </c>
    </row>
    <row r="1621">
      <c r="A1621" s="14">
        <f>IF(OR(AH!$U$4=0,1616+1&gt;AH!$U$6,AND(AH!$M$5="Bloomberg",AH!$U$5=0)),"",IFERROR(IF(AND(AH!$U$12=1,1616+1=AH!$U$6),TODAY(),IF(AH!$U$5=1,INDEX('Live History'!$A$5:$A$3004,AH!$U$7+1616),INDEX('AH History'!$A$5:$A$1380,AH!$U$7+1616))),""))</f>
        <v/>
      </c>
      <c r="B1621" s="33">
        <f>IFERROR(IF(AH!$U$11=1,NA(),$J1621/$E1621-1),NA())</f>
        <v/>
      </c>
      <c r="C1621" s="269">
        <f>IFERROR(100*$E1621/$E$5,NA())</f>
        <v/>
      </c>
      <c r="D1621" s="269">
        <f>IFERROR(100*$J1621/$J$5,NA())</f>
        <v/>
      </c>
      <c r="E1621" s="32">
        <f>IFERROR(IF(AND(ISNUMBER($A1621),N(IF(AND(AH!$U$12=1,1616+1=AH!$U$6),IF(AH!$U$4=0,"unavailable",INDEX('Market Data'!$AN$5:$AN$66,AH!$U$4)),IF(AH!$U$5=1,INDEX('Live History'!$B$5:$B$3004,$K1621),INDEX('AH History'!$D$5:$GG$1380,$K1621,AH!$U$10))))&gt;0),IF(AND(AH!$U$12=1,1616+1=AH!$U$6),IF(AH!$U$4=0,"unavailable",INDEX('Market Data'!$AN$5:$AN$66,AH!$U$4)),IF(AH!$U$5=1,INDEX('Live History'!$B$5:$B$3004,$K1621),INDEX('AH History'!$D$5:$GG$1380,$K1621,AH!$U$10))),NA()),NA())</f>
        <v/>
      </c>
      <c r="F1621" s="32">
        <f>IFERROR(IF(ISNUMBER($A1621),IF(AND(AH!$U$12=1,1616+1=AH!$U$6),IF(AH!$U$4=0,"unavailable",INDEX('Market Data'!$AO$5:$AO$66,AH!$U$4)),IF(AH!$U$5=1,INDEX('Live History'!$E$5:$E$3004,MATCH($A1621,'Live History'!$D$5:$D$3004,1)),INDEX('AH History'!$D$5:$GG$1380,$K1621,AH!$U$10+1))),NA()),NA())</f>
        <v/>
      </c>
      <c r="G1621" s="34">
        <f>IFERROR(IF(ISNUMBER($A1621),IF(AND(AH!$U$12=1,1616+1=AH!$U$6),IF(AH!$U$4=0,"unavailable",INDEX('Market Data'!$AK$5:$AK$66,AH!$U$4)),IF(AH!$U$5=1,INDEX('Live History'!$D$5:$D$3004,MATCH($A1621,'Live History'!$D$5:$D$3004,1)),INDEX('AH History'!$D$5:$GG$1380,$K1621,AH!$U$10+2))),NA()),NA())</f>
        <v/>
      </c>
      <c r="H1621" s="266">
        <f>IFERROR(IF(ISNUMBER($A1621),IF(AND(AH!$U$12=1,1616+1=AH!$U$6),IF(AH!$U$4=0,"unavailable",INDEX('Market Data'!$AP$5:$AP$66,AH!$U$4)),IF(AH!$U$5=1,INDEX('Live History'!$H$5:$H$3004,MATCH($A1621,'Live History'!$G$5:$G$3004,1)),INDEX('AH History'!$B$5:$B$1380,$K1621))),NA()),NA())</f>
        <v/>
      </c>
      <c r="I1621" s="34">
        <f>IFERROR(IF(ISNUMBER($A1621),IF(AND(AH!$U$12=1,1616+1=AH!$U$6),TODAY(),IF(AH!$U$5=1,INDEX('Live History'!$G$5:$G$3004,MATCH($A1621,'Live History'!$G$5:$G$3004,1)),INDEX('AH History'!$C$5:$C$1380,$K1621))),NA()),NA())</f>
        <v/>
      </c>
      <c r="J1621" s="32">
        <f>IFERROR(IF(AND($F1621&gt;0,$H1621&gt;0,$A1621-$G1621&lt;=10,$A1621-$I1621&lt;=5,$G1621&gt;0,$I1621&gt;0),$F1621*$H1621,NA()),NA())</f>
        <v/>
      </c>
      <c r="K1621" s="15">
        <f>IF($A1621="","",IF(AH!$U$5=1,IFERROR(MATCH($A1621,'Live History'!$A$5:$A$3004,0),0),AH!$U$7+1616))</f>
        <v/>
      </c>
      <c r="L1621" s="15">
        <f>IF(ISNUMBER(A1621),TEXT(A1621,"dd-mmm-yy"),"")</f>
        <v/>
      </c>
    </row>
    <row r="1622">
      <c r="A1622" s="14">
        <f>IF(OR(AH!$U$4=0,1617+1&gt;AH!$U$6,AND(AH!$M$5="Bloomberg",AH!$U$5=0)),"",IFERROR(IF(AND(AH!$U$12=1,1617+1=AH!$U$6),TODAY(),IF(AH!$U$5=1,INDEX('Live History'!$A$5:$A$3004,AH!$U$7+1617),INDEX('AH History'!$A$5:$A$1380,AH!$U$7+1617))),""))</f>
        <v/>
      </c>
      <c r="B1622" s="33">
        <f>IFERROR(IF(AH!$U$11=1,NA(),$J1622/$E1622-1),NA())</f>
        <v/>
      </c>
      <c r="C1622" s="269">
        <f>IFERROR(100*$E1622/$E$5,NA())</f>
        <v/>
      </c>
      <c r="D1622" s="269">
        <f>IFERROR(100*$J1622/$J$5,NA())</f>
        <v/>
      </c>
      <c r="E1622" s="32">
        <f>IFERROR(IF(AND(ISNUMBER($A1622),N(IF(AND(AH!$U$12=1,1617+1=AH!$U$6),IF(AH!$U$4=0,"unavailable",INDEX('Market Data'!$AN$5:$AN$66,AH!$U$4)),IF(AH!$U$5=1,INDEX('Live History'!$B$5:$B$3004,$K1622),INDEX('AH History'!$D$5:$GG$1380,$K1622,AH!$U$10))))&gt;0),IF(AND(AH!$U$12=1,1617+1=AH!$U$6),IF(AH!$U$4=0,"unavailable",INDEX('Market Data'!$AN$5:$AN$66,AH!$U$4)),IF(AH!$U$5=1,INDEX('Live History'!$B$5:$B$3004,$K1622),INDEX('AH History'!$D$5:$GG$1380,$K1622,AH!$U$10))),NA()),NA())</f>
        <v/>
      </c>
      <c r="F1622" s="32">
        <f>IFERROR(IF(ISNUMBER($A1622),IF(AND(AH!$U$12=1,1617+1=AH!$U$6),IF(AH!$U$4=0,"unavailable",INDEX('Market Data'!$AO$5:$AO$66,AH!$U$4)),IF(AH!$U$5=1,INDEX('Live History'!$E$5:$E$3004,MATCH($A1622,'Live History'!$D$5:$D$3004,1)),INDEX('AH History'!$D$5:$GG$1380,$K1622,AH!$U$10+1))),NA()),NA())</f>
        <v/>
      </c>
      <c r="G1622" s="34">
        <f>IFERROR(IF(ISNUMBER($A1622),IF(AND(AH!$U$12=1,1617+1=AH!$U$6),IF(AH!$U$4=0,"unavailable",INDEX('Market Data'!$AK$5:$AK$66,AH!$U$4)),IF(AH!$U$5=1,INDEX('Live History'!$D$5:$D$3004,MATCH($A1622,'Live History'!$D$5:$D$3004,1)),INDEX('AH History'!$D$5:$GG$1380,$K1622,AH!$U$10+2))),NA()),NA())</f>
        <v/>
      </c>
      <c r="H1622" s="266">
        <f>IFERROR(IF(ISNUMBER($A1622),IF(AND(AH!$U$12=1,1617+1=AH!$U$6),IF(AH!$U$4=0,"unavailable",INDEX('Market Data'!$AP$5:$AP$66,AH!$U$4)),IF(AH!$U$5=1,INDEX('Live History'!$H$5:$H$3004,MATCH($A1622,'Live History'!$G$5:$G$3004,1)),INDEX('AH History'!$B$5:$B$1380,$K1622))),NA()),NA())</f>
        <v/>
      </c>
      <c r="I1622" s="34">
        <f>IFERROR(IF(ISNUMBER($A1622),IF(AND(AH!$U$12=1,1617+1=AH!$U$6),TODAY(),IF(AH!$U$5=1,INDEX('Live History'!$G$5:$G$3004,MATCH($A1622,'Live History'!$G$5:$G$3004,1)),INDEX('AH History'!$C$5:$C$1380,$K1622))),NA()),NA())</f>
        <v/>
      </c>
      <c r="J1622" s="32">
        <f>IFERROR(IF(AND($F1622&gt;0,$H1622&gt;0,$A1622-$G1622&lt;=10,$A1622-$I1622&lt;=5,$G1622&gt;0,$I1622&gt;0),$F1622*$H1622,NA()),NA())</f>
        <v/>
      </c>
      <c r="K1622" s="15">
        <f>IF($A1622="","",IF(AH!$U$5=1,IFERROR(MATCH($A1622,'Live History'!$A$5:$A$3004,0),0),AH!$U$7+1617))</f>
        <v/>
      </c>
      <c r="L1622" s="15">
        <f>IF(ISNUMBER(A1622),TEXT(A1622,"dd-mmm-yy"),"")</f>
        <v/>
      </c>
    </row>
    <row r="1623">
      <c r="A1623" s="14">
        <f>IF(OR(AH!$U$4=0,1618+1&gt;AH!$U$6,AND(AH!$M$5="Bloomberg",AH!$U$5=0)),"",IFERROR(IF(AND(AH!$U$12=1,1618+1=AH!$U$6),TODAY(),IF(AH!$U$5=1,INDEX('Live History'!$A$5:$A$3004,AH!$U$7+1618),INDEX('AH History'!$A$5:$A$1380,AH!$U$7+1618))),""))</f>
        <v/>
      </c>
      <c r="B1623" s="33">
        <f>IFERROR(IF(AH!$U$11=1,NA(),$J1623/$E1623-1),NA())</f>
        <v/>
      </c>
      <c r="C1623" s="269">
        <f>IFERROR(100*$E1623/$E$5,NA())</f>
        <v/>
      </c>
      <c r="D1623" s="269">
        <f>IFERROR(100*$J1623/$J$5,NA())</f>
        <v/>
      </c>
      <c r="E1623" s="32">
        <f>IFERROR(IF(AND(ISNUMBER($A1623),N(IF(AND(AH!$U$12=1,1618+1=AH!$U$6),IF(AH!$U$4=0,"unavailable",INDEX('Market Data'!$AN$5:$AN$66,AH!$U$4)),IF(AH!$U$5=1,INDEX('Live History'!$B$5:$B$3004,$K1623),INDEX('AH History'!$D$5:$GG$1380,$K1623,AH!$U$10))))&gt;0),IF(AND(AH!$U$12=1,1618+1=AH!$U$6),IF(AH!$U$4=0,"unavailable",INDEX('Market Data'!$AN$5:$AN$66,AH!$U$4)),IF(AH!$U$5=1,INDEX('Live History'!$B$5:$B$3004,$K1623),INDEX('AH History'!$D$5:$GG$1380,$K1623,AH!$U$10))),NA()),NA())</f>
        <v/>
      </c>
      <c r="F1623" s="32">
        <f>IFERROR(IF(ISNUMBER($A1623),IF(AND(AH!$U$12=1,1618+1=AH!$U$6),IF(AH!$U$4=0,"unavailable",INDEX('Market Data'!$AO$5:$AO$66,AH!$U$4)),IF(AH!$U$5=1,INDEX('Live History'!$E$5:$E$3004,MATCH($A1623,'Live History'!$D$5:$D$3004,1)),INDEX('AH History'!$D$5:$GG$1380,$K1623,AH!$U$10+1))),NA()),NA())</f>
        <v/>
      </c>
      <c r="G1623" s="34">
        <f>IFERROR(IF(ISNUMBER($A1623),IF(AND(AH!$U$12=1,1618+1=AH!$U$6),IF(AH!$U$4=0,"unavailable",INDEX('Market Data'!$AK$5:$AK$66,AH!$U$4)),IF(AH!$U$5=1,INDEX('Live History'!$D$5:$D$3004,MATCH($A1623,'Live History'!$D$5:$D$3004,1)),INDEX('AH History'!$D$5:$GG$1380,$K1623,AH!$U$10+2))),NA()),NA())</f>
        <v/>
      </c>
      <c r="H1623" s="266">
        <f>IFERROR(IF(ISNUMBER($A1623),IF(AND(AH!$U$12=1,1618+1=AH!$U$6),IF(AH!$U$4=0,"unavailable",INDEX('Market Data'!$AP$5:$AP$66,AH!$U$4)),IF(AH!$U$5=1,INDEX('Live History'!$H$5:$H$3004,MATCH($A1623,'Live History'!$G$5:$G$3004,1)),INDEX('AH History'!$B$5:$B$1380,$K1623))),NA()),NA())</f>
        <v/>
      </c>
      <c r="I1623" s="34">
        <f>IFERROR(IF(ISNUMBER($A1623),IF(AND(AH!$U$12=1,1618+1=AH!$U$6),TODAY(),IF(AH!$U$5=1,INDEX('Live History'!$G$5:$G$3004,MATCH($A1623,'Live History'!$G$5:$G$3004,1)),INDEX('AH History'!$C$5:$C$1380,$K1623))),NA()),NA())</f>
        <v/>
      </c>
      <c r="J1623" s="32">
        <f>IFERROR(IF(AND($F1623&gt;0,$H1623&gt;0,$A1623-$G1623&lt;=10,$A1623-$I1623&lt;=5,$G1623&gt;0,$I1623&gt;0),$F1623*$H1623,NA()),NA())</f>
        <v/>
      </c>
      <c r="K1623" s="15">
        <f>IF($A1623="","",IF(AH!$U$5=1,IFERROR(MATCH($A1623,'Live History'!$A$5:$A$3004,0),0),AH!$U$7+1618))</f>
        <v/>
      </c>
      <c r="L1623" s="15">
        <f>IF(ISNUMBER(A1623),TEXT(A1623,"dd-mmm-yy"),"")</f>
        <v/>
      </c>
    </row>
    <row r="1624">
      <c r="A1624" s="14">
        <f>IF(OR(AH!$U$4=0,1619+1&gt;AH!$U$6,AND(AH!$M$5="Bloomberg",AH!$U$5=0)),"",IFERROR(IF(AND(AH!$U$12=1,1619+1=AH!$U$6),TODAY(),IF(AH!$U$5=1,INDEX('Live History'!$A$5:$A$3004,AH!$U$7+1619),INDEX('AH History'!$A$5:$A$1380,AH!$U$7+1619))),""))</f>
        <v/>
      </c>
      <c r="B1624" s="33">
        <f>IFERROR(IF(AH!$U$11=1,NA(),$J1624/$E1624-1),NA())</f>
        <v/>
      </c>
      <c r="C1624" s="269">
        <f>IFERROR(100*$E1624/$E$5,NA())</f>
        <v/>
      </c>
      <c r="D1624" s="269">
        <f>IFERROR(100*$J1624/$J$5,NA())</f>
        <v/>
      </c>
      <c r="E1624" s="32">
        <f>IFERROR(IF(AND(ISNUMBER($A1624),N(IF(AND(AH!$U$12=1,1619+1=AH!$U$6),IF(AH!$U$4=0,"unavailable",INDEX('Market Data'!$AN$5:$AN$66,AH!$U$4)),IF(AH!$U$5=1,INDEX('Live History'!$B$5:$B$3004,$K1624),INDEX('AH History'!$D$5:$GG$1380,$K1624,AH!$U$10))))&gt;0),IF(AND(AH!$U$12=1,1619+1=AH!$U$6),IF(AH!$U$4=0,"unavailable",INDEX('Market Data'!$AN$5:$AN$66,AH!$U$4)),IF(AH!$U$5=1,INDEX('Live History'!$B$5:$B$3004,$K1624),INDEX('AH History'!$D$5:$GG$1380,$K1624,AH!$U$10))),NA()),NA())</f>
        <v/>
      </c>
      <c r="F1624" s="32">
        <f>IFERROR(IF(ISNUMBER($A1624),IF(AND(AH!$U$12=1,1619+1=AH!$U$6),IF(AH!$U$4=0,"unavailable",INDEX('Market Data'!$AO$5:$AO$66,AH!$U$4)),IF(AH!$U$5=1,INDEX('Live History'!$E$5:$E$3004,MATCH($A1624,'Live History'!$D$5:$D$3004,1)),INDEX('AH History'!$D$5:$GG$1380,$K1624,AH!$U$10+1))),NA()),NA())</f>
        <v/>
      </c>
      <c r="G1624" s="34">
        <f>IFERROR(IF(ISNUMBER($A1624),IF(AND(AH!$U$12=1,1619+1=AH!$U$6),IF(AH!$U$4=0,"unavailable",INDEX('Market Data'!$AK$5:$AK$66,AH!$U$4)),IF(AH!$U$5=1,INDEX('Live History'!$D$5:$D$3004,MATCH($A1624,'Live History'!$D$5:$D$3004,1)),INDEX('AH History'!$D$5:$GG$1380,$K1624,AH!$U$10+2))),NA()),NA())</f>
        <v/>
      </c>
      <c r="H1624" s="266">
        <f>IFERROR(IF(ISNUMBER($A1624),IF(AND(AH!$U$12=1,1619+1=AH!$U$6),IF(AH!$U$4=0,"unavailable",INDEX('Market Data'!$AP$5:$AP$66,AH!$U$4)),IF(AH!$U$5=1,INDEX('Live History'!$H$5:$H$3004,MATCH($A1624,'Live History'!$G$5:$G$3004,1)),INDEX('AH History'!$B$5:$B$1380,$K1624))),NA()),NA())</f>
        <v/>
      </c>
      <c r="I1624" s="34">
        <f>IFERROR(IF(ISNUMBER($A1624),IF(AND(AH!$U$12=1,1619+1=AH!$U$6),TODAY(),IF(AH!$U$5=1,INDEX('Live History'!$G$5:$G$3004,MATCH($A1624,'Live History'!$G$5:$G$3004,1)),INDEX('AH History'!$C$5:$C$1380,$K1624))),NA()),NA())</f>
        <v/>
      </c>
      <c r="J1624" s="32">
        <f>IFERROR(IF(AND($F1624&gt;0,$H1624&gt;0,$A1624-$G1624&lt;=10,$A1624-$I1624&lt;=5,$G1624&gt;0,$I1624&gt;0),$F1624*$H1624,NA()),NA())</f>
        <v/>
      </c>
      <c r="K1624" s="15">
        <f>IF($A1624="","",IF(AH!$U$5=1,IFERROR(MATCH($A1624,'Live History'!$A$5:$A$3004,0),0),AH!$U$7+1619))</f>
        <v/>
      </c>
      <c r="L1624" s="15">
        <f>IF(ISNUMBER(A1624),TEXT(A1624,"dd-mmm-yy"),"")</f>
        <v/>
      </c>
    </row>
    <row r="1625">
      <c r="A1625" s="14">
        <f>IF(OR(AH!$U$4=0,1620+1&gt;AH!$U$6,AND(AH!$M$5="Bloomberg",AH!$U$5=0)),"",IFERROR(IF(AND(AH!$U$12=1,1620+1=AH!$U$6),TODAY(),IF(AH!$U$5=1,INDEX('Live History'!$A$5:$A$3004,AH!$U$7+1620),INDEX('AH History'!$A$5:$A$1380,AH!$U$7+1620))),""))</f>
        <v/>
      </c>
      <c r="B1625" s="33">
        <f>IFERROR(IF(AH!$U$11=1,NA(),$J1625/$E1625-1),NA())</f>
        <v/>
      </c>
      <c r="C1625" s="269">
        <f>IFERROR(100*$E1625/$E$5,NA())</f>
        <v/>
      </c>
      <c r="D1625" s="269">
        <f>IFERROR(100*$J1625/$J$5,NA())</f>
        <v/>
      </c>
      <c r="E1625" s="32">
        <f>IFERROR(IF(AND(ISNUMBER($A1625),N(IF(AND(AH!$U$12=1,1620+1=AH!$U$6),IF(AH!$U$4=0,"unavailable",INDEX('Market Data'!$AN$5:$AN$66,AH!$U$4)),IF(AH!$U$5=1,INDEX('Live History'!$B$5:$B$3004,$K1625),INDEX('AH History'!$D$5:$GG$1380,$K1625,AH!$U$10))))&gt;0),IF(AND(AH!$U$12=1,1620+1=AH!$U$6),IF(AH!$U$4=0,"unavailable",INDEX('Market Data'!$AN$5:$AN$66,AH!$U$4)),IF(AH!$U$5=1,INDEX('Live History'!$B$5:$B$3004,$K1625),INDEX('AH History'!$D$5:$GG$1380,$K1625,AH!$U$10))),NA()),NA())</f>
        <v/>
      </c>
      <c r="F1625" s="32">
        <f>IFERROR(IF(ISNUMBER($A1625),IF(AND(AH!$U$12=1,1620+1=AH!$U$6),IF(AH!$U$4=0,"unavailable",INDEX('Market Data'!$AO$5:$AO$66,AH!$U$4)),IF(AH!$U$5=1,INDEX('Live History'!$E$5:$E$3004,MATCH($A1625,'Live History'!$D$5:$D$3004,1)),INDEX('AH History'!$D$5:$GG$1380,$K1625,AH!$U$10+1))),NA()),NA())</f>
        <v/>
      </c>
      <c r="G1625" s="34">
        <f>IFERROR(IF(ISNUMBER($A1625),IF(AND(AH!$U$12=1,1620+1=AH!$U$6),IF(AH!$U$4=0,"unavailable",INDEX('Market Data'!$AK$5:$AK$66,AH!$U$4)),IF(AH!$U$5=1,INDEX('Live History'!$D$5:$D$3004,MATCH($A1625,'Live History'!$D$5:$D$3004,1)),INDEX('AH History'!$D$5:$GG$1380,$K1625,AH!$U$10+2))),NA()),NA())</f>
        <v/>
      </c>
      <c r="H1625" s="266">
        <f>IFERROR(IF(ISNUMBER($A1625),IF(AND(AH!$U$12=1,1620+1=AH!$U$6),IF(AH!$U$4=0,"unavailable",INDEX('Market Data'!$AP$5:$AP$66,AH!$U$4)),IF(AH!$U$5=1,INDEX('Live History'!$H$5:$H$3004,MATCH($A1625,'Live History'!$G$5:$G$3004,1)),INDEX('AH History'!$B$5:$B$1380,$K1625))),NA()),NA())</f>
        <v/>
      </c>
      <c r="I1625" s="34">
        <f>IFERROR(IF(ISNUMBER($A1625),IF(AND(AH!$U$12=1,1620+1=AH!$U$6),TODAY(),IF(AH!$U$5=1,INDEX('Live History'!$G$5:$G$3004,MATCH($A1625,'Live History'!$G$5:$G$3004,1)),INDEX('AH History'!$C$5:$C$1380,$K1625))),NA()),NA())</f>
        <v/>
      </c>
      <c r="J1625" s="32">
        <f>IFERROR(IF(AND($F1625&gt;0,$H1625&gt;0,$A1625-$G1625&lt;=10,$A1625-$I1625&lt;=5,$G1625&gt;0,$I1625&gt;0),$F1625*$H1625,NA()),NA())</f>
        <v/>
      </c>
      <c r="K1625" s="15">
        <f>IF($A1625="","",IF(AH!$U$5=1,IFERROR(MATCH($A1625,'Live History'!$A$5:$A$3004,0),0),AH!$U$7+1620))</f>
        <v/>
      </c>
      <c r="L1625" s="15">
        <f>IF(ISNUMBER(A1625),TEXT(A1625,"dd-mmm-yy"),"")</f>
        <v/>
      </c>
    </row>
    <row r="1626">
      <c r="A1626" s="14">
        <f>IF(OR(AH!$U$4=0,1621+1&gt;AH!$U$6,AND(AH!$M$5="Bloomberg",AH!$U$5=0)),"",IFERROR(IF(AND(AH!$U$12=1,1621+1=AH!$U$6),TODAY(),IF(AH!$U$5=1,INDEX('Live History'!$A$5:$A$3004,AH!$U$7+1621),INDEX('AH History'!$A$5:$A$1380,AH!$U$7+1621))),""))</f>
        <v/>
      </c>
      <c r="B1626" s="33">
        <f>IFERROR(IF(AH!$U$11=1,NA(),$J1626/$E1626-1),NA())</f>
        <v/>
      </c>
      <c r="C1626" s="269">
        <f>IFERROR(100*$E1626/$E$5,NA())</f>
        <v/>
      </c>
      <c r="D1626" s="269">
        <f>IFERROR(100*$J1626/$J$5,NA())</f>
        <v/>
      </c>
      <c r="E1626" s="32">
        <f>IFERROR(IF(AND(ISNUMBER($A1626),N(IF(AND(AH!$U$12=1,1621+1=AH!$U$6),IF(AH!$U$4=0,"unavailable",INDEX('Market Data'!$AN$5:$AN$66,AH!$U$4)),IF(AH!$U$5=1,INDEX('Live History'!$B$5:$B$3004,$K1626),INDEX('AH History'!$D$5:$GG$1380,$K1626,AH!$U$10))))&gt;0),IF(AND(AH!$U$12=1,1621+1=AH!$U$6),IF(AH!$U$4=0,"unavailable",INDEX('Market Data'!$AN$5:$AN$66,AH!$U$4)),IF(AH!$U$5=1,INDEX('Live History'!$B$5:$B$3004,$K1626),INDEX('AH History'!$D$5:$GG$1380,$K1626,AH!$U$10))),NA()),NA())</f>
        <v/>
      </c>
      <c r="F1626" s="32">
        <f>IFERROR(IF(ISNUMBER($A1626),IF(AND(AH!$U$12=1,1621+1=AH!$U$6),IF(AH!$U$4=0,"unavailable",INDEX('Market Data'!$AO$5:$AO$66,AH!$U$4)),IF(AH!$U$5=1,INDEX('Live History'!$E$5:$E$3004,MATCH($A1626,'Live History'!$D$5:$D$3004,1)),INDEX('AH History'!$D$5:$GG$1380,$K1626,AH!$U$10+1))),NA()),NA())</f>
        <v/>
      </c>
      <c r="G1626" s="34">
        <f>IFERROR(IF(ISNUMBER($A1626),IF(AND(AH!$U$12=1,1621+1=AH!$U$6),IF(AH!$U$4=0,"unavailable",INDEX('Market Data'!$AK$5:$AK$66,AH!$U$4)),IF(AH!$U$5=1,INDEX('Live History'!$D$5:$D$3004,MATCH($A1626,'Live History'!$D$5:$D$3004,1)),INDEX('AH History'!$D$5:$GG$1380,$K1626,AH!$U$10+2))),NA()),NA())</f>
        <v/>
      </c>
      <c r="H1626" s="266">
        <f>IFERROR(IF(ISNUMBER($A1626),IF(AND(AH!$U$12=1,1621+1=AH!$U$6),IF(AH!$U$4=0,"unavailable",INDEX('Market Data'!$AP$5:$AP$66,AH!$U$4)),IF(AH!$U$5=1,INDEX('Live History'!$H$5:$H$3004,MATCH($A1626,'Live History'!$G$5:$G$3004,1)),INDEX('AH History'!$B$5:$B$1380,$K1626))),NA()),NA())</f>
        <v/>
      </c>
      <c r="I1626" s="34">
        <f>IFERROR(IF(ISNUMBER($A1626),IF(AND(AH!$U$12=1,1621+1=AH!$U$6),TODAY(),IF(AH!$U$5=1,INDEX('Live History'!$G$5:$G$3004,MATCH($A1626,'Live History'!$G$5:$G$3004,1)),INDEX('AH History'!$C$5:$C$1380,$K1626))),NA()),NA())</f>
        <v/>
      </c>
      <c r="J1626" s="32">
        <f>IFERROR(IF(AND($F1626&gt;0,$H1626&gt;0,$A1626-$G1626&lt;=10,$A1626-$I1626&lt;=5,$G1626&gt;0,$I1626&gt;0),$F1626*$H1626,NA()),NA())</f>
        <v/>
      </c>
      <c r="K1626" s="15">
        <f>IF($A1626="","",IF(AH!$U$5=1,IFERROR(MATCH($A1626,'Live History'!$A$5:$A$3004,0),0),AH!$U$7+1621))</f>
        <v/>
      </c>
      <c r="L1626" s="15">
        <f>IF(ISNUMBER(A1626),TEXT(A1626,"dd-mmm-yy"),"")</f>
        <v/>
      </c>
    </row>
    <row r="1627">
      <c r="A1627" s="14">
        <f>IF(OR(AH!$U$4=0,1622+1&gt;AH!$U$6,AND(AH!$M$5="Bloomberg",AH!$U$5=0)),"",IFERROR(IF(AND(AH!$U$12=1,1622+1=AH!$U$6),TODAY(),IF(AH!$U$5=1,INDEX('Live History'!$A$5:$A$3004,AH!$U$7+1622),INDEX('AH History'!$A$5:$A$1380,AH!$U$7+1622))),""))</f>
        <v/>
      </c>
      <c r="B1627" s="33">
        <f>IFERROR(IF(AH!$U$11=1,NA(),$J1627/$E1627-1),NA())</f>
        <v/>
      </c>
      <c r="C1627" s="269">
        <f>IFERROR(100*$E1627/$E$5,NA())</f>
        <v/>
      </c>
      <c r="D1627" s="269">
        <f>IFERROR(100*$J1627/$J$5,NA())</f>
        <v/>
      </c>
      <c r="E1627" s="32">
        <f>IFERROR(IF(AND(ISNUMBER($A1627),N(IF(AND(AH!$U$12=1,1622+1=AH!$U$6),IF(AH!$U$4=0,"unavailable",INDEX('Market Data'!$AN$5:$AN$66,AH!$U$4)),IF(AH!$U$5=1,INDEX('Live History'!$B$5:$B$3004,$K1627),INDEX('AH History'!$D$5:$GG$1380,$K1627,AH!$U$10))))&gt;0),IF(AND(AH!$U$12=1,1622+1=AH!$U$6),IF(AH!$U$4=0,"unavailable",INDEX('Market Data'!$AN$5:$AN$66,AH!$U$4)),IF(AH!$U$5=1,INDEX('Live History'!$B$5:$B$3004,$K1627),INDEX('AH History'!$D$5:$GG$1380,$K1627,AH!$U$10))),NA()),NA())</f>
        <v/>
      </c>
      <c r="F1627" s="32">
        <f>IFERROR(IF(ISNUMBER($A1627),IF(AND(AH!$U$12=1,1622+1=AH!$U$6),IF(AH!$U$4=0,"unavailable",INDEX('Market Data'!$AO$5:$AO$66,AH!$U$4)),IF(AH!$U$5=1,INDEX('Live History'!$E$5:$E$3004,MATCH($A1627,'Live History'!$D$5:$D$3004,1)),INDEX('AH History'!$D$5:$GG$1380,$K1627,AH!$U$10+1))),NA()),NA())</f>
        <v/>
      </c>
      <c r="G1627" s="34">
        <f>IFERROR(IF(ISNUMBER($A1627),IF(AND(AH!$U$12=1,1622+1=AH!$U$6),IF(AH!$U$4=0,"unavailable",INDEX('Market Data'!$AK$5:$AK$66,AH!$U$4)),IF(AH!$U$5=1,INDEX('Live History'!$D$5:$D$3004,MATCH($A1627,'Live History'!$D$5:$D$3004,1)),INDEX('AH History'!$D$5:$GG$1380,$K1627,AH!$U$10+2))),NA()),NA())</f>
        <v/>
      </c>
      <c r="H1627" s="266">
        <f>IFERROR(IF(ISNUMBER($A1627),IF(AND(AH!$U$12=1,1622+1=AH!$U$6),IF(AH!$U$4=0,"unavailable",INDEX('Market Data'!$AP$5:$AP$66,AH!$U$4)),IF(AH!$U$5=1,INDEX('Live History'!$H$5:$H$3004,MATCH($A1627,'Live History'!$G$5:$G$3004,1)),INDEX('AH History'!$B$5:$B$1380,$K1627))),NA()),NA())</f>
        <v/>
      </c>
      <c r="I1627" s="34">
        <f>IFERROR(IF(ISNUMBER($A1627),IF(AND(AH!$U$12=1,1622+1=AH!$U$6),TODAY(),IF(AH!$U$5=1,INDEX('Live History'!$G$5:$G$3004,MATCH($A1627,'Live History'!$G$5:$G$3004,1)),INDEX('AH History'!$C$5:$C$1380,$K1627))),NA()),NA())</f>
        <v/>
      </c>
      <c r="J1627" s="32">
        <f>IFERROR(IF(AND($F1627&gt;0,$H1627&gt;0,$A1627-$G1627&lt;=10,$A1627-$I1627&lt;=5,$G1627&gt;0,$I1627&gt;0),$F1627*$H1627,NA()),NA())</f>
        <v/>
      </c>
      <c r="K1627" s="15">
        <f>IF($A1627="","",IF(AH!$U$5=1,IFERROR(MATCH($A1627,'Live History'!$A$5:$A$3004,0),0),AH!$U$7+1622))</f>
        <v/>
      </c>
      <c r="L1627" s="15">
        <f>IF(ISNUMBER(A1627),TEXT(A1627,"dd-mmm-yy"),"")</f>
        <v/>
      </c>
    </row>
    <row r="1628">
      <c r="A1628" s="14">
        <f>IF(OR(AH!$U$4=0,1623+1&gt;AH!$U$6,AND(AH!$M$5="Bloomberg",AH!$U$5=0)),"",IFERROR(IF(AND(AH!$U$12=1,1623+1=AH!$U$6),TODAY(),IF(AH!$U$5=1,INDEX('Live History'!$A$5:$A$3004,AH!$U$7+1623),INDEX('AH History'!$A$5:$A$1380,AH!$U$7+1623))),""))</f>
        <v/>
      </c>
      <c r="B1628" s="33">
        <f>IFERROR(IF(AH!$U$11=1,NA(),$J1628/$E1628-1),NA())</f>
        <v/>
      </c>
      <c r="C1628" s="269">
        <f>IFERROR(100*$E1628/$E$5,NA())</f>
        <v/>
      </c>
      <c r="D1628" s="269">
        <f>IFERROR(100*$J1628/$J$5,NA())</f>
        <v/>
      </c>
      <c r="E1628" s="32">
        <f>IFERROR(IF(AND(ISNUMBER($A1628),N(IF(AND(AH!$U$12=1,1623+1=AH!$U$6),IF(AH!$U$4=0,"unavailable",INDEX('Market Data'!$AN$5:$AN$66,AH!$U$4)),IF(AH!$U$5=1,INDEX('Live History'!$B$5:$B$3004,$K1628),INDEX('AH History'!$D$5:$GG$1380,$K1628,AH!$U$10))))&gt;0),IF(AND(AH!$U$12=1,1623+1=AH!$U$6),IF(AH!$U$4=0,"unavailable",INDEX('Market Data'!$AN$5:$AN$66,AH!$U$4)),IF(AH!$U$5=1,INDEX('Live History'!$B$5:$B$3004,$K1628),INDEX('AH History'!$D$5:$GG$1380,$K1628,AH!$U$10))),NA()),NA())</f>
        <v/>
      </c>
      <c r="F1628" s="32">
        <f>IFERROR(IF(ISNUMBER($A1628),IF(AND(AH!$U$12=1,1623+1=AH!$U$6),IF(AH!$U$4=0,"unavailable",INDEX('Market Data'!$AO$5:$AO$66,AH!$U$4)),IF(AH!$U$5=1,INDEX('Live History'!$E$5:$E$3004,MATCH($A1628,'Live History'!$D$5:$D$3004,1)),INDEX('AH History'!$D$5:$GG$1380,$K1628,AH!$U$10+1))),NA()),NA())</f>
        <v/>
      </c>
      <c r="G1628" s="34">
        <f>IFERROR(IF(ISNUMBER($A1628),IF(AND(AH!$U$12=1,1623+1=AH!$U$6),IF(AH!$U$4=0,"unavailable",INDEX('Market Data'!$AK$5:$AK$66,AH!$U$4)),IF(AH!$U$5=1,INDEX('Live History'!$D$5:$D$3004,MATCH($A1628,'Live History'!$D$5:$D$3004,1)),INDEX('AH History'!$D$5:$GG$1380,$K1628,AH!$U$10+2))),NA()),NA())</f>
        <v/>
      </c>
      <c r="H1628" s="266">
        <f>IFERROR(IF(ISNUMBER($A1628),IF(AND(AH!$U$12=1,1623+1=AH!$U$6),IF(AH!$U$4=0,"unavailable",INDEX('Market Data'!$AP$5:$AP$66,AH!$U$4)),IF(AH!$U$5=1,INDEX('Live History'!$H$5:$H$3004,MATCH($A1628,'Live History'!$G$5:$G$3004,1)),INDEX('AH History'!$B$5:$B$1380,$K1628))),NA()),NA())</f>
        <v/>
      </c>
      <c r="I1628" s="34">
        <f>IFERROR(IF(ISNUMBER($A1628),IF(AND(AH!$U$12=1,1623+1=AH!$U$6),TODAY(),IF(AH!$U$5=1,INDEX('Live History'!$G$5:$G$3004,MATCH($A1628,'Live History'!$G$5:$G$3004,1)),INDEX('AH History'!$C$5:$C$1380,$K1628))),NA()),NA())</f>
        <v/>
      </c>
      <c r="J1628" s="32">
        <f>IFERROR(IF(AND($F1628&gt;0,$H1628&gt;0,$A1628-$G1628&lt;=10,$A1628-$I1628&lt;=5,$G1628&gt;0,$I1628&gt;0),$F1628*$H1628,NA()),NA())</f>
        <v/>
      </c>
      <c r="K1628" s="15">
        <f>IF($A1628="","",IF(AH!$U$5=1,IFERROR(MATCH($A1628,'Live History'!$A$5:$A$3004,0),0),AH!$U$7+1623))</f>
        <v/>
      </c>
      <c r="L1628" s="15">
        <f>IF(ISNUMBER(A1628),TEXT(A1628,"dd-mmm-yy"),"")</f>
        <v/>
      </c>
    </row>
    <row r="1629">
      <c r="A1629" s="14">
        <f>IF(OR(AH!$U$4=0,1624+1&gt;AH!$U$6,AND(AH!$M$5="Bloomberg",AH!$U$5=0)),"",IFERROR(IF(AND(AH!$U$12=1,1624+1=AH!$U$6),TODAY(),IF(AH!$U$5=1,INDEX('Live History'!$A$5:$A$3004,AH!$U$7+1624),INDEX('AH History'!$A$5:$A$1380,AH!$U$7+1624))),""))</f>
        <v/>
      </c>
      <c r="B1629" s="33">
        <f>IFERROR(IF(AH!$U$11=1,NA(),$J1629/$E1629-1),NA())</f>
        <v/>
      </c>
      <c r="C1629" s="269">
        <f>IFERROR(100*$E1629/$E$5,NA())</f>
        <v/>
      </c>
      <c r="D1629" s="269">
        <f>IFERROR(100*$J1629/$J$5,NA())</f>
        <v/>
      </c>
      <c r="E1629" s="32">
        <f>IFERROR(IF(AND(ISNUMBER($A1629),N(IF(AND(AH!$U$12=1,1624+1=AH!$U$6),IF(AH!$U$4=0,"unavailable",INDEX('Market Data'!$AN$5:$AN$66,AH!$U$4)),IF(AH!$U$5=1,INDEX('Live History'!$B$5:$B$3004,$K1629),INDEX('AH History'!$D$5:$GG$1380,$K1629,AH!$U$10))))&gt;0),IF(AND(AH!$U$12=1,1624+1=AH!$U$6),IF(AH!$U$4=0,"unavailable",INDEX('Market Data'!$AN$5:$AN$66,AH!$U$4)),IF(AH!$U$5=1,INDEX('Live History'!$B$5:$B$3004,$K1629),INDEX('AH History'!$D$5:$GG$1380,$K1629,AH!$U$10))),NA()),NA())</f>
        <v/>
      </c>
      <c r="F1629" s="32">
        <f>IFERROR(IF(ISNUMBER($A1629),IF(AND(AH!$U$12=1,1624+1=AH!$U$6),IF(AH!$U$4=0,"unavailable",INDEX('Market Data'!$AO$5:$AO$66,AH!$U$4)),IF(AH!$U$5=1,INDEX('Live History'!$E$5:$E$3004,MATCH($A1629,'Live History'!$D$5:$D$3004,1)),INDEX('AH History'!$D$5:$GG$1380,$K1629,AH!$U$10+1))),NA()),NA())</f>
        <v/>
      </c>
      <c r="G1629" s="34">
        <f>IFERROR(IF(ISNUMBER($A1629),IF(AND(AH!$U$12=1,1624+1=AH!$U$6),IF(AH!$U$4=0,"unavailable",INDEX('Market Data'!$AK$5:$AK$66,AH!$U$4)),IF(AH!$U$5=1,INDEX('Live History'!$D$5:$D$3004,MATCH($A1629,'Live History'!$D$5:$D$3004,1)),INDEX('AH History'!$D$5:$GG$1380,$K1629,AH!$U$10+2))),NA()),NA())</f>
        <v/>
      </c>
      <c r="H1629" s="266">
        <f>IFERROR(IF(ISNUMBER($A1629),IF(AND(AH!$U$12=1,1624+1=AH!$U$6),IF(AH!$U$4=0,"unavailable",INDEX('Market Data'!$AP$5:$AP$66,AH!$U$4)),IF(AH!$U$5=1,INDEX('Live History'!$H$5:$H$3004,MATCH($A1629,'Live History'!$G$5:$G$3004,1)),INDEX('AH History'!$B$5:$B$1380,$K1629))),NA()),NA())</f>
        <v/>
      </c>
      <c r="I1629" s="34">
        <f>IFERROR(IF(ISNUMBER($A1629),IF(AND(AH!$U$12=1,1624+1=AH!$U$6),TODAY(),IF(AH!$U$5=1,INDEX('Live History'!$G$5:$G$3004,MATCH($A1629,'Live History'!$G$5:$G$3004,1)),INDEX('AH History'!$C$5:$C$1380,$K1629))),NA()),NA())</f>
        <v/>
      </c>
      <c r="J1629" s="32">
        <f>IFERROR(IF(AND($F1629&gt;0,$H1629&gt;0,$A1629-$G1629&lt;=10,$A1629-$I1629&lt;=5,$G1629&gt;0,$I1629&gt;0),$F1629*$H1629,NA()),NA())</f>
        <v/>
      </c>
      <c r="K1629" s="15">
        <f>IF($A1629="","",IF(AH!$U$5=1,IFERROR(MATCH($A1629,'Live History'!$A$5:$A$3004,0),0),AH!$U$7+1624))</f>
        <v/>
      </c>
      <c r="L1629" s="15">
        <f>IF(ISNUMBER(A1629),TEXT(A1629,"dd-mmm-yy"),"")</f>
        <v/>
      </c>
    </row>
    <row r="1630">
      <c r="A1630" s="14">
        <f>IF(OR(AH!$U$4=0,1625+1&gt;AH!$U$6,AND(AH!$M$5="Bloomberg",AH!$U$5=0)),"",IFERROR(IF(AND(AH!$U$12=1,1625+1=AH!$U$6),TODAY(),IF(AH!$U$5=1,INDEX('Live History'!$A$5:$A$3004,AH!$U$7+1625),INDEX('AH History'!$A$5:$A$1380,AH!$U$7+1625))),""))</f>
        <v/>
      </c>
      <c r="B1630" s="33">
        <f>IFERROR(IF(AH!$U$11=1,NA(),$J1630/$E1630-1),NA())</f>
        <v/>
      </c>
      <c r="C1630" s="269">
        <f>IFERROR(100*$E1630/$E$5,NA())</f>
        <v/>
      </c>
      <c r="D1630" s="269">
        <f>IFERROR(100*$J1630/$J$5,NA())</f>
        <v/>
      </c>
      <c r="E1630" s="32">
        <f>IFERROR(IF(AND(ISNUMBER($A1630),N(IF(AND(AH!$U$12=1,1625+1=AH!$U$6),IF(AH!$U$4=0,"unavailable",INDEX('Market Data'!$AN$5:$AN$66,AH!$U$4)),IF(AH!$U$5=1,INDEX('Live History'!$B$5:$B$3004,$K1630),INDEX('AH History'!$D$5:$GG$1380,$K1630,AH!$U$10))))&gt;0),IF(AND(AH!$U$12=1,1625+1=AH!$U$6),IF(AH!$U$4=0,"unavailable",INDEX('Market Data'!$AN$5:$AN$66,AH!$U$4)),IF(AH!$U$5=1,INDEX('Live History'!$B$5:$B$3004,$K1630),INDEX('AH History'!$D$5:$GG$1380,$K1630,AH!$U$10))),NA()),NA())</f>
        <v/>
      </c>
      <c r="F1630" s="32">
        <f>IFERROR(IF(ISNUMBER($A1630),IF(AND(AH!$U$12=1,1625+1=AH!$U$6),IF(AH!$U$4=0,"unavailable",INDEX('Market Data'!$AO$5:$AO$66,AH!$U$4)),IF(AH!$U$5=1,INDEX('Live History'!$E$5:$E$3004,MATCH($A1630,'Live History'!$D$5:$D$3004,1)),INDEX('AH History'!$D$5:$GG$1380,$K1630,AH!$U$10+1))),NA()),NA())</f>
        <v/>
      </c>
      <c r="G1630" s="34">
        <f>IFERROR(IF(ISNUMBER($A1630),IF(AND(AH!$U$12=1,1625+1=AH!$U$6),IF(AH!$U$4=0,"unavailable",INDEX('Market Data'!$AK$5:$AK$66,AH!$U$4)),IF(AH!$U$5=1,INDEX('Live History'!$D$5:$D$3004,MATCH($A1630,'Live History'!$D$5:$D$3004,1)),INDEX('AH History'!$D$5:$GG$1380,$K1630,AH!$U$10+2))),NA()),NA())</f>
        <v/>
      </c>
      <c r="H1630" s="266">
        <f>IFERROR(IF(ISNUMBER($A1630),IF(AND(AH!$U$12=1,1625+1=AH!$U$6),IF(AH!$U$4=0,"unavailable",INDEX('Market Data'!$AP$5:$AP$66,AH!$U$4)),IF(AH!$U$5=1,INDEX('Live History'!$H$5:$H$3004,MATCH($A1630,'Live History'!$G$5:$G$3004,1)),INDEX('AH History'!$B$5:$B$1380,$K1630))),NA()),NA())</f>
        <v/>
      </c>
      <c r="I1630" s="34">
        <f>IFERROR(IF(ISNUMBER($A1630),IF(AND(AH!$U$12=1,1625+1=AH!$U$6),TODAY(),IF(AH!$U$5=1,INDEX('Live History'!$G$5:$G$3004,MATCH($A1630,'Live History'!$G$5:$G$3004,1)),INDEX('AH History'!$C$5:$C$1380,$K1630))),NA()),NA())</f>
        <v/>
      </c>
      <c r="J1630" s="32">
        <f>IFERROR(IF(AND($F1630&gt;0,$H1630&gt;0,$A1630-$G1630&lt;=10,$A1630-$I1630&lt;=5,$G1630&gt;0,$I1630&gt;0),$F1630*$H1630,NA()),NA())</f>
        <v/>
      </c>
      <c r="K1630" s="15">
        <f>IF($A1630="","",IF(AH!$U$5=1,IFERROR(MATCH($A1630,'Live History'!$A$5:$A$3004,0),0),AH!$U$7+1625))</f>
        <v/>
      </c>
      <c r="L1630" s="15">
        <f>IF(ISNUMBER(A1630),TEXT(A1630,"dd-mmm-yy"),"")</f>
        <v/>
      </c>
    </row>
    <row r="1631">
      <c r="A1631" s="14">
        <f>IF(OR(AH!$U$4=0,1626+1&gt;AH!$U$6,AND(AH!$M$5="Bloomberg",AH!$U$5=0)),"",IFERROR(IF(AND(AH!$U$12=1,1626+1=AH!$U$6),TODAY(),IF(AH!$U$5=1,INDEX('Live History'!$A$5:$A$3004,AH!$U$7+1626),INDEX('AH History'!$A$5:$A$1380,AH!$U$7+1626))),""))</f>
        <v/>
      </c>
      <c r="B1631" s="33">
        <f>IFERROR(IF(AH!$U$11=1,NA(),$J1631/$E1631-1),NA())</f>
        <v/>
      </c>
      <c r="C1631" s="269">
        <f>IFERROR(100*$E1631/$E$5,NA())</f>
        <v/>
      </c>
      <c r="D1631" s="269">
        <f>IFERROR(100*$J1631/$J$5,NA())</f>
        <v/>
      </c>
      <c r="E1631" s="32">
        <f>IFERROR(IF(AND(ISNUMBER($A1631),N(IF(AND(AH!$U$12=1,1626+1=AH!$U$6),IF(AH!$U$4=0,"unavailable",INDEX('Market Data'!$AN$5:$AN$66,AH!$U$4)),IF(AH!$U$5=1,INDEX('Live History'!$B$5:$B$3004,$K1631),INDEX('AH History'!$D$5:$GG$1380,$K1631,AH!$U$10))))&gt;0),IF(AND(AH!$U$12=1,1626+1=AH!$U$6),IF(AH!$U$4=0,"unavailable",INDEX('Market Data'!$AN$5:$AN$66,AH!$U$4)),IF(AH!$U$5=1,INDEX('Live History'!$B$5:$B$3004,$K1631),INDEX('AH History'!$D$5:$GG$1380,$K1631,AH!$U$10))),NA()),NA())</f>
        <v/>
      </c>
      <c r="F1631" s="32">
        <f>IFERROR(IF(ISNUMBER($A1631),IF(AND(AH!$U$12=1,1626+1=AH!$U$6),IF(AH!$U$4=0,"unavailable",INDEX('Market Data'!$AO$5:$AO$66,AH!$U$4)),IF(AH!$U$5=1,INDEX('Live History'!$E$5:$E$3004,MATCH($A1631,'Live History'!$D$5:$D$3004,1)),INDEX('AH History'!$D$5:$GG$1380,$K1631,AH!$U$10+1))),NA()),NA())</f>
        <v/>
      </c>
      <c r="G1631" s="34">
        <f>IFERROR(IF(ISNUMBER($A1631),IF(AND(AH!$U$12=1,1626+1=AH!$U$6),IF(AH!$U$4=0,"unavailable",INDEX('Market Data'!$AK$5:$AK$66,AH!$U$4)),IF(AH!$U$5=1,INDEX('Live History'!$D$5:$D$3004,MATCH($A1631,'Live History'!$D$5:$D$3004,1)),INDEX('AH History'!$D$5:$GG$1380,$K1631,AH!$U$10+2))),NA()),NA())</f>
        <v/>
      </c>
      <c r="H1631" s="266">
        <f>IFERROR(IF(ISNUMBER($A1631),IF(AND(AH!$U$12=1,1626+1=AH!$U$6),IF(AH!$U$4=0,"unavailable",INDEX('Market Data'!$AP$5:$AP$66,AH!$U$4)),IF(AH!$U$5=1,INDEX('Live History'!$H$5:$H$3004,MATCH($A1631,'Live History'!$G$5:$G$3004,1)),INDEX('AH History'!$B$5:$B$1380,$K1631))),NA()),NA())</f>
        <v/>
      </c>
      <c r="I1631" s="34">
        <f>IFERROR(IF(ISNUMBER($A1631),IF(AND(AH!$U$12=1,1626+1=AH!$U$6),TODAY(),IF(AH!$U$5=1,INDEX('Live History'!$G$5:$G$3004,MATCH($A1631,'Live History'!$G$5:$G$3004,1)),INDEX('AH History'!$C$5:$C$1380,$K1631))),NA()),NA())</f>
        <v/>
      </c>
      <c r="J1631" s="32">
        <f>IFERROR(IF(AND($F1631&gt;0,$H1631&gt;0,$A1631-$G1631&lt;=10,$A1631-$I1631&lt;=5,$G1631&gt;0,$I1631&gt;0),$F1631*$H1631,NA()),NA())</f>
        <v/>
      </c>
      <c r="K1631" s="15">
        <f>IF($A1631="","",IF(AH!$U$5=1,IFERROR(MATCH($A1631,'Live History'!$A$5:$A$3004,0),0),AH!$U$7+1626))</f>
        <v/>
      </c>
      <c r="L1631" s="15">
        <f>IF(ISNUMBER(A1631),TEXT(A1631,"dd-mmm-yy"),"")</f>
        <v/>
      </c>
    </row>
    <row r="1632">
      <c r="A1632" s="14">
        <f>IF(OR(AH!$U$4=0,1627+1&gt;AH!$U$6,AND(AH!$M$5="Bloomberg",AH!$U$5=0)),"",IFERROR(IF(AND(AH!$U$12=1,1627+1=AH!$U$6),TODAY(),IF(AH!$U$5=1,INDEX('Live History'!$A$5:$A$3004,AH!$U$7+1627),INDEX('AH History'!$A$5:$A$1380,AH!$U$7+1627))),""))</f>
        <v/>
      </c>
      <c r="B1632" s="33">
        <f>IFERROR(IF(AH!$U$11=1,NA(),$J1632/$E1632-1),NA())</f>
        <v/>
      </c>
      <c r="C1632" s="269">
        <f>IFERROR(100*$E1632/$E$5,NA())</f>
        <v/>
      </c>
      <c r="D1632" s="269">
        <f>IFERROR(100*$J1632/$J$5,NA())</f>
        <v/>
      </c>
      <c r="E1632" s="32">
        <f>IFERROR(IF(AND(ISNUMBER($A1632),N(IF(AND(AH!$U$12=1,1627+1=AH!$U$6),IF(AH!$U$4=0,"unavailable",INDEX('Market Data'!$AN$5:$AN$66,AH!$U$4)),IF(AH!$U$5=1,INDEX('Live History'!$B$5:$B$3004,$K1632),INDEX('AH History'!$D$5:$GG$1380,$K1632,AH!$U$10))))&gt;0),IF(AND(AH!$U$12=1,1627+1=AH!$U$6),IF(AH!$U$4=0,"unavailable",INDEX('Market Data'!$AN$5:$AN$66,AH!$U$4)),IF(AH!$U$5=1,INDEX('Live History'!$B$5:$B$3004,$K1632),INDEX('AH History'!$D$5:$GG$1380,$K1632,AH!$U$10))),NA()),NA())</f>
        <v/>
      </c>
      <c r="F1632" s="32">
        <f>IFERROR(IF(ISNUMBER($A1632),IF(AND(AH!$U$12=1,1627+1=AH!$U$6),IF(AH!$U$4=0,"unavailable",INDEX('Market Data'!$AO$5:$AO$66,AH!$U$4)),IF(AH!$U$5=1,INDEX('Live History'!$E$5:$E$3004,MATCH($A1632,'Live History'!$D$5:$D$3004,1)),INDEX('AH History'!$D$5:$GG$1380,$K1632,AH!$U$10+1))),NA()),NA())</f>
        <v/>
      </c>
      <c r="G1632" s="34">
        <f>IFERROR(IF(ISNUMBER($A1632),IF(AND(AH!$U$12=1,1627+1=AH!$U$6),IF(AH!$U$4=0,"unavailable",INDEX('Market Data'!$AK$5:$AK$66,AH!$U$4)),IF(AH!$U$5=1,INDEX('Live History'!$D$5:$D$3004,MATCH($A1632,'Live History'!$D$5:$D$3004,1)),INDEX('AH History'!$D$5:$GG$1380,$K1632,AH!$U$10+2))),NA()),NA())</f>
        <v/>
      </c>
      <c r="H1632" s="266">
        <f>IFERROR(IF(ISNUMBER($A1632),IF(AND(AH!$U$12=1,1627+1=AH!$U$6),IF(AH!$U$4=0,"unavailable",INDEX('Market Data'!$AP$5:$AP$66,AH!$U$4)),IF(AH!$U$5=1,INDEX('Live History'!$H$5:$H$3004,MATCH($A1632,'Live History'!$G$5:$G$3004,1)),INDEX('AH History'!$B$5:$B$1380,$K1632))),NA()),NA())</f>
        <v/>
      </c>
      <c r="I1632" s="34">
        <f>IFERROR(IF(ISNUMBER($A1632),IF(AND(AH!$U$12=1,1627+1=AH!$U$6),TODAY(),IF(AH!$U$5=1,INDEX('Live History'!$G$5:$G$3004,MATCH($A1632,'Live History'!$G$5:$G$3004,1)),INDEX('AH History'!$C$5:$C$1380,$K1632))),NA()),NA())</f>
        <v/>
      </c>
      <c r="J1632" s="32">
        <f>IFERROR(IF(AND($F1632&gt;0,$H1632&gt;0,$A1632-$G1632&lt;=10,$A1632-$I1632&lt;=5,$G1632&gt;0,$I1632&gt;0),$F1632*$H1632,NA()),NA())</f>
        <v/>
      </c>
      <c r="K1632" s="15">
        <f>IF($A1632="","",IF(AH!$U$5=1,IFERROR(MATCH($A1632,'Live History'!$A$5:$A$3004,0),0),AH!$U$7+1627))</f>
        <v/>
      </c>
      <c r="L1632" s="15">
        <f>IF(ISNUMBER(A1632),TEXT(A1632,"dd-mmm-yy"),"")</f>
        <v/>
      </c>
    </row>
    <row r="1633">
      <c r="A1633" s="14">
        <f>IF(OR(AH!$U$4=0,1628+1&gt;AH!$U$6,AND(AH!$M$5="Bloomberg",AH!$U$5=0)),"",IFERROR(IF(AND(AH!$U$12=1,1628+1=AH!$U$6),TODAY(),IF(AH!$U$5=1,INDEX('Live History'!$A$5:$A$3004,AH!$U$7+1628),INDEX('AH History'!$A$5:$A$1380,AH!$U$7+1628))),""))</f>
        <v/>
      </c>
      <c r="B1633" s="33">
        <f>IFERROR(IF(AH!$U$11=1,NA(),$J1633/$E1633-1),NA())</f>
        <v/>
      </c>
      <c r="C1633" s="269">
        <f>IFERROR(100*$E1633/$E$5,NA())</f>
        <v/>
      </c>
      <c r="D1633" s="269">
        <f>IFERROR(100*$J1633/$J$5,NA())</f>
        <v/>
      </c>
      <c r="E1633" s="32">
        <f>IFERROR(IF(AND(ISNUMBER($A1633),N(IF(AND(AH!$U$12=1,1628+1=AH!$U$6),IF(AH!$U$4=0,"unavailable",INDEX('Market Data'!$AN$5:$AN$66,AH!$U$4)),IF(AH!$U$5=1,INDEX('Live History'!$B$5:$B$3004,$K1633),INDEX('AH History'!$D$5:$GG$1380,$K1633,AH!$U$10))))&gt;0),IF(AND(AH!$U$12=1,1628+1=AH!$U$6),IF(AH!$U$4=0,"unavailable",INDEX('Market Data'!$AN$5:$AN$66,AH!$U$4)),IF(AH!$U$5=1,INDEX('Live History'!$B$5:$B$3004,$K1633),INDEX('AH History'!$D$5:$GG$1380,$K1633,AH!$U$10))),NA()),NA())</f>
        <v/>
      </c>
      <c r="F1633" s="32">
        <f>IFERROR(IF(ISNUMBER($A1633),IF(AND(AH!$U$12=1,1628+1=AH!$U$6),IF(AH!$U$4=0,"unavailable",INDEX('Market Data'!$AO$5:$AO$66,AH!$U$4)),IF(AH!$U$5=1,INDEX('Live History'!$E$5:$E$3004,MATCH($A1633,'Live History'!$D$5:$D$3004,1)),INDEX('AH History'!$D$5:$GG$1380,$K1633,AH!$U$10+1))),NA()),NA())</f>
        <v/>
      </c>
      <c r="G1633" s="34">
        <f>IFERROR(IF(ISNUMBER($A1633),IF(AND(AH!$U$12=1,1628+1=AH!$U$6),IF(AH!$U$4=0,"unavailable",INDEX('Market Data'!$AK$5:$AK$66,AH!$U$4)),IF(AH!$U$5=1,INDEX('Live History'!$D$5:$D$3004,MATCH($A1633,'Live History'!$D$5:$D$3004,1)),INDEX('AH History'!$D$5:$GG$1380,$K1633,AH!$U$10+2))),NA()),NA())</f>
        <v/>
      </c>
      <c r="H1633" s="266">
        <f>IFERROR(IF(ISNUMBER($A1633),IF(AND(AH!$U$12=1,1628+1=AH!$U$6),IF(AH!$U$4=0,"unavailable",INDEX('Market Data'!$AP$5:$AP$66,AH!$U$4)),IF(AH!$U$5=1,INDEX('Live History'!$H$5:$H$3004,MATCH($A1633,'Live History'!$G$5:$G$3004,1)),INDEX('AH History'!$B$5:$B$1380,$K1633))),NA()),NA())</f>
        <v/>
      </c>
      <c r="I1633" s="34">
        <f>IFERROR(IF(ISNUMBER($A1633),IF(AND(AH!$U$12=1,1628+1=AH!$U$6),TODAY(),IF(AH!$U$5=1,INDEX('Live History'!$G$5:$G$3004,MATCH($A1633,'Live History'!$G$5:$G$3004,1)),INDEX('AH History'!$C$5:$C$1380,$K1633))),NA()),NA())</f>
        <v/>
      </c>
      <c r="J1633" s="32">
        <f>IFERROR(IF(AND($F1633&gt;0,$H1633&gt;0,$A1633-$G1633&lt;=10,$A1633-$I1633&lt;=5,$G1633&gt;0,$I1633&gt;0),$F1633*$H1633,NA()),NA())</f>
        <v/>
      </c>
      <c r="K1633" s="15">
        <f>IF($A1633="","",IF(AH!$U$5=1,IFERROR(MATCH($A1633,'Live History'!$A$5:$A$3004,0),0),AH!$U$7+1628))</f>
        <v/>
      </c>
      <c r="L1633" s="15">
        <f>IF(ISNUMBER(A1633),TEXT(A1633,"dd-mmm-yy"),"")</f>
        <v/>
      </c>
    </row>
    <row r="1634">
      <c r="A1634" s="14">
        <f>IF(OR(AH!$U$4=0,1629+1&gt;AH!$U$6,AND(AH!$M$5="Bloomberg",AH!$U$5=0)),"",IFERROR(IF(AND(AH!$U$12=1,1629+1=AH!$U$6),TODAY(),IF(AH!$U$5=1,INDEX('Live History'!$A$5:$A$3004,AH!$U$7+1629),INDEX('AH History'!$A$5:$A$1380,AH!$U$7+1629))),""))</f>
        <v/>
      </c>
      <c r="B1634" s="33">
        <f>IFERROR(IF(AH!$U$11=1,NA(),$J1634/$E1634-1),NA())</f>
        <v/>
      </c>
      <c r="C1634" s="269">
        <f>IFERROR(100*$E1634/$E$5,NA())</f>
        <v/>
      </c>
      <c r="D1634" s="269">
        <f>IFERROR(100*$J1634/$J$5,NA())</f>
        <v/>
      </c>
      <c r="E1634" s="32">
        <f>IFERROR(IF(AND(ISNUMBER($A1634),N(IF(AND(AH!$U$12=1,1629+1=AH!$U$6),IF(AH!$U$4=0,"unavailable",INDEX('Market Data'!$AN$5:$AN$66,AH!$U$4)),IF(AH!$U$5=1,INDEX('Live History'!$B$5:$B$3004,$K1634),INDEX('AH History'!$D$5:$GG$1380,$K1634,AH!$U$10))))&gt;0),IF(AND(AH!$U$12=1,1629+1=AH!$U$6),IF(AH!$U$4=0,"unavailable",INDEX('Market Data'!$AN$5:$AN$66,AH!$U$4)),IF(AH!$U$5=1,INDEX('Live History'!$B$5:$B$3004,$K1634),INDEX('AH History'!$D$5:$GG$1380,$K1634,AH!$U$10))),NA()),NA())</f>
        <v/>
      </c>
      <c r="F1634" s="32">
        <f>IFERROR(IF(ISNUMBER($A1634),IF(AND(AH!$U$12=1,1629+1=AH!$U$6),IF(AH!$U$4=0,"unavailable",INDEX('Market Data'!$AO$5:$AO$66,AH!$U$4)),IF(AH!$U$5=1,INDEX('Live History'!$E$5:$E$3004,MATCH($A1634,'Live History'!$D$5:$D$3004,1)),INDEX('AH History'!$D$5:$GG$1380,$K1634,AH!$U$10+1))),NA()),NA())</f>
        <v/>
      </c>
      <c r="G1634" s="34">
        <f>IFERROR(IF(ISNUMBER($A1634),IF(AND(AH!$U$12=1,1629+1=AH!$U$6),IF(AH!$U$4=0,"unavailable",INDEX('Market Data'!$AK$5:$AK$66,AH!$U$4)),IF(AH!$U$5=1,INDEX('Live History'!$D$5:$D$3004,MATCH($A1634,'Live History'!$D$5:$D$3004,1)),INDEX('AH History'!$D$5:$GG$1380,$K1634,AH!$U$10+2))),NA()),NA())</f>
        <v/>
      </c>
      <c r="H1634" s="266">
        <f>IFERROR(IF(ISNUMBER($A1634),IF(AND(AH!$U$12=1,1629+1=AH!$U$6),IF(AH!$U$4=0,"unavailable",INDEX('Market Data'!$AP$5:$AP$66,AH!$U$4)),IF(AH!$U$5=1,INDEX('Live History'!$H$5:$H$3004,MATCH($A1634,'Live History'!$G$5:$G$3004,1)),INDEX('AH History'!$B$5:$B$1380,$K1634))),NA()),NA())</f>
        <v/>
      </c>
      <c r="I1634" s="34">
        <f>IFERROR(IF(ISNUMBER($A1634),IF(AND(AH!$U$12=1,1629+1=AH!$U$6),TODAY(),IF(AH!$U$5=1,INDEX('Live History'!$G$5:$G$3004,MATCH($A1634,'Live History'!$G$5:$G$3004,1)),INDEX('AH History'!$C$5:$C$1380,$K1634))),NA()),NA())</f>
        <v/>
      </c>
      <c r="J1634" s="32">
        <f>IFERROR(IF(AND($F1634&gt;0,$H1634&gt;0,$A1634-$G1634&lt;=10,$A1634-$I1634&lt;=5,$G1634&gt;0,$I1634&gt;0),$F1634*$H1634,NA()),NA())</f>
        <v/>
      </c>
      <c r="K1634" s="15">
        <f>IF($A1634="","",IF(AH!$U$5=1,IFERROR(MATCH($A1634,'Live History'!$A$5:$A$3004,0),0),AH!$U$7+1629))</f>
        <v/>
      </c>
      <c r="L1634" s="15">
        <f>IF(ISNUMBER(A1634),TEXT(A1634,"dd-mmm-yy"),"")</f>
        <v/>
      </c>
    </row>
    <row r="1635">
      <c r="A1635" s="14">
        <f>IF(OR(AH!$U$4=0,1630+1&gt;AH!$U$6,AND(AH!$M$5="Bloomberg",AH!$U$5=0)),"",IFERROR(IF(AND(AH!$U$12=1,1630+1=AH!$U$6),TODAY(),IF(AH!$U$5=1,INDEX('Live History'!$A$5:$A$3004,AH!$U$7+1630),INDEX('AH History'!$A$5:$A$1380,AH!$U$7+1630))),""))</f>
        <v/>
      </c>
      <c r="B1635" s="33">
        <f>IFERROR(IF(AH!$U$11=1,NA(),$J1635/$E1635-1),NA())</f>
        <v/>
      </c>
      <c r="C1635" s="269">
        <f>IFERROR(100*$E1635/$E$5,NA())</f>
        <v/>
      </c>
      <c r="D1635" s="269">
        <f>IFERROR(100*$J1635/$J$5,NA())</f>
        <v/>
      </c>
      <c r="E1635" s="32">
        <f>IFERROR(IF(AND(ISNUMBER($A1635),N(IF(AND(AH!$U$12=1,1630+1=AH!$U$6),IF(AH!$U$4=0,"unavailable",INDEX('Market Data'!$AN$5:$AN$66,AH!$U$4)),IF(AH!$U$5=1,INDEX('Live History'!$B$5:$B$3004,$K1635),INDEX('AH History'!$D$5:$GG$1380,$K1635,AH!$U$10))))&gt;0),IF(AND(AH!$U$12=1,1630+1=AH!$U$6),IF(AH!$U$4=0,"unavailable",INDEX('Market Data'!$AN$5:$AN$66,AH!$U$4)),IF(AH!$U$5=1,INDEX('Live History'!$B$5:$B$3004,$K1635),INDEX('AH History'!$D$5:$GG$1380,$K1635,AH!$U$10))),NA()),NA())</f>
        <v/>
      </c>
      <c r="F1635" s="32">
        <f>IFERROR(IF(ISNUMBER($A1635),IF(AND(AH!$U$12=1,1630+1=AH!$U$6),IF(AH!$U$4=0,"unavailable",INDEX('Market Data'!$AO$5:$AO$66,AH!$U$4)),IF(AH!$U$5=1,INDEX('Live History'!$E$5:$E$3004,MATCH($A1635,'Live History'!$D$5:$D$3004,1)),INDEX('AH History'!$D$5:$GG$1380,$K1635,AH!$U$10+1))),NA()),NA())</f>
        <v/>
      </c>
      <c r="G1635" s="34">
        <f>IFERROR(IF(ISNUMBER($A1635),IF(AND(AH!$U$12=1,1630+1=AH!$U$6),IF(AH!$U$4=0,"unavailable",INDEX('Market Data'!$AK$5:$AK$66,AH!$U$4)),IF(AH!$U$5=1,INDEX('Live History'!$D$5:$D$3004,MATCH($A1635,'Live History'!$D$5:$D$3004,1)),INDEX('AH History'!$D$5:$GG$1380,$K1635,AH!$U$10+2))),NA()),NA())</f>
        <v/>
      </c>
      <c r="H1635" s="266">
        <f>IFERROR(IF(ISNUMBER($A1635),IF(AND(AH!$U$12=1,1630+1=AH!$U$6),IF(AH!$U$4=0,"unavailable",INDEX('Market Data'!$AP$5:$AP$66,AH!$U$4)),IF(AH!$U$5=1,INDEX('Live History'!$H$5:$H$3004,MATCH($A1635,'Live History'!$G$5:$G$3004,1)),INDEX('AH History'!$B$5:$B$1380,$K1635))),NA()),NA())</f>
        <v/>
      </c>
      <c r="I1635" s="34">
        <f>IFERROR(IF(ISNUMBER($A1635),IF(AND(AH!$U$12=1,1630+1=AH!$U$6),TODAY(),IF(AH!$U$5=1,INDEX('Live History'!$G$5:$G$3004,MATCH($A1635,'Live History'!$G$5:$G$3004,1)),INDEX('AH History'!$C$5:$C$1380,$K1635))),NA()),NA())</f>
        <v/>
      </c>
      <c r="J1635" s="32">
        <f>IFERROR(IF(AND($F1635&gt;0,$H1635&gt;0,$A1635-$G1635&lt;=10,$A1635-$I1635&lt;=5,$G1635&gt;0,$I1635&gt;0),$F1635*$H1635,NA()),NA())</f>
        <v/>
      </c>
      <c r="K1635" s="15">
        <f>IF($A1635="","",IF(AH!$U$5=1,IFERROR(MATCH($A1635,'Live History'!$A$5:$A$3004,0),0),AH!$U$7+1630))</f>
        <v/>
      </c>
      <c r="L1635" s="15">
        <f>IF(ISNUMBER(A1635),TEXT(A1635,"dd-mmm-yy"),"")</f>
        <v/>
      </c>
    </row>
    <row r="1636">
      <c r="A1636" s="14">
        <f>IF(OR(AH!$U$4=0,1631+1&gt;AH!$U$6,AND(AH!$M$5="Bloomberg",AH!$U$5=0)),"",IFERROR(IF(AND(AH!$U$12=1,1631+1=AH!$U$6),TODAY(),IF(AH!$U$5=1,INDEX('Live History'!$A$5:$A$3004,AH!$U$7+1631),INDEX('AH History'!$A$5:$A$1380,AH!$U$7+1631))),""))</f>
        <v/>
      </c>
      <c r="B1636" s="33">
        <f>IFERROR(IF(AH!$U$11=1,NA(),$J1636/$E1636-1),NA())</f>
        <v/>
      </c>
      <c r="C1636" s="269">
        <f>IFERROR(100*$E1636/$E$5,NA())</f>
        <v/>
      </c>
      <c r="D1636" s="269">
        <f>IFERROR(100*$J1636/$J$5,NA())</f>
        <v/>
      </c>
      <c r="E1636" s="32">
        <f>IFERROR(IF(AND(ISNUMBER($A1636),N(IF(AND(AH!$U$12=1,1631+1=AH!$U$6),IF(AH!$U$4=0,"unavailable",INDEX('Market Data'!$AN$5:$AN$66,AH!$U$4)),IF(AH!$U$5=1,INDEX('Live History'!$B$5:$B$3004,$K1636),INDEX('AH History'!$D$5:$GG$1380,$K1636,AH!$U$10))))&gt;0),IF(AND(AH!$U$12=1,1631+1=AH!$U$6),IF(AH!$U$4=0,"unavailable",INDEX('Market Data'!$AN$5:$AN$66,AH!$U$4)),IF(AH!$U$5=1,INDEX('Live History'!$B$5:$B$3004,$K1636),INDEX('AH History'!$D$5:$GG$1380,$K1636,AH!$U$10))),NA()),NA())</f>
        <v/>
      </c>
      <c r="F1636" s="32">
        <f>IFERROR(IF(ISNUMBER($A1636),IF(AND(AH!$U$12=1,1631+1=AH!$U$6),IF(AH!$U$4=0,"unavailable",INDEX('Market Data'!$AO$5:$AO$66,AH!$U$4)),IF(AH!$U$5=1,INDEX('Live History'!$E$5:$E$3004,MATCH($A1636,'Live History'!$D$5:$D$3004,1)),INDEX('AH History'!$D$5:$GG$1380,$K1636,AH!$U$10+1))),NA()),NA())</f>
        <v/>
      </c>
      <c r="G1636" s="34">
        <f>IFERROR(IF(ISNUMBER($A1636),IF(AND(AH!$U$12=1,1631+1=AH!$U$6),IF(AH!$U$4=0,"unavailable",INDEX('Market Data'!$AK$5:$AK$66,AH!$U$4)),IF(AH!$U$5=1,INDEX('Live History'!$D$5:$D$3004,MATCH($A1636,'Live History'!$D$5:$D$3004,1)),INDEX('AH History'!$D$5:$GG$1380,$K1636,AH!$U$10+2))),NA()),NA())</f>
        <v/>
      </c>
      <c r="H1636" s="266">
        <f>IFERROR(IF(ISNUMBER($A1636),IF(AND(AH!$U$12=1,1631+1=AH!$U$6),IF(AH!$U$4=0,"unavailable",INDEX('Market Data'!$AP$5:$AP$66,AH!$U$4)),IF(AH!$U$5=1,INDEX('Live History'!$H$5:$H$3004,MATCH($A1636,'Live History'!$G$5:$G$3004,1)),INDEX('AH History'!$B$5:$B$1380,$K1636))),NA()),NA())</f>
        <v/>
      </c>
      <c r="I1636" s="34">
        <f>IFERROR(IF(ISNUMBER($A1636),IF(AND(AH!$U$12=1,1631+1=AH!$U$6),TODAY(),IF(AH!$U$5=1,INDEX('Live History'!$G$5:$G$3004,MATCH($A1636,'Live History'!$G$5:$G$3004,1)),INDEX('AH History'!$C$5:$C$1380,$K1636))),NA()),NA())</f>
        <v/>
      </c>
      <c r="J1636" s="32">
        <f>IFERROR(IF(AND($F1636&gt;0,$H1636&gt;0,$A1636-$G1636&lt;=10,$A1636-$I1636&lt;=5,$G1636&gt;0,$I1636&gt;0),$F1636*$H1636,NA()),NA())</f>
        <v/>
      </c>
      <c r="K1636" s="15">
        <f>IF($A1636="","",IF(AH!$U$5=1,IFERROR(MATCH($A1636,'Live History'!$A$5:$A$3004,0),0),AH!$U$7+1631))</f>
        <v/>
      </c>
      <c r="L1636" s="15">
        <f>IF(ISNUMBER(A1636),TEXT(A1636,"dd-mmm-yy"),"")</f>
        <v/>
      </c>
    </row>
    <row r="1637">
      <c r="A1637" s="14">
        <f>IF(OR(AH!$U$4=0,1632+1&gt;AH!$U$6,AND(AH!$M$5="Bloomberg",AH!$U$5=0)),"",IFERROR(IF(AND(AH!$U$12=1,1632+1=AH!$U$6),TODAY(),IF(AH!$U$5=1,INDEX('Live History'!$A$5:$A$3004,AH!$U$7+1632),INDEX('AH History'!$A$5:$A$1380,AH!$U$7+1632))),""))</f>
        <v/>
      </c>
      <c r="B1637" s="33">
        <f>IFERROR(IF(AH!$U$11=1,NA(),$J1637/$E1637-1),NA())</f>
        <v/>
      </c>
      <c r="C1637" s="269">
        <f>IFERROR(100*$E1637/$E$5,NA())</f>
        <v/>
      </c>
      <c r="D1637" s="269">
        <f>IFERROR(100*$J1637/$J$5,NA())</f>
        <v/>
      </c>
      <c r="E1637" s="32">
        <f>IFERROR(IF(AND(ISNUMBER($A1637),N(IF(AND(AH!$U$12=1,1632+1=AH!$U$6),IF(AH!$U$4=0,"unavailable",INDEX('Market Data'!$AN$5:$AN$66,AH!$U$4)),IF(AH!$U$5=1,INDEX('Live History'!$B$5:$B$3004,$K1637),INDEX('AH History'!$D$5:$GG$1380,$K1637,AH!$U$10))))&gt;0),IF(AND(AH!$U$12=1,1632+1=AH!$U$6),IF(AH!$U$4=0,"unavailable",INDEX('Market Data'!$AN$5:$AN$66,AH!$U$4)),IF(AH!$U$5=1,INDEX('Live History'!$B$5:$B$3004,$K1637),INDEX('AH History'!$D$5:$GG$1380,$K1637,AH!$U$10))),NA()),NA())</f>
        <v/>
      </c>
      <c r="F1637" s="32">
        <f>IFERROR(IF(ISNUMBER($A1637),IF(AND(AH!$U$12=1,1632+1=AH!$U$6),IF(AH!$U$4=0,"unavailable",INDEX('Market Data'!$AO$5:$AO$66,AH!$U$4)),IF(AH!$U$5=1,INDEX('Live History'!$E$5:$E$3004,MATCH($A1637,'Live History'!$D$5:$D$3004,1)),INDEX('AH History'!$D$5:$GG$1380,$K1637,AH!$U$10+1))),NA()),NA())</f>
        <v/>
      </c>
      <c r="G1637" s="34">
        <f>IFERROR(IF(ISNUMBER($A1637),IF(AND(AH!$U$12=1,1632+1=AH!$U$6),IF(AH!$U$4=0,"unavailable",INDEX('Market Data'!$AK$5:$AK$66,AH!$U$4)),IF(AH!$U$5=1,INDEX('Live History'!$D$5:$D$3004,MATCH($A1637,'Live History'!$D$5:$D$3004,1)),INDEX('AH History'!$D$5:$GG$1380,$K1637,AH!$U$10+2))),NA()),NA())</f>
        <v/>
      </c>
      <c r="H1637" s="266">
        <f>IFERROR(IF(ISNUMBER($A1637),IF(AND(AH!$U$12=1,1632+1=AH!$U$6),IF(AH!$U$4=0,"unavailable",INDEX('Market Data'!$AP$5:$AP$66,AH!$U$4)),IF(AH!$U$5=1,INDEX('Live History'!$H$5:$H$3004,MATCH($A1637,'Live History'!$G$5:$G$3004,1)),INDEX('AH History'!$B$5:$B$1380,$K1637))),NA()),NA())</f>
        <v/>
      </c>
      <c r="I1637" s="34">
        <f>IFERROR(IF(ISNUMBER($A1637),IF(AND(AH!$U$12=1,1632+1=AH!$U$6),TODAY(),IF(AH!$U$5=1,INDEX('Live History'!$G$5:$G$3004,MATCH($A1637,'Live History'!$G$5:$G$3004,1)),INDEX('AH History'!$C$5:$C$1380,$K1637))),NA()),NA())</f>
        <v/>
      </c>
      <c r="J1637" s="32">
        <f>IFERROR(IF(AND($F1637&gt;0,$H1637&gt;0,$A1637-$G1637&lt;=10,$A1637-$I1637&lt;=5,$G1637&gt;0,$I1637&gt;0),$F1637*$H1637,NA()),NA())</f>
        <v/>
      </c>
      <c r="K1637" s="15">
        <f>IF($A1637="","",IF(AH!$U$5=1,IFERROR(MATCH($A1637,'Live History'!$A$5:$A$3004,0),0),AH!$U$7+1632))</f>
        <v/>
      </c>
      <c r="L1637" s="15">
        <f>IF(ISNUMBER(A1637),TEXT(A1637,"dd-mmm-yy"),"")</f>
        <v/>
      </c>
    </row>
    <row r="1638">
      <c r="A1638" s="14">
        <f>IF(OR(AH!$U$4=0,1633+1&gt;AH!$U$6,AND(AH!$M$5="Bloomberg",AH!$U$5=0)),"",IFERROR(IF(AND(AH!$U$12=1,1633+1=AH!$U$6),TODAY(),IF(AH!$U$5=1,INDEX('Live History'!$A$5:$A$3004,AH!$U$7+1633),INDEX('AH History'!$A$5:$A$1380,AH!$U$7+1633))),""))</f>
        <v/>
      </c>
      <c r="B1638" s="33">
        <f>IFERROR(IF(AH!$U$11=1,NA(),$J1638/$E1638-1),NA())</f>
        <v/>
      </c>
      <c r="C1638" s="269">
        <f>IFERROR(100*$E1638/$E$5,NA())</f>
        <v/>
      </c>
      <c r="D1638" s="269">
        <f>IFERROR(100*$J1638/$J$5,NA())</f>
        <v/>
      </c>
      <c r="E1638" s="32">
        <f>IFERROR(IF(AND(ISNUMBER($A1638),N(IF(AND(AH!$U$12=1,1633+1=AH!$U$6),IF(AH!$U$4=0,"unavailable",INDEX('Market Data'!$AN$5:$AN$66,AH!$U$4)),IF(AH!$U$5=1,INDEX('Live History'!$B$5:$B$3004,$K1638),INDEX('AH History'!$D$5:$GG$1380,$K1638,AH!$U$10))))&gt;0),IF(AND(AH!$U$12=1,1633+1=AH!$U$6),IF(AH!$U$4=0,"unavailable",INDEX('Market Data'!$AN$5:$AN$66,AH!$U$4)),IF(AH!$U$5=1,INDEX('Live History'!$B$5:$B$3004,$K1638),INDEX('AH History'!$D$5:$GG$1380,$K1638,AH!$U$10))),NA()),NA())</f>
        <v/>
      </c>
      <c r="F1638" s="32">
        <f>IFERROR(IF(ISNUMBER($A1638),IF(AND(AH!$U$12=1,1633+1=AH!$U$6),IF(AH!$U$4=0,"unavailable",INDEX('Market Data'!$AO$5:$AO$66,AH!$U$4)),IF(AH!$U$5=1,INDEX('Live History'!$E$5:$E$3004,MATCH($A1638,'Live History'!$D$5:$D$3004,1)),INDEX('AH History'!$D$5:$GG$1380,$K1638,AH!$U$10+1))),NA()),NA())</f>
        <v/>
      </c>
      <c r="G1638" s="34">
        <f>IFERROR(IF(ISNUMBER($A1638),IF(AND(AH!$U$12=1,1633+1=AH!$U$6),IF(AH!$U$4=0,"unavailable",INDEX('Market Data'!$AK$5:$AK$66,AH!$U$4)),IF(AH!$U$5=1,INDEX('Live History'!$D$5:$D$3004,MATCH($A1638,'Live History'!$D$5:$D$3004,1)),INDEX('AH History'!$D$5:$GG$1380,$K1638,AH!$U$10+2))),NA()),NA())</f>
        <v/>
      </c>
      <c r="H1638" s="266">
        <f>IFERROR(IF(ISNUMBER($A1638),IF(AND(AH!$U$12=1,1633+1=AH!$U$6),IF(AH!$U$4=0,"unavailable",INDEX('Market Data'!$AP$5:$AP$66,AH!$U$4)),IF(AH!$U$5=1,INDEX('Live History'!$H$5:$H$3004,MATCH($A1638,'Live History'!$G$5:$G$3004,1)),INDEX('AH History'!$B$5:$B$1380,$K1638))),NA()),NA())</f>
        <v/>
      </c>
      <c r="I1638" s="34">
        <f>IFERROR(IF(ISNUMBER($A1638),IF(AND(AH!$U$12=1,1633+1=AH!$U$6),TODAY(),IF(AH!$U$5=1,INDEX('Live History'!$G$5:$G$3004,MATCH($A1638,'Live History'!$G$5:$G$3004,1)),INDEX('AH History'!$C$5:$C$1380,$K1638))),NA()),NA())</f>
        <v/>
      </c>
      <c r="J1638" s="32">
        <f>IFERROR(IF(AND($F1638&gt;0,$H1638&gt;0,$A1638-$G1638&lt;=10,$A1638-$I1638&lt;=5,$G1638&gt;0,$I1638&gt;0),$F1638*$H1638,NA()),NA())</f>
        <v/>
      </c>
      <c r="K1638" s="15">
        <f>IF($A1638="","",IF(AH!$U$5=1,IFERROR(MATCH($A1638,'Live History'!$A$5:$A$3004,0),0),AH!$U$7+1633))</f>
        <v/>
      </c>
      <c r="L1638" s="15">
        <f>IF(ISNUMBER(A1638),TEXT(A1638,"dd-mmm-yy"),"")</f>
        <v/>
      </c>
    </row>
    <row r="1639">
      <c r="A1639" s="14">
        <f>IF(OR(AH!$U$4=0,1634+1&gt;AH!$U$6,AND(AH!$M$5="Bloomberg",AH!$U$5=0)),"",IFERROR(IF(AND(AH!$U$12=1,1634+1=AH!$U$6),TODAY(),IF(AH!$U$5=1,INDEX('Live History'!$A$5:$A$3004,AH!$U$7+1634),INDEX('AH History'!$A$5:$A$1380,AH!$U$7+1634))),""))</f>
        <v/>
      </c>
      <c r="B1639" s="33">
        <f>IFERROR(IF(AH!$U$11=1,NA(),$J1639/$E1639-1),NA())</f>
        <v/>
      </c>
      <c r="C1639" s="269">
        <f>IFERROR(100*$E1639/$E$5,NA())</f>
        <v/>
      </c>
      <c r="D1639" s="269">
        <f>IFERROR(100*$J1639/$J$5,NA())</f>
        <v/>
      </c>
      <c r="E1639" s="32">
        <f>IFERROR(IF(AND(ISNUMBER($A1639),N(IF(AND(AH!$U$12=1,1634+1=AH!$U$6),IF(AH!$U$4=0,"unavailable",INDEX('Market Data'!$AN$5:$AN$66,AH!$U$4)),IF(AH!$U$5=1,INDEX('Live History'!$B$5:$B$3004,$K1639),INDEX('AH History'!$D$5:$GG$1380,$K1639,AH!$U$10))))&gt;0),IF(AND(AH!$U$12=1,1634+1=AH!$U$6),IF(AH!$U$4=0,"unavailable",INDEX('Market Data'!$AN$5:$AN$66,AH!$U$4)),IF(AH!$U$5=1,INDEX('Live History'!$B$5:$B$3004,$K1639),INDEX('AH History'!$D$5:$GG$1380,$K1639,AH!$U$10))),NA()),NA())</f>
        <v/>
      </c>
      <c r="F1639" s="32">
        <f>IFERROR(IF(ISNUMBER($A1639),IF(AND(AH!$U$12=1,1634+1=AH!$U$6),IF(AH!$U$4=0,"unavailable",INDEX('Market Data'!$AO$5:$AO$66,AH!$U$4)),IF(AH!$U$5=1,INDEX('Live History'!$E$5:$E$3004,MATCH($A1639,'Live History'!$D$5:$D$3004,1)),INDEX('AH History'!$D$5:$GG$1380,$K1639,AH!$U$10+1))),NA()),NA())</f>
        <v/>
      </c>
      <c r="G1639" s="34">
        <f>IFERROR(IF(ISNUMBER($A1639),IF(AND(AH!$U$12=1,1634+1=AH!$U$6),IF(AH!$U$4=0,"unavailable",INDEX('Market Data'!$AK$5:$AK$66,AH!$U$4)),IF(AH!$U$5=1,INDEX('Live History'!$D$5:$D$3004,MATCH($A1639,'Live History'!$D$5:$D$3004,1)),INDEX('AH History'!$D$5:$GG$1380,$K1639,AH!$U$10+2))),NA()),NA())</f>
        <v/>
      </c>
      <c r="H1639" s="266">
        <f>IFERROR(IF(ISNUMBER($A1639),IF(AND(AH!$U$12=1,1634+1=AH!$U$6),IF(AH!$U$4=0,"unavailable",INDEX('Market Data'!$AP$5:$AP$66,AH!$U$4)),IF(AH!$U$5=1,INDEX('Live History'!$H$5:$H$3004,MATCH($A1639,'Live History'!$G$5:$G$3004,1)),INDEX('AH History'!$B$5:$B$1380,$K1639))),NA()),NA())</f>
        <v/>
      </c>
      <c r="I1639" s="34">
        <f>IFERROR(IF(ISNUMBER($A1639),IF(AND(AH!$U$12=1,1634+1=AH!$U$6),TODAY(),IF(AH!$U$5=1,INDEX('Live History'!$G$5:$G$3004,MATCH($A1639,'Live History'!$G$5:$G$3004,1)),INDEX('AH History'!$C$5:$C$1380,$K1639))),NA()),NA())</f>
        <v/>
      </c>
      <c r="J1639" s="32">
        <f>IFERROR(IF(AND($F1639&gt;0,$H1639&gt;0,$A1639-$G1639&lt;=10,$A1639-$I1639&lt;=5,$G1639&gt;0,$I1639&gt;0),$F1639*$H1639,NA()),NA())</f>
        <v/>
      </c>
      <c r="K1639" s="15">
        <f>IF($A1639="","",IF(AH!$U$5=1,IFERROR(MATCH($A1639,'Live History'!$A$5:$A$3004,0),0),AH!$U$7+1634))</f>
        <v/>
      </c>
      <c r="L1639" s="15">
        <f>IF(ISNUMBER(A1639),TEXT(A1639,"dd-mmm-yy"),"")</f>
        <v/>
      </c>
    </row>
    <row r="1640">
      <c r="A1640" s="14">
        <f>IF(OR(AH!$U$4=0,1635+1&gt;AH!$U$6,AND(AH!$M$5="Bloomberg",AH!$U$5=0)),"",IFERROR(IF(AND(AH!$U$12=1,1635+1=AH!$U$6),TODAY(),IF(AH!$U$5=1,INDEX('Live History'!$A$5:$A$3004,AH!$U$7+1635),INDEX('AH History'!$A$5:$A$1380,AH!$U$7+1635))),""))</f>
        <v/>
      </c>
      <c r="B1640" s="33">
        <f>IFERROR(IF(AH!$U$11=1,NA(),$J1640/$E1640-1),NA())</f>
        <v/>
      </c>
      <c r="C1640" s="269">
        <f>IFERROR(100*$E1640/$E$5,NA())</f>
        <v/>
      </c>
      <c r="D1640" s="269">
        <f>IFERROR(100*$J1640/$J$5,NA())</f>
        <v/>
      </c>
      <c r="E1640" s="32">
        <f>IFERROR(IF(AND(ISNUMBER($A1640),N(IF(AND(AH!$U$12=1,1635+1=AH!$U$6),IF(AH!$U$4=0,"unavailable",INDEX('Market Data'!$AN$5:$AN$66,AH!$U$4)),IF(AH!$U$5=1,INDEX('Live History'!$B$5:$B$3004,$K1640),INDEX('AH History'!$D$5:$GG$1380,$K1640,AH!$U$10))))&gt;0),IF(AND(AH!$U$12=1,1635+1=AH!$U$6),IF(AH!$U$4=0,"unavailable",INDEX('Market Data'!$AN$5:$AN$66,AH!$U$4)),IF(AH!$U$5=1,INDEX('Live History'!$B$5:$B$3004,$K1640),INDEX('AH History'!$D$5:$GG$1380,$K1640,AH!$U$10))),NA()),NA())</f>
        <v/>
      </c>
      <c r="F1640" s="32">
        <f>IFERROR(IF(ISNUMBER($A1640),IF(AND(AH!$U$12=1,1635+1=AH!$U$6),IF(AH!$U$4=0,"unavailable",INDEX('Market Data'!$AO$5:$AO$66,AH!$U$4)),IF(AH!$U$5=1,INDEX('Live History'!$E$5:$E$3004,MATCH($A1640,'Live History'!$D$5:$D$3004,1)),INDEX('AH History'!$D$5:$GG$1380,$K1640,AH!$U$10+1))),NA()),NA())</f>
        <v/>
      </c>
      <c r="G1640" s="34">
        <f>IFERROR(IF(ISNUMBER($A1640),IF(AND(AH!$U$12=1,1635+1=AH!$U$6),IF(AH!$U$4=0,"unavailable",INDEX('Market Data'!$AK$5:$AK$66,AH!$U$4)),IF(AH!$U$5=1,INDEX('Live History'!$D$5:$D$3004,MATCH($A1640,'Live History'!$D$5:$D$3004,1)),INDEX('AH History'!$D$5:$GG$1380,$K1640,AH!$U$10+2))),NA()),NA())</f>
        <v/>
      </c>
      <c r="H1640" s="266">
        <f>IFERROR(IF(ISNUMBER($A1640),IF(AND(AH!$U$12=1,1635+1=AH!$U$6),IF(AH!$U$4=0,"unavailable",INDEX('Market Data'!$AP$5:$AP$66,AH!$U$4)),IF(AH!$U$5=1,INDEX('Live History'!$H$5:$H$3004,MATCH($A1640,'Live History'!$G$5:$G$3004,1)),INDEX('AH History'!$B$5:$B$1380,$K1640))),NA()),NA())</f>
        <v/>
      </c>
      <c r="I1640" s="34">
        <f>IFERROR(IF(ISNUMBER($A1640),IF(AND(AH!$U$12=1,1635+1=AH!$U$6),TODAY(),IF(AH!$U$5=1,INDEX('Live History'!$G$5:$G$3004,MATCH($A1640,'Live History'!$G$5:$G$3004,1)),INDEX('AH History'!$C$5:$C$1380,$K1640))),NA()),NA())</f>
        <v/>
      </c>
      <c r="J1640" s="32">
        <f>IFERROR(IF(AND($F1640&gt;0,$H1640&gt;0,$A1640-$G1640&lt;=10,$A1640-$I1640&lt;=5,$G1640&gt;0,$I1640&gt;0),$F1640*$H1640,NA()),NA())</f>
        <v/>
      </c>
      <c r="K1640" s="15">
        <f>IF($A1640="","",IF(AH!$U$5=1,IFERROR(MATCH($A1640,'Live History'!$A$5:$A$3004,0),0),AH!$U$7+1635))</f>
        <v/>
      </c>
      <c r="L1640" s="15">
        <f>IF(ISNUMBER(A1640),TEXT(A1640,"dd-mmm-yy"),"")</f>
        <v/>
      </c>
    </row>
    <row r="1641">
      <c r="A1641" s="14">
        <f>IF(OR(AH!$U$4=0,1636+1&gt;AH!$U$6,AND(AH!$M$5="Bloomberg",AH!$U$5=0)),"",IFERROR(IF(AND(AH!$U$12=1,1636+1=AH!$U$6),TODAY(),IF(AH!$U$5=1,INDEX('Live History'!$A$5:$A$3004,AH!$U$7+1636),INDEX('AH History'!$A$5:$A$1380,AH!$U$7+1636))),""))</f>
        <v/>
      </c>
      <c r="B1641" s="33">
        <f>IFERROR(IF(AH!$U$11=1,NA(),$J1641/$E1641-1),NA())</f>
        <v/>
      </c>
      <c r="C1641" s="269">
        <f>IFERROR(100*$E1641/$E$5,NA())</f>
        <v/>
      </c>
      <c r="D1641" s="269">
        <f>IFERROR(100*$J1641/$J$5,NA())</f>
        <v/>
      </c>
      <c r="E1641" s="32">
        <f>IFERROR(IF(AND(ISNUMBER($A1641),N(IF(AND(AH!$U$12=1,1636+1=AH!$U$6),IF(AH!$U$4=0,"unavailable",INDEX('Market Data'!$AN$5:$AN$66,AH!$U$4)),IF(AH!$U$5=1,INDEX('Live History'!$B$5:$B$3004,$K1641),INDEX('AH History'!$D$5:$GG$1380,$K1641,AH!$U$10))))&gt;0),IF(AND(AH!$U$12=1,1636+1=AH!$U$6),IF(AH!$U$4=0,"unavailable",INDEX('Market Data'!$AN$5:$AN$66,AH!$U$4)),IF(AH!$U$5=1,INDEX('Live History'!$B$5:$B$3004,$K1641),INDEX('AH History'!$D$5:$GG$1380,$K1641,AH!$U$10))),NA()),NA())</f>
        <v/>
      </c>
      <c r="F1641" s="32">
        <f>IFERROR(IF(ISNUMBER($A1641),IF(AND(AH!$U$12=1,1636+1=AH!$U$6),IF(AH!$U$4=0,"unavailable",INDEX('Market Data'!$AO$5:$AO$66,AH!$U$4)),IF(AH!$U$5=1,INDEX('Live History'!$E$5:$E$3004,MATCH($A1641,'Live History'!$D$5:$D$3004,1)),INDEX('AH History'!$D$5:$GG$1380,$K1641,AH!$U$10+1))),NA()),NA())</f>
        <v/>
      </c>
      <c r="G1641" s="34">
        <f>IFERROR(IF(ISNUMBER($A1641),IF(AND(AH!$U$12=1,1636+1=AH!$U$6),IF(AH!$U$4=0,"unavailable",INDEX('Market Data'!$AK$5:$AK$66,AH!$U$4)),IF(AH!$U$5=1,INDEX('Live History'!$D$5:$D$3004,MATCH($A1641,'Live History'!$D$5:$D$3004,1)),INDEX('AH History'!$D$5:$GG$1380,$K1641,AH!$U$10+2))),NA()),NA())</f>
        <v/>
      </c>
      <c r="H1641" s="266">
        <f>IFERROR(IF(ISNUMBER($A1641),IF(AND(AH!$U$12=1,1636+1=AH!$U$6),IF(AH!$U$4=0,"unavailable",INDEX('Market Data'!$AP$5:$AP$66,AH!$U$4)),IF(AH!$U$5=1,INDEX('Live History'!$H$5:$H$3004,MATCH($A1641,'Live History'!$G$5:$G$3004,1)),INDEX('AH History'!$B$5:$B$1380,$K1641))),NA()),NA())</f>
        <v/>
      </c>
      <c r="I1641" s="34">
        <f>IFERROR(IF(ISNUMBER($A1641),IF(AND(AH!$U$12=1,1636+1=AH!$U$6),TODAY(),IF(AH!$U$5=1,INDEX('Live History'!$G$5:$G$3004,MATCH($A1641,'Live History'!$G$5:$G$3004,1)),INDEX('AH History'!$C$5:$C$1380,$K1641))),NA()),NA())</f>
        <v/>
      </c>
      <c r="J1641" s="32">
        <f>IFERROR(IF(AND($F1641&gt;0,$H1641&gt;0,$A1641-$G1641&lt;=10,$A1641-$I1641&lt;=5,$G1641&gt;0,$I1641&gt;0),$F1641*$H1641,NA()),NA())</f>
        <v/>
      </c>
      <c r="K1641" s="15">
        <f>IF($A1641="","",IF(AH!$U$5=1,IFERROR(MATCH($A1641,'Live History'!$A$5:$A$3004,0),0),AH!$U$7+1636))</f>
        <v/>
      </c>
      <c r="L1641" s="15">
        <f>IF(ISNUMBER(A1641),TEXT(A1641,"dd-mmm-yy"),"")</f>
        <v/>
      </c>
    </row>
    <row r="1642">
      <c r="A1642" s="14">
        <f>IF(OR(AH!$U$4=0,1637+1&gt;AH!$U$6,AND(AH!$M$5="Bloomberg",AH!$U$5=0)),"",IFERROR(IF(AND(AH!$U$12=1,1637+1=AH!$U$6),TODAY(),IF(AH!$U$5=1,INDEX('Live History'!$A$5:$A$3004,AH!$U$7+1637),INDEX('AH History'!$A$5:$A$1380,AH!$U$7+1637))),""))</f>
        <v/>
      </c>
      <c r="B1642" s="33">
        <f>IFERROR(IF(AH!$U$11=1,NA(),$J1642/$E1642-1),NA())</f>
        <v/>
      </c>
      <c r="C1642" s="269">
        <f>IFERROR(100*$E1642/$E$5,NA())</f>
        <v/>
      </c>
      <c r="D1642" s="269">
        <f>IFERROR(100*$J1642/$J$5,NA())</f>
        <v/>
      </c>
      <c r="E1642" s="32">
        <f>IFERROR(IF(AND(ISNUMBER($A1642),N(IF(AND(AH!$U$12=1,1637+1=AH!$U$6),IF(AH!$U$4=0,"unavailable",INDEX('Market Data'!$AN$5:$AN$66,AH!$U$4)),IF(AH!$U$5=1,INDEX('Live History'!$B$5:$B$3004,$K1642),INDEX('AH History'!$D$5:$GG$1380,$K1642,AH!$U$10))))&gt;0),IF(AND(AH!$U$12=1,1637+1=AH!$U$6),IF(AH!$U$4=0,"unavailable",INDEX('Market Data'!$AN$5:$AN$66,AH!$U$4)),IF(AH!$U$5=1,INDEX('Live History'!$B$5:$B$3004,$K1642),INDEX('AH History'!$D$5:$GG$1380,$K1642,AH!$U$10))),NA()),NA())</f>
        <v/>
      </c>
      <c r="F1642" s="32">
        <f>IFERROR(IF(ISNUMBER($A1642),IF(AND(AH!$U$12=1,1637+1=AH!$U$6),IF(AH!$U$4=0,"unavailable",INDEX('Market Data'!$AO$5:$AO$66,AH!$U$4)),IF(AH!$U$5=1,INDEX('Live History'!$E$5:$E$3004,MATCH($A1642,'Live History'!$D$5:$D$3004,1)),INDEX('AH History'!$D$5:$GG$1380,$K1642,AH!$U$10+1))),NA()),NA())</f>
        <v/>
      </c>
      <c r="G1642" s="34">
        <f>IFERROR(IF(ISNUMBER($A1642),IF(AND(AH!$U$12=1,1637+1=AH!$U$6),IF(AH!$U$4=0,"unavailable",INDEX('Market Data'!$AK$5:$AK$66,AH!$U$4)),IF(AH!$U$5=1,INDEX('Live History'!$D$5:$D$3004,MATCH($A1642,'Live History'!$D$5:$D$3004,1)),INDEX('AH History'!$D$5:$GG$1380,$K1642,AH!$U$10+2))),NA()),NA())</f>
        <v/>
      </c>
      <c r="H1642" s="266">
        <f>IFERROR(IF(ISNUMBER($A1642),IF(AND(AH!$U$12=1,1637+1=AH!$U$6),IF(AH!$U$4=0,"unavailable",INDEX('Market Data'!$AP$5:$AP$66,AH!$U$4)),IF(AH!$U$5=1,INDEX('Live History'!$H$5:$H$3004,MATCH($A1642,'Live History'!$G$5:$G$3004,1)),INDEX('AH History'!$B$5:$B$1380,$K1642))),NA()),NA())</f>
        <v/>
      </c>
      <c r="I1642" s="34">
        <f>IFERROR(IF(ISNUMBER($A1642),IF(AND(AH!$U$12=1,1637+1=AH!$U$6),TODAY(),IF(AH!$U$5=1,INDEX('Live History'!$G$5:$G$3004,MATCH($A1642,'Live History'!$G$5:$G$3004,1)),INDEX('AH History'!$C$5:$C$1380,$K1642))),NA()),NA())</f>
        <v/>
      </c>
      <c r="J1642" s="32">
        <f>IFERROR(IF(AND($F1642&gt;0,$H1642&gt;0,$A1642-$G1642&lt;=10,$A1642-$I1642&lt;=5,$G1642&gt;0,$I1642&gt;0),$F1642*$H1642,NA()),NA())</f>
        <v/>
      </c>
      <c r="K1642" s="15">
        <f>IF($A1642="","",IF(AH!$U$5=1,IFERROR(MATCH($A1642,'Live History'!$A$5:$A$3004,0),0),AH!$U$7+1637))</f>
        <v/>
      </c>
      <c r="L1642" s="15">
        <f>IF(ISNUMBER(A1642),TEXT(A1642,"dd-mmm-yy"),"")</f>
        <v/>
      </c>
    </row>
    <row r="1643">
      <c r="A1643" s="14">
        <f>IF(OR(AH!$U$4=0,1638+1&gt;AH!$U$6,AND(AH!$M$5="Bloomberg",AH!$U$5=0)),"",IFERROR(IF(AND(AH!$U$12=1,1638+1=AH!$U$6),TODAY(),IF(AH!$U$5=1,INDEX('Live History'!$A$5:$A$3004,AH!$U$7+1638),INDEX('AH History'!$A$5:$A$1380,AH!$U$7+1638))),""))</f>
        <v/>
      </c>
      <c r="B1643" s="33">
        <f>IFERROR(IF(AH!$U$11=1,NA(),$J1643/$E1643-1),NA())</f>
        <v/>
      </c>
      <c r="C1643" s="269">
        <f>IFERROR(100*$E1643/$E$5,NA())</f>
        <v/>
      </c>
      <c r="D1643" s="269">
        <f>IFERROR(100*$J1643/$J$5,NA())</f>
        <v/>
      </c>
      <c r="E1643" s="32">
        <f>IFERROR(IF(AND(ISNUMBER($A1643),N(IF(AND(AH!$U$12=1,1638+1=AH!$U$6),IF(AH!$U$4=0,"unavailable",INDEX('Market Data'!$AN$5:$AN$66,AH!$U$4)),IF(AH!$U$5=1,INDEX('Live History'!$B$5:$B$3004,$K1643),INDEX('AH History'!$D$5:$GG$1380,$K1643,AH!$U$10))))&gt;0),IF(AND(AH!$U$12=1,1638+1=AH!$U$6),IF(AH!$U$4=0,"unavailable",INDEX('Market Data'!$AN$5:$AN$66,AH!$U$4)),IF(AH!$U$5=1,INDEX('Live History'!$B$5:$B$3004,$K1643),INDEX('AH History'!$D$5:$GG$1380,$K1643,AH!$U$10))),NA()),NA())</f>
        <v/>
      </c>
      <c r="F1643" s="32">
        <f>IFERROR(IF(ISNUMBER($A1643),IF(AND(AH!$U$12=1,1638+1=AH!$U$6),IF(AH!$U$4=0,"unavailable",INDEX('Market Data'!$AO$5:$AO$66,AH!$U$4)),IF(AH!$U$5=1,INDEX('Live History'!$E$5:$E$3004,MATCH($A1643,'Live History'!$D$5:$D$3004,1)),INDEX('AH History'!$D$5:$GG$1380,$K1643,AH!$U$10+1))),NA()),NA())</f>
        <v/>
      </c>
      <c r="G1643" s="34">
        <f>IFERROR(IF(ISNUMBER($A1643),IF(AND(AH!$U$12=1,1638+1=AH!$U$6),IF(AH!$U$4=0,"unavailable",INDEX('Market Data'!$AK$5:$AK$66,AH!$U$4)),IF(AH!$U$5=1,INDEX('Live History'!$D$5:$D$3004,MATCH($A1643,'Live History'!$D$5:$D$3004,1)),INDEX('AH History'!$D$5:$GG$1380,$K1643,AH!$U$10+2))),NA()),NA())</f>
        <v/>
      </c>
      <c r="H1643" s="266">
        <f>IFERROR(IF(ISNUMBER($A1643),IF(AND(AH!$U$12=1,1638+1=AH!$U$6),IF(AH!$U$4=0,"unavailable",INDEX('Market Data'!$AP$5:$AP$66,AH!$U$4)),IF(AH!$U$5=1,INDEX('Live History'!$H$5:$H$3004,MATCH($A1643,'Live History'!$G$5:$G$3004,1)),INDEX('AH History'!$B$5:$B$1380,$K1643))),NA()),NA())</f>
        <v/>
      </c>
      <c r="I1643" s="34">
        <f>IFERROR(IF(ISNUMBER($A1643),IF(AND(AH!$U$12=1,1638+1=AH!$U$6),TODAY(),IF(AH!$U$5=1,INDEX('Live History'!$G$5:$G$3004,MATCH($A1643,'Live History'!$G$5:$G$3004,1)),INDEX('AH History'!$C$5:$C$1380,$K1643))),NA()),NA())</f>
        <v/>
      </c>
      <c r="J1643" s="32">
        <f>IFERROR(IF(AND($F1643&gt;0,$H1643&gt;0,$A1643-$G1643&lt;=10,$A1643-$I1643&lt;=5,$G1643&gt;0,$I1643&gt;0),$F1643*$H1643,NA()),NA())</f>
        <v/>
      </c>
      <c r="K1643" s="15">
        <f>IF($A1643="","",IF(AH!$U$5=1,IFERROR(MATCH($A1643,'Live History'!$A$5:$A$3004,0),0),AH!$U$7+1638))</f>
        <v/>
      </c>
      <c r="L1643" s="15">
        <f>IF(ISNUMBER(A1643),TEXT(A1643,"dd-mmm-yy"),"")</f>
        <v/>
      </c>
    </row>
    <row r="1644">
      <c r="A1644" s="14">
        <f>IF(OR(AH!$U$4=0,1639+1&gt;AH!$U$6,AND(AH!$M$5="Bloomberg",AH!$U$5=0)),"",IFERROR(IF(AND(AH!$U$12=1,1639+1=AH!$U$6),TODAY(),IF(AH!$U$5=1,INDEX('Live History'!$A$5:$A$3004,AH!$U$7+1639),INDEX('AH History'!$A$5:$A$1380,AH!$U$7+1639))),""))</f>
        <v/>
      </c>
      <c r="B1644" s="33">
        <f>IFERROR(IF(AH!$U$11=1,NA(),$J1644/$E1644-1),NA())</f>
        <v/>
      </c>
      <c r="C1644" s="269">
        <f>IFERROR(100*$E1644/$E$5,NA())</f>
        <v/>
      </c>
      <c r="D1644" s="269">
        <f>IFERROR(100*$J1644/$J$5,NA())</f>
        <v/>
      </c>
      <c r="E1644" s="32">
        <f>IFERROR(IF(AND(ISNUMBER($A1644),N(IF(AND(AH!$U$12=1,1639+1=AH!$U$6),IF(AH!$U$4=0,"unavailable",INDEX('Market Data'!$AN$5:$AN$66,AH!$U$4)),IF(AH!$U$5=1,INDEX('Live History'!$B$5:$B$3004,$K1644),INDEX('AH History'!$D$5:$GG$1380,$K1644,AH!$U$10))))&gt;0),IF(AND(AH!$U$12=1,1639+1=AH!$U$6),IF(AH!$U$4=0,"unavailable",INDEX('Market Data'!$AN$5:$AN$66,AH!$U$4)),IF(AH!$U$5=1,INDEX('Live History'!$B$5:$B$3004,$K1644),INDEX('AH History'!$D$5:$GG$1380,$K1644,AH!$U$10))),NA()),NA())</f>
        <v/>
      </c>
      <c r="F1644" s="32">
        <f>IFERROR(IF(ISNUMBER($A1644),IF(AND(AH!$U$12=1,1639+1=AH!$U$6),IF(AH!$U$4=0,"unavailable",INDEX('Market Data'!$AO$5:$AO$66,AH!$U$4)),IF(AH!$U$5=1,INDEX('Live History'!$E$5:$E$3004,MATCH($A1644,'Live History'!$D$5:$D$3004,1)),INDEX('AH History'!$D$5:$GG$1380,$K1644,AH!$U$10+1))),NA()),NA())</f>
        <v/>
      </c>
      <c r="G1644" s="34">
        <f>IFERROR(IF(ISNUMBER($A1644),IF(AND(AH!$U$12=1,1639+1=AH!$U$6),IF(AH!$U$4=0,"unavailable",INDEX('Market Data'!$AK$5:$AK$66,AH!$U$4)),IF(AH!$U$5=1,INDEX('Live History'!$D$5:$D$3004,MATCH($A1644,'Live History'!$D$5:$D$3004,1)),INDEX('AH History'!$D$5:$GG$1380,$K1644,AH!$U$10+2))),NA()),NA())</f>
        <v/>
      </c>
      <c r="H1644" s="266">
        <f>IFERROR(IF(ISNUMBER($A1644),IF(AND(AH!$U$12=1,1639+1=AH!$U$6),IF(AH!$U$4=0,"unavailable",INDEX('Market Data'!$AP$5:$AP$66,AH!$U$4)),IF(AH!$U$5=1,INDEX('Live History'!$H$5:$H$3004,MATCH($A1644,'Live History'!$G$5:$G$3004,1)),INDEX('AH History'!$B$5:$B$1380,$K1644))),NA()),NA())</f>
        <v/>
      </c>
      <c r="I1644" s="34">
        <f>IFERROR(IF(ISNUMBER($A1644),IF(AND(AH!$U$12=1,1639+1=AH!$U$6),TODAY(),IF(AH!$U$5=1,INDEX('Live History'!$G$5:$G$3004,MATCH($A1644,'Live History'!$G$5:$G$3004,1)),INDEX('AH History'!$C$5:$C$1380,$K1644))),NA()),NA())</f>
        <v/>
      </c>
      <c r="J1644" s="32">
        <f>IFERROR(IF(AND($F1644&gt;0,$H1644&gt;0,$A1644-$G1644&lt;=10,$A1644-$I1644&lt;=5,$G1644&gt;0,$I1644&gt;0),$F1644*$H1644,NA()),NA())</f>
        <v/>
      </c>
      <c r="K1644" s="15">
        <f>IF($A1644="","",IF(AH!$U$5=1,IFERROR(MATCH($A1644,'Live History'!$A$5:$A$3004,0),0),AH!$U$7+1639))</f>
        <v/>
      </c>
      <c r="L1644" s="15">
        <f>IF(ISNUMBER(A1644),TEXT(A1644,"dd-mmm-yy"),"")</f>
        <v/>
      </c>
    </row>
    <row r="1645">
      <c r="A1645" s="14">
        <f>IF(OR(AH!$U$4=0,1640+1&gt;AH!$U$6,AND(AH!$M$5="Bloomberg",AH!$U$5=0)),"",IFERROR(IF(AND(AH!$U$12=1,1640+1=AH!$U$6),TODAY(),IF(AH!$U$5=1,INDEX('Live History'!$A$5:$A$3004,AH!$U$7+1640),INDEX('AH History'!$A$5:$A$1380,AH!$U$7+1640))),""))</f>
        <v/>
      </c>
      <c r="B1645" s="33">
        <f>IFERROR(IF(AH!$U$11=1,NA(),$J1645/$E1645-1),NA())</f>
        <v/>
      </c>
      <c r="C1645" s="269">
        <f>IFERROR(100*$E1645/$E$5,NA())</f>
        <v/>
      </c>
      <c r="D1645" s="269">
        <f>IFERROR(100*$J1645/$J$5,NA())</f>
        <v/>
      </c>
      <c r="E1645" s="32">
        <f>IFERROR(IF(AND(ISNUMBER($A1645),N(IF(AND(AH!$U$12=1,1640+1=AH!$U$6),IF(AH!$U$4=0,"unavailable",INDEX('Market Data'!$AN$5:$AN$66,AH!$U$4)),IF(AH!$U$5=1,INDEX('Live History'!$B$5:$B$3004,$K1645),INDEX('AH History'!$D$5:$GG$1380,$K1645,AH!$U$10))))&gt;0),IF(AND(AH!$U$12=1,1640+1=AH!$U$6),IF(AH!$U$4=0,"unavailable",INDEX('Market Data'!$AN$5:$AN$66,AH!$U$4)),IF(AH!$U$5=1,INDEX('Live History'!$B$5:$B$3004,$K1645),INDEX('AH History'!$D$5:$GG$1380,$K1645,AH!$U$10))),NA()),NA())</f>
        <v/>
      </c>
      <c r="F1645" s="32">
        <f>IFERROR(IF(ISNUMBER($A1645),IF(AND(AH!$U$12=1,1640+1=AH!$U$6),IF(AH!$U$4=0,"unavailable",INDEX('Market Data'!$AO$5:$AO$66,AH!$U$4)),IF(AH!$U$5=1,INDEX('Live History'!$E$5:$E$3004,MATCH($A1645,'Live History'!$D$5:$D$3004,1)),INDEX('AH History'!$D$5:$GG$1380,$K1645,AH!$U$10+1))),NA()),NA())</f>
        <v/>
      </c>
      <c r="G1645" s="34">
        <f>IFERROR(IF(ISNUMBER($A1645),IF(AND(AH!$U$12=1,1640+1=AH!$U$6),IF(AH!$U$4=0,"unavailable",INDEX('Market Data'!$AK$5:$AK$66,AH!$U$4)),IF(AH!$U$5=1,INDEX('Live History'!$D$5:$D$3004,MATCH($A1645,'Live History'!$D$5:$D$3004,1)),INDEX('AH History'!$D$5:$GG$1380,$K1645,AH!$U$10+2))),NA()),NA())</f>
        <v/>
      </c>
      <c r="H1645" s="266">
        <f>IFERROR(IF(ISNUMBER($A1645),IF(AND(AH!$U$12=1,1640+1=AH!$U$6),IF(AH!$U$4=0,"unavailable",INDEX('Market Data'!$AP$5:$AP$66,AH!$U$4)),IF(AH!$U$5=1,INDEX('Live History'!$H$5:$H$3004,MATCH($A1645,'Live History'!$G$5:$G$3004,1)),INDEX('AH History'!$B$5:$B$1380,$K1645))),NA()),NA())</f>
        <v/>
      </c>
      <c r="I1645" s="34">
        <f>IFERROR(IF(ISNUMBER($A1645),IF(AND(AH!$U$12=1,1640+1=AH!$U$6),TODAY(),IF(AH!$U$5=1,INDEX('Live History'!$G$5:$G$3004,MATCH($A1645,'Live History'!$G$5:$G$3004,1)),INDEX('AH History'!$C$5:$C$1380,$K1645))),NA()),NA())</f>
        <v/>
      </c>
      <c r="J1645" s="32">
        <f>IFERROR(IF(AND($F1645&gt;0,$H1645&gt;0,$A1645-$G1645&lt;=10,$A1645-$I1645&lt;=5,$G1645&gt;0,$I1645&gt;0),$F1645*$H1645,NA()),NA())</f>
        <v/>
      </c>
      <c r="K1645" s="15">
        <f>IF($A1645="","",IF(AH!$U$5=1,IFERROR(MATCH($A1645,'Live History'!$A$5:$A$3004,0),0),AH!$U$7+1640))</f>
        <v/>
      </c>
      <c r="L1645" s="15">
        <f>IF(ISNUMBER(A1645),TEXT(A1645,"dd-mmm-yy"),"")</f>
        <v/>
      </c>
    </row>
    <row r="1646">
      <c r="A1646" s="14">
        <f>IF(OR(AH!$U$4=0,1641+1&gt;AH!$U$6,AND(AH!$M$5="Bloomberg",AH!$U$5=0)),"",IFERROR(IF(AND(AH!$U$12=1,1641+1=AH!$U$6),TODAY(),IF(AH!$U$5=1,INDEX('Live History'!$A$5:$A$3004,AH!$U$7+1641),INDEX('AH History'!$A$5:$A$1380,AH!$U$7+1641))),""))</f>
        <v/>
      </c>
      <c r="B1646" s="33">
        <f>IFERROR(IF(AH!$U$11=1,NA(),$J1646/$E1646-1),NA())</f>
        <v/>
      </c>
      <c r="C1646" s="269">
        <f>IFERROR(100*$E1646/$E$5,NA())</f>
        <v/>
      </c>
      <c r="D1646" s="269">
        <f>IFERROR(100*$J1646/$J$5,NA())</f>
        <v/>
      </c>
      <c r="E1646" s="32">
        <f>IFERROR(IF(AND(ISNUMBER($A1646),N(IF(AND(AH!$U$12=1,1641+1=AH!$U$6),IF(AH!$U$4=0,"unavailable",INDEX('Market Data'!$AN$5:$AN$66,AH!$U$4)),IF(AH!$U$5=1,INDEX('Live History'!$B$5:$B$3004,$K1646),INDEX('AH History'!$D$5:$GG$1380,$K1646,AH!$U$10))))&gt;0),IF(AND(AH!$U$12=1,1641+1=AH!$U$6),IF(AH!$U$4=0,"unavailable",INDEX('Market Data'!$AN$5:$AN$66,AH!$U$4)),IF(AH!$U$5=1,INDEX('Live History'!$B$5:$B$3004,$K1646),INDEX('AH History'!$D$5:$GG$1380,$K1646,AH!$U$10))),NA()),NA())</f>
        <v/>
      </c>
      <c r="F1646" s="32">
        <f>IFERROR(IF(ISNUMBER($A1646),IF(AND(AH!$U$12=1,1641+1=AH!$U$6),IF(AH!$U$4=0,"unavailable",INDEX('Market Data'!$AO$5:$AO$66,AH!$U$4)),IF(AH!$U$5=1,INDEX('Live History'!$E$5:$E$3004,MATCH($A1646,'Live History'!$D$5:$D$3004,1)),INDEX('AH History'!$D$5:$GG$1380,$K1646,AH!$U$10+1))),NA()),NA())</f>
        <v/>
      </c>
      <c r="G1646" s="34">
        <f>IFERROR(IF(ISNUMBER($A1646),IF(AND(AH!$U$12=1,1641+1=AH!$U$6),IF(AH!$U$4=0,"unavailable",INDEX('Market Data'!$AK$5:$AK$66,AH!$U$4)),IF(AH!$U$5=1,INDEX('Live History'!$D$5:$D$3004,MATCH($A1646,'Live History'!$D$5:$D$3004,1)),INDEX('AH History'!$D$5:$GG$1380,$K1646,AH!$U$10+2))),NA()),NA())</f>
        <v/>
      </c>
      <c r="H1646" s="266">
        <f>IFERROR(IF(ISNUMBER($A1646),IF(AND(AH!$U$12=1,1641+1=AH!$U$6),IF(AH!$U$4=0,"unavailable",INDEX('Market Data'!$AP$5:$AP$66,AH!$U$4)),IF(AH!$U$5=1,INDEX('Live History'!$H$5:$H$3004,MATCH($A1646,'Live History'!$G$5:$G$3004,1)),INDEX('AH History'!$B$5:$B$1380,$K1646))),NA()),NA())</f>
        <v/>
      </c>
      <c r="I1646" s="34">
        <f>IFERROR(IF(ISNUMBER($A1646),IF(AND(AH!$U$12=1,1641+1=AH!$U$6),TODAY(),IF(AH!$U$5=1,INDEX('Live History'!$G$5:$G$3004,MATCH($A1646,'Live History'!$G$5:$G$3004,1)),INDEX('AH History'!$C$5:$C$1380,$K1646))),NA()),NA())</f>
        <v/>
      </c>
      <c r="J1646" s="32">
        <f>IFERROR(IF(AND($F1646&gt;0,$H1646&gt;0,$A1646-$G1646&lt;=10,$A1646-$I1646&lt;=5,$G1646&gt;0,$I1646&gt;0),$F1646*$H1646,NA()),NA())</f>
        <v/>
      </c>
      <c r="K1646" s="15">
        <f>IF($A1646="","",IF(AH!$U$5=1,IFERROR(MATCH($A1646,'Live History'!$A$5:$A$3004,0),0),AH!$U$7+1641))</f>
        <v/>
      </c>
      <c r="L1646" s="15">
        <f>IF(ISNUMBER(A1646),TEXT(A1646,"dd-mmm-yy"),"")</f>
        <v/>
      </c>
    </row>
    <row r="1647">
      <c r="A1647" s="14">
        <f>IF(OR(AH!$U$4=0,1642+1&gt;AH!$U$6,AND(AH!$M$5="Bloomberg",AH!$U$5=0)),"",IFERROR(IF(AND(AH!$U$12=1,1642+1=AH!$U$6),TODAY(),IF(AH!$U$5=1,INDEX('Live History'!$A$5:$A$3004,AH!$U$7+1642),INDEX('AH History'!$A$5:$A$1380,AH!$U$7+1642))),""))</f>
        <v/>
      </c>
      <c r="B1647" s="33">
        <f>IFERROR(IF(AH!$U$11=1,NA(),$J1647/$E1647-1),NA())</f>
        <v/>
      </c>
      <c r="C1647" s="269">
        <f>IFERROR(100*$E1647/$E$5,NA())</f>
        <v/>
      </c>
      <c r="D1647" s="269">
        <f>IFERROR(100*$J1647/$J$5,NA())</f>
        <v/>
      </c>
      <c r="E1647" s="32">
        <f>IFERROR(IF(AND(ISNUMBER($A1647),N(IF(AND(AH!$U$12=1,1642+1=AH!$U$6),IF(AH!$U$4=0,"unavailable",INDEX('Market Data'!$AN$5:$AN$66,AH!$U$4)),IF(AH!$U$5=1,INDEX('Live History'!$B$5:$B$3004,$K1647),INDEX('AH History'!$D$5:$GG$1380,$K1647,AH!$U$10))))&gt;0),IF(AND(AH!$U$12=1,1642+1=AH!$U$6),IF(AH!$U$4=0,"unavailable",INDEX('Market Data'!$AN$5:$AN$66,AH!$U$4)),IF(AH!$U$5=1,INDEX('Live History'!$B$5:$B$3004,$K1647),INDEX('AH History'!$D$5:$GG$1380,$K1647,AH!$U$10))),NA()),NA())</f>
        <v/>
      </c>
      <c r="F1647" s="32">
        <f>IFERROR(IF(ISNUMBER($A1647),IF(AND(AH!$U$12=1,1642+1=AH!$U$6),IF(AH!$U$4=0,"unavailable",INDEX('Market Data'!$AO$5:$AO$66,AH!$U$4)),IF(AH!$U$5=1,INDEX('Live History'!$E$5:$E$3004,MATCH($A1647,'Live History'!$D$5:$D$3004,1)),INDEX('AH History'!$D$5:$GG$1380,$K1647,AH!$U$10+1))),NA()),NA())</f>
        <v/>
      </c>
      <c r="G1647" s="34">
        <f>IFERROR(IF(ISNUMBER($A1647),IF(AND(AH!$U$12=1,1642+1=AH!$U$6),IF(AH!$U$4=0,"unavailable",INDEX('Market Data'!$AK$5:$AK$66,AH!$U$4)),IF(AH!$U$5=1,INDEX('Live History'!$D$5:$D$3004,MATCH($A1647,'Live History'!$D$5:$D$3004,1)),INDEX('AH History'!$D$5:$GG$1380,$K1647,AH!$U$10+2))),NA()),NA())</f>
        <v/>
      </c>
      <c r="H1647" s="266">
        <f>IFERROR(IF(ISNUMBER($A1647),IF(AND(AH!$U$12=1,1642+1=AH!$U$6),IF(AH!$U$4=0,"unavailable",INDEX('Market Data'!$AP$5:$AP$66,AH!$U$4)),IF(AH!$U$5=1,INDEX('Live History'!$H$5:$H$3004,MATCH($A1647,'Live History'!$G$5:$G$3004,1)),INDEX('AH History'!$B$5:$B$1380,$K1647))),NA()),NA())</f>
        <v/>
      </c>
      <c r="I1647" s="34">
        <f>IFERROR(IF(ISNUMBER($A1647),IF(AND(AH!$U$12=1,1642+1=AH!$U$6),TODAY(),IF(AH!$U$5=1,INDEX('Live History'!$G$5:$G$3004,MATCH($A1647,'Live History'!$G$5:$G$3004,1)),INDEX('AH History'!$C$5:$C$1380,$K1647))),NA()),NA())</f>
        <v/>
      </c>
      <c r="J1647" s="32">
        <f>IFERROR(IF(AND($F1647&gt;0,$H1647&gt;0,$A1647-$G1647&lt;=10,$A1647-$I1647&lt;=5,$G1647&gt;0,$I1647&gt;0),$F1647*$H1647,NA()),NA())</f>
        <v/>
      </c>
      <c r="K1647" s="15">
        <f>IF($A1647="","",IF(AH!$U$5=1,IFERROR(MATCH($A1647,'Live History'!$A$5:$A$3004,0),0),AH!$U$7+1642))</f>
        <v/>
      </c>
      <c r="L1647" s="15">
        <f>IF(ISNUMBER(A1647),TEXT(A1647,"dd-mmm-yy"),"")</f>
        <v/>
      </c>
    </row>
    <row r="1648">
      <c r="A1648" s="14">
        <f>IF(OR(AH!$U$4=0,1643+1&gt;AH!$U$6,AND(AH!$M$5="Bloomberg",AH!$U$5=0)),"",IFERROR(IF(AND(AH!$U$12=1,1643+1=AH!$U$6),TODAY(),IF(AH!$U$5=1,INDEX('Live History'!$A$5:$A$3004,AH!$U$7+1643),INDEX('AH History'!$A$5:$A$1380,AH!$U$7+1643))),""))</f>
        <v/>
      </c>
      <c r="B1648" s="33">
        <f>IFERROR(IF(AH!$U$11=1,NA(),$J1648/$E1648-1),NA())</f>
        <v/>
      </c>
      <c r="C1648" s="269">
        <f>IFERROR(100*$E1648/$E$5,NA())</f>
        <v/>
      </c>
      <c r="D1648" s="269">
        <f>IFERROR(100*$J1648/$J$5,NA())</f>
        <v/>
      </c>
      <c r="E1648" s="32">
        <f>IFERROR(IF(AND(ISNUMBER($A1648),N(IF(AND(AH!$U$12=1,1643+1=AH!$U$6),IF(AH!$U$4=0,"unavailable",INDEX('Market Data'!$AN$5:$AN$66,AH!$U$4)),IF(AH!$U$5=1,INDEX('Live History'!$B$5:$B$3004,$K1648),INDEX('AH History'!$D$5:$GG$1380,$K1648,AH!$U$10))))&gt;0),IF(AND(AH!$U$12=1,1643+1=AH!$U$6),IF(AH!$U$4=0,"unavailable",INDEX('Market Data'!$AN$5:$AN$66,AH!$U$4)),IF(AH!$U$5=1,INDEX('Live History'!$B$5:$B$3004,$K1648),INDEX('AH History'!$D$5:$GG$1380,$K1648,AH!$U$10))),NA()),NA())</f>
        <v/>
      </c>
      <c r="F1648" s="32">
        <f>IFERROR(IF(ISNUMBER($A1648),IF(AND(AH!$U$12=1,1643+1=AH!$U$6),IF(AH!$U$4=0,"unavailable",INDEX('Market Data'!$AO$5:$AO$66,AH!$U$4)),IF(AH!$U$5=1,INDEX('Live History'!$E$5:$E$3004,MATCH($A1648,'Live History'!$D$5:$D$3004,1)),INDEX('AH History'!$D$5:$GG$1380,$K1648,AH!$U$10+1))),NA()),NA())</f>
        <v/>
      </c>
      <c r="G1648" s="34">
        <f>IFERROR(IF(ISNUMBER($A1648),IF(AND(AH!$U$12=1,1643+1=AH!$U$6),IF(AH!$U$4=0,"unavailable",INDEX('Market Data'!$AK$5:$AK$66,AH!$U$4)),IF(AH!$U$5=1,INDEX('Live History'!$D$5:$D$3004,MATCH($A1648,'Live History'!$D$5:$D$3004,1)),INDEX('AH History'!$D$5:$GG$1380,$K1648,AH!$U$10+2))),NA()),NA())</f>
        <v/>
      </c>
      <c r="H1648" s="266">
        <f>IFERROR(IF(ISNUMBER($A1648),IF(AND(AH!$U$12=1,1643+1=AH!$U$6),IF(AH!$U$4=0,"unavailable",INDEX('Market Data'!$AP$5:$AP$66,AH!$U$4)),IF(AH!$U$5=1,INDEX('Live History'!$H$5:$H$3004,MATCH($A1648,'Live History'!$G$5:$G$3004,1)),INDEX('AH History'!$B$5:$B$1380,$K1648))),NA()),NA())</f>
        <v/>
      </c>
      <c r="I1648" s="34">
        <f>IFERROR(IF(ISNUMBER($A1648),IF(AND(AH!$U$12=1,1643+1=AH!$U$6),TODAY(),IF(AH!$U$5=1,INDEX('Live History'!$G$5:$G$3004,MATCH($A1648,'Live History'!$G$5:$G$3004,1)),INDEX('AH History'!$C$5:$C$1380,$K1648))),NA()),NA())</f>
        <v/>
      </c>
      <c r="J1648" s="32">
        <f>IFERROR(IF(AND($F1648&gt;0,$H1648&gt;0,$A1648-$G1648&lt;=10,$A1648-$I1648&lt;=5,$G1648&gt;0,$I1648&gt;0),$F1648*$H1648,NA()),NA())</f>
        <v/>
      </c>
      <c r="K1648" s="15">
        <f>IF($A1648="","",IF(AH!$U$5=1,IFERROR(MATCH($A1648,'Live History'!$A$5:$A$3004,0),0),AH!$U$7+1643))</f>
        <v/>
      </c>
      <c r="L1648" s="15">
        <f>IF(ISNUMBER(A1648),TEXT(A1648,"dd-mmm-yy"),"")</f>
        <v/>
      </c>
    </row>
    <row r="1649">
      <c r="A1649" s="14">
        <f>IF(OR(AH!$U$4=0,1644+1&gt;AH!$U$6,AND(AH!$M$5="Bloomberg",AH!$U$5=0)),"",IFERROR(IF(AND(AH!$U$12=1,1644+1=AH!$U$6),TODAY(),IF(AH!$U$5=1,INDEX('Live History'!$A$5:$A$3004,AH!$U$7+1644),INDEX('AH History'!$A$5:$A$1380,AH!$U$7+1644))),""))</f>
        <v/>
      </c>
      <c r="B1649" s="33">
        <f>IFERROR(IF(AH!$U$11=1,NA(),$J1649/$E1649-1),NA())</f>
        <v/>
      </c>
      <c r="C1649" s="269">
        <f>IFERROR(100*$E1649/$E$5,NA())</f>
        <v/>
      </c>
      <c r="D1649" s="269">
        <f>IFERROR(100*$J1649/$J$5,NA())</f>
        <v/>
      </c>
      <c r="E1649" s="32">
        <f>IFERROR(IF(AND(ISNUMBER($A1649),N(IF(AND(AH!$U$12=1,1644+1=AH!$U$6),IF(AH!$U$4=0,"unavailable",INDEX('Market Data'!$AN$5:$AN$66,AH!$U$4)),IF(AH!$U$5=1,INDEX('Live History'!$B$5:$B$3004,$K1649),INDEX('AH History'!$D$5:$GG$1380,$K1649,AH!$U$10))))&gt;0),IF(AND(AH!$U$12=1,1644+1=AH!$U$6),IF(AH!$U$4=0,"unavailable",INDEX('Market Data'!$AN$5:$AN$66,AH!$U$4)),IF(AH!$U$5=1,INDEX('Live History'!$B$5:$B$3004,$K1649),INDEX('AH History'!$D$5:$GG$1380,$K1649,AH!$U$10))),NA()),NA())</f>
        <v/>
      </c>
      <c r="F1649" s="32">
        <f>IFERROR(IF(ISNUMBER($A1649),IF(AND(AH!$U$12=1,1644+1=AH!$U$6),IF(AH!$U$4=0,"unavailable",INDEX('Market Data'!$AO$5:$AO$66,AH!$U$4)),IF(AH!$U$5=1,INDEX('Live History'!$E$5:$E$3004,MATCH($A1649,'Live History'!$D$5:$D$3004,1)),INDEX('AH History'!$D$5:$GG$1380,$K1649,AH!$U$10+1))),NA()),NA())</f>
        <v/>
      </c>
      <c r="G1649" s="34">
        <f>IFERROR(IF(ISNUMBER($A1649),IF(AND(AH!$U$12=1,1644+1=AH!$U$6),IF(AH!$U$4=0,"unavailable",INDEX('Market Data'!$AK$5:$AK$66,AH!$U$4)),IF(AH!$U$5=1,INDEX('Live History'!$D$5:$D$3004,MATCH($A1649,'Live History'!$D$5:$D$3004,1)),INDEX('AH History'!$D$5:$GG$1380,$K1649,AH!$U$10+2))),NA()),NA())</f>
        <v/>
      </c>
      <c r="H1649" s="266">
        <f>IFERROR(IF(ISNUMBER($A1649),IF(AND(AH!$U$12=1,1644+1=AH!$U$6),IF(AH!$U$4=0,"unavailable",INDEX('Market Data'!$AP$5:$AP$66,AH!$U$4)),IF(AH!$U$5=1,INDEX('Live History'!$H$5:$H$3004,MATCH($A1649,'Live History'!$G$5:$G$3004,1)),INDEX('AH History'!$B$5:$B$1380,$K1649))),NA()),NA())</f>
        <v/>
      </c>
      <c r="I1649" s="34">
        <f>IFERROR(IF(ISNUMBER($A1649),IF(AND(AH!$U$12=1,1644+1=AH!$U$6),TODAY(),IF(AH!$U$5=1,INDEX('Live History'!$G$5:$G$3004,MATCH($A1649,'Live History'!$G$5:$G$3004,1)),INDEX('AH History'!$C$5:$C$1380,$K1649))),NA()),NA())</f>
        <v/>
      </c>
      <c r="J1649" s="32">
        <f>IFERROR(IF(AND($F1649&gt;0,$H1649&gt;0,$A1649-$G1649&lt;=10,$A1649-$I1649&lt;=5,$G1649&gt;0,$I1649&gt;0),$F1649*$H1649,NA()),NA())</f>
        <v/>
      </c>
      <c r="K1649" s="15">
        <f>IF($A1649="","",IF(AH!$U$5=1,IFERROR(MATCH($A1649,'Live History'!$A$5:$A$3004,0),0),AH!$U$7+1644))</f>
        <v/>
      </c>
      <c r="L1649" s="15">
        <f>IF(ISNUMBER(A1649),TEXT(A1649,"dd-mmm-yy"),"")</f>
        <v/>
      </c>
    </row>
    <row r="1650">
      <c r="A1650" s="14">
        <f>IF(OR(AH!$U$4=0,1645+1&gt;AH!$U$6,AND(AH!$M$5="Bloomberg",AH!$U$5=0)),"",IFERROR(IF(AND(AH!$U$12=1,1645+1=AH!$U$6),TODAY(),IF(AH!$U$5=1,INDEX('Live History'!$A$5:$A$3004,AH!$U$7+1645),INDEX('AH History'!$A$5:$A$1380,AH!$U$7+1645))),""))</f>
        <v/>
      </c>
      <c r="B1650" s="33">
        <f>IFERROR(IF(AH!$U$11=1,NA(),$J1650/$E1650-1),NA())</f>
        <v/>
      </c>
      <c r="C1650" s="269">
        <f>IFERROR(100*$E1650/$E$5,NA())</f>
        <v/>
      </c>
      <c r="D1650" s="269">
        <f>IFERROR(100*$J1650/$J$5,NA())</f>
        <v/>
      </c>
      <c r="E1650" s="32">
        <f>IFERROR(IF(AND(ISNUMBER($A1650),N(IF(AND(AH!$U$12=1,1645+1=AH!$U$6),IF(AH!$U$4=0,"unavailable",INDEX('Market Data'!$AN$5:$AN$66,AH!$U$4)),IF(AH!$U$5=1,INDEX('Live History'!$B$5:$B$3004,$K1650),INDEX('AH History'!$D$5:$GG$1380,$K1650,AH!$U$10))))&gt;0),IF(AND(AH!$U$12=1,1645+1=AH!$U$6),IF(AH!$U$4=0,"unavailable",INDEX('Market Data'!$AN$5:$AN$66,AH!$U$4)),IF(AH!$U$5=1,INDEX('Live History'!$B$5:$B$3004,$K1650),INDEX('AH History'!$D$5:$GG$1380,$K1650,AH!$U$10))),NA()),NA())</f>
        <v/>
      </c>
      <c r="F1650" s="32">
        <f>IFERROR(IF(ISNUMBER($A1650),IF(AND(AH!$U$12=1,1645+1=AH!$U$6),IF(AH!$U$4=0,"unavailable",INDEX('Market Data'!$AO$5:$AO$66,AH!$U$4)),IF(AH!$U$5=1,INDEX('Live History'!$E$5:$E$3004,MATCH($A1650,'Live History'!$D$5:$D$3004,1)),INDEX('AH History'!$D$5:$GG$1380,$K1650,AH!$U$10+1))),NA()),NA())</f>
        <v/>
      </c>
      <c r="G1650" s="34">
        <f>IFERROR(IF(ISNUMBER($A1650),IF(AND(AH!$U$12=1,1645+1=AH!$U$6),IF(AH!$U$4=0,"unavailable",INDEX('Market Data'!$AK$5:$AK$66,AH!$U$4)),IF(AH!$U$5=1,INDEX('Live History'!$D$5:$D$3004,MATCH($A1650,'Live History'!$D$5:$D$3004,1)),INDEX('AH History'!$D$5:$GG$1380,$K1650,AH!$U$10+2))),NA()),NA())</f>
        <v/>
      </c>
      <c r="H1650" s="266">
        <f>IFERROR(IF(ISNUMBER($A1650),IF(AND(AH!$U$12=1,1645+1=AH!$U$6),IF(AH!$U$4=0,"unavailable",INDEX('Market Data'!$AP$5:$AP$66,AH!$U$4)),IF(AH!$U$5=1,INDEX('Live History'!$H$5:$H$3004,MATCH($A1650,'Live History'!$G$5:$G$3004,1)),INDEX('AH History'!$B$5:$B$1380,$K1650))),NA()),NA())</f>
        <v/>
      </c>
      <c r="I1650" s="34">
        <f>IFERROR(IF(ISNUMBER($A1650),IF(AND(AH!$U$12=1,1645+1=AH!$U$6),TODAY(),IF(AH!$U$5=1,INDEX('Live History'!$G$5:$G$3004,MATCH($A1650,'Live History'!$G$5:$G$3004,1)),INDEX('AH History'!$C$5:$C$1380,$K1650))),NA()),NA())</f>
        <v/>
      </c>
      <c r="J1650" s="32">
        <f>IFERROR(IF(AND($F1650&gt;0,$H1650&gt;0,$A1650-$G1650&lt;=10,$A1650-$I1650&lt;=5,$G1650&gt;0,$I1650&gt;0),$F1650*$H1650,NA()),NA())</f>
        <v/>
      </c>
      <c r="K1650" s="15">
        <f>IF($A1650="","",IF(AH!$U$5=1,IFERROR(MATCH($A1650,'Live History'!$A$5:$A$3004,0),0),AH!$U$7+1645))</f>
        <v/>
      </c>
      <c r="L1650" s="15">
        <f>IF(ISNUMBER(A1650),TEXT(A1650,"dd-mmm-yy"),"")</f>
        <v/>
      </c>
    </row>
    <row r="1651">
      <c r="A1651" s="14">
        <f>IF(OR(AH!$U$4=0,1646+1&gt;AH!$U$6,AND(AH!$M$5="Bloomberg",AH!$U$5=0)),"",IFERROR(IF(AND(AH!$U$12=1,1646+1=AH!$U$6),TODAY(),IF(AH!$U$5=1,INDEX('Live History'!$A$5:$A$3004,AH!$U$7+1646),INDEX('AH History'!$A$5:$A$1380,AH!$U$7+1646))),""))</f>
        <v/>
      </c>
      <c r="B1651" s="33">
        <f>IFERROR(IF(AH!$U$11=1,NA(),$J1651/$E1651-1),NA())</f>
        <v/>
      </c>
      <c r="C1651" s="269">
        <f>IFERROR(100*$E1651/$E$5,NA())</f>
        <v/>
      </c>
      <c r="D1651" s="269">
        <f>IFERROR(100*$J1651/$J$5,NA())</f>
        <v/>
      </c>
      <c r="E1651" s="32">
        <f>IFERROR(IF(AND(ISNUMBER($A1651),N(IF(AND(AH!$U$12=1,1646+1=AH!$U$6),IF(AH!$U$4=0,"unavailable",INDEX('Market Data'!$AN$5:$AN$66,AH!$U$4)),IF(AH!$U$5=1,INDEX('Live History'!$B$5:$B$3004,$K1651),INDEX('AH History'!$D$5:$GG$1380,$K1651,AH!$U$10))))&gt;0),IF(AND(AH!$U$12=1,1646+1=AH!$U$6),IF(AH!$U$4=0,"unavailable",INDEX('Market Data'!$AN$5:$AN$66,AH!$U$4)),IF(AH!$U$5=1,INDEX('Live History'!$B$5:$B$3004,$K1651),INDEX('AH History'!$D$5:$GG$1380,$K1651,AH!$U$10))),NA()),NA())</f>
        <v/>
      </c>
      <c r="F1651" s="32">
        <f>IFERROR(IF(ISNUMBER($A1651),IF(AND(AH!$U$12=1,1646+1=AH!$U$6),IF(AH!$U$4=0,"unavailable",INDEX('Market Data'!$AO$5:$AO$66,AH!$U$4)),IF(AH!$U$5=1,INDEX('Live History'!$E$5:$E$3004,MATCH($A1651,'Live History'!$D$5:$D$3004,1)),INDEX('AH History'!$D$5:$GG$1380,$K1651,AH!$U$10+1))),NA()),NA())</f>
        <v/>
      </c>
      <c r="G1651" s="34">
        <f>IFERROR(IF(ISNUMBER($A1651),IF(AND(AH!$U$12=1,1646+1=AH!$U$6),IF(AH!$U$4=0,"unavailable",INDEX('Market Data'!$AK$5:$AK$66,AH!$U$4)),IF(AH!$U$5=1,INDEX('Live History'!$D$5:$D$3004,MATCH($A1651,'Live History'!$D$5:$D$3004,1)),INDEX('AH History'!$D$5:$GG$1380,$K1651,AH!$U$10+2))),NA()),NA())</f>
        <v/>
      </c>
      <c r="H1651" s="266">
        <f>IFERROR(IF(ISNUMBER($A1651),IF(AND(AH!$U$12=1,1646+1=AH!$U$6),IF(AH!$U$4=0,"unavailable",INDEX('Market Data'!$AP$5:$AP$66,AH!$U$4)),IF(AH!$U$5=1,INDEX('Live History'!$H$5:$H$3004,MATCH($A1651,'Live History'!$G$5:$G$3004,1)),INDEX('AH History'!$B$5:$B$1380,$K1651))),NA()),NA())</f>
        <v/>
      </c>
      <c r="I1651" s="34">
        <f>IFERROR(IF(ISNUMBER($A1651),IF(AND(AH!$U$12=1,1646+1=AH!$U$6),TODAY(),IF(AH!$U$5=1,INDEX('Live History'!$G$5:$G$3004,MATCH($A1651,'Live History'!$G$5:$G$3004,1)),INDEX('AH History'!$C$5:$C$1380,$K1651))),NA()),NA())</f>
        <v/>
      </c>
      <c r="J1651" s="32">
        <f>IFERROR(IF(AND($F1651&gt;0,$H1651&gt;0,$A1651-$G1651&lt;=10,$A1651-$I1651&lt;=5,$G1651&gt;0,$I1651&gt;0),$F1651*$H1651,NA()),NA())</f>
        <v/>
      </c>
      <c r="K1651" s="15">
        <f>IF($A1651="","",IF(AH!$U$5=1,IFERROR(MATCH($A1651,'Live History'!$A$5:$A$3004,0),0),AH!$U$7+1646))</f>
        <v/>
      </c>
      <c r="L1651" s="15">
        <f>IF(ISNUMBER(A1651),TEXT(A1651,"dd-mmm-yy"),"")</f>
        <v/>
      </c>
    </row>
    <row r="1652">
      <c r="A1652" s="14">
        <f>IF(OR(AH!$U$4=0,1647+1&gt;AH!$U$6,AND(AH!$M$5="Bloomberg",AH!$U$5=0)),"",IFERROR(IF(AND(AH!$U$12=1,1647+1=AH!$U$6),TODAY(),IF(AH!$U$5=1,INDEX('Live History'!$A$5:$A$3004,AH!$U$7+1647),INDEX('AH History'!$A$5:$A$1380,AH!$U$7+1647))),""))</f>
        <v/>
      </c>
      <c r="B1652" s="33">
        <f>IFERROR(IF(AH!$U$11=1,NA(),$J1652/$E1652-1),NA())</f>
        <v/>
      </c>
      <c r="C1652" s="269">
        <f>IFERROR(100*$E1652/$E$5,NA())</f>
        <v/>
      </c>
      <c r="D1652" s="269">
        <f>IFERROR(100*$J1652/$J$5,NA())</f>
        <v/>
      </c>
      <c r="E1652" s="32">
        <f>IFERROR(IF(AND(ISNUMBER($A1652),N(IF(AND(AH!$U$12=1,1647+1=AH!$U$6),IF(AH!$U$4=0,"unavailable",INDEX('Market Data'!$AN$5:$AN$66,AH!$U$4)),IF(AH!$U$5=1,INDEX('Live History'!$B$5:$B$3004,$K1652),INDEX('AH History'!$D$5:$GG$1380,$K1652,AH!$U$10))))&gt;0),IF(AND(AH!$U$12=1,1647+1=AH!$U$6),IF(AH!$U$4=0,"unavailable",INDEX('Market Data'!$AN$5:$AN$66,AH!$U$4)),IF(AH!$U$5=1,INDEX('Live History'!$B$5:$B$3004,$K1652),INDEX('AH History'!$D$5:$GG$1380,$K1652,AH!$U$10))),NA()),NA())</f>
        <v/>
      </c>
      <c r="F1652" s="32">
        <f>IFERROR(IF(ISNUMBER($A1652),IF(AND(AH!$U$12=1,1647+1=AH!$U$6),IF(AH!$U$4=0,"unavailable",INDEX('Market Data'!$AO$5:$AO$66,AH!$U$4)),IF(AH!$U$5=1,INDEX('Live History'!$E$5:$E$3004,MATCH($A1652,'Live History'!$D$5:$D$3004,1)),INDEX('AH History'!$D$5:$GG$1380,$K1652,AH!$U$10+1))),NA()),NA())</f>
        <v/>
      </c>
      <c r="G1652" s="34">
        <f>IFERROR(IF(ISNUMBER($A1652),IF(AND(AH!$U$12=1,1647+1=AH!$U$6),IF(AH!$U$4=0,"unavailable",INDEX('Market Data'!$AK$5:$AK$66,AH!$U$4)),IF(AH!$U$5=1,INDEX('Live History'!$D$5:$D$3004,MATCH($A1652,'Live History'!$D$5:$D$3004,1)),INDEX('AH History'!$D$5:$GG$1380,$K1652,AH!$U$10+2))),NA()),NA())</f>
        <v/>
      </c>
      <c r="H1652" s="266">
        <f>IFERROR(IF(ISNUMBER($A1652),IF(AND(AH!$U$12=1,1647+1=AH!$U$6),IF(AH!$U$4=0,"unavailable",INDEX('Market Data'!$AP$5:$AP$66,AH!$U$4)),IF(AH!$U$5=1,INDEX('Live History'!$H$5:$H$3004,MATCH($A1652,'Live History'!$G$5:$G$3004,1)),INDEX('AH History'!$B$5:$B$1380,$K1652))),NA()),NA())</f>
        <v/>
      </c>
      <c r="I1652" s="34">
        <f>IFERROR(IF(ISNUMBER($A1652),IF(AND(AH!$U$12=1,1647+1=AH!$U$6),TODAY(),IF(AH!$U$5=1,INDEX('Live History'!$G$5:$G$3004,MATCH($A1652,'Live History'!$G$5:$G$3004,1)),INDEX('AH History'!$C$5:$C$1380,$K1652))),NA()),NA())</f>
        <v/>
      </c>
      <c r="J1652" s="32">
        <f>IFERROR(IF(AND($F1652&gt;0,$H1652&gt;0,$A1652-$G1652&lt;=10,$A1652-$I1652&lt;=5,$G1652&gt;0,$I1652&gt;0),$F1652*$H1652,NA()),NA())</f>
        <v/>
      </c>
      <c r="K1652" s="15">
        <f>IF($A1652="","",IF(AH!$U$5=1,IFERROR(MATCH($A1652,'Live History'!$A$5:$A$3004,0),0),AH!$U$7+1647))</f>
        <v/>
      </c>
      <c r="L1652" s="15">
        <f>IF(ISNUMBER(A1652),TEXT(A1652,"dd-mmm-yy"),"")</f>
        <v/>
      </c>
    </row>
    <row r="1653">
      <c r="A1653" s="14">
        <f>IF(OR(AH!$U$4=0,1648+1&gt;AH!$U$6,AND(AH!$M$5="Bloomberg",AH!$U$5=0)),"",IFERROR(IF(AND(AH!$U$12=1,1648+1=AH!$U$6),TODAY(),IF(AH!$U$5=1,INDEX('Live History'!$A$5:$A$3004,AH!$U$7+1648),INDEX('AH History'!$A$5:$A$1380,AH!$U$7+1648))),""))</f>
        <v/>
      </c>
      <c r="B1653" s="33">
        <f>IFERROR(IF(AH!$U$11=1,NA(),$J1653/$E1653-1),NA())</f>
        <v/>
      </c>
      <c r="C1653" s="269">
        <f>IFERROR(100*$E1653/$E$5,NA())</f>
        <v/>
      </c>
      <c r="D1653" s="269">
        <f>IFERROR(100*$J1653/$J$5,NA())</f>
        <v/>
      </c>
      <c r="E1653" s="32">
        <f>IFERROR(IF(AND(ISNUMBER($A1653),N(IF(AND(AH!$U$12=1,1648+1=AH!$U$6),IF(AH!$U$4=0,"unavailable",INDEX('Market Data'!$AN$5:$AN$66,AH!$U$4)),IF(AH!$U$5=1,INDEX('Live History'!$B$5:$B$3004,$K1653),INDEX('AH History'!$D$5:$GG$1380,$K1653,AH!$U$10))))&gt;0),IF(AND(AH!$U$12=1,1648+1=AH!$U$6),IF(AH!$U$4=0,"unavailable",INDEX('Market Data'!$AN$5:$AN$66,AH!$U$4)),IF(AH!$U$5=1,INDEX('Live History'!$B$5:$B$3004,$K1653),INDEX('AH History'!$D$5:$GG$1380,$K1653,AH!$U$10))),NA()),NA())</f>
        <v/>
      </c>
      <c r="F1653" s="32">
        <f>IFERROR(IF(ISNUMBER($A1653),IF(AND(AH!$U$12=1,1648+1=AH!$U$6),IF(AH!$U$4=0,"unavailable",INDEX('Market Data'!$AO$5:$AO$66,AH!$U$4)),IF(AH!$U$5=1,INDEX('Live History'!$E$5:$E$3004,MATCH($A1653,'Live History'!$D$5:$D$3004,1)),INDEX('AH History'!$D$5:$GG$1380,$K1653,AH!$U$10+1))),NA()),NA())</f>
        <v/>
      </c>
      <c r="G1653" s="34">
        <f>IFERROR(IF(ISNUMBER($A1653),IF(AND(AH!$U$12=1,1648+1=AH!$U$6),IF(AH!$U$4=0,"unavailable",INDEX('Market Data'!$AK$5:$AK$66,AH!$U$4)),IF(AH!$U$5=1,INDEX('Live History'!$D$5:$D$3004,MATCH($A1653,'Live History'!$D$5:$D$3004,1)),INDEX('AH History'!$D$5:$GG$1380,$K1653,AH!$U$10+2))),NA()),NA())</f>
        <v/>
      </c>
      <c r="H1653" s="266">
        <f>IFERROR(IF(ISNUMBER($A1653),IF(AND(AH!$U$12=1,1648+1=AH!$U$6),IF(AH!$U$4=0,"unavailable",INDEX('Market Data'!$AP$5:$AP$66,AH!$U$4)),IF(AH!$U$5=1,INDEX('Live History'!$H$5:$H$3004,MATCH($A1653,'Live History'!$G$5:$G$3004,1)),INDEX('AH History'!$B$5:$B$1380,$K1653))),NA()),NA())</f>
        <v/>
      </c>
      <c r="I1653" s="34">
        <f>IFERROR(IF(ISNUMBER($A1653),IF(AND(AH!$U$12=1,1648+1=AH!$U$6),TODAY(),IF(AH!$U$5=1,INDEX('Live History'!$G$5:$G$3004,MATCH($A1653,'Live History'!$G$5:$G$3004,1)),INDEX('AH History'!$C$5:$C$1380,$K1653))),NA()),NA())</f>
        <v/>
      </c>
      <c r="J1653" s="32">
        <f>IFERROR(IF(AND($F1653&gt;0,$H1653&gt;0,$A1653-$G1653&lt;=10,$A1653-$I1653&lt;=5,$G1653&gt;0,$I1653&gt;0),$F1653*$H1653,NA()),NA())</f>
        <v/>
      </c>
      <c r="K1653" s="15">
        <f>IF($A1653="","",IF(AH!$U$5=1,IFERROR(MATCH($A1653,'Live History'!$A$5:$A$3004,0),0),AH!$U$7+1648))</f>
        <v/>
      </c>
      <c r="L1653" s="15">
        <f>IF(ISNUMBER(A1653),TEXT(A1653,"dd-mmm-yy"),"")</f>
        <v/>
      </c>
    </row>
    <row r="1654">
      <c r="A1654" s="14">
        <f>IF(OR(AH!$U$4=0,1649+1&gt;AH!$U$6,AND(AH!$M$5="Bloomberg",AH!$U$5=0)),"",IFERROR(IF(AND(AH!$U$12=1,1649+1=AH!$U$6),TODAY(),IF(AH!$U$5=1,INDEX('Live History'!$A$5:$A$3004,AH!$U$7+1649),INDEX('AH History'!$A$5:$A$1380,AH!$U$7+1649))),""))</f>
        <v/>
      </c>
      <c r="B1654" s="33">
        <f>IFERROR(IF(AH!$U$11=1,NA(),$J1654/$E1654-1),NA())</f>
        <v/>
      </c>
      <c r="C1654" s="269">
        <f>IFERROR(100*$E1654/$E$5,NA())</f>
        <v/>
      </c>
      <c r="D1654" s="269">
        <f>IFERROR(100*$J1654/$J$5,NA())</f>
        <v/>
      </c>
      <c r="E1654" s="32">
        <f>IFERROR(IF(AND(ISNUMBER($A1654),N(IF(AND(AH!$U$12=1,1649+1=AH!$U$6),IF(AH!$U$4=0,"unavailable",INDEX('Market Data'!$AN$5:$AN$66,AH!$U$4)),IF(AH!$U$5=1,INDEX('Live History'!$B$5:$B$3004,$K1654),INDEX('AH History'!$D$5:$GG$1380,$K1654,AH!$U$10))))&gt;0),IF(AND(AH!$U$12=1,1649+1=AH!$U$6),IF(AH!$U$4=0,"unavailable",INDEX('Market Data'!$AN$5:$AN$66,AH!$U$4)),IF(AH!$U$5=1,INDEX('Live History'!$B$5:$B$3004,$K1654),INDEX('AH History'!$D$5:$GG$1380,$K1654,AH!$U$10))),NA()),NA())</f>
        <v/>
      </c>
      <c r="F1654" s="32">
        <f>IFERROR(IF(ISNUMBER($A1654),IF(AND(AH!$U$12=1,1649+1=AH!$U$6),IF(AH!$U$4=0,"unavailable",INDEX('Market Data'!$AO$5:$AO$66,AH!$U$4)),IF(AH!$U$5=1,INDEX('Live History'!$E$5:$E$3004,MATCH($A1654,'Live History'!$D$5:$D$3004,1)),INDEX('AH History'!$D$5:$GG$1380,$K1654,AH!$U$10+1))),NA()),NA())</f>
        <v/>
      </c>
      <c r="G1654" s="34">
        <f>IFERROR(IF(ISNUMBER($A1654),IF(AND(AH!$U$12=1,1649+1=AH!$U$6),IF(AH!$U$4=0,"unavailable",INDEX('Market Data'!$AK$5:$AK$66,AH!$U$4)),IF(AH!$U$5=1,INDEX('Live History'!$D$5:$D$3004,MATCH($A1654,'Live History'!$D$5:$D$3004,1)),INDEX('AH History'!$D$5:$GG$1380,$K1654,AH!$U$10+2))),NA()),NA())</f>
        <v/>
      </c>
      <c r="H1654" s="266">
        <f>IFERROR(IF(ISNUMBER($A1654),IF(AND(AH!$U$12=1,1649+1=AH!$U$6),IF(AH!$U$4=0,"unavailable",INDEX('Market Data'!$AP$5:$AP$66,AH!$U$4)),IF(AH!$U$5=1,INDEX('Live History'!$H$5:$H$3004,MATCH($A1654,'Live History'!$G$5:$G$3004,1)),INDEX('AH History'!$B$5:$B$1380,$K1654))),NA()),NA())</f>
        <v/>
      </c>
      <c r="I1654" s="34">
        <f>IFERROR(IF(ISNUMBER($A1654),IF(AND(AH!$U$12=1,1649+1=AH!$U$6),TODAY(),IF(AH!$U$5=1,INDEX('Live History'!$G$5:$G$3004,MATCH($A1654,'Live History'!$G$5:$G$3004,1)),INDEX('AH History'!$C$5:$C$1380,$K1654))),NA()),NA())</f>
        <v/>
      </c>
      <c r="J1654" s="32">
        <f>IFERROR(IF(AND($F1654&gt;0,$H1654&gt;0,$A1654-$G1654&lt;=10,$A1654-$I1654&lt;=5,$G1654&gt;0,$I1654&gt;0),$F1654*$H1654,NA()),NA())</f>
        <v/>
      </c>
      <c r="K1654" s="15">
        <f>IF($A1654="","",IF(AH!$U$5=1,IFERROR(MATCH($A1654,'Live History'!$A$5:$A$3004,0),0),AH!$U$7+1649))</f>
        <v/>
      </c>
      <c r="L1654" s="15">
        <f>IF(ISNUMBER(A1654),TEXT(A1654,"dd-mmm-yy"),"")</f>
        <v/>
      </c>
    </row>
    <row r="1655">
      <c r="A1655" s="14">
        <f>IF(OR(AH!$U$4=0,1650+1&gt;AH!$U$6,AND(AH!$M$5="Bloomberg",AH!$U$5=0)),"",IFERROR(IF(AND(AH!$U$12=1,1650+1=AH!$U$6),TODAY(),IF(AH!$U$5=1,INDEX('Live History'!$A$5:$A$3004,AH!$U$7+1650),INDEX('AH History'!$A$5:$A$1380,AH!$U$7+1650))),""))</f>
        <v/>
      </c>
      <c r="B1655" s="33">
        <f>IFERROR(IF(AH!$U$11=1,NA(),$J1655/$E1655-1),NA())</f>
        <v/>
      </c>
      <c r="C1655" s="269">
        <f>IFERROR(100*$E1655/$E$5,NA())</f>
        <v/>
      </c>
      <c r="D1655" s="269">
        <f>IFERROR(100*$J1655/$J$5,NA())</f>
        <v/>
      </c>
      <c r="E1655" s="32">
        <f>IFERROR(IF(AND(ISNUMBER($A1655),N(IF(AND(AH!$U$12=1,1650+1=AH!$U$6),IF(AH!$U$4=0,"unavailable",INDEX('Market Data'!$AN$5:$AN$66,AH!$U$4)),IF(AH!$U$5=1,INDEX('Live History'!$B$5:$B$3004,$K1655),INDEX('AH History'!$D$5:$GG$1380,$K1655,AH!$U$10))))&gt;0),IF(AND(AH!$U$12=1,1650+1=AH!$U$6),IF(AH!$U$4=0,"unavailable",INDEX('Market Data'!$AN$5:$AN$66,AH!$U$4)),IF(AH!$U$5=1,INDEX('Live History'!$B$5:$B$3004,$K1655),INDEX('AH History'!$D$5:$GG$1380,$K1655,AH!$U$10))),NA()),NA())</f>
        <v/>
      </c>
      <c r="F1655" s="32">
        <f>IFERROR(IF(ISNUMBER($A1655),IF(AND(AH!$U$12=1,1650+1=AH!$U$6),IF(AH!$U$4=0,"unavailable",INDEX('Market Data'!$AO$5:$AO$66,AH!$U$4)),IF(AH!$U$5=1,INDEX('Live History'!$E$5:$E$3004,MATCH($A1655,'Live History'!$D$5:$D$3004,1)),INDEX('AH History'!$D$5:$GG$1380,$K1655,AH!$U$10+1))),NA()),NA())</f>
        <v/>
      </c>
      <c r="G1655" s="34">
        <f>IFERROR(IF(ISNUMBER($A1655),IF(AND(AH!$U$12=1,1650+1=AH!$U$6),IF(AH!$U$4=0,"unavailable",INDEX('Market Data'!$AK$5:$AK$66,AH!$U$4)),IF(AH!$U$5=1,INDEX('Live History'!$D$5:$D$3004,MATCH($A1655,'Live History'!$D$5:$D$3004,1)),INDEX('AH History'!$D$5:$GG$1380,$K1655,AH!$U$10+2))),NA()),NA())</f>
        <v/>
      </c>
      <c r="H1655" s="266">
        <f>IFERROR(IF(ISNUMBER($A1655),IF(AND(AH!$U$12=1,1650+1=AH!$U$6),IF(AH!$U$4=0,"unavailable",INDEX('Market Data'!$AP$5:$AP$66,AH!$U$4)),IF(AH!$U$5=1,INDEX('Live History'!$H$5:$H$3004,MATCH($A1655,'Live History'!$G$5:$G$3004,1)),INDEX('AH History'!$B$5:$B$1380,$K1655))),NA()),NA())</f>
        <v/>
      </c>
      <c r="I1655" s="34">
        <f>IFERROR(IF(ISNUMBER($A1655),IF(AND(AH!$U$12=1,1650+1=AH!$U$6),TODAY(),IF(AH!$U$5=1,INDEX('Live History'!$G$5:$G$3004,MATCH($A1655,'Live History'!$G$5:$G$3004,1)),INDEX('AH History'!$C$5:$C$1380,$K1655))),NA()),NA())</f>
        <v/>
      </c>
      <c r="J1655" s="32">
        <f>IFERROR(IF(AND($F1655&gt;0,$H1655&gt;0,$A1655-$G1655&lt;=10,$A1655-$I1655&lt;=5,$G1655&gt;0,$I1655&gt;0),$F1655*$H1655,NA()),NA())</f>
        <v/>
      </c>
      <c r="K1655" s="15">
        <f>IF($A1655="","",IF(AH!$U$5=1,IFERROR(MATCH($A1655,'Live History'!$A$5:$A$3004,0),0),AH!$U$7+1650))</f>
        <v/>
      </c>
      <c r="L1655" s="15">
        <f>IF(ISNUMBER(A1655),TEXT(A1655,"dd-mmm-yy"),"")</f>
        <v/>
      </c>
    </row>
    <row r="1656">
      <c r="A1656" s="14">
        <f>IF(OR(AH!$U$4=0,1651+1&gt;AH!$U$6,AND(AH!$M$5="Bloomberg",AH!$U$5=0)),"",IFERROR(IF(AND(AH!$U$12=1,1651+1=AH!$U$6),TODAY(),IF(AH!$U$5=1,INDEX('Live History'!$A$5:$A$3004,AH!$U$7+1651),INDEX('AH History'!$A$5:$A$1380,AH!$U$7+1651))),""))</f>
        <v/>
      </c>
      <c r="B1656" s="33">
        <f>IFERROR(IF(AH!$U$11=1,NA(),$J1656/$E1656-1),NA())</f>
        <v/>
      </c>
      <c r="C1656" s="269">
        <f>IFERROR(100*$E1656/$E$5,NA())</f>
        <v/>
      </c>
      <c r="D1656" s="269">
        <f>IFERROR(100*$J1656/$J$5,NA())</f>
        <v/>
      </c>
      <c r="E1656" s="32">
        <f>IFERROR(IF(AND(ISNUMBER($A1656),N(IF(AND(AH!$U$12=1,1651+1=AH!$U$6),IF(AH!$U$4=0,"unavailable",INDEX('Market Data'!$AN$5:$AN$66,AH!$U$4)),IF(AH!$U$5=1,INDEX('Live History'!$B$5:$B$3004,$K1656),INDEX('AH History'!$D$5:$GG$1380,$K1656,AH!$U$10))))&gt;0),IF(AND(AH!$U$12=1,1651+1=AH!$U$6),IF(AH!$U$4=0,"unavailable",INDEX('Market Data'!$AN$5:$AN$66,AH!$U$4)),IF(AH!$U$5=1,INDEX('Live History'!$B$5:$B$3004,$K1656),INDEX('AH History'!$D$5:$GG$1380,$K1656,AH!$U$10))),NA()),NA())</f>
        <v/>
      </c>
      <c r="F1656" s="32">
        <f>IFERROR(IF(ISNUMBER($A1656),IF(AND(AH!$U$12=1,1651+1=AH!$U$6),IF(AH!$U$4=0,"unavailable",INDEX('Market Data'!$AO$5:$AO$66,AH!$U$4)),IF(AH!$U$5=1,INDEX('Live History'!$E$5:$E$3004,MATCH($A1656,'Live History'!$D$5:$D$3004,1)),INDEX('AH History'!$D$5:$GG$1380,$K1656,AH!$U$10+1))),NA()),NA())</f>
        <v/>
      </c>
      <c r="G1656" s="34">
        <f>IFERROR(IF(ISNUMBER($A1656),IF(AND(AH!$U$12=1,1651+1=AH!$U$6),IF(AH!$U$4=0,"unavailable",INDEX('Market Data'!$AK$5:$AK$66,AH!$U$4)),IF(AH!$U$5=1,INDEX('Live History'!$D$5:$D$3004,MATCH($A1656,'Live History'!$D$5:$D$3004,1)),INDEX('AH History'!$D$5:$GG$1380,$K1656,AH!$U$10+2))),NA()),NA())</f>
        <v/>
      </c>
      <c r="H1656" s="266">
        <f>IFERROR(IF(ISNUMBER($A1656),IF(AND(AH!$U$12=1,1651+1=AH!$U$6),IF(AH!$U$4=0,"unavailable",INDEX('Market Data'!$AP$5:$AP$66,AH!$U$4)),IF(AH!$U$5=1,INDEX('Live History'!$H$5:$H$3004,MATCH($A1656,'Live History'!$G$5:$G$3004,1)),INDEX('AH History'!$B$5:$B$1380,$K1656))),NA()),NA())</f>
        <v/>
      </c>
      <c r="I1656" s="34">
        <f>IFERROR(IF(ISNUMBER($A1656),IF(AND(AH!$U$12=1,1651+1=AH!$U$6),TODAY(),IF(AH!$U$5=1,INDEX('Live History'!$G$5:$G$3004,MATCH($A1656,'Live History'!$G$5:$G$3004,1)),INDEX('AH History'!$C$5:$C$1380,$K1656))),NA()),NA())</f>
        <v/>
      </c>
      <c r="J1656" s="32">
        <f>IFERROR(IF(AND($F1656&gt;0,$H1656&gt;0,$A1656-$G1656&lt;=10,$A1656-$I1656&lt;=5,$G1656&gt;0,$I1656&gt;0),$F1656*$H1656,NA()),NA())</f>
        <v/>
      </c>
      <c r="K1656" s="15">
        <f>IF($A1656="","",IF(AH!$U$5=1,IFERROR(MATCH($A1656,'Live History'!$A$5:$A$3004,0),0),AH!$U$7+1651))</f>
        <v/>
      </c>
      <c r="L1656" s="15">
        <f>IF(ISNUMBER(A1656),TEXT(A1656,"dd-mmm-yy"),"")</f>
        <v/>
      </c>
    </row>
    <row r="1657">
      <c r="A1657" s="14">
        <f>IF(OR(AH!$U$4=0,1652+1&gt;AH!$U$6,AND(AH!$M$5="Bloomberg",AH!$U$5=0)),"",IFERROR(IF(AND(AH!$U$12=1,1652+1=AH!$U$6),TODAY(),IF(AH!$U$5=1,INDEX('Live History'!$A$5:$A$3004,AH!$U$7+1652),INDEX('AH History'!$A$5:$A$1380,AH!$U$7+1652))),""))</f>
        <v/>
      </c>
      <c r="B1657" s="33">
        <f>IFERROR(IF(AH!$U$11=1,NA(),$J1657/$E1657-1),NA())</f>
        <v/>
      </c>
      <c r="C1657" s="269">
        <f>IFERROR(100*$E1657/$E$5,NA())</f>
        <v/>
      </c>
      <c r="D1657" s="269">
        <f>IFERROR(100*$J1657/$J$5,NA())</f>
        <v/>
      </c>
      <c r="E1657" s="32">
        <f>IFERROR(IF(AND(ISNUMBER($A1657),N(IF(AND(AH!$U$12=1,1652+1=AH!$U$6),IF(AH!$U$4=0,"unavailable",INDEX('Market Data'!$AN$5:$AN$66,AH!$U$4)),IF(AH!$U$5=1,INDEX('Live History'!$B$5:$B$3004,$K1657),INDEX('AH History'!$D$5:$GG$1380,$K1657,AH!$U$10))))&gt;0),IF(AND(AH!$U$12=1,1652+1=AH!$U$6),IF(AH!$U$4=0,"unavailable",INDEX('Market Data'!$AN$5:$AN$66,AH!$U$4)),IF(AH!$U$5=1,INDEX('Live History'!$B$5:$B$3004,$K1657),INDEX('AH History'!$D$5:$GG$1380,$K1657,AH!$U$10))),NA()),NA())</f>
        <v/>
      </c>
      <c r="F1657" s="32">
        <f>IFERROR(IF(ISNUMBER($A1657),IF(AND(AH!$U$12=1,1652+1=AH!$U$6),IF(AH!$U$4=0,"unavailable",INDEX('Market Data'!$AO$5:$AO$66,AH!$U$4)),IF(AH!$U$5=1,INDEX('Live History'!$E$5:$E$3004,MATCH($A1657,'Live History'!$D$5:$D$3004,1)),INDEX('AH History'!$D$5:$GG$1380,$K1657,AH!$U$10+1))),NA()),NA())</f>
        <v/>
      </c>
      <c r="G1657" s="34">
        <f>IFERROR(IF(ISNUMBER($A1657),IF(AND(AH!$U$12=1,1652+1=AH!$U$6),IF(AH!$U$4=0,"unavailable",INDEX('Market Data'!$AK$5:$AK$66,AH!$U$4)),IF(AH!$U$5=1,INDEX('Live History'!$D$5:$D$3004,MATCH($A1657,'Live History'!$D$5:$D$3004,1)),INDEX('AH History'!$D$5:$GG$1380,$K1657,AH!$U$10+2))),NA()),NA())</f>
        <v/>
      </c>
      <c r="H1657" s="266">
        <f>IFERROR(IF(ISNUMBER($A1657),IF(AND(AH!$U$12=1,1652+1=AH!$U$6),IF(AH!$U$4=0,"unavailable",INDEX('Market Data'!$AP$5:$AP$66,AH!$U$4)),IF(AH!$U$5=1,INDEX('Live History'!$H$5:$H$3004,MATCH($A1657,'Live History'!$G$5:$G$3004,1)),INDEX('AH History'!$B$5:$B$1380,$K1657))),NA()),NA())</f>
        <v/>
      </c>
      <c r="I1657" s="34">
        <f>IFERROR(IF(ISNUMBER($A1657),IF(AND(AH!$U$12=1,1652+1=AH!$U$6),TODAY(),IF(AH!$U$5=1,INDEX('Live History'!$G$5:$G$3004,MATCH($A1657,'Live History'!$G$5:$G$3004,1)),INDEX('AH History'!$C$5:$C$1380,$K1657))),NA()),NA())</f>
        <v/>
      </c>
      <c r="J1657" s="32">
        <f>IFERROR(IF(AND($F1657&gt;0,$H1657&gt;0,$A1657-$G1657&lt;=10,$A1657-$I1657&lt;=5,$G1657&gt;0,$I1657&gt;0),$F1657*$H1657,NA()),NA())</f>
        <v/>
      </c>
      <c r="K1657" s="15">
        <f>IF($A1657="","",IF(AH!$U$5=1,IFERROR(MATCH($A1657,'Live History'!$A$5:$A$3004,0),0),AH!$U$7+1652))</f>
        <v/>
      </c>
      <c r="L1657" s="15">
        <f>IF(ISNUMBER(A1657),TEXT(A1657,"dd-mmm-yy"),"")</f>
        <v/>
      </c>
    </row>
    <row r="1658">
      <c r="A1658" s="14">
        <f>IF(OR(AH!$U$4=0,1653+1&gt;AH!$U$6,AND(AH!$M$5="Bloomberg",AH!$U$5=0)),"",IFERROR(IF(AND(AH!$U$12=1,1653+1=AH!$U$6),TODAY(),IF(AH!$U$5=1,INDEX('Live History'!$A$5:$A$3004,AH!$U$7+1653),INDEX('AH History'!$A$5:$A$1380,AH!$U$7+1653))),""))</f>
        <v/>
      </c>
      <c r="B1658" s="33">
        <f>IFERROR(IF(AH!$U$11=1,NA(),$J1658/$E1658-1),NA())</f>
        <v/>
      </c>
      <c r="C1658" s="269">
        <f>IFERROR(100*$E1658/$E$5,NA())</f>
        <v/>
      </c>
      <c r="D1658" s="269">
        <f>IFERROR(100*$J1658/$J$5,NA())</f>
        <v/>
      </c>
      <c r="E1658" s="32">
        <f>IFERROR(IF(AND(ISNUMBER($A1658),N(IF(AND(AH!$U$12=1,1653+1=AH!$U$6),IF(AH!$U$4=0,"unavailable",INDEX('Market Data'!$AN$5:$AN$66,AH!$U$4)),IF(AH!$U$5=1,INDEX('Live History'!$B$5:$B$3004,$K1658),INDEX('AH History'!$D$5:$GG$1380,$K1658,AH!$U$10))))&gt;0),IF(AND(AH!$U$12=1,1653+1=AH!$U$6),IF(AH!$U$4=0,"unavailable",INDEX('Market Data'!$AN$5:$AN$66,AH!$U$4)),IF(AH!$U$5=1,INDEX('Live History'!$B$5:$B$3004,$K1658),INDEX('AH History'!$D$5:$GG$1380,$K1658,AH!$U$10))),NA()),NA())</f>
        <v/>
      </c>
      <c r="F1658" s="32">
        <f>IFERROR(IF(ISNUMBER($A1658),IF(AND(AH!$U$12=1,1653+1=AH!$U$6),IF(AH!$U$4=0,"unavailable",INDEX('Market Data'!$AO$5:$AO$66,AH!$U$4)),IF(AH!$U$5=1,INDEX('Live History'!$E$5:$E$3004,MATCH($A1658,'Live History'!$D$5:$D$3004,1)),INDEX('AH History'!$D$5:$GG$1380,$K1658,AH!$U$10+1))),NA()),NA())</f>
        <v/>
      </c>
      <c r="G1658" s="34">
        <f>IFERROR(IF(ISNUMBER($A1658),IF(AND(AH!$U$12=1,1653+1=AH!$U$6),IF(AH!$U$4=0,"unavailable",INDEX('Market Data'!$AK$5:$AK$66,AH!$U$4)),IF(AH!$U$5=1,INDEX('Live History'!$D$5:$D$3004,MATCH($A1658,'Live History'!$D$5:$D$3004,1)),INDEX('AH History'!$D$5:$GG$1380,$K1658,AH!$U$10+2))),NA()),NA())</f>
        <v/>
      </c>
      <c r="H1658" s="266">
        <f>IFERROR(IF(ISNUMBER($A1658),IF(AND(AH!$U$12=1,1653+1=AH!$U$6),IF(AH!$U$4=0,"unavailable",INDEX('Market Data'!$AP$5:$AP$66,AH!$U$4)),IF(AH!$U$5=1,INDEX('Live History'!$H$5:$H$3004,MATCH($A1658,'Live History'!$G$5:$G$3004,1)),INDEX('AH History'!$B$5:$B$1380,$K1658))),NA()),NA())</f>
        <v/>
      </c>
      <c r="I1658" s="34">
        <f>IFERROR(IF(ISNUMBER($A1658),IF(AND(AH!$U$12=1,1653+1=AH!$U$6),TODAY(),IF(AH!$U$5=1,INDEX('Live History'!$G$5:$G$3004,MATCH($A1658,'Live History'!$G$5:$G$3004,1)),INDEX('AH History'!$C$5:$C$1380,$K1658))),NA()),NA())</f>
        <v/>
      </c>
      <c r="J1658" s="32">
        <f>IFERROR(IF(AND($F1658&gt;0,$H1658&gt;0,$A1658-$G1658&lt;=10,$A1658-$I1658&lt;=5,$G1658&gt;0,$I1658&gt;0),$F1658*$H1658,NA()),NA())</f>
        <v/>
      </c>
      <c r="K1658" s="15">
        <f>IF($A1658="","",IF(AH!$U$5=1,IFERROR(MATCH($A1658,'Live History'!$A$5:$A$3004,0),0),AH!$U$7+1653))</f>
        <v/>
      </c>
      <c r="L1658" s="15">
        <f>IF(ISNUMBER(A1658),TEXT(A1658,"dd-mmm-yy"),"")</f>
        <v/>
      </c>
    </row>
    <row r="1659">
      <c r="A1659" s="14">
        <f>IF(OR(AH!$U$4=0,1654+1&gt;AH!$U$6,AND(AH!$M$5="Bloomberg",AH!$U$5=0)),"",IFERROR(IF(AND(AH!$U$12=1,1654+1=AH!$U$6),TODAY(),IF(AH!$U$5=1,INDEX('Live History'!$A$5:$A$3004,AH!$U$7+1654),INDEX('AH History'!$A$5:$A$1380,AH!$U$7+1654))),""))</f>
        <v/>
      </c>
      <c r="B1659" s="33">
        <f>IFERROR(IF(AH!$U$11=1,NA(),$J1659/$E1659-1),NA())</f>
        <v/>
      </c>
      <c r="C1659" s="269">
        <f>IFERROR(100*$E1659/$E$5,NA())</f>
        <v/>
      </c>
      <c r="D1659" s="269">
        <f>IFERROR(100*$J1659/$J$5,NA())</f>
        <v/>
      </c>
      <c r="E1659" s="32">
        <f>IFERROR(IF(AND(ISNUMBER($A1659),N(IF(AND(AH!$U$12=1,1654+1=AH!$U$6),IF(AH!$U$4=0,"unavailable",INDEX('Market Data'!$AN$5:$AN$66,AH!$U$4)),IF(AH!$U$5=1,INDEX('Live History'!$B$5:$B$3004,$K1659),INDEX('AH History'!$D$5:$GG$1380,$K1659,AH!$U$10))))&gt;0),IF(AND(AH!$U$12=1,1654+1=AH!$U$6),IF(AH!$U$4=0,"unavailable",INDEX('Market Data'!$AN$5:$AN$66,AH!$U$4)),IF(AH!$U$5=1,INDEX('Live History'!$B$5:$B$3004,$K1659),INDEX('AH History'!$D$5:$GG$1380,$K1659,AH!$U$10))),NA()),NA())</f>
        <v/>
      </c>
      <c r="F1659" s="32">
        <f>IFERROR(IF(ISNUMBER($A1659),IF(AND(AH!$U$12=1,1654+1=AH!$U$6),IF(AH!$U$4=0,"unavailable",INDEX('Market Data'!$AO$5:$AO$66,AH!$U$4)),IF(AH!$U$5=1,INDEX('Live History'!$E$5:$E$3004,MATCH($A1659,'Live History'!$D$5:$D$3004,1)),INDEX('AH History'!$D$5:$GG$1380,$K1659,AH!$U$10+1))),NA()),NA())</f>
        <v/>
      </c>
      <c r="G1659" s="34">
        <f>IFERROR(IF(ISNUMBER($A1659),IF(AND(AH!$U$12=1,1654+1=AH!$U$6),IF(AH!$U$4=0,"unavailable",INDEX('Market Data'!$AK$5:$AK$66,AH!$U$4)),IF(AH!$U$5=1,INDEX('Live History'!$D$5:$D$3004,MATCH($A1659,'Live History'!$D$5:$D$3004,1)),INDEX('AH History'!$D$5:$GG$1380,$K1659,AH!$U$10+2))),NA()),NA())</f>
        <v/>
      </c>
      <c r="H1659" s="266">
        <f>IFERROR(IF(ISNUMBER($A1659),IF(AND(AH!$U$12=1,1654+1=AH!$U$6),IF(AH!$U$4=0,"unavailable",INDEX('Market Data'!$AP$5:$AP$66,AH!$U$4)),IF(AH!$U$5=1,INDEX('Live History'!$H$5:$H$3004,MATCH($A1659,'Live History'!$G$5:$G$3004,1)),INDEX('AH History'!$B$5:$B$1380,$K1659))),NA()),NA())</f>
        <v/>
      </c>
      <c r="I1659" s="34">
        <f>IFERROR(IF(ISNUMBER($A1659),IF(AND(AH!$U$12=1,1654+1=AH!$U$6),TODAY(),IF(AH!$U$5=1,INDEX('Live History'!$G$5:$G$3004,MATCH($A1659,'Live History'!$G$5:$G$3004,1)),INDEX('AH History'!$C$5:$C$1380,$K1659))),NA()),NA())</f>
        <v/>
      </c>
      <c r="J1659" s="32">
        <f>IFERROR(IF(AND($F1659&gt;0,$H1659&gt;0,$A1659-$G1659&lt;=10,$A1659-$I1659&lt;=5,$G1659&gt;0,$I1659&gt;0),$F1659*$H1659,NA()),NA())</f>
        <v/>
      </c>
      <c r="K1659" s="15">
        <f>IF($A1659="","",IF(AH!$U$5=1,IFERROR(MATCH($A1659,'Live History'!$A$5:$A$3004,0),0),AH!$U$7+1654))</f>
        <v/>
      </c>
      <c r="L1659" s="15">
        <f>IF(ISNUMBER(A1659),TEXT(A1659,"dd-mmm-yy"),"")</f>
        <v/>
      </c>
    </row>
    <row r="1660">
      <c r="A1660" s="14">
        <f>IF(OR(AH!$U$4=0,1655+1&gt;AH!$U$6,AND(AH!$M$5="Bloomberg",AH!$U$5=0)),"",IFERROR(IF(AND(AH!$U$12=1,1655+1=AH!$U$6),TODAY(),IF(AH!$U$5=1,INDEX('Live History'!$A$5:$A$3004,AH!$U$7+1655),INDEX('AH History'!$A$5:$A$1380,AH!$U$7+1655))),""))</f>
        <v/>
      </c>
      <c r="B1660" s="33">
        <f>IFERROR(IF(AH!$U$11=1,NA(),$J1660/$E1660-1),NA())</f>
        <v/>
      </c>
      <c r="C1660" s="269">
        <f>IFERROR(100*$E1660/$E$5,NA())</f>
        <v/>
      </c>
      <c r="D1660" s="269">
        <f>IFERROR(100*$J1660/$J$5,NA())</f>
        <v/>
      </c>
      <c r="E1660" s="32">
        <f>IFERROR(IF(AND(ISNUMBER($A1660),N(IF(AND(AH!$U$12=1,1655+1=AH!$U$6),IF(AH!$U$4=0,"unavailable",INDEX('Market Data'!$AN$5:$AN$66,AH!$U$4)),IF(AH!$U$5=1,INDEX('Live History'!$B$5:$B$3004,$K1660),INDEX('AH History'!$D$5:$GG$1380,$K1660,AH!$U$10))))&gt;0),IF(AND(AH!$U$12=1,1655+1=AH!$U$6),IF(AH!$U$4=0,"unavailable",INDEX('Market Data'!$AN$5:$AN$66,AH!$U$4)),IF(AH!$U$5=1,INDEX('Live History'!$B$5:$B$3004,$K1660),INDEX('AH History'!$D$5:$GG$1380,$K1660,AH!$U$10))),NA()),NA())</f>
        <v/>
      </c>
      <c r="F1660" s="32">
        <f>IFERROR(IF(ISNUMBER($A1660),IF(AND(AH!$U$12=1,1655+1=AH!$U$6),IF(AH!$U$4=0,"unavailable",INDEX('Market Data'!$AO$5:$AO$66,AH!$U$4)),IF(AH!$U$5=1,INDEX('Live History'!$E$5:$E$3004,MATCH($A1660,'Live History'!$D$5:$D$3004,1)),INDEX('AH History'!$D$5:$GG$1380,$K1660,AH!$U$10+1))),NA()),NA())</f>
        <v/>
      </c>
      <c r="G1660" s="34">
        <f>IFERROR(IF(ISNUMBER($A1660),IF(AND(AH!$U$12=1,1655+1=AH!$U$6),IF(AH!$U$4=0,"unavailable",INDEX('Market Data'!$AK$5:$AK$66,AH!$U$4)),IF(AH!$U$5=1,INDEX('Live History'!$D$5:$D$3004,MATCH($A1660,'Live History'!$D$5:$D$3004,1)),INDEX('AH History'!$D$5:$GG$1380,$K1660,AH!$U$10+2))),NA()),NA())</f>
        <v/>
      </c>
      <c r="H1660" s="266">
        <f>IFERROR(IF(ISNUMBER($A1660),IF(AND(AH!$U$12=1,1655+1=AH!$U$6),IF(AH!$U$4=0,"unavailable",INDEX('Market Data'!$AP$5:$AP$66,AH!$U$4)),IF(AH!$U$5=1,INDEX('Live History'!$H$5:$H$3004,MATCH($A1660,'Live History'!$G$5:$G$3004,1)),INDEX('AH History'!$B$5:$B$1380,$K1660))),NA()),NA())</f>
        <v/>
      </c>
      <c r="I1660" s="34">
        <f>IFERROR(IF(ISNUMBER($A1660),IF(AND(AH!$U$12=1,1655+1=AH!$U$6),TODAY(),IF(AH!$U$5=1,INDEX('Live History'!$G$5:$G$3004,MATCH($A1660,'Live History'!$G$5:$G$3004,1)),INDEX('AH History'!$C$5:$C$1380,$K1660))),NA()),NA())</f>
        <v/>
      </c>
      <c r="J1660" s="32">
        <f>IFERROR(IF(AND($F1660&gt;0,$H1660&gt;0,$A1660-$G1660&lt;=10,$A1660-$I1660&lt;=5,$G1660&gt;0,$I1660&gt;0),$F1660*$H1660,NA()),NA())</f>
        <v/>
      </c>
      <c r="K1660" s="15">
        <f>IF($A1660="","",IF(AH!$U$5=1,IFERROR(MATCH($A1660,'Live History'!$A$5:$A$3004,0),0),AH!$U$7+1655))</f>
        <v/>
      </c>
      <c r="L1660" s="15">
        <f>IF(ISNUMBER(A1660),TEXT(A1660,"dd-mmm-yy"),"")</f>
        <v/>
      </c>
    </row>
    <row r="1661">
      <c r="A1661" s="14">
        <f>IF(OR(AH!$U$4=0,1656+1&gt;AH!$U$6,AND(AH!$M$5="Bloomberg",AH!$U$5=0)),"",IFERROR(IF(AND(AH!$U$12=1,1656+1=AH!$U$6),TODAY(),IF(AH!$U$5=1,INDEX('Live History'!$A$5:$A$3004,AH!$U$7+1656),INDEX('AH History'!$A$5:$A$1380,AH!$U$7+1656))),""))</f>
        <v/>
      </c>
      <c r="B1661" s="33">
        <f>IFERROR(IF(AH!$U$11=1,NA(),$J1661/$E1661-1),NA())</f>
        <v/>
      </c>
      <c r="C1661" s="269">
        <f>IFERROR(100*$E1661/$E$5,NA())</f>
        <v/>
      </c>
      <c r="D1661" s="269">
        <f>IFERROR(100*$J1661/$J$5,NA())</f>
        <v/>
      </c>
      <c r="E1661" s="32">
        <f>IFERROR(IF(AND(ISNUMBER($A1661),N(IF(AND(AH!$U$12=1,1656+1=AH!$U$6),IF(AH!$U$4=0,"unavailable",INDEX('Market Data'!$AN$5:$AN$66,AH!$U$4)),IF(AH!$U$5=1,INDEX('Live History'!$B$5:$B$3004,$K1661),INDEX('AH History'!$D$5:$GG$1380,$K1661,AH!$U$10))))&gt;0),IF(AND(AH!$U$12=1,1656+1=AH!$U$6),IF(AH!$U$4=0,"unavailable",INDEX('Market Data'!$AN$5:$AN$66,AH!$U$4)),IF(AH!$U$5=1,INDEX('Live History'!$B$5:$B$3004,$K1661),INDEX('AH History'!$D$5:$GG$1380,$K1661,AH!$U$10))),NA()),NA())</f>
        <v/>
      </c>
      <c r="F1661" s="32">
        <f>IFERROR(IF(ISNUMBER($A1661),IF(AND(AH!$U$12=1,1656+1=AH!$U$6),IF(AH!$U$4=0,"unavailable",INDEX('Market Data'!$AO$5:$AO$66,AH!$U$4)),IF(AH!$U$5=1,INDEX('Live History'!$E$5:$E$3004,MATCH($A1661,'Live History'!$D$5:$D$3004,1)),INDEX('AH History'!$D$5:$GG$1380,$K1661,AH!$U$10+1))),NA()),NA())</f>
        <v/>
      </c>
      <c r="G1661" s="34">
        <f>IFERROR(IF(ISNUMBER($A1661),IF(AND(AH!$U$12=1,1656+1=AH!$U$6),IF(AH!$U$4=0,"unavailable",INDEX('Market Data'!$AK$5:$AK$66,AH!$U$4)),IF(AH!$U$5=1,INDEX('Live History'!$D$5:$D$3004,MATCH($A1661,'Live History'!$D$5:$D$3004,1)),INDEX('AH History'!$D$5:$GG$1380,$K1661,AH!$U$10+2))),NA()),NA())</f>
        <v/>
      </c>
      <c r="H1661" s="266">
        <f>IFERROR(IF(ISNUMBER($A1661),IF(AND(AH!$U$12=1,1656+1=AH!$U$6),IF(AH!$U$4=0,"unavailable",INDEX('Market Data'!$AP$5:$AP$66,AH!$U$4)),IF(AH!$U$5=1,INDEX('Live History'!$H$5:$H$3004,MATCH($A1661,'Live History'!$G$5:$G$3004,1)),INDEX('AH History'!$B$5:$B$1380,$K1661))),NA()),NA())</f>
        <v/>
      </c>
      <c r="I1661" s="34">
        <f>IFERROR(IF(ISNUMBER($A1661),IF(AND(AH!$U$12=1,1656+1=AH!$U$6),TODAY(),IF(AH!$U$5=1,INDEX('Live History'!$G$5:$G$3004,MATCH($A1661,'Live History'!$G$5:$G$3004,1)),INDEX('AH History'!$C$5:$C$1380,$K1661))),NA()),NA())</f>
        <v/>
      </c>
      <c r="J1661" s="32">
        <f>IFERROR(IF(AND($F1661&gt;0,$H1661&gt;0,$A1661-$G1661&lt;=10,$A1661-$I1661&lt;=5,$G1661&gt;0,$I1661&gt;0),$F1661*$H1661,NA()),NA())</f>
        <v/>
      </c>
      <c r="K1661" s="15">
        <f>IF($A1661="","",IF(AH!$U$5=1,IFERROR(MATCH($A1661,'Live History'!$A$5:$A$3004,0),0),AH!$U$7+1656))</f>
        <v/>
      </c>
      <c r="L1661" s="15">
        <f>IF(ISNUMBER(A1661),TEXT(A1661,"dd-mmm-yy"),"")</f>
        <v/>
      </c>
    </row>
    <row r="1662">
      <c r="A1662" s="14">
        <f>IF(OR(AH!$U$4=0,1657+1&gt;AH!$U$6,AND(AH!$M$5="Bloomberg",AH!$U$5=0)),"",IFERROR(IF(AND(AH!$U$12=1,1657+1=AH!$U$6),TODAY(),IF(AH!$U$5=1,INDEX('Live History'!$A$5:$A$3004,AH!$U$7+1657),INDEX('AH History'!$A$5:$A$1380,AH!$U$7+1657))),""))</f>
        <v/>
      </c>
      <c r="B1662" s="33">
        <f>IFERROR(IF(AH!$U$11=1,NA(),$J1662/$E1662-1),NA())</f>
        <v/>
      </c>
      <c r="C1662" s="269">
        <f>IFERROR(100*$E1662/$E$5,NA())</f>
        <v/>
      </c>
      <c r="D1662" s="269">
        <f>IFERROR(100*$J1662/$J$5,NA())</f>
        <v/>
      </c>
      <c r="E1662" s="32">
        <f>IFERROR(IF(AND(ISNUMBER($A1662),N(IF(AND(AH!$U$12=1,1657+1=AH!$U$6),IF(AH!$U$4=0,"unavailable",INDEX('Market Data'!$AN$5:$AN$66,AH!$U$4)),IF(AH!$U$5=1,INDEX('Live History'!$B$5:$B$3004,$K1662),INDEX('AH History'!$D$5:$GG$1380,$K1662,AH!$U$10))))&gt;0),IF(AND(AH!$U$12=1,1657+1=AH!$U$6),IF(AH!$U$4=0,"unavailable",INDEX('Market Data'!$AN$5:$AN$66,AH!$U$4)),IF(AH!$U$5=1,INDEX('Live History'!$B$5:$B$3004,$K1662),INDEX('AH History'!$D$5:$GG$1380,$K1662,AH!$U$10))),NA()),NA())</f>
        <v/>
      </c>
      <c r="F1662" s="32">
        <f>IFERROR(IF(ISNUMBER($A1662),IF(AND(AH!$U$12=1,1657+1=AH!$U$6),IF(AH!$U$4=0,"unavailable",INDEX('Market Data'!$AO$5:$AO$66,AH!$U$4)),IF(AH!$U$5=1,INDEX('Live History'!$E$5:$E$3004,MATCH($A1662,'Live History'!$D$5:$D$3004,1)),INDEX('AH History'!$D$5:$GG$1380,$K1662,AH!$U$10+1))),NA()),NA())</f>
        <v/>
      </c>
      <c r="G1662" s="34">
        <f>IFERROR(IF(ISNUMBER($A1662),IF(AND(AH!$U$12=1,1657+1=AH!$U$6),IF(AH!$U$4=0,"unavailable",INDEX('Market Data'!$AK$5:$AK$66,AH!$U$4)),IF(AH!$U$5=1,INDEX('Live History'!$D$5:$D$3004,MATCH($A1662,'Live History'!$D$5:$D$3004,1)),INDEX('AH History'!$D$5:$GG$1380,$K1662,AH!$U$10+2))),NA()),NA())</f>
        <v/>
      </c>
      <c r="H1662" s="266">
        <f>IFERROR(IF(ISNUMBER($A1662),IF(AND(AH!$U$12=1,1657+1=AH!$U$6),IF(AH!$U$4=0,"unavailable",INDEX('Market Data'!$AP$5:$AP$66,AH!$U$4)),IF(AH!$U$5=1,INDEX('Live History'!$H$5:$H$3004,MATCH($A1662,'Live History'!$G$5:$G$3004,1)),INDEX('AH History'!$B$5:$B$1380,$K1662))),NA()),NA())</f>
        <v/>
      </c>
      <c r="I1662" s="34">
        <f>IFERROR(IF(ISNUMBER($A1662),IF(AND(AH!$U$12=1,1657+1=AH!$U$6),TODAY(),IF(AH!$U$5=1,INDEX('Live History'!$G$5:$G$3004,MATCH($A1662,'Live History'!$G$5:$G$3004,1)),INDEX('AH History'!$C$5:$C$1380,$K1662))),NA()),NA())</f>
        <v/>
      </c>
      <c r="J1662" s="32">
        <f>IFERROR(IF(AND($F1662&gt;0,$H1662&gt;0,$A1662-$G1662&lt;=10,$A1662-$I1662&lt;=5,$G1662&gt;0,$I1662&gt;0),$F1662*$H1662,NA()),NA())</f>
        <v/>
      </c>
      <c r="K1662" s="15">
        <f>IF($A1662="","",IF(AH!$U$5=1,IFERROR(MATCH($A1662,'Live History'!$A$5:$A$3004,0),0),AH!$U$7+1657))</f>
        <v/>
      </c>
      <c r="L1662" s="15">
        <f>IF(ISNUMBER(A1662),TEXT(A1662,"dd-mmm-yy"),"")</f>
        <v/>
      </c>
    </row>
    <row r="1663">
      <c r="A1663" s="14">
        <f>IF(OR(AH!$U$4=0,1658+1&gt;AH!$U$6,AND(AH!$M$5="Bloomberg",AH!$U$5=0)),"",IFERROR(IF(AND(AH!$U$12=1,1658+1=AH!$U$6),TODAY(),IF(AH!$U$5=1,INDEX('Live History'!$A$5:$A$3004,AH!$U$7+1658),INDEX('AH History'!$A$5:$A$1380,AH!$U$7+1658))),""))</f>
        <v/>
      </c>
      <c r="B1663" s="33">
        <f>IFERROR(IF(AH!$U$11=1,NA(),$J1663/$E1663-1),NA())</f>
        <v/>
      </c>
      <c r="C1663" s="269">
        <f>IFERROR(100*$E1663/$E$5,NA())</f>
        <v/>
      </c>
      <c r="D1663" s="269">
        <f>IFERROR(100*$J1663/$J$5,NA())</f>
        <v/>
      </c>
      <c r="E1663" s="32">
        <f>IFERROR(IF(AND(ISNUMBER($A1663),N(IF(AND(AH!$U$12=1,1658+1=AH!$U$6),IF(AH!$U$4=0,"unavailable",INDEX('Market Data'!$AN$5:$AN$66,AH!$U$4)),IF(AH!$U$5=1,INDEX('Live History'!$B$5:$B$3004,$K1663),INDEX('AH History'!$D$5:$GG$1380,$K1663,AH!$U$10))))&gt;0),IF(AND(AH!$U$12=1,1658+1=AH!$U$6),IF(AH!$U$4=0,"unavailable",INDEX('Market Data'!$AN$5:$AN$66,AH!$U$4)),IF(AH!$U$5=1,INDEX('Live History'!$B$5:$B$3004,$K1663),INDEX('AH History'!$D$5:$GG$1380,$K1663,AH!$U$10))),NA()),NA())</f>
        <v/>
      </c>
      <c r="F1663" s="32">
        <f>IFERROR(IF(ISNUMBER($A1663),IF(AND(AH!$U$12=1,1658+1=AH!$U$6),IF(AH!$U$4=0,"unavailable",INDEX('Market Data'!$AO$5:$AO$66,AH!$U$4)),IF(AH!$U$5=1,INDEX('Live History'!$E$5:$E$3004,MATCH($A1663,'Live History'!$D$5:$D$3004,1)),INDEX('AH History'!$D$5:$GG$1380,$K1663,AH!$U$10+1))),NA()),NA())</f>
        <v/>
      </c>
      <c r="G1663" s="34">
        <f>IFERROR(IF(ISNUMBER($A1663),IF(AND(AH!$U$12=1,1658+1=AH!$U$6),IF(AH!$U$4=0,"unavailable",INDEX('Market Data'!$AK$5:$AK$66,AH!$U$4)),IF(AH!$U$5=1,INDEX('Live History'!$D$5:$D$3004,MATCH($A1663,'Live History'!$D$5:$D$3004,1)),INDEX('AH History'!$D$5:$GG$1380,$K1663,AH!$U$10+2))),NA()),NA())</f>
        <v/>
      </c>
      <c r="H1663" s="266">
        <f>IFERROR(IF(ISNUMBER($A1663),IF(AND(AH!$U$12=1,1658+1=AH!$U$6),IF(AH!$U$4=0,"unavailable",INDEX('Market Data'!$AP$5:$AP$66,AH!$U$4)),IF(AH!$U$5=1,INDEX('Live History'!$H$5:$H$3004,MATCH($A1663,'Live History'!$G$5:$G$3004,1)),INDEX('AH History'!$B$5:$B$1380,$K1663))),NA()),NA())</f>
        <v/>
      </c>
      <c r="I1663" s="34">
        <f>IFERROR(IF(ISNUMBER($A1663),IF(AND(AH!$U$12=1,1658+1=AH!$U$6),TODAY(),IF(AH!$U$5=1,INDEX('Live History'!$G$5:$G$3004,MATCH($A1663,'Live History'!$G$5:$G$3004,1)),INDEX('AH History'!$C$5:$C$1380,$K1663))),NA()),NA())</f>
        <v/>
      </c>
      <c r="J1663" s="32">
        <f>IFERROR(IF(AND($F1663&gt;0,$H1663&gt;0,$A1663-$G1663&lt;=10,$A1663-$I1663&lt;=5,$G1663&gt;0,$I1663&gt;0),$F1663*$H1663,NA()),NA())</f>
        <v/>
      </c>
      <c r="K1663" s="15">
        <f>IF($A1663="","",IF(AH!$U$5=1,IFERROR(MATCH($A1663,'Live History'!$A$5:$A$3004,0),0),AH!$U$7+1658))</f>
        <v/>
      </c>
      <c r="L1663" s="15">
        <f>IF(ISNUMBER(A1663),TEXT(A1663,"dd-mmm-yy"),"")</f>
        <v/>
      </c>
    </row>
    <row r="1664">
      <c r="A1664" s="14">
        <f>IF(OR(AH!$U$4=0,1659+1&gt;AH!$U$6,AND(AH!$M$5="Bloomberg",AH!$U$5=0)),"",IFERROR(IF(AND(AH!$U$12=1,1659+1=AH!$U$6),TODAY(),IF(AH!$U$5=1,INDEX('Live History'!$A$5:$A$3004,AH!$U$7+1659),INDEX('AH History'!$A$5:$A$1380,AH!$U$7+1659))),""))</f>
        <v/>
      </c>
      <c r="B1664" s="33">
        <f>IFERROR(IF(AH!$U$11=1,NA(),$J1664/$E1664-1),NA())</f>
        <v/>
      </c>
      <c r="C1664" s="269">
        <f>IFERROR(100*$E1664/$E$5,NA())</f>
        <v/>
      </c>
      <c r="D1664" s="269">
        <f>IFERROR(100*$J1664/$J$5,NA())</f>
        <v/>
      </c>
      <c r="E1664" s="32">
        <f>IFERROR(IF(AND(ISNUMBER($A1664),N(IF(AND(AH!$U$12=1,1659+1=AH!$U$6),IF(AH!$U$4=0,"unavailable",INDEX('Market Data'!$AN$5:$AN$66,AH!$U$4)),IF(AH!$U$5=1,INDEX('Live History'!$B$5:$B$3004,$K1664),INDEX('AH History'!$D$5:$GG$1380,$K1664,AH!$U$10))))&gt;0),IF(AND(AH!$U$12=1,1659+1=AH!$U$6),IF(AH!$U$4=0,"unavailable",INDEX('Market Data'!$AN$5:$AN$66,AH!$U$4)),IF(AH!$U$5=1,INDEX('Live History'!$B$5:$B$3004,$K1664),INDEX('AH History'!$D$5:$GG$1380,$K1664,AH!$U$10))),NA()),NA())</f>
        <v/>
      </c>
      <c r="F1664" s="32">
        <f>IFERROR(IF(ISNUMBER($A1664),IF(AND(AH!$U$12=1,1659+1=AH!$U$6),IF(AH!$U$4=0,"unavailable",INDEX('Market Data'!$AO$5:$AO$66,AH!$U$4)),IF(AH!$U$5=1,INDEX('Live History'!$E$5:$E$3004,MATCH($A1664,'Live History'!$D$5:$D$3004,1)),INDEX('AH History'!$D$5:$GG$1380,$K1664,AH!$U$10+1))),NA()),NA())</f>
        <v/>
      </c>
      <c r="G1664" s="34">
        <f>IFERROR(IF(ISNUMBER($A1664),IF(AND(AH!$U$12=1,1659+1=AH!$U$6),IF(AH!$U$4=0,"unavailable",INDEX('Market Data'!$AK$5:$AK$66,AH!$U$4)),IF(AH!$U$5=1,INDEX('Live History'!$D$5:$D$3004,MATCH($A1664,'Live History'!$D$5:$D$3004,1)),INDEX('AH History'!$D$5:$GG$1380,$K1664,AH!$U$10+2))),NA()),NA())</f>
        <v/>
      </c>
      <c r="H1664" s="266">
        <f>IFERROR(IF(ISNUMBER($A1664),IF(AND(AH!$U$12=1,1659+1=AH!$U$6),IF(AH!$U$4=0,"unavailable",INDEX('Market Data'!$AP$5:$AP$66,AH!$U$4)),IF(AH!$U$5=1,INDEX('Live History'!$H$5:$H$3004,MATCH($A1664,'Live History'!$G$5:$G$3004,1)),INDEX('AH History'!$B$5:$B$1380,$K1664))),NA()),NA())</f>
        <v/>
      </c>
      <c r="I1664" s="34">
        <f>IFERROR(IF(ISNUMBER($A1664),IF(AND(AH!$U$12=1,1659+1=AH!$U$6),TODAY(),IF(AH!$U$5=1,INDEX('Live History'!$G$5:$G$3004,MATCH($A1664,'Live History'!$G$5:$G$3004,1)),INDEX('AH History'!$C$5:$C$1380,$K1664))),NA()),NA())</f>
        <v/>
      </c>
      <c r="J1664" s="32">
        <f>IFERROR(IF(AND($F1664&gt;0,$H1664&gt;0,$A1664-$G1664&lt;=10,$A1664-$I1664&lt;=5,$G1664&gt;0,$I1664&gt;0),$F1664*$H1664,NA()),NA())</f>
        <v/>
      </c>
      <c r="K1664" s="15">
        <f>IF($A1664="","",IF(AH!$U$5=1,IFERROR(MATCH($A1664,'Live History'!$A$5:$A$3004,0),0),AH!$U$7+1659))</f>
        <v/>
      </c>
      <c r="L1664" s="15">
        <f>IF(ISNUMBER(A1664),TEXT(A1664,"dd-mmm-yy"),"")</f>
        <v/>
      </c>
    </row>
    <row r="1665">
      <c r="A1665" s="14">
        <f>IF(OR(AH!$U$4=0,1660+1&gt;AH!$U$6,AND(AH!$M$5="Bloomberg",AH!$U$5=0)),"",IFERROR(IF(AND(AH!$U$12=1,1660+1=AH!$U$6),TODAY(),IF(AH!$U$5=1,INDEX('Live History'!$A$5:$A$3004,AH!$U$7+1660),INDEX('AH History'!$A$5:$A$1380,AH!$U$7+1660))),""))</f>
        <v/>
      </c>
      <c r="B1665" s="33">
        <f>IFERROR(IF(AH!$U$11=1,NA(),$J1665/$E1665-1),NA())</f>
        <v/>
      </c>
      <c r="C1665" s="269">
        <f>IFERROR(100*$E1665/$E$5,NA())</f>
        <v/>
      </c>
      <c r="D1665" s="269">
        <f>IFERROR(100*$J1665/$J$5,NA())</f>
        <v/>
      </c>
      <c r="E1665" s="32">
        <f>IFERROR(IF(AND(ISNUMBER($A1665),N(IF(AND(AH!$U$12=1,1660+1=AH!$U$6),IF(AH!$U$4=0,"unavailable",INDEX('Market Data'!$AN$5:$AN$66,AH!$U$4)),IF(AH!$U$5=1,INDEX('Live History'!$B$5:$B$3004,$K1665),INDEX('AH History'!$D$5:$GG$1380,$K1665,AH!$U$10))))&gt;0),IF(AND(AH!$U$12=1,1660+1=AH!$U$6),IF(AH!$U$4=0,"unavailable",INDEX('Market Data'!$AN$5:$AN$66,AH!$U$4)),IF(AH!$U$5=1,INDEX('Live History'!$B$5:$B$3004,$K1665),INDEX('AH History'!$D$5:$GG$1380,$K1665,AH!$U$10))),NA()),NA())</f>
        <v/>
      </c>
      <c r="F1665" s="32">
        <f>IFERROR(IF(ISNUMBER($A1665),IF(AND(AH!$U$12=1,1660+1=AH!$U$6),IF(AH!$U$4=0,"unavailable",INDEX('Market Data'!$AO$5:$AO$66,AH!$U$4)),IF(AH!$U$5=1,INDEX('Live History'!$E$5:$E$3004,MATCH($A1665,'Live History'!$D$5:$D$3004,1)),INDEX('AH History'!$D$5:$GG$1380,$K1665,AH!$U$10+1))),NA()),NA())</f>
        <v/>
      </c>
      <c r="G1665" s="34">
        <f>IFERROR(IF(ISNUMBER($A1665),IF(AND(AH!$U$12=1,1660+1=AH!$U$6),IF(AH!$U$4=0,"unavailable",INDEX('Market Data'!$AK$5:$AK$66,AH!$U$4)),IF(AH!$U$5=1,INDEX('Live History'!$D$5:$D$3004,MATCH($A1665,'Live History'!$D$5:$D$3004,1)),INDEX('AH History'!$D$5:$GG$1380,$K1665,AH!$U$10+2))),NA()),NA())</f>
        <v/>
      </c>
      <c r="H1665" s="266">
        <f>IFERROR(IF(ISNUMBER($A1665),IF(AND(AH!$U$12=1,1660+1=AH!$U$6),IF(AH!$U$4=0,"unavailable",INDEX('Market Data'!$AP$5:$AP$66,AH!$U$4)),IF(AH!$U$5=1,INDEX('Live History'!$H$5:$H$3004,MATCH($A1665,'Live History'!$G$5:$G$3004,1)),INDEX('AH History'!$B$5:$B$1380,$K1665))),NA()),NA())</f>
        <v/>
      </c>
      <c r="I1665" s="34">
        <f>IFERROR(IF(ISNUMBER($A1665),IF(AND(AH!$U$12=1,1660+1=AH!$U$6),TODAY(),IF(AH!$U$5=1,INDEX('Live History'!$G$5:$G$3004,MATCH($A1665,'Live History'!$G$5:$G$3004,1)),INDEX('AH History'!$C$5:$C$1380,$K1665))),NA()),NA())</f>
        <v/>
      </c>
      <c r="J1665" s="32">
        <f>IFERROR(IF(AND($F1665&gt;0,$H1665&gt;0,$A1665-$G1665&lt;=10,$A1665-$I1665&lt;=5,$G1665&gt;0,$I1665&gt;0),$F1665*$H1665,NA()),NA())</f>
        <v/>
      </c>
      <c r="K1665" s="15">
        <f>IF($A1665="","",IF(AH!$U$5=1,IFERROR(MATCH($A1665,'Live History'!$A$5:$A$3004,0),0),AH!$U$7+1660))</f>
        <v/>
      </c>
      <c r="L1665" s="15">
        <f>IF(ISNUMBER(A1665),TEXT(A1665,"dd-mmm-yy"),"")</f>
        <v/>
      </c>
    </row>
    <row r="1666">
      <c r="A1666" s="14">
        <f>IF(OR(AH!$U$4=0,1661+1&gt;AH!$U$6,AND(AH!$M$5="Bloomberg",AH!$U$5=0)),"",IFERROR(IF(AND(AH!$U$12=1,1661+1=AH!$U$6),TODAY(),IF(AH!$U$5=1,INDEX('Live History'!$A$5:$A$3004,AH!$U$7+1661),INDEX('AH History'!$A$5:$A$1380,AH!$U$7+1661))),""))</f>
        <v/>
      </c>
      <c r="B1666" s="33">
        <f>IFERROR(IF(AH!$U$11=1,NA(),$J1666/$E1666-1),NA())</f>
        <v/>
      </c>
      <c r="C1666" s="269">
        <f>IFERROR(100*$E1666/$E$5,NA())</f>
        <v/>
      </c>
      <c r="D1666" s="269">
        <f>IFERROR(100*$J1666/$J$5,NA())</f>
        <v/>
      </c>
      <c r="E1666" s="32">
        <f>IFERROR(IF(AND(ISNUMBER($A1666),N(IF(AND(AH!$U$12=1,1661+1=AH!$U$6),IF(AH!$U$4=0,"unavailable",INDEX('Market Data'!$AN$5:$AN$66,AH!$U$4)),IF(AH!$U$5=1,INDEX('Live History'!$B$5:$B$3004,$K1666),INDEX('AH History'!$D$5:$GG$1380,$K1666,AH!$U$10))))&gt;0),IF(AND(AH!$U$12=1,1661+1=AH!$U$6),IF(AH!$U$4=0,"unavailable",INDEX('Market Data'!$AN$5:$AN$66,AH!$U$4)),IF(AH!$U$5=1,INDEX('Live History'!$B$5:$B$3004,$K1666),INDEX('AH History'!$D$5:$GG$1380,$K1666,AH!$U$10))),NA()),NA())</f>
        <v/>
      </c>
      <c r="F1666" s="32">
        <f>IFERROR(IF(ISNUMBER($A1666),IF(AND(AH!$U$12=1,1661+1=AH!$U$6),IF(AH!$U$4=0,"unavailable",INDEX('Market Data'!$AO$5:$AO$66,AH!$U$4)),IF(AH!$U$5=1,INDEX('Live History'!$E$5:$E$3004,MATCH($A1666,'Live History'!$D$5:$D$3004,1)),INDEX('AH History'!$D$5:$GG$1380,$K1666,AH!$U$10+1))),NA()),NA())</f>
        <v/>
      </c>
      <c r="G1666" s="34">
        <f>IFERROR(IF(ISNUMBER($A1666),IF(AND(AH!$U$12=1,1661+1=AH!$U$6),IF(AH!$U$4=0,"unavailable",INDEX('Market Data'!$AK$5:$AK$66,AH!$U$4)),IF(AH!$U$5=1,INDEX('Live History'!$D$5:$D$3004,MATCH($A1666,'Live History'!$D$5:$D$3004,1)),INDEX('AH History'!$D$5:$GG$1380,$K1666,AH!$U$10+2))),NA()),NA())</f>
        <v/>
      </c>
      <c r="H1666" s="266">
        <f>IFERROR(IF(ISNUMBER($A1666),IF(AND(AH!$U$12=1,1661+1=AH!$U$6),IF(AH!$U$4=0,"unavailable",INDEX('Market Data'!$AP$5:$AP$66,AH!$U$4)),IF(AH!$U$5=1,INDEX('Live History'!$H$5:$H$3004,MATCH($A1666,'Live History'!$G$5:$G$3004,1)),INDEX('AH History'!$B$5:$B$1380,$K1666))),NA()),NA())</f>
        <v/>
      </c>
      <c r="I1666" s="34">
        <f>IFERROR(IF(ISNUMBER($A1666),IF(AND(AH!$U$12=1,1661+1=AH!$U$6),TODAY(),IF(AH!$U$5=1,INDEX('Live History'!$G$5:$G$3004,MATCH($A1666,'Live History'!$G$5:$G$3004,1)),INDEX('AH History'!$C$5:$C$1380,$K1666))),NA()),NA())</f>
        <v/>
      </c>
      <c r="J1666" s="32">
        <f>IFERROR(IF(AND($F1666&gt;0,$H1666&gt;0,$A1666-$G1666&lt;=10,$A1666-$I1666&lt;=5,$G1666&gt;0,$I1666&gt;0),$F1666*$H1666,NA()),NA())</f>
        <v/>
      </c>
      <c r="K1666" s="15">
        <f>IF($A1666="","",IF(AH!$U$5=1,IFERROR(MATCH($A1666,'Live History'!$A$5:$A$3004,0),0),AH!$U$7+1661))</f>
        <v/>
      </c>
      <c r="L1666" s="15">
        <f>IF(ISNUMBER(A1666),TEXT(A1666,"dd-mmm-yy"),"")</f>
        <v/>
      </c>
    </row>
    <row r="1667">
      <c r="A1667" s="14">
        <f>IF(OR(AH!$U$4=0,1662+1&gt;AH!$U$6,AND(AH!$M$5="Bloomberg",AH!$U$5=0)),"",IFERROR(IF(AND(AH!$U$12=1,1662+1=AH!$U$6),TODAY(),IF(AH!$U$5=1,INDEX('Live History'!$A$5:$A$3004,AH!$U$7+1662),INDEX('AH History'!$A$5:$A$1380,AH!$U$7+1662))),""))</f>
        <v/>
      </c>
      <c r="B1667" s="33">
        <f>IFERROR(IF(AH!$U$11=1,NA(),$J1667/$E1667-1),NA())</f>
        <v/>
      </c>
      <c r="C1667" s="269">
        <f>IFERROR(100*$E1667/$E$5,NA())</f>
        <v/>
      </c>
      <c r="D1667" s="269">
        <f>IFERROR(100*$J1667/$J$5,NA())</f>
        <v/>
      </c>
      <c r="E1667" s="32">
        <f>IFERROR(IF(AND(ISNUMBER($A1667),N(IF(AND(AH!$U$12=1,1662+1=AH!$U$6),IF(AH!$U$4=0,"unavailable",INDEX('Market Data'!$AN$5:$AN$66,AH!$U$4)),IF(AH!$U$5=1,INDEX('Live History'!$B$5:$B$3004,$K1667),INDEX('AH History'!$D$5:$GG$1380,$K1667,AH!$U$10))))&gt;0),IF(AND(AH!$U$12=1,1662+1=AH!$U$6),IF(AH!$U$4=0,"unavailable",INDEX('Market Data'!$AN$5:$AN$66,AH!$U$4)),IF(AH!$U$5=1,INDEX('Live History'!$B$5:$B$3004,$K1667),INDEX('AH History'!$D$5:$GG$1380,$K1667,AH!$U$10))),NA()),NA())</f>
        <v/>
      </c>
      <c r="F1667" s="32">
        <f>IFERROR(IF(ISNUMBER($A1667),IF(AND(AH!$U$12=1,1662+1=AH!$U$6),IF(AH!$U$4=0,"unavailable",INDEX('Market Data'!$AO$5:$AO$66,AH!$U$4)),IF(AH!$U$5=1,INDEX('Live History'!$E$5:$E$3004,MATCH($A1667,'Live History'!$D$5:$D$3004,1)),INDEX('AH History'!$D$5:$GG$1380,$K1667,AH!$U$10+1))),NA()),NA())</f>
        <v/>
      </c>
      <c r="G1667" s="34">
        <f>IFERROR(IF(ISNUMBER($A1667),IF(AND(AH!$U$12=1,1662+1=AH!$U$6),IF(AH!$U$4=0,"unavailable",INDEX('Market Data'!$AK$5:$AK$66,AH!$U$4)),IF(AH!$U$5=1,INDEX('Live History'!$D$5:$D$3004,MATCH($A1667,'Live History'!$D$5:$D$3004,1)),INDEX('AH History'!$D$5:$GG$1380,$K1667,AH!$U$10+2))),NA()),NA())</f>
        <v/>
      </c>
      <c r="H1667" s="266">
        <f>IFERROR(IF(ISNUMBER($A1667),IF(AND(AH!$U$12=1,1662+1=AH!$U$6),IF(AH!$U$4=0,"unavailable",INDEX('Market Data'!$AP$5:$AP$66,AH!$U$4)),IF(AH!$U$5=1,INDEX('Live History'!$H$5:$H$3004,MATCH($A1667,'Live History'!$G$5:$G$3004,1)),INDEX('AH History'!$B$5:$B$1380,$K1667))),NA()),NA())</f>
        <v/>
      </c>
      <c r="I1667" s="34">
        <f>IFERROR(IF(ISNUMBER($A1667),IF(AND(AH!$U$12=1,1662+1=AH!$U$6),TODAY(),IF(AH!$U$5=1,INDEX('Live History'!$G$5:$G$3004,MATCH($A1667,'Live History'!$G$5:$G$3004,1)),INDEX('AH History'!$C$5:$C$1380,$K1667))),NA()),NA())</f>
        <v/>
      </c>
      <c r="J1667" s="32">
        <f>IFERROR(IF(AND($F1667&gt;0,$H1667&gt;0,$A1667-$G1667&lt;=10,$A1667-$I1667&lt;=5,$G1667&gt;0,$I1667&gt;0),$F1667*$H1667,NA()),NA())</f>
        <v/>
      </c>
      <c r="K1667" s="15">
        <f>IF($A1667="","",IF(AH!$U$5=1,IFERROR(MATCH($A1667,'Live History'!$A$5:$A$3004,0),0),AH!$U$7+1662))</f>
        <v/>
      </c>
      <c r="L1667" s="15">
        <f>IF(ISNUMBER(A1667),TEXT(A1667,"dd-mmm-yy"),"")</f>
        <v/>
      </c>
    </row>
    <row r="1668">
      <c r="A1668" s="14">
        <f>IF(OR(AH!$U$4=0,1663+1&gt;AH!$U$6,AND(AH!$M$5="Bloomberg",AH!$U$5=0)),"",IFERROR(IF(AND(AH!$U$12=1,1663+1=AH!$U$6),TODAY(),IF(AH!$U$5=1,INDEX('Live History'!$A$5:$A$3004,AH!$U$7+1663),INDEX('AH History'!$A$5:$A$1380,AH!$U$7+1663))),""))</f>
        <v/>
      </c>
      <c r="B1668" s="33">
        <f>IFERROR(IF(AH!$U$11=1,NA(),$J1668/$E1668-1),NA())</f>
        <v/>
      </c>
      <c r="C1668" s="269">
        <f>IFERROR(100*$E1668/$E$5,NA())</f>
        <v/>
      </c>
      <c r="D1668" s="269">
        <f>IFERROR(100*$J1668/$J$5,NA())</f>
        <v/>
      </c>
      <c r="E1668" s="32">
        <f>IFERROR(IF(AND(ISNUMBER($A1668),N(IF(AND(AH!$U$12=1,1663+1=AH!$U$6),IF(AH!$U$4=0,"unavailable",INDEX('Market Data'!$AN$5:$AN$66,AH!$U$4)),IF(AH!$U$5=1,INDEX('Live History'!$B$5:$B$3004,$K1668),INDEX('AH History'!$D$5:$GG$1380,$K1668,AH!$U$10))))&gt;0),IF(AND(AH!$U$12=1,1663+1=AH!$U$6),IF(AH!$U$4=0,"unavailable",INDEX('Market Data'!$AN$5:$AN$66,AH!$U$4)),IF(AH!$U$5=1,INDEX('Live History'!$B$5:$B$3004,$K1668),INDEX('AH History'!$D$5:$GG$1380,$K1668,AH!$U$10))),NA()),NA())</f>
        <v/>
      </c>
      <c r="F1668" s="32">
        <f>IFERROR(IF(ISNUMBER($A1668),IF(AND(AH!$U$12=1,1663+1=AH!$U$6),IF(AH!$U$4=0,"unavailable",INDEX('Market Data'!$AO$5:$AO$66,AH!$U$4)),IF(AH!$U$5=1,INDEX('Live History'!$E$5:$E$3004,MATCH($A1668,'Live History'!$D$5:$D$3004,1)),INDEX('AH History'!$D$5:$GG$1380,$K1668,AH!$U$10+1))),NA()),NA())</f>
        <v/>
      </c>
      <c r="G1668" s="34">
        <f>IFERROR(IF(ISNUMBER($A1668),IF(AND(AH!$U$12=1,1663+1=AH!$U$6),IF(AH!$U$4=0,"unavailable",INDEX('Market Data'!$AK$5:$AK$66,AH!$U$4)),IF(AH!$U$5=1,INDEX('Live History'!$D$5:$D$3004,MATCH($A1668,'Live History'!$D$5:$D$3004,1)),INDEX('AH History'!$D$5:$GG$1380,$K1668,AH!$U$10+2))),NA()),NA())</f>
        <v/>
      </c>
      <c r="H1668" s="266">
        <f>IFERROR(IF(ISNUMBER($A1668),IF(AND(AH!$U$12=1,1663+1=AH!$U$6),IF(AH!$U$4=0,"unavailable",INDEX('Market Data'!$AP$5:$AP$66,AH!$U$4)),IF(AH!$U$5=1,INDEX('Live History'!$H$5:$H$3004,MATCH($A1668,'Live History'!$G$5:$G$3004,1)),INDEX('AH History'!$B$5:$B$1380,$K1668))),NA()),NA())</f>
        <v/>
      </c>
      <c r="I1668" s="34">
        <f>IFERROR(IF(ISNUMBER($A1668),IF(AND(AH!$U$12=1,1663+1=AH!$U$6),TODAY(),IF(AH!$U$5=1,INDEX('Live History'!$G$5:$G$3004,MATCH($A1668,'Live History'!$G$5:$G$3004,1)),INDEX('AH History'!$C$5:$C$1380,$K1668))),NA()),NA())</f>
        <v/>
      </c>
      <c r="J1668" s="32">
        <f>IFERROR(IF(AND($F1668&gt;0,$H1668&gt;0,$A1668-$G1668&lt;=10,$A1668-$I1668&lt;=5,$G1668&gt;0,$I1668&gt;0),$F1668*$H1668,NA()),NA())</f>
        <v/>
      </c>
      <c r="K1668" s="15">
        <f>IF($A1668="","",IF(AH!$U$5=1,IFERROR(MATCH($A1668,'Live History'!$A$5:$A$3004,0),0),AH!$U$7+1663))</f>
        <v/>
      </c>
      <c r="L1668" s="15">
        <f>IF(ISNUMBER(A1668),TEXT(A1668,"dd-mmm-yy"),"")</f>
        <v/>
      </c>
    </row>
    <row r="1669">
      <c r="A1669" s="14">
        <f>IF(OR(AH!$U$4=0,1664+1&gt;AH!$U$6,AND(AH!$M$5="Bloomberg",AH!$U$5=0)),"",IFERROR(IF(AND(AH!$U$12=1,1664+1=AH!$U$6),TODAY(),IF(AH!$U$5=1,INDEX('Live History'!$A$5:$A$3004,AH!$U$7+1664),INDEX('AH History'!$A$5:$A$1380,AH!$U$7+1664))),""))</f>
        <v/>
      </c>
      <c r="B1669" s="33">
        <f>IFERROR(IF(AH!$U$11=1,NA(),$J1669/$E1669-1),NA())</f>
        <v/>
      </c>
      <c r="C1669" s="269">
        <f>IFERROR(100*$E1669/$E$5,NA())</f>
        <v/>
      </c>
      <c r="D1669" s="269">
        <f>IFERROR(100*$J1669/$J$5,NA())</f>
        <v/>
      </c>
      <c r="E1669" s="32">
        <f>IFERROR(IF(AND(ISNUMBER($A1669),N(IF(AND(AH!$U$12=1,1664+1=AH!$U$6),IF(AH!$U$4=0,"unavailable",INDEX('Market Data'!$AN$5:$AN$66,AH!$U$4)),IF(AH!$U$5=1,INDEX('Live History'!$B$5:$B$3004,$K1669),INDEX('AH History'!$D$5:$GG$1380,$K1669,AH!$U$10))))&gt;0),IF(AND(AH!$U$12=1,1664+1=AH!$U$6),IF(AH!$U$4=0,"unavailable",INDEX('Market Data'!$AN$5:$AN$66,AH!$U$4)),IF(AH!$U$5=1,INDEX('Live History'!$B$5:$B$3004,$K1669),INDEX('AH History'!$D$5:$GG$1380,$K1669,AH!$U$10))),NA()),NA())</f>
        <v/>
      </c>
      <c r="F1669" s="32">
        <f>IFERROR(IF(ISNUMBER($A1669),IF(AND(AH!$U$12=1,1664+1=AH!$U$6),IF(AH!$U$4=0,"unavailable",INDEX('Market Data'!$AO$5:$AO$66,AH!$U$4)),IF(AH!$U$5=1,INDEX('Live History'!$E$5:$E$3004,MATCH($A1669,'Live History'!$D$5:$D$3004,1)),INDEX('AH History'!$D$5:$GG$1380,$K1669,AH!$U$10+1))),NA()),NA())</f>
        <v/>
      </c>
      <c r="G1669" s="34">
        <f>IFERROR(IF(ISNUMBER($A1669),IF(AND(AH!$U$12=1,1664+1=AH!$U$6),IF(AH!$U$4=0,"unavailable",INDEX('Market Data'!$AK$5:$AK$66,AH!$U$4)),IF(AH!$U$5=1,INDEX('Live History'!$D$5:$D$3004,MATCH($A1669,'Live History'!$D$5:$D$3004,1)),INDEX('AH History'!$D$5:$GG$1380,$K1669,AH!$U$10+2))),NA()),NA())</f>
        <v/>
      </c>
      <c r="H1669" s="266">
        <f>IFERROR(IF(ISNUMBER($A1669),IF(AND(AH!$U$12=1,1664+1=AH!$U$6),IF(AH!$U$4=0,"unavailable",INDEX('Market Data'!$AP$5:$AP$66,AH!$U$4)),IF(AH!$U$5=1,INDEX('Live History'!$H$5:$H$3004,MATCH($A1669,'Live History'!$G$5:$G$3004,1)),INDEX('AH History'!$B$5:$B$1380,$K1669))),NA()),NA())</f>
        <v/>
      </c>
      <c r="I1669" s="34">
        <f>IFERROR(IF(ISNUMBER($A1669),IF(AND(AH!$U$12=1,1664+1=AH!$U$6),TODAY(),IF(AH!$U$5=1,INDEX('Live History'!$G$5:$G$3004,MATCH($A1669,'Live History'!$G$5:$G$3004,1)),INDEX('AH History'!$C$5:$C$1380,$K1669))),NA()),NA())</f>
        <v/>
      </c>
      <c r="J1669" s="32">
        <f>IFERROR(IF(AND($F1669&gt;0,$H1669&gt;0,$A1669-$G1669&lt;=10,$A1669-$I1669&lt;=5,$G1669&gt;0,$I1669&gt;0),$F1669*$H1669,NA()),NA())</f>
        <v/>
      </c>
      <c r="K1669" s="15">
        <f>IF($A1669="","",IF(AH!$U$5=1,IFERROR(MATCH($A1669,'Live History'!$A$5:$A$3004,0),0),AH!$U$7+1664))</f>
        <v/>
      </c>
      <c r="L1669" s="15">
        <f>IF(ISNUMBER(A1669),TEXT(A1669,"dd-mmm-yy"),"")</f>
        <v/>
      </c>
    </row>
    <row r="1670">
      <c r="A1670" s="14">
        <f>IF(OR(AH!$U$4=0,1665+1&gt;AH!$U$6,AND(AH!$M$5="Bloomberg",AH!$U$5=0)),"",IFERROR(IF(AND(AH!$U$12=1,1665+1=AH!$U$6),TODAY(),IF(AH!$U$5=1,INDEX('Live History'!$A$5:$A$3004,AH!$U$7+1665),INDEX('AH History'!$A$5:$A$1380,AH!$U$7+1665))),""))</f>
        <v/>
      </c>
      <c r="B1670" s="33">
        <f>IFERROR(IF(AH!$U$11=1,NA(),$J1670/$E1670-1),NA())</f>
        <v/>
      </c>
      <c r="C1670" s="269">
        <f>IFERROR(100*$E1670/$E$5,NA())</f>
        <v/>
      </c>
      <c r="D1670" s="269">
        <f>IFERROR(100*$J1670/$J$5,NA())</f>
        <v/>
      </c>
      <c r="E1670" s="32">
        <f>IFERROR(IF(AND(ISNUMBER($A1670),N(IF(AND(AH!$U$12=1,1665+1=AH!$U$6),IF(AH!$U$4=0,"unavailable",INDEX('Market Data'!$AN$5:$AN$66,AH!$U$4)),IF(AH!$U$5=1,INDEX('Live History'!$B$5:$B$3004,$K1670),INDEX('AH History'!$D$5:$GG$1380,$K1670,AH!$U$10))))&gt;0),IF(AND(AH!$U$12=1,1665+1=AH!$U$6),IF(AH!$U$4=0,"unavailable",INDEX('Market Data'!$AN$5:$AN$66,AH!$U$4)),IF(AH!$U$5=1,INDEX('Live History'!$B$5:$B$3004,$K1670),INDEX('AH History'!$D$5:$GG$1380,$K1670,AH!$U$10))),NA()),NA())</f>
        <v/>
      </c>
      <c r="F1670" s="32">
        <f>IFERROR(IF(ISNUMBER($A1670),IF(AND(AH!$U$12=1,1665+1=AH!$U$6),IF(AH!$U$4=0,"unavailable",INDEX('Market Data'!$AO$5:$AO$66,AH!$U$4)),IF(AH!$U$5=1,INDEX('Live History'!$E$5:$E$3004,MATCH($A1670,'Live History'!$D$5:$D$3004,1)),INDEX('AH History'!$D$5:$GG$1380,$K1670,AH!$U$10+1))),NA()),NA())</f>
        <v/>
      </c>
      <c r="G1670" s="34">
        <f>IFERROR(IF(ISNUMBER($A1670),IF(AND(AH!$U$12=1,1665+1=AH!$U$6),IF(AH!$U$4=0,"unavailable",INDEX('Market Data'!$AK$5:$AK$66,AH!$U$4)),IF(AH!$U$5=1,INDEX('Live History'!$D$5:$D$3004,MATCH($A1670,'Live History'!$D$5:$D$3004,1)),INDEX('AH History'!$D$5:$GG$1380,$K1670,AH!$U$10+2))),NA()),NA())</f>
        <v/>
      </c>
      <c r="H1670" s="266">
        <f>IFERROR(IF(ISNUMBER($A1670),IF(AND(AH!$U$12=1,1665+1=AH!$U$6),IF(AH!$U$4=0,"unavailable",INDEX('Market Data'!$AP$5:$AP$66,AH!$U$4)),IF(AH!$U$5=1,INDEX('Live History'!$H$5:$H$3004,MATCH($A1670,'Live History'!$G$5:$G$3004,1)),INDEX('AH History'!$B$5:$B$1380,$K1670))),NA()),NA())</f>
        <v/>
      </c>
      <c r="I1670" s="34">
        <f>IFERROR(IF(ISNUMBER($A1670),IF(AND(AH!$U$12=1,1665+1=AH!$U$6),TODAY(),IF(AH!$U$5=1,INDEX('Live History'!$G$5:$G$3004,MATCH($A1670,'Live History'!$G$5:$G$3004,1)),INDEX('AH History'!$C$5:$C$1380,$K1670))),NA()),NA())</f>
        <v/>
      </c>
      <c r="J1670" s="32">
        <f>IFERROR(IF(AND($F1670&gt;0,$H1670&gt;0,$A1670-$G1670&lt;=10,$A1670-$I1670&lt;=5,$G1670&gt;0,$I1670&gt;0),$F1670*$H1670,NA()),NA())</f>
        <v/>
      </c>
      <c r="K1670" s="15">
        <f>IF($A1670="","",IF(AH!$U$5=1,IFERROR(MATCH($A1670,'Live History'!$A$5:$A$3004,0),0),AH!$U$7+1665))</f>
        <v/>
      </c>
      <c r="L1670" s="15">
        <f>IF(ISNUMBER(A1670),TEXT(A1670,"dd-mmm-yy"),"")</f>
        <v/>
      </c>
    </row>
    <row r="1671">
      <c r="A1671" s="14">
        <f>IF(OR(AH!$U$4=0,1666+1&gt;AH!$U$6,AND(AH!$M$5="Bloomberg",AH!$U$5=0)),"",IFERROR(IF(AND(AH!$U$12=1,1666+1=AH!$U$6),TODAY(),IF(AH!$U$5=1,INDEX('Live History'!$A$5:$A$3004,AH!$U$7+1666),INDEX('AH History'!$A$5:$A$1380,AH!$U$7+1666))),""))</f>
        <v/>
      </c>
      <c r="B1671" s="33">
        <f>IFERROR(IF(AH!$U$11=1,NA(),$J1671/$E1671-1),NA())</f>
        <v/>
      </c>
      <c r="C1671" s="269">
        <f>IFERROR(100*$E1671/$E$5,NA())</f>
        <v/>
      </c>
      <c r="D1671" s="269">
        <f>IFERROR(100*$J1671/$J$5,NA())</f>
        <v/>
      </c>
      <c r="E1671" s="32">
        <f>IFERROR(IF(AND(ISNUMBER($A1671),N(IF(AND(AH!$U$12=1,1666+1=AH!$U$6),IF(AH!$U$4=0,"unavailable",INDEX('Market Data'!$AN$5:$AN$66,AH!$U$4)),IF(AH!$U$5=1,INDEX('Live History'!$B$5:$B$3004,$K1671),INDEX('AH History'!$D$5:$GG$1380,$K1671,AH!$U$10))))&gt;0),IF(AND(AH!$U$12=1,1666+1=AH!$U$6),IF(AH!$U$4=0,"unavailable",INDEX('Market Data'!$AN$5:$AN$66,AH!$U$4)),IF(AH!$U$5=1,INDEX('Live History'!$B$5:$B$3004,$K1671),INDEX('AH History'!$D$5:$GG$1380,$K1671,AH!$U$10))),NA()),NA())</f>
        <v/>
      </c>
      <c r="F1671" s="32">
        <f>IFERROR(IF(ISNUMBER($A1671),IF(AND(AH!$U$12=1,1666+1=AH!$U$6),IF(AH!$U$4=0,"unavailable",INDEX('Market Data'!$AO$5:$AO$66,AH!$U$4)),IF(AH!$U$5=1,INDEX('Live History'!$E$5:$E$3004,MATCH($A1671,'Live History'!$D$5:$D$3004,1)),INDEX('AH History'!$D$5:$GG$1380,$K1671,AH!$U$10+1))),NA()),NA())</f>
        <v/>
      </c>
      <c r="G1671" s="34">
        <f>IFERROR(IF(ISNUMBER($A1671),IF(AND(AH!$U$12=1,1666+1=AH!$U$6),IF(AH!$U$4=0,"unavailable",INDEX('Market Data'!$AK$5:$AK$66,AH!$U$4)),IF(AH!$U$5=1,INDEX('Live History'!$D$5:$D$3004,MATCH($A1671,'Live History'!$D$5:$D$3004,1)),INDEX('AH History'!$D$5:$GG$1380,$K1671,AH!$U$10+2))),NA()),NA())</f>
        <v/>
      </c>
      <c r="H1671" s="266">
        <f>IFERROR(IF(ISNUMBER($A1671),IF(AND(AH!$U$12=1,1666+1=AH!$U$6),IF(AH!$U$4=0,"unavailable",INDEX('Market Data'!$AP$5:$AP$66,AH!$U$4)),IF(AH!$U$5=1,INDEX('Live History'!$H$5:$H$3004,MATCH($A1671,'Live History'!$G$5:$G$3004,1)),INDEX('AH History'!$B$5:$B$1380,$K1671))),NA()),NA())</f>
        <v/>
      </c>
      <c r="I1671" s="34">
        <f>IFERROR(IF(ISNUMBER($A1671),IF(AND(AH!$U$12=1,1666+1=AH!$U$6),TODAY(),IF(AH!$U$5=1,INDEX('Live History'!$G$5:$G$3004,MATCH($A1671,'Live History'!$G$5:$G$3004,1)),INDEX('AH History'!$C$5:$C$1380,$K1671))),NA()),NA())</f>
        <v/>
      </c>
      <c r="J1671" s="32">
        <f>IFERROR(IF(AND($F1671&gt;0,$H1671&gt;0,$A1671-$G1671&lt;=10,$A1671-$I1671&lt;=5,$G1671&gt;0,$I1671&gt;0),$F1671*$H1671,NA()),NA())</f>
        <v/>
      </c>
      <c r="K1671" s="15">
        <f>IF($A1671="","",IF(AH!$U$5=1,IFERROR(MATCH($A1671,'Live History'!$A$5:$A$3004,0),0),AH!$U$7+1666))</f>
        <v/>
      </c>
      <c r="L1671" s="15">
        <f>IF(ISNUMBER(A1671),TEXT(A1671,"dd-mmm-yy"),"")</f>
        <v/>
      </c>
    </row>
    <row r="1672">
      <c r="A1672" s="14">
        <f>IF(OR(AH!$U$4=0,1667+1&gt;AH!$U$6,AND(AH!$M$5="Bloomberg",AH!$U$5=0)),"",IFERROR(IF(AND(AH!$U$12=1,1667+1=AH!$U$6),TODAY(),IF(AH!$U$5=1,INDEX('Live History'!$A$5:$A$3004,AH!$U$7+1667),INDEX('AH History'!$A$5:$A$1380,AH!$U$7+1667))),""))</f>
        <v/>
      </c>
      <c r="B1672" s="33">
        <f>IFERROR(IF(AH!$U$11=1,NA(),$J1672/$E1672-1),NA())</f>
        <v/>
      </c>
      <c r="C1672" s="269">
        <f>IFERROR(100*$E1672/$E$5,NA())</f>
        <v/>
      </c>
      <c r="D1672" s="269">
        <f>IFERROR(100*$J1672/$J$5,NA())</f>
        <v/>
      </c>
      <c r="E1672" s="32">
        <f>IFERROR(IF(AND(ISNUMBER($A1672),N(IF(AND(AH!$U$12=1,1667+1=AH!$U$6),IF(AH!$U$4=0,"unavailable",INDEX('Market Data'!$AN$5:$AN$66,AH!$U$4)),IF(AH!$U$5=1,INDEX('Live History'!$B$5:$B$3004,$K1672),INDEX('AH History'!$D$5:$GG$1380,$K1672,AH!$U$10))))&gt;0),IF(AND(AH!$U$12=1,1667+1=AH!$U$6),IF(AH!$U$4=0,"unavailable",INDEX('Market Data'!$AN$5:$AN$66,AH!$U$4)),IF(AH!$U$5=1,INDEX('Live History'!$B$5:$B$3004,$K1672),INDEX('AH History'!$D$5:$GG$1380,$K1672,AH!$U$10))),NA()),NA())</f>
        <v/>
      </c>
      <c r="F1672" s="32">
        <f>IFERROR(IF(ISNUMBER($A1672),IF(AND(AH!$U$12=1,1667+1=AH!$U$6),IF(AH!$U$4=0,"unavailable",INDEX('Market Data'!$AO$5:$AO$66,AH!$U$4)),IF(AH!$U$5=1,INDEX('Live History'!$E$5:$E$3004,MATCH($A1672,'Live History'!$D$5:$D$3004,1)),INDEX('AH History'!$D$5:$GG$1380,$K1672,AH!$U$10+1))),NA()),NA())</f>
        <v/>
      </c>
      <c r="G1672" s="34">
        <f>IFERROR(IF(ISNUMBER($A1672),IF(AND(AH!$U$12=1,1667+1=AH!$U$6),IF(AH!$U$4=0,"unavailable",INDEX('Market Data'!$AK$5:$AK$66,AH!$U$4)),IF(AH!$U$5=1,INDEX('Live History'!$D$5:$D$3004,MATCH($A1672,'Live History'!$D$5:$D$3004,1)),INDEX('AH History'!$D$5:$GG$1380,$K1672,AH!$U$10+2))),NA()),NA())</f>
        <v/>
      </c>
      <c r="H1672" s="266">
        <f>IFERROR(IF(ISNUMBER($A1672),IF(AND(AH!$U$12=1,1667+1=AH!$U$6),IF(AH!$U$4=0,"unavailable",INDEX('Market Data'!$AP$5:$AP$66,AH!$U$4)),IF(AH!$U$5=1,INDEX('Live History'!$H$5:$H$3004,MATCH($A1672,'Live History'!$G$5:$G$3004,1)),INDEX('AH History'!$B$5:$B$1380,$K1672))),NA()),NA())</f>
        <v/>
      </c>
      <c r="I1672" s="34">
        <f>IFERROR(IF(ISNUMBER($A1672),IF(AND(AH!$U$12=1,1667+1=AH!$U$6),TODAY(),IF(AH!$U$5=1,INDEX('Live History'!$G$5:$G$3004,MATCH($A1672,'Live History'!$G$5:$G$3004,1)),INDEX('AH History'!$C$5:$C$1380,$K1672))),NA()),NA())</f>
        <v/>
      </c>
      <c r="J1672" s="32">
        <f>IFERROR(IF(AND($F1672&gt;0,$H1672&gt;0,$A1672-$G1672&lt;=10,$A1672-$I1672&lt;=5,$G1672&gt;0,$I1672&gt;0),$F1672*$H1672,NA()),NA())</f>
        <v/>
      </c>
      <c r="K1672" s="15">
        <f>IF($A1672="","",IF(AH!$U$5=1,IFERROR(MATCH($A1672,'Live History'!$A$5:$A$3004,0),0),AH!$U$7+1667))</f>
        <v/>
      </c>
      <c r="L1672" s="15">
        <f>IF(ISNUMBER(A1672),TEXT(A1672,"dd-mmm-yy"),"")</f>
        <v/>
      </c>
    </row>
    <row r="1673">
      <c r="A1673" s="14">
        <f>IF(OR(AH!$U$4=0,1668+1&gt;AH!$U$6,AND(AH!$M$5="Bloomberg",AH!$U$5=0)),"",IFERROR(IF(AND(AH!$U$12=1,1668+1=AH!$U$6),TODAY(),IF(AH!$U$5=1,INDEX('Live History'!$A$5:$A$3004,AH!$U$7+1668),INDEX('AH History'!$A$5:$A$1380,AH!$U$7+1668))),""))</f>
        <v/>
      </c>
      <c r="B1673" s="33">
        <f>IFERROR(IF(AH!$U$11=1,NA(),$J1673/$E1673-1),NA())</f>
        <v/>
      </c>
      <c r="C1673" s="269">
        <f>IFERROR(100*$E1673/$E$5,NA())</f>
        <v/>
      </c>
      <c r="D1673" s="269">
        <f>IFERROR(100*$J1673/$J$5,NA())</f>
        <v/>
      </c>
      <c r="E1673" s="32">
        <f>IFERROR(IF(AND(ISNUMBER($A1673),N(IF(AND(AH!$U$12=1,1668+1=AH!$U$6),IF(AH!$U$4=0,"unavailable",INDEX('Market Data'!$AN$5:$AN$66,AH!$U$4)),IF(AH!$U$5=1,INDEX('Live History'!$B$5:$B$3004,$K1673),INDEX('AH History'!$D$5:$GG$1380,$K1673,AH!$U$10))))&gt;0),IF(AND(AH!$U$12=1,1668+1=AH!$U$6),IF(AH!$U$4=0,"unavailable",INDEX('Market Data'!$AN$5:$AN$66,AH!$U$4)),IF(AH!$U$5=1,INDEX('Live History'!$B$5:$B$3004,$K1673),INDEX('AH History'!$D$5:$GG$1380,$K1673,AH!$U$10))),NA()),NA())</f>
        <v/>
      </c>
      <c r="F1673" s="32">
        <f>IFERROR(IF(ISNUMBER($A1673),IF(AND(AH!$U$12=1,1668+1=AH!$U$6),IF(AH!$U$4=0,"unavailable",INDEX('Market Data'!$AO$5:$AO$66,AH!$U$4)),IF(AH!$U$5=1,INDEX('Live History'!$E$5:$E$3004,MATCH($A1673,'Live History'!$D$5:$D$3004,1)),INDEX('AH History'!$D$5:$GG$1380,$K1673,AH!$U$10+1))),NA()),NA())</f>
        <v/>
      </c>
      <c r="G1673" s="34">
        <f>IFERROR(IF(ISNUMBER($A1673),IF(AND(AH!$U$12=1,1668+1=AH!$U$6),IF(AH!$U$4=0,"unavailable",INDEX('Market Data'!$AK$5:$AK$66,AH!$U$4)),IF(AH!$U$5=1,INDEX('Live History'!$D$5:$D$3004,MATCH($A1673,'Live History'!$D$5:$D$3004,1)),INDEX('AH History'!$D$5:$GG$1380,$K1673,AH!$U$10+2))),NA()),NA())</f>
        <v/>
      </c>
      <c r="H1673" s="266">
        <f>IFERROR(IF(ISNUMBER($A1673),IF(AND(AH!$U$12=1,1668+1=AH!$U$6),IF(AH!$U$4=0,"unavailable",INDEX('Market Data'!$AP$5:$AP$66,AH!$U$4)),IF(AH!$U$5=1,INDEX('Live History'!$H$5:$H$3004,MATCH($A1673,'Live History'!$G$5:$G$3004,1)),INDEX('AH History'!$B$5:$B$1380,$K1673))),NA()),NA())</f>
        <v/>
      </c>
      <c r="I1673" s="34">
        <f>IFERROR(IF(ISNUMBER($A1673),IF(AND(AH!$U$12=1,1668+1=AH!$U$6),TODAY(),IF(AH!$U$5=1,INDEX('Live History'!$G$5:$G$3004,MATCH($A1673,'Live History'!$G$5:$G$3004,1)),INDEX('AH History'!$C$5:$C$1380,$K1673))),NA()),NA())</f>
        <v/>
      </c>
      <c r="J1673" s="32">
        <f>IFERROR(IF(AND($F1673&gt;0,$H1673&gt;0,$A1673-$G1673&lt;=10,$A1673-$I1673&lt;=5,$G1673&gt;0,$I1673&gt;0),$F1673*$H1673,NA()),NA())</f>
        <v/>
      </c>
      <c r="K1673" s="15">
        <f>IF($A1673="","",IF(AH!$U$5=1,IFERROR(MATCH($A1673,'Live History'!$A$5:$A$3004,0),0),AH!$U$7+1668))</f>
        <v/>
      </c>
      <c r="L1673" s="15">
        <f>IF(ISNUMBER(A1673),TEXT(A1673,"dd-mmm-yy"),"")</f>
        <v/>
      </c>
    </row>
    <row r="1674">
      <c r="A1674" s="14">
        <f>IF(OR(AH!$U$4=0,1669+1&gt;AH!$U$6,AND(AH!$M$5="Bloomberg",AH!$U$5=0)),"",IFERROR(IF(AND(AH!$U$12=1,1669+1=AH!$U$6),TODAY(),IF(AH!$U$5=1,INDEX('Live History'!$A$5:$A$3004,AH!$U$7+1669),INDEX('AH History'!$A$5:$A$1380,AH!$U$7+1669))),""))</f>
        <v/>
      </c>
      <c r="B1674" s="33">
        <f>IFERROR(IF(AH!$U$11=1,NA(),$J1674/$E1674-1),NA())</f>
        <v/>
      </c>
      <c r="C1674" s="269">
        <f>IFERROR(100*$E1674/$E$5,NA())</f>
        <v/>
      </c>
      <c r="D1674" s="269">
        <f>IFERROR(100*$J1674/$J$5,NA())</f>
        <v/>
      </c>
      <c r="E1674" s="32">
        <f>IFERROR(IF(AND(ISNUMBER($A1674),N(IF(AND(AH!$U$12=1,1669+1=AH!$U$6),IF(AH!$U$4=0,"unavailable",INDEX('Market Data'!$AN$5:$AN$66,AH!$U$4)),IF(AH!$U$5=1,INDEX('Live History'!$B$5:$B$3004,$K1674),INDEX('AH History'!$D$5:$GG$1380,$K1674,AH!$U$10))))&gt;0),IF(AND(AH!$U$12=1,1669+1=AH!$U$6),IF(AH!$U$4=0,"unavailable",INDEX('Market Data'!$AN$5:$AN$66,AH!$U$4)),IF(AH!$U$5=1,INDEX('Live History'!$B$5:$B$3004,$K1674),INDEX('AH History'!$D$5:$GG$1380,$K1674,AH!$U$10))),NA()),NA())</f>
        <v/>
      </c>
      <c r="F1674" s="32">
        <f>IFERROR(IF(ISNUMBER($A1674),IF(AND(AH!$U$12=1,1669+1=AH!$U$6),IF(AH!$U$4=0,"unavailable",INDEX('Market Data'!$AO$5:$AO$66,AH!$U$4)),IF(AH!$U$5=1,INDEX('Live History'!$E$5:$E$3004,MATCH($A1674,'Live History'!$D$5:$D$3004,1)),INDEX('AH History'!$D$5:$GG$1380,$K1674,AH!$U$10+1))),NA()),NA())</f>
        <v/>
      </c>
      <c r="G1674" s="34">
        <f>IFERROR(IF(ISNUMBER($A1674),IF(AND(AH!$U$12=1,1669+1=AH!$U$6),IF(AH!$U$4=0,"unavailable",INDEX('Market Data'!$AK$5:$AK$66,AH!$U$4)),IF(AH!$U$5=1,INDEX('Live History'!$D$5:$D$3004,MATCH($A1674,'Live History'!$D$5:$D$3004,1)),INDEX('AH History'!$D$5:$GG$1380,$K1674,AH!$U$10+2))),NA()),NA())</f>
        <v/>
      </c>
      <c r="H1674" s="266">
        <f>IFERROR(IF(ISNUMBER($A1674),IF(AND(AH!$U$12=1,1669+1=AH!$U$6),IF(AH!$U$4=0,"unavailable",INDEX('Market Data'!$AP$5:$AP$66,AH!$U$4)),IF(AH!$U$5=1,INDEX('Live History'!$H$5:$H$3004,MATCH($A1674,'Live History'!$G$5:$G$3004,1)),INDEX('AH History'!$B$5:$B$1380,$K1674))),NA()),NA())</f>
        <v/>
      </c>
      <c r="I1674" s="34">
        <f>IFERROR(IF(ISNUMBER($A1674),IF(AND(AH!$U$12=1,1669+1=AH!$U$6),TODAY(),IF(AH!$U$5=1,INDEX('Live History'!$G$5:$G$3004,MATCH($A1674,'Live History'!$G$5:$G$3004,1)),INDEX('AH History'!$C$5:$C$1380,$K1674))),NA()),NA())</f>
        <v/>
      </c>
      <c r="J1674" s="32">
        <f>IFERROR(IF(AND($F1674&gt;0,$H1674&gt;0,$A1674-$G1674&lt;=10,$A1674-$I1674&lt;=5,$G1674&gt;0,$I1674&gt;0),$F1674*$H1674,NA()),NA())</f>
        <v/>
      </c>
      <c r="K1674" s="15">
        <f>IF($A1674="","",IF(AH!$U$5=1,IFERROR(MATCH($A1674,'Live History'!$A$5:$A$3004,0),0),AH!$U$7+1669))</f>
        <v/>
      </c>
      <c r="L1674" s="15">
        <f>IF(ISNUMBER(A1674),TEXT(A1674,"dd-mmm-yy"),"")</f>
        <v/>
      </c>
    </row>
    <row r="1675">
      <c r="A1675" s="14">
        <f>IF(OR(AH!$U$4=0,1670+1&gt;AH!$U$6,AND(AH!$M$5="Bloomberg",AH!$U$5=0)),"",IFERROR(IF(AND(AH!$U$12=1,1670+1=AH!$U$6),TODAY(),IF(AH!$U$5=1,INDEX('Live History'!$A$5:$A$3004,AH!$U$7+1670),INDEX('AH History'!$A$5:$A$1380,AH!$U$7+1670))),""))</f>
        <v/>
      </c>
      <c r="B1675" s="33">
        <f>IFERROR(IF(AH!$U$11=1,NA(),$J1675/$E1675-1),NA())</f>
        <v/>
      </c>
      <c r="C1675" s="269">
        <f>IFERROR(100*$E1675/$E$5,NA())</f>
        <v/>
      </c>
      <c r="D1675" s="269">
        <f>IFERROR(100*$J1675/$J$5,NA())</f>
        <v/>
      </c>
      <c r="E1675" s="32">
        <f>IFERROR(IF(AND(ISNUMBER($A1675),N(IF(AND(AH!$U$12=1,1670+1=AH!$U$6),IF(AH!$U$4=0,"unavailable",INDEX('Market Data'!$AN$5:$AN$66,AH!$U$4)),IF(AH!$U$5=1,INDEX('Live History'!$B$5:$B$3004,$K1675),INDEX('AH History'!$D$5:$GG$1380,$K1675,AH!$U$10))))&gt;0),IF(AND(AH!$U$12=1,1670+1=AH!$U$6),IF(AH!$U$4=0,"unavailable",INDEX('Market Data'!$AN$5:$AN$66,AH!$U$4)),IF(AH!$U$5=1,INDEX('Live History'!$B$5:$B$3004,$K1675),INDEX('AH History'!$D$5:$GG$1380,$K1675,AH!$U$10))),NA()),NA())</f>
        <v/>
      </c>
      <c r="F1675" s="32">
        <f>IFERROR(IF(ISNUMBER($A1675),IF(AND(AH!$U$12=1,1670+1=AH!$U$6),IF(AH!$U$4=0,"unavailable",INDEX('Market Data'!$AO$5:$AO$66,AH!$U$4)),IF(AH!$U$5=1,INDEX('Live History'!$E$5:$E$3004,MATCH($A1675,'Live History'!$D$5:$D$3004,1)),INDEX('AH History'!$D$5:$GG$1380,$K1675,AH!$U$10+1))),NA()),NA())</f>
        <v/>
      </c>
      <c r="G1675" s="34">
        <f>IFERROR(IF(ISNUMBER($A1675),IF(AND(AH!$U$12=1,1670+1=AH!$U$6),IF(AH!$U$4=0,"unavailable",INDEX('Market Data'!$AK$5:$AK$66,AH!$U$4)),IF(AH!$U$5=1,INDEX('Live History'!$D$5:$D$3004,MATCH($A1675,'Live History'!$D$5:$D$3004,1)),INDEX('AH History'!$D$5:$GG$1380,$K1675,AH!$U$10+2))),NA()),NA())</f>
        <v/>
      </c>
      <c r="H1675" s="266">
        <f>IFERROR(IF(ISNUMBER($A1675),IF(AND(AH!$U$12=1,1670+1=AH!$U$6),IF(AH!$U$4=0,"unavailable",INDEX('Market Data'!$AP$5:$AP$66,AH!$U$4)),IF(AH!$U$5=1,INDEX('Live History'!$H$5:$H$3004,MATCH($A1675,'Live History'!$G$5:$G$3004,1)),INDEX('AH History'!$B$5:$B$1380,$K1675))),NA()),NA())</f>
        <v/>
      </c>
      <c r="I1675" s="34">
        <f>IFERROR(IF(ISNUMBER($A1675),IF(AND(AH!$U$12=1,1670+1=AH!$U$6),TODAY(),IF(AH!$U$5=1,INDEX('Live History'!$G$5:$G$3004,MATCH($A1675,'Live History'!$G$5:$G$3004,1)),INDEX('AH History'!$C$5:$C$1380,$K1675))),NA()),NA())</f>
        <v/>
      </c>
      <c r="J1675" s="32">
        <f>IFERROR(IF(AND($F1675&gt;0,$H1675&gt;0,$A1675-$G1675&lt;=10,$A1675-$I1675&lt;=5,$G1675&gt;0,$I1675&gt;0),$F1675*$H1675,NA()),NA())</f>
        <v/>
      </c>
      <c r="K1675" s="15">
        <f>IF($A1675="","",IF(AH!$U$5=1,IFERROR(MATCH($A1675,'Live History'!$A$5:$A$3004,0),0),AH!$U$7+1670))</f>
        <v/>
      </c>
      <c r="L1675" s="15">
        <f>IF(ISNUMBER(A1675),TEXT(A1675,"dd-mmm-yy"),"")</f>
        <v/>
      </c>
    </row>
    <row r="1676">
      <c r="A1676" s="14">
        <f>IF(OR(AH!$U$4=0,1671+1&gt;AH!$U$6,AND(AH!$M$5="Bloomberg",AH!$U$5=0)),"",IFERROR(IF(AND(AH!$U$12=1,1671+1=AH!$U$6),TODAY(),IF(AH!$U$5=1,INDEX('Live History'!$A$5:$A$3004,AH!$U$7+1671),INDEX('AH History'!$A$5:$A$1380,AH!$U$7+1671))),""))</f>
        <v/>
      </c>
      <c r="B1676" s="33">
        <f>IFERROR(IF(AH!$U$11=1,NA(),$J1676/$E1676-1),NA())</f>
        <v/>
      </c>
      <c r="C1676" s="269">
        <f>IFERROR(100*$E1676/$E$5,NA())</f>
        <v/>
      </c>
      <c r="D1676" s="269">
        <f>IFERROR(100*$J1676/$J$5,NA())</f>
        <v/>
      </c>
      <c r="E1676" s="32">
        <f>IFERROR(IF(AND(ISNUMBER($A1676),N(IF(AND(AH!$U$12=1,1671+1=AH!$U$6),IF(AH!$U$4=0,"unavailable",INDEX('Market Data'!$AN$5:$AN$66,AH!$U$4)),IF(AH!$U$5=1,INDEX('Live History'!$B$5:$B$3004,$K1676),INDEX('AH History'!$D$5:$GG$1380,$K1676,AH!$U$10))))&gt;0),IF(AND(AH!$U$12=1,1671+1=AH!$U$6),IF(AH!$U$4=0,"unavailable",INDEX('Market Data'!$AN$5:$AN$66,AH!$U$4)),IF(AH!$U$5=1,INDEX('Live History'!$B$5:$B$3004,$K1676),INDEX('AH History'!$D$5:$GG$1380,$K1676,AH!$U$10))),NA()),NA())</f>
        <v/>
      </c>
      <c r="F1676" s="32">
        <f>IFERROR(IF(ISNUMBER($A1676),IF(AND(AH!$U$12=1,1671+1=AH!$U$6),IF(AH!$U$4=0,"unavailable",INDEX('Market Data'!$AO$5:$AO$66,AH!$U$4)),IF(AH!$U$5=1,INDEX('Live History'!$E$5:$E$3004,MATCH($A1676,'Live History'!$D$5:$D$3004,1)),INDEX('AH History'!$D$5:$GG$1380,$K1676,AH!$U$10+1))),NA()),NA())</f>
        <v/>
      </c>
      <c r="G1676" s="34">
        <f>IFERROR(IF(ISNUMBER($A1676),IF(AND(AH!$U$12=1,1671+1=AH!$U$6),IF(AH!$U$4=0,"unavailable",INDEX('Market Data'!$AK$5:$AK$66,AH!$U$4)),IF(AH!$U$5=1,INDEX('Live History'!$D$5:$D$3004,MATCH($A1676,'Live History'!$D$5:$D$3004,1)),INDEX('AH History'!$D$5:$GG$1380,$K1676,AH!$U$10+2))),NA()),NA())</f>
        <v/>
      </c>
      <c r="H1676" s="266">
        <f>IFERROR(IF(ISNUMBER($A1676),IF(AND(AH!$U$12=1,1671+1=AH!$U$6),IF(AH!$U$4=0,"unavailable",INDEX('Market Data'!$AP$5:$AP$66,AH!$U$4)),IF(AH!$U$5=1,INDEX('Live History'!$H$5:$H$3004,MATCH($A1676,'Live History'!$G$5:$G$3004,1)),INDEX('AH History'!$B$5:$B$1380,$K1676))),NA()),NA())</f>
        <v/>
      </c>
      <c r="I1676" s="34">
        <f>IFERROR(IF(ISNUMBER($A1676),IF(AND(AH!$U$12=1,1671+1=AH!$U$6),TODAY(),IF(AH!$U$5=1,INDEX('Live History'!$G$5:$G$3004,MATCH($A1676,'Live History'!$G$5:$G$3004,1)),INDEX('AH History'!$C$5:$C$1380,$K1676))),NA()),NA())</f>
        <v/>
      </c>
      <c r="J1676" s="32">
        <f>IFERROR(IF(AND($F1676&gt;0,$H1676&gt;0,$A1676-$G1676&lt;=10,$A1676-$I1676&lt;=5,$G1676&gt;0,$I1676&gt;0),$F1676*$H1676,NA()),NA())</f>
        <v/>
      </c>
      <c r="K1676" s="15">
        <f>IF($A1676="","",IF(AH!$U$5=1,IFERROR(MATCH($A1676,'Live History'!$A$5:$A$3004,0),0),AH!$U$7+1671))</f>
        <v/>
      </c>
      <c r="L1676" s="15">
        <f>IF(ISNUMBER(A1676),TEXT(A1676,"dd-mmm-yy"),"")</f>
        <v/>
      </c>
    </row>
    <row r="1677">
      <c r="A1677" s="14">
        <f>IF(OR(AH!$U$4=0,1672+1&gt;AH!$U$6,AND(AH!$M$5="Bloomberg",AH!$U$5=0)),"",IFERROR(IF(AND(AH!$U$12=1,1672+1=AH!$U$6),TODAY(),IF(AH!$U$5=1,INDEX('Live History'!$A$5:$A$3004,AH!$U$7+1672),INDEX('AH History'!$A$5:$A$1380,AH!$U$7+1672))),""))</f>
        <v/>
      </c>
      <c r="B1677" s="33">
        <f>IFERROR(IF(AH!$U$11=1,NA(),$J1677/$E1677-1),NA())</f>
        <v/>
      </c>
      <c r="C1677" s="269">
        <f>IFERROR(100*$E1677/$E$5,NA())</f>
        <v/>
      </c>
      <c r="D1677" s="269">
        <f>IFERROR(100*$J1677/$J$5,NA())</f>
        <v/>
      </c>
      <c r="E1677" s="32">
        <f>IFERROR(IF(AND(ISNUMBER($A1677),N(IF(AND(AH!$U$12=1,1672+1=AH!$U$6),IF(AH!$U$4=0,"unavailable",INDEX('Market Data'!$AN$5:$AN$66,AH!$U$4)),IF(AH!$U$5=1,INDEX('Live History'!$B$5:$B$3004,$K1677),INDEX('AH History'!$D$5:$GG$1380,$K1677,AH!$U$10))))&gt;0),IF(AND(AH!$U$12=1,1672+1=AH!$U$6),IF(AH!$U$4=0,"unavailable",INDEX('Market Data'!$AN$5:$AN$66,AH!$U$4)),IF(AH!$U$5=1,INDEX('Live History'!$B$5:$B$3004,$K1677),INDEX('AH History'!$D$5:$GG$1380,$K1677,AH!$U$10))),NA()),NA())</f>
        <v/>
      </c>
      <c r="F1677" s="32">
        <f>IFERROR(IF(ISNUMBER($A1677),IF(AND(AH!$U$12=1,1672+1=AH!$U$6),IF(AH!$U$4=0,"unavailable",INDEX('Market Data'!$AO$5:$AO$66,AH!$U$4)),IF(AH!$U$5=1,INDEX('Live History'!$E$5:$E$3004,MATCH($A1677,'Live History'!$D$5:$D$3004,1)),INDEX('AH History'!$D$5:$GG$1380,$K1677,AH!$U$10+1))),NA()),NA())</f>
        <v/>
      </c>
      <c r="G1677" s="34">
        <f>IFERROR(IF(ISNUMBER($A1677),IF(AND(AH!$U$12=1,1672+1=AH!$U$6),IF(AH!$U$4=0,"unavailable",INDEX('Market Data'!$AK$5:$AK$66,AH!$U$4)),IF(AH!$U$5=1,INDEX('Live History'!$D$5:$D$3004,MATCH($A1677,'Live History'!$D$5:$D$3004,1)),INDEX('AH History'!$D$5:$GG$1380,$K1677,AH!$U$10+2))),NA()),NA())</f>
        <v/>
      </c>
      <c r="H1677" s="266">
        <f>IFERROR(IF(ISNUMBER($A1677),IF(AND(AH!$U$12=1,1672+1=AH!$U$6),IF(AH!$U$4=0,"unavailable",INDEX('Market Data'!$AP$5:$AP$66,AH!$U$4)),IF(AH!$U$5=1,INDEX('Live History'!$H$5:$H$3004,MATCH($A1677,'Live History'!$G$5:$G$3004,1)),INDEX('AH History'!$B$5:$B$1380,$K1677))),NA()),NA())</f>
        <v/>
      </c>
      <c r="I1677" s="34">
        <f>IFERROR(IF(ISNUMBER($A1677),IF(AND(AH!$U$12=1,1672+1=AH!$U$6),TODAY(),IF(AH!$U$5=1,INDEX('Live History'!$G$5:$G$3004,MATCH($A1677,'Live History'!$G$5:$G$3004,1)),INDEX('AH History'!$C$5:$C$1380,$K1677))),NA()),NA())</f>
        <v/>
      </c>
      <c r="J1677" s="32">
        <f>IFERROR(IF(AND($F1677&gt;0,$H1677&gt;0,$A1677-$G1677&lt;=10,$A1677-$I1677&lt;=5,$G1677&gt;0,$I1677&gt;0),$F1677*$H1677,NA()),NA())</f>
        <v/>
      </c>
      <c r="K1677" s="15">
        <f>IF($A1677="","",IF(AH!$U$5=1,IFERROR(MATCH($A1677,'Live History'!$A$5:$A$3004,0),0),AH!$U$7+1672))</f>
        <v/>
      </c>
      <c r="L1677" s="15">
        <f>IF(ISNUMBER(A1677),TEXT(A1677,"dd-mmm-yy"),"")</f>
        <v/>
      </c>
    </row>
    <row r="1678">
      <c r="A1678" s="14">
        <f>IF(OR(AH!$U$4=0,1673+1&gt;AH!$U$6,AND(AH!$M$5="Bloomberg",AH!$U$5=0)),"",IFERROR(IF(AND(AH!$U$12=1,1673+1=AH!$U$6),TODAY(),IF(AH!$U$5=1,INDEX('Live History'!$A$5:$A$3004,AH!$U$7+1673),INDEX('AH History'!$A$5:$A$1380,AH!$U$7+1673))),""))</f>
        <v/>
      </c>
      <c r="B1678" s="33">
        <f>IFERROR(IF(AH!$U$11=1,NA(),$J1678/$E1678-1),NA())</f>
        <v/>
      </c>
      <c r="C1678" s="269">
        <f>IFERROR(100*$E1678/$E$5,NA())</f>
        <v/>
      </c>
      <c r="D1678" s="269">
        <f>IFERROR(100*$J1678/$J$5,NA())</f>
        <v/>
      </c>
      <c r="E1678" s="32">
        <f>IFERROR(IF(AND(ISNUMBER($A1678),N(IF(AND(AH!$U$12=1,1673+1=AH!$U$6),IF(AH!$U$4=0,"unavailable",INDEX('Market Data'!$AN$5:$AN$66,AH!$U$4)),IF(AH!$U$5=1,INDEX('Live History'!$B$5:$B$3004,$K1678),INDEX('AH History'!$D$5:$GG$1380,$K1678,AH!$U$10))))&gt;0),IF(AND(AH!$U$12=1,1673+1=AH!$U$6),IF(AH!$U$4=0,"unavailable",INDEX('Market Data'!$AN$5:$AN$66,AH!$U$4)),IF(AH!$U$5=1,INDEX('Live History'!$B$5:$B$3004,$K1678),INDEX('AH History'!$D$5:$GG$1380,$K1678,AH!$U$10))),NA()),NA())</f>
        <v/>
      </c>
      <c r="F1678" s="32">
        <f>IFERROR(IF(ISNUMBER($A1678),IF(AND(AH!$U$12=1,1673+1=AH!$U$6),IF(AH!$U$4=0,"unavailable",INDEX('Market Data'!$AO$5:$AO$66,AH!$U$4)),IF(AH!$U$5=1,INDEX('Live History'!$E$5:$E$3004,MATCH($A1678,'Live History'!$D$5:$D$3004,1)),INDEX('AH History'!$D$5:$GG$1380,$K1678,AH!$U$10+1))),NA()),NA())</f>
        <v/>
      </c>
      <c r="G1678" s="34">
        <f>IFERROR(IF(ISNUMBER($A1678),IF(AND(AH!$U$12=1,1673+1=AH!$U$6),IF(AH!$U$4=0,"unavailable",INDEX('Market Data'!$AK$5:$AK$66,AH!$U$4)),IF(AH!$U$5=1,INDEX('Live History'!$D$5:$D$3004,MATCH($A1678,'Live History'!$D$5:$D$3004,1)),INDEX('AH History'!$D$5:$GG$1380,$K1678,AH!$U$10+2))),NA()),NA())</f>
        <v/>
      </c>
      <c r="H1678" s="266">
        <f>IFERROR(IF(ISNUMBER($A1678),IF(AND(AH!$U$12=1,1673+1=AH!$U$6),IF(AH!$U$4=0,"unavailable",INDEX('Market Data'!$AP$5:$AP$66,AH!$U$4)),IF(AH!$U$5=1,INDEX('Live History'!$H$5:$H$3004,MATCH($A1678,'Live History'!$G$5:$G$3004,1)),INDEX('AH History'!$B$5:$B$1380,$K1678))),NA()),NA())</f>
        <v/>
      </c>
      <c r="I1678" s="34">
        <f>IFERROR(IF(ISNUMBER($A1678),IF(AND(AH!$U$12=1,1673+1=AH!$U$6),TODAY(),IF(AH!$U$5=1,INDEX('Live History'!$G$5:$G$3004,MATCH($A1678,'Live History'!$G$5:$G$3004,1)),INDEX('AH History'!$C$5:$C$1380,$K1678))),NA()),NA())</f>
        <v/>
      </c>
      <c r="J1678" s="32">
        <f>IFERROR(IF(AND($F1678&gt;0,$H1678&gt;0,$A1678-$G1678&lt;=10,$A1678-$I1678&lt;=5,$G1678&gt;0,$I1678&gt;0),$F1678*$H1678,NA()),NA())</f>
        <v/>
      </c>
      <c r="K1678" s="15">
        <f>IF($A1678="","",IF(AH!$U$5=1,IFERROR(MATCH($A1678,'Live History'!$A$5:$A$3004,0),0),AH!$U$7+1673))</f>
        <v/>
      </c>
      <c r="L1678" s="15">
        <f>IF(ISNUMBER(A1678),TEXT(A1678,"dd-mmm-yy"),"")</f>
        <v/>
      </c>
    </row>
    <row r="1679">
      <c r="A1679" s="14">
        <f>IF(OR(AH!$U$4=0,1674+1&gt;AH!$U$6,AND(AH!$M$5="Bloomberg",AH!$U$5=0)),"",IFERROR(IF(AND(AH!$U$12=1,1674+1=AH!$U$6),TODAY(),IF(AH!$U$5=1,INDEX('Live History'!$A$5:$A$3004,AH!$U$7+1674),INDEX('AH History'!$A$5:$A$1380,AH!$U$7+1674))),""))</f>
        <v/>
      </c>
      <c r="B1679" s="33">
        <f>IFERROR(IF(AH!$U$11=1,NA(),$J1679/$E1679-1),NA())</f>
        <v/>
      </c>
      <c r="C1679" s="269">
        <f>IFERROR(100*$E1679/$E$5,NA())</f>
        <v/>
      </c>
      <c r="D1679" s="269">
        <f>IFERROR(100*$J1679/$J$5,NA())</f>
        <v/>
      </c>
      <c r="E1679" s="32">
        <f>IFERROR(IF(AND(ISNUMBER($A1679),N(IF(AND(AH!$U$12=1,1674+1=AH!$U$6),IF(AH!$U$4=0,"unavailable",INDEX('Market Data'!$AN$5:$AN$66,AH!$U$4)),IF(AH!$U$5=1,INDEX('Live History'!$B$5:$B$3004,$K1679),INDEX('AH History'!$D$5:$GG$1380,$K1679,AH!$U$10))))&gt;0),IF(AND(AH!$U$12=1,1674+1=AH!$U$6),IF(AH!$U$4=0,"unavailable",INDEX('Market Data'!$AN$5:$AN$66,AH!$U$4)),IF(AH!$U$5=1,INDEX('Live History'!$B$5:$B$3004,$K1679),INDEX('AH History'!$D$5:$GG$1380,$K1679,AH!$U$10))),NA()),NA())</f>
        <v/>
      </c>
      <c r="F1679" s="32">
        <f>IFERROR(IF(ISNUMBER($A1679),IF(AND(AH!$U$12=1,1674+1=AH!$U$6),IF(AH!$U$4=0,"unavailable",INDEX('Market Data'!$AO$5:$AO$66,AH!$U$4)),IF(AH!$U$5=1,INDEX('Live History'!$E$5:$E$3004,MATCH($A1679,'Live History'!$D$5:$D$3004,1)),INDEX('AH History'!$D$5:$GG$1380,$K1679,AH!$U$10+1))),NA()),NA())</f>
        <v/>
      </c>
      <c r="G1679" s="34">
        <f>IFERROR(IF(ISNUMBER($A1679),IF(AND(AH!$U$12=1,1674+1=AH!$U$6),IF(AH!$U$4=0,"unavailable",INDEX('Market Data'!$AK$5:$AK$66,AH!$U$4)),IF(AH!$U$5=1,INDEX('Live History'!$D$5:$D$3004,MATCH($A1679,'Live History'!$D$5:$D$3004,1)),INDEX('AH History'!$D$5:$GG$1380,$K1679,AH!$U$10+2))),NA()),NA())</f>
        <v/>
      </c>
      <c r="H1679" s="266">
        <f>IFERROR(IF(ISNUMBER($A1679),IF(AND(AH!$U$12=1,1674+1=AH!$U$6),IF(AH!$U$4=0,"unavailable",INDEX('Market Data'!$AP$5:$AP$66,AH!$U$4)),IF(AH!$U$5=1,INDEX('Live History'!$H$5:$H$3004,MATCH($A1679,'Live History'!$G$5:$G$3004,1)),INDEX('AH History'!$B$5:$B$1380,$K1679))),NA()),NA())</f>
        <v/>
      </c>
      <c r="I1679" s="34">
        <f>IFERROR(IF(ISNUMBER($A1679),IF(AND(AH!$U$12=1,1674+1=AH!$U$6),TODAY(),IF(AH!$U$5=1,INDEX('Live History'!$G$5:$G$3004,MATCH($A1679,'Live History'!$G$5:$G$3004,1)),INDEX('AH History'!$C$5:$C$1380,$K1679))),NA()),NA())</f>
        <v/>
      </c>
      <c r="J1679" s="32">
        <f>IFERROR(IF(AND($F1679&gt;0,$H1679&gt;0,$A1679-$G1679&lt;=10,$A1679-$I1679&lt;=5,$G1679&gt;0,$I1679&gt;0),$F1679*$H1679,NA()),NA())</f>
        <v/>
      </c>
      <c r="K1679" s="15">
        <f>IF($A1679="","",IF(AH!$U$5=1,IFERROR(MATCH($A1679,'Live History'!$A$5:$A$3004,0),0),AH!$U$7+1674))</f>
        <v/>
      </c>
      <c r="L1679" s="15">
        <f>IF(ISNUMBER(A1679),TEXT(A1679,"dd-mmm-yy"),"")</f>
        <v/>
      </c>
    </row>
    <row r="1680">
      <c r="A1680" s="14">
        <f>IF(OR(AH!$U$4=0,1675+1&gt;AH!$U$6,AND(AH!$M$5="Bloomberg",AH!$U$5=0)),"",IFERROR(IF(AND(AH!$U$12=1,1675+1=AH!$U$6),TODAY(),IF(AH!$U$5=1,INDEX('Live History'!$A$5:$A$3004,AH!$U$7+1675),INDEX('AH History'!$A$5:$A$1380,AH!$U$7+1675))),""))</f>
        <v/>
      </c>
      <c r="B1680" s="33">
        <f>IFERROR(IF(AH!$U$11=1,NA(),$J1680/$E1680-1),NA())</f>
        <v/>
      </c>
      <c r="C1680" s="269">
        <f>IFERROR(100*$E1680/$E$5,NA())</f>
        <v/>
      </c>
      <c r="D1680" s="269">
        <f>IFERROR(100*$J1680/$J$5,NA())</f>
        <v/>
      </c>
      <c r="E1680" s="32">
        <f>IFERROR(IF(AND(ISNUMBER($A1680),N(IF(AND(AH!$U$12=1,1675+1=AH!$U$6),IF(AH!$U$4=0,"unavailable",INDEX('Market Data'!$AN$5:$AN$66,AH!$U$4)),IF(AH!$U$5=1,INDEX('Live History'!$B$5:$B$3004,$K1680),INDEX('AH History'!$D$5:$GG$1380,$K1680,AH!$U$10))))&gt;0),IF(AND(AH!$U$12=1,1675+1=AH!$U$6),IF(AH!$U$4=0,"unavailable",INDEX('Market Data'!$AN$5:$AN$66,AH!$U$4)),IF(AH!$U$5=1,INDEX('Live History'!$B$5:$B$3004,$K1680),INDEX('AH History'!$D$5:$GG$1380,$K1680,AH!$U$10))),NA()),NA())</f>
        <v/>
      </c>
      <c r="F1680" s="32">
        <f>IFERROR(IF(ISNUMBER($A1680),IF(AND(AH!$U$12=1,1675+1=AH!$U$6),IF(AH!$U$4=0,"unavailable",INDEX('Market Data'!$AO$5:$AO$66,AH!$U$4)),IF(AH!$U$5=1,INDEX('Live History'!$E$5:$E$3004,MATCH($A1680,'Live History'!$D$5:$D$3004,1)),INDEX('AH History'!$D$5:$GG$1380,$K1680,AH!$U$10+1))),NA()),NA())</f>
        <v/>
      </c>
      <c r="G1680" s="34">
        <f>IFERROR(IF(ISNUMBER($A1680),IF(AND(AH!$U$12=1,1675+1=AH!$U$6),IF(AH!$U$4=0,"unavailable",INDEX('Market Data'!$AK$5:$AK$66,AH!$U$4)),IF(AH!$U$5=1,INDEX('Live History'!$D$5:$D$3004,MATCH($A1680,'Live History'!$D$5:$D$3004,1)),INDEX('AH History'!$D$5:$GG$1380,$K1680,AH!$U$10+2))),NA()),NA())</f>
        <v/>
      </c>
      <c r="H1680" s="266">
        <f>IFERROR(IF(ISNUMBER($A1680),IF(AND(AH!$U$12=1,1675+1=AH!$U$6),IF(AH!$U$4=0,"unavailable",INDEX('Market Data'!$AP$5:$AP$66,AH!$U$4)),IF(AH!$U$5=1,INDEX('Live History'!$H$5:$H$3004,MATCH($A1680,'Live History'!$G$5:$G$3004,1)),INDEX('AH History'!$B$5:$B$1380,$K1680))),NA()),NA())</f>
        <v/>
      </c>
      <c r="I1680" s="34">
        <f>IFERROR(IF(ISNUMBER($A1680),IF(AND(AH!$U$12=1,1675+1=AH!$U$6),TODAY(),IF(AH!$U$5=1,INDEX('Live History'!$G$5:$G$3004,MATCH($A1680,'Live History'!$G$5:$G$3004,1)),INDEX('AH History'!$C$5:$C$1380,$K1680))),NA()),NA())</f>
        <v/>
      </c>
      <c r="J1680" s="32">
        <f>IFERROR(IF(AND($F1680&gt;0,$H1680&gt;0,$A1680-$G1680&lt;=10,$A1680-$I1680&lt;=5,$G1680&gt;0,$I1680&gt;0),$F1680*$H1680,NA()),NA())</f>
        <v/>
      </c>
      <c r="K1680" s="15">
        <f>IF($A1680="","",IF(AH!$U$5=1,IFERROR(MATCH($A1680,'Live History'!$A$5:$A$3004,0),0),AH!$U$7+1675))</f>
        <v/>
      </c>
      <c r="L1680" s="15">
        <f>IF(ISNUMBER(A1680),TEXT(A1680,"dd-mmm-yy"),"")</f>
        <v/>
      </c>
    </row>
    <row r="1681">
      <c r="A1681" s="14">
        <f>IF(OR(AH!$U$4=0,1676+1&gt;AH!$U$6,AND(AH!$M$5="Bloomberg",AH!$U$5=0)),"",IFERROR(IF(AND(AH!$U$12=1,1676+1=AH!$U$6),TODAY(),IF(AH!$U$5=1,INDEX('Live History'!$A$5:$A$3004,AH!$U$7+1676),INDEX('AH History'!$A$5:$A$1380,AH!$U$7+1676))),""))</f>
        <v/>
      </c>
      <c r="B1681" s="33">
        <f>IFERROR(IF(AH!$U$11=1,NA(),$J1681/$E1681-1),NA())</f>
        <v/>
      </c>
      <c r="C1681" s="269">
        <f>IFERROR(100*$E1681/$E$5,NA())</f>
        <v/>
      </c>
      <c r="D1681" s="269">
        <f>IFERROR(100*$J1681/$J$5,NA())</f>
        <v/>
      </c>
      <c r="E1681" s="32">
        <f>IFERROR(IF(AND(ISNUMBER($A1681),N(IF(AND(AH!$U$12=1,1676+1=AH!$U$6),IF(AH!$U$4=0,"unavailable",INDEX('Market Data'!$AN$5:$AN$66,AH!$U$4)),IF(AH!$U$5=1,INDEX('Live History'!$B$5:$B$3004,$K1681),INDEX('AH History'!$D$5:$GG$1380,$K1681,AH!$U$10))))&gt;0),IF(AND(AH!$U$12=1,1676+1=AH!$U$6),IF(AH!$U$4=0,"unavailable",INDEX('Market Data'!$AN$5:$AN$66,AH!$U$4)),IF(AH!$U$5=1,INDEX('Live History'!$B$5:$B$3004,$K1681),INDEX('AH History'!$D$5:$GG$1380,$K1681,AH!$U$10))),NA()),NA())</f>
        <v/>
      </c>
      <c r="F1681" s="32">
        <f>IFERROR(IF(ISNUMBER($A1681),IF(AND(AH!$U$12=1,1676+1=AH!$U$6),IF(AH!$U$4=0,"unavailable",INDEX('Market Data'!$AO$5:$AO$66,AH!$U$4)),IF(AH!$U$5=1,INDEX('Live History'!$E$5:$E$3004,MATCH($A1681,'Live History'!$D$5:$D$3004,1)),INDEX('AH History'!$D$5:$GG$1380,$K1681,AH!$U$10+1))),NA()),NA())</f>
        <v/>
      </c>
      <c r="G1681" s="34">
        <f>IFERROR(IF(ISNUMBER($A1681),IF(AND(AH!$U$12=1,1676+1=AH!$U$6),IF(AH!$U$4=0,"unavailable",INDEX('Market Data'!$AK$5:$AK$66,AH!$U$4)),IF(AH!$U$5=1,INDEX('Live History'!$D$5:$D$3004,MATCH($A1681,'Live History'!$D$5:$D$3004,1)),INDEX('AH History'!$D$5:$GG$1380,$K1681,AH!$U$10+2))),NA()),NA())</f>
        <v/>
      </c>
      <c r="H1681" s="266">
        <f>IFERROR(IF(ISNUMBER($A1681),IF(AND(AH!$U$12=1,1676+1=AH!$U$6),IF(AH!$U$4=0,"unavailable",INDEX('Market Data'!$AP$5:$AP$66,AH!$U$4)),IF(AH!$U$5=1,INDEX('Live History'!$H$5:$H$3004,MATCH($A1681,'Live History'!$G$5:$G$3004,1)),INDEX('AH History'!$B$5:$B$1380,$K1681))),NA()),NA())</f>
        <v/>
      </c>
      <c r="I1681" s="34">
        <f>IFERROR(IF(ISNUMBER($A1681),IF(AND(AH!$U$12=1,1676+1=AH!$U$6),TODAY(),IF(AH!$U$5=1,INDEX('Live History'!$G$5:$G$3004,MATCH($A1681,'Live History'!$G$5:$G$3004,1)),INDEX('AH History'!$C$5:$C$1380,$K1681))),NA()),NA())</f>
        <v/>
      </c>
      <c r="J1681" s="32">
        <f>IFERROR(IF(AND($F1681&gt;0,$H1681&gt;0,$A1681-$G1681&lt;=10,$A1681-$I1681&lt;=5,$G1681&gt;0,$I1681&gt;0),$F1681*$H1681,NA()),NA())</f>
        <v/>
      </c>
      <c r="K1681" s="15">
        <f>IF($A1681="","",IF(AH!$U$5=1,IFERROR(MATCH($A1681,'Live History'!$A$5:$A$3004,0),0),AH!$U$7+1676))</f>
        <v/>
      </c>
      <c r="L1681" s="15">
        <f>IF(ISNUMBER(A1681),TEXT(A1681,"dd-mmm-yy"),"")</f>
        <v/>
      </c>
    </row>
    <row r="1682">
      <c r="A1682" s="14">
        <f>IF(OR(AH!$U$4=0,1677+1&gt;AH!$U$6,AND(AH!$M$5="Bloomberg",AH!$U$5=0)),"",IFERROR(IF(AND(AH!$U$12=1,1677+1=AH!$U$6),TODAY(),IF(AH!$U$5=1,INDEX('Live History'!$A$5:$A$3004,AH!$U$7+1677),INDEX('AH History'!$A$5:$A$1380,AH!$U$7+1677))),""))</f>
        <v/>
      </c>
      <c r="B1682" s="33">
        <f>IFERROR(IF(AH!$U$11=1,NA(),$J1682/$E1682-1),NA())</f>
        <v/>
      </c>
      <c r="C1682" s="269">
        <f>IFERROR(100*$E1682/$E$5,NA())</f>
        <v/>
      </c>
      <c r="D1682" s="269">
        <f>IFERROR(100*$J1682/$J$5,NA())</f>
        <v/>
      </c>
      <c r="E1682" s="32">
        <f>IFERROR(IF(AND(ISNUMBER($A1682),N(IF(AND(AH!$U$12=1,1677+1=AH!$U$6),IF(AH!$U$4=0,"unavailable",INDEX('Market Data'!$AN$5:$AN$66,AH!$U$4)),IF(AH!$U$5=1,INDEX('Live History'!$B$5:$B$3004,$K1682),INDEX('AH History'!$D$5:$GG$1380,$K1682,AH!$U$10))))&gt;0),IF(AND(AH!$U$12=1,1677+1=AH!$U$6),IF(AH!$U$4=0,"unavailable",INDEX('Market Data'!$AN$5:$AN$66,AH!$U$4)),IF(AH!$U$5=1,INDEX('Live History'!$B$5:$B$3004,$K1682),INDEX('AH History'!$D$5:$GG$1380,$K1682,AH!$U$10))),NA()),NA())</f>
        <v/>
      </c>
      <c r="F1682" s="32">
        <f>IFERROR(IF(ISNUMBER($A1682),IF(AND(AH!$U$12=1,1677+1=AH!$U$6),IF(AH!$U$4=0,"unavailable",INDEX('Market Data'!$AO$5:$AO$66,AH!$U$4)),IF(AH!$U$5=1,INDEX('Live History'!$E$5:$E$3004,MATCH($A1682,'Live History'!$D$5:$D$3004,1)),INDEX('AH History'!$D$5:$GG$1380,$K1682,AH!$U$10+1))),NA()),NA())</f>
        <v/>
      </c>
      <c r="G1682" s="34">
        <f>IFERROR(IF(ISNUMBER($A1682),IF(AND(AH!$U$12=1,1677+1=AH!$U$6),IF(AH!$U$4=0,"unavailable",INDEX('Market Data'!$AK$5:$AK$66,AH!$U$4)),IF(AH!$U$5=1,INDEX('Live History'!$D$5:$D$3004,MATCH($A1682,'Live History'!$D$5:$D$3004,1)),INDEX('AH History'!$D$5:$GG$1380,$K1682,AH!$U$10+2))),NA()),NA())</f>
        <v/>
      </c>
      <c r="H1682" s="266">
        <f>IFERROR(IF(ISNUMBER($A1682),IF(AND(AH!$U$12=1,1677+1=AH!$U$6),IF(AH!$U$4=0,"unavailable",INDEX('Market Data'!$AP$5:$AP$66,AH!$U$4)),IF(AH!$U$5=1,INDEX('Live History'!$H$5:$H$3004,MATCH($A1682,'Live History'!$G$5:$G$3004,1)),INDEX('AH History'!$B$5:$B$1380,$K1682))),NA()),NA())</f>
        <v/>
      </c>
      <c r="I1682" s="34">
        <f>IFERROR(IF(ISNUMBER($A1682),IF(AND(AH!$U$12=1,1677+1=AH!$U$6),TODAY(),IF(AH!$U$5=1,INDEX('Live History'!$G$5:$G$3004,MATCH($A1682,'Live History'!$G$5:$G$3004,1)),INDEX('AH History'!$C$5:$C$1380,$K1682))),NA()),NA())</f>
        <v/>
      </c>
      <c r="J1682" s="32">
        <f>IFERROR(IF(AND($F1682&gt;0,$H1682&gt;0,$A1682-$G1682&lt;=10,$A1682-$I1682&lt;=5,$G1682&gt;0,$I1682&gt;0),$F1682*$H1682,NA()),NA())</f>
        <v/>
      </c>
      <c r="K1682" s="15">
        <f>IF($A1682="","",IF(AH!$U$5=1,IFERROR(MATCH($A1682,'Live History'!$A$5:$A$3004,0),0),AH!$U$7+1677))</f>
        <v/>
      </c>
      <c r="L1682" s="15">
        <f>IF(ISNUMBER(A1682),TEXT(A1682,"dd-mmm-yy"),"")</f>
        <v/>
      </c>
    </row>
    <row r="1683">
      <c r="A1683" s="14">
        <f>IF(OR(AH!$U$4=0,1678+1&gt;AH!$U$6,AND(AH!$M$5="Bloomberg",AH!$U$5=0)),"",IFERROR(IF(AND(AH!$U$12=1,1678+1=AH!$U$6),TODAY(),IF(AH!$U$5=1,INDEX('Live History'!$A$5:$A$3004,AH!$U$7+1678),INDEX('AH History'!$A$5:$A$1380,AH!$U$7+1678))),""))</f>
        <v/>
      </c>
      <c r="B1683" s="33">
        <f>IFERROR(IF(AH!$U$11=1,NA(),$J1683/$E1683-1),NA())</f>
        <v/>
      </c>
      <c r="C1683" s="269">
        <f>IFERROR(100*$E1683/$E$5,NA())</f>
        <v/>
      </c>
      <c r="D1683" s="269">
        <f>IFERROR(100*$J1683/$J$5,NA())</f>
        <v/>
      </c>
      <c r="E1683" s="32">
        <f>IFERROR(IF(AND(ISNUMBER($A1683),N(IF(AND(AH!$U$12=1,1678+1=AH!$U$6),IF(AH!$U$4=0,"unavailable",INDEX('Market Data'!$AN$5:$AN$66,AH!$U$4)),IF(AH!$U$5=1,INDEX('Live History'!$B$5:$B$3004,$K1683),INDEX('AH History'!$D$5:$GG$1380,$K1683,AH!$U$10))))&gt;0),IF(AND(AH!$U$12=1,1678+1=AH!$U$6),IF(AH!$U$4=0,"unavailable",INDEX('Market Data'!$AN$5:$AN$66,AH!$U$4)),IF(AH!$U$5=1,INDEX('Live History'!$B$5:$B$3004,$K1683),INDEX('AH History'!$D$5:$GG$1380,$K1683,AH!$U$10))),NA()),NA())</f>
        <v/>
      </c>
      <c r="F1683" s="32">
        <f>IFERROR(IF(ISNUMBER($A1683),IF(AND(AH!$U$12=1,1678+1=AH!$U$6),IF(AH!$U$4=0,"unavailable",INDEX('Market Data'!$AO$5:$AO$66,AH!$U$4)),IF(AH!$U$5=1,INDEX('Live History'!$E$5:$E$3004,MATCH($A1683,'Live History'!$D$5:$D$3004,1)),INDEX('AH History'!$D$5:$GG$1380,$K1683,AH!$U$10+1))),NA()),NA())</f>
        <v/>
      </c>
      <c r="G1683" s="34">
        <f>IFERROR(IF(ISNUMBER($A1683),IF(AND(AH!$U$12=1,1678+1=AH!$U$6),IF(AH!$U$4=0,"unavailable",INDEX('Market Data'!$AK$5:$AK$66,AH!$U$4)),IF(AH!$U$5=1,INDEX('Live History'!$D$5:$D$3004,MATCH($A1683,'Live History'!$D$5:$D$3004,1)),INDEX('AH History'!$D$5:$GG$1380,$K1683,AH!$U$10+2))),NA()),NA())</f>
        <v/>
      </c>
      <c r="H1683" s="266">
        <f>IFERROR(IF(ISNUMBER($A1683),IF(AND(AH!$U$12=1,1678+1=AH!$U$6),IF(AH!$U$4=0,"unavailable",INDEX('Market Data'!$AP$5:$AP$66,AH!$U$4)),IF(AH!$U$5=1,INDEX('Live History'!$H$5:$H$3004,MATCH($A1683,'Live History'!$G$5:$G$3004,1)),INDEX('AH History'!$B$5:$B$1380,$K1683))),NA()),NA())</f>
        <v/>
      </c>
      <c r="I1683" s="34">
        <f>IFERROR(IF(ISNUMBER($A1683),IF(AND(AH!$U$12=1,1678+1=AH!$U$6),TODAY(),IF(AH!$U$5=1,INDEX('Live History'!$G$5:$G$3004,MATCH($A1683,'Live History'!$G$5:$G$3004,1)),INDEX('AH History'!$C$5:$C$1380,$K1683))),NA()),NA())</f>
        <v/>
      </c>
      <c r="J1683" s="32">
        <f>IFERROR(IF(AND($F1683&gt;0,$H1683&gt;0,$A1683-$G1683&lt;=10,$A1683-$I1683&lt;=5,$G1683&gt;0,$I1683&gt;0),$F1683*$H1683,NA()),NA())</f>
        <v/>
      </c>
      <c r="K1683" s="15">
        <f>IF($A1683="","",IF(AH!$U$5=1,IFERROR(MATCH($A1683,'Live History'!$A$5:$A$3004,0),0),AH!$U$7+1678))</f>
        <v/>
      </c>
      <c r="L1683" s="15">
        <f>IF(ISNUMBER(A1683),TEXT(A1683,"dd-mmm-yy"),"")</f>
        <v/>
      </c>
    </row>
    <row r="1684">
      <c r="A1684" s="14">
        <f>IF(OR(AH!$U$4=0,1679+1&gt;AH!$U$6,AND(AH!$M$5="Bloomberg",AH!$U$5=0)),"",IFERROR(IF(AND(AH!$U$12=1,1679+1=AH!$U$6),TODAY(),IF(AH!$U$5=1,INDEX('Live History'!$A$5:$A$3004,AH!$U$7+1679),INDEX('AH History'!$A$5:$A$1380,AH!$U$7+1679))),""))</f>
        <v/>
      </c>
      <c r="B1684" s="33">
        <f>IFERROR(IF(AH!$U$11=1,NA(),$J1684/$E1684-1),NA())</f>
        <v/>
      </c>
      <c r="C1684" s="269">
        <f>IFERROR(100*$E1684/$E$5,NA())</f>
        <v/>
      </c>
      <c r="D1684" s="269">
        <f>IFERROR(100*$J1684/$J$5,NA())</f>
        <v/>
      </c>
      <c r="E1684" s="32">
        <f>IFERROR(IF(AND(ISNUMBER($A1684),N(IF(AND(AH!$U$12=1,1679+1=AH!$U$6),IF(AH!$U$4=0,"unavailable",INDEX('Market Data'!$AN$5:$AN$66,AH!$U$4)),IF(AH!$U$5=1,INDEX('Live History'!$B$5:$B$3004,$K1684),INDEX('AH History'!$D$5:$GG$1380,$K1684,AH!$U$10))))&gt;0),IF(AND(AH!$U$12=1,1679+1=AH!$U$6),IF(AH!$U$4=0,"unavailable",INDEX('Market Data'!$AN$5:$AN$66,AH!$U$4)),IF(AH!$U$5=1,INDEX('Live History'!$B$5:$B$3004,$K1684),INDEX('AH History'!$D$5:$GG$1380,$K1684,AH!$U$10))),NA()),NA())</f>
        <v/>
      </c>
      <c r="F1684" s="32">
        <f>IFERROR(IF(ISNUMBER($A1684),IF(AND(AH!$U$12=1,1679+1=AH!$U$6),IF(AH!$U$4=0,"unavailable",INDEX('Market Data'!$AO$5:$AO$66,AH!$U$4)),IF(AH!$U$5=1,INDEX('Live History'!$E$5:$E$3004,MATCH($A1684,'Live History'!$D$5:$D$3004,1)),INDEX('AH History'!$D$5:$GG$1380,$K1684,AH!$U$10+1))),NA()),NA())</f>
        <v/>
      </c>
      <c r="G1684" s="34">
        <f>IFERROR(IF(ISNUMBER($A1684),IF(AND(AH!$U$12=1,1679+1=AH!$U$6),IF(AH!$U$4=0,"unavailable",INDEX('Market Data'!$AK$5:$AK$66,AH!$U$4)),IF(AH!$U$5=1,INDEX('Live History'!$D$5:$D$3004,MATCH($A1684,'Live History'!$D$5:$D$3004,1)),INDEX('AH History'!$D$5:$GG$1380,$K1684,AH!$U$10+2))),NA()),NA())</f>
        <v/>
      </c>
      <c r="H1684" s="266">
        <f>IFERROR(IF(ISNUMBER($A1684),IF(AND(AH!$U$12=1,1679+1=AH!$U$6),IF(AH!$U$4=0,"unavailable",INDEX('Market Data'!$AP$5:$AP$66,AH!$U$4)),IF(AH!$U$5=1,INDEX('Live History'!$H$5:$H$3004,MATCH($A1684,'Live History'!$G$5:$G$3004,1)),INDEX('AH History'!$B$5:$B$1380,$K1684))),NA()),NA())</f>
        <v/>
      </c>
      <c r="I1684" s="34">
        <f>IFERROR(IF(ISNUMBER($A1684),IF(AND(AH!$U$12=1,1679+1=AH!$U$6),TODAY(),IF(AH!$U$5=1,INDEX('Live History'!$G$5:$G$3004,MATCH($A1684,'Live History'!$G$5:$G$3004,1)),INDEX('AH History'!$C$5:$C$1380,$K1684))),NA()),NA())</f>
        <v/>
      </c>
      <c r="J1684" s="32">
        <f>IFERROR(IF(AND($F1684&gt;0,$H1684&gt;0,$A1684-$G1684&lt;=10,$A1684-$I1684&lt;=5,$G1684&gt;0,$I1684&gt;0),$F1684*$H1684,NA()),NA())</f>
        <v/>
      </c>
      <c r="K1684" s="15">
        <f>IF($A1684="","",IF(AH!$U$5=1,IFERROR(MATCH($A1684,'Live History'!$A$5:$A$3004,0),0),AH!$U$7+1679))</f>
        <v/>
      </c>
      <c r="L1684" s="15">
        <f>IF(ISNUMBER(A1684),TEXT(A1684,"dd-mmm-yy"),"")</f>
        <v/>
      </c>
    </row>
    <row r="1685">
      <c r="A1685" s="14">
        <f>IF(OR(AH!$U$4=0,1680+1&gt;AH!$U$6,AND(AH!$M$5="Bloomberg",AH!$U$5=0)),"",IFERROR(IF(AND(AH!$U$12=1,1680+1=AH!$U$6),TODAY(),IF(AH!$U$5=1,INDEX('Live History'!$A$5:$A$3004,AH!$U$7+1680),INDEX('AH History'!$A$5:$A$1380,AH!$U$7+1680))),""))</f>
        <v/>
      </c>
      <c r="B1685" s="33">
        <f>IFERROR(IF(AH!$U$11=1,NA(),$J1685/$E1685-1),NA())</f>
        <v/>
      </c>
      <c r="C1685" s="269">
        <f>IFERROR(100*$E1685/$E$5,NA())</f>
        <v/>
      </c>
      <c r="D1685" s="269">
        <f>IFERROR(100*$J1685/$J$5,NA())</f>
        <v/>
      </c>
      <c r="E1685" s="32">
        <f>IFERROR(IF(AND(ISNUMBER($A1685),N(IF(AND(AH!$U$12=1,1680+1=AH!$U$6),IF(AH!$U$4=0,"unavailable",INDEX('Market Data'!$AN$5:$AN$66,AH!$U$4)),IF(AH!$U$5=1,INDEX('Live History'!$B$5:$B$3004,$K1685),INDEX('AH History'!$D$5:$GG$1380,$K1685,AH!$U$10))))&gt;0),IF(AND(AH!$U$12=1,1680+1=AH!$U$6),IF(AH!$U$4=0,"unavailable",INDEX('Market Data'!$AN$5:$AN$66,AH!$U$4)),IF(AH!$U$5=1,INDEX('Live History'!$B$5:$B$3004,$K1685),INDEX('AH History'!$D$5:$GG$1380,$K1685,AH!$U$10))),NA()),NA())</f>
        <v/>
      </c>
      <c r="F1685" s="32">
        <f>IFERROR(IF(ISNUMBER($A1685),IF(AND(AH!$U$12=1,1680+1=AH!$U$6),IF(AH!$U$4=0,"unavailable",INDEX('Market Data'!$AO$5:$AO$66,AH!$U$4)),IF(AH!$U$5=1,INDEX('Live History'!$E$5:$E$3004,MATCH($A1685,'Live History'!$D$5:$D$3004,1)),INDEX('AH History'!$D$5:$GG$1380,$K1685,AH!$U$10+1))),NA()),NA())</f>
        <v/>
      </c>
      <c r="G1685" s="34">
        <f>IFERROR(IF(ISNUMBER($A1685),IF(AND(AH!$U$12=1,1680+1=AH!$U$6),IF(AH!$U$4=0,"unavailable",INDEX('Market Data'!$AK$5:$AK$66,AH!$U$4)),IF(AH!$U$5=1,INDEX('Live History'!$D$5:$D$3004,MATCH($A1685,'Live History'!$D$5:$D$3004,1)),INDEX('AH History'!$D$5:$GG$1380,$K1685,AH!$U$10+2))),NA()),NA())</f>
        <v/>
      </c>
      <c r="H1685" s="266">
        <f>IFERROR(IF(ISNUMBER($A1685),IF(AND(AH!$U$12=1,1680+1=AH!$U$6),IF(AH!$U$4=0,"unavailable",INDEX('Market Data'!$AP$5:$AP$66,AH!$U$4)),IF(AH!$U$5=1,INDEX('Live History'!$H$5:$H$3004,MATCH($A1685,'Live History'!$G$5:$G$3004,1)),INDEX('AH History'!$B$5:$B$1380,$K1685))),NA()),NA())</f>
        <v/>
      </c>
      <c r="I1685" s="34">
        <f>IFERROR(IF(ISNUMBER($A1685),IF(AND(AH!$U$12=1,1680+1=AH!$U$6),TODAY(),IF(AH!$U$5=1,INDEX('Live History'!$G$5:$G$3004,MATCH($A1685,'Live History'!$G$5:$G$3004,1)),INDEX('AH History'!$C$5:$C$1380,$K1685))),NA()),NA())</f>
        <v/>
      </c>
      <c r="J1685" s="32">
        <f>IFERROR(IF(AND($F1685&gt;0,$H1685&gt;0,$A1685-$G1685&lt;=10,$A1685-$I1685&lt;=5,$G1685&gt;0,$I1685&gt;0),$F1685*$H1685,NA()),NA())</f>
        <v/>
      </c>
      <c r="K1685" s="15">
        <f>IF($A1685="","",IF(AH!$U$5=1,IFERROR(MATCH($A1685,'Live History'!$A$5:$A$3004,0),0),AH!$U$7+1680))</f>
        <v/>
      </c>
      <c r="L1685" s="15">
        <f>IF(ISNUMBER(A1685),TEXT(A1685,"dd-mmm-yy"),"")</f>
        <v/>
      </c>
    </row>
    <row r="1686">
      <c r="A1686" s="14">
        <f>IF(OR(AH!$U$4=0,1681+1&gt;AH!$U$6,AND(AH!$M$5="Bloomberg",AH!$U$5=0)),"",IFERROR(IF(AND(AH!$U$12=1,1681+1=AH!$U$6),TODAY(),IF(AH!$U$5=1,INDEX('Live History'!$A$5:$A$3004,AH!$U$7+1681),INDEX('AH History'!$A$5:$A$1380,AH!$U$7+1681))),""))</f>
        <v/>
      </c>
      <c r="B1686" s="33">
        <f>IFERROR(IF(AH!$U$11=1,NA(),$J1686/$E1686-1),NA())</f>
        <v/>
      </c>
      <c r="C1686" s="269">
        <f>IFERROR(100*$E1686/$E$5,NA())</f>
        <v/>
      </c>
      <c r="D1686" s="269">
        <f>IFERROR(100*$J1686/$J$5,NA())</f>
        <v/>
      </c>
      <c r="E1686" s="32">
        <f>IFERROR(IF(AND(ISNUMBER($A1686),N(IF(AND(AH!$U$12=1,1681+1=AH!$U$6),IF(AH!$U$4=0,"unavailable",INDEX('Market Data'!$AN$5:$AN$66,AH!$U$4)),IF(AH!$U$5=1,INDEX('Live History'!$B$5:$B$3004,$K1686),INDEX('AH History'!$D$5:$GG$1380,$K1686,AH!$U$10))))&gt;0),IF(AND(AH!$U$12=1,1681+1=AH!$U$6),IF(AH!$U$4=0,"unavailable",INDEX('Market Data'!$AN$5:$AN$66,AH!$U$4)),IF(AH!$U$5=1,INDEX('Live History'!$B$5:$B$3004,$K1686),INDEX('AH History'!$D$5:$GG$1380,$K1686,AH!$U$10))),NA()),NA())</f>
        <v/>
      </c>
      <c r="F1686" s="32">
        <f>IFERROR(IF(ISNUMBER($A1686),IF(AND(AH!$U$12=1,1681+1=AH!$U$6),IF(AH!$U$4=0,"unavailable",INDEX('Market Data'!$AO$5:$AO$66,AH!$U$4)),IF(AH!$U$5=1,INDEX('Live History'!$E$5:$E$3004,MATCH($A1686,'Live History'!$D$5:$D$3004,1)),INDEX('AH History'!$D$5:$GG$1380,$K1686,AH!$U$10+1))),NA()),NA())</f>
        <v/>
      </c>
      <c r="G1686" s="34">
        <f>IFERROR(IF(ISNUMBER($A1686),IF(AND(AH!$U$12=1,1681+1=AH!$U$6),IF(AH!$U$4=0,"unavailable",INDEX('Market Data'!$AK$5:$AK$66,AH!$U$4)),IF(AH!$U$5=1,INDEX('Live History'!$D$5:$D$3004,MATCH($A1686,'Live History'!$D$5:$D$3004,1)),INDEX('AH History'!$D$5:$GG$1380,$K1686,AH!$U$10+2))),NA()),NA())</f>
        <v/>
      </c>
      <c r="H1686" s="266">
        <f>IFERROR(IF(ISNUMBER($A1686),IF(AND(AH!$U$12=1,1681+1=AH!$U$6),IF(AH!$U$4=0,"unavailable",INDEX('Market Data'!$AP$5:$AP$66,AH!$U$4)),IF(AH!$U$5=1,INDEX('Live History'!$H$5:$H$3004,MATCH($A1686,'Live History'!$G$5:$G$3004,1)),INDEX('AH History'!$B$5:$B$1380,$K1686))),NA()),NA())</f>
        <v/>
      </c>
      <c r="I1686" s="34">
        <f>IFERROR(IF(ISNUMBER($A1686),IF(AND(AH!$U$12=1,1681+1=AH!$U$6),TODAY(),IF(AH!$U$5=1,INDEX('Live History'!$G$5:$G$3004,MATCH($A1686,'Live History'!$G$5:$G$3004,1)),INDEX('AH History'!$C$5:$C$1380,$K1686))),NA()),NA())</f>
        <v/>
      </c>
      <c r="J1686" s="32">
        <f>IFERROR(IF(AND($F1686&gt;0,$H1686&gt;0,$A1686-$G1686&lt;=10,$A1686-$I1686&lt;=5,$G1686&gt;0,$I1686&gt;0),$F1686*$H1686,NA()),NA())</f>
        <v/>
      </c>
      <c r="K1686" s="15">
        <f>IF($A1686="","",IF(AH!$U$5=1,IFERROR(MATCH($A1686,'Live History'!$A$5:$A$3004,0),0),AH!$U$7+1681))</f>
        <v/>
      </c>
      <c r="L1686" s="15">
        <f>IF(ISNUMBER(A1686),TEXT(A1686,"dd-mmm-yy"),"")</f>
        <v/>
      </c>
    </row>
    <row r="1687">
      <c r="A1687" s="14">
        <f>IF(OR(AH!$U$4=0,1682+1&gt;AH!$U$6,AND(AH!$M$5="Bloomberg",AH!$U$5=0)),"",IFERROR(IF(AND(AH!$U$12=1,1682+1=AH!$U$6),TODAY(),IF(AH!$U$5=1,INDEX('Live History'!$A$5:$A$3004,AH!$U$7+1682),INDEX('AH History'!$A$5:$A$1380,AH!$U$7+1682))),""))</f>
        <v/>
      </c>
      <c r="B1687" s="33">
        <f>IFERROR(IF(AH!$U$11=1,NA(),$J1687/$E1687-1),NA())</f>
        <v/>
      </c>
      <c r="C1687" s="269">
        <f>IFERROR(100*$E1687/$E$5,NA())</f>
        <v/>
      </c>
      <c r="D1687" s="269">
        <f>IFERROR(100*$J1687/$J$5,NA())</f>
        <v/>
      </c>
      <c r="E1687" s="32">
        <f>IFERROR(IF(AND(ISNUMBER($A1687),N(IF(AND(AH!$U$12=1,1682+1=AH!$U$6),IF(AH!$U$4=0,"unavailable",INDEX('Market Data'!$AN$5:$AN$66,AH!$U$4)),IF(AH!$U$5=1,INDEX('Live History'!$B$5:$B$3004,$K1687),INDEX('AH History'!$D$5:$GG$1380,$K1687,AH!$U$10))))&gt;0),IF(AND(AH!$U$12=1,1682+1=AH!$U$6),IF(AH!$U$4=0,"unavailable",INDEX('Market Data'!$AN$5:$AN$66,AH!$U$4)),IF(AH!$U$5=1,INDEX('Live History'!$B$5:$B$3004,$K1687),INDEX('AH History'!$D$5:$GG$1380,$K1687,AH!$U$10))),NA()),NA())</f>
        <v/>
      </c>
      <c r="F1687" s="32">
        <f>IFERROR(IF(ISNUMBER($A1687),IF(AND(AH!$U$12=1,1682+1=AH!$U$6),IF(AH!$U$4=0,"unavailable",INDEX('Market Data'!$AO$5:$AO$66,AH!$U$4)),IF(AH!$U$5=1,INDEX('Live History'!$E$5:$E$3004,MATCH($A1687,'Live History'!$D$5:$D$3004,1)),INDEX('AH History'!$D$5:$GG$1380,$K1687,AH!$U$10+1))),NA()),NA())</f>
        <v/>
      </c>
      <c r="G1687" s="34">
        <f>IFERROR(IF(ISNUMBER($A1687),IF(AND(AH!$U$12=1,1682+1=AH!$U$6),IF(AH!$U$4=0,"unavailable",INDEX('Market Data'!$AK$5:$AK$66,AH!$U$4)),IF(AH!$U$5=1,INDEX('Live History'!$D$5:$D$3004,MATCH($A1687,'Live History'!$D$5:$D$3004,1)),INDEX('AH History'!$D$5:$GG$1380,$K1687,AH!$U$10+2))),NA()),NA())</f>
        <v/>
      </c>
      <c r="H1687" s="266">
        <f>IFERROR(IF(ISNUMBER($A1687),IF(AND(AH!$U$12=1,1682+1=AH!$U$6),IF(AH!$U$4=0,"unavailable",INDEX('Market Data'!$AP$5:$AP$66,AH!$U$4)),IF(AH!$U$5=1,INDEX('Live History'!$H$5:$H$3004,MATCH($A1687,'Live History'!$G$5:$G$3004,1)),INDEX('AH History'!$B$5:$B$1380,$K1687))),NA()),NA())</f>
        <v/>
      </c>
      <c r="I1687" s="34">
        <f>IFERROR(IF(ISNUMBER($A1687),IF(AND(AH!$U$12=1,1682+1=AH!$U$6),TODAY(),IF(AH!$U$5=1,INDEX('Live History'!$G$5:$G$3004,MATCH($A1687,'Live History'!$G$5:$G$3004,1)),INDEX('AH History'!$C$5:$C$1380,$K1687))),NA()),NA())</f>
        <v/>
      </c>
      <c r="J1687" s="32">
        <f>IFERROR(IF(AND($F1687&gt;0,$H1687&gt;0,$A1687-$G1687&lt;=10,$A1687-$I1687&lt;=5,$G1687&gt;0,$I1687&gt;0),$F1687*$H1687,NA()),NA())</f>
        <v/>
      </c>
      <c r="K1687" s="15">
        <f>IF($A1687="","",IF(AH!$U$5=1,IFERROR(MATCH($A1687,'Live History'!$A$5:$A$3004,0),0),AH!$U$7+1682))</f>
        <v/>
      </c>
      <c r="L1687" s="15">
        <f>IF(ISNUMBER(A1687),TEXT(A1687,"dd-mmm-yy"),"")</f>
        <v/>
      </c>
    </row>
    <row r="1688">
      <c r="A1688" s="14">
        <f>IF(OR(AH!$U$4=0,1683+1&gt;AH!$U$6,AND(AH!$M$5="Bloomberg",AH!$U$5=0)),"",IFERROR(IF(AND(AH!$U$12=1,1683+1=AH!$U$6),TODAY(),IF(AH!$U$5=1,INDEX('Live History'!$A$5:$A$3004,AH!$U$7+1683),INDEX('AH History'!$A$5:$A$1380,AH!$U$7+1683))),""))</f>
        <v/>
      </c>
      <c r="B1688" s="33">
        <f>IFERROR(IF(AH!$U$11=1,NA(),$J1688/$E1688-1),NA())</f>
        <v/>
      </c>
      <c r="C1688" s="269">
        <f>IFERROR(100*$E1688/$E$5,NA())</f>
        <v/>
      </c>
      <c r="D1688" s="269">
        <f>IFERROR(100*$J1688/$J$5,NA())</f>
        <v/>
      </c>
      <c r="E1688" s="32">
        <f>IFERROR(IF(AND(ISNUMBER($A1688),N(IF(AND(AH!$U$12=1,1683+1=AH!$U$6),IF(AH!$U$4=0,"unavailable",INDEX('Market Data'!$AN$5:$AN$66,AH!$U$4)),IF(AH!$U$5=1,INDEX('Live History'!$B$5:$B$3004,$K1688),INDEX('AH History'!$D$5:$GG$1380,$K1688,AH!$U$10))))&gt;0),IF(AND(AH!$U$12=1,1683+1=AH!$U$6),IF(AH!$U$4=0,"unavailable",INDEX('Market Data'!$AN$5:$AN$66,AH!$U$4)),IF(AH!$U$5=1,INDEX('Live History'!$B$5:$B$3004,$K1688),INDEX('AH History'!$D$5:$GG$1380,$K1688,AH!$U$10))),NA()),NA())</f>
        <v/>
      </c>
      <c r="F1688" s="32">
        <f>IFERROR(IF(ISNUMBER($A1688),IF(AND(AH!$U$12=1,1683+1=AH!$U$6),IF(AH!$U$4=0,"unavailable",INDEX('Market Data'!$AO$5:$AO$66,AH!$U$4)),IF(AH!$U$5=1,INDEX('Live History'!$E$5:$E$3004,MATCH($A1688,'Live History'!$D$5:$D$3004,1)),INDEX('AH History'!$D$5:$GG$1380,$K1688,AH!$U$10+1))),NA()),NA())</f>
        <v/>
      </c>
      <c r="G1688" s="34">
        <f>IFERROR(IF(ISNUMBER($A1688),IF(AND(AH!$U$12=1,1683+1=AH!$U$6),IF(AH!$U$4=0,"unavailable",INDEX('Market Data'!$AK$5:$AK$66,AH!$U$4)),IF(AH!$U$5=1,INDEX('Live History'!$D$5:$D$3004,MATCH($A1688,'Live History'!$D$5:$D$3004,1)),INDEX('AH History'!$D$5:$GG$1380,$K1688,AH!$U$10+2))),NA()),NA())</f>
        <v/>
      </c>
      <c r="H1688" s="266">
        <f>IFERROR(IF(ISNUMBER($A1688),IF(AND(AH!$U$12=1,1683+1=AH!$U$6),IF(AH!$U$4=0,"unavailable",INDEX('Market Data'!$AP$5:$AP$66,AH!$U$4)),IF(AH!$U$5=1,INDEX('Live History'!$H$5:$H$3004,MATCH($A1688,'Live History'!$G$5:$G$3004,1)),INDEX('AH History'!$B$5:$B$1380,$K1688))),NA()),NA())</f>
        <v/>
      </c>
      <c r="I1688" s="34">
        <f>IFERROR(IF(ISNUMBER($A1688),IF(AND(AH!$U$12=1,1683+1=AH!$U$6),TODAY(),IF(AH!$U$5=1,INDEX('Live History'!$G$5:$G$3004,MATCH($A1688,'Live History'!$G$5:$G$3004,1)),INDEX('AH History'!$C$5:$C$1380,$K1688))),NA()),NA())</f>
        <v/>
      </c>
      <c r="J1688" s="32">
        <f>IFERROR(IF(AND($F1688&gt;0,$H1688&gt;0,$A1688-$G1688&lt;=10,$A1688-$I1688&lt;=5,$G1688&gt;0,$I1688&gt;0),$F1688*$H1688,NA()),NA())</f>
        <v/>
      </c>
      <c r="K1688" s="15">
        <f>IF($A1688="","",IF(AH!$U$5=1,IFERROR(MATCH($A1688,'Live History'!$A$5:$A$3004,0),0),AH!$U$7+1683))</f>
        <v/>
      </c>
      <c r="L1688" s="15">
        <f>IF(ISNUMBER(A1688),TEXT(A1688,"dd-mmm-yy"),"")</f>
        <v/>
      </c>
    </row>
    <row r="1689">
      <c r="A1689" s="14">
        <f>IF(OR(AH!$U$4=0,1684+1&gt;AH!$U$6,AND(AH!$M$5="Bloomberg",AH!$U$5=0)),"",IFERROR(IF(AND(AH!$U$12=1,1684+1=AH!$U$6),TODAY(),IF(AH!$U$5=1,INDEX('Live History'!$A$5:$A$3004,AH!$U$7+1684),INDEX('AH History'!$A$5:$A$1380,AH!$U$7+1684))),""))</f>
        <v/>
      </c>
      <c r="B1689" s="33">
        <f>IFERROR(IF(AH!$U$11=1,NA(),$J1689/$E1689-1),NA())</f>
        <v/>
      </c>
      <c r="C1689" s="269">
        <f>IFERROR(100*$E1689/$E$5,NA())</f>
        <v/>
      </c>
      <c r="D1689" s="269">
        <f>IFERROR(100*$J1689/$J$5,NA())</f>
        <v/>
      </c>
      <c r="E1689" s="32">
        <f>IFERROR(IF(AND(ISNUMBER($A1689),N(IF(AND(AH!$U$12=1,1684+1=AH!$U$6),IF(AH!$U$4=0,"unavailable",INDEX('Market Data'!$AN$5:$AN$66,AH!$U$4)),IF(AH!$U$5=1,INDEX('Live History'!$B$5:$B$3004,$K1689),INDEX('AH History'!$D$5:$GG$1380,$K1689,AH!$U$10))))&gt;0),IF(AND(AH!$U$12=1,1684+1=AH!$U$6),IF(AH!$U$4=0,"unavailable",INDEX('Market Data'!$AN$5:$AN$66,AH!$U$4)),IF(AH!$U$5=1,INDEX('Live History'!$B$5:$B$3004,$K1689),INDEX('AH History'!$D$5:$GG$1380,$K1689,AH!$U$10))),NA()),NA())</f>
        <v/>
      </c>
      <c r="F1689" s="32">
        <f>IFERROR(IF(ISNUMBER($A1689),IF(AND(AH!$U$12=1,1684+1=AH!$U$6),IF(AH!$U$4=0,"unavailable",INDEX('Market Data'!$AO$5:$AO$66,AH!$U$4)),IF(AH!$U$5=1,INDEX('Live History'!$E$5:$E$3004,MATCH($A1689,'Live History'!$D$5:$D$3004,1)),INDEX('AH History'!$D$5:$GG$1380,$K1689,AH!$U$10+1))),NA()),NA())</f>
        <v/>
      </c>
      <c r="G1689" s="34">
        <f>IFERROR(IF(ISNUMBER($A1689),IF(AND(AH!$U$12=1,1684+1=AH!$U$6),IF(AH!$U$4=0,"unavailable",INDEX('Market Data'!$AK$5:$AK$66,AH!$U$4)),IF(AH!$U$5=1,INDEX('Live History'!$D$5:$D$3004,MATCH($A1689,'Live History'!$D$5:$D$3004,1)),INDEX('AH History'!$D$5:$GG$1380,$K1689,AH!$U$10+2))),NA()),NA())</f>
        <v/>
      </c>
      <c r="H1689" s="266">
        <f>IFERROR(IF(ISNUMBER($A1689),IF(AND(AH!$U$12=1,1684+1=AH!$U$6),IF(AH!$U$4=0,"unavailable",INDEX('Market Data'!$AP$5:$AP$66,AH!$U$4)),IF(AH!$U$5=1,INDEX('Live History'!$H$5:$H$3004,MATCH($A1689,'Live History'!$G$5:$G$3004,1)),INDEX('AH History'!$B$5:$B$1380,$K1689))),NA()),NA())</f>
        <v/>
      </c>
      <c r="I1689" s="34">
        <f>IFERROR(IF(ISNUMBER($A1689),IF(AND(AH!$U$12=1,1684+1=AH!$U$6),TODAY(),IF(AH!$U$5=1,INDEX('Live History'!$G$5:$G$3004,MATCH($A1689,'Live History'!$G$5:$G$3004,1)),INDEX('AH History'!$C$5:$C$1380,$K1689))),NA()),NA())</f>
        <v/>
      </c>
      <c r="J1689" s="32">
        <f>IFERROR(IF(AND($F1689&gt;0,$H1689&gt;0,$A1689-$G1689&lt;=10,$A1689-$I1689&lt;=5,$G1689&gt;0,$I1689&gt;0),$F1689*$H1689,NA()),NA())</f>
        <v/>
      </c>
      <c r="K1689" s="15">
        <f>IF($A1689="","",IF(AH!$U$5=1,IFERROR(MATCH($A1689,'Live History'!$A$5:$A$3004,0),0),AH!$U$7+1684))</f>
        <v/>
      </c>
      <c r="L1689" s="15">
        <f>IF(ISNUMBER(A1689),TEXT(A1689,"dd-mmm-yy"),"")</f>
        <v/>
      </c>
    </row>
    <row r="1690">
      <c r="A1690" s="14">
        <f>IF(OR(AH!$U$4=0,1685+1&gt;AH!$U$6,AND(AH!$M$5="Bloomberg",AH!$U$5=0)),"",IFERROR(IF(AND(AH!$U$12=1,1685+1=AH!$U$6),TODAY(),IF(AH!$U$5=1,INDEX('Live History'!$A$5:$A$3004,AH!$U$7+1685),INDEX('AH History'!$A$5:$A$1380,AH!$U$7+1685))),""))</f>
        <v/>
      </c>
      <c r="B1690" s="33">
        <f>IFERROR(IF(AH!$U$11=1,NA(),$J1690/$E1690-1),NA())</f>
        <v/>
      </c>
      <c r="C1690" s="269">
        <f>IFERROR(100*$E1690/$E$5,NA())</f>
        <v/>
      </c>
      <c r="D1690" s="269">
        <f>IFERROR(100*$J1690/$J$5,NA())</f>
        <v/>
      </c>
      <c r="E1690" s="32">
        <f>IFERROR(IF(AND(ISNUMBER($A1690),N(IF(AND(AH!$U$12=1,1685+1=AH!$U$6),IF(AH!$U$4=0,"unavailable",INDEX('Market Data'!$AN$5:$AN$66,AH!$U$4)),IF(AH!$U$5=1,INDEX('Live History'!$B$5:$B$3004,$K1690),INDEX('AH History'!$D$5:$GG$1380,$K1690,AH!$U$10))))&gt;0),IF(AND(AH!$U$12=1,1685+1=AH!$U$6),IF(AH!$U$4=0,"unavailable",INDEX('Market Data'!$AN$5:$AN$66,AH!$U$4)),IF(AH!$U$5=1,INDEX('Live History'!$B$5:$B$3004,$K1690),INDEX('AH History'!$D$5:$GG$1380,$K1690,AH!$U$10))),NA()),NA())</f>
        <v/>
      </c>
      <c r="F1690" s="32">
        <f>IFERROR(IF(ISNUMBER($A1690),IF(AND(AH!$U$12=1,1685+1=AH!$U$6),IF(AH!$U$4=0,"unavailable",INDEX('Market Data'!$AO$5:$AO$66,AH!$U$4)),IF(AH!$U$5=1,INDEX('Live History'!$E$5:$E$3004,MATCH($A1690,'Live History'!$D$5:$D$3004,1)),INDEX('AH History'!$D$5:$GG$1380,$K1690,AH!$U$10+1))),NA()),NA())</f>
        <v/>
      </c>
      <c r="G1690" s="34">
        <f>IFERROR(IF(ISNUMBER($A1690),IF(AND(AH!$U$12=1,1685+1=AH!$U$6),IF(AH!$U$4=0,"unavailable",INDEX('Market Data'!$AK$5:$AK$66,AH!$U$4)),IF(AH!$U$5=1,INDEX('Live History'!$D$5:$D$3004,MATCH($A1690,'Live History'!$D$5:$D$3004,1)),INDEX('AH History'!$D$5:$GG$1380,$K1690,AH!$U$10+2))),NA()),NA())</f>
        <v/>
      </c>
      <c r="H1690" s="266">
        <f>IFERROR(IF(ISNUMBER($A1690),IF(AND(AH!$U$12=1,1685+1=AH!$U$6),IF(AH!$U$4=0,"unavailable",INDEX('Market Data'!$AP$5:$AP$66,AH!$U$4)),IF(AH!$U$5=1,INDEX('Live History'!$H$5:$H$3004,MATCH($A1690,'Live History'!$G$5:$G$3004,1)),INDEX('AH History'!$B$5:$B$1380,$K1690))),NA()),NA())</f>
        <v/>
      </c>
      <c r="I1690" s="34">
        <f>IFERROR(IF(ISNUMBER($A1690),IF(AND(AH!$U$12=1,1685+1=AH!$U$6),TODAY(),IF(AH!$U$5=1,INDEX('Live History'!$G$5:$G$3004,MATCH($A1690,'Live History'!$G$5:$G$3004,1)),INDEX('AH History'!$C$5:$C$1380,$K1690))),NA()),NA())</f>
        <v/>
      </c>
      <c r="J1690" s="32">
        <f>IFERROR(IF(AND($F1690&gt;0,$H1690&gt;0,$A1690-$G1690&lt;=10,$A1690-$I1690&lt;=5,$G1690&gt;0,$I1690&gt;0),$F1690*$H1690,NA()),NA())</f>
        <v/>
      </c>
      <c r="K1690" s="15">
        <f>IF($A1690="","",IF(AH!$U$5=1,IFERROR(MATCH($A1690,'Live History'!$A$5:$A$3004,0),0),AH!$U$7+1685))</f>
        <v/>
      </c>
      <c r="L1690" s="15">
        <f>IF(ISNUMBER(A1690),TEXT(A1690,"dd-mmm-yy"),"")</f>
        <v/>
      </c>
    </row>
    <row r="1691">
      <c r="A1691" s="14">
        <f>IF(OR(AH!$U$4=0,1686+1&gt;AH!$U$6,AND(AH!$M$5="Bloomberg",AH!$U$5=0)),"",IFERROR(IF(AND(AH!$U$12=1,1686+1=AH!$U$6),TODAY(),IF(AH!$U$5=1,INDEX('Live History'!$A$5:$A$3004,AH!$U$7+1686),INDEX('AH History'!$A$5:$A$1380,AH!$U$7+1686))),""))</f>
        <v/>
      </c>
      <c r="B1691" s="33">
        <f>IFERROR(IF(AH!$U$11=1,NA(),$J1691/$E1691-1),NA())</f>
        <v/>
      </c>
      <c r="C1691" s="269">
        <f>IFERROR(100*$E1691/$E$5,NA())</f>
        <v/>
      </c>
      <c r="D1691" s="269">
        <f>IFERROR(100*$J1691/$J$5,NA())</f>
        <v/>
      </c>
      <c r="E1691" s="32">
        <f>IFERROR(IF(AND(ISNUMBER($A1691),N(IF(AND(AH!$U$12=1,1686+1=AH!$U$6),IF(AH!$U$4=0,"unavailable",INDEX('Market Data'!$AN$5:$AN$66,AH!$U$4)),IF(AH!$U$5=1,INDEX('Live History'!$B$5:$B$3004,$K1691),INDEX('AH History'!$D$5:$GG$1380,$K1691,AH!$U$10))))&gt;0),IF(AND(AH!$U$12=1,1686+1=AH!$U$6),IF(AH!$U$4=0,"unavailable",INDEX('Market Data'!$AN$5:$AN$66,AH!$U$4)),IF(AH!$U$5=1,INDEX('Live History'!$B$5:$B$3004,$K1691),INDEX('AH History'!$D$5:$GG$1380,$K1691,AH!$U$10))),NA()),NA())</f>
        <v/>
      </c>
      <c r="F1691" s="32">
        <f>IFERROR(IF(ISNUMBER($A1691),IF(AND(AH!$U$12=1,1686+1=AH!$U$6),IF(AH!$U$4=0,"unavailable",INDEX('Market Data'!$AO$5:$AO$66,AH!$U$4)),IF(AH!$U$5=1,INDEX('Live History'!$E$5:$E$3004,MATCH($A1691,'Live History'!$D$5:$D$3004,1)),INDEX('AH History'!$D$5:$GG$1380,$K1691,AH!$U$10+1))),NA()),NA())</f>
        <v/>
      </c>
      <c r="G1691" s="34">
        <f>IFERROR(IF(ISNUMBER($A1691),IF(AND(AH!$U$12=1,1686+1=AH!$U$6),IF(AH!$U$4=0,"unavailable",INDEX('Market Data'!$AK$5:$AK$66,AH!$U$4)),IF(AH!$U$5=1,INDEX('Live History'!$D$5:$D$3004,MATCH($A1691,'Live History'!$D$5:$D$3004,1)),INDEX('AH History'!$D$5:$GG$1380,$K1691,AH!$U$10+2))),NA()),NA())</f>
        <v/>
      </c>
      <c r="H1691" s="266">
        <f>IFERROR(IF(ISNUMBER($A1691),IF(AND(AH!$U$12=1,1686+1=AH!$U$6),IF(AH!$U$4=0,"unavailable",INDEX('Market Data'!$AP$5:$AP$66,AH!$U$4)),IF(AH!$U$5=1,INDEX('Live History'!$H$5:$H$3004,MATCH($A1691,'Live History'!$G$5:$G$3004,1)),INDEX('AH History'!$B$5:$B$1380,$K1691))),NA()),NA())</f>
        <v/>
      </c>
      <c r="I1691" s="34">
        <f>IFERROR(IF(ISNUMBER($A1691),IF(AND(AH!$U$12=1,1686+1=AH!$U$6),TODAY(),IF(AH!$U$5=1,INDEX('Live History'!$G$5:$G$3004,MATCH($A1691,'Live History'!$G$5:$G$3004,1)),INDEX('AH History'!$C$5:$C$1380,$K1691))),NA()),NA())</f>
        <v/>
      </c>
      <c r="J1691" s="32">
        <f>IFERROR(IF(AND($F1691&gt;0,$H1691&gt;0,$A1691-$G1691&lt;=10,$A1691-$I1691&lt;=5,$G1691&gt;0,$I1691&gt;0),$F1691*$H1691,NA()),NA())</f>
        <v/>
      </c>
      <c r="K1691" s="15">
        <f>IF($A1691="","",IF(AH!$U$5=1,IFERROR(MATCH($A1691,'Live History'!$A$5:$A$3004,0),0),AH!$U$7+1686))</f>
        <v/>
      </c>
      <c r="L1691" s="15">
        <f>IF(ISNUMBER(A1691),TEXT(A1691,"dd-mmm-yy"),"")</f>
        <v/>
      </c>
    </row>
    <row r="1692">
      <c r="A1692" s="14">
        <f>IF(OR(AH!$U$4=0,1687+1&gt;AH!$U$6,AND(AH!$M$5="Bloomberg",AH!$U$5=0)),"",IFERROR(IF(AND(AH!$U$12=1,1687+1=AH!$U$6),TODAY(),IF(AH!$U$5=1,INDEX('Live History'!$A$5:$A$3004,AH!$U$7+1687),INDEX('AH History'!$A$5:$A$1380,AH!$U$7+1687))),""))</f>
        <v/>
      </c>
      <c r="B1692" s="33">
        <f>IFERROR(IF(AH!$U$11=1,NA(),$J1692/$E1692-1),NA())</f>
        <v/>
      </c>
      <c r="C1692" s="269">
        <f>IFERROR(100*$E1692/$E$5,NA())</f>
        <v/>
      </c>
      <c r="D1692" s="269">
        <f>IFERROR(100*$J1692/$J$5,NA())</f>
        <v/>
      </c>
      <c r="E1692" s="32">
        <f>IFERROR(IF(AND(ISNUMBER($A1692),N(IF(AND(AH!$U$12=1,1687+1=AH!$U$6),IF(AH!$U$4=0,"unavailable",INDEX('Market Data'!$AN$5:$AN$66,AH!$U$4)),IF(AH!$U$5=1,INDEX('Live History'!$B$5:$B$3004,$K1692),INDEX('AH History'!$D$5:$GG$1380,$K1692,AH!$U$10))))&gt;0),IF(AND(AH!$U$12=1,1687+1=AH!$U$6),IF(AH!$U$4=0,"unavailable",INDEX('Market Data'!$AN$5:$AN$66,AH!$U$4)),IF(AH!$U$5=1,INDEX('Live History'!$B$5:$B$3004,$K1692),INDEX('AH History'!$D$5:$GG$1380,$K1692,AH!$U$10))),NA()),NA())</f>
        <v/>
      </c>
      <c r="F1692" s="32">
        <f>IFERROR(IF(ISNUMBER($A1692),IF(AND(AH!$U$12=1,1687+1=AH!$U$6),IF(AH!$U$4=0,"unavailable",INDEX('Market Data'!$AO$5:$AO$66,AH!$U$4)),IF(AH!$U$5=1,INDEX('Live History'!$E$5:$E$3004,MATCH($A1692,'Live History'!$D$5:$D$3004,1)),INDEX('AH History'!$D$5:$GG$1380,$K1692,AH!$U$10+1))),NA()),NA())</f>
        <v/>
      </c>
      <c r="G1692" s="34">
        <f>IFERROR(IF(ISNUMBER($A1692),IF(AND(AH!$U$12=1,1687+1=AH!$U$6),IF(AH!$U$4=0,"unavailable",INDEX('Market Data'!$AK$5:$AK$66,AH!$U$4)),IF(AH!$U$5=1,INDEX('Live History'!$D$5:$D$3004,MATCH($A1692,'Live History'!$D$5:$D$3004,1)),INDEX('AH History'!$D$5:$GG$1380,$K1692,AH!$U$10+2))),NA()),NA())</f>
        <v/>
      </c>
      <c r="H1692" s="266">
        <f>IFERROR(IF(ISNUMBER($A1692),IF(AND(AH!$U$12=1,1687+1=AH!$U$6),IF(AH!$U$4=0,"unavailable",INDEX('Market Data'!$AP$5:$AP$66,AH!$U$4)),IF(AH!$U$5=1,INDEX('Live History'!$H$5:$H$3004,MATCH($A1692,'Live History'!$G$5:$G$3004,1)),INDEX('AH History'!$B$5:$B$1380,$K1692))),NA()),NA())</f>
        <v/>
      </c>
      <c r="I1692" s="34">
        <f>IFERROR(IF(ISNUMBER($A1692),IF(AND(AH!$U$12=1,1687+1=AH!$U$6),TODAY(),IF(AH!$U$5=1,INDEX('Live History'!$G$5:$G$3004,MATCH($A1692,'Live History'!$G$5:$G$3004,1)),INDEX('AH History'!$C$5:$C$1380,$K1692))),NA()),NA())</f>
        <v/>
      </c>
      <c r="J1692" s="32">
        <f>IFERROR(IF(AND($F1692&gt;0,$H1692&gt;0,$A1692-$G1692&lt;=10,$A1692-$I1692&lt;=5,$G1692&gt;0,$I1692&gt;0),$F1692*$H1692,NA()),NA())</f>
        <v/>
      </c>
      <c r="K1692" s="15">
        <f>IF($A1692="","",IF(AH!$U$5=1,IFERROR(MATCH($A1692,'Live History'!$A$5:$A$3004,0),0),AH!$U$7+1687))</f>
        <v/>
      </c>
      <c r="L1692" s="15">
        <f>IF(ISNUMBER(A1692),TEXT(A1692,"dd-mmm-yy"),"")</f>
        <v/>
      </c>
    </row>
    <row r="1693">
      <c r="A1693" s="14">
        <f>IF(OR(AH!$U$4=0,1688+1&gt;AH!$U$6,AND(AH!$M$5="Bloomberg",AH!$U$5=0)),"",IFERROR(IF(AND(AH!$U$12=1,1688+1=AH!$U$6),TODAY(),IF(AH!$U$5=1,INDEX('Live History'!$A$5:$A$3004,AH!$U$7+1688),INDEX('AH History'!$A$5:$A$1380,AH!$U$7+1688))),""))</f>
        <v/>
      </c>
      <c r="B1693" s="33">
        <f>IFERROR(IF(AH!$U$11=1,NA(),$J1693/$E1693-1),NA())</f>
        <v/>
      </c>
      <c r="C1693" s="269">
        <f>IFERROR(100*$E1693/$E$5,NA())</f>
        <v/>
      </c>
      <c r="D1693" s="269">
        <f>IFERROR(100*$J1693/$J$5,NA())</f>
        <v/>
      </c>
      <c r="E1693" s="32">
        <f>IFERROR(IF(AND(ISNUMBER($A1693),N(IF(AND(AH!$U$12=1,1688+1=AH!$U$6),IF(AH!$U$4=0,"unavailable",INDEX('Market Data'!$AN$5:$AN$66,AH!$U$4)),IF(AH!$U$5=1,INDEX('Live History'!$B$5:$B$3004,$K1693),INDEX('AH History'!$D$5:$GG$1380,$K1693,AH!$U$10))))&gt;0),IF(AND(AH!$U$12=1,1688+1=AH!$U$6),IF(AH!$U$4=0,"unavailable",INDEX('Market Data'!$AN$5:$AN$66,AH!$U$4)),IF(AH!$U$5=1,INDEX('Live History'!$B$5:$B$3004,$K1693),INDEX('AH History'!$D$5:$GG$1380,$K1693,AH!$U$10))),NA()),NA())</f>
        <v/>
      </c>
      <c r="F1693" s="32">
        <f>IFERROR(IF(ISNUMBER($A1693),IF(AND(AH!$U$12=1,1688+1=AH!$U$6),IF(AH!$U$4=0,"unavailable",INDEX('Market Data'!$AO$5:$AO$66,AH!$U$4)),IF(AH!$U$5=1,INDEX('Live History'!$E$5:$E$3004,MATCH($A1693,'Live History'!$D$5:$D$3004,1)),INDEX('AH History'!$D$5:$GG$1380,$K1693,AH!$U$10+1))),NA()),NA())</f>
        <v/>
      </c>
      <c r="G1693" s="34">
        <f>IFERROR(IF(ISNUMBER($A1693),IF(AND(AH!$U$12=1,1688+1=AH!$U$6),IF(AH!$U$4=0,"unavailable",INDEX('Market Data'!$AK$5:$AK$66,AH!$U$4)),IF(AH!$U$5=1,INDEX('Live History'!$D$5:$D$3004,MATCH($A1693,'Live History'!$D$5:$D$3004,1)),INDEX('AH History'!$D$5:$GG$1380,$K1693,AH!$U$10+2))),NA()),NA())</f>
        <v/>
      </c>
      <c r="H1693" s="266">
        <f>IFERROR(IF(ISNUMBER($A1693),IF(AND(AH!$U$12=1,1688+1=AH!$U$6),IF(AH!$U$4=0,"unavailable",INDEX('Market Data'!$AP$5:$AP$66,AH!$U$4)),IF(AH!$U$5=1,INDEX('Live History'!$H$5:$H$3004,MATCH($A1693,'Live History'!$G$5:$G$3004,1)),INDEX('AH History'!$B$5:$B$1380,$K1693))),NA()),NA())</f>
        <v/>
      </c>
      <c r="I1693" s="34">
        <f>IFERROR(IF(ISNUMBER($A1693),IF(AND(AH!$U$12=1,1688+1=AH!$U$6),TODAY(),IF(AH!$U$5=1,INDEX('Live History'!$G$5:$G$3004,MATCH($A1693,'Live History'!$G$5:$G$3004,1)),INDEX('AH History'!$C$5:$C$1380,$K1693))),NA()),NA())</f>
        <v/>
      </c>
      <c r="J1693" s="32">
        <f>IFERROR(IF(AND($F1693&gt;0,$H1693&gt;0,$A1693-$G1693&lt;=10,$A1693-$I1693&lt;=5,$G1693&gt;0,$I1693&gt;0),$F1693*$H1693,NA()),NA())</f>
        <v/>
      </c>
      <c r="K1693" s="15">
        <f>IF($A1693="","",IF(AH!$U$5=1,IFERROR(MATCH($A1693,'Live History'!$A$5:$A$3004,0),0),AH!$U$7+1688))</f>
        <v/>
      </c>
      <c r="L1693" s="15">
        <f>IF(ISNUMBER(A1693),TEXT(A1693,"dd-mmm-yy"),"")</f>
        <v/>
      </c>
    </row>
    <row r="1694">
      <c r="A1694" s="14">
        <f>IF(OR(AH!$U$4=0,1689+1&gt;AH!$U$6,AND(AH!$M$5="Bloomberg",AH!$U$5=0)),"",IFERROR(IF(AND(AH!$U$12=1,1689+1=AH!$U$6),TODAY(),IF(AH!$U$5=1,INDEX('Live History'!$A$5:$A$3004,AH!$U$7+1689),INDEX('AH History'!$A$5:$A$1380,AH!$U$7+1689))),""))</f>
        <v/>
      </c>
      <c r="B1694" s="33">
        <f>IFERROR(IF(AH!$U$11=1,NA(),$J1694/$E1694-1),NA())</f>
        <v/>
      </c>
      <c r="C1694" s="269">
        <f>IFERROR(100*$E1694/$E$5,NA())</f>
        <v/>
      </c>
      <c r="D1694" s="269">
        <f>IFERROR(100*$J1694/$J$5,NA())</f>
        <v/>
      </c>
      <c r="E1694" s="32">
        <f>IFERROR(IF(AND(ISNUMBER($A1694),N(IF(AND(AH!$U$12=1,1689+1=AH!$U$6),IF(AH!$U$4=0,"unavailable",INDEX('Market Data'!$AN$5:$AN$66,AH!$U$4)),IF(AH!$U$5=1,INDEX('Live History'!$B$5:$B$3004,$K1694),INDEX('AH History'!$D$5:$GG$1380,$K1694,AH!$U$10))))&gt;0),IF(AND(AH!$U$12=1,1689+1=AH!$U$6),IF(AH!$U$4=0,"unavailable",INDEX('Market Data'!$AN$5:$AN$66,AH!$U$4)),IF(AH!$U$5=1,INDEX('Live History'!$B$5:$B$3004,$K1694),INDEX('AH History'!$D$5:$GG$1380,$K1694,AH!$U$10))),NA()),NA())</f>
        <v/>
      </c>
      <c r="F1694" s="32">
        <f>IFERROR(IF(ISNUMBER($A1694),IF(AND(AH!$U$12=1,1689+1=AH!$U$6),IF(AH!$U$4=0,"unavailable",INDEX('Market Data'!$AO$5:$AO$66,AH!$U$4)),IF(AH!$U$5=1,INDEX('Live History'!$E$5:$E$3004,MATCH($A1694,'Live History'!$D$5:$D$3004,1)),INDEX('AH History'!$D$5:$GG$1380,$K1694,AH!$U$10+1))),NA()),NA())</f>
        <v/>
      </c>
      <c r="G1694" s="34">
        <f>IFERROR(IF(ISNUMBER($A1694),IF(AND(AH!$U$12=1,1689+1=AH!$U$6),IF(AH!$U$4=0,"unavailable",INDEX('Market Data'!$AK$5:$AK$66,AH!$U$4)),IF(AH!$U$5=1,INDEX('Live History'!$D$5:$D$3004,MATCH($A1694,'Live History'!$D$5:$D$3004,1)),INDEX('AH History'!$D$5:$GG$1380,$K1694,AH!$U$10+2))),NA()),NA())</f>
        <v/>
      </c>
      <c r="H1694" s="266">
        <f>IFERROR(IF(ISNUMBER($A1694),IF(AND(AH!$U$12=1,1689+1=AH!$U$6),IF(AH!$U$4=0,"unavailable",INDEX('Market Data'!$AP$5:$AP$66,AH!$U$4)),IF(AH!$U$5=1,INDEX('Live History'!$H$5:$H$3004,MATCH($A1694,'Live History'!$G$5:$G$3004,1)),INDEX('AH History'!$B$5:$B$1380,$K1694))),NA()),NA())</f>
        <v/>
      </c>
      <c r="I1694" s="34">
        <f>IFERROR(IF(ISNUMBER($A1694),IF(AND(AH!$U$12=1,1689+1=AH!$U$6),TODAY(),IF(AH!$U$5=1,INDEX('Live History'!$G$5:$G$3004,MATCH($A1694,'Live History'!$G$5:$G$3004,1)),INDEX('AH History'!$C$5:$C$1380,$K1694))),NA()),NA())</f>
        <v/>
      </c>
      <c r="J1694" s="32">
        <f>IFERROR(IF(AND($F1694&gt;0,$H1694&gt;0,$A1694-$G1694&lt;=10,$A1694-$I1694&lt;=5,$G1694&gt;0,$I1694&gt;0),$F1694*$H1694,NA()),NA())</f>
        <v/>
      </c>
      <c r="K1694" s="15">
        <f>IF($A1694="","",IF(AH!$U$5=1,IFERROR(MATCH($A1694,'Live History'!$A$5:$A$3004,0),0),AH!$U$7+1689))</f>
        <v/>
      </c>
      <c r="L1694" s="15">
        <f>IF(ISNUMBER(A1694),TEXT(A1694,"dd-mmm-yy"),"")</f>
        <v/>
      </c>
    </row>
    <row r="1695">
      <c r="A1695" s="14">
        <f>IF(OR(AH!$U$4=0,1690+1&gt;AH!$U$6,AND(AH!$M$5="Bloomberg",AH!$U$5=0)),"",IFERROR(IF(AND(AH!$U$12=1,1690+1=AH!$U$6),TODAY(),IF(AH!$U$5=1,INDEX('Live History'!$A$5:$A$3004,AH!$U$7+1690),INDEX('AH History'!$A$5:$A$1380,AH!$U$7+1690))),""))</f>
        <v/>
      </c>
      <c r="B1695" s="33">
        <f>IFERROR(IF(AH!$U$11=1,NA(),$J1695/$E1695-1),NA())</f>
        <v/>
      </c>
      <c r="C1695" s="269">
        <f>IFERROR(100*$E1695/$E$5,NA())</f>
        <v/>
      </c>
      <c r="D1695" s="269">
        <f>IFERROR(100*$J1695/$J$5,NA())</f>
        <v/>
      </c>
      <c r="E1695" s="32">
        <f>IFERROR(IF(AND(ISNUMBER($A1695),N(IF(AND(AH!$U$12=1,1690+1=AH!$U$6),IF(AH!$U$4=0,"unavailable",INDEX('Market Data'!$AN$5:$AN$66,AH!$U$4)),IF(AH!$U$5=1,INDEX('Live History'!$B$5:$B$3004,$K1695),INDEX('AH History'!$D$5:$GG$1380,$K1695,AH!$U$10))))&gt;0),IF(AND(AH!$U$12=1,1690+1=AH!$U$6),IF(AH!$U$4=0,"unavailable",INDEX('Market Data'!$AN$5:$AN$66,AH!$U$4)),IF(AH!$U$5=1,INDEX('Live History'!$B$5:$B$3004,$K1695),INDEX('AH History'!$D$5:$GG$1380,$K1695,AH!$U$10))),NA()),NA())</f>
        <v/>
      </c>
      <c r="F1695" s="32">
        <f>IFERROR(IF(ISNUMBER($A1695),IF(AND(AH!$U$12=1,1690+1=AH!$U$6),IF(AH!$U$4=0,"unavailable",INDEX('Market Data'!$AO$5:$AO$66,AH!$U$4)),IF(AH!$U$5=1,INDEX('Live History'!$E$5:$E$3004,MATCH($A1695,'Live History'!$D$5:$D$3004,1)),INDEX('AH History'!$D$5:$GG$1380,$K1695,AH!$U$10+1))),NA()),NA())</f>
        <v/>
      </c>
      <c r="G1695" s="34">
        <f>IFERROR(IF(ISNUMBER($A1695),IF(AND(AH!$U$12=1,1690+1=AH!$U$6),IF(AH!$U$4=0,"unavailable",INDEX('Market Data'!$AK$5:$AK$66,AH!$U$4)),IF(AH!$U$5=1,INDEX('Live History'!$D$5:$D$3004,MATCH($A1695,'Live History'!$D$5:$D$3004,1)),INDEX('AH History'!$D$5:$GG$1380,$K1695,AH!$U$10+2))),NA()),NA())</f>
        <v/>
      </c>
      <c r="H1695" s="266">
        <f>IFERROR(IF(ISNUMBER($A1695),IF(AND(AH!$U$12=1,1690+1=AH!$U$6),IF(AH!$U$4=0,"unavailable",INDEX('Market Data'!$AP$5:$AP$66,AH!$U$4)),IF(AH!$U$5=1,INDEX('Live History'!$H$5:$H$3004,MATCH($A1695,'Live History'!$G$5:$G$3004,1)),INDEX('AH History'!$B$5:$B$1380,$K1695))),NA()),NA())</f>
        <v/>
      </c>
      <c r="I1695" s="34">
        <f>IFERROR(IF(ISNUMBER($A1695),IF(AND(AH!$U$12=1,1690+1=AH!$U$6),TODAY(),IF(AH!$U$5=1,INDEX('Live History'!$G$5:$G$3004,MATCH($A1695,'Live History'!$G$5:$G$3004,1)),INDEX('AH History'!$C$5:$C$1380,$K1695))),NA()),NA())</f>
        <v/>
      </c>
      <c r="J1695" s="32">
        <f>IFERROR(IF(AND($F1695&gt;0,$H1695&gt;0,$A1695-$G1695&lt;=10,$A1695-$I1695&lt;=5,$G1695&gt;0,$I1695&gt;0),$F1695*$H1695,NA()),NA())</f>
        <v/>
      </c>
      <c r="K1695" s="15">
        <f>IF($A1695="","",IF(AH!$U$5=1,IFERROR(MATCH($A1695,'Live History'!$A$5:$A$3004,0),0),AH!$U$7+1690))</f>
        <v/>
      </c>
      <c r="L1695" s="15">
        <f>IF(ISNUMBER(A1695),TEXT(A1695,"dd-mmm-yy"),"")</f>
        <v/>
      </c>
    </row>
    <row r="1696">
      <c r="A1696" s="14">
        <f>IF(OR(AH!$U$4=0,1691+1&gt;AH!$U$6,AND(AH!$M$5="Bloomberg",AH!$U$5=0)),"",IFERROR(IF(AND(AH!$U$12=1,1691+1=AH!$U$6),TODAY(),IF(AH!$U$5=1,INDEX('Live History'!$A$5:$A$3004,AH!$U$7+1691),INDEX('AH History'!$A$5:$A$1380,AH!$U$7+1691))),""))</f>
        <v/>
      </c>
      <c r="B1696" s="33">
        <f>IFERROR(IF(AH!$U$11=1,NA(),$J1696/$E1696-1),NA())</f>
        <v/>
      </c>
      <c r="C1696" s="269">
        <f>IFERROR(100*$E1696/$E$5,NA())</f>
        <v/>
      </c>
      <c r="D1696" s="269">
        <f>IFERROR(100*$J1696/$J$5,NA())</f>
        <v/>
      </c>
      <c r="E1696" s="32">
        <f>IFERROR(IF(AND(ISNUMBER($A1696),N(IF(AND(AH!$U$12=1,1691+1=AH!$U$6),IF(AH!$U$4=0,"unavailable",INDEX('Market Data'!$AN$5:$AN$66,AH!$U$4)),IF(AH!$U$5=1,INDEX('Live History'!$B$5:$B$3004,$K1696),INDEX('AH History'!$D$5:$GG$1380,$K1696,AH!$U$10))))&gt;0),IF(AND(AH!$U$12=1,1691+1=AH!$U$6),IF(AH!$U$4=0,"unavailable",INDEX('Market Data'!$AN$5:$AN$66,AH!$U$4)),IF(AH!$U$5=1,INDEX('Live History'!$B$5:$B$3004,$K1696),INDEX('AH History'!$D$5:$GG$1380,$K1696,AH!$U$10))),NA()),NA())</f>
        <v/>
      </c>
      <c r="F1696" s="32">
        <f>IFERROR(IF(ISNUMBER($A1696),IF(AND(AH!$U$12=1,1691+1=AH!$U$6),IF(AH!$U$4=0,"unavailable",INDEX('Market Data'!$AO$5:$AO$66,AH!$U$4)),IF(AH!$U$5=1,INDEX('Live History'!$E$5:$E$3004,MATCH($A1696,'Live History'!$D$5:$D$3004,1)),INDEX('AH History'!$D$5:$GG$1380,$K1696,AH!$U$10+1))),NA()),NA())</f>
        <v/>
      </c>
      <c r="G1696" s="34">
        <f>IFERROR(IF(ISNUMBER($A1696),IF(AND(AH!$U$12=1,1691+1=AH!$U$6),IF(AH!$U$4=0,"unavailable",INDEX('Market Data'!$AK$5:$AK$66,AH!$U$4)),IF(AH!$U$5=1,INDEX('Live History'!$D$5:$D$3004,MATCH($A1696,'Live History'!$D$5:$D$3004,1)),INDEX('AH History'!$D$5:$GG$1380,$K1696,AH!$U$10+2))),NA()),NA())</f>
        <v/>
      </c>
      <c r="H1696" s="266">
        <f>IFERROR(IF(ISNUMBER($A1696),IF(AND(AH!$U$12=1,1691+1=AH!$U$6),IF(AH!$U$4=0,"unavailable",INDEX('Market Data'!$AP$5:$AP$66,AH!$U$4)),IF(AH!$U$5=1,INDEX('Live History'!$H$5:$H$3004,MATCH($A1696,'Live History'!$G$5:$G$3004,1)),INDEX('AH History'!$B$5:$B$1380,$K1696))),NA()),NA())</f>
        <v/>
      </c>
      <c r="I1696" s="34">
        <f>IFERROR(IF(ISNUMBER($A1696),IF(AND(AH!$U$12=1,1691+1=AH!$U$6),TODAY(),IF(AH!$U$5=1,INDEX('Live History'!$G$5:$G$3004,MATCH($A1696,'Live History'!$G$5:$G$3004,1)),INDEX('AH History'!$C$5:$C$1380,$K1696))),NA()),NA())</f>
        <v/>
      </c>
      <c r="J1696" s="32">
        <f>IFERROR(IF(AND($F1696&gt;0,$H1696&gt;0,$A1696-$G1696&lt;=10,$A1696-$I1696&lt;=5,$G1696&gt;0,$I1696&gt;0),$F1696*$H1696,NA()),NA())</f>
        <v/>
      </c>
      <c r="K1696" s="15">
        <f>IF($A1696="","",IF(AH!$U$5=1,IFERROR(MATCH($A1696,'Live History'!$A$5:$A$3004,0),0),AH!$U$7+1691))</f>
        <v/>
      </c>
      <c r="L1696" s="15">
        <f>IF(ISNUMBER(A1696),TEXT(A1696,"dd-mmm-yy"),"")</f>
        <v/>
      </c>
    </row>
    <row r="1697">
      <c r="A1697" s="14">
        <f>IF(OR(AH!$U$4=0,1692+1&gt;AH!$U$6,AND(AH!$M$5="Bloomberg",AH!$U$5=0)),"",IFERROR(IF(AND(AH!$U$12=1,1692+1=AH!$U$6),TODAY(),IF(AH!$U$5=1,INDEX('Live History'!$A$5:$A$3004,AH!$U$7+1692),INDEX('AH History'!$A$5:$A$1380,AH!$U$7+1692))),""))</f>
        <v/>
      </c>
      <c r="B1697" s="33">
        <f>IFERROR(IF(AH!$U$11=1,NA(),$J1697/$E1697-1),NA())</f>
        <v/>
      </c>
      <c r="C1697" s="269">
        <f>IFERROR(100*$E1697/$E$5,NA())</f>
        <v/>
      </c>
      <c r="D1697" s="269">
        <f>IFERROR(100*$J1697/$J$5,NA())</f>
        <v/>
      </c>
      <c r="E1697" s="32">
        <f>IFERROR(IF(AND(ISNUMBER($A1697),N(IF(AND(AH!$U$12=1,1692+1=AH!$U$6),IF(AH!$U$4=0,"unavailable",INDEX('Market Data'!$AN$5:$AN$66,AH!$U$4)),IF(AH!$U$5=1,INDEX('Live History'!$B$5:$B$3004,$K1697),INDEX('AH History'!$D$5:$GG$1380,$K1697,AH!$U$10))))&gt;0),IF(AND(AH!$U$12=1,1692+1=AH!$U$6),IF(AH!$U$4=0,"unavailable",INDEX('Market Data'!$AN$5:$AN$66,AH!$U$4)),IF(AH!$U$5=1,INDEX('Live History'!$B$5:$B$3004,$K1697),INDEX('AH History'!$D$5:$GG$1380,$K1697,AH!$U$10))),NA()),NA())</f>
        <v/>
      </c>
      <c r="F1697" s="32">
        <f>IFERROR(IF(ISNUMBER($A1697),IF(AND(AH!$U$12=1,1692+1=AH!$U$6),IF(AH!$U$4=0,"unavailable",INDEX('Market Data'!$AO$5:$AO$66,AH!$U$4)),IF(AH!$U$5=1,INDEX('Live History'!$E$5:$E$3004,MATCH($A1697,'Live History'!$D$5:$D$3004,1)),INDEX('AH History'!$D$5:$GG$1380,$K1697,AH!$U$10+1))),NA()),NA())</f>
        <v/>
      </c>
      <c r="G1697" s="34">
        <f>IFERROR(IF(ISNUMBER($A1697),IF(AND(AH!$U$12=1,1692+1=AH!$U$6),IF(AH!$U$4=0,"unavailable",INDEX('Market Data'!$AK$5:$AK$66,AH!$U$4)),IF(AH!$U$5=1,INDEX('Live History'!$D$5:$D$3004,MATCH($A1697,'Live History'!$D$5:$D$3004,1)),INDEX('AH History'!$D$5:$GG$1380,$K1697,AH!$U$10+2))),NA()),NA())</f>
        <v/>
      </c>
      <c r="H1697" s="266">
        <f>IFERROR(IF(ISNUMBER($A1697),IF(AND(AH!$U$12=1,1692+1=AH!$U$6),IF(AH!$U$4=0,"unavailable",INDEX('Market Data'!$AP$5:$AP$66,AH!$U$4)),IF(AH!$U$5=1,INDEX('Live History'!$H$5:$H$3004,MATCH($A1697,'Live History'!$G$5:$G$3004,1)),INDEX('AH History'!$B$5:$B$1380,$K1697))),NA()),NA())</f>
        <v/>
      </c>
      <c r="I1697" s="34">
        <f>IFERROR(IF(ISNUMBER($A1697),IF(AND(AH!$U$12=1,1692+1=AH!$U$6),TODAY(),IF(AH!$U$5=1,INDEX('Live History'!$G$5:$G$3004,MATCH($A1697,'Live History'!$G$5:$G$3004,1)),INDEX('AH History'!$C$5:$C$1380,$K1697))),NA()),NA())</f>
        <v/>
      </c>
      <c r="J1697" s="32">
        <f>IFERROR(IF(AND($F1697&gt;0,$H1697&gt;0,$A1697-$G1697&lt;=10,$A1697-$I1697&lt;=5,$G1697&gt;0,$I1697&gt;0),$F1697*$H1697,NA()),NA())</f>
        <v/>
      </c>
      <c r="K1697" s="15">
        <f>IF($A1697="","",IF(AH!$U$5=1,IFERROR(MATCH($A1697,'Live History'!$A$5:$A$3004,0),0),AH!$U$7+1692))</f>
        <v/>
      </c>
      <c r="L1697" s="15">
        <f>IF(ISNUMBER(A1697),TEXT(A1697,"dd-mmm-yy"),"")</f>
        <v/>
      </c>
    </row>
    <row r="1698">
      <c r="A1698" s="14">
        <f>IF(OR(AH!$U$4=0,1693+1&gt;AH!$U$6,AND(AH!$M$5="Bloomberg",AH!$U$5=0)),"",IFERROR(IF(AND(AH!$U$12=1,1693+1=AH!$U$6),TODAY(),IF(AH!$U$5=1,INDEX('Live History'!$A$5:$A$3004,AH!$U$7+1693),INDEX('AH History'!$A$5:$A$1380,AH!$U$7+1693))),""))</f>
        <v/>
      </c>
      <c r="B1698" s="33">
        <f>IFERROR(IF(AH!$U$11=1,NA(),$J1698/$E1698-1),NA())</f>
        <v/>
      </c>
      <c r="C1698" s="269">
        <f>IFERROR(100*$E1698/$E$5,NA())</f>
        <v/>
      </c>
      <c r="D1698" s="269">
        <f>IFERROR(100*$J1698/$J$5,NA())</f>
        <v/>
      </c>
      <c r="E1698" s="32">
        <f>IFERROR(IF(AND(ISNUMBER($A1698),N(IF(AND(AH!$U$12=1,1693+1=AH!$U$6),IF(AH!$U$4=0,"unavailable",INDEX('Market Data'!$AN$5:$AN$66,AH!$U$4)),IF(AH!$U$5=1,INDEX('Live History'!$B$5:$B$3004,$K1698),INDEX('AH History'!$D$5:$GG$1380,$K1698,AH!$U$10))))&gt;0),IF(AND(AH!$U$12=1,1693+1=AH!$U$6),IF(AH!$U$4=0,"unavailable",INDEX('Market Data'!$AN$5:$AN$66,AH!$U$4)),IF(AH!$U$5=1,INDEX('Live History'!$B$5:$B$3004,$K1698),INDEX('AH History'!$D$5:$GG$1380,$K1698,AH!$U$10))),NA()),NA())</f>
        <v/>
      </c>
      <c r="F1698" s="32">
        <f>IFERROR(IF(ISNUMBER($A1698),IF(AND(AH!$U$12=1,1693+1=AH!$U$6),IF(AH!$U$4=0,"unavailable",INDEX('Market Data'!$AO$5:$AO$66,AH!$U$4)),IF(AH!$U$5=1,INDEX('Live History'!$E$5:$E$3004,MATCH($A1698,'Live History'!$D$5:$D$3004,1)),INDEX('AH History'!$D$5:$GG$1380,$K1698,AH!$U$10+1))),NA()),NA())</f>
        <v/>
      </c>
      <c r="G1698" s="34">
        <f>IFERROR(IF(ISNUMBER($A1698),IF(AND(AH!$U$12=1,1693+1=AH!$U$6),IF(AH!$U$4=0,"unavailable",INDEX('Market Data'!$AK$5:$AK$66,AH!$U$4)),IF(AH!$U$5=1,INDEX('Live History'!$D$5:$D$3004,MATCH($A1698,'Live History'!$D$5:$D$3004,1)),INDEX('AH History'!$D$5:$GG$1380,$K1698,AH!$U$10+2))),NA()),NA())</f>
        <v/>
      </c>
      <c r="H1698" s="266">
        <f>IFERROR(IF(ISNUMBER($A1698),IF(AND(AH!$U$12=1,1693+1=AH!$U$6),IF(AH!$U$4=0,"unavailable",INDEX('Market Data'!$AP$5:$AP$66,AH!$U$4)),IF(AH!$U$5=1,INDEX('Live History'!$H$5:$H$3004,MATCH($A1698,'Live History'!$G$5:$G$3004,1)),INDEX('AH History'!$B$5:$B$1380,$K1698))),NA()),NA())</f>
        <v/>
      </c>
      <c r="I1698" s="34">
        <f>IFERROR(IF(ISNUMBER($A1698),IF(AND(AH!$U$12=1,1693+1=AH!$U$6),TODAY(),IF(AH!$U$5=1,INDEX('Live History'!$G$5:$G$3004,MATCH($A1698,'Live History'!$G$5:$G$3004,1)),INDEX('AH History'!$C$5:$C$1380,$K1698))),NA()),NA())</f>
        <v/>
      </c>
      <c r="J1698" s="32">
        <f>IFERROR(IF(AND($F1698&gt;0,$H1698&gt;0,$A1698-$G1698&lt;=10,$A1698-$I1698&lt;=5,$G1698&gt;0,$I1698&gt;0),$F1698*$H1698,NA()),NA())</f>
        <v/>
      </c>
      <c r="K1698" s="15">
        <f>IF($A1698="","",IF(AH!$U$5=1,IFERROR(MATCH($A1698,'Live History'!$A$5:$A$3004,0),0),AH!$U$7+1693))</f>
        <v/>
      </c>
      <c r="L1698" s="15">
        <f>IF(ISNUMBER(A1698),TEXT(A1698,"dd-mmm-yy"),"")</f>
        <v/>
      </c>
    </row>
    <row r="1699">
      <c r="A1699" s="14">
        <f>IF(OR(AH!$U$4=0,1694+1&gt;AH!$U$6,AND(AH!$M$5="Bloomberg",AH!$U$5=0)),"",IFERROR(IF(AND(AH!$U$12=1,1694+1=AH!$U$6),TODAY(),IF(AH!$U$5=1,INDEX('Live History'!$A$5:$A$3004,AH!$U$7+1694),INDEX('AH History'!$A$5:$A$1380,AH!$U$7+1694))),""))</f>
        <v/>
      </c>
      <c r="B1699" s="33">
        <f>IFERROR(IF(AH!$U$11=1,NA(),$J1699/$E1699-1),NA())</f>
        <v/>
      </c>
      <c r="C1699" s="269">
        <f>IFERROR(100*$E1699/$E$5,NA())</f>
        <v/>
      </c>
      <c r="D1699" s="269">
        <f>IFERROR(100*$J1699/$J$5,NA())</f>
        <v/>
      </c>
      <c r="E1699" s="32">
        <f>IFERROR(IF(AND(ISNUMBER($A1699),N(IF(AND(AH!$U$12=1,1694+1=AH!$U$6),IF(AH!$U$4=0,"unavailable",INDEX('Market Data'!$AN$5:$AN$66,AH!$U$4)),IF(AH!$U$5=1,INDEX('Live History'!$B$5:$B$3004,$K1699),INDEX('AH History'!$D$5:$GG$1380,$K1699,AH!$U$10))))&gt;0),IF(AND(AH!$U$12=1,1694+1=AH!$U$6),IF(AH!$U$4=0,"unavailable",INDEX('Market Data'!$AN$5:$AN$66,AH!$U$4)),IF(AH!$U$5=1,INDEX('Live History'!$B$5:$B$3004,$K1699),INDEX('AH History'!$D$5:$GG$1380,$K1699,AH!$U$10))),NA()),NA())</f>
        <v/>
      </c>
      <c r="F1699" s="32">
        <f>IFERROR(IF(ISNUMBER($A1699),IF(AND(AH!$U$12=1,1694+1=AH!$U$6),IF(AH!$U$4=0,"unavailable",INDEX('Market Data'!$AO$5:$AO$66,AH!$U$4)),IF(AH!$U$5=1,INDEX('Live History'!$E$5:$E$3004,MATCH($A1699,'Live History'!$D$5:$D$3004,1)),INDEX('AH History'!$D$5:$GG$1380,$K1699,AH!$U$10+1))),NA()),NA())</f>
        <v/>
      </c>
      <c r="G1699" s="34">
        <f>IFERROR(IF(ISNUMBER($A1699),IF(AND(AH!$U$12=1,1694+1=AH!$U$6),IF(AH!$U$4=0,"unavailable",INDEX('Market Data'!$AK$5:$AK$66,AH!$U$4)),IF(AH!$U$5=1,INDEX('Live History'!$D$5:$D$3004,MATCH($A1699,'Live History'!$D$5:$D$3004,1)),INDEX('AH History'!$D$5:$GG$1380,$K1699,AH!$U$10+2))),NA()),NA())</f>
        <v/>
      </c>
      <c r="H1699" s="266">
        <f>IFERROR(IF(ISNUMBER($A1699),IF(AND(AH!$U$12=1,1694+1=AH!$U$6),IF(AH!$U$4=0,"unavailable",INDEX('Market Data'!$AP$5:$AP$66,AH!$U$4)),IF(AH!$U$5=1,INDEX('Live History'!$H$5:$H$3004,MATCH($A1699,'Live History'!$G$5:$G$3004,1)),INDEX('AH History'!$B$5:$B$1380,$K1699))),NA()),NA())</f>
        <v/>
      </c>
      <c r="I1699" s="34">
        <f>IFERROR(IF(ISNUMBER($A1699),IF(AND(AH!$U$12=1,1694+1=AH!$U$6),TODAY(),IF(AH!$U$5=1,INDEX('Live History'!$G$5:$G$3004,MATCH($A1699,'Live History'!$G$5:$G$3004,1)),INDEX('AH History'!$C$5:$C$1380,$K1699))),NA()),NA())</f>
        <v/>
      </c>
      <c r="J1699" s="32">
        <f>IFERROR(IF(AND($F1699&gt;0,$H1699&gt;0,$A1699-$G1699&lt;=10,$A1699-$I1699&lt;=5,$G1699&gt;0,$I1699&gt;0),$F1699*$H1699,NA()),NA())</f>
        <v/>
      </c>
      <c r="K1699" s="15">
        <f>IF($A1699="","",IF(AH!$U$5=1,IFERROR(MATCH($A1699,'Live History'!$A$5:$A$3004,0),0),AH!$U$7+1694))</f>
        <v/>
      </c>
      <c r="L1699" s="15">
        <f>IF(ISNUMBER(A1699),TEXT(A1699,"dd-mmm-yy"),"")</f>
        <v/>
      </c>
    </row>
    <row r="1700">
      <c r="A1700" s="14">
        <f>IF(OR(AH!$U$4=0,1695+1&gt;AH!$U$6,AND(AH!$M$5="Bloomberg",AH!$U$5=0)),"",IFERROR(IF(AND(AH!$U$12=1,1695+1=AH!$U$6),TODAY(),IF(AH!$U$5=1,INDEX('Live History'!$A$5:$A$3004,AH!$U$7+1695),INDEX('AH History'!$A$5:$A$1380,AH!$U$7+1695))),""))</f>
        <v/>
      </c>
      <c r="B1700" s="33">
        <f>IFERROR(IF(AH!$U$11=1,NA(),$J1700/$E1700-1),NA())</f>
        <v/>
      </c>
      <c r="C1700" s="269">
        <f>IFERROR(100*$E1700/$E$5,NA())</f>
        <v/>
      </c>
      <c r="D1700" s="269">
        <f>IFERROR(100*$J1700/$J$5,NA())</f>
        <v/>
      </c>
      <c r="E1700" s="32">
        <f>IFERROR(IF(AND(ISNUMBER($A1700),N(IF(AND(AH!$U$12=1,1695+1=AH!$U$6),IF(AH!$U$4=0,"unavailable",INDEX('Market Data'!$AN$5:$AN$66,AH!$U$4)),IF(AH!$U$5=1,INDEX('Live History'!$B$5:$B$3004,$K1700),INDEX('AH History'!$D$5:$GG$1380,$K1700,AH!$U$10))))&gt;0),IF(AND(AH!$U$12=1,1695+1=AH!$U$6),IF(AH!$U$4=0,"unavailable",INDEX('Market Data'!$AN$5:$AN$66,AH!$U$4)),IF(AH!$U$5=1,INDEX('Live History'!$B$5:$B$3004,$K1700),INDEX('AH History'!$D$5:$GG$1380,$K1700,AH!$U$10))),NA()),NA())</f>
        <v/>
      </c>
      <c r="F1700" s="32">
        <f>IFERROR(IF(ISNUMBER($A1700),IF(AND(AH!$U$12=1,1695+1=AH!$U$6),IF(AH!$U$4=0,"unavailable",INDEX('Market Data'!$AO$5:$AO$66,AH!$U$4)),IF(AH!$U$5=1,INDEX('Live History'!$E$5:$E$3004,MATCH($A1700,'Live History'!$D$5:$D$3004,1)),INDEX('AH History'!$D$5:$GG$1380,$K1700,AH!$U$10+1))),NA()),NA())</f>
        <v/>
      </c>
      <c r="G1700" s="34">
        <f>IFERROR(IF(ISNUMBER($A1700),IF(AND(AH!$U$12=1,1695+1=AH!$U$6),IF(AH!$U$4=0,"unavailable",INDEX('Market Data'!$AK$5:$AK$66,AH!$U$4)),IF(AH!$U$5=1,INDEX('Live History'!$D$5:$D$3004,MATCH($A1700,'Live History'!$D$5:$D$3004,1)),INDEX('AH History'!$D$5:$GG$1380,$K1700,AH!$U$10+2))),NA()),NA())</f>
        <v/>
      </c>
      <c r="H1700" s="266">
        <f>IFERROR(IF(ISNUMBER($A1700),IF(AND(AH!$U$12=1,1695+1=AH!$U$6),IF(AH!$U$4=0,"unavailable",INDEX('Market Data'!$AP$5:$AP$66,AH!$U$4)),IF(AH!$U$5=1,INDEX('Live History'!$H$5:$H$3004,MATCH($A1700,'Live History'!$G$5:$G$3004,1)),INDEX('AH History'!$B$5:$B$1380,$K1700))),NA()),NA())</f>
        <v/>
      </c>
      <c r="I1700" s="34">
        <f>IFERROR(IF(ISNUMBER($A1700),IF(AND(AH!$U$12=1,1695+1=AH!$U$6),TODAY(),IF(AH!$U$5=1,INDEX('Live History'!$G$5:$G$3004,MATCH($A1700,'Live History'!$G$5:$G$3004,1)),INDEX('AH History'!$C$5:$C$1380,$K1700))),NA()),NA())</f>
        <v/>
      </c>
      <c r="J1700" s="32">
        <f>IFERROR(IF(AND($F1700&gt;0,$H1700&gt;0,$A1700-$G1700&lt;=10,$A1700-$I1700&lt;=5,$G1700&gt;0,$I1700&gt;0),$F1700*$H1700,NA()),NA())</f>
        <v/>
      </c>
      <c r="K1700" s="15">
        <f>IF($A1700="","",IF(AH!$U$5=1,IFERROR(MATCH($A1700,'Live History'!$A$5:$A$3004,0),0),AH!$U$7+1695))</f>
        <v/>
      </c>
      <c r="L1700" s="15">
        <f>IF(ISNUMBER(A1700),TEXT(A1700,"dd-mmm-yy"),"")</f>
        <v/>
      </c>
    </row>
    <row r="1701">
      <c r="A1701" s="14">
        <f>IF(OR(AH!$U$4=0,1696+1&gt;AH!$U$6,AND(AH!$M$5="Bloomberg",AH!$U$5=0)),"",IFERROR(IF(AND(AH!$U$12=1,1696+1=AH!$U$6),TODAY(),IF(AH!$U$5=1,INDEX('Live History'!$A$5:$A$3004,AH!$U$7+1696),INDEX('AH History'!$A$5:$A$1380,AH!$U$7+1696))),""))</f>
        <v/>
      </c>
      <c r="B1701" s="33">
        <f>IFERROR(IF(AH!$U$11=1,NA(),$J1701/$E1701-1),NA())</f>
        <v/>
      </c>
      <c r="C1701" s="269">
        <f>IFERROR(100*$E1701/$E$5,NA())</f>
        <v/>
      </c>
      <c r="D1701" s="269">
        <f>IFERROR(100*$J1701/$J$5,NA())</f>
        <v/>
      </c>
      <c r="E1701" s="32">
        <f>IFERROR(IF(AND(ISNUMBER($A1701),N(IF(AND(AH!$U$12=1,1696+1=AH!$U$6),IF(AH!$U$4=0,"unavailable",INDEX('Market Data'!$AN$5:$AN$66,AH!$U$4)),IF(AH!$U$5=1,INDEX('Live History'!$B$5:$B$3004,$K1701),INDEX('AH History'!$D$5:$GG$1380,$K1701,AH!$U$10))))&gt;0),IF(AND(AH!$U$12=1,1696+1=AH!$U$6),IF(AH!$U$4=0,"unavailable",INDEX('Market Data'!$AN$5:$AN$66,AH!$U$4)),IF(AH!$U$5=1,INDEX('Live History'!$B$5:$B$3004,$K1701),INDEX('AH History'!$D$5:$GG$1380,$K1701,AH!$U$10))),NA()),NA())</f>
        <v/>
      </c>
      <c r="F1701" s="32">
        <f>IFERROR(IF(ISNUMBER($A1701),IF(AND(AH!$U$12=1,1696+1=AH!$U$6),IF(AH!$U$4=0,"unavailable",INDEX('Market Data'!$AO$5:$AO$66,AH!$U$4)),IF(AH!$U$5=1,INDEX('Live History'!$E$5:$E$3004,MATCH($A1701,'Live History'!$D$5:$D$3004,1)),INDEX('AH History'!$D$5:$GG$1380,$K1701,AH!$U$10+1))),NA()),NA())</f>
        <v/>
      </c>
      <c r="G1701" s="34">
        <f>IFERROR(IF(ISNUMBER($A1701),IF(AND(AH!$U$12=1,1696+1=AH!$U$6),IF(AH!$U$4=0,"unavailable",INDEX('Market Data'!$AK$5:$AK$66,AH!$U$4)),IF(AH!$U$5=1,INDEX('Live History'!$D$5:$D$3004,MATCH($A1701,'Live History'!$D$5:$D$3004,1)),INDEX('AH History'!$D$5:$GG$1380,$K1701,AH!$U$10+2))),NA()),NA())</f>
        <v/>
      </c>
      <c r="H1701" s="266">
        <f>IFERROR(IF(ISNUMBER($A1701),IF(AND(AH!$U$12=1,1696+1=AH!$U$6),IF(AH!$U$4=0,"unavailable",INDEX('Market Data'!$AP$5:$AP$66,AH!$U$4)),IF(AH!$U$5=1,INDEX('Live History'!$H$5:$H$3004,MATCH($A1701,'Live History'!$G$5:$G$3004,1)),INDEX('AH History'!$B$5:$B$1380,$K1701))),NA()),NA())</f>
        <v/>
      </c>
      <c r="I1701" s="34">
        <f>IFERROR(IF(ISNUMBER($A1701),IF(AND(AH!$U$12=1,1696+1=AH!$U$6),TODAY(),IF(AH!$U$5=1,INDEX('Live History'!$G$5:$G$3004,MATCH($A1701,'Live History'!$G$5:$G$3004,1)),INDEX('AH History'!$C$5:$C$1380,$K1701))),NA()),NA())</f>
        <v/>
      </c>
      <c r="J1701" s="32">
        <f>IFERROR(IF(AND($F1701&gt;0,$H1701&gt;0,$A1701-$G1701&lt;=10,$A1701-$I1701&lt;=5,$G1701&gt;0,$I1701&gt;0),$F1701*$H1701,NA()),NA())</f>
        <v/>
      </c>
      <c r="K1701" s="15">
        <f>IF($A1701="","",IF(AH!$U$5=1,IFERROR(MATCH($A1701,'Live History'!$A$5:$A$3004,0),0),AH!$U$7+1696))</f>
        <v/>
      </c>
      <c r="L1701" s="15">
        <f>IF(ISNUMBER(A1701),TEXT(A1701,"dd-mmm-yy"),"")</f>
        <v/>
      </c>
    </row>
    <row r="1702">
      <c r="A1702" s="14">
        <f>IF(OR(AH!$U$4=0,1697+1&gt;AH!$U$6,AND(AH!$M$5="Bloomberg",AH!$U$5=0)),"",IFERROR(IF(AND(AH!$U$12=1,1697+1=AH!$U$6),TODAY(),IF(AH!$U$5=1,INDEX('Live History'!$A$5:$A$3004,AH!$U$7+1697),INDEX('AH History'!$A$5:$A$1380,AH!$U$7+1697))),""))</f>
        <v/>
      </c>
      <c r="B1702" s="33">
        <f>IFERROR(IF(AH!$U$11=1,NA(),$J1702/$E1702-1),NA())</f>
        <v/>
      </c>
      <c r="C1702" s="269">
        <f>IFERROR(100*$E1702/$E$5,NA())</f>
        <v/>
      </c>
      <c r="D1702" s="269">
        <f>IFERROR(100*$J1702/$J$5,NA())</f>
        <v/>
      </c>
      <c r="E1702" s="32">
        <f>IFERROR(IF(AND(ISNUMBER($A1702),N(IF(AND(AH!$U$12=1,1697+1=AH!$U$6),IF(AH!$U$4=0,"unavailable",INDEX('Market Data'!$AN$5:$AN$66,AH!$U$4)),IF(AH!$U$5=1,INDEX('Live History'!$B$5:$B$3004,$K1702),INDEX('AH History'!$D$5:$GG$1380,$K1702,AH!$U$10))))&gt;0),IF(AND(AH!$U$12=1,1697+1=AH!$U$6),IF(AH!$U$4=0,"unavailable",INDEX('Market Data'!$AN$5:$AN$66,AH!$U$4)),IF(AH!$U$5=1,INDEX('Live History'!$B$5:$B$3004,$K1702),INDEX('AH History'!$D$5:$GG$1380,$K1702,AH!$U$10))),NA()),NA())</f>
        <v/>
      </c>
      <c r="F1702" s="32">
        <f>IFERROR(IF(ISNUMBER($A1702),IF(AND(AH!$U$12=1,1697+1=AH!$U$6),IF(AH!$U$4=0,"unavailable",INDEX('Market Data'!$AO$5:$AO$66,AH!$U$4)),IF(AH!$U$5=1,INDEX('Live History'!$E$5:$E$3004,MATCH($A1702,'Live History'!$D$5:$D$3004,1)),INDEX('AH History'!$D$5:$GG$1380,$K1702,AH!$U$10+1))),NA()),NA())</f>
        <v/>
      </c>
      <c r="G1702" s="34">
        <f>IFERROR(IF(ISNUMBER($A1702),IF(AND(AH!$U$12=1,1697+1=AH!$U$6),IF(AH!$U$4=0,"unavailable",INDEX('Market Data'!$AK$5:$AK$66,AH!$U$4)),IF(AH!$U$5=1,INDEX('Live History'!$D$5:$D$3004,MATCH($A1702,'Live History'!$D$5:$D$3004,1)),INDEX('AH History'!$D$5:$GG$1380,$K1702,AH!$U$10+2))),NA()),NA())</f>
        <v/>
      </c>
      <c r="H1702" s="266">
        <f>IFERROR(IF(ISNUMBER($A1702),IF(AND(AH!$U$12=1,1697+1=AH!$U$6),IF(AH!$U$4=0,"unavailable",INDEX('Market Data'!$AP$5:$AP$66,AH!$U$4)),IF(AH!$U$5=1,INDEX('Live History'!$H$5:$H$3004,MATCH($A1702,'Live History'!$G$5:$G$3004,1)),INDEX('AH History'!$B$5:$B$1380,$K1702))),NA()),NA())</f>
        <v/>
      </c>
      <c r="I1702" s="34">
        <f>IFERROR(IF(ISNUMBER($A1702),IF(AND(AH!$U$12=1,1697+1=AH!$U$6),TODAY(),IF(AH!$U$5=1,INDEX('Live History'!$G$5:$G$3004,MATCH($A1702,'Live History'!$G$5:$G$3004,1)),INDEX('AH History'!$C$5:$C$1380,$K1702))),NA()),NA())</f>
        <v/>
      </c>
      <c r="J1702" s="32">
        <f>IFERROR(IF(AND($F1702&gt;0,$H1702&gt;0,$A1702-$G1702&lt;=10,$A1702-$I1702&lt;=5,$G1702&gt;0,$I1702&gt;0),$F1702*$H1702,NA()),NA())</f>
        <v/>
      </c>
      <c r="K1702" s="15">
        <f>IF($A1702="","",IF(AH!$U$5=1,IFERROR(MATCH($A1702,'Live History'!$A$5:$A$3004,0),0),AH!$U$7+1697))</f>
        <v/>
      </c>
      <c r="L1702" s="15">
        <f>IF(ISNUMBER(A1702),TEXT(A1702,"dd-mmm-yy"),"")</f>
        <v/>
      </c>
    </row>
    <row r="1703">
      <c r="A1703" s="14">
        <f>IF(OR(AH!$U$4=0,1698+1&gt;AH!$U$6,AND(AH!$M$5="Bloomberg",AH!$U$5=0)),"",IFERROR(IF(AND(AH!$U$12=1,1698+1=AH!$U$6),TODAY(),IF(AH!$U$5=1,INDEX('Live History'!$A$5:$A$3004,AH!$U$7+1698),INDEX('AH History'!$A$5:$A$1380,AH!$U$7+1698))),""))</f>
        <v/>
      </c>
      <c r="B1703" s="33">
        <f>IFERROR(IF(AH!$U$11=1,NA(),$J1703/$E1703-1),NA())</f>
        <v/>
      </c>
      <c r="C1703" s="269">
        <f>IFERROR(100*$E1703/$E$5,NA())</f>
        <v/>
      </c>
      <c r="D1703" s="269">
        <f>IFERROR(100*$J1703/$J$5,NA())</f>
        <v/>
      </c>
      <c r="E1703" s="32">
        <f>IFERROR(IF(AND(ISNUMBER($A1703),N(IF(AND(AH!$U$12=1,1698+1=AH!$U$6),IF(AH!$U$4=0,"unavailable",INDEX('Market Data'!$AN$5:$AN$66,AH!$U$4)),IF(AH!$U$5=1,INDEX('Live History'!$B$5:$B$3004,$K1703),INDEX('AH History'!$D$5:$GG$1380,$K1703,AH!$U$10))))&gt;0),IF(AND(AH!$U$12=1,1698+1=AH!$U$6),IF(AH!$U$4=0,"unavailable",INDEX('Market Data'!$AN$5:$AN$66,AH!$U$4)),IF(AH!$U$5=1,INDEX('Live History'!$B$5:$B$3004,$K1703),INDEX('AH History'!$D$5:$GG$1380,$K1703,AH!$U$10))),NA()),NA())</f>
        <v/>
      </c>
      <c r="F1703" s="32">
        <f>IFERROR(IF(ISNUMBER($A1703),IF(AND(AH!$U$12=1,1698+1=AH!$U$6),IF(AH!$U$4=0,"unavailable",INDEX('Market Data'!$AO$5:$AO$66,AH!$U$4)),IF(AH!$U$5=1,INDEX('Live History'!$E$5:$E$3004,MATCH($A1703,'Live History'!$D$5:$D$3004,1)),INDEX('AH History'!$D$5:$GG$1380,$K1703,AH!$U$10+1))),NA()),NA())</f>
        <v/>
      </c>
      <c r="G1703" s="34">
        <f>IFERROR(IF(ISNUMBER($A1703),IF(AND(AH!$U$12=1,1698+1=AH!$U$6),IF(AH!$U$4=0,"unavailable",INDEX('Market Data'!$AK$5:$AK$66,AH!$U$4)),IF(AH!$U$5=1,INDEX('Live History'!$D$5:$D$3004,MATCH($A1703,'Live History'!$D$5:$D$3004,1)),INDEX('AH History'!$D$5:$GG$1380,$K1703,AH!$U$10+2))),NA()),NA())</f>
        <v/>
      </c>
      <c r="H1703" s="266">
        <f>IFERROR(IF(ISNUMBER($A1703),IF(AND(AH!$U$12=1,1698+1=AH!$U$6),IF(AH!$U$4=0,"unavailable",INDEX('Market Data'!$AP$5:$AP$66,AH!$U$4)),IF(AH!$U$5=1,INDEX('Live History'!$H$5:$H$3004,MATCH($A1703,'Live History'!$G$5:$G$3004,1)),INDEX('AH History'!$B$5:$B$1380,$K1703))),NA()),NA())</f>
        <v/>
      </c>
      <c r="I1703" s="34">
        <f>IFERROR(IF(ISNUMBER($A1703),IF(AND(AH!$U$12=1,1698+1=AH!$U$6),TODAY(),IF(AH!$U$5=1,INDEX('Live History'!$G$5:$G$3004,MATCH($A1703,'Live History'!$G$5:$G$3004,1)),INDEX('AH History'!$C$5:$C$1380,$K1703))),NA()),NA())</f>
        <v/>
      </c>
      <c r="J1703" s="32">
        <f>IFERROR(IF(AND($F1703&gt;0,$H1703&gt;0,$A1703-$G1703&lt;=10,$A1703-$I1703&lt;=5,$G1703&gt;0,$I1703&gt;0),$F1703*$H1703,NA()),NA())</f>
        <v/>
      </c>
      <c r="K1703" s="15">
        <f>IF($A1703="","",IF(AH!$U$5=1,IFERROR(MATCH($A1703,'Live History'!$A$5:$A$3004,0),0),AH!$U$7+1698))</f>
        <v/>
      </c>
      <c r="L1703" s="15">
        <f>IF(ISNUMBER(A1703),TEXT(A1703,"dd-mmm-yy"),"")</f>
        <v/>
      </c>
    </row>
    <row r="1704">
      <c r="A1704" s="14">
        <f>IF(OR(AH!$U$4=0,1699+1&gt;AH!$U$6,AND(AH!$M$5="Bloomberg",AH!$U$5=0)),"",IFERROR(IF(AND(AH!$U$12=1,1699+1=AH!$U$6),TODAY(),IF(AH!$U$5=1,INDEX('Live History'!$A$5:$A$3004,AH!$U$7+1699),INDEX('AH History'!$A$5:$A$1380,AH!$U$7+1699))),""))</f>
        <v/>
      </c>
      <c r="B1704" s="33">
        <f>IFERROR(IF(AH!$U$11=1,NA(),$J1704/$E1704-1),NA())</f>
        <v/>
      </c>
      <c r="C1704" s="269">
        <f>IFERROR(100*$E1704/$E$5,NA())</f>
        <v/>
      </c>
      <c r="D1704" s="269">
        <f>IFERROR(100*$J1704/$J$5,NA())</f>
        <v/>
      </c>
      <c r="E1704" s="32">
        <f>IFERROR(IF(AND(ISNUMBER($A1704),N(IF(AND(AH!$U$12=1,1699+1=AH!$U$6),IF(AH!$U$4=0,"unavailable",INDEX('Market Data'!$AN$5:$AN$66,AH!$U$4)),IF(AH!$U$5=1,INDEX('Live History'!$B$5:$B$3004,$K1704),INDEX('AH History'!$D$5:$GG$1380,$K1704,AH!$U$10))))&gt;0),IF(AND(AH!$U$12=1,1699+1=AH!$U$6),IF(AH!$U$4=0,"unavailable",INDEX('Market Data'!$AN$5:$AN$66,AH!$U$4)),IF(AH!$U$5=1,INDEX('Live History'!$B$5:$B$3004,$K1704),INDEX('AH History'!$D$5:$GG$1380,$K1704,AH!$U$10))),NA()),NA())</f>
        <v/>
      </c>
      <c r="F1704" s="32">
        <f>IFERROR(IF(ISNUMBER($A1704),IF(AND(AH!$U$12=1,1699+1=AH!$U$6),IF(AH!$U$4=0,"unavailable",INDEX('Market Data'!$AO$5:$AO$66,AH!$U$4)),IF(AH!$U$5=1,INDEX('Live History'!$E$5:$E$3004,MATCH($A1704,'Live History'!$D$5:$D$3004,1)),INDEX('AH History'!$D$5:$GG$1380,$K1704,AH!$U$10+1))),NA()),NA())</f>
        <v/>
      </c>
      <c r="G1704" s="34">
        <f>IFERROR(IF(ISNUMBER($A1704),IF(AND(AH!$U$12=1,1699+1=AH!$U$6),IF(AH!$U$4=0,"unavailable",INDEX('Market Data'!$AK$5:$AK$66,AH!$U$4)),IF(AH!$U$5=1,INDEX('Live History'!$D$5:$D$3004,MATCH($A1704,'Live History'!$D$5:$D$3004,1)),INDEX('AH History'!$D$5:$GG$1380,$K1704,AH!$U$10+2))),NA()),NA())</f>
        <v/>
      </c>
      <c r="H1704" s="266">
        <f>IFERROR(IF(ISNUMBER($A1704),IF(AND(AH!$U$12=1,1699+1=AH!$U$6),IF(AH!$U$4=0,"unavailable",INDEX('Market Data'!$AP$5:$AP$66,AH!$U$4)),IF(AH!$U$5=1,INDEX('Live History'!$H$5:$H$3004,MATCH($A1704,'Live History'!$G$5:$G$3004,1)),INDEX('AH History'!$B$5:$B$1380,$K1704))),NA()),NA())</f>
        <v/>
      </c>
      <c r="I1704" s="34">
        <f>IFERROR(IF(ISNUMBER($A1704),IF(AND(AH!$U$12=1,1699+1=AH!$U$6),TODAY(),IF(AH!$U$5=1,INDEX('Live History'!$G$5:$G$3004,MATCH($A1704,'Live History'!$G$5:$G$3004,1)),INDEX('AH History'!$C$5:$C$1380,$K1704))),NA()),NA())</f>
        <v/>
      </c>
      <c r="J1704" s="32">
        <f>IFERROR(IF(AND($F1704&gt;0,$H1704&gt;0,$A1704-$G1704&lt;=10,$A1704-$I1704&lt;=5,$G1704&gt;0,$I1704&gt;0),$F1704*$H1704,NA()),NA())</f>
        <v/>
      </c>
      <c r="K1704" s="15">
        <f>IF($A1704="","",IF(AH!$U$5=1,IFERROR(MATCH($A1704,'Live History'!$A$5:$A$3004,0),0),AH!$U$7+1699))</f>
        <v/>
      </c>
      <c r="L1704" s="15">
        <f>IF(ISNUMBER(A1704),TEXT(A1704,"dd-mmm-yy"),"")</f>
        <v/>
      </c>
    </row>
    <row r="1705">
      <c r="A1705" s="14">
        <f>IF(OR(AH!$U$4=0,1700+1&gt;AH!$U$6,AND(AH!$M$5="Bloomberg",AH!$U$5=0)),"",IFERROR(IF(AND(AH!$U$12=1,1700+1=AH!$U$6),TODAY(),IF(AH!$U$5=1,INDEX('Live History'!$A$5:$A$3004,AH!$U$7+1700),INDEX('AH History'!$A$5:$A$1380,AH!$U$7+1700))),""))</f>
        <v/>
      </c>
      <c r="B1705" s="33">
        <f>IFERROR(IF(AH!$U$11=1,NA(),$J1705/$E1705-1),NA())</f>
        <v/>
      </c>
      <c r="C1705" s="269">
        <f>IFERROR(100*$E1705/$E$5,NA())</f>
        <v/>
      </c>
      <c r="D1705" s="269">
        <f>IFERROR(100*$J1705/$J$5,NA())</f>
        <v/>
      </c>
      <c r="E1705" s="32">
        <f>IFERROR(IF(AND(ISNUMBER($A1705),N(IF(AND(AH!$U$12=1,1700+1=AH!$U$6),IF(AH!$U$4=0,"unavailable",INDEX('Market Data'!$AN$5:$AN$66,AH!$U$4)),IF(AH!$U$5=1,INDEX('Live History'!$B$5:$B$3004,$K1705),INDEX('AH History'!$D$5:$GG$1380,$K1705,AH!$U$10))))&gt;0),IF(AND(AH!$U$12=1,1700+1=AH!$U$6),IF(AH!$U$4=0,"unavailable",INDEX('Market Data'!$AN$5:$AN$66,AH!$U$4)),IF(AH!$U$5=1,INDEX('Live History'!$B$5:$B$3004,$K1705),INDEX('AH History'!$D$5:$GG$1380,$K1705,AH!$U$10))),NA()),NA())</f>
        <v/>
      </c>
      <c r="F1705" s="32">
        <f>IFERROR(IF(ISNUMBER($A1705),IF(AND(AH!$U$12=1,1700+1=AH!$U$6),IF(AH!$U$4=0,"unavailable",INDEX('Market Data'!$AO$5:$AO$66,AH!$U$4)),IF(AH!$U$5=1,INDEX('Live History'!$E$5:$E$3004,MATCH($A1705,'Live History'!$D$5:$D$3004,1)),INDEX('AH History'!$D$5:$GG$1380,$K1705,AH!$U$10+1))),NA()),NA())</f>
        <v/>
      </c>
      <c r="G1705" s="34">
        <f>IFERROR(IF(ISNUMBER($A1705),IF(AND(AH!$U$12=1,1700+1=AH!$U$6),IF(AH!$U$4=0,"unavailable",INDEX('Market Data'!$AK$5:$AK$66,AH!$U$4)),IF(AH!$U$5=1,INDEX('Live History'!$D$5:$D$3004,MATCH($A1705,'Live History'!$D$5:$D$3004,1)),INDEX('AH History'!$D$5:$GG$1380,$K1705,AH!$U$10+2))),NA()),NA())</f>
        <v/>
      </c>
      <c r="H1705" s="266">
        <f>IFERROR(IF(ISNUMBER($A1705),IF(AND(AH!$U$12=1,1700+1=AH!$U$6),IF(AH!$U$4=0,"unavailable",INDEX('Market Data'!$AP$5:$AP$66,AH!$U$4)),IF(AH!$U$5=1,INDEX('Live History'!$H$5:$H$3004,MATCH($A1705,'Live History'!$G$5:$G$3004,1)),INDEX('AH History'!$B$5:$B$1380,$K1705))),NA()),NA())</f>
        <v/>
      </c>
      <c r="I1705" s="34">
        <f>IFERROR(IF(ISNUMBER($A1705),IF(AND(AH!$U$12=1,1700+1=AH!$U$6),TODAY(),IF(AH!$U$5=1,INDEX('Live History'!$G$5:$G$3004,MATCH($A1705,'Live History'!$G$5:$G$3004,1)),INDEX('AH History'!$C$5:$C$1380,$K1705))),NA()),NA())</f>
        <v/>
      </c>
      <c r="J1705" s="32">
        <f>IFERROR(IF(AND($F1705&gt;0,$H1705&gt;0,$A1705-$G1705&lt;=10,$A1705-$I1705&lt;=5,$G1705&gt;0,$I1705&gt;0),$F1705*$H1705,NA()),NA())</f>
        <v/>
      </c>
      <c r="K1705" s="15">
        <f>IF($A1705="","",IF(AH!$U$5=1,IFERROR(MATCH($A1705,'Live History'!$A$5:$A$3004,0),0),AH!$U$7+1700))</f>
        <v/>
      </c>
      <c r="L1705" s="15">
        <f>IF(ISNUMBER(A1705),TEXT(A1705,"dd-mmm-yy"),"")</f>
        <v/>
      </c>
    </row>
    <row r="1706">
      <c r="A1706" s="14">
        <f>IF(OR(AH!$U$4=0,1701+1&gt;AH!$U$6,AND(AH!$M$5="Bloomberg",AH!$U$5=0)),"",IFERROR(IF(AND(AH!$U$12=1,1701+1=AH!$U$6),TODAY(),IF(AH!$U$5=1,INDEX('Live History'!$A$5:$A$3004,AH!$U$7+1701),INDEX('AH History'!$A$5:$A$1380,AH!$U$7+1701))),""))</f>
        <v/>
      </c>
      <c r="B1706" s="33">
        <f>IFERROR(IF(AH!$U$11=1,NA(),$J1706/$E1706-1),NA())</f>
        <v/>
      </c>
      <c r="C1706" s="269">
        <f>IFERROR(100*$E1706/$E$5,NA())</f>
        <v/>
      </c>
      <c r="D1706" s="269">
        <f>IFERROR(100*$J1706/$J$5,NA())</f>
        <v/>
      </c>
      <c r="E1706" s="32">
        <f>IFERROR(IF(AND(ISNUMBER($A1706),N(IF(AND(AH!$U$12=1,1701+1=AH!$U$6),IF(AH!$U$4=0,"unavailable",INDEX('Market Data'!$AN$5:$AN$66,AH!$U$4)),IF(AH!$U$5=1,INDEX('Live History'!$B$5:$B$3004,$K1706),INDEX('AH History'!$D$5:$GG$1380,$K1706,AH!$U$10))))&gt;0),IF(AND(AH!$U$12=1,1701+1=AH!$U$6),IF(AH!$U$4=0,"unavailable",INDEX('Market Data'!$AN$5:$AN$66,AH!$U$4)),IF(AH!$U$5=1,INDEX('Live History'!$B$5:$B$3004,$K1706),INDEX('AH History'!$D$5:$GG$1380,$K1706,AH!$U$10))),NA()),NA())</f>
        <v/>
      </c>
      <c r="F1706" s="32">
        <f>IFERROR(IF(ISNUMBER($A1706),IF(AND(AH!$U$12=1,1701+1=AH!$U$6),IF(AH!$U$4=0,"unavailable",INDEX('Market Data'!$AO$5:$AO$66,AH!$U$4)),IF(AH!$U$5=1,INDEX('Live History'!$E$5:$E$3004,MATCH($A1706,'Live History'!$D$5:$D$3004,1)),INDEX('AH History'!$D$5:$GG$1380,$K1706,AH!$U$10+1))),NA()),NA())</f>
        <v/>
      </c>
      <c r="G1706" s="34">
        <f>IFERROR(IF(ISNUMBER($A1706),IF(AND(AH!$U$12=1,1701+1=AH!$U$6),IF(AH!$U$4=0,"unavailable",INDEX('Market Data'!$AK$5:$AK$66,AH!$U$4)),IF(AH!$U$5=1,INDEX('Live History'!$D$5:$D$3004,MATCH($A1706,'Live History'!$D$5:$D$3004,1)),INDEX('AH History'!$D$5:$GG$1380,$K1706,AH!$U$10+2))),NA()),NA())</f>
        <v/>
      </c>
      <c r="H1706" s="266">
        <f>IFERROR(IF(ISNUMBER($A1706),IF(AND(AH!$U$12=1,1701+1=AH!$U$6),IF(AH!$U$4=0,"unavailable",INDEX('Market Data'!$AP$5:$AP$66,AH!$U$4)),IF(AH!$U$5=1,INDEX('Live History'!$H$5:$H$3004,MATCH($A1706,'Live History'!$G$5:$G$3004,1)),INDEX('AH History'!$B$5:$B$1380,$K1706))),NA()),NA())</f>
        <v/>
      </c>
      <c r="I1706" s="34">
        <f>IFERROR(IF(ISNUMBER($A1706),IF(AND(AH!$U$12=1,1701+1=AH!$U$6),TODAY(),IF(AH!$U$5=1,INDEX('Live History'!$G$5:$G$3004,MATCH($A1706,'Live History'!$G$5:$G$3004,1)),INDEX('AH History'!$C$5:$C$1380,$K1706))),NA()),NA())</f>
        <v/>
      </c>
      <c r="J1706" s="32">
        <f>IFERROR(IF(AND($F1706&gt;0,$H1706&gt;0,$A1706-$G1706&lt;=10,$A1706-$I1706&lt;=5,$G1706&gt;0,$I1706&gt;0),$F1706*$H1706,NA()),NA())</f>
        <v/>
      </c>
      <c r="K1706" s="15">
        <f>IF($A1706="","",IF(AH!$U$5=1,IFERROR(MATCH($A1706,'Live History'!$A$5:$A$3004,0),0),AH!$U$7+1701))</f>
        <v/>
      </c>
      <c r="L1706" s="15">
        <f>IF(ISNUMBER(A1706),TEXT(A1706,"dd-mmm-yy"),"")</f>
        <v/>
      </c>
    </row>
    <row r="1707">
      <c r="A1707" s="14">
        <f>IF(OR(AH!$U$4=0,1702+1&gt;AH!$U$6,AND(AH!$M$5="Bloomberg",AH!$U$5=0)),"",IFERROR(IF(AND(AH!$U$12=1,1702+1=AH!$U$6),TODAY(),IF(AH!$U$5=1,INDEX('Live History'!$A$5:$A$3004,AH!$U$7+1702),INDEX('AH History'!$A$5:$A$1380,AH!$U$7+1702))),""))</f>
        <v/>
      </c>
      <c r="B1707" s="33">
        <f>IFERROR(IF(AH!$U$11=1,NA(),$J1707/$E1707-1),NA())</f>
        <v/>
      </c>
      <c r="C1707" s="269">
        <f>IFERROR(100*$E1707/$E$5,NA())</f>
        <v/>
      </c>
      <c r="D1707" s="269">
        <f>IFERROR(100*$J1707/$J$5,NA())</f>
        <v/>
      </c>
      <c r="E1707" s="32">
        <f>IFERROR(IF(AND(ISNUMBER($A1707),N(IF(AND(AH!$U$12=1,1702+1=AH!$U$6),IF(AH!$U$4=0,"unavailable",INDEX('Market Data'!$AN$5:$AN$66,AH!$U$4)),IF(AH!$U$5=1,INDEX('Live History'!$B$5:$B$3004,$K1707),INDEX('AH History'!$D$5:$GG$1380,$K1707,AH!$U$10))))&gt;0),IF(AND(AH!$U$12=1,1702+1=AH!$U$6),IF(AH!$U$4=0,"unavailable",INDEX('Market Data'!$AN$5:$AN$66,AH!$U$4)),IF(AH!$U$5=1,INDEX('Live History'!$B$5:$B$3004,$K1707),INDEX('AH History'!$D$5:$GG$1380,$K1707,AH!$U$10))),NA()),NA())</f>
        <v/>
      </c>
      <c r="F1707" s="32">
        <f>IFERROR(IF(ISNUMBER($A1707),IF(AND(AH!$U$12=1,1702+1=AH!$U$6),IF(AH!$U$4=0,"unavailable",INDEX('Market Data'!$AO$5:$AO$66,AH!$U$4)),IF(AH!$U$5=1,INDEX('Live History'!$E$5:$E$3004,MATCH($A1707,'Live History'!$D$5:$D$3004,1)),INDEX('AH History'!$D$5:$GG$1380,$K1707,AH!$U$10+1))),NA()),NA())</f>
        <v/>
      </c>
      <c r="G1707" s="34">
        <f>IFERROR(IF(ISNUMBER($A1707),IF(AND(AH!$U$12=1,1702+1=AH!$U$6),IF(AH!$U$4=0,"unavailable",INDEX('Market Data'!$AK$5:$AK$66,AH!$U$4)),IF(AH!$U$5=1,INDEX('Live History'!$D$5:$D$3004,MATCH($A1707,'Live History'!$D$5:$D$3004,1)),INDEX('AH History'!$D$5:$GG$1380,$K1707,AH!$U$10+2))),NA()),NA())</f>
        <v/>
      </c>
      <c r="H1707" s="266">
        <f>IFERROR(IF(ISNUMBER($A1707),IF(AND(AH!$U$12=1,1702+1=AH!$U$6),IF(AH!$U$4=0,"unavailable",INDEX('Market Data'!$AP$5:$AP$66,AH!$U$4)),IF(AH!$U$5=1,INDEX('Live History'!$H$5:$H$3004,MATCH($A1707,'Live History'!$G$5:$G$3004,1)),INDEX('AH History'!$B$5:$B$1380,$K1707))),NA()),NA())</f>
        <v/>
      </c>
      <c r="I1707" s="34">
        <f>IFERROR(IF(ISNUMBER($A1707),IF(AND(AH!$U$12=1,1702+1=AH!$U$6),TODAY(),IF(AH!$U$5=1,INDEX('Live History'!$G$5:$G$3004,MATCH($A1707,'Live History'!$G$5:$G$3004,1)),INDEX('AH History'!$C$5:$C$1380,$K1707))),NA()),NA())</f>
        <v/>
      </c>
      <c r="J1707" s="32">
        <f>IFERROR(IF(AND($F1707&gt;0,$H1707&gt;0,$A1707-$G1707&lt;=10,$A1707-$I1707&lt;=5,$G1707&gt;0,$I1707&gt;0),$F1707*$H1707,NA()),NA())</f>
        <v/>
      </c>
      <c r="K1707" s="15">
        <f>IF($A1707="","",IF(AH!$U$5=1,IFERROR(MATCH($A1707,'Live History'!$A$5:$A$3004,0),0),AH!$U$7+1702))</f>
        <v/>
      </c>
      <c r="L1707" s="15">
        <f>IF(ISNUMBER(A1707),TEXT(A1707,"dd-mmm-yy"),"")</f>
        <v/>
      </c>
    </row>
    <row r="1708">
      <c r="A1708" s="14">
        <f>IF(OR(AH!$U$4=0,1703+1&gt;AH!$U$6,AND(AH!$M$5="Bloomberg",AH!$U$5=0)),"",IFERROR(IF(AND(AH!$U$12=1,1703+1=AH!$U$6),TODAY(),IF(AH!$U$5=1,INDEX('Live History'!$A$5:$A$3004,AH!$U$7+1703),INDEX('AH History'!$A$5:$A$1380,AH!$U$7+1703))),""))</f>
        <v/>
      </c>
      <c r="B1708" s="33">
        <f>IFERROR(IF(AH!$U$11=1,NA(),$J1708/$E1708-1),NA())</f>
        <v/>
      </c>
      <c r="C1708" s="269">
        <f>IFERROR(100*$E1708/$E$5,NA())</f>
        <v/>
      </c>
      <c r="D1708" s="269">
        <f>IFERROR(100*$J1708/$J$5,NA())</f>
        <v/>
      </c>
      <c r="E1708" s="32">
        <f>IFERROR(IF(AND(ISNUMBER($A1708),N(IF(AND(AH!$U$12=1,1703+1=AH!$U$6),IF(AH!$U$4=0,"unavailable",INDEX('Market Data'!$AN$5:$AN$66,AH!$U$4)),IF(AH!$U$5=1,INDEX('Live History'!$B$5:$B$3004,$K1708),INDEX('AH History'!$D$5:$GG$1380,$K1708,AH!$U$10))))&gt;0),IF(AND(AH!$U$12=1,1703+1=AH!$U$6),IF(AH!$U$4=0,"unavailable",INDEX('Market Data'!$AN$5:$AN$66,AH!$U$4)),IF(AH!$U$5=1,INDEX('Live History'!$B$5:$B$3004,$K1708),INDEX('AH History'!$D$5:$GG$1380,$K1708,AH!$U$10))),NA()),NA())</f>
        <v/>
      </c>
      <c r="F1708" s="32">
        <f>IFERROR(IF(ISNUMBER($A1708),IF(AND(AH!$U$12=1,1703+1=AH!$U$6),IF(AH!$U$4=0,"unavailable",INDEX('Market Data'!$AO$5:$AO$66,AH!$U$4)),IF(AH!$U$5=1,INDEX('Live History'!$E$5:$E$3004,MATCH($A1708,'Live History'!$D$5:$D$3004,1)),INDEX('AH History'!$D$5:$GG$1380,$K1708,AH!$U$10+1))),NA()),NA())</f>
        <v/>
      </c>
      <c r="G1708" s="34">
        <f>IFERROR(IF(ISNUMBER($A1708),IF(AND(AH!$U$12=1,1703+1=AH!$U$6),IF(AH!$U$4=0,"unavailable",INDEX('Market Data'!$AK$5:$AK$66,AH!$U$4)),IF(AH!$U$5=1,INDEX('Live History'!$D$5:$D$3004,MATCH($A1708,'Live History'!$D$5:$D$3004,1)),INDEX('AH History'!$D$5:$GG$1380,$K1708,AH!$U$10+2))),NA()),NA())</f>
        <v/>
      </c>
      <c r="H1708" s="266">
        <f>IFERROR(IF(ISNUMBER($A1708),IF(AND(AH!$U$12=1,1703+1=AH!$U$6),IF(AH!$U$4=0,"unavailable",INDEX('Market Data'!$AP$5:$AP$66,AH!$U$4)),IF(AH!$U$5=1,INDEX('Live History'!$H$5:$H$3004,MATCH($A1708,'Live History'!$G$5:$G$3004,1)),INDEX('AH History'!$B$5:$B$1380,$K1708))),NA()),NA())</f>
        <v/>
      </c>
      <c r="I1708" s="34">
        <f>IFERROR(IF(ISNUMBER($A1708),IF(AND(AH!$U$12=1,1703+1=AH!$U$6),TODAY(),IF(AH!$U$5=1,INDEX('Live History'!$G$5:$G$3004,MATCH($A1708,'Live History'!$G$5:$G$3004,1)),INDEX('AH History'!$C$5:$C$1380,$K1708))),NA()),NA())</f>
        <v/>
      </c>
      <c r="J1708" s="32">
        <f>IFERROR(IF(AND($F1708&gt;0,$H1708&gt;0,$A1708-$G1708&lt;=10,$A1708-$I1708&lt;=5,$G1708&gt;0,$I1708&gt;0),$F1708*$H1708,NA()),NA())</f>
        <v/>
      </c>
      <c r="K1708" s="15">
        <f>IF($A1708="","",IF(AH!$U$5=1,IFERROR(MATCH($A1708,'Live History'!$A$5:$A$3004,0),0),AH!$U$7+1703))</f>
        <v/>
      </c>
      <c r="L1708" s="15">
        <f>IF(ISNUMBER(A1708),TEXT(A1708,"dd-mmm-yy"),"")</f>
        <v/>
      </c>
    </row>
    <row r="1709">
      <c r="A1709" s="14">
        <f>IF(OR(AH!$U$4=0,1704+1&gt;AH!$U$6,AND(AH!$M$5="Bloomberg",AH!$U$5=0)),"",IFERROR(IF(AND(AH!$U$12=1,1704+1=AH!$U$6),TODAY(),IF(AH!$U$5=1,INDEX('Live History'!$A$5:$A$3004,AH!$U$7+1704),INDEX('AH History'!$A$5:$A$1380,AH!$U$7+1704))),""))</f>
        <v/>
      </c>
      <c r="B1709" s="33">
        <f>IFERROR(IF(AH!$U$11=1,NA(),$J1709/$E1709-1),NA())</f>
        <v/>
      </c>
      <c r="C1709" s="269">
        <f>IFERROR(100*$E1709/$E$5,NA())</f>
        <v/>
      </c>
      <c r="D1709" s="269">
        <f>IFERROR(100*$J1709/$J$5,NA())</f>
        <v/>
      </c>
      <c r="E1709" s="32">
        <f>IFERROR(IF(AND(ISNUMBER($A1709),N(IF(AND(AH!$U$12=1,1704+1=AH!$U$6),IF(AH!$U$4=0,"unavailable",INDEX('Market Data'!$AN$5:$AN$66,AH!$U$4)),IF(AH!$U$5=1,INDEX('Live History'!$B$5:$B$3004,$K1709),INDEX('AH History'!$D$5:$GG$1380,$K1709,AH!$U$10))))&gt;0),IF(AND(AH!$U$12=1,1704+1=AH!$U$6),IF(AH!$U$4=0,"unavailable",INDEX('Market Data'!$AN$5:$AN$66,AH!$U$4)),IF(AH!$U$5=1,INDEX('Live History'!$B$5:$B$3004,$K1709),INDEX('AH History'!$D$5:$GG$1380,$K1709,AH!$U$10))),NA()),NA())</f>
        <v/>
      </c>
      <c r="F1709" s="32">
        <f>IFERROR(IF(ISNUMBER($A1709),IF(AND(AH!$U$12=1,1704+1=AH!$U$6),IF(AH!$U$4=0,"unavailable",INDEX('Market Data'!$AO$5:$AO$66,AH!$U$4)),IF(AH!$U$5=1,INDEX('Live History'!$E$5:$E$3004,MATCH($A1709,'Live History'!$D$5:$D$3004,1)),INDEX('AH History'!$D$5:$GG$1380,$K1709,AH!$U$10+1))),NA()),NA())</f>
        <v/>
      </c>
      <c r="G1709" s="34">
        <f>IFERROR(IF(ISNUMBER($A1709),IF(AND(AH!$U$12=1,1704+1=AH!$U$6),IF(AH!$U$4=0,"unavailable",INDEX('Market Data'!$AK$5:$AK$66,AH!$U$4)),IF(AH!$U$5=1,INDEX('Live History'!$D$5:$D$3004,MATCH($A1709,'Live History'!$D$5:$D$3004,1)),INDEX('AH History'!$D$5:$GG$1380,$K1709,AH!$U$10+2))),NA()),NA())</f>
        <v/>
      </c>
      <c r="H1709" s="266">
        <f>IFERROR(IF(ISNUMBER($A1709),IF(AND(AH!$U$12=1,1704+1=AH!$U$6),IF(AH!$U$4=0,"unavailable",INDEX('Market Data'!$AP$5:$AP$66,AH!$U$4)),IF(AH!$U$5=1,INDEX('Live History'!$H$5:$H$3004,MATCH($A1709,'Live History'!$G$5:$G$3004,1)),INDEX('AH History'!$B$5:$B$1380,$K1709))),NA()),NA())</f>
        <v/>
      </c>
      <c r="I1709" s="34">
        <f>IFERROR(IF(ISNUMBER($A1709),IF(AND(AH!$U$12=1,1704+1=AH!$U$6),TODAY(),IF(AH!$U$5=1,INDEX('Live History'!$G$5:$G$3004,MATCH($A1709,'Live History'!$G$5:$G$3004,1)),INDEX('AH History'!$C$5:$C$1380,$K1709))),NA()),NA())</f>
        <v/>
      </c>
      <c r="J1709" s="32">
        <f>IFERROR(IF(AND($F1709&gt;0,$H1709&gt;0,$A1709-$G1709&lt;=10,$A1709-$I1709&lt;=5,$G1709&gt;0,$I1709&gt;0),$F1709*$H1709,NA()),NA())</f>
        <v/>
      </c>
      <c r="K1709" s="15">
        <f>IF($A1709="","",IF(AH!$U$5=1,IFERROR(MATCH($A1709,'Live History'!$A$5:$A$3004,0),0),AH!$U$7+1704))</f>
        <v/>
      </c>
      <c r="L1709" s="15">
        <f>IF(ISNUMBER(A1709),TEXT(A1709,"dd-mmm-yy"),"")</f>
        <v/>
      </c>
    </row>
    <row r="1710">
      <c r="A1710" s="14">
        <f>IF(OR(AH!$U$4=0,1705+1&gt;AH!$U$6,AND(AH!$M$5="Bloomberg",AH!$U$5=0)),"",IFERROR(IF(AND(AH!$U$12=1,1705+1=AH!$U$6),TODAY(),IF(AH!$U$5=1,INDEX('Live History'!$A$5:$A$3004,AH!$U$7+1705),INDEX('AH History'!$A$5:$A$1380,AH!$U$7+1705))),""))</f>
        <v/>
      </c>
      <c r="B1710" s="33">
        <f>IFERROR(IF(AH!$U$11=1,NA(),$J1710/$E1710-1),NA())</f>
        <v/>
      </c>
      <c r="C1710" s="269">
        <f>IFERROR(100*$E1710/$E$5,NA())</f>
        <v/>
      </c>
      <c r="D1710" s="269">
        <f>IFERROR(100*$J1710/$J$5,NA())</f>
        <v/>
      </c>
      <c r="E1710" s="32">
        <f>IFERROR(IF(AND(ISNUMBER($A1710),N(IF(AND(AH!$U$12=1,1705+1=AH!$U$6),IF(AH!$U$4=0,"unavailable",INDEX('Market Data'!$AN$5:$AN$66,AH!$U$4)),IF(AH!$U$5=1,INDEX('Live History'!$B$5:$B$3004,$K1710),INDEX('AH History'!$D$5:$GG$1380,$K1710,AH!$U$10))))&gt;0),IF(AND(AH!$U$12=1,1705+1=AH!$U$6),IF(AH!$U$4=0,"unavailable",INDEX('Market Data'!$AN$5:$AN$66,AH!$U$4)),IF(AH!$U$5=1,INDEX('Live History'!$B$5:$B$3004,$K1710),INDEX('AH History'!$D$5:$GG$1380,$K1710,AH!$U$10))),NA()),NA())</f>
        <v/>
      </c>
      <c r="F1710" s="32">
        <f>IFERROR(IF(ISNUMBER($A1710),IF(AND(AH!$U$12=1,1705+1=AH!$U$6),IF(AH!$U$4=0,"unavailable",INDEX('Market Data'!$AO$5:$AO$66,AH!$U$4)),IF(AH!$U$5=1,INDEX('Live History'!$E$5:$E$3004,MATCH($A1710,'Live History'!$D$5:$D$3004,1)),INDEX('AH History'!$D$5:$GG$1380,$K1710,AH!$U$10+1))),NA()),NA())</f>
        <v/>
      </c>
      <c r="G1710" s="34">
        <f>IFERROR(IF(ISNUMBER($A1710),IF(AND(AH!$U$12=1,1705+1=AH!$U$6),IF(AH!$U$4=0,"unavailable",INDEX('Market Data'!$AK$5:$AK$66,AH!$U$4)),IF(AH!$U$5=1,INDEX('Live History'!$D$5:$D$3004,MATCH($A1710,'Live History'!$D$5:$D$3004,1)),INDEX('AH History'!$D$5:$GG$1380,$K1710,AH!$U$10+2))),NA()),NA())</f>
        <v/>
      </c>
      <c r="H1710" s="266">
        <f>IFERROR(IF(ISNUMBER($A1710),IF(AND(AH!$U$12=1,1705+1=AH!$U$6),IF(AH!$U$4=0,"unavailable",INDEX('Market Data'!$AP$5:$AP$66,AH!$U$4)),IF(AH!$U$5=1,INDEX('Live History'!$H$5:$H$3004,MATCH($A1710,'Live History'!$G$5:$G$3004,1)),INDEX('AH History'!$B$5:$B$1380,$K1710))),NA()),NA())</f>
        <v/>
      </c>
      <c r="I1710" s="34">
        <f>IFERROR(IF(ISNUMBER($A1710),IF(AND(AH!$U$12=1,1705+1=AH!$U$6),TODAY(),IF(AH!$U$5=1,INDEX('Live History'!$G$5:$G$3004,MATCH($A1710,'Live History'!$G$5:$G$3004,1)),INDEX('AH History'!$C$5:$C$1380,$K1710))),NA()),NA())</f>
        <v/>
      </c>
      <c r="J1710" s="32">
        <f>IFERROR(IF(AND($F1710&gt;0,$H1710&gt;0,$A1710-$G1710&lt;=10,$A1710-$I1710&lt;=5,$G1710&gt;0,$I1710&gt;0),$F1710*$H1710,NA()),NA())</f>
        <v/>
      </c>
      <c r="K1710" s="15">
        <f>IF($A1710="","",IF(AH!$U$5=1,IFERROR(MATCH($A1710,'Live History'!$A$5:$A$3004,0),0),AH!$U$7+1705))</f>
        <v/>
      </c>
      <c r="L1710" s="15">
        <f>IF(ISNUMBER(A1710),TEXT(A1710,"dd-mmm-yy"),"")</f>
        <v/>
      </c>
    </row>
    <row r="1711">
      <c r="A1711" s="14">
        <f>IF(OR(AH!$U$4=0,1706+1&gt;AH!$U$6,AND(AH!$M$5="Bloomberg",AH!$U$5=0)),"",IFERROR(IF(AND(AH!$U$12=1,1706+1=AH!$U$6),TODAY(),IF(AH!$U$5=1,INDEX('Live History'!$A$5:$A$3004,AH!$U$7+1706),INDEX('AH History'!$A$5:$A$1380,AH!$U$7+1706))),""))</f>
        <v/>
      </c>
      <c r="B1711" s="33">
        <f>IFERROR(IF(AH!$U$11=1,NA(),$J1711/$E1711-1),NA())</f>
        <v/>
      </c>
      <c r="C1711" s="269">
        <f>IFERROR(100*$E1711/$E$5,NA())</f>
        <v/>
      </c>
      <c r="D1711" s="269">
        <f>IFERROR(100*$J1711/$J$5,NA())</f>
        <v/>
      </c>
      <c r="E1711" s="32">
        <f>IFERROR(IF(AND(ISNUMBER($A1711),N(IF(AND(AH!$U$12=1,1706+1=AH!$U$6),IF(AH!$U$4=0,"unavailable",INDEX('Market Data'!$AN$5:$AN$66,AH!$U$4)),IF(AH!$U$5=1,INDEX('Live History'!$B$5:$B$3004,$K1711),INDEX('AH History'!$D$5:$GG$1380,$K1711,AH!$U$10))))&gt;0),IF(AND(AH!$U$12=1,1706+1=AH!$U$6),IF(AH!$U$4=0,"unavailable",INDEX('Market Data'!$AN$5:$AN$66,AH!$U$4)),IF(AH!$U$5=1,INDEX('Live History'!$B$5:$B$3004,$K1711),INDEX('AH History'!$D$5:$GG$1380,$K1711,AH!$U$10))),NA()),NA())</f>
        <v/>
      </c>
      <c r="F1711" s="32">
        <f>IFERROR(IF(ISNUMBER($A1711),IF(AND(AH!$U$12=1,1706+1=AH!$U$6),IF(AH!$U$4=0,"unavailable",INDEX('Market Data'!$AO$5:$AO$66,AH!$U$4)),IF(AH!$U$5=1,INDEX('Live History'!$E$5:$E$3004,MATCH($A1711,'Live History'!$D$5:$D$3004,1)),INDEX('AH History'!$D$5:$GG$1380,$K1711,AH!$U$10+1))),NA()),NA())</f>
        <v/>
      </c>
      <c r="G1711" s="34">
        <f>IFERROR(IF(ISNUMBER($A1711),IF(AND(AH!$U$12=1,1706+1=AH!$U$6),IF(AH!$U$4=0,"unavailable",INDEX('Market Data'!$AK$5:$AK$66,AH!$U$4)),IF(AH!$U$5=1,INDEX('Live History'!$D$5:$D$3004,MATCH($A1711,'Live History'!$D$5:$D$3004,1)),INDEX('AH History'!$D$5:$GG$1380,$K1711,AH!$U$10+2))),NA()),NA())</f>
        <v/>
      </c>
      <c r="H1711" s="266">
        <f>IFERROR(IF(ISNUMBER($A1711),IF(AND(AH!$U$12=1,1706+1=AH!$U$6),IF(AH!$U$4=0,"unavailable",INDEX('Market Data'!$AP$5:$AP$66,AH!$U$4)),IF(AH!$U$5=1,INDEX('Live History'!$H$5:$H$3004,MATCH($A1711,'Live History'!$G$5:$G$3004,1)),INDEX('AH History'!$B$5:$B$1380,$K1711))),NA()),NA())</f>
        <v/>
      </c>
      <c r="I1711" s="34">
        <f>IFERROR(IF(ISNUMBER($A1711),IF(AND(AH!$U$12=1,1706+1=AH!$U$6),TODAY(),IF(AH!$U$5=1,INDEX('Live History'!$G$5:$G$3004,MATCH($A1711,'Live History'!$G$5:$G$3004,1)),INDEX('AH History'!$C$5:$C$1380,$K1711))),NA()),NA())</f>
        <v/>
      </c>
      <c r="J1711" s="32">
        <f>IFERROR(IF(AND($F1711&gt;0,$H1711&gt;0,$A1711-$G1711&lt;=10,$A1711-$I1711&lt;=5,$G1711&gt;0,$I1711&gt;0),$F1711*$H1711,NA()),NA())</f>
        <v/>
      </c>
      <c r="K1711" s="15">
        <f>IF($A1711="","",IF(AH!$U$5=1,IFERROR(MATCH($A1711,'Live History'!$A$5:$A$3004,0),0),AH!$U$7+1706))</f>
        <v/>
      </c>
      <c r="L1711" s="15">
        <f>IF(ISNUMBER(A1711),TEXT(A1711,"dd-mmm-yy"),"")</f>
        <v/>
      </c>
    </row>
    <row r="1712">
      <c r="A1712" s="14">
        <f>IF(OR(AH!$U$4=0,1707+1&gt;AH!$U$6,AND(AH!$M$5="Bloomberg",AH!$U$5=0)),"",IFERROR(IF(AND(AH!$U$12=1,1707+1=AH!$U$6),TODAY(),IF(AH!$U$5=1,INDEX('Live History'!$A$5:$A$3004,AH!$U$7+1707),INDEX('AH History'!$A$5:$A$1380,AH!$U$7+1707))),""))</f>
        <v/>
      </c>
      <c r="B1712" s="33">
        <f>IFERROR(IF(AH!$U$11=1,NA(),$J1712/$E1712-1),NA())</f>
        <v/>
      </c>
      <c r="C1712" s="269">
        <f>IFERROR(100*$E1712/$E$5,NA())</f>
        <v/>
      </c>
      <c r="D1712" s="269">
        <f>IFERROR(100*$J1712/$J$5,NA())</f>
        <v/>
      </c>
      <c r="E1712" s="32">
        <f>IFERROR(IF(AND(ISNUMBER($A1712),N(IF(AND(AH!$U$12=1,1707+1=AH!$U$6),IF(AH!$U$4=0,"unavailable",INDEX('Market Data'!$AN$5:$AN$66,AH!$U$4)),IF(AH!$U$5=1,INDEX('Live History'!$B$5:$B$3004,$K1712),INDEX('AH History'!$D$5:$GG$1380,$K1712,AH!$U$10))))&gt;0),IF(AND(AH!$U$12=1,1707+1=AH!$U$6),IF(AH!$U$4=0,"unavailable",INDEX('Market Data'!$AN$5:$AN$66,AH!$U$4)),IF(AH!$U$5=1,INDEX('Live History'!$B$5:$B$3004,$K1712),INDEX('AH History'!$D$5:$GG$1380,$K1712,AH!$U$10))),NA()),NA())</f>
        <v/>
      </c>
      <c r="F1712" s="32">
        <f>IFERROR(IF(ISNUMBER($A1712),IF(AND(AH!$U$12=1,1707+1=AH!$U$6),IF(AH!$U$4=0,"unavailable",INDEX('Market Data'!$AO$5:$AO$66,AH!$U$4)),IF(AH!$U$5=1,INDEX('Live History'!$E$5:$E$3004,MATCH($A1712,'Live History'!$D$5:$D$3004,1)),INDEX('AH History'!$D$5:$GG$1380,$K1712,AH!$U$10+1))),NA()),NA())</f>
        <v/>
      </c>
      <c r="G1712" s="34">
        <f>IFERROR(IF(ISNUMBER($A1712),IF(AND(AH!$U$12=1,1707+1=AH!$U$6),IF(AH!$U$4=0,"unavailable",INDEX('Market Data'!$AK$5:$AK$66,AH!$U$4)),IF(AH!$U$5=1,INDEX('Live History'!$D$5:$D$3004,MATCH($A1712,'Live History'!$D$5:$D$3004,1)),INDEX('AH History'!$D$5:$GG$1380,$K1712,AH!$U$10+2))),NA()),NA())</f>
        <v/>
      </c>
      <c r="H1712" s="266">
        <f>IFERROR(IF(ISNUMBER($A1712),IF(AND(AH!$U$12=1,1707+1=AH!$U$6),IF(AH!$U$4=0,"unavailable",INDEX('Market Data'!$AP$5:$AP$66,AH!$U$4)),IF(AH!$U$5=1,INDEX('Live History'!$H$5:$H$3004,MATCH($A1712,'Live History'!$G$5:$G$3004,1)),INDEX('AH History'!$B$5:$B$1380,$K1712))),NA()),NA())</f>
        <v/>
      </c>
      <c r="I1712" s="34">
        <f>IFERROR(IF(ISNUMBER($A1712),IF(AND(AH!$U$12=1,1707+1=AH!$U$6),TODAY(),IF(AH!$U$5=1,INDEX('Live History'!$G$5:$G$3004,MATCH($A1712,'Live History'!$G$5:$G$3004,1)),INDEX('AH History'!$C$5:$C$1380,$K1712))),NA()),NA())</f>
        <v/>
      </c>
      <c r="J1712" s="32">
        <f>IFERROR(IF(AND($F1712&gt;0,$H1712&gt;0,$A1712-$G1712&lt;=10,$A1712-$I1712&lt;=5,$G1712&gt;0,$I1712&gt;0),$F1712*$H1712,NA()),NA())</f>
        <v/>
      </c>
      <c r="K1712" s="15">
        <f>IF($A1712="","",IF(AH!$U$5=1,IFERROR(MATCH($A1712,'Live History'!$A$5:$A$3004,0),0),AH!$U$7+1707))</f>
        <v/>
      </c>
      <c r="L1712" s="15">
        <f>IF(ISNUMBER(A1712),TEXT(A1712,"dd-mmm-yy"),"")</f>
        <v/>
      </c>
    </row>
    <row r="1713">
      <c r="A1713" s="14">
        <f>IF(OR(AH!$U$4=0,1708+1&gt;AH!$U$6,AND(AH!$M$5="Bloomberg",AH!$U$5=0)),"",IFERROR(IF(AND(AH!$U$12=1,1708+1=AH!$U$6),TODAY(),IF(AH!$U$5=1,INDEX('Live History'!$A$5:$A$3004,AH!$U$7+1708),INDEX('AH History'!$A$5:$A$1380,AH!$U$7+1708))),""))</f>
        <v/>
      </c>
      <c r="B1713" s="33">
        <f>IFERROR(IF(AH!$U$11=1,NA(),$J1713/$E1713-1),NA())</f>
        <v/>
      </c>
      <c r="C1713" s="269">
        <f>IFERROR(100*$E1713/$E$5,NA())</f>
        <v/>
      </c>
      <c r="D1713" s="269">
        <f>IFERROR(100*$J1713/$J$5,NA())</f>
        <v/>
      </c>
      <c r="E1713" s="32">
        <f>IFERROR(IF(AND(ISNUMBER($A1713),N(IF(AND(AH!$U$12=1,1708+1=AH!$U$6),IF(AH!$U$4=0,"unavailable",INDEX('Market Data'!$AN$5:$AN$66,AH!$U$4)),IF(AH!$U$5=1,INDEX('Live History'!$B$5:$B$3004,$K1713),INDEX('AH History'!$D$5:$GG$1380,$K1713,AH!$U$10))))&gt;0),IF(AND(AH!$U$12=1,1708+1=AH!$U$6),IF(AH!$U$4=0,"unavailable",INDEX('Market Data'!$AN$5:$AN$66,AH!$U$4)),IF(AH!$U$5=1,INDEX('Live History'!$B$5:$B$3004,$K1713),INDEX('AH History'!$D$5:$GG$1380,$K1713,AH!$U$10))),NA()),NA())</f>
        <v/>
      </c>
      <c r="F1713" s="32">
        <f>IFERROR(IF(ISNUMBER($A1713),IF(AND(AH!$U$12=1,1708+1=AH!$U$6),IF(AH!$U$4=0,"unavailable",INDEX('Market Data'!$AO$5:$AO$66,AH!$U$4)),IF(AH!$U$5=1,INDEX('Live History'!$E$5:$E$3004,MATCH($A1713,'Live History'!$D$5:$D$3004,1)),INDEX('AH History'!$D$5:$GG$1380,$K1713,AH!$U$10+1))),NA()),NA())</f>
        <v/>
      </c>
      <c r="G1713" s="34">
        <f>IFERROR(IF(ISNUMBER($A1713),IF(AND(AH!$U$12=1,1708+1=AH!$U$6),IF(AH!$U$4=0,"unavailable",INDEX('Market Data'!$AK$5:$AK$66,AH!$U$4)),IF(AH!$U$5=1,INDEX('Live History'!$D$5:$D$3004,MATCH($A1713,'Live History'!$D$5:$D$3004,1)),INDEX('AH History'!$D$5:$GG$1380,$K1713,AH!$U$10+2))),NA()),NA())</f>
        <v/>
      </c>
      <c r="H1713" s="266">
        <f>IFERROR(IF(ISNUMBER($A1713),IF(AND(AH!$U$12=1,1708+1=AH!$U$6),IF(AH!$U$4=0,"unavailable",INDEX('Market Data'!$AP$5:$AP$66,AH!$U$4)),IF(AH!$U$5=1,INDEX('Live History'!$H$5:$H$3004,MATCH($A1713,'Live History'!$G$5:$G$3004,1)),INDEX('AH History'!$B$5:$B$1380,$K1713))),NA()),NA())</f>
        <v/>
      </c>
      <c r="I1713" s="34">
        <f>IFERROR(IF(ISNUMBER($A1713),IF(AND(AH!$U$12=1,1708+1=AH!$U$6),TODAY(),IF(AH!$U$5=1,INDEX('Live History'!$G$5:$G$3004,MATCH($A1713,'Live History'!$G$5:$G$3004,1)),INDEX('AH History'!$C$5:$C$1380,$K1713))),NA()),NA())</f>
        <v/>
      </c>
      <c r="J1713" s="32">
        <f>IFERROR(IF(AND($F1713&gt;0,$H1713&gt;0,$A1713-$G1713&lt;=10,$A1713-$I1713&lt;=5,$G1713&gt;0,$I1713&gt;0),$F1713*$H1713,NA()),NA())</f>
        <v/>
      </c>
      <c r="K1713" s="15">
        <f>IF($A1713="","",IF(AH!$U$5=1,IFERROR(MATCH($A1713,'Live History'!$A$5:$A$3004,0),0),AH!$U$7+1708))</f>
        <v/>
      </c>
      <c r="L1713" s="15">
        <f>IF(ISNUMBER(A1713),TEXT(A1713,"dd-mmm-yy"),"")</f>
        <v/>
      </c>
    </row>
    <row r="1714">
      <c r="A1714" s="14">
        <f>IF(OR(AH!$U$4=0,1709+1&gt;AH!$U$6,AND(AH!$M$5="Bloomberg",AH!$U$5=0)),"",IFERROR(IF(AND(AH!$U$12=1,1709+1=AH!$U$6),TODAY(),IF(AH!$U$5=1,INDEX('Live History'!$A$5:$A$3004,AH!$U$7+1709),INDEX('AH History'!$A$5:$A$1380,AH!$U$7+1709))),""))</f>
        <v/>
      </c>
      <c r="B1714" s="33">
        <f>IFERROR(IF(AH!$U$11=1,NA(),$J1714/$E1714-1),NA())</f>
        <v/>
      </c>
      <c r="C1714" s="269">
        <f>IFERROR(100*$E1714/$E$5,NA())</f>
        <v/>
      </c>
      <c r="D1714" s="269">
        <f>IFERROR(100*$J1714/$J$5,NA())</f>
        <v/>
      </c>
      <c r="E1714" s="32">
        <f>IFERROR(IF(AND(ISNUMBER($A1714),N(IF(AND(AH!$U$12=1,1709+1=AH!$U$6),IF(AH!$U$4=0,"unavailable",INDEX('Market Data'!$AN$5:$AN$66,AH!$U$4)),IF(AH!$U$5=1,INDEX('Live History'!$B$5:$B$3004,$K1714),INDEX('AH History'!$D$5:$GG$1380,$K1714,AH!$U$10))))&gt;0),IF(AND(AH!$U$12=1,1709+1=AH!$U$6),IF(AH!$U$4=0,"unavailable",INDEX('Market Data'!$AN$5:$AN$66,AH!$U$4)),IF(AH!$U$5=1,INDEX('Live History'!$B$5:$B$3004,$K1714),INDEX('AH History'!$D$5:$GG$1380,$K1714,AH!$U$10))),NA()),NA())</f>
        <v/>
      </c>
      <c r="F1714" s="32">
        <f>IFERROR(IF(ISNUMBER($A1714),IF(AND(AH!$U$12=1,1709+1=AH!$U$6),IF(AH!$U$4=0,"unavailable",INDEX('Market Data'!$AO$5:$AO$66,AH!$U$4)),IF(AH!$U$5=1,INDEX('Live History'!$E$5:$E$3004,MATCH($A1714,'Live History'!$D$5:$D$3004,1)),INDEX('AH History'!$D$5:$GG$1380,$K1714,AH!$U$10+1))),NA()),NA())</f>
        <v/>
      </c>
      <c r="G1714" s="34">
        <f>IFERROR(IF(ISNUMBER($A1714),IF(AND(AH!$U$12=1,1709+1=AH!$U$6),IF(AH!$U$4=0,"unavailable",INDEX('Market Data'!$AK$5:$AK$66,AH!$U$4)),IF(AH!$U$5=1,INDEX('Live History'!$D$5:$D$3004,MATCH($A1714,'Live History'!$D$5:$D$3004,1)),INDEX('AH History'!$D$5:$GG$1380,$K1714,AH!$U$10+2))),NA()),NA())</f>
        <v/>
      </c>
      <c r="H1714" s="266">
        <f>IFERROR(IF(ISNUMBER($A1714),IF(AND(AH!$U$12=1,1709+1=AH!$U$6),IF(AH!$U$4=0,"unavailable",INDEX('Market Data'!$AP$5:$AP$66,AH!$U$4)),IF(AH!$U$5=1,INDEX('Live History'!$H$5:$H$3004,MATCH($A1714,'Live History'!$G$5:$G$3004,1)),INDEX('AH History'!$B$5:$B$1380,$K1714))),NA()),NA())</f>
        <v/>
      </c>
      <c r="I1714" s="34">
        <f>IFERROR(IF(ISNUMBER($A1714),IF(AND(AH!$U$12=1,1709+1=AH!$U$6),TODAY(),IF(AH!$U$5=1,INDEX('Live History'!$G$5:$G$3004,MATCH($A1714,'Live History'!$G$5:$G$3004,1)),INDEX('AH History'!$C$5:$C$1380,$K1714))),NA()),NA())</f>
        <v/>
      </c>
      <c r="J1714" s="32">
        <f>IFERROR(IF(AND($F1714&gt;0,$H1714&gt;0,$A1714-$G1714&lt;=10,$A1714-$I1714&lt;=5,$G1714&gt;0,$I1714&gt;0),$F1714*$H1714,NA()),NA())</f>
        <v/>
      </c>
      <c r="K1714" s="15">
        <f>IF($A1714="","",IF(AH!$U$5=1,IFERROR(MATCH($A1714,'Live History'!$A$5:$A$3004,0),0),AH!$U$7+1709))</f>
        <v/>
      </c>
      <c r="L1714" s="15">
        <f>IF(ISNUMBER(A1714),TEXT(A1714,"dd-mmm-yy"),"")</f>
        <v/>
      </c>
    </row>
    <row r="1715">
      <c r="A1715" s="14">
        <f>IF(OR(AH!$U$4=0,1710+1&gt;AH!$U$6,AND(AH!$M$5="Bloomberg",AH!$U$5=0)),"",IFERROR(IF(AND(AH!$U$12=1,1710+1=AH!$U$6),TODAY(),IF(AH!$U$5=1,INDEX('Live History'!$A$5:$A$3004,AH!$U$7+1710),INDEX('AH History'!$A$5:$A$1380,AH!$U$7+1710))),""))</f>
        <v/>
      </c>
      <c r="B1715" s="33">
        <f>IFERROR(IF(AH!$U$11=1,NA(),$J1715/$E1715-1),NA())</f>
        <v/>
      </c>
      <c r="C1715" s="269">
        <f>IFERROR(100*$E1715/$E$5,NA())</f>
        <v/>
      </c>
      <c r="D1715" s="269">
        <f>IFERROR(100*$J1715/$J$5,NA())</f>
        <v/>
      </c>
      <c r="E1715" s="32">
        <f>IFERROR(IF(AND(ISNUMBER($A1715),N(IF(AND(AH!$U$12=1,1710+1=AH!$U$6),IF(AH!$U$4=0,"unavailable",INDEX('Market Data'!$AN$5:$AN$66,AH!$U$4)),IF(AH!$U$5=1,INDEX('Live History'!$B$5:$B$3004,$K1715),INDEX('AH History'!$D$5:$GG$1380,$K1715,AH!$U$10))))&gt;0),IF(AND(AH!$U$12=1,1710+1=AH!$U$6),IF(AH!$U$4=0,"unavailable",INDEX('Market Data'!$AN$5:$AN$66,AH!$U$4)),IF(AH!$U$5=1,INDEX('Live History'!$B$5:$B$3004,$K1715),INDEX('AH History'!$D$5:$GG$1380,$K1715,AH!$U$10))),NA()),NA())</f>
        <v/>
      </c>
      <c r="F1715" s="32">
        <f>IFERROR(IF(ISNUMBER($A1715),IF(AND(AH!$U$12=1,1710+1=AH!$U$6),IF(AH!$U$4=0,"unavailable",INDEX('Market Data'!$AO$5:$AO$66,AH!$U$4)),IF(AH!$U$5=1,INDEX('Live History'!$E$5:$E$3004,MATCH($A1715,'Live History'!$D$5:$D$3004,1)),INDEX('AH History'!$D$5:$GG$1380,$K1715,AH!$U$10+1))),NA()),NA())</f>
        <v/>
      </c>
      <c r="G1715" s="34">
        <f>IFERROR(IF(ISNUMBER($A1715),IF(AND(AH!$U$12=1,1710+1=AH!$U$6),IF(AH!$U$4=0,"unavailable",INDEX('Market Data'!$AK$5:$AK$66,AH!$U$4)),IF(AH!$U$5=1,INDEX('Live History'!$D$5:$D$3004,MATCH($A1715,'Live History'!$D$5:$D$3004,1)),INDEX('AH History'!$D$5:$GG$1380,$K1715,AH!$U$10+2))),NA()),NA())</f>
        <v/>
      </c>
      <c r="H1715" s="266">
        <f>IFERROR(IF(ISNUMBER($A1715),IF(AND(AH!$U$12=1,1710+1=AH!$U$6),IF(AH!$U$4=0,"unavailable",INDEX('Market Data'!$AP$5:$AP$66,AH!$U$4)),IF(AH!$U$5=1,INDEX('Live History'!$H$5:$H$3004,MATCH($A1715,'Live History'!$G$5:$G$3004,1)),INDEX('AH History'!$B$5:$B$1380,$K1715))),NA()),NA())</f>
        <v/>
      </c>
      <c r="I1715" s="34">
        <f>IFERROR(IF(ISNUMBER($A1715),IF(AND(AH!$U$12=1,1710+1=AH!$U$6),TODAY(),IF(AH!$U$5=1,INDEX('Live History'!$G$5:$G$3004,MATCH($A1715,'Live History'!$G$5:$G$3004,1)),INDEX('AH History'!$C$5:$C$1380,$K1715))),NA()),NA())</f>
        <v/>
      </c>
      <c r="J1715" s="32">
        <f>IFERROR(IF(AND($F1715&gt;0,$H1715&gt;0,$A1715-$G1715&lt;=10,$A1715-$I1715&lt;=5,$G1715&gt;0,$I1715&gt;0),$F1715*$H1715,NA()),NA())</f>
        <v/>
      </c>
      <c r="K1715" s="15">
        <f>IF($A1715="","",IF(AH!$U$5=1,IFERROR(MATCH($A1715,'Live History'!$A$5:$A$3004,0),0),AH!$U$7+1710))</f>
        <v/>
      </c>
      <c r="L1715" s="15">
        <f>IF(ISNUMBER(A1715),TEXT(A1715,"dd-mmm-yy"),"")</f>
        <v/>
      </c>
    </row>
    <row r="1716">
      <c r="A1716" s="14">
        <f>IF(OR(AH!$U$4=0,1711+1&gt;AH!$U$6,AND(AH!$M$5="Bloomberg",AH!$U$5=0)),"",IFERROR(IF(AND(AH!$U$12=1,1711+1=AH!$U$6),TODAY(),IF(AH!$U$5=1,INDEX('Live History'!$A$5:$A$3004,AH!$U$7+1711),INDEX('AH History'!$A$5:$A$1380,AH!$U$7+1711))),""))</f>
        <v/>
      </c>
      <c r="B1716" s="33">
        <f>IFERROR(IF(AH!$U$11=1,NA(),$J1716/$E1716-1),NA())</f>
        <v/>
      </c>
      <c r="C1716" s="269">
        <f>IFERROR(100*$E1716/$E$5,NA())</f>
        <v/>
      </c>
      <c r="D1716" s="269">
        <f>IFERROR(100*$J1716/$J$5,NA())</f>
        <v/>
      </c>
      <c r="E1716" s="32">
        <f>IFERROR(IF(AND(ISNUMBER($A1716),N(IF(AND(AH!$U$12=1,1711+1=AH!$U$6),IF(AH!$U$4=0,"unavailable",INDEX('Market Data'!$AN$5:$AN$66,AH!$U$4)),IF(AH!$U$5=1,INDEX('Live History'!$B$5:$B$3004,$K1716),INDEX('AH History'!$D$5:$GG$1380,$K1716,AH!$U$10))))&gt;0),IF(AND(AH!$U$12=1,1711+1=AH!$U$6),IF(AH!$U$4=0,"unavailable",INDEX('Market Data'!$AN$5:$AN$66,AH!$U$4)),IF(AH!$U$5=1,INDEX('Live History'!$B$5:$B$3004,$K1716),INDEX('AH History'!$D$5:$GG$1380,$K1716,AH!$U$10))),NA()),NA())</f>
        <v/>
      </c>
      <c r="F1716" s="32">
        <f>IFERROR(IF(ISNUMBER($A1716),IF(AND(AH!$U$12=1,1711+1=AH!$U$6),IF(AH!$U$4=0,"unavailable",INDEX('Market Data'!$AO$5:$AO$66,AH!$U$4)),IF(AH!$U$5=1,INDEX('Live History'!$E$5:$E$3004,MATCH($A1716,'Live History'!$D$5:$D$3004,1)),INDEX('AH History'!$D$5:$GG$1380,$K1716,AH!$U$10+1))),NA()),NA())</f>
        <v/>
      </c>
      <c r="G1716" s="34">
        <f>IFERROR(IF(ISNUMBER($A1716),IF(AND(AH!$U$12=1,1711+1=AH!$U$6),IF(AH!$U$4=0,"unavailable",INDEX('Market Data'!$AK$5:$AK$66,AH!$U$4)),IF(AH!$U$5=1,INDEX('Live History'!$D$5:$D$3004,MATCH($A1716,'Live History'!$D$5:$D$3004,1)),INDEX('AH History'!$D$5:$GG$1380,$K1716,AH!$U$10+2))),NA()),NA())</f>
        <v/>
      </c>
      <c r="H1716" s="266">
        <f>IFERROR(IF(ISNUMBER($A1716),IF(AND(AH!$U$12=1,1711+1=AH!$U$6),IF(AH!$U$4=0,"unavailable",INDEX('Market Data'!$AP$5:$AP$66,AH!$U$4)),IF(AH!$U$5=1,INDEX('Live History'!$H$5:$H$3004,MATCH($A1716,'Live History'!$G$5:$G$3004,1)),INDEX('AH History'!$B$5:$B$1380,$K1716))),NA()),NA())</f>
        <v/>
      </c>
      <c r="I1716" s="34">
        <f>IFERROR(IF(ISNUMBER($A1716),IF(AND(AH!$U$12=1,1711+1=AH!$U$6),TODAY(),IF(AH!$U$5=1,INDEX('Live History'!$G$5:$G$3004,MATCH($A1716,'Live History'!$G$5:$G$3004,1)),INDEX('AH History'!$C$5:$C$1380,$K1716))),NA()),NA())</f>
        <v/>
      </c>
      <c r="J1716" s="32">
        <f>IFERROR(IF(AND($F1716&gt;0,$H1716&gt;0,$A1716-$G1716&lt;=10,$A1716-$I1716&lt;=5,$G1716&gt;0,$I1716&gt;0),$F1716*$H1716,NA()),NA())</f>
        <v/>
      </c>
      <c r="K1716" s="15">
        <f>IF($A1716="","",IF(AH!$U$5=1,IFERROR(MATCH($A1716,'Live History'!$A$5:$A$3004,0),0),AH!$U$7+1711))</f>
        <v/>
      </c>
      <c r="L1716" s="15">
        <f>IF(ISNUMBER(A1716),TEXT(A1716,"dd-mmm-yy"),"")</f>
        <v/>
      </c>
    </row>
    <row r="1717">
      <c r="A1717" s="14">
        <f>IF(OR(AH!$U$4=0,1712+1&gt;AH!$U$6,AND(AH!$M$5="Bloomberg",AH!$U$5=0)),"",IFERROR(IF(AND(AH!$U$12=1,1712+1=AH!$U$6),TODAY(),IF(AH!$U$5=1,INDEX('Live History'!$A$5:$A$3004,AH!$U$7+1712),INDEX('AH History'!$A$5:$A$1380,AH!$U$7+1712))),""))</f>
        <v/>
      </c>
      <c r="B1717" s="33">
        <f>IFERROR(IF(AH!$U$11=1,NA(),$J1717/$E1717-1),NA())</f>
        <v/>
      </c>
      <c r="C1717" s="269">
        <f>IFERROR(100*$E1717/$E$5,NA())</f>
        <v/>
      </c>
      <c r="D1717" s="269">
        <f>IFERROR(100*$J1717/$J$5,NA())</f>
        <v/>
      </c>
      <c r="E1717" s="32">
        <f>IFERROR(IF(AND(ISNUMBER($A1717),N(IF(AND(AH!$U$12=1,1712+1=AH!$U$6),IF(AH!$U$4=0,"unavailable",INDEX('Market Data'!$AN$5:$AN$66,AH!$U$4)),IF(AH!$U$5=1,INDEX('Live History'!$B$5:$B$3004,$K1717),INDEX('AH History'!$D$5:$GG$1380,$K1717,AH!$U$10))))&gt;0),IF(AND(AH!$U$12=1,1712+1=AH!$U$6),IF(AH!$U$4=0,"unavailable",INDEX('Market Data'!$AN$5:$AN$66,AH!$U$4)),IF(AH!$U$5=1,INDEX('Live History'!$B$5:$B$3004,$K1717),INDEX('AH History'!$D$5:$GG$1380,$K1717,AH!$U$10))),NA()),NA())</f>
        <v/>
      </c>
      <c r="F1717" s="32">
        <f>IFERROR(IF(ISNUMBER($A1717),IF(AND(AH!$U$12=1,1712+1=AH!$U$6),IF(AH!$U$4=0,"unavailable",INDEX('Market Data'!$AO$5:$AO$66,AH!$U$4)),IF(AH!$U$5=1,INDEX('Live History'!$E$5:$E$3004,MATCH($A1717,'Live History'!$D$5:$D$3004,1)),INDEX('AH History'!$D$5:$GG$1380,$K1717,AH!$U$10+1))),NA()),NA())</f>
        <v/>
      </c>
      <c r="G1717" s="34">
        <f>IFERROR(IF(ISNUMBER($A1717),IF(AND(AH!$U$12=1,1712+1=AH!$U$6),IF(AH!$U$4=0,"unavailable",INDEX('Market Data'!$AK$5:$AK$66,AH!$U$4)),IF(AH!$U$5=1,INDEX('Live History'!$D$5:$D$3004,MATCH($A1717,'Live History'!$D$5:$D$3004,1)),INDEX('AH History'!$D$5:$GG$1380,$K1717,AH!$U$10+2))),NA()),NA())</f>
        <v/>
      </c>
      <c r="H1717" s="266">
        <f>IFERROR(IF(ISNUMBER($A1717),IF(AND(AH!$U$12=1,1712+1=AH!$U$6),IF(AH!$U$4=0,"unavailable",INDEX('Market Data'!$AP$5:$AP$66,AH!$U$4)),IF(AH!$U$5=1,INDEX('Live History'!$H$5:$H$3004,MATCH($A1717,'Live History'!$G$5:$G$3004,1)),INDEX('AH History'!$B$5:$B$1380,$K1717))),NA()),NA())</f>
        <v/>
      </c>
      <c r="I1717" s="34">
        <f>IFERROR(IF(ISNUMBER($A1717),IF(AND(AH!$U$12=1,1712+1=AH!$U$6),TODAY(),IF(AH!$U$5=1,INDEX('Live History'!$G$5:$G$3004,MATCH($A1717,'Live History'!$G$5:$G$3004,1)),INDEX('AH History'!$C$5:$C$1380,$K1717))),NA()),NA())</f>
        <v/>
      </c>
      <c r="J1717" s="32">
        <f>IFERROR(IF(AND($F1717&gt;0,$H1717&gt;0,$A1717-$G1717&lt;=10,$A1717-$I1717&lt;=5,$G1717&gt;0,$I1717&gt;0),$F1717*$H1717,NA()),NA())</f>
        <v/>
      </c>
      <c r="K1717" s="15">
        <f>IF($A1717="","",IF(AH!$U$5=1,IFERROR(MATCH($A1717,'Live History'!$A$5:$A$3004,0),0),AH!$U$7+1712))</f>
        <v/>
      </c>
      <c r="L1717" s="15">
        <f>IF(ISNUMBER(A1717),TEXT(A1717,"dd-mmm-yy"),"")</f>
        <v/>
      </c>
    </row>
    <row r="1718">
      <c r="A1718" s="14">
        <f>IF(OR(AH!$U$4=0,1713+1&gt;AH!$U$6,AND(AH!$M$5="Bloomberg",AH!$U$5=0)),"",IFERROR(IF(AND(AH!$U$12=1,1713+1=AH!$U$6),TODAY(),IF(AH!$U$5=1,INDEX('Live History'!$A$5:$A$3004,AH!$U$7+1713),INDEX('AH History'!$A$5:$A$1380,AH!$U$7+1713))),""))</f>
        <v/>
      </c>
      <c r="B1718" s="33">
        <f>IFERROR(IF(AH!$U$11=1,NA(),$J1718/$E1718-1),NA())</f>
        <v/>
      </c>
      <c r="C1718" s="269">
        <f>IFERROR(100*$E1718/$E$5,NA())</f>
        <v/>
      </c>
      <c r="D1718" s="269">
        <f>IFERROR(100*$J1718/$J$5,NA())</f>
        <v/>
      </c>
      <c r="E1718" s="32">
        <f>IFERROR(IF(AND(ISNUMBER($A1718),N(IF(AND(AH!$U$12=1,1713+1=AH!$U$6),IF(AH!$U$4=0,"unavailable",INDEX('Market Data'!$AN$5:$AN$66,AH!$U$4)),IF(AH!$U$5=1,INDEX('Live History'!$B$5:$B$3004,$K1718),INDEX('AH History'!$D$5:$GG$1380,$K1718,AH!$U$10))))&gt;0),IF(AND(AH!$U$12=1,1713+1=AH!$U$6),IF(AH!$U$4=0,"unavailable",INDEX('Market Data'!$AN$5:$AN$66,AH!$U$4)),IF(AH!$U$5=1,INDEX('Live History'!$B$5:$B$3004,$K1718),INDEX('AH History'!$D$5:$GG$1380,$K1718,AH!$U$10))),NA()),NA())</f>
        <v/>
      </c>
      <c r="F1718" s="32">
        <f>IFERROR(IF(ISNUMBER($A1718),IF(AND(AH!$U$12=1,1713+1=AH!$U$6),IF(AH!$U$4=0,"unavailable",INDEX('Market Data'!$AO$5:$AO$66,AH!$U$4)),IF(AH!$U$5=1,INDEX('Live History'!$E$5:$E$3004,MATCH($A1718,'Live History'!$D$5:$D$3004,1)),INDEX('AH History'!$D$5:$GG$1380,$K1718,AH!$U$10+1))),NA()),NA())</f>
        <v/>
      </c>
      <c r="G1718" s="34">
        <f>IFERROR(IF(ISNUMBER($A1718),IF(AND(AH!$U$12=1,1713+1=AH!$U$6),IF(AH!$U$4=0,"unavailable",INDEX('Market Data'!$AK$5:$AK$66,AH!$U$4)),IF(AH!$U$5=1,INDEX('Live History'!$D$5:$D$3004,MATCH($A1718,'Live History'!$D$5:$D$3004,1)),INDEX('AH History'!$D$5:$GG$1380,$K1718,AH!$U$10+2))),NA()),NA())</f>
        <v/>
      </c>
      <c r="H1718" s="266">
        <f>IFERROR(IF(ISNUMBER($A1718),IF(AND(AH!$U$12=1,1713+1=AH!$U$6),IF(AH!$U$4=0,"unavailable",INDEX('Market Data'!$AP$5:$AP$66,AH!$U$4)),IF(AH!$U$5=1,INDEX('Live History'!$H$5:$H$3004,MATCH($A1718,'Live History'!$G$5:$G$3004,1)),INDEX('AH History'!$B$5:$B$1380,$K1718))),NA()),NA())</f>
        <v/>
      </c>
      <c r="I1718" s="34">
        <f>IFERROR(IF(ISNUMBER($A1718),IF(AND(AH!$U$12=1,1713+1=AH!$U$6),TODAY(),IF(AH!$U$5=1,INDEX('Live History'!$G$5:$G$3004,MATCH($A1718,'Live History'!$G$5:$G$3004,1)),INDEX('AH History'!$C$5:$C$1380,$K1718))),NA()),NA())</f>
        <v/>
      </c>
      <c r="J1718" s="32">
        <f>IFERROR(IF(AND($F1718&gt;0,$H1718&gt;0,$A1718-$G1718&lt;=10,$A1718-$I1718&lt;=5,$G1718&gt;0,$I1718&gt;0),$F1718*$H1718,NA()),NA())</f>
        <v/>
      </c>
      <c r="K1718" s="15">
        <f>IF($A1718="","",IF(AH!$U$5=1,IFERROR(MATCH($A1718,'Live History'!$A$5:$A$3004,0),0),AH!$U$7+1713))</f>
        <v/>
      </c>
      <c r="L1718" s="15">
        <f>IF(ISNUMBER(A1718),TEXT(A1718,"dd-mmm-yy"),"")</f>
        <v/>
      </c>
    </row>
    <row r="1719">
      <c r="A1719" s="14">
        <f>IF(OR(AH!$U$4=0,1714+1&gt;AH!$U$6,AND(AH!$M$5="Bloomberg",AH!$U$5=0)),"",IFERROR(IF(AND(AH!$U$12=1,1714+1=AH!$U$6),TODAY(),IF(AH!$U$5=1,INDEX('Live History'!$A$5:$A$3004,AH!$U$7+1714),INDEX('AH History'!$A$5:$A$1380,AH!$U$7+1714))),""))</f>
        <v/>
      </c>
      <c r="B1719" s="33">
        <f>IFERROR(IF(AH!$U$11=1,NA(),$J1719/$E1719-1),NA())</f>
        <v/>
      </c>
      <c r="C1719" s="269">
        <f>IFERROR(100*$E1719/$E$5,NA())</f>
        <v/>
      </c>
      <c r="D1719" s="269">
        <f>IFERROR(100*$J1719/$J$5,NA())</f>
        <v/>
      </c>
      <c r="E1719" s="32">
        <f>IFERROR(IF(AND(ISNUMBER($A1719),N(IF(AND(AH!$U$12=1,1714+1=AH!$U$6),IF(AH!$U$4=0,"unavailable",INDEX('Market Data'!$AN$5:$AN$66,AH!$U$4)),IF(AH!$U$5=1,INDEX('Live History'!$B$5:$B$3004,$K1719),INDEX('AH History'!$D$5:$GG$1380,$K1719,AH!$U$10))))&gt;0),IF(AND(AH!$U$12=1,1714+1=AH!$U$6),IF(AH!$U$4=0,"unavailable",INDEX('Market Data'!$AN$5:$AN$66,AH!$U$4)),IF(AH!$U$5=1,INDEX('Live History'!$B$5:$B$3004,$K1719),INDEX('AH History'!$D$5:$GG$1380,$K1719,AH!$U$10))),NA()),NA())</f>
        <v/>
      </c>
      <c r="F1719" s="32">
        <f>IFERROR(IF(ISNUMBER($A1719),IF(AND(AH!$U$12=1,1714+1=AH!$U$6),IF(AH!$U$4=0,"unavailable",INDEX('Market Data'!$AO$5:$AO$66,AH!$U$4)),IF(AH!$U$5=1,INDEX('Live History'!$E$5:$E$3004,MATCH($A1719,'Live History'!$D$5:$D$3004,1)),INDEX('AH History'!$D$5:$GG$1380,$K1719,AH!$U$10+1))),NA()),NA())</f>
        <v/>
      </c>
      <c r="G1719" s="34">
        <f>IFERROR(IF(ISNUMBER($A1719),IF(AND(AH!$U$12=1,1714+1=AH!$U$6),IF(AH!$U$4=0,"unavailable",INDEX('Market Data'!$AK$5:$AK$66,AH!$U$4)),IF(AH!$U$5=1,INDEX('Live History'!$D$5:$D$3004,MATCH($A1719,'Live History'!$D$5:$D$3004,1)),INDEX('AH History'!$D$5:$GG$1380,$K1719,AH!$U$10+2))),NA()),NA())</f>
        <v/>
      </c>
      <c r="H1719" s="266">
        <f>IFERROR(IF(ISNUMBER($A1719),IF(AND(AH!$U$12=1,1714+1=AH!$U$6),IF(AH!$U$4=0,"unavailable",INDEX('Market Data'!$AP$5:$AP$66,AH!$U$4)),IF(AH!$U$5=1,INDEX('Live History'!$H$5:$H$3004,MATCH($A1719,'Live History'!$G$5:$G$3004,1)),INDEX('AH History'!$B$5:$B$1380,$K1719))),NA()),NA())</f>
        <v/>
      </c>
      <c r="I1719" s="34">
        <f>IFERROR(IF(ISNUMBER($A1719),IF(AND(AH!$U$12=1,1714+1=AH!$U$6),TODAY(),IF(AH!$U$5=1,INDEX('Live History'!$G$5:$G$3004,MATCH($A1719,'Live History'!$G$5:$G$3004,1)),INDEX('AH History'!$C$5:$C$1380,$K1719))),NA()),NA())</f>
        <v/>
      </c>
      <c r="J1719" s="32">
        <f>IFERROR(IF(AND($F1719&gt;0,$H1719&gt;0,$A1719-$G1719&lt;=10,$A1719-$I1719&lt;=5,$G1719&gt;0,$I1719&gt;0),$F1719*$H1719,NA()),NA())</f>
        <v/>
      </c>
      <c r="K1719" s="15">
        <f>IF($A1719="","",IF(AH!$U$5=1,IFERROR(MATCH($A1719,'Live History'!$A$5:$A$3004,0),0),AH!$U$7+1714))</f>
        <v/>
      </c>
      <c r="L1719" s="15">
        <f>IF(ISNUMBER(A1719),TEXT(A1719,"dd-mmm-yy"),"")</f>
        <v/>
      </c>
    </row>
    <row r="1720">
      <c r="A1720" s="14">
        <f>IF(OR(AH!$U$4=0,1715+1&gt;AH!$U$6,AND(AH!$M$5="Bloomberg",AH!$U$5=0)),"",IFERROR(IF(AND(AH!$U$12=1,1715+1=AH!$U$6),TODAY(),IF(AH!$U$5=1,INDEX('Live History'!$A$5:$A$3004,AH!$U$7+1715),INDEX('AH History'!$A$5:$A$1380,AH!$U$7+1715))),""))</f>
        <v/>
      </c>
      <c r="B1720" s="33">
        <f>IFERROR(IF(AH!$U$11=1,NA(),$J1720/$E1720-1),NA())</f>
        <v/>
      </c>
      <c r="C1720" s="269">
        <f>IFERROR(100*$E1720/$E$5,NA())</f>
        <v/>
      </c>
      <c r="D1720" s="269">
        <f>IFERROR(100*$J1720/$J$5,NA())</f>
        <v/>
      </c>
      <c r="E1720" s="32">
        <f>IFERROR(IF(AND(ISNUMBER($A1720),N(IF(AND(AH!$U$12=1,1715+1=AH!$U$6),IF(AH!$U$4=0,"unavailable",INDEX('Market Data'!$AN$5:$AN$66,AH!$U$4)),IF(AH!$U$5=1,INDEX('Live History'!$B$5:$B$3004,$K1720),INDEX('AH History'!$D$5:$GG$1380,$K1720,AH!$U$10))))&gt;0),IF(AND(AH!$U$12=1,1715+1=AH!$U$6),IF(AH!$U$4=0,"unavailable",INDEX('Market Data'!$AN$5:$AN$66,AH!$U$4)),IF(AH!$U$5=1,INDEX('Live History'!$B$5:$B$3004,$K1720),INDEX('AH History'!$D$5:$GG$1380,$K1720,AH!$U$10))),NA()),NA())</f>
        <v/>
      </c>
      <c r="F1720" s="32">
        <f>IFERROR(IF(ISNUMBER($A1720),IF(AND(AH!$U$12=1,1715+1=AH!$U$6),IF(AH!$U$4=0,"unavailable",INDEX('Market Data'!$AO$5:$AO$66,AH!$U$4)),IF(AH!$U$5=1,INDEX('Live History'!$E$5:$E$3004,MATCH($A1720,'Live History'!$D$5:$D$3004,1)),INDEX('AH History'!$D$5:$GG$1380,$K1720,AH!$U$10+1))),NA()),NA())</f>
        <v/>
      </c>
      <c r="G1720" s="34">
        <f>IFERROR(IF(ISNUMBER($A1720),IF(AND(AH!$U$12=1,1715+1=AH!$U$6),IF(AH!$U$4=0,"unavailable",INDEX('Market Data'!$AK$5:$AK$66,AH!$U$4)),IF(AH!$U$5=1,INDEX('Live History'!$D$5:$D$3004,MATCH($A1720,'Live History'!$D$5:$D$3004,1)),INDEX('AH History'!$D$5:$GG$1380,$K1720,AH!$U$10+2))),NA()),NA())</f>
        <v/>
      </c>
      <c r="H1720" s="266">
        <f>IFERROR(IF(ISNUMBER($A1720),IF(AND(AH!$U$12=1,1715+1=AH!$U$6),IF(AH!$U$4=0,"unavailable",INDEX('Market Data'!$AP$5:$AP$66,AH!$U$4)),IF(AH!$U$5=1,INDEX('Live History'!$H$5:$H$3004,MATCH($A1720,'Live History'!$G$5:$G$3004,1)),INDEX('AH History'!$B$5:$B$1380,$K1720))),NA()),NA())</f>
        <v/>
      </c>
      <c r="I1720" s="34">
        <f>IFERROR(IF(ISNUMBER($A1720),IF(AND(AH!$U$12=1,1715+1=AH!$U$6),TODAY(),IF(AH!$U$5=1,INDEX('Live History'!$G$5:$G$3004,MATCH($A1720,'Live History'!$G$5:$G$3004,1)),INDEX('AH History'!$C$5:$C$1380,$K1720))),NA()),NA())</f>
        <v/>
      </c>
      <c r="J1720" s="32">
        <f>IFERROR(IF(AND($F1720&gt;0,$H1720&gt;0,$A1720-$G1720&lt;=10,$A1720-$I1720&lt;=5,$G1720&gt;0,$I1720&gt;0),$F1720*$H1720,NA()),NA())</f>
        <v/>
      </c>
      <c r="K1720" s="15">
        <f>IF($A1720="","",IF(AH!$U$5=1,IFERROR(MATCH($A1720,'Live History'!$A$5:$A$3004,0),0),AH!$U$7+1715))</f>
        <v/>
      </c>
      <c r="L1720" s="15">
        <f>IF(ISNUMBER(A1720),TEXT(A1720,"dd-mmm-yy"),"")</f>
        <v/>
      </c>
    </row>
    <row r="1721">
      <c r="A1721" s="14">
        <f>IF(OR(AH!$U$4=0,1716+1&gt;AH!$U$6,AND(AH!$M$5="Bloomberg",AH!$U$5=0)),"",IFERROR(IF(AND(AH!$U$12=1,1716+1=AH!$U$6),TODAY(),IF(AH!$U$5=1,INDEX('Live History'!$A$5:$A$3004,AH!$U$7+1716),INDEX('AH History'!$A$5:$A$1380,AH!$U$7+1716))),""))</f>
        <v/>
      </c>
      <c r="B1721" s="33">
        <f>IFERROR(IF(AH!$U$11=1,NA(),$J1721/$E1721-1),NA())</f>
        <v/>
      </c>
      <c r="C1721" s="269">
        <f>IFERROR(100*$E1721/$E$5,NA())</f>
        <v/>
      </c>
      <c r="D1721" s="269">
        <f>IFERROR(100*$J1721/$J$5,NA())</f>
        <v/>
      </c>
      <c r="E1721" s="32">
        <f>IFERROR(IF(AND(ISNUMBER($A1721),N(IF(AND(AH!$U$12=1,1716+1=AH!$U$6),IF(AH!$U$4=0,"unavailable",INDEX('Market Data'!$AN$5:$AN$66,AH!$U$4)),IF(AH!$U$5=1,INDEX('Live History'!$B$5:$B$3004,$K1721),INDEX('AH History'!$D$5:$GG$1380,$K1721,AH!$U$10))))&gt;0),IF(AND(AH!$U$12=1,1716+1=AH!$U$6),IF(AH!$U$4=0,"unavailable",INDEX('Market Data'!$AN$5:$AN$66,AH!$U$4)),IF(AH!$U$5=1,INDEX('Live History'!$B$5:$B$3004,$K1721),INDEX('AH History'!$D$5:$GG$1380,$K1721,AH!$U$10))),NA()),NA())</f>
        <v/>
      </c>
      <c r="F1721" s="32">
        <f>IFERROR(IF(ISNUMBER($A1721),IF(AND(AH!$U$12=1,1716+1=AH!$U$6),IF(AH!$U$4=0,"unavailable",INDEX('Market Data'!$AO$5:$AO$66,AH!$U$4)),IF(AH!$U$5=1,INDEX('Live History'!$E$5:$E$3004,MATCH($A1721,'Live History'!$D$5:$D$3004,1)),INDEX('AH History'!$D$5:$GG$1380,$K1721,AH!$U$10+1))),NA()),NA())</f>
        <v/>
      </c>
      <c r="G1721" s="34">
        <f>IFERROR(IF(ISNUMBER($A1721),IF(AND(AH!$U$12=1,1716+1=AH!$U$6),IF(AH!$U$4=0,"unavailable",INDEX('Market Data'!$AK$5:$AK$66,AH!$U$4)),IF(AH!$U$5=1,INDEX('Live History'!$D$5:$D$3004,MATCH($A1721,'Live History'!$D$5:$D$3004,1)),INDEX('AH History'!$D$5:$GG$1380,$K1721,AH!$U$10+2))),NA()),NA())</f>
        <v/>
      </c>
      <c r="H1721" s="266">
        <f>IFERROR(IF(ISNUMBER($A1721),IF(AND(AH!$U$12=1,1716+1=AH!$U$6),IF(AH!$U$4=0,"unavailable",INDEX('Market Data'!$AP$5:$AP$66,AH!$U$4)),IF(AH!$U$5=1,INDEX('Live History'!$H$5:$H$3004,MATCH($A1721,'Live History'!$G$5:$G$3004,1)),INDEX('AH History'!$B$5:$B$1380,$K1721))),NA()),NA())</f>
        <v/>
      </c>
      <c r="I1721" s="34">
        <f>IFERROR(IF(ISNUMBER($A1721),IF(AND(AH!$U$12=1,1716+1=AH!$U$6),TODAY(),IF(AH!$U$5=1,INDEX('Live History'!$G$5:$G$3004,MATCH($A1721,'Live History'!$G$5:$G$3004,1)),INDEX('AH History'!$C$5:$C$1380,$K1721))),NA()),NA())</f>
        <v/>
      </c>
      <c r="J1721" s="32">
        <f>IFERROR(IF(AND($F1721&gt;0,$H1721&gt;0,$A1721-$G1721&lt;=10,$A1721-$I1721&lt;=5,$G1721&gt;0,$I1721&gt;0),$F1721*$H1721,NA()),NA())</f>
        <v/>
      </c>
      <c r="K1721" s="15">
        <f>IF($A1721="","",IF(AH!$U$5=1,IFERROR(MATCH($A1721,'Live History'!$A$5:$A$3004,0),0),AH!$U$7+1716))</f>
        <v/>
      </c>
      <c r="L1721" s="15">
        <f>IF(ISNUMBER(A1721),TEXT(A1721,"dd-mmm-yy"),"")</f>
        <v/>
      </c>
    </row>
    <row r="1722">
      <c r="A1722" s="14">
        <f>IF(OR(AH!$U$4=0,1717+1&gt;AH!$U$6,AND(AH!$M$5="Bloomberg",AH!$U$5=0)),"",IFERROR(IF(AND(AH!$U$12=1,1717+1=AH!$U$6),TODAY(),IF(AH!$U$5=1,INDEX('Live History'!$A$5:$A$3004,AH!$U$7+1717),INDEX('AH History'!$A$5:$A$1380,AH!$U$7+1717))),""))</f>
        <v/>
      </c>
      <c r="B1722" s="33">
        <f>IFERROR(IF(AH!$U$11=1,NA(),$J1722/$E1722-1),NA())</f>
        <v/>
      </c>
      <c r="C1722" s="269">
        <f>IFERROR(100*$E1722/$E$5,NA())</f>
        <v/>
      </c>
      <c r="D1722" s="269">
        <f>IFERROR(100*$J1722/$J$5,NA())</f>
        <v/>
      </c>
      <c r="E1722" s="32">
        <f>IFERROR(IF(AND(ISNUMBER($A1722),N(IF(AND(AH!$U$12=1,1717+1=AH!$U$6),IF(AH!$U$4=0,"unavailable",INDEX('Market Data'!$AN$5:$AN$66,AH!$U$4)),IF(AH!$U$5=1,INDEX('Live History'!$B$5:$B$3004,$K1722),INDEX('AH History'!$D$5:$GG$1380,$K1722,AH!$U$10))))&gt;0),IF(AND(AH!$U$12=1,1717+1=AH!$U$6),IF(AH!$U$4=0,"unavailable",INDEX('Market Data'!$AN$5:$AN$66,AH!$U$4)),IF(AH!$U$5=1,INDEX('Live History'!$B$5:$B$3004,$K1722),INDEX('AH History'!$D$5:$GG$1380,$K1722,AH!$U$10))),NA()),NA())</f>
        <v/>
      </c>
      <c r="F1722" s="32">
        <f>IFERROR(IF(ISNUMBER($A1722),IF(AND(AH!$U$12=1,1717+1=AH!$U$6),IF(AH!$U$4=0,"unavailable",INDEX('Market Data'!$AO$5:$AO$66,AH!$U$4)),IF(AH!$U$5=1,INDEX('Live History'!$E$5:$E$3004,MATCH($A1722,'Live History'!$D$5:$D$3004,1)),INDEX('AH History'!$D$5:$GG$1380,$K1722,AH!$U$10+1))),NA()),NA())</f>
        <v/>
      </c>
      <c r="G1722" s="34">
        <f>IFERROR(IF(ISNUMBER($A1722),IF(AND(AH!$U$12=1,1717+1=AH!$U$6),IF(AH!$U$4=0,"unavailable",INDEX('Market Data'!$AK$5:$AK$66,AH!$U$4)),IF(AH!$U$5=1,INDEX('Live History'!$D$5:$D$3004,MATCH($A1722,'Live History'!$D$5:$D$3004,1)),INDEX('AH History'!$D$5:$GG$1380,$K1722,AH!$U$10+2))),NA()),NA())</f>
        <v/>
      </c>
      <c r="H1722" s="266">
        <f>IFERROR(IF(ISNUMBER($A1722),IF(AND(AH!$U$12=1,1717+1=AH!$U$6),IF(AH!$U$4=0,"unavailable",INDEX('Market Data'!$AP$5:$AP$66,AH!$U$4)),IF(AH!$U$5=1,INDEX('Live History'!$H$5:$H$3004,MATCH($A1722,'Live History'!$G$5:$G$3004,1)),INDEX('AH History'!$B$5:$B$1380,$K1722))),NA()),NA())</f>
        <v/>
      </c>
      <c r="I1722" s="34">
        <f>IFERROR(IF(ISNUMBER($A1722),IF(AND(AH!$U$12=1,1717+1=AH!$U$6),TODAY(),IF(AH!$U$5=1,INDEX('Live History'!$G$5:$G$3004,MATCH($A1722,'Live History'!$G$5:$G$3004,1)),INDEX('AH History'!$C$5:$C$1380,$K1722))),NA()),NA())</f>
        <v/>
      </c>
      <c r="J1722" s="32">
        <f>IFERROR(IF(AND($F1722&gt;0,$H1722&gt;0,$A1722-$G1722&lt;=10,$A1722-$I1722&lt;=5,$G1722&gt;0,$I1722&gt;0),$F1722*$H1722,NA()),NA())</f>
        <v/>
      </c>
      <c r="K1722" s="15">
        <f>IF($A1722="","",IF(AH!$U$5=1,IFERROR(MATCH($A1722,'Live History'!$A$5:$A$3004,0),0),AH!$U$7+1717))</f>
        <v/>
      </c>
      <c r="L1722" s="15">
        <f>IF(ISNUMBER(A1722),TEXT(A1722,"dd-mmm-yy"),"")</f>
        <v/>
      </c>
    </row>
    <row r="1723">
      <c r="A1723" s="14">
        <f>IF(OR(AH!$U$4=0,1718+1&gt;AH!$U$6,AND(AH!$M$5="Bloomberg",AH!$U$5=0)),"",IFERROR(IF(AND(AH!$U$12=1,1718+1=AH!$U$6),TODAY(),IF(AH!$U$5=1,INDEX('Live History'!$A$5:$A$3004,AH!$U$7+1718),INDEX('AH History'!$A$5:$A$1380,AH!$U$7+1718))),""))</f>
        <v/>
      </c>
      <c r="B1723" s="33">
        <f>IFERROR(IF(AH!$U$11=1,NA(),$J1723/$E1723-1),NA())</f>
        <v/>
      </c>
      <c r="C1723" s="269">
        <f>IFERROR(100*$E1723/$E$5,NA())</f>
        <v/>
      </c>
      <c r="D1723" s="269">
        <f>IFERROR(100*$J1723/$J$5,NA())</f>
        <v/>
      </c>
      <c r="E1723" s="32">
        <f>IFERROR(IF(AND(ISNUMBER($A1723),N(IF(AND(AH!$U$12=1,1718+1=AH!$U$6),IF(AH!$U$4=0,"unavailable",INDEX('Market Data'!$AN$5:$AN$66,AH!$U$4)),IF(AH!$U$5=1,INDEX('Live History'!$B$5:$B$3004,$K1723),INDEX('AH History'!$D$5:$GG$1380,$K1723,AH!$U$10))))&gt;0),IF(AND(AH!$U$12=1,1718+1=AH!$U$6),IF(AH!$U$4=0,"unavailable",INDEX('Market Data'!$AN$5:$AN$66,AH!$U$4)),IF(AH!$U$5=1,INDEX('Live History'!$B$5:$B$3004,$K1723),INDEX('AH History'!$D$5:$GG$1380,$K1723,AH!$U$10))),NA()),NA())</f>
        <v/>
      </c>
      <c r="F1723" s="32">
        <f>IFERROR(IF(ISNUMBER($A1723),IF(AND(AH!$U$12=1,1718+1=AH!$U$6),IF(AH!$U$4=0,"unavailable",INDEX('Market Data'!$AO$5:$AO$66,AH!$U$4)),IF(AH!$U$5=1,INDEX('Live History'!$E$5:$E$3004,MATCH($A1723,'Live History'!$D$5:$D$3004,1)),INDEX('AH History'!$D$5:$GG$1380,$K1723,AH!$U$10+1))),NA()),NA())</f>
        <v/>
      </c>
      <c r="G1723" s="34">
        <f>IFERROR(IF(ISNUMBER($A1723),IF(AND(AH!$U$12=1,1718+1=AH!$U$6),IF(AH!$U$4=0,"unavailable",INDEX('Market Data'!$AK$5:$AK$66,AH!$U$4)),IF(AH!$U$5=1,INDEX('Live History'!$D$5:$D$3004,MATCH($A1723,'Live History'!$D$5:$D$3004,1)),INDEX('AH History'!$D$5:$GG$1380,$K1723,AH!$U$10+2))),NA()),NA())</f>
        <v/>
      </c>
      <c r="H1723" s="266">
        <f>IFERROR(IF(ISNUMBER($A1723),IF(AND(AH!$U$12=1,1718+1=AH!$U$6),IF(AH!$U$4=0,"unavailable",INDEX('Market Data'!$AP$5:$AP$66,AH!$U$4)),IF(AH!$U$5=1,INDEX('Live History'!$H$5:$H$3004,MATCH($A1723,'Live History'!$G$5:$G$3004,1)),INDEX('AH History'!$B$5:$B$1380,$K1723))),NA()),NA())</f>
        <v/>
      </c>
      <c r="I1723" s="34">
        <f>IFERROR(IF(ISNUMBER($A1723),IF(AND(AH!$U$12=1,1718+1=AH!$U$6),TODAY(),IF(AH!$U$5=1,INDEX('Live History'!$G$5:$G$3004,MATCH($A1723,'Live History'!$G$5:$G$3004,1)),INDEX('AH History'!$C$5:$C$1380,$K1723))),NA()),NA())</f>
        <v/>
      </c>
      <c r="J1723" s="32">
        <f>IFERROR(IF(AND($F1723&gt;0,$H1723&gt;0,$A1723-$G1723&lt;=10,$A1723-$I1723&lt;=5,$G1723&gt;0,$I1723&gt;0),$F1723*$H1723,NA()),NA())</f>
        <v/>
      </c>
      <c r="K1723" s="15">
        <f>IF($A1723="","",IF(AH!$U$5=1,IFERROR(MATCH($A1723,'Live History'!$A$5:$A$3004,0),0),AH!$U$7+1718))</f>
        <v/>
      </c>
      <c r="L1723" s="15">
        <f>IF(ISNUMBER(A1723),TEXT(A1723,"dd-mmm-yy"),"")</f>
        <v/>
      </c>
    </row>
    <row r="1724">
      <c r="A1724" s="14">
        <f>IF(OR(AH!$U$4=0,1719+1&gt;AH!$U$6,AND(AH!$M$5="Bloomberg",AH!$U$5=0)),"",IFERROR(IF(AND(AH!$U$12=1,1719+1=AH!$U$6),TODAY(),IF(AH!$U$5=1,INDEX('Live History'!$A$5:$A$3004,AH!$U$7+1719),INDEX('AH History'!$A$5:$A$1380,AH!$U$7+1719))),""))</f>
        <v/>
      </c>
      <c r="B1724" s="33">
        <f>IFERROR(IF(AH!$U$11=1,NA(),$J1724/$E1724-1),NA())</f>
        <v/>
      </c>
      <c r="C1724" s="269">
        <f>IFERROR(100*$E1724/$E$5,NA())</f>
        <v/>
      </c>
      <c r="D1724" s="269">
        <f>IFERROR(100*$J1724/$J$5,NA())</f>
        <v/>
      </c>
      <c r="E1724" s="32">
        <f>IFERROR(IF(AND(ISNUMBER($A1724),N(IF(AND(AH!$U$12=1,1719+1=AH!$U$6),IF(AH!$U$4=0,"unavailable",INDEX('Market Data'!$AN$5:$AN$66,AH!$U$4)),IF(AH!$U$5=1,INDEX('Live History'!$B$5:$B$3004,$K1724),INDEX('AH History'!$D$5:$GG$1380,$K1724,AH!$U$10))))&gt;0),IF(AND(AH!$U$12=1,1719+1=AH!$U$6),IF(AH!$U$4=0,"unavailable",INDEX('Market Data'!$AN$5:$AN$66,AH!$U$4)),IF(AH!$U$5=1,INDEX('Live History'!$B$5:$B$3004,$K1724),INDEX('AH History'!$D$5:$GG$1380,$K1724,AH!$U$10))),NA()),NA())</f>
        <v/>
      </c>
      <c r="F1724" s="32">
        <f>IFERROR(IF(ISNUMBER($A1724),IF(AND(AH!$U$12=1,1719+1=AH!$U$6),IF(AH!$U$4=0,"unavailable",INDEX('Market Data'!$AO$5:$AO$66,AH!$U$4)),IF(AH!$U$5=1,INDEX('Live History'!$E$5:$E$3004,MATCH($A1724,'Live History'!$D$5:$D$3004,1)),INDEX('AH History'!$D$5:$GG$1380,$K1724,AH!$U$10+1))),NA()),NA())</f>
        <v/>
      </c>
      <c r="G1724" s="34">
        <f>IFERROR(IF(ISNUMBER($A1724),IF(AND(AH!$U$12=1,1719+1=AH!$U$6),IF(AH!$U$4=0,"unavailable",INDEX('Market Data'!$AK$5:$AK$66,AH!$U$4)),IF(AH!$U$5=1,INDEX('Live History'!$D$5:$D$3004,MATCH($A1724,'Live History'!$D$5:$D$3004,1)),INDEX('AH History'!$D$5:$GG$1380,$K1724,AH!$U$10+2))),NA()),NA())</f>
        <v/>
      </c>
      <c r="H1724" s="266">
        <f>IFERROR(IF(ISNUMBER($A1724),IF(AND(AH!$U$12=1,1719+1=AH!$U$6),IF(AH!$U$4=0,"unavailable",INDEX('Market Data'!$AP$5:$AP$66,AH!$U$4)),IF(AH!$U$5=1,INDEX('Live History'!$H$5:$H$3004,MATCH($A1724,'Live History'!$G$5:$G$3004,1)),INDEX('AH History'!$B$5:$B$1380,$K1724))),NA()),NA())</f>
        <v/>
      </c>
      <c r="I1724" s="34">
        <f>IFERROR(IF(ISNUMBER($A1724),IF(AND(AH!$U$12=1,1719+1=AH!$U$6),TODAY(),IF(AH!$U$5=1,INDEX('Live History'!$G$5:$G$3004,MATCH($A1724,'Live History'!$G$5:$G$3004,1)),INDEX('AH History'!$C$5:$C$1380,$K1724))),NA()),NA())</f>
        <v/>
      </c>
      <c r="J1724" s="32">
        <f>IFERROR(IF(AND($F1724&gt;0,$H1724&gt;0,$A1724-$G1724&lt;=10,$A1724-$I1724&lt;=5,$G1724&gt;0,$I1724&gt;0),$F1724*$H1724,NA()),NA())</f>
        <v/>
      </c>
      <c r="K1724" s="15">
        <f>IF($A1724="","",IF(AH!$U$5=1,IFERROR(MATCH($A1724,'Live History'!$A$5:$A$3004,0),0),AH!$U$7+1719))</f>
        <v/>
      </c>
      <c r="L1724" s="15">
        <f>IF(ISNUMBER(A1724),TEXT(A1724,"dd-mmm-yy"),"")</f>
        <v/>
      </c>
    </row>
    <row r="1725">
      <c r="A1725" s="14">
        <f>IF(OR(AH!$U$4=0,1720+1&gt;AH!$U$6,AND(AH!$M$5="Bloomberg",AH!$U$5=0)),"",IFERROR(IF(AND(AH!$U$12=1,1720+1=AH!$U$6),TODAY(),IF(AH!$U$5=1,INDEX('Live History'!$A$5:$A$3004,AH!$U$7+1720),INDEX('AH History'!$A$5:$A$1380,AH!$U$7+1720))),""))</f>
        <v/>
      </c>
      <c r="B1725" s="33">
        <f>IFERROR(IF(AH!$U$11=1,NA(),$J1725/$E1725-1),NA())</f>
        <v/>
      </c>
      <c r="C1725" s="269">
        <f>IFERROR(100*$E1725/$E$5,NA())</f>
        <v/>
      </c>
      <c r="D1725" s="269">
        <f>IFERROR(100*$J1725/$J$5,NA())</f>
        <v/>
      </c>
      <c r="E1725" s="32">
        <f>IFERROR(IF(AND(ISNUMBER($A1725),N(IF(AND(AH!$U$12=1,1720+1=AH!$U$6),IF(AH!$U$4=0,"unavailable",INDEX('Market Data'!$AN$5:$AN$66,AH!$U$4)),IF(AH!$U$5=1,INDEX('Live History'!$B$5:$B$3004,$K1725),INDEX('AH History'!$D$5:$GG$1380,$K1725,AH!$U$10))))&gt;0),IF(AND(AH!$U$12=1,1720+1=AH!$U$6),IF(AH!$U$4=0,"unavailable",INDEX('Market Data'!$AN$5:$AN$66,AH!$U$4)),IF(AH!$U$5=1,INDEX('Live History'!$B$5:$B$3004,$K1725),INDEX('AH History'!$D$5:$GG$1380,$K1725,AH!$U$10))),NA()),NA())</f>
        <v/>
      </c>
      <c r="F1725" s="32">
        <f>IFERROR(IF(ISNUMBER($A1725),IF(AND(AH!$U$12=1,1720+1=AH!$U$6),IF(AH!$U$4=0,"unavailable",INDEX('Market Data'!$AO$5:$AO$66,AH!$U$4)),IF(AH!$U$5=1,INDEX('Live History'!$E$5:$E$3004,MATCH($A1725,'Live History'!$D$5:$D$3004,1)),INDEX('AH History'!$D$5:$GG$1380,$K1725,AH!$U$10+1))),NA()),NA())</f>
        <v/>
      </c>
      <c r="G1725" s="34">
        <f>IFERROR(IF(ISNUMBER($A1725),IF(AND(AH!$U$12=1,1720+1=AH!$U$6),IF(AH!$U$4=0,"unavailable",INDEX('Market Data'!$AK$5:$AK$66,AH!$U$4)),IF(AH!$U$5=1,INDEX('Live History'!$D$5:$D$3004,MATCH($A1725,'Live History'!$D$5:$D$3004,1)),INDEX('AH History'!$D$5:$GG$1380,$K1725,AH!$U$10+2))),NA()),NA())</f>
        <v/>
      </c>
      <c r="H1725" s="266">
        <f>IFERROR(IF(ISNUMBER($A1725),IF(AND(AH!$U$12=1,1720+1=AH!$U$6),IF(AH!$U$4=0,"unavailable",INDEX('Market Data'!$AP$5:$AP$66,AH!$U$4)),IF(AH!$U$5=1,INDEX('Live History'!$H$5:$H$3004,MATCH($A1725,'Live History'!$G$5:$G$3004,1)),INDEX('AH History'!$B$5:$B$1380,$K1725))),NA()),NA())</f>
        <v/>
      </c>
      <c r="I1725" s="34">
        <f>IFERROR(IF(ISNUMBER($A1725),IF(AND(AH!$U$12=1,1720+1=AH!$U$6),TODAY(),IF(AH!$U$5=1,INDEX('Live History'!$G$5:$G$3004,MATCH($A1725,'Live History'!$G$5:$G$3004,1)),INDEX('AH History'!$C$5:$C$1380,$K1725))),NA()),NA())</f>
        <v/>
      </c>
      <c r="J1725" s="32">
        <f>IFERROR(IF(AND($F1725&gt;0,$H1725&gt;0,$A1725-$G1725&lt;=10,$A1725-$I1725&lt;=5,$G1725&gt;0,$I1725&gt;0),$F1725*$H1725,NA()),NA())</f>
        <v/>
      </c>
      <c r="K1725" s="15">
        <f>IF($A1725="","",IF(AH!$U$5=1,IFERROR(MATCH($A1725,'Live History'!$A$5:$A$3004,0),0),AH!$U$7+1720))</f>
        <v/>
      </c>
      <c r="L1725" s="15">
        <f>IF(ISNUMBER(A1725),TEXT(A1725,"dd-mmm-yy"),"")</f>
        <v/>
      </c>
    </row>
    <row r="1726">
      <c r="A1726" s="14">
        <f>IF(OR(AH!$U$4=0,1721+1&gt;AH!$U$6,AND(AH!$M$5="Bloomberg",AH!$U$5=0)),"",IFERROR(IF(AND(AH!$U$12=1,1721+1=AH!$U$6),TODAY(),IF(AH!$U$5=1,INDEX('Live History'!$A$5:$A$3004,AH!$U$7+1721),INDEX('AH History'!$A$5:$A$1380,AH!$U$7+1721))),""))</f>
        <v/>
      </c>
      <c r="B1726" s="33">
        <f>IFERROR(IF(AH!$U$11=1,NA(),$J1726/$E1726-1),NA())</f>
        <v/>
      </c>
      <c r="C1726" s="269">
        <f>IFERROR(100*$E1726/$E$5,NA())</f>
        <v/>
      </c>
      <c r="D1726" s="269">
        <f>IFERROR(100*$J1726/$J$5,NA())</f>
        <v/>
      </c>
      <c r="E1726" s="32">
        <f>IFERROR(IF(AND(ISNUMBER($A1726),N(IF(AND(AH!$U$12=1,1721+1=AH!$U$6),IF(AH!$U$4=0,"unavailable",INDEX('Market Data'!$AN$5:$AN$66,AH!$U$4)),IF(AH!$U$5=1,INDEX('Live History'!$B$5:$B$3004,$K1726),INDEX('AH History'!$D$5:$GG$1380,$K1726,AH!$U$10))))&gt;0),IF(AND(AH!$U$12=1,1721+1=AH!$U$6),IF(AH!$U$4=0,"unavailable",INDEX('Market Data'!$AN$5:$AN$66,AH!$U$4)),IF(AH!$U$5=1,INDEX('Live History'!$B$5:$B$3004,$K1726),INDEX('AH History'!$D$5:$GG$1380,$K1726,AH!$U$10))),NA()),NA())</f>
        <v/>
      </c>
      <c r="F1726" s="32">
        <f>IFERROR(IF(ISNUMBER($A1726),IF(AND(AH!$U$12=1,1721+1=AH!$U$6),IF(AH!$U$4=0,"unavailable",INDEX('Market Data'!$AO$5:$AO$66,AH!$U$4)),IF(AH!$U$5=1,INDEX('Live History'!$E$5:$E$3004,MATCH($A1726,'Live History'!$D$5:$D$3004,1)),INDEX('AH History'!$D$5:$GG$1380,$K1726,AH!$U$10+1))),NA()),NA())</f>
        <v/>
      </c>
      <c r="G1726" s="34">
        <f>IFERROR(IF(ISNUMBER($A1726),IF(AND(AH!$U$12=1,1721+1=AH!$U$6),IF(AH!$U$4=0,"unavailable",INDEX('Market Data'!$AK$5:$AK$66,AH!$U$4)),IF(AH!$U$5=1,INDEX('Live History'!$D$5:$D$3004,MATCH($A1726,'Live History'!$D$5:$D$3004,1)),INDEX('AH History'!$D$5:$GG$1380,$K1726,AH!$U$10+2))),NA()),NA())</f>
        <v/>
      </c>
      <c r="H1726" s="266">
        <f>IFERROR(IF(ISNUMBER($A1726),IF(AND(AH!$U$12=1,1721+1=AH!$U$6),IF(AH!$U$4=0,"unavailable",INDEX('Market Data'!$AP$5:$AP$66,AH!$U$4)),IF(AH!$U$5=1,INDEX('Live History'!$H$5:$H$3004,MATCH($A1726,'Live History'!$G$5:$G$3004,1)),INDEX('AH History'!$B$5:$B$1380,$K1726))),NA()),NA())</f>
        <v/>
      </c>
      <c r="I1726" s="34">
        <f>IFERROR(IF(ISNUMBER($A1726),IF(AND(AH!$U$12=1,1721+1=AH!$U$6),TODAY(),IF(AH!$U$5=1,INDEX('Live History'!$G$5:$G$3004,MATCH($A1726,'Live History'!$G$5:$G$3004,1)),INDEX('AH History'!$C$5:$C$1380,$K1726))),NA()),NA())</f>
        <v/>
      </c>
      <c r="J1726" s="32">
        <f>IFERROR(IF(AND($F1726&gt;0,$H1726&gt;0,$A1726-$G1726&lt;=10,$A1726-$I1726&lt;=5,$G1726&gt;0,$I1726&gt;0),$F1726*$H1726,NA()),NA())</f>
        <v/>
      </c>
      <c r="K1726" s="15">
        <f>IF($A1726="","",IF(AH!$U$5=1,IFERROR(MATCH($A1726,'Live History'!$A$5:$A$3004,0),0),AH!$U$7+1721))</f>
        <v/>
      </c>
      <c r="L1726" s="15">
        <f>IF(ISNUMBER(A1726),TEXT(A1726,"dd-mmm-yy"),"")</f>
        <v/>
      </c>
    </row>
    <row r="1727">
      <c r="A1727" s="14">
        <f>IF(OR(AH!$U$4=0,1722+1&gt;AH!$U$6,AND(AH!$M$5="Bloomberg",AH!$U$5=0)),"",IFERROR(IF(AND(AH!$U$12=1,1722+1=AH!$U$6),TODAY(),IF(AH!$U$5=1,INDEX('Live History'!$A$5:$A$3004,AH!$U$7+1722),INDEX('AH History'!$A$5:$A$1380,AH!$U$7+1722))),""))</f>
        <v/>
      </c>
      <c r="B1727" s="33">
        <f>IFERROR(IF(AH!$U$11=1,NA(),$J1727/$E1727-1),NA())</f>
        <v/>
      </c>
      <c r="C1727" s="269">
        <f>IFERROR(100*$E1727/$E$5,NA())</f>
        <v/>
      </c>
      <c r="D1727" s="269">
        <f>IFERROR(100*$J1727/$J$5,NA())</f>
        <v/>
      </c>
      <c r="E1727" s="32">
        <f>IFERROR(IF(AND(ISNUMBER($A1727),N(IF(AND(AH!$U$12=1,1722+1=AH!$U$6),IF(AH!$U$4=0,"unavailable",INDEX('Market Data'!$AN$5:$AN$66,AH!$U$4)),IF(AH!$U$5=1,INDEX('Live History'!$B$5:$B$3004,$K1727),INDEX('AH History'!$D$5:$GG$1380,$K1727,AH!$U$10))))&gt;0),IF(AND(AH!$U$12=1,1722+1=AH!$U$6),IF(AH!$U$4=0,"unavailable",INDEX('Market Data'!$AN$5:$AN$66,AH!$U$4)),IF(AH!$U$5=1,INDEX('Live History'!$B$5:$B$3004,$K1727),INDEX('AH History'!$D$5:$GG$1380,$K1727,AH!$U$10))),NA()),NA())</f>
        <v/>
      </c>
      <c r="F1727" s="32">
        <f>IFERROR(IF(ISNUMBER($A1727),IF(AND(AH!$U$12=1,1722+1=AH!$U$6),IF(AH!$U$4=0,"unavailable",INDEX('Market Data'!$AO$5:$AO$66,AH!$U$4)),IF(AH!$U$5=1,INDEX('Live History'!$E$5:$E$3004,MATCH($A1727,'Live History'!$D$5:$D$3004,1)),INDEX('AH History'!$D$5:$GG$1380,$K1727,AH!$U$10+1))),NA()),NA())</f>
        <v/>
      </c>
      <c r="G1727" s="34">
        <f>IFERROR(IF(ISNUMBER($A1727),IF(AND(AH!$U$12=1,1722+1=AH!$U$6),IF(AH!$U$4=0,"unavailable",INDEX('Market Data'!$AK$5:$AK$66,AH!$U$4)),IF(AH!$U$5=1,INDEX('Live History'!$D$5:$D$3004,MATCH($A1727,'Live History'!$D$5:$D$3004,1)),INDEX('AH History'!$D$5:$GG$1380,$K1727,AH!$U$10+2))),NA()),NA())</f>
        <v/>
      </c>
      <c r="H1727" s="266">
        <f>IFERROR(IF(ISNUMBER($A1727),IF(AND(AH!$U$12=1,1722+1=AH!$U$6),IF(AH!$U$4=0,"unavailable",INDEX('Market Data'!$AP$5:$AP$66,AH!$U$4)),IF(AH!$U$5=1,INDEX('Live History'!$H$5:$H$3004,MATCH($A1727,'Live History'!$G$5:$G$3004,1)),INDEX('AH History'!$B$5:$B$1380,$K1727))),NA()),NA())</f>
        <v/>
      </c>
      <c r="I1727" s="34">
        <f>IFERROR(IF(ISNUMBER($A1727),IF(AND(AH!$U$12=1,1722+1=AH!$U$6),TODAY(),IF(AH!$U$5=1,INDEX('Live History'!$G$5:$G$3004,MATCH($A1727,'Live History'!$G$5:$G$3004,1)),INDEX('AH History'!$C$5:$C$1380,$K1727))),NA()),NA())</f>
        <v/>
      </c>
      <c r="J1727" s="32">
        <f>IFERROR(IF(AND($F1727&gt;0,$H1727&gt;0,$A1727-$G1727&lt;=10,$A1727-$I1727&lt;=5,$G1727&gt;0,$I1727&gt;0),$F1727*$H1727,NA()),NA())</f>
        <v/>
      </c>
      <c r="K1727" s="15">
        <f>IF($A1727="","",IF(AH!$U$5=1,IFERROR(MATCH($A1727,'Live History'!$A$5:$A$3004,0),0),AH!$U$7+1722))</f>
        <v/>
      </c>
      <c r="L1727" s="15">
        <f>IF(ISNUMBER(A1727),TEXT(A1727,"dd-mmm-yy"),"")</f>
        <v/>
      </c>
    </row>
    <row r="1728">
      <c r="A1728" s="14">
        <f>IF(OR(AH!$U$4=0,1723+1&gt;AH!$U$6,AND(AH!$M$5="Bloomberg",AH!$U$5=0)),"",IFERROR(IF(AND(AH!$U$12=1,1723+1=AH!$U$6),TODAY(),IF(AH!$U$5=1,INDEX('Live History'!$A$5:$A$3004,AH!$U$7+1723),INDEX('AH History'!$A$5:$A$1380,AH!$U$7+1723))),""))</f>
        <v/>
      </c>
      <c r="B1728" s="33">
        <f>IFERROR(IF(AH!$U$11=1,NA(),$J1728/$E1728-1),NA())</f>
        <v/>
      </c>
      <c r="C1728" s="269">
        <f>IFERROR(100*$E1728/$E$5,NA())</f>
        <v/>
      </c>
      <c r="D1728" s="269">
        <f>IFERROR(100*$J1728/$J$5,NA())</f>
        <v/>
      </c>
      <c r="E1728" s="32">
        <f>IFERROR(IF(AND(ISNUMBER($A1728),N(IF(AND(AH!$U$12=1,1723+1=AH!$U$6),IF(AH!$U$4=0,"unavailable",INDEX('Market Data'!$AN$5:$AN$66,AH!$U$4)),IF(AH!$U$5=1,INDEX('Live History'!$B$5:$B$3004,$K1728),INDEX('AH History'!$D$5:$GG$1380,$K1728,AH!$U$10))))&gt;0),IF(AND(AH!$U$12=1,1723+1=AH!$U$6),IF(AH!$U$4=0,"unavailable",INDEX('Market Data'!$AN$5:$AN$66,AH!$U$4)),IF(AH!$U$5=1,INDEX('Live History'!$B$5:$B$3004,$K1728),INDEX('AH History'!$D$5:$GG$1380,$K1728,AH!$U$10))),NA()),NA())</f>
        <v/>
      </c>
      <c r="F1728" s="32">
        <f>IFERROR(IF(ISNUMBER($A1728),IF(AND(AH!$U$12=1,1723+1=AH!$U$6),IF(AH!$U$4=0,"unavailable",INDEX('Market Data'!$AO$5:$AO$66,AH!$U$4)),IF(AH!$U$5=1,INDEX('Live History'!$E$5:$E$3004,MATCH($A1728,'Live History'!$D$5:$D$3004,1)),INDEX('AH History'!$D$5:$GG$1380,$K1728,AH!$U$10+1))),NA()),NA())</f>
        <v/>
      </c>
      <c r="G1728" s="34">
        <f>IFERROR(IF(ISNUMBER($A1728),IF(AND(AH!$U$12=1,1723+1=AH!$U$6),IF(AH!$U$4=0,"unavailable",INDEX('Market Data'!$AK$5:$AK$66,AH!$U$4)),IF(AH!$U$5=1,INDEX('Live History'!$D$5:$D$3004,MATCH($A1728,'Live History'!$D$5:$D$3004,1)),INDEX('AH History'!$D$5:$GG$1380,$K1728,AH!$U$10+2))),NA()),NA())</f>
        <v/>
      </c>
      <c r="H1728" s="266">
        <f>IFERROR(IF(ISNUMBER($A1728),IF(AND(AH!$U$12=1,1723+1=AH!$U$6),IF(AH!$U$4=0,"unavailable",INDEX('Market Data'!$AP$5:$AP$66,AH!$U$4)),IF(AH!$U$5=1,INDEX('Live History'!$H$5:$H$3004,MATCH($A1728,'Live History'!$G$5:$G$3004,1)),INDEX('AH History'!$B$5:$B$1380,$K1728))),NA()),NA())</f>
        <v/>
      </c>
      <c r="I1728" s="34">
        <f>IFERROR(IF(ISNUMBER($A1728),IF(AND(AH!$U$12=1,1723+1=AH!$U$6),TODAY(),IF(AH!$U$5=1,INDEX('Live History'!$G$5:$G$3004,MATCH($A1728,'Live History'!$G$5:$G$3004,1)),INDEX('AH History'!$C$5:$C$1380,$K1728))),NA()),NA())</f>
        <v/>
      </c>
      <c r="J1728" s="32">
        <f>IFERROR(IF(AND($F1728&gt;0,$H1728&gt;0,$A1728-$G1728&lt;=10,$A1728-$I1728&lt;=5,$G1728&gt;0,$I1728&gt;0),$F1728*$H1728,NA()),NA())</f>
        <v/>
      </c>
      <c r="K1728" s="15">
        <f>IF($A1728="","",IF(AH!$U$5=1,IFERROR(MATCH($A1728,'Live History'!$A$5:$A$3004,0),0),AH!$U$7+1723))</f>
        <v/>
      </c>
      <c r="L1728" s="15">
        <f>IF(ISNUMBER(A1728),TEXT(A1728,"dd-mmm-yy"),"")</f>
        <v/>
      </c>
    </row>
    <row r="1729">
      <c r="A1729" s="14">
        <f>IF(OR(AH!$U$4=0,1724+1&gt;AH!$U$6,AND(AH!$M$5="Bloomberg",AH!$U$5=0)),"",IFERROR(IF(AND(AH!$U$12=1,1724+1=AH!$U$6),TODAY(),IF(AH!$U$5=1,INDEX('Live History'!$A$5:$A$3004,AH!$U$7+1724),INDEX('AH History'!$A$5:$A$1380,AH!$U$7+1724))),""))</f>
        <v/>
      </c>
      <c r="B1729" s="33">
        <f>IFERROR(IF(AH!$U$11=1,NA(),$J1729/$E1729-1),NA())</f>
        <v/>
      </c>
      <c r="C1729" s="269">
        <f>IFERROR(100*$E1729/$E$5,NA())</f>
        <v/>
      </c>
      <c r="D1729" s="269">
        <f>IFERROR(100*$J1729/$J$5,NA())</f>
        <v/>
      </c>
      <c r="E1729" s="32">
        <f>IFERROR(IF(AND(ISNUMBER($A1729),N(IF(AND(AH!$U$12=1,1724+1=AH!$U$6),IF(AH!$U$4=0,"unavailable",INDEX('Market Data'!$AN$5:$AN$66,AH!$U$4)),IF(AH!$U$5=1,INDEX('Live History'!$B$5:$B$3004,$K1729),INDEX('AH History'!$D$5:$GG$1380,$K1729,AH!$U$10))))&gt;0),IF(AND(AH!$U$12=1,1724+1=AH!$U$6),IF(AH!$U$4=0,"unavailable",INDEX('Market Data'!$AN$5:$AN$66,AH!$U$4)),IF(AH!$U$5=1,INDEX('Live History'!$B$5:$B$3004,$K1729),INDEX('AH History'!$D$5:$GG$1380,$K1729,AH!$U$10))),NA()),NA())</f>
        <v/>
      </c>
      <c r="F1729" s="32">
        <f>IFERROR(IF(ISNUMBER($A1729),IF(AND(AH!$U$12=1,1724+1=AH!$U$6),IF(AH!$U$4=0,"unavailable",INDEX('Market Data'!$AO$5:$AO$66,AH!$U$4)),IF(AH!$U$5=1,INDEX('Live History'!$E$5:$E$3004,MATCH($A1729,'Live History'!$D$5:$D$3004,1)),INDEX('AH History'!$D$5:$GG$1380,$K1729,AH!$U$10+1))),NA()),NA())</f>
        <v/>
      </c>
      <c r="G1729" s="34">
        <f>IFERROR(IF(ISNUMBER($A1729),IF(AND(AH!$U$12=1,1724+1=AH!$U$6),IF(AH!$U$4=0,"unavailable",INDEX('Market Data'!$AK$5:$AK$66,AH!$U$4)),IF(AH!$U$5=1,INDEX('Live History'!$D$5:$D$3004,MATCH($A1729,'Live History'!$D$5:$D$3004,1)),INDEX('AH History'!$D$5:$GG$1380,$K1729,AH!$U$10+2))),NA()),NA())</f>
        <v/>
      </c>
      <c r="H1729" s="266">
        <f>IFERROR(IF(ISNUMBER($A1729),IF(AND(AH!$U$12=1,1724+1=AH!$U$6),IF(AH!$U$4=0,"unavailable",INDEX('Market Data'!$AP$5:$AP$66,AH!$U$4)),IF(AH!$U$5=1,INDEX('Live History'!$H$5:$H$3004,MATCH($A1729,'Live History'!$G$5:$G$3004,1)),INDEX('AH History'!$B$5:$B$1380,$K1729))),NA()),NA())</f>
        <v/>
      </c>
      <c r="I1729" s="34">
        <f>IFERROR(IF(ISNUMBER($A1729),IF(AND(AH!$U$12=1,1724+1=AH!$U$6),TODAY(),IF(AH!$U$5=1,INDEX('Live History'!$G$5:$G$3004,MATCH($A1729,'Live History'!$G$5:$G$3004,1)),INDEX('AH History'!$C$5:$C$1380,$K1729))),NA()),NA())</f>
        <v/>
      </c>
      <c r="J1729" s="32">
        <f>IFERROR(IF(AND($F1729&gt;0,$H1729&gt;0,$A1729-$G1729&lt;=10,$A1729-$I1729&lt;=5,$G1729&gt;0,$I1729&gt;0),$F1729*$H1729,NA()),NA())</f>
        <v/>
      </c>
      <c r="K1729" s="15">
        <f>IF($A1729="","",IF(AH!$U$5=1,IFERROR(MATCH($A1729,'Live History'!$A$5:$A$3004,0),0),AH!$U$7+1724))</f>
        <v/>
      </c>
      <c r="L1729" s="15">
        <f>IF(ISNUMBER(A1729),TEXT(A1729,"dd-mmm-yy"),"")</f>
        <v/>
      </c>
    </row>
    <row r="1730">
      <c r="A1730" s="14">
        <f>IF(OR(AH!$U$4=0,1725+1&gt;AH!$U$6,AND(AH!$M$5="Bloomberg",AH!$U$5=0)),"",IFERROR(IF(AND(AH!$U$12=1,1725+1=AH!$U$6),TODAY(),IF(AH!$U$5=1,INDEX('Live History'!$A$5:$A$3004,AH!$U$7+1725),INDEX('AH History'!$A$5:$A$1380,AH!$U$7+1725))),""))</f>
        <v/>
      </c>
      <c r="B1730" s="33">
        <f>IFERROR(IF(AH!$U$11=1,NA(),$J1730/$E1730-1),NA())</f>
        <v/>
      </c>
      <c r="C1730" s="269">
        <f>IFERROR(100*$E1730/$E$5,NA())</f>
        <v/>
      </c>
      <c r="D1730" s="269">
        <f>IFERROR(100*$J1730/$J$5,NA())</f>
        <v/>
      </c>
      <c r="E1730" s="32">
        <f>IFERROR(IF(AND(ISNUMBER($A1730),N(IF(AND(AH!$U$12=1,1725+1=AH!$U$6),IF(AH!$U$4=0,"unavailable",INDEX('Market Data'!$AN$5:$AN$66,AH!$U$4)),IF(AH!$U$5=1,INDEX('Live History'!$B$5:$B$3004,$K1730),INDEX('AH History'!$D$5:$GG$1380,$K1730,AH!$U$10))))&gt;0),IF(AND(AH!$U$12=1,1725+1=AH!$U$6),IF(AH!$U$4=0,"unavailable",INDEX('Market Data'!$AN$5:$AN$66,AH!$U$4)),IF(AH!$U$5=1,INDEX('Live History'!$B$5:$B$3004,$K1730),INDEX('AH History'!$D$5:$GG$1380,$K1730,AH!$U$10))),NA()),NA())</f>
        <v/>
      </c>
      <c r="F1730" s="32">
        <f>IFERROR(IF(ISNUMBER($A1730),IF(AND(AH!$U$12=1,1725+1=AH!$U$6),IF(AH!$U$4=0,"unavailable",INDEX('Market Data'!$AO$5:$AO$66,AH!$U$4)),IF(AH!$U$5=1,INDEX('Live History'!$E$5:$E$3004,MATCH($A1730,'Live History'!$D$5:$D$3004,1)),INDEX('AH History'!$D$5:$GG$1380,$K1730,AH!$U$10+1))),NA()),NA())</f>
        <v/>
      </c>
      <c r="G1730" s="34">
        <f>IFERROR(IF(ISNUMBER($A1730),IF(AND(AH!$U$12=1,1725+1=AH!$U$6),IF(AH!$U$4=0,"unavailable",INDEX('Market Data'!$AK$5:$AK$66,AH!$U$4)),IF(AH!$U$5=1,INDEX('Live History'!$D$5:$D$3004,MATCH($A1730,'Live History'!$D$5:$D$3004,1)),INDEX('AH History'!$D$5:$GG$1380,$K1730,AH!$U$10+2))),NA()),NA())</f>
        <v/>
      </c>
      <c r="H1730" s="266">
        <f>IFERROR(IF(ISNUMBER($A1730),IF(AND(AH!$U$12=1,1725+1=AH!$U$6),IF(AH!$U$4=0,"unavailable",INDEX('Market Data'!$AP$5:$AP$66,AH!$U$4)),IF(AH!$U$5=1,INDEX('Live History'!$H$5:$H$3004,MATCH($A1730,'Live History'!$G$5:$G$3004,1)),INDEX('AH History'!$B$5:$B$1380,$K1730))),NA()),NA())</f>
        <v/>
      </c>
      <c r="I1730" s="34">
        <f>IFERROR(IF(ISNUMBER($A1730),IF(AND(AH!$U$12=1,1725+1=AH!$U$6),TODAY(),IF(AH!$U$5=1,INDEX('Live History'!$G$5:$G$3004,MATCH($A1730,'Live History'!$G$5:$G$3004,1)),INDEX('AH History'!$C$5:$C$1380,$K1730))),NA()),NA())</f>
        <v/>
      </c>
      <c r="J1730" s="32">
        <f>IFERROR(IF(AND($F1730&gt;0,$H1730&gt;0,$A1730-$G1730&lt;=10,$A1730-$I1730&lt;=5,$G1730&gt;0,$I1730&gt;0),$F1730*$H1730,NA()),NA())</f>
        <v/>
      </c>
      <c r="K1730" s="15">
        <f>IF($A1730="","",IF(AH!$U$5=1,IFERROR(MATCH($A1730,'Live History'!$A$5:$A$3004,0),0),AH!$U$7+1725))</f>
        <v/>
      </c>
      <c r="L1730" s="15">
        <f>IF(ISNUMBER(A1730),TEXT(A1730,"dd-mmm-yy"),"")</f>
        <v/>
      </c>
    </row>
    <row r="1731">
      <c r="A1731" s="14">
        <f>IF(OR(AH!$U$4=0,1726+1&gt;AH!$U$6,AND(AH!$M$5="Bloomberg",AH!$U$5=0)),"",IFERROR(IF(AND(AH!$U$12=1,1726+1=AH!$U$6),TODAY(),IF(AH!$U$5=1,INDEX('Live History'!$A$5:$A$3004,AH!$U$7+1726),INDEX('AH History'!$A$5:$A$1380,AH!$U$7+1726))),""))</f>
        <v/>
      </c>
      <c r="B1731" s="33">
        <f>IFERROR(IF(AH!$U$11=1,NA(),$J1731/$E1731-1),NA())</f>
        <v/>
      </c>
      <c r="C1731" s="269">
        <f>IFERROR(100*$E1731/$E$5,NA())</f>
        <v/>
      </c>
      <c r="D1731" s="269">
        <f>IFERROR(100*$J1731/$J$5,NA())</f>
        <v/>
      </c>
      <c r="E1731" s="32">
        <f>IFERROR(IF(AND(ISNUMBER($A1731),N(IF(AND(AH!$U$12=1,1726+1=AH!$U$6),IF(AH!$U$4=0,"unavailable",INDEX('Market Data'!$AN$5:$AN$66,AH!$U$4)),IF(AH!$U$5=1,INDEX('Live History'!$B$5:$B$3004,$K1731),INDEX('AH History'!$D$5:$GG$1380,$K1731,AH!$U$10))))&gt;0),IF(AND(AH!$U$12=1,1726+1=AH!$U$6),IF(AH!$U$4=0,"unavailable",INDEX('Market Data'!$AN$5:$AN$66,AH!$U$4)),IF(AH!$U$5=1,INDEX('Live History'!$B$5:$B$3004,$K1731),INDEX('AH History'!$D$5:$GG$1380,$K1731,AH!$U$10))),NA()),NA())</f>
        <v/>
      </c>
      <c r="F1731" s="32">
        <f>IFERROR(IF(ISNUMBER($A1731),IF(AND(AH!$U$12=1,1726+1=AH!$U$6),IF(AH!$U$4=0,"unavailable",INDEX('Market Data'!$AO$5:$AO$66,AH!$U$4)),IF(AH!$U$5=1,INDEX('Live History'!$E$5:$E$3004,MATCH($A1731,'Live History'!$D$5:$D$3004,1)),INDEX('AH History'!$D$5:$GG$1380,$K1731,AH!$U$10+1))),NA()),NA())</f>
        <v/>
      </c>
      <c r="G1731" s="34">
        <f>IFERROR(IF(ISNUMBER($A1731),IF(AND(AH!$U$12=1,1726+1=AH!$U$6),IF(AH!$U$4=0,"unavailable",INDEX('Market Data'!$AK$5:$AK$66,AH!$U$4)),IF(AH!$U$5=1,INDEX('Live History'!$D$5:$D$3004,MATCH($A1731,'Live History'!$D$5:$D$3004,1)),INDEX('AH History'!$D$5:$GG$1380,$K1731,AH!$U$10+2))),NA()),NA())</f>
        <v/>
      </c>
      <c r="H1731" s="266">
        <f>IFERROR(IF(ISNUMBER($A1731),IF(AND(AH!$U$12=1,1726+1=AH!$U$6),IF(AH!$U$4=0,"unavailable",INDEX('Market Data'!$AP$5:$AP$66,AH!$U$4)),IF(AH!$U$5=1,INDEX('Live History'!$H$5:$H$3004,MATCH($A1731,'Live History'!$G$5:$G$3004,1)),INDEX('AH History'!$B$5:$B$1380,$K1731))),NA()),NA())</f>
        <v/>
      </c>
      <c r="I1731" s="34">
        <f>IFERROR(IF(ISNUMBER($A1731),IF(AND(AH!$U$12=1,1726+1=AH!$U$6),TODAY(),IF(AH!$U$5=1,INDEX('Live History'!$G$5:$G$3004,MATCH($A1731,'Live History'!$G$5:$G$3004,1)),INDEX('AH History'!$C$5:$C$1380,$K1731))),NA()),NA())</f>
        <v/>
      </c>
      <c r="J1731" s="32">
        <f>IFERROR(IF(AND($F1731&gt;0,$H1731&gt;0,$A1731-$G1731&lt;=10,$A1731-$I1731&lt;=5,$G1731&gt;0,$I1731&gt;0),$F1731*$H1731,NA()),NA())</f>
        <v/>
      </c>
      <c r="K1731" s="15">
        <f>IF($A1731="","",IF(AH!$U$5=1,IFERROR(MATCH($A1731,'Live History'!$A$5:$A$3004,0),0),AH!$U$7+1726))</f>
        <v/>
      </c>
      <c r="L1731" s="15">
        <f>IF(ISNUMBER(A1731),TEXT(A1731,"dd-mmm-yy"),"")</f>
        <v/>
      </c>
    </row>
    <row r="1732">
      <c r="A1732" s="14">
        <f>IF(OR(AH!$U$4=0,1727+1&gt;AH!$U$6,AND(AH!$M$5="Bloomberg",AH!$U$5=0)),"",IFERROR(IF(AND(AH!$U$12=1,1727+1=AH!$U$6),TODAY(),IF(AH!$U$5=1,INDEX('Live History'!$A$5:$A$3004,AH!$U$7+1727),INDEX('AH History'!$A$5:$A$1380,AH!$U$7+1727))),""))</f>
        <v/>
      </c>
      <c r="B1732" s="33">
        <f>IFERROR(IF(AH!$U$11=1,NA(),$J1732/$E1732-1),NA())</f>
        <v/>
      </c>
      <c r="C1732" s="269">
        <f>IFERROR(100*$E1732/$E$5,NA())</f>
        <v/>
      </c>
      <c r="D1732" s="269">
        <f>IFERROR(100*$J1732/$J$5,NA())</f>
        <v/>
      </c>
      <c r="E1732" s="32">
        <f>IFERROR(IF(AND(ISNUMBER($A1732),N(IF(AND(AH!$U$12=1,1727+1=AH!$U$6),IF(AH!$U$4=0,"unavailable",INDEX('Market Data'!$AN$5:$AN$66,AH!$U$4)),IF(AH!$U$5=1,INDEX('Live History'!$B$5:$B$3004,$K1732),INDEX('AH History'!$D$5:$GG$1380,$K1732,AH!$U$10))))&gt;0),IF(AND(AH!$U$12=1,1727+1=AH!$U$6),IF(AH!$U$4=0,"unavailable",INDEX('Market Data'!$AN$5:$AN$66,AH!$U$4)),IF(AH!$U$5=1,INDEX('Live History'!$B$5:$B$3004,$K1732),INDEX('AH History'!$D$5:$GG$1380,$K1732,AH!$U$10))),NA()),NA())</f>
        <v/>
      </c>
      <c r="F1732" s="32">
        <f>IFERROR(IF(ISNUMBER($A1732),IF(AND(AH!$U$12=1,1727+1=AH!$U$6),IF(AH!$U$4=0,"unavailable",INDEX('Market Data'!$AO$5:$AO$66,AH!$U$4)),IF(AH!$U$5=1,INDEX('Live History'!$E$5:$E$3004,MATCH($A1732,'Live History'!$D$5:$D$3004,1)),INDEX('AH History'!$D$5:$GG$1380,$K1732,AH!$U$10+1))),NA()),NA())</f>
        <v/>
      </c>
      <c r="G1732" s="34">
        <f>IFERROR(IF(ISNUMBER($A1732),IF(AND(AH!$U$12=1,1727+1=AH!$U$6),IF(AH!$U$4=0,"unavailable",INDEX('Market Data'!$AK$5:$AK$66,AH!$U$4)),IF(AH!$U$5=1,INDEX('Live History'!$D$5:$D$3004,MATCH($A1732,'Live History'!$D$5:$D$3004,1)),INDEX('AH History'!$D$5:$GG$1380,$K1732,AH!$U$10+2))),NA()),NA())</f>
        <v/>
      </c>
      <c r="H1732" s="266">
        <f>IFERROR(IF(ISNUMBER($A1732),IF(AND(AH!$U$12=1,1727+1=AH!$U$6),IF(AH!$U$4=0,"unavailable",INDEX('Market Data'!$AP$5:$AP$66,AH!$U$4)),IF(AH!$U$5=1,INDEX('Live History'!$H$5:$H$3004,MATCH($A1732,'Live History'!$G$5:$G$3004,1)),INDEX('AH History'!$B$5:$B$1380,$K1732))),NA()),NA())</f>
        <v/>
      </c>
      <c r="I1732" s="34">
        <f>IFERROR(IF(ISNUMBER($A1732),IF(AND(AH!$U$12=1,1727+1=AH!$U$6),TODAY(),IF(AH!$U$5=1,INDEX('Live History'!$G$5:$G$3004,MATCH($A1732,'Live History'!$G$5:$G$3004,1)),INDEX('AH History'!$C$5:$C$1380,$K1732))),NA()),NA())</f>
        <v/>
      </c>
      <c r="J1732" s="32">
        <f>IFERROR(IF(AND($F1732&gt;0,$H1732&gt;0,$A1732-$G1732&lt;=10,$A1732-$I1732&lt;=5,$G1732&gt;0,$I1732&gt;0),$F1732*$H1732,NA()),NA())</f>
        <v/>
      </c>
      <c r="K1732" s="15">
        <f>IF($A1732="","",IF(AH!$U$5=1,IFERROR(MATCH($A1732,'Live History'!$A$5:$A$3004,0),0),AH!$U$7+1727))</f>
        <v/>
      </c>
      <c r="L1732" s="15">
        <f>IF(ISNUMBER(A1732),TEXT(A1732,"dd-mmm-yy"),"")</f>
        <v/>
      </c>
    </row>
    <row r="1733">
      <c r="A1733" s="14">
        <f>IF(OR(AH!$U$4=0,1728+1&gt;AH!$U$6,AND(AH!$M$5="Bloomberg",AH!$U$5=0)),"",IFERROR(IF(AND(AH!$U$12=1,1728+1=AH!$U$6),TODAY(),IF(AH!$U$5=1,INDEX('Live History'!$A$5:$A$3004,AH!$U$7+1728),INDEX('AH History'!$A$5:$A$1380,AH!$U$7+1728))),""))</f>
        <v/>
      </c>
      <c r="B1733" s="33">
        <f>IFERROR(IF(AH!$U$11=1,NA(),$J1733/$E1733-1),NA())</f>
        <v/>
      </c>
      <c r="C1733" s="269">
        <f>IFERROR(100*$E1733/$E$5,NA())</f>
        <v/>
      </c>
      <c r="D1733" s="269">
        <f>IFERROR(100*$J1733/$J$5,NA())</f>
        <v/>
      </c>
      <c r="E1733" s="32">
        <f>IFERROR(IF(AND(ISNUMBER($A1733),N(IF(AND(AH!$U$12=1,1728+1=AH!$U$6),IF(AH!$U$4=0,"unavailable",INDEX('Market Data'!$AN$5:$AN$66,AH!$U$4)),IF(AH!$U$5=1,INDEX('Live History'!$B$5:$B$3004,$K1733),INDEX('AH History'!$D$5:$GG$1380,$K1733,AH!$U$10))))&gt;0),IF(AND(AH!$U$12=1,1728+1=AH!$U$6),IF(AH!$U$4=0,"unavailable",INDEX('Market Data'!$AN$5:$AN$66,AH!$U$4)),IF(AH!$U$5=1,INDEX('Live History'!$B$5:$B$3004,$K1733),INDEX('AH History'!$D$5:$GG$1380,$K1733,AH!$U$10))),NA()),NA())</f>
        <v/>
      </c>
      <c r="F1733" s="32">
        <f>IFERROR(IF(ISNUMBER($A1733),IF(AND(AH!$U$12=1,1728+1=AH!$U$6),IF(AH!$U$4=0,"unavailable",INDEX('Market Data'!$AO$5:$AO$66,AH!$U$4)),IF(AH!$U$5=1,INDEX('Live History'!$E$5:$E$3004,MATCH($A1733,'Live History'!$D$5:$D$3004,1)),INDEX('AH History'!$D$5:$GG$1380,$K1733,AH!$U$10+1))),NA()),NA())</f>
        <v/>
      </c>
      <c r="G1733" s="34">
        <f>IFERROR(IF(ISNUMBER($A1733),IF(AND(AH!$U$12=1,1728+1=AH!$U$6),IF(AH!$U$4=0,"unavailable",INDEX('Market Data'!$AK$5:$AK$66,AH!$U$4)),IF(AH!$U$5=1,INDEX('Live History'!$D$5:$D$3004,MATCH($A1733,'Live History'!$D$5:$D$3004,1)),INDEX('AH History'!$D$5:$GG$1380,$K1733,AH!$U$10+2))),NA()),NA())</f>
        <v/>
      </c>
      <c r="H1733" s="266">
        <f>IFERROR(IF(ISNUMBER($A1733),IF(AND(AH!$U$12=1,1728+1=AH!$U$6),IF(AH!$U$4=0,"unavailable",INDEX('Market Data'!$AP$5:$AP$66,AH!$U$4)),IF(AH!$U$5=1,INDEX('Live History'!$H$5:$H$3004,MATCH($A1733,'Live History'!$G$5:$G$3004,1)),INDEX('AH History'!$B$5:$B$1380,$K1733))),NA()),NA())</f>
        <v/>
      </c>
      <c r="I1733" s="34">
        <f>IFERROR(IF(ISNUMBER($A1733),IF(AND(AH!$U$12=1,1728+1=AH!$U$6),TODAY(),IF(AH!$U$5=1,INDEX('Live History'!$G$5:$G$3004,MATCH($A1733,'Live History'!$G$5:$G$3004,1)),INDEX('AH History'!$C$5:$C$1380,$K1733))),NA()),NA())</f>
        <v/>
      </c>
      <c r="J1733" s="32">
        <f>IFERROR(IF(AND($F1733&gt;0,$H1733&gt;0,$A1733-$G1733&lt;=10,$A1733-$I1733&lt;=5,$G1733&gt;0,$I1733&gt;0),$F1733*$H1733,NA()),NA())</f>
        <v/>
      </c>
      <c r="K1733" s="15">
        <f>IF($A1733="","",IF(AH!$U$5=1,IFERROR(MATCH($A1733,'Live History'!$A$5:$A$3004,0),0),AH!$U$7+1728))</f>
        <v/>
      </c>
      <c r="L1733" s="15">
        <f>IF(ISNUMBER(A1733),TEXT(A1733,"dd-mmm-yy"),"")</f>
        <v/>
      </c>
    </row>
    <row r="1734">
      <c r="A1734" s="14">
        <f>IF(OR(AH!$U$4=0,1729+1&gt;AH!$U$6,AND(AH!$M$5="Bloomberg",AH!$U$5=0)),"",IFERROR(IF(AND(AH!$U$12=1,1729+1=AH!$U$6),TODAY(),IF(AH!$U$5=1,INDEX('Live History'!$A$5:$A$3004,AH!$U$7+1729),INDEX('AH History'!$A$5:$A$1380,AH!$U$7+1729))),""))</f>
        <v/>
      </c>
      <c r="B1734" s="33">
        <f>IFERROR(IF(AH!$U$11=1,NA(),$J1734/$E1734-1),NA())</f>
        <v/>
      </c>
      <c r="C1734" s="269">
        <f>IFERROR(100*$E1734/$E$5,NA())</f>
        <v/>
      </c>
      <c r="D1734" s="269">
        <f>IFERROR(100*$J1734/$J$5,NA())</f>
        <v/>
      </c>
      <c r="E1734" s="32">
        <f>IFERROR(IF(AND(ISNUMBER($A1734),N(IF(AND(AH!$U$12=1,1729+1=AH!$U$6),IF(AH!$U$4=0,"unavailable",INDEX('Market Data'!$AN$5:$AN$66,AH!$U$4)),IF(AH!$U$5=1,INDEX('Live History'!$B$5:$B$3004,$K1734),INDEX('AH History'!$D$5:$GG$1380,$K1734,AH!$U$10))))&gt;0),IF(AND(AH!$U$12=1,1729+1=AH!$U$6),IF(AH!$U$4=0,"unavailable",INDEX('Market Data'!$AN$5:$AN$66,AH!$U$4)),IF(AH!$U$5=1,INDEX('Live History'!$B$5:$B$3004,$K1734),INDEX('AH History'!$D$5:$GG$1380,$K1734,AH!$U$10))),NA()),NA())</f>
        <v/>
      </c>
      <c r="F1734" s="32">
        <f>IFERROR(IF(ISNUMBER($A1734),IF(AND(AH!$U$12=1,1729+1=AH!$U$6),IF(AH!$U$4=0,"unavailable",INDEX('Market Data'!$AO$5:$AO$66,AH!$U$4)),IF(AH!$U$5=1,INDEX('Live History'!$E$5:$E$3004,MATCH($A1734,'Live History'!$D$5:$D$3004,1)),INDEX('AH History'!$D$5:$GG$1380,$K1734,AH!$U$10+1))),NA()),NA())</f>
        <v/>
      </c>
      <c r="G1734" s="34">
        <f>IFERROR(IF(ISNUMBER($A1734),IF(AND(AH!$U$12=1,1729+1=AH!$U$6),IF(AH!$U$4=0,"unavailable",INDEX('Market Data'!$AK$5:$AK$66,AH!$U$4)),IF(AH!$U$5=1,INDEX('Live History'!$D$5:$D$3004,MATCH($A1734,'Live History'!$D$5:$D$3004,1)),INDEX('AH History'!$D$5:$GG$1380,$K1734,AH!$U$10+2))),NA()),NA())</f>
        <v/>
      </c>
      <c r="H1734" s="266">
        <f>IFERROR(IF(ISNUMBER($A1734),IF(AND(AH!$U$12=1,1729+1=AH!$U$6),IF(AH!$U$4=0,"unavailable",INDEX('Market Data'!$AP$5:$AP$66,AH!$U$4)),IF(AH!$U$5=1,INDEX('Live History'!$H$5:$H$3004,MATCH($A1734,'Live History'!$G$5:$G$3004,1)),INDEX('AH History'!$B$5:$B$1380,$K1734))),NA()),NA())</f>
        <v/>
      </c>
      <c r="I1734" s="34">
        <f>IFERROR(IF(ISNUMBER($A1734),IF(AND(AH!$U$12=1,1729+1=AH!$U$6),TODAY(),IF(AH!$U$5=1,INDEX('Live History'!$G$5:$G$3004,MATCH($A1734,'Live History'!$G$5:$G$3004,1)),INDEX('AH History'!$C$5:$C$1380,$K1734))),NA()),NA())</f>
        <v/>
      </c>
      <c r="J1734" s="32">
        <f>IFERROR(IF(AND($F1734&gt;0,$H1734&gt;0,$A1734-$G1734&lt;=10,$A1734-$I1734&lt;=5,$G1734&gt;0,$I1734&gt;0),$F1734*$H1734,NA()),NA())</f>
        <v/>
      </c>
      <c r="K1734" s="15">
        <f>IF($A1734="","",IF(AH!$U$5=1,IFERROR(MATCH($A1734,'Live History'!$A$5:$A$3004,0),0),AH!$U$7+1729))</f>
        <v/>
      </c>
      <c r="L1734" s="15">
        <f>IF(ISNUMBER(A1734),TEXT(A1734,"dd-mmm-yy"),"")</f>
        <v/>
      </c>
    </row>
    <row r="1735">
      <c r="A1735" s="14">
        <f>IF(OR(AH!$U$4=0,1730+1&gt;AH!$U$6,AND(AH!$M$5="Bloomberg",AH!$U$5=0)),"",IFERROR(IF(AND(AH!$U$12=1,1730+1=AH!$U$6),TODAY(),IF(AH!$U$5=1,INDEX('Live History'!$A$5:$A$3004,AH!$U$7+1730),INDEX('AH History'!$A$5:$A$1380,AH!$U$7+1730))),""))</f>
        <v/>
      </c>
      <c r="B1735" s="33">
        <f>IFERROR(IF(AH!$U$11=1,NA(),$J1735/$E1735-1),NA())</f>
        <v/>
      </c>
      <c r="C1735" s="269">
        <f>IFERROR(100*$E1735/$E$5,NA())</f>
        <v/>
      </c>
      <c r="D1735" s="269">
        <f>IFERROR(100*$J1735/$J$5,NA())</f>
        <v/>
      </c>
      <c r="E1735" s="32">
        <f>IFERROR(IF(AND(ISNUMBER($A1735),N(IF(AND(AH!$U$12=1,1730+1=AH!$U$6),IF(AH!$U$4=0,"unavailable",INDEX('Market Data'!$AN$5:$AN$66,AH!$U$4)),IF(AH!$U$5=1,INDEX('Live History'!$B$5:$B$3004,$K1735),INDEX('AH History'!$D$5:$GG$1380,$K1735,AH!$U$10))))&gt;0),IF(AND(AH!$U$12=1,1730+1=AH!$U$6),IF(AH!$U$4=0,"unavailable",INDEX('Market Data'!$AN$5:$AN$66,AH!$U$4)),IF(AH!$U$5=1,INDEX('Live History'!$B$5:$B$3004,$K1735),INDEX('AH History'!$D$5:$GG$1380,$K1735,AH!$U$10))),NA()),NA())</f>
        <v/>
      </c>
      <c r="F1735" s="32">
        <f>IFERROR(IF(ISNUMBER($A1735),IF(AND(AH!$U$12=1,1730+1=AH!$U$6),IF(AH!$U$4=0,"unavailable",INDEX('Market Data'!$AO$5:$AO$66,AH!$U$4)),IF(AH!$U$5=1,INDEX('Live History'!$E$5:$E$3004,MATCH($A1735,'Live History'!$D$5:$D$3004,1)),INDEX('AH History'!$D$5:$GG$1380,$K1735,AH!$U$10+1))),NA()),NA())</f>
        <v/>
      </c>
      <c r="G1735" s="34">
        <f>IFERROR(IF(ISNUMBER($A1735),IF(AND(AH!$U$12=1,1730+1=AH!$U$6),IF(AH!$U$4=0,"unavailable",INDEX('Market Data'!$AK$5:$AK$66,AH!$U$4)),IF(AH!$U$5=1,INDEX('Live History'!$D$5:$D$3004,MATCH($A1735,'Live History'!$D$5:$D$3004,1)),INDEX('AH History'!$D$5:$GG$1380,$K1735,AH!$U$10+2))),NA()),NA())</f>
        <v/>
      </c>
      <c r="H1735" s="266">
        <f>IFERROR(IF(ISNUMBER($A1735),IF(AND(AH!$U$12=1,1730+1=AH!$U$6),IF(AH!$U$4=0,"unavailable",INDEX('Market Data'!$AP$5:$AP$66,AH!$U$4)),IF(AH!$U$5=1,INDEX('Live History'!$H$5:$H$3004,MATCH($A1735,'Live History'!$G$5:$G$3004,1)),INDEX('AH History'!$B$5:$B$1380,$K1735))),NA()),NA())</f>
        <v/>
      </c>
      <c r="I1735" s="34">
        <f>IFERROR(IF(ISNUMBER($A1735),IF(AND(AH!$U$12=1,1730+1=AH!$U$6),TODAY(),IF(AH!$U$5=1,INDEX('Live History'!$G$5:$G$3004,MATCH($A1735,'Live History'!$G$5:$G$3004,1)),INDEX('AH History'!$C$5:$C$1380,$K1735))),NA()),NA())</f>
        <v/>
      </c>
      <c r="J1735" s="32">
        <f>IFERROR(IF(AND($F1735&gt;0,$H1735&gt;0,$A1735-$G1735&lt;=10,$A1735-$I1735&lt;=5,$G1735&gt;0,$I1735&gt;0),$F1735*$H1735,NA()),NA())</f>
        <v/>
      </c>
      <c r="K1735" s="15">
        <f>IF($A1735="","",IF(AH!$U$5=1,IFERROR(MATCH($A1735,'Live History'!$A$5:$A$3004,0),0),AH!$U$7+1730))</f>
        <v/>
      </c>
      <c r="L1735" s="15">
        <f>IF(ISNUMBER(A1735),TEXT(A1735,"dd-mmm-yy"),"")</f>
        <v/>
      </c>
    </row>
    <row r="1736">
      <c r="A1736" s="14">
        <f>IF(OR(AH!$U$4=0,1731+1&gt;AH!$U$6,AND(AH!$M$5="Bloomberg",AH!$U$5=0)),"",IFERROR(IF(AND(AH!$U$12=1,1731+1=AH!$U$6),TODAY(),IF(AH!$U$5=1,INDEX('Live History'!$A$5:$A$3004,AH!$U$7+1731),INDEX('AH History'!$A$5:$A$1380,AH!$U$7+1731))),""))</f>
        <v/>
      </c>
      <c r="B1736" s="33">
        <f>IFERROR(IF(AH!$U$11=1,NA(),$J1736/$E1736-1),NA())</f>
        <v/>
      </c>
      <c r="C1736" s="269">
        <f>IFERROR(100*$E1736/$E$5,NA())</f>
        <v/>
      </c>
      <c r="D1736" s="269">
        <f>IFERROR(100*$J1736/$J$5,NA())</f>
        <v/>
      </c>
      <c r="E1736" s="32">
        <f>IFERROR(IF(AND(ISNUMBER($A1736),N(IF(AND(AH!$U$12=1,1731+1=AH!$U$6),IF(AH!$U$4=0,"unavailable",INDEX('Market Data'!$AN$5:$AN$66,AH!$U$4)),IF(AH!$U$5=1,INDEX('Live History'!$B$5:$B$3004,$K1736),INDEX('AH History'!$D$5:$GG$1380,$K1736,AH!$U$10))))&gt;0),IF(AND(AH!$U$12=1,1731+1=AH!$U$6),IF(AH!$U$4=0,"unavailable",INDEX('Market Data'!$AN$5:$AN$66,AH!$U$4)),IF(AH!$U$5=1,INDEX('Live History'!$B$5:$B$3004,$K1736),INDEX('AH History'!$D$5:$GG$1380,$K1736,AH!$U$10))),NA()),NA())</f>
        <v/>
      </c>
      <c r="F1736" s="32">
        <f>IFERROR(IF(ISNUMBER($A1736),IF(AND(AH!$U$12=1,1731+1=AH!$U$6),IF(AH!$U$4=0,"unavailable",INDEX('Market Data'!$AO$5:$AO$66,AH!$U$4)),IF(AH!$U$5=1,INDEX('Live History'!$E$5:$E$3004,MATCH($A1736,'Live History'!$D$5:$D$3004,1)),INDEX('AH History'!$D$5:$GG$1380,$K1736,AH!$U$10+1))),NA()),NA())</f>
        <v/>
      </c>
      <c r="G1736" s="34">
        <f>IFERROR(IF(ISNUMBER($A1736),IF(AND(AH!$U$12=1,1731+1=AH!$U$6),IF(AH!$U$4=0,"unavailable",INDEX('Market Data'!$AK$5:$AK$66,AH!$U$4)),IF(AH!$U$5=1,INDEX('Live History'!$D$5:$D$3004,MATCH($A1736,'Live History'!$D$5:$D$3004,1)),INDEX('AH History'!$D$5:$GG$1380,$K1736,AH!$U$10+2))),NA()),NA())</f>
        <v/>
      </c>
      <c r="H1736" s="266">
        <f>IFERROR(IF(ISNUMBER($A1736),IF(AND(AH!$U$12=1,1731+1=AH!$U$6),IF(AH!$U$4=0,"unavailable",INDEX('Market Data'!$AP$5:$AP$66,AH!$U$4)),IF(AH!$U$5=1,INDEX('Live History'!$H$5:$H$3004,MATCH($A1736,'Live History'!$G$5:$G$3004,1)),INDEX('AH History'!$B$5:$B$1380,$K1736))),NA()),NA())</f>
        <v/>
      </c>
      <c r="I1736" s="34">
        <f>IFERROR(IF(ISNUMBER($A1736),IF(AND(AH!$U$12=1,1731+1=AH!$U$6),TODAY(),IF(AH!$U$5=1,INDEX('Live History'!$G$5:$G$3004,MATCH($A1736,'Live History'!$G$5:$G$3004,1)),INDEX('AH History'!$C$5:$C$1380,$K1736))),NA()),NA())</f>
        <v/>
      </c>
      <c r="J1736" s="32">
        <f>IFERROR(IF(AND($F1736&gt;0,$H1736&gt;0,$A1736-$G1736&lt;=10,$A1736-$I1736&lt;=5,$G1736&gt;0,$I1736&gt;0),$F1736*$H1736,NA()),NA())</f>
        <v/>
      </c>
      <c r="K1736" s="15">
        <f>IF($A1736="","",IF(AH!$U$5=1,IFERROR(MATCH($A1736,'Live History'!$A$5:$A$3004,0),0),AH!$U$7+1731))</f>
        <v/>
      </c>
      <c r="L1736" s="15">
        <f>IF(ISNUMBER(A1736),TEXT(A1736,"dd-mmm-yy"),"")</f>
        <v/>
      </c>
    </row>
    <row r="1737">
      <c r="A1737" s="14">
        <f>IF(OR(AH!$U$4=0,1732+1&gt;AH!$U$6,AND(AH!$M$5="Bloomberg",AH!$U$5=0)),"",IFERROR(IF(AND(AH!$U$12=1,1732+1=AH!$U$6),TODAY(),IF(AH!$U$5=1,INDEX('Live History'!$A$5:$A$3004,AH!$U$7+1732),INDEX('AH History'!$A$5:$A$1380,AH!$U$7+1732))),""))</f>
        <v/>
      </c>
      <c r="B1737" s="33">
        <f>IFERROR(IF(AH!$U$11=1,NA(),$J1737/$E1737-1),NA())</f>
        <v/>
      </c>
      <c r="C1737" s="269">
        <f>IFERROR(100*$E1737/$E$5,NA())</f>
        <v/>
      </c>
      <c r="D1737" s="269">
        <f>IFERROR(100*$J1737/$J$5,NA())</f>
        <v/>
      </c>
      <c r="E1737" s="32">
        <f>IFERROR(IF(AND(ISNUMBER($A1737),N(IF(AND(AH!$U$12=1,1732+1=AH!$U$6),IF(AH!$U$4=0,"unavailable",INDEX('Market Data'!$AN$5:$AN$66,AH!$U$4)),IF(AH!$U$5=1,INDEX('Live History'!$B$5:$B$3004,$K1737),INDEX('AH History'!$D$5:$GG$1380,$K1737,AH!$U$10))))&gt;0),IF(AND(AH!$U$12=1,1732+1=AH!$U$6),IF(AH!$U$4=0,"unavailable",INDEX('Market Data'!$AN$5:$AN$66,AH!$U$4)),IF(AH!$U$5=1,INDEX('Live History'!$B$5:$B$3004,$K1737),INDEX('AH History'!$D$5:$GG$1380,$K1737,AH!$U$10))),NA()),NA())</f>
        <v/>
      </c>
      <c r="F1737" s="32">
        <f>IFERROR(IF(ISNUMBER($A1737),IF(AND(AH!$U$12=1,1732+1=AH!$U$6),IF(AH!$U$4=0,"unavailable",INDEX('Market Data'!$AO$5:$AO$66,AH!$U$4)),IF(AH!$U$5=1,INDEX('Live History'!$E$5:$E$3004,MATCH($A1737,'Live History'!$D$5:$D$3004,1)),INDEX('AH History'!$D$5:$GG$1380,$K1737,AH!$U$10+1))),NA()),NA())</f>
        <v/>
      </c>
      <c r="G1737" s="34">
        <f>IFERROR(IF(ISNUMBER($A1737),IF(AND(AH!$U$12=1,1732+1=AH!$U$6),IF(AH!$U$4=0,"unavailable",INDEX('Market Data'!$AK$5:$AK$66,AH!$U$4)),IF(AH!$U$5=1,INDEX('Live History'!$D$5:$D$3004,MATCH($A1737,'Live History'!$D$5:$D$3004,1)),INDEX('AH History'!$D$5:$GG$1380,$K1737,AH!$U$10+2))),NA()),NA())</f>
        <v/>
      </c>
      <c r="H1737" s="266">
        <f>IFERROR(IF(ISNUMBER($A1737),IF(AND(AH!$U$12=1,1732+1=AH!$U$6),IF(AH!$U$4=0,"unavailable",INDEX('Market Data'!$AP$5:$AP$66,AH!$U$4)),IF(AH!$U$5=1,INDEX('Live History'!$H$5:$H$3004,MATCH($A1737,'Live History'!$G$5:$G$3004,1)),INDEX('AH History'!$B$5:$B$1380,$K1737))),NA()),NA())</f>
        <v/>
      </c>
      <c r="I1737" s="34">
        <f>IFERROR(IF(ISNUMBER($A1737),IF(AND(AH!$U$12=1,1732+1=AH!$U$6),TODAY(),IF(AH!$U$5=1,INDEX('Live History'!$G$5:$G$3004,MATCH($A1737,'Live History'!$G$5:$G$3004,1)),INDEX('AH History'!$C$5:$C$1380,$K1737))),NA()),NA())</f>
        <v/>
      </c>
      <c r="J1737" s="32">
        <f>IFERROR(IF(AND($F1737&gt;0,$H1737&gt;0,$A1737-$G1737&lt;=10,$A1737-$I1737&lt;=5,$G1737&gt;0,$I1737&gt;0),$F1737*$H1737,NA()),NA())</f>
        <v/>
      </c>
      <c r="K1737" s="15">
        <f>IF($A1737="","",IF(AH!$U$5=1,IFERROR(MATCH($A1737,'Live History'!$A$5:$A$3004,0),0),AH!$U$7+1732))</f>
        <v/>
      </c>
      <c r="L1737" s="15">
        <f>IF(ISNUMBER(A1737),TEXT(A1737,"dd-mmm-yy"),"")</f>
        <v/>
      </c>
    </row>
    <row r="1738">
      <c r="A1738" s="14">
        <f>IF(OR(AH!$U$4=0,1733+1&gt;AH!$U$6,AND(AH!$M$5="Bloomberg",AH!$U$5=0)),"",IFERROR(IF(AND(AH!$U$12=1,1733+1=AH!$U$6),TODAY(),IF(AH!$U$5=1,INDEX('Live History'!$A$5:$A$3004,AH!$U$7+1733),INDEX('AH History'!$A$5:$A$1380,AH!$U$7+1733))),""))</f>
        <v/>
      </c>
      <c r="B1738" s="33">
        <f>IFERROR(IF(AH!$U$11=1,NA(),$J1738/$E1738-1),NA())</f>
        <v/>
      </c>
      <c r="C1738" s="269">
        <f>IFERROR(100*$E1738/$E$5,NA())</f>
        <v/>
      </c>
      <c r="D1738" s="269">
        <f>IFERROR(100*$J1738/$J$5,NA())</f>
        <v/>
      </c>
      <c r="E1738" s="32">
        <f>IFERROR(IF(AND(ISNUMBER($A1738),N(IF(AND(AH!$U$12=1,1733+1=AH!$U$6),IF(AH!$U$4=0,"unavailable",INDEX('Market Data'!$AN$5:$AN$66,AH!$U$4)),IF(AH!$U$5=1,INDEX('Live History'!$B$5:$B$3004,$K1738),INDEX('AH History'!$D$5:$GG$1380,$K1738,AH!$U$10))))&gt;0),IF(AND(AH!$U$12=1,1733+1=AH!$U$6),IF(AH!$U$4=0,"unavailable",INDEX('Market Data'!$AN$5:$AN$66,AH!$U$4)),IF(AH!$U$5=1,INDEX('Live History'!$B$5:$B$3004,$K1738),INDEX('AH History'!$D$5:$GG$1380,$K1738,AH!$U$10))),NA()),NA())</f>
        <v/>
      </c>
      <c r="F1738" s="32">
        <f>IFERROR(IF(ISNUMBER($A1738),IF(AND(AH!$U$12=1,1733+1=AH!$U$6),IF(AH!$U$4=0,"unavailable",INDEX('Market Data'!$AO$5:$AO$66,AH!$U$4)),IF(AH!$U$5=1,INDEX('Live History'!$E$5:$E$3004,MATCH($A1738,'Live History'!$D$5:$D$3004,1)),INDEX('AH History'!$D$5:$GG$1380,$K1738,AH!$U$10+1))),NA()),NA())</f>
        <v/>
      </c>
      <c r="G1738" s="34">
        <f>IFERROR(IF(ISNUMBER($A1738),IF(AND(AH!$U$12=1,1733+1=AH!$U$6),IF(AH!$U$4=0,"unavailable",INDEX('Market Data'!$AK$5:$AK$66,AH!$U$4)),IF(AH!$U$5=1,INDEX('Live History'!$D$5:$D$3004,MATCH($A1738,'Live History'!$D$5:$D$3004,1)),INDEX('AH History'!$D$5:$GG$1380,$K1738,AH!$U$10+2))),NA()),NA())</f>
        <v/>
      </c>
      <c r="H1738" s="266">
        <f>IFERROR(IF(ISNUMBER($A1738),IF(AND(AH!$U$12=1,1733+1=AH!$U$6),IF(AH!$U$4=0,"unavailable",INDEX('Market Data'!$AP$5:$AP$66,AH!$U$4)),IF(AH!$U$5=1,INDEX('Live History'!$H$5:$H$3004,MATCH($A1738,'Live History'!$G$5:$G$3004,1)),INDEX('AH History'!$B$5:$B$1380,$K1738))),NA()),NA())</f>
        <v/>
      </c>
      <c r="I1738" s="34">
        <f>IFERROR(IF(ISNUMBER($A1738),IF(AND(AH!$U$12=1,1733+1=AH!$U$6),TODAY(),IF(AH!$U$5=1,INDEX('Live History'!$G$5:$G$3004,MATCH($A1738,'Live History'!$G$5:$G$3004,1)),INDEX('AH History'!$C$5:$C$1380,$K1738))),NA()),NA())</f>
        <v/>
      </c>
      <c r="J1738" s="32">
        <f>IFERROR(IF(AND($F1738&gt;0,$H1738&gt;0,$A1738-$G1738&lt;=10,$A1738-$I1738&lt;=5,$G1738&gt;0,$I1738&gt;0),$F1738*$H1738,NA()),NA())</f>
        <v/>
      </c>
      <c r="K1738" s="15">
        <f>IF($A1738="","",IF(AH!$U$5=1,IFERROR(MATCH($A1738,'Live History'!$A$5:$A$3004,0),0),AH!$U$7+1733))</f>
        <v/>
      </c>
      <c r="L1738" s="15">
        <f>IF(ISNUMBER(A1738),TEXT(A1738,"dd-mmm-yy"),"")</f>
        <v/>
      </c>
    </row>
    <row r="1739">
      <c r="A1739" s="14">
        <f>IF(OR(AH!$U$4=0,1734+1&gt;AH!$U$6,AND(AH!$M$5="Bloomberg",AH!$U$5=0)),"",IFERROR(IF(AND(AH!$U$12=1,1734+1=AH!$U$6),TODAY(),IF(AH!$U$5=1,INDEX('Live History'!$A$5:$A$3004,AH!$U$7+1734),INDEX('AH History'!$A$5:$A$1380,AH!$U$7+1734))),""))</f>
        <v/>
      </c>
      <c r="B1739" s="33">
        <f>IFERROR(IF(AH!$U$11=1,NA(),$J1739/$E1739-1),NA())</f>
        <v/>
      </c>
      <c r="C1739" s="269">
        <f>IFERROR(100*$E1739/$E$5,NA())</f>
        <v/>
      </c>
      <c r="D1739" s="269">
        <f>IFERROR(100*$J1739/$J$5,NA())</f>
        <v/>
      </c>
      <c r="E1739" s="32">
        <f>IFERROR(IF(AND(ISNUMBER($A1739),N(IF(AND(AH!$U$12=1,1734+1=AH!$U$6),IF(AH!$U$4=0,"unavailable",INDEX('Market Data'!$AN$5:$AN$66,AH!$U$4)),IF(AH!$U$5=1,INDEX('Live History'!$B$5:$B$3004,$K1739),INDEX('AH History'!$D$5:$GG$1380,$K1739,AH!$U$10))))&gt;0),IF(AND(AH!$U$12=1,1734+1=AH!$U$6),IF(AH!$U$4=0,"unavailable",INDEX('Market Data'!$AN$5:$AN$66,AH!$U$4)),IF(AH!$U$5=1,INDEX('Live History'!$B$5:$B$3004,$K1739),INDEX('AH History'!$D$5:$GG$1380,$K1739,AH!$U$10))),NA()),NA())</f>
        <v/>
      </c>
      <c r="F1739" s="32">
        <f>IFERROR(IF(ISNUMBER($A1739),IF(AND(AH!$U$12=1,1734+1=AH!$U$6),IF(AH!$U$4=0,"unavailable",INDEX('Market Data'!$AO$5:$AO$66,AH!$U$4)),IF(AH!$U$5=1,INDEX('Live History'!$E$5:$E$3004,MATCH($A1739,'Live History'!$D$5:$D$3004,1)),INDEX('AH History'!$D$5:$GG$1380,$K1739,AH!$U$10+1))),NA()),NA())</f>
        <v/>
      </c>
      <c r="G1739" s="34">
        <f>IFERROR(IF(ISNUMBER($A1739),IF(AND(AH!$U$12=1,1734+1=AH!$U$6),IF(AH!$U$4=0,"unavailable",INDEX('Market Data'!$AK$5:$AK$66,AH!$U$4)),IF(AH!$U$5=1,INDEX('Live History'!$D$5:$D$3004,MATCH($A1739,'Live History'!$D$5:$D$3004,1)),INDEX('AH History'!$D$5:$GG$1380,$K1739,AH!$U$10+2))),NA()),NA())</f>
        <v/>
      </c>
      <c r="H1739" s="266">
        <f>IFERROR(IF(ISNUMBER($A1739),IF(AND(AH!$U$12=1,1734+1=AH!$U$6),IF(AH!$U$4=0,"unavailable",INDEX('Market Data'!$AP$5:$AP$66,AH!$U$4)),IF(AH!$U$5=1,INDEX('Live History'!$H$5:$H$3004,MATCH($A1739,'Live History'!$G$5:$G$3004,1)),INDEX('AH History'!$B$5:$B$1380,$K1739))),NA()),NA())</f>
        <v/>
      </c>
      <c r="I1739" s="34">
        <f>IFERROR(IF(ISNUMBER($A1739),IF(AND(AH!$U$12=1,1734+1=AH!$U$6),TODAY(),IF(AH!$U$5=1,INDEX('Live History'!$G$5:$G$3004,MATCH($A1739,'Live History'!$G$5:$G$3004,1)),INDEX('AH History'!$C$5:$C$1380,$K1739))),NA()),NA())</f>
        <v/>
      </c>
      <c r="J1739" s="32">
        <f>IFERROR(IF(AND($F1739&gt;0,$H1739&gt;0,$A1739-$G1739&lt;=10,$A1739-$I1739&lt;=5,$G1739&gt;0,$I1739&gt;0),$F1739*$H1739,NA()),NA())</f>
        <v/>
      </c>
      <c r="K1739" s="15">
        <f>IF($A1739="","",IF(AH!$U$5=1,IFERROR(MATCH($A1739,'Live History'!$A$5:$A$3004,0),0),AH!$U$7+1734))</f>
        <v/>
      </c>
      <c r="L1739" s="15">
        <f>IF(ISNUMBER(A1739),TEXT(A1739,"dd-mmm-yy"),"")</f>
        <v/>
      </c>
    </row>
    <row r="1740">
      <c r="A1740" s="14">
        <f>IF(OR(AH!$U$4=0,1735+1&gt;AH!$U$6,AND(AH!$M$5="Bloomberg",AH!$U$5=0)),"",IFERROR(IF(AND(AH!$U$12=1,1735+1=AH!$U$6),TODAY(),IF(AH!$U$5=1,INDEX('Live History'!$A$5:$A$3004,AH!$U$7+1735),INDEX('AH History'!$A$5:$A$1380,AH!$U$7+1735))),""))</f>
        <v/>
      </c>
      <c r="B1740" s="33">
        <f>IFERROR(IF(AH!$U$11=1,NA(),$J1740/$E1740-1),NA())</f>
        <v/>
      </c>
      <c r="C1740" s="269">
        <f>IFERROR(100*$E1740/$E$5,NA())</f>
        <v/>
      </c>
      <c r="D1740" s="269">
        <f>IFERROR(100*$J1740/$J$5,NA())</f>
        <v/>
      </c>
      <c r="E1740" s="32">
        <f>IFERROR(IF(AND(ISNUMBER($A1740),N(IF(AND(AH!$U$12=1,1735+1=AH!$U$6),IF(AH!$U$4=0,"unavailable",INDEX('Market Data'!$AN$5:$AN$66,AH!$U$4)),IF(AH!$U$5=1,INDEX('Live History'!$B$5:$B$3004,$K1740),INDEX('AH History'!$D$5:$GG$1380,$K1740,AH!$U$10))))&gt;0),IF(AND(AH!$U$12=1,1735+1=AH!$U$6),IF(AH!$U$4=0,"unavailable",INDEX('Market Data'!$AN$5:$AN$66,AH!$U$4)),IF(AH!$U$5=1,INDEX('Live History'!$B$5:$B$3004,$K1740),INDEX('AH History'!$D$5:$GG$1380,$K1740,AH!$U$10))),NA()),NA())</f>
        <v/>
      </c>
      <c r="F1740" s="32">
        <f>IFERROR(IF(ISNUMBER($A1740),IF(AND(AH!$U$12=1,1735+1=AH!$U$6),IF(AH!$U$4=0,"unavailable",INDEX('Market Data'!$AO$5:$AO$66,AH!$U$4)),IF(AH!$U$5=1,INDEX('Live History'!$E$5:$E$3004,MATCH($A1740,'Live History'!$D$5:$D$3004,1)),INDEX('AH History'!$D$5:$GG$1380,$K1740,AH!$U$10+1))),NA()),NA())</f>
        <v/>
      </c>
      <c r="G1740" s="34">
        <f>IFERROR(IF(ISNUMBER($A1740),IF(AND(AH!$U$12=1,1735+1=AH!$U$6),IF(AH!$U$4=0,"unavailable",INDEX('Market Data'!$AK$5:$AK$66,AH!$U$4)),IF(AH!$U$5=1,INDEX('Live History'!$D$5:$D$3004,MATCH($A1740,'Live History'!$D$5:$D$3004,1)),INDEX('AH History'!$D$5:$GG$1380,$K1740,AH!$U$10+2))),NA()),NA())</f>
        <v/>
      </c>
      <c r="H1740" s="266">
        <f>IFERROR(IF(ISNUMBER($A1740),IF(AND(AH!$U$12=1,1735+1=AH!$U$6),IF(AH!$U$4=0,"unavailable",INDEX('Market Data'!$AP$5:$AP$66,AH!$U$4)),IF(AH!$U$5=1,INDEX('Live History'!$H$5:$H$3004,MATCH($A1740,'Live History'!$G$5:$G$3004,1)),INDEX('AH History'!$B$5:$B$1380,$K1740))),NA()),NA())</f>
        <v/>
      </c>
      <c r="I1740" s="34">
        <f>IFERROR(IF(ISNUMBER($A1740),IF(AND(AH!$U$12=1,1735+1=AH!$U$6),TODAY(),IF(AH!$U$5=1,INDEX('Live History'!$G$5:$G$3004,MATCH($A1740,'Live History'!$G$5:$G$3004,1)),INDEX('AH History'!$C$5:$C$1380,$K1740))),NA()),NA())</f>
        <v/>
      </c>
      <c r="J1740" s="32">
        <f>IFERROR(IF(AND($F1740&gt;0,$H1740&gt;0,$A1740-$G1740&lt;=10,$A1740-$I1740&lt;=5,$G1740&gt;0,$I1740&gt;0),$F1740*$H1740,NA()),NA())</f>
        <v/>
      </c>
      <c r="K1740" s="15">
        <f>IF($A1740="","",IF(AH!$U$5=1,IFERROR(MATCH($A1740,'Live History'!$A$5:$A$3004,0),0),AH!$U$7+1735))</f>
        <v/>
      </c>
      <c r="L1740" s="15">
        <f>IF(ISNUMBER(A1740),TEXT(A1740,"dd-mmm-yy"),"")</f>
        <v/>
      </c>
    </row>
    <row r="1741">
      <c r="A1741" s="14">
        <f>IF(OR(AH!$U$4=0,1736+1&gt;AH!$U$6,AND(AH!$M$5="Bloomberg",AH!$U$5=0)),"",IFERROR(IF(AND(AH!$U$12=1,1736+1=AH!$U$6),TODAY(),IF(AH!$U$5=1,INDEX('Live History'!$A$5:$A$3004,AH!$U$7+1736),INDEX('AH History'!$A$5:$A$1380,AH!$U$7+1736))),""))</f>
        <v/>
      </c>
      <c r="B1741" s="33">
        <f>IFERROR(IF(AH!$U$11=1,NA(),$J1741/$E1741-1),NA())</f>
        <v/>
      </c>
      <c r="C1741" s="269">
        <f>IFERROR(100*$E1741/$E$5,NA())</f>
        <v/>
      </c>
      <c r="D1741" s="269">
        <f>IFERROR(100*$J1741/$J$5,NA())</f>
        <v/>
      </c>
      <c r="E1741" s="32">
        <f>IFERROR(IF(AND(ISNUMBER($A1741),N(IF(AND(AH!$U$12=1,1736+1=AH!$U$6),IF(AH!$U$4=0,"unavailable",INDEX('Market Data'!$AN$5:$AN$66,AH!$U$4)),IF(AH!$U$5=1,INDEX('Live History'!$B$5:$B$3004,$K1741),INDEX('AH History'!$D$5:$GG$1380,$K1741,AH!$U$10))))&gt;0),IF(AND(AH!$U$12=1,1736+1=AH!$U$6),IF(AH!$U$4=0,"unavailable",INDEX('Market Data'!$AN$5:$AN$66,AH!$U$4)),IF(AH!$U$5=1,INDEX('Live History'!$B$5:$B$3004,$K1741),INDEX('AH History'!$D$5:$GG$1380,$K1741,AH!$U$10))),NA()),NA())</f>
        <v/>
      </c>
      <c r="F1741" s="32">
        <f>IFERROR(IF(ISNUMBER($A1741),IF(AND(AH!$U$12=1,1736+1=AH!$U$6),IF(AH!$U$4=0,"unavailable",INDEX('Market Data'!$AO$5:$AO$66,AH!$U$4)),IF(AH!$U$5=1,INDEX('Live History'!$E$5:$E$3004,MATCH($A1741,'Live History'!$D$5:$D$3004,1)),INDEX('AH History'!$D$5:$GG$1380,$K1741,AH!$U$10+1))),NA()),NA())</f>
        <v/>
      </c>
      <c r="G1741" s="34">
        <f>IFERROR(IF(ISNUMBER($A1741),IF(AND(AH!$U$12=1,1736+1=AH!$U$6),IF(AH!$U$4=0,"unavailable",INDEX('Market Data'!$AK$5:$AK$66,AH!$U$4)),IF(AH!$U$5=1,INDEX('Live History'!$D$5:$D$3004,MATCH($A1741,'Live History'!$D$5:$D$3004,1)),INDEX('AH History'!$D$5:$GG$1380,$K1741,AH!$U$10+2))),NA()),NA())</f>
        <v/>
      </c>
      <c r="H1741" s="266">
        <f>IFERROR(IF(ISNUMBER($A1741),IF(AND(AH!$U$12=1,1736+1=AH!$U$6),IF(AH!$U$4=0,"unavailable",INDEX('Market Data'!$AP$5:$AP$66,AH!$U$4)),IF(AH!$U$5=1,INDEX('Live History'!$H$5:$H$3004,MATCH($A1741,'Live History'!$G$5:$G$3004,1)),INDEX('AH History'!$B$5:$B$1380,$K1741))),NA()),NA())</f>
        <v/>
      </c>
      <c r="I1741" s="34">
        <f>IFERROR(IF(ISNUMBER($A1741),IF(AND(AH!$U$12=1,1736+1=AH!$U$6),TODAY(),IF(AH!$U$5=1,INDEX('Live History'!$G$5:$G$3004,MATCH($A1741,'Live History'!$G$5:$G$3004,1)),INDEX('AH History'!$C$5:$C$1380,$K1741))),NA()),NA())</f>
        <v/>
      </c>
      <c r="J1741" s="32">
        <f>IFERROR(IF(AND($F1741&gt;0,$H1741&gt;0,$A1741-$G1741&lt;=10,$A1741-$I1741&lt;=5,$G1741&gt;0,$I1741&gt;0),$F1741*$H1741,NA()),NA())</f>
        <v/>
      </c>
      <c r="K1741" s="15">
        <f>IF($A1741="","",IF(AH!$U$5=1,IFERROR(MATCH($A1741,'Live History'!$A$5:$A$3004,0),0),AH!$U$7+1736))</f>
        <v/>
      </c>
      <c r="L1741" s="15">
        <f>IF(ISNUMBER(A1741),TEXT(A1741,"dd-mmm-yy"),"")</f>
        <v/>
      </c>
    </row>
    <row r="1742">
      <c r="A1742" s="14">
        <f>IF(OR(AH!$U$4=0,1737+1&gt;AH!$U$6,AND(AH!$M$5="Bloomberg",AH!$U$5=0)),"",IFERROR(IF(AND(AH!$U$12=1,1737+1=AH!$U$6),TODAY(),IF(AH!$U$5=1,INDEX('Live History'!$A$5:$A$3004,AH!$U$7+1737),INDEX('AH History'!$A$5:$A$1380,AH!$U$7+1737))),""))</f>
        <v/>
      </c>
      <c r="B1742" s="33">
        <f>IFERROR(IF(AH!$U$11=1,NA(),$J1742/$E1742-1),NA())</f>
        <v/>
      </c>
      <c r="C1742" s="269">
        <f>IFERROR(100*$E1742/$E$5,NA())</f>
        <v/>
      </c>
      <c r="D1742" s="269">
        <f>IFERROR(100*$J1742/$J$5,NA())</f>
        <v/>
      </c>
      <c r="E1742" s="32">
        <f>IFERROR(IF(AND(ISNUMBER($A1742),N(IF(AND(AH!$U$12=1,1737+1=AH!$U$6),IF(AH!$U$4=0,"unavailable",INDEX('Market Data'!$AN$5:$AN$66,AH!$U$4)),IF(AH!$U$5=1,INDEX('Live History'!$B$5:$B$3004,$K1742),INDEX('AH History'!$D$5:$GG$1380,$K1742,AH!$U$10))))&gt;0),IF(AND(AH!$U$12=1,1737+1=AH!$U$6),IF(AH!$U$4=0,"unavailable",INDEX('Market Data'!$AN$5:$AN$66,AH!$U$4)),IF(AH!$U$5=1,INDEX('Live History'!$B$5:$B$3004,$K1742),INDEX('AH History'!$D$5:$GG$1380,$K1742,AH!$U$10))),NA()),NA())</f>
        <v/>
      </c>
      <c r="F1742" s="32">
        <f>IFERROR(IF(ISNUMBER($A1742),IF(AND(AH!$U$12=1,1737+1=AH!$U$6),IF(AH!$U$4=0,"unavailable",INDEX('Market Data'!$AO$5:$AO$66,AH!$U$4)),IF(AH!$U$5=1,INDEX('Live History'!$E$5:$E$3004,MATCH($A1742,'Live History'!$D$5:$D$3004,1)),INDEX('AH History'!$D$5:$GG$1380,$K1742,AH!$U$10+1))),NA()),NA())</f>
        <v/>
      </c>
      <c r="G1742" s="34">
        <f>IFERROR(IF(ISNUMBER($A1742),IF(AND(AH!$U$12=1,1737+1=AH!$U$6),IF(AH!$U$4=0,"unavailable",INDEX('Market Data'!$AK$5:$AK$66,AH!$U$4)),IF(AH!$U$5=1,INDEX('Live History'!$D$5:$D$3004,MATCH($A1742,'Live History'!$D$5:$D$3004,1)),INDEX('AH History'!$D$5:$GG$1380,$K1742,AH!$U$10+2))),NA()),NA())</f>
        <v/>
      </c>
      <c r="H1742" s="266">
        <f>IFERROR(IF(ISNUMBER($A1742),IF(AND(AH!$U$12=1,1737+1=AH!$U$6),IF(AH!$U$4=0,"unavailable",INDEX('Market Data'!$AP$5:$AP$66,AH!$U$4)),IF(AH!$U$5=1,INDEX('Live History'!$H$5:$H$3004,MATCH($A1742,'Live History'!$G$5:$G$3004,1)),INDEX('AH History'!$B$5:$B$1380,$K1742))),NA()),NA())</f>
        <v/>
      </c>
      <c r="I1742" s="34">
        <f>IFERROR(IF(ISNUMBER($A1742),IF(AND(AH!$U$12=1,1737+1=AH!$U$6),TODAY(),IF(AH!$U$5=1,INDEX('Live History'!$G$5:$G$3004,MATCH($A1742,'Live History'!$G$5:$G$3004,1)),INDEX('AH History'!$C$5:$C$1380,$K1742))),NA()),NA())</f>
        <v/>
      </c>
      <c r="J1742" s="32">
        <f>IFERROR(IF(AND($F1742&gt;0,$H1742&gt;0,$A1742-$G1742&lt;=10,$A1742-$I1742&lt;=5,$G1742&gt;0,$I1742&gt;0),$F1742*$H1742,NA()),NA())</f>
        <v/>
      </c>
      <c r="K1742" s="15">
        <f>IF($A1742="","",IF(AH!$U$5=1,IFERROR(MATCH($A1742,'Live History'!$A$5:$A$3004,0),0),AH!$U$7+1737))</f>
        <v/>
      </c>
      <c r="L1742" s="15">
        <f>IF(ISNUMBER(A1742),TEXT(A1742,"dd-mmm-yy"),"")</f>
        <v/>
      </c>
    </row>
    <row r="1743">
      <c r="A1743" s="14">
        <f>IF(OR(AH!$U$4=0,1738+1&gt;AH!$U$6,AND(AH!$M$5="Bloomberg",AH!$U$5=0)),"",IFERROR(IF(AND(AH!$U$12=1,1738+1=AH!$U$6),TODAY(),IF(AH!$U$5=1,INDEX('Live History'!$A$5:$A$3004,AH!$U$7+1738),INDEX('AH History'!$A$5:$A$1380,AH!$U$7+1738))),""))</f>
        <v/>
      </c>
      <c r="B1743" s="33">
        <f>IFERROR(IF(AH!$U$11=1,NA(),$J1743/$E1743-1),NA())</f>
        <v/>
      </c>
      <c r="C1743" s="269">
        <f>IFERROR(100*$E1743/$E$5,NA())</f>
        <v/>
      </c>
      <c r="D1743" s="269">
        <f>IFERROR(100*$J1743/$J$5,NA())</f>
        <v/>
      </c>
      <c r="E1743" s="32">
        <f>IFERROR(IF(AND(ISNUMBER($A1743),N(IF(AND(AH!$U$12=1,1738+1=AH!$U$6),IF(AH!$U$4=0,"unavailable",INDEX('Market Data'!$AN$5:$AN$66,AH!$U$4)),IF(AH!$U$5=1,INDEX('Live History'!$B$5:$B$3004,$K1743),INDEX('AH History'!$D$5:$GG$1380,$K1743,AH!$U$10))))&gt;0),IF(AND(AH!$U$12=1,1738+1=AH!$U$6),IF(AH!$U$4=0,"unavailable",INDEX('Market Data'!$AN$5:$AN$66,AH!$U$4)),IF(AH!$U$5=1,INDEX('Live History'!$B$5:$B$3004,$K1743),INDEX('AH History'!$D$5:$GG$1380,$K1743,AH!$U$10))),NA()),NA())</f>
        <v/>
      </c>
      <c r="F1743" s="32">
        <f>IFERROR(IF(ISNUMBER($A1743),IF(AND(AH!$U$12=1,1738+1=AH!$U$6),IF(AH!$U$4=0,"unavailable",INDEX('Market Data'!$AO$5:$AO$66,AH!$U$4)),IF(AH!$U$5=1,INDEX('Live History'!$E$5:$E$3004,MATCH($A1743,'Live History'!$D$5:$D$3004,1)),INDEX('AH History'!$D$5:$GG$1380,$K1743,AH!$U$10+1))),NA()),NA())</f>
        <v/>
      </c>
      <c r="G1743" s="34">
        <f>IFERROR(IF(ISNUMBER($A1743),IF(AND(AH!$U$12=1,1738+1=AH!$U$6),IF(AH!$U$4=0,"unavailable",INDEX('Market Data'!$AK$5:$AK$66,AH!$U$4)),IF(AH!$U$5=1,INDEX('Live History'!$D$5:$D$3004,MATCH($A1743,'Live History'!$D$5:$D$3004,1)),INDEX('AH History'!$D$5:$GG$1380,$K1743,AH!$U$10+2))),NA()),NA())</f>
        <v/>
      </c>
      <c r="H1743" s="266">
        <f>IFERROR(IF(ISNUMBER($A1743),IF(AND(AH!$U$12=1,1738+1=AH!$U$6),IF(AH!$U$4=0,"unavailable",INDEX('Market Data'!$AP$5:$AP$66,AH!$U$4)),IF(AH!$U$5=1,INDEX('Live History'!$H$5:$H$3004,MATCH($A1743,'Live History'!$G$5:$G$3004,1)),INDEX('AH History'!$B$5:$B$1380,$K1743))),NA()),NA())</f>
        <v/>
      </c>
      <c r="I1743" s="34">
        <f>IFERROR(IF(ISNUMBER($A1743),IF(AND(AH!$U$12=1,1738+1=AH!$U$6),TODAY(),IF(AH!$U$5=1,INDEX('Live History'!$G$5:$G$3004,MATCH($A1743,'Live History'!$G$5:$G$3004,1)),INDEX('AH History'!$C$5:$C$1380,$K1743))),NA()),NA())</f>
        <v/>
      </c>
      <c r="J1743" s="32">
        <f>IFERROR(IF(AND($F1743&gt;0,$H1743&gt;0,$A1743-$G1743&lt;=10,$A1743-$I1743&lt;=5,$G1743&gt;0,$I1743&gt;0),$F1743*$H1743,NA()),NA())</f>
        <v/>
      </c>
      <c r="K1743" s="15">
        <f>IF($A1743="","",IF(AH!$U$5=1,IFERROR(MATCH($A1743,'Live History'!$A$5:$A$3004,0),0),AH!$U$7+1738))</f>
        <v/>
      </c>
      <c r="L1743" s="15">
        <f>IF(ISNUMBER(A1743),TEXT(A1743,"dd-mmm-yy"),"")</f>
        <v/>
      </c>
    </row>
    <row r="1744">
      <c r="A1744" s="14">
        <f>IF(OR(AH!$U$4=0,1739+1&gt;AH!$U$6,AND(AH!$M$5="Bloomberg",AH!$U$5=0)),"",IFERROR(IF(AND(AH!$U$12=1,1739+1=AH!$U$6),TODAY(),IF(AH!$U$5=1,INDEX('Live History'!$A$5:$A$3004,AH!$U$7+1739),INDEX('AH History'!$A$5:$A$1380,AH!$U$7+1739))),""))</f>
        <v/>
      </c>
      <c r="B1744" s="33">
        <f>IFERROR(IF(AH!$U$11=1,NA(),$J1744/$E1744-1),NA())</f>
        <v/>
      </c>
      <c r="C1744" s="269">
        <f>IFERROR(100*$E1744/$E$5,NA())</f>
        <v/>
      </c>
      <c r="D1744" s="269">
        <f>IFERROR(100*$J1744/$J$5,NA())</f>
        <v/>
      </c>
      <c r="E1744" s="32">
        <f>IFERROR(IF(AND(ISNUMBER($A1744),N(IF(AND(AH!$U$12=1,1739+1=AH!$U$6),IF(AH!$U$4=0,"unavailable",INDEX('Market Data'!$AN$5:$AN$66,AH!$U$4)),IF(AH!$U$5=1,INDEX('Live History'!$B$5:$B$3004,$K1744),INDEX('AH History'!$D$5:$GG$1380,$K1744,AH!$U$10))))&gt;0),IF(AND(AH!$U$12=1,1739+1=AH!$U$6),IF(AH!$U$4=0,"unavailable",INDEX('Market Data'!$AN$5:$AN$66,AH!$U$4)),IF(AH!$U$5=1,INDEX('Live History'!$B$5:$B$3004,$K1744),INDEX('AH History'!$D$5:$GG$1380,$K1744,AH!$U$10))),NA()),NA())</f>
        <v/>
      </c>
      <c r="F1744" s="32">
        <f>IFERROR(IF(ISNUMBER($A1744),IF(AND(AH!$U$12=1,1739+1=AH!$U$6),IF(AH!$U$4=0,"unavailable",INDEX('Market Data'!$AO$5:$AO$66,AH!$U$4)),IF(AH!$U$5=1,INDEX('Live History'!$E$5:$E$3004,MATCH($A1744,'Live History'!$D$5:$D$3004,1)),INDEX('AH History'!$D$5:$GG$1380,$K1744,AH!$U$10+1))),NA()),NA())</f>
        <v/>
      </c>
      <c r="G1744" s="34">
        <f>IFERROR(IF(ISNUMBER($A1744),IF(AND(AH!$U$12=1,1739+1=AH!$U$6),IF(AH!$U$4=0,"unavailable",INDEX('Market Data'!$AK$5:$AK$66,AH!$U$4)),IF(AH!$U$5=1,INDEX('Live History'!$D$5:$D$3004,MATCH($A1744,'Live History'!$D$5:$D$3004,1)),INDEX('AH History'!$D$5:$GG$1380,$K1744,AH!$U$10+2))),NA()),NA())</f>
        <v/>
      </c>
      <c r="H1744" s="266">
        <f>IFERROR(IF(ISNUMBER($A1744),IF(AND(AH!$U$12=1,1739+1=AH!$U$6),IF(AH!$U$4=0,"unavailable",INDEX('Market Data'!$AP$5:$AP$66,AH!$U$4)),IF(AH!$U$5=1,INDEX('Live History'!$H$5:$H$3004,MATCH($A1744,'Live History'!$G$5:$G$3004,1)),INDEX('AH History'!$B$5:$B$1380,$K1744))),NA()),NA())</f>
        <v/>
      </c>
      <c r="I1744" s="34">
        <f>IFERROR(IF(ISNUMBER($A1744),IF(AND(AH!$U$12=1,1739+1=AH!$U$6),TODAY(),IF(AH!$U$5=1,INDEX('Live History'!$G$5:$G$3004,MATCH($A1744,'Live History'!$G$5:$G$3004,1)),INDEX('AH History'!$C$5:$C$1380,$K1744))),NA()),NA())</f>
        <v/>
      </c>
      <c r="J1744" s="32">
        <f>IFERROR(IF(AND($F1744&gt;0,$H1744&gt;0,$A1744-$G1744&lt;=10,$A1744-$I1744&lt;=5,$G1744&gt;0,$I1744&gt;0),$F1744*$H1744,NA()),NA())</f>
        <v/>
      </c>
      <c r="K1744" s="15">
        <f>IF($A1744="","",IF(AH!$U$5=1,IFERROR(MATCH($A1744,'Live History'!$A$5:$A$3004,0),0),AH!$U$7+1739))</f>
        <v/>
      </c>
      <c r="L1744" s="15">
        <f>IF(ISNUMBER(A1744),TEXT(A1744,"dd-mmm-yy"),"")</f>
        <v/>
      </c>
    </row>
    <row r="1745">
      <c r="A1745" s="14">
        <f>IF(OR(AH!$U$4=0,1740+1&gt;AH!$U$6,AND(AH!$M$5="Bloomberg",AH!$U$5=0)),"",IFERROR(IF(AND(AH!$U$12=1,1740+1=AH!$U$6),TODAY(),IF(AH!$U$5=1,INDEX('Live History'!$A$5:$A$3004,AH!$U$7+1740),INDEX('AH History'!$A$5:$A$1380,AH!$U$7+1740))),""))</f>
        <v/>
      </c>
      <c r="B1745" s="33">
        <f>IFERROR(IF(AH!$U$11=1,NA(),$J1745/$E1745-1),NA())</f>
        <v/>
      </c>
      <c r="C1745" s="269">
        <f>IFERROR(100*$E1745/$E$5,NA())</f>
        <v/>
      </c>
      <c r="D1745" s="269">
        <f>IFERROR(100*$J1745/$J$5,NA())</f>
        <v/>
      </c>
      <c r="E1745" s="32">
        <f>IFERROR(IF(AND(ISNUMBER($A1745),N(IF(AND(AH!$U$12=1,1740+1=AH!$U$6),IF(AH!$U$4=0,"unavailable",INDEX('Market Data'!$AN$5:$AN$66,AH!$U$4)),IF(AH!$U$5=1,INDEX('Live History'!$B$5:$B$3004,$K1745),INDEX('AH History'!$D$5:$GG$1380,$K1745,AH!$U$10))))&gt;0),IF(AND(AH!$U$12=1,1740+1=AH!$U$6),IF(AH!$U$4=0,"unavailable",INDEX('Market Data'!$AN$5:$AN$66,AH!$U$4)),IF(AH!$U$5=1,INDEX('Live History'!$B$5:$B$3004,$K1745),INDEX('AH History'!$D$5:$GG$1380,$K1745,AH!$U$10))),NA()),NA())</f>
        <v/>
      </c>
      <c r="F1745" s="32">
        <f>IFERROR(IF(ISNUMBER($A1745),IF(AND(AH!$U$12=1,1740+1=AH!$U$6),IF(AH!$U$4=0,"unavailable",INDEX('Market Data'!$AO$5:$AO$66,AH!$U$4)),IF(AH!$U$5=1,INDEX('Live History'!$E$5:$E$3004,MATCH($A1745,'Live History'!$D$5:$D$3004,1)),INDEX('AH History'!$D$5:$GG$1380,$K1745,AH!$U$10+1))),NA()),NA())</f>
        <v/>
      </c>
      <c r="G1745" s="34">
        <f>IFERROR(IF(ISNUMBER($A1745),IF(AND(AH!$U$12=1,1740+1=AH!$U$6),IF(AH!$U$4=0,"unavailable",INDEX('Market Data'!$AK$5:$AK$66,AH!$U$4)),IF(AH!$U$5=1,INDEX('Live History'!$D$5:$D$3004,MATCH($A1745,'Live History'!$D$5:$D$3004,1)),INDEX('AH History'!$D$5:$GG$1380,$K1745,AH!$U$10+2))),NA()),NA())</f>
        <v/>
      </c>
      <c r="H1745" s="266">
        <f>IFERROR(IF(ISNUMBER($A1745),IF(AND(AH!$U$12=1,1740+1=AH!$U$6),IF(AH!$U$4=0,"unavailable",INDEX('Market Data'!$AP$5:$AP$66,AH!$U$4)),IF(AH!$U$5=1,INDEX('Live History'!$H$5:$H$3004,MATCH($A1745,'Live History'!$G$5:$G$3004,1)),INDEX('AH History'!$B$5:$B$1380,$K1745))),NA()),NA())</f>
        <v/>
      </c>
      <c r="I1745" s="34">
        <f>IFERROR(IF(ISNUMBER($A1745),IF(AND(AH!$U$12=1,1740+1=AH!$U$6),TODAY(),IF(AH!$U$5=1,INDEX('Live History'!$G$5:$G$3004,MATCH($A1745,'Live History'!$G$5:$G$3004,1)),INDEX('AH History'!$C$5:$C$1380,$K1745))),NA()),NA())</f>
        <v/>
      </c>
      <c r="J1745" s="32">
        <f>IFERROR(IF(AND($F1745&gt;0,$H1745&gt;0,$A1745-$G1745&lt;=10,$A1745-$I1745&lt;=5,$G1745&gt;0,$I1745&gt;0),$F1745*$H1745,NA()),NA())</f>
        <v/>
      </c>
      <c r="K1745" s="15">
        <f>IF($A1745="","",IF(AH!$U$5=1,IFERROR(MATCH($A1745,'Live History'!$A$5:$A$3004,0),0),AH!$U$7+1740))</f>
        <v/>
      </c>
      <c r="L1745" s="15">
        <f>IF(ISNUMBER(A1745),TEXT(A1745,"dd-mmm-yy"),"")</f>
        <v/>
      </c>
    </row>
    <row r="1746">
      <c r="A1746" s="14">
        <f>IF(OR(AH!$U$4=0,1741+1&gt;AH!$U$6,AND(AH!$M$5="Bloomberg",AH!$U$5=0)),"",IFERROR(IF(AND(AH!$U$12=1,1741+1=AH!$U$6),TODAY(),IF(AH!$U$5=1,INDEX('Live History'!$A$5:$A$3004,AH!$U$7+1741),INDEX('AH History'!$A$5:$A$1380,AH!$U$7+1741))),""))</f>
        <v/>
      </c>
      <c r="B1746" s="33">
        <f>IFERROR(IF(AH!$U$11=1,NA(),$J1746/$E1746-1),NA())</f>
        <v/>
      </c>
      <c r="C1746" s="269">
        <f>IFERROR(100*$E1746/$E$5,NA())</f>
        <v/>
      </c>
      <c r="D1746" s="269">
        <f>IFERROR(100*$J1746/$J$5,NA())</f>
        <v/>
      </c>
      <c r="E1746" s="32">
        <f>IFERROR(IF(AND(ISNUMBER($A1746),N(IF(AND(AH!$U$12=1,1741+1=AH!$U$6),IF(AH!$U$4=0,"unavailable",INDEX('Market Data'!$AN$5:$AN$66,AH!$U$4)),IF(AH!$U$5=1,INDEX('Live History'!$B$5:$B$3004,$K1746),INDEX('AH History'!$D$5:$GG$1380,$K1746,AH!$U$10))))&gt;0),IF(AND(AH!$U$12=1,1741+1=AH!$U$6),IF(AH!$U$4=0,"unavailable",INDEX('Market Data'!$AN$5:$AN$66,AH!$U$4)),IF(AH!$U$5=1,INDEX('Live History'!$B$5:$B$3004,$K1746),INDEX('AH History'!$D$5:$GG$1380,$K1746,AH!$U$10))),NA()),NA())</f>
        <v/>
      </c>
      <c r="F1746" s="32">
        <f>IFERROR(IF(ISNUMBER($A1746),IF(AND(AH!$U$12=1,1741+1=AH!$U$6),IF(AH!$U$4=0,"unavailable",INDEX('Market Data'!$AO$5:$AO$66,AH!$U$4)),IF(AH!$U$5=1,INDEX('Live History'!$E$5:$E$3004,MATCH($A1746,'Live History'!$D$5:$D$3004,1)),INDEX('AH History'!$D$5:$GG$1380,$K1746,AH!$U$10+1))),NA()),NA())</f>
        <v/>
      </c>
      <c r="G1746" s="34">
        <f>IFERROR(IF(ISNUMBER($A1746),IF(AND(AH!$U$12=1,1741+1=AH!$U$6),IF(AH!$U$4=0,"unavailable",INDEX('Market Data'!$AK$5:$AK$66,AH!$U$4)),IF(AH!$U$5=1,INDEX('Live History'!$D$5:$D$3004,MATCH($A1746,'Live History'!$D$5:$D$3004,1)),INDEX('AH History'!$D$5:$GG$1380,$K1746,AH!$U$10+2))),NA()),NA())</f>
        <v/>
      </c>
      <c r="H1746" s="266">
        <f>IFERROR(IF(ISNUMBER($A1746),IF(AND(AH!$U$12=1,1741+1=AH!$U$6),IF(AH!$U$4=0,"unavailable",INDEX('Market Data'!$AP$5:$AP$66,AH!$U$4)),IF(AH!$U$5=1,INDEX('Live History'!$H$5:$H$3004,MATCH($A1746,'Live History'!$G$5:$G$3004,1)),INDEX('AH History'!$B$5:$B$1380,$K1746))),NA()),NA())</f>
        <v/>
      </c>
      <c r="I1746" s="34">
        <f>IFERROR(IF(ISNUMBER($A1746),IF(AND(AH!$U$12=1,1741+1=AH!$U$6),TODAY(),IF(AH!$U$5=1,INDEX('Live History'!$G$5:$G$3004,MATCH($A1746,'Live History'!$G$5:$G$3004,1)),INDEX('AH History'!$C$5:$C$1380,$K1746))),NA()),NA())</f>
        <v/>
      </c>
      <c r="J1746" s="32">
        <f>IFERROR(IF(AND($F1746&gt;0,$H1746&gt;0,$A1746-$G1746&lt;=10,$A1746-$I1746&lt;=5,$G1746&gt;0,$I1746&gt;0),$F1746*$H1746,NA()),NA())</f>
        <v/>
      </c>
      <c r="K1746" s="15">
        <f>IF($A1746="","",IF(AH!$U$5=1,IFERROR(MATCH($A1746,'Live History'!$A$5:$A$3004,0),0),AH!$U$7+1741))</f>
        <v/>
      </c>
      <c r="L1746" s="15">
        <f>IF(ISNUMBER(A1746),TEXT(A1746,"dd-mmm-yy"),"")</f>
        <v/>
      </c>
    </row>
    <row r="1747">
      <c r="A1747" s="14">
        <f>IF(OR(AH!$U$4=0,1742+1&gt;AH!$U$6,AND(AH!$M$5="Bloomberg",AH!$U$5=0)),"",IFERROR(IF(AND(AH!$U$12=1,1742+1=AH!$U$6),TODAY(),IF(AH!$U$5=1,INDEX('Live History'!$A$5:$A$3004,AH!$U$7+1742),INDEX('AH History'!$A$5:$A$1380,AH!$U$7+1742))),""))</f>
        <v/>
      </c>
      <c r="B1747" s="33">
        <f>IFERROR(IF(AH!$U$11=1,NA(),$J1747/$E1747-1),NA())</f>
        <v/>
      </c>
      <c r="C1747" s="269">
        <f>IFERROR(100*$E1747/$E$5,NA())</f>
        <v/>
      </c>
      <c r="D1747" s="269">
        <f>IFERROR(100*$J1747/$J$5,NA())</f>
        <v/>
      </c>
      <c r="E1747" s="32">
        <f>IFERROR(IF(AND(ISNUMBER($A1747),N(IF(AND(AH!$U$12=1,1742+1=AH!$U$6),IF(AH!$U$4=0,"unavailable",INDEX('Market Data'!$AN$5:$AN$66,AH!$U$4)),IF(AH!$U$5=1,INDEX('Live History'!$B$5:$B$3004,$K1747),INDEX('AH History'!$D$5:$GG$1380,$K1747,AH!$U$10))))&gt;0),IF(AND(AH!$U$12=1,1742+1=AH!$U$6),IF(AH!$U$4=0,"unavailable",INDEX('Market Data'!$AN$5:$AN$66,AH!$U$4)),IF(AH!$U$5=1,INDEX('Live History'!$B$5:$B$3004,$K1747),INDEX('AH History'!$D$5:$GG$1380,$K1747,AH!$U$10))),NA()),NA())</f>
        <v/>
      </c>
      <c r="F1747" s="32">
        <f>IFERROR(IF(ISNUMBER($A1747),IF(AND(AH!$U$12=1,1742+1=AH!$U$6),IF(AH!$U$4=0,"unavailable",INDEX('Market Data'!$AO$5:$AO$66,AH!$U$4)),IF(AH!$U$5=1,INDEX('Live History'!$E$5:$E$3004,MATCH($A1747,'Live History'!$D$5:$D$3004,1)),INDEX('AH History'!$D$5:$GG$1380,$K1747,AH!$U$10+1))),NA()),NA())</f>
        <v/>
      </c>
      <c r="G1747" s="34">
        <f>IFERROR(IF(ISNUMBER($A1747),IF(AND(AH!$U$12=1,1742+1=AH!$U$6),IF(AH!$U$4=0,"unavailable",INDEX('Market Data'!$AK$5:$AK$66,AH!$U$4)),IF(AH!$U$5=1,INDEX('Live History'!$D$5:$D$3004,MATCH($A1747,'Live History'!$D$5:$D$3004,1)),INDEX('AH History'!$D$5:$GG$1380,$K1747,AH!$U$10+2))),NA()),NA())</f>
        <v/>
      </c>
      <c r="H1747" s="266">
        <f>IFERROR(IF(ISNUMBER($A1747),IF(AND(AH!$U$12=1,1742+1=AH!$U$6),IF(AH!$U$4=0,"unavailable",INDEX('Market Data'!$AP$5:$AP$66,AH!$U$4)),IF(AH!$U$5=1,INDEX('Live History'!$H$5:$H$3004,MATCH($A1747,'Live History'!$G$5:$G$3004,1)),INDEX('AH History'!$B$5:$B$1380,$K1747))),NA()),NA())</f>
        <v/>
      </c>
      <c r="I1747" s="34">
        <f>IFERROR(IF(ISNUMBER($A1747),IF(AND(AH!$U$12=1,1742+1=AH!$U$6),TODAY(),IF(AH!$U$5=1,INDEX('Live History'!$G$5:$G$3004,MATCH($A1747,'Live History'!$G$5:$G$3004,1)),INDEX('AH History'!$C$5:$C$1380,$K1747))),NA()),NA())</f>
        <v/>
      </c>
      <c r="J1747" s="32">
        <f>IFERROR(IF(AND($F1747&gt;0,$H1747&gt;0,$A1747-$G1747&lt;=10,$A1747-$I1747&lt;=5,$G1747&gt;0,$I1747&gt;0),$F1747*$H1747,NA()),NA())</f>
        <v/>
      </c>
      <c r="K1747" s="15">
        <f>IF($A1747="","",IF(AH!$U$5=1,IFERROR(MATCH($A1747,'Live History'!$A$5:$A$3004,0),0),AH!$U$7+1742))</f>
        <v/>
      </c>
      <c r="L1747" s="15">
        <f>IF(ISNUMBER(A1747),TEXT(A1747,"dd-mmm-yy"),"")</f>
        <v/>
      </c>
    </row>
    <row r="1748">
      <c r="A1748" s="14">
        <f>IF(OR(AH!$U$4=0,1743+1&gt;AH!$U$6,AND(AH!$M$5="Bloomberg",AH!$U$5=0)),"",IFERROR(IF(AND(AH!$U$12=1,1743+1=AH!$U$6),TODAY(),IF(AH!$U$5=1,INDEX('Live History'!$A$5:$A$3004,AH!$U$7+1743),INDEX('AH History'!$A$5:$A$1380,AH!$U$7+1743))),""))</f>
        <v/>
      </c>
      <c r="B1748" s="33">
        <f>IFERROR(IF(AH!$U$11=1,NA(),$J1748/$E1748-1),NA())</f>
        <v/>
      </c>
      <c r="C1748" s="269">
        <f>IFERROR(100*$E1748/$E$5,NA())</f>
        <v/>
      </c>
      <c r="D1748" s="269">
        <f>IFERROR(100*$J1748/$J$5,NA())</f>
        <v/>
      </c>
      <c r="E1748" s="32">
        <f>IFERROR(IF(AND(ISNUMBER($A1748),N(IF(AND(AH!$U$12=1,1743+1=AH!$U$6),IF(AH!$U$4=0,"unavailable",INDEX('Market Data'!$AN$5:$AN$66,AH!$U$4)),IF(AH!$U$5=1,INDEX('Live History'!$B$5:$B$3004,$K1748),INDEX('AH History'!$D$5:$GG$1380,$K1748,AH!$U$10))))&gt;0),IF(AND(AH!$U$12=1,1743+1=AH!$U$6),IF(AH!$U$4=0,"unavailable",INDEX('Market Data'!$AN$5:$AN$66,AH!$U$4)),IF(AH!$U$5=1,INDEX('Live History'!$B$5:$B$3004,$K1748),INDEX('AH History'!$D$5:$GG$1380,$K1748,AH!$U$10))),NA()),NA())</f>
        <v/>
      </c>
      <c r="F1748" s="32">
        <f>IFERROR(IF(ISNUMBER($A1748),IF(AND(AH!$U$12=1,1743+1=AH!$U$6),IF(AH!$U$4=0,"unavailable",INDEX('Market Data'!$AO$5:$AO$66,AH!$U$4)),IF(AH!$U$5=1,INDEX('Live History'!$E$5:$E$3004,MATCH($A1748,'Live History'!$D$5:$D$3004,1)),INDEX('AH History'!$D$5:$GG$1380,$K1748,AH!$U$10+1))),NA()),NA())</f>
        <v/>
      </c>
      <c r="G1748" s="34">
        <f>IFERROR(IF(ISNUMBER($A1748),IF(AND(AH!$U$12=1,1743+1=AH!$U$6),IF(AH!$U$4=0,"unavailable",INDEX('Market Data'!$AK$5:$AK$66,AH!$U$4)),IF(AH!$U$5=1,INDEX('Live History'!$D$5:$D$3004,MATCH($A1748,'Live History'!$D$5:$D$3004,1)),INDEX('AH History'!$D$5:$GG$1380,$K1748,AH!$U$10+2))),NA()),NA())</f>
        <v/>
      </c>
      <c r="H1748" s="266">
        <f>IFERROR(IF(ISNUMBER($A1748),IF(AND(AH!$U$12=1,1743+1=AH!$U$6),IF(AH!$U$4=0,"unavailable",INDEX('Market Data'!$AP$5:$AP$66,AH!$U$4)),IF(AH!$U$5=1,INDEX('Live History'!$H$5:$H$3004,MATCH($A1748,'Live History'!$G$5:$G$3004,1)),INDEX('AH History'!$B$5:$B$1380,$K1748))),NA()),NA())</f>
        <v/>
      </c>
      <c r="I1748" s="34">
        <f>IFERROR(IF(ISNUMBER($A1748),IF(AND(AH!$U$12=1,1743+1=AH!$U$6),TODAY(),IF(AH!$U$5=1,INDEX('Live History'!$G$5:$G$3004,MATCH($A1748,'Live History'!$G$5:$G$3004,1)),INDEX('AH History'!$C$5:$C$1380,$K1748))),NA()),NA())</f>
        <v/>
      </c>
      <c r="J1748" s="32">
        <f>IFERROR(IF(AND($F1748&gt;0,$H1748&gt;0,$A1748-$G1748&lt;=10,$A1748-$I1748&lt;=5,$G1748&gt;0,$I1748&gt;0),$F1748*$H1748,NA()),NA())</f>
        <v/>
      </c>
      <c r="K1748" s="15">
        <f>IF($A1748="","",IF(AH!$U$5=1,IFERROR(MATCH($A1748,'Live History'!$A$5:$A$3004,0),0),AH!$U$7+1743))</f>
        <v/>
      </c>
      <c r="L1748" s="15">
        <f>IF(ISNUMBER(A1748),TEXT(A1748,"dd-mmm-yy"),"")</f>
        <v/>
      </c>
    </row>
    <row r="1749">
      <c r="A1749" s="14">
        <f>IF(OR(AH!$U$4=0,1744+1&gt;AH!$U$6,AND(AH!$M$5="Bloomberg",AH!$U$5=0)),"",IFERROR(IF(AND(AH!$U$12=1,1744+1=AH!$U$6),TODAY(),IF(AH!$U$5=1,INDEX('Live History'!$A$5:$A$3004,AH!$U$7+1744),INDEX('AH History'!$A$5:$A$1380,AH!$U$7+1744))),""))</f>
        <v/>
      </c>
      <c r="B1749" s="33">
        <f>IFERROR(IF(AH!$U$11=1,NA(),$J1749/$E1749-1),NA())</f>
        <v/>
      </c>
      <c r="C1749" s="269">
        <f>IFERROR(100*$E1749/$E$5,NA())</f>
        <v/>
      </c>
      <c r="D1749" s="269">
        <f>IFERROR(100*$J1749/$J$5,NA())</f>
        <v/>
      </c>
      <c r="E1749" s="32">
        <f>IFERROR(IF(AND(ISNUMBER($A1749),N(IF(AND(AH!$U$12=1,1744+1=AH!$U$6),IF(AH!$U$4=0,"unavailable",INDEX('Market Data'!$AN$5:$AN$66,AH!$U$4)),IF(AH!$U$5=1,INDEX('Live History'!$B$5:$B$3004,$K1749),INDEX('AH History'!$D$5:$GG$1380,$K1749,AH!$U$10))))&gt;0),IF(AND(AH!$U$12=1,1744+1=AH!$U$6),IF(AH!$U$4=0,"unavailable",INDEX('Market Data'!$AN$5:$AN$66,AH!$U$4)),IF(AH!$U$5=1,INDEX('Live History'!$B$5:$B$3004,$K1749),INDEX('AH History'!$D$5:$GG$1380,$K1749,AH!$U$10))),NA()),NA())</f>
        <v/>
      </c>
      <c r="F1749" s="32">
        <f>IFERROR(IF(ISNUMBER($A1749),IF(AND(AH!$U$12=1,1744+1=AH!$U$6),IF(AH!$U$4=0,"unavailable",INDEX('Market Data'!$AO$5:$AO$66,AH!$U$4)),IF(AH!$U$5=1,INDEX('Live History'!$E$5:$E$3004,MATCH($A1749,'Live History'!$D$5:$D$3004,1)),INDEX('AH History'!$D$5:$GG$1380,$K1749,AH!$U$10+1))),NA()),NA())</f>
        <v/>
      </c>
      <c r="G1749" s="34">
        <f>IFERROR(IF(ISNUMBER($A1749),IF(AND(AH!$U$12=1,1744+1=AH!$U$6),IF(AH!$U$4=0,"unavailable",INDEX('Market Data'!$AK$5:$AK$66,AH!$U$4)),IF(AH!$U$5=1,INDEX('Live History'!$D$5:$D$3004,MATCH($A1749,'Live History'!$D$5:$D$3004,1)),INDEX('AH History'!$D$5:$GG$1380,$K1749,AH!$U$10+2))),NA()),NA())</f>
        <v/>
      </c>
      <c r="H1749" s="266">
        <f>IFERROR(IF(ISNUMBER($A1749),IF(AND(AH!$U$12=1,1744+1=AH!$U$6),IF(AH!$U$4=0,"unavailable",INDEX('Market Data'!$AP$5:$AP$66,AH!$U$4)),IF(AH!$U$5=1,INDEX('Live History'!$H$5:$H$3004,MATCH($A1749,'Live History'!$G$5:$G$3004,1)),INDEX('AH History'!$B$5:$B$1380,$K1749))),NA()),NA())</f>
        <v/>
      </c>
      <c r="I1749" s="34">
        <f>IFERROR(IF(ISNUMBER($A1749),IF(AND(AH!$U$12=1,1744+1=AH!$U$6),TODAY(),IF(AH!$U$5=1,INDEX('Live History'!$G$5:$G$3004,MATCH($A1749,'Live History'!$G$5:$G$3004,1)),INDEX('AH History'!$C$5:$C$1380,$K1749))),NA()),NA())</f>
        <v/>
      </c>
      <c r="J1749" s="32">
        <f>IFERROR(IF(AND($F1749&gt;0,$H1749&gt;0,$A1749-$G1749&lt;=10,$A1749-$I1749&lt;=5,$G1749&gt;0,$I1749&gt;0),$F1749*$H1749,NA()),NA())</f>
        <v/>
      </c>
      <c r="K1749" s="15">
        <f>IF($A1749="","",IF(AH!$U$5=1,IFERROR(MATCH($A1749,'Live History'!$A$5:$A$3004,0),0),AH!$U$7+1744))</f>
        <v/>
      </c>
      <c r="L1749" s="15">
        <f>IF(ISNUMBER(A1749),TEXT(A1749,"dd-mmm-yy"),"")</f>
        <v/>
      </c>
    </row>
    <row r="1750">
      <c r="A1750" s="14">
        <f>IF(OR(AH!$U$4=0,1745+1&gt;AH!$U$6,AND(AH!$M$5="Bloomberg",AH!$U$5=0)),"",IFERROR(IF(AND(AH!$U$12=1,1745+1=AH!$U$6),TODAY(),IF(AH!$U$5=1,INDEX('Live History'!$A$5:$A$3004,AH!$U$7+1745),INDEX('AH History'!$A$5:$A$1380,AH!$U$7+1745))),""))</f>
        <v/>
      </c>
      <c r="B1750" s="33">
        <f>IFERROR(IF(AH!$U$11=1,NA(),$J1750/$E1750-1),NA())</f>
        <v/>
      </c>
      <c r="C1750" s="269">
        <f>IFERROR(100*$E1750/$E$5,NA())</f>
        <v/>
      </c>
      <c r="D1750" s="269">
        <f>IFERROR(100*$J1750/$J$5,NA())</f>
        <v/>
      </c>
      <c r="E1750" s="32">
        <f>IFERROR(IF(AND(ISNUMBER($A1750),N(IF(AND(AH!$U$12=1,1745+1=AH!$U$6),IF(AH!$U$4=0,"unavailable",INDEX('Market Data'!$AN$5:$AN$66,AH!$U$4)),IF(AH!$U$5=1,INDEX('Live History'!$B$5:$B$3004,$K1750),INDEX('AH History'!$D$5:$GG$1380,$K1750,AH!$U$10))))&gt;0),IF(AND(AH!$U$12=1,1745+1=AH!$U$6),IF(AH!$U$4=0,"unavailable",INDEX('Market Data'!$AN$5:$AN$66,AH!$U$4)),IF(AH!$U$5=1,INDEX('Live History'!$B$5:$B$3004,$K1750),INDEX('AH History'!$D$5:$GG$1380,$K1750,AH!$U$10))),NA()),NA())</f>
        <v/>
      </c>
      <c r="F1750" s="32">
        <f>IFERROR(IF(ISNUMBER($A1750),IF(AND(AH!$U$12=1,1745+1=AH!$U$6),IF(AH!$U$4=0,"unavailable",INDEX('Market Data'!$AO$5:$AO$66,AH!$U$4)),IF(AH!$U$5=1,INDEX('Live History'!$E$5:$E$3004,MATCH($A1750,'Live History'!$D$5:$D$3004,1)),INDEX('AH History'!$D$5:$GG$1380,$K1750,AH!$U$10+1))),NA()),NA())</f>
        <v/>
      </c>
      <c r="G1750" s="34">
        <f>IFERROR(IF(ISNUMBER($A1750),IF(AND(AH!$U$12=1,1745+1=AH!$U$6),IF(AH!$U$4=0,"unavailable",INDEX('Market Data'!$AK$5:$AK$66,AH!$U$4)),IF(AH!$U$5=1,INDEX('Live History'!$D$5:$D$3004,MATCH($A1750,'Live History'!$D$5:$D$3004,1)),INDEX('AH History'!$D$5:$GG$1380,$K1750,AH!$U$10+2))),NA()),NA())</f>
        <v/>
      </c>
      <c r="H1750" s="266">
        <f>IFERROR(IF(ISNUMBER($A1750),IF(AND(AH!$U$12=1,1745+1=AH!$U$6),IF(AH!$U$4=0,"unavailable",INDEX('Market Data'!$AP$5:$AP$66,AH!$U$4)),IF(AH!$U$5=1,INDEX('Live History'!$H$5:$H$3004,MATCH($A1750,'Live History'!$G$5:$G$3004,1)),INDEX('AH History'!$B$5:$B$1380,$K1750))),NA()),NA())</f>
        <v/>
      </c>
      <c r="I1750" s="34">
        <f>IFERROR(IF(ISNUMBER($A1750),IF(AND(AH!$U$12=1,1745+1=AH!$U$6),TODAY(),IF(AH!$U$5=1,INDEX('Live History'!$G$5:$G$3004,MATCH($A1750,'Live History'!$G$5:$G$3004,1)),INDEX('AH History'!$C$5:$C$1380,$K1750))),NA()),NA())</f>
        <v/>
      </c>
      <c r="J1750" s="32">
        <f>IFERROR(IF(AND($F1750&gt;0,$H1750&gt;0,$A1750-$G1750&lt;=10,$A1750-$I1750&lt;=5,$G1750&gt;0,$I1750&gt;0),$F1750*$H1750,NA()),NA())</f>
        <v/>
      </c>
      <c r="K1750" s="15">
        <f>IF($A1750="","",IF(AH!$U$5=1,IFERROR(MATCH($A1750,'Live History'!$A$5:$A$3004,0),0),AH!$U$7+1745))</f>
        <v/>
      </c>
      <c r="L1750" s="15">
        <f>IF(ISNUMBER(A1750),TEXT(A1750,"dd-mmm-yy"),"")</f>
        <v/>
      </c>
    </row>
    <row r="1751">
      <c r="A1751" s="14">
        <f>IF(OR(AH!$U$4=0,1746+1&gt;AH!$U$6,AND(AH!$M$5="Bloomberg",AH!$U$5=0)),"",IFERROR(IF(AND(AH!$U$12=1,1746+1=AH!$U$6),TODAY(),IF(AH!$U$5=1,INDEX('Live History'!$A$5:$A$3004,AH!$U$7+1746),INDEX('AH History'!$A$5:$A$1380,AH!$U$7+1746))),""))</f>
        <v/>
      </c>
      <c r="B1751" s="33">
        <f>IFERROR(IF(AH!$U$11=1,NA(),$J1751/$E1751-1),NA())</f>
        <v/>
      </c>
      <c r="C1751" s="269">
        <f>IFERROR(100*$E1751/$E$5,NA())</f>
        <v/>
      </c>
      <c r="D1751" s="269">
        <f>IFERROR(100*$J1751/$J$5,NA())</f>
        <v/>
      </c>
      <c r="E1751" s="32">
        <f>IFERROR(IF(AND(ISNUMBER($A1751),N(IF(AND(AH!$U$12=1,1746+1=AH!$U$6),IF(AH!$U$4=0,"unavailable",INDEX('Market Data'!$AN$5:$AN$66,AH!$U$4)),IF(AH!$U$5=1,INDEX('Live History'!$B$5:$B$3004,$K1751),INDEX('AH History'!$D$5:$GG$1380,$K1751,AH!$U$10))))&gt;0),IF(AND(AH!$U$12=1,1746+1=AH!$U$6),IF(AH!$U$4=0,"unavailable",INDEX('Market Data'!$AN$5:$AN$66,AH!$U$4)),IF(AH!$U$5=1,INDEX('Live History'!$B$5:$B$3004,$K1751),INDEX('AH History'!$D$5:$GG$1380,$K1751,AH!$U$10))),NA()),NA())</f>
        <v/>
      </c>
      <c r="F1751" s="32">
        <f>IFERROR(IF(ISNUMBER($A1751),IF(AND(AH!$U$12=1,1746+1=AH!$U$6),IF(AH!$U$4=0,"unavailable",INDEX('Market Data'!$AO$5:$AO$66,AH!$U$4)),IF(AH!$U$5=1,INDEX('Live History'!$E$5:$E$3004,MATCH($A1751,'Live History'!$D$5:$D$3004,1)),INDEX('AH History'!$D$5:$GG$1380,$K1751,AH!$U$10+1))),NA()),NA())</f>
        <v/>
      </c>
      <c r="G1751" s="34">
        <f>IFERROR(IF(ISNUMBER($A1751),IF(AND(AH!$U$12=1,1746+1=AH!$U$6),IF(AH!$U$4=0,"unavailable",INDEX('Market Data'!$AK$5:$AK$66,AH!$U$4)),IF(AH!$U$5=1,INDEX('Live History'!$D$5:$D$3004,MATCH($A1751,'Live History'!$D$5:$D$3004,1)),INDEX('AH History'!$D$5:$GG$1380,$K1751,AH!$U$10+2))),NA()),NA())</f>
        <v/>
      </c>
      <c r="H1751" s="266">
        <f>IFERROR(IF(ISNUMBER($A1751),IF(AND(AH!$U$12=1,1746+1=AH!$U$6),IF(AH!$U$4=0,"unavailable",INDEX('Market Data'!$AP$5:$AP$66,AH!$U$4)),IF(AH!$U$5=1,INDEX('Live History'!$H$5:$H$3004,MATCH($A1751,'Live History'!$G$5:$G$3004,1)),INDEX('AH History'!$B$5:$B$1380,$K1751))),NA()),NA())</f>
        <v/>
      </c>
      <c r="I1751" s="34">
        <f>IFERROR(IF(ISNUMBER($A1751),IF(AND(AH!$U$12=1,1746+1=AH!$U$6),TODAY(),IF(AH!$U$5=1,INDEX('Live History'!$G$5:$G$3004,MATCH($A1751,'Live History'!$G$5:$G$3004,1)),INDEX('AH History'!$C$5:$C$1380,$K1751))),NA()),NA())</f>
        <v/>
      </c>
      <c r="J1751" s="32">
        <f>IFERROR(IF(AND($F1751&gt;0,$H1751&gt;0,$A1751-$G1751&lt;=10,$A1751-$I1751&lt;=5,$G1751&gt;0,$I1751&gt;0),$F1751*$H1751,NA()),NA())</f>
        <v/>
      </c>
      <c r="K1751" s="15">
        <f>IF($A1751="","",IF(AH!$U$5=1,IFERROR(MATCH($A1751,'Live History'!$A$5:$A$3004,0),0),AH!$U$7+1746))</f>
        <v/>
      </c>
      <c r="L1751" s="15">
        <f>IF(ISNUMBER(A1751),TEXT(A1751,"dd-mmm-yy"),"")</f>
        <v/>
      </c>
    </row>
    <row r="1752">
      <c r="A1752" s="14">
        <f>IF(OR(AH!$U$4=0,1747+1&gt;AH!$U$6,AND(AH!$M$5="Bloomberg",AH!$U$5=0)),"",IFERROR(IF(AND(AH!$U$12=1,1747+1=AH!$U$6),TODAY(),IF(AH!$U$5=1,INDEX('Live History'!$A$5:$A$3004,AH!$U$7+1747),INDEX('AH History'!$A$5:$A$1380,AH!$U$7+1747))),""))</f>
        <v/>
      </c>
      <c r="B1752" s="33">
        <f>IFERROR(IF(AH!$U$11=1,NA(),$J1752/$E1752-1),NA())</f>
        <v/>
      </c>
      <c r="C1752" s="269">
        <f>IFERROR(100*$E1752/$E$5,NA())</f>
        <v/>
      </c>
      <c r="D1752" s="269">
        <f>IFERROR(100*$J1752/$J$5,NA())</f>
        <v/>
      </c>
      <c r="E1752" s="32">
        <f>IFERROR(IF(AND(ISNUMBER($A1752),N(IF(AND(AH!$U$12=1,1747+1=AH!$U$6),IF(AH!$U$4=0,"unavailable",INDEX('Market Data'!$AN$5:$AN$66,AH!$U$4)),IF(AH!$U$5=1,INDEX('Live History'!$B$5:$B$3004,$K1752),INDEX('AH History'!$D$5:$GG$1380,$K1752,AH!$U$10))))&gt;0),IF(AND(AH!$U$12=1,1747+1=AH!$U$6),IF(AH!$U$4=0,"unavailable",INDEX('Market Data'!$AN$5:$AN$66,AH!$U$4)),IF(AH!$U$5=1,INDEX('Live History'!$B$5:$B$3004,$K1752),INDEX('AH History'!$D$5:$GG$1380,$K1752,AH!$U$10))),NA()),NA())</f>
        <v/>
      </c>
      <c r="F1752" s="32">
        <f>IFERROR(IF(ISNUMBER($A1752),IF(AND(AH!$U$12=1,1747+1=AH!$U$6),IF(AH!$U$4=0,"unavailable",INDEX('Market Data'!$AO$5:$AO$66,AH!$U$4)),IF(AH!$U$5=1,INDEX('Live History'!$E$5:$E$3004,MATCH($A1752,'Live History'!$D$5:$D$3004,1)),INDEX('AH History'!$D$5:$GG$1380,$K1752,AH!$U$10+1))),NA()),NA())</f>
        <v/>
      </c>
      <c r="G1752" s="34">
        <f>IFERROR(IF(ISNUMBER($A1752),IF(AND(AH!$U$12=1,1747+1=AH!$U$6),IF(AH!$U$4=0,"unavailable",INDEX('Market Data'!$AK$5:$AK$66,AH!$U$4)),IF(AH!$U$5=1,INDEX('Live History'!$D$5:$D$3004,MATCH($A1752,'Live History'!$D$5:$D$3004,1)),INDEX('AH History'!$D$5:$GG$1380,$K1752,AH!$U$10+2))),NA()),NA())</f>
        <v/>
      </c>
      <c r="H1752" s="266">
        <f>IFERROR(IF(ISNUMBER($A1752),IF(AND(AH!$U$12=1,1747+1=AH!$U$6),IF(AH!$U$4=0,"unavailable",INDEX('Market Data'!$AP$5:$AP$66,AH!$U$4)),IF(AH!$U$5=1,INDEX('Live History'!$H$5:$H$3004,MATCH($A1752,'Live History'!$G$5:$G$3004,1)),INDEX('AH History'!$B$5:$B$1380,$K1752))),NA()),NA())</f>
        <v/>
      </c>
      <c r="I1752" s="34">
        <f>IFERROR(IF(ISNUMBER($A1752),IF(AND(AH!$U$12=1,1747+1=AH!$U$6),TODAY(),IF(AH!$U$5=1,INDEX('Live History'!$G$5:$G$3004,MATCH($A1752,'Live History'!$G$5:$G$3004,1)),INDEX('AH History'!$C$5:$C$1380,$K1752))),NA()),NA())</f>
        <v/>
      </c>
      <c r="J1752" s="32">
        <f>IFERROR(IF(AND($F1752&gt;0,$H1752&gt;0,$A1752-$G1752&lt;=10,$A1752-$I1752&lt;=5,$G1752&gt;0,$I1752&gt;0),$F1752*$H1752,NA()),NA())</f>
        <v/>
      </c>
      <c r="K1752" s="15">
        <f>IF($A1752="","",IF(AH!$U$5=1,IFERROR(MATCH($A1752,'Live History'!$A$5:$A$3004,0),0),AH!$U$7+1747))</f>
        <v/>
      </c>
      <c r="L1752" s="15">
        <f>IF(ISNUMBER(A1752),TEXT(A1752,"dd-mmm-yy"),"")</f>
        <v/>
      </c>
    </row>
    <row r="1753">
      <c r="A1753" s="14">
        <f>IF(OR(AH!$U$4=0,1748+1&gt;AH!$U$6,AND(AH!$M$5="Bloomberg",AH!$U$5=0)),"",IFERROR(IF(AND(AH!$U$12=1,1748+1=AH!$U$6),TODAY(),IF(AH!$U$5=1,INDEX('Live History'!$A$5:$A$3004,AH!$U$7+1748),INDEX('AH History'!$A$5:$A$1380,AH!$U$7+1748))),""))</f>
        <v/>
      </c>
      <c r="B1753" s="33">
        <f>IFERROR(IF(AH!$U$11=1,NA(),$J1753/$E1753-1),NA())</f>
        <v/>
      </c>
      <c r="C1753" s="269">
        <f>IFERROR(100*$E1753/$E$5,NA())</f>
        <v/>
      </c>
      <c r="D1753" s="269">
        <f>IFERROR(100*$J1753/$J$5,NA())</f>
        <v/>
      </c>
      <c r="E1753" s="32">
        <f>IFERROR(IF(AND(ISNUMBER($A1753),N(IF(AND(AH!$U$12=1,1748+1=AH!$U$6),IF(AH!$U$4=0,"unavailable",INDEX('Market Data'!$AN$5:$AN$66,AH!$U$4)),IF(AH!$U$5=1,INDEX('Live History'!$B$5:$B$3004,$K1753),INDEX('AH History'!$D$5:$GG$1380,$K1753,AH!$U$10))))&gt;0),IF(AND(AH!$U$12=1,1748+1=AH!$U$6),IF(AH!$U$4=0,"unavailable",INDEX('Market Data'!$AN$5:$AN$66,AH!$U$4)),IF(AH!$U$5=1,INDEX('Live History'!$B$5:$B$3004,$K1753),INDEX('AH History'!$D$5:$GG$1380,$K1753,AH!$U$10))),NA()),NA())</f>
        <v/>
      </c>
      <c r="F1753" s="32">
        <f>IFERROR(IF(ISNUMBER($A1753),IF(AND(AH!$U$12=1,1748+1=AH!$U$6),IF(AH!$U$4=0,"unavailable",INDEX('Market Data'!$AO$5:$AO$66,AH!$U$4)),IF(AH!$U$5=1,INDEX('Live History'!$E$5:$E$3004,MATCH($A1753,'Live History'!$D$5:$D$3004,1)),INDEX('AH History'!$D$5:$GG$1380,$K1753,AH!$U$10+1))),NA()),NA())</f>
        <v/>
      </c>
      <c r="G1753" s="34">
        <f>IFERROR(IF(ISNUMBER($A1753),IF(AND(AH!$U$12=1,1748+1=AH!$U$6),IF(AH!$U$4=0,"unavailable",INDEX('Market Data'!$AK$5:$AK$66,AH!$U$4)),IF(AH!$U$5=1,INDEX('Live History'!$D$5:$D$3004,MATCH($A1753,'Live History'!$D$5:$D$3004,1)),INDEX('AH History'!$D$5:$GG$1380,$K1753,AH!$U$10+2))),NA()),NA())</f>
        <v/>
      </c>
      <c r="H1753" s="266">
        <f>IFERROR(IF(ISNUMBER($A1753),IF(AND(AH!$U$12=1,1748+1=AH!$U$6),IF(AH!$U$4=0,"unavailable",INDEX('Market Data'!$AP$5:$AP$66,AH!$U$4)),IF(AH!$U$5=1,INDEX('Live History'!$H$5:$H$3004,MATCH($A1753,'Live History'!$G$5:$G$3004,1)),INDEX('AH History'!$B$5:$B$1380,$K1753))),NA()),NA())</f>
        <v/>
      </c>
      <c r="I1753" s="34">
        <f>IFERROR(IF(ISNUMBER($A1753),IF(AND(AH!$U$12=1,1748+1=AH!$U$6),TODAY(),IF(AH!$U$5=1,INDEX('Live History'!$G$5:$G$3004,MATCH($A1753,'Live History'!$G$5:$G$3004,1)),INDEX('AH History'!$C$5:$C$1380,$K1753))),NA()),NA())</f>
        <v/>
      </c>
      <c r="J1753" s="32">
        <f>IFERROR(IF(AND($F1753&gt;0,$H1753&gt;0,$A1753-$G1753&lt;=10,$A1753-$I1753&lt;=5,$G1753&gt;0,$I1753&gt;0),$F1753*$H1753,NA()),NA())</f>
        <v/>
      </c>
      <c r="K1753" s="15">
        <f>IF($A1753="","",IF(AH!$U$5=1,IFERROR(MATCH($A1753,'Live History'!$A$5:$A$3004,0),0),AH!$U$7+1748))</f>
        <v/>
      </c>
      <c r="L1753" s="15">
        <f>IF(ISNUMBER(A1753),TEXT(A1753,"dd-mmm-yy"),"")</f>
        <v/>
      </c>
    </row>
    <row r="1754">
      <c r="A1754" s="14">
        <f>IF(OR(AH!$U$4=0,1749+1&gt;AH!$U$6,AND(AH!$M$5="Bloomberg",AH!$U$5=0)),"",IFERROR(IF(AND(AH!$U$12=1,1749+1=AH!$U$6),TODAY(),IF(AH!$U$5=1,INDEX('Live History'!$A$5:$A$3004,AH!$U$7+1749),INDEX('AH History'!$A$5:$A$1380,AH!$U$7+1749))),""))</f>
        <v/>
      </c>
      <c r="B1754" s="33">
        <f>IFERROR(IF(AH!$U$11=1,NA(),$J1754/$E1754-1),NA())</f>
        <v/>
      </c>
      <c r="C1754" s="269">
        <f>IFERROR(100*$E1754/$E$5,NA())</f>
        <v/>
      </c>
      <c r="D1754" s="269">
        <f>IFERROR(100*$J1754/$J$5,NA())</f>
        <v/>
      </c>
      <c r="E1754" s="32">
        <f>IFERROR(IF(AND(ISNUMBER($A1754),N(IF(AND(AH!$U$12=1,1749+1=AH!$U$6),IF(AH!$U$4=0,"unavailable",INDEX('Market Data'!$AN$5:$AN$66,AH!$U$4)),IF(AH!$U$5=1,INDEX('Live History'!$B$5:$B$3004,$K1754),INDEX('AH History'!$D$5:$GG$1380,$K1754,AH!$U$10))))&gt;0),IF(AND(AH!$U$12=1,1749+1=AH!$U$6),IF(AH!$U$4=0,"unavailable",INDEX('Market Data'!$AN$5:$AN$66,AH!$U$4)),IF(AH!$U$5=1,INDEX('Live History'!$B$5:$B$3004,$K1754),INDEX('AH History'!$D$5:$GG$1380,$K1754,AH!$U$10))),NA()),NA())</f>
        <v/>
      </c>
      <c r="F1754" s="32">
        <f>IFERROR(IF(ISNUMBER($A1754),IF(AND(AH!$U$12=1,1749+1=AH!$U$6),IF(AH!$U$4=0,"unavailable",INDEX('Market Data'!$AO$5:$AO$66,AH!$U$4)),IF(AH!$U$5=1,INDEX('Live History'!$E$5:$E$3004,MATCH($A1754,'Live History'!$D$5:$D$3004,1)),INDEX('AH History'!$D$5:$GG$1380,$K1754,AH!$U$10+1))),NA()),NA())</f>
        <v/>
      </c>
      <c r="G1754" s="34">
        <f>IFERROR(IF(ISNUMBER($A1754),IF(AND(AH!$U$12=1,1749+1=AH!$U$6),IF(AH!$U$4=0,"unavailable",INDEX('Market Data'!$AK$5:$AK$66,AH!$U$4)),IF(AH!$U$5=1,INDEX('Live History'!$D$5:$D$3004,MATCH($A1754,'Live History'!$D$5:$D$3004,1)),INDEX('AH History'!$D$5:$GG$1380,$K1754,AH!$U$10+2))),NA()),NA())</f>
        <v/>
      </c>
      <c r="H1754" s="266">
        <f>IFERROR(IF(ISNUMBER($A1754),IF(AND(AH!$U$12=1,1749+1=AH!$U$6),IF(AH!$U$4=0,"unavailable",INDEX('Market Data'!$AP$5:$AP$66,AH!$U$4)),IF(AH!$U$5=1,INDEX('Live History'!$H$5:$H$3004,MATCH($A1754,'Live History'!$G$5:$G$3004,1)),INDEX('AH History'!$B$5:$B$1380,$K1754))),NA()),NA())</f>
        <v/>
      </c>
      <c r="I1754" s="34">
        <f>IFERROR(IF(ISNUMBER($A1754),IF(AND(AH!$U$12=1,1749+1=AH!$U$6),TODAY(),IF(AH!$U$5=1,INDEX('Live History'!$G$5:$G$3004,MATCH($A1754,'Live History'!$G$5:$G$3004,1)),INDEX('AH History'!$C$5:$C$1380,$K1754))),NA()),NA())</f>
        <v/>
      </c>
      <c r="J1754" s="32">
        <f>IFERROR(IF(AND($F1754&gt;0,$H1754&gt;0,$A1754-$G1754&lt;=10,$A1754-$I1754&lt;=5,$G1754&gt;0,$I1754&gt;0),$F1754*$H1754,NA()),NA())</f>
        <v/>
      </c>
      <c r="K1754" s="15">
        <f>IF($A1754="","",IF(AH!$U$5=1,IFERROR(MATCH($A1754,'Live History'!$A$5:$A$3004,0),0),AH!$U$7+1749))</f>
        <v/>
      </c>
      <c r="L1754" s="15">
        <f>IF(ISNUMBER(A1754),TEXT(A1754,"dd-mmm-yy"),"")</f>
        <v/>
      </c>
    </row>
    <row r="1755">
      <c r="A1755" s="14">
        <f>IF(OR(AH!$U$4=0,1750+1&gt;AH!$U$6,AND(AH!$M$5="Bloomberg",AH!$U$5=0)),"",IFERROR(IF(AND(AH!$U$12=1,1750+1=AH!$U$6),TODAY(),IF(AH!$U$5=1,INDEX('Live History'!$A$5:$A$3004,AH!$U$7+1750),INDEX('AH History'!$A$5:$A$1380,AH!$U$7+1750))),""))</f>
        <v/>
      </c>
      <c r="B1755" s="33">
        <f>IFERROR(IF(AH!$U$11=1,NA(),$J1755/$E1755-1),NA())</f>
        <v/>
      </c>
      <c r="C1755" s="269">
        <f>IFERROR(100*$E1755/$E$5,NA())</f>
        <v/>
      </c>
      <c r="D1755" s="269">
        <f>IFERROR(100*$J1755/$J$5,NA())</f>
        <v/>
      </c>
      <c r="E1755" s="32">
        <f>IFERROR(IF(AND(ISNUMBER($A1755),N(IF(AND(AH!$U$12=1,1750+1=AH!$U$6),IF(AH!$U$4=0,"unavailable",INDEX('Market Data'!$AN$5:$AN$66,AH!$U$4)),IF(AH!$U$5=1,INDEX('Live History'!$B$5:$B$3004,$K1755),INDEX('AH History'!$D$5:$GG$1380,$K1755,AH!$U$10))))&gt;0),IF(AND(AH!$U$12=1,1750+1=AH!$U$6),IF(AH!$U$4=0,"unavailable",INDEX('Market Data'!$AN$5:$AN$66,AH!$U$4)),IF(AH!$U$5=1,INDEX('Live History'!$B$5:$B$3004,$K1755),INDEX('AH History'!$D$5:$GG$1380,$K1755,AH!$U$10))),NA()),NA())</f>
        <v/>
      </c>
      <c r="F1755" s="32">
        <f>IFERROR(IF(ISNUMBER($A1755),IF(AND(AH!$U$12=1,1750+1=AH!$U$6),IF(AH!$U$4=0,"unavailable",INDEX('Market Data'!$AO$5:$AO$66,AH!$U$4)),IF(AH!$U$5=1,INDEX('Live History'!$E$5:$E$3004,MATCH($A1755,'Live History'!$D$5:$D$3004,1)),INDEX('AH History'!$D$5:$GG$1380,$K1755,AH!$U$10+1))),NA()),NA())</f>
        <v/>
      </c>
      <c r="G1755" s="34">
        <f>IFERROR(IF(ISNUMBER($A1755),IF(AND(AH!$U$12=1,1750+1=AH!$U$6),IF(AH!$U$4=0,"unavailable",INDEX('Market Data'!$AK$5:$AK$66,AH!$U$4)),IF(AH!$U$5=1,INDEX('Live History'!$D$5:$D$3004,MATCH($A1755,'Live History'!$D$5:$D$3004,1)),INDEX('AH History'!$D$5:$GG$1380,$K1755,AH!$U$10+2))),NA()),NA())</f>
        <v/>
      </c>
      <c r="H1755" s="266">
        <f>IFERROR(IF(ISNUMBER($A1755),IF(AND(AH!$U$12=1,1750+1=AH!$U$6),IF(AH!$U$4=0,"unavailable",INDEX('Market Data'!$AP$5:$AP$66,AH!$U$4)),IF(AH!$U$5=1,INDEX('Live History'!$H$5:$H$3004,MATCH($A1755,'Live History'!$G$5:$G$3004,1)),INDEX('AH History'!$B$5:$B$1380,$K1755))),NA()),NA())</f>
        <v/>
      </c>
      <c r="I1755" s="34">
        <f>IFERROR(IF(ISNUMBER($A1755),IF(AND(AH!$U$12=1,1750+1=AH!$U$6),TODAY(),IF(AH!$U$5=1,INDEX('Live History'!$G$5:$G$3004,MATCH($A1755,'Live History'!$G$5:$G$3004,1)),INDEX('AH History'!$C$5:$C$1380,$K1755))),NA()),NA())</f>
        <v/>
      </c>
      <c r="J1755" s="32">
        <f>IFERROR(IF(AND($F1755&gt;0,$H1755&gt;0,$A1755-$G1755&lt;=10,$A1755-$I1755&lt;=5,$G1755&gt;0,$I1755&gt;0),$F1755*$H1755,NA()),NA())</f>
        <v/>
      </c>
      <c r="K1755" s="15">
        <f>IF($A1755="","",IF(AH!$U$5=1,IFERROR(MATCH($A1755,'Live History'!$A$5:$A$3004,0),0),AH!$U$7+1750))</f>
        <v/>
      </c>
      <c r="L1755" s="15">
        <f>IF(ISNUMBER(A1755),TEXT(A1755,"dd-mmm-yy"),"")</f>
        <v/>
      </c>
    </row>
    <row r="1756">
      <c r="A1756" s="14">
        <f>IF(OR(AH!$U$4=0,1751+1&gt;AH!$U$6,AND(AH!$M$5="Bloomberg",AH!$U$5=0)),"",IFERROR(IF(AND(AH!$U$12=1,1751+1=AH!$U$6),TODAY(),IF(AH!$U$5=1,INDEX('Live History'!$A$5:$A$3004,AH!$U$7+1751),INDEX('AH History'!$A$5:$A$1380,AH!$U$7+1751))),""))</f>
        <v/>
      </c>
      <c r="B1756" s="33">
        <f>IFERROR(IF(AH!$U$11=1,NA(),$J1756/$E1756-1),NA())</f>
        <v/>
      </c>
      <c r="C1756" s="269">
        <f>IFERROR(100*$E1756/$E$5,NA())</f>
        <v/>
      </c>
      <c r="D1756" s="269">
        <f>IFERROR(100*$J1756/$J$5,NA())</f>
        <v/>
      </c>
      <c r="E1756" s="32">
        <f>IFERROR(IF(AND(ISNUMBER($A1756),N(IF(AND(AH!$U$12=1,1751+1=AH!$U$6),IF(AH!$U$4=0,"unavailable",INDEX('Market Data'!$AN$5:$AN$66,AH!$U$4)),IF(AH!$U$5=1,INDEX('Live History'!$B$5:$B$3004,$K1756),INDEX('AH History'!$D$5:$GG$1380,$K1756,AH!$U$10))))&gt;0),IF(AND(AH!$U$12=1,1751+1=AH!$U$6),IF(AH!$U$4=0,"unavailable",INDEX('Market Data'!$AN$5:$AN$66,AH!$U$4)),IF(AH!$U$5=1,INDEX('Live History'!$B$5:$B$3004,$K1756),INDEX('AH History'!$D$5:$GG$1380,$K1756,AH!$U$10))),NA()),NA())</f>
        <v/>
      </c>
      <c r="F1756" s="32">
        <f>IFERROR(IF(ISNUMBER($A1756),IF(AND(AH!$U$12=1,1751+1=AH!$U$6),IF(AH!$U$4=0,"unavailable",INDEX('Market Data'!$AO$5:$AO$66,AH!$U$4)),IF(AH!$U$5=1,INDEX('Live History'!$E$5:$E$3004,MATCH($A1756,'Live History'!$D$5:$D$3004,1)),INDEX('AH History'!$D$5:$GG$1380,$K1756,AH!$U$10+1))),NA()),NA())</f>
        <v/>
      </c>
      <c r="G1756" s="34">
        <f>IFERROR(IF(ISNUMBER($A1756),IF(AND(AH!$U$12=1,1751+1=AH!$U$6),IF(AH!$U$4=0,"unavailable",INDEX('Market Data'!$AK$5:$AK$66,AH!$U$4)),IF(AH!$U$5=1,INDEX('Live History'!$D$5:$D$3004,MATCH($A1756,'Live History'!$D$5:$D$3004,1)),INDEX('AH History'!$D$5:$GG$1380,$K1756,AH!$U$10+2))),NA()),NA())</f>
        <v/>
      </c>
      <c r="H1756" s="266">
        <f>IFERROR(IF(ISNUMBER($A1756),IF(AND(AH!$U$12=1,1751+1=AH!$U$6),IF(AH!$U$4=0,"unavailable",INDEX('Market Data'!$AP$5:$AP$66,AH!$U$4)),IF(AH!$U$5=1,INDEX('Live History'!$H$5:$H$3004,MATCH($A1756,'Live History'!$G$5:$G$3004,1)),INDEX('AH History'!$B$5:$B$1380,$K1756))),NA()),NA())</f>
        <v/>
      </c>
      <c r="I1756" s="34">
        <f>IFERROR(IF(ISNUMBER($A1756),IF(AND(AH!$U$12=1,1751+1=AH!$U$6),TODAY(),IF(AH!$U$5=1,INDEX('Live History'!$G$5:$G$3004,MATCH($A1756,'Live History'!$G$5:$G$3004,1)),INDEX('AH History'!$C$5:$C$1380,$K1756))),NA()),NA())</f>
        <v/>
      </c>
      <c r="J1756" s="32">
        <f>IFERROR(IF(AND($F1756&gt;0,$H1756&gt;0,$A1756-$G1756&lt;=10,$A1756-$I1756&lt;=5,$G1756&gt;0,$I1756&gt;0),$F1756*$H1756,NA()),NA())</f>
        <v/>
      </c>
      <c r="K1756" s="15">
        <f>IF($A1756="","",IF(AH!$U$5=1,IFERROR(MATCH($A1756,'Live History'!$A$5:$A$3004,0),0),AH!$U$7+1751))</f>
        <v/>
      </c>
      <c r="L1756" s="15">
        <f>IF(ISNUMBER(A1756),TEXT(A1756,"dd-mmm-yy"),"")</f>
        <v/>
      </c>
    </row>
    <row r="1757">
      <c r="A1757" s="14">
        <f>IF(OR(AH!$U$4=0,1752+1&gt;AH!$U$6,AND(AH!$M$5="Bloomberg",AH!$U$5=0)),"",IFERROR(IF(AND(AH!$U$12=1,1752+1=AH!$U$6),TODAY(),IF(AH!$U$5=1,INDEX('Live History'!$A$5:$A$3004,AH!$U$7+1752),INDEX('AH History'!$A$5:$A$1380,AH!$U$7+1752))),""))</f>
        <v/>
      </c>
      <c r="B1757" s="33">
        <f>IFERROR(IF(AH!$U$11=1,NA(),$J1757/$E1757-1),NA())</f>
        <v/>
      </c>
      <c r="C1757" s="269">
        <f>IFERROR(100*$E1757/$E$5,NA())</f>
        <v/>
      </c>
      <c r="D1757" s="269">
        <f>IFERROR(100*$J1757/$J$5,NA())</f>
        <v/>
      </c>
      <c r="E1757" s="32">
        <f>IFERROR(IF(AND(ISNUMBER($A1757),N(IF(AND(AH!$U$12=1,1752+1=AH!$U$6),IF(AH!$U$4=0,"unavailable",INDEX('Market Data'!$AN$5:$AN$66,AH!$U$4)),IF(AH!$U$5=1,INDEX('Live History'!$B$5:$B$3004,$K1757),INDEX('AH History'!$D$5:$GG$1380,$K1757,AH!$U$10))))&gt;0),IF(AND(AH!$U$12=1,1752+1=AH!$U$6),IF(AH!$U$4=0,"unavailable",INDEX('Market Data'!$AN$5:$AN$66,AH!$U$4)),IF(AH!$U$5=1,INDEX('Live History'!$B$5:$B$3004,$K1757),INDEX('AH History'!$D$5:$GG$1380,$K1757,AH!$U$10))),NA()),NA())</f>
        <v/>
      </c>
      <c r="F1757" s="32">
        <f>IFERROR(IF(ISNUMBER($A1757),IF(AND(AH!$U$12=1,1752+1=AH!$U$6),IF(AH!$U$4=0,"unavailable",INDEX('Market Data'!$AO$5:$AO$66,AH!$U$4)),IF(AH!$U$5=1,INDEX('Live History'!$E$5:$E$3004,MATCH($A1757,'Live History'!$D$5:$D$3004,1)),INDEX('AH History'!$D$5:$GG$1380,$K1757,AH!$U$10+1))),NA()),NA())</f>
        <v/>
      </c>
      <c r="G1757" s="34">
        <f>IFERROR(IF(ISNUMBER($A1757),IF(AND(AH!$U$12=1,1752+1=AH!$U$6),IF(AH!$U$4=0,"unavailable",INDEX('Market Data'!$AK$5:$AK$66,AH!$U$4)),IF(AH!$U$5=1,INDEX('Live History'!$D$5:$D$3004,MATCH($A1757,'Live History'!$D$5:$D$3004,1)),INDEX('AH History'!$D$5:$GG$1380,$K1757,AH!$U$10+2))),NA()),NA())</f>
        <v/>
      </c>
      <c r="H1757" s="266">
        <f>IFERROR(IF(ISNUMBER($A1757),IF(AND(AH!$U$12=1,1752+1=AH!$U$6),IF(AH!$U$4=0,"unavailable",INDEX('Market Data'!$AP$5:$AP$66,AH!$U$4)),IF(AH!$U$5=1,INDEX('Live History'!$H$5:$H$3004,MATCH($A1757,'Live History'!$G$5:$G$3004,1)),INDEX('AH History'!$B$5:$B$1380,$K1757))),NA()),NA())</f>
        <v/>
      </c>
      <c r="I1757" s="34">
        <f>IFERROR(IF(ISNUMBER($A1757),IF(AND(AH!$U$12=1,1752+1=AH!$U$6),TODAY(),IF(AH!$U$5=1,INDEX('Live History'!$G$5:$G$3004,MATCH($A1757,'Live History'!$G$5:$G$3004,1)),INDEX('AH History'!$C$5:$C$1380,$K1757))),NA()),NA())</f>
        <v/>
      </c>
      <c r="J1757" s="32">
        <f>IFERROR(IF(AND($F1757&gt;0,$H1757&gt;0,$A1757-$G1757&lt;=10,$A1757-$I1757&lt;=5,$G1757&gt;0,$I1757&gt;0),$F1757*$H1757,NA()),NA())</f>
        <v/>
      </c>
      <c r="K1757" s="15">
        <f>IF($A1757="","",IF(AH!$U$5=1,IFERROR(MATCH($A1757,'Live History'!$A$5:$A$3004,0),0),AH!$U$7+1752))</f>
        <v/>
      </c>
      <c r="L1757" s="15">
        <f>IF(ISNUMBER(A1757),TEXT(A1757,"dd-mmm-yy"),"")</f>
        <v/>
      </c>
    </row>
    <row r="1758">
      <c r="A1758" s="14">
        <f>IF(OR(AH!$U$4=0,1753+1&gt;AH!$U$6,AND(AH!$M$5="Bloomberg",AH!$U$5=0)),"",IFERROR(IF(AND(AH!$U$12=1,1753+1=AH!$U$6),TODAY(),IF(AH!$U$5=1,INDEX('Live History'!$A$5:$A$3004,AH!$U$7+1753),INDEX('AH History'!$A$5:$A$1380,AH!$U$7+1753))),""))</f>
        <v/>
      </c>
      <c r="B1758" s="33">
        <f>IFERROR(IF(AH!$U$11=1,NA(),$J1758/$E1758-1),NA())</f>
        <v/>
      </c>
      <c r="C1758" s="269">
        <f>IFERROR(100*$E1758/$E$5,NA())</f>
        <v/>
      </c>
      <c r="D1758" s="269">
        <f>IFERROR(100*$J1758/$J$5,NA())</f>
        <v/>
      </c>
      <c r="E1758" s="32">
        <f>IFERROR(IF(AND(ISNUMBER($A1758),N(IF(AND(AH!$U$12=1,1753+1=AH!$U$6),IF(AH!$U$4=0,"unavailable",INDEX('Market Data'!$AN$5:$AN$66,AH!$U$4)),IF(AH!$U$5=1,INDEX('Live History'!$B$5:$B$3004,$K1758),INDEX('AH History'!$D$5:$GG$1380,$K1758,AH!$U$10))))&gt;0),IF(AND(AH!$U$12=1,1753+1=AH!$U$6),IF(AH!$U$4=0,"unavailable",INDEX('Market Data'!$AN$5:$AN$66,AH!$U$4)),IF(AH!$U$5=1,INDEX('Live History'!$B$5:$B$3004,$K1758),INDEX('AH History'!$D$5:$GG$1380,$K1758,AH!$U$10))),NA()),NA())</f>
        <v/>
      </c>
      <c r="F1758" s="32">
        <f>IFERROR(IF(ISNUMBER($A1758),IF(AND(AH!$U$12=1,1753+1=AH!$U$6),IF(AH!$U$4=0,"unavailable",INDEX('Market Data'!$AO$5:$AO$66,AH!$U$4)),IF(AH!$U$5=1,INDEX('Live History'!$E$5:$E$3004,MATCH($A1758,'Live History'!$D$5:$D$3004,1)),INDEX('AH History'!$D$5:$GG$1380,$K1758,AH!$U$10+1))),NA()),NA())</f>
        <v/>
      </c>
      <c r="G1758" s="34">
        <f>IFERROR(IF(ISNUMBER($A1758),IF(AND(AH!$U$12=1,1753+1=AH!$U$6),IF(AH!$U$4=0,"unavailable",INDEX('Market Data'!$AK$5:$AK$66,AH!$U$4)),IF(AH!$U$5=1,INDEX('Live History'!$D$5:$D$3004,MATCH($A1758,'Live History'!$D$5:$D$3004,1)),INDEX('AH History'!$D$5:$GG$1380,$K1758,AH!$U$10+2))),NA()),NA())</f>
        <v/>
      </c>
      <c r="H1758" s="266">
        <f>IFERROR(IF(ISNUMBER($A1758),IF(AND(AH!$U$12=1,1753+1=AH!$U$6),IF(AH!$U$4=0,"unavailable",INDEX('Market Data'!$AP$5:$AP$66,AH!$U$4)),IF(AH!$U$5=1,INDEX('Live History'!$H$5:$H$3004,MATCH($A1758,'Live History'!$G$5:$G$3004,1)),INDEX('AH History'!$B$5:$B$1380,$K1758))),NA()),NA())</f>
        <v/>
      </c>
      <c r="I1758" s="34">
        <f>IFERROR(IF(ISNUMBER($A1758),IF(AND(AH!$U$12=1,1753+1=AH!$U$6),TODAY(),IF(AH!$U$5=1,INDEX('Live History'!$G$5:$G$3004,MATCH($A1758,'Live History'!$G$5:$G$3004,1)),INDEX('AH History'!$C$5:$C$1380,$K1758))),NA()),NA())</f>
        <v/>
      </c>
      <c r="J1758" s="32">
        <f>IFERROR(IF(AND($F1758&gt;0,$H1758&gt;0,$A1758-$G1758&lt;=10,$A1758-$I1758&lt;=5,$G1758&gt;0,$I1758&gt;0),$F1758*$H1758,NA()),NA())</f>
        <v/>
      </c>
      <c r="K1758" s="15">
        <f>IF($A1758="","",IF(AH!$U$5=1,IFERROR(MATCH($A1758,'Live History'!$A$5:$A$3004,0),0),AH!$U$7+1753))</f>
        <v/>
      </c>
      <c r="L1758" s="15">
        <f>IF(ISNUMBER(A1758),TEXT(A1758,"dd-mmm-yy"),"")</f>
        <v/>
      </c>
    </row>
    <row r="1759">
      <c r="A1759" s="14">
        <f>IF(OR(AH!$U$4=0,1754+1&gt;AH!$U$6,AND(AH!$M$5="Bloomberg",AH!$U$5=0)),"",IFERROR(IF(AND(AH!$U$12=1,1754+1=AH!$U$6),TODAY(),IF(AH!$U$5=1,INDEX('Live History'!$A$5:$A$3004,AH!$U$7+1754),INDEX('AH History'!$A$5:$A$1380,AH!$U$7+1754))),""))</f>
        <v/>
      </c>
      <c r="B1759" s="33">
        <f>IFERROR(IF(AH!$U$11=1,NA(),$J1759/$E1759-1),NA())</f>
        <v/>
      </c>
      <c r="C1759" s="269">
        <f>IFERROR(100*$E1759/$E$5,NA())</f>
        <v/>
      </c>
      <c r="D1759" s="269">
        <f>IFERROR(100*$J1759/$J$5,NA())</f>
        <v/>
      </c>
      <c r="E1759" s="32">
        <f>IFERROR(IF(AND(ISNUMBER($A1759),N(IF(AND(AH!$U$12=1,1754+1=AH!$U$6),IF(AH!$U$4=0,"unavailable",INDEX('Market Data'!$AN$5:$AN$66,AH!$U$4)),IF(AH!$U$5=1,INDEX('Live History'!$B$5:$B$3004,$K1759),INDEX('AH History'!$D$5:$GG$1380,$K1759,AH!$U$10))))&gt;0),IF(AND(AH!$U$12=1,1754+1=AH!$U$6),IF(AH!$U$4=0,"unavailable",INDEX('Market Data'!$AN$5:$AN$66,AH!$U$4)),IF(AH!$U$5=1,INDEX('Live History'!$B$5:$B$3004,$K1759),INDEX('AH History'!$D$5:$GG$1380,$K1759,AH!$U$10))),NA()),NA())</f>
        <v/>
      </c>
      <c r="F1759" s="32">
        <f>IFERROR(IF(ISNUMBER($A1759),IF(AND(AH!$U$12=1,1754+1=AH!$U$6),IF(AH!$U$4=0,"unavailable",INDEX('Market Data'!$AO$5:$AO$66,AH!$U$4)),IF(AH!$U$5=1,INDEX('Live History'!$E$5:$E$3004,MATCH($A1759,'Live History'!$D$5:$D$3004,1)),INDEX('AH History'!$D$5:$GG$1380,$K1759,AH!$U$10+1))),NA()),NA())</f>
        <v/>
      </c>
      <c r="G1759" s="34">
        <f>IFERROR(IF(ISNUMBER($A1759),IF(AND(AH!$U$12=1,1754+1=AH!$U$6),IF(AH!$U$4=0,"unavailable",INDEX('Market Data'!$AK$5:$AK$66,AH!$U$4)),IF(AH!$U$5=1,INDEX('Live History'!$D$5:$D$3004,MATCH($A1759,'Live History'!$D$5:$D$3004,1)),INDEX('AH History'!$D$5:$GG$1380,$K1759,AH!$U$10+2))),NA()),NA())</f>
        <v/>
      </c>
      <c r="H1759" s="266">
        <f>IFERROR(IF(ISNUMBER($A1759),IF(AND(AH!$U$12=1,1754+1=AH!$U$6),IF(AH!$U$4=0,"unavailable",INDEX('Market Data'!$AP$5:$AP$66,AH!$U$4)),IF(AH!$U$5=1,INDEX('Live History'!$H$5:$H$3004,MATCH($A1759,'Live History'!$G$5:$G$3004,1)),INDEX('AH History'!$B$5:$B$1380,$K1759))),NA()),NA())</f>
        <v/>
      </c>
      <c r="I1759" s="34">
        <f>IFERROR(IF(ISNUMBER($A1759),IF(AND(AH!$U$12=1,1754+1=AH!$U$6),TODAY(),IF(AH!$U$5=1,INDEX('Live History'!$G$5:$G$3004,MATCH($A1759,'Live History'!$G$5:$G$3004,1)),INDEX('AH History'!$C$5:$C$1380,$K1759))),NA()),NA())</f>
        <v/>
      </c>
      <c r="J1759" s="32">
        <f>IFERROR(IF(AND($F1759&gt;0,$H1759&gt;0,$A1759-$G1759&lt;=10,$A1759-$I1759&lt;=5,$G1759&gt;0,$I1759&gt;0),$F1759*$H1759,NA()),NA())</f>
        <v/>
      </c>
      <c r="K1759" s="15">
        <f>IF($A1759="","",IF(AH!$U$5=1,IFERROR(MATCH($A1759,'Live History'!$A$5:$A$3004,0),0),AH!$U$7+1754))</f>
        <v/>
      </c>
      <c r="L1759" s="15">
        <f>IF(ISNUMBER(A1759),TEXT(A1759,"dd-mmm-yy"),"")</f>
        <v/>
      </c>
    </row>
    <row r="1760">
      <c r="A1760" s="14">
        <f>IF(OR(AH!$U$4=0,1755+1&gt;AH!$U$6,AND(AH!$M$5="Bloomberg",AH!$U$5=0)),"",IFERROR(IF(AND(AH!$U$12=1,1755+1=AH!$U$6),TODAY(),IF(AH!$U$5=1,INDEX('Live History'!$A$5:$A$3004,AH!$U$7+1755),INDEX('AH History'!$A$5:$A$1380,AH!$U$7+1755))),""))</f>
        <v/>
      </c>
      <c r="B1760" s="33">
        <f>IFERROR(IF(AH!$U$11=1,NA(),$J1760/$E1760-1),NA())</f>
        <v/>
      </c>
      <c r="C1760" s="269">
        <f>IFERROR(100*$E1760/$E$5,NA())</f>
        <v/>
      </c>
      <c r="D1760" s="269">
        <f>IFERROR(100*$J1760/$J$5,NA())</f>
        <v/>
      </c>
      <c r="E1760" s="32">
        <f>IFERROR(IF(AND(ISNUMBER($A1760),N(IF(AND(AH!$U$12=1,1755+1=AH!$U$6),IF(AH!$U$4=0,"unavailable",INDEX('Market Data'!$AN$5:$AN$66,AH!$U$4)),IF(AH!$U$5=1,INDEX('Live History'!$B$5:$B$3004,$K1760),INDEX('AH History'!$D$5:$GG$1380,$K1760,AH!$U$10))))&gt;0),IF(AND(AH!$U$12=1,1755+1=AH!$U$6),IF(AH!$U$4=0,"unavailable",INDEX('Market Data'!$AN$5:$AN$66,AH!$U$4)),IF(AH!$U$5=1,INDEX('Live History'!$B$5:$B$3004,$K1760),INDEX('AH History'!$D$5:$GG$1380,$K1760,AH!$U$10))),NA()),NA())</f>
        <v/>
      </c>
      <c r="F1760" s="32">
        <f>IFERROR(IF(ISNUMBER($A1760),IF(AND(AH!$U$12=1,1755+1=AH!$U$6),IF(AH!$U$4=0,"unavailable",INDEX('Market Data'!$AO$5:$AO$66,AH!$U$4)),IF(AH!$U$5=1,INDEX('Live History'!$E$5:$E$3004,MATCH($A1760,'Live History'!$D$5:$D$3004,1)),INDEX('AH History'!$D$5:$GG$1380,$K1760,AH!$U$10+1))),NA()),NA())</f>
        <v/>
      </c>
      <c r="G1760" s="34">
        <f>IFERROR(IF(ISNUMBER($A1760),IF(AND(AH!$U$12=1,1755+1=AH!$U$6),IF(AH!$U$4=0,"unavailable",INDEX('Market Data'!$AK$5:$AK$66,AH!$U$4)),IF(AH!$U$5=1,INDEX('Live History'!$D$5:$D$3004,MATCH($A1760,'Live History'!$D$5:$D$3004,1)),INDEX('AH History'!$D$5:$GG$1380,$K1760,AH!$U$10+2))),NA()),NA())</f>
        <v/>
      </c>
      <c r="H1760" s="266">
        <f>IFERROR(IF(ISNUMBER($A1760),IF(AND(AH!$U$12=1,1755+1=AH!$U$6),IF(AH!$U$4=0,"unavailable",INDEX('Market Data'!$AP$5:$AP$66,AH!$U$4)),IF(AH!$U$5=1,INDEX('Live History'!$H$5:$H$3004,MATCH($A1760,'Live History'!$G$5:$G$3004,1)),INDEX('AH History'!$B$5:$B$1380,$K1760))),NA()),NA())</f>
        <v/>
      </c>
      <c r="I1760" s="34">
        <f>IFERROR(IF(ISNUMBER($A1760),IF(AND(AH!$U$12=1,1755+1=AH!$U$6),TODAY(),IF(AH!$U$5=1,INDEX('Live History'!$G$5:$G$3004,MATCH($A1760,'Live History'!$G$5:$G$3004,1)),INDEX('AH History'!$C$5:$C$1380,$K1760))),NA()),NA())</f>
        <v/>
      </c>
      <c r="J1760" s="32">
        <f>IFERROR(IF(AND($F1760&gt;0,$H1760&gt;0,$A1760-$G1760&lt;=10,$A1760-$I1760&lt;=5,$G1760&gt;0,$I1760&gt;0),$F1760*$H1760,NA()),NA())</f>
        <v/>
      </c>
      <c r="K1760" s="15">
        <f>IF($A1760="","",IF(AH!$U$5=1,IFERROR(MATCH($A1760,'Live History'!$A$5:$A$3004,0),0),AH!$U$7+1755))</f>
        <v/>
      </c>
      <c r="L1760" s="15">
        <f>IF(ISNUMBER(A1760),TEXT(A1760,"dd-mmm-yy"),"")</f>
        <v/>
      </c>
    </row>
    <row r="1761">
      <c r="A1761" s="14">
        <f>IF(OR(AH!$U$4=0,1756+1&gt;AH!$U$6,AND(AH!$M$5="Bloomberg",AH!$U$5=0)),"",IFERROR(IF(AND(AH!$U$12=1,1756+1=AH!$U$6),TODAY(),IF(AH!$U$5=1,INDEX('Live History'!$A$5:$A$3004,AH!$U$7+1756),INDEX('AH History'!$A$5:$A$1380,AH!$U$7+1756))),""))</f>
        <v/>
      </c>
      <c r="B1761" s="33">
        <f>IFERROR(IF(AH!$U$11=1,NA(),$J1761/$E1761-1),NA())</f>
        <v/>
      </c>
      <c r="C1761" s="269">
        <f>IFERROR(100*$E1761/$E$5,NA())</f>
        <v/>
      </c>
      <c r="D1761" s="269">
        <f>IFERROR(100*$J1761/$J$5,NA())</f>
        <v/>
      </c>
      <c r="E1761" s="32">
        <f>IFERROR(IF(AND(ISNUMBER($A1761),N(IF(AND(AH!$U$12=1,1756+1=AH!$U$6),IF(AH!$U$4=0,"unavailable",INDEX('Market Data'!$AN$5:$AN$66,AH!$U$4)),IF(AH!$U$5=1,INDEX('Live History'!$B$5:$B$3004,$K1761),INDEX('AH History'!$D$5:$GG$1380,$K1761,AH!$U$10))))&gt;0),IF(AND(AH!$U$12=1,1756+1=AH!$U$6),IF(AH!$U$4=0,"unavailable",INDEX('Market Data'!$AN$5:$AN$66,AH!$U$4)),IF(AH!$U$5=1,INDEX('Live History'!$B$5:$B$3004,$K1761),INDEX('AH History'!$D$5:$GG$1380,$K1761,AH!$U$10))),NA()),NA())</f>
        <v/>
      </c>
      <c r="F1761" s="32">
        <f>IFERROR(IF(ISNUMBER($A1761),IF(AND(AH!$U$12=1,1756+1=AH!$U$6),IF(AH!$U$4=0,"unavailable",INDEX('Market Data'!$AO$5:$AO$66,AH!$U$4)),IF(AH!$U$5=1,INDEX('Live History'!$E$5:$E$3004,MATCH($A1761,'Live History'!$D$5:$D$3004,1)),INDEX('AH History'!$D$5:$GG$1380,$K1761,AH!$U$10+1))),NA()),NA())</f>
        <v/>
      </c>
      <c r="G1761" s="34">
        <f>IFERROR(IF(ISNUMBER($A1761),IF(AND(AH!$U$12=1,1756+1=AH!$U$6),IF(AH!$U$4=0,"unavailable",INDEX('Market Data'!$AK$5:$AK$66,AH!$U$4)),IF(AH!$U$5=1,INDEX('Live History'!$D$5:$D$3004,MATCH($A1761,'Live History'!$D$5:$D$3004,1)),INDEX('AH History'!$D$5:$GG$1380,$K1761,AH!$U$10+2))),NA()),NA())</f>
        <v/>
      </c>
      <c r="H1761" s="266">
        <f>IFERROR(IF(ISNUMBER($A1761),IF(AND(AH!$U$12=1,1756+1=AH!$U$6),IF(AH!$U$4=0,"unavailable",INDEX('Market Data'!$AP$5:$AP$66,AH!$U$4)),IF(AH!$U$5=1,INDEX('Live History'!$H$5:$H$3004,MATCH($A1761,'Live History'!$G$5:$G$3004,1)),INDEX('AH History'!$B$5:$B$1380,$K1761))),NA()),NA())</f>
        <v/>
      </c>
      <c r="I1761" s="34">
        <f>IFERROR(IF(ISNUMBER($A1761),IF(AND(AH!$U$12=1,1756+1=AH!$U$6),TODAY(),IF(AH!$U$5=1,INDEX('Live History'!$G$5:$G$3004,MATCH($A1761,'Live History'!$G$5:$G$3004,1)),INDEX('AH History'!$C$5:$C$1380,$K1761))),NA()),NA())</f>
        <v/>
      </c>
      <c r="J1761" s="32">
        <f>IFERROR(IF(AND($F1761&gt;0,$H1761&gt;0,$A1761-$G1761&lt;=10,$A1761-$I1761&lt;=5,$G1761&gt;0,$I1761&gt;0),$F1761*$H1761,NA()),NA())</f>
        <v/>
      </c>
      <c r="K1761" s="15">
        <f>IF($A1761="","",IF(AH!$U$5=1,IFERROR(MATCH($A1761,'Live History'!$A$5:$A$3004,0),0),AH!$U$7+1756))</f>
        <v/>
      </c>
      <c r="L1761" s="15">
        <f>IF(ISNUMBER(A1761),TEXT(A1761,"dd-mmm-yy"),"")</f>
        <v/>
      </c>
    </row>
    <row r="1762">
      <c r="A1762" s="14">
        <f>IF(OR(AH!$U$4=0,1757+1&gt;AH!$U$6,AND(AH!$M$5="Bloomberg",AH!$U$5=0)),"",IFERROR(IF(AND(AH!$U$12=1,1757+1=AH!$U$6),TODAY(),IF(AH!$U$5=1,INDEX('Live History'!$A$5:$A$3004,AH!$U$7+1757),INDEX('AH History'!$A$5:$A$1380,AH!$U$7+1757))),""))</f>
        <v/>
      </c>
      <c r="B1762" s="33">
        <f>IFERROR(IF(AH!$U$11=1,NA(),$J1762/$E1762-1),NA())</f>
        <v/>
      </c>
      <c r="C1762" s="269">
        <f>IFERROR(100*$E1762/$E$5,NA())</f>
        <v/>
      </c>
      <c r="D1762" s="269">
        <f>IFERROR(100*$J1762/$J$5,NA())</f>
        <v/>
      </c>
      <c r="E1762" s="32">
        <f>IFERROR(IF(AND(ISNUMBER($A1762),N(IF(AND(AH!$U$12=1,1757+1=AH!$U$6),IF(AH!$U$4=0,"unavailable",INDEX('Market Data'!$AN$5:$AN$66,AH!$U$4)),IF(AH!$U$5=1,INDEX('Live History'!$B$5:$B$3004,$K1762),INDEX('AH History'!$D$5:$GG$1380,$K1762,AH!$U$10))))&gt;0),IF(AND(AH!$U$12=1,1757+1=AH!$U$6),IF(AH!$U$4=0,"unavailable",INDEX('Market Data'!$AN$5:$AN$66,AH!$U$4)),IF(AH!$U$5=1,INDEX('Live History'!$B$5:$B$3004,$K1762),INDEX('AH History'!$D$5:$GG$1380,$K1762,AH!$U$10))),NA()),NA())</f>
        <v/>
      </c>
      <c r="F1762" s="32">
        <f>IFERROR(IF(ISNUMBER($A1762),IF(AND(AH!$U$12=1,1757+1=AH!$U$6),IF(AH!$U$4=0,"unavailable",INDEX('Market Data'!$AO$5:$AO$66,AH!$U$4)),IF(AH!$U$5=1,INDEX('Live History'!$E$5:$E$3004,MATCH($A1762,'Live History'!$D$5:$D$3004,1)),INDEX('AH History'!$D$5:$GG$1380,$K1762,AH!$U$10+1))),NA()),NA())</f>
        <v/>
      </c>
      <c r="G1762" s="34">
        <f>IFERROR(IF(ISNUMBER($A1762),IF(AND(AH!$U$12=1,1757+1=AH!$U$6),IF(AH!$U$4=0,"unavailable",INDEX('Market Data'!$AK$5:$AK$66,AH!$U$4)),IF(AH!$U$5=1,INDEX('Live History'!$D$5:$D$3004,MATCH($A1762,'Live History'!$D$5:$D$3004,1)),INDEX('AH History'!$D$5:$GG$1380,$K1762,AH!$U$10+2))),NA()),NA())</f>
        <v/>
      </c>
      <c r="H1762" s="266">
        <f>IFERROR(IF(ISNUMBER($A1762),IF(AND(AH!$U$12=1,1757+1=AH!$U$6),IF(AH!$U$4=0,"unavailable",INDEX('Market Data'!$AP$5:$AP$66,AH!$U$4)),IF(AH!$U$5=1,INDEX('Live History'!$H$5:$H$3004,MATCH($A1762,'Live History'!$G$5:$G$3004,1)),INDEX('AH History'!$B$5:$B$1380,$K1762))),NA()),NA())</f>
        <v/>
      </c>
      <c r="I1762" s="34">
        <f>IFERROR(IF(ISNUMBER($A1762),IF(AND(AH!$U$12=1,1757+1=AH!$U$6),TODAY(),IF(AH!$U$5=1,INDEX('Live History'!$G$5:$G$3004,MATCH($A1762,'Live History'!$G$5:$G$3004,1)),INDEX('AH History'!$C$5:$C$1380,$K1762))),NA()),NA())</f>
        <v/>
      </c>
      <c r="J1762" s="32">
        <f>IFERROR(IF(AND($F1762&gt;0,$H1762&gt;0,$A1762-$G1762&lt;=10,$A1762-$I1762&lt;=5,$G1762&gt;0,$I1762&gt;0),$F1762*$H1762,NA()),NA())</f>
        <v/>
      </c>
      <c r="K1762" s="15">
        <f>IF($A1762="","",IF(AH!$U$5=1,IFERROR(MATCH($A1762,'Live History'!$A$5:$A$3004,0),0),AH!$U$7+1757))</f>
        <v/>
      </c>
      <c r="L1762" s="15">
        <f>IF(ISNUMBER(A1762),TEXT(A1762,"dd-mmm-yy"),"")</f>
        <v/>
      </c>
    </row>
    <row r="1763">
      <c r="A1763" s="14">
        <f>IF(OR(AH!$U$4=0,1758+1&gt;AH!$U$6,AND(AH!$M$5="Bloomberg",AH!$U$5=0)),"",IFERROR(IF(AND(AH!$U$12=1,1758+1=AH!$U$6),TODAY(),IF(AH!$U$5=1,INDEX('Live History'!$A$5:$A$3004,AH!$U$7+1758),INDEX('AH History'!$A$5:$A$1380,AH!$U$7+1758))),""))</f>
        <v/>
      </c>
      <c r="B1763" s="33">
        <f>IFERROR(IF(AH!$U$11=1,NA(),$J1763/$E1763-1),NA())</f>
        <v/>
      </c>
      <c r="C1763" s="269">
        <f>IFERROR(100*$E1763/$E$5,NA())</f>
        <v/>
      </c>
      <c r="D1763" s="269">
        <f>IFERROR(100*$J1763/$J$5,NA())</f>
        <v/>
      </c>
      <c r="E1763" s="32">
        <f>IFERROR(IF(AND(ISNUMBER($A1763),N(IF(AND(AH!$U$12=1,1758+1=AH!$U$6),IF(AH!$U$4=0,"unavailable",INDEX('Market Data'!$AN$5:$AN$66,AH!$U$4)),IF(AH!$U$5=1,INDEX('Live History'!$B$5:$B$3004,$K1763),INDEX('AH History'!$D$5:$GG$1380,$K1763,AH!$U$10))))&gt;0),IF(AND(AH!$U$12=1,1758+1=AH!$U$6),IF(AH!$U$4=0,"unavailable",INDEX('Market Data'!$AN$5:$AN$66,AH!$U$4)),IF(AH!$U$5=1,INDEX('Live History'!$B$5:$B$3004,$K1763),INDEX('AH History'!$D$5:$GG$1380,$K1763,AH!$U$10))),NA()),NA())</f>
        <v/>
      </c>
      <c r="F1763" s="32">
        <f>IFERROR(IF(ISNUMBER($A1763),IF(AND(AH!$U$12=1,1758+1=AH!$U$6),IF(AH!$U$4=0,"unavailable",INDEX('Market Data'!$AO$5:$AO$66,AH!$U$4)),IF(AH!$U$5=1,INDEX('Live History'!$E$5:$E$3004,MATCH($A1763,'Live History'!$D$5:$D$3004,1)),INDEX('AH History'!$D$5:$GG$1380,$K1763,AH!$U$10+1))),NA()),NA())</f>
        <v/>
      </c>
      <c r="G1763" s="34">
        <f>IFERROR(IF(ISNUMBER($A1763),IF(AND(AH!$U$12=1,1758+1=AH!$U$6),IF(AH!$U$4=0,"unavailable",INDEX('Market Data'!$AK$5:$AK$66,AH!$U$4)),IF(AH!$U$5=1,INDEX('Live History'!$D$5:$D$3004,MATCH($A1763,'Live History'!$D$5:$D$3004,1)),INDEX('AH History'!$D$5:$GG$1380,$K1763,AH!$U$10+2))),NA()),NA())</f>
        <v/>
      </c>
      <c r="H1763" s="266">
        <f>IFERROR(IF(ISNUMBER($A1763),IF(AND(AH!$U$12=1,1758+1=AH!$U$6),IF(AH!$U$4=0,"unavailable",INDEX('Market Data'!$AP$5:$AP$66,AH!$U$4)),IF(AH!$U$5=1,INDEX('Live History'!$H$5:$H$3004,MATCH($A1763,'Live History'!$G$5:$G$3004,1)),INDEX('AH History'!$B$5:$B$1380,$K1763))),NA()),NA())</f>
        <v/>
      </c>
      <c r="I1763" s="34">
        <f>IFERROR(IF(ISNUMBER($A1763),IF(AND(AH!$U$12=1,1758+1=AH!$U$6),TODAY(),IF(AH!$U$5=1,INDEX('Live History'!$G$5:$G$3004,MATCH($A1763,'Live History'!$G$5:$G$3004,1)),INDEX('AH History'!$C$5:$C$1380,$K1763))),NA()),NA())</f>
        <v/>
      </c>
      <c r="J1763" s="32">
        <f>IFERROR(IF(AND($F1763&gt;0,$H1763&gt;0,$A1763-$G1763&lt;=10,$A1763-$I1763&lt;=5,$G1763&gt;0,$I1763&gt;0),$F1763*$H1763,NA()),NA())</f>
        <v/>
      </c>
      <c r="K1763" s="15">
        <f>IF($A1763="","",IF(AH!$U$5=1,IFERROR(MATCH($A1763,'Live History'!$A$5:$A$3004,0),0),AH!$U$7+1758))</f>
        <v/>
      </c>
      <c r="L1763" s="15">
        <f>IF(ISNUMBER(A1763),TEXT(A1763,"dd-mmm-yy"),"")</f>
        <v/>
      </c>
    </row>
    <row r="1764">
      <c r="A1764" s="14">
        <f>IF(OR(AH!$U$4=0,1759+1&gt;AH!$U$6,AND(AH!$M$5="Bloomberg",AH!$U$5=0)),"",IFERROR(IF(AND(AH!$U$12=1,1759+1=AH!$U$6),TODAY(),IF(AH!$U$5=1,INDEX('Live History'!$A$5:$A$3004,AH!$U$7+1759),INDEX('AH History'!$A$5:$A$1380,AH!$U$7+1759))),""))</f>
        <v/>
      </c>
      <c r="B1764" s="33">
        <f>IFERROR(IF(AH!$U$11=1,NA(),$J1764/$E1764-1),NA())</f>
        <v/>
      </c>
      <c r="C1764" s="269">
        <f>IFERROR(100*$E1764/$E$5,NA())</f>
        <v/>
      </c>
      <c r="D1764" s="269">
        <f>IFERROR(100*$J1764/$J$5,NA())</f>
        <v/>
      </c>
      <c r="E1764" s="32">
        <f>IFERROR(IF(AND(ISNUMBER($A1764),N(IF(AND(AH!$U$12=1,1759+1=AH!$U$6),IF(AH!$U$4=0,"unavailable",INDEX('Market Data'!$AN$5:$AN$66,AH!$U$4)),IF(AH!$U$5=1,INDEX('Live History'!$B$5:$B$3004,$K1764),INDEX('AH History'!$D$5:$GG$1380,$K1764,AH!$U$10))))&gt;0),IF(AND(AH!$U$12=1,1759+1=AH!$U$6),IF(AH!$U$4=0,"unavailable",INDEX('Market Data'!$AN$5:$AN$66,AH!$U$4)),IF(AH!$U$5=1,INDEX('Live History'!$B$5:$B$3004,$K1764),INDEX('AH History'!$D$5:$GG$1380,$K1764,AH!$U$10))),NA()),NA())</f>
        <v/>
      </c>
      <c r="F1764" s="32">
        <f>IFERROR(IF(ISNUMBER($A1764),IF(AND(AH!$U$12=1,1759+1=AH!$U$6),IF(AH!$U$4=0,"unavailable",INDEX('Market Data'!$AO$5:$AO$66,AH!$U$4)),IF(AH!$U$5=1,INDEX('Live History'!$E$5:$E$3004,MATCH($A1764,'Live History'!$D$5:$D$3004,1)),INDEX('AH History'!$D$5:$GG$1380,$K1764,AH!$U$10+1))),NA()),NA())</f>
        <v/>
      </c>
      <c r="G1764" s="34">
        <f>IFERROR(IF(ISNUMBER($A1764),IF(AND(AH!$U$12=1,1759+1=AH!$U$6),IF(AH!$U$4=0,"unavailable",INDEX('Market Data'!$AK$5:$AK$66,AH!$U$4)),IF(AH!$U$5=1,INDEX('Live History'!$D$5:$D$3004,MATCH($A1764,'Live History'!$D$5:$D$3004,1)),INDEX('AH History'!$D$5:$GG$1380,$K1764,AH!$U$10+2))),NA()),NA())</f>
        <v/>
      </c>
      <c r="H1764" s="266">
        <f>IFERROR(IF(ISNUMBER($A1764),IF(AND(AH!$U$12=1,1759+1=AH!$U$6),IF(AH!$U$4=0,"unavailable",INDEX('Market Data'!$AP$5:$AP$66,AH!$U$4)),IF(AH!$U$5=1,INDEX('Live History'!$H$5:$H$3004,MATCH($A1764,'Live History'!$G$5:$G$3004,1)),INDEX('AH History'!$B$5:$B$1380,$K1764))),NA()),NA())</f>
        <v/>
      </c>
      <c r="I1764" s="34">
        <f>IFERROR(IF(ISNUMBER($A1764),IF(AND(AH!$U$12=1,1759+1=AH!$U$6),TODAY(),IF(AH!$U$5=1,INDEX('Live History'!$G$5:$G$3004,MATCH($A1764,'Live History'!$G$5:$G$3004,1)),INDEX('AH History'!$C$5:$C$1380,$K1764))),NA()),NA())</f>
        <v/>
      </c>
      <c r="J1764" s="32">
        <f>IFERROR(IF(AND($F1764&gt;0,$H1764&gt;0,$A1764-$G1764&lt;=10,$A1764-$I1764&lt;=5,$G1764&gt;0,$I1764&gt;0),$F1764*$H1764,NA()),NA())</f>
        <v/>
      </c>
      <c r="K1764" s="15">
        <f>IF($A1764="","",IF(AH!$U$5=1,IFERROR(MATCH($A1764,'Live History'!$A$5:$A$3004,0),0),AH!$U$7+1759))</f>
        <v/>
      </c>
      <c r="L1764" s="15">
        <f>IF(ISNUMBER(A1764),TEXT(A1764,"dd-mmm-yy"),"")</f>
        <v/>
      </c>
    </row>
    <row r="1765">
      <c r="A1765" s="14">
        <f>IF(OR(AH!$U$4=0,1760+1&gt;AH!$U$6,AND(AH!$M$5="Bloomberg",AH!$U$5=0)),"",IFERROR(IF(AND(AH!$U$12=1,1760+1=AH!$U$6),TODAY(),IF(AH!$U$5=1,INDEX('Live History'!$A$5:$A$3004,AH!$U$7+1760),INDEX('AH History'!$A$5:$A$1380,AH!$U$7+1760))),""))</f>
        <v/>
      </c>
      <c r="B1765" s="33">
        <f>IFERROR(IF(AH!$U$11=1,NA(),$J1765/$E1765-1),NA())</f>
        <v/>
      </c>
      <c r="C1765" s="269">
        <f>IFERROR(100*$E1765/$E$5,NA())</f>
        <v/>
      </c>
      <c r="D1765" s="269">
        <f>IFERROR(100*$J1765/$J$5,NA())</f>
        <v/>
      </c>
      <c r="E1765" s="32">
        <f>IFERROR(IF(AND(ISNUMBER($A1765),N(IF(AND(AH!$U$12=1,1760+1=AH!$U$6),IF(AH!$U$4=0,"unavailable",INDEX('Market Data'!$AN$5:$AN$66,AH!$U$4)),IF(AH!$U$5=1,INDEX('Live History'!$B$5:$B$3004,$K1765),INDEX('AH History'!$D$5:$GG$1380,$K1765,AH!$U$10))))&gt;0),IF(AND(AH!$U$12=1,1760+1=AH!$U$6),IF(AH!$U$4=0,"unavailable",INDEX('Market Data'!$AN$5:$AN$66,AH!$U$4)),IF(AH!$U$5=1,INDEX('Live History'!$B$5:$B$3004,$K1765),INDEX('AH History'!$D$5:$GG$1380,$K1765,AH!$U$10))),NA()),NA())</f>
        <v/>
      </c>
      <c r="F1765" s="32">
        <f>IFERROR(IF(ISNUMBER($A1765),IF(AND(AH!$U$12=1,1760+1=AH!$U$6),IF(AH!$U$4=0,"unavailable",INDEX('Market Data'!$AO$5:$AO$66,AH!$U$4)),IF(AH!$U$5=1,INDEX('Live History'!$E$5:$E$3004,MATCH($A1765,'Live History'!$D$5:$D$3004,1)),INDEX('AH History'!$D$5:$GG$1380,$K1765,AH!$U$10+1))),NA()),NA())</f>
        <v/>
      </c>
      <c r="G1765" s="34">
        <f>IFERROR(IF(ISNUMBER($A1765),IF(AND(AH!$U$12=1,1760+1=AH!$U$6),IF(AH!$U$4=0,"unavailable",INDEX('Market Data'!$AK$5:$AK$66,AH!$U$4)),IF(AH!$U$5=1,INDEX('Live History'!$D$5:$D$3004,MATCH($A1765,'Live History'!$D$5:$D$3004,1)),INDEX('AH History'!$D$5:$GG$1380,$K1765,AH!$U$10+2))),NA()),NA())</f>
        <v/>
      </c>
      <c r="H1765" s="266">
        <f>IFERROR(IF(ISNUMBER($A1765),IF(AND(AH!$U$12=1,1760+1=AH!$U$6),IF(AH!$U$4=0,"unavailable",INDEX('Market Data'!$AP$5:$AP$66,AH!$U$4)),IF(AH!$U$5=1,INDEX('Live History'!$H$5:$H$3004,MATCH($A1765,'Live History'!$G$5:$G$3004,1)),INDEX('AH History'!$B$5:$B$1380,$K1765))),NA()),NA())</f>
        <v/>
      </c>
      <c r="I1765" s="34">
        <f>IFERROR(IF(ISNUMBER($A1765),IF(AND(AH!$U$12=1,1760+1=AH!$U$6),TODAY(),IF(AH!$U$5=1,INDEX('Live History'!$G$5:$G$3004,MATCH($A1765,'Live History'!$G$5:$G$3004,1)),INDEX('AH History'!$C$5:$C$1380,$K1765))),NA()),NA())</f>
        <v/>
      </c>
      <c r="J1765" s="32">
        <f>IFERROR(IF(AND($F1765&gt;0,$H1765&gt;0,$A1765-$G1765&lt;=10,$A1765-$I1765&lt;=5,$G1765&gt;0,$I1765&gt;0),$F1765*$H1765,NA()),NA())</f>
        <v/>
      </c>
      <c r="K1765" s="15">
        <f>IF($A1765="","",IF(AH!$U$5=1,IFERROR(MATCH($A1765,'Live History'!$A$5:$A$3004,0),0),AH!$U$7+1760))</f>
        <v/>
      </c>
      <c r="L1765" s="15">
        <f>IF(ISNUMBER(A1765),TEXT(A1765,"dd-mmm-yy"),"")</f>
        <v/>
      </c>
    </row>
    <row r="1766">
      <c r="A1766" s="14">
        <f>IF(OR(AH!$U$4=0,1761+1&gt;AH!$U$6,AND(AH!$M$5="Bloomberg",AH!$U$5=0)),"",IFERROR(IF(AND(AH!$U$12=1,1761+1=AH!$U$6),TODAY(),IF(AH!$U$5=1,INDEX('Live History'!$A$5:$A$3004,AH!$U$7+1761),INDEX('AH History'!$A$5:$A$1380,AH!$U$7+1761))),""))</f>
        <v/>
      </c>
      <c r="B1766" s="33">
        <f>IFERROR(IF(AH!$U$11=1,NA(),$J1766/$E1766-1),NA())</f>
        <v/>
      </c>
      <c r="C1766" s="269">
        <f>IFERROR(100*$E1766/$E$5,NA())</f>
        <v/>
      </c>
      <c r="D1766" s="269">
        <f>IFERROR(100*$J1766/$J$5,NA())</f>
        <v/>
      </c>
      <c r="E1766" s="32">
        <f>IFERROR(IF(AND(ISNUMBER($A1766),N(IF(AND(AH!$U$12=1,1761+1=AH!$U$6),IF(AH!$U$4=0,"unavailable",INDEX('Market Data'!$AN$5:$AN$66,AH!$U$4)),IF(AH!$U$5=1,INDEX('Live History'!$B$5:$B$3004,$K1766),INDEX('AH History'!$D$5:$GG$1380,$K1766,AH!$U$10))))&gt;0),IF(AND(AH!$U$12=1,1761+1=AH!$U$6),IF(AH!$U$4=0,"unavailable",INDEX('Market Data'!$AN$5:$AN$66,AH!$U$4)),IF(AH!$U$5=1,INDEX('Live History'!$B$5:$B$3004,$K1766),INDEX('AH History'!$D$5:$GG$1380,$K1766,AH!$U$10))),NA()),NA())</f>
        <v/>
      </c>
      <c r="F1766" s="32">
        <f>IFERROR(IF(ISNUMBER($A1766),IF(AND(AH!$U$12=1,1761+1=AH!$U$6),IF(AH!$U$4=0,"unavailable",INDEX('Market Data'!$AO$5:$AO$66,AH!$U$4)),IF(AH!$U$5=1,INDEX('Live History'!$E$5:$E$3004,MATCH($A1766,'Live History'!$D$5:$D$3004,1)),INDEX('AH History'!$D$5:$GG$1380,$K1766,AH!$U$10+1))),NA()),NA())</f>
        <v/>
      </c>
      <c r="G1766" s="34">
        <f>IFERROR(IF(ISNUMBER($A1766),IF(AND(AH!$U$12=1,1761+1=AH!$U$6),IF(AH!$U$4=0,"unavailable",INDEX('Market Data'!$AK$5:$AK$66,AH!$U$4)),IF(AH!$U$5=1,INDEX('Live History'!$D$5:$D$3004,MATCH($A1766,'Live History'!$D$5:$D$3004,1)),INDEX('AH History'!$D$5:$GG$1380,$K1766,AH!$U$10+2))),NA()),NA())</f>
        <v/>
      </c>
      <c r="H1766" s="266">
        <f>IFERROR(IF(ISNUMBER($A1766),IF(AND(AH!$U$12=1,1761+1=AH!$U$6),IF(AH!$U$4=0,"unavailable",INDEX('Market Data'!$AP$5:$AP$66,AH!$U$4)),IF(AH!$U$5=1,INDEX('Live History'!$H$5:$H$3004,MATCH($A1766,'Live History'!$G$5:$G$3004,1)),INDEX('AH History'!$B$5:$B$1380,$K1766))),NA()),NA())</f>
        <v/>
      </c>
      <c r="I1766" s="34">
        <f>IFERROR(IF(ISNUMBER($A1766),IF(AND(AH!$U$12=1,1761+1=AH!$U$6),TODAY(),IF(AH!$U$5=1,INDEX('Live History'!$G$5:$G$3004,MATCH($A1766,'Live History'!$G$5:$G$3004,1)),INDEX('AH History'!$C$5:$C$1380,$K1766))),NA()),NA())</f>
        <v/>
      </c>
      <c r="J1766" s="32">
        <f>IFERROR(IF(AND($F1766&gt;0,$H1766&gt;0,$A1766-$G1766&lt;=10,$A1766-$I1766&lt;=5,$G1766&gt;0,$I1766&gt;0),$F1766*$H1766,NA()),NA())</f>
        <v/>
      </c>
      <c r="K1766" s="15">
        <f>IF($A1766="","",IF(AH!$U$5=1,IFERROR(MATCH($A1766,'Live History'!$A$5:$A$3004,0),0),AH!$U$7+1761))</f>
        <v/>
      </c>
      <c r="L1766" s="15">
        <f>IF(ISNUMBER(A1766),TEXT(A1766,"dd-mmm-yy"),"")</f>
        <v/>
      </c>
    </row>
    <row r="1767">
      <c r="A1767" s="14">
        <f>IF(OR(AH!$U$4=0,1762+1&gt;AH!$U$6,AND(AH!$M$5="Bloomberg",AH!$U$5=0)),"",IFERROR(IF(AND(AH!$U$12=1,1762+1=AH!$U$6),TODAY(),IF(AH!$U$5=1,INDEX('Live History'!$A$5:$A$3004,AH!$U$7+1762),INDEX('AH History'!$A$5:$A$1380,AH!$U$7+1762))),""))</f>
        <v/>
      </c>
      <c r="B1767" s="33">
        <f>IFERROR(IF(AH!$U$11=1,NA(),$J1767/$E1767-1),NA())</f>
        <v/>
      </c>
      <c r="C1767" s="269">
        <f>IFERROR(100*$E1767/$E$5,NA())</f>
        <v/>
      </c>
      <c r="D1767" s="269">
        <f>IFERROR(100*$J1767/$J$5,NA())</f>
        <v/>
      </c>
      <c r="E1767" s="32">
        <f>IFERROR(IF(AND(ISNUMBER($A1767),N(IF(AND(AH!$U$12=1,1762+1=AH!$U$6),IF(AH!$U$4=0,"unavailable",INDEX('Market Data'!$AN$5:$AN$66,AH!$U$4)),IF(AH!$U$5=1,INDEX('Live History'!$B$5:$B$3004,$K1767),INDEX('AH History'!$D$5:$GG$1380,$K1767,AH!$U$10))))&gt;0),IF(AND(AH!$U$12=1,1762+1=AH!$U$6),IF(AH!$U$4=0,"unavailable",INDEX('Market Data'!$AN$5:$AN$66,AH!$U$4)),IF(AH!$U$5=1,INDEX('Live History'!$B$5:$B$3004,$K1767),INDEX('AH History'!$D$5:$GG$1380,$K1767,AH!$U$10))),NA()),NA())</f>
        <v/>
      </c>
      <c r="F1767" s="32">
        <f>IFERROR(IF(ISNUMBER($A1767),IF(AND(AH!$U$12=1,1762+1=AH!$U$6),IF(AH!$U$4=0,"unavailable",INDEX('Market Data'!$AO$5:$AO$66,AH!$U$4)),IF(AH!$U$5=1,INDEX('Live History'!$E$5:$E$3004,MATCH($A1767,'Live History'!$D$5:$D$3004,1)),INDEX('AH History'!$D$5:$GG$1380,$K1767,AH!$U$10+1))),NA()),NA())</f>
        <v/>
      </c>
      <c r="G1767" s="34">
        <f>IFERROR(IF(ISNUMBER($A1767),IF(AND(AH!$U$12=1,1762+1=AH!$U$6),IF(AH!$U$4=0,"unavailable",INDEX('Market Data'!$AK$5:$AK$66,AH!$U$4)),IF(AH!$U$5=1,INDEX('Live History'!$D$5:$D$3004,MATCH($A1767,'Live History'!$D$5:$D$3004,1)),INDEX('AH History'!$D$5:$GG$1380,$K1767,AH!$U$10+2))),NA()),NA())</f>
        <v/>
      </c>
      <c r="H1767" s="266">
        <f>IFERROR(IF(ISNUMBER($A1767),IF(AND(AH!$U$12=1,1762+1=AH!$U$6),IF(AH!$U$4=0,"unavailable",INDEX('Market Data'!$AP$5:$AP$66,AH!$U$4)),IF(AH!$U$5=1,INDEX('Live History'!$H$5:$H$3004,MATCH($A1767,'Live History'!$G$5:$G$3004,1)),INDEX('AH History'!$B$5:$B$1380,$K1767))),NA()),NA())</f>
        <v/>
      </c>
      <c r="I1767" s="34">
        <f>IFERROR(IF(ISNUMBER($A1767),IF(AND(AH!$U$12=1,1762+1=AH!$U$6),TODAY(),IF(AH!$U$5=1,INDEX('Live History'!$G$5:$G$3004,MATCH($A1767,'Live History'!$G$5:$G$3004,1)),INDEX('AH History'!$C$5:$C$1380,$K1767))),NA()),NA())</f>
        <v/>
      </c>
      <c r="J1767" s="32">
        <f>IFERROR(IF(AND($F1767&gt;0,$H1767&gt;0,$A1767-$G1767&lt;=10,$A1767-$I1767&lt;=5,$G1767&gt;0,$I1767&gt;0),$F1767*$H1767,NA()),NA())</f>
        <v/>
      </c>
      <c r="K1767" s="15">
        <f>IF($A1767="","",IF(AH!$U$5=1,IFERROR(MATCH($A1767,'Live History'!$A$5:$A$3004,0),0),AH!$U$7+1762))</f>
        <v/>
      </c>
      <c r="L1767" s="15">
        <f>IF(ISNUMBER(A1767),TEXT(A1767,"dd-mmm-yy"),"")</f>
        <v/>
      </c>
    </row>
    <row r="1768">
      <c r="A1768" s="14">
        <f>IF(OR(AH!$U$4=0,1763+1&gt;AH!$U$6,AND(AH!$M$5="Bloomberg",AH!$U$5=0)),"",IFERROR(IF(AND(AH!$U$12=1,1763+1=AH!$U$6),TODAY(),IF(AH!$U$5=1,INDEX('Live History'!$A$5:$A$3004,AH!$U$7+1763),INDEX('AH History'!$A$5:$A$1380,AH!$U$7+1763))),""))</f>
        <v/>
      </c>
      <c r="B1768" s="33">
        <f>IFERROR(IF(AH!$U$11=1,NA(),$J1768/$E1768-1),NA())</f>
        <v/>
      </c>
      <c r="C1768" s="269">
        <f>IFERROR(100*$E1768/$E$5,NA())</f>
        <v/>
      </c>
      <c r="D1768" s="269">
        <f>IFERROR(100*$J1768/$J$5,NA())</f>
        <v/>
      </c>
      <c r="E1768" s="32">
        <f>IFERROR(IF(AND(ISNUMBER($A1768),N(IF(AND(AH!$U$12=1,1763+1=AH!$U$6),IF(AH!$U$4=0,"unavailable",INDEX('Market Data'!$AN$5:$AN$66,AH!$U$4)),IF(AH!$U$5=1,INDEX('Live History'!$B$5:$B$3004,$K1768),INDEX('AH History'!$D$5:$GG$1380,$K1768,AH!$U$10))))&gt;0),IF(AND(AH!$U$12=1,1763+1=AH!$U$6),IF(AH!$U$4=0,"unavailable",INDEX('Market Data'!$AN$5:$AN$66,AH!$U$4)),IF(AH!$U$5=1,INDEX('Live History'!$B$5:$B$3004,$K1768),INDEX('AH History'!$D$5:$GG$1380,$K1768,AH!$U$10))),NA()),NA())</f>
        <v/>
      </c>
      <c r="F1768" s="32">
        <f>IFERROR(IF(ISNUMBER($A1768),IF(AND(AH!$U$12=1,1763+1=AH!$U$6),IF(AH!$U$4=0,"unavailable",INDEX('Market Data'!$AO$5:$AO$66,AH!$U$4)),IF(AH!$U$5=1,INDEX('Live History'!$E$5:$E$3004,MATCH($A1768,'Live History'!$D$5:$D$3004,1)),INDEX('AH History'!$D$5:$GG$1380,$K1768,AH!$U$10+1))),NA()),NA())</f>
        <v/>
      </c>
      <c r="G1768" s="34">
        <f>IFERROR(IF(ISNUMBER($A1768),IF(AND(AH!$U$12=1,1763+1=AH!$U$6),IF(AH!$U$4=0,"unavailable",INDEX('Market Data'!$AK$5:$AK$66,AH!$U$4)),IF(AH!$U$5=1,INDEX('Live History'!$D$5:$D$3004,MATCH($A1768,'Live History'!$D$5:$D$3004,1)),INDEX('AH History'!$D$5:$GG$1380,$K1768,AH!$U$10+2))),NA()),NA())</f>
        <v/>
      </c>
      <c r="H1768" s="266">
        <f>IFERROR(IF(ISNUMBER($A1768),IF(AND(AH!$U$12=1,1763+1=AH!$U$6),IF(AH!$U$4=0,"unavailable",INDEX('Market Data'!$AP$5:$AP$66,AH!$U$4)),IF(AH!$U$5=1,INDEX('Live History'!$H$5:$H$3004,MATCH($A1768,'Live History'!$G$5:$G$3004,1)),INDEX('AH History'!$B$5:$B$1380,$K1768))),NA()),NA())</f>
        <v/>
      </c>
      <c r="I1768" s="34">
        <f>IFERROR(IF(ISNUMBER($A1768),IF(AND(AH!$U$12=1,1763+1=AH!$U$6),TODAY(),IF(AH!$U$5=1,INDEX('Live History'!$G$5:$G$3004,MATCH($A1768,'Live History'!$G$5:$G$3004,1)),INDEX('AH History'!$C$5:$C$1380,$K1768))),NA()),NA())</f>
        <v/>
      </c>
      <c r="J1768" s="32">
        <f>IFERROR(IF(AND($F1768&gt;0,$H1768&gt;0,$A1768-$G1768&lt;=10,$A1768-$I1768&lt;=5,$G1768&gt;0,$I1768&gt;0),$F1768*$H1768,NA()),NA())</f>
        <v/>
      </c>
      <c r="K1768" s="15">
        <f>IF($A1768="","",IF(AH!$U$5=1,IFERROR(MATCH($A1768,'Live History'!$A$5:$A$3004,0),0),AH!$U$7+1763))</f>
        <v/>
      </c>
      <c r="L1768" s="15">
        <f>IF(ISNUMBER(A1768),TEXT(A1768,"dd-mmm-yy"),"")</f>
        <v/>
      </c>
    </row>
    <row r="1769">
      <c r="A1769" s="14">
        <f>IF(OR(AH!$U$4=0,1764+1&gt;AH!$U$6,AND(AH!$M$5="Bloomberg",AH!$U$5=0)),"",IFERROR(IF(AND(AH!$U$12=1,1764+1=AH!$U$6),TODAY(),IF(AH!$U$5=1,INDEX('Live History'!$A$5:$A$3004,AH!$U$7+1764),INDEX('AH History'!$A$5:$A$1380,AH!$U$7+1764))),""))</f>
        <v/>
      </c>
      <c r="B1769" s="33">
        <f>IFERROR(IF(AH!$U$11=1,NA(),$J1769/$E1769-1),NA())</f>
        <v/>
      </c>
      <c r="C1769" s="269">
        <f>IFERROR(100*$E1769/$E$5,NA())</f>
        <v/>
      </c>
      <c r="D1769" s="269">
        <f>IFERROR(100*$J1769/$J$5,NA())</f>
        <v/>
      </c>
      <c r="E1769" s="32">
        <f>IFERROR(IF(AND(ISNUMBER($A1769),N(IF(AND(AH!$U$12=1,1764+1=AH!$U$6),IF(AH!$U$4=0,"unavailable",INDEX('Market Data'!$AN$5:$AN$66,AH!$U$4)),IF(AH!$U$5=1,INDEX('Live History'!$B$5:$B$3004,$K1769),INDEX('AH History'!$D$5:$GG$1380,$K1769,AH!$U$10))))&gt;0),IF(AND(AH!$U$12=1,1764+1=AH!$U$6),IF(AH!$U$4=0,"unavailable",INDEX('Market Data'!$AN$5:$AN$66,AH!$U$4)),IF(AH!$U$5=1,INDEX('Live History'!$B$5:$B$3004,$K1769),INDEX('AH History'!$D$5:$GG$1380,$K1769,AH!$U$10))),NA()),NA())</f>
        <v/>
      </c>
      <c r="F1769" s="32">
        <f>IFERROR(IF(ISNUMBER($A1769),IF(AND(AH!$U$12=1,1764+1=AH!$U$6),IF(AH!$U$4=0,"unavailable",INDEX('Market Data'!$AO$5:$AO$66,AH!$U$4)),IF(AH!$U$5=1,INDEX('Live History'!$E$5:$E$3004,MATCH($A1769,'Live History'!$D$5:$D$3004,1)),INDEX('AH History'!$D$5:$GG$1380,$K1769,AH!$U$10+1))),NA()),NA())</f>
        <v/>
      </c>
      <c r="G1769" s="34">
        <f>IFERROR(IF(ISNUMBER($A1769),IF(AND(AH!$U$12=1,1764+1=AH!$U$6),IF(AH!$U$4=0,"unavailable",INDEX('Market Data'!$AK$5:$AK$66,AH!$U$4)),IF(AH!$U$5=1,INDEX('Live History'!$D$5:$D$3004,MATCH($A1769,'Live History'!$D$5:$D$3004,1)),INDEX('AH History'!$D$5:$GG$1380,$K1769,AH!$U$10+2))),NA()),NA())</f>
        <v/>
      </c>
      <c r="H1769" s="266">
        <f>IFERROR(IF(ISNUMBER($A1769),IF(AND(AH!$U$12=1,1764+1=AH!$U$6),IF(AH!$U$4=0,"unavailable",INDEX('Market Data'!$AP$5:$AP$66,AH!$U$4)),IF(AH!$U$5=1,INDEX('Live History'!$H$5:$H$3004,MATCH($A1769,'Live History'!$G$5:$G$3004,1)),INDEX('AH History'!$B$5:$B$1380,$K1769))),NA()),NA())</f>
        <v/>
      </c>
      <c r="I1769" s="34">
        <f>IFERROR(IF(ISNUMBER($A1769),IF(AND(AH!$U$12=1,1764+1=AH!$U$6),TODAY(),IF(AH!$U$5=1,INDEX('Live History'!$G$5:$G$3004,MATCH($A1769,'Live History'!$G$5:$G$3004,1)),INDEX('AH History'!$C$5:$C$1380,$K1769))),NA()),NA())</f>
        <v/>
      </c>
      <c r="J1769" s="32">
        <f>IFERROR(IF(AND($F1769&gt;0,$H1769&gt;0,$A1769-$G1769&lt;=10,$A1769-$I1769&lt;=5,$G1769&gt;0,$I1769&gt;0),$F1769*$H1769,NA()),NA())</f>
        <v/>
      </c>
      <c r="K1769" s="15">
        <f>IF($A1769="","",IF(AH!$U$5=1,IFERROR(MATCH($A1769,'Live History'!$A$5:$A$3004,0),0),AH!$U$7+1764))</f>
        <v/>
      </c>
      <c r="L1769" s="15">
        <f>IF(ISNUMBER(A1769),TEXT(A1769,"dd-mmm-yy"),"")</f>
        <v/>
      </c>
    </row>
    <row r="1770">
      <c r="A1770" s="14">
        <f>IF(OR(AH!$U$4=0,1765+1&gt;AH!$U$6,AND(AH!$M$5="Bloomberg",AH!$U$5=0)),"",IFERROR(IF(AND(AH!$U$12=1,1765+1=AH!$U$6),TODAY(),IF(AH!$U$5=1,INDEX('Live History'!$A$5:$A$3004,AH!$U$7+1765),INDEX('AH History'!$A$5:$A$1380,AH!$U$7+1765))),""))</f>
        <v/>
      </c>
      <c r="B1770" s="33">
        <f>IFERROR(IF(AH!$U$11=1,NA(),$J1770/$E1770-1),NA())</f>
        <v/>
      </c>
      <c r="C1770" s="269">
        <f>IFERROR(100*$E1770/$E$5,NA())</f>
        <v/>
      </c>
      <c r="D1770" s="269">
        <f>IFERROR(100*$J1770/$J$5,NA())</f>
        <v/>
      </c>
      <c r="E1770" s="32">
        <f>IFERROR(IF(AND(ISNUMBER($A1770),N(IF(AND(AH!$U$12=1,1765+1=AH!$U$6),IF(AH!$U$4=0,"unavailable",INDEX('Market Data'!$AN$5:$AN$66,AH!$U$4)),IF(AH!$U$5=1,INDEX('Live History'!$B$5:$B$3004,$K1770),INDEX('AH History'!$D$5:$GG$1380,$K1770,AH!$U$10))))&gt;0),IF(AND(AH!$U$12=1,1765+1=AH!$U$6),IF(AH!$U$4=0,"unavailable",INDEX('Market Data'!$AN$5:$AN$66,AH!$U$4)),IF(AH!$U$5=1,INDEX('Live History'!$B$5:$B$3004,$K1770),INDEX('AH History'!$D$5:$GG$1380,$K1770,AH!$U$10))),NA()),NA())</f>
        <v/>
      </c>
      <c r="F1770" s="32">
        <f>IFERROR(IF(ISNUMBER($A1770),IF(AND(AH!$U$12=1,1765+1=AH!$U$6),IF(AH!$U$4=0,"unavailable",INDEX('Market Data'!$AO$5:$AO$66,AH!$U$4)),IF(AH!$U$5=1,INDEX('Live History'!$E$5:$E$3004,MATCH($A1770,'Live History'!$D$5:$D$3004,1)),INDEX('AH History'!$D$5:$GG$1380,$K1770,AH!$U$10+1))),NA()),NA())</f>
        <v/>
      </c>
      <c r="G1770" s="34">
        <f>IFERROR(IF(ISNUMBER($A1770),IF(AND(AH!$U$12=1,1765+1=AH!$U$6),IF(AH!$U$4=0,"unavailable",INDEX('Market Data'!$AK$5:$AK$66,AH!$U$4)),IF(AH!$U$5=1,INDEX('Live History'!$D$5:$D$3004,MATCH($A1770,'Live History'!$D$5:$D$3004,1)),INDEX('AH History'!$D$5:$GG$1380,$K1770,AH!$U$10+2))),NA()),NA())</f>
        <v/>
      </c>
      <c r="H1770" s="266">
        <f>IFERROR(IF(ISNUMBER($A1770),IF(AND(AH!$U$12=1,1765+1=AH!$U$6),IF(AH!$U$4=0,"unavailable",INDEX('Market Data'!$AP$5:$AP$66,AH!$U$4)),IF(AH!$U$5=1,INDEX('Live History'!$H$5:$H$3004,MATCH($A1770,'Live History'!$G$5:$G$3004,1)),INDEX('AH History'!$B$5:$B$1380,$K1770))),NA()),NA())</f>
        <v/>
      </c>
      <c r="I1770" s="34">
        <f>IFERROR(IF(ISNUMBER($A1770),IF(AND(AH!$U$12=1,1765+1=AH!$U$6),TODAY(),IF(AH!$U$5=1,INDEX('Live History'!$G$5:$G$3004,MATCH($A1770,'Live History'!$G$5:$G$3004,1)),INDEX('AH History'!$C$5:$C$1380,$K1770))),NA()),NA())</f>
        <v/>
      </c>
      <c r="J1770" s="32">
        <f>IFERROR(IF(AND($F1770&gt;0,$H1770&gt;0,$A1770-$G1770&lt;=10,$A1770-$I1770&lt;=5,$G1770&gt;0,$I1770&gt;0),$F1770*$H1770,NA()),NA())</f>
        <v/>
      </c>
      <c r="K1770" s="15">
        <f>IF($A1770="","",IF(AH!$U$5=1,IFERROR(MATCH($A1770,'Live History'!$A$5:$A$3004,0),0),AH!$U$7+1765))</f>
        <v/>
      </c>
      <c r="L1770" s="15">
        <f>IF(ISNUMBER(A1770),TEXT(A1770,"dd-mmm-yy"),"")</f>
        <v/>
      </c>
    </row>
    <row r="1771">
      <c r="A1771" s="14">
        <f>IF(OR(AH!$U$4=0,1766+1&gt;AH!$U$6,AND(AH!$M$5="Bloomberg",AH!$U$5=0)),"",IFERROR(IF(AND(AH!$U$12=1,1766+1=AH!$U$6),TODAY(),IF(AH!$U$5=1,INDEX('Live History'!$A$5:$A$3004,AH!$U$7+1766),INDEX('AH History'!$A$5:$A$1380,AH!$U$7+1766))),""))</f>
        <v/>
      </c>
      <c r="B1771" s="33">
        <f>IFERROR(IF(AH!$U$11=1,NA(),$J1771/$E1771-1),NA())</f>
        <v/>
      </c>
      <c r="C1771" s="269">
        <f>IFERROR(100*$E1771/$E$5,NA())</f>
        <v/>
      </c>
      <c r="D1771" s="269">
        <f>IFERROR(100*$J1771/$J$5,NA())</f>
        <v/>
      </c>
      <c r="E1771" s="32">
        <f>IFERROR(IF(AND(ISNUMBER($A1771),N(IF(AND(AH!$U$12=1,1766+1=AH!$U$6),IF(AH!$U$4=0,"unavailable",INDEX('Market Data'!$AN$5:$AN$66,AH!$U$4)),IF(AH!$U$5=1,INDEX('Live History'!$B$5:$B$3004,$K1771),INDEX('AH History'!$D$5:$GG$1380,$K1771,AH!$U$10))))&gt;0),IF(AND(AH!$U$12=1,1766+1=AH!$U$6),IF(AH!$U$4=0,"unavailable",INDEX('Market Data'!$AN$5:$AN$66,AH!$U$4)),IF(AH!$U$5=1,INDEX('Live History'!$B$5:$B$3004,$K1771),INDEX('AH History'!$D$5:$GG$1380,$K1771,AH!$U$10))),NA()),NA())</f>
        <v/>
      </c>
      <c r="F1771" s="32">
        <f>IFERROR(IF(ISNUMBER($A1771),IF(AND(AH!$U$12=1,1766+1=AH!$U$6),IF(AH!$U$4=0,"unavailable",INDEX('Market Data'!$AO$5:$AO$66,AH!$U$4)),IF(AH!$U$5=1,INDEX('Live History'!$E$5:$E$3004,MATCH($A1771,'Live History'!$D$5:$D$3004,1)),INDEX('AH History'!$D$5:$GG$1380,$K1771,AH!$U$10+1))),NA()),NA())</f>
        <v/>
      </c>
      <c r="G1771" s="34">
        <f>IFERROR(IF(ISNUMBER($A1771),IF(AND(AH!$U$12=1,1766+1=AH!$U$6),IF(AH!$U$4=0,"unavailable",INDEX('Market Data'!$AK$5:$AK$66,AH!$U$4)),IF(AH!$U$5=1,INDEX('Live History'!$D$5:$D$3004,MATCH($A1771,'Live History'!$D$5:$D$3004,1)),INDEX('AH History'!$D$5:$GG$1380,$K1771,AH!$U$10+2))),NA()),NA())</f>
        <v/>
      </c>
      <c r="H1771" s="266">
        <f>IFERROR(IF(ISNUMBER($A1771),IF(AND(AH!$U$12=1,1766+1=AH!$U$6),IF(AH!$U$4=0,"unavailable",INDEX('Market Data'!$AP$5:$AP$66,AH!$U$4)),IF(AH!$U$5=1,INDEX('Live History'!$H$5:$H$3004,MATCH($A1771,'Live History'!$G$5:$G$3004,1)),INDEX('AH History'!$B$5:$B$1380,$K1771))),NA()),NA())</f>
        <v/>
      </c>
      <c r="I1771" s="34">
        <f>IFERROR(IF(ISNUMBER($A1771),IF(AND(AH!$U$12=1,1766+1=AH!$U$6),TODAY(),IF(AH!$U$5=1,INDEX('Live History'!$G$5:$G$3004,MATCH($A1771,'Live History'!$G$5:$G$3004,1)),INDEX('AH History'!$C$5:$C$1380,$K1771))),NA()),NA())</f>
        <v/>
      </c>
      <c r="J1771" s="32">
        <f>IFERROR(IF(AND($F1771&gt;0,$H1771&gt;0,$A1771-$G1771&lt;=10,$A1771-$I1771&lt;=5,$G1771&gt;0,$I1771&gt;0),$F1771*$H1771,NA()),NA())</f>
        <v/>
      </c>
      <c r="K1771" s="15">
        <f>IF($A1771="","",IF(AH!$U$5=1,IFERROR(MATCH($A1771,'Live History'!$A$5:$A$3004,0),0),AH!$U$7+1766))</f>
        <v/>
      </c>
      <c r="L1771" s="15">
        <f>IF(ISNUMBER(A1771),TEXT(A1771,"dd-mmm-yy"),"")</f>
        <v/>
      </c>
    </row>
    <row r="1772">
      <c r="A1772" s="14">
        <f>IF(OR(AH!$U$4=0,1767+1&gt;AH!$U$6,AND(AH!$M$5="Bloomberg",AH!$U$5=0)),"",IFERROR(IF(AND(AH!$U$12=1,1767+1=AH!$U$6),TODAY(),IF(AH!$U$5=1,INDEX('Live History'!$A$5:$A$3004,AH!$U$7+1767),INDEX('AH History'!$A$5:$A$1380,AH!$U$7+1767))),""))</f>
        <v/>
      </c>
      <c r="B1772" s="33">
        <f>IFERROR(IF(AH!$U$11=1,NA(),$J1772/$E1772-1),NA())</f>
        <v/>
      </c>
      <c r="C1772" s="269">
        <f>IFERROR(100*$E1772/$E$5,NA())</f>
        <v/>
      </c>
      <c r="D1772" s="269">
        <f>IFERROR(100*$J1772/$J$5,NA())</f>
        <v/>
      </c>
      <c r="E1772" s="32">
        <f>IFERROR(IF(AND(ISNUMBER($A1772),N(IF(AND(AH!$U$12=1,1767+1=AH!$U$6),IF(AH!$U$4=0,"unavailable",INDEX('Market Data'!$AN$5:$AN$66,AH!$U$4)),IF(AH!$U$5=1,INDEX('Live History'!$B$5:$B$3004,$K1772),INDEX('AH History'!$D$5:$GG$1380,$K1772,AH!$U$10))))&gt;0),IF(AND(AH!$U$12=1,1767+1=AH!$U$6),IF(AH!$U$4=0,"unavailable",INDEX('Market Data'!$AN$5:$AN$66,AH!$U$4)),IF(AH!$U$5=1,INDEX('Live History'!$B$5:$B$3004,$K1772),INDEX('AH History'!$D$5:$GG$1380,$K1772,AH!$U$10))),NA()),NA())</f>
        <v/>
      </c>
      <c r="F1772" s="32">
        <f>IFERROR(IF(ISNUMBER($A1772),IF(AND(AH!$U$12=1,1767+1=AH!$U$6),IF(AH!$U$4=0,"unavailable",INDEX('Market Data'!$AO$5:$AO$66,AH!$U$4)),IF(AH!$U$5=1,INDEX('Live History'!$E$5:$E$3004,MATCH($A1772,'Live History'!$D$5:$D$3004,1)),INDEX('AH History'!$D$5:$GG$1380,$K1772,AH!$U$10+1))),NA()),NA())</f>
        <v/>
      </c>
      <c r="G1772" s="34">
        <f>IFERROR(IF(ISNUMBER($A1772),IF(AND(AH!$U$12=1,1767+1=AH!$U$6),IF(AH!$U$4=0,"unavailable",INDEX('Market Data'!$AK$5:$AK$66,AH!$U$4)),IF(AH!$U$5=1,INDEX('Live History'!$D$5:$D$3004,MATCH($A1772,'Live History'!$D$5:$D$3004,1)),INDEX('AH History'!$D$5:$GG$1380,$K1772,AH!$U$10+2))),NA()),NA())</f>
        <v/>
      </c>
      <c r="H1772" s="266">
        <f>IFERROR(IF(ISNUMBER($A1772),IF(AND(AH!$U$12=1,1767+1=AH!$U$6),IF(AH!$U$4=0,"unavailable",INDEX('Market Data'!$AP$5:$AP$66,AH!$U$4)),IF(AH!$U$5=1,INDEX('Live History'!$H$5:$H$3004,MATCH($A1772,'Live History'!$G$5:$G$3004,1)),INDEX('AH History'!$B$5:$B$1380,$K1772))),NA()),NA())</f>
        <v/>
      </c>
      <c r="I1772" s="34">
        <f>IFERROR(IF(ISNUMBER($A1772),IF(AND(AH!$U$12=1,1767+1=AH!$U$6),TODAY(),IF(AH!$U$5=1,INDEX('Live History'!$G$5:$G$3004,MATCH($A1772,'Live History'!$G$5:$G$3004,1)),INDEX('AH History'!$C$5:$C$1380,$K1772))),NA()),NA())</f>
        <v/>
      </c>
      <c r="J1772" s="32">
        <f>IFERROR(IF(AND($F1772&gt;0,$H1772&gt;0,$A1772-$G1772&lt;=10,$A1772-$I1772&lt;=5,$G1772&gt;0,$I1772&gt;0),$F1772*$H1772,NA()),NA())</f>
        <v/>
      </c>
      <c r="K1772" s="15">
        <f>IF($A1772="","",IF(AH!$U$5=1,IFERROR(MATCH($A1772,'Live History'!$A$5:$A$3004,0),0),AH!$U$7+1767))</f>
        <v/>
      </c>
      <c r="L1772" s="15">
        <f>IF(ISNUMBER(A1772),TEXT(A1772,"dd-mmm-yy"),"")</f>
        <v/>
      </c>
    </row>
    <row r="1773">
      <c r="A1773" s="14">
        <f>IF(OR(AH!$U$4=0,1768+1&gt;AH!$U$6,AND(AH!$M$5="Bloomberg",AH!$U$5=0)),"",IFERROR(IF(AND(AH!$U$12=1,1768+1=AH!$U$6),TODAY(),IF(AH!$U$5=1,INDEX('Live History'!$A$5:$A$3004,AH!$U$7+1768),INDEX('AH History'!$A$5:$A$1380,AH!$U$7+1768))),""))</f>
        <v/>
      </c>
      <c r="B1773" s="33">
        <f>IFERROR(IF(AH!$U$11=1,NA(),$J1773/$E1773-1),NA())</f>
        <v/>
      </c>
      <c r="C1773" s="269">
        <f>IFERROR(100*$E1773/$E$5,NA())</f>
        <v/>
      </c>
      <c r="D1773" s="269">
        <f>IFERROR(100*$J1773/$J$5,NA())</f>
        <v/>
      </c>
      <c r="E1773" s="32">
        <f>IFERROR(IF(AND(ISNUMBER($A1773),N(IF(AND(AH!$U$12=1,1768+1=AH!$U$6),IF(AH!$U$4=0,"unavailable",INDEX('Market Data'!$AN$5:$AN$66,AH!$U$4)),IF(AH!$U$5=1,INDEX('Live History'!$B$5:$B$3004,$K1773),INDEX('AH History'!$D$5:$GG$1380,$K1773,AH!$U$10))))&gt;0),IF(AND(AH!$U$12=1,1768+1=AH!$U$6),IF(AH!$U$4=0,"unavailable",INDEX('Market Data'!$AN$5:$AN$66,AH!$U$4)),IF(AH!$U$5=1,INDEX('Live History'!$B$5:$B$3004,$K1773),INDEX('AH History'!$D$5:$GG$1380,$K1773,AH!$U$10))),NA()),NA())</f>
        <v/>
      </c>
      <c r="F1773" s="32">
        <f>IFERROR(IF(ISNUMBER($A1773),IF(AND(AH!$U$12=1,1768+1=AH!$U$6),IF(AH!$U$4=0,"unavailable",INDEX('Market Data'!$AO$5:$AO$66,AH!$U$4)),IF(AH!$U$5=1,INDEX('Live History'!$E$5:$E$3004,MATCH($A1773,'Live History'!$D$5:$D$3004,1)),INDEX('AH History'!$D$5:$GG$1380,$K1773,AH!$U$10+1))),NA()),NA())</f>
        <v/>
      </c>
      <c r="G1773" s="34">
        <f>IFERROR(IF(ISNUMBER($A1773),IF(AND(AH!$U$12=1,1768+1=AH!$U$6),IF(AH!$U$4=0,"unavailable",INDEX('Market Data'!$AK$5:$AK$66,AH!$U$4)),IF(AH!$U$5=1,INDEX('Live History'!$D$5:$D$3004,MATCH($A1773,'Live History'!$D$5:$D$3004,1)),INDEX('AH History'!$D$5:$GG$1380,$K1773,AH!$U$10+2))),NA()),NA())</f>
        <v/>
      </c>
      <c r="H1773" s="266">
        <f>IFERROR(IF(ISNUMBER($A1773),IF(AND(AH!$U$12=1,1768+1=AH!$U$6),IF(AH!$U$4=0,"unavailable",INDEX('Market Data'!$AP$5:$AP$66,AH!$U$4)),IF(AH!$U$5=1,INDEX('Live History'!$H$5:$H$3004,MATCH($A1773,'Live History'!$G$5:$G$3004,1)),INDEX('AH History'!$B$5:$B$1380,$K1773))),NA()),NA())</f>
        <v/>
      </c>
      <c r="I1773" s="34">
        <f>IFERROR(IF(ISNUMBER($A1773),IF(AND(AH!$U$12=1,1768+1=AH!$U$6),TODAY(),IF(AH!$U$5=1,INDEX('Live History'!$G$5:$G$3004,MATCH($A1773,'Live History'!$G$5:$G$3004,1)),INDEX('AH History'!$C$5:$C$1380,$K1773))),NA()),NA())</f>
        <v/>
      </c>
      <c r="J1773" s="32">
        <f>IFERROR(IF(AND($F1773&gt;0,$H1773&gt;0,$A1773-$G1773&lt;=10,$A1773-$I1773&lt;=5,$G1773&gt;0,$I1773&gt;0),$F1773*$H1773,NA()),NA())</f>
        <v/>
      </c>
      <c r="K1773" s="15">
        <f>IF($A1773="","",IF(AH!$U$5=1,IFERROR(MATCH($A1773,'Live History'!$A$5:$A$3004,0),0),AH!$U$7+1768))</f>
        <v/>
      </c>
      <c r="L1773" s="15">
        <f>IF(ISNUMBER(A1773),TEXT(A1773,"dd-mmm-yy"),"")</f>
        <v/>
      </c>
    </row>
    <row r="1774">
      <c r="A1774" s="14">
        <f>IF(OR(AH!$U$4=0,1769+1&gt;AH!$U$6,AND(AH!$M$5="Bloomberg",AH!$U$5=0)),"",IFERROR(IF(AND(AH!$U$12=1,1769+1=AH!$U$6),TODAY(),IF(AH!$U$5=1,INDEX('Live History'!$A$5:$A$3004,AH!$U$7+1769),INDEX('AH History'!$A$5:$A$1380,AH!$U$7+1769))),""))</f>
        <v/>
      </c>
      <c r="B1774" s="33">
        <f>IFERROR(IF(AH!$U$11=1,NA(),$J1774/$E1774-1),NA())</f>
        <v/>
      </c>
      <c r="C1774" s="269">
        <f>IFERROR(100*$E1774/$E$5,NA())</f>
        <v/>
      </c>
      <c r="D1774" s="269">
        <f>IFERROR(100*$J1774/$J$5,NA())</f>
        <v/>
      </c>
      <c r="E1774" s="32">
        <f>IFERROR(IF(AND(ISNUMBER($A1774),N(IF(AND(AH!$U$12=1,1769+1=AH!$U$6),IF(AH!$U$4=0,"unavailable",INDEX('Market Data'!$AN$5:$AN$66,AH!$U$4)),IF(AH!$U$5=1,INDEX('Live History'!$B$5:$B$3004,$K1774),INDEX('AH History'!$D$5:$GG$1380,$K1774,AH!$U$10))))&gt;0),IF(AND(AH!$U$12=1,1769+1=AH!$U$6),IF(AH!$U$4=0,"unavailable",INDEX('Market Data'!$AN$5:$AN$66,AH!$U$4)),IF(AH!$U$5=1,INDEX('Live History'!$B$5:$B$3004,$K1774),INDEX('AH History'!$D$5:$GG$1380,$K1774,AH!$U$10))),NA()),NA())</f>
        <v/>
      </c>
      <c r="F1774" s="32">
        <f>IFERROR(IF(ISNUMBER($A1774),IF(AND(AH!$U$12=1,1769+1=AH!$U$6),IF(AH!$U$4=0,"unavailable",INDEX('Market Data'!$AO$5:$AO$66,AH!$U$4)),IF(AH!$U$5=1,INDEX('Live History'!$E$5:$E$3004,MATCH($A1774,'Live History'!$D$5:$D$3004,1)),INDEX('AH History'!$D$5:$GG$1380,$K1774,AH!$U$10+1))),NA()),NA())</f>
        <v/>
      </c>
      <c r="G1774" s="34">
        <f>IFERROR(IF(ISNUMBER($A1774),IF(AND(AH!$U$12=1,1769+1=AH!$U$6),IF(AH!$U$4=0,"unavailable",INDEX('Market Data'!$AK$5:$AK$66,AH!$U$4)),IF(AH!$U$5=1,INDEX('Live History'!$D$5:$D$3004,MATCH($A1774,'Live History'!$D$5:$D$3004,1)),INDEX('AH History'!$D$5:$GG$1380,$K1774,AH!$U$10+2))),NA()),NA())</f>
        <v/>
      </c>
      <c r="H1774" s="266">
        <f>IFERROR(IF(ISNUMBER($A1774),IF(AND(AH!$U$12=1,1769+1=AH!$U$6),IF(AH!$U$4=0,"unavailable",INDEX('Market Data'!$AP$5:$AP$66,AH!$U$4)),IF(AH!$U$5=1,INDEX('Live History'!$H$5:$H$3004,MATCH($A1774,'Live History'!$G$5:$G$3004,1)),INDEX('AH History'!$B$5:$B$1380,$K1774))),NA()),NA())</f>
        <v/>
      </c>
      <c r="I1774" s="34">
        <f>IFERROR(IF(ISNUMBER($A1774),IF(AND(AH!$U$12=1,1769+1=AH!$U$6),TODAY(),IF(AH!$U$5=1,INDEX('Live History'!$G$5:$G$3004,MATCH($A1774,'Live History'!$G$5:$G$3004,1)),INDEX('AH History'!$C$5:$C$1380,$K1774))),NA()),NA())</f>
        <v/>
      </c>
      <c r="J1774" s="32">
        <f>IFERROR(IF(AND($F1774&gt;0,$H1774&gt;0,$A1774-$G1774&lt;=10,$A1774-$I1774&lt;=5,$G1774&gt;0,$I1774&gt;0),$F1774*$H1774,NA()),NA())</f>
        <v/>
      </c>
      <c r="K1774" s="15">
        <f>IF($A1774="","",IF(AH!$U$5=1,IFERROR(MATCH($A1774,'Live History'!$A$5:$A$3004,0),0),AH!$U$7+1769))</f>
        <v/>
      </c>
      <c r="L1774" s="15">
        <f>IF(ISNUMBER(A1774),TEXT(A1774,"dd-mmm-yy"),"")</f>
        <v/>
      </c>
    </row>
    <row r="1775">
      <c r="A1775" s="14">
        <f>IF(OR(AH!$U$4=0,1770+1&gt;AH!$U$6,AND(AH!$M$5="Bloomberg",AH!$U$5=0)),"",IFERROR(IF(AND(AH!$U$12=1,1770+1=AH!$U$6),TODAY(),IF(AH!$U$5=1,INDEX('Live History'!$A$5:$A$3004,AH!$U$7+1770),INDEX('AH History'!$A$5:$A$1380,AH!$U$7+1770))),""))</f>
        <v/>
      </c>
      <c r="B1775" s="33">
        <f>IFERROR(IF(AH!$U$11=1,NA(),$J1775/$E1775-1),NA())</f>
        <v/>
      </c>
      <c r="C1775" s="269">
        <f>IFERROR(100*$E1775/$E$5,NA())</f>
        <v/>
      </c>
      <c r="D1775" s="269">
        <f>IFERROR(100*$J1775/$J$5,NA())</f>
        <v/>
      </c>
      <c r="E1775" s="32">
        <f>IFERROR(IF(AND(ISNUMBER($A1775),N(IF(AND(AH!$U$12=1,1770+1=AH!$U$6),IF(AH!$U$4=0,"unavailable",INDEX('Market Data'!$AN$5:$AN$66,AH!$U$4)),IF(AH!$U$5=1,INDEX('Live History'!$B$5:$B$3004,$K1775),INDEX('AH History'!$D$5:$GG$1380,$K1775,AH!$U$10))))&gt;0),IF(AND(AH!$U$12=1,1770+1=AH!$U$6),IF(AH!$U$4=0,"unavailable",INDEX('Market Data'!$AN$5:$AN$66,AH!$U$4)),IF(AH!$U$5=1,INDEX('Live History'!$B$5:$B$3004,$K1775),INDEX('AH History'!$D$5:$GG$1380,$K1775,AH!$U$10))),NA()),NA())</f>
        <v/>
      </c>
      <c r="F1775" s="32">
        <f>IFERROR(IF(ISNUMBER($A1775),IF(AND(AH!$U$12=1,1770+1=AH!$U$6),IF(AH!$U$4=0,"unavailable",INDEX('Market Data'!$AO$5:$AO$66,AH!$U$4)),IF(AH!$U$5=1,INDEX('Live History'!$E$5:$E$3004,MATCH($A1775,'Live History'!$D$5:$D$3004,1)),INDEX('AH History'!$D$5:$GG$1380,$K1775,AH!$U$10+1))),NA()),NA())</f>
        <v/>
      </c>
      <c r="G1775" s="34">
        <f>IFERROR(IF(ISNUMBER($A1775),IF(AND(AH!$U$12=1,1770+1=AH!$U$6),IF(AH!$U$4=0,"unavailable",INDEX('Market Data'!$AK$5:$AK$66,AH!$U$4)),IF(AH!$U$5=1,INDEX('Live History'!$D$5:$D$3004,MATCH($A1775,'Live History'!$D$5:$D$3004,1)),INDEX('AH History'!$D$5:$GG$1380,$K1775,AH!$U$10+2))),NA()),NA())</f>
        <v/>
      </c>
      <c r="H1775" s="266">
        <f>IFERROR(IF(ISNUMBER($A1775),IF(AND(AH!$U$12=1,1770+1=AH!$U$6),IF(AH!$U$4=0,"unavailable",INDEX('Market Data'!$AP$5:$AP$66,AH!$U$4)),IF(AH!$U$5=1,INDEX('Live History'!$H$5:$H$3004,MATCH($A1775,'Live History'!$G$5:$G$3004,1)),INDEX('AH History'!$B$5:$B$1380,$K1775))),NA()),NA())</f>
        <v/>
      </c>
      <c r="I1775" s="34">
        <f>IFERROR(IF(ISNUMBER($A1775),IF(AND(AH!$U$12=1,1770+1=AH!$U$6),TODAY(),IF(AH!$U$5=1,INDEX('Live History'!$G$5:$G$3004,MATCH($A1775,'Live History'!$G$5:$G$3004,1)),INDEX('AH History'!$C$5:$C$1380,$K1775))),NA()),NA())</f>
        <v/>
      </c>
      <c r="J1775" s="32">
        <f>IFERROR(IF(AND($F1775&gt;0,$H1775&gt;0,$A1775-$G1775&lt;=10,$A1775-$I1775&lt;=5,$G1775&gt;0,$I1775&gt;0),$F1775*$H1775,NA()),NA())</f>
        <v/>
      </c>
      <c r="K1775" s="15">
        <f>IF($A1775="","",IF(AH!$U$5=1,IFERROR(MATCH($A1775,'Live History'!$A$5:$A$3004,0),0),AH!$U$7+1770))</f>
        <v/>
      </c>
      <c r="L1775" s="15">
        <f>IF(ISNUMBER(A1775),TEXT(A1775,"dd-mmm-yy"),"")</f>
        <v/>
      </c>
    </row>
    <row r="1776">
      <c r="A1776" s="14">
        <f>IF(OR(AH!$U$4=0,1771+1&gt;AH!$U$6,AND(AH!$M$5="Bloomberg",AH!$U$5=0)),"",IFERROR(IF(AND(AH!$U$12=1,1771+1=AH!$U$6),TODAY(),IF(AH!$U$5=1,INDEX('Live History'!$A$5:$A$3004,AH!$U$7+1771),INDEX('AH History'!$A$5:$A$1380,AH!$U$7+1771))),""))</f>
        <v/>
      </c>
      <c r="B1776" s="33">
        <f>IFERROR(IF(AH!$U$11=1,NA(),$J1776/$E1776-1),NA())</f>
        <v/>
      </c>
      <c r="C1776" s="269">
        <f>IFERROR(100*$E1776/$E$5,NA())</f>
        <v/>
      </c>
      <c r="D1776" s="269">
        <f>IFERROR(100*$J1776/$J$5,NA())</f>
        <v/>
      </c>
      <c r="E1776" s="32">
        <f>IFERROR(IF(AND(ISNUMBER($A1776),N(IF(AND(AH!$U$12=1,1771+1=AH!$U$6),IF(AH!$U$4=0,"unavailable",INDEX('Market Data'!$AN$5:$AN$66,AH!$U$4)),IF(AH!$U$5=1,INDEX('Live History'!$B$5:$B$3004,$K1776),INDEX('AH History'!$D$5:$GG$1380,$K1776,AH!$U$10))))&gt;0),IF(AND(AH!$U$12=1,1771+1=AH!$U$6),IF(AH!$U$4=0,"unavailable",INDEX('Market Data'!$AN$5:$AN$66,AH!$U$4)),IF(AH!$U$5=1,INDEX('Live History'!$B$5:$B$3004,$K1776),INDEX('AH History'!$D$5:$GG$1380,$K1776,AH!$U$10))),NA()),NA())</f>
        <v/>
      </c>
      <c r="F1776" s="32">
        <f>IFERROR(IF(ISNUMBER($A1776),IF(AND(AH!$U$12=1,1771+1=AH!$U$6),IF(AH!$U$4=0,"unavailable",INDEX('Market Data'!$AO$5:$AO$66,AH!$U$4)),IF(AH!$U$5=1,INDEX('Live History'!$E$5:$E$3004,MATCH($A1776,'Live History'!$D$5:$D$3004,1)),INDEX('AH History'!$D$5:$GG$1380,$K1776,AH!$U$10+1))),NA()),NA())</f>
        <v/>
      </c>
      <c r="G1776" s="34">
        <f>IFERROR(IF(ISNUMBER($A1776),IF(AND(AH!$U$12=1,1771+1=AH!$U$6),IF(AH!$U$4=0,"unavailable",INDEX('Market Data'!$AK$5:$AK$66,AH!$U$4)),IF(AH!$U$5=1,INDEX('Live History'!$D$5:$D$3004,MATCH($A1776,'Live History'!$D$5:$D$3004,1)),INDEX('AH History'!$D$5:$GG$1380,$K1776,AH!$U$10+2))),NA()),NA())</f>
        <v/>
      </c>
      <c r="H1776" s="266">
        <f>IFERROR(IF(ISNUMBER($A1776),IF(AND(AH!$U$12=1,1771+1=AH!$U$6),IF(AH!$U$4=0,"unavailable",INDEX('Market Data'!$AP$5:$AP$66,AH!$U$4)),IF(AH!$U$5=1,INDEX('Live History'!$H$5:$H$3004,MATCH($A1776,'Live History'!$G$5:$G$3004,1)),INDEX('AH History'!$B$5:$B$1380,$K1776))),NA()),NA())</f>
        <v/>
      </c>
      <c r="I1776" s="34">
        <f>IFERROR(IF(ISNUMBER($A1776),IF(AND(AH!$U$12=1,1771+1=AH!$U$6),TODAY(),IF(AH!$U$5=1,INDEX('Live History'!$G$5:$G$3004,MATCH($A1776,'Live History'!$G$5:$G$3004,1)),INDEX('AH History'!$C$5:$C$1380,$K1776))),NA()),NA())</f>
        <v/>
      </c>
      <c r="J1776" s="32">
        <f>IFERROR(IF(AND($F1776&gt;0,$H1776&gt;0,$A1776-$G1776&lt;=10,$A1776-$I1776&lt;=5,$G1776&gt;0,$I1776&gt;0),$F1776*$H1776,NA()),NA())</f>
        <v/>
      </c>
      <c r="K1776" s="15">
        <f>IF($A1776="","",IF(AH!$U$5=1,IFERROR(MATCH($A1776,'Live History'!$A$5:$A$3004,0),0),AH!$U$7+1771))</f>
        <v/>
      </c>
      <c r="L1776" s="15">
        <f>IF(ISNUMBER(A1776),TEXT(A1776,"dd-mmm-yy"),"")</f>
        <v/>
      </c>
    </row>
    <row r="1777">
      <c r="A1777" s="14">
        <f>IF(OR(AH!$U$4=0,1772+1&gt;AH!$U$6,AND(AH!$M$5="Bloomberg",AH!$U$5=0)),"",IFERROR(IF(AND(AH!$U$12=1,1772+1=AH!$U$6),TODAY(),IF(AH!$U$5=1,INDEX('Live History'!$A$5:$A$3004,AH!$U$7+1772),INDEX('AH History'!$A$5:$A$1380,AH!$U$7+1772))),""))</f>
        <v/>
      </c>
      <c r="B1777" s="33">
        <f>IFERROR(IF(AH!$U$11=1,NA(),$J1777/$E1777-1),NA())</f>
        <v/>
      </c>
      <c r="C1777" s="269">
        <f>IFERROR(100*$E1777/$E$5,NA())</f>
        <v/>
      </c>
      <c r="D1777" s="269">
        <f>IFERROR(100*$J1777/$J$5,NA())</f>
        <v/>
      </c>
      <c r="E1777" s="32">
        <f>IFERROR(IF(AND(ISNUMBER($A1777),N(IF(AND(AH!$U$12=1,1772+1=AH!$U$6),IF(AH!$U$4=0,"unavailable",INDEX('Market Data'!$AN$5:$AN$66,AH!$U$4)),IF(AH!$U$5=1,INDEX('Live History'!$B$5:$B$3004,$K1777),INDEX('AH History'!$D$5:$GG$1380,$K1777,AH!$U$10))))&gt;0),IF(AND(AH!$U$12=1,1772+1=AH!$U$6),IF(AH!$U$4=0,"unavailable",INDEX('Market Data'!$AN$5:$AN$66,AH!$U$4)),IF(AH!$U$5=1,INDEX('Live History'!$B$5:$B$3004,$K1777),INDEX('AH History'!$D$5:$GG$1380,$K1777,AH!$U$10))),NA()),NA())</f>
        <v/>
      </c>
      <c r="F1777" s="32">
        <f>IFERROR(IF(ISNUMBER($A1777),IF(AND(AH!$U$12=1,1772+1=AH!$U$6),IF(AH!$U$4=0,"unavailable",INDEX('Market Data'!$AO$5:$AO$66,AH!$U$4)),IF(AH!$U$5=1,INDEX('Live History'!$E$5:$E$3004,MATCH($A1777,'Live History'!$D$5:$D$3004,1)),INDEX('AH History'!$D$5:$GG$1380,$K1777,AH!$U$10+1))),NA()),NA())</f>
        <v/>
      </c>
      <c r="G1777" s="34">
        <f>IFERROR(IF(ISNUMBER($A1777),IF(AND(AH!$U$12=1,1772+1=AH!$U$6),IF(AH!$U$4=0,"unavailable",INDEX('Market Data'!$AK$5:$AK$66,AH!$U$4)),IF(AH!$U$5=1,INDEX('Live History'!$D$5:$D$3004,MATCH($A1777,'Live History'!$D$5:$D$3004,1)),INDEX('AH History'!$D$5:$GG$1380,$K1777,AH!$U$10+2))),NA()),NA())</f>
        <v/>
      </c>
      <c r="H1777" s="266">
        <f>IFERROR(IF(ISNUMBER($A1777),IF(AND(AH!$U$12=1,1772+1=AH!$U$6),IF(AH!$U$4=0,"unavailable",INDEX('Market Data'!$AP$5:$AP$66,AH!$U$4)),IF(AH!$U$5=1,INDEX('Live History'!$H$5:$H$3004,MATCH($A1777,'Live History'!$G$5:$G$3004,1)),INDEX('AH History'!$B$5:$B$1380,$K1777))),NA()),NA())</f>
        <v/>
      </c>
      <c r="I1777" s="34">
        <f>IFERROR(IF(ISNUMBER($A1777),IF(AND(AH!$U$12=1,1772+1=AH!$U$6),TODAY(),IF(AH!$U$5=1,INDEX('Live History'!$G$5:$G$3004,MATCH($A1777,'Live History'!$G$5:$G$3004,1)),INDEX('AH History'!$C$5:$C$1380,$K1777))),NA()),NA())</f>
        <v/>
      </c>
      <c r="J1777" s="32">
        <f>IFERROR(IF(AND($F1777&gt;0,$H1777&gt;0,$A1777-$G1777&lt;=10,$A1777-$I1777&lt;=5,$G1777&gt;0,$I1777&gt;0),$F1777*$H1777,NA()),NA())</f>
        <v/>
      </c>
      <c r="K1777" s="15">
        <f>IF($A1777="","",IF(AH!$U$5=1,IFERROR(MATCH($A1777,'Live History'!$A$5:$A$3004,0),0),AH!$U$7+1772))</f>
        <v/>
      </c>
      <c r="L1777" s="15">
        <f>IF(ISNUMBER(A1777),TEXT(A1777,"dd-mmm-yy"),"")</f>
        <v/>
      </c>
    </row>
    <row r="1778">
      <c r="A1778" s="14">
        <f>IF(OR(AH!$U$4=0,1773+1&gt;AH!$U$6,AND(AH!$M$5="Bloomberg",AH!$U$5=0)),"",IFERROR(IF(AND(AH!$U$12=1,1773+1=AH!$U$6),TODAY(),IF(AH!$U$5=1,INDEX('Live History'!$A$5:$A$3004,AH!$U$7+1773),INDEX('AH History'!$A$5:$A$1380,AH!$U$7+1773))),""))</f>
        <v/>
      </c>
      <c r="B1778" s="33">
        <f>IFERROR(IF(AH!$U$11=1,NA(),$J1778/$E1778-1),NA())</f>
        <v/>
      </c>
      <c r="C1778" s="269">
        <f>IFERROR(100*$E1778/$E$5,NA())</f>
        <v/>
      </c>
      <c r="D1778" s="269">
        <f>IFERROR(100*$J1778/$J$5,NA())</f>
        <v/>
      </c>
      <c r="E1778" s="32">
        <f>IFERROR(IF(AND(ISNUMBER($A1778),N(IF(AND(AH!$U$12=1,1773+1=AH!$U$6),IF(AH!$U$4=0,"unavailable",INDEX('Market Data'!$AN$5:$AN$66,AH!$U$4)),IF(AH!$U$5=1,INDEX('Live History'!$B$5:$B$3004,$K1778),INDEX('AH History'!$D$5:$GG$1380,$K1778,AH!$U$10))))&gt;0),IF(AND(AH!$U$12=1,1773+1=AH!$U$6),IF(AH!$U$4=0,"unavailable",INDEX('Market Data'!$AN$5:$AN$66,AH!$U$4)),IF(AH!$U$5=1,INDEX('Live History'!$B$5:$B$3004,$K1778),INDEX('AH History'!$D$5:$GG$1380,$K1778,AH!$U$10))),NA()),NA())</f>
        <v/>
      </c>
      <c r="F1778" s="32">
        <f>IFERROR(IF(ISNUMBER($A1778),IF(AND(AH!$U$12=1,1773+1=AH!$U$6),IF(AH!$U$4=0,"unavailable",INDEX('Market Data'!$AO$5:$AO$66,AH!$U$4)),IF(AH!$U$5=1,INDEX('Live History'!$E$5:$E$3004,MATCH($A1778,'Live History'!$D$5:$D$3004,1)),INDEX('AH History'!$D$5:$GG$1380,$K1778,AH!$U$10+1))),NA()),NA())</f>
        <v/>
      </c>
      <c r="G1778" s="34">
        <f>IFERROR(IF(ISNUMBER($A1778),IF(AND(AH!$U$12=1,1773+1=AH!$U$6),IF(AH!$U$4=0,"unavailable",INDEX('Market Data'!$AK$5:$AK$66,AH!$U$4)),IF(AH!$U$5=1,INDEX('Live History'!$D$5:$D$3004,MATCH($A1778,'Live History'!$D$5:$D$3004,1)),INDEX('AH History'!$D$5:$GG$1380,$K1778,AH!$U$10+2))),NA()),NA())</f>
        <v/>
      </c>
      <c r="H1778" s="266">
        <f>IFERROR(IF(ISNUMBER($A1778),IF(AND(AH!$U$12=1,1773+1=AH!$U$6),IF(AH!$U$4=0,"unavailable",INDEX('Market Data'!$AP$5:$AP$66,AH!$U$4)),IF(AH!$U$5=1,INDEX('Live History'!$H$5:$H$3004,MATCH($A1778,'Live History'!$G$5:$G$3004,1)),INDEX('AH History'!$B$5:$B$1380,$K1778))),NA()),NA())</f>
        <v/>
      </c>
      <c r="I1778" s="34">
        <f>IFERROR(IF(ISNUMBER($A1778),IF(AND(AH!$U$12=1,1773+1=AH!$U$6),TODAY(),IF(AH!$U$5=1,INDEX('Live History'!$G$5:$G$3004,MATCH($A1778,'Live History'!$G$5:$G$3004,1)),INDEX('AH History'!$C$5:$C$1380,$K1778))),NA()),NA())</f>
        <v/>
      </c>
      <c r="J1778" s="32">
        <f>IFERROR(IF(AND($F1778&gt;0,$H1778&gt;0,$A1778-$G1778&lt;=10,$A1778-$I1778&lt;=5,$G1778&gt;0,$I1778&gt;0),$F1778*$H1778,NA()),NA())</f>
        <v/>
      </c>
      <c r="K1778" s="15">
        <f>IF($A1778="","",IF(AH!$U$5=1,IFERROR(MATCH($A1778,'Live History'!$A$5:$A$3004,0),0),AH!$U$7+1773))</f>
        <v/>
      </c>
      <c r="L1778" s="15">
        <f>IF(ISNUMBER(A1778),TEXT(A1778,"dd-mmm-yy"),"")</f>
        <v/>
      </c>
    </row>
    <row r="1779">
      <c r="A1779" s="14">
        <f>IF(OR(AH!$U$4=0,1774+1&gt;AH!$U$6,AND(AH!$M$5="Bloomberg",AH!$U$5=0)),"",IFERROR(IF(AND(AH!$U$12=1,1774+1=AH!$U$6),TODAY(),IF(AH!$U$5=1,INDEX('Live History'!$A$5:$A$3004,AH!$U$7+1774),INDEX('AH History'!$A$5:$A$1380,AH!$U$7+1774))),""))</f>
        <v/>
      </c>
      <c r="B1779" s="33">
        <f>IFERROR(IF(AH!$U$11=1,NA(),$J1779/$E1779-1),NA())</f>
        <v/>
      </c>
      <c r="C1779" s="269">
        <f>IFERROR(100*$E1779/$E$5,NA())</f>
        <v/>
      </c>
      <c r="D1779" s="269">
        <f>IFERROR(100*$J1779/$J$5,NA())</f>
        <v/>
      </c>
      <c r="E1779" s="32">
        <f>IFERROR(IF(AND(ISNUMBER($A1779),N(IF(AND(AH!$U$12=1,1774+1=AH!$U$6),IF(AH!$U$4=0,"unavailable",INDEX('Market Data'!$AN$5:$AN$66,AH!$U$4)),IF(AH!$U$5=1,INDEX('Live History'!$B$5:$B$3004,$K1779),INDEX('AH History'!$D$5:$GG$1380,$K1779,AH!$U$10))))&gt;0),IF(AND(AH!$U$12=1,1774+1=AH!$U$6),IF(AH!$U$4=0,"unavailable",INDEX('Market Data'!$AN$5:$AN$66,AH!$U$4)),IF(AH!$U$5=1,INDEX('Live History'!$B$5:$B$3004,$K1779),INDEX('AH History'!$D$5:$GG$1380,$K1779,AH!$U$10))),NA()),NA())</f>
        <v/>
      </c>
      <c r="F1779" s="32">
        <f>IFERROR(IF(ISNUMBER($A1779),IF(AND(AH!$U$12=1,1774+1=AH!$U$6),IF(AH!$U$4=0,"unavailable",INDEX('Market Data'!$AO$5:$AO$66,AH!$U$4)),IF(AH!$U$5=1,INDEX('Live History'!$E$5:$E$3004,MATCH($A1779,'Live History'!$D$5:$D$3004,1)),INDEX('AH History'!$D$5:$GG$1380,$K1779,AH!$U$10+1))),NA()),NA())</f>
        <v/>
      </c>
      <c r="G1779" s="34">
        <f>IFERROR(IF(ISNUMBER($A1779),IF(AND(AH!$U$12=1,1774+1=AH!$U$6),IF(AH!$U$4=0,"unavailable",INDEX('Market Data'!$AK$5:$AK$66,AH!$U$4)),IF(AH!$U$5=1,INDEX('Live History'!$D$5:$D$3004,MATCH($A1779,'Live History'!$D$5:$D$3004,1)),INDEX('AH History'!$D$5:$GG$1380,$K1779,AH!$U$10+2))),NA()),NA())</f>
        <v/>
      </c>
      <c r="H1779" s="266">
        <f>IFERROR(IF(ISNUMBER($A1779),IF(AND(AH!$U$12=1,1774+1=AH!$U$6),IF(AH!$U$4=0,"unavailable",INDEX('Market Data'!$AP$5:$AP$66,AH!$U$4)),IF(AH!$U$5=1,INDEX('Live History'!$H$5:$H$3004,MATCH($A1779,'Live History'!$G$5:$G$3004,1)),INDEX('AH History'!$B$5:$B$1380,$K1779))),NA()),NA())</f>
        <v/>
      </c>
      <c r="I1779" s="34">
        <f>IFERROR(IF(ISNUMBER($A1779),IF(AND(AH!$U$12=1,1774+1=AH!$U$6),TODAY(),IF(AH!$U$5=1,INDEX('Live History'!$G$5:$G$3004,MATCH($A1779,'Live History'!$G$5:$G$3004,1)),INDEX('AH History'!$C$5:$C$1380,$K1779))),NA()),NA())</f>
        <v/>
      </c>
      <c r="J1779" s="32">
        <f>IFERROR(IF(AND($F1779&gt;0,$H1779&gt;0,$A1779-$G1779&lt;=10,$A1779-$I1779&lt;=5,$G1779&gt;0,$I1779&gt;0),$F1779*$H1779,NA()),NA())</f>
        <v/>
      </c>
      <c r="K1779" s="15">
        <f>IF($A1779="","",IF(AH!$U$5=1,IFERROR(MATCH($A1779,'Live History'!$A$5:$A$3004,0),0),AH!$U$7+1774))</f>
        <v/>
      </c>
      <c r="L1779" s="15">
        <f>IF(ISNUMBER(A1779),TEXT(A1779,"dd-mmm-yy"),"")</f>
        <v/>
      </c>
    </row>
    <row r="1780">
      <c r="A1780" s="14">
        <f>IF(OR(AH!$U$4=0,1775+1&gt;AH!$U$6,AND(AH!$M$5="Bloomberg",AH!$U$5=0)),"",IFERROR(IF(AND(AH!$U$12=1,1775+1=AH!$U$6),TODAY(),IF(AH!$U$5=1,INDEX('Live History'!$A$5:$A$3004,AH!$U$7+1775),INDEX('AH History'!$A$5:$A$1380,AH!$U$7+1775))),""))</f>
        <v/>
      </c>
      <c r="B1780" s="33">
        <f>IFERROR(IF(AH!$U$11=1,NA(),$J1780/$E1780-1),NA())</f>
        <v/>
      </c>
      <c r="C1780" s="269">
        <f>IFERROR(100*$E1780/$E$5,NA())</f>
        <v/>
      </c>
      <c r="D1780" s="269">
        <f>IFERROR(100*$J1780/$J$5,NA())</f>
        <v/>
      </c>
      <c r="E1780" s="32">
        <f>IFERROR(IF(AND(ISNUMBER($A1780),N(IF(AND(AH!$U$12=1,1775+1=AH!$U$6),IF(AH!$U$4=0,"unavailable",INDEX('Market Data'!$AN$5:$AN$66,AH!$U$4)),IF(AH!$U$5=1,INDEX('Live History'!$B$5:$B$3004,$K1780),INDEX('AH History'!$D$5:$GG$1380,$K1780,AH!$U$10))))&gt;0),IF(AND(AH!$U$12=1,1775+1=AH!$U$6),IF(AH!$U$4=0,"unavailable",INDEX('Market Data'!$AN$5:$AN$66,AH!$U$4)),IF(AH!$U$5=1,INDEX('Live History'!$B$5:$B$3004,$K1780),INDEX('AH History'!$D$5:$GG$1380,$K1780,AH!$U$10))),NA()),NA())</f>
        <v/>
      </c>
      <c r="F1780" s="32">
        <f>IFERROR(IF(ISNUMBER($A1780),IF(AND(AH!$U$12=1,1775+1=AH!$U$6),IF(AH!$U$4=0,"unavailable",INDEX('Market Data'!$AO$5:$AO$66,AH!$U$4)),IF(AH!$U$5=1,INDEX('Live History'!$E$5:$E$3004,MATCH($A1780,'Live History'!$D$5:$D$3004,1)),INDEX('AH History'!$D$5:$GG$1380,$K1780,AH!$U$10+1))),NA()),NA())</f>
        <v/>
      </c>
      <c r="G1780" s="34">
        <f>IFERROR(IF(ISNUMBER($A1780),IF(AND(AH!$U$12=1,1775+1=AH!$U$6),IF(AH!$U$4=0,"unavailable",INDEX('Market Data'!$AK$5:$AK$66,AH!$U$4)),IF(AH!$U$5=1,INDEX('Live History'!$D$5:$D$3004,MATCH($A1780,'Live History'!$D$5:$D$3004,1)),INDEX('AH History'!$D$5:$GG$1380,$K1780,AH!$U$10+2))),NA()),NA())</f>
        <v/>
      </c>
      <c r="H1780" s="266">
        <f>IFERROR(IF(ISNUMBER($A1780),IF(AND(AH!$U$12=1,1775+1=AH!$U$6),IF(AH!$U$4=0,"unavailable",INDEX('Market Data'!$AP$5:$AP$66,AH!$U$4)),IF(AH!$U$5=1,INDEX('Live History'!$H$5:$H$3004,MATCH($A1780,'Live History'!$G$5:$G$3004,1)),INDEX('AH History'!$B$5:$B$1380,$K1780))),NA()),NA())</f>
        <v/>
      </c>
      <c r="I1780" s="34">
        <f>IFERROR(IF(ISNUMBER($A1780),IF(AND(AH!$U$12=1,1775+1=AH!$U$6),TODAY(),IF(AH!$U$5=1,INDEX('Live History'!$G$5:$G$3004,MATCH($A1780,'Live History'!$G$5:$G$3004,1)),INDEX('AH History'!$C$5:$C$1380,$K1780))),NA()),NA())</f>
        <v/>
      </c>
      <c r="J1780" s="32">
        <f>IFERROR(IF(AND($F1780&gt;0,$H1780&gt;0,$A1780-$G1780&lt;=10,$A1780-$I1780&lt;=5,$G1780&gt;0,$I1780&gt;0),$F1780*$H1780,NA()),NA())</f>
        <v/>
      </c>
      <c r="K1780" s="15">
        <f>IF($A1780="","",IF(AH!$U$5=1,IFERROR(MATCH($A1780,'Live History'!$A$5:$A$3004,0),0),AH!$U$7+1775))</f>
        <v/>
      </c>
      <c r="L1780" s="15">
        <f>IF(ISNUMBER(A1780),TEXT(A1780,"dd-mmm-yy"),"")</f>
        <v/>
      </c>
    </row>
    <row r="1781">
      <c r="A1781" s="14">
        <f>IF(OR(AH!$U$4=0,1776+1&gt;AH!$U$6,AND(AH!$M$5="Bloomberg",AH!$U$5=0)),"",IFERROR(IF(AND(AH!$U$12=1,1776+1=AH!$U$6),TODAY(),IF(AH!$U$5=1,INDEX('Live History'!$A$5:$A$3004,AH!$U$7+1776),INDEX('AH History'!$A$5:$A$1380,AH!$U$7+1776))),""))</f>
        <v/>
      </c>
      <c r="B1781" s="33">
        <f>IFERROR(IF(AH!$U$11=1,NA(),$J1781/$E1781-1),NA())</f>
        <v/>
      </c>
      <c r="C1781" s="269">
        <f>IFERROR(100*$E1781/$E$5,NA())</f>
        <v/>
      </c>
      <c r="D1781" s="269">
        <f>IFERROR(100*$J1781/$J$5,NA())</f>
        <v/>
      </c>
      <c r="E1781" s="32">
        <f>IFERROR(IF(AND(ISNUMBER($A1781),N(IF(AND(AH!$U$12=1,1776+1=AH!$U$6),IF(AH!$U$4=0,"unavailable",INDEX('Market Data'!$AN$5:$AN$66,AH!$U$4)),IF(AH!$U$5=1,INDEX('Live History'!$B$5:$B$3004,$K1781),INDEX('AH History'!$D$5:$GG$1380,$K1781,AH!$U$10))))&gt;0),IF(AND(AH!$U$12=1,1776+1=AH!$U$6),IF(AH!$U$4=0,"unavailable",INDEX('Market Data'!$AN$5:$AN$66,AH!$U$4)),IF(AH!$U$5=1,INDEX('Live History'!$B$5:$B$3004,$K1781),INDEX('AH History'!$D$5:$GG$1380,$K1781,AH!$U$10))),NA()),NA())</f>
        <v/>
      </c>
      <c r="F1781" s="32">
        <f>IFERROR(IF(ISNUMBER($A1781),IF(AND(AH!$U$12=1,1776+1=AH!$U$6),IF(AH!$U$4=0,"unavailable",INDEX('Market Data'!$AO$5:$AO$66,AH!$U$4)),IF(AH!$U$5=1,INDEX('Live History'!$E$5:$E$3004,MATCH($A1781,'Live History'!$D$5:$D$3004,1)),INDEX('AH History'!$D$5:$GG$1380,$K1781,AH!$U$10+1))),NA()),NA())</f>
        <v/>
      </c>
      <c r="G1781" s="34">
        <f>IFERROR(IF(ISNUMBER($A1781),IF(AND(AH!$U$12=1,1776+1=AH!$U$6),IF(AH!$U$4=0,"unavailable",INDEX('Market Data'!$AK$5:$AK$66,AH!$U$4)),IF(AH!$U$5=1,INDEX('Live History'!$D$5:$D$3004,MATCH($A1781,'Live History'!$D$5:$D$3004,1)),INDEX('AH History'!$D$5:$GG$1380,$K1781,AH!$U$10+2))),NA()),NA())</f>
        <v/>
      </c>
      <c r="H1781" s="266">
        <f>IFERROR(IF(ISNUMBER($A1781),IF(AND(AH!$U$12=1,1776+1=AH!$U$6),IF(AH!$U$4=0,"unavailable",INDEX('Market Data'!$AP$5:$AP$66,AH!$U$4)),IF(AH!$U$5=1,INDEX('Live History'!$H$5:$H$3004,MATCH($A1781,'Live History'!$G$5:$G$3004,1)),INDEX('AH History'!$B$5:$B$1380,$K1781))),NA()),NA())</f>
        <v/>
      </c>
      <c r="I1781" s="34">
        <f>IFERROR(IF(ISNUMBER($A1781),IF(AND(AH!$U$12=1,1776+1=AH!$U$6),TODAY(),IF(AH!$U$5=1,INDEX('Live History'!$G$5:$G$3004,MATCH($A1781,'Live History'!$G$5:$G$3004,1)),INDEX('AH History'!$C$5:$C$1380,$K1781))),NA()),NA())</f>
        <v/>
      </c>
      <c r="J1781" s="32">
        <f>IFERROR(IF(AND($F1781&gt;0,$H1781&gt;0,$A1781-$G1781&lt;=10,$A1781-$I1781&lt;=5,$G1781&gt;0,$I1781&gt;0),$F1781*$H1781,NA()),NA())</f>
        <v/>
      </c>
      <c r="K1781" s="15">
        <f>IF($A1781="","",IF(AH!$U$5=1,IFERROR(MATCH($A1781,'Live History'!$A$5:$A$3004,0),0),AH!$U$7+1776))</f>
        <v/>
      </c>
      <c r="L1781" s="15">
        <f>IF(ISNUMBER(A1781),TEXT(A1781,"dd-mmm-yy"),"")</f>
        <v/>
      </c>
    </row>
    <row r="1782">
      <c r="A1782" s="14">
        <f>IF(OR(AH!$U$4=0,1777+1&gt;AH!$U$6,AND(AH!$M$5="Bloomberg",AH!$U$5=0)),"",IFERROR(IF(AND(AH!$U$12=1,1777+1=AH!$U$6),TODAY(),IF(AH!$U$5=1,INDEX('Live History'!$A$5:$A$3004,AH!$U$7+1777),INDEX('AH History'!$A$5:$A$1380,AH!$U$7+1777))),""))</f>
        <v/>
      </c>
      <c r="B1782" s="33">
        <f>IFERROR(IF(AH!$U$11=1,NA(),$J1782/$E1782-1),NA())</f>
        <v/>
      </c>
      <c r="C1782" s="269">
        <f>IFERROR(100*$E1782/$E$5,NA())</f>
        <v/>
      </c>
      <c r="D1782" s="269">
        <f>IFERROR(100*$J1782/$J$5,NA())</f>
        <v/>
      </c>
      <c r="E1782" s="32">
        <f>IFERROR(IF(AND(ISNUMBER($A1782),N(IF(AND(AH!$U$12=1,1777+1=AH!$U$6),IF(AH!$U$4=0,"unavailable",INDEX('Market Data'!$AN$5:$AN$66,AH!$U$4)),IF(AH!$U$5=1,INDEX('Live History'!$B$5:$B$3004,$K1782),INDEX('AH History'!$D$5:$GG$1380,$K1782,AH!$U$10))))&gt;0),IF(AND(AH!$U$12=1,1777+1=AH!$U$6),IF(AH!$U$4=0,"unavailable",INDEX('Market Data'!$AN$5:$AN$66,AH!$U$4)),IF(AH!$U$5=1,INDEX('Live History'!$B$5:$B$3004,$K1782),INDEX('AH History'!$D$5:$GG$1380,$K1782,AH!$U$10))),NA()),NA())</f>
        <v/>
      </c>
      <c r="F1782" s="32">
        <f>IFERROR(IF(ISNUMBER($A1782),IF(AND(AH!$U$12=1,1777+1=AH!$U$6),IF(AH!$U$4=0,"unavailable",INDEX('Market Data'!$AO$5:$AO$66,AH!$U$4)),IF(AH!$U$5=1,INDEX('Live History'!$E$5:$E$3004,MATCH($A1782,'Live History'!$D$5:$D$3004,1)),INDEX('AH History'!$D$5:$GG$1380,$K1782,AH!$U$10+1))),NA()),NA())</f>
        <v/>
      </c>
      <c r="G1782" s="34">
        <f>IFERROR(IF(ISNUMBER($A1782),IF(AND(AH!$U$12=1,1777+1=AH!$U$6),IF(AH!$U$4=0,"unavailable",INDEX('Market Data'!$AK$5:$AK$66,AH!$U$4)),IF(AH!$U$5=1,INDEX('Live History'!$D$5:$D$3004,MATCH($A1782,'Live History'!$D$5:$D$3004,1)),INDEX('AH History'!$D$5:$GG$1380,$K1782,AH!$U$10+2))),NA()),NA())</f>
        <v/>
      </c>
      <c r="H1782" s="266">
        <f>IFERROR(IF(ISNUMBER($A1782),IF(AND(AH!$U$12=1,1777+1=AH!$U$6),IF(AH!$U$4=0,"unavailable",INDEX('Market Data'!$AP$5:$AP$66,AH!$U$4)),IF(AH!$U$5=1,INDEX('Live History'!$H$5:$H$3004,MATCH($A1782,'Live History'!$G$5:$G$3004,1)),INDEX('AH History'!$B$5:$B$1380,$K1782))),NA()),NA())</f>
        <v/>
      </c>
      <c r="I1782" s="34">
        <f>IFERROR(IF(ISNUMBER($A1782),IF(AND(AH!$U$12=1,1777+1=AH!$U$6),TODAY(),IF(AH!$U$5=1,INDEX('Live History'!$G$5:$G$3004,MATCH($A1782,'Live History'!$G$5:$G$3004,1)),INDEX('AH History'!$C$5:$C$1380,$K1782))),NA()),NA())</f>
        <v/>
      </c>
      <c r="J1782" s="32">
        <f>IFERROR(IF(AND($F1782&gt;0,$H1782&gt;0,$A1782-$G1782&lt;=10,$A1782-$I1782&lt;=5,$G1782&gt;0,$I1782&gt;0),$F1782*$H1782,NA()),NA())</f>
        <v/>
      </c>
      <c r="K1782" s="15">
        <f>IF($A1782="","",IF(AH!$U$5=1,IFERROR(MATCH($A1782,'Live History'!$A$5:$A$3004,0),0),AH!$U$7+1777))</f>
        <v/>
      </c>
      <c r="L1782" s="15">
        <f>IF(ISNUMBER(A1782),TEXT(A1782,"dd-mmm-yy"),"")</f>
        <v/>
      </c>
    </row>
    <row r="1783">
      <c r="A1783" s="14">
        <f>IF(OR(AH!$U$4=0,1778+1&gt;AH!$U$6,AND(AH!$M$5="Bloomberg",AH!$U$5=0)),"",IFERROR(IF(AND(AH!$U$12=1,1778+1=AH!$U$6),TODAY(),IF(AH!$U$5=1,INDEX('Live History'!$A$5:$A$3004,AH!$U$7+1778),INDEX('AH History'!$A$5:$A$1380,AH!$U$7+1778))),""))</f>
        <v/>
      </c>
      <c r="B1783" s="33">
        <f>IFERROR(IF(AH!$U$11=1,NA(),$J1783/$E1783-1),NA())</f>
        <v/>
      </c>
      <c r="C1783" s="269">
        <f>IFERROR(100*$E1783/$E$5,NA())</f>
        <v/>
      </c>
      <c r="D1783" s="269">
        <f>IFERROR(100*$J1783/$J$5,NA())</f>
        <v/>
      </c>
      <c r="E1783" s="32">
        <f>IFERROR(IF(AND(ISNUMBER($A1783),N(IF(AND(AH!$U$12=1,1778+1=AH!$U$6),IF(AH!$U$4=0,"unavailable",INDEX('Market Data'!$AN$5:$AN$66,AH!$U$4)),IF(AH!$U$5=1,INDEX('Live History'!$B$5:$B$3004,$K1783),INDEX('AH History'!$D$5:$GG$1380,$K1783,AH!$U$10))))&gt;0),IF(AND(AH!$U$12=1,1778+1=AH!$U$6),IF(AH!$U$4=0,"unavailable",INDEX('Market Data'!$AN$5:$AN$66,AH!$U$4)),IF(AH!$U$5=1,INDEX('Live History'!$B$5:$B$3004,$K1783),INDEX('AH History'!$D$5:$GG$1380,$K1783,AH!$U$10))),NA()),NA())</f>
        <v/>
      </c>
      <c r="F1783" s="32">
        <f>IFERROR(IF(ISNUMBER($A1783),IF(AND(AH!$U$12=1,1778+1=AH!$U$6),IF(AH!$U$4=0,"unavailable",INDEX('Market Data'!$AO$5:$AO$66,AH!$U$4)),IF(AH!$U$5=1,INDEX('Live History'!$E$5:$E$3004,MATCH($A1783,'Live History'!$D$5:$D$3004,1)),INDEX('AH History'!$D$5:$GG$1380,$K1783,AH!$U$10+1))),NA()),NA())</f>
        <v/>
      </c>
      <c r="G1783" s="34">
        <f>IFERROR(IF(ISNUMBER($A1783),IF(AND(AH!$U$12=1,1778+1=AH!$U$6),IF(AH!$U$4=0,"unavailable",INDEX('Market Data'!$AK$5:$AK$66,AH!$U$4)),IF(AH!$U$5=1,INDEX('Live History'!$D$5:$D$3004,MATCH($A1783,'Live History'!$D$5:$D$3004,1)),INDEX('AH History'!$D$5:$GG$1380,$K1783,AH!$U$10+2))),NA()),NA())</f>
        <v/>
      </c>
      <c r="H1783" s="266">
        <f>IFERROR(IF(ISNUMBER($A1783),IF(AND(AH!$U$12=1,1778+1=AH!$U$6),IF(AH!$U$4=0,"unavailable",INDEX('Market Data'!$AP$5:$AP$66,AH!$U$4)),IF(AH!$U$5=1,INDEX('Live History'!$H$5:$H$3004,MATCH($A1783,'Live History'!$G$5:$G$3004,1)),INDEX('AH History'!$B$5:$B$1380,$K1783))),NA()),NA())</f>
        <v/>
      </c>
      <c r="I1783" s="34">
        <f>IFERROR(IF(ISNUMBER($A1783),IF(AND(AH!$U$12=1,1778+1=AH!$U$6),TODAY(),IF(AH!$U$5=1,INDEX('Live History'!$G$5:$G$3004,MATCH($A1783,'Live History'!$G$5:$G$3004,1)),INDEX('AH History'!$C$5:$C$1380,$K1783))),NA()),NA())</f>
        <v/>
      </c>
      <c r="J1783" s="32">
        <f>IFERROR(IF(AND($F1783&gt;0,$H1783&gt;0,$A1783-$G1783&lt;=10,$A1783-$I1783&lt;=5,$G1783&gt;0,$I1783&gt;0),$F1783*$H1783,NA()),NA())</f>
        <v/>
      </c>
      <c r="K1783" s="15">
        <f>IF($A1783="","",IF(AH!$U$5=1,IFERROR(MATCH($A1783,'Live History'!$A$5:$A$3004,0),0),AH!$U$7+1778))</f>
        <v/>
      </c>
      <c r="L1783" s="15">
        <f>IF(ISNUMBER(A1783),TEXT(A1783,"dd-mmm-yy"),"")</f>
        <v/>
      </c>
    </row>
    <row r="1784">
      <c r="A1784" s="14">
        <f>IF(OR(AH!$U$4=0,1779+1&gt;AH!$U$6,AND(AH!$M$5="Bloomberg",AH!$U$5=0)),"",IFERROR(IF(AND(AH!$U$12=1,1779+1=AH!$U$6),TODAY(),IF(AH!$U$5=1,INDEX('Live History'!$A$5:$A$3004,AH!$U$7+1779),INDEX('AH History'!$A$5:$A$1380,AH!$U$7+1779))),""))</f>
        <v/>
      </c>
      <c r="B1784" s="33">
        <f>IFERROR(IF(AH!$U$11=1,NA(),$J1784/$E1784-1),NA())</f>
        <v/>
      </c>
      <c r="C1784" s="269">
        <f>IFERROR(100*$E1784/$E$5,NA())</f>
        <v/>
      </c>
      <c r="D1784" s="269">
        <f>IFERROR(100*$J1784/$J$5,NA())</f>
        <v/>
      </c>
      <c r="E1784" s="32">
        <f>IFERROR(IF(AND(ISNUMBER($A1784),N(IF(AND(AH!$U$12=1,1779+1=AH!$U$6),IF(AH!$U$4=0,"unavailable",INDEX('Market Data'!$AN$5:$AN$66,AH!$U$4)),IF(AH!$U$5=1,INDEX('Live History'!$B$5:$B$3004,$K1784),INDEX('AH History'!$D$5:$GG$1380,$K1784,AH!$U$10))))&gt;0),IF(AND(AH!$U$12=1,1779+1=AH!$U$6),IF(AH!$U$4=0,"unavailable",INDEX('Market Data'!$AN$5:$AN$66,AH!$U$4)),IF(AH!$U$5=1,INDEX('Live History'!$B$5:$B$3004,$K1784),INDEX('AH History'!$D$5:$GG$1380,$K1784,AH!$U$10))),NA()),NA())</f>
        <v/>
      </c>
      <c r="F1784" s="32">
        <f>IFERROR(IF(ISNUMBER($A1784),IF(AND(AH!$U$12=1,1779+1=AH!$U$6),IF(AH!$U$4=0,"unavailable",INDEX('Market Data'!$AO$5:$AO$66,AH!$U$4)),IF(AH!$U$5=1,INDEX('Live History'!$E$5:$E$3004,MATCH($A1784,'Live History'!$D$5:$D$3004,1)),INDEX('AH History'!$D$5:$GG$1380,$K1784,AH!$U$10+1))),NA()),NA())</f>
        <v/>
      </c>
      <c r="G1784" s="34">
        <f>IFERROR(IF(ISNUMBER($A1784),IF(AND(AH!$U$12=1,1779+1=AH!$U$6),IF(AH!$U$4=0,"unavailable",INDEX('Market Data'!$AK$5:$AK$66,AH!$U$4)),IF(AH!$U$5=1,INDEX('Live History'!$D$5:$D$3004,MATCH($A1784,'Live History'!$D$5:$D$3004,1)),INDEX('AH History'!$D$5:$GG$1380,$K1784,AH!$U$10+2))),NA()),NA())</f>
        <v/>
      </c>
      <c r="H1784" s="266">
        <f>IFERROR(IF(ISNUMBER($A1784),IF(AND(AH!$U$12=1,1779+1=AH!$U$6),IF(AH!$U$4=0,"unavailable",INDEX('Market Data'!$AP$5:$AP$66,AH!$U$4)),IF(AH!$U$5=1,INDEX('Live History'!$H$5:$H$3004,MATCH($A1784,'Live History'!$G$5:$G$3004,1)),INDEX('AH History'!$B$5:$B$1380,$K1784))),NA()),NA())</f>
        <v/>
      </c>
      <c r="I1784" s="34">
        <f>IFERROR(IF(ISNUMBER($A1784),IF(AND(AH!$U$12=1,1779+1=AH!$U$6),TODAY(),IF(AH!$U$5=1,INDEX('Live History'!$G$5:$G$3004,MATCH($A1784,'Live History'!$G$5:$G$3004,1)),INDEX('AH History'!$C$5:$C$1380,$K1784))),NA()),NA())</f>
        <v/>
      </c>
      <c r="J1784" s="32">
        <f>IFERROR(IF(AND($F1784&gt;0,$H1784&gt;0,$A1784-$G1784&lt;=10,$A1784-$I1784&lt;=5,$G1784&gt;0,$I1784&gt;0),$F1784*$H1784,NA()),NA())</f>
        <v/>
      </c>
      <c r="K1784" s="15">
        <f>IF($A1784="","",IF(AH!$U$5=1,IFERROR(MATCH($A1784,'Live History'!$A$5:$A$3004,0),0),AH!$U$7+1779))</f>
        <v/>
      </c>
      <c r="L1784" s="15">
        <f>IF(ISNUMBER(A1784),TEXT(A1784,"dd-mmm-yy"),"")</f>
        <v/>
      </c>
    </row>
    <row r="1785">
      <c r="A1785" s="14">
        <f>IF(OR(AH!$U$4=0,1780+1&gt;AH!$U$6,AND(AH!$M$5="Bloomberg",AH!$U$5=0)),"",IFERROR(IF(AND(AH!$U$12=1,1780+1=AH!$U$6),TODAY(),IF(AH!$U$5=1,INDEX('Live History'!$A$5:$A$3004,AH!$U$7+1780),INDEX('AH History'!$A$5:$A$1380,AH!$U$7+1780))),""))</f>
        <v/>
      </c>
      <c r="B1785" s="33">
        <f>IFERROR(IF(AH!$U$11=1,NA(),$J1785/$E1785-1),NA())</f>
        <v/>
      </c>
      <c r="C1785" s="269">
        <f>IFERROR(100*$E1785/$E$5,NA())</f>
        <v/>
      </c>
      <c r="D1785" s="269">
        <f>IFERROR(100*$J1785/$J$5,NA())</f>
        <v/>
      </c>
      <c r="E1785" s="32">
        <f>IFERROR(IF(AND(ISNUMBER($A1785),N(IF(AND(AH!$U$12=1,1780+1=AH!$U$6),IF(AH!$U$4=0,"unavailable",INDEX('Market Data'!$AN$5:$AN$66,AH!$U$4)),IF(AH!$U$5=1,INDEX('Live History'!$B$5:$B$3004,$K1785),INDEX('AH History'!$D$5:$GG$1380,$K1785,AH!$U$10))))&gt;0),IF(AND(AH!$U$12=1,1780+1=AH!$U$6),IF(AH!$U$4=0,"unavailable",INDEX('Market Data'!$AN$5:$AN$66,AH!$U$4)),IF(AH!$U$5=1,INDEX('Live History'!$B$5:$B$3004,$K1785),INDEX('AH History'!$D$5:$GG$1380,$K1785,AH!$U$10))),NA()),NA())</f>
        <v/>
      </c>
      <c r="F1785" s="32">
        <f>IFERROR(IF(ISNUMBER($A1785),IF(AND(AH!$U$12=1,1780+1=AH!$U$6),IF(AH!$U$4=0,"unavailable",INDEX('Market Data'!$AO$5:$AO$66,AH!$U$4)),IF(AH!$U$5=1,INDEX('Live History'!$E$5:$E$3004,MATCH($A1785,'Live History'!$D$5:$D$3004,1)),INDEX('AH History'!$D$5:$GG$1380,$K1785,AH!$U$10+1))),NA()),NA())</f>
        <v/>
      </c>
      <c r="G1785" s="34">
        <f>IFERROR(IF(ISNUMBER($A1785),IF(AND(AH!$U$12=1,1780+1=AH!$U$6),IF(AH!$U$4=0,"unavailable",INDEX('Market Data'!$AK$5:$AK$66,AH!$U$4)),IF(AH!$U$5=1,INDEX('Live History'!$D$5:$D$3004,MATCH($A1785,'Live History'!$D$5:$D$3004,1)),INDEX('AH History'!$D$5:$GG$1380,$K1785,AH!$U$10+2))),NA()),NA())</f>
        <v/>
      </c>
      <c r="H1785" s="266">
        <f>IFERROR(IF(ISNUMBER($A1785),IF(AND(AH!$U$12=1,1780+1=AH!$U$6),IF(AH!$U$4=0,"unavailable",INDEX('Market Data'!$AP$5:$AP$66,AH!$U$4)),IF(AH!$U$5=1,INDEX('Live History'!$H$5:$H$3004,MATCH($A1785,'Live History'!$G$5:$G$3004,1)),INDEX('AH History'!$B$5:$B$1380,$K1785))),NA()),NA())</f>
        <v/>
      </c>
      <c r="I1785" s="34">
        <f>IFERROR(IF(ISNUMBER($A1785),IF(AND(AH!$U$12=1,1780+1=AH!$U$6),TODAY(),IF(AH!$U$5=1,INDEX('Live History'!$G$5:$G$3004,MATCH($A1785,'Live History'!$G$5:$G$3004,1)),INDEX('AH History'!$C$5:$C$1380,$K1785))),NA()),NA())</f>
        <v/>
      </c>
      <c r="J1785" s="32">
        <f>IFERROR(IF(AND($F1785&gt;0,$H1785&gt;0,$A1785-$G1785&lt;=10,$A1785-$I1785&lt;=5,$G1785&gt;0,$I1785&gt;0),$F1785*$H1785,NA()),NA())</f>
        <v/>
      </c>
      <c r="K1785" s="15">
        <f>IF($A1785="","",IF(AH!$U$5=1,IFERROR(MATCH($A1785,'Live History'!$A$5:$A$3004,0),0),AH!$U$7+1780))</f>
        <v/>
      </c>
      <c r="L1785" s="15">
        <f>IF(ISNUMBER(A1785),TEXT(A1785,"dd-mmm-yy"),"")</f>
        <v/>
      </c>
    </row>
    <row r="1786">
      <c r="A1786" s="14">
        <f>IF(OR(AH!$U$4=0,1781+1&gt;AH!$U$6,AND(AH!$M$5="Bloomberg",AH!$U$5=0)),"",IFERROR(IF(AND(AH!$U$12=1,1781+1=AH!$U$6),TODAY(),IF(AH!$U$5=1,INDEX('Live History'!$A$5:$A$3004,AH!$U$7+1781),INDEX('AH History'!$A$5:$A$1380,AH!$U$7+1781))),""))</f>
        <v/>
      </c>
      <c r="B1786" s="33">
        <f>IFERROR(IF(AH!$U$11=1,NA(),$J1786/$E1786-1),NA())</f>
        <v/>
      </c>
      <c r="C1786" s="269">
        <f>IFERROR(100*$E1786/$E$5,NA())</f>
        <v/>
      </c>
      <c r="D1786" s="269">
        <f>IFERROR(100*$J1786/$J$5,NA())</f>
        <v/>
      </c>
      <c r="E1786" s="32">
        <f>IFERROR(IF(AND(ISNUMBER($A1786),N(IF(AND(AH!$U$12=1,1781+1=AH!$U$6),IF(AH!$U$4=0,"unavailable",INDEX('Market Data'!$AN$5:$AN$66,AH!$U$4)),IF(AH!$U$5=1,INDEX('Live History'!$B$5:$B$3004,$K1786),INDEX('AH History'!$D$5:$GG$1380,$K1786,AH!$U$10))))&gt;0),IF(AND(AH!$U$12=1,1781+1=AH!$U$6),IF(AH!$U$4=0,"unavailable",INDEX('Market Data'!$AN$5:$AN$66,AH!$U$4)),IF(AH!$U$5=1,INDEX('Live History'!$B$5:$B$3004,$K1786),INDEX('AH History'!$D$5:$GG$1380,$K1786,AH!$U$10))),NA()),NA())</f>
        <v/>
      </c>
      <c r="F1786" s="32">
        <f>IFERROR(IF(ISNUMBER($A1786),IF(AND(AH!$U$12=1,1781+1=AH!$U$6),IF(AH!$U$4=0,"unavailable",INDEX('Market Data'!$AO$5:$AO$66,AH!$U$4)),IF(AH!$U$5=1,INDEX('Live History'!$E$5:$E$3004,MATCH($A1786,'Live History'!$D$5:$D$3004,1)),INDEX('AH History'!$D$5:$GG$1380,$K1786,AH!$U$10+1))),NA()),NA())</f>
        <v/>
      </c>
      <c r="G1786" s="34">
        <f>IFERROR(IF(ISNUMBER($A1786),IF(AND(AH!$U$12=1,1781+1=AH!$U$6),IF(AH!$U$4=0,"unavailable",INDEX('Market Data'!$AK$5:$AK$66,AH!$U$4)),IF(AH!$U$5=1,INDEX('Live History'!$D$5:$D$3004,MATCH($A1786,'Live History'!$D$5:$D$3004,1)),INDEX('AH History'!$D$5:$GG$1380,$K1786,AH!$U$10+2))),NA()),NA())</f>
        <v/>
      </c>
      <c r="H1786" s="266">
        <f>IFERROR(IF(ISNUMBER($A1786),IF(AND(AH!$U$12=1,1781+1=AH!$U$6),IF(AH!$U$4=0,"unavailable",INDEX('Market Data'!$AP$5:$AP$66,AH!$U$4)),IF(AH!$U$5=1,INDEX('Live History'!$H$5:$H$3004,MATCH($A1786,'Live History'!$G$5:$G$3004,1)),INDEX('AH History'!$B$5:$B$1380,$K1786))),NA()),NA())</f>
        <v/>
      </c>
      <c r="I1786" s="34">
        <f>IFERROR(IF(ISNUMBER($A1786),IF(AND(AH!$U$12=1,1781+1=AH!$U$6),TODAY(),IF(AH!$U$5=1,INDEX('Live History'!$G$5:$G$3004,MATCH($A1786,'Live History'!$G$5:$G$3004,1)),INDEX('AH History'!$C$5:$C$1380,$K1786))),NA()),NA())</f>
        <v/>
      </c>
      <c r="J1786" s="32">
        <f>IFERROR(IF(AND($F1786&gt;0,$H1786&gt;0,$A1786-$G1786&lt;=10,$A1786-$I1786&lt;=5,$G1786&gt;0,$I1786&gt;0),$F1786*$H1786,NA()),NA())</f>
        <v/>
      </c>
      <c r="K1786" s="15">
        <f>IF($A1786="","",IF(AH!$U$5=1,IFERROR(MATCH($A1786,'Live History'!$A$5:$A$3004,0),0),AH!$U$7+1781))</f>
        <v/>
      </c>
      <c r="L1786" s="15">
        <f>IF(ISNUMBER(A1786),TEXT(A1786,"dd-mmm-yy"),"")</f>
        <v/>
      </c>
    </row>
    <row r="1787">
      <c r="A1787" s="14">
        <f>IF(OR(AH!$U$4=0,1782+1&gt;AH!$U$6,AND(AH!$M$5="Bloomberg",AH!$U$5=0)),"",IFERROR(IF(AND(AH!$U$12=1,1782+1=AH!$U$6),TODAY(),IF(AH!$U$5=1,INDEX('Live History'!$A$5:$A$3004,AH!$U$7+1782),INDEX('AH History'!$A$5:$A$1380,AH!$U$7+1782))),""))</f>
        <v/>
      </c>
      <c r="B1787" s="33">
        <f>IFERROR(IF(AH!$U$11=1,NA(),$J1787/$E1787-1),NA())</f>
        <v/>
      </c>
      <c r="C1787" s="269">
        <f>IFERROR(100*$E1787/$E$5,NA())</f>
        <v/>
      </c>
      <c r="D1787" s="269">
        <f>IFERROR(100*$J1787/$J$5,NA())</f>
        <v/>
      </c>
      <c r="E1787" s="32">
        <f>IFERROR(IF(AND(ISNUMBER($A1787),N(IF(AND(AH!$U$12=1,1782+1=AH!$U$6),IF(AH!$U$4=0,"unavailable",INDEX('Market Data'!$AN$5:$AN$66,AH!$U$4)),IF(AH!$U$5=1,INDEX('Live History'!$B$5:$B$3004,$K1787),INDEX('AH History'!$D$5:$GG$1380,$K1787,AH!$U$10))))&gt;0),IF(AND(AH!$U$12=1,1782+1=AH!$U$6),IF(AH!$U$4=0,"unavailable",INDEX('Market Data'!$AN$5:$AN$66,AH!$U$4)),IF(AH!$U$5=1,INDEX('Live History'!$B$5:$B$3004,$K1787),INDEX('AH History'!$D$5:$GG$1380,$K1787,AH!$U$10))),NA()),NA())</f>
        <v/>
      </c>
      <c r="F1787" s="32">
        <f>IFERROR(IF(ISNUMBER($A1787),IF(AND(AH!$U$12=1,1782+1=AH!$U$6),IF(AH!$U$4=0,"unavailable",INDEX('Market Data'!$AO$5:$AO$66,AH!$U$4)),IF(AH!$U$5=1,INDEX('Live History'!$E$5:$E$3004,MATCH($A1787,'Live History'!$D$5:$D$3004,1)),INDEX('AH History'!$D$5:$GG$1380,$K1787,AH!$U$10+1))),NA()),NA())</f>
        <v/>
      </c>
      <c r="G1787" s="34">
        <f>IFERROR(IF(ISNUMBER($A1787),IF(AND(AH!$U$12=1,1782+1=AH!$U$6),IF(AH!$U$4=0,"unavailable",INDEX('Market Data'!$AK$5:$AK$66,AH!$U$4)),IF(AH!$U$5=1,INDEX('Live History'!$D$5:$D$3004,MATCH($A1787,'Live History'!$D$5:$D$3004,1)),INDEX('AH History'!$D$5:$GG$1380,$K1787,AH!$U$10+2))),NA()),NA())</f>
        <v/>
      </c>
      <c r="H1787" s="266">
        <f>IFERROR(IF(ISNUMBER($A1787),IF(AND(AH!$U$12=1,1782+1=AH!$U$6),IF(AH!$U$4=0,"unavailable",INDEX('Market Data'!$AP$5:$AP$66,AH!$U$4)),IF(AH!$U$5=1,INDEX('Live History'!$H$5:$H$3004,MATCH($A1787,'Live History'!$G$5:$G$3004,1)),INDEX('AH History'!$B$5:$B$1380,$K1787))),NA()),NA())</f>
        <v/>
      </c>
      <c r="I1787" s="34">
        <f>IFERROR(IF(ISNUMBER($A1787),IF(AND(AH!$U$12=1,1782+1=AH!$U$6),TODAY(),IF(AH!$U$5=1,INDEX('Live History'!$G$5:$G$3004,MATCH($A1787,'Live History'!$G$5:$G$3004,1)),INDEX('AH History'!$C$5:$C$1380,$K1787))),NA()),NA())</f>
        <v/>
      </c>
      <c r="J1787" s="32">
        <f>IFERROR(IF(AND($F1787&gt;0,$H1787&gt;0,$A1787-$G1787&lt;=10,$A1787-$I1787&lt;=5,$G1787&gt;0,$I1787&gt;0),$F1787*$H1787,NA()),NA())</f>
        <v/>
      </c>
      <c r="K1787" s="15">
        <f>IF($A1787="","",IF(AH!$U$5=1,IFERROR(MATCH($A1787,'Live History'!$A$5:$A$3004,0),0),AH!$U$7+1782))</f>
        <v/>
      </c>
      <c r="L1787" s="15">
        <f>IF(ISNUMBER(A1787),TEXT(A1787,"dd-mmm-yy"),"")</f>
        <v/>
      </c>
    </row>
    <row r="1788">
      <c r="A1788" s="14">
        <f>IF(OR(AH!$U$4=0,1783+1&gt;AH!$U$6,AND(AH!$M$5="Bloomberg",AH!$U$5=0)),"",IFERROR(IF(AND(AH!$U$12=1,1783+1=AH!$U$6),TODAY(),IF(AH!$U$5=1,INDEX('Live History'!$A$5:$A$3004,AH!$U$7+1783),INDEX('AH History'!$A$5:$A$1380,AH!$U$7+1783))),""))</f>
        <v/>
      </c>
      <c r="B1788" s="33">
        <f>IFERROR(IF(AH!$U$11=1,NA(),$J1788/$E1788-1),NA())</f>
        <v/>
      </c>
      <c r="C1788" s="269">
        <f>IFERROR(100*$E1788/$E$5,NA())</f>
        <v/>
      </c>
      <c r="D1788" s="269">
        <f>IFERROR(100*$J1788/$J$5,NA())</f>
        <v/>
      </c>
      <c r="E1788" s="32">
        <f>IFERROR(IF(AND(ISNUMBER($A1788),N(IF(AND(AH!$U$12=1,1783+1=AH!$U$6),IF(AH!$U$4=0,"unavailable",INDEX('Market Data'!$AN$5:$AN$66,AH!$U$4)),IF(AH!$U$5=1,INDEX('Live History'!$B$5:$B$3004,$K1788),INDEX('AH History'!$D$5:$GG$1380,$K1788,AH!$U$10))))&gt;0),IF(AND(AH!$U$12=1,1783+1=AH!$U$6),IF(AH!$U$4=0,"unavailable",INDEX('Market Data'!$AN$5:$AN$66,AH!$U$4)),IF(AH!$U$5=1,INDEX('Live History'!$B$5:$B$3004,$K1788),INDEX('AH History'!$D$5:$GG$1380,$K1788,AH!$U$10))),NA()),NA())</f>
        <v/>
      </c>
      <c r="F1788" s="32">
        <f>IFERROR(IF(ISNUMBER($A1788),IF(AND(AH!$U$12=1,1783+1=AH!$U$6),IF(AH!$U$4=0,"unavailable",INDEX('Market Data'!$AO$5:$AO$66,AH!$U$4)),IF(AH!$U$5=1,INDEX('Live History'!$E$5:$E$3004,MATCH($A1788,'Live History'!$D$5:$D$3004,1)),INDEX('AH History'!$D$5:$GG$1380,$K1788,AH!$U$10+1))),NA()),NA())</f>
        <v/>
      </c>
      <c r="G1788" s="34">
        <f>IFERROR(IF(ISNUMBER($A1788),IF(AND(AH!$U$12=1,1783+1=AH!$U$6),IF(AH!$U$4=0,"unavailable",INDEX('Market Data'!$AK$5:$AK$66,AH!$U$4)),IF(AH!$U$5=1,INDEX('Live History'!$D$5:$D$3004,MATCH($A1788,'Live History'!$D$5:$D$3004,1)),INDEX('AH History'!$D$5:$GG$1380,$K1788,AH!$U$10+2))),NA()),NA())</f>
        <v/>
      </c>
      <c r="H1788" s="266">
        <f>IFERROR(IF(ISNUMBER($A1788),IF(AND(AH!$U$12=1,1783+1=AH!$U$6),IF(AH!$U$4=0,"unavailable",INDEX('Market Data'!$AP$5:$AP$66,AH!$U$4)),IF(AH!$U$5=1,INDEX('Live History'!$H$5:$H$3004,MATCH($A1788,'Live History'!$G$5:$G$3004,1)),INDEX('AH History'!$B$5:$B$1380,$K1788))),NA()),NA())</f>
        <v/>
      </c>
      <c r="I1788" s="34">
        <f>IFERROR(IF(ISNUMBER($A1788),IF(AND(AH!$U$12=1,1783+1=AH!$U$6),TODAY(),IF(AH!$U$5=1,INDEX('Live History'!$G$5:$G$3004,MATCH($A1788,'Live History'!$G$5:$G$3004,1)),INDEX('AH History'!$C$5:$C$1380,$K1788))),NA()),NA())</f>
        <v/>
      </c>
      <c r="J1788" s="32">
        <f>IFERROR(IF(AND($F1788&gt;0,$H1788&gt;0,$A1788-$G1788&lt;=10,$A1788-$I1788&lt;=5,$G1788&gt;0,$I1788&gt;0),$F1788*$H1788,NA()),NA())</f>
        <v/>
      </c>
      <c r="K1788" s="15">
        <f>IF($A1788="","",IF(AH!$U$5=1,IFERROR(MATCH($A1788,'Live History'!$A$5:$A$3004,0),0),AH!$U$7+1783))</f>
        <v/>
      </c>
      <c r="L1788" s="15">
        <f>IF(ISNUMBER(A1788),TEXT(A1788,"dd-mmm-yy"),"")</f>
        <v/>
      </c>
    </row>
    <row r="1789">
      <c r="A1789" s="14">
        <f>IF(OR(AH!$U$4=0,1784+1&gt;AH!$U$6,AND(AH!$M$5="Bloomberg",AH!$U$5=0)),"",IFERROR(IF(AND(AH!$U$12=1,1784+1=AH!$U$6),TODAY(),IF(AH!$U$5=1,INDEX('Live History'!$A$5:$A$3004,AH!$U$7+1784),INDEX('AH History'!$A$5:$A$1380,AH!$U$7+1784))),""))</f>
        <v/>
      </c>
      <c r="B1789" s="33">
        <f>IFERROR(IF(AH!$U$11=1,NA(),$J1789/$E1789-1),NA())</f>
        <v/>
      </c>
      <c r="C1789" s="269">
        <f>IFERROR(100*$E1789/$E$5,NA())</f>
        <v/>
      </c>
      <c r="D1789" s="269">
        <f>IFERROR(100*$J1789/$J$5,NA())</f>
        <v/>
      </c>
      <c r="E1789" s="32">
        <f>IFERROR(IF(AND(ISNUMBER($A1789),N(IF(AND(AH!$U$12=1,1784+1=AH!$U$6),IF(AH!$U$4=0,"unavailable",INDEX('Market Data'!$AN$5:$AN$66,AH!$U$4)),IF(AH!$U$5=1,INDEX('Live History'!$B$5:$B$3004,$K1789),INDEX('AH History'!$D$5:$GG$1380,$K1789,AH!$U$10))))&gt;0),IF(AND(AH!$U$12=1,1784+1=AH!$U$6),IF(AH!$U$4=0,"unavailable",INDEX('Market Data'!$AN$5:$AN$66,AH!$U$4)),IF(AH!$U$5=1,INDEX('Live History'!$B$5:$B$3004,$K1789),INDEX('AH History'!$D$5:$GG$1380,$K1789,AH!$U$10))),NA()),NA())</f>
        <v/>
      </c>
      <c r="F1789" s="32">
        <f>IFERROR(IF(ISNUMBER($A1789),IF(AND(AH!$U$12=1,1784+1=AH!$U$6),IF(AH!$U$4=0,"unavailable",INDEX('Market Data'!$AO$5:$AO$66,AH!$U$4)),IF(AH!$U$5=1,INDEX('Live History'!$E$5:$E$3004,MATCH($A1789,'Live History'!$D$5:$D$3004,1)),INDEX('AH History'!$D$5:$GG$1380,$K1789,AH!$U$10+1))),NA()),NA())</f>
        <v/>
      </c>
      <c r="G1789" s="34">
        <f>IFERROR(IF(ISNUMBER($A1789),IF(AND(AH!$U$12=1,1784+1=AH!$U$6),IF(AH!$U$4=0,"unavailable",INDEX('Market Data'!$AK$5:$AK$66,AH!$U$4)),IF(AH!$U$5=1,INDEX('Live History'!$D$5:$D$3004,MATCH($A1789,'Live History'!$D$5:$D$3004,1)),INDEX('AH History'!$D$5:$GG$1380,$K1789,AH!$U$10+2))),NA()),NA())</f>
        <v/>
      </c>
      <c r="H1789" s="266">
        <f>IFERROR(IF(ISNUMBER($A1789),IF(AND(AH!$U$12=1,1784+1=AH!$U$6),IF(AH!$U$4=0,"unavailable",INDEX('Market Data'!$AP$5:$AP$66,AH!$U$4)),IF(AH!$U$5=1,INDEX('Live History'!$H$5:$H$3004,MATCH($A1789,'Live History'!$G$5:$G$3004,1)),INDEX('AH History'!$B$5:$B$1380,$K1789))),NA()),NA())</f>
        <v/>
      </c>
      <c r="I1789" s="34">
        <f>IFERROR(IF(ISNUMBER($A1789),IF(AND(AH!$U$12=1,1784+1=AH!$U$6),TODAY(),IF(AH!$U$5=1,INDEX('Live History'!$G$5:$G$3004,MATCH($A1789,'Live History'!$G$5:$G$3004,1)),INDEX('AH History'!$C$5:$C$1380,$K1789))),NA()),NA())</f>
        <v/>
      </c>
      <c r="J1789" s="32">
        <f>IFERROR(IF(AND($F1789&gt;0,$H1789&gt;0,$A1789-$G1789&lt;=10,$A1789-$I1789&lt;=5,$G1789&gt;0,$I1789&gt;0),$F1789*$H1789,NA()),NA())</f>
        <v/>
      </c>
      <c r="K1789" s="15">
        <f>IF($A1789="","",IF(AH!$U$5=1,IFERROR(MATCH($A1789,'Live History'!$A$5:$A$3004,0),0),AH!$U$7+1784))</f>
        <v/>
      </c>
      <c r="L1789" s="15">
        <f>IF(ISNUMBER(A1789),TEXT(A1789,"dd-mmm-yy"),"")</f>
        <v/>
      </c>
    </row>
    <row r="1790">
      <c r="A1790" s="14">
        <f>IF(OR(AH!$U$4=0,1785+1&gt;AH!$U$6,AND(AH!$M$5="Bloomberg",AH!$U$5=0)),"",IFERROR(IF(AND(AH!$U$12=1,1785+1=AH!$U$6),TODAY(),IF(AH!$U$5=1,INDEX('Live History'!$A$5:$A$3004,AH!$U$7+1785),INDEX('AH History'!$A$5:$A$1380,AH!$U$7+1785))),""))</f>
        <v/>
      </c>
      <c r="B1790" s="33">
        <f>IFERROR(IF(AH!$U$11=1,NA(),$J1790/$E1790-1),NA())</f>
        <v/>
      </c>
      <c r="C1790" s="269">
        <f>IFERROR(100*$E1790/$E$5,NA())</f>
        <v/>
      </c>
      <c r="D1790" s="269">
        <f>IFERROR(100*$J1790/$J$5,NA())</f>
        <v/>
      </c>
      <c r="E1790" s="32">
        <f>IFERROR(IF(AND(ISNUMBER($A1790),N(IF(AND(AH!$U$12=1,1785+1=AH!$U$6),IF(AH!$U$4=0,"unavailable",INDEX('Market Data'!$AN$5:$AN$66,AH!$U$4)),IF(AH!$U$5=1,INDEX('Live History'!$B$5:$B$3004,$K1790),INDEX('AH History'!$D$5:$GG$1380,$K1790,AH!$U$10))))&gt;0),IF(AND(AH!$U$12=1,1785+1=AH!$U$6),IF(AH!$U$4=0,"unavailable",INDEX('Market Data'!$AN$5:$AN$66,AH!$U$4)),IF(AH!$U$5=1,INDEX('Live History'!$B$5:$B$3004,$K1790),INDEX('AH History'!$D$5:$GG$1380,$K1790,AH!$U$10))),NA()),NA())</f>
        <v/>
      </c>
      <c r="F1790" s="32">
        <f>IFERROR(IF(ISNUMBER($A1790),IF(AND(AH!$U$12=1,1785+1=AH!$U$6),IF(AH!$U$4=0,"unavailable",INDEX('Market Data'!$AO$5:$AO$66,AH!$U$4)),IF(AH!$U$5=1,INDEX('Live History'!$E$5:$E$3004,MATCH($A1790,'Live History'!$D$5:$D$3004,1)),INDEX('AH History'!$D$5:$GG$1380,$K1790,AH!$U$10+1))),NA()),NA())</f>
        <v/>
      </c>
      <c r="G1790" s="34">
        <f>IFERROR(IF(ISNUMBER($A1790),IF(AND(AH!$U$12=1,1785+1=AH!$U$6),IF(AH!$U$4=0,"unavailable",INDEX('Market Data'!$AK$5:$AK$66,AH!$U$4)),IF(AH!$U$5=1,INDEX('Live History'!$D$5:$D$3004,MATCH($A1790,'Live History'!$D$5:$D$3004,1)),INDEX('AH History'!$D$5:$GG$1380,$K1790,AH!$U$10+2))),NA()),NA())</f>
        <v/>
      </c>
      <c r="H1790" s="266">
        <f>IFERROR(IF(ISNUMBER($A1790),IF(AND(AH!$U$12=1,1785+1=AH!$U$6),IF(AH!$U$4=0,"unavailable",INDEX('Market Data'!$AP$5:$AP$66,AH!$U$4)),IF(AH!$U$5=1,INDEX('Live History'!$H$5:$H$3004,MATCH($A1790,'Live History'!$G$5:$G$3004,1)),INDEX('AH History'!$B$5:$B$1380,$K1790))),NA()),NA())</f>
        <v/>
      </c>
      <c r="I1790" s="34">
        <f>IFERROR(IF(ISNUMBER($A1790),IF(AND(AH!$U$12=1,1785+1=AH!$U$6),TODAY(),IF(AH!$U$5=1,INDEX('Live History'!$G$5:$G$3004,MATCH($A1790,'Live History'!$G$5:$G$3004,1)),INDEX('AH History'!$C$5:$C$1380,$K1790))),NA()),NA())</f>
        <v/>
      </c>
      <c r="J1790" s="32">
        <f>IFERROR(IF(AND($F1790&gt;0,$H1790&gt;0,$A1790-$G1790&lt;=10,$A1790-$I1790&lt;=5,$G1790&gt;0,$I1790&gt;0),$F1790*$H1790,NA()),NA())</f>
        <v/>
      </c>
      <c r="K1790" s="15">
        <f>IF($A1790="","",IF(AH!$U$5=1,IFERROR(MATCH($A1790,'Live History'!$A$5:$A$3004,0),0),AH!$U$7+1785))</f>
        <v/>
      </c>
      <c r="L1790" s="15">
        <f>IF(ISNUMBER(A1790),TEXT(A1790,"dd-mmm-yy"),"")</f>
        <v/>
      </c>
    </row>
    <row r="1791">
      <c r="A1791" s="14">
        <f>IF(OR(AH!$U$4=0,1786+1&gt;AH!$U$6,AND(AH!$M$5="Bloomberg",AH!$U$5=0)),"",IFERROR(IF(AND(AH!$U$12=1,1786+1=AH!$U$6),TODAY(),IF(AH!$U$5=1,INDEX('Live History'!$A$5:$A$3004,AH!$U$7+1786),INDEX('AH History'!$A$5:$A$1380,AH!$U$7+1786))),""))</f>
        <v/>
      </c>
      <c r="B1791" s="33">
        <f>IFERROR(IF(AH!$U$11=1,NA(),$J1791/$E1791-1),NA())</f>
        <v/>
      </c>
      <c r="C1791" s="269">
        <f>IFERROR(100*$E1791/$E$5,NA())</f>
        <v/>
      </c>
      <c r="D1791" s="269">
        <f>IFERROR(100*$J1791/$J$5,NA())</f>
        <v/>
      </c>
      <c r="E1791" s="32">
        <f>IFERROR(IF(AND(ISNUMBER($A1791),N(IF(AND(AH!$U$12=1,1786+1=AH!$U$6),IF(AH!$U$4=0,"unavailable",INDEX('Market Data'!$AN$5:$AN$66,AH!$U$4)),IF(AH!$U$5=1,INDEX('Live History'!$B$5:$B$3004,$K1791),INDEX('AH History'!$D$5:$GG$1380,$K1791,AH!$U$10))))&gt;0),IF(AND(AH!$U$12=1,1786+1=AH!$U$6),IF(AH!$U$4=0,"unavailable",INDEX('Market Data'!$AN$5:$AN$66,AH!$U$4)),IF(AH!$U$5=1,INDEX('Live History'!$B$5:$B$3004,$K1791),INDEX('AH History'!$D$5:$GG$1380,$K1791,AH!$U$10))),NA()),NA())</f>
        <v/>
      </c>
      <c r="F1791" s="32">
        <f>IFERROR(IF(ISNUMBER($A1791),IF(AND(AH!$U$12=1,1786+1=AH!$U$6),IF(AH!$U$4=0,"unavailable",INDEX('Market Data'!$AO$5:$AO$66,AH!$U$4)),IF(AH!$U$5=1,INDEX('Live History'!$E$5:$E$3004,MATCH($A1791,'Live History'!$D$5:$D$3004,1)),INDEX('AH History'!$D$5:$GG$1380,$K1791,AH!$U$10+1))),NA()),NA())</f>
        <v/>
      </c>
      <c r="G1791" s="34">
        <f>IFERROR(IF(ISNUMBER($A1791),IF(AND(AH!$U$12=1,1786+1=AH!$U$6),IF(AH!$U$4=0,"unavailable",INDEX('Market Data'!$AK$5:$AK$66,AH!$U$4)),IF(AH!$U$5=1,INDEX('Live History'!$D$5:$D$3004,MATCH($A1791,'Live History'!$D$5:$D$3004,1)),INDEX('AH History'!$D$5:$GG$1380,$K1791,AH!$U$10+2))),NA()),NA())</f>
        <v/>
      </c>
      <c r="H1791" s="266">
        <f>IFERROR(IF(ISNUMBER($A1791),IF(AND(AH!$U$12=1,1786+1=AH!$U$6),IF(AH!$U$4=0,"unavailable",INDEX('Market Data'!$AP$5:$AP$66,AH!$U$4)),IF(AH!$U$5=1,INDEX('Live History'!$H$5:$H$3004,MATCH($A1791,'Live History'!$G$5:$G$3004,1)),INDEX('AH History'!$B$5:$B$1380,$K1791))),NA()),NA())</f>
        <v/>
      </c>
      <c r="I1791" s="34">
        <f>IFERROR(IF(ISNUMBER($A1791),IF(AND(AH!$U$12=1,1786+1=AH!$U$6),TODAY(),IF(AH!$U$5=1,INDEX('Live History'!$G$5:$G$3004,MATCH($A1791,'Live History'!$G$5:$G$3004,1)),INDEX('AH History'!$C$5:$C$1380,$K1791))),NA()),NA())</f>
        <v/>
      </c>
      <c r="J1791" s="32">
        <f>IFERROR(IF(AND($F1791&gt;0,$H1791&gt;0,$A1791-$G1791&lt;=10,$A1791-$I1791&lt;=5,$G1791&gt;0,$I1791&gt;0),$F1791*$H1791,NA()),NA())</f>
        <v/>
      </c>
      <c r="K1791" s="15">
        <f>IF($A1791="","",IF(AH!$U$5=1,IFERROR(MATCH($A1791,'Live History'!$A$5:$A$3004,0),0),AH!$U$7+1786))</f>
        <v/>
      </c>
      <c r="L1791" s="15">
        <f>IF(ISNUMBER(A1791),TEXT(A1791,"dd-mmm-yy"),"")</f>
        <v/>
      </c>
    </row>
    <row r="1792">
      <c r="A1792" s="14">
        <f>IF(OR(AH!$U$4=0,1787+1&gt;AH!$U$6,AND(AH!$M$5="Bloomberg",AH!$U$5=0)),"",IFERROR(IF(AND(AH!$U$12=1,1787+1=AH!$U$6),TODAY(),IF(AH!$U$5=1,INDEX('Live History'!$A$5:$A$3004,AH!$U$7+1787),INDEX('AH History'!$A$5:$A$1380,AH!$U$7+1787))),""))</f>
        <v/>
      </c>
      <c r="B1792" s="33">
        <f>IFERROR(IF(AH!$U$11=1,NA(),$J1792/$E1792-1),NA())</f>
        <v/>
      </c>
      <c r="C1792" s="269">
        <f>IFERROR(100*$E1792/$E$5,NA())</f>
        <v/>
      </c>
      <c r="D1792" s="269">
        <f>IFERROR(100*$J1792/$J$5,NA())</f>
        <v/>
      </c>
      <c r="E1792" s="32">
        <f>IFERROR(IF(AND(ISNUMBER($A1792),N(IF(AND(AH!$U$12=1,1787+1=AH!$U$6),IF(AH!$U$4=0,"unavailable",INDEX('Market Data'!$AN$5:$AN$66,AH!$U$4)),IF(AH!$U$5=1,INDEX('Live History'!$B$5:$B$3004,$K1792),INDEX('AH History'!$D$5:$GG$1380,$K1792,AH!$U$10))))&gt;0),IF(AND(AH!$U$12=1,1787+1=AH!$U$6),IF(AH!$U$4=0,"unavailable",INDEX('Market Data'!$AN$5:$AN$66,AH!$U$4)),IF(AH!$U$5=1,INDEX('Live History'!$B$5:$B$3004,$K1792),INDEX('AH History'!$D$5:$GG$1380,$K1792,AH!$U$10))),NA()),NA())</f>
        <v/>
      </c>
      <c r="F1792" s="32">
        <f>IFERROR(IF(ISNUMBER($A1792),IF(AND(AH!$U$12=1,1787+1=AH!$U$6),IF(AH!$U$4=0,"unavailable",INDEX('Market Data'!$AO$5:$AO$66,AH!$U$4)),IF(AH!$U$5=1,INDEX('Live History'!$E$5:$E$3004,MATCH($A1792,'Live History'!$D$5:$D$3004,1)),INDEX('AH History'!$D$5:$GG$1380,$K1792,AH!$U$10+1))),NA()),NA())</f>
        <v/>
      </c>
      <c r="G1792" s="34">
        <f>IFERROR(IF(ISNUMBER($A1792),IF(AND(AH!$U$12=1,1787+1=AH!$U$6),IF(AH!$U$4=0,"unavailable",INDEX('Market Data'!$AK$5:$AK$66,AH!$U$4)),IF(AH!$U$5=1,INDEX('Live History'!$D$5:$D$3004,MATCH($A1792,'Live History'!$D$5:$D$3004,1)),INDEX('AH History'!$D$5:$GG$1380,$K1792,AH!$U$10+2))),NA()),NA())</f>
        <v/>
      </c>
      <c r="H1792" s="266">
        <f>IFERROR(IF(ISNUMBER($A1792),IF(AND(AH!$U$12=1,1787+1=AH!$U$6),IF(AH!$U$4=0,"unavailable",INDEX('Market Data'!$AP$5:$AP$66,AH!$U$4)),IF(AH!$U$5=1,INDEX('Live History'!$H$5:$H$3004,MATCH($A1792,'Live History'!$G$5:$G$3004,1)),INDEX('AH History'!$B$5:$B$1380,$K1792))),NA()),NA())</f>
        <v/>
      </c>
      <c r="I1792" s="34">
        <f>IFERROR(IF(ISNUMBER($A1792),IF(AND(AH!$U$12=1,1787+1=AH!$U$6),TODAY(),IF(AH!$U$5=1,INDEX('Live History'!$G$5:$G$3004,MATCH($A1792,'Live History'!$G$5:$G$3004,1)),INDEX('AH History'!$C$5:$C$1380,$K1792))),NA()),NA())</f>
        <v/>
      </c>
      <c r="J1792" s="32">
        <f>IFERROR(IF(AND($F1792&gt;0,$H1792&gt;0,$A1792-$G1792&lt;=10,$A1792-$I1792&lt;=5,$G1792&gt;0,$I1792&gt;0),$F1792*$H1792,NA()),NA())</f>
        <v/>
      </c>
      <c r="K1792" s="15">
        <f>IF($A1792="","",IF(AH!$U$5=1,IFERROR(MATCH($A1792,'Live History'!$A$5:$A$3004,0),0),AH!$U$7+1787))</f>
        <v/>
      </c>
      <c r="L1792" s="15">
        <f>IF(ISNUMBER(A1792),TEXT(A1792,"dd-mmm-yy"),"")</f>
        <v/>
      </c>
    </row>
    <row r="1793">
      <c r="A1793" s="14">
        <f>IF(OR(AH!$U$4=0,1788+1&gt;AH!$U$6,AND(AH!$M$5="Bloomberg",AH!$U$5=0)),"",IFERROR(IF(AND(AH!$U$12=1,1788+1=AH!$U$6),TODAY(),IF(AH!$U$5=1,INDEX('Live History'!$A$5:$A$3004,AH!$U$7+1788),INDEX('AH History'!$A$5:$A$1380,AH!$U$7+1788))),""))</f>
        <v/>
      </c>
      <c r="B1793" s="33">
        <f>IFERROR(IF(AH!$U$11=1,NA(),$J1793/$E1793-1),NA())</f>
        <v/>
      </c>
      <c r="C1793" s="269">
        <f>IFERROR(100*$E1793/$E$5,NA())</f>
        <v/>
      </c>
      <c r="D1793" s="269">
        <f>IFERROR(100*$J1793/$J$5,NA())</f>
        <v/>
      </c>
      <c r="E1793" s="32">
        <f>IFERROR(IF(AND(ISNUMBER($A1793),N(IF(AND(AH!$U$12=1,1788+1=AH!$U$6),IF(AH!$U$4=0,"unavailable",INDEX('Market Data'!$AN$5:$AN$66,AH!$U$4)),IF(AH!$U$5=1,INDEX('Live History'!$B$5:$B$3004,$K1793),INDEX('AH History'!$D$5:$GG$1380,$K1793,AH!$U$10))))&gt;0),IF(AND(AH!$U$12=1,1788+1=AH!$U$6),IF(AH!$U$4=0,"unavailable",INDEX('Market Data'!$AN$5:$AN$66,AH!$U$4)),IF(AH!$U$5=1,INDEX('Live History'!$B$5:$B$3004,$K1793),INDEX('AH History'!$D$5:$GG$1380,$K1793,AH!$U$10))),NA()),NA())</f>
        <v/>
      </c>
      <c r="F1793" s="32">
        <f>IFERROR(IF(ISNUMBER($A1793),IF(AND(AH!$U$12=1,1788+1=AH!$U$6),IF(AH!$U$4=0,"unavailable",INDEX('Market Data'!$AO$5:$AO$66,AH!$U$4)),IF(AH!$U$5=1,INDEX('Live History'!$E$5:$E$3004,MATCH($A1793,'Live History'!$D$5:$D$3004,1)),INDEX('AH History'!$D$5:$GG$1380,$K1793,AH!$U$10+1))),NA()),NA())</f>
        <v/>
      </c>
      <c r="G1793" s="34">
        <f>IFERROR(IF(ISNUMBER($A1793),IF(AND(AH!$U$12=1,1788+1=AH!$U$6),IF(AH!$U$4=0,"unavailable",INDEX('Market Data'!$AK$5:$AK$66,AH!$U$4)),IF(AH!$U$5=1,INDEX('Live History'!$D$5:$D$3004,MATCH($A1793,'Live History'!$D$5:$D$3004,1)),INDEX('AH History'!$D$5:$GG$1380,$K1793,AH!$U$10+2))),NA()),NA())</f>
        <v/>
      </c>
      <c r="H1793" s="266">
        <f>IFERROR(IF(ISNUMBER($A1793),IF(AND(AH!$U$12=1,1788+1=AH!$U$6),IF(AH!$U$4=0,"unavailable",INDEX('Market Data'!$AP$5:$AP$66,AH!$U$4)),IF(AH!$U$5=1,INDEX('Live History'!$H$5:$H$3004,MATCH($A1793,'Live History'!$G$5:$G$3004,1)),INDEX('AH History'!$B$5:$B$1380,$K1793))),NA()),NA())</f>
        <v/>
      </c>
      <c r="I1793" s="34">
        <f>IFERROR(IF(ISNUMBER($A1793),IF(AND(AH!$U$12=1,1788+1=AH!$U$6),TODAY(),IF(AH!$U$5=1,INDEX('Live History'!$G$5:$G$3004,MATCH($A1793,'Live History'!$G$5:$G$3004,1)),INDEX('AH History'!$C$5:$C$1380,$K1793))),NA()),NA())</f>
        <v/>
      </c>
      <c r="J1793" s="32">
        <f>IFERROR(IF(AND($F1793&gt;0,$H1793&gt;0,$A1793-$G1793&lt;=10,$A1793-$I1793&lt;=5,$G1793&gt;0,$I1793&gt;0),$F1793*$H1793,NA()),NA())</f>
        <v/>
      </c>
      <c r="K1793" s="15">
        <f>IF($A1793="","",IF(AH!$U$5=1,IFERROR(MATCH($A1793,'Live History'!$A$5:$A$3004,0),0),AH!$U$7+1788))</f>
        <v/>
      </c>
      <c r="L1793" s="15">
        <f>IF(ISNUMBER(A1793),TEXT(A1793,"dd-mmm-yy"),"")</f>
        <v/>
      </c>
    </row>
    <row r="1794">
      <c r="A1794" s="14">
        <f>IF(OR(AH!$U$4=0,1789+1&gt;AH!$U$6,AND(AH!$M$5="Bloomberg",AH!$U$5=0)),"",IFERROR(IF(AND(AH!$U$12=1,1789+1=AH!$U$6),TODAY(),IF(AH!$U$5=1,INDEX('Live History'!$A$5:$A$3004,AH!$U$7+1789),INDEX('AH History'!$A$5:$A$1380,AH!$U$7+1789))),""))</f>
        <v/>
      </c>
      <c r="B1794" s="33">
        <f>IFERROR(IF(AH!$U$11=1,NA(),$J1794/$E1794-1),NA())</f>
        <v/>
      </c>
      <c r="C1794" s="269">
        <f>IFERROR(100*$E1794/$E$5,NA())</f>
        <v/>
      </c>
      <c r="D1794" s="269">
        <f>IFERROR(100*$J1794/$J$5,NA())</f>
        <v/>
      </c>
      <c r="E1794" s="32">
        <f>IFERROR(IF(AND(ISNUMBER($A1794),N(IF(AND(AH!$U$12=1,1789+1=AH!$U$6),IF(AH!$U$4=0,"unavailable",INDEX('Market Data'!$AN$5:$AN$66,AH!$U$4)),IF(AH!$U$5=1,INDEX('Live History'!$B$5:$B$3004,$K1794),INDEX('AH History'!$D$5:$GG$1380,$K1794,AH!$U$10))))&gt;0),IF(AND(AH!$U$12=1,1789+1=AH!$U$6),IF(AH!$U$4=0,"unavailable",INDEX('Market Data'!$AN$5:$AN$66,AH!$U$4)),IF(AH!$U$5=1,INDEX('Live History'!$B$5:$B$3004,$K1794),INDEX('AH History'!$D$5:$GG$1380,$K1794,AH!$U$10))),NA()),NA())</f>
        <v/>
      </c>
      <c r="F1794" s="32">
        <f>IFERROR(IF(ISNUMBER($A1794),IF(AND(AH!$U$12=1,1789+1=AH!$U$6),IF(AH!$U$4=0,"unavailable",INDEX('Market Data'!$AO$5:$AO$66,AH!$U$4)),IF(AH!$U$5=1,INDEX('Live History'!$E$5:$E$3004,MATCH($A1794,'Live History'!$D$5:$D$3004,1)),INDEX('AH History'!$D$5:$GG$1380,$K1794,AH!$U$10+1))),NA()),NA())</f>
        <v/>
      </c>
      <c r="G1794" s="34">
        <f>IFERROR(IF(ISNUMBER($A1794),IF(AND(AH!$U$12=1,1789+1=AH!$U$6),IF(AH!$U$4=0,"unavailable",INDEX('Market Data'!$AK$5:$AK$66,AH!$U$4)),IF(AH!$U$5=1,INDEX('Live History'!$D$5:$D$3004,MATCH($A1794,'Live History'!$D$5:$D$3004,1)),INDEX('AH History'!$D$5:$GG$1380,$K1794,AH!$U$10+2))),NA()),NA())</f>
        <v/>
      </c>
      <c r="H1794" s="266">
        <f>IFERROR(IF(ISNUMBER($A1794),IF(AND(AH!$U$12=1,1789+1=AH!$U$6),IF(AH!$U$4=0,"unavailable",INDEX('Market Data'!$AP$5:$AP$66,AH!$U$4)),IF(AH!$U$5=1,INDEX('Live History'!$H$5:$H$3004,MATCH($A1794,'Live History'!$G$5:$G$3004,1)),INDEX('AH History'!$B$5:$B$1380,$K1794))),NA()),NA())</f>
        <v/>
      </c>
      <c r="I1794" s="34">
        <f>IFERROR(IF(ISNUMBER($A1794),IF(AND(AH!$U$12=1,1789+1=AH!$U$6),TODAY(),IF(AH!$U$5=1,INDEX('Live History'!$G$5:$G$3004,MATCH($A1794,'Live History'!$G$5:$G$3004,1)),INDEX('AH History'!$C$5:$C$1380,$K1794))),NA()),NA())</f>
        <v/>
      </c>
      <c r="J1794" s="32">
        <f>IFERROR(IF(AND($F1794&gt;0,$H1794&gt;0,$A1794-$G1794&lt;=10,$A1794-$I1794&lt;=5,$G1794&gt;0,$I1794&gt;0),$F1794*$H1794,NA()),NA())</f>
        <v/>
      </c>
      <c r="K1794" s="15">
        <f>IF($A1794="","",IF(AH!$U$5=1,IFERROR(MATCH($A1794,'Live History'!$A$5:$A$3004,0),0),AH!$U$7+1789))</f>
        <v/>
      </c>
      <c r="L1794" s="15">
        <f>IF(ISNUMBER(A1794),TEXT(A1794,"dd-mmm-yy"),"")</f>
        <v/>
      </c>
    </row>
    <row r="1795">
      <c r="A1795" s="14">
        <f>IF(OR(AH!$U$4=0,1790+1&gt;AH!$U$6,AND(AH!$M$5="Bloomberg",AH!$U$5=0)),"",IFERROR(IF(AND(AH!$U$12=1,1790+1=AH!$U$6),TODAY(),IF(AH!$U$5=1,INDEX('Live History'!$A$5:$A$3004,AH!$U$7+1790),INDEX('AH History'!$A$5:$A$1380,AH!$U$7+1790))),""))</f>
        <v/>
      </c>
      <c r="B1795" s="33">
        <f>IFERROR(IF(AH!$U$11=1,NA(),$J1795/$E1795-1),NA())</f>
        <v/>
      </c>
      <c r="C1795" s="269">
        <f>IFERROR(100*$E1795/$E$5,NA())</f>
        <v/>
      </c>
      <c r="D1795" s="269">
        <f>IFERROR(100*$J1795/$J$5,NA())</f>
        <v/>
      </c>
      <c r="E1795" s="32">
        <f>IFERROR(IF(AND(ISNUMBER($A1795),N(IF(AND(AH!$U$12=1,1790+1=AH!$U$6),IF(AH!$U$4=0,"unavailable",INDEX('Market Data'!$AN$5:$AN$66,AH!$U$4)),IF(AH!$U$5=1,INDEX('Live History'!$B$5:$B$3004,$K1795),INDEX('AH History'!$D$5:$GG$1380,$K1795,AH!$U$10))))&gt;0),IF(AND(AH!$U$12=1,1790+1=AH!$U$6),IF(AH!$U$4=0,"unavailable",INDEX('Market Data'!$AN$5:$AN$66,AH!$U$4)),IF(AH!$U$5=1,INDEX('Live History'!$B$5:$B$3004,$K1795),INDEX('AH History'!$D$5:$GG$1380,$K1795,AH!$U$10))),NA()),NA())</f>
        <v/>
      </c>
      <c r="F1795" s="32">
        <f>IFERROR(IF(ISNUMBER($A1795),IF(AND(AH!$U$12=1,1790+1=AH!$U$6),IF(AH!$U$4=0,"unavailable",INDEX('Market Data'!$AO$5:$AO$66,AH!$U$4)),IF(AH!$U$5=1,INDEX('Live History'!$E$5:$E$3004,MATCH($A1795,'Live History'!$D$5:$D$3004,1)),INDEX('AH History'!$D$5:$GG$1380,$K1795,AH!$U$10+1))),NA()),NA())</f>
        <v/>
      </c>
      <c r="G1795" s="34">
        <f>IFERROR(IF(ISNUMBER($A1795),IF(AND(AH!$U$12=1,1790+1=AH!$U$6),IF(AH!$U$4=0,"unavailable",INDEX('Market Data'!$AK$5:$AK$66,AH!$U$4)),IF(AH!$U$5=1,INDEX('Live History'!$D$5:$D$3004,MATCH($A1795,'Live History'!$D$5:$D$3004,1)),INDEX('AH History'!$D$5:$GG$1380,$K1795,AH!$U$10+2))),NA()),NA())</f>
        <v/>
      </c>
      <c r="H1795" s="266">
        <f>IFERROR(IF(ISNUMBER($A1795),IF(AND(AH!$U$12=1,1790+1=AH!$U$6),IF(AH!$U$4=0,"unavailable",INDEX('Market Data'!$AP$5:$AP$66,AH!$U$4)),IF(AH!$U$5=1,INDEX('Live History'!$H$5:$H$3004,MATCH($A1795,'Live History'!$G$5:$G$3004,1)),INDEX('AH History'!$B$5:$B$1380,$K1795))),NA()),NA())</f>
        <v/>
      </c>
      <c r="I1795" s="34">
        <f>IFERROR(IF(ISNUMBER($A1795),IF(AND(AH!$U$12=1,1790+1=AH!$U$6),TODAY(),IF(AH!$U$5=1,INDEX('Live History'!$G$5:$G$3004,MATCH($A1795,'Live History'!$G$5:$G$3004,1)),INDEX('AH History'!$C$5:$C$1380,$K1795))),NA()),NA())</f>
        <v/>
      </c>
      <c r="J1795" s="32">
        <f>IFERROR(IF(AND($F1795&gt;0,$H1795&gt;0,$A1795-$G1795&lt;=10,$A1795-$I1795&lt;=5,$G1795&gt;0,$I1795&gt;0),$F1795*$H1795,NA()),NA())</f>
        <v/>
      </c>
      <c r="K1795" s="15">
        <f>IF($A1795="","",IF(AH!$U$5=1,IFERROR(MATCH($A1795,'Live History'!$A$5:$A$3004,0),0),AH!$U$7+1790))</f>
        <v/>
      </c>
      <c r="L1795" s="15">
        <f>IF(ISNUMBER(A1795),TEXT(A1795,"dd-mmm-yy"),"")</f>
        <v/>
      </c>
    </row>
    <row r="1796">
      <c r="A1796" s="14">
        <f>IF(OR(AH!$U$4=0,1791+1&gt;AH!$U$6,AND(AH!$M$5="Bloomberg",AH!$U$5=0)),"",IFERROR(IF(AND(AH!$U$12=1,1791+1=AH!$U$6),TODAY(),IF(AH!$U$5=1,INDEX('Live History'!$A$5:$A$3004,AH!$U$7+1791),INDEX('AH History'!$A$5:$A$1380,AH!$U$7+1791))),""))</f>
        <v/>
      </c>
      <c r="B1796" s="33">
        <f>IFERROR(IF(AH!$U$11=1,NA(),$J1796/$E1796-1),NA())</f>
        <v/>
      </c>
      <c r="C1796" s="269">
        <f>IFERROR(100*$E1796/$E$5,NA())</f>
        <v/>
      </c>
      <c r="D1796" s="269">
        <f>IFERROR(100*$J1796/$J$5,NA())</f>
        <v/>
      </c>
      <c r="E1796" s="32">
        <f>IFERROR(IF(AND(ISNUMBER($A1796),N(IF(AND(AH!$U$12=1,1791+1=AH!$U$6),IF(AH!$U$4=0,"unavailable",INDEX('Market Data'!$AN$5:$AN$66,AH!$U$4)),IF(AH!$U$5=1,INDEX('Live History'!$B$5:$B$3004,$K1796),INDEX('AH History'!$D$5:$GG$1380,$K1796,AH!$U$10))))&gt;0),IF(AND(AH!$U$12=1,1791+1=AH!$U$6),IF(AH!$U$4=0,"unavailable",INDEX('Market Data'!$AN$5:$AN$66,AH!$U$4)),IF(AH!$U$5=1,INDEX('Live History'!$B$5:$B$3004,$K1796),INDEX('AH History'!$D$5:$GG$1380,$K1796,AH!$U$10))),NA()),NA())</f>
        <v/>
      </c>
      <c r="F1796" s="32">
        <f>IFERROR(IF(ISNUMBER($A1796),IF(AND(AH!$U$12=1,1791+1=AH!$U$6),IF(AH!$U$4=0,"unavailable",INDEX('Market Data'!$AO$5:$AO$66,AH!$U$4)),IF(AH!$U$5=1,INDEX('Live History'!$E$5:$E$3004,MATCH($A1796,'Live History'!$D$5:$D$3004,1)),INDEX('AH History'!$D$5:$GG$1380,$K1796,AH!$U$10+1))),NA()),NA())</f>
        <v/>
      </c>
      <c r="G1796" s="34">
        <f>IFERROR(IF(ISNUMBER($A1796),IF(AND(AH!$U$12=1,1791+1=AH!$U$6),IF(AH!$U$4=0,"unavailable",INDEX('Market Data'!$AK$5:$AK$66,AH!$U$4)),IF(AH!$U$5=1,INDEX('Live History'!$D$5:$D$3004,MATCH($A1796,'Live History'!$D$5:$D$3004,1)),INDEX('AH History'!$D$5:$GG$1380,$K1796,AH!$U$10+2))),NA()),NA())</f>
        <v/>
      </c>
      <c r="H1796" s="266">
        <f>IFERROR(IF(ISNUMBER($A1796),IF(AND(AH!$U$12=1,1791+1=AH!$U$6),IF(AH!$U$4=0,"unavailable",INDEX('Market Data'!$AP$5:$AP$66,AH!$U$4)),IF(AH!$U$5=1,INDEX('Live History'!$H$5:$H$3004,MATCH($A1796,'Live History'!$G$5:$G$3004,1)),INDEX('AH History'!$B$5:$B$1380,$K1796))),NA()),NA())</f>
        <v/>
      </c>
      <c r="I1796" s="34">
        <f>IFERROR(IF(ISNUMBER($A1796),IF(AND(AH!$U$12=1,1791+1=AH!$U$6),TODAY(),IF(AH!$U$5=1,INDEX('Live History'!$G$5:$G$3004,MATCH($A1796,'Live History'!$G$5:$G$3004,1)),INDEX('AH History'!$C$5:$C$1380,$K1796))),NA()),NA())</f>
        <v/>
      </c>
      <c r="J1796" s="32">
        <f>IFERROR(IF(AND($F1796&gt;0,$H1796&gt;0,$A1796-$G1796&lt;=10,$A1796-$I1796&lt;=5,$G1796&gt;0,$I1796&gt;0),$F1796*$H1796,NA()),NA())</f>
        <v/>
      </c>
      <c r="K1796" s="15">
        <f>IF($A1796="","",IF(AH!$U$5=1,IFERROR(MATCH($A1796,'Live History'!$A$5:$A$3004,0),0),AH!$U$7+1791))</f>
        <v/>
      </c>
      <c r="L1796" s="15">
        <f>IF(ISNUMBER(A1796),TEXT(A1796,"dd-mmm-yy"),"")</f>
        <v/>
      </c>
    </row>
    <row r="1797">
      <c r="A1797" s="14">
        <f>IF(OR(AH!$U$4=0,1792+1&gt;AH!$U$6,AND(AH!$M$5="Bloomberg",AH!$U$5=0)),"",IFERROR(IF(AND(AH!$U$12=1,1792+1=AH!$U$6),TODAY(),IF(AH!$U$5=1,INDEX('Live History'!$A$5:$A$3004,AH!$U$7+1792),INDEX('AH History'!$A$5:$A$1380,AH!$U$7+1792))),""))</f>
        <v/>
      </c>
      <c r="B1797" s="33">
        <f>IFERROR(IF(AH!$U$11=1,NA(),$J1797/$E1797-1),NA())</f>
        <v/>
      </c>
      <c r="C1797" s="269">
        <f>IFERROR(100*$E1797/$E$5,NA())</f>
        <v/>
      </c>
      <c r="D1797" s="269">
        <f>IFERROR(100*$J1797/$J$5,NA())</f>
        <v/>
      </c>
      <c r="E1797" s="32">
        <f>IFERROR(IF(AND(ISNUMBER($A1797),N(IF(AND(AH!$U$12=1,1792+1=AH!$U$6),IF(AH!$U$4=0,"unavailable",INDEX('Market Data'!$AN$5:$AN$66,AH!$U$4)),IF(AH!$U$5=1,INDEX('Live History'!$B$5:$B$3004,$K1797),INDEX('AH History'!$D$5:$GG$1380,$K1797,AH!$U$10))))&gt;0),IF(AND(AH!$U$12=1,1792+1=AH!$U$6),IF(AH!$U$4=0,"unavailable",INDEX('Market Data'!$AN$5:$AN$66,AH!$U$4)),IF(AH!$U$5=1,INDEX('Live History'!$B$5:$B$3004,$K1797),INDEX('AH History'!$D$5:$GG$1380,$K1797,AH!$U$10))),NA()),NA())</f>
        <v/>
      </c>
      <c r="F1797" s="32">
        <f>IFERROR(IF(ISNUMBER($A1797),IF(AND(AH!$U$12=1,1792+1=AH!$U$6),IF(AH!$U$4=0,"unavailable",INDEX('Market Data'!$AO$5:$AO$66,AH!$U$4)),IF(AH!$U$5=1,INDEX('Live History'!$E$5:$E$3004,MATCH($A1797,'Live History'!$D$5:$D$3004,1)),INDEX('AH History'!$D$5:$GG$1380,$K1797,AH!$U$10+1))),NA()),NA())</f>
        <v/>
      </c>
      <c r="G1797" s="34">
        <f>IFERROR(IF(ISNUMBER($A1797),IF(AND(AH!$U$12=1,1792+1=AH!$U$6),IF(AH!$U$4=0,"unavailable",INDEX('Market Data'!$AK$5:$AK$66,AH!$U$4)),IF(AH!$U$5=1,INDEX('Live History'!$D$5:$D$3004,MATCH($A1797,'Live History'!$D$5:$D$3004,1)),INDEX('AH History'!$D$5:$GG$1380,$K1797,AH!$U$10+2))),NA()),NA())</f>
        <v/>
      </c>
      <c r="H1797" s="266">
        <f>IFERROR(IF(ISNUMBER($A1797),IF(AND(AH!$U$12=1,1792+1=AH!$U$6),IF(AH!$U$4=0,"unavailable",INDEX('Market Data'!$AP$5:$AP$66,AH!$U$4)),IF(AH!$U$5=1,INDEX('Live History'!$H$5:$H$3004,MATCH($A1797,'Live History'!$G$5:$G$3004,1)),INDEX('AH History'!$B$5:$B$1380,$K1797))),NA()),NA())</f>
        <v/>
      </c>
      <c r="I1797" s="34">
        <f>IFERROR(IF(ISNUMBER($A1797),IF(AND(AH!$U$12=1,1792+1=AH!$U$6),TODAY(),IF(AH!$U$5=1,INDEX('Live History'!$G$5:$G$3004,MATCH($A1797,'Live History'!$G$5:$G$3004,1)),INDEX('AH History'!$C$5:$C$1380,$K1797))),NA()),NA())</f>
        <v/>
      </c>
      <c r="J1797" s="32">
        <f>IFERROR(IF(AND($F1797&gt;0,$H1797&gt;0,$A1797-$G1797&lt;=10,$A1797-$I1797&lt;=5,$G1797&gt;0,$I1797&gt;0),$F1797*$H1797,NA()),NA())</f>
        <v/>
      </c>
      <c r="K1797" s="15">
        <f>IF($A1797="","",IF(AH!$U$5=1,IFERROR(MATCH($A1797,'Live History'!$A$5:$A$3004,0),0),AH!$U$7+1792))</f>
        <v/>
      </c>
      <c r="L1797" s="15">
        <f>IF(ISNUMBER(A1797),TEXT(A1797,"dd-mmm-yy"),"")</f>
        <v/>
      </c>
    </row>
    <row r="1798">
      <c r="A1798" s="14">
        <f>IF(OR(AH!$U$4=0,1793+1&gt;AH!$U$6,AND(AH!$M$5="Bloomberg",AH!$U$5=0)),"",IFERROR(IF(AND(AH!$U$12=1,1793+1=AH!$U$6),TODAY(),IF(AH!$U$5=1,INDEX('Live History'!$A$5:$A$3004,AH!$U$7+1793),INDEX('AH History'!$A$5:$A$1380,AH!$U$7+1793))),""))</f>
        <v/>
      </c>
      <c r="B1798" s="33">
        <f>IFERROR(IF(AH!$U$11=1,NA(),$J1798/$E1798-1),NA())</f>
        <v/>
      </c>
      <c r="C1798" s="269">
        <f>IFERROR(100*$E1798/$E$5,NA())</f>
        <v/>
      </c>
      <c r="D1798" s="269">
        <f>IFERROR(100*$J1798/$J$5,NA())</f>
        <v/>
      </c>
      <c r="E1798" s="32">
        <f>IFERROR(IF(AND(ISNUMBER($A1798),N(IF(AND(AH!$U$12=1,1793+1=AH!$U$6),IF(AH!$U$4=0,"unavailable",INDEX('Market Data'!$AN$5:$AN$66,AH!$U$4)),IF(AH!$U$5=1,INDEX('Live History'!$B$5:$B$3004,$K1798),INDEX('AH History'!$D$5:$GG$1380,$K1798,AH!$U$10))))&gt;0),IF(AND(AH!$U$12=1,1793+1=AH!$U$6),IF(AH!$U$4=0,"unavailable",INDEX('Market Data'!$AN$5:$AN$66,AH!$U$4)),IF(AH!$U$5=1,INDEX('Live History'!$B$5:$B$3004,$K1798),INDEX('AH History'!$D$5:$GG$1380,$K1798,AH!$U$10))),NA()),NA())</f>
        <v/>
      </c>
      <c r="F1798" s="32">
        <f>IFERROR(IF(ISNUMBER($A1798),IF(AND(AH!$U$12=1,1793+1=AH!$U$6),IF(AH!$U$4=0,"unavailable",INDEX('Market Data'!$AO$5:$AO$66,AH!$U$4)),IF(AH!$U$5=1,INDEX('Live History'!$E$5:$E$3004,MATCH($A1798,'Live History'!$D$5:$D$3004,1)),INDEX('AH History'!$D$5:$GG$1380,$K1798,AH!$U$10+1))),NA()),NA())</f>
        <v/>
      </c>
      <c r="G1798" s="34">
        <f>IFERROR(IF(ISNUMBER($A1798),IF(AND(AH!$U$12=1,1793+1=AH!$U$6),IF(AH!$U$4=0,"unavailable",INDEX('Market Data'!$AK$5:$AK$66,AH!$U$4)),IF(AH!$U$5=1,INDEX('Live History'!$D$5:$D$3004,MATCH($A1798,'Live History'!$D$5:$D$3004,1)),INDEX('AH History'!$D$5:$GG$1380,$K1798,AH!$U$10+2))),NA()),NA())</f>
        <v/>
      </c>
      <c r="H1798" s="266">
        <f>IFERROR(IF(ISNUMBER($A1798),IF(AND(AH!$U$12=1,1793+1=AH!$U$6),IF(AH!$U$4=0,"unavailable",INDEX('Market Data'!$AP$5:$AP$66,AH!$U$4)),IF(AH!$U$5=1,INDEX('Live History'!$H$5:$H$3004,MATCH($A1798,'Live History'!$G$5:$G$3004,1)),INDEX('AH History'!$B$5:$B$1380,$K1798))),NA()),NA())</f>
        <v/>
      </c>
      <c r="I1798" s="34">
        <f>IFERROR(IF(ISNUMBER($A1798),IF(AND(AH!$U$12=1,1793+1=AH!$U$6),TODAY(),IF(AH!$U$5=1,INDEX('Live History'!$G$5:$G$3004,MATCH($A1798,'Live History'!$G$5:$G$3004,1)),INDEX('AH History'!$C$5:$C$1380,$K1798))),NA()),NA())</f>
        <v/>
      </c>
      <c r="J1798" s="32">
        <f>IFERROR(IF(AND($F1798&gt;0,$H1798&gt;0,$A1798-$G1798&lt;=10,$A1798-$I1798&lt;=5,$G1798&gt;0,$I1798&gt;0),$F1798*$H1798,NA()),NA())</f>
        <v/>
      </c>
      <c r="K1798" s="15">
        <f>IF($A1798="","",IF(AH!$U$5=1,IFERROR(MATCH($A1798,'Live History'!$A$5:$A$3004,0),0),AH!$U$7+1793))</f>
        <v/>
      </c>
      <c r="L1798" s="15">
        <f>IF(ISNUMBER(A1798),TEXT(A1798,"dd-mmm-yy"),"")</f>
        <v/>
      </c>
    </row>
    <row r="1799">
      <c r="A1799" s="14">
        <f>IF(OR(AH!$U$4=0,1794+1&gt;AH!$U$6,AND(AH!$M$5="Bloomberg",AH!$U$5=0)),"",IFERROR(IF(AND(AH!$U$12=1,1794+1=AH!$U$6),TODAY(),IF(AH!$U$5=1,INDEX('Live History'!$A$5:$A$3004,AH!$U$7+1794),INDEX('AH History'!$A$5:$A$1380,AH!$U$7+1794))),""))</f>
        <v/>
      </c>
      <c r="B1799" s="33">
        <f>IFERROR(IF(AH!$U$11=1,NA(),$J1799/$E1799-1),NA())</f>
        <v/>
      </c>
      <c r="C1799" s="269">
        <f>IFERROR(100*$E1799/$E$5,NA())</f>
        <v/>
      </c>
      <c r="D1799" s="269">
        <f>IFERROR(100*$J1799/$J$5,NA())</f>
        <v/>
      </c>
      <c r="E1799" s="32">
        <f>IFERROR(IF(AND(ISNUMBER($A1799),N(IF(AND(AH!$U$12=1,1794+1=AH!$U$6),IF(AH!$U$4=0,"unavailable",INDEX('Market Data'!$AN$5:$AN$66,AH!$U$4)),IF(AH!$U$5=1,INDEX('Live History'!$B$5:$B$3004,$K1799),INDEX('AH History'!$D$5:$GG$1380,$K1799,AH!$U$10))))&gt;0),IF(AND(AH!$U$12=1,1794+1=AH!$U$6),IF(AH!$U$4=0,"unavailable",INDEX('Market Data'!$AN$5:$AN$66,AH!$U$4)),IF(AH!$U$5=1,INDEX('Live History'!$B$5:$B$3004,$K1799),INDEX('AH History'!$D$5:$GG$1380,$K1799,AH!$U$10))),NA()),NA())</f>
        <v/>
      </c>
      <c r="F1799" s="32">
        <f>IFERROR(IF(ISNUMBER($A1799),IF(AND(AH!$U$12=1,1794+1=AH!$U$6),IF(AH!$U$4=0,"unavailable",INDEX('Market Data'!$AO$5:$AO$66,AH!$U$4)),IF(AH!$U$5=1,INDEX('Live History'!$E$5:$E$3004,MATCH($A1799,'Live History'!$D$5:$D$3004,1)),INDEX('AH History'!$D$5:$GG$1380,$K1799,AH!$U$10+1))),NA()),NA())</f>
        <v/>
      </c>
      <c r="G1799" s="34">
        <f>IFERROR(IF(ISNUMBER($A1799),IF(AND(AH!$U$12=1,1794+1=AH!$U$6),IF(AH!$U$4=0,"unavailable",INDEX('Market Data'!$AK$5:$AK$66,AH!$U$4)),IF(AH!$U$5=1,INDEX('Live History'!$D$5:$D$3004,MATCH($A1799,'Live History'!$D$5:$D$3004,1)),INDEX('AH History'!$D$5:$GG$1380,$K1799,AH!$U$10+2))),NA()),NA())</f>
        <v/>
      </c>
      <c r="H1799" s="266">
        <f>IFERROR(IF(ISNUMBER($A1799),IF(AND(AH!$U$12=1,1794+1=AH!$U$6),IF(AH!$U$4=0,"unavailable",INDEX('Market Data'!$AP$5:$AP$66,AH!$U$4)),IF(AH!$U$5=1,INDEX('Live History'!$H$5:$H$3004,MATCH($A1799,'Live History'!$G$5:$G$3004,1)),INDEX('AH History'!$B$5:$B$1380,$K1799))),NA()),NA())</f>
        <v/>
      </c>
      <c r="I1799" s="34">
        <f>IFERROR(IF(ISNUMBER($A1799),IF(AND(AH!$U$12=1,1794+1=AH!$U$6),TODAY(),IF(AH!$U$5=1,INDEX('Live History'!$G$5:$G$3004,MATCH($A1799,'Live History'!$G$5:$G$3004,1)),INDEX('AH History'!$C$5:$C$1380,$K1799))),NA()),NA())</f>
        <v/>
      </c>
      <c r="J1799" s="32">
        <f>IFERROR(IF(AND($F1799&gt;0,$H1799&gt;0,$A1799-$G1799&lt;=10,$A1799-$I1799&lt;=5,$G1799&gt;0,$I1799&gt;0),$F1799*$H1799,NA()),NA())</f>
        <v/>
      </c>
      <c r="K1799" s="15">
        <f>IF($A1799="","",IF(AH!$U$5=1,IFERROR(MATCH($A1799,'Live History'!$A$5:$A$3004,0),0),AH!$U$7+1794))</f>
        <v/>
      </c>
      <c r="L1799" s="15">
        <f>IF(ISNUMBER(A1799),TEXT(A1799,"dd-mmm-yy"),"")</f>
        <v/>
      </c>
    </row>
    <row r="1800">
      <c r="A1800" s="14">
        <f>IF(OR(AH!$U$4=0,1795+1&gt;AH!$U$6,AND(AH!$M$5="Bloomberg",AH!$U$5=0)),"",IFERROR(IF(AND(AH!$U$12=1,1795+1=AH!$U$6),TODAY(),IF(AH!$U$5=1,INDEX('Live History'!$A$5:$A$3004,AH!$U$7+1795),INDEX('AH History'!$A$5:$A$1380,AH!$U$7+1795))),""))</f>
        <v/>
      </c>
      <c r="B1800" s="33">
        <f>IFERROR(IF(AH!$U$11=1,NA(),$J1800/$E1800-1),NA())</f>
        <v/>
      </c>
      <c r="C1800" s="269">
        <f>IFERROR(100*$E1800/$E$5,NA())</f>
        <v/>
      </c>
      <c r="D1800" s="269">
        <f>IFERROR(100*$J1800/$J$5,NA())</f>
        <v/>
      </c>
      <c r="E1800" s="32">
        <f>IFERROR(IF(AND(ISNUMBER($A1800),N(IF(AND(AH!$U$12=1,1795+1=AH!$U$6),IF(AH!$U$4=0,"unavailable",INDEX('Market Data'!$AN$5:$AN$66,AH!$U$4)),IF(AH!$U$5=1,INDEX('Live History'!$B$5:$B$3004,$K1800),INDEX('AH History'!$D$5:$GG$1380,$K1800,AH!$U$10))))&gt;0),IF(AND(AH!$U$12=1,1795+1=AH!$U$6),IF(AH!$U$4=0,"unavailable",INDEX('Market Data'!$AN$5:$AN$66,AH!$U$4)),IF(AH!$U$5=1,INDEX('Live History'!$B$5:$B$3004,$K1800),INDEX('AH History'!$D$5:$GG$1380,$K1800,AH!$U$10))),NA()),NA())</f>
        <v/>
      </c>
      <c r="F1800" s="32">
        <f>IFERROR(IF(ISNUMBER($A1800),IF(AND(AH!$U$12=1,1795+1=AH!$U$6),IF(AH!$U$4=0,"unavailable",INDEX('Market Data'!$AO$5:$AO$66,AH!$U$4)),IF(AH!$U$5=1,INDEX('Live History'!$E$5:$E$3004,MATCH($A1800,'Live History'!$D$5:$D$3004,1)),INDEX('AH History'!$D$5:$GG$1380,$K1800,AH!$U$10+1))),NA()),NA())</f>
        <v/>
      </c>
      <c r="G1800" s="34">
        <f>IFERROR(IF(ISNUMBER($A1800),IF(AND(AH!$U$12=1,1795+1=AH!$U$6),IF(AH!$U$4=0,"unavailable",INDEX('Market Data'!$AK$5:$AK$66,AH!$U$4)),IF(AH!$U$5=1,INDEX('Live History'!$D$5:$D$3004,MATCH($A1800,'Live History'!$D$5:$D$3004,1)),INDEX('AH History'!$D$5:$GG$1380,$K1800,AH!$U$10+2))),NA()),NA())</f>
        <v/>
      </c>
      <c r="H1800" s="266">
        <f>IFERROR(IF(ISNUMBER($A1800),IF(AND(AH!$U$12=1,1795+1=AH!$U$6),IF(AH!$U$4=0,"unavailable",INDEX('Market Data'!$AP$5:$AP$66,AH!$U$4)),IF(AH!$U$5=1,INDEX('Live History'!$H$5:$H$3004,MATCH($A1800,'Live History'!$G$5:$G$3004,1)),INDEX('AH History'!$B$5:$B$1380,$K1800))),NA()),NA())</f>
        <v/>
      </c>
      <c r="I1800" s="34">
        <f>IFERROR(IF(ISNUMBER($A1800),IF(AND(AH!$U$12=1,1795+1=AH!$U$6),TODAY(),IF(AH!$U$5=1,INDEX('Live History'!$G$5:$G$3004,MATCH($A1800,'Live History'!$G$5:$G$3004,1)),INDEX('AH History'!$C$5:$C$1380,$K1800))),NA()),NA())</f>
        <v/>
      </c>
      <c r="J1800" s="32">
        <f>IFERROR(IF(AND($F1800&gt;0,$H1800&gt;0,$A1800-$G1800&lt;=10,$A1800-$I1800&lt;=5,$G1800&gt;0,$I1800&gt;0),$F1800*$H1800,NA()),NA())</f>
        <v/>
      </c>
      <c r="K1800" s="15">
        <f>IF($A1800="","",IF(AH!$U$5=1,IFERROR(MATCH($A1800,'Live History'!$A$5:$A$3004,0),0),AH!$U$7+1795))</f>
        <v/>
      </c>
      <c r="L1800" s="15">
        <f>IF(ISNUMBER(A1800),TEXT(A1800,"dd-mmm-yy"),"")</f>
        <v/>
      </c>
    </row>
    <row r="1801">
      <c r="A1801" s="14">
        <f>IF(OR(AH!$U$4=0,1796+1&gt;AH!$U$6,AND(AH!$M$5="Bloomberg",AH!$U$5=0)),"",IFERROR(IF(AND(AH!$U$12=1,1796+1=AH!$U$6),TODAY(),IF(AH!$U$5=1,INDEX('Live History'!$A$5:$A$3004,AH!$U$7+1796),INDEX('AH History'!$A$5:$A$1380,AH!$U$7+1796))),""))</f>
        <v/>
      </c>
      <c r="B1801" s="33">
        <f>IFERROR(IF(AH!$U$11=1,NA(),$J1801/$E1801-1),NA())</f>
        <v/>
      </c>
      <c r="C1801" s="269">
        <f>IFERROR(100*$E1801/$E$5,NA())</f>
        <v/>
      </c>
      <c r="D1801" s="269">
        <f>IFERROR(100*$J1801/$J$5,NA())</f>
        <v/>
      </c>
      <c r="E1801" s="32">
        <f>IFERROR(IF(AND(ISNUMBER($A1801),N(IF(AND(AH!$U$12=1,1796+1=AH!$U$6),IF(AH!$U$4=0,"unavailable",INDEX('Market Data'!$AN$5:$AN$66,AH!$U$4)),IF(AH!$U$5=1,INDEX('Live History'!$B$5:$B$3004,$K1801),INDEX('AH History'!$D$5:$GG$1380,$K1801,AH!$U$10))))&gt;0),IF(AND(AH!$U$12=1,1796+1=AH!$U$6),IF(AH!$U$4=0,"unavailable",INDEX('Market Data'!$AN$5:$AN$66,AH!$U$4)),IF(AH!$U$5=1,INDEX('Live History'!$B$5:$B$3004,$K1801),INDEX('AH History'!$D$5:$GG$1380,$K1801,AH!$U$10))),NA()),NA())</f>
        <v/>
      </c>
      <c r="F1801" s="32">
        <f>IFERROR(IF(ISNUMBER($A1801),IF(AND(AH!$U$12=1,1796+1=AH!$U$6),IF(AH!$U$4=0,"unavailable",INDEX('Market Data'!$AO$5:$AO$66,AH!$U$4)),IF(AH!$U$5=1,INDEX('Live History'!$E$5:$E$3004,MATCH($A1801,'Live History'!$D$5:$D$3004,1)),INDEX('AH History'!$D$5:$GG$1380,$K1801,AH!$U$10+1))),NA()),NA())</f>
        <v/>
      </c>
      <c r="G1801" s="34">
        <f>IFERROR(IF(ISNUMBER($A1801),IF(AND(AH!$U$12=1,1796+1=AH!$U$6),IF(AH!$U$4=0,"unavailable",INDEX('Market Data'!$AK$5:$AK$66,AH!$U$4)),IF(AH!$U$5=1,INDEX('Live History'!$D$5:$D$3004,MATCH($A1801,'Live History'!$D$5:$D$3004,1)),INDEX('AH History'!$D$5:$GG$1380,$K1801,AH!$U$10+2))),NA()),NA())</f>
        <v/>
      </c>
      <c r="H1801" s="266">
        <f>IFERROR(IF(ISNUMBER($A1801),IF(AND(AH!$U$12=1,1796+1=AH!$U$6),IF(AH!$U$4=0,"unavailable",INDEX('Market Data'!$AP$5:$AP$66,AH!$U$4)),IF(AH!$U$5=1,INDEX('Live History'!$H$5:$H$3004,MATCH($A1801,'Live History'!$G$5:$G$3004,1)),INDEX('AH History'!$B$5:$B$1380,$K1801))),NA()),NA())</f>
        <v/>
      </c>
      <c r="I1801" s="34">
        <f>IFERROR(IF(ISNUMBER($A1801),IF(AND(AH!$U$12=1,1796+1=AH!$U$6),TODAY(),IF(AH!$U$5=1,INDEX('Live History'!$G$5:$G$3004,MATCH($A1801,'Live History'!$G$5:$G$3004,1)),INDEX('AH History'!$C$5:$C$1380,$K1801))),NA()),NA())</f>
        <v/>
      </c>
      <c r="J1801" s="32">
        <f>IFERROR(IF(AND($F1801&gt;0,$H1801&gt;0,$A1801-$G1801&lt;=10,$A1801-$I1801&lt;=5,$G1801&gt;0,$I1801&gt;0),$F1801*$H1801,NA()),NA())</f>
        <v/>
      </c>
      <c r="K1801" s="15">
        <f>IF($A1801="","",IF(AH!$U$5=1,IFERROR(MATCH($A1801,'Live History'!$A$5:$A$3004,0),0),AH!$U$7+1796))</f>
        <v/>
      </c>
      <c r="L1801" s="15">
        <f>IF(ISNUMBER(A1801),TEXT(A1801,"dd-mmm-yy"),"")</f>
        <v/>
      </c>
    </row>
    <row r="1802">
      <c r="A1802" s="14">
        <f>IF(OR(AH!$U$4=0,1797+1&gt;AH!$U$6,AND(AH!$M$5="Bloomberg",AH!$U$5=0)),"",IFERROR(IF(AND(AH!$U$12=1,1797+1=AH!$U$6),TODAY(),IF(AH!$U$5=1,INDEX('Live History'!$A$5:$A$3004,AH!$U$7+1797),INDEX('AH History'!$A$5:$A$1380,AH!$U$7+1797))),""))</f>
        <v/>
      </c>
      <c r="B1802" s="33">
        <f>IFERROR(IF(AH!$U$11=1,NA(),$J1802/$E1802-1),NA())</f>
        <v/>
      </c>
      <c r="C1802" s="269">
        <f>IFERROR(100*$E1802/$E$5,NA())</f>
        <v/>
      </c>
      <c r="D1802" s="269">
        <f>IFERROR(100*$J1802/$J$5,NA())</f>
        <v/>
      </c>
      <c r="E1802" s="32">
        <f>IFERROR(IF(AND(ISNUMBER($A1802),N(IF(AND(AH!$U$12=1,1797+1=AH!$U$6),IF(AH!$U$4=0,"unavailable",INDEX('Market Data'!$AN$5:$AN$66,AH!$U$4)),IF(AH!$U$5=1,INDEX('Live History'!$B$5:$B$3004,$K1802),INDEX('AH History'!$D$5:$GG$1380,$K1802,AH!$U$10))))&gt;0),IF(AND(AH!$U$12=1,1797+1=AH!$U$6),IF(AH!$U$4=0,"unavailable",INDEX('Market Data'!$AN$5:$AN$66,AH!$U$4)),IF(AH!$U$5=1,INDEX('Live History'!$B$5:$B$3004,$K1802),INDEX('AH History'!$D$5:$GG$1380,$K1802,AH!$U$10))),NA()),NA())</f>
        <v/>
      </c>
      <c r="F1802" s="32">
        <f>IFERROR(IF(ISNUMBER($A1802),IF(AND(AH!$U$12=1,1797+1=AH!$U$6),IF(AH!$U$4=0,"unavailable",INDEX('Market Data'!$AO$5:$AO$66,AH!$U$4)),IF(AH!$U$5=1,INDEX('Live History'!$E$5:$E$3004,MATCH($A1802,'Live History'!$D$5:$D$3004,1)),INDEX('AH History'!$D$5:$GG$1380,$K1802,AH!$U$10+1))),NA()),NA())</f>
        <v/>
      </c>
      <c r="G1802" s="34">
        <f>IFERROR(IF(ISNUMBER($A1802),IF(AND(AH!$U$12=1,1797+1=AH!$U$6),IF(AH!$U$4=0,"unavailable",INDEX('Market Data'!$AK$5:$AK$66,AH!$U$4)),IF(AH!$U$5=1,INDEX('Live History'!$D$5:$D$3004,MATCH($A1802,'Live History'!$D$5:$D$3004,1)),INDEX('AH History'!$D$5:$GG$1380,$K1802,AH!$U$10+2))),NA()),NA())</f>
        <v/>
      </c>
      <c r="H1802" s="266">
        <f>IFERROR(IF(ISNUMBER($A1802),IF(AND(AH!$U$12=1,1797+1=AH!$U$6),IF(AH!$U$4=0,"unavailable",INDEX('Market Data'!$AP$5:$AP$66,AH!$U$4)),IF(AH!$U$5=1,INDEX('Live History'!$H$5:$H$3004,MATCH($A1802,'Live History'!$G$5:$G$3004,1)),INDEX('AH History'!$B$5:$B$1380,$K1802))),NA()),NA())</f>
        <v/>
      </c>
      <c r="I1802" s="34">
        <f>IFERROR(IF(ISNUMBER($A1802),IF(AND(AH!$U$12=1,1797+1=AH!$U$6),TODAY(),IF(AH!$U$5=1,INDEX('Live History'!$G$5:$G$3004,MATCH($A1802,'Live History'!$G$5:$G$3004,1)),INDEX('AH History'!$C$5:$C$1380,$K1802))),NA()),NA())</f>
        <v/>
      </c>
      <c r="J1802" s="32">
        <f>IFERROR(IF(AND($F1802&gt;0,$H1802&gt;0,$A1802-$G1802&lt;=10,$A1802-$I1802&lt;=5,$G1802&gt;0,$I1802&gt;0),$F1802*$H1802,NA()),NA())</f>
        <v/>
      </c>
      <c r="K1802" s="15">
        <f>IF($A1802="","",IF(AH!$U$5=1,IFERROR(MATCH($A1802,'Live History'!$A$5:$A$3004,0),0),AH!$U$7+1797))</f>
        <v/>
      </c>
      <c r="L1802" s="15">
        <f>IF(ISNUMBER(A1802),TEXT(A1802,"dd-mmm-yy"),"")</f>
        <v/>
      </c>
    </row>
    <row r="1803">
      <c r="A1803" s="14">
        <f>IF(OR(AH!$U$4=0,1798+1&gt;AH!$U$6,AND(AH!$M$5="Bloomberg",AH!$U$5=0)),"",IFERROR(IF(AND(AH!$U$12=1,1798+1=AH!$U$6),TODAY(),IF(AH!$U$5=1,INDEX('Live History'!$A$5:$A$3004,AH!$U$7+1798),INDEX('AH History'!$A$5:$A$1380,AH!$U$7+1798))),""))</f>
        <v/>
      </c>
      <c r="B1803" s="33">
        <f>IFERROR(IF(AH!$U$11=1,NA(),$J1803/$E1803-1),NA())</f>
        <v/>
      </c>
      <c r="C1803" s="269">
        <f>IFERROR(100*$E1803/$E$5,NA())</f>
        <v/>
      </c>
      <c r="D1803" s="269">
        <f>IFERROR(100*$J1803/$J$5,NA())</f>
        <v/>
      </c>
      <c r="E1803" s="32">
        <f>IFERROR(IF(AND(ISNUMBER($A1803),N(IF(AND(AH!$U$12=1,1798+1=AH!$U$6),IF(AH!$U$4=0,"unavailable",INDEX('Market Data'!$AN$5:$AN$66,AH!$U$4)),IF(AH!$U$5=1,INDEX('Live History'!$B$5:$B$3004,$K1803),INDEX('AH History'!$D$5:$GG$1380,$K1803,AH!$U$10))))&gt;0),IF(AND(AH!$U$12=1,1798+1=AH!$U$6),IF(AH!$U$4=0,"unavailable",INDEX('Market Data'!$AN$5:$AN$66,AH!$U$4)),IF(AH!$U$5=1,INDEX('Live History'!$B$5:$B$3004,$K1803),INDEX('AH History'!$D$5:$GG$1380,$K1803,AH!$U$10))),NA()),NA())</f>
        <v/>
      </c>
      <c r="F1803" s="32">
        <f>IFERROR(IF(ISNUMBER($A1803),IF(AND(AH!$U$12=1,1798+1=AH!$U$6),IF(AH!$U$4=0,"unavailable",INDEX('Market Data'!$AO$5:$AO$66,AH!$U$4)),IF(AH!$U$5=1,INDEX('Live History'!$E$5:$E$3004,MATCH($A1803,'Live History'!$D$5:$D$3004,1)),INDEX('AH History'!$D$5:$GG$1380,$K1803,AH!$U$10+1))),NA()),NA())</f>
        <v/>
      </c>
      <c r="G1803" s="34">
        <f>IFERROR(IF(ISNUMBER($A1803),IF(AND(AH!$U$12=1,1798+1=AH!$U$6),IF(AH!$U$4=0,"unavailable",INDEX('Market Data'!$AK$5:$AK$66,AH!$U$4)),IF(AH!$U$5=1,INDEX('Live History'!$D$5:$D$3004,MATCH($A1803,'Live History'!$D$5:$D$3004,1)),INDEX('AH History'!$D$5:$GG$1380,$K1803,AH!$U$10+2))),NA()),NA())</f>
        <v/>
      </c>
      <c r="H1803" s="266">
        <f>IFERROR(IF(ISNUMBER($A1803),IF(AND(AH!$U$12=1,1798+1=AH!$U$6),IF(AH!$U$4=0,"unavailable",INDEX('Market Data'!$AP$5:$AP$66,AH!$U$4)),IF(AH!$U$5=1,INDEX('Live History'!$H$5:$H$3004,MATCH($A1803,'Live History'!$G$5:$G$3004,1)),INDEX('AH History'!$B$5:$B$1380,$K1803))),NA()),NA())</f>
        <v/>
      </c>
      <c r="I1803" s="34">
        <f>IFERROR(IF(ISNUMBER($A1803),IF(AND(AH!$U$12=1,1798+1=AH!$U$6),TODAY(),IF(AH!$U$5=1,INDEX('Live History'!$G$5:$G$3004,MATCH($A1803,'Live History'!$G$5:$G$3004,1)),INDEX('AH History'!$C$5:$C$1380,$K1803))),NA()),NA())</f>
        <v/>
      </c>
      <c r="J1803" s="32">
        <f>IFERROR(IF(AND($F1803&gt;0,$H1803&gt;0,$A1803-$G1803&lt;=10,$A1803-$I1803&lt;=5,$G1803&gt;0,$I1803&gt;0),$F1803*$H1803,NA()),NA())</f>
        <v/>
      </c>
      <c r="K1803" s="15">
        <f>IF($A1803="","",IF(AH!$U$5=1,IFERROR(MATCH($A1803,'Live History'!$A$5:$A$3004,0),0),AH!$U$7+1798))</f>
        <v/>
      </c>
      <c r="L1803" s="15">
        <f>IF(ISNUMBER(A1803),TEXT(A1803,"dd-mmm-yy"),"")</f>
        <v/>
      </c>
    </row>
    <row r="1804">
      <c r="A1804" s="14">
        <f>IF(OR(AH!$U$4=0,1799+1&gt;AH!$U$6,AND(AH!$M$5="Bloomberg",AH!$U$5=0)),"",IFERROR(IF(AND(AH!$U$12=1,1799+1=AH!$U$6),TODAY(),IF(AH!$U$5=1,INDEX('Live History'!$A$5:$A$3004,AH!$U$7+1799),INDEX('AH History'!$A$5:$A$1380,AH!$U$7+1799))),""))</f>
        <v/>
      </c>
      <c r="B1804" s="33">
        <f>IFERROR(IF(AH!$U$11=1,NA(),$J1804/$E1804-1),NA())</f>
        <v/>
      </c>
      <c r="C1804" s="269">
        <f>IFERROR(100*$E1804/$E$5,NA())</f>
        <v/>
      </c>
      <c r="D1804" s="269">
        <f>IFERROR(100*$J1804/$J$5,NA())</f>
        <v/>
      </c>
      <c r="E1804" s="32">
        <f>IFERROR(IF(AND(ISNUMBER($A1804),N(IF(AND(AH!$U$12=1,1799+1=AH!$U$6),IF(AH!$U$4=0,"unavailable",INDEX('Market Data'!$AN$5:$AN$66,AH!$U$4)),IF(AH!$U$5=1,INDEX('Live History'!$B$5:$B$3004,$K1804),INDEX('AH History'!$D$5:$GG$1380,$K1804,AH!$U$10))))&gt;0),IF(AND(AH!$U$12=1,1799+1=AH!$U$6),IF(AH!$U$4=0,"unavailable",INDEX('Market Data'!$AN$5:$AN$66,AH!$U$4)),IF(AH!$U$5=1,INDEX('Live History'!$B$5:$B$3004,$K1804),INDEX('AH History'!$D$5:$GG$1380,$K1804,AH!$U$10))),NA()),NA())</f>
        <v/>
      </c>
      <c r="F1804" s="32">
        <f>IFERROR(IF(ISNUMBER($A1804),IF(AND(AH!$U$12=1,1799+1=AH!$U$6),IF(AH!$U$4=0,"unavailable",INDEX('Market Data'!$AO$5:$AO$66,AH!$U$4)),IF(AH!$U$5=1,INDEX('Live History'!$E$5:$E$3004,MATCH($A1804,'Live History'!$D$5:$D$3004,1)),INDEX('AH History'!$D$5:$GG$1380,$K1804,AH!$U$10+1))),NA()),NA())</f>
        <v/>
      </c>
      <c r="G1804" s="34">
        <f>IFERROR(IF(ISNUMBER($A1804),IF(AND(AH!$U$12=1,1799+1=AH!$U$6),IF(AH!$U$4=0,"unavailable",INDEX('Market Data'!$AK$5:$AK$66,AH!$U$4)),IF(AH!$U$5=1,INDEX('Live History'!$D$5:$D$3004,MATCH($A1804,'Live History'!$D$5:$D$3004,1)),INDEX('AH History'!$D$5:$GG$1380,$K1804,AH!$U$10+2))),NA()),NA())</f>
        <v/>
      </c>
      <c r="H1804" s="266">
        <f>IFERROR(IF(ISNUMBER($A1804),IF(AND(AH!$U$12=1,1799+1=AH!$U$6),IF(AH!$U$4=0,"unavailable",INDEX('Market Data'!$AP$5:$AP$66,AH!$U$4)),IF(AH!$U$5=1,INDEX('Live History'!$H$5:$H$3004,MATCH($A1804,'Live History'!$G$5:$G$3004,1)),INDEX('AH History'!$B$5:$B$1380,$K1804))),NA()),NA())</f>
        <v/>
      </c>
      <c r="I1804" s="34">
        <f>IFERROR(IF(ISNUMBER($A1804),IF(AND(AH!$U$12=1,1799+1=AH!$U$6),TODAY(),IF(AH!$U$5=1,INDEX('Live History'!$G$5:$G$3004,MATCH($A1804,'Live History'!$G$5:$G$3004,1)),INDEX('AH History'!$C$5:$C$1380,$K1804))),NA()),NA())</f>
        <v/>
      </c>
      <c r="J1804" s="32">
        <f>IFERROR(IF(AND($F1804&gt;0,$H1804&gt;0,$A1804-$G1804&lt;=10,$A1804-$I1804&lt;=5,$G1804&gt;0,$I1804&gt;0),$F1804*$H1804,NA()),NA())</f>
        <v/>
      </c>
      <c r="K1804" s="15">
        <f>IF($A1804="","",IF(AH!$U$5=1,IFERROR(MATCH($A1804,'Live History'!$A$5:$A$3004,0),0),AH!$U$7+1799))</f>
        <v/>
      </c>
      <c r="L1804" s="15">
        <f>IF(ISNUMBER(A1804),TEXT(A1804,"dd-mmm-yy"),"")</f>
        <v/>
      </c>
    </row>
    <row r="1805">
      <c r="A1805" s="14">
        <f>IF(OR(AH!$U$4=0,1800+1&gt;AH!$U$6,AND(AH!$M$5="Bloomberg",AH!$U$5=0)),"",IFERROR(IF(AND(AH!$U$12=1,1800+1=AH!$U$6),TODAY(),IF(AH!$U$5=1,INDEX('Live History'!$A$5:$A$3004,AH!$U$7+1800),INDEX('AH History'!$A$5:$A$1380,AH!$U$7+1800))),""))</f>
        <v/>
      </c>
      <c r="B1805" s="33">
        <f>IFERROR(IF(AH!$U$11=1,NA(),$J1805/$E1805-1),NA())</f>
        <v/>
      </c>
      <c r="C1805" s="269">
        <f>IFERROR(100*$E1805/$E$5,NA())</f>
        <v/>
      </c>
      <c r="D1805" s="269">
        <f>IFERROR(100*$J1805/$J$5,NA())</f>
        <v/>
      </c>
      <c r="E1805" s="32">
        <f>IFERROR(IF(AND(ISNUMBER($A1805),N(IF(AND(AH!$U$12=1,1800+1=AH!$U$6),IF(AH!$U$4=0,"unavailable",INDEX('Market Data'!$AN$5:$AN$66,AH!$U$4)),IF(AH!$U$5=1,INDEX('Live History'!$B$5:$B$3004,$K1805),INDEX('AH History'!$D$5:$GG$1380,$K1805,AH!$U$10))))&gt;0),IF(AND(AH!$U$12=1,1800+1=AH!$U$6),IF(AH!$U$4=0,"unavailable",INDEX('Market Data'!$AN$5:$AN$66,AH!$U$4)),IF(AH!$U$5=1,INDEX('Live History'!$B$5:$B$3004,$K1805),INDEX('AH History'!$D$5:$GG$1380,$K1805,AH!$U$10))),NA()),NA())</f>
        <v/>
      </c>
      <c r="F1805" s="32">
        <f>IFERROR(IF(ISNUMBER($A1805),IF(AND(AH!$U$12=1,1800+1=AH!$U$6),IF(AH!$U$4=0,"unavailable",INDEX('Market Data'!$AO$5:$AO$66,AH!$U$4)),IF(AH!$U$5=1,INDEX('Live History'!$E$5:$E$3004,MATCH($A1805,'Live History'!$D$5:$D$3004,1)),INDEX('AH History'!$D$5:$GG$1380,$K1805,AH!$U$10+1))),NA()),NA())</f>
        <v/>
      </c>
      <c r="G1805" s="34">
        <f>IFERROR(IF(ISNUMBER($A1805),IF(AND(AH!$U$12=1,1800+1=AH!$U$6),IF(AH!$U$4=0,"unavailable",INDEX('Market Data'!$AK$5:$AK$66,AH!$U$4)),IF(AH!$U$5=1,INDEX('Live History'!$D$5:$D$3004,MATCH($A1805,'Live History'!$D$5:$D$3004,1)),INDEX('AH History'!$D$5:$GG$1380,$K1805,AH!$U$10+2))),NA()),NA())</f>
        <v/>
      </c>
      <c r="H1805" s="266">
        <f>IFERROR(IF(ISNUMBER($A1805),IF(AND(AH!$U$12=1,1800+1=AH!$U$6),IF(AH!$U$4=0,"unavailable",INDEX('Market Data'!$AP$5:$AP$66,AH!$U$4)),IF(AH!$U$5=1,INDEX('Live History'!$H$5:$H$3004,MATCH($A1805,'Live History'!$G$5:$G$3004,1)),INDEX('AH History'!$B$5:$B$1380,$K1805))),NA()),NA())</f>
        <v/>
      </c>
      <c r="I1805" s="34">
        <f>IFERROR(IF(ISNUMBER($A1805),IF(AND(AH!$U$12=1,1800+1=AH!$U$6),TODAY(),IF(AH!$U$5=1,INDEX('Live History'!$G$5:$G$3004,MATCH($A1805,'Live History'!$G$5:$G$3004,1)),INDEX('AH History'!$C$5:$C$1380,$K1805))),NA()),NA())</f>
        <v/>
      </c>
      <c r="J1805" s="32">
        <f>IFERROR(IF(AND($F1805&gt;0,$H1805&gt;0,$A1805-$G1805&lt;=10,$A1805-$I1805&lt;=5,$G1805&gt;0,$I1805&gt;0),$F1805*$H1805,NA()),NA())</f>
        <v/>
      </c>
      <c r="K1805" s="15">
        <f>IF($A1805="","",IF(AH!$U$5=1,IFERROR(MATCH($A1805,'Live History'!$A$5:$A$3004,0),0),AH!$U$7+1800))</f>
        <v/>
      </c>
      <c r="L1805" s="15">
        <f>IF(ISNUMBER(A1805),TEXT(A1805,"dd-mmm-yy"),"")</f>
        <v/>
      </c>
    </row>
    <row r="1806">
      <c r="A1806" s="14">
        <f>IF(OR(AH!$U$4=0,1801+1&gt;AH!$U$6,AND(AH!$M$5="Bloomberg",AH!$U$5=0)),"",IFERROR(IF(AND(AH!$U$12=1,1801+1=AH!$U$6),TODAY(),IF(AH!$U$5=1,INDEX('Live History'!$A$5:$A$3004,AH!$U$7+1801),INDEX('AH History'!$A$5:$A$1380,AH!$U$7+1801))),""))</f>
        <v/>
      </c>
      <c r="B1806" s="33">
        <f>IFERROR(IF(AH!$U$11=1,NA(),$J1806/$E1806-1),NA())</f>
        <v/>
      </c>
      <c r="C1806" s="269">
        <f>IFERROR(100*$E1806/$E$5,NA())</f>
        <v/>
      </c>
      <c r="D1806" s="269">
        <f>IFERROR(100*$J1806/$J$5,NA())</f>
        <v/>
      </c>
      <c r="E1806" s="32">
        <f>IFERROR(IF(AND(ISNUMBER($A1806),N(IF(AND(AH!$U$12=1,1801+1=AH!$U$6),IF(AH!$U$4=0,"unavailable",INDEX('Market Data'!$AN$5:$AN$66,AH!$U$4)),IF(AH!$U$5=1,INDEX('Live History'!$B$5:$B$3004,$K1806),INDEX('AH History'!$D$5:$GG$1380,$K1806,AH!$U$10))))&gt;0),IF(AND(AH!$U$12=1,1801+1=AH!$U$6),IF(AH!$U$4=0,"unavailable",INDEX('Market Data'!$AN$5:$AN$66,AH!$U$4)),IF(AH!$U$5=1,INDEX('Live History'!$B$5:$B$3004,$K1806),INDEX('AH History'!$D$5:$GG$1380,$K1806,AH!$U$10))),NA()),NA())</f>
        <v/>
      </c>
      <c r="F1806" s="32">
        <f>IFERROR(IF(ISNUMBER($A1806),IF(AND(AH!$U$12=1,1801+1=AH!$U$6),IF(AH!$U$4=0,"unavailable",INDEX('Market Data'!$AO$5:$AO$66,AH!$U$4)),IF(AH!$U$5=1,INDEX('Live History'!$E$5:$E$3004,MATCH($A1806,'Live History'!$D$5:$D$3004,1)),INDEX('AH History'!$D$5:$GG$1380,$K1806,AH!$U$10+1))),NA()),NA())</f>
        <v/>
      </c>
      <c r="G1806" s="34">
        <f>IFERROR(IF(ISNUMBER($A1806),IF(AND(AH!$U$12=1,1801+1=AH!$U$6),IF(AH!$U$4=0,"unavailable",INDEX('Market Data'!$AK$5:$AK$66,AH!$U$4)),IF(AH!$U$5=1,INDEX('Live History'!$D$5:$D$3004,MATCH($A1806,'Live History'!$D$5:$D$3004,1)),INDEX('AH History'!$D$5:$GG$1380,$K1806,AH!$U$10+2))),NA()),NA())</f>
        <v/>
      </c>
      <c r="H1806" s="266">
        <f>IFERROR(IF(ISNUMBER($A1806),IF(AND(AH!$U$12=1,1801+1=AH!$U$6),IF(AH!$U$4=0,"unavailable",INDEX('Market Data'!$AP$5:$AP$66,AH!$U$4)),IF(AH!$U$5=1,INDEX('Live History'!$H$5:$H$3004,MATCH($A1806,'Live History'!$G$5:$G$3004,1)),INDEX('AH History'!$B$5:$B$1380,$K1806))),NA()),NA())</f>
        <v/>
      </c>
      <c r="I1806" s="34">
        <f>IFERROR(IF(ISNUMBER($A1806),IF(AND(AH!$U$12=1,1801+1=AH!$U$6),TODAY(),IF(AH!$U$5=1,INDEX('Live History'!$G$5:$G$3004,MATCH($A1806,'Live History'!$G$5:$G$3004,1)),INDEX('AH History'!$C$5:$C$1380,$K1806))),NA()),NA())</f>
        <v/>
      </c>
      <c r="J1806" s="32">
        <f>IFERROR(IF(AND($F1806&gt;0,$H1806&gt;0,$A1806-$G1806&lt;=10,$A1806-$I1806&lt;=5,$G1806&gt;0,$I1806&gt;0),$F1806*$H1806,NA()),NA())</f>
        <v/>
      </c>
      <c r="K1806" s="15">
        <f>IF($A1806="","",IF(AH!$U$5=1,IFERROR(MATCH($A1806,'Live History'!$A$5:$A$3004,0),0),AH!$U$7+1801))</f>
        <v/>
      </c>
      <c r="L1806" s="15">
        <f>IF(ISNUMBER(A1806),TEXT(A1806,"dd-mmm-yy"),"")</f>
        <v/>
      </c>
    </row>
    <row r="1807">
      <c r="A1807" s="14">
        <f>IF(OR(AH!$U$4=0,1802+1&gt;AH!$U$6,AND(AH!$M$5="Bloomberg",AH!$U$5=0)),"",IFERROR(IF(AND(AH!$U$12=1,1802+1=AH!$U$6),TODAY(),IF(AH!$U$5=1,INDEX('Live History'!$A$5:$A$3004,AH!$U$7+1802),INDEX('AH History'!$A$5:$A$1380,AH!$U$7+1802))),""))</f>
        <v/>
      </c>
      <c r="B1807" s="33">
        <f>IFERROR(IF(AH!$U$11=1,NA(),$J1807/$E1807-1),NA())</f>
        <v/>
      </c>
      <c r="C1807" s="269">
        <f>IFERROR(100*$E1807/$E$5,NA())</f>
        <v/>
      </c>
      <c r="D1807" s="269">
        <f>IFERROR(100*$J1807/$J$5,NA())</f>
        <v/>
      </c>
      <c r="E1807" s="32">
        <f>IFERROR(IF(AND(ISNUMBER($A1807),N(IF(AND(AH!$U$12=1,1802+1=AH!$U$6),IF(AH!$U$4=0,"unavailable",INDEX('Market Data'!$AN$5:$AN$66,AH!$U$4)),IF(AH!$U$5=1,INDEX('Live History'!$B$5:$B$3004,$K1807),INDEX('AH History'!$D$5:$GG$1380,$K1807,AH!$U$10))))&gt;0),IF(AND(AH!$U$12=1,1802+1=AH!$U$6),IF(AH!$U$4=0,"unavailable",INDEX('Market Data'!$AN$5:$AN$66,AH!$U$4)),IF(AH!$U$5=1,INDEX('Live History'!$B$5:$B$3004,$K1807),INDEX('AH History'!$D$5:$GG$1380,$K1807,AH!$U$10))),NA()),NA())</f>
        <v/>
      </c>
      <c r="F1807" s="32">
        <f>IFERROR(IF(ISNUMBER($A1807),IF(AND(AH!$U$12=1,1802+1=AH!$U$6),IF(AH!$U$4=0,"unavailable",INDEX('Market Data'!$AO$5:$AO$66,AH!$U$4)),IF(AH!$U$5=1,INDEX('Live History'!$E$5:$E$3004,MATCH($A1807,'Live History'!$D$5:$D$3004,1)),INDEX('AH History'!$D$5:$GG$1380,$K1807,AH!$U$10+1))),NA()),NA())</f>
        <v/>
      </c>
      <c r="G1807" s="34">
        <f>IFERROR(IF(ISNUMBER($A1807),IF(AND(AH!$U$12=1,1802+1=AH!$U$6),IF(AH!$U$4=0,"unavailable",INDEX('Market Data'!$AK$5:$AK$66,AH!$U$4)),IF(AH!$U$5=1,INDEX('Live History'!$D$5:$D$3004,MATCH($A1807,'Live History'!$D$5:$D$3004,1)),INDEX('AH History'!$D$5:$GG$1380,$K1807,AH!$U$10+2))),NA()),NA())</f>
        <v/>
      </c>
      <c r="H1807" s="266">
        <f>IFERROR(IF(ISNUMBER($A1807),IF(AND(AH!$U$12=1,1802+1=AH!$U$6),IF(AH!$U$4=0,"unavailable",INDEX('Market Data'!$AP$5:$AP$66,AH!$U$4)),IF(AH!$U$5=1,INDEX('Live History'!$H$5:$H$3004,MATCH($A1807,'Live History'!$G$5:$G$3004,1)),INDEX('AH History'!$B$5:$B$1380,$K1807))),NA()),NA())</f>
        <v/>
      </c>
      <c r="I1807" s="34">
        <f>IFERROR(IF(ISNUMBER($A1807),IF(AND(AH!$U$12=1,1802+1=AH!$U$6),TODAY(),IF(AH!$U$5=1,INDEX('Live History'!$G$5:$G$3004,MATCH($A1807,'Live History'!$G$5:$G$3004,1)),INDEX('AH History'!$C$5:$C$1380,$K1807))),NA()),NA())</f>
        <v/>
      </c>
      <c r="J1807" s="32">
        <f>IFERROR(IF(AND($F1807&gt;0,$H1807&gt;0,$A1807-$G1807&lt;=10,$A1807-$I1807&lt;=5,$G1807&gt;0,$I1807&gt;0),$F1807*$H1807,NA()),NA())</f>
        <v/>
      </c>
      <c r="K1807" s="15">
        <f>IF($A1807="","",IF(AH!$U$5=1,IFERROR(MATCH($A1807,'Live History'!$A$5:$A$3004,0),0),AH!$U$7+1802))</f>
        <v/>
      </c>
      <c r="L1807" s="15">
        <f>IF(ISNUMBER(A1807),TEXT(A1807,"dd-mmm-yy"),"")</f>
        <v/>
      </c>
    </row>
    <row r="1808">
      <c r="A1808" s="14">
        <f>IF(OR(AH!$U$4=0,1803+1&gt;AH!$U$6,AND(AH!$M$5="Bloomberg",AH!$U$5=0)),"",IFERROR(IF(AND(AH!$U$12=1,1803+1=AH!$U$6),TODAY(),IF(AH!$U$5=1,INDEX('Live History'!$A$5:$A$3004,AH!$U$7+1803),INDEX('AH History'!$A$5:$A$1380,AH!$U$7+1803))),""))</f>
        <v/>
      </c>
      <c r="B1808" s="33">
        <f>IFERROR(IF(AH!$U$11=1,NA(),$J1808/$E1808-1),NA())</f>
        <v/>
      </c>
      <c r="C1808" s="269">
        <f>IFERROR(100*$E1808/$E$5,NA())</f>
        <v/>
      </c>
      <c r="D1808" s="269">
        <f>IFERROR(100*$J1808/$J$5,NA())</f>
        <v/>
      </c>
      <c r="E1808" s="32">
        <f>IFERROR(IF(AND(ISNUMBER($A1808),N(IF(AND(AH!$U$12=1,1803+1=AH!$U$6),IF(AH!$U$4=0,"unavailable",INDEX('Market Data'!$AN$5:$AN$66,AH!$U$4)),IF(AH!$U$5=1,INDEX('Live History'!$B$5:$B$3004,$K1808),INDEX('AH History'!$D$5:$GG$1380,$K1808,AH!$U$10))))&gt;0),IF(AND(AH!$U$12=1,1803+1=AH!$U$6),IF(AH!$U$4=0,"unavailable",INDEX('Market Data'!$AN$5:$AN$66,AH!$U$4)),IF(AH!$U$5=1,INDEX('Live History'!$B$5:$B$3004,$K1808),INDEX('AH History'!$D$5:$GG$1380,$K1808,AH!$U$10))),NA()),NA())</f>
        <v/>
      </c>
      <c r="F1808" s="32">
        <f>IFERROR(IF(ISNUMBER($A1808),IF(AND(AH!$U$12=1,1803+1=AH!$U$6),IF(AH!$U$4=0,"unavailable",INDEX('Market Data'!$AO$5:$AO$66,AH!$U$4)),IF(AH!$U$5=1,INDEX('Live History'!$E$5:$E$3004,MATCH($A1808,'Live History'!$D$5:$D$3004,1)),INDEX('AH History'!$D$5:$GG$1380,$K1808,AH!$U$10+1))),NA()),NA())</f>
        <v/>
      </c>
      <c r="G1808" s="34">
        <f>IFERROR(IF(ISNUMBER($A1808),IF(AND(AH!$U$12=1,1803+1=AH!$U$6),IF(AH!$U$4=0,"unavailable",INDEX('Market Data'!$AK$5:$AK$66,AH!$U$4)),IF(AH!$U$5=1,INDEX('Live History'!$D$5:$D$3004,MATCH($A1808,'Live History'!$D$5:$D$3004,1)),INDEX('AH History'!$D$5:$GG$1380,$K1808,AH!$U$10+2))),NA()),NA())</f>
        <v/>
      </c>
      <c r="H1808" s="266">
        <f>IFERROR(IF(ISNUMBER($A1808),IF(AND(AH!$U$12=1,1803+1=AH!$U$6),IF(AH!$U$4=0,"unavailable",INDEX('Market Data'!$AP$5:$AP$66,AH!$U$4)),IF(AH!$U$5=1,INDEX('Live History'!$H$5:$H$3004,MATCH($A1808,'Live History'!$G$5:$G$3004,1)),INDEX('AH History'!$B$5:$B$1380,$K1808))),NA()),NA())</f>
        <v/>
      </c>
      <c r="I1808" s="34">
        <f>IFERROR(IF(ISNUMBER($A1808),IF(AND(AH!$U$12=1,1803+1=AH!$U$6),TODAY(),IF(AH!$U$5=1,INDEX('Live History'!$G$5:$G$3004,MATCH($A1808,'Live History'!$G$5:$G$3004,1)),INDEX('AH History'!$C$5:$C$1380,$K1808))),NA()),NA())</f>
        <v/>
      </c>
      <c r="J1808" s="32">
        <f>IFERROR(IF(AND($F1808&gt;0,$H1808&gt;0,$A1808-$G1808&lt;=10,$A1808-$I1808&lt;=5,$G1808&gt;0,$I1808&gt;0),$F1808*$H1808,NA()),NA())</f>
        <v/>
      </c>
      <c r="K1808" s="15">
        <f>IF($A1808="","",IF(AH!$U$5=1,IFERROR(MATCH($A1808,'Live History'!$A$5:$A$3004,0),0),AH!$U$7+1803))</f>
        <v/>
      </c>
      <c r="L1808" s="15">
        <f>IF(ISNUMBER(A1808),TEXT(A1808,"dd-mmm-yy"),"")</f>
        <v/>
      </c>
    </row>
    <row r="1809">
      <c r="A1809" s="14">
        <f>IF(OR(AH!$U$4=0,1804+1&gt;AH!$U$6,AND(AH!$M$5="Bloomberg",AH!$U$5=0)),"",IFERROR(IF(AND(AH!$U$12=1,1804+1=AH!$U$6),TODAY(),IF(AH!$U$5=1,INDEX('Live History'!$A$5:$A$3004,AH!$U$7+1804),INDEX('AH History'!$A$5:$A$1380,AH!$U$7+1804))),""))</f>
        <v/>
      </c>
      <c r="B1809" s="33">
        <f>IFERROR(IF(AH!$U$11=1,NA(),$J1809/$E1809-1),NA())</f>
        <v/>
      </c>
      <c r="C1809" s="269">
        <f>IFERROR(100*$E1809/$E$5,NA())</f>
        <v/>
      </c>
      <c r="D1809" s="269">
        <f>IFERROR(100*$J1809/$J$5,NA())</f>
        <v/>
      </c>
      <c r="E1809" s="32">
        <f>IFERROR(IF(AND(ISNUMBER($A1809),N(IF(AND(AH!$U$12=1,1804+1=AH!$U$6),IF(AH!$U$4=0,"unavailable",INDEX('Market Data'!$AN$5:$AN$66,AH!$U$4)),IF(AH!$U$5=1,INDEX('Live History'!$B$5:$B$3004,$K1809),INDEX('AH History'!$D$5:$GG$1380,$K1809,AH!$U$10))))&gt;0),IF(AND(AH!$U$12=1,1804+1=AH!$U$6),IF(AH!$U$4=0,"unavailable",INDEX('Market Data'!$AN$5:$AN$66,AH!$U$4)),IF(AH!$U$5=1,INDEX('Live History'!$B$5:$B$3004,$K1809),INDEX('AH History'!$D$5:$GG$1380,$K1809,AH!$U$10))),NA()),NA())</f>
        <v/>
      </c>
      <c r="F1809" s="32">
        <f>IFERROR(IF(ISNUMBER($A1809),IF(AND(AH!$U$12=1,1804+1=AH!$U$6),IF(AH!$U$4=0,"unavailable",INDEX('Market Data'!$AO$5:$AO$66,AH!$U$4)),IF(AH!$U$5=1,INDEX('Live History'!$E$5:$E$3004,MATCH($A1809,'Live History'!$D$5:$D$3004,1)),INDEX('AH History'!$D$5:$GG$1380,$K1809,AH!$U$10+1))),NA()),NA())</f>
        <v/>
      </c>
      <c r="G1809" s="34">
        <f>IFERROR(IF(ISNUMBER($A1809),IF(AND(AH!$U$12=1,1804+1=AH!$U$6),IF(AH!$U$4=0,"unavailable",INDEX('Market Data'!$AK$5:$AK$66,AH!$U$4)),IF(AH!$U$5=1,INDEX('Live History'!$D$5:$D$3004,MATCH($A1809,'Live History'!$D$5:$D$3004,1)),INDEX('AH History'!$D$5:$GG$1380,$K1809,AH!$U$10+2))),NA()),NA())</f>
        <v/>
      </c>
      <c r="H1809" s="266">
        <f>IFERROR(IF(ISNUMBER($A1809),IF(AND(AH!$U$12=1,1804+1=AH!$U$6),IF(AH!$U$4=0,"unavailable",INDEX('Market Data'!$AP$5:$AP$66,AH!$U$4)),IF(AH!$U$5=1,INDEX('Live History'!$H$5:$H$3004,MATCH($A1809,'Live History'!$G$5:$G$3004,1)),INDEX('AH History'!$B$5:$B$1380,$K1809))),NA()),NA())</f>
        <v/>
      </c>
      <c r="I1809" s="34">
        <f>IFERROR(IF(ISNUMBER($A1809),IF(AND(AH!$U$12=1,1804+1=AH!$U$6),TODAY(),IF(AH!$U$5=1,INDEX('Live History'!$G$5:$G$3004,MATCH($A1809,'Live History'!$G$5:$G$3004,1)),INDEX('AH History'!$C$5:$C$1380,$K1809))),NA()),NA())</f>
        <v/>
      </c>
      <c r="J1809" s="32">
        <f>IFERROR(IF(AND($F1809&gt;0,$H1809&gt;0,$A1809-$G1809&lt;=10,$A1809-$I1809&lt;=5,$G1809&gt;0,$I1809&gt;0),$F1809*$H1809,NA()),NA())</f>
        <v/>
      </c>
      <c r="K1809" s="15">
        <f>IF($A1809="","",IF(AH!$U$5=1,IFERROR(MATCH($A1809,'Live History'!$A$5:$A$3004,0),0),AH!$U$7+1804))</f>
        <v/>
      </c>
      <c r="L1809" s="15">
        <f>IF(ISNUMBER(A1809),TEXT(A1809,"dd-mmm-yy"),"")</f>
        <v/>
      </c>
    </row>
    <row r="1810">
      <c r="A1810" s="14">
        <f>IF(OR(AH!$U$4=0,1805+1&gt;AH!$U$6,AND(AH!$M$5="Bloomberg",AH!$U$5=0)),"",IFERROR(IF(AND(AH!$U$12=1,1805+1=AH!$U$6),TODAY(),IF(AH!$U$5=1,INDEX('Live History'!$A$5:$A$3004,AH!$U$7+1805),INDEX('AH History'!$A$5:$A$1380,AH!$U$7+1805))),""))</f>
        <v/>
      </c>
      <c r="B1810" s="33">
        <f>IFERROR(IF(AH!$U$11=1,NA(),$J1810/$E1810-1),NA())</f>
        <v/>
      </c>
      <c r="C1810" s="269">
        <f>IFERROR(100*$E1810/$E$5,NA())</f>
        <v/>
      </c>
      <c r="D1810" s="269">
        <f>IFERROR(100*$J1810/$J$5,NA())</f>
        <v/>
      </c>
      <c r="E1810" s="32">
        <f>IFERROR(IF(AND(ISNUMBER($A1810),N(IF(AND(AH!$U$12=1,1805+1=AH!$U$6),IF(AH!$U$4=0,"unavailable",INDEX('Market Data'!$AN$5:$AN$66,AH!$U$4)),IF(AH!$U$5=1,INDEX('Live History'!$B$5:$B$3004,$K1810),INDEX('AH History'!$D$5:$GG$1380,$K1810,AH!$U$10))))&gt;0),IF(AND(AH!$U$12=1,1805+1=AH!$U$6),IF(AH!$U$4=0,"unavailable",INDEX('Market Data'!$AN$5:$AN$66,AH!$U$4)),IF(AH!$U$5=1,INDEX('Live History'!$B$5:$B$3004,$K1810),INDEX('AH History'!$D$5:$GG$1380,$K1810,AH!$U$10))),NA()),NA())</f>
        <v/>
      </c>
      <c r="F1810" s="32">
        <f>IFERROR(IF(ISNUMBER($A1810),IF(AND(AH!$U$12=1,1805+1=AH!$U$6),IF(AH!$U$4=0,"unavailable",INDEX('Market Data'!$AO$5:$AO$66,AH!$U$4)),IF(AH!$U$5=1,INDEX('Live History'!$E$5:$E$3004,MATCH($A1810,'Live History'!$D$5:$D$3004,1)),INDEX('AH History'!$D$5:$GG$1380,$K1810,AH!$U$10+1))),NA()),NA())</f>
        <v/>
      </c>
      <c r="G1810" s="34">
        <f>IFERROR(IF(ISNUMBER($A1810),IF(AND(AH!$U$12=1,1805+1=AH!$U$6),IF(AH!$U$4=0,"unavailable",INDEX('Market Data'!$AK$5:$AK$66,AH!$U$4)),IF(AH!$U$5=1,INDEX('Live History'!$D$5:$D$3004,MATCH($A1810,'Live History'!$D$5:$D$3004,1)),INDEX('AH History'!$D$5:$GG$1380,$K1810,AH!$U$10+2))),NA()),NA())</f>
        <v/>
      </c>
      <c r="H1810" s="266">
        <f>IFERROR(IF(ISNUMBER($A1810),IF(AND(AH!$U$12=1,1805+1=AH!$U$6),IF(AH!$U$4=0,"unavailable",INDEX('Market Data'!$AP$5:$AP$66,AH!$U$4)),IF(AH!$U$5=1,INDEX('Live History'!$H$5:$H$3004,MATCH($A1810,'Live History'!$G$5:$G$3004,1)),INDEX('AH History'!$B$5:$B$1380,$K1810))),NA()),NA())</f>
        <v/>
      </c>
      <c r="I1810" s="34">
        <f>IFERROR(IF(ISNUMBER($A1810),IF(AND(AH!$U$12=1,1805+1=AH!$U$6),TODAY(),IF(AH!$U$5=1,INDEX('Live History'!$G$5:$G$3004,MATCH($A1810,'Live History'!$G$5:$G$3004,1)),INDEX('AH History'!$C$5:$C$1380,$K1810))),NA()),NA())</f>
        <v/>
      </c>
      <c r="J1810" s="32">
        <f>IFERROR(IF(AND($F1810&gt;0,$H1810&gt;0,$A1810-$G1810&lt;=10,$A1810-$I1810&lt;=5,$G1810&gt;0,$I1810&gt;0),$F1810*$H1810,NA()),NA())</f>
        <v/>
      </c>
      <c r="K1810" s="15">
        <f>IF($A1810="","",IF(AH!$U$5=1,IFERROR(MATCH($A1810,'Live History'!$A$5:$A$3004,0),0),AH!$U$7+1805))</f>
        <v/>
      </c>
      <c r="L1810" s="15">
        <f>IF(ISNUMBER(A1810),TEXT(A1810,"dd-mmm-yy"),"")</f>
        <v/>
      </c>
    </row>
    <row r="1811">
      <c r="A1811" s="14">
        <f>IF(OR(AH!$U$4=0,1806+1&gt;AH!$U$6,AND(AH!$M$5="Bloomberg",AH!$U$5=0)),"",IFERROR(IF(AND(AH!$U$12=1,1806+1=AH!$U$6),TODAY(),IF(AH!$U$5=1,INDEX('Live History'!$A$5:$A$3004,AH!$U$7+1806),INDEX('AH History'!$A$5:$A$1380,AH!$U$7+1806))),""))</f>
        <v/>
      </c>
      <c r="B1811" s="33">
        <f>IFERROR(IF(AH!$U$11=1,NA(),$J1811/$E1811-1),NA())</f>
        <v/>
      </c>
      <c r="C1811" s="269">
        <f>IFERROR(100*$E1811/$E$5,NA())</f>
        <v/>
      </c>
      <c r="D1811" s="269">
        <f>IFERROR(100*$J1811/$J$5,NA())</f>
        <v/>
      </c>
      <c r="E1811" s="32">
        <f>IFERROR(IF(AND(ISNUMBER($A1811),N(IF(AND(AH!$U$12=1,1806+1=AH!$U$6),IF(AH!$U$4=0,"unavailable",INDEX('Market Data'!$AN$5:$AN$66,AH!$U$4)),IF(AH!$U$5=1,INDEX('Live History'!$B$5:$B$3004,$K1811),INDEX('AH History'!$D$5:$GG$1380,$K1811,AH!$U$10))))&gt;0),IF(AND(AH!$U$12=1,1806+1=AH!$U$6),IF(AH!$U$4=0,"unavailable",INDEX('Market Data'!$AN$5:$AN$66,AH!$U$4)),IF(AH!$U$5=1,INDEX('Live History'!$B$5:$B$3004,$K1811),INDEX('AH History'!$D$5:$GG$1380,$K1811,AH!$U$10))),NA()),NA())</f>
        <v/>
      </c>
      <c r="F1811" s="32">
        <f>IFERROR(IF(ISNUMBER($A1811),IF(AND(AH!$U$12=1,1806+1=AH!$U$6),IF(AH!$U$4=0,"unavailable",INDEX('Market Data'!$AO$5:$AO$66,AH!$U$4)),IF(AH!$U$5=1,INDEX('Live History'!$E$5:$E$3004,MATCH($A1811,'Live History'!$D$5:$D$3004,1)),INDEX('AH History'!$D$5:$GG$1380,$K1811,AH!$U$10+1))),NA()),NA())</f>
        <v/>
      </c>
      <c r="G1811" s="34">
        <f>IFERROR(IF(ISNUMBER($A1811),IF(AND(AH!$U$12=1,1806+1=AH!$U$6),IF(AH!$U$4=0,"unavailable",INDEX('Market Data'!$AK$5:$AK$66,AH!$U$4)),IF(AH!$U$5=1,INDEX('Live History'!$D$5:$D$3004,MATCH($A1811,'Live History'!$D$5:$D$3004,1)),INDEX('AH History'!$D$5:$GG$1380,$K1811,AH!$U$10+2))),NA()),NA())</f>
        <v/>
      </c>
      <c r="H1811" s="266">
        <f>IFERROR(IF(ISNUMBER($A1811),IF(AND(AH!$U$12=1,1806+1=AH!$U$6),IF(AH!$U$4=0,"unavailable",INDEX('Market Data'!$AP$5:$AP$66,AH!$U$4)),IF(AH!$U$5=1,INDEX('Live History'!$H$5:$H$3004,MATCH($A1811,'Live History'!$G$5:$G$3004,1)),INDEX('AH History'!$B$5:$B$1380,$K1811))),NA()),NA())</f>
        <v/>
      </c>
      <c r="I1811" s="34">
        <f>IFERROR(IF(ISNUMBER($A1811),IF(AND(AH!$U$12=1,1806+1=AH!$U$6),TODAY(),IF(AH!$U$5=1,INDEX('Live History'!$G$5:$G$3004,MATCH($A1811,'Live History'!$G$5:$G$3004,1)),INDEX('AH History'!$C$5:$C$1380,$K1811))),NA()),NA())</f>
        <v/>
      </c>
      <c r="J1811" s="32">
        <f>IFERROR(IF(AND($F1811&gt;0,$H1811&gt;0,$A1811-$G1811&lt;=10,$A1811-$I1811&lt;=5,$G1811&gt;0,$I1811&gt;0),$F1811*$H1811,NA()),NA())</f>
        <v/>
      </c>
      <c r="K1811" s="15">
        <f>IF($A1811="","",IF(AH!$U$5=1,IFERROR(MATCH($A1811,'Live History'!$A$5:$A$3004,0),0),AH!$U$7+1806))</f>
        <v/>
      </c>
      <c r="L1811" s="15">
        <f>IF(ISNUMBER(A1811),TEXT(A1811,"dd-mmm-yy"),"")</f>
        <v/>
      </c>
    </row>
    <row r="1812">
      <c r="A1812" s="14">
        <f>IF(OR(AH!$U$4=0,1807+1&gt;AH!$U$6,AND(AH!$M$5="Bloomberg",AH!$U$5=0)),"",IFERROR(IF(AND(AH!$U$12=1,1807+1=AH!$U$6),TODAY(),IF(AH!$U$5=1,INDEX('Live History'!$A$5:$A$3004,AH!$U$7+1807),INDEX('AH History'!$A$5:$A$1380,AH!$U$7+1807))),""))</f>
        <v/>
      </c>
      <c r="B1812" s="33">
        <f>IFERROR(IF(AH!$U$11=1,NA(),$J1812/$E1812-1),NA())</f>
        <v/>
      </c>
      <c r="C1812" s="269">
        <f>IFERROR(100*$E1812/$E$5,NA())</f>
        <v/>
      </c>
      <c r="D1812" s="269">
        <f>IFERROR(100*$J1812/$J$5,NA())</f>
        <v/>
      </c>
      <c r="E1812" s="32">
        <f>IFERROR(IF(AND(ISNUMBER($A1812),N(IF(AND(AH!$U$12=1,1807+1=AH!$U$6),IF(AH!$U$4=0,"unavailable",INDEX('Market Data'!$AN$5:$AN$66,AH!$U$4)),IF(AH!$U$5=1,INDEX('Live History'!$B$5:$B$3004,$K1812),INDEX('AH History'!$D$5:$GG$1380,$K1812,AH!$U$10))))&gt;0),IF(AND(AH!$U$12=1,1807+1=AH!$U$6),IF(AH!$U$4=0,"unavailable",INDEX('Market Data'!$AN$5:$AN$66,AH!$U$4)),IF(AH!$U$5=1,INDEX('Live History'!$B$5:$B$3004,$K1812),INDEX('AH History'!$D$5:$GG$1380,$K1812,AH!$U$10))),NA()),NA())</f>
        <v/>
      </c>
      <c r="F1812" s="32">
        <f>IFERROR(IF(ISNUMBER($A1812),IF(AND(AH!$U$12=1,1807+1=AH!$U$6),IF(AH!$U$4=0,"unavailable",INDEX('Market Data'!$AO$5:$AO$66,AH!$U$4)),IF(AH!$U$5=1,INDEX('Live History'!$E$5:$E$3004,MATCH($A1812,'Live History'!$D$5:$D$3004,1)),INDEX('AH History'!$D$5:$GG$1380,$K1812,AH!$U$10+1))),NA()),NA())</f>
        <v/>
      </c>
      <c r="G1812" s="34">
        <f>IFERROR(IF(ISNUMBER($A1812),IF(AND(AH!$U$12=1,1807+1=AH!$U$6),IF(AH!$U$4=0,"unavailable",INDEX('Market Data'!$AK$5:$AK$66,AH!$U$4)),IF(AH!$U$5=1,INDEX('Live History'!$D$5:$D$3004,MATCH($A1812,'Live History'!$D$5:$D$3004,1)),INDEX('AH History'!$D$5:$GG$1380,$K1812,AH!$U$10+2))),NA()),NA())</f>
        <v/>
      </c>
      <c r="H1812" s="266">
        <f>IFERROR(IF(ISNUMBER($A1812),IF(AND(AH!$U$12=1,1807+1=AH!$U$6),IF(AH!$U$4=0,"unavailable",INDEX('Market Data'!$AP$5:$AP$66,AH!$U$4)),IF(AH!$U$5=1,INDEX('Live History'!$H$5:$H$3004,MATCH($A1812,'Live History'!$G$5:$G$3004,1)),INDEX('AH History'!$B$5:$B$1380,$K1812))),NA()),NA())</f>
        <v/>
      </c>
      <c r="I1812" s="34">
        <f>IFERROR(IF(ISNUMBER($A1812),IF(AND(AH!$U$12=1,1807+1=AH!$U$6),TODAY(),IF(AH!$U$5=1,INDEX('Live History'!$G$5:$G$3004,MATCH($A1812,'Live History'!$G$5:$G$3004,1)),INDEX('AH History'!$C$5:$C$1380,$K1812))),NA()),NA())</f>
        <v/>
      </c>
      <c r="J1812" s="32">
        <f>IFERROR(IF(AND($F1812&gt;0,$H1812&gt;0,$A1812-$G1812&lt;=10,$A1812-$I1812&lt;=5,$G1812&gt;0,$I1812&gt;0),$F1812*$H1812,NA()),NA())</f>
        <v/>
      </c>
      <c r="K1812" s="15">
        <f>IF($A1812="","",IF(AH!$U$5=1,IFERROR(MATCH($A1812,'Live History'!$A$5:$A$3004,0),0),AH!$U$7+1807))</f>
        <v/>
      </c>
      <c r="L1812" s="15">
        <f>IF(ISNUMBER(A1812),TEXT(A1812,"dd-mmm-yy"),"")</f>
        <v/>
      </c>
    </row>
    <row r="1813">
      <c r="A1813" s="14">
        <f>IF(OR(AH!$U$4=0,1808+1&gt;AH!$U$6,AND(AH!$M$5="Bloomberg",AH!$U$5=0)),"",IFERROR(IF(AND(AH!$U$12=1,1808+1=AH!$U$6),TODAY(),IF(AH!$U$5=1,INDEX('Live History'!$A$5:$A$3004,AH!$U$7+1808),INDEX('AH History'!$A$5:$A$1380,AH!$U$7+1808))),""))</f>
        <v/>
      </c>
      <c r="B1813" s="33">
        <f>IFERROR(IF(AH!$U$11=1,NA(),$J1813/$E1813-1),NA())</f>
        <v/>
      </c>
      <c r="C1813" s="269">
        <f>IFERROR(100*$E1813/$E$5,NA())</f>
        <v/>
      </c>
      <c r="D1813" s="269">
        <f>IFERROR(100*$J1813/$J$5,NA())</f>
        <v/>
      </c>
      <c r="E1813" s="32">
        <f>IFERROR(IF(AND(ISNUMBER($A1813),N(IF(AND(AH!$U$12=1,1808+1=AH!$U$6),IF(AH!$U$4=0,"unavailable",INDEX('Market Data'!$AN$5:$AN$66,AH!$U$4)),IF(AH!$U$5=1,INDEX('Live History'!$B$5:$B$3004,$K1813),INDEX('AH History'!$D$5:$GG$1380,$K1813,AH!$U$10))))&gt;0),IF(AND(AH!$U$12=1,1808+1=AH!$U$6),IF(AH!$U$4=0,"unavailable",INDEX('Market Data'!$AN$5:$AN$66,AH!$U$4)),IF(AH!$U$5=1,INDEX('Live History'!$B$5:$B$3004,$K1813),INDEX('AH History'!$D$5:$GG$1380,$K1813,AH!$U$10))),NA()),NA())</f>
        <v/>
      </c>
      <c r="F1813" s="32">
        <f>IFERROR(IF(ISNUMBER($A1813),IF(AND(AH!$U$12=1,1808+1=AH!$U$6),IF(AH!$U$4=0,"unavailable",INDEX('Market Data'!$AO$5:$AO$66,AH!$U$4)),IF(AH!$U$5=1,INDEX('Live History'!$E$5:$E$3004,MATCH($A1813,'Live History'!$D$5:$D$3004,1)),INDEX('AH History'!$D$5:$GG$1380,$K1813,AH!$U$10+1))),NA()),NA())</f>
        <v/>
      </c>
      <c r="G1813" s="34">
        <f>IFERROR(IF(ISNUMBER($A1813),IF(AND(AH!$U$12=1,1808+1=AH!$U$6),IF(AH!$U$4=0,"unavailable",INDEX('Market Data'!$AK$5:$AK$66,AH!$U$4)),IF(AH!$U$5=1,INDEX('Live History'!$D$5:$D$3004,MATCH($A1813,'Live History'!$D$5:$D$3004,1)),INDEX('AH History'!$D$5:$GG$1380,$K1813,AH!$U$10+2))),NA()),NA())</f>
        <v/>
      </c>
      <c r="H1813" s="266">
        <f>IFERROR(IF(ISNUMBER($A1813),IF(AND(AH!$U$12=1,1808+1=AH!$U$6),IF(AH!$U$4=0,"unavailable",INDEX('Market Data'!$AP$5:$AP$66,AH!$U$4)),IF(AH!$U$5=1,INDEX('Live History'!$H$5:$H$3004,MATCH($A1813,'Live History'!$G$5:$G$3004,1)),INDEX('AH History'!$B$5:$B$1380,$K1813))),NA()),NA())</f>
        <v/>
      </c>
      <c r="I1813" s="34">
        <f>IFERROR(IF(ISNUMBER($A1813),IF(AND(AH!$U$12=1,1808+1=AH!$U$6),TODAY(),IF(AH!$U$5=1,INDEX('Live History'!$G$5:$G$3004,MATCH($A1813,'Live History'!$G$5:$G$3004,1)),INDEX('AH History'!$C$5:$C$1380,$K1813))),NA()),NA())</f>
        <v/>
      </c>
      <c r="J1813" s="32">
        <f>IFERROR(IF(AND($F1813&gt;0,$H1813&gt;0,$A1813-$G1813&lt;=10,$A1813-$I1813&lt;=5,$G1813&gt;0,$I1813&gt;0),$F1813*$H1813,NA()),NA())</f>
        <v/>
      </c>
      <c r="K1813" s="15">
        <f>IF($A1813="","",IF(AH!$U$5=1,IFERROR(MATCH($A1813,'Live History'!$A$5:$A$3004,0),0),AH!$U$7+1808))</f>
        <v/>
      </c>
      <c r="L1813" s="15">
        <f>IF(ISNUMBER(A1813),TEXT(A1813,"dd-mmm-yy"),"")</f>
        <v/>
      </c>
    </row>
    <row r="1814">
      <c r="A1814" s="14">
        <f>IF(OR(AH!$U$4=0,1809+1&gt;AH!$U$6,AND(AH!$M$5="Bloomberg",AH!$U$5=0)),"",IFERROR(IF(AND(AH!$U$12=1,1809+1=AH!$U$6),TODAY(),IF(AH!$U$5=1,INDEX('Live History'!$A$5:$A$3004,AH!$U$7+1809),INDEX('AH History'!$A$5:$A$1380,AH!$U$7+1809))),""))</f>
        <v/>
      </c>
      <c r="B1814" s="33">
        <f>IFERROR(IF(AH!$U$11=1,NA(),$J1814/$E1814-1),NA())</f>
        <v/>
      </c>
      <c r="C1814" s="269">
        <f>IFERROR(100*$E1814/$E$5,NA())</f>
        <v/>
      </c>
      <c r="D1814" s="269">
        <f>IFERROR(100*$J1814/$J$5,NA())</f>
        <v/>
      </c>
      <c r="E1814" s="32">
        <f>IFERROR(IF(AND(ISNUMBER($A1814),N(IF(AND(AH!$U$12=1,1809+1=AH!$U$6),IF(AH!$U$4=0,"unavailable",INDEX('Market Data'!$AN$5:$AN$66,AH!$U$4)),IF(AH!$U$5=1,INDEX('Live History'!$B$5:$B$3004,$K1814),INDEX('AH History'!$D$5:$GG$1380,$K1814,AH!$U$10))))&gt;0),IF(AND(AH!$U$12=1,1809+1=AH!$U$6),IF(AH!$U$4=0,"unavailable",INDEX('Market Data'!$AN$5:$AN$66,AH!$U$4)),IF(AH!$U$5=1,INDEX('Live History'!$B$5:$B$3004,$K1814),INDEX('AH History'!$D$5:$GG$1380,$K1814,AH!$U$10))),NA()),NA())</f>
        <v/>
      </c>
      <c r="F1814" s="32">
        <f>IFERROR(IF(ISNUMBER($A1814),IF(AND(AH!$U$12=1,1809+1=AH!$U$6),IF(AH!$U$4=0,"unavailable",INDEX('Market Data'!$AO$5:$AO$66,AH!$U$4)),IF(AH!$U$5=1,INDEX('Live History'!$E$5:$E$3004,MATCH($A1814,'Live History'!$D$5:$D$3004,1)),INDEX('AH History'!$D$5:$GG$1380,$K1814,AH!$U$10+1))),NA()),NA())</f>
        <v/>
      </c>
      <c r="G1814" s="34">
        <f>IFERROR(IF(ISNUMBER($A1814),IF(AND(AH!$U$12=1,1809+1=AH!$U$6),IF(AH!$U$4=0,"unavailable",INDEX('Market Data'!$AK$5:$AK$66,AH!$U$4)),IF(AH!$U$5=1,INDEX('Live History'!$D$5:$D$3004,MATCH($A1814,'Live History'!$D$5:$D$3004,1)),INDEX('AH History'!$D$5:$GG$1380,$K1814,AH!$U$10+2))),NA()),NA())</f>
        <v/>
      </c>
      <c r="H1814" s="266">
        <f>IFERROR(IF(ISNUMBER($A1814),IF(AND(AH!$U$12=1,1809+1=AH!$U$6),IF(AH!$U$4=0,"unavailable",INDEX('Market Data'!$AP$5:$AP$66,AH!$U$4)),IF(AH!$U$5=1,INDEX('Live History'!$H$5:$H$3004,MATCH($A1814,'Live History'!$G$5:$G$3004,1)),INDEX('AH History'!$B$5:$B$1380,$K1814))),NA()),NA())</f>
        <v/>
      </c>
      <c r="I1814" s="34">
        <f>IFERROR(IF(ISNUMBER($A1814),IF(AND(AH!$U$12=1,1809+1=AH!$U$6),TODAY(),IF(AH!$U$5=1,INDEX('Live History'!$G$5:$G$3004,MATCH($A1814,'Live History'!$G$5:$G$3004,1)),INDEX('AH History'!$C$5:$C$1380,$K1814))),NA()),NA())</f>
        <v/>
      </c>
      <c r="J1814" s="32">
        <f>IFERROR(IF(AND($F1814&gt;0,$H1814&gt;0,$A1814-$G1814&lt;=10,$A1814-$I1814&lt;=5,$G1814&gt;0,$I1814&gt;0),$F1814*$H1814,NA()),NA())</f>
        <v/>
      </c>
      <c r="K1814" s="15">
        <f>IF($A1814="","",IF(AH!$U$5=1,IFERROR(MATCH($A1814,'Live History'!$A$5:$A$3004,0),0),AH!$U$7+1809))</f>
        <v/>
      </c>
      <c r="L1814" s="15">
        <f>IF(ISNUMBER(A1814),TEXT(A1814,"dd-mmm-yy"),"")</f>
        <v/>
      </c>
    </row>
    <row r="1815">
      <c r="A1815" s="14">
        <f>IF(OR(AH!$U$4=0,1810+1&gt;AH!$U$6,AND(AH!$M$5="Bloomberg",AH!$U$5=0)),"",IFERROR(IF(AND(AH!$U$12=1,1810+1=AH!$U$6),TODAY(),IF(AH!$U$5=1,INDEX('Live History'!$A$5:$A$3004,AH!$U$7+1810),INDEX('AH History'!$A$5:$A$1380,AH!$U$7+1810))),""))</f>
        <v/>
      </c>
      <c r="B1815" s="33">
        <f>IFERROR(IF(AH!$U$11=1,NA(),$J1815/$E1815-1),NA())</f>
        <v/>
      </c>
      <c r="C1815" s="269">
        <f>IFERROR(100*$E1815/$E$5,NA())</f>
        <v/>
      </c>
      <c r="D1815" s="269">
        <f>IFERROR(100*$J1815/$J$5,NA())</f>
        <v/>
      </c>
      <c r="E1815" s="32">
        <f>IFERROR(IF(AND(ISNUMBER($A1815),N(IF(AND(AH!$U$12=1,1810+1=AH!$U$6),IF(AH!$U$4=0,"unavailable",INDEX('Market Data'!$AN$5:$AN$66,AH!$U$4)),IF(AH!$U$5=1,INDEX('Live History'!$B$5:$B$3004,$K1815),INDEX('AH History'!$D$5:$GG$1380,$K1815,AH!$U$10))))&gt;0),IF(AND(AH!$U$12=1,1810+1=AH!$U$6),IF(AH!$U$4=0,"unavailable",INDEX('Market Data'!$AN$5:$AN$66,AH!$U$4)),IF(AH!$U$5=1,INDEX('Live History'!$B$5:$B$3004,$K1815),INDEX('AH History'!$D$5:$GG$1380,$K1815,AH!$U$10))),NA()),NA())</f>
        <v/>
      </c>
      <c r="F1815" s="32">
        <f>IFERROR(IF(ISNUMBER($A1815),IF(AND(AH!$U$12=1,1810+1=AH!$U$6),IF(AH!$U$4=0,"unavailable",INDEX('Market Data'!$AO$5:$AO$66,AH!$U$4)),IF(AH!$U$5=1,INDEX('Live History'!$E$5:$E$3004,MATCH($A1815,'Live History'!$D$5:$D$3004,1)),INDEX('AH History'!$D$5:$GG$1380,$K1815,AH!$U$10+1))),NA()),NA())</f>
        <v/>
      </c>
      <c r="G1815" s="34">
        <f>IFERROR(IF(ISNUMBER($A1815),IF(AND(AH!$U$12=1,1810+1=AH!$U$6),IF(AH!$U$4=0,"unavailable",INDEX('Market Data'!$AK$5:$AK$66,AH!$U$4)),IF(AH!$U$5=1,INDEX('Live History'!$D$5:$D$3004,MATCH($A1815,'Live History'!$D$5:$D$3004,1)),INDEX('AH History'!$D$5:$GG$1380,$K1815,AH!$U$10+2))),NA()),NA())</f>
        <v/>
      </c>
      <c r="H1815" s="266">
        <f>IFERROR(IF(ISNUMBER($A1815),IF(AND(AH!$U$12=1,1810+1=AH!$U$6),IF(AH!$U$4=0,"unavailable",INDEX('Market Data'!$AP$5:$AP$66,AH!$U$4)),IF(AH!$U$5=1,INDEX('Live History'!$H$5:$H$3004,MATCH($A1815,'Live History'!$G$5:$G$3004,1)),INDEX('AH History'!$B$5:$B$1380,$K1815))),NA()),NA())</f>
        <v/>
      </c>
      <c r="I1815" s="34">
        <f>IFERROR(IF(ISNUMBER($A1815),IF(AND(AH!$U$12=1,1810+1=AH!$U$6),TODAY(),IF(AH!$U$5=1,INDEX('Live History'!$G$5:$G$3004,MATCH($A1815,'Live History'!$G$5:$G$3004,1)),INDEX('AH History'!$C$5:$C$1380,$K1815))),NA()),NA())</f>
        <v/>
      </c>
      <c r="J1815" s="32">
        <f>IFERROR(IF(AND($F1815&gt;0,$H1815&gt;0,$A1815-$G1815&lt;=10,$A1815-$I1815&lt;=5,$G1815&gt;0,$I1815&gt;0),$F1815*$H1815,NA()),NA())</f>
        <v/>
      </c>
      <c r="K1815" s="15">
        <f>IF($A1815="","",IF(AH!$U$5=1,IFERROR(MATCH($A1815,'Live History'!$A$5:$A$3004,0),0),AH!$U$7+1810))</f>
        <v/>
      </c>
      <c r="L1815" s="15">
        <f>IF(ISNUMBER(A1815),TEXT(A1815,"dd-mmm-yy"),"")</f>
        <v/>
      </c>
    </row>
    <row r="1816">
      <c r="A1816" s="14">
        <f>IF(OR(AH!$U$4=0,1811+1&gt;AH!$U$6,AND(AH!$M$5="Bloomberg",AH!$U$5=0)),"",IFERROR(IF(AND(AH!$U$12=1,1811+1=AH!$U$6),TODAY(),IF(AH!$U$5=1,INDEX('Live History'!$A$5:$A$3004,AH!$U$7+1811),INDEX('AH History'!$A$5:$A$1380,AH!$U$7+1811))),""))</f>
        <v/>
      </c>
      <c r="B1816" s="33">
        <f>IFERROR(IF(AH!$U$11=1,NA(),$J1816/$E1816-1),NA())</f>
        <v/>
      </c>
      <c r="C1816" s="269">
        <f>IFERROR(100*$E1816/$E$5,NA())</f>
        <v/>
      </c>
      <c r="D1816" s="269">
        <f>IFERROR(100*$J1816/$J$5,NA())</f>
        <v/>
      </c>
      <c r="E1816" s="32">
        <f>IFERROR(IF(AND(ISNUMBER($A1816),N(IF(AND(AH!$U$12=1,1811+1=AH!$U$6),IF(AH!$U$4=0,"unavailable",INDEX('Market Data'!$AN$5:$AN$66,AH!$U$4)),IF(AH!$U$5=1,INDEX('Live History'!$B$5:$B$3004,$K1816),INDEX('AH History'!$D$5:$GG$1380,$K1816,AH!$U$10))))&gt;0),IF(AND(AH!$U$12=1,1811+1=AH!$U$6),IF(AH!$U$4=0,"unavailable",INDEX('Market Data'!$AN$5:$AN$66,AH!$U$4)),IF(AH!$U$5=1,INDEX('Live History'!$B$5:$B$3004,$K1816),INDEX('AH History'!$D$5:$GG$1380,$K1816,AH!$U$10))),NA()),NA())</f>
        <v/>
      </c>
      <c r="F1816" s="32">
        <f>IFERROR(IF(ISNUMBER($A1816),IF(AND(AH!$U$12=1,1811+1=AH!$U$6),IF(AH!$U$4=0,"unavailable",INDEX('Market Data'!$AO$5:$AO$66,AH!$U$4)),IF(AH!$U$5=1,INDEX('Live History'!$E$5:$E$3004,MATCH($A1816,'Live History'!$D$5:$D$3004,1)),INDEX('AH History'!$D$5:$GG$1380,$K1816,AH!$U$10+1))),NA()),NA())</f>
        <v/>
      </c>
      <c r="G1816" s="34">
        <f>IFERROR(IF(ISNUMBER($A1816),IF(AND(AH!$U$12=1,1811+1=AH!$U$6),IF(AH!$U$4=0,"unavailable",INDEX('Market Data'!$AK$5:$AK$66,AH!$U$4)),IF(AH!$U$5=1,INDEX('Live History'!$D$5:$D$3004,MATCH($A1816,'Live History'!$D$5:$D$3004,1)),INDEX('AH History'!$D$5:$GG$1380,$K1816,AH!$U$10+2))),NA()),NA())</f>
        <v/>
      </c>
      <c r="H1816" s="266">
        <f>IFERROR(IF(ISNUMBER($A1816),IF(AND(AH!$U$12=1,1811+1=AH!$U$6),IF(AH!$U$4=0,"unavailable",INDEX('Market Data'!$AP$5:$AP$66,AH!$U$4)),IF(AH!$U$5=1,INDEX('Live History'!$H$5:$H$3004,MATCH($A1816,'Live History'!$G$5:$G$3004,1)),INDEX('AH History'!$B$5:$B$1380,$K1816))),NA()),NA())</f>
        <v/>
      </c>
      <c r="I1816" s="34">
        <f>IFERROR(IF(ISNUMBER($A1816),IF(AND(AH!$U$12=1,1811+1=AH!$U$6),TODAY(),IF(AH!$U$5=1,INDEX('Live History'!$G$5:$G$3004,MATCH($A1816,'Live History'!$G$5:$G$3004,1)),INDEX('AH History'!$C$5:$C$1380,$K1816))),NA()),NA())</f>
        <v/>
      </c>
      <c r="J1816" s="32">
        <f>IFERROR(IF(AND($F1816&gt;0,$H1816&gt;0,$A1816-$G1816&lt;=10,$A1816-$I1816&lt;=5,$G1816&gt;0,$I1816&gt;0),$F1816*$H1816,NA()),NA())</f>
        <v/>
      </c>
      <c r="K1816" s="15">
        <f>IF($A1816="","",IF(AH!$U$5=1,IFERROR(MATCH($A1816,'Live History'!$A$5:$A$3004,0),0),AH!$U$7+1811))</f>
        <v/>
      </c>
      <c r="L1816" s="15">
        <f>IF(ISNUMBER(A1816),TEXT(A1816,"dd-mmm-yy"),"")</f>
        <v/>
      </c>
    </row>
    <row r="1817">
      <c r="A1817" s="14">
        <f>IF(OR(AH!$U$4=0,1812+1&gt;AH!$U$6,AND(AH!$M$5="Bloomberg",AH!$U$5=0)),"",IFERROR(IF(AND(AH!$U$12=1,1812+1=AH!$U$6),TODAY(),IF(AH!$U$5=1,INDEX('Live History'!$A$5:$A$3004,AH!$U$7+1812),INDEX('AH History'!$A$5:$A$1380,AH!$U$7+1812))),""))</f>
        <v/>
      </c>
      <c r="B1817" s="33">
        <f>IFERROR(IF(AH!$U$11=1,NA(),$J1817/$E1817-1),NA())</f>
        <v/>
      </c>
      <c r="C1817" s="269">
        <f>IFERROR(100*$E1817/$E$5,NA())</f>
        <v/>
      </c>
      <c r="D1817" s="269">
        <f>IFERROR(100*$J1817/$J$5,NA())</f>
        <v/>
      </c>
      <c r="E1817" s="32">
        <f>IFERROR(IF(AND(ISNUMBER($A1817),N(IF(AND(AH!$U$12=1,1812+1=AH!$U$6),IF(AH!$U$4=0,"unavailable",INDEX('Market Data'!$AN$5:$AN$66,AH!$U$4)),IF(AH!$U$5=1,INDEX('Live History'!$B$5:$B$3004,$K1817),INDEX('AH History'!$D$5:$GG$1380,$K1817,AH!$U$10))))&gt;0),IF(AND(AH!$U$12=1,1812+1=AH!$U$6),IF(AH!$U$4=0,"unavailable",INDEX('Market Data'!$AN$5:$AN$66,AH!$U$4)),IF(AH!$U$5=1,INDEX('Live History'!$B$5:$B$3004,$K1817),INDEX('AH History'!$D$5:$GG$1380,$K1817,AH!$U$10))),NA()),NA())</f>
        <v/>
      </c>
      <c r="F1817" s="32">
        <f>IFERROR(IF(ISNUMBER($A1817),IF(AND(AH!$U$12=1,1812+1=AH!$U$6),IF(AH!$U$4=0,"unavailable",INDEX('Market Data'!$AO$5:$AO$66,AH!$U$4)),IF(AH!$U$5=1,INDEX('Live History'!$E$5:$E$3004,MATCH($A1817,'Live History'!$D$5:$D$3004,1)),INDEX('AH History'!$D$5:$GG$1380,$K1817,AH!$U$10+1))),NA()),NA())</f>
        <v/>
      </c>
      <c r="G1817" s="34">
        <f>IFERROR(IF(ISNUMBER($A1817),IF(AND(AH!$U$12=1,1812+1=AH!$U$6),IF(AH!$U$4=0,"unavailable",INDEX('Market Data'!$AK$5:$AK$66,AH!$U$4)),IF(AH!$U$5=1,INDEX('Live History'!$D$5:$D$3004,MATCH($A1817,'Live History'!$D$5:$D$3004,1)),INDEX('AH History'!$D$5:$GG$1380,$K1817,AH!$U$10+2))),NA()),NA())</f>
        <v/>
      </c>
      <c r="H1817" s="266">
        <f>IFERROR(IF(ISNUMBER($A1817),IF(AND(AH!$U$12=1,1812+1=AH!$U$6),IF(AH!$U$4=0,"unavailable",INDEX('Market Data'!$AP$5:$AP$66,AH!$U$4)),IF(AH!$U$5=1,INDEX('Live History'!$H$5:$H$3004,MATCH($A1817,'Live History'!$G$5:$G$3004,1)),INDEX('AH History'!$B$5:$B$1380,$K1817))),NA()),NA())</f>
        <v/>
      </c>
      <c r="I1817" s="34">
        <f>IFERROR(IF(ISNUMBER($A1817),IF(AND(AH!$U$12=1,1812+1=AH!$U$6),TODAY(),IF(AH!$U$5=1,INDEX('Live History'!$G$5:$G$3004,MATCH($A1817,'Live History'!$G$5:$G$3004,1)),INDEX('AH History'!$C$5:$C$1380,$K1817))),NA()),NA())</f>
        <v/>
      </c>
      <c r="J1817" s="32">
        <f>IFERROR(IF(AND($F1817&gt;0,$H1817&gt;0,$A1817-$G1817&lt;=10,$A1817-$I1817&lt;=5,$G1817&gt;0,$I1817&gt;0),$F1817*$H1817,NA()),NA())</f>
        <v/>
      </c>
      <c r="K1817" s="15">
        <f>IF($A1817="","",IF(AH!$U$5=1,IFERROR(MATCH($A1817,'Live History'!$A$5:$A$3004,0),0),AH!$U$7+1812))</f>
        <v/>
      </c>
      <c r="L1817" s="15">
        <f>IF(ISNUMBER(A1817),TEXT(A1817,"dd-mmm-yy"),"")</f>
        <v/>
      </c>
    </row>
    <row r="1818">
      <c r="A1818" s="14">
        <f>IF(OR(AH!$U$4=0,1813+1&gt;AH!$U$6,AND(AH!$M$5="Bloomberg",AH!$U$5=0)),"",IFERROR(IF(AND(AH!$U$12=1,1813+1=AH!$U$6),TODAY(),IF(AH!$U$5=1,INDEX('Live History'!$A$5:$A$3004,AH!$U$7+1813),INDEX('AH History'!$A$5:$A$1380,AH!$U$7+1813))),""))</f>
        <v/>
      </c>
      <c r="B1818" s="33">
        <f>IFERROR(IF(AH!$U$11=1,NA(),$J1818/$E1818-1),NA())</f>
        <v/>
      </c>
      <c r="C1818" s="269">
        <f>IFERROR(100*$E1818/$E$5,NA())</f>
        <v/>
      </c>
      <c r="D1818" s="269">
        <f>IFERROR(100*$J1818/$J$5,NA())</f>
        <v/>
      </c>
      <c r="E1818" s="32">
        <f>IFERROR(IF(AND(ISNUMBER($A1818),N(IF(AND(AH!$U$12=1,1813+1=AH!$U$6),IF(AH!$U$4=0,"unavailable",INDEX('Market Data'!$AN$5:$AN$66,AH!$U$4)),IF(AH!$U$5=1,INDEX('Live History'!$B$5:$B$3004,$K1818),INDEX('AH History'!$D$5:$GG$1380,$K1818,AH!$U$10))))&gt;0),IF(AND(AH!$U$12=1,1813+1=AH!$U$6),IF(AH!$U$4=0,"unavailable",INDEX('Market Data'!$AN$5:$AN$66,AH!$U$4)),IF(AH!$U$5=1,INDEX('Live History'!$B$5:$B$3004,$K1818),INDEX('AH History'!$D$5:$GG$1380,$K1818,AH!$U$10))),NA()),NA())</f>
        <v/>
      </c>
      <c r="F1818" s="32">
        <f>IFERROR(IF(ISNUMBER($A1818),IF(AND(AH!$U$12=1,1813+1=AH!$U$6),IF(AH!$U$4=0,"unavailable",INDEX('Market Data'!$AO$5:$AO$66,AH!$U$4)),IF(AH!$U$5=1,INDEX('Live History'!$E$5:$E$3004,MATCH($A1818,'Live History'!$D$5:$D$3004,1)),INDEX('AH History'!$D$5:$GG$1380,$K1818,AH!$U$10+1))),NA()),NA())</f>
        <v/>
      </c>
      <c r="G1818" s="34">
        <f>IFERROR(IF(ISNUMBER($A1818),IF(AND(AH!$U$12=1,1813+1=AH!$U$6),IF(AH!$U$4=0,"unavailable",INDEX('Market Data'!$AK$5:$AK$66,AH!$U$4)),IF(AH!$U$5=1,INDEX('Live History'!$D$5:$D$3004,MATCH($A1818,'Live History'!$D$5:$D$3004,1)),INDEX('AH History'!$D$5:$GG$1380,$K1818,AH!$U$10+2))),NA()),NA())</f>
        <v/>
      </c>
      <c r="H1818" s="266">
        <f>IFERROR(IF(ISNUMBER($A1818),IF(AND(AH!$U$12=1,1813+1=AH!$U$6),IF(AH!$U$4=0,"unavailable",INDEX('Market Data'!$AP$5:$AP$66,AH!$U$4)),IF(AH!$U$5=1,INDEX('Live History'!$H$5:$H$3004,MATCH($A1818,'Live History'!$G$5:$G$3004,1)),INDEX('AH History'!$B$5:$B$1380,$K1818))),NA()),NA())</f>
        <v/>
      </c>
      <c r="I1818" s="34">
        <f>IFERROR(IF(ISNUMBER($A1818),IF(AND(AH!$U$12=1,1813+1=AH!$U$6),TODAY(),IF(AH!$U$5=1,INDEX('Live History'!$G$5:$G$3004,MATCH($A1818,'Live History'!$G$5:$G$3004,1)),INDEX('AH History'!$C$5:$C$1380,$K1818))),NA()),NA())</f>
        <v/>
      </c>
      <c r="J1818" s="32">
        <f>IFERROR(IF(AND($F1818&gt;0,$H1818&gt;0,$A1818-$G1818&lt;=10,$A1818-$I1818&lt;=5,$G1818&gt;0,$I1818&gt;0),$F1818*$H1818,NA()),NA())</f>
        <v/>
      </c>
      <c r="K1818" s="15">
        <f>IF($A1818="","",IF(AH!$U$5=1,IFERROR(MATCH($A1818,'Live History'!$A$5:$A$3004,0),0),AH!$U$7+1813))</f>
        <v/>
      </c>
      <c r="L1818" s="15">
        <f>IF(ISNUMBER(A1818),TEXT(A1818,"dd-mmm-yy"),"")</f>
        <v/>
      </c>
    </row>
    <row r="1819">
      <c r="A1819" s="14">
        <f>IF(OR(AH!$U$4=0,1814+1&gt;AH!$U$6,AND(AH!$M$5="Bloomberg",AH!$U$5=0)),"",IFERROR(IF(AND(AH!$U$12=1,1814+1=AH!$U$6),TODAY(),IF(AH!$U$5=1,INDEX('Live History'!$A$5:$A$3004,AH!$U$7+1814),INDEX('AH History'!$A$5:$A$1380,AH!$U$7+1814))),""))</f>
        <v/>
      </c>
      <c r="B1819" s="33">
        <f>IFERROR(IF(AH!$U$11=1,NA(),$J1819/$E1819-1),NA())</f>
        <v/>
      </c>
      <c r="C1819" s="269">
        <f>IFERROR(100*$E1819/$E$5,NA())</f>
        <v/>
      </c>
      <c r="D1819" s="269">
        <f>IFERROR(100*$J1819/$J$5,NA())</f>
        <v/>
      </c>
      <c r="E1819" s="32">
        <f>IFERROR(IF(AND(ISNUMBER($A1819),N(IF(AND(AH!$U$12=1,1814+1=AH!$U$6),IF(AH!$U$4=0,"unavailable",INDEX('Market Data'!$AN$5:$AN$66,AH!$U$4)),IF(AH!$U$5=1,INDEX('Live History'!$B$5:$B$3004,$K1819),INDEX('AH History'!$D$5:$GG$1380,$K1819,AH!$U$10))))&gt;0),IF(AND(AH!$U$12=1,1814+1=AH!$U$6),IF(AH!$U$4=0,"unavailable",INDEX('Market Data'!$AN$5:$AN$66,AH!$U$4)),IF(AH!$U$5=1,INDEX('Live History'!$B$5:$B$3004,$K1819),INDEX('AH History'!$D$5:$GG$1380,$K1819,AH!$U$10))),NA()),NA())</f>
        <v/>
      </c>
      <c r="F1819" s="32">
        <f>IFERROR(IF(ISNUMBER($A1819),IF(AND(AH!$U$12=1,1814+1=AH!$U$6),IF(AH!$U$4=0,"unavailable",INDEX('Market Data'!$AO$5:$AO$66,AH!$U$4)),IF(AH!$U$5=1,INDEX('Live History'!$E$5:$E$3004,MATCH($A1819,'Live History'!$D$5:$D$3004,1)),INDEX('AH History'!$D$5:$GG$1380,$K1819,AH!$U$10+1))),NA()),NA())</f>
        <v/>
      </c>
      <c r="G1819" s="34">
        <f>IFERROR(IF(ISNUMBER($A1819),IF(AND(AH!$U$12=1,1814+1=AH!$U$6),IF(AH!$U$4=0,"unavailable",INDEX('Market Data'!$AK$5:$AK$66,AH!$U$4)),IF(AH!$U$5=1,INDEX('Live History'!$D$5:$D$3004,MATCH($A1819,'Live History'!$D$5:$D$3004,1)),INDEX('AH History'!$D$5:$GG$1380,$K1819,AH!$U$10+2))),NA()),NA())</f>
        <v/>
      </c>
      <c r="H1819" s="266">
        <f>IFERROR(IF(ISNUMBER($A1819),IF(AND(AH!$U$12=1,1814+1=AH!$U$6),IF(AH!$U$4=0,"unavailable",INDEX('Market Data'!$AP$5:$AP$66,AH!$U$4)),IF(AH!$U$5=1,INDEX('Live History'!$H$5:$H$3004,MATCH($A1819,'Live History'!$G$5:$G$3004,1)),INDEX('AH History'!$B$5:$B$1380,$K1819))),NA()),NA())</f>
        <v/>
      </c>
      <c r="I1819" s="34">
        <f>IFERROR(IF(ISNUMBER($A1819),IF(AND(AH!$U$12=1,1814+1=AH!$U$6),TODAY(),IF(AH!$U$5=1,INDEX('Live History'!$G$5:$G$3004,MATCH($A1819,'Live History'!$G$5:$G$3004,1)),INDEX('AH History'!$C$5:$C$1380,$K1819))),NA()),NA())</f>
        <v/>
      </c>
      <c r="J1819" s="32">
        <f>IFERROR(IF(AND($F1819&gt;0,$H1819&gt;0,$A1819-$G1819&lt;=10,$A1819-$I1819&lt;=5,$G1819&gt;0,$I1819&gt;0),$F1819*$H1819,NA()),NA())</f>
        <v/>
      </c>
      <c r="K1819" s="15">
        <f>IF($A1819="","",IF(AH!$U$5=1,IFERROR(MATCH($A1819,'Live History'!$A$5:$A$3004,0),0),AH!$U$7+1814))</f>
        <v/>
      </c>
      <c r="L1819" s="15">
        <f>IF(ISNUMBER(A1819),TEXT(A1819,"dd-mmm-yy"),"")</f>
        <v/>
      </c>
    </row>
    <row r="1820">
      <c r="A1820" s="14">
        <f>IF(OR(AH!$U$4=0,1815+1&gt;AH!$U$6,AND(AH!$M$5="Bloomberg",AH!$U$5=0)),"",IFERROR(IF(AND(AH!$U$12=1,1815+1=AH!$U$6),TODAY(),IF(AH!$U$5=1,INDEX('Live History'!$A$5:$A$3004,AH!$U$7+1815),INDEX('AH History'!$A$5:$A$1380,AH!$U$7+1815))),""))</f>
        <v/>
      </c>
      <c r="B1820" s="33">
        <f>IFERROR(IF(AH!$U$11=1,NA(),$J1820/$E1820-1),NA())</f>
        <v/>
      </c>
      <c r="C1820" s="269">
        <f>IFERROR(100*$E1820/$E$5,NA())</f>
        <v/>
      </c>
      <c r="D1820" s="269">
        <f>IFERROR(100*$J1820/$J$5,NA())</f>
        <v/>
      </c>
      <c r="E1820" s="32">
        <f>IFERROR(IF(AND(ISNUMBER($A1820),N(IF(AND(AH!$U$12=1,1815+1=AH!$U$6),IF(AH!$U$4=0,"unavailable",INDEX('Market Data'!$AN$5:$AN$66,AH!$U$4)),IF(AH!$U$5=1,INDEX('Live History'!$B$5:$B$3004,$K1820),INDEX('AH History'!$D$5:$GG$1380,$K1820,AH!$U$10))))&gt;0),IF(AND(AH!$U$12=1,1815+1=AH!$U$6),IF(AH!$U$4=0,"unavailable",INDEX('Market Data'!$AN$5:$AN$66,AH!$U$4)),IF(AH!$U$5=1,INDEX('Live History'!$B$5:$B$3004,$K1820),INDEX('AH History'!$D$5:$GG$1380,$K1820,AH!$U$10))),NA()),NA())</f>
        <v/>
      </c>
      <c r="F1820" s="32">
        <f>IFERROR(IF(ISNUMBER($A1820),IF(AND(AH!$U$12=1,1815+1=AH!$U$6),IF(AH!$U$4=0,"unavailable",INDEX('Market Data'!$AO$5:$AO$66,AH!$U$4)),IF(AH!$U$5=1,INDEX('Live History'!$E$5:$E$3004,MATCH($A1820,'Live History'!$D$5:$D$3004,1)),INDEX('AH History'!$D$5:$GG$1380,$K1820,AH!$U$10+1))),NA()),NA())</f>
        <v/>
      </c>
      <c r="G1820" s="34">
        <f>IFERROR(IF(ISNUMBER($A1820),IF(AND(AH!$U$12=1,1815+1=AH!$U$6),IF(AH!$U$4=0,"unavailable",INDEX('Market Data'!$AK$5:$AK$66,AH!$U$4)),IF(AH!$U$5=1,INDEX('Live History'!$D$5:$D$3004,MATCH($A1820,'Live History'!$D$5:$D$3004,1)),INDEX('AH History'!$D$5:$GG$1380,$K1820,AH!$U$10+2))),NA()),NA())</f>
        <v/>
      </c>
      <c r="H1820" s="266">
        <f>IFERROR(IF(ISNUMBER($A1820),IF(AND(AH!$U$12=1,1815+1=AH!$U$6),IF(AH!$U$4=0,"unavailable",INDEX('Market Data'!$AP$5:$AP$66,AH!$U$4)),IF(AH!$U$5=1,INDEX('Live History'!$H$5:$H$3004,MATCH($A1820,'Live History'!$G$5:$G$3004,1)),INDEX('AH History'!$B$5:$B$1380,$K1820))),NA()),NA())</f>
        <v/>
      </c>
      <c r="I1820" s="34">
        <f>IFERROR(IF(ISNUMBER($A1820),IF(AND(AH!$U$12=1,1815+1=AH!$U$6),TODAY(),IF(AH!$U$5=1,INDEX('Live History'!$G$5:$G$3004,MATCH($A1820,'Live History'!$G$5:$G$3004,1)),INDEX('AH History'!$C$5:$C$1380,$K1820))),NA()),NA())</f>
        <v/>
      </c>
      <c r="J1820" s="32">
        <f>IFERROR(IF(AND($F1820&gt;0,$H1820&gt;0,$A1820-$G1820&lt;=10,$A1820-$I1820&lt;=5,$G1820&gt;0,$I1820&gt;0),$F1820*$H1820,NA()),NA())</f>
        <v/>
      </c>
      <c r="K1820" s="15">
        <f>IF($A1820="","",IF(AH!$U$5=1,IFERROR(MATCH($A1820,'Live History'!$A$5:$A$3004,0),0),AH!$U$7+1815))</f>
        <v/>
      </c>
      <c r="L1820" s="15">
        <f>IF(ISNUMBER(A1820),TEXT(A1820,"dd-mmm-yy"),"")</f>
        <v/>
      </c>
    </row>
    <row r="1821">
      <c r="A1821" s="14">
        <f>IF(OR(AH!$U$4=0,1816+1&gt;AH!$U$6,AND(AH!$M$5="Bloomberg",AH!$U$5=0)),"",IFERROR(IF(AND(AH!$U$12=1,1816+1=AH!$U$6),TODAY(),IF(AH!$U$5=1,INDEX('Live History'!$A$5:$A$3004,AH!$U$7+1816),INDEX('AH History'!$A$5:$A$1380,AH!$U$7+1816))),""))</f>
        <v/>
      </c>
      <c r="B1821" s="33">
        <f>IFERROR(IF(AH!$U$11=1,NA(),$J1821/$E1821-1),NA())</f>
        <v/>
      </c>
      <c r="C1821" s="269">
        <f>IFERROR(100*$E1821/$E$5,NA())</f>
        <v/>
      </c>
      <c r="D1821" s="269">
        <f>IFERROR(100*$J1821/$J$5,NA())</f>
        <v/>
      </c>
      <c r="E1821" s="32">
        <f>IFERROR(IF(AND(ISNUMBER($A1821),N(IF(AND(AH!$U$12=1,1816+1=AH!$U$6),IF(AH!$U$4=0,"unavailable",INDEX('Market Data'!$AN$5:$AN$66,AH!$U$4)),IF(AH!$U$5=1,INDEX('Live History'!$B$5:$B$3004,$K1821),INDEX('AH History'!$D$5:$GG$1380,$K1821,AH!$U$10))))&gt;0),IF(AND(AH!$U$12=1,1816+1=AH!$U$6),IF(AH!$U$4=0,"unavailable",INDEX('Market Data'!$AN$5:$AN$66,AH!$U$4)),IF(AH!$U$5=1,INDEX('Live History'!$B$5:$B$3004,$K1821),INDEX('AH History'!$D$5:$GG$1380,$K1821,AH!$U$10))),NA()),NA())</f>
        <v/>
      </c>
      <c r="F1821" s="32">
        <f>IFERROR(IF(ISNUMBER($A1821),IF(AND(AH!$U$12=1,1816+1=AH!$U$6),IF(AH!$U$4=0,"unavailable",INDEX('Market Data'!$AO$5:$AO$66,AH!$U$4)),IF(AH!$U$5=1,INDEX('Live History'!$E$5:$E$3004,MATCH($A1821,'Live History'!$D$5:$D$3004,1)),INDEX('AH History'!$D$5:$GG$1380,$K1821,AH!$U$10+1))),NA()),NA())</f>
        <v/>
      </c>
      <c r="G1821" s="34">
        <f>IFERROR(IF(ISNUMBER($A1821),IF(AND(AH!$U$12=1,1816+1=AH!$U$6),IF(AH!$U$4=0,"unavailable",INDEX('Market Data'!$AK$5:$AK$66,AH!$U$4)),IF(AH!$U$5=1,INDEX('Live History'!$D$5:$D$3004,MATCH($A1821,'Live History'!$D$5:$D$3004,1)),INDEX('AH History'!$D$5:$GG$1380,$K1821,AH!$U$10+2))),NA()),NA())</f>
        <v/>
      </c>
      <c r="H1821" s="266">
        <f>IFERROR(IF(ISNUMBER($A1821),IF(AND(AH!$U$12=1,1816+1=AH!$U$6),IF(AH!$U$4=0,"unavailable",INDEX('Market Data'!$AP$5:$AP$66,AH!$U$4)),IF(AH!$U$5=1,INDEX('Live History'!$H$5:$H$3004,MATCH($A1821,'Live History'!$G$5:$G$3004,1)),INDEX('AH History'!$B$5:$B$1380,$K1821))),NA()),NA())</f>
        <v/>
      </c>
      <c r="I1821" s="34">
        <f>IFERROR(IF(ISNUMBER($A1821),IF(AND(AH!$U$12=1,1816+1=AH!$U$6),TODAY(),IF(AH!$U$5=1,INDEX('Live History'!$G$5:$G$3004,MATCH($A1821,'Live History'!$G$5:$G$3004,1)),INDEX('AH History'!$C$5:$C$1380,$K1821))),NA()),NA())</f>
        <v/>
      </c>
      <c r="J1821" s="32">
        <f>IFERROR(IF(AND($F1821&gt;0,$H1821&gt;0,$A1821-$G1821&lt;=10,$A1821-$I1821&lt;=5,$G1821&gt;0,$I1821&gt;0),$F1821*$H1821,NA()),NA())</f>
        <v/>
      </c>
      <c r="K1821" s="15">
        <f>IF($A1821="","",IF(AH!$U$5=1,IFERROR(MATCH($A1821,'Live History'!$A$5:$A$3004,0),0),AH!$U$7+1816))</f>
        <v/>
      </c>
      <c r="L1821" s="15">
        <f>IF(ISNUMBER(A1821),TEXT(A1821,"dd-mmm-yy"),"")</f>
        <v/>
      </c>
    </row>
    <row r="1822">
      <c r="A1822" s="14">
        <f>IF(OR(AH!$U$4=0,1817+1&gt;AH!$U$6,AND(AH!$M$5="Bloomberg",AH!$U$5=0)),"",IFERROR(IF(AND(AH!$U$12=1,1817+1=AH!$U$6),TODAY(),IF(AH!$U$5=1,INDEX('Live History'!$A$5:$A$3004,AH!$U$7+1817),INDEX('AH History'!$A$5:$A$1380,AH!$U$7+1817))),""))</f>
        <v/>
      </c>
      <c r="B1822" s="33">
        <f>IFERROR(IF(AH!$U$11=1,NA(),$J1822/$E1822-1),NA())</f>
        <v/>
      </c>
      <c r="C1822" s="269">
        <f>IFERROR(100*$E1822/$E$5,NA())</f>
        <v/>
      </c>
      <c r="D1822" s="269">
        <f>IFERROR(100*$J1822/$J$5,NA())</f>
        <v/>
      </c>
      <c r="E1822" s="32">
        <f>IFERROR(IF(AND(ISNUMBER($A1822),N(IF(AND(AH!$U$12=1,1817+1=AH!$U$6),IF(AH!$U$4=0,"unavailable",INDEX('Market Data'!$AN$5:$AN$66,AH!$U$4)),IF(AH!$U$5=1,INDEX('Live History'!$B$5:$B$3004,$K1822),INDEX('AH History'!$D$5:$GG$1380,$K1822,AH!$U$10))))&gt;0),IF(AND(AH!$U$12=1,1817+1=AH!$U$6),IF(AH!$U$4=0,"unavailable",INDEX('Market Data'!$AN$5:$AN$66,AH!$U$4)),IF(AH!$U$5=1,INDEX('Live History'!$B$5:$B$3004,$K1822),INDEX('AH History'!$D$5:$GG$1380,$K1822,AH!$U$10))),NA()),NA())</f>
        <v/>
      </c>
      <c r="F1822" s="32">
        <f>IFERROR(IF(ISNUMBER($A1822),IF(AND(AH!$U$12=1,1817+1=AH!$U$6),IF(AH!$U$4=0,"unavailable",INDEX('Market Data'!$AO$5:$AO$66,AH!$U$4)),IF(AH!$U$5=1,INDEX('Live History'!$E$5:$E$3004,MATCH($A1822,'Live History'!$D$5:$D$3004,1)),INDEX('AH History'!$D$5:$GG$1380,$K1822,AH!$U$10+1))),NA()),NA())</f>
        <v/>
      </c>
      <c r="G1822" s="34">
        <f>IFERROR(IF(ISNUMBER($A1822),IF(AND(AH!$U$12=1,1817+1=AH!$U$6),IF(AH!$U$4=0,"unavailable",INDEX('Market Data'!$AK$5:$AK$66,AH!$U$4)),IF(AH!$U$5=1,INDEX('Live History'!$D$5:$D$3004,MATCH($A1822,'Live History'!$D$5:$D$3004,1)),INDEX('AH History'!$D$5:$GG$1380,$K1822,AH!$U$10+2))),NA()),NA())</f>
        <v/>
      </c>
      <c r="H1822" s="266">
        <f>IFERROR(IF(ISNUMBER($A1822),IF(AND(AH!$U$12=1,1817+1=AH!$U$6),IF(AH!$U$4=0,"unavailable",INDEX('Market Data'!$AP$5:$AP$66,AH!$U$4)),IF(AH!$U$5=1,INDEX('Live History'!$H$5:$H$3004,MATCH($A1822,'Live History'!$G$5:$G$3004,1)),INDEX('AH History'!$B$5:$B$1380,$K1822))),NA()),NA())</f>
        <v/>
      </c>
      <c r="I1822" s="34">
        <f>IFERROR(IF(ISNUMBER($A1822),IF(AND(AH!$U$12=1,1817+1=AH!$U$6),TODAY(),IF(AH!$U$5=1,INDEX('Live History'!$G$5:$G$3004,MATCH($A1822,'Live History'!$G$5:$G$3004,1)),INDEX('AH History'!$C$5:$C$1380,$K1822))),NA()),NA())</f>
        <v/>
      </c>
      <c r="J1822" s="32">
        <f>IFERROR(IF(AND($F1822&gt;0,$H1822&gt;0,$A1822-$G1822&lt;=10,$A1822-$I1822&lt;=5,$G1822&gt;0,$I1822&gt;0),$F1822*$H1822,NA()),NA())</f>
        <v/>
      </c>
      <c r="K1822" s="15">
        <f>IF($A1822="","",IF(AH!$U$5=1,IFERROR(MATCH($A1822,'Live History'!$A$5:$A$3004,0),0),AH!$U$7+1817))</f>
        <v/>
      </c>
      <c r="L1822" s="15">
        <f>IF(ISNUMBER(A1822),TEXT(A1822,"dd-mmm-yy"),"")</f>
        <v/>
      </c>
    </row>
    <row r="1823">
      <c r="A1823" s="14">
        <f>IF(OR(AH!$U$4=0,1818+1&gt;AH!$U$6,AND(AH!$M$5="Bloomberg",AH!$U$5=0)),"",IFERROR(IF(AND(AH!$U$12=1,1818+1=AH!$U$6),TODAY(),IF(AH!$U$5=1,INDEX('Live History'!$A$5:$A$3004,AH!$U$7+1818),INDEX('AH History'!$A$5:$A$1380,AH!$U$7+1818))),""))</f>
        <v/>
      </c>
      <c r="B1823" s="33">
        <f>IFERROR(IF(AH!$U$11=1,NA(),$J1823/$E1823-1),NA())</f>
        <v/>
      </c>
      <c r="C1823" s="269">
        <f>IFERROR(100*$E1823/$E$5,NA())</f>
        <v/>
      </c>
      <c r="D1823" s="269">
        <f>IFERROR(100*$J1823/$J$5,NA())</f>
        <v/>
      </c>
      <c r="E1823" s="32">
        <f>IFERROR(IF(AND(ISNUMBER($A1823),N(IF(AND(AH!$U$12=1,1818+1=AH!$U$6),IF(AH!$U$4=0,"unavailable",INDEX('Market Data'!$AN$5:$AN$66,AH!$U$4)),IF(AH!$U$5=1,INDEX('Live History'!$B$5:$B$3004,$K1823),INDEX('AH History'!$D$5:$GG$1380,$K1823,AH!$U$10))))&gt;0),IF(AND(AH!$U$12=1,1818+1=AH!$U$6),IF(AH!$U$4=0,"unavailable",INDEX('Market Data'!$AN$5:$AN$66,AH!$U$4)),IF(AH!$U$5=1,INDEX('Live History'!$B$5:$B$3004,$K1823),INDEX('AH History'!$D$5:$GG$1380,$K1823,AH!$U$10))),NA()),NA())</f>
        <v/>
      </c>
      <c r="F1823" s="32">
        <f>IFERROR(IF(ISNUMBER($A1823),IF(AND(AH!$U$12=1,1818+1=AH!$U$6),IF(AH!$U$4=0,"unavailable",INDEX('Market Data'!$AO$5:$AO$66,AH!$U$4)),IF(AH!$U$5=1,INDEX('Live History'!$E$5:$E$3004,MATCH($A1823,'Live History'!$D$5:$D$3004,1)),INDEX('AH History'!$D$5:$GG$1380,$K1823,AH!$U$10+1))),NA()),NA())</f>
        <v/>
      </c>
      <c r="G1823" s="34">
        <f>IFERROR(IF(ISNUMBER($A1823),IF(AND(AH!$U$12=1,1818+1=AH!$U$6),IF(AH!$U$4=0,"unavailable",INDEX('Market Data'!$AK$5:$AK$66,AH!$U$4)),IF(AH!$U$5=1,INDEX('Live History'!$D$5:$D$3004,MATCH($A1823,'Live History'!$D$5:$D$3004,1)),INDEX('AH History'!$D$5:$GG$1380,$K1823,AH!$U$10+2))),NA()),NA())</f>
        <v/>
      </c>
      <c r="H1823" s="266">
        <f>IFERROR(IF(ISNUMBER($A1823),IF(AND(AH!$U$12=1,1818+1=AH!$U$6),IF(AH!$U$4=0,"unavailable",INDEX('Market Data'!$AP$5:$AP$66,AH!$U$4)),IF(AH!$U$5=1,INDEX('Live History'!$H$5:$H$3004,MATCH($A1823,'Live History'!$G$5:$G$3004,1)),INDEX('AH History'!$B$5:$B$1380,$K1823))),NA()),NA())</f>
        <v/>
      </c>
      <c r="I1823" s="34">
        <f>IFERROR(IF(ISNUMBER($A1823),IF(AND(AH!$U$12=1,1818+1=AH!$U$6),TODAY(),IF(AH!$U$5=1,INDEX('Live History'!$G$5:$G$3004,MATCH($A1823,'Live History'!$G$5:$G$3004,1)),INDEX('AH History'!$C$5:$C$1380,$K1823))),NA()),NA())</f>
        <v/>
      </c>
      <c r="J1823" s="32">
        <f>IFERROR(IF(AND($F1823&gt;0,$H1823&gt;0,$A1823-$G1823&lt;=10,$A1823-$I1823&lt;=5,$G1823&gt;0,$I1823&gt;0),$F1823*$H1823,NA()),NA())</f>
        <v/>
      </c>
      <c r="K1823" s="15">
        <f>IF($A1823="","",IF(AH!$U$5=1,IFERROR(MATCH($A1823,'Live History'!$A$5:$A$3004,0),0),AH!$U$7+1818))</f>
        <v/>
      </c>
      <c r="L1823" s="15">
        <f>IF(ISNUMBER(A1823),TEXT(A1823,"dd-mmm-yy"),"")</f>
        <v/>
      </c>
    </row>
    <row r="1824">
      <c r="A1824" s="14">
        <f>IF(OR(AH!$U$4=0,1819+1&gt;AH!$U$6,AND(AH!$M$5="Bloomberg",AH!$U$5=0)),"",IFERROR(IF(AND(AH!$U$12=1,1819+1=AH!$U$6),TODAY(),IF(AH!$U$5=1,INDEX('Live History'!$A$5:$A$3004,AH!$U$7+1819),INDEX('AH History'!$A$5:$A$1380,AH!$U$7+1819))),""))</f>
        <v/>
      </c>
      <c r="B1824" s="33">
        <f>IFERROR(IF(AH!$U$11=1,NA(),$J1824/$E1824-1),NA())</f>
        <v/>
      </c>
      <c r="C1824" s="269">
        <f>IFERROR(100*$E1824/$E$5,NA())</f>
        <v/>
      </c>
      <c r="D1824" s="269">
        <f>IFERROR(100*$J1824/$J$5,NA())</f>
        <v/>
      </c>
      <c r="E1824" s="32">
        <f>IFERROR(IF(AND(ISNUMBER($A1824),N(IF(AND(AH!$U$12=1,1819+1=AH!$U$6),IF(AH!$U$4=0,"unavailable",INDEX('Market Data'!$AN$5:$AN$66,AH!$U$4)),IF(AH!$U$5=1,INDEX('Live History'!$B$5:$B$3004,$K1824),INDEX('AH History'!$D$5:$GG$1380,$K1824,AH!$U$10))))&gt;0),IF(AND(AH!$U$12=1,1819+1=AH!$U$6),IF(AH!$U$4=0,"unavailable",INDEX('Market Data'!$AN$5:$AN$66,AH!$U$4)),IF(AH!$U$5=1,INDEX('Live History'!$B$5:$B$3004,$K1824),INDEX('AH History'!$D$5:$GG$1380,$K1824,AH!$U$10))),NA()),NA())</f>
        <v/>
      </c>
      <c r="F1824" s="32">
        <f>IFERROR(IF(ISNUMBER($A1824),IF(AND(AH!$U$12=1,1819+1=AH!$U$6),IF(AH!$U$4=0,"unavailable",INDEX('Market Data'!$AO$5:$AO$66,AH!$U$4)),IF(AH!$U$5=1,INDEX('Live History'!$E$5:$E$3004,MATCH($A1824,'Live History'!$D$5:$D$3004,1)),INDEX('AH History'!$D$5:$GG$1380,$K1824,AH!$U$10+1))),NA()),NA())</f>
        <v/>
      </c>
      <c r="G1824" s="34">
        <f>IFERROR(IF(ISNUMBER($A1824),IF(AND(AH!$U$12=1,1819+1=AH!$U$6),IF(AH!$U$4=0,"unavailable",INDEX('Market Data'!$AK$5:$AK$66,AH!$U$4)),IF(AH!$U$5=1,INDEX('Live History'!$D$5:$D$3004,MATCH($A1824,'Live History'!$D$5:$D$3004,1)),INDEX('AH History'!$D$5:$GG$1380,$K1824,AH!$U$10+2))),NA()),NA())</f>
        <v/>
      </c>
      <c r="H1824" s="266">
        <f>IFERROR(IF(ISNUMBER($A1824),IF(AND(AH!$U$12=1,1819+1=AH!$U$6),IF(AH!$U$4=0,"unavailable",INDEX('Market Data'!$AP$5:$AP$66,AH!$U$4)),IF(AH!$U$5=1,INDEX('Live History'!$H$5:$H$3004,MATCH($A1824,'Live History'!$G$5:$G$3004,1)),INDEX('AH History'!$B$5:$B$1380,$K1824))),NA()),NA())</f>
        <v/>
      </c>
      <c r="I1824" s="34">
        <f>IFERROR(IF(ISNUMBER($A1824),IF(AND(AH!$U$12=1,1819+1=AH!$U$6),TODAY(),IF(AH!$U$5=1,INDEX('Live History'!$G$5:$G$3004,MATCH($A1824,'Live History'!$G$5:$G$3004,1)),INDEX('AH History'!$C$5:$C$1380,$K1824))),NA()),NA())</f>
        <v/>
      </c>
      <c r="J1824" s="32">
        <f>IFERROR(IF(AND($F1824&gt;0,$H1824&gt;0,$A1824-$G1824&lt;=10,$A1824-$I1824&lt;=5,$G1824&gt;0,$I1824&gt;0),$F1824*$H1824,NA()),NA())</f>
        <v/>
      </c>
      <c r="K1824" s="15">
        <f>IF($A1824="","",IF(AH!$U$5=1,IFERROR(MATCH($A1824,'Live History'!$A$5:$A$3004,0),0),AH!$U$7+1819))</f>
        <v/>
      </c>
      <c r="L1824" s="15">
        <f>IF(ISNUMBER(A1824),TEXT(A1824,"dd-mmm-yy"),"")</f>
        <v/>
      </c>
    </row>
    <row r="1825">
      <c r="A1825" s="14">
        <f>IF(OR(AH!$U$4=0,1820+1&gt;AH!$U$6,AND(AH!$M$5="Bloomberg",AH!$U$5=0)),"",IFERROR(IF(AND(AH!$U$12=1,1820+1=AH!$U$6),TODAY(),IF(AH!$U$5=1,INDEX('Live History'!$A$5:$A$3004,AH!$U$7+1820),INDEX('AH History'!$A$5:$A$1380,AH!$U$7+1820))),""))</f>
        <v/>
      </c>
      <c r="B1825" s="33">
        <f>IFERROR(IF(AH!$U$11=1,NA(),$J1825/$E1825-1),NA())</f>
        <v/>
      </c>
      <c r="C1825" s="269">
        <f>IFERROR(100*$E1825/$E$5,NA())</f>
        <v/>
      </c>
      <c r="D1825" s="269">
        <f>IFERROR(100*$J1825/$J$5,NA())</f>
        <v/>
      </c>
      <c r="E1825" s="32">
        <f>IFERROR(IF(AND(ISNUMBER($A1825),N(IF(AND(AH!$U$12=1,1820+1=AH!$U$6),IF(AH!$U$4=0,"unavailable",INDEX('Market Data'!$AN$5:$AN$66,AH!$U$4)),IF(AH!$U$5=1,INDEX('Live History'!$B$5:$B$3004,$K1825),INDEX('AH History'!$D$5:$GG$1380,$K1825,AH!$U$10))))&gt;0),IF(AND(AH!$U$12=1,1820+1=AH!$U$6),IF(AH!$U$4=0,"unavailable",INDEX('Market Data'!$AN$5:$AN$66,AH!$U$4)),IF(AH!$U$5=1,INDEX('Live History'!$B$5:$B$3004,$K1825),INDEX('AH History'!$D$5:$GG$1380,$K1825,AH!$U$10))),NA()),NA())</f>
        <v/>
      </c>
      <c r="F1825" s="32">
        <f>IFERROR(IF(ISNUMBER($A1825),IF(AND(AH!$U$12=1,1820+1=AH!$U$6),IF(AH!$U$4=0,"unavailable",INDEX('Market Data'!$AO$5:$AO$66,AH!$U$4)),IF(AH!$U$5=1,INDEX('Live History'!$E$5:$E$3004,MATCH($A1825,'Live History'!$D$5:$D$3004,1)),INDEX('AH History'!$D$5:$GG$1380,$K1825,AH!$U$10+1))),NA()),NA())</f>
        <v/>
      </c>
      <c r="G1825" s="34">
        <f>IFERROR(IF(ISNUMBER($A1825),IF(AND(AH!$U$12=1,1820+1=AH!$U$6),IF(AH!$U$4=0,"unavailable",INDEX('Market Data'!$AK$5:$AK$66,AH!$U$4)),IF(AH!$U$5=1,INDEX('Live History'!$D$5:$D$3004,MATCH($A1825,'Live History'!$D$5:$D$3004,1)),INDEX('AH History'!$D$5:$GG$1380,$K1825,AH!$U$10+2))),NA()),NA())</f>
        <v/>
      </c>
      <c r="H1825" s="266">
        <f>IFERROR(IF(ISNUMBER($A1825),IF(AND(AH!$U$12=1,1820+1=AH!$U$6),IF(AH!$U$4=0,"unavailable",INDEX('Market Data'!$AP$5:$AP$66,AH!$U$4)),IF(AH!$U$5=1,INDEX('Live History'!$H$5:$H$3004,MATCH($A1825,'Live History'!$G$5:$G$3004,1)),INDEX('AH History'!$B$5:$B$1380,$K1825))),NA()),NA())</f>
        <v/>
      </c>
      <c r="I1825" s="34">
        <f>IFERROR(IF(ISNUMBER($A1825),IF(AND(AH!$U$12=1,1820+1=AH!$U$6),TODAY(),IF(AH!$U$5=1,INDEX('Live History'!$G$5:$G$3004,MATCH($A1825,'Live History'!$G$5:$G$3004,1)),INDEX('AH History'!$C$5:$C$1380,$K1825))),NA()),NA())</f>
        <v/>
      </c>
      <c r="J1825" s="32">
        <f>IFERROR(IF(AND($F1825&gt;0,$H1825&gt;0,$A1825-$G1825&lt;=10,$A1825-$I1825&lt;=5,$G1825&gt;0,$I1825&gt;0),$F1825*$H1825,NA()),NA())</f>
        <v/>
      </c>
      <c r="K1825" s="15">
        <f>IF($A1825="","",IF(AH!$U$5=1,IFERROR(MATCH($A1825,'Live History'!$A$5:$A$3004,0),0),AH!$U$7+1820))</f>
        <v/>
      </c>
      <c r="L1825" s="15">
        <f>IF(ISNUMBER(A1825),TEXT(A1825,"dd-mmm-yy"),"")</f>
        <v/>
      </c>
    </row>
    <row r="1826">
      <c r="A1826" s="14">
        <f>IF(OR(AH!$U$4=0,1821+1&gt;AH!$U$6,AND(AH!$M$5="Bloomberg",AH!$U$5=0)),"",IFERROR(IF(AND(AH!$U$12=1,1821+1=AH!$U$6),TODAY(),IF(AH!$U$5=1,INDEX('Live History'!$A$5:$A$3004,AH!$U$7+1821),INDEX('AH History'!$A$5:$A$1380,AH!$U$7+1821))),""))</f>
        <v/>
      </c>
      <c r="B1826" s="33">
        <f>IFERROR(IF(AH!$U$11=1,NA(),$J1826/$E1826-1),NA())</f>
        <v/>
      </c>
      <c r="C1826" s="269">
        <f>IFERROR(100*$E1826/$E$5,NA())</f>
        <v/>
      </c>
      <c r="D1826" s="269">
        <f>IFERROR(100*$J1826/$J$5,NA())</f>
        <v/>
      </c>
      <c r="E1826" s="32">
        <f>IFERROR(IF(AND(ISNUMBER($A1826),N(IF(AND(AH!$U$12=1,1821+1=AH!$U$6),IF(AH!$U$4=0,"unavailable",INDEX('Market Data'!$AN$5:$AN$66,AH!$U$4)),IF(AH!$U$5=1,INDEX('Live History'!$B$5:$B$3004,$K1826),INDEX('AH History'!$D$5:$GG$1380,$K1826,AH!$U$10))))&gt;0),IF(AND(AH!$U$12=1,1821+1=AH!$U$6),IF(AH!$U$4=0,"unavailable",INDEX('Market Data'!$AN$5:$AN$66,AH!$U$4)),IF(AH!$U$5=1,INDEX('Live History'!$B$5:$B$3004,$K1826),INDEX('AH History'!$D$5:$GG$1380,$K1826,AH!$U$10))),NA()),NA())</f>
        <v/>
      </c>
      <c r="F1826" s="32">
        <f>IFERROR(IF(ISNUMBER($A1826),IF(AND(AH!$U$12=1,1821+1=AH!$U$6),IF(AH!$U$4=0,"unavailable",INDEX('Market Data'!$AO$5:$AO$66,AH!$U$4)),IF(AH!$U$5=1,INDEX('Live History'!$E$5:$E$3004,MATCH($A1826,'Live History'!$D$5:$D$3004,1)),INDEX('AH History'!$D$5:$GG$1380,$K1826,AH!$U$10+1))),NA()),NA())</f>
        <v/>
      </c>
      <c r="G1826" s="34">
        <f>IFERROR(IF(ISNUMBER($A1826),IF(AND(AH!$U$12=1,1821+1=AH!$U$6),IF(AH!$U$4=0,"unavailable",INDEX('Market Data'!$AK$5:$AK$66,AH!$U$4)),IF(AH!$U$5=1,INDEX('Live History'!$D$5:$D$3004,MATCH($A1826,'Live History'!$D$5:$D$3004,1)),INDEX('AH History'!$D$5:$GG$1380,$K1826,AH!$U$10+2))),NA()),NA())</f>
        <v/>
      </c>
      <c r="H1826" s="266">
        <f>IFERROR(IF(ISNUMBER($A1826),IF(AND(AH!$U$12=1,1821+1=AH!$U$6),IF(AH!$U$4=0,"unavailable",INDEX('Market Data'!$AP$5:$AP$66,AH!$U$4)),IF(AH!$U$5=1,INDEX('Live History'!$H$5:$H$3004,MATCH($A1826,'Live History'!$G$5:$G$3004,1)),INDEX('AH History'!$B$5:$B$1380,$K1826))),NA()),NA())</f>
        <v/>
      </c>
      <c r="I1826" s="34">
        <f>IFERROR(IF(ISNUMBER($A1826),IF(AND(AH!$U$12=1,1821+1=AH!$U$6),TODAY(),IF(AH!$U$5=1,INDEX('Live History'!$G$5:$G$3004,MATCH($A1826,'Live History'!$G$5:$G$3004,1)),INDEX('AH History'!$C$5:$C$1380,$K1826))),NA()),NA())</f>
        <v/>
      </c>
      <c r="J1826" s="32">
        <f>IFERROR(IF(AND($F1826&gt;0,$H1826&gt;0,$A1826-$G1826&lt;=10,$A1826-$I1826&lt;=5,$G1826&gt;0,$I1826&gt;0),$F1826*$H1826,NA()),NA())</f>
        <v/>
      </c>
      <c r="K1826" s="15">
        <f>IF($A1826="","",IF(AH!$U$5=1,IFERROR(MATCH($A1826,'Live History'!$A$5:$A$3004,0),0),AH!$U$7+1821))</f>
        <v/>
      </c>
      <c r="L1826" s="15">
        <f>IF(ISNUMBER(A1826),TEXT(A1826,"dd-mmm-yy"),"")</f>
        <v/>
      </c>
    </row>
    <row r="1827">
      <c r="A1827" s="14">
        <f>IF(OR(AH!$U$4=0,1822+1&gt;AH!$U$6,AND(AH!$M$5="Bloomberg",AH!$U$5=0)),"",IFERROR(IF(AND(AH!$U$12=1,1822+1=AH!$U$6),TODAY(),IF(AH!$U$5=1,INDEX('Live History'!$A$5:$A$3004,AH!$U$7+1822),INDEX('AH History'!$A$5:$A$1380,AH!$U$7+1822))),""))</f>
        <v/>
      </c>
      <c r="B1827" s="33">
        <f>IFERROR(IF(AH!$U$11=1,NA(),$J1827/$E1827-1),NA())</f>
        <v/>
      </c>
      <c r="C1827" s="269">
        <f>IFERROR(100*$E1827/$E$5,NA())</f>
        <v/>
      </c>
      <c r="D1827" s="269">
        <f>IFERROR(100*$J1827/$J$5,NA())</f>
        <v/>
      </c>
      <c r="E1827" s="32">
        <f>IFERROR(IF(AND(ISNUMBER($A1827),N(IF(AND(AH!$U$12=1,1822+1=AH!$U$6),IF(AH!$U$4=0,"unavailable",INDEX('Market Data'!$AN$5:$AN$66,AH!$U$4)),IF(AH!$U$5=1,INDEX('Live History'!$B$5:$B$3004,$K1827),INDEX('AH History'!$D$5:$GG$1380,$K1827,AH!$U$10))))&gt;0),IF(AND(AH!$U$12=1,1822+1=AH!$U$6),IF(AH!$U$4=0,"unavailable",INDEX('Market Data'!$AN$5:$AN$66,AH!$U$4)),IF(AH!$U$5=1,INDEX('Live History'!$B$5:$B$3004,$K1827),INDEX('AH History'!$D$5:$GG$1380,$K1827,AH!$U$10))),NA()),NA())</f>
        <v/>
      </c>
      <c r="F1827" s="32">
        <f>IFERROR(IF(ISNUMBER($A1827),IF(AND(AH!$U$12=1,1822+1=AH!$U$6),IF(AH!$U$4=0,"unavailable",INDEX('Market Data'!$AO$5:$AO$66,AH!$U$4)),IF(AH!$U$5=1,INDEX('Live History'!$E$5:$E$3004,MATCH($A1827,'Live History'!$D$5:$D$3004,1)),INDEX('AH History'!$D$5:$GG$1380,$K1827,AH!$U$10+1))),NA()),NA())</f>
        <v/>
      </c>
      <c r="G1827" s="34">
        <f>IFERROR(IF(ISNUMBER($A1827),IF(AND(AH!$U$12=1,1822+1=AH!$U$6),IF(AH!$U$4=0,"unavailable",INDEX('Market Data'!$AK$5:$AK$66,AH!$U$4)),IF(AH!$U$5=1,INDEX('Live History'!$D$5:$D$3004,MATCH($A1827,'Live History'!$D$5:$D$3004,1)),INDEX('AH History'!$D$5:$GG$1380,$K1827,AH!$U$10+2))),NA()),NA())</f>
        <v/>
      </c>
      <c r="H1827" s="266">
        <f>IFERROR(IF(ISNUMBER($A1827),IF(AND(AH!$U$12=1,1822+1=AH!$U$6),IF(AH!$U$4=0,"unavailable",INDEX('Market Data'!$AP$5:$AP$66,AH!$U$4)),IF(AH!$U$5=1,INDEX('Live History'!$H$5:$H$3004,MATCH($A1827,'Live History'!$G$5:$G$3004,1)),INDEX('AH History'!$B$5:$B$1380,$K1827))),NA()),NA())</f>
        <v/>
      </c>
      <c r="I1827" s="34">
        <f>IFERROR(IF(ISNUMBER($A1827),IF(AND(AH!$U$12=1,1822+1=AH!$U$6),TODAY(),IF(AH!$U$5=1,INDEX('Live History'!$G$5:$G$3004,MATCH($A1827,'Live History'!$G$5:$G$3004,1)),INDEX('AH History'!$C$5:$C$1380,$K1827))),NA()),NA())</f>
        <v/>
      </c>
      <c r="J1827" s="32">
        <f>IFERROR(IF(AND($F1827&gt;0,$H1827&gt;0,$A1827-$G1827&lt;=10,$A1827-$I1827&lt;=5,$G1827&gt;0,$I1827&gt;0),$F1827*$H1827,NA()),NA())</f>
        <v/>
      </c>
      <c r="K1827" s="15">
        <f>IF($A1827="","",IF(AH!$U$5=1,IFERROR(MATCH($A1827,'Live History'!$A$5:$A$3004,0),0),AH!$U$7+1822))</f>
        <v/>
      </c>
      <c r="L1827" s="15">
        <f>IF(ISNUMBER(A1827),TEXT(A1827,"dd-mmm-yy"),"")</f>
        <v/>
      </c>
    </row>
    <row r="1828">
      <c r="A1828" s="14">
        <f>IF(OR(AH!$U$4=0,1823+1&gt;AH!$U$6,AND(AH!$M$5="Bloomberg",AH!$U$5=0)),"",IFERROR(IF(AND(AH!$U$12=1,1823+1=AH!$U$6),TODAY(),IF(AH!$U$5=1,INDEX('Live History'!$A$5:$A$3004,AH!$U$7+1823),INDEX('AH History'!$A$5:$A$1380,AH!$U$7+1823))),""))</f>
        <v/>
      </c>
      <c r="B1828" s="33">
        <f>IFERROR(IF(AH!$U$11=1,NA(),$J1828/$E1828-1),NA())</f>
        <v/>
      </c>
      <c r="C1828" s="269">
        <f>IFERROR(100*$E1828/$E$5,NA())</f>
        <v/>
      </c>
      <c r="D1828" s="269">
        <f>IFERROR(100*$J1828/$J$5,NA())</f>
        <v/>
      </c>
      <c r="E1828" s="32">
        <f>IFERROR(IF(AND(ISNUMBER($A1828),N(IF(AND(AH!$U$12=1,1823+1=AH!$U$6),IF(AH!$U$4=0,"unavailable",INDEX('Market Data'!$AN$5:$AN$66,AH!$U$4)),IF(AH!$U$5=1,INDEX('Live History'!$B$5:$B$3004,$K1828),INDEX('AH History'!$D$5:$GG$1380,$K1828,AH!$U$10))))&gt;0),IF(AND(AH!$U$12=1,1823+1=AH!$U$6),IF(AH!$U$4=0,"unavailable",INDEX('Market Data'!$AN$5:$AN$66,AH!$U$4)),IF(AH!$U$5=1,INDEX('Live History'!$B$5:$B$3004,$K1828),INDEX('AH History'!$D$5:$GG$1380,$K1828,AH!$U$10))),NA()),NA())</f>
        <v/>
      </c>
      <c r="F1828" s="32">
        <f>IFERROR(IF(ISNUMBER($A1828),IF(AND(AH!$U$12=1,1823+1=AH!$U$6),IF(AH!$U$4=0,"unavailable",INDEX('Market Data'!$AO$5:$AO$66,AH!$U$4)),IF(AH!$U$5=1,INDEX('Live History'!$E$5:$E$3004,MATCH($A1828,'Live History'!$D$5:$D$3004,1)),INDEX('AH History'!$D$5:$GG$1380,$K1828,AH!$U$10+1))),NA()),NA())</f>
        <v/>
      </c>
      <c r="G1828" s="34">
        <f>IFERROR(IF(ISNUMBER($A1828),IF(AND(AH!$U$12=1,1823+1=AH!$U$6),IF(AH!$U$4=0,"unavailable",INDEX('Market Data'!$AK$5:$AK$66,AH!$U$4)),IF(AH!$U$5=1,INDEX('Live History'!$D$5:$D$3004,MATCH($A1828,'Live History'!$D$5:$D$3004,1)),INDEX('AH History'!$D$5:$GG$1380,$K1828,AH!$U$10+2))),NA()),NA())</f>
        <v/>
      </c>
      <c r="H1828" s="266">
        <f>IFERROR(IF(ISNUMBER($A1828),IF(AND(AH!$U$12=1,1823+1=AH!$U$6),IF(AH!$U$4=0,"unavailable",INDEX('Market Data'!$AP$5:$AP$66,AH!$U$4)),IF(AH!$U$5=1,INDEX('Live History'!$H$5:$H$3004,MATCH($A1828,'Live History'!$G$5:$G$3004,1)),INDEX('AH History'!$B$5:$B$1380,$K1828))),NA()),NA())</f>
        <v/>
      </c>
      <c r="I1828" s="34">
        <f>IFERROR(IF(ISNUMBER($A1828),IF(AND(AH!$U$12=1,1823+1=AH!$U$6),TODAY(),IF(AH!$U$5=1,INDEX('Live History'!$G$5:$G$3004,MATCH($A1828,'Live History'!$G$5:$G$3004,1)),INDEX('AH History'!$C$5:$C$1380,$K1828))),NA()),NA())</f>
        <v/>
      </c>
      <c r="J1828" s="32">
        <f>IFERROR(IF(AND($F1828&gt;0,$H1828&gt;0,$A1828-$G1828&lt;=10,$A1828-$I1828&lt;=5,$G1828&gt;0,$I1828&gt;0),$F1828*$H1828,NA()),NA())</f>
        <v/>
      </c>
      <c r="K1828" s="15">
        <f>IF($A1828="","",IF(AH!$U$5=1,IFERROR(MATCH($A1828,'Live History'!$A$5:$A$3004,0),0),AH!$U$7+1823))</f>
        <v/>
      </c>
      <c r="L1828" s="15">
        <f>IF(ISNUMBER(A1828),TEXT(A1828,"dd-mmm-yy"),"")</f>
        <v/>
      </c>
    </row>
    <row r="1829">
      <c r="A1829" s="14">
        <f>IF(OR(AH!$U$4=0,1824+1&gt;AH!$U$6,AND(AH!$M$5="Bloomberg",AH!$U$5=0)),"",IFERROR(IF(AND(AH!$U$12=1,1824+1=AH!$U$6),TODAY(),IF(AH!$U$5=1,INDEX('Live History'!$A$5:$A$3004,AH!$U$7+1824),INDEX('AH History'!$A$5:$A$1380,AH!$U$7+1824))),""))</f>
        <v/>
      </c>
      <c r="B1829" s="33">
        <f>IFERROR(IF(AH!$U$11=1,NA(),$J1829/$E1829-1),NA())</f>
        <v/>
      </c>
      <c r="C1829" s="269">
        <f>IFERROR(100*$E1829/$E$5,NA())</f>
        <v/>
      </c>
      <c r="D1829" s="269">
        <f>IFERROR(100*$J1829/$J$5,NA())</f>
        <v/>
      </c>
      <c r="E1829" s="32">
        <f>IFERROR(IF(AND(ISNUMBER($A1829),N(IF(AND(AH!$U$12=1,1824+1=AH!$U$6),IF(AH!$U$4=0,"unavailable",INDEX('Market Data'!$AN$5:$AN$66,AH!$U$4)),IF(AH!$U$5=1,INDEX('Live History'!$B$5:$B$3004,$K1829),INDEX('AH History'!$D$5:$GG$1380,$K1829,AH!$U$10))))&gt;0),IF(AND(AH!$U$12=1,1824+1=AH!$U$6),IF(AH!$U$4=0,"unavailable",INDEX('Market Data'!$AN$5:$AN$66,AH!$U$4)),IF(AH!$U$5=1,INDEX('Live History'!$B$5:$B$3004,$K1829),INDEX('AH History'!$D$5:$GG$1380,$K1829,AH!$U$10))),NA()),NA())</f>
        <v/>
      </c>
      <c r="F1829" s="32">
        <f>IFERROR(IF(ISNUMBER($A1829),IF(AND(AH!$U$12=1,1824+1=AH!$U$6),IF(AH!$U$4=0,"unavailable",INDEX('Market Data'!$AO$5:$AO$66,AH!$U$4)),IF(AH!$U$5=1,INDEX('Live History'!$E$5:$E$3004,MATCH($A1829,'Live History'!$D$5:$D$3004,1)),INDEX('AH History'!$D$5:$GG$1380,$K1829,AH!$U$10+1))),NA()),NA())</f>
        <v/>
      </c>
      <c r="G1829" s="34">
        <f>IFERROR(IF(ISNUMBER($A1829),IF(AND(AH!$U$12=1,1824+1=AH!$U$6),IF(AH!$U$4=0,"unavailable",INDEX('Market Data'!$AK$5:$AK$66,AH!$U$4)),IF(AH!$U$5=1,INDEX('Live History'!$D$5:$D$3004,MATCH($A1829,'Live History'!$D$5:$D$3004,1)),INDEX('AH History'!$D$5:$GG$1380,$K1829,AH!$U$10+2))),NA()),NA())</f>
        <v/>
      </c>
      <c r="H1829" s="266">
        <f>IFERROR(IF(ISNUMBER($A1829),IF(AND(AH!$U$12=1,1824+1=AH!$U$6),IF(AH!$U$4=0,"unavailable",INDEX('Market Data'!$AP$5:$AP$66,AH!$U$4)),IF(AH!$U$5=1,INDEX('Live History'!$H$5:$H$3004,MATCH($A1829,'Live History'!$G$5:$G$3004,1)),INDEX('AH History'!$B$5:$B$1380,$K1829))),NA()),NA())</f>
        <v/>
      </c>
      <c r="I1829" s="34">
        <f>IFERROR(IF(ISNUMBER($A1829),IF(AND(AH!$U$12=1,1824+1=AH!$U$6),TODAY(),IF(AH!$U$5=1,INDEX('Live History'!$G$5:$G$3004,MATCH($A1829,'Live History'!$G$5:$G$3004,1)),INDEX('AH History'!$C$5:$C$1380,$K1829))),NA()),NA())</f>
        <v/>
      </c>
      <c r="J1829" s="32">
        <f>IFERROR(IF(AND($F1829&gt;0,$H1829&gt;0,$A1829-$G1829&lt;=10,$A1829-$I1829&lt;=5,$G1829&gt;0,$I1829&gt;0),$F1829*$H1829,NA()),NA())</f>
        <v/>
      </c>
      <c r="K1829" s="15">
        <f>IF($A1829="","",IF(AH!$U$5=1,IFERROR(MATCH($A1829,'Live History'!$A$5:$A$3004,0),0),AH!$U$7+1824))</f>
        <v/>
      </c>
      <c r="L1829" s="15">
        <f>IF(ISNUMBER(A1829),TEXT(A1829,"dd-mmm-yy"),"")</f>
        <v/>
      </c>
    </row>
    <row r="1830">
      <c r="A1830" s="14">
        <f>IF(OR(AH!$U$4=0,1825+1&gt;AH!$U$6,AND(AH!$M$5="Bloomberg",AH!$U$5=0)),"",IFERROR(IF(AND(AH!$U$12=1,1825+1=AH!$U$6),TODAY(),IF(AH!$U$5=1,INDEX('Live History'!$A$5:$A$3004,AH!$U$7+1825),INDEX('AH History'!$A$5:$A$1380,AH!$U$7+1825))),""))</f>
        <v/>
      </c>
      <c r="B1830" s="33">
        <f>IFERROR(IF(AH!$U$11=1,NA(),$J1830/$E1830-1),NA())</f>
        <v/>
      </c>
      <c r="C1830" s="269">
        <f>IFERROR(100*$E1830/$E$5,NA())</f>
        <v/>
      </c>
      <c r="D1830" s="269">
        <f>IFERROR(100*$J1830/$J$5,NA())</f>
        <v/>
      </c>
      <c r="E1830" s="32">
        <f>IFERROR(IF(AND(ISNUMBER($A1830),N(IF(AND(AH!$U$12=1,1825+1=AH!$U$6),IF(AH!$U$4=0,"unavailable",INDEX('Market Data'!$AN$5:$AN$66,AH!$U$4)),IF(AH!$U$5=1,INDEX('Live History'!$B$5:$B$3004,$K1830),INDEX('AH History'!$D$5:$GG$1380,$K1830,AH!$U$10))))&gt;0),IF(AND(AH!$U$12=1,1825+1=AH!$U$6),IF(AH!$U$4=0,"unavailable",INDEX('Market Data'!$AN$5:$AN$66,AH!$U$4)),IF(AH!$U$5=1,INDEX('Live History'!$B$5:$B$3004,$K1830),INDEX('AH History'!$D$5:$GG$1380,$K1830,AH!$U$10))),NA()),NA())</f>
        <v/>
      </c>
      <c r="F1830" s="32">
        <f>IFERROR(IF(ISNUMBER($A1830),IF(AND(AH!$U$12=1,1825+1=AH!$U$6),IF(AH!$U$4=0,"unavailable",INDEX('Market Data'!$AO$5:$AO$66,AH!$U$4)),IF(AH!$U$5=1,INDEX('Live History'!$E$5:$E$3004,MATCH($A1830,'Live History'!$D$5:$D$3004,1)),INDEX('AH History'!$D$5:$GG$1380,$K1830,AH!$U$10+1))),NA()),NA())</f>
        <v/>
      </c>
      <c r="G1830" s="34">
        <f>IFERROR(IF(ISNUMBER($A1830),IF(AND(AH!$U$12=1,1825+1=AH!$U$6),IF(AH!$U$4=0,"unavailable",INDEX('Market Data'!$AK$5:$AK$66,AH!$U$4)),IF(AH!$U$5=1,INDEX('Live History'!$D$5:$D$3004,MATCH($A1830,'Live History'!$D$5:$D$3004,1)),INDEX('AH History'!$D$5:$GG$1380,$K1830,AH!$U$10+2))),NA()),NA())</f>
        <v/>
      </c>
      <c r="H1830" s="266">
        <f>IFERROR(IF(ISNUMBER($A1830),IF(AND(AH!$U$12=1,1825+1=AH!$U$6),IF(AH!$U$4=0,"unavailable",INDEX('Market Data'!$AP$5:$AP$66,AH!$U$4)),IF(AH!$U$5=1,INDEX('Live History'!$H$5:$H$3004,MATCH($A1830,'Live History'!$G$5:$G$3004,1)),INDEX('AH History'!$B$5:$B$1380,$K1830))),NA()),NA())</f>
        <v/>
      </c>
      <c r="I1830" s="34">
        <f>IFERROR(IF(ISNUMBER($A1830),IF(AND(AH!$U$12=1,1825+1=AH!$U$6),TODAY(),IF(AH!$U$5=1,INDEX('Live History'!$G$5:$G$3004,MATCH($A1830,'Live History'!$G$5:$G$3004,1)),INDEX('AH History'!$C$5:$C$1380,$K1830))),NA()),NA())</f>
        <v/>
      </c>
      <c r="J1830" s="32">
        <f>IFERROR(IF(AND($F1830&gt;0,$H1830&gt;0,$A1830-$G1830&lt;=10,$A1830-$I1830&lt;=5,$G1830&gt;0,$I1830&gt;0),$F1830*$H1830,NA()),NA())</f>
        <v/>
      </c>
      <c r="K1830" s="15">
        <f>IF($A1830="","",IF(AH!$U$5=1,IFERROR(MATCH($A1830,'Live History'!$A$5:$A$3004,0),0),AH!$U$7+1825))</f>
        <v/>
      </c>
      <c r="L1830" s="15">
        <f>IF(ISNUMBER(A1830),TEXT(A1830,"dd-mmm-yy"),"")</f>
        <v/>
      </c>
    </row>
    <row r="1831">
      <c r="A1831" s="14">
        <f>IF(OR(AH!$U$4=0,1826+1&gt;AH!$U$6,AND(AH!$M$5="Bloomberg",AH!$U$5=0)),"",IFERROR(IF(AND(AH!$U$12=1,1826+1=AH!$U$6),TODAY(),IF(AH!$U$5=1,INDEX('Live History'!$A$5:$A$3004,AH!$U$7+1826),INDEX('AH History'!$A$5:$A$1380,AH!$U$7+1826))),""))</f>
        <v/>
      </c>
      <c r="B1831" s="33">
        <f>IFERROR(IF(AH!$U$11=1,NA(),$J1831/$E1831-1),NA())</f>
        <v/>
      </c>
      <c r="C1831" s="269">
        <f>IFERROR(100*$E1831/$E$5,NA())</f>
        <v/>
      </c>
      <c r="D1831" s="269">
        <f>IFERROR(100*$J1831/$J$5,NA())</f>
        <v/>
      </c>
      <c r="E1831" s="32">
        <f>IFERROR(IF(AND(ISNUMBER($A1831),N(IF(AND(AH!$U$12=1,1826+1=AH!$U$6),IF(AH!$U$4=0,"unavailable",INDEX('Market Data'!$AN$5:$AN$66,AH!$U$4)),IF(AH!$U$5=1,INDEX('Live History'!$B$5:$B$3004,$K1831),INDEX('AH History'!$D$5:$GG$1380,$K1831,AH!$U$10))))&gt;0),IF(AND(AH!$U$12=1,1826+1=AH!$U$6),IF(AH!$U$4=0,"unavailable",INDEX('Market Data'!$AN$5:$AN$66,AH!$U$4)),IF(AH!$U$5=1,INDEX('Live History'!$B$5:$B$3004,$K1831),INDEX('AH History'!$D$5:$GG$1380,$K1831,AH!$U$10))),NA()),NA())</f>
        <v/>
      </c>
      <c r="F1831" s="32">
        <f>IFERROR(IF(ISNUMBER($A1831),IF(AND(AH!$U$12=1,1826+1=AH!$U$6),IF(AH!$U$4=0,"unavailable",INDEX('Market Data'!$AO$5:$AO$66,AH!$U$4)),IF(AH!$U$5=1,INDEX('Live History'!$E$5:$E$3004,MATCH($A1831,'Live History'!$D$5:$D$3004,1)),INDEX('AH History'!$D$5:$GG$1380,$K1831,AH!$U$10+1))),NA()),NA())</f>
        <v/>
      </c>
      <c r="G1831" s="34">
        <f>IFERROR(IF(ISNUMBER($A1831),IF(AND(AH!$U$12=1,1826+1=AH!$U$6),IF(AH!$U$4=0,"unavailable",INDEX('Market Data'!$AK$5:$AK$66,AH!$U$4)),IF(AH!$U$5=1,INDEX('Live History'!$D$5:$D$3004,MATCH($A1831,'Live History'!$D$5:$D$3004,1)),INDEX('AH History'!$D$5:$GG$1380,$K1831,AH!$U$10+2))),NA()),NA())</f>
        <v/>
      </c>
      <c r="H1831" s="266">
        <f>IFERROR(IF(ISNUMBER($A1831),IF(AND(AH!$U$12=1,1826+1=AH!$U$6),IF(AH!$U$4=0,"unavailable",INDEX('Market Data'!$AP$5:$AP$66,AH!$U$4)),IF(AH!$U$5=1,INDEX('Live History'!$H$5:$H$3004,MATCH($A1831,'Live History'!$G$5:$G$3004,1)),INDEX('AH History'!$B$5:$B$1380,$K1831))),NA()),NA())</f>
        <v/>
      </c>
      <c r="I1831" s="34">
        <f>IFERROR(IF(ISNUMBER($A1831),IF(AND(AH!$U$12=1,1826+1=AH!$U$6),TODAY(),IF(AH!$U$5=1,INDEX('Live History'!$G$5:$G$3004,MATCH($A1831,'Live History'!$G$5:$G$3004,1)),INDEX('AH History'!$C$5:$C$1380,$K1831))),NA()),NA())</f>
        <v/>
      </c>
      <c r="J1831" s="32">
        <f>IFERROR(IF(AND($F1831&gt;0,$H1831&gt;0,$A1831-$G1831&lt;=10,$A1831-$I1831&lt;=5,$G1831&gt;0,$I1831&gt;0),$F1831*$H1831,NA()),NA())</f>
        <v/>
      </c>
      <c r="K1831" s="15">
        <f>IF($A1831="","",IF(AH!$U$5=1,IFERROR(MATCH($A1831,'Live History'!$A$5:$A$3004,0),0),AH!$U$7+1826))</f>
        <v/>
      </c>
      <c r="L1831" s="15">
        <f>IF(ISNUMBER(A1831),TEXT(A1831,"dd-mmm-yy"),"")</f>
        <v/>
      </c>
    </row>
    <row r="1832">
      <c r="A1832" s="14">
        <f>IF(OR(AH!$U$4=0,1827+1&gt;AH!$U$6,AND(AH!$M$5="Bloomberg",AH!$U$5=0)),"",IFERROR(IF(AND(AH!$U$12=1,1827+1=AH!$U$6),TODAY(),IF(AH!$U$5=1,INDEX('Live History'!$A$5:$A$3004,AH!$U$7+1827),INDEX('AH History'!$A$5:$A$1380,AH!$U$7+1827))),""))</f>
        <v/>
      </c>
      <c r="B1832" s="33">
        <f>IFERROR(IF(AH!$U$11=1,NA(),$J1832/$E1832-1),NA())</f>
        <v/>
      </c>
      <c r="C1832" s="269">
        <f>IFERROR(100*$E1832/$E$5,NA())</f>
        <v/>
      </c>
      <c r="D1832" s="269">
        <f>IFERROR(100*$J1832/$J$5,NA())</f>
        <v/>
      </c>
      <c r="E1832" s="32">
        <f>IFERROR(IF(AND(ISNUMBER($A1832),N(IF(AND(AH!$U$12=1,1827+1=AH!$U$6),IF(AH!$U$4=0,"unavailable",INDEX('Market Data'!$AN$5:$AN$66,AH!$U$4)),IF(AH!$U$5=1,INDEX('Live History'!$B$5:$B$3004,$K1832),INDEX('AH History'!$D$5:$GG$1380,$K1832,AH!$U$10))))&gt;0),IF(AND(AH!$U$12=1,1827+1=AH!$U$6),IF(AH!$U$4=0,"unavailable",INDEX('Market Data'!$AN$5:$AN$66,AH!$U$4)),IF(AH!$U$5=1,INDEX('Live History'!$B$5:$B$3004,$K1832),INDEX('AH History'!$D$5:$GG$1380,$K1832,AH!$U$10))),NA()),NA())</f>
        <v/>
      </c>
      <c r="F1832" s="32">
        <f>IFERROR(IF(ISNUMBER($A1832),IF(AND(AH!$U$12=1,1827+1=AH!$U$6),IF(AH!$U$4=0,"unavailable",INDEX('Market Data'!$AO$5:$AO$66,AH!$U$4)),IF(AH!$U$5=1,INDEX('Live History'!$E$5:$E$3004,MATCH($A1832,'Live History'!$D$5:$D$3004,1)),INDEX('AH History'!$D$5:$GG$1380,$K1832,AH!$U$10+1))),NA()),NA())</f>
        <v/>
      </c>
      <c r="G1832" s="34">
        <f>IFERROR(IF(ISNUMBER($A1832),IF(AND(AH!$U$12=1,1827+1=AH!$U$6),IF(AH!$U$4=0,"unavailable",INDEX('Market Data'!$AK$5:$AK$66,AH!$U$4)),IF(AH!$U$5=1,INDEX('Live History'!$D$5:$D$3004,MATCH($A1832,'Live History'!$D$5:$D$3004,1)),INDEX('AH History'!$D$5:$GG$1380,$K1832,AH!$U$10+2))),NA()),NA())</f>
        <v/>
      </c>
      <c r="H1832" s="266">
        <f>IFERROR(IF(ISNUMBER($A1832),IF(AND(AH!$U$12=1,1827+1=AH!$U$6),IF(AH!$U$4=0,"unavailable",INDEX('Market Data'!$AP$5:$AP$66,AH!$U$4)),IF(AH!$U$5=1,INDEX('Live History'!$H$5:$H$3004,MATCH($A1832,'Live History'!$G$5:$G$3004,1)),INDEX('AH History'!$B$5:$B$1380,$K1832))),NA()),NA())</f>
        <v/>
      </c>
      <c r="I1832" s="34">
        <f>IFERROR(IF(ISNUMBER($A1832),IF(AND(AH!$U$12=1,1827+1=AH!$U$6),TODAY(),IF(AH!$U$5=1,INDEX('Live History'!$G$5:$G$3004,MATCH($A1832,'Live History'!$G$5:$G$3004,1)),INDEX('AH History'!$C$5:$C$1380,$K1832))),NA()),NA())</f>
        <v/>
      </c>
      <c r="J1832" s="32">
        <f>IFERROR(IF(AND($F1832&gt;0,$H1832&gt;0,$A1832-$G1832&lt;=10,$A1832-$I1832&lt;=5,$G1832&gt;0,$I1832&gt;0),$F1832*$H1832,NA()),NA())</f>
        <v/>
      </c>
      <c r="K1832" s="15">
        <f>IF($A1832="","",IF(AH!$U$5=1,IFERROR(MATCH($A1832,'Live History'!$A$5:$A$3004,0),0),AH!$U$7+1827))</f>
        <v/>
      </c>
      <c r="L1832" s="15">
        <f>IF(ISNUMBER(A1832),TEXT(A1832,"dd-mmm-yy"),"")</f>
        <v/>
      </c>
    </row>
    <row r="1833">
      <c r="A1833" s="14">
        <f>IF(OR(AH!$U$4=0,1828+1&gt;AH!$U$6,AND(AH!$M$5="Bloomberg",AH!$U$5=0)),"",IFERROR(IF(AND(AH!$U$12=1,1828+1=AH!$U$6),TODAY(),IF(AH!$U$5=1,INDEX('Live History'!$A$5:$A$3004,AH!$U$7+1828),INDEX('AH History'!$A$5:$A$1380,AH!$U$7+1828))),""))</f>
        <v/>
      </c>
      <c r="B1833" s="33">
        <f>IFERROR(IF(AH!$U$11=1,NA(),$J1833/$E1833-1),NA())</f>
        <v/>
      </c>
      <c r="C1833" s="269">
        <f>IFERROR(100*$E1833/$E$5,NA())</f>
        <v/>
      </c>
      <c r="D1833" s="269">
        <f>IFERROR(100*$J1833/$J$5,NA())</f>
        <v/>
      </c>
      <c r="E1833" s="32">
        <f>IFERROR(IF(AND(ISNUMBER($A1833),N(IF(AND(AH!$U$12=1,1828+1=AH!$U$6),IF(AH!$U$4=0,"unavailable",INDEX('Market Data'!$AN$5:$AN$66,AH!$U$4)),IF(AH!$U$5=1,INDEX('Live History'!$B$5:$B$3004,$K1833),INDEX('AH History'!$D$5:$GG$1380,$K1833,AH!$U$10))))&gt;0),IF(AND(AH!$U$12=1,1828+1=AH!$U$6),IF(AH!$U$4=0,"unavailable",INDEX('Market Data'!$AN$5:$AN$66,AH!$U$4)),IF(AH!$U$5=1,INDEX('Live History'!$B$5:$B$3004,$K1833),INDEX('AH History'!$D$5:$GG$1380,$K1833,AH!$U$10))),NA()),NA())</f>
        <v/>
      </c>
      <c r="F1833" s="32">
        <f>IFERROR(IF(ISNUMBER($A1833),IF(AND(AH!$U$12=1,1828+1=AH!$U$6),IF(AH!$U$4=0,"unavailable",INDEX('Market Data'!$AO$5:$AO$66,AH!$U$4)),IF(AH!$U$5=1,INDEX('Live History'!$E$5:$E$3004,MATCH($A1833,'Live History'!$D$5:$D$3004,1)),INDEX('AH History'!$D$5:$GG$1380,$K1833,AH!$U$10+1))),NA()),NA())</f>
        <v/>
      </c>
      <c r="G1833" s="34">
        <f>IFERROR(IF(ISNUMBER($A1833),IF(AND(AH!$U$12=1,1828+1=AH!$U$6),IF(AH!$U$4=0,"unavailable",INDEX('Market Data'!$AK$5:$AK$66,AH!$U$4)),IF(AH!$U$5=1,INDEX('Live History'!$D$5:$D$3004,MATCH($A1833,'Live History'!$D$5:$D$3004,1)),INDEX('AH History'!$D$5:$GG$1380,$K1833,AH!$U$10+2))),NA()),NA())</f>
        <v/>
      </c>
      <c r="H1833" s="266">
        <f>IFERROR(IF(ISNUMBER($A1833),IF(AND(AH!$U$12=1,1828+1=AH!$U$6),IF(AH!$U$4=0,"unavailable",INDEX('Market Data'!$AP$5:$AP$66,AH!$U$4)),IF(AH!$U$5=1,INDEX('Live History'!$H$5:$H$3004,MATCH($A1833,'Live History'!$G$5:$G$3004,1)),INDEX('AH History'!$B$5:$B$1380,$K1833))),NA()),NA())</f>
        <v/>
      </c>
      <c r="I1833" s="34">
        <f>IFERROR(IF(ISNUMBER($A1833),IF(AND(AH!$U$12=1,1828+1=AH!$U$6),TODAY(),IF(AH!$U$5=1,INDEX('Live History'!$G$5:$G$3004,MATCH($A1833,'Live History'!$G$5:$G$3004,1)),INDEX('AH History'!$C$5:$C$1380,$K1833))),NA()),NA())</f>
        <v/>
      </c>
      <c r="J1833" s="32">
        <f>IFERROR(IF(AND($F1833&gt;0,$H1833&gt;0,$A1833-$G1833&lt;=10,$A1833-$I1833&lt;=5,$G1833&gt;0,$I1833&gt;0),$F1833*$H1833,NA()),NA())</f>
        <v/>
      </c>
      <c r="K1833" s="15">
        <f>IF($A1833="","",IF(AH!$U$5=1,IFERROR(MATCH($A1833,'Live History'!$A$5:$A$3004,0),0),AH!$U$7+1828))</f>
        <v/>
      </c>
      <c r="L1833" s="15">
        <f>IF(ISNUMBER(A1833),TEXT(A1833,"dd-mmm-yy"),"")</f>
        <v/>
      </c>
    </row>
    <row r="1834">
      <c r="A1834" s="14">
        <f>IF(OR(AH!$U$4=0,1829+1&gt;AH!$U$6,AND(AH!$M$5="Bloomberg",AH!$U$5=0)),"",IFERROR(IF(AND(AH!$U$12=1,1829+1=AH!$U$6),TODAY(),IF(AH!$U$5=1,INDEX('Live History'!$A$5:$A$3004,AH!$U$7+1829),INDEX('AH History'!$A$5:$A$1380,AH!$U$7+1829))),""))</f>
        <v/>
      </c>
      <c r="B1834" s="33">
        <f>IFERROR(IF(AH!$U$11=1,NA(),$J1834/$E1834-1),NA())</f>
        <v/>
      </c>
      <c r="C1834" s="269">
        <f>IFERROR(100*$E1834/$E$5,NA())</f>
        <v/>
      </c>
      <c r="D1834" s="269">
        <f>IFERROR(100*$J1834/$J$5,NA())</f>
        <v/>
      </c>
      <c r="E1834" s="32">
        <f>IFERROR(IF(AND(ISNUMBER($A1834),N(IF(AND(AH!$U$12=1,1829+1=AH!$U$6),IF(AH!$U$4=0,"unavailable",INDEX('Market Data'!$AN$5:$AN$66,AH!$U$4)),IF(AH!$U$5=1,INDEX('Live History'!$B$5:$B$3004,$K1834),INDEX('AH History'!$D$5:$GG$1380,$K1834,AH!$U$10))))&gt;0),IF(AND(AH!$U$12=1,1829+1=AH!$U$6),IF(AH!$U$4=0,"unavailable",INDEX('Market Data'!$AN$5:$AN$66,AH!$U$4)),IF(AH!$U$5=1,INDEX('Live History'!$B$5:$B$3004,$K1834),INDEX('AH History'!$D$5:$GG$1380,$K1834,AH!$U$10))),NA()),NA())</f>
        <v/>
      </c>
      <c r="F1834" s="32">
        <f>IFERROR(IF(ISNUMBER($A1834),IF(AND(AH!$U$12=1,1829+1=AH!$U$6),IF(AH!$U$4=0,"unavailable",INDEX('Market Data'!$AO$5:$AO$66,AH!$U$4)),IF(AH!$U$5=1,INDEX('Live History'!$E$5:$E$3004,MATCH($A1834,'Live History'!$D$5:$D$3004,1)),INDEX('AH History'!$D$5:$GG$1380,$K1834,AH!$U$10+1))),NA()),NA())</f>
        <v/>
      </c>
      <c r="G1834" s="34">
        <f>IFERROR(IF(ISNUMBER($A1834),IF(AND(AH!$U$12=1,1829+1=AH!$U$6),IF(AH!$U$4=0,"unavailable",INDEX('Market Data'!$AK$5:$AK$66,AH!$U$4)),IF(AH!$U$5=1,INDEX('Live History'!$D$5:$D$3004,MATCH($A1834,'Live History'!$D$5:$D$3004,1)),INDEX('AH History'!$D$5:$GG$1380,$K1834,AH!$U$10+2))),NA()),NA())</f>
        <v/>
      </c>
      <c r="H1834" s="266">
        <f>IFERROR(IF(ISNUMBER($A1834),IF(AND(AH!$U$12=1,1829+1=AH!$U$6),IF(AH!$U$4=0,"unavailable",INDEX('Market Data'!$AP$5:$AP$66,AH!$U$4)),IF(AH!$U$5=1,INDEX('Live History'!$H$5:$H$3004,MATCH($A1834,'Live History'!$G$5:$G$3004,1)),INDEX('AH History'!$B$5:$B$1380,$K1834))),NA()),NA())</f>
        <v/>
      </c>
      <c r="I1834" s="34">
        <f>IFERROR(IF(ISNUMBER($A1834),IF(AND(AH!$U$12=1,1829+1=AH!$U$6),TODAY(),IF(AH!$U$5=1,INDEX('Live History'!$G$5:$G$3004,MATCH($A1834,'Live History'!$G$5:$G$3004,1)),INDEX('AH History'!$C$5:$C$1380,$K1834))),NA()),NA())</f>
        <v/>
      </c>
      <c r="J1834" s="32">
        <f>IFERROR(IF(AND($F1834&gt;0,$H1834&gt;0,$A1834-$G1834&lt;=10,$A1834-$I1834&lt;=5,$G1834&gt;0,$I1834&gt;0),$F1834*$H1834,NA()),NA())</f>
        <v/>
      </c>
      <c r="K1834" s="15">
        <f>IF($A1834="","",IF(AH!$U$5=1,IFERROR(MATCH($A1834,'Live History'!$A$5:$A$3004,0),0),AH!$U$7+1829))</f>
        <v/>
      </c>
      <c r="L1834" s="15">
        <f>IF(ISNUMBER(A1834),TEXT(A1834,"dd-mmm-yy"),"")</f>
        <v/>
      </c>
    </row>
    <row r="1835">
      <c r="A1835" s="14">
        <f>IF(OR(AH!$U$4=0,1830+1&gt;AH!$U$6,AND(AH!$M$5="Bloomberg",AH!$U$5=0)),"",IFERROR(IF(AND(AH!$U$12=1,1830+1=AH!$U$6),TODAY(),IF(AH!$U$5=1,INDEX('Live History'!$A$5:$A$3004,AH!$U$7+1830),INDEX('AH History'!$A$5:$A$1380,AH!$U$7+1830))),""))</f>
        <v/>
      </c>
      <c r="B1835" s="33">
        <f>IFERROR(IF(AH!$U$11=1,NA(),$J1835/$E1835-1),NA())</f>
        <v/>
      </c>
      <c r="C1835" s="269">
        <f>IFERROR(100*$E1835/$E$5,NA())</f>
        <v/>
      </c>
      <c r="D1835" s="269">
        <f>IFERROR(100*$J1835/$J$5,NA())</f>
        <v/>
      </c>
      <c r="E1835" s="32">
        <f>IFERROR(IF(AND(ISNUMBER($A1835),N(IF(AND(AH!$U$12=1,1830+1=AH!$U$6),IF(AH!$U$4=0,"unavailable",INDEX('Market Data'!$AN$5:$AN$66,AH!$U$4)),IF(AH!$U$5=1,INDEX('Live History'!$B$5:$B$3004,$K1835),INDEX('AH History'!$D$5:$GG$1380,$K1835,AH!$U$10))))&gt;0),IF(AND(AH!$U$12=1,1830+1=AH!$U$6),IF(AH!$U$4=0,"unavailable",INDEX('Market Data'!$AN$5:$AN$66,AH!$U$4)),IF(AH!$U$5=1,INDEX('Live History'!$B$5:$B$3004,$K1835),INDEX('AH History'!$D$5:$GG$1380,$K1835,AH!$U$10))),NA()),NA())</f>
        <v/>
      </c>
      <c r="F1835" s="32">
        <f>IFERROR(IF(ISNUMBER($A1835),IF(AND(AH!$U$12=1,1830+1=AH!$U$6),IF(AH!$U$4=0,"unavailable",INDEX('Market Data'!$AO$5:$AO$66,AH!$U$4)),IF(AH!$U$5=1,INDEX('Live History'!$E$5:$E$3004,MATCH($A1835,'Live History'!$D$5:$D$3004,1)),INDEX('AH History'!$D$5:$GG$1380,$K1835,AH!$U$10+1))),NA()),NA())</f>
        <v/>
      </c>
      <c r="G1835" s="34">
        <f>IFERROR(IF(ISNUMBER($A1835),IF(AND(AH!$U$12=1,1830+1=AH!$U$6),IF(AH!$U$4=0,"unavailable",INDEX('Market Data'!$AK$5:$AK$66,AH!$U$4)),IF(AH!$U$5=1,INDEX('Live History'!$D$5:$D$3004,MATCH($A1835,'Live History'!$D$5:$D$3004,1)),INDEX('AH History'!$D$5:$GG$1380,$K1835,AH!$U$10+2))),NA()),NA())</f>
        <v/>
      </c>
      <c r="H1835" s="266">
        <f>IFERROR(IF(ISNUMBER($A1835),IF(AND(AH!$U$12=1,1830+1=AH!$U$6),IF(AH!$U$4=0,"unavailable",INDEX('Market Data'!$AP$5:$AP$66,AH!$U$4)),IF(AH!$U$5=1,INDEX('Live History'!$H$5:$H$3004,MATCH($A1835,'Live History'!$G$5:$G$3004,1)),INDEX('AH History'!$B$5:$B$1380,$K1835))),NA()),NA())</f>
        <v/>
      </c>
      <c r="I1835" s="34">
        <f>IFERROR(IF(ISNUMBER($A1835),IF(AND(AH!$U$12=1,1830+1=AH!$U$6),TODAY(),IF(AH!$U$5=1,INDEX('Live History'!$G$5:$G$3004,MATCH($A1835,'Live History'!$G$5:$G$3004,1)),INDEX('AH History'!$C$5:$C$1380,$K1835))),NA()),NA())</f>
        <v/>
      </c>
      <c r="J1835" s="32">
        <f>IFERROR(IF(AND($F1835&gt;0,$H1835&gt;0,$A1835-$G1835&lt;=10,$A1835-$I1835&lt;=5,$G1835&gt;0,$I1835&gt;0),$F1835*$H1835,NA()),NA())</f>
        <v/>
      </c>
      <c r="K1835" s="15">
        <f>IF($A1835="","",IF(AH!$U$5=1,IFERROR(MATCH($A1835,'Live History'!$A$5:$A$3004,0),0),AH!$U$7+1830))</f>
        <v/>
      </c>
      <c r="L1835" s="15">
        <f>IF(ISNUMBER(A1835),TEXT(A1835,"dd-mmm-yy"),"")</f>
        <v/>
      </c>
    </row>
    <row r="1836">
      <c r="A1836" s="14">
        <f>IF(OR(AH!$U$4=0,1831+1&gt;AH!$U$6,AND(AH!$M$5="Bloomberg",AH!$U$5=0)),"",IFERROR(IF(AND(AH!$U$12=1,1831+1=AH!$U$6),TODAY(),IF(AH!$U$5=1,INDEX('Live History'!$A$5:$A$3004,AH!$U$7+1831),INDEX('AH History'!$A$5:$A$1380,AH!$U$7+1831))),""))</f>
        <v/>
      </c>
      <c r="B1836" s="33">
        <f>IFERROR(IF(AH!$U$11=1,NA(),$J1836/$E1836-1),NA())</f>
        <v/>
      </c>
      <c r="C1836" s="269">
        <f>IFERROR(100*$E1836/$E$5,NA())</f>
        <v/>
      </c>
      <c r="D1836" s="269">
        <f>IFERROR(100*$J1836/$J$5,NA())</f>
        <v/>
      </c>
      <c r="E1836" s="32">
        <f>IFERROR(IF(AND(ISNUMBER($A1836),N(IF(AND(AH!$U$12=1,1831+1=AH!$U$6),IF(AH!$U$4=0,"unavailable",INDEX('Market Data'!$AN$5:$AN$66,AH!$U$4)),IF(AH!$U$5=1,INDEX('Live History'!$B$5:$B$3004,$K1836),INDEX('AH History'!$D$5:$GG$1380,$K1836,AH!$U$10))))&gt;0),IF(AND(AH!$U$12=1,1831+1=AH!$U$6),IF(AH!$U$4=0,"unavailable",INDEX('Market Data'!$AN$5:$AN$66,AH!$U$4)),IF(AH!$U$5=1,INDEX('Live History'!$B$5:$B$3004,$K1836),INDEX('AH History'!$D$5:$GG$1380,$K1836,AH!$U$10))),NA()),NA())</f>
        <v/>
      </c>
      <c r="F1836" s="32">
        <f>IFERROR(IF(ISNUMBER($A1836),IF(AND(AH!$U$12=1,1831+1=AH!$U$6),IF(AH!$U$4=0,"unavailable",INDEX('Market Data'!$AO$5:$AO$66,AH!$U$4)),IF(AH!$U$5=1,INDEX('Live History'!$E$5:$E$3004,MATCH($A1836,'Live History'!$D$5:$D$3004,1)),INDEX('AH History'!$D$5:$GG$1380,$K1836,AH!$U$10+1))),NA()),NA())</f>
        <v/>
      </c>
      <c r="G1836" s="34">
        <f>IFERROR(IF(ISNUMBER($A1836),IF(AND(AH!$U$12=1,1831+1=AH!$U$6),IF(AH!$U$4=0,"unavailable",INDEX('Market Data'!$AK$5:$AK$66,AH!$U$4)),IF(AH!$U$5=1,INDEX('Live History'!$D$5:$D$3004,MATCH($A1836,'Live History'!$D$5:$D$3004,1)),INDEX('AH History'!$D$5:$GG$1380,$K1836,AH!$U$10+2))),NA()),NA())</f>
        <v/>
      </c>
      <c r="H1836" s="266">
        <f>IFERROR(IF(ISNUMBER($A1836),IF(AND(AH!$U$12=1,1831+1=AH!$U$6),IF(AH!$U$4=0,"unavailable",INDEX('Market Data'!$AP$5:$AP$66,AH!$U$4)),IF(AH!$U$5=1,INDEX('Live History'!$H$5:$H$3004,MATCH($A1836,'Live History'!$G$5:$G$3004,1)),INDEX('AH History'!$B$5:$B$1380,$K1836))),NA()),NA())</f>
        <v/>
      </c>
      <c r="I1836" s="34">
        <f>IFERROR(IF(ISNUMBER($A1836),IF(AND(AH!$U$12=1,1831+1=AH!$U$6),TODAY(),IF(AH!$U$5=1,INDEX('Live History'!$G$5:$G$3004,MATCH($A1836,'Live History'!$G$5:$G$3004,1)),INDEX('AH History'!$C$5:$C$1380,$K1836))),NA()),NA())</f>
        <v/>
      </c>
      <c r="J1836" s="32">
        <f>IFERROR(IF(AND($F1836&gt;0,$H1836&gt;0,$A1836-$G1836&lt;=10,$A1836-$I1836&lt;=5,$G1836&gt;0,$I1836&gt;0),$F1836*$H1836,NA()),NA())</f>
        <v/>
      </c>
      <c r="K1836" s="15">
        <f>IF($A1836="","",IF(AH!$U$5=1,IFERROR(MATCH($A1836,'Live History'!$A$5:$A$3004,0),0),AH!$U$7+1831))</f>
        <v/>
      </c>
      <c r="L1836" s="15">
        <f>IF(ISNUMBER(A1836),TEXT(A1836,"dd-mmm-yy"),"")</f>
        <v/>
      </c>
    </row>
    <row r="1837">
      <c r="A1837" s="14">
        <f>IF(OR(AH!$U$4=0,1832+1&gt;AH!$U$6,AND(AH!$M$5="Bloomberg",AH!$U$5=0)),"",IFERROR(IF(AND(AH!$U$12=1,1832+1=AH!$U$6),TODAY(),IF(AH!$U$5=1,INDEX('Live History'!$A$5:$A$3004,AH!$U$7+1832),INDEX('AH History'!$A$5:$A$1380,AH!$U$7+1832))),""))</f>
        <v/>
      </c>
      <c r="B1837" s="33">
        <f>IFERROR(IF(AH!$U$11=1,NA(),$J1837/$E1837-1),NA())</f>
        <v/>
      </c>
      <c r="C1837" s="269">
        <f>IFERROR(100*$E1837/$E$5,NA())</f>
        <v/>
      </c>
      <c r="D1837" s="269">
        <f>IFERROR(100*$J1837/$J$5,NA())</f>
        <v/>
      </c>
      <c r="E1837" s="32">
        <f>IFERROR(IF(AND(ISNUMBER($A1837),N(IF(AND(AH!$U$12=1,1832+1=AH!$U$6),IF(AH!$U$4=0,"unavailable",INDEX('Market Data'!$AN$5:$AN$66,AH!$U$4)),IF(AH!$U$5=1,INDEX('Live History'!$B$5:$B$3004,$K1837),INDEX('AH History'!$D$5:$GG$1380,$K1837,AH!$U$10))))&gt;0),IF(AND(AH!$U$12=1,1832+1=AH!$U$6),IF(AH!$U$4=0,"unavailable",INDEX('Market Data'!$AN$5:$AN$66,AH!$U$4)),IF(AH!$U$5=1,INDEX('Live History'!$B$5:$B$3004,$K1837),INDEX('AH History'!$D$5:$GG$1380,$K1837,AH!$U$10))),NA()),NA())</f>
        <v/>
      </c>
      <c r="F1837" s="32">
        <f>IFERROR(IF(ISNUMBER($A1837),IF(AND(AH!$U$12=1,1832+1=AH!$U$6),IF(AH!$U$4=0,"unavailable",INDEX('Market Data'!$AO$5:$AO$66,AH!$U$4)),IF(AH!$U$5=1,INDEX('Live History'!$E$5:$E$3004,MATCH($A1837,'Live History'!$D$5:$D$3004,1)),INDEX('AH History'!$D$5:$GG$1380,$K1837,AH!$U$10+1))),NA()),NA())</f>
        <v/>
      </c>
      <c r="G1837" s="34">
        <f>IFERROR(IF(ISNUMBER($A1837),IF(AND(AH!$U$12=1,1832+1=AH!$U$6),IF(AH!$U$4=0,"unavailable",INDEX('Market Data'!$AK$5:$AK$66,AH!$U$4)),IF(AH!$U$5=1,INDEX('Live History'!$D$5:$D$3004,MATCH($A1837,'Live History'!$D$5:$D$3004,1)),INDEX('AH History'!$D$5:$GG$1380,$K1837,AH!$U$10+2))),NA()),NA())</f>
        <v/>
      </c>
      <c r="H1837" s="266">
        <f>IFERROR(IF(ISNUMBER($A1837),IF(AND(AH!$U$12=1,1832+1=AH!$U$6),IF(AH!$U$4=0,"unavailable",INDEX('Market Data'!$AP$5:$AP$66,AH!$U$4)),IF(AH!$U$5=1,INDEX('Live History'!$H$5:$H$3004,MATCH($A1837,'Live History'!$G$5:$G$3004,1)),INDEX('AH History'!$B$5:$B$1380,$K1837))),NA()),NA())</f>
        <v/>
      </c>
      <c r="I1837" s="34">
        <f>IFERROR(IF(ISNUMBER($A1837),IF(AND(AH!$U$12=1,1832+1=AH!$U$6),TODAY(),IF(AH!$U$5=1,INDEX('Live History'!$G$5:$G$3004,MATCH($A1837,'Live History'!$G$5:$G$3004,1)),INDEX('AH History'!$C$5:$C$1380,$K1837))),NA()),NA())</f>
        <v/>
      </c>
      <c r="J1837" s="32">
        <f>IFERROR(IF(AND($F1837&gt;0,$H1837&gt;0,$A1837-$G1837&lt;=10,$A1837-$I1837&lt;=5,$G1837&gt;0,$I1837&gt;0),$F1837*$H1837,NA()),NA())</f>
        <v/>
      </c>
      <c r="K1837" s="15">
        <f>IF($A1837="","",IF(AH!$U$5=1,IFERROR(MATCH($A1837,'Live History'!$A$5:$A$3004,0),0),AH!$U$7+1832))</f>
        <v/>
      </c>
      <c r="L1837" s="15">
        <f>IF(ISNUMBER(A1837),TEXT(A1837,"dd-mmm-yy"),"")</f>
        <v/>
      </c>
    </row>
    <row r="1838">
      <c r="A1838" s="14">
        <f>IF(OR(AH!$U$4=0,1833+1&gt;AH!$U$6,AND(AH!$M$5="Bloomberg",AH!$U$5=0)),"",IFERROR(IF(AND(AH!$U$12=1,1833+1=AH!$U$6),TODAY(),IF(AH!$U$5=1,INDEX('Live History'!$A$5:$A$3004,AH!$U$7+1833),INDEX('AH History'!$A$5:$A$1380,AH!$U$7+1833))),""))</f>
        <v/>
      </c>
      <c r="B1838" s="33">
        <f>IFERROR(IF(AH!$U$11=1,NA(),$J1838/$E1838-1),NA())</f>
        <v/>
      </c>
      <c r="C1838" s="269">
        <f>IFERROR(100*$E1838/$E$5,NA())</f>
        <v/>
      </c>
      <c r="D1838" s="269">
        <f>IFERROR(100*$J1838/$J$5,NA())</f>
        <v/>
      </c>
      <c r="E1838" s="32">
        <f>IFERROR(IF(AND(ISNUMBER($A1838),N(IF(AND(AH!$U$12=1,1833+1=AH!$U$6),IF(AH!$U$4=0,"unavailable",INDEX('Market Data'!$AN$5:$AN$66,AH!$U$4)),IF(AH!$U$5=1,INDEX('Live History'!$B$5:$B$3004,$K1838),INDEX('AH History'!$D$5:$GG$1380,$K1838,AH!$U$10))))&gt;0),IF(AND(AH!$U$12=1,1833+1=AH!$U$6),IF(AH!$U$4=0,"unavailable",INDEX('Market Data'!$AN$5:$AN$66,AH!$U$4)),IF(AH!$U$5=1,INDEX('Live History'!$B$5:$B$3004,$K1838),INDEX('AH History'!$D$5:$GG$1380,$K1838,AH!$U$10))),NA()),NA())</f>
        <v/>
      </c>
      <c r="F1838" s="32">
        <f>IFERROR(IF(ISNUMBER($A1838),IF(AND(AH!$U$12=1,1833+1=AH!$U$6),IF(AH!$U$4=0,"unavailable",INDEX('Market Data'!$AO$5:$AO$66,AH!$U$4)),IF(AH!$U$5=1,INDEX('Live History'!$E$5:$E$3004,MATCH($A1838,'Live History'!$D$5:$D$3004,1)),INDEX('AH History'!$D$5:$GG$1380,$K1838,AH!$U$10+1))),NA()),NA())</f>
        <v/>
      </c>
      <c r="G1838" s="34">
        <f>IFERROR(IF(ISNUMBER($A1838),IF(AND(AH!$U$12=1,1833+1=AH!$U$6),IF(AH!$U$4=0,"unavailable",INDEX('Market Data'!$AK$5:$AK$66,AH!$U$4)),IF(AH!$U$5=1,INDEX('Live History'!$D$5:$D$3004,MATCH($A1838,'Live History'!$D$5:$D$3004,1)),INDEX('AH History'!$D$5:$GG$1380,$K1838,AH!$U$10+2))),NA()),NA())</f>
        <v/>
      </c>
      <c r="H1838" s="266">
        <f>IFERROR(IF(ISNUMBER($A1838),IF(AND(AH!$U$12=1,1833+1=AH!$U$6),IF(AH!$U$4=0,"unavailable",INDEX('Market Data'!$AP$5:$AP$66,AH!$U$4)),IF(AH!$U$5=1,INDEX('Live History'!$H$5:$H$3004,MATCH($A1838,'Live History'!$G$5:$G$3004,1)),INDEX('AH History'!$B$5:$B$1380,$K1838))),NA()),NA())</f>
        <v/>
      </c>
      <c r="I1838" s="34">
        <f>IFERROR(IF(ISNUMBER($A1838),IF(AND(AH!$U$12=1,1833+1=AH!$U$6),TODAY(),IF(AH!$U$5=1,INDEX('Live History'!$G$5:$G$3004,MATCH($A1838,'Live History'!$G$5:$G$3004,1)),INDEX('AH History'!$C$5:$C$1380,$K1838))),NA()),NA())</f>
        <v/>
      </c>
      <c r="J1838" s="32">
        <f>IFERROR(IF(AND($F1838&gt;0,$H1838&gt;0,$A1838-$G1838&lt;=10,$A1838-$I1838&lt;=5,$G1838&gt;0,$I1838&gt;0),$F1838*$H1838,NA()),NA())</f>
        <v/>
      </c>
      <c r="K1838" s="15">
        <f>IF($A1838="","",IF(AH!$U$5=1,IFERROR(MATCH($A1838,'Live History'!$A$5:$A$3004,0),0),AH!$U$7+1833))</f>
        <v/>
      </c>
      <c r="L1838" s="15">
        <f>IF(ISNUMBER(A1838),TEXT(A1838,"dd-mmm-yy"),"")</f>
        <v/>
      </c>
    </row>
    <row r="1839">
      <c r="A1839" s="14">
        <f>IF(OR(AH!$U$4=0,1834+1&gt;AH!$U$6,AND(AH!$M$5="Bloomberg",AH!$U$5=0)),"",IFERROR(IF(AND(AH!$U$12=1,1834+1=AH!$U$6),TODAY(),IF(AH!$U$5=1,INDEX('Live History'!$A$5:$A$3004,AH!$U$7+1834),INDEX('AH History'!$A$5:$A$1380,AH!$U$7+1834))),""))</f>
        <v/>
      </c>
      <c r="B1839" s="33">
        <f>IFERROR(IF(AH!$U$11=1,NA(),$J1839/$E1839-1),NA())</f>
        <v/>
      </c>
      <c r="C1839" s="269">
        <f>IFERROR(100*$E1839/$E$5,NA())</f>
        <v/>
      </c>
      <c r="D1839" s="269">
        <f>IFERROR(100*$J1839/$J$5,NA())</f>
        <v/>
      </c>
      <c r="E1839" s="32">
        <f>IFERROR(IF(AND(ISNUMBER($A1839),N(IF(AND(AH!$U$12=1,1834+1=AH!$U$6),IF(AH!$U$4=0,"unavailable",INDEX('Market Data'!$AN$5:$AN$66,AH!$U$4)),IF(AH!$U$5=1,INDEX('Live History'!$B$5:$B$3004,$K1839),INDEX('AH History'!$D$5:$GG$1380,$K1839,AH!$U$10))))&gt;0),IF(AND(AH!$U$12=1,1834+1=AH!$U$6),IF(AH!$U$4=0,"unavailable",INDEX('Market Data'!$AN$5:$AN$66,AH!$U$4)),IF(AH!$U$5=1,INDEX('Live History'!$B$5:$B$3004,$K1839),INDEX('AH History'!$D$5:$GG$1380,$K1839,AH!$U$10))),NA()),NA())</f>
        <v/>
      </c>
      <c r="F1839" s="32">
        <f>IFERROR(IF(ISNUMBER($A1839),IF(AND(AH!$U$12=1,1834+1=AH!$U$6),IF(AH!$U$4=0,"unavailable",INDEX('Market Data'!$AO$5:$AO$66,AH!$U$4)),IF(AH!$U$5=1,INDEX('Live History'!$E$5:$E$3004,MATCH($A1839,'Live History'!$D$5:$D$3004,1)),INDEX('AH History'!$D$5:$GG$1380,$K1839,AH!$U$10+1))),NA()),NA())</f>
        <v/>
      </c>
      <c r="G1839" s="34">
        <f>IFERROR(IF(ISNUMBER($A1839),IF(AND(AH!$U$12=1,1834+1=AH!$U$6),IF(AH!$U$4=0,"unavailable",INDEX('Market Data'!$AK$5:$AK$66,AH!$U$4)),IF(AH!$U$5=1,INDEX('Live History'!$D$5:$D$3004,MATCH($A1839,'Live History'!$D$5:$D$3004,1)),INDEX('AH History'!$D$5:$GG$1380,$K1839,AH!$U$10+2))),NA()),NA())</f>
        <v/>
      </c>
      <c r="H1839" s="266">
        <f>IFERROR(IF(ISNUMBER($A1839),IF(AND(AH!$U$12=1,1834+1=AH!$U$6),IF(AH!$U$4=0,"unavailable",INDEX('Market Data'!$AP$5:$AP$66,AH!$U$4)),IF(AH!$U$5=1,INDEX('Live History'!$H$5:$H$3004,MATCH($A1839,'Live History'!$G$5:$G$3004,1)),INDEX('AH History'!$B$5:$B$1380,$K1839))),NA()),NA())</f>
        <v/>
      </c>
      <c r="I1839" s="34">
        <f>IFERROR(IF(ISNUMBER($A1839),IF(AND(AH!$U$12=1,1834+1=AH!$U$6),TODAY(),IF(AH!$U$5=1,INDEX('Live History'!$G$5:$G$3004,MATCH($A1839,'Live History'!$G$5:$G$3004,1)),INDEX('AH History'!$C$5:$C$1380,$K1839))),NA()),NA())</f>
        <v/>
      </c>
      <c r="J1839" s="32">
        <f>IFERROR(IF(AND($F1839&gt;0,$H1839&gt;0,$A1839-$G1839&lt;=10,$A1839-$I1839&lt;=5,$G1839&gt;0,$I1839&gt;0),$F1839*$H1839,NA()),NA())</f>
        <v/>
      </c>
      <c r="K1839" s="15">
        <f>IF($A1839="","",IF(AH!$U$5=1,IFERROR(MATCH($A1839,'Live History'!$A$5:$A$3004,0),0),AH!$U$7+1834))</f>
        <v/>
      </c>
      <c r="L1839" s="15">
        <f>IF(ISNUMBER(A1839),TEXT(A1839,"dd-mmm-yy"),"")</f>
        <v/>
      </c>
    </row>
    <row r="1840">
      <c r="A1840" s="14">
        <f>IF(OR(AH!$U$4=0,1835+1&gt;AH!$U$6,AND(AH!$M$5="Bloomberg",AH!$U$5=0)),"",IFERROR(IF(AND(AH!$U$12=1,1835+1=AH!$U$6),TODAY(),IF(AH!$U$5=1,INDEX('Live History'!$A$5:$A$3004,AH!$U$7+1835),INDEX('AH History'!$A$5:$A$1380,AH!$U$7+1835))),""))</f>
        <v/>
      </c>
      <c r="B1840" s="33">
        <f>IFERROR(IF(AH!$U$11=1,NA(),$J1840/$E1840-1),NA())</f>
        <v/>
      </c>
      <c r="C1840" s="269">
        <f>IFERROR(100*$E1840/$E$5,NA())</f>
        <v/>
      </c>
      <c r="D1840" s="269">
        <f>IFERROR(100*$J1840/$J$5,NA())</f>
        <v/>
      </c>
      <c r="E1840" s="32">
        <f>IFERROR(IF(AND(ISNUMBER($A1840),N(IF(AND(AH!$U$12=1,1835+1=AH!$U$6),IF(AH!$U$4=0,"unavailable",INDEX('Market Data'!$AN$5:$AN$66,AH!$U$4)),IF(AH!$U$5=1,INDEX('Live History'!$B$5:$B$3004,$K1840),INDEX('AH History'!$D$5:$GG$1380,$K1840,AH!$U$10))))&gt;0),IF(AND(AH!$U$12=1,1835+1=AH!$U$6),IF(AH!$U$4=0,"unavailable",INDEX('Market Data'!$AN$5:$AN$66,AH!$U$4)),IF(AH!$U$5=1,INDEX('Live History'!$B$5:$B$3004,$K1840),INDEX('AH History'!$D$5:$GG$1380,$K1840,AH!$U$10))),NA()),NA())</f>
        <v/>
      </c>
      <c r="F1840" s="32">
        <f>IFERROR(IF(ISNUMBER($A1840),IF(AND(AH!$U$12=1,1835+1=AH!$U$6),IF(AH!$U$4=0,"unavailable",INDEX('Market Data'!$AO$5:$AO$66,AH!$U$4)),IF(AH!$U$5=1,INDEX('Live History'!$E$5:$E$3004,MATCH($A1840,'Live History'!$D$5:$D$3004,1)),INDEX('AH History'!$D$5:$GG$1380,$K1840,AH!$U$10+1))),NA()),NA())</f>
        <v/>
      </c>
      <c r="G1840" s="34">
        <f>IFERROR(IF(ISNUMBER($A1840),IF(AND(AH!$U$12=1,1835+1=AH!$U$6),IF(AH!$U$4=0,"unavailable",INDEX('Market Data'!$AK$5:$AK$66,AH!$U$4)),IF(AH!$U$5=1,INDEX('Live History'!$D$5:$D$3004,MATCH($A1840,'Live History'!$D$5:$D$3004,1)),INDEX('AH History'!$D$5:$GG$1380,$K1840,AH!$U$10+2))),NA()),NA())</f>
        <v/>
      </c>
      <c r="H1840" s="266">
        <f>IFERROR(IF(ISNUMBER($A1840),IF(AND(AH!$U$12=1,1835+1=AH!$U$6),IF(AH!$U$4=0,"unavailable",INDEX('Market Data'!$AP$5:$AP$66,AH!$U$4)),IF(AH!$U$5=1,INDEX('Live History'!$H$5:$H$3004,MATCH($A1840,'Live History'!$G$5:$G$3004,1)),INDEX('AH History'!$B$5:$B$1380,$K1840))),NA()),NA())</f>
        <v/>
      </c>
      <c r="I1840" s="34">
        <f>IFERROR(IF(ISNUMBER($A1840),IF(AND(AH!$U$12=1,1835+1=AH!$U$6),TODAY(),IF(AH!$U$5=1,INDEX('Live History'!$G$5:$G$3004,MATCH($A1840,'Live History'!$G$5:$G$3004,1)),INDEX('AH History'!$C$5:$C$1380,$K1840))),NA()),NA())</f>
        <v/>
      </c>
      <c r="J1840" s="32">
        <f>IFERROR(IF(AND($F1840&gt;0,$H1840&gt;0,$A1840-$G1840&lt;=10,$A1840-$I1840&lt;=5,$G1840&gt;0,$I1840&gt;0),$F1840*$H1840,NA()),NA())</f>
        <v/>
      </c>
      <c r="K1840" s="15">
        <f>IF($A1840="","",IF(AH!$U$5=1,IFERROR(MATCH($A1840,'Live History'!$A$5:$A$3004,0),0),AH!$U$7+1835))</f>
        <v/>
      </c>
      <c r="L1840" s="15">
        <f>IF(ISNUMBER(A1840),TEXT(A1840,"dd-mmm-yy"),"")</f>
        <v/>
      </c>
    </row>
    <row r="1841">
      <c r="A1841" s="14">
        <f>IF(OR(AH!$U$4=0,1836+1&gt;AH!$U$6,AND(AH!$M$5="Bloomberg",AH!$U$5=0)),"",IFERROR(IF(AND(AH!$U$12=1,1836+1=AH!$U$6),TODAY(),IF(AH!$U$5=1,INDEX('Live History'!$A$5:$A$3004,AH!$U$7+1836),INDEX('AH History'!$A$5:$A$1380,AH!$U$7+1836))),""))</f>
        <v/>
      </c>
      <c r="B1841" s="33">
        <f>IFERROR(IF(AH!$U$11=1,NA(),$J1841/$E1841-1),NA())</f>
        <v/>
      </c>
      <c r="C1841" s="269">
        <f>IFERROR(100*$E1841/$E$5,NA())</f>
        <v/>
      </c>
      <c r="D1841" s="269">
        <f>IFERROR(100*$J1841/$J$5,NA())</f>
        <v/>
      </c>
      <c r="E1841" s="32">
        <f>IFERROR(IF(AND(ISNUMBER($A1841),N(IF(AND(AH!$U$12=1,1836+1=AH!$U$6),IF(AH!$U$4=0,"unavailable",INDEX('Market Data'!$AN$5:$AN$66,AH!$U$4)),IF(AH!$U$5=1,INDEX('Live History'!$B$5:$B$3004,$K1841),INDEX('AH History'!$D$5:$GG$1380,$K1841,AH!$U$10))))&gt;0),IF(AND(AH!$U$12=1,1836+1=AH!$U$6),IF(AH!$U$4=0,"unavailable",INDEX('Market Data'!$AN$5:$AN$66,AH!$U$4)),IF(AH!$U$5=1,INDEX('Live History'!$B$5:$B$3004,$K1841),INDEX('AH History'!$D$5:$GG$1380,$K1841,AH!$U$10))),NA()),NA())</f>
        <v/>
      </c>
      <c r="F1841" s="32">
        <f>IFERROR(IF(ISNUMBER($A1841),IF(AND(AH!$U$12=1,1836+1=AH!$U$6),IF(AH!$U$4=0,"unavailable",INDEX('Market Data'!$AO$5:$AO$66,AH!$U$4)),IF(AH!$U$5=1,INDEX('Live History'!$E$5:$E$3004,MATCH($A1841,'Live History'!$D$5:$D$3004,1)),INDEX('AH History'!$D$5:$GG$1380,$K1841,AH!$U$10+1))),NA()),NA())</f>
        <v/>
      </c>
      <c r="G1841" s="34">
        <f>IFERROR(IF(ISNUMBER($A1841),IF(AND(AH!$U$12=1,1836+1=AH!$U$6),IF(AH!$U$4=0,"unavailable",INDEX('Market Data'!$AK$5:$AK$66,AH!$U$4)),IF(AH!$U$5=1,INDEX('Live History'!$D$5:$D$3004,MATCH($A1841,'Live History'!$D$5:$D$3004,1)),INDEX('AH History'!$D$5:$GG$1380,$K1841,AH!$U$10+2))),NA()),NA())</f>
        <v/>
      </c>
      <c r="H1841" s="266">
        <f>IFERROR(IF(ISNUMBER($A1841),IF(AND(AH!$U$12=1,1836+1=AH!$U$6),IF(AH!$U$4=0,"unavailable",INDEX('Market Data'!$AP$5:$AP$66,AH!$U$4)),IF(AH!$U$5=1,INDEX('Live History'!$H$5:$H$3004,MATCH($A1841,'Live History'!$G$5:$G$3004,1)),INDEX('AH History'!$B$5:$B$1380,$K1841))),NA()),NA())</f>
        <v/>
      </c>
      <c r="I1841" s="34">
        <f>IFERROR(IF(ISNUMBER($A1841),IF(AND(AH!$U$12=1,1836+1=AH!$U$6),TODAY(),IF(AH!$U$5=1,INDEX('Live History'!$G$5:$G$3004,MATCH($A1841,'Live History'!$G$5:$G$3004,1)),INDEX('AH History'!$C$5:$C$1380,$K1841))),NA()),NA())</f>
        <v/>
      </c>
      <c r="J1841" s="32">
        <f>IFERROR(IF(AND($F1841&gt;0,$H1841&gt;0,$A1841-$G1841&lt;=10,$A1841-$I1841&lt;=5,$G1841&gt;0,$I1841&gt;0),$F1841*$H1841,NA()),NA())</f>
        <v/>
      </c>
      <c r="K1841" s="15">
        <f>IF($A1841="","",IF(AH!$U$5=1,IFERROR(MATCH($A1841,'Live History'!$A$5:$A$3004,0),0),AH!$U$7+1836))</f>
        <v/>
      </c>
      <c r="L1841" s="15">
        <f>IF(ISNUMBER(A1841),TEXT(A1841,"dd-mmm-yy"),"")</f>
        <v/>
      </c>
    </row>
    <row r="1842">
      <c r="A1842" s="14">
        <f>IF(OR(AH!$U$4=0,1837+1&gt;AH!$U$6,AND(AH!$M$5="Bloomberg",AH!$U$5=0)),"",IFERROR(IF(AND(AH!$U$12=1,1837+1=AH!$U$6),TODAY(),IF(AH!$U$5=1,INDEX('Live History'!$A$5:$A$3004,AH!$U$7+1837),INDEX('AH History'!$A$5:$A$1380,AH!$U$7+1837))),""))</f>
        <v/>
      </c>
      <c r="B1842" s="33">
        <f>IFERROR(IF(AH!$U$11=1,NA(),$J1842/$E1842-1),NA())</f>
        <v/>
      </c>
      <c r="C1842" s="269">
        <f>IFERROR(100*$E1842/$E$5,NA())</f>
        <v/>
      </c>
      <c r="D1842" s="269">
        <f>IFERROR(100*$J1842/$J$5,NA())</f>
        <v/>
      </c>
      <c r="E1842" s="32">
        <f>IFERROR(IF(AND(ISNUMBER($A1842),N(IF(AND(AH!$U$12=1,1837+1=AH!$U$6),IF(AH!$U$4=0,"unavailable",INDEX('Market Data'!$AN$5:$AN$66,AH!$U$4)),IF(AH!$U$5=1,INDEX('Live History'!$B$5:$B$3004,$K1842),INDEX('AH History'!$D$5:$GG$1380,$K1842,AH!$U$10))))&gt;0),IF(AND(AH!$U$12=1,1837+1=AH!$U$6),IF(AH!$U$4=0,"unavailable",INDEX('Market Data'!$AN$5:$AN$66,AH!$U$4)),IF(AH!$U$5=1,INDEX('Live History'!$B$5:$B$3004,$K1842),INDEX('AH History'!$D$5:$GG$1380,$K1842,AH!$U$10))),NA()),NA())</f>
        <v/>
      </c>
      <c r="F1842" s="32">
        <f>IFERROR(IF(ISNUMBER($A1842),IF(AND(AH!$U$12=1,1837+1=AH!$U$6),IF(AH!$U$4=0,"unavailable",INDEX('Market Data'!$AO$5:$AO$66,AH!$U$4)),IF(AH!$U$5=1,INDEX('Live History'!$E$5:$E$3004,MATCH($A1842,'Live History'!$D$5:$D$3004,1)),INDEX('AH History'!$D$5:$GG$1380,$K1842,AH!$U$10+1))),NA()),NA())</f>
        <v/>
      </c>
      <c r="G1842" s="34">
        <f>IFERROR(IF(ISNUMBER($A1842),IF(AND(AH!$U$12=1,1837+1=AH!$U$6),IF(AH!$U$4=0,"unavailable",INDEX('Market Data'!$AK$5:$AK$66,AH!$U$4)),IF(AH!$U$5=1,INDEX('Live History'!$D$5:$D$3004,MATCH($A1842,'Live History'!$D$5:$D$3004,1)),INDEX('AH History'!$D$5:$GG$1380,$K1842,AH!$U$10+2))),NA()),NA())</f>
        <v/>
      </c>
      <c r="H1842" s="266">
        <f>IFERROR(IF(ISNUMBER($A1842),IF(AND(AH!$U$12=1,1837+1=AH!$U$6),IF(AH!$U$4=0,"unavailable",INDEX('Market Data'!$AP$5:$AP$66,AH!$U$4)),IF(AH!$U$5=1,INDEX('Live History'!$H$5:$H$3004,MATCH($A1842,'Live History'!$G$5:$G$3004,1)),INDEX('AH History'!$B$5:$B$1380,$K1842))),NA()),NA())</f>
        <v/>
      </c>
      <c r="I1842" s="34">
        <f>IFERROR(IF(ISNUMBER($A1842),IF(AND(AH!$U$12=1,1837+1=AH!$U$6),TODAY(),IF(AH!$U$5=1,INDEX('Live History'!$G$5:$G$3004,MATCH($A1842,'Live History'!$G$5:$G$3004,1)),INDEX('AH History'!$C$5:$C$1380,$K1842))),NA()),NA())</f>
        <v/>
      </c>
      <c r="J1842" s="32">
        <f>IFERROR(IF(AND($F1842&gt;0,$H1842&gt;0,$A1842-$G1842&lt;=10,$A1842-$I1842&lt;=5,$G1842&gt;0,$I1842&gt;0),$F1842*$H1842,NA()),NA())</f>
        <v/>
      </c>
      <c r="K1842" s="15">
        <f>IF($A1842="","",IF(AH!$U$5=1,IFERROR(MATCH($A1842,'Live History'!$A$5:$A$3004,0),0),AH!$U$7+1837))</f>
        <v/>
      </c>
      <c r="L1842" s="15">
        <f>IF(ISNUMBER(A1842),TEXT(A1842,"dd-mmm-yy"),"")</f>
        <v/>
      </c>
    </row>
    <row r="1843">
      <c r="A1843" s="14">
        <f>IF(OR(AH!$U$4=0,1838+1&gt;AH!$U$6,AND(AH!$M$5="Bloomberg",AH!$U$5=0)),"",IFERROR(IF(AND(AH!$U$12=1,1838+1=AH!$U$6),TODAY(),IF(AH!$U$5=1,INDEX('Live History'!$A$5:$A$3004,AH!$U$7+1838),INDEX('AH History'!$A$5:$A$1380,AH!$U$7+1838))),""))</f>
        <v/>
      </c>
      <c r="B1843" s="33">
        <f>IFERROR(IF(AH!$U$11=1,NA(),$J1843/$E1843-1),NA())</f>
        <v/>
      </c>
      <c r="C1843" s="269">
        <f>IFERROR(100*$E1843/$E$5,NA())</f>
        <v/>
      </c>
      <c r="D1843" s="269">
        <f>IFERROR(100*$J1843/$J$5,NA())</f>
        <v/>
      </c>
      <c r="E1843" s="32">
        <f>IFERROR(IF(AND(ISNUMBER($A1843),N(IF(AND(AH!$U$12=1,1838+1=AH!$U$6),IF(AH!$U$4=0,"unavailable",INDEX('Market Data'!$AN$5:$AN$66,AH!$U$4)),IF(AH!$U$5=1,INDEX('Live History'!$B$5:$B$3004,$K1843),INDEX('AH History'!$D$5:$GG$1380,$K1843,AH!$U$10))))&gt;0),IF(AND(AH!$U$12=1,1838+1=AH!$U$6),IF(AH!$U$4=0,"unavailable",INDEX('Market Data'!$AN$5:$AN$66,AH!$U$4)),IF(AH!$U$5=1,INDEX('Live History'!$B$5:$B$3004,$K1843),INDEX('AH History'!$D$5:$GG$1380,$K1843,AH!$U$10))),NA()),NA())</f>
        <v/>
      </c>
      <c r="F1843" s="32">
        <f>IFERROR(IF(ISNUMBER($A1843),IF(AND(AH!$U$12=1,1838+1=AH!$U$6),IF(AH!$U$4=0,"unavailable",INDEX('Market Data'!$AO$5:$AO$66,AH!$U$4)),IF(AH!$U$5=1,INDEX('Live History'!$E$5:$E$3004,MATCH($A1843,'Live History'!$D$5:$D$3004,1)),INDEX('AH History'!$D$5:$GG$1380,$K1843,AH!$U$10+1))),NA()),NA())</f>
        <v/>
      </c>
      <c r="G1843" s="34">
        <f>IFERROR(IF(ISNUMBER($A1843),IF(AND(AH!$U$12=1,1838+1=AH!$U$6),IF(AH!$U$4=0,"unavailable",INDEX('Market Data'!$AK$5:$AK$66,AH!$U$4)),IF(AH!$U$5=1,INDEX('Live History'!$D$5:$D$3004,MATCH($A1843,'Live History'!$D$5:$D$3004,1)),INDEX('AH History'!$D$5:$GG$1380,$K1843,AH!$U$10+2))),NA()),NA())</f>
        <v/>
      </c>
      <c r="H1843" s="266">
        <f>IFERROR(IF(ISNUMBER($A1843),IF(AND(AH!$U$12=1,1838+1=AH!$U$6),IF(AH!$U$4=0,"unavailable",INDEX('Market Data'!$AP$5:$AP$66,AH!$U$4)),IF(AH!$U$5=1,INDEX('Live History'!$H$5:$H$3004,MATCH($A1843,'Live History'!$G$5:$G$3004,1)),INDEX('AH History'!$B$5:$B$1380,$K1843))),NA()),NA())</f>
        <v/>
      </c>
      <c r="I1843" s="34">
        <f>IFERROR(IF(ISNUMBER($A1843),IF(AND(AH!$U$12=1,1838+1=AH!$U$6),TODAY(),IF(AH!$U$5=1,INDEX('Live History'!$G$5:$G$3004,MATCH($A1843,'Live History'!$G$5:$G$3004,1)),INDEX('AH History'!$C$5:$C$1380,$K1843))),NA()),NA())</f>
        <v/>
      </c>
      <c r="J1843" s="32">
        <f>IFERROR(IF(AND($F1843&gt;0,$H1843&gt;0,$A1843-$G1843&lt;=10,$A1843-$I1843&lt;=5,$G1843&gt;0,$I1843&gt;0),$F1843*$H1843,NA()),NA())</f>
        <v/>
      </c>
      <c r="K1843" s="15">
        <f>IF($A1843="","",IF(AH!$U$5=1,IFERROR(MATCH($A1843,'Live History'!$A$5:$A$3004,0),0),AH!$U$7+1838))</f>
        <v/>
      </c>
      <c r="L1843" s="15">
        <f>IF(ISNUMBER(A1843),TEXT(A1843,"dd-mmm-yy"),"")</f>
        <v/>
      </c>
    </row>
    <row r="1844">
      <c r="A1844" s="14">
        <f>IF(OR(AH!$U$4=0,1839+1&gt;AH!$U$6,AND(AH!$M$5="Bloomberg",AH!$U$5=0)),"",IFERROR(IF(AND(AH!$U$12=1,1839+1=AH!$U$6),TODAY(),IF(AH!$U$5=1,INDEX('Live History'!$A$5:$A$3004,AH!$U$7+1839),INDEX('AH History'!$A$5:$A$1380,AH!$U$7+1839))),""))</f>
        <v/>
      </c>
      <c r="B1844" s="33">
        <f>IFERROR(IF(AH!$U$11=1,NA(),$J1844/$E1844-1),NA())</f>
        <v/>
      </c>
      <c r="C1844" s="269">
        <f>IFERROR(100*$E1844/$E$5,NA())</f>
        <v/>
      </c>
      <c r="D1844" s="269">
        <f>IFERROR(100*$J1844/$J$5,NA())</f>
        <v/>
      </c>
      <c r="E1844" s="32">
        <f>IFERROR(IF(AND(ISNUMBER($A1844),N(IF(AND(AH!$U$12=1,1839+1=AH!$U$6),IF(AH!$U$4=0,"unavailable",INDEX('Market Data'!$AN$5:$AN$66,AH!$U$4)),IF(AH!$U$5=1,INDEX('Live History'!$B$5:$B$3004,$K1844),INDEX('AH History'!$D$5:$GG$1380,$K1844,AH!$U$10))))&gt;0),IF(AND(AH!$U$12=1,1839+1=AH!$U$6),IF(AH!$U$4=0,"unavailable",INDEX('Market Data'!$AN$5:$AN$66,AH!$U$4)),IF(AH!$U$5=1,INDEX('Live History'!$B$5:$B$3004,$K1844),INDEX('AH History'!$D$5:$GG$1380,$K1844,AH!$U$10))),NA()),NA())</f>
        <v/>
      </c>
      <c r="F1844" s="32">
        <f>IFERROR(IF(ISNUMBER($A1844),IF(AND(AH!$U$12=1,1839+1=AH!$U$6),IF(AH!$U$4=0,"unavailable",INDEX('Market Data'!$AO$5:$AO$66,AH!$U$4)),IF(AH!$U$5=1,INDEX('Live History'!$E$5:$E$3004,MATCH($A1844,'Live History'!$D$5:$D$3004,1)),INDEX('AH History'!$D$5:$GG$1380,$K1844,AH!$U$10+1))),NA()),NA())</f>
        <v/>
      </c>
      <c r="G1844" s="34">
        <f>IFERROR(IF(ISNUMBER($A1844),IF(AND(AH!$U$12=1,1839+1=AH!$U$6),IF(AH!$U$4=0,"unavailable",INDEX('Market Data'!$AK$5:$AK$66,AH!$U$4)),IF(AH!$U$5=1,INDEX('Live History'!$D$5:$D$3004,MATCH($A1844,'Live History'!$D$5:$D$3004,1)),INDEX('AH History'!$D$5:$GG$1380,$K1844,AH!$U$10+2))),NA()),NA())</f>
        <v/>
      </c>
      <c r="H1844" s="266">
        <f>IFERROR(IF(ISNUMBER($A1844),IF(AND(AH!$U$12=1,1839+1=AH!$U$6),IF(AH!$U$4=0,"unavailable",INDEX('Market Data'!$AP$5:$AP$66,AH!$U$4)),IF(AH!$U$5=1,INDEX('Live History'!$H$5:$H$3004,MATCH($A1844,'Live History'!$G$5:$G$3004,1)),INDEX('AH History'!$B$5:$B$1380,$K1844))),NA()),NA())</f>
        <v/>
      </c>
      <c r="I1844" s="34">
        <f>IFERROR(IF(ISNUMBER($A1844),IF(AND(AH!$U$12=1,1839+1=AH!$U$6),TODAY(),IF(AH!$U$5=1,INDEX('Live History'!$G$5:$G$3004,MATCH($A1844,'Live History'!$G$5:$G$3004,1)),INDEX('AH History'!$C$5:$C$1380,$K1844))),NA()),NA())</f>
        <v/>
      </c>
      <c r="J1844" s="32">
        <f>IFERROR(IF(AND($F1844&gt;0,$H1844&gt;0,$A1844-$G1844&lt;=10,$A1844-$I1844&lt;=5,$G1844&gt;0,$I1844&gt;0),$F1844*$H1844,NA()),NA())</f>
        <v/>
      </c>
      <c r="K1844" s="15">
        <f>IF($A1844="","",IF(AH!$U$5=1,IFERROR(MATCH($A1844,'Live History'!$A$5:$A$3004,0),0),AH!$U$7+1839))</f>
        <v/>
      </c>
      <c r="L1844" s="15">
        <f>IF(ISNUMBER(A1844),TEXT(A1844,"dd-mmm-yy"),"")</f>
        <v/>
      </c>
    </row>
    <row r="1845">
      <c r="A1845" s="14">
        <f>IF(OR(AH!$U$4=0,1840+1&gt;AH!$U$6,AND(AH!$M$5="Bloomberg",AH!$U$5=0)),"",IFERROR(IF(AND(AH!$U$12=1,1840+1=AH!$U$6),TODAY(),IF(AH!$U$5=1,INDEX('Live History'!$A$5:$A$3004,AH!$U$7+1840),INDEX('AH History'!$A$5:$A$1380,AH!$U$7+1840))),""))</f>
        <v/>
      </c>
      <c r="B1845" s="33">
        <f>IFERROR(IF(AH!$U$11=1,NA(),$J1845/$E1845-1),NA())</f>
        <v/>
      </c>
      <c r="C1845" s="269">
        <f>IFERROR(100*$E1845/$E$5,NA())</f>
        <v/>
      </c>
      <c r="D1845" s="269">
        <f>IFERROR(100*$J1845/$J$5,NA())</f>
        <v/>
      </c>
      <c r="E1845" s="32">
        <f>IFERROR(IF(AND(ISNUMBER($A1845),N(IF(AND(AH!$U$12=1,1840+1=AH!$U$6),IF(AH!$U$4=0,"unavailable",INDEX('Market Data'!$AN$5:$AN$66,AH!$U$4)),IF(AH!$U$5=1,INDEX('Live History'!$B$5:$B$3004,$K1845),INDEX('AH History'!$D$5:$GG$1380,$K1845,AH!$U$10))))&gt;0),IF(AND(AH!$U$12=1,1840+1=AH!$U$6),IF(AH!$U$4=0,"unavailable",INDEX('Market Data'!$AN$5:$AN$66,AH!$U$4)),IF(AH!$U$5=1,INDEX('Live History'!$B$5:$B$3004,$K1845),INDEX('AH History'!$D$5:$GG$1380,$K1845,AH!$U$10))),NA()),NA())</f>
        <v/>
      </c>
      <c r="F1845" s="32">
        <f>IFERROR(IF(ISNUMBER($A1845),IF(AND(AH!$U$12=1,1840+1=AH!$U$6),IF(AH!$U$4=0,"unavailable",INDEX('Market Data'!$AO$5:$AO$66,AH!$U$4)),IF(AH!$U$5=1,INDEX('Live History'!$E$5:$E$3004,MATCH($A1845,'Live History'!$D$5:$D$3004,1)),INDEX('AH History'!$D$5:$GG$1380,$K1845,AH!$U$10+1))),NA()),NA())</f>
        <v/>
      </c>
      <c r="G1845" s="34">
        <f>IFERROR(IF(ISNUMBER($A1845),IF(AND(AH!$U$12=1,1840+1=AH!$U$6),IF(AH!$U$4=0,"unavailable",INDEX('Market Data'!$AK$5:$AK$66,AH!$U$4)),IF(AH!$U$5=1,INDEX('Live History'!$D$5:$D$3004,MATCH($A1845,'Live History'!$D$5:$D$3004,1)),INDEX('AH History'!$D$5:$GG$1380,$K1845,AH!$U$10+2))),NA()),NA())</f>
        <v/>
      </c>
      <c r="H1845" s="266">
        <f>IFERROR(IF(ISNUMBER($A1845),IF(AND(AH!$U$12=1,1840+1=AH!$U$6),IF(AH!$U$4=0,"unavailable",INDEX('Market Data'!$AP$5:$AP$66,AH!$U$4)),IF(AH!$U$5=1,INDEX('Live History'!$H$5:$H$3004,MATCH($A1845,'Live History'!$G$5:$G$3004,1)),INDEX('AH History'!$B$5:$B$1380,$K1845))),NA()),NA())</f>
        <v/>
      </c>
      <c r="I1845" s="34">
        <f>IFERROR(IF(ISNUMBER($A1845),IF(AND(AH!$U$12=1,1840+1=AH!$U$6),TODAY(),IF(AH!$U$5=1,INDEX('Live History'!$G$5:$G$3004,MATCH($A1845,'Live History'!$G$5:$G$3004,1)),INDEX('AH History'!$C$5:$C$1380,$K1845))),NA()),NA())</f>
        <v/>
      </c>
      <c r="J1845" s="32">
        <f>IFERROR(IF(AND($F1845&gt;0,$H1845&gt;0,$A1845-$G1845&lt;=10,$A1845-$I1845&lt;=5,$G1845&gt;0,$I1845&gt;0),$F1845*$H1845,NA()),NA())</f>
        <v/>
      </c>
      <c r="K1845" s="15">
        <f>IF($A1845="","",IF(AH!$U$5=1,IFERROR(MATCH($A1845,'Live History'!$A$5:$A$3004,0),0),AH!$U$7+1840))</f>
        <v/>
      </c>
      <c r="L1845" s="15">
        <f>IF(ISNUMBER(A1845),TEXT(A1845,"dd-mmm-yy"),"")</f>
        <v/>
      </c>
    </row>
    <row r="1846">
      <c r="A1846" s="14">
        <f>IF(OR(AH!$U$4=0,1841+1&gt;AH!$U$6,AND(AH!$M$5="Bloomberg",AH!$U$5=0)),"",IFERROR(IF(AND(AH!$U$12=1,1841+1=AH!$U$6),TODAY(),IF(AH!$U$5=1,INDEX('Live History'!$A$5:$A$3004,AH!$U$7+1841),INDEX('AH History'!$A$5:$A$1380,AH!$U$7+1841))),""))</f>
        <v/>
      </c>
      <c r="B1846" s="33">
        <f>IFERROR(IF(AH!$U$11=1,NA(),$J1846/$E1846-1),NA())</f>
        <v/>
      </c>
      <c r="C1846" s="269">
        <f>IFERROR(100*$E1846/$E$5,NA())</f>
        <v/>
      </c>
      <c r="D1846" s="269">
        <f>IFERROR(100*$J1846/$J$5,NA())</f>
        <v/>
      </c>
      <c r="E1846" s="32">
        <f>IFERROR(IF(AND(ISNUMBER($A1846),N(IF(AND(AH!$U$12=1,1841+1=AH!$U$6),IF(AH!$U$4=0,"unavailable",INDEX('Market Data'!$AN$5:$AN$66,AH!$U$4)),IF(AH!$U$5=1,INDEX('Live History'!$B$5:$B$3004,$K1846),INDEX('AH History'!$D$5:$GG$1380,$K1846,AH!$U$10))))&gt;0),IF(AND(AH!$U$12=1,1841+1=AH!$U$6),IF(AH!$U$4=0,"unavailable",INDEX('Market Data'!$AN$5:$AN$66,AH!$U$4)),IF(AH!$U$5=1,INDEX('Live History'!$B$5:$B$3004,$K1846),INDEX('AH History'!$D$5:$GG$1380,$K1846,AH!$U$10))),NA()),NA())</f>
        <v/>
      </c>
      <c r="F1846" s="32">
        <f>IFERROR(IF(ISNUMBER($A1846),IF(AND(AH!$U$12=1,1841+1=AH!$U$6),IF(AH!$U$4=0,"unavailable",INDEX('Market Data'!$AO$5:$AO$66,AH!$U$4)),IF(AH!$U$5=1,INDEX('Live History'!$E$5:$E$3004,MATCH($A1846,'Live History'!$D$5:$D$3004,1)),INDEX('AH History'!$D$5:$GG$1380,$K1846,AH!$U$10+1))),NA()),NA())</f>
        <v/>
      </c>
      <c r="G1846" s="34">
        <f>IFERROR(IF(ISNUMBER($A1846),IF(AND(AH!$U$12=1,1841+1=AH!$U$6),IF(AH!$U$4=0,"unavailable",INDEX('Market Data'!$AK$5:$AK$66,AH!$U$4)),IF(AH!$U$5=1,INDEX('Live History'!$D$5:$D$3004,MATCH($A1846,'Live History'!$D$5:$D$3004,1)),INDEX('AH History'!$D$5:$GG$1380,$K1846,AH!$U$10+2))),NA()),NA())</f>
        <v/>
      </c>
      <c r="H1846" s="266">
        <f>IFERROR(IF(ISNUMBER($A1846),IF(AND(AH!$U$12=1,1841+1=AH!$U$6),IF(AH!$U$4=0,"unavailable",INDEX('Market Data'!$AP$5:$AP$66,AH!$U$4)),IF(AH!$U$5=1,INDEX('Live History'!$H$5:$H$3004,MATCH($A1846,'Live History'!$G$5:$G$3004,1)),INDEX('AH History'!$B$5:$B$1380,$K1846))),NA()),NA())</f>
        <v/>
      </c>
      <c r="I1846" s="34">
        <f>IFERROR(IF(ISNUMBER($A1846),IF(AND(AH!$U$12=1,1841+1=AH!$U$6),TODAY(),IF(AH!$U$5=1,INDEX('Live History'!$G$5:$G$3004,MATCH($A1846,'Live History'!$G$5:$G$3004,1)),INDEX('AH History'!$C$5:$C$1380,$K1846))),NA()),NA())</f>
        <v/>
      </c>
      <c r="J1846" s="32">
        <f>IFERROR(IF(AND($F1846&gt;0,$H1846&gt;0,$A1846-$G1846&lt;=10,$A1846-$I1846&lt;=5,$G1846&gt;0,$I1846&gt;0),$F1846*$H1846,NA()),NA())</f>
        <v/>
      </c>
      <c r="K1846" s="15">
        <f>IF($A1846="","",IF(AH!$U$5=1,IFERROR(MATCH($A1846,'Live History'!$A$5:$A$3004,0),0),AH!$U$7+1841))</f>
        <v/>
      </c>
      <c r="L1846" s="15">
        <f>IF(ISNUMBER(A1846),TEXT(A1846,"dd-mmm-yy"),"")</f>
        <v/>
      </c>
    </row>
    <row r="1847">
      <c r="A1847" s="14">
        <f>IF(OR(AH!$U$4=0,1842+1&gt;AH!$U$6,AND(AH!$M$5="Bloomberg",AH!$U$5=0)),"",IFERROR(IF(AND(AH!$U$12=1,1842+1=AH!$U$6),TODAY(),IF(AH!$U$5=1,INDEX('Live History'!$A$5:$A$3004,AH!$U$7+1842),INDEX('AH History'!$A$5:$A$1380,AH!$U$7+1842))),""))</f>
        <v/>
      </c>
      <c r="B1847" s="33">
        <f>IFERROR(IF(AH!$U$11=1,NA(),$J1847/$E1847-1),NA())</f>
        <v/>
      </c>
      <c r="C1847" s="269">
        <f>IFERROR(100*$E1847/$E$5,NA())</f>
        <v/>
      </c>
      <c r="D1847" s="269">
        <f>IFERROR(100*$J1847/$J$5,NA())</f>
        <v/>
      </c>
      <c r="E1847" s="32">
        <f>IFERROR(IF(AND(ISNUMBER($A1847),N(IF(AND(AH!$U$12=1,1842+1=AH!$U$6),IF(AH!$U$4=0,"unavailable",INDEX('Market Data'!$AN$5:$AN$66,AH!$U$4)),IF(AH!$U$5=1,INDEX('Live History'!$B$5:$B$3004,$K1847),INDEX('AH History'!$D$5:$GG$1380,$K1847,AH!$U$10))))&gt;0),IF(AND(AH!$U$12=1,1842+1=AH!$U$6),IF(AH!$U$4=0,"unavailable",INDEX('Market Data'!$AN$5:$AN$66,AH!$U$4)),IF(AH!$U$5=1,INDEX('Live History'!$B$5:$B$3004,$K1847),INDEX('AH History'!$D$5:$GG$1380,$K1847,AH!$U$10))),NA()),NA())</f>
        <v/>
      </c>
      <c r="F1847" s="32">
        <f>IFERROR(IF(ISNUMBER($A1847),IF(AND(AH!$U$12=1,1842+1=AH!$U$6),IF(AH!$U$4=0,"unavailable",INDEX('Market Data'!$AO$5:$AO$66,AH!$U$4)),IF(AH!$U$5=1,INDEX('Live History'!$E$5:$E$3004,MATCH($A1847,'Live History'!$D$5:$D$3004,1)),INDEX('AH History'!$D$5:$GG$1380,$K1847,AH!$U$10+1))),NA()),NA())</f>
        <v/>
      </c>
      <c r="G1847" s="34">
        <f>IFERROR(IF(ISNUMBER($A1847),IF(AND(AH!$U$12=1,1842+1=AH!$U$6),IF(AH!$U$4=0,"unavailable",INDEX('Market Data'!$AK$5:$AK$66,AH!$U$4)),IF(AH!$U$5=1,INDEX('Live History'!$D$5:$D$3004,MATCH($A1847,'Live History'!$D$5:$D$3004,1)),INDEX('AH History'!$D$5:$GG$1380,$K1847,AH!$U$10+2))),NA()),NA())</f>
        <v/>
      </c>
      <c r="H1847" s="266">
        <f>IFERROR(IF(ISNUMBER($A1847),IF(AND(AH!$U$12=1,1842+1=AH!$U$6),IF(AH!$U$4=0,"unavailable",INDEX('Market Data'!$AP$5:$AP$66,AH!$U$4)),IF(AH!$U$5=1,INDEX('Live History'!$H$5:$H$3004,MATCH($A1847,'Live History'!$G$5:$G$3004,1)),INDEX('AH History'!$B$5:$B$1380,$K1847))),NA()),NA())</f>
        <v/>
      </c>
      <c r="I1847" s="34">
        <f>IFERROR(IF(ISNUMBER($A1847),IF(AND(AH!$U$12=1,1842+1=AH!$U$6),TODAY(),IF(AH!$U$5=1,INDEX('Live History'!$G$5:$G$3004,MATCH($A1847,'Live History'!$G$5:$G$3004,1)),INDEX('AH History'!$C$5:$C$1380,$K1847))),NA()),NA())</f>
        <v/>
      </c>
      <c r="J1847" s="32">
        <f>IFERROR(IF(AND($F1847&gt;0,$H1847&gt;0,$A1847-$G1847&lt;=10,$A1847-$I1847&lt;=5,$G1847&gt;0,$I1847&gt;0),$F1847*$H1847,NA()),NA())</f>
        <v/>
      </c>
      <c r="K1847" s="15">
        <f>IF($A1847="","",IF(AH!$U$5=1,IFERROR(MATCH($A1847,'Live History'!$A$5:$A$3004,0),0),AH!$U$7+1842))</f>
        <v/>
      </c>
      <c r="L1847" s="15">
        <f>IF(ISNUMBER(A1847),TEXT(A1847,"dd-mmm-yy"),"")</f>
        <v/>
      </c>
    </row>
    <row r="1848">
      <c r="A1848" s="14">
        <f>IF(OR(AH!$U$4=0,1843+1&gt;AH!$U$6,AND(AH!$M$5="Bloomberg",AH!$U$5=0)),"",IFERROR(IF(AND(AH!$U$12=1,1843+1=AH!$U$6),TODAY(),IF(AH!$U$5=1,INDEX('Live History'!$A$5:$A$3004,AH!$U$7+1843),INDEX('AH History'!$A$5:$A$1380,AH!$U$7+1843))),""))</f>
        <v/>
      </c>
      <c r="B1848" s="33">
        <f>IFERROR(IF(AH!$U$11=1,NA(),$J1848/$E1848-1),NA())</f>
        <v/>
      </c>
      <c r="C1848" s="269">
        <f>IFERROR(100*$E1848/$E$5,NA())</f>
        <v/>
      </c>
      <c r="D1848" s="269">
        <f>IFERROR(100*$J1848/$J$5,NA())</f>
        <v/>
      </c>
      <c r="E1848" s="32">
        <f>IFERROR(IF(AND(ISNUMBER($A1848),N(IF(AND(AH!$U$12=1,1843+1=AH!$U$6),IF(AH!$U$4=0,"unavailable",INDEX('Market Data'!$AN$5:$AN$66,AH!$U$4)),IF(AH!$U$5=1,INDEX('Live History'!$B$5:$B$3004,$K1848),INDEX('AH History'!$D$5:$GG$1380,$K1848,AH!$U$10))))&gt;0),IF(AND(AH!$U$12=1,1843+1=AH!$U$6),IF(AH!$U$4=0,"unavailable",INDEX('Market Data'!$AN$5:$AN$66,AH!$U$4)),IF(AH!$U$5=1,INDEX('Live History'!$B$5:$B$3004,$K1848),INDEX('AH History'!$D$5:$GG$1380,$K1848,AH!$U$10))),NA()),NA())</f>
        <v/>
      </c>
      <c r="F1848" s="32">
        <f>IFERROR(IF(ISNUMBER($A1848),IF(AND(AH!$U$12=1,1843+1=AH!$U$6),IF(AH!$U$4=0,"unavailable",INDEX('Market Data'!$AO$5:$AO$66,AH!$U$4)),IF(AH!$U$5=1,INDEX('Live History'!$E$5:$E$3004,MATCH($A1848,'Live History'!$D$5:$D$3004,1)),INDEX('AH History'!$D$5:$GG$1380,$K1848,AH!$U$10+1))),NA()),NA())</f>
        <v/>
      </c>
      <c r="G1848" s="34">
        <f>IFERROR(IF(ISNUMBER($A1848),IF(AND(AH!$U$12=1,1843+1=AH!$U$6),IF(AH!$U$4=0,"unavailable",INDEX('Market Data'!$AK$5:$AK$66,AH!$U$4)),IF(AH!$U$5=1,INDEX('Live History'!$D$5:$D$3004,MATCH($A1848,'Live History'!$D$5:$D$3004,1)),INDEX('AH History'!$D$5:$GG$1380,$K1848,AH!$U$10+2))),NA()),NA())</f>
        <v/>
      </c>
      <c r="H1848" s="266">
        <f>IFERROR(IF(ISNUMBER($A1848),IF(AND(AH!$U$12=1,1843+1=AH!$U$6),IF(AH!$U$4=0,"unavailable",INDEX('Market Data'!$AP$5:$AP$66,AH!$U$4)),IF(AH!$U$5=1,INDEX('Live History'!$H$5:$H$3004,MATCH($A1848,'Live History'!$G$5:$G$3004,1)),INDEX('AH History'!$B$5:$B$1380,$K1848))),NA()),NA())</f>
        <v/>
      </c>
      <c r="I1848" s="34">
        <f>IFERROR(IF(ISNUMBER($A1848),IF(AND(AH!$U$12=1,1843+1=AH!$U$6),TODAY(),IF(AH!$U$5=1,INDEX('Live History'!$G$5:$G$3004,MATCH($A1848,'Live History'!$G$5:$G$3004,1)),INDEX('AH History'!$C$5:$C$1380,$K1848))),NA()),NA())</f>
        <v/>
      </c>
      <c r="J1848" s="32">
        <f>IFERROR(IF(AND($F1848&gt;0,$H1848&gt;0,$A1848-$G1848&lt;=10,$A1848-$I1848&lt;=5,$G1848&gt;0,$I1848&gt;0),$F1848*$H1848,NA()),NA())</f>
        <v/>
      </c>
      <c r="K1848" s="15">
        <f>IF($A1848="","",IF(AH!$U$5=1,IFERROR(MATCH($A1848,'Live History'!$A$5:$A$3004,0),0),AH!$U$7+1843))</f>
        <v/>
      </c>
      <c r="L1848" s="15">
        <f>IF(ISNUMBER(A1848),TEXT(A1848,"dd-mmm-yy"),"")</f>
        <v/>
      </c>
    </row>
    <row r="1849">
      <c r="A1849" s="14">
        <f>IF(OR(AH!$U$4=0,1844+1&gt;AH!$U$6,AND(AH!$M$5="Bloomberg",AH!$U$5=0)),"",IFERROR(IF(AND(AH!$U$12=1,1844+1=AH!$U$6),TODAY(),IF(AH!$U$5=1,INDEX('Live History'!$A$5:$A$3004,AH!$U$7+1844),INDEX('AH History'!$A$5:$A$1380,AH!$U$7+1844))),""))</f>
        <v/>
      </c>
      <c r="B1849" s="33">
        <f>IFERROR(IF(AH!$U$11=1,NA(),$J1849/$E1849-1),NA())</f>
        <v/>
      </c>
      <c r="C1849" s="269">
        <f>IFERROR(100*$E1849/$E$5,NA())</f>
        <v/>
      </c>
      <c r="D1849" s="269">
        <f>IFERROR(100*$J1849/$J$5,NA())</f>
        <v/>
      </c>
      <c r="E1849" s="32">
        <f>IFERROR(IF(AND(ISNUMBER($A1849),N(IF(AND(AH!$U$12=1,1844+1=AH!$U$6),IF(AH!$U$4=0,"unavailable",INDEX('Market Data'!$AN$5:$AN$66,AH!$U$4)),IF(AH!$U$5=1,INDEX('Live History'!$B$5:$B$3004,$K1849),INDEX('AH History'!$D$5:$GG$1380,$K1849,AH!$U$10))))&gt;0),IF(AND(AH!$U$12=1,1844+1=AH!$U$6),IF(AH!$U$4=0,"unavailable",INDEX('Market Data'!$AN$5:$AN$66,AH!$U$4)),IF(AH!$U$5=1,INDEX('Live History'!$B$5:$B$3004,$K1849),INDEX('AH History'!$D$5:$GG$1380,$K1849,AH!$U$10))),NA()),NA())</f>
        <v/>
      </c>
      <c r="F1849" s="32">
        <f>IFERROR(IF(ISNUMBER($A1849),IF(AND(AH!$U$12=1,1844+1=AH!$U$6),IF(AH!$U$4=0,"unavailable",INDEX('Market Data'!$AO$5:$AO$66,AH!$U$4)),IF(AH!$U$5=1,INDEX('Live History'!$E$5:$E$3004,MATCH($A1849,'Live History'!$D$5:$D$3004,1)),INDEX('AH History'!$D$5:$GG$1380,$K1849,AH!$U$10+1))),NA()),NA())</f>
        <v/>
      </c>
      <c r="G1849" s="34">
        <f>IFERROR(IF(ISNUMBER($A1849),IF(AND(AH!$U$12=1,1844+1=AH!$U$6),IF(AH!$U$4=0,"unavailable",INDEX('Market Data'!$AK$5:$AK$66,AH!$U$4)),IF(AH!$U$5=1,INDEX('Live History'!$D$5:$D$3004,MATCH($A1849,'Live History'!$D$5:$D$3004,1)),INDEX('AH History'!$D$5:$GG$1380,$K1849,AH!$U$10+2))),NA()),NA())</f>
        <v/>
      </c>
      <c r="H1849" s="266">
        <f>IFERROR(IF(ISNUMBER($A1849),IF(AND(AH!$U$12=1,1844+1=AH!$U$6),IF(AH!$U$4=0,"unavailable",INDEX('Market Data'!$AP$5:$AP$66,AH!$U$4)),IF(AH!$U$5=1,INDEX('Live History'!$H$5:$H$3004,MATCH($A1849,'Live History'!$G$5:$G$3004,1)),INDEX('AH History'!$B$5:$B$1380,$K1849))),NA()),NA())</f>
        <v/>
      </c>
      <c r="I1849" s="34">
        <f>IFERROR(IF(ISNUMBER($A1849),IF(AND(AH!$U$12=1,1844+1=AH!$U$6),TODAY(),IF(AH!$U$5=1,INDEX('Live History'!$G$5:$G$3004,MATCH($A1849,'Live History'!$G$5:$G$3004,1)),INDEX('AH History'!$C$5:$C$1380,$K1849))),NA()),NA())</f>
        <v/>
      </c>
      <c r="J1849" s="32">
        <f>IFERROR(IF(AND($F1849&gt;0,$H1849&gt;0,$A1849-$G1849&lt;=10,$A1849-$I1849&lt;=5,$G1849&gt;0,$I1849&gt;0),$F1849*$H1849,NA()),NA())</f>
        <v/>
      </c>
      <c r="K1849" s="15">
        <f>IF($A1849="","",IF(AH!$U$5=1,IFERROR(MATCH($A1849,'Live History'!$A$5:$A$3004,0),0),AH!$U$7+1844))</f>
        <v/>
      </c>
      <c r="L1849" s="15">
        <f>IF(ISNUMBER(A1849),TEXT(A1849,"dd-mmm-yy"),"")</f>
        <v/>
      </c>
    </row>
    <row r="1850">
      <c r="A1850" s="14">
        <f>IF(OR(AH!$U$4=0,1845+1&gt;AH!$U$6,AND(AH!$M$5="Bloomberg",AH!$U$5=0)),"",IFERROR(IF(AND(AH!$U$12=1,1845+1=AH!$U$6),TODAY(),IF(AH!$U$5=1,INDEX('Live History'!$A$5:$A$3004,AH!$U$7+1845),INDEX('AH History'!$A$5:$A$1380,AH!$U$7+1845))),""))</f>
        <v/>
      </c>
      <c r="B1850" s="33">
        <f>IFERROR(IF(AH!$U$11=1,NA(),$J1850/$E1850-1),NA())</f>
        <v/>
      </c>
      <c r="C1850" s="269">
        <f>IFERROR(100*$E1850/$E$5,NA())</f>
        <v/>
      </c>
      <c r="D1850" s="269">
        <f>IFERROR(100*$J1850/$J$5,NA())</f>
        <v/>
      </c>
      <c r="E1850" s="32">
        <f>IFERROR(IF(AND(ISNUMBER($A1850),N(IF(AND(AH!$U$12=1,1845+1=AH!$U$6),IF(AH!$U$4=0,"unavailable",INDEX('Market Data'!$AN$5:$AN$66,AH!$U$4)),IF(AH!$U$5=1,INDEX('Live History'!$B$5:$B$3004,$K1850),INDEX('AH History'!$D$5:$GG$1380,$K1850,AH!$U$10))))&gt;0),IF(AND(AH!$U$12=1,1845+1=AH!$U$6),IF(AH!$U$4=0,"unavailable",INDEX('Market Data'!$AN$5:$AN$66,AH!$U$4)),IF(AH!$U$5=1,INDEX('Live History'!$B$5:$B$3004,$K1850),INDEX('AH History'!$D$5:$GG$1380,$K1850,AH!$U$10))),NA()),NA())</f>
        <v/>
      </c>
      <c r="F1850" s="32">
        <f>IFERROR(IF(ISNUMBER($A1850),IF(AND(AH!$U$12=1,1845+1=AH!$U$6),IF(AH!$U$4=0,"unavailable",INDEX('Market Data'!$AO$5:$AO$66,AH!$U$4)),IF(AH!$U$5=1,INDEX('Live History'!$E$5:$E$3004,MATCH($A1850,'Live History'!$D$5:$D$3004,1)),INDEX('AH History'!$D$5:$GG$1380,$K1850,AH!$U$10+1))),NA()),NA())</f>
        <v/>
      </c>
      <c r="G1850" s="34">
        <f>IFERROR(IF(ISNUMBER($A1850),IF(AND(AH!$U$12=1,1845+1=AH!$U$6),IF(AH!$U$4=0,"unavailable",INDEX('Market Data'!$AK$5:$AK$66,AH!$U$4)),IF(AH!$U$5=1,INDEX('Live History'!$D$5:$D$3004,MATCH($A1850,'Live History'!$D$5:$D$3004,1)),INDEX('AH History'!$D$5:$GG$1380,$K1850,AH!$U$10+2))),NA()),NA())</f>
        <v/>
      </c>
      <c r="H1850" s="266">
        <f>IFERROR(IF(ISNUMBER($A1850),IF(AND(AH!$U$12=1,1845+1=AH!$U$6),IF(AH!$U$4=0,"unavailable",INDEX('Market Data'!$AP$5:$AP$66,AH!$U$4)),IF(AH!$U$5=1,INDEX('Live History'!$H$5:$H$3004,MATCH($A1850,'Live History'!$G$5:$G$3004,1)),INDEX('AH History'!$B$5:$B$1380,$K1850))),NA()),NA())</f>
        <v/>
      </c>
      <c r="I1850" s="34">
        <f>IFERROR(IF(ISNUMBER($A1850),IF(AND(AH!$U$12=1,1845+1=AH!$U$6),TODAY(),IF(AH!$U$5=1,INDEX('Live History'!$G$5:$G$3004,MATCH($A1850,'Live History'!$G$5:$G$3004,1)),INDEX('AH History'!$C$5:$C$1380,$K1850))),NA()),NA())</f>
        <v/>
      </c>
      <c r="J1850" s="32">
        <f>IFERROR(IF(AND($F1850&gt;0,$H1850&gt;0,$A1850-$G1850&lt;=10,$A1850-$I1850&lt;=5,$G1850&gt;0,$I1850&gt;0),$F1850*$H1850,NA()),NA())</f>
        <v/>
      </c>
      <c r="K1850" s="15">
        <f>IF($A1850="","",IF(AH!$U$5=1,IFERROR(MATCH($A1850,'Live History'!$A$5:$A$3004,0),0),AH!$U$7+1845))</f>
        <v/>
      </c>
      <c r="L1850" s="15">
        <f>IF(ISNUMBER(A1850),TEXT(A1850,"dd-mmm-yy"),"")</f>
        <v/>
      </c>
    </row>
    <row r="1851">
      <c r="A1851" s="14">
        <f>IF(OR(AH!$U$4=0,1846+1&gt;AH!$U$6,AND(AH!$M$5="Bloomberg",AH!$U$5=0)),"",IFERROR(IF(AND(AH!$U$12=1,1846+1=AH!$U$6),TODAY(),IF(AH!$U$5=1,INDEX('Live History'!$A$5:$A$3004,AH!$U$7+1846),INDEX('AH History'!$A$5:$A$1380,AH!$U$7+1846))),""))</f>
        <v/>
      </c>
      <c r="B1851" s="33">
        <f>IFERROR(IF(AH!$U$11=1,NA(),$J1851/$E1851-1),NA())</f>
        <v/>
      </c>
      <c r="C1851" s="269">
        <f>IFERROR(100*$E1851/$E$5,NA())</f>
        <v/>
      </c>
      <c r="D1851" s="269">
        <f>IFERROR(100*$J1851/$J$5,NA())</f>
        <v/>
      </c>
      <c r="E1851" s="32">
        <f>IFERROR(IF(AND(ISNUMBER($A1851),N(IF(AND(AH!$U$12=1,1846+1=AH!$U$6),IF(AH!$U$4=0,"unavailable",INDEX('Market Data'!$AN$5:$AN$66,AH!$U$4)),IF(AH!$U$5=1,INDEX('Live History'!$B$5:$B$3004,$K1851),INDEX('AH History'!$D$5:$GG$1380,$K1851,AH!$U$10))))&gt;0),IF(AND(AH!$U$12=1,1846+1=AH!$U$6),IF(AH!$U$4=0,"unavailable",INDEX('Market Data'!$AN$5:$AN$66,AH!$U$4)),IF(AH!$U$5=1,INDEX('Live History'!$B$5:$B$3004,$K1851),INDEX('AH History'!$D$5:$GG$1380,$K1851,AH!$U$10))),NA()),NA())</f>
        <v/>
      </c>
      <c r="F1851" s="32">
        <f>IFERROR(IF(ISNUMBER($A1851),IF(AND(AH!$U$12=1,1846+1=AH!$U$6),IF(AH!$U$4=0,"unavailable",INDEX('Market Data'!$AO$5:$AO$66,AH!$U$4)),IF(AH!$U$5=1,INDEX('Live History'!$E$5:$E$3004,MATCH($A1851,'Live History'!$D$5:$D$3004,1)),INDEX('AH History'!$D$5:$GG$1380,$K1851,AH!$U$10+1))),NA()),NA())</f>
        <v/>
      </c>
      <c r="G1851" s="34">
        <f>IFERROR(IF(ISNUMBER($A1851),IF(AND(AH!$U$12=1,1846+1=AH!$U$6),IF(AH!$U$4=0,"unavailable",INDEX('Market Data'!$AK$5:$AK$66,AH!$U$4)),IF(AH!$U$5=1,INDEX('Live History'!$D$5:$D$3004,MATCH($A1851,'Live History'!$D$5:$D$3004,1)),INDEX('AH History'!$D$5:$GG$1380,$K1851,AH!$U$10+2))),NA()),NA())</f>
        <v/>
      </c>
      <c r="H1851" s="266">
        <f>IFERROR(IF(ISNUMBER($A1851),IF(AND(AH!$U$12=1,1846+1=AH!$U$6),IF(AH!$U$4=0,"unavailable",INDEX('Market Data'!$AP$5:$AP$66,AH!$U$4)),IF(AH!$U$5=1,INDEX('Live History'!$H$5:$H$3004,MATCH($A1851,'Live History'!$G$5:$G$3004,1)),INDEX('AH History'!$B$5:$B$1380,$K1851))),NA()),NA())</f>
        <v/>
      </c>
      <c r="I1851" s="34">
        <f>IFERROR(IF(ISNUMBER($A1851),IF(AND(AH!$U$12=1,1846+1=AH!$U$6),TODAY(),IF(AH!$U$5=1,INDEX('Live History'!$G$5:$G$3004,MATCH($A1851,'Live History'!$G$5:$G$3004,1)),INDEX('AH History'!$C$5:$C$1380,$K1851))),NA()),NA())</f>
        <v/>
      </c>
      <c r="J1851" s="32">
        <f>IFERROR(IF(AND($F1851&gt;0,$H1851&gt;0,$A1851-$G1851&lt;=10,$A1851-$I1851&lt;=5,$G1851&gt;0,$I1851&gt;0),$F1851*$H1851,NA()),NA())</f>
        <v/>
      </c>
      <c r="K1851" s="15">
        <f>IF($A1851="","",IF(AH!$U$5=1,IFERROR(MATCH($A1851,'Live History'!$A$5:$A$3004,0),0),AH!$U$7+1846))</f>
        <v/>
      </c>
      <c r="L1851" s="15">
        <f>IF(ISNUMBER(A1851),TEXT(A1851,"dd-mmm-yy"),"")</f>
        <v/>
      </c>
    </row>
    <row r="1852">
      <c r="A1852" s="14">
        <f>IF(OR(AH!$U$4=0,1847+1&gt;AH!$U$6,AND(AH!$M$5="Bloomberg",AH!$U$5=0)),"",IFERROR(IF(AND(AH!$U$12=1,1847+1=AH!$U$6),TODAY(),IF(AH!$U$5=1,INDEX('Live History'!$A$5:$A$3004,AH!$U$7+1847),INDEX('AH History'!$A$5:$A$1380,AH!$U$7+1847))),""))</f>
        <v/>
      </c>
      <c r="B1852" s="33">
        <f>IFERROR(IF(AH!$U$11=1,NA(),$J1852/$E1852-1),NA())</f>
        <v/>
      </c>
      <c r="C1852" s="269">
        <f>IFERROR(100*$E1852/$E$5,NA())</f>
        <v/>
      </c>
      <c r="D1852" s="269">
        <f>IFERROR(100*$J1852/$J$5,NA())</f>
        <v/>
      </c>
      <c r="E1852" s="32">
        <f>IFERROR(IF(AND(ISNUMBER($A1852),N(IF(AND(AH!$U$12=1,1847+1=AH!$U$6),IF(AH!$U$4=0,"unavailable",INDEX('Market Data'!$AN$5:$AN$66,AH!$U$4)),IF(AH!$U$5=1,INDEX('Live History'!$B$5:$B$3004,$K1852),INDEX('AH History'!$D$5:$GG$1380,$K1852,AH!$U$10))))&gt;0),IF(AND(AH!$U$12=1,1847+1=AH!$U$6),IF(AH!$U$4=0,"unavailable",INDEX('Market Data'!$AN$5:$AN$66,AH!$U$4)),IF(AH!$U$5=1,INDEX('Live History'!$B$5:$B$3004,$K1852),INDEX('AH History'!$D$5:$GG$1380,$K1852,AH!$U$10))),NA()),NA())</f>
        <v/>
      </c>
      <c r="F1852" s="32">
        <f>IFERROR(IF(ISNUMBER($A1852),IF(AND(AH!$U$12=1,1847+1=AH!$U$6),IF(AH!$U$4=0,"unavailable",INDEX('Market Data'!$AO$5:$AO$66,AH!$U$4)),IF(AH!$U$5=1,INDEX('Live History'!$E$5:$E$3004,MATCH($A1852,'Live History'!$D$5:$D$3004,1)),INDEX('AH History'!$D$5:$GG$1380,$K1852,AH!$U$10+1))),NA()),NA())</f>
        <v/>
      </c>
      <c r="G1852" s="34">
        <f>IFERROR(IF(ISNUMBER($A1852),IF(AND(AH!$U$12=1,1847+1=AH!$U$6),IF(AH!$U$4=0,"unavailable",INDEX('Market Data'!$AK$5:$AK$66,AH!$U$4)),IF(AH!$U$5=1,INDEX('Live History'!$D$5:$D$3004,MATCH($A1852,'Live History'!$D$5:$D$3004,1)),INDEX('AH History'!$D$5:$GG$1380,$K1852,AH!$U$10+2))),NA()),NA())</f>
        <v/>
      </c>
      <c r="H1852" s="266">
        <f>IFERROR(IF(ISNUMBER($A1852),IF(AND(AH!$U$12=1,1847+1=AH!$U$6),IF(AH!$U$4=0,"unavailable",INDEX('Market Data'!$AP$5:$AP$66,AH!$U$4)),IF(AH!$U$5=1,INDEX('Live History'!$H$5:$H$3004,MATCH($A1852,'Live History'!$G$5:$G$3004,1)),INDEX('AH History'!$B$5:$B$1380,$K1852))),NA()),NA())</f>
        <v/>
      </c>
      <c r="I1852" s="34">
        <f>IFERROR(IF(ISNUMBER($A1852),IF(AND(AH!$U$12=1,1847+1=AH!$U$6),TODAY(),IF(AH!$U$5=1,INDEX('Live History'!$G$5:$G$3004,MATCH($A1852,'Live History'!$G$5:$G$3004,1)),INDEX('AH History'!$C$5:$C$1380,$K1852))),NA()),NA())</f>
        <v/>
      </c>
      <c r="J1852" s="32">
        <f>IFERROR(IF(AND($F1852&gt;0,$H1852&gt;0,$A1852-$G1852&lt;=10,$A1852-$I1852&lt;=5,$G1852&gt;0,$I1852&gt;0),$F1852*$H1852,NA()),NA())</f>
        <v/>
      </c>
      <c r="K1852" s="15">
        <f>IF($A1852="","",IF(AH!$U$5=1,IFERROR(MATCH($A1852,'Live History'!$A$5:$A$3004,0),0),AH!$U$7+1847))</f>
        <v/>
      </c>
      <c r="L1852" s="15">
        <f>IF(ISNUMBER(A1852),TEXT(A1852,"dd-mmm-yy"),"")</f>
        <v/>
      </c>
    </row>
    <row r="1853">
      <c r="A1853" s="14">
        <f>IF(OR(AH!$U$4=0,1848+1&gt;AH!$U$6,AND(AH!$M$5="Bloomberg",AH!$U$5=0)),"",IFERROR(IF(AND(AH!$U$12=1,1848+1=AH!$U$6),TODAY(),IF(AH!$U$5=1,INDEX('Live History'!$A$5:$A$3004,AH!$U$7+1848),INDEX('AH History'!$A$5:$A$1380,AH!$U$7+1848))),""))</f>
        <v/>
      </c>
      <c r="B1853" s="33">
        <f>IFERROR(IF(AH!$U$11=1,NA(),$J1853/$E1853-1),NA())</f>
        <v/>
      </c>
      <c r="C1853" s="269">
        <f>IFERROR(100*$E1853/$E$5,NA())</f>
        <v/>
      </c>
      <c r="D1853" s="269">
        <f>IFERROR(100*$J1853/$J$5,NA())</f>
        <v/>
      </c>
      <c r="E1853" s="32">
        <f>IFERROR(IF(AND(ISNUMBER($A1853),N(IF(AND(AH!$U$12=1,1848+1=AH!$U$6),IF(AH!$U$4=0,"unavailable",INDEX('Market Data'!$AN$5:$AN$66,AH!$U$4)),IF(AH!$U$5=1,INDEX('Live History'!$B$5:$B$3004,$K1853),INDEX('AH History'!$D$5:$GG$1380,$K1853,AH!$U$10))))&gt;0),IF(AND(AH!$U$12=1,1848+1=AH!$U$6),IF(AH!$U$4=0,"unavailable",INDEX('Market Data'!$AN$5:$AN$66,AH!$U$4)),IF(AH!$U$5=1,INDEX('Live History'!$B$5:$B$3004,$K1853),INDEX('AH History'!$D$5:$GG$1380,$K1853,AH!$U$10))),NA()),NA())</f>
        <v/>
      </c>
      <c r="F1853" s="32">
        <f>IFERROR(IF(ISNUMBER($A1853),IF(AND(AH!$U$12=1,1848+1=AH!$U$6),IF(AH!$U$4=0,"unavailable",INDEX('Market Data'!$AO$5:$AO$66,AH!$U$4)),IF(AH!$U$5=1,INDEX('Live History'!$E$5:$E$3004,MATCH($A1853,'Live History'!$D$5:$D$3004,1)),INDEX('AH History'!$D$5:$GG$1380,$K1853,AH!$U$10+1))),NA()),NA())</f>
        <v/>
      </c>
      <c r="G1853" s="34">
        <f>IFERROR(IF(ISNUMBER($A1853),IF(AND(AH!$U$12=1,1848+1=AH!$U$6),IF(AH!$U$4=0,"unavailable",INDEX('Market Data'!$AK$5:$AK$66,AH!$U$4)),IF(AH!$U$5=1,INDEX('Live History'!$D$5:$D$3004,MATCH($A1853,'Live History'!$D$5:$D$3004,1)),INDEX('AH History'!$D$5:$GG$1380,$K1853,AH!$U$10+2))),NA()),NA())</f>
        <v/>
      </c>
      <c r="H1853" s="266">
        <f>IFERROR(IF(ISNUMBER($A1853),IF(AND(AH!$U$12=1,1848+1=AH!$U$6),IF(AH!$U$4=0,"unavailable",INDEX('Market Data'!$AP$5:$AP$66,AH!$U$4)),IF(AH!$U$5=1,INDEX('Live History'!$H$5:$H$3004,MATCH($A1853,'Live History'!$G$5:$G$3004,1)),INDEX('AH History'!$B$5:$B$1380,$K1853))),NA()),NA())</f>
        <v/>
      </c>
      <c r="I1853" s="34">
        <f>IFERROR(IF(ISNUMBER($A1853),IF(AND(AH!$U$12=1,1848+1=AH!$U$6),TODAY(),IF(AH!$U$5=1,INDEX('Live History'!$G$5:$G$3004,MATCH($A1853,'Live History'!$G$5:$G$3004,1)),INDEX('AH History'!$C$5:$C$1380,$K1853))),NA()),NA())</f>
        <v/>
      </c>
      <c r="J1853" s="32">
        <f>IFERROR(IF(AND($F1853&gt;0,$H1853&gt;0,$A1853-$G1853&lt;=10,$A1853-$I1853&lt;=5,$G1853&gt;0,$I1853&gt;0),$F1853*$H1853,NA()),NA())</f>
        <v/>
      </c>
      <c r="K1853" s="15">
        <f>IF($A1853="","",IF(AH!$U$5=1,IFERROR(MATCH($A1853,'Live History'!$A$5:$A$3004,0),0),AH!$U$7+1848))</f>
        <v/>
      </c>
      <c r="L1853" s="15">
        <f>IF(ISNUMBER(A1853),TEXT(A1853,"dd-mmm-yy"),"")</f>
        <v/>
      </c>
    </row>
    <row r="1854">
      <c r="A1854" s="14">
        <f>IF(OR(AH!$U$4=0,1849+1&gt;AH!$U$6,AND(AH!$M$5="Bloomberg",AH!$U$5=0)),"",IFERROR(IF(AND(AH!$U$12=1,1849+1=AH!$U$6),TODAY(),IF(AH!$U$5=1,INDEX('Live History'!$A$5:$A$3004,AH!$U$7+1849),INDEX('AH History'!$A$5:$A$1380,AH!$U$7+1849))),""))</f>
        <v/>
      </c>
      <c r="B1854" s="33">
        <f>IFERROR(IF(AH!$U$11=1,NA(),$J1854/$E1854-1),NA())</f>
        <v/>
      </c>
      <c r="C1854" s="269">
        <f>IFERROR(100*$E1854/$E$5,NA())</f>
        <v/>
      </c>
      <c r="D1854" s="269">
        <f>IFERROR(100*$J1854/$J$5,NA())</f>
        <v/>
      </c>
      <c r="E1854" s="32">
        <f>IFERROR(IF(AND(ISNUMBER($A1854),N(IF(AND(AH!$U$12=1,1849+1=AH!$U$6),IF(AH!$U$4=0,"unavailable",INDEX('Market Data'!$AN$5:$AN$66,AH!$U$4)),IF(AH!$U$5=1,INDEX('Live History'!$B$5:$B$3004,$K1854),INDEX('AH History'!$D$5:$GG$1380,$K1854,AH!$U$10))))&gt;0),IF(AND(AH!$U$12=1,1849+1=AH!$U$6),IF(AH!$U$4=0,"unavailable",INDEX('Market Data'!$AN$5:$AN$66,AH!$U$4)),IF(AH!$U$5=1,INDEX('Live History'!$B$5:$B$3004,$K1854),INDEX('AH History'!$D$5:$GG$1380,$K1854,AH!$U$10))),NA()),NA())</f>
        <v/>
      </c>
      <c r="F1854" s="32">
        <f>IFERROR(IF(ISNUMBER($A1854),IF(AND(AH!$U$12=1,1849+1=AH!$U$6),IF(AH!$U$4=0,"unavailable",INDEX('Market Data'!$AO$5:$AO$66,AH!$U$4)),IF(AH!$U$5=1,INDEX('Live History'!$E$5:$E$3004,MATCH($A1854,'Live History'!$D$5:$D$3004,1)),INDEX('AH History'!$D$5:$GG$1380,$K1854,AH!$U$10+1))),NA()),NA())</f>
        <v/>
      </c>
      <c r="G1854" s="34">
        <f>IFERROR(IF(ISNUMBER($A1854),IF(AND(AH!$U$12=1,1849+1=AH!$U$6),IF(AH!$U$4=0,"unavailable",INDEX('Market Data'!$AK$5:$AK$66,AH!$U$4)),IF(AH!$U$5=1,INDEX('Live History'!$D$5:$D$3004,MATCH($A1854,'Live History'!$D$5:$D$3004,1)),INDEX('AH History'!$D$5:$GG$1380,$K1854,AH!$U$10+2))),NA()),NA())</f>
        <v/>
      </c>
      <c r="H1854" s="266">
        <f>IFERROR(IF(ISNUMBER($A1854),IF(AND(AH!$U$12=1,1849+1=AH!$U$6),IF(AH!$U$4=0,"unavailable",INDEX('Market Data'!$AP$5:$AP$66,AH!$U$4)),IF(AH!$U$5=1,INDEX('Live History'!$H$5:$H$3004,MATCH($A1854,'Live History'!$G$5:$G$3004,1)),INDEX('AH History'!$B$5:$B$1380,$K1854))),NA()),NA())</f>
        <v/>
      </c>
      <c r="I1854" s="34">
        <f>IFERROR(IF(ISNUMBER($A1854),IF(AND(AH!$U$12=1,1849+1=AH!$U$6),TODAY(),IF(AH!$U$5=1,INDEX('Live History'!$G$5:$G$3004,MATCH($A1854,'Live History'!$G$5:$G$3004,1)),INDEX('AH History'!$C$5:$C$1380,$K1854))),NA()),NA())</f>
        <v/>
      </c>
      <c r="J1854" s="32">
        <f>IFERROR(IF(AND($F1854&gt;0,$H1854&gt;0,$A1854-$G1854&lt;=10,$A1854-$I1854&lt;=5,$G1854&gt;0,$I1854&gt;0),$F1854*$H1854,NA()),NA())</f>
        <v/>
      </c>
      <c r="K1854" s="15">
        <f>IF($A1854="","",IF(AH!$U$5=1,IFERROR(MATCH($A1854,'Live History'!$A$5:$A$3004,0),0),AH!$U$7+1849))</f>
        <v/>
      </c>
      <c r="L1854" s="15">
        <f>IF(ISNUMBER(A1854),TEXT(A1854,"dd-mmm-yy"),"")</f>
        <v/>
      </c>
    </row>
    <row r="1855">
      <c r="A1855" s="14">
        <f>IF(OR(AH!$U$4=0,1850+1&gt;AH!$U$6,AND(AH!$M$5="Bloomberg",AH!$U$5=0)),"",IFERROR(IF(AND(AH!$U$12=1,1850+1=AH!$U$6),TODAY(),IF(AH!$U$5=1,INDEX('Live History'!$A$5:$A$3004,AH!$U$7+1850),INDEX('AH History'!$A$5:$A$1380,AH!$U$7+1850))),""))</f>
        <v/>
      </c>
      <c r="B1855" s="33">
        <f>IFERROR(IF(AH!$U$11=1,NA(),$J1855/$E1855-1),NA())</f>
        <v/>
      </c>
      <c r="C1855" s="269">
        <f>IFERROR(100*$E1855/$E$5,NA())</f>
        <v/>
      </c>
      <c r="D1855" s="269">
        <f>IFERROR(100*$J1855/$J$5,NA())</f>
        <v/>
      </c>
      <c r="E1855" s="32">
        <f>IFERROR(IF(AND(ISNUMBER($A1855),N(IF(AND(AH!$U$12=1,1850+1=AH!$U$6),IF(AH!$U$4=0,"unavailable",INDEX('Market Data'!$AN$5:$AN$66,AH!$U$4)),IF(AH!$U$5=1,INDEX('Live History'!$B$5:$B$3004,$K1855),INDEX('AH History'!$D$5:$GG$1380,$K1855,AH!$U$10))))&gt;0),IF(AND(AH!$U$12=1,1850+1=AH!$U$6),IF(AH!$U$4=0,"unavailable",INDEX('Market Data'!$AN$5:$AN$66,AH!$U$4)),IF(AH!$U$5=1,INDEX('Live History'!$B$5:$B$3004,$K1855),INDEX('AH History'!$D$5:$GG$1380,$K1855,AH!$U$10))),NA()),NA())</f>
        <v/>
      </c>
      <c r="F1855" s="32">
        <f>IFERROR(IF(ISNUMBER($A1855),IF(AND(AH!$U$12=1,1850+1=AH!$U$6),IF(AH!$U$4=0,"unavailable",INDEX('Market Data'!$AO$5:$AO$66,AH!$U$4)),IF(AH!$U$5=1,INDEX('Live History'!$E$5:$E$3004,MATCH($A1855,'Live History'!$D$5:$D$3004,1)),INDEX('AH History'!$D$5:$GG$1380,$K1855,AH!$U$10+1))),NA()),NA())</f>
        <v/>
      </c>
      <c r="G1855" s="34">
        <f>IFERROR(IF(ISNUMBER($A1855),IF(AND(AH!$U$12=1,1850+1=AH!$U$6),IF(AH!$U$4=0,"unavailable",INDEX('Market Data'!$AK$5:$AK$66,AH!$U$4)),IF(AH!$U$5=1,INDEX('Live History'!$D$5:$D$3004,MATCH($A1855,'Live History'!$D$5:$D$3004,1)),INDEX('AH History'!$D$5:$GG$1380,$K1855,AH!$U$10+2))),NA()),NA())</f>
        <v/>
      </c>
      <c r="H1855" s="266">
        <f>IFERROR(IF(ISNUMBER($A1855),IF(AND(AH!$U$12=1,1850+1=AH!$U$6),IF(AH!$U$4=0,"unavailable",INDEX('Market Data'!$AP$5:$AP$66,AH!$U$4)),IF(AH!$U$5=1,INDEX('Live History'!$H$5:$H$3004,MATCH($A1855,'Live History'!$G$5:$G$3004,1)),INDEX('AH History'!$B$5:$B$1380,$K1855))),NA()),NA())</f>
        <v/>
      </c>
      <c r="I1855" s="34">
        <f>IFERROR(IF(ISNUMBER($A1855),IF(AND(AH!$U$12=1,1850+1=AH!$U$6),TODAY(),IF(AH!$U$5=1,INDEX('Live History'!$G$5:$G$3004,MATCH($A1855,'Live History'!$G$5:$G$3004,1)),INDEX('AH History'!$C$5:$C$1380,$K1855))),NA()),NA())</f>
        <v/>
      </c>
      <c r="J1855" s="32">
        <f>IFERROR(IF(AND($F1855&gt;0,$H1855&gt;0,$A1855-$G1855&lt;=10,$A1855-$I1855&lt;=5,$G1855&gt;0,$I1855&gt;0),$F1855*$H1855,NA()),NA())</f>
        <v/>
      </c>
      <c r="K1855" s="15">
        <f>IF($A1855="","",IF(AH!$U$5=1,IFERROR(MATCH($A1855,'Live History'!$A$5:$A$3004,0),0),AH!$U$7+1850))</f>
        <v/>
      </c>
      <c r="L1855" s="15">
        <f>IF(ISNUMBER(A1855),TEXT(A1855,"dd-mmm-yy"),"")</f>
        <v/>
      </c>
    </row>
    <row r="1856">
      <c r="A1856" s="14">
        <f>IF(OR(AH!$U$4=0,1851+1&gt;AH!$U$6,AND(AH!$M$5="Bloomberg",AH!$U$5=0)),"",IFERROR(IF(AND(AH!$U$12=1,1851+1=AH!$U$6),TODAY(),IF(AH!$U$5=1,INDEX('Live History'!$A$5:$A$3004,AH!$U$7+1851),INDEX('AH History'!$A$5:$A$1380,AH!$U$7+1851))),""))</f>
        <v/>
      </c>
      <c r="B1856" s="33">
        <f>IFERROR(IF(AH!$U$11=1,NA(),$J1856/$E1856-1),NA())</f>
        <v/>
      </c>
      <c r="C1856" s="269">
        <f>IFERROR(100*$E1856/$E$5,NA())</f>
        <v/>
      </c>
      <c r="D1856" s="269">
        <f>IFERROR(100*$J1856/$J$5,NA())</f>
        <v/>
      </c>
      <c r="E1856" s="32">
        <f>IFERROR(IF(AND(ISNUMBER($A1856),N(IF(AND(AH!$U$12=1,1851+1=AH!$U$6),IF(AH!$U$4=0,"unavailable",INDEX('Market Data'!$AN$5:$AN$66,AH!$U$4)),IF(AH!$U$5=1,INDEX('Live History'!$B$5:$B$3004,$K1856),INDEX('AH History'!$D$5:$GG$1380,$K1856,AH!$U$10))))&gt;0),IF(AND(AH!$U$12=1,1851+1=AH!$U$6),IF(AH!$U$4=0,"unavailable",INDEX('Market Data'!$AN$5:$AN$66,AH!$U$4)),IF(AH!$U$5=1,INDEX('Live History'!$B$5:$B$3004,$K1856),INDEX('AH History'!$D$5:$GG$1380,$K1856,AH!$U$10))),NA()),NA())</f>
        <v/>
      </c>
      <c r="F1856" s="32">
        <f>IFERROR(IF(ISNUMBER($A1856),IF(AND(AH!$U$12=1,1851+1=AH!$U$6),IF(AH!$U$4=0,"unavailable",INDEX('Market Data'!$AO$5:$AO$66,AH!$U$4)),IF(AH!$U$5=1,INDEX('Live History'!$E$5:$E$3004,MATCH($A1856,'Live History'!$D$5:$D$3004,1)),INDEX('AH History'!$D$5:$GG$1380,$K1856,AH!$U$10+1))),NA()),NA())</f>
        <v/>
      </c>
      <c r="G1856" s="34">
        <f>IFERROR(IF(ISNUMBER($A1856),IF(AND(AH!$U$12=1,1851+1=AH!$U$6),IF(AH!$U$4=0,"unavailable",INDEX('Market Data'!$AK$5:$AK$66,AH!$U$4)),IF(AH!$U$5=1,INDEX('Live History'!$D$5:$D$3004,MATCH($A1856,'Live History'!$D$5:$D$3004,1)),INDEX('AH History'!$D$5:$GG$1380,$K1856,AH!$U$10+2))),NA()),NA())</f>
        <v/>
      </c>
      <c r="H1856" s="266">
        <f>IFERROR(IF(ISNUMBER($A1856),IF(AND(AH!$U$12=1,1851+1=AH!$U$6),IF(AH!$U$4=0,"unavailable",INDEX('Market Data'!$AP$5:$AP$66,AH!$U$4)),IF(AH!$U$5=1,INDEX('Live History'!$H$5:$H$3004,MATCH($A1856,'Live History'!$G$5:$G$3004,1)),INDEX('AH History'!$B$5:$B$1380,$K1856))),NA()),NA())</f>
        <v/>
      </c>
      <c r="I1856" s="34">
        <f>IFERROR(IF(ISNUMBER($A1856),IF(AND(AH!$U$12=1,1851+1=AH!$U$6),TODAY(),IF(AH!$U$5=1,INDEX('Live History'!$G$5:$G$3004,MATCH($A1856,'Live History'!$G$5:$G$3004,1)),INDEX('AH History'!$C$5:$C$1380,$K1856))),NA()),NA())</f>
        <v/>
      </c>
      <c r="J1856" s="32">
        <f>IFERROR(IF(AND($F1856&gt;0,$H1856&gt;0,$A1856-$G1856&lt;=10,$A1856-$I1856&lt;=5,$G1856&gt;0,$I1856&gt;0),$F1856*$H1856,NA()),NA())</f>
        <v/>
      </c>
      <c r="K1856" s="15">
        <f>IF($A1856="","",IF(AH!$U$5=1,IFERROR(MATCH($A1856,'Live History'!$A$5:$A$3004,0),0),AH!$U$7+1851))</f>
        <v/>
      </c>
      <c r="L1856" s="15">
        <f>IF(ISNUMBER(A1856),TEXT(A1856,"dd-mmm-yy"),"")</f>
        <v/>
      </c>
    </row>
    <row r="1857">
      <c r="A1857" s="14">
        <f>IF(OR(AH!$U$4=0,1852+1&gt;AH!$U$6,AND(AH!$M$5="Bloomberg",AH!$U$5=0)),"",IFERROR(IF(AND(AH!$U$12=1,1852+1=AH!$U$6),TODAY(),IF(AH!$U$5=1,INDEX('Live History'!$A$5:$A$3004,AH!$U$7+1852),INDEX('AH History'!$A$5:$A$1380,AH!$U$7+1852))),""))</f>
        <v/>
      </c>
      <c r="B1857" s="33">
        <f>IFERROR(IF(AH!$U$11=1,NA(),$J1857/$E1857-1),NA())</f>
        <v/>
      </c>
      <c r="C1857" s="269">
        <f>IFERROR(100*$E1857/$E$5,NA())</f>
        <v/>
      </c>
      <c r="D1857" s="269">
        <f>IFERROR(100*$J1857/$J$5,NA())</f>
        <v/>
      </c>
      <c r="E1857" s="32">
        <f>IFERROR(IF(AND(ISNUMBER($A1857),N(IF(AND(AH!$U$12=1,1852+1=AH!$U$6),IF(AH!$U$4=0,"unavailable",INDEX('Market Data'!$AN$5:$AN$66,AH!$U$4)),IF(AH!$U$5=1,INDEX('Live History'!$B$5:$B$3004,$K1857),INDEX('AH History'!$D$5:$GG$1380,$K1857,AH!$U$10))))&gt;0),IF(AND(AH!$U$12=1,1852+1=AH!$U$6),IF(AH!$U$4=0,"unavailable",INDEX('Market Data'!$AN$5:$AN$66,AH!$U$4)),IF(AH!$U$5=1,INDEX('Live History'!$B$5:$B$3004,$K1857),INDEX('AH History'!$D$5:$GG$1380,$K1857,AH!$U$10))),NA()),NA())</f>
        <v/>
      </c>
      <c r="F1857" s="32">
        <f>IFERROR(IF(ISNUMBER($A1857),IF(AND(AH!$U$12=1,1852+1=AH!$U$6),IF(AH!$U$4=0,"unavailable",INDEX('Market Data'!$AO$5:$AO$66,AH!$U$4)),IF(AH!$U$5=1,INDEX('Live History'!$E$5:$E$3004,MATCH($A1857,'Live History'!$D$5:$D$3004,1)),INDEX('AH History'!$D$5:$GG$1380,$K1857,AH!$U$10+1))),NA()),NA())</f>
        <v/>
      </c>
      <c r="G1857" s="34">
        <f>IFERROR(IF(ISNUMBER($A1857),IF(AND(AH!$U$12=1,1852+1=AH!$U$6),IF(AH!$U$4=0,"unavailable",INDEX('Market Data'!$AK$5:$AK$66,AH!$U$4)),IF(AH!$U$5=1,INDEX('Live History'!$D$5:$D$3004,MATCH($A1857,'Live History'!$D$5:$D$3004,1)),INDEX('AH History'!$D$5:$GG$1380,$K1857,AH!$U$10+2))),NA()),NA())</f>
        <v/>
      </c>
      <c r="H1857" s="266">
        <f>IFERROR(IF(ISNUMBER($A1857),IF(AND(AH!$U$12=1,1852+1=AH!$U$6),IF(AH!$U$4=0,"unavailable",INDEX('Market Data'!$AP$5:$AP$66,AH!$U$4)),IF(AH!$U$5=1,INDEX('Live History'!$H$5:$H$3004,MATCH($A1857,'Live History'!$G$5:$G$3004,1)),INDEX('AH History'!$B$5:$B$1380,$K1857))),NA()),NA())</f>
        <v/>
      </c>
      <c r="I1857" s="34">
        <f>IFERROR(IF(ISNUMBER($A1857),IF(AND(AH!$U$12=1,1852+1=AH!$U$6),TODAY(),IF(AH!$U$5=1,INDEX('Live History'!$G$5:$G$3004,MATCH($A1857,'Live History'!$G$5:$G$3004,1)),INDEX('AH History'!$C$5:$C$1380,$K1857))),NA()),NA())</f>
        <v/>
      </c>
      <c r="J1857" s="32">
        <f>IFERROR(IF(AND($F1857&gt;0,$H1857&gt;0,$A1857-$G1857&lt;=10,$A1857-$I1857&lt;=5,$G1857&gt;0,$I1857&gt;0),$F1857*$H1857,NA()),NA())</f>
        <v/>
      </c>
      <c r="K1857" s="15">
        <f>IF($A1857="","",IF(AH!$U$5=1,IFERROR(MATCH($A1857,'Live History'!$A$5:$A$3004,0),0),AH!$U$7+1852))</f>
        <v/>
      </c>
      <c r="L1857" s="15">
        <f>IF(ISNUMBER(A1857),TEXT(A1857,"dd-mmm-yy"),"")</f>
        <v/>
      </c>
    </row>
    <row r="1858">
      <c r="A1858" s="14">
        <f>IF(OR(AH!$U$4=0,1853+1&gt;AH!$U$6,AND(AH!$M$5="Bloomberg",AH!$U$5=0)),"",IFERROR(IF(AND(AH!$U$12=1,1853+1=AH!$U$6),TODAY(),IF(AH!$U$5=1,INDEX('Live History'!$A$5:$A$3004,AH!$U$7+1853),INDEX('AH History'!$A$5:$A$1380,AH!$U$7+1853))),""))</f>
        <v/>
      </c>
      <c r="B1858" s="33">
        <f>IFERROR(IF(AH!$U$11=1,NA(),$J1858/$E1858-1),NA())</f>
        <v/>
      </c>
      <c r="C1858" s="269">
        <f>IFERROR(100*$E1858/$E$5,NA())</f>
        <v/>
      </c>
      <c r="D1858" s="269">
        <f>IFERROR(100*$J1858/$J$5,NA())</f>
        <v/>
      </c>
      <c r="E1858" s="32">
        <f>IFERROR(IF(AND(ISNUMBER($A1858),N(IF(AND(AH!$U$12=1,1853+1=AH!$U$6),IF(AH!$U$4=0,"unavailable",INDEX('Market Data'!$AN$5:$AN$66,AH!$U$4)),IF(AH!$U$5=1,INDEX('Live History'!$B$5:$B$3004,$K1858),INDEX('AH History'!$D$5:$GG$1380,$K1858,AH!$U$10))))&gt;0),IF(AND(AH!$U$12=1,1853+1=AH!$U$6),IF(AH!$U$4=0,"unavailable",INDEX('Market Data'!$AN$5:$AN$66,AH!$U$4)),IF(AH!$U$5=1,INDEX('Live History'!$B$5:$B$3004,$K1858),INDEX('AH History'!$D$5:$GG$1380,$K1858,AH!$U$10))),NA()),NA())</f>
        <v/>
      </c>
      <c r="F1858" s="32">
        <f>IFERROR(IF(ISNUMBER($A1858),IF(AND(AH!$U$12=1,1853+1=AH!$U$6),IF(AH!$U$4=0,"unavailable",INDEX('Market Data'!$AO$5:$AO$66,AH!$U$4)),IF(AH!$U$5=1,INDEX('Live History'!$E$5:$E$3004,MATCH($A1858,'Live History'!$D$5:$D$3004,1)),INDEX('AH History'!$D$5:$GG$1380,$K1858,AH!$U$10+1))),NA()),NA())</f>
        <v/>
      </c>
      <c r="G1858" s="34">
        <f>IFERROR(IF(ISNUMBER($A1858),IF(AND(AH!$U$12=1,1853+1=AH!$U$6),IF(AH!$U$4=0,"unavailable",INDEX('Market Data'!$AK$5:$AK$66,AH!$U$4)),IF(AH!$U$5=1,INDEX('Live History'!$D$5:$D$3004,MATCH($A1858,'Live History'!$D$5:$D$3004,1)),INDEX('AH History'!$D$5:$GG$1380,$K1858,AH!$U$10+2))),NA()),NA())</f>
        <v/>
      </c>
      <c r="H1858" s="266">
        <f>IFERROR(IF(ISNUMBER($A1858),IF(AND(AH!$U$12=1,1853+1=AH!$U$6),IF(AH!$U$4=0,"unavailable",INDEX('Market Data'!$AP$5:$AP$66,AH!$U$4)),IF(AH!$U$5=1,INDEX('Live History'!$H$5:$H$3004,MATCH($A1858,'Live History'!$G$5:$G$3004,1)),INDEX('AH History'!$B$5:$B$1380,$K1858))),NA()),NA())</f>
        <v/>
      </c>
      <c r="I1858" s="34">
        <f>IFERROR(IF(ISNUMBER($A1858),IF(AND(AH!$U$12=1,1853+1=AH!$U$6),TODAY(),IF(AH!$U$5=1,INDEX('Live History'!$G$5:$G$3004,MATCH($A1858,'Live History'!$G$5:$G$3004,1)),INDEX('AH History'!$C$5:$C$1380,$K1858))),NA()),NA())</f>
        <v/>
      </c>
      <c r="J1858" s="32">
        <f>IFERROR(IF(AND($F1858&gt;0,$H1858&gt;0,$A1858-$G1858&lt;=10,$A1858-$I1858&lt;=5,$G1858&gt;0,$I1858&gt;0),$F1858*$H1858,NA()),NA())</f>
        <v/>
      </c>
      <c r="K1858" s="15">
        <f>IF($A1858="","",IF(AH!$U$5=1,IFERROR(MATCH($A1858,'Live History'!$A$5:$A$3004,0),0),AH!$U$7+1853))</f>
        <v/>
      </c>
      <c r="L1858" s="15">
        <f>IF(ISNUMBER(A1858),TEXT(A1858,"dd-mmm-yy"),"")</f>
        <v/>
      </c>
    </row>
    <row r="1859">
      <c r="A1859" s="14">
        <f>IF(OR(AH!$U$4=0,1854+1&gt;AH!$U$6,AND(AH!$M$5="Bloomberg",AH!$U$5=0)),"",IFERROR(IF(AND(AH!$U$12=1,1854+1=AH!$U$6),TODAY(),IF(AH!$U$5=1,INDEX('Live History'!$A$5:$A$3004,AH!$U$7+1854),INDEX('AH History'!$A$5:$A$1380,AH!$U$7+1854))),""))</f>
        <v/>
      </c>
      <c r="B1859" s="33">
        <f>IFERROR(IF(AH!$U$11=1,NA(),$J1859/$E1859-1),NA())</f>
        <v/>
      </c>
      <c r="C1859" s="269">
        <f>IFERROR(100*$E1859/$E$5,NA())</f>
        <v/>
      </c>
      <c r="D1859" s="269">
        <f>IFERROR(100*$J1859/$J$5,NA())</f>
        <v/>
      </c>
      <c r="E1859" s="32">
        <f>IFERROR(IF(AND(ISNUMBER($A1859),N(IF(AND(AH!$U$12=1,1854+1=AH!$U$6),IF(AH!$U$4=0,"unavailable",INDEX('Market Data'!$AN$5:$AN$66,AH!$U$4)),IF(AH!$U$5=1,INDEX('Live History'!$B$5:$B$3004,$K1859),INDEX('AH History'!$D$5:$GG$1380,$K1859,AH!$U$10))))&gt;0),IF(AND(AH!$U$12=1,1854+1=AH!$U$6),IF(AH!$U$4=0,"unavailable",INDEX('Market Data'!$AN$5:$AN$66,AH!$U$4)),IF(AH!$U$5=1,INDEX('Live History'!$B$5:$B$3004,$K1859),INDEX('AH History'!$D$5:$GG$1380,$K1859,AH!$U$10))),NA()),NA())</f>
        <v/>
      </c>
      <c r="F1859" s="32">
        <f>IFERROR(IF(ISNUMBER($A1859),IF(AND(AH!$U$12=1,1854+1=AH!$U$6),IF(AH!$U$4=0,"unavailable",INDEX('Market Data'!$AO$5:$AO$66,AH!$U$4)),IF(AH!$U$5=1,INDEX('Live History'!$E$5:$E$3004,MATCH($A1859,'Live History'!$D$5:$D$3004,1)),INDEX('AH History'!$D$5:$GG$1380,$K1859,AH!$U$10+1))),NA()),NA())</f>
        <v/>
      </c>
      <c r="G1859" s="34">
        <f>IFERROR(IF(ISNUMBER($A1859),IF(AND(AH!$U$12=1,1854+1=AH!$U$6),IF(AH!$U$4=0,"unavailable",INDEX('Market Data'!$AK$5:$AK$66,AH!$U$4)),IF(AH!$U$5=1,INDEX('Live History'!$D$5:$D$3004,MATCH($A1859,'Live History'!$D$5:$D$3004,1)),INDEX('AH History'!$D$5:$GG$1380,$K1859,AH!$U$10+2))),NA()),NA())</f>
        <v/>
      </c>
      <c r="H1859" s="266">
        <f>IFERROR(IF(ISNUMBER($A1859),IF(AND(AH!$U$12=1,1854+1=AH!$U$6),IF(AH!$U$4=0,"unavailable",INDEX('Market Data'!$AP$5:$AP$66,AH!$U$4)),IF(AH!$U$5=1,INDEX('Live History'!$H$5:$H$3004,MATCH($A1859,'Live History'!$G$5:$G$3004,1)),INDEX('AH History'!$B$5:$B$1380,$K1859))),NA()),NA())</f>
        <v/>
      </c>
      <c r="I1859" s="34">
        <f>IFERROR(IF(ISNUMBER($A1859),IF(AND(AH!$U$12=1,1854+1=AH!$U$6),TODAY(),IF(AH!$U$5=1,INDEX('Live History'!$G$5:$G$3004,MATCH($A1859,'Live History'!$G$5:$G$3004,1)),INDEX('AH History'!$C$5:$C$1380,$K1859))),NA()),NA())</f>
        <v/>
      </c>
      <c r="J1859" s="32">
        <f>IFERROR(IF(AND($F1859&gt;0,$H1859&gt;0,$A1859-$G1859&lt;=10,$A1859-$I1859&lt;=5,$G1859&gt;0,$I1859&gt;0),$F1859*$H1859,NA()),NA())</f>
        <v/>
      </c>
      <c r="K1859" s="15">
        <f>IF($A1859="","",IF(AH!$U$5=1,IFERROR(MATCH($A1859,'Live History'!$A$5:$A$3004,0),0),AH!$U$7+1854))</f>
        <v/>
      </c>
      <c r="L1859" s="15">
        <f>IF(ISNUMBER(A1859),TEXT(A1859,"dd-mmm-yy"),"")</f>
        <v/>
      </c>
    </row>
    <row r="1860">
      <c r="A1860" s="14">
        <f>IF(OR(AH!$U$4=0,1855+1&gt;AH!$U$6,AND(AH!$M$5="Bloomberg",AH!$U$5=0)),"",IFERROR(IF(AND(AH!$U$12=1,1855+1=AH!$U$6),TODAY(),IF(AH!$U$5=1,INDEX('Live History'!$A$5:$A$3004,AH!$U$7+1855),INDEX('AH History'!$A$5:$A$1380,AH!$U$7+1855))),""))</f>
        <v/>
      </c>
      <c r="B1860" s="33">
        <f>IFERROR(IF(AH!$U$11=1,NA(),$J1860/$E1860-1),NA())</f>
        <v/>
      </c>
      <c r="C1860" s="269">
        <f>IFERROR(100*$E1860/$E$5,NA())</f>
        <v/>
      </c>
      <c r="D1860" s="269">
        <f>IFERROR(100*$J1860/$J$5,NA())</f>
        <v/>
      </c>
      <c r="E1860" s="32">
        <f>IFERROR(IF(AND(ISNUMBER($A1860),N(IF(AND(AH!$U$12=1,1855+1=AH!$U$6),IF(AH!$U$4=0,"unavailable",INDEX('Market Data'!$AN$5:$AN$66,AH!$U$4)),IF(AH!$U$5=1,INDEX('Live History'!$B$5:$B$3004,$K1860),INDEX('AH History'!$D$5:$GG$1380,$K1860,AH!$U$10))))&gt;0),IF(AND(AH!$U$12=1,1855+1=AH!$U$6),IF(AH!$U$4=0,"unavailable",INDEX('Market Data'!$AN$5:$AN$66,AH!$U$4)),IF(AH!$U$5=1,INDEX('Live History'!$B$5:$B$3004,$K1860),INDEX('AH History'!$D$5:$GG$1380,$K1860,AH!$U$10))),NA()),NA())</f>
        <v/>
      </c>
      <c r="F1860" s="32">
        <f>IFERROR(IF(ISNUMBER($A1860),IF(AND(AH!$U$12=1,1855+1=AH!$U$6),IF(AH!$U$4=0,"unavailable",INDEX('Market Data'!$AO$5:$AO$66,AH!$U$4)),IF(AH!$U$5=1,INDEX('Live History'!$E$5:$E$3004,MATCH($A1860,'Live History'!$D$5:$D$3004,1)),INDEX('AH History'!$D$5:$GG$1380,$K1860,AH!$U$10+1))),NA()),NA())</f>
        <v/>
      </c>
      <c r="G1860" s="34">
        <f>IFERROR(IF(ISNUMBER($A1860),IF(AND(AH!$U$12=1,1855+1=AH!$U$6),IF(AH!$U$4=0,"unavailable",INDEX('Market Data'!$AK$5:$AK$66,AH!$U$4)),IF(AH!$U$5=1,INDEX('Live History'!$D$5:$D$3004,MATCH($A1860,'Live History'!$D$5:$D$3004,1)),INDEX('AH History'!$D$5:$GG$1380,$K1860,AH!$U$10+2))),NA()),NA())</f>
        <v/>
      </c>
      <c r="H1860" s="266">
        <f>IFERROR(IF(ISNUMBER($A1860),IF(AND(AH!$U$12=1,1855+1=AH!$U$6),IF(AH!$U$4=0,"unavailable",INDEX('Market Data'!$AP$5:$AP$66,AH!$U$4)),IF(AH!$U$5=1,INDEX('Live History'!$H$5:$H$3004,MATCH($A1860,'Live History'!$G$5:$G$3004,1)),INDEX('AH History'!$B$5:$B$1380,$K1860))),NA()),NA())</f>
        <v/>
      </c>
      <c r="I1860" s="34">
        <f>IFERROR(IF(ISNUMBER($A1860),IF(AND(AH!$U$12=1,1855+1=AH!$U$6),TODAY(),IF(AH!$U$5=1,INDEX('Live History'!$G$5:$G$3004,MATCH($A1860,'Live History'!$G$5:$G$3004,1)),INDEX('AH History'!$C$5:$C$1380,$K1860))),NA()),NA())</f>
        <v/>
      </c>
      <c r="J1860" s="32">
        <f>IFERROR(IF(AND($F1860&gt;0,$H1860&gt;0,$A1860-$G1860&lt;=10,$A1860-$I1860&lt;=5,$G1860&gt;0,$I1860&gt;0),$F1860*$H1860,NA()),NA())</f>
        <v/>
      </c>
      <c r="K1860" s="15">
        <f>IF($A1860="","",IF(AH!$U$5=1,IFERROR(MATCH($A1860,'Live History'!$A$5:$A$3004,0),0),AH!$U$7+1855))</f>
        <v/>
      </c>
      <c r="L1860" s="15">
        <f>IF(ISNUMBER(A1860),TEXT(A1860,"dd-mmm-yy"),"")</f>
        <v/>
      </c>
    </row>
    <row r="1861">
      <c r="A1861" s="14">
        <f>IF(OR(AH!$U$4=0,1856+1&gt;AH!$U$6,AND(AH!$M$5="Bloomberg",AH!$U$5=0)),"",IFERROR(IF(AND(AH!$U$12=1,1856+1=AH!$U$6),TODAY(),IF(AH!$U$5=1,INDEX('Live History'!$A$5:$A$3004,AH!$U$7+1856),INDEX('AH History'!$A$5:$A$1380,AH!$U$7+1856))),""))</f>
        <v/>
      </c>
      <c r="B1861" s="33">
        <f>IFERROR(IF(AH!$U$11=1,NA(),$J1861/$E1861-1),NA())</f>
        <v/>
      </c>
      <c r="C1861" s="269">
        <f>IFERROR(100*$E1861/$E$5,NA())</f>
        <v/>
      </c>
      <c r="D1861" s="269">
        <f>IFERROR(100*$J1861/$J$5,NA())</f>
        <v/>
      </c>
      <c r="E1861" s="32">
        <f>IFERROR(IF(AND(ISNUMBER($A1861),N(IF(AND(AH!$U$12=1,1856+1=AH!$U$6),IF(AH!$U$4=0,"unavailable",INDEX('Market Data'!$AN$5:$AN$66,AH!$U$4)),IF(AH!$U$5=1,INDEX('Live History'!$B$5:$B$3004,$K1861),INDEX('AH History'!$D$5:$GG$1380,$K1861,AH!$U$10))))&gt;0),IF(AND(AH!$U$12=1,1856+1=AH!$U$6),IF(AH!$U$4=0,"unavailable",INDEX('Market Data'!$AN$5:$AN$66,AH!$U$4)),IF(AH!$U$5=1,INDEX('Live History'!$B$5:$B$3004,$K1861),INDEX('AH History'!$D$5:$GG$1380,$K1861,AH!$U$10))),NA()),NA())</f>
        <v/>
      </c>
      <c r="F1861" s="32">
        <f>IFERROR(IF(ISNUMBER($A1861),IF(AND(AH!$U$12=1,1856+1=AH!$U$6),IF(AH!$U$4=0,"unavailable",INDEX('Market Data'!$AO$5:$AO$66,AH!$U$4)),IF(AH!$U$5=1,INDEX('Live History'!$E$5:$E$3004,MATCH($A1861,'Live History'!$D$5:$D$3004,1)),INDEX('AH History'!$D$5:$GG$1380,$K1861,AH!$U$10+1))),NA()),NA())</f>
        <v/>
      </c>
      <c r="G1861" s="34">
        <f>IFERROR(IF(ISNUMBER($A1861),IF(AND(AH!$U$12=1,1856+1=AH!$U$6),IF(AH!$U$4=0,"unavailable",INDEX('Market Data'!$AK$5:$AK$66,AH!$U$4)),IF(AH!$U$5=1,INDEX('Live History'!$D$5:$D$3004,MATCH($A1861,'Live History'!$D$5:$D$3004,1)),INDEX('AH History'!$D$5:$GG$1380,$K1861,AH!$U$10+2))),NA()),NA())</f>
        <v/>
      </c>
      <c r="H1861" s="266">
        <f>IFERROR(IF(ISNUMBER($A1861),IF(AND(AH!$U$12=1,1856+1=AH!$U$6),IF(AH!$U$4=0,"unavailable",INDEX('Market Data'!$AP$5:$AP$66,AH!$U$4)),IF(AH!$U$5=1,INDEX('Live History'!$H$5:$H$3004,MATCH($A1861,'Live History'!$G$5:$G$3004,1)),INDEX('AH History'!$B$5:$B$1380,$K1861))),NA()),NA())</f>
        <v/>
      </c>
      <c r="I1861" s="34">
        <f>IFERROR(IF(ISNUMBER($A1861),IF(AND(AH!$U$12=1,1856+1=AH!$U$6),TODAY(),IF(AH!$U$5=1,INDEX('Live History'!$G$5:$G$3004,MATCH($A1861,'Live History'!$G$5:$G$3004,1)),INDEX('AH History'!$C$5:$C$1380,$K1861))),NA()),NA())</f>
        <v/>
      </c>
      <c r="J1861" s="32">
        <f>IFERROR(IF(AND($F1861&gt;0,$H1861&gt;0,$A1861-$G1861&lt;=10,$A1861-$I1861&lt;=5,$G1861&gt;0,$I1861&gt;0),$F1861*$H1861,NA()),NA())</f>
        <v/>
      </c>
      <c r="K1861" s="15">
        <f>IF($A1861="","",IF(AH!$U$5=1,IFERROR(MATCH($A1861,'Live History'!$A$5:$A$3004,0),0),AH!$U$7+1856))</f>
        <v/>
      </c>
      <c r="L1861" s="15">
        <f>IF(ISNUMBER(A1861),TEXT(A1861,"dd-mmm-yy"),"")</f>
        <v/>
      </c>
    </row>
    <row r="1862">
      <c r="A1862" s="14">
        <f>IF(OR(AH!$U$4=0,1857+1&gt;AH!$U$6,AND(AH!$M$5="Bloomberg",AH!$U$5=0)),"",IFERROR(IF(AND(AH!$U$12=1,1857+1=AH!$U$6),TODAY(),IF(AH!$U$5=1,INDEX('Live History'!$A$5:$A$3004,AH!$U$7+1857),INDEX('AH History'!$A$5:$A$1380,AH!$U$7+1857))),""))</f>
        <v/>
      </c>
      <c r="B1862" s="33">
        <f>IFERROR(IF(AH!$U$11=1,NA(),$J1862/$E1862-1),NA())</f>
        <v/>
      </c>
      <c r="C1862" s="269">
        <f>IFERROR(100*$E1862/$E$5,NA())</f>
        <v/>
      </c>
      <c r="D1862" s="269">
        <f>IFERROR(100*$J1862/$J$5,NA())</f>
        <v/>
      </c>
      <c r="E1862" s="32">
        <f>IFERROR(IF(AND(ISNUMBER($A1862),N(IF(AND(AH!$U$12=1,1857+1=AH!$U$6),IF(AH!$U$4=0,"unavailable",INDEX('Market Data'!$AN$5:$AN$66,AH!$U$4)),IF(AH!$U$5=1,INDEX('Live History'!$B$5:$B$3004,$K1862),INDEX('AH History'!$D$5:$GG$1380,$K1862,AH!$U$10))))&gt;0),IF(AND(AH!$U$12=1,1857+1=AH!$U$6),IF(AH!$U$4=0,"unavailable",INDEX('Market Data'!$AN$5:$AN$66,AH!$U$4)),IF(AH!$U$5=1,INDEX('Live History'!$B$5:$B$3004,$K1862),INDEX('AH History'!$D$5:$GG$1380,$K1862,AH!$U$10))),NA()),NA())</f>
        <v/>
      </c>
      <c r="F1862" s="32">
        <f>IFERROR(IF(ISNUMBER($A1862),IF(AND(AH!$U$12=1,1857+1=AH!$U$6),IF(AH!$U$4=0,"unavailable",INDEX('Market Data'!$AO$5:$AO$66,AH!$U$4)),IF(AH!$U$5=1,INDEX('Live History'!$E$5:$E$3004,MATCH($A1862,'Live History'!$D$5:$D$3004,1)),INDEX('AH History'!$D$5:$GG$1380,$K1862,AH!$U$10+1))),NA()),NA())</f>
        <v/>
      </c>
      <c r="G1862" s="34">
        <f>IFERROR(IF(ISNUMBER($A1862),IF(AND(AH!$U$12=1,1857+1=AH!$U$6),IF(AH!$U$4=0,"unavailable",INDEX('Market Data'!$AK$5:$AK$66,AH!$U$4)),IF(AH!$U$5=1,INDEX('Live History'!$D$5:$D$3004,MATCH($A1862,'Live History'!$D$5:$D$3004,1)),INDEX('AH History'!$D$5:$GG$1380,$K1862,AH!$U$10+2))),NA()),NA())</f>
        <v/>
      </c>
      <c r="H1862" s="266">
        <f>IFERROR(IF(ISNUMBER($A1862),IF(AND(AH!$U$12=1,1857+1=AH!$U$6),IF(AH!$U$4=0,"unavailable",INDEX('Market Data'!$AP$5:$AP$66,AH!$U$4)),IF(AH!$U$5=1,INDEX('Live History'!$H$5:$H$3004,MATCH($A1862,'Live History'!$G$5:$G$3004,1)),INDEX('AH History'!$B$5:$B$1380,$K1862))),NA()),NA())</f>
        <v/>
      </c>
      <c r="I1862" s="34">
        <f>IFERROR(IF(ISNUMBER($A1862),IF(AND(AH!$U$12=1,1857+1=AH!$U$6),TODAY(),IF(AH!$U$5=1,INDEX('Live History'!$G$5:$G$3004,MATCH($A1862,'Live History'!$G$5:$G$3004,1)),INDEX('AH History'!$C$5:$C$1380,$K1862))),NA()),NA())</f>
        <v/>
      </c>
      <c r="J1862" s="32">
        <f>IFERROR(IF(AND($F1862&gt;0,$H1862&gt;0,$A1862-$G1862&lt;=10,$A1862-$I1862&lt;=5,$G1862&gt;0,$I1862&gt;0),$F1862*$H1862,NA()),NA())</f>
        <v/>
      </c>
      <c r="K1862" s="15">
        <f>IF($A1862="","",IF(AH!$U$5=1,IFERROR(MATCH($A1862,'Live History'!$A$5:$A$3004,0),0),AH!$U$7+1857))</f>
        <v/>
      </c>
      <c r="L1862" s="15">
        <f>IF(ISNUMBER(A1862),TEXT(A1862,"dd-mmm-yy"),"")</f>
        <v/>
      </c>
    </row>
    <row r="1863">
      <c r="A1863" s="14">
        <f>IF(OR(AH!$U$4=0,1858+1&gt;AH!$U$6,AND(AH!$M$5="Bloomberg",AH!$U$5=0)),"",IFERROR(IF(AND(AH!$U$12=1,1858+1=AH!$U$6),TODAY(),IF(AH!$U$5=1,INDEX('Live History'!$A$5:$A$3004,AH!$U$7+1858),INDEX('AH History'!$A$5:$A$1380,AH!$U$7+1858))),""))</f>
        <v/>
      </c>
      <c r="B1863" s="33">
        <f>IFERROR(IF(AH!$U$11=1,NA(),$J1863/$E1863-1),NA())</f>
        <v/>
      </c>
      <c r="C1863" s="269">
        <f>IFERROR(100*$E1863/$E$5,NA())</f>
        <v/>
      </c>
      <c r="D1863" s="269">
        <f>IFERROR(100*$J1863/$J$5,NA())</f>
        <v/>
      </c>
      <c r="E1863" s="32">
        <f>IFERROR(IF(AND(ISNUMBER($A1863),N(IF(AND(AH!$U$12=1,1858+1=AH!$U$6),IF(AH!$U$4=0,"unavailable",INDEX('Market Data'!$AN$5:$AN$66,AH!$U$4)),IF(AH!$U$5=1,INDEX('Live History'!$B$5:$B$3004,$K1863),INDEX('AH History'!$D$5:$GG$1380,$K1863,AH!$U$10))))&gt;0),IF(AND(AH!$U$12=1,1858+1=AH!$U$6),IF(AH!$U$4=0,"unavailable",INDEX('Market Data'!$AN$5:$AN$66,AH!$U$4)),IF(AH!$U$5=1,INDEX('Live History'!$B$5:$B$3004,$K1863),INDEX('AH History'!$D$5:$GG$1380,$K1863,AH!$U$10))),NA()),NA())</f>
        <v/>
      </c>
      <c r="F1863" s="32">
        <f>IFERROR(IF(ISNUMBER($A1863),IF(AND(AH!$U$12=1,1858+1=AH!$U$6),IF(AH!$U$4=0,"unavailable",INDEX('Market Data'!$AO$5:$AO$66,AH!$U$4)),IF(AH!$U$5=1,INDEX('Live History'!$E$5:$E$3004,MATCH($A1863,'Live History'!$D$5:$D$3004,1)),INDEX('AH History'!$D$5:$GG$1380,$K1863,AH!$U$10+1))),NA()),NA())</f>
        <v/>
      </c>
      <c r="G1863" s="34">
        <f>IFERROR(IF(ISNUMBER($A1863),IF(AND(AH!$U$12=1,1858+1=AH!$U$6),IF(AH!$U$4=0,"unavailable",INDEX('Market Data'!$AK$5:$AK$66,AH!$U$4)),IF(AH!$U$5=1,INDEX('Live History'!$D$5:$D$3004,MATCH($A1863,'Live History'!$D$5:$D$3004,1)),INDEX('AH History'!$D$5:$GG$1380,$K1863,AH!$U$10+2))),NA()),NA())</f>
        <v/>
      </c>
      <c r="H1863" s="266">
        <f>IFERROR(IF(ISNUMBER($A1863),IF(AND(AH!$U$12=1,1858+1=AH!$U$6),IF(AH!$U$4=0,"unavailable",INDEX('Market Data'!$AP$5:$AP$66,AH!$U$4)),IF(AH!$U$5=1,INDEX('Live History'!$H$5:$H$3004,MATCH($A1863,'Live History'!$G$5:$G$3004,1)),INDEX('AH History'!$B$5:$B$1380,$K1863))),NA()),NA())</f>
        <v/>
      </c>
      <c r="I1863" s="34">
        <f>IFERROR(IF(ISNUMBER($A1863),IF(AND(AH!$U$12=1,1858+1=AH!$U$6),TODAY(),IF(AH!$U$5=1,INDEX('Live History'!$G$5:$G$3004,MATCH($A1863,'Live History'!$G$5:$G$3004,1)),INDEX('AH History'!$C$5:$C$1380,$K1863))),NA()),NA())</f>
        <v/>
      </c>
      <c r="J1863" s="32">
        <f>IFERROR(IF(AND($F1863&gt;0,$H1863&gt;0,$A1863-$G1863&lt;=10,$A1863-$I1863&lt;=5,$G1863&gt;0,$I1863&gt;0),$F1863*$H1863,NA()),NA())</f>
        <v/>
      </c>
      <c r="K1863" s="15">
        <f>IF($A1863="","",IF(AH!$U$5=1,IFERROR(MATCH($A1863,'Live History'!$A$5:$A$3004,0),0),AH!$U$7+1858))</f>
        <v/>
      </c>
      <c r="L1863" s="15">
        <f>IF(ISNUMBER(A1863),TEXT(A1863,"dd-mmm-yy"),"")</f>
        <v/>
      </c>
    </row>
    <row r="1864">
      <c r="A1864" s="14">
        <f>IF(OR(AH!$U$4=0,1859+1&gt;AH!$U$6,AND(AH!$M$5="Bloomberg",AH!$U$5=0)),"",IFERROR(IF(AND(AH!$U$12=1,1859+1=AH!$U$6),TODAY(),IF(AH!$U$5=1,INDEX('Live History'!$A$5:$A$3004,AH!$U$7+1859),INDEX('AH History'!$A$5:$A$1380,AH!$U$7+1859))),""))</f>
        <v/>
      </c>
      <c r="B1864" s="33">
        <f>IFERROR(IF(AH!$U$11=1,NA(),$J1864/$E1864-1),NA())</f>
        <v/>
      </c>
      <c r="C1864" s="269">
        <f>IFERROR(100*$E1864/$E$5,NA())</f>
        <v/>
      </c>
      <c r="D1864" s="269">
        <f>IFERROR(100*$J1864/$J$5,NA())</f>
        <v/>
      </c>
      <c r="E1864" s="32">
        <f>IFERROR(IF(AND(ISNUMBER($A1864),N(IF(AND(AH!$U$12=1,1859+1=AH!$U$6),IF(AH!$U$4=0,"unavailable",INDEX('Market Data'!$AN$5:$AN$66,AH!$U$4)),IF(AH!$U$5=1,INDEX('Live History'!$B$5:$B$3004,$K1864),INDEX('AH History'!$D$5:$GG$1380,$K1864,AH!$U$10))))&gt;0),IF(AND(AH!$U$12=1,1859+1=AH!$U$6),IF(AH!$U$4=0,"unavailable",INDEX('Market Data'!$AN$5:$AN$66,AH!$U$4)),IF(AH!$U$5=1,INDEX('Live History'!$B$5:$B$3004,$K1864),INDEX('AH History'!$D$5:$GG$1380,$K1864,AH!$U$10))),NA()),NA())</f>
        <v/>
      </c>
      <c r="F1864" s="32">
        <f>IFERROR(IF(ISNUMBER($A1864),IF(AND(AH!$U$12=1,1859+1=AH!$U$6),IF(AH!$U$4=0,"unavailable",INDEX('Market Data'!$AO$5:$AO$66,AH!$U$4)),IF(AH!$U$5=1,INDEX('Live History'!$E$5:$E$3004,MATCH($A1864,'Live History'!$D$5:$D$3004,1)),INDEX('AH History'!$D$5:$GG$1380,$K1864,AH!$U$10+1))),NA()),NA())</f>
        <v/>
      </c>
      <c r="G1864" s="34">
        <f>IFERROR(IF(ISNUMBER($A1864),IF(AND(AH!$U$12=1,1859+1=AH!$U$6),IF(AH!$U$4=0,"unavailable",INDEX('Market Data'!$AK$5:$AK$66,AH!$U$4)),IF(AH!$U$5=1,INDEX('Live History'!$D$5:$D$3004,MATCH($A1864,'Live History'!$D$5:$D$3004,1)),INDEX('AH History'!$D$5:$GG$1380,$K1864,AH!$U$10+2))),NA()),NA())</f>
        <v/>
      </c>
      <c r="H1864" s="266">
        <f>IFERROR(IF(ISNUMBER($A1864),IF(AND(AH!$U$12=1,1859+1=AH!$U$6),IF(AH!$U$4=0,"unavailable",INDEX('Market Data'!$AP$5:$AP$66,AH!$U$4)),IF(AH!$U$5=1,INDEX('Live History'!$H$5:$H$3004,MATCH($A1864,'Live History'!$G$5:$G$3004,1)),INDEX('AH History'!$B$5:$B$1380,$K1864))),NA()),NA())</f>
        <v/>
      </c>
      <c r="I1864" s="34">
        <f>IFERROR(IF(ISNUMBER($A1864),IF(AND(AH!$U$12=1,1859+1=AH!$U$6),TODAY(),IF(AH!$U$5=1,INDEX('Live History'!$G$5:$G$3004,MATCH($A1864,'Live History'!$G$5:$G$3004,1)),INDEX('AH History'!$C$5:$C$1380,$K1864))),NA()),NA())</f>
        <v/>
      </c>
      <c r="J1864" s="32">
        <f>IFERROR(IF(AND($F1864&gt;0,$H1864&gt;0,$A1864-$G1864&lt;=10,$A1864-$I1864&lt;=5,$G1864&gt;0,$I1864&gt;0),$F1864*$H1864,NA()),NA())</f>
        <v/>
      </c>
      <c r="K1864" s="15">
        <f>IF($A1864="","",IF(AH!$U$5=1,IFERROR(MATCH($A1864,'Live History'!$A$5:$A$3004,0),0),AH!$U$7+1859))</f>
        <v/>
      </c>
      <c r="L1864" s="15">
        <f>IF(ISNUMBER(A1864),TEXT(A1864,"dd-mmm-yy"),"")</f>
        <v/>
      </c>
    </row>
    <row r="1865">
      <c r="A1865" s="14">
        <f>IF(OR(AH!$U$4=0,1860+1&gt;AH!$U$6,AND(AH!$M$5="Bloomberg",AH!$U$5=0)),"",IFERROR(IF(AND(AH!$U$12=1,1860+1=AH!$U$6),TODAY(),IF(AH!$U$5=1,INDEX('Live History'!$A$5:$A$3004,AH!$U$7+1860),INDEX('AH History'!$A$5:$A$1380,AH!$U$7+1860))),""))</f>
        <v/>
      </c>
      <c r="B1865" s="33">
        <f>IFERROR(IF(AH!$U$11=1,NA(),$J1865/$E1865-1),NA())</f>
        <v/>
      </c>
      <c r="C1865" s="269">
        <f>IFERROR(100*$E1865/$E$5,NA())</f>
        <v/>
      </c>
      <c r="D1865" s="269">
        <f>IFERROR(100*$J1865/$J$5,NA())</f>
        <v/>
      </c>
      <c r="E1865" s="32">
        <f>IFERROR(IF(AND(ISNUMBER($A1865),N(IF(AND(AH!$U$12=1,1860+1=AH!$U$6),IF(AH!$U$4=0,"unavailable",INDEX('Market Data'!$AN$5:$AN$66,AH!$U$4)),IF(AH!$U$5=1,INDEX('Live History'!$B$5:$B$3004,$K1865),INDEX('AH History'!$D$5:$GG$1380,$K1865,AH!$U$10))))&gt;0),IF(AND(AH!$U$12=1,1860+1=AH!$U$6),IF(AH!$U$4=0,"unavailable",INDEX('Market Data'!$AN$5:$AN$66,AH!$U$4)),IF(AH!$U$5=1,INDEX('Live History'!$B$5:$B$3004,$K1865),INDEX('AH History'!$D$5:$GG$1380,$K1865,AH!$U$10))),NA()),NA())</f>
        <v/>
      </c>
      <c r="F1865" s="32">
        <f>IFERROR(IF(ISNUMBER($A1865),IF(AND(AH!$U$12=1,1860+1=AH!$U$6),IF(AH!$U$4=0,"unavailable",INDEX('Market Data'!$AO$5:$AO$66,AH!$U$4)),IF(AH!$U$5=1,INDEX('Live History'!$E$5:$E$3004,MATCH($A1865,'Live History'!$D$5:$D$3004,1)),INDEX('AH History'!$D$5:$GG$1380,$K1865,AH!$U$10+1))),NA()),NA())</f>
        <v/>
      </c>
      <c r="G1865" s="34">
        <f>IFERROR(IF(ISNUMBER($A1865),IF(AND(AH!$U$12=1,1860+1=AH!$U$6),IF(AH!$U$4=0,"unavailable",INDEX('Market Data'!$AK$5:$AK$66,AH!$U$4)),IF(AH!$U$5=1,INDEX('Live History'!$D$5:$D$3004,MATCH($A1865,'Live History'!$D$5:$D$3004,1)),INDEX('AH History'!$D$5:$GG$1380,$K1865,AH!$U$10+2))),NA()),NA())</f>
        <v/>
      </c>
      <c r="H1865" s="266">
        <f>IFERROR(IF(ISNUMBER($A1865),IF(AND(AH!$U$12=1,1860+1=AH!$U$6),IF(AH!$U$4=0,"unavailable",INDEX('Market Data'!$AP$5:$AP$66,AH!$U$4)),IF(AH!$U$5=1,INDEX('Live History'!$H$5:$H$3004,MATCH($A1865,'Live History'!$G$5:$G$3004,1)),INDEX('AH History'!$B$5:$B$1380,$K1865))),NA()),NA())</f>
        <v/>
      </c>
      <c r="I1865" s="34">
        <f>IFERROR(IF(ISNUMBER($A1865),IF(AND(AH!$U$12=1,1860+1=AH!$U$6),TODAY(),IF(AH!$U$5=1,INDEX('Live History'!$G$5:$G$3004,MATCH($A1865,'Live History'!$G$5:$G$3004,1)),INDEX('AH History'!$C$5:$C$1380,$K1865))),NA()),NA())</f>
        <v/>
      </c>
      <c r="J1865" s="32">
        <f>IFERROR(IF(AND($F1865&gt;0,$H1865&gt;0,$A1865-$G1865&lt;=10,$A1865-$I1865&lt;=5,$G1865&gt;0,$I1865&gt;0),$F1865*$H1865,NA()),NA())</f>
        <v/>
      </c>
      <c r="K1865" s="15">
        <f>IF($A1865="","",IF(AH!$U$5=1,IFERROR(MATCH($A1865,'Live History'!$A$5:$A$3004,0),0),AH!$U$7+1860))</f>
        <v/>
      </c>
      <c r="L1865" s="15">
        <f>IF(ISNUMBER(A1865),TEXT(A1865,"dd-mmm-yy"),"")</f>
        <v/>
      </c>
    </row>
    <row r="1866">
      <c r="A1866" s="14">
        <f>IF(OR(AH!$U$4=0,1861+1&gt;AH!$U$6,AND(AH!$M$5="Bloomberg",AH!$U$5=0)),"",IFERROR(IF(AND(AH!$U$12=1,1861+1=AH!$U$6),TODAY(),IF(AH!$U$5=1,INDEX('Live History'!$A$5:$A$3004,AH!$U$7+1861),INDEX('AH History'!$A$5:$A$1380,AH!$U$7+1861))),""))</f>
        <v/>
      </c>
      <c r="B1866" s="33">
        <f>IFERROR(IF(AH!$U$11=1,NA(),$J1866/$E1866-1),NA())</f>
        <v/>
      </c>
      <c r="C1866" s="269">
        <f>IFERROR(100*$E1866/$E$5,NA())</f>
        <v/>
      </c>
      <c r="D1866" s="269">
        <f>IFERROR(100*$J1866/$J$5,NA())</f>
        <v/>
      </c>
      <c r="E1866" s="32">
        <f>IFERROR(IF(AND(ISNUMBER($A1866),N(IF(AND(AH!$U$12=1,1861+1=AH!$U$6),IF(AH!$U$4=0,"unavailable",INDEX('Market Data'!$AN$5:$AN$66,AH!$U$4)),IF(AH!$U$5=1,INDEX('Live History'!$B$5:$B$3004,$K1866),INDEX('AH History'!$D$5:$GG$1380,$K1866,AH!$U$10))))&gt;0),IF(AND(AH!$U$12=1,1861+1=AH!$U$6),IF(AH!$U$4=0,"unavailable",INDEX('Market Data'!$AN$5:$AN$66,AH!$U$4)),IF(AH!$U$5=1,INDEX('Live History'!$B$5:$B$3004,$K1866),INDEX('AH History'!$D$5:$GG$1380,$K1866,AH!$U$10))),NA()),NA())</f>
        <v/>
      </c>
      <c r="F1866" s="32">
        <f>IFERROR(IF(ISNUMBER($A1866),IF(AND(AH!$U$12=1,1861+1=AH!$U$6),IF(AH!$U$4=0,"unavailable",INDEX('Market Data'!$AO$5:$AO$66,AH!$U$4)),IF(AH!$U$5=1,INDEX('Live History'!$E$5:$E$3004,MATCH($A1866,'Live History'!$D$5:$D$3004,1)),INDEX('AH History'!$D$5:$GG$1380,$K1866,AH!$U$10+1))),NA()),NA())</f>
        <v/>
      </c>
      <c r="G1866" s="34">
        <f>IFERROR(IF(ISNUMBER($A1866),IF(AND(AH!$U$12=1,1861+1=AH!$U$6),IF(AH!$U$4=0,"unavailable",INDEX('Market Data'!$AK$5:$AK$66,AH!$U$4)),IF(AH!$U$5=1,INDEX('Live History'!$D$5:$D$3004,MATCH($A1866,'Live History'!$D$5:$D$3004,1)),INDEX('AH History'!$D$5:$GG$1380,$K1866,AH!$U$10+2))),NA()),NA())</f>
        <v/>
      </c>
      <c r="H1866" s="266">
        <f>IFERROR(IF(ISNUMBER($A1866),IF(AND(AH!$U$12=1,1861+1=AH!$U$6),IF(AH!$U$4=0,"unavailable",INDEX('Market Data'!$AP$5:$AP$66,AH!$U$4)),IF(AH!$U$5=1,INDEX('Live History'!$H$5:$H$3004,MATCH($A1866,'Live History'!$G$5:$G$3004,1)),INDEX('AH History'!$B$5:$B$1380,$K1866))),NA()),NA())</f>
        <v/>
      </c>
      <c r="I1866" s="34">
        <f>IFERROR(IF(ISNUMBER($A1866),IF(AND(AH!$U$12=1,1861+1=AH!$U$6),TODAY(),IF(AH!$U$5=1,INDEX('Live History'!$G$5:$G$3004,MATCH($A1866,'Live History'!$G$5:$G$3004,1)),INDEX('AH History'!$C$5:$C$1380,$K1866))),NA()),NA())</f>
        <v/>
      </c>
      <c r="J1866" s="32">
        <f>IFERROR(IF(AND($F1866&gt;0,$H1866&gt;0,$A1866-$G1866&lt;=10,$A1866-$I1866&lt;=5,$G1866&gt;0,$I1866&gt;0),$F1866*$H1866,NA()),NA())</f>
        <v/>
      </c>
      <c r="K1866" s="15">
        <f>IF($A1866="","",IF(AH!$U$5=1,IFERROR(MATCH($A1866,'Live History'!$A$5:$A$3004,0),0),AH!$U$7+1861))</f>
        <v/>
      </c>
      <c r="L1866" s="15">
        <f>IF(ISNUMBER(A1866),TEXT(A1866,"dd-mmm-yy"),"")</f>
        <v/>
      </c>
    </row>
    <row r="1867">
      <c r="A1867" s="14">
        <f>IF(OR(AH!$U$4=0,1862+1&gt;AH!$U$6,AND(AH!$M$5="Bloomberg",AH!$U$5=0)),"",IFERROR(IF(AND(AH!$U$12=1,1862+1=AH!$U$6),TODAY(),IF(AH!$U$5=1,INDEX('Live History'!$A$5:$A$3004,AH!$U$7+1862),INDEX('AH History'!$A$5:$A$1380,AH!$U$7+1862))),""))</f>
        <v/>
      </c>
      <c r="B1867" s="33">
        <f>IFERROR(IF(AH!$U$11=1,NA(),$J1867/$E1867-1),NA())</f>
        <v/>
      </c>
      <c r="C1867" s="269">
        <f>IFERROR(100*$E1867/$E$5,NA())</f>
        <v/>
      </c>
      <c r="D1867" s="269">
        <f>IFERROR(100*$J1867/$J$5,NA())</f>
        <v/>
      </c>
      <c r="E1867" s="32">
        <f>IFERROR(IF(AND(ISNUMBER($A1867),N(IF(AND(AH!$U$12=1,1862+1=AH!$U$6),IF(AH!$U$4=0,"unavailable",INDEX('Market Data'!$AN$5:$AN$66,AH!$U$4)),IF(AH!$U$5=1,INDEX('Live History'!$B$5:$B$3004,$K1867),INDEX('AH History'!$D$5:$GG$1380,$K1867,AH!$U$10))))&gt;0),IF(AND(AH!$U$12=1,1862+1=AH!$U$6),IF(AH!$U$4=0,"unavailable",INDEX('Market Data'!$AN$5:$AN$66,AH!$U$4)),IF(AH!$U$5=1,INDEX('Live History'!$B$5:$B$3004,$K1867),INDEX('AH History'!$D$5:$GG$1380,$K1867,AH!$U$10))),NA()),NA())</f>
        <v/>
      </c>
      <c r="F1867" s="32">
        <f>IFERROR(IF(ISNUMBER($A1867),IF(AND(AH!$U$12=1,1862+1=AH!$U$6),IF(AH!$U$4=0,"unavailable",INDEX('Market Data'!$AO$5:$AO$66,AH!$U$4)),IF(AH!$U$5=1,INDEX('Live History'!$E$5:$E$3004,MATCH($A1867,'Live History'!$D$5:$D$3004,1)),INDEX('AH History'!$D$5:$GG$1380,$K1867,AH!$U$10+1))),NA()),NA())</f>
        <v/>
      </c>
      <c r="G1867" s="34">
        <f>IFERROR(IF(ISNUMBER($A1867),IF(AND(AH!$U$12=1,1862+1=AH!$U$6),IF(AH!$U$4=0,"unavailable",INDEX('Market Data'!$AK$5:$AK$66,AH!$U$4)),IF(AH!$U$5=1,INDEX('Live History'!$D$5:$D$3004,MATCH($A1867,'Live History'!$D$5:$D$3004,1)),INDEX('AH History'!$D$5:$GG$1380,$K1867,AH!$U$10+2))),NA()),NA())</f>
        <v/>
      </c>
      <c r="H1867" s="266">
        <f>IFERROR(IF(ISNUMBER($A1867),IF(AND(AH!$U$12=1,1862+1=AH!$U$6),IF(AH!$U$4=0,"unavailable",INDEX('Market Data'!$AP$5:$AP$66,AH!$U$4)),IF(AH!$U$5=1,INDEX('Live History'!$H$5:$H$3004,MATCH($A1867,'Live History'!$G$5:$G$3004,1)),INDEX('AH History'!$B$5:$B$1380,$K1867))),NA()),NA())</f>
        <v/>
      </c>
      <c r="I1867" s="34">
        <f>IFERROR(IF(ISNUMBER($A1867),IF(AND(AH!$U$12=1,1862+1=AH!$U$6),TODAY(),IF(AH!$U$5=1,INDEX('Live History'!$G$5:$G$3004,MATCH($A1867,'Live History'!$G$5:$G$3004,1)),INDEX('AH History'!$C$5:$C$1380,$K1867))),NA()),NA())</f>
        <v/>
      </c>
      <c r="J1867" s="32">
        <f>IFERROR(IF(AND($F1867&gt;0,$H1867&gt;0,$A1867-$G1867&lt;=10,$A1867-$I1867&lt;=5,$G1867&gt;0,$I1867&gt;0),$F1867*$H1867,NA()),NA())</f>
        <v/>
      </c>
      <c r="K1867" s="15">
        <f>IF($A1867="","",IF(AH!$U$5=1,IFERROR(MATCH($A1867,'Live History'!$A$5:$A$3004,0),0),AH!$U$7+1862))</f>
        <v/>
      </c>
      <c r="L1867" s="15">
        <f>IF(ISNUMBER(A1867),TEXT(A1867,"dd-mmm-yy"),"")</f>
        <v/>
      </c>
    </row>
    <row r="1868">
      <c r="A1868" s="14">
        <f>IF(OR(AH!$U$4=0,1863+1&gt;AH!$U$6,AND(AH!$M$5="Bloomberg",AH!$U$5=0)),"",IFERROR(IF(AND(AH!$U$12=1,1863+1=AH!$U$6),TODAY(),IF(AH!$U$5=1,INDEX('Live History'!$A$5:$A$3004,AH!$U$7+1863),INDEX('AH History'!$A$5:$A$1380,AH!$U$7+1863))),""))</f>
        <v/>
      </c>
      <c r="B1868" s="33">
        <f>IFERROR(IF(AH!$U$11=1,NA(),$J1868/$E1868-1),NA())</f>
        <v/>
      </c>
      <c r="C1868" s="269">
        <f>IFERROR(100*$E1868/$E$5,NA())</f>
        <v/>
      </c>
      <c r="D1868" s="269">
        <f>IFERROR(100*$J1868/$J$5,NA())</f>
        <v/>
      </c>
      <c r="E1868" s="32">
        <f>IFERROR(IF(AND(ISNUMBER($A1868),N(IF(AND(AH!$U$12=1,1863+1=AH!$U$6),IF(AH!$U$4=0,"unavailable",INDEX('Market Data'!$AN$5:$AN$66,AH!$U$4)),IF(AH!$U$5=1,INDEX('Live History'!$B$5:$B$3004,$K1868),INDEX('AH History'!$D$5:$GG$1380,$K1868,AH!$U$10))))&gt;0),IF(AND(AH!$U$12=1,1863+1=AH!$U$6),IF(AH!$U$4=0,"unavailable",INDEX('Market Data'!$AN$5:$AN$66,AH!$U$4)),IF(AH!$U$5=1,INDEX('Live History'!$B$5:$B$3004,$K1868),INDEX('AH History'!$D$5:$GG$1380,$K1868,AH!$U$10))),NA()),NA())</f>
        <v/>
      </c>
      <c r="F1868" s="32">
        <f>IFERROR(IF(ISNUMBER($A1868),IF(AND(AH!$U$12=1,1863+1=AH!$U$6),IF(AH!$U$4=0,"unavailable",INDEX('Market Data'!$AO$5:$AO$66,AH!$U$4)),IF(AH!$U$5=1,INDEX('Live History'!$E$5:$E$3004,MATCH($A1868,'Live History'!$D$5:$D$3004,1)),INDEX('AH History'!$D$5:$GG$1380,$K1868,AH!$U$10+1))),NA()),NA())</f>
        <v/>
      </c>
      <c r="G1868" s="34">
        <f>IFERROR(IF(ISNUMBER($A1868),IF(AND(AH!$U$12=1,1863+1=AH!$U$6),IF(AH!$U$4=0,"unavailable",INDEX('Market Data'!$AK$5:$AK$66,AH!$U$4)),IF(AH!$U$5=1,INDEX('Live History'!$D$5:$D$3004,MATCH($A1868,'Live History'!$D$5:$D$3004,1)),INDEX('AH History'!$D$5:$GG$1380,$K1868,AH!$U$10+2))),NA()),NA())</f>
        <v/>
      </c>
      <c r="H1868" s="266">
        <f>IFERROR(IF(ISNUMBER($A1868),IF(AND(AH!$U$12=1,1863+1=AH!$U$6),IF(AH!$U$4=0,"unavailable",INDEX('Market Data'!$AP$5:$AP$66,AH!$U$4)),IF(AH!$U$5=1,INDEX('Live History'!$H$5:$H$3004,MATCH($A1868,'Live History'!$G$5:$G$3004,1)),INDEX('AH History'!$B$5:$B$1380,$K1868))),NA()),NA())</f>
        <v/>
      </c>
      <c r="I1868" s="34">
        <f>IFERROR(IF(ISNUMBER($A1868),IF(AND(AH!$U$12=1,1863+1=AH!$U$6),TODAY(),IF(AH!$U$5=1,INDEX('Live History'!$G$5:$G$3004,MATCH($A1868,'Live History'!$G$5:$G$3004,1)),INDEX('AH History'!$C$5:$C$1380,$K1868))),NA()),NA())</f>
        <v/>
      </c>
      <c r="J1868" s="32">
        <f>IFERROR(IF(AND($F1868&gt;0,$H1868&gt;0,$A1868-$G1868&lt;=10,$A1868-$I1868&lt;=5,$G1868&gt;0,$I1868&gt;0),$F1868*$H1868,NA()),NA())</f>
        <v/>
      </c>
      <c r="K1868" s="15">
        <f>IF($A1868="","",IF(AH!$U$5=1,IFERROR(MATCH($A1868,'Live History'!$A$5:$A$3004,0),0),AH!$U$7+1863))</f>
        <v/>
      </c>
      <c r="L1868" s="15">
        <f>IF(ISNUMBER(A1868),TEXT(A1868,"dd-mmm-yy"),"")</f>
        <v/>
      </c>
    </row>
    <row r="1869">
      <c r="A1869" s="14">
        <f>IF(OR(AH!$U$4=0,1864+1&gt;AH!$U$6,AND(AH!$M$5="Bloomberg",AH!$U$5=0)),"",IFERROR(IF(AND(AH!$U$12=1,1864+1=AH!$U$6),TODAY(),IF(AH!$U$5=1,INDEX('Live History'!$A$5:$A$3004,AH!$U$7+1864),INDEX('AH History'!$A$5:$A$1380,AH!$U$7+1864))),""))</f>
        <v/>
      </c>
      <c r="B1869" s="33">
        <f>IFERROR(IF(AH!$U$11=1,NA(),$J1869/$E1869-1),NA())</f>
        <v/>
      </c>
      <c r="C1869" s="269">
        <f>IFERROR(100*$E1869/$E$5,NA())</f>
        <v/>
      </c>
      <c r="D1869" s="269">
        <f>IFERROR(100*$J1869/$J$5,NA())</f>
        <v/>
      </c>
      <c r="E1869" s="32">
        <f>IFERROR(IF(AND(ISNUMBER($A1869),N(IF(AND(AH!$U$12=1,1864+1=AH!$U$6),IF(AH!$U$4=0,"unavailable",INDEX('Market Data'!$AN$5:$AN$66,AH!$U$4)),IF(AH!$U$5=1,INDEX('Live History'!$B$5:$B$3004,$K1869),INDEX('AH History'!$D$5:$GG$1380,$K1869,AH!$U$10))))&gt;0),IF(AND(AH!$U$12=1,1864+1=AH!$U$6),IF(AH!$U$4=0,"unavailable",INDEX('Market Data'!$AN$5:$AN$66,AH!$U$4)),IF(AH!$U$5=1,INDEX('Live History'!$B$5:$B$3004,$K1869),INDEX('AH History'!$D$5:$GG$1380,$K1869,AH!$U$10))),NA()),NA())</f>
        <v/>
      </c>
      <c r="F1869" s="32">
        <f>IFERROR(IF(ISNUMBER($A1869),IF(AND(AH!$U$12=1,1864+1=AH!$U$6),IF(AH!$U$4=0,"unavailable",INDEX('Market Data'!$AO$5:$AO$66,AH!$U$4)),IF(AH!$U$5=1,INDEX('Live History'!$E$5:$E$3004,MATCH($A1869,'Live History'!$D$5:$D$3004,1)),INDEX('AH History'!$D$5:$GG$1380,$K1869,AH!$U$10+1))),NA()),NA())</f>
        <v/>
      </c>
      <c r="G1869" s="34">
        <f>IFERROR(IF(ISNUMBER($A1869),IF(AND(AH!$U$12=1,1864+1=AH!$U$6),IF(AH!$U$4=0,"unavailable",INDEX('Market Data'!$AK$5:$AK$66,AH!$U$4)),IF(AH!$U$5=1,INDEX('Live History'!$D$5:$D$3004,MATCH($A1869,'Live History'!$D$5:$D$3004,1)),INDEX('AH History'!$D$5:$GG$1380,$K1869,AH!$U$10+2))),NA()),NA())</f>
        <v/>
      </c>
      <c r="H1869" s="266">
        <f>IFERROR(IF(ISNUMBER($A1869),IF(AND(AH!$U$12=1,1864+1=AH!$U$6),IF(AH!$U$4=0,"unavailable",INDEX('Market Data'!$AP$5:$AP$66,AH!$U$4)),IF(AH!$U$5=1,INDEX('Live History'!$H$5:$H$3004,MATCH($A1869,'Live History'!$G$5:$G$3004,1)),INDEX('AH History'!$B$5:$B$1380,$K1869))),NA()),NA())</f>
        <v/>
      </c>
      <c r="I1869" s="34">
        <f>IFERROR(IF(ISNUMBER($A1869),IF(AND(AH!$U$12=1,1864+1=AH!$U$6),TODAY(),IF(AH!$U$5=1,INDEX('Live History'!$G$5:$G$3004,MATCH($A1869,'Live History'!$G$5:$G$3004,1)),INDEX('AH History'!$C$5:$C$1380,$K1869))),NA()),NA())</f>
        <v/>
      </c>
      <c r="J1869" s="32">
        <f>IFERROR(IF(AND($F1869&gt;0,$H1869&gt;0,$A1869-$G1869&lt;=10,$A1869-$I1869&lt;=5,$G1869&gt;0,$I1869&gt;0),$F1869*$H1869,NA()),NA())</f>
        <v/>
      </c>
      <c r="K1869" s="15">
        <f>IF($A1869="","",IF(AH!$U$5=1,IFERROR(MATCH($A1869,'Live History'!$A$5:$A$3004,0),0),AH!$U$7+1864))</f>
        <v/>
      </c>
      <c r="L1869" s="15">
        <f>IF(ISNUMBER(A1869),TEXT(A1869,"dd-mmm-yy"),"")</f>
        <v/>
      </c>
    </row>
    <row r="1870">
      <c r="A1870" s="14">
        <f>IF(OR(AH!$U$4=0,1865+1&gt;AH!$U$6,AND(AH!$M$5="Bloomberg",AH!$U$5=0)),"",IFERROR(IF(AND(AH!$U$12=1,1865+1=AH!$U$6),TODAY(),IF(AH!$U$5=1,INDEX('Live History'!$A$5:$A$3004,AH!$U$7+1865),INDEX('AH History'!$A$5:$A$1380,AH!$U$7+1865))),""))</f>
        <v/>
      </c>
      <c r="B1870" s="33">
        <f>IFERROR(IF(AH!$U$11=1,NA(),$J1870/$E1870-1),NA())</f>
        <v/>
      </c>
      <c r="C1870" s="269">
        <f>IFERROR(100*$E1870/$E$5,NA())</f>
        <v/>
      </c>
      <c r="D1870" s="269">
        <f>IFERROR(100*$J1870/$J$5,NA())</f>
        <v/>
      </c>
      <c r="E1870" s="32">
        <f>IFERROR(IF(AND(ISNUMBER($A1870),N(IF(AND(AH!$U$12=1,1865+1=AH!$U$6),IF(AH!$U$4=0,"unavailable",INDEX('Market Data'!$AN$5:$AN$66,AH!$U$4)),IF(AH!$U$5=1,INDEX('Live History'!$B$5:$B$3004,$K1870),INDEX('AH History'!$D$5:$GG$1380,$K1870,AH!$U$10))))&gt;0),IF(AND(AH!$U$12=1,1865+1=AH!$U$6),IF(AH!$U$4=0,"unavailable",INDEX('Market Data'!$AN$5:$AN$66,AH!$U$4)),IF(AH!$U$5=1,INDEX('Live History'!$B$5:$B$3004,$K1870),INDEX('AH History'!$D$5:$GG$1380,$K1870,AH!$U$10))),NA()),NA())</f>
        <v/>
      </c>
      <c r="F1870" s="32">
        <f>IFERROR(IF(ISNUMBER($A1870),IF(AND(AH!$U$12=1,1865+1=AH!$U$6),IF(AH!$U$4=0,"unavailable",INDEX('Market Data'!$AO$5:$AO$66,AH!$U$4)),IF(AH!$U$5=1,INDEX('Live History'!$E$5:$E$3004,MATCH($A1870,'Live History'!$D$5:$D$3004,1)),INDEX('AH History'!$D$5:$GG$1380,$K1870,AH!$U$10+1))),NA()),NA())</f>
        <v/>
      </c>
      <c r="G1870" s="34">
        <f>IFERROR(IF(ISNUMBER($A1870),IF(AND(AH!$U$12=1,1865+1=AH!$U$6),IF(AH!$U$4=0,"unavailable",INDEX('Market Data'!$AK$5:$AK$66,AH!$U$4)),IF(AH!$U$5=1,INDEX('Live History'!$D$5:$D$3004,MATCH($A1870,'Live History'!$D$5:$D$3004,1)),INDEX('AH History'!$D$5:$GG$1380,$K1870,AH!$U$10+2))),NA()),NA())</f>
        <v/>
      </c>
      <c r="H1870" s="266">
        <f>IFERROR(IF(ISNUMBER($A1870),IF(AND(AH!$U$12=1,1865+1=AH!$U$6),IF(AH!$U$4=0,"unavailable",INDEX('Market Data'!$AP$5:$AP$66,AH!$U$4)),IF(AH!$U$5=1,INDEX('Live History'!$H$5:$H$3004,MATCH($A1870,'Live History'!$G$5:$G$3004,1)),INDEX('AH History'!$B$5:$B$1380,$K1870))),NA()),NA())</f>
        <v/>
      </c>
      <c r="I1870" s="34">
        <f>IFERROR(IF(ISNUMBER($A1870),IF(AND(AH!$U$12=1,1865+1=AH!$U$6),TODAY(),IF(AH!$U$5=1,INDEX('Live History'!$G$5:$G$3004,MATCH($A1870,'Live History'!$G$5:$G$3004,1)),INDEX('AH History'!$C$5:$C$1380,$K1870))),NA()),NA())</f>
        <v/>
      </c>
      <c r="J1870" s="32">
        <f>IFERROR(IF(AND($F1870&gt;0,$H1870&gt;0,$A1870-$G1870&lt;=10,$A1870-$I1870&lt;=5,$G1870&gt;0,$I1870&gt;0),$F1870*$H1870,NA()),NA())</f>
        <v/>
      </c>
      <c r="K1870" s="15">
        <f>IF($A1870="","",IF(AH!$U$5=1,IFERROR(MATCH($A1870,'Live History'!$A$5:$A$3004,0),0),AH!$U$7+1865))</f>
        <v/>
      </c>
      <c r="L1870" s="15">
        <f>IF(ISNUMBER(A1870),TEXT(A1870,"dd-mmm-yy"),"")</f>
        <v/>
      </c>
    </row>
    <row r="1871">
      <c r="A1871" s="14">
        <f>IF(OR(AH!$U$4=0,1866+1&gt;AH!$U$6,AND(AH!$M$5="Bloomberg",AH!$U$5=0)),"",IFERROR(IF(AND(AH!$U$12=1,1866+1=AH!$U$6),TODAY(),IF(AH!$U$5=1,INDEX('Live History'!$A$5:$A$3004,AH!$U$7+1866),INDEX('AH History'!$A$5:$A$1380,AH!$U$7+1866))),""))</f>
        <v/>
      </c>
      <c r="B1871" s="33">
        <f>IFERROR(IF(AH!$U$11=1,NA(),$J1871/$E1871-1),NA())</f>
        <v/>
      </c>
      <c r="C1871" s="269">
        <f>IFERROR(100*$E1871/$E$5,NA())</f>
        <v/>
      </c>
      <c r="D1871" s="269">
        <f>IFERROR(100*$J1871/$J$5,NA())</f>
        <v/>
      </c>
      <c r="E1871" s="32">
        <f>IFERROR(IF(AND(ISNUMBER($A1871),N(IF(AND(AH!$U$12=1,1866+1=AH!$U$6),IF(AH!$U$4=0,"unavailable",INDEX('Market Data'!$AN$5:$AN$66,AH!$U$4)),IF(AH!$U$5=1,INDEX('Live History'!$B$5:$B$3004,$K1871),INDEX('AH History'!$D$5:$GG$1380,$K1871,AH!$U$10))))&gt;0),IF(AND(AH!$U$12=1,1866+1=AH!$U$6),IF(AH!$U$4=0,"unavailable",INDEX('Market Data'!$AN$5:$AN$66,AH!$U$4)),IF(AH!$U$5=1,INDEX('Live History'!$B$5:$B$3004,$K1871),INDEX('AH History'!$D$5:$GG$1380,$K1871,AH!$U$10))),NA()),NA())</f>
        <v/>
      </c>
      <c r="F1871" s="32">
        <f>IFERROR(IF(ISNUMBER($A1871),IF(AND(AH!$U$12=1,1866+1=AH!$U$6),IF(AH!$U$4=0,"unavailable",INDEX('Market Data'!$AO$5:$AO$66,AH!$U$4)),IF(AH!$U$5=1,INDEX('Live History'!$E$5:$E$3004,MATCH($A1871,'Live History'!$D$5:$D$3004,1)),INDEX('AH History'!$D$5:$GG$1380,$K1871,AH!$U$10+1))),NA()),NA())</f>
        <v/>
      </c>
      <c r="G1871" s="34">
        <f>IFERROR(IF(ISNUMBER($A1871),IF(AND(AH!$U$12=1,1866+1=AH!$U$6),IF(AH!$U$4=0,"unavailable",INDEX('Market Data'!$AK$5:$AK$66,AH!$U$4)),IF(AH!$U$5=1,INDEX('Live History'!$D$5:$D$3004,MATCH($A1871,'Live History'!$D$5:$D$3004,1)),INDEX('AH History'!$D$5:$GG$1380,$K1871,AH!$U$10+2))),NA()),NA())</f>
        <v/>
      </c>
      <c r="H1871" s="266">
        <f>IFERROR(IF(ISNUMBER($A1871),IF(AND(AH!$U$12=1,1866+1=AH!$U$6),IF(AH!$U$4=0,"unavailable",INDEX('Market Data'!$AP$5:$AP$66,AH!$U$4)),IF(AH!$U$5=1,INDEX('Live History'!$H$5:$H$3004,MATCH($A1871,'Live History'!$G$5:$G$3004,1)),INDEX('AH History'!$B$5:$B$1380,$K1871))),NA()),NA())</f>
        <v/>
      </c>
      <c r="I1871" s="34">
        <f>IFERROR(IF(ISNUMBER($A1871),IF(AND(AH!$U$12=1,1866+1=AH!$U$6),TODAY(),IF(AH!$U$5=1,INDEX('Live History'!$G$5:$G$3004,MATCH($A1871,'Live History'!$G$5:$G$3004,1)),INDEX('AH History'!$C$5:$C$1380,$K1871))),NA()),NA())</f>
        <v/>
      </c>
      <c r="J1871" s="32">
        <f>IFERROR(IF(AND($F1871&gt;0,$H1871&gt;0,$A1871-$G1871&lt;=10,$A1871-$I1871&lt;=5,$G1871&gt;0,$I1871&gt;0),$F1871*$H1871,NA()),NA())</f>
        <v/>
      </c>
      <c r="K1871" s="15">
        <f>IF($A1871="","",IF(AH!$U$5=1,IFERROR(MATCH($A1871,'Live History'!$A$5:$A$3004,0),0),AH!$U$7+1866))</f>
        <v/>
      </c>
      <c r="L1871" s="15">
        <f>IF(ISNUMBER(A1871),TEXT(A1871,"dd-mmm-yy"),"")</f>
        <v/>
      </c>
    </row>
    <row r="1872">
      <c r="A1872" s="14">
        <f>IF(OR(AH!$U$4=0,1867+1&gt;AH!$U$6,AND(AH!$M$5="Bloomberg",AH!$U$5=0)),"",IFERROR(IF(AND(AH!$U$12=1,1867+1=AH!$U$6),TODAY(),IF(AH!$U$5=1,INDEX('Live History'!$A$5:$A$3004,AH!$U$7+1867),INDEX('AH History'!$A$5:$A$1380,AH!$U$7+1867))),""))</f>
        <v/>
      </c>
      <c r="B1872" s="33">
        <f>IFERROR(IF(AH!$U$11=1,NA(),$J1872/$E1872-1),NA())</f>
        <v/>
      </c>
      <c r="C1872" s="269">
        <f>IFERROR(100*$E1872/$E$5,NA())</f>
        <v/>
      </c>
      <c r="D1872" s="269">
        <f>IFERROR(100*$J1872/$J$5,NA())</f>
        <v/>
      </c>
      <c r="E1872" s="32">
        <f>IFERROR(IF(AND(ISNUMBER($A1872),N(IF(AND(AH!$U$12=1,1867+1=AH!$U$6),IF(AH!$U$4=0,"unavailable",INDEX('Market Data'!$AN$5:$AN$66,AH!$U$4)),IF(AH!$U$5=1,INDEX('Live History'!$B$5:$B$3004,$K1872),INDEX('AH History'!$D$5:$GG$1380,$K1872,AH!$U$10))))&gt;0),IF(AND(AH!$U$12=1,1867+1=AH!$U$6),IF(AH!$U$4=0,"unavailable",INDEX('Market Data'!$AN$5:$AN$66,AH!$U$4)),IF(AH!$U$5=1,INDEX('Live History'!$B$5:$B$3004,$K1872),INDEX('AH History'!$D$5:$GG$1380,$K1872,AH!$U$10))),NA()),NA())</f>
        <v/>
      </c>
      <c r="F1872" s="32">
        <f>IFERROR(IF(ISNUMBER($A1872),IF(AND(AH!$U$12=1,1867+1=AH!$U$6),IF(AH!$U$4=0,"unavailable",INDEX('Market Data'!$AO$5:$AO$66,AH!$U$4)),IF(AH!$U$5=1,INDEX('Live History'!$E$5:$E$3004,MATCH($A1872,'Live History'!$D$5:$D$3004,1)),INDEX('AH History'!$D$5:$GG$1380,$K1872,AH!$U$10+1))),NA()),NA())</f>
        <v/>
      </c>
      <c r="G1872" s="34">
        <f>IFERROR(IF(ISNUMBER($A1872),IF(AND(AH!$U$12=1,1867+1=AH!$U$6),IF(AH!$U$4=0,"unavailable",INDEX('Market Data'!$AK$5:$AK$66,AH!$U$4)),IF(AH!$U$5=1,INDEX('Live History'!$D$5:$D$3004,MATCH($A1872,'Live History'!$D$5:$D$3004,1)),INDEX('AH History'!$D$5:$GG$1380,$K1872,AH!$U$10+2))),NA()),NA())</f>
        <v/>
      </c>
      <c r="H1872" s="266">
        <f>IFERROR(IF(ISNUMBER($A1872),IF(AND(AH!$U$12=1,1867+1=AH!$U$6),IF(AH!$U$4=0,"unavailable",INDEX('Market Data'!$AP$5:$AP$66,AH!$U$4)),IF(AH!$U$5=1,INDEX('Live History'!$H$5:$H$3004,MATCH($A1872,'Live History'!$G$5:$G$3004,1)),INDEX('AH History'!$B$5:$B$1380,$K1872))),NA()),NA())</f>
        <v/>
      </c>
      <c r="I1872" s="34">
        <f>IFERROR(IF(ISNUMBER($A1872),IF(AND(AH!$U$12=1,1867+1=AH!$U$6),TODAY(),IF(AH!$U$5=1,INDEX('Live History'!$G$5:$G$3004,MATCH($A1872,'Live History'!$G$5:$G$3004,1)),INDEX('AH History'!$C$5:$C$1380,$K1872))),NA()),NA())</f>
        <v/>
      </c>
      <c r="J1872" s="32">
        <f>IFERROR(IF(AND($F1872&gt;0,$H1872&gt;0,$A1872-$G1872&lt;=10,$A1872-$I1872&lt;=5,$G1872&gt;0,$I1872&gt;0),$F1872*$H1872,NA()),NA())</f>
        <v/>
      </c>
      <c r="K1872" s="15">
        <f>IF($A1872="","",IF(AH!$U$5=1,IFERROR(MATCH($A1872,'Live History'!$A$5:$A$3004,0),0),AH!$U$7+1867))</f>
        <v/>
      </c>
      <c r="L1872" s="15">
        <f>IF(ISNUMBER(A1872),TEXT(A1872,"dd-mmm-yy"),"")</f>
        <v/>
      </c>
    </row>
    <row r="1873">
      <c r="A1873" s="14">
        <f>IF(OR(AH!$U$4=0,1868+1&gt;AH!$U$6,AND(AH!$M$5="Bloomberg",AH!$U$5=0)),"",IFERROR(IF(AND(AH!$U$12=1,1868+1=AH!$U$6),TODAY(),IF(AH!$U$5=1,INDEX('Live History'!$A$5:$A$3004,AH!$U$7+1868),INDEX('AH History'!$A$5:$A$1380,AH!$U$7+1868))),""))</f>
        <v/>
      </c>
      <c r="B1873" s="33">
        <f>IFERROR(IF(AH!$U$11=1,NA(),$J1873/$E1873-1),NA())</f>
        <v/>
      </c>
      <c r="C1873" s="269">
        <f>IFERROR(100*$E1873/$E$5,NA())</f>
        <v/>
      </c>
      <c r="D1873" s="269">
        <f>IFERROR(100*$J1873/$J$5,NA())</f>
        <v/>
      </c>
      <c r="E1873" s="32">
        <f>IFERROR(IF(AND(ISNUMBER($A1873),N(IF(AND(AH!$U$12=1,1868+1=AH!$U$6),IF(AH!$U$4=0,"unavailable",INDEX('Market Data'!$AN$5:$AN$66,AH!$U$4)),IF(AH!$U$5=1,INDEX('Live History'!$B$5:$B$3004,$K1873),INDEX('AH History'!$D$5:$GG$1380,$K1873,AH!$U$10))))&gt;0),IF(AND(AH!$U$12=1,1868+1=AH!$U$6),IF(AH!$U$4=0,"unavailable",INDEX('Market Data'!$AN$5:$AN$66,AH!$U$4)),IF(AH!$U$5=1,INDEX('Live History'!$B$5:$B$3004,$K1873),INDEX('AH History'!$D$5:$GG$1380,$K1873,AH!$U$10))),NA()),NA())</f>
        <v/>
      </c>
      <c r="F1873" s="32">
        <f>IFERROR(IF(ISNUMBER($A1873),IF(AND(AH!$U$12=1,1868+1=AH!$U$6),IF(AH!$U$4=0,"unavailable",INDEX('Market Data'!$AO$5:$AO$66,AH!$U$4)),IF(AH!$U$5=1,INDEX('Live History'!$E$5:$E$3004,MATCH($A1873,'Live History'!$D$5:$D$3004,1)),INDEX('AH History'!$D$5:$GG$1380,$K1873,AH!$U$10+1))),NA()),NA())</f>
        <v/>
      </c>
      <c r="G1873" s="34">
        <f>IFERROR(IF(ISNUMBER($A1873),IF(AND(AH!$U$12=1,1868+1=AH!$U$6),IF(AH!$U$4=0,"unavailable",INDEX('Market Data'!$AK$5:$AK$66,AH!$U$4)),IF(AH!$U$5=1,INDEX('Live History'!$D$5:$D$3004,MATCH($A1873,'Live History'!$D$5:$D$3004,1)),INDEX('AH History'!$D$5:$GG$1380,$K1873,AH!$U$10+2))),NA()),NA())</f>
        <v/>
      </c>
      <c r="H1873" s="266">
        <f>IFERROR(IF(ISNUMBER($A1873),IF(AND(AH!$U$12=1,1868+1=AH!$U$6),IF(AH!$U$4=0,"unavailable",INDEX('Market Data'!$AP$5:$AP$66,AH!$U$4)),IF(AH!$U$5=1,INDEX('Live History'!$H$5:$H$3004,MATCH($A1873,'Live History'!$G$5:$G$3004,1)),INDEX('AH History'!$B$5:$B$1380,$K1873))),NA()),NA())</f>
        <v/>
      </c>
      <c r="I1873" s="34">
        <f>IFERROR(IF(ISNUMBER($A1873),IF(AND(AH!$U$12=1,1868+1=AH!$U$6),TODAY(),IF(AH!$U$5=1,INDEX('Live History'!$G$5:$G$3004,MATCH($A1873,'Live History'!$G$5:$G$3004,1)),INDEX('AH History'!$C$5:$C$1380,$K1873))),NA()),NA())</f>
        <v/>
      </c>
      <c r="J1873" s="32">
        <f>IFERROR(IF(AND($F1873&gt;0,$H1873&gt;0,$A1873-$G1873&lt;=10,$A1873-$I1873&lt;=5,$G1873&gt;0,$I1873&gt;0),$F1873*$H1873,NA()),NA())</f>
        <v/>
      </c>
      <c r="K1873" s="15">
        <f>IF($A1873="","",IF(AH!$U$5=1,IFERROR(MATCH($A1873,'Live History'!$A$5:$A$3004,0),0),AH!$U$7+1868))</f>
        <v/>
      </c>
      <c r="L1873" s="15">
        <f>IF(ISNUMBER(A1873),TEXT(A1873,"dd-mmm-yy"),"")</f>
        <v/>
      </c>
    </row>
    <row r="1874">
      <c r="A1874" s="14">
        <f>IF(OR(AH!$U$4=0,1869+1&gt;AH!$U$6,AND(AH!$M$5="Bloomberg",AH!$U$5=0)),"",IFERROR(IF(AND(AH!$U$12=1,1869+1=AH!$U$6),TODAY(),IF(AH!$U$5=1,INDEX('Live History'!$A$5:$A$3004,AH!$U$7+1869),INDEX('AH History'!$A$5:$A$1380,AH!$U$7+1869))),""))</f>
        <v/>
      </c>
      <c r="B1874" s="33">
        <f>IFERROR(IF(AH!$U$11=1,NA(),$J1874/$E1874-1),NA())</f>
        <v/>
      </c>
      <c r="C1874" s="269">
        <f>IFERROR(100*$E1874/$E$5,NA())</f>
        <v/>
      </c>
      <c r="D1874" s="269">
        <f>IFERROR(100*$J1874/$J$5,NA())</f>
        <v/>
      </c>
      <c r="E1874" s="32">
        <f>IFERROR(IF(AND(ISNUMBER($A1874),N(IF(AND(AH!$U$12=1,1869+1=AH!$U$6),IF(AH!$U$4=0,"unavailable",INDEX('Market Data'!$AN$5:$AN$66,AH!$U$4)),IF(AH!$U$5=1,INDEX('Live History'!$B$5:$B$3004,$K1874),INDEX('AH History'!$D$5:$GG$1380,$K1874,AH!$U$10))))&gt;0),IF(AND(AH!$U$12=1,1869+1=AH!$U$6),IF(AH!$U$4=0,"unavailable",INDEX('Market Data'!$AN$5:$AN$66,AH!$U$4)),IF(AH!$U$5=1,INDEX('Live History'!$B$5:$B$3004,$K1874),INDEX('AH History'!$D$5:$GG$1380,$K1874,AH!$U$10))),NA()),NA())</f>
        <v/>
      </c>
      <c r="F1874" s="32">
        <f>IFERROR(IF(ISNUMBER($A1874),IF(AND(AH!$U$12=1,1869+1=AH!$U$6),IF(AH!$U$4=0,"unavailable",INDEX('Market Data'!$AO$5:$AO$66,AH!$U$4)),IF(AH!$U$5=1,INDEX('Live History'!$E$5:$E$3004,MATCH($A1874,'Live History'!$D$5:$D$3004,1)),INDEX('AH History'!$D$5:$GG$1380,$K1874,AH!$U$10+1))),NA()),NA())</f>
        <v/>
      </c>
      <c r="G1874" s="34">
        <f>IFERROR(IF(ISNUMBER($A1874),IF(AND(AH!$U$12=1,1869+1=AH!$U$6),IF(AH!$U$4=0,"unavailable",INDEX('Market Data'!$AK$5:$AK$66,AH!$U$4)),IF(AH!$U$5=1,INDEX('Live History'!$D$5:$D$3004,MATCH($A1874,'Live History'!$D$5:$D$3004,1)),INDEX('AH History'!$D$5:$GG$1380,$K1874,AH!$U$10+2))),NA()),NA())</f>
        <v/>
      </c>
      <c r="H1874" s="266">
        <f>IFERROR(IF(ISNUMBER($A1874),IF(AND(AH!$U$12=1,1869+1=AH!$U$6),IF(AH!$U$4=0,"unavailable",INDEX('Market Data'!$AP$5:$AP$66,AH!$U$4)),IF(AH!$U$5=1,INDEX('Live History'!$H$5:$H$3004,MATCH($A1874,'Live History'!$G$5:$G$3004,1)),INDEX('AH History'!$B$5:$B$1380,$K1874))),NA()),NA())</f>
        <v/>
      </c>
      <c r="I1874" s="34">
        <f>IFERROR(IF(ISNUMBER($A1874),IF(AND(AH!$U$12=1,1869+1=AH!$U$6),TODAY(),IF(AH!$U$5=1,INDEX('Live History'!$G$5:$G$3004,MATCH($A1874,'Live History'!$G$5:$G$3004,1)),INDEX('AH History'!$C$5:$C$1380,$K1874))),NA()),NA())</f>
        <v/>
      </c>
      <c r="J1874" s="32">
        <f>IFERROR(IF(AND($F1874&gt;0,$H1874&gt;0,$A1874-$G1874&lt;=10,$A1874-$I1874&lt;=5,$G1874&gt;0,$I1874&gt;0),$F1874*$H1874,NA()),NA())</f>
        <v/>
      </c>
      <c r="K1874" s="15">
        <f>IF($A1874="","",IF(AH!$U$5=1,IFERROR(MATCH($A1874,'Live History'!$A$5:$A$3004,0),0),AH!$U$7+1869))</f>
        <v/>
      </c>
      <c r="L1874" s="15">
        <f>IF(ISNUMBER(A1874),TEXT(A1874,"dd-mmm-yy"),"")</f>
        <v/>
      </c>
    </row>
    <row r="1875">
      <c r="A1875" s="14">
        <f>IF(OR(AH!$U$4=0,1870+1&gt;AH!$U$6,AND(AH!$M$5="Bloomberg",AH!$U$5=0)),"",IFERROR(IF(AND(AH!$U$12=1,1870+1=AH!$U$6),TODAY(),IF(AH!$U$5=1,INDEX('Live History'!$A$5:$A$3004,AH!$U$7+1870),INDEX('AH History'!$A$5:$A$1380,AH!$U$7+1870))),""))</f>
        <v/>
      </c>
      <c r="B1875" s="33">
        <f>IFERROR(IF(AH!$U$11=1,NA(),$J1875/$E1875-1),NA())</f>
        <v/>
      </c>
      <c r="C1875" s="269">
        <f>IFERROR(100*$E1875/$E$5,NA())</f>
        <v/>
      </c>
      <c r="D1875" s="269">
        <f>IFERROR(100*$J1875/$J$5,NA())</f>
        <v/>
      </c>
      <c r="E1875" s="32">
        <f>IFERROR(IF(AND(ISNUMBER($A1875),N(IF(AND(AH!$U$12=1,1870+1=AH!$U$6),IF(AH!$U$4=0,"unavailable",INDEX('Market Data'!$AN$5:$AN$66,AH!$U$4)),IF(AH!$U$5=1,INDEX('Live History'!$B$5:$B$3004,$K1875),INDEX('AH History'!$D$5:$GG$1380,$K1875,AH!$U$10))))&gt;0),IF(AND(AH!$U$12=1,1870+1=AH!$U$6),IF(AH!$U$4=0,"unavailable",INDEX('Market Data'!$AN$5:$AN$66,AH!$U$4)),IF(AH!$U$5=1,INDEX('Live History'!$B$5:$B$3004,$K1875),INDEX('AH History'!$D$5:$GG$1380,$K1875,AH!$U$10))),NA()),NA())</f>
        <v/>
      </c>
      <c r="F1875" s="32">
        <f>IFERROR(IF(ISNUMBER($A1875),IF(AND(AH!$U$12=1,1870+1=AH!$U$6),IF(AH!$U$4=0,"unavailable",INDEX('Market Data'!$AO$5:$AO$66,AH!$U$4)),IF(AH!$U$5=1,INDEX('Live History'!$E$5:$E$3004,MATCH($A1875,'Live History'!$D$5:$D$3004,1)),INDEX('AH History'!$D$5:$GG$1380,$K1875,AH!$U$10+1))),NA()),NA())</f>
        <v/>
      </c>
      <c r="G1875" s="34">
        <f>IFERROR(IF(ISNUMBER($A1875),IF(AND(AH!$U$12=1,1870+1=AH!$U$6),IF(AH!$U$4=0,"unavailable",INDEX('Market Data'!$AK$5:$AK$66,AH!$U$4)),IF(AH!$U$5=1,INDEX('Live History'!$D$5:$D$3004,MATCH($A1875,'Live History'!$D$5:$D$3004,1)),INDEX('AH History'!$D$5:$GG$1380,$K1875,AH!$U$10+2))),NA()),NA())</f>
        <v/>
      </c>
      <c r="H1875" s="266">
        <f>IFERROR(IF(ISNUMBER($A1875),IF(AND(AH!$U$12=1,1870+1=AH!$U$6),IF(AH!$U$4=0,"unavailable",INDEX('Market Data'!$AP$5:$AP$66,AH!$U$4)),IF(AH!$U$5=1,INDEX('Live History'!$H$5:$H$3004,MATCH($A1875,'Live History'!$G$5:$G$3004,1)),INDEX('AH History'!$B$5:$B$1380,$K1875))),NA()),NA())</f>
        <v/>
      </c>
      <c r="I1875" s="34">
        <f>IFERROR(IF(ISNUMBER($A1875),IF(AND(AH!$U$12=1,1870+1=AH!$U$6),TODAY(),IF(AH!$U$5=1,INDEX('Live History'!$G$5:$G$3004,MATCH($A1875,'Live History'!$G$5:$G$3004,1)),INDEX('AH History'!$C$5:$C$1380,$K1875))),NA()),NA())</f>
        <v/>
      </c>
      <c r="J1875" s="32">
        <f>IFERROR(IF(AND($F1875&gt;0,$H1875&gt;0,$A1875-$G1875&lt;=10,$A1875-$I1875&lt;=5,$G1875&gt;0,$I1875&gt;0),$F1875*$H1875,NA()),NA())</f>
        <v/>
      </c>
      <c r="K1875" s="15">
        <f>IF($A1875="","",IF(AH!$U$5=1,IFERROR(MATCH($A1875,'Live History'!$A$5:$A$3004,0),0),AH!$U$7+1870))</f>
        <v/>
      </c>
      <c r="L1875" s="15">
        <f>IF(ISNUMBER(A1875),TEXT(A1875,"dd-mmm-yy"),"")</f>
        <v/>
      </c>
    </row>
    <row r="1876">
      <c r="A1876" s="14">
        <f>IF(OR(AH!$U$4=0,1871+1&gt;AH!$U$6,AND(AH!$M$5="Bloomberg",AH!$U$5=0)),"",IFERROR(IF(AND(AH!$U$12=1,1871+1=AH!$U$6),TODAY(),IF(AH!$U$5=1,INDEX('Live History'!$A$5:$A$3004,AH!$U$7+1871),INDEX('AH History'!$A$5:$A$1380,AH!$U$7+1871))),""))</f>
        <v/>
      </c>
      <c r="B1876" s="33">
        <f>IFERROR(IF(AH!$U$11=1,NA(),$J1876/$E1876-1),NA())</f>
        <v/>
      </c>
      <c r="C1876" s="269">
        <f>IFERROR(100*$E1876/$E$5,NA())</f>
        <v/>
      </c>
      <c r="D1876" s="269">
        <f>IFERROR(100*$J1876/$J$5,NA())</f>
        <v/>
      </c>
      <c r="E1876" s="32">
        <f>IFERROR(IF(AND(ISNUMBER($A1876),N(IF(AND(AH!$U$12=1,1871+1=AH!$U$6),IF(AH!$U$4=0,"unavailable",INDEX('Market Data'!$AN$5:$AN$66,AH!$U$4)),IF(AH!$U$5=1,INDEX('Live History'!$B$5:$B$3004,$K1876),INDEX('AH History'!$D$5:$GG$1380,$K1876,AH!$U$10))))&gt;0),IF(AND(AH!$U$12=1,1871+1=AH!$U$6),IF(AH!$U$4=0,"unavailable",INDEX('Market Data'!$AN$5:$AN$66,AH!$U$4)),IF(AH!$U$5=1,INDEX('Live History'!$B$5:$B$3004,$K1876),INDEX('AH History'!$D$5:$GG$1380,$K1876,AH!$U$10))),NA()),NA())</f>
        <v/>
      </c>
      <c r="F1876" s="32">
        <f>IFERROR(IF(ISNUMBER($A1876),IF(AND(AH!$U$12=1,1871+1=AH!$U$6),IF(AH!$U$4=0,"unavailable",INDEX('Market Data'!$AO$5:$AO$66,AH!$U$4)),IF(AH!$U$5=1,INDEX('Live History'!$E$5:$E$3004,MATCH($A1876,'Live History'!$D$5:$D$3004,1)),INDEX('AH History'!$D$5:$GG$1380,$K1876,AH!$U$10+1))),NA()),NA())</f>
        <v/>
      </c>
      <c r="G1876" s="34">
        <f>IFERROR(IF(ISNUMBER($A1876),IF(AND(AH!$U$12=1,1871+1=AH!$U$6),IF(AH!$U$4=0,"unavailable",INDEX('Market Data'!$AK$5:$AK$66,AH!$U$4)),IF(AH!$U$5=1,INDEX('Live History'!$D$5:$D$3004,MATCH($A1876,'Live History'!$D$5:$D$3004,1)),INDEX('AH History'!$D$5:$GG$1380,$K1876,AH!$U$10+2))),NA()),NA())</f>
        <v/>
      </c>
      <c r="H1876" s="266">
        <f>IFERROR(IF(ISNUMBER($A1876),IF(AND(AH!$U$12=1,1871+1=AH!$U$6),IF(AH!$U$4=0,"unavailable",INDEX('Market Data'!$AP$5:$AP$66,AH!$U$4)),IF(AH!$U$5=1,INDEX('Live History'!$H$5:$H$3004,MATCH($A1876,'Live History'!$G$5:$G$3004,1)),INDEX('AH History'!$B$5:$B$1380,$K1876))),NA()),NA())</f>
        <v/>
      </c>
      <c r="I1876" s="34">
        <f>IFERROR(IF(ISNUMBER($A1876),IF(AND(AH!$U$12=1,1871+1=AH!$U$6),TODAY(),IF(AH!$U$5=1,INDEX('Live History'!$G$5:$G$3004,MATCH($A1876,'Live History'!$G$5:$G$3004,1)),INDEX('AH History'!$C$5:$C$1380,$K1876))),NA()),NA())</f>
        <v/>
      </c>
      <c r="J1876" s="32">
        <f>IFERROR(IF(AND($F1876&gt;0,$H1876&gt;0,$A1876-$G1876&lt;=10,$A1876-$I1876&lt;=5,$G1876&gt;0,$I1876&gt;0),$F1876*$H1876,NA()),NA())</f>
        <v/>
      </c>
      <c r="K1876" s="15">
        <f>IF($A1876="","",IF(AH!$U$5=1,IFERROR(MATCH($A1876,'Live History'!$A$5:$A$3004,0),0),AH!$U$7+1871))</f>
        <v/>
      </c>
      <c r="L1876" s="15">
        <f>IF(ISNUMBER(A1876),TEXT(A1876,"dd-mmm-yy"),"")</f>
        <v/>
      </c>
    </row>
    <row r="1877">
      <c r="A1877" s="14">
        <f>IF(OR(AH!$U$4=0,1872+1&gt;AH!$U$6,AND(AH!$M$5="Bloomberg",AH!$U$5=0)),"",IFERROR(IF(AND(AH!$U$12=1,1872+1=AH!$U$6),TODAY(),IF(AH!$U$5=1,INDEX('Live History'!$A$5:$A$3004,AH!$U$7+1872),INDEX('AH History'!$A$5:$A$1380,AH!$U$7+1872))),""))</f>
        <v/>
      </c>
      <c r="B1877" s="33">
        <f>IFERROR(IF(AH!$U$11=1,NA(),$J1877/$E1877-1),NA())</f>
        <v/>
      </c>
      <c r="C1877" s="269">
        <f>IFERROR(100*$E1877/$E$5,NA())</f>
        <v/>
      </c>
      <c r="D1877" s="269">
        <f>IFERROR(100*$J1877/$J$5,NA())</f>
        <v/>
      </c>
      <c r="E1877" s="32">
        <f>IFERROR(IF(AND(ISNUMBER($A1877),N(IF(AND(AH!$U$12=1,1872+1=AH!$U$6),IF(AH!$U$4=0,"unavailable",INDEX('Market Data'!$AN$5:$AN$66,AH!$U$4)),IF(AH!$U$5=1,INDEX('Live History'!$B$5:$B$3004,$K1877),INDEX('AH History'!$D$5:$GG$1380,$K1877,AH!$U$10))))&gt;0),IF(AND(AH!$U$12=1,1872+1=AH!$U$6),IF(AH!$U$4=0,"unavailable",INDEX('Market Data'!$AN$5:$AN$66,AH!$U$4)),IF(AH!$U$5=1,INDEX('Live History'!$B$5:$B$3004,$K1877),INDEX('AH History'!$D$5:$GG$1380,$K1877,AH!$U$10))),NA()),NA())</f>
        <v/>
      </c>
      <c r="F1877" s="32">
        <f>IFERROR(IF(ISNUMBER($A1877),IF(AND(AH!$U$12=1,1872+1=AH!$U$6),IF(AH!$U$4=0,"unavailable",INDEX('Market Data'!$AO$5:$AO$66,AH!$U$4)),IF(AH!$U$5=1,INDEX('Live History'!$E$5:$E$3004,MATCH($A1877,'Live History'!$D$5:$D$3004,1)),INDEX('AH History'!$D$5:$GG$1380,$K1877,AH!$U$10+1))),NA()),NA())</f>
        <v/>
      </c>
      <c r="G1877" s="34">
        <f>IFERROR(IF(ISNUMBER($A1877),IF(AND(AH!$U$12=1,1872+1=AH!$U$6),IF(AH!$U$4=0,"unavailable",INDEX('Market Data'!$AK$5:$AK$66,AH!$U$4)),IF(AH!$U$5=1,INDEX('Live History'!$D$5:$D$3004,MATCH($A1877,'Live History'!$D$5:$D$3004,1)),INDEX('AH History'!$D$5:$GG$1380,$K1877,AH!$U$10+2))),NA()),NA())</f>
        <v/>
      </c>
      <c r="H1877" s="266">
        <f>IFERROR(IF(ISNUMBER($A1877),IF(AND(AH!$U$12=1,1872+1=AH!$U$6),IF(AH!$U$4=0,"unavailable",INDEX('Market Data'!$AP$5:$AP$66,AH!$U$4)),IF(AH!$U$5=1,INDEX('Live History'!$H$5:$H$3004,MATCH($A1877,'Live History'!$G$5:$G$3004,1)),INDEX('AH History'!$B$5:$B$1380,$K1877))),NA()),NA())</f>
        <v/>
      </c>
      <c r="I1877" s="34">
        <f>IFERROR(IF(ISNUMBER($A1877),IF(AND(AH!$U$12=1,1872+1=AH!$U$6),TODAY(),IF(AH!$U$5=1,INDEX('Live History'!$G$5:$G$3004,MATCH($A1877,'Live History'!$G$5:$G$3004,1)),INDEX('AH History'!$C$5:$C$1380,$K1877))),NA()),NA())</f>
        <v/>
      </c>
      <c r="J1877" s="32">
        <f>IFERROR(IF(AND($F1877&gt;0,$H1877&gt;0,$A1877-$G1877&lt;=10,$A1877-$I1877&lt;=5,$G1877&gt;0,$I1877&gt;0),$F1877*$H1877,NA()),NA())</f>
        <v/>
      </c>
      <c r="K1877" s="15">
        <f>IF($A1877="","",IF(AH!$U$5=1,IFERROR(MATCH($A1877,'Live History'!$A$5:$A$3004,0),0),AH!$U$7+1872))</f>
        <v/>
      </c>
      <c r="L1877" s="15">
        <f>IF(ISNUMBER(A1877),TEXT(A1877,"dd-mmm-yy"),"")</f>
        <v/>
      </c>
    </row>
    <row r="1878">
      <c r="A1878" s="14">
        <f>IF(OR(AH!$U$4=0,1873+1&gt;AH!$U$6,AND(AH!$M$5="Bloomberg",AH!$U$5=0)),"",IFERROR(IF(AND(AH!$U$12=1,1873+1=AH!$U$6),TODAY(),IF(AH!$U$5=1,INDEX('Live History'!$A$5:$A$3004,AH!$U$7+1873),INDEX('AH History'!$A$5:$A$1380,AH!$U$7+1873))),""))</f>
        <v/>
      </c>
      <c r="B1878" s="33">
        <f>IFERROR(IF(AH!$U$11=1,NA(),$J1878/$E1878-1),NA())</f>
        <v/>
      </c>
      <c r="C1878" s="269">
        <f>IFERROR(100*$E1878/$E$5,NA())</f>
        <v/>
      </c>
      <c r="D1878" s="269">
        <f>IFERROR(100*$J1878/$J$5,NA())</f>
        <v/>
      </c>
      <c r="E1878" s="32">
        <f>IFERROR(IF(AND(ISNUMBER($A1878),N(IF(AND(AH!$U$12=1,1873+1=AH!$U$6),IF(AH!$U$4=0,"unavailable",INDEX('Market Data'!$AN$5:$AN$66,AH!$U$4)),IF(AH!$U$5=1,INDEX('Live History'!$B$5:$B$3004,$K1878),INDEX('AH History'!$D$5:$GG$1380,$K1878,AH!$U$10))))&gt;0),IF(AND(AH!$U$12=1,1873+1=AH!$U$6),IF(AH!$U$4=0,"unavailable",INDEX('Market Data'!$AN$5:$AN$66,AH!$U$4)),IF(AH!$U$5=1,INDEX('Live History'!$B$5:$B$3004,$K1878),INDEX('AH History'!$D$5:$GG$1380,$K1878,AH!$U$10))),NA()),NA())</f>
        <v/>
      </c>
      <c r="F1878" s="32">
        <f>IFERROR(IF(ISNUMBER($A1878),IF(AND(AH!$U$12=1,1873+1=AH!$U$6),IF(AH!$U$4=0,"unavailable",INDEX('Market Data'!$AO$5:$AO$66,AH!$U$4)),IF(AH!$U$5=1,INDEX('Live History'!$E$5:$E$3004,MATCH($A1878,'Live History'!$D$5:$D$3004,1)),INDEX('AH History'!$D$5:$GG$1380,$K1878,AH!$U$10+1))),NA()),NA())</f>
        <v/>
      </c>
      <c r="G1878" s="34">
        <f>IFERROR(IF(ISNUMBER($A1878),IF(AND(AH!$U$12=1,1873+1=AH!$U$6),IF(AH!$U$4=0,"unavailable",INDEX('Market Data'!$AK$5:$AK$66,AH!$U$4)),IF(AH!$U$5=1,INDEX('Live History'!$D$5:$D$3004,MATCH($A1878,'Live History'!$D$5:$D$3004,1)),INDEX('AH History'!$D$5:$GG$1380,$K1878,AH!$U$10+2))),NA()),NA())</f>
        <v/>
      </c>
      <c r="H1878" s="266">
        <f>IFERROR(IF(ISNUMBER($A1878),IF(AND(AH!$U$12=1,1873+1=AH!$U$6),IF(AH!$U$4=0,"unavailable",INDEX('Market Data'!$AP$5:$AP$66,AH!$U$4)),IF(AH!$U$5=1,INDEX('Live History'!$H$5:$H$3004,MATCH($A1878,'Live History'!$G$5:$G$3004,1)),INDEX('AH History'!$B$5:$B$1380,$K1878))),NA()),NA())</f>
        <v/>
      </c>
      <c r="I1878" s="34">
        <f>IFERROR(IF(ISNUMBER($A1878),IF(AND(AH!$U$12=1,1873+1=AH!$U$6),TODAY(),IF(AH!$U$5=1,INDEX('Live History'!$G$5:$G$3004,MATCH($A1878,'Live History'!$G$5:$G$3004,1)),INDEX('AH History'!$C$5:$C$1380,$K1878))),NA()),NA())</f>
        <v/>
      </c>
      <c r="J1878" s="32">
        <f>IFERROR(IF(AND($F1878&gt;0,$H1878&gt;0,$A1878-$G1878&lt;=10,$A1878-$I1878&lt;=5,$G1878&gt;0,$I1878&gt;0),$F1878*$H1878,NA()),NA())</f>
        <v/>
      </c>
      <c r="K1878" s="15">
        <f>IF($A1878="","",IF(AH!$U$5=1,IFERROR(MATCH($A1878,'Live History'!$A$5:$A$3004,0),0),AH!$U$7+1873))</f>
        <v/>
      </c>
      <c r="L1878" s="15">
        <f>IF(ISNUMBER(A1878),TEXT(A1878,"dd-mmm-yy"),"")</f>
        <v/>
      </c>
    </row>
    <row r="1879">
      <c r="A1879" s="14">
        <f>IF(OR(AH!$U$4=0,1874+1&gt;AH!$U$6,AND(AH!$M$5="Bloomberg",AH!$U$5=0)),"",IFERROR(IF(AND(AH!$U$12=1,1874+1=AH!$U$6),TODAY(),IF(AH!$U$5=1,INDEX('Live History'!$A$5:$A$3004,AH!$U$7+1874),INDEX('AH History'!$A$5:$A$1380,AH!$U$7+1874))),""))</f>
        <v/>
      </c>
      <c r="B1879" s="33">
        <f>IFERROR(IF(AH!$U$11=1,NA(),$J1879/$E1879-1),NA())</f>
        <v/>
      </c>
      <c r="C1879" s="269">
        <f>IFERROR(100*$E1879/$E$5,NA())</f>
        <v/>
      </c>
      <c r="D1879" s="269">
        <f>IFERROR(100*$J1879/$J$5,NA())</f>
        <v/>
      </c>
      <c r="E1879" s="32">
        <f>IFERROR(IF(AND(ISNUMBER($A1879),N(IF(AND(AH!$U$12=1,1874+1=AH!$U$6),IF(AH!$U$4=0,"unavailable",INDEX('Market Data'!$AN$5:$AN$66,AH!$U$4)),IF(AH!$U$5=1,INDEX('Live History'!$B$5:$B$3004,$K1879),INDEX('AH History'!$D$5:$GG$1380,$K1879,AH!$U$10))))&gt;0),IF(AND(AH!$U$12=1,1874+1=AH!$U$6),IF(AH!$U$4=0,"unavailable",INDEX('Market Data'!$AN$5:$AN$66,AH!$U$4)),IF(AH!$U$5=1,INDEX('Live History'!$B$5:$B$3004,$K1879),INDEX('AH History'!$D$5:$GG$1380,$K1879,AH!$U$10))),NA()),NA())</f>
        <v/>
      </c>
      <c r="F1879" s="32">
        <f>IFERROR(IF(ISNUMBER($A1879),IF(AND(AH!$U$12=1,1874+1=AH!$U$6),IF(AH!$U$4=0,"unavailable",INDEX('Market Data'!$AO$5:$AO$66,AH!$U$4)),IF(AH!$U$5=1,INDEX('Live History'!$E$5:$E$3004,MATCH($A1879,'Live History'!$D$5:$D$3004,1)),INDEX('AH History'!$D$5:$GG$1380,$K1879,AH!$U$10+1))),NA()),NA())</f>
        <v/>
      </c>
      <c r="G1879" s="34">
        <f>IFERROR(IF(ISNUMBER($A1879),IF(AND(AH!$U$12=1,1874+1=AH!$U$6),IF(AH!$U$4=0,"unavailable",INDEX('Market Data'!$AK$5:$AK$66,AH!$U$4)),IF(AH!$U$5=1,INDEX('Live History'!$D$5:$D$3004,MATCH($A1879,'Live History'!$D$5:$D$3004,1)),INDEX('AH History'!$D$5:$GG$1380,$K1879,AH!$U$10+2))),NA()),NA())</f>
        <v/>
      </c>
      <c r="H1879" s="266">
        <f>IFERROR(IF(ISNUMBER($A1879),IF(AND(AH!$U$12=1,1874+1=AH!$U$6),IF(AH!$U$4=0,"unavailable",INDEX('Market Data'!$AP$5:$AP$66,AH!$U$4)),IF(AH!$U$5=1,INDEX('Live History'!$H$5:$H$3004,MATCH($A1879,'Live History'!$G$5:$G$3004,1)),INDEX('AH History'!$B$5:$B$1380,$K1879))),NA()),NA())</f>
        <v/>
      </c>
      <c r="I1879" s="34">
        <f>IFERROR(IF(ISNUMBER($A1879),IF(AND(AH!$U$12=1,1874+1=AH!$U$6),TODAY(),IF(AH!$U$5=1,INDEX('Live History'!$G$5:$G$3004,MATCH($A1879,'Live History'!$G$5:$G$3004,1)),INDEX('AH History'!$C$5:$C$1380,$K1879))),NA()),NA())</f>
        <v/>
      </c>
      <c r="J1879" s="32">
        <f>IFERROR(IF(AND($F1879&gt;0,$H1879&gt;0,$A1879-$G1879&lt;=10,$A1879-$I1879&lt;=5,$G1879&gt;0,$I1879&gt;0),$F1879*$H1879,NA()),NA())</f>
        <v/>
      </c>
      <c r="K1879" s="15">
        <f>IF($A1879="","",IF(AH!$U$5=1,IFERROR(MATCH($A1879,'Live History'!$A$5:$A$3004,0),0),AH!$U$7+1874))</f>
        <v/>
      </c>
      <c r="L1879" s="15">
        <f>IF(ISNUMBER(A1879),TEXT(A1879,"dd-mmm-yy"),"")</f>
        <v/>
      </c>
    </row>
    <row r="1880">
      <c r="A1880" s="14">
        <f>IF(OR(AH!$U$4=0,1875+1&gt;AH!$U$6,AND(AH!$M$5="Bloomberg",AH!$U$5=0)),"",IFERROR(IF(AND(AH!$U$12=1,1875+1=AH!$U$6),TODAY(),IF(AH!$U$5=1,INDEX('Live History'!$A$5:$A$3004,AH!$U$7+1875),INDEX('AH History'!$A$5:$A$1380,AH!$U$7+1875))),""))</f>
        <v/>
      </c>
      <c r="B1880" s="33">
        <f>IFERROR(IF(AH!$U$11=1,NA(),$J1880/$E1880-1),NA())</f>
        <v/>
      </c>
      <c r="C1880" s="269">
        <f>IFERROR(100*$E1880/$E$5,NA())</f>
        <v/>
      </c>
      <c r="D1880" s="269">
        <f>IFERROR(100*$J1880/$J$5,NA())</f>
        <v/>
      </c>
      <c r="E1880" s="32">
        <f>IFERROR(IF(AND(ISNUMBER($A1880),N(IF(AND(AH!$U$12=1,1875+1=AH!$U$6),IF(AH!$U$4=0,"unavailable",INDEX('Market Data'!$AN$5:$AN$66,AH!$U$4)),IF(AH!$U$5=1,INDEX('Live History'!$B$5:$B$3004,$K1880),INDEX('AH History'!$D$5:$GG$1380,$K1880,AH!$U$10))))&gt;0),IF(AND(AH!$U$12=1,1875+1=AH!$U$6),IF(AH!$U$4=0,"unavailable",INDEX('Market Data'!$AN$5:$AN$66,AH!$U$4)),IF(AH!$U$5=1,INDEX('Live History'!$B$5:$B$3004,$K1880),INDEX('AH History'!$D$5:$GG$1380,$K1880,AH!$U$10))),NA()),NA())</f>
        <v/>
      </c>
      <c r="F1880" s="32">
        <f>IFERROR(IF(ISNUMBER($A1880),IF(AND(AH!$U$12=1,1875+1=AH!$U$6),IF(AH!$U$4=0,"unavailable",INDEX('Market Data'!$AO$5:$AO$66,AH!$U$4)),IF(AH!$U$5=1,INDEX('Live History'!$E$5:$E$3004,MATCH($A1880,'Live History'!$D$5:$D$3004,1)),INDEX('AH History'!$D$5:$GG$1380,$K1880,AH!$U$10+1))),NA()),NA())</f>
        <v/>
      </c>
      <c r="G1880" s="34">
        <f>IFERROR(IF(ISNUMBER($A1880),IF(AND(AH!$U$12=1,1875+1=AH!$U$6),IF(AH!$U$4=0,"unavailable",INDEX('Market Data'!$AK$5:$AK$66,AH!$U$4)),IF(AH!$U$5=1,INDEX('Live History'!$D$5:$D$3004,MATCH($A1880,'Live History'!$D$5:$D$3004,1)),INDEX('AH History'!$D$5:$GG$1380,$K1880,AH!$U$10+2))),NA()),NA())</f>
        <v/>
      </c>
      <c r="H1880" s="266">
        <f>IFERROR(IF(ISNUMBER($A1880),IF(AND(AH!$U$12=1,1875+1=AH!$U$6),IF(AH!$U$4=0,"unavailable",INDEX('Market Data'!$AP$5:$AP$66,AH!$U$4)),IF(AH!$U$5=1,INDEX('Live History'!$H$5:$H$3004,MATCH($A1880,'Live History'!$G$5:$G$3004,1)),INDEX('AH History'!$B$5:$B$1380,$K1880))),NA()),NA())</f>
        <v/>
      </c>
      <c r="I1880" s="34">
        <f>IFERROR(IF(ISNUMBER($A1880),IF(AND(AH!$U$12=1,1875+1=AH!$U$6),TODAY(),IF(AH!$U$5=1,INDEX('Live History'!$G$5:$G$3004,MATCH($A1880,'Live History'!$G$5:$G$3004,1)),INDEX('AH History'!$C$5:$C$1380,$K1880))),NA()),NA())</f>
        <v/>
      </c>
      <c r="J1880" s="32">
        <f>IFERROR(IF(AND($F1880&gt;0,$H1880&gt;0,$A1880-$G1880&lt;=10,$A1880-$I1880&lt;=5,$G1880&gt;0,$I1880&gt;0),$F1880*$H1880,NA()),NA())</f>
        <v/>
      </c>
      <c r="K1880" s="15">
        <f>IF($A1880="","",IF(AH!$U$5=1,IFERROR(MATCH($A1880,'Live History'!$A$5:$A$3004,0),0),AH!$U$7+1875))</f>
        <v/>
      </c>
      <c r="L1880" s="15">
        <f>IF(ISNUMBER(A1880),TEXT(A1880,"dd-mmm-yy"),"")</f>
        <v/>
      </c>
    </row>
    <row r="1881">
      <c r="A1881" s="14">
        <f>IF(OR(AH!$U$4=0,1876+1&gt;AH!$U$6,AND(AH!$M$5="Bloomberg",AH!$U$5=0)),"",IFERROR(IF(AND(AH!$U$12=1,1876+1=AH!$U$6),TODAY(),IF(AH!$U$5=1,INDEX('Live History'!$A$5:$A$3004,AH!$U$7+1876),INDEX('AH History'!$A$5:$A$1380,AH!$U$7+1876))),""))</f>
        <v/>
      </c>
      <c r="B1881" s="33">
        <f>IFERROR(IF(AH!$U$11=1,NA(),$J1881/$E1881-1),NA())</f>
        <v/>
      </c>
      <c r="C1881" s="269">
        <f>IFERROR(100*$E1881/$E$5,NA())</f>
        <v/>
      </c>
      <c r="D1881" s="269">
        <f>IFERROR(100*$J1881/$J$5,NA())</f>
        <v/>
      </c>
      <c r="E1881" s="32">
        <f>IFERROR(IF(AND(ISNUMBER($A1881),N(IF(AND(AH!$U$12=1,1876+1=AH!$U$6),IF(AH!$U$4=0,"unavailable",INDEX('Market Data'!$AN$5:$AN$66,AH!$U$4)),IF(AH!$U$5=1,INDEX('Live History'!$B$5:$B$3004,$K1881),INDEX('AH History'!$D$5:$GG$1380,$K1881,AH!$U$10))))&gt;0),IF(AND(AH!$U$12=1,1876+1=AH!$U$6),IF(AH!$U$4=0,"unavailable",INDEX('Market Data'!$AN$5:$AN$66,AH!$U$4)),IF(AH!$U$5=1,INDEX('Live History'!$B$5:$B$3004,$K1881),INDEX('AH History'!$D$5:$GG$1380,$K1881,AH!$U$10))),NA()),NA())</f>
        <v/>
      </c>
      <c r="F1881" s="32">
        <f>IFERROR(IF(ISNUMBER($A1881),IF(AND(AH!$U$12=1,1876+1=AH!$U$6),IF(AH!$U$4=0,"unavailable",INDEX('Market Data'!$AO$5:$AO$66,AH!$U$4)),IF(AH!$U$5=1,INDEX('Live History'!$E$5:$E$3004,MATCH($A1881,'Live History'!$D$5:$D$3004,1)),INDEX('AH History'!$D$5:$GG$1380,$K1881,AH!$U$10+1))),NA()),NA())</f>
        <v/>
      </c>
      <c r="G1881" s="34">
        <f>IFERROR(IF(ISNUMBER($A1881),IF(AND(AH!$U$12=1,1876+1=AH!$U$6),IF(AH!$U$4=0,"unavailable",INDEX('Market Data'!$AK$5:$AK$66,AH!$U$4)),IF(AH!$U$5=1,INDEX('Live History'!$D$5:$D$3004,MATCH($A1881,'Live History'!$D$5:$D$3004,1)),INDEX('AH History'!$D$5:$GG$1380,$K1881,AH!$U$10+2))),NA()),NA())</f>
        <v/>
      </c>
      <c r="H1881" s="266">
        <f>IFERROR(IF(ISNUMBER($A1881),IF(AND(AH!$U$12=1,1876+1=AH!$U$6),IF(AH!$U$4=0,"unavailable",INDEX('Market Data'!$AP$5:$AP$66,AH!$U$4)),IF(AH!$U$5=1,INDEX('Live History'!$H$5:$H$3004,MATCH($A1881,'Live History'!$G$5:$G$3004,1)),INDEX('AH History'!$B$5:$B$1380,$K1881))),NA()),NA())</f>
        <v/>
      </c>
      <c r="I1881" s="34">
        <f>IFERROR(IF(ISNUMBER($A1881),IF(AND(AH!$U$12=1,1876+1=AH!$U$6),TODAY(),IF(AH!$U$5=1,INDEX('Live History'!$G$5:$G$3004,MATCH($A1881,'Live History'!$G$5:$G$3004,1)),INDEX('AH History'!$C$5:$C$1380,$K1881))),NA()),NA())</f>
        <v/>
      </c>
      <c r="J1881" s="32">
        <f>IFERROR(IF(AND($F1881&gt;0,$H1881&gt;0,$A1881-$G1881&lt;=10,$A1881-$I1881&lt;=5,$G1881&gt;0,$I1881&gt;0),$F1881*$H1881,NA()),NA())</f>
        <v/>
      </c>
      <c r="K1881" s="15">
        <f>IF($A1881="","",IF(AH!$U$5=1,IFERROR(MATCH($A1881,'Live History'!$A$5:$A$3004,0),0),AH!$U$7+1876))</f>
        <v/>
      </c>
      <c r="L1881" s="15">
        <f>IF(ISNUMBER(A1881),TEXT(A1881,"dd-mmm-yy"),"")</f>
        <v/>
      </c>
    </row>
    <row r="1882">
      <c r="A1882" s="14">
        <f>IF(OR(AH!$U$4=0,1877+1&gt;AH!$U$6,AND(AH!$M$5="Bloomberg",AH!$U$5=0)),"",IFERROR(IF(AND(AH!$U$12=1,1877+1=AH!$U$6),TODAY(),IF(AH!$U$5=1,INDEX('Live History'!$A$5:$A$3004,AH!$U$7+1877),INDEX('AH History'!$A$5:$A$1380,AH!$U$7+1877))),""))</f>
        <v/>
      </c>
      <c r="B1882" s="33">
        <f>IFERROR(IF(AH!$U$11=1,NA(),$J1882/$E1882-1),NA())</f>
        <v/>
      </c>
      <c r="C1882" s="269">
        <f>IFERROR(100*$E1882/$E$5,NA())</f>
        <v/>
      </c>
      <c r="D1882" s="269">
        <f>IFERROR(100*$J1882/$J$5,NA())</f>
        <v/>
      </c>
      <c r="E1882" s="32">
        <f>IFERROR(IF(AND(ISNUMBER($A1882),N(IF(AND(AH!$U$12=1,1877+1=AH!$U$6),IF(AH!$U$4=0,"unavailable",INDEX('Market Data'!$AN$5:$AN$66,AH!$U$4)),IF(AH!$U$5=1,INDEX('Live History'!$B$5:$B$3004,$K1882),INDEX('AH History'!$D$5:$GG$1380,$K1882,AH!$U$10))))&gt;0),IF(AND(AH!$U$12=1,1877+1=AH!$U$6),IF(AH!$U$4=0,"unavailable",INDEX('Market Data'!$AN$5:$AN$66,AH!$U$4)),IF(AH!$U$5=1,INDEX('Live History'!$B$5:$B$3004,$K1882),INDEX('AH History'!$D$5:$GG$1380,$K1882,AH!$U$10))),NA()),NA())</f>
        <v/>
      </c>
      <c r="F1882" s="32">
        <f>IFERROR(IF(ISNUMBER($A1882),IF(AND(AH!$U$12=1,1877+1=AH!$U$6),IF(AH!$U$4=0,"unavailable",INDEX('Market Data'!$AO$5:$AO$66,AH!$U$4)),IF(AH!$U$5=1,INDEX('Live History'!$E$5:$E$3004,MATCH($A1882,'Live History'!$D$5:$D$3004,1)),INDEX('AH History'!$D$5:$GG$1380,$K1882,AH!$U$10+1))),NA()),NA())</f>
        <v/>
      </c>
      <c r="G1882" s="34">
        <f>IFERROR(IF(ISNUMBER($A1882),IF(AND(AH!$U$12=1,1877+1=AH!$U$6),IF(AH!$U$4=0,"unavailable",INDEX('Market Data'!$AK$5:$AK$66,AH!$U$4)),IF(AH!$U$5=1,INDEX('Live History'!$D$5:$D$3004,MATCH($A1882,'Live History'!$D$5:$D$3004,1)),INDEX('AH History'!$D$5:$GG$1380,$K1882,AH!$U$10+2))),NA()),NA())</f>
        <v/>
      </c>
      <c r="H1882" s="266">
        <f>IFERROR(IF(ISNUMBER($A1882),IF(AND(AH!$U$12=1,1877+1=AH!$U$6),IF(AH!$U$4=0,"unavailable",INDEX('Market Data'!$AP$5:$AP$66,AH!$U$4)),IF(AH!$U$5=1,INDEX('Live History'!$H$5:$H$3004,MATCH($A1882,'Live History'!$G$5:$G$3004,1)),INDEX('AH History'!$B$5:$B$1380,$K1882))),NA()),NA())</f>
        <v/>
      </c>
      <c r="I1882" s="34">
        <f>IFERROR(IF(ISNUMBER($A1882),IF(AND(AH!$U$12=1,1877+1=AH!$U$6),TODAY(),IF(AH!$U$5=1,INDEX('Live History'!$G$5:$G$3004,MATCH($A1882,'Live History'!$G$5:$G$3004,1)),INDEX('AH History'!$C$5:$C$1380,$K1882))),NA()),NA())</f>
        <v/>
      </c>
      <c r="J1882" s="32">
        <f>IFERROR(IF(AND($F1882&gt;0,$H1882&gt;0,$A1882-$G1882&lt;=10,$A1882-$I1882&lt;=5,$G1882&gt;0,$I1882&gt;0),$F1882*$H1882,NA()),NA())</f>
        <v/>
      </c>
      <c r="K1882" s="15">
        <f>IF($A1882="","",IF(AH!$U$5=1,IFERROR(MATCH($A1882,'Live History'!$A$5:$A$3004,0),0),AH!$U$7+1877))</f>
        <v/>
      </c>
      <c r="L1882" s="15">
        <f>IF(ISNUMBER(A1882),TEXT(A1882,"dd-mmm-yy"),"")</f>
        <v/>
      </c>
    </row>
    <row r="1883">
      <c r="A1883" s="14">
        <f>IF(OR(AH!$U$4=0,1878+1&gt;AH!$U$6,AND(AH!$M$5="Bloomberg",AH!$U$5=0)),"",IFERROR(IF(AND(AH!$U$12=1,1878+1=AH!$U$6),TODAY(),IF(AH!$U$5=1,INDEX('Live History'!$A$5:$A$3004,AH!$U$7+1878),INDEX('AH History'!$A$5:$A$1380,AH!$U$7+1878))),""))</f>
        <v/>
      </c>
      <c r="B1883" s="33">
        <f>IFERROR(IF(AH!$U$11=1,NA(),$J1883/$E1883-1),NA())</f>
        <v/>
      </c>
      <c r="C1883" s="269">
        <f>IFERROR(100*$E1883/$E$5,NA())</f>
        <v/>
      </c>
      <c r="D1883" s="269">
        <f>IFERROR(100*$J1883/$J$5,NA())</f>
        <v/>
      </c>
      <c r="E1883" s="32">
        <f>IFERROR(IF(AND(ISNUMBER($A1883),N(IF(AND(AH!$U$12=1,1878+1=AH!$U$6),IF(AH!$U$4=0,"unavailable",INDEX('Market Data'!$AN$5:$AN$66,AH!$U$4)),IF(AH!$U$5=1,INDEX('Live History'!$B$5:$B$3004,$K1883),INDEX('AH History'!$D$5:$GG$1380,$K1883,AH!$U$10))))&gt;0),IF(AND(AH!$U$12=1,1878+1=AH!$U$6),IF(AH!$U$4=0,"unavailable",INDEX('Market Data'!$AN$5:$AN$66,AH!$U$4)),IF(AH!$U$5=1,INDEX('Live History'!$B$5:$B$3004,$K1883),INDEX('AH History'!$D$5:$GG$1380,$K1883,AH!$U$10))),NA()),NA())</f>
        <v/>
      </c>
      <c r="F1883" s="32">
        <f>IFERROR(IF(ISNUMBER($A1883),IF(AND(AH!$U$12=1,1878+1=AH!$U$6),IF(AH!$U$4=0,"unavailable",INDEX('Market Data'!$AO$5:$AO$66,AH!$U$4)),IF(AH!$U$5=1,INDEX('Live History'!$E$5:$E$3004,MATCH($A1883,'Live History'!$D$5:$D$3004,1)),INDEX('AH History'!$D$5:$GG$1380,$K1883,AH!$U$10+1))),NA()),NA())</f>
        <v/>
      </c>
      <c r="G1883" s="34">
        <f>IFERROR(IF(ISNUMBER($A1883),IF(AND(AH!$U$12=1,1878+1=AH!$U$6),IF(AH!$U$4=0,"unavailable",INDEX('Market Data'!$AK$5:$AK$66,AH!$U$4)),IF(AH!$U$5=1,INDEX('Live History'!$D$5:$D$3004,MATCH($A1883,'Live History'!$D$5:$D$3004,1)),INDEX('AH History'!$D$5:$GG$1380,$K1883,AH!$U$10+2))),NA()),NA())</f>
        <v/>
      </c>
      <c r="H1883" s="266">
        <f>IFERROR(IF(ISNUMBER($A1883),IF(AND(AH!$U$12=1,1878+1=AH!$U$6),IF(AH!$U$4=0,"unavailable",INDEX('Market Data'!$AP$5:$AP$66,AH!$U$4)),IF(AH!$U$5=1,INDEX('Live History'!$H$5:$H$3004,MATCH($A1883,'Live History'!$G$5:$G$3004,1)),INDEX('AH History'!$B$5:$B$1380,$K1883))),NA()),NA())</f>
        <v/>
      </c>
      <c r="I1883" s="34">
        <f>IFERROR(IF(ISNUMBER($A1883),IF(AND(AH!$U$12=1,1878+1=AH!$U$6),TODAY(),IF(AH!$U$5=1,INDEX('Live History'!$G$5:$G$3004,MATCH($A1883,'Live History'!$G$5:$G$3004,1)),INDEX('AH History'!$C$5:$C$1380,$K1883))),NA()),NA())</f>
        <v/>
      </c>
      <c r="J1883" s="32">
        <f>IFERROR(IF(AND($F1883&gt;0,$H1883&gt;0,$A1883-$G1883&lt;=10,$A1883-$I1883&lt;=5,$G1883&gt;0,$I1883&gt;0),$F1883*$H1883,NA()),NA())</f>
        <v/>
      </c>
      <c r="K1883" s="15">
        <f>IF($A1883="","",IF(AH!$U$5=1,IFERROR(MATCH($A1883,'Live History'!$A$5:$A$3004,0),0),AH!$U$7+1878))</f>
        <v/>
      </c>
      <c r="L1883" s="15">
        <f>IF(ISNUMBER(A1883),TEXT(A1883,"dd-mmm-yy"),"")</f>
        <v/>
      </c>
    </row>
    <row r="1884">
      <c r="A1884" s="14">
        <f>IF(OR(AH!$U$4=0,1879+1&gt;AH!$U$6,AND(AH!$M$5="Bloomberg",AH!$U$5=0)),"",IFERROR(IF(AND(AH!$U$12=1,1879+1=AH!$U$6),TODAY(),IF(AH!$U$5=1,INDEX('Live History'!$A$5:$A$3004,AH!$U$7+1879),INDEX('AH History'!$A$5:$A$1380,AH!$U$7+1879))),""))</f>
        <v/>
      </c>
      <c r="B1884" s="33">
        <f>IFERROR(IF(AH!$U$11=1,NA(),$J1884/$E1884-1),NA())</f>
        <v/>
      </c>
      <c r="C1884" s="269">
        <f>IFERROR(100*$E1884/$E$5,NA())</f>
        <v/>
      </c>
      <c r="D1884" s="269">
        <f>IFERROR(100*$J1884/$J$5,NA())</f>
        <v/>
      </c>
      <c r="E1884" s="32">
        <f>IFERROR(IF(AND(ISNUMBER($A1884),N(IF(AND(AH!$U$12=1,1879+1=AH!$U$6),IF(AH!$U$4=0,"unavailable",INDEX('Market Data'!$AN$5:$AN$66,AH!$U$4)),IF(AH!$U$5=1,INDEX('Live History'!$B$5:$B$3004,$K1884),INDEX('AH History'!$D$5:$GG$1380,$K1884,AH!$U$10))))&gt;0),IF(AND(AH!$U$12=1,1879+1=AH!$U$6),IF(AH!$U$4=0,"unavailable",INDEX('Market Data'!$AN$5:$AN$66,AH!$U$4)),IF(AH!$U$5=1,INDEX('Live History'!$B$5:$B$3004,$K1884),INDEX('AH History'!$D$5:$GG$1380,$K1884,AH!$U$10))),NA()),NA())</f>
        <v/>
      </c>
      <c r="F1884" s="32">
        <f>IFERROR(IF(ISNUMBER($A1884),IF(AND(AH!$U$12=1,1879+1=AH!$U$6),IF(AH!$U$4=0,"unavailable",INDEX('Market Data'!$AO$5:$AO$66,AH!$U$4)),IF(AH!$U$5=1,INDEX('Live History'!$E$5:$E$3004,MATCH($A1884,'Live History'!$D$5:$D$3004,1)),INDEX('AH History'!$D$5:$GG$1380,$K1884,AH!$U$10+1))),NA()),NA())</f>
        <v/>
      </c>
      <c r="G1884" s="34">
        <f>IFERROR(IF(ISNUMBER($A1884),IF(AND(AH!$U$12=1,1879+1=AH!$U$6),IF(AH!$U$4=0,"unavailable",INDEX('Market Data'!$AK$5:$AK$66,AH!$U$4)),IF(AH!$U$5=1,INDEX('Live History'!$D$5:$D$3004,MATCH($A1884,'Live History'!$D$5:$D$3004,1)),INDEX('AH History'!$D$5:$GG$1380,$K1884,AH!$U$10+2))),NA()),NA())</f>
        <v/>
      </c>
      <c r="H1884" s="266">
        <f>IFERROR(IF(ISNUMBER($A1884),IF(AND(AH!$U$12=1,1879+1=AH!$U$6),IF(AH!$U$4=0,"unavailable",INDEX('Market Data'!$AP$5:$AP$66,AH!$U$4)),IF(AH!$U$5=1,INDEX('Live History'!$H$5:$H$3004,MATCH($A1884,'Live History'!$G$5:$G$3004,1)),INDEX('AH History'!$B$5:$B$1380,$K1884))),NA()),NA())</f>
        <v/>
      </c>
      <c r="I1884" s="34">
        <f>IFERROR(IF(ISNUMBER($A1884),IF(AND(AH!$U$12=1,1879+1=AH!$U$6),TODAY(),IF(AH!$U$5=1,INDEX('Live History'!$G$5:$G$3004,MATCH($A1884,'Live History'!$G$5:$G$3004,1)),INDEX('AH History'!$C$5:$C$1380,$K1884))),NA()),NA())</f>
        <v/>
      </c>
      <c r="J1884" s="32">
        <f>IFERROR(IF(AND($F1884&gt;0,$H1884&gt;0,$A1884-$G1884&lt;=10,$A1884-$I1884&lt;=5,$G1884&gt;0,$I1884&gt;0),$F1884*$H1884,NA()),NA())</f>
        <v/>
      </c>
      <c r="K1884" s="15">
        <f>IF($A1884="","",IF(AH!$U$5=1,IFERROR(MATCH($A1884,'Live History'!$A$5:$A$3004,0),0),AH!$U$7+1879))</f>
        <v/>
      </c>
      <c r="L1884" s="15">
        <f>IF(ISNUMBER(A1884),TEXT(A1884,"dd-mmm-yy"),"")</f>
        <v/>
      </c>
    </row>
    <row r="1885">
      <c r="A1885" s="14">
        <f>IF(OR(AH!$U$4=0,1880+1&gt;AH!$U$6,AND(AH!$M$5="Bloomberg",AH!$U$5=0)),"",IFERROR(IF(AND(AH!$U$12=1,1880+1=AH!$U$6),TODAY(),IF(AH!$U$5=1,INDEX('Live History'!$A$5:$A$3004,AH!$U$7+1880),INDEX('AH History'!$A$5:$A$1380,AH!$U$7+1880))),""))</f>
        <v/>
      </c>
      <c r="B1885" s="33">
        <f>IFERROR(IF(AH!$U$11=1,NA(),$J1885/$E1885-1),NA())</f>
        <v/>
      </c>
      <c r="C1885" s="269">
        <f>IFERROR(100*$E1885/$E$5,NA())</f>
        <v/>
      </c>
      <c r="D1885" s="269">
        <f>IFERROR(100*$J1885/$J$5,NA())</f>
        <v/>
      </c>
      <c r="E1885" s="32">
        <f>IFERROR(IF(AND(ISNUMBER($A1885),N(IF(AND(AH!$U$12=1,1880+1=AH!$U$6),IF(AH!$U$4=0,"unavailable",INDEX('Market Data'!$AN$5:$AN$66,AH!$U$4)),IF(AH!$U$5=1,INDEX('Live History'!$B$5:$B$3004,$K1885),INDEX('AH History'!$D$5:$GG$1380,$K1885,AH!$U$10))))&gt;0),IF(AND(AH!$U$12=1,1880+1=AH!$U$6),IF(AH!$U$4=0,"unavailable",INDEX('Market Data'!$AN$5:$AN$66,AH!$U$4)),IF(AH!$U$5=1,INDEX('Live History'!$B$5:$B$3004,$K1885),INDEX('AH History'!$D$5:$GG$1380,$K1885,AH!$U$10))),NA()),NA())</f>
        <v/>
      </c>
      <c r="F1885" s="32">
        <f>IFERROR(IF(ISNUMBER($A1885),IF(AND(AH!$U$12=1,1880+1=AH!$U$6),IF(AH!$U$4=0,"unavailable",INDEX('Market Data'!$AO$5:$AO$66,AH!$U$4)),IF(AH!$U$5=1,INDEX('Live History'!$E$5:$E$3004,MATCH($A1885,'Live History'!$D$5:$D$3004,1)),INDEX('AH History'!$D$5:$GG$1380,$K1885,AH!$U$10+1))),NA()),NA())</f>
        <v/>
      </c>
      <c r="G1885" s="34">
        <f>IFERROR(IF(ISNUMBER($A1885),IF(AND(AH!$U$12=1,1880+1=AH!$U$6),IF(AH!$U$4=0,"unavailable",INDEX('Market Data'!$AK$5:$AK$66,AH!$U$4)),IF(AH!$U$5=1,INDEX('Live History'!$D$5:$D$3004,MATCH($A1885,'Live History'!$D$5:$D$3004,1)),INDEX('AH History'!$D$5:$GG$1380,$K1885,AH!$U$10+2))),NA()),NA())</f>
        <v/>
      </c>
      <c r="H1885" s="266">
        <f>IFERROR(IF(ISNUMBER($A1885),IF(AND(AH!$U$12=1,1880+1=AH!$U$6),IF(AH!$U$4=0,"unavailable",INDEX('Market Data'!$AP$5:$AP$66,AH!$U$4)),IF(AH!$U$5=1,INDEX('Live History'!$H$5:$H$3004,MATCH($A1885,'Live History'!$G$5:$G$3004,1)),INDEX('AH History'!$B$5:$B$1380,$K1885))),NA()),NA())</f>
        <v/>
      </c>
      <c r="I1885" s="34">
        <f>IFERROR(IF(ISNUMBER($A1885),IF(AND(AH!$U$12=1,1880+1=AH!$U$6),TODAY(),IF(AH!$U$5=1,INDEX('Live History'!$G$5:$G$3004,MATCH($A1885,'Live History'!$G$5:$G$3004,1)),INDEX('AH History'!$C$5:$C$1380,$K1885))),NA()),NA())</f>
        <v/>
      </c>
      <c r="J1885" s="32">
        <f>IFERROR(IF(AND($F1885&gt;0,$H1885&gt;0,$A1885-$G1885&lt;=10,$A1885-$I1885&lt;=5,$G1885&gt;0,$I1885&gt;0),$F1885*$H1885,NA()),NA())</f>
        <v/>
      </c>
      <c r="K1885" s="15">
        <f>IF($A1885="","",IF(AH!$U$5=1,IFERROR(MATCH($A1885,'Live History'!$A$5:$A$3004,0),0),AH!$U$7+1880))</f>
        <v/>
      </c>
      <c r="L1885" s="15">
        <f>IF(ISNUMBER(A1885),TEXT(A1885,"dd-mmm-yy"),"")</f>
        <v/>
      </c>
    </row>
    <row r="1886">
      <c r="A1886" s="14">
        <f>IF(OR(AH!$U$4=0,1881+1&gt;AH!$U$6,AND(AH!$M$5="Bloomberg",AH!$U$5=0)),"",IFERROR(IF(AND(AH!$U$12=1,1881+1=AH!$U$6),TODAY(),IF(AH!$U$5=1,INDEX('Live History'!$A$5:$A$3004,AH!$U$7+1881),INDEX('AH History'!$A$5:$A$1380,AH!$U$7+1881))),""))</f>
        <v/>
      </c>
      <c r="B1886" s="33">
        <f>IFERROR(IF(AH!$U$11=1,NA(),$J1886/$E1886-1),NA())</f>
        <v/>
      </c>
      <c r="C1886" s="269">
        <f>IFERROR(100*$E1886/$E$5,NA())</f>
        <v/>
      </c>
      <c r="D1886" s="269">
        <f>IFERROR(100*$J1886/$J$5,NA())</f>
        <v/>
      </c>
      <c r="E1886" s="32">
        <f>IFERROR(IF(AND(ISNUMBER($A1886),N(IF(AND(AH!$U$12=1,1881+1=AH!$U$6),IF(AH!$U$4=0,"unavailable",INDEX('Market Data'!$AN$5:$AN$66,AH!$U$4)),IF(AH!$U$5=1,INDEX('Live History'!$B$5:$B$3004,$K1886),INDEX('AH History'!$D$5:$GG$1380,$K1886,AH!$U$10))))&gt;0),IF(AND(AH!$U$12=1,1881+1=AH!$U$6),IF(AH!$U$4=0,"unavailable",INDEX('Market Data'!$AN$5:$AN$66,AH!$U$4)),IF(AH!$U$5=1,INDEX('Live History'!$B$5:$B$3004,$K1886),INDEX('AH History'!$D$5:$GG$1380,$K1886,AH!$U$10))),NA()),NA())</f>
        <v/>
      </c>
      <c r="F1886" s="32">
        <f>IFERROR(IF(ISNUMBER($A1886),IF(AND(AH!$U$12=1,1881+1=AH!$U$6),IF(AH!$U$4=0,"unavailable",INDEX('Market Data'!$AO$5:$AO$66,AH!$U$4)),IF(AH!$U$5=1,INDEX('Live History'!$E$5:$E$3004,MATCH($A1886,'Live History'!$D$5:$D$3004,1)),INDEX('AH History'!$D$5:$GG$1380,$K1886,AH!$U$10+1))),NA()),NA())</f>
        <v/>
      </c>
      <c r="G1886" s="34">
        <f>IFERROR(IF(ISNUMBER($A1886),IF(AND(AH!$U$12=1,1881+1=AH!$U$6),IF(AH!$U$4=0,"unavailable",INDEX('Market Data'!$AK$5:$AK$66,AH!$U$4)),IF(AH!$U$5=1,INDEX('Live History'!$D$5:$D$3004,MATCH($A1886,'Live History'!$D$5:$D$3004,1)),INDEX('AH History'!$D$5:$GG$1380,$K1886,AH!$U$10+2))),NA()),NA())</f>
        <v/>
      </c>
      <c r="H1886" s="266">
        <f>IFERROR(IF(ISNUMBER($A1886),IF(AND(AH!$U$12=1,1881+1=AH!$U$6),IF(AH!$U$4=0,"unavailable",INDEX('Market Data'!$AP$5:$AP$66,AH!$U$4)),IF(AH!$U$5=1,INDEX('Live History'!$H$5:$H$3004,MATCH($A1886,'Live History'!$G$5:$G$3004,1)),INDEX('AH History'!$B$5:$B$1380,$K1886))),NA()),NA())</f>
        <v/>
      </c>
      <c r="I1886" s="34">
        <f>IFERROR(IF(ISNUMBER($A1886),IF(AND(AH!$U$12=1,1881+1=AH!$U$6),TODAY(),IF(AH!$U$5=1,INDEX('Live History'!$G$5:$G$3004,MATCH($A1886,'Live History'!$G$5:$G$3004,1)),INDEX('AH History'!$C$5:$C$1380,$K1886))),NA()),NA())</f>
        <v/>
      </c>
      <c r="J1886" s="32">
        <f>IFERROR(IF(AND($F1886&gt;0,$H1886&gt;0,$A1886-$G1886&lt;=10,$A1886-$I1886&lt;=5,$G1886&gt;0,$I1886&gt;0),$F1886*$H1886,NA()),NA())</f>
        <v/>
      </c>
      <c r="K1886" s="15">
        <f>IF($A1886="","",IF(AH!$U$5=1,IFERROR(MATCH($A1886,'Live History'!$A$5:$A$3004,0),0),AH!$U$7+1881))</f>
        <v/>
      </c>
      <c r="L1886" s="15">
        <f>IF(ISNUMBER(A1886),TEXT(A1886,"dd-mmm-yy"),"")</f>
        <v/>
      </c>
    </row>
    <row r="1887">
      <c r="A1887" s="14">
        <f>IF(OR(AH!$U$4=0,1882+1&gt;AH!$U$6,AND(AH!$M$5="Bloomberg",AH!$U$5=0)),"",IFERROR(IF(AND(AH!$U$12=1,1882+1=AH!$U$6),TODAY(),IF(AH!$U$5=1,INDEX('Live History'!$A$5:$A$3004,AH!$U$7+1882),INDEX('AH History'!$A$5:$A$1380,AH!$U$7+1882))),""))</f>
        <v/>
      </c>
      <c r="B1887" s="33">
        <f>IFERROR(IF(AH!$U$11=1,NA(),$J1887/$E1887-1),NA())</f>
        <v/>
      </c>
      <c r="C1887" s="269">
        <f>IFERROR(100*$E1887/$E$5,NA())</f>
        <v/>
      </c>
      <c r="D1887" s="269">
        <f>IFERROR(100*$J1887/$J$5,NA())</f>
        <v/>
      </c>
      <c r="E1887" s="32">
        <f>IFERROR(IF(AND(ISNUMBER($A1887),N(IF(AND(AH!$U$12=1,1882+1=AH!$U$6),IF(AH!$U$4=0,"unavailable",INDEX('Market Data'!$AN$5:$AN$66,AH!$U$4)),IF(AH!$U$5=1,INDEX('Live History'!$B$5:$B$3004,$K1887),INDEX('AH History'!$D$5:$GG$1380,$K1887,AH!$U$10))))&gt;0),IF(AND(AH!$U$12=1,1882+1=AH!$U$6),IF(AH!$U$4=0,"unavailable",INDEX('Market Data'!$AN$5:$AN$66,AH!$U$4)),IF(AH!$U$5=1,INDEX('Live History'!$B$5:$B$3004,$K1887),INDEX('AH History'!$D$5:$GG$1380,$K1887,AH!$U$10))),NA()),NA())</f>
        <v/>
      </c>
      <c r="F1887" s="32">
        <f>IFERROR(IF(ISNUMBER($A1887),IF(AND(AH!$U$12=1,1882+1=AH!$U$6),IF(AH!$U$4=0,"unavailable",INDEX('Market Data'!$AO$5:$AO$66,AH!$U$4)),IF(AH!$U$5=1,INDEX('Live History'!$E$5:$E$3004,MATCH($A1887,'Live History'!$D$5:$D$3004,1)),INDEX('AH History'!$D$5:$GG$1380,$K1887,AH!$U$10+1))),NA()),NA())</f>
        <v/>
      </c>
      <c r="G1887" s="34">
        <f>IFERROR(IF(ISNUMBER($A1887),IF(AND(AH!$U$12=1,1882+1=AH!$U$6),IF(AH!$U$4=0,"unavailable",INDEX('Market Data'!$AK$5:$AK$66,AH!$U$4)),IF(AH!$U$5=1,INDEX('Live History'!$D$5:$D$3004,MATCH($A1887,'Live History'!$D$5:$D$3004,1)),INDEX('AH History'!$D$5:$GG$1380,$K1887,AH!$U$10+2))),NA()),NA())</f>
        <v/>
      </c>
      <c r="H1887" s="266">
        <f>IFERROR(IF(ISNUMBER($A1887),IF(AND(AH!$U$12=1,1882+1=AH!$U$6),IF(AH!$U$4=0,"unavailable",INDEX('Market Data'!$AP$5:$AP$66,AH!$U$4)),IF(AH!$U$5=1,INDEX('Live History'!$H$5:$H$3004,MATCH($A1887,'Live History'!$G$5:$G$3004,1)),INDEX('AH History'!$B$5:$B$1380,$K1887))),NA()),NA())</f>
        <v/>
      </c>
      <c r="I1887" s="34">
        <f>IFERROR(IF(ISNUMBER($A1887),IF(AND(AH!$U$12=1,1882+1=AH!$U$6),TODAY(),IF(AH!$U$5=1,INDEX('Live History'!$G$5:$G$3004,MATCH($A1887,'Live History'!$G$5:$G$3004,1)),INDEX('AH History'!$C$5:$C$1380,$K1887))),NA()),NA())</f>
        <v/>
      </c>
      <c r="J1887" s="32">
        <f>IFERROR(IF(AND($F1887&gt;0,$H1887&gt;0,$A1887-$G1887&lt;=10,$A1887-$I1887&lt;=5,$G1887&gt;0,$I1887&gt;0),$F1887*$H1887,NA()),NA())</f>
        <v/>
      </c>
      <c r="K1887" s="15">
        <f>IF($A1887="","",IF(AH!$U$5=1,IFERROR(MATCH($A1887,'Live History'!$A$5:$A$3004,0),0),AH!$U$7+1882))</f>
        <v/>
      </c>
      <c r="L1887" s="15">
        <f>IF(ISNUMBER(A1887),TEXT(A1887,"dd-mmm-yy"),"")</f>
        <v/>
      </c>
    </row>
    <row r="1888">
      <c r="A1888" s="14">
        <f>IF(OR(AH!$U$4=0,1883+1&gt;AH!$U$6,AND(AH!$M$5="Bloomberg",AH!$U$5=0)),"",IFERROR(IF(AND(AH!$U$12=1,1883+1=AH!$U$6),TODAY(),IF(AH!$U$5=1,INDEX('Live History'!$A$5:$A$3004,AH!$U$7+1883),INDEX('AH History'!$A$5:$A$1380,AH!$U$7+1883))),""))</f>
        <v/>
      </c>
      <c r="B1888" s="33">
        <f>IFERROR(IF(AH!$U$11=1,NA(),$J1888/$E1888-1),NA())</f>
        <v/>
      </c>
      <c r="C1888" s="269">
        <f>IFERROR(100*$E1888/$E$5,NA())</f>
        <v/>
      </c>
      <c r="D1888" s="269">
        <f>IFERROR(100*$J1888/$J$5,NA())</f>
        <v/>
      </c>
      <c r="E1888" s="32">
        <f>IFERROR(IF(AND(ISNUMBER($A1888),N(IF(AND(AH!$U$12=1,1883+1=AH!$U$6),IF(AH!$U$4=0,"unavailable",INDEX('Market Data'!$AN$5:$AN$66,AH!$U$4)),IF(AH!$U$5=1,INDEX('Live History'!$B$5:$B$3004,$K1888),INDEX('AH History'!$D$5:$GG$1380,$K1888,AH!$U$10))))&gt;0),IF(AND(AH!$U$12=1,1883+1=AH!$U$6),IF(AH!$U$4=0,"unavailable",INDEX('Market Data'!$AN$5:$AN$66,AH!$U$4)),IF(AH!$U$5=1,INDEX('Live History'!$B$5:$B$3004,$K1888),INDEX('AH History'!$D$5:$GG$1380,$K1888,AH!$U$10))),NA()),NA())</f>
        <v/>
      </c>
      <c r="F1888" s="32">
        <f>IFERROR(IF(ISNUMBER($A1888),IF(AND(AH!$U$12=1,1883+1=AH!$U$6),IF(AH!$U$4=0,"unavailable",INDEX('Market Data'!$AO$5:$AO$66,AH!$U$4)),IF(AH!$U$5=1,INDEX('Live History'!$E$5:$E$3004,MATCH($A1888,'Live History'!$D$5:$D$3004,1)),INDEX('AH History'!$D$5:$GG$1380,$K1888,AH!$U$10+1))),NA()),NA())</f>
        <v/>
      </c>
      <c r="G1888" s="34">
        <f>IFERROR(IF(ISNUMBER($A1888),IF(AND(AH!$U$12=1,1883+1=AH!$U$6),IF(AH!$U$4=0,"unavailable",INDEX('Market Data'!$AK$5:$AK$66,AH!$U$4)),IF(AH!$U$5=1,INDEX('Live History'!$D$5:$D$3004,MATCH($A1888,'Live History'!$D$5:$D$3004,1)),INDEX('AH History'!$D$5:$GG$1380,$K1888,AH!$U$10+2))),NA()),NA())</f>
        <v/>
      </c>
      <c r="H1888" s="266">
        <f>IFERROR(IF(ISNUMBER($A1888),IF(AND(AH!$U$12=1,1883+1=AH!$U$6),IF(AH!$U$4=0,"unavailable",INDEX('Market Data'!$AP$5:$AP$66,AH!$U$4)),IF(AH!$U$5=1,INDEX('Live History'!$H$5:$H$3004,MATCH($A1888,'Live History'!$G$5:$G$3004,1)),INDEX('AH History'!$B$5:$B$1380,$K1888))),NA()),NA())</f>
        <v/>
      </c>
      <c r="I1888" s="34">
        <f>IFERROR(IF(ISNUMBER($A1888),IF(AND(AH!$U$12=1,1883+1=AH!$U$6),TODAY(),IF(AH!$U$5=1,INDEX('Live History'!$G$5:$G$3004,MATCH($A1888,'Live History'!$G$5:$G$3004,1)),INDEX('AH History'!$C$5:$C$1380,$K1888))),NA()),NA())</f>
        <v/>
      </c>
      <c r="J1888" s="32">
        <f>IFERROR(IF(AND($F1888&gt;0,$H1888&gt;0,$A1888-$G1888&lt;=10,$A1888-$I1888&lt;=5,$G1888&gt;0,$I1888&gt;0),$F1888*$H1888,NA()),NA())</f>
        <v/>
      </c>
      <c r="K1888" s="15">
        <f>IF($A1888="","",IF(AH!$U$5=1,IFERROR(MATCH($A1888,'Live History'!$A$5:$A$3004,0),0),AH!$U$7+1883))</f>
        <v/>
      </c>
      <c r="L1888" s="15">
        <f>IF(ISNUMBER(A1888),TEXT(A1888,"dd-mmm-yy"),"")</f>
        <v/>
      </c>
    </row>
    <row r="1889">
      <c r="A1889" s="14">
        <f>IF(OR(AH!$U$4=0,1884+1&gt;AH!$U$6,AND(AH!$M$5="Bloomberg",AH!$U$5=0)),"",IFERROR(IF(AND(AH!$U$12=1,1884+1=AH!$U$6),TODAY(),IF(AH!$U$5=1,INDEX('Live History'!$A$5:$A$3004,AH!$U$7+1884),INDEX('AH History'!$A$5:$A$1380,AH!$U$7+1884))),""))</f>
        <v/>
      </c>
      <c r="B1889" s="33">
        <f>IFERROR(IF(AH!$U$11=1,NA(),$J1889/$E1889-1),NA())</f>
        <v/>
      </c>
      <c r="C1889" s="269">
        <f>IFERROR(100*$E1889/$E$5,NA())</f>
        <v/>
      </c>
      <c r="D1889" s="269">
        <f>IFERROR(100*$J1889/$J$5,NA())</f>
        <v/>
      </c>
      <c r="E1889" s="32">
        <f>IFERROR(IF(AND(ISNUMBER($A1889),N(IF(AND(AH!$U$12=1,1884+1=AH!$U$6),IF(AH!$U$4=0,"unavailable",INDEX('Market Data'!$AN$5:$AN$66,AH!$U$4)),IF(AH!$U$5=1,INDEX('Live History'!$B$5:$B$3004,$K1889),INDEX('AH History'!$D$5:$GG$1380,$K1889,AH!$U$10))))&gt;0),IF(AND(AH!$U$12=1,1884+1=AH!$U$6),IF(AH!$U$4=0,"unavailable",INDEX('Market Data'!$AN$5:$AN$66,AH!$U$4)),IF(AH!$U$5=1,INDEX('Live History'!$B$5:$B$3004,$K1889),INDEX('AH History'!$D$5:$GG$1380,$K1889,AH!$U$10))),NA()),NA())</f>
        <v/>
      </c>
      <c r="F1889" s="32">
        <f>IFERROR(IF(ISNUMBER($A1889),IF(AND(AH!$U$12=1,1884+1=AH!$U$6),IF(AH!$U$4=0,"unavailable",INDEX('Market Data'!$AO$5:$AO$66,AH!$U$4)),IF(AH!$U$5=1,INDEX('Live History'!$E$5:$E$3004,MATCH($A1889,'Live History'!$D$5:$D$3004,1)),INDEX('AH History'!$D$5:$GG$1380,$K1889,AH!$U$10+1))),NA()),NA())</f>
        <v/>
      </c>
      <c r="G1889" s="34">
        <f>IFERROR(IF(ISNUMBER($A1889),IF(AND(AH!$U$12=1,1884+1=AH!$U$6),IF(AH!$U$4=0,"unavailable",INDEX('Market Data'!$AK$5:$AK$66,AH!$U$4)),IF(AH!$U$5=1,INDEX('Live History'!$D$5:$D$3004,MATCH($A1889,'Live History'!$D$5:$D$3004,1)),INDEX('AH History'!$D$5:$GG$1380,$K1889,AH!$U$10+2))),NA()),NA())</f>
        <v/>
      </c>
      <c r="H1889" s="266">
        <f>IFERROR(IF(ISNUMBER($A1889),IF(AND(AH!$U$12=1,1884+1=AH!$U$6),IF(AH!$U$4=0,"unavailable",INDEX('Market Data'!$AP$5:$AP$66,AH!$U$4)),IF(AH!$U$5=1,INDEX('Live History'!$H$5:$H$3004,MATCH($A1889,'Live History'!$G$5:$G$3004,1)),INDEX('AH History'!$B$5:$B$1380,$K1889))),NA()),NA())</f>
        <v/>
      </c>
      <c r="I1889" s="34">
        <f>IFERROR(IF(ISNUMBER($A1889),IF(AND(AH!$U$12=1,1884+1=AH!$U$6),TODAY(),IF(AH!$U$5=1,INDEX('Live History'!$G$5:$G$3004,MATCH($A1889,'Live History'!$G$5:$G$3004,1)),INDEX('AH History'!$C$5:$C$1380,$K1889))),NA()),NA())</f>
        <v/>
      </c>
      <c r="J1889" s="32">
        <f>IFERROR(IF(AND($F1889&gt;0,$H1889&gt;0,$A1889-$G1889&lt;=10,$A1889-$I1889&lt;=5,$G1889&gt;0,$I1889&gt;0),$F1889*$H1889,NA()),NA())</f>
        <v/>
      </c>
      <c r="K1889" s="15">
        <f>IF($A1889="","",IF(AH!$U$5=1,IFERROR(MATCH($A1889,'Live History'!$A$5:$A$3004,0),0),AH!$U$7+1884))</f>
        <v/>
      </c>
      <c r="L1889" s="15">
        <f>IF(ISNUMBER(A1889),TEXT(A1889,"dd-mmm-yy"),"")</f>
        <v/>
      </c>
    </row>
    <row r="1890">
      <c r="A1890" s="14">
        <f>IF(OR(AH!$U$4=0,1885+1&gt;AH!$U$6,AND(AH!$M$5="Bloomberg",AH!$U$5=0)),"",IFERROR(IF(AND(AH!$U$12=1,1885+1=AH!$U$6),TODAY(),IF(AH!$U$5=1,INDEX('Live History'!$A$5:$A$3004,AH!$U$7+1885),INDEX('AH History'!$A$5:$A$1380,AH!$U$7+1885))),""))</f>
        <v/>
      </c>
      <c r="B1890" s="33">
        <f>IFERROR(IF(AH!$U$11=1,NA(),$J1890/$E1890-1),NA())</f>
        <v/>
      </c>
      <c r="C1890" s="269">
        <f>IFERROR(100*$E1890/$E$5,NA())</f>
        <v/>
      </c>
      <c r="D1890" s="269">
        <f>IFERROR(100*$J1890/$J$5,NA())</f>
        <v/>
      </c>
      <c r="E1890" s="32">
        <f>IFERROR(IF(AND(ISNUMBER($A1890),N(IF(AND(AH!$U$12=1,1885+1=AH!$U$6),IF(AH!$U$4=0,"unavailable",INDEX('Market Data'!$AN$5:$AN$66,AH!$U$4)),IF(AH!$U$5=1,INDEX('Live History'!$B$5:$B$3004,$K1890),INDEX('AH History'!$D$5:$GG$1380,$K1890,AH!$U$10))))&gt;0),IF(AND(AH!$U$12=1,1885+1=AH!$U$6),IF(AH!$U$4=0,"unavailable",INDEX('Market Data'!$AN$5:$AN$66,AH!$U$4)),IF(AH!$U$5=1,INDEX('Live History'!$B$5:$B$3004,$K1890),INDEX('AH History'!$D$5:$GG$1380,$K1890,AH!$U$10))),NA()),NA())</f>
        <v/>
      </c>
      <c r="F1890" s="32">
        <f>IFERROR(IF(ISNUMBER($A1890),IF(AND(AH!$U$12=1,1885+1=AH!$U$6),IF(AH!$U$4=0,"unavailable",INDEX('Market Data'!$AO$5:$AO$66,AH!$U$4)),IF(AH!$U$5=1,INDEX('Live History'!$E$5:$E$3004,MATCH($A1890,'Live History'!$D$5:$D$3004,1)),INDEX('AH History'!$D$5:$GG$1380,$K1890,AH!$U$10+1))),NA()),NA())</f>
        <v/>
      </c>
      <c r="G1890" s="34">
        <f>IFERROR(IF(ISNUMBER($A1890),IF(AND(AH!$U$12=1,1885+1=AH!$U$6),IF(AH!$U$4=0,"unavailable",INDEX('Market Data'!$AK$5:$AK$66,AH!$U$4)),IF(AH!$U$5=1,INDEX('Live History'!$D$5:$D$3004,MATCH($A1890,'Live History'!$D$5:$D$3004,1)),INDEX('AH History'!$D$5:$GG$1380,$K1890,AH!$U$10+2))),NA()),NA())</f>
        <v/>
      </c>
      <c r="H1890" s="266">
        <f>IFERROR(IF(ISNUMBER($A1890),IF(AND(AH!$U$12=1,1885+1=AH!$U$6),IF(AH!$U$4=0,"unavailable",INDEX('Market Data'!$AP$5:$AP$66,AH!$U$4)),IF(AH!$U$5=1,INDEX('Live History'!$H$5:$H$3004,MATCH($A1890,'Live History'!$G$5:$G$3004,1)),INDEX('AH History'!$B$5:$B$1380,$K1890))),NA()),NA())</f>
        <v/>
      </c>
      <c r="I1890" s="34">
        <f>IFERROR(IF(ISNUMBER($A1890),IF(AND(AH!$U$12=1,1885+1=AH!$U$6),TODAY(),IF(AH!$U$5=1,INDEX('Live History'!$G$5:$G$3004,MATCH($A1890,'Live History'!$G$5:$G$3004,1)),INDEX('AH History'!$C$5:$C$1380,$K1890))),NA()),NA())</f>
        <v/>
      </c>
      <c r="J1890" s="32">
        <f>IFERROR(IF(AND($F1890&gt;0,$H1890&gt;0,$A1890-$G1890&lt;=10,$A1890-$I1890&lt;=5,$G1890&gt;0,$I1890&gt;0),$F1890*$H1890,NA()),NA())</f>
        <v/>
      </c>
      <c r="K1890" s="15">
        <f>IF($A1890="","",IF(AH!$U$5=1,IFERROR(MATCH($A1890,'Live History'!$A$5:$A$3004,0),0),AH!$U$7+1885))</f>
        <v/>
      </c>
      <c r="L1890" s="15">
        <f>IF(ISNUMBER(A1890),TEXT(A1890,"dd-mmm-yy"),"")</f>
        <v/>
      </c>
    </row>
    <row r="1891">
      <c r="A1891" s="14">
        <f>IF(OR(AH!$U$4=0,1886+1&gt;AH!$U$6,AND(AH!$M$5="Bloomberg",AH!$U$5=0)),"",IFERROR(IF(AND(AH!$U$12=1,1886+1=AH!$U$6),TODAY(),IF(AH!$U$5=1,INDEX('Live History'!$A$5:$A$3004,AH!$U$7+1886),INDEX('AH History'!$A$5:$A$1380,AH!$U$7+1886))),""))</f>
        <v/>
      </c>
      <c r="B1891" s="33">
        <f>IFERROR(IF(AH!$U$11=1,NA(),$J1891/$E1891-1),NA())</f>
        <v/>
      </c>
      <c r="C1891" s="269">
        <f>IFERROR(100*$E1891/$E$5,NA())</f>
        <v/>
      </c>
      <c r="D1891" s="269">
        <f>IFERROR(100*$J1891/$J$5,NA())</f>
        <v/>
      </c>
      <c r="E1891" s="32">
        <f>IFERROR(IF(AND(ISNUMBER($A1891),N(IF(AND(AH!$U$12=1,1886+1=AH!$U$6),IF(AH!$U$4=0,"unavailable",INDEX('Market Data'!$AN$5:$AN$66,AH!$U$4)),IF(AH!$U$5=1,INDEX('Live History'!$B$5:$B$3004,$K1891),INDEX('AH History'!$D$5:$GG$1380,$K1891,AH!$U$10))))&gt;0),IF(AND(AH!$U$12=1,1886+1=AH!$U$6),IF(AH!$U$4=0,"unavailable",INDEX('Market Data'!$AN$5:$AN$66,AH!$U$4)),IF(AH!$U$5=1,INDEX('Live History'!$B$5:$B$3004,$K1891),INDEX('AH History'!$D$5:$GG$1380,$K1891,AH!$U$10))),NA()),NA())</f>
        <v/>
      </c>
      <c r="F1891" s="32">
        <f>IFERROR(IF(ISNUMBER($A1891),IF(AND(AH!$U$12=1,1886+1=AH!$U$6),IF(AH!$U$4=0,"unavailable",INDEX('Market Data'!$AO$5:$AO$66,AH!$U$4)),IF(AH!$U$5=1,INDEX('Live History'!$E$5:$E$3004,MATCH($A1891,'Live History'!$D$5:$D$3004,1)),INDEX('AH History'!$D$5:$GG$1380,$K1891,AH!$U$10+1))),NA()),NA())</f>
        <v/>
      </c>
      <c r="G1891" s="34">
        <f>IFERROR(IF(ISNUMBER($A1891),IF(AND(AH!$U$12=1,1886+1=AH!$U$6),IF(AH!$U$4=0,"unavailable",INDEX('Market Data'!$AK$5:$AK$66,AH!$U$4)),IF(AH!$U$5=1,INDEX('Live History'!$D$5:$D$3004,MATCH($A1891,'Live History'!$D$5:$D$3004,1)),INDEX('AH History'!$D$5:$GG$1380,$K1891,AH!$U$10+2))),NA()),NA())</f>
        <v/>
      </c>
      <c r="H1891" s="266">
        <f>IFERROR(IF(ISNUMBER($A1891),IF(AND(AH!$U$12=1,1886+1=AH!$U$6),IF(AH!$U$4=0,"unavailable",INDEX('Market Data'!$AP$5:$AP$66,AH!$U$4)),IF(AH!$U$5=1,INDEX('Live History'!$H$5:$H$3004,MATCH($A1891,'Live History'!$G$5:$G$3004,1)),INDEX('AH History'!$B$5:$B$1380,$K1891))),NA()),NA())</f>
        <v/>
      </c>
      <c r="I1891" s="34">
        <f>IFERROR(IF(ISNUMBER($A1891),IF(AND(AH!$U$12=1,1886+1=AH!$U$6),TODAY(),IF(AH!$U$5=1,INDEX('Live History'!$G$5:$G$3004,MATCH($A1891,'Live History'!$G$5:$G$3004,1)),INDEX('AH History'!$C$5:$C$1380,$K1891))),NA()),NA())</f>
        <v/>
      </c>
      <c r="J1891" s="32">
        <f>IFERROR(IF(AND($F1891&gt;0,$H1891&gt;0,$A1891-$G1891&lt;=10,$A1891-$I1891&lt;=5,$G1891&gt;0,$I1891&gt;0),$F1891*$H1891,NA()),NA())</f>
        <v/>
      </c>
      <c r="K1891" s="15">
        <f>IF($A1891="","",IF(AH!$U$5=1,IFERROR(MATCH($A1891,'Live History'!$A$5:$A$3004,0),0),AH!$U$7+1886))</f>
        <v/>
      </c>
      <c r="L1891" s="15">
        <f>IF(ISNUMBER(A1891),TEXT(A1891,"dd-mmm-yy"),"")</f>
        <v/>
      </c>
    </row>
    <row r="1892">
      <c r="A1892" s="14">
        <f>IF(OR(AH!$U$4=0,1887+1&gt;AH!$U$6,AND(AH!$M$5="Bloomberg",AH!$U$5=0)),"",IFERROR(IF(AND(AH!$U$12=1,1887+1=AH!$U$6),TODAY(),IF(AH!$U$5=1,INDEX('Live History'!$A$5:$A$3004,AH!$U$7+1887),INDEX('AH History'!$A$5:$A$1380,AH!$U$7+1887))),""))</f>
        <v/>
      </c>
      <c r="B1892" s="33">
        <f>IFERROR(IF(AH!$U$11=1,NA(),$J1892/$E1892-1),NA())</f>
        <v/>
      </c>
      <c r="C1892" s="269">
        <f>IFERROR(100*$E1892/$E$5,NA())</f>
        <v/>
      </c>
      <c r="D1892" s="269">
        <f>IFERROR(100*$J1892/$J$5,NA())</f>
        <v/>
      </c>
      <c r="E1892" s="32">
        <f>IFERROR(IF(AND(ISNUMBER($A1892),N(IF(AND(AH!$U$12=1,1887+1=AH!$U$6),IF(AH!$U$4=0,"unavailable",INDEX('Market Data'!$AN$5:$AN$66,AH!$U$4)),IF(AH!$U$5=1,INDEX('Live History'!$B$5:$B$3004,$K1892),INDEX('AH History'!$D$5:$GG$1380,$K1892,AH!$U$10))))&gt;0),IF(AND(AH!$U$12=1,1887+1=AH!$U$6),IF(AH!$U$4=0,"unavailable",INDEX('Market Data'!$AN$5:$AN$66,AH!$U$4)),IF(AH!$U$5=1,INDEX('Live History'!$B$5:$B$3004,$K1892),INDEX('AH History'!$D$5:$GG$1380,$K1892,AH!$U$10))),NA()),NA())</f>
        <v/>
      </c>
      <c r="F1892" s="32">
        <f>IFERROR(IF(ISNUMBER($A1892),IF(AND(AH!$U$12=1,1887+1=AH!$U$6),IF(AH!$U$4=0,"unavailable",INDEX('Market Data'!$AO$5:$AO$66,AH!$U$4)),IF(AH!$U$5=1,INDEX('Live History'!$E$5:$E$3004,MATCH($A1892,'Live History'!$D$5:$D$3004,1)),INDEX('AH History'!$D$5:$GG$1380,$K1892,AH!$U$10+1))),NA()),NA())</f>
        <v/>
      </c>
      <c r="G1892" s="34">
        <f>IFERROR(IF(ISNUMBER($A1892),IF(AND(AH!$U$12=1,1887+1=AH!$U$6),IF(AH!$U$4=0,"unavailable",INDEX('Market Data'!$AK$5:$AK$66,AH!$U$4)),IF(AH!$U$5=1,INDEX('Live History'!$D$5:$D$3004,MATCH($A1892,'Live History'!$D$5:$D$3004,1)),INDEX('AH History'!$D$5:$GG$1380,$K1892,AH!$U$10+2))),NA()),NA())</f>
        <v/>
      </c>
      <c r="H1892" s="266">
        <f>IFERROR(IF(ISNUMBER($A1892),IF(AND(AH!$U$12=1,1887+1=AH!$U$6),IF(AH!$U$4=0,"unavailable",INDEX('Market Data'!$AP$5:$AP$66,AH!$U$4)),IF(AH!$U$5=1,INDEX('Live History'!$H$5:$H$3004,MATCH($A1892,'Live History'!$G$5:$G$3004,1)),INDEX('AH History'!$B$5:$B$1380,$K1892))),NA()),NA())</f>
        <v/>
      </c>
      <c r="I1892" s="34">
        <f>IFERROR(IF(ISNUMBER($A1892),IF(AND(AH!$U$12=1,1887+1=AH!$U$6),TODAY(),IF(AH!$U$5=1,INDEX('Live History'!$G$5:$G$3004,MATCH($A1892,'Live History'!$G$5:$G$3004,1)),INDEX('AH History'!$C$5:$C$1380,$K1892))),NA()),NA())</f>
        <v/>
      </c>
      <c r="J1892" s="32">
        <f>IFERROR(IF(AND($F1892&gt;0,$H1892&gt;0,$A1892-$G1892&lt;=10,$A1892-$I1892&lt;=5,$G1892&gt;0,$I1892&gt;0),$F1892*$H1892,NA()),NA())</f>
        <v/>
      </c>
      <c r="K1892" s="15">
        <f>IF($A1892="","",IF(AH!$U$5=1,IFERROR(MATCH($A1892,'Live History'!$A$5:$A$3004,0),0),AH!$U$7+1887))</f>
        <v/>
      </c>
      <c r="L1892" s="15">
        <f>IF(ISNUMBER(A1892),TEXT(A1892,"dd-mmm-yy"),"")</f>
        <v/>
      </c>
    </row>
    <row r="1893">
      <c r="A1893" s="14">
        <f>IF(OR(AH!$U$4=0,1888+1&gt;AH!$U$6,AND(AH!$M$5="Bloomberg",AH!$U$5=0)),"",IFERROR(IF(AND(AH!$U$12=1,1888+1=AH!$U$6),TODAY(),IF(AH!$U$5=1,INDEX('Live History'!$A$5:$A$3004,AH!$U$7+1888),INDEX('AH History'!$A$5:$A$1380,AH!$U$7+1888))),""))</f>
        <v/>
      </c>
      <c r="B1893" s="33">
        <f>IFERROR(IF(AH!$U$11=1,NA(),$J1893/$E1893-1),NA())</f>
        <v/>
      </c>
      <c r="C1893" s="269">
        <f>IFERROR(100*$E1893/$E$5,NA())</f>
        <v/>
      </c>
      <c r="D1893" s="269">
        <f>IFERROR(100*$J1893/$J$5,NA())</f>
        <v/>
      </c>
      <c r="E1893" s="32">
        <f>IFERROR(IF(AND(ISNUMBER($A1893),N(IF(AND(AH!$U$12=1,1888+1=AH!$U$6),IF(AH!$U$4=0,"unavailable",INDEX('Market Data'!$AN$5:$AN$66,AH!$U$4)),IF(AH!$U$5=1,INDEX('Live History'!$B$5:$B$3004,$K1893),INDEX('AH History'!$D$5:$GG$1380,$K1893,AH!$U$10))))&gt;0),IF(AND(AH!$U$12=1,1888+1=AH!$U$6),IF(AH!$U$4=0,"unavailable",INDEX('Market Data'!$AN$5:$AN$66,AH!$U$4)),IF(AH!$U$5=1,INDEX('Live History'!$B$5:$B$3004,$K1893),INDEX('AH History'!$D$5:$GG$1380,$K1893,AH!$U$10))),NA()),NA())</f>
        <v/>
      </c>
      <c r="F1893" s="32">
        <f>IFERROR(IF(ISNUMBER($A1893),IF(AND(AH!$U$12=1,1888+1=AH!$U$6),IF(AH!$U$4=0,"unavailable",INDEX('Market Data'!$AO$5:$AO$66,AH!$U$4)),IF(AH!$U$5=1,INDEX('Live History'!$E$5:$E$3004,MATCH($A1893,'Live History'!$D$5:$D$3004,1)),INDEX('AH History'!$D$5:$GG$1380,$K1893,AH!$U$10+1))),NA()),NA())</f>
        <v/>
      </c>
      <c r="G1893" s="34">
        <f>IFERROR(IF(ISNUMBER($A1893),IF(AND(AH!$U$12=1,1888+1=AH!$U$6),IF(AH!$U$4=0,"unavailable",INDEX('Market Data'!$AK$5:$AK$66,AH!$U$4)),IF(AH!$U$5=1,INDEX('Live History'!$D$5:$D$3004,MATCH($A1893,'Live History'!$D$5:$D$3004,1)),INDEX('AH History'!$D$5:$GG$1380,$K1893,AH!$U$10+2))),NA()),NA())</f>
        <v/>
      </c>
      <c r="H1893" s="266">
        <f>IFERROR(IF(ISNUMBER($A1893),IF(AND(AH!$U$12=1,1888+1=AH!$U$6),IF(AH!$U$4=0,"unavailable",INDEX('Market Data'!$AP$5:$AP$66,AH!$U$4)),IF(AH!$U$5=1,INDEX('Live History'!$H$5:$H$3004,MATCH($A1893,'Live History'!$G$5:$G$3004,1)),INDEX('AH History'!$B$5:$B$1380,$K1893))),NA()),NA())</f>
        <v/>
      </c>
      <c r="I1893" s="34">
        <f>IFERROR(IF(ISNUMBER($A1893),IF(AND(AH!$U$12=1,1888+1=AH!$U$6),TODAY(),IF(AH!$U$5=1,INDEX('Live History'!$G$5:$G$3004,MATCH($A1893,'Live History'!$G$5:$G$3004,1)),INDEX('AH History'!$C$5:$C$1380,$K1893))),NA()),NA())</f>
        <v/>
      </c>
      <c r="J1893" s="32">
        <f>IFERROR(IF(AND($F1893&gt;0,$H1893&gt;0,$A1893-$G1893&lt;=10,$A1893-$I1893&lt;=5,$G1893&gt;0,$I1893&gt;0),$F1893*$H1893,NA()),NA())</f>
        <v/>
      </c>
      <c r="K1893" s="15">
        <f>IF($A1893="","",IF(AH!$U$5=1,IFERROR(MATCH($A1893,'Live History'!$A$5:$A$3004,0),0),AH!$U$7+1888))</f>
        <v/>
      </c>
      <c r="L1893" s="15">
        <f>IF(ISNUMBER(A1893),TEXT(A1893,"dd-mmm-yy"),"")</f>
        <v/>
      </c>
    </row>
    <row r="1894">
      <c r="A1894" s="14">
        <f>IF(OR(AH!$U$4=0,1889+1&gt;AH!$U$6,AND(AH!$M$5="Bloomberg",AH!$U$5=0)),"",IFERROR(IF(AND(AH!$U$12=1,1889+1=AH!$U$6),TODAY(),IF(AH!$U$5=1,INDEX('Live History'!$A$5:$A$3004,AH!$U$7+1889),INDEX('AH History'!$A$5:$A$1380,AH!$U$7+1889))),""))</f>
        <v/>
      </c>
      <c r="B1894" s="33">
        <f>IFERROR(IF(AH!$U$11=1,NA(),$J1894/$E1894-1),NA())</f>
        <v/>
      </c>
      <c r="C1894" s="269">
        <f>IFERROR(100*$E1894/$E$5,NA())</f>
        <v/>
      </c>
      <c r="D1894" s="269">
        <f>IFERROR(100*$J1894/$J$5,NA())</f>
        <v/>
      </c>
      <c r="E1894" s="32">
        <f>IFERROR(IF(AND(ISNUMBER($A1894),N(IF(AND(AH!$U$12=1,1889+1=AH!$U$6),IF(AH!$U$4=0,"unavailable",INDEX('Market Data'!$AN$5:$AN$66,AH!$U$4)),IF(AH!$U$5=1,INDEX('Live History'!$B$5:$B$3004,$K1894),INDEX('AH History'!$D$5:$GG$1380,$K1894,AH!$U$10))))&gt;0),IF(AND(AH!$U$12=1,1889+1=AH!$U$6),IF(AH!$U$4=0,"unavailable",INDEX('Market Data'!$AN$5:$AN$66,AH!$U$4)),IF(AH!$U$5=1,INDEX('Live History'!$B$5:$B$3004,$K1894),INDEX('AH History'!$D$5:$GG$1380,$K1894,AH!$U$10))),NA()),NA())</f>
        <v/>
      </c>
      <c r="F1894" s="32">
        <f>IFERROR(IF(ISNUMBER($A1894),IF(AND(AH!$U$12=1,1889+1=AH!$U$6),IF(AH!$U$4=0,"unavailable",INDEX('Market Data'!$AO$5:$AO$66,AH!$U$4)),IF(AH!$U$5=1,INDEX('Live History'!$E$5:$E$3004,MATCH($A1894,'Live History'!$D$5:$D$3004,1)),INDEX('AH History'!$D$5:$GG$1380,$K1894,AH!$U$10+1))),NA()),NA())</f>
        <v/>
      </c>
      <c r="G1894" s="34">
        <f>IFERROR(IF(ISNUMBER($A1894),IF(AND(AH!$U$12=1,1889+1=AH!$U$6),IF(AH!$U$4=0,"unavailable",INDEX('Market Data'!$AK$5:$AK$66,AH!$U$4)),IF(AH!$U$5=1,INDEX('Live History'!$D$5:$D$3004,MATCH($A1894,'Live History'!$D$5:$D$3004,1)),INDEX('AH History'!$D$5:$GG$1380,$K1894,AH!$U$10+2))),NA()),NA())</f>
        <v/>
      </c>
      <c r="H1894" s="266">
        <f>IFERROR(IF(ISNUMBER($A1894),IF(AND(AH!$U$12=1,1889+1=AH!$U$6),IF(AH!$U$4=0,"unavailable",INDEX('Market Data'!$AP$5:$AP$66,AH!$U$4)),IF(AH!$U$5=1,INDEX('Live History'!$H$5:$H$3004,MATCH($A1894,'Live History'!$G$5:$G$3004,1)),INDEX('AH History'!$B$5:$B$1380,$K1894))),NA()),NA())</f>
        <v/>
      </c>
      <c r="I1894" s="34">
        <f>IFERROR(IF(ISNUMBER($A1894),IF(AND(AH!$U$12=1,1889+1=AH!$U$6),TODAY(),IF(AH!$U$5=1,INDEX('Live History'!$G$5:$G$3004,MATCH($A1894,'Live History'!$G$5:$G$3004,1)),INDEX('AH History'!$C$5:$C$1380,$K1894))),NA()),NA())</f>
        <v/>
      </c>
      <c r="J1894" s="32">
        <f>IFERROR(IF(AND($F1894&gt;0,$H1894&gt;0,$A1894-$G1894&lt;=10,$A1894-$I1894&lt;=5,$G1894&gt;0,$I1894&gt;0),$F1894*$H1894,NA()),NA())</f>
        <v/>
      </c>
      <c r="K1894" s="15">
        <f>IF($A1894="","",IF(AH!$U$5=1,IFERROR(MATCH($A1894,'Live History'!$A$5:$A$3004,0),0),AH!$U$7+1889))</f>
        <v/>
      </c>
      <c r="L1894" s="15">
        <f>IF(ISNUMBER(A1894),TEXT(A1894,"dd-mmm-yy"),"")</f>
        <v/>
      </c>
    </row>
    <row r="1895">
      <c r="A1895" s="14">
        <f>IF(OR(AH!$U$4=0,1890+1&gt;AH!$U$6,AND(AH!$M$5="Bloomberg",AH!$U$5=0)),"",IFERROR(IF(AND(AH!$U$12=1,1890+1=AH!$U$6),TODAY(),IF(AH!$U$5=1,INDEX('Live History'!$A$5:$A$3004,AH!$U$7+1890),INDEX('AH History'!$A$5:$A$1380,AH!$U$7+1890))),""))</f>
        <v/>
      </c>
      <c r="B1895" s="33">
        <f>IFERROR(IF(AH!$U$11=1,NA(),$J1895/$E1895-1),NA())</f>
        <v/>
      </c>
      <c r="C1895" s="269">
        <f>IFERROR(100*$E1895/$E$5,NA())</f>
        <v/>
      </c>
      <c r="D1895" s="269">
        <f>IFERROR(100*$J1895/$J$5,NA())</f>
        <v/>
      </c>
      <c r="E1895" s="32">
        <f>IFERROR(IF(AND(ISNUMBER($A1895),N(IF(AND(AH!$U$12=1,1890+1=AH!$U$6),IF(AH!$U$4=0,"unavailable",INDEX('Market Data'!$AN$5:$AN$66,AH!$U$4)),IF(AH!$U$5=1,INDEX('Live History'!$B$5:$B$3004,$K1895),INDEX('AH History'!$D$5:$GG$1380,$K1895,AH!$U$10))))&gt;0),IF(AND(AH!$U$12=1,1890+1=AH!$U$6),IF(AH!$U$4=0,"unavailable",INDEX('Market Data'!$AN$5:$AN$66,AH!$U$4)),IF(AH!$U$5=1,INDEX('Live History'!$B$5:$B$3004,$K1895),INDEX('AH History'!$D$5:$GG$1380,$K1895,AH!$U$10))),NA()),NA())</f>
        <v/>
      </c>
      <c r="F1895" s="32">
        <f>IFERROR(IF(ISNUMBER($A1895),IF(AND(AH!$U$12=1,1890+1=AH!$U$6),IF(AH!$U$4=0,"unavailable",INDEX('Market Data'!$AO$5:$AO$66,AH!$U$4)),IF(AH!$U$5=1,INDEX('Live History'!$E$5:$E$3004,MATCH($A1895,'Live History'!$D$5:$D$3004,1)),INDEX('AH History'!$D$5:$GG$1380,$K1895,AH!$U$10+1))),NA()),NA())</f>
        <v/>
      </c>
      <c r="G1895" s="34">
        <f>IFERROR(IF(ISNUMBER($A1895),IF(AND(AH!$U$12=1,1890+1=AH!$U$6),IF(AH!$U$4=0,"unavailable",INDEX('Market Data'!$AK$5:$AK$66,AH!$U$4)),IF(AH!$U$5=1,INDEX('Live History'!$D$5:$D$3004,MATCH($A1895,'Live History'!$D$5:$D$3004,1)),INDEX('AH History'!$D$5:$GG$1380,$K1895,AH!$U$10+2))),NA()),NA())</f>
        <v/>
      </c>
      <c r="H1895" s="266">
        <f>IFERROR(IF(ISNUMBER($A1895),IF(AND(AH!$U$12=1,1890+1=AH!$U$6),IF(AH!$U$4=0,"unavailable",INDEX('Market Data'!$AP$5:$AP$66,AH!$U$4)),IF(AH!$U$5=1,INDEX('Live History'!$H$5:$H$3004,MATCH($A1895,'Live History'!$G$5:$G$3004,1)),INDEX('AH History'!$B$5:$B$1380,$K1895))),NA()),NA())</f>
        <v/>
      </c>
      <c r="I1895" s="34">
        <f>IFERROR(IF(ISNUMBER($A1895),IF(AND(AH!$U$12=1,1890+1=AH!$U$6),TODAY(),IF(AH!$U$5=1,INDEX('Live History'!$G$5:$G$3004,MATCH($A1895,'Live History'!$G$5:$G$3004,1)),INDEX('AH History'!$C$5:$C$1380,$K1895))),NA()),NA())</f>
        <v/>
      </c>
      <c r="J1895" s="32">
        <f>IFERROR(IF(AND($F1895&gt;0,$H1895&gt;0,$A1895-$G1895&lt;=10,$A1895-$I1895&lt;=5,$G1895&gt;0,$I1895&gt;0),$F1895*$H1895,NA()),NA())</f>
        <v/>
      </c>
      <c r="K1895" s="15">
        <f>IF($A1895="","",IF(AH!$U$5=1,IFERROR(MATCH($A1895,'Live History'!$A$5:$A$3004,0),0),AH!$U$7+1890))</f>
        <v/>
      </c>
      <c r="L1895" s="15">
        <f>IF(ISNUMBER(A1895),TEXT(A1895,"dd-mmm-yy"),"")</f>
        <v/>
      </c>
    </row>
    <row r="1896">
      <c r="A1896" s="14">
        <f>IF(OR(AH!$U$4=0,1891+1&gt;AH!$U$6,AND(AH!$M$5="Bloomberg",AH!$U$5=0)),"",IFERROR(IF(AND(AH!$U$12=1,1891+1=AH!$U$6),TODAY(),IF(AH!$U$5=1,INDEX('Live History'!$A$5:$A$3004,AH!$U$7+1891),INDEX('AH History'!$A$5:$A$1380,AH!$U$7+1891))),""))</f>
        <v/>
      </c>
      <c r="B1896" s="33">
        <f>IFERROR(IF(AH!$U$11=1,NA(),$J1896/$E1896-1),NA())</f>
        <v/>
      </c>
      <c r="C1896" s="269">
        <f>IFERROR(100*$E1896/$E$5,NA())</f>
        <v/>
      </c>
      <c r="D1896" s="269">
        <f>IFERROR(100*$J1896/$J$5,NA())</f>
        <v/>
      </c>
      <c r="E1896" s="32">
        <f>IFERROR(IF(AND(ISNUMBER($A1896),N(IF(AND(AH!$U$12=1,1891+1=AH!$U$6),IF(AH!$U$4=0,"unavailable",INDEX('Market Data'!$AN$5:$AN$66,AH!$U$4)),IF(AH!$U$5=1,INDEX('Live History'!$B$5:$B$3004,$K1896),INDEX('AH History'!$D$5:$GG$1380,$K1896,AH!$U$10))))&gt;0),IF(AND(AH!$U$12=1,1891+1=AH!$U$6),IF(AH!$U$4=0,"unavailable",INDEX('Market Data'!$AN$5:$AN$66,AH!$U$4)),IF(AH!$U$5=1,INDEX('Live History'!$B$5:$B$3004,$K1896),INDEX('AH History'!$D$5:$GG$1380,$K1896,AH!$U$10))),NA()),NA())</f>
        <v/>
      </c>
      <c r="F1896" s="32">
        <f>IFERROR(IF(ISNUMBER($A1896),IF(AND(AH!$U$12=1,1891+1=AH!$U$6),IF(AH!$U$4=0,"unavailable",INDEX('Market Data'!$AO$5:$AO$66,AH!$U$4)),IF(AH!$U$5=1,INDEX('Live History'!$E$5:$E$3004,MATCH($A1896,'Live History'!$D$5:$D$3004,1)),INDEX('AH History'!$D$5:$GG$1380,$K1896,AH!$U$10+1))),NA()),NA())</f>
        <v/>
      </c>
      <c r="G1896" s="34">
        <f>IFERROR(IF(ISNUMBER($A1896),IF(AND(AH!$U$12=1,1891+1=AH!$U$6),IF(AH!$U$4=0,"unavailable",INDEX('Market Data'!$AK$5:$AK$66,AH!$U$4)),IF(AH!$U$5=1,INDEX('Live History'!$D$5:$D$3004,MATCH($A1896,'Live History'!$D$5:$D$3004,1)),INDEX('AH History'!$D$5:$GG$1380,$K1896,AH!$U$10+2))),NA()),NA())</f>
        <v/>
      </c>
      <c r="H1896" s="266">
        <f>IFERROR(IF(ISNUMBER($A1896),IF(AND(AH!$U$12=1,1891+1=AH!$U$6),IF(AH!$U$4=0,"unavailable",INDEX('Market Data'!$AP$5:$AP$66,AH!$U$4)),IF(AH!$U$5=1,INDEX('Live History'!$H$5:$H$3004,MATCH($A1896,'Live History'!$G$5:$G$3004,1)),INDEX('AH History'!$B$5:$B$1380,$K1896))),NA()),NA())</f>
        <v/>
      </c>
      <c r="I1896" s="34">
        <f>IFERROR(IF(ISNUMBER($A1896),IF(AND(AH!$U$12=1,1891+1=AH!$U$6),TODAY(),IF(AH!$U$5=1,INDEX('Live History'!$G$5:$G$3004,MATCH($A1896,'Live History'!$G$5:$G$3004,1)),INDEX('AH History'!$C$5:$C$1380,$K1896))),NA()),NA())</f>
        <v/>
      </c>
      <c r="J1896" s="32">
        <f>IFERROR(IF(AND($F1896&gt;0,$H1896&gt;0,$A1896-$G1896&lt;=10,$A1896-$I1896&lt;=5,$G1896&gt;0,$I1896&gt;0),$F1896*$H1896,NA()),NA())</f>
        <v/>
      </c>
      <c r="K1896" s="15">
        <f>IF($A1896="","",IF(AH!$U$5=1,IFERROR(MATCH($A1896,'Live History'!$A$5:$A$3004,0),0),AH!$U$7+1891))</f>
        <v/>
      </c>
      <c r="L1896" s="15">
        <f>IF(ISNUMBER(A1896),TEXT(A1896,"dd-mmm-yy"),"")</f>
        <v/>
      </c>
    </row>
    <row r="1897">
      <c r="A1897" s="14">
        <f>IF(OR(AH!$U$4=0,1892+1&gt;AH!$U$6,AND(AH!$M$5="Bloomberg",AH!$U$5=0)),"",IFERROR(IF(AND(AH!$U$12=1,1892+1=AH!$U$6),TODAY(),IF(AH!$U$5=1,INDEX('Live History'!$A$5:$A$3004,AH!$U$7+1892),INDEX('AH History'!$A$5:$A$1380,AH!$U$7+1892))),""))</f>
        <v/>
      </c>
      <c r="B1897" s="33">
        <f>IFERROR(IF(AH!$U$11=1,NA(),$J1897/$E1897-1),NA())</f>
        <v/>
      </c>
      <c r="C1897" s="269">
        <f>IFERROR(100*$E1897/$E$5,NA())</f>
        <v/>
      </c>
      <c r="D1897" s="269">
        <f>IFERROR(100*$J1897/$J$5,NA())</f>
        <v/>
      </c>
      <c r="E1897" s="32">
        <f>IFERROR(IF(AND(ISNUMBER($A1897),N(IF(AND(AH!$U$12=1,1892+1=AH!$U$6),IF(AH!$U$4=0,"unavailable",INDEX('Market Data'!$AN$5:$AN$66,AH!$U$4)),IF(AH!$U$5=1,INDEX('Live History'!$B$5:$B$3004,$K1897),INDEX('AH History'!$D$5:$GG$1380,$K1897,AH!$U$10))))&gt;0),IF(AND(AH!$U$12=1,1892+1=AH!$U$6),IF(AH!$U$4=0,"unavailable",INDEX('Market Data'!$AN$5:$AN$66,AH!$U$4)),IF(AH!$U$5=1,INDEX('Live History'!$B$5:$B$3004,$K1897),INDEX('AH History'!$D$5:$GG$1380,$K1897,AH!$U$10))),NA()),NA())</f>
        <v/>
      </c>
      <c r="F1897" s="32">
        <f>IFERROR(IF(ISNUMBER($A1897),IF(AND(AH!$U$12=1,1892+1=AH!$U$6),IF(AH!$U$4=0,"unavailable",INDEX('Market Data'!$AO$5:$AO$66,AH!$U$4)),IF(AH!$U$5=1,INDEX('Live History'!$E$5:$E$3004,MATCH($A1897,'Live History'!$D$5:$D$3004,1)),INDEX('AH History'!$D$5:$GG$1380,$K1897,AH!$U$10+1))),NA()),NA())</f>
        <v/>
      </c>
      <c r="G1897" s="34">
        <f>IFERROR(IF(ISNUMBER($A1897),IF(AND(AH!$U$12=1,1892+1=AH!$U$6),IF(AH!$U$4=0,"unavailable",INDEX('Market Data'!$AK$5:$AK$66,AH!$U$4)),IF(AH!$U$5=1,INDEX('Live History'!$D$5:$D$3004,MATCH($A1897,'Live History'!$D$5:$D$3004,1)),INDEX('AH History'!$D$5:$GG$1380,$K1897,AH!$U$10+2))),NA()),NA())</f>
        <v/>
      </c>
      <c r="H1897" s="266">
        <f>IFERROR(IF(ISNUMBER($A1897),IF(AND(AH!$U$12=1,1892+1=AH!$U$6),IF(AH!$U$4=0,"unavailable",INDEX('Market Data'!$AP$5:$AP$66,AH!$U$4)),IF(AH!$U$5=1,INDEX('Live History'!$H$5:$H$3004,MATCH($A1897,'Live History'!$G$5:$G$3004,1)),INDEX('AH History'!$B$5:$B$1380,$K1897))),NA()),NA())</f>
        <v/>
      </c>
      <c r="I1897" s="34">
        <f>IFERROR(IF(ISNUMBER($A1897),IF(AND(AH!$U$12=1,1892+1=AH!$U$6),TODAY(),IF(AH!$U$5=1,INDEX('Live History'!$G$5:$G$3004,MATCH($A1897,'Live History'!$G$5:$G$3004,1)),INDEX('AH History'!$C$5:$C$1380,$K1897))),NA()),NA())</f>
        <v/>
      </c>
      <c r="J1897" s="32">
        <f>IFERROR(IF(AND($F1897&gt;0,$H1897&gt;0,$A1897-$G1897&lt;=10,$A1897-$I1897&lt;=5,$G1897&gt;0,$I1897&gt;0),$F1897*$H1897,NA()),NA())</f>
        <v/>
      </c>
      <c r="K1897" s="15">
        <f>IF($A1897="","",IF(AH!$U$5=1,IFERROR(MATCH($A1897,'Live History'!$A$5:$A$3004,0),0),AH!$U$7+1892))</f>
        <v/>
      </c>
      <c r="L1897" s="15">
        <f>IF(ISNUMBER(A1897),TEXT(A1897,"dd-mmm-yy"),"")</f>
        <v/>
      </c>
    </row>
    <row r="1898">
      <c r="A1898" s="14">
        <f>IF(OR(AH!$U$4=0,1893+1&gt;AH!$U$6,AND(AH!$M$5="Bloomberg",AH!$U$5=0)),"",IFERROR(IF(AND(AH!$U$12=1,1893+1=AH!$U$6),TODAY(),IF(AH!$U$5=1,INDEX('Live History'!$A$5:$A$3004,AH!$U$7+1893),INDEX('AH History'!$A$5:$A$1380,AH!$U$7+1893))),""))</f>
        <v/>
      </c>
      <c r="B1898" s="33">
        <f>IFERROR(IF(AH!$U$11=1,NA(),$J1898/$E1898-1),NA())</f>
        <v/>
      </c>
      <c r="C1898" s="269">
        <f>IFERROR(100*$E1898/$E$5,NA())</f>
        <v/>
      </c>
      <c r="D1898" s="269">
        <f>IFERROR(100*$J1898/$J$5,NA())</f>
        <v/>
      </c>
      <c r="E1898" s="32">
        <f>IFERROR(IF(AND(ISNUMBER($A1898),N(IF(AND(AH!$U$12=1,1893+1=AH!$U$6),IF(AH!$U$4=0,"unavailable",INDEX('Market Data'!$AN$5:$AN$66,AH!$U$4)),IF(AH!$U$5=1,INDEX('Live History'!$B$5:$B$3004,$K1898),INDEX('AH History'!$D$5:$GG$1380,$K1898,AH!$U$10))))&gt;0),IF(AND(AH!$U$12=1,1893+1=AH!$U$6),IF(AH!$U$4=0,"unavailable",INDEX('Market Data'!$AN$5:$AN$66,AH!$U$4)),IF(AH!$U$5=1,INDEX('Live History'!$B$5:$B$3004,$K1898),INDEX('AH History'!$D$5:$GG$1380,$K1898,AH!$U$10))),NA()),NA())</f>
        <v/>
      </c>
      <c r="F1898" s="32">
        <f>IFERROR(IF(ISNUMBER($A1898),IF(AND(AH!$U$12=1,1893+1=AH!$U$6),IF(AH!$U$4=0,"unavailable",INDEX('Market Data'!$AO$5:$AO$66,AH!$U$4)),IF(AH!$U$5=1,INDEX('Live History'!$E$5:$E$3004,MATCH($A1898,'Live History'!$D$5:$D$3004,1)),INDEX('AH History'!$D$5:$GG$1380,$K1898,AH!$U$10+1))),NA()),NA())</f>
        <v/>
      </c>
      <c r="G1898" s="34">
        <f>IFERROR(IF(ISNUMBER($A1898),IF(AND(AH!$U$12=1,1893+1=AH!$U$6),IF(AH!$U$4=0,"unavailable",INDEX('Market Data'!$AK$5:$AK$66,AH!$U$4)),IF(AH!$U$5=1,INDEX('Live History'!$D$5:$D$3004,MATCH($A1898,'Live History'!$D$5:$D$3004,1)),INDEX('AH History'!$D$5:$GG$1380,$K1898,AH!$U$10+2))),NA()),NA())</f>
        <v/>
      </c>
      <c r="H1898" s="266">
        <f>IFERROR(IF(ISNUMBER($A1898),IF(AND(AH!$U$12=1,1893+1=AH!$U$6),IF(AH!$U$4=0,"unavailable",INDEX('Market Data'!$AP$5:$AP$66,AH!$U$4)),IF(AH!$U$5=1,INDEX('Live History'!$H$5:$H$3004,MATCH($A1898,'Live History'!$G$5:$G$3004,1)),INDEX('AH History'!$B$5:$B$1380,$K1898))),NA()),NA())</f>
        <v/>
      </c>
      <c r="I1898" s="34">
        <f>IFERROR(IF(ISNUMBER($A1898),IF(AND(AH!$U$12=1,1893+1=AH!$U$6),TODAY(),IF(AH!$U$5=1,INDEX('Live History'!$G$5:$G$3004,MATCH($A1898,'Live History'!$G$5:$G$3004,1)),INDEX('AH History'!$C$5:$C$1380,$K1898))),NA()),NA())</f>
        <v/>
      </c>
      <c r="J1898" s="32">
        <f>IFERROR(IF(AND($F1898&gt;0,$H1898&gt;0,$A1898-$G1898&lt;=10,$A1898-$I1898&lt;=5,$G1898&gt;0,$I1898&gt;0),$F1898*$H1898,NA()),NA())</f>
        <v/>
      </c>
      <c r="K1898" s="15">
        <f>IF($A1898="","",IF(AH!$U$5=1,IFERROR(MATCH($A1898,'Live History'!$A$5:$A$3004,0),0),AH!$U$7+1893))</f>
        <v/>
      </c>
      <c r="L1898" s="15">
        <f>IF(ISNUMBER(A1898),TEXT(A1898,"dd-mmm-yy"),"")</f>
        <v/>
      </c>
    </row>
    <row r="1899">
      <c r="A1899" s="14">
        <f>IF(OR(AH!$U$4=0,1894+1&gt;AH!$U$6,AND(AH!$M$5="Bloomberg",AH!$U$5=0)),"",IFERROR(IF(AND(AH!$U$12=1,1894+1=AH!$U$6),TODAY(),IF(AH!$U$5=1,INDEX('Live History'!$A$5:$A$3004,AH!$U$7+1894),INDEX('AH History'!$A$5:$A$1380,AH!$U$7+1894))),""))</f>
        <v/>
      </c>
      <c r="B1899" s="33">
        <f>IFERROR(IF(AH!$U$11=1,NA(),$J1899/$E1899-1),NA())</f>
        <v/>
      </c>
      <c r="C1899" s="269">
        <f>IFERROR(100*$E1899/$E$5,NA())</f>
        <v/>
      </c>
      <c r="D1899" s="269">
        <f>IFERROR(100*$J1899/$J$5,NA())</f>
        <v/>
      </c>
      <c r="E1899" s="32">
        <f>IFERROR(IF(AND(ISNUMBER($A1899),N(IF(AND(AH!$U$12=1,1894+1=AH!$U$6),IF(AH!$U$4=0,"unavailable",INDEX('Market Data'!$AN$5:$AN$66,AH!$U$4)),IF(AH!$U$5=1,INDEX('Live History'!$B$5:$B$3004,$K1899),INDEX('AH History'!$D$5:$GG$1380,$K1899,AH!$U$10))))&gt;0),IF(AND(AH!$U$12=1,1894+1=AH!$U$6),IF(AH!$U$4=0,"unavailable",INDEX('Market Data'!$AN$5:$AN$66,AH!$U$4)),IF(AH!$U$5=1,INDEX('Live History'!$B$5:$B$3004,$K1899),INDEX('AH History'!$D$5:$GG$1380,$K1899,AH!$U$10))),NA()),NA())</f>
        <v/>
      </c>
      <c r="F1899" s="32">
        <f>IFERROR(IF(ISNUMBER($A1899),IF(AND(AH!$U$12=1,1894+1=AH!$U$6),IF(AH!$U$4=0,"unavailable",INDEX('Market Data'!$AO$5:$AO$66,AH!$U$4)),IF(AH!$U$5=1,INDEX('Live History'!$E$5:$E$3004,MATCH($A1899,'Live History'!$D$5:$D$3004,1)),INDEX('AH History'!$D$5:$GG$1380,$K1899,AH!$U$10+1))),NA()),NA())</f>
        <v/>
      </c>
      <c r="G1899" s="34">
        <f>IFERROR(IF(ISNUMBER($A1899),IF(AND(AH!$U$12=1,1894+1=AH!$U$6),IF(AH!$U$4=0,"unavailable",INDEX('Market Data'!$AK$5:$AK$66,AH!$U$4)),IF(AH!$U$5=1,INDEX('Live History'!$D$5:$D$3004,MATCH($A1899,'Live History'!$D$5:$D$3004,1)),INDEX('AH History'!$D$5:$GG$1380,$K1899,AH!$U$10+2))),NA()),NA())</f>
        <v/>
      </c>
      <c r="H1899" s="266">
        <f>IFERROR(IF(ISNUMBER($A1899),IF(AND(AH!$U$12=1,1894+1=AH!$U$6),IF(AH!$U$4=0,"unavailable",INDEX('Market Data'!$AP$5:$AP$66,AH!$U$4)),IF(AH!$U$5=1,INDEX('Live History'!$H$5:$H$3004,MATCH($A1899,'Live History'!$G$5:$G$3004,1)),INDEX('AH History'!$B$5:$B$1380,$K1899))),NA()),NA())</f>
        <v/>
      </c>
      <c r="I1899" s="34">
        <f>IFERROR(IF(ISNUMBER($A1899),IF(AND(AH!$U$12=1,1894+1=AH!$U$6),TODAY(),IF(AH!$U$5=1,INDEX('Live History'!$G$5:$G$3004,MATCH($A1899,'Live History'!$G$5:$G$3004,1)),INDEX('AH History'!$C$5:$C$1380,$K1899))),NA()),NA())</f>
        <v/>
      </c>
      <c r="J1899" s="32">
        <f>IFERROR(IF(AND($F1899&gt;0,$H1899&gt;0,$A1899-$G1899&lt;=10,$A1899-$I1899&lt;=5,$G1899&gt;0,$I1899&gt;0),$F1899*$H1899,NA()),NA())</f>
        <v/>
      </c>
      <c r="K1899" s="15">
        <f>IF($A1899="","",IF(AH!$U$5=1,IFERROR(MATCH($A1899,'Live History'!$A$5:$A$3004,0),0),AH!$U$7+1894))</f>
        <v/>
      </c>
      <c r="L1899" s="15">
        <f>IF(ISNUMBER(A1899),TEXT(A1899,"dd-mmm-yy"),"")</f>
        <v/>
      </c>
    </row>
    <row r="1900">
      <c r="A1900" s="14">
        <f>IF(OR(AH!$U$4=0,1895+1&gt;AH!$U$6,AND(AH!$M$5="Bloomberg",AH!$U$5=0)),"",IFERROR(IF(AND(AH!$U$12=1,1895+1=AH!$U$6),TODAY(),IF(AH!$U$5=1,INDEX('Live History'!$A$5:$A$3004,AH!$U$7+1895),INDEX('AH History'!$A$5:$A$1380,AH!$U$7+1895))),""))</f>
        <v/>
      </c>
      <c r="B1900" s="33">
        <f>IFERROR(IF(AH!$U$11=1,NA(),$J1900/$E1900-1),NA())</f>
        <v/>
      </c>
      <c r="C1900" s="269">
        <f>IFERROR(100*$E1900/$E$5,NA())</f>
        <v/>
      </c>
      <c r="D1900" s="269">
        <f>IFERROR(100*$J1900/$J$5,NA())</f>
        <v/>
      </c>
      <c r="E1900" s="32">
        <f>IFERROR(IF(AND(ISNUMBER($A1900),N(IF(AND(AH!$U$12=1,1895+1=AH!$U$6),IF(AH!$U$4=0,"unavailable",INDEX('Market Data'!$AN$5:$AN$66,AH!$U$4)),IF(AH!$U$5=1,INDEX('Live History'!$B$5:$B$3004,$K1900),INDEX('AH History'!$D$5:$GG$1380,$K1900,AH!$U$10))))&gt;0),IF(AND(AH!$U$12=1,1895+1=AH!$U$6),IF(AH!$U$4=0,"unavailable",INDEX('Market Data'!$AN$5:$AN$66,AH!$U$4)),IF(AH!$U$5=1,INDEX('Live History'!$B$5:$B$3004,$K1900),INDEX('AH History'!$D$5:$GG$1380,$K1900,AH!$U$10))),NA()),NA())</f>
        <v/>
      </c>
      <c r="F1900" s="32">
        <f>IFERROR(IF(ISNUMBER($A1900),IF(AND(AH!$U$12=1,1895+1=AH!$U$6),IF(AH!$U$4=0,"unavailable",INDEX('Market Data'!$AO$5:$AO$66,AH!$U$4)),IF(AH!$U$5=1,INDEX('Live History'!$E$5:$E$3004,MATCH($A1900,'Live History'!$D$5:$D$3004,1)),INDEX('AH History'!$D$5:$GG$1380,$K1900,AH!$U$10+1))),NA()),NA())</f>
        <v/>
      </c>
      <c r="G1900" s="34">
        <f>IFERROR(IF(ISNUMBER($A1900),IF(AND(AH!$U$12=1,1895+1=AH!$U$6),IF(AH!$U$4=0,"unavailable",INDEX('Market Data'!$AK$5:$AK$66,AH!$U$4)),IF(AH!$U$5=1,INDEX('Live History'!$D$5:$D$3004,MATCH($A1900,'Live History'!$D$5:$D$3004,1)),INDEX('AH History'!$D$5:$GG$1380,$K1900,AH!$U$10+2))),NA()),NA())</f>
        <v/>
      </c>
      <c r="H1900" s="266">
        <f>IFERROR(IF(ISNUMBER($A1900),IF(AND(AH!$U$12=1,1895+1=AH!$U$6),IF(AH!$U$4=0,"unavailable",INDEX('Market Data'!$AP$5:$AP$66,AH!$U$4)),IF(AH!$U$5=1,INDEX('Live History'!$H$5:$H$3004,MATCH($A1900,'Live History'!$G$5:$G$3004,1)),INDEX('AH History'!$B$5:$B$1380,$K1900))),NA()),NA())</f>
        <v/>
      </c>
      <c r="I1900" s="34">
        <f>IFERROR(IF(ISNUMBER($A1900),IF(AND(AH!$U$12=1,1895+1=AH!$U$6),TODAY(),IF(AH!$U$5=1,INDEX('Live History'!$G$5:$G$3004,MATCH($A1900,'Live History'!$G$5:$G$3004,1)),INDEX('AH History'!$C$5:$C$1380,$K1900))),NA()),NA())</f>
        <v/>
      </c>
      <c r="J1900" s="32">
        <f>IFERROR(IF(AND($F1900&gt;0,$H1900&gt;0,$A1900-$G1900&lt;=10,$A1900-$I1900&lt;=5,$G1900&gt;0,$I1900&gt;0),$F1900*$H1900,NA()),NA())</f>
        <v/>
      </c>
      <c r="K1900" s="15">
        <f>IF($A1900="","",IF(AH!$U$5=1,IFERROR(MATCH($A1900,'Live History'!$A$5:$A$3004,0),0),AH!$U$7+1895))</f>
        <v/>
      </c>
      <c r="L1900" s="15">
        <f>IF(ISNUMBER(A1900),TEXT(A1900,"dd-mmm-yy"),"")</f>
        <v/>
      </c>
    </row>
    <row r="1901">
      <c r="A1901" s="14">
        <f>IF(OR(AH!$U$4=0,1896+1&gt;AH!$U$6,AND(AH!$M$5="Bloomberg",AH!$U$5=0)),"",IFERROR(IF(AND(AH!$U$12=1,1896+1=AH!$U$6),TODAY(),IF(AH!$U$5=1,INDEX('Live History'!$A$5:$A$3004,AH!$U$7+1896),INDEX('AH History'!$A$5:$A$1380,AH!$U$7+1896))),""))</f>
        <v/>
      </c>
      <c r="B1901" s="33">
        <f>IFERROR(IF(AH!$U$11=1,NA(),$J1901/$E1901-1),NA())</f>
        <v/>
      </c>
      <c r="C1901" s="269">
        <f>IFERROR(100*$E1901/$E$5,NA())</f>
        <v/>
      </c>
      <c r="D1901" s="269">
        <f>IFERROR(100*$J1901/$J$5,NA())</f>
        <v/>
      </c>
      <c r="E1901" s="32">
        <f>IFERROR(IF(AND(ISNUMBER($A1901),N(IF(AND(AH!$U$12=1,1896+1=AH!$U$6),IF(AH!$U$4=0,"unavailable",INDEX('Market Data'!$AN$5:$AN$66,AH!$U$4)),IF(AH!$U$5=1,INDEX('Live History'!$B$5:$B$3004,$K1901),INDEX('AH History'!$D$5:$GG$1380,$K1901,AH!$U$10))))&gt;0),IF(AND(AH!$U$12=1,1896+1=AH!$U$6),IF(AH!$U$4=0,"unavailable",INDEX('Market Data'!$AN$5:$AN$66,AH!$U$4)),IF(AH!$U$5=1,INDEX('Live History'!$B$5:$B$3004,$K1901),INDEX('AH History'!$D$5:$GG$1380,$K1901,AH!$U$10))),NA()),NA())</f>
        <v/>
      </c>
      <c r="F1901" s="32">
        <f>IFERROR(IF(ISNUMBER($A1901),IF(AND(AH!$U$12=1,1896+1=AH!$U$6),IF(AH!$U$4=0,"unavailable",INDEX('Market Data'!$AO$5:$AO$66,AH!$U$4)),IF(AH!$U$5=1,INDEX('Live History'!$E$5:$E$3004,MATCH($A1901,'Live History'!$D$5:$D$3004,1)),INDEX('AH History'!$D$5:$GG$1380,$K1901,AH!$U$10+1))),NA()),NA())</f>
        <v/>
      </c>
      <c r="G1901" s="34">
        <f>IFERROR(IF(ISNUMBER($A1901),IF(AND(AH!$U$12=1,1896+1=AH!$U$6),IF(AH!$U$4=0,"unavailable",INDEX('Market Data'!$AK$5:$AK$66,AH!$U$4)),IF(AH!$U$5=1,INDEX('Live History'!$D$5:$D$3004,MATCH($A1901,'Live History'!$D$5:$D$3004,1)),INDEX('AH History'!$D$5:$GG$1380,$K1901,AH!$U$10+2))),NA()),NA())</f>
        <v/>
      </c>
      <c r="H1901" s="266">
        <f>IFERROR(IF(ISNUMBER($A1901),IF(AND(AH!$U$12=1,1896+1=AH!$U$6),IF(AH!$U$4=0,"unavailable",INDEX('Market Data'!$AP$5:$AP$66,AH!$U$4)),IF(AH!$U$5=1,INDEX('Live History'!$H$5:$H$3004,MATCH($A1901,'Live History'!$G$5:$G$3004,1)),INDEX('AH History'!$B$5:$B$1380,$K1901))),NA()),NA())</f>
        <v/>
      </c>
      <c r="I1901" s="34">
        <f>IFERROR(IF(ISNUMBER($A1901),IF(AND(AH!$U$12=1,1896+1=AH!$U$6),TODAY(),IF(AH!$U$5=1,INDEX('Live History'!$G$5:$G$3004,MATCH($A1901,'Live History'!$G$5:$G$3004,1)),INDEX('AH History'!$C$5:$C$1380,$K1901))),NA()),NA())</f>
        <v/>
      </c>
      <c r="J1901" s="32">
        <f>IFERROR(IF(AND($F1901&gt;0,$H1901&gt;0,$A1901-$G1901&lt;=10,$A1901-$I1901&lt;=5,$G1901&gt;0,$I1901&gt;0),$F1901*$H1901,NA()),NA())</f>
        <v/>
      </c>
      <c r="K1901" s="15">
        <f>IF($A1901="","",IF(AH!$U$5=1,IFERROR(MATCH($A1901,'Live History'!$A$5:$A$3004,0),0),AH!$U$7+1896))</f>
        <v/>
      </c>
      <c r="L1901" s="15">
        <f>IF(ISNUMBER(A1901),TEXT(A1901,"dd-mmm-yy"),"")</f>
        <v/>
      </c>
    </row>
    <row r="1902">
      <c r="A1902" s="14">
        <f>IF(OR(AH!$U$4=0,1897+1&gt;AH!$U$6,AND(AH!$M$5="Bloomberg",AH!$U$5=0)),"",IFERROR(IF(AND(AH!$U$12=1,1897+1=AH!$U$6),TODAY(),IF(AH!$U$5=1,INDEX('Live History'!$A$5:$A$3004,AH!$U$7+1897),INDEX('AH History'!$A$5:$A$1380,AH!$U$7+1897))),""))</f>
        <v/>
      </c>
      <c r="B1902" s="33">
        <f>IFERROR(IF(AH!$U$11=1,NA(),$J1902/$E1902-1),NA())</f>
        <v/>
      </c>
      <c r="C1902" s="269">
        <f>IFERROR(100*$E1902/$E$5,NA())</f>
        <v/>
      </c>
      <c r="D1902" s="269">
        <f>IFERROR(100*$J1902/$J$5,NA())</f>
        <v/>
      </c>
      <c r="E1902" s="32">
        <f>IFERROR(IF(AND(ISNUMBER($A1902),N(IF(AND(AH!$U$12=1,1897+1=AH!$U$6),IF(AH!$U$4=0,"unavailable",INDEX('Market Data'!$AN$5:$AN$66,AH!$U$4)),IF(AH!$U$5=1,INDEX('Live History'!$B$5:$B$3004,$K1902),INDEX('AH History'!$D$5:$GG$1380,$K1902,AH!$U$10))))&gt;0),IF(AND(AH!$U$12=1,1897+1=AH!$U$6),IF(AH!$U$4=0,"unavailable",INDEX('Market Data'!$AN$5:$AN$66,AH!$U$4)),IF(AH!$U$5=1,INDEX('Live History'!$B$5:$B$3004,$K1902),INDEX('AH History'!$D$5:$GG$1380,$K1902,AH!$U$10))),NA()),NA())</f>
        <v/>
      </c>
      <c r="F1902" s="32">
        <f>IFERROR(IF(ISNUMBER($A1902),IF(AND(AH!$U$12=1,1897+1=AH!$U$6),IF(AH!$U$4=0,"unavailable",INDEX('Market Data'!$AO$5:$AO$66,AH!$U$4)),IF(AH!$U$5=1,INDEX('Live History'!$E$5:$E$3004,MATCH($A1902,'Live History'!$D$5:$D$3004,1)),INDEX('AH History'!$D$5:$GG$1380,$K1902,AH!$U$10+1))),NA()),NA())</f>
        <v/>
      </c>
      <c r="G1902" s="34">
        <f>IFERROR(IF(ISNUMBER($A1902),IF(AND(AH!$U$12=1,1897+1=AH!$U$6),IF(AH!$U$4=0,"unavailable",INDEX('Market Data'!$AK$5:$AK$66,AH!$U$4)),IF(AH!$U$5=1,INDEX('Live History'!$D$5:$D$3004,MATCH($A1902,'Live History'!$D$5:$D$3004,1)),INDEX('AH History'!$D$5:$GG$1380,$K1902,AH!$U$10+2))),NA()),NA())</f>
        <v/>
      </c>
      <c r="H1902" s="266">
        <f>IFERROR(IF(ISNUMBER($A1902),IF(AND(AH!$U$12=1,1897+1=AH!$U$6),IF(AH!$U$4=0,"unavailable",INDEX('Market Data'!$AP$5:$AP$66,AH!$U$4)),IF(AH!$U$5=1,INDEX('Live History'!$H$5:$H$3004,MATCH($A1902,'Live History'!$G$5:$G$3004,1)),INDEX('AH History'!$B$5:$B$1380,$K1902))),NA()),NA())</f>
        <v/>
      </c>
      <c r="I1902" s="34">
        <f>IFERROR(IF(ISNUMBER($A1902),IF(AND(AH!$U$12=1,1897+1=AH!$U$6),TODAY(),IF(AH!$U$5=1,INDEX('Live History'!$G$5:$G$3004,MATCH($A1902,'Live History'!$G$5:$G$3004,1)),INDEX('AH History'!$C$5:$C$1380,$K1902))),NA()),NA())</f>
        <v/>
      </c>
      <c r="J1902" s="32">
        <f>IFERROR(IF(AND($F1902&gt;0,$H1902&gt;0,$A1902-$G1902&lt;=10,$A1902-$I1902&lt;=5,$G1902&gt;0,$I1902&gt;0),$F1902*$H1902,NA()),NA())</f>
        <v/>
      </c>
      <c r="K1902" s="15">
        <f>IF($A1902="","",IF(AH!$U$5=1,IFERROR(MATCH($A1902,'Live History'!$A$5:$A$3004,0),0),AH!$U$7+1897))</f>
        <v/>
      </c>
      <c r="L1902" s="15">
        <f>IF(ISNUMBER(A1902),TEXT(A1902,"dd-mmm-yy"),"")</f>
        <v/>
      </c>
    </row>
    <row r="1903">
      <c r="A1903" s="14">
        <f>IF(OR(AH!$U$4=0,1898+1&gt;AH!$U$6,AND(AH!$M$5="Bloomberg",AH!$U$5=0)),"",IFERROR(IF(AND(AH!$U$12=1,1898+1=AH!$U$6),TODAY(),IF(AH!$U$5=1,INDEX('Live History'!$A$5:$A$3004,AH!$U$7+1898),INDEX('AH History'!$A$5:$A$1380,AH!$U$7+1898))),""))</f>
        <v/>
      </c>
      <c r="B1903" s="33">
        <f>IFERROR(IF(AH!$U$11=1,NA(),$J1903/$E1903-1),NA())</f>
        <v/>
      </c>
      <c r="C1903" s="269">
        <f>IFERROR(100*$E1903/$E$5,NA())</f>
        <v/>
      </c>
      <c r="D1903" s="269">
        <f>IFERROR(100*$J1903/$J$5,NA())</f>
        <v/>
      </c>
      <c r="E1903" s="32">
        <f>IFERROR(IF(AND(ISNUMBER($A1903),N(IF(AND(AH!$U$12=1,1898+1=AH!$U$6),IF(AH!$U$4=0,"unavailable",INDEX('Market Data'!$AN$5:$AN$66,AH!$U$4)),IF(AH!$U$5=1,INDEX('Live History'!$B$5:$B$3004,$K1903),INDEX('AH History'!$D$5:$GG$1380,$K1903,AH!$U$10))))&gt;0),IF(AND(AH!$U$12=1,1898+1=AH!$U$6),IF(AH!$U$4=0,"unavailable",INDEX('Market Data'!$AN$5:$AN$66,AH!$U$4)),IF(AH!$U$5=1,INDEX('Live History'!$B$5:$B$3004,$K1903),INDEX('AH History'!$D$5:$GG$1380,$K1903,AH!$U$10))),NA()),NA())</f>
        <v/>
      </c>
      <c r="F1903" s="32">
        <f>IFERROR(IF(ISNUMBER($A1903),IF(AND(AH!$U$12=1,1898+1=AH!$U$6),IF(AH!$U$4=0,"unavailable",INDEX('Market Data'!$AO$5:$AO$66,AH!$U$4)),IF(AH!$U$5=1,INDEX('Live History'!$E$5:$E$3004,MATCH($A1903,'Live History'!$D$5:$D$3004,1)),INDEX('AH History'!$D$5:$GG$1380,$K1903,AH!$U$10+1))),NA()),NA())</f>
        <v/>
      </c>
      <c r="G1903" s="34">
        <f>IFERROR(IF(ISNUMBER($A1903),IF(AND(AH!$U$12=1,1898+1=AH!$U$6),IF(AH!$U$4=0,"unavailable",INDEX('Market Data'!$AK$5:$AK$66,AH!$U$4)),IF(AH!$U$5=1,INDEX('Live History'!$D$5:$D$3004,MATCH($A1903,'Live History'!$D$5:$D$3004,1)),INDEX('AH History'!$D$5:$GG$1380,$K1903,AH!$U$10+2))),NA()),NA())</f>
        <v/>
      </c>
      <c r="H1903" s="266">
        <f>IFERROR(IF(ISNUMBER($A1903),IF(AND(AH!$U$12=1,1898+1=AH!$U$6),IF(AH!$U$4=0,"unavailable",INDEX('Market Data'!$AP$5:$AP$66,AH!$U$4)),IF(AH!$U$5=1,INDEX('Live History'!$H$5:$H$3004,MATCH($A1903,'Live History'!$G$5:$G$3004,1)),INDEX('AH History'!$B$5:$B$1380,$K1903))),NA()),NA())</f>
        <v/>
      </c>
      <c r="I1903" s="34">
        <f>IFERROR(IF(ISNUMBER($A1903),IF(AND(AH!$U$12=1,1898+1=AH!$U$6),TODAY(),IF(AH!$U$5=1,INDEX('Live History'!$G$5:$G$3004,MATCH($A1903,'Live History'!$G$5:$G$3004,1)),INDEX('AH History'!$C$5:$C$1380,$K1903))),NA()),NA())</f>
        <v/>
      </c>
      <c r="J1903" s="32">
        <f>IFERROR(IF(AND($F1903&gt;0,$H1903&gt;0,$A1903-$G1903&lt;=10,$A1903-$I1903&lt;=5,$G1903&gt;0,$I1903&gt;0),$F1903*$H1903,NA()),NA())</f>
        <v/>
      </c>
      <c r="K1903" s="15">
        <f>IF($A1903="","",IF(AH!$U$5=1,IFERROR(MATCH($A1903,'Live History'!$A$5:$A$3004,0),0),AH!$U$7+1898))</f>
        <v/>
      </c>
      <c r="L1903" s="15">
        <f>IF(ISNUMBER(A1903),TEXT(A1903,"dd-mmm-yy"),"")</f>
        <v/>
      </c>
    </row>
    <row r="1904">
      <c r="A1904" s="14">
        <f>IF(OR(AH!$U$4=0,1899+1&gt;AH!$U$6,AND(AH!$M$5="Bloomberg",AH!$U$5=0)),"",IFERROR(IF(AND(AH!$U$12=1,1899+1=AH!$U$6),TODAY(),IF(AH!$U$5=1,INDEX('Live History'!$A$5:$A$3004,AH!$U$7+1899),INDEX('AH History'!$A$5:$A$1380,AH!$U$7+1899))),""))</f>
        <v/>
      </c>
      <c r="B1904" s="33">
        <f>IFERROR(IF(AH!$U$11=1,NA(),$J1904/$E1904-1),NA())</f>
        <v/>
      </c>
      <c r="C1904" s="269">
        <f>IFERROR(100*$E1904/$E$5,NA())</f>
        <v/>
      </c>
      <c r="D1904" s="269">
        <f>IFERROR(100*$J1904/$J$5,NA())</f>
        <v/>
      </c>
      <c r="E1904" s="32">
        <f>IFERROR(IF(AND(ISNUMBER($A1904),N(IF(AND(AH!$U$12=1,1899+1=AH!$U$6),IF(AH!$U$4=0,"unavailable",INDEX('Market Data'!$AN$5:$AN$66,AH!$U$4)),IF(AH!$U$5=1,INDEX('Live History'!$B$5:$B$3004,$K1904),INDEX('AH History'!$D$5:$GG$1380,$K1904,AH!$U$10))))&gt;0),IF(AND(AH!$U$12=1,1899+1=AH!$U$6),IF(AH!$U$4=0,"unavailable",INDEX('Market Data'!$AN$5:$AN$66,AH!$U$4)),IF(AH!$U$5=1,INDEX('Live History'!$B$5:$B$3004,$K1904),INDEX('AH History'!$D$5:$GG$1380,$K1904,AH!$U$10))),NA()),NA())</f>
        <v/>
      </c>
      <c r="F1904" s="32">
        <f>IFERROR(IF(ISNUMBER($A1904),IF(AND(AH!$U$12=1,1899+1=AH!$U$6),IF(AH!$U$4=0,"unavailable",INDEX('Market Data'!$AO$5:$AO$66,AH!$U$4)),IF(AH!$U$5=1,INDEX('Live History'!$E$5:$E$3004,MATCH($A1904,'Live History'!$D$5:$D$3004,1)),INDEX('AH History'!$D$5:$GG$1380,$K1904,AH!$U$10+1))),NA()),NA())</f>
        <v/>
      </c>
      <c r="G1904" s="34">
        <f>IFERROR(IF(ISNUMBER($A1904),IF(AND(AH!$U$12=1,1899+1=AH!$U$6),IF(AH!$U$4=0,"unavailable",INDEX('Market Data'!$AK$5:$AK$66,AH!$U$4)),IF(AH!$U$5=1,INDEX('Live History'!$D$5:$D$3004,MATCH($A1904,'Live History'!$D$5:$D$3004,1)),INDEX('AH History'!$D$5:$GG$1380,$K1904,AH!$U$10+2))),NA()),NA())</f>
        <v/>
      </c>
      <c r="H1904" s="266">
        <f>IFERROR(IF(ISNUMBER($A1904),IF(AND(AH!$U$12=1,1899+1=AH!$U$6),IF(AH!$U$4=0,"unavailable",INDEX('Market Data'!$AP$5:$AP$66,AH!$U$4)),IF(AH!$U$5=1,INDEX('Live History'!$H$5:$H$3004,MATCH($A1904,'Live History'!$G$5:$G$3004,1)),INDEX('AH History'!$B$5:$B$1380,$K1904))),NA()),NA())</f>
        <v/>
      </c>
      <c r="I1904" s="34">
        <f>IFERROR(IF(ISNUMBER($A1904),IF(AND(AH!$U$12=1,1899+1=AH!$U$6),TODAY(),IF(AH!$U$5=1,INDEX('Live History'!$G$5:$G$3004,MATCH($A1904,'Live History'!$G$5:$G$3004,1)),INDEX('AH History'!$C$5:$C$1380,$K1904))),NA()),NA())</f>
        <v/>
      </c>
      <c r="J1904" s="32">
        <f>IFERROR(IF(AND($F1904&gt;0,$H1904&gt;0,$A1904-$G1904&lt;=10,$A1904-$I1904&lt;=5,$G1904&gt;0,$I1904&gt;0),$F1904*$H1904,NA()),NA())</f>
        <v/>
      </c>
      <c r="K1904" s="15">
        <f>IF($A1904="","",IF(AH!$U$5=1,IFERROR(MATCH($A1904,'Live History'!$A$5:$A$3004,0),0),AH!$U$7+1899))</f>
        <v/>
      </c>
      <c r="L1904" s="15">
        <f>IF(ISNUMBER(A1904),TEXT(A1904,"dd-mmm-yy"),"")</f>
        <v/>
      </c>
    </row>
    <row r="1905">
      <c r="A1905" s="14">
        <f>IF(OR(AH!$U$4=0,1900+1&gt;AH!$U$6,AND(AH!$M$5="Bloomberg",AH!$U$5=0)),"",IFERROR(IF(AND(AH!$U$12=1,1900+1=AH!$U$6),TODAY(),IF(AH!$U$5=1,INDEX('Live History'!$A$5:$A$3004,AH!$U$7+1900),INDEX('AH History'!$A$5:$A$1380,AH!$U$7+1900))),""))</f>
        <v/>
      </c>
      <c r="B1905" s="33">
        <f>IFERROR(IF(AH!$U$11=1,NA(),$J1905/$E1905-1),NA())</f>
        <v/>
      </c>
      <c r="C1905" s="269">
        <f>IFERROR(100*$E1905/$E$5,NA())</f>
        <v/>
      </c>
      <c r="D1905" s="269">
        <f>IFERROR(100*$J1905/$J$5,NA())</f>
        <v/>
      </c>
      <c r="E1905" s="32">
        <f>IFERROR(IF(AND(ISNUMBER($A1905),N(IF(AND(AH!$U$12=1,1900+1=AH!$U$6),IF(AH!$U$4=0,"unavailable",INDEX('Market Data'!$AN$5:$AN$66,AH!$U$4)),IF(AH!$U$5=1,INDEX('Live History'!$B$5:$B$3004,$K1905),INDEX('AH History'!$D$5:$GG$1380,$K1905,AH!$U$10))))&gt;0),IF(AND(AH!$U$12=1,1900+1=AH!$U$6),IF(AH!$U$4=0,"unavailable",INDEX('Market Data'!$AN$5:$AN$66,AH!$U$4)),IF(AH!$U$5=1,INDEX('Live History'!$B$5:$B$3004,$K1905),INDEX('AH History'!$D$5:$GG$1380,$K1905,AH!$U$10))),NA()),NA())</f>
        <v/>
      </c>
      <c r="F1905" s="32">
        <f>IFERROR(IF(ISNUMBER($A1905),IF(AND(AH!$U$12=1,1900+1=AH!$U$6),IF(AH!$U$4=0,"unavailable",INDEX('Market Data'!$AO$5:$AO$66,AH!$U$4)),IF(AH!$U$5=1,INDEX('Live History'!$E$5:$E$3004,MATCH($A1905,'Live History'!$D$5:$D$3004,1)),INDEX('AH History'!$D$5:$GG$1380,$K1905,AH!$U$10+1))),NA()),NA())</f>
        <v/>
      </c>
      <c r="G1905" s="34">
        <f>IFERROR(IF(ISNUMBER($A1905),IF(AND(AH!$U$12=1,1900+1=AH!$U$6),IF(AH!$U$4=0,"unavailable",INDEX('Market Data'!$AK$5:$AK$66,AH!$U$4)),IF(AH!$U$5=1,INDEX('Live History'!$D$5:$D$3004,MATCH($A1905,'Live History'!$D$5:$D$3004,1)),INDEX('AH History'!$D$5:$GG$1380,$K1905,AH!$U$10+2))),NA()),NA())</f>
        <v/>
      </c>
      <c r="H1905" s="266">
        <f>IFERROR(IF(ISNUMBER($A1905),IF(AND(AH!$U$12=1,1900+1=AH!$U$6),IF(AH!$U$4=0,"unavailable",INDEX('Market Data'!$AP$5:$AP$66,AH!$U$4)),IF(AH!$U$5=1,INDEX('Live History'!$H$5:$H$3004,MATCH($A1905,'Live History'!$G$5:$G$3004,1)),INDEX('AH History'!$B$5:$B$1380,$K1905))),NA()),NA())</f>
        <v/>
      </c>
      <c r="I1905" s="34">
        <f>IFERROR(IF(ISNUMBER($A1905),IF(AND(AH!$U$12=1,1900+1=AH!$U$6),TODAY(),IF(AH!$U$5=1,INDEX('Live History'!$G$5:$G$3004,MATCH($A1905,'Live History'!$G$5:$G$3004,1)),INDEX('AH History'!$C$5:$C$1380,$K1905))),NA()),NA())</f>
        <v/>
      </c>
      <c r="J1905" s="32">
        <f>IFERROR(IF(AND($F1905&gt;0,$H1905&gt;0,$A1905-$G1905&lt;=10,$A1905-$I1905&lt;=5,$G1905&gt;0,$I1905&gt;0),$F1905*$H1905,NA()),NA())</f>
        <v/>
      </c>
      <c r="K1905" s="15">
        <f>IF($A1905="","",IF(AH!$U$5=1,IFERROR(MATCH($A1905,'Live History'!$A$5:$A$3004,0),0),AH!$U$7+1900))</f>
        <v/>
      </c>
      <c r="L1905" s="15">
        <f>IF(ISNUMBER(A1905),TEXT(A1905,"dd-mmm-yy"),"")</f>
        <v/>
      </c>
    </row>
    <row r="1906">
      <c r="A1906" s="14">
        <f>IF(OR(AH!$U$4=0,1901+1&gt;AH!$U$6,AND(AH!$M$5="Bloomberg",AH!$U$5=0)),"",IFERROR(IF(AND(AH!$U$12=1,1901+1=AH!$U$6),TODAY(),IF(AH!$U$5=1,INDEX('Live History'!$A$5:$A$3004,AH!$U$7+1901),INDEX('AH History'!$A$5:$A$1380,AH!$U$7+1901))),""))</f>
        <v/>
      </c>
      <c r="B1906" s="33">
        <f>IFERROR(IF(AH!$U$11=1,NA(),$J1906/$E1906-1),NA())</f>
        <v/>
      </c>
      <c r="C1906" s="269">
        <f>IFERROR(100*$E1906/$E$5,NA())</f>
        <v/>
      </c>
      <c r="D1906" s="269">
        <f>IFERROR(100*$J1906/$J$5,NA())</f>
        <v/>
      </c>
      <c r="E1906" s="32">
        <f>IFERROR(IF(AND(ISNUMBER($A1906),N(IF(AND(AH!$U$12=1,1901+1=AH!$U$6),IF(AH!$U$4=0,"unavailable",INDEX('Market Data'!$AN$5:$AN$66,AH!$U$4)),IF(AH!$U$5=1,INDEX('Live History'!$B$5:$B$3004,$K1906),INDEX('AH History'!$D$5:$GG$1380,$K1906,AH!$U$10))))&gt;0),IF(AND(AH!$U$12=1,1901+1=AH!$U$6),IF(AH!$U$4=0,"unavailable",INDEX('Market Data'!$AN$5:$AN$66,AH!$U$4)),IF(AH!$U$5=1,INDEX('Live History'!$B$5:$B$3004,$K1906),INDEX('AH History'!$D$5:$GG$1380,$K1906,AH!$U$10))),NA()),NA())</f>
        <v/>
      </c>
      <c r="F1906" s="32">
        <f>IFERROR(IF(ISNUMBER($A1906),IF(AND(AH!$U$12=1,1901+1=AH!$U$6),IF(AH!$U$4=0,"unavailable",INDEX('Market Data'!$AO$5:$AO$66,AH!$U$4)),IF(AH!$U$5=1,INDEX('Live History'!$E$5:$E$3004,MATCH($A1906,'Live History'!$D$5:$D$3004,1)),INDEX('AH History'!$D$5:$GG$1380,$K1906,AH!$U$10+1))),NA()),NA())</f>
        <v/>
      </c>
      <c r="G1906" s="34">
        <f>IFERROR(IF(ISNUMBER($A1906),IF(AND(AH!$U$12=1,1901+1=AH!$U$6),IF(AH!$U$4=0,"unavailable",INDEX('Market Data'!$AK$5:$AK$66,AH!$U$4)),IF(AH!$U$5=1,INDEX('Live History'!$D$5:$D$3004,MATCH($A1906,'Live History'!$D$5:$D$3004,1)),INDEX('AH History'!$D$5:$GG$1380,$K1906,AH!$U$10+2))),NA()),NA())</f>
        <v/>
      </c>
      <c r="H1906" s="266">
        <f>IFERROR(IF(ISNUMBER($A1906),IF(AND(AH!$U$12=1,1901+1=AH!$U$6),IF(AH!$U$4=0,"unavailable",INDEX('Market Data'!$AP$5:$AP$66,AH!$U$4)),IF(AH!$U$5=1,INDEX('Live History'!$H$5:$H$3004,MATCH($A1906,'Live History'!$G$5:$G$3004,1)),INDEX('AH History'!$B$5:$B$1380,$K1906))),NA()),NA())</f>
        <v/>
      </c>
      <c r="I1906" s="34">
        <f>IFERROR(IF(ISNUMBER($A1906),IF(AND(AH!$U$12=1,1901+1=AH!$U$6),TODAY(),IF(AH!$U$5=1,INDEX('Live History'!$G$5:$G$3004,MATCH($A1906,'Live History'!$G$5:$G$3004,1)),INDEX('AH History'!$C$5:$C$1380,$K1906))),NA()),NA())</f>
        <v/>
      </c>
      <c r="J1906" s="32">
        <f>IFERROR(IF(AND($F1906&gt;0,$H1906&gt;0,$A1906-$G1906&lt;=10,$A1906-$I1906&lt;=5,$G1906&gt;0,$I1906&gt;0),$F1906*$H1906,NA()),NA())</f>
        <v/>
      </c>
      <c r="K1906" s="15">
        <f>IF($A1906="","",IF(AH!$U$5=1,IFERROR(MATCH($A1906,'Live History'!$A$5:$A$3004,0),0),AH!$U$7+1901))</f>
        <v/>
      </c>
      <c r="L1906" s="15">
        <f>IF(ISNUMBER(A1906),TEXT(A1906,"dd-mmm-yy"),"")</f>
        <v/>
      </c>
    </row>
    <row r="1907">
      <c r="A1907" s="14">
        <f>IF(OR(AH!$U$4=0,1902+1&gt;AH!$U$6,AND(AH!$M$5="Bloomberg",AH!$U$5=0)),"",IFERROR(IF(AND(AH!$U$12=1,1902+1=AH!$U$6),TODAY(),IF(AH!$U$5=1,INDEX('Live History'!$A$5:$A$3004,AH!$U$7+1902),INDEX('AH History'!$A$5:$A$1380,AH!$U$7+1902))),""))</f>
        <v/>
      </c>
      <c r="B1907" s="33">
        <f>IFERROR(IF(AH!$U$11=1,NA(),$J1907/$E1907-1),NA())</f>
        <v/>
      </c>
      <c r="C1907" s="269">
        <f>IFERROR(100*$E1907/$E$5,NA())</f>
        <v/>
      </c>
      <c r="D1907" s="269">
        <f>IFERROR(100*$J1907/$J$5,NA())</f>
        <v/>
      </c>
      <c r="E1907" s="32">
        <f>IFERROR(IF(AND(ISNUMBER($A1907),N(IF(AND(AH!$U$12=1,1902+1=AH!$U$6),IF(AH!$U$4=0,"unavailable",INDEX('Market Data'!$AN$5:$AN$66,AH!$U$4)),IF(AH!$U$5=1,INDEX('Live History'!$B$5:$B$3004,$K1907),INDEX('AH History'!$D$5:$GG$1380,$K1907,AH!$U$10))))&gt;0),IF(AND(AH!$U$12=1,1902+1=AH!$U$6),IF(AH!$U$4=0,"unavailable",INDEX('Market Data'!$AN$5:$AN$66,AH!$U$4)),IF(AH!$U$5=1,INDEX('Live History'!$B$5:$B$3004,$K1907),INDEX('AH History'!$D$5:$GG$1380,$K1907,AH!$U$10))),NA()),NA())</f>
        <v/>
      </c>
      <c r="F1907" s="32">
        <f>IFERROR(IF(ISNUMBER($A1907),IF(AND(AH!$U$12=1,1902+1=AH!$U$6),IF(AH!$U$4=0,"unavailable",INDEX('Market Data'!$AO$5:$AO$66,AH!$U$4)),IF(AH!$U$5=1,INDEX('Live History'!$E$5:$E$3004,MATCH($A1907,'Live History'!$D$5:$D$3004,1)),INDEX('AH History'!$D$5:$GG$1380,$K1907,AH!$U$10+1))),NA()),NA())</f>
        <v/>
      </c>
      <c r="G1907" s="34">
        <f>IFERROR(IF(ISNUMBER($A1907),IF(AND(AH!$U$12=1,1902+1=AH!$U$6),IF(AH!$U$4=0,"unavailable",INDEX('Market Data'!$AK$5:$AK$66,AH!$U$4)),IF(AH!$U$5=1,INDEX('Live History'!$D$5:$D$3004,MATCH($A1907,'Live History'!$D$5:$D$3004,1)),INDEX('AH History'!$D$5:$GG$1380,$K1907,AH!$U$10+2))),NA()),NA())</f>
        <v/>
      </c>
      <c r="H1907" s="266">
        <f>IFERROR(IF(ISNUMBER($A1907),IF(AND(AH!$U$12=1,1902+1=AH!$U$6),IF(AH!$U$4=0,"unavailable",INDEX('Market Data'!$AP$5:$AP$66,AH!$U$4)),IF(AH!$U$5=1,INDEX('Live History'!$H$5:$H$3004,MATCH($A1907,'Live History'!$G$5:$G$3004,1)),INDEX('AH History'!$B$5:$B$1380,$K1907))),NA()),NA())</f>
        <v/>
      </c>
      <c r="I1907" s="34">
        <f>IFERROR(IF(ISNUMBER($A1907),IF(AND(AH!$U$12=1,1902+1=AH!$U$6),TODAY(),IF(AH!$U$5=1,INDEX('Live History'!$G$5:$G$3004,MATCH($A1907,'Live History'!$G$5:$G$3004,1)),INDEX('AH History'!$C$5:$C$1380,$K1907))),NA()),NA())</f>
        <v/>
      </c>
      <c r="J1907" s="32">
        <f>IFERROR(IF(AND($F1907&gt;0,$H1907&gt;0,$A1907-$G1907&lt;=10,$A1907-$I1907&lt;=5,$G1907&gt;0,$I1907&gt;0),$F1907*$H1907,NA()),NA())</f>
        <v/>
      </c>
      <c r="K1907" s="15">
        <f>IF($A1907="","",IF(AH!$U$5=1,IFERROR(MATCH($A1907,'Live History'!$A$5:$A$3004,0),0),AH!$U$7+1902))</f>
        <v/>
      </c>
      <c r="L1907" s="15">
        <f>IF(ISNUMBER(A1907),TEXT(A1907,"dd-mmm-yy"),"")</f>
        <v/>
      </c>
    </row>
    <row r="1908">
      <c r="A1908" s="14">
        <f>IF(OR(AH!$U$4=0,1903+1&gt;AH!$U$6,AND(AH!$M$5="Bloomberg",AH!$U$5=0)),"",IFERROR(IF(AND(AH!$U$12=1,1903+1=AH!$U$6),TODAY(),IF(AH!$U$5=1,INDEX('Live History'!$A$5:$A$3004,AH!$U$7+1903),INDEX('AH History'!$A$5:$A$1380,AH!$U$7+1903))),""))</f>
        <v/>
      </c>
      <c r="B1908" s="33">
        <f>IFERROR(IF(AH!$U$11=1,NA(),$J1908/$E1908-1),NA())</f>
        <v/>
      </c>
      <c r="C1908" s="269">
        <f>IFERROR(100*$E1908/$E$5,NA())</f>
        <v/>
      </c>
      <c r="D1908" s="269">
        <f>IFERROR(100*$J1908/$J$5,NA())</f>
        <v/>
      </c>
      <c r="E1908" s="32">
        <f>IFERROR(IF(AND(ISNUMBER($A1908),N(IF(AND(AH!$U$12=1,1903+1=AH!$U$6),IF(AH!$U$4=0,"unavailable",INDEX('Market Data'!$AN$5:$AN$66,AH!$U$4)),IF(AH!$U$5=1,INDEX('Live History'!$B$5:$B$3004,$K1908),INDEX('AH History'!$D$5:$GG$1380,$K1908,AH!$U$10))))&gt;0),IF(AND(AH!$U$12=1,1903+1=AH!$U$6),IF(AH!$U$4=0,"unavailable",INDEX('Market Data'!$AN$5:$AN$66,AH!$U$4)),IF(AH!$U$5=1,INDEX('Live History'!$B$5:$B$3004,$K1908),INDEX('AH History'!$D$5:$GG$1380,$K1908,AH!$U$10))),NA()),NA())</f>
        <v/>
      </c>
      <c r="F1908" s="32">
        <f>IFERROR(IF(ISNUMBER($A1908),IF(AND(AH!$U$12=1,1903+1=AH!$U$6),IF(AH!$U$4=0,"unavailable",INDEX('Market Data'!$AO$5:$AO$66,AH!$U$4)),IF(AH!$U$5=1,INDEX('Live History'!$E$5:$E$3004,MATCH($A1908,'Live History'!$D$5:$D$3004,1)),INDEX('AH History'!$D$5:$GG$1380,$K1908,AH!$U$10+1))),NA()),NA())</f>
        <v/>
      </c>
      <c r="G1908" s="34">
        <f>IFERROR(IF(ISNUMBER($A1908),IF(AND(AH!$U$12=1,1903+1=AH!$U$6),IF(AH!$U$4=0,"unavailable",INDEX('Market Data'!$AK$5:$AK$66,AH!$U$4)),IF(AH!$U$5=1,INDEX('Live History'!$D$5:$D$3004,MATCH($A1908,'Live History'!$D$5:$D$3004,1)),INDEX('AH History'!$D$5:$GG$1380,$K1908,AH!$U$10+2))),NA()),NA())</f>
        <v/>
      </c>
      <c r="H1908" s="266">
        <f>IFERROR(IF(ISNUMBER($A1908),IF(AND(AH!$U$12=1,1903+1=AH!$U$6),IF(AH!$U$4=0,"unavailable",INDEX('Market Data'!$AP$5:$AP$66,AH!$U$4)),IF(AH!$U$5=1,INDEX('Live History'!$H$5:$H$3004,MATCH($A1908,'Live History'!$G$5:$G$3004,1)),INDEX('AH History'!$B$5:$B$1380,$K1908))),NA()),NA())</f>
        <v/>
      </c>
      <c r="I1908" s="34">
        <f>IFERROR(IF(ISNUMBER($A1908),IF(AND(AH!$U$12=1,1903+1=AH!$U$6),TODAY(),IF(AH!$U$5=1,INDEX('Live History'!$G$5:$G$3004,MATCH($A1908,'Live History'!$G$5:$G$3004,1)),INDEX('AH History'!$C$5:$C$1380,$K1908))),NA()),NA())</f>
        <v/>
      </c>
      <c r="J1908" s="32">
        <f>IFERROR(IF(AND($F1908&gt;0,$H1908&gt;0,$A1908-$G1908&lt;=10,$A1908-$I1908&lt;=5,$G1908&gt;0,$I1908&gt;0),$F1908*$H1908,NA()),NA())</f>
        <v/>
      </c>
      <c r="K1908" s="15">
        <f>IF($A1908="","",IF(AH!$U$5=1,IFERROR(MATCH($A1908,'Live History'!$A$5:$A$3004,0),0),AH!$U$7+1903))</f>
        <v/>
      </c>
      <c r="L1908" s="15">
        <f>IF(ISNUMBER(A1908),TEXT(A1908,"dd-mmm-yy"),"")</f>
        <v/>
      </c>
    </row>
    <row r="1909">
      <c r="A1909" s="14">
        <f>IF(OR(AH!$U$4=0,1904+1&gt;AH!$U$6,AND(AH!$M$5="Bloomberg",AH!$U$5=0)),"",IFERROR(IF(AND(AH!$U$12=1,1904+1=AH!$U$6),TODAY(),IF(AH!$U$5=1,INDEX('Live History'!$A$5:$A$3004,AH!$U$7+1904),INDEX('AH History'!$A$5:$A$1380,AH!$U$7+1904))),""))</f>
        <v/>
      </c>
      <c r="B1909" s="33">
        <f>IFERROR(IF(AH!$U$11=1,NA(),$J1909/$E1909-1),NA())</f>
        <v/>
      </c>
      <c r="C1909" s="269">
        <f>IFERROR(100*$E1909/$E$5,NA())</f>
        <v/>
      </c>
      <c r="D1909" s="269">
        <f>IFERROR(100*$J1909/$J$5,NA())</f>
        <v/>
      </c>
      <c r="E1909" s="32">
        <f>IFERROR(IF(AND(ISNUMBER($A1909),N(IF(AND(AH!$U$12=1,1904+1=AH!$U$6),IF(AH!$U$4=0,"unavailable",INDEX('Market Data'!$AN$5:$AN$66,AH!$U$4)),IF(AH!$U$5=1,INDEX('Live History'!$B$5:$B$3004,$K1909),INDEX('AH History'!$D$5:$GG$1380,$K1909,AH!$U$10))))&gt;0),IF(AND(AH!$U$12=1,1904+1=AH!$U$6),IF(AH!$U$4=0,"unavailable",INDEX('Market Data'!$AN$5:$AN$66,AH!$U$4)),IF(AH!$U$5=1,INDEX('Live History'!$B$5:$B$3004,$K1909),INDEX('AH History'!$D$5:$GG$1380,$K1909,AH!$U$10))),NA()),NA())</f>
        <v/>
      </c>
      <c r="F1909" s="32">
        <f>IFERROR(IF(ISNUMBER($A1909),IF(AND(AH!$U$12=1,1904+1=AH!$U$6),IF(AH!$U$4=0,"unavailable",INDEX('Market Data'!$AO$5:$AO$66,AH!$U$4)),IF(AH!$U$5=1,INDEX('Live History'!$E$5:$E$3004,MATCH($A1909,'Live History'!$D$5:$D$3004,1)),INDEX('AH History'!$D$5:$GG$1380,$K1909,AH!$U$10+1))),NA()),NA())</f>
        <v/>
      </c>
      <c r="G1909" s="34">
        <f>IFERROR(IF(ISNUMBER($A1909),IF(AND(AH!$U$12=1,1904+1=AH!$U$6),IF(AH!$U$4=0,"unavailable",INDEX('Market Data'!$AK$5:$AK$66,AH!$U$4)),IF(AH!$U$5=1,INDEX('Live History'!$D$5:$D$3004,MATCH($A1909,'Live History'!$D$5:$D$3004,1)),INDEX('AH History'!$D$5:$GG$1380,$K1909,AH!$U$10+2))),NA()),NA())</f>
        <v/>
      </c>
      <c r="H1909" s="266">
        <f>IFERROR(IF(ISNUMBER($A1909),IF(AND(AH!$U$12=1,1904+1=AH!$U$6),IF(AH!$U$4=0,"unavailable",INDEX('Market Data'!$AP$5:$AP$66,AH!$U$4)),IF(AH!$U$5=1,INDEX('Live History'!$H$5:$H$3004,MATCH($A1909,'Live History'!$G$5:$G$3004,1)),INDEX('AH History'!$B$5:$B$1380,$K1909))),NA()),NA())</f>
        <v/>
      </c>
      <c r="I1909" s="34">
        <f>IFERROR(IF(ISNUMBER($A1909),IF(AND(AH!$U$12=1,1904+1=AH!$U$6),TODAY(),IF(AH!$U$5=1,INDEX('Live History'!$G$5:$G$3004,MATCH($A1909,'Live History'!$G$5:$G$3004,1)),INDEX('AH History'!$C$5:$C$1380,$K1909))),NA()),NA())</f>
        <v/>
      </c>
      <c r="J1909" s="32">
        <f>IFERROR(IF(AND($F1909&gt;0,$H1909&gt;0,$A1909-$G1909&lt;=10,$A1909-$I1909&lt;=5,$G1909&gt;0,$I1909&gt;0),$F1909*$H1909,NA()),NA())</f>
        <v/>
      </c>
      <c r="K1909" s="15">
        <f>IF($A1909="","",IF(AH!$U$5=1,IFERROR(MATCH($A1909,'Live History'!$A$5:$A$3004,0),0),AH!$U$7+1904))</f>
        <v/>
      </c>
      <c r="L1909" s="15">
        <f>IF(ISNUMBER(A1909),TEXT(A1909,"dd-mmm-yy"),"")</f>
        <v/>
      </c>
    </row>
    <row r="1910">
      <c r="A1910" s="14">
        <f>IF(OR(AH!$U$4=0,1905+1&gt;AH!$U$6,AND(AH!$M$5="Bloomberg",AH!$U$5=0)),"",IFERROR(IF(AND(AH!$U$12=1,1905+1=AH!$U$6),TODAY(),IF(AH!$U$5=1,INDEX('Live History'!$A$5:$A$3004,AH!$U$7+1905),INDEX('AH History'!$A$5:$A$1380,AH!$U$7+1905))),""))</f>
        <v/>
      </c>
      <c r="B1910" s="33">
        <f>IFERROR(IF(AH!$U$11=1,NA(),$J1910/$E1910-1),NA())</f>
        <v/>
      </c>
      <c r="C1910" s="269">
        <f>IFERROR(100*$E1910/$E$5,NA())</f>
        <v/>
      </c>
      <c r="D1910" s="269">
        <f>IFERROR(100*$J1910/$J$5,NA())</f>
        <v/>
      </c>
      <c r="E1910" s="32">
        <f>IFERROR(IF(AND(ISNUMBER($A1910),N(IF(AND(AH!$U$12=1,1905+1=AH!$U$6),IF(AH!$U$4=0,"unavailable",INDEX('Market Data'!$AN$5:$AN$66,AH!$U$4)),IF(AH!$U$5=1,INDEX('Live History'!$B$5:$B$3004,$K1910),INDEX('AH History'!$D$5:$GG$1380,$K1910,AH!$U$10))))&gt;0),IF(AND(AH!$U$12=1,1905+1=AH!$U$6),IF(AH!$U$4=0,"unavailable",INDEX('Market Data'!$AN$5:$AN$66,AH!$U$4)),IF(AH!$U$5=1,INDEX('Live History'!$B$5:$B$3004,$K1910),INDEX('AH History'!$D$5:$GG$1380,$K1910,AH!$U$10))),NA()),NA())</f>
        <v/>
      </c>
      <c r="F1910" s="32">
        <f>IFERROR(IF(ISNUMBER($A1910),IF(AND(AH!$U$12=1,1905+1=AH!$U$6),IF(AH!$U$4=0,"unavailable",INDEX('Market Data'!$AO$5:$AO$66,AH!$U$4)),IF(AH!$U$5=1,INDEX('Live History'!$E$5:$E$3004,MATCH($A1910,'Live History'!$D$5:$D$3004,1)),INDEX('AH History'!$D$5:$GG$1380,$K1910,AH!$U$10+1))),NA()),NA())</f>
        <v/>
      </c>
      <c r="G1910" s="34">
        <f>IFERROR(IF(ISNUMBER($A1910),IF(AND(AH!$U$12=1,1905+1=AH!$U$6),IF(AH!$U$4=0,"unavailable",INDEX('Market Data'!$AK$5:$AK$66,AH!$U$4)),IF(AH!$U$5=1,INDEX('Live History'!$D$5:$D$3004,MATCH($A1910,'Live History'!$D$5:$D$3004,1)),INDEX('AH History'!$D$5:$GG$1380,$K1910,AH!$U$10+2))),NA()),NA())</f>
        <v/>
      </c>
      <c r="H1910" s="266">
        <f>IFERROR(IF(ISNUMBER($A1910),IF(AND(AH!$U$12=1,1905+1=AH!$U$6),IF(AH!$U$4=0,"unavailable",INDEX('Market Data'!$AP$5:$AP$66,AH!$U$4)),IF(AH!$U$5=1,INDEX('Live History'!$H$5:$H$3004,MATCH($A1910,'Live History'!$G$5:$G$3004,1)),INDEX('AH History'!$B$5:$B$1380,$K1910))),NA()),NA())</f>
        <v/>
      </c>
      <c r="I1910" s="34">
        <f>IFERROR(IF(ISNUMBER($A1910),IF(AND(AH!$U$12=1,1905+1=AH!$U$6),TODAY(),IF(AH!$U$5=1,INDEX('Live History'!$G$5:$G$3004,MATCH($A1910,'Live History'!$G$5:$G$3004,1)),INDEX('AH History'!$C$5:$C$1380,$K1910))),NA()),NA())</f>
        <v/>
      </c>
      <c r="J1910" s="32">
        <f>IFERROR(IF(AND($F1910&gt;0,$H1910&gt;0,$A1910-$G1910&lt;=10,$A1910-$I1910&lt;=5,$G1910&gt;0,$I1910&gt;0),$F1910*$H1910,NA()),NA())</f>
        <v/>
      </c>
      <c r="K1910" s="15">
        <f>IF($A1910="","",IF(AH!$U$5=1,IFERROR(MATCH($A1910,'Live History'!$A$5:$A$3004,0),0),AH!$U$7+1905))</f>
        <v/>
      </c>
      <c r="L1910" s="15">
        <f>IF(ISNUMBER(A1910),TEXT(A1910,"dd-mmm-yy"),"")</f>
        <v/>
      </c>
    </row>
    <row r="1911">
      <c r="A1911" s="14">
        <f>IF(OR(AH!$U$4=0,1906+1&gt;AH!$U$6,AND(AH!$M$5="Bloomberg",AH!$U$5=0)),"",IFERROR(IF(AND(AH!$U$12=1,1906+1=AH!$U$6),TODAY(),IF(AH!$U$5=1,INDEX('Live History'!$A$5:$A$3004,AH!$U$7+1906),INDEX('AH History'!$A$5:$A$1380,AH!$U$7+1906))),""))</f>
        <v/>
      </c>
      <c r="B1911" s="33">
        <f>IFERROR(IF(AH!$U$11=1,NA(),$J1911/$E1911-1),NA())</f>
        <v/>
      </c>
      <c r="C1911" s="269">
        <f>IFERROR(100*$E1911/$E$5,NA())</f>
        <v/>
      </c>
      <c r="D1911" s="269">
        <f>IFERROR(100*$J1911/$J$5,NA())</f>
        <v/>
      </c>
      <c r="E1911" s="32">
        <f>IFERROR(IF(AND(ISNUMBER($A1911),N(IF(AND(AH!$U$12=1,1906+1=AH!$U$6),IF(AH!$U$4=0,"unavailable",INDEX('Market Data'!$AN$5:$AN$66,AH!$U$4)),IF(AH!$U$5=1,INDEX('Live History'!$B$5:$B$3004,$K1911),INDEX('AH History'!$D$5:$GG$1380,$K1911,AH!$U$10))))&gt;0),IF(AND(AH!$U$12=1,1906+1=AH!$U$6),IF(AH!$U$4=0,"unavailable",INDEX('Market Data'!$AN$5:$AN$66,AH!$U$4)),IF(AH!$U$5=1,INDEX('Live History'!$B$5:$B$3004,$K1911),INDEX('AH History'!$D$5:$GG$1380,$K1911,AH!$U$10))),NA()),NA())</f>
        <v/>
      </c>
      <c r="F1911" s="32">
        <f>IFERROR(IF(ISNUMBER($A1911),IF(AND(AH!$U$12=1,1906+1=AH!$U$6),IF(AH!$U$4=0,"unavailable",INDEX('Market Data'!$AO$5:$AO$66,AH!$U$4)),IF(AH!$U$5=1,INDEX('Live History'!$E$5:$E$3004,MATCH($A1911,'Live History'!$D$5:$D$3004,1)),INDEX('AH History'!$D$5:$GG$1380,$K1911,AH!$U$10+1))),NA()),NA())</f>
        <v/>
      </c>
      <c r="G1911" s="34">
        <f>IFERROR(IF(ISNUMBER($A1911),IF(AND(AH!$U$12=1,1906+1=AH!$U$6),IF(AH!$U$4=0,"unavailable",INDEX('Market Data'!$AK$5:$AK$66,AH!$U$4)),IF(AH!$U$5=1,INDEX('Live History'!$D$5:$D$3004,MATCH($A1911,'Live History'!$D$5:$D$3004,1)),INDEX('AH History'!$D$5:$GG$1380,$K1911,AH!$U$10+2))),NA()),NA())</f>
        <v/>
      </c>
      <c r="H1911" s="266">
        <f>IFERROR(IF(ISNUMBER($A1911),IF(AND(AH!$U$12=1,1906+1=AH!$U$6),IF(AH!$U$4=0,"unavailable",INDEX('Market Data'!$AP$5:$AP$66,AH!$U$4)),IF(AH!$U$5=1,INDEX('Live History'!$H$5:$H$3004,MATCH($A1911,'Live History'!$G$5:$G$3004,1)),INDEX('AH History'!$B$5:$B$1380,$K1911))),NA()),NA())</f>
        <v/>
      </c>
      <c r="I1911" s="34">
        <f>IFERROR(IF(ISNUMBER($A1911),IF(AND(AH!$U$12=1,1906+1=AH!$U$6),TODAY(),IF(AH!$U$5=1,INDEX('Live History'!$G$5:$G$3004,MATCH($A1911,'Live History'!$G$5:$G$3004,1)),INDEX('AH History'!$C$5:$C$1380,$K1911))),NA()),NA())</f>
        <v/>
      </c>
      <c r="J1911" s="32">
        <f>IFERROR(IF(AND($F1911&gt;0,$H1911&gt;0,$A1911-$G1911&lt;=10,$A1911-$I1911&lt;=5,$G1911&gt;0,$I1911&gt;0),$F1911*$H1911,NA()),NA())</f>
        <v/>
      </c>
      <c r="K1911" s="15">
        <f>IF($A1911="","",IF(AH!$U$5=1,IFERROR(MATCH($A1911,'Live History'!$A$5:$A$3004,0),0),AH!$U$7+1906))</f>
        <v/>
      </c>
      <c r="L1911" s="15">
        <f>IF(ISNUMBER(A1911),TEXT(A1911,"dd-mmm-yy"),"")</f>
        <v/>
      </c>
    </row>
    <row r="1912">
      <c r="A1912" s="14">
        <f>IF(OR(AH!$U$4=0,1907+1&gt;AH!$U$6,AND(AH!$M$5="Bloomberg",AH!$U$5=0)),"",IFERROR(IF(AND(AH!$U$12=1,1907+1=AH!$U$6),TODAY(),IF(AH!$U$5=1,INDEX('Live History'!$A$5:$A$3004,AH!$U$7+1907),INDEX('AH History'!$A$5:$A$1380,AH!$U$7+1907))),""))</f>
        <v/>
      </c>
      <c r="B1912" s="33">
        <f>IFERROR(IF(AH!$U$11=1,NA(),$J1912/$E1912-1),NA())</f>
        <v/>
      </c>
      <c r="C1912" s="269">
        <f>IFERROR(100*$E1912/$E$5,NA())</f>
        <v/>
      </c>
      <c r="D1912" s="269">
        <f>IFERROR(100*$J1912/$J$5,NA())</f>
        <v/>
      </c>
      <c r="E1912" s="32">
        <f>IFERROR(IF(AND(ISNUMBER($A1912),N(IF(AND(AH!$U$12=1,1907+1=AH!$U$6),IF(AH!$U$4=0,"unavailable",INDEX('Market Data'!$AN$5:$AN$66,AH!$U$4)),IF(AH!$U$5=1,INDEX('Live History'!$B$5:$B$3004,$K1912),INDEX('AH History'!$D$5:$GG$1380,$K1912,AH!$U$10))))&gt;0),IF(AND(AH!$U$12=1,1907+1=AH!$U$6),IF(AH!$U$4=0,"unavailable",INDEX('Market Data'!$AN$5:$AN$66,AH!$U$4)),IF(AH!$U$5=1,INDEX('Live History'!$B$5:$B$3004,$K1912),INDEX('AH History'!$D$5:$GG$1380,$K1912,AH!$U$10))),NA()),NA())</f>
        <v/>
      </c>
      <c r="F1912" s="32">
        <f>IFERROR(IF(ISNUMBER($A1912),IF(AND(AH!$U$12=1,1907+1=AH!$U$6),IF(AH!$U$4=0,"unavailable",INDEX('Market Data'!$AO$5:$AO$66,AH!$U$4)),IF(AH!$U$5=1,INDEX('Live History'!$E$5:$E$3004,MATCH($A1912,'Live History'!$D$5:$D$3004,1)),INDEX('AH History'!$D$5:$GG$1380,$K1912,AH!$U$10+1))),NA()),NA())</f>
        <v/>
      </c>
      <c r="G1912" s="34">
        <f>IFERROR(IF(ISNUMBER($A1912),IF(AND(AH!$U$12=1,1907+1=AH!$U$6),IF(AH!$U$4=0,"unavailable",INDEX('Market Data'!$AK$5:$AK$66,AH!$U$4)),IF(AH!$U$5=1,INDEX('Live History'!$D$5:$D$3004,MATCH($A1912,'Live History'!$D$5:$D$3004,1)),INDEX('AH History'!$D$5:$GG$1380,$K1912,AH!$U$10+2))),NA()),NA())</f>
        <v/>
      </c>
      <c r="H1912" s="266">
        <f>IFERROR(IF(ISNUMBER($A1912),IF(AND(AH!$U$12=1,1907+1=AH!$U$6),IF(AH!$U$4=0,"unavailable",INDEX('Market Data'!$AP$5:$AP$66,AH!$U$4)),IF(AH!$U$5=1,INDEX('Live History'!$H$5:$H$3004,MATCH($A1912,'Live History'!$G$5:$G$3004,1)),INDEX('AH History'!$B$5:$B$1380,$K1912))),NA()),NA())</f>
        <v/>
      </c>
      <c r="I1912" s="34">
        <f>IFERROR(IF(ISNUMBER($A1912),IF(AND(AH!$U$12=1,1907+1=AH!$U$6),TODAY(),IF(AH!$U$5=1,INDEX('Live History'!$G$5:$G$3004,MATCH($A1912,'Live History'!$G$5:$G$3004,1)),INDEX('AH History'!$C$5:$C$1380,$K1912))),NA()),NA())</f>
        <v/>
      </c>
      <c r="J1912" s="32">
        <f>IFERROR(IF(AND($F1912&gt;0,$H1912&gt;0,$A1912-$G1912&lt;=10,$A1912-$I1912&lt;=5,$G1912&gt;0,$I1912&gt;0),$F1912*$H1912,NA()),NA())</f>
        <v/>
      </c>
      <c r="K1912" s="15">
        <f>IF($A1912="","",IF(AH!$U$5=1,IFERROR(MATCH($A1912,'Live History'!$A$5:$A$3004,0),0),AH!$U$7+1907))</f>
        <v/>
      </c>
      <c r="L1912" s="15">
        <f>IF(ISNUMBER(A1912),TEXT(A1912,"dd-mmm-yy"),"")</f>
        <v/>
      </c>
    </row>
    <row r="1913">
      <c r="A1913" s="14">
        <f>IF(OR(AH!$U$4=0,1908+1&gt;AH!$U$6,AND(AH!$M$5="Bloomberg",AH!$U$5=0)),"",IFERROR(IF(AND(AH!$U$12=1,1908+1=AH!$U$6),TODAY(),IF(AH!$U$5=1,INDEX('Live History'!$A$5:$A$3004,AH!$U$7+1908),INDEX('AH History'!$A$5:$A$1380,AH!$U$7+1908))),""))</f>
        <v/>
      </c>
      <c r="B1913" s="33">
        <f>IFERROR(IF(AH!$U$11=1,NA(),$J1913/$E1913-1),NA())</f>
        <v/>
      </c>
      <c r="C1913" s="269">
        <f>IFERROR(100*$E1913/$E$5,NA())</f>
        <v/>
      </c>
      <c r="D1913" s="269">
        <f>IFERROR(100*$J1913/$J$5,NA())</f>
        <v/>
      </c>
      <c r="E1913" s="32">
        <f>IFERROR(IF(AND(ISNUMBER($A1913),N(IF(AND(AH!$U$12=1,1908+1=AH!$U$6),IF(AH!$U$4=0,"unavailable",INDEX('Market Data'!$AN$5:$AN$66,AH!$U$4)),IF(AH!$U$5=1,INDEX('Live History'!$B$5:$B$3004,$K1913),INDEX('AH History'!$D$5:$GG$1380,$K1913,AH!$U$10))))&gt;0),IF(AND(AH!$U$12=1,1908+1=AH!$U$6),IF(AH!$U$4=0,"unavailable",INDEX('Market Data'!$AN$5:$AN$66,AH!$U$4)),IF(AH!$U$5=1,INDEX('Live History'!$B$5:$B$3004,$K1913),INDEX('AH History'!$D$5:$GG$1380,$K1913,AH!$U$10))),NA()),NA())</f>
        <v/>
      </c>
      <c r="F1913" s="32">
        <f>IFERROR(IF(ISNUMBER($A1913),IF(AND(AH!$U$12=1,1908+1=AH!$U$6),IF(AH!$U$4=0,"unavailable",INDEX('Market Data'!$AO$5:$AO$66,AH!$U$4)),IF(AH!$U$5=1,INDEX('Live History'!$E$5:$E$3004,MATCH($A1913,'Live History'!$D$5:$D$3004,1)),INDEX('AH History'!$D$5:$GG$1380,$K1913,AH!$U$10+1))),NA()),NA())</f>
        <v/>
      </c>
      <c r="G1913" s="34">
        <f>IFERROR(IF(ISNUMBER($A1913),IF(AND(AH!$U$12=1,1908+1=AH!$U$6),IF(AH!$U$4=0,"unavailable",INDEX('Market Data'!$AK$5:$AK$66,AH!$U$4)),IF(AH!$U$5=1,INDEX('Live History'!$D$5:$D$3004,MATCH($A1913,'Live History'!$D$5:$D$3004,1)),INDEX('AH History'!$D$5:$GG$1380,$K1913,AH!$U$10+2))),NA()),NA())</f>
        <v/>
      </c>
      <c r="H1913" s="266">
        <f>IFERROR(IF(ISNUMBER($A1913),IF(AND(AH!$U$12=1,1908+1=AH!$U$6),IF(AH!$U$4=0,"unavailable",INDEX('Market Data'!$AP$5:$AP$66,AH!$U$4)),IF(AH!$U$5=1,INDEX('Live History'!$H$5:$H$3004,MATCH($A1913,'Live History'!$G$5:$G$3004,1)),INDEX('AH History'!$B$5:$B$1380,$K1913))),NA()),NA())</f>
        <v/>
      </c>
      <c r="I1913" s="34">
        <f>IFERROR(IF(ISNUMBER($A1913),IF(AND(AH!$U$12=1,1908+1=AH!$U$6),TODAY(),IF(AH!$U$5=1,INDEX('Live History'!$G$5:$G$3004,MATCH($A1913,'Live History'!$G$5:$G$3004,1)),INDEX('AH History'!$C$5:$C$1380,$K1913))),NA()),NA())</f>
        <v/>
      </c>
      <c r="J1913" s="32">
        <f>IFERROR(IF(AND($F1913&gt;0,$H1913&gt;0,$A1913-$G1913&lt;=10,$A1913-$I1913&lt;=5,$G1913&gt;0,$I1913&gt;0),$F1913*$H1913,NA()),NA())</f>
        <v/>
      </c>
      <c r="K1913" s="15">
        <f>IF($A1913="","",IF(AH!$U$5=1,IFERROR(MATCH($A1913,'Live History'!$A$5:$A$3004,0),0),AH!$U$7+1908))</f>
        <v/>
      </c>
      <c r="L1913" s="15">
        <f>IF(ISNUMBER(A1913),TEXT(A1913,"dd-mmm-yy"),"")</f>
        <v/>
      </c>
    </row>
    <row r="1914">
      <c r="A1914" s="14">
        <f>IF(OR(AH!$U$4=0,1909+1&gt;AH!$U$6,AND(AH!$M$5="Bloomberg",AH!$U$5=0)),"",IFERROR(IF(AND(AH!$U$12=1,1909+1=AH!$U$6),TODAY(),IF(AH!$U$5=1,INDEX('Live History'!$A$5:$A$3004,AH!$U$7+1909),INDEX('AH History'!$A$5:$A$1380,AH!$U$7+1909))),""))</f>
        <v/>
      </c>
      <c r="B1914" s="33">
        <f>IFERROR(IF(AH!$U$11=1,NA(),$J1914/$E1914-1),NA())</f>
        <v/>
      </c>
      <c r="C1914" s="269">
        <f>IFERROR(100*$E1914/$E$5,NA())</f>
        <v/>
      </c>
      <c r="D1914" s="269">
        <f>IFERROR(100*$J1914/$J$5,NA())</f>
        <v/>
      </c>
      <c r="E1914" s="32">
        <f>IFERROR(IF(AND(ISNUMBER($A1914),N(IF(AND(AH!$U$12=1,1909+1=AH!$U$6),IF(AH!$U$4=0,"unavailable",INDEX('Market Data'!$AN$5:$AN$66,AH!$U$4)),IF(AH!$U$5=1,INDEX('Live History'!$B$5:$B$3004,$K1914),INDEX('AH History'!$D$5:$GG$1380,$K1914,AH!$U$10))))&gt;0),IF(AND(AH!$U$12=1,1909+1=AH!$U$6),IF(AH!$U$4=0,"unavailable",INDEX('Market Data'!$AN$5:$AN$66,AH!$U$4)),IF(AH!$U$5=1,INDEX('Live History'!$B$5:$B$3004,$K1914),INDEX('AH History'!$D$5:$GG$1380,$K1914,AH!$U$10))),NA()),NA())</f>
        <v/>
      </c>
      <c r="F1914" s="32">
        <f>IFERROR(IF(ISNUMBER($A1914),IF(AND(AH!$U$12=1,1909+1=AH!$U$6),IF(AH!$U$4=0,"unavailable",INDEX('Market Data'!$AO$5:$AO$66,AH!$U$4)),IF(AH!$U$5=1,INDEX('Live History'!$E$5:$E$3004,MATCH($A1914,'Live History'!$D$5:$D$3004,1)),INDEX('AH History'!$D$5:$GG$1380,$K1914,AH!$U$10+1))),NA()),NA())</f>
        <v/>
      </c>
      <c r="G1914" s="34">
        <f>IFERROR(IF(ISNUMBER($A1914),IF(AND(AH!$U$12=1,1909+1=AH!$U$6),IF(AH!$U$4=0,"unavailable",INDEX('Market Data'!$AK$5:$AK$66,AH!$U$4)),IF(AH!$U$5=1,INDEX('Live History'!$D$5:$D$3004,MATCH($A1914,'Live History'!$D$5:$D$3004,1)),INDEX('AH History'!$D$5:$GG$1380,$K1914,AH!$U$10+2))),NA()),NA())</f>
        <v/>
      </c>
      <c r="H1914" s="266">
        <f>IFERROR(IF(ISNUMBER($A1914),IF(AND(AH!$U$12=1,1909+1=AH!$U$6),IF(AH!$U$4=0,"unavailable",INDEX('Market Data'!$AP$5:$AP$66,AH!$U$4)),IF(AH!$U$5=1,INDEX('Live History'!$H$5:$H$3004,MATCH($A1914,'Live History'!$G$5:$G$3004,1)),INDEX('AH History'!$B$5:$B$1380,$K1914))),NA()),NA())</f>
        <v/>
      </c>
      <c r="I1914" s="34">
        <f>IFERROR(IF(ISNUMBER($A1914),IF(AND(AH!$U$12=1,1909+1=AH!$U$6),TODAY(),IF(AH!$U$5=1,INDEX('Live History'!$G$5:$G$3004,MATCH($A1914,'Live History'!$G$5:$G$3004,1)),INDEX('AH History'!$C$5:$C$1380,$K1914))),NA()),NA())</f>
        <v/>
      </c>
      <c r="J1914" s="32">
        <f>IFERROR(IF(AND($F1914&gt;0,$H1914&gt;0,$A1914-$G1914&lt;=10,$A1914-$I1914&lt;=5,$G1914&gt;0,$I1914&gt;0),$F1914*$H1914,NA()),NA())</f>
        <v/>
      </c>
      <c r="K1914" s="15">
        <f>IF($A1914="","",IF(AH!$U$5=1,IFERROR(MATCH($A1914,'Live History'!$A$5:$A$3004,0),0),AH!$U$7+1909))</f>
        <v/>
      </c>
      <c r="L1914" s="15">
        <f>IF(ISNUMBER(A1914),TEXT(A1914,"dd-mmm-yy"),"")</f>
        <v/>
      </c>
    </row>
    <row r="1915">
      <c r="A1915" s="14">
        <f>IF(OR(AH!$U$4=0,1910+1&gt;AH!$U$6,AND(AH!$M$5="Bloomberg",AH!$U$5=0)),"",IFERROR(IF(AND(AH!$U$12=1,1910+1=AH!$U$6),TODAY(),IF(AH!$U$5=1,INDEX('Live History'!$A$5:$A$3004,AH!$U$7+1910),INDEX('AH History'!$A$5:$A$1380,AH!$U$7+1910))),""))</f>
        <v/>
      </c>
      <c r="B1915" s="33">
        <f>IFERROR(IF(AH!$U$11=1,NA(),$J1915/$E1915-1),NA())</f>
        <v/>
      </c>
      <c r="C1915" s="269">
        <f>IFERROR(100*$E1915/$E$5,NA())</f>
        <v/>
      </c>
      <c r="D1915" s="269">
        <f>IFERROR(100*$J1915/$J$5,NA())</f>
        <v/>
      </c>
      <c r="E1915" s="32">
        <f>IFERROR(IF(AND(ISNUMBER($A1915),N(IF(AND(AH!$U$12=1,1910+1=AH!$U$6),IF(AH!$U$4=0,"unavailable",INDEX('Market Data'!$AN$5:$AN$66,AH!$U$4)),IF(AH!$U$5=1,INDEX('Live History'!$B$5:$B$3004,$K1915),INDEX('AH History'!$D$5:$GG$1380,$K1915,AH!$U$10))))&gt;0),IF(AND(AH!$U$12=1,1910+1=AH!$U$6),IF(AH!$U$4=0,"unavailable",INDEX('Market Data'!$AN$5:$AN$66,AH!$U$4)),IF(AH!$U$5=1,INDEX('Live History'!$B$5:$B$3004,$K1915),INDEX('AH History'!$D$5:$GG$1380,$K1915,AH!$U$10))),NA()),NA())</f>
        <v/>
      </c>
      <c r="F1915" s="32">
        <f>IFERROR(IF(ISNUMBER($A1915),IF(AND(AH!$U$12=1,1910+1=AH!$U$6),IF(AH!$U$4=0,"unavailable",INDEX('Market Data'!$AO$5:$AO$66,AH!$U$4)),IF(AH!$U$5=1,INDEX('Live History'!$E$5:$E$3004,MATCH($A1915,'Live History'!$D$5:$D$3004,1)),INDEX('AH History'!$D$5:$GG$1380,$K1915,AH!$U$10+1))),NA()),NA())</f>
        <v/>
      </c>
      <c r="G1915" s="34">
        <f>IFERROR(IF(ISNUMBER($A1915),IF(AND(AH!$U$12=1,1910+1=AH!$U$6),IF(AH!$U$4=0,"unavailable",INDEX('Market Data'!$AK$5:$AK$66,AH!$U$4)),IF(AH!$U$5=1,INDEX('Live History'!$D$5:$D$3004,MATCH($A1915,'Live History'!$D$5:$D$3004,1)),INDEX('AH History'!$D$5:$GG$1380,$K1915,AH!$U$10+2))),NA()),NA())</f>
        <v/>
      </c>
      <c r="H1915" s="266">
        <f>IFERROR(IF(ISNUMBER($A1915),IF(AND(AH!$U$12=1,1910+1=AH!$U$6),IF(AH!$U$4=0,"unavailable",INDEX('Market Data'!$AP$5:$AP$66,AH!$U$4)),IF(AH!$U$5=1,INDEX('Live History'!$H$5:$H$3004,MATCH($A1915,'Live History'!$G$5:$G$3004,1)),INDEX('AH History'!$B$5:$B$1380,$K1915))),NA()),NA())</f>
        <v/>
      </c>
      <c r="I1915" s="34">
        <f>IFERROR(IF(ISNUMBER($A1915),IF(AND(AH!$U$12=1,1910+1=AH!$U$6),TODAY(),IF(AH!$U$5=1,INDEX('Live History'!$G$5:$G$3004,MATCH($A1915,'Live History'!$G$5:$G$3004,1)),INDEX('AH History'!$C$5:$C$1380,$K1915))),NA()),NA())</f>
        <v/>
      </c>
      <c r="J1915" s="32">
        <f>IFERROR(IF(AND($F1915&gt;0,$H1915&gt;0,$A1915-$G1915&lt;=10,$A1915-$I1915&lt;=5,$G1915&gt;0,$I1915&gt;0),$F1915*$H1915,NA()),NA())</f>
        <v/>
      </c>
      <c r="K1915" s="15">
        <f>IF($A1915="","",IF(AH!$U$5=1,IFERROR(MATCH($A1915,'Live History'!$A$5:$A$3004,0),0),AH!$U$7+1910))</f>
        <v/>
      </c>
      <c r="L1915" s="15">
        <f>IF(ISNUMBER(A1915),TEXT(A1915,"dd-mmm-yy"),"")</f>
        <v/>
      </c>
    </row>
    <row r="1916">
      <c r="A1916" s="14">
        <f>IF(OR(AH!$U$4=0,1911+1&gt;AH!$U$6,AND(AH!$M$5="Bloomberg",AH!$U$5=0)),"",IFERROR(IF(AND(AH!$U$12=1,1911+1=AH!$U$6),TODAY(),IF(AH!$U$5=1,INDEX('Live History'!$A$5:$A$3004,AH!$U$7+1911),INDEX('AH History'!$A$5:$A$1380,AH!$U$7+1911))),""))</f>
        <v/>
      </c>
      <c r="B1916" s="33">
        <f>IFERROR(IF(AH!$U$11=1,NA(),$J1916/$E1916-1),NA())</f>
        <v/>
      </c>
      <c r="C1916" s="269">
        <f>IFERROR(100*$E1916/$E$5,NA())</f>
        <v/>
      </c>
      <c r="D1916" s="269">
        <f>IFERROR(100*$J1916/$J$5,NA())</f>
        <v/>
      </c>
      <c r="E1916" s="32">
        <f>IFERROR(IF(AND(ISNUMBER($A1916),N(IF(AND(AH!$U$12=1,1911+1=AH!$U$6),IF(AH!$U$4=0,"unavailable",INDEX('Market Data'!$AN$5:$AN$66,AH!$U$4)),IF(AH!$U$5=1,INDEX('Live History'!$B$5:$B$3004,$K1916),INDEX('AH History'!$D$5:$GG$1380,$K1916,AH!$U$10))))&gt;0),IF(AND(AH!$U$12=1,1911+1=AH!$U$6),IF(AH!$U$4=0,"unavailable",INDEX('Market Data'!$AN$5:$AN$66,AH!$U$4)),IF(AH!$U$5=1,INDEX('Live History'!$B$5:$B$3004,$K1916),INDEX('AH History'!$D$5:$GG$1380,$K1916,AH!$U$10))),NA()),NA())</f>
        <v/>
      </c>
      <c r="F1916" s="32">
        <f>IFERROR(IF(ISNUMBER($A1916),IF(AND(AH!$U$12=1,1911+1=AH!$U$6),IF(AH!$U$4=0,"unavailable",INDEX('Market Data'!$AO$5:$AO$66,AH!$U$4)),IF(AH!$U$5=1,INDEX('Live History'!$E$5:$E$3004,MATCH($A1916,'Live History'!$D$5:$D$3004,1)),INDEX('AH History'!$D$5:$GG$1380,$K1916,AH!$U$10+1))),NA()),NA())</f>
        <v/>
      </c>
      <c r="G1916" s="34">
        <f>IFERROR(IF(ISNUMBER($A1916),IF(AND(AH!$U$12=1,1911+1=AH!$U$6),IF(AH!$U$4=0,"unavailable",INDEX('Market Data'!$AK$5:$AK$66,AH!$U$4)),IF(AH!$U$5=1,INDEX('Live History'!$D$5:$D$3004,MATCH($A1916,'Live History'!$D$5:$D$3004,1)),INDEX('AH History'!$D$5:$GG$1380,$K1916,AH!$U$10+2))),NA()),NA())</f>
        <v/>
      </c>
      <c r="H1916" s="266">
        <f>IFERROR(IF(ISNUMBER($A1916),IF(AND(AH!$U$12=1,1911+1=AH!$U$6),IF(AH!$U$4=0,"unavailable",INDEX('Market Data'!$AP$5:$AP$66,AH!$U$4)),IF(AH!$U$5=1,INDEX('Live History'!$H$5:$H$3004,MATCH($A1916,'Live History'!$G$5:$G$3004,1)),INDEX('AH History'!$B$5:$B$1380,$K1916))),NA()),NA())</f>
        <v/>
      </c>
      <c r="I1916" s="34">
        <f>IFERROR(IF(ISNUMBER($A1916),IF(AND(AH!$U$12=1,1911+1=AH!$U$6),TODAY(),IF(AH!$U$5=1,INDEX('Live History'!$G$5:$G$3004,MATCH($A1916,'Live History'!$G$5:$G$3004,1)),INDEX('AH History'!$C$5:$C$1380,$K1916))),NA()),NA())</f>
        <v/>
      </c>
      <c r="J1916" s="32">
        <f>IFERROR(IF(AND($F1916&gt;0,$H1916&gt;0,$A1916-$G1916&lt;=10,$A1916-$I1916&lt;=5,$G1916&gt;0,$I1916&gt;0),$F1916*$H1916,NA()),NA())</f>
        <v/>
      </c>
      <c r="K1916" s="15">
        <f>IF($A1916="","",IF(AH!$U$5=1,IFERROR(MATCH($A1916,'Live History'!$A$5:$A$3004,0),0),AH!$U$7+1911))</f>
        <v/>
      </c>
      <c r="L1916" s="15">
        <f>IF(ISNUMBER(A1916),TEXT(A1916,"dd-mmm-yy"),"")</f>
        <v/>
      </c>
    </row>
    <row r="1917">
      <c r="A1917" s="14">
        <f>IF(OR(AH!$U$4=0,1912+1&gt;AH!$U$6,AND(AH!$M$5="Bloomberg",AH!$U$5=0)),"",IFERROR(IF(AND(AH!$U$12=1,1912+1=AH!$U$6),TODAY(),IF(AH!$U$5=1,INDEX('Live History'!$A$5:$A$3004,AH!$U$7+1912),INDEX('AH History'!$A$5:$A$1380,AH!$U$7+1912))),""))</f>
        <v/>
      </c>
      <c r="B1917" s="33">
        <f>IFERROR(IF(AH!$U$11=1,NA(),$J1917/$E1917-1),NA())</f>
        <v/>
      </c>
      <c r="C1917" s="269">
        <f>IFERROR(100*$E1917/$E$5,NA())</f>
        <v/>
      </c>
      <c r="D1917" s="269">
        <f>IFERROR(100*$J1917/$J$5,NA())</f>
        <v/>
      </c>
      <c r="E1917" s="32">
        <f>IFERROR(IF(AND(ISNUMBER($A1917),N(IF(AND(AH!$U$12=1,1912+1=AH!$U$6),IF(AH!$U$4=0,"unavailable",INDEX('Market Data'!$AN$5:$AN$66,AH!$U$4)),IF(AH!$U$5=1,INDEX('Live History'!$B$5:$B$3004,$K1917),INDEX('AH History'!$D$5:$GG$1380,$K1917,AH!$U$10))))&gt;0),IF(AND(AH!$U$12=1,1912+1=AH!$U$6),IF(AH!$U$4=0,"unavailable",INDEX('Market Data'!$AN$5:$AN$66,AH!$U$4)),IF(AH!$U$5=1,INDEX('Live History'!$B$5:$B$3004,$K1917),INDEX('AH History'!$D$5:$GG$1380,$K1917,AH!$U$10))),NA()),NA())</f>
        <v/>
      </c>
      <c r="F1917" s="32">
        <f>IFERROR(IF(ISNUMBER($A1917),IF(AND(AH!$U$12=1,1912+1=AH!$U$6),IF(AH!$U$4=0,"unavailable",INDEX('Market Data'!$AO$5:$AO$66,AH!$U$4)),IF(AH!$U$5=1,INDEX('Live History'!$E$5:$E$3004,MATCH($A1917,'Live History'!$D$5:$D$3004,1)),INDEX('AH History'!$D$5:$GG$1380,$K1917,AH!$U$10+1))),NA()),NA())</f>
        <v/>
      </c>
      <c r="G1917" s="34">
        <f>IFERROR(IF(ISNUMBER($A1917),IF(AND(AH!$U$12=1,1912+1=AH!$U$6),IF(AH!$U$4=0,"unavailable",INDEX('Market Data'!$AK$5:$AK$66,AH!$U$4)),IF(AH!$U$5=1,INDEX('Live History'!$D$5:$D$3004,MATCH($A1917,'Live History'!$D$5:$D$3004,1)),INDEX('AH History'!$D$5:$GG$1380,$K1917,AH!$U$10+2))),NA()),NA())</f>
        <v/>
      </c>
      <c r="H1917" s="266">
        <f>IFERROR(IF(ISNUMBER($A1917),IF(AND(AH!$U$12=1,1912+1=AH!$U$6),IF(AH!$U$4=0,"unavailable",INDEX('Market Data'!$AP$5:$AP$66,AH!$U$4)),IF(AH!$U$5=1,INDEX('Live History'!$H$5:$H$3004,MATCH($A1917,'Live History'!$G$5:$G$3004,1)),INDEX('AH History'!$B$5:$B$1380,$K1917))),NA()),NA())</f>
        <v/>
      </c>
      <c r="I1917" s="34">
        <f>IFERROR(IF(ISNUMBER($A1917),IF(AND(AH!$U$12=1,1912+1=AH!$U$6),TODAY(),IF(AH!$U$5=1,INDEX('Live History'!$G$5:$G$3004,MATCH($A1917,'Live History'!$G$5:$G$3004,1)),INDEX('AH History'!$C$5:$C$1380,$K1917))),NA()),NA())</f>
        <v/>
      </c>
      <c r="J1917" s="32">
        <f>IFERROR(IF(AND($F1917&gt;0,$H1917&gt;0,$A1917-$G1917&lt;=10,$A1917-$I1917&lt;=5,$G1917&gt;0,$I1917&gt;0),$F1917*$H1917,NA()),NA())</f>
        <v/>
      </c>
      <c r="K1917" s="15">
        <f>IF($A1917="","",IF(AH!$U$5=1,IFERROR(MATCH($A1917,'Live History'!$A$5:$A$3004,0),0),AH!$U$7+1912))</f>
        <v/>
      </c>
      <c r="L1917" s="15">
        <f>IF(ISNUMBER(A1917),TEXT(A1917,"dd-mmm-yy"),"")</f>
        <v/>
      </c>
    </row>
    <row r="1918">
      <c r="A1918" s="14">
        <f>IF(OR(AH!$U$4=0,1913+1&gt;AH!$U$6,AND(AH!$M$5="Bloomberg",AH!$U$5=0)),"",IFERROR(IF(AND(AH!$U$12=1,1913+1=AH!$U$6),TODAY(),IF(AH!$U$5=1,INDEX('Live History'!$A$5:$A$3004,AH!$U$7+1913),INDEX('AH History'!$A$5:$A$1380,AH!$U$7+1913))),""))</f>
        <v/>
      </c>
      <c r="B1918" s="33">
        <f>IFERROR(IF(AH!$U$11=1,NA(),$J1918/$E1918-1),NA())</f>
        <v/>
      </c>
      <c r="C1918" s="269">
        <f>IFERROR(100*$E1918/$E$5,NA())</f>
        <v/>
      </c>
      <c r="D1918" s="269">
        <f>IFERROR(100*$J1918/$J$5,NA())</f>
        <v/>
      </c>
      <c r="E1918" s="32">
        <f>IFERROR(IF(AND(ISNUMBER($A1918),N(IF(AND(AH!$U$12=1,1913+1=AH!$U$6),IF(AH!$U$4=0,"unavailable",INDEX('Market Data'!$AN$5:$AN$66,AH!$U$4)),IF(AH!$U$5=1,INDEX('Live History'!$B$5:$B$3004,$K1918),INDEX('AH History'!$D$5:$GG$1380,$K1918,AH!$U$10))))&gt;0),IF(AND(AH!$U$12=1,1913+1=AH!$U$6),IF(AH!$U$4=0,"unavailable",INDEX('Market Data'!$AN$5:$AN$66,AH!$U$4)),IF(AH!$U$5=1,INDEX('Live History'!$B$5:$B$3004,$K1918),INDEX('AH History'!$D$5:$GG$1380,$K1918,AH!$U$10))),NA()),NA())</f>
        <v/>
      </c>
      <c r="F1918" s="32">
        <f>IFERROR(IF(ISNUMBER($A1918),IF(AND(AH!$U$12=1,1913+1=AH!$U$6),IF(AH!$U$4=0,"unavailable",INDEX('Market Data'!$AO$5:$AO$66,AH!$U$4)),IF(AH!$U$5=1,INDEX('Live History'!$E$5:$E$3004,MATCH($A1918,'Live History'!$D$5:$D$3004,1)),INDEX('AH History'!$D$5:$GG$1380,$K1918,AH!$U$10+1))),NA()),NA())</f>
        <v/>
      </c>
      <c r="G1918" s="34">
        <f>IFERROR(IF(ISNUMBER($A1918),IF(AND(AH!$U$12=1,1913+1=AH!$U$6),IF(AH!$U$4=0,"unavailable",INDEX('Market Data'!$AK$5:$AK$66,AH!$U$4)),IF(AH!$U$5=1,INDEX('Live History'!$D$5:$D$3004,MATCH($A1918,'Live History'!$D$5:$D$3004,1)),INDEX('AH History'!$D$5:$GG$1380,$K1918,AH!$U$10+2))),NA()),NA())</f>
        <v/>
      </c>
      <c r="H1918" s="266">
        <f>IFERROR(IF(ISNUMBER($A1918),IF(AND(AH!$U$12=1,1913+1=AH!$U$6),IF(AH!$U$4=0,"unavailable",INDEX('Market Data'!$AP$5:$AP$66,AH!$U$4)),IF(AH!$U$5=1,INDEX('Live History'!$H$5:$H$3004,MATCH($A1918,'Live History'!$G$5:$G$3004,1)),INDEX('AH History'!$B$5:$B$1380,$K1918))),NA()),NA())</f>
        <v/>
      </c>
      <c r="I1918" s="34">
        <f>IFERROR(IF(ISNUMBER($A1918),IF(AND(AH!$U$12=1,1913+1=AH!$U$6),TODAY(),IF(AH!$U$5=1,INDEX('Live History'!$G$5:$G$3004,MATCH($A1918,'Live History'!$G$5:$G$3004,1)),INDEX('AH History'!$C$5:$C$1380,$K1918))),NA()),NA())</f>
        <v/>
      </c>
      <c r="J1918" s="32">
        <f>IFERROR(IF(AND($F1918&gt;0,$H1918&gt;0,$A1918-$G1918&lt;=10,$A1918-$I1918&lt;=5,$G1918&gt;0,$I1918&gt;0),$F1918*$H1918,NA()),NA())</f>
        <v/>
      </c>
      <c r="K1918" s="15">
        <f>IF($A1918="","",IF(AH!$U$5=1,IFERROR(MATCH($A1918,'Live History'!$A$5:$A$3004,0),0),AH!$U$7+1913))</f>
        <v/>
      </c>
      <c r="L1918" s="15">
        <f>IF(ISNUMBER(A1918),TEXT(A1918,"dd-mmm-yy"),"")</f>
        <v/>
      </c>
    </row>
    <row r="1919">
      <c r="A1919" s="14">
        <f>IF(OR(AH!$U$4=0,1914+1&gt;AH!$U$6,AND(AH!$M$5="Bloomberg",AH!$U$5=0)),"",IFERROR(IF(AND(AH!$U$12=1,1914+1=AH!$U$6),TODAY(),IF(AH!$U$5=1,INDEX('Live History'!$A$5:$A$3004,AH!$U$7+1914),INDEX('AH History'!$A$5:$A$1380,AH!$U$7+1914))),""))</f>
        <v/>
      </c>
      <c r="B1919" s="33">
        <f>IFERROR(IF(AH!$U$11=1,NA(),$J1919/$E1919-1),NA())</f>
        <v/>
      </c>
      <c r="C1919" s="269">
        <f>IFERROR(100*$E1919/$E$5,NA())</f>
        <v/>
      </c>
      <c r="D1919" s="269">
        <f>IFERROR(100*$J1919/$J$5,NA())</f>
        <v/>
      </c>
      <c r="E1919" s="32">
        <f>IFERROR(IF(AND(ISNUMBER($A1919),N(IF(AND(AH!$U$12=1,1914+1=AH!$U$6),IF(AH!$U$4=0,"unavailable",INDEX('Market Data'!$AN$5:$AN$66,AH!$U$4)),IF(AH!$U$5=1,INDEX('Live History'!$B$5:$B$3004,$K1919),INDEX('AH History'!$D$5:$GG$1380,$K1919,AH!$U$10))))&gt;0),IF(AND(AH!$U$12=1,1914+1=AH!$U$6),IF(AH!$U$4=0,"unavailable",INDEX('Market Data'!$AN$5:$AN$66,AH!$U$4)),IF(AH!$U$5=1,INDEX('Live History'!$B$5:$B$3004,$K1919),INDEX('AH History'!$D$5:$GG$1380,$K1919,AH!$U$10))),NA()),NA())</f>
        <v/>
      </c>
      <c r="F1919" s="32">
        <f>IFERROR(IF(ISNUMBER($A1919),IF(AND(AH!$U$12=1,1914+1=AH!$U$6),IF(AH!$U$4=0,"unavailable",INDEX('Market Data'!$AO$5:$AO$66,AH!$U$4)),IF(AH!$U$5=1,INDEX('Live History'!$E$5:$E$3004,MATCH($A1919,'Live History'!$D$5:$D$3004,1)),INDEX('AH History'!$D$5:$GG$1380,$K1919,AH!$U$10+1))),NA()),NA())</f>
        <v/>
      </c>
      <c r="G1919" s="34">
        <f>IFERROR(IF(ISNUMBER($A1919),IF(AND(AH!$U$12=1,1914+1=AH!$U$6),IF(AH!$U$4=0,"unavailable",INDEX('Market Data'!$AK$5:$AK$66,AH!$U$4)),IF(AH!$U$5=1,INDEX('Live History'!$D$5:$D$3004,MATCH($A1919,'Live History'!$D$5:$D$3004,1)),INDEX('AH History'!$D$5:$GG$1380,$K1919,AH!$U$10+2))),NA()),NA())</f>
        <v/>
      </c>
      <c r="H1919" s="266">
        <f>IFERROR(IF(ISNUMBER($A1919),IF(AND(AH!$U$12=1,1914+1=AH!$U$6),IF(AH!$U$4=0,"unavailable",INDEX('Market Data'!$AP$5:$AP$66,AH!$U$4)),IF(AH!$U$5=1,INDEX('Live History'!$H$5:$H$3004,MATCH($A1919,'Live History'!$G$5:$G$3004,1)),INDEX('AH History'!$B$5:$B$1380,$K1919))),NA()),NA())</f>
        <v/>
      </c>
      <c r="I1919" s="34">
        <f>IFERROR(IF(ISNUMBER($A1919),IF(AND(AH!$U$12=1,1914+1=AH!$U$6),TODAY(),IF(AH!$U$5=1,INDEX('Live History'!$G$5:$G$3004,MATCH($A1919,'Live History'!$G$5:$G$3004,1)),INDEX('AH History'!$C$5:$C$1380,$K1919))),NA()),NA())</f>
        <v/>
      </c>
      <c r="J1919" s="32">
        <f>IFERROR(IF(AND($F1919&gt;0,$H1919&gt;0,$A1919-$G1919&lt;=10,$A1919-$I1919&lt;=5,$G1919&gt;0,$I1919&gt;0),$F1919*$H1919,NA()),NA())</f>
        <v/>
      </c>
      <c r="K1919" s="15">
        <f>IF($A1919="","",IF(AH!$U$5=1,IFERROR(MATCH($A1919,'Live History'!$A$5:$A$3004,0),0),AH!$U$7+1914))</f>
        <v/>
      </c>
      <c r="L1919" s="15">
        <f>IF(ISNUMBER(A1919),TEXT(A1919,"dd-mmm-yy"),"")</f>
        <v/>
      </c>
    </row>
    <row r="1920">
      <c r="A1920" s="14">
        <f>IF(OR(AH!$U$4=0,1915+1&gt;AH!$U$6,AND(AH!$M$5="Bloomberg",AH!$U$5=0)),"",IFERROR(IF(AND(AH!$U$12=1,1915+1=AH!$U$6),TODAY(),IF(AH!$U$5=1,INDEX('Live History'!$A$5:$A$3004,AH!$U$7+1915),INDEX('AH History'!$A$5:$A$1380,AH!$U$7+1915))),""))</f>
        <v/>
      </c>
      <c r="B1920" s="33">
        <f>IFERROR(IF(AH!$U$11=1,NA(),$J1920/$E1920-1),NA())</f>
        <v/>
      </c>
      <c r="C1920" s="269">
        <f>IFERROR(100*$E1920/$E$5,NA())</f>
        <v/>
      </c>
      <c r="D1920" s="269">
        <f>IFERROR(100*$J1920/$J$5,NA())</f>
        <v/>
      </c>
      <c r="E1920" s="32">
        <f>IFERROR(IF(AND(ISNUMBER($A1920),N(IF(AND(AH!$U$12=1,1915+1=AH!$U$6),IF(AH!$U$4=0,"unavailable",INDEX('Market Data'!$AN$5:$AN$66,AH!$U$4)),IF(AH!$U$5=1,INDEX('Live History'!$B$5:$B$3004,$K1920),INDEX('AH History'!$D$5:$GG$1380,$K1920,AH!$U$10))))&gt;0),IF(AND(AH!$U$12=1,1915+1=AH!$U$6),IF(AH!$U$4=0,"unavailable",INDEX('Market Data'!$AN$5:$AN$66,AH!$U$4)),IF(AH!$U$5=1,INDEX('Live History'!$B$5:$B$3004,$K1920),INDEX('AH History'!$D$5:$GG$1380,$K1920,AH!$U$10))),NA()),NA())</f>
        <v/>
      </c>
      <c r="F1920" s="32">
        <f>IFERROR(IF(ISNUMBER($A1920),IF(AND(AH!$U$12=1,1915+1=AH!$U$6),IF(AH!$U$4=0,"unavailable",INDEX('Market Data'!$AO$5:$AO$66,AH!$U$4)),IF(AH!$U$5=1,INDEX('Live History'!$E$5:$E$3004,MATCH($A1920,'Live History'!$D$5:$D$3004,1)),INDEX('AH History'!$D$5:$GG$1380,$K1920,AH!$U$10+1))),NA()),NA())</f>
        <v/>
      </c>
      <c r="G1920" s="34">
        <f>IFERROR(IF(ISNUMBER($A1920),IF(AND(AH!$U$12=1,1915+1=AH!$U$6),IF(AH!$U$4=0,"unavailable",INDEX('Market Data'!$AK$5:$AK$66,AH!$U$4)),IF(AH!$U$5=1,INDEX('Live History'!$D$5:$D$3004,MATCH($A1920,'Live History'!$D$5:$D$3004,1)),INDEX('AH History'!$D$5:$GG$1380,$K1920,AH!$U$10+2))),NA()),NA())</f>
        <v/>
      </c>
      <c r="H1920" s="266">
        <f>IFERROR(IF(ISNUMBER($A1920),IF(AND(AH!$U$12=1,1915+1=AH!$U$6),IF(AH!$U$4=0,"unavailable",INDEX('Market Data'!$AP$5:$AP$66,AH!$U$4)),IF(AH!$U$5=1,INDEX('Live History'!$H$5:$H$3004,MATCH($A1920,'Live History'!$G$5:$G$3004,1)),INDEX('AH History'!$B$5:$B$1380,$K1920))),NA()),NA())</f>
        <v/>
      </c>
      <c r="I1920" s="34">
        <f>IFERROR(IF(ISNUMBER($A1920),IF(AND(AH!$U$12=1,1915+1=AH!$U$6),TODAY(),IF(AH!$U$5=1,INDEX('Live History'!$G$5:$G$3004,MATCH($A1920,'Live History'!$G$5:$G$3004,1)),INDEX('AH History'!$C$5:$C$1380,$K1920))),NA()),NA())</f>
        <v/>
      </c>
      <c r="J1920" s="32">
        <f>IFERROR(IF(AND($F1920&gt;0,$H1920&gt;0,$A1920-$G1920&lt;=10,$A1920-$I1920&lt;=5,$G1920&gt;0,$I1920&gt;0),$F1920*$H1920,NA()),NA())</f>
        <v/>
      </c>
      <c r="K1920" s="15">
        <f>IF($A1920="","",IF(AH!$U$5=1,IFERROR(MATCH($A1920,'Live History'!$A$5:$A$3004,0),0),AH!$U$7+1915))</f>
        <v/>
      </c>
      <c r="L1920" s="15">
        <f>IF(ISNUMBER(A1920),TEXT(A1920,"dd-mmm-yy"),"")</f>
        <v/>
      </c>
    </row>
    <row r="1921">
      <c r="A1921" s="14">
        <f>IF(OR(AH!$U$4=0,1916+1&gt;AH!$U$6,AND(AH!$M$5="Bloomberg",AH!$U$5=0)),"",IFERROR(IF(AND(AH!$U$12=1,1916+1=AH!$U$6),TODAY(),IF(AH!$U$5=1,INDEX('Live History'!$A$5:$A$3004,AH!$U$7+1916),INDEX('AH History'!$A$5:$A$1380,AH!$U$7+1916))),""))</f>
        <v/>
      </c>
      <c r="B1921" s="33">
        <f>IFERROR(IF(AH!$U$11=1,NA(),$J1921/$E1921-1),NA())</f>
        <v/>
      </c>
      <c r="C1921" s="269">
        <f>IFERROR(100*$E1921/$E$5,NA())</f>
        <v/>
      </c>
      <c r="D1921" s="269">
        <f>IFERROR(100*$J1921/$J$5,NA())</f>
        <v/>
      </c>
      <c r="E1921" s="32">
        <f>IFERROR(IF(AND(ISNUMBER($A1921),N(IF(AND(AH!$U$12=1,1916+1=AH!$U$6),IF(AH!$U$4=0,"unavailable",INDEX('Market Data'!$AN$5:$AN$66,AH!$U$4)),IF(AH!$U$5=1,INDEX('Live History'!$B$5:$B$3004,$K1921),INDEX('AH History'!$D$5:$GG$1380,$K1921,AH!$U$10))))&gt;0),IF(AND(AH!$U$12=1,1916+1=AH!$U$6),IF(AH!$U$4=0,"unavailable",INDEX('Market Data'!$AN$5:$AN$66,AH!$U$4)),IF(AH!$U$5=1,INDEX('Live History'!$B$5:$B$3004,$K1921),INDEX('AH History'!$D$5:$GG$1380,$K1921,AH!$U$10))),NA()),NA())</f>
        <v/>
      </c>
      <c r="F1921" s="32">
        <f>IFERROR(IF(ISNUMBER($A1921),IF(AND(AH!$U$12=1,1916+1=AH!$U$6),IF(AH!$U$4=0,"unavailable",INDEX('Market Data'!$AO$5:$AO$66,AH!$U$4)),IF(AH!$U$5=1,INDEX('Live History'!$E$5:$E$3004,MATCH($A1921,'Live History'!$D$5:$D$3004,1)),INDEX('AH History'!$D$5:$GG$1380,$K1921,AH!$U$10+1))),NA()),NA())</f>
        <v/>
      </c>
      <c r="G1921" s="34">
        <f>IFERROR(IF(ISNUMBER($A1921),IF(AND(AH!$U$12=1,1916+1=AH!$U$6),IF(AH!$U$4=0,"unavailable",INDEX('Market Data'!$AK$5:$AK$66,AH!$U$4)),IF(AH!$U$5=1,INDEX('Live History'!$D$5:$D$3004,MATCH($A1921,'Live History'!$D$5:$D$3004,1)),INDEX('AH History'!$D$5:$GG$1380,$K1921,AH!$U$10+2))),NA()),NA())</f>
        <v/>
      </c>
      <c r="H1921" s="266">
        <f>IFERROR(IF(ISNUMBER($A1921),IF(AND(AH!$U$12=1,1916+1=AH!$U$6),IF(AH!$U$4=0,"unavailable",INDEX('Market Data'!$AP$5:$AP$66,AH!$U$4)),IF(AH!$U$5=1,INDEX('Live History'!$H$5:$H$3004,MATCH($A1921,'Live History'!$G$5:$G$3004,1)),INDEX('AH History'!$B$5:$B$1380,$K1921))),NA()),NA())</f>
        <v/>
      </c>
      <c r="I1921" s="34">
        <f>IFERROR(IF(ISNUMBER($A1921),IF(AND(AH!$U$12=1,1916+1=AH!$U$6),TODAY(),IF(AH!$U$5=1,INDEX('Live History'!$G$5:$G$3004,MATCH($A1921,'Live History'!$G$5:$G$3004,1)),INDEX('AH History'!$C$5:$C$1380,$K1921))),NA()),NA())</f>
        <v/>
      </c>
      <c r="J1921" s="32">
        <f>IFERROR(IF(AND($F1921&gt;0,$H1921&gt;0,$A1921-$G1921&lt;=10,$A1921-$I1921&lt;=5,$G1921&gt;0,$I1921&gt;0),$F1921*$H1921,NA()),NA())</f>
        <v/>
      </c>
      <c r="K1921" s="15">
        <f>IF($A1921="","",IF(AH!$U$5=1,IFERROR(MATCH($A1921,'Live History'!$A$5:$A$3004,0),0),AH!$U$7+1916))</f>
        <v/>
      </c>
      <c r="L1921" s="15">
        <f>IF(ISNUMBER(A1921),TEXT(A1921,"dd-mmm-yy"),"")</f>
        <v/>
      </c>
    </row>
    <row r="1922">
      <c r="A1922" s="14">
        <f>IF(OR(AH!$U$4=0,1917+1&gt;AH!$U$6,AND(AH!$M$5="Bloomberg",AH!$U$5=0)),"",IFERROR(IF(AND(AH!$U$12=1,1917+1=AH!$U$6),TODAY(),IF(AH!$U$5=1,INDEX('Live History'!$A$5:$A$3004,AH!$U$7+1917),INDEX('AH History'!$A$5:$A$1380,AH!$U$7+1917))),""))</f>
        <v/>
      </c>
      <c r="B1922" s="33">
        <f>IFERROR(IF(AH!$U$11=1,NA(),$J1922/$E1922-1),NA())</f>
        <v/>
      </c>
      <c r="C1922" s="269">
        <f>IFERROR(100*$E1922/$E$5,NA())</f>
        <v/>
      </c>
      <c r="D1922" s="269">
        <f>IFERROR(100*$J1922/$J$5,NA())</f>
        <v/>
      </c>
      <c r="E1922" s="32">
        <f>IFERROR(IF(AND(ISNUMBER($A1922),N(IF(AND(AH!$U$12=1,1917+1=AH!$U$6),IF(AH!$U$4=0,"unavailable",INDEX('Market Data'!$AN$5:$AN$66,AH!$U$4)),IF(AH!$U$5=1,INDEX('Live History'!$B$5:$B$3004,$K1922),INDEX('AH History'!$D$5:$GG$1380,$K1922,AH!$U$10))))&gt;0),IF(AND(AH!$U$12=1,1917+1=AH!$U$6),IF(AH!$U$4=0,"unavailable",INDEX('Market Data'!$AN$5:$AN$66,AH!$U$4)),IF(AH!$U$5=1,INDEX('Live History'!$B$5:$B$3004,$K1922),INDEX('AH History'!$D$5:$GG$1380,$K1922,AH!$U$10))),NA()),NA())</f>
        <v/>
      </c>
      <c r="F1922" s="32">
        <f>IFERROR(IF(ISNUMBER($A1922),IF(AND(AH!$U$12=1,1917+1=AH!$U$6),IF(AH!$U$4=0,"unavailable",INDEX('Market Data'!$AO$5:$AO$66,AH!$U$4)),IF(AH!$U$5=1,INDEX('Live History'!$E$5:$E$3004,MATCH($A1922,'Live History'!$D$5:$D$3004,1)),INDEX('AH History'!$D$5:$GG$1380,$K1922,AH!$U$10+1))),NA()),NA())</f>
        <v/>
      </c>
      <c r="G1922" s="34">
        <f>IFERROR(IF(ISNUMBER($A1922),IF(AND(AH!$U$12=1,1917+1=AH!$U$6),IF(AH!$U$4=0,"unavailable",INDEX('Market Data'!$AK$5:$AK$66,AH!$U$4)),IF(AH!$U$5=1,INDEX('Live History'!$D$5:$D$3004,MATCH($A1922,'Live History'!$D$5:$D$3004,1)),INDEX('AH History'!$D$5:$GG$1380,$K1922,AH!$U$10+2))),NA()),NA())</f>
        <v/>
      </c>
      <c r="H1922" s="266">
        <f>IFERROR(IF(ISNUMBER($A1922),IF(AND(AH!$U$12=1,1917+1=AH!$U$6),IF(AH!$U$4=0,"unavailable",INDEX('Market Data'!$AP$5:$AP$66,AH!$U$4)),IF(AH!$U$5=1,INDEX('Live History'!$H$5:$H$3004,MATCH($A1922,'Live History'!$G$5:$G$3004,1)),INDEX('AH History'!$B$5:$B$1380,$K1922))),NA()),NA())</f>
        <v/>
      </c>
      <c r="I1922" s="34">
        <f>IFERROR(IF(ISNUMBER($A1922),IF(AND(AH!$U$12=1,1917+1=AH!$U$6),TODAY(),IF(AH!$U$5=1,INDEX('Live History'!$G$5:$G$3004,MATCH($A1922,'Live History'!$G$5:$G$3004,1)),INDEX('AH History'!$C$5:$C$1380,$K1922))),NA()),NA())</f>
        <v/>
      </c>
      <c r="J1922" s="32">
        <f>IFERROR(IF(AND($F1922&gt;0,$H1922&gt;0,$A1922-$G1922&lt;=10,$A1922-$I1922&lt;=5,$G1922&gt;0,$I1922&gt;0),$F1922*$H1922,NA()),NA())</f>
        <v/>
      </c>
      <c r="K1922" s="15">
        <f>IF($A1922="","",IF(AH!$U$5=1,IFERROR(MATCH($A1922,'Live History'!$A$5:$A$3004,0),0),AH!$U$7+1917))</f>
        <v/>
      </c>
      <c r="L1922" s="15">
        <f>IF(ISNUMBER(A1922),TEXT(A1922,"dd-mmm-yy"),"")</f>
        <v/>
      </c>
    </row>
    <row r="1923">
      <c r="A1923" s="14">
        <f>IF(OR(AH!$U$4=0,1918+1&gt;AH!$U$6,AND(AH!$M$5="Bloomberg",AH!$U$5=0)),"",IFERROR(IF(AND(AH!$U$12=1,1918+1=AH!$U$6),TODAY(),IF(AH!$U$5=1,INDEX('Live History'!$A$5:$A$3004,AH!$U$7+1918),INDEX('AH History'!$A$5:$A$1380,AH!$U$7+1918))),""))</f>
        <v/>
      </c>
      <c r="B1923" s="33">
        <f>IFERROR(IF(AH!$U$11=1,NA(),$J1923/$E1923-1),NA())</f>
        <v/>
      </c>
      <c r="C1923" s="269">
        <f>IFERROR(100*$E1923/$E$5,NA())</f>
        <v/>
      </c>
      <c r="D1923" s="269">
        <f>IFERROR(100*$J1923/$J$5,NA())</f>
        <v/>
      </c>
      <c r="E1923" s="32">
        <f>IFERROR(IF(AND(ISNUMBER($A1923),N(IF(AND(AH!$U$12=1,1918+1=AH!$U$6),IF(AH!$U$4=0,"unavailable",INDEX('Market Data'!$AN$5:$AN$66,AH!$U$4)),IF(AH!$U$5=1,INDEX('Live History'!$B$5:$B$3004,$K1923),INDEX('AH History'!$D$5:$GG$1380,$K1923,AH!$U$10))))&gt;0),IF(AND(AH!$U$12=1,1918+1=AH!$U$6),IF(AH!$U$4=0,"unavailable",INDEX('Market Data'!$AN$5:$AN$66,AH!$U$4)),IF(AH!$U$5=1,INDEX('Live History'!$B$5:$B$3004,$K1923),INDEX('AH History'!$D$5:$GG$1380,$K1923,AH!$U$10))),NA()),NA())</f>
        <v/>
      </c>
      <c r="F1923" s="32">
        <f>IFERROR(IF(ISNUMBER($A1923),IF(AND(AH!$U$12=1,1918+1=AH!$U$6),IF(AH!$U$4=0,"unavailable",INDEX('Market Data'!$AO$5:$AO$66,AH!$U$4)),IF(AH!$U$5=1,INDEX('Live History'!$E$5:$E$3004,MATCH($A1923,'Live History'!$D$5:$D$3004,1)),INDEX('AH History'!$D$5:$GG$1380,$K1923,AH!$U$10+1))),NA()),NA())</f>
        <v/>
      </c>
      <c r="G1923" s="34">
        <f>IFERROR(IF(ISNUMBER($A1923),IF(AND(AH!$U$12=1,1918+1=AH!$U$6),IF(AH!$U$4=0,"unavailable",INDEX('Market Data'!$AK$5:$AK$66,AH!$U$4)),IF(AH!$U$5=1,INDEX('Live History'!$D$5:$D$3004,MATCH($A1923,'Live History'!$D$5:$D$3004,1)),INDEX('AH History'!$D$5:$GG$1380,$K1923,AH!$U$10+2))),NA()),NA())</f>
        <v/>
      </c>
      <c r="H1923" s="266">
        <f>IFERROR(IF(ISNUMBER($A1923),IF(AND(AH!$U$12=1,1918+1=AH!$U$6),IF(AH!$U$4=0,"unavailable",INDEX('Market Data'!$AP$5:$AP$66,AH!$U$4)),IF(AH!$U$5=1,INDEX('Live History'!$H$5:$H$3004,MATCH($A1923,'Live History'!$G$5:$G$3004,1)),INDEX('AH History'!$B$5:$B$1380,$K1923))),NA()),NA())</f>
        <v/>
      </c>
      <c r="I1923" s="34">
        <f>IFERROR(IF(ISNUMBER($A1923),IF(AND(AH!$U$12=1,1918+1=AH!$U$6),TODAY(),IF(AH!$U$5=1,INDEX('Live History'!$G$5:$G$3004,MATCH($A1923,'Live History'!$G$5:$G$3004,1)),INDEX('AH History'!$C$5:$C$1380,$K1923))),NA()),NA())</f>
        <v/>
      </c>
      <c r="J1923" s="32">
        <f>IFERROR(IF(AND($F1923&gt;0,$H1923&gt;0,$A1923-$G1923&lt;=10,$A1923-$I1923&lt;=5,$G1923&gt;0,$I1923&gt;0),$F1923*$H1923,NA()),NA())</f>
        <v/>
      </c>
      <c r="K1923" s="15">
        <f>IF($A1923="","",IF(AH!$U$5=1,IFERROR(MATCH($A1923,'Live History'!$A$5:$A$3004,0),0),AH!$U$7+1918))</f>
        <v/>
      </c>
      <c r="L1923" s="15">
        <f>IF(ISNUMBER(A1923),TEXT(A1923,"dd-mmm-yy"),"")</f>
        <v/>
      </c>
    </row>
    <row r="1924">
      <c r="A1924" s="14">
        <f>IF(OR(AH!$U$4=0,1919+1&gt;AH!$U$6,AND(AH!$M$5="Bloomberg",AH!$U$5=0)),"",IFERROR(IF(AND(AH!$U$12=1,1919+1=AH!$U$6),TODAY(),IF(AH!$U$5=1,INDEX('Live History'!$A$5:$A$3004,AH!$U$7+1919),INDEX('AH History'!$A$5:$A$1380,AH!$U$7+1919))),""))</f>
        <v/>
      </c>
      <c r="B1924" s="33">
        <f>IFERROR(IF(AH!$U$11=1,NA(),$J1924/$E1924-1),NA())</f>
        <v/>
      </c>
      <c r="C1924" s="269">
        <f>IFERROR(100*$E1924/$E$5,NA())</f>
        <v/>
      </c>
      <c r="D1924" s="269">
        <f>IFERROR(100*$J1924/$J$5,NA())</f>
        <v/>
      </c>
      <c r="E1924" s="32">
        <f>IFERROR(IF(AND(ISNUMBER($A1924),N(IF(AND(AH!$U$12=1,1919+1=AH!$U$6),IF(AH!$U$4=0,"unavailable",INDEX('Market Data'!$AN$5:$AN$66,AH!$U$4)),IF(AH!$U$5=1,INDEX('Live History'!$B$5:$B$3004,$K1924),INDEX('AH History'!$D$5:$GG$1380,$K1924,AH!$U$10))))&gt;0),IF(AND(AH!$U$12=1,1919+1=AH!$U$6),IF(AH!$U$4=0,"unavailable",INDEX('Market Data'!$AN$5:$AN$66,AH!$U$4)),IF(AH!$U$5=1,INDEX('Live History'!$B$5:$B$3004,$K1924),INDEX('AH History'!$D$5:$GG$1380,$K1924,AH!$U$10))),NA()),NA())</f>
        <v/>
      </c>
      <c r="F1924" s="32">
        <f>IFERROR(IF(ISNUMBER($A1924),IF(AND(AH!$U$12=1,1919+1=AH!$U$6),IF(AH!$U$4=0,"unavailable",INDEX('Market Data'!$AO$5:$AO$66,AH!$U$4)),IF(AH!$U$5=1,INDEX('Live History'!$E$5:$E$3004,MATCH($A1924,'Live History'!$D$5:$D$3004,1)),INDEX('AH History'!$D$5:$GG$1380,$K1924,AH!$U$10+1))),NA()),NA())</f>
        <v/>
      </c>
      <c r="G1924" s="34">
        <f>IFERROR(IF(ISNUMBER($A1924),IF(AND(AH!$U$12=1,1919+1=AH!$U$6),IF(AH!$U$4=0,"unavailable",INDEX('Market Data'!$AK$5:$AK$66,AH!$U$4)),IF(AH!$U$5=1,INDEX('Live History'!$D$5:$D$3004,MATCH($A1924,'Live History'!$D$5:$D$3004,1)),INDEX('AH History'!$D$5:$GG$1380,$K1924,AH!$U$10+2))),NA()),NA())</f>
        <v/>
      </c>
      <c r="H1924" s="266">
        <f>IFERROR(IF(ISNUMBER($A1924),IF(AND(AH!$U$12=1,1919+1=AH!$U$6),IF(AH!$U$4=0,"unavailable",INDEX('Market Data'!$AP$5:$AP$66,AH!$U$4)),IF(AH!$U$5=1,INDEX('Live History'!$H$5:$H$3004,MATCH($A1924,'Live History'!$G$5:$G$3004,1)),INDEX('AH History'!$B$5:$B$1380,$K1924))),NA()),NA())</f>
        <v/>
      </c>
      <c r="I1924" s="34">
        <f>IFERROR(IF(ISNUMBER($A1924),IF(AND(AH!$U$12=1,1919+1=AH!$U$6),TODAY(),IF(AH!$U$5=1,INDEX('Live History'!$G$5:$G$3004,MATCH($A1924,'Live History'!$G$5:$G$3004,1)),INDEX('AH History'!$C$5:$C$1380,$K1924))),NA()),NA())</f>
        <v/>
      </c>
      <c r="J1924" s="32">
        <f>IFERROR(IF(AND($F1924&gt;0,$H1924&gt;0,$A1924-$G1924&lt;=10,$A1924-$I1924&lt;=5,$G1924&gt;0,$I1924&gt;0),$F1924*$H1924,NA()),NA())</f>
        <v/>
      </c>
      <c r="K1924" s="15">
        <f>IF($A1924="","",IF(AH!$U$5=1,IFERROR(MATCH($A1924,'Live History'!$A$5:$A$3004,0),0),AH!$U$7+1919))</f>
        <v/>
      </c>
      <c r="L1924" s="15">
        <f>IF(ISNUMBER(A1924),TEXT(A1924,"dd-mmm-yy"),"")</f>
        <v/>
      </c>
    </row>
    <row r="1925">
      <c r="A1925" s="14">
        <f>IF(OR(AH!$U$4=0,1920+1&gt;AH!$U$6,AND(AH!$M$5="Bloomberg",AH!$U$5=0)),"",IFERROR(IF(AND(AH!$U$12=1,1920+1=AH!$U$6),TODAY(),IF(AH!$U$5=1,INDEX('Live History'!$A$5:$A$3004,AH!$U$7+1920),INDEX('AH History'!$A$5:$A$1380,AH!$U$7+1920))),""))</f>
        <v/>
      </c>
      <c r="B1925" s="33">
        <f>IFERROR(IF(AH!$U$11=1,NA(),$J1925/$E1925-1),NA())</f>
        <v/>
      </c>
      <c r="C1925" s="269">
        <f>IFERROR(100*$E1925/$E$5,NA())</f>
        <v/>
      </c>
      <c r="D1925" s="269">
        <f>IFERROR(100*$J1925/$J$5,NA())</f>
        <v/>
      </c>
      <c r="E1925" s="32">
        <f>IFERROR(IF(AND(ISNUMBER($A1925),N(IF(AND(AH!$U$12=1,1920+1=AH!$U$6),IF(AH!$U$4=0,"unavailable",INDEX('Market Data'!$AN$5:$AN$66,AH!$U$4)),IF(AH!$U$5=1,INDEX('Live History'!$B$5:$B$3004,$K1925),INDEX('AH History'!$D$5:$GG$1380,$K1925,AH!$U$10))))&gt;0),IF(AND(AH!$U$12=1,1920+1=AH!$U$6),IF(AH!$U$4=0,"unavailable",INDEX('Market Data'!$AN$5:$AN$66,AH!$U$4)),IF(AH!$U$5=1,INDEX('Live History'!$B$5:$B$3004,$K1925),INDEX('AH History'!$D$5:$GG$1380,$K1925,AH!$U$10))),NA()),NA())</f>
        <v/>
      </c>
      <c r="F1925" s="32">
        <f>IFERROR(IF(ISNUMBER($A1925),IF(AND(AH!$U$12=1,1920+1=AH!$U$6),IF(AH!$U$4=0,"unavailable",INDEX('Market Data'!$AO$5:$AO$66,AH!$U$4)),IF(AH!$U$5=1,INDEX('Live History'!$E$5:$E$3004,MATCH($A1925,'Live History'!$D$5:$D$3004,1)),INDEX('AH History'!$D$5:$GG$1380,$K1925,AH!$U$10+1))),NA()),NA())</f>
        <v/>
      </c>
      <c r="G1925" s="34">
        <f>IFERROR(IF(ISNUMBER($A1925),IF(AND(AH!$U$12=1,1920+1=AH!$U$6),IF(AH!$U$4=0,"unavailable",INDEX('Market Data'!$AK$5:$AK$66,AH!$U$4)),IF(AH!$U$5=1,INDEX('Live History'!$D$5:$D$3004,MATCH($A1925,'Live History'!$D$5:$D$3004,1)),INDEX('AH History'!$D$5:$GG$1380,$K1925,AH!$U$10+2))),NA()),NA())</f>
        <v/>
      </c>
      <c r="H1925" s="266">
        <f>IFERROR(IF(ISNUMBER($A1925),IF(AND(AH!$U$12=1,1920+1=AH!$U$6),IF(AH!$U$4=0,"unavailable",INDEX('Market Data'!$AP$5:$AP$66,AH!$U$4)),IF(AH!$U$5=1,INDEX('Live History'!$H$5:$H$3004,MATCH($A1925,'Live History'!$G$5:$G$3004,1)),INDEX('AH History'!$B$5:$B$1380,$K1925))),NA()),NA())</f>
        <v/>
      </c>
      <c r="I1925" s="34">
        <f>IFERROR(IF(ISNUMBER($A1925),IF(AND(AH!$U$12=1,1920+1=AH!$U$6),TODAY(),IF(AH!$U$5=1,INDEX('Live History'!$G$5:$G$3004,MATCH($A1925,'Live History'!$G$5:$G$3004,1)),INDEX('AH History'!$C$5:$C$1380,$K1925))),NA()),NA())</f>
        <v/>
      </c>
      <c r="J1925" s="32">
        <f>IFERROR(IF(AND($F1925&gt;0,$H1925&gt;0,$A1925-$G1925&lt;=10,$A1925-$I1925&lt;=5,$G1925&gt;0,$I1925&gt;0),$F1925*$H1925,NA()),NA())</f>
        <v/>
      </c>
      <c r="K1925" s="15">
        <f>IF($A1925="","",IF(AH!$U$5=1,IFERROR(MATCH($A1925,'Live History'!$A$5:$A$3004,0),0),AH!$U$7+1920))</f>
        <v/>
      </c>
      <c r="L1925" s="15">
        <f>IF(ISNUMBER(A1925),TEXT(A1925,"dd-mmm-yy"),"")</f>
        <v/>
      </c>
    </row>
    <row r="1926">
      <c r="A1926" s="14">
        <f>IF(OR(AH!$U$4=0,1921+1&gt;AH!$U$6,AND(AH!$M$5="Bloomberg",AH!$U$5=0)),"",IFERROR(IF(AND(AH!$U$12=1,1921+1=AH!$U$6),TODAY(),IF(AH!$U$5=1,INDEX('Live History'!$A$5:$A$3004,AH!$U$7+1921),INDEX('AH History'!$A$5:$A$1380,AH!$U$7+1921))),""))</f>
        <v/>
      </c>
      <c r="B1926" s="33">
        <f>IFERROR(IF(AH!$U$11=1,NA(),$J1926/$E1926-1),NA())</f>
        <v/>
      </c>
      <c r="C1926" s="269">
        <f>IFERROR(100*$E1926/$E$5,NA())</f>
        <v/>
      </c>
      <c r="D1926" s="269">
        <f>IFERROR(100*$J1926/$J$5,NA())</f>
        <v/>
      </c>
      <c r="E1926" s="32">
        <f>IFERROR(IF(AND(ISNUMBER($A1926),N(IF(AND(AH!$U$12=1,1921+1=AH!$U$6),IF(AH!$U$4=0,"unavailable",INDEX('Market Data'!$AN$5:$AN$66,AH!$U$4)),IF(AH!$U$5=1,INDEX('Live History'!$B$5:$B$3004,$K1926),INDEX('AH History'!$D$5:$GG$1380,$K1926,AH!$U$10))))&gt;0),IF(AND(AH!$U$12=1,1921+1=AH!$U$6),IF(AH!$U$4=0,"unavailable",INDEX('Market Data'!$AN$5:$AN$66,AH!$U$4)),IF(AH!$U$5=1,INDEX('Live History'!$B$5:$B$3004,$K1926),INDEX('AH History'!$D$5:$GG$1380,$K1926,AH!$U$10))),NA()),NA())</f>
        <v/>
      </c>
      <c r="F1926" s="32">
        <f>IFERROR(IF(ISNUMBER($A1926),IF(AND(AH!$U$12=1,1921+1=AH!$U$6),IF(AH!$U$4=0,"unavailable",INDEX('Market Data'!$AO$5:$AO$66,AH!$U$4)),IF(AH!$U$5=1,INDEX('Live History'!$E$5:$E$3004,MATCH($A1926,'Live History'!$D$5:$D$3004,1)),INDEX('AH History'!$D$5:$GG$1380,$K1926,AH!$U$10+1))),NA()),NA())</f>
        <v/>
      </c>
      <c r="G1926" s="34">
        <f>IFERROR(IF(ISNUMBER($A1926),IF(AND(AH!$U$12=1,1921+1=AH!$U$6),IF(AH!$U$4=0,"unavailable",INDEX('Market Data'!$AK$5:$AK$66,AH!$U$4)),IF(AH!$U$5=1,INDEX('Live History'!$D$5:$D$3004,MATCH($A1926,'Live History'!$D$5:$D$3004,1)),INDEX('AH History'!$D$5:$GG$1380,$K1926,AH!$U$10+2))),NA()),NA())</f>
        <v/>
      </c>
      <c r="H1926" s="266">
        <f>IFERROR(IF(ISNUMBER($A1926),IF(AND(AH!$U$12=1,1921+1=AH!$U$6),IF(AH!$U$4=0,"unavailable",INDEX('Market Data'!$AP$5:$AP$66,AH!$U$4)),IF(AH!$U$5=1,INDEX('Live History'!$H$5:$H$3004,MATCH($A1926,'Live History'!$G$5:$G$3004,1)),INDEX('AH History'!$B$5:$B$1380,$K1926))),NA()),NA())</f>
        <v/>
      </c>
      <c r="I1926" s="34">
        <f>IFERROR(IF(ISNUMBER($A1926),IF(AND(AH!$U$12=1,1921+1=AH!$U$6),TODAY(),IF(AH!$U$5=1,INDEX('Live History'!$G$5:$G$3004,MATCH($A1926,'Live History'!$G$5:$G$3004,1)),INDEX('AH History'!$C$5:$C$1380,$K1926))),NA()),NA())</f>
        <v/>
      </c>
      <c r="J1926" s="32">
        <f>IFERROR(IF(AND($F1926&gt;0,$H1926&gt;0,$A1926-$G1926&lt;=10,$A1926-$I1926&lt;=5,$G1926&gt;0,$I1926&gt;0),$F1926*$H1926,NA()),NA())</f>
        <v/>
      </c>
      <c r="K1926" s="15">
        <f>IF($A1926="","",IF(AH!$U$5=1,IFERROR(MATCH($A1926,'Live History'!$A$5:$A$3004,0),0),AH!$U$7+1921))</f>
        <v/>
      </c>
      <c r="L1926" s="15">
        <f>IF(ISNUMBER(A1926),TEXT(A1926,"dd-mmm-yy"),"")</f>
        <v/>
      </c>
    </row>
    <row r="1927">
      <c r="A1927" s="14">
        <f>IF(OR(AH!$U$4=0,1922+1&gt;AH!$U$6,AND(AH!$M$5="Bloomberg",AH!$U$5=0)),"",IFERROR(IF(AND(AH!$U$12=1,1922+1=AH!$U$6),TODAY(),IF(AH!$U$5=1,INDEX('Live History'!$A$5:$A$3004,AH!$U$7+1922),INDEX('AH History'!$A$5:$A$1380,AH!$U$7+1922))),""))</f>
        <v/>
      </c>
      <c r="B1927" s="33">
        <f>IFERROR(IF(AH!$U$11=1,NA(),$J1927/$E1927-1),NA())</f>
        <v/>
      </c>
      <c r="C1927" s="269">
        <f>IFERROR(100*$E1927/$E$5,NA())</f>
        <v/>
      </c>
      <c r="D1927" s="269">
        <f>IFERROR(100*$J1927/$J$5,NA())</f>
        <v/>
      </c>
      <c r="E1927" s="32">
        <f>IFERROR(IF(AND(ISNUMBER($A1927),N(IF(AND(AH!$U$12=1,1922+1=AH!$U$6),IF(AH!$U$4=0,"unavailable",INDEX('Market Data'!$AN$5:$AN$66,AH!$U$4)),IF(AH!$U$5=1,INDEX('Live History'!$B$5:$B$3004,$K1927),INDEX('AH History'!$D$5:$GG$1380,$K1927,AH!$U$10))))&gt;0),IF(AND(AH!$U$12=1,1922+1=AH!$U$6),IF(AH!$U$4=0,"unavailable",INDEX('Market Data'!$AN$5:$AN$66,AH!$U$4)),IF(AH!$U$5=1,INDEX('Live History'!$B$5:$B$3004,$K1927),INDEX('AH History'!$D$5:$GG$1380,$K1927,AH!$U$10))),NA()),NA())</f>
        <v/>
      </c>
      <c r="F1927" s="32">
        <f>IFERROR(IF(ISNUMBER($A1927),IF(AND(AH!$U$12=1,1922+1=AH!$U$6),IF(AH!$U$4=0,"unavailable",INDEX('Market Data'!$AO$5:$AO$66,AH!$U$4)),IF(AH!$U$5=1,INDEX('Live History'!$E$5:$E$3004,MATCH($A1927,'Live History'!$D$5:$D$3004,1)),INDEX('AH History'!$D$5:$GG$1380,$K1927,AH!$U$10+1))),NA()),NA())</f>
        <v/>
      </c>
      <c r="G1927" s="34">
        <f>IFERROR(IF(ISNUMBER($A1927),IF(AND(AH!$U$12=1,1922+1=AH!$U$6),IF(AH!$U$4=0,"unavailable",INDEX('Market Data'!$AK$5:$AK$66,AH!$U$4)),IF(AH!$U$5=1,INDEX('Live History'!$D$5:$D$3004,MATCH($A1927,'Live History'!$D$5:$D$3004,1)),INDEX('AH History'!$D$5:$GG$1380,$K1927,AH!$U$10+2))),NA()),NA())</f>
        <v/>
      </c>
      <c r="H1927" s="266">
        <f>IFERROR(IF(ISNUMBER($A1927),IF(AND(AH!$U$12=1,1922+1=AH!$U$6),IF(AH!$U$4=0,"unavailable",INDEX('Market Data'!$AP$5:$AP$66,AH!$U$4)),IF(AH!$U$5=1,INDEX('Live History'!$H$5:$H$3004,MATCH($A1927,'Live History'!$G$5:$G$3004,1)),INDEX('AH History'!$B$5:$B$1380,$K1927))),NA()),NA())</f>
        <v/>
      </c>
      <c r="I1927" s="34">
        <f>IFERROR(IF(ISNUMBER($A1927),IF(AND(AH!$U$12=1,1922+1=AH!$U$6),TODAY(),IF(AH!$U$5=1,INDEX('Live History'!$G$5:$G$3004,MATCH($A1927,'Live History'!$G$5:$G$3004,1)),INDEX('AH History'!$C$5:$C$1380,$K1927))),NA()),NA())</f>
        <v/>
      </c>
      <c r="J1927" s="32">
        <f>IFERROR(IF(AND($F1927&gt;0,$H1927&gt;0,$A1927-$G1927&lt;=10,$A1927-$I1927&lt;=5,$G1927&gt;0,$I1927&gt;0),$F1927*$H1927,NA()),NA())</f>
        <v/>
      </c>
      <c r="K1927" s="15">
        <f>IF($A1927="","",IF(AH!$U$5=1,IFERROR(MATCH($A1927,'Live History'!$A$5:$A$3004,0),0),AH!$U$7+1922))</f>
        <v/>
      </c>
      <c r="L1927" s="15">
        <f>IF(ISNUMBER(A1927),TEXT(A1927,"dd-mmm-yy"),"")</f>
        <v/>
      </c>
    </row>
    <row r="1928">
      <c r="A1928" s="14">
        <f>IF(OR(AH!$U$4=0,1923+1&gt;AH!$U$6,AND(AH!$M$5="Bloomberg",AH!$U$5=0)),"",IFERROR(IF(AND(AH!$U$12=1,1923+1=AH!$U$6),TODAY(),IF(AH!$U$5=1,INDEX('Live History'!$A$5:$A$3004,AH!$U$7+1923),INDEX('AH History'!$A$5:$A$1380,AH!$U$7+1923))),""))</f>
        <v/>
      </c>
      <c r="B1928" s="33">
        <f>IFERROR(IF(AH!$U$11=1,NA(),$J1928/$E1928-1),NA())</f>
        <v/>
      </c>
      <c r="C1928" s="269">
        <f>IFERROR(100*$E1928/$E$5,NA())</f>
        <v/>
      </c>
      <c r="D1928" s="269">
        <f>IFERROR(100*$J1928/$J$5,NA())</f>
        <v/>
      </c>
      <c r="E1928" s="32">
        <f>IFERROR(IF(AND(ISNUMBER($A1928),N(IF(AND(AH!$U$12=1,1923+1=AH!$U$6),IF(AH!$U$4=0,"unavailable",INDEX('Market Data'!$AN$5:$AN$66,AH!$U$4)),IF(AH!$U$5=1,INDEX('Live History'!$B$5:$B$3004,$K1928),INDEX('AH History'!$D$5:$GG$1380,$K1928,AH!$U$10))))&gt;0),IF(AND(AH!$U$12=1,1923+1=AH!$U$6),IF(AH!$U$4=0,"unavailable",INDEX('Market Data'!$AN$5:$AN$66,AH!$U$4)),IF(AH!$U$5=1,INDEX('Live History'!$B$5:$B$3004,$K1928),INDEX('AH History'!$D$5:$GG$1380,$K1928,AH!$U$10))),NA()),NA())</f>
        <v/>
      </c>
      <c r="F1928" s="32">
        <f>IFERROR(IF(ISNUMBER($A1928),IF(AND(AH!$U$12=1,1923+1=AH!$U$6),IF(AH!$U$4=0,"unavailable",INDEX('Market Data'!$AO$5:$AO$66,AH!$U$4)),IF(AH!$U$5=1,INDEX('Live History'!$E$5:$E$3004,MATCH($A1928,'Live History'!$D$5:$D$3004,1)),INDEX('AH History'!$D$5:$GG$1380,$K1928,AH!$U$10+1))),NA()),NA())</f>
        <v/>
      </c>
      <c r="G1928" s="34">
        <f>IFERROR(IF(ISNUMBER($A1928),IF(AND(AH!$U$12=1,1923+1=AH!$U$6),IF(AH!$U$4=0,"unavailable",INDEX('Market Data'!$AK$5:$AK$66,AH!$U$4)),IF(AH!$U$5=1,INDEX('Live History'!$D$5:$D$3004,MATCH($A1928,'Live History'!$D$5:$D$3004,1)),INDEX('AH History'!$D$5:$GG$1380,$K1928,AH!$U$10+2))),NA()),NA())</f>
        <v/>
      </c>
      <c r="H1928" s="266">
        <f>IFERROR(IF(ISNUMBER($A1928),IF(AND(AH!$U$12=1,1923+1=AH!$U$6),IF(AH!$U$4=0,"unavailable",INDEX('Market Data'!$AP$5:$AP$66,AH!$U$4)),IF(AH!$U$5=1,INDEX('Live History'!$H$5:$H$3004,MATCH($A1928,'Live History'!$G$5:$G$3004,1)),INDEX('AH History'!$B$5:$B$1380,$K1928))),NA()),NA())</f>
        <v/>
      </c>
      <c r="I1928" s="34">
        <f>IFERROR(IF(ISNUMBER($A1928),IF(AND(AH!$U$12=1,1923+1=AH!$U$6),TODAY(),IF(AH!$U$5=1,INDEX('Live History'!$G$5:$G$3004,MATCH($A1928,'Live History'!$G$5:$G$3004,1)),INDEX('AH History'!$C$5:$C$1380,$K1928))),NA()),NA())</f>
        <v/>
      </c>
      <c r="J1928" s="32">
        <f>IFERROR(IF(AND($F1928&gt;0,$H1928&gt;0,$A1928-$G1928&lt;=10,$A1928-$I1928&lt;=5,$G1928&gt;0,$I1928&gt;0),$F1928*$H1928,NA()),NA())</f>
        <v/>
      </c>
      <c r="K1928" s="15">
        <f>IF($A1928="","",IF(AH!$U$5=1,IFERROR(MATCH($A1928,'Live History'!$A$5:$A$3004,0),0),AH!$U$7+1923))</f>
        <v/>
      </c>
      <c r="L1928" s="15">
        <f>IF(ISNUMBER(A1928),TEXT(A1928,"dd-mmm-yy"),"")</f>
        <v/>
      </c>
    </row>
    <row r="1929">
      <c r="A1929" s="14">
        <f>IF(OR(AH!$U$4=0,1924+1&gt;AH!$U$6,AND(AH!$M$5="Bloomberg",AH!$U$5=0)),"",IFERROR(IF(AND(AH!$U$12=1,1924+1=AH!$U$6),TODAY(),IF(AH!$U$5=1,INDEX('Live History'!$A$5:$A$3004,AH!$U$7+1924),INDEX('AH History'!$A$5:$A$1380,AH!$U$7+1924))),""))</f>
        <v/>
      </c>
      <c r="B1929" s="33">
        <f>IFERROR(IF(AH!$U$11=1,NA(),$J1929/$E1929-1),NA())</f>
        <v/>
      </c>
      <c r="C1929" s="269">
        <f>IFERROR(100*$E1929/$E$5,NA())</f>
        <v/>
      </c>
      <c r="D1929" s="269">
        <f>IFERROR(100*$J1929/$J$5,NA())</f>
        <v/>
      </c>
      <c r="E1929" s="32">
        <f>IFERROR(IF(AND(ISNUMBER($A1929),N(IF(AND(AH!$U$12=1,1924+1=AH!$U$6),IF(AH!$U$4=0,"unavailable",INDEX('Market Data'!$AN$5:$AN$66,AH!$U$4)),IF(AH!$U$5=1,INDEX('Live History'!$B$5:$B$3004,$K1929),INDEX('AH History'!$D$5:$GG$1380,$K1929,AH!$U$10))))&gt;0),IF(AND(AH!$U$12=1,1924+1=AH!$U$6),IF(AH!$U$4=0,"unavailable",INDEX('Market Data'!$AN$5:$AN$66,AH!$U$4)),IF(AH!$U$5=1,INDEX('Live History'!$B$5:$B$3004,$K1929),INDEX('AH History'!$D$5:$GG$1380,$K1929,AH!$U$10))),NA()),NA())</f>
        <v/>
      </c>
      <c r="F1929" s="32">
        <f>IFERROR(IF(ISNUMBER($A1929),IF(AND(AH!$U$12=1,1924+1=AH!$U$6),IF(AH!$U$4=0,"unavailable",INDEX('Market Data'!$AO$5:$AO$66,AH!$U$4)),IF(AH!$U$5=1,INDEX('Live History'!$E$5:$E$3004,MATCH($A1929,'Live History'!$D$5:$D$3004,1)),INDEX('AH History'!$D$5:$GG$1380,$K1929,AH!$U$10+1))),NA()),NA())</f>
        <v/>
      </c>
      <c r="G1929" s="34">
        <f>IFERROR(IF(ISNUMBER($A1929),IF(AND(AH!$U$12=1,1924+1=AH!$U$6),IF(AH!$U$4=0,"unavailable",INDEX('Market Data'!$AK$5:$AK$66,AH!$U$4)),IF(AH!$U$5=1,INDEX('Live History'!$D$5:$D$3004,MATCH($A1929,'Live History'!$D$5:$D$3004,1)),INDEX('AH History'!$D$5:$GG$1380,$K1929,AH!$U$10+2))),NA()),NA())</f>
        <v/>
      </c>
      <c r="H1929" s="266">
        <f>IFERROR(IF(ISNUMBER($A1929),IF(AND(AH!$U$12=1,1924+1=AH!$U$6),IF(AH!$U$4=0,"unavailable",INDEX('Market Data'!$AP$5:$AP$66,AH!$U$4)),IF(AH!$U$5=1,INDEX('Live History'!$H$5:$H$3004,MATCH($A1929,'Live History'!$G$5:$G$3004,1)),INDEX('AH History'!$B$5:$B$1380,$K1929))),NA()),NA())</f>
        <v/>
      </c>
      <c r="I1929" s="34">
        <f>IFERROR(IF(ISNUMBER($A1929),IF(AND(AH!$U$12=1,1924+1=AH!$U$6),TODAY(),IF(AH!$U$5=1,INDEX('Live History'!$G$5:$G$3004,MATCH($A1929,'Live History'!$G$5:$G$3004,1)),INDEX('AH History'!$C$5:$C$1380,$K1929))),NA()),NA())</f>
        <v/>
      </c>
      <c r="J1929" s="32">
        <f>IFERROR(IF(AND($F1929&gt;0,$H1929&gt;0,$A1929-$G1929&lt;=10,$A1929-$I1929&lt;=5,$G1929&gt;0,$I1929&gt;0),$F1929*$H1929,NA()),NA())</f>
        <v/>
      </c>
      <c r="K1929" s="15">
        <f>IF($A1929="","",IF(AH!$U$5=1,IFERROR(MATCH($A1929,'Live History'!$A$5:$A$3004,0),0),AH!$U$7+1924))</f>
        <v/>
      </c>
      <c r="L1929" s="15">
        <f>IF(ISNUMBER(A1929),TEXT(A1929,"dd-mmm-yy"),"")</f>
        <v/>
      </c>
    </row>
    <row r="1930">
      <c r="A1930" s="14">
        <f>IF(OR(AH!$U$4=0,1925+1&gt;AH!$U$6,AND(AH!$M$5="Bloomberg",AH!$U$5=0)),"",IFERROR(IF(AND(AH!$U$12=1,1925+1=AH!$U$6),TODAY(),IF(AH!$U$5=1,INDEX('Live History'!$A$5:$A$3004,AH!$U$7+1925),INDEX('AH History'!$A$5:$A$1380,AH!$U$7+1925))),""))</f>
        <v/>
      </c>
      <c r="B1930" s="33">
        <f>IFERROR(IF(AH!$U$11=1,NA(),$J1930/$E1930-1),NA())</f>
        <v/>
      </c>
      <c r="C1930" s="269">
        <f>IFERROR(100*$E1930/$E$5,NA())</f>
        <v/>
      </c>
      <c r="D1930" s="269">
        <f>IFERROR(100*$J1930/$J$5,NA())</f>
        <v/>
      </c>
      <c r="E1930" s="32">
        <f>IFERROR(IF(AND(ISNUMBER($A1930),N(IF(AND(AH!$U$12=1,1925+1=AH!$U$6),IF(AH!$U$4=0,"unavailable",INDEX('Market Data'!$AN$5:$AN$66,AH!$U$4)),IF(AH!$U$5=1,INDEX('Live History'!$B$5:$B$3004,$K1930),INDEX('AH History'!$D$5:$GG$1380,$K1930,AH!$U$10))))&gt;0),IF(AND(AH!$U$12=1,1925+1=AH!$U$6),IF(AH!$U$4=0,"unavailable",INDEX('Market Data'!$AN$5:$AN$66,AH!$U$4)),IF(AH!$U$5=1,INDEX('Live History'!$B$5:$B$3004,$K1930),INDEX('AH History'!$D$5:$GG$1380,$K1930,AH!$U$10))),NA()),NA())</f>
        <v/>
      </c>
      <c r="F1930" s="32">
        <f>IFERROR(IF(ISNUMBER($A1930),IF(AND(AH!$U$12=1,1925+1=AH!$U$6),IF(AH!$U$4=0,"unavailable",INDEX('Market Data'!$AO$5:$AO$66,AH!$U$4)),IF(AH!$U$5=1,INDEX('Live History'!$E$5:$E$3004,MATCH($A1930,'Live History'!$D$5:$D$3004,1)),INDEX('AH History'!$D$5:$GG$1380,$K1930,AH!$U$10+1))),NA()),NA())</f>
        <v/>
      </c>
      <c r="G1930" s="34">
        <f>IFERROR(IF(ISNUMBER($A1930),IF(AND(AH!$U$12=1,1925+1=AH!$U$6),IF(AH!$U$4=0,"unavailable",INDEX('Market Data'!$AK$5:$AK$66,AH!$U$4)),IF(AH!$U$5=1,INDEX('Live History'!$D$5:$D$3004,MATCH($A1930,'Live History'!$D$5:$D$3004,1)),INDEX('AH History'!$D$5:$GG$1380,$K1930,AH!$U$10+2))),NA()),NA())</f>
        <v/>
      </c>
      <c r="H1930" s="266">
        <f>IFERROR(IF(ISNUMBER($A1930),IF(AND(AH!$U$12=1,1925+1=AH!$U$6),IF(AH!$U$4=0,"unavailable",INDEX('Market Data'!$AP$5:$AP$66,AH!$U$4)),IF(AH!$U$5=1,INDEX('Live History'!$H$5:$H$3004,MATCH($A1930,'Live History'!$G$5:$G$3004,1)),INDEX('AH History'!$B$5:$B$1380,$K1930))),NA()),NA())</f>
        <v/>
      </c>
      <c r="I1930" s="34">
        <f>IFERROR(IF(ISNUMBER($A1930),IF(AND(AH!$U$12=1,1925+1=AH!$U$6),TODAY(),IF(AH!$U$5=1,INDEX('Live History'!$G$5:$G$3004,MATCH($A1930,'Live History'!$G$5:$G$3004,1)),INDEX('AH History'!$C$5:$C$1380,$K1930))),NA()),NA())</f>
        <v/>
      </c>
      <c r="J1930" s="32">
        <f>IFERROR(IF(AND($F1930&gt;0,$H1930&gt;0,$A1930-$G1930&lt;=10,$A1930-$I1930&lt;=5,$G1930&gt;0,$I1930&gt;0),$F1930*$H1930,NA()),NA())</f>
        <v/>
      </c>
      <c r="K1930" s="15">
        <f>IF($A1930="","",IF(AH!$U$5=1,IFERROR(MATCH($A1930,'Live History'!$A$5:$A$3004,0),0),AH!$U$7+1925))</f>
        <v/>
      </c>
      <c r="L1930" s="15">
        <f>IF(ISNUMBER(A1930),TEXT(A1930,"dd-mmm-yy"),"")</f>
        <v/>
      </c>
    </row>
    <row r="1931">
      <c r="A1931" s="14">
        <f>IF(OR(AH!$U$4=0,1926+1&gt;AH!$U$6,AND(AH!$M$5="Bloomberg",AH!$U$5=0)),"",IFERROR(IF(AND(AH!$U$12=1,1926+1=AH!$U$6),TODAY(),IF(AH!$U$5=1,INDEX('Live History'!$A$5:$A$3004,AH!$U$7+1926),INDEX('AH History'!$A$5:$A$1380,AH!$U$7+1926))),""))</f>
        <v/>
      </c>
      <c r="B1931" s="33">
        <f>IFERROR(IF(AH!$U$11=1,NA(),$J1931/$E1931-1),NA())</f>
        <v/>
      </c>
      <c r="C1931" s="269">
        <f>IFERROR(100*$E1931/$E$5,NA())</f>
        <v/>
      </c>
      <c r="D1931" s="269">
        <f>IFERROR(100*$J1931/$J$5,NA())</f>
        <v/>
      </c>
      <c r="E1931" s="32">
        <f>IFERROR(IF(AND(ISNUMBER($A1931),N(IF(AND(AH!$U$12=1,1926+1=AH!$U$6),IF(AH!$U$4=0,"unavailable",INDEX('Market Data'!$AN$5:$AN$66,AH!$U$4)),IF(AH!$U$5=1,INDEX('Live History'!$B$5:$B$3004,$K1931),INDEX('AH History'!$D$5:$GG$1380,$K1931,AH!$U$10))))&gt;0),IF(AND(AH!$U$12=1,1926+1=AH!$U$6),IF(AH!$U$4=0,"unavailable",INDEX('Market Data'!$AN$5:$AN$66,AH!$U$4)),IF(AH!$U$5=1,INDEX('Live History'!$B$5:$B$3004,$K1931),INDEX('AH History'!$D$5:$GG$1380,$K1931,AH!$U$10))),NA()),NA())</f>
        <v/>
      </c>
      <c r="F1931" s="32">
        <f>IFERROR(IF(ISNUMBER($A1931),IF(AND(AH!$U$12=1,1926+1=AH!$U$6),IF(AH!$U$4=0,"unavailable",INDEX('Market Data'!$AO$5:$AO$66,AH!$U$4)),IF(AH!$U$5=1,INDEX('Live History'!$E$5:$E$3004,MATCH($A1931,'Live History'!$D$5:$D$3004,1)),INDEX('AH History'!$D$5:$GG$1380,$K1931,AH!$U$10+1))),NA()),NA())</f>
        <v/>
      </c>
      <c r="G1931" s="34">
        <f>IFERROR(IF(ISNUMBER($A1931),IF(AND(AH!$U$12=1,1926+1=AH!$U$6),IF(AH!$U$4=0,"unavailable",INDEX('Market Data'!$AK$5:$AK$66,AH!$U$4)),IF(AH!$U$5=1,INDEX('Live History'!$D$5:$D$3004,MATCH($A1931,'Live History'!$D$5:$D$3004,1)),INDEX('AH History'!$D$5:$GG$1380,$K1931,AH!$U$10+2))),NA()),NA())</f>
        <v/>
      </c>
      <c r="H1931" s="266">
        <f>IFERROR(IF(ISNUMBER($A1931),IF(AND(AH!$U$12=1,1926+1=AH!$U$6),IF(AH!$U$4=0,"unavailable",INDEX('Market Data'!$AP$5:$AP$66,AH!$U$4)),IF(AH!$U$5=1,INDEX('Live History'!$H$5:$H$3004,MATCH($A1931,'Live History'!$G$5:$G$3004,1)),INDEX('AH History'!$B$5:$B$1380,$K1931))),NA()),NA())</f>
        <v/>
      </c>
      <c r="I1931" s="34">
        <f>IFERROR(IF(ISNUMBER($A1931),IF(AND(AH!$U$12=1,1926+1=AH!$U$6),TODAY(),IF(AH!$U$5=1,INDEX('Live History'!$G$5:$G$3004,MATCH($A1931,'Live History'!$G$5:$G$3004,1)),INDEX('AH History'!$C$5:$C$1380,$K1931))),NA()),NA())</f>
        <v/>
      </c>
      <c r="J1931" s="32">
        <f>IFERROR(IF(AND($F1931&gt;0,$H1931&gt;0,$A1931-$G1931&lt;=10,$A1931-$I1931&lt;=5,$G1931&gt;0,$I1931&gt;0),$F1931*$H1931,NA()),NA())</f>
        <v/>
      </c>
      <c r="K1931" s="15">
        <f>IF($A1931="","",IF(AH!$U$5=1,IFERROR(MATCH($A1931,'Live History'!$A$5:$A$3004,0),0),AH!$U$7+1926))</f>
        <v/>
      </c>
      <c r="L1931" s="15">
        <f>IF(ISNUMBER(A1931),TEXT(A1931,"dd-mmm-yy"),"")</f>
        <v/>
      </c>
    </row>
    <row r="1932">
      <c r="A1932" s="14">
        <f>IF(OR(AH!$U$4=0,1927+1&gt;AH!$U$6,AND(AH!$M$5="Bloomberg",AH!$U$5=0)),"",IFERROR(IF(AND(AH!$U$12=1,1927+1=AH!$U$6),TODAY(),IF(AH!$U$5=1,INDEX('Live History'!$A$5:$A$3004,AH!$U$7+1927),INDEX('AH History'!$A$5:$A$1380,AH!$U$7+1927))),""))</f>
        <v/>
      </c>
      <c r="B1932" s="33">
        <f>IFERROR(IF(AH!$U$11=1,NA(),$J1932/$E1932-1),NA())</f>
        <v/>
      </c>
      <c r="C1932" s="269">
        <f>IFERROR(100*$E1932/$E$5,NA())</f>
        <v/>
      </c>
      <c r="D1932" s="269">
        <f>IFERROR(100*$J1932/$J$5,NA())</f>
        <v/>
      </c>
      <c r="E1932" s="32">
        <f>IFERROR(IF(AND(ISNUMBER($A1932),N(IF(AND(AH!$U$12=1,1927+1=AH!$U$6),IF(AH!$U$4=0,"unavailable",INDEX('Market Data'!$AN$5:$AN$66,AH!$U$4)),IF(AH!$U$5=1,INDEX('Live History'!$B$5:$B$3004,$K1932),INDEX('AH History'!$D$5:$GG$1380,$K1932,AH!$U$10))))&gt;0),IF(AND(AH!$U$12=1,1927+1=AH!$U$6),IF(AH!$U$4=0,"unavailable",INDEX('Market Data'!$AN$5:$AN$66,AH!$U$4)),IF(AH!$U$5=1,INDEX('Live History'!$B$5:$B$3004,$K1932),INDEX('AH History'!$D$5:$GG$1380,$K1932,AH!$U$10))),NA()),NA())</f>
        <v/>
      </c>
      <c r="F1932" s="32">
        <f>IFERROR(IF(ISNUMBER($A1932),IF(AND(AH!$U$12=1,1927+1=AH!$U$6),IF(AH!$U$4=0,"unavailable",INDEX('Market Data'!$AO$5:$AO$66,AH!$U$4)),IF(AH!$U$5=1,INDEX('Live History'!$E$5:$E$3004,MATCH($A1932,'Live History'!$D$5:$D$3004,1)),INDEX('AH History'!$D$5:$GG$1380,$K1932,AH!$U$10+1))),NA()),NA())</f>
        <v/>
      </c>
      <c r="G1932" s="34">
        <f>IFERROR(IF(ISNUMBER($A1932),IF(AND(AH!$U$12=1,1927+1=AH!$U$6),IF(AH!$U$4=0,"unavailable",INDEX('Market Data'!$AK$5:$AK$66,AH!$U$4)),IF(AH!$U$5=1,INDEX('Live History'!$D$5:$D$3004,MATCH($A1932,'Live History'!$D$5:$D$3004,1)),INDEX('AH History'!$D$5:$GG$1380,$K1932,AH!$U$10+2))),NA()),NA())</f>
        <v/>
      </c>
      <c r="H1932" s="266">
        <f>IFERROR(IF(ISNUMBER($A1932),IF(AND(AH!$U$12=1,1927+1=AH!$U$6),IF(AH!$U$4=0,"unavailable",INDEX('Market Data'!$AP$5:$AP$66,AH!$U$4)),IF(AH!$U$5=1,INDEX('Live History'!$H$5:$H$3004,MATCH($A1932,'Live History'!$G$5:$G$3004,1)),INDEX('AH History'!$B$5:$B$1380,$K1932))),NA()),NA())</f>
        <v/>
      </c>
      <c r="I1932" s="34">
        <f>IFERROR(IF(ISNUMBER($A1932),IF(AND(AH!$U$12=1,1927+1=AH!$U$6),TODAY(),IF(AH!$U$5=1,INDEX('Live History'!$G$5:$G$3004,MATCH($A1932,'Live History'!$G$5:$G$3004,1)),INDEX('AH History'!$C$5:$C$1380,$K1932))),NA()),NA())</f>
        <v/>
      </c>
      <c r="J1932" s="32">
        <f>IFERROR(IF(AND($F1932&gt;0,$H1932&gt;0,$A1932-$G1932&lt;=10,$A1932-$I1932&lt;=5,$G1932&gt;0,$I1932&gt;0),$F1932*$H1932,NA()),NA())</f>
        <v/>
      </c>
      <c r="K1932" s="15">
        <f>IF($A1932="","",IF(AH!$U$5=1,IFERROR(MATCH($A1932,'Live History'!$A$5:$A$3004,0),0),AH!$U$7+1927))</f>
        <v/>
      </c>
      <c r="L1932" s="15">
        <f>IF(ISNUMBER(A1932),TEXT(A1932,"dd-mmm-yy"),"")</f>
        <v/>
      </c>
    </row>
    <row r="1933">
      <c r="A1933" s="14">
        <f>IF(OR(AH!$U$4=0,1928+1&gt;AH!$U$6,AND(AH!$M$5="Bloomberg",AH!$U$5=0)),"",IFERROR(IF(AND(AH!$U$12=1,1928+1=AH!$U$6),TODAY(),IF(AH!$U$5=1,INDEX('Live History'!$A$5:$A$3004,AH!$U$7+1928),INDEX('AH History'!$A$5:$A$1380,AH!$U$7+1928))),""))</f>
        <v/>
      </c>
      <c r="B1933" s="33">
        <f>IFERROR(IF(AH!$U$11=1,NA(),$J1933/$E1933-1),NA())</f>
        <v/>
      </c>
      <c r="C1933" s="269">
        <f>IFERROR(100*$E1933/$E$5,NA())</f>
        <v/>
      </c>
      <c r="D1933" s="269">
        <f>IFERROR(100*$J1933/$J$5,NA())</f>
        <v/>
      </c>
      <c r="E1933" s="32">
        <f>IFERROR(IF(AND(ISNUMBER($A1933),N(IF(AND(AH!$U$12=1,1928+1=AH!$U$6),IF(AH!$U$4=0,"unavailable",INDEX('Market Data'!$AN$5:$AN$66,AH!$U$4)),IF(AH!$U$5=1,INDEX('Live History'!$B$5:$B$3004,$K1933),INDEX('AH History'!$D$5:$GG$1380,$K1933,AH!$U$10))))&gt;0),IF(AND(AH!$U$12=1,1928+1=AH!$U$6),IF(AH!$U$4=0,"unavailable",INDEX('Market Data'!$AN$5:$AN$66,AH!$U$4)),IF(AH!$U$5=1,INDEX('Live History'!$B$5:$B$3004,$K1933),INDEX('AH History'!$D$5:$GG$1380,$K1933,AH!$U$10))),NA()),NA())</f>
        <v/>
      </c>
      <c r="F1933" s="32">
        <f>IFERROR(IF(ISNUMBER($A1933),IF(AND(AH!$U$12=1,1928+1=AH!$U$6),IF(AH!$U$4=0,"unavailable",INDEX('Market Data'!$AO$5:$AO$66,AH!$U$4)),IF(AH!$U$5=1,INDEX('Live History'!$E$5:$E$3004,MATCH($A1933,'Live History'!$D$5:$D$3004,1)),INDEX('AH History'!$D$5:$GG$1380,$K1933,AH!$U$10+1))),NA()),NA())</f>
        <v/>
      </c>
      <c r="G1933" s="34">
        <f>IFERROR(IF(ISNUMBER($A1933),IF(AND(AH!$U$12=1,1928+1=AH!$U$6),IF(AH!$U$4=0,"unavailable",INDEX('Market Data'!$AK$5:$AK$66,AH!$U$4)),IF(AH!$U$5=1,INDEX('Live History'!$D$5:$D$3004,MATCH($A1933,'Live History'!$D$5:$D$3004,1)),INDEX('AH History'!$D$5:$GG$1380,$K1933,AH!$U$10+2))),NA()),NA())</f>
        <v/>
      </c>
      <c r="H1933" s="266">
        <f>IFERROR(IF(ISNUMBER($A1933),IF(AND(AH!$U$12=1,1928+1=AH!$U$6),IF(AH!$U$4=0,"unavailable",INDEX('Market Data'!$AP$5:$AP$66,AH!$U$4)),IF(AH!$U$5=1,INDEX('Live History'!$H$5:$H$3004,MATCH($A1933,'Live History'!$G$5:$G$3004,1)),INDEX('AH History'!$B$5:$B$1380,$K1933))),NA()),NA())</f>
        <v/>
      </c>
      <c r="I1933" s="34">
        <f>IFERROR(IF(ISNUMBER($A1933),IF(AND(AH!$U$12=1,1928+1=AH!$U$6),TODAY(),IF(AH!$U$5=1,INDEX('Live History'!$G$5:$G$3004,MATCH($A1933,'Live History'!$G$5:$G$3004,1)),INDEX('AH History'!$C$5:$C$1380,$K1933))),NA()),NA())</f>
        <v/>
      </c>
      <c r="J1933" s="32">
        <f>IFERROR(IF(AND($F1933&gt;0,$H1933&gt;0,$A1933-$G1933&lt;=10,$A1933-$I1933&lt;=5,$G1933&gt;0,$I1933&gt;0),$F1933*$H1933,NA()),NA())</f>
        <v/>
      </c>
      <c r="K1933" s="15">
        <f>IF($A1933="","",IF(AH!$U$5=1,IFERROR(MATCH($A1933,'Live History'!$A$5:$A$3004,0),0),AH!$U$7+1928))</f>
        <v/>
      </c>
      <c r="L1933" s="15">
        <f>IF(ISNUMBER(A1933),TEXT(A1933,"dd-mmm-yy"),"")</f>
        <v/>
      </c>
    </row>
    <row r="1934">
      <c r="A1934" s="14">
        <f>IF(OR(AH!$U$4=0,1929+1&gt;AH!$U$6,AND(AH!$M$5="Bloomberg",AH!$U$5=0)),"",IFERROR(IF(AND(AH!$U$12=1,1929+1=AH!$U$6),TODAY(),IF(AH!$U$5=1,INDEX('Live History'!$A$5:$A$3004,AH!$U$7+1929),INDEX('AH History'!$A$5:$A$1380,AH!$U$7+1929))),""))</f>
        <v/>
      </c>
      <c r="B1934" s="33">
        <f>IFERROR(IF(AH!$U$11=1,NA(),$J1934/$E1934-1),NA())</f>
        <v/>
      </c>
      <c r="C1934" s="269">
        <f>IFERROR(100*$E1934/$E$5,NA())</f>
        <v/>
      </c>
      <c r="D1934" s="269">
        <f>IFERROR(100*$J1934/$J$5,NA())</f>
        <v/>
      </c>
      <c r="E1934" s="32">
        <f>IFERROR(IF(AND(ISNUMBER($A1934),N(IF(AND(AH!$U$12=1,1929+1=AH!$U$6),IF(AH!$U$4=0,"unavailable",INDEX('Market Data'!$AN$5:$AN$66,AH!$U$4)),IF(AH!$U$5=1,INDEX('Live History'!$B$5:$B$3004,$K1934),INDEX('AH History'!$D$5:$GG$1380,$K1934,AH!$U$10))))&gt;0),IF(AND(AH!$U$12=1,1929+1=AH!$U$6),IF(AH!$U$4=0,"unavailable",INDEX('Market Data'!$AN$5:$AN$66,AH!$U$4)),IF(AH!$U$5=1,INDEX('Live History'!$B$5:$B$3004,$K1934),INDEX('AH History'!$D$5:$GG$1380,$K1934,AH!$U$10))),NA()),NA())</f>
        <v/>
      </c>
      <c r="F1934" s="32">
        <f>IFERROR(IF(ISNUMBER($A1934),IF(AND(AH!$U$12=1,1929+1=AH!$U$6),IF(AH!$U$4=0,"unavailable",INDEX('Market Data'!$AO$5:$AO$66,AH!$U$4)),IF(AH!$U$5=1,INDEX('Live History'!$E$5:$E$3004,MATCH($A1934,'Live History'!$D$5:$D$3004,1)),INDEX('AH History'!$D$5:$GG$1380,$K1934,AH!$U$10+1))),NA()),NA())</f>
        <v/>
      </c>
      <c r="G1934" s="34">
        <f>IFERROR(IF(ISNUMBER($A1934),IF(AND(AH!$U$12=1,1929+1=AH!$U$6),IF(AH!$U$4=0,"unavailable",INDEX('Market Data'!$AK$5:$AK$66,AH!$U$4)),IF(AH!$U$5=1,INDEX('Live History'!$D$5:$D$3004,MATCH($A1934,'Live History'!$D$5:$D$3004,1)),INDEX('AH History'!$D$5:$GG$1380,$K1934,AH!$U$10+2))),NA()),NA())</f>
        <v/>
      </c>
      <c r="H1934" s="266">
        <f>IFERROR(IF(ISNUMBER($A1934),IF(AND(AH!$U$12=1,1929+1=AH!$U$6),IF(AH!$U$4=0,"unavailable",INDEX('Market Data'!$AP$5:$AP$66,AH!$U$4)),IF(AH!$U$5=1,INDEX('Live History'!$H$5:$H$3004,MATCH($A1934,'Live History'!$G$5:$G$3004,1)),INDEX('AH History'!$B$5:$B$1380,$K1934))),NA()),NA())</f>
        <v/>
      </c>
      <c r="I1934" s="34">
        <f>IFERROR(IF(ISNUMBER($A1934),IF(AND(AH!$U$12=1,1929+1=AH!$U$6),TODAY(),IF(AH!$U$5=1,INDEX('Live History'!$G$5:$G$3004,MATCH($A1934,'Live History'!$G$5:$G$3004,1)),INDEX('AH History'!$C$5:$C$1380,$K1934))),NA()),NA())</f>
        <v/>
      </c>
      <c r="J1934" s="32">
        <f>IFERROR(IF(AND($F1934&gt;0,$H1934&gt;0,$A1934-$G1934&lt;=10,$A1934-$I1934&lt;=5,$G1934&gt;0,$I1934&gt;0),$F1934*$H1934,NA()),NA())</f>
        <v/>
      </c>
      <c r="K1934" s="15">
        <f>IF($A1934="","",IF(AH!$U$5=1,IFERROR(MATCH($A1934,'Live History'!$A$5:$A$3004,0),0),AH!$U$7+1929))</f>
        <v/>
      </c>
      <c r="L1934" s="15">
        <f>IF(ISNUMBER(A1934),TEXT(A1934,"dd-mmm-yy"),"")</f>
        <v/>
      </c>
    </row>
    <row r="1935">
      <c r="A1935" s="14">
        <f>IF(OR(AH!$U$4=0,1930+1&gt;AH!$U$6,AND(AH!$M$5="Bloomberg",AH!$U$5=0)),"",IFERROR(IF(AND(AH!$U$12=1,1930+1=AH!$U$6),TODAY(),IF(AH!$U$5=1,INDEX('Live History'!$A$5:$A$3004,AH!$U$7+1930),INDEX('AH History'!$A$5:$A$1380,AH!$U$7+1930))),""))</f>
        <v/>
      </c>
      <c r="B1935" s="33">
        <f>IFERROR(IF(AH!$U$11=1,NA(),$J1935/$E1935-1),NA())</f>
        <v/>
      </c>
      <c r="C1935" s="269">
        <f>IFERROR(100*$E1935/$E$5,NA())</f>
        <v/>
      </c>
      <c r="D1935" s="269">
        <f>IFERROR(100*$J1935/$J$5,NA())</f>
        <v/>
      </c>
      <c r="E1935" s="32">
        <f>IFERROR(IF(AND(ISNUMBER($A1935),N(IF(AND(AH!$U$12=1,1930+1=AH!$U$6),IF(AH!$U$4=0,"unavailable",INDEX('Market Data'!$AN$5:$AN$66,AH!$U$4)),IF(AH!$U$5=1,INDEX('Live History'!$B$5:$B$3004,$K1935),INDEX('AH History'!$D$5:$GG$1380,$K1935,AH!$U$10))))&gt;0),IF(AND(AH!$U$12=1,1930+1=AH!$U$6),IF(AH!$U$4=0,"unavailable",INDEX('Market Data'!$AN$5:$AN$66,AH!$U$4)),IF(AH!$U$5=1,INDEX('Live History'!$B$5:$B$3004,$K1935),INDEX('AH History'!$D$5:$GG$1380,$K1935,AH!$U$10))),NA()),NA())</f>
        <v/>
      </c>
      <c r="F1935" s="32">
        <f>IFERROR(IF(ISNUMBER($A1935),IF(AND(AH!$U$12=1,1930+1=AH!$U$6),IF(AH!$U$4=0,"unavailable",INDEX('Market Data'!$AO$5:$AO$66,AH!$U$4)),IF(AH!$U$5=1,INDEX('Live History'!$E$5:$E$3004,MATCH($A1935,'Live History'!$D$5:$D$3004,1)),INDEX('AH History'!$D$5:$GG$1380,$K1935,AH!$U$10+1))),NA()),NA())</f>
        <v/>
      </c>
      <c r="G1935" s="34">
        <f>IFERROR(IF(ISNUMBER($A1935),IF(AND(AH!$U$12=1,1930+1=AH!$U$6),IF(AH!$U$4=0,"unavailable",INDEX('Market Data'!$AK$5:$AK$66,AH!$U$4)),IF(AH!$U$5=1,INDEX('Live History'!$D$5:$D$3004,MATCH($A1935,'Live History'!$D$5:$D$3004,1)),INDEX('AH History'!$D$5:$GG$1380,$K1935,AH!$U$10+2))),NA()),NA())</f>
        <v/>
      </c>
      <c r="H1935" s="266">
        <f>IFERROR(IF(ISNUMBER($A1935),IF(AND(AH!$U$12=1,1930+1=AH!$U$6),IF(AH!$U$4=0,"unavailable",INDEX('Market Data'!$AP$5:$AP$66,AH!$U$4)),IF(AH!$U$5=1,INDEX('Live History'!$H$5:$H$3004,MATCH($A1935,'Live History'!$G$5:$G$3004,1)),INDEX('AH History'!$B$5:$B$1380,$K1935))),NA()),NA())</f>
        <v/>
      </c>
      <c r="I1935" s="34">
        <f>IFERROR(IF(ISNUMBER($A1935),IF(AND(AH!$U$12=1,1930+1=AH!$U$6),TODAY(),IF(AH!$U$5=1,INDEX('Live History'!$G$5:$G$3004,MATCH($A1935,'Live History'!$G$5:$G$3004,1)),INDEX('AH History'!$C$5:$C$1380,$K1935))),NA()),NA())</f>
        <v/>
      </c>
      <c r="J1935" s="32">
        <f>IFERROR(IF(AND($F1935&gt;0,$H1935&gt;0,$A1935-$G1935&lt;=10,$A1935-$I1935&lt;=5,$G1935&gt;0,$I1935&gt;0),$F1935*$H1935,NA()),NA())</f>
        <v/>
      </c>
      <c r="K1935" s="15">
        <f>IF($A1935="","",IF(AH!$U$5=1,IFERROR(MATCH($A1935,'Live History'!$A$5:$A$3004,0),0),AH!$U$7+1930))</f>
        <v/>
      </c>
      <c r="L1935" s="15">
        <f>IF(ISNUMBER(A1935),TEXT(A1935,"dd-mmm-yy"),"")</f>
        <v/>
      </c>
    </row>
    <row r="1936">
      <c r="A1936" s="14">
        <f>IF(OR(AH!$U$4=0,1931+1&gt;AH!$U$6,AND(AH!$M$5="Bloomberg",AH!$U$5=0)),"",IFERROR(IF(AND(AH!$U$12=1,1931+1=AH!$U$6),TODAY(),IF(AH!$U$5=1,INDEX('Live History'!$A$5:$A$3004,AH!$U$7+1931),INDEX('AH History'!$A$5:$A$1380,AH!$U$7+1931))),""))</f>
        <v/>
      </c>
      <c r="B1936" s="33">
        <f>IFERROR(IF(AH!$U$11=1,NA(),$J1936/$E1936-1),NA())</f>
        <v/>
      </c>
      <c r="C1936" s="269">
        <f>IFERROR(100*$E1936/$E$5,NA())</f>
        <v/>
      </c>
      <c r="D1936" s="269">
        <f>IFERROR(100*$J1936/$J$5,NA())</f>
        <v/>
      </c>
      <c r="E1936" s="32">
        <f>IFERROR(IF(AND(ISNUMBER($A1936),N(IF(AND(AH!$U$12=1,1931+1=AH!$U$6),IF(AH!$U$4=0,"unavailable",INDEX('Market Data'!$AN$5:$AN$66,AH!$U$4)),IF(AH!$U$5=1,INDEX('Live History'!$B$5:$B$3004,$K1936),INDEX('AH History'!$D$5:$GG$1380,$K1936,AH!$U$10))))&gt;0),IF(AND(AH!$U$12=1,1931+1=AH!$U$6),IF(AH!$U$4=0,"unavailable",INDEX('Market Data'!$AN$5:$AN$66,AH!$U$4)),IF(AH!$U$5=1,INDEX('Live History'!$B$5:$B$3004,$K1936),INDEX('AH History'!$D$5:$GG$1380,$K1936,AH!$U$10))),NA()),NA())</f>
        <v/>
      </c>
      <c r="F1936" s="32">
        <f>IFERROR(IF(ISNUMBER($A1936),IF(AND(AH!$U$12=1,1931+1=AH!$U$6),IF(AH!$U$4=0,"unavailable",INDEX('Market Data'!$AO$5:$AO$66,AH!$U$4)),IF(AH!$U$5=1,INDEX('Live History'!$E$5:$E$3004,MATCH($A1936,'Live History'!$D$5:$D$3004,1)),INDEX('AH History'!$D$5:$GG$1380,$K1936,AH!$U$10+1))),NA()),NA())</f>
        <v/>
      </c>
      <c r="G1936" s="34">
        <f>IFERROR(IF(ISNUMBER($A1936),IF(AND(AH!$U$12=1,1931+1=AH!$U$6),IF(AH!$U$4=0,"unavailable",INDEX('Market Data'!$AK$5:$AK$66,AH!$U$4)),IF(AH!$U$5=1,INDEX('Live History'!$D$5:$D$3004,MATCH($A1936,'Live History'!$D$5:$D$3004,1)),INDEX('AH History'!$D$5:$GG$1380,$K1936,AH!$U$10+2))),NA()),NA())</f>
        <v/>
      </c>
      <c r="H1936" s="266">
        <f>IFERROR(IF(ISNUMBER($A1936),IF(AND(AH!$U$12=1,1931+1=AH!$U$6),IF(AH!$U$4=0,"unavailable",INDEX('Market Data'!$AP$5:$AP$66,AH!$U$4)),IF(AH!$U$5=1,INDEX('Live History'!$H$5:$H$3004,MATCH($A1936,'Live History'!$G$5:$G$3004,1)),INDEX('AH History'!$B$5:$B$1380,$K1936))),NA()),NA())</f>
        <v/>
      </c>
      <c r="I1936" s="34">
        <f>IFERROR(IF(ISNUMBER($A1936),IF(AND(AH!$U$12=1,1931+1=AH!$U$6),TODAY(),IF(AH!$U$5=1,INDEX('Live History'!$G$5:$G$3004,MATCH($A1936,'Live History'!$G$5:$G$3004,1)),INDEX('AH History'!$C$5:$C$1380,$K1936))),NA()),NA())</f>
        <v/>
      </c>
      <c r="J1936" s="32">
        <f>IFERROR(IF(AND($F1936&gt;0,$H1936&gt;0,$A1936-$G1936&lt;=10,$A1936-$I1936&lt;=5,$G1936&gt;0,$I1936&gt;0),$F1936*$H1936,NA()),NA())</f>
        <v/>
      </c>
      <c r="K1936" s="15">
        <f>IF($A1936="","",IF(AH!$U$5=1,IFERROR(MATCH($A1936,'Live History'!$A$5:$A$3004,0),0),AH!$U$7+1931))</f>
        <v/>
      </c>
      <c r="L1936" s="15">
        <f>IF(ISNUMBER(A1936),TEXT(A1936,"dd-mmm-yy"),"")</f>
        <v/>
      </c>
    </row>
    <row r="1937">
      <c r="A1937" s="14">
        <f>IF(OR(AH!$U$4=0,1932+1&gt;AH!$U$6,AND(AH!$M$5="Bloomberg",AH!$U$5=0)),"",IFERROR(IF(AND(AH!$U$12=1,1932+1=AH!$U$6),TODAY(),IF(AH!$U$5=1,INDEX('Live History'!$A$5:$A$3004,AH!$U$7+1932),INDEX('AH History'!$A$5:$A$1380,AH!$U$7+1932))),""))</f>
        <v/>
      </c>
      <c r="B1937" s="33">
        <f>IFERROR(IF(AH!$U$11=1,NA(),$J1937/$E1937-1),NA())</f>
        <v/>
      </c>
      <c r="C1937" s="269">
        <f>IFERROR(100*$E1937/$E$5,NA())</f>
        <v/>
      </c>
      <c r="D1937" s="269">
        <f>IFERROR(100*$J1937/$J$5,NA())</f>
        <v/>
      </c>
      <c r="E1937" s="32">
        <f>IFERROR(IF(AND(ISNUMBER($A1937),N(IF(AND(AH!$U$12=1,1932+1=AH!$U$6),IF(AH!$U$4=0,"unavailable",INDEX('Market Data'!$AN$5:$AN$66,AH!$U$4)),IF(AH!$U$5=1,INDEX('Live History'!$B$5:$B$3004,$K1937),INDEX('AH History'!$D$5:$GG$1380,$K1937,AH!$U$10))))&gt;0),IF(AND(AH!$U$12=1,1932+1=AH!$U$6),IF(AH!$U$4=0,"unavailable",INDEX('Market Data'!$AN$5:$AN$66,AH!$U$4)),IF(AH!$U$5=1,INDEX('Live History'!$B$5:$B$3004,$K1937),INDEX('AH History'!$D$5:$GG$1380,$K1937,AH!$U$10))),NA()),NA())</f>
        <v/>
      </c>
      <c r="F1937" s="32">
        <f>IFERROR(IF(ISNUMBER($A1937),IF(AND(AH!$U$12=1,1932+1=AH!$U$6),IF(AH!$U$4=0,"unavailable",INDEX('Market Data'!$AO$5:$AO$66,AH!$U$4)),IF(AH!$U$5=1,INDEX('Live History'!$E$5:$E$3004,MATCH($A1937,'Live History'!$D$5:$D$3004,1)),INDEX('AH History'!$D$5:$GG$1380,$K1937,AH!$U$10+1))),NA()),NA())</f>
        <v/>
      </c>
      <c r="G1937" s="34">
        <f>IFERROR(IF(ISNUMBER($A1937),IF(AND(AH!$U$12=1,1932+1=AH!$U$6),IF(AH!$U$4=0,"unavailable",INDEX('Market Data'!$AK$5:$AK$66,AH!$U$4)),IF(AH!$U$5=1,INDEX('Live History'!$D$5:$D$3004,MATCH($A1937,'Live History'!$D$5:$D$3004,1)),INDEX('AH History'!$D$5:$GG$1380,$K1937,AH!$U$10+2))),NA()),NA())</f>
        <v/>
      </c>
      <c r="H1937" s="266">
        <f>IFERROR(IF(ISNUMBER($A1937),IF(AND(AH!$U$12=1,1932+1=AH!$U$6),IF(AH!$U$4=0,"unavailable",INDEX('Market Data'!$AP$5:$AP$66,AH!$U$4)),IF(AH!$U$5=1,INDEX('Live History'!$H$5:$H$3004,MATCH($A1937,'Live History'!$G$5:$G$3004,1)),INDEX('AH History'!$B$5:$B$1380,$K1937))),NA()),NA())</f>
        <v/>
      </c>
      <c r="I1937" s="34">
        <f>IFERROR(IF(ISNUMBER($A1937),IF(AND(AH!$U$12=1,1932+1=AH!$U$6),TODAY(),IF(AH!$U$5=1,INDEX('Live History'!$G$5:$G$3004,MATCH($A1937,'Live History'!$G$5:$G$3004,1)),INDEX('AH History'!$C$5:$C$1380,$K1937))),NA()),NA())</f>
        <v/>
      </c>
      <c r="J1937" s="32">
        <f>IFERROR(IF(AND($F1937&gt;0,$H1937&gt;0,$A1937-$G1937&lt;=10,$A1937-$I1937&lt;=5,$G1937&gt;0,$I1937&gt;0),$F1937*$H1937,NA()),NA())</f>
        <v/>
      </c>
      <c r="K1937" s="15">
        <f>IF($A1937="","",IF(AH!$U$5=1,IFERROR(MATCH($A1937,'Live History'!$A$5:$A$3004,0),0),AH!$U$7+1932))</f>
        <v/>
      </c>
      <c r="L1937" s="15">
        <f>IF(ISNUMBER(A1937),TEXT(A1937,"dd-mmm-yy"),"")</f>
        <v/>
      </c>
    </row>
    <row r="1938">
      <c r="A1938" s="14">
        <f>IF(OR(AH!$U$4=0,1933+1&gt;AH!$U$6,AND(AH!$M$5="Bloomberg",AH!$U$5=0)),"",IFERROR(IF(AND(AH!$U$12=1,1933+1=AH!$U$6),TODAY(),IF(AH!$U$5=1,INDEX('Live History'!$A$5:$A$3004,AH!$U$7+1933),INDEX('AH History'!$A$5:$A$1380,AH!$U$7+1933))),""))</f>
        <v/>
      </c>
      <c r="B1938" s="33">
        <f>IFERROR(IF(AH!$U$11=1,NA(),$J1938/$E1938-1),NA())</f>
        <v/>
      </c>
      <c r="C1938" s="269">
        <f>IFERROR(100*$E1938/$E$5,NA())</f>
        <v/>
      </c>
      <c r="D1938" s="269">
        <f>IFERROR(100*$J1938/$J$5,NA())</f>
        <v/>
      </c>
      <c r="E1938" s="32">
        <f>IFERROR(IF(AND(ISNUMBER($A1938),N(IF(AND(AH!$U$12=1,1933+1=AH!$U$6),IF(AH!$U$4=0,"unavailable",INDEX('Market Data'!$AN$5:$AN$66,AH!$U$4)),IF(AH!$U$5=1,INDEX('Live History'!$B$5:$B$3004,$K1938),INDEX('AH History'!$D$5:$GG$1380,$K1938,AH!$U$10))))&gt;0),IF(AND(AH!$U$12=1,1933+1=AH!$U$6),IF(AH!$U$4=0,"unavailable",INDEX('Market Data'!$AN$5:$AN$66,AH!$U$4)),IF(AH!$U$5=1,INDEX('Live History'!$B$5:$B$3004,$K1938),INDEX('AH History'!$D$5:$GG$1380,$K1938,AH!$U$10))),NA()),NA())</f>
        <v/>
      </c>
      <c r="F1938" s="32">
        <f>IFERROR(IF(ISNUMBER($A1938),IF(AND(AH!$U$12=1,1933+1=AH!$U$6),IF(AH!$U$4=0,"unavailable",INDEX('Market Data'!$AO$5:$AO$66,AH!$U$4)),IF(AH!$U$5=1,INDEX('Live History'!$E$5:$E$3004,MATCH($A1938,'Live History'!$D$5:$D$3004,1)),INDEX('AH History'!$D$5:$GG$1380,$K1938,AH!$U$10+1))),NA()),NA())</f>
        <v/>
      </c>
      <c r="G1938" s="34">
        <f>IFERROR(IF(ISNUMBER($A1938),IF(AND(AH!$U$12=1,1933+1=AH!$U$6),IF(AH!$U$4=0,"unavailable",INDEX('Market Data'!$AK$5:$AK$66,AH!$U$4)),IF(AH!$U$5=1,INDEX('Live History'!$D$5:$D$3004,MATCH($A1938,'Live History'!$D$5:$D$3004,1)),INDEX('AH History'!$D$5:$GG$1380,$K1938,AH!$U$10+2))),NA()),NA())</f>
        <v/>
      </c>
      <c r="H1938" s="266">
        <f>IFERROR(IF(ISNUMBER($A1938),IF(AND(AH!$U$12=1,1933+1=AH!$U$6),IF(AH!$U$4=0,"unavailable",INDEX('Market Data'!$AP$5:$AP$66,AH!$U$4)),IF(AH!$U$5=1,INDEX('Live History'!$H$5:$H$3004,MATCH($A1938,'Live History'!$G$5:$G$3004,1)),INDEX('AH History'!$B$5:$B$1380,$K1938))),NA()),NA())</f>
        <v/>
      </c>
      <c r="I1938" s="34">
        <f>IFERROR(IF(ISNUMBER($A1938),IF(AND(AH!$U$12=1,1933+1=AH!$U$6),TODAY(),IF(AH!$U$5=1,INDEX('Live History'!$G$5:$G$3004,MATCH($A1938,'Live History'!$G$5:$G$3004,1)),INDEX('AH History'!$C$5:$C$1380,$K1938))),NA()),NA())</f>
        <v/>
      </c>
      <c r="J1938" s="32">
        <f>IFERROR(IF(AND($F1938&gt;0,$H1938&gt;0,$A1938-$G1938&lt;=10,$A1938-$I1938&lt;=5,$G1938&gt;0,$I1938&gt;0),$F1938*$H1938,NA()),NA())</f>
        <v/>
      </c>
      <c r="K1938" s="15">
        <f>IF($A1938="","",IF(AH!$U$5=1,IFERROR(MATCH($A1938,'Live History'!$A$5:$A$3004,0),0),AH!$U$7+1933))</f>
        <v/>
      </c>
      <c r="L1938" s="15">
        <f>IF(ISNUMBER(A1938),TEXT(A1938,"dd-mmm-yy"),"")</f>
        <v/>
      </c>
    </row>
    <row r="1939">
      <c r="A1939" s="14">
        <f>IF(OR(AH!$U$4=0,1934+1&gt;AH!$U$6,AND(AH!$M$5="Bloomberg",AH!$U$5=0)),"",IFERROR(IF(AND(AH!$U$12=1,1934+1=AH!$U$6),TODAY(),IF(AH!$U$5=1,INDEX('Live History'!$A$5:$A$3004,AH!$U$7+1934),INDEX('AH History'!$A$5:$A$1380,AH!$U$7+1934))),""))</f>
        <v/>
      </c>
      <c r="B1939" s="33">
        <f>IFERROR(IF(AH!$U$11=1,NA(),$J1939/$E1939-1),NA())</f>
        <v/>
      </c>
      <c r="C1939" s="269">
        <f>IFERROR(100*$E1939/$E$5,NA())</f>
        <v/>
      </c>
      <c r="D1939" s="269">
        <f>IFERROR(100*$J1939/$J$5,NA())</f>
        <v/>
      </c>
      <c r="E1939" s="32">
        <f>IFERROR(IF(AND(ISNUMBER($A1939),N(IF(AND(AH!$U$12=1,1934+1=AH!$U$6),IF(AH!$U$4=0,"unavailable",INDEX('Market Data'!$AN$5:$AN$66,AH!$U$4)),IF(AH!$U$5=1,INDEX('Live History'!$B$5:$B$3004,$K1939),INDEX('AH History'!$D$5:$GG$1380,$K1939,AH!$U$10))))&gt;0),IF(AND(AH!$U$12=1,1934+1=AH!$U$6),IF(AH!$U$4=0,"unavailable",INDEX('Market Data'!$AN$5:$AN$66,AH!$U$4)),IF(AH!$U$5=1,INDEX('Live History'!$B$5:$B$3004,$K1939),INDEX('AH History'!$D$5:$GG$1380,$K1939,AH!$U$10))),NA()),NA())</f>
        <v/>
      </c>
      <c r="F1939" s="32">
        <f>IFERROR(IF(ISNUMBER($A1939),IF(AND(AH!$U$12=1,1934+1=AH!$U$6),IF(AH!$U$4=0,"unavailable",INDEX('Market Data'!$AO$5:$AO$66,AH!$U$4)),IF(AH!$U$5=1,INDEX('Live History'!$E$5:$E$3004,MATCH($A1939,'Live History'!$D$5:$D$3004,1)),INDEX('AH History'!$D$5:$GG$1380,$K1939,AH!$U$10+1))),NA()),NA())</f>
        <v/>
      </c>
      <c r="G1939" s="34">
        <f>IFERROR(IF(ISNUMBER($A1939),IF(AND(AH!$U$12=1,1934+1=AH!$U$6),IF(AH!$U$4=0,"unavailable",INDEX('Market Data'!$AK$5:$AK$66,AH!$U$4)),IF(AH!$U$5=1,INDEX('Live History'!$D$5:$D$3004,MATCH($A1939,'Live History'!$D$5:$D$3004,1)),INDEX('AH History'!$D$5:$GG$1380,$K1939,AH!$U$10+2))),NA()),NA())</f>
        <v/>
      </c>
      <c r="H1939" s="266">
        <f>IFERROR(IF(ISNUMBER($A1939),IF(AND(AH!$U$12=1,1934+1=AH!$U$6),IF(AH!$U$4=0,"unavailable",INDEX('Market Data'!$AP$5:$AP$66,AH!$U$4)),IF(AH!$U$5=1,INDEX('Live History'!$H$5:$H$3004,MATCH($A1939,'Live History'!$G$5:$G$3004,1)),INDEX('AH History'!$B$5:$B$1380,$K1939))),NA()),NA())</f>
        <v/>
      </c>
      <c r="I1939" s="34">
        <f>IFERROR(IF(ISNUMBER($A1939),IF(AND(AH!$U$12=1,1934+1=AH!$U$6),TODAY(),IF(AH!$U$5=1,INDEX('Live History'!$G$5:$G$3004,MATCH($A1939,'Live History'!$G$5:$G$3004,1)),INDEX('AH History'!$C$5:$C$1380,$K1939))),NA()),NA())</f>
        <v/>
      </c>
      <c r="J1939" s="32">
        <f>IFERROR(IF(AND($F1939&gt;0,$H1939&gt;0,$A1939-$G1939&lt;=10,$A1939-$I1939&lt;=5,$G1939&gt;0,$I1939&gt;0),$F1939*$H1939,NA()),NA())</f>
        <v/>
      </c>
      <c r="K1939" s="15">
        <f>IF($A1939="","",IF(AH!$U$5=1,IFERROR(MATCH($A1939,'Live History'!$A$5:$A$3004,0),0),AH!$U$7+1934))</f>
        <v/>
      </c>
      <c r="L1939" s="15">
        <f>IF(ISNUMBER(A1939),TEXT(A1939,"dd-mmm-yy"),"")</f>
        <v/>
      </c>
    </row>
    <row r="1940">
      <c r="A1940" s="14">
        <f>IF(OR(AH!$U$4=0,1935+1&gt;AH!$U$6,AND(AH!$M$5="Bloomberg",AH!$U$5=0)),"",IFERROR(IF(AND(AH!$U$12=1,1935+1=AH!$U$6),TODAY(),IF(AH!$U$5=1,INDEX('Live History'!$A$5:$A$3004,AH!$U$7+1935),INDEX('AH History'!$A$5:$A$1380,AH!$U$7+1935))),""))</f>
        <v/>
      </c>
      <c r="B1940" s="33">
        <f>IFERROR(IF(AH!$U$11=1,NA(),$J1940/$E1940-1),NA())</f>
        <v/>
      </c>
      <c r="C1940" s="269">
        <f>IFERROR(100*$E1940/$E$5,NA())</f>
        <v/>
      </c>
      <c r="D1940" s="269">
        <f>IFERROR(100*$J1940/$J$5,NA())</f>
        <v/>
      </c>
      <c r="E1940" s="32">
        <f>IFERROR(IF(AND(ISNUMBER($A1940),N(IF(AND(AH!$U$12=1,1935+1=AH!$U$6),IF(AH!$U$4=0,"unavailable",INDEX('Market Data'!$AN$5:$AN$66,AH!$U$4)),IF(AH!$U$5=1,INDEX('Live History'!$B$5:$B$3004,$K1940),INDEX('AH History'!$D$5:$GG$1380,$K1940,AH!$U$10))))&gt;0),IF(AND(AH!$U$12=1,1935+1=AH!$U$6),IF(AH!$U$4=0,"unavailable",INDEX('Market Data'!$AN$5:$AN$66,AH!$U$4)),IF(AH!$U$5=1,INDEX('Live History'!$B$5:$B$3004,$K1940),INDEX('AH History'!$D$5:$GG$1380,$K1940,AH!$U$10))),NA()),NA())</f>
        <v/>
      </c>
      <c r="F1940" s="32">
        <f>IFERROR(IF(ISNUMBER($A1940),IF(AND(AH!$U$12=1,1935+1=AH!$U$6),IF(AH!$U$4=0,"unavailable",INDEX('Market Data'!$AO$5:$AO$66,AH!$U$4)),IF(AH!$U$5=1,INDEX('Live History'!$E$5:$E$3004,MATCH($A1940,'Live History'!$D$5:$D$3004,1)),INDEX('AH History'!$D$5:$GG$1380,$K1940,AH!$U$10+1))),NA()),NA())</f>
        <v/>
      </c>
      <c r="G1940" s="34">
        <f>IFERROR(IF(ISNUMBER($A1940),IF(AND(AH!$U$12=1,1935+1=AH!$U$6),IF(AH!$U$4=0,"unavailable",INDEX('Market Data'!$AK$5:$AK$66,AH!$U$4)),IF(AH!$U$5=1,INDEX('Live History'!$D$5:$D$3004,MATCH($A1940,'Live History'!$D$5:$D$3004,1)),INDEX('AH History'!$D$5:$GG$1380,$K1940,AH!$U$10+2))),NA()),NA())</f>
        <v/>
      </c>
      <c r="H1940" s="266">
        <f>IFERROR(IF(ISNUMBER($A1940),IF(AND(AH!$U$12=1,1935+1=AH!$U$6),IF(AH!$U$4=0,"unavailable",INDEX('Market Data'!$AP$5:$AP$66,AH!$U$4)),IF(AH!$U$5=1,INDEX('Live History'!$H$5:$H$3004,MATCH($A1940,'Live History'!$G$5:$G$3004,1)),INDEX('AH History'!$B$5:$B$1380,$K1940))),NA()),NA())</f>
        <v/>
      </c>
      <c r="I1940" s="34">
        <f>IFERROR(IF(ISNUMBER($A1940),IF(AND(AH!$U$12=1,1935+1=AH!$U$6),TODAY(),IF(AH!$U$5=1,INDEX('Live History'!$G$5:$G$3004,MATCH($A1940,'Live History'!$G$5:$G$3004,1)),INDEX('AH History'!$C$5:$C$1380,$K1940))),NA()),NA())</f>
        <v/>
      </c>
      <c r="J1940" s="32">
        <f>IFERROR(IF(AND($F1940&gt;0,$H1940&gt;0,$A1940-$G1940&lt;=10,$A1940-$I1940&lt;=5,$G1940&gt;0,$I1940&gt;0),$F1940*$H1940,NA()),NA())</f>
        <v/>
      </c>
      <c r="K1940" s="15">
        <f>IF($A1940="","",IF(AH!$U$5=1,IFERROR(MATCH($A1940,'Live History'!$A$5:$A$3004,0),0),AH!$U$7+1935))</f>
        <v/>
      </c>
      <c r="L1940" s="15">
        <f>IF(ISNUMBER(A1940),TEXT(A1940,"dd-mmm-yy"),"")</f>
        <v/>
      </c>
    </row>
    <row r="1941">
      <c r="A1941" s="14">
        <f>IF(OR(AH!$U$4=0,1936+1&gt;AH!$U$6,AND(AH!$M$5="Bloomberg",AH!$U$5=0)),"",IFERROR(IF(AND(AH!$U$12=1,1936+1=AH!$U$6),TODAY(),IF(AH!$U$5=1,INDEX('Live History'!$A$5:$A$3004,AH!$U$7+1936),INDEX('AH History'!$A$5:$A$1380,AH!$U$7+1936))),""))</f>
        <v/>
      </c>
      <c r="B1941" s="33">
        <f>IFERROR(IF(AH!$U$11=1,NA(),$J1941/$E1941-1),NA())</f>
        <v/>
      </c>
      <c r="C1941" s="269">
        <f>IFERROR(100*$E1941/$E$5,NA())</f>
        <v/>
      </c>
      <c r="D1941" s="269">
        <f>IFERROR(100*$J1941/$J$5,NA())</f>
        <v/>
      </c>
      <c r="E1941" s="32">
        <f>IFERROR(IF(AND(ISNUMBER($A1941),N(IF(AND(AH!$U$12=1,1936+1=AH!$U$6),IF(AH!$U$4=0,"unavailable",INDEX('Market Data'!$AN$5:$AN$66,AH!$U$4)),IF(AH!$U$5=1,INDEX('Live History'!$B$5:$B$3004,$K1941),INDEX('AH History'!$D$5:$GG$1380,$K1941,AH!$U$10))))&gt;0),IF(AND(AH!$U$12=1,1936+1=AH!$U$6),IF(AH!$U$4=0,"unavailable",INDEX('Market Data'!$AN$5:$AN$66,AH!$U$4)),IF(AH!$U$5=1,INDEX('Live History'!$B$5:$B$3004,$K1941),INDEX('AH History'!$D$5:$GG$1380,$K1941,AH!$U$10))),NA()),NA())</f>
        <v/>
      </c>
      <c r="F1941" s="32">
        <f>IFERROR(IF(ISNUMBER($A1941),IF(AND(AH!$U$12=1,1936+1=AH!$U$6),IF(AH!$U$4=0,"unavailable",INDEX('Market Data'!$AO$5:$AO$66,AH!$U$4)),IF(AH!$U$5=1,INDEX('Live History'!$E$5:$E$3004,MATCH($A1941,'Live History'!$D$5:$D$3004,1)),INDEX('AH History'!$D$5:$GG$1380,$K1941,AH!$U$10+1))),NA()),NA())</f>
        <v/>
      </c>
      <c r="G1941" s="34">
        <f>IFERROR(IF(ISNUMBER($A1941),IF(AND(AH!$U$12=1,1936+1=AH!$U$6),IF(AH!$U$4=0,"unavailable",INDEX('Market Data'!$AK$5:$AK$66,AH!$U$4)),IF(AH!$U$5=1,INDEX('Live History'!$D$5:$D$3004,MATCH($A1941,'Live History'!$D$5:$D$3004,1)),INDEX('AH History'!$D$5:$GG$1380,$K1941,AH!$U$10+2))),NA()),NA())</f>
        <v/>
      </c>
      <c r="H1941" s="266">
        <f>IFERROR(IF(ISNUMBER($A1941),IF(AND(AH!$U$12=1,1936+1=AH!$U$6),IF(AH!$U$4=0,"unavailable",INDEX('Market Data'!$AP$5:$AP$66,AH!$U$4)),IF(AH!$U$5=1,INDEX('Live History'!$H$5:$H$3004,MATCH($A1941,'Live History'!$G$5:$G$3004,1)),INDEX('AH History'!$B$5:$B$1380,$K1941))),NA()),NA())</f>
        <v/>
      </c>
      <c r="I1941" s="34">
        <f>IFERROR(IF(ISNUMBER($A1941),IF(AND(AH!$U$12=1,1936+1=AH!$U$6),TODAY(),IF(AH!$U$5=1,INDEX('Live History'!$G$5:$G$3004,MATCH($A1941,'Live History'!$G$5:$G$3004,1)),INDEX('AH History'!$C$5:$C$1380,$K1941))),NA()),NA())</f>
        <v/>
      </c>
      <c r="J1941" s="32">
        <f>IFERROR(IF(AND($F1941&gt;0,$H1941&gt;0,$A1941-$G1941&lt;=10,$A1941-$I1941&lt;=5,$G1941&gt;0,$I1941&gt;0),$F1941*$H1941,NA()),NA())</f>
        <v/>
      </c>
      <c r="K1941" s="15">
        <f>IF($A1941="","",IF(AH!$U$5=1,IFERROR(MATCH($A1941,'Live History'!$A$5:$A$3004,0),0),AH!$U$7+1936))</f>
        <v/>
      </c>
      <c r="L1941" s="15">
        <f>IF(ISNUMBER(A1941),TEXT(A1941,"dd-mmm-yy"),"")</f>
        <v/>
      </c>
    </row>
    <row r="1942">
      <c r="A1942" s="14">
        <f>IF(OR(AH!$U$4=0,1937+1&gt;AH!$U$6,AND(AH!$M$5="Bloomberg",AH!$U$5=0)),"",IFERROR(IF(AND(AH!$U$12=1,1937+1=AH!$U$6),TODAY(),IF(AH!$U$5=1,INDEX('Live History'!$A$5:$A$3004,AH!$U$7+1937),INDEX('AH History'!$A$5:$A$1380,AH!$U$7+1937))),""))</f>
        <v/>
      </c>
      <c r="B1942" s="33">
        <f>IFERROR(IF(AH!$U$11=1,NA(),$J1942/$E1942-1),NA())</f>
        <v/>
      </c>
      <c r="C1942" s="269">
        <f>IFERROR(100*$E1942/$E$5,NA())</f>
        <v/>
      </c>
      <c r="D1942" s="269">
        <f>IFERROR(100*$J1942/$J$5,NA())</f>
        <v/>
      </c>
      <c r="E1942" s="32">
        <f>IFERROR(IF(AND(ISNUMBER($A1942),N(IF(AND(AH!$U$12=1,1937+1=AH!$U$6),IF(AH!$U$4=0,"unavailable",INDEX('Market Data'!$AN$5:$AN$66,AH!$U$4)),IF(AH!$U$5=1,INDEX('Live History'!$B$5:$B$3004,$K1942),INDEX('AH History'!$D$5:$GG$1380,$K1942,AH!$U$10))))&gt;0),IF(AND(AH!$U$12=1,1937+1=AH!$U$6),IF(AH!$U$4=0,"unavailable",INDEX('Market Data'!$AN$5:$AN$66,AH!$U$4)),IF(AH!$U$5=1,INDEX('Live History'!$B$5:$B$3004,$K1942),INDEX('AH History'!$D$5:$GG$1380,$K1942,AH!$U$10))),NA()),NA())</f>
        <v/>
      </c>
      <c r="F1942" s="32">
        <f>IFERROR(IF(ISNUMBER($A1942),IF(AND(AH!$U$12=1,1937+1=AH!$U$6),IF(AH!$U$4=0,"unavailable",INDEX('Market Data'!$AO$5:$AO$66,AH!$U$4)),IF(AH!$U$5=1,INDEX('Live History'!$E$5:$E$3004,MATCH($A1942,'Live History'!$D$5:$D$3004,1)),INDEX('AH History'!$D$5:$GG$1380,$K1942,AH!$U$10+1))),NA()),NA())</f>
        <v/>
      </c>
      <c r="G1942" s="34">
        <f>IFERROR(IF(ISNUMBER($A1942),IF(AND(AH!$U$12=1,1937+1=AH!$U$6),IF(AH!$U$4=0,"unavailable",INDEX('Market Data'!$AK$5:$AK$66,AH!$U$4)),IF(AH!$U$5=1,INDEX('Live History'!$D$5:$D$3004,MATCH($A1942,'Live History'!$D$5:$D$3004,1)),INDEX('AH History'!$D$5:$GG$1380,$K1942,AH!$U$10+2))),NA()),NA())</f>
        <v/>
      </c>
      <c r="H1942" s="266">
        <f>IFERROR(IF(ISNUMBER($A1942),IF(AND(AH!$U$12=1,1937+1=AH!$U$6),IF(AH!$U$4=0,"unavailable",INDEX('Market Data'!$AP$5:$AP$66,AH!$U$4)),IF(AH!$U$5=1,INDEX('Live History'!$H$5:$H$3004,MATCH($A1942,'Live History'!$G$5:$G$3004,1)),INDEX('AH History'!$B$5:$B$1380,$K1942))),NA()),NA())</f>
        <v/>
      </c>
      <c r="I1942" s="34">
        <f>IFERROR(IF(ISNUMBER($A1942),IF(AND(AH!$U$12=1,1937+1=AH!$U$6),TODAY(),IF(AH!$U$5=1,INDEX('Live History'!$G$5:$G$3004,MATCH($A1942,'Live History'!$G$5:$G$3004,1)),INDEX('AH History'!$C$5:$C$1380,$K1942))),NA()),NA())</f>
        <v/>
      </c>
      <c r="J1942" s="32">
        <f>IFERROR(IF(AND($F1942&gt;0,$H1942&gt;0,$A1942-$G1942&lt;=10,$A1942-$I1942&lt;=5,$G1942&gt;0,$I1942&gt;0),$F1942*$H1942,NA()),NA())</f>
        <v/>
      </c>
      <c r="K1942" s="15">
        <f>IF($A1942="","",IF(AH!$U$5=1,IFERROR(MATCH($A1942,'Live History'!$A$5:$A$3004,0),0),AH!$U$7+1937))</f>
        <v/>
      </c>
      <c r="L1942" s="15">
        <f>IF(ISNUMBER(A1942),TEXT(A1942,"dd-mmm-yy"),"")</f>
        <v/>
      </c>
    </row>
    <row r="1943">
      <c r="A1943" s="14">
        <f>IF(OR(AH!$U$4=0,1938+1&gt;AH!$U$6,AND(AH!$M$5="Bloomberg",AH!$U$5=0)),"",IFERROR(IF(AND(AH!$U$12=1,1938+1=AH!$U$6),TODAY(),IF(AH!$U$5=1,INDEX('Live History'!$A$5:$A$3004,AH!$U$7+1938),INDEX('AH History'!$A$5:$A$1380,AH!$U$7+1938))),""))</f>
        <v/>
      </c>
      <c r="B1943" s="33">
        <f>IFERROR(IF(AH!$U$11=1,NA(),$J1943/$E1943-1),NA())</f>
        <v/>
      </c>
      <c r="C1943" s="269">
        <f>IFERROR(100*$E1943/$E$5,NA())</f>
        <v/>
      </c>
      <c r="D1943" s="269">
        <f>IFERROR(100*$J1943/$J$5,NA())</f>
        <v/>
      </c>
      <c r="E1943" s="32">
        <f>IFERROR(IF(AND(ISNUMBER($A1943),N(IF(AND(AH!$U$12=1,1938+1=AH!$U$6),IF(AH!$U$4=0,"unavailable",INDEX('Market Data'!$AN$5:$AN$66,AH!$U$4)),IF(AH!$U$5=1,INDEX('Live History'!$B$5:$B$3004,$K1943),INDEX('AH History'!$D$5:$GG$1380,$K1943,AH!$U$10))))&gt;0),IF(AND(AH!$U$12=1,1938+1=AH!$U$6),IF(AH!$U$4=0,"unavailable",INDEX('Market Data'!$AN$5:$AN$66,AH!$U$4)),IF(AH!$U$5=1,INDEX('Live History'!$B$5:$B$3004,$K1943),INDEX('AH History'!$D$5:$GG$1380,$K1943,AH!$U$10))),NA()),NA())</f>
        <v/>
      </c>
      <c r="F1943" s="32">
        <f>IFERROR(IF(ISNUMBER($A1943),IF(AND(AH!$U$12=1,1938+1=AH!$U$6),IF(AH!$U$4=0,"unavailable",INDEX('Market Data'!$AO$5:$AO$66,AH!$U$4)),IF(AH!$U$5=1,INDEX('Live History'!$E$5:$E$3004,MATCH($A1943,'Live History'!$D$5:$D$3004,1)),INDEX('AH History'!$D$5:$GG$1380,$K1943,AH!$U$10+1))),NA()),NA())</f>
        <v/>
      </c>
      <c r="G1943" s="34">
        <f>IFERROR(IF(ISNUMBER($A1943),IF(AND(AH!$U$12=1,1938+1=AH!$U$6),IF(AH!$U$4=0,"unavailable",INDEX('Market Data'!$AK$5:$AK$66,AH!$U$4)),IF(AH!$U$5=1,INDEX('Live History'!$D$5:$D$3004,MATCH($A1943,'Live History'!$D$5:$D$3004,1)),INDEX('AH History'!$D$5:$GG$1380,$K1943,AH!$U$10+2))),NA()),NA())</f>
        <v/>
      </c>
      <c r="H1943" s="266">
        <f>IFERROR(IF(ISNUMBER($A1943),IF(AND(AH!$U$12=1,1938+1=AH!$U$6),IF(AH!$U$4=0,"unavailable",INDEX('Market Data'!$AP$5:$AP$66,AH!$U$4)),IF(AH!$U$5=1,INDEX('Live History'!$H$5:$H$3004,MATCH($A1943,'Live History'!$G$5:$G$3004,1)),INDEX('AH History'!$B$5:$B$1380,$K1943))),NA()),NA())</f>
        <v/>
      </c>
      <c r="I1943" s="34">
        <f>IFERROR(IF(ISNUMBER($A1943),IF(AND(AH!$U$12=1,1938+1=AH!$U$6),TODAY(),IF(AH!$U$5=1,INDEX('Live History'!$G$5:$G$3004,MATCH($A1943,'Live History'!$G$5:$G$3004,1)),INDEX('AH History'!$C$5:$C$1380,$K1943))),NA()),NA())</f>
        <v/>
      </c>
      <c r="J1943" s="32">
        <f>IFERROR(IF(AND($F1943&gt;0,$H1943&gt;0,$A1943-$G1943&lt;=10,$A1943-$I1943&lt;=5,$G1943&gt;0,$I1943&gt;0),$F1943*$H1943,NA()),NA())</f>
        <v/>
      </c>
      <c r="K1943" s="15">
        <f>IF($A1943="","",IF(AH!$U$5=1,IFERROR(MATCH($A1943,'Live History'!$A$5:$A$3004,0),0),AH!$U$7+1938))</f>
        <v/>
      </c>
      <c r="L1943" s="15">
        <f>IF(ISNUMBER(A1943),TEXT(A1943,"dd-mmm-yy"),"")</f>
        <v/>
      </c>
    </row>
    <row r="1944">
      <c r="A1944" s="14">
        <f>IF(OR(AH!$U$4=0,1939+1&gt;AH!$U$6,AND(AH!$M$5="Bloomberg",AH!$U$5=0)),"",IFERROR(IF(AND(AH!$U$12=1,1939+1=AH!$U$6),TODAY(),IF(AH!$U$5=1,INDEX('Live History'!$A$5:$A$3004,AH!$U$7+1939),INDEX('AH History'!$A$5:$A$1380,AH!$U$7+1939))),""))</f>
        <v/>
      </c>
      <c r="B1944" s="33">
        <f>IFERROR(IF(AH!$U$11=1,NA(),$J1944/$E1944-1),NA())</f>
        <v/>
      </c>
      <c r="C1944" s="269">
        <f>IFERROR(100*$E1944/$E$5,NA())</f>
        <v/>
      </c>
      <c r="D1944" s="269">
        <f>IFERROR(100*$J1944/$J$5,NA())</f>
        <v/>
      </c>
      <c r="E1944" s="32">
        <f>IFERROR(IF(AND(ISNUMBER($A1944),N(IF(AND(AH!$U$12=1,1939+1=AH!$U$6),IF(AH!$U$4=0,"unavailable",INDEX('Market Data'!$AN$5:$AN$66,AH!$U$4)),IF(AH!$U$5=1,INDEX('Live History'!$B$5:$B$3004,$K1944),INDEX('AH History'!$D$5:$GG$1380,$K1944,AH!$U$10))))&gt;0),IF(AND(AH!$U$12=1,1939+1=AH!$U$6),IF(AH!$U$4=0,"unavailable",INDEX('Market Data'!$AN$5:$AN$66,AH!$U$4)),IF(AH!$U$5=1,INDEX('Live History'!$B$5:$B$3004,$K1944),INDEX('AH History'!$D$5:$GG$1380,$K1944,AH!$U$10))),NA()),NA())</f>
        <v/>
      </c>
      <c r="F1944" s="32">
        <f>IFERROR(IF(ISNUMBER($A1944),IF(AND(AH!$U$12=1,1939+1=AH!$U$6),IF(AH!$U$4=0,"unavailable",INDEX('Market Data'!$AO$5:$AO$66,AH!$U$4)),IF(AH!$U$5=1,INDEX('Live History'!$E$5:$E$3004,MATCH($A1944,'Live History'!$D$5:$D$3004,1)),INDEX('AH History'!$D$5:$GG$1380,$K1944,AH!$U$10+1))),NA()),NA())</f>
        <v/>
      </c>
      <c r="G1944" s="34">
        <f>IFERROR(IF(ISNUMBER($A1944),IF(AND(AH!$U$12=1,1939+1=AH!$U$6),IF(AH!$U$4=0,"unavailable",INDEX('Market Data'!$AK$5:$AK$66,AH!$U$4)),IF(AH!$U$5=1,INDEX('Live History'!$D$5:$D$3004,MATCH($A1944,'Live History'!$D$5:$D$3004,1)),INDEX('AH History'!$D$5:$GG$1380,$K1944,AH!$U$10+2))),NA()),NA())</f>
        <v/>
      </c>
      <c r="H1944" s="266">
        <f>IFERROR(IF(ISNUMBER($A1944),IF(AND(AH!$U$12=1,1939+1=AH!$U$6),IF(AH!$U$4=0,"unavailable",INDEX('Market Data'!$AP$5:$AP$66,AH!$U$4)),IF(AH!$U$5=1,INDEX('Live History'!$H$5:$H$3004,MATCH($A1944,'Live History'!$G$5:$G$3004,1)),INDEX('AH History'!$B$5:$B$1380,$K1944))),NA()),NA())</f>
        <v/>
      </c>
      <c r="I1944" s="34">
        <f>IFERROR(IF(ISNUMBER($A1944),IF(AND(AH!$U$12=1,1939+1=AH!$U$6),TODAY(),IF(AH!$U$5=1,INDEX('Live History'!$G$5:$G$3004,MATCH($A1944,'Live History'!$G$5:$G$3004,1)),INDEX('AH History'!$C$5:$C$1380,$K1944))),NA()),NA())</f>
        <v/>
      </c>
      <c r="J1944" s="32">
        <f>IFERROR(IF(AND($F1944&gt;0,$H1944&gt;0,$A1944-$G1944&lt;=10,$A1944-$I1944&lt;=5,$G1944&gt;0,$I1944&gt;0),$F1944*$H1944,NA()),NA())</f>
        <v/>
      </c>
      <c r="K1944" s="15">
        <f>IF($A1944="","",IF(AH!$U$5=1,IFERROR(MATCH($A1944,'Live History'!$A$5:$A$3004,0),0),AH!$U$7+1939))</f>
        <v/>
      </c>
      <c r="L1944" s="15">
        <f>IF(ISNUMBER(A1944),TEXT(A1944,"dd-mmm-yy"),"")</f>
        <v/>
      </c>
    </row>
    <row r="1945">
      <c r="A1945" s="14">
        <f>IF(OR(AH!$U$4=0,1940+1&gt;AH!$U$6,AND(AH!$M$5="Bloomberg",AH!$U$5=0)),"",IFERROR(IF(AND(AH!$U$12=1,1940+1=AH!$U$6),TODAY(),IF(AH!$U$5=1,INDEX('Live History'!$A$5:$A$3004,AH!$U$7+1940),INDEX('AH History'!$A$5:$A$1380,AH!$U$7+1940))),""))</f>
        <v/>
      </c>
      <c r="B1945" s="33">
        <f>IFERROR(IF(AH!$U$11=1,NA(),$J1945/$E1945-1),NA())</f>
        <v/>
      </c>
      <c r="C1945" s="269">
        <f>IFERROR(100*$E1945/$E$5,NA())</f>
        <v/>
      </c>
      <c r="D1945" s="269">
        <f>IFERROR(100*$J1945/$J$5,NA())</f>
        <v/>
      </c>
      <c r="E1945" s="32">
        <f>IFERROR(IF(AND(ISNUMBER($A1945),N(IF(AND(AH!$U$12=1,1940+1=AH!$U$6),IF(AH!$U$4=0,"unavailable",INDEX('Market Data'!$AN$5:$AN$66,AH!$U$4)),IF(AH!$U$5=1,INDEX('Live History'!$B$5:$B$3004,$K1945),INDEX('AH History'!$D$5:$GG$1380,$K1945,AH!$U$10))))&gt;0),IF(AND(AH!$U$12=1,1940+1=AH!$U$6),IF(AH!$U$4=0,"unavailable",INDEX('Market Data'!$AN$5:$AN$66,AH!$U$4)),IF(AH!$U$5=1,INDEX('Live History'!$B$5:$B$3004,$K1945),INDEX('AH History'!$D$5:$GG$1380,$K1945,AH!$U$10))),NA()),NA())</f>
        <v/>
      </c>
      <c r="F1945" s="32">
        <f>IFERROR(IF(ISNUMBER($A1945),IF(AND(AH!$U$12=1,1940+1=AH!$U$6),IF(AH!$U$4=0,"unavailable",INDEX('Market Data'!$AO$5:$AO$66,AH!$U$4)),IF(AH!$U$5=1,INDEX('Live History'!$E$5:$E$3004,MATCH($A1945,'Live History'!$D$5:$D$3004,1)),INDEX('AH History'!$D$5:$GG$1380,$K1945,AH!$U$10+1))),NA()),NA())</f>
        <v/>
      </c>
      <c r="G1945" s="34">
        <f>IFERROR(IF(ISNUMBER($A1945),IF(AND(AH!$U$12=1,1940+1=AH!$U$6),IF(AH!$U$4=0,"unavailable",INDEX('Market Data'!$AK$5:$AK$66,AH!$U$4)),IF(AH!$U$5=1,INDEX('Live History'!$D$5:$D$3004,MATCH($A1945,'Live History'!$D$5:$D$3004,1)),INDEX('AH History'!$D$5:$GG$1380,$K1945,AH!$U$10+2))),NA()),NA())</f>
        <v/>
      </c>
      <c r="H1945" s="266">
        <f>IFERROR(IF(ISNUMBER($A1945),IF(AND(AH!$U$12=1,1940+1=AH!$U$6),IF(AH!$U$4=0,"unavailable",INDEX('Market Data'!$AP$5:$AP$66,AH!$U$4)),IF(AH!$U$5=1,INDEX('Live History'!$H$5:$H$3004,MATCH($A1945,'Live History'!$G$5:$G$3004,1)),INDEX('AH History'!$B$5:$B$1380,$K1945))),NA()),NA())</f>
        <v/>
      </c>
      <c r="I1945" s="34">
        <f>IFERROR(IF(ISNUMBER($A1945),IF(AND(AH!$U$12=1,1940+1=AH!$U$6),TODAY(),IF(AH!$U$5=1,INDEX('Live History'!$G$5:$G$3004,MATCH($A1945,'Live History'!$G$5:$G$3004,1)),INDEX('AH History'!$C$5:$C$1380,$K1945))),NA()),NA())</f>
        <v/>
      </c>
      <c r="J1945" s="32">
        <f>IFERROR(IF(AND($F1945&gt;0,$H1945&gt;0,$A1945-$G1945&lt;=10,$A1945-$I1945&lt;=5,$G1945&gt;0,$I1945&gt;0),$F1945*$H1945,NA()),NA())</f>
        <v/>
      </c>
      <c r="K1945" s="15">
        <f>IF($A1945="","",IF(AH!$U$5=1,IFERROR(MATCH($A1945,'Live History'!$A$5:$A$3004,0),0),AH!$U$7+1940))</f>
        <v/>
      </c>
      <c r="L1945" s="15">
        <f>IF(ISNUMBER(A1945),TEXT(A1945,"dd-mmm-yy"),"")</f>
        <v/>
      </c>
    </row>
    <row r="1946">
      <c r="A1946" s="14">
        <f>IF(OR(AH!$U$4=0,1941+1&gt;AH!$U$6,AND(AH!$M$5="Bloomberg",AH!$U$5=0)),"",IFERROR(IF(AND(AH!$U$12=1,1941+1=AH!$U$6),TODAY(),IF(AH!$U$5=1,INDEX('Live History'!$A$5:$A$3004,AH!$U$7+1941),INDEX('AH History'!$A$5:$A$1380,AH!$U$7+1941))),""))</f>
        <v/>
      </c>
      <c r="B1946" s="33">
        <f>IFERROR(IF(AH!$U$11=1,NA(),$J1946/$E1946-1),NA())</f>
        <v/>
      </c>
      <c r="C1946" s="269">
        <f>IFERROR(100*$E1946/$E$5,NA())</f>
        <v/>
      </c>
      <c r="D1946" s="269">
        <f>IFERROR(100*$J1946/$J$5,NA())</f>
        <v/>
      </c>
      <c r="E1946" s="32">
        <f>IFERROR(IF(AND(ISNUMBER($A1946),N(IF(AND(AH!$U$12=1,1941+1=AH!$U$6),IF(AH!$U$4=0,"unavailable",INDEX('Market Data'!$AN$5:$AN$66,AH!$U$4)),IF(AH!$U$5=1,INDEX('Live History'!$B$5:$B$3004,$K1946),INDEX('AH History'!$D$5:$GG$1380,$K1946,AH!$U$10))))&gt;0),IF(AND(AH!$U$12=1,1941+1=AH!$U$6),IF(AH!$U$4=0,"unavailable",INDEX('Market Data'!$AN$5:$AN$66,AH!$U$4)),IF(AH!$U$5=1,INDEX('Live History'!$B$5:$B$3004,$K1946),INDEX('AH History'!$D$5:$GG$1380,$K1946,AH!$U$10))),NA()),NA())</f>
        <v/>
      </c>
      <c r="F1946" s="32">
        <f>IFERROR(IF(ISNUMBER($A1946),IF(AND(AH!$U$12=1,1941+1=AH!$U$6),IF(AH!$U$4=0,"unavailable",INDEX('Market Data'!$AO$5:$AO$66,AH!$U$4)),IF(AH!$U$5=1,INDEX('Live History'!$E$5:$E$3004,MATCH($A1946,'Live History'!$D$5:$D$3004,1)),INDEX('AH History'!$D$5:$GG$1380,$K1946,AH!$U$10+1))),NA()),NA())</f>
        <v/>
      </c>
      <c r="G1946" s="34">
        <f>IFERROR(IF(ISNUMBER($A1946),IF(AND(AH!$U$12=1,1941+1=AH!$U$6),IF(AH!$U$4=0,"unavailable",INDEX('Market Data'!$AK$5:$AK$66,AH!$U$4)),IF(AH!$U$5=1,INDEX('Live History'!$D$5:$D$3004,MATCH($A1946,'Live History'!$D$5:$D$3004,1)),INDEX('AH History'!$D$5:$GG$1380,$K1946,AH!$U$10+2))),NA()),NA())</f>
        <v/>
      </c>
      <c r="H1946" s="266">
        <f>IFERROR(IF(ISNUMBER($A1946),IF(AND(AH!$U$12=1,1941+1=AH!$U$6),IF(AH!$U$4=0,"unavailable",INDEX('Market Data'!$AP$5:$AP$66,AH!$U$4)),IF(AH!$U$5=1,INDEX('Live History'!$H$5:$H$3004,MATCH($A1946,'Live History'!$G$5:$G$3004,1)),INDEX('AH History'!$B$5:$B$1380,$K1946))),NA()),NA())</f>
        <v/>
      </c>
      <c r="I1946" s="34">
        <f>IFERROR(IF(ISNUMBER($A1946),IF(AND(AH!$U$12=1,1941+1=AH!$U$6),TODAY(),IF(AH!$U$5=1,INDEX('Live History'!$G$5:$G$3004,MATCH($A1946,'Live History'!$G$5:$G$3004,1)),INDEX('AH History'!$C$5:$C$1380,$K1946))),NA()),NA())</f>
        <v/>
      </c>
      <c r="J1946" s="32">
        <f>IFERROR(IF(AND($F1946&gt;0,$H1946&gt;0,$A1946-$G1946&lt;=10,$A1946-$I1946&lt;=5,$G1946&gt;0,$I1946&gt;0),$F1946*$H1946,NA()),NA())</f>
        <v/>
      </c>
      <c r="K1946" s="15">
        <f>IF($A1946="","",IF(AH!$U$5=1,IFERROR(MATCH($A1946,'Live History'!$A$5:$A$3004,0),0),AH!$U$7+1941))</f>
        <v/>
      </c>
      <c r="L1946" s="15">
        <f>IF(ISNUMBER(A1946),TEXT(A1946,"dd-mmm-yy"),"")</f>
        <v/>
      </c>
    </row>
    <row r="1947">
      <c r="A1947" s="14">
        <f>IF(OR(AH!$U$4=0,1942+1&gt;AH!$U$6,AND(AH!$M$5="Bloomberg",AH!$U$5=0)),"",IFERROR(IF(AND(AH!$U$12=1,1942+1=AH!$U$6),TODAY(),IF(AH!$U$5=1,INDEX('Live History'!$A$5:$A$3004,AH!$U$7+1942),INDEX('AH History'!$A$5:$A$1380,AH!$U$7+1942))),""))</f>
        <v/>
      </c>
      <c r="B1947" s="33">
        <f>IFERROR(IF(AH!$U$11=1,NA(),$J1947/$E1947-1),NA())</f>
        <v/>
      </c>
      <c r="C1947" s="269">
        <f>IFERROR(100*$E1947/$E$5,NA())</f>
        <v/>
      </c>
      <c r="D1947" s="269">
        <f>IFERROR(100*$J1947/$J$5,NA())</f>
        <v/>
      </c>
      <c r="E1947" s="32">
        <f>IFERROR(IF(AND(ISNUMBER($A1947),N(IF(AND(AH!$U$12=1,1942+1=AH!$U$6),IF(AH!$U$4=0,"unavailable",INDEX('Market Data'!$AN$5:$AN$66,AH!$U$4)),IF(AH!$U$5=1,INDEX('Live History'!$B$5:$B$3004,$K1947),INDEX('AH History'!$D$5:$GG$1380,$K1947,AH!$U$10))))&gt;0),IF(AND(AH!$U$12=1,1942+1=AH!$U$6),IF(AH!$U$4=0,"unavailable",INDEX('Market Data'!$AN$5:$AN$66,AH!$U$4)),IF(AH!$U$5=1,INDEX('Live History'!$B$5:$B$3004,$K1947),INDEX('AH History'!$D$5:$GG$1380,$K1947,AH!$U$10))),NA()),NA())</f>
        <v/>
      </c>
      <c r="F1947" s="32">
        <f>IFERROR(IF(ISNUMBER($A1947),IF(AND(AH!$U$12=1,1942+1=AH!$U$6),IF(AH!$U$4=0,"unavailable",INDEX('Market Data'!$AO$5:$AO$66,AH!$U$4)),IF(AH!$U$5=1,INDEX('Live History'!$E$5:$E$3004,MATCH($A1947,'Live History'!$D$5:$D$3004,1)),INDEX('AH History'!$D$5:$GG$1380,$K1947,AH!$U$10+1))),NA()),NA())</f>
        <v/>
      </c>
      <c r="G1947" s="34">
        <f>IFERROR(IF(ISNUMBER($A1947),IF(AND(AH!$U$12=1,1942+1=AH!$U$6),IF(AH!$U$4=0,"unavailable",INDEX('Market Data'!$AK$5:$AK$66,AH!$U$4)),IF(AH!$U$5=1,INDEX('Live History'!$D$5:$D$3004,MATCH($A1947,'Live History'!$D$5:$D$3004,1)),INDEX('AH History'!$D$5:$GG$1380,$K1947,AH!$U$10+2))),NA()),NA())</f>
        <v/>
      </c>
      <c r="H1947" s="266">
        <f>IFERROR(IF(ISNUMBER($A1947),IF(AND(AH!$U$12=1,1942+1=AH!$U$6),IF(AH!$U$4=0,"unavailable",INDEX('Market Data'!$AP$5:$AP$66,AH!$U$4)),IF(AH!$U$5=1,INDEX('Live History'!$H$5:$H$3004,MATCH($A1947,'Live History'!$G$5:$G$3004,1)),INDEX('AH History'!$B$5:$B$1380,$K1947))),NA()),NA())</f>
        <v/>
      </c>
      <c r="I1947" s="34">
        <f>IFERROR(IF(ISNUMBER($A1947),IF(AND(AH!$U$12=1,1942+1=AH!$U$6),TODAY(),IF(AH!$U$5=1,INDEX('Live History'!$G$5:$G$3004,MATCH($A1947,'Live History'!$G$5:$G$3004,1)),INDEX('AH History'!$C$5:$C$1380,$K1947))),NA()),NA())</f>
        <v/>
      </c>
      <c r="J1947" s="32">
        <f>IFERROR(IF(AND($F1947&gt;0,$H1947&gt;0,$A1947-$G1947&lt;=10,$A1947-$I1947&lt;=5,$G1947&gt;0,$I1947&gt;0),$F1947*$H1947,NA()),NA())</f>
        <v/>
      </c>
      <c r="K1947" s="15">
        <f>IF($A1947="","",IF(AH!$U$5=1,IFERROR(MATCH($A1947,'Live History'!$A$5:$A$3004,0),0),AH!$U$7+1942))</f>
        <v/>
      </c>
      <c r="L1947" s="15">
        <f>IF(ISNUMBER(A1947),TEXT(A1947,"dd-mmm-yy"),"")</f>
        <v/>
      </c>
    </row>
    <row r="1948">
      <c r="A1948" s="14">
        <f>IF(OR(AH!$U$4=0,1943+1&gt;AH!$U$6,AND(AH!$M$5="Bloomberg",AH!$U$5=0)),"",IFERROR(IF(AND(AH!$U$12=1,1943+1=AH!$U$6),TODAY(),IF(AH!$U$5=1,INDEX('Live History'!$A$5:$A$3004,AH!$U$7+1943),INDEX('AH History'!$A$5:$A$1380,AH!$U$7+1943))),""))</f>
        <v/>
      </c>
      <c r="B1948" s="33">
        <f>IFERROR(IF(AH!$U$11=1,NA(),$J1948/$E1948-1),NA())</f>
        <v/>
      </c>
      <c r="C1948" s="269">
        <f>IFERROR(100*$E1948/$E$5,NA())</f>
        <v/>
      </c>
      <c r="D1948" s="269">
        <f>IFERROR(100*$J1948/$J$5,NA())</f>
        <v/>
      </c>
      <c r="E1948" s="32">
        <f>IFERROR(IF(AND(ISNUMBER($A1948),N(IF(AND(AH!$U$12=1,1943+1=AH!$U$6),IF(AH!$U$4=0,"unavailable",INDEX('Market Data'!$AN$5:$AN$66,AH!$U$4)),IF(AH!$U$5=1,INDEX('Live History'!$B$5:$B$3004,$K1948),INDEX('AH History'!$D$5:$GG$1380,$K1948,AH!$U$10))))&gt;0),IF(AND(AH!$U$12=1,1943+1=AH!$U$6),IF(AH!$U$4=0,"unavailable",INDEX('Market Data'!$AN$5:$AN$66,AH!$U$4)),IF(AH!$U$5=1,INDEX('Live History'!$B$5:$B$3004,$K1948),INDEX('AH History'!$D$5:$GG$1380,$K1948,AH!$U$10))),NA()),NA())</f>
        <v/>
      </c>
      <c r="F1948" s="32">
        <f>IFERROR(IF(ISNUMBER($A1948),IF(AND(AH!$U$12=1,1943+1=AH!$U$6),IF(AH!$U$4=0,"unavailable",INDEX('Market Data'!$AO$5:$AO$66,AH!$U$4)),IF(AH!$U$5=1,INDEX('Live History'!$E$5:$E$3004,MATCH($A1948,'Live History'!$D$5:$D$3004,1)),INDEX('AH History'!$D$5:$GG$1380,$K1948,AH!$U$10+1))),NA()),NA())</f>
        <v/>
      </c>
      <c r="G1948" s="34">
        <f>IFERROR(IF(ISNUMBER($A1948),IF(AND(AH!$U$12=1,1943+1=AH!$U$6),IF(AH!$U$4=0,"unavailable",INDEX('Market Data'!$AK$5:$AK$66,AH!$U$4)),IF(AH!$U$5=1,INDEX('Live History'!$D$5:$D$3004,MATCH($A1948,'Live History'!$D$5:$D$3004,1)),INDEX('AH History'!$D$5:$GG$1380,$K1948,AH!$U$10+2))),NA()),NA())</f>
        <v/>
      </c>
      <c r="H1948" s="266">
        <f>IFERROR(IF(ISNUMBER($A1948),IF(AND(AH!$U$12=1,1943+1=AH!$U$6),IF(AH!$U$4=0,"unavailable",INDEX('Market Data'!$AP$5:$AP$66,AH!$U$4)),IF(AH!$U$5=1,INDEX('Live History'!$H$5:$H$3004,MATCH($A1948,'Live History'!$G$5:$G$3004,1)),INDEX('AH History'!$B$5:$B$1380,$K1948))),NA()),NA())</f>
        <v/>
      </c>
      <c r="I1948" s="34">
        <f>IFERROR(IF(ISNUMBER($A1948),IF(AND(AH!$U$12=1,1943+1=AH!$U$6),TODAY(),IF(AH!$U$5=1,INDEX('Live History'!$G$5:$G$3004,MATCH($A1948,'Live History'!$G$5:$G$3004,1)),INDEX('AH History'!$C$5:$C$1380,$K1948))),NA()),NA())</f>
        <v/>
      </c>
      <c r="J1948" s="32">
        <f>IFERROR(IF(AND($F1948&gt;0,$H1948&gt;0,$A1948-$G1948&lt;=10,$A1948-$I1948&lt;=5,$G1948&gt;0,$I1948&gt;0),$F1948*$H1948,NA()),NA())</f>
        <v/>
      </c>
      <c r="K1948" s="15">
        <f>IF($A1948="","",IF(AH!$U$5=1,IFERROR(MATCH($A1948,'Live History'!$A$5:$A$3004,0),0),AH!$U$7+1943))</f>
        <v/>
      </c>
      <c r="L1948" s="15">
        <f>IF(ISNUMBER(A1948),TEXT(A1948,"dd-mmm-yy"),"")</f>
        <v/>
      </c>
    </row>
    <row r="1949">
      <c r="A1949" s="14">
        <f>IF(OR(AH!$U$4=0,1944+1&gt;AH!$U$6,AND(AH!$M$5="Bloomberg",AH!$U$5=0)),"",IFERROR(IF(AND(AH!$U$12=1,1944+1=AH!$U$6),TODAY(),IF(AH!$U$5=1,INDEX('Live History'!$A$5:$A$3004,AH!$U$7+1944),INDEX('AH History'!$A$5:$A$1380,AH!$U$7+1944))),""))</f>
        <v/>
      </c>
      <c r="B1949" s="33">
        <f>IFERROR(IF(AH!$U$11=1,NA(),$J1949/$E1949-1),NA())</f>
        <v/>
      </c>
      <c r="C1949" s="269">
        <f>IFERROR(100*$E1949/$E$5,NA())</f>
        <v/>
      </c>
      <c r="D1949" s="269">
        <f>IFERROR(100*$J1949/$J$5,NA())</f>
        <v/>
      </c>
      <c r="E1949" s="32">
        <f>IFERROR(IF(AND(ISNUMBER($A1949),N(IF(AND(AH!$U$12=1,1944+1=AH!$U$6),IF(AH!$U$4=0,"unavailable",INDEX('Market Data'!$AN$5:$AN$66,AH!$U$4)),IF(AH!$U$5=1,INDEX('Live History'!$B$5:$B$3004,$K1949),INDEX('AH History'!$D$5:$GG$1380,$K1949,AH!$U$10))))&gt;0),IF(AND(AH!$U$12=1,1944+1=AH!$U$6),IF(AH!$U$4=0,"unavailable",INDEX('Market Data'!$AN$5:$AN$66,AH!$U$4)),IF(AH!$U$5=1,INDEX('Live History'!$B$5:$B$3004,$K1949),INDEX('AH History'!$D$5:$GG$1380,$K1949,AH!$U$10))),NA()),NA())</f>
        <v/>
      </c>
      <c r="F1949" s="32">
        <f>IFERROR(IF(ISNUMBER($A1949),IF(AND(AH!$U$12=1,1944+1=AH!$U$6),IF(AH!$U$4=0,"unavailable",INDEX('Market Data'!$AO$5:$AO$66,AH!$U$4)),IF(AH!$U$5=1,INDEX('Live History'!$E$5:$E$3004,MATCH($A1949,'Live History'!$D$5:$D$3004,1)),INDEX('AH History'!$D$5:$GG$1380,$K1949,AH!$U$10+1))),NA()),NA())</f>
        <v/>
      </c>
      <c r="G1949" s="34">
        <f>IFERROR(IF(ISNUMBER($A1949),IF(AND(AH!$U$12=1,1944+1=AH!$U$6),IF(AH!$U$4=0,"unavailable",INDEX('Market Data'!$AK$5:$AK$66,AH!$U$4)),IF(AH!$U$5=1,INDEX('Live History'!$D$5:$D$3004,MATCH($A1949,'Live History'!$D$5:$D$3004,1)),INDEX('AH History'!$D$5:$GG$1380,$K1949,AH!$U$10+2))),NA()),NA())</f>
        <v/>
      </c>
      <c r="H1949" s="266">
        <f>IFERROR(IF(ISNUMBER($A1949),IF(AND(AH!$U$12=1,1944+1=AH!$U$6),IF(AH!$U$4=0,"unavailable",INDEX('Market Data'!$AP$5:$AP$66,AH!$U$4)),IF(AH!$U$5=1,INDEX('Live History'!$H$5:$H$3004,MATCH($A1949,'Live History'!$G$5:$G$3004,1)),INDEX('AH History'!$B$5:$B$1380,$K1949))),NA()),NA())</f>
        <v/>
      </c>
      <c r="I1949" s="34">
        <f>IFERROR(IF(ISNUMBER($A1949),IF(AND(AH!$U$12=1,1944+1=AH!$U$6),TODAY(),IF(AH!$U$5=1,INDEX('Live History'!$G$5:$G$3004,MATCH($A1949,'Live History'!$G$5:$G$3004,1)),INDEX('AH History'!$C$5:$C$1380,$K1949))),NA()),NA())</f>
        <v/>
      </c>
      <c r="J1949" s="32">
        <f>IFERROR(IF(AND($F1949&gt;0,$H1949&gt;0,$A1949-$G1949&lt;=10,$A1949-$I1949&lt;=5,$G1949&gt;0,$I1949&gt;0),$F1949*$H1949,NA()),NA())</f>
        <v/>
      </c>
      <c r="K1949" s="15">
        <f>IF($A1949="","",IF(AH!$U$5=1,IFERROR(MATCH($A1949,'Live History'!$A$5:$A$3004,0),0),AH!$U$7+1944))</f>
        <v/>
      </c>
      <c r="L1949" s="15">
        <f>IF(ISNUMBER(A1949),TEXT(A1949,"dd-mmm-yy"),"")</f>
        <v/>
      </c>
    </row>
    <row r="1950">
      <c r="A1950" s="14">
        <f>IF(OR(AH!$U$4=0,1945+1&gt;AH!$U$6,AND(AH!$M$5="Bloomberg",AH!$U$5=0)),"",IFERROR(IF(AND(AH!$U$12=1,1945+1=AH!$U$6),TODAY(),IF(AH!$U$5=1,INDEX('Live History'!$A$5:$A$3004,AH!$U$7+1945),INDEX('AH History'!$A$5:$A$1380,AH!$U$7+1945))),""))</f>
        <v/>
      </c>
      <c r="B1950" s="33">
        <f>IFERROR(IF(AH!$U$11=1,NA(),$J1950/$E1950-1),NA())</f>
        <v/>
      </c>
      <c r="C1950" s="269">
        <f>IFERROR(100*$E1950/$E$5,NA())</f>
        <v/>
      </c>
      <c r="D1950" s="269">
        <f>IFERROR(100*$J1950/$J$5,NA())</f>
        <v/>
      </c>
      <c r="E1950" s="32">
        <f>IFERROR(IF(AND(ISNUMBER($A1950),N(IF(AND(AH!$U$12=1,1945+1=AH!$U$6),IF(AH!$U$4=0,"unavailable",INDEX('Market Data'!$AN$5:$AN$66,AH!$U$4)),IF(AH!$U$5=1,INDEX('Live History'!$B$5:$B$3004,$K1950),INDEX('AH History'!$D$5:$GG$1380,$K1950,AH!$U$10))))&gt;0),IF(AND(AH!$U$12=1,1945+1=AH!$U$6),IF(AH!$U$4=0,"unavailable",INDEX('Market Data'!$AN$5:$AN$66,AH!$U$4)),IF(AH!$U$5=1,INDEX('Live History'!$B$5:$B$3004,$K1950),INDEX('AH History'!$D$5:$GG$1380,$K1950,AH!$U$10))),NA()),NA())</f>
        <v/>
      </c>
      <c r="F1950" s="32">
        <f>IFERROR(IF(ISNUMBER($A1950),IF(AND(AH!$U$12=1,1945+1=AH!$U$6),IF(AH!$U$4=0,"unavailable",INDEX('Market Data'!$AO$5:$AO$66,AH!$U$4)),IF(AH!$U$5=1,INDEX('Live History'!$E$5:$E$3004,MATCH($A1950,'Live History'!$D$5:$D$3004,1)),INDEX('AH History'!$D$5:$GG$1380,$K1950,AH!$U$10+1))),NA()),NA())</f>
        <v/>
      </c>
      <c r="G1950" s="34">
        <f>IFERROR(IF(ISNUMBER($A1950),IF(AND(AH!$U$12=1,1945+1=AH!$U$6),IF(AH!$U$4=0,"unavailable",INDEX('Market Data'!$AK$5:$AK$66,AH!$U$4)),IF(AH!$U$5=1,INDEX('Live History'!$D$5:$D$3004,MATCH($A1950,'Live History'!$D$5:$D$3004,1)),INDEX('AH History'!$D$5:$GG$1380,$K1950,AH!$U$10+2))),NA()),NA())</f>
        <v/>
      </c>
      <c r="H1950" s="266">
        <f>IFERROR(IF(ISNUMBER($A1950),IF(AND(AH!$U$12=1,1945+1=AH!$U$6),IF(AH!$U$4=0,"unavailable",INDEX('Market Data'!$AP$5:$AP$66,AH!$U$4)),IF(AH!$U$5=1,INDEX('Live History'!$H$5:$H$3004,MATCH($A1950,'Live History'!$G$5:$G$3004,1)),INDEX('AH History'!$B$5:$B$1380,$K1950))),NA()),NA())</f>
        <v/>
      </c>
      <c r="I1950" s="34">
        <f>IFERROR(IF(ISNUMBER($A1950),IF(AND(AH!$U$12=1,1945+1=AH!$U$6),TODAY(),IF(AH!$U$5=1,INDEX('Live History'!$G$5:$G$3004,MATCH($A1950,'Live History'!$G$5:$G$3004,1)),INDEX('AH History'!$C$5:$C$1380,$K1950))),NA()),NA())</f>
        <v/>
      </c>
      <c r="J1950" s="32">
        <f>IFERROR(IF(AND($F1950&gt;0,$H1950&gt;0,$A1950-$G1950&lt;=10,$A1950-$I1950&lt;=5,$G1950&gt;0,$I1950&gt;0),$F1950*$H1950,NA()),NA())</f>
        <v/>
      </c>
      <c r="K1950" s="15">
        <f>IF($A1950="","",IF(AH!$U$5=1,IFERROR(MATCH($A1950,'Live History'!$A$5:$A$3004,0),0),AH!$U$7+1945))</f>
        <v/>
      </c>
      <c r="L1950" s="15">
        <f>IF(ISNUMBER(A1950),TEXT(A1950,"dd-mmm-yy"),"")</f>
        <v/>
      </c>
    </row>
    <row r="1951">
      <c r="A1951" s="14">
        <f>IF(OR(AH!$U$4=0,1946+1&gt;AH!$U$6,AND(AH!$M$5="Bloomberg",AH!$U$5=0)),"",IFERROR(IF(AND(AH!$U$12=1,1946+1=AH!$U$6),TODAY(),IF(AH!$U$5=1,INDEX('Live History'!$A$5:$A$3004,AH!$U$7+1946),INDEX('AH History'!$A$5:$A$1380,AH!$U$7+1946))),""))</f>
        <v/>
      </c>
      <c r="B1951" s="33">
        <f>IFERROR(IF(AH!$U$11=1,NA(),$J1951/$E1951-1),NA())</f>
        <v/>
      </c>
      <c r="C1951" s="269">
        <f>IFERROR(100*$E1951/$E$5,NA())</f>
        <v/>
      </c>
      <c r="D1951" s="269">
        <f>IFERROR(100*$J1951/$J$5,NA())</f>
        <v/>
      </c>
      <c r="E1951" s="32">
        <f>IFERROR(IF(AND(ISNUMBER($A1951),N(IF(AND(AH!$U$12=1,1946+1=AH!$U$6),IF(AH!$U$4=0,"unavailable",INDEX('Market Data'!$AN$5:$AN$66,AH!$U$4)),IF(AH!$U$5=1,INDEX('Live History'!$B$5:$B$3004,$K1951),INDEX('AH History'!$D$5:$GG$1380,$K1951,AH!$U$10))))&gt;0),IF(AND(AH!$U$12=1,1946+1=AH!$U$6),IF(AH!$U$4=0,"unavailable",INDEX('Market Data'!$AN$5:$AN$66,AH!$U$4)),IF(AH!$U$5=1,INDEX('Live History'!$B$5:$B$3004,$K1951),INDEX('AH History'!$D$5:$GG$1380,$K1951,AH!$U$10))),NA()),NA())</f>
        <v/>
      </c>
      <c r="F1951" s="32">
        <f>IFERROR(IF(ISNUMBER($A1951),IF(AND(AH!$U$12=1,1946+1=AH!$U$6),IF(AH!$U$4=0,"unavailable",INDEX('Market Data'!$AO$5:$AO$66,AH!$U$4)),IF(AH!$U$5=1,INDEX('Live History'!$E$5:$E$3004,MATCH($A1951,'Live History'!$D$5:$D$3004,1)),INDEX('AH History'!$D$5:$GG$1380,$K1951,AH!$U$10+1))),NA()),NA())</f>
        <v/>
      </c>
      <c r="G1951" s="34">
        <f>IFERROR(IF(ISNUMBER($A1951),IF(AND(AH!$U$12=1,1946+1=AH!$U$6),IF(AH!$U$4=0,"unavailable",INDEX('Market Data'!$AK$5:$AK$66,AH!$U$4)),IF(AH!$U$5=1,INDEX('Live History'!$D$5:$D$3004,MATCH($A1951,'Live History'!$D$5:$D$3004,1)),INDEX('AH History'!$D$5:$GG$1380,$K1951,AH!$U$10+2))),NA()),NA())</f>
        <v/>
      </c>
      <c r="H1951" s="266">
        <f>IFERROR(IF(ISNUMBER($A1951),IF(AND(AH!$U$12=1,1946+1=AH!$U$6),IF(AH!$U$4=0,"unavailable",INDEX('Market Data'!$AP$5:$AP$66,AH!$U$4)),IF(AH!$U$5=1,INDEX('Live History'!$H$5:$H$3004,MATCH($A1951,'Live History'!$G$5:$G$3004,1)),INDEX('AH History'!$B$5:$B$1380,$K1951))),NA()),NA())</f>
        <v/>
      </c>
      <c r="I1951" s="34">
        <f>IFERROR(IF(ISNUMBER($A1951),IF(AND(AH!$U$12=1,1946+1=AH!$U$6),TODAY(),IF(AH!$U$5=1,INDEX('Live History'!$G$5:$G$3004,MATCH($A1951,'Live History'!$G$5:$G$3004,1)),INDEX('AH History'!$C$5:$C$1380,$K1951))),NA()),NA())</f>
        <v/>
      </c>
      <c r="J1951" s="32">
        <f>IFERROR(IF(AND($F1951&gt;0,$H1951&gt;0,$A1951-$G1951&lt;=10,$A1951-$I1951&lt;=5,$G1951&gt;0,$I1951&gt;0),$F1951*$H1951,NA()),NA())</f>
        <v/>
      </c>
      <c r="K1951" s="15">
        <f>IF($A1951="","",IF(AH!$U$5=1,IFERROR(MATCH($A1951,'Live History'!$A$5:$A$3004,0),0),AH!$U$7+1946))</f>
        <v/>
      </c>
      <c r="L1951" s="15">
        <f>IF(ISNUMBER(A1951),TEXT(A1951,"dd-mmm-yy"),"")</f>
        <v/>
      </c>
    </row>
    <row r="1952">
      <c r="A1952" s="14">
        <f>IF(OR(AH!$U$4=0,1947+1&gt;AH!$U$6,AND(AH!$M$5="Bloomberg",AH!$U$5=0)),"",IFERROR(IF(AND(AH!$U$12=1,1947+1=AH!$U$6),TODAY(),IF(AH!$U$5=1,INDEX('Live History'!$A$5:$A$3004,AH!$U$7+1947),INDEX('AH History'!$A$5:$A$1380,AH!$U$7+1947))),""))</f>
        <v/>
      </c>
      <c r="B1952" s="33">
        <f>IFERROR(IF(AH!$U$11=1,NA(),$J1952/$E1952-1),NA())</f>
        <v/>
      </c>
      <c r="C1952" s="269">
        <f>IFERROR(100*$E1952/$E$5,NA())</f>
        <v/>
      </c>
      <c r="D1952" s="269">
        <f>IFERROR(100*$J1952/$J$5,NA())</f>
        <v/>
      </c>
      <c r="E1952" s="32">
        <f>IFERROR(IF(AND(ISNUMBER($A1952),N(IF(AND(AH!$U$12=1,1947+1=AH!$U$6),IF(AH!$U$4=0,"unavailable",INDEX('Market Data'!$AN$5:$AN$66,AH!$U$4)),IF(AH!$U$5=1,INDEX('Live History'!$B$5:$B$3004,$K1952),INDEX('AH History'!$D$5:$GG$1380,$K1952,AH!$U$10))))&gt;0),IF(AND(AH!$U$12=1,1947+1=AH!$U$6),IF(AH!$U$4=0,"unavailable",INDEX('Market Data'!$AN$5:$AN$66,AH!$U$4)),IF(AH!$U$5=1,INDEX('Live History'!$B$5:$B$3004,$K1952),INDEX('AH History'!$D$5:$GG$1380,$K1952,AH!$U$10))),NA()),NA())</f>
        <v/>
      </c>
      <c r="F1952" s="32">
        <f>IFERROR(IF(ISNUMBER($A1952),IF(AND(AH!$U$12=1,1947+1=AH!$U$6),IF(AH!$U$4=0,"unavailable",INDEX('Market Data'!$AO$5:$AO$66,AH!$U$4)),IF(AH!$U$5=1,INDEX('Live History'!$E$5:$E$3004,MATCH($A1952,'Live History'!$D$5:$D$3004,1)),INDEX('AH History'!$D$5:$GG$1380,$K1952,AH!$U$10+1))),NA()),NA())</f>
        <v/>
      </c>
      <c r="G1952" s="34">
        <f>IFERROR(IF(ISNUMBER($A1952),IF(AND(AH!$U$12=1,1947+1=AH!$U$6),IF(AH!$U$4=0,"unavailable",INDEX('Market Data'!$AK$5:$AK$66,AH!$U$4)),IF(AH!$U$5=1,INDEX('Live History'!$D$5:$D$3004,MATCH($A1952,'Live History'!$D$5:$D$3004,1)),INDEX('AH History'!$D$5:$GG$1380,$K1952,AH!$U$10+2))),NA()),NA())</f>
        <v/>
      </c>
      <c r="H1952" s="266">
        <f>IFERROR(IF(ISNUMBER($A1952),IF(AND(AH!$U$12=1,1947+1=AH!$U$6),IF(AH!$U$4=0,"unavailable",INDEX('Market Data'!$AP$5:$AP$66,AH!$U$4)),IF(AH!$U$5=1,INDEX('Live History'!$H$5:$H$3004,MATCH($A1952,'Live History'!$G$5:$G$3004,1)),INDEX('AH History'!$B$5:$B$1380,$K1952))),NA()),NA())</f>
        <v/>
      </c>
      <c r="I1952" s="34">
        <f>IFERROR(IF(ISNUMBER($A1952),IF(AND(AH!$U$12=1,1947+1=AH!$U$6),TODAY(),IF(AH!$U$5=1,INDEX('Live History'!$G$5:$G$3004,MATCH($A1952,'Live History'!$G$5:$G$3004,1)),INDEX('AH History'!$C$5:$C$1380,$K1952))),NA()),NA())</f>
        <v/>
      </c>
      <c r="J1952" s="32">
        <f>IFERROR(IF(AND($F1952&gt;0,$H1952&gt;0,$A1952-$G1952&lt;=10,$A1952-$I1952&lt;=5,$G1952&gt;0,$I1952&gt;0),$F1952*$H1952,NA()),NA())</f>
        <v/>
      </c>
      <c r="K1952" s="15">
        <f>IF($A1952="","",IF(AH!$U$5=1,IFERROR(MATCH($A1952,'Live History'!$A$5:$A$3004,0),0),AH!$U$7+1947))</f>
        <v/>
      </c>
      <c r="L1952" s="15">
        <f>IF(ISNUMBER(A1952),TEXT(A1952,"dd-mmm-yy"),"")</f>
        <v/>
      </c>
    </row>
    <row r="1953">
      <c r="A1953" s="14">
        <f>IF(OR(AH!$U$4=0,1948+1&gt;AH!$U$6,AND(AH!$M$5="Bloomberg",AH!$U$5=0)),"",IFERROR(IF(AND(AH!$U$12=1,1948+1=AH!$U$6),TODAY(),IF(AH!$U$5=1,INDEX('Live History'!$A$5:$A$3004,AH!$U$7+1948),INDEX('AH History'!$A$5:$A$1380,AH!$U$7+1948))),""))</f>
        <v/>
      </c>
      <c r="B1953" s="33">
        <f>IFERROR(IF(AH!$U$11=1,NA(),$J1953/$E1953-1),NA())</f>
        <v/>
      </c>
      <c r="C1953" s="269">
        <f>IFERROR(100*$E1953/$E$5,NA())</f>
        <v/>
      </c>
      <c r="D1953" s="269">
        <f>IFERROR(100*$J1953/$J$5,NA())</f>
        <v/>
      </c>
      <c r="E1953" s="32">
        <f>IFERROR(IF(AND(ISNUMBER($A1953),N(IF(AND(AH!$U$12=1,1948+1=AH!$U$6),IF(AH!$U$4=0,"unavailable",INDEX('Market Data'!$AN$5:$AN$66,AH!$U$4)),IF(AH!$U$5=1,INDEX('Live History'!$B$5:$B$3004,$K1953),INDEX('AH History'!$D$5:$GG$1380,$K1953,AH!$U$10))))&gt;0),IF(AND(AH!$U$12=1,1948+1=AH!$U$6),IF(AH!$U$4=0,"unavailable",INDEX('Market Data'!$AN$5:$AN$66,AH!$U$4)),IF(AH!$U$5=1,INDEX('Live History'!$B$5:$B$3004,$K1953),INDEX('AH History'!$D$5:$GG$1380,$K1953,AH!$U$10))),NA()),NA())</f>
        <v/>
      </c>
      <c r="F1953" s="32">
        <f>IFERROR(IF(ISNUMBER($A1953),IF(AND(AH!$U$12=1,1948+1=AH!$U$6),IF(AH!$U$4=0,"unavailable",INDEX('Market Data'!$AO$5:$AO$66,AH!$U$4)),IF(AH!$U$5=1,INDEX('Live History'!$E$5:$E$3004,MATCH($A1953,'Live History'!$D$5:$D$3004,1)),INDEX('AH History'!$D$5:$GG$1380,$K1953,AH!$U$10+1))),NA()),NA())</f>
        <v/>
      </c>
      <c r="G1953" s="34">
        <f>IFERROR(IF(ISNUMBER($A1953),IF(AND(AH!$U$12=1,1948+1=AH!$U$6),IF(AH!$U$4=0,"unavailable",INDEX('Market Data'!$AK$5:$AK$66,AH!$U$4)),IF(AH!$U$5=1,INDEX('Live History'!$D$5:$D$3004,MATCH($A1953,'Live History'!$D$5:$D$3004,1)),INDEX('AH History'!$D$5:$GG$1380,$K1953,AH!$U$10+2))),NA()),NA())</f>
        <v/>
      </c>
      <c r="H1953" s="266">
        <f>IFERROR(IF(ISNUMBER($A1953),IF(AND(AH!$U$12=1,1948+1=AH!$U$6),IF(AH!$U$4=0,"unavailable",INDEX('Market Data'!$AP$5:$AP$66,AH!$U$4)),IF(AH!$U$5=1,INDEX('Live History'!$H$5:$H$3004,MATCH($A1953,'Live History'!$G$5:$G$3004,1)),INDEX('AH History'!$B$5:$B$1380,$K1953))),NA()),NA())</f>
        <v/>
      </c>
      <c r="I1953" s="34">
        <f>IFERROR(IF(ISNUMBER($A1953),IF(AND(AH!$U$12=1,1948+1=AH!$U$6),TODAY(),IF(AH!$U$5=1,INDEX('Live History'!$G$5:$G$3004,MATCH($A1953,'Live History'!$G$5:$G$3004,1)),INDEX('AH History'!$C$5:$C$1380,$K1953))),NA()),NA())</f>
        <v/>
      </c>
      <c r="J1953" s="32">
        <f>IFERROR(IF(AND($F1953&gt;0,$H1953&gt;0,$A1953-$G1953&lt;=10,$A1953-$I1953&lt;=5,$G1953&gt;0,$I1953&gt;0),$F1953*$H1953,NA()),NA())</f>
        <v/>
      </c>
      <c r="K1953" s="15">
        <f>IF($A1953="","",IF(AH!$U$5=1,IFERROR(MATCH($A1953,'Live History'!$A$5:$A$3004,0),0),AH!$U$7+1948))</f>
        <v/>
      </c>
      <c r="L1953" s="15">
        <f>IF(ISNUMBER(A1953),TEXT(A1953,"dd-mmm-yy"),"")</f>
        <v/>
      </c>
    </row>
    <row r="1954">
      <c r="A1954" s="14">
        <f>IF(OR(AH!$U$4=0,1949+1&gt;AH!$U$6,AND(AH!$M$5="Bloomberg",AH!$U$5=0)),"",IFERROR(IF(AND(AH!$U$12=1,1949+1=AH!$U$6),TODAY(),IF(AH!$U$5=1,INDEX('Live History'!$A$5:$A$3004,AH!$U$7+1949),INDEX('AH History'!$A$5:$A$1380,AH!$U$7+1949))),""))</f>
        <v/>
      </c>
      <c r="B1954" s="33">
        <f>IFERROR(IF(AH!$U$11=1,NA(),$J1954/$E1954-1),NA())</f>
        <v/>
      </c>
      <c r="C1954" s="269">
        <f>IFERROR(100*$E1954/$E$5,NA())</f>
        <v/>
      </c>
      <c r="D1954" s="269">
        <f>IFERROR(100*$J1954/$J$5,NA())</f>
        <v/>
      </c>
      <c r="E1954" s="32">
        <f>IFERROR(IF(AND(ISNUMBER($A1954),N(IF(AND(AH!$U$12=1,1949+1=AH!$U$6),IF(AH!$U$4=0,"unavailable",INDEX('Market Data'!$AN$5:$AN$66,AH!$U$4)),IF(AH!$U$5=1,INDEX('Live History'!$B$5:$B$3004,$K1954),INDEX('AH History'!$D$5:$GG$1380,$K1954,AH!$U$10))))&gt;0),IF(AND(AH!$U$12=1,1949+1=AH!$U$6),IF(AH!$U$4=0,"unavailable",INDEX('Market Data'!$AN$5:$AN$66,AH!$U$4)),IF(AH!$U$5=1,INDEX('Live History'!$B$5:$B$3004,$K1954),INDEX('AH History'!$D$5:$GG$1380,$K1954,AH!$U$10))),NA()),NA())</f>
        <v/>
      </c>
      <c r="F1954" s="32">
        <f>IFERROR(IF(ISNUMBER($A1954),IF(AND(AH!$U$12=1,1949+1=AH!$U$6),IF(AH!$U$4=0,"unavailable",INDEX('Market Data'!$AO$5:$AO$66,AH!$U$4)),IF(AH!$U$5=1,INDEX('Live History'!$E$5:$E$3004,MATCH($A1954,'Live History'!$D$5:$D$3004,1)),INDEX('AH History'!$D$5:$GG$1380,$K1954,AH!$U$10+1))),NA()),NA())</f>
        <v/>
      </c>
      <c r="G1954" s="34">
        <f>IFERROR(IF(ISNUMBER($A1954),IF(AND(AH!$U$12=1,1949+1=AH!$U$6),IF(AH!$U$4=0,"unavailable",INDEX('Market Data'!$AK$5:$AK$66,AH!$U$4)),IF(AH!$U$5=1,INDEX('Live History'!$D$5:$D$3004,MATCH($A1954,'Live History'!$D$5:$D$3004,1)),INDEX('AH History'!$D$5:$GG$1380,$K1954,AH!$U$10+2))),NA()),NA())</f>
        <v/>
      </c>
      <c r="H1954" s="266">
        <f>IFERROR(IF(ISNUMBER($A1954),IF(AND(AH!$U$12=1,1949+1=AH!$U$6),IF(AH!$U$4=0,"unavailable",INDEX('Market Data'!$AP$5:$AP$66,AH!$U$4)),IF(AH!$U$5=1,INDEX('Live History'!$H$5:$H$3004,MATCH($A1954,'Live History'!$G$5:$G$3004,1)),INDEX('AH History'!$B$5:$B$1380,$K1954))),NA()),NA())</f>
        <v/>
      </c>
      <c r="I1954" s="34">
        <f>IFERROR(IF(ISNUMBER($A1954),IF(AND(AH!$U$12=1,1949+1=AH!$U$6),TODAY(),IF(AH!$U$5=1,INDEX('Live History'!$G$5:$G$3004,MATCH($A1954,'Live History'!$G$5:$G$3004,1)),INDEX('AH History'!$C$5:$C$1380,$K1954))),NA()),NA())</f>
        <v/>
      </c>
      <c r="J1954" s="32">
        <f>IFERROR(IF(AND($F1954&gt;0,$H1954&gt;0,$A1954-$G1954&lt;=10,$A1954-$I1954&lt;=5,$G1954&gt;0,$I1954&gt;0),$F1954*$H1954,NA()),NA())</f>
        <v/>
      </c>
      <c r="K1954" s="15">
        <f>IF($A1954="","",IF(AH!$U$5=1,IFERROR(MATCH($A1954,'Live History'!$A$5:$A$3004,0),0),AH!$U$7+1949))</f>
        <v/>
      </c>
      <c r="L1954" s="15">
        <f>IF(ISNUMBER(A1954),TEXT(A1954,"dd-mmm-yy"),"")</f>
        <v/>
      </c>
    </row>
    <row r="1955">
      <c r="A1955" s="14">
        <f>IF(OR(AH!$U$4=0,1950+1&gt;AH!$U$6,AND(AH!$M$5="Bloomberg",AH!$U$5=0)),"",IFERROR(IF(AND(AH!$U$12=1,1950+1=AH!$U$6),TODAY(),IF(AH!$U$5=1,INDEX('Live History'!$A$5:$A$3004,AH!$U$7+1950),INDEX('AH History'!$A$5:$A$1380,AH!$U$7+1950))),""))</f>
        <v/>
      </c>
      <c r="B1955" s="33">
        <f>IFERROR(IF(AH!$U$11=1,NA(),$J1955/$E1955-1),NA())</f>
        <v/>
      </c>
      <c r="C1955" s="269">
        <f>IFERROR(100*$E1955/$E$5,NA())</f>
        <v/>
      </c>
      <c r="D1955" s="269">
        <f>IFERROR(100*$J1955/$J$5,NA())</f>
        <v/>
      </c>
      <c r="E1955" s="32">
        <f>IFERROR(IF(AND(ISNUMBER($A1955),N(IF(AND(AH!$U$12=1,1950+1=AH!$U$6),IF(AH!$U$4=0,"unavailable",INDEX('Market Data'!$AN$5:$AN$66,AH!$U$4)),IF(AH!$U$5=1,INDEX('Live History'!$B$5:$B$3004,$K1955),INDEX('AH History'!$D$5:$GG$1380,$K1955,AH!$U$10))))&gt;0),IF(AND(AH!$U$12=1,1950+1=AH!$U$6),IF(AH!$U$4=0,"unavailable",INDEX('Market Data'!$AN$5:$AN$66,AH!$U$4)),IF(AH!$U$5=1,INDEX('Live History'!$B$5:$B$3004,$K1955),INDEX('AH History'!$D$5:$GG$1380,$K1955,AH!$U$10))),NA()),NA())</f>
        <v/>
      </c>
      <c r="F1955" s="32">
        <f>IFERROR(IF(ISNUMBER($A1955),IF(AND(AH!$U$12=1,1950+1=AH!$U$6),IF(AH!$U$4=0,"unavailable",INDEX('Market Data'!$AO$5:$AO$66,AH!$U$4)),IF(AH!$U$5=1,INDEX('Live History'!$E$5:$E$3004,MATCH($A1955,'Live History'!$D$5:$D$3004,1)),INDEX('AH History'!$D$5:$GG$1380,$K1955,AH!$U$10+1))),NA()),NA())</f>
        <v/>
      </c>
      <c r="G1955" s="34">
        <f>IFERROR(IF(ISNUMBER($A1955),IF(AND(AH!$U$12=1,1950+1=AH!$U$6),IF(AH!$U$4=0,"unavailable",INDEX('Market Data'!$AK$5:$AK$66,AH!$U$4)),IF(AH!$U$5=1,INDEX('Live History'!$D$5:$D$3004,MATCH($A1955,'Live History'!$D$5:$D$3004,1)),INDEX('AH History'!$D$5:$GG$1380,$K1955,AH!$U$10+2))),NA()),NA())</f>
        <v/>
      </c>
      <c r="H1955" s="266">
        <f>IFERROR(IF(ISNUMBER($A1955),IF(AND(AH!$U$12=1,1950+1=AH!$U$6),IF(AH!$U$4=0,"unavailable",INDEX('Market Data'!$AP$5:$AP$66,AH!$U$4)),IF(AH!$U$5=1,INDEX('Live History'!$H$5:$H$3004,MATCH($A1955,'Live History'!$G$5:$G$3004,1)),INDEX('AH History'!$B$5:$B$1380,$K1955))),NA()),NA())</f>
        <v/>
      </c>
      <c r="I1955" s="34">
        <f>IFERROR(IF(ISNUMBER($A1955),IF(AND(AH!$U$12=1,1950+1=AH!$U$6),TODAY(),IF(AH!$U$5=1,INDEX('Live History'!$G$5:$G$3004,MATCH($A1955,'Live History'!$G$5:$G$3004,1)),INDEX('AH History'!$C$5:$C$1380,$K1955))),NA()),NA())</f>
        <v/>
      </c>
      <c r="J1955" s="32">
        <f>IFERROR(IF(AND($F1955&gt;0,$H1955&gt;0,$A1955-$G1955&lt;=10,$A1955-$I1955&lt;=5,$G1955&gt;0,$I1955&gt;0),$F1955*$H1955,NA()),NA())</f>
        <v/>
      </c>
      <c r="K1955" s="15">
        <f>IF($A1955="","",IF(AH!$U$5=1,IFERROR(MATCH($A1955,'Live History'!$A$5:$A$3004,0),0),AH!$U$7+1950))</f>
        <v/>
      </c>
      <c r="L1955" s="15">
        <f>IF(ISNUMBER(A1955),TEXT(A1955,"dd-mmm-yy"),"")</f>
        <v/>
      </c>
    </row>
    <row r="1956">
      <c r="A1956" s="14">
        <f>IF(OR(AH!$U$4=0,1951+1&gt;AH!$U$6,AND(AH!$M$5="Bloomberg",AH!$U$5=0)),"",IFERROR(IF(AND(AH!$U$12=1,1951+1=AH!$U$6),TODAY(),IF(AH!$U$5=1,INDEX('Live History'!$A$5:$A$3004,AH!$U$7+1951),INDEX('AH History'!$A$5:$A$1380,AH!$U$7+1951))),""))</f>
        <v/>
      </c>
      <c r="B1956" s="33">
        <f>IFERROR(IF(AH!$U$11=1,NA(),$J1956/$E1956-1),NA())</f>
        <v/>
      </c>
      <c r="C1956" s="269">
        <f>IFERROR(100*$E1956/$E$5,NA())</f>
        <v/>
      </c>
      <c r="D1956" s="269">
        <f>IFERROR(100*$J1956/$J$5,NA())</f>
        <v/>
      </c>
      <c r="E1956" s="32">
        <f>IFERROR(IF(AND(ISNUMBER($A1956),N(IF(AND(AH!$U$12=1,1951+1=AH!$U$6),IF(AH!$U$4=0,"unavailable",INDEX('Market Data'!$AN$5:$AN$66,AH!$U$4)),IF(AH!$U$5=1,INDEX('Live History'!$B$5:$B$3004,$K1956),INDEX('AH History'!$D$5:$GG$1380,$K1956,AH!$U$10))))&gt;0),IF(AND(AH!$U$12=1,1951+1=AH!$U$6),IF(AH!$U$4=0,"unavailable",INDEX('Market Data'!$AN$5:$AN$66,AH!$U$4)),IF(AH!$U$5=1,INDEX('Live History'!$B$5:$B$3004,$K1956),INDEX('AH History'!$D$5:$GG$1380,$K1956,AH!$U$10))),NA()),NA())</f>
        <v/>
      </c>
      <c r="F1956" s="32">
        <f>IFERROR(IF(ISNUMBER($A1956),IF(AND(AH!$U$12=1,1951+1=AH!$U$6),IF(AH!$U$4=0,"unavailable",INDEX('Market Data'!$AO$5:$AO$66,AH!$U$4)),IF(AH!$U$5=1,INDEX('Live History'!$E$5:$E$3004,MATCH($A1956,'Live History'!$D$5:$D$3004,1)),INDEX('AH History'!$D$5:$GG$1380,$K1956,AH!$U$10+1))),NA()),NA())</f>
        <v/>
      </c>
      <c r="G1956" s="34">
        <f>IFERROR(IF(ISNUMBER($A1956),IF(AND(AH!$U$12=1,1951+1=AH!$U$6),IF(AH!$U$4=0,"unavailable",INDEX('Market Data'!$AK$5:$AK$66,AH!$U$4)),IF(AH!$U$5=1,INDEX('Live History'!$D$5:$D$3004,MATCH($A1956,'Live History'!$D$5:$D$3004,1)),INDEX('AH History'!$D$5:$GG$1380,$K1956,AH!$U$10+2))),NA()),NA())</f>
        <v/>
      </c>
      <c r="H1956" s="266">
        <f>IFERROR(IF(ISNUMBER($A1956),IF(AND(AH!$U$12=1,1951+1=AH!$U$6),IF(AH!$U$4=0,"unavailable",INDEX('Market Data'!$AP$5:$AP$66,AH!$U$4)),IF(AH!$U$5=1,INDEX('Live History'!$H$5:$H$3004,MATCH($A1956,'Live History'!$G$5:$G$3004,1)),INDEX('AH History'!$B$5:$B$1380,$K1956))),NA()),NA())</f>
        <v/>
      </c>
      <c r="I1956" s="34">
        <f>IFERROR(IF(ISNUMBER($A1956),IF(AND(AH!$U$12=1,1951+1=AH!$U$6),TODAY(),IF(AH!$U$5=1,INDEX('Live History'!$G$5:$G$3004,MATCH($A1956,'Live History'!$G$5:$G$3004,1)),INDEX('AH History'!$C$5:$C$1380,$K1956))),NA()),NA())</f>
        <v/>
      </c>
      <c r="J1956" s="32">
        <f>IFERROR(IF(AND($F1956&gt;0,$H1956&gt;0,$A1956-$G1956&lt;=10,$A1956-$I1956&lt;=5,$G1956&gt;0,$I1956&gt;0),$F1956*$H1956,NA()),NA())</f>
        <v/>
      </c>
      <c r="K1956" s="15">
        <f>IF($A1956="","",IF(AH!$U$5=1,IFERROR(MATCH($A1956,'Live History'!$A$5:$A$3004,0),0),AH!$U$7+1951))</f>
        <v/>
      </c>
      <c r="L1956" s="15">
        <f>IF(ISNUMBER(A1956),TEXT(A1956,"dd-mmm-yy"),"")</f>
        <v/>
      </c>
    </row>
    <row r="1957">
      <c r="A1957" s="14">
        <f>IF(OR(AH!$U$4=0,1952+1&gt;AH!$U$6,AND(AH!$M$5="Bloomberg",AH!$U$5=0)),"",IFERROR(IF(AND(AH!$U$12=1,1952+1=AH!$U$6),TODAY(),IF(AH!$U$5=1,INDEX('Live History'!$A$5:$A$3004,AH!$U$7+1952),INDEX('AH History'!$A$5:$A$1380,AH!$U$7+1952))),""))</f>
        <v/>
      </c>
      <c r="B1957" s="33">
        <f>IFERROR(IF(AH!$U$11=1,NA(),$J1957/$E1957-1),NA())</f>
        <v/>
      </c>
      <c r="C1957" s="269">
        <f>IFERROR(100*$E1957/$E$5,NA())</f>
        <v/>
      </c>
      <c r="D1957" s="269">
        <f>IFERROR(100*$J1957/$J$5,NA())</f>
        <v/>
      </c>
      <c r="E1957" s="32">
        <f>IFERROR(IF(AND(ISNUMBER($A1957),N(IF(AND(AH!$U$12=1,1952+1=AH!$U$6),IF(AH!$U$4=0,"unavailable",INDEX('Market Data'!$AN$5:$AN$66,AH!$U$4)),IF(AH!$U$5=1,INDEX('Live History'!$B$5:$B$3004,$K1957),INDEX('AH History'!$D$5:$GG$1380,$K1957,AH!$U$10))))&gt;0),IF(AND(AH!$U$12=1,1952+1=AH!$U$6),IF(AH!$U$4=0,"unavailable",INDEX('Market Data'!$AN$5:$AN$66,AH!$U$4)),IF(AH!$U$5=1,INDEX('Live History'!$B$5:$B$3004,$K1957),INDEX('AH History'!$D$5:$GG$1380,$K1957,AH!$U$10))),NA()),NA())</f>
        <v/>
      </c>
      <c r="F1957" s="32">
        <f>IFERROR(IF(ISNUMBER($A1957),IF(AND(AH!$U$12=1,1952+1=AH!$U$6),IF(AH!$U$4=0,"unavailable",INDEX('Market Data'!$AO$5:$AO$66,AH!$U$4)),IF(AH!$U$5=1,INDEX('Live History'!$E$5:$E$3004,MATCH($A1957,'Live History'!$D$5:$D$3004,1)),INDEX('AH History'!$D$5:$GG$1380,$K1957,AH!$U$10+1))),NA()),NA())</f>
        <v/>
      </c>
      <c r="G1957" s="34">
        <f>IFERROR(IF(ISNUMBER($A1957),IF(AND(AH!$U$12=1,1952+1=AH!$U$6),IF(AH!$U$4=0,"unavailable",INDEX('Market Data'!$AK$5:$AK$66,AH!$U$4)),IF(AH!$U$5=1,INDEX('Live History'!$D$5:$D$3004,MATCH($A1957,'Live History'!$D$5:$D$3004,1)),INDEX('AH History'!$D$5:$GG$1380,$K1957,AH!$U$10+2))),NA()),NA())</f>
        <v/>
      </c>
      <c r="H1957" s="266">
        <f>IFERROR(IF(ISNUMBER($A1957),IF(AND(AH!$U$12=1,1952+1=AH!$U$6),IF(AH!$U$4=0,"unavailable",INDEX('Market Data'!$AP$5:$AP$66,AH!$U$4)),IF(AH!$U$5=1,INDEX('Live History'!$H$5:$H$3004,MATCH($A1957,'Live History'!$G$5:$G$3004,1)),INDEX('AH History'!$B$5:$B$1380,$K1957))),NA()),NA())</f>
        <v/>
      </c>
      <c r="I1957" s="34">
        <f>IFERROR(IF(ISNUMBER($A1957),IF(AND(AH!$U$12=1,1952+1=AH!$U$6),TODAY(),IF(AH!$U$5=1,INDEX('Live History'!$G$5:$G$3004,MATCH($A1957,'Live History'!$G$5:$G$3004,1)),INDEX('AH History'!$C$5:$C$1380,$K1957))),NA()),NA())</f>
        <v/>
      </c>
      <c r="J1957" s="32">
        <f>IFERROR(IF(AND($F1957&gt;0,$H1957&gt;0,$A1957-$G1957&lt;=10,$A1957-$I1957&lt;=5,$G1957&gt;0,$I1957&gt;0),$F1957*$H1957,NA()),NA())</f>
        <v/>
      </c>
      <c r="K1957" s="15">
        <f>IF($A1957="","",IF(AH!$U$5=1,IFERROR(MATCH($A1957,'Live History'!$A$5:$A$3004,0),0),AH!$U$7+1952))</f>
        <v/>
      </c>
      <c r="L1957" s="15">
        <f>IF(ISNUMBER(A1957),TEXT(A1957,"dd-mmm-yy"),"")</f>
        <v/>
      </c>
    </row>
    <row r="1958">
      <c r="A1958" s="14">
        <f>IF(OR(AH!$U$4=0,1953+1&gt;AH!$U$6,AND(AH!$M$5="Bloomberg",AH!$U$5=0)),"",IFERROR(IF(AND(AH!$U$12=1,1953+1=AH!$U$6),TODAY(),IF(AH!$U$5=1,INDEX('Live History'!$A$5:$A$3004,AH!$U$7+1953),INDEX('AH History'!$A$5:$A$1380,AH!$U$7+1953))),""))</f>
        <v/>
      </c>
      <c r="B1958" s="33">
        <f>IFERROR(IF(AH!$U$11=1,NA(),$J1958/$E1958-1),NA())</f>
        <v/>
      </c>
      <c r="C1958" s="269">
        <f>IFERROR(100*$E1958/$E$5,NA())</f>
        <v/>
      </c>
      <c r="D1958" s="269">
        <f>IFERROR(100*$J1958/$J$5,NA())</f>
        <v/>
      </c>
      <c r="E1958" s="32">
        <f>IFERROR(IF(AND(ISNUMBER($A1958),N(IF(AND(AH!$U$12=1,1953+1=AH!$U$6),IF(AH!$U$4=0,"unavailable",INDEX('Market Data'!$AN$5:$AN$66,AH!$U$4)),IF(AH!$U$5=1,INDEX('Live History'!$B$5:$B$3004,$K1958),INDEX('AH History'!$D$5:$GG$1380,$K1958,AH!$U$10))))&gt;0),IF(AND(AH!$U$12=1,1953+1=AH!$U$6),IF(AH!$U$4=0,"unavailable",INDEX('Market Data'!$AN$5:$AN$66,AH!$U$4)),IF(AH!$U$5=1,INDEX('Live History'!$B$5:$B$3004,$K1958),INDEX('AH History'!$D$5:$GG$1380,$K1958,AH!$U$10))),NA()),NA())</f>
        <v/>
      </c>
      <c r="F1958" s="32">
        <f>IFERROR(IF(ISNUMBER($A1958),IF(AND(AH!$U$12=1,1953+1=AH!$U$6),IF(AH!$U$4=0,"unavailable",INDEX('Market Data'!$AO$5:$AO$66,AH!$U$4)),IF(AH!$U$5=1,INDEX('Live History'!$E$5:$E$3004,MATCH($A1958,'Live History'!$D$5:$D$3004,1)),INDEX('AH History'!$D$5:$GG$1380,$K1958,AH!$U$10+1))),NA()),NA())</f>
        <v/>
      </c>
      <c r="G1958" s="34">
        <f>IFERROR(IF(ISNUMBER($A1958),IF(AND(AH!$U$12=1,1953+1=AH!$U$6),IF(AH!$U$4=0,"unavailable",INDEX('Market Data'!$AK$5:$AK$66,AH!$U$4)),IF(AH!$U$5=1,INDEX('Live History'!$D$5:$D$3004,MATCH($A1958,'Live History'!$D$5:$D$3004,1)),INDEX('AH History'!$D$5:$GG$1380,$K1958,AH!$U$10+2))),NA()),NA())</f>
        <v/>
      </c>
      <c r="H1958" s="266">
        <f>IFERROR(IF(ISNUMBER($A1958),IF(AND(AH!$U$12=1,1953+1=AH!$U$6),IF(AH!$U$4=0,"unavailable",INDEX('Market Data'!$AP$5:$AP$66,AH!$U$4)),IF(AH!$U$5=1,INDEX('Live History'!$H$5:$H$3004,MATCH($A1958,'Live History'!$G$5:$G$3004,1)),INDEX('AH History'!$B$5:$B$1380,$K1958))),NA()),NA())</f>
        <v/>
      </c>
      <c r="I1958" s="34">
        <f>IFERROR(IF(ISNUMBER($A1958),IF(AND(AH!$U$12=1,1953+1=AH!$U$6),TODAY(),IF(AH!$U$5=1,INDEX('Live History'!$G$5:$G$3004,MATCH($A1958,'Live History'!$G$5:$G$3004,1)),INDEX('AH History'!$C$5:$C$1380,$K1958))),NA()),NA())</f>
        <v/>
      </c>
      <c r="J1958" s="32">
        <f>IFERROR(IF(AND($F1958&gt;0,$H1958&gt;0,$A1958-$G1958&lt;=10,$A1958-$I1958&lt;=5,$G1958&gt;0,$I1958&gt;0),$F1958*$H1958,NA()),NA())</f>
        <v/>
      </c>
      <c r="K1958" s="15">
        <f>IF($A1958="","",IF(AH!$U$5=1,IFERROR(MATCH($A1958,'Live History'!$A$5:$A$3004,0),0),AH!$U$7+1953))</f>
        <v/>
      </c>
      <c r="L1958" s="15">
        <f>IF(ISNUMBER(A1958),TEXT(A1958,"dd-mmm-yy"),"")</f>
        <v/>
      </c>
    </row>
    <row r="1959">
      <c r="A1959" s="14">
        <f>IF(OR(AH!$U$4=0,1954+1&gt;AH!$U$6,AND(AH!$M$5="Bloomberg",AH!$U$5=0)),"",IFERROR(IF(AND(AH!$U$12=1,1954+1=AH!$U$6),TODAY(),IF(AH!$U$5=1,INDEX('Live History'!$A$5:$A$3004,AH!$U$7+1954),INDEX('AH History'!$A$5:$A$1380,AH!$U$7+1954))),""))</f>
        <v/>
      </c>
      <c r="B1959" s="33">
        <f>IFERROR(IF(AH!$U$11=1,NA(),$J1959/$E1959-1),NA())</f>
        <v/>
      </c>
      <c r="C1959" s="269">
        <f>IFERROR(100*$E1959/$E$5,NA())</f>
        <v/>
      </c>
      <c r="D1959" s="269">
        <f>IFERROR(100*$J1959/$J$5,NA())</f>
        <v/>
      </c>
      <c r="E1959" s="32">
        <f>IFERROR(IF(AND(ISNUMBER($A1959),N(IF(AND(AH!$U$12=1,1954+1=AH!$U$6),IF(AH!$U$4=0,"unavailable",INDEX('Market Data'!$AN$5:$AN$66,AH!$U$4)),IF(AH!$U$5=1,INDEX('Live History'!$B$5:$B$3004,$K1959),INDEX('AH History'!$D$5:$GG$1380,$K1959,AH!$U$10))))&gt;0),IF(AND(AH!$U$12=1,1954+1=AH!$U$6),IF(AH!$U$4=0,"unavailable",INDEX('Market Data'!$AN$5:$AN$66,AH!$U$4)),IF(AH!$U$5=1,INDEX('Live History'!$B$5:$B$3004,$K1959),INDEX('AH History'!$D$5:$GG$1380,$K1959,AH!$U$10))),NA()),NA())</f>
        <v/>
      </c>
      <c r="F1959" s="32">
        <f>IFERROR(IF(ISNUMBER($A1959),IF(AND(AH!$U$12=1,1954+1=AH!$U$6),IF(AH!$U$4=0,"unavailable",INDEX('Market Data'!$AO$5:$AO$66,AH!$U$4)),IF(AH!$U$5=1,INDEX('Live History'!$E$5:$E$3004,MATCH($A1959,'Live History'!$D$5:$D$3004,1)),INDEX('AH History'!$D$5:$GG$1380,$K1959,AH!$U$10+1))),NA()),NA())</f>
        <v/>
      </c>
      <c r="G1959" s="34">
        <f>IFERROR(IF(ISNUMBER($A1959),IF(AND(AH!$U$12=1,1954+1=AH!$U$6),IF(AH!$U$4=0,"unavailable",INDEX('Market Data'!$AK$5:$AK$66,AH!$U$4)),IF(AH!$U$5=1,INDEX('Live History'!$D$5:$D$3004,MATCH($A1959,'Live History'!$D$5:$D$3004,1)),INDEX('AH History'!$D$5:$GG$1380,$K1959,AH!$U$10+2))),NA()),NA())</f>
        <v/>
      </c>
      <c r="H1959" s="266">
        <f>IFERROR(IF(ISNUMBER($A1959),IF(AND(AH!$U$12=1,1954+1=AH!$U$6),IF(AH!$U$4=0,"unavailable",INDEX('Market Data'!$AP$5:$AP$66,AH!$U$4)),IF(AH!$U$5=1,INDEX('Live History'!$H$5:$H$3004,MATCH($A1959,'Live History'!$G$5:$G$3004,1)),INDEX('AH History'!$B$5:$B$1380,$K1959))),NA()),NA())</f>
        <v/>
      </c>
      <c r="I1959" s="34">
        <f>IFERROR(IF(ISNUMBER($A1959),IF(AND(AH!$U$12=1,1954+1=AH!$U$6),TODAY(),IF(AH!$U$5=1,INDEX('Live History'!$G$5:$G$3004,MATCH($A1959,'Live History'!$G$5:$G$3004,1)),INDEX('AH History'!$C$5:$C$1380,$K1959))),NA()),NA())</f>
        <v/>
      </c>
      <c r="J1959" s="32">
        <f>IFERROR(IF(AND($F1959&gt;0,$H1959&gt;0,$A1959-$G1959&lt;=10,$A1959-$I1959&lt;=5,$G1959&gt;0,$I1959&gt;0),$F1959*$H1959,NA()),NA())</f>
        <v/>
      </c>
      <c r="K1959" s="15">
        <f>IF($A1959="","",IF(AH!$U$5=1,IFERROR(MATCH($A1959,'Live History'!$A$5:$A$3004,0),0),AH!$U$7+1954))</f>
        <v/>
      </c>
      <c r="L1959" s="15">
        <f>IF(ISNUMBER(A1959),TEXT(A1959,"dd-mmm-yy"),"")</f>
        <v/>
      </c>
    </row>
    <row r="1960">
      <c r="A1960" s="14">
        <f>IF(OR(AH!$U$4=0,1955+1&gt;AH!$U$6,AND(AH!$M$5="Bloomberg",AH!$U$5=0)),"",IFERROR(IF(AND(AH!$U$12=1,1955+1=AH!$U$6),TODAY(),IF(AH!$U$5=1,INDEX('Live History'!$A$5:$A$3004,AH!$U$7+1955),INDEX('AH History'!$A$5:$A$1380,AH!$U$7+1955))),""))</f>
        <v/>
      </c>
      <c r="B1960" s="33">
        <f>IFERROR(IF(AH!$U$11=1,NA(),$J1960/$E1960-1),NA())</f>
        <v/>
      </c>
      <c r="C1960" s="269">
        <f>IFERROR(100*$E1960/$E$5,NA())</f>
        <v/>
      </c>
      <c r="D1960" s="269">
        <f>IFERROR(100*$J1960/$J$5,NA())</f>
        <v/>
      </c>
      <c r="E1960" s="32">
        <f>IFERROR(IF(AND(ISNUMBER($A1960),N(IF(AND(AH!$U$12=1,1955+1=AH!$U$6),IF(AH!$U$4=0,"unavailable",INDEX('Market Data'!$AN$5:$AN$66,AH!$U$4)),IF(AH!$U$5=1,INDEX('Live History'!$B$5:$B$3004,$K1960),INDEX('AH History'!$D$5:$GG$1380,$K1960,AH!$U$10))))&gt;0),IF(AND(AH!$U$12=1,1955+1=AH!$U$6),IF(AH!$U$4=0,"unavailable",INDEX('Market Data'!$AN$5:$AN$66,AH!$U$4)),IF(AH!$U$5=1,INDEX('Live History'!$B$5:$B$3004,$K1960),INDEX('AH History'!$D$5:$GG$1380,$K1960,AH!$U$10))),NA()),NA())</f>
        <v/>
      </c>
      <c r="F1960" s="32">
        <f>IFERROR(IF(ISNUMBER($A1960),IF(AND(AH!$U$12=1,1955+1=AH!$U$6),IF(AH!$U$4=0,"unavailable",INDEX('Market Data'!$AO$5:$AO$66,AH!$U$4)),IF(AH!$U$5=1,INDEX('Live History'!$E$5:$E$3004,MATCH($A1960,'Live History'!$D$5:$D$3004,1)),INDEX('AH History'!$D$5:$GG$1380,$K1960,AH!$U$10+1))),NA()),NA())</f>
        <v/>
      </c>
      <c r="G1960" s="34">
        <f>IFERROR(IF(ISNUMBER($A1960),IF(AND(AH!$U$12=1,1955+1=AH!$U$6),IF(AH!$U$4=0,"unavailable",INDEX('Market Data'!$AK$5:$AK$66,AH!$U$4)),IF(AH!$U$5=1,INDEX('Live History'!$D$5:$D$3004,MATCH($A1960,'Live History'!$D$5:$D$3004,1)),INDEX('AH History'!$D$5:$GG$1380,$K1960,AH!$U$10+2))),NA()),NA())</f>
        <v/>
      </c>
      <c r="H1960" s="266">
        <f>IFERROR(IF(ISNUMBER($A1960),IF(AND(AH!$U$12=1,1955+1=AH!$U$6),IF(AH!$U$4=0,"unavailable",INDEX('Market Data'!$AP$5:$AP$66,AH!$U$4)),IF(AH!$U$5=1,INDEX('Live History'!$H$5:$H$3004,MATCH($A1960,'Live History'!$G$5:$G$3004,1)),INDEX('AH History'!$B$5:$B$1380,$K1960))),NA()),NA())</f>
        <v/>
      </c>
      <c r="I1960" s="34">
        <f>IFERROR(IF(ISNUMBER($A1960),IF(AND(AH!$U$12=1,1955+1=AH!$U$6),TODAY(),IF(AH!$U$5=1,INDEX('Live History'!$G$5:$G$3004,MATCH($A1960,'Live History'!$G$5:$G$3004,1)),INDEX('AH History'!$C$5:$C$1380,$K1960))),NA()),NA())</f>
        <v/>
      </c>
      <c r="J1960" s="32">
        <f>IFERROR(IF(AND($F1960&gt;0,$H1960&gt;0,$A1960-$G1960&lt;=10,$A1960-$I1960&lt;=5,$G1960&gt;0,$I1960&gt;0),$F1960*$H1960,NA()),NA())</f>
        <v/>
      </c>
      <c r="K1960" s="15">
        <f>IF($A1960="","",IF(AH!$U$5=1,IFERROR(MATCH($A1960,'Live History'!$A$5:$A$3004,0),0),AH!$U$7+1955))</f>
        <v/>
      </c>
      <c r="L1960" s="15">
        <f>IF(ISNUMBER(A1960),TEXT(A1960,"dd-mmm-yy"),"")</f>
        <v/>
      </c>
    </row>
    <row r="1961">
      <c r="A1961" s="14">
        <f>IF(OR(AH!$U$4=0,1956+1&gt;AH!$U$6,AND(AH!$M$5="Bloomberg",AH!$U$5=0)),"",IFERROR(IF(AND(AH!$U$12=1,1956+1=AH!$U$6),TODAY(),IF(AH!$U$5=1,INDEX('Live History'!$A$5:$A$3004,AH!$U$7+1956),INDEX('AH History'!$A$5:$A$1380,AH!$U$7+1956))),""))</f>
        <v/>
      </c>
      <c r="B1961" s="33">
        <f>IFERROR(IF(AH!$U$11=1,NA(),$J1961/$E1961-1),NA())</f>
        <v/>
      </c>
      <c r="C1961" s="269">
        <f>IFERROR(100*$E1961/$E$5,NA())</f>
        <v/>
      </c>
      <c r="D1961" s="269">
        <f>IFERROR(100*$J1961/$J$5,NA())</f>
        <v/>
      </c>
      <c r="E1961" s="32">
        <f>IFERROR(IF(AND(ISNUMBER($A1961),N(IF(AND(AH!$U$12=1,1956+1=AH!$U$6),IF(AH!$U$4=0,"unavailable",INDEX('Market Data'!$AN$5:$AN$66,AH!$U$4)),IF(AH!$U$5=1,INDEX('Live History'!$B$5:$B$3004,$K1961),INDEX('AH History'!$D$5:$GG$1380,$K1961,AH!$U$10))))&gt;0),IF(AND(AH!$U$12=1,1956+1=AH!$U$6),IF(AH!$U$4=0,"unavailable",INDEX('Market Data'!$AN$5:$AN$66,AH!$U$4)),IF(AH!$U$5=1,INDEX('Live History'!$B$5:$B$3004,$K1961),INDEX('AH History'!$D$5:$GG$1380,$K1961,AH!$U$10))),NA()),NA())</f>
        <v/>
      </c>
      <c r="F1961" s="32">
        <f>IFERROR(IF(ISNUMBER($A1961),IF(AND(AH!$U$12=1,1956+1=AH!$U$6),IF(AH!$U$4=0,"unavailable",INDEX('Market Data'!$AO$5:$AO$66,AH!$U$4)),IF(AH!$U$5=1,INDEX('Live History'!$E$5:$E$3004,MATCH($A1961,'Live History'!$D$5:$D$3004,1)),INDEX('AH History'!$D$5:$GG$1380,$K1961,AH!$U$10+1))),NA()),NA())</f>
        <v/>
      </c>
      <c r="G1961" s="34">
        <f>IFERROR(IF(ISNUMBER($A1961),IF(AND(AH!$U$12=1,1956+1=AH!$U$6),IF(AH!$U$4=0,"unavailable",INDEX('Market Data'!$AK$5:$AK$66,AH!$U$4)),IF(AH!$U$5=1,INDEX('Live History'!$D$5:$D$3004,MATCH($A1961,'Live History'!$D$5:$D$3004,1)),INDEX('AH History'!$D$5:$GG$1380,$K1961,AH!$U$10+2))),NA()),NA())</f>
        <v/>
      </c>
      <c r="H1961" s="266">
        <f>IFERROR(IF(ISNUMBER($A1961),IF(AND(AH!$U$12=1,1956+1=AH!$U$6),IF(AH!$U$4=0,"unavailable",INDEX('Market Data'!$AP$5:$AP$66,AH!$U$4)),IF(AH!$U$5=1,INDEX('Live History'!$H$5:$H$3004,MATCH($A1961,'Live History'!$G$5:$G$3004,1)),INDEX('AH History'!$B$5:$B$1380,$K1961))),NA()),NA())</f>
        <v/>
      </c>
      <c r="I1961" s="34">
        <f>IFERROR(IF(ISNUMBER($A1961),IF(AND(AH!$U$12=1,1956+1=AH!$U$6),TODAY(),IF(AH!$U$5=1,INDEX('Live History'!$G$5:$G$3004,MATCH($A1961,'Live History'!$G$5:$G$3004,1)),INDEX('AH History'!$C$5:$C$1380,$K1961))),NA()),NA())</f>
        <v/>
      </c>
      <c r="J1961" s="32">
        <f>IFERROR(IF(AND($F1961&gt;0,$H1961&gt;0,$A1961-$G1961&lt;=10,$A1961-$I1961&lt;=5,$G1961&gt;0,$I1961&gt;0),$F1961*$H1961,NA()),NA())</f>
        <v/>
      </c>
      <c r="K1961" s="15">
        <f>IF($A1961="","",IF(AH!$U$5=1,IFERROR(MATCH($A1961,'Live History'!$A$5:$A$3004,0),0),AH!$U$7+1956))</f>
        <v/>
      </c>
      <c r="L1961" s="15">
        <f>IF(ISNUMBER(A1961),TEXT(A1961,"dd-mmm-yy"),"")</f>
        <v/>
      </c>
    </row>
    <row r="1962">
      <c r="A1962" s="14">
        <f>IF(OR(AH!$U$4=0,1957+1&gt;AH!$U$6,AND(AH!$M$5="Bloomberg",AH!$U$5=0)),"",IFERROR(IF(AND(AH!$U$12=1,1957+1=AH!$U$6),TODAY(),IF(AH!$U$5=1,INDEX('Live History'!$A$5:$A$3004,AH!$U$7+1957),INDEX('AH History'!$A$5:$A$1380,AH!$U$7+1957))),""))</f>
        <v/>
      </c>
      <c r="B1962" s="33">
        <f>IFERROR(IF(AH!$U$11=1,NA(),$J1962/$E1962-1),NA())</f>
        <v/>
      </c>
      <c r="C1962" s="269">
        <f>IFERROR(100*$E1962/$E$5,NA())</f>
        <v/>
      </c>
      <c r="D1962" s="269">
        <f>IFERROR(100*$J1962/$J$5,NA())</f>
        <v/>
      </c>
      <c r="E1962" s="32">
        <f>IFERROR(IF(AND(ISNUMBER($A1962),N(IF(AND(AH!$U$12=1,1957+1=AH!$U$6),IF(AH!$U$4=0,"unavailable",INDEX('Market Data'!$AN$5:$AN$66,AH!$U$4)),IF(AH!$U$5=1,INDEX('Live History'!$B$5:$B$3004,$K1962),INDEX('AH History'!$D$5:$GG$1380,$K1962,AH!$U$10))))&gt;0),IF(AND(AH!$U$12=1,1957+1=AH!$U$6),IF(AH!$U$4=0,"unavailable",INDEX('Market Data'!$AN$5:$AN$66,AH!$U$4)),IF(AH!$U$5=1,INDEX('Live History'!$B$5:$B$3004,$K1962),INDEX('AH History'!$D$5:$GG$1380,$K1962,AH!$U$10))),NA()),NA())</f>
        <v/>
      </c>
      <c r="F1962" s="32">
        <f>IFERROR(IF(ISNUMBER($A1962),IF(AND(AH!$U$12=1,1957+1=AH!$U$6),IF(AH!$U$4=0,"unavailable",INDEX('Market Data'!$AO$5:$AO$66,AH!$U$4)),IF(AH!$U$5=1,INDEX('Live History'!$E$5:$E$3004,MATCH($A1962,'Live History'!$D$5:$D$3004,1)),INDEX('AH History'!$D$5:$GG$1380,$K1962,AH!$U$10+1))),NA()),NA())</f>
        <v/>
      </c>
      <c r="G1962" s="34">
        <f>IFERROR(IF(ISNUMBER($A1962),IF(AND(AH!$U$12=1,1957+1=AH!$U$6),IF(AH!$U$4=0,"unavailable",INDEX('Market Data'!$AK$5:$AK$66,AH!$U$4)),IF(AH!$U$5=1,INDEX('Live History'!$D$5:$D$3004,MATCH($A1962,'Live History'!$D$5:$D$3004,1)),INDEX('AH History'!$D$5:$GG$1380,$K1962,AH!$U$10+2))),NA()),NA())</f>
        <v/>
      </c>
      <c r="H1962" s="266">
        <f>IFERROR(IF(ISNUMBER($A1962),IF(AND(AH!$U$12=1,1957+1=AH!$U$6),IF(AH!$U$4=0,"unavailable",INDEX('Market Data'!$AP$5:$AP$66,AH!$U$4)),IF(AH!$U$5=1,INDEX('Live History'!$H$5:$H$3004,MATCH($A1962,'Live History'!$G$5:$G$3004,1)),INDEX('AH History'!$B$5:$B$1380,$K1962))),NA()),NA())</f>
        <v/>
      </c>
      <c r="I1962" s="34">
        <f>IFERROR(IF(ISNUMBER($A1962),IF(AND(AH!$U$12=1,1957+1=AH!$U$6),TODAY(),IF(AH!$U$5=1,INDEX('Live History'!$G$5:$G$3004,MATCH($A1962,'Live History'!$G$5:$G$3004,1)),INDEX('AH History'!$C$5:$C$1380,$K1962))),NA()),NA())</f>
        <v/>
      </c>
      <c r="J1962" s="32">
        <f>IFERROR(IF(AND($F1962&gt;0,$H1962&gt;0,$A1962-$G1962&lt;=10,$A1962-$I1962&lt;=5,$G1962&gt;0,$I1962&gt;0),$F1962*$H1962,NA()),NA())</f>
        <v/>
      </c>
      <c r="K1962" s="15">
        <f>IF($A1962="","",IF(AH!$U$5=1,IFERROR(MATCH($A1962,'Live History'!$A$5:$A$3004,0),0),AH!$U$7+1957))</f>
        <v/>
      </c>
      <c r="L1962" s="15">
        <f>IF(ISNUMBER(A1962),TEXT(A1962,"dd-mmm-yy"),"")</f>
        <v/>
      </c>
    </row>
    <row r="1963">
      <c r="A1963" s="14">
        <f>IF(OR(AH!$U$4=0,1958+1&gt;AH!$U$6,AND(AH!$M$5="Bloomberg",AH!$U$5=0)),"",IFERROR(IF(AND(AH!$U$12=1,1958+1=AH!$U$6),TODAY(),IF(AH!$U$5=1,INDEX('Live History'!$A$5:$A$3004,AH!$U$7+1958),INDEX('AH History'!$A$5:$A$1380,AH!$U$7+1958))),""))</f>
        <v/>
      </c>
      <c r="B1963" s="33">
        <f>IFERROR(IF(AH!$U$11=1,NA(),$J1963/$E1963-1),NA())</f>
        <v/>
      </c>
      <c r="C1963" s="269">
        <f>IFERROR(100*$E1963/$E$5,NA())</f>
        <v/>
      </c>
      <c r="D1963" s="269">
        <f>IFERROR(100*$J1963/$J$5,NA())</f>
        <v/>
      </c>
      <c r="E1963" s="32">
        <f>IFERROR(IF(AND(ISNUMBER($A1963),N(IF(AND(AH!$U$12=1,1958+1=AH!$U$6),IF(AH!$U$4=0,"unavailable",INDEX('Market Data'!$AN$5:$AN$66,AH!$U$4)),IF(AH!$U$5=1,INDEX('Live History'!$B$5:$B$3004,$K1963),INDEX('AH History'!$D$5:$GG$1380,$K1963,AH!$U$10))))&gt;0),IF(AND(AH!$U$12=1,1958+1=AH!$U$6),IF(AH!$U$4=0,"unavailable",INDEX('Market Data'!$AN$5:$AN$66,AH!$U$4)),IF(AH!$U$5=1,INDEX('Live History'!$B$5:$B$3004,$K1963),INDEX('AH History'!$D$5:$GG$1380,$K1963,AH!$U$10))),NA()),NA())</f>
        <v/>
      </c>
      <c r="F1963" s="32">
        <f>IFERROR(IF(ISNUMBER($A1963),IF(AND(AH!$U$12=1,1958+1=AH!$U$6),IF(AH!$U$4=0,"unavailable",INDEX('Market Data'!$AO$5:$AO$66,AH!$U$4)),IF(AH!$U$5=1,INDEX('Live History'!$E$5:$E$3004,MATCH($A1963,'Live History'!$D$5:$D$3004,1)),INDEX('AH History'!$D$5:$GG$1380,$K1963,AH!$U$10+1))),NA()),NA())</f>
        <v/>
      </c>
      <c r="G1963" s="34">
        <f>IFERROR(IF(ISNUMBER($A1963),IF(AND(AH!$U$12=1,1958+1=AH!$U$6),IF(AH!$U$4=0,"unavailable",INDEX('Market Data'!$AK$5:$AK$66,AH!$U$4)),IF(AH!$U$5=1,INDEX('Live History'!$D$5:$D$3004,MATCH($A1963,'Live History'!$D$5:$D$3004,1)),INDEX('AH History'!$D$5:$GG$1380,$K1963,AH!$U$10+2))),NA()),NA())</f>
        <v/>
      </c>
      <c r="H1963" s="266">
        <f>IFERROR(IF(ISNUMBER($A1963),IF(AND(AH!$U$12=1,1958+1=AH!$U$6),IF(AH!$U$4=0,"unavailable",INDEX('Market Data'!$AP$5:$AP$66,AH!$U$4)),IF(AH!$U$5=1,INDEX('Live History'!$H$5:$H$3004,MATCH($A1963,'Live History'!$G$5:$G$3004,1)),INDEX('AH History'!$B$5:$B$1380,$K1963))),NA()),NA())</f>
        <v/>
      </c>
      <c r="I1963" s="34">
        <f>IFERROR(IF(ISNUMBER($A1963),IF(AND(AH!$U$12=1,1958+1=AH!$U$6),TODAY(),IF(AH!$U$5=1,INDEX('Live History'!$G$5:$G$3004,MATCH($A1963,'Live History'!$G$5:$G$3004,1)),INDEX('AH History'!$C$5:$C$1380,$K1963))),NA()),NA())</f>
        <v/>
      </c>
      <c r="J1963" s="32">
        <f>IFERROR(IF(AND($F1963&gt;0,$H1963&gt;0,$A1963-$G1963&lt;=10,$A1963-$I1963&lt;=5,$G1963&gt;0,$I1963&gt;0),$F1963*$H1963,NA()),NA())</f>
        <v/>
      </c>
      <c r="K1963" s="15">
        <f>IF($A1963="","",IF(AH!$U$5=1,IFERROR(MATCH($A1963,'Live History'!$A$5:$A$3004,0),0),AH!$U$7+1958))</f>
        <v/>
      </c>
      <c r="L1963" s="15">
        <f>IF(ISNUMBER(A1963),TEXT(A1963,"dd-mmm-yy"),"")</f>
        <v/>
      </c>
    </row>
    <row r="1964">
      <c r="A1964" s="14">
        <f>IF(OR(AH!$U$4=0,1959+1&gt;AH!$U$6,AND(AH!$M$5="Bloomberg",AH!$U$5=0)),"",IFERROR(IF(AND(AH!$U$12=1,1959+1=AH!$U$6),TODAY(),IF(AH!$U$5=1,INDEX('Live History'!$A$5:$A$3004,AH!$U$7+1959),INDEX('AH History'!$A$5:$A$1380,AH!$U$7+1959))),""))</f>
        <v/>
      </c>
      <c r="B1964" s="33">
        <f>IFERROR(IF(AH!$U$11=1,NA(),$J1964/$E1964-1),NA())</f>
        <v/>
      </c>
      <c r="C1964" s="269">
        <f>IFERROR(100*$E1964/$E$5,NA())</f>
        <v/>
      </c>
      <c r="D1964" s="269">
        <f>IFERROR(100*$J1964/$J$5,NA())</f>
        <v/>
      </c>
      <c r="E1964" s="32">
        <f>IFERROR(IF(AND(ISNUMBER($A1964),N(IF(AND(AH!$U$12=1,1959+1=AH!$U$6),IF(AH!$U$4=0,"unavailable",INDEX('Market Data'!$AN$5:$AN$66,AH!$U$4)),IF(AH!$U$5=1,INDEX('Live History'!$B$5:$B$3004,$K1964),INDEX('AH History'!$D$5:$GG$1380,$K1964,AH!$U$10))))&gt;0),IF(AND(AH!$U$12=1,1959+1=AH!$U$6),IF(AH!$U$4=0,"unavailable",INDEX('Market Data'!$AN$5:$AN$66,AH!$U$4)),IF(AH!$U$5=1,INDEX('Live History'!$B$5:$B$3004,$K1964),INDEX('AH History'!$D$5:$GG$1380,$K1964,AH!$U$10))),NA()),NA())</f>
        <v/>
      </c>
      <c r="F1964" s="32">
        <f>IFERROR(IF(ISNUMBER($A1964),IF(AND(AH!$U$12=1,1959+1=AH!$U$6),IF(AH!$U$4=0,"unavailable",INDEX('Market Data'!$AO$5:$AO$66,AH!$U$4)),IF(AH!$U$5=1,INDEX('Live History'!$E$5:$E$3004,MATCH($A1964,'Live History'!$D$5:$D$3004,1)),INDEX('AH History'!$D$5:$GG$1380,$K1964,AH!$U$10+1))),NA()),NA())</f>
        <v/>
      </c>
      <c r="G1964" s="34">
        <f>IFERROR(IF(ISNUMBER($A1964),IF(AND(AH!$U$12=1,1959+1=AH!$U$6),IF(AH!$U$4=0,"unavailable",INDEX('Market Data'!$AK$5:$AK$66,AH!$U$4)),IF(AH!$U$5=1,INDEX('Live History'!$D$5:$D$3004,MATCH($A1964,'Live History'!$D$5:$D$3004,1)),INDEX('AH History'!$D$5:$GG$1380,$K1964,AH!$U$10+2))),NA()),NA())</f>
        <v/>
      </c>
      <c r="H1964" s="266">
        <f>IFERROR(IF(ISNUMBER($A1964),IF(AND(AH!$U$12=1,1959+1=AH!$U$6),IF(AH!$U$4=0,"unavailable",INDEX('Market Data'!$AP$5:$AP$66,AH!$U$4)),IF(AH!$U$5=1,INDEX('Live History'!$H$5:$H$3004,MATCH($A1964,'Live History'!$G$5:$G$3004,1)),INDEX('AH History'!$B$5:$B$1380,$K1964))),NA()),NA())</f>
        <v/>
      </c>
      <c r="I1964" s="34">
        <f>IFERROR(IF(ISNUMBER($A1964),IF(AND(AH!$U$12=1,1959+1=AH!$U$6),TODAY(),IF(AH!$U$5=1,INDEX('Live History'!$G$5:$G$3004,MATCH($A1964,'Live History'!$G$5:$G$3004,1)),INDEX('AH History'!$C$5:$C$1380,$K1964))),NA()),NA())</f>
        <v/>
      </c>
      <c r="J1964" s="32">
        <f>IFERROR(IF(AND($F1964&gt;0,$H1964&gt;0,$A1964-$G1964&lt;=10,$A1964-$I1964&lt;=5,$G1964&gt;0,$I1964&gt;0),$F1964*$H1964,NA()),NA())</f>
        <v/>
      </c>
      <c r="K1964" s="15">
        <f>IF($A1964="","",IF(AH!$U$5=1,IFERROR(MATCH($A1964,'Live History'!$A$5:$A$3004,0),0),AH!$U$7+1959))</f>
        <v/>
      </c>
      <c r="L1964" s="15">
        <f>IF(ISNUMBER(A1964),TEXT(A1964,"dd-mmm-yy"),"")</f>
        <v/>
      </c>
    </row>
    <row r="1965">
      <c r="A1965" s="14">
        <f>IF(OR(AH!$U$4=0,1960+1&gt;AH!$U$6,AND(AH!$M$5="Bloomberg",AH!$U$5=0)),"",IFERROR(IF(AND(AH!$U$12=1,1960+1=AH!$U$6),TODAY(),IF(AH!$U$5=1,INDEX('Live History'!$A$5:$A$3004,AH!$U$7+1960),INDEX('AH History'!$A$5:$A$1380,AH!$U$7+1960))),""))</f>
        <v/>
      </c>
      <c r="B1965" s="33">
        <f>IFERROR(IF(AH!$U$11=1,NA(),$J1965/$E1965-1),NA())</f>
        <v/>
      </c>
      <c r="C1965" s="269">
        <f>IFERROR(100*$E1965/$E$5,NA())</f>
        <v/>
      </c>
      <c r="D1965" s="269">
        <f>IFERROR(100*$J1965/$J$5,NA())</f>
        <v/>
      </c>
      <c r="E1965" s="32">
        <f>IFERROR(IF(AND(ISNUMBER($A1965),N(IF(AND(AH!$U$12=1,1960+1=AH!$U$6),IF(AH!$U$4=0,"unavailable",INDEX('Market Data'!$AN$5:$AN$66,AH!$U$4)),IF(AH!$U$5=1,INDEX('Live History'!$B$5:$B$3004,$K1965),INDEX('AH History'!$D$5:$GG$1380,$K1965,AH!$U$10))))&gt;0),IF(AND(AH!$U$12=1,1960+1=AH!$U$6),IF(AH!$U$4=0,"unavailable",INDEX('Market Data'!$AN$5:$AN$66,AH!$U$4)),IF(AH!$U$5=1,INDEX('Live History'!$B$5:$B$3004,$K1965),INDEX('AH History'!$D$5:$GG$1380,$K1965,AH!$U$10))),NA()),NA())</f>
        <v/>
      </c>
      <c r="F1965" s="32">
        <f>IFERROR(IF(ISNUMBER($A1965),IF(AND(AH!$U$12=1,1960+1=AH!$U$6),IF(AH!$U$4=0,"unavailable",INDEX('Market Data'!$AO$5:$AO$66,AH!$U$4)),IF(AH!$U$5=1,INDEX('Live History'!$E$5:$E$3004,MATCH($A1965,'Live History'!$D$5:$D$3004,1)),INDEX('AH History'!$D$5:$GG$1380,$K1965,AH!$U$10+1))),NA()),NA())</f>
        <v/>
      </c>
      <c r="G1965" s="34">
        <f>IFERROR(IF(ISNUMBER($A1965),IF(AND(AH!$U$12=1,1960+1=AH!$U$6),IF(AH!$U$4=0,"unavailable",INDEX('Market Data'!$AK$5:$AK$66,AH!$U$4)),IF(AH!$U$5=1,INDEX('Live History'!$D$5:$D$3004,MATCH($A1965,'Live History'!$D$5:$D$3004,1)),INDEX('AH History'!$D$5:$GG$1380,$K1965,AH!$U$10+2))),NA()),NA())</f>
        <v/>
      </c>
      <c r="H1965" s="266">
        <f>IFERROR(IF(ISNUMBER($A1965),IF(AND(AH!$U$12=1,1960+1=AH!$U$6),IF(AH!$U$4=0,"unavailable",INDEX('Market Data'!$AP$5:$AP$66,AH!$U$4)),IF(AH!$U$5=1,INDEX('Live History'!$H$5:$H$3004,MATCH($A1965,'Live History'!$G$5:$G$3004,1)),INDEX('AH History'!$B$5:$B$1380,$K1965))),NA()),NA())</f>
        <v/>
      </c>
      <c r="I1965" s="34">
        <f>IFERROR(IF(ISNUMBER($A1965),IF(AND(AH!$U$12=1,1960+1=AH!$U$6),TODAY(),IF(AH!$U$5=1,INDEX('Live History'!$G$5:$G$3004,MATCH($A1965,'Live History'!$G$5:$G$3004,1)),INDEX('AH History'!$C$5:$C$1380,$K1965))),NA()),NA())</f>
        <v/>
      </c>
      <c r="J1965" s="32">
        <f>IFERROR(IF(AND($F1965&gt;0,$H1965&gt;0,$A1965-$G1965&lt;=10,$A1965-$I1965&lt;=5,$G1965&gt;0,$I1965&gt;0),$F1965*$H1965,NA()),NA())</f>
        <v/>
      </c>
      <c r="K1965" s="15">
        <f>IF($A1965="","",IF(AH!$U$5=1,IFERROR(MATCH($A1965,'Live History'!$A$5:$A$3004,0),0),AH!$U$7+1960))</f>
        <v/>
      </c>
      <c r="L1965" s="15">
        <f>IF(ISNUMBER(A1965),TEXT(A1965,"dd-mmm-yy"),"")</f>
        <v/>
      </c>
    </row>
    <row r="1966">
      <c r="A1966" s="14">
        <f>IF(OR(AH!$U$4=0,1961+1&gt;AH!$U$6,AND(AH!$M$5="Bloomberg",AH!$U$5=0)),"",IFERROR(IF(AND(AH!$U$12=1,1961+1=AH!$U$6),TODAY(),IF(AH!$U$5=1,INDEX('Live History'!$A$5:$A$3004,AH!$U$7+1961),INDEX('AH History'!$A$5:$A$1380,AH!$U$7+1961))),""))</f>
        <v/>
      </c>
      <c r="B1966" s="33">
        <f>IFERROR(IF(AH!$U$11=1,NA(),$J1966/$E1966-1),NA())</f>
        <v/>
      </c>
      <c r="C1966" s="269">
        <f>IFERROR(100*$E1966/$E$5,NA())</f>
        <v/>
      </c>
      <c r="D1966" s="269">
        <f>IFERROR(100*$J1966/$J$5,NA())</f>
        <v/>
      </c>
      <c r="E1966" s="32">
        <f>IFERROR(IF(AND(ISNUMBER($A1966),N(IF(AND(AH!$U$12=1,1961+1=AH!$U$6),IF(AH!$U$4=0,"unavailable",INDEX('Market Data'!$AN$5:$AN$66,AH!$U$4)),IF(AH!$U$5=1,INDEX('Live History'!$B$5:$B$3004,$K1966),INDEX('AH History'!$D$5:$GG$1380,$K1966,AH!$U$10))))&gt;0),IF(AND(AH!$U$12=1,1961+1=AH!$U$6),IF(AH!$U$4=0,"unavailable",INDEX('Market Data'!$AN$5:$AN$66,AH!$U$4)),IF(AH!$U$5=1,INDEX('Live History'!$B$5:$B$3004,$K1966),INDEX('AH History'!$D$5:$GG$1380,$K1966,AH!$U$10))),NA()),NA())</f>
        <v/>
      </c>
      <c r="F1966" s="32">
        <f>IFERROR(IF(ISNUMBER($A1966),IF(AND(AH!$U$12=1,1961+1=AH!$U$6),IF(AH!$U$4=0,"unavailable",INDEX('Market Data'!$AO$5:$AO$66,AH!$U$4)),IF(AH!$U$5=1,INDEX('Live History'!$E$5:$E$3004,MATCH($A1966,'Live History'!$D$5:$D$3004,1)),INDEX('AH History'!$D$5:$GG$1380,$K1966,AH!$U$10+1))),NA()),NA())</f>
        <v/>
      </c>
      <c r="G1966" s="34">
        <f>IFERROR(IF(ISNUMBER($A1966),IF(AND(AH!$U$12=1,1961+1=AH!$U$6),IF(AH!$U$4=0,"unavailable",INDEX('Market Data'!$AK$5:$AK$66,AH!$U$4)),IF(AH!$U$5=1,INDEX('Live History'!$D$5:$D$3004,MATCH($A1966,'Live History'!$D$5:$D$3004,1)),INDEX('AH History'!$D$5:$GG$1380,$K1966,AH!$U$10+2))),NA()),NA())</f>
        <v/>
      </c>
      <c r="H1966" s="266">
        <f>IFERROR(IF(ISNUMBER($A1966),IF(AND(AH!$U$12=1,1961+1=AH!$U$6),IF(AH!$U$4=0,"unavailable",INDEX('Market Data'!$AP$5:$AP$66,AH!$U$4)),IF(AH!$U$5=1,INDEX('Live History'!$H$5:$H$3004,MATCH($A1966,'Live History'!$G$5:$G$3004,1)),INDEX('AH History'!$B$5:$B$1380,$K1966))),NA()),NA())</f>
        <v/>
      </c>
      <c r="I1966" s="34">
        <f>IFERROR(IF(ISNUMBER($A1966),IF(AND(AH!$U$12=1,1961+1=AH!$U$6),TODAY(),IF(AH!$U$5=1,INDEX('Live History'!$G$5:$G$3004,MATCH($A1966,'Live History'!$G$5:$G$3004,1)),INDEX('AH History'!$C$5:$C$1380,$K1966))),NA()),NA())</f>
        <v/>
      </c>
      <c r="J1966" s="32">
        <f>IFERROR(IF(AND($F1966&gt;0,$H1966&gt;0,$A1966-$G1966&lt;=10,$A1966-$I1966&lt;=5,$G1966&gt;0,$I1966&gt;0),$F1966*$H1966,NA()),NA())</f>
        <v/>
      </c>
      <c r="K1966" s="15">
        <f>IF($A1966="","",IF(AH!$U$5=1,IFERROR(MATCH($A1966,'Live History'!$A$5:$A$3004,0),0),AH!$U$7+1961))</f>
        <v/>
      </c>
      <c r="L1966" s="15">
        <f>IF(ISNUMBER(A1966),TEXT(A1966,"dd-mmm-yy"),"")</f>
        <v/>
      </c>
    </row>
    <row r="1967">
      <c r="A1967" s="14">
        <f>IF(OR(AH!$U$4=0,1962+1&gt;AH!$U$6,AND(AH!$M$5="Bloomberg",AH!$U$5=0)),"",IFERROR(IF(AND(AH!$U$12=1,1962+1=AH!$U$6),TODAY(),IF(AH!$U$5=1,INDEX('Live History'!$A$5:$A$3004,AH!$U$7+1962),INDEX('AH History'!$A$5:$A$1380,AH!$U$7+1962))),""))</f>
        <v/>
      </c>
      <c r="B1967" s="33">
        <f>IFERROR(IF(AH!$U$11=1,NA(),$J1967/$E1967-1),NA())</f>
        <v/>
      </c>
      <c r="C1967" s="269">
        <f>IFERROR(100*$E1967/$E$5,NA())</f>
        <v/>
      </c>
      <c r="D1967" s="269">
        <f>IFERROR(100*$J1967/$J$5,NA())</f>
        <v/>
      </c>
      <c r="E1967" s="32">
        <f>IFERROR(IF(AND(ISNUMBER($A1967),N(IF(AND(AH!$U$12=1,1962+1=AH!$U$6),IF(AH!$U$4=0,"unavailable",INDEX('Market Data'!$AN$5:$AN$66,AH!$U$4)),IF(AH!$U$5=1,INDEX('Live History'!$B$5:$B$3004,$K1967),INDEX('AH History'!$D$5:$GG$1380,$K1967,AH!$U$10))))&gt;0),IF(AND(AH!$U$12=1,1962+1=AH!$U$6),IF(AH!$U$4=0,"unavailable",INDEX('Market Data'!$AN$5:$AN$66,AH!$U$4)),IF(AH!$U$5=1,INDEX('Live History'!$B$5:$B$3004,$K1967),INDEX('AH History'!$D$5:$GG$1380,$K1967,AH!$U$10))),NA()),NA())</f>
        <v/>
      </c>
      <c r="F1967" s="32">
        <f>IFERROR(IF(ISNUMBER($A1967),IF(AND(AH!$U$12=1,1962+1=AH!$U$6),IF(AH!$U$4=0,"unavailable",INDEX('Market Data'!$AO$5:$AO$66,AH!$U$4)),IF(AH!$U$5=1,INDEX('Live History'!$E$5:$E$3004,MATCH($A1967,'Live History'!$D$5:$D$3004,1)),INDEX('AH History'!$D$5:$GG$1380,$K1967,AH!$U$10+1))),NA()),NA())</f>
        <v/>
      </c>
      <c r="G1967" s="34">
        <f>IFERROR(IF(ISNUMBER($A1967),IF(AND(AH!$U$12=1,1962+1=AH!$U$6),IF(AH!$U$4=0,"unavailable",INDEX('Market Data'!$AK$5:$AK$66,AH!$U$4)),IF(AH!$U$5=1,INDEX('Live History'!$D$5:$D$3004,MATCH($A1967,'Live History'!$D$5:$D$3004,1)),INDEX('AH History'!$D$5:$GG$1380,$K1967,AH!$U$10+2))),NA()),NA())</f>
        <v/>
      </c>
      <c r="H1967" s="266">
        <f>IFERROR(IF(ISNUMBER($A1967),IF(AND(AH!$U$12=1,1962+1=AH!$U$6),IF(AH!$U$4=0,"unavailable",INDEX('Market Data'!$AP$5:$AP$66,AH!$U$4)),IF(AH!$U$5=1,INDEX('Live History'!$H$5:$H$3004,MATCH($A1967,'Live History'!$G$5:$G$3004,1)),INDEX('AH History'!$B$5:$B$1380,$K1967))),NA()),NA())</f>
        <v/>
      </c>
      <c r="I1967" s="34">
        <f>IFERROR(IF(ISNUMBER($A1967),IF(AND(AH!$U$12=1,1962+1=AH!$U$6),TODAY(),IF(AH!$U$5=1,INDEX('Live History'!$G$5:$G$3004,MATCH($A1967,'Live History'!$G$5:$G$3004,1)),INDEX('AH History'!$C$5:$C$1380,$K1967))),NA()),NA())</f>
        <v/>
      </c>
      <c r="J1967" s="32">
        <f>IFERROR(IF(AND($F1967&gt;0,$H1967&gt;0,$A1967-$G1967&lt;=10,$A1967-$I1967&lt;=5,$G1967&gt;0,$I1967&gt;0),$F1967*$H1967,NA()),NA())</f>
        <v/>
      </c>
      <c r="K1967" s="15">
        <f>IF($A1967="","",IF(AH!$U$5=1,IFERROR(MATCH($A1967,'Live History'!$A$5:$A$3004,0),0),AH!$U$7+1962))</f>
        <v/>
      </c>
      <c r="L1967" s="15">
        <f>IF(ISNUMBER(A1967),TEXT(A1967,"dd-mmm-yy"),"")</f>
        <v/>
      </c>
    </row>
    <row r="1968">
      <c r="A1968" s="14">
        <f>IF(OR(AH!$U$4=0,1963+1&gt;AH!$U$6,AND(AH!$M$5="Bloomberg",AH!$U$5=0)),"",IFERROR(IF(AND(AH!$U$12=1,1963+1=AH!$U$6),TODAY(),IF(AH!$U$5=1,INDEX('Live History'!$A$5:$A$3004,AH!$U$7+1963),INDEX('AH History'!$A$5:$A$1380,AH!$U$7+1963))),""))</f>
        <v/>
      </c>
      <c r="B1968" s="33">
        <f>IFERROR(IF(AH!$U$11=1,NA(),$J1968/$E1968-1),NA())</f>
        <v/>
      </c>
      <c r="C1968" s="269">
        <f>IFERROR(100*$E1968/$E$5,NA())</f>
        <v/>
      </c>
      <c r="D1968" s="269">
        <f>IFERROR(100*$J1968/$J$5,NA())</f>
        <v/>
      </c>
      <c r="E1968" s="32">
        <f>IFERROR(IF(AND(ISNUMBER($A1968),N(IF(AND(AH!$U$12=1,1963+1=AH!$U$6),IF(AH!$U$4=0,"unavailable",INDEX('Market Data'!$AN$5:$AN$66,AH!$U$4)),IF(AH!$U$5=1,INDEX('Live History'!$B$5:$B$3004,$K1968),INDEX('AH History'!$D$5:$GG$1380,$K1968,AH!$U$10))))&gt;0),IF(AND(AH!$U$12=1,1963+1=AH!$U$6),IF(AH!$U$4=0,"unavailable",INDEX('Market Data'!$AN$5:$AN$66,AH!$U$4)),IF(AH!$U$5=1,INDEX('Live History'!$B$5:$B$3004,$K1968),INDEX('AH History'!$D$5:$GG$1380,$K1968,AH!$U$10))),NA()),NA())</f>
        <v/>
      </c>
      <c r="F1968" s="32">
        <f>IFERROR(IF(ISNUMBER($A1968),IF(AND(AH!$U$12=1,1963+1=AH!$U$6),IF(AH!$U$4=0,"unavailable",INDEX('Market Data'!$AO$5:$AO$66,AH!$U$4)),IF(AH!$U$5=1,INDEX('Live History'!$E$5:$E$3004,MATCH($A1968,'Live History'!$D$5:$D$3004,1)),INDEX('AH History'!$D$5:$GG$1380,$K1968,AH!$U$10+1))),NA()),NA())</f>
        <v/>
      </c>
      <c r="G1968" s="34">
        <f>IFERROR(IF(ISNUMBER($A1968),IF(AND(AH!$U$12=1,1963+1=AH!$U$6),IF(AH!$U$4=0,"unavailable",INDEX('Market Data'!$AK$5:$AK$66,AH!$U$4)),IF(AH!$U$5=1,INDEX('Live History'!$D$5:$D$3004,MATCH($A1968,'Live History'!$D$5:$D$3004,1)),INDEX('AH History'!$D$5:$GG$1380,$K1968,AH!$U$10+2))),NA()),NA())</f>
        <v/>
      </c>
      <c r="H1968" s="266">
        <f>IFERROR(IF(ISNUMBER($A1968),IF(AND(AH!$U$12=1,1963+1=AH!$U$6),IF(AH!$U$4=0,"unavailable",INDEX('Market Data'!$AP$5:$AP$66,AH!$U$4)),IF(AH!$U$5=1,INDEX('Live History'!$H$5:$H$3004,MATCH($A1968,'Live History'!$G$5:$G$3004,1)),INDEX('AH History'!$B$5:$B$1380,$K1968))),NA()),NA())</f>
        <v/>
      </c>
      <c r="I1968" s="34">
        <f>IFERROR(IF(ISNUMBER($A1968),IF(AND(AH!$U$12=1,1963+1=AH!$U$6),TODAY(),IF(AH!$U$5=1,INDEX('Live History'!$G$5:$G$3004,MATCH($A1968,'Live History'!$G$5:$G$3004,1)),INDEX('AH History'!$C$5:$C$1380,$K1968))),NA()),NA())</f>
        <v/>
      </c>
      <c r="J1968" s="32">
        <f>IFERROR(IF(AND($F1968&gt;0,$H1968&gt;0,$A1968-$G1968&lt;=10,$A1968-$I1968&lt;=5,$G1968&gt;0,$I1968&gt;0),$F1968*$H1968,NA()),NA())</f>
        <v/>
      </c>
      <c r="K1968" s="15">
        <f>IF($A1968="","",IF(AH!$U$5=1,IFERROR(MATCH($A1968,'Live History'!$A$5:$A$3004,0),0),AH!$U$7+1963))</f>
        <v/>
      </c>
      <c r="L1968" s="15">
        <f>IF(ISNUMBER(A1968),TEXT(A1968,"dd-mmm-yy"),"")</f>
        <v/>
      </c>
    </row>
    <row r="1969">
      <c r="A1969" s="14">
        <f>IF(OR(AH!$U$4=0,1964+1&gt;AH!$U$6,AND(AH!$M$5="Bloomberg",AH!$U$5=0)),"",IFERROR(IF(AND(AH!$U$12=1,1964+1=AH!$U$6),TODAY(),IF(AH!$U$5=1,INDEX('Live History'!$A$5:$A$3004,AH!$U$7+1964),INDEX('AH History'!$A$5:$A$1380,AH!$U$7+1964))),""))</f>
        <v/>
      </c>
      <c r="B1969" s="33">
        <f>IFERROR(IF(AH!$U$11=1,NA(),$J1969/$E1969-1),NA())</f>
        <v/>
      </c>
      <c r="C1969" s="269">
        <f>IFERROR(100*$E1969/$E$5,NA())</f>
        <v/>
      </c>
      <c r="D1969" s="269">
        <f>IFERROR(100*$J1969/$J$5,NA())</f>
        <v/>
      </c>
      <c r="E1969" s="32">
        <f>IFERROR(IF(AND(ISNUMBER($A1969),N(IF(AND(AH!$U$12=1,1964+1=AH!$U$6),IF(AH!$U$4=0,"unavailable",INDEX('Market Data'!$AN$5:$AN$66,AH!$U$4)),IF(AH!$U$5=1,INDEX('Live History'!$B$5:$B$3004,$K1969),INDEX('AH History'!$D$5:$GG$1380,$K1969,AH!$U$10))))&gt;0),IF(AND(AH!$U$12=1,1964+1=AH!$U$6),IF(AH!$U$4=0,"unavailable",INDEX('Market Data'!$AN$5:$AN$66,AH!$U$4)),IF(AH!$U$5=1,INDEX('Live History'!$B$5:$B$3004,$K1969),INDEX('AH History'!$D$5:$GG$1380,$K1969,AH!$U$10))),NA()),NA())</f>
        <v/>
      </c>
      <c r="F1969" s="32">
        <f>IFERROR(IF(ISNUMBER($A1969),IF(AND(AH!$U$12=1,1964+1=AH!$U$6),IF(AH!$U$4=0,"unavailable",INDEX('Market Data'!$AO$5:$AO$66,AH!$U$4)),IF(AH!$U$5=1,INDEX('Live History'!$E$5:$E$3004,MATCH($A1969,'Live History'!$D$5:$D$3004,1)),INDEX('AH History'!$D$5:$GG$1380,$K1969,AH!$U$10+1))),NA()),NA())</f>
        <v/>
      </c>
      <c r="G1969" s="34">
        <f>IFERROR(IF(ISNUMBER($A1969),IF(AND(AH!$U$12=1,1964+1=AH!$U$6),IF(AH!$U$4=0,"unavailable",INDEX('Market Data'!$AK$5:$AK$66,AH!$U$4)),IF(AH!$U$5=1,INDEX('Live History'!$D$5:$D$3004,MATCH($A1969,'Live History'!$D$5:$D$3004,1)),INDEX('AH History'!$D$5:$GG$1380,$K1969,AH!$U$10+2))),NA()),NA())</f>
        <v/>
      </c>
      <c r="H1969" s="266">
        <f>IFERROR(IF(ISNUMBER($A1969),IF(AND(AH!$U$12=1,1964+1=AH!$U$6),IF(AH!$U$4=0,"unavailable",INDEX('Market Data'!$AP$5:$AP$66,AH!$U$4)),IF(AH!$U$5=1,INDEX('Live History'!$H$5:$H$3004,MATCH($A1969,'Live History'!$G$5:$G$3004,1)),INDEX('AH History'!$B$5:$B$1380,$K1969))),NA()),NA())</f>
        <v/>
      </c>
      <c r="I1969" s="34">
        <f>IFERROR(IF(ISNUMBER($A1969),IF(AND(AH!$U$12=1,1964+1=AH!$U$6),TODAY(),IF(AH!$U$5=1,INDEX('Live History'!$G$5:$G$3004,MATCH($A1969,'Live History'!$G$5:$G$3004,1)),INDEX('AH History'!$C$5:$C$1380,$K1969))),NA()),NA())</f>
        <v/>
      </c>
      <c r="J1969" s="32">
        <f>IFERROR(IF(AND($F1969&gt;0,$H1969&gt;0,$A1969-$G1969&lt;=10,$A1969-$I1969&lt;=5,$G1969&gt;0,$I1969&gt;0),$F1969*$H1969,NA()),NA())</f>
        <v/>
      </c>
      <c r="K1969" s="15">
        <f>IF($A1969="","",IF(AH!$U$5=1,IFERROR(MATCH($A1969,'Live History'!$A$5:$A$3004,0),0),AH!$U$7+1964))</f>
        <v/>
      </c>
      <c r="L1969" s="15">
        <f>IF(ISNUMBER(A1969),TEXT(A1969,"dd-mmm-yy"),"")</f>
        <v/>
      </c>
    </row>
    <row r="1970">
      <c r="A1970" s="14">
        <f>IF(OR(AH!$U$4=0,1965+1&gt;AH!$U$6,AND(AH!$M$5="Bloomberg",AH!$U$5=0)),"",IFERROR(IF(AND(AH!$U$12=1,1965+1=AH!$U$6),TODAY(),IF(AH!$U$5=1,INDEX('Live History'!$A$5:$A$3004,AH!$U$7+1965),INDEX('AH History'!$A$5:$A$1380,AH!$U$7+1965))),""))</f>
        <v/>
      </c>
      <c r="B1970" s="33">
        <f>IFERROR(IF(AH!$U$11=1,NA(),$J1970/$E1970-1),NA())</f>
        <v/>
      </c>
      <c r="C1970" s="269">
        <f>IFERROR(100*$E1970/$E$5,NA())</f>
        <v/>
      </c>
      <c r="D1970" s="269">
        <f>IFERROR(100*$J1970/$J$5,NA())</f>
        <v/>
      </c>
      <c r="E1970" s="32">
        <f>IFERROR(IF(AND(ISNUMBER($A1970),N(IF(AND(AH!$U$12=1,1965+1=AH!$U$6),IF(AH!$U$4=0,"unavailable",INDEX('Market Data'!$AN$5:$AN$66,AH!$U$4)),IF(AH!$U$5=1,INDEX('Live History'!$B$5:$B$3004,$K1970),INDEX('AH History'!$D$5:$GG$1380,$K1970,AH!$U$10))))&gt;0),IF(AND(AH!$U$12=1,1965+1=AH!$U$6),IF(AH!$U$4=0,"unavailable",INDEX('Market Data'!$AN$5:$AN$66,AH!$U$4)),IF(AH!$U$5=1,INDEX('Live History'!$B$5:$B$3004,$K1970),INDEX('AH History'!$D$5:$GG$1380,$K1970,AH!$U$10))),NA()),NA())</f>
        <v/>
      </c>
      <c r="F1970" s="32">
        <f>IFERROR(IF(ISNUMBER($A1970),IF(AND(AH!$U$12=1,1965+1=AH!$U$6),IF(AH!$U$4=0,"unavailable",INDEX('Market Data'!$AO$5:$AO$66,AH!$U$4)),IF(AH!$U$5=1,INDEX('Live History'!$E$5:$E$3004,MATCH($A1970,'Live History'!$D$5:$D$3004,1)),INDEX('AH History'!$D$5:$GG$1380,$K1970,AH!$U$10+1))),NA()),NA())</f>
        <v/>
      </c>
      <c r="G1970" s="34">
        <f>IFERROR(IF(ISNUMBER($A1970),IF(AND(AH!$U$12=1,1965+1=AH!$U$6),IF(AH!$U$4=0,"unavailable",INDEX('Market Data'!$AK$5:$AK$66,AH!$U$4)),IF(AH!$U$5=1,INDEX('Live History'!$D$5:$D$3004,MATCH($A1970,'Live History'!$D$5:$D$3004,1)),INDEX('AH History'!$D$5:$GG$1380,$K1970,AH!$U$10+2))),NA()),NA())</f>
        <v/>
      </c>
      <c r="H1970" s="266">
        <f>IFERROR(IF(ISNUMBER($A1970),IF(AND(AH!$U$12=1,1965+1=AH!$U$6),IF(AH!$U$4=0,"unavailable",INDEX('Market Data'!$AP$5:$AP$66,AH!$U$4)),IF(AH!$U$5=1,INDEX('Live History'!$H$5:$H$3004,MATCH($A1970,'Live History'!$G$5:$G$3004,1)),INDEX('AH History'!$B$5:$B$1380,$K1970))),NA()),NA())</f>
        <v/>
      </c>
      <c r="I1970" s="34">
        <f>IFERROR(IF(ISNUMBER($A1970),IF(AND(AH!$U$12=1,1965+1=AH!$U$6),TODAY(),IF(AH!$U$5=1,INDEX('Live History'!$G$5:$G$3004,MATCH($A1970,'Live History'!$G$5:$G$3004,1)),INDEX('AH History'!$C$5:$C$1380,$K1970))),NA()),NA())</f>
        <v/>
      </c>
      <c r="J1970" s="32">
        <f>IFERROR(IF(AND($F1970&gt;0,$H1970&gt;0,$A1970-$G1970&lt;=10,$A1970-$I1970&lt;=5,$G1970&gt;0,$I1970&gt;0),$F1970*$H1970,NA()),NA())</f>
        <v/>
      </c>
      <c r="K1970" s="15">
        <f>IF($A1970="","",IF(AH!$U$5=1,IFERROR(MATCH($A1970,'Live History'!$A$5:$A$3004,0),0),AH!$U$7+1965))</f>
        <v/>
      </c>
      <c r="L1970" s="15">
        <f>IF(ISNUMBER(A1970),TEXT(A1970,"dd-mmm-yy"),"")</f>
        <v/>
      </c>
    </row>
    <row r="1971">
      <c r="A1971" s="14">
        <f>IF(OR(AH!$U$4=0,1966+1&gt;AH!$U$6,AND(AH!$M$5="Bloomberg",AH!$U$5=0)),"",IFERROR(IF(AND(AH!$U$12=1,1966+1=AH!$U$6),TODAY(),IF(AH!$U$5=1,INDEX('Live History'!$A$5:$A$3004,AH!$U$7+1966),INDEX('AH History'!$A$5:$A$1380,AH!$U$7+1966))),""))</f>
        <v/>
      </c>
      <c r="B1971" s="33">
        <f>IFERROR(IF(AH!$U$11=1,NA(),$J1971/$E1971-1),NA())</f>
        <v/>
      </c>
      <c r="C1971" s="269">
        <f>IFERROR(100*$E1971/$E$5,NA())</f>
        <v/>
      </c>
      <c r="D1971" s="269">
        <f>IFERROR(100*$J1971/$J$5,NA())</f>
        <v/>
      </c>
      <c r="E1971" s="32">
        <f>IFERROR(IF(AND(ISNUMBER($A1971),N(IF(AND(AH!$U$12=1,1966+1=AH!$U$6),IF(AH!$U$4=0,"unavailable",INDEX('Market Data'!$AN$5:$AN$66,AH!$U$4)),IF(AH!$U$5=1,INDEX('Live History'!$B$5:$B$3004,$K1971),INDEX('AH History'!$D$5:$GG$1380,$K1971,AH!$U$10))))&gt;0),IF(AND(AH!$U$12=1,1966+1=AH!$U$6),IF(AH!$U$4=0,"unavailable",INDEX('Market Data'!$AN$5:$AN$66,AH!$U$4)),IF(AH!$U$5=1,INDEX('Live History'!$B$5:$B$3004,$K1971),INDEX('AH History'!$D$5:$GG$1380,$K1971,AH!$U$10))),NA()),NA())</f>
        <v/>
      </c>
      <c r="F1971" s="32">
        <f>IFERROR(IF(ISNUMBER($A1971),IF(AND(AH!$U$12=1,1966+1=AH!$U$6),IF(AH!$U$4=0,"unavailable",INDEX('Market Data'!$AO$5:$AO$66,AH!$U$4)),IF(AH!$U$5=1,INDEX('Live History'!$E$5:$E$3004,MATCH($A1971,'Live History'!$D$5:$D$3004,1)),INDEX('AH History'!$D$5:$GG$1380,$K1971,AH!$U$10+1))),NA()),NA())</f>
        <v/>
      </c>
      <c r="G1971" s="34">
        <f>IFERROR(IF(ISNUMBER($A1971),IF(AND(AH!$U$12=1,1966+1=AH!$U$6),IF(AH!$U$4=0,"unavailable",INDEX('Market Data'!$AK$5:$AK$66,AH!$U$4)),IF(AH!$U$5=1,INDEX('Live History'!$D$5:$D$3004,MATCH($A1971,'Live History'!$D$5:$D$3004,1)),INDEX('AH History'!$D$5:$GG$1380,$K1971,AH!$U$10+2))),NA()),NA())</f>
        <v/>
      </c>
      <c r="H1971" s="266">
        <f>IFERROR(IF(ISNUMBER($A1971),IF(AND(AH!$U$12=1,1966+1=AH!$U$6),IF(AH!$U$4=0,"unavailable",INDEX('Market Data'!$AP$5:$AP$66,AH!$U$4)),IF(AH!$U$5=1,INDEX('Live History'!$H$5:$H$3004,MATCH($A1971,'Live History'!$G$5:$G$3004,1)),INDEX('AH History'!$B$5:$B$1380,$K1971))),NA()),NA())</f>
        <v/>
      </c>
      <c r="I1971" s="34">
        <f>IFERROR(IF(ISNUMBER($A1971),IF(AND(AH!$U$12=1,1966+1=AH!$U$6),TODAY(),IF(AH!$U$5=1,INDEX('Live History'!$G$5:$G$3004,MATCH($A1971,'Live History'!$G$5:$G$3004,1)),INDEX('AH History'!$C$5:$C$1380,$K1971))),NA()),NA())</f>
        <v/>
      </c>
      <c r="J1971" s="32">
        <f>IFERROR(IF(AND($F1971&gt;0,$H1971&gt;0,$A1971-$G1971&lt;=10,$A1971-$I1971&lt;=5,$G1971&gt;0,$I1971&gt;0),$F1971*$H1971,NA()),NA())</f>
        <v/>
      </c>
      <c r="K1971" s="15">
        <f>IF($A1971="","",IF(AH!$U$5=1,IFERROR(MATCH($A1971,'Live History'!$A$5:$A$3004,0),0),AH!$U$7+1966))</f>
        <v/>
      </c>
      <c r="L1971" s="15">
        <f>IF(ISNUMBER(A1971),TEXT(A1971,"dd-mmm-yy"),"")</f>
        <v/>
      </c>
    </row>
    <row r="1972">
      <c r="A1972" s="14">
        <f>IF(OR(AH!$U$4=0,1967+1&gt;AH!$U$6,AND(AH!$M$5="Bloomberg",AH!$U$5=0)),"",IFERROR(IF(AND(AH!$U$12=1,1967+1=AH!$U$6),TODAY(),IF(AH!$U$5=1,INDEX('Live History'!$A$5:$A$3004,AH!$U$7+1967),INDEX('AH History'!$A$5:$A$1380,AH!$U$7+1967))),""))</f>
        <v/>
      </c>
      <c r="B1972" s="33">
        <f>IFERROR(IF(AH!$U$11=1,NA(),$J1972/$E1972-1),NA())</f>
        <v/>
      </c>
      <c r="C1972" s="269">
        <f>IFERROR(100*$E1972/$E$5,NA())</f>
        <v/>
      </c>
      <c r="D1972" s="269">
        <f>IFERROR(100*$J1972/$J$5,NA())</f>
        <v/>
      </c>
      <c r="E1972" s="32">
        <f>IFERROR(IF(AND(ISNUMBER($A1972),N(IF(AND(AH!$U$12=1,1967+1=AH!$U$6),IF(AH!$U$4=0,"unavailable",INDEX('Market Data'!$AN$5:$AN$66,AH!$U$4)),IF(AH!$U$5=1,INDEX('Live History'!$B$5:$B$3004,$K1972),INDEX('AH History'!$D$5:$GG$1380,$K1972,AH!$U$10))))&gt;0),IF(AND(AH!$U$12=1,1967+1=AH!$U$6),IF(AH!$U$4=0,"unavailable",INDEX('Market Data'!$AN$5:$AN$66,AH!$U$4)),IF(AH!$U$5=1,INDEX('Live History'!$B$5:$B$3004,$K1972),INDEX('AH History'!$D$5:$GG$1380,$K1972,AH!$U$10))),NA()),NA())</f>
        <v/>
      </c>
      <c r="F1972" s="32">
        <f>IFERROR(IF(ISNUMBER($A1972),IF(AND(AH!$U$12=1,1967+1=AH!$U$6),IF(AH!$U$4=0,"unavailable",INDEX('Market Data'!$AO$5:$AO$66,AH!$U$4)),IF(AH!$U$5=1,INDEX('Live History'!$E$5:$E$3004,MATCH($A1972,'Live History'!$D$5:$D$3004,1)),INDEX('AH History'!$D$5:$GG$1380,$K1972,AH!$U$10+1))),NA()),NA())</f>
        <v/>
      </c>
      <c r="G1972" s="34">
        <f>IFERROR(IF(ISNUMBER($A1972),IF(AND(AH!$U$12=1,1967+1=AH!$U$6),IF(AH!$U$4=0,"unavailable",INDEX('Market Data'!$AK$5:$AK$66,AH!$U$4)),IF(AH!$U$5=1,INDEX('Live History'!$D$5:$D$3004,MATCH($A1972,'Live History'!$D$5:$D$3004,1)),INDEX('AH History'!$D$5:$GG$1380,$K1972,AH!$U$10+2))),NA()),NA())</f>
        <v/>
      </c>
      <c r="H1972" s="266">
        <f>IFERROR(IF(ISNUMBER($A1972),IF(AND(AH!$U$12=1,1967+1=AH!$U$6),IF(AH!$U$4=0,"unavailable",INDEX('Market Data'!$AP$5:$AP$66,AH!$U$4)),IF(AH!$U$5=1,INDEX('Live History'!$H$5:$H$3004,MATCH($A1972,'Live History'!$G$5:$G$3004,1)),INDEX('AH History'!$B$5:$B$1380,$K1972))),NA()),NA())</f>
        <v/>
      </c>
      <c r="I1972" s="34">
        <f>IFERROR(IF(ISNUMBER($A1972),IF(AND(AH!$U$12=1,1967+1=AH!$U$6),TODAY(),IF(AH!$U$5=1,INDEX('Live History'!$G$5:$G$3004,MATCH($A1972,'Live History'!$G$5:$G$3004,1)),INDEX('AH History'!$C$5:$C$1380,$K1972))),NA()),NA())</f>
        <v/>
      </c>
      <c r="J1972" s="32">
        <f>IFERROR(IF(AND($F1972&gt;0,$H1972&gt;0,$A1972-$G1972&lt;=10,$A1972-$I1972&lt;=5,$G1972&gt;0,$I1972&gt;0),$F1972*$H1972,NA()),NA())</f>
        <v/>
      </c>
      <c r="K1972" s="15">
        <f>IF($A1972="","",IF(AH!$U$5=1,IFERROR(MATCH($A1972,'Live History'!$A$5:$A$3004,0),0),AH!$U$7+1967))</f>
        <v/>
      </c>
      <c r="L1972" s="15">
        <f>IF(ISNUMBER(A1972),TEXT(A1972,"dd-mmm-yy"),"")</f>
        <v/>
      </c>
    </row>
    <row r="1973">
      <c r="A1973" s="14">
        <f>IF(OR(AH!$U$4=0,1968+1&gt;AH!$U$6,AND(AH!$M$5="Bloomberg",AH!$U$5=0)),"",IFERROR(IF(AND(AH!$U$12=1,1968+1=AH!$U$6),TODAY(),IF(AH!$U$5=1,INDEX('Live History'!$A$5:$A$3004,AH!$U$7+1968),INDEX('AH History'!$A$5:$A$1380,AH!$U$7+1968))),""))</f>
        <v/>
      </c>
      <c r="B1973" s="33">
        <f>IFERROR(IF(AH!$U$11=1,NA(),$J1973/$E1973-1),NA())</f>
        <v/>
      </c>
      <c r="C1973" s="269">
        <f>IFERROR(100*$E1973/$E$5,NA())</f>
        <v/>
      </c>
      <c r="D1973" s="269">
        <f>IFERROR(100*$J1973/$J$5,NA())</f>
        <v/>
      </c>
      <c r="E1973" s="32">
        <f>IFERROR(IF(AND(ISNUMBER($A1973),N(IF(AND(AH!$U$12=1,1968+1=AH!$U$6),IF(AH!$U$4=0,"unavailable",INDEX('Market Data'!$AN$5:$AN$66,AH!$U$4)),IF(AH!$U$5=1,INDEX('Live History'!$B$5:$B$3004,$K1973),INDEX('AH History'!$D$5:$GG$1380,$K1973,AH!$U$10))))&gt;0),IF(AND(AH!$U$12=1,1968+1=AH!$U$6),IF(AH!$U$4=0,"unavailable",INDEX('Market Data'!$AN$5:$AN$66,AH!$U$4)),IF(AH!$U$5=1,INDEX('Live History'!$B$5:$B$3004,$K1973),INDEX('AH History'!$D$5:$GG$1380,$K1973,AH!$U$10))),NA()),NA())</f>
        <v/>
      </c>
      <c r="F1973" s="32">
        <f>IFERROR(IF(ISNUMBER($A1973),IF(AND(AH!$U$12=1,1968+1=AH!$U$6),IF(AH!$U$4=0,"unavailable",INDEX('Market Data'!$AO$5:$AO$66,AH!$U$4)),IF(AH!$U$5=1,INDEX('Live History'!$E$5:$E$3004,MATCH($A1973,'Live History'!$D$5:$D$3004,1)),INDEX('AH History'!$D$5:$GG$1380,$K1973,AH!$U$10+1))),NA()),NA())</f>
        <v/>
      </c>
      <c r="G1973" s="34">
        <f>IFERROR(IF(ISNUMBER($A1973),IF(AND(AH!$U$12=1,1968+1=AH!$U$6),IF(AH!$U$4=0,"unavailable",INDEX('Market Data'!$AK$5:$AK$66,AH!$U$4)),IF(AH!$U$5=1,INDEX('Live History'!$D$5:$D$3004,MATCH($A1973,'Live History'!$D$5:$D$3004,1)),INDEX('AH History'!$D$5:$GG$1380,$K1973,AH!$U$10+2))),NA()),NA())</f>
        <v/>
      </c>
      <c r="H1973" s="266">
        <f>IFERROR(IF(ISNUMBER($A1973),IF(AND(AH!$U$12=1,1968+1=AH!$U$6),IF(AH!$U$4=0,"unavailable",INDEX('Market Data'!$AP$5:$AP$66,AH!$U$4)),IF(AH!$U$5=1,INDEX('Live History'!$H$5:$H$3004,MATCH($A1973,'Live History'!$G$5:$G$3004,1)),INDEX('AH History'!$B$5:$B$1380,$K1973))),NA()),NA())</f>
        <v/>
      </c>
      <c r="I1973" s="34">
        <f>IFERROR(IF(ISNUMBER($A1973),IF(AND(AH!$U$12=1,1968+1=AH!$U$6),TODAY(),IF(AH!$U$5=1,INDEX('Live History'!$G$5:$G$3004,MATCH($A1973,'Live History'!$G$5:$G$3004,1)),INDEX('AH History'!$C$5:$C$1380,$K1973))),NA()),NA())</f>
        <v/>
      </c>
      <c r="J1973" s="32">
        <f>IFERROR(IF(AND($F1973&gt;0,$H1973&gt;0,$A1973-$G1973&lt;=10,$A1973-$I1973&lt;=5,$G1973&gt;0,$I1973&gt;0),$F1973*$H1973,NA()),NA())</f>
        <v/>
      </c>
      <c r="K1973" s="15">
        <f>IF($A1973="","",IF(AH!$U$5=1,IFERROR(MATCH($A1973,'Live History'!$A$5:$A$3004,0),0),AH!$U$7+1968))</f>
        <v/>
      </c>
      <c r="L1973" s="15">
        <f>IF(ISNUMBER(A1973),TEXT(A1973,"dd-mmm-yy"),"")</f>
        <v/>
      </c>
    </row>
    <row r="1974">
      <c r="A1974" s="14">
        <f>IF(OR(AH!$U$4=0,1969+1&gt;AH!$U$6,AND(AH!$M$5="Bloomberg",AH!$U$5=0)),"",IFERROR(IF(AND(AH!$U$12=1,1969+1=AH!$U$6),TODAY(),IF(AH!$U$5=1,INDEX('Live History'!$A$5:$A$3004,AH!$U$7+1969),INDEX('AH History'!$A$5:$A$1380,AH!$U$7+1969))),""))</f>
        <v/>
      </c>
      <c r="B1974" s="33">
        <f>IFERROR(IF(AH!$U$11=1,NA(),$J1974/$E1974-1),NA())</f>
        <v/>
      </c>
      <c r="C1974" s="269">
        <f>IFERROR(100*$E1974/$E$5,NA())</f>
        <v/>
      </c>
      <c r="D1974" s="269">
        <f>IFERROR(100*$J1974/$J$5,NA())</f>
        <v/>
      </c>
      <c r="E1974" s="32">
        <f>IFERROR(IF(AND(ISNUMBER($A1974),N(IF(AND(AH!$U$12=1,1969+1=AH!$U$6),IF(AH!$U$4=0,"unavailable",INDEX('Market Data'!$AN$5:$AN$66,AH!$U$4)),IF(AH!$U$5=1,INDEX('Live History'!$B$5:$B$3004,$K1974),INDEX('AH History'!$D$5:$GG$1380,$K1974,AH!$U$10))))&gt;0),IF(AND(AH!$U$12=1,1969+1=AH!$U$6),IF(AH!$U$4=0,"unavailable",INDEX('Market Data'!$AN$5:$AN$66,AH!$U$4)),IF(AH!$U$5=1,INDEX('Live History'!$B$5:$B$3004,$K1974),INDEX('AH History'!$D$5:$GG$1380,$K1974,AH!$U$10))),NA()),NA())</f>
        <v/>
      </c>
      <c r="F1974" s="32">
        <f>IFERROR(IF(ISNUMBER($A1974),IF(AND(AH!$U$12=1,1969+1=AH!$U$6),IF(AH!$U$4=0,"unavailable",INDEX('Market Data'!$AO$5:$AO$66,AH!$U$4)),IF(AH!$U$5=1,INDEX('Live History'!$E$5:$E$3004,MATCH($A1974,'Live History'!$D$5:$D$3004,1)),INDEX('AH History'!$D$5:$GG$1380,$K1974,AH!$U$10+1))),NA()),NA())</f>
        <v/>
      </c>
      <c r="G1974" s="34">
        <f>IFERROR(IF(ISNUMBER($A1974),IF(AND(AH!$U$12=1,1969+1=AH!$U$6),IF(AH!$U$4=0,"unavailable",INDEX('Market Data'!$AK$5:$AK$66,AH!$U$4)),IF(AH!$U$5=1,INDEX('Live History'!$D$5:$D$3004,MATCH($A1974,'Live History'!$D$5:$D$3004,1)),INDEX('AH History'!$D$5:$GG$1380,$K1974,AH!$U$10+2))),NA()),NA())</f>
        <v/>
      </c>
      <c r="H1974" s="266">
        <f>IFERROR(IF(ISNUMBER($A1974),IF(AND(AH!$U$12=1,1969+1=AH!$U$6),IF(AH!$U$4=0,"unavailable",INDEX('Market Data'!$AP$5:$AP$66,AH!$U$4)),IF(AH!$U$5=1,INDEX('Live History'!$H$5:$H$3004,MATCH($A1974,'Live History'!$G$5:$G$3004,1)),INDEX('AH History'!$B$5:$B$1380,$K1974))),NA()),NA())</f>
        <v/>
      </c>
      <c r="I1974" s="34">
        <f>IFERROR(IF(ISNUMBER($A1974),IF(AND(AH!$U$12=1,1969+1=AH!$U$6),TODAY(),IF(AH!$U$5=1,INDEX('Live History'!$G$5:$G$3004,MATCH($A1974,'Live History'!$G$5:$G$3004,1)),INDEX('AH History'!$C$5:$C$1380,$K1974))),NA()),NA())</f>
        <v/>
      </c>
      <c r="J1974" s="32">
        <f>IFERROR(IF(AND($F1974&gt;0,$H1974&gt;0,$A1974-$G1974&lt;=10,$A1974-$I1974&lt;=5,$G1974&gt;0,$I1974&gt;0),$F1974*$H1974,NA()),NA())</f>
        <v/>
      </c>
      <c r="K1974" s="15">
        <f>IF($A1974="","",IF(AH!$U$5=1,IFERROR(MATCH($A1974,'Live History'!$A$5:$A$3004,0),0),AH!$U$7+1969))</f>
        <v/>
      </c>
      <c r="L1974" s="15">
        <f>IF(ISNUMBER(A1974),TEXT(A1974,"dd-mmm-yy"),"")</f>
        <v/>
      </c>
    </row>
    <row r="1975">
      <c r="A1975" s="14">
        <f>IF(OR(AH!$U$4=0,1970+1&gt;AH!$U$6,AND(AH!$M$5="Bloomberg",AH!$U$5=0)),"",IFERROR(IF(AND(AH!$U$12=1,1970+1=AH!$U$6),TODAY(),IF(AH!$U$5=1,INDEX('Live History'!$A$5:$A$3004,AH!$U$7+1970),INDEX('AH History'!$A$5:$A$1380,AH!$U$7+1970))),""))</f>
        <v/>
      </c>
      <c r="B1975" s="33">
        <f>IFERROR(IF(AH!$U$11=1,NA(),$J1975/$E1975-1),NA())</f>
        <v/>
      </c>
      <c r="C1975" s="269">
        <f>IFERROR(100*$E1975/$E$5,NA())</f>
        <v/>
      </c>
      <c r="D1975" s="269">
        <f>IFERROR(100*$J1975/$J$5,NA())</f>
        <v/>
      </c>
      <c r="E1975" s="32">
        <f>IFERROR(IF(AND(ISNUMBER($A1975),N(IF(AND(AH!$U$12=1,1970+1=AH!$U$6),IF(AH!$U$4=0,"unavailable",INDEX('Market Data'!$AN$5:$AN$66,AH!$U$4)),IF(AH!$U$5=1,INDEX('Live History'!$B$5:$B$3004,$K1975),INDEX('AH History'!$D$5:$GG$1380,$K1975,AH!$U$10))))&gt;0),IF(AND(AH!$U$12=1,1970+1=AH!$U$6),IF(AH!$U$4=0,"unavailable",INDEX('Market Data'!$AN$5:$AN$66,AH!$U$4)),IF(AH!$U$5=1,INDEX('Live History'!$B$5:$B$3004,$K1975),INDEX('AH History'!$D$5:$GG$1380,$K1975,AH!$U$10))),NA()),NA())</f>
        <v/>
      </c>
      <c r="F1975" s="32">
        <f>IFERROR(IF(ISNUMBER($A1975),IF(AND(AH!$U$12=1,1970+1=AH!$U$6),IF(AH!$U$4=0,"unavailable",INDEX('Market Data'!$AO$5:$AO$66,AH!$U$4)),IF(AH!$U$5=1,INDEX('Live History'!$E$5:$E$3004,MATCH($A1975,'Live History'!$D$5:$D$3004,1)),INDEX('AH History'!$D$5:$GG$1380,$K1975,AH!$U$10+1))),NA()),NA())</f>
        <v/>
      </c>
      <c r="G1975" s="34">
        <f>IFERROR(IF(ISNUMBER($A1975),IF(AND(AH!$U$12=1,1970+1=AH!$U$6),IF(AH!$U$4=0,"unavailable",INDEX('Market Data'!$AK$5:$AK$66,AH!$U$4)),IF(AH!$U$5=1,INDEX('Live History'!$D$5:$D$3004,MATCH($A1975,'Live History'!$D$5:$D$3004,1)),INDEX('AH History'!$D$5:$GG$1380,$K1975,AH!$U$10+2))),NA()),NA())</f>
        <v/>
      </c>
      <c r="H1975" s="266">
        <f>IFERROR(IF(ISNUMBER($A1975),IF(AND(AH!$U$12=1,1970+1=AH!$U$6),IF(AH!$U$4=0,"unavailable",INDEX('Market Data'!$AP$5:$AP$66,AH!$U$4)),IF(AH!$U$5=1,INDEX('Live History'!$H$5:$H$3004,MATCH($A1975,'Live History'!$G$5:$G$3004,1)),INDEX('AH History'!$B$5:$B$1380,$K1975))),NA()),NA())</f>
        <v/>
      </c>
      <c r="I1975" s="34">
        <f>IFERROR(IF(ISNUMBER($A1975),IF(AND(AH!$U$12=1,1970+1=AH!$U$6),TODAY(),IF(AH!$U$5=1,INDEX('Live History'!$G$5:$G$3004,MATCH($A1975,'Live History'!$G$5:$G$3004,1)),INDEX('AH History'!$C$5:$C$1380,$K1975))),NA()),NA())</f>
        <v/>
      </c>
      <c r="J1975" s="32">
        <f>IFERROR(IF(AND($F1975&gt;0,$H1975&gt;0,$A1975-$G1975&lt;=10,$A1975-$I1975&lt;=5,$G1975&gt;0,$I1975&gt;0),$F1975*$H1975,NA()),NA())</f>
        <v/>
      </c>
      <c r="K1975" s="15">
        <f>IF($A1975="","",IF(AH!$U$5=1,IFERROR(MATCH($A1975,'Live History'!$A$5:$A$3004,0),0),AH!$U$7+1970))</f>
        <v/>
      </c>
      <c r="L1975" s="15">
        <f>IF(ISNUMBER(A1975),TEXT(A1975,"dd-mmm-yy"),"")</f>
        <v/>
      </c>
    </row>
    <row r="1976">
      <c r="A1976" s="14">
        <f>IF(OR(AH!$U$4=0,1971+1&gt;AH!$U$6,AND(AH!$M$5="Bloomberg",AH!$U$5=0)),"",IFERROR(IF(AND(AH!$U$12=1,1971+1=AH!$U$6),TODAY(),IF(AH!$U$5=1,INDEX('Live History'!$A$5:$A$3004,AH!$U$7+1971),INDEX('AH History'!$A$5:$A$1380,AH!$U$7+1971))),""))</f>
        <v/>
      </c>
      <c r="B1976" s="33">
        <f>IFERROR(IF(AH!$U$11=1,NA(),$J1976/$E1976-1),NA())</f>
        <v/>
      </c>
      <c r="C1976" s="269">
        <f>IFERROR(100*$E1976/$E$5,NA())</f>
        <v/>
      </c>
      <c r="D1976" s="269">
        <f>IFERROR(100*$J1976/$J$5,NA())</f>
        <v/>
      </c>
      <c r="E1976" s="32">
        <f>IFERROR(IF(AND(ISNUMBER($A1976),N(IF(AND(AH!$U$12=1,1971+1=AH!$U$6),IF(AH!$U$4=0,"unavailable",INDEX('Market Data'!$AN$5:$AN$66,AH!$U$4)),IF(AH!$U$5=1,INDEX('Live History'!$B$5:$B$3004,$K1976),INDEX('AH History'!$D$5:$GG$1380,$K1976,AH!$U$10))))&gt;0),IF(AND(AH!$U$12=1,1971+1=AH!$U$6),IF(AH!$U$4=0,"unavailable",INDEX('Market Data'!$AN$5:$AN$66,AH!$U$4)),IF(AH!$U$5=1,INDEX('Live History'!$B$5:$B$3004,$K1976),INDEX('AH History'!$D$5:$GG$1380,$K1976,AH!$U$10))),NA()),NA())</f>
        <v/>
      </c>
      <c r="F1976" s="32">
        <f>IFERROR(IF(ISNUMBER($A1976),IF(AND(AH!$U$12=1,1971+1=AH!$U$6),IF(AH!$U$4=0,"unavailable",INDEX('Market Data'!$AO$5:$AO$66,AH!$U$4)),IF(AH!$U$5=1,INDEX('Live History'!$E$5:$E$3004,MATCH($A1976,'Live History'!$D$5:$D$3004,1)),INDEX('AH History'!$D$5:$GG$1380,$K1976,AH!$U$10+1))),NA()),NA())</f>
        <v/>
      </c>
      <c r="G1976" s="34">
        <f>IFERROR(IF(ISNUMBER($A1976),IF(AND(AH!$U$12=1,1971+1=AH!$U$6),IF(AH!$U$4=0,"unavailable",INDEX('Market Data'!$AK$5:$AK$66,AH!$U$4)),IF(AH!$U$5=1,INDEX('Live History'!$D$5:$D$3004,MATCH($A1976,'Live History'!$D$5:$D$3004,1)),INDEX('AH History'!$D$5:$GG$1380,$K1976,AH!$U$10+2))),NA()),NA())</f>
        <v/>
      </c>
      <c r="H1976" s="266">
        <f>IFERROR(IF(ISNUMBER($A1976),IF(AND(AH!$U$12=1,1971+1=AH!$U$6),IF(AH!$U$4=0,"unavailable",INDEX('Market Data'!$AP$5:$AP$66,AH!$U$4)),IF(AH!$U$5=1,INDEX('Live History'!$H$5:$H$3004,MATCH($A1976,'Live History'!$G$5:$G$3004,1)),INDEX('AH History'!$B$5:$B$1380,$K1976))),NA()),NA())</f>
        <v/>
      </c>
      <c r="I1976" s="34">
        <f>IFERROR(IF(ISNUMBER($A1976),IF(AND(AH!$U$12=1,1971+1=AH!$U$6),TODAY(),IF(AH!$U$5=1,INDEX('Live History'!$G$5:$G$3004,MATCH($A1976,'Live History'!$G$5:$G$3004,1)),INDEX('AH History'!$C$5:$C$1380,$K1976))),NA()),NA())</f>
        <v/>
      </c>
      <c r="J1976" s="32">
        <f>IFERROR(IF(AND($F1976&gt;0,$H1976&gt;0,$A1976-$G1976&lt;=10,$A1976-$I1976&lt;=5,$G1976&gt;0,$I1976&gt;0),$F1976*$H1976,NA()),NA())</f>
        <v/>
      </c>
      <c r="K1976" s="15">
        <f>IF($A1976="","",IF(AH!$U$5=1,IFERROR(MATCH($A1976,'Live History'!$A$5:$A$3004,0),0),AH!$U$7+1971))</f>
        <v/>
      </c>
      <c r="L1976" s="15">
        <f>IF(ISNUMBER(A1976),TEXT(A1976,"dd-mmm-yy"),"")</f>
        <v/>
      </c>
    </row>
    <row r="1977">
      <c r="A1977" s="14">
        <f>IF(OR(AH!$U$4=0,1972+1&gt;AH!$U$6,AND(AH!$M$5="Bloomberg",AH!$U$5=0)),"",IFERROR(IF(AND(AH!$U$12=1,1972+1=AH!$U$6),TODAY(),IF(AH!$U$5=1,INDEX('Live History'!$A$5:$A$3004,AH!$U$7+1972),INDEX('AH History'!$A$5:$A$1380,AH!$U$7+1972))),""))</f>
        <v/>
      </c>
      <c r="B1977" s="33">
        <f>IFERROR(IF(AH!$U$11=1,NA(),$J1977/$E1977-1),NA())</f>
        <v/>
      </c>
      <c r="C1977" s="269">
        <f>IFERROR(100*$E1977/$E$5,NA())</f>
        <v/>
      </c>
      <c r="D1977" s="269">
        <f>IFERROR(100*$J1977/$J$5,NA())</f>
        <v/>
      </c>
      <c r="E1977" s="32">
        <f>IFERROR(IF(AND(ISNUMBER($A1977),N(IF(AND(AH!$U$12=1,1972+1=AH!$U$6),IF(AH!$U$4=0,"unavailable",INDEX('Market Data'!$AN$5:$AN$66,AH!$U$4)),IF(AH!$U$5=1,INDEX('Live History'!$B$5:$B$3004,$K1977),INDEX('AH History'!$D$5:$GG$1380,$K1977,AH!$U$10))))&gt;0),IF(AND(AH!$U$12=1,1972+1=AH!$U$6),IF(AH!$U$4=0,"unavailable",INDEX('Market Data'!$AN$5:$AN$66,AH!$U$4)),IF(AH!$U$5=1,INDEX('Live History'!$B$5:$B$3004,$K1977),INDEX('AH History'!$D$5:$GG$1380,$K1977,AH!$U$10))),NA()),NA())</f>
        <v/>
      </c>
      <c r="F1977" s="32">
        <f>IFERROR(IF(ISNUMBER($A1977),IF(AND(AH!$U$12=1,1972+1=AH!$U$6),IF(AH!$U$4=0,"unavailable",INDEX('Market Data'!$AO$5:$AO$66,AH!$U$4)),IF(AH!$U$5=1,INDEX('Live History'!$E$5:$E$3004,MATCH($A1977,'Live History'!$D$5:$D$3004,1)),INDEX('AH History'!$D$5:$GG$1380,$K1977,AH!$U$10+1))),NA()),NA())</f>
        <v/>
      </c>
      <c r="G1977" s="34">
        <f>IFERROR(IF(ISNUMBER($A1977),IF(AND(AH!$U$12=1,1972+1=AH!$U$6),IF(AH!$U$4=0,"unavailable",INDEX('Market Data'!$AK$5:$AK$66,AH!$U$4)),IF(AH!$U$5=1,INDEX('Live History'!$D$5:$D$3004,MATCH($A1977,'Live History'!$D$5:$D$3004,1)),INDEX('AH History'!$D$5:$GG$1380,$K1977,AH!$U$10+2))),NA()),NA())</f>
        <v/>
      </c>
      <c r="H1977" s="266">
        <f>IFERROR(IF(ISNUMBER($A1977),IF(AND(AH!$U$12=1,1972+1=AH!$U$6),IF(AH!$U$4=0,"unavailable",INDEX('Market Data'!$AP$5:$AP$66,AH!$U$4)),IF(AH!$U$5=1,INDEX('Live History'!$H$5:$H$3004,MATCH($A1977,'Live History'!$G$5:$G$3004,1)),INDEX('AH History'!$B$5:$B$1380,$K1977))),NA()),NA())</f>
        <v/>
      </c>
      <c r="I1977" s="34">
        <f>IFERROR(IF(ISNUMBER($A1977),IF(AND(AH!$U$12=1,1972+1=AH!$U$6),TODAY(),IF(AH!$U$5=1,INDEX('Live History'!$G$5:$G$3004,MATCH($A1977,'Live History'!$G$5:$G$3004,1)),INDEX('AH History'!$C$5:$C$1380,$K1977))),NA()),NA())</f>
        <v/>
      </c>
      <c r="J1977" s="32">
        <f>IFERROR(IF(AND($F1977&gt;0,$H1977&gt;0,$A1977-$G1977&lt;=10,$A1977-$I1977&lt;=5,$G1977&gt;0,$I1977&gt;0),$F1977*$H1977,NA()),NA())</f>
        <v/>
      </c>
      <c r="K1977" s="15">
        <f>IF($A1977="","",IF(AH!$U$5=1,IFERROR(MATCH($A1977,'Live History'!$A$5:$A$3004,0),0),AH!$U$7+1972))</f>
        <v/>
      </c>
      <c r="L1977" s="15">
        <f>IF(ISNUMBER(A1977),TEXT(A1977,"dd-mmm-yy"),"")</f>
        <v/>
      </c>
    </row>
    <row r="1978">
      <c r="A1978" s="14">
        <f>IF(OR(AH!$U$4=0,1973+1&gt;AH!$U$6,AND(AH!$M$5="Bloomberg",AH!$U$5=0)),"",IFERROR(IF(AND(AH!$U$12=1,1973+1=AH!$U$6),TODAY(),IF(AH!$U$5=1,INDEX('Live History'!$A$5:$A$3004,AH!$U$7+1973),INDEX('AH History'!$A$5:$A$1380,AH!$U$7+1973))),""))</f>
        <v/>
      </c>
      <c r="B1978" s="33">
        <f>IFERROR(IF(AH!$U$11=1,NA(),$J1978/$E1978-1),NA())</f>
        <v/>
      </c>
      <c r="C1978" s="269">
        <f>IFERROR(100*$E1978/$E$5,NA())</f>
        <v/>
      </c>
      <c r="D1978" s="269">
        <f>IFERROR(100*$J1978/$J$5,NA())</f>
        <v/>
      </c>
      <c r="E1978" s="32">
        <f>IFERROR(IF(AND(ISNUMBER($A1978),N(IF(AND(AH!$U$12=1,1973+1=AH!$U$6),IF(AH!$U$4=0,"unavailable",INDEX('Market Data'!$AN$5:$AN$66,AH!$U$4)),IF(AH!$U$5=1,INDEX('Live History'!$B$5:$B$3004,$K1978),INDEX('AH History'!$D$5:$GG$1380,$K1978,AH!$U$10))))&gt;0),IF(AND(AH!$U$12=1,1973+1=AH!$U$6),IF(AH!$U$4=0,"unavailable",INDEX('Market Data'!$AN$5:$AN$66,AH!$U$4)),IF(AH!$U$5=1,INDEX('Live History'!$B$5:$B$3004,$K1978),INDEX('AH History'!$D$5:$GG$1380,$K1978,AH!$U$10))),NA()),NA())</f>
        <v/>
      </c>
      <c r="F1978" s="32">
        <f>IFERROR(IF(ISNUMBER($A1978),IF(AND(AH!$U$12=1,1973+1=AH!$U$6),IF(AH!$U$4=0,"unavailable",INDEX('Market Data'!$AO$5:$AO$66,AH!$U$4)),IF(AH!$U$5=1,INDEX('Live History'!$E$5:$E$3004,MATCH($A1978,'Live History'!$D$5:$D$3004,1)),INDEX('AH History'!$D$5:$GG$1380,$K1978,AH!$U$10+1))),NA()),NA())</f>
        <v/>
      </c>
      <c r="G1978" s="34">
        <f>IFERROR(IF(ISNUMBER($A1978),IF(AND(AH!$U$12=1,1973+1=AH!$U$6),IF(AH!$U$4=0,"unavailable",INDEX('Market Data'!$AK$5:$AK$66,AH!$U$4)),IF(AH!$U$5=1,INDEX('Live History'!$D$5:$D$3004,MATCH($A1978,'Live History'!$D$5:$D$3004,1)),INDEX('AH History'!$D$5:$GG$1380,$K1978,AH!$U$10+2))),NA()),NA())</f>
        <v/>
      </c>
      <c r="H1978" s="266">
        <f>IFERROR(IF(ISNUMBER($A1978),IF(AND(AH!$U$12=1,1973+1=AH!$U$6),IF(AH!$U$4=0,"unavailable",INDEX('Market Data'!$AP$5:$AP$66,AH!$U$4)),IF(AH!$U$5=1,INDEX('Live History'!$H$5:$H$3004,MATCH($A1978,'Live History'!$G$5:$G$3004,1)),INDEX('AH History'!$B$5:$B$1380,$K1978))),NA()),NA())</f>
        <v/>
      </c>
      <c r="I1978" s="34">
        <f>IFERROR(IF(ISNUMBER($A1978),IF(AND(AH!$U$12=1,1973+1=AH!$U$6),TODAY(),IF(AH!$U$5=1,INDEX('Live History'!$G$5:$G$3004,MATCH($A1978,'Live History'!$G$5:$G$3004,1)),INDEX('AH History'!$C$5:$C$1380,$K1978))),NA()),NA())</f>
        <v/>
      </c>
      <c r="J1978" s="32">
        <f>IFERROR(IF(AND($F1978&gt;0,$H1978&gt;0,$A1978-$G1978&lt;=10,$A1978-$I1978&lt;=5,$G1978&gt;0,$I1978&gt;0),$F1978*$H1978,NA()),NA())</f>
        <v/>
      </c>
      <c r="K1978" s="15">
        <f>IF($A1978="","",IF(AH!$U$5=1,IFERROR(MATCH($A1978,'Live History'!$A$5:$A$3004,0),0),AH!$U$7+1973))</f>
        <v/>
      </c>
      <c r="L1978" s="15">
        <f>IF(ISNUMBER(A1978),TEXT(A1978,"dd-mmm-yy"),"")</f>
        <v/>
      </c>
    </row>
    <row r="1979">
      <c r="A1979" s="14">
        <f>IF(OR(AH!$U$4=0,1974+1&gt;AH!$U$6,AND(AH!$M$5="Bloomberg",AH!$U$5=0)),"",IFERROR(IF(AND(AH!$U$12=1,1974+1=AH!$U$6),TODAY(),IF(AH!$U$5=1,INDEX('Live History'!$A$5:$A$3004,AH!$U$7+1974),INDEX('AH History'!$A$5:$A$1380,AH!$U$7+1974))),""))</f>
        <v/>
      </c>
      <c r="B1979" s="33">
        <f>IFERROR(IF(AH!$U$11=1,NA(),$J1979/$E1979-1),NA())</f>
        <v/>
      </c>
      <c r="C1979" s="269">
        <f>IFERROR(100*$E1979/$E$5,NA())</f>
        <v/>
      </c>
      <c r="D1979" s="269">
        <f>IFERROR(100*$J1979/$J$5,NA())</f>
        <v/>
      </c>
      <c r="E1979" s="32">
        <f>IFERROR(IF(AND(ISNUMBER($A1979),N(IF(AND(AH!$U$12=1,1974+1=AH!$U$6),IF(AH!$U$4=0,"unavailable",INDEX('Market Data'!$AN$5:$AN$66,AH!$U$4)),IF(AH!$U$5=1,INDEX('Live History'!$B$5:$B$3004,$K1979),INDEX('AH History'!$D$5:$GG$1380,$K1979,AH!$U$10))))&gt;0),IF(AND(AH!$U$12=1,1974+1=AH!$U$6),IF(AH!$U$4=0,"unavailable",INDEX('Market Data'!$AN$5:$AN$66,AH!$U$4)),IF(AH!$U$5=1,INDEX('Live History'!$B$5:$B$3004,$K1979),INDEX('AH History'!$D$5:$GG$1380,$K1979,AH!$U$10))),NA()),NA())</f>
        <v/>
      </c>
      <c r="F1979" s="32">
        <f>IFERROR(IF(ISNUMBER($A1979),IF(AND(AH!$U$12=1,1974+1=AH!$U$6),IF(AH!$U$4=0,"unavailable",INDEX('Market Data'!$AO$5:$AO$66,AH!$U$4)),IF(AH!$U$5=1,INDEX('Live History'!$E$5:$E$3004,MATCH($A1979,'Live History'!$D$5:$D$3004,1)),INDEX('AH History'!$D$5:$GG$1380,$K1979,AH!$U$10+1))),NA()),NA())</f>
        <v/>
      </c>
      <c r="G1979" s="34">
        <f>IFERROR(IF(ISNUMBER($A1979),IF(AND(AH!$U$12=1,1974+1=AH!$U$6),IF(AH!$U$4=0,"unavailable",INDEX('Market Data'!$AK$5:$AK$66,AH!$U$4)),IF(AH!$U$5=1,INDEX('Live History'!$D$5:$D$3004,MATCH($A1979,'Live History'!$D$5:$D$3004,1)),INDEX('AH History'!$D$5:$GG$1380,$K1979,AH!$U$10+2))),NA()),NA())</f>
        <v/>
      </c>
      <c r="H1979" s="266">
        <f>IFERROR(IF(ISNUMBER($A1979),IF(AND(AH!$U$12=1,1974+1=AH!$U$6),IF(AH!$U$4=0,"unavailable",INDEX('Market Data'!$AP$5:$AP$66,AH!$U$4)),IF(AH!$U$5=1,INDEX('Live History'!$H$5:$H$3004,MATCH($A1979,'Live History'!$G$5:$G$3004,1)),INDEX('AH History'!$B$5:$B$1380,$K1979))),NA()),NA())</f>
        <v/>
      </c>
      <c r="I1979" s="34">
        <f>IFERROR(IF(ISNUMBER($A1979),IF(AND(AH!$U$12=1,1974+1=AH!$U$6),TODAY(),IF(AH!$U$5=1,INDEX('Live History'!$G$5:$G$3004,MATCH($A1979,'Live History'!$G$5:$G$3004,1)),INDEX('AH History'!$C$5:$C$1380,$K1979))),NA()),NA())</f>
        <v/>
      </c>
      <c r="J1979" s="32">
        <f>IFERROR(IF(AND($F1979&gt;0,$H1979&gt;0,$A1979-$G1979&lt;=10,$A1979-$I1979&lt;=5,$G1979&gt;0,$I1979&gt;0),$F1979*$H1979,NA()),NA())</f>
        <v/>
      </c>
      <c r="K1979" s="15">
        <f>IF($A1979="","",IF(AH!$U$5=1,IFERROR(MATCH($A1979,'Live History'!$A$5:$A$3004,0),0),AH!$U$7+1974))</f>
        <v/>
      </c>
      <c r="L1979" s="15">
        <f>IF(ISNUMBER(A1979),TEXT(A1979,"dd-mmm-yy"),"")</f>
        <v/>
      </c>
    </row>
    <row r="1980">
      <c r="A1980" s="14">
        <f>IF(OR(AH!$U$4=0,1975+1&gt;AH!$U$6,AND(AH!$M$5="Bloomberg",AH!$U$5=0)),"",IFERROR(IF(AND(AH!$U$12=1,1975+1=AH!$U$6),TODAY(),IF(AH!$U$5=1,INDEX('Live History'!$A$5:$A$3004,AH!$U$7+1975),INDEX('AH History'!$A$5:$A$1380,AH!$U$7+1975))),""))</f>
        <v/>
      </c>
      <c r="B1980" s="33">
        <f>IFERROR(IF(AH!$U$11=1,NA(),$J1980/$E1980-1),NA())</f>
        <v/>
      </c>
      <c r="C1980" s="269">
        <f>IFERROR(100*$E1980/$E$5,NA())</f>
        <v/>
      </c>
      <c r="D1980" s="269">
        <f>IFERROR(100*$J1980/$J$5,NA())</f>
        <v/>
      </c>
      <c r="E1980" s="32">
        <f>IFERROR(IF(AND(ISNUMBER($A1980),N(IF(AND(AH!$U$12=1,1975+1=AH!$U$6),IF(AH!$U$4=0,"unavailable",INDEX('Market Data'!$AN$5:$AN$66,AH!$U$4)),IF(AH!$U$5=1,INDEX('Live History'!$B$5:$B$3004,$K1980),INDEX('AH History'!$D$5:$GG$1380,$K1980,AH!$U$10))))&gt;0),IF(AND(AH!$U$12=1,1975+1=AH!$U$6),IF(AH!$U$4=0,"unavailable",INDEX('Market Data'!$AN$5:$AN$66,AH!$U$4)),IF(AH!$U$5=1,INDEX('Live History'!$B$5:$B$3004,$K1980),INDEX('AH History'!$D$5:$GG$1380,$K1980,AH!$U$10))),NA()),NA())</f>
        <v/>
      </c>
      <c r="F1980" s="32">
        <f>IFERROR(IF(ISNUMBER($A1980),IF(AND(AH!$U$12=1,1975+1=AH!$U$6),IF(AH!$U$4=0,"unavailable",INDEX('Market Data'!$AO$5:$AO$66,AH!$U$4)),IF(AH!$U$5=1,INDEX('Live History'!$E$5:$E$3004,MATCH($A1980,'Live History'!$D$5:$D$3004,1)),INDEX('AH History'!$D$5:$GG$1380,$K1980,AH!$U$10+1))),NA()),NA())</f>
        <v/>
      </c>
      <c r="G1980" s="34">
        <f>IFERROR(IF(ISNUMBER($A1980),IF(AND(AH!$U$12=1,1975+1=AH!$U$6),IF(AH!$U$4=0,"unavailable",INDEX('Market Data'!$AK$5:$AK$66,AH!$U$4)),IF(AH!$U$5=1,INDEX('Live History'!$D$5:$D$3004,MATCH($A1980,'Live History'!$D$5:$D$3004,1)),INDEX('AH History'!$D$5:$GG$1380,$K1980,AH!$U$10+2))),NA()),NA())</f>
        <v/>
      </c>
      <c r="H1980" s="266">
        <f>IFERROR(IF(ISNUMBER($A1980),IF(AND(AH!$U$12=1,1975+1=AH!$U$6),IF(AH!$U$4=0,"unavailable",INDEX('Market Data'!$AP$5:$AP$66,AH!$U$4)),IF(AH!$U$5=1,INDEX('Live History'!$H$5:$H$3004,MATCH($A1980,'Live History'!$G$5:$G$3004,1)),INDEX('AH History'!$B$5:$B$1380,$K1980))),NA()),NA())</f>
        <v/>
      </c>
      <c r="I1980" s="34">
        <f>IFERROR(IF(ISNUMBER($A1980),IF(AND(AH!$U$12=1,1975+1=AH!$U$6),TODAY(),IF(AH!$U$5=1,INDEX('Live History'!$G$5:$G$3004,MATCH($A1980,'Live History'!$G$5:$G$3004,1)),INDEX('AH History'!$C$5:$C$1380,$K1980))),NA()),NA())</f>
        <v/>
      </c>
      <c r="J1980" s="32">
        <f>IFERROR(IF(AND($F1980&gt;0,$H1980&gt;0,$A1980-$G1980&lt;=10,$A1980-$I1980&lt;=5,$G1980&gt;0,$I1980&gt;0),$F1980*$H1980,NA()),NA())</f>
        <v/>
      </c>
      <c r="K1980" s="15">
        <f>IF($A1980="","",IF(AH!$U$5=1,IFERROR(MATCH($A1980,'Live History'!$A$5:$A$3004,0),0),AH!$U$7+1975))</f>
        <v/>
      </c>
      <c r="L1980" s="15">
        <f>IF(ISNUMBER(A1980),TEXT(A1980,"dd-mmm-yy"),"")</f>
        <v/>
      </c>
    </row>
    <row r="1981">
      <c r="A1981" s="14">
        <f>IF(OR(AH!$U$4=0,1976+1&gt;AH!$U$6,AND(AH!$M$5="Bloomberg",AH!$U$5=0)),"",IFERROR(IF(AND(AH!$U$12=1,1976+1=AH!$U$6),TODAY(),IF(AH!$U$5=1,INDEX('Live History'!$A$5:$A$3004,AH!$U$7+1976),INDEX('AH History'!$A$5:$A$1380,AH!$U$7+1976))),""))</f>
        <v/>
      </c>
      <c r="B1981" s="33">
        <f>IFERROR(IF(AH!$U$11=1,NA(),$J1981/$E1981-1),NA())</f>
        <v/>
      </c>
      <c r="C1981" s="269">
        <f>IFERROR(100*$E1981/$E$5,NA())</f>
        <v/>
      </c>
      <c r="D1981" s="269">
        <f>IFERROR(100*$J1981/$J$5,NA())</f>
        <v/>
      </c>
      <c r="E1981" s="32">
        <f>IFERROR(IF(AND(ISNUMBER($A1981),N(IF(AND(AH!$U$12=1,1976+1=AH!$U$6),IF(AH!$U$4=0,"unavailable",INDEX('Market Data'!$AN$5:$AN$66,AH!$U$4)),IF(AH!$U$5=1,INDEX('Live History'!$B$5:$B$3004,$K1981),INDEX('AH History'!$D$5:$GG$1380,$K1981,AH!$U$10))))&gt;0),IF(AND(AH!$U$12=1,1976+1=AH!$U$6),IF(AH!$U$4=0,"unavailable",INDEX('Market Data'!$AN$5:$AN$66,AH!$U$4)),IF(AH!$U$5=1,INDEX('Live History'!$B$5:$B$3004,$K1981),INDEX('AH History'!$D$5:$GG$1380,$K1981,AH!$U$10))),NA()),NA())</f>
        <v/>
      </c>
      <c r="F1981" s="32">
        <f>IFERROR(IF(ISNUMBER($A1981),IF(AND(AH!$U$12=1,1976+1=AH!$U$6),IF(AH!$U$4=0,"unavailable",INDEX('Market Data'!$AO$5:$AO$66,AH!$U$4)),IF(AH!$U$5=1,INDEX('Live History'!$E$5:$E$3004,MATCH($A1981,'Live History'!$D$5:$D$3004,1)),INDEX('AH History'!$D$5:$GG$1380,$K1981,AH!$U$10+1))),NA()),NA())</f>
        <v/>
      </c>
      <c r="G1981" s="34">
        <f>IFERROR(IF(ISNUMBER($A1981),IF(AND(AH!$U$12=1,1976+1=AH!$U$6),IF(AH!$U$4=0,"unavailable",INDEX('Market Data'!$AK$5:$AK$66,AH!$U$4)),IF(AH!$U$5=1,INDEX('Live History'!$D$5:$D$3004,MATCH($A1981,'Live History'!$D$5:$D$3004,1)),INDEX('AH History'!$D$5:$GG$1380,$K1981,AH!$U$10+2))),NA()),NA())</f>
        <v/>
      </c>
      <c r="H1981" s="266">
        <f>IFERROR(IF(ISNUMBER($A1981),IF(AND(AH!$U$12=1,1976+1=AH!$U$6),IF(AH!$U$4=0,"unavailable",INDEX('Market Data'!$AP$5:$AP$66,AH!$U$4)),IF(AH!$U$5=1,INDEX('Live History'!$H$5:$H$3004,MATCH($A1981,'Live History'!$G$5:$G$3004,1)),INDEX('AH History'!$B$5:$B$1380,$K1981))),NA()),NA())</f>
        <v/>
      </c>
      <c r="I1981" s="34">
        <f>IFERROR(IF(ISNUMBER($A1981),IF(AND(AH!$U$12=1,1976+1=AH!$U$6),TODAY(),IF(AH!$U$5=1,INDEX('Live History'!$G$5:$G$3004,MATCH($A1981,'Live History'!$G$5:$G$3004,1)),INDEX('AH History'!$C$5:$C$1380,$K1981))),NA()),NA())</f>
        <v/>
      </c>
      <c r="J1981" s="32">
        <f>IFERROR(IF(AND($F1981&gt;0,$H1981&gt;0,$A1981-$G1981&lt;=10,$A1981-$I1981&lt;=5,$G1981&gt;0,$I1981&gt;0),$F1981*$H1981,NA()),NA())</f>
        <v/>
      </c>
      <c r="K1981" s="15">
        <f>IF($A1981="","",IF(AH!$U$5=1,IFERROR(MATCH($A1981,'Live History'!$A$5:$A$3004,0),0),AH!$U$7+1976))</f>
        <v/>
      </c>
      <c r="L1981" s="15">
        <f>IF(ISNUMBER(A1981),TEXT(A1981,"dd-mmm-yy"),"")</f>
        <v/>
      </c>
    </row>
    <row r="1982">
      <c r="A1982" s="14">
        <f>IF(OR(AH!$U$4=0,1977+1&gt;AH!$U$6,AND(AH!$M$5="Bloomberg",AH!$U$5=0)),"",IFERROR(IF(AND(AH!$U$12=1,1977+1=AH!$U$6),TODAY(),IF(AH!$U$5=1,INDEX('Live History'!$A$5:$A$3004,AH!$U$7+1977),INDEX('AH History'!$A$5:$A$1380,AH!$U$7+1977))),""))</f>
        <v/>
      </c>
      <c r="B1982" s="33">
        <f>IFERROR(IF(AH!$U$11=1,NA(),$J1982/$E1982-1),NA())</f>
        <v/>
      </c>
      <c r="C1982" s="269">
        <f>IFERROR(100*$E1982/$E$5,NA())</f>
        <v/>
      </c>
      <c r="D1982" s="269">
        <f>IFERROR(100*$J1982/$J$5,NA())</f>
        <v/>
      </c>
      <c r="E1982" s="32">
        <f>IFERROR(IF(AND(ISNUMBER($A1982),N(IF(AND(AH!$U$12=1,1977+1=AH!$U$6),IF(AH!$U$4=0,"unavailable",INDEX('Market Data'!$AN$5:$AN$66,AH!$U$4)),IF(AH!$U$5=1,INDEX('Live History'!$B$5:$B$3004,$K1982),INDEX('AH History'!$D$5:$GG$1380,$K1982,AH!$U$10))))&gt;0),IF(AND(AH!$U$12=1,1977+1=AH!$U$6),IF(AH!$U$4=0,"unavailable",INDEX('Market Data'!$AN$5:$AN$66,AH!$U$4)),IF(AH!$U$5=1,INDEX('Live History'!$B$5:$B$3004,$K1982),INDEX('AH History'!$D$5:$GG$1380,$K1982,AH!$U$10))),NA()),NA())</f>
        <v/>
      </c>
      <c r="F1982" s="32">
        <f>IFERROR(IF(ISNUMBER($A1982),IF(AND(AH!$U$12=1,1977+1=AH!$U$6),IF(AH!$U$4=0,"unavailable",INDEX('Market Data'!$AO$5:$AO$66,AH!$U$4)),IF(AH!$U$5=1,INDEX('Live History'!$E$5:$E$3004,MATCH($A1982,'Live History'!$D$5:$D$3004,1)),INDEX('AH History'!$D$5:$GG$1380,$K1982,AH!$U$10+1))),NA()),NA())</f>
        <v/>
      </c>
      <c r="G1982" s="34">
        <f>IFERROR(IF(ISNUMBER($A1982),IF(AND(AH!$U$12=1,1977+1=AH!$U$6),IF(AH!$U$4=0,"unavailable",INDEX('Market Data'!$AK$5:$AK$66,AH!$U$4)),IF(AH!$U$5=1,INDEX('Live History'!$D$5:$D$3004,MATCH($A1982,'Live History'!$D$5:$D$3004,1)),INDEX('AH History'!$D$5:$GG$1380,$K1982,AH!$U$10+2))),NA()),NA())</f>
        <v/>
      </c>
      <c r="H1982" s="266">
        <f>IFERROR(IF(ISNUMBER($A1982),IF(AND(AH!$U$12=1,1977+1=AH!$U$6),IF(AH!$U$4=0,"unavailable",INDEX('Market Data'!$AP$5:$AP$66,AH!$U$4)),IF(AH!$U$5=1,INDEX('Live History'!$H$5:$H$3004,MATCH($A1982,'Live History'!$G$5:$G$3004,1)),INDEX('AH History'!$B$5:$B$1380,$K1982))),NA()),NA())</f>
        <v/>
      </c>
      <c r="I1982" s="34">
        <f>IFERROR(IF(ISNUMBER($A1982),IF(AND(AH!$U$12=1,1977+1=AH!$U$6),TODAY(),IF(AH!$U$5=1,INDEX('Live History'!$G$5:$G$3004,MATCH($A1982,'Live History'!$G$5:$G$3004,1)),INDEX('AH History'!$C$5:$C$1380,$K1982))),NA()),NA())</f>
        <v/>
      </c>
      <c r="J1982" s="32">
        <f>IFERROR(IF(AND($F1982&gt;0,$H1982&gt;0,$A1982-$G1982&lt;=10,$A1982-$I1982&lt;=5,$G1982&gt;0,$I1982&gt;0),$F1982*$H1982,NA()),NA())</f>
        <v/>
      </c>
      <c r="K1982" s="15">
        <f>IF($A1982="","",IF(AH!$U$5=1,IFERROR(MATCH($A1982,'Live History'!$A$5:$A$3004,0),0),AH!$U$7+1977))</f>
        <v/>
      </c>
      <c r="L1982" s="15">
        <f>IF(ISNUMBER(A1982),TEXT(A1982,"dd-mmm-yy"),"")</f>
        <v/>
      </c>
    </row>
    <row r="1983">
      <c r="A1983" s="14">
        <f>IF(OR(AH!$U$4=0,1978+1&gt;AH!$U$6,AND(AH!$M$5="Bloomberg",AH!$U$5=0)),"",IFERROR(IF(AND(AH!$U$12=1,1978+1=AH!$U$6),TODAY(),IF(AH!$U$5=1,INDEX('Live History'!$A$5:$A$3004,AH!$U$7+1978),INDEX('AH History'!$A$5:$A$1380,AH!$U$7+1978))),""))</f>
        <v/>
      </c>
      <c r="B1983" s="33">
        <f>IFERROR(IF(AH!$U$11=1,NA(),$J1983/$E1983-1),NA())</f>
        <v/>
      </c>
      <c r="C1983" s="269">
        <f>IFERROR(100*$E1983/$E$5,NA())</f>
        <v/>
      </c>
      <c r="D1983" s="269">
        <f>IFERROR(100*$J1983/$J$5,NA())</f>
        <v/>
      </c>
      <c r="E1983" s="32">
        <f>IFERROR(IF(AND(ISNUMBER($A1983),N(IF(AND(AH!$U$12=1,1978+1=AH!$U$6),IF(AH!$U$4=0,"unavailable",INDEX('Market Data'!$AN$5:$AN$66,AH!$U$4)),IF(AH!$U$5=1,INDEX('Live History'!$B$5:$B$3004,$K1983),INDEX('AH History'!$D$5:$GG$1380,$K1983,AH!$U$10))))&gt;0),IF(AND(AH!$U$12=1,1978+1=AH!$U$6),IF(AH!$U$4=0,"unavailable",INDEX('Market Data'!$AN$5:$AN$66,AH!$U$4)),IF(AH!$U$5=1,INDEX('Live History'!$B$5:$B$3004,$K1983),INDEX('AH History'!$D$5:$GG$1380,$K1983,AH!$U$10))),NA()),NA())</f>
        <v/>
      </c>
      <c r="F1983" s="32">
        <f>IFERROR(IF(ISNUMBER($A1983),IF(AND(AH!$U$12=1,1978+1=AH!$U$6),IF(AH!$U$4=0,"unavailable",INDEX('Market Data'!$AO$5:$AO$66,AH!$U$4)),IF(AH!$U$5=1,INDEX('Live History'!$E$5:$E$3004,MATCH($A1983,'Live History'!$D$5:$D$3004,1)),INDEX('AH History'!$D$5:$GG$1380,$K1983,AH!$U$10+1))),NA()),NA())</f>
        <v/>
      </c>
      <c r="G1983" s="34">
        <f>IFERROR(IF(ISNUMBER($A1983),IF(AND(AH!$U$12=1,1978+1=AH!$U$6),IF(AH!$U$4=0,"unavailable",INDEX('Market Data'!$AK$5:$AK$66,AH!$U$4)),IF(AH!$U$5=1,INDEX('Live History'!$D$5:$D$3004,MATCH($A1983,'Live History'!$D$5:$D$3004,1)),INDEX('AH History'!$D$5:$GG$1380,$K1983,AH!$U$10+2))),NA()),NA())</f>
        <v/>
      </c>
      <c r="H1983" s="266">
        <f>IFERROR(IF(ISNUMBER($A1983),IF(AND(AH!$U$12=1,1978+1=AH!$U$6),IF(AH!$U$4=0,"unavailable",INDEX('Market Data'!$AP$5:$AP$66,AH!$U$4)),IF(AH!$U$5=1,INDEX('Live History'!$H$5:$H$3004,MATCH($A1983,'Live History'!$G$5:$G$3004,1)),INDEX('AH History'!$B$5:$B$1380,$K1983))),NA()),NA())</f>
        <v/>
      </c>
      <c r="I1983" s="34">
        <f>IFERROR(IF(ISNUMBER($A1983),IF(AND(AH!$U$12=1,1978+1=AH!$U$6),TODAY(),IF(AH!$U$5=1,INDEX('Live History'!$G$5:$G$3004,MATCH($A1983,'Live History'!$G$5:$G$3004,1)),INDEX('AH History'!$C$5:$C$1380,$K1983))),NA()),NA())</f>
        <v/>
      </c>
      <c r="J1983" s="32">
        <f>IFERROR(IF(AND($F1983&gt;0,$H1983&gt;0,$A1983-$G1983&lt;=10,$A1983-$I1983&lt;=5,$G1983&gt;0,$I1983&gt;0),$F1983*$H1983,NA()),NA())</f>
        <v/>
      </c>
      <c r="K1983" s="15">
        <f>IF($A1983="","",IF(AH!$U$5=1,IFERROR(MATCH($A1983,'Live History'!$A$5:$A$3004,0),0),AH!$U$7+1978))</f>
        <v/>
      </c>
      <c r="L1983" s="15">
        <f>IF(ISNUMBER(A1983),TEXT(A1983,"dd-mmm-yy"),"")</f>
        <v/>
      </c>
    </row>
    <row r="1984">
      <c r="A1984" s="14">
        <f>IF(OR(AH!$U$4=0,1979+1&gt;AH!$U$6,AND(AH!$M$5="Bloomberg",AH!$U$5=0)),"",IFERROR(IF(AND(AH!$U$12=1,1979+1=AH!$U$6),TODAY(),IF(AH!$U$5=1,INDEX('Live History'!$A$5:$A$3004,AH!$U$7+1979),INDEX('AH History'!$A$5:$A$1380,AH!$U$7+1979))),""))</f>
        <v/>
      </c>
      <c r="B1984" s="33">
        <f>IFERROR(IF(AH!$U$11=1,NA(),$J1984/$E1984-1),NA())</f>
        <v/>
      </c>
      <c r="C1984" s="269">
        <f>IFERROR(100*$E1984/$E$5,NA())</f>
        <v/>
      </c>
      <c r="D1984" s="269">
        <f>IFERROR(100*$J1984/$J$5,NA())</f>
        <v/>
      </c>
      <c r="E1984" s="32">
        <f>IFERROR(IF(AND(ISNUMBER($A1984),N(IF(AND(AH!$U$12=1,1979+1=AH!$U$6),IF(AH!$U$4=0,"unavailable",INDEX('Market Data'!$AN$5:$AN$66,AH!$U$4)),IF(AH!$U$5=1,INDEX('Live History'!$B$5:$B$3004,$K1984),INDEX('AH History'!$D$5:$GG$1380,$K1984,AH!$U$10))))&gt;0),IF(AND(AH!$U$12=1,1979+1=AH!$U$6),IF(AH!$U$4=0,"unavailable",INDEX('Market Data'!$AN$5:$AN$66,AH!$U$4)),IF(AH!$U$5=1,INDEX('Live History'!$B$5:$B$3004,$K1984),INDEX('AH History'!$D$5:$GG$1380,$K1984,AH!$U$10))),NA()),NA())</f>
        <v/>
      </c>
      <c r="F1984" s="32">
        <f>IFERROR(IF(ISNUMBER($A1984),IF(AND(AH!$U$12=1,1979+1=AH!$U$6),IF(AH!$U$4=0,"unavailable",INDEX('Market Data'!$AO$5:$AO$66,AH!$U$4)),IF(AH!$U$5=1,INDEX('Live History'!$E$5:$E$3004,MATCH($A1984,'Live History'!$D$5:$D$3004,1)),INDEX('AH History'!$D$5:$GG$1380,$K1984,AH!$U$10+1))),NA()),NA())</f>
        <v/>
      </c>
      <c r="G1984" s="34">
        <f>IFERROR(IF(ISNUMBER($A1984),IF(AND(AH!$U$12=1,1979+1=AH!$U$6),IF(AH!$U$4=0,"unavailable",INDEX('Market Data'!$AK$5:$AK$66,AH!$U$4)),IF(AH!$U$5=1,INDEX('Live History'!$D$5:$D$3004,MATCH($A1984,'Live History'!$D$5:$D$3004,1)),INDEX('AH History'!$D$5:$GG$1380,$K1984,AH!$U$10+2))),NA()),NA())</f>
        <v/>
      </c>
      <c r="H1984" s="266">
        <f>IFERROR(IF(ISNUMBER($A1984),IF(AND(AH!$U$12=1,1979+1=AH!$U$6),IF(AH!$U$4=0,"unavailable",INDEX('Market Data'!$AP$5:$AP$66,AH!$U$4)),IF(AH!$U$5=1,INDEX('Live History'!$H$5:$H$3004,MATCH($A1984,'Live History'!$G$5:$G$3004,1)),INDEX('AH History'!$B$5:$B$1380,$K1984))),NA()),NA())</f>
        <v/>
      </c>
      <c r="I1984" s="34">
        <f>IFERROR(IF(ISNUMBER($A1984),IF(AND(AH!$U$12=1,1979+1=AH!$U$6),TODAY(),IF(AH!$U$5=1,INDEX('Live History'!$G$5:$G$3004,MATCH($A1984,'Live History'!$G$5:$G$3004,1)),INDEX('AH History'!$C$5:$C$1380,$K1984))),NA()),NA())</f>
        <v/>
      </c>
      <c r="J1984" s="32">
        <f>IFERROR(IF(AND($F1984&gt;0,$H1984&gt;0,$A1984-$G1984&lt;=10,$A1984-$I1984&lt;=5,$G1984&gt;0,$I1984&gt;0),$F1984*$H1984,NA()),NA())</f>
        <v/>
      </c>
      <c r="K1984" s="15">
        <f>IF($A1984="","",IF(AH!$U$5=1,IFERROR(MATCH($A1984,'Live History'!$A$5:$A$3004,0),0),AH!$U$7+1979))</f>
        <v/>
      </c>
      <c r="L1984" s="15">
        <f>IF(ISNUMBER(A1984),TEXT(A1984,"dd-mmm-yy"),"")</f>
        <v/>
      </c>
    </row>
    <row r="1985">
      <c r="A1985" s="14">
        <f>IF(OR(AH!$U$4=0,1980+1&gt;AH!$U$6,AND(AH!$M$5="Bloomberg",AH!$U$5=0)),"",IFERROR(IF(AND(AH!$U$12=1,1980+1=AH!$U$6),TODAY(),IF(AH!$U$5=1,INDEX('Live History'!$A$5:$A$3004,AH!$U$7+1980),INDEX('AH History'!$A$5:$A$1380,AH!$U$7+1980))),""))</f>
        <v/>
      </c>
      <c r="B1985" s="33">
        <f>IFERROR(IF(AH!$U$11=1,NA(),$J1985/$E1985-1),NA())</f>
        <v/>
      </c>
      <c r="C1985" s="269">
        <f>IFERROR(100*$E1985/$E$5,NA())</f>
        <v/>
      </c>
      <c r="D1985" s="269">
        <f>IFERROR(100*$J1985/$J$5,NA())</f>
        <v/>
      </c>
      <c r="E1985" s="32">
        <f>IFERROR(IF(AND(ISNUMBER($A1985),N(IF(AND(AH!$U$12=1,1980+1=AH!$U$6),IF(AH!$U$4=0,"unavailable",INDEX('Market Data'!$AN$5:$AN$66,AH!$U$4)),IF(AH!$U$5=1,INDEX('Live History'!$B$5:$B$3004,$K1985),INDEX('AH History'!$D$5:$GG$1380,$K1985,AH!$U$10))))&gt;0),IF(AND(AH!$U$12=1,1980+1=AH!$U$6),IF(AH!$U$4=0,"unavailable",INDEX('Market Data'!$AN$5:$AN$66,AH!$U$4)),IF(AH!$U$5=1,INDEX('Live History'!$B$5:$B$3004,$K1985),INDEX('AH History'!$D$5:$GG$1380,$K1985,AH!$U$10))),NA()),NA())</f>
        <v/>
      </c>
      <c r="F1985" s="32">
        <f>IFERROR(IF(ISNUMBER($A1985),IF(AND(AH!$U$12=1,1980+1=AH!$U$6),IF(AH!$U$4=0,"unavailable",INDEX('Market Data'!$AO$5:$AO$66,AH!$U$4)),IF(AH!$U$5=1,INDEX('Live History'!$E$5:$E$3004,MATCH($A1985,'Live History'!$D$5:$D$3004,1)),INDEX('AH History'!$D$5:$GG$1380,$K1985,AH!$U$10+1))),NA()),NA())</f>
        <v/>
      </c>
      <c r="G1985" s="34">
        <f>IFERROR(IF(ISNUMBER($A1985),IF(AND(AH!$U$12=1,1980+1=AH!$U$6),IF(AH!$U$4=0,"unavailable",INDEX('Market Data'!$AK$5:$AK$66,AH!$U$4)),IF(AH!$U$5=1,INDEX('Live History'!$D$5:$D$3004,MATCH($A1985,'Live History'!$D$5:$D$3004,1)),INDEX('AH History'!$D$5:$GG$1380,$K1985,AH!$U$10+2))),NA()),NA())</f>
        <v/>
      </c>
      <c r="H1985" s="266">
        <f>IFERROR(IF(ISNUMBER($A1985),IF(AND(AH!$U$12=1,1980+1=AH!$U$6),IF(AH!$U$4=0,"unavailable",INDEX('Market Data'!$AP$5:$AP$66,AH!$U$4)),IF(AH!$U$5=1,INDEX('Live History'!$H$5:$H$3004,MATCH($A1985,'Live History'!$G$5:$G$3004,1)),INDEX('AH History'!$B$5:$B$1380,$K1985))),NA()),NA())</f>
        <v/>
      </c>
      <c r="I1985" s="34">
        <f>IFERROR(IF(ISNUMBER($A1985),IF(AND(AH!$U$12=1,1980+1=AH!$U$6),TODAY(),IF(AH!$U$5=1,INDEX('Live History'!$G$5:$G$3004,MATCH($A1985,'Live History'!$G$5:$G$3004,1)),INDEX('AH History'!$C$5:$C$1380,$K1985))),NA()),NA())</f>
        <v/>
      </c>
      <c r="J1985" s="32">
        <f>IFERROR(IF(AND($F1985&gt;0,$H1985&gt;0,$A1985-$G1985&lt;=10,$A1985-$I1985&lt;=5,$G1985&gt;0,$I1985&gt;0),$F1985*$H1985,NA()),NA())</f>
        <v/>
      </c>
      <c r="K1985" s="15">
        <f>IF($A1985="","",IF(AH!$U$5=1,IFERROR(MATCH($A1985,'Live History'!$A$5:$A$3004,0),0),AH!$U$7+1980))</f>
        <v/>
      </c>
      <c r="L1985" s="15">
        <f>IF(ISNUMBER(A1985),TEXT(A1985,"dd-mmm-yy"),"")</f>
        <v/>
      </c>
    </row>
    <row r="1986">
      <c r="A1986" s="14">
        <f>IF(OR(AH!$U$4=0,1981+1&gt;AH!$U$6,AND(AH!$M$5="Bloomberg",AH!$U$5=0)),"",IFERROR(IF(AND(AH!$U$12=1,1981+1=AH!$U$6),TODAY(),IF(AH!$U$5=1,INDEX('Live History'!$A$5:$A$3004,AH!$U$7+1981),INDEX('AH History'!$A$5:$A$1380,AH!$U$7+1981))),""))</f>
        <v/>
      </c>
      <c r="B1986" s="33">
        <f>IFERROR(IF(AH!$U$11=1,NA(),$J1986/$E1986-1),NA())</f>
        <v/>
      </c>
      <c r="C1986" s="269">
        <f>IFERROR(100*$E1986/$E$5,NA())</f>
        <v/>
      </c>
      <c r="D1986" s="269">
        <f>IFERROR(100*$J1986/$J$5,NA())</f>
        <v/>
      </c>
      <c r="E1986" s="32">
        <f>IFERROR(IF(AND(ISNUMBER($A1986),N(IF(AND(AH!$U$12=1,1981+1=AH!$U$6),IF(AH!$U$4=0,"unavailable",INDEX('Market Data'!$AN$5:$AN$66,AH!$U$4)),IF(AH!$U$5=1,INDEX('Live History'!$B$5:$B$3004,$K1986),INDEX('AH History'!$D$5:$GG$1380,$K1986,AH!$U$10))))&gt;0),IF(AND(AH!$U$12=1,1981+1=AH!$U$6),IF(AH!$U$4=0,"unavailable",INDEX('Market Data'!$AN$5:$AN$66,AH!$U$4)),IF(AH!$U$5=1,INDEX('Live History'!$B$5:$B$3004,$K1986),INDEX('AH History'!$D$5:$GG$1380,$K1986,AH!$U$10))),NA()),NA())</f>
        <v/>
      </c>
      <c r="F1986" s="32">
        <f>IFERROR(IF(ISNUMBER($A1986),IF(AND(AH!$U$12=1,1981+1=AH!$U$6),IF(AH!$U$4=0,"unavailable",INDEX('Market Data'!$AO$5:$AO$66,AH!$U$4)),IF(AH!$U$5=1,INDEX('Live History'!$E$5:$E$3004,MATCH($A1986,'Live History'!$D$5:$D$3004,1)),INDEX('AH History'!$D$5:$GG$1380,$K1986,AH!$U$10+1))),NA()),NA())</f>
        <v/>
      </c>
      <c r="G1986" s="34">
        <f>IFERROR(IF(ISNUMBER($A1986),IF(AND(AH!$U$12=1,1981+1=AH!$U$6),IF(AH!$U$4=0,"unavailable",INDEX('Market Data'!$AK$5:$AK$66,AH!$U$4)),IF(AH!$U$5=1,INDEX('Live History'!$D$5:$D$3004,MATCH($A1986,'Live History'!$D$5:$D$3004,1)),INDEX('AH History'!$D$5:$GG$1380,$K1986,AH!$U$10+2))),NA()),NA())</f>
        <v/>
      </c>
      <c r="H1986" s="266">
        <f>IFERROR(IF(ISNUMBER($A1986),IF(AND(AH!$U$12=1,1981+1=AH!$U$6),IF(AH!$U$4=0,"unavailable",INDEX('Market Data'!$AP$5:$AP$66,AH!$U$4)),IF(AH!$U$5=1,INDEX('Live History'!$H$5:$H$3004,MATCH($A1986,'Live History'!$G$5:$G$3004,1)),INDEX('AH History'!$B$5:$B$1380,$K1986))),NA()),NA())</f>
        <v/>
      </c>
      <c r="I1986" s="34">
        <f>IFERROR(IF(ISNUMBER($A1986),IF(AND(AH!$U$12=1,1981+1=AH!$U$6),TODAY(),IF(AH!$U$5=1,INDEX('Live History'!$G$5:$G$3004,MATCH($A1986,'Live History'!$G$5:$G$3004,1)),INDEX('AH History'!$C$5:$C$1380,$K1986))),NA()),NA())</f>
        <v/>
      </c>
      <c r="J1986" s="32">
        <f>IFERROR(IF(AND($F1986&gt;0,$H1986&gt;0,$A1986-$G1986&lt;=10,$A1986-$I1986&lt;=5,$G1986&gt;0,$I1986&gt;0),$F1986*$H1986,NA()),NA())</f>
        <v/>
      </c>
      <c r="K1986" s="15">
        <f>IF($A1986="","",IF(AH!$U$5=1,IFERROR(MATCH($A1986,'Live History'!$A$5:$A$3004,0),0),AH!$U$7+1981))</f>
        <v/>
      </c>
      <c r="L1986" s="15">
        <f>IF(ISNUMBER(A1986),TEXT(A1986,"dd-mmm-yy"),"")</f>
        <v/>
      </c>
    </row>
    <row r="1987">
      <c r="A1987" s="14">
        <f>IF(OR(AH!$U$4=0,1982+1&gt;AH!$U$6,AND(AH!$M$5="Bloomberg",AH!$U$5=0)),"",IFERROR(IF(AND(AH!$U$12=1,1982+1=AH!$U$6),TODAY(),IF(AH!$U$5=1,INDEX('Live History'!$A$5:$A$3004,AH!$U$7+1982),INDEX('AH History'!$A$5:$A$1380,AH!$U$7+1982))),""))</f>
        <v/>
      </c>
      <c r="B1987" s="33">
        <f>IFERROR(IF(AH!$U$11=1,NA(),$J1987/$E1987-1),NA())</f>
        <v/>
      </c>
      <c r="C1987" s="269">
        <f>IFERROR(100*$E1987/$E$5,NA())</f>
        <v/>
      </c>
      <c r="D1987" s="269">
        <f>IFERROR(100*$J1987/$J$5,NA())</f>
        <v/>
      </c>
      <c r="E1987" s="32">
        <f>IFERROR(IF(AND(ISNUMBER($A1987),N(IF(AND(AH!$U$12=1,1982+1=AH!$U$6),IF(AH!$U$4=0,"unavailable",INDEX('Market Data'!$AN$5:$AN$66,AH!$U$4)),IF(AH!$U$5=1,INDEX('Live History'!$B$5:$B$3004,$K1987),INDEX('AH History'!$D$5:$GG$1380,$K1987,AH!$U$10))))&gt;0),IF(AND(AH!$U$12=1,1982+1=AH!$U$6),IF(AH!$U$4=0,"unavailable",INDEX('Market Data'!$AN$5:$AN$66,AH!$U$4)),IF(AH!$U$5=1,INDEX('Live History'!$B$5:$B$3004,$K1987),INDEX('AH History'!$D$5:$GG$1380,$K1987,AH!$U$10))),NA()),NA())</f>
        <v/>
      </c>
      <c r="F1987" s="32">
        <f>IFERROR(IF(ISNUMBER($A1987),IF(AND(AH!$U$12=1,1982+1=AH!$U$6),IF(AH!$U$4=0,"unavailable",INDEX('Market Data'!$AO$5:$AO$66,AH!$U$4)),IF(AH!$U$5=1,INDEX('Live History'!$E$5:$E$3004,MATCH($A1987,'Live History'!$D$5:$D$3004,1)),INDEX('AH History'!$D$5:$GG$1380,$K1987,AH!$U$10+1))),NA()),NA())</f>
        <v/>
      </c>
      <c r="G1987" s="34">
        <f>IFERROR(IF(ISNUMBER($A1987),IF(AND(AH!$U$12=1,1982+1=AH!$U$6),IF(AH!$U$4=0,"unavailable",INDEX('Market Data'!$AK$5:$AK$66,AH!$U$4)),IF(AH!$U$5=1,INDEX('Live History'!$D$5:$D$3004,MATCH($A1987,'Live History'!$D$5:$D$3004,1)),INDEX('AH History'!$D$5:$GG$1380,$K1987,AH!$U$10+2))),NA()),NA())</f>
        <v/>
      </c>
      <c r="H1987" s="266">
        <f>IFERROR(IF(ISNUMBER($A1987),IF(AND(AH!$U$12=1,1982+1=AH!$U$6),IF(AH!$U$4=0,"unavailable",INDEX('Market Data'!$AP$5:$AP$66,AH!$U$4)),IF(AH!$U$5=1,INDEX('Live History'!$H$5:$H$3004,MATCH($A1987,'Live History'!$G$5:$G$3004,1)),INDEX('AH History'!$B$5:$B$1380,$K1987))),NA()),NA())</f>
        <v/>
      </c>
      <c r="I1987" s="34">
        <f>IFERROR(IF(ISNUMBER($A1987),IF(AND(AH!$U$12=1,1982+1=AH!$U$6),TODAY(),IF(AH!$U$5=1,INDEX('Live History'!$G$5:$G$3004,MATCH($A1987,'Live History'!$G$5:$G$3004,1)),INDEX('AH History'!$C$5:$C$1380,$K1987))),NA()),NA())</f>
        <v/>
      </c>
      <c r="J1987" s="32">
        <f>IFERROR(IF(AND($F1987&gt;0,$H1987&gt;0,$A1987-$G1987&lt;=10,$A1987-$I1987&lt;=5,$G1987&gt;0,$I1987&gt;0),$F1987*$H1987,NA()),NA())</f>
        <v/>
      </c>
      <c r="K1987" s="15">
        <f>IF($A1987="","",IF(AH!$U$5=1,IFERROR(MATCH($A1987,'Live History'!$A$5:$A$3004,0),0),AH!$U$7+1982))</f>
        <v/>
      </c>
      <c r="L1987" s="15">
        <f>IF(ISNUMBER(A1987),TEXT(A1987,"dd-mmm-yy"),"")</f>
        <v/>
      </c>
    </row>
    <row r="1988">
      <c r="A1988" s="14">
        <f>IF(OR(AH!$U$4=0,1983+1&gt;AH!$U$6,AND(AH!$M$5="Bloomberg",AH!$U$5=0)),"",IFERROR(IF(AND(AH!$U$12=1,1983+1=AH!$U$6),TODAY(),IF(AH!$U$5=1,INDEX('Live History'!$A$5:$A$3004,AH!$U$7+1983),INDEX('AH History'!$A$5:$A$1380,AH!$U$7+1983))),""))</f>
        <v/>
      </c>
      <c r="B1988" s="33">
        <f>IFERROR(IF(AH!$U$11=1,NA(),$J1988/$E1988-1),NA())</f>
        <v/>
      </c>
      <c r="C1988" s="269">
        <f>IFERROR(100*$E1988/$E$5,NA())</f>
        <v/>
      </c>
      <c r="D1988" s="269">
        <f>IFERROR(100*$J1988/$J$5,NA())</f>
        <v/>
      </c>
      <c r="E1988" s="32">
        <f>IFERROR(IF(AND(ISNUMBER($A1988),N(IF(AND(AH!$U$12=1,1983+1=AH!$U$6),IF(AH!$U$4=0,"unavailable",INDEX('Market Data'!$AN$5:$AN$66,AH!$U$4)),IF(AH!$U$5=1,INDEX('Live History'!$B$5:$B$3004,$K1988),INDEX('AH History'!$D$5:$GG$1380,$K1988,AH!$U$10))))&gt;0),IF(AND(AH!$U$12=1,1983+1=AH!$U$6),IF(AH!$U$4=0,"unavailable",INDEX('Market Data'!$AN$5:$AN$66,AH!$U$4)),IF(AH!$U$5=1,INDEX('Live History'!$B$5:$B$3004,$K1988),INDEX('AH History'!$D$5:$GG$1380,$K1988,AH!$U$10))),NA()),NA())</f>
        <v/>
      </c>
      <c r="F1988" s="32">
        <f>IFERROR(IF(ISNUMBER($A1988),IF(AND(AH!$U$12=1,1983+1=AH!$U$6),IF(AH!$U$4=0,"unavailable",INDEX('Market Data'!$AO$5:$AO$66,AH!$U$4)),IF(AH!$U$5=1,INDEX('Live History'!$E$5:$E$3004,MATCH($A1988,'Live History'!$D$5:$D$3004,1)),INDEX('AH History'!$D$5:$GG$1380,$K1988,AH!$U$10+1))),NA()),NA())</f>
        <v/>
      </c>
      <c r="G1988" s="34">
        <f>IFERROR(IF(ISNUMBER($A1988),IF(AND(AH!$U$12=1,1983+1=AH!$U$6),IF(AH!$U$4=0,"unavailable",INDEX('Market Data'!$AK$5:$AK$66,AH!$U$4)),IF(AH!$U$5=1,INDEX('Live History'!$D$5:$D$3004,MATCH($A1988,'Live History'!$D$5:$D$3004,1)),INDEX('AH History'!$D$5:$GG$1380,$K1988,AH!$U$10+2))),NA()),NA())</f>
        <v/>
      </c>
      <c r="H1988" s="266">
        <f>IFERROR(IF(ISNUMBER($A1988),IF(AND(AH!$U$12=1,1983+1=AH!$U$6),IF(AH!$U$4=0,"unavailable",INDEX('Market Data'!$AP$5:$AP$66,AH!$U$4)),IF(AH!$U$5=1,INDEX('Live History'!$H$5:$H$3004,MATCH($A1988,'Live History'!$G$5:$G$3004,1)),INDEX('AH History'!$B$5:$B$1380,$K1988))),NA()),NA())</f>
        <v/>
      </c>
      <c r="I1988" s="34">
        <f>IFERROR(IF(ISNUMBER($A1988),IF(AND(AH!$U$12=1,1983+1=AH!$U$6),TODAY(),IF(AH!$U$5=1,INDEX('Live History'!$G$5:$G$3004,MATCH($A1988,'Live History'!$G$5:$G$3004,1)),INDEX('AH History'!$C$5:$C$1380,$K1988))),NA()),NA())</f>
        <v/>
      </c>
      <c r="J1988" s="32">
        <f>IFERROR(IF(AND($F1988&gt;0,$H1988&gt;0,$A1988-$G1988&lt;=10,$A1988-$I1988&lt;=5,$G1988&gt;0,$I1988&gt;0),$F1988*$H1988,NA()),NA())</f>
        <v/>
      </c>
      <c r="K1988" s="15">
        <f>IF($A1988="","",IF(AH!$U$5=1,IFERROR(MATCH($A1988,'Live History'!$A$5:$A$3004,0),0),AH!$U$7+1983))</f>
        <v/>
      </c>
      <c r="L1988" s="15">
        <f>IF(ISNUMBER(A1988),TEXT(A1988,"dd-mmm-yy"),"")</f>
        <v/>
      </c>
    </row>
    <row r="1989">
      <c r="A1989" s="14">
        <f>IF(OR(AH!$U$4=0,1984+1&gt;AH!$U$6,AND(AH!$M$5="Bloomberg",AH!$U$5=0)),"",IFERROR(IF(AND(AH!$U$12=1,1984+1=AH!$U$6),TODAY(),IF(AH!$U$5=1,INDEX('Live History'!$A$5:$A$3004,AH!$U$7+1984),INDEX('AH History'!$A$5:$A$1380,AH!$U$7+1984))),""))</f>
        <v/>
      </c>
      <c r="B1989" s="33">
        <f>IFERROR(IF(AH!$U$11=1,NA(),$J1989/$E1989-1),NA())</f>
        <v/>
      </c>
      <c r="C1989" s="269">
        <f>IFERROR(100*$E1989/$E$5,NA())</f>
        <v/>
      </c>
      <c r="D1989" s="269">
        <f>IFERROR(100*$J1989/$J$5,NA())</f>
        <v/>
      </c>
      <c r="E1989" s="32">
        <f>IFERROR(IF(AND(ISNUMBER($A1989),N(IF(AND(AH!$U$12=1,1984+1=AH!$U$6),IF(AH!$U$4=0,"unavailable",INDEX('Market Data'!$AN$5:$AN$66,AH!$U$4)),IF(AH!$U$5=1,INDEX('Live History'!$B$5:$B$3004,$K1989),INDEX('AH History'!$D$5:$GG$1380,$K1989,AH!$U$10))))&gt;0),IF(AND(AH!$U$12=1,1984+1=AH!$U$6),IF(AH!$U$4=0,"unavailable",INDEX('Market Data'!$AN$5:$AN$66,AH!$U$4)),IF(AH!$U$5=1,INDEX('Live History'!$B$5:$B$3004,$K1989),INDEX('AH History'!$D$5:$GG$1380,$K1989,AH!$U$10))),NA()),NA())</f>
        <v/>
      </c>
      <c r="F1989" s="32">
        <f>IFERROR(IF(ISNUMBER($A1989),IF(AND(AH!$U$12=1,1984+1=AH!$U$6),IF(AH!$U$4=0,"unavailable",INDEX('Market Data'!$AO$5:$AO$66,AH!$U$4)),IF(AH!$U$5=1,INDEX('Live History'!$E$5:$E$3004,MATCH($A1989,'Live History'!$D$5:$D$3004,1)),INDEX('AH History'!$D$5:$GG$1380,$K1989,AH!$U$10+1))),NA()),NA())</f>
        <v/>
      </c>
      <c r="G1989" s="34">
        <f>IFERROR(IF(ISNUMBER($A1989),IF(AND(AH!$U$12=1,1984+1=AH!$U$6),IF(AH!$U$4=0,"unavailable",INDEX('Market Data'!$AK$5:$AK$66,AH!$U$4)),IF(AH!$U$5=1,INDEX('Live History'!$D$5:$D$3004,MATCH($A1989,'Live History'!$D$5:$D$3004,1)),INDEX('AH History'!$D$5:$GG$1380,$K1989,AH!$U$10+2))),NA()),NA())</f>
        <v/>
      </c>
      <c r="H1989" s="266">
        <f>IFERROR(IF(ISNUMBER($A1989),IF(AND(AH!$U$12=1,1984+1=AH!$U$6),IF(AH!$U$4=0,"unavailable",INDEX('Market Data'!$AP$5:$AP$66,AH!$U$4)),IF(AH!$U$5=1,INDEX('Live History'!$H$5:$H$3004,MATCH($A1989,'Live History'!$G$5:$G$3004,1)),INDEX('AH History'!$B$5:$B$1380,$K1989))),NA()),NA())</f>
        <v/>
      </c>
      <c r="I1989" s="34">
        <f>IFERROR(IF(ISNUMBER($A1989),IF(AND(AH!$U$12=1,1984+1=AH!$U$6),TODAY(),IF(AH!$U$5=1,INDEX('Live History'!$G$5:$G$3004,MATCH($A1989,'Live History'!$G$5:$G$3004,1)),INDEX('AH History'!$C$5:$C$1380,$K1989))),NA()),NA())</f>
        <v/>
      </c>
      <c r="J1989" s="32">
        <f>IFERROR(IF(AND($F1989&gt;0,$H1989&gt;0,$A1989-$G1989&lt;=10,$A1989-$I1989&lt;=5,$G1989&gt;0,$I1989&gt;0),$F1989*$H1989,NA()),NA())</f>
        <v/>
      </c>
      <c r="K1989" s="15">
        <f>IF($A1989="","",IF(AH!$U$5=1,IFERROR(MATCH($A1989,'Live History'!$A$5:$A$3004,0),0),AH!$U$7+1984))</f>
        <v/>
      </c>
      <c r="L1989" s="15">
        <f>IF(ISNUMBER(A1989),TEXT(A1989,"dd-mmm-yy"),"")</f>
        <v/>
      </c>
    </row>
    <row r="1990">
      <c r="A1990" s="14">
        <f>IF(OR(AH!$U$4=0,1985+1&gt;AH!$U$6,AND(AH!$M$5="Bloomberg",AH!$U$5=0)),"",IFERROR(IF(AND(AH!$U$12=1,1985+1=AH!$U$6),TODAY(),IF(AH!$U$5=1,INDEX('Live History'!$A$5:$A$3004,AH!$U$7+1985),INDEX('AH History'!$A$5:$A$1380,AH!$U$7+1985))),""))</f>
        <v/>
      </c>
      <c r="B1990" s="33">
        <f>IFERROR(IF(AH!$U$11=1,NA(),$J1990/$E1990-1),NA())</f>
        <v/>
      </c>
      <c r="C1990" s="269">
        <f>IFERROR(100*$E1990/$E$5,NA())</f>
        <v/>
      </c>
      <c r="D1990" s="269">
        <f>IFERROR(100*$J1990/$J$5,NA())</f>
        <v/>
      </c>
      <c r="E1990" s="32">
        <f>IFERROR(IF(AND(ISNUMBER($A1990),N(IF(AND(AH!$U$12=1,1985+1=AH!$U$6),IF(AH!$U$4=0,"unavailable",INDEX('Market Data'!$AN$5:$AN$66,AH!$U$4)),IF(AH!$U$5=1,INDEX('Live History'!$B$5:$B$3004,$K1990),INDEX('AH History'!$D$5:$GG$1380,$K1990,AH!$U$10))))&gt;0),IF(AND(AH!$U$12=1,1985+1=AH!$U$6),IF(AH!$U$4=0,"unavailable",INDEX('Market Data'!$AN$5:$AN$66,AH!$U$4)),IF(AH!$U$5=1,INDEX('Live History'!$B$5:$B$3004,$K1990),INDEX('AH History'!$D$5:$GG$1380,$K1990,AH!$U$10))),NA()),NA())</f>
        <v/>
      </c>
      <c r="F1990" s="32">
        <f>IFERROR(IF(ISNUMBER($A1990),IF(AND(AH!$U$12=1,1985+1=AH!$U$6),IF(AH!$U$4=0,"unavailable",INDEX('Market Data'!$AO$5:$AO$66,AH!$U$4)),IF(AH!$U$5=1,INDEX('Live History'!$E$5:$E$3004,MATCH($A1990,'Live History'!$D$5:$D$3004,1)),INDEX('AH History'!$D$5:$GG$1380,$K1990,AH!$U$10+1))),NA()),NA())</f>
        <v/>
      </c>
      <c r="G1990" s="34">
        <f>IFERROR(IF(ISNUMBER($A1990),IF(AND(AH!$U$12=1,1985+1=AH!$U$6),IF(AH!$U$4=0,"unavailable",INDEX('Market Data'!$AK$5:$AK$66,AH!$U$4)),IF(AH!$U$5=1,INDEX('Live History'!$D$5:$D$3004,MATCH($A1990,'Live History'!$D$5:$D$3004,1)),INDEX('AH History'!$D$5:$GG$1380,$K1990,AH!$U$10+2))),NA()),NA())</f>
        <v/>
      </c>
      <c r="H1990" s="266">
        <f>IFERROR(IF(ISNUMBER($A1990),IF(AND(AH!$U$12=1,1985+1=AH!$U$6),IF(AH!$U$4=0,"unavailable",INDEX('Market Data'!$AP$5:$AP$66,AH!$U$4)),IF(AH!$U$5=1,INDEX('Live History'!$H$5:$H$3004,MATCH($A1990,'Live History'!$G$5:$G$3004,1)),INDEX('AH History'!$B$5:$B$1380,$K1990))),NA()),NA())</f>
        <v/>
      </c>
      <c r="I1990" s="34">
        <f>IFERROR(IF(ISNUMBER($A1990),IF(AND(AH!$U$12=1,1985+1=AH!$U$6),TODAY(),IF(AH!$U$5=1,INDEX('Live History'!$G$5:$G$3004,MATCH($A1990,'Live History'!$G$5:$G$3004,1)),INDEX('AH History'!$C$5:$C$1380,$K1990))),NA()),NA())</f>
        <v/>
      </c>
      <c r="J1990" s="32">
        <f>IFERROR(IF(AND($F1990&gt;0,$H1990&gt;0,$A1990-$G1990&lt;=10,$A1990-$I1990&lt;=5,$G1990&gt;0,$I1990&gt;0),$F1990*$H1990,NA()),NA())</f>
        <v/>
      </c>
      <c r="K1990" s="15">
        <f>IF($A1990="","",IF(AH!$U$5=1,IFERROR(MATCH($A1990,'Live History'!$A$5:$A$3004,0),0),AH!$U$7+1985))</f>
        <v/>
      </c>
      <c r="L1990" s="15">
        <f>IF(ISNUMBER(A1990),TEXT(A1990,"dd-mmm-yy"),"")</f>
        <v/>
      </c>
    </row>
    <row r="1991">
      <c r="A1991" s="14">
        <f>IF(OR(AH!$U$4=0,1986+1&gt;AH!$U$6,AND(AH!$M$5="Bloomberg",AH!$U$5=0)),"",IFERROR(IF(AND(AH!$U$12=1,1986+1=AH!$U$6),TODAY(),IF(AH!$U$5=1,INDEX('Live History'!$A$5:$A$3004,AH!$U$7+1986),INDEX('AH History'!$A$5:$A$1380,AH!$U$7+1986))),""))</f>
        <v/>
      </c>
      <c r="B1991" s="33">
        <f>IFERROR(IF(AH!$U$11=1,NA(),$J1991/$E1991-1),NA())</f>
        <v/>
      </c>
      <c r="C1991" s="269">
        <f>IFERROR(100*$E1991/$E$5,NA())</f>
        <v/>
      </c>
      <c r="D1991" s="269">
        <f>IFERROR(100*$J1991/$J$5,NA())</f>
        <v/>
      </c>
      <c r="E1991" s="32">
        <f>IFERROR(IF(AND(ISNUMBER($A1991),N(IF(AND(AH!$U$12=1,1986+1=AH!$U$6),IF(AH!$U$4=0,"unavailable",INDEX('Market Data'!$AN$5:$AN$66,AH!$U$4)),IF(AH!$U$5=1,INDEX('Live History'!$B$5:$B$3004,$K1991),INDEX('AH History'!$D$5:$GG$1380,$K1991,AH!$U$10))))&gt;0),IF(AND(AH!$U$12=1,1986+1=AH!$U$6),IF(AH!$U$4=0,"unavailable",INDEX('Market Data'!$AN$5:$AN$66,AH!$U$4)),IF(AH!$U$5=1,INDEX('Live History'!$B$5:$B$3004,$K1991),INDEX('AH History'!$D$5:$GG$1380,$K1991,AH!$U$10))),NA()),NA())</f>
        <v/>
      </c>
      <c r="F1991" s="32">
        <f>IFERROR(IF(ISNUMBER($A1991),IF(AND(AH!$U$12=1,1986+1=AH!$U$6),IF(AH!$U$4=0,"unavailable",INDEX('Market Data'!$AO$5:$AO$66,AH!$U$4)),IF(AH!$U$5=1,INDEX('Live History'!$E$5:$E$3004,MATCH($A1991,'Live History'!$D$5:$D$3004,1)),INDEX('AH History'!$D$5:$GG$1380,$K1991,AH!$U$10+1))),NA()),NA())</f>
        <v/>
      </c>
      <c r="G1991" s="34">
        <f>IFERROR(IF(ISNUMBER($A1991),IF(AND(AH!$U$12=1,1986+1=AH!$U$6),IF(AH!$U$4=0,"unavailable",INDEX('Market Data'!$AK$5:$AK$66,AH!$U$4)),IF(AH!$U$5=1,INDEX('Live History'!$D$5:$D$3004,MATCH($A1991,'Live History'!$D$5:$D$3004,1)),INDEX('AH History'!$D$5:$GG$1380,$K1991,AH!$U$10+2))),NA()),NA())</f>
        <v/>
      </c>
      <c r="H1991" s="266">
        <f>IFERROR(IF(ISNUMBER($A1991),IF(AND(AH!$U$12=1,1986+1=AH!$U$6),IF(AH!$U$4=0,"unavailable",INDEX('Market Data'!$AP$5:$AP$66,AH!$U$4)),IF(AH!$U$5=1,INDEX('Live History'!$H$5:$H$3004,MATCH($A1991,'Live History'!$G$5:$G$3004,1)),INDEX('AH History'!$B$5:$B$1380,$K1991))),NA()),NA())</f>
        <v/>
      </c>
      <c r="I1991" s="34">
        <f>IFERROR(IF(ISNUMBER($A1991),IF(AND(AH!$U$12=1,1986+1=AH!$U$6),TODAY(),IF(AH!$U$5=1,INDEX('Live History'!$G$5:$G$3004,MATCH($A1991,'Live History'!$G$5:$G$3004,1)),INDEX('AH History'!$C$5:$C$1380,$K1991))),NA()),NA())</f>
        <v/>
      </c>
      <c r="J1991" s="32">
        <f>IFERROR(IF(AND($F1991&gt;0,$H1991&gt;0,$A1991-$G1991&lt;=10,$A1991-$I1991&lt;=5,$G1991&gt;0,$I1991&gt;0),$F1991*$H1991,NA()),NA())</f>
        <v/>
      </c>
      <c r="K1991" s="15">
        <f>IF($A1991="","",IF(AH!$U$5=1,IFERROR(MATCH($A1991,'Live History'!$A$5:$A$3004,0),0),AH!$U$7+1986))</f>
        <v/>
      </c>
      <c r="L1991" s="15">
        <f>IF(ISNUMBER(A1991),TEXT(A1991,"dd-mmm-yy"),"")</f>
        <v/>
      </c>
    </row>
    <row r="1992">
      <c r="A1992" s="14">
        <f>IF(OR(AH!$U$4=0,1987+1&gt;AH!$U$6,AND(AH!$M$5="Bloomberg",AH!$U$5=0)),"",IFERROR(IF(AND(AH!$U$12=1,1987+1=AH!$U$6),TODAY(),IF(AH!$U$5=1,INDEX('Live History'!$A$5:$A$3004,AH!$U$7+1987),INDEX('AH History'!$A$5:$A$1380,AH!$U$7+1987))),""))</f>
        <v/>
      </c>
      <c r="B1992" s="33">
        <f>IFERROR(IF(AH!$U$11=1,NA(),$J1992/$E1992-1),NA())</f>
        <v/>
      </c>
      <c r="C1992" s="269">
        <f>IFERROR(100*$E1992/$E$5,NA())</f>
        <v/>
      </c>
      <c r="D1992" s="269">
        <f>IFERROR(100*$J1992/$J$5,NA())</f>
        <v/>
      </c>
      <c r="E1992" s="32">
        <f>IFERROR(IF(AND(ISNUMBER($A1992),N(IF(AND(AH!$U$12=1,1987+1=AH!$U$6),IF(AH!$U$4=0,"unavailable",INDEX('Market Data'!$AN$5:$AN$66,AH!$U$4)),IF(AH!$U$5=1,INDEX('Live History'!$B$5:$B$3004,$K1992),INDEX('AH History'!$D$5:$GG$1380,$K1992,AH!$U$10))))&gt;0),IF(AND(AH!$U$12=1,1987+1=AH!$U$6),IF(AH!$U$4=0,"unavailable",INDEX('Market Data'!$AN$5:$AN$66,AH!$U$4)),IF(AH!$U$5=1,INDEX('Live History'!$B$5:$B$3004,$K1992),INDEX('AH History'!$D$5:$GG$1380,$K1992,AH!$U$10))),NA()),NA())</f>
        <v/>
      </c>
      <c r="F1992" s="32">
        <f>IFERROR(IF(ISNUMBER($A1992),IF(AND(AH!$U$12=1,1987+1=AH!$U$6),IF(AH!$U$4=0,"unavailable",INDEX('Market Data'!$AO$5:$AO$66,AH!$U$4)),IF(AH!$U$5=1,INDEX('Live History'!$E$5:$E$3004,MATCH($A1992,'Live History'!$D$5:$D$3004,1)),INDEX('AH History'!$D$5:$GG$1380,$K1992,AH!$U$10+1))),NA()),NA())</f>
        <v/>
      </c>
      <c r="G1992" s="34">
        <f>IFERROR(IF(ISNUMBER($A1992),IF(AND(AH!$U$12=1,1987+1=AH!$U$6),IF(AH!$U$4=0,"unavailable",INDEX('Market Data'!$AK$5:$AK$66,AH!$U$4)),IF(AH!$U$5=1,INDEX('Live History'!$D$5:$D$3004,MATCH($A1992,'Live History'!$D$5:$D$3004,1)),INDEX('AH History'!$D$5:$GG$1380,$K1992,AH!$U$10+2))),NA()),NA())</f>
        <v/>
      </c>
      <c r="H1992" s="266">
        <f>IFERROR(IF(ISNUMBER($A1992),IF(AND(AH!$U$12=1,1987+1=AH!$U$6),IF(AH!$U$4=0,"unavailable",INDEX('Market Data'!$AP$5:$AP$66,AH!$U$4)),IF(AH!$U$5=1,INDEX('Live History'!$H$5:$H$3004,MATCH($A1992,'Live History'!$G$5:$G$3004,1)),INDEX('AH History'!$B$5:$B$1380,$K1992))),NA()),NA())</f>
        <v/>
      </c>
      <c r="I1992" s="34">
        <f>IFERROR(IF(ISNUMBER($A1992),IF(AND(AH!$U$12=1,1987+1=AH!$U$6),TODAY(),IF(AH!$U$5=1,INDEX('Live History'!$G$5:$G$3004,MATCH($A1992,'Live History'!$G$5:$G$3004,1)),INDEX('AH History'!$C$5:$C$1380,$K1992))),NA()),NA())</f>
        <v/>
      </c>
      <c r="J1992" s="32">
        <f>IFERROR(IF(AND($F1992&gt;0,$H1992&gt;0,$A1992-$G1992&lt;=10,$A1992-$I1992&lt;=5,$G1992&gt;0,$I1992&gt;0),$F1992*$H1992,NA()),NA())</f>
        <v/>
      </c>
      <c r="K1992" s="15">
        <f>IF($A1992="","",IF(AH!$U$5=1,IFERROR(MATCH($A1992,'Live History'!$A$5:$A$3004,0),0),AH!$U$7+1987))</f>
        <v/>
      </c>
      <c r="L1992" s="15">
        <f>IF(ISNUMBER(A1992),TEXT(A1992,"dd-mmm-yy"),"")</f>
        <v/>
      </c>
    </row>
    <row r="1993">
      <c r="A1993" s="14">
        <f>IF(OR(AH!$U$4=0,1988+1&gt;AH!$U$6,AND(AH!$M$5="Bloomberg",AH!$U$5=0)),"",IFERROR(IF(AND(AH!$U$12=1,1988+1=AH!$U$6),TODAY(),IF(AH!$U$5=1,INDEX('Live History'!$A$5:$A$3004,AH!$U$7+1988),INDEX('AH History'!$A$5:$A$1380,AH!$U$7+1988))),""))</f>
        <v/>
      </c>
      <c r="B1993" s="33">
        <f>IFERROR(IF(AH!$U$11=1,NA(),$J1993/$E1993-1),NA())</f>
        <v/>
      </c>
      <c r="C1993" s="269">
        <f>IFERROR(100*$E1993/$E$5,NA())</f>
        <v/>
      </c>
      <c r="D1993" s="269">
        <f>IFERROR(100*$J1993/$J$5,NA())</f>
        <v/>
      </c>
      <c r="E1993" s="32">
        <f>IFERROR(IF(AND(ISNUMBER($A1993),N(IF(AND(AH!$U$12=1,1988+1=AH!$U$6),IF(AH!$U$4=0,"unavailable",INDEX('Market Data'!$AN$5:$AN$66,AH!$U$4)),IF(AH!$U$5=1,INDEX('Live History'!$B$5:$B$3004,$K1993),INDEX('AH History'!$D$5:$GG$1380,$K1993,AH!$U$10))))&gt;0),IF(AND(AH!$U$12=1,1988+1=AH!$U$6),IF(AH!$U$4=0,"unavailable",INDEX('Market Data'!$AN$5:$AN$66,AH!$U$4)),IF(AH!$U$5=1,INDEX('Live History'!$B$5:$B$3004,$K1993),INDEX('AH History'!$D$5:$GG$1380,$K1993,AH!$U$10))),NA()),NA())</f>
        <v/>
      </c>
      <c r="F1993" s="32">
        <f>IFERROR(IF(ISNUMBER($A1993),IF(AND(AH!$U$12=1,1988+1=AH!$U$6),IF(AH!$U$4=0,"unavailable",INDEX('Market Data'!$AO$5:$AO$66,AH!$U$4)),IF(AH!$U$5=1,INDEX('Live History'!$E$5:$E$3004,MATCH($A1993,'Live History'!$D$5:$D$3004,1)),INDEX('AH History'!$D$5:$GG$1380,$K1993,AH!$U$10+1))),NA()),NA())</f>
        <v/>
      </c>
      <c r="G1993" s="34">
        <f>IFERROR(IF(ISNUMBER($A1993),IF(AND(AH!$U$12=1,1988+1=AH!$U$6),IF(AH!$U$4=0,"unavailable",INDEX('Market Data'!$AK$5:$AK$66,AH!$U$4)),IF(AH!$U$5=1,INDEX('Live History'!$D$5:$D$3004,MATCH($A1993,'Live History'!$D$5:$D$3004,1)),INDEX('AH History'!$D$5:$GG$1380,$K1993,AH!$U$10+2))),NA()),NA())</f>
        <v/>
      </c>
      <c r="H1993" s="266">
        <f>IFERROR(IF(ISNUMBER($A1993),IF(AND(AH!$U$12=1,1988+1=AH!$U$6),IF(AH!$U$4=0,"unavailable",INDEX('Market Data'!$AP$5:$AP$66,AH!$U$4)),IF(AH!$U$5=1,INDEX('Live History'!$H$5:$H$3004,MATCH($A1993,'Live History'!$G$5:$G$3004,1)),INDEX('AH History'!$B$5:$B$1380,$K1993))),NA()),NA())</f>
        <v/>
      </c>
      <c r="I1993" s="34">
        <f>IFERROR(IF(ISNUMBER($A1993),IF(AND(AH!$U$12=1,1988+1=AH!$U$6),TODAY(),IF(AH!$U$5=1,INDEX('Live History'!$G$5:$G$3004,MATCH($A1993,'Live History'!$G$5:$G$3004,1)),INDEX('AH History'!$C$5:$C$1380,$K1993))),NA()),NA())</f>
        <v/>
      </c>
      <c r="J1993" s="32">
        <f>IFERROR(IF(AND($F1993&gt;0,$H1993&gt;0,$A1993-$G1993&lt;=10,$A1993-$I1993&lt;=5,$G1993&gt;0,$I1993&gt;0),$F1993*$H1993,NA()),NA())</f>
        <v/>
      </c>
      <c r="K1993" s="15">
        <f>IF($A1993="","",IF(AH!$U$5=1,IFERROR(MATCH($A1993,'Live History'!$A$5:$A$3004,0),0),AH!$U$7+1988))</f>
        <v/>
      </c>
      <c r="L1993" s="15">
        <f>IF(ISNUMBER(A1993),TEXT(A1993,"dd-mmm-yy"),"")</f>
        <v/>
      </c>
    </row>
    <row r="1994">
      <c r="A1994" s="14">
        <f>IF(OR(AH!$U$4=0,1989+1&gt;AH!$U$6,AND(AH!$M$5="Bloomberg",AH!$U$5=0)),"",IFERROR(IF(AND(AH!$U$12=1,1989+1=AH!$U$6),TODAY(),IF(AH!$U$5=1,INDEX('Live History'!$A$5:$A$3004,AH!$U$7+1989),INDEX('AH History'!$A$5:$A$1380,AH!$U$7+1989))),""))</f>
        <v/>
      </c>
      <c r="B1994" s="33">
        <f>IFERROR(IF(AH!$U$11=1,NA(),$J1994/$E1994-1),NA())</f>
        <v/>
      </c>
      <c r="C1994" s="269">
        <f>IFERROR(100*$E1994/$E$5,NA())</f>
        <v/>
      </c>
      <c r="D1994" s="269">
        <f>IFERROR(100*$J1994/$J$5,NA())</f>
        <v/>
      </c>
      <c r="E1994" s="32">
        <f>IFERROR(IF(AND(ISNUMBER($A1994),N(IF(AND(AH!$U$12=1,1989+1=AH!$U$6),IF(AH!$U$4=0,"unavailable",INDEX('Market Data'!$AN$5:$AN$66,AH!$U$4)),IF(AH!$U$5=1,INDEX('Live History'!$B$5:$B$3004,$K1994),INDEX('AH History'!$D$5:$GG$1380,$K1994,AH!$U$10))))&gt;0),IF(AND(AH!$U$12=1,1989+1=AH!$U$6),IF(AH!$U$4=0,"unavailable",INDEX('Market Data'!$AN$5:$AN$66,AH!$U$4)),IF(AH!$U$5=1,INDEX('Live History'!$B$5:$B$3004,$K1994),INDEX('AH History'!$D$5:$GG$1380,$K1994,AH!$U$10))),NA()),NA())</f>
        <v/>
      </c>
      <c r="F1994" s="32">
        <f>IFERROR(IF(ISNUMBER($A1994),IF(AND(AH!$U$12=1,1989+1=AH!$U$6),IF(AH!$U$4=0,"unavailable",INDEX('Market Data'!$AO$5:$AO$66,AH!$U$4)),IF(AH!$U$5=1,INDEX('Live History'!$E$5:$E$3004,MATCH($A1994,'Live History'!$D$5:$D$3004,1)),INDEX('AH History'!$D$5:$GG$1380,$K1994,AH!$U$10+1))),NA()),NA())</f>
        <v/>
      </c>
      <c r="G1994" s="34">
        <f>IFERROR(IF(ISNUMBER($A1994),IF(AND(AH!$U$12=1,1989+1=AH!$U$6),IF(AH!$U$4=0,"unavailable",INDEX('Market Data'!$AK$5:$AK$66,AH!$U$4)),IF(AH!$U$5=1,INDEX('Live History'!$D$5:$D$3004,MATCH($A1994,'Live History'!$D$5:$D$3004,1)),INDEX('AH History'!$D$5:$GG$1380,$K1994,AH!$U$10+2))),NA()),NA())</f>
        <v/>
      </c>
      <c r="H1994" s="266">
        <f>IFERROR(IF(ISNUMBER($A1994),IF(AND(AH!$U$12=1,1989+1=AH!$U$6),IF(AH!$U$4=0,"unavailable",INDEX('Market Data'!$AP$5:$AP$66,AH!$U$4)),IF(AH!$U$5=1,INDEX('Live History'!$H$5:$H$3004,MATCH($A1994,'Live History'!$G$5:$G$3004,1)),INDEX('AH History'!$B$5:$B$1380,$K1994))),NA()),NA())</f>
        <v/>
      </c>
      <c r="I1994" s="34">
        <f>IFERROR(IF(ISNUMBER($A1994),IF(AND(AH!$U$12=1,1989+1=AH!$U$6),TODAY(),IF(AH!$U$5=1,INDEX('Live History'!$G$5:$G$3004,MATCH($A1994,'Live History'!$G$5:$G$3004,1)),INDEX('AH History'!$C$5:$C$1380,$K1994))),NA()),NA())</f>
        <v/>
      </c>
      <c r="J1994" s="32">
        <f>IFERROR(IF(AND($F1994&gt;0,$H1994&gt;0,$A1994-$G1994&lt;=10,$A1994-$I1994&lt;=5,$G1994&gt;0,$I1994&gt;0),$F1994*$H1994,NA()),NA())</f>
        <v/>
      </c>
      <c r="K1994" s="15">
        <f>IF($A1994="","",IF(AH!$U$5=1,IFERROR(MATCH($A1994,'Live History'!$A$5:$A$3004,0),0),AH!$U$7+1989))</f>
        <v/>
      </c>
      <c r="L1994" s="15">
        <f>IF(ISNUMBER(A1994),TEXT(A1994,"dd-mmm-yy"),"")</f>
        <v/>
      </c>
    </row>
    <row r="1995">
      <c r="A1995" s="14">
        <f>IF(OR(AH!$U$4=0,1990+1&gt;AH!$U$6,AND(AH!$M$5="Bloomberg",AH!$U$5=0)),"",IFERROR(IF(AND(AH!$U$12=1,1990+1=AH!$U$6),TODAY(),IF(AH!$U$5=1,INDEX('Live History'!$A$5:$A$3004,AH!$U$7+1990),INDEX('AH History'!$A$5:$A$1380,AH!$U$7+1990))),""))</f>
        <v/>
      </c>
      <c r="B1995" s="33">
        <f>IFERROR(IF(AH!$U$11=1,NA(),$J1995/$E1995-1),NA())</f>
        <v/>
      </c>
      <c r="C1995" s="269">
        <f>IFERROR(100*$E1995/$E$5,NA())</f>
        <v/>
      </c>
      <c r="D1995" s="269">
        <f>IFERROR(100*$J1995/$J$5,NA())</f>
        <v/>
      </c>
      <c r="E1995" s="32">
        <f>IFERROR(IF(AND(ISNUMBER($A1995),N(IF(AND(AH!$U$12=1,1990+1=AH!$U$6),IF(AH!$U$4=0,"unavailable",INDEX('Market Data'!$AN$5:$AN$66,AH!$U$4)),IF(AH!$U$5=1,INDEX('Live History'!$B$5:$B$3004,$K1995),INDEX('AH History'!$D$5:$GG$1380,$K1995,AH!$U$10))))&gt;0),IF(AND(AH!$U$12=1,1990+1=AH!$U$6),IF(AH!$U$4=0,"unavailable",INDEX('Market Data'!$AN$5:$AN$66,AH!$U$4)),IF(AH!$U$5=1,INDEX('Live History'!$B$5:$B$3004,$K1995),INDEX('AH History'!$D$5:$GG$1380,$K1995,AH!$U$10))),NA()),NA())</f>
        <v/>
      </c>
      <c r="F1995" s="32">
        <f>IFERROR(IF(ISNUMBER($A1995),IF(AND(AH!$U$12=1,1990+1=AH!$U$6),IF(AH!$U$4=0,"unavailable",INDEX('Market Data'!$AO$5:$AO$66,AH!$U$4)),IF(AH!$U$5=1,INDEX('Live History'!$E$5:$E$3004,MATCH($A1995,'Live History'!$D$5:$D$3004,1)),INDEX('AH History'!$D$5:$GG$1380,$K1995,AH!$U$10+1))),NA()),NA())</f>
        <v/>
      </c>
      <c r="G1995" s="34">
        <f>IFERROR(IF(ISNUMBER($A1995),IF(AND(AH!$U$12=1,1990+1=AH!$U$6),IF(AH!$U$4=0,"unavailable",INDEX('Market Data'!$AK$5:$AK$66,AH!$U$4)),IF(AH!$U$5=1,INDEX('Live History'!$D$5:$D$3004,MATCH($A1995,'Live History'!$D$5:$D$3004,1)),INDEX('AH History'!$D$5:$GG$1380,$K1995,AH!$U$10+2))),NA()),NA())</f>
        <v/>
      </c>
      <c r="H1995" s="266">
        <f>IFERROR(IF(ISNUMBER($A1995),IF(AND(AH!$U$12=1,1990+1=AH!$U$6),IF(AH!$U$4=0,"unavailable",INDEX('Market Data'!$AP$5:$AP$66,AH!$U$4)),IF(AH!$U$5=1,INDEX('Live History'!$H$5:$H$3004,MATCH($A1995,'Live History'!$G$5:$G$3004,1)),INDEX('AH History'!$B$5:$B$1380,$K1995))),NA()),NA())</f>
        <v/>
      </c>
      <c r="I1995" s="34">
        <f>IFERROR(IF(ISNUMBER($A1995),IF(AND(AH!$U$12=1,1990+1=AH!$U$6),TODAY(),IF(AH!$U$5=1,INDEX('Live History'!$G$5:$G$3004,MATCH($A1995,'Live History'!$G$5:$G$3004,1)),INDEX('AH History'!$C$5:$C$1380,$K1995))),NA()),NA())</f>
        <v/>
      </c>
      <c r="J1995" s="32">
        <f>IFERROR(IF(AND($F1995&gt;0,$H1995&gt;0,$A1995-$G1995&lt;=10,$A1995-$I1995&lt;=5,$G1995&gt;0,$I1995&gt;0),$F1995*$H1995,NA()),NA())</f>
        <v/>
      </c>
      <c r="K1995" s="15">
        <f>IF($A1995="","",IF(AH!$U$5=1,IFERROR(MATCH($A1995,'Live History'!$A$5:$A$3004,0),0),AH!$U$7+1990))</f>
        <v/>
      </c>
      <c r="L1995" s="15">
        <f>IF(ISNUMBER(A1995),TEXT(A1995,"dd-mmm-yy"),"")</f>
        <v/>
      </c>
    </row>
    <row r="1996">
      <c r="A1996" s="14">
        <f>IF(OR(AH!$U$4=0,1991+1&gt;AH!$U$6,AND(AH!$M$5="Bloomberg",AH!$U$5=0)),"",IFERROR(IF(AND(AH!$U$12=1,1991+1=AH!$U$6),TODAY(),IF(AH!$U$5=1,INDEX('Live History'!$A$5:$A$3004,AH!$U$7+1991),INDEX('AH History'!$A$5:$A$1380,AH!$U$7+1991))),""))</f>
        <v/>
      </c>
      <c r="B1996" s="33">
        <f>IFERROR(IF(AH!$U$11=1,NA(),$J1996/$E1996-1),NA())</f>
        <v/>
      </c>
      <c r="C1996" s="269">
        <f>IFERROR(100*$E1996/$E$5,NA())</f>
        <v/>
      </c>
      <c r="D1996" s="269">
        <f>IFERROR(100*$J1996/$J$5,NA())</f>
        <v/>
      </c>
      <c r="E1996" s="32">
        <f>IFERROR(IF(AND(ISNUMBER($A1996),N(IF(AND(AH!$U$12=1,1991+1=AH!$U$6),IF(AH!$U$4=0,"unavailable",INDEX('Market Data'!$AN$5:$AN$66,AH!$U$4)),IF(AH!$U$5=1,INDEX('Live History'!$B$5:$B$3004,$K1996),INDEX('AH History'!$D$5:$GG$1380,$K1996,AH!$U$10))))&gt;0),IF(AND(AH!$U$12=1,1991+1=AH!$U$6),IF(AH!$U$4=0,"unavailable",INDEX('Market Data'!$AN$5:$AN$66,AH!$U$4)),IF(AH!$U$5=1,INDEX('Live History'!$B$5:$B$3004,$K1996),INDEX('AH History'!$D$5:$GG$1380,$K1996,AH!$U$10))),NA()),NA())</f>
        <v/>
      </c>
      <c r="F1996" s="32">
        <f>IFERROR(IF(ISNUMBER($A1996),IF(AND(AH!$U$12=1,1991+1=AH!$U$6),IF(AH!$U$4=0,"unavailable",INDEX('Market Data'!$AO$5:$AO$66,AH!$U$4)),IF(AH!$U$5=1,INDEX('Live History'!$E$5:$E$3004,MATCH($A1996,'Live History'!$D$5:$D$3004,1)),INDEX('AH History'!$D$5:$GG$1380,$K1996,AH!$U$10+1))),NA()),NA())</f>
        <v/>
      </c>
      <c r="G1996" s="34">
        <f>IFERROR(IF(ISNUMBER($A1996),IF(AND(AH!$U$12=1,1991+1=AH!$U$6),IF(AH!$U$4=0,"unavailable",INDEX('Market Data'!$AK$5:$AK$66,AH!$U$4)),IF(AH!$U$5=1,INDEX('Live History'!$D$5:$D$3004,MATCH($A1996,'Live History'!$D$5:$D$3004,1)),INDEX('AH History'!$D$5:$GG$1380,$K1996,AH!$U$10+2))),NA()),NA())</f>
        <v/>
      </c>
      <c r="H1996" s="266">
        <f>IFERROR(IF(ISNUMBER($A1996),IF(AND(AH!$U$12=1,1991+1=AH!$U$6),IF(AH!$U$4=0,"unavailable",INDEX('Market Data'!$AP$5:$AP$66,AH!$U$4)),IF(AH!$U$5=1,INDEX('Live History'!$H$5:$H$3004,MATCH($A1996,'Live History'!$G$5:$G$3004,1)),INDEX('AH History'!$B$5:$B$1380,$K1996))),NA()),NA())</f>
        <v/>
      </c>
      <c r="I1996" s="34">
        <f>IFERROR(IF(ISNUMBER($A1996),IF(AND(AH!$U$12=1,1991+1=AH!$U$6),TODAY(),IF(AH!$U$5=1,INDEX('Live History'!$G$5:$G$3004,MATCH($A1996,'Live History'!$G$5:$G$3004,1)),INDEX('AH History'!$C$5:$C$1380,$K1996))),NA()),NA())</f>
        <v/>
      </c>
      <c r="J1996" s="32">
        <f>IFERROR(IF(AND($F1996&gt;0,$H1996&gt;0,$A1996-$G1996&lt;=10,$A1996-$I1996&lt;=5,$G1996&gt;0,$I1996&gt;0),$F1996*$H1996,NA()),NA())</f>
        <v/>
      </c>
      <c r="K1996" s="15">
        <f>IF($A1996="","",IF(AH!$U$5=1,IFERROR(MATCH($A1996,'Live History'!$A$5:$A$3004,0),0),AH!$U$7+1991))</f>
        <v/>
      </c>
      <c r="L1996" s="15">
        <f>IF(ISNUMBER(A1996),TEXT(A1996,"dd-mmm-yy"),"")</f>
        <v/>
      </c>
    </row>
    <row r="1997">
      <c r="A1997" s="14">
        <f>IF(OR(AH!$U$4=0,1992+1&gt;AH!$U$6,AND(AH!$M$5="Bloomberg",AH!$U$5=0)),"",IFERROR(IF(AND(AH!$U$12=1,1992+1=AH!$U$6),TODAY(),IF(AH!$U$5=1,INDEX('Live History'!$A$5:$A$3004,AH!$U$7+1992),INDEX('AH History'!$A$5:$A$1380,AH!$U$7+1992))),""))</f>
        <v/>
      </c>
      <c r="B1997" s="33">
        <f>IFERROR(IF(AH!$U$11=1,NA(),$J1997/$E1997-1),NA())</f>
        <v/>
      </c>
      <c r="C1997" s="269">
        <f>IFERROR(100*$E1997/$E$5,NA())</f>
        <v/>
      </c>
      <c r="D1997" s="269">
        <f>IFERROR(100*$J1997/$J$5,NA())</f>
        <v/>
      </c>
      <c r="E1997" s="32">
        <f>IFERROR(IF(AND(ISNUMBER($A1997),N(IF(AND(AH!$U$12=1,1992+1=AH!$U$6),IF(AH!$U$4=0,"unavailable",INDEX('Market Data'!$AN$5:$AN$66,AH!$U$4)),IF(AH!$U$5=1,INDEX('Live History'!$B$5:$B$3004,$K1997),INDEX('AH History'!$D$5:$GG$1380,$K1997,AH!$U$10))))&gt;0),IF(AND(AH!$U$12=1,1992+1=AH!$U$6),IF(AH!$U$4=0,"unavailable",INDEX('Market Data'!$AN$5:$AN$66,AH!$U$4)),IF(AH!$U$5=1,INDEX('Live History'!$B$5:$B$3004,$K1997),INDEX('AH History'!$D$5:$GG$1380,$K1997,AH!$U$10))),NA()),NA())</f>
        <v/>
      </c>
      <c r="F1997" s="32">
        <f>IFERROR(IF(ISNUMBER($A1997),IF(AND(AH!$U$12=1,1992+1=AH!$U$6),IF(AH!$U$4=0,"unavailable",INDEX('Market Data'!$AO$5:$AO$66,AH!$U$4)),IF(AH!$U$5=1,INDEX('Live History'!$E$5:$E$3004,MATCH($A1997,'Live History'!$D$5:$D$3004,1)),INDEX('AH History'!$D$5:$GG$1380,$K1997,AH!$U$10+1))),NA()),NA())</f>
        <v/>
      </c>
      <c r="G1997" s="34">
        <f>IFERROR(IF(ISNUMBER($A1997),IF(AND(AH!$U$12=1,1992+1=AH!$U$6),IF(AH!$U$4=0,"unavailable",INDEX('Market Data'!$AK$5:$AK$66,AH!$U$4)),IF(AH!$U$5=1,INDEX('Live History'!$D$5:$D$3004,MATCH($A1997,'Live History'!$D$5:$D$3004,1)),INDEX('AH History'!$D$5:$GG$1380,$K1997,AH!$U$10+2))),NA()),NA())</f>
        <v/>
      </c>
      <c r="H1997" s="266">
        <f>IFERROR(IF(ISNUMBER($A1997),IF(AND(AH!$U$12=1,1992+1=AH!$U$6),IF(AH!$U$4=0,"unavailable",INDEX('Market Data'!$AP$5:$AP$66,AH!$U$4)),IF(AH!$U$5=1,INDEX('Live History'!$H$5:$H$3004,MATCH($A1997,'Live History'!$G$5:$G$3004,1)),INDEX('AH History'!$B$5:$B$1380,$K1997))),NA()),NA())</f>
        <v/>
      </c>
      <c r="I1997" s="34">
        <f>IFERROR(IF(ISNUMBER($A1997),IF(AND(AH!$U$12=1,1992+1=AH!$U$6),TODAY(),IF(AH!$U$5=1,INDEX('Live History'!$G$5:$G$3004,MATCH($A1997,'Live History'!$G$5:$G$3004,1)),INDEX('AH History'!$C$5:$C$1380,$K1997))),NA()),NA())</f>
        <v/>
      </c>
      <c r="J1997" s="32">
        <f>IFERROR(IF(AND($F1997&gt;0,$H1997&gt;0,$A1997-$G1997&lt;=10,$A1997-$I1997&lt;=5,$G1997&gt;0,$I1997&gt;0),$F1997*$H1997,NA()),NA())</f>
        <v/>
      </c>
      <c r="K1997" s="15">
        <f>IF($A1997="","",IF(AH!$U$5=1,IFERROR(MATCH($A1997,'Live History'!$A$5:$A$3004,0),0),AH!$U$7+1992))</f>
        <v/>
      </c>
      <c r="L1997" s="15">
        <f>IF(ISNUMBER(A1997),TEXT(A1997,"dd-mmm-yy"),"")</f>
        <v/>
      </c>
    </row>
    <row r="1998">
      <c r="A1998" s="14">
        <f>IF(OR(AH!$U$4=0,1993+1&gt;AH!$U$6,AND(AH!$M$5="Bloomberg",AH!$U$5=0)),"",IFERROR(IF(AND(AH!$U$12=1,1993+1=AH!$U$6),TODAY(),IF(AH!$U$5=1,INDEX('Live History'!$A$5:$A$3004,AH!$U$7+1993),INDEX('AH History'!$A$5:$A$1380,AH!$U$7+1993))),""))</f>
        <v/>
      </c>
      <c r="B1998" s="33">
        <f>IFERROR(IF(AH!$U$11=1,NA(),$J1998/$E1998-1),NA())</f>
        <v/>
      </c>
      <c r="C1998" s="269">
        <f>IFERROR(100*$E1998/$E$5,NA())</f>
        <v/>
      </c>
      <c r="D1998" s="269">
        <f>IFERROR(100*$J1998/$J$5,NA())</f>
        <v/>
      </c>
      <c r="E1998" s="32">
        <f>IFERROR(IF(AND(ISNUMBER($A1998),N(IF(AND(AH!$U$12=1,1993+1=AH!$U$6),IF(AH!$U$4=0,"unavailable",INDEX('Market Data'!$AN$5:$AN$66,AH!$U$4)),IF(AH!$U$5=1,INDEX('Live History'!$B$5:$B$3004,$K1998),INDEX('AH History'!$D$5:$GG$1380,$K1998,AH!$U$10))))&gt;0),IF(AND(AH!$U$12=1,1993+1=AH!$U$6),IF(AH!$U$4=0,"unavailable",INDEX('Market Data'!$AN$5:$AN$66,AH!$U$4)),IF(AH!$U$5=1,INDEX('Live History'!$B$5:$B$3004,$K1998),INDEX('AH History'!$D$5:$GG$1380,$K1998,AH!$U$10))),NA()),NA())</f>
        <v/>
      </c>
      <c r="F1998" s="32">
        <f>IFERROR(IF(ISNUMBER($A1998),IF(AND(AH!$U$12=1,1993+1=AH!$U$6),IF(AH!$U$4=0,"unavailable",INDEX('Market Data'!$AO$5:$AO$66,AH!$U$4)),IF(AH!$U$5=1,INDEX('Live History'!$E$5:$E$3004,MATCH($A1998,'Live History'!$D$5:$D$3004,1)),INDEX('AH History'!$D$5:$GG$1380,$K1998,AH!$U$10+1))),NA()),NA())</f>
        <v/>
      </c>
      <c r="G1998" s="34">
        <f>IFERROR(IF(ISNUMBER($A1998),IF(AND(AH!$U$12=1,1993+1=AH!$U$6),IF(AH!$U$4=0,"unavailable",INDEX('Market Data'!$AK$5:$AK$66,AH!$U$4)),IF(AH!$U$5=1,INDEX('Live History'!$D$5:$D$3004,MATCH($A1998,'Live History'!$D$5:$D$3004,1)),INDEX('AH History'!$D$5:$GG$1380,$K1998,AH!$U$10+2))),NA()),NA())</f>
        <v/>
      </c>
      <c r="H1998" s="266">
        <f>IFERROR(IF(ISNUMBER($A1998),IF(AND(AH!$U$12=1,1993+1=AH!$U$6),IF(AH!$U$4=0,"unavailable",INDEX('Market Data'!$AP$5:$AP$66,AH!$U$4)),IF(AH!$U$5=1,INDEX('Live History'!$H$5:$H$3004,MATCH($A1998,'Live History'!$G$5:$G$3004,1)),INDEX('AH History'!$B$5:$B$1380,$K1998))),NA()),NA())</f>
        <v/>
      </c>
      <c r="I1998" s="34">
        <f>IFERROR(IF(ISNUMBER($A1998),IF(AND(AH!$U$12=1,1993+1=AH!$U$6),TODAY(),IF(AH!$U$5=1,INDEX('Live History'!$G$5:$G$3004,MATCH($A1998,'Live History'!$G$5:$G$3004,1)),INDEX('AH History'!$C$5:$C$1380,$K1998))),NA()),NA())</f>
        <v/>
      </c>
      <c r="J1998" s="32">
        <f>IFERROR(IF(AND($F1998&gt;0,$H1998&gt;0,$A1998-$G1998&lt;=10,$A1998-$I1998&lt;=5,$G1998&gt;0,$I1998&gt;0),$F1998*$H1998,NA()),NA())</f>
        <v/>
      </c>
      <c r="K1998" s="15">
        <f>IF($A1998="","",IF(AH!$U$5=1,IFERROR(MATCH($A1998,'Live History'!$A$5:$A$3004,0),0),AH!$U$7+1993))</f>
        <v/>
      </c>
      <c r="L1998" s="15">
        <f>IF(ISNUMBER(A1998),TEXT(A1998,"dd-mmm-yy"),"")</f>
        <v/>
      </c>
    </row>
    <row r="1999">
      <c r="A1999" s="14">
        <f>IF(OR(AH!$U$4=0,1994+1&gt;AH!$U$6,AND(AH!$M$5="Bloomberg",AH!$U$5=0)),"",IFERROR(IF(AND(AH!$U$12=1,1994+1=AH!$U$6),TODAY(),IF(AH!$U$5=1,INDEX('Live History'!$A$5:$A$3004,AH!$U$7+1994),INDEX('AH History'!$A$5:$A$1380,AH!$U$7+1994))),""))</f>
        <v/>
      </c>
      <c r="B1999" s="33">
        <f>IFERROR(IF(AH!$U$11=1,NA(),$J1999/$E1999-1),NA())</f>
        <v/>
      </c>
      <c r="C1999" s="269">
        <f>IFERROR(100*$E1999/$E$5,NA())</f>
        <v/>
      </c>
      <c r="D1999" s="269">
        <f>IFERROR(100*$J1999/$J$5,NA())</f>
        <v/>
      </c>
      <c r="E1999" s="32">
        <f>IFERROR(IF(AND(ISNUMBER($A1999),N(IF(AND(AH!$U$12=1,1994+1=AH!$U$6),IF(AH!$U$4=0,"unavailable",INDEX('Market Data'!$AN$5:$AN$66,AH!$U$4)),IF(AH!$U$5=1,INDEX('Live History'!$B$5:$B$3004,$K1999),INDEX('AH History'!$D$5:$GG$1380,$K1999,AH!$U$10))))&gt;0),IF(AND(AH!$U$12=1,1994+1=AH!$U$6),IF(AH!$U$4=0,"unavailable",INDEX('Market Data'!$AN$5:$AN$66,AH!$U$4)),IF(AH!$U$5=1,INDEX('Live History'!$B$5:$B$3004,$K1999),INDEX('AH History'!$D$5:$GG$1380,$K1999,AH!$U$10))),NA()),NA())</f>
        <v/>
      </c>
      <c r="F1999" s="32">
        <f>IFERROR(IF(ISNUMBER($A1999),IF(AND(AH!$U$12=1,1994+1=AH!$U$6),IF(AH!$U$4=0,"unavailable",INDEX('Market Data'!$AO$5:$AO$66,AH!$U$4)),IF(AH!$U$5=1,INDEX('Live History'!$E$5:$E$3004,MATCH($A1999,'Live History'!$D$5:$D$3004,1)),INDEX('AH History'!$D$5:$GG$1380,$K1999,AH!$U$10+1))),NA()),NA())</f>
        <v/>
      </c>
      <c r="G1999" s="34">
        <f>IFERROR(IF(ISNUMBER($A1999),IF(AND(AH!$U$12=1,1994+1=AH!$U$6),IF(AH!$U$4=0,"unavailable",INDEX('Market Data'!$AK$5:$AK$66,AH!$U$4)),IF(AH!$U$5=1,INDEX('Live History'!$D$5:$D$3004,MATCH($A1999,'Live History'!$D$5:$D$3004,1)),INDEX('AH History'!$D$5:$GG$1380,$K1999,AH!$U$10+2))),NA()),NA())</f>
        <v/>
      </c>
      <c r="H1999" s="266">
        <f>IFERROR(IF(ISNUMBER($A1999),IF(AND(AH!$U$12=1,1994+1=AH!$U$6),IF(AH!$U$4=0,"unavailable",INDEX('Market Data'!$AP$5:$AP$66,AH!$U$4)),IF(AH!$U$5=1,INDEX('Live History'!$H$5:$H$3004,MATCH($A1999,'Live History'!$G$5:$G$3004,1)),INDEX('AH History'!$B$5:$B$1380,$K1999))),NA()),NA())</f>
        <v/>
      </c>
      <c r="I1999" s="34">
        <f>IFERROR(IF(ISNUMBER($A1999),IF(AND(AH!$U$12=1,1994+1=AH!$U$6),TODAY(),IF(AH!$U$5=1,INDEX('Live History'!$G$5:$G$3004,MATCH($A1999,'Live History'!$G$5:$G$3004,1)),INDEX('AH History'!$C$5:$C$1380,$K1999))),NA()),NA())</f>
        <v/>
      </c>
      <c r="J1999" s="32">
        <f>IFERROR(IF(AND($F1999&gt;0,$H1999&gt;0,$A1999-$G1999&lt;=10,$A1999-$I1999&lt;=5,$G1999&gt;0,$I1999&gt;0),$F1999*$H1999,NA()),NA())</f>
        <v/>
      </c>
      <c r="K1999" s="15">
        <f>IF($A1999="","",IF(AH!$U$5=1,IFERROR(MATCH($A1999,'Live History'!$A$5:$A$3004,0),0),AH!$U$7+1994))</f>
        <v/>
      </c>
      <c r="L1999" s="15">
        <f>IF(ISNUMBER(A1999),TEXT(A1999,"dd-mmm-yy"),"")</f>
        <v/>
      </c>
    </row>
    <row r="2000">
      <c r="A2000" s="14">
        <f>IF(OR(AH!$U$4=0,1995+1&gt;AH!$U$6,AND(AH!$M$5="Bloomberg",AH!$U$5=0)),"",IFERROR(IF(AND(AH!$U$12=1,1995+1=AH!$U$6),TODAY(),IF(AH!$U$5=1,INDEX('Live History'!$A$5:$A$3004,AH!$U$7+1995),INDEX('AH History'!$A$5:$A$1380,AH!$U$7+1995))),""))</f>
        <v/>
      </c>
      <c r="B2000" s="33">
        <f>IFERROR(IF(AH!$U$11=1,NA(),$J2000/$E2000-1),NA())</f>
        <v/>
      </c>
      <c r="C2000" s="269">
        <f>IFERROR(100*$E2000/$E$5,NA())</f>
        <v/>
      </c>
      <c r="D2000" s="269">
        <f>IFERROR(100*$J2000/$J$5,NA())</f>
        <v/>
      </c>
      <c r="E2000" s="32">
        <f>IFERROR(IF(AND(ISNUMBER($A2000),N(IF(AND(AH!$U$12=1,1995+1=AH!$U$6),IF(AH!$U$4=0,"unavailable",INDEX('Market Data'!$AN$5:$AN$66,AH!$U$4)),IF(AH!$U$5=1,INDEX('Live History'!$B$5:$B$3004,$K2000),INDEX('AH History'!$D$5:$GG$1380,$K2000,AH!$U$10))))&gt;0),IF(AND(AH!$U$12=1,1995+1=AH!$U$6),IF(AH!$U$4=0,"unavailable",INDEX('Market Data'!$AN$5:$AN$66,AH!$U$4)),IF(AH!$U$5=1,INDEX('Live History'!$B$5:$B$3004,$K2000),INDEX('AH History'!$D$5:$GG$1380,$K2000,AH!$U$10))),NA()),NA())</f>
        <v/>
      </c>
      <c r="F2000" s="32">
        <f>IFERROR(IF(ISNUMBER($A2000),IF(AND(AH!$U$12=1,1995+1=AH!$U$6),IF(AH!$U$4=0,"unavailable",INDEX('Market Data'!$AO$5:$AO$66,AH!$U$4)),IF(AH!$U$5=1,INDEX('Live History'!$E$5:$E$3004,MATCH($A2000,'Live History'!$D$5:$D$3004,1)),INDEX('AH History'!$D$5:$GG$1380,$K2000,AH!$U$10+1))),NA()),NA())</f>
        <v/>
      </c>
      <c r="G2000" s="34">
        <f>IFERROR(IF(ISNUMBER($A2000),IF(AND(AH!$U$12=1,1995+1=AH!$U$6),IF(AH!$U$4=0,"unavailable",INDEX('Market Data'!$AK$5:$AK$66,AH!$U$4)),IF(AH!$U$5=1,INDEX('Live History'!$D$5:$D$3004,MATCH($A2000,'Live History'!$D$5:$D$3004,1)),INDEX('AH History'!$D$5:$GG$1380,$K2000,AH!$U$10+2))),NA()),NA())</f>
        <v/>
      </c>
      <c r="H2000" s="266">
        <f>IFERROR(IF(ISNUMBER($A2000),IF(AND(AH!$U$12=1,1995+1=AH!$U$6),IF(AH!$U$4=0,"unavailable",INDEX('Market Data'!$AP$5:$AP$66,AH!$U$4)),IF(AH!$U$5=1,INDEX('Live History'!$H$5:$H$3004,MATCH($A2000,'Live History'!$G$5:$G$3004,1)),INDEX('AH History'!$B$5:$B$1380,$K2000))),NA()),NA())</f>
        <v/>
      </c>
      <c r="I2000" s="34">
        <f>IFERROR(IF(ISNUMBER($A2000),IF(AND(AH!$U$12=1,1995+1=AH!$U$6),TODAY(),IF(AH!$U$5=1,INDEX('Live History'!$G$5:$G$3004,MATCH($A2000,'Live History'!$G$5:$G$3004,1)),INDEX('AH History'!$C$5:$C$1380,$K2000))),NA()),NA())</f>
        <v/>
      </c>
      <c r="J2000" s="32">
        <f>IFERROR(IF(AND($F2000&gt;0,$H2000&gt;0,$A2000-$G2000&lt;=10,$A2000-$I2000&lt;=5,$G2000&gt;0,$I2000&gt;0),$F2000*$H2000,NA()),NA())</f>
        <v/>
      </c>
      <c r="K2000" s="15">
        <f>IF($A2000="","",IF(AH!$U$5=1,IFERROR(MATCH($A2000,'Live History'!$A$5:$A$3004,0),0),AH!$U$7+1995))</f>
        <v/>
      </c>
      <c r="L2000" s="15">
        <f>IF(ISNUMBER(A2000),TEXT(A2000,"dd-mmm-yy"),"")</f>
        <v/>
      </c>
    </row>
    <row r="2001">
      <c r="A2001" s="14">
        <f>IF(OR(AH!$U$4=0,1996+1&gt;AH!$U$6,AND(AH!$M$5="Bloomberg",AH!$U$5=0)),"",IFERROR(IF(AND(AH!$U$12=1,1996+1=AH!$U$6),TODAY(),IF(AH!$U$5=1,INDEX('Live History'!$A$5:$A$3004,AH!$U$7+1996),INDEX('AH History'!$A$5:$A$1380,AH!$U$7+1996))),""))</f>
        <v/>
      </c>
      <c r="B2001" s="33">
        <f>IFERROR(IF(AH!$U$11=1,NA(),$J2001/$E2001-1),NA())</f>
        <v/>
      </c>
      <c r="C2001" s="269">
        <f>IFERROR(100*$E2001/$E$5,NA())</f>
        <v/>
      </c>
      <c r="D2001" s="269">
        <f>IFERROR(100*$J2001/$J$5,NA())</f>
        <v/>
      </c>
      <c r="E2001" s="32">
        <f>IFERROR(IF(AND(ISNUMBER($A2001),N(IF(AND(AH!$U$12=1,1996+1=AH!$U$6),IF(AH!$U$4=0,"unavailable",INDEX('Market Data'!$AN$5:$AN$66,AH!$U$4)),IF(AH!$U$5=1,INDEX('Live History'!$B$5:$B$3004,$K2001),INDEX('AH History'!$D$5:$GG$1380,$K2001,AH!$U$10))))&gt;0),IF(AND(AH!$U$12=1,1996+1=AH!$U$6),IF(AH!$U$4=0,"unavailable",INDEX('Market Data'!$AN$5:$AN$66,AH!$U$4)),IF(AH!$U$5=1,INDEX('Live History'!$B$5:$B$3004,$K2001),INDEX('AH History'!$D$5:$GG$1380,$K2001,AH!$U$10))),NA()),NA())</f>
        <v/>
      </c>
      <c r="F2001" s="32">
        <f>IFERROR(IF(ISNUMBER($A2001),IF(AND(AH!$U$12=1,1996+1=AH!$U$6),IF(AH!$U$4=0,"unavailable",INDEX('Market Data'!$AO$5:$AO$66,AH!$U$4)),IF(AH!$U$5=1,INDEX('Live History'!$E$5:$E$3004,MATCH($A2001,'Live History'!$D$5:$D$3004,1)),INDEX('AH History'!$D$5:$GG$1380,$K2001,AH!$U$10+1))),NA()),NA())</f>
        <v/>
      </c>
      <c r="G2001" s="34">
        <f>IFERROR(IF(ISNUMBER($A2001),IF(AND(AH!$U$12=1,1996+1=AH!$U$6),IF(AH!$U$4=0,"unavailable",INDEX('Market Data'!$AK$5:$AK$66,AH!$U$4)),IF(AH!$U$5=1,INDEX('Live History'!$D$5:$D$3004,MATCH($A2001,'Live History'!$D$5:$D$3004,1)),INDEX('AH History'!$D$5:$GG$1380,$K2001,AH!$U$10+2))),NA()),NA())</f>
        <v/>
      </c>
      <c r="H2001" s="266">
        <f>IFERROR(IF(ISNUMBER($A2001),IF(AND(AH!$U$12=1,1996+1=AH!$U$6),IF(AH!$U$4=0,"unavailable",INDEX('Market Data'!$AP$5:$AP$66,AH!$U$4)),IF(AH!$U$5=1,INDEX('Live History'!$H$5:$H$3004,MATCH($A2001,'Live History'!$G$5:$G$3004,1)),INDEX('AH History'!$B$5:$B$1380,$K2001))),NA()),NA())</f>
        <v/>
      </c>
      <c r="I2001" s="34">
        <f>IFERROR(IF(ISNUMBER($A2001),IF(AND(AH!$U$12=1,1996+1=AH!$U$6),TODAY(),IF(AH!$U$5=1,INDEX('Live History'!$G$5:$G$3004,MATCH($A2001,'Live History'!$G$5:$G$3004,1)),INDEX('AH History'!$C$5:$C$1380,$K2001))),NA()),NA())</f>
        <v/>
      </c>
      <c r="J2001" s="32">
        <f>IFERROR(IF(AND($F2001&gt;0,$H2001&gt;0,$A2001-$G2001&lt;=10,$A2001-$I2001&lt;=5,$G2001&gt;0,$I2001&gt;0),$F2001*$H2001,NA()),NA())</f>
        <v/>
      </c>
      <c r="K2001" s="15">
        <f>IF($A2001="","",IF(AH!$U$5=1,IFERROR(MATCH($A2001,'Live History'!$A$5:$A$3004,0),0),AH!$U$7+1996))</f>
        <v/>
      </c>
      <c r="L2001" s="15">
        <f>IF(ISNUMBER(A2001),TEXT(A2001,"dd-mmm-yy"),"")</f>
        <v/>
      </c>
    </row>
    <row r="2002">
      <c r="A2002" s="14">
        <f>IF(OR(AH!$U$4=0,1997+1&gt;AH!$U$6,AND(AH!$M$5="Bloomberg",AH!$U$5=0)),"",IFERROR(IF(AND(AH!$U$12=1,1997+1=AH!$U$6),TODAY(),IF(AH!$U$5=1,INDEX('Live History'!$A$5:$A$3004,AH!$U$7+1997),INDEX('AH History'!$A$5:$A$1380,AH!$U$7+1997))),""))</f>
        <v/>
      </c>
      <c r="B2002" s="33">
        <f>IFERROR(IF(AH!$U$11=1,NA(),$J2002/$E2002-1),NA())</f>
        <v/>
      </c>
      <c r="C2002" s="269">
        <f>IFERROR(100*$E2002/$E$5,NA())</f>
        <v/>
      </c>
      <c r="D2002" s="269">
        <f>IFERROR(100*$J2002/$J$5,NA())</f>
        <v/>
      </c>
      <c r="E2002" s="32">
        <f>IFERROR(IF(AND(ISNUMBER($A2002),N(IF(AND(AH!$U$12=1,1997+1=AH!$U$6),IF(AH!$U$4=0,"unavailable",INDEX('Market Data'!$AN$5:$AN$66,AH!$U$4)),IF(AH!$U$5=1,INDEX('Live History'!$B$5:$B$3004,$K2002),INDEX('AH History'!$D$5:$GG$1380,$K2002,AH!$U$10))))&gt;0),IF(AND(AH!$U$12=1,1997+1=AH!$U$6),IF(AH!$U$4=0,"unavailable",INDEX('Market Data'!$AN$5:$AN$66,AH!$U$4)),IF(AH!$U$5=1,INDEX('Live History'!$B$5:$B$3004,$K2002),INDEX('AH History'!$D$5:$GG$1380,$K2002,AH!$U$10))),NA()),NA())</f>
        <v/>
      </c>
      <c r="F2002" s="32">
        <f>IFERROR(IF(ISNUMBER($A2002),IF(AND(AH!$U$12=1,1997+1=AH!$U$6),IF(AH!$U$4=0,"unavailable",INDEX('Market Data'!$AO$5:$AO$66,AH!$U$4)),IF(AH!$U$5=1,INDEX('Live History'!$E$5:$E$3004,MATCH($A2002,'Live History'!$D$5:$D$3004,1)),INDEX('AH History'!$D$5:$GG$1380,$K2002,AH!$U$10+1))),NA()),NA())</f>
        <v/>
      </c>
      <c r="G2002" s="34">
        <f>IFERROR(IF(ISNUMBER($A2002),IF(AND(AH!$U$12=1,1997+1=AH!$U$6),IF(AH!$U$4=0,"unavailable",INDEX('Market Data'!$AK$5:$AK$66,AH!$U$4)),IF(AH!$U$5=1,INDEX('Live History'!$D$5:$D$3004,MATCH($A2002,'Live History'!$D$5:$D$3004,1)),INDEX('AH History'!$D$5:$GG$1380,$K2002,AH!$U$10+2))),NA()),NA())</f>
        <v/>
      </c>
      <c r="H2002" s="266">
        <f>IFERROR(IF(ISNUMBER($A2002),IF(AND(AH!$U$12=1,1997+1=AH!$U$6),IF(AH!$U$4=0,"unavailable",INDEX('Market Data'!$AP$5:$AP$66,AH!$U$4)),IF(AH!$U$5=1,INDEX('Live History'!$H$5:$H$3004,MATCH($A2002,'Live History'!$G$5:$G$3004,1)),INDEX('AH History'!$B$5:$B$1380,$K2002))),NA()),NA())</f>
        <v/>
      </c>
      <c r="I2002" s="34">
        <f>IFERROR(IF(ISNUMBER($A2002),IF(AND(AH!$U$12=1,1997+1=AH!$U$6),TODAY(),IF(AH!$U$5=1,INDEX('Live History'!$G$5:$G$3004,MATCH($A2002,'Live History'!$G$5:$G$3004,1)),INDEX('AH History'!$C$5:$C$1380,$K2002))),NA()),NA())</f>
        <v/>
      </c>
      <c r="J2002" s="32">
        <f>IFERROR(IF(AND($F2002&gt;0,$H2002&gt;0,$A2002-$G2002&lt;=10,$A2002-$I2002&lt;=5,$G2002&gt;0,$I2002&gt;0),$F2002*$H2002,NA()),NA())</f>
        <v/>
      </c>
      <c r="K2002" s="15">
        <f>IF($A2002="","",IF(AH!$U$5=1,IFERROR(MATCH($A2002,'Live History'!$A$5:$A$3004,0),0),AH!$U$7+1997))</f>
        <v/>
      </c>
      <c r="L2002" s="15">
        <f>IF(ISNUMBER(A2002),TEXT(A2002,"dd-mmm-yy"),"")</f>
        <v/>
      </c>
    </row>
    <row r="2003">
      <c r="A2003" s="14">
        <f>IF(OR(AH!$U$4=0,1998+1&gt;AH!$U$6,AND(AH!$M$5="Bloomberg",AH!$U$5=0)),"",IFERROR(IF(AND(AH!$U$12=1,1998+1=AH!$U$6),TODAY(),IF(AH!$U$5=1,INDEX('Live History'!$A$5:$A$3004,AH!$U$7+1998),INDEX('AH History'!$A$5:$A$1380,AH!$U$7+1998))),""))</f>
        <v/>
      </c>
      <c r="B2003" s="33">
        <f>IFERROR(IF(AH!$U$11=1,NA(),$J2003/$E2003-1),NA())</f>
        <v/>
      </c>
      <c r="C2003" s="269">
        <f>IFERROR(100*$E2003/$E$5,NA())</f>
        <v/>
      </c>
      <c r="D2003" s="269">
        <f>IFERROR(100*$J2003/$J$5,NA())</f>
        <v/>
      </c>
      <c r="E2003" s="32">
        <f>IFERROR(IF(AND(ISNUMBER($A2003),N(IF(AND(AH!$U$12=1,1998+1=AH!$U$6),IF(AH!$U$4=0,"unavailable",INDEX('Market Data'!$AN$5:$AN$66,AH!$U$4)),IF(AH!$U$5=1,INDEX('Live History'!$B$5:$B$3004,$K2003),INDEX('AH History'!$D$5:$GG$1380,$K2003,AH!$U$10))))&gt;0),IF(AND(AH!$U$12=1,1998+1=AH!$U$6),IF(AH!$U$4=0,"unavailable",INDEX('Market Data'!$AN$5:$AN$66,AH!$U$4)),IF(AH!$U$5=1,INDEX('Live History'!$B$5:$B$3004,$K2003),INDEX('AH History'!$D$5:$GG$1380,$K2003,AH!$U$10))),NA()),NA())</f>
        <v/>
      </c>
      <c r="F2003" s="32">
        <f>IFERROR(IF(ISNUMBER($A2003),IF(AND(AH!$U$12=1,1998+1=AH!$U$6),IF(AH!$U$4=0,"unavailable",INDEX('Market Data'!$AO$5:$AO$66,AH!$U$4)),IF(AH!$U$5=1,INDEX('Live History'!$E$5:$E$3004,MATCH($A2003,'Live History'!$D$5:$D$3004,1)),INDEX('AH History'!$D$5:$GG$1380,$K2003,AH!$U$10+1))),NA()),NA())</f>
        <v/>
      </c>
      <c r="G2003" s="34">
        <f>IFERROR(IF(ISNUMBER($A2003),IF(AND(AH!$U$12=1,1998+1=AH!$U$6),IF(AH!$U$4=0,"unavailable",INDEX('Market Data'!$AK$5:$AK$66,AH!$U$4)),IF(AH!$U$5=1,INDEX('Live History'!$D$5:$D$3004,MATCH($A2003,'Live History'!$D$5:$D$3004,1)),INDEX('AH History'!$D$5:$GG$1380,$K2003,AH!$U$10+2))),NA()),NA())</f>
        <v/>
      </c>
      <c r="H2003" s="266">
        <f>IFERROR(IF(ISNUMBER($A2003),IF(AND(AH!$U$12=1,1998+1=AH!$U$6),IF(AH!$U$4=0,"unavailable",INDEX('Market Data'!$AP$5:$AP$66,AH!$U$4)),IF(AH!$U$5=1,INDEX('Live History'!$H$5:$H$3004,MATCH($A2003,'Live History'!$G$5:$G$3004,1)),INDEX('AH History'!$B$5:$B$1380,$K2003))),NA()),NA())</f>
        <v/>
      </c>
      <c r="I2003" s="34">
        <f>IFERROR(IF(ISNUMBER($A2003),IF(AND(AH!$U$12=1,1998+1=AH!$U$6),TODAY(),IF(AH!$U$5=1,INDEX('Live History'!$G$5:$G$3004,MATCH($A2003,'Live History'!$G$5:$G$3004,1)),INDEX('AH History'!$C$5:$C$1380,$K2003))),NA()),NA())</f>
        <v/>
      </c>
      <c r="J2003" s="32">
        <f>IFERROR(IF(AND($F2003&gt;0,$H2003&gt;0,$A2003-$G2003&lt;=10,$A2003-$I2003&lt;=5,$G2003&gt;0,$I2003&gt;0),$F2003*$H2003,NA()),NA())</f>
        <v/>
      </c>
      <c r="K2003" s="15">
        <f>IF($A2003="","",IF(AH!$U$5=1,IFERROR(MATCH($A2003,'Live History'!$A$5:$A$3004,0),0),AH!$U$7+1998))</f>
        <v/>
      </c>
      <c r="L2003" s="15">
        <f>IF(ISNUMBER(A2003),TEXT(A2003,"dd-mmm-yy"),"")</f>
        <v/>
      </c>
    </row>
    <row r="2004">
      <c r="A2004" s="14">
        <f>IF(OR(AH!$U$4=0,1999+1&gt;AH!$U$6,AND(AH!$M$5="Bloomberg",AH!$U$5=0)),"",IFERROR(IF(AND(AH!$U$12=1,1999+1=AH!$U$6),TODAY(),IF(AH!$U$5=1,INDEX('Live History'!$A$5:$A$3004,AH!$U$7+1999),INDEX('AH History'!$A$5:$A$1380,AH!$U$7+1999))),""))</f>
        <v/>
      </c>
      <c r="B2004" s="33">
        <f>IFERROR(IF(AH!$U$11=1,NA(),$J2004/$E2004-1),NA())</f>
        <v/>
      </c>
      <c r="C2004" s="269">
        <f>IFERROR(100*$E2004/$E$5,NA())</f>
        <v/>
      </c>
      <c r="D2004" s="269">
        <f>IFERROR(100*$J2004/$J$5,NA())</f>
        <v/>
      </c>
      <c r="E2004" s="32">
        <f>IFERROR(IF(AND(ISNUMBER($A2004),N(IF(AND(AH!$U$12=1,1999+1=AH!$U$6),IF(AH!$U$4=0,"unavailable",INDEX('Market Data'!$AN$5:$AN$66,AH!$U$4)),IF(AH!$U$5=1,INDEX('Live History'!$B$5:$B$3004,$K2004),INDEX('AH History'!$D$5:$GG$1380,$K2004,AH!$U$10))))&gt;0),IF(AND(AH!$U$12=1,1999+1=AH!$U$6),IF(AH!$U$4=0,"unavailable",INDEX('Market Data'!$AN$5:$AN$66,AH!$U$4)),IF(AH!$U$5=1,INDEX('Live History'!$B$5:$B$3004,$K2004),INDEX('AH History'!$D$5:$GG$1380,$K2004,AH!$U$10))),NA()),NA())</f>
        <v/>
      </c>
      <c r="F2004" s="32">
        <f>IFERROR(IF(ISNUMBER($A2004),IF(AND(AH!$U$12=1,1999+1=AH!$U$6),IF(AH!$U$4=0,"unavailable",INDEX('Market Data'!$AO$5:$AO$66,AH!$U$4)),IF(AH!$U$5=1,INDEX('Live History'!$E$5:$E$3004,MATCH($A2004,'Live History'!$D$5:$D$3004,1)),INDEX('AH History'!$D$5:$GG$1380,$K2004,AH!$U$10+1))),NA()),NA())</f>
        <v/>
      </c>
      <c r="G2004" s="34">
        <f>IFERROR(IF(ISNUMBER($A2004),IF(AND(AH!$U$12=1,1999+1=AH!$U$6),IF(AH!$U$4=0,"unavailable",INDEX('Market Data'!$AK$5:$AK$66,AH!$U$4)),IF(AH!$U$5=1,INDEX('Live History'!$D$5:$D$3004,MATCH($A2004,'Live History'!$D$5:$D$3004,1)),INDEX('AH History'!$D$5:$GG$1380,$K2004,AH!$U$10+2))),NA()),NA())</f>
        <v/>
      </c>
      <c r="H2004" s="266">
        <f>IFERROR(IF(ISNUMBER($A2004),IF(AND(AH!$U$12=1,1999+1=AH!$U$6),IF(AH!$U$4=0,"unavailable",INDEX('Market Data'!$AP$5:$AP$66,AH!$U$4)),IF(AH!$U$5=1,INDEX('Live History'!$H$5:$H$3004,MATCH($A2004,'Live History'!$G$5:$G$3004,1)),INDEX('AH History'!$B$5:$B$1380,$K2004))),NA()),NA())</f>
        <v/>
      </c>
      <c r="I2004" s="34">
        <f>IFERROR(IF(ISNUMBER($A2004),IF(AND(AH!$U$12=1,1999+1=AH!$U$6),TODAY(),IF(AH!$U$5=1,INDEX('Live History'!$G$5:$G$3004,MATCH($A2004,'Live History'!$G$5:$G$3004,1)),INDEX('AH History'!$C$5:$C$1380,$K2004))),NA()),NA())</f>
        <v/>
      </c>
      <c r="J2004" s="32">
        <f>IFERROR(IF(AND($F2004&gt;0,$H2004&gt;0,$A2004-$G2004&lt;=10,$A2004-$I2004&lt;=5,$G2004&gt;0,$I2004&gt;0),$F2004*$H2004,NA()),NA())</f>
        <v/>
      </c>
      <c r="K2004" s="15">
        <f>IF($A2004="","",IF(AH!$U$5=1,IFERROR(MATCH($A2004,'Live History'!$A$5:$A$3004,0),0),AH!$U$7+1999))</f>
        <v/>
      </c>
      <c r="L2004" s="15">
        <f>IF(ISNUMBER(A2004),TEXT(A2004,"dd-mmm-yy"),"")</f>
        <v/>
      </c>
    </row>
    <row r="2005">
      <c r="A2005" s="14">
        <f>IF(OR(AH!$U$4=0,2000+1&gt;AH!$U$6,AND(AH!$M$5="Bloomberg",AH!$U$5=0)),"",IFERROR(IF(AND(AH!$U$12=1,2000+1=AH!$U$6),TODAY(),IF(AH!$U$5=1,INDEX('Live History'!$A$5:$A$3004,AH!$U$7+2000),INDEX('AH History'!$A$5:$A$1380,AH!$U$7+2000))),""))</f>
        <v/>
      </c>
      <c r="B2005" s="33">
        <f>IFERROR(IF(AH!$U$11=1,NA(),$J2005/$E2005-1),NA())</f>
        <v/>
      </c>
      <c r="C2005" s="269">
        <f>IFERROR(100*$E2005/$E$5,NA())</f>
        <v/>
      </c>
      <c r="D2005" s="269">
        <f>IFERROR(100*$J2005/$J$5,NA())</f>
        <v/>
      </c>
      <c r="E2005" s="32">
        <f>IFERROR(IF(AND(ISNUMBER($A2005),N(IF(AND(AH!$U$12=1,2000+1=AH!$U$6),IF(AH!$U$4=0,"unavailable",INDEX('Market Data'!$AN$5:$AN$66,AH!$U$4)),IF(AH!$U$5=1,INDEX('Live History'!$B$5:$B$3004,$K2005),INDEX('AH History'!$D$5:$GG$1380,$K2005,AH!$U$10))))&gt;0),IF(AND(AH!$U$12=1,2000+1=AH!$U$6),IF(AH!$U$4=0,"unavailable",INDEX('Market Data'!$AN$5:$AN$66,AH!$U$4)),IF(AH!$U$5=1,INDEX('Live History'!$B$5:$B$3004,$K2005),INDEX('AH History'!$D$5:$GG$1380,$K2005,AH!$U$10))),NA()),NA())</f>
        <v/>
      </c>
      <c r="F2005" s="32">
        <f>IFERROR(IF(ISNUMBER($A2005),IF(AND(AH!$U$12=1,2000+1=AH!$U$6),IF(AH!$U$4=0,"unavailable",INDEX('Market Data'!$AO$5:$AO$66,AH!$U$4)),IF(AH!$U$5=1,INDEX('Live History'!$E$5:$E$3004,MATCH($A2005,'Live History'!$D$5:$D$3004,1)),INDEX('AH History'!$D$5:$GG$1380,$K2005,AH!$U$10+1))),NA()),NA())</f>
        <v/>
      </c>
      <c r="G2005" s="34">
        <f>IFERROR(IF(ISNUMBER($A2005),IF(AND(AH!$U$12=1,2000+1=AH!$U$6),IF(AH!$U$4=0,"unavailable",INDEX('Market Data'!$AK$5:$AK$66,AH!$U$4)),IF(AH!$U$5=1,INDEX('Live History'!$D$5:$D$3004,MATCH($A2005,'Live History'!$D$5:$D$3004,1)),INDEX('AH History'!$D$5:$GG$1380,$K2005,AH!$U$10+2))),NA()),NA())</f>
        <v/>
      </c>
      <c r="H2005" s="266">
        <f>IFERROR(IF(ISNUMBER($A2005),IF(AND(AH!$U$12=1,2000+1=AH!$U$6),IF(AH!$U$4=0,"unavailable",INDEX('Market Data'!$AP$5:$AP$66,AH!$U$4)),IF(AH!$U$5=1,INDEX('Live History'!$H$5:$H$3004,MATCH($A2005,'Live History'!$G$5:$G$3004,1)),INDEX('AH History'!$B$5:$B$1380,$K2005))),NA()),NA())</f>
        <v/>
      </c>
      <c r="I2005" s="34">
        <f>IFERROR(IF(ISNUMBER($A2005),IF(AND(AH!$U$12=1,2000+1=AH!$U$6),TODAY(),IF(AH!$U$5=1,INDEX('Live History'!$G$5:$G$3004,MATCH($A2005,'Live History'!$G$5:$G$3004,1)),INDEX('AH History'!$C$5:$C$1380,$K2005))),NA()),NA())</f>
        <v/>
      </c>
      <c r="J2005" s="32">
        <f>IFERROR(IF(AND($F2005&gt;0,$H2005&gt;0,$A2005-$G2005&lt;=10,$A2005-$I2005&lt;=5,$G2005&gt;0,$I2005&gt;0),$F2005*$H2005,NA()),NA())</f>
        <v/>
      </c>
      <c r="K2005" s="15">
        <f>IF($A2005="","",IF(AH!$U$5=1,IFERROR(MATCH($A2005,'Live History'!$A$5:$A$3004,0),0),AH!$U$7+2000))</f>
        <v/>
      </c>
      <c r="L2005" s="15">
        <f>IF(ISNUMBER(A2005),TEXT(A2005,"dd-mmm-yy"),"")</f>
        <v/>
      </c>
    </row>
    <row r="2006">
      <c r="A2006" s="14">
        <f>IF(OR(AH!$U$4=0,2001+1&gt;AH!$U$6,AND(AH!$M$5="Bloomberg",AH!$U$5=0)),"",IFERROR(IF(AND(AH!$U$12=1,2001+1=AH!$U$6),TODAY(),IF(AH!$U$5=1,INDEX('Live History'!$A$5:$A$3004,AH!$U$7+2001),INDEX('AH History'!$A$5:$A$1380,AH!$U$7+2001))),""))</f>
        <v/>
      </c>
      <c r="B2006" s="33">
        <f>IFERROR(IF(AH!$U$11=1,NA(),$J2006/$E2006-1),NA())</f>
        <v/>
      </c>
      <c r="C2006" s="269">
        <f>IFERROR(100*$E2006/$E$5,NA())</f>
        <v/>
      </c>
      <c r="D2006" s="269">
        <f>IFERROR(100*$J2006/$J$5,NA())</f>
        <v/>
      </c>
      <c r="E2006" s="32">
        <f>IFERROR(IF(AND(ISNUMBER($A2006),N(IF(AND(AH!$U$12=1,2001+1=AH!$U$6),IF(AH!$U$4=0,"unavailable",INDEX('Market Data'!$AN$5:$AN$66,AH!$U$4)),IF(AH!$U$5=1,INDEX('Live History'!$B$5:$B$3004,$K2006),INDEX('AH History'!$D$5:$GG$1380,$K2006,AH!$U$10))))&gt;0),IF(AND(AH!$U$12=1,2001+1=AH!$U$6),IF(AH!$U$4=0,"unavailable",INDEX('Market Data'!$AN$5:$AN$66,AH!$U$4)),IF(AH!$U$5=1,INDEX('Live History'!$B$5:$B$3004,$K2006),INDEX('AH History'!$D$5:$GG$1380,$K2006,AH!$U$10))),NA()),NA())</f>
        <v/>
      </c>
      <c r="F2006" s="32">
        <f>IFERROR(IF(ISNUMBER($A2006),IF(AND(AH!$U$12=1,2001+1=AH!$U$6),IF(AH!$U$4=0,"unavailable",INDEX('Market Data'!$AO$5:$AO$66,AH!$U$4)),IF(AH!$U$5=1,INDEX('Live History'!$E$5:$E$3004,MATCH($A2006,'Live History'!$D$5:$D$3004,1)),INDEX('AH History'!$D$5:$GG$1380,$K2006,AH!$U$10+1))),NA()),NA())</f>
        <v/>
      </c>
      <c r="G2006" s="34">
        <f>IFERROR(IF(ISNUMBER($A2006),IF(AND(AH!$U$12=1,2001+1=AH!$U$6),IF(AH!$U$4=0,"unavailable",INDEX('Market Data'!$AK$5:$AK$66,AH!$U$4)),IF(AH!$U$5=1,INDEX('Live History'!$D$5:$D$3004,MATCH($A2006,'Live History'!$D$5:$D$3004,1)),INDEX('AH History'!$D$5:$GG$1380,$K2006,AH!$U$10+2))),NA()),NA())</f>
        <v/>
      </c>
      <c r="H2006" s="266">
        <f>IFERROR(IF(ISNUMBER($A2006),IF(AND(AH!$U$12=1,2001+1=AH!$U$6),IF(AH!$U$4=0,"unavailable",INDEX('Market Data'!$AP$5:$AP$66,AH!$U$4)),IF(AH!$U$5=1,INDEX('Live History'!$H$5:$H$3004,MATCH($A2006,'Live History'!$G$5:$G$3004,1)),INDEX('AH History'!$B$5:$B$1380,$K2006))),NA()),NA())</f>
        <v/>
      </c>
      <c r="I2006" s="34">
        <f>IFERROR(IF(ISNUMBER($A2006),IF(AND(AH!$U$12=1,2001+1=AH!$U$6),TODAY(),IF(AH!$U$5=1,INDEX('Live History'!$G$5:$G$3004,MATCH($A2006,'Live History'!$G$5:$G$3004,1)),INDEX('AH History'!$C$5:$C$1380,$K2006))),NA()),NA())</f>
        <v/>
      </c>
      <c r="J2006" s="32">
        <f>IFERROR(IF(AND($F2006&gt;0,$H2006&gt;0,$A2006-$G2006&lt;=10,$A2006-$I2006&lt;=5,$G2006&gt;0,$I2006&gt;0),$F2006*$H2006,NA()),NA())</f>
        <v/>
      </c>
      <c r="K2006" s="15">
        <f>IF($A2006="","",IF(AH!$U$5=1,IFERROR(MATCH($A2006,'Live History'!$A$5:$A$3004,0),0),AH!$U$7+2001))</f>
        <v/>
      </c>
      <c r="L2006" s="15">
        <f>IF(ISNUMBER(A2006),TEXT(A2006,"dd-mmm-yy"),"")</f>
        <v/>
      </c>
    </row>
    <row r="2007">
      <c r="A2007" s="14">
        <f>IF(OR(AH!$U$4=0,2002+1&gt;AH!$U$6,AND(AH!$M$5="Bloomberg",AH!$U$5=0)),"",IFERROR(IF(AND(AH!$U$12=1,2002+1=AH!$U$6),TODAY(),IF(AH!$U$5=1,INDEX('Live History'!$A$5:$A$3004,AH!$U$7+2002),INDEX('AH History'!$A$5:$A$1380,AH!$U$7+2002))),""))</f>
        <v/>
      </c>
      <c r="B2007" s="33">
        <f>IFERROR(IF(AH!$U$11=1,NA(),$J2007/$E2007-1),NA())</f>
        <v/>
      </c>
      <c r="C2007" s="269">
        <f>IFERROR(100*$E2007/$E$5,NA())</f>
        <v/>
      </c>
      <c r="D2007" s="269">
        <f>IFERROR(100*$J2007/$J$5,NA())</f>
        <v/>
      </c>
      <c r="E2007" s="32">
        <f>IFERROR(IF(AND(ISNUMBER($A2007),N(IF(AND(AH!$U$12=1,2002+1=AH!$U$6),IF(AH!$U$4=0,"unavailable",INDEX('Market Data'!$AN$5:$AN$66,AH!$U$4)),IF(AH!$U$5=1,INDEX('Live History'!$B$5:$B$3004,$K2007),INDEX('AH History'!$D$5:$GG$1380,$K2007,AH!$U$10))))&gt;0),IF(AND(AH!$U$12=1,2002+1=AH!$U$6),IF(AH!$U$4=0,"unavailable",INDEX('Market Data'!$AN$5:$AN$66,AH!$U$4)),IF(AH!$U$5=1,INDEX('Live History'!$B$5:$B$3004,$K2007),INDEX('AH History'!$D$5:$GG$1380,$K2007,AH!$U$10))),NA()),NA())</f>
        <v/>
      </c>
      <c r="F2007" s="32">
        <f>IFERROR(IF(ISNUMBER($A2007),IF(AND(AH!$U$12=1,2002+1=AH!$U$6),IF(AH!$U$4=0,"unavailable",INDEX('Market Data'!$AO$5:$AO$66,AH!$U$4)),IF(AH!$U$5=1,INDEX('Live History'!$E$5:$E$3004,MATCH($A2007,'Live History'!$D$5:$D$3004,1)),INDEX('AH History'!$D$5:$GG$1380,$K2007,AH!$U$10+1))),NA()),NA())</f>
        <v/>
      </c>
      <c r="G2007" s="34">
        <f>IFERROR(IF(ISNUMBER($A2007),IF(AND(AH!$U$12=1,2002+1=AH!$U$6),IF(AH!$U$4=0,"unavailable",INDEX('Market Data'!$AK$5:$AK$66,AH!$U$4)),IF(AH!$U$5=1,INDEX('Live History'!$D$5:$D$3004,MATCH($A2007,'Live History'!$D$5:$D$3004,1)),INDEX('AH History'!$D$5:$GG$1380,$K2007,AH!$U$10+2))),NA()),NA())</f>
        <v/>
      </c>
      <c r="H2007" s="266">
        <f>IFERROR(IF(ISNUMBER($A2007),IF(AND(AH!$U$12=1,2002+1=AH!$U$6),IF(AH!$U$4=0,"unavailable",INDEX('Market Data'!$AP$5:$AP$66,AH!$U$4)),IF(AH!$U$5=1,INDEX('Live History'!$H$5:$H$3004,MATCH($A2007,'Live History'!$G$5:$G$3004,1)),INDEX('AH History'!$B$5:$B$1380,$K2007))),NA()),NA())</f>
        <v/>
      </c>
      <c r="I2007" s="34">
        <f>IFERROR(IF(ISNUMBER($A2007),IF(AND(AH!$U$12=1,2002+1=AH!$U$6),TODAY(),IF(AH!$U$5=1,INDEX('Live History'!$G$5:$G$3004,MATCH($A2007,'Live History'!$G$5:$G$3004,1)),INDEX('AH History'!$C$5:$C$1380,$K2007))),NA()),NA())</f>
        <v/>
      </c>
      <c r="J2007" s="32">
        <f>IFERROR(IF(AND($F2007&gt;0,$H2007&gt;0,$A2007-$G2007&lt;=10,$A2007-$I2007&lt;=5,$G2007&gt;0,$I2007&gt;0),$F2007*$H2007,NA()),NA())</f>
        <v/>
      </c>
      <c r="K2007" s="15">
        <f>IF($A2007="","",IF(AH!$U$5=1,IFERROR(MATCH($A2007,'Live History'!$A$5:$A$3004,0),0),AH!$U$7+2002))</f>
        <v/>
      </c>
      <c r="L2007" s="15">
        <f>IF(ISNUMBER(A2007),TEXT(A2007,"dd-mmm-yy"),"")</f>
        <v/>
      </c>
    </row>
    <row r="2008">
      <c r="A2008" s="14">
        <f>IF(OR(AH!$U$4=0,2003+1&gt;AH!$U$6,AND(AH!$M$5="Bloomberg",AH!$U$5=0)),"",IFERROR(IF(AND(AH!$U$12=1,2003+1=AH!$U$6),TODAY(),IF(AH!$U$5=1,INDEX('Live History'!$A$5:$A$3004,AH!$U$7+2003),INDEX('AH History'!$A$5:$A$1380,AH!$U$7+2003))),""))</f>
        <v/>
      </c>
      <c r="B2008" s="33">
        <f>IFERROR(IF(AH!$U$11=1,NA(),$J2008/$E2008-1),NA())</f>
        <v/>
      </c>
      <c r="C2008" s="269">
        <f>IFERROR(100*$E2008/$E$5,NA())</f>
        <v/>
      </c>
      <c r="D2008" s="269">
        <f>IFERROR(100*$J2008/$J$5,NA())</f>
        <v/>
      </c>
      <c r="E2008" s="32">
        <f>IFERROR(IF(AND(ISNUMBER($A2008),N(IF(AND(AH!$U$12=1,2003+1=AH!$U$6),IF(AH!$U$4=0,"unavailable",INDEX('Market Data'!$AN$5:$AN$66,AH!$U$4)),IF(AH!$U$5=1,INDEX('Live History'!$B$5:$B$3004,$K2008),INDEX('AH History'!$D$5:$GG$1380,$K2008,AH!$U$10))))&gt;0),IF(AND(AH!$U$12=1,2003+1=AH!$U$6),IF(AH!$U$4=0,"unavailable",INDEX('Market Data'!$AN$5:$AN$66,AH!$U$4)),IF(AH!$U$5=1,INDEX('Live History'!$B$5:$B$3004,$K2008),INDEX('AH History'!$D$5:$GG$1380,$K2008,AH!$U$10))),NA()),NA())</f>
        <v/>
      </c>
      <c r="F2008" s="32">
        <f>IFERROR(IF(ISNUMBER($A2008),IF(AND(AH!$U$12=1,2003+1=AH!$U$6),IF(AH!$U$4=0,"unavailable",INDEX('Market Data'!$AO$5:$AO$66,AH!$U$4)),IF(AH!$U$5=1,INDEX('Live History'!$E$5:$E$3004,MATCH($A2008,'Live History'!$D$5:$D$3004,1)),INDEX('AH History'!$D$5:$GG$1380,$K2008,AH!$U$10+1))),NA()),NA())</f>
        <v/>
      </c>
      <c r="G2008" s="34">
        <f>IFERROR(IF(ISNUMBER($A2008),IF(AND(AH!$U$12=1,2003+1=AH!$U$6),IF(AH!$U$4=0,"unavailable",INDEX('Market Data'!$AK$5:$AK$66,AH!$U$4)),IF(AH!$U$5=1,INDEX('Live History'!$D$5:$D$3004,MATCH($A2008,'Live History'!$D$5:$D$3004,1)),INDEX('AH History'!$D$5:$GG$1380,$K2008,AH!$U$10+2))),NA()),NA())</f>
        <v/>
      </c>
      <c r="H2008" s="266">
        <f>IFERROR(IF(ISNUMBER($A2008),IF(AND(AH!$U$12=1,2003+1=AH!$U$6),IF(AH!$U$4=0,"unavailable",INDEX('Market Data'!$AP$5:$AP$66,AH!$U$4)),IF(AH!$U$5=1,INDEX('Live History'!$H$5:$H$3004,MATCH($A2008,'Live History'!$G$5:$G$3004,1)),INDEX('AH History'!$B$5:$B$1380,$K2008))),NA()),NA())</f>
        <v/>
      </c>
      <c r="I2008" s="34">
        <f>IFERROR(IF(ISNUMBER($A2008),IF(AND(AH!$U$12=1,2003+1=AH!$U$6),TODAY(),IF(AH!$U$5=1,INDEX('Live History'!$G$5:$G$3004,MATCH($A2008,'Live History'!$G$5:$G$3004,1)),INDEX('AH History'!$C$5:$C$1380,$K2008))),NA()),NA())</f>
        <v/>
      </c>
      <c r="J2008" s="32">
        <f>IFERROR(IF(AND($F2008&gt;0,$H2008&gt;0,$A2008-$G2008&lt;=10,$A2008-$I2008&lt;=5,$G2008&gt;0,$I2008&gt;0),$F2008*$H2008,NA()),NA())</f>
        <v/>
      </c>
      <c r="K2008" s="15">
        <f>IF($A2008="","",IF(AH!$U$5=1,IFERROR(MATCH($A2008,'Live History'!$A$5:$A$3004,0),0),AH!$U$7+2003))</f>
        <v/>
      </c>
      <c r="L2008" s="15">
        <f>IF(ISNUMBER(A2008),TEXT(A2008,"dd-mmm-yy"),"")</f>
        <v/>
      </c>
    </row>
    <row r="2009">
      <c r="A2009" s="14">
        <f>IF(OR(AH!$U$4=0,2004+1&gt;AH!$U$6,AND(AH!$M$5="Bloomberg",AH!$U$5=0)),"",IFERROR(IF(AND(AH!$U$12=1,2004+1=AH!$U$6),TODAY(),IF(AH!$U$5=1,INDEX('Live History'!$A$5:$A$3004,AH!$U$7+2004),INDEX('AH History'!$A$5:$A$1380,AH!$U$7+2004))),""))</f>
        <v/>
      </c>
      <c r="B2009" s="33">
        <f>IFERROR(IF(AH!$U$11=1,NA(),$J2009/$E2009-1),NA())</f>
        <v/>
      </c>
      <c r="C2009" s="269">
        <f>IFERROR(100*$E2009/$E$5,NA())</f>
        <v/>
      </c>
      <c r="D2009" s="269">
        <f>IFERROR(100*$J2009/$J$5,NA())</f>
        <v/>
      </c>
      <c r="E2009" s="32">
        <f>IFERROR(IF(AND(ISNUMBER($A2009),N(IF(AND(AH!$U$12=1,2004+1=AH!$U$6),IF(AH!$U$4=0,"unavailable",INDEX('Market Data'!$AN$5:$AN$66,AH!$U$4)),IF(AH!$U$5=1,INDEX('Live History'!$B$5:$B$3004,$K2009),INDEX('AH History'!$D$5:$GG$1380,$K2009,AH!$U$10))))&gt;0),IF(AND(AH!$U$12=1,2004+1=AH!$U$6),IF(AH!$U$4=0,"unavailable",INDEX('Market Data'!$AN$5:$AN$66,AH!$U$4)),IF(AH!$U$5=1,INDEX('Live History'!$B$5:$B$3004,$K2009),INDEX('AH History'!$D$5:$GG$1380,$K2009,AH!$U$10))),NA()),NA())</f>
        <v/>
      </c>
      <c r="F2009" s="32">
        <f>IFERROR(IF(ISNUMBER($A2009),IF(AND(AH!$U$12=1,2004+1=AH!$U$6),IF(AH!$U$4=0,"unavailable",INDEX('Market Data'!$AO$5:$AO$66,AH!$U$4)),IF(AH!$U$5=1,INDEX('Live History'!$E$5:$E$3004,MATCH($A2009,'Live History'!$D$5:$D$3004,1)),INDEX('AH History'!$D$5:$GG$1380,$K2009,AH!$U$10+1))),NA()),NA())</f>
        <v/>
      </c>
      <c r="G2009" s="34">
        <f>IFERROR(IF(ISNUMBER($A2009),IF(AND(AH!$U$12=1,2004+1=AH!$U$6),IF(AH!$U$4=0,"unavailable",INDEX('Market Data'!$AK$5:$AK$66,AH!$U$4)),IF(AH!$U$5=1,INDEX('Live History'!$D$5:$D$3004,MATCH($A2009,'Live History'!$D$5:$D$3004,1)),INDEX('AH History'!$D$5:$GG$1380,$K2009,AH!$U$10+2))),NA()),NA())</f>
        <v/>
      </c>
      <c r="H2009" s="266">
        <f>IFERROR(IF(ISNUMBER($A2009),IF(AND(AH!$U$12=1,2004+1=AH!$U$6),IF(AH!$U$4=0,"unavailable",INDEX('Market Data'!$AP$5:$AP$66,AH!$U$4)),IF(AH!$U$5=1,INDEX('Live History'!$H$5:$H$3004,MATCH($A2009,'Live History'!$G$5:$G$3004,1)),INDEX('AH History'!$B$5:$B$1380,$K2009))),NA()),NA())</f>
        <v/>
      </c>
      <c r="I2009" s="34">
        <f>IFERROR(IF(ISNUMBER($A2009),IF(AND(AH!$U$12=1,2004+1=AH!$U$6),TODAY(),IF(AH!$U$5=1,INDEX('Live History'!$G$5:$G$3004,MATCH($A2009,'Live History'!$G$5:$G$3004,1)),INDEX('AH History'!$C$5:$C$1380,$K2009))),NA()),NA())</f>
        <v/>
      </c>
      <c r="J2009" s="32">
        <f>IFERROR(IF(AND($F2009&gt;0,$H2009&gt;0,$A2009-$G2009&lt;=10,$A2009-$I2009&lt;=5,$G2009&gt;0,$I2009&gt;0),$F2009*$H2009,NA()),NA())</f>
        <v/>
      </c>
      <c r="K2009" s="15">
        <f>IF($A2009="","",IF(AH!$U$5=1,IFERROR(MATCH($A2009,'Live History'!$A$5:$A$3004,0),0),AH!$U$7+2004))</f>
        <v/>
      </c>
      <c r="L2009" s="15">
        <f>IF(ISNUMBER(A2009),TEXT(A2009,"dd-mmm-yy"),"")</f>
        <v/>
      </c>
    </row>
    <row r="2010">
      <c r="A2010" s="14">
        <f>IF(OR(AH!$U$4=0,2005+1&gt;AH!$U$6,AND(AH!$M$5="Bloomberg",AH!$U$5=0)),"",IFERROR(IF(AND(AH!$U$12=1,2005+1=AH!$U$6),TODAY(),IF(AH!$U$5=1,INDEX('Live History'!$A$5:$A$3004,AH!$U$7+2005),INDEX('AH History'!$A$5:$A$1380,AH!$U$7+2005))),""))</f>
        <v/>
      </c>
      <c r="B2010" s="33">
        <f>IFERROR(IF(AH!$U$11=1,NA(),$J2010/$E2010-1),NA())</f>
        <v/>
      </c>
      <c r="C2010" s="269">
        <f>IFERROR(100*$E2010/$E$5,NA())</f>
        <v/>
      </c>
      <c r="D2010" s="269">
        <f>IFERROR(100*$J2010/$J$5,NA())</f>
        <v/>
      </c>
      <c r="E2010" s="32">
        <f>IFERROR(IF(AND(ISNUMBER($A2010),N(IF(AND(AH!$U$12=1,2005+1=AH!$U$6),IF(AH!$U$4=0,"unavailable",INDEX('Market Data'!$AN$5:$AN$66,AH!$U$4)),IF(AH!$U$5=1,INDEX('Live History'!$B$5:$B$3004,$K2010),INDEX('AH History'!$D$5:$GG$1380,$K2010,AH!$U$10))))&gt;0),IF(AND(AH!$U$12=1,2005+1=AH!$U$6),IF(AH!$U$4=0,"unavailable",INDEX('Market Data'!$AN$5:$AN$66,AH!$U$4)),IF(AH!$U$5=1,INDEX('Live History'!$B$5:$B$3004,$K2010),INDEX('AH History'!$D$5:$GG$1380,$K2010,AH!$U$10))),NA()),NA())</f>
        <v/>
      </c>
      <c r="F2010" s="32">
        <f>IFERROR(IF(ISNUMBER($A2010),IF(AND(AH!$U$12=1,2005+1=AH!$U$6),IF(AH!$U$4=0,"unavailable",INDEX('Market Data'!$AO$5:$AO$66,AH!$U$4)),IF(AH!$U$5=1,INDEX('Live History'!$E$5:$E$3004,MATCH($A2010,'Live History'!$D$5:$D$3004,1)),INDEX('AH History'!$D$5:$GG$1380,$K2010,AH!$U$10+1))),NA()),NA())</f>
        <v/>
      </c>
      <c r="G2010" s="34">
        <f>IFERROR(IF(ISNUMBER($A2010),IF(AND(AH!$U$12=1,2005+1=AH!$U$6),IF(AH!$U$4=0,"unavailable",INDEX('Market Data'!$AK$5:$AK$66,AH!$U$4)),IF(AH!$U$5=1,INDEX('Live History'!$D$5:$D$3004,MATCH($A2010,'Live History'!$D$5:$D$3004,1)),INDEX('AH History'!$D$5:$GG$1380,$K2010,AH!$U$10+2))),NA()),NA())</f>
        <v/>
      </c>
      <c r="H2010" s="266">
        <f>IFERROR(IF(ISNUMBER($A2010),IF(AND(AH!$U$12=1,2005+1=AH!$U$6),IF(AH!$U$4=0,"unavailable",INDEX('Market Data'!$AP$5:$AP$66,AH!$U$4)),IF(AH!$U$5=1,INDEX('Live History'!$H$5:$H$3004,MATCH($A2010,'Live History'!$G$5:$G$3004,1)),INDEX('AH History'!$B$5:$B$1380,$K2010))),NA()),NA())</f>
        <v/>
      </c>
      <c r="I2010" s="34">
        <f>IFERROR(IF(ISNUMBER($A2010),IF(AND(AH!$U$12=1,2005+1=AH!$U$6),TODAY(),IF(AH!$U$5=1,INDEX('Live History'!$G$5:$G$3004,MATCH($A2010,'Live History'!$G$5:$G$3004,1)),INDEX('AH History'!$C$5:$C$1380,$K2010))),NA()),NA())</f>
        <v/>
      </c>
      <c r="J2010" s="32">
        <f>IFERROR(IF(AND($F2010&gt;0,$H2010&gt;0,$A2010-$G2010&lt;=10,$A2010-$I2010&lt;=5,$G2010&gt;0,$I2010&gt;0),$F2010*$H2010,NA()),NA())</f>
        <v/>
      </c>
      <c r="K2010" s="15">
        <f>IF($A2010="","",IF(AH!$U$5=1,IFERROR(MATCH($A2010,'Live History'!$A$5:$A$3004,0),0),AH!$U$7+2005))</f>
        <v/>
      </c>
      <c r="L2010" s="15">
        <f>IF(ISNUMBER(A2010),TEXT(A2010,"dd-mmm-yy"),"")</f>
        <v/>
      </c>
    </row>
    <row r="2011">
      <c r="A2011" s="14">
        <f>IF(OR(AH!$U$4=0,2006+1&gt;AH!$U$6,AND(AH!$M$5="Bloomberg",AH!$U$5=0)),"",IFERROR(IF(AND(AH!$U$12=1,2006+1=AH!$U$6),TODAY(),IF(AH!$U$5=1,INDEX('Live History'!$A$5:$A$3004,AH!$U$7+2006),INDEX('AH History'!$A$5:$A$1380,AH!$U$7+2006))),""))</f>
        <v/>
      </c>
      <c r="B2011" s="33">
        <f>IFERROR(IF(AH!$U$11=1,NA(),$J2011/$E2011-1),NA())</f>
        <v/>
      </c>
      <c r="C2011" s="269">
        <f>IFERROR(100*$E2011/$E$5,NA())</f>
        <v/>
      </c>
      <c r="D2011" s="269">
        <f>IFERROR(100*$J2011/$J$5,NA())</f>
        <v/>
      </c>
      <c r="E2011" s="32">
        <f>IFERROR(IF(AND(ISNUMBER($A2011),N(IF(AND(AH!$U$12=1,2006+1=AH!$U$6),IF(AH!$U$4=0,"unavailable",INDEX('Market Data'!$AN$5:$AN$66,AH!$U$4)),IF(AH!$U$5=1,INDEX('Live History'!$B$5:$B$3004,$K2011),INDEX('AH History'!$D$5:$GG$1380,$K2011,AH!$U$10))))&gt;0),IF(AND(AH!$U$12=1,2006+1=AH!$U$6),IF(AH!$U$4=0,"unavailable",INDEX('Market Data'!$AN$5:$AN$66,AH!$U$4)),IF(AH!$U$5=1,INDEX('Live History'!$B$5:$B$3004,$K2011),INDEX('AH History'!$D$5:$GG$1380,$K2011,AH!$U$10))),NA()),NA())</f>
        <v/>
      </c>
      <c r="F2011" s="32">
        <f>IFERROR(IF(ISNUMBER($A2011),IF(AND(AH!$U$12=1,2006+1=AH!$U$6),IF(AH!$U$4=0,"unavailable",INDEX('Market Data'!$AO$5:$AO$66,AH!$U$4)),IF(AH!$U$5=1,INDEX('Live History'!$E$5:$E$3004,MATCH($A2011,'Live History'!$D$5:$D$3004,1)),INDEX('AH History'!$D$5:$GG$1380,$K2011,AH!$U$10+1))),NA()),NA())</f>
        <v/>
      </c>
      <c r="G2011" s="34">
        <f>IFERROR(IF(ISNUMBER($A2011),IF(AND(AH!$U$12=1,2006+1=AH!$U$6),IF(AH!$U$4=0,"unavailable",INDEX('Market Data'!$AK$5:$AK$66,AH!$U$4)),IF(AH!$U$5=1,INDEX('Live History'!$D$5:$D$3004,MATCH($A2011,'Live History'!$D$5:$D$3004,1)),INDEX('AH History'!$D$5:$GG$1380,$K2011,AH!$U$10+2))),NA()),NA())</f>
        <v/>
      </c>
      <c r="H2011" s="266">
        <f>IFERROR(IF(ISNUMBER($A2011),IF(AND(AH!$U$12=1,2006+1=AH!$U$6),IF(AH!$U$4=0,"unavailable",INDEX('Market Data'!$AP$5:$AP$66,AH!$U$4)),IF(AH!$U$5=1,INDEX('Live History'!$H$5:$H$3004,MATCH($A2011,'Live History'!$G$5:$G$3004,1)),INDEX('AH History'!$B$5:$B$1380,$K2011))),NA()),NA())</f>
        <v/>
      </c>
      <c r="I2011" s="34">
        <f>IFERROR(IF(ISNUMBER($A2011),IF(AND(AH!$U$12=1,2006+1=AH!$U$6),TODAY(),IF(AH!$U$5=1,INDEX('Live History'!$G$5:$G$3004,MATCH($A2011,'Live History'!$G$5:$G$3004,1)),INDEX('AH History'!$C$5:$C$1380,$K2011))),NA()),NA())</f>
        <v/>
      </c>
      <c r="J2011" s="32">
        <f>IFERROR(IF(AND($F2011&gt;0,$H2011&gt;0,$A2011-$G2011&lt;=10,$A2011-$I2011&lt;=5,$G2011&gt;0,$I2011&gt;0),$F2011*$H2011,NA()),NA())</f>
        <v/>
      </c>
      <c r="K2011" s="15">
        <f>IF($A2011="","",IF(AH!$U$5=1,IFERROR(MATCH($A2011,'Live History'!$A$5:$A$3004,0),0),AH!$U$7+2006))</f>
        <v/>
      </c>
      <c r="L2011" s="15">
        <f>IF(ISNUMBER(A2011),TEXT(A2011,"dd-mmm-yy"),"")</f>
        <v/>
      </c>
    </row>
    <row r="2012">
      <c r="A2012" s="14">
        <f>IF(OR(AH!$U$4=0,2007+1&gt;AH!$U$6,AND(AH!$M$5="Bloomberg",AH!$U$5=0)),"",IFERROR(IF(AND(AH!$U$12=1,2007+1=AH!$U$6),TODAY(),IF(AH!$U$5=1,INDEX('Live History'!$A$5:$A$3004,AH!$U$7+2007),INDEX('AH History'!$A$5:$A$1380,AH!$U$7+2007))),""))</f>
        <v/>
      </c>
      <c r="B2012" s="33">
        <f>IFERROR(IF(AH!$U$11=1,NA(),$J2012/$E2012-1),NA())</f>
        <v/>
      </c>
      <c r="C2012" s="269">
        <f>IFERROR(100*$E2012/$E$5,NA())</f>
        <v/>
      </c>
      <c r="D2012" s="269">
        <f>IFERROR(100*$J2012/$J$5,NA())</f>
        <v/>
      </c>
      <c r="E2012" s="32">
        <f>IFERROR(IF(AND(ISNUMBER($A2012),N(IF(AND(AH!$U$12=1,2007+1=AH!$U$6),IF(AH!$U$4=0,"unavailable",INDEX('Market Data'!$AN$5:$AN$66,AH!$U$4)),IF(AH!$U$5=1,INDEX('Live History'!$B$5:$B$3004,$K2012),INDEX('AH History'!$D$5:$GG$1380,$K2012,AH!$U$10))))&gt;0),IF(AND(AH!$U$12=1,2007+1=AH!$U$6),IF(AH!$U$4=0,"unavailable",INDEX('Market Data'!$AN$5:$AN$66,AH!$U$4)),IF(AH!$U$5=1,INDEX('Live History'!$B$5:$B$3004,$K2012),INDEX('AH History'!$D$5:$GG$1380,$K2012,AH!$U$10))),NA()),NA())</f>
        <v/>
      </c>
      <c r="F2012" s="32">
        <f>IFERROR(IF(ISNUMBER($A2012),IF(AND(AH!$U$12=1,2007+1=AH!$U$6),IF(AH!$U$4=0,"unavailable",INDEX('Market Data'!$AO$5:$AO$66,AH!$U$4)),IF(AH!$U$5=1,INDEX('Live History'!$E$5:$E$3004,MATCH($A2012,'Live History'!$D$5:$D$3004,1)),INDEX('AH History'!$D$5:$GG$1380,$K2012,AH!$U$10+1))),NA()),NA())</f>
        <v/>
      </c>
      <c r="G2012" s="34">
        <f>IFERROR(IF(ISNUMBER($A2012),IF(AND(AH!$U$12=1,2007+1=AH!$U$6),IF(AH!$U$4=0,"unavailable",INDEX('Market Data'!$AK$5:$AK$66,AH!$U$4)),IF(AH!$U$5=1,INDEX('Live History'!$D$5:$D$3004,MATCH($A2012,'Live History'!$D$5:$D$3004,1)),INDEX('AH History'!$D$5:$GG$1380,$K2012,AH!$U$10+2))),NA()),NA())</f>
        <v/>
      </c>
      <c r="H2012" s="266">
        <f>IFERROR(IF(ISNUMBER($A2012),IF(AND(AH!$U$12=1,2007+1=AH!$U$6),IF(AH!$U$4=0,"unavailable",INDEX('Market Data'!$AP$5:$AP$66,AH!$U$4)),IF(AH!$U$5=1,INDEX('Live History'!$H$5:$H$3004,MATCH($A2012,'Live History'!$G$5:$G$3004,1)),INDEX('AH History'!$B$5:$B$1380,$K2012))),NA()),NA())</f>
        <v/>
      </c>
      <c r="I2012" s="34">
        <f>IFERROR(IF(ISNUMBER($A2012),IF(AND(AH!$U$12=1,2007+1=AH!$U$6),TODAY(),IF(AH!$U$5=1,INDEX('Live History'!$G$5:$G$3004,MATCH($A2012,'Live History'!$G$5:$G$3004,1)),INDEX('AH History'!$C$5:$C$1380,$K2012))),NA()),NA())</f>
        <v/>
      </c>
      <c r="J2012" s="32">
        <f>IFERROR(IF(AND($F2012&gt;0,$H2012&gt;0,$A2012-$G2012&lt;=10,$A2012-$I2012&lt;=5,$G2012&gt;0,$I2012&gt;0),$F2012*$H2012,NA()),NA())</f>
        <v/>
      </c>
      <c r="K2012" s="15">
        <f>IF($A2012="","",IF(AH!$U$5=1,IFERROR(MATCH($A2012,'Live History'!$A$5:$A$3004,0),0),AH!$U$7+2007))</f>
        <v/>
      </c>
      <c r="L2012" s="15">
        <f>IF(ISNUMBER(A2012),TEXT(A2012,"dd-mmm-yy"),"")</f>
        <v/>
      </c>
    </row>
    <row r="2013">
      <c r="A2013" s="14">
        <f>IF(OR(AH!$U$4=0,2008+1&gt;AH!$U$6,AND(AH!$M$5="Bloomberg",AH!$U$5=0)),"",IFERROR(IF(AND(AH!$U$12=1,2008+1=AH!$U$6),TODAY(),IF(AH!$U$5=1,INDEX('Live History'!$A$5:$A$3004,AH!$U$7+2008),INDEX('AH History'!$A$5:$A$1380,AH!$U$7+2008))),""))</f>
        <v/>
      </c>
      <c r="B2013" s="33">
        <f>IFERROR(IF(AH!$U$11=1,NA(),$J2013/$E2013-1),NA())</f>
        <v/>
      </c>
      <c r="C2013" s="269">
        <f>IFERROR(100*$E2013/$E$5,NA())</f>
        <v/>
      </c>
      <c r="D2013" s="269">
        <f>IFERROR(100*$J2013/$J$5,NA())</f>
        <v/>
      </c>
      <c r="E2013" s="32">
        <f>IFERROR(IF(AND(ISNUMBER($A2013),N(IF(AND(AH!$U$12=1,2008+1=AH!$U$6),IF(AH!$U$4=0,"unavailable",INDEX('Market Data'!$AN$5:$AN$66,AH!$U$4)),IF(AH!$U$5=1,INDEX('Live History'!$B$5:$B$3004,$K2013),INDEX('AH History'!$D$5:$GG$1380,$K2013,AH!$U$10))))&gt;0),IF(AND(AH!$U$12=1,2008+1=AH!$U$6),IF(AH!$U$4=0,"unavailable",INDEX('Market Data'!$AN$5:$AN$66,AH!$U$4)),IF(AH!$U$5=1,INDEX('Live History'!$B$5:$B$3004,$K2013),INDEX('AH History'!$D$5:$GG$1380,$K2013,AH!$U$10))),NA()),NA())</f>
        <v/>
      </c>
      <c r="F2013" s="32">
        <f>IFERROR(IF(ISNUMBER($A2013),IF(AND(AH!$U$12=1,2008+1=AH!$U$6),IF(AH!$U$4=0,"unavailable",INDEX('Market Data'!$AO$5:$AO$66,AH!$U$4)),IF(AH!$U$5=1,INDEX('Live History'!$E$5:$E$3004,MATCH($A2013,'Live History'!$D$5:$D$3004,1)),INDEX('AH History'!$D$5:$GG$1380,$K2013,AH!$U$10+1))),NA()),NA())</f>
        <v/>
      </c>
      <c r="G2013" s="34">
        <f>IFERROR(IF(ISNUMBER($A2013),IF(AND(AH!$U$12=1,2008+1=AH!$U$6),IF(AH!$U$4=0,"unavailable",INDEX('Market Data'!$AK$5:$AK$66,AH!$U$4)),IF(AH!$U$5=1,INDEX('Live History'!$D$5:$D$3004,MATCH($A2013,'Live History'!$D$5:$D$3004,1)),INDEX('AH History'!$D$5:$GG$1380,$K2013,AH!$U$10+2))),NA()),NA())</f>
        <v/>
      </c>
      <c r="H2013" s="266">
        <f>IFERROR(IF(ISNUMBER($A2013),IF(AND(AH!$U$12=1,2008+1=AH!$U$6),IF(AH!$U$4=0,"unavailable",INDEX('Market Data'!$AP$5:$AP$66,AH!$U$4)),IF(AH!$U$5=1,INDEX('Live History'!$H$5:$H$3004,MATCH($A2013,'Live History'!$G$5:$G$3004,1)),INDEX('AH History'!$B$5:$B$1380,$K2013))),NA()),NA())</f>
        <v/>
      </c>
      <c r="I2013" s="34">
        <f>IFERROR(IF(ISNUMBER($A2013),IF(AND(AH!$U$12=1,2008+1=AH!$U$6),TODAY(),IF(AH!$U$5=1,INDEX('Live History'!$G$5:$G$3004,MATCH($A2013,'Live History'!$G$5:$G$3004,1)),INDEX('AH History'!$C$5:$C$1380,$K2013))),NA()),NA())</f>
        <v/>
      </c>
      <c r="J2013" s="32">
        <f>IFERROR(IF(AND($F2013&gt;0,$H2013&gt;0,$A2013-$G2013&lt;=10,$A2013-$I2013&lt;=5,$G2013&gt;0,$I2013&gt;0),$F2013*$H2013,NA()),NA())</f>
        <v/>
      </c>
      <c r="K2013" s="15">
        <f>IF($A2013="","",IF(AH!$U$5=1,IFERROR(MATCH($A2013,'Live History'!$A$5:$A$3004,0),0),AH!$U$7+2008))</f>
        <v/>
      </c>
      <c r="L2013" s="15">
        <f>IF(ISNUMBER(A2013),TEXT(A2013,"dd-mmm-yy"),"")</f>
        <v/>
      </c>
    </row>
    <row r="2014">
      <c r="A2014" s="14">
        <f>IF(OR(AH!$U$4=0,2009+1&gt;AH!$U$6,AND(AH!$M$5="Bloomberg",AH!$U$5=0)),"",IFERROR(IF(AND(AH!$U$12=1,2009+1=AH!$U$6),TODAY(),IF(AH!$U$5=1,INDEX('Live History'!$A$5:$A$3004,AH!$U$7+2009),INDEX('AH History'!$A$5:$A$1380,AH!$U$7+2009))),""))</f>
        <v/>
      </c>
      <c r="B2014" s="33">
        <f>IFERROR(IF(AH!$U$11=1,NA(),$J2014/$E2014-1),NA())</f>
        <v/>
      </c>
      <c r="C2014" s="269">
        <f>IFERROR(100*$E2014/$E$5,NA())</f>
        <v/>
      </c>
      <c r="D2014" s="269">
        <f>IFERROR(100*$J2014/$J$5,NA())</f>
        <v/>
      </c>
      <c r="E2014" s="32">
        <f>IFERROR(IF(AND(ISNUMBER($A2014),N(IF(AND(AH!$U$12=1,2009+1=AH!$U$6),IF(AH!$U$4=0,"unavailable",INDEX('Market Data'!$AN$5:$AN$66,AH!$U$4)),IF(AH!$U$5=1,INDEX('Live History'!$B$5:$B$3004,$K2014),INDEX('AH History'!$D$5:$GG$1380,$K2014,AH!$U$10))))&gt;0),IF(AND(AH!$U$12=1,2009+1=AH!$U$6),IF(AH!$U$4=0,"unavailable",INDEX('Market Data'!$AN$5:$AN$66,AH!$U$4)),IF(AH!$U$5=1,INDEX('Live History'!$B$5:$B$3004,$K2014),INDEX('AH History'!$D$5:$GG$1380,$K2014,AH!$U$10))),NA()),NA())</f>
        <v/>
      </c>
      <c r="F2014" s="32">
        <f>IFERROR(IF(ISNUMBER($A2014),IF(AND(AH!$U$12=1,2009+1=AH!$U$6),IF(AH!$U$4=0,"unavailable",INDEX('Market Data'!$AO$5:$AO$66,AH!$U$4)),IF(AH!$U$5=1,INDEX('Live History'!$E$5:$E$3004,MATCH($A2014,'Live History'!$D$5:$D$3004,1)),INDEX('AH History'!$D$5:$GG$1380,$K2014,AH!$U$10+1))),NA()),NA())</f>
        <v/>
      </c>
      <c r="G2014" s="34">
        <f>IFERROR(IF(ISNUMBER($A2014),IF(AND(AH!$U$12=1,2009+1=AH!$U$6),IF(AH!$U$4=0,"unavailable",INDEX('Market Data'!$AK$5:$AK$66,AH!$U$4)),IF(AH!$U$5=1,INDEX('Live History'!$D$5:$D$3004,MATCH($A2014,'Live History'!$D$5:$D$3004,1)),INDEX('AH History'!$D$5:$GG$1380,$K2014,AH!$U$10+2))),NA()),NA())</f>
        <v/>
      </c>
      <c r="H2014" s="266">
        <f>IFERROR(IF(ISNUMBER($A2014),IF(AND(AH!$U$12=1,2009+1=AH!$U$6),IF(AH!$U$4=0,"unavailable",INDEX('Market Data'!$AP$5:$AP$66,AH!$U$4)),IF(AH!$U$5=1,INDEX('Live History'!$H$5:$H$3004,MATCH($A2014,'Live History'!$G$5:$G$3004,1)),INDEX('AH History'!$B$5:$B$1380,$K2014))),NA()),NA())</f>
        <v/>
      </c>
      <c r="I2014" s="34">
        <f>IFERROR(IF(ISNUMBER($A2014),IF(AND(AH!$U$12=1,2009+1=AH!$U$6),TODAY(),IF(AH!$U$5=1,INDEX('Live History'!$G$5:$G$3004,MATCH($A2014,'Live History'!$G$5:$G$3004,1)),INDEX('AH History'!$C$5:$C$1380,$K2014))),NA()),NA())</f>
        <v/>
      </c>
      <c r="J2014" s="32">
        <f>IFERROR(IF(AND($F2014&gt;0,$H2014&gt;0,$A2014-$G2014&lt;=10,$A2014-$I2014&lt;=5,$G2014&gt;0,$I2014&gt;0),$F2014*$H2014,NA()),NA())</f>
        <v/>
      </c>
      <c r="K2014" s="15">
        <f>IF($A2014="","",IF(AH!$U$5=1,IFERROR(MATCH($A2014,'Live History'!$A$5:$A$3004,0),0),AH!$U$7+2009))</f>
        <v/>
      </c>
      <c r="L2014" s="15">
        <f>IF(ISNUMBER(A2014),TEXT(A2014,"dd-mmm-yy"),"")</f>
        <v/>
      </c>
    </row>
    <row r="2015">
      <c r="A2015" s="14">
        <f>IF(OR(AH!$U$4=0,2010+1&gt;AH!$U$6,AND(AH!$M$5="Bloomberg",AH!$U$5=0)),"",IFERROR(IF(AND(AH!$U$12=1,2010+1=AH!$U$6),TODAY(),IF(AH!$U$5=1,INDEX('Live History'!$A$5:$A$3004,AH!$U$7+2010),INDEX('AH History'!$A$5:$A$1380,AH!$U$7+2010))),""))</f>
        <v/>
      </c>
      <c r="B2015" s="33">
        <f>IFERROR(IF(AH!$U$11=1,NA(),$J2015/$E2015-1),NA())</f>
        <v/>
      </c>
      <c r="C2015" s="269">
        <f>IFERROR(100*$E2015/$E$5,NA())</f>
        <v/>
      </c>
      <c r="D2015" s="269">
        <f>IFERROR(100*$J2015/$J$5,NA())</f>
        <v/>
      </c>
      <c r="E2015" s="32">
        <f>IFERROR(IF(AND(ISNUMBER($A2015),N(IF(AND(AH!$U$12=1,2010+1=AH!$U$6),IF(AH!$U$4=0,"unavailable",INDEX('Market Data'!$AN$5:$AN$66,AH!$U$4)),IF(AH!$U$5=1,INDEX('Live History'!$B$5:$B$3004,$K2015),INDEX('AH History'!$D$5:$GG$1380,$K2015,AH!$U$10))))&gt;0),IF(AND(AH!$U$12=1,2010+1=AH!$U$6),IF(AH!$U$4=0,"unavailable",INDEX('Market Data'!$AN$5:$AN$66,AH!$U$4)),IF(AH!$U$5=1,INDEX('Live History'!$B$5:$B$3004,$K2015),INDEX('AH History'!$D$5:$GG$1380,$K2015,AH!$U$10))),NA()),NA())</f>
        <v/>
      </c>
      <c r="F2015" s="32">
        <f>IFERROR(IF(ISNUMBER($A2015),IF(AND(AH!$U$12=1,2010+1=AH!$U$6),IF(AH!$U$4=0,"unavailable",INDEX('Market Data'!$AO$5:$AO$66,AH!$U$4)),IF(AH!$U$5=1,INDEX('Live History'!$E$5:$E$3004,MATCH($A2015,'Live History'!$D$5:$D$3004,1)),INDEX('AH History'!$D$5:$GG$1380,$K2015,AH!$U$10+1))),NA()),NA())</f>
        <v/>
      </c>
      <c r="G2015" s="34">
        <f>IFERROR(IF(ISNUMBER($A2015),IF(AND(AH!$U$12=1,2010+1=AH!$U$6),IF(AH!$U$4=0,"unavailable",INDEX('Market Data'!$AK$5:$AK$66,AH!$U$4)),IF(AH!$U$5=1,INDEX('Live History'!$D$5:$D$3004,MATCH($A2015,'Live History'!$D$5:$D$3004,1)),INDEX('AH History'!$D$5:$GG$1380,$K2015,AH!$U$10+2))),NA()),NA())</f>
        <v/>
      </c>
      <c r="H2015" s="266">
        <f>IFERROR(IF(ISNUMBER($A2015),IF(AND(AH!$U$12=1,2010+1=AH!$U$6),IF(AH!$U$4=0,"unavailable",INDEX('Market Data'!$AP$5:$AP$66,AH!$U$4)),IF(AH!$U$5=1,INDEX('Live History'!$H$5:$H$3004,MATCH($A2015,'Live History'!$G$5:$G$3004,1)),INDEX('AH History'!$B$5:$B$1380,$K2015))),NA()),NA())</f>
        <v/>
      </c>
      <c r="I2015" s="34">
        <f>IFERROR(IF(ISNUMBER($A2015),IF(AND(AH!$U$12=1,2010+1=AH!$U$6),TODAY(),IF(AH!$U$5=1,INDEX('Live History'!$G$5:$G$3004,MATCH($A2015,'Live History'!$G$5:$G$3004,1)),INDEX('AH History'!$C$5:$C$1380,$K2015))),NA()),NA())</f>
        <v/>
      </c>
      <c r="J2015" s="32">
        <f>IFERROR(IF(AND($F2015&gt;0,$H2015&gt;0,$A2015-$G2015&lt;=10,$A2015-$I2015&lt;=5,$G2015&gt;0,$I2015&gt;0),$F2015*$H2015,NA()),NA())</f>
        <v/>
      </c>
      <c r="K2015" s="15">
        <f>IF($A2015="","",IF(AH!$U$5=1,IFERROR(MATCH($A2015,'Live History'!$A$5:$A$3004,0),0),AH!$U$7+2010))</f>
        <v/>
      </c>
      <c r="L2015" s="15">
        <f>IF(ISNUMBER(A2015),TEXT(A2015,"dd-mmm-yy"),"")</f>
        <v/>
      </c>
    </row>
    <row r="2016">
      <c r="A2016" s="14">
        <f>IF(OR(AH!$U$4=0,2011+1&gt;AH!$U$6,AND(AH!$M$5="Bloomberg",AH!$U$5=0)),"",IFERROR(IF(AND(AH!$U$12=1,2011+1=AH!$U$6),TODAY(),IF(AH!$U$5=1,INDEX('Live History'!$A$5:$A$3004,AH!$U$7+2011),INDEX('AH History'!$A$5:$A$1380,AH!$U$7+2011))),""))</f>
        <v/>
      </c>
      <c r="B2016" s="33">
        <f>IFERROR(IF(AH!$U$11=1,NA(),$J2016/$E2016-1),NA())</f>
        <v/>
      </c>
      <c r="C2016" s="269">
        <f>IFERROR(100*$E2016/$E$5,NA())</f>
        <v/>
      </c>
      <c r="D2016" s="269">
        <f>IFERROR(100*$J2016/$J$5,NA())</f>
        <v/>
      </c>
      <c r="E2016" s="32">
        <f>IFERROR(IF(AND(ISNUMBER($A2016),N(IF(AND(AH!$U$12=1,2011+1=AH!$U$6),IF(AH!$U$4=0,"unavailable",INDEX('Market Data'!$AN$5:$AN$66,AH!$U$4)),IF(AH!$U$5=1,INDEX('Live History'!$B$5:$B$3004,$K2016),INDEX('AH History'!$D$5:$GG$1380,$K2016,AH!$U$10))))&gt;0),IF(AND(AH!$U$12=1,2011+1=AH!$U$6),IF(AH!$U$4=0,"unavailable",INDEX('Market Data'!$AN$5:$AN$66,AH!$U$4)),IF(AH!$U$5=1,INDEX('Live History'!$B$5:$B$3004,$K2016),INDEX('AH History'!$D$5:$GG$1380,$K2016,AH!$U$10))),NA()),NA())</f>
        <v/>
      </c>
      <c r="F2016" s="32">
        <f>IFERROR(IF(ISNUMBER($A2016),IF(AND(AH!$U$12=1,2011+1=AH!$U$6),IF(AH!$U$4=0,"unavailable",INDEX('Market Data'!$AO$5:$AO$66,AH!$U$4)),IF(AH!$U$5=1,INDEX('Live History'!$E$5:$E$3004,MATCH($A2016,'Live History'!$D$5:$D$3004,1)),INDEX('AH History'!$D$5:$GG$1380,$K2016,AH!$U$10+1))),NA()),NA())</f>
        <v/>
      </c>
      <c r="G2016" s="34">
        <f>IFERROR(IF(ISNUMBER($A2016),IF(AND(AH!$U$12=1,2011+1=AH!$U$6),IF(AH!$U$4=0,"unavailable",INDEX('Market Data'!$AK$5:$AK$66,AH!$U$4)),IF(AH!$U$5=1,INDEX('Live History'!$D$5:$D$3004,MATCH($A2016,'Live History'!$D$5:$D$3004,1)),INDEX('AH History'!$D$5:$GG$1380,$K2016,AH!$U$10+2))),NA()),NA())</f>
        <v/>
      </c>
      <c r="H2016" s="266">
        <f>IFERROR(IF(ISNUMBER($A2016),IF(AND(AH!$U$12=1,2011+1=AH!$U$6),IF(AH!$U$4=0,"unavailable",INDEX('Market Data'!$AP$5:$AP$66,AH!$U$4)),IF(AH!$U$5=1,INDEX('Live History'!$H$5:$H$3004,MATCH($A2016,'Live History'!$G$5:$G$3004,1)),INDEX('AH History'!$B$5:$B$1380,$K2016))),NA()),NA())</f>
        <v/>
      </c>
      <c r="I2016" s="34">
        <f>IFERROR(IF(ISNUMBER($A2016),IF(AND(AH!$U$12=1,2011+1=AH!$U$6),TODAY(),IF(AH!$U$5=1,INDEX('Live History'!$G$5:$G$3004,MATCH($A2016,'Live History'!$G$5:$G$3004,1)),INDEX('AH History'!$C$5:$C$1380,$K2016))),NA()),NA())</f>
        <v/>
      </c>
      <c r="J2016" s="32">
        <f>IFERROR(IF(AND($F2016&gt;0,$H2016&gt;0,$A2016-$G2016&lt;=10,$A2016-$I2016&lt;=5,$G2016&gt;0,$I2016&gt;0),$F2016*$H2016,NA()),NA())</f>
        <v/>
      </c>
      <c r="K2016" s="15">
        <f>IF($A2016="","",IF(AH!$U$5=1,IFERROR(MATCH($A2016,'Live History'!$A$5:$A$3004,0),0),AH!$U$7+2011))</f>
        <v/>
      </c>
      <c r="L2016" s="15">
        <f>IF(ISNUMBER(A2016),TEXT(A2016,"dd-mmm-yy"),"")</f>
        <v/>
      </c>
    </row>
    <row r="2017">
      <c r="A2017" s="14">
        <f>IF(OR(AH!$U$4=0,2012+1&gt;AH!$U$6,AND(AH!$M$5="Bloomberg",AH!$U$5=0)),"",IFERROR(IF(AND(AH!$U$12=1,2012+1=AH!$U$6),TODAY(),IF(AH!$U$5=1,INDEX('Live History'!$A$5:$A$3004,AH!$U$7+2012),INDEX('AH History'!$A$5:$A$1380,AH!$U$7+2012))),""))</f>
        <v/>
      </c>
      <c r="B2017" s="33">
        <f>IFERROR(IF(AH!$U$11=1,NA(),$J2017/$E2017-1),NA())</f>
        <v/>
      </c>
      <c r="C2017" s="269">
        <f>IFERROR(100*$E2017/$E$5,NA())</f>
        <v/>
      </c>
      <c r="D2017" s="269">
        <f>IFERROR(100*$J2017/$J$5,NA())</f>
        <v/>
      </c>
      <c r="E2017" s="32">
        <f>IFERROR(IF(AND(ISNUMBER($A2017),N(IF(AND(AH!$U$12=1,2012+1=AH!$U$6),IF(AH!$U$4=0,"unavailable",INDEX('Market Data'!$AN$5:$AN$66,AH!$U$4)),IF(AH!$U$5=1,INDEX('Live History'!$B$5:$B$3004,$K2017),INDEX('AH History'!$D$5:$GG$1380,$K2017,AH!$U$10))))&gt;0),IF(AND(AH!$U$12=1,2012+1=AH!$U$6),IF(AH!$U$4=0,"unavailable",INDEX('Market Data'!$AN$5:$AN$66,AH!$U$4)),IF(AH!$U$5=1,INDEX('Live History'!$B$5:$B$3004,$K2017),INDEX('AH History'!$D$5:$GG$1380,$K2017,AH!$U$10))),NA()),NA())</f>
        <v/>
      </c>
      <c r="F2017" s="32">
        <f>IFERROR(IF(ISNUMBER($A2017),IF(AND(AH!$U$12=1,2012+1=AH!$U$6),IF(AH!$U$4=0,"unavailable",INDEX('Market Data'!$AO$5:$AO$66,AH!$U$4)),IF(AH!$U$5=1,INDEX('Live History'!$E$5:$E$3004,MATCH($A2017,'Live History'!$D$5:$D$3004,1)),INDEX('AH History'!$D$5:$GG$1380,$K2017,AH!$U$10+1))),NA()),NA())</f>
        <v/>
      </c>
      <c r="G2017" s="34">
        <f>IFERROR(IF(ISNUMBER($A2017),IF(AND(AH!$U$12=1,2012+1=AH!$U$6),IF(AH!$U$4=0,"unavailable",INDEX('Market Data'!$AK$5:$AK$66,AH!$U$4)),IF(AH!$U$5=1,INDEX('Live History'!$D$5:$D$3004,MATCH($A2017,'Live History'!$D$5:$D$3004,1)),INDEX('AH History'!$D$5:$GG$1380,$K2017,AH!$U$10+2))),NA()),NA())</f>
        <v/>
      </c>
      <c r="H2017" s="266">
        <f>IFERROR(IF(ISNUMBER($A2017),IF(AND(AH!$U$12=1,2012+1=AH!$U$6),IF(AH!$U$4=0,"unavailable",INDEX('Market Data'!$AP$5:$AP$66,AH!$U$4)),IF(AH!$U$5=1,INDEX('Live History'!$H$5:$H$3004,MATCH($A2017,'Live History'!$G$5:$G$3004,1)),INDEX('AH History'!$B$5:$B$1380,$K2017))),NA()),NA())</f>
        <v/>
      </c>
      <c r="I2017" s="34">
        <f>IFERROR(IF(ISNUMBER($A2017),IF(AND(AH!$U$12=1,2012+1=AH!$U$6),TODAY(),IF(AH!$U$5=1,INDEX('Live History'!$G$5:$G$3004,MATCH($A2017,'Live History'!$G$5:$G$3004,1)),INDEX('AH History'!$C$5:$C$1380,$K2017))),NA()),NA())</f>
        <v/>
      </c>
      <c r="J2017" s="32">
        <f>IFERROR(IF(AND($F2017&gt;0,$H2017&gt;0,$A2017-$G2017&lt;=10,$A2017-$I2017&lt;=5,$G2017&gt;0,$I2017&gt;0),$F2017*$H2017,NA()),NA())</f>
        <v/>
      </c>
      <c r="K2017" s="15">
        <f>IF($A2017="","",IF(AH!$U$5=1,IFERROR(MATCH($A2017,'Live History'!$A$5:$A$3004,0),0),AH!$U$7+2012))</f>
        <v/>
      </c>
      <c r="L2017" s="15">
        <f>IF(ISNUMBER(A2017),TEXT(A2017,"dd-mmm-yy"),"")</f>
        <v/>
      </c>
    </row>
    <row r="2018">
      <c r="A2018" s="14">
        <f>IF(OR(AH!$U$4=0,2013+1&gt;AH!$U$6,AND(AH!$M$5="Bloomberg",AH!$U$5=0)),"",IFERROR(IF(AND(AH!$U$12=1,2013+1=AH!$U$6),TODAY(),IF(AH!$U$5=1,INDEX('Live History'!$A$5:$A$3004,AH!$U$7+2013),INDEX('AH History'!$A$5:$A$1380,AH!$U$7+2013))),""))</f>
        <v/>
      </c>
      <c r="B2018" s="33">
        <f>IFERROR(IF(AH!$U$11=1,NA(),$J2018/$E2018-1),NA())</f>
        <v/>
      </c>
      <c r="C2018" s="269">
        <f>IFERROR(100*$E2018/$E$5,NA())</f>
        <v/>
      </c>
      <c r="D2018" s="269">
        <f>IFERROR(100*$J2018/$J$5,NA())</f>
        <v/>
      </c>
      <c r="E2018" s="32">
        <f>IFERROR(IF(AND(ISNUMBER($A2018),N(IF(AND(AH!$U$12=1,2013+1=AH!$U$6),IF(AH!$U$4=0,"unavailable",INDEX('Market Data'!$AN$5:$AN$66,AH!$U$4)),IF(AH!$U$5=1,INDEX('Live History'!$B$5:$B$3004,$K2018),INDEX('AH History'!$D$5:$GG$1380,$K2018,AH!$U$10))))&gt;0),IF(AND(AH!$U$12=1,2013+1=AH!$U$6),IF(AH!$U$4=0,"unavailable",INDEX('Market Data'!$AN$5:$AN$66,AH!$U$4)),IF(AH!$U$5=1,INDEX('Live History'!$B$5:$B$3004,$K2018),INDEX('AH History'!$D$5:$GG$1380,$K2018,AH!$U$10))),NA()),NA())</f>
        <v/>
      </c>
      <c r="F2018" s="32">
        <f>IFERROR(IF(ISNUMBER($A2018),IF(AND(AH!$U$12=1,2013+1=AH!$U$6),IF(AH!$U$4=0,"unavailable",INDEX('Market Data'!$AO$5:$AO$66,AH!$U$4)),IF(AH!$U$5=1,INDEX('Live History'!$E$5:$E$3004,MATCH($A2018,'Live History'!$D$5:$D$3004,1)),INDEX('AH History'!$D$5:$GG$1380,$K2018,AH!$U$10+1))),NA()),NA())</f>
        <v/>
      </c>
      <c r="G2018" s="34">
        <f>IFERROR(IF(ISNUMBER($A2018),IF(AND(AH!$U$12=1,2013+1=AH!$U$6),IF(AH!$U$4=0,"unavailable",INDEX('Market Data'!$AK$5:$AK$66,AH!$U$4)),IF(AH!$U$5=1,INDEX('Live History'!$D$5:$D$3004,MATCH($A2018,'Live History'!$D$5:$D$3004,1)),INDEX('AH History'!$D$5:$GG$1380,$K2018,AH!$U$10+2))),NA()),NA())</f>
        <v/>
      </c>
      <c r="H2018" s="266">
        <f>IFERROR(IF(ISNUMBER($A2018),IF(AND(AH!$U$12=1,2013+1=AH!$U$6),IF(AH!$U$4=0,"unavailable",INDEX('Market Data'!$AP$5:$AP$66,AH!$U$4)),IF(AH!$U$5=1,INDEX('Live History'!$H$5:$H$3004,MATCH($A2018,'Live History'!$G$5:$G$3004,1)),INDEX('AH History'!$B$5:$B$1380,$K2018))),NA()),NA())</f>
        <v/>
      </c>
      <c r="I2018" s="34">
        <f>IFERROR(IF(ISNUMBER($A2018),IF(AND(AH!$U$12=1,2013+1=AH!$U$6),TODAY(),IF(AH!$U$5=1,INDEX('Live History'!$G$5:$G$3004,MATCH($A2018,'Live History'!$G$5:$G$3004,1)),INDEX('AH History'!$C$5:$C$1380,$K2018))),NA()),NA())</f>
        <v/>
      </c>
      <c r="J2018" s="32">
        <f>IFERROR(IF(AND($F2018&gt;0,$H2018&gt;0,$A2018-$G2018&lt;=10,$A2018-$I2018&lt;=5,$G2018&gt;0,$I2018&gt;0),$F2018*$H2018,NA()),NA())</f>
        <v/>
      </c>
      <c r="K2018" s="15">
        <f>IF($A2018="","",IF(AH!$U$5=1,IFERROR(MATCH($A2018,'Live History'!$A$5:$A$3004,0),0),AH!$U$7+2013))</f>
        <v/>
      </c>
      <c r="L2018" s="15">
        <f>IF(ISNUMBER(A2018),TEXT(A2018,"dd-mmm-yy"),"")</f>
        <v/>
      </c>
    </row>
    <row r="2019">
      <c r="A2019" s="14">
        <f>IF(OR(AH!$U$4=0,2014+1&gt;AH!$U$6,AND(AH!$M$5="Bloomberg",AH!$U$5=0)),"",IFERROR(IF(AND(AH!$U$12=1,2014+1=AH!$U$6),TODAY(),IF(AH!$U$5=1,INDEX('Live History'!$A$5:$A$3004,AH!$U$7+2014),INDEX('AH History'!$A$5:$A$1380,AH!$U$7+2014))),""))</f>
        <v/>
      </c>
      <c r="B2019" s="33">
        <f>IFERROR(IF(AH!$U$11=1,NA(),$J2019/$E2019-1),NA())</f>
        <v/>
      </c>
      <c r="C2019" s="269">
        <f>IFERROR(100*$E2019/$E$5,NA())</f>
        <v/>
      </c>
      <c r="D2019" s="269">
        <f>IFERROR(100*$J2019/$J$5,NA())</f>
        <v/>
      </c>
      <c r="E2019" s="32">
        <f>IFERROR(IF(AND(ISNUMBER($A2019),N(IF(AND(AH!$U$12=1,2014+1=AH!$U$6),IF(AH!$U$4=0,"unavailable",INDEX('Market Data'!$AN$5:$AN$66,AH!$U$4)),IF(AH!$U$5=1,INDEX('Live History'!$B$5:$B$3004,$K2019),INDEX('AH History'!$D$5:$GG$1380,$K2019,AH!$U$10))))&gt;0),IF(AND(AH!$U$12=1,2014+1=AH!$U$6),IF(AH!$U$4=0,"unavailable",INDEX('Market Data'!$AN$5:$AN$66,AH!$U$4)),IF(AH!$U$5=1,INDEX('Live History'!$B$5:$B$3004,$K2019),INDEX('AH History'!$D$5:$GG$1380,$K2019,AH!$U$10))),NA()),NA())</f>
        <v/>
      </c>
      <c r="F2019" s="32">
        <f>IFERROR(IF(ISNUMBER($A2019),IF(AND(AH!$U$12=1,2014+1=AH!$U$6),IF(AH!$U$4=0,"unavailable",INDEX('Market Data'!$AO$5:$AO$66,AH!$U$4)),IF(AH!$U$5=1,INDEX('Live History'!$E$5:$E$3004,MATCH($A2019,'Live History'!$D$5:$D$3004,1)),INDEX('AH History'!$D$5:$GG$1380,$K2019,AH!$U$10+1))),NA()),NA())</f>
        <v/>
      </c>
      <c r="G2019" s="34">
        <f>IFERROR(IF(ISNUMBER($A2019),IF(AND(AH!$U$12=1,2014+1=AH!$U$6),IF(AH!$U$4=0,"unavailable",INDEX('Market Data'!$AK$5:$AK$66,AH!$U$4)),IF(AH!$U$5=1,INDEX('Live History'!$D$5:$D$3004,MATCH($A2019,'Live History'!$D$5:$D$3004,1)),INDEX('AH History'!$D$5:$GG$1380,$K2019,AH!$U$10+2))),NA()),NA())</f>
        <v/>
      </c>
      <c r="H2019" s="266">
        <f>IFERROR(IF(ISNUMBER($A2019),IF(AND(AH!$U$12=1,2014+1=AH!$U$6),IF(AH!$U$4=0,"unavailable",INDEX('Market Data'!$AP$5:$AP$66,AH!$U$4)),IF(AH!$U$5=1,INDEX('Live History'!$H$5:$H$3004,MATCH($A2019,'Live History'!$G$5:$G$3004,1)),INDEX('AH History'!$B$5:$B$1380,$K2019))),NA()),NA())</f>
        <v/>
      </c>
      <c r="I2019" s="34">
        <f>IFERROR(IF(ISNUMBER($A2019),IF(AND(AH!$U$12=1,2014+1=AH!$U$6),TODAY(),IF(AH!$U$5=1,INDEX('Live History'!$G$5:$G$3004,MATCH($A2019,'Live History'!$G$5:$G$3004,1)),INDEX('AH History'!$C$5:$C$1380,$K2019))),NA()),NA())</f>
        <v/>
      </c>
      <c r="J2019" s="32">
        <f>IFERROR(IF(AND($F2019&gt;0,$H2019&gt;0,$A2019-$G2019&lt;=10,$A2019-$I2019&lt;=5,$G2019&gt;0,$I2019&gt;0),$F2019*$H2019,NA()),NA())</f>
        <v/>
      </c>
      <c r="K2019" s="15">
        <f>IF($A2019="","",IF(AH!$U$5=1,IFERROR(MATCH($A2019,'Live History'!$A$5:$A$3004,0),0),AH!$U$7+2014))</f>
        <v/>
      </c>
      <c r="L2019" s="15">
        <f>IF(ISNUMBER(A2019),TEXT(A2019,"dd-mmm-yy"),"")</f>
        <v/>
      </c>
    </row>
    <row r="2020">
      <c r="A2020" s="14">
        <f>IF(OR(AH!$U$4=0,2015+1&gt;AH!$U$6,AND(AH!$M$5="Bloomberg",AH!$U$5=0)),"",IFERROR(IF(AND(AH!$U$12=1,2015+1=AH!$U$6),TODAY(),IF(AH!$U$5=1,INDEX('Live History'!$A$5:$A$3004,AH!$U$7+2015),INDEX('AH History'!$A$5:$A$1380,AH!$U$7+2015))),""))</f>
        <v/>
      </c>
      <c r="B2020" s="33">
        <f>IFERROR(IF(AH!$U$11=1,NA(),$J2020/$E2020-1),NA())</f>
        <v/>
      </c>
      <c r="C2020" s="269">
        <f>IFERROR(100*$E2020/$E$5,NA())</f>
        <v/>
      </c>
      <c r="D2020" s="269">
        <f>IFERROR(100*$J2020/$J$5,NA())</f>
        <v/>
      </c>
      <c r="E2020" s="32">
        <f>IFERROR(IF(AND(ISNUMBER($A2020),N(IF(AND(AH!$U$12=1,2015+1=AH!$U$6),IF(AH!$U$4=0,"unavailable",INDEX('Market Data'!$AN$5:$AN$66,AH!$U$4)),IF(AH!$U$5=1,INDEX('Live History'!$B$5:$B$3004,$K2020),INDEX('AH History'!$D$5:$GG$1380,$K2020,AH!$U$10))))&gt;0),IF(AND(AH!$U$12=1,2015+1=AH!$U$6),IF(AH!$U$4=0,"unavailable",INDEX('Market Data'!$AN$5:$AN$66,AH!$U$4)),IF(AH!$U$5=1,INDEX('Live History'!$B$5:$B$3004,$K2020),INDEX('AH History'!$D$5:$GG$1380,$K2020,AH!$U$10))),NA()),NA())</f>
        <v/>
      </c>
      <c r="F2020" s="32">
        <f>IFERROR(IF(ISNUMBER($A2020),IF(AND(AH!$U$12=1,2015+1=AH!$U$6),IF(AH!$U$4=0,"unavailable",INDEX('Market Data'!$AO$5:$AO$66,AH!$U$4)),IF(AH!$U$5=1,INDEX('Live History'!$E$5:$E$3004,MATCH($A2020,'Live History'!$D$5:$D$3004,1)),INDEX('AH History'!$D$5:$GG$1380,$K2020,AH!$U$10+1))),NA()),NA())</f>
        <v/>
      </c>
      <c r="G2020" s="34">
        <f>IFERROR(IF(ISNUMBER($A2020),IF(AND(AH!$U$12=1,2015+1=AH!$U$6),IF(AH!$U$4=0,"unavailable",INDEX('Market Data'!$AK$5:$AK$66,AH!$U$4)),IF(AH!$U$5=1,INDEX('Live History'!$D$5:$D$3004,MATCH($A2020,'Live History'!$D$5:$D$3004,1)),INDEX('AH History'!$D$5:$GG$1380,$K2020,AH!$U$10+2))),NA()),NA())</f>
        <v/>
      </c>
      <c r="H2020" s="266">
        <f>IFERROR(IF(ISNUMBER($A2020),IF(AND(AH!$U$12=1,2015+1=AH!$U$6),IF(AH!$U$4=0,"unavailable",INDEX('Market Data'!$AP$5:$AP$66,AH!$U$4)),IF(AH!$U$5=1,INDEX('Live History'!$H$5:$H$3004,MATCH($A2020,'Live History'!$G$5:$G$3004,1)),INDEX('AH History'!$B$5:$B$1380,$K2020))),NA()),NA())</f>
        <v/>
      </c>
      <c r="I2020" s="34">
        <f>IFERROR(IF(ISNUMBER($A2020),IF(AND(AH!$U$12=1,2015+1=AH!$U$6),TODAY(),IF(AH!$U$5=1,INDEX('Live History'!$G$5:$G$3004,MATCH($A2020,'Live History'!$G$5:$G$3004,1)),INDEX('AH History'!$C$5:$C$1380,$K2020))),NA()),NA())</f>
        <v/>
      </c>
      <c r="J2020" s="32">
        <f>IFERROR(IF(AND($F2020&gt;0,$H2020&gt;0,$A2020-$G2020&lt;=10,$A2020-$I2020&lt;=5,$G2020&gt;0,$I2020&gt;0),$F2020*$H2020,NA()),NA())</f>
        <v/>
      </c>
      <c r="K2020" s="15">
        <f>IF($A2020="","",IF(AH!$U$5=1,IFERROR(MATCH($A2020,'Live History'!$A$5:$A$3004,0),0),AH!$U$7+2015))</f>
        <v/>
      </c>
      <c r="L2020" s="15">
        <f>IF(ISNUMBER(A2020),TEXT(A2020,"dd-mmm-yy"),"")</f>
        <v/>
      </c>
    </row>
    <row r="2021">
      <c r="A2021" s="14">
        <f>IF(OR(AH!$U$4=0,2016+1&gt;AH!$U$6,AND(AH!$M$5="Bloomberg",AH!$U$5=0)),"",IFERROR(IF(AND(AH!$U$12=1,2016+1=AH!$U$6),TODAY(),IF(AH!$U$5=1,INDEX('Live History'!$A$5:$A$3004,AH!$U$7+2016),INDEX('AH History'!$A$5:$A$1380,AH!$U$7+2016))),""))</f>
        <v/>
      </c>
      <c r="B2021" s="33">
        <f>IFERROR(IF(AH!$U$11=1,NA(),$J2021/$E2021-1),NA())</f>
        <v/>
      </c>
      <c r="C2021" s="269">
        <f>IFERROR(100*$E2021/$E$5,NA())</f>
        <v/>
      </c>
      <c r="D2021" s="269">
        <f>IFERROR(100*$J2021/$J$5,NA())</f>
        <v/>
      </c>
      <c r="E2021" s="32">
        <f>IFERROR(IF(AND(ISNUMBER($A2021),N(IF(AND(AH!$U$12=1,2016+1=AH!$U$6),IF(AH!$U$4=0,"unavailable",INDEX('Market Data'!$AN$5:$AN$66,AH!$U$4)),IF(AH!$U$5=1,INDEX('Live History'!$B$5:$B$3004,$K2021),INDEX('AH History'!$D$5:$GG$1380,$K2021,AH!$U$10))))&gt;0),IF(AND(AH!$U$12=1,2016+1=AH!$U$6),IF(AH!$U$4=0,"unavailable",INDEX('Market Data'!$AN$5:$AN$66,AH!$U$4)),IF(AH!$U$5=1,INDEX('Live History'!$B$5:$B$3004,$K2021),INDEX('AH History'!$D$5:$GG$1380,$K2021,AH!$U$10))),NA()),NA())</f>
        <v/>
      </c>
      <c r="F2021" s="32">
        <f>IFERROR(IF(ISNUMBER($A2021),IF(AND(AH!$U$12=1,2016+1=AH!$U$6),IF(AH!$U$4=0,"unavailable",INDEX('Market Data'!$AO$5:$AO$66,AH!$U$4)),IF(AH!$U$5=1,INDEX('Live History'!$E$5:$E$3004,MATCH($A2021,'Live History'!$D$5:$D$3004,1)),INDEX('AH History'!$D$5:$GG$1380,$K2021,AH!$U$10+1))),NA()),NA())</f>
        <v/>
      </c>
      <c r="G2021" s="34">
        <f>IFERROR(IF(ISNUMBER($A2021),IF(AND(AH!$U$12=1,2016+1=AH!$U$6),IF(AH!$U$4=0,"unavailable",INDEX('Market Data'!$AK$5:$AK$66,AH!$U$4)),IF(AH!$U$5=1,INDEX('Live History'!$D$5:$D$3004,MATCH($A2021,'Live History'!$D$5:$D$3004,1)),INDEX('AH History'!$D$5:$GG$1380,$K2021,AH!$U$10+2))),NA()),NA())</f>
        <v/>
      </c>
      <c r="H2021" s="266">
        <f>IFERROR(IF(ISNUMBER($A2021),IF(AND(AH!$U$12=1,2016+1=AH!$U$6),IF(AH!$U$4=0,"unavailable",INDEX('Market Data'!$AP$5:$AP$66,AH!$U$4)),IF(AH!$U$5=1,INDEX('Live History'!$H$5:$H$3004,MATCH($A2021,'Live History'!$G$5:$G$3004,1)),INDEX('AH History'!$B$5:$B$1380,$K2021))),NA()),NA())</f>
        <v/>
      </c>
      <c r="I2021" s="34">
        <f>IFERROR(IF(ISNUMBER($A2021),IF(AND(AH!$U$12=1,2016+1=AH!$U$6),TODAY(),IF(AH!$U$5=1,INDEX('Live History'!$G$5:$G$3004,MATCH($A2021,'Live History'!$G$5:$G$3004,1)),INDEX('AH History'!$C$5:$C$1380,$K2021))),NA()),NA())</f>
        <v/>
      </c>
      <c r="J2021" s="32">
        <f>IFERROR(IF(AND($F2021&gt;0,$H2021&gt;0,$A2021-$G2021&lt;=10,$A2021-$I2021&lt;=5,$G2021&gt;0,$I2021&gt;0),$F2021*$H2021,NA()),NA())</f>
        <v/>
      </c>
      <c r="K2021" s="15">
        <f>IF($A2021="","",IF(AH!$U$5=1,IFERROR(MATCH($A2021,'Live History'!$A$5:$A$3004,0),0),AH!$U$7+2016))</f>
        <v/>
      </c>
      <c r="L2021" s="15">
        <f>IF(ISNUMBER(A2021),TEXT(A2021,"dd-mmm-yy"),"")</f>
        <v/>
      </c>
    </row>
    <row r="2022">
      <c r="A2022" s="14">
        <f>IF(OR(AH!$U$4=0,2017+1&gt;AH!$U$6,AND(AH!$M$5="Bloomberg",AH!$U$5=0)),"",IFERROR(IF(AND(AH!$U$12=1,2017+1=AH!$U$6),TODAY(),IF(AH!$U$5=1,INDEX('Live History'!$A$5:$A$3004,AH!$U$7+2017),INDEX('AH History'!$A$5:$A$1380,AH!$U$7+2017))),""))</f>
        <v/>
      </c>
      <c r="B2022" s="33">
        <f>IFERROR(IF(AH!$U$11=1,NA(),$J2022/$E2022-1),NA())</f>
        <v/>
      </c>
      <c r="C2022" s="269">
        <f>IFERROR(100*$E2022/$E$5,NA())</f>
        <v/>
      </c>
      <c r="D2022" s="269">
        <f>IFERROR(100*$J2022/$J$5,NA())</f>
        <v/>
      </c>
      <c r="E2022" s="32">
        <f>IFERROR(IF(AND(ISNUMBER($A2022),N(IF(AND(AH!$U$12=1,2017+1=AH!$U$6),IF(AH!$U$4=0,"unavailable",INDEX('Market Data'!$AN$5:$AN$66,AH!$U$4)),IF(AH!$U$5=1,INDEX('Live History'!$B$5:$B$3004,$K2022),INDEX('AH History'!$D$5:$GG$1380,$K2022,AH!$U$10))))&gt;0),IF(AND(AH!$U$12=1,2017+1=AH!$U$6),IF(AH!$U$4=0,"unavailable",INDEX('Market Data'!$AN$5:$AN$66,AH!$U$4)),IF(AH!$U$5=1,INDEX('Live History'!$B$5:$B$3004,$K2022),INDEX('AH History'!$D$5:$GG$1380,$K2022,AH!$U$10))),NA()),NA())</f>
        <v/>
      </c>
      <c r="F2022" s="32">
        <f>IFERROR(IF(ISNUMBER($A2022),IF(AND(AH!$U$12=1,2017+1=AH!$U$6),IF(AH!$U$4=0,"unavailable",INDEX('Market Data'!$AO$5:$AO$66,AH!$U$4)),IF(AH!$U$5=1,INDEX('Live History'!$E$5:$E$3004,MATCH($A2022,'Live History'!$D$5:$D$3004,1)),INDEX('AH History'!$D$5:$GG$1380,$K2022,AH!$U$10+1))),NA()),NA())</f>
        <v/>
      </c>
      <c r="G2022" s="34">
        <f>IFERROR(IF(ISNUMBER($A2022),IF(AND(AH!$U$12=1,2017+1=AH!$U$6),IF(AH!$U$4=0,"unavailable",INDEX('Market Data'!$AK$5:$AK$66,AH!$U$4)),IF(AH!$U$5=1,INDEX('Live History'!$D$5:$D$3004,MATCH($A2022,'Live History'!$D$5:$D$3004,1)),INDEX('AH History'!$D$5:$GG$1380,$K2022,AH!$U$10+2))),NA()),NA())</f>
        <v/>
      </c>
      <c r="H2022" s="266">
        <f>IFERROR(IF(ISNUMBER($A2022),IF(AND(AH!$U$12=1,2017+1=AH!$U$6),IF(AH!$U$4=0,"unavailable",INDEX('Market Data'!$AP$5:$AP$66,AH!$U$4)),IF(AH!$U$5=1,INDEX('Live History'!$H$5:$H$3004,MATCH($A2022,'Live History'!$G$5:$G$3004,1)),INDEX('AH History'!$B$5:$B$1380,$K2022))),NA()),NA())</f>
        <v/>
      </c>
      <c r="I2022" s="34">
        <f>IFERROR(IF(ISNUMBER($A2022),IF(AND(AH!$U$12=1,2017+1=AH!$U$6),TODAY(),IF(AH!$U$5=1,INDEX('Live History'!$G$5:$G$3004,MATCH($A2022,'Live History'!$G$5:$G$3004,1)),INDEX('AH History'!$C$5:$C$1380,$K2022))),NA()),NA())</f>
        <v/>
      </c>
      <c r="J2022" s="32">
        <f>IFERROR(IF(AND($F2022&gt;0,$H2022&gt;0,$A2022-$G2022&lt;=10,$A2022-$I2022&lt;=5,$G2022&gt;0,$I2022&gt;0),$F2022*$H2022,NA()),NA())</f>
        <v/>
      </c>
      <c r="K2022" s="15">
        <f>IF($A2022="","",IF(AH!$U$5=1,IFERROR(MATCH($A2022,'Live History'!$A$5:$A$3004,0),0),AH!$U$7+2017))</f>
        <v/>
      </c>
      <c r="L2022" s="15">
        <f>IF(ISNUMBER(A2022),TEXT(A2022,"dd-mmm-yy"),"")</f>
        <v/>
      </c>
    </row>
    <row r="2023">
      <c r="A2023" s="14">
        <f>IF(OR(AH!$U$4=0,2018+1&gt;AH!$U$6,AND(AH!$M$5="Bloomberg",AH!$U$5=0)),"",IFERROR(IF(AND(AH!$U$12=1,2018+1=AH!$U$6),TODAY(),IF(AH!$U$5=1,INDEX('Live History'!$A$5:$A$3004,AH!$U$7+2018),INDEX('AH History'!$A$5:$A$1380,AH!$U$7+2018))),""))</f>
        <v/>
      </c>
      <c r="B2023" s="33">
        <f>IFERROR(IF(AH!$U$11=1,NA(),$J2023/$E2023-1),NA())</f>
        <v/>
      </c>
      <c r="C2023" s="269">
        <f>IFERROR(100*$E2023/$E$5,NA())</f>
        <v/>
      </c>
      <c r="D2023" s="269">
        <f>IFERROR(100*$J2023/$J$5,NA())</f>
        <v/>
      </c>
      <c r="E2023" s="32">
        <f>IFERROR(IF(AND(ISNUMBER($A2023),N(IF(AND(AH!$U$12=1,2018+1=AH!$U$6),IF(AH!$U$4=0,"unavailable",INDEX('Market Data'!$AN$5:$AN$66,AH!$U$4)),IF(AH!$U$5=1,INDEX('Live History'!$B$5:$B$3004,$K2023),INDEX('AH History'!$D$5:$GG$1380,$K2023,AH!$U$10))))&gt;0),IF(AND(AH!$U$12=1,2018+1=AH!$U$6),IF(AH!$U$4=0,"unavailable",INDEX('Market Data'!$AN$5:$AN$66,AH!$U$4)),IF(AH!$U$5=1,INDEX('Live History'!$B$5:$B$3004,$K2023),INDEX('AH History'!$D$5:$GG$1380,$K2023,AH!$U$10))),NA()),NA())</f>
        <v/>
      </c>
      <c r="F2023" s="32">
        <f>IFERROR(IF(ISNUMBER($A2023),IF(AND(AH!$U$12=1,2018+1=AH!$U$6),IF(AH!$U$4=0,"unavailable",INDEX('Market Data'!$AO$5:$AO$66,AH!$U$4)),IF(AH!$U$5=1,INDEX('Live History'!$E$5:$E$3004,MATCH($A2023,'Live History'!$D$5:$D$3004,1)),INDEX('AH History'!$D$5:$GG$1380,$K2023,AH!$U$10+1))),NA()),NA())</f>
        <v/>
      </c>
      <c r="G2023" s="34">
        <f>IFERROR(IF(ISNUMBER($A2023),IF(AND(AH!$U$12=1,2018+1=AH!$U$6),IF(AH!$U$4=0,"unavailable",INDEX('Market Data'!$AK$5:$AK$66,AH!$U$4)),IF(AH!$U$5=1,INDEX('Live History'!$D$5:$D$3004,MATCH($A2023,'Live History'!$D$5:$D$3004,1)),INDEX('AH History'!$D$5:$GG$1380,$K2023,AH!$U$10+2))),NA()),NA())</f>
        <v/>
      </c>
      <c r="H2023" s="266">
        <f>IFERROR(IF(ISNUMBER($A2023),IF(AND(AH!$U$12=1,2018+1=AH!$U$6),IF(AH!$U$4=0,"unavailable",INDEX('Market Data'!$AP$5:$AP$66,AH!$U$4)),IF(AH!$U$5=1,INDEX('Live History'!$H$5:$H$3004,MATCH($A2023,'Live History'!$G$5:$G$3004,1)),INDEX('AH History'!$B$5:$B$1380,$K2023))),NA()),NA())</f>
        <v/>
      </c>
      <c r="I2023" s="34">
        <f>IFERROR(IF(ISNUMBER($A2023),IF(AND(AH!$U$12=1,2018+1=AH!$U$6),TODAY(),IF(AH!$U$5=1,INDEX('Live History'!$G$5:$G$3004,MATCH($A2023,'Live History'!$G$5:$G$3004,1)),INDEX('AH History'!$C$5:$C$1380,$K2023))),NA()),NA())</f>
        <v/>
      </c>
      <c r="J2023" s="32">
        <f>IFERROR(IF(AND($F2023&gt;0,$H2023&gt;0,$A2023-$G2023&lt;=10,$A2023-$I2023&lt;=5,$G2023&gt;0,$I2023&gt;0),$F2023*$H2023,NA()),NA())</f>
        <v/>
      </c>
      <c r="K2023" s="15">
        <f>IF($A2023="","",IF(AH!$U$5=1,IFERROR(MATCH($A2023,'Live History'!$A$5:$A$3004,0),0),AH!$U$7+2018))</f>
        <v/>
      </c>
      <c r="L2023" s="15">
        <f>IF(ISNUMBER(A2023),TEXT(A2023,"dd-mmm-yy"),"")</f>
        <v/>
      </c>
    </row>
    <row r="2024">
      <c r="A2024" s="14">
        <f>IF(OR(AH!$U$4=0,2019+1&gt;AH!$U$6,AND(AH!$M$5="Bloomberg",AH!$U$5=0)),"",IFERROR(IF(AND(AH!$U$12=1,2019+1=AH!$U$6),TODAY(),IF(AH!$U$5=1,INDEX('Live History'!$A$5:$A$3004,AH!$U$7+2019),INDEX('AH History'!$A$5:$A$1380,AH!$U$7+2019))),""))</f>
        <v/>
      </c>
      <c r="B2024" s="33">
        <f>IFERROR(IF(AH!$U$11=1,NA(),$J2024/$E2024-1),NA())</f>
        <v/>
      </c>
      <c r="C2024" s="269">
        <f>IFERROR(100*$E2024/$E$5,NA())</f>
        <v/>
      </c>
      <c r="D2024" s="269">
        <f>IFERROR(100*$J2024/$J$5,NA())</f>
        <v/>
      </c>
      <c r="E2024" s="32">
        <f>IFERROR(IF(AND(ISNUMBER($A2024),N(IF(AND(AH!$U$12=1,2019+1=AH!$U$6),IF(AH!$U$4=0,"unavailable",INDEX('Market Data'!$AN$5:$AN$66,AH!$U$4)),IF(AH!$U$5=1,INDEX('Live History'!$B$5:$B$3004,$K2024),INDEX('AH History'!$D$5:$GG$1380,$K2024,AH!$U$10))))&gt;0),IF(AND(AH!$U$12=1,2019+1=AH!$U$6),IF(AH!$U$4=0,"unavailable",INDEX('Market Data'!$AN$5:$AN$66,AH!$U$4)),IF(AH!$U$5=1,INDEX('Live History'!$B$5:$B$3004,$K2024),INDEX('AH History'!$D$5:$GG$1380,$K2024,AH!$U$10))),NA()),NA())</f>
        <v/>
      </c>
      <c r="F2024" s="32">
        <f>IFERROR(IF(ISNUMBER($A2024),IF(AND(AH!$U$12=1,2019+1=AH!$U$6),IF(AH!$U$4=0,"unavailable",INDEX('Market Data'!$AO$5:$AO$66,AH!$U$4)),IF(AH!$U$5=1,INDEX('Live History'!$E$5:$E$3004,MATCH($A2024,'Live History'!$D$5:$D$3004,1)),INDEX('AH History'!$D$5:$GG$1380,$K2024,AH!$U$10+1))),NA()),NA())</f>
        <v/>
      </c>
      <c r="G2024" s="34">
        <f>IFERROR(IF(ISNUMBER($A2024),IF(AND(AH!$U$12=1,2019+1=AH!$U$6),IF(AH!$U$4=0,"unavailable",INDEX('Market Data'!$AK$5:$AK$66,AH!$U$4)),IF(AH!$U$5=1,INDEX('Live History'!$D$5:$D$3004,MATCH($A2024,'Live History'!$D$5:$D$3004,1)),INDEX('AH History'!$D$5:$GG$1380,$K2024,AH!$U$10+2))),NA()),NA())</f>
        <v/>
      </c>
      <c r="H2024" s="266">
        <f>IFERROR(IF(ISNUMBER($A2024),IF(AND(AH!$U$12=1,2019+1=AH!$U$6),IF(AH!$U$4=0,"unavailable",INDEX('Market Data'!$AP$5:$AP$66,AH!$U$4)),IF(AH!$U$5=1,INDEX('Live History'!$H$5:$H$3004,MATCH($A2024,'Live History'!$G$5:$G$3004,1)),INDEX('AH History'!$B$5:$B$1380,$K2024))),NA()),NA())</f>
        <v/>
      </c>
      <c r="I2024" s="34">
        <f>IFERROR(IF(ISNUMBER($A2024),IF(AND(AH!$U$12=1,2019+1=AH!$U$6),TODAY(),IF(AH!$U$5=1,INDEX('Live History'!$G$5:$G$3004,MATCH($A2024,'Live History'!$G$5:$G$3004,1)),INDEX('AH History'!$C$5:$C$1380,$K2024))),NA()),NA())</f>
        <v/>
      </c>
      <c r="J2024" s="32">
        <f>IFERROR(IF(AND($F2024&gt;0,$H2024&gt;0,$A2024-$G2024&lt;=10,$A2024-$I2024&lt;=5,$G2024&gt;0,$I2024&gt;0),$F2024*$H2024,NA()),NA())</f>
        <v/>
      </c>
      <c r="K2024" s="15">
        <f>IF($A2024="","",IF(AH!$U$5=1,IFERROR(MATCH($A2024,'Live History'!$A$5:$A$3004,0),0),AH!$U$7+2019))</f>
        <v/>
      </c>
      <c r="L2024" s="15">
        <f>IF(ISNUMBER(A2024),TEXT(A2024,"dd-mmm-yy"),"")</f>
        <v/>
      </c>
    </row>
    <row r="2025">
      <c r="A2025" s="14">
        <f>IF(OR(AH!$U$4=0,2020+1&gt;AH!$U$6,AND(AH!$M$5="Bloomberg",AH!$U$5=0)),"",IFERROR(IF(AND(AH!$U$12=1,2020+1=AH!$U$6),TODAY(),IF(AH!$U$5=1,INDEX('Live History'!$A$5:$A$3004,AH!$U$7+2020),INDEX('AH History'!$A$5:$A$1380,AH!$U$7+2020))),""))</f>
        <v/>
      </c>
      <c r="B2025" s="33">
        <f>IFERROR(IF(AH!$U$11=1,NA(),$J2025/$E2025-1),NA())</f>
        <v/>
      </c>
      <c r="C2025" s="269">
        <f>IFERROR(100*$E2025/$E$5,NA())</f>
        <v/>
      </c>
      <c r="D2025" s="269">
        <f>IFERROR(100*$J2025/$J$5,NA())</f>
        <v/>
      </c>
      <c r="E2025" s="32">
        <f>IFERROR(IF(AND(ISNUMBER($A2025),N(IF(AND(AH!$U$12=1,2020+1=AH!$U$6),IF(AH!$U$4=0,"unavailable",INDEX('Market Data'!$AN$5:$AN$66,AH!$U$4)),IF(AH!$U$5=1,INDEX('Live History'!$B$5:$B$3004,$K2025),INDEX('AH History'!$D$5:$GG$1380,$K2025,AH!$U$10))))&gt;0),IF(AND(AH!$U$12=1,2020+1=AH!$U$6),IF(AH!$U$4=0,"unavailable",INDEX('Market Data'!$AN$5:$AN$66,AH!$U$4)),IF(AH!$U$5=1,INDEX('Live History'!$B$5:$B$3004,$K2025),INDEX('AH History'!$D$5:$GG$1380,$K2025,AH!$U$10))),NA()),NA())</f>
        <v/>
      </c>
      <c r="F2025" s="32">
        <f>IFERROR(IF(ISNUMBER($A2025),IF(AND(AH!$U$12=1,2020+1=AH!$U$6),IF(AH!$U$4=0,"unavailable",INDEX('Market Data'!$AO$5:$AO$66,AH!$U$4)),IF(AH!$U$5=1,INDEX('Live History'!$E$5:$E$3004,MATCH($A2025,'Live History'!$D$5:$D$3004,1)),INDEX('AH History'!$D$5:$GG$1380,$K2025,AH!$U$10+1))),NA()),NA())</f>
        <v/>
      </c>
      <c r="G2025" s="34">
        <f>IFERROR(IF(ISNUMBER($A2025),IF(AND(AH!$U$12=1,2020+1=AH!$U$6),IF(AH!$U$4=0,"unavailable",INDEX('Market Data'!$AK$5:$AK$66,AH!$U$4)),IF(AH!$U$5=1,INDEX('Live History'!$D$5:$D$3004,MATCH($A2025,'Live History'!$D$5:$D$3004,1)),INDEX('AH History'!$D$5:$GG$1380,$K2025,AH!$U$10+2))),NA()),NA())</f>
        <v/>
      </c>
      <c r="H2025" s="266">
        <f>IFERROR(IF(ISNUMBER($A2025),IF(AND(AH!$U$12=1,2020+1=AH!$U$6),IF(AH!$U$4=0,"unavailable",INDEX('Market Data'!$AP$5:$AP$66,AH!$U$4)),IF(AH!$U$5=1,INDEX('Live History'!$H$5:$H$3004,MATCH($A2025,'Live History'!$G$5:$G$3004,1)),INDEX('AH History'!$B$5:$B$1380,$K2025))),NA()),NA())</f>
        <v/>
      </c>
      <c r="I2025" s="34">
        <f>IFERROR(IF(ISNUMBER($A2025),IF(AND(AH!$U$12=1,2020+1=AH!$U$6),TODAY(),IF(AH!$U$5=1,INDEX('Live History'!$G$5:$G$3004,MATCH($A2025,'Live History'!$G$5:$G$3004,1)),INDEX('AH History'!$C$5:$C$1380,$K2025))),NA()),NA())</f>
        <v/>
      </c>
      <c r="J2025" s="32">
        <f>IFERROR(IF(AND($F2025&gt;0,$H2025&gt;0,$A2025-$G2025&lt;=10,$A2025-$I2025&lt;=5,$G2025&gt;0,$I2025&gt;0),$F2025*$H2025,NA()),NA())</f>
        <v/>
      </c>
      <c r="K2025" s="15">
        <f>IF($A2025="","",IF(AH!$U$5=1,IFERROR(MATCH($A2025,'Live History'!$A$5:$A$3004,0),0),AH!$U$7+2020))</f>
        <v/>
      </c>
      <c r="L2025" s="15">
        <f>IF(ISNUMBER(A2025),TEXT(A2025,"dd-mmm-yy"),"")</f>
        <v/>
      </c>
    </row>
    <row r="2026">
      <c r="A2026" s="14">
        <f>IF(OR(AH!$U$4=0,2021+1&gt;AH!$U$6,AND(AH!$M$5="Bloomberg",AH!$U$5=0)),"",IFERROR(IF(AND(AH!$U$12=1,2021+1=AH!$U$6),TODAY(),IF(AH!$U$5=1,INDEX('Live History'!$A$5:$A$3004,AH!$U$7+2021),INDEX('AH History'!$A$5:$A$1380,AH!$U$7+2021))),""))</f>
        <v/>
      </c>
      <c r="B2026" s="33">
        <f>IFERROR(IF(AH!$U$11=1,NA(),$J2026/$E2026-1),NA())</f>
        <v/>
      </c>
      <c r="C2026" s="269">
        <f>IFERROR(100*$E2026/$E$5,NA())</f>
        <v/>
      </c>
      <c r="D2026" s="269">
        <f>IFERROR(100*$J2026/$J$5,NA())</f>
        <v/>
      </c>
      <c r="E2026" s="32">
        <f>IFERROR(IF(AND(ISNUMBER($A2026),N(IF(AND(AH!$U$12=1,2021+1=AH!$U$6),IF(AH!$U$4=0,"unavailable",INDEX('Market Data'!$AN$5:$AN$66,AH!$U$4)),IF(AH!$U$5=1,INDEX('Live History'!$B$5:$B$3004,$K2026),INDEX('AH History'!$D$5:$GG$1380,$K2026,AH!$U$10))))&gt;0),IF(AND(AH!$U$12=1,2021+1=AH!$U$6),IF(AH!$U$4=0,"unavailable",INDEX('Market Data'!$AN$5:$AN$66,AH!$U$4)),IF(AH!$U$5=1,INDEX('Live History'!$B$5:$B$3004,$K2026),INDEX('AH History'!$D$5:$GG$1380,$K2026,AH!$U$10))),NA()),NA())</f>
        <v/>
      </c>
      <c r="F2026" s="32">
        <f>IFERROR(IF(ISNUMBER($A2026),IF(AND(AH!$U$12=1,2021+1=AH!$U$6),IF(AH!$U$4=0,"unavailable",INDEX('Market Data'!$AO$5:$AO$66,AH!$U$4)),IF(AH!$U$5=1,INDEX('Live History'!$E$5:$E$3004,MATCH($A2026,'Live History'!$D$5:$D$3004,1)),INDEX('AH History'!$D$5:$GG$1380,$K2026,AH!$U$10+1))),NA()),NA())</f>
        <v/>
      </c>
      <c r="G2026" s="34">
        <f>IFERROR(IF(ISNUMBER($A2026),IF(AND(AH!$U$12=1,2021+1=AH!$U$6),IF(AH!$U$4=0,"unavailable",INDEX('Market Data'!$AK$5:$AK$66,AH!$U$4)),IF(AH!$U$5=1,INDEX('Live History'!$D$5:$D$3004,MATCH($A2026,'Live History'!$D$5:$D$3004,1)),INDEX('AH History'!$D$5:$GG$1380,$K2026,AH!$U$10+2))),NA()),NA())</f>
        <v/>
      </c>
      <c r="H2026" s="266">
        <f>IFERROR(IF(ISNUMBER($A2026),IF(AND(AH!$U$12=1,2021+1=AH!$U$6),IF(AH!$U$4=0,"unavailable",INDEX('Market Data'!$AP$5:$AP$66,AH!$U$4)),IF(AH!$U$5=1,INDEX('Live History'!$H$5:$H$3004,MATCH($A2026,'Live History'!$G$5:$G$3004,1)),INDEX('AH History'!$B$5:$B$1380,$K2026))),NA()),NA())</f>
        <v/>
      </c>
      <c r="I2026" s="34">
        <f>IFERROR(IF(ISNUMBER($A2026),IF(AND(AH!$U$12=1,2021+1=AH!$U$6),TODAY(),IF(AH!$U$5=1,INDEX('Live History'!$G$5:$G$3004,MATCH($A2026,'Live History'!$G$5:$G$3004,1)),INDEX('AH History'!$C$5:$C$1380,$K2026))),NA()),NA())</f>
        <v/>
      </c>
      <c r="J2026" s="32">
        <f>IFERROR(IF(AND($F2026&gt;0,$H2026&gt;0,$A2026-$G2026&lt;=10,$A2026-$I2026&lt;=5,$G2026&gt;0,$I2026&gt;0),$F2026*$H2026,NA()),NA())</f>
        <v/>
      </c>
      <c r="K2026" s="15">
        <f>IF($A2026="","",IF(AH!$U$5=1,IFERROR(MATCH($A2026,'Live History'!$A$5:$A$3004,0),0),AH!$U$7+2021))</f>
        <v/>
      </c>
      <c r="L2026" s="15">
        <f>IF(ISNUMBER(A2026),TEXT(A2026,"dd-mmm-yy"),"")</f>
        <v/>
      </c>
    </row>
    <row r="2027">
      <c r="A2027" s="14">
        <f>IF(OR(AH!$U$4=0,2022+1&gt;AH!$U$6,AND(AH!$M$5="Bloomberg",AH!$U$5=0)),"",IFERROR(IF(AND(AH!$U$12=1,2022+1=AH!$U$6),TODAY(),IF(AH!$U$5=1,INDEX('Live History'!$A$5:$A$3004,AH!$U$7+2022),INDEX('AH History'!$A$5:$A$1380,AH!$U$7+2022))),""))</f>
        <v/>
      </c>
      <c r="B2027" s="33">
        <f>IFERROR(IF(AH!$U$11=1,NA(),$J2027/$E2027-1),NA())</f>
        <v/>
      </c>
      <c r="C2027" s="269">
        <f>IFERROR(100*$E2027/$E$5,NA())</f>
        <v/>
      </c>
      <c r="D2027" s="269">
        <f>IFERROR(100*$J2027/$J$5,NA())</f>
        <v/>
      </c>
      <c r="E2027" s="32">
        <f>IFERROR(IF(AND(ISNUMBER($A2027),N(IF(AND(AH!$U$12=1,2022+1=AH!$U$6),IF(AH!$U$4=0,"unavailable",INDEX('Market Data'!$AN$5:$AN$66,AH!$U$4)),IF(AH!$U$5=1,INDEX('Live History'!$B$5:$B$3004,$K2027),INDEX('AH History'!$D$5:$GG$1380,$K2027,AH!$U$10))))&gt;0),IF(AND(AH!$U$12=1,2022+1=AH!$U$6),IF(AH!$U$4=0,"unavailable",INDEX('Market Data'!$AN$5:$AN$66,AH!$U$4)),IF(AH!$U$5=1,INDEX('Live History'!$B$5:$B$3004,$K2027),INDEX('AH History'!$D$5:$GG$1380,$K2027,AH!$U$10))),NA()),NA())</f>
        <v/>
      </c>
      <c r="F2027" s="32">
        <f>IFERROR(IF(ISNUMBER($A2027),IF(AND(AH!$U$12=1,2022+1=AH!$U$6),IF(AH!$U$4=0,"unavailable",INDEX('Market Data'!$AO$5:$AO$66,AH!$U$4)),IF(AH!$U$5=1,INDEX('Live History'!$E$5:$E$3004,MATCH($A2027,'Live History'!$D$5:$D$3004,1)),INDEX('AH History'!$D$5:$GG$1380,$K2027,AH!$U$10+1))),NA()),NA())</f>
        <v/>
      </c>
      <c r="G2027" s="34">
        <f>IFERROR(IF(ISNUMBER($A2027),IF(AND(AH!$U$12=1,2022+1=AH!$U$6),IF(AH!$U$4=0,"unavailable",INDEX('Market Data'!$AK$5:$AK$66,AH!$U$4)),IF(AH!$U$5=1,INDEX('Live History'!$D$5:$D$3004,MATCH($A2027,'Live History'!$D$5:$D$3004,1)),INDEX('AH History'!$D$5:$GG$1380,$K2027,AH!$U$10+2))),NA()),NA())</f>
        <v/>
      </c>
      <c r="H2027" s="266">
        <f>IFERROR(IF(ISNUMBER($A2027),IF(AND(AH!$U$12=1,2022+1=AH!$U$6),IF(AH!$U$4=0,"unavailable",INDEX('Market Data'!$AP$5:$AP$66,AH!$U$4)),IF(AH!$U$5=1,INDEX('Live History'!$H$5:$H$3004,MATCH($A2027,'Live History'!$G$5:$G$3004,1)),INDEX('AH History'!$B$5:$B$1380,$K2027))),NA()),NA())</f>
        <v/>
      </c>
      <c r="I2027" s="34">
        <f>IFERROR(IF(ISNUMBER($A2027),IF(AND(AH!$U$12=1,2022+1=AH!$U$6),TODAY(),IF(AH!$U$5=1,INDEX('Live History'!$G$5:$G$3004,MATCH($A2027,'Live History'!$G$5:$G$3004,1)),INDEX('AH History'!$C$5:$C$1380,$K2027))),NA()),NA())</f>
        <v/>
      </c>
      <c r="J2027" s="32">
        <f>IFERROR(IF(AND($F2027&gt;0,$H2027&gt;0,$A2027-$G2027&lt;=10,$A2027-$I2027&lt;=5,$G2027&gt;0,$I2027&gt;0),$F2027*$H2027,NA()),NA())</f>
        <v/>
      </c>
      <c r="K2027" s="15">
        <f>IF($A2027="","",IF(AH!$U$5=1,IFERROR(MATCH($A2027,'Live History'!$A$5:$A$3004,0),0),AH!$U$7+2022))</f>
        <v/>
      </c>
      <c r="L2027" s="15">
        <f>IF(ISNUMBER(A2027),TEXT(A2027,"dd-mmm-yy"),"")</f>
        <v/>
      </c>
    </row>
    <row r="2028">
      <c r="A2028" s="14">
        <f>IF(OR(AH!$U$4=0,2023+1&gt;AH!$U$6,AND(AH!$M$5="Bloomberg",AH!$U$5=0)),"",IFERROR(IF(AND(AH!$U$12=1,2023+1=AH!$U$6),TODAY(),IF(AH!$U$5=1,INDEX('Live History'!$A$5:$A$3004,AH!$U$7+2023),INDEX('AH History'!$A$5:$A$1380,AH!$U$7+2023))),""))</f>
        <v/>
      </c>
      <c r="B2028" s="33">
        <f>IFERROR(IF(AH!$U$11=1,NA(),$J2028/$E2028-1),NA())</f>
        <v/>
      </c>
      <c r="C2028" s="269">
        <f>IFERROR(100*$E2028/$E$5,NA())</f>
        <v/>
      </c>
      <c r="D2028" s="269">
        <f>IFERROR(100*$J2028/$J$5,NA())</f>
        <v/>
      </c>
      <c r="E2028" s="32">
        <f>IFERROR(IF(AND(ISNUMBER($A2028),N(IF(AND(AH!$U$12=1,2023+1=AH!$U$6),IF(AH!$U$4=0,"unavailable",INDEX('Market Data'!$AN$5:$AN$66,AH!$U$4)),IF(AH!$U$5=1,INDEX('Live History'!$B$5:$B$3004,$K2028),INDEX('AH History'!$D$5:$GG$1380,$K2028,AH!$U$10))))&gt;0),IF(AND(AH!$U$12=1,2023+1=AH!$U$6),IF(AH!$U$4=0,"unavailable",INDEX('Market Data'!$AN$5:$AN$66,AH!$U$4)),IF(AH!$U$5=1,INDEX('Live History'!$B$5:$B$3004,$K2028),INDEX('AH History'!$D$5:$GG$1380,$K2028,AH!$U$10))),NA()),NA())</f>
        <v/>
      </c>
      <c r="F2028" s="32">
        <f>IFERROR(IF(ISNUMBER($A2028),IF(AND(AH!$U$12=1,2023+1=AH!$U$6),IF(AH!$U$4=0,"unavailable",INDEX('Market Data'!$AO$5:$AO$66,AH!$U$4)),IF(AH!$U$5=1,INDEX('Live History'!$E$5:$E$3004,MATCH($A2028,'Live History'!$D$5:$D$3004,1)),INDEX('AH History'!$D$5:$GG$1380,$K2028,AH!$U$10+1))),NA()),NA())</f>
        <v/>
      </c>
      <c r="G2028" s="34">
        <f>IFERROR(IF(ISNUMBER($A2028),IF(AND(AH!$U$12=1,2023+1=AH!$U$6),IF(AH!$U$4=0,"unavailable",INDEX('Market Data'!$AK$5:$AK$66,AH!$U$4)),IF(AH!$U$5=1,INDEX('Live History'!$D$5:$D$3004,MATCH($A2028,'Live History'!$D$5:$D$3004,1)),INDEX('AH History'!$D$5:$GG$1380,$K2028,AH!$U$10+2))),NA()),NA())</f>
        <v/>
      </c>
      <c r="H2028" s="266">
        <f>IFERROR(IF(ISNUMBER($A2028),IF(AND(AH!$U$12=1,2023+1=AH!$U$6),IF(AH!$U$4=0,"unavailable",INDEX('Market Data'!$AP$5:$AP$66,AH!$U$4)),IF(AH!$U$5=1,INDEX('Live History'!$H$5:$H$3004,MATCH($A2028,'Live History'!$G$5:$G$3004,1)),INDEX('AH History'!$B$5:$B$1380,$K2028))),NA()),NA())</f>
        <v/>
      </c>
      <c r="I2028" s="34">
        <f>IFERROR(IF(ISNUMBER($A2028),IF(AND(AH!$U$12=1,2023+1=AH!$U$6),TODAY(),IF(AH!$U$5=1,INDEX('Live History'!$G$5:$G$3004,MATCH($A2028,'Live History'!$G$5:$G$3004,1)),INDEX('AH History'!$C$5:$C$1380,$K2028))),NA()),NA())</f>
        <v/>
      </c>
      <c r="J2028" s="32">
        <f>IFERROR(IF(AND($F2028&gt;0,$H2028&gt;0,$A2028-$G2028&lt;=10,$A2028-$I2028&lt;=5,$G2028&gt;0,$I2028&gt;0),$F2028*$H2028,NA()),NA())</f>
        <v/>
      </c>
      <c r="K2028" s="15">
        <f>IF($A2028="","",IF(AH!$U$5=1,IFERROR(MATCH($A2028,'Live History'!$A$5:$A$3004,0),0),AH!$U$7+2023))</f>
        <v/>
      </c>
      <c r="L2028" s="15">
        <f>IF(ISNUMBER(A2028),TEXT(A2028,"dd-mmm-yy"),"")</f>
        <v/>
      </c>
    </row>
    <row r="2029">
      <c r="A2029" s="14">
        <f>IF(OR(AH!$U$4=0,2024+1&gt;AH!$U$6,AND(AH!$M$5="Bloomberg",AH!$U$5=0)),"",IFERROR(IF(AND(AH!$U$12=1,2024+1=AH!$U$6),TODAY(),IF(AH!$U$5=1,INDEX('Live History'!$A$5:$A$3004,AH!$U$7+2024),INDEX('AH History'!$A$5:$A$1380,AH!$U$7+2024))),""))</f>
        <v/>
      </c>
      <c r="B2029" s="33">
        <f>IFERROR(IF(AH!$U$11=1,NA(),$J2029/$E2029-1),NA())</f>
        <v/>
      </c>
      <c r="C2029" s="269">
        <f>IFERROR(100*$E2029/$E$5,NA())</f>
        <v/>
      </c>
      <c r="D2029" s="269">
        <f>IFERROR(100*$J2029/$J$5,NA())</f>
        <v/>
      </c>
      <c r="E2029" s="32">
        <f>IFERROR(IF(AND(ISNUMBER($A2029),N(IF(AND(AH!$U$12=1,2024+1=AH!$U$6),IF(AH!$U$4=0,"unavailable",INDEX('Market Data'!$AN$5:$AN$66,AH!$U$4)),IF(AH!$U$5=1,INDEX('Live History'!$B$5:$B$3004,$K2029),INDEX('AH History'!$D$5:$GG$1380,$K2029,AH!$U$10))))&gt;0),IF(AND(AH!$U$12=1,2024+1=AH!$U$6),IF(AH!$U$4=0,"unavailable",INDEX('Market Data'!$AN$5:$AN$66,AH!$U$4)),IF(AH!$U$5=1,INDEX('Live History'!$B$5:$B$3004,$K2029),INDEX('AH History'!$D$5:$GG$1380,$K2029,AH!$U$10))),NA()),NA())</f>
        <v/>
      </c>
      <c r="F2029" s="32">
        <f>IFERROR(IF(ISNUMBER($A2029),IF(AND(AH!$U$12=1,2024+1=AH!$U$6),IF(AH!$U$4=0,"unavailable",INDEX('Market Data'!$AO$5:$AO$66,AH!$U$4)),IF(AH!$U$5=1,INDEX('Live History'!$E$5:$E$3004,MATCH($A2029,'Live History'!$D$5:$D$3004,1)),INDEX('AH History'!$D$5:$GG$1380,$K2029,AH!$U$10+1))),NA()),NA())</f>
        <v/>
      </c>
      <c r="G2029" s="34">
        <f>IFERROR(IF(ISNUMBER($A2029),IF(AND(AH!$U$12=1,2024+1=AH!$U$6),IF(AH!$U$4=0,"unavailable",INDEX('Market Data'!$AK$5:$AK$66,AH!$U$4)),IF(AH!$U$5=1,INDEX('Live History'!$D$5:$D$3004,MATCH($A2029,'Live History'!$D$5:$D$3004,1)),INDEX('AH History'!$D$5:$GG$1380,$K2029,AH!$U$10+2))),NA()),NA())</f>
        <v/>
      </c>
      <c r="H2029" s="266">
        <f>IFERROR(IF(ISNUMBER($A2029),IF(AND(AH!$U$12=1,2024+1=AH!$U$6),IF(AH!$U$4=0,"unavailable",INDEX('Market Data'!$AP$5:$AP$66,AH!$U$4)),IF(AH!$U$5=1,INDEX('Live History'!$H$5:$H$3004,MATCH($A2029,'Live History'!$G$5:$G$3004,1)),INDEX('AH History'!$B$5:$B$1380,$K2029))),NA()),NA())</f>
        <v/>
      </c>
      <c r="I2029" s="34">
        <f>IFERROR(IF(ISNUMBER($A2029),IF(AND(AH!$U$12=1,2024+1=AH!$U$6),TODAY(),IF(AH!$U$5=1,INDEX('Live History'!$G$5:$G$3004,MATCH($A2029,'Live History'!$G$5:$G$3004,1)),INDEX('AH History'!$C$5:$C$1380,$K2029))),NA()),NA())</f>
        <v/>
      </c>
      <c r="J2029" s="32">
        <f>IFERROR(IF(AND($F2029&gt;0,$H2029&gt;0,$A2029-$G2029&lt;=10,$A2029-$I2029&lt;=5,$G2029&gt;0,$I2029&gt;0),$F2029*$H2029,NA()),NA())</f>
        <v/>
      </c>
      <c r="K2029" s="15">
        <f>IF($A2029="","",IF(AH!$U$5=1,IFERROR(MATCH($A2029,'Live History'!$A$5:$A$3004,0),0),AH!$U$7+2024))</f>
        <v/>
      </c>
      <c r="L2029" s="15">
        <f>IF(ISNUMBER(A2029),TEXT(A2029,"dd-mmm-yy"),"")</f>
        <v/>
      </c>
    </row>
    <row r="2030">
      <c r="A2030" s="14">
        <f>IF(OR(AH!$U$4=0,2025+1&gt;AH!$U$6,AND(AH!$M$5="Bloomberg",AH!$U$5=0)),"",IFERROR(IF(AND(AH!$U$12=1,2025+1=AH!$U$6),TODAY(),IF(AH!$U$5=1,INDEX('Live History'!$A$5:$A$3004,AH!$U$7+2025),INDEX('AH History'!$A$5:$A$1380,AH!$U$7+2025))),""))</f>
        <v/>
      </c>
      <c r="B2030" s="33">
        <f>IFERROR(IF(AH!$U$11=1,NA(),$J2030/$E2030-1),NA())</f>
        <v/>
      </c>
      <c r="C2030" s="269">
        <f>IFERROR(100*$E2030/$E$5,NA())</f>
        <v/>
      </c>
      <c r="D2030" s="269">
        <f>IFERROR(100*$J2030/$J$5,NA())</f>
        <v/>
      </c>
      <c r="E2030" s="32">
        <f>IFERROR(IF(AND(ISNUMBER($A2030),N(IF(AND(AH!$U$12=1,2025+1=AH!$U$6),IF(AH!$U$4=0,"unavailable",INDEX('Market Data'!$AN$5:$AN$66,AH!$U$4)),IF(AH!$U$5=1,INDEX('Live History'!$B$5:$B$3004,$K2030),INDEX('AH History'!$D$5:$GG$1380,$K2030,AH!$U$10))))&gt;0),IF(AND(AH!$U$12=1,2025+1=AH!$U$6),IF(AH!$U$4=0,"unavailable",INDEX('Market Data'!$AN$5:$AN$66,AH!$U$4)),IF(AH!$U$5=1,INDEX('Live History'!$B$5:$B$3004,$K2030),INDEX('AH History'!$D$5:$GG$1380,$K2030,AH!$U$10))),NA()),NA())</f>
        <v/>
      </c>
      <c r="F2030" s="32">
        <f>IFERROR(IF(ISNUMBER($A2030),IF(AND(AH!$U$12=1,2025+1=AH!$U$6),IF(AH!$U$4=0,"unavailable",INDEX('Market Data'!$AO$5:$AO$66,AH!$U$4)),IF(AH!$U$5=1,INDEX('Live History'!$E$5:$E$3004,MATCH($A2030,'Live History'!$D$5:$D$3004,1)),INDEX('AH History'!$D$5:$GG$1380,$K2030,AH!$U$10+1))),NA()),NA())</f>
        <v/>
      </c>
      <c r="G2030" s="34">
        <f>IFERROR(IF(ISNUMBER($A2030),IF(AND(AH!$U$12=1,2025+1=AH!$U$6),IF(AH!$U$4=0,"unavailable",INDEX('Market Data'!$AK$5:$AK$66,AH!$U$4)),IF(AH!$U$5=1,INDEX('Live History'!$D$5:$D$3004,MATCH($A2030,'Live History'!$D$5:$D$3004,1)),INDEX('AH History'!$D$5:$GG$1380,$K2030,AH!$U$10+2))),NA()),NA())</f>
        <v/>
      </c>
      <c r="H2030" s="266">
        <f>IFERROR(IF(ISNUMBER($A2030),IF(AND(AH!$U$12=1,2025+1=AH!$U$6),IF(AH!$U$4=0,"unavailable",INDEX('Market Data'!$AP$5:$AP$66,AH!$U$4)),IF(AH!$U$5=1,INDEX('Live History'!$H$5:$H$3004,MATCH($A2030,'Live History'!$G$5:$G$3004,1)),INDEX('AH History'!$B$5:$B$1380,$K2030))),NA()),NA())</f>
        <v/>
      </c>
      <c r="I2030" s="34">
        <f>IFERROR(IF(ISNUMBER($A2030),IF(AND(AH!$U$12=1,2025+1=AH!$U$6),TODAY(),IF(AH!$U$5=1,INDEX('Live History'!$G$5:$G$3004,MATCH($A2030,'Live History'!$G$5:$G$3004,1)),INDEX('AH History'!$C$5:$C$1380,$K2030))),NA()),NA())</f>
        <v/>
      </c>
      <c r="J2030" s="32">
        <f>IFERROR(IF(AND($F2030&gt;0,$H2030&gt;0,$A2030-$G2030&lt;=10,$A2030-$I2030&lt;=5,$G2030&gt;0,$I2030&gt;0),$F2030*$H2030,NA()),NA())</f>
        <v/>
      </c>
      <c r="K2030" s="15">
        <f>IF($A2030="","",IF(AH!$U$5=1,IFERROR(MATCH($A2030,'Live History'!$A$5:$A$3004,0),0),AH!$U$7+2025))</f>
        <v/>
      </c>
      <c r="L2030" s="15">
        <f>IF(ISNUMBER(A2030),TEXT(A2030,"dd-mmm-yy"),"")</f>
        <v/>
      </c>
    </row>
    <row r="2031">
      <c r="A2031" s="14">
        <f>IF(OR(AH!$U$4=0,2026+1&gt;AH!$U$6,AND(AH!$M$5="Bloomberg",AH!$U$5=0)),"",IFERROR(IF(AND(AH!$U$12=1,2026+1=AH!$U$6),TODAY(),IF(AH!$U$5=1,INDEX('Live History'!$A$5:$A$3004,AH!$U$7+2026),INDEX('AH History'!$A$5:$A$1380,AH!$U$7+2026))),""))</f>
        <v/>
      </c>
      <c r="B2031" s="33">
        <f>IFERROR(IF(AH!$U$11=1,NA(),$J2031/$E2031-1),NA())</f>
        <v/>
      </c>
      <c r="C2031" s="269">
        <f>IFERROR(100*$E2031/$E$5,NA())</f>
        <v/>
      </c>
      <c r="D2031" s="269">
        <f>IFERROR(100*$J2031/$J$5,NA())</f>
        <v/>
      </c>
      <c r="E2031" s="32">
        <f>IFERROR(IF(AND(ISNUMBER($A2031),N(IF(AND(AH!$U$12=1,2026+1=AH!$U$6),IF(AH!$U$4=0,"unavailable",INDEX('Market Data'!$AN$5:$AN$66,AH!$U$4)),IF(AH!$U$5=1,INDEX('Live History'!$B$5:$B$3004,$K2031),INDEX('AH History'!$D$5:$GG$1380,$K2031,AH!$U$10))))&gt;0),IF(AND(AH!$U$12=1,2026+1=AH!$U$6),IF(AH!$U$4=0,"unavailable",INDEX('Market Data'!$AN$5:$AN$66,AH!$U$4)),IF(AH!$U$5=1,INDEX('Live History'!$B$5:$B$3004,$K2031),INDEX('AH History'!$D$5:$GG$1380,$K2031,AH!$U$10))),NA()),NA())</f>
        <v/>
      </c>
      <c r="F2031" s="32">
        <f>IFERROR(IF(ISNUMBER($A2031),IF(AND(AH!$U$12=1,2026+1=AH!$U$6),IF(AH!$U$4=0,"unavailable",INDEX('Market Data'!$AO$5:$AO$66,AH!$U$4)),IF(AH!$U$5=1,INDEX('Live History'!$E$5:$E$3004,MATCH($A2031,'Live History'!$D$5:$D$3004,1)),INDEX('AH History'!$D$5:$GG$1380,$K2031,AH!$U$10+1))),NA()),NA())</f>
        <v/>
      </c>
      <c r="G2031" s="34">
        <f>IFERROR(IF(ISNUMBER($A2031),IF(AND(AH!$U$12=1,2026+1=AH!$U$6),IF(AH!$U$4=0,"unavailable",INDEX('Market Data'!$AK$5:$AK$66,AH!$U$4)),IF(AH!$U$5=1,INDEX('Live History'!$D$5:$D$3004,MATCH($A2031,'Live History'!$D$5:$D$3004,1)),INDEX('AH History'!$D$5:$GG$1380,$K2031,AH!$U$10+2))),NA()),NA())</f>
        <v/>
      </c>
      <c r="H2031" s="266">
        <f>IFERROR(IF(ISNUMBER($A2031),IF(AND(AH!$U$12=1,2026+1=AH!$U$6),IF(AH!$U$4=0,"unavailable",INDEX('Market Data'!$AP$5:$AP$66,AH!$U$4)),IF(AH!$U$5=1,INDEX('Live History'!$H$5:$H$3004,MATCH($A2031,'Live History'!$G$5:$G$3004,1)),INDEX('AH History'!$B$5:$B$1380,$K2031))),NA()),NA())</f>
        <v/>
      </c>
      <c r="I2031" s="34">
        <f>IFERROR(IF(ISNUMBER($A2031),IF(AND(AH!$U$12=1,2026+1=AH!$U$6),TODAY(),IF(AH!$U$5=1,INDEX('Live History'!$G$5:$G$3004,MATCH($A2031,'Live History'!$G$5:$G$3004,1)),INDEX('AH History'!$C$5:$C$1380,$K2031))),NA()),NA())</f>
        <v/>
      </c>
      <c r="J2031" s="32">
        <f>IFERROR(IF(AND($F2031&gt;0,$H2031&gt;0,$A2031-$G2031&lt;=10,$A2031-$I2031&lt;=5,$G2031&gt;0,$I2031&gt;0),$F2031*$H2031,NA()),NA())</f>
        <v/>
      </c>
      <c r="K2031" s="15">
        <f>IF($A2031="","",IF(AH!$U$5=1,IFERROR(MATCH($A2031,'Live History'!$A$5:$A$3004,0),0),AH!$U$7+2026))</f>
        <v/>
      </c>
      <c r="L2031" s="15">
        <f>IF(ISNUMBER(A2031),TEXT(A2031,"dd-mmm-yy"),"")</f>
        <v/>
      </c>
    </row>
    <row r="2032">
      <c r="A2032" s="14">
        <f>IF(OR(AH!$U$4=0,2027+1&gt;AH!$U$6,AND(AH!$M$5="Bloomberg",AH!$U$5=0)),"",IFERROR(IF(AND(AH!$U$12=1,2027+1=AH!$U$6),TODAY(),IF(AH!$U$5=1,INDEX('Live History'!$A$5:$A$3004,AH!$U$7+2027),INDEX('AH History'!$A$5:$A$1380,AH!$U$7+2027))),""))</f>
        <v/>
      </c>
      <c r="B2032" s="33">
        <f>IFERROR(IF(AH!$U$11=1,NA(),$J2032/$E2032-1),NA())</f>
        <v/>
      </c>
      <c r="C2032" s="269">
        <f>IFERROR(100*$E2032/$E$5,NA())</f>
        <v/>
      </c>
      <c r="D2032" s="269">
        <f>IFERROR(100*$J2032/$J$5,NA())</f>
        <v/>
      </c>
      <c r="E2032" s="32">
        <f>IFERROR(IF(AND(ISNUMBER($A2032),N(IF(AND(AH!$U$12=1,2027+1=AH!$U$6),IF(AH!$U$4=0,"unavailable",INDEX('Market Data'!$AN$5:$AN$66,AH!$U$4)),IF(AH!$U$5=1,INDEX('Live History'!$B$5:$B$3004,$K2032),INDEX('AH History'!$D$5:$GG$1380,$K2032,AH!$U$10))))&gt;0),IF(AND(AH!$U$12=1,2027+1=AH!$U$6),IF(AH!$U$4=0,"unavailable",INDEX('Market Data'!$AN$5:$AN$66,AH!$U$4)),IF(AH!$U$5=1,INDEX('Live History'!$B$5:$B$3004,$K2032),INDEX('AH History'!$D$5:$GG$1380,$K2032,AH!$U$10))),NA()),NA())</f>
        <v/>
      </c>
      <c r="F2032" s="32">
        <f>IFERROR(IF(ISNUMBER($A2032),IF(AND(AH!$U$12=1,2027+1=AH!$U$6),IF(AH!$U$4=0,"unavailable",INDEX('Market Data'!$AO$5:$AO$66,AH!$U$4)),IF(AH!$U$5=1,INDEX('Live History'!$E$5:$E$3004,MATCH($A2032,'Live History'!$D$5:$D$3004,1)),INDEX('AH History'!$D$5:$GG$1380,$K2032,AH!$U$10+1))),NA()),NA())</f>
        <v/>
      </c>
      <c r="G2032" s="34">
        <f>IFERROR(IF(ISNUMBER($A2032),IF(AND(AH!$U$12=1,2027+1=AH!$U$6),IF(AH!$U$4=0,"unavailable",INDEX('Market Data'!$AK$5:$AK$66,AH!$U$4)),IF(AH!$U$5=1,INDEX('Live History'!$D$5:$D$3004,MATCH($A2032,'Live History'!$D$5:$D$3004,1)),INDEX('AH History'!$D$5:$GG$1380,$K2032,AH!$U$10+2))),NA()),NA())</f>
        <v/>
      </c>
      <c r="H2032" s="266">
        <f>IFERROR(IF(ISNUMBER($A2032),IF(AND(AH!$U$12=1,2027+1=AH!$U$6),IF(AH!$U$4=0,"unavailable",INDEX('Market Data'!$AP$5:$AP$66,AH!$U$4)),IF(AH!$U$5=1,INDEX('Live History'!$H$5:$H$3004,MATCH($A2032,'Live History'!$G$5:$G$3004,1)),INDEX('AH History'!$B$5:$B$1380,$K2032))),NA()),NA())</f>
        <v/>
      </c>
      <c r="I2032" s="34">
        <f>IFERROR(IF(ISNUMBER($A2032),IF(AND(AH!$U$12=1,2027+1=AH!$U$6),TODAY(),IF(AH!$U$5=1,INDEX('Live History'!$G$5:$G$3004,MATCH($A2032,'Live History'!$G$5:$G$3004,1)),INDEX('AH History'!$C$5:$C$1380,$K2032))),NA()),NA())</f>
        <v/>
      </c>
      <c r="J2032" s="32">
        <f>IFERROR(IF(AND($F2032&gt;0,$H2032&gt;0,$A2032-$G2032&lt;=10,$A2032-$I2032&lt;=5,$G2032&gt;0,$I2032&gt;0),$F2032*$H2032,NA()),NA())</f>
        <v/>
      </c>
      <c r="K2032" s="15">
        <f>IF($A2032="","",IF(AH!$U$5=1,IFERROR(MATCH($A2032,'Live History'!$A$5:$A$3004,0),0),AH!$U$7+2027))</f>
        <v/>
      </c>
      <c r="L2032" s="15">
        <f>IF(ISNUMBER(A2032),TEXT(A2032,"dd-mmm-yy"),"")</f>
        <v/>
      </c>
    </row>
    <row r="2033">
      <c r="A2033" s="14">
        <f>IF(OR(AH!$U$4=0,2028+1&gt;AH!$U$6,AND(AH!$M$5="Bloomberg",AH!$U$5=0)),"",IFERROR(IF(AND(AH!$U$12=1,2028+1=AH!$U$6),TODAY(),IF(AH!$U$5=1,INDEX('Live History'!$A$5:$A$3004,AH!$U$7+2028),INDEX('AH History'!$A$5:$A$1380,AH!$U$7+2028))),""))</f>
        <v/>
      </c>
      <c r="B2033" s="33">
        <f>IFERROR(IF(AH!$U$11=1,NA(),$J2033/$E2033-1),NA())</f>
        <v/>
      </c>
      <c r="C2033" s="269">
        <f>IFERROR(100*$E2033/$E$5,NA())</f>
        <v/>
      </c>
      <c r="D2033" s="269">
        <f>IFERROR(100*$J2033/$J$5,NA())</f>
        <v/>
      </c>
      <c r="E2033" s="32">
        <f>IFERROR(IF(AND(ISNUMBER($A2033),N(IF(AND(AH!$U$12=1,2028+1=AH!$U$6),IF(AH!$U$4=0,"unavailable",INDEX('Market Data'!$AN$5:$AN$66,AH!$U$4)),IF(AH!$U$5=1,INDEX('Live History'!$B$5:$B$3004,$K2033),INDEX('AH History'!$D$5:$GG$1380,$K2033,AH!$U$10))))&gt;0),IF(AND(AH!$U$12=1,2028+1=AH!$U$6),IF(AH!$U$4=0,"unavailable",INDEX('Market Data'!$AN$5:$AN$66,AH!$U$4)),IF(AH!$U$5=1,INDEX('Live History'!$B$5:$B$3004,$K2033),INDEX('AH History'!$D$5:$GG$1380,$K2033,AH!$U$10))),NA()),NA())</f>
        <v/>
      </c>
      <c r="F2033" s="32">
        <f>IFERROR(IF(ISNUMBER($A2033),IF(AND(AH!$U$12=1,2028+1=AH!$U$6),IF(AH!$U$4=0,"unavailable",INDEX('Market Data'!$AO$5:$AO$66,AH!$U$4)),IF(AH!$U$5=1,INDEX('Live History'!$E$5:$E$3004,MATCH($A2033,'Live History'!$D$5:$D$3004,1)),INDEX('AH History'!$D$5:$GG$1380,$K2033,AH!$U$10+1))),NA()),NA())</f>
        <v/>
      </c>
      <c r="G2033" s="34">
        <f>IFERROR(IF(ISNUMBER($A2033),IF(AND(AH!$U$12=1,2028+1=AH!$U$6),IF(AH!$U$4=0,"unavailable",INDEX('Market Data'!$AK$5:$AK$66,AH!$U$4)),IF(AH!$U$5=1,INDEX('Live History'!$D$5:$D$3004,MATCH($A2033,'Live History'!$D$5:$D$3004,1)),INDEX('AH History'!$D$5:$GG$1380,$K2033,AH!$U$10+2))),NA()),NA())</f>
        <v/>
      </c>
      <c r="H2033" s="266">
        <f>IFERROR(IF(ISNUMBER($A2033),IF(AND(AH!$U$12=1,2028+1=AH!$U$6),IF(AH!$U$4=0,"unavailable",INDEX('Market Data'!$AP$5:$AP$66,AH!$U$4)),IF(AH!$U$5=1,INDEX('Live History'!$H$5:$H$3004,MATCH($A2033,'Live History'!$G$5:$G$3004,1)),INDEX('AH History'!$B$5:$B$1380,$K2033))),NA()),NA())</f>
        <v/>
      </c>
      <c r="I2033" s="34">
        <f>IFERROR(IF(ISNUMBER($A2033),IF(AND(AH!$U$12=1,2028+1=AH!$U$6),TODAY(),IF(AH!$U$5=1,INDEX('Live History'!$G$5:$G$3004,MATCH($A2033,'Live History'!$G$5:$G$3004,1)),INDEX('AH History'!$C$5:$C$1380,$K2033))),NA()),NA())</f>
        <v/>
      </c>
      <c r="J2033" s="32">
        <f>IFERROR(IF(AND($F2033&gt;0,$H2033&gt;0,$A2033-$G2033&lt;=10,$A2033-$I2033&lt;=5,$G2033&gt;0,$I2033&gt;0),$F2033*$H2033,NA()),NA())</f>
        <v/>
      </c>
      <c r="K2033" s="15">
        <f>IF($A2033="","",IF(AH!$U$5=1,IFERROR(MATCH($A2033,'Live History'!$A$5:$A$3004,0),0),AH!$U$7+2028))</f>
        <v/>
      </c>
      <c r="L2033" s="15">
        <f>IF(ISNUMBER(A2033),TEXT(A2033,"dd-mmm-yy"),"")</f>
        <v/>
      </c>
    </row>
    <row r="2034">
      <c r="A2034" s="14">
        <f>IF(OR(AH!$U$4=0,2029+1&gt;AH!$U$6,AND(AH!$M$5="Bloomberg",AH!$U$5=0)),"",IFERROR(IF(AND(AH!$U$12=1,2029+1=AH!$U$6),TODAY(),IF(AH!$U$5=1,INDEX('Live History'!$A$5:$A$3004,AH!$U$7+2029),INDEX('AH History'!$A$5:$A$1380,AH!$U$7+2029))),""))</f>
        <v/>
      </c>
      <c r="B2034" s="33">
        <f>IFERROR(IF(AH!$U$11=1,NA(),$J2034/$E2034-1),NA())</f>
        <v/>
      </c>
      <c r="C2034" s="269">
        <f>IFERROR(100*$E2034/$E$5,NA())</f>
        <v/>
      </c>
      <c r="D2034" s="269">
        <f>IFERROR(100*$J2034/$J$5,NA())</f>
        <v/>
      </c>
      <c r="E2034" s="32">
        <f>IFERROR(IF(AND(ISNUMBER($A2034),N(IF(AND(AH!$U$12=1,2029+1=AH!$U$6),IF(AH!$U$4=0,"unavailable",INDEX('Market Data'!$AN$5:$AN$66,AH!$U$4)),IF(AH!$U$5=1,INDEX('Live History'!$B$5:$B$3004,$K2034),INDEX('AH History'!$D$5:$GG$1380,$K2034,AH!$U$10))))&gt;0),IF(AND(AH!$U$12=1,2029+1=AH!$U$6),IF(AH!$U$4=0,"unavailable",INDEX('Market Data'!$AN$5:$AN$66,AH!$U$4)),IF(AH!$U$5=1,INDEX('Live History'!$B$5:$B$3004,$K2034),INDEX('AH History'!$D$5:$GG$1380,$K2034,AH!$U$10))),NA()),NA())</f>
        <v/>
      </c>
      <c r="F2034" s="32">
        <f>IFERROR(IF(ISNUMBER($A2034),IF(AND(AH!$U$12=1,2029+1=AH!$U$6),IF(AH!$U$4=0,"unavailable",INDEX('Market Data'!$AO$5:$AO$66,AH!$U$4)),IF(AH!$U$5=1,INDEX('Live History'!$E$5:$E$3004,MATCH($A2034,'Live History'!$D$5:$D$3004,1)),INDEX('AH History'!$D$5:$GG$1380,$K2034,AH!$U$10+1))),NA()),NA())</f>
        <v/>
      </c>
      <c r="G2034" s="34">
        <f>IFERROR(IF(ISNUMBER($A2034),IF(AND(AH!$U$12=1,2029+1=AH!$U$6),IF(AH!$U$4=0,"unavailable",INDEX('Market Data'!$AK$5:$AK$66,AH!$U$4)),IF(AH!$U$5=1,INDEX('Live History'!$D$5:$D$3004,MATCH($A2034,'Live History'!$D$5:$D$3004,1)),INDEX('AH History'!$D$5:$GG$1380,$K2034,AH!$U$10+2))),NA()),NA())</f>
        <v/>
      </c>
      <c r="H2034" s="266">
        <f>IFERROR(IF(ISNUMBER($A2034),IF(AND(AH!$U$12=1,2029+1=AH!$U$6),IF(AH!$U$4=0,"unavailable",INDEX('Market Data'!$AP$5:$AP$66,AH!$U$4)),IF(AH!$U$5=1,INDEX('Live History'!$H$5:$H$3004,MATCH($A2034,'Live History'!$G$5:$G$3004,1)),INDEX('AH History'!$B$5:$B$1380,$K2034))),NA()),NA())</f>
        <v/>
      </c>
      <c r="I2034" s="34">
        <f>IFERROR(IF(ISNUMBER($A2034),IF(AND(AH!$U$12=1,2029+1=AH!$U$6),TODAY(),IF(AH!$U$5=1,INDEX('Live History'!$G$5:$G$3004,MATCH($A2034,'Live History'!$G$5:$G$3004,1)),INDEX('AH History'!$C$5:$C$1380,$K2034))),NA()),NA())</f>
        <v/>
      </c>
      <c r="J2034" s="32">
        <f>IFERROR(IF(AND($F2034&gt;0,$H2034&gt;0,$A2034-$G2034&lt;=10,$A2034-$I2034&lt;=5,$G2034&gt;0,$I2034&gt;0),$F2034*$H2034,NA()),NA())</f>
        <v/>
      </c>
      <c r="K2034" s="15">
        <f>IF($A2034="","",IF(AH!$U$5=1,IFERROR(MATCH($A2034,'Live History'!$A$5:$A$3004,0),0),AH!$U$7+2029))</f>
        <v/>
      </c>
      <c r="L2034" s="15">
        <f>IF(ISNUMBER(A2034),TEXT(A2034,"dd-mmm-yy"),"")</f>
        <v/>
      </c>
    </row>
    <row r="2035">
      <c r="A2035" s="14">
        <f>IF(OR(AH!$U$4=0,2030+1&gt;AH!$U$6,AND(AH!$M$5="Bloomberg",AH!$U$5=0)),"",IFERROR(IF(AND(AH!$U$12=1,2030+1=AH!$U$6),TODAY(),IF(AH!$U$5=1,INDEX('Live History'!$A$5:$A$3004,AH!$U$7+2030),INDEX('AH History'!$A$5:$A$1380,AH!$U$7+2030))),""))</f>
        <v/>
      </c>
      <c r="B2035" s="33">
        <f>IFERROR(IF(AH!$U$11=1,NA(),$J2035/$E2035-1),NA())</f>
        <v/>
      </c>
      <c r="C2035" s="269">
        <f>IFERROR(100*$E2035/$E$5,NA())</f>
        <v/>
      </c>
      <c r="D2035" s="269">
        <f>IFERROR(100*$J2035/$J$5,NA())</f>
        <v/>
      </c>
      <c r="E2035" s="32">
        <f>IFERROR(IF(AND(ISNUMBER($A2035),N(IF(AND(AH!$U$12=1,2030+1=AH!$U$6),IF(AH!$U$4=0,"unavailable",INDEX('Market Data'!$AN$5:$AN$66,AH!$U$4)),IF(AH!$U$5=1,INDEX('Live History'!$B$5:$B$3004,$K2035),INDEX('AH History'!$D$5:$GG$1380,$K2035,AH!$U$10))))&gt;0),IF(AND(AH!$U$12=1,2030+1=AH!$U$6),IF(AH!$U$4=0,"unavailable",INDEX('Market Data'!$AN$5:$AN$66,AH!$U$4)),IF(AH!$U$5=1,INDEX('Live History'!$B$5:$B$3004,$K2035),INDEX('AH History'!$D$5:$GG$1380,$K2035,AH!$U$10))),NA()),NA())</f>
        <v/>
      </c>
      <c r="F2035" s="32">
        <f>IFERROR(IF(ISNUMBER($A2035),IF(AND(AH!$U$12=1,2030+1=AH!$U$6),IF(AH!$U$4=0,"unavailable",INDEX('Market Data'!$AO$5:$AO$66,AH!$U$4)),IF(AH!$U$5=1,INDEX('Live History'!$E$5:$E$3004,MATCH($A2035,'Live History'!$D$5:$D$3004,1)),INDEX('AH History'!$D$5:$GG$1380,$K2035,AH!$U$10+1))),NA()),NA())</f>
        <v/>
      </c>
      <c r="G2035" s="34">
        <f>IFERROR(IF(ISNUMBER($A2035),IF(AND(AH!$U$12=1,2030+1=AH!$U$6),IF(AH!$U$4=0,"unavailable",INDEX('Market Data'!$AK$5:$AK$66,AH!$U$4)),IF(AH!$U$5=1,INDEX('Live History'!$D$5:$D$3004,MATCH($A2035,'Live History'!$D$5:$D$3004,1)),INDEX('AH History'!$D$5:$GG$1380,$K2035,AH!$U$10+2))),NA()),NA())</f>
        <v/>
      </c>
      <c r="H2035" s="266">
        <f>IFERROR(IF(ISNUMBER($A2035),IF(AND(AH!$U$12=1,2030+1=AH!$U$6),IF(AH!$U$4=0,"unavailable",INDEX('Market Data'!$AP$5:$AP$66,AH!$U$4)),IF(AH!$U$5=1,INDEX('Live History'!$H$5:$H$3004,MATCH($A2035,'Live History'!$G$5:$G$3004,1)),INDEX('AH History'!$B$5:$B$1380,$K2035))),NA()),NA())</f>
        <v/>
      </c>
      <c r="I2035" s="34">
        <f>IFERROR(IF(ISNUMBER($A2035),IF(AND(AH!$U$12=1,2030+1=AH!$U$6),TODAY(),IF(AH!$U$5=1,INDEX('Live History'!$G$5:$G$3004,MATCH($A2035,'Live History'!$G$5:$G$3004,1)),INDEX('AH History'!$C$5:$C$1380,$K2035))),NA()),NA())</f>
        <v/>
      </c>
      <c r="J2035" s="32">
        <f>IFERROR(IF(AND($F2035&gt;0,$H2035&gt;0,$A2035-$G2035&lt;=10,$A2035-$I2035&lt;=5,$G2035&gt;0,$I2035&gt;0),$F2035*$H2035,NA()),NA())</f>
        <v/>
      </c>
      <c r="K2035" s="15">
        <f>IF($A2035="","",IF(AH!$U$5=1,IFERROR(MATCH($A2035,'Live History'!$A$5:$A$3004,0),0),AH!$U$7+2030))</f>
        <v/>
      </c>
      <c r="L2035" s="15">
        <f>IF(ISNUMBER(A2035),TEXT(A2035,"dd-mmm-yy"),"")</f>
        <v/>
      </c>
    </row>
    <row r="2036">
      <c r="A2036" s="14">
        <f>IF(OR(AH!$U$4=0,2031+1&gt;AH!$U$6,AND(AH!$M$5="Bloomberg",AH!$U$5=0)),"",IFERROR(IF(AND(AH!$U$12=1,2031+1=AH!$U$6),TODAY(),IF(AH!$U$5=1,INDEX('Live History'!$A$5:$A$3004,AH!$U$7+2031),INDEX('AH History'!$A$5:$A$1380,AH!$U$7+2031))),""))</f>
        <v/>
      </c>
      <c r="B2036" s="33">
        <f>IFERROR(IF(AH!$U$11=1,NA(),$J2036/$E2036-1),NA())</f>
        <v/>
      </c>
      <c r="C2036" s="269">
        <f>IFERROR(100*$E2036/$E$5,NA())</f>
        <v/>
      </c>
      <c r="D2036" s="269">
        <f>IFERROR(100*$J2036/$J$5,NA())</f>
        <v/>
      </c>
      <c r="E2036" s="32">
        <f>IFERROR(IF(AND(ISNUMBER($A2036),N(IF(AND(AH!$U$12=1,2031+1=AH!$U$6),IF(AH!$U$4=0,"unavailable",INDEX('Market Data'!$AN$5:$AN$66,AH!$U$4)),IF(AH!$U$5=1,INDEX('Live History'!$B$5:$B$3004,$K2036),INDEX('AH History'!$D$5:$GG$1380,$K2036,AH!$U$10))))&gt;0),IF(AND(AH!$U$12=1,2031+1=AH!$U$6),IF(AH!$U$4=0,"unavailable",INDEX('Market Data'!$AN$5:$AN$66,AH!$U$4)),IF(AH!$U$5=1,INDEX('Live History'!$B$5:$B$3004,$K2036),INDEX('AH History'!$D$5:$GG$1380,$K2036,AH!$U$10))),NA()),NA())</f>
        <v/>
      </c>
      <c r="F2036" s="32">
        <f>IFERROR(IF(ISNUMBER($A2036),IF(AND(AH!$U$12=1,2031+1=AH!$U$6),IF(AH!$U$4=0,"unavailable",INDEX('Market Data'!$AO$5:$AO$66,AH!$U$4)),IF(AH!$U$5=1,INDEX('Live History'!$E$5:$E$3004,MATCH($A2036,'Live History'!$D$5:$D$3004,1)),INDEX('AH History'!$D$5:$GG$1380,$K2036,AH!$U$10+1))),NA()),NA())</f>
        <v/>
      </c>
      <c r="G2036" s="34">
        <f>IFERROR(IF(ISNUMBER($A2036),IF(AND(AH!$U$12=1,2031+1=AH!$U$6),IF(AH!$U$4=0,"unavailable",INDEX('Market Data'!$AK$5:$AK$66,AH!$U$4)),IF(AH!$U$5=1,INDEX('Live History'!$D$5:$D$3004,MATCH($A2036,'Live History'!$D$5:$D$3004,1)),INDEX('AH History'!$D$5:$GG$1380,$K2036,AH!$U$10+2))),NA()),NA())</f>
        <v/>
      </c>
      <c r="H2036" s="266">
        <f>IFERROR(IF(ISNUMBER($A2036),IF(AND(AH!$U$12=1,2031+1=AH!$U$6),IF(AH!$U$4=0,"unavailable",INDEX('Market Data'!$AP$5:$AP$66,AH!$U$4)),IF(AH!$U$5=1,INDEX('Live History'!$H$5:$H$3004,MATCH($A2036,'Live History'!$G$5:$G$3004,1)),INDEX('AH History'!$B$5:$B$1380,$K2036))),NA()),NA())</f>
        <v/>
      </c>
      <c r="I2036" s="34">
        <f>IFERROR(IF(ISNUMBER($A2036),IF(AND(AH!$U$12=1,2031+1=AH!$U$6),TODAY(),IF(AH!$U$5=1,INDEX('Live History'!$G$5:$G$3004,MATCH($A2036,'Live History'!$G$5:$G$3004,1)),INDEX('AH History'!$C$5:$C$1380,$K2036))),NA()),NA())</f>
        <v/>
      </c>
      <c r="J2036" s="32">
        <f>IFERROR(IF(AND($F2036&gt;0,$H2036&gt;0,$A2036-$G2036&lt;=10,$A2036-$I2036&lt;=5,$G2036&gt;0,$I2036&gt;0),$F2036*$H2036,NA()),NA())</f>
        <v/>
      </c>
      <c r="K2036" s="15">
        <f>IF($A2036="","",IF(AH!$U$5=1,IFERROR(MATCH($A2036,'Live History'!$A$5:$A$3004,0),0),AH!$U$7+2031))</f>
        <v/>
      </c>
      <c r="L2036" s="15">
        <f>IF(ISNUMBER(A2036),TEXT(A2036,"dd-mmm-yy"),"")</f>
        <v/>
      </c>
    </row>
    <row r="2037">
      <c r="A2037" s="14">
        <f>IF(OR(AH!$U$4=0,2032+1&gt;AH!$U$6,AND(AH!$M$5="Bloomberg",AH!$U$5=0)),"",IFERROR(IF(AND(AH!$U$12=1,2032+1=AH!$U$6),TODAY(),IF(AH!$U$5=1,INDEX('Live History'!$A$5:$A$3004,AH!$U$7+2032),INDEX('AH History'!$A$5:$A$1380,AH!$U$7+2032))),""))</f>
        <v/>
      </c>
      <c r="B2037" s="33">
        <f>IFERROR(IF(AH!$U$11=1,NA(),$J2037/$E2037-1),NA())</f>
        <v/>
      </c>
      <c r="C2037" s="269">
        <f>IFERROR(100*$E2037/$E$5,NA())</f>
        <v/>
      </c>
      <c r="D2037" s="269">
        <f>IFERROR(100*$J2037/$J$5,NA())</f>
        <v/>
      </c>
      <c r="E2037" s="32">
        <f>IFERROR(IF(AND(ISNUMBER($A2037),N(IF(AND(AH!$U$12=1,2032+1=AH!$U$6),IF(AH!$U$4=0,"unavailable",INDEX('Market Data'!$AN$5:$AN$66,AH!$U$4)),IF(AH!$U$5=1,INDEX('Live History'!$B$5:$B$3004,$K2037),INDEX('AH History'!$D$5:$GG$1380,$K2037,AH!$U$10))))&gt;0),IF(AND(AH!$U$12=1,2032+1=AH!$U$6),IF(AH!$U$4=0,"unavailable",INDEX('Market Data'!$AN$5:$AN$66,AH!$U$4)),IF(AH!$U$5=1,INDEX('Live History'!$B$5:$B$3004,$K2037),INDEX('AH History'!$D$5:$GG$1380,$K2037,AH!$U$10))),NA()),NA())</f>
        <v/>
      </c>
      <c r="F2037" s="32">
        <f>IFERROR(IF(ISNUMBER($A2037),IF(AND(AH!$U$12=1,2032+1=AH!$U$6),IF(AH!$U$4=0,"unavailable",INDEX('Market Data'!$AO$5:$AO$66,AH!$U$4)),IF(AH!$U$5=1,INDEX('Live History'!$E$5:$E$3004,MATCH($A2037,'Live History'!$D$5:$D$3004,1)),INDEX('AH History'!$D$5:$GG$1380,$K2037,AH!$U$10+1))),NA()),NA())</f>
        <v/>
      </c>
      <c r="G2037" s="34">
        <f>IFERROR(IF(ISNUMBER($A2037),IF(AND(AH!$U$12=1,2032+1=AH!$U$6),IF(AH!$U$4=0,"unavailable",INDEX('Market Data'!$AK$5:$AK$66,AH!$U$4)),IF(AH!$U$5=1,INDEX('Live History'!$D$5:$D$3004,MATCH($A2037,'Live History'!$D$5:$D$3004,1)),INDEX('AH History'!$D$5:$GG$1380,$K2037,AH!$U$10+2))),NA()),NA())</f>
        <v/>
      </c>
      <c r="H2037" s="266">
        <f>IFERROR(IF(ISNUMBER($A2037),IF(AND(AH!$U$12=1,2032+1=AH!$U$6),IF(AH!$U$4=0,"unavailable",INDEX('Market Data'!$AP$5:$AP$66,AH!$U$4)),IF(AH!$U$5=1,INDEX('Live History'!$H$5:$H$3004,MATCH($A2037,'Live History'!$G$5:$G$3004,1)),INDEX('AH History'!$B$5:$B$1380,$K2037))),NA()),NA())</f>
        <v/>
      </c>
      <c r="I2037" s="34">
        <f>IFERROR(IF(ISNUMBER($A2037),IF(AND(AH!$U$12=1,2032+1=AH!$U$6),TODAY(),IF(AH!$U$5=1,INDEX('Live History'!$G$5:$G$3004,MATCH($A2037,'Live History'!$G$5:$G$3004,1)),INDEX('AH History'!$C$5:$C$1380,$K2037))),NA()),NA())</f>
        <v/>
      </c>
      <c r="J2037" s="32">
        <f>IFERROR(IF(AND($F2037&gt;0,$H2037&gt;0,$A2037-$G2037&lt;=10,$A2037-$I2037&lt;=5,$G2037&gt;0,$I2037&gt;0),$F2037*$H2037,NA()),NA())</f>
        <v/>
      </c>
      <c r="K2037" s="15">
        <f>IF($A2037="","",IF(AH!$U$5=1,IFERROR(MATCH($A2037,'Live History'!$A$5:$A$3004,0),0),AH!$U$7+2032))</f>
        <v/>
      </c>
      <c r="L2037" s="15">
        <f>IF(ISNUMBER(A2037),TEXT(A2037,"dd-mmm-yy"),"")</f>
        <v/>
      </c>
    </row>
    <row r="2038">
      <c r="A2038" s="14">
        <f>IF(OR(AH!$U$4=0,2033+1&gt;AH!$U$6,AND(AH!$M$5="Bloomberg",AH!$U$5=0)),"",IFERROR(IF(AND(AH!$U$12=1,2033+1=AH!$U$6),TODAY(),IF(AH!$U$5=1,INDEX('Live History'!$A$5:$A$3004,AH!$U$7+2033),INDEX('AH History'!$A$5:$A$1380,AH!$U$7+2033))),""))</f>
        <v/>
      </c>
      <c r="B2038" s="33">
        <f>IFERROR(IF(AH!$U$11=1,NA(),$J2038/$E2038-1),NA())</f>
        <v/>
      </c>
      <c r="C2038" s="269">
        <f>IFERROR(100*$E2038/$E$5,NA())</f>
        <v/>
      </c>
      <c r="D2038" s="269">
        <f>IFERROR(100*$J2038/$J$5,NA())</f>
        <v/>
      </c>
      <c r="E2038" s="32">
        <f>IFERROR(IF(AND(ISNUMBER($A2038),N(IF(AND(AH!$U$12=1,2033+1=AH!$U$6),IF(AH!$U$4=0,"unavailable",INDEX('Market Data'!$AN$5:$AN$66,AH!$U$4)),IF(AH!$U$5=1,INDEX('Live History'!$B$5:$B$3004,$K2038),INDEX('AH History'!$D$5:$GG$1380,$K2038,AH!$U$10))))&gt;0),IF(AND(AH!$U$12=1,2033+1=AH!$U$6),IF(AH!$U$4=0,"unavailable",INDEX('Market Data'!$AN$5:$AN$66,AH!$U$4)),IF(AH!$U$5=1,INDEX('Live History'!$B$5:$B$3004,$K2038),INDEX('AH History'!$D$5:$GG$1380,$K2038,AH!$U$10))),NA()),NA())</f>
        <v/>
      </c>
      <c r="F2038" s="32">
        <f>IFERROR(IF(ISNUMBER($A2038),IF(AND(AH!$U$12=1,2033+1=AH!$U$6),IF(AH!$U$4=0,"unavailable",INDEX('Market Data'!$AO$5:$AO$66,AH!$U$4)),IF(AH!$U$5=1,INDEX('Live History'!$E$5:$E$3004,MATCH($A2038,'Live History'!$D$5:$D$3004,1)),INDEX('AH History'!$D$5:$GG$1380,$K2038,AH!$U$10+1))),NA()),NA())</f>
        <v/>
      </c>
      <c r="G2038" s="34">
        <f>IFERROR(IF(ISNUMBER($A2038),IF(AND(AH!$U$12=1,2033+1=AH!$U$6),IF(AH!$U$4=0,"unavailable",INDEX('Market Data'!$AK$5:$AK$66,AH!$U$4)),IF(AH!$U$5=1,INDEX('Live History'!$D$5:$D$3004,MATCH($A2038,'Live History'!$D$5:$D$3004,1)),INDEX('AH History'!$D$5:$GG$1380,$K2038,AH!$U$10+2))),NA()),NA())</f>
        <v/>
      </c>
      <c r="H2038" s="266">
        <f>IFERROR(IF(ISNUMBER($A2038),IF(AND(AH!$U$12=1,2033+1=AH!$U$6),IF(AH!$U$4=0,"unavailable",INDEX('Market Data'!$AP$5:$AP$66,AH!$U$4)),IF(AH!$U$5=1,INDEX('Live History'!$H$5:$H$3004,MATCH($A2038,'Live History'!$G$5:$G$3004,1)),INDEX('AH History'!$B$5:$B$1380,$K2038))),NA()),NA())</f>
        <v/>
      </c>
      <c r="I2038" s="34">
        <f>IFERROR(IF(ISNUMBER($A2038),IF(AND(AH!$U$12=1,2033+1=AH!$U$6),TODAY(),IF(AH!$U$5=1,INDEX('Live History'!$G$5:$G$3004,MATCH($A2038,'Live History'!$G$5:$G$3004,1)),INDEX('AH History'!$C$5:$C$1380,$K2038))),NA()),NA())</f>
        <v/>
      </c>
      <c r="J2038" s="32">
        <f>IFERROR(IF(AND($F2038&gt;0,$H2038&gt;0,$A2038-$G2038&lt;=10,$A2038-$I2038&lt;=5,$G2038&gt;0,$I2038&gt;0),$F2038*$H2038,NA()),NA())</f>
        <v/>
      </c>
      <c r="K2038" s="15">
        <f>IF($A2038="","",IF(AH!$U$5=1,IFERROR(MATCH($A2038,'Live History'!$A$5:$A$3004,0),0),AH!$U$7+2033))</f>
        <v/>
      </c>
      <c r="L2038" s="15">
        <f>IF(ISNUMBER(A2038),TEXT(A2038,"dd-mmm-yy"),"")</f>
        <v/>
      </c>
    </row>
    <row r="2039">
      <c r="A2039" s="14">
        <f>IF(OR(AH!$U$4=0,2034+1&gt;AH!$U$6,AND(AH!$M$5="Bloomberg",AH!$U$5=0)),"",IFERROR(IF(AND(AH!$U$12=1,2034+1=AH!$U$6),TODAY(),IF(AH!$U$5=1,INDEX('Live History'!$A$5:$A$3004,AH!$U$7+2034),INDEX('AH History'!$A$5:$A$1380,AH!$U$7+2034))),""))</f>
        <v/>
      </c>
      <c r="B2039" s="33">
        <f>IFERROR(IF(AH!$U$11=1,NA(),$J2039/$E2039-1),NA())</f>
        <v/>
      </c>
      <c r="C2039" s="269">
        <f>IFERROR(100*$E2039/$E$5,NA())</f>
        <v/>
      </c>
      <c r="D2039" s="269">
        <f>IFERROR(100*$J2039/$J$5,NA())</f>
        <v/>
      </c>
      <c r="E2039" s="32">
        <f>IFERROR(IF(AND(ISNUMBER($A2039),N(IF(AND(AH!$U$12=1,2034+1=AH!$U$6),IF(AH!$U$4=0,"unavailable",INDEX('Market Data'!$AN$5:$AN$66,AH!$U$4)),IF(AH!$U$5=1,INDEX('Live History'!$B$5:$B$3004,$K2039),INDEX('AH History'!$D$5:$GG$1380,$K2039,AH!$U$10))))&gt;0),IF(AND(AH!$U$12=1,2034+1=AH!$U$6),IF(AH!$U$4=0,"unavailable",INDEX('Market Data'!$AN$5:$AN$66,AH!$U$4)),IF(AH!$U$5=1,INDEX('Live History'!$B$5:$B$3004,$K2039),INDEX('AH History'!$D$5:$GG$1380,$K2039,AH!$U$10))),NA()),NA())</f>
        <v/>
      </c>
      <c r="F2039" s="32">
        <f>IFERROR(IF(ISNUMBER($A2039),IF(AND(AH!$U$12=1,2034+1=AH!$U$6),IF(AH!$U$4=0,"unavailable",INDEX('Market Data'!$AO$5:$AO$66,AH!$U$4)),IF(AH!$U$5=1,INDEX('Live History'!$E$5:$E$3004,MATCH($A2039,'Live History'!$D$5:$D$3004,1)),INDEX('AH History'!$D$5:$GG$1380,$K2039,AH!$U$10+1))),NA()),NA())</f>
        <v/>
      </c>
      <c r="G2039" s="34">
        <f>IFERROR(IF(ISNUMBER($A2039),IF(AND(AH!$U$12=1,2034+1=AH!$U$6),IF(AH!$U$4=0,"unavailable",INDEX('Market Data'!$AK$5:$AK$66,AH!$U$4)),IF(AH!$U$5=1,INDEX('Live History'!$D$5:$D$3004,MATCH($A2039,'Live History'!$D$5:$D$3004,1)),INDEX('AH History'!$D$5:$GG$1380,$K2039,AH!$U$10+2))),NA()),NA())</f>
        <v/>
      </c>
      <c r="H2039" s="266">
        <f>IFERROR(IF(ISNUMBER($A2039),IF(AND(AH!$U$12=1,2034+1=AH!$U$6),IF(AH!$U$4=0,"unavailable",INDEX('Market Data'!$AP$5:$AP$66,AH!$U$4)),IF(AH!$U$5=1,INDEX('Live History'!$H$5:$H$3004,MATCH($A2039,'Live History'!$G$5:$G$3004,1)),INDEX('AH History'!$B$5:$B$1380,$K2039))),NA()),NA())</f>
        <v/>
      </c>
      <c r="I2039" s="34">
        <f>IFERROR(IF(ISNUMBER($A2039),IF(AND(AH!$U$12=1,2034+1=AH!$U$6),TODAY(),IF(AH!$U$5=1,INDEX('Live History'!$G$5:$G$3004,MATCH($A2039,'Live History'!$G$5:$G$3004,1)),INDEX('AH History'!$C$5:$C$1380,$K2039))),NA()),NA())</f>
        <v/>
      </c>
      <c r="J2039" s="32">
        <f>IFERROR(IF(AND($F2039&gt;0,$H2039&gt;0,$A2039-$G2039&lt;=10,$A2039-$I2039&lt;=5,$G2039&gt;0,$I2039&gt;0),$F2039*$H2039,NA()),NA())</f>
        <v/>
      </c>
      <c r="K2039" s="15">
        <f>IF($A2039="","",IF(AH!$U$5=1,IFERROR(MATCH($A2039,'Live History'!$A$5:$A$3004,0),0),AH!$U$7+2034))</f>
        <v/>
      </c>
      <c r="L2039" s="15">
        <f>IF(ISNUMBER(A2039),TEXT(A2039,"dd-mmm-yy"),"")</f>
        <v/>
      </c>
    </row>
    <row r="2040">
      <c r="A2040" s="14">
        <f>IF(OR(AH!$U$4=0,2035+1&gt;AH!$U$6,AND(AH!$M$5="Bloomberg",AH!$U$5=0)),"",IFERROR(IF(AND(AH!$U$12=1,2035+1=AH!$U$6),TODAY(),IF(AH!$U$5=1,INDEX('Live History'!$A$5:$A$3004,AH!$U$7+2035),INDEX('AH History'!$A$5:$A$1380,AH!$U$7+2035))),""))</f>
        <v/>
      </c>
      <c r="B2040" s="33">
        <f>IFERROR(IF(AH!$U$11=1,NA(),$J2040/$E2040-1),NA())</f>
        <v/>
      </c>
      <c r="C2040" s="269">
        <f>IFERROR(100*$E2040/$E$5,NA())</f>
        <v/>
      </c>
      <c r="D2040" s="269">
        <f>IFERROR(100*$J2040/$J$5,NA())</f>
        <v/>
      </c>
      <c r="E2040" s="32">
        <f>IFERROR(IF(AND(ISNUMBER($A2040),N(IF(AND(AH!$U$12=1,2035+1=AH!$U$6),IF(AH!$U$4=0,"unavailable",INDEX('Market Data'!$AN$5:$AN$66,AH!$U$4)),IF(AH!$U$5=1,INDEX('Live History'!$B$5:$B$3004,$K2040),INDEX('AH History'!$D$5:$GG$1380,$K2040,AH!$U$10))))&gt;0),IF(AND(AH!$U$12=1,2035+1=AH!$U$6),IF(AH!$U$4=0,"unavailable",INDEX('Market Data'!$AN$5:$AN$66,AH!$U$4)),IF(AH!$U$5=1,INDEX('Live History'!$B$5:$B$3004,$K2040),INDEX('AH History'!$D$5:$GG$1380,$K2040,AH!$U$10))),NA()),NA())</f>
        <v/>
      </c>
      <c r="F2040" s="32">
        <f>IFERROR(IF(ISNUMBER($A2040),IF(AND(AH!$U$12=1,2035+1=AH!$U$6),IF(AH!$U$4=0,"unavailable",INDEX('Market Data'!$AO$5:$AO$66,AH!$U$4)),IF(AH!$U$5=1,INDEX('Live History'!$E$5:$E$3004,MATCH($A2040,'Live History'!$D$5:$D$3004,1)),INDEX('AH History'!$D$5:$GG$1380,$K2040,AH!$U$10+1))),NA()),NA())</f>
        <v/>
      </c>
      <c r="G2040" s="34">
        <f>IFERROR(IF(ISNUMBER($A2040),IF(AND(AH!$U$12=1,2035+1=AH!$U$6),IF(AH!$U$4=0,"unavailable",INDEX('Market Data'!$AK$5:$AK$66,AH!$U$4)),IF(AH!$U$5=1,INDEX('Live History'!$D$5:$D$3004,MATCH($A2040,'Live History'!$D$5:$D$3004,1)),INDEX('AH History'!$D$5:$GG$1380,$K2040,AH!$U$10+2))),NA()),NA())</f>
        <v/>
      </c>
      <c r="H2040" s="266">
        <f>IFERROR(IF(ISNUMBER($A2040),IF(AND(AH!$U$12=1,2035+1=AH!$U$6),IF(AH!$U$4=0,"unavailable",INDEX('Market Data'!$AP$5:$AP$66,AH!$U$4)),IF(AH!$U$5=1,INDEX('Live History'!$H$5:$H$3004,MATCH($A2040,'Live History'!$G$5:$G$3004,1)),INDEX('AH History'!$B$5:$B$1380,$K2040))),NA()),NA())</f>
        <v/>
      </c>
      <c r="I2040" s="34">
        <f>IFERROR(IF(ISNUMBER($A2040),IF(AND(AH!$U$12=1,2035+1=AH!$U$6),TODAY(),IF(AH!$U$5=1,INDEX('Live History'!$G$5:$G$3004,MATCH($A2040,'Live History'!$G$5:$G$3004,1)),INDEX('AH History'!$C$5:$C$1380,$K2040))),NA()),NA())</f>
        <v/>
      </c>
      <c r="J2040" s="32">
        <f>IFERROR(IF(AND($F2040&gt;0,$H2040&gt;0,$A2040-$G2040&lt;=10,$A2040-$I2040&lt;=5,$G2040&gt;0,$I2040&gt;0),$F2040*$H2040,NA()),NA())</f>
        <v/>
      </c>
      <c r="K2040" s="15">
        <f>IF($A2040="","",IF(AH!$U$5=1,IFERROR(MATCH($A2040,'Live History'!$A$5:$A$3004,0),0),AH!$U$7+2035))</f>
        <v/>
      </c>
      <c r="L2040" s="15">
        <f>IF(ISNUMBER(A2040),TEXT(A2040,"dd-mmm-yy"),"")</f>
        <v/>
      </c>
    </row>
    <row r="2041">
      <c r="A2041" s="14">
        <f>IF(OR(AH!$U$4=0,2036+1&gt;AH!$U$6,AND(AH!$M$5="Bloomberg",AH!$U$5=0)),"",IFERROR(IF(AND(AH!$U$12=1,2036+1=AH!$U$6),TODAY(),IF(AH!$U$5=1,INDEX('Live History'!$A$5:$A$3004,AH!$U$7+2036),INDEX('AH History'!$A$5:$A$1380,AH!$U$7+2036))),""))</f>
        <v/>
      </c>
      <c r="B2041" s="33">
        <f>IFERROR(IF(AH!$U$11=1,NA(),$J2041/$E2041-1),NA())</f>
        <v/>
      </c>
      <c r="C2041" s="269">
        <f>IFERROR(100*$E2041/$E$5,NA())</f>
        <v/>
      </c>
      <c r="D2041" s="269">
        <f>IFERROR(100*$J2041/$J$5,NA())</f>
        <v/>
      </c>
      <c r="E2041" s="32">
        <f>IFERROR(IF(AND(ISNUMBER($A2041),N(IF(AND(AH!$U$12=1,2036+1=AH!$U$6),IF(AH!$U$4=0,"unavailable",INDEX('Market Data'!$AN$5:$AN$66,AH!$U$4)),IF(AH!$U$5=1,INDEX('Live History'!$B$5:$B$3004,$K2041),INDEX('AH History'!$D$5:$GG$1380,$K2041,AH!$U$10))))&gt;0),IF(AND(AH!$U$12=1,2036+1=AH!$U$6),IF(AH!$U$4=0,"unavailable",INDEX('Market Data'!$AN$5:$AN$66,AH!$U$4)),IF(AH!$U$5=1,INDEX('Live History'!$B$5:$B$3004,$K2041),INDEX('AH History'!$D$5:$GG$1380,$K2041,AH!$U$10))),NA()),NA())</f>
        <v/>
      </c>
      <c r="F2041" s="32">
        <f>IFERROR(IF(ISNUMBER($A2041),IF(AND(AH!$U$12=1,2036+1=AH!$U$6),IF(AH!$U$4=0,"unavailable",INDEX('Market Data'!$AO$5:$AO$66,AH!$U$4)),IF(AH!$U$5=1,INDEX('Live History'!$E$5:$E$3004,MATCH($A2041,'Live History'!$D$5:$D$3004,1)),INDEX('AH History'!$D$5:$GG$1380,$K2041,AH!$U$10+1))),NA()),NA())</f>
        <v/>
      </c>
      <c r="G2041" s="34">
        <f>IFERROR(IF(ISNUMBER($A2041),IF(AND(AH!$U$12=1,2036+1=AH!$U$6),IF(AH!$U$4=0,"unavailable",INDEX('Market Data'!$AK$5:$AK$66,AH!$U$4)),IF(AH!$U$5=1,INDEX('Live History'!$D$5:$D$3004,MATCH($A2041,'Live History'!$D$5:$D$3004,1)),INDEX('AH History'!$D$5:$GG$1380,$K2041,AH!$U$10+2))),NA()),NA())</f>
        <v/>
      </c>
      <c r="H2041" s="266">
        <f>IFERROR(IF(ISNUMBER($A2041),IF(AND(AH!$U$12=1,2036+1=AH!$U$6),IF(AH!$U$4=0,"unavailable",INDEX('Market Data'!$AP$5:$AP$66,AH!$U$4)),IF(AH!$U$5=1,INDEX('Live History'!$H$5:$H$3004,MATCH($A2041,'Live History'!$G$5:$G$3004,1)),INDEX('AH History'!$B$5:$B$1380,$K2041))),NA()),NA())</f>
        <v/>
      </c>
      <c r="I2041" s="34">
        <f>IFERROR(IF(ISNUMBER($A2041),IF(AND(AH!$U$12=1,2036+1=AH!$U$6),TODAY(),IF(AH!$U$5=1,INDEX('Live History'!$G$5:$G$3004,MATCH($A2041,'Live History'!$G$5:$G$3004,1)),INDEX('AH History'!$C$5:$C$1380,$K2041))),NA()),NA())</f>
        <v/>
      </c>
      <c r="J2041" s="32">
        <f>IFERROR(IF(AND($F2041&gt;0,$H2041&gt;0,$A2041-$G2041&lt;=10,$A2041-$I2041&lt;=5,$G2041&gt;0,$I2041&gt;0),$F2041*$H2041,NA()),NA())</f>
        <v/>
      </c>
      <c r="K2041" s="15">
        <f>IF($A2041="","",IF(AH!$U$5=1,IFERROR(MATCH($A2041,'Live History'!$A$5:$A$3004,0),0),AH!$U$7+2036))</f>
        <v/>
      </c>
      <c r="L2041" s="15">
        <f>IF(ISNUMBER(A2041),TEXT(A2041,"dd-mmm-yy"),"")</f>
        <v/>
      </c>
    </row>
    <row r="2042">
      <c r="A2042" s="14">
        <f>IF(OR(AH!$U$4=0,2037+1&gt;AH!$U$6,AND(AH!$M$5="Bloomberg",AH!$U$5=0)),"",IFERROR(IF(AND(AH!$U$12=1,2037+1=AH!$U$6),TODAY(),IF(AH!$U$5=1,INDEX('Live History'!$A$5:$A$3004,AH!$U$7+2037),INDEX('AH History'!$A$5:$A$1380,AH!$U$7+2037))),""))</f>
        <v/>
      </c>
      <c r="B2042" s="33">
        <f>IFERROR(IF(AH!$U$11=1,NA(),$J2042/$E2042-1),NA())</f>
        <v/>
      </c>
      <c r="C2042" s="269">
        <f>IFERROR(100*$E2042/$E$5,NA())</f>
        <v/>
      </c>
      <c r="D2042" s="269">
        <f>IFERROR(100*$J2042/$J$5,NA())</f>
        <v/>
      </c>
      <c r="E2042" s="32">
        <f>IFERROR(IF(AND(ISNUMBER($A2042),N(IF(AND(AH!$U$12=1,2037+1=AH!$U$6),IF(AH!$U$4=0,"unavailable",INDEX('Market Data'!$AN$5:$AN$66,AH!$U$4)),IF(AH!$U$5=1,INDEX('Live History'!$B$5:$B$3004,$K2042),INDEX('AH History'!$D$5:$GG$1380,$K2042,AH!$U$10))))&gt;0),IF(AND(AH!$U$12=1,2037+1=AH!$U$6),IF(AH!$U$4=0,"unavailable",INDEX('Market Data'!$AN$5:$AN$66,AH!$U$4)),IF(AH!$U$5=1,INDEX('Live History'!$B$5:$B$3004,$K2042),INDEX('AH History'!$D$5:$GG$1380,$K2042,AH!$U$10))),NA()),NA())</f>
        <v/>
      </c>
      <c r="F2042" s="32">
        <f>IFERROR(IF(ISNUMBER($A2042),IF(AND(AH!$U$12=1,2037+1=AH!$U$6),IF(AH!$U$4=0,"unavailable",INDEX('Market Data'!$AO$5:$AO$66,AH!$U$4)),IF(AH!$U$5=1,INDEX('Live History'!$E$5:$E$3004,MATCH($A2042,'Live History'!$D$5:$D$3004,1)),INDEX('AH History'!$D$5:$GG$1380,$K2042,AH!$U$10+1))),NA()),NA())</f>
        <v/>
      </c>
      <c r="G2042" s="34">
        <f>IFERROR(IF(ISNUMBER($A2042),IF(AND(AH!$U$12=1,2037+1=AH!$U$6),IF(AH!$U$4=0,"unavailable",INDEX('Market Data'!$AK$5:$AK$66,AH!$U$4)),IF(AH!$U$5=1,INDEX('Live History'!$D$5:$D$3004,MATCH($A2042,'Live History'!$D$5:$D$3004,1)),INDEX('AH History'!$D$5:$GG$1380,$K2042,AH!$U$10+2))),NA()),NA())</f>
        <v/>
      </c>
      <c r="H2042" s="266">
        <f>IFERROR(IF(ISNUMBER($A2042),IF(AND(AH!$U$12=1,2037+1=AH!$U$6),IF(AH!$U$4=0,"unavailable",INDEX('Market Data'!$AP$5:$AP$66,AH!$U$4)),IF(AH!$U$5=1,INDEX('Live History'!$H$5:$H$3004,MATCH($A2042,'Live History'!$G$5:$G$3004,1)),INDEX('AH History'!$B$5:$B$1380,$K2042))),NA()),NA())</f>
        <v/>
      </c>
      <c r="I2042" s="34">
        <f>IFERROR(IF(ISNUMBER($A2042),IF(AND(AH!$U$12=1,2037+1=AH!$U$6),TODAY(),IF(AH!$U$5=1,INDEX('Live History'!$G$5:$G$3004,MATCH($A2042,'Live History'!$G$5:$G$3004,1)),INDEX('AH History'!$C$5:$C$1380,$K2042))),NA()),NA())</f>
        <v/>
      </c>
      <c r="J2042" s="32">
        <f>IFERROR(IF(AND($F2042&gt;0,$H2042&gt;0,$A2042-$G2042&lt;=10,$A2042-$I2042&lt;=5,$G2042&gt;0,$I2042&gt;0),$F2042*$H2042,NA()),NA())</f>
        <v/>
      </c>
      <c r="K2042" s="15">
        <f>IF($A2042="","",IF(AH!$U$5=1,IFERROR(MATCH($A2042,'Live History'!$A$5:$A$3004,0),0),AH!$U$7+2037))</f>
        <v/>
      </c>
      <c r="L2042" s="15">
        <f>IF(ISNUMBER(A2042),TEXT(A2042,"dd-mmm-yy"),"")</f>
        <v/>
      </c>
    </row>
    <row r="2043">
      <c r="A2043" s="14">
        <f>IF(OR(AH!$U$4=0,2038+1&gt;AH!$U$6,AND(AH!$M$5="Bloomberg",AH!$U$5=0)),"",IFERROR(IF(AND(AH!$U$12=1,2038+1=AH!$U$6),TODAY(),IF(AH!$U$5=1,INDEX('Live History'!$A$5:$A$3004,AH!$U$7+2038),INDEX('AH History'!$A$5:$A$1380,AH!$U$7+2038))),""))</f>
        <v/>
      </c>
      <c r="B2043" s="33">
        <f>IFERROR(IF(AH!$U$11=1,NA(),$J2043/$E2043-1),NA())</f>
        <v/>
      </c>
      <c r="C2043" s="269">
        <f>IFERROR(100*$E2043/$E$5,NA())</f>
        <v/>
      </c>
      <c r="D2043" s="269">
        <f>IFERROR(100*$J2043/$J$5,NA())</f>
        <v/>
      </c>
      <c r="E2043" s="32">
        <f>IFERROR(IF(AND(ISNUMBER($A2043),N(IF(AND(AH!$U$12=1,2038+1=AH!$U$6),IF(AH!$U$4=0,"unavailable",INDEX('Market Data'!$AN$5:$AN$66,AH!$U$4)),IF(AH!$U$5=1,INDEX('Live History'!$B$5:$B$3004,$K2043),INDEX('AH History'!$D$5:$GG$1380,$K2043,AH!$U$10))))&gt;0),IF(AND(AH!$U$12=1,2038+1=AH!$U$6),IF(AH!$U$4=0,"unavailable",INDEX('Market Data'!$AN$5:$AN$66,AH!$U$4)),IF(AH!$U$5=1,INDEX('Live History'!$B$5:$B$3004,$K2043),INDEX('AH History'!$D$5:$GG$1380,$K2043,AH!$U$10))),NA()),NA())</f>
        <v/>
      </c>
      <c r="F2043" s="32">
        <f>IFERROR(IF(ISNUMBER($A2043),IF(AND(AH!$U$12=1,2038+1=AH!$U$6),IF(AH!$U$4=0,"unavailable",INDEX('Market Data'!$AO$5:$AO$66,AH!$U$4)),IF(AH!$U$5=1,INDEX('Live History'!$E$5:$E$3004,MATCH($A2043,'Live History'!$D$5:$D$3004,1)),INDEX('AH History'!$D$5:$GG$1380,$K2043,AH!$U$10+1))),NA()),NA())</f>
        <v/>
      </c>
      <c r="G2043" s="34">
        <f>IFERROR(IF(ISNUMBER($A2043),IF(AND(AH!$U$12=1,2038+1=AH!$U$6),IF(AH!$U$4=0,"unavailable",INDEX('Market Data'!$AK$5:$AK$66,AH!$U$4)),IF(AH!$U$5=1,INDEX('Live History'!$D$5:$D$3004,MATCH($A2043,'Live History'!$D$5:$D$3004,1)),INDEX('AH History'!$D$5:$GG$1380,$K2043,AH!$U$10+2))),NA()),NA())</f>
        <v/>
      </c>
      <c r="H2043" s="266">
        <f>IFERROR(IF(ISNUMBER($A2043),IF(AND(AH!$U$12=1,2038+1=AH!$U$6),IF(AH!$U$4=0,"unavailable",INDEX('Market Data'!$AP$5:$AP$66,AH!$U$4)),IF(AH!$U$5=1,INDEX('Live History'!$H$5:$H$3004,MATCH($A2043,'Live History'!$G$5:$G$3004,1)),INDEX('AH History'!$B$5:$B$1380,$K2043))),NA()),NA())</f>
        <v/>
      </c>
      <c r="I2043" s="34">
        <f>IFERROR(IF(ISNUMBER($A2043),IF(AND(AH!$U$12=1,2038+1=AH!$U$6),TODAY(),IF(AH!$U$5=1,INDEX('Live History'!$G$5:$G$3004,MATCH($A2043,'Live History'!$G$5:$G$3004,1)),INDEX('AH History'!$C$5:$C$1380,$K2043))),NA()),NA())</f>
        <v/>
      </c>
      <c r="J2043" s="32">
        <f>IFERROR(IF(AND($F2043&gt;0,$H2043&gt;0,$A2043-$G2043&lt;=10,$A2043-$I2043&lt;=5,$G2043&gt;0,$I2043&gt;0),$F2043*$H2043,NA()),NA())</f>
        <v/>
      </c>
      <c r="K2043" s="15">
        <f>IF($A2043="","",IF(AH!$U$5=1,IFERROR(MATCH($A2043,'Live History'!$A$5:$A$3004,0),0),AH!$U$7+2038))</f>
        <v/>
      </c>
      <c r="L2043" s="15">
        <f>IF(ISNUMBER(A2043),TEXT(A2043,"dd-mmm-yy"),"")</f>
        <v/>
      </c>
    </row>
    <row r="2044">
      <c r="A2044" s="14">
        <f>IF(OR(AH!$U$4=0,2039+1&gt;AH!$U$6,AND(AH!$M$5="Bloomberg",AH!$U$5=0)),"",IFERROR(IF(AND(AH!$U$12=1,2039+1=AH!$U$6),TODAY(),IF(AH!$U$5=1,INDEX('Live History'!$A$5:$A$3004,AH!$U$7+2039),INDEX('AH History'!$A$5:$A$1380,AH!$U$7+2039))),""))</f>
        <v/>
      </c>
      <c r="B2044" s="33">
        <f>IFERROR(IF(AH!$U$11=1,NA(),$J2044/$E2044-1),NA())</f>
        <v/>
      </c>
      <c r="C2044" s="269">
        <f>IFERROR(100*$E2044/$E$5,NA())</f>
        <v/>
      </c>
      <c r="D2044" s="269">
        <f>IFERROR(100*$J2044/$J$5,NA())</f>
        <v/>
      </c>
      <c r="E2044" s="32">
        <f>IFERROR(IF(AND(ISNUMBER($A2044),N(IF(AND(AH!$U$12=1,2039+1=AH!$U$6),IF(AH!$U$4=0,"unavailable",INDEX('Market Data'!$AN$5:$AN$66,AH!$U$4)),IF(AH!$U$5=1,INDEX('Live History'!$B$5:$B$3004,$K2044),INDEX('AH History'!$D$5:$GG$1380,$K2044,AH!$U$10))))&gt;0),IF(AND(AH!$U$12=1,2039+1=AH!$U$6),IF(AH!$U$4=0,"unavailable",INDEX('Market Data'!$AN$5:$AN$66,AH!$U$4)),IF(AH!$U$5=1,INDEX('Live History'!$B$5:$B$3004,$K2044),INDEX('AH History'!$D$5:$GG$1380,$K2044,AH!$U$10))),NA()),NA())</f>
        <v/>
      </c>
      <c r="F2044" s="32">
        <f>IFERROR(IF(ISNUMBER($A2044),IF(AND(AH!$U$12=1,2039+1=AH!$U$6),IF(AH!$U$4=0,"unavailable",INDEX('Market Data'!$AO$5:$AO$66,AH!$U$4)),IF(AH!$U$5=1,INDEX('Live History'!$E$5:$E$3004,MATCH($A2044,'Live History'!$D$5:$D$3004,1)),INDEX('AH History'!$D$5:$GG$1380,$K2044,AH!$U$10+1))),NA()),NA())</f>
        <v/>
      </c>
      <c r="G2044" s="34">
        <f>IFERROR(IF(ISNUMBER($A2044),IF(AND(AH!$U$12=1,2039+1=AH!$U$6),IF(AH!$U$4=0,"unavailable",INDEX('Market Data'!$AK$5:$AK$66,AH!$U$4)),IF(AH!$U$5=1,INDEX('Live History'!$D$5:$D$3004,MATCH($A2044,'Live History'!$D$5:$D$3004,1)),INDEX('AH History'!$D$5:$GG$1380,$K2044,AH!$U$10+2))),NA()),NA())</f>
        <v/>
      </c>
      <c r="H2044" s="266">
        <f>IFERROR(IF(ISNUMBER($A2044),IF(AND(AH!$U$12=1,2039+1=AH!$U$6),IF(AH!$U$4=0,"unavailable",INDEX('Market Data'!$AP$5:$AP$66,AH!$U$4)),IF(AH!$U$5=1,INDEX('Live History'!$H$5:$H$3004,MATCH($A2044,'Live History'!$G$5:$G$3004,1)),INDEX('AH History'!$B$5:$B$1380,$K2044))),NA()),NA())</f>
        <v/>
      </c>
      <c r="I2044" s="34">
        <f>IFERROR(IF(ISNUMBER($A2044),IF(AND(AH!$U$12=1,2039+1=AH!$U$6),TODAY(),IF(AH!$U$5=1,INDEX('Live History'!$G$5:$G$3004,MATCH($A2044,'Live History'!$G$5:$G$3004,1)),INDEX('AH History'!$C$5:$C$1380,$K2044))),NA()),NA())</f>
        <v/>
      </c>
      <c r="J2044" s="32">
        <f>IFERROR(IF(AND($F2044&gt;0,$H2044&gt;0,$A2044-$G2044&lt;=10,$A2044-$I2044&lt;=5,$G2044&gt;0,$I2044&gt;0),$F2044*$H2044,NA()),NA())</f>
        <v/>
      </c>
      <c r="K2044" s="15">
        <f>IF($A2044="","",IF(AH!$U$5=1,IFERROR(MATCH($A2044,'Live History'!$A$5:$A$3004,0),0),AH!$U$7+2039))</f>
        <v/>
      </c>
      <c r="L2044" s="15">
        <f>IF(ISNUMBER(A2044),TEXT(A2044,"dd-mmm-yy"),"")</f>
        <v/>
      </c>
    </row>
    <row r="2045">
      <c r="A2045" s="14">
        <f>IF(OR(AH!$U$4=0,2040+1&gt;AH!$U$6,AND(AH!$M$5="Bloomberg",AH!$U$5=0)),"",IFERROR(IF(AND(AH!$U$12=1,2040+1=AH!$U$6),TODAY(),IF(AH!$U$5=1,INDEX('Live History'!$A$5:$A$3004,AH!$U$7+2040),INDEX('AH History'!$A$5:$A$1380,AH!$U$7+2040))),""))</f>
        <v/>
      </c>
      <c r="B2045" s="33">
        <f>IFERROR(IF(AH!$U$11=1,NA(),$J2045/$E2045-1),NA())</f>
        <v/>
      </c>
      <c r="C2045" s="269">
        <f>IFERROR(100*$E2045/$E$5,NA())</f>
        <v/>
      </c>
      <c r="D2045" s="269">
        <f>IFERROR(100*$J2045/$J$5,NA())</f>
        <v/>
      </c>
      <c r="E2045" s="32">
        <f>IFERROR(IF(AND(ISNUMBER($A2045),N(IF(AND(AH!$U$12=1,2040+1=AH!$U$6),IF(AH!$U$4=0,"unavailable",INDEX('Market Data'!$AN$5:$AN$66,AH!$U$4)),IF(AH!$U$5=1,INDEX('Live History'!$B$5:$B$3004,$K2045),INDEX('AH History'!$D$5:$GG$1380,$K2045,AH!$U$10))))&gt;0),IF(AND(AH!$U$12=1,2040+1=AH!$U$6),IF(AH!$U$4=0,"unavailable",INDEX('Market Data'!$AN$5:$AN$66,AH!$U$4)),IF(AH!$U$5=1,INDEX('Live History'!$B$5:$B$3004,$K2045),INDEX('AH History'!$D$5:$GG$1380,$K2045,AH!$U$10))),NA()),NA())</f>
        <v/>
      </c>
      <c r="F2045" s="32">
        <f>IFERROR(IF(ISNUMBER($A2045),IF(AND(AH!$U$12=1,2040+1=AH!$U$6),IF(AH!$U$4=0,"unavailable",INDEX('Market Data'!$AO$5:$AO$66,AH!$U$4)),IF(AH!$U$5=1,INDEX('Live History'!$E$5:$E$3004,MATCH($A2045,'Live History'!$D$5:$D$3004,1)),INDEX('AH History'!$D$5:$GG$1380,$K2045,AH!$U$10+1))),NA()),NA())</f>
        <v/>
      </c>
      <c r="G2045" s="34">
        <f>IFERROR(IF(ISNUMBER($A2045),IF(AND(AH!$U$12=1,2040+1=AH!$U$6),IF(AH!$U$4=0,"unavailable",INDEX('Market Data'!$AK$5:$AK$66,AH!$U$4)),IF(AH!$U$5=1,INDEX('Live History'!$D$5:$D$3004,MATCH($A2045,'Live History'!$D$5:$D$3004,1)),INDEX('AH History'!$D$5:$GG$1380,$K2045,AH!$U$10+2))),NA()),NA())</f>
        <v/>
      </c>
      <c r="H2045" s="266">
        <f>IFERROR(IF(ISNUMBER($A2045),IF(AND(AH!$U$12=1,2040+1=AH!$U$6),IF(AH!$U$4=0,"unavailable",INDEX('Market Data'!$AP$5:$AP$66,AH!$U$4)),IF(AH!$U$5=1,INDEX('Live History'!$H$5:$H$3004,MATCH($A2045,'Live History'!$G$5:$G$3004,1)),INDEX('AH History'!$B$5:$B$1380,$K2045))),NA()),NA())</f>
        <v/>
      </c>
      <c r="I2045" s="34">
        <f>IFERROR(IF(ISNUMBER($A2045),IF(AND(AH!$U$12=1,2040+1=AH!$U$6),TODAY(),IF(AH!$U$5=1,INDEX('Live History'!$G$5:$G$3004,MATCH($A2045,'Live History'!$G$5:$G$3004,1)),INDEX('AH History'!$C$5:$C$1380,$K2045))),NA()),NA())</f>
        <v/>
      </c>
      <c r="J2045" s="32">
        <f>IFERROR(IF(AND($F2045&gt;0,$H2045&gt;0,$A2045-$G2045&lt;=10,$A2045-$I2045&lt;=5,$G2045&gt;0,$I2045&gt;0),$F2045*$H2045,NA()),NA())</f>
        <v/>
      </c>
      <c r="K2045" s="15">
        <f>IF($A2045="","",IF(AH!$U$5=1,IFERROR(MATCH($A2045,'Live History'!$A$5:$A$3004,0),0),AH!$U$7+2040))</f>
        <v/>
      </c>
      <c r="L2045" s="15">
        <f>IF(ISNUMBER(A2045),TEXT(A2045,"dd-mmm-yy"),"")</f>
        <v/>
      </c>
    </row>
    <row r="2046">
      <c r="A2046" s="14">
        <f>IF(OR(AH!$U$4=0,2041+1&gt;AH!$U$6,AND(AH!$M$5="Bloomberg",AH!$U$5=0)),"",IFERROR(IF(AND(AH!$U$12=1,2041+1=AH!$U$6),TODAY(),IF(AH!$U$5=1,INDEX('Live History'!$A$5:$A$3004,AH!$U$7+2041),INDEX('AH History'!$A$5:$A$1380,AH!$U$7+2041))),""))</f>
        <v/>
      </c>
      <c r="B2046" s="33">
        <f>IFERROR(IF(AH!$U$11=1,NA(),$J2046/$E2046-1),NA())</f>
        <v/>
      </c>
      <c r="C2046" s="269">
        <f>IFERROR(100*$E2046/$E$5,NA())</f>
        <v/>
      </c>
      <c r="D2046" s="269">
        <f>IFERROR(100*$J2046/$J$5,NA())</f>
        <v/>
      </c>
      <c r="E2046" s="32">
        <f>IFERROR(IF(AND(ISNUMBER($A2046),N(IF(AND(AH!$U$12=1,2041+1=AH!$U$6),IF(AH!$U$4=0,"unavailable",INDEX('Market Data'!$AN$5:$AN$66,AH!$U$4)),IF(AH!$U$5=1,INDEX('Live History'!$B$5:$B$3004,$K2046),INDEX('AH History'!$D$5:$GG$1380,$K2046,AH!$U$10))))&gt;0),IF(AND(AH!$U$12=1,2041+1=AH!$U$6),IF(AH!$U$4=0,"unavailable",INDEX('Market Data'!$AN$5:$AN$66,AH!$U$4)),IF(AH!$U$5=1,INDEX('Live History'!$B$5:$B$3004,$K2046),INDEX('AH History'!$D$5:$GG$1380,$K2046,AH!$U$10))),NA()),NA())</f>
        <v/>
      </c>
      <c r="F2046" s="32">
        <f>IFERROR(IF(ISNUMBER($A2046),IF(AND(AH!$U$12=1,2041+1=AH!$U$6),IF(AH!$U$4=0,"unavailable",INDEX('Market Data'!$AO$5:$AO$66,AH!$U$4)),IF(AH!$U$5=1,INDEX('Live History'!$E$5:$E$3004,MATCH($A2046,'Live History'!$D$5:$D$3004,1)),INDEX('AH History'!$D$5:$GG$1380,$K2046,AH!$U$10+1))),NA()),NA())</f>
        <v/>
      </c>
      <c r="G2046" s="34">
        <f>IFERROR(IF(ISNUMBER($A2046),IF(AND(AH!$U$12=1,2041+1=AH!$U$6),IF(AH!$U$4=0,"unavailable",INDEX('Market Data'!$AK$5:$AK$66,AH!$U$4)),IF(AH!$U$5=1,INDEX('Live History'!$D$5:$D$3004,MATCH($A2046,'Live History'!$D$5:$D$3004,1)),INDEX('AH History'!$D$5:$GG$1380,$K2046,AH!$U$10+2))),NA()),NA())</f>
        <v/>
      </c>
      <c r="H2046" s="266">
        <f>IFERROR(IF(ISNUMBER($A2046),IF(AND(AH!$U$12=1,2041+1=AH!$U$6),IF(AH!$U$4=0,"unavailable",INDEX('Market Data'!$AP$5:$AP$66,AH!$U$4)),IF(AH!$U$5=1,INDEX('Live History'!$H$5:$H$3004,MATCH($A2046,'Live History'!$G$5:$G$3004,1)),INDEX('AH History'!$B$5:$B$1380,$K2046))),NA()),NA())</f>
        <v/>
      </c>
      <c r="I2046" s="34">
        <f>IFERROR(IF(ISNUMBER($A2046),IF(AND(AH!$U$12=1,2041+1=AH!$U$6),TODAY(),IF(AH!$U$5=1,INDEX('Live History'!$G$5:$G$3004,MATCH($A2046,'Live History'!$G$5:$G$3004,1)),INDEX('AH History'!$C$5:$C$1380,$K2046))),NA()),NA())</f>
        <v/>
      </c>
      <c r="J2046" s="32">
        <f>IFERROR(IF(AND($F2046&gt;0,$H2046&gt;0,$A2046-$G2046&lt;=10,$A2046-$I2046&lt;=5,$G2046&gt;0,$I2046&gt;0),$F2046*$H2046,NA()),NA())</f>
        <v/>
      </c>
      <c r="K2046" s="15">
        <f>IF($A2046="","",IF(AH!$U$5=1,IFERROR(MATCH($A2046,'Live History'!$A$5:$A$3004,0),0),AH!$U$7+2041))</f>
        <v/>
      </c>
      <c r="L2046" s="15">
        <f>IF(ISNUMBER(A2046),TEXT(A2046,"dd-mmm-yy"),"")</f>
        <v/>
      </c>
    </row>
    <row r="2047">
      <c r="A2047" s="14">
        <f>IF(OR(AH!$U$4=0,2042+1&gt;AH!$U$6,AND(AH!$M$5="Bloomberg",AH!$U$5=0)),"",IFERROR(IF(AND(AH!$U$12=1,2042+1=AH!$U$6),TODAY(),IF(AH!$U$5=1,INDEX('Live History'!$A$5:$A$3004,AH!$U$7+2042),INDEX('AH History'!$A$5:$A$1380,AH!$U$7+2042))),""))</f>
        <v/>
      </c>
      <c r="B2047" s="33">
        <f>IFERROR(IF(AH!$U$11=1,NA(),$J2047/$E2047-1),NA())</f>
        <v/>
      </c>
      <c r="C2047" s="269">
        <f>IFERROR(100*$E2047/$E$5,NA())</f>
        <v/>
      </c>
      <c r="D2047" s="269">
        <f>IFERROR(100*$J2047/$J$5,NA())</f>
        <v/>
      </c>
      <c r="E2047" s="32">
        <f>IFERROR(IF(AND(ISNUMBER($A2047),N(IF(AND(AH!$U$12=1,2042+1=AH!$U$6),IF(AH!$U$4=0,"unavailable",INDEX('Market Data'!$AN$5:$AN$66,AH!$U$4)),IF(AH!$U$5=1,INDEX('Live History'!$B$5:$B$3004,$K2047),INDEX('AH History'!$D$5:$GG$1380,$K2047,AH!$U$10))))&gt;0),IF(AND(AH!$U$12=1,2042+1=AH!$U$6),IF(AH!$U$4=0,"unavailable",INDEX('Market Data'!$AN$5:$AN$66,AH!$U$4)),IF(AH!$U$5=1,INDEX('Live History'!$B$5:$B$3004,$K2047),INDEX('AH History'!$D$5:$GG$1380,$K2047,AH!$U$10))),NA()),NA())</f>
        <v/>
      </c>
      <c r="F2047" s="32">
        <f>IFERROR(IF(ISNUMBER($A2047),IF(AND(AH!$U$12=1,2042+1=AH!$U$6),IF(AH!$U$4=0,"unavailable",INDEX('Market Data'!$AO$5:$AO$66,AH!$U$4)),IF(AH!$U$5=1,INDEX('Live History'!$E$5:$E$3004,MATCH($A2047,'Live History'!$D$5:$D$3004,1)),INDEX('AH History'!$D$5:$GG$1380,$K2047,AH!$U$10+1))),NA()),NA())</f>
        <v/>
      </c>
      <c r="G2047" s="34">
        <f>IFERROR(IF(ISNUMBER($A2047),IF(AND(AH!$U$12=1,2042+1=AH!$U$6),IF(AH!$U$4=0,"unavailable",INDEX('Market Data'!$AK$5:$AK$66,AH!$U$4)),IF(AH!$U$5=1,INDEX('Live History'!$D$5:$D$3004,MATCH($A2047,'Live History'!$D$5:$D$3004,1)),INDEX('AH History'!$D$5:$GG$1380,$K2047,AH!$U$10+2))),NA()),NA())</f>
        <v/>
      </c>
      <c r="H2047" s="266">
        <f>IFERROR(IF(ISNUMBER($A2047),IF(AND(AH!$U$12=1,2042+1=AH!$U$6),IF(AH!$U$4=0,"unavailable",INDEX('Market Data'!$AP$5:$AP$66,AH!$U$4)),IF(AH!$U$5=1,INDEX('Live History'!$H$5:$H$3004,MATCH($A2047,'Live History'!$G$5:$G$3004,1)),INDEX('AH History'!$B$5:$B$1380,$K2047))),NA()),NA())</f>
        <v/>
      </c>
      <c r="I2047" s="34">
        <f>IFERROR(IF(ISNUMBER($A2047),IF(AND(AH!$U$12=1,2042+1=AH!$U$6),TODAY(),IF(AH!$U$5=1,INDEX('Live History'!$G$5:$G$3004,MATCH($A2047,'Live History'!$G$5:$G$3004,1)),INDEX('AH History'!$C$5:$C$1380,$K2047))),NA()),NA())</f>
        <v/>
      </c>
      <c r="J2047" s="32">
        <f>IFERROR(IF(AND($F2047&gt;0,$H2047&gt;0,$A2047-$G2047&lt;=10,$A2047-$I2047&lt;=5,$G2047&gt;0,$I2047&gt;0),$F2047*$H2047,NA()),NA())</f>
        <v/>
      </c>
      <c r="K2047" s="15">
        <f>IF($A2047="","",IF(AH!$U$5=1,IFERROR(MATCH($A2047,'Live History'!$A$5:$A$3004,0),0),AH!$U$7+2042))</f>
        <v/>
      </c>
      <c r="L2047" s="15">
        <f>IF(ISNUMBER(A2047),TEXT(A2047,"dd-mmm-yy"),"")</f>
        <v/>
      </c>
    </row>
    <row r="2048">
      <c r="A2048" s="14">
        <f>IF(OR(AH!$U$4=0,2043+1&gt;AH!$U$6,AND(AH!$M$5="Bloomberg",AH!$U$5=0)),"",IFERROR(IF(AND(AH!$U$12=1,2043+1=AH!$U$6),TODAY(),IF(AH!$U$5=1,INDEX('Live History'!$A$5:$A$3004,AH!$U$7+2043),INDEX('AH History'!$A$5:$A$1380,AH!$U$7+2043))),""))</f>
        <v/>
      </c>
      <c r="B2048" s="33">
        <f>IFERROR(IF(AH!$U$11=1,NA(),$J2048/$E2048-1),NA())</f>
        <v/>
      </c>
      <c r="C2048" s="269">
        <f>IFERROR(100*$E2048/$E$5,NA())</f>
        <v/>
      </c>
      <c r="D2048" s="269">
        <f>IFERROR(100*$J2048/$J$5,NA())</f>
        <v/>
      </c>
      <c r="E2048" s="32">
        <f>IFERROR(IF(AND(ISNUMBER($A2048),N(IF(AND(AH!$U$12=1,2043+1=AH!$U$6),IF(AH!$U$4=0,"unavailable",INDEX('Market Data'!$AN$5:$AN$66,AH!$U$4)),IF(AH!$U$5=1,INDEX('Live History'!$B$5:$B$3004,$K2048),INDEX('AH History'!$D$5:$GG$1380,$K2048,AH!$U$10))))&gt;0),IF(AND(AH!$U$12=1,2043+1=AH!$U$6),IF(AH!$U$4=0,"unavailable",INDEX('Market Data'!$AN$5:$AN$66,AH!$U$4)),IF(AH!$U$5=1,INDEX('Live History'!$B$5:$B$3004,$K2048),INDEX('AH History'!$D$5:$GG$1380,$K2048,AH!$U$10))),NA()),NA())</f>
        <v/>
      </c>
      <c r="F2048" s="32">
        <f>IFERROR(IF(ISNUMBER($A2048),IF(AND(AH!$U$12=1,2043+1=AH!$U$6),IF(AH!$U$4=0,"unavailable",INDEX('Market Data'!$AO$5:$AO$66,AH!$U$4)),IF(AH!$U$5=1,INDEX('Live History'!$E$5:$E$3004,MATCH($A2048,'Live History'!$D$5:$D$3004,1)),INDEX('AH History'!$D$5:$GG$1380,$K2048,AH!$U$10+1))),NA()),NA())</f>
        <v/>
      </c>
      <c r="G2048" s="34">
        <f>IFERROR(IF(ISNUMBER($A2048),IF(AND(AH!$U$12=1,2043+1=AH!$U$6),IF(AH!$U$4=0,"unavailable",INDEX('Market Data'!$AK$5:$AK$66,AH!$U$4)),IF(AH!$U$5=1,INDEX('Live History'!$D$5:$D$3004,MATCH($A2048,'Live History'!$D$5:$D$3004,1)),INDEX('AH History'!$D$5:$GG$1380,$K2048,AH!$U$10+2))),NA()),NA())</f>
        <v/>
      </c>
      <c r="H2048" s="266">
        <f>IFERROR(IF(ISNUMBER($A2048),IF(AND(AH!$U$12=1,2043+1=AH!$U$6),IF(AH!$U$4=0,"unavailable",INDEX('Market Data'!$AP$5:$AP$66,AH!$U$4)),IF(AH!$U$5=1,INDEX('Live History'!$H$5:$H$3004,MATCH($A2048,'Live History'!$G$5:$G$3004,1)),INDEX('AH History'!$B$5:$B$1380,$K2048))),NA()),NA())</f>
        <v/>
      </c>
      <c r="I2048" s="34">
        <f>IFERROR(IF(ISNUMBER($A2048),IF(AND(AH!$U$12=1,2043+1=AH!$U$6),TODAY(),IF(AH!$U$5=1,INDEX('Live History'!$G$5:$G$3004,MATCH($A2048,'Live History'!$G$5:$G$3004,1)),INDEX('AH History'!$C$5:$C$1380,$K2048))),NA()),NA())</f>
        <v/>
      </c>
      <c r="J2048" s="32">
        <f>IFERROR(IF(AND($F2048&gt;0,$H2048&gt;0,$A2048-$G2048&lt;=10,$A2048-$I2048&lt;=5,$G2048&gt;0,$I2048&gt;0),$F2048*$H2048,NA()),NA())</f>
        <v/>
      </c>
      <c r="K2048" s="15">
        <f>IF($A2048="","",IF(AH!$U$5=1,IFERROR(MATCH($A2048,'Live History'!$A$5:$A$3004,0),0),AH!$U$7+2043))</f>
        <v/>
      </c>
      <c r="L2048" s="15">
        <f>IF(ISNUMBER(A2048),TEXT(A2048,"dd-mmm-yy"),"")</f>
        <v/>
      </c>
    </row>
    <row r="2049">
      <c r="A2049" s="14">
        <f>IF(OR(AH!$U$4=0,2044+1&gt;AH!$U$6,AND(AH!$M$5="Bloomberg",AH!$U$5=0)),"",IFERROR(IF(AND(AH!$U$12=1,2044+1=AH!$U$6),TODAY(),IF(AH!$U$5=1,INDEX('Live History'!$A$5:$A$3004,AH!$U$7+2044),INDEX('AH History'!$A$5:$A$1380,AH!$U$7+2044))),""))</f>
        <v/>
      </c>
      <c r="B2049" s="33">
        <f>IFERROR(IF(AH!$U$11=1,NA(),$J2049/$E2049-1),NA())</f>
        <v/>
      </c>
      <c r="C2049" s="269">
        <f>IFERROR(100*$E2049/$E$5,NA())</f>
        <v/>
      </c>
      <c r="D2049" s="269">
        <f>IFERROR(100*$J2049/$J$5,NA())</f>
        <v/>
      </c>
      <c r="E2049" s="32">
        <f>IFERROR(IF(AND(ISNUMBER($A2049),N(IF(AND(AH!$U$12=1,2044+1=AH!$U$6),IF(AH!$U$4=0,"unavailable",INDEX('Market Data'!$AN$5:$AN$66,AH!$U$4)),IF(AH!$U$5=1,INDEX('Live History'!$B$5:$B$3004,$K2049),INDEX('AH History'!$D$5:$GG$1380,$K2049,AH!$U$10))))&gt;0),IF(AND(AH!$U$12=1,2044+1=AH!$U$6),IF(AH!$U$4=0,"unavailable",INDEX('Market Data'!$AN$5:$AN$66,AH!$U$4)),IF(AH!$U$5=1,INDEX('Live History'!$B$5:$B$3004,$K2049),INDEX('AH History'!$D$5:$GG$1380,$K2049,AH!$U$10))),NA()),NA())</f>
        <v/>
      </c>
      <c r="F2049" s="32">
        <f>IFERROR(IF(ISNUMBER($A2049),IF(AND(AH!$U$12=1,2044+1=AH!$U$6),IF(AH!$U$4=0,"unavailable",INDEX('Market Data'!$AO$5:$AO$66,AH!$U$4)),IF(AH!$U$5=1,INDEX('Live History'!$E$5:$E$3004,MATCH($A2049,'Live History'!$D$5:$D$3004,1)),INDEX('AH History'!$D$5:$GG$1380,$K2049,AH!$U$10+1))),NA()),NA())</f>
        <v/>
      </c>
      <c r="G2049" s="34">
        <f>IFERROR(IF(ISNUMBER($A2049),IF(AND(AH!$U$12=1,2044+1=AH!$U$6),IF(AH!$U$4=0,"unavailable",INDEX('Market Data'!$AK$5:$AK$66,AH!$U$4)),IF(AH!$U$5=1,INDEX('Live History'!$D$5:$D$3004,MATCH($A2049,'Live History'!$D$5:$D$3004,1)),INDEX('AH History'!$D$5:$GG$1380,$K2049,AH!$U$10+2))),NA()),NA())</f>
        <v/>
      </c>
      <c r="H2049" s="266">
        <f>IFERROR(IF(ISNUMBER($A2049),IF(AND(AH!$U$12=1,2044+1=AH!$U$6),IF(AH!$U$4=0,"unavailable",INDEX('Market Data'!$AP$5:$AP$66,AH!$U$4)),IF(AH!$U$5=1,INDEX('Live History'!$H$5:$H$3004,MATCH($A2049,'Live History'!$G$5:$G$3004,1)),INDEX('AH History'!$B$5:$B$1380,$K2049))),NA()),NA())</f>
        <v/>
      </c>
      <c r="I2049" s="34">
        <f>IFERROR(IF(ISNUMBER($A2049),IF(AND(AH!$U$12=1,2044+1=AH!$U$6),TODAY(),IF(AH!$U$5=1,INDEX('Live History'!$G$5:$G$3004,MATCH($A2049,'Live History'!$G$5:$G$3004,1)),INDEX('AH History'!$C$5:$C$1380,$K2049))),NA()),NA())</f>
        <v/>
      </c>
      <c r="J2049" s="32">
        <f>IFERROR(IF(AND($F2049&gt;0,$H2049&gt;0,$A2049-$G2049&lt;=10,$A2049-$I2049&lt;=5,$G2049&gt;0,$I2049&gt;0),$F2049*$H2049,NA()),NA())</f>
        <v/>
      </c>
      <c r="K2049" s="15">
        <f>IF($A2049="","",IF(AH!$U$5=1,IFERROR(MATCH($A2049,'Live History'!$A$5:$A$3004,0),0),AH!$U$7+2044))</f>
        <v/>
      </c>
      <c r="L2049" s="15">
        <f>IF(ISNUMBER(A2049),TEXT(A2049,"dd-mmm-yy"),"")</f>
        <v/>
      </c>
    </row>
    <row r="2050">
      <c r="A2050" s="14">
        <f>IF(OR(AH!$U$4=0,2045+1&gt;AH!$U$6,AND(AH!$M$5="Bloomberg",AH!$U$5=0)),"",IFERROR(IF(AND(AH!$U$12=1,2045+1=AH!$U$6),TODAY(),IF(AH!$U$5=1,INDEX('Live History'!$A$5:$A$3004,AH!$U$7+2045),INDEX('AH History'!$A$5:$A$1380,AH!$U$7+2045))),""))</f>
        <v/>
      </c>
      <c r="B2050" s="33">
        <f>IFERROR(IF(AH!$U$11=1,NA(),$J2050/$E2050-1),NA())</f>
        <v/>
      </c>
      <c r="C2050" s="269">
        <f>IFERROR(100*$E2050/$E$5,NA())</f>
        <v/>
      </c>
      <c r="D2050" s="269">
        <f>IFERROR(100*$J2050/$J$5,NA())</f>
        <v/>
      </c>
      <c r="E2050" s="32">
        <f>IFERROR(IF(AND(ISNUMBER($A2050),N(IF(AND(AH!$U$12=1,2045+1=AH!$U$6),IF(AH!$U$4=0,"unavailable",INDEX('Market Data'!$AN$5:$AN$66,AH!$U$4)),IF(AH!$U$5=1,INDEX('Live History'!$B$5:$B$3004,$K2050),INDEX('AH History'!$D$5:$GG$1380,$K2050,AH!$U$10))))&gt;0),IF(AND(AH!$U$12=1,2045+1=AH!$U$6),IF(AH!$U$4=0,"unavailable",INDEX('Market Data'!$AN$5:$AN$66,AH!$U$4)),IF(AH!$U$5=1,INDEX('Live History'!$B$5:$B$3004,$K2050),INDEX('AH History'!$D$5:$GG$1380,$K2050,AH!$U$10))),NA()),NA())</f>
        <v/>
      </c>
      <c r="F2050" s="32">
        <f>IFERROR(IF(ISNUMBER($A2050),IF(AND(AH!$U$12=1,2045+1=AH!$U$6),IF(AH!$U$4=0,"unavailable",INDEX('Market Data'!$AO$5:$AO$66,AH!$U$4)),IF(AH!$U$5=1,INDEX('Live History'!$E$5:$E$3004,MATCH($A2050,'Live History'!$D$5:$D$3004,1)),INDEX('AH History'!$D$5:$GG$1380,$K2050,AH!$U$10+1))),NA()),NA())</f>
        <v/>
      </c>
      <c r="G2050" s="34">
        <f>IFERROR(IF(ISNUMBER($A2050),IF(AND(AH!$U$12=1,2045+1=AH!$U$6),IF(AH!$U$4=0,"unavailable",INDEX('Market Data'!$AK$5:$AK$66,AH!$U$4)),IF(AH!$U$5=1,INDEX('Live History'!$D$5:$D$3004,MATCH($A2050,'Live History'!$D$5:$D$3004,1)),INDEX('AH History'!$D$5:$GG$1380,$K2050,AH!$U$10+2))),NA()),NA())</f>
        <v/>
      </c>
      <c r="H2050" s="266">
        <f>IFERROR(IF(ISNUMBER($A2050),IF(AND(AH!$U$12=1,2045+1=AH!$U$6),IF(AH!$U$4=0,"unavailable",INDEX('Market Data'!$AP$5:$AP$66,AH!$U$4)),IF(AH!$U$5=1,INDEX('Live History'!$H$5:$H$3004,MATCH($A2050,'Live History'!$G$5:$G$3004,1)),INDEX('AH History'!$B$5:$B$1380,$K2050))),NA()),NA())</f>
        <v/>
      </c>
      <c r="I2050" s="34">
        <f>IFERROR(IF(ISNUMBER($A2050),IF(AND(AH!$U$12=1,2045+1=AH!$U$6),TODAY(),IF(AH!$U$5=1,INDEX('Live History'!$G$5:$G$3004,MATCH($A2050,'Live History'!$G$5:$G$3004,1)),INDEX('AH History'!$C$5:$C$1380,$K2050))),NA()),NA())</f>
        <v/>
      </c>
      <c r="J2050" s="32">
        <f>IFERROR(IF(AND($F2050&gt;0,$H2050&gt;0,$A2050-$G2050&lt;=10,$A2050-$I2050&lt;=5,$G2050&gt;0,$I2050&gt;0),$F2050*$H2050,NA()),NA())</f>
        <v/>
      </c>
      <c r="K2050" s="15">
        <f>IF($A2050="","",IF(AH!$U$5=1,IFERROR(MATCH($A2050,'Live History'!$A$5:$A$3004,0),0),AH!$U$7+2045))</f>
        <v/>
      </c>
      <c r="L2050" s="15">
        <f>IF(ISNUMBER(A2050),TEXT(A2050,"dd-mmm-yy"),"")</f>
        <v/>
      </c>
    </row>
    <row r="2051">
      <c r="A2051" s="14">
        <f>IF(OR(AH!$U$4=0,2046+1&gt;AH!$U$6,AND(AH!$M$5="Bloomberg",AH!$U$5=0)),"",IFERROR(IF(AND(AH!$U$12=1,2046+1=AH!$U$6),TODAY(),IF(AH!$U$5=1,INDEX('Live History'!$A$5:$A$3004,AH!$U$7+2046),INDEX('AH History'!$A$5:$A$1380,AH!$U$7+2046))),""))</f>
        <v/>
      </c>
      <c r="B2051" s="33">
        <f>IFERROR(IF(AH!$U$11=1,NA(),$J2051/$E2051-1),NA())</f>
        <v/>
      </c>
      <c r="C2051" s="269">
        <f>IFERROR(100*$E2051/$E$5,NA())</f>
        <v/>
      </c>
      <c r="D2051" s="269">
        <f>IFERROR(100*$J2051/$J$5,NA())</f>
        <v/>
      </c>
      <c r="E2051" s="32">
        <f>IFERROR(IF(AND(ISNUMBER($A2051),N(IF(AND(AH!$U$12=1,2046+1=AH!$U$6),IF(AH!$U$4=0,"unavailable",INDEX('Market Data'!$AN$5:$AN$66,AH!$U$4)),IF(AH!$U$5=1,INDEX('Live History'!$B$5:$B$3004,$K2051),INDEX('AH History'!$D$5:$GG$1380,$K2051,AH!$U$10))))&gt;0),IF(AND(AH!$U$12=1,2046+1=AH!$U$6),IF(AH!$U$4=0,"unavailable",INDEX('Market Data'!$AN$5:$AN$66,AH!$U$4)),IF(AH!$U$5=1,INDEX('Live History'!$B$5:$B$3004,$K2051),INDEX('AH History'!$D$5:$GG$1380,$K2051,AH!$U$10))),NA()),NA())</f>
        <v/>
      </c>
      <c r="F2051" s="32">
        <f>IFERROR(IF(ISNUMBER($A2051),IF(AND(AH!$U$12=1,2046+1=AH!$U$6),IF(AH!$U$4=0,"unavailable",INDEX('Market Data'!$AO$5:$AO$66,AH!$U$4)),IF(AH!$U$5=1,INDEX('Live History'!$E$5:$E$3004,MATCH($A2051,'Live History'!$D$5:$D$3004,1)),INDEX('AH History'!$D$5:$GG$1380,$K2051,AH!$U$10+1))),NA()),NA())</f>
        <v/>
      </c>
      <c r="G2051" s="34">
        <f>IFERROR(IF(ISNUMBER($A2051),IF(AND(AH!$U$12=1,2046+1=AH!$U$6),IF(AH!$U$4=0,"unavailable",INDEX('Market Data'!$AK$5:$AK$66,AH!$U$4)),IF(AH!$U$5=1,INDEX('Live History'!$D$5:$D$3004,MATCH($A2051,'Live History'!$D$5:$D$3004,1)),INDEX('AH History'!$D$5:$GG$1380,$K2051,AH!$U$10+2))),NA()),NA())</f>
        <v/>
      </c>
      <c r="H2051" s="266">
        <f>IFERROR(IF(ISNUMBER($A2051),IF(AND(AH!$U$12=1,2046+1=AH!$U$6),IF(AH!$U$4=0,"unavailable",INDEX('Market Data'!$AP$5:$AP$66,AH!$U$4)),IF(AH!$U$5=1,INDEX('Live History'!$H$5:$H$3004,MATCH($A2051,'Live History'!$G$5:$G$3004,1)),INDEX('AH History'!$B$5:$B$1380,$K2051))),NA()),NA())</f>
        <v/>
      </c>
      <c r="I2051" s="34">
        <f>IFERROR(IF(ISNUMBER($A2051),IF(AND(AH!$U$12=1,2046+1=AH!$U$6),TODAY(),IF(AH!$U$5=1,INDEX('Live History'!$G$5:$G$3004,MATCH($A2051,'Live History'!$G$5:$G$3004,1)),INDEX('AH History'!$C$5:$C$1380,$K2051))),NA()),NA())</f>
        <v/>
      </c>
      <c r="J2051" s="32">
        <f>IFERROR(IF(AND($F2051&gt;0,$H2051&gt;0,$A2051-$G2051&lt;=10,$A2051-$I2051&lt;=5,$G2051&gt;0,$I2051&gt;0),$F2051*$H2051,NA()),NA())</f>
        <v/>
      </c>
      <c r="K2051" s="15">
        <f>IF($A2051="","",IF(AH!$U$5=1,IFERROR(MATCH($A2051,'Live History'!$A$5:$A$3004,0),0),AH!$U$7+2046))</f>
        <v/>
      </c>
      <c r="L2051" s="15">
        <f>IF(ISNUMBER(A2051),TEXT(A2051,"dd-mmm-yy"),"")</f>
        <v/>
      </c>
    </row>
    <row r="2052">
      <c r="A2052" s="14">
        <f>IF(OR(AH!$U$4=0,2047+1&gt;AH!$U$6,AND(AH!$M$5="Bloomberg",AH!$U$5=0)),"",IFERROR(IF(AND(AH!$U$12=1,2047+1=AH!$U$6),TODAY(),IF(AH!$U$5=1,INDEX('Live History'!$A$5:$A$3004,AH!$U$7+2047),INDEX('AH History'!$A$5:$A$1380,AH!$U$7+2047))),""))</f>
        <v/>
      </c>
      <c r="B2052" s="33">
        <f>IFERROR(IF(AH!$U$11=1,NA(),$J2052/$E2052-1),NA())</f>
        <v/>
      </c>
      <c r="C2052" s="269">
        <f>IFERROR(100*$E2052/$E$5,NA())</f>
        <v/>
      </c>
      <c r="D2052" s="269">
        <f>IFERROR(100*$J2052/$J$5,NA())</f>
        <v/>
      </c>
      <c r="E2052" s="32">
        <f>IFERROR(IF(AND(ISNUMBER($A2052),N(IF(AND(AH!$U$12=1,2047+1=AH!$U$6),IF(AH!$U$4=0,"unavailable",INDEX('Market Data'!$AN$5:$AN$66,AH!$U$4)),IF(AH!$U$5=1,INDEX('Live History'!$B$5:$B$3004,$K2052),INDEX('AH History'!$D$5:$GG$1380,$K2052,AH!$U$10))))&gt;0),IF(AND(AH!$U$12=1,2047+1=AH!$U$6),IF(AH!$U$4=0,"unavailable",INDEX('Market Data'!$AN$5:$AN$66,AH!$U$4)),IF(AH!$U$5=1,INDEX('Live History'!$B$5:$B$3004,$K2052),INDEX('AH History'!$D$5:$GG$1380,$K2052,AH!$U$10))),NA()),NA())</f>
        <v/>
      </c>
      <c r="F2052" s="32">
        <f>IFERROR(IF(ISNUMBER($A2052),IF(AND(AH!$U$12=1,2047+1=AH!$U$6),IF(AH!$U$4=0,"unavailable",INDEX('Market Data'!$AO$5:$AO$66,AH!$U$4)),IF(AH!$U$5=1,INDEX('Live History'!$E$5:$E$3004,MATCH($A2052,'Live History'!$D$5:$D$3004,1)),INDEX('AH History'!$D$5:$GG$1380,$K2052,AH!$U$10+1))),NA()),NA())</f>
        <v/>
      </c>
      <c r="G2052" s="34">
        <f>IFERROR(IF(ISNUMBER($A2052),IF(AND(AH!$U$12=1,2047+1=AH!$U$6),IF(AH!$U$4=0,"unavailable",INDEX('Market Data'!$AK$5:$AK$66,AH!$U$4)),IF(AH!$U$5=1,INDEX('Live History'!$D$5:$D$3004,MATCH($A2052,'Live History'!$D$5:$D$3004,1)),INDEX('AH History'!$D$5:$GG$1380,$K2052,AH!$U$10+2))),NA()),NA())</f>
        <v/>
      </c>
      <c r="H2052" s="266">
        <f>IFERROR(IF(ISNUMBER($A2052),IF(AND(AH!$U$12=1,2047+1=AH!$U$6),IF(AH!$U$4=0,"unavailable",INDEX('Market Data'!$AP$5:$AP$66,AH!$U$4)),IF(AH!$U$5=1,INDEX('Live History'!$H$5:$H$3004,MATCH($A2052,'Live History'!$G$5:$G$3004,1)),INDEX('AH History'!$B$5:$B$1380,$K2052))),NA()),NA())</f>
        <v/>
      </c>
      <c r="I2052" s="34">
        <f>IFERROR(IF(ISNUMBER($A2052),IF(AND(AH!$U$12=1,2047+1=AH!$U$6),TODAY(),IF(AH!$U$5=1,INDEX('Live History'!$G$5:$G$3004,MATCH($A2052,'Live History'!$G$5:$G$3004,1)),INDEX('AH History'!$C$5:$C$1380,$K2052))),NA()),NA())</f>
        <v/>
      </c>
      <c r="J2052" s="32">
        <f>IFERROR(IF(AND($F2052&gt;0,$H2052&gt;0,$A2052-$G2052&lt;=10,$A2052-$I2052&lt;=5,$G2052&gt;0,$I2052&gt;0),$F2052*$H2052,NA()),NA())</f>
        <v/>
      </c>
      <c r="K2052" s="15">
        <f>IF($A2052="","",IF(AH!$U$5=1,IFERROR(MATCH($A2052,'Live History'!$A$5:$A$3004,0),0),AH!$U$7+2047))</f>
        <v/>
      </c>
      <c r="L2052" s="15">
        <f>IF(ISNUMBER(A2052),TEXT(A2052,"dd-mmm-yy"),"")</f>
        <v/>
      </c>
    </row>
    <row r="2053">
      <c r="A2053" s="14">
        <f>IF(OR(AH!$U$4=0,2048+1&gt;AH!$U$6,AND(AH!$M$5="Bloomberg",AH!$U$5=0)),"",IFERROR(IF(AND(AH!$U$12=1,2048+1=AH!$U$6),TODAY(),IF(AH!$U$5=1,INDEX('Live History'!$A$5:$A$3004,AH!$U$7+2048),INDEX('AH History'!$A$5:$A$1380,AH!$U$7+2048))),""))</f>
        <v/>
      </c>
      <c r="B2053" s="33">
        <f>IFERROR(IF(AH!$U$11=1,NA(),$J2053/$E2053-1),NA())</f>
        <v/>
      </c>
      <c r="C2053" s="269">
        <f>IFERROR(100*$E2053/$E$5,NA())</f>
        <v/>
      </c>
      <c r="D2053" s="269">
        <f>IFERROR(100*$J2053/$J$5,NA())</f>
        <v/>
      </c>
      <c r="E2053" s="32">
        <f>IFERROR(IF(AND(ISNUMBER($A2053),N(IF(AND(AH!$U$12=1,2048+1=AH!$U$6),IF(AH!$U$4=0,"unavailable",INDEX('Market Data'!$AN$5:$AN$66,AH!$U$4)),IF(AH!$U$5=1,INDEX('Live History'!$B$5:$B$3004,$K2053),INDEX('AH History'!$D$5:$GG$1380,$K2053,AH!$U$10))))&gt;0),IF(AND(AH!$U$12=1,2048+1=AH!$U$6),IF(AH!$U$4=0,"unavailable",INDEX('Market Data'!$AN$5:$AN$66,AH!$U$4)),IF(AH!$U$5=1,INDEX('Live History'!$B$5:$B$3004,$K2053),INDEX('AH History'!$D$5:$GG$1380,$K2053,AH!$U$10))),NA()),NA())</f>
        <v/>
      </c>
      <c r="F2053" s="32">
        <f>IFERROR(IF(ISNUMBER($A2053),IF(AND(AH!$U$12=1,2048+1=AH!$U$6),IF(AH!$U$4=0,"unavailable",INDEX('Market Data'!$AO$5:$AO$66,AH!$U$4)),IF(AH!$U$5=1,INDEX('Live History'!$E$5:$E$3004,MATCH($A2053,'Live History'!$D$5:$D$3004,1)),INDEX('AH History'!$D$5:$GG$1380,$K2053,AH!$U$10+1))),NA()),NA())</f>
        <v/>
      </c>
      <c r="G2053" s="34">
        <f>IFERROR(IF(ISNUMBER($A2053),IF(AND(AH!$U$12=1,2048+1=AH!$U$6),IF(AH!$U$4=0,"unavailable",INDEX('Market Data'!$AK$5:$AK$66,AH!$U$4)),IF(AH!$U$5=1,INDEX('Live History'!$D$5:$D$3004,MATCH($A2053,'Live History'!$D$5:$D$3004,1)),INDEX('AH History'!$D$5:$GG$1380,$K2053,AH!$U$10+2))),NA()),NA())</f>
        <v/>
      </c>
      <c r="H2053" s="266">
        <f>IFERROR(IF(ISNUMBER($A2053),IF(AND(AH!$U$12=1,2048+1=AH!$U$6),IF(AH!$U$4=0,"unavailable",INDEX('Market Data'!$AP$5:$AP$66,AH!$U$4)),IF(AH!$U$5=1,INDEX('Live History'!$H$5:$H$3004,MATCH($A2053,'Live History'!$G$5:$G$3004,1)),INDEX('AH History'!$B$5:$B$1380,$K2053))),NA()),NA())</f>
        <v/>
      </c>
      <c r="I2053" s="34">
        <f>IFERROR(IF(ISNUMBER($A2053),IF(AND(AH!$U$12=1,2048+1=AH!$U$6),TODAY(),IF(AH!$U$5=1,INDEX('Live History'!$G$5:$G$3004,MATCH($A2053,'Live History'!$G$5:$G$3004,1)),INDEX('AH History'!$C$5:$C$1380,$K2053))),NA()),NA())</f>
        <v/>
      </c>
      <c r="J2053" s="32">
        <f>IFERROR(IF(AND($F2053&gt;0,$H2053&gt;0,$A2053-$G2053&lt;=10,$A2053-$I2053&lt;=5,$G2053&gt;0,$I2053&gt;0),$F2053*$H2053,NA()),NA())</f>
        <v/>
      </c>
      <c r="K2053" s="15">
        <f>IF($A2053="","",IF(AH!$U$5=1,IFERROR(MATCH($A2053,'Live History'!$A$5:$A$3004,0),0),AH!$U$7+2048))</f>
        <v/>
      </c>
      <c r="L2053" s="15">
        <f>IF(ISNUMBER(A2053),TEXT(A2053,"dd-mmm-yy"),"")</f>
        <v/>
      </c>
    </row>
    <row r="2054">
      <c r="A2054" s="14">
        <f>IF(OR(AH!$U$4=0,2049+1&gt;AH!$U$6,AND(AH!$M$5="Bloomberg",AH!$U$5=0)),"",IFERROR(IF(AND(AH!$U$12=1,2049+1=AH!$U$6),TODAY(),IF(AH!$U$5=1,INDEX('Live History'!$A$5:$A$3004,AH!$U$7+2049),INDEX('AH History'!$A$5:$A$1380,AH!$U$7+2049))),""))</f>
        <v/>
      </c>
      <c r="B2054" s="33">
        <f>IFERROR(IF(AH!$U$11=1,NA(),$J2054/$E2054-1),NA())</f>
        <v/>
      </c>
      <c r="C2054" s="269">
        <f>IFERROR(100*$E2054/$E$5,NA())</f>
        <v/>
      </c>
      <c r="D2054" s="269">
        <f>IFERROR(100*$J2054/$J$5,NA())</f>
        <v/>
      </c>
      <c r="E2054" s="32">
        <f>IFERROR(IF(AND(ISNUMBER($A2054),N(IF(AND(AH!$U$12=1,2049+1=AH!$U$6),IF(AH!$U$4=0,"unavailable",INDEX('Market Data'!$AN$5:$AN$66,AH!$U$4)),IF(AH!$U$5=1,INDEX('Live History'!$B$5:$B$3004,$K2054),INDEX('AH History'!$D$5:$GG$1380,$K2054,AH!$U$10))))&gt;0),IF(AND(AH!$U$12=1,2049+1=AH!$U$6),IF(AH!$U$4=0,"unavailable",INDEX('Market Data'!$AN$5:$AN$66,AH!$U$4)),IF(AH!$U$5=1,INDEX('Live History'!$B$5:$B$3004,$K2054),INDEX('AH History'!$D$5:$GG$1380,$K2054,AH!$U$10))),NA()),NA())</f>
        <v/>
      </c>
      <c r="F2054" s="32">
        <f>IFERROR(IF(ISNUMBER($A2054),IF(AND(AH!$U$12=1,2049+1=AH!$U$6),IF(AH!$U$4=0,"unavailable",INDEX('Market Data'!$AO$5:$AO$66,AH!$U$4)),IF(AH!$U$5=1,INDEX('Live History'!$E$5:$E$3004,MATCH($A2054,'Live History'!$D$5:$D$3004,1)),INDEX('AH History'!$D$5:$GG$1380,$K2054,AH!$U$10+1))),NA()),NA())</f>
        <v/>
      </c>
      <c r="G2054" s="34">
        <f>IFERROR(IF(ISNUMBER($A2054),IF(AND(AH!$U$12=1,2049+1=AH!$U$6),IF(AH!$U$4=0,"unavailable",INDEX('Market Data'!$AK$5:$AK$66,AH!$U$4)),IF(AH!$U$5=1,INDEX('Live History'!$D$5:$D$3004,MATCH($A2054,'Live History'!$D$5:$D$3004,1)),INDEX('AH History'!$D$5:$GG$1380,$K2054,AH!$U$10+2))),NA()),NA())</f>
        <v/>
      </c>
      <c r="H2054" s="266">
        <f>IFERROR(IF(ISNUMBER($A2054),IF(AND(AH!$U$12=1,2049+1=AH!$U$6),IF(AH!$U$4=0,"unavailable",INDEX('Market Data'!$AP$5:$AP$66,AH!$U$4)),IF(AH!$U$5=1,INDEX('Live History'!$H$5:$H$3004,MATCH($A2054,'Live History'!$G$5:$G$3004,1)),INDEX('AH History'!$B$5:$B$1380,$K2054))),NA()),NA())</f>
        <v/>
      </c>
      <c r="I2054" s="34">
        <f>IFERROR(IF(ISNUMBER($A2054),IF(AND(AH!$U$12=1,2049+1=AH!$U$6),TODAY(),IF(AH!$U$5=1,INDEX('Live History'!$G$5:$G$3004,MATCH($A2054,'Live History'!$G$5:$G$3004,1)),INDEX('AH History'!$C$5:$C$1380,$K2054))),NA()),NA())</f>
        <v/>
      </c>
      <c r="J2054" s="32">
        <f>IFERROR(IF(AND($F2054&gt;0,$H2054&gt;0,$A2054-$G2054&lt;=10,$A2054-$I2054&lt;=5,$G2054&gt;0,$I2054&gt;0),$F2054*$H2054,NA()),NA())</f>
        <v/>
      </c>
      <c r="K2054" s="15">
        <f>IF($A2054="","",IF(AH!$U$5=1,IFERROR(MATCH($A2054,'Live History'!$A$5:$A$3004,0),0),AH!$U$7+2049))</f>
        <v/>
      </c>
      <c r="L2054" s="15">
        <f>IF(ISNUMBER(A2054),TEXT(A2054,"dd-mmm-yy"),"")</f>
        <v/>
      </c>
    </row>
    <row r="2055">
      <c r="A2055" s="14">
        <f>IF(OR(AH!$U$4=0,2050+1&gt;AH!$U$6,AND(AH!$M$5="Bloomberg",AH!$U$5=0)),"",IFERROR(IF(AND(AH!$U$12=1,2050+1=AH!$U$6),TODAY(),IF(AH!$U$5=1,INDEX('Live History'!$A$5:$A$3004,AH!$U$7+2050),INDEX('AH History'!$A$5:$A$1380,AH!$U$7+2050))),""))</f>
        <v/>
      </c>
      <c r="B2055" s="33">
        <f>IFERROR(IF(AH!$U$11=1,NA(),$J2055/$E2055-1),NA())</f>
        <v/>
      </c>
      <c r="C2055" s="269">
        <f>IFERROR(100*$E2055/$E$5,NA())</f>
        <v/>
      </c>
      <c r="D2055" s="269">
        <f>IFERROR(100*$J2055/$J$5,NA())</f>
        <v/>
      </c>
      <c r="E2055" s="32">
        <f>IFERROR(IF(AND(ISNUMBER($A2055),N(IF(AND(AH!$U$12=1,2050+1=AH!$U$6),IF(AH!$U$4=0,"unavailable",INDEX('Market Data'!$AN$5:$AN$66,AH!$U$4)),IF(AH!$U$5=1,INDEX('Live History'!$B$5:$B$3004,$K2055),INDEX('AH History'!$D$5:$GG$1380,$K2055,AH!$U$10))))&gt;0),IF(AND(AH!$U$12=1,2050+1=AH!$U$6),IF(AH!$U$4=0,"unavailable",INDEX('Market Data'!$AN$5:$AN$66,AH!$U$4)),IF(AH!$U$5=1,INDEX('Live History'!$B$5:$B$3004,$K2055),INDEX('AH History'!$D$5:$GG$1380,$K2055,AH!$U$10))),NA()),NA())</f>
        <v/>
      </c>
      <c r="F2055" s="32">
        <f>IFERROR(IF(ISNUMBER($A2055),IF(AND(AH!$U$12=1,2050+1=AH!$U$6),IF(AH!$U$4=0,"unavailable",INDEX('Market Data'!$AO$5:$AO$66,AH!$U$4)),IF(AH!$U$5=1,INDEX('Live History'!$E$5:$E$3004,MATCH($A2055,'Live History'!$D$5:$D$3004,1)),INDEX('AH History'!$D$5:$GG$1380,$K2055,AH!$U$10+1))),NA()),NA())</f>
        <v/>
      </c>
      <c r="G2055" s="34">
        <f>IFERROR(IF(ISNUMBER($A2055),IF(AND(AH!$U$12=1,2050+1=AH!$U$6),IF(AH!$U$4=0,"unavailable",INDEX('Market Data'!$AK$5:$AK$66,AH!$U$4)),IF(AH!$U$5=1,INDEX('Live History'!$D$5:$D$3004,MATCH($A2055,'Live History'!$D$5:$D$3004,1)),INDEX('AH History'!$D$5:$GG$1380,$K2055,AH!$U$10+2))),NA()),NA())</f>
        <v/>
      </c>
      <c r="H2055" s="266">
        <f>IFERROR(IF(ISNUMBER($A2055),IF(AND(AH!$U$12=1,2050+1=AH!$U$6),IF(AH!$U$4=0,"unavailable",INDEX('Market Data'!$AP$5:$AP$66,AH!$U$4)),IF(AH!$U$5=1,INDEX('Live History'!$H$5:$H$3004,MATCH($A2055,'Live History'!$G$5:$G$3004,1)),INDEX('AH History'!$B$5:$B$1380,$K2055))),NA()),NA())</f>
        <v/>
      </c>
      <c r="I2055" s="34">
        <f>IFERROR(IF(ISNUMBER($A2055),IF(AND(AH!$U$12=1,2050+1=AH!$U$6),TODAY(),IF(AH!$U$5=1,INDEX('Live History'!$G$5:$G$3004,MATCH($A2055,'Live History'!$G$5:$G$3004,1)),INDEX('AH History'!$C$5:$C$1380,$K2055))),NA()),NA())</f>
        <v/>
      </c>
      <c r="J2055" s="32">
        <f>IFERROR(IF(AND($F2055&gt;0,$H2055&gt;0,$A2055-$G2055&lt;=10,$A2055-$I2055&lt;=5,$G2055&gt;0,$I2055&gt;0),$F2055*$H2055,NA()),NA())</f>
        <v/>
      </c>
      <c r="K2055" s="15">
        <f>IF($A2055="","",IF(AH!$U$5=1,IFERROR(MATCH($A2055,'Live History'!$A$5:$A$3004,0),0),AH!$U$7+2050))</f>
        <v/>
      </c>
      <c r="L2055" s="15">
        <f>IF(ISNUMBER(A2055),TEXT(A2055,"dd-mmm-yy"),"")</f>
        <v/>
      </c>
    </row>
    <row r="2056">
      <c r="A2056" s="14">
        <f>IF(OR(AH!$U$4=0,2051+1&gt;AH!$U$6,AND(AH!$M$5="Bloomberg",AH!$U$5=0)),"",IFERROR(IF(AND(AH!$U$12=1,2051+1=AH!$U$6),TODAY(),IF(AH!$U$5=1,INDEX('Live History'!$A$5:$A$3004,AH!$U$7+2051),INDEX('AH History'!$A$5:$A$1380,AH!$U$7+2051))),""))</f>
        <v/>
      </c>
      <c r="B2056" s="33">
        <f>IFERROR(IF(AH!$U$11=1,NA(),$J2056/$E2056-1),NA())</f>
        <v/>
      </c>
      <c r="C2056" s="269">
        <f>IFERROR(100*$E2056/$E$5,NA())</f>
        <v/>
      </c>
      <c r="D2056" s="269">
        <f>IFERROR(100*$J2056/$J$5,NA())</f>
        <v/>
      </c>
      <c r="E2056" s="32">
        <f>IFERROR(IF(AND(ISNUMBER($A2056),N(IF(AND(AH!$U$12=1,2051+1=AH!$U$6),IF(AH!$U$4=0,"unavailable",INDEX('Market Data'!$AN$5:$AN$66,AH!$U$4)),IF(AH!$U$5=1,INDEX('Live History'!$B$5:$B$3004,$K2056),INDEX('AH History'!$D$5:$GG$1380,$K2056,AH!$U$10))))&gt;0),IF(AND(AH!$U$12=1,2051+1=AH!$U$6),IF(AH!$U$4=0,"unavailable",INDEX('Market Data'!$AN$5:$AN$66,AH!$U$4)),IF(AH!$U$5=1,INDEX('Live History'!$B$5:$B$3004,$K2056),INDEX('AH History'!$D$5:$GG$1380,$K2056,AH!$U$10))),NA()),NA())</f>
        <v/>
      </c>
      <c r="F2056" s="32">
        <f>IFERROR(IF(ISNUMBER($A2056),IF(AND(AH!$U$12=1,2051+1=AH!$U$6),IF(AH!$U$4=0,"unavailable",INDEX('Market Data'!$AO$5:$AO$66,AH!$U$4)),IF(AH!$U$5=1,INDEX('Live History'!$E$5:$E$3004,MATCH($A2056,'Live History'!$D$5:$D$3004,1)),INDEX('AH History'!$D$5:$GG$1380,$K2056,AH!$U$10+1))),NA()),NA())</f>
        <v/>
      </c>
      <c r="G2056" s="34">
        <f>IFERROR(IF(ISNUMBER($A2056),IF(AND(AH!$U$12=1,2051+1=AH!$U$6),IF(AH!$U$4=0,"unavailable",INDEX('Market Data'!$AK$5:$AK$66,AH!$U$4)),IF(AH!$U$5=1,INDEX('Live History'!$D$5:$D$3004,MATCH($A2056,'Live History'!$D$5:$D$3004,1)),INDEX('AH History'!$D$5:$GG$1380,$K2056,AH!$U$10+2))),NA()),NA())</f>
        <v/>
      </c>
      <c r="H2056" s="266">
        <f>IFERROR(IF(ISNUMBER($A2056),IF(AND(AH!$U$12=1,2051+1=AH!$U$6),IF(AH!$U$4=0,"unavailable",INDEX('Market Data'!$AP$5:$AP$66,AH!$U$4)),IF(AH!$U$5=1,INDEX('Live History'!$H$5:$H$3004,MATCH($A2056,'Live History'!$G$5:$G$3004,1)),INDEX('AH History'!$B$5:$B$1380,$K2056))),NA()),NA())</f>
        <v/>
      </c>
      <c r="I2056" s="34">
        <f>IFERROR(IF(ISNUMBER($A2056),IF(AND(AH!$U$12=1,2051+1=AH!$U$6),TODAY(),IF(AH!$U$5=1,INDEX('Live History'!$G$5:$G$3004,MATCH($A2056,'Live History'!$G$5:$G$3004,1)),INDEX('AH History'!$C$5:$C$1380,$K2056))),NA()),NA())</f>
        <v/>
      </c>
      <c r="J2056" s="32">
        <f>IFERROR(IF(AND($F2056&gt;0,$H2056&gt;0,$A2056-$G2056&lt;=10,$A2056-$I2056&lt;=5,$G2056&gt;0,$I2056&gt;0),$F2056*$H2056,NA()),NA())</f>
        <v/>
      </c>
      <c r="K2056" s="15">
        <f>IF($A2056="","",IF(AH!$U$5=1,IFERROR(MATCH($A2056,'Live History'!$A$5:$A$3004,0),0),AH!$U$7+2051))</f>
        <v/>
      </c>
      <c r="L2056" s="15">
        <f>IF(ISNUMBER(A2056),TEXT(A2056,"dd-mmm-yy"),"")</f>
        <v/>
      </c>
    </row>
    <row r="2057">
      <c r="A2057" s="14">
        <f>IF(OR(AH!$U$4=0,2052+1&gt;AH!$U$6,AND(AH!$M$5="Bloomberg",AH!$U$5=0)),"",IFERROR(IF(AND(AH!$U$12=1,2052+1=AH!$U$6),TODAY(),IF(AH!$U$5=1,INDEX('Live History'!$A$5:$A$3004,AH!$U$7+2052),INDEX('AH History'!$A$5:$A$1380,AH!$U$7+2052))),""))</f>
        <v/>
      </c>
      <c r="B2057" s="33">
        <f>IFERROR(IF(AH!$U$11=1,NA(),$J2057/$E2057-1),NA())</f>
        <v/>
      </c>
      <c r="C2057" s="269">
        <f>IFERROR(100*$E2057/$E$5,NA())</f>
        <v/>
      </c>
      <c r="D2057" s="269">
        <f>IFERROR(100*$J2057/$J$5,NA())</f>
        <v/>
      </c>
      <c r="E2057" s="32">
        <f>IFERROR(IF(AND(ISNUMBER($A2057),N(IF(AND(AH!$U$12=1,2052+1=AH!$U$6),IF(AH!$U$4=0,"unavailable",INDEX('Market Data'!$AN$5:$AN$66,AH!$U$4)),IF(AH!$U$5=1,INDEX('Live History'!$B$5:$B$3004,$K2057),INDEX('AH History'!$D$5:$GG$1380,$K2057,AH!$U$10))))&gt;0),IF(AND(AH!$U$12=1,2052+1=AH!$U$6),IF(AH!$U$4=0,"unavailable",INDEX('Market Data'!$AN$5:$AN$66,AH!$U$4)),IF(AH!$U$5=1,INDEX('Live History'!$B$5:$B$3004,$K2057),INDEX('AH History'!$D$5:$GG$1380,$K2057,AH!$U$10))),NA()),NA())</f>
        <v/>
      </c>
      <c r="F2057" s="32">
        <f>IFERROR(IF(ISNUMBER($A2057),IF(AND(AH!$U$12=1,2052+1=AH!$U$6),IF(AH!$U$4=0,"unavailable",INDEX('Market Data'!$AO$5:$AO$66,AH!$U$4)),IF(AH!$U$5=1,INDEX('Live History'!$E$5:$E$3004,MATCH($A2057,'Live History'!$D$5:$D$3004,1)),INDEX('AH History'!$D$5:$GG$1380,$K2057,AH!$U$10+1))),NA()),NA())</f>
        <v/>
      </c>
      <c r="G2057" s="34">
        <f>IFERROR(IF(ISNUMBER($A2057),IF(AND(AH!$U$12=1,2052+1=AH!$U$6),IF(AH!$U$4=0,"unavailable",INDEX('Market Data'!$AK$5:$AK$66,AH!$U$4)),IF(AH!$U$5=1,INDEX('Live History'!$D$5:$D$3004,MATCH($A2057,'Live History'!$D$5:$D$3004,1)),INDEX('AH History'!$D$5:$GG$1380,$K2057,AH!$U$10+2))),NA()),NA())</f>
        <v/>
      </c>
      <c r="H2057" s="266">
        <f>IFERROR(IF(ISNUMBER($A2057),IF(AND(AH!$U$12=1,2052+1=AH!$U$6),IF(AH!$U$4=0,"unavailable",INDEX('Market Data'!$AP$5:$AP$66,AH!$U$4)),IF(AH!$U$5=1,INDEX('Live History'!$H$5:$H$3004,MATCH($A2057,'Live History'!$G$5:$G$3004,1)),INDEX('AH History'!$B$5:$B$1380,$K2057))),NA()),NA())</f>
        <v/>
      </c>
      <c r="I2057" s="34">
        <f>IFERROR(IF(ISNUMBER($A2057),IF(AND(AH!$U$12=1,2052+1=AH!$U$6),TODAY(),IF(AH!$U$5=1,INDEX('Live History'!$G$5:$G$3004,MATCH($A2057,'Live History'!$G$5:$G$3004,1)),INDEX('AH History'!$C$5:$C$1380,$K2057))),NA()),NA())</f>
        <v/>
      </c>
      <c r="J2057" s="32">
        <f>IFERROR(IF(AND($F2057&gt;0,$H2057&gt;0,$A2057-$G2057&lt;=10,$A2057-$I2057&lt;=5,$G2057&gt;0,$I2057&gt;0),$F2057*$H2057,NA()),NA())</f>
        <v/>
      </c>
      <c r="K2057" s="15">
        <f>IF($A2057="","",IF(AH!$U$5=1,IFERROR(MATCH($A2057,'Live History'!$A$5:$A$3004,0),0),AH!$U$7+2052))</f>
        <v/>
      </c>
      <c r="L2057" s="15">
        <f>IF(ISNUMBER(A2057),TEXT(A2057,"dd-mmm-yy"),"")</f>
        <v/>
      </c>
    </row>
    <row r="2058">
      <c r="A2058" s="14">
        <f>IF(OR(AH!$U$4=0,2053+1&gt;AH!$U$6,AND(AH!$M$5="Bloomberg",AH!$U$5=0)),"",IFERROR(IF(AND(AH!$U$12=1,2053+1=AH!$U$6),TODAY(),IF(AH!$U$5=1,INDEX('Live History'!$A$5:$A$3004,AH!$U$7+2053),INDEX('AH History'!$A$5:$A$1380,AH!$U$7+2053))),""))</f>
        <v/>
      </c>
      <c r="B2058" s="33">
        <f>IFERROR(IF(AH!$U$11=1,NA(),$J2058/$E2058-1),NA())</f>
        <v/>
      </c>
      <c r="C2058" s="269">
        <f>IFERROR(100*$E2058/$E$5,NA())</f>
        <v/>
      </c>
      <c r="D2058" s="269">
        <f>IFERROR(100*$J2058/$J$5,NA())</f>
        <v/>
      </c>
      <c r="E2058" s="32">
        <f>IFERROR(IF(AND(ISNUMBER($A2058),N(IF(AND(AH!$U$12=1,2053+1=AH!$U$6),IF(AH!$U$4=0,"unavailable",INDEX('Market Data'!$AN$5:$AN$66,AH!$U$4)),IF(AH!$U$5=1,INDEX('Live History'!$B$5:$B$3004,$K2058),INDEX('AH History'!$D$5:$GG$1380,$K2058,AH!$U$10))))&gt;0),IF(AND(AH!$U$12=1,2053+1=AH!$U$6),IF(AH!$U$4=0,"unavailable",INDEX('Market Data'!$AN$5:$AN$66,AH!$U$4)),IF(AH!$U$5=1,INDEX('Live History'!$B$5:$B$3004,$K2058),INDEX('AH History'!$D$5:$GG$1380,$K2058,AH!$U$10))),NA()),NA())</f>
        <v/>
      </c>
      <c r="F2058" s="32">
        <f>IFERROR(IF(ISNUMBER($A2058),IF(AND(AH!$U$12=1,2053+1=AH!$U$6),IF(AH!$U$4=0,"unavailable",INDEX('Market Data'!$AO$5:$AO$66,AH!$U$4)),IF(AH!$U$5=1,INDEX('Live History'!$E$5:$E$3004,MATCH($A2058,'Live History'!$D$5:$D$3004,1)),INDEX('AH History'!$D$5:$GG$1380,$K2058,AH!$U$10+1))),NA()),NA())</f>
        <v/>
      </c>
      <c r="G2058" s="34">
        <f>IFERROR(IF(ISNUMBER($A2058),IF(AND(AH!$U$12=1,2053+1=AH!$U$6),IF(AH!$U$4=0,"unavailable",INDEX('Market Data'!$AK$5:$AK$66,AH!$U$4)),IF(AH!$U$5=1,INDEX('Live History'!$D$5:$D$3004,MATCH($A2058,'Live History'!$D$5:$D$3004,1)),INDEX('AH History'!$D$5:$GG$1380,$K2058,AH!$U$10+2))),NA()),NA())</f>
        <v/>
      </c>
      <c r="H2058" s="266">
        <f>IFERROR(IF(ISNUMBER($A2058),IF(AND(AH!$U$12=1,2053+1=AH!$U$6),IF(AH!$U$4=0,"unavailable",INDEX('Market Data'!$AP$5:$AP$66,AH!$U$4)),IF(AH!$U$5=1,INDEX('Live History'!$H$5:$H$3004,MATCH($A2058,'Live History'!$G$5:$G$3004,1)),INDEX('AH History'!$B$5:$B$1380,$K2058))),NA()),NA())</f>
        <v/>
      </c>
      <c r="I2058" s="34">
        <f>IFERROR(IF(ISNUMBER($A2058),IF(AND(AH!$U$12=1,2053+1=AH!$U$6),TODAY(),IF(AH!$U$5=1,INDEX('Live History'!$G$5:$G$3004,MATCH($A2058,'Live History'!$G$5:$G$3004,1)),INDEX('AH History'!$C$5:$C$1380,$K2058))),NA()),NA())</f>
        <v/>
      </c>
      <c r="J2058" s="32">
        <f>IFERROR(IF(AND($F2058&gt;0,$H2058&gt;0,$A2058-$G2058&lt;=10,$A2058-$I2058&lt;=5,$G2058&gt;0,$I2058&gt;0),$F2058*$H2058,NA()),NA())</f>
        <v/>
      </c>
      <c r="K2058" s="15">
        <f>IF($A2058="","",IF(AH!$U$5=1,IFERROR(MATCH($A2058,'Live History'!$A$5:$A$3004,0),0),AH!$U$7+2053))</f>
        <v/>
      </c>
      <c r="L2058" s="15">
        <f>IF(ISNUMBER(A2058),TEXT(A2058,"dd-mmm-yy"),"")</f>
        <v/>
      </c>
    </row>
    <row r="2059">
      <c r="A2059" s="14">
        <f>IF(OR(AH!$U$4=0,2054+1&gt;AH!$U$6,AND(AH!$M$5="Bloomberg",AH!$U$5=0)),"",IFERROR(IF(AND(AH!$U$12=1,2054+1=AH!$U$6),TODAY(),IF(AH!$U$5=1,INDEX('Live History'!$A$5:$A$3004,AH!$U$7+2054),INDEX('AH History'!$A$5:$A$1380,AH!$U$7+2054))),""))</f>
        <v/>
      </c>
      <c r="B2059" s="33">
        <f>IFERROR(IF(AH!$U$11=1,NA(),$J2059/$E2059-1),NA())</f>
        <v/>
      </c>
      <c r="C2059" s="269">
        <f>IFERROR(100*$E2059/$E$5,NA())</f>
        <v/>
      </c>
      <c r="D2059" s="269">
        <f>IFERROR(100*$J2059/$J$5,NA())</f>
        <v/>
      </c>
      <c r="E2059" s="32">
        <f>IFERROR(IF(AND(ISNUMBER($A2059),N(IF(AND(AH!$U$12=1,2054+1=AH!$U$6),IF(AH!$U$4=0,"unavailable",INDEX('Market Data'!$AN$5:$AN$66,AH!$U$4)),IF(AH!$U$5=1,INDEX('Live History'!$B$5:$B$3004,$K2059),INDEX('AH History'!$D$5:$GG$1380,$K2059,AH!$U$10))))&gt;0),IF(AND(AH!$U$12=1,2054+1=AH!$U$6),IF(AH!$U$4=0,"unavailable",INDEX('Market Data'!$AN$5:$AN$66,AH!$U$4)),IF(AH!$U$5=1,INDEX('Live History'!$B$5:$B$3004,$K2059),INDEX('AH History'!$D$5:$GG$1380,$K2059,AH!$U$10))),NA()),NA())</f>
        <v/>
      </c>
      <c r="F2059" s="32">
        <f>IFERROR(IF(ISNUMBER($A2059),IF(AND(AH!$U$12=1,2054+1=AH!$U$6),IF(AH!$U$4=0,"unavailable",INDEX('Market Data'!$AO$5:$AO$66,AH!$U$4)),IF(AH!$U$5=1,INDEX('Live History'!$E$5:$E$3004,MATCH($A2059,'Live History'!$D$5:$D$3004,1)),INDEX('AH History'!$D$5:$GG$1380,$K2059,AH!$U$10+1))),NA()),NA())</f>
        <v/>
      </c>
      <c r="G2059" s="34">
        <f>IFERROR(IF(ISNUMBER($A2059),IF(AND(AH!$U$12=1,2054+1=AH!$U$6),IF(AH!$U$4=0,"unavailable",INDEX('Market Data'!$AK$5:$AK$66,AH!$U$4)),IF(AH!$U$5=1,INDEX('Live History'!$D$5:$D$3004,MATCH($A2059,'Live History'!$D$5:$D$3004,1)),INDEX('AH History'!$D$5:$GG$1380,$K2059,AH!$U$10+2))),NA()),NA())</f>
        <v/>
      </c>
      <c r="H2059" s="266">
        <f>IFERROR(IF(ISNUMBER($A2059),IF(AND(AH!$U$12=1,2054+1=AH!$U$6),IF(AH!$U$4=0,"unavailable",INDEX('Market Data'!$AP$5:$AP$66,AH!$U$4)),IF(AH!$U$5=1,INDEX('Live History'!$H$5:$H$3004,MATCH($A2059,'Live History'!$G$5:$G$3004,1)),INDEX('AH History'!$B$5:$B$1380,$K2059))),NA()),NA())</f>
        <v/>
      </c>
      <c r="I2059" s="34">
        <f>IFERROR(IF(ISNUMBER($A2059),IF(AND(AH!$U$12=1,2054+1=AH!$U$6),TODAY(),IF(AH!$U$5=1,INDEX('Live History'!$G$5:$G$3004,MATCH($A2059,'Live History'!$G$5:$G$3004,1)),INDEX('AH History'!$C$5:$C$1380,$K2059))),NA()),NA())</f>
        <v/>
      </c>
      <c r="J2059" s="32">
        <f>IFERROR(IF(AND($F2059&gt;0,$H2059&gt;0,$A2059-$G2059&lt;=10,$A2059-$I2059&lt;=5,$G2059&gt;0,$I2059&gt;0),$F2059*$H2059,NA()),NA())</f>
        <v/>
      </c>
      <c r="K2059" s="15">
        <f>IF($A2059="","",IF(AH!$U$5=1,IFERROR(MATCH($A2059,'Live History'!$A$5:$A$3004,0),0),AH!$U$7+2054))</f>
        <v/>
      </c>
      <c r="L2059" s="15">
        <f>IF(ISNUMBER(A2059),TEXT(A2059,"dd-mmm-yy"),"")</f>
        <v/>
      </c>
    </row>
    <row r="2060">
      <c r="A2060" s="14">
        <f>IF(OR(AH!$U$4=0,2055+1&gt;AH!$U$6,AND(AH!$M$5="Bloomberg",AH!$U$5=0)),"",IFERROR(IF(AND(AH!$U$12=1,2055+1=AH!$U$6),TODAY(),IF(AH!$U$5=1,INDEX('Live History'!$A$5:$A$3004,AH!$U$7+2055),INDEX('AH History'!$A$5:$A$1380,AH!$U$7+2055))),""))</f>
        <v/>
      </c>
      <c r="B2060" s="33">
        <f>IFERROR(IF(AH!$U$11=1,NA(),$J2060/$E2060-1),NA())</f>
        <v/>
      </c>
      <c r="C2060" s="269">
        <f>IFERROR(100*$E2060/$E$5,NA())</f>
        <v/>
      </c>
      <c r="D2060" s="269">
        <f>IFERROR(100*$J2060/$J$5,NA())</f>
        <v/>
      </c>
      <c r="E2060" s="32">
        <f>IFERROR(IF(AND(ISNUMBER($A2060),N(IF(AND(AH!$U$12=1,2055+1=AH!$U$6),IF(AH!$U$4=0,"unavailable",INDEX('Market Data'!$AN$5:$AN$66,AH!$U$4)),IF(AH!$U$5=1,INDEX('Live History'!$B$5:$B$3004,$K2060),INDEX('AH History'!$D$5:$GG$1380,$K2060,AH!$U$10))))&gt;0),IF(AND(AH!$U$12=1,2055+1=AH!$U$6),IF(AH!$U$4=0,"unavailable",INDEX('Market Data'!$AN$5:$AN$66,AH!$U$4)),IF(AH!$U$5=1,INDEX('Live History'!$B$5:$B$3004,$K2060),INDEX('AH History'!$D$5:$GG$1380,$K2060,AH!$U$10))),NA()),NA())</f>
        <v/>
      </c>
      <c r="F2060" s="32">
        <f>IFERROR(IF(ISNUMBER($A2060),IF(AND(AH!$U$12=1,2055+1=AH!$U$6),IF(AH!$U$4=0,"unavailable",INDEX('Market Data'!$AO$5:$AO$66,AH!$U$4)),IF(AH!$U$5=1,INDEX('Live History'!$E$5:$E$3004,MATCH($A2060,'Live History'!$D$5:$D$3004,1)),INDEX('AH History'!$D$5:$GG$1380,$K2060,AH!$U$10+1))),NA()),NA())</f>
        <v/>
      </c>
      <c r="G2060" s="34">
        <f>IFERROR(IF(ISNUMBER($A2060),IF(AND(AH!$U$12=1,2055+1=AH!$U$6),IF(AH!$U$4=0,"unavailable",INDEX('Market Data'!$AK$5:$AK$66,AH!$U$4)),IF(AH!$U$5=1,INDEX('Live History'!$D$5:$D$3004,MATCH($A2060,'Live History'!$D$5:$D$3004,1)),INDEX('AH History'!$D$5:$GG$1380,$K2060,AH!$U$10+2))),NA()),NA())</f>
        <v/>
      </c>
      <c r="H2060" s="266">
        <f>IFERROR(IF(ISNUMBER($A2060),IF(AND(AH!$U$12=1,2055+1=AH!$U$6),IF(AH!$U$4=0,"unavailable",INDEX('Market Data'!$AP$5:$AP$66,AH!$U$4)),IF(AH!$U$5=1,INDEX('Live History'!$H$5:$H$3004,MATCH($A2060,'Live History'!$G$5:$G$3004,1)),INDEX('AH History'!$B$5:$B$1380,$K2060))),NA()),NA())</f>
        <v/>
      </c>
      <c r="I2060" s="34">
        <f>IFERROR(IF(ISNUMBER($A2060),IF(AND(AH!$U$12=1,2055+1=AH!$U$6),TODAY(),IF(AH!$U$5=1,INDEX('Live History'!$G$5:$G$3004,MATCH($A2060,'Live History'!$G$5:$G$3004,1)),INDEX('AH History'!$C$5:$C$1380,$K2060))),NA()),NA())</f>
        <v/>
      </c>
      <c r="J2060" s="32">
        <f>IFERROR(IF(AND($F2060&gt;0,$H2060&gt;0,$A2060-$G2060&lt;=10,$A2060-$I2060&lt;=5,$G2060&gt;0,$I2060&gt;0),$F2060*$H2060,NA()),NA())</f>
        <v/>
      </c>
      <c r="K2060" s="15">
        <f>IF($A2060="","",IF(AH!$U$5=1,IFERROR(MATCH($A2060,'Live History'!$A$5:$A$3004,0),0),AH!$U$7+2055))</f>
        <v/>
      </c>
      <c r="L2060" s="15">
        <f>IF(ISNUMBER(A2060),TEXT(A2060,"dd-mmm-yy"),"")</f>
        <v/>
      </c>
    </row>
    <row r="2061">
      <c r="A2061" s="14">
        <f>IF(OR(AH!$U$4=0,2056+1&gt;AH!$U$6,AND(AH!$M$5="Bloomberg",AH!$U$5=0)),"",IFERROR(IF(AND(AH!$U$12=1,2056+1=AH!$U$6),TODAY(),IF(AH!$U$5=1,INDEX('Live History'!$A$5:$A$3004,AH!$U$7+2056),INDEX('AH History'!$A$5:$A$1380,AH!$U$7+2056))),""))</f>
        <v/>
      </c>
      <c r="B2061" s="33">
        <f>IFERROR(IF(AH!$U$11=1,NA(),$J2061/$E2061-1),NA())</f>
        <v/>
      </c>
      <c r="C2061" s="269">
        <f>IFERROR(100*$E2061/$E$5,NA())</f>
        <v/>
      </c>
      <c r="D2061" s="269">
        <f>IFERROR(100*$J2061/$J$5,NA())</f>
        <v/>
      </c>
      <c r="E2061" s="32">
        <f>IFERROR(IF(AND(ISNUMBER($A2061),N(IF(AND(AH!$U$12=1,2056+1=AH!$U$6),IF(AH!$U$4=0,"unavailable",INDEX('Market Data'!$AN$5:$AN$66,AH!$U$4)),IF(AH!$U$5=1,INDEX('Live History'!$B$5:$B$3004,$K2061),INDEX('AH History'!$D$5:$GG$1380,$K2061,AH!$U$10))))&gt;0),IF(AND(AH!$U$12=1,2056+1=AH!$U$6),IF(AH!$U$4=0,"unavailable",INDEX('Market Data'!$AN$5:$AN$66,AH!$U$4)),IF(AH!$U$5=1,INDEX('Live History'!$B$5:$B$3004,$K2061),INDEX('AH History'!$D$5:$GG$1380,$K2061,AH!$U$10))),NA()),NA())</f>
        <v/>
      </c>
      <c r="F2061" s="32">
        <f>IFERROR(IF(ISNUMBER($A2061),IF(AND(AH!$U$12=1,2056+1=AH!$U$6),IF(AH!$U$4=0,"unavailable",INDEX('Market Data'!$AO$5:$AO$66,AH!$U$4)),IF(AH!$U$5=1,INDEX('Live History'!$E$5:$E$3004,MATCH($A2061,'Live History'!$D$5:$D$3004,1)),INDEX('AH History'!$D$5:$GG$1380,$K2061,AH!$U$10+1))),NA()),NA())</f>
        <v/>
      </c>
      <c r="G2061" s="34">
        <f>IFERROR(IF(ISNUMBER($A2061),IF(AND(AH!$U$12=1,2056+1=AH!$U$6),IF(AH!$U$4=0,"unavailable",INDEX('Market Data'!$AK$5:$AK$66,AH!$U$4)),IF(AH!$U$5=1,INDEX('Live History'!$D$5:$D$3004,MATCH($A2061,'Live History'!$D$5:$D$3004,1)),INDEX('AH History'!$D$5:$GG$1380,$K2061,AH!$U$10+2))),NA()),NA())</f>
        <v/>
      </c>
      <c r="H2061" s="266">
        <f>IFERROR(IF(ISNUMBER($A2061),IF(AND(AH!$U$12=1,2056+1=AH!$U$6),IF(AH!$U$4=0,"unavailable",INDEX('Market Data'!$AP$5:$AP$66,AH!$U$4)),IF(AH!$U$5=1,INDEX('Live History'!$H$5:$H$3004,MATCH($A2061,'Live History'!$G$5:$G$3004,1)),INDEX('AH History'!$B$5:$B$1380,$K2061))),NA()),NA())</f>
        <v/>
      </c>
      <c r="I2061" s="34">
        <f>IFERROR(IF(ISNUMBER($A2061),IF(AND(AH!$U$12=1,2056+1=AH!$U$6),TODAY(),IF(AH!$U$5=1,INDEX('Live History'!$G$5:$G$3004,MATCH($A2061,'Live History'!$G$5:$G$3004,1)),INDEX('AH History'!$C$5:$C$1380,$K2061))),NA()),NA())</f>
        <v/>
      </c>
      <c r="J2061" s="32">
        <f>IFERROR(IF(AND($F2061&gt;0,$H2061&gt;0,$A2061-$G2061&lt;=10,$A2061-$I2061&lt;=5,$G2061&gt;0,$I2061&gt;0),$F2061*$H2061,NA()),NA())</f>
        <v/>
      </c>
      <c r="K2061" s="15">
        <f>IF($A2061="","",IF(AH!$U$5=1,IFERROR(MATCH($A2061,'Live History'!$A$5:$A$3004,0),0),AH!$U$7+2056))</f>
        <v/>
      </c>
      <c r="L2061" s="15">
        <f>IF(ISNUMBER(A2061),TEXT(A2061,"dd-mmm-yy"),"")</f>
        <v/>
      </c>
    </row>
    <row r="2062">
      <c r="A2062" s="14">
        <f>IF(OR(AH!$U$4=0,2057+1&gt;AH!$U$6,AND(AH!$M$5="Bloomberg",AH!$U$5=0)),"",IFERROR(IF(AND(AH!$U$12=1,2057+1=AH!$U$6),TODAY(),IF(AH!$U$5=1,INDEX('Live History'!$A$5:$A$3004,AH!$U$7+2057),INDEX('AH History'!$A$5:$A$1380,AH!$U$7+2057))),""))</f>
        <v/>
      </c>
      <c r="B2062" s="33">
        <f>IFERROR(IF(AH!$U$11=1,NA(),$J2062/$E2062-1),NA())</f>
        <v/>
      </c>
      <c r="C2062" s="269">
        <f>IFERROR(100*$E2062/$E$5,NA())</f>
        <v/>
      </c>
      <c r="D2062" s="269">
        <f>IFERROR(100*$J2062/$J$5,NA())</f>
        <v/>
      </c>
      <c r="E2062" s="32">
        <f>IFERROR(IF(AND(ISNUMBER($A2062),N(IF(AND(AH!$U$12=1,2057+1=AH!$U$6),IF(AH!$U$4=0,"unavailable",INDEX('Market Data'!$AN$5:$AN$66,AH!$U$4)),IF(AH!$U$5=1,INDEX('Live History'!$B$5:$B$3004,$K2062),INDEX('AH History'!$D$5:$GG$1380,$K2062,AH!$U$10))))&gt;0),IF(AND(AH!$U$12=1,2057+1=AH!$U$6),IF(AH!$U$4=0,"unavailable",INDEX('Market Data'!$AN$5:$AN$66,AH!$U$4)),IF(AH!$U$5=1,INDEX('Live History'!$B$5:$B$3004,$K2062),INDEX('AH History'!$D$5:$GG$1380,$K2062,AH!$U$10))),NA()),NA())</f>
        <v/>
      </c>
      <c r="F2062" s="32">
        <f>IFERROR(IF(ISNUMBER($A2062),IF(AND(AH!$U$12=1,2057+1=AH!$U$6),IF(AH!$U$4=0,"unavailable",INDEX('Market Data'!$AO$5:$AO$66,AH!$U$4)),IF(AH!$U$5=1,INDEX('Live History'!$E$5:$E$3004,MATCH($A2062,'Live History'!$D$5:$D$3004,1)),INDEX('AH History'!$D$5:$GG$1380,$K2062,AH!$U$10+1))),NA()),NA())</f>
        <v/>
      </c>
      <c r="G2062" s="34">
        <f>IFERROR(IF(ISNUMBER($A2062),IF(AND(AH!$U$12=1,2057+1=AH!$U$6),IF(AH!$U$4=0,"unavailable",INDEX('Market Data'!$AK$5:$AK$66,AH!$U$4)),IF(AH!$U$5=1,INDEX('Live History'!$D$5:$D$3004,MATCH($A2062,'Live History'!$D$5:$D$3004,1)),INDEX('AH History'!$D$5:$GG$1380,$K2062,AH!$U$10+2))),NA()),NA())</f>
        <v/>
      </c>
      <c r="H2062" s="266">
        <f>IFERROR(IF(ISNUMBER($A2062),IF(AND(AH!$U$12=1,2057+1=AH!$U$6),IF(AH!$U$4=0,"unavailable",INDEX('Market Data'!$AP$5:$AP$66,AH!$U$4)),IF(AH!$U$5=1,INDEX('Live History'!$H$5:$H$3004,MATCH($A2062,'Live History'!$G$5:$G$3004,1)),INDEX('AH History'!$B$5:$B$1380,$K2062))),NA()),NA())</f>
        <v/>
      </c>
      <c r="I2062" s="34">
        <f>IFERROR(IF(ISNUMBER($A2062),IF(AND(AH!$U$12=1,2057+1=AH!$U$6),TODAY(),IF(AH!$U$5=1,INDEX('Live History'!$G$5:$G$3004,MATCH($A2062,'Live History'!$G$5:$G$3004,1)),INDEX('AH History'!$C$5:$C$1380,$K2062))),NA()),NA())</f>
        <v/>
      </c>
      <c r="J2062" s="32">
        <f>IFERROR(IF(AND($F2062&gt;0,$H2062&gt;0,$A2062-$G2062&lt;=10,$A2062-$I2062&lt;=5,$G2062&gt;0,$I2062&gt;0),$F2062*$H2062,NA()),NA())</f>
        <v/>
      </c>
      <c r="K2062" s="15">
        <f>IF($A2062="","",IF(AH!$U$5=1,IFERROR(MATCH($A2062,'Live History'!$A$5:$A$3004,0),0),AH!$U$7+2057))</f>
        <v/>
      </c>
      <c r="L2062" s="15">
        <f>IF(ISNUMBER(A2062),TEXT(A2062,"dd-mmm-yy"),"")</f>
        <v/>
      </c>
    </row>
    <row r="2063">
      <c r="A2063" s="14">
        <f>IF(OR(AH!$U$4=0,2058+1&gt;AH!$U$6,AND(AH!$M$5="Bloomberg",AH!$U$5=0)),"",IFERROR(IF(AND(AH!$U$12=1,2058+1=AH!$U$6),TODAY(),IF(AH!$U$5=1,INDEX('Live History'!$A$5:$A$3004,AH!$U$7+2058),INDEX('AH History'!$A$5:$A$1380,AH!$U$7+2058))),""))</f>
        <v/>
      </c>
      <c r="B2063" s="33">
        <f>IFERROR(IF(AH!$U$11=1,NA(),$J2063/$E2063-1),NA())</f>
        <v/>
      </c>
      <c r="C2063" s="269">
        <f>IFERROR(100*$E2063/$E$5,NA())</f>
        <v/>
      </c>
      <c r="D2063" s="269">
        <f>IFERROR(100*$J2063/$J$5,NA())</f>
        <v/>
      </c>
      <c r="E2063" s="32">
        <f>IFERROR(IF(AND(ISNUMBER($A2063),N(IF(AND(AH!$U$12=1,2058+1=AH!$U$6),IF(AH!$U$4=0,"unavailable",INDEX('Market Data'!$AN$5:$AN$66,AH!$U$4)),IF(AH!$U$5=1,INDEX('Live History'!$B$5:$B$3004,$K2063),INDEX('AH History'!$D$5:$GG$1380,$K2063,AH!$U$10))))&gt;0),IF(AND(AH!$U$12=1,2058+1=AH!$U$6),IF(AH!$U$4=0,"unavailable",INDEX('Market Data'!$AN$5:$AN$66,AH!$U$4)),IF(AH!$U$5=1,INDEX('Live History'!$B$5:$B$3004,$K2063),INDEX('AH History'!$D$5:$GG$1380,$K2063,AH!$U$10))),NA()),NA())</f>
        <v/>
      </c>
      <c r="F2063" s="32">
        <f>IFERROR(IF(ISNUMBER($A2063),IF(AND(AH!$U$12=1,2058+1=AH!$U$6),IF(AH!$U$4=0,"unavailable",INDEX('Market Data'!$AO$5:$AO$66,AH!$U$4)),IF(AH!$U$5=1,INDEX('Live History'!$E$5:$E$3004,MATCH($A2063,'Live History'!$D$5:$D$3004,1)),INDEX('AH History'!$D$5:$GG$1380,$K2063,AH!$U$10+1))),NA()),NA())</f>
        <v/>
      </c>
      <c r="G2063" s="34">
        <f>IFERROR(IF(ISNUMBER($A2063),IF(AND(AH!$U$12=1,2058+1=AH!$U$6),IF(AH!$U$4=0,"unavailable",INDEX('Market Data'!$AK$5:$AK$66,AH!$U$4)),IF(AH!$U$5=1,INDEX('Live History'!$D$5:$D$3004,MATCH($A2063,'Live History'!$D$5:$D$3004,1)),INDEX('AH History'!$D$5:$GG$1380,$K2063,AH!$U$10+2))),NA()),NA())</f>
        <v/>
      </c>
      <c r="H2063" s="266">
        <f>IFERROR(IF(ISNUMBER($A2063),IF(AND(AH!$U$12=1,2058+1=AH!$U$6),IF(AH!$U$4=0,"unavailable",INDEX('Market Data'!$AP$5:$AP$66,AH!$U$4)),IF(AH!$U$5=1,INDEX('Live History'!$H$5:$H$3004,MATCH($A2063,'Live History'!$G$5:$G$3004,1)),INDEX('AH History'!$B$5:$B$1380,$K2063))),NA()),NA())</f>
        <v/>
      </c>
      <c r="I2063" s="34">
        <f>IFERROR(IF(ISNUMBER($A2063),IF(AND(AH!$U$12=1,2058+1=AH!$U$6),TODAY(),IF(AH!$U$5=1,INDEX('Live History'!$G$5:$G$3004,MATCH($A2063,'Live History'!$G$5:$G$3004,1)),INDEX('AH History'!$C$5:$C$1380,$K2063))),NA()),NA())</f>
        <v/>
      </c>
      <c r="J2063" s="32">
        <f>IFERROR(IF(AND($F2063&gt;0,$H2063&gt;0,$A2063-$G2063&lt;=10,$A2063-$I2063&lt;=5,$G2063&gt;0,$I2063&gt;0),$F2063*$H2063,NA()),NA())</f>
        <v/>
      </c>
      <c r="K2063" s="15">
        <f>IF($A2063="","",IF(AH!$U$5=1,IFERROR(MATCH($A2063,'Live History'!$A$5:$A$3004,0),0),AH!$U$7+2058))</f>
        <v/>
      </c>
      <c r="L2063" s="15">
        <f>IF(ISNUMBER(A2063),TEXT(A2063,"dd-mmm-yy"),"")</f>
        <v/>
      </c>
    </row>
    <row r="2064">
      <c r="A2064" s="14">
        <f>IF(OR(AH!$U$4=0,2059+1&gt;AH!$U$6,AND(AH!$M$5="Bloomberg",AH!$U$5=0)),"",IFERROR(IF(AND(AH!$U$12=1,2059+1=AH!$U$6),TODAY(),IF(AH!$U$5=1,INDEX('Live History'!$A$5:$A$3004,AH!$U$7+2059),INDEX('AH History'!$A$5:$A$1380,AH!$U$7+2059))),""))</f>
        <v/>
      </c>
      <c r="B2064" s="33">
        <f>IFERROR(IF(AH!$U$11=1,NA(),$J2064/$E2064-1),NA())</f>
        <v/>
      </c>
      <c r="C2064" s="269">
        <f>IFERROR(100*$E2064/$E$5,NA())</f>
        <v/>
      </c>
      <c r="D2064" s="269">
        <f>IFERROR(100*$J2064/$J$5,NA())</f>
        <v/>
      </c>
      <c r="E2064" s="32">
        <f>IFERROR(IF(AND(ISNUMBER($A2064),N(IF(AND(AH!$U$12=1,2059+1=AH!$U$6),IF(AH!$U$4=0,"unavailable",INDEX('Market Data'!$AN$5:$AN$66,AH!$U$4)),IF(AH!$U$5=1,INDEX('Live History'!$B$5:$B$3004,$K2064),INDEX('AH History'!$D$5:$GG$1380,$K2064,AH!$U$10))))&gt;0),IF(AND(AH!$U$12=1,2059+1=AH!$U$6),IF(AH!$U$4=0,"unavailable",INDEX('Market Data'!$AN$5:$AN$66,AH!$U$4)),IF(AH!$U$5=1,INDEX('Live History'!$B$5:$B$3004,$K2064),INDEX('AH History'!$D$5:$GG$1380,$K2064,AH!$U$10))),NA()),NA())</f>
        <v/>
      </c>
      <c r="F2064" s="32">
        <f>IFERROR(IF(ISNUMBER($A2064),IF(AND(AH!$U$12=1,2059+1=AH!$U$6),IF(AH!$U$4=0,"unavailable",INDEX('Market Data'!$AO$5:$AO$66,AH!$U$4)),IF(AH!$U$5=1,INDEX('Live History'!$E$5:$E$3004,MATCH($A2064,'Live History'!$D$5:$D$3004,1)),INDEX('AH History'!$D$5:$GG$1380,$K2064,AH!$U$10+1))),NA()),NA())</f>
        <v/>
      </c>
      <c r="G2064" s="34">
        <f>IFERROR(IF(ISNUMBER($A2064),IF(AND(AH!$U$12=1,2059+1=AH!$U$6),IF(AH!$U$4=0,"unavailable",INDEX('Market Data'!$AK$5:$AK$66,AH!$U$4)),IF(AH!$U$5=1,INDEX('Live History'!$D$5:$D$3004,MATCH($A2064,'Live History'!$D$5:$D$3004,1)),INDEX('AH History'!$D$5:$GG$1380,$K2064,AH!$U$10+2))),NA()),NA())</f>
        <v/>
      </c>
      <c r="H2064" s="266">
        <f>IFERROR(IF(ISNUMBER($A2064),IF(AND(AH!$U$12=1,2059+1=AH!$U$6),IF(AH!$U$4=0,"unavailable",INDEX('Market Data'!$AP$5:$AP$66,AH!$U$4)),IF(AH!$U$5=1,INDEX('Live History'!$H$5:$H$3004,MATCH($A2064,'Live History'!$G$5:$G$3004,1)),INDEX('AH History'!$B$5:$B$1380,$K2064))),NA()),NA())</f>
        <v/>
      </c>
      <c r="I2064" s="34">
        <f>IFERROR(IF(ISNUMBER($A2064),IF(AND(AH!$U$12=1,2059+1=AH!$U$6),TODAY(),IF(AH!$U$5=1,INDEX('Live History'!$G$5:$G$3004,MATCH($A2064,'Live History'!$G$5:$G$3004,1)),INDEX('AH History'!$C$5:$C$1380,$K2064))),NA()),NA())</f>
        <v/>
      </c>
      <c r="J2064" s="32">
        <f>IFERROR(IF(AND($F2064&gt;0,$H2064&gt;0,$A2064-$G2064&lt;=10,$A2064-$I2064&lt;=5,$G2064&gt;0,$I2064&gt;0),$F2064*$H2064,NA()),NA())</f>
        <v/>
      </c>
      <c r="K2064" s="15">
        <f>IF($A2064="","",IF(AH!$U$5=1,IFERROR(MATCH($A2064,'Live History'!$A$5:$A$3004,0),0),AH!$U$7+2059))</f>
        <v/>
      </c>
      <c r="L2064" s="15">
        <f>IF(ISNUMBER(A2064),TEXT(A2064,"dd-mmm-yy"),"")</f>
        <v/>
      </c>
    </row>
    <row r="2065">
      <c r="A2065" s="14">
        <f>IF(OR(AH!$U$4=0,2060+1&gt;AH!$U$6,AND(AH!$M$5="Bloomberg",AH!$U$5=0)),"",IFERROR(IF(AND(AH!$U$12=1,2060+1=AH!$U$6),TODAY(),IF(AH!$U$5=1,INDEX('Live History'!$A$5:$A$3004,AH!$U$7+2060),INDEX('AH History'!$A$5:$A$1380,AH!$U$7+2060))),""))</f>
        <v/>
      </c>
      <c r="B2065" s="33">
        <f>IFERROR(IF(AH!$U$11=1,NA(),$J2065/$E2065-1),NA())</f>
        <v/>
      </c>
      <c r="C2065" s="269">
        <f>IFERROR(100*$E2065/$E$5,NA())</f>
        <v/>
      </c>
      <c r="D2065" s="269">
        <f>IFERROR(100*$J2065/$J$5,NA())</f>
        <v/>
      </c>
      <c r="E2065" s="32">
        <f>IFERROR(IF(AND(ISNUMBER($A2065),N(IF(AND(AH!$U$12=1,2060+1=AH!$U$6),IF(AH!$U$4=0,"unavailable",INDEX('Market Data'!$AN$5:$AN$66,AH!$U$4)),IF(AH!$U$5=1,INDEX('Live History'!$B$5:$B$3004,$K2065),INDEX('AH History'!$D$5:$GG$1380,$K2065,AH!$U$10))))&gt;0),IF(AND(AH!$U$12=1,2060+1=AH!$U$6),IF(AH!$U$4=0,"unavailable",INDEX('Market Data'!$AN$5:$AN$66,AH!$U$4)),IF(AH!$U$5=1,INDEX('Live History'!$B$5:$B$3004,$K2065),INDEX('AH History'!$D$5:$GG$1380,$K2065,AH!$U$10))),NA()),NA())</f>
        <v/>
      </c>
      <c r="F2065" s="32">
        <f>IFERROR(IF(ISNUMBER($A2065),IF(AND(AH!$U$12=1,2060+1=AH!$U$6),IF(AH!$U$4=0,"unavailable",INDEX('Market Data'!$AO$5:$AO$66,AH!$U$4)),IF(AH!$U$5=1,INDEX('Live History'!$E$5:$E$3004,MATCH($A2065,'Live History'!$D$5:$D$3004,1)),INDEX('AH History'!$D$5:$GG$1380,$K2065,AH!$U$10+1))),NA()),NA())</f>
        <v/>
      </c>
      <c r="G2065" s="34">
        <f>IFERROR(IF(ISNUMBER($A2065),IF(AND(AH!$U$12=1,2060+1=AH!$U$6),IF(AH!$U$4=0,"unavailable",INDEX('Market Data'!$AK$5:$AK$66,AH!$U$4)),IF(AH!$U$5=1,INDEX('Live History'!$D$5:$D$3004,MATCH($A2065,'Live History'!$D$5:$D$3004,1)),INDEX('AH History'!$D$5:$GG$1380,$K2065,AH!$U$10+2))),NA()),NA())</f>
        <v/>
      </c>
      <c r="H2065" s="266">
        <f>IFERROR(IF(ISNUMBER($A2065),IF(AND(AH!$U$12=1,2060+1=AH!$U$6),IF(AH!$U$4=0,"unavailable",INDEX('Market Data'!$AP$5:$AP$66,AH!$U$4)),IF(AH!$U$5=1,INDEX('Live History'!$H$5:$H$3004,MATCH($A2065,'Live History'!$G$5:$G$3004,1)),INDEX('AH History'!$B$5:$B$1380,$K2065))),NA()),NA())</f>
        <v/>
      </c>
      <c r="I2065" s="34">
        <f>IFERROR(IF(ISNUMBER($A2065),IF(AND(AH!$U$12=1,2060+1=AH!$U$6),TODAY(),IF(AH!$U$5=1,INDEX('Live History'!$G$5:$G$3004,MATCH($A2065,'Live History'!$G$5:$G$3004,1)),INDEX('AH History'!$C$5:$C$1380,$K2065))),NA()),NA())</f>
        <v/>
      </c>
      <c r="J2065" s="32">
        <f>IFERROR(IF(AND($F2065&gt;0,$H2065&gt;0,$A2065-$G2065&lt;=10,$A2065-$I2065&lt;=5,$G2065&gt;0,$I2065&gt;0),$F2065*$H2065,NA()),NA())</f>
        <v/>
      </c>
      <c r="K2065" s="15">
        <f>IF($A2065="","",IF(AH!$U$5=1,IFERROR(MATCH($A2065,'Live History'!$A$5:$A$3004,0),0),AH!$U$7+2060))</f>
        <v/>
      </c>
      <c r="L2065" s="15">
        <f>IF(ISNUMBER(A2065),TEXT(A2065,"dd-mmm-yy"),"")</f>
        <v/>
      </c>
    </row>
    <row r="2066">
      <c r="A2066" s="14">
        <f>IF(OR(AH!$U$4=0,2061+1&gt;AH!$U$6,AND(AH!$M$5="Bloomberg",AH!$U$5=0)),"",IFERROR(IF(AND(AH!$U$12=1,2061+1=AH!$U$6),TODAY(),IF(AH!$U$5=1,INDEX('Live History'!$A$5:$A$3004,AH!$U$7+2061),INDEX('AH History'!$A$5:$A$1380,AH!$U$7+2061))),""))</f>
        <v/>
      </c>
      <c r="B2066" s="33">
        <f>IFERROR(IF(AH!$U$11=1,NA(),$J2066/$E2066-1),NA())</f>
        <v/>
      </c>
      <c r="C2066" s="269">
        <f>IFERROR(100*$E2066/$E$5,NA())</f>
        <v/>
      </c>
      <c r="D2066" s="269">
        <f>IFERROR(100*$J2066/$J$5,NA())</f>
        <v/>
      </c>
      <c r="E2066" s="32">
        <f>IFERROR(IF(AND(ISNUMBER($A2066),N(IF(AND(AH!$U$12=1,2061+1=AH!$U$6),IF(AH!$U$4=0,"unavailable",INDEX('Market Data'!$AN$5:$AN$66,AH!$U$4)),IF(AH!$U$5=1,INDEX('Live History'!$B$5:$B$3004,$K2066),INDEX('AH History'!$D$5:$GG$1380,$K2066,AH!$U$10))))&gt;0),IF(AND(AH!$U$12=1,2061+1=AH!$U$6),IF(AH!$U$4=0,"unavailable",INDEX('Market Data'!$AN$5:$AN$66,AH!$U$4)),IF(AH!$U$5=1,INDEX('Live History'!$B$5:$B$3004,$K2066),INDEX('AH History'!$D$5:$GG$1380,$K2066,AH!$U$10))),NA()),NA())</f>
        <v/>
      </c>
      <c r="F2066" s="32">
        <f>IFERROR(IF(ISNUMBER($A2066),IF(AND(AH!$U$12=1,2061+1=AH!$U$6),IF(AH!$U$4=0,"unavailable",INDEX('Market Data'!$AO$5:$AO$66,AH!$U$4)),IF(AH!$U$5=1,INDEX('Live History'!$E$5:$E$3004,MATCH($A2066,'Live History'!$D$5:$D$3004,1)),INDEX('AH History'!$D$5:$GG$1380,$K2066,AH!$U$10+1))),NA()),NA())</f>
        <v/>
      </c>
      <c r="G2066" s="34">
        <f>IFERROR(IF(ISNUMBER($A2066),IF(AND(AH!$U$12=1,2061+1=AH!$U$6),IF(AH!$U$4=0,"unavailable",INDEX('Market Data'!$AK$5:$AK$66,AH!$U$4)),IF(AH!$U$5=1,INDEX('Live History'!$D$5:$D$3004,MATCH($A2066,'Live History'!$D$5:$D$3004,1)),INDEX('AH History'!$D$5:$GG$1380,$K2066,AH!$U$10+2))),NA()),NA())</f>
        <v/>
      </c>
      <c r="H2066" s="266">
        <f>IFERROR(IF(ISNUMBER($A2066),IF(AND(AH!$U$12=1,2061+1=AH!$U$6),IF(AH!$U$4=0,"unavailable",INDEX('Market Data'!$AP$5:$AP$66,AH!$U$4)),IF(AH!$U$5=1,INDEX('Live History'!$H$5:$H$3004,MATCH($A2066,'Live History'!$G$5:$G$3004,1)),INDEX('AH History'!$B$5:$B$1380,$K2066))),NA()),NA())</f>
        <v/>
      </c>
      <c r="I2066" s="34">
        <f>IFERROR(IF(ISNUMBER($A2066),IF(AND(AH!$U$12=1,2061+1=AH!$U$6),TODAY(),IF(AH!$U$5=1,INDEX('Live History'!$G$5:$G$3004,MATCH($A2066,'Live History'!$G$5:$G$3004,1)),INDEX('AH History'!$C$5:$C$1380,$K2066))),NA()),NA())</f>
        <v/>
      </c>
      <c r="J2066" s="32">
        <f>IFERROR(IF(AND($F2066&gt;0,$H2066&gt;0,$A2066-$G2066&lt;=10,$A2066-$I2066&lt;=5,$G2066&gt;0,$I2066&gt;0),$F2066*$H2066,NA()),NA())</f>
        <v/>
      </c>
      <c r="K2066" s="15">
        <f>IF($A2066="","",IF(AH!$U$5=1,IFERROR(MATCH($A2066,'Live History'!$A$5:$A$3004,0),0),AH!$U$7+2061))</f>
        <v/>
      </c>
      <c r="L2066" s="15">
        <f>IF(ISNUMBER(A2066),TEXT(A2066,"dd-mmm-yy"),"")</f>
        <v/>
      </c>
    </row>
    <row r="2067">
      <c r="A2067" s="14">
        <f>IF(OR(AH!$U$4=0,2062+1&gt;AH!$U$6,AND(AH!$M$5="Bloomberg",AH!$U$5=0)),"",IFERROR(IF(AND(AH!$U$12=1,2062+1=AH!$U$6),TODAY(),IF(AH!$U$5=1,INDEX('Live History'!$A$5:$A$3004,AH!$U$7+2062),INDEX('AH History'!$A$5:$A$1380,AH!$U$7+2062))),""))</f>
        <v/>
      </c>
      <c r="B2067" s="33">
        <f>IFERROR(IF(AH!$U$11=1,NA(),$J2067/$E2067-1),NA())</f>
        <v/>
      </c>
      <c r="C2067" s="269">
        <f>IFERROR(100*$E2067/$E$5,NA())</f>
        <v/>
      </c>
      <c r="D2067" s="269">
        <f>IFERROR(100*$J2067/$J$5,NA())</f>
        <v/>
      </c>
      <c r="E2067" s="32">
        <f>IFERROR(IF(AND(ISNUMBER($A2067),N(IF(AND(AH!$U$12=1,2062+1=AH!$U$6),IF(AH!$U$4=0,"unavailable",INDEX('Market Data'!$AN$5:$AN$66,AH!$U$4)),IF(AH!$U$5=1,INDEX('Live History'!$B$5:$B$3004,$K2067),INDEX('AH History'!$D$5:$GG$1380,$K2067,AH!$U$10))))&gt;0),IF(AND(AH!$U$12=1,2062+1=AH!$U$6),IF(AH!$U$4=0,"unavailable",INDEX('Market Data'!$AN$5:$AN$66,AH!$U$4)),IF(AH!$U$5=1,INDEX('Live History'!$B$5:$B$3004,$K2067),INDEX('AH History'!$D$5:$GG$1380,$K2067,AH!$U$10))),NA()),NA())</f>
        <v/>
      </c>
      <c r="F2067" s="32">
        <f>IFERROR(IF(ISNUMBER($A2067),IF(AND(AH!$U$12=1,2062+1=AH!$U$6),IF(AH!$U$4=0,"unavailable",INDEX('Market Data'!$AO$5:$AO$66,AH!$U$4)),IF(AH!$U$5=1,INDEX('Live History'!$E$5:$E$3004,MATCH($A2067,'Live History'!$D$5:$D$3004,1)),INDEX('AH History'!$D$5:$GG$1380,$K2067,AH!$U$10+1))),NA()),NA())</f>
        <v/>
      </c>
      <c r="G2067" s="34">
        <f>IFERROR(IF(ISNUMBER($A2067),IF(AND(AH!$U$12=1,2062+1=AH!$U$6),IF(AH!$U$4=0,"unavailable",INDEX('Market Data'!$AK$5:$AK$66,AH!$U$4)),IF(AH!$U$5=1,INDEX('Live History'!$D$5:$D$3004,MATCH($A2067,'Live History'!$D$5:$D$3004,1)),INDEX('AH History'!$D$5:$GG$1380,$K2067,AH!$U$10+2))),NA()),NA())</f>
        <v/>
      </c>
      <c r="H2067" s="266">
        <f>IFERROR(IF(ISNUMBER($A2067),IF(AND(AH!$U$12=1,2062+1=AH!$U$6),IF(AH!$U$4=0,"unavailable",INDEX('Market Data'!$AP$5:$AP$66,AH!$U$4)),IF(AH!$U$5=1,INDEX('Live History'!$H$5:$H$3004,MATCH($A2067,'Live History'!$G$5:$G$3004,1)),INDEX('AH History'!$B$5:$B$1380,$K2067))),NA()),NA())</f>
        <v/>
      </c>
      <c r="I2067" s="34">
        <f>IFERROR(IF(ISNUMBER($A2067),IF(AND(AH!$U$12=1,2062+1=AH!$U$6),TODAY(),IF(AH!$U$5=1,INDEX('Live History'!$G$5:$G$3004,MATCH($A2067,'Live History'!$G$5:$G$3004,1)),INDEX('AH History'!$C$5:$C$1380,$K2067))),NA()),NA())</f>
        <v/>
      </c>
      <c r="J2067" s="32">
        <f>IFERROR(IF(AND($F2067&gt;0,$H2067&gt;0,$A2067-$G2067&lt;=10,$A2067-$I2067&lt;=5,$G2067&gt;0,$I2067&gt;0),$F2067*$H2067,NA()),NA())</f>
        <v/>
      </c>
      <c r="K2067" s="15">
        <f>IF($A2067="","",IF(AH!$U$5=1,IFERROR(MATCH($A2067,'Live History'!$A$5:$A$3004,0),0),AH!$U$7+2062))</f>
        <v/>
      </c>
      <c r="L2067" s="15">
        <f>IF(ISNUMBER(A2067),TEXT(A2067,"dd-mmm-yy"),"")</f>
        <v/>
      </c>
    </row>
    <row r="2068">
      <c r="A2068" s="14">
        <f>IF(OR(AH!$U$4=0,2063+1&gt;AH!$U$6,AND(AH!$M$5="Bloomberg",AH!$U$5=0)),"",IFERROR(IF(AND(AH!$U$12=1,2063+1=AH!$U$6),TODAY(),IF(AH!$U$5=1,INDEX('Live History'!$A$5:$A$3004,AH!$U$7+2063),INDEX('AH History'!$A$5:$A$1380,AH!$U$7+2063))),""))</f>
        <v/>
      </c>
      <c r="B2068" s="33">
        <f>IFERROR(IF(AH!$U$11=1,NA(),$J2068/$E2068-1),NA())</f>
        <v/>
      </c>
      <c r="C2068" s="269">
        <f>IFERROR(100*$E2068/$E$5,NA())</f>
        <v/>
      </c>
      <c r="D2068" s="269">
        <f>IFERROR(100*$J2068/$J$5,NA())</f>
        <v/>
      </c>
      <c r="E2068" s="32">
        <f>IFERROR(IF(AND(ISNUMBER($A2068),N(IF(AND(AH!$U$12=1,2063+1=AH!$U$6),IF(AH!$U$4=0,"unavailable",INDEX('Market Data'!$AN$5:$AN$66,AH!$U$4)),IF(AH!$U$5=1,INDEX('Live History'!$B$5:$B$3004,$K2068),INDEX('AH History'!$D$5:$GG$1380,$K2068,AH!$U$10))))&gt;0),IF(AND(AH!$U$12=1,2063+1=AH!$U$6),IF(AH!$U$4=0,"unavailable",INDEX('Market Data'!$AN$5:$AN$66,AH!$U$4)),IF(AH!$U$5=1,INDEX('Live History'!$B$5:$B$3004,$K2068),INDEX('AH History'!$D$5:$GG$1380,$K2068,AH!$U$10))),NA()),NA())</f>
        <v/>
      </c>
      <c r="F2068" s="32">
        <f>IFERROR(IF(ISNUMBER($A2068),IF(AND(AH!$U$12=1,2063+1=AH!$U$6),IF(AH!$U$4=0,"unavailable",INDEX('Market Data'!$AO$5:$AO$66,AH!$U$4)),IF(AH!$U$5=1,INDEX('Live History'!$E$5:$E$3004,MATCH($A2068,'Live History'!$D$5:$D$3004,1)),INDEX('AH History'!$D$5:$GG$1380,$K2068,AH!$U$10+1))),NA()),NA())</f>
        <v/>
      </c>
      <c r="G2068" s="34">
        <f>IFERROR(IF(ISNUMBER($A2068),IF(AND(AH!$U$12=1,2063+1=AH!$U$6),IF(AH!$U$4=0,"unavailable",INDEX('Market Data'!$AK$5:$AK$66,AH!$U$4)),IF(AH!$U$5=1,INDEX('Live History'!$D$5:$D$3004,MATCH($A2068,'Live History'!$D$5:$D$3004,1)),INDEX('AH History'!$D$5:$GG$1380,$K2068,AH!$U$10+2))),NA()),NA())</f>
        <v/>
      </c>
      <c r="H2068" s="266">
        <f>IFERROR(IF(ISNUMBER($A2068),IF(AND(AH!$U$12=1,2063+1=AH!$U$6),IF(AH!$U$4=0,"unavailable",INDEX('Market Data'!$AP$5:$AP$66,AH!$U$4)),IF(AH!$U$5=1,INDEX('Live History'!$H$5:$H$3004,MATCH($A2068,'Live History'!$G$5:$G$3004,1)),INDEX('AH History'!$B$5:$B$1380,$K2068))),NA()),NA())</f>
        <v/>
      </c>
      <c r="I2068" s="34">
        <f>IFERROR(IF(ISNUMBER($A2068),IF(AND(AH!$U$12=1,2063+1=AH!$U$6),TODAY(),IF(AH!$U$5=1,INDEX('Live History'!$G$5:$G$3004,MATCH($A2068,'Live History'!$G$5:$G$3004,1)),INDEX('AH History'!$C$5:$C$1380,$K2068))),NA()),NA())</f>
        <v/>
      </c>
      <c r="J2068" s="32">
        <f>IFERROR(IF(AND($F2068&gt;0,$H2068&gt;0,$A2068-$G2068&lt;=10,$A2068-$I2068&lt;=5,$G2068&gt;0,$I2068&gt;0),$F2068*$H2068,NA()),NA())</f>
        <v/>
      </c>
      <c r="K2068" s="15">
        <f>IF($A2068="","",IF(AH!$U$5=1,IFERROR(MATCH($A2068,'Live History'!$A$5:$A$3004,0),0),AH!$U$7+2063))</f>
        <v/>
      </c>
      <c r="L2068" s="15">
        <f>IF(ISNUMBER(A2068),TEXT(A2068,"dd-mmm-yy"),"")</f>
        <v/>
      </c>
    </row>
    <row r="2069">
      <c r="A2069" s="14">
        <f>IF(OR(AH!$U$4=0,2064+1&gt;AH!$U$6,AND(AH!$M$5="Bloomberg",AH!$U$5=0)),"",IFERROR(IF(AND(AH!$U$12=1,2064+1=AH!$U$6),TODAY(),IF(AH!$U$5=1,INDEX('Live History'!$A$5:$A$3004,AH!$U$7+2064),INDEX('AH History'!$A$5:$A$1380,AH!$U$7+2064))),""))</f>
        <v/>
      </c>
      <c r="B2069" s="33">
        <f>IFERROR(IF(AH!$U$11=1,NA(),$J2069/$E2069-1),NA())</f>
        <v/>
      </c>
      <c r="C2069" s="269">
        <f>IFERROR(100*$E2069/$E$5,NA())</f>
        <v/>
      </c>
      <c r="D2069" s="269">
        <f>IFERROR(100*$J2069/$J$5,NA())</f>
        <v/>
      </c>
      <c r="E2069" s="32">
        <f>IFERROR(IF(AND(ISNUMBER($A2069),N(IF(AND(AH!$U$12=1,2064+1=AH!$U$6),IF(AH!$U$4=0,"unavailable",INDEX('Market Data'!$AN$5:$AN$66,AH!$U$4)),IF(AH!$U$5=1,INDEX('Live History'!$B$5:$B$3004,$K2069),INDEX('AH History'!$D$5:$GG$1380,$K2069,AH!$U$10))))&gt;0),IF(AND(AH!$U$12=1,2064+1=AH!$U$6),IF(AH!$U$4=0,"unavailable",INDEX('Market Data'!$AN$5:$AN$66,AH!$U$4)),IF(AH!$U$5=1,INDEX('Live History'!$B$5:$B$3004,$K2069),INDEX('AH History'!$D$5:$GG$1380,$K2069,AH!$U$10))),NA()),NA())</f>
        <v/>
      </c>
      <c r="F2069" s="32">
        <f>IFERROR(IF(ISNUMBER($A2069),IF(AND(AH!$U$12=1,2064+1=AH!$U$6),IF(AH!$U$4=0,"unavailable",INDEX('Market Data'!$AO$5:$AO$66,AH!$U$4)),IF(AH!$U$5=1,INDEX('Live History'!$E$5:$E$3004,MATCH($A2069,'Live History'!$D$5:$D$3004,1)),INDEX('AH History'!$D$5:$GG$1380,$K2069,AH!$U$10+1))),NA()),NA())</f>
        <v/>
      </c>
      <c r="G2069" s="34">
        <f>IFERROR(IF(ISNUMBER($A2069),IF(AND(AH!$U$12=1,2064+1=AH!$U$6),IF(AH!$U$4=0,"unavailable",INDEX('Market Data'!$AK$5:$AK$66,AH!$U$4)),IF(AH!$U$5=1,INDEX('Live History'!$D$5:$D$3004,MATCH($A2069,'Live History'!$D$5:$D$3004,1)),INDEX('AH History'!$D$5:$GG$1380,$K2069,AH!$U$10+2))),NA()),NA())</f>
        <v/>
      </c>
      <c r="H2069" s="266">
        <f>IFERROR(IF(ISNUMBER($A2069),IF(AND(AH!$U$12=1,2064+1=AH!$U$6),IF(AH!$U$4=0,"unavailable",INDEX('Market Data'!$AP$5:$AP$66,AH!$U$4)),IF(AH!$U$5=1,INDEX('Live History'!$H$5:$H$3004,MATCH($A2069,'Live History'!$G$5:$G$3004,1)),INDEX('AH History'!$B$5:$B$1380,$K2069))),NA()),NA())</f>
        <v/>
      </c>
      <c r="I2069" s="34">
        <f>IFERROR(IF(ISNUMBER($A2069),IF(AND(AH!$U$12=1,2064+1=AH!$U$6),TODAY(),IF(AH!$U$5=1,INDEX('Live History'!$G$5:$G$3004,MATCH($A2069,'Live History'!$G$5:$G$3004,1)),INDEX('AH History'!$C$5:$C$1380,$K2069))),NA()),NA())</f>
        <v/>
      </c>
      <c r="J2069" s="32">
        <f>IFERROR(IF(AND($F2069&gt;0,$H2069&gt;0,$A2069-$G2069&lt;=10,$A2069-$I2069&lt;=5,$G2069&gt;0,$I2069&gt;0),$F2069*$H2069,NA()),NA())</f>
        <v/>
      </c>
      <c r="K2069" s="15">
        <f>IF($A2069="","",IF(AH!$U$5=1,IFERROR(MATCH($A2069,'Live History'!$A$5:$A$3004,0),0),AH!$U$7+2064))</f>
        <v/>
      </c>
      <c r="L2069" s="15">
        <f>IF(ISNUMBER(A2069),TEXT(A2069,"dd-mmm-yy"),"")</f>
        <v/>
      </c>
    </row>
    <row r="2070">
      <c r="A2070" s="14">
        <f>IF(OR(AH!$U$4=0,2065+1&gt;AH!$U$6,AND(AH!$M$5="Bloomberg",AH!$U$5=0)),"",IFERROR(IF(AND(AH!$U$12=1,2065+1=AH!$U$6),TODAY(),IF(AH!$U$5=1,INDEX('Live History'!$A$5:$A$3004,AH!$U$7+2065),INDEX('AH History'!$A$5:$A$1380,AH!$U$7+2065))),""))</f>
        <v/>
      </c>
      <c r="B2070" s="33">
        <f>IFERROR(IF(AH!$U$11=1,NA(),$J2070/$E2070-1),NA())</f>
        <v/>
      </c>
      <c r="C2070" s="269">
        <f>IFERROR(100*$E2070/$E$5,NA())</f>
        <v/>
      </c>
      <c r="D2070" s="269">
        <f>IFERROR(100*$J2070/$J$5,NA())</f>
        <v/>
      </c>
      <c r="E2070" s="32">
        <f>IFERROR(IF(AND(ISNUMBER($A2070),N(IF(AND(AH!$U$12=1,2065+1=AH!$U$6),IF(AH!$U$4=0,"unavailable",INDEX('Market Data'!$AN$5:$AN$66,AH!$U$4)),IF(AH!$U$5=1,INDEX('Live History'!$B$5:$B$3004,$K2070),INDEX('AH History'!$D$5:$GG$1380,$K2070,AH!$U$10))))&gt;0),IF(AND(AH!$U$12=1,2065+1=AH!$U$6),IF(AH!$U$4=0,"unavailable",INDEX('Market Data'!$AN$5:$AN$66,AH!$U$4)),IF(AH!$U$5=1,INDEX('Live History'!$B$5:$B$3004,$K2070),INDEX('AH History'!$D$5:$GG$1380,$K2070,AH!$U$10))),NA()),NA())</f>
        <v/>
      </c>
      <c r="F2070" s="32">
        <f>IFERROR(IF(ISNUMBER($A2070),IF(AND(AH!$U$12=1,2065+1=AH!$U$6),IF(AH!$U$4=0,"unavailable",INDEX('Market Data'!$AO$5:$AO$66,AH!$U$4)),IF(AH!$U$5=1,INDEX('Live History'!$E$5:$E$3004,MATCH($A2070,'Live History'!$D$5:$D$3004,1)),INDEX('AH History'!$D$5:$GG$1380,$K2070,AH!$U$10+1))),NA()),NA())</f>
        <v/>
      </c>
      <c r="G2070" s="34">
        <f>IFERROR(IF(ISNUMBER($A2070),IF(AND(AH!$U$12=1,2065+1=AH!$U$6),IF(AH!$U$4=0,"unavailable",INDEX('Market Data'!$AK$5:$AK$66,AH!$U$4)),IF(AH!$U$5=1,INDEX('Live History'!$D$5:$D$3004,MATCH($A2070,'Live History'!$D$5:$D$3004,1)),INDEX('AH History'!$D$5:$GG$1380,$K2070,AH!$U$10+2))),NA()),NA())</f>
        <v/>
      </c>
      <c r="H2070" s="266">
        <f>IFERROR(IF(ISNUMBER($A2070),IF(AND(AH!$U$12=1,2065+1=AH!$U$6),IF(AH!$U$4=0,"unavailable",INDEX('Market Data'!$AP$5:$AP$66,AH!$U$4)),IF(AH!$U$5=1,INDEX('Live History'!$H$5:$H$3004,MATCH($A2070,'Live History'!$G$5:$G$3004,1)),INDEX('AH History'!$B$5:$B$1380,$K2070))),NA()),NA())</f>
        <v/>
      </c>
      <c r="I2070" s="34">
        <f>IFERROR(IF(ISNUMBER($A2070),IF(AND(AH!$U$12=1,2065+1=AH!$U$6),TODAY(),IF(AH!$U$5=1,INDEX('Live History'!$G$5:$G$3004,MATCH($A2070,'Live History'!$G$5:$G$3004,1)),INDEX('AH History'!$C$5:$C$1380,$K2070))),NA()),NA())</f>
        <v/>
      </c>
      <c r="J2070" s="32">
        <f>IFERROR(IF(AND($F2070&gt;0,$H2070&gt;0,$A2070-$G2070&lt;=10,$A2070-$I2070&lt;=5,$G2070&gt;0,$I2070&gt;0),$F2070*$H2070,NA()),NA())</f>
        <v/>
      </c>
      <c r="K2070" s="15">
        <f>IF($A2070="","",IF(AH!$U$5=1,IFERROR(MATCH($A2070,'Live History'!$A$5:$A$3004,0),0),AH!$U$7+2065))</f>
        <v/>
      </c>
      <c r="L2070" s="15">
        <f>IF(ISNUMBER(A2070),TEXT(A2070,"dd-mmm-yy"),"")</f>
        <v/>
      </c>
    </row>
    <row r="2071">
      <c r="A2071" s="14">
        <f>IF(OR(AH!$U$4=0,2066+1&gt;AH!$U$6,AND(AH!$M$5="Bloomberg",AH!$U$5=0)),"",IFERROR(IF(AND(AH!$U$12=1,2066+1=AH!$U$6),TODAY(),IF(AH!$U$5=1,INDEX('Live History'!$A$5:$A$3004,AH!$U$7+2066),INDEX('AH History'!$A$5:$A$1380,AH!$U$7+2066))),""))</f>
        <v/>
      </c>
      <c r="B2071" s="33">
        <f>IFERROR(IF(AH!$U$11=1,NA(),$J2071/$E2071-1),NA())</f>
        <v/>
      </c>
      <c r="C2071" s="269">
        <f>IFERROR(100*$E2071/$E$5,NA())</f>
        <v/>
      </c>
      <c r="D2071" s="269">
        <f>IFERROR(100*$J2071/$J$5,NA())</f>
        <v/>
      </c>
      <c r="E2071" s="32">
        <f>IFERROR(IF(AND(ISNUMBER($A2071),N(IF(AND(AH!$U$12=1,2066+1=AH!$U$6),IF(AH!$U$4=0,"unavailable",INDEX('Market Data'!$AN$5:$AN$66,AH!$U$4)),IF(AH!$U$5=1,INDEX('Live History'!$B$5:$B$3004,$K2071),INDEX('AH History'!$D$5:$GG$1380,$K2071,AH!$U$10))))&gt;0),IF(AND(AH!$U$12=1,2066+1=AH!$U$6),IF(AH!$U$4=0,"unavailable",INDEX('Market Data'!$AN$5:$AN$66,AH!$U$4)),IF(AH!$U$5=1,INDEX('Live History'!$B$5:$B$3004,$K2071),INDEX('AH History'!$D$5:$GG$1380,$K2071,AH!$U$10))),NA()),NA())</f>
        <v/>
      </c>
      <c r="F2071" s="32">
        <f>IFERROR(IF(ISNUMBER($A2071),IF(AND(AH!$U$12=1,2066+1=AH!$U$6),IF(AH!$U$4=0,"unavailable",INDEX('Market Data'!$AO$5:$AO$66,AH!$U$4)),IF(AH!$U$5=1,INDEX('Live History'!$E$5:$E$3004,MATCH($A2071,'Live History'!$D$5:$D$3004,1)),INDEX('AH History'!$D$5:$GG$1380,$K2071,AH!$U$10+1))),NA()),NA())</f>
        <v/>
      </c>
      <c r="G2071" s="34">
        <f>IFERROR(IF(ISNUMBER($A2071),IF(AND(AH!$U$12=1,2066+1=AH!$U$6),IF(AH!$U$4=0,"unavailable",INDEX('Market Data'!$AK$5:$AK$66,AH!$U$4)),IF(AH!$U$5=1,INDEX('Live History'!$D$5:$D$3004,MATCH($A2071,'Live History'!$D$5:$D$3004,1)),INDEX('AH History'!$D$5:$GG$1380,$K2071,AH!$U$10+2))),NA()),NA())</f>
        <v/>
      </c>
      <c r="H2071" s="266">
        <f>IFERROR(IF(ISNUMBER($A2071),IF(AND(AH!$U$12=1,2066+1=AH!$U$6),IF(AH!$U$4=0,"unavailable",INDEX('Market Data'!$AP$5:$AP$66,AH!$U$4)),IF(AH!$U$5=1,INDEX('Live History'!$H$5:$H$3004,MATCH($A2071,'Live History'!$G$5:$G$3004,1)),INDEX('AH History'!$B$5:$B$1380,$K2071))),NA()),NA())</f>
        <v/>
      </c>
      <c r="I2071" s="34">
        <f>IFERROR(IF(ISNUMBER($A2071),IF(AND(AH!$U$12=1,2066+1=AH!$U$6),TODAY(),IF(AH!$U$5=1,INDEX('Live History'!$G$5:$G$3004,MATCH($A2071,'Live History'!$G$5:$G$3004,1)),INDEX('AH History'!$C$5:$C$1380,$K2071))),NA()),NA())</f>
        <v/>
      </c>
      <c r="J2071" s="32">
        <f>IFERROR(IF(AND($F2071&gt;0,$H2071&gt;0,$A2071-$G2071&lt;=10,$A2071-$I2071&lt;=5,$G2071&gt;0,$I2071&gt;0),$F2071*$H2071,NA()),NA())</f>
        <v/>
      </c>
      <c r="K2071" s="15">
        <f>IF($A2071="","",IF(AH!$U$5=1,IFERROR(MATCH($A2071,'Live History'!$A$5:$A$3004,0),0),AH!$U$7+2066))</f>
        <v/>
      </c>
      <c r="L2071" s="15">
        <f>IF(ISNUMBER(A2071),TEXT(A2071,"dd-mmm-yy"),"")</f>
        <v/>
      </c>
    </row>
    <row r="2072">
      <c r="A2072" s="14">
        <f>IF(OR(AH!$U$4=0,2067+1&gt;AH!$U$6,AND(AH!$M$5="Bloomberg",AH!$U$5=0)),"",IFERROR(IF(AND(AH!$U$12=1,2067+1=AH!$U$6),TODAY(),IF(AH!$U$5=1,INDEX('Live History'!$A$5:$A$3004,AH!$U$7+2067),INDEX('AH History'!$A$5:$A$1380,AH!$U$7+2067))),""))</f>
        <v/>
      </c>
      <c r="B2072" s="33">
        <f>IFERROR(IF(AH!$U$11=1,NA(),$J2072/$E2072-1),NA())</f>
        <v/>
      </c>
      <c r="C2072" s="269">
        <f>IFERROR(100*$E2072/$E$5,NA())</f>
        <v/>
      </c>
      <c r="D2072" s="269">
        <f>IFERROR(100*$J2072/$J$5,NA())</f>
        <v/>
      </c>
      <c r="E2072" s="32">
        <f>IFERROR(IF(AND(ISNUMBER($A2072),N(IF(AND(AH!$U$12=1,2067+1=AH!$U$6),IF(AH!$U$4=0,"unavailable",INDEX('Market Data'!$AN$5:$AN$66,AH!$U$4)),IF(AH!$U$5=1,INDEX('Live History'!$B$5:$B$3004,$K2072),INDEX('AH History'!$D$5:$GG$1380,$K2072,AH!$U$10))))&gt;0),IF(AND(AH!$U$12=1,2067+1=AH!$U$6),IF(AH!$U$4=0,"unavailable",INDEX('Market Data'!$AN$5:$AN$66,AH!$U$4)),IF(AH!$U$5=1,INDEX('Live History'!$B$5:$B$3004,$K2072),INDEX('AH History'!$D$5:$GG$1380,$K2072,AH!$U$10))),NA()),NA())</f>
        <v/>
      </c>
      <c r="F2072" s="32">
        <f>IFERROR(IF(ISNUMBER($A2072),IF(AND(AH!$U$12=1,2067+1=AH!$U$6),IF(AH!$U$4=0,"unavailable",INDEX('Market Data'!$AO$5:$AO$66,AH!$U$4)),IF(AH!$U$5=1,INDEX('Live History'!$E$5:$E$3004,MATCH($A2072,'Live History'!$D$5:$D$3004,1)),INDEX('AH History'!$D$5:$GG$1380,$K2072,AH!$U$10+1))),NA()),NA())</f>
        <v/>
      </c>
      <c r="G2072" s="34">
        <f>IFERROR(IF(ISNUMBER($A2072),IF(AND(AH!$U$12=1,2067+1=AH!$U$6),IF(AH!$U$4=0,"unavailable",INDEX('Market Data'!$AK$5:$AK$66,AH!$U$4)),IF(AH!$U$5=1,INDEX('Live History'!$D$5:$D$3004,MATCH($A2072,'Live History'!$D$5:$D$3004,1)),INDEX('AH History'!$D$5:$GG$1380,$K2072,AH!$U$10+2))),NA()),NA())</f>
        <v/>
      </c>
      <c r="H2072" s="266">
        <f>IFERROR(IF(ISNUMBER($A2072),IF(AND(AH!$U$12=1,2067+1=AH!$U$6),IF(AH!$U$4=0,"unavailable",INDEX('Market Data'!$AP$5:$AP$66,AH!$U$4)),IF(AH!$U$5=1,INDEX('Live History'!$H$5:$H$3004,MATCH($A2072,'Live History'!$G$5:$G$3004,1)),INDEX('AH History'!$B$5:$B$1380,$K2072))),NA()),NA())</f>
        <v/>
      </c>
      <c r="I2072" s="34">
        <f>IFERROR(IF(ISNUMBER($A2072),IF(AND(AH!$U$12=1,2067+1=AH!$U$6),TODAY(),IF(AH!$U$5=1,INDEX('Live History'!$G$5:$G$3004,MATCH($A2072,'Live History'!$G$5:$G$3004,1)),INDEX('AH History'!$C$5:$C$1380,$K2072))),NA()),NA())</f>
        <v/>
      </c>
      <c r="J2072" s="32">
        <f>IFERROR(IF(AND($F2072&gt;0,$H2072&gt;0,$A2072-$G2072&lt;=10,$A2072-$I2072&lt;=5,$G2072&gt;0,$I2072&gt;0),$F2072*$H2072,NA()),NA())</f>
        <v/>
      </c>
      <c r="K2072" s="15">
        <f>IF($A2072="","",IF(AH!$U$5=1,IFERROR(MATCH($A2072,'Live History'!$A$5:$A$3004,0),0),AH!$U$7+2067))</f>
        <v/>
      </c>
      <c r="L2072" s="15">
        <f>IF(ISNUMBER(A2072),TEXT(A2072,"dd-mmm-yy"),"")</f>
        <v/>
      </c>
    </row>
    <row r="2073">
      <c r="A2073" s="14">
        <f>IF(OR(AH!$U$4=0,2068+1&gt;AH!$U$6,AND(AH!$M$5="Bloomberg",AH!$U$5=0)),"",IFERROR(IF(AND(AH!$U$12=1,2068+1=AH!$U$6),TODAY(),IF(AH!$U$5=1,INDEX('Live History'!$A$5:$A$3004,AH!$U$7+2068),INDEX('AH History'!$A$5:$A$1380,AH!$U$7+2068))),""))</f>
        <v/>
      </c>
      <c r="B2073" s="33">
        <f>IFERROR(IF(AH!$U$11=1,NA(),$J2073/$E2073-1),NA())</f>
        <v/>
      </c>
      <c r="C2073" s="269">
        <f>IFERROR(100*$E2073/$E$5,NA())</f>
        <v/>
      </c>
      <c r="D2073" s="269">
        <f>IFERROR(100*$J2073/$J$5,NA())</f>
        <v/>
      </c>
      <c r="E2073" s="32">
        <f>IFERROR(IF(AND(ISNUMBER($A2073),N(IF(AND(AH!$U$12=1,2068+1=AH!$U$6),IF(AH!$U$4=0,"unavailable",INDEX('Market Data'!$AN$5:$AN$66,AH!$U$4)),IF(AH!$U$5=1,INDEX('Live History'!$B$5:$B$3004,$K2073),INDEX('AH History'!$D$5:$GG$1380,$K2073,AH!$U$10))))&gt;0),IF(AND(AH!$U$12=1,2068+1=AH!$U$6),IF(AH!$U$4=0,"unavailable",INDEX('Market Data'!$AN$5:$AN$66,AH!$U$4)),IF(AH!$U$5=1,INDEX('Live History'!$B$5:$B$3004,$K2073),INDEX('AH History'!$D$5:$GG$1380,$K2073,AH!$U$10))),NA()),NA())</f>
        <v/>
      </c>
      <c r="F2073" s="32">
        <f>IFERROR(IF(ISNUMBER($A2073),IF(AND(AH!$U$12=1,2068+1=AH!$U$6),IF(AH!$U$4=0,"unavailable",INDEX('Market Data'!$AO$5:$AO$66,AH!$U$4)),IF(AH!$U$5=1,INDEX('Live History'!$E$5:$E$3004,MATCH($A2073,'Live History'!$D$5:$D$3004,1)),INDEX('AH History'!$D$5:$GG$1380,$K2073,AH!$U$10+1))),NA()),NA())</f>
        <v/>
      </c>
      <c r="G2073" s="34">
        <f>IFERROR(IF(ISNUMBER($A2073),IF(AND(AH!$U$12=1,2068+1=AH!$U$6),IF(AH!$U$4=0,"unavailable",INDEX('Market Data'!$AK$5:$AK$66,AH!$U$4)),IF(AH!$U$5=1,INDEX('Live History'!$D$5:$D$3004,MATCH($A2073,'Live History'!$D$5:$D$3004,1)),INDEX('AH History'!$D$5:$GG$1380,$K2073,AH!$U$10+2))),NA()),NA())</f>
        <v/>
      </c>
      <c r="H2073" s="266">
        <f>IFERROR(IF(ISNUMBER($A2073),IF(AND(AH!$U$12=1,2068+1=AH!$U$6),IF(AH!$U$4=0,"unavailable",INDEX('Market Data'!$AP$5:$AP$66,AH!$U$4)),IF(AH!$U$5=1,INDEX('Live History'!$H$5:$H$3004,MATCH($A2073,'Live History'!$G$5:$G$3004,1)),INDEX('AH History'!$B$5:$B$1380,$K2073))),NA()),NA())</f>
        <v/>
      </c>
      <c r="I2073" s="34">
        <f>IFERROR(IF(ISNUMBER($A2073),IF(AND(AH!$U$12=1,2068+1=AH!$U$6),TODAY(),IF(AH!$U$5=1,INDEX('Live History'!$G$5:$G$3004,MATCH($A2073,'Live History'!$G$5:$G$3004,1)),INDEX('AH History'!$C$5:$C$1380,$K2073))),NA()),NA())</f>
        <v/>
      </c>
      <c r="J2073" s="32">
        <f>IFERROR(IF(AND($F2073&gt;0,$H2073&gt;0,$A2073-$G2073&lt;=10,$A2073-$I2073&lt;=5,$G2073&gt;0,$I2073&gt;0),$F2073*$H2073,NA()),NA())</f>
        <v/>
      </c>
      <c r="K2073" s="15">
        <f>IF($A2073="","",IF(AH!$U$5=1,IFERROR(MATCH($A2073,'Live History'!$A$5:$A$3004,0),0),AH!$U$7+2068))</f>
        <v/>
      </c>
      <c r="L2073" s="15">
        <f>IF(ISNUMBER(A2073),TEXT(A2073,"dd-mmm-yy"),"")</f>
        <v/>
      </c>
    </row>
    <row r="2074">
      <c r="A2074" s="14">
        <f>IF(OR(AH!$U$4=0,2069+1&gt;AH!$U$6,AND(AH!$M$5="Bloomberg",AH!$U$5=0)),"",IFERROR(IF(AND(AH!$U$12=1,2069+1=AH!$U$6),TODAY(),IF(AH!$U$5=1,INDEX('Live History'!$A$5:$A$3004,AH!$U$7+2069),INDEX('AH History'!$A$5:$A$1380,AH!$U$7+2069))),""))</f>
        <v/>
      </c>
      <c r="B2074" s="33">
        <f>IFERROR(IF(AH!$U$11=1,NA(),$J2074/$E2074-1),NA())</f>
        <v/>
      </c>
      <c r="C2074" s="269">
        <f>IFERROR(100*$E2074/$E$5,NA())</f>
        <v/>
      </c>
      <c r="D2074" s="269">
        <f>IFERROR(100*$J2074/$J$5,NA())</f>
        <v/>
      </c>
      <c r="E2074" s="32">
        <f>IFERROR(IF(AND(ISNUMBER($A2074),N(IF(AND(AH!$U$12=1,2069+1=AH!$U$6),IF(AH!$U$4=0,"unavailable",INDEX('Market Data'!$AN$5:$AN$66,AH!$U$4)),IF(AH!$U$5=1,INDEX('Live History'!$B$5:$B$3004,$K2074),INDEX('AH History'!$D$5:$GG$1380,$K2074,AH!$U$10))))&gt;0),IF(AND(AH!$U$12=1,2069+1=AH!$U$6),IF(AH!$U$4=0,"unavailable",INDEX('Market Data'!$AN$5:$AN$66,AH!$U$4)),IF(AH!$U$5=1,INDEX('Live History'!$B$5:$B$3004,$K2074),INDEX('AH History'!$D$5:$GG$1380,$K2074,AH!$U$10))),NA()),NA())</f>
        <v/>
      </c>
      <c r="F2074" s="32">
        <f>IFERROR(IF(ISNUMBER($A2074),IF(AND(AH!$U$12=1,2069+1=AH!$U$6),IF(AH!$U$4=0,"unavailable",INDEX('Market Data'!$AO$5:$AO$66,AH!$U$4)),IF(AH!$U$5=1,INDEX('Live History'!$E$5:$E$3004,MATCH($A2074,'Live History'!$D$5:$D$3004,1)),INDEX('AH History'!$D$5:$GG$1380,$K2074,AH!$U$10+1))),NA()),NA())</f>
        <v/>
      </c>
      <c r="G2074" s="34">
        <f>IFERROR(IF(ISNUMBER($A2074),IF(AND(AH!$U$12=1,2069+1=AH!$U$6),IF(AH!$U$4=0,"unavailable",INDEX('Market Data'!$AK$5:$AK$66,AH!$U$4)),IF(AH!$U$5=1,INDEX('Live History'!$D$5:$D$3004,MATCH($A2074,'Live History'!$D$5:$D$3004,1)),INDEX('AH History'!$D$5:$GG$1380,$K2074,AH!$U$10+2))),NA()),NA())</f>
        <v/>
      </c>
      <c r="H2074" s="266">
        <f>IFERROR(IF(ISNUMBER($A2074),IF(AND(AH!$U$12=1,2069+1=AH!$U$6),IF(AH!$U$4=0,"unavailable",INDEX('Market Data'!$AP$5:$AP$66,AH!$U$4)),IF(AH!$U$5=1,INDEX('Live History'!$H$5:$H$3004,MATCH($A2074,'Live History'!$G$5:$G$3004,1)),INDEX('AH History'!$B$5:$B$1380,$K2074))),NA()),NA())</f>
        <v/>
      </c>
      <c r="I2074" s="34">
        <f>IFERROR(IF(ISNUMBER($A2074),IF(AND(AH!$U$12=1,2069+1=AH!$U$6),TODAY(),IF(AH!$U$5=1,INDEX('Live History'!$G$5:$G$3004,MATCH($A2074,'Live History'!$G$5:$G$3004,1)),INDEX('AH History'!$C$5:$C$1380,$K2074))),NA()),NA())</f>
        <v/>
      </c>
      <c r="J2074" s="32">
        <f>IFERROR(IF(AND($F2074&gt;0,$H2074&gt;0,$A2074-$G2074&lt;=10,$A2074-$I2074&lt;=5,$G2074&gt;0,$I2074&gt;0),$F2074*$H2074,NA()),NA())</f>
        <v/>
      </c>
      <c r="K2074" s="15">
        <f>IF($A2074="","",IF(AH!$U$5=1,IFERROR(MATCH($A2074,'Live History'!$A$5:$A$3004,0),0),AH!$U$7+2069))</f>
        <v/>
      </c>
      <c r="L2074" s="15">
        <f>IF(ISNUMBER(A2074),TEXT(A2074,"dd-mmm-yy"),"")</f>
        <v/>
      </c>
    </row>
    <row r="2075">
      <c r="A2075" s="14">
        <f>IF(OR(AH!$U$4=0,2070+1&gt;AH!$U$6,AND(AH!$M$5="Bloomberg",AH!$U$5=0)),"",IFERROR(IF(AND(AH!$U$12=1,2070+1=AH!$U$6),TODAY(),IF(AH!$U$5=1,INDEX('Live History'!$A$5:$A$3004,AH!$U$7+2070),INDEX('AH History'!$A$5:$A$1380,AH!$U$7+2070))),""))</f>
        <v/>
      </c>
      <c r="B2075" s="33">
        <f>IFERROR(IF(AH!$U$11=1,NA(),$J2075/$E2075-1),NA())</f>
        <v/>
      </c>
      <c r="C2075" s="269">
        <f>IFERROR(100*$E2075/$E$5,NA())</f>
        <v/>
      </c>
      <c r="D2075" s="269">
        <f>IFERROR(100*$J2075/$J$5,NA())</f>
        <v/>
      </c>
      <c r="E2075" s="32">
        <f>IFERROR(IF(AND(ISNUMBER($A2075),N(IF(AND(AH!$U$12=1,2070+1=AH!$U$6),IF(AH!$U$4=0,"unavailable",INDEX('Market Data'!$AN$5:$AN$66,AH!$U$4)),IF(AH!$U$5=1,INDEX('Live History'!$B$5:$B$3004,$K2075),INDEX('AH History'!$D$5:$GG$1380,$K2075,AH!$U$10))))&gt;0),IF(AND(AH!$U$12=1,2070+1=AH!$U$6),IF(AH!$U$4=0,"unavailable",INDEX('Market Data'!$AN$5:$AN$66,AH!$U$4)),IF(AH!$U$5=1,INDEX('Live History'!$B$5:$B$3004,$K2075),INDEX('AH History'!$D$5:$GG$1380,$K2075,AH!$U$10))),NA()),NA())</f>
        <v/>
      </c>
      <c r="F2075" s="32">
        <f>IFERROR(IF(ISNUMBER($A2075),IF(AND(AH!$U$12=1,2070+1=AH!$U$6),IF(AH!$U$4=0,"unavailable",INDEX('Market Data'!$AO$5:$AO$66,AH!$U$4)),IF(AH!$U$5=1,INDEX('Live History'!$E$5:$E$3004,MATCH($A2075,'Live History'!$D$5:$D$3004,1)),INDEX('AH History'!$D$5:$GG$1380,$K2075,AH!$U$10+1))),NA()),NA())</f>
        <v/>
      </c>
      <c r="G2075" s="34">
        <f>IFERROR(IF(ISNUMBER($A2075),IF(AND(AH!$U$12=1,2070+1=AH!$U$6),IF(AH!$U$4=0,"unavailable",INDEX('Market Data'!$AK$5:$AK$66,AH!$U$4)),IF(AH!$U$5=1,INDEX('Live History'!$D$5:$D$3004,MATCH($A2075,'Live History'!$D$5:$D$3004,1)),INDEX('AH History'!$D$5:$GG$1380,$K2075,AH!$U$10+2))),NA()),NA())</f>
        <v/>
      </c>
      <c r="H2075" s="266">
        <f>IFERROR(IF(ISNUMBER($A2075),IF(AND(AH!$U$12=1,2070+1=AH!$U$6),IF(AH!$U$4=0,"unavailable",INDEX('Market Data'!$AP$5:$AP$66,AH!$U$4)),IF(AH!$U$5=1,INDEX('Live History'!$H$5:$H$3004,MATCH($A2075,'Live History'!$G$5:$G$3004,1)),INDEX('AH History'!$B$5:$B$1380,$K2075))),NA()),NA())</f>
        <v/>
      </c>
      <c r="I2075" s="34">
        <f>IFERROR(IF(ISNUMBER($A2075),IF(AND(AH!$U$12=1,2070+1=AH!$U$6),TODAY(),IF(AH!$U$5=1,INDEX('Live History'!$G$5:$G$3004,MATCH($A2075,'Live History'!$G$5:$G$3004,1)),INDEX('AH History'!$C$5:$C$1380,$K2075))),NA()),NA())</f>
        <v/>
      </c>
      <c r="J2075" s="32">
        <f>IFERROR(IF(AND($F2075&gt;0,$H2075&gt;0,$A2075-$G2075&lt;=10,$A2075-$I2075&lt;=5,$G2075&gt;0,$I2075&gt;0),$F2075*$H2075,NA()),NA())</f>
        <v/>
      </c>
      <c r="K2075" s="15">
        <f>IF($A2075="","",IF(AH!$U$5=1,IFERROR(MATCH($A2075,'Live History'!$A$5:$A$3004,0),0),AH!$U$7+2070))</f>
        <v/>
      </c>
      <c r="L2075" s="15">
        <f>IF(ISNUMBER(A2075),TEXT(A2075,"dd-mmm-yy"),"")</f>
        <v/>
      </c>
    </row>
    <row r="2076">
      <c r="A2076" s="14">
        <f>IF(OR(AH!$U$4=0,2071+1&gt;AH!$U$6,AND(AH!$M$5="Bloomberg",AH!$U$5=0)),"",IFERROR(IF(AND(AH!$U$12=1,2071+1=AH!$U$6),TODAY(),IF(AH!$U$5=1,INDEX('Live History'!$A$5:$A$3004,AH!$U$7+2071),INDEX('AH History'!$A$5:$A$1380,AH!$U$7+2071))),""))</f>
        <v/>
      </c>
      <c r="B2076" s="33">
        <f>IFERROR(IF(AH!$U$11=1,NA(),$J2076/$E2076-1),NA())</f>
        <v/>
      </c>
      <c r="C2076" s="269">
        <f>IFERROR(100*$E2076/$E$5,NA())</f>
        <v/>
      </c>
      <c r="D2076" s="269">
        <f>IFERROR(100*$J2076/$J$5,NA())</f>
        <v/>
      </c>
      <c r="E2076" s="32">
        <f>IFERROR(IF(AND(ISNUMBER($A2076),N(IF(AND(AH!$U$12=1,2071+1=AH!$U$6),IF(AH!$U$4=0,"unavailable",INDEX('Market Data'!$AN$5:$AN$66,AH!$U$4)),IF(AH!$U$5=1,INDEX('Live History'!$B$5:$B$3004,$K2076),INDEX('AH History'!$D$5:$GG$1380,$K2076,AH!$U$10))))&gt;0),IF(AND(AH!$U$12=1,2071+1=AH!$U$6),IF(AH!$U$4=0,"unavailable",INDEX('Market Data'!$AN$5:$AN$66,AH!$U$4)),IF(AH!$U$5=1,INDEX('Live History'!$B$5:$B$3004,$K2076),INDEX('AH History'!$D$5:$GG$1380,$K2076,AH!$U$10))),NA()),NA())</f>
        <v/>
      </c>
      <c r="F2076" s="32">
        <f>IFERROR(IF(ISNUMBER($A2076),IF(AND(AH!$U$12=1,2071+1=AH!$U$6),IF(AH!$U$4=0,"unavailable",INDEX('Market Data'!$AO$5:$AO$66,AH!$U$4)),IF(AH!$U$5=1,INDEX('Live History'!$E$5:$E$3004,MATCH($A2076,'Live History'!$D$5:$D$3004,1)),INDEX('AH History'!$D$5:$GG$1380,$K2076,AH!$U$10+1))),NA()),NA())</f>
        <v/>
      </c>
      <c r="G2076" s="34">
        <f>IFERROR(IF(ISNUMBER($A2076),IF(AND(AH!$U$12=1,2071+1=AH!$U$6),IF(AH!$U$4=0,"unavailable",INDEX('Market Data'!$AK$5:$AK$66,AH!$U$4)),IF(AH!$U$5=1,INDEX('Live History'!$D$5:$D$3004,MATCH($A2076,'Live History'!$D$5:$D$3004,1)),INDEX('AH History'!$D$5:$GG$1380,$K2076,AH!$U$10+2))),NA()),NA())</f>
        <v/>
      </c>
      <c r="H2076" s="266">
        <f>IFERROR(IF(ISNUMBER($A2076),IF(AND(AH!$U$12=1,2071+1=AH!$U$6),IF(AH!$U$4=0,"unavailable",INDEX('Market Data'!$AP$5:$AP$66,AH!$U$4)),IF(AH!$U$5=1,INDEX('Live History'!$H$5:$H$3004,MATCH($A2076,'Live History'!$G$5:$G$3004,1)),INDEX('AH History'!$B$5:$B$1380,$K2076))),NA()),NA())</f>
        <v/>
      </c>
      <c r="I2076" s="34">
        <f>IFERROR(IF(ISNUMBER($A2076),IF(AND(AH!$U$12=1,2071+1=AH!$U$6),TODAY(),IF(AH!$U$5=1,INDEX('Live History'!$G$5:$G$3004,MATCH($A2076,'Live History'!$G$5:$G$3004,1)),INDEX('AH History'!$C$5:$C$1380,$K2076))),NA()),NA())</f>
        <v/>
      </c>
      <c r="J2076" s="32">
        <f>IFERROR(IF(AND($F2076&gt;0,$H2076&gt;0,$A2076-$G2076&lt;=10,$A2076-$I2076&lt;=5,$G2076&gt;0,$I2076&gt;0),$F2076*$H2076,NA()),NA())</f>
        <v/>
      </c>
      <c r="K2076" s="15">
        <f>IF($A2076="","",IF(AH!$U$5=1,IFERROR(MATCH($A2076,'Live History'!$A$5:$A$3004,0),0),AH!$U$7+2071))</f>
        <v/>
      </c>
      <c r="L2076" s="15">
        <f>IF(ISNUMBER(A2076),TEXT(A2076,"dd-mmm-yy"),"")</f>
        <v/>
      </c>
    </row>
    <row r="2077">
      <c r="A2077" s="14">
        <f>IF(OR(AH!$U$4=0,2072+1&gt;AH!$U$6,AND(AH!$M$5="Bloomberg",AH!$U$5=0)),"",IFERROR(IF(AND(AH!$U$12=1,2072+1=AH!$U$6),TODAY(),IF(AH!$U$5=1,INDEX('Live History'!$A$5:$A$3004,AH!$U$7+2072),INDEX('AH History'!$A$5:$A$1380,AH!$U$7+2072))),""))</f>
        <v/>
      </c>
      <c r="B2077" s="33">
        <f>IFERROR(IF(AH!$U$11=1,NA(),$J2077/$E2077-1),NA())</f>
        <v/>
      </c>
      <c r="C2077" s="269">
        <f>IFERROR(100*$E2077/$E$5,NA())</f>
        <v/>
      </c>
      <c r="D2077" s="269">
        <f>IFERROR(100*$J2077/$J$5,NA())</f>
        <v/>
      </c>
      <c r="E2077" s="32">
        <f>IFERROR(IF(AND(ISNUMBER($A2077),N(IF(AND(AH!$U$12=1,2072+1=AH!$U$6),IF(AH!$U$4=0,"unavailable",INDEX('Market Data'!$AN$5:$AN$66,AH!$U$4)),IF(AH!$U$5=1,INDEX('Live History'!$B$5:$B$3004,$K2077),INDEX('AH History'!$D$5:$GG$1380,$K2077,AH!$U$10))))&gt;0),IF(AND(AH!$U$12=1,2072+1=AH!$U$6),IF(AH!$U$4=0,"unavailable",INDEX('Market Data'!$AN$5:$AN$66,AH!$U$4)),IF(AH!$U$5=1,INDEX('Live History'!$B$5:$B$3004,$K2077),INDEX('AH History'!$D$5:$GG$1380,$K2077,AH!$U$10))),NA()),NA())</f>
        <v/>
      </c>
      <c r="F2077" s="32">
        <f>IFERROR(IF(ISNUMBER($A2077),IF(AND(AH!$U$12=1,2072+1=AH!$U$6),IF(AH!$U$4=0,"unavailable",INDEX('Market Data'!$AO$5:$AO$66,AH!$U$4)),IF(AH!$U$5=1,INDEX('Live History'!$E$5:$E$3004,MATCH($A2077,'Live History'!$D$5:$D$3004,1)),INDEX('AH History'!$D$5:$GG$1380,$K2077,AH!$U$10+1))),NA()),NA())</f>
        <v/>
      </c>
      <c r="G2077" s="34">
        <f>IFERROR(IF(ISNUMBER($A2077),IF(AND(AH!$U$12=1,2072+1=AH!$U$6),IF(AH!$U$4=0,"unavailable",INDEX('Market Data'!$AK$5:$AK$66,AH!$U$4)),IF(AH!$U$5=1,INDEX('Live History'!$D$5:$D$3004,MATCH($A2077,'Live History'!$D$5:$D$3004,1)),INDEX('AH History'!$D$5:$GG$1380,$K2077,AH!$U$10+2))),NA()),NA())</f>
        <v/>
      </c>
      <c r="H2077" s="266">
        <f>IFERROR(IF(ISNUMBER($A2077),IF(AND(AH!$U$12=1,2072+1=AH!$U$6),IF(AH!$U$4=0,"unavailable",INDEX('Market Data'!$AP$5:$AP$66,AH!$U$4)),IF(AH!$U$5=1,INDEX('Live History'!$H$5:$H$3004,MATCH($A2077,'Live History'!$G$5:$G$3004,1)),INDEX('AH History'!$B$5:$B$1380,$K2077))),NA()),NA())</f>
        <v/>
      </c>
      <c r="I2077" s="34">
        <f>IFERROR(IF(ISNUMBER($A2077),IF(AND(AH!$U$12=1,2072+1=AH!$U$6),TODAY(),IF(AH!$U$5=1,INDEX('Live History'!$G$5:$G$3004,MATCH($A2077,'Live History'!$G$5:$G$3004,1)),INDEX('AH History'!$C$5:$C$1380,$K2077))),NA()),NA())</f>
        <v/>
      </c>
      <c r="J2077" s="32">
        <f>IFERROR(IF(AND($F2077&gt;0,$H2077&gt;0,$A2077-$G2077&lt;=10,$A2077-$I2077&lt;=5,$G2077&gt;0,$I2077&gt;0),$F2077*$H2077,NA()),NA())</f>
        <v/>
      </c>
      <c r="K2077" s="15">
        <f>IF($A2077="","",IF(AH!$U$5=1,IFERROR(MATCH($A2077,'Live History'!$A$5:$A$3004,0),0),AH!$U$7+2072))</f>
        <v/>
      </c>
      <c r="L2077" s="15">
        <f>IF(ISNUMBER(A2077),TEXT(A2077,"dd-mmm-yy"),"")</f>
        <v/>
      </c>
    </row>
    <row r="2078">
      <c r="A2078" s="14">
        <f>IF(OR(AH!$U$4=0,2073+1&gt;AH!$U$6,AND(AH!$M$5="Bloomberg",AH!$U$5=0)),"",IFERROR(IF(AND(AH!$U$12=1,2073+1=AH!$U$6),TODAY(),IF(AH!$U$5=1,INDEX('Live History'!$A$5:$A$3004,AH!$U$7+2073),INDEX('AH History'!$A$5:$A$1380,AH!$U$7+2073))),""))</f>
        <v/>
      </c>
      <c r="B2078" s="33">
        <f>IFERROR(IF(AH!$U$11=1,NA(),$J2078/$E2078-1),NA())</f>
        <v/>
      </c>
      <c r="C2078" s="269">
        <f>IFERROR(100*$E2078/$E$5,NA())</f>
        <v/>
      </c>
      <c r="D2078" s="269">
        <f>IFERROR(100*$J2078/$J$5,NA())</f>
        <v/>
      </c>
      <c r="E2078" s="32">
        <f>IFERROR(IF(AND(ISNUMBER($A2078),N(IF(AND(AH!$U$12=1,2073+1=AH!$U$6),IF(AH!$U$4=0,"unavailable",INDEX('Market Data'!$AN$5:$AN$66,AH!$U$4)),IF(AH!$U$5=1,INDEX('Live History'!$B$5:$B$3004,$K2078),INDEX('AH History'!$D$5:$GG$1380,$K2078,AH!$U$10))))&gt;0),IF(AND(AH!$U$12=1,2073+1=AH!$U$6),IF(AH!$U$4=0,"unavailable",INDEX('Market Data'!$AN$5:$AN$66,AH!$U$4)),IF(AH!$U$5=1,INDEX('Live History'!$B$5:$B$3004,$K2078),INDEX('AH History'!$D$5:$GG$1380,$K2078,AH!$U$10))),NA()),NA())</f>
        <v/>
      </c>
      <c r="F2078" s="32">
        <f>IFERROR(IF(ISNUMBER($A2078),IF(AND(AH!$U$12=1,2073+1=AH!$U$6),IF(AH!$U$4=0,"unavailable",INDEX('Market Data'!$AO$5:$AO$66,AH!$U$4)),IF(AH!$U$5=1,INDEX('Live History'!$E$5:$E$3004,MATCH($A2078,'Live History'!$D$5:$D$3004,1)),INDEX('AH History'!$D$5:$GG$1380,$K2078,AH!$U$10+1))),NA()),NA())</f>
        <v/>
      </c>
      <c r="G2078" s="34">
        <f>IFERROR(IF(ISNUMBER($A2078),IF(AND(AH!$U$12=1,2073+1=AH!$U$6),IF(AH!$U$4=0,"unavailable",INDEX('Market Data'!$AK$5:$AK$66,AH!$U$4)),IF(AH!$U$5=1,INDEX('Live History'!$D$5:$D$3004,MATCH($A2078,'Live History'!$D$5:$D$3004,1)),INDEX('AH History'!$D$5:$GG$1380,$K2078,AH!$U$10+2))),NA()),NA())</f>
        <v/>
      </c>
      <c r="H2078" s="266">
        <f>IFERROR(IF(ISNUMBER($A2078),IF(AND(AH!$U$12=1,2073+1=AH!$U$6),IF(AH!$U$4=0,"unavailable",INDEX('Market Data'!$AP$5:$AP$66,AH!$U$4)),IF(AH!$U$5=1,INDEX('Live History'!$H$5:$H$3004,MATCH($A2078,'Live History'!$G$5:$G$3004,1)),INDEX('AH History'!$B$5:$B$1380,$K2078))),NA()),NA())</f>
        <v/>
      </c>
      <c r="I2078" s="34">
        <f>IFERROR(IF(ISNUMBER($A2078),IF(AND(AH!$U$12=1,2073+1=AH!$U$6),TODAY(),IF(AH!$U$5=1,INDEX('Live History'!$G$5:$G$3004,MATCH($A2078,'Live History'!$G$5:$G$3004,1)),INDEX('AH History'!$C$5:$C$1380,$K2078))),NA()),NA())</f>
        <v/>
      </c>
      <c r="J2078" s="32">
        <f>IFERROR(IF(AND($F2078&gt;0,$H2078&gt;0,$A2078-$G2078&lt;=10,$A2078-$I2078&lt;=5,$G2078&gt;0,$I2078&gt;0),$F2078*$H2078,NA()),NA())</f>
        <v/>
      </c>
      <c r="K2078" s="15">
        <f>IF($A2078="","",IF(AH!$U$5=1,IFERROR(MATCH($A2078,'Live History'!$A$5:$A$3004,0),0),AH!$U$7+2073))</f>
        <v/>
      </c>
      <c r="L2078" s="15">
        <f>IF(ISNUMBER(A2078),TEXT(A2078,"dd-mmm-yy"),"")</f>
        <v/>
      </c>
    </row>
    <row r="2079">
      <c r="A2079" s="14">
        <f>IF(OR(AH!$U$4=0,2074+1&gt;AH!$U$6,AND(AH!$M$5="Bloomberg",AH!$U$5=0)),"",IFERROR(IF(AND(AH!$U$12=1,2074+1=AH!$U$6),TODAY(),IF(AH!$U$5=1,INDEX('Live History'!$A$5:$A$3004,AH!$U$7+2074),INDEX('AH History'!$A$5:$A$1380,AH!$U$7+2074))),""))</f>
        <v/>
      </c>
      <c r="B2079" s="33">
        <f>IFERROR(IF(AH!$U$11=1,NA(),$J2079/$E2079-1),NA())</f>
        <v/>
      </c>
      <c r="C2079" s="269">
        <f>IFERROR(100*$E2079/$E$5,NA())</f>
        <v/>
      </c>
      <c r="D2079" s="269">
        <f>IFERROR(100*$J2079/$J$5,NA())</f>
        <v/>
      </c>
      <c r="E2079" s="32">
        <f>IFERROR(IF(AND(ISNUMBER($A2079),N(IF(AND(AH!$U$12=1,2074+1=AH!$U$6),IF(AH!$U$4=0,"unavailable",INDEX('Market Data'!$AN$5:$AN$66,AH!$U$4)),IF(AH!$U$5=1,INDEX('Live History'!$B$5:$B$3004,$K2079),INDEX('AH History'!$D$5:$GG$1380,$K2079,AH!$U$10))))&gt;0),IF(AND(AH!$U$12=1,2074+1=AH!$U$6),IF(AH!$U$4=0,"unavailable",INDEX('Market Data'!$AN$5:$AN$66,AH!$U$4)),IF(AH!$U$5=1,INDEX('Live History'!$B$5:$B$3004,$K2079),INDEX('AH History'!$D$5:$GG$1380,$K2079,AH!$U$10))),NA()),NA())</f>
        <v/>
      </c>
      <c r="F2079" s="32">
        <f>IFERROR(IF(ISNUMBER($A2079),IF(AND(AH!$U$12=1,2074+1=AH!$U$6),IF(AH!$U$4=0,"unavailable",INDEX('Market Data'!$AO$5:$AO$66,AH!$U$4)),IF(AH!$U$5=1,INDEX('Live History'!$E$5:$E$3004,MATCH($A2079,'Live History'!$D$5:$D$3004,1)),INDEX('AH History'!$D$5:$GG$1380,$K2079,AH!$U$10+1))),NA()),NA())</f>
        <v/>
      </c>
      <c r="G2079" s="34">
        <f>IFERROR(IF(ISNUMBER($A2079),IF(AND(AH!$U$12=1,2074+1=AH!$U$6),IF(AH!$U$4=0,"unavailable",INDEX('Market Data'!$AK$5:$AK$66,AH!$U$4)),IF(AH!$U$5=1,INDEX('Live History'!$D$5:$D$3004,MATCH($A2079,'Live History'!$D$5:$D$3004,1)),INDEX('AH History'!$D$5:$GG$1380,$K2079,AH!$U$10+2))),NA()),NA())</f>
        <v/>
      </c>
      <c r="H2079" s="266">
        <f>IFERROR(IF(ISNUMBER($A2079),IF(AND(AH!$U$12=1,2074+1=AH!$U$6),IF(AH!$U$4=0,"unavailable",INDEX('Market Data'!$AP$5:$AP$66,AH!$U$4)),IF(AH!$U$5=1,INDEX('Live History'!$H$5:$H$3004,MATCH($A2079,'Live History'!$G$5:$G$3004,1)),INDEX('AH History'!$B$5:$B$1380,$K2079))),NA()),NA())</f>
        <v/>
      </c>
      <c r="I2079" s="34">
        <f>IFERROR(IF(ISNUMBER($A2079),IF(AND(AH!$U$12=1,2074+1=AH!$U$6),TODAY(),IF(AH!$U$5=1,INDEX('Live History'!$G$5:$G$3004,MATCH($A2079,'Live History'!$G$5:$G$3004,1)),INDEX('AH History'!$C$5:$C$1380,$K2079))),NA()),NA())</f>
        <v/>
      </c>
      <c r="J2079" s="32">
        <f>IFERROR(IF(AND($F2079&gt;0,$H2079&gt;0,$A2079-$G2079&lt;=10,$A2079-$I2079&lt;=5,$G2079&gt;0,$I2079&gt;0),$F2079*$H2079,NA()),NA())</f>
        <v/>
      </c>
      <c r="K2079" s="15">
        <f>IF($A2079="","",IF(AH!$U$5=1,IFERROR(MATCH($A2079,'Live History'!$A$5:$A$3004,0),0),AH!$U$7+2074))</f>
        <v/>
      </c>
      <c r="L2079" s="15">
        <f>IF(ISNUMBER(A2079),TEXT(A2079,"dd-mmm-yy"),"")</f>
        <v/>
      </c>
    </row>
    <row r="2080">
      <c r="A2080" s="14">
        <f>IF(OR(AH!$U$4=0,2075+1&gt;AH!$U$6,AND(AH!$M$5="Bloomberg",AH!$U$5=0)),"",IFERROR(IF(AND(AH!$U$12=1,2075+1=AH!$U$6),TODAY(),IF(AH!$U$5=1,INDEX('Live History'!$A$5:$A$3004,AH!$U$7+2075),INDEX('AH History'!$A$5:$A$1380,AH!$U$7+2075))),""))</f>
        <v/>
      </c>
      <c r="B2080" s="33">
        <f>IFERROR(IF(AH!$U$11=1,NA(),$J2080/$E2080-1),NA())</f>
        <v/>
      </c>
      <c r="C2080" s="269">
        <f>IFERROR(100*$E2080/$E$5,NA())</f>
        <v/>
      </c>
      <c r="D2080" s="269">
        <f>IFERROR(100*$J2080/$J$5,NA())</f>
        <v/>
      </c>
      <c r="E2080" s="32">
        <f>IFERROR(IF(AND(ISNUMBER($A2080),N(IF(AND(AH!$U$12=1,2075+1=AH!$U$6),IF(AH!$U$4=0,"unavailable",INDEX('Market Data'!$AN$5:$AN$66,AH!$U$4)),IF(AH!$U$5=1,INDEX('Live History'!$B$5:$B$3004,$K2080),INDEX('AH History'!$D$5:$GG$1380,$K2080,AH!$U$10))))&gt;0),IF(AND(AH!$U$12=1,2075+1=AH!$U$6),IF(AH!$U$4=0,"unavailable",INDEX('Market Data'!$AN$5:$AN$66,AH!$U$4)),IF(AH!$U$5=1,INDEX('Live History'!$B$5:$B$3004,$K2080),INDEX('AH History'!$D$5:$GG$1380,$K2080,AH!$U$10))),NA()),NA())</f>
        <v/>
      </c>
      <c r="F2080" s="32">
        <f>IFERROR(IF(ISNUMBER($A2080),IF(AND(AH!$U$12=1,2075+1=AH!$U$6),IF(AH!$U$4=0,"unavailable",INDEX('Market Data'!$AO$5:$AO$66,AH!$U$4)),IF(AH!$U$5=1,INDEX('Live History'!$E$5:$E$3004,MATCH($A2080,'Live History'!$D$5:$D$3004,1)),INDEX('AH History'!$D$5:$GG$1380,$K2080,AH!$U$10+1))),NA()),NA())</f>
        <v/>
      </c>
      <c r="G2080" s="34">
        <f>IFERROR(IF(ISNUMBER($A2080),IF(AND(AH!$U$12=1,2075+1=AH!$U$6),IF(AH!$U$4=0,"unavailable",INDEX('Market Data'!$AK$5:$AK$66,AH!$U$4)),IF(AH!$U$5=1,INDEX('Live History'!$D$5:$D$3004,MATCH($A2080,'Live History'!$D$5:$D$3004,1)),INDEX('AH History'!$D$5:$GG$1380,$K2080,AH!$U$10+2))),NA()),NA())</f>
        <v/>
      </c>
      <c r="H2080" s="266">
        <f>IFERROR(IF(ISNUMBER($A2080),IF(AND(AH!$U$12=1,2075+1=AH!$U$6),IF(AH!$U$4=0,"unavailable",INDEX('Market Data'!$AP$5:$AP$66,AH!$U$4)),IF(AH!$U$5=1,INDEX('Live History'!$H$5:$H$3004,MATCH($A2080,'Live History'!$G$5:$G$3004,1)),INDEX('AH History'!$B$5:$B$1380,$K2080))),NA()),NA())</f>
        <v/>
      </c>
      <c r="I2080" s="34">
        <f>IFERROR(IF(ISNUMBER($A2080),IF(AND(AH!$U$12=1,2075+1=AH!$U$6),TODAY(),IF(AH!$U$5=1,INDEX('Live History'!$G$5:$G$3004,MATCH($A2080,'Live History'!$G$5:$G$3004,1)),INDEX('AH History'!$C$5:$C$1380,$K2080))),NA()),NA())</f>
        <v/>
      </c>
      <c r="J2080" s="32">
        <f>IFERROR(IF(AND($F2080&gt;0,$H2080&gt;0,$A2080-$G2080&lt;=10,$A2080-$I2080&lt;=5,$G2080&gt;0,$I2080&gt;0),$F2080*$H2080,NA()),NA())</f>
        <v/>
      </c>
      <c r="K2080" s="15">
        <f>IF($A2080="","",IF(AH!$U$5=1,IFERROR(MATCH($A2080,'Live History'!$A$5:$A$3004,0),0),AH!$U$7+2075))</f>
        <v/>
      </c>
      <c r="L2080" s="15">
        <f>IF(ISNUMBER(A2080),TEXT(A2080,"dd-mmm-yy"),"")</f>
        <v/>
      </c>
    </row>
    <row r="2081">
      <c r="A2081" s="14">
        <f>IF(OR(AH!$U$4=0,2076+1&gt;AH!$U$6,AND(AH!$M$5="Bloomberg",AH!$U$5=0)),"",IFERROR(IF(AND(AH!$U$12=1,2076+1=AH!$U$6),TODAY(),IF(AH!$U$5=1,INDEX('Live History'!$A$5:$A$3004,AH!$U$7+2076),INDEX('AH History'!$A$5:$A$1380,AH!$U$7+2076))),""))</f>
        <v/>
      </c>
      <c r="B2081" s="33">
        <f>IFERROR(IF(AH!$U$11=1,NA(),$J2081/$E2081-1),NA())</f>
        <v/>
      </c>
      <c r="C2081" s="269">
        <f>IFERROR(100*$E2081/$E$5,NA())</f>
        <v/>
      </c>
      <c r="D2081" s="269">
        <f>IFERROR(100*$J2081/$J$5,NA())</f>
        <v/>
      </c>
      <c r="E2081" s="32">
        <f>IFERROR(IF(AND(ISNUMBER($A2081),N(IF(AND(AH!$U$12=1,2076+1=AH!$U$6),IF(AH!$U$4=0,"unavailable",INDEX('Market Data'!$AN$5:$AN$66,AH!$U$4)),IF(AH!$U$5=1,INDEX('Live History'!$B$5:$B$3004,$K2081),INDEX('AH History'!$D$5:$GG$1380,$K2081,AH!$U$10))))&gt;0),IF(AND(AH!$U$12=1,2076+1=AH!$U$6),IF(AH!$U$4=0,"unavailable",INDEX('Market Data'!$AN$5:$AN$66,AH!$U$4)),IF(AH!$U$5=1,INDEX('Live History'!$B$5:$B$3004,$K2081),INDEX('AH History'!$D$5:$GG$1380,$K2081,AH!$U$10))),NA()),NA())</f>
        <v/>
      </c>
      <c r="F2081" s="32">
        <f>IFERROR(IF(ISNUMBER($A2081),IF(AND(AH!$U$12=1,2076+1=AH!$U$6),IF(AH!$U$4=0,"unavailable",INDEX('Market Data'!$AO$5:$AO$66,AH!$U$4)),IF(AH!$U$5=1,INDEX('Live History'!$E$5:$E$3004,MATCH($A2081,'Live History'!$D$5:$D$3004,1)),INDEX('AH History'!$D$5:$GG$1380,$K2081,AH!$U$10+1))),NA()),NA())</f>
        <v/>
      </c>
      <c r="G2081" s="34">
        <f>IFERROR(IF(ISNUMBER($A2081),IF(AND(AH!$U$12=1,2076+1=AH!$U$6),IF(AH!$U$4=0,"unavailable",INDEX('Market Data'!$AK$5:$AK$66,AH!$U$4)),IF(AH!$U$5=1,INDEX('Live History'!$D$5:$D$3004,MATCH($A2081,'Live History'!$D$5:$D$3004,1)),INDEX('AH History'!$D$5:$GG$1380,$K2081,AH!$U$10+2))),NA()),NA())</f>
        <v/>
      </c>
      <c r="H2081" s="266">
        <f>IFERROR(IF(ISNUMBER($A2081),IF(AND(AH!$U$12=1,2076+1=AH!$U$6),IF(AH!$U$4=0,"unavailable",INDEX('Market Data'!$AP$5:$AP$66,AH!$U$4)),IF(AH!$U$5=1,INDEX('Live History'!$H$5:$H$3004,MATCH($A2081,'Live History'!$G$5:$G$3004,1)),INDEX('AH History'!$B$5:$B$1380,$K2081))),NA()),NA())</f>
        <v/>
      </c>
      <c r="I2081" s="34">
        <f>IFERROR(IF(ISNUMBER($A2081),IF(AND(AH!$U$12=1,2076+1=AH!$U$6),TODAY(),IF(AH!$U$5=1,INDEX('Live History'!$G$5:$G$3004,MATCH($A2081,'Live History'!$G$5:$G$3004,1)),INDEX('AH History'!$C$5:$C$1380,$K2081))),NA()),NA())</f>
        <v/>
      </c>
      <c r="J2081" s="32">
        <f>IFERROR(IF(AND($F2081&gt;0,$H2081&gt;0,$A2081-$G2081&lt;=10,$A2081-$I2081&lt;=5,$G2081&gt;0,$I2081&gt;0),$F2081*$H2081,NA()),NA())</f>
        <v/>
      </c>
      <c r="K2081" s="15">
        <f>IF($A2081="","",IF(AH!$U$5=1,IFERROR(MATCH($A2081,'Live History'!$A$5:$A$3004,0),0),AH!$U$7+2076))</f>
        <v/>
      </c>
      <c r="L2081" s="15">
        <f>IF(ISNUMBER(A2081),TEXT(A2081,"dd-mmm-yy"),"")</f>
        <v/>
      </c>
    </row>
    <row r="2082">
      <c r="A2082" s="14">
        <f>IF(OR(AH!$U$4=0,2077+1&gt;AH!$U$6,AND(AH!$M$5="Bloomberg",AH!$U$5=0)),"",IFERROR(IF(AND(AH!$U$12=1,2077+1=AH!$U$6),TODAY(),IF(AH!$U$5=1,INDEX('Live History'!$A$5:$A$3004,AH!$U$7+2077),INDEX('AH History'!$A$5:$A$1380,AH!$U$7+2077))),""))</f>
        <v/>
      </c>
      <c r="B2082" s="33">
        <f>IFERROR(IF(AH!$U$11=1,NA(),$J2082/$E2082-1),NA())</f>
        <v/>
      </c>
      <c r="C2082" s="269">
        <f>IFERROR(100*$E2082/$E$5,NA())</f>
        <v/>
      </c>
      <c r="D2082" s="269">
        <f>IFERROR(100*$J2082/$J$5,NA())</f>
        <v/>
      </c>
      <c r="E2082" s="32">
        <f>IFERROR(IF(AND(ISNUMBER($A2082),N(IF(AND(AH!$U$12=1,2077+1=AH!$U$6),IF(AH!$U$4=0,"unavailable",INDEX('Market Data'!$AN$5:$AN$66,AH!$U$4)),IF(AH!$U$5=1,INDEX('Live History'!$B$5:$B$3004,$K2082),INDEX('AH History'!$D$5:$GG$1380,$K2082,AH!$U$10))))&gt;0),IF(AND(AH!$U$12=1,2077+1=AH!$U$6),IF(AH!$U$4=0,"unavailable",INDEX('Market Data'!$AN$5:$AN$66,AH!$U$4)),IF(AH!$U$5=1,INDEX('Live History'!$B$5:$B$3004,$K2082),INDEX('AH History'!$D$5:$GG$1380,$K2082,AH!$U$10))),NA()),NA())</f>
        <v/>
      </c>
      <c r="F2082" s="32">
        <f>IFERROR(IF(ISNUMBER($A2082),IF(AND(AH!$U$12=1,2077+1=AH!$U$6),IF(AH!$U$4=0,"unavailable",INDEX('Market Data'!$AO$5:$AO$66,AH!$U$4)),IF(AH!$U$5=1,INDEX('Live History'!$E$5:$E$3004,MATCH($A2082,'Live History'!$D$5:$D$3004,1)),INDEX('AH History'!$D$5:$GG$1380,$K2082,AH!$U$10+1))),NA()),NA())</f>
        <v/>
      </c>
      <c r="G2082" s="34">
        <f>IFERROR(IF(ISNUMBER($A2082),IF(AND(AH!$U$12=1,2077+1=AH!$U$6),IF(AH!$U$4=0,"unavailable",INDEX('Market Data'!$AK$5:$AK$66,AH!$U$4)),IF(AH!$U$5=1,INDEX('Live History'!$D$5:$D$3004,MATCH($A2082,'Live History'!$D$5:$D$3004,1)),INDEX('AH History'!$D$5:$GG$1380,$K2082,AH!$U$10+2))),NA()),NA())</f>
        <v/>
      </c>
      <c r="H2082" s="266">
        <f>IFERROR(IF(ISNUMBER($A2082),IF(AND(AH!$U$12=1,2077+1=AH!$U$6),IF(AH!$U$4=0,"unavailable",INDEX('Market Data'!$AP$5:$AP$66,AH!$U$4)),IF(AH!$U$5=1,INDEX('Live History'!$H$5:$H$3004,MATCH($A2082,'Live History'!$G$5:$G$3004,1)),INDEX('AH History'!$B$5:$B$1380,$K2082))),NA()),NA())</f>
        <v/>
      </c>
      <c r="I2082" s="34">
        <f>IFERROR(IF(ISNUMBER($A2082),IF(AND(AH!$U$12=1,2077+1=AH!$U$6),TODAY(),IF(AH!$U$5=1,INDEX('Live History'!$G$5:$G$3004,MATCH($A2082,'Live History'!$G$5:$G$3004,1)),INDEX('AH History'!$C$5:$C$1380,$K2082))),NA()),NA())</f>
        <v/>
      </c>
      <c r="J2082" s="32">
        <f>IFERROR(IF(AND($F2082&gt;0,$H2082&gt;0,$A2082-$G2082&lt;=10,$A2082-$I2082&lt;=5,$G2082&gt;0,$I2082&gt;0),$F2082*$H2082,NA()),NA())</f>
        <v/>
      </c>
      <c r="K2082" s="15">
        <f>IF($A2082="","",IF(AH!$U$5=1,IFERROR(MATCH($A2082,'Live History'!$A$5:$A$3004,0),0),AH!$U$7+2077))</f>
        <v/>
      </c>
      <c r="L2082" s="15">
        <f>IF(ISNUMBER(A2082),TEXT(A2082,"dd-mmm-yy"),"")</f>
        <v/>
      </c>
    </row>
    <row r="2083">
      <c r="A2083" s="14">
        <f>IF(OR(AH!$U$4=0,2078+1&gt;AH!$U$6,AND(AH!$M$5="Bloomberg",AH!$U$5=0)),"",IFERROR(IF(AND(AH!$U$12=1,2078+1=AH!$U$6),TODAY(),IF(AH!$U$5=1,INDEX('Live History'!$A$5:$A$3004,AH!$U$7+2078),INDEX('AH History'!$A$5:$A$1380,AH!$U$7+2078))),""))</f>
        <v/>
      </c>
      <c r="B2083" s="33">
        <f>IFERROR(IF(AH!$U$11=1,NA(),$J2083/$E2083-1),NA())</f>
        <v/>
      </c>
      <c r="C2083" s="269">
        <f>IFERROR(100*$E2083/$E$5,NA())</f>
        <v/>
      </c>
      <c r="D2083" s="269">
        <f>IFERROR(100*$J2083/$J$5,NA())</f>
        <v/>
      </c>
      <c r="E2083" s="32">
        <f>IFERROR(IF(AND(ISNUMBER($A2083),N(IF(AND(AH!$U$12=1,2078+1=AH!$U$6),IF(AH!$U$4=0,"unavailable",INDEX('Market Data'!$AN$5:$AN$66,AH!$U$4)),IF(AH!$U$5=1,INDEX('Live History'!$B$5:$B$3004,$K2083),INDEX('AH History'!$D$5:$GG$1380,$K2083,AH!$U$10))))&gt;0),IF(AND(AH!$U$12=1,2078+1=AH!$U$6),IF(AH!$U$4=0,"unavailable",INDEX('Market Data'!$AN$5:$AN$66,AH!$U$4)),IF(AH!$U$5=1,INDEX('Live History'!$B$5:$B$3004,$K2083),INDEX('AH History'!$D$5:$GG$1380,$K2083,AH!$U$10))),NA()),NA())</f>
        <v/>
      </c>
      <c r="F2083" s="32">
        <f>IFERROR(IF(ISNUMBER($A2083),IF(AND(AH!$U$12=1,2078+1=AH!$U$6),IF(AH!$U$4=0,"unavailable",INDEX('Market Data'!$AO$5:$AO$66,AH!$U$4)),IF(AH!$U$5=1,INDEX('Live History'!$E$5:$E$3004,MATCH($A2083,'Live History'!$D$5:$D$3004,1)),INDEX('AH History'!$D$5:$GG$1380,$K2083,AH!$U$10+1))),NA()),NA())</f>
        <v/>
      </c>
      <c r="G2083" s="34">
        <f>IFERROR(IF(ISNUMBER($A2083),IF(AND(AH!$U$12=1,2078+1=AH!$U$6),IF(AH!$U$4=0,"unavailable",INDEX('Market Data'!$AK$5:$AK$66,AH!$U$4)),IF(AH!$U$5=1,INDEX('Live History'!$D$5:$D$3004,MATCH($A2083,'Live History'!$D$5:$D$3004,1)),INDEX('AH History'!$D$5:$GG$1380,$K2083,AH!$U$10+2))),NA()),NA())</f>
        <v/>
      </c>
      <c r="H2083" s="266">
        <f>IFERROR(IF(ISNUMBER($A2083),IF(AND(AH!$U$12=1,2078+1=AH!$U$6),IF(AH!$U$4=0,"unavailable",INDEX('Market Data'!$AP$5:$AP$66,AH!$U$4)),IF(AH!$U$5=1,INDEX('Live History'!$H$5:$H$3004,MATCH($A2083,'Live History'!$G$5:$G$3004,1)),INDEX('AH History'!$B$5:$B$1380,$K2083))),NA()),NA())</f>
        <v/>
      </c>
      <c r="I2083" s="34">
        <f>IFERROR(IF(ISNUMBER($A2083),IF(AND(AH!$U$12=1,2078+1=AH!$U$6),TODAY(),IF(AH!$U$5=1,INDEX('Live History'!$G$5:$G$3004,MATCH($A2083,'Live History'!$G$5:$G$3004,1)),INDEX('AH History'!$C$5:$C$1380,$K2083))),NA()),NA())</f>
        <v/>
      </c>
      <c r="J2083" s="32">
        <f>IFERROR(IF(AND($F2083&gt;0,$H2083&gt;0,$A2083-$G2083&lt;=10,$A2083-$I2083&lt;=5,$G2083&gt;0,$I2083&gt;0),$F2083*$H2083,NA()),NA())</f>
        <v/>
      </c>
      <c r="K2083" s="15">
        <f>IF($A2083="","",IF(AH!$U$5=1,IFERROR(MATCH($A2083,'Live History'!$A$5:$A$3004,0),0),AH!$U$7+2078))</f>
        <v/>
      </c>
      <c r="L2083" s="15">
        <f>IF(ISNUMBER(A2083),TEXT(A2083,"dd-mmm-yy"),"")</f>
        <v/>
      </c>
    </row>
    <row r="2084">
      <c r="A2084" s="14">
        <f>IF(OR(AH!$U$4=0,2079+1&gt;AH!$U$6,AND(AH!$M$5="Bloomberg",AH!$U$5=0)),"",IFERROR(IF(AND(AH!$U$12=1,2079+1=AH!$U$6),TODAY(),IF(AH!$U$5=1,INDEX('Live History'!$A$5:$A$3004,AH!$U$7+2079),INDEX('AH History'!$A$5:$A$1380,AH!$U$7+2079))),""))</f>
        <v/>
      </c>
      <c r="B2084" s="33">
        <f>IFERROR(IF(AH!$U$11=1,NA(),$J2084/$E2084-1),NA())</f>
        <v/>
      </c>
      <c r="C2084" s="269">
        <f>IFERROR(100*$E2084/$E$5,NA())</f>
        <v/>
      </c>
      <c r="D2084" s="269">
        <f>IFERROR(100*$J2084/$J$5,NA())</f>
        <v/>
      </c>
      <c r="E2084" s="32">
        <f>IFERROR(IF(AND(ISNUMBER($A2084),N(IF(AND(AH!$U$12=1,2079+1=AH!$U$6),IF(AH!$U$4=0,"unavailable",INDEX('Market Data'!$AN$5:$AN$66,AH!$U$4)),IF(AH!$U$5=1,INDEX('Live History'!$B$5:$B$3004,$K2084),INDEX('AH History'!$D$5:$GG$1380,$K2084,AH!$U$10))))&gt;0),IF(AND(AH!$U$12=1,2079+1=AH!$U$6),IF(AH!$U$4=0,"unavailable",INDEX('Market Data'!$AN$5:$AN$66,AH!$U$4)),IF(AH!$U$5=1,INDEX('Live History'!$B$5:$B$3004,$K2084),INDEX('AH History'!$D$5:$GG$1380,$K2084,AH!$U$10))),NA()),NA())</f>
        <v/>
      </c>
      <c r="F2084" s="32">
        <f>IFERROR(IF(ISNUMBER($A2084),IF(AND(AH!$U$12=1,2079+1=AH!$U$6),IF(AH!$U$4=0,"unavailable",INDEX('Market Data'!$AO$5:$AO$66,AH!$U$4)),IF(AH!$U$5=1,INDEX('Live History'!$E$5:$E$3004,MATCH($A2084,'Live History'!$D$5:$D$3004,1)),INDEX('AH History'!$D$5:$GG$1380,$K2084,AH!$U$10+1))),NA()),NA())</f>
        <v/>
      </c>
      <c r="G2084" s="34">
        <f>IFERROR(IF(ISNUMBER($A2084),IF(AND(AH!$U$12=1,2079+1=AH!$U$6),IF(AH!$U$4=0,"unavailable",INDEX('Market Data'!$AK$5:$AK$66,AH!$U$4)),IF(AH!$U$5=1,INDEX('Live History'!$D$5:$D$3004,MATCH($A2084,'Live History'!$D$5:$D$3004,1)),INDEX('AH History'!$D$5:$GG$1380,$K2084,AH!$U$10+2))),NA()),NA())</f>
        <v/>
      </c>
      <c r="H2084" s="266">
        <f>IFERROR(IF(ISNUMBER($A2084),IF(AND(AH!$U$12=1,2079+1=AH!$U$6),IF(AH!$U$4=0,"unavailable",INDEX('Market Data'!$AP$5:$AP$66,AH!$U$4)),IF(AH!$U$5=1,INDEX('Live History'!$H$5:$H$3004,MATCH($A2084,'Live History'!$G$5:$G$3004,1)),INDEX('AH History'!$B$5:$B$1380,$K2084))),NA()),NA())</f>
        <v/>
      </c>
      <c r="I2084" s="34">
        <f>IFERROR(IF(ISNUMBER($A2084),IF(AND(AH!$U$12=1,2079+1=AH!$U$6),TODAY(),IF(AH!$U$5=1,INDEX('Live History'!$G$5:$G$3004,MATCH($A2084,'Live History'!$G$5:$G$3004,1)),INDEX('AH History'!$C$5:$C$1380,$K2084))),NA()),NA())</f>
        <v/>
      </c>
      <c r="J2084" s="32">
        <f>IFERROR(IF(AND($F2084&gt;0,$H2084&gt;0,$A2084-$G2084&lt;=10,$A2084-$I2084&lt;=5,$G2084&gt;0,$I2084&gt;0),$F2084*$H2084,NA()),NA())</f>
        <v/>
      </c>
      <c r="K2084" s="15">
        <f>IF($A2084="","",IF(AH!$U$5=1,IFERROR(MATCH($A2084,'Live History'!$A$5:$A$3004,0),0),AH!$U$7+2079))</f>
        <v/>
      </c>
      <c r="L2084" s="15">
        <f>IF(ISNUMBER(A2084),TEXT(A2084,"dd-mmm-yy"),"")</f>
        <v/>
      </c>
    </row>
    <row r="2085">
      <c r="A2085" s="14">
        <f>IF(OR(AH!$U$4=0,2080+1&gt;AH!$U$6,AND(AH!$M$5="Bloomberg",AH!$U$5=0)),"",IFERROR(IF(AND(AH!$U$12=1,2080+1=AH!$U$6),TODAY(),IF(AH!$U$5=1,INDEX('Live History'!$A$5:$A$3004,AH!$U$7+2080),INDEX('AH History'!$A$5:$A$1380,AH!$U$7+2080))),""))</f>
        <v/>
      </c>
      <c r="B2085" s="33">
        <f>IFERROR(IF(AH!$U$11=1,NA(),$J2085/$E2085-1),NA())</f>
        <v/>
      </c>
      <c r="C2085" s="269">
        <f>IFERROR(100*$E2085/$E$5,NA())</f>
        <v/>
      </c>
      <c r="D2085" s="269">
        <f>IFERROR(100*$J2085/$J$5,NA())</f>
        <v/>
      </c>
      <c r="E2085" s="32">
        <f>IFERROR(IF(AND(ISNUMBER($A2085),N(IF(AND(AH!$U$12=1,2080+1=AH!$U$6),IF(AH!$U$4=0,"unavailable",INDEX('Market Data'!$AN$5:$AN$66,AH!$U$4)),IF(AH!$U$5=1,INDEX('Live History'!$B$5:$B$3004,$K2085),INDEX('AH History'!$D$5:$GG$1380,$K2085,AH!$U$10))))&gt;0),IF(AND(AH!$U$12=1,2080+1=AH!$U$6),IF(AH!$U$4=0,"unavailable",INDEX('Market Data'!$AN$5:$AN$66,AH!$U$4)),IF(AH!$U$5=1,INDEX('Live History'!$B$5:$B$3004,$K2085),INDEX('AH History'!$D$5:$GG$1380,$K2085,AH!$U$10))),NA()),NA())</f>
        <v/>
      </c>
      <c r="F2085" s="32">
        <f>IFERROR(IF(ISNUMBER($A2085),IF(AND(AH!$U$12=1,2080+1=AH!$U$6),IF(AH!$U$4=0,"unavailable",INDEX('Market Data'!$AO$5:$AO$66,AH!$U$4)),IF(AH!$U$5=1,INDEX('Live History'!$E$5:$E$3004,MATCH($A2085,'Live History'!$D$5:$D$3004,1)),INDEX('AH History'!$D$5:$GG$1380,$K2085,AH!$U$10+1))),NA()),NA())</f>
        <v/>
      </c>
      <c r="G2085" s="34">
        <f>IFERROR(IF(ISNUMBER($A2085),IF(AND(AH!$U$12=1,2080+1=AH!$U$6),IF(AH!$U$4=0,"unavailable",INDEX('Market Data'!$AK$5:$AK$66,AH!$U$4)),IF(AH!$U$5=1,INDEX('Live History'!$D$5:$D$3004,MATCH($A2085,'Live History'!$D$5:$D$3004,1)),INDEX('AH History'!$D$5:$GG$1380,$K2085,AH!$U$10+2))),NA()),NA())</f>
        <v/>
      </c>
      <c r="H2085" s="266">
        <f>IFERROR(IF(ISNUMBER($A2085),IF(AND(AH!$U$12=1,2080+1=AH!$U$6),IF(AH!$U$4=0,"unavailable",INDEX('Market Data'!$AP$5:$AP$66,AH!$U$4)),IF(AH!$U$5=1,INDEX('Live History'!$H$5:$H$3004,MATCH($A2085,'Live History'!$G$5:$G$3004,1)),INDEX('AH History'!$B$5:$B$1380,$K2085))),NA()),NA())</f>
        <v/>
      </c>
      <c r="I2085" s="34">
        <f>IFERROR(IF(ISNUMBER($A2085),IF(AND(AH!$U$12=1,2080+1=AH!$U$6),TODAY(),IF(AH!$U$5=1,INDEX('Live History'!$G$5:$G$3004,MATCH($A2085,'Live History'!$G$5:$G$3004,1)),INDEX('AH History'!$C$5:$C$1380,$K2085))),NA()),NA())</f>
        <v/>
      </c>
      <c r="J2085" s="32">
        <f>IFERROR(IF(AND($F2085&gt;0,$H2085&gt;0,$A2085-$G2085&lt;=10,$A2085-$I2085&lt;=5,$G2085&gt;0,$I2085&gt;0),$F2085*$H2085,NA()),NA())</f>
        <v/>
      </c>
      <c r="K2085" s="15">
        <f>IF($A2085="","",IF(AH!$U$5=1,IFERROR(MATCH($A2085,'Live History'!$A$5:$A$3004,0),0),AH!$U$7+2080))</f>
        <v/>
      </c>
      <c r="L2085" s="15">
        <f>IF(ISNUMBER(A2085),TEXT(A2085,"dd-mmm-yy"),"")</f>
        <v/>
      </c>
    </row>
    <row r="2086">
      <c r="A2086" s="14">
        <f>IF(OR(AH!$U$4=0,2081+1&gt;AH!$U$6,AND(AH!$M$5="Bloomberg",AH!$U$5=0)),"",IFERROR(IF(AND(AH!$U$12=1,2081+1=AH!$U$6),TODAY(),IF(AH!$U$5=1,INDEX('Live History'!$A$5:$A$3004,AH!$U$7+2081),INDEX('AH History'!$A$5:$A$1380,AH!$U$7+2081))),""))</f>
        <v/>
      </c>
      <c r="B2086" s="33">
        <f>IFERROR(IF(AH!$U$11=1,NA(),$J2086/$E2086-1),NA())</f>
        <v/>
      </c>
      <c r="C2086" s="269">
        <f>IFERROR(100*$E2086/$E$5,NA())</f>
        <v/>
      </c>
      <c r="D2086" s="269">
        <f>IFERROR(100*$J2086/$J$5,NA())</f>
        <v/>
      </c>
      <c r="E2086" s="32">
        <f>IFERROR(IF(AND(ISNUMBER($A2086),N(IF(AND(AH!$U$12=1,2081+1=AH!$U$6),IF(AH!$U$4=0,"unavailable",INDEX('Market Data'!$AN$5:$AN$66,AH!$U$4)),IF(AH!$U$5=1,INDEX('Live History'!$B$5:$B$3004,$K2086),INDEX('AH History'!$D$5:$GG$1380,$K2086,AH!$U$10))))&gt;0),IF(AND(AH!$U$12=1,2081+1=AH!$U$6),IF(AH!$U$4=0,"unavailable",INDEX('Market Data'!$AN$5:$AN$66,AH!$U$4)),IF(AH!$U$5=1,INDEX('Live History'!$B$5:$B$3004,$K2086),INDEX('AH History'!$D$5:$GG$1380,$K2086,AH!$U$10))),NA()),NA())</f>
        <v/>
      </c>
      <c r="F2086" s="32">
        <f>IFERROR(IF(ISNUMBER($A2086),IF(AND(AH!$U$12=1,2081+1=AH!$U$6),IF(AH!$U$4=0,"unavailable",INDEX('Market Data'!$AO$5:$AO$66,AH!$U$4)),IF(AH!$U$5=1,INDEX('Live History'!$E$5:$E$3004,MATCH($A2086,'Live History'!$D$5:$D$3004,1)),INDEX('AH History'!$D$5:$GG$1380,$K2086,AH!$U$10+1))),NA()),NA())</f>
        <v/>
      </c>
      <c r="G2086" s="34">
        <f>IFERROR(IF(ISNUMBER($A2086),IF(AND(AH!$U$12=1,2081+1=AH!$U$6),IF(AH!$U$4=0,"unavailable",INDEX('Market Data'!$AK$5:$AK$66,AH!$U$4)),IF(AH!$U$5=1,INDEX('Live History'!$D$5:$D$3004,MATCH($A2086,'Live History'!$D$5:$D$3004,1)),INDEX('AH History'!$D$5:$GG$1380,$K2086,AH!$U$10+2))),NA()),NA())</f>
        <v/>
      </c>
      <c r="H2086" s="266">
        <f>IFERROR(IF(ISNUMBER($A2086),IF(AND(AH!$U$12=1,2081+1=AH!$U$6),IF(AH!$U$4=0,"unavailable",INDEX('Market Data'!$AP$5:$AP$66,AH!$U$4)),IF(AH!$U$5=1,INDEX('Live History'!$H$5:$H$3004,MATCH($A2086,'Live History'!$G$5:$G$3004,1)),INDEX('AH History'!$B$5:$B$1380,$K2086))),NA()),NA())</f>
        <v/>
      </c>
      <c r="I2086" s="34">
        <f>IFERROR(IF(ISNUMBER($A2086),IF(AND(AH!$U$12=1,2081+1=AH!$U$6),TODAY(),IF(AH!$U$5=1,INDEX('Live History'!$G$5:$G$3004,MATCH($A2086,'Live History'!$G$5:$G$3004,1)),INDEX('AH History'!$C$5:$C$1380,$K2086))),NA()),NA())</f>
        <v/>
      </c>
      <c r="J2086" s="32">
        <f>IFERROR(IF(AND($F2086&gt;0,$H2086&gt;0,$A2086-$G2086&lt;=10,$A2086-$I2086&lt;=5,$G2086&gt;0,$I2086&gt;0),$F2086*$H2086,NA()),NA())</f>
        <v/>
      </c>
      <c r="K2086" s="15">
        <f>IF($A2086="","",IF(AH!$U$5=1,IFERROR(MATCH($A2086,'Live History'!$A$5:$A$3004,0),0),AH!$U$7+2081))</f>
        <v/>
      </c>
      <c r="L2086" s="15">
        <f>IF(ISNUMBER(A2086),TEXT(A2086,"dd-mmm-yy"),"")</f>
        <v/>
      </c>
    </row>
    <row r="2087">
      <c r="A2087" s="14">
        <f>IF(OR(AH!$U$4=0,2082+1&gt;AH!$U$6,AND(AH!$M$5="Bloomberg",AH!$U$5=0)),"",IFERROR(IF(AND(AH!$U$12=1,2082+1=AH!$U$6),TODAY(),IF(AH!$U$5=1,INDEX('Live History'!$A$5:$A$3004,AH!$U$7+2082),INDEX('AH History'!$A$5:$A$1380,AH!$U$7+2082))),""))</f>
        <v/>
      </c>
      <c r="B2087" s="33">
        <f>IFERROR(IF(AH!$U$11=1,NA(),$J2087/$E2087-1),NA())</f>
        <v/>
      </c>
      <c r="C2087" s="269">
        <f>IFERROR(100*$E2087/$E$5,NA())</f>
        <v/>
      </c>
      <c r="D2087" s="269">
        <f>IFERROR(100*$J2087/$J$5,NA())</f>
        <v/>
      </c>
      <c r="E2087" s="32">
        <f>IFERROR(IF(AND(ISNUMBER($A2087),N(IF(AND(AH!$U$12=1,2082+1=AH!$U$6),IF(AH!$U$4=0,"unavailable",INDEX('Market Data'!$AN$5:$AN$66,AH!$U$4)),IF(AH!$U$5=1,INDEX('Live History'!$B$5:$B$3004,$K2087),INDEX('AH History'!$D$5:$GG$1380,$K2087,AH!$U$10))))&gt;0),IF(AND(AH!$U$12=1,2082+1=AH!$U$6),IF(AH!$U$4=0,"unavailable",INDEX('Market Data'!$AN$5:$AN$66,AH!$U$4)),IF(AH!$U$5=1,INDEX('Live History'!$B$5:$B$3004,$K2087),INDEX('AH History'!$D$5:$GG$1380,$K2087,AH!$U$10))),NA()),NA())</f>
        <v/>
      </c>
      <c r="F2087" s="32">
        <f>IFERROR(IF(ISNUMBER($A2087),IF(AND(AH!$U$12=1,2082+1=AH!$U$6),IF(AH!$U$4=0,"unavailable",INDEX('Market Data'!$AO$5:$AO$66,AH!$U$4)),IF(AH!$U$5=1,INDEX('Live History'!$E$5:$E$3004,MATCH($A2087,'Live History'!$D$5:$D$3004,1)),INDEX('AH History'!$D$5:$GG$1380,$K2087,AH!$U$10+1))),NA()),NA())</f>
        <v/>
      </c>
      <c r="G2087" s="34">
        <f>IFERROR(IF(ISNUMBER($A2087),IF(AND(AH!$U$12=1,2082+1=AH!$U$6),IF(AH!$U$4=0,"unavailable",INDEX('Market Data'!$AK$5:$AK$66,AH!$U$4)),IF(AH!$U$5=1,INDEX('Live History'!$D$5:$D$3004,MATCH($A2087,'Live History'!$D$5:$D$3004,1)),INDEX('AH History'!$D$5:$GG$1380,$K2087,AH!$U$10+2))),NA()),NA())</f>
        <v/>
      </c>
      <c r="H2087" s="266">
        <f>IFERROR(IF(ISNUMBER($A2087),IF(AND(AH!$U$12=1,2082+1=AH!$U$6),IF(AH!$U$4=0,"unavailable",INDEX('Market Data'!$AP$5:$AP$66,AH!$U$4)),IF(AH!$U$5=1,INDEX('Live History'!$H$5:$H$3004,MATCH($A2087,'Live History'!$G$5:$G$3004,1)),INDEX('AH History'!$B$5:$B$1380,$K2087))),NA()),NA())</f>
        <v/>
      </c>
      <c r="I2087" s="34">
        <f>IFERROR(IF(ISNUMBER($A2087),IF(AND(AH!$U$12=1,2082+1=AH!$U$6),TODAY(),IF(AH!$U$5=1,INDEX('Live History'!$G$5:$G$3004,MATCH($A2087,'Live History'!$G$5:$G$3004,1)),INDEX('AH History'!$C$5:$C$1380,$K2087))),NA()),NA())</f>
        <v/>
      </c>
      <c r="J2087" s="32">
        <f>IFERROR(IF(AND($F2087&gt;0,$H2087&gt;0,$A2087-$G2087&lt;=10,$A2087-$I2087&lt;=5,$G2087&gt;0,$I2087&gt;0),$F2087*$H2087,NA()),NA())</f>
        <v/>
      </c>
      <c r="K2087" s="15">
        <f>IF($A2087="","",IF(AH!$U$5=1,IFERROR(MATCH($A2087,'Live History'!$A$5:$A$3004,0),0),AH!$U$7+2082))</f>
        <v/>
      </c>
      <c r="L2087" s="15">
        <f>IF(ISNUMBER(A2087),TEXT(A2087,"dd-mmm-yy"),"")</f>
        <v/>
      </c>
    </row>
    <row r="2088">
      <c r="A2088" s="14">
        <f>IF(OR(AH!$U$4=0,2083+1&gt;AH!$U$6,AND(AH!$M$5="Bloomberg",AH!$U$5=0)),"",IFERROR(IF(AND(AH!$U$12=1,2083+1=AH!$U$6),TODAY(),IF(AH!$U$5=1,INDEX('Live History'!$A$5:$A$3004,AH!$U$7+2083),INDEX('AH History'!$A$5:$A$1380,AH!$U$7+2083))),""))</f>
        <v/>
      </c>
      <c r="B2088" s="33">
        <f>IFERROR(IF(AH!$U$11=1,NA(),$J2088/$E2088-1),NA())</f>
        <v/>
      </c>
      <c r="C2088" s="269">
        <f>IFERROR(100*$E2088/$E$5,NA())</f>
        <v/>
      </c>
      <c r="D2088" s="269">
        <f>IFERROR(100*$J2088/$J$5,NA())</f>
        <v/>
      </c>
      <c r="E2088" s="32">
        <f>IFERROR(IF(AND(ISNUMBER($A2088),N(IF(AND(AH!$U$12=1,2083+1=AH!$U$6),IF(AH!$U$4=0,"unavailable",INDEX('Market Data'!$AN$5:$AN$66,AH!$U$4)),IF(AH!$U$5=1,INDEX('Live History'!$B$5:$B$3004,$K2088),INDEX('AH History'!$D$5:$GG$1380,$K2088,AH!$U$10))))&gt;0),IF(AND(AH!$U$12=1,2083+1=AH!$U$6),IF(AH!$U$4=0,"unavailable",INDEX('Market Data'!$AN$5:$AN$66,AH!$U$4)),IF(AH!$U$5=1,INDEX('Live History'!$B$5:$B$3004,$K2088),INDEX('AH History'!$D$5:$GG$1380,$K2088,AH!$U$10))),NA()),NA())</f>
        <v/>
      </c>
      <c r="F2088" s="32">
        <f>IFERROR(IF(ISNUMBER($A2088),IF(AND(AH!$U$12=1,2083+1=AH!$U$6),IF(AH!$U$4=0,"unavailable",INDEX('Market Data'!$AO$5:$AO$66,AH!$U$4)),IF(AH!$U$5=1,INDEX('Live History'!$E$5:$E$3004,MATCH($A2088,'Live History'!$D$5:$D$3004,1)),INDEX('AH History'!$D$5:$GG$1380,$K2088,AH!$U$10+1))),NA()),NA())</f>
        <v/>
      </c>
      <c r="G2088" s="34">
        <f>IFERROR(IF(ISNUMBER($A2088),IF(AND(AH!$U$12=1,2083+1=AH!$U$6),IF(AH!$U$4=0,"unavailable",INDEX('Market Data'!$AK$5:$AK$66,AH!$U$4)),IF(AH!$U$5=1,INDEX('Live History'!$D$5:$D$3004,MATCH($A2088,'Live History'!$D$5:$D$3004,1)),INDEX('AH History'!$D$5:$GG$1380,$K2088,AH!$U$10+2))),NA()),NA())</f>
        <v/>
      </c>
      <c r="H2088" s="266">
        <f>IFERROR(IF(ISNUMBER($A2088),IF(AND(AH!$U$12=1,2083+1=AH!$U$6),IF(AH!$U$4=0,"unavailable",INDEX('Market Data'!$AP$5:$AP$66,AH!$U$4)),IF(AH!$U$5=1,INDEX('Live History'!$H$5:$H$3004,MATCH($A2088,'Live History'!$G$5:$G$3004,1)),INDEX('AH History'!$B$5:$B$1380,$K2088))),NA()),NA())</f>
        <v/>
      </c>
      <c r="I2088" s="34">
        <f>IFERROR(IF(ISNUMBER($A2088),IF(AND(AH!$U$12=1,2083+1=AH!$U$6),TODAY(),IF(AH!$U$5=1,INDEX('Live History'!$G$5:$G$3004,MATCH($A2088,'Live History'!$G$5:$G$3004,1)),INDEX('AH History'!$C$5:$C$1380,$K2088))),NA()),NA())</f>
        <v/>
      </c>
      <c r="J2088" s="32">
        <f>IFERROR(IF(AND($F2088&gt;0,$H2088&gt;0,$A2088-$G2088&lt;=10,$A2088-$I2088&lt;=5,$G2088&gt;0,$I2088&gt;0),$F2088*$H2088,NA()),NA())</f>
        <v/>
      </c>
      <c r="K2088" s="15">
        <f>IF($A2088="","",IF(AH!$U$5=1,IFERROR(MATCH($A2088,'Live History'!$A$5:$A$3004,0),0),AH!$U$7+2083))</f>
        <v/>
      </c>
      <c r="L2088" s="15">
        <f>IF(ISNUMBER(A2088),TEXT(A2088,"dd-mmm-yy"),"")</f>
        <v/>
      </c>
    </row>
    <row r="2089">
      <c r="A2089" s="14">
        <f>IF(OR(AH!$U$4=0,2084+1&gt;AH!$U$6,AND(AH!$M$5="Bloomberg",AH!$U$5=0)),"",IFERROR(IF(AND(AH!$U$12=1,2084+1=AH!$U$6),TODAY(),IF(AH!$U$5=1,INDEX('Live History'!$A$5:$A$3004,AH!$U$7+2084),INDEX('AH History'!$A$5:$A$1380,AH!$U$7+2084))),""))</f>
        <v/>
      </c>
      <c r="B2089" s="33">
        <f>IFERROR(IF(AH!$U$11=1,NA(),$J2089/$E2089-1),NA())</f>
        <v/>
      </c>
      <c r="C2089" s="269">
        <f>IFERROR(100*$E2089/$E$5,NA())</f>
        <v/>
      </c>
      <c r="D2089" s="269">
        <f>IFERROR(100*$J2089/$J$5,NA())</f>
        <v/>
      </c>
      <c r="E2089" s="32">
        <f>IFERROR(IF(AND(ISNUMBER($A2089),N(IF(AND(AH!$U$12=1,2084+1=AH!$U$6),IF(AH!$U$4=0,"unavailable",INDEX('Market Data'!$AN$5:$AN$66,AH!$U$4)),IF(AH!$U$5=1,INDEX('Live History'!$B$5:$B$3004,$K2089),INDEX('AH History'!$D$5:$GG$1380,$K2089,AH!$U$10))))&gt;0),IF(AND(AH!$U$12=1,2084+1=AH!$U$6),IF(AH!$U$4=0,"unavailable",INDEX('Market Data'!$AN$5:$AN$66,AH!$U$4)),IF(AH!$U$5=1,INDEX('Live History'!$B$5:$B$3004,$K2089),INDEX('AH History'!$D$5:$GG$1380,$K2089,AH!$U$10))),NA()),NA())</f>
        <v/>
      </c>
      <c r="F2089" s="32">
        <f>IFERROR(IF(ISNUMBER($A2089),IF(AND(AH!$U$12=1,2084+1=AH!$U$6),IF(AH!$U$4=0,"unavailable",INDEX('Market Data'!$AO$5:$AO$66,AH!$U$4)),IF(AH!$U$5=1,INDEX('Live History'!$E$5:$E$3004,MATCH($A2089,'Live History'!$D$5:$D$3004,1)),INDEX('AH History'!$D$5:$GG$1380,$K2089,AH!$U$10+1))),NA()),NA())</f>
        <v/>
      </c>
      <c r="G2089" s="34">
        <f>IFERROR(IF(ISNUMBER($A2089),IF(AND(AH!$U$12=1,2084+1=AH!$U$6),IF(AH!$U$4=0,"unavailable",INDEX('Market Data'!$AK$5:$AK$66,AH!$U$4)),IF(AH!$U$5=1,INDEX('Live History'!$D$5:$D$3004,MATCH($A2089,'Live History'!$D$5:$D$3004,1)),INDEX('AH History'!$D$5:$GG$1380,$K2089,AH!$U$10+2))),NA()),NA())</f>
        <v/>
      </c>
      <c r="H2089" s="266">
        <f>IFERROR(IF(ISNUMBER($A2089),IF(AND(AH!$U$12=1,2084+1=AH!$U$6),IF(AH!$U$4=0,"unavailable",INDEX('Market Data'!$AP$5:$AP$66,AH!$U$4)),IF(AH!$U$5=1,INDEX('Live History'!$H$5:$H$3004,MATCH($A2089,'Live History'!$G$5:$G$3004,1)),INDEX('AH History'!$B$5:$B$1380,$K2089))),NA()),NA())</f>
        <v/>
      </c>
      <c r="I2089" s="34">
        <f>IFERROR(IF(ISNUMBER($A2089),IF(AND(AH!$U$12=1,2084+1=AH!$U$6),TODAY(),IF(AH!$U$5=1,INDEX('Live History'!$G$5:$G$3004,MATCH($A2089,'Live History'!$G$5:$G$3004,1)),INDEX('AH History'!$C$5:$C$1380,$K2089))),NA()),NA())</f>
        <v/>
      </c>
      <c r="J2089" s="32">
        <f>IFERROR(IF(AND($F2089&gt;0,$H2089&gt;0,$A2089-$G2089&lt;=10,$A2089-$I2089&lt;=5,$G2089&gt;0,$I2089&gt;0),$F2089*$H2089,NA()),NA())</f>
        <v/>
      </c>
      <c r="K2089" s="15">
        <f>IF($A2089="","",IF(AH!$U$5=1,IFERROR(MATCH($A2089,'Live History'!$A$5:$A$3004,0),0),AH!$U$7+2084))</f>
        <v/>
      </c>
      <c r="L2089" s="15">
        <f>IF(ISNUMBER(A2089),TEXT(A2089,"dd-mmm-yy"),"")</f>
        <v/>
      </c>
    </row>
    <row r="2090">
      <c r="A2090" s="14">
        <f>IF(OR(AH!$U$4=0,2085+1&gt;AH!$U$6,AND(AH!$M$5="Bloomberg",AH!$U$5=0)),"",IFERROR(IF(AND(AH!$U$12=1,2085+1=AH!$U$6),TODAY(),IF(AH!$U$5=1,INDEX('Live History'!$A$5:$A$3004,AH!$U$7+2085),INDEX('AH History'!$A$5:$A$1380,AH!$U$7+2085))),""))</f>
        <v/>
      </c>
      <c r="B2090" s="33">
        <f>IFERROR(IF(AH!$U$11=1,NA(),$J2090/$E2090-1),NA())</f>
        <v/>
      </c>
      <c r="C2090" s="269">
        <f>IFERROR(100*$E2090/$E$5,NA())</f>
        <v/>
      </c>
      <c r="D2090" s="269">
        <f>IFERROR(100*$J2090/$J$5,NA())</f>
        <v/>
      </c>
      <c r="E2090" s="32">
        <f>IFERROR(IF(AND(ISNUMBER($A2090),N(IF(AND(AH!$U$12=1,2085+1=AH!$U$6),IF(AH!$U$4=0,"unavailable",INDEX('Market Data'!$AN$5:$AN$66,AH!$U$4)),IF(AH!$U$5=1,INDEX('Live History'!$B$5:$B$3004,$K2090),INDEX('AH History'!$D$5:$GG$1380,$K2090,AH!$U$10))))&gt;0),IF(AND(AH!$U$12=1,2085+1=AH!$U$6),IF(AH!$U$4=0,"unavailable",INDEX('Market Data'!$AN$5:$AN$66,AH!$U$4)),IF(AH!$U$5=1,INDEX('Live History'!$B$5:$B$3004,$K2090),INDEX('AH History'!$D$5:$GG$1380,$K2090,AH!$U$10))),NA()),NA())</f>
        <v/>
      </c>
      <c r="F2090" s="32">
        <f>IFERROR(IF(ISNUMBER($A2090),IF(AND(AH!$U$12=1,2085+1=AH!$U$6),IF(AH!$U$4=0,"unavailable",INDEX('Market Data'!$AO$5:$AO$66,AH!$U$4)),IF(AH!$U$5=1,INDEX('Live History'!$E$5:$E$3004,MATCH($A2090,'Live History'!$D$5:$D$3004,1)),INDEX('AH History'!$D$5:$GG$1380,$K2090,AH!$U$10+1))),NA()),NA())</f>
        <v/>
      </c>
      <c r="G2090" s="34">
        <f>IFERROR(IF(ISNUMBER($A2090),IF(AND(AH!$U$12=1,2085+1=AH!$U$6),IF(AH!$U$4=0,"unavailable",INDEX('Market Data'!$AK$5:$AK$66,AH!$U$4)),IF(AH!$U$5=1,INDEX('Live History'!$D$5:$D$3004,MATCH($A2090,'Live History'!$D$5:$D$3004,1)),INDEX('AH History'!$D$5:$GG$1380,$K2090,AH!$U$10+2))),NA()),NA())</f>
        <v/>
      </c>
      <c r="H2090" s="266">
        <f>IFERROR(IF(ISNUMBER($A2090),IF(AND(AH!$U$12=1,2085+1=AH!$U$6),IF(AH!$U$4=0,"unavailable",INDEX('Market Data'!$AP$5:$AP$66,AH!$U$4)),IF(AH!$U$5=1,INDEX('Live History'!$H$5:$H$3004,MATCH($A2090,'Live History'!$G$5:$G$3004,1)),INDEX('AH History'!$B$5:$B$1380,$K2090))),NA()),NA())</f>
        <v/>
      </c>
      <c r="I2090" s="34">
        <f>IFERROR(IF(ISNUMBER($A2090),IF(AND(AH!$U$12=1,2085+1=AH!$U$6),TODAY(),IF(AH!$U$5=1,INDEX('Live History'!$G$5:$G$3004,MATCH($A2090,'Live History'!$G$5:$G$3004,1)),INDEX('AH History'!$C$5:$C$1380,$K2090))),NA()),NA())</f>
        <v/>
      </c>
      <c r="J2090" s="32">
        <f>IFERROR(IF(AND($F2090&gt;0,$H2090&gt;0,$A2090-$G2090&lt;=10,$A2090-$I2090&lt;=5,$G2090&gt;0,$I2090&gt;0),$F2090*$H2090,NA()),NA())</f>
        <v/>
      </c>
      <c r="K2090" s="15">
        <f>IF($A2090="","",IF(AH!$U$5=1,IFERROR(MATCH($A2090,'Live History'!$A$5:$A$3004,0),0),AH!$U$7+2085))</f>
        <v/>
      </c>
      <c r="L2090" s="15">
        <f>IF(ISNUMBER(A2090),TEXT(A2090,"dd-mmm-yy"),"")</f>
        <v/>
      </c>
    </row>
    <row r="2091">
      <c r="A2091" s="14">
        <f>IF(OR(AH!$U$4=0,2086+1&gt;AH!$U$6,AND(AH!$M$5="Bloomberg",AH!$U$5=0)),"",IFERROR(IF(AND(AH!$U$12=1,2086+1=AH!$U$6),TODAY(),IF(AH!$U$5=1,INDEX('Live History'!$A$5:$A$3004,AH!$U$7+2086),INDEX('AH History'!$A$5:$A$1380,AH!$U$7+2086))),""))</f>
        <v/>
      </c>
      <c r="B2091" s="33">
        <f>IFERROR(IF(AH!$U$11=1,NA(),$J2091/$E2091-1),NA())</f>
        <v/>
      </c>
      <c r="C2091" s="269">
        <f>IFERROR(100*$E2091/$E$5,NA())</f>
        <v/>
      </c>
      <c r="D2091" s="269">
        <f>IFERROR(100*$J2091/$J$5,NA())</f>
        <v/>
      </c>
      <c r="E2091" s="32">
        <f>IFERROR(IF(AND(ISNUMBER($A2091),N(IF(AND(AH!$U$12=1,2086+1=AH!$U$6),IF(AH!$U$4=0,"unavailable",INDEX('Market Data'!$AN$5:$AN$66,AH!$U$4)),IF(AH!$U$5=1,INDEX('Live History'!$B$5:$B$3004,$K2091),INDEX('AH History'!$D$5:$GG$1380,$K2091,AH!$U$10))))&gt;0),IF(AND(AH!$U$12=1,2086+1=AH!$U$6),IF(AH!$U$4=0,"unavailable",INDEX('Market Data'!$AN$5:$AN$66,AH!$U$4)),IF(AH!$U$5=1,INDEX('Live History'!$B$5:$B$3004,$K2091),INDEX('AH History'!$D$5:$GG$1380,$K2091,AH!$U$10))),NA()),NA())</f>
        <v/>
      </c>
      <c r="F2091" s="32">
        <f>IFERROR(IF(ISNUMBER($A2091),IF(AND(AH!$U$12=1,2086+1=AH!$U$6),IF(AH!$U$4=0,"unavailable",INDEX('Market Data'!$AO$5:$AO$66,AH!$U$4)),IF(AH!$U$5=1,INDEX('Live History'!$E$5:$E$3004,MATCH($A2091,'Live History'!$D$5:$D$3004,1)),INDEX('AH History'!$D$5:$GG$1380,$K2091,AH!$U$10+1))),NA()),NA())</f>
        <v/>
      </c>
      <c r="G2091" s="34">
        <f>IFERROR(IF(ISNUMBER($A2091),IF(AND(AH!$U$12=1,2086+1=AH!$U$6),IF(AH!$U$4=0,"unavailable",INDEX('Market Data'!$AK$5:$AK$66,AH!$U$4)),IF(AH!$U$5=1,INDEX('Live History'!$D$5:$D$3004,MATCH($A2091,'Live History'!$D$5:$D$3004,1)),INDEX('AH History'!$D$5:$GG$1380,$K2091,AH!$U$10+2))),NA()),NA())</f>
        <v/>
      </c>
      <c r="H2091" s="266">
        <f>IFERROR(IF(ISNUMBER($A2091),IF(AND(AH!$U$12=1,2086+1=AH!$U$6),IF(AH!$U$4=0,"unavailable",INDEX('Market Data'!$AP$5:$AP$66,AH!$U$4)),IF(AH!$U$5=1,INDEX('Live History'!$H$5:$H$3004,MATCH($A2091,'Live History'!$G$5:$G$3004,1)),INDEX('AH History'!$B$5:$B$1380,$K2091))),NA()),NA())</f>
        <v/>
      </c>
      <c r="I2091" s="34">
        <f>IFERROR(IF(ISNUMBER($A2091),IF(AND(AH!$U$12=1,2086+1=AH!$U$6),TODAY(),IF(AH!$U$5=1,INDEX('Live History'!$G$5:$G$3004,MATCH($A2091,'Live History'!$G$5:$G$3004,1)),INDEX('AH History'!$C$5:$C$1380,$K2091))),NA()),NA())</f>
        <v/>
      </c>
      <c r="J2091" s="32">
        <f>IFERROR(IF(AND($F2091&gt;0,$H2091&gt;0,$A2091-$G2091&lt;=10,$A2091-$I2091&lt;=5,$G2091&gt;0,$I2091&gt;0),$F2091*$H2091,NA()),NA())</f>
        <v/>
      </c>
      <c r="K2091" s="15">
        <f>IF($A2091="","",IF(AH!$U$5=1,IFERROR(MATCH($A2091,'Live History'!$A$5:$A$3004,0),0),AH!$U$7+2086))</f>
        <v/>
      </c>
      <c r="L2091" s="15">
        <f>IF(ISNUMBER(A2091),TEXT(A2091,"dd-mmm-yy"),"")</f>
        <v/>
      </c>
    </row>
    <row r="2092">
      <c r="A2092" s="14">
        <f>IF(OR(AH!$U$4=0,2087+1&gt;AH!$U$6,AND(AH!$M$5="Bloomberg",AH!$U$5=0)),"",IFERROR(IF(AND(AH!$U$12=1,2087+1=AH!$U$6),TODAY(),IF(AH!$U$5=1,INDEX('Live History'!$A$5:$A$3004,AH!$U$7+2087),INDEX('AH History'!$A$5:$A$1380,AH!$U$7+2087))),""))</f>
        <v/>
      </c>
      <c r="B2092" s="33">
        <f>IFERROR(IF(AH!$U$11=1,NA(),$J2092/$E2092-1),NA())</f>
        <v/>
      </c>
      <c r="C2092" s="269">
        <f>IFERROR(100*$E2092/$E$5,NA())</f>
        <v/>
      </c>
      <c r="D2092" s="269">
        <f>IFERROR(100*$J2092/$J$5,NA())</f>
        <v/>
      </c>
      <c r="E2092" s="32">
        <f>IFERROR(IF(AND(ISNUMBER($A2092),N(IF(AND(AH!$U$12=1,2087+1=AH!$U$6),IF(AH!$U$4=0,"unavailable",INDEX('Market Data'!$AN$5:$AN$66,AH!$U$4)),IF(AH!$U$5=1,INDEX('Live History'!$B$5:$B$3004,$K2092),INDEX('AH History'!$D$5:$GG$1380,$K2092,AH!$U$10))))&gt;0),IF(AND(AH!$U$12=1,2087+1=AH!$U$6),IF(AH!$U$4=0,"unavailable",INDEX('Market Data'!$AN$5:$AN$66,AH!$U$4)),IF(AH!$U$5=1,INDEX('Live History'!$B$5:$B$3004,$K2092),INDEX('AH History'!$D$5:$GG$1380,$K2092,AH!$U$10))),NA()),NA())</f>
        <v/>
      </c>
      <c r="F2092" s="32">
        <f>IFERROR(IF(ISNUMBER($A2092),IF(AND(AH!$U$12=1,2087+1=AH!$U$6),IF(AH!$U$4=0,"unavailable",INDEX('Market Data'!$AO$5:$AO$66,AH!$U$4)),IF(AH!$U$5=1,INDEX('Live History'!$E$5:$E$3004,MATCH($A2092,'Live History'!$D$5:$D$3004,1)),INDEX('AH History'!$D$5:$GG$1380,$K2092,AH!$U$10+1))),NA()),NA())</f>
        <v/>
      </c>
      <c r="G2092" s="34">
        <f>IFERROR(IF(ISNUMBER($A2092),IF(AND(AH!$U$12=1,2087+1=AH!$U$6),IF(AH!$U$4=0,"unavailable",INDEX('Market Data'!$AK$5:$AK$66,AH!$U$4)),IF(AH!$U$5=1,INDEX('Live History'!$D$5:$D$3004,MATCH($A2092,'Live History'!$D$5:$D$3004,1)),INDEX('AH History'!$D$5:$GG$1380,$K2092,AH!$U$10+2))),NA()),NA())</f>
        <v/>
      </c>
      <c r="H2092" s="266">
        <f>IFERROR(IF(ISNUMBER($A2092),IF(AND(AH!$U$12=1,2087+1=AH!$U$6),IF(AH!$U$4=0,"unavailable",INDEX('Market Data'!$AP$5:$AP$66,AH!$U$4)),IF(AH!$U$5=1,INDEX('Live History'!$H$5:$H$3004,MATCH($A2092,'Live History'!$G$5:$G$3004,1)),INDEX('AH History'!$B$5:$B$1380,$K2092))),NA()),NA())</f>
        <v/>
      </c>
      <c r="I2092" s="34">
        <f>IFERROR(IF(ISNUMBER($A2092),IF(AND(AH!$U$12=1,2087+1=AH!$U$6),TODAY(),IF(AH!$U$5=1,INDEX('Live History'!$G$5:$G$3004,MATCH($A2092,'Live History'!$G$5:$G$3004,1)),INDEX('AH History'!$C$5:$C$1380,$K2092))),NA()),NA())</f>
        <v/>
      </c>
      <c r="J2092" s="32">
        <f>IFERROR(IF(AND($F2092&gt;0,$H2092&gt;0,$A2092-$G2092&lt;=10,$A2092-$I2092&lt;=5,$G2092&gt;0,$I2092&gt;0),$F2092*$H2092,NA()),NA())</f>
        <v/>
      </c>
      <c r="K2092" s="15">
        <f>IF($A2092="","",IF(AH!$U$5=1,IFERROR(MATCH($A2092,'Live History'!$A$5:$A$3004,0),0),AH!$U$7+2087))</f>
        <v/>
      </c>
      <c r="L2092" s="15">
        <f>IF(ISNUMBER(A2092),TEXT(A2092,"dd-mmm-yy"),"")</f>
        <v/>
      </c>
    </row>
    <row r="2093">
      <c r="A2093" s="14">
        <f>IF(OR(AH!$U$4=0,2088+1&gt;AH!$U$6,AND(AH!$M$5="Bloomberg",AH!$U$5=0)),"",IFERROR(IF(AND(AH!$U$12=1,2088+1=AH!$U$6),TODAY(),IF(AH!$U$5=1,INDEX('Live History'!$A$5:$A$3004,AH!$U$7+2088),INDEX('AH History'!$A$5:$A$1380,AH!$U$7+2088))),""))</f>
        <v/>
      </c>
      <c r="B2093" s="33">
        <f>IFERROR(IF(AH!$U$11=1,NA(),$J2093/$E2093-1),NA())</f>
        <v/>
      </c>
      <c r="C2093" s="269">
        <f>IFERROR(100*$E2093/$E$5,NA())</f>
        <v/>
      </c>
      <c r="D2093" s="269">
        <f>IFERROR(100*$J2093/$J$5,NA())</f>
        <v/>
      </c>
      <c r="E2093" s="32">
        <f>IFERROR(IF(AND(ISNUMBER($A2093),N(IF(AND(AH!$U$12=1,2088+1=AH!$U$6),IF(AH!$U$4=0,"unavailable",INDEX('Market Data'!$AN$5:$AN$66,AH!$U$4)),IF(AH!$U$5=1,INDEX('Live History'!$B$5:$B$3004,$K2093),INDEX('AH History'!$D$5:$GG$1380,$K2093,AH!$U$10))))&gt;0),IF(AND(AH!$U$12=1,2088+1=AH!$U$6),IF(AH!$U$4=0,"unavailable",INDEX('Market Data'!$AN$5:$AN$66,AH!$U$4)),IF(AH!$U$5=1,INDEX('Live History'!$B$5:$B$3004,$K2093),INDEX('AH History'!$D$5:$GG$1380,$K2093,AH!$U$10))),NA()),NA())</f>
        <v/>
      </c>
      <c r="F2093" s="32">
        <f>IFERROR(IF(ISNUMBER($A2093),IF(AND(AH!$U$12=1,2088+1=AH!$U$6),IF(AH!$U$4=0,"unavailable",INDEX('Market Data'!$AO$5:$AO$66,AH!$U$4)),IF(AH!$U$5=1,INDEX('Live History'!$E$5:$E$3004,MATCH($A2093,'Live History'!$D$5:$D$3004,1)),INDEX('AH History'!$D$5:$GG$1380,$K2093,AH!$U$10+1))),NA()),NA())</f>
        <v/>
      </c>
      <c r="G2093" s="34">
        <f>IFERROR(IF(ISNUMBER($A2093),IF(AND(AH!$U$12=1,2088+1=AH!$U$6),IF(AH!$U$4=0,"unavailable",INDEX('Market Data'!$AK$5:$AK$66,AH!$U$4)),IF(AH!$U$5=1,INDEX('Live History'!$D$5:$D$3004,MATCH($A2093,'Live History'!$D$5:$D$3004,1)),INDEX('AH History'!$D$5:$GG$1380,$K2093,AH!$U$10+2))),NA()),NA())</f>
        <v/>
      </c>
      <c r="H2093" s="266">
        <f>IFERROR(IF(ISNUMBER($A2093),IF(AND(AH!$U$12=1,2088+1=AH!$U$6),IF(AH!$U$4=0,"unavailable",INDEX('Market Data'!$AP$5:$AP$66,AH!$U$4)),IF(AH!$U$5=1,INDEX('Live History'!$H$5:$H$3004,MATCH($A2093,'Live History'!$G$5:$G$3004,1)),INDEX('AH History'!$B$5:$B$1380,$K2093))),NA()),NA())</f>
        <v/>
      </c>
      <c r="I2093" s="34">
        <f>IFERROR(IF(ISNUMBER($A2093),IF(AND(AH!$U$12=1,2088+1=AH!$U$6),TODAY(),IF(AH!$U$5=1,INDEX('Live History'!$G$5:$G$3004,MATCH($A2093,'Live History'!$G$5:$G$3004,1)),INDEX('AH History'!$C$5:$C$1380,$K2093))),NA()),NA())</f>
        <v/>
      </c>
      <c r="J2093" s="32">
        <f>IFERROR(IF(AND($F2093&gt;0,$H2093&gt;0,$A2093-$G2093&lt;=10,$A2093-$I2093&lt;=5,$G2093&gt;0,$I2093&gt;0),$F2093*$H2093,NA()),NA())</f>
        <v/>
      </c>
      <c r="K2093" s="15">
        <f>IF($A2093="","",IF(AH!$U$5=1,IFERROR(MATCH($A2093,'Live History'!$A$5:$A$3004,0),0),AH!$U$7+2088))</f>
        <v/>
      </c>
      <c r="L2093" s="15">
        <f>IF(ISNUMBER(A2093),TEXT(A2093,"dd-mmm-yy"),"")</f>
        <v/>
      </c>
    </row>
    <row r="2094">
      <c r="A2094" s="14">
        <f>IF(OR(AH!$U$4=0,2089+1&gt;AH!$U$6,AND(AH!$M$5="Bloomberg",AH!$U$5=0)),"",IFERROR(IF(AND(AH!$U$12=1,2089+1=AH!$U$6),TODAY(),IF(AH!$U$5=1,INDEX('Live History'!$A$5:$A$3004,AH!$U$7+2089),INDEX('AH History'!$A$5:$A$1380,AH!$U$7+2089))),""))</f>
        <v/>
      </c>
      <c r="B2094" s="33">
        <f>IFERROR(IF(AH!$U$11=1,NA(),$J2094/$E2094-1),NA())</f>
        <v/>
      </c>
      <c r="C2094" s="269">
        <f>IFERROR(100*$E2094/$E$5,NA())</f>
        <v/>
      </c>
      <c r="D2094" s="269">
        <f>IFERROR(100*$J2094/$J$5,NA())</f>
        <v/>
      </c>
      <c r="E2094" s="32">
        <f>IFERROR(IF(AND(ISNUMBER($A2094),N(IF(AND(AH!$U$12=1,2089+1=AH!$U$6),IF(AH!$U$4=0,"unavailable",INDEX('Market Data'!$AN$5:$AN$66,AH!$U$4)),IF(AH!$U$5=1,INDEX('Live History'!$B$5:$B$3004,$K2094),INDEX('AH History'!$D$5:$GG$1380,$K2094,AH!$U$10))))&gt;0),IF(AND(AH!$U$12=1,2089+1=AH!$U$6),IF(AH!$U$4=0,"unavailable",INDEX('Market Data'!$AN$5:$AN$66,AH!$U$4)),IF(AH!$U$5=1,INDEX('Live History'!$B$5:$B$3004,$K2094),INDEX('AH History'!$D$5:$GG$1380,$K2094,AH!$U$10))),NA()),NA())</f>
        <v/>
      </c>
      <c r="F2094" s="32">
        <f>IFERROR(IF(ISNUMBER($A2094),IF(AND(AH!$U$12=1,2089+1=AH!$U$6),IF(AH!$U$4=0,"unavailable",INDEX('Market Data'!$AO$5:$AO$66,AH!$U$4)),IF(AH!$U$5=1,INDEX('Live History'!$E$5:$E$3004,MATCH($A2094,'Live History'!$D$5:$D$3004,1)),INDEX('AH History'!$D$5:$GG$1380,$K2094,AH!$U$10+1))),NA()),NA())</f>
        <v/>
      </c>
      <c r="G2094" s="34">
        <f>IFERROR(IF(ISNUMBER($A2094),IF(AND(AH!$U$12=1,2089+1=AH!$U$6),IF(AH!$U$4=0,"unavailable",INDEX('Market Data'!$AK$5:$AK$66,AH!$U$4)),IF(AH!$U$5=1,INDEX('Live History'!$D$5:$D$3004,MATCH($A2094,'Live History'!$D$5:$D$3004,1)),INDEX('AH History'!$D$5:$GG$1380,$K2094,AH!$U$10+2))),NA()),NA())</f>
        <v/>
      </c>
      <c r="H2094" s="266">
        <f>IFERROR(IF(ISNUMBER($A2094),IF(AND(AH!$U$12=1,2089+1=AH!$U$6),IF(AH!$U$4=0,"unavailable",INDEX('Market Data'!$AP$5:$AP$66,AH!$U$4)),IF(AH!$U$5=1,INDEX('Live History'!$H$5:$H$3004,MATCH($A2094,'Live History'!$G$5:$G$3004,1)),INDEX('AH History'!$B$5:$B$1380,$K2094))),NA()),NA())</f>
        <v/>
      </c>
      <c r="I2094" s="34">
        <f>IFERROR(IF(ISNUMBER($A2094),IF(AND(AH!$U$12=1,2089+1=AH!$U$6),TODAY(),IF(AH!$U$5=1,INDEX('Live History'!$G$5:$G$3004,MATCH($A2094,'Live History'!$G$5:$G$3004,1)),INDEX('AH History'!$C$5:$C$1380,$K2094))),NA()),NA())</f>
        <v/>
      </c>
      <c r="J2094" s="32">
        <f>IFERROR(IF(AND($F2094&gt;0,$H2094&gt;0,$A2094-$G2094&lt;=10,$A2094-$I2094&lt;=5,$G2094&gt;0,$I2094&gt;0),$F2094*$H2094,NA()),NA())</f>
        <v/>
      </c>
      <c r="K2094" s="15">
        <f>IF($A2094="","",IF(AH!$U$5=1,IFERROR(MATCH($A2094,'Live History'!$A$5:$A$3004,0),0),AH!$U$7+2089))</f>
        <v/>
      </c>
      <c r="L2094" s="15">
        <f>IF(ISNUMBER(A2094),TEXT(A2094,"dd-mmm-yy"),"")</f>
        <v/>
      </c>
    </row>
    <row r="2095">
      <c r="A2095" s="14">
        <f>IF(OR(AH!$U$4=0,2090+1&gt;AH!$U$6,AND(AH!$M$5="Bloomberg",AH!$U$5=0)),"",IFERROR(IF(AND(AH!$U$12=1,2090+1=AH!$U$6),TODAY(),IF(AH!$U$5=1,INDEX('Live History'!$A$5:$A$3004,AH!$U$7+2090),INDEX('AH History'!$A$5:$A$1380,AH!$U$7+2090))),""))</f>
        <v/>
      </c>
      <c r="B2095" s="33">
        <f>IFERROR(IF(AH!$U$11=1,NA(),$J2095/$E2095-1),NA())</f>
        <v/>
      </c>
      <c r="C2095" s="269">
        <f>IFERROR(100*$E2095/$E$5,NA())</f>
        <v/>
      </c>
      <c r="D2095" s="269">
        <f>IFERROR(100*$J2095/$J$5,NA())</f>
        <v/>
      </c>
      <c r="E2095" s="32">
        <f>IFERROR(IF(AND(ISNUMBER($A2095),N(IF(AND(AH!$U$12=1,2090+1=AH!$U$6),IF(AH!$U$4=0,"unavailable",INDEX('Market Data'!$AN$5:$AN$66,AH!$U$4)),IF(AH!$U$5=1,INDEX('Live History'!$B$5:$B$3004,$K2095),INDEX('AH History'!$D$5:$GG$1380,$K2095,AH!$U$10))))&gt;0),IF(AND(AH!$U$12=1,2090+1=AH!$U$6),IF(AH!$U$4=0,"unavailable",INDEX('Market Data'!$AN$5:$AN$66,AH!$U$4)),IF(AH!$U$5=1,INDEX('Live History'!$B$5:$B$3004,$K2095),INDEX('AH History'!$D$5:$GG$1380,$K2095,AH!$U$10))),NA()),NA())</f>
        <v/>
      </c>
      <c r="F2095" s="32">
        <f>IFERROR(IF(ISNUMBER($A2095),IF(AND(AH!$U$12=1,2090+1=AH!$U$6),IF(AH!$U$4=0,"unavailable",INDEX('Market Data'!$AO$5:$AO$66,AH!$U$4)),IF(AH!$U$5=1,INDEX('Live History'!$E$5:$E$3004,MATCH($A2095,'Live History'!$D$5:$D$3004,1)),INDEX('AH History'!$D$5:$GG$1380,$K2095,AH!$U$10+1))),NA()),NA())</f>
        <v/>
      </c>
      <c r="G2095" s="34">
        <f>IFERROR(IF(ISNUMBER($A2095),IF(AND(AH!$U$12=1,2090+1=AH!$U$6),IF(AH!$U$4=0,"unavailable",INDEX('Market Data'!$AK$5:$AK$66,AH!$U$4)),IF(AH!$U$5=1,INDEX('Live History'!$D$5:$D$3004,MATCH($A2095,'Live History'!$D$5:$D$3004,1)),INDEX('AH History'!$D$5:$GG$1380,$K2095,AH!$U$10+2))),NA()),NA())</f>
        <v/>
      </c>
      <c r="H2095" s="266">
        <f>IFERROR(IF(ISNUMBER($A2095),IF(AND(AH!$U$12=1,2090+1=AH!$U$6),IF(AH!$U$4=0,"unavailable",INDEX('Market Data'!$AP$5:$AP$66,AH!$U$4)),IF(AH!$U$5=1,INDEX('Live History'!$H$5:$H$3004,MATCH($A2095,'Live History'!$G$5:$G$3004,1)),INDEX('AH History'!$B$5:$B$1380,$K2095))),NA()),NA())</f>
        <v/>
      </c>
      <c r="I2095" s="34">
        <f>IFERROR(IF(ISNUMBER($A2095),IF(AND(AH!$U$12=1,2090+1=AH!$U$6),TODAY(),IF(AH!$U$5=1,INDEX('Live History'!$G$5:$G$3004,MATCH($A2095,'Live History'!$G$5:$G$3004,1)),INDEX('AH History'!$C$5:$C$1380,$K2095))),NA()),NA())</f>
        <v/>
      </c>
      <c r="J2095" s="32">
        <f>IFERROR(IF(AND($F2095&gt;0,$H2095&gt;0,$A2095-$G2095&lt;=10,$A2095-$I2095&lt;=5,$G2095&gt;0,$I2095&gt;0),$F2095*$H2095,NA()),NA())</f>
        <v/>
      </c>
      <c r="K2095" s="15">
        <f>IF($A2095="","",IF(AH!$U$5=1,IFERROR(MATCH($A2095,'Live History'!$A$5:$A$3004,0),0),AH!$U$7+2090))</f>
        <v/>
      </c>
      <c r="L2095" s="15">
        <f>IF(ISNUMBER(A2095),TEXT(A2095,"dd-mmm-yy"),"")</f>
        <v/>
      </c>
    </row>
    <row r="2096">
      <c r="A2096" s="14">
        <f>IF(OR(AH!$U$4=0,2091+1&gt;AH!$U$6,AND(AH!$M$5="Bloomberg",AH!$U$5=0)),"",IFERROR(IF(AND(AH!$U$12=1,2091+1=AH!$U$6),TODAY(),IF(AH!$U$5=1,INDEX('Live History'!$A$5:$A$3004,AH!$U$7+2091),INDEX('AH History'!$A$5:$A$1380,AH!$U$7+2091))),""))</f>
        <v/>
      </c>
      <c r="B2096" s="33">
        <f>IFERROR(IF(AH!$U$11=1,NA(),$J2096/$E2096-1),NA())</f>
        <v/>
      </c>
      <c r="C2096" s="269">
        <f>IFERROR(100*$E2096/$E$5,NA())</f>
        <v/>
      </c>
      <c r="D2096" s="269">
        <f>IFERROR(100*$J2096/$J$5,NA())</f>
        <v/>
      </c>
      <c r="E2096" s="32">
        <f>IFERROR(IF(AND(ISNUMBER($A2096),N(IF(AND(AH!$U$12=1,2091+1=AH!$U$6),IF(AH!$U$4=0,"unavailable",INDEX('Market Data'!$AN$5:$AN$66,AH!$U$4)),IF(AH!$U$5=1,INDEX('Live History'!$B$5:$B$3004,$K2096),INDEX('AH History'!$D$5:$GG$1380,$K2096,AH!$U$10))))&gt;0),IF(AND(AH!$U$12=1,2091+1=AH!$U$6),IF(AH!$U$4=0,"unavailable",INDEX('Market Data'!$AN$5:$AN$66,AH!$U$4)),IF(AH!$U$5=1,INDEX('Live History'!$B$5:$B$3004,$K2096),INDEX('AH History'!$D$5:$GG$1380,$K2096,AH!$U$10))),NA()),NA())</f>
        <v/>
      </c>
      <c r="F2096" s="32">
        <f>IFERROR(IF(ISNUMBER($A2096),IF(AND(AH!$U$12=1,2091+1=AH!$U$6),IF(AH!$U$4=0,"unavailable",INDEX('Market Data'!$AO$5:$AO$66,AH!$U$4)),IF(AH!$U$5=1,INDEX('Live History'!$E$5:$E$3004,MATCH($A2096,'Live History'!$D$5:$D$3004,1)),INDEX('AH History'!$D$5:$GG$1380,$K2096,AH!$U$10+1))),NA()),NA())</f>
        <v/>
      </c>
      <c r="G2096" s="34">
        <f>IFERROR(IF(ISNUMBER($A2096),IF(AND(AH!$U$12=1,2091+1=AH!$U$6),IF(AH!$U$4=0,"unavailable",INDEX('Market Data'!$AK$5:$AK$66,AH!$U$4)),IF(AH!$U$5=1,INDEX('Live History'!$D$5:$D$3004,MATCH($A2096,'Live History'!$D$5:$D$3004,1)),INDEX('AH History'!$D$5:$GG$1380,$K2096,AH!$U$10+2))),NA()),NA())</f>
        <v/>
      </c>
      <c r="H2096" s="266">
        <f>IFERROR(IF(ISNUMBER($A2096),IF(AND(AH!$U$12=1,2091+1=AH!$U$6),IF(AH!$U$4=0,"unavailable",INDEX('Market Data'!$AP$5:$AP$66,AH!$U$4)),IF(AH!$U$5=1,INDEX('Live History'!$H$5:$H$3004,MATCH($A2096,'Live History'!$G$5:$G$3004,1)),INDEX('AH History'!$B$5:$B$1380,$K2096))),NA()),NA())</f>
        <v/>
      </c>
      <c r="I2096" s="34">
        <f>IFERROR(IF(ISNUMBER($A2096),IF(AND(AH!$U$12=1,2091+1=AH!$U$6),TODAY(),IF(AH!$U$5=1,INDEX('Live History'!$G$5:$G$3004,MATCH($A2096,'Live History'!$G$5:$G$3004,1)),INDEX('AH History'!$C$5:$C$1380,$K2096))),NA()),NA())</f>
        <v/>
      </c>
      <c r="J2096" s="32">
        <f>IFERROR(IF(AND($F2096&gt;0,$H2096&gt;0,$A2096-$G2096&lt;=10,$A2096-$I2096&lt;=5,$G2096&gt;0,$I2096&gt;0),$F2096*$H2096,NA()),NA())</f>
        <v/>
      </c>
      <c r="K2096" s="15">
        <f>IF($A2096="","",IF(AH!$U$5=1,IFERROR(MATCH($A2096,'Live History'!$A$5:$A$3004,0),0),AH!$U$7+2091))</f>
        <v/>
      </c>
      <c r="L2096" s="15">
        <f>IF(ISNUMBER(A2096),TEXT(A2096,"dd-mmm-yy"),"")</f>
        <v/>
      </c>
    </row>
    <row r="2097">
      <c r="A2097" s="14">
        <f>IF(OR(AH!$U$4=0,2092+1&gt;AH!$U$6,AND(AH!$M$5="Bloomberg",AH!$U$5=0)),"",IFERROR(IF(AND(AH!$U$12=1,2092+1=AH!$U$6),TODAY(),IF(AH!$U$5=1,INDEX('Live History'!$A$5:$A$3004,AH!$U$7+2092),INDEX('AH History'!$A$5:$A$1380,AH!$U$7+2092))),""))</f>
        <v/>
      </c>
      <c r="B2097" s="33">
        <f>IFERROR(IF(AH!$U$11=1,NA(),$J2097/$E2097-1),NA())</f>
        <v/>
      </c>
      <c r="C2097" s="269">
        <f>IFERROR(100*$E2097/$E$5,NA())</f>
        <v/>
      </c>
      <c r="D2097" s="269">
        <f>IFERROR(100*$J2097/$J$5,NA())</f>
        <v/>
      </c>
      <c r="E2097" s="32">
        <f>IFERROR(IF(AND(ISNUMBER($A2097),N(IF(AND(AH!$U$12=1,2092+1=AH!$U$6),IF(AH!$U$4=0,"unavailable",INDEX('Market Data'!$AN$5:$AN$66,AH!$U$4)),IF(AH!$U$5=1,INDEX('Live History'!$B$5:$B$3004,$K2097),INDEX('AH History'!$D$5:$GG$1380,$K2097,AH!$U$10))))&gt;0),IF(AND(AH!$U$12=1,2092+1=AH!$U$6),IF(AH!$U$4=0,"unavailable",INDEX('Market Data'!$AN$5:$AN$66,AH!$U$4)),IF(AH!$U$5=1,INDEX('Live History'!$B$5:$B$3004,$K2097),INDEX('AH History'!$D$5:$GG$1380,$K2097,AH!$U$10))),NA()),NA())</f>
        <v/>
      </c>
      <c r="F2097" s="32">
        <f>IFERROR(IF(ISNUMBER($A2097),IF(AND(AH!$U$12=1,2092+1=AH!$U$6),IF(AH!$U$4=0,"unavailable",INDEX('Market Data'!$AO$5:$AO$66,AH!$U$4)),IF(AH!$U$5=1,INDEX('Live History'!$E$5:$E$3004,MATCH($A2097,'Live History'!$D$5:$D$3004,1)),INDEX('AH History'!$D$5:$GG$1380,$K2097,AH!$U$10+1))),NA()),NA())</f>
        <v/>
      </c>
      <c r="G2097" s="34">
        <f>IFERROR(IF(ISNUMBER($A2097),IF(AND(AH!$U$12=1,2092+1=AH!$U$6),IF(AH!$U$4=0,"unavailable",INDEX('Market Data'!$AK$5:$AK$66,AH!$U$4)),IF(AH!$U$5=1,INDEX('Live History'!$D$5:$D$3004,MATCH($A2097,'Live History'!$D$5:$D$3004,1)),INDEX('AH History'!$D$5:$GG$1380,$K2097,AH!$U$10+2))),NA()),NA())</f>
        <v/>
      </c>
      <c r="H2097" s="266">
        <f>IFERROR(IF(ISNUMBER($A2097),IF(AND(AH!$U$12=1,2092+1=AH!$U$6),IF(AH!$U$4=0,"unavailable",INDEX('Market Data'!$AP$5:$AP$66,AH!$U$4)),IF(AH!$U$5=1,INDEX('Live History'!$H$5:$H$3004,MATCH($A2097,'Live History'!$G$5:$G$3004,1)),INDEX('AH History'!$B$5:$B$1380,$K2097))),NA()),NA())</f>
        <v/>
      </c>
      <c r="I2097" s="34">
        <f>IFERROR(IF(ISNUMBER($A2097),IF(AND(AH!$U$12=1,2092+1=AH!$U$6),TODAY(),IF(AH!$U$5=1,INDEX('Live History'!$G$5:$G$3004,MATCH($A2097,'Live History'!$G$5:$G$3004,1)),INDEX('AH History'!$C$5:$C$1380,$K2097))),NA()),NA())</f>
        <v/>
      </c>
      <c r="J2097" s="32">
        <f>IFERROR(IF(AND($F2097&gt;0,$H2097&gt;0,$A2097-$G2097&lt;=10,$A2097-$I2097&lt;=5,$G2097&gt;0,$I2097&gt;0),$F2097*$H2097,NA()),NA())</f>
        <v/>
      </c>
      <c r="K2097" s="15">
        <f>IF($A2097="","",IF(AH!$U$5=1,IFERROR(MATCH($A2097,'Live History'!$A$5:$A$3004,0),0),AH!$U$7+2092))</f>
        <v/>
      </c>
      <c r="L2097" s="15">
        <f>IF(ISNUMBER(A2097),TEXT(A2097,"dd-mmm-yy"),"")</f>
        <v/>
      </c>
    </row>
    <row r="2098">
      <c r="A2098" s="14">
        <f>IF(OR(AH!$U$4=0,2093+1&gt;AH!$U$6,AND(AH!$M$5="Bloomberg",AH!$U$5=0)),"",IFERROR(IF(AND(AH!$U$12=1,2093+1=AH!$U$6),TODAY(),IF(AH!$U$5=1,INDEX('Live History'!$A$5:$A$3004,AH!$U$7+2093),INDEX('AH History'!$A$5:$A$1380,AH!$U$7+2093))),""))</f>
        <v/>
      </c>
      <c r="B2098" s="33">
        <f>IFERROR(IF(AH!$U$11=1,NA(),$J2098/$E2098-1),NA())</f>
        <v/>
      </c>
      <c r="C2098" s="269">
        <f>IFERROR(100*$E2098/$E$5,NA())</f>
        <v/>
      </c>
      <c r="D2098" s="269">
        <f>IFERROR(100*$J2098/$J$5,NA())</f>
        <v/>
      </c>
      <c r="E2098" s="32">
        <f>IFERROR(IF(AND(ISNUMBER($A2098),N(IF(AND(AH!$U$12=1,2093+1=AH!$U$6),IF(AH!$U$4=0,"unavailable",INDEX('Market Data'!$AN$5:$AN$66,AH!$U$4)),IF(AH!$U$5=1,INDEX('Live History'!$B$5:$B$3004,$K2098),INDEX('AH History'!$D$5:$GG$1380,$K2098,AH!$U$10))))&gt;0),IF(AND(AH!$U$12=1,2093+1=AH!$U$6),IF(AH!$U$4=0,"unavailable",INDEX('Market Data'!$AN$5:$AN$66,AH!$U$4)),IF(AH!$U$5=1,INDEX('Live History'!$B$5:$B$3004,$K2098),INDEX('AH History'!$D$5:$GG$1380,$K2098,AH!$U$10))),NA()),NA())</f>
        <v/>
      </c>
      <c r="F2098" s="32">
        <f>IFERROR(IF(ISNUMBER($A2098),IF(AND(AH!$U$12=1,2093+1=AH!$U$6),IF(AH!$U$4=0,"unavailable",INDEX('Market Data'!$AO$5:$AO$66,AH!$U$4)),IF(AH!$U$5=1,INDEX('Live History'!$E$5:$E$3004,MATCH($A2098,'Live History'!$D$5:$D$3004,1)),INDEX('AH History'!$D$5:$GG$1380,$K2098,AH!$U$10+1))),NA()),NA())</f>
        <v/>
      </c>
      <c r="G2098" s="34">
        <f>IFERROR(IF(ISNUMBER($A2098),IF(AND(AH!$U$12=1,2093+1=AH!$U$6),IF(AH!$U$4=0,"unavailable",INDEX('Market Data'!$AK$5:$AK$66,AH!$U$4)),IF(AH!$U$5=1,INDEX('Live History'!$D$5:$D$3004,MATCH($A2098,'Live History'!$D$5:$D$3004,1)),INDEX('AH History'!$D$5:$GG$1380,$K2098,AH!$U$10+2))),NA()),NA())</f>
        <v/>
      </c>
      <c r="H2098" s="266">
        <f>IFERROR(IF(ISNUMBER($A2098),IF(AND(AH!$U$12=1,2093+1=AH!$U$6),IF(AH!$U$4=0,"unavailable",INDEX('Market Data'!$AP$5:$AP$66,AH!$U$4)),IF(AH!$U$5=1,INDEX('Live History'!$H$5:$H$3004,MATCH($A2098,'Live History'!$G$5:$G$3004,1)),INDEX('AH History'!$B$5:$B$1380,$K2098))),NA()),NA())</f>
        <v/>
      </c>
      <c r="I2098" s="34">
        <f>IFERROR(IF(ISNUMBER($A2098),IF(AND(AH!$U$12=1,2093+1=AH!$U$6),TODAY(),IF(AH!$U$5=1,INDEX('Live History'!$G$5:$G$3004,MATCH($A2098,'Live History'!$G$5:$G$3004,1)),INDEX('AH History'!$C$5:$C$1380,$K2098))),NA()),NA())</f>
        <v/>
      </c>
      <c r="J2098" s="32">
        <f>IFERROR(IF(AND($F2098&gt;0,$H2098&gt;0,$A2098-$G2098&lt;=10,$A2098-$I2098&lt;=5,$G2098&gt;0,$I2098&gt;0),$F2098*$H2098,NA()),NA())</f>
        <v/>
      </c>
      <c r="K2098" s="15">
        <f>IF($A2098="","",IF(AH!$U$5=1,IFERROR(MATCH($A2098,'Live History'!$A$5:$A$3004,0),0),AH!$U$7+2093))</f>
        <v/>
      </c>
      <c r="L2098" s="15">
        <f>IF(ISNUMBER(A2098),TEXT(A2098,"dd-mmm-yy"),"")</f>
        <v/>
      </c>
    </row>
    <row r="2099">
      <c r="A2099" s="14">
        <f>IF(OR(AH!$U$4=0,2094+1&gt;AH!$U$6,AND(AH!$M$5="Bloomberg",AH!$U$5=0)),"",IFERROR(IF(AND(AH!$U$12=1,2094+1=AH!$U$6),TODAY(),IF(AH!$U$5=1,INDEX('Live History'!$A$5:$A$3004,AH!$U$7+2094),INDEX('AH History'!$A$5:$A$1380,AH!$U$7+2094))),""))</f>
        <v/>
      </c>
      <c r="B2099" s="33">
        <f>IFERROR(IF(AH!$U$11=1,NA(),$J2099/$E2099-1),NA())</f>
        <v/>
      </c>
      <c r="C2099" s="269">
        <f>IFERROR(100*$E2099/$E$5,NA())</f>
        <v/>
      </c>
      <c r="D2099" s="269">
        <f>IFERROR(100*$J2099/$J$5,NA())</f>
        <v/>
      </c>
      <c r="E2099" s="32">
        <f>IFERROR(IF(AND(ISNUMBER($A2099),N(IF(AND(AH!$U$12=1,2094+1=AH!$U$6),IF(AH!$U$4=0,"unavailable",INDEX('Market Data'!$AN$5:$AN$66,AH!$U$4)),IF(AH!$U$5=1,INDEX('Live History'!$B$5:$B$3004,$K2099),INDEX('AH History'!$D$5:$GG$1380,$K2099,AH!$U$10))))&gt;0),IF(AND(AH!$U$12=1,2094+1=AH!$U$6),IF(AH!$U$4=0,"unavailable",INDEX('Market Data'!$AN$5:$AN$66,AH!$U$4)),IF(AH!$U$5=1,INDEX('Live History'!$B$5:$B$3004,$K2099),INDEX('AH History'!$D$5:$GG$1380,$K2099,AH!$U$10))),NA()),NA())</f>
        <v/>
      </c>
      <c r="F2099" s="32">
        <f>IFERROR(IF(ISNUMBER($A2099),IF(AND(AH!$U$12=1,2094+1=AH!$U$6),IF(AH!$U$4=0,"unavailable",INDEX('Market Data'!$AO$5:$AO$66,AH!$U$4)),IF(AH!$U$5=1,INDEX('Live History'!$E$5:$E$3004,MATCH($A2099,'Live History'!$D$5:$D$3004,1)),INDEX('AH History'!$D$5:$GG$1380,$K2099,AH!$U$10+1))),NA()),NA())</f>
        <v/>
      </c>
      <c r="G2099" s="34">
        <f>IFERROR(IF(ISNUMBER($A2099),IF(AND(AH!$U$12=1,2094+1=AH!$U$6),IF(AH!$U$4=0,"unavailable",INDEX('Market Data'!$AK$5:$AK$66,AH!$U$4)),IF(AH!$U$5=1,INDEX('Live History'!$D$5:$D$3004,MATCH($A2099,'Live History'!$D$5:$D$3004,1)),INDEX('AH History'!$D$5:$GG$1380,$K2099,AH!$U$10+2))),NA()),NA())</f>
        <v/>
      </c>
      <c r="H2099" s="266">
        <f>IFERROR(IF(ISNUMBER($A2099),IF(AND(AH!$U$12=1,2094+1=AH!$U$6),IF(AH!$U$4=0,"unavailable",INDEX('Market Data'!$AP$5:$AP$66,AH!$U$4)),IF(AH!$U$5=1,INDEX('Live History'!$H$5:$H$3004,MATCH($A2099,'Live History'!$G$5:$G$3004,1)),INDEX('AH History'!$B$5:$B$1380,$K2099))),NA()),NA())</f>
        <v/>
      </c>
      <c r="I2099" s="34">
        <f>IFERROR(IF(ISNUMBER($A2099),IF(AND(AH!$U$12=1,2094+1=AH!$U$6),TODAY(),IF(AH!$U$5=1,INDEX('Live History'!$G$5:$G$3004,MATCH($A2099,'Live History'!$G$5:$G$3004,1)),INDEX('AH History'!$C$5:$C$1380,$K2099))),NA()),NA())</f>
        <v/>
      </c>
      <c r="J2099" s="32">
        <f>IFERROR(IF(AND($F2099&gt;0,$H2099&gt;0,$A2099-$G2099&lt;=10,$A2099-$I2099&lt;=5,$G2099&gt;0,$I2099&gt;0),$F2099*$H2099,NA()),NA())</f>
        <v/>
      </c>
      <c r="K2099" s="15">
        <f>IF($A2099="","",IF(AH!$U$5=1,IFERROR(MATCH($A2099,'Live History'!$A$5:$A$3004,0),0),AH!$U$7+2094))</f>
        <v/>
      </c>
      <c r="L2099" s="15">
        <f>IF(ISNUMBER(A2099),TEXT(A2099,"dd-mmm-yy"),"")</f>
        <v/>
      </c>
    </row>
    <row r="2100">
      <c r="A2100" s="14">
        <f>IF(OR(AH!$U$4=0,2095+1&gt;AH!$U$6,AND(AH!$M$5="Bloomberg",AH!$U$5=0)),"",IFERROR(IF(AND(AH!$U$12=1,2095+1=AH!$U$6),TODAY(),IF(AH!$U$5=1,INDEX('Live History'!$A$5:$A$3004,AH!$U$7+2095),INDEX('AH History'!$A$5:$A$1380,AH!$U$7+2095))),""))</f>
        <v/>
      </c>
      <c r="B2100" s="33">
        <f>IFERROR(IF(AH!$U$11=1,NA(),$J2100/$E2100-1),NA())</f>
        <v/>
      </c>
      <c r="C2100" s="269">
        <f>IFERROR(100*$E2100/$E$5,NA())</f>
        <v/>
      </c>
      <c r="D2100" s="269">
        <f>IFERROR(100*$J2100/$J$5,NA())</f>
        <v/>
      </c>
      <c r="E2100" s="32">
        <f>IFERROR(IF(AND(ISNUMBER($A2100),N(IF(AND(AH!$U$12=1,2095+1=AH!$U$6),IF(AH!$U$4=0,"unavailable",INDEX('Market Data'!$AN$5:$AN$66,AH!$U$4)),IF(AH!$U$5=1,INDEX('Live History'!$B$5:$B$3004,$K2100),INDEX('AH History'!$D$5:$GG$1380,$K2100,AH!$U$10))))&gt;0),IF(AND(AH!$U$12=1,2095+1=AH!$U$6),IF(AH!$U$4=0,"unavailable",INDEX('Market Data'!$AN$5:$AN$66,AH!$U$4)),IF(AH!$U$5=1,INDEX('Live History'!$B$5:$B$3004,$K2100),INDEX('AH History'!$D$5:$GG$1380,$K2100,AH!$U$10))),NA()),NA())</f>
        <v/>
      </c>
      <c r="F2100" s="32">
        <f>IFERROR(IF(ISNUMBER($A2100),IF(AND(AH!$U$12=1,2095+1=AH!$U$6),IF(AH!$U$4=0,"unavailable",INDEX('Market Data'!$AO$5:$AO$66,AH!$U$4)),IF(AH!$U$5=1,INDEX('Live History'!$E$5:$E$3004,MATCH($A2100,'Live History'!$D$5:$D$3004,1)),INDEX('AH History'!$D$5:$GG$1380,$K2100,AH!$U$10+1))),NA()),NA())</f>
        <v/>
      </c>
      <c r="G2100" s="34">
        <f>IFERROR(IF(ISNUMBER($A2100),IF(AND(AH!$U$12=1,2095+1=AH!$U$6),IF(AH!$U$4=0,"unavailable",INDEX('Market Data'!$AK$5:$AK$66,AH!$U$4)),IF(AH!$U$5=1,INDEX('Live History'!$D$5:$D$3004,MATCH($A2100,'Live History'!$D$5:$D$3004,1)),INDEX('AH History'!$D$5:$GG$1380,$K2100,AH!$U$10+2))),NA()),NA())</f>
        <v/>
      </c>
      <c r="H2100" s="266">
        <f>IFERROR(IF(ISNUMBER($A2100),IF(AND(AH!$U$12=1,2095+1=AH!$U$6),IF(AH!$U$4=0,"unavailable",INDEX('Market Data'!$AP$5:$AP$66,AH!$U$4)),IF(AH!$U$5=1,INDEX('Live History'!$H$5:$H$3004,MATCH($A2100,'Live History'!$G$5:$G$3004,1)),INDEX('AH History'!$B$5:$B$1380,$K2100))),NA()),NA())</f>
        <v/>
      </c>
      <c r="I2100" s="34">
        <f>IFERROR(IF(ISNUMBER($A2100),IF(AND(AH!$U$12=1,2095+1=AH!$U$6),TODAY(),IF(AH!$U$5=1,INDEX('Live History'!$G$5:$G$3004,MATCH($A2100,'Live History'!$G$5:$G$3004,1)),INDEX('AH History'!$C$5:$C$1380,$K2100))),NA()),NA())</f>
        <v/>
      </c>
      <c r="J2100" s="32">
        <f>IFERROR(IF(AND($F2100&gt;0,$H2100&gt;0,$A2100-$G2100&lt;=10,$A2100-$I2100&lt;=5,$G2100&gt;0,$I2100&gt;0),$F2100*$H2100,NA()),NA())</f>
        <v/>
      </c>
      <c r="K2100" s="15">
        <f>IF($A2100="","",IF(AH!$U$5=1,IFERROR(MATCH($A2100,'Live History'!$A$5:$A$3004,0),0),AH!$U$7+2095))</f>
        <v/>
      </c>
      <c r="L2100" s="15">
        <f>IF(ISNUMBER(A2100),TEXT(A2100,"dd-mmm-yy"),"")</f>
        <v/>
      </c>
    </row>
    <row r="2101">
      <c r="A2101" s="14">
        <f>IF(OR(AH!$U$4=0,2096+1&gt;AH!$U$6,AND(AH!$M$5="Bloomberg",AH!$U$5=0)),"",IFERROR(IF(AND(AH!$U$12=1,2096+1=AH!$U$6),TODAY(),IF(AH!$U$5=1,INDEX('Live History'!$A$5:$A$3004,AH!$U$7+2096),INDEX('AH History'!$A$5:$A$1380,AH!$U$7+2096))),""))</f>
        <v/>
      </c>
      <c r="B2101" s="33">
        <f>IFERROR(IF(AH!$U$11=1,NA(),$J2101/$E2101-1),NA())</f>
        <v/>
      </c>
      <c r="C2101" s="269">
        <f>IFERROR(100*$E2101/$E$5,NA())</f>
        <v/>
      </c>
      <c r="D2101" s="269">
        <f>IFERROR(100*$J2101/$J$5,NA())</f>
        <v/>
      </c>
      <c r="E2101" s="32">
        <f>IFERROR(IF(AND(ISNUMBER($A2101),N(IF(AND(AH!$U$12=1,2096+1=AH!$U$6),IF(AH!$U$4=0,"unavailable",INDEX('Market Data'!$AN$5:$AN$66,AH!$U$4)),IF(AH!$U$5=1,INDEX('Live History'!$B$5:$B$3004,$K2101),INDEX('AH History'!$D$5:$GG$1380,$K2101,AH!$U$10))))&gt;0),IF(AND(AH!$U$12=1,2096+1=AH!$U$6),IF(AH!$U$4=0,"unavailable",INDEX('Market Data'!$AN$5:$AN$66,AH!$U$4)),IF(AH!$U$5=1,INDEX('Live History'!$B$5:$B$3004,$K2101),INDEX('AH History'!$D$5:$GG$1380,$K2101,AH!$U$10))),NA()),NA())</f>
        <v/>
      </c>
      <c r="F2101" s="32">
        <f>IFERROR(IF(ISNUMBER($A2101),IF(AND(AH!$U$12=1,2096+1=AH!$U$6),IF(AH!$U$4=0,"unavailable",INDEX('Market Data'!$AO$5:$AO$66,AH!$U$4)),IF(AH!$U$5=1,INDEX('Live History'!$E$5:$E$3004,MATCH($A2101,'Live History'!$D$5:$D$3004,1)),INDEX('AH History'!$D$5:$GG$1380,$K2101,AH!$U$10+1))),NA()),NA())</f>
        <v/>
      </c>
      <c r="G2101" s="34">
        <f>IFERROR(IF(ISNUMBER($A2101),IF(AND(AH!$U$12=1,2096+1=AH!$U$6),IF(AH!$U$4=0,"unavailable",INDEX('Market Data'!$AK$5:$AK$66,AH!$U$4)),IF(AH!$U$5=1,INDEX('Live History'!$D$5:$D$3004,MATCH($A2101,'Live History'!$D$5:$D$3004,1)),INDEX('AH History'!$D$5:$GG$1380,$K2101,AH!$U$10+2))),NA()),NA())</f>
        <v/>
      </c>
      <c r="H2101" s="266">
        <f>IFERROR(IF(ISNUMBER($A2101),IF(AND(AH!$U$12=1,2096+1=AH!$U$6),IF(AH!$U$4=0,"unavailable",INDEX('Market Data'!$AP$5:$AP$66,AH!$U$4)),IF(AH!$U$5=1,INDEX('Live History'!$H$5:$H$3004,MATCH($A2101,'Live History'!$G$5:$G$3004,1)),INDEX('AH History'!$B$5:$B$1380,$K2101))),NA()),NA())</f>
        <v/>
      </c>
      <c r="I2101" s="34">
        <f>IFERROR(IF(ISNUMBER($A2101),IF(AND(AH!$U$12=1,2096+1=AH!$U$6),TODAY(),IF(AH!$U$5=1,INDEX('Live History'!$G$5:$G$3004,MATCH($A2101,'Live History'!$G$5:$G$3004,1)),INDEX('AH History'!$C$5:$C$1380,$K2101))),NA()),NA())</f>
        <v/>
      </c>
      <c r="J2101" s="32">
        <f>IFERROR(IF(AND($F2101&gt;0,$H2101&gt;0,$A2101-$G2101&lt;=10,$A2101-$I2101&lt;=5,$G2101&gt;0,$I2101&gt;0),$F2101*$H2101,NA()),NA())</f>
        <v/>
      </c>
      <c r="K2101" s="15">
        <f>IF($A2101="","",IF(AH!$U$5=1,IFERROR(MATCH($A2101,'Live History'!$A$5:$A$3004,0),0),AH!$U$7+2096))</f>
        <v/>
      </c>
      <c r="L2101" s="15">
        <f>IF(ISNUMBER(A2101),TEXT(A2101,"dd-mmm-yy"),"")</f>
        <v/>
      </c>
    </row>
    <row r="2102">
      <c r="A2102" s="14">
        <f>IF(OR(AH!$U$4=0,2097+1&gt;AH!$U$6,AND(AH!$M$5="Bloomberg",AH!$U$5=0)),"",IFERROR(IF(AND(AH!$U$12=1,2097+1=AH!$U$6),TODAY(),IF(AH!$U$5=1,INDEX('Live History'!$A$5:$A$3004,AH!$U$7+2097),INDEX('AH History'!$A$5:$A$1380,AH!$U$7+2097))),""))</f>
        <v/>
      </c>
      <c r="B2102" s="33">
        <f>IFERROR(IF(AH!$U$11=1,NA(),$J2102/$E2102-1),NA())</f>
        <v/>
      </c>
      <c r="C2102" s="269">
        <f>IFERROR(100*$E2102/$E$5,NA())</f>
        <v/>
      </c>
      <c r="D2102" s="269">
        <f>IFERROR(100*$J2102/$J$5,NA())</f>
        <v/>
      </c>
      <c r="E2102" s="32">
        <f>IFERROR(IF(AND(ISNUMBER($A2102),N(IF(AND(AH!$U$12=1,2097+1=AH!$U$6),IF(AH!$U$4=0,"unavailable",INDEX('Market Data'!$AN$5:$AN$66,AH!$U$4)),IF(AH!$U$5=1,INDEX('Live History'!$B$5:$B$3004,$K2102),INDEX('AH History'!$D$5:$GG$1380,$K2102,AH!$U$10))))&gt;0),IF(AND(AH!$U$12=1,2097+1=AH!$U$6),IF(AH!$U$4=0,"unavailable",INDEX('Market Data'!$AN$5:$AN$66,AH!$U$4)),IF(AH!$U$5=1,INDEX('Live History'!$B$5:$B$3004,$K2102),INDEX('AH History'!$D$5:$GG$1380,$K2102,AH!$U$10))),NA()),NA())</f>
        <v/>
      </c>
      <c r="F2102" s="32">
        <f>IFERROR(IF(ISNUMBER($A2102),IF(AND(AH!$U$12=1,2097+1=AH!$U$6),IF(AH!$U$4=0,"unavailable",INDEX('Market Data'!$AO$5:$AO$66,AH!$U$4)),IF(AH!$U$5=1,INDEX('Live History'!$E$5:$E$3004,MATCH($A2102,'Live History'!$D$5:$D$3004,1)),INDEX('AH History'!$D$5:$GG$1380,$K2102,AH!$U$10+1))),NA()),NA())</f>
        <v/>
      </c>
      <c r="G2102" s="34">
        <f>IFERROR(IF(ISNUMBER($A2102),IF(AND(AH!$U$12=1,2097+1=AH!$U$6),IF(AH!$U$4=0,"unavailable",INDEX('Market Data'!$AK$5:$AK$66,AH!$U$4)),IF(AH!$U$5=1,INDEX('Live History'!$D$5:$D$3004,MATCH($A2102,'Live History'!$D$5:$D$3004,1)),INDEX('AH History'!$D$5:$GG$1380,$K2102,AH!$U$10+2))),NA()),NA())</f>
        <v/>
      </c>
      <c r="H2102" s="266">
        <f>IFERROR(IF(ISNUMBER($A2102),IF(AND(AH!$U$12=1,2097+1=AH!$U$6),IF(AH!$U$4=0,"unavailable",INDEX('Market Data'!$AP$5:$AP$66,AH!$U$4)),IF(AH!$U$5=1,INDEX('Live History'!$H$5:$H$3004,MATCH($A2102,'Live History'!$G$5:$G$3004,1)),INDEX('AH History'!$B$5:$B$1380,$K2102))),NA()),NA())</f>
        <v/>
      </c>
      <c r="I2102" s="34">
        <f>IFERROR(IF(ISNUMBER($A2102),IF(AND(AH!$U$12=1,2097+1=AH!$U$6),TODAY(),IF(AH!$U$5=1,INDEX('Live History'!$G$5:$G$3004,MATCH($A2102,'Live History'!$G$5:$G$3004,1)),INDEX('AH History'!$C$5:$C$1380,$K2102))),NA()),NA())</f>
        <v/>
      </c>
      <c r="J2102" s="32">
        <f>IFERROR(IF(AND($F2102&gt;0,$H2102&gt;0,$A2102-$G2102&lt;=10,$A2102-$I2102&lt;=5,$G2102&gt;0,$I2102&gt;0),$F2102*$H2102,NA()),NA())</f>
        <v/>
      </c>
      <c r="K2102" s="15">
        <f>IF($A2102="","",IF(AH!$U$5=1,IFERROR(MATCH($A2102,'Live History'!$A$5:$A$3004,0),0),AH!$U$7+2097))</f>
        <v/>
      </c>
      <c r="L2102" s="15">
        <f>IF(ISNUMBER(A2102),TEXT(A2102,"dd-mmm-yy"),"")</f>
        <v/>
      </c>
    </row>
    <row r="2103">
      <c r="A2103" s="14">
        <f>IF(OR(AH!$U$4=0,2098+1&gt;AH!$U$6,AND(AH!$M$5="Bloomberg",AH!$U$5=0)),"",IFERROR(IF(AND(AH!$U$12=1,2098+1=AH!$U$6),TODAY(),IF(AH!$U$5=1,INDEX('Live History'!$A$5:$A$3004,AH!$U$7+2098),INDEX('AH History'!$A$5:$A$1380,AH!$U$7+2098))),""))</f>
        <v/>
      </c>
      <c r="B2103" s="33">
        <f>IFERROR(IF(AH!$U$11=1,NA(),$J2103/$E2103-1),NA())</f>
        <v/>
      </c>
      <c r="C2103" s="269">
        <f>IFERROR(100*$E2103/$E$5,NA())</f>
        <v/>
      </c>
      <c r="D2103" s="269">
        <f>IFERROR(100*$J2103/$J$5,NA())</f>
        <v/>
      </c>
      <c r="E2103" s="32">
        <f>IFERROR(IF(AND(ISNUMBER($A2103),N(IF(AND(AH!$U$12=1,2098+1=AH!$U$6),IF(AH!$U$4=0,"unavailable",INDEX('Market Data'!$AN$5:$AN$66,AH!$U$4)),IF(AH!$U$5=1,INDEX('Live History'!$B$5:$B$3004,$K2103),INDEX('AH History'!$D$5:$GG$1380,$K2103,AH!$U$10))))&gt;0),IF(AND(AH!$U$12=1,2098+1=AH!$U$6),IF(AH!$U$4=0,"unavailable",INDEX('Market Data'!$AN$5:$AN$66,AH!$U$4)),IF(AH!$U$5=1,INDEX('Live History'!$B$5:$B$3004,$K2103),INDEX('AH History'!$D$5:$GG$1380,$K2103,AH!$U$10))),NA()),NA())</f>
        <v/>
      </c>
      <c r="F2103" s="32">
        <f>IFERROR(IF(ISNUMBER($A2103),IF(AND(AH!$U$12=1,2098+1=AH!$U$6),IF(AH!$U$4=0,"unavailable",INDEX('Market Data'!$AO$5:$AO$66,AH!$U$4)),IF(AH!$U$5=1,INDEX('Live History'!$E$5:$E$3004,MATCH($A2103,'Live History'!$D$5:$D$3004,1)),INDEX('AH History'!$D$5:$GG$1380,$K2103,AH!$U$10+1))),NA()),NA())</f>
        <v/>
      </c>
      <c r="G2103" s="34">
        <f>IFERROR(IF(ISNUMBER($A2103),IF(AND(AH!$U$12=1,2098+1=AH!$U$6),IF(AH!$U$4=0,"unavailable",INDEX('Market Data'!$AK$5:$AK$66,AH!$U$4)),IF(AH!$U$5=1,INDEX('Live History'!$D$5:$D$3004,MATCH($A2103,'Live History'!$D$5:$D$3004,1)),INDEX('AH History'!$D$5:$GG$1380,$K2103,AH!$U$10+2))),NA()),NA())</f>
        <v/>
      </c>
      <c r="H2103" s="266">
        <f>IFERROR(IF(ISNUMBER($A2103),IF(AND(AH!$U$12=1,2098+1=AH!$U$6),IF(AH!$U$4=0,"unavailable",INDEX('Market Data'!$AP$5:$AP$66,AH!$U$4)),IF(AH!$U$5=1,INDEX('Live History'!$H$5:$H$3004,MATCH($A2103,'Live History'!$G$5:$G$3004,1)),INDEX('AH History'!$B$5:$B$1380,$K2103))),NA()),NA())</f>
        <v/>
      </c>
      <c r="I2103" s="34">
        <f>IFERROR(IF(ISNUMBER($A2103),IF(AND(AH!$U$12=1,2098+1=AH!$U$6),TODAY(),IF(AH!$U$5=1,INDEX('Live History'!$G$5:$G$3004,MATCH($A2103,'Live History'!$G$5:$G$3004,1)),INDEX('AH History'!$C$5:$C$1380,$K2103))),NA()),NA())</f>
        <v/>
      </c>
      <c r="J2103" s="32">
        <f>IFERROR(IF(AND($F2103&gt;0,$H2103&gt;0,$A2103-$G2103&lt;=10,$A2103-$I2103&lt;=5,$G2103&gt;0,$I2103&gt;0),$F2103*$H2103,NA()),NA())</f>
        <v/>
      </c>
      <c r="K2103" s="15">
        <f>IF($A2103="","",IF(AH!$U$5=1,IFERROR(MATCH($A2103,'Live History'!$A$5:$A$3004,0),0),AH!$U$7+2098))</f>
        <v/>
      </c>
      <c r="L2103" s="15">
        <f>IF(ISNUMBER(A2103),TEXT(A2103,"dd-mmm-yy"),"")</f>
        <v/>
      </c>
    </row>
    <row r="2104">
      <c r="A2104" s="14">
        <f>IF(OR(AH!$U$4=0,2099+1&gt;AH!$U$6,AND(AH!$M$5="Bloomberg",AH!$U$5=0)),"",IFERROR(IF(AND(AH!$U$12=1,2099+1=AH!$U$6),TODAY(),IF(AH!$U$5=1,INDEX('Live History'!$A$5:$A$3004,AH!$U$7+2099),INDEX('AH History'!$A$5:$A$1380,AH!$U$7+2099))),""))</f>
        <v/>
      </c>
      <c r="B2104" s="33">
        <f>IFERROR(IF(AH!$U$11=1,NA(),$J2104/$E2104-1),NA())</f>
        <v/>
      </c>
      <c r="C2104" s="269">
        <f>IFERROR(100*$E2104/$E$5,NA())</f>
        <v/>
      </c>
      <c r="D2104" s="269">
        <f>IFERROR(100*$J2104/$J$5,NA())</f>
        <v/>
      </c>
      <c r="E2104" s="32">
        <f>IFERROR(IF(AND(ISNUMBER($A2104),N(IF(AND(AH!$U$12=1,2099+1=AH!$U$6),IF(AH!$U$4=0,"unavailable",INDEX('Market Data'!$AN$5:$AN$66,AH!$U$4)),IF(AH!$U$5=1,INDEX('Live History'!$B$5:$B$3004,$K2104),INDEX('AH History'!$D$5:$GG$1380,$K2104,AH!$U$10))))&gt;0),IF(AND(AH!$U$12=1,2099+1=AH!$U$6),IF(AH!$U$4=0,"unavailable",INDEX('Market Data'!$AN$5:$AN$66,AH!$U$4)),IF(AH!$U$5=1,INDEX('Live History'!$B$5:$B$3004,$K2104),INDEX('AH History'!$D$5:$GG$1380,$K2104,AH!$U$10))),NA()),NA())</f>
        <v/>
      </c>
      <c r="F2104" s="32">
        <f>IFERROR(IF(ISNUMBER($A2104),IF(AND(AH!$U$12=1,2099+1=AH!$U$6),IF(AH!$U$4=0,"unavailable",INDEX('Market Data'!$AO$5:$AO$66,AH!$U$4)),IF(AH!$U$5=1,INDEX('Live History'!$E$5:$E$3004,MATCH($A2104,'Live History'!$D$5:$D$3004,1)),INDEX('AH History'!$D$5:$GG$1380,$K2104,AH!$U$10+1))),NA()),NA())</f>
        <v/>
      </c>
      <c r="G2104" s="34">
        <f>IFERROR(IF(ISNUMBER($A2104),IF(AND(AH!$U$12=1,2099+1=AH!$U$6),IF(AH!$U$4=0,"unavailable",INDEX('Market Data'!$AK$5:$AK$66,AH!$U$4)),IF(AH!$U$5=1,INDEX('Live History'!$D$5:$D$3004,MATCH($A2104,'Live History'!$D$5:$D$3004,1)),INDEX('AH History'!$D$5:$GG$1380,$K2104,AH!$U$10+2))),NA()),NA())</f>
        <v/>
      </c>
      <c r="H2104" s="266">
        <f>IFERROR(IF(ISNUMBER($A2104),IF(AND(AH!$U$12=1,2099+1=AH!$U$6),IF(AH!$U$4=0,"unavailable",INDEX('Market Data'!$AP$5:$AP$66,AH!$U$4)),IF(AH!$U$5=1,INDEX('Live History'!$H$5:$H$3004,MATCH($A2104,'Live History'!$G$5:$G$3004,1)),INDEX('AH History'!$B$5:$B$1380,$K2104))),NA()),NA())</f>
        <v/>
      </c>
      <c r="I2104" s="34">
        <f>IFERROR(IF(ISNUMBER($A2104),IF(AND(AH!$U$12=1,2099+1=AH!$U$6),TODAY(),IF(AH!$U$5=1,INDEX('Live History'!$G$5:$G$3004,MATCH($A2104,'Live History'!$G$5:$G$3004,1)),INDEX('AH History'!$C$5:$C$1380,$K2104))),NA()),NA())</f>
        <v/>
      </c>
      <c r="J2104" s="32">
        <f>IFERROR(IF(AND($F2104&gt;0,$H2104&gt;0,$A2104-$G2104&lt;=10,$A2104-$I2104&lt;=5,$G2104&gt;0,$I2104&gt;0),$F2104*$H2104,NA()),NA())</f>
        <v/>
      </c>
      <c r="K2104" s="15">
        <f>IF($A2104="","",IF(AH!$U$5=1,IFERROR(MATCH($A2104,'Live History'!$A$5:$A$3004,0),0),AH!$U$7+2099))</f>
        <v/>
      </c>
      <c r="L2104" s="15">
        <f>IF(ISNUMBER(A2104),TEXT(A2104,"dd-mmm-yy"),"")</f>
        <v/>
      </c>
    </row>
    <row r="2105">
      <c r="A2105" s="14">
        <f>IF(OR(AH!$U$4=0,2100+1&gt;AH!$U$6,AND(AH!$M$5="Bloomberg",AH!$U$5=0)),"",IFERROR(IF(AND(AH!$U$12=1,2100+1=AH!$U$6),TODAY(),IF(AH!$U$5=1,INDEX('Live History'!$A$5:$A$3004,AH!$U$7+2100),INDEX('AH History'!$A$5:$A$1380,AH!$U$7+2100))),""))</f>
        <v/>
      </c>
      <c r="B2105" s="33">
        <f>IFERROR(IF(AH!$U$11=1,NA(),$J2105/$E2105-1),NA())</f>
        <v/>
      </c>
      <c r="C2105" s="269">
        <f>IFERROR(100*$E2105/$E$5,NA())</f>
        <v/>
      </c>
      <c r="D2105" s="269">
        <f>IFERROR(100*$J2105/$J$5,NA())</f>
        <v/>
      </c>
      <c r="E2105" s="32">
        <f>IFERROR(IF(AND(ISNUMBER($A2105),N(IF(AND(AH!$U$12=1,2100+1=AH!$U$6),IF(AH!$U$4=0,"unavailable",INDEX('Market Data'!$AN$5:$AN$66,AH!$U$4)),IF(AH!$U$5=1,INDEX('Live History'!$B$5:$B$3004,$K2105),INDEX('AH History'!$D$5:$GG$1380,$K2105,AH!$U$10))))&gt;0),IF(AND(AH!$U$12=1,2100+1=AH!$U$6),IF(AH!$U$4=0,"unavailable",INDEX('Market Data'!$AN$5:$AN$66,AH!$U$4)),IF(AH!$U$5=1,INDEX('Live History'!$B$5:$B$3004,$K2105),INDEX('AH History'!$D$5:$GG$1380,$K2105,AH!$U$10))),NA()),NA())</f>
        <v/>
      </c>
      <c r="F2105" s="32">
        <f>IFERROR(IF(ISNUMBER($A2105),IF(AND(AH!$U$12=1,2100+1=AH!$U$6),IF(AH!$U$4=0,"unavailable",INDEX('Market Data'!$AO$5:$AO$66,AH!$U$4)),IF(AH!$U$5=1,INDEX('Live History'!$E$5:$E$3004,MATCH($A2105,'Live History'!$D$5:$D$3004,1)),INDEX('AH History'!$D$5:$GG$1380,$K2105,AH!$U$10+1))),NA()),NA())</f>
        <v/>
      </c>
      <c r="G2105" s="34">
        <f>IFERROR(IF(ISNUMBER($A2105),IF(AND(AH!$U$12=1,2100+1=AH!$U$6),IF(AH!$U$4=0,"unavailable",INDEX('Market Data'!$AK$5:$AK$66,AH!$U$4)),IF(AH!$U$5=1,INDEX('Live History'!$D$5:$D$3004,MATCH($A2105,'Live History'!$D$5:$D$3004,1)),INDEX('AH History'!$D$5:$GG$1380,$K2105,AH!$U$10+2))),NA()),NA())</f>
        <v/>
      </c>
      <c r="H2105" s="266">
        <f>IFERROR(IF(ISNUMBER($A2105),IF(AND(AH!$U$12=1,2100+1=AH!$U$6),IF(AH!$U$4=0,"unavailable",INDEX('Market Data'!$AP$5:$AP$66,AH!$U$4)),IF(AH!$U$5=1,INDEX('Live History'!$H$5:$H$3004,MATCH($A2105,'Live History'!$G$5:$G$3004,1)),INDEX('AH History'!$B$5:$B$1380,$K2105))),NA()),NA())</f>
        <v/>
      </c>
      <c r="I2105" s="34">
        <f>IFERROR(IF(ISNUMBER($A2105),IF(AND(AH!$U$12=1,2100+1=AH!$U$6),TODAY(),IF(AH!$U$5=1,INDEX('Live History'!$G$5:$G$3004,MATCH($A2105,'Live History'!$G$5:$G$3004,1)),INDEX('AH History'!$C$5:$C$1380,$K2105))),NA()),NA())</f>
        <v/>
      </c>
      <c r="J2105" s="32">
        <f>IFERROR(IF(AND($F2105&gt;0,$H2105&gt;0,$A2105-$G2105&lt;=10,$A2105-$I2105&lt;=5,$G2105&gt;0,$I2105&gt;0),$F2105*$H2105,NA()),NA())</f>
        <v/>
      </c>
      <c r="K2105" s="15">
        <f>IF($A2105="","",IF(AH!$U$5=1,IFERROR(MATCH($A2105,'Live History'!$A$5:$A$3004,0),0),AH!$U$7+2100))</f>
        <v/>
      </c>
      <c r="L2105" s="15">
        <f>IF(ISNUMBER(A2105),TEXT(A2105,"dd-mmm-yy"),"")</f>
        <v/>
      </c>
    </row>
    <row r="2106">
      <c r="A2106" s="14">
        <f>IF(OR(AH!$U$4=0,2101+1&gt;AH!$U$6,AND(AH!$M$5="Bloomberg",AH!$U$5=0)),"",IFERROR(IF(AND(AH!$U$12=1,2101+1=AH!$U$6),TODAY(),IF(AH!$U$5=1,INDEX('Live History'!$A$5:$A$3004,AH!$U$7+2101),INDEX('AH History'!$A$5:$A$1380,AH!$U$7+2101))),""))</f>
        <v/>
      </c>
      <c r="B2106" s="33">
        <f>IFERROR(IF(AH!$U$11=1,NA(),$J2106/$E2106-1),NA())</f>
        <v/>
      </c>
      <c r="C2106" s="269">
        <f>IFERROR(100*$E2106/$E$5,NA())</f>
        <v/>
      </c>
      <c r="D2106" s="269">
        <f>IFERROR(100*$J2106/$J$5,NA())</f>
        <v/>
      </c>
      <c r="E2106" s="32">
        <f>IFERROR(IF(AND(ISNUMBER($A2106),N(IF(AND(AH!$U$12=1,2101+1=AH!$U$6),IF(AH!$U$4=0,"unavailable",INDEX('Market Data'!$AN$5:$AN$66,AH!$U$4)),IF(AH!$U$5=1,INDEX('Live History'!$B$5:$B$3004,$K2106),INDEX('AH History'!$D$5:$GG$1380,$K2106,AH!$U$10))))&gt;0),IF(AND(AH!$U$12=1,2101+1=AH!$U$6),IF(AH!$U$4=0,"unavailable",INDEX('Market Data'!$AN$5:$AN$66,AH!$U$4)),IF(AH!$U$5=1,INDEX('Live History'!$B$5:$B$3004,$K2106),INDEX('AH History'!$D$5:$GG$1380,$K2106,AH!$U$10))),NA()),NA())</f>
        <v/>
      </c>
      <c r="F2106" s="32">
        <f>IFERROR(IF(ISNUMBER($A2106),IF(AND(AH!$U$12=1,2101+1=AH!$U$6),IF(AH!$U$4=0,"unavailable",INDEX('Market Data'!$AO$5:$AO$66,AH!$U$4)),IF(AH!$U$5=1,INDEX('Live History'!$E$5:$E$3004,MATCH($A2106,'Live History'!$D$5:$D$3004,1)),INDEX('AH History'!$D$5:$GG$1380,$K2106,AH!$U$10+1))),NA()),NA())</f>
        <v/>
      </c>
      <c r="G2106" s="34">
        <f>IFERROR(IF(ISNUMBER($A2106),IF(AND(AH!$U$12=1,2101+1=AH!$U$6),IF(AH!$U$4=0,"unavailable",INDEX('Market Data'!$AK$5:$AK$66,AH!$U$4)),IF(AH!$U$5=1,INDEX('Live History'!$D$5:$D$3004,MATCH($A2106,'Live History'!$D$5:$D$3004,1)),INDEX('AH History'!$D$5:$GG$1380,$K2106,AH!$U$10+2))),NA()),NA())</f>
        <v/>
      </c>
      <c r="H2106" s="266">
        <f>IFERROR(IF(ISNUMBER($A2106),IF(AND(AH!$U$12=1,2101+1=AH!$U$6),IF(AH!$U$4=0,"unavailable",INDEX('Market Data'!$AP$5:$AP$66,AH!$U$4)),IF(AH!$U$5=1,INDEX('Live History'!$H$5:$H$3004,MATCH($A2106,'Live History'!$G$5:$G$3004,1)),INDEX('AH History'!$B$5:$B$1380,$K2106))),NA()),NA())</f>
        <v/>
      </c>
      <c r="I2106" s="34">
        <f>IFERROR(IF(ISNUMBER($A2106),IF(AND(AH!$U$12=1,2101+1=AH!$U$6),TODAY(),IF(AH!$U$5=1,INDEX('Live History'!$G$5:$G$3004,MATCH($A2106,'Live History'!$G$5:$G$3004,1)),INDEX('AH History'!$C$5:$C$1380,$K2106))),NA()),NA())</f>
        <v/>
      </c>
      <c r="J2106" s="32">
        <f>IFERROR(IF(AND($F2106&gt;0,$H2106&gt;0,$A2106-$G2106&lt;=10,$A2106-$I2106&lt;=5,$G2106&gt;0,$I2106&gt;0),$F2106*$H2106,NA()),NA())</f>
        <v/>
      </c>
      <c r="K2106" s="15">
        <f>IF($A2106="","",IF(AH!$U$5=1,IFERROR(MATCH($A2106,'Live History'!$A$5:$A$3004,0),0),AH!$U$7+2101))</f>
        <v/>
      </c>
      <c r="L2106" s="15">
        <f>IF(ISNUMBER(A2106),TEXT(A2106,"dd-mmm-yy"),"")</f>
        <v/>
      </c>
    </row>
    <row r="2107">
      <c r="A2107" s="14">
        <f>IF(OR(AH!$U$4=0,2102+1&gt;AH!$U$6,AND(AH!$M$5="Bloomberg",AH!$U$5=0)),"",IFERROR(IF(AND(AH!$U$12=1,2102+1=AH!$U$6),TODAY(),IF(AH!$U$5=1,INDEX('Live History'!$A$5:$A$3004,AH!$U$7+2102),INDEX('AH History'!$A$5:$A$1380,AH!$U$7+2102))),""))</f>
        <v/>
      </c>
      <c r="B2107" s="33">
        <f>IFERROR(IF(AH!$U$11=1,NA(),$J2107/$E2107-1),NA())</f>
        <v/>
      </c>
      <c r="C2107" s="269">
        <f>IFERROR(100*$E2107/$E$5,NA())</f>
        <v/>
      </c>
      <c r="D2107" s="269">
        <f>IFERROR(100*$J2107/$J$5,NA())</f>
        <v/>
      </c>
      <c r="E2107" s="32">
        <f>IFERROR(IF(AND(ISNUMBER($A2107),N(IF(AND(AH!$U$12=1,2102+1=AH!$U$6),IF(AH!$U$4=0,"unavailable",INDEX('Market Data'!$AN$5:$AN$66,AH!$U$4)),IF(AH!$U$5=1,INDEX('Live History'!$B$5:$B$3004,$K2107),INDEX('AH History'!$D$5:$GG$1380,$K2107,AH!$U$10))))&gt;0),IF(AND(AH!$U$12=1,2102+1=AH!$U$6),IF(AH!$U$4=0,"unavailable",INDEX('Market Data'!$AN$5:$AN$66,AH!$U$4)),IF(AH!$U$5=1,INDEX('Live History'!$B$5:$B$3004,$K2107),INDEX('AH History'!$D$5:$GG$1380,$K2107,AH!$U$10))),NA()),NA())</f>
        <v/>
      </c>
      <c r="F2107" s="32">
        <f>IFERROR(IF(ISNUMBER($A2107),IF(AND(AH!$U$12=1,2102+1=AH!$U$6),IF(AH!$U$4=0,"unavailable",INDEX('Market Data'!$AO$5:$AO$66,AH!$U$4)),IF(AH!$U$5=1,INDEX('Live History'!$E$5:$E$3004,MATCH($A2107,'Live History'!$D$5:$D$3004,1)),INDEX('AH History'!$D$5:$GG$1380,$K2107,AH!$U$10+1))),NA()),NA())</f>
        <v/>
      </c>
      <c r="G2107" s="34">
        <f>IFERROR(IF(ISNUMBER($A2107),IF(AND(AH!$U$12=1,2102+1=AH!$U$6),IF(AH!$U$4=0,"unavailable",INDEX('Market Data'!$AK$5:$AK$66,AH!$U$4)),IF(AH!$U$5=1,INDEX('Live History'!$D$5:$D$3004,MATCH($A2107,'Live History'!$D$5:$D$3004,1)),INDEX('AH History'!$D$5:$GG$1380,$K2107,AH!$U$10+2))),NA()),NA())</f>
        <v/>
      </c>
      <c r="H2107" s="266">
        <f>IFERROR(IF(ISNUMBER($A2107),IF(AND(AH!$U$12=1,2102+1=AH!$U$6),IF(AH!$U$4=0,"unavailable",INDEX('Market Data'!$AP$5:$AP$66,AH!$U$4)),IF(AH!$U$5=1,INDEX('Live History'!$H$5:$H$3004,MATCH($A2107,'Live History'!$G$5:$G$3004,1)),INDEX('AH History'!$B$5:$B$1380,$K2107))),NA()),NA())</f>
        <v/>
      </c>
      <c r="I2107" s="34">
        <f>IFERROR(IF(ISNUMBER($A2107),IF(AND(AH!$U$12=1,2102+1=AH!$U$6),TODAY(),IF(AH!$U$5=1,INDEX('Live History'!$G$5:$G$3004,MATCH($A2107,'Live History'!$G$5:$G$3004,1)),INDEX('AH History'!$C$5:$C$1380,$K2107))),NA()),NA())</f>
        <v/>
      </c>
      <c r="J2107" s="32">
        <f>IFERROR(IF(AND($F2107&gt;0,$H2107&gt;0,$A2107-$G2107&lt;=10,$A2107-$I2107&lt;=5,$G2107&gt;0,$I2107&gt;0),$F2107*$H2107,NA()),NA())</f>
        <v/>
      </c>
      <c r="K2107" s="15">
        <f>IF($A2107="","",IF(AH!$U$5=1,IFERROR(MATCH($A2107,'Live History'!$A$5:$A$3004,0),0),AH!$U$7+2102))</f>
        <v/>
      </c>
      <c r="L2107" s="15">
        <f>IF(ISNUMBER(A2107),TEXT(A2107,"dd-mmm-yy"),"")</f>
        <v/>
      </c>
    </row>
    <row r="2108">
      <c r="A2108" s="14">
        <f>IF(OR(AH!$U$4=0,2103+1&gt;AH!$U$6,AND(AH!$M$5="Bloomberg",AH!$U$5=0)),"",IFERROR(IF(AND(AH!$U$12=1,2103+1=AH!$U$6),TODAY(),IF(AH!$U$5=1,INDEX('Live History'!$A$5:$A$3004,AH!$U$7+2103),INDEX('AH History'!$A$5:$A$1380,AH!$U$7+2103))),""))</f>
        <v/>
      </c>
      <c r="B2108" s="33">
        <f>IFERROR(IF(AH!$U$11=1,NA(),$J2108/$E2108-1),NA())</f>
        <v/>
      </c>
      <c r="C2108" s="269">
        <f>IFERROR(100*$E2108/$E$5,NA())</f>
        <v/>
      </c>
      <c r="D2108" s="269">
        <f>IFERROR(100*$J2108/$J$5,NA())</f>
        <v/>
      </c>
      <c r="E2108" s="32">
        <f>IFERROR(IF(AND(ISNUMBER($A2108),N(IF(AND(AH!$U$12=1,2103+1=AH!$U$6),IF(AH!$U$4=0,"unavailable",INDEX('Market Data'!$AN$5:$AN$66,AH!$U$4)),IF(AH!$U$5=1,INDEX('Live History'!$B$5:$B$3004,$K2108),INDEX('AH History'!$D$5:$GG$1380,$K2108,AH!$U$10))))&gt;0),IF(AND(AH!$U$12=1,2103+1=AH!$U$6),IF(AH!$U$4=0,"unavailable",INDEX('Market Data'!$AN$5:$AN$66,AH!$U$4)),IF(AH!$U$5=1,INDEX('Live History'!$B$5:$B$3004,$K2108),INDEX('AH History'!$D$5:$GG$1380,$K2108,AH!$U$10))),NA()),NA())</f>
        <v/>
      </c>
      <c r="F2108" s="32">
        <f>IFERROR(IF(ISNUMBER($A2108),IF(AND(AH!$U$12=1,2103+1=AH!$U$6),IF(AH!$U$4=0,"unavailable",INDEX('Market Data'!$AO$5:$AO$66,AH!$U$4)),IF(AH!$U$5=1,INDEX('Live History'!$E$5:$E$3004,MATCH($A2108,'Live History'!$D$5:$D$3004,1)),INDEX('AH History'!$D$5:$GG$1380,$K2108,AH!$U$10+1))),NA()),NA())</f>
        <v/>
      </c>
      <c r="G2108" s="34">
        <f>IFERROR(IF(ISNUMBER($A2108),IF(AND(AH!$U$12=1,2103+1=AH!$U$6),IF(AH!$U$4=0,"unavailable",INDEX('Market Data'!$AK$5:$AK$66,AH!$U$4)),IF(AH!$U$5=1,INDEX('Live History'!$D$5:$D$3004,MATCH($A2108,'Live History'!$D$5:$D$3004,1)),INDEX('AH History'!$D$5:$GG$1380,$K2108,AH!$U$10+2))),NA()),NA())</f>
        <v/>
      </c>
      <c r="H2108" s="266">
        <f>IFERROR(IF(ISNUMBER($A2108),IF(AND(AH!$U$12=1,2103+1=AH!$U$6),IF(AH!$U$4=0,"unavailable",INDEX('Market Data'!$AP$5:$AP$66,AH!$U$4)),IF(AH!$U$5=1,INDEX('Live History'!$H$5:$H$3004,MATCH($A2108,'Live History'!$G$5:$G$3004,1)),INDEX('AH History'!$B$5:$B$1380,$K2108))),NA()),NA())</f>
        <v/>
      </c>
      <c r="I2108" s="34">
        <f>IFERROR(IF(ISNUMBER($A2108),IF(AND(AH!$U$12=1,2103+1=AH!$U$6),TODAY(),IF(AH!$U$5=1,INDEX('Live History'!$G$5:$G$3004,MATCH($A2108,'Live History'!$G$5:$G$3004,1)),INDEX('AH History'!$C$5:$C$1380,$K2108))),NA()),NA())</f>
        <v/>
      </c>
      <c r="J2108" s="32">
        <f>IFERROR(IF(AND($F2108&gt;0,$H2108&gt;0,$A2108-$G2108&lt;=10,$A2108-$I2108&lt;=5,$G2108&gt;0,$I2108&gt;0),$F2108*$H2108,NA()),NA())</f>
        <v/>
      </c>
      <c r="K2108" s="15">
        <f>IF($A2108="","",IF(AH!$U$5=1,IFERROR(MATCH($A2108,'Live History'!$A$5:$A$3004,0),0),AH!$U$7+2103))</f>
        <v/>
      </c>
      <c r="L2108" s="15">
        <f>IF(ISNUMBER(A2108),TEXT(A2108,"dd-mmm-yy"),"")</f>
        <v/>
      </c>
    </row>
    <row r="2109">
      <c r="A2109" s="14">
        <f>IF(OR(AH!$U$4=0,2104+1&gt;AH!$U$6,AND(AH!$M$5="Bloomberg",AH!$U$5=0)),"",IFERROR(IF(AND(AH!$U$12=1,2104+1=AH!$U$6),TODAY(),IF(AH!$U$5=1,INDEX('Live History'!$A$5:$A$3004,AH!$U$7+2104),INDEX('AH History'!$A$5:$A$1380,AH!$U$7+2104))),""))</f>
        <v/>
      </c>
      <c r="B2109" s="33">
        <f>IFERROR(IF(AH!$U$11=1,NA(),$J2109/$E2109-1),NA())</f>
        <v/>
      </c>
      <c r="C2109" s="269">
        <f>IFERROR(100*$E2109/$E$5,NA())</f>
        <v/>
      </c>
      <c r="D2109" s="269">
        <f>IFERROR(100*$J2109/$J$5,NA())</f>
        <v/>
      </c>
      <c r="E2109" s="32">
        <f>IFERROR(IF(AND(ISNUMBER($A2109),N(IF(AND(AH!$U$12=1,2104+1=AH!$U$6),IF(AH!$U$4=0,"unavailable",INDEX('Market Data'!$AN$5:$AN$66,AH!$U$4)),IF(AH!$U$5=1,INDEX('Live History'!$B$5:$B$3004,$K2109),INDEX('AH History'!$D$5:$GG$1380,$K2109,AH!$U$10))))&gt;0),IF(AND(AH!$U$12=1,2104+1=AH!$U$6),IF(AH!$U$4=0,"unavailable",INDEX('Market Data'!$AN$5:$AN$66,AH!$U$4)),IF(AH!$U$5=1,INDEX('Live History'!$B$5:$B$3004,$K2109),INDEX('AH History'!$D$5:$GG$1380,$K2109,AH!$U$10))),NA()),NA())</f>
        <v/>
      </c>
      <c r="F2109" s="32">
        <f>IFERROR(IF(ISNUMBER($A2109),IF(AND(AH!$U$12=1,2104+1=AH!$U$6),IF(AH!$U$4=0,"unavailable",INDEX('Market Data'!$AO$5:$AO$66,AH!$U$4)),IF(AH!$U$5=1,INDEX('Live History'!$E$5:$E$3004,MATCH($A2109,'Live History'!$D$5:$D$3004,1)),INDEX('AH History'!$D$5:$GG$1380,$K2109,AH!$U$10+1))),NA()),NA())</f>
        <v/>
      </c>
      <c r="G2109" s="34">
        <f>IFERROR(IF(ISNUMBER($A2109),IF(AND(AH!$U$12=1,2104+1=AH!$U$6),IF(AH!$U$4=0,"unavailable",INDEX('Market Data'!$AK$5:$AK$66,AH!$U$4)),IF(AH!$U$5=1,INDEX('Live History'!$D$5:$D$3004,MATCH($A2109,'Live History'!$D$5:$D$3004,1)),INDEX('AH History'!$D$5:$GG$1380,$K2109,AH!$U$10+2))),NA()),NA())</f>
        <v/>
      </c>
      <c r="H2109" s="266">
        <f>IFERROR(IF(ISNUMBER($A2109),IF(AND(AH!$U$12=1,2104+1=AH!$U$6),IF(AH!$U$4=0,"unavailable",INDEX('Market Data'!$AP$5:$AP$66,AH!$U$4)),IF(AH!$U$5=1,INDEX('Live History'!$H$5:$H$3004,MATCH($A2109,'Live History'!$G$5:$G$3004,1)),INDEX('AH History'!$B$5:$B$1380,$K2109))),NA()),NA())</f>
        <v/>
      </c>
      <c r="I2109" s="34">
        <f>IFERROR(IF(ISNUMBER($A2109),IF(AND(AH!$U$12=1,2104+1=AH!$U$6),TODAY(),IF(AH!$U$5=1,INDEX('Live History'!$G$5:$G$3004,MATCH($A2109,'Live History'!$G$5:$G$3004,1)),INDEX('AH History'!$C$5:$C$1380,$K2109))),NA()),NA())</f>
        <v/>
      </c>
      <c r="J2109" s="32">
        <f>IFERROR(IF(AND($F2109&gt;0,$H2109&gt;0,$A2109-$G2109&lt;=10,$A2109-$I2109&lt;=5,$G2109&gt;0,$I2109&gt;0),$F2109*$H2109,NA()),NA())</f>
        <v/>
      </c>
      <c r="K2109" s="15">
        <f>IF($A2109="","",IF(AH!$U$5=1,IFERROR(MATCH($A2109,'Live History'!$A$5:$A$3004,0),0),AH!$U$7+2104))</f>
        <v/>
      </c>
      <c r="L2109" s="15">
        <f>IF(ISNUMBER(A2109),TEXT(A2109,"dd-mmm-yy"),"")</f>
        <v/>
      </c>
    </row>
    <row r="2110">
      <c r="A2110" s="14">
        <f>IF(OR(AH!$U$4=0,2105+1&gt;AH!$U$6,AND(AH!$M$5="Bloomberg",AH!$U$5=0)),"",IFERROR(IF(AND(AH!$U$12=1,2105+1=AH!$U$6),TODAY(),IF(AH!$U$5=1,INDEX('Live History'!$A$5:$A$3004,AH!$U$7+2105),INDEX('AH History'!$A$5:$A$1380,AH!$U$7+2105))),""))</f>
        <v/>
      </c>
      <c r="B2110" s="33">
        <f>IFERROR(IF(AH!$U$11=1,NA(),$J2110/$E2110-1),NA())</f>
        <v/>
      </c>
      <c r="C2110" s="269">
        <f>IFERROR(100*$E2110/$E$5,NA())</f>
        <v/>
      </c>
      <c r="D2110" s="269">
        <f>IFERROR(100*$J2110/$J$5,NA())</f>
        <v/>
      </c>
      <c r="E2110" s="32">
        <f>IFERROR(IF(AND(ISNUMBER($A2110),N(IF(AND(AH!$U$12=1,2105+1=AH!$U$6),IF(AH!$U$4=0,"unavailable",INDEX('Market Data'!$AN$5:$AN$66,AH!$U$4)),IF(AH!$U$5=1,INDEX('Live History'!$B$5:$B$3004,$K2110),INDEX('AH History'!$D$5:$GG$1380,$K2110,AH!$U$10))))&gt;0),IF(AND(AH!$U$12=1,2105+1=AH!$U$6),IF(AH!$U$4=0,"unavailable",INDEX('Market Data'!$AN$5:$AN$66,AH!$U$4)),IF(AH!$U$5=1,INDEX('Live History'!$B$5:$B$3004,$K2110),INDEX('AH History'!$D$5:$GG$1380,$K2110,AH!$U$10))),NA()),NA())</f>
        <v/>
      </c>
      <c r="F2110" s="32">
        <f>IFERROR(IF(ISNUMBER($A2110),IF(AND(AH!$U$12=1,2105+1=AH!$U$6),IF(AH!$U$4=0,"unavailable",INDEX('Market Data'!$AO$5:$AO$66,AH!$U$4)),IF(AH!$U$5=1,INDEX('Live History'!$E$5:$E$3004,MATCH($A2110,'Live History'!$D$5:$D$3004,1)),INDEX('AH History'!$D$5:$GG$1380,$K2110,AH!$U$10+1))),NA()),NA())</f>
        <v/>
      </c>
      <c r="G2110" s="34">
        <f>IFERROR(IF(ISNUMBER($A2110),IF(AND(AH!$U$12=1,2105+1=AH!$U$6),IF(AH!$U$4=0,"unavailable",INDEX('Market Data'!$AK$5:$AK$66,AH!$U$4)),IF(AH!$U$5=1,INDEX('Live History'!$D$5:$D$3004,MATCH($A2110,'Live History'!$D$5:$D$3004,1)),INDEX('AH History'!$D$5:$GG$1380,$K2110,AH!$U$10+2))),NA()),NA())</f>
        <v/>
      </c>
      <c r="H2110" s="266">
        <f>IFERROR(IF(ISNUMBER($A2110),IF(AND(AH!$U$12=1,2105+1=AH!$U$6),IF(AH!$U$4=0,"unavailable",INDEX('Market Data'!$AP$5:$AP$66,AH!$U$4)),IF(AH!$U$5=1,INDEX('Live History'!$H$5:$H$3004,MATCH($A2110,'Live History'!$G$5:$G$3004,1)),INDEX('AH History'!$B$5:$B$1380,$K2110))),NA()),NA())</f>
        <v/>
      </c>
      <c r="I2110" s="34">
        <f>IFERROR(IF(ISNUMBER($A2110),IF(AND(AH!$U$12=1,2105+1=AH!$U$6),TODAY(),IF(AH!$U$5=1,INDEX('Live History'!$G$5:$G$3004,MATCH($A2110,'Live History'!$G$5:$G$3004,1)),INDEX('AH History'!$C$5:$C$1380,$K2110))),NA()),NA())</f>
        <v/>
      </c>
      <c r="J2110" s="32">
        <f>IFERROR(IF(AND($F2110&gt;0,$H2110&gt;0,$A2110-$G2110&lt;=10,$A2110-$I2110&lt;=5,$G2110&gt;0,$I2110&gt;0),$F2110*$H2110,NA()),NA())</f>
        <v/>
      </c>
      <c r="K2110" s="15">
        <f>IF($A2110="","",IF(AH!$U$5=1,IFERROR(MATCH($A2110,'Live History'!$A$5:$A$3004,0),0),AH!$U$7+2105))</f>
        <v/>
      </c>
      <c r="L2110" s="15">
        <f>IF(ISNUMBER(A2110),TEXT(A2110,"dd-mmm-yy"),"")</f>
        <v/>
      </c>
    </row>
    <row r="2111">
      <c r="A2111" s="14">
        <f>IF(OR(AH!$U$4=0,2106+1&gt;AH!$U$6,AND(AH!$M$5="Bloomberg",AH!$U$5=0)),"",IFERROR(IF(AND(AH!$U$12=1,2106+1=AH!$U$6),TODAY(),IF(AH!$U$5=1,INDEX('Live History'!$A$5:$A$3004,AH!$U$7+2106),INDEX('AH History'!$A$5:$A$1380,AH!$U$7+2106))),""))</f>
        <v/>
      </c>
      <c r="B2111" s="33">
        <f>IFERROR(IF(AH!$U$11=1,NA(),$J2111/$E2111-1),NA())</f>
        <v/>
      </c>
      <c r="C2111" s="269">
        <f>IFERROR(100*$E2111/$E$5,NA())</f>
        <v/>
      </c>
      <c r="D2111" s="269">
        <f>IFERROR(100*$J2111/$J$5,NA())</f>
        <v/>
      </c>
      <c r="E2111" s="32">
        <f>IFERROR(IF(AND(ISNUMBER($A2111),N(IF(AND(AH!$U$12=1,2106+1=AH!$U$6),IF(AH!$U$4=0,"unavailable",INDEX('Market Data'!$AN$5:$AN$66,AH!$U$4)),IF(AH!$U$5=1,INDEX('Live History'!$B$5:$B$3004,$K2111),INDEX('AH History'!$D$5:$GG$1380,$K2111,AH!$U$10))))&gt;0),IF(AND(AH!$U$12=1,2106+1=AH!$U$6),IF(AH!$U$4=0,"unavailable",INDEX('Market Data'!$AN$5:$AN$66,AH!$U$4)),IF(AH!$U$5=1,INDEX('Live History'!$B$5:$B$3004,$K2111),INDEX('AH History'!$D$5:$GG$1380,$K2111,AH!$U$10))),NA()),NA())</f>
        <v/>
      </c>
      <c r="F2111" s="32">
        <f>IFERROR(IF(ISNUMBER($A2111),IF(AND(AH!$U$12=1,2106+1=AH!$U$6),IF(AH!$U$4=0,"unavailable",INDEX('Market Data'!$AO$5:$AO$66,AH!$U$4)),IF(AH!$U$5=1,INDEX('Live History'!$E$5:$E$3004,MATCH($A2111,'Live History'!$D$5:$D$3004,1)),INDEX('AH History'!$D$5:$GG$1380,$K2111,AH!$U$10+1))),NA()),NA())</f>
        <v/>
      </c>
      <c r="G2111" s="34">
        <f>IFERROR(IF(ISNUMBER($A2111),IF(AND(AH!$U$12=1,2106+1=AH!$U$6),IF(AH!$U$4=0,"unavailable",INDEX('Market Data'!$AK$5:$AK$66,AH!$U$4)),IF(AH!$U$5=1,INDEX('Live History'!$D$5:$D$3004,MATCH($A2111,'Live History'!$D$5:$D$3004,1)),INDEX('AH History'!$D$5:$GG$1380,$K2111,AH!$U$10+2))),NA()),NA())</f>
        <v/>
      </c>
      <c r="H2111" s="266">
        <f>IFERROR(IF(ISNUMBER($A2111),IF(AND(AH!$U$12=1,2106+1=AH!$U$6),IF(AH!$U$4=0,"unavailable",INDEX('Market Data'!$AP$5:$AP$66,AH!$U$4)),IF(AH!$U$5=1,INDEX('Live History'!$H$5:$H$3004,MATCH($A2111,'Live History'!$G$5:$G$3004,1)),INDEX('AH History'!$B$5:$B$1380,$K2111))),NA()),NA())</f>
        <v/>
      </c>
      <c r="I2111" s="34">
        <f>IFERROR(IF(ISNUMBER($A2111),IF(AND(AH!$U$12=1,2106+1=AH!$U$6),TODAY(),IF(AH!$U$5=1,INDEX('Live History'!$G$5:$G$3004,MATCH($A2111,'Live History'!$G$5:$G$3004,1)),INDEX('AH History'!$C$5:$C$1380,$K2111))),NA()),NA())</f>
        <v/>
      </c>
      <c r="J2111" s="32">
        <f>IFERROR(IF(AND($F2111&gt;0,$H2111&gt;0,$A2111-$G2111&lt;=10,$A2111-$I2111&lt;=5,$G2111&gt;0,$I2111&gt;0),$F2111*$H2111,NA()),NA())</f>
        <v/>
      </c>
      <c r="K2111" s="15">
        <f>IF($A2111="","",IF(AH!$U$5=1,IFERROR(MATCH($A2111,'Live History'!$A$5:$A$3004,0),0),AH!$U$7+2106))</f>
        <v/>
      </c>
      <c r="L2111" s="15">
        <f>IF(ISNUMBER(A2111),TEXT(A2111,"dd-mmm-yy"),"")</f>
        <v/>
      </c>
    </row>
    <row r="2112">
      <c r="A2112" s="14">
        <f>IF(OR(AH!$U$4=0,2107+1&gt;AH!$U$6,AND(AH!$M$5="Bloomberg",AH!$U$5=0)),"",IFERROR(IF(AND(AH!$U$12=1,2107+1=AH!$U$6),TODAY(),IF(AH!$U$5=1,INDEX('Live History'!$A$5:$A$3004,AH!$U$7+2107),INDEX('AH History'!$A$5:$A$1380,AH!$U$7+2107))),""))</f>
        <v/>
      </c>
      <c r="B2112" s="33">
        <f>IFERROR(IF(AH!$U$11=1,NA(),$J2112/$E2112-1),NA())</f>
        <v/>
      </c>
      <c r="C2112" s="269">
        <f>IFERROR(100*$E2112/$E$5,NA())</f>
        <v/>
      </c>
      <c r="D2112" s="269">
        <f>IFERROR(100*$J2112/$J$5,NA())</f>
        <v/>
      </c>
      <c r="E2112" s="32">
        <f>IFERROR(IF(AND(ISNUMBER($A2112),N(IF(AND(AH!$U$12=1,2107+1=AH!$U$6),IF(AH!$U$4=0,"unavailable",INDEX('Market Data'!$AN$5:$AN$66,AH!$U$4)),IF(AH!$U$5=1,INDEX('Live History'!$B$5:$B$3004,$K2112),INDEX('AH History'!$D$5:$GG$1380,$K2112,AH!$U$10))))&gt;0),IF(AND(AH!$U$12=1,2107+1=AH!$U$6),IF(AH!$U$4=0,"unavailable",INDEX('Market Data'!$AN$5:$AN$66,AH!$U$4)),IF(AH!$U$5=1,INDEX('Live History'!$B$5:$B$3004,$K2112),INDEX('AH History'!$D$5:$GG$1380,$K2112,AH!$U$10))),NA()),NA())</f>
        <v/>
      </c>
      <c r="F2112" s="32">
        <f>IFERROR(IF(ISNUMBER($A2112),IF(AND(AH!$U$12=1,2107+1=AH!$U$6),IF(AH!$U$4=0,"unavailable",INDEX('Market Data'!$AO$5:$AO$66,AH!$U$4)),IF(AH!$U$5=1,INDEX('Live History'!$E$5:$E$3004,MATCH($A2112,'Live History'!$D$5:$D$3004,1)),INDEX('AH History'!$D$5:$GG$1380,$K2112,AH!$U$10+1))),NA()),NA())</f>
        <v/>
      </c>
      <c r="G2112" s="34">
        <f>IFERROR(IF(ISNUMBER($A2112),IF(AND(AH!$U$12=1,2107+1=AH!$U$6),IF(AH!$U$4=0,"unavailable",INDEX('Market Data'!$AK$5:$AK$66,AH!$U$4)),IF(AH!$U$5=1,INDEX('Live History'!$D$5:$D$3004,MATCH($A2112,'Live History'!$D$5:$D$3004,1)),INDEX('AH History'!$D$5:$GG$1380,$K2112,AH!$U$10+2))),NA()),NA())</f>
        <v/>
      </c>
      <c r="H2112" s="266">
        <f>IFERROR(IF(ISNUMBER($A2112),IF(AND(AH!$U$12=1,2107+1=AH!$U$6),IF(AH!$U$4=0,"unavailable",INDEX('Market Data'!$AP$5:$AP$66,AH!$U$4)),IF(AH!$U$5=1,INDEX('Live History'!$H$5:$H$3004,MATCH($A2112,'Live History'!$G$5:$G$3004,1)),INDEX('AH History'!$B$5:$B$1380,$K2112))),NA()),NA())</f>
        <v/>
      </c>
      <c r="I2112" s="34">
        <f>IFERROR(IF(ISNUMBER($A2112),IF(AND(AH!$U$12=1,2107+1=AH!$U$6),TODAY(),IF(AH!$U$5=1,INDEX('Live History'!$G$5:$G$3004,MATCH($A2112,'Live History'!$G$5:$G$3004,1)),INDEX('AH History'!$C$5:$C$1380,$K2112))),NA()),NA())</f>
        <v/>
      </c>
      <c r="J2112" s="32">
        <f>IFERROR(IF(AND($F2112&gt;0,$H2112&gt;0,$A2112-$G2112&lt;=10,$A2112-$I2112&lt;=5,$G2112&gt;0,$I2112&gt;0),$F2112*$H2112,NA()),NA())</f>
        <v/>
      </c>
      <c r="K2112" s="15">
        <f>IF($A2112="","",IF(AH!$U$5=1,IFERROR(MATCH($A2112,'Live History'!$A$5:$A$3004,0),0),AH!$U$7+2107))</f>
        <v/>
      </c>
      <c r="L2112" s="15">
        <f>IF(ISNUMBER(A2112),TEXT(A2112,"dd-mmm-yy"),"")</f>
        <v/>
      </c>
    </row>
    <row r="2113">
      <c r="A2113" s="14">
        <f>IF(OR(AH!$U$4=0,2108+1&gt;AH!$U$6,AND(AH!$M$5="Bloomberg",AH!$U$5=0)),"",IFERROR(IF(AND(AH!$U$12=1,2108+1=AH!$U$6),TODAY(),IF(AH!$U$5=1,INDEX('Live History'!$A$5:$A$3004,AH!$U$7+2108),INDEX('AH History'!$A$5:$A$1380,AH!$U$7+2108))),""))</f>
        <v/>
      </c>
      <c r="B2113" s="33">
        <f>IFERROR(IF(AH!$U$11=1,NA(),$J2113/$E2113-1),NA())</f>
        <v/>
      </c>
      <c r="C2113" s="269">
        <f>IFERROR(100*$E2113/$E$5,NA())</f>
        <v/>
      </c>
      <c r="D2113" s="269">
        <f>IFERROR(100*$J2113/$J$5,NA())</f>
        <v/>
      </c>
      <c r="E2113" s="32">
        <f>IFERROR(IF(AND(ISNUMBER($A2113),N(IF(AND(AH!$U$12=1,2108+1=AH!$U$6),IF(AH!$U$4=0,"unavailable",INDEX('Market Data'!$AN$5:$AN$66,AH!$U$4)),IF(AH!$U$5=1,INDEX('Live History'!$B$5:$B$3004,$K2113),INDEX('AH History'!$D$5:$GG$1380,$K2113,AH!$U$10))))&gt;0),IF(AND(AH!$U$12=1,2108+1=AH!$U$6),IF(AH!$U$4=0,"unavailable",INDEX('Market Data'!$AN$5:$AN$66,AH!$U$4)),IF(AH!$U$5=1,INDEX('Live History'!$B$5:$B$3004,$K2113),INDEX('AH History'!$D$5:$GG$1380,$K2113,AH!$U$10))),NA()),NA())</f>
        <v/>
      </c>
      <c r="F2113" s="32">
        <f>IFERROR(IF(ISNUMBER($A2113),IF(AND(AH!$U$12=1,2108+1=AH!$U$6),IF(AH!$U$4=0,"unavailable",INDEX('Market Data'!$AO$5:$AO$66,AH!$U$4)),IF(AH!$U$5=1,INDEX('Live History'!$E$5:$E$3004,MATCH($A2113,'Live History'!$D$5:$D$3004,1)),INDEX('AH History'!$D$5:$GG$1380,$K2113,AH!$U$10+1))),NA()),NA())</f>
        <v/>
      </c>
      <c r="G2113" s="34">
        <f>IFERROR(IF(ISNUMBER($A2113),IF(AND(AH!$U$12=1,2108+1=AH!$U$6),IF(AH!$U$4=0,"unavailable",INDEX('Market Data'!$AK$5:$AK$66,AH!$U$4)),IF(AH!$U$5=1,INDEX('Live History'!$D$5:$D$3004,MATCH($A2113,'Live History'!$D$5:$D$3004,1)),INDEX('AH History'!$D$5:$GG$1380,$K2113,AH!$U$10+2))),NA()),NA())</f>
        <v/>
      </c>
      <c r="H2113" s="266">
        <f>IFERROR(IF(ISNUMBER($A2113),IF(AND(AH!$U$12=1,2108+1=AH!$U$6),IF(AH!$U$4=0,"unavailable",INDEX('Market Data'!$AP$5:$AP$66,AH!$U$4)),IF(AH!$U$5=1,INDEX('Live History'!$H$5:$H$3004,MATCH($A2113,'Live History'!$G$5:$G$3004,1)),INDEX('AH History'!$B$5:$B$1380,$K2113))),NA()),NA())</f>
        <v/>
      </c>
      <c r="I2113" s="34">
        <f>IFERROR(IF(ISNUMBER($A2113),IF(AND(AH!$U$12=1,2108+1=AH!$U$6),TODAY(),IF(AH!$U$5=1,INDEX('Live History'!$G$5:$G$3004,MATCH($A2113,'Live History'!$G$5:$G$3004,1)),INDEX('AH History'!$C$5:$C$1380,$K2113))),NA()),NA())</f>
        <v/>
      </c>
      <c r="J2113" s="32">
        <f>IFERROR(IF(AND($F2113&gt;0,$H2113&gt;0,$A2113-$G2113&lt;=10,$A2113-$I2113&lt;=5,$G2113&gt;0,$I2113&gt;0),$F2113*$H2113,NA()),NA())</f>
        <v/>
      </c>
      <c r="K2113" s="15">
        <f>IF($A2113="","",IF(AH!$U$5=1,IFERROR(MATCH($A2113,'Live History'!$A$5:$A$3004,0),0),AH!$U$7+2108))</f>
        <v/>
      </c>
      <c r="L2113" s="15">
        <f>IF(ISNUMBER(A2113),TEXT(A2113,"dd-mmm-yy"),"")</f>
        <v/>
      </c>
    </row>
    <row r="2114">
      <c r="A2114" s="14">
        <f>IF(OR(AH!$U$4=0,2109+1&gt;AH!$U$6,AND(AH!$M$5="Bloomberg",AH!$U$5=0)),"",IFERROR(IF(AND(AH!$U$12=1,2109+1=AH!$U$6),TODAY(),IF(AH!$U$5=1,INDEX('Live History'!$A$5:$A$3004,AH!$U$7+2109),INDEX('AH History'!$A$5:$A$1380,AH!$U$7+2109))),""))</f>
        <v/>
      </c>
      <c r="B2114" s="33">
        <f>IFERROR(IF(AH!$U$11=1,NA(),$J2114/$E2114-1),NA())</f>
        <v/>
      </c>
      <c r="C2114" s="269">
        <f>IFERROR(100*$E2114/$E$5,NA())</f>
        <v/>
      </c>
      <c r="D2114" s="269">
        <f>IFERROR(100*$J2114/$J$5,NA())</f>
        <v/>
      </c>
      <c r="E2114" s="32">
        <f>IFERROR(IF(AND(ISNUMBER($A2114),N(IF(AND(AH!$U$12=1,2109+1=AH!$U$6),IF(AH!$U$4=0,"unavailable",INDEX('Market Data'!$AN$5:$AN$66,AH!$U$4)),IF(AH!$U$5=1,INDEX('Live History'!$B$5:$B$3004,$K2114),INDEX('AH History'!$D$5:$GG$1380,$K2114,AH!$U$10))))&gt;0),IF(AND(AH!$U$12=1,2109+1=AH!$U$6),IF(AH!$U$4=0,"unavailable",INDEX('Market Data'!$AN$5:$AN$66,AH!$U$4)),IF(AH!$U$5=1,INDEX('Live History'!$B$5:$B$3004,$K2114),INDEX('AH History'!$D$5:$GG$1380,$K2114,AH!$U$10))),NA()),NA())</f>
        <v/>
      </c>
      <c r="F2114" s="32">
        <f>IFERROR(IF(ISNUMBER($A2114),IF(AND(AH!$U$12=1,2109+1=AH!$U$6),IF(AH!$U$4=0,"unavailable",INDEX('Market Data'!$AO$5:$AO$66,AH!$U$4)),IF(AH!$U$5=1,INDEX('Live History'!$E$5:$E$3004,MATCH($A2114,'Live History'!$D$5:$D$3004,1)),INDEX('AH History'!$D$5:$GG$1380,$K2114,AH!$U$10+1))),NA()),NA())</f>
        <v/>
      </c>
      <c r="G2114" s="34">
        <f>IFERROR(IF(ISNUMBER($A2114),IF(AND(AH!$U$12=1,2109+1=AH!$U$6),IF(AH!$U$4=0,"unavailable",INDEX('Market Data'!$AK$5:$AK$66,AH!$U$4)),IF(AH!$U$5=1,INDEX('Live History'!$D$5:$D$3004,MATCH($A2114,'Live History'!$D$5:$D$3004,1)),INDEX('AH History'!$D$5:$GG$1380,$K2114,AH!$U$10+2))),NA()),NA())</f>
        <v/>
      </c>
      <c r="H2114" s="266">
        <f>IFERROR(IF(ISNUMBER($A2114),IF(AND(AH!$U$12=1,2109+1=AH!$U$6),IF(AH!$U$4=0,"unavailable",INDEX('Market Data'!$AP$5:$AP$66,AH!$U$4)),IF(AH!$U$5=1,INDEX('Live History'!$H$5:$H$3004,MATCH($A2114,'Live History'!$G$5:$G$3004,1)),INDEX('AH History'!$B$5:$B$1380,$K2114))),NA()),NA())</f>
        <v/>
      </c>
      <c r="I2114" s="34">
        <f>IFERROR(IF(ISNUMBER($A2114),IF(AND(AH!$U$12=1,2109+1=AH!$U$6),TODAY(),IF(AH!$U$5=1,INDEX('Live History'!$G$5:$G$3004,MATCH($A2114,'Live History'!$G$5:$G$3004,1)),INDEX('AH History'!$C$5:$C$1380,$K2114))),NA()),NA())</f>
        <v/>
      </c>
      <c r="J2114" s="32">
        <f>IFERROR(IF(AND($F2114&gt;0,$H2114&gt;0,$A2114-$G2114&lt;=10,$A2114-$I2114&lt;=5,$G2114&gt;0,$I2114&gt;0),$F2114*$H2114,NA()),NA())</f>
        <v/>
      </c>
      <c r="K2114" s="15">
        <f>IF($A2114="","",IF(AH!$U$5=1,IFERROR(MATCH($A2114,'Live History'!$A$5:$A$3004,0),0),AH!$U$7+2109))</f>
        <v/>
      </c>
      <c r="L2114" s="15">
        <f>IF(ISNUMBER(A2114),TEXT(A2114,"dd-mmm-yy"),"")</f>
        <v/>
      </c>
    </row>
    <row r="2115">
      <c r="A2115" s="14">
        <f>IF(OR(AH!$U$4=0,2110+1&gt;AH!$U$6,AND(AH!$M$5="Bloomberg",AH!$U$5=0)),"",IFERROR(IF(AND(AH!$U$12=1,2110+1=AH!$U$6),TODAY(),IF(AH!$U$5=1,INDEX('Live History'!$A$5:$A$3004,AH!$U$7+2110),INDEX('AH History'!$A$5:$A$1380,AH!$U$7+2110))),""))</f>
        <v/>
      </c>
      <c r="B2115" s="33">
        <f>IFERROR(IF(AH!$U$11=1,NA(),$J2115/$E2115-1),NA())</f>
        <v/>
      </c>
      <c r="C2115" s="269">
        <f>IFERROR(100*$E2115/$E$5,NA())</f>
        <v/>
      </c>
      <c r="D2115" s="269">
        <f>IFERROR(100*$J2115/$J$5,NA())</f>
        <v/>
      </c>
      <c r="E2115" s="32">
        <f>IFERROR(IF(AND(ISNUMBER($A2115),N(IF(AND(AH!$U$12=1,2110+1=AH!$U$6),IF(AH!$U$4=0,"unavailable",INDEX('Market Data'!$AN$5:$AN$66,AH!$U$4)),IF(AH!$U$5=1,INDEX('Live History'!$B$5:$B$3004,$K2115),INDEX('AH History'!$D$5:$GG$1380,$K2115,AH!$U$10))))&gt;0),IF(AND(AH!$U$12=1,2110+1=AH!$U$6),IF(AH!$U$4=0,"unavailable",INDEX('Market Data'!$AN$5:$AN$66,AH!$U$4)),IF(AH!$U$5=1,INDEX('Live History'!$B$5:$B$3004,$K2115),INDEX('AH History'!$D$5:$GG$1380,$K2115,AH!$U$10))),NA()),NA())</f>
        <v/>
      </c>
      <c r="F2115" s="32">
        <f>IFERROR(IF(ISNUMBER($A2115),IF(AND(AH!$U$12=1,2110+1=AH!$U$6),IF(AH!$U$4=0,"unavailable",INDEX('Market Data'!$AO$5:$AO$66,AH!$U$4)),IF(AH!$U$5=1,INDEX('Live History'!$E$5:$E$3004,MATCH($A2115,'Live History'!$D$5:$D$3004,1)),INDEX('AH History'!$D$5:$GG$1380,$K2115,AH!$U$10+1))),NA()),NA())</f>
        <v/>
      </c>
      <c r="G2115" s="34">
        <f>IFERROR(IF(ISNUMBER($A2115),IF(AND(AH!$U$12=1,2110+1=AH!$U$6),IF(AH!$U$4=0,"unavailable",INDEX('Market Data'!$AK$5:$AK$66,AH!$U$4)),IF(AH!$U$5=1,INDEX('Live History'!$D$5:$D$3004,MATCH($A2115,'Live History'!$D$5:$D$3004,1)),INDEX('AH History'!$D$5:$GG$1380,$K2115,AH!$U$10+2))),NA()),NA())</f>
        <v/>
      </c>
      <c r="H2115" s="266">
        <f>IFERROR(IF(ISNUMBER($A2115),IF(AND(AH!$U$12=1,2110+1=AH!$U$6),IF(AH!$U$4=0,"unavailable",INDEX('Market Data'!$AP$5:$AP$66,AH!$U$4)),IF(AH!$U$5=1,INDEX('Live History'!$H$5:$H$3004,MATCH($A2115,'Live History'!$G$5:$G$3004,1)),INDEX('AH History'!$B$5:$B$1380,$K2115))),NA()),NA())</f>
        <v/>
      </c>
      <c r="I2115" s="34">
        <f>IFERROR(IF(ISNUMBER($A2115),IF(AND(AH!$U$12=1,2110+1=AH!$U$6),TODAY(),IF(AH!$U$5=1,INDEX('Live History'!$G$5:$G$3004,MATCH($A2115,'Live History'!$G$5:$G$3004,1)),INDEX('AH History'!$C$5:$C$1380,$K2115))),NA()),NA())</f>
        <v/>
      </c>
      <c r="J2115" s="32">
        <f>IFERROR(IF(AND($F2115&gt;0,$H2115&gt;0,$A2115-$G2115&lt;=10,$A2115-$I2115&lt;=5,$G2115&gt;0,$I2115&gt;0),$F2115*$H2115,NA()),NA())</f>
        <v/>
      </c>
      <c r="K2115" s="15">
        <f>IF($A2115="","",IF(AH!$U$5=1,IFERROR(MATCH($A2115,'Live History'!$A$5:$A$3004,0),0),AH!$U$7+2110))</f>
        <v/>
      </c>
      <c r="L2115" s="15">
        <f>IF(ISNUMBER(A2115),TEXT(A2115,"dd-mmm-yy"),"")</f>
        <v/>
      </c>
    </row>
    <row r="2116">
      <c r="A2116" s="14">
        <f>IF(OR(AH!$U$4=0,2111+1&gt;AH!$U$6,AND(AH!$M$5="Bloomberg",AH!$U$5=0)),"",IFERROR(IF(AND(AH!$U$12=1,2111+1=AH!$U$6),TODAY(),IF(AH!$U$5=1,INDEX('Live History'!$A$5:$A$3004,AH!$U$7+2111),INDEX('AH History'!$A$5:$A$1380,AH!$U$7+2111))),""))</f>
        <v/>
      </c>
      <c r="B2116" s="33">
        <f>IFERROR(IF(AH!$U$11=1,NA(),$J2116/$E2116-1),NA())</f>
        <v/>
      </c>
      <c r="C2116" s="269">
        <f>IFERROR(100*$E2116/$E$5,NA())</f>
        <v/>
      </c>
      <c r="D2116" s="269">
        <f>IFERROR(100*$J2116/$J$5,NA())</f>
        <v/>
      </c>
      <c r="E2116" s="32">
        <f>IFERROR(IF(AND(ISNUMBER($A2116),N(IF(AND(AH!$U$12=1,2111+1=AH!$U$6),IF(AH!$U$4=0,"unavailable",INDEX('Market Data'!$AN$5:$AN$66,AH!$U$4)),IF(AH!$U$5=1,INDEX('Live History'!$B$5:$B$3004,$K2116),INDEX('AH History'!$D$5:$GG$1380,$K2116,AH!$U$10))))&gt;0),IF(AND(AH!$U$12=1,2111+1=AH!$U$6),IF(AH!$U$4=0,"unavailable",INDEX('Market Data'!$AN$5:$AN$66,AH!$U$4)),IF(AH!$U$5=1,INDEX('Live History'!$B$5:$B$3004,$K2116),INDEX('AH History'!$D$5:$GG$1380,$K2116,AH!$U$10))),NA()),NA())</f>
        <v/>
      </c>
      <c r="F2116" s="32">
        <f>IFERROR(IF(ISNUMBER($A2116),IF(AND(AH!$U$12=1,2111+1=AH!$U$6),IF(AH!$U$4=0,"unavailable",INDEX('Market Data'!$AO$5:$AO$66,AH!$U$4)),IF(AH!$U$5=1,INDEX('Live History'!$E$5:$E$3004,MATCH($A2116,'Live History'!$D$5:$D$3004,1)),INDEX('AH History'!$D$5:$GG$1380,$K2116,AH!$U$10+1))),NA()),NA())</f>
        <v/>
      </c>
      <c r="G2116" s="34">
        <f>IFERROR(IF(ISNUMBER($A2116),IF(AND(AH!$U$12=1,2111+1=AH!$U$6),IF(AH!$U$4=0,"unavailable",INDEX('Market Data'!$AK$5:$AK$66,AH!$U$4)),IF(AH!$U$5=1,INDEX('Live History'!$D$5:$D$3004,MATCH($A2116,'Live History'!$D$5:$D$3004,1)),INDEX('AH History'!$D$5:$GG$1380,$K2116,AH!$U$10+2))),NA()),NA())</f>
        <v/>
      </c>
      <c r="H2116" s="266">
        <f>IFERROR(IF(ISNUMBER($A2116),IF(AND(AH!$U$12=1,2111+1=AH!$U$6),IF(AH!$U$4=0,"unavailable",INDEX('Market Data'!$AP$5:$AP$66,AH!$U$4)),IF(AH!$U$5=1,INDEX('Live History'!$H$5:$H$3004,MATCH($A2116,'Live History'!$G$5:$G$3004,1)),INDEX('AH History'!$B$5:$B$1380,$K2116))),NA()),NA())</f>
        <v/>
      </c>
      <c r="I2116" s="34">
        <f>IFERROR(IF(ISNUMBER($A2116),IF(AND(AH!$U$12=1,2111+1=AH!$U$6),TODAY(),IF(AH!$U$5=1,INDEX('Live History'!$G$5:$G$3004,MATCH($A2116,'Live History'!$G$5:$G$3004,1)),INDEX('AH History'!$C$5:$C$1380,$K2116))),NA()),NA())</f>
        <v/>
      </c>
      <c r="J2116" s="32">
        <f>IFERROR(IF(AND($F2116&gt;0,$H2116&gt;0,$A2116-$G2116&lt;=10,$A2116-$I2116&lt;=5,$G2116&gt;0,$I2116&gt;0),$F2116*$H2116,NA()),NA())</f>
        <v/>
      </c>
      <c r="K2116" s="15">
        <f>IF($A2116="","",IF(AH!$U$5=1,IFERROR(MATCH($A2116,'Live History'!$A$5:$A$3004,0),0),AH!$U$7+2111))</f>
        <v/>
      </c>
      <c r="L2116" s="15">
        <f>IF(ISNUMBER(A2116),TEXT(A2116,"dd-mmm-yy"),"")</f>
        <v/>
      </c>
    </row>
    <row r="2117">
      <c r="A2117" s="14">
        <f>IF(OR(AH!$U$4=0,2112+1&gt;AH!$U$6,AND(AH!$M$5="Bloomberg",AH!$U$5=0)),"",IFERROR(IF(AND(AH!$U$12=1,2112+1=AH!$U$6),TODAY(),IF(AH!$U$5=1,INDEX('Live History'!$A$5:$A$3004,AH!$U$7+2112),INDEX('AH History'!$A$5:$A$1380,AH!$U$7+2112))),""))</f>
        <v/>
      </c>
      <c r="B2117" s="33">
        <f>IFERROR(IF(AH!$U$11=1,NA(),$J2117/$E2117-1),NA())</f>
        <v/>
      </c>
      <c r="C2117" s="269">
        <f>IFERROR(100*$E2117/$E$5,NA())</f>
        <v/>
      </c>
      <c r="D2117" s="269">
        <f>IFERROR(100*$J2117/$J$5,NA())</f>
        <v/>
      </c>
      <c r="E2117" s="32">
        <f>IFERROR(IF(AND(ISNUMBER($A2117),N(IF(AND(AH!$U$12=1,2112+1=AH!$U$6),IF(AH!$U$4=0,"unavailable",INDEX('Market Data'!$AN$5:$AN$66,AH!$U$4)),IF(AH!$U$5=1,INDEX('Live History'!$B$5:$B$3004,$K2117),INDEX('AH History'!$D$5:$GG$1380,$K2117,AH!$U$10))))&gt;0),IF(AND(AH!$U$12=1,2112+1=AH!$U$6),IF(AH!$U$4=0,"unavailable",INDEX('Market Data'!$AN$5:$AN$66,AH!$U$4)),IF(AH!$U$5=1,INDEX('Live History'!$B$5:$B$3004,$K2117),INDEX('AH History'!$D$5:$GG$1380,$K2117,AH!$U$10))),NA()),NA())</f>
        <v/>
      </c>
      <c r="F2117" s="32">
        <f>IFERROR(IF(ISNUMBER($A2117),IF(AND(AH!$U$12=1,2112+1=AH!$U$6),IF(AH!$U$4=0,"unavailable",INDEX('Market Data'!$AO$5:$AO$66,AH!$U$4)),IF(AH!$U$5=1,INDEX('Live History'!$E$5:$E$3004,MATCH($A2117,'Live History'!$D$5:$D$3004,1)),INDEX('AH History'!$D$5:$GG$1380,$K2117,AH!$U$10+1))),NA()),NA())</f>
        <v/>
      </c>
      <c r="G2117" s="34">
        <f>IFERROR(IF(ISNUMBER($A2117),IF(AND(AH!$U$12=1,2112+1=AH!$U$6),IF(AH!$U$4=0,"unavailable",INDEX('Market Data'!$AK$5:$AK$66,AH!$U$4)),IF(AH!$U$5=1,INDEX('Live History'!$D$5:$D$3004,MATCH($A2117,'Live History'!$D$5:$D$3004,1)),INDEX('AH History'!$D$5:$GG$1380,$K2117,AH!$U$10+2))),NA()),NA())</f>
        <v/>
      </c>
      <c r="H2117" s="266">
        <f>IFERROR(IF(ISNUMBER($A2117),IF(AND(AH!$U$12=1,2112+1=AH!$U$6),IF(AH!$U$4=0,"unavailable",INDEX('Market Data'!$AP$5:$AP$66,AH!$U$4)),IF(AH!$U$5=1,INDEX('Live History'!$H$5:$H$3004,MATCH($A2117,'Live History'!$G$5:$G$3004,1)),INDEX('AH History'!$B$5:$B$1380,$K2117))),NA()),NA())</f>
        <v/>
      </c>
      <c r="I2117" s="34">
        <f>IFERROR(IF(ISNUMBER($A2117),IF(AND(AH!$U$12=1,2112+1=AH!$U$6),TODAY(),IF(AH!$U$5=1,INDEX('Live History'!$G$5:$G$3004,MATCH($A2117,'Live History'!$G$5:$G$3004,1)),INDEX('AH History'!$C$5:$C$1380,$K2117))),NA()),NA())</f>
        <v/>
      </c>
      <c r="J2117" s="32">
        <f>IFERROR(IF(AND($F2117&gt;0,$H2117&gt;0,$A2117-$G2117&lt;=10,$A2117-$I2117&lt;=5,$G2117&gt;0,$I2117&gt;0),$F2117*$H2117,NA()),NA())</f>
        <v/>
      </c>
      <c r="K2117" s="15">
        <f>IF($A2117="","",IF(AH!$U$5=1,IFERROR(MATCH($A2117,'Live History'!$A$5:$A$3004,0),0),AH!$U$7+2112))</f>
        <v/>
      </c>
      <c r="L2117" s="15">
        <f>IF(ISNUMBER(A2117),TEXT(A2117,"dd-mmm-yy"),"")</f>
        <v/>
      </c>
    </row>
    <row r="2118">
      <c r="A2118" s="14">
        <f>IF(OR(AH!$U$4=0,2113+1&gt;AH!$U$6,AND(AH!$M$5="Bloomberg",AH!$U$5=0)),"",IFERROR(IF(AND(AH!$U$12=1,2113+1=AH!$U$6),TODAY(),IF(AH!$U$5=1,INDEX('Live History'!$A$5:$A$3004,AH!$U$7+2113),INDEX('AH History'!$A$5:$A$1380,AH!$U$7+2113))),""))</f>
        <v/>
      </c>
      <c r="B2118" s="33">
        <f>IFERROR(IF(AH!$U$11=1,NA(),$J2118/$E2118-1),NA())</f>
        <v/>
      </c>
      <c r="C2118" s="269">
        <f>IFERROR(100*$E2118/$E$5,NA())</f>
        <v/>
      </c>
      <c r="D2118" s="269">
        <f>IFERROR(100*$J2118/$J$5,NA())</f>
        <v/>
      </c>
      <c r="E2118" s="32">
        <f>IFERROR(IF(AND(ISNUMBER($A2118),N(IF(AND(AH!$U$12=1,2113+1=AH!$U$6),IF(AH!$U$4=0,"unavailable",INDEX('Market Data'!$AN$5:$AN$66,AH!$U$4)),IF(AH!$U$5=1,INDEX('Live History'!$B$5:$B$3004,$K2118),INDEX('AH History'!$D$5:$GG$1380,$K2118,AH!$U$10))))&gt;0),IF(AND(AH!$U$12=1,2113+1=AH!$U$6),IF(AH!$U$4=0,"unavailable",INDEX('Market Data'!$AN$5:$AN$66,AH!$U$4)),IF(AH!$U$5=1,INDEX('Live History'!$B$5:$B$3004,$K2118),INDEX('AH History'!$D$5:$GG$1380,$K2118,AH!$U$10))),NA()),NA())</f>
        <v/>
      </c>
      <c r="F2118" s="32">
        <f>IFERROR(IF(ISNUMBER($A2118),IF(AND(AH!$U$12=1,2113+1=AH!$U$6),IF(AH!$U$4=0,"unavailable",INDEX('Market Data'!$AO$5:$AO$66,AH!$U$4)),IF(AH!$U$5=1,INDEX('Live History'!$E$5:$E$3004,MATCH($A2118,'Live History'!$D$5:$D$3004,1)),INDEX('AH History'!$D$5:$GG$1380,$K2118,AH!$U$10+1))),NA()),NA())</f>
        <v/>
      </c>
      <c r="G2118" s="34">
        <f>IFERROR(IF(ISNUMBER($A2118),IF(AND(AH!$U$12=1,2113+1=AH!$U$6),IF(AH!$U$4=0,"unavailable",INDEX('Market Data'!$AK$5:$AK$66,AH!$U$4)),IF(AH!$U$5=1,INDEX('Live History'!$D$5:$D$3004,MATCH($A2118,'Live History'!$D$5:$D$3004,1)),INDEX('AH History'!$D$5:$GG$1380,$K2118,AH!$U$10+2))),NA()),NA())</f>
        <v/>
      </c>
      <c r="H2118" s="266">
        <f>IFERROR(IF(ISNUMBER($A2118),IF(AND(AH!$U$12=1,2113+1=AH!$U$6),IF(AH!$U$4=0,"unavailable",INDEX('Market Data'!$AP$5:$AP$66,AH!$U$4)),IF(AH!$U$5=1,INDEX('Live History'!$H$5:$H$3004,MATCH($A2118,'Live History'!$G$5:$G$3004,1)),INDEX('AH History'!$B$5:$B$1380,$K2118))),NA()),NA())</f>
        <v/>
      </c>
      <c r="I2118" s="34">
        <f>IFERROR(IF(ISNUMBER($A2118),IF(AND(AH!$U$12=1,2113+1=AH!$U$6),TODAY(),IF(AH!$U$5=1,INDEX('Live History'!$G$5:$G$3004,MATCH($A2118,'Live History'!$G$5:$G$3004,1)),INDEX('AH History'!$C$5:$C$1380,$K2118))),NA()),NA())</f>
        <v/>
      </c>
      <c r="J2118" s="32">
        <f>IFERROR(IF(AND($F2118&gt;0,$H2118&gt;0,$A2118-$G2118&lt;=10,$A2118-$I2118&lt;=5,$G2118&gt;0,$I2118&gt;0),$F2118*$H2118,NA()),NA())</f>
        <v/>
      </c>
      <c r="K2118" s="15">
        <f>IF($A2118="","",IF(AH!$U$5=1,IFERROR(MATCH($A2118,'Live History'!$A$5:$A$3004,0),0),AH!$U$7+2113))</f>
        <v/>
      </c>
      <c r="L2118" s="15">
        <f>IF(ISNUMBER(A2118),TEXT(A2118,"dd-mmm-yy"),"")</f>
        <v/>
      </c>
    </row>
    <row r="2119">
      <c r="A2119" s="14">
        <f>IF(OR(AH!$U$4=0,2114+1&gt;AH!$U$6,AND(AH!$M$5="Bloomberg",AH!$U$5=0)),"",IFERROR(IF(AND(AH!$U$12=1,2114+1=AH!$U$6),TODAY(),IF(AH!$U$5=1,INDEX('Live History'!$A$5:$A$3004,AH!$U$7+2114),INDEX('AH History'!$A$5:$A$1380,AH!$U$7+2114))),""))</f>
        <v/>
      </c>
      <c r="B2119" s="33">
        <f>IFERROR(IF(AH!$U$11=1,NA(),$J2119/$E2119-1),NA())</f>
        <v/>
      </c>
      <c r="C2119" s="269">
        <f>IFERROR(100*$E2119/$E$5,NA())</f>
        <v/>
      </c>
      <c r="D2119" s="269">
        <f>IFERROR(100*$J2119/$J$5,NA())</f>
        <v/>
      </c>
      <c r="E2119" s="32">
        <f>IFERROR(IF(AND(ISNUMBER($A2119),N(IF(AND(AH!$U$12=1,2114+1=AH!$U$6),IF(AH!$U$4=0,"unavailable",INDEX('Market Data'!$AN$5:$AN$66,AH!$U$4)),IF(AH!$U$5=1,INDEX('Live History'!$B$5:$B$3004,$K2119),INDEX('AH History'!$D$5:$GG$1380,$K2119,AH!$U$10))))&gt;0),IF(AND(AH!$U$12=1,2114+1=AH!$U$6),IF(AH!$U$4=0,"unavailable",INDEX('Market Data'!$AN$5:$AN$66,AH!$U$4)),IF(AH!$U$5=1,INDEX('Live History'!$B$5:$B$3004,$K2119),INDEX('AH History'!$D$5:$GG$1380,$K2119,AH!$U$10))),NA()),NA())</f>
        <v/>
      </c>
      <c r="F2119" s="32">
        <f>IFERROR(IF(ISNUMBER($A2119),IF(AND(AH!$U$12=1,2114+1=AH!$U$6),IF(AH!$U$4=0,"unavailable",INDEX('Market Data'!$AO$5:$AO$66,AH!$U$4)),IF(AH!$U$5=1,INDEX('Live History'!$E$5:$E$3004,MATCH($A2119,'Live History'!$D$5:$D$3004,1)),INDEX('AH History'!$D$5:$GG$1380,$K2119,AH!$U$10+1))),NA()),NA())</f>
        <v/>
      </c>
      <c r="G2119" s="34">
        <f>IFERROR(IF(ISNUMBER($A2119),IF(AND(AH!$U$12=1,2114+1=AH!$U$6),IF(AH!$U$4=0,"unavailable",INDEX('Market Data'!$AK$5:$AK$66,AH!$U$4)),IF(AH!$U$5=1,INDEX('Live History'!$D$5:$D$3004,MATCH($A2119,'Live History'!$D$5:$D$3004,1)),INDEX('AH History'!$D$5:$GG$1380,$K2119,AH!$U$10+2))),NA()),NA())</f>
        <v/>
      </c>
      <c r="H2119" s="266">
        <f>IFERROR(IF(ISNUMBER($A2119),IF(AND(AH!$U$12=1,2114+1=AH!$U$6),IF(AH!$U$4=0,"unavailable",INDEX('Market Data'!$AP$5:$AP$66,AH!$U$4)),IF(AH!$U$5=1,INDEX('Live History'!$H$5:$H$3004,MATCH($A2119,'Live History'!$G$5:$G$3004,1)),INDEX('AH History'!$B$5:$B$1380,$K2119))),NA()),NA())</f>
        <v/>
      </c>
      <c r="I2119" s="34">
        <f>IFERROR(IF(ISNUMBER($A2119),IF(AND(AH!$U$12=1,2114+1=AH!$U$6),TODAY(),IF(AH!$U$5=1,INDEX('Live History'!$G$5:$G$3004,MATCH($A2119,'Live History'!$G$5:$G$3004,1)),INDEX('AH History'!$C$5:$C$1380,$K2119))),NA()),NA())</f>
        <v/>
      </c>
      <c r="J2119" s="32">
        <f>IFERROR(IF(AND($F2119&gt;0,$H2119&gt;0,$A2119-$G2119&lt;=10,$A2119-$I2119&lt;=5,$G2119&gt;0,$I2119&gt;0),$F2119*$H2119,NA()),NA())</f>
        <v/>
      </c>
      <c r="K2119" s="15">
        <f>IF($A2119="","",IF(AH!$U$5=1,IFERROR(MATCH($A2119,'Live History'!$A$5:$A$3004,0),0),AH!$U$7+2114))</f>
        <v/>
      </c>
      <c r="L2119" s="15">
        <f>IF(ISNUMBER(A2119),TEXT(A2119,"dd-mmm-yy"),"")</f>
        <v/>
      </c>
    </row>
    <row r="2120">
      <c r="A2120" s="14">
        <f>IF(OR(AH!$U$4=0,2115+1&gt;AH!$U$6,AND(AH!$M$5="Bloomberg",AH!$U$5=0)),"",IFERROR(IF(AND(AH!$U$12=1,2115+1=AH!$U$6),TODAY(),IF(AH!$U$5=1,INDEX('Live History'!$A$5:$A$3004,AH!$U$7+2115),INDEX('AH History'!$A$5:$A$1380,AH!$U$7+2115))),""))</f>
        <v/>
      </c>
      <c r="B2120" s="33">
        <f>IFERROR(IF(AH!$U$11=1,NA(),$J2120/$E2120-1),NA())</f>
        <v/>
      </c>
      <c r="C2120" s="269">
        <f>IFERROR(100*$E2120/$E$5,NA())</f>
        <v/>
      </c>
      <c r="D2120" s="269">
        <f>IFERROR(100*$J2120/$J$5,NA())</f>
        <v/>
      </c>
      <c r="E2120" s="32">
        <f>IFERROR(IF(AND(ISNUMBER($A2120),N(IF(AND(AH!$U$12=1,2115+1=AH!$U$6),IF(AH!$U$4=0,"unavailable",INDEX('Market Data'!$AN$5:$AN$66,AH!$U$4)),IF(AH!$U$5=1,INDEX('Live History'!$B$5:$B$3004,$K2120),INDEX('AH History'!$D$5:$GG$1380,$K2120,AH!$U$10))))&gt;0),IF(AND(AH!$U$12=1,2115+1=AH!$U$6),IF(AH!$U$4=0,"unavailable",INDEX('Market Data'!$AN$5:$AN$66,AH!$U$4)),IF(AH!$U$5=1,INDEX('Live History'!$B$5:$B$3004,$K2120),INDEX('AH History'!$D$5:$GG$1380,$K2120,AH!$U$10))),NA()),NA())</f>
        <v/>
      </c>
      <c r="F2120" s="32">
        <f>IFERROR(IF(ISNUMBER($A2120),IF(AND(AH!$U$12=1,2115+1=AH!$U$6),IF(AH!$U$4=0,"unavailable",INDEX('Market Data'!$AO$5:$AO$66,AH!$U$4)),IF(AH!$U$5=1,INDEX('Live History'!$E$5:$E$3004,MATCH($A2120,'Live History'!$D$5:$D$3004,1)),INDEX('AH History'!$D$5:$GG$1380,$K2120,AH!$U$10+1))),NA()),NA())</f>
        <v/>
      </c>
      <c r="G2120" s="34">
        <f>IFERROR(IF(ISNUMBER($A2120),IF(AND(AH!$U$12=1,2115+1=AH!$U$6),IF(AH!$U$4=0,"unavailable",INDEX('Market Data'!$AK$5:$AK$66,AH!$U$4)),IF(AH!$U$5=1,INDEX('Live History'!$D$5:$D$3004,MATCH($A2120,'Live History'!$D$5:$D$3004,1)),INDEX('AH History'!$D$5:$GG$1380,$K2120,AH!$U$10+2))),NA()),NA())</f>
        <v/>
      </c>
      <c r="H2120" s="266">
        <f>IFERROR(IF(ISNUMBER($A2120),IF(AND(AH!$U$12=1,2115+1=AH!$U$6),IF(AH!$U$4=0,"unavailable",INDEX('Market Data'!$AP$5:$AP$66,AH!$U$4)),IF(AH!$U$5=1,INDEX('Live History'!$H$5:$H$3004,MATCH($A2120,'Live History'!$G$5:$G$3004,1)),INDEX('AH History'!$B$5:$B$1380,$K2120))),NA()),NA())</f>
        <v/>
      </c>
      <c r="I2120" s="34">
        <f>IFERROR(IF(ISNUMBER($A2120),IF(AND(AH!$U$12=1,2115+1=AH!$U$6),TODAY(),IF(AH!$U$5=1,INDEX('Live History'!$G$5:$G$3004,MATCH($A2120,'Live History'!$G$5:$G$3004,1)),INDEX('AH History'!$C$5:$C$1380,$K2120))),NA()),NA())</f>
        <v/>
      </c>
      <c r="J2120" s="32">
        <f>IFERROR(IF(AND($F2120&gt;0,$H2120&gt;0,$A2120-$G2120&lt;=10,$A2120-$I2120&lt;=5,$G2120&gt;0,$I2120&gt;0),$F2120*$H2120,NA()),NA())</f>
        <v/>
      </c>
      <c r="K2120" s="15">
        <f>IF($A2120="","",IF(AH!$U$5=1,IFERROR(MATCH($A2120,'Live History'!$A$5:$A$3004,0),0),AH!$U$7+2115))</f>
        <v/>
      </c>
      <c r="L2120" s="15">
        <f>IF(ISNUMBER(A2120),TEXT(A2120,"dd-mmm-yy"),"")</f>
        <v/>
      </c>
    </row>
    <row r="2121">
      <c r="A2121" s="14">
        <f>IF(OR(AH!$U$4=0,2116+1&gt;AH!$U$6,AND(AH!$M$5="Bloomberg",AH!$U$5=0)),"",IFERROR(IF(AND(AH!$U$12=1,2116+1=AH!$U$6),TODAY(),IF(AH!$U$5=1,INDEX('Live History'!$A$5:$A$3004,AH!$U$7+2116),INDEX('AH History'!$A$5:$A$1380,AH!$U$7+2116))),""))</f>
        <v/>
      </c>
      <c r="B2121" s="33">
        <f>IFERROR(IF(AH!$U$11=1,NA(),$J2121/$E2121-1),NA())</f>
        <v/>
      </c>
      <c r="C2121" s="269">
        <f>IFERROR(100*$E2121/$E$5,NA())</f>
        <v/>
      </c>
      <c r="D2121" s="269">
        <f>IFERROR(100*$J2121/$J$5,NA())</f>
        <v/>
      </c>
      <c r="E2121" s="32">
        <f>IFERROR(IF(AND(ISNUMBER($A2121),N(IF(AND(AH!$U$12=1,2116+1=AH!$U$6),IF(AH!$U$4=0,"unavailable",INDEX('Market Data'!$AN$5:$AN$66,AH!$U$4)),IF(AH!$U$5=1,INDEX('Live History'!$B$5:$B$3004,$K2121),INDEX('AH History'!$D$5:$GG$1380,$K2121,AH!$U$10))))&gt;0),IF(AND(AH!$U$12=1,2116+1=AH!$U$6),IF(AH!$U$4=0,"unavailable",INDEX('Market Data'!$AN$5:$AN$66,AH!$U$4)),IF(AH!$U$5=1,INDEX('Live History'!$B$5:$B$3004,$K2121),INDEX('AH History'!$D$5:$GG$1380,$K2121,AH!$U$10))),NA()),NA())</f>
        <v/>
      </c>
      <c r="F2121" s="32">
        <f>IFERROR(IF(ISNUMBER($A2121),IF(AND(AH!$U$12=1,2116+1=AH!$U$6),IF(AH!$U$4=0,"unavailable",INDEX('Market Data'!$AO$5:$AO$66,AH!$U$4)),IF(AH!$U$5=1,INDEX('Live History'!$E$5:$E$3004,MATCH($A2121,'Live History'!$D$5:$D$3004,1)),INDEX('AH History'!$D$5:$GG$1380,$K2121,AH!$U$10+1))),NA()),NA())</f>
        <v/>
      </c>
      <c r="G2121" s="34">
        <f>IFERROR(IF(ISNUMBER($A2121),IF(AND(AH!$U$12=1,2116+1=AH!$U$6),IF(AH!$U$4=0,"unavailable",INDEX('Market Data'!$AK$5:$AK$66,AH!$U$4)),IF(AH!$U$5=1,INDEX('Live History'!$D$5:$D$3004,MATCH($A2121,'Live History'!$D$5:$D$3004,1)),INDEX('AH History'!$D$5:$GG$1380,$K2121,AH!$U$10+2))),NA()),NA())</f>
        <v/>
      </c>
      <c r="H2121" s="266">
        <f>IFERROR(IF(ISNUMBER($A2121),IF(AND(AH!$U$12=1,2116+1=AH!$U$6),IF(AH!$U$4=0,"unavailable",INDEX('Market Data'!$AP$5:$AP$66,AH!$U$4)),IF(AH!$U$5=1,INDEX('Live History'!$H$5:$H$3004,MATCH($A2121,'Live History'!$G$5:$G$3004,1)),INDEX('AH History'!$B$5:$B$1380,$K2121))),NA()),NA())</f>
        <v/>
      </c>
      <c r="I2121" s="34">
        <f>IFERROR(IF(ISNUMBER($A2121),IF(AND(AH!$U$12=1,2116+1=AH!$U$6),TODAY(),IF(AH!$U$5=1,INDEX('Live History'!$G$5:$G$3004,MATCH($A2121,'Live History'!$G$5:$G$3004,1)),INDEX('AH History'!$C$5:$C$1380,$K2121))),NA()),NA())</f>
        <v/>
      </c>
      <c r="J2121" s="32">
        <f>IFERROR(IF(AND($F2121&gt;0,$H2121&gt;0,$A2121-$G2121&lt;=10,$A2121-$I2121&lt;=5,$G2121&gt;0,$I2121&gt;0),$F2121*$H2121,NA()),NA())</f>
        <v/>
      </c>
      <c r="K2121" s="15">
        <f>IF($A2121="","",IF(AH!$U$5=1,IFERROR(MATCH($A2121,'Live History'!$A$5:$A$3004,0),0),AH!$U$7+2116))</f>
        <v/>
      </c>
      <c r="L2121" s="15">
        <f>IF(ISNUMBER(A2121),TEXT(A2121,"dd-mmm-yy"),"")</f>
        <v/>
      </c>
    </row>
    <row r="2122">
      <c r="A2122" s="14">
        <f>IF(OR(AH!$U$4=0,2117+1&gt;AH!$U$6,AND(AH!$M$5="Bloomberg",AH!$U$5=0)),"",IFERROR(IF(AND(AH!$U$12=1,2117+1=AH!$U$6),TODAY(),IF(AH!$U$5=1,INDEX('Live History'!$A$5:$A$3004,AH!$U$7+2117),INDEX('AH History'!$A$5:$A$1380,AH!$U$7+2117))),""))</f>
        <v/>
      </c>
      <c r="B2122" s="33">
        <f>IFERROR(IF(AH!$U$11=1,NA(),$J2122/$E2122-1),NA())</f>
        <v/>
      </c>
      <c r="C2122" s="269">
        <f>IFERROR(100*$E2122/$E$5,NA())</f>
        <v/>
      </c>
      <c r="D2122" s="269">
        <f>IFERROR(100*$J2122/$J$5,NA())</f>
        <v/>
      </c>
      <c r="E2122" s="32">
        <f>IFERROR(IF(AND(ISNUMBER($A2122),N(IF(AND(AH!$U$12=1,2117+1=AH!$U$6),IF(AH!$U$4=0,"unavailable",INDEX('Market Data'!$AN$5:$AN$66,AH!$U$4)),IF(AH!$U$5=1,INDEX('Live History'!$B$5:$B$3004,$K2122),INDEX('AH History'!$D$5:$GG$1380,$K2122,AH!$U$10))))&gt;0),IF(AND(AH!$U$12=1,2117+1=AH!$U$6),IF(AH!$U$4=0,"unavailable",INDEX('Market Data'!$AN$5:$AN$66,AH!$U$4)),IF(AH!$U$5=1,INDEX('Live History'!$B$5:$B$3004,$K2122),INDEX('AH History'!$D$5:$GG$1380,$K2122,AH!$U$10))),NA()),NA())</f>
        <v/>
      </c>
      <c r="F2122" s="32">
        <f>IFERROR(IF(ISNUMBER($A2122),IF(AND(AH!$U$12=1,2117+1=AH!$U$6),IF(AH!$U$4=0,"unavailable",INDEX('Market Data'!$AO$5:$AO$66,AH!$U$4)),IF(AH!$U$5=1,INDEX('Live History'!$E$5:$E$3004,MATCH($A2122,'Live History'!$D$5:$D$3004,1)),INDEX('AH History'!$D$5:$GG$1380,$K2122,AH!$U$10+1))),NA()),NA())</f>
        <v/>
      </c>
      <c r="G2122" s="34">
        <f>IFERROR(IF(ISNUMBER($A2122),IF(AND(AH!$U$12=1,2117+1=AH!$U$6),IF(AH!$U$4=0,"unavailable",INDEX('Market Data'!$AK$5:$AK$66,AH!$U$4)),IF(AH!$U$5=1,INDEX('Live History'!$D$5:$D$3004,MATCH($A2122,'Live History'!$D$5:$D$3004,1)),INDEX('AH History'!$D$5:$GG$1380,$K2122,AH!$U$10+2))),NA()),NA())</f>
        <v/>
      </c>
      <c r="H2122" s="266">
        <f>IFERROR(IF(ISNUMBER($A2122),IF(AND(AH!$U$12=1,2117+1=AH!$U$6),IF(AH!$U$4=0,"unavailable",INDEX('Market Data'!$AP$5:$AP$66,AH!$U$4)),IF(AH!$U$5=1,INDEX('Live History'!$H$5:$H$3004,MATCH($A2122,'Live History'!$G$5:$G$3004,1)),INDEX('AH History'!$B$5:$B$1380,$K2122))),NA()),NA())</f>
        <v/>
      </c>
      <c r="I2122" s="34">
        <f>IFERROR(IF(ISNUMBER($A2122),IF(AND(AH!$U$12=1,2117+1=AH!$U$6),TODAY(),IF(AH!$U$5=1,INDEX('Live History'!$G$5:$G$3004,MATCH($A2122,'Live History'!$G$5:$G$3004,1)),INDEX('AH History'!$C$5:$C$1380,$K2122))),NA()),NA())</f>
        <v/>
      </c>
      <c r="J2122" s="32">
        <f>IFERROR(IF(AND($F2122&gt;0,$H2122&gt;0,$A2122-$G2122&lt;=10,$A2122-$I2122&lt;=5,$G2122&gt;0,$I2122&gt;0),$F2122*$H2122,NA()),NA())</f>
        <v/>
      </c>
      <c r="K2122" s="15">
        <f>IF($A2122="","",IF(AH!$U$5=1,IFERROR(MATCH($A2122,'Live History'!$A$5:$A$3004,0),0),AH!$U$7+2117))</f>
        <v/>
      </c>
      <c r="L2122" s="15">
        <f>IF(ISNUMBER(A2122),TEXT(A2122,"dd-mmm-yy"),"")</f>
        <v/>
      </c>
    </row>
    <row r="2123">
      <c r="A2123" s="14">
        <f>IF(OR(AH!$U$4=0,2118+1&gt;AH!$U$6,AND(AH!$M$5="Bloomberg",AH!$U$5=0)),"",IFERROR(IF(AND(AH!$U$12=1,2118+1=AH!$U$6),TODAY(),IF(AH!$U$5=1,INDEX('Live History'!$A$5:$A$3004,AH!$U$7+2118),INDEX('AH History'!$A$5:$A$1380,AH!$U$7+2118))),""))</f>
        <v/>
      </c>
      <c r="B2123" s="33">
        <f>IFERROR(IF(AH!$U$11=1,NA(),$J2123/$E2123-1),NA())</f>
        <v/>
      </c>
      <c r="C2123" s="269">
        <f>IFERROR(100*$E2123/$E$5,NA())</f>
        <v/>
      </c>
      <c r="D2123" s="269">
        <f>IFERROR(100*$J2123/$J$5,NA())</f>
        <v/>
      </c>
      <c r="E2123" s="32">
        <f>IFERROR(IF(AND(ISNUMBER($A2123),N(IF(AND(AH!$U$12=1,2118+1=AH!$U$6),IF(AH!$U$4=0,"unavailable",INDEX('Market Data'!$AN$5:$AN$66,AH!$U$4)),IF(AH!$U$5=1,INDEX('Live History'!$B$5:$B$3004,$K2123),INDEX('AH History'!$D$5:$GG$1380,$K2123,AH!$U$10))))&gt;0),IF(AND(AH!$U$12=1,2118+1=AH!$U$6),IF(AH!$U$4=0,"unavailable",INDEX('Market Data'!$AN$5:$AN$66,AH!$U$4)),IF(AH!$U$5=1,INDEX('Live History'!$B$5:$B$3004,$K2123),INDEX('AH History'!$D$5:$GG$1380,$K2123,AH!$U$10))),NA()),NA())</f>
        <v/>
      </c>
      <c r="F2123" s="32">
        <f>IFERROR(IF(ISNUMBER($A2123),IF(AND(AH!$U$12=1,2118+1=AH!$U$6),IF(AH!$U$4=0,"unavailable",INDEX('Market Data'!$AO$5:$AO$66,AH!$U$4)),IF(AH!$U$5=1,INDEX('Live History'!$E$5:$E$3004,MATCH($A2123,'Live History'!$D$5:$D$3004,1)),INDEX('AH History'!$D$5:$GG$1380,$K2123,AH!$U$10+1))),NA()),NA())</f>
        <v/>
      </c>
      <c r="G2123" s="34">
        <f>IFERROR(IF(ISNUMBER($A2123),IF(AND(AH!$U$12=1,2118+1=AH!$U$6),IF(AH!$U$4=0,"unavailable",INDEX('Market Data'!$AK$5:$AK$66,AH!$U$4)),IF(AH!$U$5=1,INDEX('Live History'!$D$5:$D$3004,MATCH($A2123,'Live History'!$D$5:$D$3004,1)),INDEX('AH History'!$D$5:$GG$1380,$K2123,AH!$U$10+2))),NA()),NA())</f>
        <v/>
      </c>
      <c r="H2123" s="266">
        <f>IFERROR(IF(ISNUMBER($A2123),IF(AND(AH!$U$12=1,2118+1=AH!$U$6),IF(AH!$U$4=0,"unavailable",INDEX('Market Data'!$AP$5:$AP$66,AH!$U$4)),IF(AH!$U$5=1,INDEX('Live History'!$H$5:$H$3004,MATCH($A2123,'Live History'!$G$5:$G$3004,1)),INDEX('AH History'!$B$5:$B$1380,$K2123))),NA()),NA())</f>
        <v/>
      </c>
      <c r="I2123" s="34">
        <f>IFERROR(IF(ISNUMBER($A2123),IF(AND(AH!$U$12=1,2118+1=AH!$U$6),TODAY(),IF(AH!$U$5=1,INDEX('Live History'!$G$5:$G$3004,MATCH($A2123,'Live History'!$G$5:$G$3004,1)),INDEX('AH History'!$C$5:$C$1380,$K2123))),NA()),NA())</f>
        <v/>
      </c>
      <c r="J2123" s="32">
        <f>IFERROR(IF(AND($F2123&gt;0,$H2123&gt;0,$A2123-$G2123&lt;=10,$A2123-$I2123&lt;=5,$G2123&gt;0,$I2123&gt;0),$F2123*$H2123,NA()),NA())</f>
        <v/>
      </c>
      <c r="K2123" s="15">
        <f>IF($A2123="","",IF(AH!$U$5=1,IFERROR(MATCH($A2123,'Live History'!$A$5:$A$3004,0),0),AH!$U$7+2118))</f>
        <v/>
      </c>
      <c r="L2123" s="15">
        <f>IF(ISNUMBER(A2123),TEXT(A2123,"dd-mmm-yy"),"")</f>
        <v/>
      </c>
    </row>
    <row r="2124">
      <c r="A2124" s="14">
        <f>IF(OR(AH!$U$4=0,2119+1&gt;AH!$U$6,AND(AH!$M$5="Bloomberg",AH!$U$5=0)),"",IFERROR(IF(AND(AH!$U$12=1,2119+1=AH!$U$6),TODAY(),IF(AH!$U$5=1,INDEX('Live History'!$A$5:$A$3004,AH!$U$7+2119),INDEX('AH History'!$A$5:$A$1380,AH!$U$7+2119))),""))</f>
        <v/>
      </c>
      <c r="B2124" s="33">
        <f>IFERROR(IF(AH!$U$11=1,NA(),$J2124/$E2124-1),NA())</f>
        <v/>
      </c>
      <c r="C2124" s="269">
        <f>IFERROR(100*$E2124/$E$5,NA())</f>
        <v/>
      </c>
      <c r="D2124" s="269">
        <f>IFERROR(100*$J2124/$J$5,NA())</f>
        <v/>
      </c>
      <c r="E2124" s="32">
        <f>IFERROR(IF(AND(ISNUMBER($A2124),N(IF(AND(AH!$U$12=1,2119+1=AH!$U$6),IF(AH!$U$4=0,"unavailable",INDEX('Market Data'!$AN$5:$AN$66,AH!$U$4)),IF(AH!$U$5=1,INDEX('Live History'!$B$5:$B$3004,$K2124),INDEX('AH History'!$D$5:$GG$1380,$K2124,AH!$U$10))))&gt;0),IF(AND(AH!$U$12=1,2119+1=AH!$U$6),IF(AH!$U$4=0,"unavailable",INDEX('Market Data'!$AN$5:$AN$66,AH!$U$4)),IF(AH!$U$5=1,INDEX('Live History'!$B$5:$B$3004,$K2124),INDEX('AH History'!$D$5:$GG$1380,$K2124,AH!$U$10))),NA()),NA())</f>
        <v/>
      </c>
      <c r="F2124" s="32">
        <f>IFERROR(IF(ISNUMBER($A2124),IF(AND(AH!$U$12=1,2119+1=AH!$U$6),IF(AH!$U$4=0,"unavailable",INDEX('Market Data'!$AO$5:$AO$66,AH!$U$4)),IF(AH!$U$5=1,INDEX('Live History'!$E$5:$E$3004,MATCH($A2124,'Live History'!$D$5:$D$3004,1)),INDEX('AH History'!$D$5:$GG$1380,$K2124,AH!$U$10+1))),NA()),NA())</f>
        <v/>
      </c>
      <c r="G2124" s="34">
        <f>IFERROR(IF(ISNUMBER($A2124),IF(AND(AH!$U$12=1,2119+1=AH!$U$6),IF(AH!$U$4=0,"unavailable",INDEX('Market Data'!$AK$5:$AK$66,AH!$U$4)),IF(AH!$U$5=1,INDEX('Live History'!$D$5:$D$3004,MATCH($A2124,'Live History'!$D$5:$D$3004,1)),INDEX('AH History'!$D$5:$GG$1380,$K2124,AH!$U$10+2))),NA()),NA())</f>
        <v/>
      </c>
      <c r="H2124" s="266">
        <f>IFERROR(IF(ISNUMBER($A2124),IF(AND(AH!$U$12=1,2119+1=AH!$U$6),IF(AH!$U$4=0,"unavailable",INDEX('Market Data'!$AP$5:$AP$66,AH!$U$4)),IF(AH!$U$5=1,INDEX('Live History'!$H$5:$H$3004,MATCH($A2124,'Live History'!$G$5:$G$3004,1)),INDEX('AH History'!$B$5:$B$1380,$K2124))),NA()),NA())</f>
        <v/>
      </c>
      <c r="I2124" s="34">
        <f>IFERROR(IF(ISNUMBER($A2124),IF(AND(AH!$U$12=1,2119+1=AH!$U$6),TODAY(),IF(AH!$U$5=1,INDEX('Live History'!$G$5:$G$3004,MATCH($A2124,'Live History'!$G$5:$G$3004,1)),INDEX('AH History'!$C$5:$C$1380,$K2124))),NA()),NA())</f>
        <v/>
      </c>
      <c r="J2124" s="32">
        <f>IFERROR(IF(AND($F2124&gt;0,$H2124&gt;0,$A2124-$G2124&lt;=10,$A2124-$I2124&lt;=5,$G2124&gt;0,$I2124&gt;0),$F2124*$H2124,NA()),NA())</f>
        <v/>
      </c>
      <c r="K2124" s="15">
        <f>IF($A2124="","",IF(AH!$U$5=1,IFERROR(MATCH($A2124,'Live History'!$A$5:$A$3004,0),0),AH!$U$7+2119))</f>
        <v/>
      </c>
      <c r="L2124" s="15">
        <f>IF(ISNUMBER(A2124),TEXT(A2124,"dd-mmm-yy"),"")</f>
        <v/>
      </c>
    </row>
    <row r="2125">
      <c r="A2125" s="14">
        <f>IF(OR(AH!$U$4=0,2120+1&gt;AH!$U$6,AND(AH!$M$5="Bloomberg",AH!$U$5=0)),"",IFERROR(IF(AND(AH!$U$12=1,2120+1=AH!$U$6),TODAY(),IF(AH!$U$5=1,INDEX('Live History'!$A$5:$A$3004,AH!$U$7+2120),INDEX('AH History'!$A$5:$A$1380,AH!$U$7+2120))),""))</f>
        <v/>
      </c>
      <c r="B2125" s="33">
        <f>IFERROR(IF(AH!$U$11=1,NA(),$J2125/$E2125-1),NA())</f>
        <v/>
      </c>
      <c r="C2125" s="269">
        <f>IFERROR(100*$E2125/$E$5,NA())</f>
        <v/>
      </c>
      <c r="D2125" s="269">
        <f>IFERROR(100*$J2125/$J$5,NA())</f>
        <v/>
      </c>
      <c r="E2125" s="32">
        <f>IFERROR(IF(AND(ISNUMBER($A2125),N(IF(AND(AH!$U$12=1,2120+1=AH!$U$6),IF(AH!$U$4=0,"unavailable",INDEX('Market Data'!$AN$5:$AN$66,AH!$U$4)),IF(AH!$U$5=1,INDEX('Live History'!$B$5:$B$3004,$K2125),INDEX('AH History'!$D$5:$GG$1380,$K2125,AH!$U$10))))&gt;0),IF(AND(AH!$U$12=1,2120+1=AH!$U$6),IF(AH!$U$4=0,"unavailable",INDEX('Market Data'!$AN$5:$AN$66,AH!$U$4)),IF(AH!$U$5=1,INDEX('Live History'!$B$5:$B$3004,$K2125),INDEX('AH History'!$D$5:$GG$1380,$K2125,AH!$U$10))),NA()),NA())</f>
        <v/>
      </c>
      <c r="F2125" s="32">
        <f>IFERROR(IF(ISNUMBER($A2125),IF(AND(AH!$U$12=1,2120+1=AH!$U$6),IF(AH!$U$4=0,"unavailable",INDEX('Market Data'!$AO$5:$AO$66,AH!$U$4)),IF(AH!$U$5=1,INDEX('Live History'!$E$5:$E$3004,MATCH($A2125,'Live History'!$D$5:$D$3004,1)),INDEX('AH History'!$D$5:$GG$1380,$K2125,AH!$U$10+1))),NA()),NA())</f>
        <v/>
      </c>
      <c r="G2125" s="34">
        <f>IFERROR(IF(ISNUMBER($A2125),IF(AND(AH!$U$12=1,2120+1=AH!$U$6),IF(AH!$U$4=0,"unavailable",INDEX('Market Data'!$AK$5:$AK$66,AH!$U$4)),IF(AH!$U$5=1,INDEX('Live History'!$D$5:$D$3004,MATCH($A2125,'Live History'!$D$5:$D$3004,1)),INDEX('AH History'!$D$5:$GG$1380,$K2125,AH!$U$10+2))),NA()),NA())</f>
        <v/>
      </c>
      <c r="H2125" s="266">
        <f>IFERROR(IF(ISNUMBER($A2125),IF(AND(AH!$U$12=1,2120+1=AH!$U$6),IF(AH!$U$4=0,"unavailable",INDEX('Market Data'!$AP$5:$AP$66,AH!$U$4)),IF(AH!$U$5=1,INDEX('Live History'!$H$5:$H$3004,MATCH($A2125,'Live History'!$G$5:$G$3004,1)),INDEX('AH History'!$B$5:$B$1380,$K2125))),NA()),NA())</f>
        <v/>
      </c>
      <c r="I2125" s="34">
        <f>IFERROR(IF(ISNUMBER($A2125),IF(AND(AH!$U$12=1,2120+1=AH!$U$6),TODAY(),IF(AH!$U$5=1,INDEX('Live History'!$G$5:$G$3004,MATCH($A2125,'Live History'!$G$5:$G$3004,1)),INDEX('AH History'!$C$5:$C$1380,$K2125))),NA()),NA())</f>
        <v/>
      </c>
      <c r="J2125" s="32">
        <f>IFERROR(IF(AND($F2125&gt;0,$H2125&gt;0,$A2125-$G2125&lt;=10,$A2125-$I2125&lt;=5,$G2125&gt;0,$I2125&gt;0),$F2125*$H2125,NA()),NA())</f>
        <v/>
      </c>
      <c r="K2125" s="15">
        <f>IF($A2125="","",IF(AH!$U$5=1,IFERROR(MATCH($A2125,'Live History'!$A$5:$A$3004,0),0),AH!$U$7+2120))</f>
        <v/>
      </c>
      <c r="L2125" s="15">
        <f>IF(ISNUMBER(A2125),TEXT(A2125,"dd-mmm-yy"),"")</f>
        <v/>
      </c>
    </row>
    <row r="2126">
      <c r="A2126" s="14">
        <f>IF(OR(AH!$U$4=0,2121+1&gt;AH!$U$6,AND(AH!$M$5="Bloomberg",AH!$U$5=0)),"",IFERROR(IF(AND(AH!$U$12=1,2121+1=AH!$U$6),TODAY(),IF(AH!$U$5=1,INDEX('Live History'!$A$5:$A$3004,AH!$U$7+2121),INDEX('AH History'!$A$5:$A$1380,AH!$U$7+2121))),""))</f>
        <v/>
      </c>
      <c r="B2126" s="33">
        <f>IFERROR(IF(AH!$U$11=1,NA(),$J2126/$E2126-1),NA())</f>
        <v/>
      </c>
      <c r="C2126" s="269">
        <f>IFERROR(100*$E2126/$E$5,NA())</f>
        <v/>
      </c>
      <c r="D2126" s="269">
        <f>IFERROR(100*$J2126/$J$5,NA())</f>
        <v/>
      </c>
      <c r="E2126" s="32">
        <f>IFERROR(IF(AND(ISNUMBER($A2126),N(IF(AND(AH!$U$12=1,2121+1=AH!$U$6),IF(AH!$U$4=0,"unavailable",INDEX('Market Data'!$AN$5:$AN$66,AH!$U$4)),IF(AH!$U$5=1,INDEX('Live History'!$B$5:$B$3004,$K2126),INDEX('AH History'!$D$5:$GG$1380,$K2126,AH!$U$10))))&gt;0),IF(AND(AH!$U$12=1,2121+1=AH!$U$6),IF(AH!$U$4=0,"unavailable",INDEX('Market Data'!$AN$5:$AN$66,AH!$U$4)),IF(AH!$U$5=1,INDEX('Live History'!$B$5:$B$3004,$K2126),INDEX('AH History'!$D$5:$GG$1380,$K2126,AH!$U$10))),NA()),NA())</f>
        <v/>
      </c>
      <c r="F2126" s="32">
        <f>IFERROR(IF(ISNUMBER($A2126),IF(AND(AH!$U$12=1,2121+1=AH!$U$6),IF(AH!$U$4=0,"unavailable",INDEX('Market Data'!$AO$5:$AO$66,AH!$U$4)),IF(AH!$U$5=1,INDEX('Live History'!$E$5:$E$3004,MATCH($A2126,'Live History'!$D$5:$D$3004,1)),INDEX('AH History'!$D$5:$GG$1380,$K2126,AH!$U$10+1))),NA()),NA())</f>
        <v/>
      </c>
      <c r="G2126" s="34">
        <f>IFERROR(IF(ISNUMBER($A2126),IF(AND(AH!$U$12=1,2121+1=AH!$U$6),IF(AH!$U$4=0,"unavailable",INDEX('Market Data'!$AK$5:$AK$66,AH!$U$4)),IF(AH!$U$5=1,INDEX('Live History'!$D$5:$D$3004,MATCH($A2126,'Live History'!$D$5:$D$3004,1)),INDEX('AH History'!$D$5:$GG$1380,$K2126,AH!$U$10+2))),NA()),NA())</f>
        <v/>
      </c>
      <c r="H2126" s="266">
        <f>IFERROR(IF(ISNUMBER($A2126),IF(AND(AH!$U$12=1,2121+1=AH!$U$6),IF(AH!$U$4=0,"unavailable",INDEX('Market Data'!$AP$5:$AP$66,AH!$U$4)),IF(AH!$U$5=1,INDEX('Live History'!$H$5:$H$3004,MATCH($A2126,'Live History'!$G$5:$G$3004,1)),INDEX('AH History'!$B$5:$B$1380,$K2126))),NA()),NA())</f>
        <v/>
      </c>
      <c r="I2126" s="34">
        <f>IFERROR(IF(ISNUMBER($A2126),IF(AND(AH!$U$12=1,2121+1=AH!$U$6),TODAY(),IF(AH!$U$5=1,INDEX('Live History'!$G$5:$G$3004,MATCH($A2126,'Live History'!$G$5:$G$3004,1)),INDEX('AH History'!$C$5:$C$1380,$K2126))),NA()),NA())</f>
        <v/>
      </c>
      <c r="J2126" s="32">
        <f>IFERROR(IF(AND($F2126&gt;0,$H2126&gt;0,$A2126-$G2126&lt;=10,$A2126-$I2126&lt;=5,$G2126&gt;0,$I2126&gt;0),$F2126*$H2126,NA()),NA())</f>
        <v/>
      </c>
      <c r="K2126" s="15">
        <f>IF($A2126="","",IF(AH!$U$5=1,IFERROR(MATCH($A2126,'Live History'!$A$5:$A$3004,0),0),AH!$U$7+2121))</f>
        <v/>
      </c>
      <c r="L2126" s="15">
        <f>IF(ISNUMBER(A2126),TEXT(A2126,"dd-mmm-yy"),"")</f>
        <v/>
      </c>
    </row>
    <row r="2127">
      <c r="A2127" s="14">
        <f>IF(OR(AH!$U$4=0,2122+1&gt;AH!$U$6,AND(AH!$M$5="Bloomberg",AH!$U$5=0)),"",IFERROR(IF(AND(AH!$U$12=1,2122+1=AH!$U$6),TODAY(),IF(AH!$U$5=1,INDEX('Live History'!$A$5:$A$3004,AH!$U$7+2122),INDEX('AH History'!$A$5:$A$1380,AH!$U$7+2122))),""))</f>
        <v/>
      </c>
      <c r="B2127" s="33">
        <f>IFERROR(IF(AH!$U$11=1,NA(),$J2127/$E2127-1),NA())</f>
        <v/>
      </c>
      <c r="C2127" s="269">
        <f>IFERROR(100*$E2127/$E$5,NA())</f>
        <v/>
      </c>
      <c r="D2127" s="269">
        <f>IFERROR(100*$J2127/$J$5,NA())</f>
        <v/>
      </c>
      <c r="E2127" s="32">
        <f>IFERROR(IF(AND(ISNUMBER($A2127),N(IF(AND(AH!$U$12=1,2122+1=AH!$U$6),IF(AH!$U$4=0,"unavailable",INDEX('Market Data'!$AN$5:$AN$66,AH!$U$4)),IF(AH!$U$5=1,INDEX('Live History'!$B$5:$B$3004,$K2127),INDEX('AH History'!$D$5:$GG$1380,$K2127,AH!$U$10))))&gt;0),IF(AND(AH!$U$12=1,2122+1=AH!$U$6),IF(AH!$U$4=0,"unavailable",INDEX('Market Data'!$AN$5:$AN$66,AH!$U$4)),IF(AH!$U$5=1,INDEX('Live History'!$B$5:$B$3004,$K2127),INDEX('AH History'!$D$5:$GG$1380,$K2127,AH!$U$10))),NA()),NA())</f>
        <v/>
      </c>
      <c r="F2127" s="32">
        <f>IFERROR(IF(ISNUMBER($A2127),IF(AND(AH!$U$12=1,2122+1=AH!$U$6),IF(AH!$U$4=0,"unavailable",INDEX('Market Data'!$AO$5:$AO$66,AH!$U$4)),IF(AH!$U$5=1,INDEX('Live History'!$E$5:$E$3004,MATCH($A2127,'Live History'!$D$5:$D$3004,1)),INDEX('AH History'!$D$5:$GG$1380,$K2127,AH!$U$10+1))),NA()),NA())</f>
        <v/>
      </c>
      <c r="G2127" s="34">
        <f>IFERROR(IF(ISNUMBER($A2127),IF(AND(AH!$U$12=1,2122+1=AH!$U$6),IF(AH!$U$4=0,"unavailable",INDEX('Market Data'!$AK$5:$AK$66,AH!$U$4)),IF(AH!$U$5=1,INDEX('Live History'!$D$5:$D$3004,MATCH($A2127,'Live History'!$D$5:$D$3004,1)),INDEX('AH History'!$D$5:$GG$1380,$K2127,AH!$U$10+2))),NA()),NA())</f>
        <v/>
      </c>
      <c r="H2127" s="266">
        <f>IFERROR(IF(ISNUMBER($A2127),IF(AND(AH!$U$12=1,2122+1=AH!$U$6),IF(AH!$U$4=0,"unavailable",INDEX('Market Data'!$AP$5:$AP$66,AH!$U$4)),IF(AH!$U$5=1,INDEX('Live History'!$H$5:$H$3004,MATCH($A2127,'Live History'!$G$5:$G$3004,1)),INDEX('AH History'!$B$5:$B$1380,$K2127))),NA()),NA())</f>
        <v/>
      </c>
      <c r="I2127" s="34">
        <f>IFERROR(IF(ISNUMBER($A2127),IF(AND(AH!$U$12=1,2122+1=AH!$U$6),TODAY(),IF(AH!$U$5=1,INDEX('Live History'!$G$5:$G$3004,MATCH($A2127,'Live History'!$G$5:$G$3004,1)),INDEX('AH History'!$C$5:$C$1380,$K2127))),NA()),NA())</f>
        <v/>
      </c>
      <c r="J2127" s="32">
        <f>IFERROR(IF(AND($F2127&gt;0,$H2127&gt;0,$A2127-$G2127&lt;=10,$A2127-$I2127&lt;=5,$G2127&gt;0,$I2127&gt;0),$F2127*$H2127,NA()),NA())</f>
        <v/>
      </c>
      <c r="K2127" s="15">
        <f>IF($A2127="","",IF(AH!$U$5=1,IFERROR(MATCH($A2127,'Live History'!$A$5:$A$3004,0),0),AH!$U$7+2122))</f>
        <v/>
      </c>
      <c r="L2127" s="15">
        <f>IF(ISNUMBER(A2127),TEXT(A2127,"dd-mmm-yy"),"")</f>
        <v/>
      </c>
    </row>
    <row r="2128">
      <c r="A2128" s="14">
        <f>IF(OR(AH!$U$4=0,2123+1&gt;AH!$U$6,AND(AH!$M$5="Bloomberg",AH!$U$5=0)),"",IFERROR(IF(AND(AH!$U$12=1,2123+1=AH!$U$6),TODAY(),IF(AH!$U$5=1,INDEX('Live History'!$A$5:$A$3004,AH!$U$7+2123),INDEX('AH History'!$A$5:$A$1380,AH!$U$7+2123))),""))</f>
        <v/>
      </c>
      <c r="B2128" s="33">
        <f>IFERROR(IF(AH!$U$11=1,NA(),$J2128/$E2128-1),NA())</f>
        <v/>
      </c>
      <c r="C2128" s="269">
        <f>IFERROR(100*$E2128/$E$5,NA())</f>
        <v/>
      </c>
      <c r="D2128" s="269">
        <f>IFERROR(100*$J2128/$J$5,NA())</f>
        <v/>
      </c>
      <c r="E2128" s="32">
        <f>IFERROR(IF(AND(ISNUMBER($A2128),N(IF(AND(AH!$U$12=1,2123+1=AH!$U$6),IF(AH!$U$4=0,"unavailable",INDEX('Market Data'!$AN$5:$AN$66,AH!$U$4)),IF(AH!$U$5=1,INDEX('Live History'!$B$5:$B$3004,$K2128),INDEX('AH History'!$D$5:$GG$1380,$K2128,AH!$U$10))))&gt;0),IF(AND(AH!$U$12=1,2123+1=AH!$U$6),IF(AH!$U$4=0,"unavailable",INDEX('Market Data'!$AN$5:$AN$66,AH!$U$4)),IF(AH!$U$5=1,INDEX('Live History'!$B$5:$B$3004,$K2128),INDEX('AH History'!$D$5:$GG$1380,$K2128,AH!$U$10))),NA()),NA())</f>
        <v/>
      </c>
      <c r="F2128" s="32">
        <f>IFERROR(IF(ISNUMBER($A2128),IF(AND(AH!$U$12=1,2123+1=AH!$U$6),IF(AH!$U$4=0,"unavailable",INDEX('Market Data'!$AO$5:$AO$66,AH!$U$4)),IF(AH!$U$5=1,INDEX('Live History'!$E$5:$E$3004,MATCH($A2128,'Live History'!$D$5:$D$3004,1)),INDEX('AH History'!$D$5:$GG$1380,$K2128,AH!$U$10+1))),NA()),NA())</f>
        <v/>
      </c>
      <c r="G2128" s="34">
        <f>IFERROR(IF(ISNUMBER($A2128),IF(AND(AH!$U$12=1,2123+1=AH!$U$6),IF(AH!$U$4=0,"unavailable",INDEX('Market Data'!$AK$5:$AK$66,AH!$U$4)),IF(AH!$U$5=1,INDEX('Live History'!$D$5:$D$3004,MATCH($A2128,'Live History'!$D$5:$D$3004,1)),INDEX('AH History'!$D$5:$GG$1380,$K2128,AH!$U$10+2))),NA()),NA())</f>
        <v/>
      </c>
      <c r="H2128" s="266">
        <f>IFERROR(IF(ISNUMBER($A2128),IF(AND(AH!$U$12=1,2123+1=AH!$U$6),IF(AH!$U$4=0,"unavailable",INDEX('Market Data'!$AP$5:$AP$66,AH!$U$4)),IF(AH!$U$5=1,INDEX('Live History'!$H$5:$H$3004,MATCH($A2128,'Live History'!$G$5:$G$3004,1)),INDEX('AH History'!$B$5:$B$1380,$K2128))),NA()),NA())</f>
        <v/>
      </c>
      <c r="I2128" s="34">
        <f>IFERROR(IF(ISNUMBER($A2128),IF(AND(AH!$U$12=1,2123+1=AH!$U$6),TODAY(),IF(AH!$U$5=1,INDEX('Live History'!$G$5:$G$3004,MATCH($A2128,'Live History'!$G$5:$G$3004,1)),INDEX('AH History'!$C$5:$C$1380,$K2128))),NA()),NA())</f>
        <v/>
      </c>
      <c r="J2128" s="32">
        <f>IFERROR(IF(AND($F2128&gt;0,$H2128&gt;0,$A2128-$G2128&lt;=10,$A2128-$I2128&lt;=5,$G2128&gt;0,$I2128&gt;0),$F2128*$H2128,NA()),NA())</f>
        <v/>
      </c>
      <c r="K2128" s="15">
        <f>IF($A2128="","",IF(AH!$U$5=1,IFERROR(MATCH($A2128,'Live History'!$A$5:$A$3004,0),0),AH!$U$7+2123))</f>
        <v/>
      </c>
      <c r="L2128" s="15">
        <f>IF(ISNUMBER(A2128),TEXT(A2128,"dd-mmm-yy"),"")</f>
        <v/>
      </c>
    </row>
    <row r="2129">
      <c r="A2129" s="14">
        <f>IF(OR(AH!$U$4=0,2124+1&gt;AH!$U$6,AND(AH!$M$5="Bloomberg",AH!$U$5=0)),"",IFERROR(IF(AND(AH!$U$12=1,2124+1=AH!$U$6),TODAY(),IF(AH!$U$5=1,INDEX('Live History'!$A$5:$A$3004,AH!$U$7+2124),INDEX('AH History'!$A$5:$A$1380,AH!$U$7+2124))),""))</f>
        <v/>
      </c>
      <c r="B2129" s="33">
        <f>IFERROR(IF(AH!$U$11=1,NA(),$J2129/$E2129-1),NA())</f>
        <v/>
      </c>
      <c r="C2129" s="269">
        <f>IFERROR(100*$E2129/$E$5,NA())</f>
        <v/>
      </c>
      <c r="D2129" s="269">
        <f>IFERROR(100*$J2129/$J$5,NA())</f>
        <v/>
      </c>
      <c r="E2129" s="32">
        <f>IFERROR(IF(AND(ISNUMBER($A2129),N(IF(AND(AH!$U$12=1,2124+1=AH!$U$6),IF(AH!$U$4=0,"unavailable",INDEX('Market Data'!$AN$5:$AN$66,AH!$U$4)),IF(AH!$U$5=1,INDEX('Live History'!$B$5:$B$3004,$K2129),INDEX('AH History'!$D$5:$GG$1380,$K2129,AH!$U$10))))&gt;0),IF(AND(AH!$U$12=1,2124+1=AH!$U$6),IF(AH!$U$4=0,"unavailable",INDEX('Market Data'!$AN$5:$AN$66,AH!$U$4)),IF(AH!$U$5=1,INDEX('Live History'!$B$5:$B$3004,$K2129),INDEX('AH History'!$D$5:$GG$1380,$K2129,AH!$U$10))),NA()),NA())</f>
        <v/>
      </c>
      <c r="F2129" s="32">
        <f>IFERROR(IF(ISNUMBER($A2129),IF(AND(AH!$U$12=1,2124+1=AH!$U$6),IF(AH!$U$4=0,"unavailable",INDEX('Market Data'!$AO$5:$AO$66,AH!$U$4)),IF(AH!$U$5=1,INDEX('Live History'!$E$5:$E$3004,MATCH($A2129,'Live History'!$D$5:$D$3004,1)),INDEX('AH History'!$D$5:$GG$1380,$K2129,AH!$U$10+1))),NA()),NA())</f>
        <v/>
      </c>
      <c r="G2129" s="34">
        <f>IFERROR(IF(ISNUMBER($A2129),IF(AND(AH!$U$12=1,2124+1=AH!$U$6),IF(AH!$U$4=0,"unavailable",INDEX('Market Data'!$AK$5:$AK$66,AH!$U$4)),IF(AH!$U$5=1,INDEX('Live History'!$D$5:$D$3004,MATCH($A2129,'Live History'!$D$5:$D$3004,1)),INDEX('AH History'!$D$5:$GG$1380,$K2129,AH!$U$10+2))),NA()),NA())</f>
        <v/>
      </c>
      <c r="H2129" s="266">
        <f>IFERROR(IF(ISNUMBER($A2129),IF(AND(AH!$U$12=1,2124+1=AH!$U$6),IF(AH!$U$4=0,"unavailable",INDEX('Market Data'!$AP$5:$AP$66,AH!$U$4)),IF(AH!$U$5=1,INDEX('Live History'!$H$5:$H$3004,MATCH($A2129,'Live History'!$G$5:$G$3004,1)),INDEX('AH History'!$B$5:$B$1380,$K2129))),NA()),NA())</f>
        <v/>
      </c>
      <c r="I2129" s="34">
        <f>IFERROR(IF(ISNUMBER($A2129),IF(AND(AH!$U$12=1,2124+1=AH!$U$6),TODAY(),IF(AH!$U$5=1,INDEX('Live History'!$G$5:$G$3004,MATCH($A2129,'Live History'!$G$5:$G$3004,1)),INDEX('AH History'!$C$5:$C$1380,$K2129))),NA()),NA())</f>
        <v/>
      </c>
      <c r="J2129" s="32">
        <f>IFERROR(IF(AND($F2129&gt;0,$H2129&gt;0,$A2129-$G2129&lt;=10,$A2129-$I2129&lt;=5,$G2129&gt;0,$I2129&gt;0),$F2129*$H2129,NA()),NA())</f>
        <v/>
      </c>
      <c r="K2129" s="15">
        <f>IF($A2129="","",IF(AH!$U$5=1,IFERROR(MATCH($A2129,'Live History'!$A$5:$A$3004,0),0),AH!$U$7+2124))</f>
        <v/>
      </c>
      <c r="L2129" s="15">
        <f>IF(ISNUMBER(A2129),TEXT(A2129,"dd-mmm-yy"),"")</f>
        <v/>
      </c>
    </row>
    <row r="2130">
      <c r="A2130" s="14">
        <f>IF(OR(AH!$U$4=0,2125+1&gt;AH!$U$6,AND(AH!$M$5="Bloomberg",AH!$U$5=0)),"",IFERROR(IF(AND(AH!$U$12=1,2125+1=AH!$U$6),TODAY(),IF(AH!$U$5=1,INDEX('Live History'!$A$5:$A$3004,AH!$U$7+2125),INDEX('AH History'!$A$5:$A$1380,AH!$U$7+2125))),""))</f>
        <v/>
      </c>
      <c r="B2130" s="33">
        <f>IFERROR(IF(AH!$U$11=1,NA(),$J2130/$E2130-1),NA())</f>
        <v/>
      </c>
      <c r="C2130" s="269">
        <f>IFERROR(100*$E2130/$E$5,NA())</f>
        <v/>
      </c>
      <c r="D2130" s="269">
        <f>IFERROR(100*$J2130/$J$5,NA())</f>
        <v/>
      </c>
      <c r="E2130" s="32">
        <f>IFERROR(IF(AND(ISNUMBER($A2130),N(IF(AND(AH!$U$12=1,2125+1=AH!$U$6),IF(AH!$U$4=0,"unavailable",INDEX('Market Data'!$AN$5:$AN$66,AH!$U$4)),IF(AH!$U$5=1,INDEX('Live History'!$B$5:$B$3004,$K2130),INDEX('AH History'!$D$5:$GG$1380,$K2130,AH!$U$10))))&gt;0),IF(AND(AH!$U$12=1,2125+1=AH!$U$6),IF(AH!$U$4=0,"unavailable",INDEX('Market Data'!$AN$5:$AN$66,AH!$U$4)),IF(AH!$U$5=1,INDEX('Live History'!$B$5:$B$3004,$K2130),INDEX('AH History'!$D$5:$GG$1380,$K2130,AH!$U$10))),NA()),NA())</f>
        <v/>
      </c>
      <c r="F2130" s="32">
        <f>IFERROR(IF(ISNUMBER($A2130),IF(AND(AH!$U$12=1,2125+1=AH!$U$6),IF(AH!$U$4=0,"unavailable",INDEX('Market Data'!$AO$5:$AO$66,AH!$U$4)),IF(AH!$U$5=1,INDEX('Live History'!$E$5:$E$3004,MATCH($A2130,'Live History'!$D$5:$D$3004,1)),INDEX('AH History'!$D$5:$GG$1380,$K2130,AH!$U$10+1))),NA()),NA())</f>
        <v/>
      </c>
      <c r="G2130" s="34">
        <f>IFERROR(IF(ISNUMBER($A2130),IF(AND(AH!$U$12=1,2125+1=AH!$U$6),IF(AH!$U$4=0,"unavailable",INDEX('Market Data'!$AK$5:$AK$66,AH!$U$4)),IF(AH!$U$5=1,INDEX('Live History'!$D$5:$D$3004,MATCH($A2130,'Live History'!$D$5:$D$3004,1)),INDEX('AH History'!$D$5:$GG$1380,$K2130,AH!$U$10+2))),NA()),NA())</f>
        <v/>
      </c>
      <c r="H2130" s="266">
        <f>IFERROR(IF(ISNUMBER($A2130),IF(AND(AH!$U$12=1,2125+1=AH!$U$6),IF(AH!$U$4=0,"unavailable",INDEX('Market Data'!$AP$5:$AP$66,AH!$U$4)),IF(AH!$U$5=1,INDEX('Live History'!$H$5:$H$3004,MATCH($A2130,'Live History'!$G$5:$G$3004,1)),INDEX('AH History'!$B$5:$B$1380,$K2130))),NA()),NA())</f>
        <v/>
      </c>
      <c r="I2130" s="34">
        <f>IFERROR(IF(ISNUMBER($A2130),IF(AND(AH!$U$12=1,2125+1=AH!$U$6),TODAY(),IF(AH!$U$5=1,INDEX('Live History'!$G$5:$G$3004,MATCH($A2130,'Live History'!$G$5:$G$3004,1)),INDEX('AH History'!$C$5:$C$1380,$K2130))),NA()),NA())</f>
        <v/>
      </c>
      <c r="J2130" s="32">
        <f>IFERROR(IF(AND($F2130&gt;0,$H2130&gt;0,$A2130-$G2130&lt;=10,$A2130-$I2130&lt;=5,$G2130&gt;0,$I2130&gt;0),$F2130*$H2130,NA()),NA())</f>
        <v/>
      </c>
      <c r="K2130" s="15">
        <f>IF($A2130="","",IF(AH!$U$5=1,IFERROR(MATCH($A2130,'Live History'!$A$5:$A$3004,0),0),AH!$U$7+2125))</f>
        <v/>
      </c>
      <c r="L2130" s="15">
        <f>IF(ISNUMBER(A2130),TEXT(A2130,"dd-mmm-yy"),"")</f>
        <v/>
      </c>
    </row>
    <row r="2131">
      <c r="A2131" s="14">
        <f>IF(OR(AH!$U$4=0,2126+1&gt;AH!$U$6,AND(AH!$M$5="Bloomberg",AH!$U$5=0)),"",IFERROR(IF(AND(AH!$U$12=1,2126+1=AH!$U$6),TODAY(),IF(AH!$U$5=1,INDEX('Live History'!$A$5:$A$3004,AH!$U$7+2126),INDEX('AH History'!$A$5:$A$1380,AH!$U$7+2126))),""))</f>
        <v/>
      </c>
      <c r="B2131" s="33">
        <f>IFERROR(IF(AH!$U$11=1,NA(),$J2131/$E2131-1),NA())</f>
        <v/>
      </c>
      <c r="C2131" s="269">
        <f>IFERROR(100*$E2131/$E$5,NA())</f>
        <v/>
      </c>
      <c r="D2131" s="269">
        <f>IFERROR(100*$J2131/$J$5,NA())</f>
        <v/>
      </c>
      <c r="E2131" s="32">
        <f>IFERROR(IF(AND(ISNUMBER($A2131),N(IF(AND(AH!$U$12=1,2126+1=AH!$U$6),IF(AH!$U$4=0,"unavailable",INDEX('Market Data'!$AN$5:$AN$66,AH!$U$4)),IF(AH!$U$5=1,INDEX('Live History'!$B$5:$B$3004,$K2131),INDEX('AH History'!$D$5:$GG$1380,$K2131,AH!$U$10))))&gt;0),IF(AND(AH!$U$12=1,2126+1=AH!$U$6),IF(AH!$U$4=0,"unavailable",INDEX('Market Data'!$AN$5:$AN$66,AH!$U$4)),IF(AH!$U$5=1,INDEX('Live History'!$B$5:$B$3004,$K2131),INDEX('AH History'!$D$5:$GG$1380,$K2131,AH!$U$10))),NA()),NA())</f>
        <v/>
      </c>
      <c r="F2131" s="32">
        <f>IFERROR(IF(ISNUMBER($A2131),IF(AND(AH!$U$12=1,2126+1=AH!$U$6),IF(AH!$U$4=0,"unavailable",INDEX('Market Data'!$AO$5:$AO$66,AH!$U$4)),IF(AH!$U$5=1,INDEX('Live History'!$E$5:$E$3004,MATCH($A2131,'Live History'!$D$5:$D$3004,1)),INDEX('AH History'!$D$5:$GG$1380,$K2131,AH!$U$10+1))),NA()),NA())</f>
        <v/>
      </c>
      <c r="G2131" s="34">
        <f>IFERROR(IF(ISNUMBER($A2131),IF(AND(AH!$U$12=1,2126+1=AH!$U$6),IF(AH!$U$4=0,"unavailable",INDEX('Market Data'!$AK$5:$AK$66,AH!$U$4)),IF(AH!$U$5=1,INDEX('Live History'!$D$5:$D$3004,MATCH($A2131,'Live History'!$D$5:$D$3004,1)),INDEX('AH History'!$D$5:$GG$1380,$K2131,AH!$U$10+2))),NA()),NA())</f>
        <v/>
      </c>
      <c r="H2131" s="266">
        <f>IFERROR(IF(ISNUMBER($A2131),IF(AND(AH!$U$12=1,2126+1=AH!$U$6),IF(AH!$U$4=0,"unavailable",INDEX('Market Data'!$AP$5:$AP$66,AH!$U$4)),IF(AH!$U$5=1,INDEX('Live History'!$H$5:$H$3004,MATCH($A2131,'Live History'!$G$5:$G$3004,1)),INDEX('AH History'!$B$5:$B$1380,$K2131))),NA()),NA())</f>
        <v/>
      </c>
      <c r="I2131" s="34">
        <f>IFERROR(IF(ISNUMBER($A2131),IF(AND(AH!$U$12=1,2126+1=AH!$U$6),TODAY(),IF(AH!$U$5=1,INDEX('Live History'!$G$5:$G$3004,MATCH($A2131,'Live History'!$G$5:$G$3004,1)),INDEX('AH History'!$C$5:$C$1380,$K2131))),NA()),NA())</f>
        <v/>
      </c>
      <c r="J2131" s="32">
        <f>IFERROR(IF(AND($F2131&gt;0,$H2131&gt;0,$A2131-$G2131&lt;=10,$A2131-$I2131&lt;=5,$G2131&gt;0,$I2131&gt;0),$F2131*$H2131,NA()),NA())</f>
        <v/>
      </c>
      <c r="K2131" s="15">
        <f>IF($A2131="","",IF(AH!$U$5=1,IFERROR(MATCH($A2131,'Live History'!$A$5:$A$3004,0),0),AH!$U$7+2126))</f>
        <v/>
      </c>
      <c r="L2131" s="15">
        <f>IF(ISNUMBER(A2131),TEXT(A2131,"dd-mmm-yy"),"")</f>
        <v/>
      </c>
    </row>
    <row r="2132">
      <c r="A2132" s="14">
        <f>IF(OR(AH!$U$4=0,2127+1&gt;AH!$U$6,AND(AH!$M$5="Bloomberg",AH!$U$5=0)),"",IFERROR(IF(AND(AH!$U$12=1,2127+1=AH!$U$6),TODAY(),IF(AH!$U$5=1,INDEX('Live History'!$A$5:$A$3004,AH!$U$7+2127),INDEX('AH History'!$A$5:$A$1380,AH!$U$7+2127))),""))</f>
        <v/>
      </c>
      <c r="B2132" s="33">
        <f>IFERROR(IF(AH!$U$11=1,NA(),$J2132/$E2132-1),NA())</f>
        <v/>
      </c>
      <c r="C2132" s="269">
        <f>IFERROR(100*$E2132/$E$5,NA())</f>
        <v/>
      </c>
      <c r="D2132" s="269">
        <f>IFERROR(100*$J2132/$J$5,NA())</f>
        <v/>
      </c>
      <c r="E2132" s="32">
        <f>IFERROR(IF(AND(ISNUMBER($A2132),N(IF(AND(AH!$U$12=1,2127+1=AH!$U$6),IF(AH!$U$4=0,"unavailable",INDEX('Market Data'!$AN$5:$AN$66,AH!$U$4)),IF(AH!$U$5=1,INDEX('Live History'!$B$5:$B$3004,$K2132),INDEX('AH History'!$D$5:$GG$1380,$K2132,AH!$U$10))))&gt;0),IF(AND(AH!$U$12=1,2127+1=AH!$U$6),IF(AH!$U$4=0,"unavailable",INDEX('Market Data'!$AN$5:$AN$66,AH!$U$4)),IF(AH!$U$5=1,INDEX('Live History'!$B$5:$B$3004,$K2132),INDEX('AH History'!$D$5:$GG$1380,$K2132,AH!$U$10))),NA()),NA())</f>
        <v/>
      </c>
      <c r="F2132" s="32">
        <f>IFERROR(IF(ISNUMBER($A2132),IF(AND(AH!$U$12=1,2127+1=AH!$U$6),IF(AH!$U$4=0,"unavailable",INDEX('Market Data'!$AO$5:$AO$66,AH!$U$4)),IF(AH!$U$5=1,INDEX('Live History'!$E$5:$E$3004,MATCH($A2132,'Live History'!$D$5:$D$3004,1)),INDEX('AH History'!$D$5:$GG$1380,$K2132,AH!$U$10+1))),NA()),NA())</f>
        <v/>
      </c>
      <c r="G2132" s="34">
        <f>IFERROR(IF(ISNUMBER($A2132),IF(AND(AH!$U$12=1,2127+1=AH!$U$6),IF(AH!$U$4=0,"unavailable",INDEX('Market Data'!$AK$5:$AK$66,AH!$U$4)),IF(AH!$U$5=1,INDEX('Live History'!$D$5:$D$3004,MATCH($A2132,'Live History'!$D$5:$D$3004,1)),INDEX('AH History'!$D$5:$GG$1380,$K2132,AH!$U$10+2))),NA()),NA())</f>
        <v/>
      </c>
      <c r="H2132" s="266">
        <f>IFERROR(IF(ISNUMBER($A2132),IF(AND(AH!$U$12=1,2127+1=AH!$U$6),IF(AH!$U$4=0,"unavailable",INDEX('Market Data'!$AP$5:$AP$66,AH!$U$4)),IF(AH!$U$5=1,INDEX('Live History'!$H$5:$H$3004,MATCH($A2132,'Live History'!$G$5:$G$3004,1)),INDEX('AH History'!$B$5:$B$1380,$K2132))),NA()),NA())</f>
        <v/>
      </c>
      <c r="I2132" s="34">
        <f>IFERROR(IF(ISNUMBER($A2132),IF(AND(AH!$U$12=1,2127+1=AH!$U$6),TODAY(),IF(AH!$U$5=1,INDEX('Live History'!$G$5:$G$3004,MATCH($A2132,'Live History'!$G$5:$G$3004,1)),INDEX('AH History'!$C$5:$C$1380,$K2132))),NA()),NA())</f>
        <v/>
      </c>
      <c r="J2132" s="32">
        <f>IFERROR(IF(AND($F2132&gt;0,$H2132&gt;0,$A2132-$G2132&lt;=10,$A2132-$I2132&lt;=5,$G2132&gt;0,$I2132&gt;0),$F2132*$H2132,NA()),NA())</f>
        <v/>
      </c>
      <c r="K2132" s="15">
        <f>IF($A2132="","",IF(AH!$U$5=1,IFERROR(MATCH($A2132,'Live History'!$A$5:$A$3004,0),0),AH!$U$7+2127))</f>
        <v/>
      </c>
      <c r="L2132" s="15">
        <f>IF(ISNUMBER(A2132),TEXT(A2132,"dd-mmm-yy"),"")</f>
        <v/>
      </c>
    </row>
    <row r="2133">
      <c r="A2133" s="14">
        <f>IF(OR(AH!$U$4=0,2128+1&gt;AH!$U$6,AND(AH!$M$5="Bloomberg",AH!$U$5=0)),"",IFERROR(IF(AND(AH!$U$12=1,2128+1=AH!$U$6),TODAY(),IF(AH!$U$5=1,INDEX('Live History'!$A$5:$A$3004,AH!$U$7+2128),INDEX('AH History'!$A$5:$A$1380,AH!$U$7+2128))),""))</f>
        <v/>
      </c>
      <c r="B2133" s="33">
        <f>IFERROR(IF(AH!$U$11=1,NA(),$J2133/$E2133-1),NA())</f>
        <v/>
      </c>
      <c r="C2133" s="269">
        <f>IFERROR(100*$E2133/$E$5,NA())</f>
        <v/>
      </c>
      <c r="D2133" s="269">
        <f>IFERROR(100*$J2133/$J$5,NA())</f>
        <v/>
      </c>
      <c r="E2133" s="32">
        <f>IFERROR(IF(AND(ISNUMBER($A2133),N(IF(AND(AH!$U$12=1,2128+1=AH!$U$6),IF(AH!$U$4=0,"unavailable",INDEX('Market Data'!$AN$5:$AN$66,AH!$U$4)),IF(AH!$U$5=1,INDEX('Live History'!$B$5:$B$3004,$K2133),INDEX('AH History'!$D$5:$GG$1380,$K2133,AH!$U$10))))&gt;0),IF(AND(AH!$U$12=1,2128+1=AH!$U$6),IF(AH!$U$4=0,"unavailable",INDEX('Market Data'!$AN$5:$AN$66,AH!$U$4)),IF(AH!$U$5=1,INDEX('Live History'!$B$5:$B$3004,$K2133),INDEX('AH History'!$D$5:$GG$1380,$K2133,AH!$U$10))),NA()),NA())</f>
        <v/>
      </c>
      <c r="F2133" s="32">
        <f>IFERROR(IF(ISNUMBER($A2133),IF(AND(AH!$U$12=1,2128+1=AH!$U$6),IF(AH!$U$4=0,"unavailable",INDEX('Market Data'!$AO$5:$AO$66,AH!$U$4)),IF(AH!$U$5=1,INDEX('Live History'!$E$5:$E$3004,MATCH($A2133,'Live History'!$D$5:$D$3004,1)),INDEX('AH History'!$D$5:$GG$1380,$K2133,AH!$U$10+1))),NA()),NA())</f>
        <v/>
      </c>
      <c r="G2133" s="34">
        <f>IFERROR(IF(ISNUMBER($A2133),IF(AND(AH!$U$12=1,2128+1=AH!$U$6),IF(AH!$U$4=0,"unavailable",INDEX('Market Data'!$AK$5:$AK$66,AH!$U$4)),IF(AH!$U$5=1,INDEX('Live History'!$D$5:$D$3004,MATCH($A2133,'Live History'!$D$5:$D$3004,1)),INDEX('AH History'!$D$5:$GG$1380,$K2133,AH!$U$10+2))),NA()),NA())</f>
        <v/>
      </c>
      <c r="H2133" s="266">
        <f>IFERROR(IF(ISNUMBER($A2133),IF(AND(AH!$U$12=1,2128+1=AH!$U$6),IF(AH!$U$4=0,"unavailable",INDEX('Market Data'!$AP$5:$AP$66,AH!$U$4)),IF(AH!$U$5=1,INDEX('Live History'!$H$5:$H$3004,MATCH($A2133,'Live History'!$G$5:$G$3004,1)),INDEX('AH History'!$B$5:$B$1380,$K2133))),NA()),NA())</f>
        <v/>
      </c>
      <c r="I2133" s="34">
        <f>IFERROR(IF(ISNUMBER($A2133),IF(AND(AH!$U$12=1,2128+1=AH!$U$6),TODAY(),IF(AH!$U$5=1,INDEX('Live History'!$G$5:$G$3004,MATCH($A2133,'Live History'!$G$5:$G$3004,1)),INDEX('AH History'!$C$5:$C$1380,$K2133))),NA()),NA())</f>
        <v/>
      </c>
      <c r="J2133" s="32">
        <f>IFERROR(IF(AND($F2133&gt;0,$H2133&gt;0,$A2133-$G2133&lt;=10,$A2133-$I2133&lt;=5,$G2133&gt;0,$I2133&gt;0),$F2133*$H2133,NA()),NA())</f>
        <v/>
      </c>
      <c r="K2133" s="15">
        <f>IF($A2133="","",IF(AH!$U$5=1,IFERROR(MATCH($A2133,'Live History'!$A$5:$A$3004,0),0),AH!$U$7+2128))</f>
        <v/>
      </c>
      <c r="L2133" s="15">
        <f>IF(ISNUMBER(A2133),TEXT(A2133,"dd-mmm-yy"),"")</f>
        <v/>
      </c>
    </row>
    <row r="2134">
      <c r="A2134" s="14">
        <f>IF(OR(AH!$U$4=0,2129+1&gt;AH!$U$6,AND(AH!$M$5="Bloomberg",AH!$U$5=0)),"",IFERROR(IF(AND(AH!$U$12=1,2129+1=AH!$U$6),TODAY(),IF(AH!$U$5=1,INDEX('Live History'!$A$5:$A$3004,AH!$U$7+2129),INDEX('AH History'!$A$5:$A$1380,AH!$U$7+2129))),""))</f>
        <v/>
      </c>
      <c r="B2134" s="33">
        <f>IFERROR(IF(AH!$U$11=1,NA(),$J2134/$E2134-1),NA())</f>
        <v/>
      </c>
      <c r="C2134" s="269">
        <f>IFERROR(100*$E2134/$E$5,NA())</f>
        <v/>
      </c>
      <c r="D2134" s="269">
        <f>IFERROR(100*$J2134/$J$5,NA())</f>
        <v/>
      </c>
      <c r="E2134" s="32">
        <f>IFERROR(IF(AND(ISNUMBER($A2134),N(IF(AND(AH!$U$12=1,2129+1=AH!$U$6),IF(AH!$U$4=0,"unavailable",INDEX('Market Data'!$AN$5:$AN$66,AH!$U$4)),IF(AH!$U$5=1,INDEX('Live History'!$B$5:$B$3004,$K2134),INDEX('AH History'!$D$5:$GG$1380,$K2134,AH!$U$10))))&gt;0),IF(AND(AH!$U$12=1,2129+1=AH!$U$6),IF(AH!$U$4=0,"unavailable",INDEX('Market Data'!$AN$5:$AN$66,AH!$U$4)),IF(AH!$U$5=1,INDEX('Live History'!$B$5:$B$3004,$K2134),INDEX('AH History'!$D$5:$GG$1380,$K2134,AH!$U$10))),NA()),NA())</f>
        <v/>
      </c>
      <c r="F2134" s="32">
        <f>IFERROR(IF(ISNUMBER($A2134),IF(AND(AH!$U$12=1,2129+1=AH!$U$6),IF(AH!$U$4=0,"unavailable",INDEX('Market Data'!$AO$5:$AO$66,AH!$U$4)),IF(AH!$U$5=1,INDEX('Live History'!$E$5:$E$3004,MATCH($A2134,'Live History'!$D$5:$D$3004,1)),INDEX('AH History'!$D$5:$GG$1380,$K2134,AH!$U$10+1))),NA()),NA())</f>
        <v/>
      </c>
      <c r="G2134" s="34">
        <f>IFERROR(IF(ISNUMBER($A2134),IF(AND(AH!$U$12=1,2129+1=AH!$U$6),IF(AH!$U$4=0,"unavailable",INDEX('Market Data'!$AK$5:$AK$66,AH!$U$4)),IF(AH!$U$5=1,INDEX('Live History'!$D$5:$D$3004,MATCH($A2134,'Live History'!$D$5:$D$3004,1)),INDEX('AH History'!$D$5:$GG$1380,$K2134,AH!$U$10+2))),NA()),NA())</f>
        <v/>
      </c>
      <c r="H2134" s="266">
        <f>IFERROR(IF(ISNUMBER($A2134),IF(AND(AH!$U$12=1,2129+1=AH!$U$6),IF(AH!$U$4=0,"unavailable",INDEX('Market Data'!$AP$5:$AP$66,AH!$U$4)),IF(AH!$U$5=1,INDEX('Live History'!$H$5:$H$3004,MATCH($A2134,'Live History'!$G$5:$G$3004,1)),INDEX('AH History'!$B$5:$B$1380,$K2134))),NA()),NA())</f>
        <v/>
      </c>
      <c r="I2134" s="34">
        <f>IFERROR(IF(ISNUMBER($A2134),IF(AND(AH!$U$12=1,2129+1=AH!$U$6),TODAY(),IF(AH!$U$5=1,INDEX('Live History'!$G$5:$G$3004,MATCH($A2134,'Live History'!$G$5:$G$3004,1)),INDEX('AH History'!$C$5:$C$1380,$K2134))),NA()),NA())</f>
        <v/>
      </c>
      <c r="J2134" s="32">
        <f>IFERROR(IF(AND($F2134&gt;0,$H2134&gt;0,$A2134-$G2134&lt;=10,$A2134-$I2134&lt;=5,$G2134&gt;0,$I2134&gt;0),$F2134*$H2134,NA()),NA())</f>
        <v/>
      </c>
      <c r="K2134" s="15">
        <f>IF($A2134="","",IF(AH!$U$5=1,IFERROR(MATCH($A2134,'Live History'!$A$5:$A$3004,0),0),AH!$U$7+2129))</f>
        <v/>
      </c>
      <c r="L2134" s="15">
        <f>IF(ISNUMBER(A2134),TEXT(A2134,"dd-mmm-yy"),"")</f>
        <v/>
      </c>
    </row>
    <row r="2135">
      <c r="A2135" s="14">
        <f>IF(OR(AH!$U$4=0,2130+1&gt;AH!$U$6,AND(AH!$M$5="Bloomberg",AH!$U$5=0)),"",IFERROR(IF(AND(AH!$U$12=1,2130+1=AH!$U$6),TODAY(),IF(AH!$U$5=1,INDEX('Live History'!$A$5:$A$3004,AH!$U$7+2130),INDEX('AH History'!$A$5:$A$1380,AH!$U$7+2130))),""))</f>
        <v/>
      </c>
      <c r="B2135" s="33">
        <f>IFERROR(IF(AH!$U$11=1,NA(),$J2135/$E2135-1),NA())</f>
        <v/>
      </c>
      <c r="C2135" s="269">
        <f>IFERROR(100*$E2135/$E$5,NA())</f>
        <v/>
      </c>
      <c r="D2135" s="269">
        <f>IFERROR(100*$J2135/$J$5,NA())</f>
        <v/>
      </c>
      <c r="E2135" s="32">
        <f>IFERROR(IF(AND(ISNUMBER($A2135),N(IF(AND(AH!$U$12=1,2130+1=AH!$U$6),IF(AH!$U$4=0,"unavailable",INDEX('Market Data'!$AN$5:$AN$66,AH!$U$4)),IF(AH!$U$5=1,INDEX('Live History'!$B$5:$B$3004,$K2135),INDEX('AH History'!$D$5:$GG$1380,$K2135,AH!$U$10))))&gt;0),IF(AND(AH!$U$12=1,2130+1=AH!$U$6),IF(AH!$U$4=0,"unavailable",INDEX('Market Data'!$AN$5:$AN$66,AH!$U$4)),IF(AH!$U$5=1,INDEX('Live History'!$B$5:$B$3004,$K2135),INDEX('AH History'!$D$5:$GG$1380,$K2135,AH!$U$10))),NA()),NA())</f>
        <v/>
      </c>
      <c r="F2135" s="32">
        <f>IFERROR(IF(ISNUMBER($A2135),IF(AND(AH!$U$12=1,2130+1=AH!$U$6),IF(AH!$U$4=0,"unavailable",INDEX('Market Data'!$AO$5:$AO$66,AH!$U$4)),IF(AH!$U$5=1,INDEX('Live History'!$E$5:$E$3004,MATCH($A2135,'Live History'!$D$5:$D$3004,1)),INDEX('AH History'!$D$5:$GG$1380,$K2135,AH!$U$10+1))),NA()),NA())</f>
        <v/>
      </c>
      <c r="G2135" s="34">
        <f>IFERROR(IF(ISNUMBER($A2135),IF(AND(AH!$U$12=1,2130+1=AH!$U$6),IF(AH!$U$4=0,"unavailable",INDEX('Market Data'!$AK$5:$AK$66,AH!$U$4)),IF(AH!$U$5=1,INDEX('Live History'!$D$5:$D$3004,MATCH($A2135,'Live History'!$D$5:$D$3004,1)),INDEX('AH History'!$D$5:$GG$1380,$K2135,AH!$U$10+2))),NA()),NA())</f>
        <v/>
      </c>
      <c r="H2135" s="266">
        <f>IFERROR(IF(ISNUMBER($A2135),IF(AND(AH!$U$12=1,2130+1=AH!$U$6),IF(AH!$U$4=0,"unavailable",INDEX('Market Data'!$AP$5:$AP$66,AH!$U$4)),IF(AH!$U$5=1,INDEX('Live History'!$H$5:$H$3004,MATCH($A2135,'Live History'!$G$5:$G$3004,1)),INDEX('AH History'!$B$5:$B$1380,$K2135))),NA()),NA())</f>
        <v/>
      </c>
      <c r="I2135" s="34">
        <f>IFERROR(IF(ISNUMBER($A2135),IF(AND(AH!$U$12=1,2130+1=AH!$U$6),TODAY(),IF(AH!$U$5=1,INDEX('Live History'!$G$5:$G$3004,MATCH($A2135,'Live History'!$G$5:$G$3004,1)),INDEX('AH History'!$C$5:$C$1380,$K2135))),NA()),NA())</f>
        <v/>
      </c>
      <c r="J2135" s="32">
        <f>IFERROR(IF(AND($F2135&gt;0,$H2135&gt;0,$A2135-$G2135&lt;=10,$A2135-$I2135&lt;=5,$G2135&gt;0,$I2135&gt;0),$F2135*$H2135,NA()),NA())</f>
        <v/>
      </c>
      <c r="K2135" s="15">
        <f>IF($A2135="","",IF(AH!$U$5=1,IFERROR(MATCH($A2135,'Live History'!$A$5:$A$3004,0),0),AH!$U$7+2130))</f>
        <v/>
      </c>
      <c r="L2135" s="15">
        <f>IF(ISNUMBER(A2135),TEXT(A2135,"dd-mmm-yy"),"")</f>
        <v/>
      </c>
    </row>
    <row r="2136">
      <c r="A2136" s="14">
        <f>IF(OR(AH!$U$4=0,2131+1&gt;AH!$U$6,AND(AH!$M$5="Bloomberg",AH!$U$5=0)),"",IFERROR(IF(AND(AH!$U$12=1,2131+1=AH!$U$6),TODAY(),IF(AH!$U$5=1,INDEX('Live History'!$A$5:$A$3004,AH!$U$7+2131),INDEX('AH History'!$A$5:$A$1380,AH!$U$7+2131))),""))</f>
        <v/>
      </c>
      <c r="B2136" s="33">
        <f>IFERROR(IF(AH!$U$11=1,NA(),$J2136/$E2136-1),NA())</f>
        <v/>
      </c>
      <c r="C2136" s="269">
        <f>IFERROR(100*$E2136/$E$5,NA())</f>
        <v/>
      </c>
      <c r="D2136" s="269">
        <f>IFERROR(100*$J2136/$J$5,NA())</f>
        <v/>
      </c>
      <c r="E2136" s="32">
        <f>IFERROR(IF(AND(ISNUMBER($A2136),N(IF(AND(AH!$U$12=1,2131+1=AH!$U$6),IF(AH!$U$4=0,"unavailable",INDEX('Market Data'!$AN$5:$AN$66,AH!$U$4)),IF(AH!$U$5=1,INDEX('Live History'!$B$5:$B$3004,$K2136),INDEX('AH History'!$D$5:$GG$1380,$K2136,AH!$U$10))))&gt;0),IF(AND(AH!$U$12=1,2131+1=AH!$U$6),IF(AH!$U$4=0,"unavailable",INDEX('Market Data'!$AN$5:$AN$66,AH!$U$4)),IF(AH!$U$5=1,INDEX('Live History'!$B$5:$B$3004,$K2136),INDEX('AH History'!$D$5:$GG$1380,$K2136,AH!$U$10))),NA()),NA())</f>
        <v/>
      </c>
      <c r="F2136" s="32">
        <f>IFERROR(IF(ISNUMBER($A2136),IF(AND(AH!$U$12=1,2131+1=AH!$U$6),IF(AH!$U$4=0,"unavailable",INDEX('Market Data'!$AO$5:$AO$66,AH!$U$4)),IF(AH!$U$5=1,INDEX('Live History'!$E$5:$E$3004,MATCH($A2136,'Live History'!$D$5:$D$3004,1)),INDEX('AH History'!$D$5:$GG$1380,$K2136,AH!$U$10+1))),NA()),NA())</f>
        <v/>
      </c>
      <c r="G2136" s="34">
        <f>IFERROR(IF(ISNUMBER($A2136),IF(AND(AH!$U$12=1,2131+1=AH!$U$6),IF(AH!$U$4=0,"unavailable",INDEX('Market Data'!$AK$5:$AK$66,AH!$U$4)),IF(AH!$U$5=1,INDEX('Live History'!$D$5:$D$3004,MATCH($A2136,'Live History'!$D$5:$D$3004,1)),INDEX('AH History'!$D$5:$GG$1380,$K2136,AH!$U$10+2))),NA()),NA())</f>
        <v/>
      </c>
      <c r="H2136" s="266">
        <f>IFERROR(IF(ISNUMBER($A2136),IF(AND(AH!$U$12=1,2131+1=AH!$U$6),IF(AH!$U$4=0,"unavailable",INDEX('Market Data'!$AP$5:$AP$66,AH!$U$4)),IF(AH!$U$5=1,INDEX('Live History'!$H$5:$H$3004,MATCH($A2136,'Live History'!$G$5:$G$3004,1)),INDEX('AH History'!$B$5:$B$1380,$K2136))),NA()),NA())</f>
        <v/>
      </c>
      <c r="I2136" s="34">
        <f>IFERROR(IF(ISNUMBER($A2136),IF(AND(AH!$U$12=1,2131+1=AH!$U$6),TODAY(),IF(AH!$U$5=1,INDEX('Live History'!$G$5:$G$3004,MATCH($A2136,'Live History'!$G$5:$G$3004,1)),INDEX('AH History'!$C$5:$C$1380,$K2136))),NA()),NA())</f>
        <v/>
      </c>
      <c r="J2136" s="32">
        <f>IFERROR(IF(AND($F2136&gt;0,$H2136&gt;0,$A2136-$G2136&lt;=10,$A2136-$I2136&lt;=5,$G2136&gt;0,$I2136&gt;0),$F2136*$H2136,NA()),NA())</f>
        <v/>
      </c>
      <c r="K2136" s="15">
        <f>IF($A2136="","",IF(AH!$U$5=1,IFERROR(MATCH($A2136,'Live History'!$A$5:$A$3004,0),0),AH!$U$7+2131))</f>
        <v/>
      </c>
      <c r="L2136" s="15">
        <f>IF(ISNUMBER(A2136),TEXT(A2136,"dd-mmm-yy"),"")</f>
        <v/>
      </c>
    </row>
    <row r="2137">
      <c r="A2137" s="14">
        <f>IF(OR(AH!$U$4=0,2132+1&gt;AH!$U$6,AND(AH!$M$5="Bloomberg",AH!$U$5=0)),"",IFERROR(IF(AND(AH!$U$12=1,2132+1=AH!$U$6),TODAY(),IF(AH!$U$5=1,INDEX('Live History'!$A$5:$A$3004,AH!$U$7+2132),INDEX('AH History'!$A$5:$A$1380,AH!$U$7+2132))),""))</f>
        <v/>
      </c>
      <c r="B2137" s="33">
        <f>IFERROR(IF(AH!$U$11=1,NA(),$J2137/$E2137-1),NA())</f>
        <v/>
      </c>
      <c r="C2137" s="269">
        <f>IFERROR(100*$E2137/$E$5,NA())</f>
        <v/>
      </c>
      <c r="D2137" s="269">
        <f>IFERROR(100*$J2137/$J$5,NA())</f>
        <v/>
      </c>
      <c r="E2137" s="32">
        <f>IFERROR(IF(AND(ISNUMBER($A2137),N(IF(AND(AH!$U$12=1,2132+1=AH!$U$6),IF(AH!$U$4=0,"unavailable",INDEX('Market Data'!$AN$5:$AN$66,AH!$U$4)),IF(AH!$U$5=1,INDEX('Live History'!$B$5:$B$3004,$K2137),INDEX('AH History'!$D$5:$GG$1380,$K2137,AH!$U$10))))&gt;0),IF(AND(AH!$U$12=1,2132+1=AH!$U$6),IF(AH!$U$4=0,"unavailable",INDEX('Market Data'!$AN$5:$AN$66,AH!$U$4)),IF(AH!$U$5=1,INDEX('Live History'!$B$5:$B$3004,$K2137),INDEX('AH History'!$D$5:$GG$1380,$K2137,AH!$U$10))),NA()),NA())</f>
        <v/>
      </c>
      <c r="F2137" s="32">
        <f>IFERROR(IF(ISNUMBER($A2137),IF(AND(AH!$U$12=1,2132+1=AH!$U$6),IF(AH!$U$4=0,"unavailable",INDEX('Market Data'!$AO$5:$AO$66,AH!$U$4)),IF(AH!$U$5=1,INDEX('Live History'!$E$5:$E$3004,MATCH($A2137,'Live History'!$D$5:$D$3004,1)),INDEX('AH History'!$D$5:$GG$1380,$K2137,AH!$U$10+1))),NA()),NA())</f>
        <v/>
      </c>
      <c r="G2137" s="34">
        <f>IFERROR(IF(ISNUMBER($A2137),IF(AND(AH!$U$12=1,2132+1=AH!$U$6),IF(AH!$U$4=0,"unavailable",INDEX('Market Data'!$AK$5:$AK$66,AH!$U$4)),IF(AH!$U$5=1,INDEX('Live History'!$D$5:$D$3004,MATCH($A2137,'Live History'!$D$5:$D$3004,1)),INDEX('AH History'!$D$5:$GG$1380,$K2137,AH!$U$10+2))),NA()),NA())</f>
        <v/>
      </c>
      <c r="H2137" s="266">
        <f>IFERROR(IF(ISNUMBER($A2137),IF(AND(AH!$U$12=1,2132+1=AH!$U$6),IF(AH!$U$4=0,"unavailable",INDEX('Market Data'!$AP$5:$AP$66,AH!$U$4)),IF(AH!$U$5=1,INDEX('Live History'!$H$5:$H$3004,MATCH($A2137,'Live History'!$G$5:$G$3004,1)),INDEX('AH History'!$B$5:$B$1380,$K2137))),NA()),NA())</f>
        <v/>
      </c>
      <c r="I2137" s="34">
        <f>IFERROR(IF(ISNUMBER($A2137),IF(AND(AH!$U$12=1,2132+1=AH!$U$6),TODAY(),IF(AH!$U$5=1,INDEX('Live History'!$G$5:$G$3004,MATCH($A2137,'Live History'!$G$5:$G$3004,1)),INDEX('AH History'!$C$5:$C$1380,$K2137))),NA()),NA())</f>
        <v/>
      </c>
      <c r="J2137" s="32">
        <f>IFERROR(IF(AND($F2137&gt;0,$H2137&gt;0,$A2137-$G2137&lt;=10,$A2137-$I2137&lt;=5,$G2137&gt;0,$I2137&gt;0),$F2137*$H2137,NA()),NA())</f>
        <v/>
      </c>
      <c r="K2137" s="15">
        <f>IF($A2137="","",IF(AH!$U$5=1,IFERROR(MATCH($A2137,'Live History'!$A$5:$A$3004,0),0),AH!$U$7+2132))</f>
        <v/>
      </c>
      <c r="L2137" s="15">
        <f>IF(ISNUMBER(A2137),TEXT(A2137,"dd-mmm-yy"),"")</f>
        <v/>
      </c>
    </row>
    <row r="2138">
      <c r="A2138" s="14">
        <f>IF(OR(AH!$U$4=0,2133+1&gt;AH!$U$6,AND(AH!$M$5="Bloomberg",AH!$U$5=0)),"",IFERROR(IF(AND(AH!$U$12=1,2133+1=AH!$U$6),TODAY(),IF(AH!$U$5=1,INDEX('Live History'!$A$5:$A$3004,AH!$U$7+2133),INDEX('AH History'!$A$5:$A$1380,AH!$U$7+2133))),""))</f>
        <v/>
      </c>
      <c r="B2138" s="33">
        <f>IFERROR(IF(AH!$U$11=1,NA(),$J2138/$E2138-1),NA())</f>
        <v/>
      </c>
      <c r="C2138" s="269">
        <f>IFERROR(100*$E2138/$E$5,NA())</f>
        <v/>
      </c>
      <c r="D2138" s="269">
        <f>IFERROR(100*$J2138/$J$5,NA())</f>
        <v/>
      </c>
      <c r="E2138" s="32">
        <f>IFERROR(IF(AND(ISNUMBER($A2138),N(IF(AND(AH!$U$12=1,2133+1=AH!$U$6),IF(AH!$U$4=0,"unavailable",INDEX('Market Data'!$AN$5:$AN$66,AH!$U$4)),IF(AH!$U$5=1,INDEX('Live History'!$B$5:$B$3004,$K2138),INDEX('AH History'!$D$5:$GG$1380,$K2138,AH!$U$10))))&gt;0),IF(AND(AH!$U$12=1,2133+1=AH!$U$6),IF(AH!$U$4=0,"unavailable",INDEX('Market Data'!$AN$5:$AN$66,AH!$U$4)),IF(AH!$U$5=1,INDEX('Live History'!$B$5:$B$3004,$K2138),INDEX('AH History'!$D$5:$GG$1380,$K2138,AH!$U$10))),NA()),NA())</f>
        <v/>
      </c>
      <c r="F2138" s="32">
        <f>IFERROR(IF(ISNUMBER($A2138),IF(AND(AH!$U$12=1,2133+1=AH!$U$6),IF(AH!$U$4=0,"unavailable",INDEX('Market Data'!$AO$5:$AO$66,AH!$U$4)),IF(AH!$U$5=1,INDEX('Live History'!$E$5:$E$3004,MATCH($A2138,'Live History'!$D$5:$D$3004,1)),INDEX('AH History'!$D$5:$GG$1380,$K2138,AH!$U$10+1))),NA()),NA())</f>
        <v/>
      </c>
      <c r="G2138" s="34">
        <f>IFERROR(IF(ISNUMBER($A2138),IF(AND(AH!$U$12=1,2133+1=AH!$U$6),IF(AH!$U$4=0,"unavailable",INDEX('Market Data'!$AK$5:$AK$66,AH!$U$4)),IF(AH!$U$5=1,INDEX('Live History'!$D$5:$D$3004,MATCH($A2138,'Live History'!$D$5:$D$3004,1)),INDEX('AH History'!$D$5:$GG$1380,$K2138,AH!$U$10+2))),NA()),NA())</f>
        <v/>
      </c>
      <c r="H2138" s="266">
        <f>IFERROR(IF(ISNUMBER($A2138),IF(AND(AH!$U$12=1,2133+1=AH!$U$6),IF(AH!$U$4=0,"unavailable",INDEX('Market Data'!$AP$5:$AP$66,AH!$U$4)),IF(AH!$U$5=1,INDEX('Live History'!$H$5:$H$3004,MATCH($A2138,'Live History'!$G$5:$G$3004,1)),INDEX('AH History'!$B$5:$B$1380,$K2138))),NA()),NA())</f>
        <v/>
      </c>
      <c r="I2138" s="34">
        <f>IFERROR(IF(ISNUMBER($A2138),IF(AND(AH!$U$12=1,2133+1=AH!$U$6),TODAY(),IF(AH!$U$5=1,INDEX('Live History'!$G$5:$G$3004,MATCH($A2138,'Live History'!$G$5:$G$3004,1)),INDEX('AH History'!$C$5:$C$1380,$K2138))),NA()),NA())</f>
        <v/>
      </c>
      <c r="J2138" s="32">
        <f>IFERROR(IF(AND($F2138&gt;0,$H2138&gt;0,$A2138-$G2138&lt;=10,$A2138-$I2138&lt;=5,$G2138&gt;0,$I2138&gt;0),$F2138*$H2138,NA()),NA())</f>
        <v/>
      </c>
      <c r="K2138" s="15">
        <f>IF($A2138="","",IF(AH!$U$5=1,IFERROR(MATCH($A2138,'Live History'!$A$5:$A$3004,0),0),AH!$U$7+2133))</f>
        <v/>
      </c>
      <c r="L2138" s="15">
        <f>IF(ISNUMBER(A2138),TEXT(A2138,"dd-mmm-yy"),"")</f>
        <v/>
      </c>
    </row>
    <row r="2139">
      <c r="A2139" s="14">
        <f>IF(OR(AH!$U$4=0,2134+1&gt;AH!$U$6,AND(AH!$M$5="Bloomberg",AH!$U$5=0)),"",IFERROR(IF(AND(AH!$U$12=1,2134+1=AH!$U$6),TODAY(),IF(AH!$U$5=1,INDEX('Live History'!$A$5:$A$3004,AH!$U$7+2134),INDEX('AH History'!$A$5:$A$1380,AH!$U$7+2134))),""))</f>
        <v/>
      </c>
      <c r="B2139" s="33">
        <f>IFERROR(IF(AH!$U$11=1,NA(),$J2139/$E2139-1),NA())</f>
        <v/>
      </c>
      <c r="C2139" s="269">
        <f>IFERROR(100*$E2139/$E$5,NA())</f>
        <v/>
      </c>
      <c r="D2139" s="269">
        <f>IFERROR(100*$J2139/$J$5,NA())</f>
        <v/>
      </c>
      <c r="E2139" s="32">
        <f>IFERROR(IF(AND(ISNUMBER($A2139),N(IF(AND(AH!$U$12=1,2134+1=AH!$U$6),IF(AH!$U$4=0,"unavailable",INDEX('Market Data'!$AN$5:$AN$66,AH!$U$4)),IF(AH!$U$5=1,INDEX('Live History'!$B$5:$B$3004,$K2139),INDEX('AH History'!$D$5:$GG$1380,$K2139,AH!$U$10))))&gt;0),IF(AND(AH!$U$12=1,2134+1=AH!$U$6),IF(AH!$U$4=0,"unavailable",INDEX('Market Data'!$AN$5:$AN$66,AH!$U$4)),IF(AH!$U$5=1,INDEX('Live History'!$B$5:$B$3004,$K2139),INDEX('AH History'!$D$5:$GG$1380,$K2139,AH!$U$10))),NA()),NA())</f>
        <v/>
      </c>
      <c r="F2139" s="32">
        <f>IFERROR(IF(ISNUMBER($A2139),IF(AND(AH!$U$12=1,2134+1=AH!$U$6),IF(AH!$U$4=0,"unavailable",INDEX('Market Data'!$AO$5:$AO$66,AH!$U$4)),IF(AH!$U$5=1,INDEX('Live History'!$E$5:$E$3004,MATCH($A2139,'Live History'!$D$5:$D$3004,1)),INDEX('AH History'!$D$5:$GG$1380,$K2139,AH!$U$10+1))),NA()),NA())</f>
        <v/>
      </c>
      <c r="G2139" s="34">
        <f>IFERROR(IF(ISNUMBER($A2139),IF(AND(AH!$U$12=1,2134+1=AH!$U$6),IF(AH!$U$4=0,"unavailable",INDEX('Market Data'!$AK$5:$AK$66,AH!$U$4)),IF(AH!$U$5=1,INDEX('Live History'!$D$5:$D$3004,MATCH($A2139,'Live History'!$D$5:$D$3004,1)),INDEX('AH History'!$D$5:$GG$1380,$K2139,AH!$U$10+2))),NA()),NA())</f>
        <v/>
      </c>
      <c r="H2139" s="266">
        <f>IFERROR(IF(ISNUMBER($A2139),IF(AND(AH!$U$12=1,2134+1=AH!$U$6),IF(AH!$U$4=0,"unavailable",INDEX('Market Data'!$AP$5:$AP$66,AH!$U$4)),IF(AH!$U$5=1,INDEX('Live History'!$H$5:$H$3004,MATCH($A2139,'Live History'!$G$5:$G$3004,1)),INDEX('AH History'!$B$5:$B$1380,$K2139))),NA()),NA())</f>
        <v/>
      </c>
      <c r="I2139" s="34">
        <f>IFERROR(IF(ISNUMBER($A2139),IF(AND(AH!$U$12=1,2134+1=AH!$U$6),TODAY(),IF(AH!$U$5=1,INDEX('Live History'!$G$5:$G$3004,MATCH($A2139,'Live History'!$G$5:$G$3004,1)),INDEX('AH History'!$C$5:$C$1380,$K2139))),NA()),NA())</f>
        <v/>
      </c>
      <c r="J2139" s="32">
        <f>IFERROR(IF(AND($F2139&gt;0,$H2139&gt;0,$A2139-$G2139&lt;=10,$A2139-$I2139&lt;=5,$G2139&gt;0,$I2139&gt;0),$F2139*$H2139,NA()),NA())</f>
        <v/>
      </c>
      <c r="K2139" s="15">
        <f>IF($A2139="","",IF(AH!$U$5=1,IFERROR(MATCH($A2139,'Live History'!$A$5:$A$3004,0),0),AH!$U$7+2134))</f>
        <v/>
      </c>
      <c r="L2139" s="15">
        <f>IF(ISNUMBER(A2139),TEXT(A2139,"dd-mmm-yy"),"")</f>
        <v/>
      </c>
    </row>
    <row r="2140">
      <c r="A2140" s="14">
        <f>IF(OR(AH!$U$4=0,2135+1&gt;AH!$U$6,AND(AH!$M$5="Bloomberg",AH!$U$5=0)),"",IFERROR(IF(AND(AH!$U$12=1,2135+1=AH!$U$6),TODAY(),IF(AH!$U$5=1,INDEX('Live History'!$A$5:$A$3004,AH!$U$7+2135),INDEX('AH History'!$A$5:$A$1380,AH!$U$7+2135))),""))</f>
        <v/>
      </c>
      <c r="B2140" s="33">
        <f>IFERROR(IF(AH!$U$11=1,NA(),$J2140/$E2140-1),NA())</f>
        <v/>
      </c>
      <c r="C2140" s="269">
        <f>IFERROR(100*$E2140/$E$5,NA())</f>
        <v/>
      </c>
      <c r="D2140" s="269">
        <f>IFERROR(100*$J2140/$J$5,NA())</f>
        <v/>
      </c>
      <c r="E2140" s="32">
        <f>IFERROR(IF(AND(ISNUMBER($A2140),N(IF(AND(AH!$U$12=1,2135+1=AH!$U$6),IF(AH!$U$4=0,"unavailable",INDEX('Market Data'!$AN$5:$AN$66,AH!$U$4)),IF(AH!$U$5=1,INDEX('Live History'!$B$5:$B$3004,$K2140),INDEX('AH History'!$D$5:$GG$1380,$K2140,AH!$U$10))))&gt;0),IF(AND(AH!$U$12=1,2135+1=AH!$U$6),IF(AH!$U$4=0,"unavailable",INDEX('Market Data'!$AN$5:$AN$66,AH!$U$4)),IF(AH!$U$5=1,INDEX('Live History'!$B$5:$B$3004,$K2140),INDEX('AH History'!$D$5:$GG$1380,$K2140,AH!$U$10))),NA()),NA())</f>
        <v/>
      </c>
      <c r="F2140" s="32">
        <f>IFERROR(IF(ISNUMBER($A2140),IF(AND(AH!$U$12=1,2135+1=AH!$U$6),IF(AH!$U$4=0,"unavailable",INDEX('Market Data'!$AO$5:$AO$66,AH!$U$4)),IF(AH!$U$5=1,INDEX('Live History'!$E$5:$E$3004,MATCH($A2140,'Live History'!$D$5:$D$3004,1)),INDEX('AH History'!$D$5:$GG$1380,$K2140,AH!$U$10+1))),NA()),NA())</f>
        <v/>
      </c>
      <c r="G2140" s="34">
        <f>IFERROR(IF(ISNUMBER($A2140),IF(AND(AH!$U$12=1,2135+1=AH!$U$6),IF(AH!$U$4=0,"unavailable",INDEX('Market Data'!$AK$5:$AK$66,AH!$U$4)),IF(AH!$U$5=1,INDEX('Live History'!$D$5:$D$3004,MATCH($A2140,'Live History'!$D$5:$D$3004,1)),INDEX('AH History'!$D$5:$GG$1380,$K2140,AH!$U$10+2))),NA()),NA())</f>
        <v/>
      </c>
      <c r="H2140" s="266">
        <f>IFERROR(IF(ISNUMBER($A2140),IF(AND(AH!$U$12=1,2135+1=AH!$U$6),IF(AH!$U$4=0,"unavailable",INDEX('Market Data'!$AP$5:$AP$66,AH!$U$4)),IF(AH!$U$5=1,INDEX('Live History'!$H$5:$H$3004,MATCH($A2140,'Live History'!$G$5:$G$3004,1)),INDEX('AH History'!$B$5:$B$1380,$K2140))),NA()),NA())</f>
        <v/>
      </c>
      <c r="I2140" s="34">
        <f>IFERROR(IF(ISNUMBER($A2140),IF(AND(AH!$U$12=1,2135+1=AH!$U$6),TODAY(),IF(AH!$U$5=1,INDEX('Live History'!$G$5:$G$3004,MATCH($A2140,'Live History'!$G$5:$G$3004,1)),INDEX('AH History'!$C$5:$C$1380,$K2140))),NA()),NA())</f>
        <v/>
      </c>
      <c r="J2140" s="32">
        <f>IFERROR(IF(AND($F2140&gt;0,$H2140&gt;0,$A2140-$G2140&lt;=10,$A2140-$I2140&lt;=5,$G2140&gt;0,$I2140&gt;0),$F2140*$H2140,NA()),NA())</f>
        <v/>
      </c>
      <c r="K2140" s="15">
        <f>IF($A2140="","",IF(AH!$U$5=1,IFERROR(MATCH($A2140,'Live History'!$A$5:$A$3004,0),0),AH!$U$7+2135))</f>
        <v/>
      </c>
      <c r="L2140" s="15">
        <f>IF(ISNUMBER(A2140),TEXT(A2140,"dd-mmm-yy"),"")</f>
        <v/>
      </c>
    </row>
    <row r="2141">
      <c r="A2141" s="14">
        <f>IF(OR(AH!$U$4=0,2136+1&gt;AH!$U$6,AND(AH!$M$5="Bloomberg",AH!$U$5=0)),"",IFERROR(IF(AND(AH!$U$12=1,2136+1=AH!$U$6),TODAY(),IF(AH!$U$5=1,INDEX('Live History'!$A$5:$A$3004,AH!$U$7+2136),INDEX('AH History'!$A$5:$A$1380,AH!$U$7+2136))),""))</f>
        <v/>
      </c>
      <c r="B2141" s="33">
        <f>IFERROR(IF(AH!$U$11=1,NA(),$J2141/$E2141-1),NA())</f>
        <v/>
      </c>
      <c r="C2141" s="269">
        <f>IFERROR(100*$E2141/$E$5,NA())</f>
        <v/>
      </c>
      <c r="D2141" s="269">
        <f>IFERROR(100*$J2141/$J$5,NA())</f>
        <v/>
      </c>
      <c r="E2141" s="32">
        <f>IFERROR(IF(AND(ISNUMBER($A2141),N(IF(AND(AH!$U$12=1,2136+1=AH!$U$6),IF(AH!$U$4=0,"unavailable",INDEX('Market Data'!$AN$5:$AN$66,AH!$U$4)),IF(AH!$U$5=1,INDEX('Live History'!$B$5:$B$3004,$K2141),INDEX('AH History'!$D$5:$GG$1380,$K2141,AH!$U$10))))&gt;0),IF(AND(AH!$U$12=1,2136+1=AH!$U$6),IF(AH!$U$4=0,"unavailable",INDEX('Market Data'!$AN$5:$AN$66,AH!$U$4)),IF(AH!$U$5=1,INDEX('Live History'!$B$5:$B$3004,$K2141),INDEX('AH History'!$D$5:$GG$1380,$K2141,AH!$U$10))),NA()),NA())</f>
        <v/>
      </c>
      <c r="F2141" s="32">
        <f>IFERROR(IF(ISNUMBER($A2141),IF(AND(AH!$U$12=1,2136+1=AH!$U$6),IF(AH!$U$4=0,"unavailable",INDEX('Market Data'!$AO$5:$AO$66,AH!$U$4)),IF(AH!$U$5=1,INDEX('Live History'!$E$5:$E$3004,MATCH($A2141,'Live History'!$D$5:$D$3004,1)),INDEX('AH History'!$D$5:$GG$1380,$K2141,AH!$U$10+1))),NA()),NA())</f>
        <v/>
      </c>
      <c r="G2141" s="34">
        <f>IFERROR(IF(ISNUMBER($A2141),IF(AND(AH!$U$12=1,2136+1=AH!$U$6),IF(AH!$U$4=0,"unavailable",INDEX('Market Data'!$AK$5:$AK$66,AH!$U$4)),IF(AH!$U$5=1,INDEX('Live History'!$D$5:$D$3004,MATCH($A2141,'Live History'!$D$5:$D$3004,1)),INDEX('AH History'!$D$5:$GG$1380,$K2141,AH!$U$10+2))),NA()),NA())</f>
        <v/>
      </c>
      <c r="H2141" s="266">
        <f>IFERROR(IF(ISNUMBER($A2141),IF(AND(AH!$U$12=1,2136+1=AH!$U$6),IF(AH!$U$4=0,"unavailable",INDEX('Market Data'!$AP$5:$AP$66,AH!$U$4)),IF(AH!$U$5=1,INDEX('Live History'!$H$5:$H$3004,MATCH($A2141,'Live History'!$G$5:$G$3004,1)),INDEX('AH History'!$B$5:$B$1380,$K2141))),NA()),NA())</f>
        <v/>
      </c>
      <c r="I2141" s="34">
        <f>IFERROR(IF(ISNUMBER($A2141),IF(AND(AH!$U$12=1,2136+1=AH!$U$6),TODAY(),IF(AH!$U$5=1,INDEX('Live History'!$G$5:$G$3004,MATCH($A2141,'Live History'!$G$5:$G$3004,1)),INDEX('AH History'!$C$5:$C$1380,$K2141))),NA()),NA())</f>
        <v/>
      </c>
      <c r="J2141" s="32">
        <f>IFERROR(IF(AND($F2141&gt;0,$H2141&gt;0,$A2141-$G2141&lt;=10,$A2141-$I2141&lt;=5,$G2141&gt;0,$I2141&gt;0),$F2141*$H2141,NA()),NA())</f>
        <v/>
      </c>
      <c r="K2141" s="15">
        <f>IF($A2141="","",IF(AH!$U$5=1,IFERROR(MATCH($A2141,'Live History'!$A$5:$A$3004,0),0),AH!$U$7+2136))</f>
        <v/>
      </c>
      <c r="L2141" s="15">
        <f>IF(ISNUMBER(A2141),TEXT(A2141,"dd-mmm-yy"),"")</f>
        <v/>
      </c>
    </row>
    <row r="2142">
      <c r="A2142" s="14">
        <f>IF(OR(AH!$U$4=0,2137+1&gt;AH!$U$6,AND(AH!$M$5="Bloomberg",AH!$U$5=0)),"",IFERROR(IF(AND(AH!$U$12=1,2137+1=AH!$U$6),TODAY(),IF(AH!$U$5=1,INDEX('Live History'!$A$5:$A$3004,AH!$U$7+2137),INDEX('AH History'!$A$5:$A$1380,AH!$U$7+2137))),""))</f>
        <v/>
      </c>
      <c r="B2142" s="33">
        <f>IFERROR(IF(AH!$U$11=1,NA(),$J2142/$E2142-1),NA())</f>
        <v/>
      </c>
      <c r="C2142" s="269">
        <f>IFERROR(100*$E2142/$E$5,NA())</f>
        <v/>
      </c>
      <c r="D2142" s="269">
        <f>IFERROR(100*$J2142/$J$5,NA())</f>
        <v/>
      </c>
      <c r="E2142" s="32">
        <f>IFERROR(IF(AND(ISNUMBER($A2142),N(IF(AND(AH!$U$12=1,2137+1=AH!$U$6),IF(AH!$U$4=0,"unavailable",INDEX('Market Data'!$AN$5:$AN$66,AH!$U$4)),IF(AH!$U$5=1,INDEX('Live History'!$B$5:$B$3004,$K2142),INDEX('AH History'!$D$5:$GG$1380,$K2142,AH!$U$10))))&gt;0),IF(AND(AH!$U$12=1,2137+1=AH!$U$6),IF(AH!$U$4=0,"unavailable",INDEX('Market Data'!$AN$5:$AN$66,AH!$U$4)),IF(AH!$U$5=1,INDEX('Live History'!$B$5:$B$3004,$K2142),INDEX('AH History'!$D$5:$GG$1380,$K2142,AH!$U$10))),NA()),NA())</f>
        <v/>
      </c>
      <c r="F2142" s="32">
        <f>IFERROR(IF(ISNUMBER($A2142),IF(AND(AH!$U$12=1,2137+1=AH!$U$6),IF(AH!$U$4=0,"unavailable",INDEX('Market Data'!$AO$5:$AO$66,AH!$U$4)),IF(AH!$U$5=1,INDEX('Live History'!$E$5:$E$3004,MATCH($A2142,'Live History'!$D$5:$D$3004,1)),INDEX('AH History'!$D$5:$GG$1380,$K2142,AH!$U$10+1))),NA()),NA())</f>
        <v/>
      </c>
      <c r="G2142" s="34">
        <f>IFERROR(IF(ISNUMBER($A2142),IF(AND(AH!$U$12=1,2137+1=AH!$U$6),IF(AH!$U$4=0,"unavailable",INDEX('Market Data'!$AK$5:$AK$66,AH!$U$4)),IF(AH!$U$5=1,INDEX('Live History'!$D$5:$D$3004,MATCH($A2142,'Live History'!$D$5:$D$3004,1)),INDEX('AH History'!$D$5:$GG$1380,$K2142,AH!$U$10+2))),NA()),NA())</f>
        <v/>
      </c>
      <c r="H2142" s="266">
        <f>IFERROR(IF(ISNUMBER($A2142),IF(AND(AH!$U$12=1,2137+1=AH!$U$6),IF(AH!$U$4=0,"unavailable",INDEX('Market Data'!$AP$5:$AP$66,AH!$U$4)),IF(AH!$U$5=1,INDEX('Live History'!$H$5:$H$3004,MATCH($A2142,'Live History'!$G$5:$G$3004,1)),INDEX('AH History'!$B$5:$B$1380,$K2142))),NA()),NA())</f>
        <v/>
      </c>
      <c r="I2142" s="34">
        <f>IFERROR(IF(ISNUMBER($A2142),IF(AND(AH!$U$12=1,2137+1=AH!$U$6),TODAY(),IF(AH!$U$5=1,INDEX('Live History'!$G$5:$G$3004,MATCH($A2142,'Live History'!$G$5:$G$3004,1)),INDEX('AH History'!$C$5:$C$1380,$K2142))),NA()),NA())</f>
        <v/>
      </c>
      <c r="J2142" s="32">
        <f>IFERROR(IF(AND($F2142&gt;0,$H2142&gt;0,$A2142-$G2142&lt;=10,$A2142-$I2142&lt;=5,$G2142&gt;0,$I2142&gt;0),$F2142*$H2142,NA()),NA())</f>
        <v/>
      </c>
      <c r="K2142" s="15">
        <f>IF($A2142="","",IF(AH!$U$5=1,IFERROR(MATCH($A2142,'Live History'!$A$5:$A$3004,0),0),AH!$U$7+2137))</f>
        <v/>
      </c>
      <c r="L2142" s="15">
        <f>IF(ISNUMBER(A2142),TEXT(A2142,"dd-mmm-yy"),"")</f>
        <v/>
      </c>
    </row>
    <row r="2143">
      <c r="A2143" s="14">
        <f>IF(OR(AH!$U$4=0,2138+1&gt;AH!$U$6,AND(AH!$M$5="Bloomberg",AH!$U$5=0)),"",IFERROR(IF(AND(AH!$U$12=1,2138+1=AH!$U$6),TODAY(),IF(AH!$U$5=1,INDEX('Live History'!$A$5:$A$3004,AH!$U$7+2138),INDEX('AH History'!$A$5:$A$1380,AH!$U$7+2138))),""))</f>
        <v/>
      </c>
      <c r="B2143" s="33">
        <f>IFERROR(IF(AH!$U$11=1,NA(),$J2143/$E2143-1),NA())</f>
        <v/>
      </c>
      <c r="C2143" s="269">
        <f>IFERROR(100*$E2143/$E$5,NA())</f>
        <v/>
      </c>
      <c r="D2143" s="269">
        <f>IFERROR(100*$J2143/$J$5,NA())</f>
        <v/>
      </c>
      <c r="E2143" s="32">
        <f>IFERROR(IF(AND(ISNUMBER($A2143),N(IF(AND(AH!$U$12=1,2138+1=AH!$U$6),IF(AH!$U$4=0,"unavailable",INDEX('Market Data'!$AN$5:$AN$66,AH!$U$4)),IF(AH!$U$5=1,INDEX('Live History'!$B$5:$B$3004,$K2143),INDEX('AH History'!$D$5:$GG$1380,$K2143,AH!$U$10))))&gt;0),IF(AND(AH!$U$12=1,2138+1=AH!$U$6),IF(AH!$U$4=0,"unavailable",INDEX('Market Data'!$AN$5:$AN$66,AH!$U$4)),IF(AH!$U$5=1,INDEX('Live History'!$B$5:$B$3004,$K2143),INDEX('AH History'!$D$5:$GG$1380,$K2143,AH!$U$10))),NA()),NA())</f>
        <v/>
      </c>
      <c r="F2143" s="32">
        <f>IFERROR(IF(ISNUMBER($A2143),IF(AND(AH!$U$12=1,2138+1=AH!$U$6),IF(AH!$U$4=0,"unavailable",INDEX('Market Data'!$AO$5:$AO$66,AH!$U$4)),IF(AH!$U$5=1,INDEX('Live History'!$E$5:$E$3004,MATCH($A2143,'Live History'!$D$5:$D$3004,1)),INDEX('AH History'!$D$5:$GG$1380,$K2143,AH!$U$10+1))),NA()),NA())</f>
        <v/>
      </c>
      <c r="G2143" s="34">
        <f>IFERROR(IF(ISNUMBER($A2143),IF(AND(AH!$U$12=1,2138+1=AH!$U$6),IF(AH!$U$4=0,"unavailable",INDEX('Market Data'!$AK$5:$AK$66,AH!$U$4)),IF(AH!$U$5=1,INDEX('Live History'!$D$5:$D$3004,MATCH($A2143,'Live History'!$D$5:$D$3004,1)),INDEX('AH History'!$D$5:$GG$1380,$K2143,AH!$U$10+2))),NA()),NA())</f>
        <v/>
      </c>
      <c r="H2143" s="266">
        <f>IFERROR(IF(ISNUMBER($A2143),IF(AND(AH!$U$12=1,2138+1=AH!$U$6),IF(AH!$U$4=0,"unavailable",INDEX('Market Data'!$AP$5:$AP$66,AH!$U$4)),IF(AH!$U$5=1,INDEX('Live History'!$H$5:$H$3004,MATCH($A2143,'Live History'!$G$5:$G$3004,1)),INDEX('AH History'!$B$5:$B$1380,$K2143))),NA()),NA())</f>
        <v/>
      </c>
      <c r="I2143" s="34">
        <f>IFERROR(IF(ISNUMBER($A2143),IF(AND(AH!$U$12=1,2138+1=AH!$U$6),TODAY(),IF(AH!$U$5=1,INDEX('Live History'!$G$5:$G$3004,MATCH($A2143,'Live History'!$G$5:$G$3004,1)),INDEX('AH History'!$C$5:$C$1380,$K2143))),NA()),NA())</f>
        <v/>
      </c>
      <c r="J2143" s="32">
        <f>IFERROR(IF(AND($F2143&gt;0,$H2143&gt;0,$A2143-$G2143&lt;=10,$A2143-$I2143&lt;=5,$G2143&gt;0,$I2143&gt;0),$F2143*$H2143,NA()),NA())</f>
        <v/>
      </c>
      <c r="K2143" s="15">
        <f>IF($A2143="","",IF(AH!$U$5=1,IFERROR(MATCH($A2143,'Live History'!$A$5:$A$3004,0),0),AH!$U$7+2138))</f>
        <v/>
      </c>
      <c r="L2143" s="15">
        <f>IF(ISNUMBER(A2143),TEXT(A2143,"dd-mmm-yy"),"")</f>
        <v/>
      </c>
    </row>
    <row r="2144">
      <c r="A2144" s="14">
        <f>IF(OR(AH!$U$4=0,2139+1&gt;AH!$U$6,AND(AH!$M$5="Bloomberg",AH!$U$5=0)),"",IFERROR(IF(AND(AH!$U$12=1,2139+1=AH!$U$6),TODAY(),IF(AH!$U$5=1,INDEX('Live History'!$A$5:$A$3004,AH!$U$7+2139),INDEX('AH History'!$A$5:$A$1380,AH!$U$7+2139))),""))</f>
        <v/>
      </c>
      <c r="B2144" s="33">
        <f>IFERROR(IF(AH!$U$11=1,NA(),$J2144/$E2144-1),NA())</f>
        <v/>
      </c>
      <c r="C2144" s="269">
        <f>IFERROR(100*$E2144/$E$5,NA())</f>
        <v/>
      </c>
      <c r="D2144" s="269">
        <f>IFERROR(100*$J2144/$J$5,NA())</f>
        <v/>
      </c>
      <c r="E2144" s="32">
        <f>IFERROR(IF(AND(ISNUMBER($A2144),N(IF(AND(AH!$U$12=1,2139+1=AH!$U$6),IF(AH!$U$4=0,"unavailable",INDEX('Market Data'!$AN$5:$AN$66,AH!$U$4)),IF(AH!$U$5=1,INDEX('Live History'!$B$5:$B$3004,$K2144),INDEX('AH History'!$D$5:$GG$1380,$K2144,AH!$U$10))))&gt;0),IF(AND(AH!$U$12=1,2139+1=AH!$U$6),IF(AH!$U$4=0,"unavailable",INDEX('Market Data'!$AN$5:$AN$66,AH!$U$4)),IF(AH!$U$5=1,INDEX('Live History'!$B$5:$B$3004,$K2144),INDEX('AH History'!$D$5:$GG$1380,$K2144,AH!$U$10))),NA()),NA())</f>
        <v/>
      </c>
      <c r="F2144" s="32">
        <f>IFERROR(IF(ISNUMBER($A2144),IF(AND(AH!$U$12=1,2139+1=AH!$U$6),IF(AH!$U$4=0,"unavailable",INDEX('Market Data'!$AO$5:$AO$66,AH!$U$4)),IF(AH!$U$5=1,INDEX('Live History'!$E$5:$E$3004,MATCH($A2144,'Live History'!$D$5:$D$3004,1)),INDEX('AH History'!$D$5:$GG$1380,$K2144,AH!$U$10+1))),NA()),NA())</f>
        <v/>
      </c>
      <c r="G2144" s="34">
        <f>IFERROR(IF(ISNUMBER($A2144),IF(AND(AH!$U$12=1,2139+1=AH!$U$6),IF(AH!$U$4=0,"unavailable",INDEX('Market Data'!$AK$5:$AK$66,AH!$U$4)),IF(AH!$U$5=1,INDEX('Live History'!$D$5:$D$3004,MATCH($A2144,'Live History'!$D$5:$D$3004,1)),INDEX('AH History'!$D$5:$GG$1380,$K2144,AH!$U$10+2))),NA()),NA())</f>
        <v/>
      </c>
      <c r="H2144" s="266">
        <f>IFERROR(IF(ISNUMBER($A2144),IF(AND(AH!$U$12=1,2139+1=AH!$U$6),IF(AH!$U$4=0,"unavailable",INDEX('Market Data'!$AP$5:$AP$66,AH!$U$4)),IF(AH!$U$5=1,INDEX('Live History'!$H$5:$H$3004,MATCH($A2144,'Live History'!$G$5:$G$3004,1)),INDEX('AH History'!$B$5:$B$1380,$K2144))),NA()),NA())</f>
        <v/>
      </c>
      <c r="I2144" s="34">
        <f>IFERROR(IF(ISNUMBER($A2144),IF(AND(AH!$U$12=1,2139+1=AH!$U$6),TODAY(),IF(AH!$U$5=1,INDEX('Live History'!$G$5:$G$3004,MATCH($A2144,'Live History'!$G$5:$G$3004,1)),INDEX('AH History'!$C$5:$C$1380,$K2144))),NA()),NA())</f>
        <v/>
      </c>
      <c r="J2144" s="32">
        <f>IFERROR(IF(AND($F2144&gt;0,$H2144&gt;0,$A2144-$G2144&lt;=10,$A2144-$I2144&lt;=5,$G2144&gt;0,$I2144&gt;0),$F2144*$H2144,NA()),NA())</f>
        <v/>
      </c>
      <c r="K2144" s="15">
        <f>IF($A2144="","",IF(AH!$U$5=1,IFERROR(MATCH($A2144,'Live History'!$A$5:$A$3004,0),0),AH!$U$7+2139))</f>
        <v/>
      </c>
      <c r="L2144" s="15">
        <f>IF(ISNUMBER(A2144),TEXT(A2144,"dd-mmm-yy"),"")</f>
        <v/>
      </c>
    </row>
    <row r="2145">
      <c r="A2145" s="14">
        <f>IF(OR(AH!$U$4=0,2140+1&gt;AH!$U$6,AND(AH!$M$5="Bloomberg",AH!$U$5=0)),"",IFERROR(IF(AND(AH!$U$12=1,2140+1=AH!$U$6),TODAY(),IF(AH!$U$5=1,INDEX('Live History'!$A$5:$A$3004,AH!$U$7+2140),INDEX('AH History'!$A$5:$A$1380,AH!$U$7+2140))),""))</f>
        <v/>
      </c>
      <c r="B2145" s="33">
        <f>IFERROR(IF(AH!$U$11=1,NA(),$J2145/$E2145-1),NA())</f>
        <v/>
      </c>
      <c r="C2145" s="269">
        <f>IFERROR(100*$E2145/$E$5,NA())</f>
        <v/>
      </c>
      <c r="D2145" s="269">
        <f>IFERROR(100*$J2145/$J$5,NA())</f>
        <v/>
      </c>
      <c r="E2145" s="32">
        <f>IFERROR(IF(AND(ISNUMBER($A2145),N(IF(AND(AH!$U$12=1,2140+1=AH!$U$6),IF(AH!$U$4=0,"unavailable",INDEX('Market Data'!$AN$5:$AN$66,AH!$U$4)),IF(AH!$U$5=1,INDEX('Live History'!$B$5:$B$3004,$K2145),INDEX('AH History'!$D$5:$GG$1380,$K2145,AH!$U$10))))&gt;0),IF(AND(AH!$U$12=1,2140+1=AH!$U$6),IF(AH!$U$4=0,"unavailable",INDEX('Market Data'!$AN$5:$AN$66,AH!$U$4)),IF(AH!$U$5=1,INDEX('Live History'!$B$5:$B$3004,$K2145),INDEX('AH History'!$D$5:$GG$1380,$K2145,AH!$U$10))),NA()),NA())</f>
        <v/>
      </c>
      <c r="F2145" s="32">
        <f>IFERROR(IF(ISNUMBER($A2145),IF(AND(AH!$U$12=1,2140+1=AH!$U$6),IF(AH!$U$4=0,"unavailable",INDEX('Market Data'!$AO$5:$AO$66,AH!$U$4)),IF(AH!$U$5=1,INDEX('Live History'!$E$5:$E$3004,MATCH($A2145,'Live History'!$D$5:$D$3004,1)),INDEX('AH History'!$D$5:$GG$1380,$K2145,AH!$U$10+1))),NA()),NA())</f>
        <v/>
      </c>
      <c r="G2145" s="34">
        <f>IFERROR(IF(ISNUMBER($A2145),IF(AND(AH!$U$12=1,2140+1=AH!$U$6),IF(AH!$U$4=0,"unavailable",INDEX('Market Data'!$AK$5:$AK$66,AH!$U$4)),IF(AH!$U$5=1,INDEX('Live History'!$D$5:$D$3004,MATCH($A2145,'Live History'!$D$5:$D$3004,1)),INDEX('AH History'!$D$5:$GG$1380,$K2145,AH!$U$10+2))),NA()),NA())</f>
        <v/>
      </c>
      <c r="H2145" s="266">
        <f>IFERROR(IF(ISNUMBER($A2145),IF(AND(AH!$U$12=1,2140+1=AH!$U$6),IF(AH!$U$4=0,"unavailable",INDEX('Market Data'!$AP$5:$AP$66,AH!$U$4)),IF(AH!$U$5=1,INDEX('Live History'!$H$5:$H$3004,MATCH($A2145,'Live History'!$G$5:$G$3004,1)),INDEX('AH History'!$B$5:$B$1380,$K2145))),NA()),NA())</f>
        <v/>
      </c>
      <c r="I2145" s="34">
        <f>IFERROR(IF(ISNUMBER($A2145),IF(AND(AH!$U$12=1,2140+1=AH!$U$6),TODAY(),IF(AH!$U$5=1,INDEX('Live History'!$G$5:$G$3004,MATCH($A2145,'Live History'!$G$5:$G$3004,1)),INDEX('AH History'!$C$5:$C$1380,$K2145))),NA()),NA())</f>
        <v/>
      </c>
      <c r="J2145" s="32">
        <f>IFERROR(IF(AND($F2145&gt;0,$H2145&gt;0,$A2145-$G2145&lt;=10,$A2145-$I2145&lt;=5,$G2145&gt;0,$I2145&gt;0),$F2145*$H2145,NA()),NA())</f>
        <v/>
      </c>
      <c r="K2145" s="15">
        <f>IF($A2145="","",IF(AH!$U$5=1,IFERROR(MATCH($A2145,'Live History'!$A$5:$A$3004,0),0),AH!$U$7+2140))</f>
        <v/>
      </c>
      <c r="L2145" s="15">
        <f>IF(ISNUMBER(A2145),TEXT(A2145,"dd-mmm-yy"),"")</f>
        <v/>
      </c>
    </row>
    <row r="2146">
      <c r="A2146" s="14">
        <f>IF(OR(AH!$U$4=0,2141+1&gt;AH!$U$6,AND(AH!$M$5="Bloomberg",AH!$U$5=0)),"",IFERROR(IF(AND(AH!$U$12=1,2141+1=AH!$U$6),TODAY(),IF(AH!$U$5=1,INDEX('Live History'!$A$5:$A$3004,AH!$U$7+2141),INDEX('AH History'!$A$5:$A$1380,AH!$U$7+2141))),""))</f>
        <v/>
      </c>
      <c r="B2146" s="33">
        <f>IFERROR(IF(AH!$U$11=1,NA(),$J2146/$E2146-1),NA())</f>
        <v/>
      </c>
      <c r="C2146" s="269">
        <f>IFERROR(100*$E2146/$E$5,NA())</f>
        <v/>
      </c>
      <c r="D2146" s="269">
        <f>IFERROR(100*$J2146/$J$5,NA())</f>
        <v/>
      </c>
      <c r="E2146" s="32">
        <f>IFERROR(IF(AND(ISNUMBER($A2146),N(IF(AND(AH!$U$12=1,2141+1=AH!$U$6),IF(AH!$U$4=0,"unavailable",INDEX('Market Data'!$AN$5:$AN$66,AH!$U$4)),IF(AH!$U$5=1,INDEX('Live History'!$B$5:$B$3004,$K2146),INDEX('AH History'!$D$5:$GG$1380,$K2146,AH!$U$10))))&gt;0),IF(AND(AH!$U$12=1,2141+1=AH!$U$6),IF(AH!$U$4=0,"unavailable",INDEX('Market Data'!$AN$5:$AN$66,AH!$U$4)),IF(AH!$U$5=1,INDEX('Live History'!$B$5:$B$3004,$K2146),INDEX('AH History'!$D$5:$GG$1380,$K2146,AH!$U$10))),NA()),NA())</f>
        <v/>
      </c>
      <c r="F2146" s="32">
        <f>IFERROR(IF(ISNUMBER($A2146),IF(AND(AH!$U$12=1,2141+1=AH!$U$6),IF(AH!$U$4=0,"unavailable",INDEX('Market Data'!$AO$5:$AO$66,AH!$U$4)),IF(AH!$U$5=1,INDEX('Live History'!$E$5:$E$3004,MATCH($A2146,'Live History'!$D$5:$D$3004,1)),INDEX('AH History'!$D$5:$GG$1380,$K2146,AH!$U$10+1))),NA()),NA())</f>
        <v/>
      </c>
      <c r="G2146" s="34">
        <f>IFERROR(IF(ISNUMBER($A2146),IF(AND(AH!$U$12=1,2141+1=AH!$U$6),IF(AH!$U$4=0,"unavailable",INDEX('Market Data'!$AK$5:$AK$66,AH!$U$4)),IF(AH!$U$5=1,INDEX('Live History'!$D$5:$D$3004,MATCH($A2146,'Live History'!$D$5:$D$3004,1)),INDEX('AH History'!$D$5:$GG$1380,$K2146,AH!$U$10+2))),NA()),NA())</f>
        <v/>
      </c>
      <c r="H2146" s="266">
        <f>IFERROR(IF(ISNUMBER($A2146),IF(AND(AH!$U$12=1,2141+1=AH!$U$6),IF(AH!$U$4=0,"unavailable",INDEX('Market Data'!$AP$5:$AP$66,AH!$U$4)),IF(AH!$U$5=1,INDEX('Live History'!$H$5:$H$3004,MATCH($A2146,'Live History'!$G$5:$G$3004,1)),INDEX('AH History'!$B$5:$B$1380,$K2146))),NA()),NA())</f>
        <v/>
      </c>
      <c r="I2146" s="34">
        <f>IFERROR(IF(ISNUMBER($A2146),IF(AND(AH!$U$12=1,2141+1=AH!$U$6),TODAY(),IF(AH!$U$5=1,INDEX('Live History'!$G$5:$G$3004,MATCH($A2146,'Live History'!$G$5:$G$3004,1)),INDEX('AH History'!$C$5:$C$1380,$K2146))),NA()),NA())</f>
        <v/>
      </c>
      <c r="J2146" s="32">
        <f>IFERROR(IF(AND($F2146&gt;0,$H2146&gt;0,$A2146-$G2146&lt;=10,$A2146-$I2146&lt;=5,$G2146&gt;0,$I2146&gt;0),$F2146*$H2146,NA()),NA())</f>
        <v/>
      </c>
      <c r="K2146" s="15">
        <f>IF($A2146="","",IF(AH!$U$5=1,IFERROR(MATCH($A2146,'Live History'!$A$5:$A$3004,0),0),AH!$U$7+2141))</f>
        <v/>
      </c>
      <c r="L2146" s="15">
        <f>IF(ISNUMBER(A2146),TEXT(A2146,"dd-mmm-yy"),"")</f>
        <v/>
      </c>
    </row>
    <row r="2147">
      <c r="A2147" s="14">
        <f>IF(OR(AH!$U$4=0,2142+1&gt;AH!$U$6,AND(AH!$M$5="Bloomberg",AH!$U$5=0)),"",IFERROR(IF(AND(AH!$U$12=1,2142+1=AH!$U$6),TODAY(),IF(AH!$U$5=1,INDEX('Live History'!$A$5:$A$3004,AH!$U$7+2142),INDEX('AH History'!$A$5:$A$1380,AH!$U$7+2142))),""))</f>
        <v/>
      </c>
      <c r="B2147" s="33">
        <f>IFERROR(IF(AH!$U$11=1,NA(),$J2147/$E2147-1),NA())</f>
        <v/>
      </c>
      <c r="C2147" s="269">
        <f>IFERROR(100*$E2147/$E$5,NA())</f>
        <v/>
      </c>
      <c r="D2147" s="269">
        <f>IFERROR(100*$J2147/$J$5,NA())</f>
        <v/>
      </c>
      <c r="E2147" s="32">
        <f>IFERROR(IF(AND(ISNUMBER($A2147),N(IF(AND(AH!$U$12=1,2142+1=AH!$U$6),IF(AH!$U$4=0,"unavailable",INDEX('Market Data'!$AN$5:$AN$66,AH!$U$4)),IF(AH!$U$5=1,INDEX('Live History'!$B$5:$B$3004,$K2147),INDEX('AH History'!$D$5:$GG$1380,$K2147,AH!$U$10))))&gt;0),IF(AND(AH!$U$12=1,2142+1=AH!$U$6),IF(AH!$U$4=0,"unavailable",INDEX('Market Data'!$AN$5:$AN$66,AH!$U$4)),IF(AH!$U$5=1,INDEX('Live History'!$B$5:$B$3004,$K2147),INDEX('AH History'!$D$5:$GG$1380,$K2147,AH!$U$10))),NA()),NA())</f>
        <v/>
      </c>
      <c r="F2147" s="32">
        <f>IFERROR(IF(ISNUMBER($A2147),IF(AND(AH!$U$12=1,2142+1=AH!$U$6),IF(AH!$U$4=0,"unavailable",INDEX('Market Data'!$AO$5:$AO$66,AH!$U$4)),IF(AH!$U$5=1,INDEX('Live History'!$E$5:$E$3004,MATCH($A2147,'Live History'!$D$5:$D$3004,1)),INDEX('AH History'!$D$5:$GG$1380,$K2147,AH!$U$10+1))),NA()),NA())</f>
        <v/>
      </c>
      <c r="G2147" s="34">
        <f>IFERROR(IF(ISNUMBER($A2147),IF(AND(AH!$U$12=1,2142+1=AH!$U$6),IF(AH!$U$4=0,"unavailable",INDEX('Market Data'!$AK$5:$AK$66,AH!$U$4)),IF(AH!$U$5=1,INDEX('Live History'!$D$5:$D$3004,MATCH($A2147,'Live History'!$D$5:$D$3004,1)),INDEX('AH History'!$D$5:$GG$1380,$K2147,AH!$U$10+2))),NA()),NA())</f>
        <v/>
      </c>
      <c r="H2147" s="266">
        <f>IFERROR(IF(ISNUMBER($A2147),IF(AND(AH!$U$12=1,2142+1=AH!$U$6),IF(AH!$U$4=0,"unavailable",INDEX('Market Data'!$AP$5:$AP$66,AH!$U$4)),IF(AH!$U$5=1,INDEX('Live History'!$H$5:$H$3004,MATCH($A2147,'Live History'!$G$5:$G$3004,1)),INDEX('AH History'!$B$5:$B$1380,$K2147))),NA()),NA())</f>
        <v/>
      </c>
      <c r="I2147" s="34">
        <f>IFERROR(IF(ISNUMBER($A2147),IF(AND(AH!$U$12=1,2142+1=AH!$U$6),TODAY(),IF(AH!$U$5=1,INDEX('Live History'!$G$5:$G$3004,MATCH($A2147,'Live History'!$G$5:$G$3004,1)),INDEX('AH History'!$C$5:$C$1380,$K2147))),NA()),NA())</f>
        <v/>
      </c>
      <c r="J2147" s="32">
        <f>IFERROR(IF(AND($F2147&gt;0,$H2147&gt;0,$A2147-$G2147&lt;=10,$A2147-$I2147&lt;=5,$G2147&gt;0,$I2147&gt;0),$F2147*$H2147,NA()),NA())</f>
        <v/>
      </c>
      <c r="K2147" s="15">
        <f>IF($A2147="","",IF(AH!$U$5=1,IFERROR(MATCH($A2147,'Live History'!$A$5:$A$3004,0),0),AH!$U$7+2142))</f>
        <v/>
      </c>
      <c r="L2147" s="15">
        <f>IF(ISNUMBER(A2147),TEXT(A2147,"dd-mmm-yy"),"")</f>
        <v/>
      </c>
    </row>
    <row r="2148">
      <c r="A2148" s="14">
        <f>IF(OR(AH!$U$4=0,2143+1&gt;AH!$U$6,AND(AH!$M$5="Bloomberg",AH!$U$5=0)),"",IFERROR(IF(AND(AH!$U$12=1,2143+1=AH!$U$6),TODAY(),IF(AH!$U$5=1,INDEX('Live History'!$A$5:$A$3004,AH!$U$7+2143),INDEX('AH History'!$A$5:$A$1380,AH!$U$7+2143))),""))</f>
        <v/>
      </c>
      <c r="B2148" s="33">
        <f>IFERROR(IF(AH!$U$11=1,NA(),$J2148/$E2148-1),NA())</f>
        <v/>
      </c>
      <c r="C2148" s="269">
        <f>IFERROR(100*$E2148/$E$5,NA())</f>
        <v/>
      </c>
      <c r="D2148" s="269">
        <f>IFERROR(100*$J2148/$J$5,NA())</f>
        <v/>
      </c>
      <c r="E2148" s="32">
        <f>IFERROR(IF(AND(ISNUMBER($A2148),N(IF(AND(AH!$U$12=1,2143+1=AH!$U$6),IF(AH!$U$4=0,"unavailable",INDEX('Market Data'!$AN$5:$AN$66,AH!$U$4)),IF(AH!$U$5=1,INDEX('Live History'!$B$5:$B$3004,$K2148),INDEX('AH History'!$D$5:$GG$1380,$K2148,AH!$U$10))))&gt;0),IF(AND(AH!$U$12=1,2143+1=AH!$U$6),IF(AH!$U$4=0,"unavailable",INDEX('Market Data'!$AN$5:$AN$66,AH!$U$4)),IF(AH!$U$5=1,INDEX('Live History'!$B$5:$B$3004,$K2148),INDEX('AH History'!$D$5:$GG$1380,$K2148,AH!$U$10))),NA()),NA())</f>
        <v/>
      </c>
      <c r="F2148" s="32">
        <f>IFERROR(IF(ISNUMBER($A2148),IF(AND(AH!$U$12=1,2143+1=AH!$U$6),IF(AH!$U$4=0,"unavailable",INDEX('Market Data'!$AO$5:$AO$66,AH!$U$4)),IF(AH!$U$5=1,INDEX('Live History'!$E$5:$E$3004,MATCH($A2148,'Live History'!$D$5:$D$3004,1)),INDEX('AH History'!$D$5:$GG$1380,$K2148,AH!$U$10+1))),NA()),NA())</f>
        <v/>
      </c>
      <c r="G2148" s="34">
        <f>IFERROR(IF(ISNUMBER($A2148),IF(AND(AH!$U$12=1,2143+1=AH!$U$6),IF(AH!$U$4=0,"unavailable",INDEX('Market Data'!$AK$5:$AK$66,AH!$U$4)),IF(AH!$U$5=1,INDEX('Live History'!$D$5:$D$3004,MATCH($A2148,'Live History'!$D$5:$D$3004,1)),INDEX('AH History'!$D$5:$GG$1380,$K2148,AH!$U$10+2))),NA()),NA())</f>
        <v/>
      </c>
      <c r="H2148" s="266">
        <f>IFERROR(IF(ISNUMBER($A2148),IF(AND(AH!$U$12=1,2143+1=AH!$U$6),IF(AH!$U$4=0,"unavailable",INDEX('Market Data'!$AP$5:$AP$66,AH!$U$4)),IF(AH!$U$5=1,INDEX('Live History'!$H$5:$H$3004,MATCH($A2148,'Live History'!$G$5:$G$3004,1)),INDEX('AH History'!$B$5:$B$1380,$K2148))),NA()),NA())</f>
        <v/>
      </c>
      <c r="I2148" s="34">
        <f>IFERROR(IF(ISNUMBER($A2148),IF(AND(AH!$U$12=1,2143+1=AH!$U$6),TODAY(),IF(AH!$U$5=1,INDEX('Live History'!$G$5:$G$3004,MATCH($A2148,'Live History'!$G$5:$G$3004,1)),INDEX('AH History'!$C$5:$C$1380,$K2148))),NA()),NA())</f>
        <v/>
      </c>
      <c r="J2148" s="32">
        <f>IFERROR(IF(AND($F2148&gt;0,$H2148&gt;0,$A2148-$G2148&lt;=10,$A2148-$I2148&lt;=5,$G2148&gt;0,$I2148&gt;0),$F2148*$H2148,NA()),NA())</f>
        <v/>
      </c>
      <c r="K2148" s="15">
        <f>IF($A2148="","",IF(AH!$U$5=1,IFERROR(MATCH($A2148,'Live History'!$A$5:$A$3004,0),0),AH!$U$7+2143))</f>
        <v/>
      </c>
      <c r="L2148" s="15">
        <f>IF(ISNUMBER(A2148),TEXT(A2148,"dd-mmm-yy"),"")</f>
        <v/>
      </c>
    </row>
    <row r="2149">
      <c r="A2149" s="14">
        <f>IF(OR(AH!$U$4=0,2144+1&gt;AH!$U$6,AND(AH!$M$5="Bloomberg",AH!$U$5=0)),"",IFERROR(IF(AND(AH!$U$12=1,2144+1=AH!$U$6),TODAY(),IF(AH!$U$5=1,INDEX('Live History'!$A$5:$A$3004,AH!$U$7+2144),INDEX('AH History'!$A$5:$A$1380,AH!$U$7+2144))),""))</f>
        <v/>
      </c>
      <c r="B2149" s="33">
        <f>IFERROR(IF(AH!$U$11=1,NA(),$J2149/$E2149-1),NA())</f>
        <v/>
      </c>
      <c r="C2149" s="269">
        <f>IFERROR(100*$E2149/$E$5,NA())</f>
        <v/>
      </c>
      <c r="D2149" s="269">
        <f>IFERROR(100*$J2149/$J$5,NA())</f>
        <v/>
      </c>
      <c r="E2149" s="32">
        <f>IFERROR(IF(AND(ISNUMBER($A2149),N(IF(AND(AH!$U$12=1,2144+1=AH!$U$6),IF(AH!$U$4=0,"unavailable",INDEX('Market Data'!$AN$5:$AN$66,AH!$U$4)),IF(AH!$U$5=1,INDEX('Live History'!$B$5:$B$3004,$K2149),INDEX('AH History'!$D$5:$GG$1380,$K2149,AH!$U$10))))&gt;0),IF(AND(AH!$U$12=1,2144+1=AH!$U$6),IF(AH!$U$4=0,"unavailable",INDEX('Market Data'!$AN$5:$AN$66,AH!$U$4)),IF(AH!$U$5=1,INDEX('Live History'!$B$5:$B$3004,$K2149),INDEX('AH History'!$D$5:$GG$1380,$K2149,AH!$U$10))),NA()),NA())</f>
        <v/>
      </c>
      <c r="F2149" s="32">
        <f>IFERROR(IF(ISNUMBER($A2149),IF(AND(AH!$U$12=1,2144+1=AH!$U$6),IF(AH!$U$4=0,"unavailable",INDEX('Market Data'!$AO$5:$AO$66,AH!$U$4)),IF(AH!$U$5=1,INDEX('Live History'!$E$5:$E$3004,MATCH($A2149,'Live History'!$D$5:$D$3004,1)),INDEX('AH History'!$D$5:$GG$1380,$K2149,AH!$U$10+1))),NA()),NA())</f>
        <v/>
      </c>
      <c r="G2149" s="34">
        <f>IFERROR(IF(ISNUMBER($A2149),IF(AND(AH!$U$12=1,2144+1=AH!$U$6),IF(AH!$U$4=0,"unavailable",INDEX('Market Data'!$AK$5:$AK$66,AH!$U$4)),IF(AH!$U$5=1,INDEX('Live History'!$D$5:$D$3004,MATCH($A2149,'Live History'!$D$5:$D$3004,1)),INDEX('AH History'!$D$5:$GG$1380,$K2149,AH!$U$10+2))),NA()),NA())</f>
        <v/>
      </c>
      <c r="H2149" s="266">
        <f>IFERROR(IF(ISNUMBER($A2149),IF(AND(AH!$U$12=1,2144+1=AH!$U$6),IF(AH!$U$4=0,"unavailable",INDEX('Market Data'!$AP$5:$AP$66,AH!$U$4)),IF(AH!$U$5=1,INDEX('Live History'!$H$5:$H$3004,MATCH($A2149,'Live History'!$G$5:$G$3004,1)),INDEX('AH History'!$B$5:$B$1380,$K2149))),NA()),NA())</f>
        <v/>
      </c>
      <c r="I2149" s="34">
        <f>IFERROR(IF(ISNUMBER($A2149),IF(AND(AH!$U$12=1,2144+1=AH!$U$6),TODAY(),IF(AH!$U$5=1,INDEX('Live History'!$G$5:$G$3004,MATCH($A2149,'Live History'!$G$5:$G$3004,1)),INDEX('AH History'!$C$5:$C$1380,$K2149))),NA()),NA())</f>
        <v/>
      </c>
      <c r="J2149" s="32">
        <f>IFERROR(IF(AND($F2149&gt;0,$H2149&gt;0,$A2149-$G2149&lt;=10,$A2149-$I2149&lt;=5,$G2149&gt;0,$I2149&gt;0),$F2149*$H2149,NA()),NA())</f>
        <v/>
      </c>
      <c r="K2149" s="15">
        <f>IF($A2149="","",IF(AH!$U$5=1,IFERROR(MATCH($A2149,'Live History'!$A$5:$A$3004,0),0),AH!$U$7+2144))</f>
        <v/>
      </c>
      <c r="L2149" s="15">
        <f>IF(ISNUMBER(A2149),TEXT(A2149,"dd-mmm-yy"),"")</f>
        <v/>
      </c>
    </row>
    <row r="2150">
      <c r="A2150" s="14">
        <f>IF(OR(AH!$U$4=0,2145+1&gt;AH!$U$6,AND(AH!$M$5="Bloomberg",AH!$U$5=0)),"",IFERROR(IF(AND(AH!$U$12=1,2145+1=AH!$U$6),TODAY(),IF(AH!$U$5=1,INDEX('Live History'!$A$5:$A$3004,AH!$U$7+2145),INDEX('AH History'!$A$5:$A$1380,AH!$U$7+2145))),""))</f>
        <v/>
      </c>
      <c r="B2150" s="33">
        <f>IFERROR(IF(AH!$U$11=1,NA(),$J2150/$E2150-1),NA())</f>
        <v/>
      </c>
      <c r="C2150" s="269">
        <f>IFERROR(100*$E2150/$E$5,NA())</f>
        <v/>
      </c>
      <c r="D2150" s="269">
        <f>IFERROR(100*$J2150/$J$5,NA())</f>
        <v/>
      </c>
      <c r="E2150" s="32">
        <f>IFERROR(IF(AND(ISNUMBER($A2150),N(IF(AND(AH!$U$12=1,2145+1=AH!$U$6),IF(AH!$U$4=0,"unavailable",INDEX('Market Data'!$AN$5:$AN$66,AH!$U$4)),IF(AH!$U$5=1,INDEX('Live History'!$B$5:$B$3004,$K2150),INDEX('AH History'!$D$5:$GG$1380,$K2150,AH!$U$10))))&gt;0),IF(AND(AH!$U$12=1,2145+1=AH!$U$6),IF(AH!$U$4=0,"unavailable",INDEX('Market Data'!$AN$5:$AN$66,AH!$U$4)),IF(AH!$U$5=1,INDEX('Live History'!$B$5:$B$3004,$K2150),INDEX('AH History'!$D$5:$GG$1380,$K2150,AH!$U$10))),NA()),NA())</f>
        <v/>
      </c>
      <c r="F2150" s="32">
        <f>IFERROR(IF(ISNUMBER($A2150),IF(AND(AH!$U$12=1,2145+1=AH!$U$6),IF(AH!$U$4=0,"unavailable",INDEX('Market Data'!$AO$5:$AO$66,AH!$U$4)),IF(AH!$U$5=1,INDEX('Live History'!$E$5:$E$3004,MATCH($A2150,'Live History'!$D$5:$D$3004,1)),INDEX('AH History'!$D$5:$GG$1380,$K2150,AH!$U$10+1))),NA()),NA())</f>
        <v/>
      </c>
      <c r="G2150" s="34">
        <f>IFERROR(IF(ISNUMBER($A2150),IF(AND(AH!$U$12=1,2145+1=AH!$U$6),IF(AH!$U$4=0,"unavailable",INDEX('Market Data'!$AK$5:$AK$66,AH!$U$4)),IF(AH!$U$5=1,INDEX('Live History'!$D$5:$D$3004,MATCH($A2150,'Live History'!$D$5:$D$3004,1)),INDEX('AH History'!$D$5:$GG$1380,$K2150,AH!$U$10+2))),NA()),NA())</f>
        <v/>
      </c>
      <c r="H2150" s="266">
        <f>IFERROR(IF(ISNUMBER($A2150),IF(AND(AH!$U$12=1,2145+1=AH!$U$6),IF(AH!$U$4=0,"unavailable",INDEX('Market Data'!$AP$5:$AP$66,AH!$U$4)),IF(AH!$U$5=1,INDEX('Live History'!$H$5:$H$3004,MATCH($A2150,'Live History'!$G$5:$G$3004,1)),INDEX('AH History'!$B$5:$B$1380,$K2150))),NA()),NA())</f>
        <v/>
      </c>
      <c r="I2150" s="34">
        <f>IFERROR(IF(ISNUMBER($A2150),IF(AND(AH!$U$12=1,2145+1=AH!$U$6),TODAY(),IF(AH!$U$5=1,INDEX('Live History'!$G$5:$G$3004,MATCH($A2150,'Live History'!$G$5:$G$3004,1)),INDEX('AH History'!$C$5:$C$1380,$K2150))),NA()),NA())</f>
        <v/>
      </c>
      <c r="J2150" s="32">
        <f>IFERROR(IF(AND($F2150&gt;0,$H2150&gt;0,$A2150-$G2150&lt;=10,$A2150-$I2150&lt;=5,$G2150&gt;0,$I2150&gt;0),$F2150*$H2150,NA()),NA())</f>
        <v/>
      </c>
      <c r="K2150" s="15">
        <f>IF($A2150="","",IF(AH!$U$5=1,IFERROR(MATCH($A2150,'Live History'!$A$5:$A$3004,0),0),AH!$U$7+2145))</f>
        <v/>
      </c>
      <c r="L2150" s="15">
        <f>IF(ISNUMBER(A2150),TEXT(A2150,"dd-mmm-yy"),"")</f>
        <v/>
      </c>
    </row>
    <row r="2151">
      <c r="A2151" s="14">
        <f>IF(OR(AH!$U$4=0,2146+1&gt;AH!$U$6,AND(AH!$M$5="Bloomberg",AH!$U$5=0)),"",IFERROR(IF(AND(AH!$U$12=1,2146+1=AH!$U$6),TODAY(),IF(AH!$U$5=1,INDEX('Live History'!$A$5:$A$3004,AH!$U$7+2146),INDEX('AH History'!$A$5:$A$1380,AH!$U$7+2146))),""))</f>
        <v/>
      </c>
      <c r="B2151" s="33">
        <f>IFERROR(IF(AH!$U$11=1,NA(),$J2151/$E2151-1),NA())</f>
        <v/>
      </c>
      <c r="C2151" s="269">
        <f>IFERROR(100*$E2151/$E$5,NA())</f>
        <v/>
      </c>
      <c r="D2151" s="269">
        <f>IFERROR(100*$J2151/$J$5,NA())</f>
        <v/>
      </c>
      <c r="E2151" s="32">
        <f>IFERROR(IF(AND(ISNUMBER($A2151),N(IF(AND(AH!$U$12=1,2146+1=AH!$U$6),IF(AH!$U$4=0,"unavailable",INDEX('Market Data'!$AN$5:$AN$66,AH!$U$4)),IF(AH!$U$5=1,INDEX('Live History'!$B$5:$B$3004,$K2151),INDEX('AH History'!$D$5:$GG$1380,$K2151,AH!$U$10))))&gt;0),IF(AND(AH!$U$12=1,2146+1=AH!$U$6),IF(AH!$U$4=0,"unavailable",INDEX('Market Data'!$AN$5:$AN$66,AH!$U$4)),IF(AH!$U$5=1,INDEX('Live History'!$B$5:$B$3004,$K2151),INDEX('AH History'!$D$5:$GG$1380,$K2151,AH!$U$10))),NA()),NA())</f>
        <v/>
      </c>
      <c r="F2151" s="32">
        <f>IFERROR(IF(ISNUMBER($A2151),IF(AND(AH!$U$12=1,2146+1=AH!$U$6),IF(AH!$U$4=0,"unavailable",INDEX('Market Data'!$AO$5:$AO$66,AH!$U$4)),IF(AH!$U$5=1,INDEX('Live History'!$E$5:$E$3004,MATCH($A2151,'Live History'!$D$5:$D$3004,1)),INDEX('AH History'!$D$5:$GG$1380,$K2151,AH!$U$10+1))),NA()),NA())</f>
        <v/>
      </c>
      <c r="G2151" s="34">
        <f>IFERROR(IF(ISNUMBER($A2151),IF(AND(AH!$U$12=1,2146+1=AH!$U$6),IF(AH!$U$4=0,"unavailable",INDEX('Market Data'!$AK$5:$AK$66,AH!$U$4)),IF(AH!$U$5=1,INDEX('Live History'!$D$5:$D$3004,MATCH($A2151,'Live History'!$D$5:$D$3004,1)),INDEX('AH History'!$D$5:$GG$1380,$K2151,AH!$U$10+2))),NA()),NA())</f>
        <v/>
      </c>
      <c r="H2151" s="266">
        <f>IFERROR(IF(ISNUMBER($A2151),IF(AND(AH!$U$12=1,2146+1=AH!$U$6),IF(AH!$U$4=0,"unavailable",INDEX('Market Data'!$AP$5:$AP$66,AH!$U$4)),IF(AH!$U$5=1,INDEX('Live History'!$H$5:$H$3004,MATCH($A2151,'Live History'!$G$5:$G$3004,1)),INDEX('AH History'!$B$5:$B$1380,$K2151))),NA()),NA())</f>
        <v/>
      </c>
      <c r="I2151" s="34">
        <f>IFERROR(IF(ISNUMBER($A2151),IF(AND(AH!$U$12=1,2146+1=AH!$U$6),TODAY(),IF(AH!$U$5=1,INDEX('Live History'!$G$5:$G$3004,MATCH($A2151,'Live History'!$G$5:$G$3004,1)),INDEX('AH History'!$C$5:$C$1380,$K2151))),NA()),NA())</f>
        <v/>
      </c>
      <c r="J2151" s="32">
        <f>IFERROR(IF(AND($F2151&gt;0,$H2151&gt;0,$A2151-$G2151&lt;=10,$A2151-$I2151&lt;=5,$G2151&gt;0,$I2151&gt;0),$F2151*$H2151,NA()),NA())</f>
        <v/>
      </c>
      <c r="K2151" s="15">
        <f>IF($A2151="","",IF(AH!$U$5=1,IFERROR(MATCH($A2151,'Live History'!$A$5:$A$3004,0),0),AH!$U$7+2146))</f>
        <v/>
      </c>
      <c r="L2151" s="15">
        <f>IF(ISNUMBER(A2151),TEXT(A2151,"dd-mmm-yy"),"")</f>
        <v/>
      </c>
    </row>
    <row r="2152">
      <c r="A2152" s="14">
        <f>IF(OR(AH!$U$4=0,2147+1&gt;AH!$U$6,AND(AH!$M$5="Bloomberg",AH!$U$5=0)),"",IFERROR(IF(AND(AH!$U$12=1,2147+1=AH!$U$6),TODAY(),IF(AH!$U$5=1,INDEX('Live History'!$A$5:$A$3004,AH!$U$7+2147),INDEX('AH History'!$A$5:$A$1380,AH!$U$7+2147))),""))</f>
        <v/>
      </c>
      <c r="B2152" s="33">
        <f>IFERROR(IF(AH!$U$11=1,NA(),$J2152/$E2152-1),NA())</f>
        <v/>
      </c>
      <c r="C2152" s="269">
        <f>IFERROR(100*$E2152/$E$5,NA())</f>
        <v/>
      </c>
      <c r="D2152" s="269">
        <f>IFERROR(100*$J2152/$J$5,NA())</f>
        <v/>
      </c>
      <c r="E2152" s="32">
        <f>IFERROR(IF(AND(ISNUMBER($A2152),N(IF(AND(AH!$U$12=1,2147+1=AH!$U$6),IF(AH!$U$4=0,"unavailable",INDEX('Market Data'!$AN$5:$AN$66,AH!$U$4)),IF(AH!$U$5=1,INDEX('Live History'!$B$5:$B$3004,$K2152),INDEX('AH History'!$D$5:$GG$1380,$K2152,AH!$U$10))))&gt;0),IF(AND(AH!$U$12=1,2147+1=AH!$U$6),IF(AH!$U$4=0,"unavailable",INDEX('Market Data'!$AN$5:$AN$66,AH!$U$4)),IF(AH!$U$5=1,INDEX('Live History'!$B$5:$B$3004,$K2152),INDEX('AH History'!$D$5:$GG$1380,$K2152,AH!$U$10))),NA()),NA())</f>
        <v/>
      </c>
      <c r="F2152" s="32">
        <f>IFERROR(IF(ISNUMBER($A2152),IF(AND(AH!$U$12=1,2147+1=AH!$U$6),IF(AH!$U$4=0,"unavailable",INDEX('Market Data'!$AO$5:$AO$66,AH!$U$4)),IF(AH!$U$5=1,INDEX('Live History'!$E$5:$E$3004,MATCH($A2152,'Live History'!$D$5:$D$3004,1)),INDEX('AH History'!$D$5:$GG$1380,$K2152,AH!$U$10+1))),NA()),NA())</f>
        <v/>
      </c>
      <c r="G2152" s="34">
        <f>IFERROR(IF(ISNUMBER($A2152),IF(AND(AH!$U$12=1,2147+1=AH!$U$6),IF(AH!$U$4=0,"unavailable",INDEX('Market Data'!$AK$5:$AK$66,AH!$U$4)),IF(AH!$U$5=1,INDEX('Live History'!$D$5:$D$3004,MATCH($A2152,'Live History'!$D$5:$D$3004,1)),INDEX('AH History'!$D$5:$GG$1380,$K2152,AH!$U$10+2))),NA()),NA())</f>
        <v/>
      </c>
      <c r="H2152" s="266">
        <f>IFERROR(IF(ISNUMBER($A2152),IF(AND(AH!$U$12=1,2147+1=AH!$U$6),IF(AH!$U$4=0,"unavailable",INDEX('Market Data'!$AP$5:$AP$66,AH!$U$4)),IF(AH!$U$5=1,INDEX('Live History'!$H$5:$H$3004,MATCH($A2152,'Live History'!$G$5:$G$3004,1)),INDEX('AH History'!$B$5:$B$1380,$K2152))),NA()),NA())</f>
        <v/>
      </c>
      <c r="I2152" s="34">
        <f>IFERROR(IF(ISNUMBER($A2152),IF(AND(AH!$U$12=1,2147+1=AH!$U$6),TODAY(),IF(AH!$U$5=1,INDEX('Live History'!$G$5:$G$3004,MATCH($A2152,'Live History'!$G$5:$G$3004,1)),INDEX('AH History'!$C$5:$C$1380,$K2152))),NA()),NA())</f>
        <v/>
      </c>
      <c r="J2152" s="32">
        <f>IFERROR(IF(AND($F2152&gt;0,$H2152&gt;0,$A2152-$G2152&lt;=10,$A2152-$I2152&lt;=5,$G2152&gt;0,$I2152&gt;0),$F2152*$H2152,NA()),NA())</f>
        <v/>
      </c>
      <c r="K2152" s="15">
        <f>IF($A2152="","",IF(AH!$U$5=1,IFERROR(MATCH($A2152,'Live History'!$A$5:$A$3004,0),0),AH!$U$7+2147))</f>
        <v/>
      </c>
      <c r="L2152" s="15">
        <f>IF(ISNUMBER(A2152),TEXT(A2152,"dd-mmm-yy"),"")</f>
        <v/>
      </c>
    </row>
    <row r="2153">
      <c r="A2153" s="14">
        <f>IF(OR(AH!$U$4=0,2148+1&gt;AH!$U$6,AND(AH!$M$5="Bloomberg",AH!$U$5=0)),"",IFERROR(IF(AND(AH!$U$12=1,2148+1=AH!$U$6),TODAY(),IF(AH!$U$5=1,INDEX('Live History'!$A$5:$A$3004,AH!$U$7+2148),INDEX('AH History'!$A$5:$A$1380,AH!$U$7+2148))),""))</f>
        <v/>
      </c>
      <c r="B2153" s="33">
        <f>IFERROR(IF(AH!$U$11=1,NA(),$J2153/$E2153-1),NA())</f>
        <v/>
      </c>
      <c r="C2153" s="269">
        <f>IFERROR(100*$E2153/$E$5,NA())</f>
        <v/>
      </c>
      <c r="D2153" s="269">
        <f>IFERROR(100*$J2153/$J$5,NA())</f>
        <v/>
      </c>
      <c r="E2153" s="32">
        <f>IFERROR(IF(AND(ISNUMBER($A2153),N(IF(AND(AH!$U$12=1,2148+1=AH!$U$6),IF(AH!$U$4=0,"unavailable",INDEX('Market Data'!$AN$5:$AN$66,AH!$U$4)),IF(AH!$U$5=1,INDEX('Live History'!$B$5:$B$3004,$K2153),INDEX('AH History'!$D$5:$GG$1380,$K2153,AH!$U$10))))&gt;0),IF(AND(AH!$U$12=1,2148+1=AH!$U$6),IF(AH!$U$4=0,"unavailable",INDEX('Market Data'!$AN$5:$AN$66,AH!$U$4)),IF(AH!$U$5=1,INDEX('Live History'!$B$5:$B$3004,$K2153),INDEX('AH History'!$D$5:$GG$1380,$K2153,AH!$U$10))),NA()),NA())</f>
        <v/>
      </c>
      <c r="F2153" s="32">
        <f>IFERROR(IF(ISNUMBER($A2153),IF(AND(AH!$U$12=1,2148+1=AH!$U$6),IF(AH!$U$4=0,"unavailable",INDEX('Market Data'!$AO$5:$AO$66,AH!$U$4)),IF(AH!$U$5=1,INDEX('Live History'!$E$5:$E$3004,MATCH($A2153,'Live History'!$D$5:$D$3004,1)),INDEX('AH History'!$D$5:$GG$1380,$K2153,AH!$U$10+1))),NA()),NA())</f>
        <v/>
      </c>
      <c r="G2153" s="34">
        <f>IFERROR(IF(ISNUMBER($A2153),IF(AND(AH!$U$12=1,2148+1=AH!$U$6),IF(AH!$U$4=0,"unavailable",INDEX('Market Data'!$AK$5:$AK$66,AH!$U$4)),IF(AH!$U$5=1,INDEX('Live History'!$D$5:$D$3004,MATCH($A2153,'Live History'!$D$5:$D$3004,1)),INDEX('AH History'!$D$5:$GG$1380,$K2153,AH!$U$10+2))),NA()),NA())</f>
        <v/>
      </c>
      <c r="H2153" s="266">
        <f>IFERROR(IF(ISNUMBER($A2153),IF(AND(AH!$U$12=1,2148+1=AH!$U$6),IF(AH!$U$4=0,"unavailable",INDEX('Market Data'!$AP$5:$AP$66,AH!$U$4)),IF(AH!$U$5=1,INDEX('Live History'!$H$5:$H$3004,MATCH($A2153,'Live History'!$G$5:$G$3004,1)),INDEX('AH History'!$B$5:$B$1380,$K2153))),NA()),NA())</f>
        <v/>
      </c>
      <c r="I2153" s="34">
        <f>IFERROR(IF(ISNUMBER($A2153),IF(AND(AH!$U$12=1,2148+1=AH!$U$6),TODAY(),IF(AH!$U$5=1,INDEX('Live History'!$G$5:$G$3004,MATCH($A2153,'Live History'!$G$5:$G$3004,1)),INDEX('AH History'!$C$5:$C$1380,$K2153))),NA()),NA())</f>
        <v/>
      </c>
      <c r="J2153" s="32">
        <f>IFERROR(IF(AND($F2153&gt;0,$H2153&gt;0,$A2153-$G2153&lt;=10,$A2153-$I2153&lt;=5,$G2153&gt;0,$I2153&gt;0),$F2153*$H2153,NA()),NA())</f>
        <v/>
      </c>
      <c r="K2153" s="15">
        <f>IF($A2153="","",IF(AH!$U$5=1,IFERROR(MATCH($A2153,'Live History'!$A$5:$A$3004,0),0),AH!$U$7+2148))</f>
        <v/>
      </c>
      <c r="L2153" s="15">
        <f>IF(ISNUMBER(A2153),TEXT(A2153,"dd-mmm-yy"),"")</f>
        <v/>
      </c>
    </row>
    <row r="2154">
      <c r="A2154" s="14">
        <f>IF(OR(AH!$U$4=0,2149+1&gt;AH!$U$6,AND(AH!$M$5="Bloomberg",AH!$U$5=0)),"",IFERROR(IF(AND(AH!$U$12=1,2149+1=AH!$U$6),TODAY(),IF(AH!$U$5=1,INDEX('Live History'!$A$5:$A$3004,AH!$U$7+2149),INDEX('AH History'!$A$5:$A$1380,AH!$U$7+2149))),""))</f>
        <v/>
      </c>
      <c r="B2154" s="33">
        <f>IFERROR(IF(AH!$U$11=1,NA(),$J2154/$E2154-1),NA())</f>
        <v/>
      </c>
      <c r="C2154" s="269">
        <f>IFERROR(100*$E2154/$E$5,NA())</f>
        <v/>
      </c>
      <c r="D2154" s="269">
        <f>IFERROR(100*$J2154/$J$5,NA())</f>
        <v/>
      </c>
      <c r="E2154" s="32">
        <f>IFERROR(IF(AND(ISNUMBER($A2154),N(IF(AND(AH!$U$12=1,2149+1=AH!$U$6),IF(AH!$U$4=0,"unavailable",INDEX('Market Data'!$AN$5:$AN$66,AH!$U$4)),IF(AH!$U$5=1,INDEX('Live History'!$B$5:$B$3004,$K2154),INDEX('AH History'!$D$5:$GG$1380,$K2154,AH!$U$10))))&gt;0),IF(AND(AH!$U$12=1,2149+1=AH!$U$6),IF(AH!$U$4=0,"unavailable",INDEX('Market Data'!$AN$5:$AN$66,AH!$U$4)),IF(AH!$U$5=1,INDEX('Live History'!$B$5:$B$3004,$K2154),INDEX('AH History'!$D$5:$GG$1380,$K2154,AH!$U$10))),NA()),NA())</f>
        <v/>
      </c>
      <c r="F2154" s="32">
        <f>IFERROR(IF(ISNUMBER($A2154),IF(AND(AH!$U$12=1,2149+1=AH!$U$6),IF(AH!$U$4=0,"unavailable",INDEX('Market Data'!$AO$5:$AO$66,AH!$U$4)),IF(AH!$U$5=1,INDEX('Live History'!$E$5:$E$3004,MATCH($A2154,'Live History'!$D$5:$D$3004,1)),INDEX('AH History'!$D$5:$GG$1380,$K2154,AH!$U$10+1))),NA()),NA())</f>
        <v/>
      </c>
      <c r="G2154" s="34">
        <f>IFERROR(IF(ISNUMBER($A2154),IF(AND(AH!$U$12=1,2149+1=AH!$U$6),IF(AH!$U$4=0,"unavailable",INDEX('Market Data'!$AK$5:$AK$66,AH!$U$4)),IF(AH!$U$5=1,INDEX('Live History'!$D$5:$D$3004,MATCH($A2154,'Live History'!$D$5:$D$3004,1)),INDEX('AH History'!$D$5:$GG$1380,$K2154,AH!$U$10+2))),NA()),NA())</f>
        <v/>
      </c>
      <c r="H2154" s="266">
        <f>IFERROR(IF(ISNUMBER($A2154),IF(AND(AH!$U$12=1,2149+1=AH!$U$6),IF(AH!$U$4=0,"unavailable",INDEX('Market Data'!$AP$5:$AP$66,AH!$U$4)),IF(AH!$U$5=1,INDEX('Live History'!$H$5:$H$3004,MATCH($A2154,'Live History'!$G$5:$G$3004,1)),INDEX('AH History'!$B$5:$B$1380,$K2154))),NA()),NA())</f>
        <v/>
      </c>
      <c r="I2154" s="34">
        <f>IFERROR(IF(ISNUMBER($A2154),IF(AND(AH!$U$12=1,2149+1=AH!$U$6),TODAY(),IF(AH!$U$5=1,INDEX('Live History'!$G$5:$G$3004,MATCH($A2154,'Live History'!$G$5:$G$3004,1)),INDEX('AH History'!$C$5:$C$1380,$K2154))),NA()),NA())</f>
        <v/>
      </c>
      <c r="J2154" s="32">
        <f>IFERROR(IF(AND($F2154&gt;0,$H2154&gt;0,$A2154-$G2154&lt;=10,$A2154-$I2154&lt;=5,$G2154&gt;0,$I2154&gt;0),$F2154*$H2154,NA()),NA())</f>
        <v/>
      </c>
      <c r="K2154" s="15">
        <f>IF($A2154="","",IF(AH!$U$5=1,IFERROR(MATCH($A2154,'Live History'!$A$5:$A$3004,0),0),AH!$U$7+2149))</f>
        <v/>
      </c>
      <c r="L2154" s="15">
        <f>IF(ISNUMBER(A2154),TEXT(A2154,"dd-mmm-yy"),"")</f>
        <v/>
      </c>
    </row>
    <row r="2155">
      <c r="A2155" s="14">
        <f>IF(OR(AH!$U$4=0,2150+1&gt;AH!$U$6,AND(AH!$M$5="Bloomberg",AH!$U$5=0)),"",IFERROR(IF(AND(AH!$U$12=1,2150+1=AH!$U$6),TODAY(),IF(AH!$U$5=1,INDEX('Live History'!$A$5:$A$3004,AH!$U$7+2150),INDEX('AH History'!$A$5:$A$1380,AH!$U$7+2150))),""))</f>
        <v/>
      </c>
      <c r="B2155" s="33">
        <f>IFERROR(IF(AH!$U$11=1,NA(),$J2155/$E2155-1),NA())</f>
        <v/>
      </c>
      <c r="C2155" s="269">
        <f>IFERROR(100*$E2155/$E$5,NA())</f>
        <v/>
      </c>
      <c r="D2155" s="269">
        <f>IFERROR(100*$J2155/$J$5,NA())</f>
        <v/>
      </c>
      <c r="E2155" s="32">
        <f>IFERROR(IF(AND(ISNUMBER($A2155),N(IF(AND(AH!$U$12=1,2150+1=AH!$U$6),IF(AH!$U$4=0,"unavailable",INDEX('Market Data'!$AN$5:$AN$66,AH!$U$4)),IF(AH!$U$5=1,INDEX('Live History'!$B$5:$B$3004,$K2155),INDEX('AH History'!$D$5:$GG$1380,$K2155,AH!$U$10))))&gt;0),IF(AND(AH!$U$12=1,2150+1=AH!$U$6),IF(AH!$U$4=0,"unavailable",INDEX('Market Data'!$AN$5:$AN$66,AH!$U$4)),IF(AH!$U$5=1,INDEX('Live History'!$B$5:$B$3004,$K2155),INDEX('AH History'!$D$5:$GG$1380,$K2155,AH!$U$10))),NA()),NA())</f>
        <v/>
      </c>
      <c r="F2155" s="32">
        <f>IFERROR(IF(ISNUMBER($A2155),IF(AND(AH!$U$12=1,2150+1=AH!$U$6),IF(AH!$U$4=0,"unavailable",INDEX('Market Data'!$AO$5:$AO$66,AH!$U$4)),IF(AH!$U$5=1,INDEX('Live History'!$E$5:$E$3004,MATCH($A2155,'Live History'!$D$5:$D$3004,1)),INDEX('AH History'!$D$5:$GG$1380,$K2155,AH!$U$10+1))),NA()),NA())</f>
        <v/>
      </c>
      <c r="G2155" s="34">
        <f>IFERROR(IF(ISNUMBER($A2155),IF(AND(AH!$U$12=1,2150+1=AH!$U$6),IF(AH!$U$4=0,"unavailable",INDEX('Market Data'!$AK$5:$AK$66,AH!$U$4)),IF(AH!$U$5=1,INDEX('Live History'!$D$5:$D$3004,MATCH($A2155,'Live History'!$D$5:$D$3004,1)),INDEX('AH History'!$D$5:$GG$1380,$K2155,AH!$U$10+2))),NA()),NA())</f>
        <v/>
      </c>
      <c r="H2155" s="266">
        <f>IFERROR(IF(ISNUMBER($A2155),IF(AND(AH!$U$12=1,2150+1=AH!$U$6),IF(AH!$U$4=0,"unavailable",INDEX('Market Data'!$AP$5:$AP$66,AH!$U$4)),IF(AH!$U$5=1,INDEX('Live History'!$H$5:$H$3004,MATCH($A2155,'Live History'!$G$5:$G$3004,1)),INDEX('AH History'!$B$5:$B$1380,$K2155))),NA()),NA())</f>
        <v/>
      </c>
      <c r="I2155" s="34">
        <f>IFERROR(IF(ISNUMBER($A2155),IF(AND(AH!$U$12=1,2150+1=AH!$U$6),TODAY(),IF(AH!$U$5=1,INDEX('Live History'!$G$5:$G$3004,MATCH($A2155,'Live History'!$G$5:$G$3004,1)),INDEX('AH History'!$C$5:$C$1380,$K2155))),NA()),NA())</f>
        <v/>
      </c>
      <c r="J2155" s="32">
        <f>IFERROR(IF(AND($F2155&gt;0,$H2155&gt;0,$A2155-$G2155&lt;=10,$A2155-$I2155&lt;=5,$G2155&gt;0,$I2155&gt;0),$F2155*$H2155,NA()),NA())</f>
        <v/>
      </c>
      <c r="K2155" s="15">
        <f>IF($A2155="","",IF(AH!$U$5=1,IFERROR(MATCH($A2155,'Live History'!$A$5:$A$3004,0),0),AH!$U$7+2150))</f>
        <v/>
      </c>
      <c r="L2155" s="15">
        <f>IF(ISNUMBER(A2155),TEXT(A2155,"dd-mmm-yy"),"")</f>
        <v/>
      </c>
    </row>
    <row r="2156">
      <c r="A2156" s="14">
        <f>IF(OR(AH!$U$4=0,2151+1&gt;AH!$U$6,AND(AH!$M$5="Bloomberg",AH!$U$5=0)),"",IFERROR(IF(AND(AH!$U$12=1,2151+1=AH!$U$6),TODAY(),IF(AH!$U$5=1,INDEX('Live History'!$A$5:$A$3004,AH!$U$7+2151),INDEX('AH History'!$A$5:$A$1380,AH!$U$7+2151))),""))</f>
        <v/>
      </c>
      <c r="B2156" s="33">
        <f>IFERROR(IF(AH!$U$11=1,NA(),$J2156/$E2156-1),NA())</f>
        <v/>
      </c>
      <c r="C2156" s="269">
        <f>IFERROR(100*$E2156/$E$5,NA())</f>
        <v/>
      </c>
      <c r="D2156" s="269">
        <f>IFERROR(100*$J2156/$J$5,NA())</f>
        <v/>
      </c>
      <c r="E2156" s="32">
        <f>IFERROR(IF(AND(ISNUMBER($A2156),N(IF(AND(AH!$U$12=1,2151+1=AH!$U$6),IF(AH!$U$4=0,"unavailable",INDEX('Market Data'!$AN$5:$AN$66,AH!$U$4)),IF(AH!$U$5=1,INDEX('Live History'!$B$5:$B$3004,$K2156),INDEX('AH History'!$D$5:$GG$1380,$K2156,AH!$U$10))))&gt;0),IF(AND(AH!$U$12=1,2151+1=AH!$U$6),IF(AH!$U$4=0,"unavailable",INDEX('Market Data'!$AN$5:$AN$66,AH!$U$4)),IF(AH!$U$5=1,INDEX('Live History'!$B$5:$B$3004,$K2156),INDEX('AH History'!$D$5:$GG$1380,$K2156,AH!$U$10))),NA()),NA())</f>
        <v/>
      </c>
      <c r="F2156" s="32">
        <f>IFERROR(IF(ISNUMBER($A2156),IF(AND(AH!$U$12=1,2151+1=AH!$U$6),IF(AH!$U$4=0,"unavailable",INDEX('Market Data'!$AO$5:$AO$66,AH!$U$4)),IF(AH!$U$5=1,INDEX('Live History'!$E$5:$E$3004,MATCH($A2156,'Live History'!$D$5:$D$3004,1)),INDEX('AH History'!$D$5:$GG$1380,$K2156,AH!$U$10+1))),NA()),NA())</f>
        <v/>
      </c>
      <c r="G2156" s="34">
        <f>IFERROR(IF(ISNUMBER($A2156),IF(AND(AH!$U$12=1,2151+1=AH!$U$6),IF(AH!$U$4=0,"unavailable",INDEX('Market Data'!$AK$5:$AK$66,AH!$U$4)),IF(AH!$U$5=1,INDEX('Live History'!$D$5:$D$3004,MATCH($A2156,'Live History'!$D$5:$D$3004,1)),INDEX('AH History'!$D$5:$GG$1380,$K2156,AH!$U$10+2))),NA()),NA())</f>
        <v/>
      </c>
      <c r="H2156" s="266">
        <f>IFERROR(IF(ISNUMBER($A2156),IF(AND(AH!$U$12=1,2151+1=AH!$U$6),IF(AH!$U$4=0,"unavailable",INDEX('Market Data'!$AP$5:$AP$66,AH!$U$4)),IF(AH!$U$5=1,INDEX('Live History'!$H$5:$H$3004,MATCH($A2156,'Live History'!$G$5:$G$3004,1)),INDEX('AH History'!$B$5:$B$1380,$K2156))),NA()),NA())</f>
        <v/>
      </c>
      <c r="I2156" s="34">
        <f>IFERROR(IF(ISNUMBER($A2156),IF(AND(AH!$U$12=1,2151+1=AH!$U$6),TODAY(),IF(AH!$U$5=1,INDEX('Live History'!$G$5:$G$3004,MATCH($A2156,'Live History'!$G$5:$G$3004,1)),INDEX('AH History'!$C$5:$C$1380,$K2156))),NA()),NA())</f>
        <v/>
      </c>
      <c r="J2156" s="32">
        <f>IFERROR(IF(AND($F2156&gt;0,$H2156&gt;0,$A2156-$G2156&lt;=10,$A2156-$I2156&lt;=5,$G2156&gt;0,$I2156&gt;0),$F2156*$H2156,NA()),NA())</f>
        <v/>
      </c>
      <c r="K2156" s="15">
        <f>IF($A2156="","",IF(AH!$U$5=1,IFERROR(MATCH($A2156,'Live History'!$A$5:$A$3004,0),0),AH!$U$7+2151))</f>
        <v/>
      </c>
      <c r="L2156" s="15">
        <f>IF(ISNUMBER(A2156),TEXT(A2156,"dd-mmm-yy"),"")</f>
        <v/>
      </c>
    </row>
    <row r="2157">
      <c r="A2157" s="14">
        <f>IF(OR(AH!$U$4=0,2152+1&gt;AH!$U$6,AND(AH!$M$5="Bloomberg",AH!$U$5=0)),"",IFERROR(IF(AND(AH!$U$12=1,2152+1=AH!$U$6),TODAY(),IF(AH!$U$5=1,INDEX('Live History'!$A$5:$A$3004,AH!$U$7+2152),INDEX('AH History'!$A$5:$A$1380,AH!$U$7+2152))),""))</f>
        <v/>
      </c>
      <c r="B2157" s="33">
        <f>IFERROR(IF(AH!$U$11=1,NA(),$J2157/$E2157-1),NA())</f>
        <v/>
      </c>
      <c r="C2157" s="269">
        <f>IFERROR(100*$E2157/$E$5,NA())</f>
        <v/>
      </c>
      <c r="D2157" s="269">
        <f>IFERROR(100*$J2157/$J$5,NA())</f>
        <v/>
      </c>
      <c r="E2157" s="32">
        <f>IFERROR(IF(AND(ISNUMBER($A2157),N(IF(AND(AH!$U$12=1,2152+1=AH!$U$6),IF(AH!$U$4=0,"unavailable",INDEX('Market Data'!$AN$5:$AN$66,AH!$U$4)),IF(AH!$U$5=1,INDEX('Live History'!$B$5:$B$3004,$K2157),INDEX('AH History'!$D$5:$GG$1380,$K2157,AH!$U$10))))&gt;0),IF(AND(AH!$U$12=1,2152+1=AH!$U$6),IF(AH!$U$4=0,"unavailable",INDEX('Market Data'!$AN$5:$AN$66,AH!$U$4)),IF(AH!$U$5=1,INDEX('Live History'!$B$5:$B$3004,$K2157),INDEX('AH History'!$D$5:$GG$1380,$K2157,AH!$U$10))),NA()),NA())</f>
        <v/>
      </c>
      <c r="F2157" s="32">
        <f>IFERROR(IF(ISNUMBER($A2157),IF(AND(AH!$U$12=1,2152+1=AH!$U$6),IF(AH!$U$4=0,"unavailable",INDEX('Market Data'!$AO$5:$AO$66,AH!$U$4)),IF(AH!$U$5=1,INDEX('Live History'!$E$5:$E$3004,MATCH($A2157,'Live History'!$D$5:$D$3004,1)),INDEX('AH History'!$D$5:$GG$1380,$K2157,AH!$U$10+1))),NA()),NA())</f>
        <v/>
      </c>
      <c r="G2157" s="34">
        <f>IFERROR(IF(ISNUMBER($A2157),IF(AND(AH!$U$12=1,2152+1=AH!$U$6),IF(AH!$U$4=0,"unavailable",INDEX('Market Data'!$AK$5:$AK$66,AH!$U$4)),IF(AH!$U$5=1,INDEX('Live History'!$D$5:$D$3004,MATCH($A2157,'Live History'!$D$5:$D$3004,1)),INDEX('AH History'!$D$5:$GG$1380,$K2157,AH!$U$10+2))),NA()),NA())</f>
        <v/>
      </c>
      <c r="H2157" s="266">
        <f>IFERROR(IF(ISNUMBER($A2157),IF(AND(AH!$U$12=1,2152+1=AH!$U$6),IF(AH!$U$4=0,"unavailable",INDEX('Market Data'!$AP$5:$AP$66,AH!$U$4)),IF(AH!$U$5=1,INDEX('Live History'!$H$5:$H$3004,MATCH($A2157,'Live History'!$G$5:$G$3004,1)),INDEX('AH History'!$B$5:$B$1380,$K2157))),NA()),NA())</f>
        <v/>
      </c>
      <c r="I2157" s="34">
        <f>IFERROR(IF(ISNUMBER($A2157),IF(AND(AH!$U$12=1,2152+1=AH!$U$6),TODAY(),IF(AH!$U$5=1,INDEX('Live History'!$G$5:$G$3004,MATCH($A2157,'Live History'!$G$5:$G$3004,1)),INDEX('AH History'!$C$5:$C$1380,$K2157))),NA()),NA())</f>
        <v/>
      </c>
      <c r="J2157" s="32">
        <f>IFERROR(IF(AND($F2157&gt;0,$H2157&gt;0,$A2157-$G2157&lt;=10,$A2157-$I2157&lt;=5,$G2157&gt;0,$I2157&gt;0),$F2157*$H2157,NA()),NA())</f>
        <v/>
      </c>
      <c r="K2157" s="15">
        <f>IF($A2157="","",IF(AH!$U$5=1,IFERROR(MATCH($A2157,'Live History'!$A$5:$A$3004,0),0),AH!$U$7+2152))</f>
        <v/>
      </c>
      <c r="L2157" s="15">
        <f>IF(ISNUMBER(A2157),TEXT(A2157,"dd-mmm-yy"),"")</f>
        <v/>
      </c>
    </row>
    <row r="2158">
      <c r="A2158" s="14">
        <f>IF(OR(AH!$U$4=0,2153+1&gt;AH!$U$6,AND(AH!$M$5="Bloomberg",AH!$U$5=0)),"",IFERROR(IF(AND(AH!$U$12=1,2153+1=AH!$U$6),TODAY(),IF(AH!$U$5=1,INDEX('Live History'!$A$5:$A$3004,AH!$U$7+2153),INDEX('AH History'!$A$5:$A$1380,AH!$U$7+2153))),""))</f>
        <v/>
      </c>
      <c r="B2158" s="33">
        <f>IFERROR(IF(AH!$U$11=1,NA(),$J2158/$E2158-1),NA())</f>
        <v/>
      </c>
      <c r="C2158" s="269">
        <f>IFERROR(100*$E2158/$E$5,NA())</f>
        <v/>
      </c>
      <c r="D2158" s="269">
        <f>IFERROR(100*$J2158/$J$5,NA())</f>
        <v/>
      </c>
      <c r="E2158" s="32">
        <f>IFERROR(IF(AND(ISNUMBER($A2158),N(IF(AND(AH!$U$12=1,2153+1=AH!$U$6),IF(AH!$U$4=0,"unavailable",INDEX('Market Data'!$AN$5:$AN$66,AH!$U$4)),IF(AH!$U$5=1,INDEX('Live History'!$B$5:$B$3004,$K2158),INDEX('AH History'!$D$5:$GG$1380,$K2158,AH!$U$10))))&gt;0),IF(AND(AH!$U$12=1,2153+1=AH!$U$6),IF(AH!$U$4=0,"unavailable",INDEX('Market Data'!$AN$5:$AN$66,AH!$U$4)),IF(AH!$U$5=1,INDEX('Live History'!$B$5:$B$3004,$K2158),INDEX('AH History'!$D$5:$GG$1380,$K2158,AH!$U$10))),NA()),NA())</f>
        <v/>
      </c>
      <c r="F2158" s="32">
        <f>IFERROR(IF(ISNUMBER($A2158),IF(AND(AH!$U$12=1,2153+1=AH!$U$6),IF(AH!$U$4=0,"unavailable",INDEX('Market Data'!$AO$5:$AO$66,AH!$U$4)),IF(AH!$U$5=1,INDEX('Live History'!$E$5:$E$3004,MATCH($A2158,'Live History'!$D$5:$D$3004,1)),INDEX('AH History'!$D$5:$GG$1380,$K2158,AH!$U$10+1))),NA()),NA())</f>
        <v/>
      </c>
      <c r="G2158" s="34">
        <f>IFERROR(IF(ISNUMBER($A2158),IF(AND(AH!$U$12=1,2153+1=AH!$U$6),IF(AH!$U$4=0,"unavailable",INDEX('Market Data'!$AK$5:$AK$66,AH!$U$4)),IF(AH!$U$5=1,INDEX('Live History'!$D$5:$D$3004,MATCH($A2158,'Live History'!$D$5:$D$3004,1)),INDEX('AH History'!$D$5:$GG$1380,$K2158,AH!$U$10+2))),NA()),NA())</f>
        <v/>
      </c>
      <c r="H2158" s="266">
        <f>IFERROR(IF(ISNUMBER($A2158),IF(AND(AH!$U$12=1,2153+1=AH!$U$6),IF(AH!$U$4=0,"unavailable",INDEX('Market Data'!$AP$5:$AP$66,AH!$U$4)),IF(AH!$U$5=1,INDEX('Live History'!$H$5:$H$3004,MATCH($A2158,'Live History'!$G$5:$G$3004,1)),INDEX('AH History'!$B$5:$B$1380,$K2158))),NA()),NA())</f>
        <v/>
      </c>
      <c r="I2158" s="34">
        <f>IFERROR(IF(ISNUMBER($A2158),IF(AND(AH!$U$12=1,2153+1=AH!$U$6),TODAY(),IF(AH!$U$5=1,INDEX('Live History'!$G$5:$G$3004,MATCH($A2158,'Live History'!$G$5:$G$3004,1)),INDEX('AH History'!$C$5:$C$1380,$K2158))),NA()),NA())</f>
        <v/>
      </c>
      <c r="J2158" s="32">
        <f>IFERROR(IF(AND($F2158&gt;0,$H2158&gt;0,$A2158-$G2158&lt;=10,$A2158-$I2158&lt;=5,$G2158&gt;0,$I2158&gt;0),$F2158*$H2158,NA()),NA())</f>
        <v/>
      </c>
      <c r="K2158" s="15">
        <f>IF($A2158="","",IF(AH!$U$5=1,IFERROR(MATCH($A2158,'Live History'!$A$5:$A$3004,0),0),AH!$U$7+2153))</f>
        <v/>
      </c>
      <c r="L2158" s="15">
        <f>IF(ISNUMBER(A2158),TEXT(A2158,"dd-mmm-yy"),"")</f>
        <v/>
      </c>
    </row>
    <row r="2159">
      <c r="A2159" s="14">
        <f>IF(OR(AH!$U$4=0,2154+1&gt;AH!$U$6,AND(AH!$M$5="Bloomberg",AH!$U$5=0)),"",IFERROR(IF(AND(AH!$U$12=1,2154+1=AH!$U$6),TODAY(),IF(AH!$U$5=1,INDEX('Live History'!$A$5:$A$3004,AH!$U$7+2154),INDEX('AH History'!$A$5:$A$1380,AH!$U$7+2154))),""))</f>
        <v/>
      </c>
      <c r="B2159" s="33">
        <f>IFERROR(IF(AH!$U$11=1,NA(),$J2159/$E2159-1),NA())</f>
        <v/>
      </c>
      <c r="C2159" s="269">
        <f>IFERROR(100*$E2159/$E$5,NA())</f>
        <v/>
      </c>
      <c r="D2159" s="269">
        <f>IFERROR(100*$J2159/$J$5,NA())</f>
        <v/>
      </c>
      <c r="E2159" s="32">
        <f>IFERROR(IF(AND(ISNUMBER($A2159),N(IF(AND(AH!$U$12=1,2154+1=AH!$U$6),IF(AH!$U$4=0,"unavailable",INDEX('Market Data'!$AN$5:$AN$66,AH!$U$4)),IF(AH!$U$5=1,INDEX('Live History'!$B$5:$B$3004,$K2159),INDEX('AH History'!$D$5:$GG$1380,$K2159,AH!$U$10))))&gt;0),IF(AND(AH!$U$12=1,2154+1=AH!$U$6),IF(AH!$U$4=0,"unavailable",INDEX('Market Data'!$AN$5:$AN$66,AH!$U$4)),IF(AH!$U$5=1,INDEX('Live History'!$B$5:$B$3004,$K2159),INDEX('AH History'!$D$5:$GG$1380,$K2159,AH!$U$10))),NA()),NA())</f>
        <v/>
      </c>
      <c r="F2159" s="32">
        <f>IFERROR(IF(ISNUMBER($A2159),IF(AND(AH!$U$12=1,2154+1=AH!$U$6),IF(AH!$U$4=0,"unavailable",INDEX('Market Data'!$AO$5:$AO$66,AH!$U$4)),IF(AH!$U$5=1,INDEX('Live History'!$E$5:$E$3004,MATCH($A2159,'Live History'!$D$5:$D$3004,1)),INDEX('AH History'!$D$5:$GG$1380,$K2159,AH!$U$10+1))),NA()),NA())</f>
        <v/>
      </c>
      <c r="G2159" s="34">
        <f>IFERROR(IF(ISNUMBER($A2159),IF(AND(AH!$U$12=1,2154+1=AH!$U$6),IF(AH!$U$4=0,"unavailable",INDEX('Market Data'!$AK$5:$AK$66,AH!$U$4)),IF(AH!$U$5=1,INDEX('Live History'!$D$5:$D$3004,MATCH($A2159,'Live History'!$D$5:$D$3004,1)),INDEX('AH History'!$D$5:$GG$1380,$K2159,AH!$U$10+2))),NA()),NA())</f>
        <v/>
      </c>
      <c r="H2159" s="266">
        <f>IFERROR(IF(ISNUMBER($A2159),IF(AND(AH!$U$12=1,2154+1=AH!$U$6),IF(AH!$U$4=0,"unavailable",INDEX('Market Data'!$AP$5:$AP$66,AH!$U$4)),IF(AH!$U$5=1,INDEX('Live History'!$H$5:$H$3004,MATCH($A2159,'Live History'!$G$5:$G$3004,1)),INDEX('AH History'!$B$5:$B$1380,$K2159))),NA()),NA())</f>
        <v/>
      </c>
      <c r="I2159" s="34">
        <f>IFERROR(IF(ISNUMBER($A2159),IF(AND(AH!$U$12=1,2154+1=AH!$U$6),TODAY(),IF(AH!$U$5=1,INDEX('Live History'!$G$5:$G$3004,MATCH($A2159,'Live History'!$G$5:$G$3004,1)),INDEX('AH History'!$C$5:$C$1380,$K2159))),NA()),NA())</f>
        <v/>
      </c>
      <c r="J2159" s="32">
        <f>IFERROR(IF(AND($F2159&gt;0,$H2159&gt;0,$A2159-$G2159&lt;=10,$A2159-$I2159&lt;=5,$G2159&gt;0,$I2159&gt;0),$F2159*$H2159,NA()),NA())</f>
        <v/>
      </c>
      <c r="K2159" s="15">
        <f>IF($A2159="","",IF(AH!$U$5=1,IFERROR(MATCH($A2159,'Live History'!$A$5:$A$3004,0),0),AH!$U$7+2154))</f>
        <v/>
      </c>
      <c r="L2159" s="15">
        <f>IF(ISNUMBER(A2159),TEXT(A2159,"dd-mmm-yy"),"")</f>
        <v/>
      </c>
    </row>
    <row r="2160">
      <c r="A2160" s="14">
        <f>IF(OR(AH!$U$4=0,2155+1&gt;AH!$U$6,AND(AH!$M$5="Bloomberg",AH!$U$5=0)),"",IFERROR(IF(AND(AH!$U$12=1,2155+1=AH!$U$6),TODAY(),IF(AH!$U$5=1,INDEX('Live History'!$A$5:$A$3004,AH!$U$7+2155),INDEX('AH History'!$A$5:$A$1380,AH!$U$7+2155))),""))</f>
        <v/>
      </c>
      <c r="B2160" s="33">
        <f>IFERROR(IF(AH!$U$11=1,NA(),$J2160/$E2160-1),NA())</f>
        <v/>
      </c>
      <c r="C2160" s="269">
        <f>IFERROR(100*$E2160/$E$5,NA())</f>
        <v/>
      </c>
      <c r="D2160" s="269">
        <f>IFERROR(100*$J2160/$J$5,NA())</f>
        <v/>
      </c>
      <c r="E2160" s="32">
        <f>IFERROR(IF(AND(ISNUMBER($A2160),N(IF(AND(AH!$U$12=1,2155+1=AH!$U$6),IF(AH!$U$4=0,"unavailable",INDEX('Market Data'!$AN$5:$AN$66,AH!$U$4)),IF(AH!$U$5=1,INDEX('Live History'!$B$5:$B$3004,$K2160),INDEX('AH History'!$D$5:$GG$1380,$K2160,AH!$U$10))))&gt;0),IF(AND(AH!$U$12=1,2155+1=AH!$U$6),IF(AH!$U$4=0,"unavailable",INDEX('Market Data'!$AN$5:$AN$66,AH!$U$4)),IF(AH!$U$5=1,INDEX('Live History'!$B$5:$B$3004,$K2160),INDEX('AH History'!$D$5:$GG$1380,$K2160,AH!$U$10))),NA()),NA())</f>
        <v/>
      </c>
      <c r="F2160" s="32">
        <f>IFERROR(IF(ISNUMBER($A2160),IF(AND(AH!$U$12=1,2155+1=AH!$U$6),IF(AH!$U$4=0,"unavailable",INDEX('Market Data'!$AO$5:$AO$66,AH!$U$4)),IF(AH!$U$5=1,INDEX('Live History'!$E$5:$E$3004,MATCH($A2160,'Live History'!$D$5:$D$3004,1)),INDEX('AH History'!$D$5:$GG$1380,$K2160,AH!$U$10+1))),NA()),NA())</f>
        <v/>
      </c>
      <c r="G2160" s="34">
        <f>IFERROR(IF(ISNUMBER($A2160),IF(AND(AH!$U$12=1,2155+1=AH!$U$6),IF(AH!$U$4=0,"unavailable",INDEX('Market Data'!$AK$5:$AK$66,AH!$U$4)),IF(AH!$U$5=1,INDEX('Live History'!$D$5:$D$3004,MATCH($A2160,'Live History'!$D$5:$D$3004,1)),INDEX('AH History'!$D$5:$GG$1380,$K2160,AH!$U$10+2))),NA()),NA())</f>
        <v/>
      </c>
      <c r="H2160" s="266">
        <f>IFERROR(IF(ISNUMBER($A2160),IF(AND(AH!$U$12=1,2155+1=AH!$U$6),IF(AH!$U$4=0,"unavailable",INDEX('Market Data'!$AP$5:$AP$66,AH!$U$4)),IF(AH!$U$5=1,INDEX('Live History'!$H$5:$H$3004,MATCH($A2160,'Live History'!$G$5:$G$3004,1)),INDEX('AH History'!$B$5:$B$1380,$K2160))),NA()),NA())</f>
        <v/>
      </c>
      <c r="I2160" s="34">
        <f>IFERROR(IF(ISNUMBER($A2160),IF(AND(AH!$U$12=1,2155+1=AH!$U$6),TODAY(),IF(AH!$U$5=1,INDEX('Live History'!$G$5:$G$3004,MATCH($A2160,'Live History'!$G$5:$G$3004,1)),INDEX('AH History'!$C$5:$C$1380,$K2160))),NA()),NA())</f>
        <v/>
      </c>
      <c r="J2160" s="32">
        <f>IFERROR(IF(AND($F2160&gt;0,$H2160&gt;0,$A2160-$G2160&lt;=10,$A2160-$I2160&lt;=5,$G2160&gt;0,$I2160&gt;0),$F2160*$H2160,NA()),NA())</f>
        <v/>
      </c>
      <c r="K2160" s="15">
        <f>IF($A2160="","",IF(AH!$U$5=1,IFERROR(MATCH($A2160,'Live History'!$A$5:$A$3004,0),0),AH!$U$7+2155))</f>
        <v/>
      </c>
      <c r="L2160" s="15">
        <f>IF(ISNUMBER(A2160),TEXT(A2160,"dd-mmm-yy"),"")</f>
        <v/>
      </c>
    </row>
    <row r="2161">
      <c r="A2161" s="14">
        <f>IF(OR(AH!$U$4=0,2156+1&gt;AH!$U$6,AND(AH!$M$5="Bloomberg",AH!$U$5=0)),"",IFERROR(IF(AND(AH!$U$12=1,2156+1=AH!$U$6),TODAY(),IF(AH!$U$5=1,INDEX('Live History'!$A$5:$A$3004,AH!$U$7+2156),INDEX('AH History'!$A$5:$A$1380,AH!$U$7+2156))),""))</f>
        <v/>
      </c>
      <c r="B2161" s="33">
        <f>IFERROR(IF(AH!$U$11=1,NA(),$J2161/$E2161-1),NA())</f>
        <v/>
      </c>
      <c r="C2161" s="269">
        <f>IFERROR(100*$E2161/$E$5,NA())</f>
        <v/>
      </c>
      <c r="D2161" s="269">
        <f>IFERROR(100*$J2161/$J$5,NA())</f>
        <v/>
      </c>
      <c r="E2161" s="32">
        <f>IFERROR(IF(AND(ISNUMBER($A2161),N(IF(AND(AH!$U$12=1,2156+1=AH!$U$6),IF(AH!$U$4=0,"unavailable",INDEX('Market Data'!$AN$5:$AN$66,AH!$U$4)),IF(AH!$U$5=1,INDEX('Live History'!$B$5:$B$3004,$K2161),INDEX('AH History'!$D$5:$GG$1380,$K2161,AH!$U$10))))&gt;0),IF(AND(AH!$U$12=1,2156+1=AH!$U$6),IF(AH!$U$4=0,"unavailable",INDEX('Market Data'!$AN$5:$AN$66,AH!$U$4)),IF(AH!$U$5=1,INDEX('Live History'!$B$5:$B$3004,$K2161),INDEX('AH History'!$D$5:$GG$1380,$K2161,AH!$U$10))),NA()),NA())</f>
        <v/>
      </c>
      <c r="F2161" s="32">
        <f>IFERROR(IF(ISNUMBER($A2161),IF(AND(AH!$U$12=1,2156+1=AH!$U$6),IF(AH!$U$4=0,"unavailable",INDEX('Market Data'!$AO$5:$AO$66,AH!$U$4)),IF(AH!$U$5=1,INDEX('Live History'!$E$5:$E$3004,MATCH($A2161,'Live History'!$D$5:$D$3004,1)),INDEX('AH History'!$D$5:$GG$1380,$K2161,AH!$U$10+1))),NA()),NA())</f>
        <v/>
      </c>
      <c r="G2161" s="34">
        <f>IFERROR(IF(ISNUMBER($A2161),IF(AND(AH!$U$12=1,2156+1=AH!$U$6),IF(AH!$U$4=0,"unavailable",INDEX('Market Data'!$AK$5:$AK$66,AH!$U$4)),IF(AH!$U$5=1,INDEX('Live History'!$D$5:$D$3004,MATCH($A2161,'Live History'!$D$5:$D$3004,1)),INDEX('AH History'!$D$5:$GG$1380,$K2161,AH!$U$10+2))),NA()),NA())</f>
        <v/>
      </c>
      <c r="H2161" s="266">
        <f>IFERROR(IF(ISNUMBER($A2161),IF(AND(AH!$U$12=1,2156+1=AH!$U$6),IF(AH!$U$4=0,"unavailable",INDEX('Market Data'!$AP$5:$AP$66,AH!$U$4)),IF(AH!$U$5=1,INDEX('Live History'!$H$5:$H$3004,MATCH($A2161,'Live History'!$G$5:$G$3004,1)),INDEX('AH History'!$B$5:$B$1380,$K2161))),NA()),NA())</f>
        <v/>
      </c>
      <c r="I2161" s="34">
        <f>IFERROR(IF(ISNUMBER($A2161),IF(AND(AH!$U$12=1,2156+1=AH!$U$6),TODAY(),IF(AH!$U$5=1,INDEX('Live History'!$G$5:$G$3004,MATCH($A2161,'Live History'!$G$5:$G$3004,1)),INDEX('AH History'!$C$5:$C$1380,$K2161))),NA()),NA())</f>
        <v/>
      </c>
      <c r="J2161" s="32">
        <f>IFERROR(IF(AND($F2161&gt;0,$H2161&gt;0,$A2161-$G2161&lt;=10,$A2161-$I2161&lt;=5,$G2161&gt;0,$I2161&gt;0),$F2161*$H2161,NA()),NA())</f>
        <v/>
      </c>
      <c r="K2161" s="15">
        <f>IF($A2161="","",IF(AH!$U$5=1,IFERROR(MATCH($A2161,'Live History'!$A$5:$A$3004,0),0),AH!$U$7+2156))</f>
        <v/>
      </c>
      <c r="L2161" s="15">
        <f>IF(ISNUMBER(A2161),TEXT(A2161,"dd-mmm-yy"),"")</f>
        <v/>
      </c>
    </row>
    <row r="2162">
      <c r="A2162" s="14">
        <f>IF(OR(AH!$U$4=0,2157+1&gt;AH!$U$6,AND(AH!$M$5="Bloomberg",AH!$U$5=0)),"",IFERROR(IF(AND(AH!$U$12=1,2157+1=AH!$U$6),TODAY(),IF(AH!$U$5=1,INDEX('Live History'!$A$5:$A$3004,AH!$U$7+2157),INDEX('AH History'!$A$5:$A$1380,AH!$U$7+2157))),""))</f>
        <v/>
      </c>
      <c r="B2162" s="33">
        <f>IFERROR(IF(AH!$U$11=1,NA(),$J2162/$E2162-1),NA())</f>
        <v/>
      </c>
      <c r="C2162" s="269">
        <f>IFERROR(100*$E2162/$E$5,NA())</f>
        <v/>
      </c>
      <c r="D2162" s="269">
        <f>IFERROR(100*$J2162/$J$5,NA())</f>
        <v/>
      </c>
      <c r="E2162" s="32">
        <f>IFERROR(IF(AND(ISNUMBER($A2162),N(IF(AND(AH!$U$12=1,2157+1=AH!$U$6),IF(AH!$U$4=0,"unavailable",INDEX('Market Data'!$AN$5:$AN$66,AH!$U$4)),IF(AH!$U$5=1,INDEX('Live History'!$B$5:$B$3004,$K2162),INDEX('AH History'!$D$5:$GG$1380,$K2162,AH!$U$10))))&gt;0),IF(AND(AH!$U$12=1,2157+1=AH!$U$6),IF(AH!$U$4=0,"unavailable",INDEX('Market Data'!$AN$5:$AN$66,AH!$U$4)),IF(AH!$U$5=1,INDEX('Live History'!$B$5:$B$3004,$K2162),INDEX('AH History'!$D$5:$GG$1380,$K2162,AH!$U$10))),NA()),NA())</f>
        <v/>
      </c>
      <c r="F2162" s="32">
        <f>IFERROR(IF(ISNUMBER($A2162),IF(AND(AH!$U$12=1,2157+1=AH!$U$6),IF(AH!$U$4=0,"unavailable",INDEX('Market Data'!$AO$5:$AO$66,AH!$U$4)),IF(AH!$U$5=1,INDEX('Live History'!$E$5:$E$3004,MATCH($A2162,'Live History'!$D$5:$D$3004,1)),INDEX('AH History'!$D$5:$GG$1380,$K2162,AH!$U$10+1))),NA()),NA())</f>
        <v/>
      </c>
      <c r="G2162" s="34">
        <f>IFERROR(IF(ISNUMBER($A2162),IF(AND(AH!$U$12=1,2157+1=AH!$U$6),IF(AH!$U$4=0,"unavailable",INDEX('Market Data'!$AK$5:$AK$66,AH!$U$4)),IF(AH!$U$5=1,INDEX('Live History'!$D$5:$D$3004,MATCH($A2162,'Live History'!$D$5:$D$3004,1)),INDEX('AH History'!$D$5:$GG$1380,$K2162,AH!$U$10+2))),NA()),NA())</f>
        <v/>
      </c>
      <c r="H2162" s="266">
        <f>IFERROR(IF(ISNUMBER($A2162),IF(AND(AH!$U$12=1,2157+1=AH!$U$6),IF(AH!$U$4=0,"unavailable",INDEX('Market Data'!$AP$5:$AP$66,AH!$U$4)),IF(AH!$U$5=1,INDEX('Live History'!$H$5:$H$3004,MATCH($A2162,'Live History'!$G$5:$G$3004,1)),INDEX('AH History'!$B$5:$B$1380,$K2162))),NA()),NA())</f>
        <v/>
      </c>
      <c r="I2162" s="34">
        <f>IFERROR(IF(ISNUMBER($A2162),IF(AND(AH!$U$12=1,2157+1=AH!$U$6),TODAY(),IF(AH!$U$5=1,INDEX('Live History'!$G$5:$G$3004,MATCH($A2162,'Live History'!$G$5:$G$3004,1)),INDEX('AH History'!$C$5:$C$1380,$K2162))),NA()),NA())</f>
        <v/>
      </c>
      <c r="J2162" s="32">
        <f>IFERROR(IF(AND($F2162&gt;0,$H2162&gt;0,$A2162-$G2162&lt;=10,$A2162-$I2162&lt;=5,$G2162&gt;0,$I2162&gt;0),$F2162*$H2162,NA()),NA())</f>
        <v/>
      </c>
      <c r="K2162" s="15">
        <f>IF($A2162="","",IF(AH!$U$5=1,IFERROR(MATCH($A2162,'Live History'!$A$5:$A$3004,0),0),AH!$U$7+2157))</f>
        <v/>
      </c>
      <c r="L2162" s="15">
        <f>IF(ISNUMBER(A2162),TEXT(A2162,"dd-mmm-yy"),"")</f>
        <v/>
      </c>
    </row>
    <row r="2163">
      <c r="A2163" s="14">
        <f>IF(OR(AH!$U$4=0,2158+1&gt;AH!$U$6,AND(AH!$M$5="Bloomberg",AH!$U$5=0)),"",IFERROR(IF(AND(AH!$U$12=1,2158+1=AH!$U$6),TODAY(),IF(AH!$U$5=1,INDEX('Live History'!$A$5:$A$3004,AH!$U$7+2158),INDEX('AH History'!$A$5:$A$1380,AH!$U$7+2158))),""))</f>
        <v/>
      </c>
      <c r="B2163" s="33">
        <f>IFERROR(IF(AH!$U$11=1,NA(),$J2163/$E2163-1),NA())</f>
        <v/>
      </c>
      <c r="C2163" s="269">
        <f>IFERROR(100*$E2163/$E$5,NA())</f>
        <v/>
      </c>
      <c r="D2163" s="269">
        <f>IFERROR(100*$J2163/$J$5,NA())</f>
        <v/>
      </c>
      <c r="E2163" s="32">
        <f>IFERROR(IF(AND(ISNUMBER($A2163),N(IF(AND(AH!$U$12=1,2158+1=AH!$U$6),IF(AH!$U$4=0,"unavailable",INDEX('Market Data'!$AN$5:$AN$66,AH!$U$4)),IF(AH!$U$5=1,INDEX('Live History'!$B$5:$B$3004,$K2163),INDEX('AH History'!$D$5:$GG$1380,$K2163,AH!$U$10))))&gt;0),IF(AND(AH!$U$12=1,2158+1=AH!$U$6),IF(AH!$U$4=0,"unavailable",INDEX('Market Data'!$AN$5:$AN$66,AH!$U$4)),IF(AH!$U$5=1,INDEX('Live History'!$B$5:$B$3004,$K2163),INDEX('AH History'!$D$5:$GG$1380,$K2163,AH!$U$10))),NA()),NA())</f>
        <v/>
      </c>
      <c r="F2163" s="32">
        <f>IFERROR(IF(ISNUMBER($A2163),IF(AND(AH!$U$12=1,2158+1=AH!$U$6),IF(AH!$U$4=0,"unavailable",INDEX('Market Data'!$AO$5:$AO$66,AH!$U$4)),IF(AH!$U$5=1,INDEX('Live History'!$E$5:$E$3004,MATCH($A2163,'Live History'!$D$5:$D$3004,1)),INDEX('AH History'!$D$5:$GG$1380,$K2163,AH!$U$10+1))),NA()),NA())</f>
        <v/>
      </c>
      <c r="G2163" s="34">
        <f>IFERROR(IF(ISNUMBER($A2163),IF(AND(AH!$U$12=1,2158+1=AH!$U$6),IF(AH!$U$4=0,"unavailable",INDEX('Market Data'!$AK$5:$AK$66,AH!$U$4)),IF(AH!$U$5=1,INDEX('Live History'!$D$5:$D$3004,MATCH($A2163,'Live History'!$D$5:$D$3004,1)),INDEX('AH History'!$D$5:$GG$1380,$K2163,AH!$U$10+2))),NA()),NA())</f>
        <v/>
      </c>
      <c r="H2163" s="266">
        <f>IFERROR(IF(ISNUMBER($A2163),IF(AND(AH!$U$12=1,2158+1=AH!$U$6),IF(AH!$U$4=0,"unavailable",INDEX('Market Data'!$AP$5:$AP$66,AH!$U$4)),IF(AH!$U$5=1,INDEX('Live History'!$H$5:$H$3004,MATCH($A2163,'Live History'!$G$5:$G$3004,1)),INDEX('AH History'!$B$5:$B$1380,$K2163))),NA()),NA())</f>
        <v/>
      </c>
      <c r="I2163" s="34">
        <f>IFERROR(IF(ISNUMBER($A2163),IF(AND(AH!$U$12=1,2158+1=AH!$U$6),TODAY(),IF(AH!$U$5=1,INDEX('Live History'!$G$5:$G$3004,MATCH($A2163,'Live History'!$G$5:$G$3004,1)),INDEX('AH History'!$C$5:$C$1380,$K2163))),NA()),NA())</f>
        <v/>
      </c>
      <c r="J2163" s="32">
        <f>IFERROR(IF(AND($F2163&gt;0,$H2163&gt;0,$A2163-$G2163&lt;=10,$A2163-$I2163&lt;=5,$G2163&gt;0,$I2163&gt;0),$F2163*$H2163,NA()),NA())</f>
        <v/>
      </c>
      <c r="K2163" s="15">
        <f>IF($A2163="","",IF(AH!$U$5=1,IFERROR(MATCH($A2163,'Live History'!$A$5:$A$3004,0),0),AH!$U$7+2158))</f>
        <v/>
      </c>
      <c r="L2163" s="15">
        <f>IF(ISNUMBER(A2163),TEXT(A2163,"dd-mmm-yy"),"")</f>
        <v/>
      </c>
    </row>
    <row r="2164">
      <c r="A2164" s="14">
        <f>IF(OR(AH!$U$4=0,2159+1&gt;AH!$U$6,AND(AH!$M$5="Bloomberg",AH!$U$5=0)),"",IFERROR(IF(AND(AH!$U$12=1,2159+1=AH!$U$6),TODAY(),IF(AH!$U$5=1,INDEX('Live History'!$A$5:$A$3004,AH!$U$7+2159),INDEX('AH History'!$A$5:$A$1380,AH!$U$7+2159))),""))</f>
        <v/>
      </c>
      <c r="B2164" s="33">
        <f>IFERROR(IF(AH!$U$11=1,NA(),$J2164/$E2164-1),NA())</f>
        <v/>
      </c>
      <c r="C2164" s="269">
        <f>IFERROR(100*$E2164/$E$5,NA())</f>
        <v/>
      </c>
      <c r="D2164" s="269">
        <f>IFERROR(100*$J2164/$J$5,NA())</f>
        <v/>
      </c>
      <c r="E2164" s="32">
        <f>IFERROR(IF(AND(ISNUMBER($A2164),N(IF(AND(AH!$U$12=1,2159+1=AH!$U$6),IF(AH!$U$4=0,"unavailable",INDEX('Market Data'!$AN$5:$AN$66,AH!$U$4)),IF(AH!$U$5=1,INDEX('Live History'!$B$5:$B$3004,$K2164),INDEX('AH History'!$D$5:$GG$1380,$K2164,AH!$U$10))))&gt;0),IF(AND(AH!$U$12=1,2159+1=AH!$U$6),IF(AH!$U$4=0,"unavailable",INDEX('Market Data'!$AN$5:$AN$66,AH!$U$4)),IF(AH!$U$5=1,INDEX('Live History'!$B$5:$B$3004,$K2164),INDEX('AH History'!$D$5:$GG$1380,$K2164,AH!$U$10))),NA()),NA())</f>
        <v/>
      </c>
      <c r="F2164" s="32">
        <f>IFERROR(IF(ISNUMBER($A2164),IF(AND(AH!$U$12=1,2159+1=AH!$U$6),IF(AH!$U$4=0,"unavailable",INDEX('Market Data'!$AO$5:$AO$66,AH!$U$4)),IF(AH!$U$5=1,INDEX('Live History'!$E$5:$E$3004,MATCH($A2164,'Live History'!$D$5:$D$3004,1)),INDEX('AH History'!$D$5:$GG$1380,$K2164,AH!$U$10+1))),NA()),NA())</f>
        <v/>
      </c>
      <c r="G2164" s="34">
        <f>IFERROR(IF(ISNUMBER($A2164),IF(AND(AH!$U$12=1,2159+1=AH!$U$6),IF(AH!$U$4=0,"unavailable",INDEX('Market Data'!$AK$5:$AK$66,AH!$U$4)),IF(AH!$U$5=1,INDEX('Live History'!$D$5:$D$3004,MATCH($A2164,'Live History'!$D$5:$D$3004,1)),INDEX('AH History'!$D$5:$GG$1380,$K2164,AH!$U$10+2))),NA()),NA())</f>
        <v/>
      </c>
      <c r="H2164" s="266">
        <f>IFERROR(IF(ISNUMBER($A2164),IF(AND(AH!$U$12=1,2159+1=AH!$U$6),IF(AH!$U$4=0,"unavailable",INDEX('Market Data'!$AP$5:$AP$66,AH!$U$4)),IF(AH!$U$5=1,INDEX('Live History'!$H$5:$H$3004,MATCH($A2164,'Live History'!$G$5:$G$3004,1)),INDEX('AH History'!$B$5:$B$1380,$K2164))),NA()),NA())</f>
        <v/>
      </c>
      <c r="I2164" s="34">
        <f>IFERROR(IF(ISNUMBER($A2164),IF(AND(AH!$U$12=1,2159+1=AH!$U$6),TODAY(),IF(AH!$U$5=1,INDEX('Live History'!$G$5:$G$3004,MATCH($A2164,'Live History'!$G$5:$G$3004,1)),INDEX('AH History'!$C$5:$C$1380,$K2164))),NA()),NA())</f>
        <v/>
      </c>
      <c r="J2164" s="32">
        <f>IFERROR(IF(AND($F2164&gt;0,$H2164&gt;0,$A2164-$G2164&lt;=10,$A2164-$I2164&lt;=5,$G2164&gt;0,$I2164&gt;0),$F2164*$H2164,NA()),NA())</f>
        <v/>
      </c>
      <c r="K2164" s="15">
        <f>IF($A2164="","",IF(AH!$U$5=1,IFERROR(MATCH($A2164,'Live History'!$A$5:$A$3004,0),0),AH!$U$7+2159))</f>
        <v/>
      </c>
      <c r="L2164" s="15">
        <f>IF(ISNUMBER(A2164),TEXT(A2164,"dd-mmm-yy"),"")</f>
        <v/>
      </c>
    </row>
    <row r="2165">
      <c r="A2165" s="14">
        <f>IF(OR(AH!$U$4=0,2160+1&gt;AH!$U$6,AND(AH!$M$5="Bloomberg",AH!$U$5=0)),"",IFERROR(IF(AND(AH!$U$12=1,2160+1=AH!$U$6),TODAY(),IF(AH!$U$5=1,INDEX('Live History'!$A$5:$A$3004,AH!$U$7+2160),INDEX('AH History'!$A$5:$A$1380,AH!$U$7+2160))),""))</f>
        <v/>
      </c>
      <c r="B2165" s="33">
        <f>IFERROR(IF(AH!$U$11=1,NA(),$J2165/$E2165-1),NA())</f>
        <v/>
      </c>
      <c r="C2165" s="269">
        <f>IFERROR(100*$E2165/$E$5,NA())</f>
        <v/>
      </c>
      <c r="D2165" s="269">
        <f>IFERROR(100*$J2165/$J$5,NA())</f>
        <v/>
      </c>
      <c r="E2165" s="32">
        <f>IFERROR(IF(AND(ISNUMBER($A2165),N(IF(AND(AH!$U$12=1,2160+1=AH!$U$6),IF(AH!$U$4=0,"unavailable",INDEX('Market Data'!$AN$5:$AN$66,AH!$U$4)),IF(AH!$U$5=1,INDEX('Live History'!$B$5:$B$3004,$K2165),INDEX('AH History'!$D$5:$GG$1380,$K2165,AH!$U$10))))&gt;0),IF(AND(AH!$U$12=1,2160+1=AH!$U$6),IF(AH!$U$4=0,"unavailable",INDEX('Market Data'!$AN$5:$AN$66,AH!$U$4)),IF(AH!$U$5=1,INDEX('Live History'!$B$5:$B$3004,$K2165),INDEX('AH History'!$D$5:$GG$1380,$K2165,AH!$U$10))),NA()),NA())</f>
        <v/>
      </c>
      <c r="F2165" s="32">
        <f>IFERROR(IF(ISNUMBER($A2165),IF(AND(AH!$U$12=1,2160+1=AH!$U$6),IF(AH!$U$4=0,"unavailable",INDEX('Market Data'!$AO$5:$AO$66,AH!$U$4)),IF(AH!$U$5=1,INDEX('Live History'!$E$5:$E$3004,MATCH($A2165,'Live History'!$D$5:$D$3004,1)),INDEX('AH History'!$D$5:$GG$1380,$K2165,AH!$U$10+1))),NA()),NA())</f>
        <v/>
      </c>
      <c r="G2165" s="34">
        <f>IFERROR(IF(ISNUMBER($A2165),IF(AND(AH!$U$12=1,2160+1=AH!$U$6),IF(AH!$U$4=0,"unavailable",INDEX('Market Data'!$AK$5:$AK$66,AH!$U$4)),IF(AH!$U$5=1,INDEX('Live History'!$D$5:$D$3004,MATCH($A2165,'Live History'!$D$5:$D$3004,1)),INDEX('AH History'!$D$5:$GG$1380,$K2165,AH!$U$10+2))),NA()),NA())</f>
        <v/>
      </c>
      <c r="H2165" s="266">
        <f>IFERROR(IF(ISNUMBER($A2165),IF(AND(AH!$U$12=1,2160+1=AH!$U$6),IF(AH!$U$4=0,"unavailable",INDEX('Market Data'!$AP$5:$AP$66,AH!$U$4)),IF(AH!$U$5=1,INDEX('Live History'!$H$5:$H$3004,MATCH($A2165,'Live History'!$G$5:$G$3004,1)),INDEX('AH History'!$B$5:$B$1380,$K2165))),NA()),NA())</f>
        <v/>
      </c>
      <c r="I2165" s="34">
        <f>IFERROR(IF(ISNUMBER($A2165),IF(AND(AH!$U$12=1,2160+1=AH!$U$6),TODAY(),IF(AH!$U$5=1,INDEX('Live History'!$G$5:$G$3004,MATCH($A2165,'Live History'!$G$5:$G$3004,1)),INDEX('AH History'!$C$5:$C$1380,$K2165))),NA()),NA())</f>
        <v/>
      </c>
      <c r="J2165" s="32">
        <f>IFERROR(IF(AND($F2165&gt;0,$H2165&gt;0,$A2165-$G2165&lt;=10,$A2165-$I2165&lt;=5,$G2165&gt;0,$I2165&gt;0),$F2165*$H2165,NA()),NA())</f>
        <v/>
      </c>
      <c r="K2165" s="15">
        <f>IF($A2165="","",IF(AH!$U$5=1,IFERROR(MATCH($A2165,'Live History'!$A$5:$A$3004,0),0),AH!$U$7+2160))</f>
        <v/>
      </c>
      <c r="L2165" s="15">
        <f>IF(ISNUMBER(A2165),TEXT(A2165,"dd-mmm-yy"),"")</f>
        <v/>
      </c>
    </row>
    <row r="2166">
      <c r="A2166" s="14">
        <f>IF(OR(AH!$U$4=0,2161+1&gt;AH!$U$6,AND(AH!$M$5="Bloomberg",AH!$U$5=0)),"",IFERROR(IF(AND(AH!$U$12=1,2161+1=AH!$U$6),TODAY(),IF(AH!$U$5=1,INDEX('Live History'!$A$5:$A$3004,AH!$U$7+2161),INDEX('AH History'!$A$5:$A$1380,AH!$U$7+2161))),""))</f>
        <v/>
      </c>
      <c r="B2166" s="33">
        <f>IFERROR(IF(AH!$U$11=1,NA(),$J2166/$E2166-1),NA())</f>
        <v/>
      </c>
      <c r="C2166" s="269">
        <f>IFERROR(100*$E2166/$E$5,NA())</f>
        <v/>
      </c>
      <c r="D2166" s="269">
        <f>IFERROR(100*$J2166/$J$5,NA())</f>
        <v/>
      </c>
      <c r="E2166" s="32">
        <f>IFERROR(IF(AND(ISNUMBER($A2166),N(IF(AND(AH!$U$12=1,2161+1=AH!$U$6),IF(AH!$U$4=0,"unavailable",INDEX('Market Data'!$AN$5:$AN$66,AH!$U$4)),IF(AH!$U$5=1,INDEX('Live History'!$B$5:$B$3004,$K2166),INDEX('AH History'!$D$5:$GG$1380,$K2166,AH!$U$10))))&gt;0),IF(AND(AH!$U$12=1,2161+1=AH!$U$6),IF(AH!$U$4=0,"unavailable",INDEX('Market Data'!$AN$5:$AN$66,AH!$U$4)),IF(AH!$U$5=1,INDEX('Live History'!$B$5:$B$3004,$K2166),INDEX('AH History'!$D$5:$GG$1380,$K2166,AH!$U$10))),NA()),NA())</f>
        <v/>
      </c>
      <c r="F2166" s="32">
        <f>IFERROR(IF(ISNUMBER($A2166),IF(AND(AH!$U$12=1,2161+1=AH!$U$6),IF(AH!$U$4=0,"unavailable",INDEX('Market Data'!$AO$5:$AO$66,AH!$U$4)),IF(AH!$U$5=1,INDEX('Live History'!$E$5:$E$3004,MATCH($A2166,'Live History'!$D$5:$D$3004,1)),INDEX('AH History'!$D$5:$GG$1380,$K2166,AH!$U$10+1))),NA()),NA())</f>
        <v/>
      </c>
      <c r="G2166" s="34">
        <f>IFERROR(IF(ISNUMBER($A2166),IF(AND(AH!$U$12=1,2161+1=AH!$U$6),IF(AH!$U$4=0,"unavailable",INDEX('Market Data'!$AK$5:$AK$66,AH!$U$4)),IF(AH!$U$5=1,INDEX('Live History'!$D$5:$D$3004,MATCH($A2166,'Live History'!$D$5:$D$3004,1)),INDEX('AH History'!$D$5:$GG$1380,$K2166,AH!$U$10+2))),NA()),NA())</f>
        <v/>
      </c>
      <c r="H2166" s="266">
        <f>IFERROR(IF(ISNUMBER($A2166),IF(AND(AH!$U$12=1,2161+1=AH!$U$6),IF(AH!$U$4=0,"unavailable",INDEX('Market Data'!$AP$5:$AP$66,AH!$U$4)),IF(AH!$U$5=1,INDEX('Live History'!$H$5:$H$3004,MATCH($A2166,'Live History'!$G$5:$G$3004,1)),INDEX('AH History'!$B$5:$B$1380,$K2166))),NA()),NA())</f>
        <v/>
      </c>
      <c r="I2166" s="34">
        <f>IFERROR(IF(ISNUMBER($A2166),IF(AND(AH!$U$12=1,2161+1=AH!$U$6),TODAY(),IF(AH!$U$5=1,INDEX('Live History'!$G$5:$G$3004,MATCH($A2166,'Live History'!$G$5:$G$3004,1)),INDEX('AH History'!$C$5:$C$1380,$K2166))),NA()),NA())</f>
        <v/>
      </c>
      <c r="J2166" s="32">
        <f>IFERROR(IF(AND($F2166&gt;0,$H2166&gt;0,$A2166-$G2166&lt;=10,$A2166-$I2166&lt;=5,$G2166&gt;0,$I2166&gt;0),$F2166*$H2166,NA()),NA())</f>
        <v/>
      </c>
      <c r="K2166" s="15">
        <f>IF($A2166="","",IF(AH!$U$5=1,IFERROR(MATCH($A2166,'Live History'!$A$5:$A$3004,0),0),AH!$U$7+2161))</f>
        <v/>
      </c>
      <c r="L2166" s="15">
        <f>IF(ISNUMBER(A2166),TEXT(A2166,"dd-mmm-yy"),"")</f>
        <v/>
      </c>
    </row>
    <row r="2167">
      <c r="A2167" s="14">
        <f>IF(OR(AH!$U$4=0,2162+1&gt;AH!$U$6,AND(AH!$M$5="Bloomberg",AH!$U$5=0)),"",IFERROR(IF(AND(AH!$U$12=1,2162+1=AH!$U$6),TODAY(),IF(AH!$U$5=1,INDEX('Live History'!$A$5:$A$3004,AH!$U$7+2162),INDEX('AH History'!$A$5:$A$1380,AH!$U$7+2162))),""))</f>
        <v/>
      </c>
      <c r="B2167" s="33">
        <f>IFERROR(IF(AH!$U$11=1,NA(),$J2167/$E2167-1),NA())</f>
        <v/>
      </c>
      <c r="C2167" s="269">
        <f>IFERROR(100*$E2167/$E$5,NA())</f>
        <v/>
      </c>
      <c r="D2167" s="269">
        <f>IFERROR(100*$J2167/$J$5,NA())</f>
        <v/>
      </c>
      <c r="E2167" s="32">
        <f>IFERROR(IF(AND(ISNUMBER($A2167),N(IF(AND(AH!$U$12=1,2162+1=AH!$U$6),IF(AH!$U$4=0,"unavailable",INDEX('Market Data'!$AN$5:$AN$66,AH!$U$4)),IF(AH!$U$5=1,INDEX('Live History'!$B$5:$B$3004,$K2167),INDEX('AH History'!$D$5:$GG$1380,$K2167,AH!$U$10))))&gt;0),IF(AND(AH!$U$12=1,2162+1=AH!$U$6),IF(AH!$U$4=0,"unavailable",INDEX('Market Data'!$AN$5:$AN$66,AH!$U$4)),IF(AH!$U$5=1,INDEX('Live History'!$B$5:$B$3004,$K2167),INDEX('AH History'!$D$5:$GG$1380,$K2167,AH!$U$10))),NA()),NA())</f>
        <v/>
      </c>
      <c r="F2167" s="32">
        <f>IFERROR(IF(ISNUMBER($A2167),IF(AND(AH!$U$12=1,2162+1=AH!$U$6),IF(AH!$U$4=0,"unavailable",INDEX('Market Data'!$AO$5:$AO$66,AH!$U$4)),IF(AH!$U$5=1,INDEX('Live History'!$E$5:$E$3004,MATCH($A2167,'Live History'!$D$5:$D$3004,1)),INDEX('AH History'!$D$5:$GG$1380,$K2167,AH!$U$10+1))),NA()),NA())</f>
        <v/>
      </c>
      <c r="G2167" s="34">
        <f>IFERROR(IF(ISNUMBER($A2167),IF(AND(AH!$U$12=1,2162+1=AH!$U$6),IF(AH!$U$4=0,"unavailable",INDEX('Market Data'!$AK$5:$AK$66,AH!$U$4)),IF(AH!$U$5=1,INDEX('Live History'!$D$5:$D$3004,MATCH($A2167,'Live History'!$D$5:$D$3004,1)),INDEX('AH History'!$D$5:$GG$1380,$K2167,AH!$U$10+2))),NA()),NA())</f>
        <v/>
      </c>
      <c r="H2167" s="266">
        <f>IFERROR(IF(ISNUMBER($A2167),IF(AND(AH!$U$12=1,2162+1=AH!$U$6),IF(AH!$U$4=0,"unavailable",INDEX('Market Data'!$AP$5:$AP$66,AH!$U$4)),IF(AH!$U$5=1,INDEX('Live History'!$H$5:$H$3004,MATCH($A2167,'Live History'!$G$5:$G$3004,1)),INDEX('AH History'!$B$5:$B$1380,$K2167))),NA()),NA())</f>
        <v/>
      </c>
      <c r="I2167" s="34">
        <f>IFERROR(IF(ISNUMBER($A2167),IF(AND(AH!$U$12=1,2162+1=AH!$U$6),TODAY(),IF(AH!$U$5=1,INDEX('Live History'!$G$5:$G$3004,MATCH($A2167,'Live History'!$G$5:$G$3004,1)),INDEX('AH History'!$C$5:$C$1380,$K2167))),NA()),NA())</f>
        <v/>
      </c>
      <c r="J2167" s="32">
        <f>IFERROR(IF(AND($F2167&gt;0,$H2167&gt;0,$A2167-$G2167&lt;=10,$A2167-$I2167&lt;=5,$G2167&gt;0,$I2167&gt;0),$F2167*$H2167,NA()),NA())</f>
        <v/>
      </c>
      <c r="K2167" s="15">
        <f>IF($A2167="","",IF(AH!$U$5=1,IFERROR(MATCH($A2167,'Live History'!$A$5:$A$3004,0),0),AH!$U$7+2162))</f>
        <v/>
      </c>
      <c r="L2167" s="15">
        <f>IF(ISNUMBER(A2167),TEXT(A2167,"dd-mmm-yy"),"")</f>
        <v/>
      </c>
    </row>
    <row r="2168">
      <c r="A2168" s="14">
        <f>IF(OR(AH!$U$4=0,2163+1&gt;AH!$U$6,AND(AH!$M$5="Bloomberg",AH!$U$5=0)),"",IFERROR(IF(AND(AH!$U$12=1,2163+1=AH!$U$6),TODAY(),IF(AH!$U$5=1,INDEX('Live History'!$A$5:$A$3004,AH!$U$7+2163),INDEX('AH History'!$A$5:$A$1380,AH!$U$7+2163))),""))</f>
        <v/>
      </c>
      <c r="B2168" s="33">
        <f>IFERROR(IF(AH!$U$11=1,NA(),$J2168/$E2168-1),NA())</f>
        <v/>
      </c>
      <c r="C2168" s="269">
        <f>IFERROR(100*$E2168/$E$5,NA())</f>
        <v/>
      </c>
      <c r="D2168" s="269">
        <f>IFERROR(100*$J2168/$J$5,NA())</f>
        <v/>
      </c>
      <c r="E2168" s="32">
        <f>IFERROR(IF(AND(ISNUMBER($A2168),N(IF(AND(AH!$U$12=1,2163+1=AH!$U$6),IF(AH!$U$4=0,"unavailable",INDEX('Market Data'!$AN$5:$AN$66,AH!$U$4)),IF(AH!$U$5=1,INDEX('Live History'!$B$5:$B$3004,$K2168),INDEX('AH History'!$D$5:$GG$1380,$K2168,AH!$U$10))))&gt;0),IF(AND(AH!$U$12=1,2163+1=AH!$U$6),IF(AH!$U$4=0,"unavailable",INDEX('Market Data'!$AN$5:$AN$66,AH!$U$4)),IF(AH!$U$5=1,INDEX('Live History'!$B$5:$B$3004,$K2168),INDEX('AH History'!$D$5:$GG$1380,$K2168,AH!$U$10))),NA()),NA())</f>
        <v/>
      </c>
      <c r="F2168" s="32">
        <f>IFERROR(IF(ISNUMBER($A2168),IF(AND(AH!$U$12=1,2163+1=AH!$U$6),IF(AH!$U$4=0,"unavailable",INDEX('Market Data'!$AO$5:$AO$66,AH!$U$4)),IF(AH!$U$5=1,INDEX('Live History'!$E$5:$E$3004,MATCH($A2168,'Live History'!$D$5:$D$3004,1)),INDEX('AH History'!$D$5:$GG$1380,$K2168,AH!$U$10+1))),NA()),NA())</f>
        <v/>
      </c>
      <c r="G2168" s="34">
        <f>IFERROR(IF(ISNUMBER($A2168),IF(AND(AH!$U$12=1,2163+1=AH!$U$6),IF(AH!$U$4=0,"unavailable",INDEX('Market Data'!$AK$5:$AK$66,AH!$U$4)),IF(AH!$U$5=1,INDEX('Live History'!$D$5:$D$3004,MATCH($A2168,'Live History'!$D$5:$D$3004,1)),INDEX('AH History'!$D$5:$GG$1380,$K2168,AH!$U$10+2))),NA()),NA())</f>
        <v/>
      </c>
      <c r="H2168" s="266">
        <f>IFERROR(IF(ISNUMBER($A2168),IF(AND(AH!$U$12=1,2163+1=AH!$U$6),IF(AH!$U$4=0,"unavailable",INDEX('Market Data'!$AP$5:$AP$66,AH!$U$4)),IF(AH!$U$5=1,INDEX('Live History'!$H$5:$H$3004,MATCH($A2168,'Live History'!$G$5:$G$3004,1)),INDEX('AH History'!$B$5:$B$1380,$K2168))),NA()),NA())</f>
        <v/>
      </c>
      <c r="I2168" s="34">
        <f>IFERROR(IF(ISNUMBER($A2168),IF(AND(AH!$U$12=1,2163+1=AH!$U$6),TODAY(),IF(AH!$U$5=1,INDEX('Live History'!$G$5:$G$3004,MATCH($A2168,'Live History'!$G$5:$G$3004,1)),INDEX('AH History'!$C$5:$C$1380,$K2168))),NA()),NA())</f>
        <v/>
      </c>
      <c r="J2168" s="32">
        <f>IFERROR(IF(AND($F2168&gt;0,$H2168&gt;0,$A2168-$G2168&lt;=10,$A2168-$I2168&lt;=5,$G2168&gt;0,$I2168&gt;0),$F2168*$H2168,NA()),NA())</f>
        <v/>
      </c>
      <c r="K2168" s="15">
        <f>IF($A2168="","",IF(AH!$U$5=1,IFERROR(MATCH($A2168,'Live History'!$A$5:$A$3004,0),0),AH!$U$7+2163))</f>
        <v/>
      </c>
      <c r="L2168" s="15">
        <f>IF(ISNUMBER(A2168),TEXT(A2168,"dd-mmm-yy"),"")</f>
        <v/>
      </c>
    </row>
    <row r="2169">
      <c r="A2169" s="14">
        <f>IF(OR(AH!$U$4=0,2164+1&gt;AH!$U$6,AND(AH!$M$5="Bloomberg",AH!$U$5=0)),"",IFERROR(IF(AND(AH!$U$12=1,2164+1=AH!$U$6),TODAY(),IF(AH!$U$5=1,INDEX('Live History'!$A$5:$A$3004,AH!$U$7+2164),INDEX('AH History'!$A$5:$A$1380,AH!$U$7+2164))),""))</f>
        <v/>
      </c>
      <c r="B2169" s="33">
        <f>IFERROR(IF(AH!$U$11=1,NA(),$J2169/$E2169-1),NA())</f>
        <v/>
      </c>
      <c r="C2169" s="269">
        <f>IFERROR(100*$E2169/$E$5,NA())</f>
        <v/>
      </c>
      <c r="D2169" s="269">
        <f>IFERROR(100*$J2169/$J$5,NA())</f>
        <v/>
      </c>
      <c r="E2169" s="32">
        <f>IFERROR(IF(AND(ISNUMBER($A2169),N(IF(AND(AH!$U$12=1,2164+1=AH!$U$6),IF(AH!$U$4=0,"unavailable",INDEX('Market Data'!$AN$5:$AN$66,AH!$U$4)),IF(AH!$U$5=1,INDEX('Live History'!$B$5:$B$3004,$K2169),INDEX('AH History'!$D$5:$GG$1380,$K2169,AH!$U$10))))&gt;0),IF(AND(AH!$U$12=1,2164+1=AH!$U$6),IF(AH!$U$4=0,"unavailable",INDEX('Market Data'!$AN$5:$AN$66,AH!$U$4)),IF(AH!$U$5=1,INDEX('Live History'!$B$5:$B$3004,$K2169),INDEX('AH History'!$D$5:$GG$1380,$K2169,AH!$U$10))),NA()),NA())</f>
        <v/>
      </c>
      <c r="F2169" s="32">
        <f>IFERROR(IF(ISNUMBER($A2169),IF(AND(AH!$U$12=1,2164+1=AH!$U$6),IF(AH!$U$4=0,"unavailable",INDEX('Market Data'!$AO$5:$AO$66,AH!$U$4)),IF(AH!$U$5=1,INDEX('Live History'!$E$5:$E$3004,MATCH($A2169,'Live History'!$D$5:$D$3004,1)),INDEX('AH History'!$D$5:$GG$1380,$K2169,AH!$U$10+1))),NA()),NA())</f>
        <v/>
      </c>
      <c r="G2169" s="34">
        <f>IFERROR(IF(ISNUMBER($A2169),IF(AND(AH!$U$12=1,2164+1=AH!$U$6),IF(AH!$U$4=0,"unavailable",INDEX('Market Data'!$AK$5:$AK$66,AH!$U$4)),IF(AH!$U$5=1,INDEX('Live History'!$D$5:$D$3004,MATCH($A2169,'Live History'!$D$5:$D$3004,1)),INDEX('AH History'!$D$5:$GG$1380,$K2169,AH!$U$10+2))),NA()),NA())</f>
        <v/>
      </c>
      <c r="H2169" s="266">
        <f>IFERROR(IF(ISNUMBER($A2169),IF(AND(AH!$U$12=1,2164+1=AH!$U$6),IF(AH!$U$4=0,"unavailable",INDEX('Market Data'!$AP$5:$AP$66,AH!$U$4)),IF(AH!$U$5=1,INDEX('Live History'!$H$5:$H$3004,MATCH($A2169,'Live History'!$G$5:$G$3004,1)),INDEX('AH History'!$B$5:$B$1380,$K2169))),NA()),NA())</f>
        <v/>
      </c>
      <c r="I2169" s="34">
        <f>IFERROR(IF(ISNUMBER($A2169),IF(AND(AH!$U$12=1,2164+1=AH!$U$6),TODAY(),IF(AH!$U$5=1,INDEX('Live History'!$G$5:$G$3004,MATCH($A2169,'Live History'!$G$5:$G$3004,1)),INDEX('AH History'!$C$5:$C$1380,$K2169))),NA()),NA())</f>
        <v/>
      </c>
      <c r="J2169" s="32">
        <f>IFERROR(IF(AND($F2169&gt;0,$H2169&gt;0,$A2169-$G2169&lt;=10,$A2169-$I2169&lt;=5,$G2169&gt;0,$I2169&gt;0),$F2169*$H2169,NA()),NA())</f>
        <v/>
      </c>
      <c r="K2169" s="15">
        <f>IF($A2169="","",IF(AH!$U$5=1,IFERROR(MATCH($A2169,'Live History'!$A$5:$A$3004,0),0),AH!$U$7+2164))</f>
        <v/>
      </c>
      <c r="L2169" s="15">
        <f>IF(ISNUMBER(A2169),TEXT(A2169,"dd-mmm-yy"),"")</f>
        <v/>
      </c>
    </row>
    <row r="2170">
      <c r="A2170" s="14">
        <f>IF(OR(AH!$U$4=0,2165+1&gt;AH!$U$6,AND(AH!$M$5="Bloomberg",AH!$U$5=0)),"",IFERROR(IF(AND(AH!$U$12=1,2165+1=AH!$U$6),TODAY(),IF(AH!$U$5=1,INDEX('Live History'!$A$5:$A$3004,AH!$U$7+2165),INDEX('AH History'!$A$5:$A$1380,AH!$U$7+2165))),""))</f>
        <v/>
      </c>
      <c r="B2170" s="33">
        <f>IFERROR(IF(AH!$U$11=1,NA(),$J2170/$E2170-1),NA())</f>
        <v/>
      </c>
      <c r="C2170" s="269">
        <f>IFERROR(100*$E2170/$E$5,NA())</f>
        <v/>
      </c>
      <c r="D2170" s="269">
        <f>IFERROR(100*$J2170/$J$5,NA())</f>
        <v/>
      </c>
      <c r="E2170" s="32">
        <f>IFERROR(IF(AND(ISNUMBER($A2170),N(IF(AND(AH!$U$12=1,2165+1=AH!$U$6),IF(AH!$U$4=0,"unavailable",INDEX('Market Data'!$AN$5:$AN$66,AH!$U$4)),IF(AH!$U$5=1,INDEX('Live History'!$B$5:$B$3004,$K2170),INDEX('AH History'!$D$5:$GG$1380,$K2170,AH!$U$10))))&gt;0),IF(AND(AH!$U$12=1,2165+1=AH!$U$6),IF(AH!$U$4=0,"unavailable",INDEX('Market Data'!$AN$5:$AN$66,AH!$U$4)),IF(AH!$U$5=1,INDEX('Live History'!$B$5:$B$3004,$K2170),INDEX('AH History'!$D$5:$GG$1380,$K2170,AH!$U$10))),NA()),NA())</f>
        <v/>
      </c>
      <c r="F2170" s="32">
        <f>IFERROR(IF(ISNUMBER($A2170),IF(AND(AH!$U$12=1,2165+1=AH!$U$6),IF(AH!$U$4=0,"unavailable",INDEX('Market Data'!$AO$5:$AO$66,AH!$U$4)),IF(AH!$U$5=1,INDEX('Live History'!$E$5:$E$3004,MATCH($A2170,'Live History'!$D$5:$D$3004,1)),INDEX('AH History'!$D$5:$GG$1380,$K2170,AH!$U$10+1))),NA()),NA())</f>
        <v/>
      </c>
      <c r="G2170" s="34">
        <f>IFERROR(IF(ISNUMBER($A2170),IF(AND(AH!$U$12=1,2165+1=AH!$U$6),IF(AH!$U$4=0,"unavailable",INDEX('Market Data'!$AK$5:$AK$66,AH!$U$4)),IF(AH!$U$5=1,INDEX('Live History'!$D$5:$D$3004,MATCH($A2170,'Live History'!$D$5:$D$3004,1)),INDEX('AH History'!$D$5:$GG$1380,$K2170,AH!$U$10+2))),NA()),NA())</f>
        <v/>
      </c>
      <c r="H2170" s="266">
        <f>IFERROR(IF(ISNUMBER($A2170),IF(AND(AH!$U$12=1,2165+1=AH!$U$6),IF(AH!$U$4=0,"unavailable",INDEX('Market Data'!$AP$5:$AP$66,AH!$U$4)),IF(AH!$U$5=1,INDEX('Live History'!$H$5:$H$3004,MATCH($A2170,'Live History'!$G$5:$G$3004,1)),INDEX('AH History'!$B$5:$B$1380,$K2170))),NA()),NA())</f>
        <v/>
      </c>
      <c r="I2170" s="34">
        <f>IFERROR(IF(ISNUMBER($A2170),IF(AND(AH!$U$12=1,2165+1=AH!$U$6),TODAY(),IF(AH!$U$5=1,INDEX('Live History'!$G$5:$G$3004,MATCH($A2170,'Live History'!$G$5:$G$3004,1)),INDEX('AH History'!$C$5:$C$1380,$K2170))),NA()),NA())</f>
        <v/>
      </c>
      <c r="J2170" s="32">
        <f>IFERROR(IF(AND($F2170&gt;0,$H2170&gt;0,$A2170-$G2170&lt;=10,$A2170-$I2170&lt;=5,$G2170&gt;0,$I2170&gt;0),$F2170*$H2170,NA()),NA())</f>
        <v/>
      </c>
      <c r="K2170" s="15">
        <f>IF($A2170="","",IF(AH!$U$5=1,IFERROR(MATCH($A2170,'Live History'!$A$5:$A$3004,0),0),AH!$U$7+2165))</f>
        <v/>
      </c>
      <c r="L2170" s="15">
        <f>IF(ISNUMBER(A2170),TEXT(A2170,"dd-mmm-yy"),"")</f>
        <v/>
      </c>
    </row>
    <row r="2171">
      <c r="A2171" s="14">
        <f>IF(OR(AH!$U$4=0,2166+1&gt;AH!$U$6,AND(AH!$M$5="Bloomberg",AH!$U$5=0)),"",IFERROR(IF(AND(AH!$U$12=1,2166+1=AH!$U$6),TODAY(),IF(AH!$U$5=1,INDEX('Live History'!$A$5:$A$3004,AH!$U$7+2166),INDEX('AH History'!$A$5:$A$1380,AH!$U$7+2166))),""))</f>
        <v/>
      </c>
      <c r="B2171" s="33">
        <f>IFERROR(IF(AH!$U$11=1,NA(),$J2171/$E2171-1),NA())</f>
        <v/>
      </c>
      <c r="C2171" s="269">
        <f>IFERROR(100*$E2171/$E$5,NA())</f>
        <v/>
      </c>
      <c r="D2171" s="269">
        <f>IFERROR(100*$J2171/$J$5,NA())</f>
        <v/>
      </c>
      <c r="E2171" s="32">
        <f>IFERROR(IF(AND(ISNUMBER($A2171),N(IF(AND(AH!$U$12=1,2166+1=AH!$U$6),IF(AH!$U$4=0,"unavailable",INDEX('Market Data'!$AN$5:$AN$66,AH!$U$4)),IF(AH!$U$5=1,INDEX('Live History'!$B$5:$B$3004,$K2171),INDEX('AH History'!$D$5:$GG$1380,$K2171,AH!$U$10))))&gt;0),IF(AND(AH!$U$12=1,2166+1=AH!$U$6),IF(AH!$U$4=0,"unavailable",INDEX('Market Data'!$AN$5:$AN$66,AH!$U$4)),IF(AH!$U$5=1,INDEX('Live History'!$B$5:$B$3004,$K2171),INDEX('AH History'!$D$5:$GG$1380,$K2171,AH!$U$10))),NA()),NA())</f>
        <v/>
      </c>
      <c r="F2171" s="32">
        <f>IFERROR(IF(ISNUMBER($A2171),IF(AND(AH!$U$12=1,2166+1=AH!$U$6),IF(AH!$U$4=0,"unavailable",INDEX('Market Data'!$AO$5:$AO$66,AH!$U$4)),IF(AH!$U$5=1,INDEX('Live History'!$E$5:$E$3004,MATCH($A2171,'Live History'!$D$5:$D$3004,1)),INDEX('AH History'!$D$5:$GG$1380,$K2171,AH!$U$10+1))),NA()),NA())</f>
        <v/>
      </c>
      <c r="G2171" s="34">
        <f>IFERROR(IF(ISNUMBER($A2171),IF(AND(AH!$U$12=1,2166+1=AH!$U$6),IF(AH!$U$4=0,"unavailable",INDEX('Market Data'!$AK$5:$AK$66,AH!$U$4)),IF(AH!$U$5=1,INDEX('Live History'!$D$5:$D$3004,MATCH($A2171,'Live History'!$D$5:$D$3004,1)),INDEX('AH History'!$D$5:$GG$1380,$K2171,AH!$U$10+2))),NA()),NA())</f>
        <v/>
      </c>
      <c r="H2171" s="266">
        <f>IFERROR(IF(ISNUMBER($A2171),IF(AND(AH!$U$12=1,2166+1=AH!$U$6),IF(AH!$U$4=0,"unavailable",INDEX('Market Data'!$AP$5:$AP$66,AH!$U$4)),IF(AH!$U$5=1,INDEX('Live History'!$H$5:$H$3004,MATCH($A2171,'Live History'!$G$5:$G$3004,1)),INDEX('AH History'!$B$5:$B$1380,$K2171))),NA()),NA())</f>
        <v/>
      </c>
      <c r="I2171" s="34">
        <f>IFERROR(IF(ISNUMBER($A2171),IF(AND(AH!$U$12=1,2166+1=AH!$U$6),TODAY(),IF(AH!$U$5=1,INDEX('Live History'!$G$5:$G$3004,MATCH($A2171,'Live History'!$G$5:$G$3004,1)),INDEX('AH History'!$C$5:$C$1380,$K2171))),NA()),NA())</f>
        <v/>
      </c>
      <c r="J2171" s="32">
        <f>IFERROR(IF(AND($F2171&gt;0,$H2171&gt;0,$A2171-$G2171&lt;=10,$A2171-$I2171&lt;=5,$G2171&gt;0,$I2171&gt;0),$F2171*$H2171,NA()),NA())</f>
        <v/>
      </c>
      <c r="K2171" s="15">
        <f>IF($A2171="","",IF(AH!$U$5=1,IFERROR(MATCH($A2171,'Live History'!$A$5:$A$3004,0),0),AH!$U$7+2166))</f>
        <v/>
      </c>
      <c r="L2171" s="15">
        <f>IF(ISNUMBER(A2171),TEXT(A2171,"dd-mmm-yy"),"")</f>
        <v/>
      </c>
    </row>
    <row r="2172">
      <c r="A2172" s="14">
        <f>IF(OR(AH!$U$4=0,2167+1&gt;AH!$U$6,AND(AH!$M$5="Bloomberg",AH!$U$5=0)),"",IFERROR(IF(AND(AH!$U$12=1,2167+1=AH!$U$6),TODAY(),IF(AH!$U$5=1,INDEX('Live History'!$A$5:$A$3004,AH!$U$7+2167),INDEX('AH History'!$A$5:$A$1380,AH!$U$7+2167))),""))</f>
        <v/>
      </c>
      <c r="B2172" s="33">
        <f>IFERROR(IF(AH!$U$11=1,NA(),$J2172/$E2172-1),NA())</f>
        <v/>
      </c>
      <c r="C2172" s="269">
        <f>IFERROR(100*$E2172/$E$5,NA())</f>
        <v/>
      </c>
      <c r="D2172" s="269">
        <f>IFERROR(100*$J2172/$J$5,NA())</f>
        <v/>
      </c>
      <c r="E2172" s="32">
        <f>IFERROR(IF(AND(ISNUMBER($A2172),N(IF(AND(AH!$U$12=1,2167+1=AH!$U$6),IF(AH!$U$4=0,"unavailable",INDEX('Market Data'!$AN$5:$AN$66,AH!$U$4)),IF(AH!$U$5=1,INDEX('Live History'!$B$5:$B$3004,$K2172),INDEX('AH History'!$D$5:$GG$1380,$K2172,AH!$U$10))))&gt;0),IF(AND(AH!$U$12=1,2167+1=AH!$U$6),IF(AH!$U$4=0,"unavailable",INDEX('Market Data'!$AN$5:$AN$66,AH!$U$4)),IF(AH!$U$5=1,INDEX('Live History'!$B$5:$B$3004,$K2172),INDEX('AH History'!$D$5:$GG$1380,$K2172,AH!$U$10))),NA()),NA())</f>
        <v/>
      </c>
      <c r="F2172" s="32">
        <f>IFERROR(IF(ISNUMBER($A2172),IF(AND(AH!$U$12=1,2167+1=AH!$U$6),IF(AH!$U$4=0,"unavailable",INDEX('Market Data'!$AO$5:$AO$66,AH!$U$4)),IF(AH!$U$5=1,INDEX('Live History'!$E$5:$E$3004,MATCH($A2172,'Live History'!$D$5:$D$3004,1)),INDEX('AH History'!$D$5:$GG$1380,$K2172,AH!$U$10+1))),NA()),NA())</f>
        <v/>
      </c>
      <c r="G2172" s="34">
        <f>IFERROR(IF(ISNUMBER($A2172),IF(AND(AH!$U$12=1,2167+1=AH!$U$6),IF(AH!$U$4=0,"unavailable",INDEX('Market Data'!$AK$5:$AK$66,AH!$U$4)),IF(AH!$U$5=1,INDEX('Live History'!$D$5:$D$3004,MATCH($A2172,'Live History'!$D$5:$D$3004,1)),INDEX('AH History'!$D$5:$GG$1380,$K2172,AH!$U$10+2))),NA()),NA())</f>
        <v/>
      </c>
      <c r="H2172" s="266">
        <f>IFERROR(IF(ISNUMBER($A2172),IF(AND(AH!$U$12=1,2167+1=AH!$U$6),IF(AH!$U$4=0,"unavailable",INDEX('Market Data'!$AP$5:$AP$66,AH!$U$4)),IF(AH!$U$5=1,INDEX('Live History'!$H$5:$H$3004,MATCH($A2172,'Live History'!$G$5:$G$3004,1)),INDEX('AH History'!$B$5:$B$1380,$K2172))),NA()),NA())</f>
        <v/>
      </c>
      <c r="I2172" s="34">
        <f>IFERROR(IF(ISNUMBER($A2172),IF(AND(AH!$U$12=1,2167+1=AH!$U$6),TODAY(),IF(AH!$U$5=1,INDEX('Live History'!$G$5:$G$3004,MATCH($A2172,'Live History'!$G$5:$G$3004,1)),INDEX('AH History'!$C$5:$C$1380,$K2172))),NA()),NA())</f>
        <v/>
      </c>
      <c r="J2172" s="32">
        <f>IFERROR(IF(AND($F2172&gt;0,$H2172&gt;0,$A2172-$G2172&lt;=10,$A2172-$I2172&lt;=5,$G2172&gt;0,$I2172&gt;0),$F2172*$H2172,NA()),NA())</f>
        <v/>
      </c>
      <c r="K2172" s="15">
        <f>IF($A2172="","",IF(AH!$U$5=1,IFERROR(MATCH($A2172,'Live History'!$A$5:$A$3004,0),0),AH!$U$7+2167))</f>
        <v/>
      </c>
      <c r="L2172" s="15">
        <f>IF(ISNUMBER(A2172),TEXT(A2172,"dd-mmm-yy"),"")</f>
        <v/>
      </c>
    </row>
    <row r="2173">
      <c r="A2173" s="14">
        <f>IF(OR(AH!$U$4=0,2168+1&gt;AH!$U$6,AND(AH!$M$5="Bloomberg",AH!$U$5=0)),"",IFERROR(IF(AND(AH!$U$12=1,2168+1=AH!$U$6),TODAY(),IF(AH!$U$5=1,INDEX('Live History'!$A$5:$A$3004,AH!$U$7+2168),INDEX('AH History'!$A$5:$A$1380,AH!$U$7+2168))),""))</f>
        <v/>
      </c>
      <c r="B2173" s="33">
        <f>IFERROR(IF(AH!$U$11=1,NA(),$J2173/$E2173-1),NA())</f>
        <v/>
      </c>
      <c r="C2173" s="269">
        <f>IFERROR(100*$E2173/$E$5,NA())</f>
        <v/>
      </c>
      <c r="D2173" s="269">
        <f>IFERROR(100*$J2173/$J$5,NA())</f>
        <v/>
      </c>
      <c r="E2173" s="32">
        <f>IFERROR(IF(AND(ISNUMBER($A2173),N(IF(AND(AH!$U$12=1,2168+1=AH!$U$6),IF(AH!$U$4=0,"unavailable",INDEX('Market Data'!$AN$5:$AN$66,AH!$U$4)),IF(AH!$U$5=1,INDEX('Live History'!$B$5:$B$3004,$K2173),INDEX('AH History'!$D$5:$GG$1380,$K2173,AH!$U$10))))&gt;0),IF(AND(AH!$U$12=1,2168+1=AH!$U$6),IF(AH!$U$4=0,"unavailable",INDEX('Market Data'!$AN$5:$AN$66,AH!$U$4)),IF(AH!$U$5=1,INDEX('Live History'!$B$5:$B$3004,$K2173),INDEX('AH History'!$D$5:$GG$1380,$K2173,AH!$U$10))),NA()),NA())</f>
        <v/>
      </c>
      <c r="F2173" s="32">
        <f>IFERROR(IF(ISNUMBER($A2173),IF(AND(AH!$U$12=1,2168+1=AH!$U$6),IF(AH!$U$4=0,"unavailable",INDEX('Market Data'!$AO$5:$AO$66,AH!$U$4)),IF(AH!$U$5=1,INDEX('Live History'!$E$5:$E$3004,MATCH($A2173,'Live History'!$D$5:$D$3004,1)),INDEX('AH History'!$D$5:$GG$1380,$K2173,AH!$U$10+1))),NA()),NA())</f>
        <v/>
      </c>
      <c r="G2173" s="34">
        <f>IFERROR(IF(ISNUMBER($A2173),IF(AND(AH!$U$12=1,2168+1=AH!$U$6),IF(AH!$U$4=0,"unavailable",INDEX('Market Data'!$AK$5:$AK$66,AH!$U$4)),IF(AH!$U$5=1,INDEX('Live History'!$D$5:$D$3004,MATCH($A2173,'Live History'!$D$5:$D$3004,1)),INDEX('AH History'!$D$5:$GG$1380,$K2173,AH!$U$10+2))),NA()),NA())</f>
        <v/>
      </c>
      <c r="H2173" s="266">
        <f>IFERROR(IF(ISNUMBER($A2173),IF(AND(AH!$U$12=1,2168+1=AH!$U$6),IF(AH!$U$4=0,"unavailable",INDEX('Market Data'!$AP$5:$AP$66,AH!$U$4)),IF(AH!$U$5=1,INDEX('Live History'!$H$5:$H$3004,MATCH($A2173,'Live History'!$G$5:$G$3004,1)),INDEX('AH History'!$B$5:$B$1380,$K2173))),NA()),NA())</f>
        <v/>
      </c>
      <c r="I2173" s="34">
        <f>IFERROR(IF(ISNUMBER($A2173),IF(AND(AH!$U$12=1,2168+1=AH!$U$6),TODAY(),IF(AH!$U$5=1,INDEX('Live History'!$G$5:$G$3004,MATCH($A2173,'Live History'!$G$5:$G$3004,1)),INDEX('AH History'!$C$5:$C$1380,$K2173))),NA()),NA())</f>
        <v/>
      </c>
      <c r="J2173" s="32">
        <f>IFERROR(IF(AND($F2173&gt;0,$H2173&gt;0,$A2173-$G2173&lt;=10,$A2173-$I2173&lt;=5,$G2173&gt;0,$I2173&gt;0),$F2173*$H2173,NA()),NA())</f>
        <v/>
      </c>
      <c r="K2173" s="15">
        <f>IF($A2173="","",IF(AH!$U$5=1,IFERROR(MATCH($A2173,'Live History'!$A$5:$A$3004,0),0),AH!$U$7+2168))</f>
        <v/>
      </c>
      <c r="L2173" s="15">
        <f>IF(ISNUMBER(A2173),TEXT(A2173,"dd-mmm-yy"),"")</f>
        <v/>
      </c>
    </row>
    <row r="2174">
      <c r="A2174" s="14">
        <f>IF(OR(AH!$U$4=0,2169+1&gt;AH!$U$6,AND(AH!$M$5="Bloomberg",AH!$U$5=0)),"",IFERROR(IF(AND(AH!$U$12=1,2169+1=AH!$U$6),TODAY(),IF(AH!$U$5=1,INDEX('Live History'!$A$5:$A$3004,AH!$U$7+2169),INDEX('AH History'!$A$5:$A$1380,AH!$U$7+2169))),""))</f>
        <v/>
      </c>
      <c r="B2174" s="33">
        <f>IFERROR(IF(AH!$U$11=1,NA(),$J2174/$E2174-1),NA())</f>
        <v/>
      </c>
      <c r="C2174" s="269">
        <f>IFERROR(100*$E2174/$E$5,NA())</f>
        <v/>
      </c>
      <c r="D2174" s="269">
        <f>IFERROR(100*$J2174/$J$5,NA())</f>
        <v/>
      </c>
      <c r="E2174" s="32">
        <f>IFERROR(IF(AND(ISNUMBER($A2174),N(IF(AND(AH!$U$12=1,2169+1=AH!$U$6),IF(AH!$U$4=0,"unavailable",INDEX('Market Data'!$AN$5:$AN$66,AH!$U$4)),IF(AH!$U$5=1,INDEX('Live History'!$B$5:$B$3004,$K2174),INDEX('AH History'!$D$5:$GG$1380,$K2174,AH!$U$10))))&gt;0),IF(AND(AH!$U$12=1,2169+1=AH!$U$6),IF(AH!$U$4=0,"unavailable",INDEX('Market Data'!$AN$5:$AN$66,AH!$U$4)),IF(AH!$U$5=1,INDEX('Live History'!$B$5:$B$3004,$K2174),INDEX('AH History'!$D$5:$GG$1380,$K2174,AH!$U$10))),NA()),NA())</f>
        <v/>
      </c>
      <c r="F2174" s="32">
        <f>IFERROR(IF(ISNUMBER($A2174),IF(AND(AH!$U$12=1,2169+1=AH!$U$6),IF(AH!$U$4=0,"unavailable",INDEX('Market Data'!$AO$5:$AO$66,AH!$U$4)),IF(AH!$U$5=1,INDEX('Live History'!$E$5:$E$3004,MATCH($A2174,'Live History'!$D$5:$D$3004,1)),INDEX('AH History'!$D$5:$GG$1380,$K2174,AH!$U$10+1))),NA()),NA())</f>
        <v/>
      </c>
      <c r="G2174" s="34">
        <f>IFERROR(IF(ISNUMBER($A2174),IF(AND(AH!$U$12=1,2169+1=AH!$U$6),IF(AH!$U$4=0,"unavailable",INDEX('Market Data'!$AK$5:$AK$66,AH!$U$4)),IF(AH!$U$5=1,INDEX('Live History'!$D$5:$D$3004,MATCH($A2174,'Live History'!$D$5:$D$3004,1)),INDEX('AH History'!$D$5:$GG$1380,$K2174,AH!$U$10+2))),NA()),NA())</f>
        <v/>
      </c>
      <c r="H2174" s="266">
        <f>IFERROR(IF(ISNUMBER($A2174),IF(AND(AH!$U$12=1,2169+1=AH!$U$6),IF(AH!$U$4=0,"unavailable",INDEX('Market Data'!$AP$5:$AP$66,AH!$U$4)),IF(AH!$U$5=1,INDEX('Live History'!$H$5:$H$3004,MATCH($A2174,'Live History'!$G$5:$G$3004,1)),INDEX('AH History'!$B$5:$B$1380,$K2174))),NA()),NA())</f>
        <v/>
      </c>
      <c r="I2174" s="34">
        <f>IFERROR(IF(ISNUMBER($A2174),IF(AND(AH!$U$12=1,2169+1=AH!$U$6),TODAY(),IF(AH!$U$5=1,INDEX('Live History'!$G$5:$G$3004,MATCH($A2174,'Live History'!$G$5:$G$3004,1)),INDEX('AH History'!$C$5:$C$1380,$K2174))),NA()),NA())</f>
        <v/>
      </c>
      <c r="J2174" s="32">
        <f>IFERROR(IF(AND($F2174&gt;0,$H2174&gt;0,$A2174-$G2174&lt;=10,$A2174-$I2174&lt;=5,$G2174&gt;0,$I2174&gt;0),$F2174*$H2174,NA()),NA())</f>
        <v/>
      </c>
      <c r="K2174" s="15">
        <f>IF($A2174="","",IF(AH!$U$5=1,IFERROR(MATCH($A2174,'Live History'!$A$5:$A$3004,0),0),AH!$U$7+2169))</f>
        <v/>
      </c>
      <c r="L2174" s="15">
        <f>IF(ISNUMBER(A2174),TEXT(A2174,"dd-mmm-yy"),"")</f>
        <v/>
      </c>
    </row>
    <row r="2175">
      <c r="A2175" s="14">
        <f>IF(OR(AH!$U$4=0,2170+1&gt;AH!$U$6,AND(AH!$M$5="Bloomberg",AH!$U$5=0)),"",IFERROR(IF(AND(AH!$U$12=1,2170+1=AH!$U$6),TODAY(),IF(AH!$U$5=1,INDEX('Live History'!$A$5:$A$3004,AH!$U$7+2170),INDEX('AH History'!$A$5:$A$1380,AH!$U$7+2170))),""))</f>
        <v/>
      </c>
      <c r="B2175" s="33">
        <f>IFERROR(IF(AH!$U$11=1,NA(),$J2175/$E2175-1),NA())</f>
        <v/>
      </c>
      <c r="C2175" s="269">
        <f>IFERROR(100*$E2175/$E$5,NA())</f>
        <v/>
      </c>
      <c r="D2175" s="269">
        <f>IFERROR(100*$J2175/$J$5,NA())</f>
        <v/>
      </c>
      <c r="E2175" s="32">
        <f>IFERROR(IF(AND(ISNUMBER($A2175),N(IF(AND(AH!$U$12=1,2170+1=AH!$U$6),IF(AH!$U$4=0,"unavailable",INDEX('Market Data'!$AN$5:$AN$66,AH!$U$4)),IF(AH!$U$5=1,INDEX('Live History'!$B$5:$B$3004,$K2175),INDEX('AH History'!$D$5:$GG$1380,$K2175,AH!$U$10))))&gt;0),IF(AND(AH!$U$12=1,2170+1=AH!$U$6),IF(AH!$U$4=0,"unavailable",INDEX('Market Data'!$AN$5:$AN$66,AH!$U$4)),IF(AH!$U$5=1,INDEX('Live History'!$B$5:$B$3004,$K2175),INDEX('AH History'!$D$5:$GG$1380,$K2175,AH!$U$10))),NA()),NA())</f>
        <v/>
      </c>
      <c r="F2175" s="32">
        <f>IFERROR(IF(ISNUMBER($A2175),IF(AND(AH!$U$12=1,2170+1=AH!$U$6),IF(AH!$U$4=0,"unavailable",INDEX('Market Data'!$AO$5:$AO$66,AH!$U$4)),IF(AH!$U$5=1,INDEX('Live History'!$E$5:$E$3004,MATCH($A2175,'Live History'!$D$5:$D$3004,1)),INDEX('AH History'!$D$5:$GG$1380,$K2175,AH!$U$10+1))),NA()),NA())</f>
        <v/>
      </c>
      <c r="G2175" s="34">
        <f>IFERROR(IF(ISNUMBER($A2175),IF(AND(AH!$U$12=1,2170+1=AH!$U$6),IF(AH!$U$4=0,"unavailable",INDEX('Market Data'!$AK$5:$AK$66,AH!$U$4)),IF(AH!$U$5=1,INDEX('Live History'!$D$5:$D$3004,MATCH($A2175,'Live History'!$D$5:$D$3004,1)),INDEX('AH History'!$D$5:$GG$1380,$K2175,AH!$U$10+2))),NA()),NA())</f>
        <v/>
      </c>
      <c r="H2175" s="266">
        <f>IFERROR(IF(ISNUMBER($A2175),IF(AND(AH!$U$12=1,2170+1=AH!$U$6),IF(AH!$U$4=0,"unavailable",INDEX('Market Data'!$AP$5:$AP$66,AH!$U$4)),IF(AH!$U$5=1,INDEX('Live History'!$H$5:$H$3004,MATCH($A2175,'Live History'!$G$5:$G$3004,1)),INDEX('AH History'!$B$5:$B$1380,$K2175))),NA()),NA())</f>
        <v/>
      </c>
      <c r="I2175" s="34">
        <f>IFERROR(IF(ISNUMBER($A2175),IF(AND(AH!$U$12=1,2170+1=AH!$U$6),TODAY(),IF(AH!$U$5=1,INDEX('Live History'!$G$5:$G$3004,MATCH($A2175,'Live History'!$G$5:$G$3004,1)),INDEX('AH History'!$C$5:$C$1380,$K2175))),NA()),NA())</f>
        <v/>
      </c>
      <c r="J2175" s="32">
        <f>IFERROR(IF(AND($F2175&gt;0,$H2175&gt;0,$A2175-$G2175&lt;=10,$A2175-$I2175&lt;=5,$G2175&gt;0,$I2175&gt;0),$F2175*$H2175,NA()),NA())</f>
        <v/>
      </c>
      <c r="K2175" s="15">
        <f>IF($A2175="","",IF(AH!$U$5=1,IFERROR(MATCH($A2175,'Live History'!$A$5:$A$3004,0),0),AH!$U$7+2170))</f>
        <v/>
      </c>
      <c r="L2175" s="15">
        <f>IF(ISNUMBER(A2175),TEXT(A2175,"dd-mmm-yy"),"")</f>
        <v/>
      </c>
    </row>
    <row r="2176">
      <c r="A2176" s="14">
        <f>IF(OR(AH!$U$4=0,2171+1&gt;AH!$U$6,AND(AH!$M$5="Bloomberg",AH!$U$5=0)),"",IFERROR(IF(AND(AH!$U$12=1,2171+1=AH!$U$6),TODAY(),IF(AH!$U$5=1,INDEX('Live History'!$A$5:$A$3004,AH!$U$7+2171),INDEX('AH History'!$A$5:$A$1380,AH!$U$7+2171))),""))</f>
        <v/>
      </c>
      <c r="B2176" s="33">
        <f>IFERROR(IF(AH!$U$11=1,NA(),$J2176/$E2176-1),NA())</f>
        <v/>
      </c>
      <c r="C2176" s="269">
        <f>IFERROR(100*$E2176/$E$5,NA())</f>
        <v/>
      </c>
      <c r="D2176" s="269">
        <f>IFERROR(100*$J2176/$J$5,NA())</f>
        <v/>
      </c>
      <c r="E2176" s="32">
        <f>IFERROR(IF(AND(ISNUMBER($A2176),N(IF(AND(AH!$U$12=1,2171+1=AH!$U$6),IF(AH!$U$4=0,"unavailable",INDEX('Market Data'!$AN$5:$AN$66,AH!$U$4)),IF(AH!$U$5=1,INDEX('Live History'!$B$5:$B$3004,$K2176),INDEX('AH History'!$D$5:$GG$1380,$K2176,AH!$U$10))))&gt;0),IF(AND(AH!$U$12=1,2171+1=AH!$U$6),IF(AH!$U$4=0,"unavailable",INDEX('Market Data'!$AN$5:$AN$66,AH!$U$4)),IF(AH!$U$5=1,INDEX('Live History'!$B$5:$B$3004,$K2176),INDEX('AH History'!$D$5:$GG$1380,$K2176,AH!$U$10))),NA()),NA())</f>
        <v/>
      </c>
      <c r="F2176" s="32">
        <f>IFERROR(IF(ISNUMBER($A2176),IF(AND(AH!$U$12=1,2171+1=AH!$U$6),IF(AH!$U$4=0,"unavailable",INDEX('Market Data'!$AO$5:$AO$66,AH!$U$4)),IF(AH!$U$5=1,INDEX('Live History'!$E$5:$E$3004,MATCH($A2176,'Live History'!$D$5:$D$3004,1)),INDEX('AH History'!$D$5:$GG$1380,$K2176,AH!$U$10+1))),NA()),NA())</f>
        <v/>
      </c>
      <c r="G2176" s="34">
        <f>IFERROR(IF(ISNUMBER($A2176),IF(AND(AH!$U$12=1,2171+1=AH!$U$6),IF(AH!$U$4=0,"unavailable",INDEX('Market Data'!$AK$5:$AK$66,AH!$U$4)),IF(AH!$U$5=1,INDEX('Live History'!$D$5:$D$3004,MATCH($A2176,'Live History'!$D$5:$D$3004,1)),INDEX('AH History'!$D$5:$GG$1380,$K2176,AH!$U$10+2))),NA()),NA())</f>
        <v/>
      </c>
      <c r="H2176" s="266">
        <f>IFERROR(IF(ISNUMBER($A2176),IF(AND(AH!$U$12=1,2171+1=AH!$U$6),IF(AH!$U$4=0,"unavailable",INDEX('Market Data'!$AP$5:$AP$66,AH!$U$4)),IF(AH!$U$5=1,INDEX('Live History'!$H$5:$H$3004,MATCH($A2176,'Live History'!$G$5:$G$3004,1)),INDEX('AH History'!$B$5:$B$1380,$K2176))),NA()),NA())</f>
        <v/>
      </c>
      <c r="I2176" s="34">
        <f>IFERROR(IF(ISNUMBER($A2176),IF(AND(AH!$U$12=1,2171+1=AH!$U$6),TODAY(),IF(AH!$U$5=1,INDEX('Live History'!$G$5:$G$3004,MATCH($A2176,'Live History'!$G$5:$G$3004,1)),INDEX('AH History'!$C$5:$C$1380,$K2176))),NA()),NA())</f>
        <v/>
      </c>
      <c r="J2176" s="32">
        <f>IFERROR(IF(AND($F2176&gt;0,$H2176&gt;0,$A2176-$G2176&lt;=10,$A2176-$I2176&lt;=5,$G2176&gt;0,$I2176&gt;0),$F2176*$H2176,NA()),NA())</f>
        <v/>
      </c>
      <c r="K2176" s="15">
        <f>IF($A2176="","",IF(AH!$U$5=1,IFERROR(MATCH($A2176,'Live History'!$A$5:$A$3004,0),0),AH!$U$7+2171))</f>
        <v/>
      </c>
      <c r="L2176" s="15">
        <f>IF(ISNUMBER(A2176),TEXT(A2176,"dd-mmm-yy"),"")</f>
        <v/>
      </c>
    </row>
    <row r="2177">
      <c r="A2177" s="14">
        <f>IF(OR(AH!$U$4=0,2172+1&gt;AH!$U$6,AND(AH!$M$5="Bloomberg",AH!$U$5=0)),"",IFERROR(IF(AND(AH!$U$12=1,2172+1=AH!$U$6),TODAY(),IF(AH!$U$5=1,INDEX('Live History'!$A$5:$A$3004,AH!$U$7+2172),INDEX('AH History'!$A$5:$A$1380,AH!$U$7+2172))),""))</f>
        <v/>
      </c>
      <c r="B2177" s="33">
        <f>IFERROR(IF(AH!$U$11=1,NA(),$J2177/$E2177-1),NA())</f>
        <v/>
      </c>
      <c r="C2177" s="269">
        <f>IFERROR(100*$E2177/$E$5,NA())</f>
        <v/>
      </c>
      <c r="D2177" s="269">
        <f>IFERROR(100*$J2177/$J$5,NA())</f>
        <v/>
      </c>
      <c r="E2177" s="32">
        <f>IFERROR(IF(AND(ISNUMBER($A2177),N(IF(AND(AH!$U$12=1,2172+1=AH!$U$6),IF(AH!$U$4=0,"unavailable",INDEX('Market Data'!$AN$5:$AN$66,AH!$U$4)),IF(AH!$U$5=1,INDEX('Live History'!$B$5:$B$3004,$K2177),INDEX('AH History'!$D$5:$GG$1380,$K2177,AH!$U$10))))&gt;0),IF(AND(AH!$U$12=1,2172+1=AH!$U$6),IF(AH!$U$4=0,"unavailable",INDEX('Market Data'!$AN$5:$AN$66,AH!$U$4)),IF(AH!$U$5=1,INDEX('Live History'!$B$5:$B$3004,$K2177),INDEX('AH History'!$D$5:$GG$1380,$K2177,AH!$U$10))),NA()),NA())</f>
        <v/>
      </c>
      <c r="F2177" s="32">
        <f>IFERROR(IF(ISNUMBER($A2177),IF(AND(AH!$U$12=1,2172+1=AH!$U$6),IF(AH!$U$4=0,"unavailable",INDEX('Market Data'!$AO$5:$AO$66,AH!$U$4)),IF(AH!$U$5=1,INDEX('Live History'!$E$5:$E$3004,MATCH($A2177,'Live History'!$D$5:$D$3004,1)),INDEX('AH History'!$D$5:$GG$1380,$K2177,AH!$U$10+1))),NA()),NA())</f>
        <v/>
      </c>
      <c r="G2177" s="34">
        <f>IFERROR(IF(ISNUMBER($A2177),IF(AND(AH!$U$12=1,2172+1=AH!$U$6),IF(AH!$U$4=0,"unavailable",INDEX('Market Data'!$AK$5:$AK$66,AH!$U$4)),IF(AH!$U$5=1,INDEX('Live History'!$D$5:$D$3004,MATCH($A2177,'Live History'!$D$5:$D$3004,1)),INDEX('AH History'!$D$5:$GG$1380,$K2177,AH!$U$10+2))),NA()),NA())</f>
        <v/>
      </c>
      <c r="H2177" s="266">
        <f>IFERROR(IF(ISNUMBER($A2177),IF(AND(AH!$U$12=1,2172+1=AH!$U$6),IF(AH!$U$4=0,"unavailable",INDEX('Market Data'!$AP$5:$AP$66,AH!$U$4)),IF(AH!$U$5=1,INDEX('Live History'!$H$5:$H$3004,MATCH($A2177,'Live History'!$G$5:$G$3004,1)),INDEX('AH History'!$B$5:$B$1380,$K2177))),NA()),NA())</f>
        <v/>
      </c>
      <c r="I2177" s="34">
        <f>IFERROR(IF(ISNUMBER($A2177),IF(AND(AH!$U$12=1,2172+1=AH!$U$6),TODAY(),IF(AH!$U$5=1,INDEX('Live History'!$G$5:$G$3004,MATCH($A2177,'Live History'!$G$5:$G$3004,1)),INDEX('AH History'!$C$5:$C$1380,$K2177))),NA()),NA())</f>
        <v/>
      </c>
      <c r="J2177" s="32">
        <f>IFERROR(IF(AND($F2177&gt;0,$H2177&gt;0,$A2177-$G2177&lt;=10,$A2177-$I2177&lt;=5,$G2177&gt;0,$I2177&gt;0),$F2177*$H2177,NA()),NA())</f>
        <v/>
      </c>
      <c r="K2177" s="15">
        <f>IF($A2177="","",IF(AH!$U$5=1,IFERROR(MATCH($A2177,'Live History'!$A$5:$A$3004,0),0),AH!$U$7+2172))</f>
        <v/>
      </c>
      <c r="L2177" s="15">
        <f>IF(ISNUMBER(A2177),TEXT(A2177,"dd-mmm-yy"),"")</f>
        <v/>
      </c>
    </row>
    <row r="2178">
      <c r="A2178" s="14">
        <f>IF(OR(AH!$U$4=0,2173+1&gt;AH!$U$6,AND(AH!$M$5="Bloomberg",AH!$U$5=0)),"",IFERROR(IF(AND(AH!$U$12=1,2173+1=AH!$U$6),TODAY(),IF(AH!$U$5=1,INDEX('Live History'!$A$5:$A$3004,AH!$U$7+2173),INDEX('AH History'!$A$5:$A$1380,AH!$U$7+2173))),""))</f>
        <v/>
      </c>
      <c r="B2178" s="33">
        <f>IFERROR(IF(AH!$U$11=1,NA(),$J2178/$E2178-1),NA())</f>
        <v/>
      </c>
      <c r="C2178" s="269">
        <f>IFERROR(100*$E2178/$E$5,NA())</f>
        <v/>
      </c>
      <c r="D2178" s="269">
        <f>IFERROR(100*$J2178/$J$5,NA())</f>
        <v/>
      </c>
      <c r="E2178" s="32">
        <f>IFERROR(IF(AND(ISNUMBER($A2178),N(IF(AND(AH!$U$12=1,2173+1=AH!$U$6),IF(AH!$U$4=0,"unavailable",INDEX('Market Data'!$AN$5:$AN$66,AH!$U$4)),IF(AH!$U$5=1,INDEX('Live History'!$B$5:$B$3004,$K2178),INDEX('AH History'!$D$5:$GG$1380,$K2178,AH!$U$10))))&gt;0),IF(AND(AH!$U$12=1,2173+1=AH!$U$6),IF(AH!$U$4=0,"unavailable",INDEX('Market Data'!$AN$5:$AN$66,AH!$U$4)),IF(AH!$U$5=1,INDEX('Live History'!$B$5:$B$3004,$K2178),INDEX('AH History'!$D$5:$GG$1380,$K2178,AH!$U$10))),NA()),NA())</f>
        <v/>
      </c>
      <c r="F2178" s="32">
        <f>IFERROR(IF(ISNUMBER($A2178),IF(AND(AH!$U$12=1,2173+1=AH!$U$6),IF(AH!$U$4=0,"unavailable",INDEX('Market Data'!$AO$5:$AO$66,AH!$U$4)),IF(AH!$U$5=1,INDEX('Live History'!$E$5:$E$3004,MATCH($A2178,'Live History'!$D$5:$D$3004,1)),INDEX('AH History'!$D$5:$GG$1380,$K2178,AH!$U$10+1))),NA()),NA())</f>
        <v/>
      </c>
      <c r="G2178" s="34">
        <f>IFERROR(IF(ISNUMBER($A2178),IF(AND(AH!$U$12=1,2173+1=AH!$U$6),IF(AH!$U$4=0,"unavailable",INDEX('Market Data'!$AK$5:$AK$66,AH!$U$4)),IF(AH!$U$5=1,INDEX('Live History'!$D$5:$D$3004,MATCH($A2178,'Live History'!$D$5:$D$3004,1)),INDEX('AH History'!$D$5:$GG$1380,$K2178,AH!$U$10+2))),NA()),NA())</f>
        <v/>
      </c>
      <c r="H2178" s="266">
        <f>IFERROR(IF(ISNUMBER($A2178),IF(AND(AH!$U$12=1,2173+1=AH!$U$6),IF(AH!$U$4=0,"unavailable",INDEX('Market Data'!$AP$5:$AP$66,AH!$U$4)),IF(AH!$U$5=1,INDEX('Live History'!$H$5:$H$3004,MATCH($A2178,'Live History'!$G$5:$G$3004,1)),INDEX('AH History'!$B$5:$B$1380,$K2178))),NA()),NA())</f>
        <v/>
      </c>
      <c r="I2178" s="34">
        <f>IFERROR(IF(ISNUMBER($A2178),IF(AND(AH!$U$12=1,2173+1=AH!$U$6),TODAY(),IF(AH!$U$5=1,INDEX('Live History'!$G$5:$G$3004,MATCH($A2178,'Live History'!$G$5:$G$3004,1)),INDEX('AH History'!$C$5:$C$1380,$K2178))),NA()),NA())</f>
        <v/>
      </c>
      <c r="J2178" s="32">
        <f>IFERROR(IF(AND($F2178&gt;0,$H2178&gt;0,$A2178-$G2178&lt;=10,$A2178-$I2178&lt;=5,$G2178&gt;0,$I2178&gt;0),$F2178*$H2178,NA()),NA())</f>
        <v/>
      </c>
      <c r="K2178" s="15">
        <f>IF($A2178="","",IF(AH!$U$5=1,IFERROR(MATCH($A2178,'Live History'!$A$5:$A$3004,0),0),AH!$U$7+2173))</f>
        <v/>
      </c>
      <c r="L2178" s="15">
        <f>IF(ISNUMBER(A2178),TEXT(A2178,"dd-mmm-yy"),"")</f>
        <v/>
      </c>
    </row>
    <row r="2179">
      <c r="A2179" s="14">
        <f>IF(OR(AH!$U$4=0,2174+1&gt;AH!$U$6,AND(AH!$M$5="Bloomberg",AH!$U$5=0)),"",IFERROR(IF(AND(AH!$U$12=1,2174+1=AH!$U$6),TODAY(),IF(AH!$U$5=1,INDEX('Live History'!$A$5:$A$3004,AH!$U$7+2174),INDEX('AH History'!$A$5:$A$1380,AH!$U$7+2174))),""))</f>
        <v/>
      </c>
      <c r="B2179" s="33">
        <f>IFERROR(IF(AH!$U$11=1,NA(),$J2179/$E2179-1),NA())</f>
        <v/>
      </c>
      <c r="C2179" s="269">
        <f>IFERROR(100*$E2179/$E$5,NA())</f>
        <v/>
      </c>
      <c r="D2179" s="269">
        <f>IFERROR(100*$J2179/$J$5,NA())</f>
        <v/>
      </c>
      <c r="E2179" s="32">
        <f>IFERROR(IF(AND(ISNUMBER($A2179),N(IF(AND(AH!$U$12=1,2174+1=AH!$U$6),IF(AH!$U$4=0,"unavailable",INDEX('Market Data'!$AN$5:$AN$66,AH!$U$4)),IF(AH!$U$5=1,INDEX('Live History'!$B$5:$B$3004,$K2179),INDEX('AH History'!$D$5:$GG$1380,$K2179,AH!$U$10))))&gt;0),IF(AND(AH!$U$12=1,2174+1=AH!$U$6),IF(AH!$U$4=0,"unavailable",INDEX('Market Data'!$AN$5:$AN$66,AH!$U$4)),IF(AH!$U$5=1,INDEX('Live History'!$B$5:$B$3004,$K2179),INDEX('AH History'!$D$5:$GG$1380,$K2179,AH!$U$10))),NA()),NA())</f>
        <v/>
      </c>
      <c r="F2179" s="32">
        <f>IFERROR(IF(ISNUMBER($A2179),IF(AND(AH!$U$12=1,2174+1=AH!$U$6),IF(AH!$U$4=0,"unavailable",INDEX('Market Data'!$AO$5:$AO$66,AH!$U$4)),IF(AH!$U$5=1,INDEX('Live History'!$E$5:$E$3004,MATCH($A2179,'Live History'!$D$5:$D$3004,1)),INDEX('AH History'!$D$5:$GG$1380,$K2179,AH!$U$10+1))),NA()),NA())</f>
        <v/>
      </c>
      <c r="G2179" s="34">
        <f>IFERROR(IF(ISNUMBER($A2179),IF(AND(AH!$U$12=1,2174+1=AH!$U$6),IF(AH!$U$4=0,"unavailable",INDEX('Market Data'!$AK$5:$AK$66,AH!$U$4)),IF(AH!$U$5=1,INDEX('Live History'!$D$5:$D$3004,MATCH($A2179,'Live History'!$D$5:$D$3004,1)),INDEX('AH History'!$D$5:$GG$1380,$K2179,AH!$U$10+2))),NA()),NA())</f>
        <v/>
      </c>
      <c r="H2179" s="266">
        <f>IFERROR(IF(ISNUMBER($A2179),IF(AND(AH!$U$12=1,2174+1=AH!$U$6),IF(AH!$U$4=0,"unavailable",INDEX('Market Data'!$AP$5:$AP$66,AH!$U$4)),IF(AH!$U$5=1,INDEX('Live History'!$H$5:$H$3004,MATCH($A2179,'Live History'!$G$5:$G$3004,1)),INDEX('AH History'!$B$5:$B$1380,$K2179))),NA()),NA())</f>
        <v/>
      </c>
      <c r="I2179" s="34">
        <f>IFERROR(IF(ISNUMBER($A2179),IF(AND(AH!$U$12=1,2174+1=AH!$U$6),TODAY(),IF(AH!$U$5=1,INDEX('Live History'!$G$5:$G$3004,MATCH($A2179,'Live History'!$G$5:$G$3004,1)),INDEX('AH History'!$C$5:$C$1380,$K2179))),NA()),NA())</f>
        <v/>
      </c>
      <c r="J2179" s="32">
        <f>IFERROR(IF(AND($F2179&gt;0,$H2179&gt;0,$A2179-$G2179&lt;=10,$A2179-$I2179&lt;=5,$G2179&gt;0,$I2179&gt;0),$F2179*$H2179,NA()),NA())</f>
        <v/>
      </c>
      <c r="K2179" s="15">
        <f>IF($A2179="","",IF(AH!$U$5=1,IFERROR(MATCH($A2179,'Live History'!$A$5:$A$3004,0),0),AH!$U$7+2174))</f>
        <v/>
      </c>
      <c r="L2179" s="15">
        <f>IF(ISNUMBER(A2179),TEXT(A2179,"dd-mmm-yy"),"")</f>
        <v/>
      </c>
    </row>
    <row r="2180">
      <c r="A2180" s="14">
        <f>IF(OR(AH!$U$4=0,2175+1&gt;AH!$U$6,AND(AH!$M$5="Bloomberg",AH!$U$5=0)),"",IFERROR(IF(AND(AH!$U$12=1,2175+1=AH!$U$6),TODAY(),IF(AH!$U$5=1,INDEX('Live History'!$A$5:$A$3004,AH!$U$7+2175),INDEX('AH History'!$A$5:$A$1380,AH!$U$7+2175))),""))</f>
        <v/>
      </c>
      <c r="B2180" s="33">
        <f>IFERROR(IF(AH!$U$11=1,NA(),$J2180/$E2180-1),NA())</f>
        <v/>
      </c>
      <c r="C2180" s="269">
        <f>IFERROR(100*$E2180/$E$5,NA())</f>
        <v/>
      </c>
      <c r="D2180" s="269">
        <f>IFERROR(100*$J2180/$J$5,NA())</f>
        <v/>
      </c>
      <c r="E2180" s="32">
        <f>IFERROR(IF(AND(ISNUMBER($A2180),N(IF(AND(AH!$U$12=1,2175+1=AH!$U$6),IF(AH!$U$4=0,"unavailable",INDEX('Market Data'!$AN$5:$AN$66,AH!$U$4)),IF(AH!$U$5=1,INDEX('Live History'!$B$5:$B$3004,$K2180),INDEX('AH History'!$D$5:$GG$1380,$K2180,AH!$U$10))))&gt;0),IF(AND(AH!$U$12=1,2175+1=AH!$U$6),IF(AH!$U$4=0,"unavailable",INDEX('Market Data'!$AN$5:$AN$66,AH!$U$4)),IF(AH!$U$5=1,INDEX('Live History'!$B$5:$B$3004,$K2180),INDEX('AH History'!$D$5:$GG$1380,$K2180,AH!$U$10))),NA()),NA())</f>
        <v/>
      </c>
      <c r="F2180" s="32">
        <f>IFERROR(IF(ISNUMBER($A2180),IF(AND(AH!$U$12=1,2175+1=AH!$U$6),IF(AH!$U$4=0,"unavailable",INDEX('Market Data'!$AO$5:$AO$66,AH!$U$4)),IF(AH!$U$5=1,INDEX('Live History'!$E$5:$E$3004,MATCH($A2180,'Live History'!$D$5:$D$3004,1)),INDEX('AH History'!$D$5:$GG$1380,$K2180,AH!$U$10+1))),NA()),NA())</f>
        <v/>
      </c>
      <c r="G2180" s="34">
        <f>IFERROR(IF(ISNUMBER($A2180),IF(AND(AH!$U$12=1,2175+1=AH!$U$6),IF(AH!$U$4=0,"unavailable",INDEX('Market Data'!$AK$5:$AK$66,AH!$U$4)),IF(AH!$U$5=1,INDEX('Live History'!$D$5:$D$3004,MATCH($A2180,'Live History'!$D$5:$D$3004,1)),INDEX('AH History'!$D$5:$GG$1380,$K2180,AH!$U$10+2))),NA()),NA())</f>
        <v/>
      </c>
      <c r="H2180" s="266">
        <f>IFERROR(IF(ISNUMBER($A2180),IF(AND(AH!$U$12=1,2175+1=AH!$U$6),IF(AH!$U$4=0,"unavailable",INDEX('Market Data'!$AP$5:$AP$66,AH!$U$4)),IF(AH!$U$5=1,INDEX('Live History'!$H$5:$H$3004,MATCH($A2180,'Live History'!$G$5:$G$3004,1)),INDEX('AH History'!$B$5:$B$1380,$K2180))),NA()),NA())</f>
        <v/>
      </c>
      <c r="I2180" s="34">
        <f>IFERROR(IF(ISNUMBER($A2180),IF(AND(AH!$U$12=1,2175+1=AH!$U$6),TODAY(),IF(AH!$U$5=1,INDEX('Live History'!$G$5:$G$3004,MATCH($A2180,'Live History'!$G$5:$G$3004,1)),INDEX('AH History'!$C$5:$C$1380,$K2180))),NA()),NA())</f>
        <v/>
      </c>
      <c r="J2180" s="32">
        <f>IFERROR(IF(AND($F2180&gt;0,$H2180&gt;0,$A2180-$G2180&lt;=10,$A2180-$I2180&lt;=5,$G2180&gt;0,$I2180&gt;0),$F2180*$H2180,NA()),NA())</f>
        <v/>
      </c>
      <c r="K2180" s="15">
        <f>IF($A2180="","",IF(AH!$U$5=1,IFERROR(MATCH($A2180,'Live History'!$A$5:$A$3004,0),0),AH!$U$7+2175))</f>
        <v/>
      </c>
      <c r="L2180" s="15">
        <f>IF(ISNUMBER(A2180),TEXT(A2180,"dd-mmm-yy"),"")</f>
        <v/>
      </c>
    </row>
    <row r="2181">
      <c r="A2181" s="14">
        <f>IF(OR(AH!$U$4=0,2176+1&gt;AH!$U$6,AND(AH!$M$5="Bloomberg",AH!$U$5=0)),"",IFERROR(IF(AND(AH!$U$12=1,2176+1=AH!$U$6),TODAY(),IF(AH!$U$5=1,INDEX('Live History'!$A$5:$A$3004,AH!$U$7+2176),INDEX('AH History'!$A$5:$A$1380,AH!$U$7+2176))),""))</f>
        <v/>
      </c>
      <c r="B2181" s="33">
        <f>IFERROR(IF(AH!$U$11=1,NA(),$J2181/$E2181-1),NA())</f>
        <v/>
      </c>
      <c r="C2181" s="269">
        <f>IFERROR(100*$E2181/$E$5,NA())</f>
        <v/>
      </c>
      <c r="D2181" s="269">
        <f>IFERROR(100*$J2181/$J$5,NA())</f>
        <v/>
      </c>
      <c r="E2181" s="32">
        <f>IFERROR(IF(AND(ISNUMBER($A2181),N(IF(AND(AH!$U$12=1,2176+1=AH!$U$6),IF(AH!$U$4=0,"unavailable",INDEX('Market Data'!$AN$5:$AN$66,AH!$U$4)),IF(AH!$U$5=1,INDEX('Live History'!$B$5:$B$3004,$K2181),INDEX('AH History'!$D$5:$GG$1380,$K2181,AH!$U$10))))&gt;0),IF(AND(AH!$U$12=1,2176+1=AH!$U$6),IF(AH!$U$4=0,"unavailable",INDEX('Market Data'!$AN$5:$AN$66,AH!$U$4)),IF(AH!$U$5=1,INDEX('Live History'!$B$5:$B$3004,$K2181),INDEX('AH History'!$D$5:$GG$1380,$K2181,AH!$U$10))),NA()),NA())</f>
        <v/>
      </c>
      <c r="F2181" s="32">
        <f>IFERROR(IF(ISNUMBER($A2181),IF(AND(AH!$U$12=1,2176+1=AH!$U$6),IF(AH!$U$4=0,"unavailable",INDEX('Market Data'!$AO$5:$AO$66,AH!$U$4)),IF(AH!$U$5=1,INDEX('Live History'!$E$5:$E$3004,MATCH($A2181,'Live History'!$D$5:$D$3004,1)),INDEX('AH History'!$D$5:$GG$1380,$K2181,AH!$U$10+1))),NA()),NA())</f>
        <v/>
      </c>
      <c r="G2181" s="34">
        <f>IFERROR(IF(ISNUMBER($A2181),IF(AND(AH!$U$12=1,2176+1=AH!$U$6),IF(AH!$U$4=0,"unavailable",INDEX('Market Data'!$AK$5:$AK$66,AH!$U$4)),IF(AH!$U$5=1,INDEX('Live History'!$D$5:$D$3004,MATCH($A2181,'Live History'!$D$5:$D$3004,1)),INDEX('AH History'!$D$5:$GG$1380,$K2181,AH!$U$10+2))),NA()),NA())</f>
        <v/>
      </c>
      <c r="H2181" s="266">
        <f>IFERROR(IF(ISNUMBER($A2181),IF(AND(AH!$U$12=1,2176+1=AH!$U$6),IF(AH!$U$4=0,"unavailable",INDEX('Market Data'!$AP$5:$AP$66,AH!$U$4)),IF(AH!$U$5=1,INDEX('Live History'!$H$5:$H$3004,MATCH($A2181,'Live History'!$G$5:$G$3004,1)),INDEX('AH History'!$B$5:$B$1380,$K2181))),NA()),NA())</f>
        <v/>
      </c>
      <c r="I2181" s="34">
        <f>IFERROR(IF(ISNUMBER($A2181),IF(AND(AH!$U$12=1,2176+1=AH!$U$6),TODAY(),IF(AH!$U$5=1,INDEX('Live History'!$G$5:$G$3004,MATCH($A2181,'Live History'!$G$5:$G$3004,1)),INDEX('AH History'!$C$5:$C$1380,$K2181))),NA()),NA())</f>
        <v/>
      </c>
      <c r="J2181" s="32">
        <f>IFERROR(IF(AND($F2181&gt;0,$H2181&gt;0,$A2181-$G2181&lt;=10,$A2181-$I2181&lt;=5,$G2181&gt;0,$I2181&gt;0),$F2181*$H2181,NA()),NA())</f>
        <v/>
      </c>
      <c r="K2181" s="15">
        <f>IF($A2181="","",IF(AH!$U$5=1,IFERROR(MATCH($A2181,'Live History'!$A$5:$A$3004,0),0),AH!$U$7+2176))</f>
        <v/>
      </c>
      <c r="L2181" s="15">
        <f>IF(ISNUMBER(A2181),TEXT(A2181,"dd-mmm-yy"),"")</f>
        <v/>
      </c>
    </row>
    <row r="2182">
      <c r="A2182" s="14">
        <f>IF(OR(AH!$U$4=0,2177+1&gt;AH!$U$6,AND(AH!$M$5="Bloomberg",AH!$U$5=0)),"",IFERROR(IF(AND(AH!$U$12=1,2177+1=AH!$U$6),TODAY(),IF(AH!$U$5=1,INDEX('Live History'!$A$5:$A$3004,AH!$U$7+2177),INDEX('AH History'!$A$5:$A$1380,AH!$U$7+2177))),""))</f>
        <v/>
      </c>
      <c r="B2182" s="33">
        <f>IFERROR(IF(AH!$U$11=1,NA(),$J2182/$E2182-1),NA())</f>
        <v/>
      </c>
      <c r="C2182" s="269">
        <f>IFERROR(100*$E2182/$E$5,NA())</f>
        <v/>
      </c>
      <c r="D2182" s="269">
        <f>IFERROR(100*$J2182/$J$5,NA())</f>
        <v/>
      </c>
      <c r="E2182" s="32">
        <f>IFERROR(IF(AND(ISNUMBER($A2182),N(IF(AND(AH!$U$12=1,2177+1=AH!$U$6),IF(AH!$U$4=0,"unavailable",INDEX('Market Data'!$AN$5:$AN$66,AH!$U$4)),IF(AH!$U$5=1,INDEX('Live History'!$B$5:$B$3004,$K2182),INDEX('AH History'!$D$5:$GG$1380,$K2182,AH!$U$10))))&gt;0),IF(AND(AH!$U$12=1,2177+1=AH!$U$6),IF(AH!$U$4=0,"unavailable",INDEX('Market Data'!$AN$5:$AN$66,AH!$U$4)),IF(AH!$U$5=1,INDEX('Live History'!$B$5:$B$3004,$K2182),INDEX('AH History'!$D$5:$GG$1380,$K2182,AH!$U$10))),NA()),NA())</f>
        <v/>
      </c>
      <c r="F2182" s="32">
        <f>IFERROR(IF(ISNUMBER($A2182),IF(AND(AH!$U$12=1,2177+1=AH!$U$6),IF(AH!$U$4=0,"unavailable",INDEX('Market Data'!$AO$5:$AO$66,AH!$U$4)),IF(AH!$U$5=1,INDEX('Live History'!$E$5:$E$3004,MATCH($A2182,'Live History'!$D$5:$D$3004,1)),INDEX('AH History'!$D$5:$GG$1380,$K2182,AH!$U$10+1))),NA()),NA())</f>
        <v/>
      </c>
      <c r="G2182" s="34">
        <f>IFERROR(IF(ISNUMBER($A2182),IF(AND(AH!$U$12=1,2177+1=AH!$U$6),IF(AH!$U$4=0,"unavailable",INDEX('Market Data'!$AK$5:$AK$66,AH!$U$4)),IF(AH!$U$5=1,INDEX('Live History'!$D$5:$D$3004,MATCH($A2182,'Live History'!$D$5:$D$3004,1)),INDEX('AH History'!$D$5:$GG$1380,$K2182,AH!$U$10+2))),NA()),NA())</f>
        <v/>
      </c>
      <c r="H2182" s="266">
        <f>IFERROR(IF(ISNUMBER($A2182),IF(AND(AH!$U$12=1,2177+1=AH!$U$6),IF(AH!$U$4=0,"unavailable",INDEX('Market Data'!$AP$5:$AP$66,AH!$U$4)),IF(AH!$U$5=1,INDEX('Live History'!$H$5:$H$3004,MATCH($A2182,'Live History'!$G$5:$G$3004,1)),INDEX('AH History'!$B$5:$B$1380,$K2182))),NA()),NA())</f>
        <v/>
      </c>
      <c r="I2182" s="34">
        <f>IFERROR(IF(ISNUMBER($A2182),IF(AND(AH!$U$12=1,2177+1=AH!$U$6),TODAY(),IF(AH!$U$5=1,INDEX('Live History'!$G$5:$G$3004,MATCH($A2182,'Live History'!$G$5:$G$3004,1)),INDEX('AH History'!$C$5:$C$1380,$K2182))),NA()),NA())</f>
        <v/>
      </c>
      <c r="J2182" s="32">
        <f>IFERROR(IF(AND($F2182&gt;0,$H2182&gt;0,$A2182-$G2182&lt;=10,$A2182-$I2182&lt;=5,$G2182&gt;0,$I2182&gt;0),$F2182*$H2182,NA()),NA())</f>
        <v/>
      </c>
      <c r="K2182" s="15">
        <f>IF($A2182="","",IF(AH!$U$5=1,IFERROR(MATCH($A2182,'Live History'!$A$5:$A$3004,0),0),AH!$U$7+2177))</f>
        <v/>
      </c>
      <c r="L2182" s="15">
        <f>IF(ISNUMBER(A2182),TEXT(A2182,"dd-mmm-yy"),"")</f>
        <v/>
      </c>
    </row>
    <row r="2183">
      <c r="A2183" s="14">
        <f>IF(OR(AH!$U$4=0,2178+1&gt;AH!$U$6,AND(AH!$M$5="Bloomberg",AH!$U$5=0)),"",IFERROR(IF(AND(AH!$U$12=1,2178+1=AH!$U$6),TODAY(),IF(AH!$U$5=1,INDEX('Live History'!$A$5:$A$3004,AH!$U$7+2178),INDEX('AH History'!$A$5:$A$1380,AH!$U$7+2178))),""))</f>
        <v/>
      </c>
      <c r="B2183" s="33">
        <f>IFERROR(IF(AH!$U$11=1,NA(),$J2183/$E2183-1),NA())</f>
        <v/>
      </c>
      <c r="C2183" s="269">
        <f>IFERROR(100*$E2183/$E$5,NA())</f>
        <v/>
      </c>
      <c r="D2183" s="269">
        <f>IFERROR(100*$J2183/$J$5,NA())</f>
        <v/>
      </c>
      <c r="E2183" s="32">
        <f>IFERROR(IF(AND(ISNUMBER($A2183),N(IF(AND(AH!$U$12=1,2178+1=AH!$U$6),IF(AH!$U$4=0,"unavailable",INDEX('Market Data'!$AN$5:$AN$66,AH!$U$4)),IF(AH!$U$5=1,INDEX('Live History'!$B$5:$B$3004,$K2183),INDEX('AH History'!$D$5:$GG$1380,$K2183,AH!$U$10))))&gt;0),IF(AND(AH!$U$12=1,2178+1=AH!$U$6),IF(AH!$U$4=0,"unavailable",INDEX('Market Data'!$AN$5:$AN$66,AH!$U$4)),IF(AH!$U$5=1,INDEX('Live History'!$B$5:$B$3004,$K2183),INDEX('AH History'!$D$5:$GG$1380,$K2183,AH!$U$10))),NA()),NA())</f>
        <v/>
      </c>
      <c r="F2183" s="32">
        <f>IFERROR(IF(ISNUMBER($A2183),IF(AND(AH!$U$12=1,2178+1=AH!$U$6),IF(AH!$U$4=0,"unavailable",INDEX('Market Data'!$AO$5:$AO$66,AH!$U$4)),IF(AH!$U$5=1,INDEX('Live History'!$E$5:$E$3004,MATCH($A2183,'Live History'!$D$5:$D$3004,1)),INDEX('AH History'!$D$5:$GG$1380,$K2183,AH!$U$10+1))),NA()),NA())</f>
        <v/>
      </c>
      <c r="G2183" s="34">
        <f>IFERROR(IF(ISNUMBER($A2183),IF(AND(AH!$U$12=1,2178+1=AH!$U$6),IF(AH!$U$4=0,"unavailable",INDEX('Market Data'!$AK$5:$AK$66,AH!$U$4)),IF(AH!$U$5=1,INDEX('Live History'!$D$5:$D$3004,MATCH($A2183,'Live History'!$D$5:$D$3004,1)),INDEX('AH History'!$D$5:$GG$1380,$K2183,AH!$U$10+2))),NA()),NA())</f>
        <v/>
      </c>
      <c r="H2183" s="266">
        <f>IFERROR(IF(ISNUMBER($A2183),IF(AND(AH!$U$12=1,2178+1=AH!$U$6),IF(AH!$U$4=0,"unavailable",INDEX('Market Data'!$AP$5:$AP$66,AH!$U$4)),IF(AH!$U$5=1,INDEX('Live History'!$H$5:$H$3004,MATCH($A2183,'Live History'!$G$5:$G$3004,1)),INDEX('AH History'!$B$5:$B$1380,$K2183))),NA()),NA())</f>
        <v/>
      </c>
      <c r="I2183" s="34">
        <f>IFERROR(IF(ISNUMBER($A2183),IF(AND(AH!$U$12=1,2178+1=AH!$U$6),TODAY(),IF(AH!$U$5=1,INDEX('Live History'!$G$5:$G$3004,MATCH($A2183,'Live History'!$G$5:$G$3004,1)),INDEX('AH History'!$C$5:$C$1380,$K2183))),NA()),NA())</f>
        <v/>
      </c>
      <c r="J2183" s="32">
        <f>IFERROR(IF(AND($F2183&gt;0,$H2183&gt;0,$A2183-$G2183&lt;=10,$A2183-$I2183&lt;=5,$G2183&gt;0,$I2183&gt;0),$F2183*$H2183,NA()),NA())</f>
        <v/>
      </c>
      <c r="K2183" s="15">
        <f>IF($A2183="","",IF(AH!$U$5=1,IFERROR(MATCH($A2183,'Live History'!$A$5:$A$3004,0),0),AH!$U$7+2178))</f>
        <v/>
      </c>
      <c r="L2183" s="15">
        <f>IF(ISNUMBER(A2183),TEXT(A2183,"dd-mmm-yy"),"")</f>
        <v/>
      </c>
    </row>
    <row r="2184">
      <c r="A2184" s="14">
        <f>IF(OR(AH!$U$4=0,2179+1&gt;AH!$U$6,AND(AH!$M$5="Bloomberg",AH!$U$5=0)),"",IFERROR(IF(AND(AH!$U$12=1,2179+1=AH!$U$6),TODAY(),IF(AH!$U$5=1,INDEX('Live History'!$A$5:$A$3004,AH!$U$7+2179),INDEX('AH History'!$A$5:$A$1380,AH!$U$7+2179))),""))</f>
        <v/>
      </c>
      <c r="B2184" s="33">
        <f>IFERROR(IF(AH!$U$11=1,NA(),$J2184/$E2184-1),NA())</f>
        <v/>
      </c>
      <c r="C2184" s="269">
        <f>IFERROR(100*$E2184/$E$5,NA())</f>
        <v/>
      </c>
      <c r="D2184" s="269">
        <f>IFERROR(100*$J2184/$J$5,NA())</f>
        <v/>
      </c>
      <c r="E2184" s="32">
        <f>IFERROR(IF(AND(ISNUMBER($A2184),N(IF(AND(AH!$U$12=1,2179+1=AH!$U$6),IF(AH!$U$4=0,"unavailable",INDEX('Market Data'!$AN$5:$AN$66,AH!$U$4)),IF(AH!$U$5=1,INDEX('Live History'!$B$5:$B$3004,$K2184),INDEX('AH History'!$D$5:$GG$1380,$K2184,AH!$U$10))))&gt;0),IF(AND(AH!$U$12=1,2179+1=AH!$U$6),IF(AH!$U$4=0,"unavailable",INDEX('Market Data'!$AN$5:$AN$66,AH!$U$4)),IF(AH!$U$5=1,INDEX('Live History'!$B$5:$B$3004,$K2184),INDEX('AH History'!$D$5:$GG$1380,$K2184,AH!$U$10))),NA()),NA())</f>
        <v/>
      </c>
      <c r="F2184" s="32">
        <f>IFERROR(IF(ISNUMBER($A2184),IF(AND(AH!$U$12=1,2179+1=AH!$U$6),IF(AH!$U$4=0,"unavailable",INDEX('Market Data'!$AO$5:$AO$66,AH!$U$4)),IF(AH!$U$5=1,INDEX('Live History'!$E$5:$E$3004,MATCH($A2184,'Live History'!$D$5:$D$3004,1)),INDEX('AH History'!$D$5:$GG$1380,$K2184,AH!$U$10+1))),NA()),NA())</f>
        <v/>
      </c>
      <c r="G2184" s="34">
        <f>IFERROR(IF(ISNUMBER($A2184),IF(AND(AH!$U$12=1,2179+1=AH!$U$6),IF(AH!$U$4=0,"unavailable",INDEX('Market Data'!$AK$5:$AK$66,AH!$U$4)),IF(AH!$U$5=1,INDEX('Live History'!$D$5:$D$3004,MATCH($A2184,'Live History'!$D$5:$D$3004,1)),INDEX('AH History'!$D$5:$GG$1380,$K2184,AH!$U$10+2))),NA()),NA())</f>
        <v/>
      </c>
      <c r="H2184" s="266">
        <f>IFERROR(IF(ISNUMBER($A2184),IF(AND(AH!$U$12=1,2179+1=AH!$U$6),IF(AH!$U$4=0,"unavailable",INDEX('Market Data'!$AP$5:$AP$66,AH!$U$4)),IF(AH!$U$5=1,INDEX('Live History'!$H$5:$H$3004,MATCH($A2184,'Live History'!$G$5:$G$3004,1)),INDEX('AH History'!$B$5:$B$1380,$K2184))),NA()),NA())</f>
        <v/>
      </c>
      <c r="I2184" s="34">
        <f>IFERROR(IF(ISNUMBER($A2184),IF(AND(AH!$U$12=1,2179+1=AH!$U$6),TODAY(),IF(AH!$U$5=1,INDEX('Live History'!$G$5:$G$3004,MATCH($A2184,'Live History'!$G$5:$G$3004,1)),INDEX('AH History'!$C$5:$C$1380,$K2184))),NA()),NA())</f>
        <v/>
      </c>
      <c r="J2184" s="32">
        <f>IFERROR(IF(AND($F2184&gt;0,$H2184&gt;0,$A2184-$G2184&lt;=10,$A2184-$I2184&lt;=5,$G2184&gt;0,$I2184&gt;0),$F2184*$H2184,NA()),NA())</f>
        <v/>
      </c>
      <c r="K2184" s="15">
        <f>IF($A2184="","",IF(AH!$U$5=1,IFERROR(MATCH($A2184,'Live History'!$A$5:$A$3004,0),0),AH!$U$7+2179))</f>
        <v/>
      </c>
      <c r="L2184" s="15">
        <f>IF(ISNUMBER(A2184),TEXT(A2184,"dd-mmm-yy"),"")</f>
        <v/>
      </c>
    </row>
    <row r="2185">
      <c r="A2185" s="14">
        <f>IF(OR(AH!$U$4=0,2180+1&gt;AH!$U$6,AND(AH!$M$5="Bloomberg",AH!$U$5=0)),"",IFERROR(IF(AND(AH!$U$12=1,2180+1=AH!$U$6),TODAY(),IF(AH!$U$5=1,INDEX('Live History'!$A$5:$A$3004,AH!$U$7+2180),INDEX('AH History'!$A$5:$A$1380,AH!$U$7+2180))),""))</f>
        <v/>
      </c>
      <c r="B2185" s="33">
        <f>IFERROR(IF(AH!$U$11=1,NA(),$J2185/$E2185-1),NA())</f>
        <v/>
      </c>
      <c r="C2185" s="269">
        <f>IFERROR(100*$E2185/$E$5,NA())</f>
        <v/>
      </c>
      <c r="D2185" s="269">
        <f>IFERROR(100*$J2185/$J$5,NA())</f>
        <v/>
      </c>
      <c r="E2185" s="32">
        <f>IFERROR(IF(AND(ISNUMBER($A2185),N(IF(AND(AH!$U$12=1,2180+1=AH!$U$6),IF(AH!$U$4=0,"unavailable",INDEX('Market Data'!$AN$5:$AN$66,AH!$U$4)),IF(AH!$U$5=1,INDEX('Live History'!$B$5:$B$3004,$K2185),INDEX('AH History'!$D$5:$GG$1380,$K2185,AH!$U$10))))&gt;0),IF(AND(AH!$U$12=1,2180+1=AH!$U$6),IF(AH!$U$4=0,"unavailable",INDEX('Market Data'!$AN$5:$AN$66,AH!$U$4)),IF(AH!$U$5=1,INDEX('Live History'!$B$5:$B$3004,$K2185),INDEX('AH History'!$D$5:$GG$1380,$K2185,AH!$U$10))),NA()),NA())</f>
        <v/>
      </c>
      <c r="F2185" s="32">
        <f>IFERROR(IF(ISNUMBER($A2185),IF(AND(AH!$U$12=1,2180+1=AH!$U$6),IF(AH!$U$4=0,"unavailable",INDEX('Market Data'!$AO$5:$AO$66,AH!$U$4)),IF(AH!$U$5=1,INDEX('Live History'!$E$5:$E$3004,MATCH($A2185,'Live History'!$D$5:$D$3004,1)),INDEX('AH History'!$D$5:$GG$1380,$K2185,AH!$U$10+1))),NA()),NA())</f>
        <v/>
      </c>
      <c r="G2185" s="34">
        <f>IFERROR(IF(ISNUMBER($A2185),IF(AND(AH!$U$12=1,2180+1=AH!$U$6),IF(AH!$U$4=0,"unavailable",INDEX('Market Data'!$AK$5:$AK$66,AH!$U$4)),IF(AH!$U$5=1,INDEX('Live History'!$D$5:$D$3004,MATCH($A2185,'Live History'!$D$5:$D$3004,1)),INDEX('AH History'!$D$5:$GG$1380,$K2185,AH!$U$10+2))),NA()),NA())</f>
        <v/>
      </c>
      <c r="H2185" s="266">
        <f>IFERROR(IF(ISNUMBER($A2185),IF(AND(AH!$U$12=1,2180+1=AH!$U$6),IF(AH!$U$4=0,"unavailable",INDEX('Market Data'!$AP$5:$AP$66,AH!$U$4)),IF(AH!$U$5=1,INDEX('Live History'!$H$5:$H$3004,MATCH($A2185,'Live History'!$G$5:$G$3004,1)),INDEX('AH History'!$B$5:$B$1380,$K2185))),NA()),NA())</f>
        <v/>
      </c>
      <c r="I2185" s="34">
        <f>IFERROR(IF(ISNUMBER($A2185),IF(AND(AH!$U$12=1,2180+1=AH!$U$6),TODAY(),IF(AH!$U$5=1,INDEX('Live History'!$G$5:$G$3004,MATCH($A2185,'Live History'!$G$5:$G$3004,1)),INDEX('AH History'!$C$5:$C$1380,$K2185))),NA()),NA())</f>
        <v/>
      </c>
      <c r="J2185" s="32">
        <f>IFERROR(IF(AND($F2185&gt;0,$H2185&gt;0,$A2185-$G2185&lt;=10,$A2185-$I2185&lt;=5,$G2185&gt;0,$I2185&gt;0),$F2185*$H2185,NA()),NA())</f>
        <v/>
      </c>
      <c r="K2185" s="15">
        <f>IF($A2185="","",IF(AH!$U$5=1,IFERROR(MATCH($A2185,'Live History'!$A$5:$A$3004,0),0),AH!$U$7+2180))</f>
        <v/>
      </c>
      <c r="L2185" s="15">
        <f>IF(ISNUMBER(A2185),TEXT(A2185,"dd-mmm-yy"),"")</f>
        <v/>
      </c>
    </row>
    <row r="2186">
      <c r="A2186" s="14">
        <f>IF(OR(AH!$U$4=0,2181+1&gt;AH!$U$6,AND(AH!$M$5="Bloomberg",AH!$U$5=0)),"",IFERROR(IF(AND(AH!$U$12=1,2181+1=AH!$U$6),TODAY(),IF(AH!$U$5=1,INDEX('Live History'!$A$5:$A$3004,AH!$U$7+2181),INDEX('AH History'!$A$5:$A$1380,AH!$U$7+2181))),""))</f>
        <v/>
      </c>
      <c r="B2186" s="33">
        <f>IFERROR(IF(AH!$U$11=1,NA(),$J2186/$E2186-1),NA())</f>
        <v/>
      </c>
      <c r="C2186" s="269">
        <f>IFERROR(100*$E2186/$E$5,NA())</f>
        <v/>
      </c>
      <c r="D2186" s="269">
        <f>IFERROR(100*$J2186/$J$5,NA())</f>
        <v/>
      </c>
      <c r="E2186" s="32">
        <f>IFERROR(IF(AND(ISNUMBER($A2186),N(IF(AND(AH!$U$12=1,2181+1=AH!$U$6),IF(AH!$U$4=0,"unavailable",INDEX('Market Data'!$AN$5:$AN$66,AH!$U$4)),IF(AH!$U$5=1,INDEX('Live History'!$B$5:$B$3004,$K2186),INDEX('AH History'!$D$5:$GG$1380,$K2186,AH!$U$10))))&gt;0),IF(AND(AH!$U$12=1,2181+1=AH!$U$6),IF(AH!$U$4=0,"unavailable",INDEX('Market Data'!$AN$5:$AN$66,AH!$U$4)),IF(AH!$U$5=1,INDEX('Live History'!$B$5:$B$3004,$K2186),INDEX('AH History'!$D$5:$GG$1380,$K2186,AH!$U$10))),NA()),NA())</f>
        <v/>
      </c>
      <c r="F2186" s="32">
        <f>IFERROR(IF(ISNUMBER($A2186),IF(AND(AH!$U$12=1,2181+1=AH!$U$6),IF(AH!$U$4=0,"unavailable",INDEX('Market Data'!$AO$5:$AO$66,AH!$U$4)),IF(AH!$U$5=1,INDEX('Live History'!$E$5:$E$3004,MATCH($A2186,'Live History'!$D$5:$D$3004,1)),INDEX('AH History'!$D$5:$GG$1380,$K2186,AH!$U$10+1))),NA()),NA())</f>
        <v/>
      </c>
      <c r="G2186" s="34">
        <f>IFERROR(IF(ISNUMBER($A2186),IF(AND(AH!$U$12=1,2181+1=AH!$U$6),IF(AH!$U$4=0,"unavailable",INDEX('Market Data'!$AK$5:$AK$66,AH!$U$4)),IF(AH!$U$5=1,INDEX('Live History'!$D$5:$D$3004,MATCH($A2186,'Live History'!$D$5:$D$3004,1)),INDEX('AH History'!$D$5:$GG$1380,$K2186,AH!$U$10+2))),NA()),NA())</f>
        <v/>
      </c>
      <c r="H2186" s="266">
        <f>IFERROR(IF(ISNUMBER($A2186),IF(AND(AH!$U$12=1,2181+1=AH!$U$6),IF(AH!$U$4=0,"unavailable",INDEX('Market Data'!$AP$5:$AP$66,AH!$U$4)),IF(AH!$U$5=1,INDEX('Live History'!$H$5:$H$3004,MATCH($A2186,'Live History'!$G$5:$G$3004,1)),INDEX('AH History'!$B$5:$B$1380,$K2186))),NA()),NA())</f>
        <v/>
      </c>
      <c r="I2186" s="34">
        <f>IFERROR(IF(ISNUMBER($A2186),IF(AND(AH!$U$12=1,2181+1=AH!$U$6),TODAY(),IF(AH!$U$5=1,INDEX('Live History'!$G$5:$G$3004,MATCH($A2186,'Live History'!$G$5:$G$3004,1)),INDEX('AH History'!$C$5:$C$1380,$K2186))),NA()),NA())</f>
        <v/>
      </c>
      <c r="J2186" s="32">
        <f>IFERROR(IF(AND($F2186&gt;0,$H2186&gt;0,$A2186-$G2186&lt;=10,$A2186-$I2186&lt;=5,$G2186&gt;0,$I2186&gt;0),$F2186*$H2186,NA()),NA())</f>
        <v/>
      </c>
      <c r="K2186" s="15">
        <f>IF($A2186="","",IF(AH!$U$5=1,IFERROR(MATCH($A2186,'Live History'!$A$5:$A$3004,0),0),AH!$U$7+2181))</f>
        <v/>
      </c>
      <c r="L2186" s="15">
        <f>IF(ISNUMBER(A2186),TEXT(A2186,"dd-mmm-yy"),"")</f>
        <v/>
      </c>
    </row>
    <row r="2187">
      <c r="A2187" s="14">
        <f>IF(OR(AH!$U$4=0,2182+1&gt;AH!$U$6,AND(AH!$M$5="Bloomberg",AH!$U$5=0)),"",IFERROR(IF(AND(AH!$U$12=1,2182+1=AH!$U$6),TODAY(),IF(AH!$U$5=1,INDEX('Live History'!$A$5:$A$3004,AH!$U$7+2182),INDEX('AH History'!$A$5:$A$1380,AH!$U$7+2182))),""))</f>
        <v/>
      </c>
      <c r="B2187" s="33">
        <f>IFERROR(IF(AH!$U$11=1,NA(),$J2187/$E2187-1),NA())</f>
        <v/>
      </c>
      <c r="C2187" s="269">
        <f>IFERROR(100*$E2187/$E$5,NA())</f>
        <v/>
      </c>
      <c r="D2187" s="269">
        <f>IFERROR(100*$J2187/$J$5,NA())</f>
        <v/>
      </c>
      <c r="E2187" s="32">
        <f>IFERROR(IF(AND(ISNUMBER($A2187),N(IF(AND(AH!$U$12=1,2182+1=AH!$U$6),IF(AH!$U$4=0,"unavailable",INDEX('Market Data'!$AN$5:$AN$66,AH!$U$4)),IF(AH!$U$5=1,INDEX('Live History'!$B$5:$B$3004,$K2187),INDEX('AH History'!$D$5:$GG$1380,$K2187,AH!$U$10))))&gt;0),IF(AND(AH!$U$12=1,2182+1=AH!$U$6),IF(AH!$U$4=0,"unavailable",INDEX('Market Data'!$AN$5:$AN$66,AH!$U$4)),IF(AH!$U$5=1,INDEX('Live History'!$B$5:$B$3004,$K2187),INDEX('AH History'!$D$5:$GG$1380,$K2187,AH!$U$10))),NA()),NA())</f>
        <v/>
      </c>
      <c r="F2187" s="32">
        <f>IFERROR(IF(ISNUMBER($A2187),IF(AND(AH!$U$12=1,2182+1=AH!$U$6),IF(AH!$U$4=0,"unavailable",INDEX('Market Data'!$AO$5:$AO$66,AH!$U$4)),IF(AH!$U$5=1,INDEX('Live History'!$E$5:$E$3004,MATCH($A2187,'Live History'!$D$5:$D$3004,1)),INDEX('AH History'!$D$5:$GG$1380,$K2187,AH!$U$10+1))),NA()),NA())</f>
        <v/>
      </c>
      <c r="G2187" s="34">
        <f>IFERROR(IF(ISNUMBER($A2187),IF(AND(AH!$U$12=1,2182+1=AH!$U$6),IF(AH!$U$4=0,"unavailable",INDEX('Market Data'!$AK$5:$AK$66,AH!$U$4)),IF(AH!$U$5=1,INDEX('Live History'!$D$5:$D$3004,MATCH($A2187,'Live History'!$D$5:$D$3004,1)),INDEX('AH History'!$D$5:$GG$1380,$K2187,AH!$U$10+2))),NA()),NA())</f>
        <v/>
      </c>
      <c r="H2187" s="266">
        <f>IFERROR(IF(ISNUMBER($A2187),IF(AND(AH!$U$12=1,2182+1=AH!$U$6),IF(AH!$U$4=0,"unavailable",INDEX('Market Data'!$AP$5:$AP$66,AH!$U$4)),IF(AH!$U$5=1,INDEX('Live History'!$H$5:$H$3004,MATCH($A2187,'Live History'!$G$5:$G$3004,1)),INDEX('AH History'!$B$5:$B$1380,$K2187))),NA()),NA())</f>
        <v/>
      </c>
      <c r="I2187" s="34">
        <f>IFERROR(IF(ISNUMBER($A2187),IF(AND(AH!$U$12=1,2182+1=AH!$U$6),TODAY(),IF(AH!$U$5=1,INDEX('Live History'!$G$5:$G$3004,MATCH($A2187,'Live History'!$G$5:$G$3004,1)),INDEX('AH History'!$C$5:$C$1380,$K2187))),NA()),NA())</f>
        <v/>
      </c>
      <c r="J2187" s="32">
        <f>IFERROR(IF(AND($F2187&gt;0,$H2187&gt;0,$A2187-$G2187&lt;=10,$A2187-$I2187&lt;=5,$G2187&gt;0,$I2187&gt;0),$F2187*$H2187,NA()),NA())</f>
        <v/>
      </c>
      <c r="K2187" s="15">
        <f>IF($A2187="","",IF(AH!$U$5=1,IFERROR(MATCH($A2187,'Live History'!$A$5:$A$3004,0),0),AH!$U$7+2182))</f>
        <v/>
      </c>
      <c r="L2187" s="15">
        <f>IF(ISNUMBER(A2187),TEXT(A2187,"dd-mmm-yy"),"")</f>
        <v/>
      </c>
    </row>
    <row r="2188">
      <c r="A2188" s="14">
        <f>IF(OR(AH!$U$4=0,2183+1&gt;AH!$U$6,AND(AH!$M$5="Bloomberg",AH!$U$5=0)),"",IFERROR(IF(AND(AH!$U$12=1,2183+1=AH!$U$6),TODAY(),IF(AH!$U$5=1,INDEX('Live History'!$A$5:$A$3004,AH!$U$7+2183),INDEX('AH History'!$A$5:$A$1380,AH!$U$7+2183))),""))</f>
        <v/>
      </c>
      <c r="B2188" s="33">
        <f>IFERROR(IF(AH!$U$11=1,NA(),$J2188/$E2188-1),NA())</f>
        <v/>
      </c>
      <c r="C2188" s="269">
        <f>IFERROR(100*$E2188/$E$5,NA())</f>
        <v/>
      </c>
      <c r="D2188" s="269">
        <f>IFERROR(100*$J2188/$J$5,NA())</f>
        <v/>
      </c>
      <c r="E2188" s="32">
        <f>IFERROR(IF(AND(ISNUMBER($A2188),N(IF(AND(AH!$U$12=1,2183+1=AH!$U$6),IF(AH!$U$4=0,"unavailable",INDEX('Market Data'!$AN$5:$AN$66,AH!$U$4)),IF(AH!$U$5=1,INDEX('Live History'!$B$5:$B$3004,$K2188),INDEX('AH History'!$D$5:$GG$1380,$K2188,AH!$U$10))))&gt;0),IF(AND(AH!$U$12=1,2183+1=AH!$U$6),IF(AH!$U$4=0,"unavailable",INDEX('Market Data'!$AN$5:$AN$66,AH!$U$4)),IF(AH!$U$5=1,INDEX('Live History'!$B$5:$B$3004,$K2188),INDEX('AH History'!$D$5:$GG$1380,$K2188,AH!$U$10))),NA()),NA())</f>
        <v/>
      </c>
      <c r="F2188" s="32">
        <f>IFERROR(IF(ISNUMBER($A2188),IF(AND(AH!$U$12=1,2183+1=AH!$U$6),IF(AH!$U$4=0,"unavailable",INDEX('Market Data'!$AO$5:$AO$66,AH!$U$4)),IF(AH!$U$5=1,INDEX('Live History'!$E$5:$E$3004,MATCH($A2188,'Live History'!$D$5:$D$3004,1)),INDEX('AH History'!$D$5:$GG$1380,$K2188,AH!$U$10+1))),NA()),NA())</f>
        <v/>
      </c>
      <c r="G2188" s="34">
        <f>IFERROR(IF(ISNUMBER($A2188),IF(AND(AH!$U$12=1,2183+1=AH!$U$6),IF(AH!$U$4=0,"unavailable",INDEX('Market Data'!$AK$5:$AK$66,AH!$U$4)),IF(AH!$U$5=1,INDEX('Live History'!$D$5:$D$3004,MATCH($A2188,'Live History'!$D$5:$D$3004,1)),INDEX('AH History'!$D$5:$GG$1380,$K2188,AH!$U$10+2))),NA()),NA())</f>
        <v/>
      </c>
      <c r="H2188" s="266">
        <f>IFERROR(IF(ISNUMBER($A2188),IF(AND(AH!$U$12=1,2183+1=AH!$U$6),IF(AH!$U$4=0,"unavailable",INDEX('Market Data'!$AP$5:$AP$66,AH!$U$4)),IF(AH!$U$5=1,INDEX('Live History'!$H$5:$H$3004,MATCH($A2188,'Live History'!$G$5:$G$3004,1)),INDEX('AH History'!$B$5:$B$1380,$K2188))),NA()),NA())</f>
        <v/>
      </c>
      <c r="I2188" s="34">
        <f>IFERROR(IF(ISNUMBER($A2188),IF(AND(AH!$U$12=1,2183+1=AH!$U$6),TODAY(),IF(AH!$U$5=1,INDEX('Live History'!$G$5:$G$3004,MATCH($A2188,'Live History'!$G$5:$G$3004,1)),INDEX('AH History'!$C$5:$C$1380,$K2188))),NA()),NA())</f>
        <v/>
      </c>
      <c r="J2188" s="32">
        <f>IFERROR(IF(AND($F2188&gt;0,$H2188&gt;0,$A2188-$G2188&lt;=10,$A2188-$I2188&lt;=5,$G2188&gt;0,$I2188&gt;0),$F2188*$H2188,NA()),NA())</f>
        <v/>
      </c>
      <c r="K2188" s="15">
        <f>IF($A2188="","",IF(AH!$U$5=1,IFERROR(MATCH($A2188,'Live History'!$A$5:$A$3004,0),0),AH!$U$7+2183))</f>
        <v/>
      </c>
      <c r="L2188" s="15">
        <f>IF(ISNUMBER(A2188),TEXT(A2188,"dd-mmm-yy"),"")</f>
        <v/>
      </c>
    </row>
    <row r="2189">
      <c r="A2189" s="14">
        <f>IF(OR(AH!$U$4=0,2184+1&gt;AH!$U$6,AND(AH!$M$5="Bloomberg",AH!$U$5=0)),"",IFERROR(IF(AND(AH!$U$12=1,2184+1=AH!$U$6),TODAY(),IF(AH!$U$5=1,INDEX('Live History'!$A$5:$A$3004,AH!$U$7+2184),INDEX('AH History'!$A$5:$A$1380,AH!$U$7+2184))),""))</f>
        <v/>
      </c>
      <c r="B2189" s="33">
        <f>IFERROR(IF(AH!$U$11=1,NA(),$J2189/$E2189-1),NA())</f>
        <v/>
      </c>
      <c r="C2189" s="269">
        <f>IFERROR(100*$E2189/$E$5,NA())</f>
        <v/>
      </c>
      <c r="D2189" s="269">
        <f>IFERROR(100*$J2189/$J$5,NA())</f>
        <v/>
      </c>
      <c r="E2189" s="32">
        <f>IFERROR(IF(AND(ISNUMBER($A2189),N(IF(AND(AH!$U$12=1,2184+1=AH!$U$6),IF(AH!$U$4=0,"unavailable",INDEX('Market Data'!$AN$5:$AN$66,AH!$U$4)),IF(AH!$U$5=1,INDEX('Live History'!$B$5:$B$3004,$K2189),INDEX('AH History'!$D$5:$GG$1380,$K2189,AH!$U$10))))&gt;0),IF(AND(AH!$U$12=1,2184+1=AH!$U$6),IF(AH!$U$4=0,"unavailable",INDEX('Market Data'!$AN$5:$AN$66,AH!$U$4)),IF(AH!$U$5=1,INDEX('Live History'!$B$5:$B$3004,$K2189),INDEX('AH History'!$D$5:$GG$1380,$K2189,AH!$U$10))),NA()),NA())</f>
        <v/>
      </c>
      <c r="F2189" s="32">
        <f>IFERROR(IF(ISNUMBER($A2189),IF(AND(AH!$U$12=1,2184+1=AH!$U$6),IF(AH!$U$4=0,"unavailable",INDEX('Market Data'!$AO$5:$AO$66,AH!$U$4)),IF(AH!$U$5=1,INDEX('Live History'!$E$5:$E$3004,MATCH($A2189,'Live History'!$D$5:$D$3004,1)),INDEX('AH History'!$D$5:$GG$1380,$K2189,AH!$U$10+1))),NA()),NA())</f>
        <v/>
      </c>
      <c r="G2189" s="34">
        <f>IFERROR(IF(ISNUMBER($A2189),IF(AND(AH!$U$12=1,2184+1=AH!$U$6),IF(AH!$U$4=0,"unavailable",INDEX('Market Data'!$AK$5:$AK$66,AH!$U$4)),IF(AH!$U$5=1,INDEX('Live History'!$D$5:$D$3004,MATCH($A2189,'Live History'!$D$5:$D$3004,1)),INDEX('AH History'!$D$5:$GG$1380,$K2189,AH!$U$10+2))),NA()),NA())</f>
        <v/>
      </c>
      <c r="H2189" s="266">
        <f>IFERROR(IF(ISNUMBER($A2189),IF(AND(AH!$U$12=1,2184+1=AH!$U$6),IF(AH!$U$4=0,"unavailable",INDEX('Market Data'!$AP$5:$AP$66,AH!$U$4)),IF(AH!$U$5=1,INDEX('Live History'!$H$5:$H$3004,MATCH($A2189,'Live History'!$G$5:$G$3004,1)),INDEX('AH History'!$B$5:$B$1380,$K2189))),NA()),NA())</f>
        <v/>
      </c>
      <c r="I2189" s="34">
        <f>IFERROR(IF(ISNUMBER($A2189),IF(AND(AH!$U$12=1,2184+1=AH!$U$6),TODAY(),IF(AH!$U$5=1,INDEX('Live History'!$G$5:$G$3004,MATCH($A2189,'Live History'!$G$5:$G$3004,1)),INDEX('AH History'!$C$5:$C$1380,$K2189))),NA()),NA())</f>
        <v/>
      </c>
      <c r="J2189" s="32">
        <f>IFERROR(IF(AND($F2189&gt;0,$H2189&gt;0,$A2189-$G2189&lt;=10,$A2189-$I2189&lt;=5,$G2189&gt;0,$I2189&gt;0),$F2189*$H2189,NA()),NA())</f>
        <v/>
      </c>
      <c r="K2189" s="15">
        <f>IF($A2189="","",IF(AH!$U$5=1,IFERROR(MATCH($A2189,'Live History'!$A$5:$A$3004,0),0),AH!$U$7+2184))</f>
        <v/>
      </c>
      <c r="L2189" s="15">
        <f>IF(ISNUMBER(A2189),TEXT(A2189,"dd-mmm-yy"),"")</f>
        <v/>
      </c>
    </row>
    <row r="2190">
      <c r="A2190" s="14">
        <f>IF(OR(AH!$U$4=0,2185+1&gt;AH!$U$6,AND(AH!$M$5="Bloomberg",AH!$U$5=0)),"",IFERROR(IF(AND(AH!$U$12=1,2185+1=AH!$U$6),TODAY(),IF(AH!$U$5=1,INDEX('Live History'!$A$5:$A$3004,AH!$U$7+2185),INDEX('AH History'!$A$5:$A$1380,AH!$U$7+2185))),""))</f>
        <v/>
      </c>
      <c r="B2190" s="33">
        <f>IFERROR(IF(AH!$U$11=1,NA(),$J2190/$E2190-1),NA())</f>
        <v/>
      </c>
      <c r="C2190" s="269">
        <f>IFERROR(100*$E2190/$E$5,NA())</f>
        <v/>
      </c>
      <c r="D2190" s="269">
        <f>IFERROR(100*$J2190/$J$5,NA())</f>
        <v/>
      </c>
      <c r="E2190" s="32">
        <f>IFERROR(IF(AND(ISNUMBER($A2190),N(IF(AND(AH!$U$12=1,2185+1=AH!$U$6),IF(AH!$U$4=0,"unavailable",INDEX('Market Data'!$AN$5:$AN$66,AH!$U$4)),IF(AH!$U$5=1,INDEX('Live History'!$B$5:$B$3004,$K2190),INDEX('AH History'!$D$5:$GG$1380,$K2190,AH!$U$10))))&gt;0),IF(AND(AH!$U$12=1,2185+1=AH!$U$6),IF(AH!$U$4=0,"unavailable",INDEX('Market Data'!$AN$5:$AN$66,AH!$U$4)),IF(AH!$U$5=1,INDEX('Live History'!$B$5:$B$3004,$K2190),INDEX('AH History'!$D$5:$GG$1380,$K2190,AH!$U$10))),NA()),NA())</f>
        <v/>
      </c>
      <c r="F2190" s="32">
        <f>IFERROR(IF(ISNUMBER($A2190),IF(AND(AH!$U$12=1,2185+1=AH!$U$6),IF(AH!$U$4=0,"unavailable",INDEX('Market Data'!$AO$5:$AO$66,AH!$U$4)),IF(AH!$U$5=1,INDEX('Live History'!$E$5:$E$3004,MATCH($A2190,'Live History'!$D$5:$D$3004,1)),INDEX('AH History'!$D$5:$GG$1380,$K2190,AH!$U$10+1))),NA()),NA())</f>
        <v/>
      </c>
      <c r="G2190" s="34">
        <f>IFERROR(IF(ISNUMBER($A2190),IF(AND(AH!$U$12=1,2185+1=AH!$U$6),IF(AH!$U$4=0,"unavailable",INDEX('Market Data'!$AK$5:$AK$66,AH!$U$4)),IF(AH!$U$5=1,INDEX('Live History'!$D$5:$D$3004,MATCH($A2190,'Live History'!$D$5:$D$3004,1)),INDEX('AH History'!$D$5:$GG$1380,$K2190,AH!$U$10+2))),NA()),NA())</f>
        <v/>
      </c>
      <c r="H2190" s="266">
        <f>IFERROR(IF(ISNUMBER($A2190),IF(AND(AH!$U$12=1,2185+1=AH!$U$6),IF(AH!$U$4=0,"unavailable",INDEX('Market Data'!$AP$5:$AP$66,AH!$U$4)),IF(AH!$U$5=1,INDEX('Live History'!$H$5:$H$3004,MATCH($A2190,'Live History'!$G$5:$G$3004,1)),INDEX('AH History'!$B$5:$B$1380,$K2190))),NA()),NA())</f>
        <v/>
      </c>
      <c r="I2190" s="34">
        <f>IFERROR(IF(ISNUMBER($A2190),IF(AND(AH!$U$12=1,2185+1=AH!$U$6),TODAY(),IF(AH!$U$5=1,INDEX('Live History'!$G$5:$G$3004,MATCH($A2190,'Live History'!$G$5:$G$3004,1)),INDEX('AH History'!$C$5:$C$1380,$K2190))),NA()),NA())</f>
        <v/>
      </c>
      <c r="J2190" s="32">
        <f>IFERROR(IF(AND($F2190&gt;0,$H2190&gt;0,$A2190-$G2190&lt;=10,$A2190-$I2190&lt;=5,$G2190&gt;0,$I2190&gt;0),$F2190*$H2190,NA()),NA())</f>
        <v/>
      </c>
      <c r="K2190" s="15">
        <f>IF($A2190="","",IF(AH!$U$5=1,IFERROR(MATCH($A2190,'Live History'!$A$5:$A$3004,0),0),AH!$U$7+2185))</f>
        <v/>
      </c>
      <c r="L2190" s="15">
        <f>IF(ISNUMBER(A2190),TEXT(A2190,"dd-mmm-yy"),"")</f>
        <v/>
      </c>
    </row>
    <row r="2191">
      <c r="A2191" s="14">
        <f>IF(OR(AH!$U$4=0,2186+1&gt;AH!$U$6,AND(AH!$M$5="Bloomberg",AH!$U$5=0)),"",IFERROR(IF(AND(AH!$U$12=1,2186+1=AH!$U$6),TODAY(),IF(AH!$U$5=1,INDEX('Live History'!$A$5:$A$3004,AH!$U$7+2186),INDEX('AH History'!$A$5:$A$1380,AH!$U$7+2186))),""))</f>
        <v/>
      </c>
      <c r="B2191" s="33">
        <f>IFERROR(IF(AH!$U$11=1,NA(),$J2191/$E2191-1),NA())</f>
        <v/>
      </c>
      <c r="C2191" s="269">
        <f>IFERROR(100*$E2191/$E$5,NA())</f>
        <v/>
      </c>
      <c r="D2191" s="269">
        <f>IFERROR(100*$J2191/$J$5,NA())</f>
        <v/>
      </c>
      <c r="E2191" s="32">
        <f>IFERROR(IF(AND(ISNUMBER($A2191),N(IF(AND(AH!$U$12=1,2186+1=AH!$U$6),IF(AH!$U$4=0,"unavailable",INDEX('Market Data'!$AN$5:$AN$66,AH!$U$4)),IF(AH!$U$5=1,INDEX('Live History'!$B$5:$B$3004,$K2191),INDEX('AH History'!$D$5:$GG$1380,$K2191,AH!$U$10))))&gt;0),IF(AND(AH!$U$12=1,2186+1=AH!$U$6),IF(AH!$U$4=0,"unavailable",INDEX('Market Data'!$AN$5:$AN$66,AH!$U$4)),IF(AH!$U$5=1,INDEX('Live History'!$B$5:$B$3004,$K2191),INDEX('AH History'!$D$5:$GG$1380,$K2191,AH!$U$10))),NA()),NA())</f>
        <v/>
      </c>
      <c r="F2191" s="32">
        <f>IFERROR(IF(ISNUMBER($A2191),IF(AND(AH!$U$12=1,2186+1=AH!$U$6),IF(AH!$U$4=0,"unavailable",INDEX('Market Data'!$AO$5:$AO$66,AH!$U$4)),IF(AH!$U$5=1,INDEX('Live History'!$E$5:$E$3004,MATCH($A2191,'Live History'!$D$5:$D$3004,1)),INDEX('AH History'!$D$5:$GG$1380,$K2191,AH!$U$10+1))),NA()),NA())</f>
        <v/>
      </c>
      <c r="G2191" s="34">
        <f>IFERROR(IF(ISNUMBER($A2191),IF(AND(AH!$U$12=1,2186+1=AH!$U$6),IF(AH!$U$4=0,"unavailable",INDEX('Market Data'!$AK$5:$AK$66,AH!$U$4)),IF(AH!$U$5=1,INDEX('Live History'!$D$5:$D$3004,MATCH($A2191,'Live History'!$D$5:$D$3004,1)),INDEX('AH History'!$D$5:$GG$1380,$K2191,AH!$U$10+2))),NA()),NA())</f>
        <v/>
      </c>
      <c r="H2191" s="266">
        <f>IFERROR(IF(ISNUMBER($A2191),IF(AND(AH!$U$12=1,2186+1=AH!$U$6),IF(AH!$U$4=0,"unavailable",INDEX('Market Data'!$AP$5:$AP$66,AH!$U$4)),IF(AH!$U$5=1,INDEX('Live History'!$H$5:$H$3004,MATCH($A2191,'Live History'!$G$5:$G$3004,1)),INDEX('AH History'!$B$5:$B$1380,$K2191))),NA()),NA())</f>
        <v/>
      </c>
      <c r="I2191" s="34">
        <f>IFERROR(IF(ISNUMBER($A2191),IF(AND(AH!$U$12=1,2186+1=AH!$U$6),TODAY(),IF(AH!$U$5=1,INDEX('Live History'!$G$5:$G$3004,MATCH($A2191,'Live History'!$G$5:$G$3004,1)),INDEX('AH History'!$C$5:$C$1380,$K2191))),NA()),NA())</f>
        <v/>
      </c>
      <c r="J2191" s="32">
        <f>IFERROR(IF(AND($F2191&gt;0,$H2191&gt;0,$A2191-$G2191&lt;=10,$A2191-$I2191&lt;=5,$G2191&gt;0,$I2191&gt;0),$F2191*$H2191,NA()),NA())</f>
        <v/>
      </c>
      <c r="K2191" s="15">
        <f>IF($A2191="","",IF(AH!$U$5=1,IFERROR(MATCH($A2191,'Live History'!$A$5:$A$3004,0),0),AH!$U$7+2186))</f>
        <v/>
      </c>
      <c r="L2191" s="15">
        <f>IF(ISNUMBER(A2191),TEXT(A2191,"dd-mmm-yy"),"")</f>
        <v/>
      </c>
    </row>
    <row r="2192">
      <c r="A2192" s="14">
        <f>IF(OR(AH!$U$4=0,2187+1&gt;AH!$U$6,AND(AH!$M$5="Bloomberg",AH!$U$5=0)),"",IFERROR(IF(AND(AH!$U$12=1,2187+1=AH!$U$6),TODAY(),IF(AH!$U$5=1,INDEX('Live History'!$A$5:$A$3004,AH!$U$7+2187),INDEX('AH History'!$A$5:$A$1380,AH!$U$7+2187))),""))</f>
        <v/>
      </c>
      <c r="B2192" s="33">
        <f>IFERROR(IF(AH!$U$11=1,NA(),$J2192/$E2192-1),NA())</f>
        <v/>
      </c>
      <c r="C2192" s="269">
        <f>IFERROR(100*$E2192/$E$5,NA())</f>
        <v/>
      </c>
      <c r="D2192" s="269">
        <f>IFERROR(100*$J2192/$J$5,NA())</f>
        <v/>
      </c>
      <c r="E2192" s="32">
        <f>IFERROR(IF(AND(ISNUMBER($A2192),N(IF(AND(AH!$U$12=1,2187+1=AH!$U$6),IF(AH!$U$4=0,"unavailable",INDEX('Market Data'!$AN$5:$AN$66,AH!$U$4)),IF(AH!$U$5=1,INDEX('Live History'!$B$5:$B$3004,$K2192),INDEX('AH History'!$D$5:$GG$1380,$K2192,AH!$U$10))))&gt;0),IF(AND(AH!$U$12=1,2187+1=AH!$U$6),IF(AH!$U$4=0,"unavailable",INDEX('Market Data'!$AN$5:$AN$66,AH!$U$4)),IF(AH!$U$5=1,INDEX('Live History'!$B$5:$B$3004,$K2192),INDEX('AH History'!$D$5:$GG$1380,$K2192,AH!$U$10))),NA()),NA())</f>
        <v/>
      </c>
      <c r="F2192" s="32">
        <f>IFERROR(IF(ISNUMBER($A2192),IF(AND(AH!$U$12=1,2187+1=AH!$U$6),IF(AH!$U$4=0,"unavailable",INDEX('Market Data'!$AO$5:$AO$66,AH!$U$4)),IF(AH!$U$5=1,INDEX('Live History'!$E$5:$E$3004,MATCH($A2192,'Live History'!$D$5:$D$3004,1)),INDEX('AH History'!$D$5:$GG$1380,$K2192,AH!$U$10+1))),NA()),NA())</f>
        <v/>
      </c>
      <c r="G2192" s="34">
        <f>IFERROR(IF(ISNUMBER($A2192),IF(AND(AH!$U$12=1,2187+1=AH!$U$6),IF(AH!$U$4=0,"unavailable",INDEX('Market Data'!$AK$5:$AK$66,AH!$U$4)),IF(AH!$U$5=1,INDEX('Live History'!$D$5:$D$3004,MATCH($A2192,'Live History'!$D$5:$D$3004,1)),INDEX('AH History'!$D$5:$GG$1380,$K2192,AH!$U$10+2))),NA()),NA())</f>
        <v/>
      </c>
      <c r="H2192" s="266">
        <f>IFERROR(IF(ISNUMBER($A2192),IF(AND(AH!$U$12=1,2187+1=AH!$U$6),IF(AH!$U$4=0,"unavailable",INDEX('Market Data'!$AP$5:$AP$66,AH!$U$4)),IF(AH!$U$5=1,INDEX('Live History'!$H$5:$H$3004,MATCH($A2192,'Live History'!$G$5:$G$3004,1)),INDEX('AH History'!$B$5:$B$1380,$K2192))),NA()),NA())</f>
        <v/>
      </c>
      <c r="I2192" s="34">
        <f>IFERROR(IF(ISNUMBER($A2192),IF(AND(AH!$U$12=1,2187+1=AH!$U$6),TODAY(),IF(AH!$U$5=1,INDEX('Live History'!$G$5:$G$3004,MATCH($A2192,'Live History'!$G$5:$G$3004,1)),INDEX('AH History'!$C$5:$C$1380,$K2192))),NA()),NA())</f>
        <v/>
      </c>
      <c r="J2192" s="32">
        <f>IFERROR(IF(AND($F2192&gt;0,$H2192&gt;0,$A2192-$G2192&lt;=10,$A2192-$I2192&lt;=5,$G2192&gt;0,$I2192&gt;0),$F2192*$H2192,NA()),NA())</f>
        <v/>
      </c>
      <c r="K2192" s="15">
        <f>IF($A2192="","",IF(AH!$U$5=1,IFERROR(MATCH($A2192,'Live History'!$A$5:$A$3004,0),0),AH!$U$7+2187))</f>
        <v/>
      </c>
      <c r="L2192" s="15">
        <f>IF(ISNUMBER(A2192),TEXT(A2192,"dd-mmm-yy"),"")</f>
        <v/>
      </c>
    </row>
    <row r="2193">
      <c r="A2193" s="14">
        <f>IF(OR(AH!$U$4=0,2188+1&gt;AH!$U$6,AND(AH!$M$5="Bloomberg",AH!$U$5=0)),"",IFERROR(IF(AND(AH!$U$12=1,2188+1=AH!$U$6),TODAY(),IF(AH!$U$5=1,INDEX('Live History'!$A$5:$A$3004,AH!$U$7+2188),INDEX('AH History'!$A$5:$A$1380,AH!$U$7+2188))),""))</f>
        <v/>
      </c>
      <c r="B2193" s="33">
        <f>IFERROR(IF(AH!$U$11=1,NA(),$J2193/$E2193-1),NA())</f>
        <v/>
      </c>
      <c r="C2193" s="269">
        <f>IFERROR(100*$E2193/$E$5,NA())</f>
        <v/>
      </c>
      <c r="D2193" s="269">
        <f>IFERROR(100*$J2193/$J$5,NA())</f>
        <v/>
      </c>
      <c r="E2193" s="32">
        <f>IFERROR(IF(AND(ISNUMBER($A2193),N(IF(AND(AH!$U$12=1,2188+1=AH!$U$6),IF(AH!$U$4=0,"unavailable",INDEX('Market Data'!$AN$5:$AN$66,AH!$U$4)),IF(AH!$U$5=1,INDEX('Live History'!$B$5:$B$3004,$K2193),INDEX('AH History'!$D$5:$GG$1380,$K2193,AH!$U$10))))&gt;0),IF(AND(AH!$U$12=1,2188+1=AH!$U$6),IF(AH!$U$4=0,"unavailable",INDEX('Market Data'!$AN$5:$AN$66,AH!$U$4)),IF(AH!$U$5=1,INDEX('Live History'!$B$5:$B$3004,$K2193),INDEX('AH History'!$D$5:$GG$1380,$K2193,AH!$U$10))),NA()),NA())</f>
        <v/>
      </c>
      <c r="F2193" s="32">
        <f>IFERROR(IF(ISNUMBER($A2193),IF(AND(AH!$U$12=1,2188+1=AH!$U$6),IF(AH!$U$4=0,"unavailable",INDEX('Market Data'!$AO$5:$AO$66,AH!$U$4)),IF(AH!$U$5=1,INDEX('Live History'!$E$5:$E$3004,MATCH($A2193,'Live History'!$D$5:$D$3004,1)),INDEX('AH History'!$D$5:$GG$1380,$K2193,AH!$U$10+1))),NA()),NA())</f>
        <v/>
      </c>
      <c r="G2193" s="34">
        <f>IFERROR(IF(ISNUMBER($A2193),IF(AND(AH!$U$12=1,2188+1=AH!$U$6),IF(AH!$U$4=0,"unavailable",INDEX('Market Data'!$AK$5:$AK$66,AH!$U$4)),IF(AH!$U$5=1,INDEX('Live History'!$D$5:$D$3004,MATCH($A2193,'Live History'!$D$5:$D$3004,1)),INDEX('AH History'!$D$5:$GG$1380,$K2193,AH!$U$10+2))),NA()),NA())</f>
        <v/>
      </c>
      <c r="H2193" s="266">
        <f>IFERROR(IF(ISNUMBER($A2193),IF(AND(AH!$U$12=1,2188+1=AH!$U$6),IF(AH!$U$4=0,"unavailable",INDEX('Market Data'!$AP$5:$AP$66,AH!$U$4)),IF(AH!$U$5=1,INDEX('Live History'!$H$5:$H$3004,MATCH($A2193,'Live History'!$G$5:$G$3004,1)),INDEX('AH History'!$B$5:$B$1380,$K2193))),NA()),NA())</f>
        <v/>
      </c>
      <c r="I2193" s="34">
        <f>IFERROR(IF(ISNUMBER($A2193),IF(AND(AH!$U$12=1,2188+1=AH!$U$6),TODAY(),IF(AH!$U$5=1,INDEX('Live History'!$G$5:$G$3004,MATCH($A2193,'Live History'!$G$5:$G$3004,1)),INDEX('AH History'!$C$5:$C$1380,$K2193))),NA()),NA())</f>
        <v/>
      </c>
      <c r="J2193" s="32">
        <f>IFERROR(IF(AND($F2193&gt;0,$H2193&gt;0,$A2193-$G2193&lt;=10,$A2193-$I2193&lt;=5,$G2193&gt;0,$I2193&gt;0),$F2193*$H2193,NA()),NA())</f>
        <v/>
      </c>
      <c r="K2193" s="15">
        <f>IF($A2193="","",IF(AH!$U$5=1,IFERROR(MATCH($A2193,'Live History'!$A$5:$A$3004,0),0),AH!$U$7+2188))</f>
        <v/>
      </c>
      <c r="L2193" s="15">
        <f>IF(ISNUMBER(A2193),TEXT(A2193,"dd-mmm-yy"),"")</f>
        <v/>
      </c>
    </row>
    <row r="2194">
      <c r="A2194" s="14">
        <f>IF(OR(AH!$U$4=0,2189+1&gt;AH!$U$6,AND(AH!$M$5="Bloomberg",AH!$U$5=0)),"",IFERROR(IF(AND(AH!$U$12=1,2189+1=AH!$U$6),TODAY(),IF(AH!$U$5=1,INDEX('Live History'!$A$5:$A$3004,AH!$U$7+2189),INDEX('AH History'!$A$5:$A$1380,AH!$U$7+2189))),""))</f>
        <v/>
      </c>
      <c r="B2194" s="33">
        <f>IFERROR(IF(AH!$U$11=1,NA(),$J2194/$E2194-1),NA())</f>
        <v/>
      </c>
      <c r="C2194" s="269">
        <f>IFERROR(100*$E2194/$E$5,NA())</f>
        <v/>
      </c>
      <c r="D2194" s="269">
        <f>IFERROR(100*$J2194/$J$5,NA())</f>
        <v/>
      </c>
      <c r="E2194" s="32">
        <f>IFERROR(IF(AND(ISNUMBER($A2194),N(IF(AND(AH!$U$12=1,2189+1=AH!$U$6),IF(AH!$U$4=0,"unavailable",INDEX('Market Data'!$AN$5:$AN$66,AH!$U$4)),IF(AH!$U$5=1,INDEX('Live History'!$B$5:$B$3004,$K2194),INDEX('AH History'!$D$5:$GG$1380,$K2194,AH!$U$10))))&gt;0),IF(AND(AH!$U$12=1,2189+1=AH!$U$6),IF(AH!$U$4=0,"unavailable",INDEX('Market Data'!$AN$5:$AN$66,AH!$U$4)),IF(AH!$U$5=1,INDEX('Live History'!$B$5:$B$3004,$K2194),INDEX('AH History'!$D$5:$GG$1380,$K2194,AH!$U$10))),NA()),NA())</f>
        <v/>
      </c>
      <c r="F2194" s="32">
        <f>IFERROR(IF(ISNUMBER($A2194),IF(AND(AH!$U$12=1,2189+1=AH!$U$6),IF(AH!$U$4=0,"unavailable",INDEX('Market Data'!$AO$5:$AO$66,AH!$U$4)),IF(AH!$U$5=1,INDEX('Live History'!$E$5:$E$3004,MATCH($A2194,'Live History'!$D$5:$D$3004,1)),INDEX('AH History'!$D$5:$GG$1380,$K2194,AH!$U$10+1))),NA()),NA())</f>
        <v/>
      </c>
      <c r="G2194" s="34">
        <f>IFERROR(IF(ISNUMBER($A2194),IF(AND(AH!$U$12=1,2189+1=AH!$U$6),IF(AH!$U$4=0,"unavailable",INDEX('Market Data'!$AK$5:$AK$66,AH!$U$4)),IF(AH!$U$5=1,INDEX('Live History'!$D$5:$D$3004,MATCH($A2194,'Live History'!$D$5:$D$3004,1)),INDEX('AH History'!$D$5:$GG$1380,$K2194,AH!$U$10+2))),NA()),NA())</f>
        <v/>
      </c>
      <c r="H2194" s="266">
        <f>IFERROR(IF(ISNUMBER($A2194),IF(AND(AH!$U$12=1,2189+1=AH!$U$6),IF(AH!$U$4=0,"unavailable",INDEX('Market Data'!$AP$5:$AP$66,AH!$U$4)),IF(AH!$U$5=1,INDEX('Live History'!$H$5:$H$3004,MATCH($A2194,'Live History'!$G$5:$G$3004,1)),INDEX('AH History'!$B$5:$B$1380,$K2194))),NA()),NA())</f>
        <v/>
      </c>
      <c r="I2194" s="34">
        <f>IFERROR(IF(ISNUMBER($A2194),IF(AND(AH!$U$12=1,2189+1=AH!$U$6),TODAY(),IF(AH!$U$5=1,INDEX('Live History'!$G$5:$G$3004,MATCH($A2194,'Live History'!$G$5:$G$3004,1)),INDEX('AH History'!$C$5:$C$1380,$K2194))),NA()),NA())</f>
        <v/>
      </c>
      <c r="J2194" s="32">
        <f>IFERROR(IF(AND($F2194&gt;0,$H2194&gt;0,$A2194-$G2194&lt;=10,$A2194-$I2194&lt;=5,$G2194&gt;0,$I2194&gt;0),$F2194*$H2194,NA()),NA())</f>
        <v/>
      </c>
      <c r="K2194" s="15">
        <f>IF($A2194="","",IF(AH!$U$5=1,IFERROR(MATCH($A2194,'Live History'!$A$5:$A$3004,0),0),AH!$U$7+2189))</f>
        <v/>
      </c>
      <c r="L2194" s="15">
        <f>IF(ISNUMBER(A2194),TEXT(A2194,"dd-mmm-yy"),"")</f>
        <v/>
      </c>
    </row>
    <row r="2195">
      <c r="A2195" s="14">
        <f>IF(OR(AH!$U$4=0,2190+1&gt;AH!$U$6,AND(AH!$M$5="Bloomberg",AH!$U$5=0)),"",IFERROR(IF(AND(AH!$U$12=1,2190+1=AH!$U$6),TODAY(),IF(AH!$U$5=1,INDEX('Live History'!$A$5:$A$3004,AH!$U$7+2190),INDEX('AH History'!$A$5:$A$1380,AH!$U$7+2190))),""))</f>
        <v/>
      </c>
      <c r="B2195" s="33">
        <f>IFERROR(IF(AH!$U$11=1,NA(),$J2195/$E2195-1),NA())</f>
        <v/>
      </c>
      <c r="C2195" s="269">
        <f>IFERROR(100*$E2195/$E$5,NA())</f>
        <v/>
      </c>
      <c r="D2195" s="269">
        <f>IFERROR(100*$J2195/$J$5,NA())</f>
        <v/>
      </c>
      <c r="E2195" s="32">
        <f>IFERROR(IF(AND(ISNUMBER($A2195),N(IF(AND(AH!$U$12=1,2190+1=AH!$U$6),IF(AH!$U$4=0,"unavailable",INDEX('Market Data'!$AN$5:$AN$66,AH!$U$4)),IF(AH!$U$5=1,INDEX('Live History'!$B$5:$B$3004,$K2195),INDEX('AH History'!$D$5:$GG$1380,$K2195,AH!$U$10))))&gt;0),IF(AND(AH!$U$12=1,2190+1=AH!$U$6),IF(AH!$U$4=0,"unavailable",INDEX('Market Data'!$AN$5:$AN$66,AH!$U$4)),IF(AH!$U$5=1,INDEX('Live History'!$B$5:$B$3004,$K2195),INDEX('AH History'!$D$5:$GG$1380,$K2195,AH!$U$10))),NA()),NA())</f>
        <v/>
      </c>
      <c r="F2195" s="32">
        <f>IFERROR(IF(ISNUMBER($A2195),IF(AND(AH!$U$12=1,2190+1=AH!$U$6),IF(AH!$U$4=0,"unavailable",INDEX('Market Data'!$AO$5:$AO$66,AH!$U$4)),IF(AH!$U$5=1,INDEX('Live History'!$E$5:$E$3004,MATCH($A2195,'Live History'!$D$5:$D$3004,1)),INDEX('AH History'!$D$5:$GG$1380,$K2195,AH!$U$10+1))),NA()),NA())</f>
        <v/>
      </c>
      <c r="G2195" s="34">
        <f>IFERROR(IF(ISNUMBER($A2195),IF(AND(AH!$U$12=1,2190+1=AH!$U$6),IF(AH!$U$4=0,"unavailable",INDEX('Market Data'!$AK$5:$AK$66,AH!$U$4)),IF(AH!$U$5=1,INDEX('Live History'!$D$5:$D$3004,MATCH($A2195,'Live History'!$D$5:$D$3004,1)),INDEX('AH History'!$D$5:$GG$1380,$K2195,AH!$U$10+2))),NA()),NA())</f>
        <v/>
      </c>
      <c r="H2195" s="266">
        <f>IFERROR(IF(ISNUMBER($A2195),IF(AND(AH!$U$12=1,2190+1=AH!$U$6),IF(AH!$U$4=0,"unavailable",INDEX('Market Data'!$AP$5:$AP$66,AH!$U$4)),IF(AH!$U$5=1,INDEX('Live History'!$H$5:$H$3004,MATCH($A2195,'Live History'!$G$5:$G$3004,1)),INDEX('AH History'!$B$5:$B$1380,$K2195))),NA()),NA())</f>
        <v/>
      </c>
      <c r="I2195" s="34">
        <f>IFERROR(IF(ISNUMBER($A2195),IF(AND(AH!$U$12=1,2190+1=AH!$U$6),TODAY(),IF(AH!$U$5=1,INDEX('Live History'!$G$5:$G$3004,MATCH($A2195,'Live History'!$G$5:$G$3004,1)),INDEX('AH History'!$C$5:$C$1380,$K2195))),NA()),NA())</f>
        <v/>
      </c>
      <c r="J2195" s="32">
        <f>IFERROR(IF(AND($F2195&gt;0,$H2195&gt;0,$A2195-$G2195&lt;=10,$A2195-$I2195&lt;=5,$G2195&gt;0,$I2195&gt;0),$F2195*$H2195,NA()),NA())</f>
        <v/>
      </c>
      <c r="K2195" s="15">
        <f>IF($A2195="","",IF(AH!$U$5=1,IFERROR(MATCH($A2195,'Live History'!$A$5:$A$3004,0),0),AH!$U$7+2190))</f>
        <v/>
      </c>
      <c r="L2195" s="15">
        <f>IF(ISNUMBER(A2195),TEXT(A2195,"dd-mmm-yy"),"")</f>
        <v/>
      </c>
    </row>
    <row r="2196">
      <c r="A2196" s="14">
        <f>IF(OR(AH!$U$4=0,2191+1&gt;AH!$U$6,AND(AH!$M$5="Bloomberg",AH!$U$5=0)),"",IFERROR(IF(AND(AH!$U$12=1,2191+1=AH!$U$6),TODAY(),IF(AH!$U$5=1,INDEX('Live History'!$A$5:$A$3004,AH!$U$7+2191),INDEX('AH History'!$A$5:$A$1380,AH!$U$7+2191))),""))</f>
        <v/>
      </c>
      <c r="B2196" s="33">
        <f>IFERROR(IF(AH!$U$11=1,NA(),$J2196/$E2196-1),NA())</f>
        <v/>
      </c>
      <c r="C2196" s="269">
        <f>IFERROR(100*$E2196/$E$5,NA())</f>
        <v/>
      </c>
      <c r="D2196" s="269">
        <f>IFERROR(100*$J2196/$J$5,NA())</f>
        <v/>
      </c>
      <c r="E2196" s="32">
        <f>IFERROR(IF(AND(ISNUMBER($A2196),N(IF(AND(AH!$U$12=1,2191+1=AH!$U$6),IF(AH!$U$4=0,"unavailable",INDEX('Market Data'!$AN$5:$AN$66,AH!$U$4)),IF(AH!$U$5=1,INDEX('Live History'!$B$5:$B$3004,$K2196),INDEX('AH History'!$D$5:$GG$1380,$K2196,AH!$U$10))))&gt;0),IF(AND(AH!$U$12=1,2191+1=AH!$U$6),IF(AH!$U$4=0,"unavailable",INDEX('Market Data'!$AN$5:$AN$66,AH!$U$4)),IF(AH!$U$5=1,INDEX('Live History'!$B$5:$B$3004,$K2196),INDEX('AH History'!$D$5:$GG$1380,$K2196,AH!$U$10))),NA()),NA())</f>
        <v/>
      </c>
      <c r="F2196" s="32">
        <f>IFERROR(IF(ISNUMBER($A2196),IF(AND(AH!$U$12=1,2191+1=AH!$U$6),IF(AH!$U$4=0,"unavailable",INDEX('Market Data'!$AO$5:$AO$66,AH!$U$4)),IF(AH!$U$5=1,INDEX('Live History'!$E$5:$E$3004,MATCH($A2196,'Live History'!$D$5:$D$3004,1)),INDEX('AH History'!$D$5:$GG$1380,$K2196,AH!$U$10+1))),NA()),NA())</f>
        <v/>
      </c>
      <c r="G2196" s="34">
        <f>IFERROR(IF(ISNUMBER($A2196),IF(AND(AH!$U$12=1,2191+1=AH!$U$6),IF(AH!$U$4=0,"unavailable",INDEX('Market Data'!$AK$5:$AK$66,AH!$U$4)),IF(AH!$U$5=1,INDEX('Live History'!$D$5:$D$3004,MATCH($A2196,'Live History'!$D$5:$D$3004,1)),INDEX('AH History'!$D$5:$GG$1380,$K2196,AH!$U$10+2))),NA()),NA())</f>
        <v/>
      </c>
      <c r="H2196" s="266">
        <f>IFERROR(IF(ISNUMBER($A2196),IF(AND(AH!$U$12=1,2191+1=AH!$U$6),IF(AH!$U$4=0,"unavailable",INDEX('Market Data'!$AP$5:$AP$66,AH!$U$4)),IF(AH!$U$5=1,INDEX('Live History'!$H$5:$H$3004,MATCH($A2196,'Live History'!$G$5:$G$3004,1)),INDEX('AH History'!$B$5:$B$1380,$K2196))),NA()),NA())</f>
        <v/>
      </c>
      <c r="I2196" s="34">
        <f>IFERROR(IF(ISNUMBER($A2196),IF(AND(AH!$U$12=1,2191+1=AH!$U$6),TODAY(),IF(AH!$U$5=1,INDEX('Live History'!$G$5:$G$3004,MATCH($A2196,'Live History'!$G$5:$G$3004,1)),INDEX('AH History'!$C$5:$C$1380,$K2196))),NA()),NA())</f>
        <v/>
      </c>
      <c r="J2196" s="32">
        <f>IFERROR(IF(AND($F2196&gt;0,$H2196&gt;0,$A2196-$G2196&lt;=10,$A2196-$I2196&lt;=5,$G2196&gt;0,$I2196&gt;0),$F2196*$H2196,NA()),NA())</f>
        <v/>
      </c>
      <c r="K2196" s="15">
        <f>IF($A2196="","",IF(AH!$U$5=1,IFERROR(MATCH($A2196,'Live History'!$A$5:$A$3004,0),0),AH!$U$7+2191))</f>
        <v/>
      </c>
      <c r="L2196" s="15">
        <f>IF(ISNUMBER(A2196),TEXT(A2196,"dd-mmm-yy"),"")</f>
        <v/>
      </c>
    </row>
    <row r="2197">
      <c r="A2197" s="14">
        <f>IF(OR(AH!$U$4=0,2192+1&gt;AH!$U$6,AND(AH!$M$5="Bloomberg",AH!$U$5=0)),"",IFERROR(IF(AND(AH!$U$12=1,2192+1=AH!$U$6),TODAY(),IF(AH!$U$5=1,INDEX('Live History'!$A$5:$A$3004,AH!$U$7+2192),INDEX('AH History'!$A$5:$A$1380,AH!$U$7+2192))),""))</f>
        <v/>
      </c>
      <c r="B2197" s="33">
        <f>IFERROR(IF(AH!$U$11=1,NA(),$J2197/$E2197-1),NA())</f>
        <v/>
      </c>
      <c r="C2197" s="269">
        <f>IFERROR(100*$E2197/$E$5,NA())</f>
        <v/>
      </c>
      <c r="D2197" s="269">
        <f>IFERROR(100*$J2197/$J$5,NA())</f>
        <v/>
      </c>
      <c r="E2197" s="32">
        <f>IFERROR(IF(AND(ISNUMBER($A2197),N(IF(AND(AH!$U$12=1,2192+1=AH!$U$6),IF(AH!$U$4=0,"unavailable",INDEX('Market Data'!$AN$5:$AN$66,AH!$U$4)),IF(AH!$U$5=1,INDEX('Live History'!$B$5:$B$3004,$K2197),INDEX('AH History'!$D$5:$GG$1380,$K2197,AH!$U$10))))&gt;0),IF(AND(AH!$U$12=1,2192+1=AH!$U$6),IF(AH!$U$4=0,"unavailable",INDEX('Market Data'!$AN$5:$AN$66,AH!$U$4)),IF(AH!$U$5=1,INDEX('Live History'!$B$5:$B$3004,$K2197),INDEX('AH History'!$D$5:$GG$1380,$K2197,AH!$U$10))),NA()),NA())</f>
        <v/>
      </c>
      <c r="F2197" s="32">
        <f>IFERROR(IF(ISNUMBER($A2197),IF(AND(AH!$U$12=1,2192+1=AH!$U$6),IF(AH!$U$4=0,"unavailable",INDEX('Market Data'!$AO$5:$AO$66,AH!$U$4)),IF(AH!$U$5=1,INDEX('Live History'!$E$5:$E$3004,MATCH($A2197,'Live History'!$D$5:$D$3004,1)),INDEX('AH History'!$D$5:$GG$1380,$K2197,AH!$U$10+1))),NA()),NA())</f>
        <v/>
      </c>
      <c r="G2197" s="34">
        <f>IFERROR(IF(ISNUMBER($A2197),IF(AND(AH!$U$12=1,2192+1=AH!$U$6),IF(AH!$U$4=0,"unavailable",INDEX('Market Data'!$AK$5:$AK$66,AH!$U$4)),IF(AH!$U$5=1,INDEX('Live History'!$D$5:$D$3004,MATCH($A2197,'Live History'!$D$5:$D$3004,1)),INDEX('AH History'!$D$5:$GG$1380,$K2197,AH!$U$10+2))),NA()),NA())</f>
        <v/>
      </c>
      <c r="H2197" s="266">
        <f>IFERROR(IF(ISNUMBER($A2197),IF(AND(AH!$U$12=1,2192+1=AH!$U$6),IF(AH!$U$4=0,"unavailable",INDEX('Market Data'!$AP$5:$AP$66,AH!$U$4)),IF(AH!$U$5=1,INDEX('Live History'!$H$5:$H$3004,MATCH($A2197,'Live History'!$G$5:$G$3004,1)),INDEX('AH History'!$B$5:$B$1380,$K2197))),NA()),NA())</f>
        <v/>
      </c>
      <c r="I2197" s="34">
        <f>IFERROR(IF(ISNUMBER($A2197),IF(AND(AH!$U$12=1,2192+1=AH!$U$6),TODAY(),IF(AH!$U$5=1,INDEX('Live History'!$G$5:$G$3004,MATCH($A2197,'Live History'!$G$5:$G$3004,1)),INDEX('AH History'!$C$5:$C$1380,$K2197))),NA()),NA())</f>
        <v/>
      </c>
      <c r="J2197" s="32">
        <f>IFERROR(IF(AND($F2197&gt;0,$H2197&gt;0,$A2197-$G2197&lt;=10,$A2197-$I2197&lt;=5,$G2197&gt;0,$I2197&gt;0),$F2197*$H2197,NA()),NA())</f>
        <v/>
      </c>
      <c r="K2197" s="15">
        <f>IF($A2197="","",IF(AH!$U$5=1,IFERROR(MATCH($A2197,'Live History'!$A$5:$A$3004,0),0),AH!$U$7+2192))</f>
        <v/>
      </c>
      <c r="L2197" s="15">
        <f>IF(ISNUMBER(A2197),TEXT(A2197,"dd-mmm-yy"),"")</f>
        <v/>
      </c>
    </row>
    <row r="2198">
      <c r="A2198" s="14">
        <f>IF(OR(AH!$U$4=0,2193+1&gt;AH!$U$6,AND(AH!$M$5="Bloomberg",AH!$U$5=0)),"",IFERROR(IF(AND(AH!$U$12=1,2193+1=AH!$U$6),TODAY(),IF(AH!$U$5=1,INDEX('Live History'!$A$5:$A$3004,AH!$U$7+2193),INDEX('AH History'!$A$5:$A$1380,AH!$U$7+2193))),""))</f>
        <v/>
      </c>
      <c r="B2198" s="33">
        <f>IFERROR(IF(AH!$U$11=1,NA(),$J2198/$E2198-1),NA())</f>
        <v/>
      </c>
      <c r="C2198" s="269">
        <f>IFERROR(100*$E2198/$E$5,NA())</f>
        <v/>
      </c>
      <c r="D2198" s="269">
        <f>IFERROR(100*$J2198/$J$5,NA())</f>
        <v/>
      </c>
      <c r="E2198" s="32">
        <f>IFERROR(IF(AND(ISNUMBER($A2198),N(IF(AND(AH!$U$12=1,2193+1=AH!$U$6),IF(AH!$U$4=0,"unavailable",INDEX('Market Data'!$AN$5:$AN$66,AH!$U$4)),IF(AH!$U$5=1,INDEX('Live History'!$B$5:$B$3004,$K2198),INDEX('AH History'!$D$5:$GG$1380,$K2198,AH!$U$10))))&gt;0),IF(AND(AH!$U$12=1,2193+1=AH!$U$6),IF(AH!$U$4=0,"unavailable",INDEX('Market Data'!$AN$5:$AN$66,AH!$U$4)),IF(AH!$U$5=1,INDEX('Live History'!$B$5:$B$3004,$K2198),INDEX('AH History'!$D$5:$GG$1380,$K2198,AH!$U$10))),NA()),NA())</f>
        <v/>
      </c>
      <c r="F2198" s="32">
        <f>IFERROR(IF(ISNUMBER($A2198),IF(AND(AH!$U$12=1,2193+1=AH!$U$6),IF(AH!$U$4=0,"unavailable",INDEX('Market Data'!$AO$5:$AO$66,AH!$U$4)),IF(AH!$U$5=1,INDEX('Live History'!$E$5:$E$3004,MATCH($A2198,'Live History'!$D$5:$D$3004,1)),INDEX('AH History'!$D$5:$GG$1380,$K2198,AH!$U$10+1))),NA()),NA())</f>
        <v/>
      </c>
      <c r="G2198" s="34">
        <f>IFERROR(IF(ISNUMBER($A2198),IF(AND(AH!$U$12=1,2193+1=AH!$U$6),IF(AH!$U$4=0,"unavailable",INDEX('Market Data'!$AK$5:$AK$66,AH!$U$4)),IF(AH!$U$5=1,INDEX('Live History'!$D$5:$D$3004,MATCH($A2198,'Live History'!$D$5:$D$3004,1)),INDEX('AH History'!$D$5:$GG$1380,$K2198,AH!$U$10+2))),NA()),NA())</f>
        <v/>
      </c>
      <c r="H2198" s="266">
        <f>IFERROR(IF(ISNUMBER($A2198),IF(AND(AH!$U$12=1,2193+1=AH!$U$6),IF(AH!$U$4=0,"unavailable",INDEX('Market Data'!$AP$5:$AP$66,AH!$U$4)),IF(AH!$U$5=1,INDEX('Live History'!$H$5:$H$3004,MATCH($A2198,'Live History'!$G$5:$G$3004,1)),INDEX('AH History'!$B$5:$B$1380,$K2198))),NA()),NA())</f>
        <v/>
      </c>
      <c r="I2198" s="34">
        <f>IFERROR(IF(ISNUMBER($A2198),IF(AND(AH!$U$12=1,2193+1=AH!$U$6),TODAY(),IF(AH!$U$5=1,INDEX('Live History'!$G$5:$G$3004,MATCH($A2198,'Live History'!$G$5:$G$3004,1)),INDEX('AH History'!$C$5:$C$1380,$K2198))),NA()),NA())</f>
        <v/>
      </c>
      <c r="J2198" s="32">
        <f>IFERROR(IF(AND($F2198&gt;0,$H2198&gt;0,$A2198-$G2198&lt;=10,$A2198-$I2198&lt;=5,$G2198&gt;0,$I2198&gt;0),$F2198*$H2198,NA()),NA())</f>
        <v/>
      </c>
      <c r="K2198" s="15">
        <f>IF($A2198="","",IF(AH!$U$5=1,IFERROR(MATCH($A2198,'Live History'!$A$5:$A$3004,0),0),AH!$U$7+2193))</f>
        <v/>
      </c>
      <c r="L2198" s="15">
        <f>IF(ISNUMBER(A2198),TEXT(A2198,"dd-mmm-yy"),"")</f>
        <v/>
      </c>
    </row>
    <row r="2199">
      <c r="A2199" s="14">
        <f>IF(OR(AH!$U$4=0,2194+1&gt;AH!$U$6,AND(AH!$M$5="Bloomberg",AH!$U$5=0)),"",IFERROR(IF(AND(AH!$U$12=1,2194+1=AH!$U$6),TODAY(),IF(AH!$U$5=1,INDEX('Live History'!$A$5:$A$3004,AH!$U$7+2194),INDEX('AH History'!$A$5:$A$1380,AH!$U$7+2194))),""))</f>
        <v/>
      </c>
      <c r="B2199" s="33">
        <f>IFERROR(IF(AH!$U$11=1,NA(),$J2199/$E2199-1),NA())</f>
        <v/>
      </c>
      <c r="C2199" s="269">
        <f>IFERROR(100*$E2199/$E$5,NA())</f>
        <v/>
      </c>
      <c r="D2199" s="269">
        <f>IFERROR(100*$J2199/$J$5,NA())</f>
        <v/>
      </c>
      <c r="E2199" s="32">
        <f>IFERROR(IF(AND(ISNUMBER($A2199),N(IF(AND(AH!$U$12=1,2194+1=AH!$U$6),IF(AH!$U$4=0,"unavailable",INDEX('Market Data'!$AN$5:$AN$66,AH!$U$4)),IF(AH!$U$5=1,INDEX('Live History'!$B$5:$B$3004,$K2199),INDEX('AH History'!$D$5:$GG$1380,$K2199,AH!$U$10))))&gt;0),IF(AND(AH!$U$12=1,2194+1=AH!$U$6),IF(AH!$U$4=0,"unavailable",INDEX('Market Data'!$AN$5:$AN$66,AH!$U$4)),IF(AH!$U$5=1,INDEX('Live History'!$B$5:$B$3004,$K2199),INDEX('AH History'!$D$5:$GG$1380,$K2199,AH!$U$10))),NA()),NA())</f>
        <v/>
      </c>
      <c r="F2199" s="32">
        <f>IFERROR(IF(ISNUMBER($A2199),IF(AND(AH!$U$12=1,2194+1=AH!$U$6),IF(AH!$U$4=0,"unavailable",INDEX('Market Data'!$AO$5:$AO$66,AH!$U$4)),IF(AH!$U$5=1,INDEX('Live History'!$E$5:$E$3004,MATCH($A2199,'Live History'!$D$5:$D$3004,1)),INDEX('AH History'!$D$5:$GG$1380,$K2199,AH!$U$10+1))),NA()),NA())</f>
        <v/>
      </c>
      <c r="G2199" s="34">
        <f>IFERROR(IF(ISNUMBER($A2199),IF(AND(AH!$U$12=1,2194+1=AH!$U$6),IF(AH!$U$4=0,"unavailable",INDEX('Market Data'!$AK$5:$AK$66,AH!$U$4)),IF(AH!$U$5=1,INDEX('Live History'!$D$5:$D$3004,MATCH($A2199,'Live History'!$D$5:$D$3004,1)),INDEX('AH History'!$D$5:$GG$1380,$K2199,AH!$U$10+2))),NA()),NA())</f>
        <v/>
      </c>
      <c r="H2199" s="266">
        <f>IFERROR(IF(ISNUMBER($A2199),IF(AND(AH!$U$12=1,2194+1=AH!$U$6),IF(AH!$U$4=0,"unavailable",INDEX('Market Data'!$AP$5:$AP$66,AH!$U$4)),IF(AH!$U$5=1,INDEX('Live History'!$H$5:$H$3004,MATCH($A2199,'Live History'!$G$5:$G$3004,1)),INDEX('AH History'!$B$5:$B$1380,$K2199))),NA()),NA())</f>
        <v/>
      </c>
      <c r="I2199" s="34">
        <f>IFERROR(IF(ISNUMBER($A2199),IF(AND(AH!$U$12=1,2194+1=AH!$U$6),TODAY(),IF(AH!$U$5=1,INDEX('Live History'!$G$5:$G$3004,MATCH($A2199,'Live History'!$G$5:$G$3004,1)),INDEX('AH History'!$C$5:$C$1380,$K2199))),NA()),NA())</f>
        <v/>
      </c>
      <c r="J2199" s="32">
        <f>IFERROR(IF(AND($F2199&gt;0,$H2199&gt;0,$A2199-$G2199&lt;=10,$A2199-$I2199&lt;=5,$G2199&gt;0,$I2199&gt;0),$F2199*$H2199,NA()),NA())</f>
        <v/>
      </c>
      <c r="K2199" s="15">
        <f>IF($A2199="","",IF(AH!$U$5=1,IFERROR(MATCH($A2199,'Live History'!$A$5:$A$3004,0),0),AH!$U$7+2194))</f>
        <v/>
      </c>
      <c r="L2199" s="15">
        <f>IF(ISNUMBER(A2199),TEXT(A2199,"dd-mmm-yy"),"")</f>
        <v/>
      </c>
    </row>
    <row r="2200">
      <c r="A2200" s="14">
        <f>IF(OR(AH!$U$4=0,2195+1&gt;AH!$U$6,AND(AH!$M$5="Bloomberg",AH!$U$5=0)),"",IFERROR(IF(AND(AH!$U$12=1,2195+1=AH!$U$6),TODAY(),IF(AH!$U$5=1,INDEX('Live History'!$A$5:$A$3004,AH!$U$7+2195),INDEX('AH History'!$A$5:$A$1380,AH!$U$7+2195))),""))</f>
        <v/>
      </c>
      <c r="B2200" s="33">
        <f>IFERROR(IF(AH!$U$11=1,NA(),$J2200/$E2200-1),NA())</f>
        <v/>
      </c>
      <c r="C2200" s="269">
        <f>IFERROR(100*$E2200/$E$5,NA())</f>
        <v/>
      </c>
      <c r="D2200" s="269">
        <f>IFERROR(100*$J2200/$J$5,NA())</f>
        <v/>
      </c>
      <c r="E2200" s="32">
        <f>IFERROR(IF(AND(ISNUMBER($A2200),N(IF(AND(AH!$U$12=1,2195+1=AH!$U$6),IF(AH!$U$4=0,"unavailable",INDEX('Market Data'!$AN$5:$AN$66,AH!$U$4)),IF(AH!$U$5=1,INDEX('Live History'!$B$5:$B$3004,$K2200),INDEX('AH History'!$D$5:$GG$1380,$K2200,AH!$U$10))))&gt;0),IF(AND(AH!$U$12=1,2195+1=AH!$U$6),IF(AH!$U$4=0,"unavailable",INDEX('Market Data'!$AN$5:$AN$66,AH!$U$4)),IF(AH!$U$5=1,INDEX('Live History'!$B$5:$B$3004,$K2200),INDEX('AH History'!$D$5:$GG$1380,$K2200,AH!$U$10))),NA()),NA())</f>
        <v/>
      </c>
      <c r="F2200" s="32">
        <f>IFERROR(IF(ISNUMBER($A2200),IF(AND(AH!$U$12=1,2195+1=AH!$U$6),IF(AH!$U$4=0,"unavailable",INDEX('Market Data'!$AO$5:$AO$66,AH!$U$4)),IF(AH!$U$5=1,INDEX('Live History'!$E$5:$E$3004,MATCH($A2200,'Live History'!$D$5:$D$3004,1)),INDEX('AH History'!$D$5:$GG$1380,$K2200,AH!$U$10+1))),NA()),NA())</f>
        <v/>
      </c>
      <c r="G2200" s="34">
        <f>IFERROR(IF(ISNUMBER($A2200),IF(AND(AH!$U$12=1,2195+1=AH!$U$6),IF(AH!$U$4=0,"unavailable",INDEX('Market Data'!$AK$5:$AK$66,AH!$U$4)),IF(AH!$U$5=1,INDEX('Live History'!$D$5:$D$3004,MATCH($A2200,'Live History'!$D$5:$D$3004,1)),INDEX('AH History'!$D$5:$GG$1380,$K2200,AH!$U$10+2))),NA()),NA())</f>
        <v/>
      </c>
      <c r="H2200" s="266">
        <f>IFERROR(IF(ISNUMBER($A2200),IF(AND(AH!$U$12=1,2195+1=AH!$U$6),IF(AH!$U$4=0,"unavailable",INDEX('Market Data'!$AP$5:$AP$66,AH!$U$4)),IF(AH!$U$5=1,INDEX('Live History'!$H$5:$H$3004,MATCH($A2200,'Live History'!$G$5:$G$3004,1)),INDEX('AH History'!$B$5:$B$1380,$K2200))),NA()),NA())</f>
        <v/>
      </c>
      <c r="I2200" s="34">
        <f>IFERROR(IF(ISNUMBER($A2200),IF(AND(AH!$U$12=1,2195+1=AH!$U$6),TODAY(),IF(AH!$U$5=1,INDEX('Live History'!$G$5:$G$3004,MATCH($A2200,'Live History'!$G$5:$G$3004,1)),INDEX('AH History'!$C$5:$C$1380,$K2200))),NA()),NA())</f>
        <v/>
      </c>
      <c r="J2200" s="32">
        <f>IFERROR(IF(AND($F2200&gt;0,$H2200&gt;0,$A2200-$G2200&lt;=10,$A2200-$I2200&lt;=5,$G2200&gt;0,$I2200&gt;0),$F2200*$H2200,NA()),NA())</f>
        <v/>
      </c>
      <c r="K2200" s="15">
        <f>IF($A2200="","",IF(AH!$U$5=1,IFERROR(MATCH($A2200,'Live History'!$A$5:$A$3004,0),0),AH!$U$7+2195))</f>
        <v/>
      </c>
      <c r="L2200" s="15">
        <f>IF(ISNUMBER(A2200),TEXT(A2200,"dd-mmm-yy"),"")</f>
        <v/>
      </c>
    </row>
    <row r="2201">
      <c r="A2201" s="14">
        <f>IF(OR(AH!$U$4=0,2196+1&gt;AH!$U$6,AND(AH!$M$5="Bloomberg",AH!$U$5=0)),"",IFERROR(IF(AND(AH!$U$12=1,2196+1=AH!$U$6),TODAY(),IF(AH!$U$5=1,INDEX('Live History'!$A$5:$A$3004,AH!$U$7+2196),INDEX('AH History'!$A$5:$A$1380,AH!$U$7+2196))),""))</f>
        <v/>
      </c>
      <c r="B2201" s="33">
        <f>IFERROR(IF(AH!$U$11=1,NA(),$J2201/$E2201-1),NA())</f>
        <v/>
      </c>
      <c r="C2201" s="269">
        <f>IFERROR(100*$E2201/$E$5,NA())</f>
        <v/>
      </c>
      <c r="D2201" s="269">
        <f>IFERROR(100*$J2201/$J$5,NA())</f>
        <v/>
      </c>
      <c r="E2201" s="32">
        <f>IFERROR(IF(AND(ISNUMBER($A2201),N(IF(AND(AH!$U$12=1,2196+1=AH!$U$6),IF(AH!$U$4=0,"unavailable",INDEX('Market Data'!$AN$5:$AN$66,AH!$U$4)),IF(AH!$U$5=1,INDEX('Live History'!$B$5:$B$3004,$K2201),INDEX('AH History'!$D$5:$GG$1380,$K2201,AH!$U$10))))&gt;0),IF(AND(AH!$U$12=1,2196+1=AH!$U$6),IF(AH!$U$4=0,"unavailable",INDEX('Market Data'!$AN$5:$AN$66,AH!$U$4)),IF(AH!$U$5=1,INDEX('Live History'!$B$5:$B$3004,$K2201),INDEX('AH History'!$D$5:$GG$1380,$K2201,AH!$U$10))),NA()),NA())</f>
        <v/>
      </c>
      <c r="F2201" s="32">
        <f>IFERROR(IF(ISNUMBER($A2201),IF(AND(AH!$U$12=1,2196+1=AH!$U$6),IF(AH!$U$4=0,"unavailable",INDEX('Market Data'!$AO$5:$AO$66,AH!$U$4)),IF(AH!$U$5=1,INDEX('Live History'!$E$5:$E$3004,MATCH($A2201,'Live History'!$D$5:$D$3004,1)),INDEX('AH History'!$D$5:$GG$1380,$K2201,AH!$U$10+1))),NA()),NA())</f>
        <v/>
      </c>
      <c r="G2201" s="34">
        <f>IFERROR(IF(ISNUMBER($A2201),IF(AND(AH!$U$12=1,2196+1=AH!$U$6),IF(AH!$U$4=0,"unavailable",INDEX('Market Data'!$AK$5:$AK$66,AH!$U$4)),IF(AH!$U$5=1,INDEX('Live History'!$D$5:$D$3004,MATCH($A2201,'Live History'!$D$5:$D$3004,1)),INDEX('AH History'!$D$5:$GG$1380,$K2201,AH!$U$10+2))),NA()),NA())</f>
        <v/>
      </c>
      <c r="H2201" s="266">
        <f>IFERROR(IF(ISNUMBER($A2201),IF(AND(AH!$U$12=1,2196+1=AH!$U$6),IF(AH!$U$4=0,"unavailable",INDEX('Market Data'!$AP$5:$AP$66,AH!$U$4)),IF(AH!$U$5=1,INDEX('Live History'!$H$5:$H$3004,MATCH($A2201,'Live History'!$G$5:$G$3004,1)),INDEX('AH History'!$B$5:$B$1380,$K2201))),NA()),NA())</f>
        <v/>
      </c>
      <c r="I2201" s="34">
        <f>IFERROR(IF(ISNUMBER($A2201),IF(AND(AH!$U$12=1,2196+1=AH!$U$6),TODAY(),IF(AH!$U$5=1,INDEX('Live History'!$G$5:$G$3004,MATCH($A2201,'Live History'!$G$5:$G$3004,1)),INDEX('AH History'!$C$5:$C$1380,$K2201))),NA()),NA())</f>
        <v/>
      </c>
      <c r="J2201" s="32">
        <f>IFERROR(IF(AND($F2201&gt;0,$H2201&gt;0,$A2201-$G2201&lt;=10,$A2201-$I2201&lt;=5,$G2201&gt;0,$I2201&gt;0),$F2201*$H2201,NA()),NA())</f>
        <v/>
      </c>
      <c r="K2201" s="15">
        <f>IF($A2201="","",IF(AH!$U$5=1,IFERROR(MATCH($A2201,'Live History'!$A$5:$A$3004,0),0),AH!$U$7+2196))</f>
        <v/>
      </c>
      <c r="L2201" s="15">
        <f>IF(ISNUMBER(A2201),TEXT(A2201,"dd-mmm-yy"),"")</f>
        <v/>
      </c>
    </row>
    <row r="2202">
      <c r="A2202" s="14">
        <f>IF(OR(AH!$U$4=0,2197+1&gt;AH!$U$6,AND(AH!$M$5="Bloomberg",AH!$U$5=0)),"",IFERROR(IF(AND(AH!$U$12=1,2197+1=AH!$U$6),TODAY(),IF(AH!$U$5=1,INDEX('Live History'!$A$5:$A$3004,AH!$U$7+2197),INDEX('AH History'!$A$5:$A$1380,AH!$U$7+2197))),""))</f>
        <v/>
      </c>
      <c r="B2202" s="33">
        <f>IFERROR(IF(AH!$U$11=1,NA(),$J2202/$E2202-1),NA())</f>
        <v/>
      </c>
      <c r="C2202" s="269">
        <f>IFERROR(100*$E2202/$E$5,NA())</f>
        <v/>
      </c>
      <c r="D2202" s="269">
        <f>IFERROR(100*$J2202/$J$5,NA())</f>
        <v/>
      </c>
      <c r="E2202" s="32">
        <f>IFERROR(IF(AND(ISNUMBER($A2202),N(IF(AND(AH!$U$12=1,2197+1=AH!$U$6),IF(AH!$U$4=0,"unavailable",INDEX('Market Data'!$AN$5:$AN$66,AH!$U$4)),IF(AH!$U$5=1,INDEX('Live History'!$B$5:$B$3004,$K2202),INDEX('AH History'!$D$5:$GG$1380,$K2202,AH!$U$10))))&gt;0),IF(AND(AH!$U$12=1,2197+1=AH!$U$6),IF(AH!$U$4=0,"unavailable",INDEX('Market Data'!$AN$5:$AN$66,AH!$U$4)),IF(AH!$U$5=1,INDEX('Live History'!$B$5:$B$3004,$K2202),INDEX('AH History'!$D$5:$GG$1380,$K2202,AH!$U$10))),NA()),NA())</f>
        <v/>
      </c>
      <c r="F2202" s="32">
        <f>IFERROR(IF(ISNUMBER($A2202),IF(AND(AH!$U$12=1,2197+1=AH!$U$6),IF(AH!$U$4=0,"unavailable",INDEX('Market Data'!$AO$5:$AO$66,AH!$U$4)),IF(AH!$U$5=1,INDEX('Live History'!$E$5:$E$3004,MATCH($A2202,'Live History'!$D$5:$D$3004,1)),INDEX('AH History'!$D$5:$GG$1380,$K2202,AH!$U$10+1))),NA()),NA())</f>
        <v/>
      </c>
      <c r="G2202" s="34">
        <f>IFERROR(IF(ISNUMBER($A2202),IF(AND(AH!$U$12=1,2197+1=AH!$U$6),IF(AH!$U$4=0,"unavailable",INDEX('Market Data'!$AK$5:$AK$66,AH!$U$4)),IF(AH!$U$5=1,INDEX('Live History'!$D$5:$D$3004,MATCH($A2202,'Live History'!$D$5:$D$3004,1)),INDEX('AH History'!$D$5:$GG$1380,$K2202,AH!$U$10+2))),NA()),NA())</f>
        <v/>
      </c>
      <c r="H2202" s="266">
        <f>IFERROR(IF(ISNUMBER($A2202),IF(AND(AH!$U$12=1,2197+1=AH!$U$6),IF(AH!$U$4=0,"unavailable",INDEX('Market Data'!$AP$5:$AP$66,AH!$U$4)),IF(AH!$U$5=1,INDEX('Live History'!$H$5:$H$3004,MATCH($A2202,'Live History'!$G$5:$G$3004,1)),INDEX('AH History'!$B$5:$B$1380,$K2202))),NA()),NA())</f>
        <v/>
      </c>
      <c r="I2202" s="34">
        <f>IFERROR(IF(ISNUMBER($A2202),IF(AND(AH!$U$12=1,2197+1=AH!$U$6),TODAY(),IF(AH!$U$5=1,INDEX('Live History'!$G$5:$G$3004,MATCH($A2202,'Live History'!$G$5:$G$3004,1)),INDEX('AH History'!$C$5:$C$1380,$K2202))),NA()),NA())</f>
        <v/>
      </c>
      <c r="J2202" s="32">
        <f>IFERROR(IF(AND($F2202&gt;0,$H2202&gt;0,$A2202-$G2202&lt;=10,$A2202-$I2202&lt;=5,$G2202&gt;0,$I2202&gt;0),$F2202*$H2202,NA()),NA())</f>
        <v/>
      </c>
      <c r="K2202" s="15">
        <f>IF($A2202="","",IF(AH!$U$5=1,IFERROR(MATCH($A2202,'Live History'!$A$5:$A$3004,0),0),AH!$U$7+2197))</f>
        <v/>
      </c>
      <c r="L2202" s="15">
        <f>IF(ISNUMBER(A2202),TEXT(A2202,"dd-mmm-yy"),"")</f>
        <v/>
      </c>
    </row>
    <row r="2203">
      <c r="A2203" s="14">
        <f>IF(OR(AH!$U$4=0,2198+1&gt;AH!$U$6,AND(AH!$M$5="Bloomberg",AH!$U$5=0)),"",IFERROR(IF(AND(AH!$U$12=1,2198+1=AH!$U$6),TODAY(),IF(AH!$U$5=1,INDEX('Live History'!$A$5:$A$3004,AH!$U$7+2198),INDEX('AH History'!$A$5:$A$1380,AH!$U$7+2198))),""))</f>
        <v/>
      </c>
      <c r="B2203" s="33">
        <f>IFERROR(IF(AH!$U$11=1,NA(),$J2203/$E2203-1),NA())</f>
        <v/>
      </c>
      <c r="C2203" s="269">
        <f>IFERROR(100*$E2203/$E$5,NA())</f>
        <v/>
      </c>
      <c r="D2203" s="269">
        <f>IFERROR(100*$J2203/$J$5,NA())</f>
        <v/>
      </c>
      <c r="E2203" s="32">
        <f>IFERROR(IF(AND(ISNUMBER($A2203),N(IF(AND(AH!$U$12=1,2198+1=AH!$U$6),IF(AH!$U$4=0,"unavailable",INDEX('Market Data'!$AN$5:$AN$66,AH!$U$4)),IF(AH!$U$5=1,INDEX('Live History'!$B$5:$B$3004,$K2203),INDEX('AH History'!$D$5:$GG$1380,$K2203,AH!$U$10))))&gt;0),IF(AND(AH!$U$12=1,2198+1=AH!$U$6),IF(AH!$U$4=0,"unavailable",INDEX('Market Data'!$AN$5:$AN$66,AH!$U$4)),IF(AH!$U$5=1,INDEX('Live History'!$B$5:$B$3004,$K2203),INDEX('AH History'!$D$5:$GG$1380,$K2203,AH!$U$10))),NA()),NA())</f>
        <v/>
      </c>
      <c r="F2203" s="32">
        <f>IFERROR(IF(ISNUMBER($A2203),IF(AND(AH!$U$12=1,2198+1=AH!$U$6),IF(AH!$U$4=0,"unavailable",INDEX('Market Data'!$AO$5:$AO$66,AH!$U$4)),IF(AH!$U$5=1,INDEX('Live History'!$E$5:$E$3004,MATCH($A2203,'Live History'!$D$5:$D$3004,1)),INDEX('AH History'!$D$5:$GG$1380,$K2203,AH!$U$10+1))),NA()),NA())</f>
        <v/>
      </c>
      <c r="G2203" s="34">
        <f>IFERROR(IF(ISNUMBER($A2203),IF(AND(AH!$U$12=1,2198+1=AH!$U$6),IF(AH!$U$4=0,"unavailable",INDEX('Market Data'!$AK$5:$AK$66,AH!$U$4)),IF(AH!$U$5=1,INDEX('Live History'!$D$5:$D$3004,MATCH($A2203,'Live History'!$D$5:$D$3004,1)),INDEX('AH History'!$D$5:$GG$1380,$K2203,AH!$U$10+2))),NA()),NA())</f>
        <v/>
      </c>
      <c r="H2203" s="266">
        <f>IFERROR(IF(ISNUMBER($A2203),IF(AND(AH!$U$12=1,2198+1=AH!$U$6),IF(AH!$U$4=0,"unavailable",INDEX('Market Data'!$AP$5:$AP$66,AH!$U$4)),IF(AH!$U$5=1,INDEX('Live History'!$H$5:$H$3004,MATCH($A2203,'Live History'!$G$5:$G$3004,1)),INDEX('AH History'!$B$5:$B$1380,$K2203))),NA()),NA())</f>
        <v/>
      </c>
      <c r="I2203" s="34">
        <f>IFERROR(IF(ISNUMBER($A2203),IF(AND(AH!$U$12=1,2198+1=AH!$U$6),TODAY(),IF(AH!$U$5=1,INDEX('Live History'!$G$5:$G$3004,MATCH($A2203,'Live History'!$G$5:$G$3004,1)),INDEX('AH History'!$C$5:$C$1380,$K2203))),NA()),NA())</f>
        <v/>
      </c>
      <c r="J2203" s="32">
        <f>IFERROR(IF(AND($F2203&gt;0,$H2203&gt;0,$A2203-$G2203&lt;=10,$A2203-$I2203&lt;=5,$G2203&gt;0,$I2203&gt;0),$F2203*$H2203,NA()),NA())</f>
        <v/>
      </c>
      <c r="K2203" s="15">
        <f>IF($A2203="","",IF(AH!$U$5=1,IFERROR(MATCH($A2203,'Live History'!$A$5:$A$3004,0),0),AH!$U$7+2198))</f>
        <v/>
      </c>
      <c r="L2203" s="15">
        <f>IF(ISNUMBER(A2203),TEXT(A2203,"dd-mmm-yy"),"")</f>
        <v/>
      </c>
    </row>
    <row r="2204">
      <c r="A2204" s="14">
        <f>IF(OR(AH!$U$4=0,2199+1&gt;AH!$U$6,AND(AH!$M$5="Bloomberg",AH!$U$5=0)),"",IFERROR(IF(AND(AH!$U$12=1,2199+1=AH!$U$6),TODAY(),IF(AH!$U$5=1,INDEX('Live History'!$A$5:$A$3004,AH!$U$7+2199),INDEX('AH History'!$A$5:$A$1380,AH!$U$7+2199))),""))</f>
        <v/>
      </c>
      <c r="B2204" s="33">
        <f>IFERROR(IF(AH!$U$11=1,NA(),$J2204/$E2204-1),NA())</f>
        <v/>
      </c>
      <c r="C2204" s="269">
        <f>IFERROR(100*$E2204/$E$5,NA())</f>
        <v/>
      </c>
      <c r="D2204" s="269">
        <f>IFERROR(100*$J2204/$J$5,NA())</f>
        <v/>
      </c>
      <c r="E2204" s="32">
        <f>IFERROR(IF(AND(ISNUMBER($A2204),N(IF(AND(AH!$U$12=1,2199+1=AH!$U$6),IF(AH!$U$4=0,"unavailable",INDEX('Market Data'!$AN$5:$AN$66,AH!$U$4)),IF(AH!$U$5=1,INDEX('Live History'!$B$5:$B$3004,$K2204),INDEX('AH History'!$D$5:$GG$1380,$K2204,AH!$U$10))))&gt;0),IF(AND(AH!$U$12=1,2199+1=AH!$U$6),IF(AH!$U$4=0,"unavailable",INDEX('Market Data'!$AN$5:$AN$66,AH!$U$4)),IF(AH!$U$5=1,INDEX('Live History'!$B$5:$B$3004,$K2204),INDEX('AH History'!$D$5:$GG$1380,$K2204,AH!$U$10))),NA()),NA())</f>
        <v/>
      </c>
      <c r="F2204" s="32">
        <f>IFERROR(IF(ISNUMBER($A2204),IF(AND(AH!$U$12=1,2199+1=AH!$U$6),IF(AH!$U$4=0,"unavailable",INDEX('Market Data'!$AO$5:$AO$66,AH!$U$4)),IF(AH!$U$5=1,INDEX('Live History'!$E$5:$E$3004,MATCH($A2204,'Live History'!$D$5:$D$3004,1)),INDEX('AH History'!$D$5:$GG$1380,$K2204,AH!$U$10+1))),NA()),NA())</f>
        <v/>
      </c>
      <c r="G2204" s="34">
        <f>IFERROR(IF(ISNUMBER($A2204),IF(AND(AH!$U$12=1,2199+1=AH!$U$6),IF(AH!$U$4=0,"unavailable",INDEX('Market Data'!$AK$5:$AK$66,AH!$U$4)),IF(AH!$U$5=1,INDEX('Live History'!$D$5:$D$3004,MATCH($A2204,'Live History'!$D$5:$D$3004,1)),INDEX('AH History'!$D$5:$GG$1380,$K2204,AH!$U$10+2))),NA()),NA())</f>
        <v/>
      </c>
      <c r="H2204" s="266">
        <f>IFERROR(IF(ISNUMBER($A2204),IF(AND(AH!$U$12=1,2199+1=AH!$U$6),IF(AH!$U$4=0,"unavailable",INDEX('Market Data'!$AP$5:$AP$66,AH!$U$4)),IF(AH!$U$5=1,INDEX('Live History'!$H$5:$H$3004,MATCH($A2204,'Live History'!$G$5:$G$3004,1)),INDEX('AH History'!$B$5:$B$1380,$K2204))),NA()),NA())</f>
        <v/>
      </c>
      <c r="I2204" s="34">
        <f>IFERROR(IF(ISNUMBER($A2204),IF(AND(AH!$U$12=1,2199+1=AH!$U$6),TODAY(),IF(AH!$U$5=1,INDEX('Live History'!$G$5:$G$3004,MATCH($A2204,'Live History'!$G$5:$G$3004,1)),INDEX('AH History'!$C$5:$C$1380,$K2204))),NA()),NA())</f>
        <v/>
      </c>
      <c r="J2204" s="32">
        <f>IFERROR(IF(AND($F2204&gt;0,$H2204&gt;0,$A2204-$G2204&lt;=10,$A2204-$I2204&lt;=5,$G2204&gt;0,$I2204&gt;0),$F2204*$H2204,NA()),NA())</f>
        <v/>
      </c>
      <c r="K2204" s="15">
        <f>IF($A2204="","",IF(AH!$U$5=1,IFERROR(MATCH($A2204,'Live History'!$A$5:$A$3004,0),0),AH!$U$7+2199))</f>
        <v/>
      </c>
      <c r="L2204" s="15">
        <f>IF(ISNUMBER(A2204),TEXT(A2204,"dd-mmm-yy"),"")</f>
        <v/>
      </c>
    </row>
    <row r="2205">
      <c r="A2205" s="14">
        <f>IF(OR(AH!$U$4=0,2200+1&gt;AH!$U$6,AND(AH!$M$5="Bloomberg",AH!$U$5=0)),"",IFERROR(IF(AND(AH!$U$12=1,2200+1=AH!$U$6),TODAY(),IF(AH!$U$5=1,INDEX('Live History'!$A$5:$A$3004,AH!$U$7+2200),INDEX('AH History'!$A$5:$A$1380,AH!$U$7+2200))),""))</f>
        <v/>
      </c>
      <c r="B2205" s="33">
        <f>IFERROR(IF(AH!$U$11=1,NA(),$J2205/$E2205-1),NA())</f>
        <v/>
      </c>
      <c r="C2205" s="269">
        <f>IFERROR(100*$E2205/$E$5,NA())</f>
        <v/>
      </c>
      <c r="D2205" s="269">
        <f>IFERROR(100*$J2205/$J$5,NA())</f>
        <v/>
      </c>
      <c r="E2205" s="32">
        <f>IFERROR(IF(AND(ISNUMBER($A2205),N(IF(AND(AH!$U$12=1,2200+1=AH!$U$6),IF(AH!$U$4=0,"unavailable",INDEX('Market Data'!$AN$5:$AN$66,AH!$U$4)),IF(AH!$U$5=1,INDEX('Live History'!$B$5:$B$3004,$K2205),INDEX('AH History'!$D$5:$GG$1380,$K2205,AH!$U$10))))&gt;0),IF(AND(AH!$U$12=1,2200+1=AH!$U$6),IF(AH!$U$4=0,"unavailable",INDEX('Market Data'!$AN$5:$AN$66,AH!$U$4)),IF(AH!$U$5=1,INDEX('Live History'!$B$5:$B$3004,$K2205),INDEX('AH History'!$D$5:$GG$1380,$K2205,AH!$U$10))),NA()),NA())</f>
        <v/>
      </c>
      <c r="F2205" s="32">
        <f>IFERROR(IF(ISNUMBER($A2205),IF(AND(AH!$U$12=1,2200+1=AH!$U$6),IF(AH!$U$4=0,"unavailable",INDEX('Market Data'!$AO$5:$AO$66,AH!$U$4)),IF(AH!$U$5=1,INDEX('Live History'!$E$5:$E$3004,MATCH($A2205,'Live History'!$D$5:$D$3004,1)),INDEX('AH History'!$D$5:$GG$1380,$K2205,AH!$U$10+1))),NA()),NA())</f>
        <v/>
      </c>
      <c r="G2205" s="34">
        <f>IFERROR(IF(ISNUMBER($A2205),IF(AND(AH!$U$12=1,2200+1=AH!$U$6),IF(AH!$U$4=0,"unavailable",INDEX('Market Data'!$AK$5:$AK$66,AH!$U$4)),IF(AH!$U$5=1,INDEX('Live History'!$D$5:$D$3004,MATCH($A2205,'Live History'!$D$5:$D$3004,1)),INDEX('AH History'!$D$5:$GG$1380,$K2205,AH!$U$10+2))),NA()),NA())</f>
        <v/>
      </c>
      <c r="H2205" s="266">
        <f>IFERROR(IF(ISNUMBER($A2205),IF(AND(AH!$U$12=1,2200+1=AH!$U$6),IF(AH!$U$4=0,"unavailable",INDEX('Market Data'!$AP$5:$AP$66,AH!$U$4)),IF(AH!$U$5=1,INDEX('Live History'!$H$5:$H$3004,MATCH($A2205,'Live History'!$G$5:$G$3004,1)),INDEX('AH History'!$B$5:$B$1380,$K2205))),NA()),NA())</f>
        <v/>
      </c>
      <c r="I2205" s="34">
        <f>IFERROR(IF(ISNUMBER($A2205),IF(AND(AH!$U$12=1,2200+1=AH!$U$6),TODAY(),IF(AH!$U$5=1,INDEX('Live History'!$G$5:$G$3004,MATCH($A2205,'Live History'!$G$5:$G$3004,1)),INDEX('AH History'!$C$5:$C$1380,$K2205))),NA()),NA())</f>
        <v/>
      </c>
      <c r="J2205" s="32">
        <f>IFERROR(IF(AND($F2205&gt;0,$H2205&gt;0,$A2205-$G2205&lt;=10,$A2205-$I2205&lt;=5,$G2205&gt;0,$I2205&gt;0),$F2205*$H2205,NA()),NA())</f>
        <v/>
      </c>
      <c r="K2205" s="15">
        <f>IF($A2205="","",IF(AH!$U$5=1,IFERROR(MATCH($A2205,'Live History'!$A$5:$A$3004,0),0),AH!$U$7+2200))</f>
        <v/>
      </c>
      <c r="L2205" s="15">
        <f>IF(ISNUMBER(A2205),TEXT(A2205,"dd-mmm-yy"),"")</f>
        <v/>
      </c>
    </row>
    <row r="2206">
      <c r="A2206" s="14">
        <f>IF(OR(AH!$U$4=0,2201+1&gt;AH!$U$6,AND(AH!$M$5="Bloomberg",AH!$U$5=0)),"",IFERROR(IF(AND(AH!$U$12=1,2201+1=AH!$U$6),TODAY(),IF(AH!$U$5=1,INDEX('Live History'!$A$5:$A$3004,AH!$U$7+2201),INDEX('AH History'!$A$5:$A$1380,AH!$U$7+2201))),""))</f>
        <v/>
      </c>
      <c r="B2206" s="33">
        <f>IFERROR(IF(AH!$U$11=1,NA(),$J2206/$E2206-1),NA())</f>
        <v/>
      </c>
      <c r="C2206" s="269">
        <f>IFERROR(100*$E2206/$E$5,NA())</f>
        <v/>
      </c>
      <c r="D2206" s="269">
        <f>IFERROR(100*$J2206/$J$5,NA())</f>
        <v/>
      </c>
      <c r="E2206" s="32">
        <f>IFERROR(IF(AND(ISNUMBER($A2206),N(IF(AND(AH!$U$12=1,2201+1=AH!$U$6),IF(AH!$U$4=0,"unavailable",INDEX('Market Data'!$AN$5:$AN$66,AH!$U$4)),IF(AH!$U$5=1,INDEX('Live History'!$B$5:$B$3004,$K2206),INDEX('AH History'!$D$5:$GG$1380,$K2206,AH!$U$10))))&gt;0),IF(AND(AH!$U$12=1,2201+1=AH!$U$6),IF(AH!$U$4=0,"unavailable",INDEX('Market Data'!$AN$5:$AN$66,AH!$U$4)),IF(AH!$U$5=1,INDEX('Live History'!$B$5:$B$3004,$K2206),INDEX('AH History'!$D$5:$GG$1380,$K2206,AH!$U$10))),NA()),NA())</f>
        <v/>
      </c>
      <c r="F2206" s="32">
        <f>IFERROR(IF(ISNUMBER($A2206),IF(AND(AH!$U$12=1,2201+1=AH!$U$6),IF(AH!$U$4=0,"unavailable",INDEX('Market Data'!$AO$5:$AO$66,AH!$U$4)),IF(AH!$U$5=1,INDEX('Live History'!$E$5:$E$3004,MATCH($A2206,'Live History'!$D$5:$D$3004,1)),INDEX('AH History'!$D$5:$GG$1380,$K2206,AH!$U$10+1))),NA()),NA())</f>
        <v/>
      </c>
      <c r="G2206" s="34">
        <f>IFERROR(IF(ISNUMBER($A2206),IF(AND(AH!$U$12=1,2201+1=AH!$U$6),IF(AH!$U$4=0,"unavailable",INDEX('Market Data'!$AK$5:$AK$66,AH!$U$4)),IF(AH!$U$5=1,INDEX('Live History'!$D$5:$D$3004,MATCH($A2206,'Live History'!$D$5:$D$3004,1)),INDEX('AH History'!$D$5:$GG$1380,$K2206,AH!$U$10+2))),NA()),NA())</f>
        <v/>
      </c>
      <c r="H2206" s="266">
        <f>IFERROR(IF(ISNUMBER($A2206),IF(AND(AH!$U$12=1,2201+1=AH!$U$6),IF(AH!$U$4=0,"unavailable",INDEX('Market Data'!$AP$5:$AP$66,AH!$U$4)),IF(AH!$U$5=1,INDEX('Live History'!$H$5:$H$3004,MATCH($A2206,'Live History'!$G$5:$G$3004,1)),INDEX('AH History'!$B$5:$B$1380,$K2206))),NA()),NA())</f>
        <v/>
      </c>
      <c r="I2206" s="34">
        <f>IFERROR(IF(ISNUMBER($A2206),IF(AND(AH!$U$12=1,2201+1=AH!$U$6),TODAY(),IF(AH!$U$5=1,INDEX('Live History'!$G$5:$G$3004,MATCH($A2206,'Live History'!$G$5:$G$3004,1)),INDEX('AH History'!$C$5:$C$1380,$K2206))),NA()),NA())</f>
        <v/>
      </c>
      <c r="J2206" s="32">
        <f>IFERROR(IF(AND($F2206&gt;0,$H2206&gt;0,$A2206-$G2206&lt;=10,$A2206-$I2206&lt;=5,$G2206&gt;0,$I2206&gt;0),$F2206*$H2206,NA()),NA())</f>
        <v/>
      </c>
      <c r="K2206" s="15">
        <f>IF($A2206="","",IF(AH!$U$5=1,IFERROR(MATCH($A2206,'Live History'!$A$5:$A$3004,0),0),AH!$U$7+2201))</f>
        <v/>
      </c>
      <c r="L2206" s="15">
        <f>IF(ISNUMBER(A2206),TEXT(A2206,"dd-mmm-yy"),"")</f>
        <v/>
      </c>
    </row>
    <row r="2207">
      <c r="A2207" s="14">
        <f>IF(OR(AH!$U$4=0,2202+1&gt;AH!$U$6,AND(AH!$M$5="Bloomberg",AH!$U$5=0)),"",IFERROR(IF(AND(AH!$U$12=1,2202+1=AH!$U$6),TODAY(),IF(AH!$U$5=1,INDEX('Live History'!$A$5:$A$3004,AH!$U$7+2202),INDEX('AH History'!$A$5:$A$1380,AH!$U$7+2202))),""))</f>
        <v/>
      </c>
      <c r="B2207" s="33">
        <f>IFERROR(IF(AH!$U$11=1,NA(),$J2207/$E2207-1),NA())</f>
        <v/>
      </c>
      <c r="C2207" s="269">
        <f>IFERROR(100*$E2207/$E$5,NA())</f>
        <v/>
      </c>
      <c r="D2207" s="269">
        <f>IFERROR(100*$J2207/$J$5,NA())</f>
        <v/>
      </c>
      <c r="E2207" s="32">
        <f>IFERROR(IF(AND(ISNUMBER($A2207),N(IF(AND(AH!$U$12=1,2202+1=AH!$U$6),IF(AH!$U$4=0,"unavailable",INDEX('Market Data'!$AN$5:$AN$66,AH!$U$4)),IF(AH!$U$5=1,INDEX('Live History'!$B$5:$B$3004,$K2207),INDEX('AH History'!$D$5:$GG$1380,$K2207,AH!$U$10))))&gt;0),IF(AND(AH!$U$12=1,2202+1=AH!$U$6),IF(AH!$U$4=0,"unavailable",INDEX('Market Data'!$AN$5:$AN$66,AH!$U$4)),IF(AH!$U$5=1,INDEX('Live History'!$B$5:$B$3004,$K2207),INDEX('AH History'!$D$5:$GG$1380,$K2207,AH!$U$10))),NA()),NA())</f>
        <v/>
      </c>
      <c r="F2207" s="32">
        <f>IFERROR(IF(ISNUMBER($A2207),IF(AND(AH!$U$12=1,2202+1=AH!$U$6),IF(AH!$U$4=0,"unavailable",INDEX('Market Data'!$AO$5:$AO$66,AH!$U$4)),IF(AH!$U$5=1,INDEX('Live History'!$E$5:$E$3004,MATCH($A2207,'Live History'!$D$5:$D$3004,1)),INDEX('AH History'!$D$5:$GG$1380,$K2207,AH!$U$10+1))),NA()),NA())</f>
        <v/>
      </c>
      <c r="G2207" s="34">
        <f>IFERROR(IF(ISNUMBER($A2207),IF(AND(AH!$U$12=1,2202+1=AH!$U$6),IF(AH!$U$4=0,"unavailable",INDEX('Market Data'!$AK$5:$AK$66,AH!$U$4)),IF(AH!$U$5=1,INDEX('Live History'!$D$5:$D$3004,MATCH($A2207,'Live History'!$D$5:$D$3004,1)),INDEX('AH History'!$D$5:$GG$1380,$K2207,AH!$U$10+2))),NA()),NA())</f>
        <v/>
      </c>
      <c r="H2207" s="266">
        <f>IFERROR(IF(ISNUMBER($A2207),IF(AND(AH!$U$12=1,2202+1=AH!$U$6),IF(AH!$U$4=0,"unavailable",INDEX('Market Data'!$AP$5:$AP$66,AH!$U$4)),IF(AH!$U$5=1,INDEX('Live History'!$H$5:$H$3004,MATCH($A2207,'Live History'!$G$5:$G$3004,1)),INDEX('AH History'!$B$5:$B$1380,$K2207))),NA()),NA())</f>
        <v/>
      </c>
      <c r="I2207" s="34">
        <f>IFERROR(IF(ISNUMBER($A2207),IF(AND(AH!$U$12=1,2202+1=AH!$U$6),TODAY(),IF(AH!$U$5=1,INDEX('Live History'!$G$5:$G$3004,MATCH($A2207,'Live History'!$G$5:$G$3004,1)),INDEX('AH History'!$C$5:$C$1380,$K2207))),NA()),NA())</f>
        <v/>
      </c>
      <c r="J2207" s="32">
        <f>IFERROR(IF(AND($F2207&gt;0,$H2207&gt;0,$A2207-$G2207&lt;=10,$A2207-$I2207&lt;=5,$G2207&gt;0,$I2207&gt;0),$F2207*$H2207,NA()),NA())</f>
        <v/>
      </c>
      <c r="K2207" s="15">
        <f>IF($A2207="","",IF(AH!$U$5=1,IFERROR(MATCH($A2207,'Live History'!$A$5:$A$3004,0),0),AH!$U$7+2202))</f>
        <v/>
      </c>
      <c r="L2207" s="15">
        <f>IF(ISNUMBER(A2207),TEXT(A2207,"dd-mmm-yy"),"")</f>
        <v/>
      </c>
    </row>
    <row r="2208">
      <c r="A2208" s="14">
        <f>IF(OR(AH!$U$4=0,2203+1&gt;AH!$U$6,AND(AH!$M$5="Bloomberg",AH!$U$5=0)),"",IFERROR(IF(AND(AH!$U$12=1,2203+1=AH!$U$6),TODAY(),IF(AH!$U$5=1,INDEX('Live History'!$A$5:$A$3004,AH!$U$7+2203),INDEX('AH History'!$A$5:$A$1380,AH!$U$7+2203))),""))</f>
        <v/>
      </c>
      <c r="B2208" s="33">
        <f>IFERROR(IF(AH!$U$11=1,NA(),$J2208/$E2208-1),NA())</f>
        <v/>
      </c>
      <c r="C2208" s="269">
        <f>IFERROR(100*$E2208/$E$5,NA())</f>
        <v/>
      </c>
      <c r="D2208" s="269">
        <f>IFERROR(100*$J2208/$J$5,NA())</f>
        <v/>
      </c>
      <c r="E2208" s="32">
        <f>IFERROR(IF(AND(ISNUMBER($A2208),N(IF(AND(AH!$U$12=1,2203+1=AH!$U$6),IF(AH!$U$4=0,"unavailable",INDEX('Market Data'!$AN$5:$AN$66,AH!$U$4)),IF(AH!$U$5=1,INDEX('Live History'!$B$5:$B$3004,$K2208),INDEX('AH History'!$D$5:$GG$1380,$K2208,AH!$U$10))))&gt;0),IF(AND(AH!$U$12=1,2203+1=AH!$U$6),IF(AH!$U$4=0,"unavailable",INDEX('Market Data'!$AN$5:$AN$66,AH!$U$4)),IF(AH!$U$5=1,INDEX('Live History'!$B$5:$B$3004,$K2208),INDEX('AH History'!$D$5:$GG$1380,$K2208,AH!$U$10))),NA()),NA())</f>
        <v/>
      </c>
      <c r="F2208" s="32">
        <f>IFERROR(IF(ISNUMBER($A2208),IF(AND(AH!$U$12=1,2203+1=AH!$U$6),IF(AH!$U$4=0,"unavailable",INDEX('Market Data'!$AO$5:$AO$66,AH!$U$4)),IF(AH!$U$5=1,INDEX('Live History'!$E$5:$E$3004,MATCH($A2208,'Live History'!$D$5:$D$3004,1)),INDEX('AH History'!$D$5:$GG$1380,$K2208,AH!$U$10+1))),NA()),NA())</f>
        <v/>
      </c>
      <c r="G2208" s="34">
        <f>IFERROR(IF(ISNUMBER($A2208),IF(AND(AH!$U$12=1,2203+1=AH!$U$6),IF(AH!$U$4=0,"unavailable",INDEX('Market Data'!$AK$5:$AK$66,AH!$U$4)),IF(AH!$U$5=1,INDEX('Live History'!$D$5:$D$3004,MATCH($A2208,'Live History'!$D$5:$D$3004,1)),INDEX('AH History'!$D$5:$GG$1380,$K2208,AH!$U$10+2))),NA()),NA())</f>
        <v/>
      </c>
      <c r="H2208" s="266">
        <f>IFERROR(IF(ISNUMBER($A2208),IF(AND(AH!$U$12=1,2203+1=AH!$U$6),IF(AH!$U$4=0,"unavailable",INDEX('Market Data'!$AP$5:$AP$66,AH!$U$4)),IF(AH!$U$5=1,INDEX('Live History'!$H$5:$H$3004,MATCH($A2208,'Live History'!$G$5:$G$3004,1)),INDEX('AH History'!$B$5:$B$1380,$K2208))),NA()),NA())</f>
        <v/>
      </c>
      <c r="I2208" s="34">
        <f>IFERROR(IF(ISNUMBER($A2208),IF(AND(AH!$U$12=1,2203+1=AH!$U$6),TODAY(),IF(AH!$U$5=1,INDEX('Live History'!$G$5:$G$3004,MATCH($A2208,'Live History'!$G$5:$G$3004,1)),INDEX('AH History'!$C$5:$C$1380,$K2208))),NA()),NA())</f>
        <v/>
      </c>
      <c r="J2208" s="32">
        <f>IFERROR(IF(AND($F2208&gt;0,$H2208&gt;0,$A2208-$G2208&lt;=10,$A2208-$I2208&lt;=5,$G2208&gt;0,$I2208&gt;0),$F2208*$H2208,NA()),NA())</f>
        <v/>
      </c>
      <c r="K2208" s="15">
        <f>IF($A2208="","",IF(AH!$U$5=1,IFERROR(MATCH($A2208,'Live History'!$A$5:$A$3004,0),0),AH!$U$7+2203))</f>
        <v/>
      </c>
      <c r="L2208" s="15">
        <f>IF(ISNUMBER(A2208),TEXT(A2208,"dd-mmm-yy"),"")</f>
        <v/>
      </c>
    </row>
    <row r="2209">
      <c r="A2209" s="14">
        <f>IF(OR(AH!$U$4=0,2204+1&gt;AH!$U$6,AND(AH!$M$5="Bloomberg",AH!$U$5=0)),"",IFERROR(IF(AND(AH!$U$12=1,2204+1=AH!$U$6),TODAY(),IF(AH!$U$5=1,INDEX('Live History'!$A$5:$A$3004,AH!$U$7+2204),INDEX('AH History'!$A$5:$A$1380,AH!$U$7+2204))),""))</f>
        <v/>
      </c>
      <c r="B2209" s="33">
        <f>IFERROR(IF(AH!$U$11=1,NA(),$J2209/$E2209-1),NA())</f>
        <v/>
      </c>
      <c r="C2209" s="269">
        <f>IFERROR(100*$E2209/$E$5,NA())</f>
        <v/>
      </c>
      <c r="D2209" s="269">
        <f>IFERROR(100*$J2209/$J$5,NA())</f>
        <v/>
      </c>
      <c r="E2209" s="32">
        <f>IFERROR(IF(AND(ISNUMBER($A2209),N(IF(AND(AH!$U$12=1,2204+1=AH!$U$6),IF(AH!$U$4=0,"unavailable",INDEX('Market Data'!$AN$5:$AN$66,AH!$U$4)),IF(AH!$U$5=1,INDEX('Live History'!$B$5:$B$3004,$K2209),INDEX('AH History'!$D$5:$GG$1380,$K2209,AH!$U$10))))&gt;0),IF(AND(AH!$U$12=1,2204+1=AH!$U$6),IF(AH!$U$4=0,"unavailable",INDEX('Market Data'!$AN$5:$AN$66,AH!$U$4)),IF(AH!$U$5=1,INDEX('Live History'!$B$5:$B$3004,$K2209),INDEX('AH History'!$D$5:$GG$1380,$K2209,AH!$U$10))),NA()),NA())</f>
        <v/>
      </c>
      <c r="F2209" s="32">
        <f>IFERROR(IF(ISNUMBER($A2209),IF(AND(AH!$U$12=1,2204+1=AH!$U$6),IF(AH!$U$4=0,"unavailable",INDEX('Market Data'!$AO$5:$AO$66,AH!$U$4)),IF(AH!$U$5=1,INDEX('Live History'!$E$5:$E$3004,MATCH($A2209,'Live History'!$D$5:$D$3004,1)),INDEX('AH History'!$D$5:$GG$1380,$K2209,AH!$U$10+1))),NA()),NA())</f>
        <v/>
      </c>
      <c r="G2209" s="34">
        <f>IFERROR(IF(ISNUMBER($A2209),IF(AND(AH!$U$12=1,2204+1=AH!$U$6),IF(AH!$U$4=0,"unavailable",INDEX('Market Data'!$AK$5:$AK$66,AH!$U$4)),IF(AH!$U$5=1,INDEX('Live History'!$D$5:$D$3004,MATCH($A2209,'Live History'!$D$5:$D$3004,1)),INDEX('AH History'!$D$5:$GG$1380,$K2209,AH!$U$10+2))),NA()),NA())</f>
        <v/>
      </c>
      <c r="H2209" s="266">
        <f>IFERROR(IF(ISNUMBER($A2209),IF(AND(AH!$U$12=1,2204+1=AH!$U$6),IF(AH!$U$4=0,"unavailable",INDEX('Market Data'!$AP$5:$AP$66,AH!$U$4)),IF(AH!$U$5=1,INDEX('Live History'!$H$5:$H$3004,MATCH($A2209,'Live History'!$G$5:$G$3004,1)),INDEX('AH History'!$B$5:$B$1380,$K2209))),NA()),NA())</f>
        <v/>
      </c>
      <c r="I2209" s="34">
        <f>IFERROR(IF(ISNUMBER($A2209),IF(AND(AH!$U$12=1,2204+1=AH!$U$6),TODAY(),IF(AH!$U$5=1,INDEX('Live History'!$G$5:$G$3004,MATCH($A2209,'Live History'!$G$5:$G$3004,1)),INDEX('AH History'!$C$5:$C$1380,$K2209))),NA()),NA())</f>
        <v/>
      </c>
      <c r="J2209" s="32">
        <f>IFERROR(IF(AND($F2209&gt;0,$H2209&gt;0,$A2209-$G2209&lt;=10,$A2209-$I2209&lt;=5,$G2209&gt;0,$I2209&gt;0),$F2209*$H2209,NA()),NA())</f>
        <v/>
      </c>
      <c r="K2209" s="15">
        <f>IF($A2209="","",IF(AH!$U$5=1,IFERROR(MATCH($A2209,'Live History'!$A$5:$A$3004,0),0),AH!$U$7+2204))</f>
        <v/>
      </c>
      <c r="L2209" s="15">
        <f>IF(ISNUMBER(A2209),TEXT(A2209,"dd-mmm-yy"),"")</f>
        <v/>
      </c>
    </row>
    <row r="2210">
      <c r="A2210" s="14">
        <f>IF(OR(AH!$U$4=0,2205+1&gt;AH!$U$6,AND(AH!$M$5="Bloomberg",AH!$U$5=0)),"",IFERROR(IF(AND(AH!$U$12=1,2205+1=AH!$U$6),TODAY(),IF(AH!$U$5=1,INDEX('Live History'!$A$5:$A$3004,AH!$U$7+2205),INDEX('AH History'!$A$5:$A$1380,AH!$U$7+2205))),""))</f>
        <v/>
      </c>
      <c r="B2210" s="33">
        <f>IFERROR(IF(AH!$U$11=1,NA(),$J2210/$E2210-1),NA())</f>
        <v/>
      </c>
      <c r="C2210" s="269">
        <f>IFERROR(100*$E2210/$E$5,NA())</f>
        <v/>
      </c>
      <c r="D2210" s="269">
        <f>IFERROR(100*$J2210/$J$5,NA())</f>
        <v/>
      </c>
      <c r="E2210" s="32">
        <f>IFERROR(IF(AND(ISNUMBER($A2210),N(IF(AND(AH!$U$12=1,2205+1=AH!$U$6),IF(AH!$U$4=0,"unavailable",INDEX('Market Data'!$AN$5:$AN$66,AH!$U$4)),IF(AH!$U$5=1,INDEX('Live History'!$B$5:$B$3004,$K2210),INDEX('AH History'!$D$5:$GG$1380,$K2210,AH!$U$10))))&gt;0),IF(AND(AH!$U$12=1,2205+1=AH!$U$6),IF(AH!$U$4=0,"unavailable",INDEX('Market Data'!$AN$5:$AN$66,AH!$U$4)),IF(AH!$U$5=1,INDEX('Live History'!$B$5:$B$3004,$K2210),INDEX('AH History'!$D$5:$GG$1380,$K2210,AH!$U$10))),NA()),NA())</f>
        <v/>
      </c>
      <c r="F2210" s="32">
        <f>IFERROR(IF(ISNUMBER($A2210),IF(AND(AH!$U$12=1,2205+1=AH!$U$6),IF(AH!$U$4=0,"unavailable",INDEX('Market Data'!$AO$5:$AO$66,AH!$U$4)),IF(AH!$U$5=1,INDEX('Live History'!$E$5:$E$3004,MATCH($A2210,'Live History'!$D$5:$D$3004,1)),INDEX('AH History'!$D$5:$GG$1380,$K2210,AH!$U$10+1))),NA()),NA())</f>
        <v/>
      </c>
      <c r="G2210" s="34">
        <f>IFERROR(IF(ISNUMBER($A2210),IF(AND(AH!$U$12=1,2205+1=AH!$U$6),IF(AH!$U$4=0,"unavailable",INDEX('Market Data'!$AK$5:$AK$66,AH!$U$4)),IF(AH!$U$5=1,INDEX('Live History'!$D$5:$D$3004,MATCH($A2210,'Live History'!$D$5:$D$3004,1)),INDEX('AH History'!$D$5:$GG$1380,$K2210,AH!$U$10+2))),NA()),NA())</f>
        <v/>
      </c>
      <c r="H2210" s="266">
        <f>IFERROR(IF(ISNUMBER($A2210),IF(AND(AH!$U$12=1,2205+1=AH!$U$6),IF(AH!$U$4=0,"unavailable",INDEX('Market Data'!$AP$5:$AP$66,AH!$U$4)),IF(AH!$U$5=1,INDEX('Live History'!$H$5:$H$3004,MATCH($A2210,'Live History'!$G$5:$G$3004,1)),INDEX('AH History'!$B$5:$B$1380,$K2210))),NA()),NA())</f>
        <v/>
      </c>
      <c r="I2210" s="34">
        <f>IFERROR(IF(ISNUMBER($A2210),IF(AND(AH!$U$12=1,2205+1=AH!$U$6),TODAY(),IF(AH!$U$5=1,INDEX('Live History'!$G$5:$G$3004,MATCH($A2210,'Live History'!$G$5:$G$3004,1)),INDEX('AH History'!$C$5:$C$1380,$K2210))),NA()),NA())</f>
        <v/>
      </c>
      <c r="J2210" s="32">
        <f>IFERROR(IF(AND($F2210&gt;0,$H2210&gt;0,$A2210-$G2210&lt;=10,$A2210-$I2210&lt;=5,$G2210&gt;0,$I2210&gt;0),$F2210*$H2210,NA()),NA())</f>
        <v/>
      </c>
      <c r="K2210" s="15">
        <f>IF($A2210="","",IF(AH!$U$5=1,IFERROR(MATCH($A2210,'Live History'!$A$5:$A$3004,0),0),AH!$U$7+2205))</f>
        <v/>
      </c>
      <c r="L2210" s="15">
        <f>IF(ISNUMBER(A2210),TEXT(A2210,"dd-mmm-yy"),"")</f>
        <v/>
      </c>
    </row>
    <row r="2211">
      <c r="A2211" s="14">
        <f>IF(OR(AH!$U$4=0,2206+1&gt;AH!$U$6,AND(AH!$M$5="Bloomberg",AH!$U$5=0)),"",IFERROR(IF(AND(AH!$U$12=1,2206+1=AH!$U$6),TODAY(),IF(AH!$U$5=1,INDEX('Live History'!$A$5:$A$3004,AH!$U$7+2206),INDEX('AH History'!$A$5:$A$1380,AH!$U$7+2206))),""))</f>
        <v/>
      </c>
      <c r="B2211" s="33">
        <f>IFERROR(IF(AH!$U$11=1,NA(),$J2211/$E2211-1),NA())</f>
        <v/>
      </c>
      <c r="C2211" s="269">
        <f>IFERROR(100*$E2211/$E$5,NA())</f>
        <v/>
      </c>
      <c r="D2211" s="269">
        <f>IFERROR(100*$J2211/$J$5,NA())</f>
        <v/>
      </c>
      <c r="E2211" s="32">
        <f>IFERROR(IF(AND(ISNUMBER($A2211),N(IF(AND(AH!$U$12=1,2206+1=AH!$U$6),IF(AH!$U$4=0,"unavailable",INDEX('Market Data'!$AN$5:$AN$66,AH!$U$4)),IF(AH!$U$5=1,INDEX('Live History'!$B$5:$B$3004,$K2211),INDEX('AH History'!$D$5:$GG$1380,$K2211,AH!$U$10))))&gt;0),IF(AND(AH!$U$12=1,2206+1=AH!$U$6),IF(AH!$U$4=0,"unavailable",INDEX('Market Data'!$AN$5:$AN$66,AH!$U$4)),IF(AH!$U$5=1,INDEX('Live History'!$B$5:$B$3004,$K2211),INDEX('AH History'!$D$5:$GG$1380,$K2211,AH!$U$10))),NA()),NA())</f>
        <v/>
      </c>
      <c r="F2211" s="32">
        <f>IFERROR(IF(ISNUMBER($A2211),IF(AND(AH!$U$12=1,2206+1=AH!$U$6),IF(AH!$U$4=0,"unavailable",INDEX('Market Data'!$AO$5:$AO$66,AH!$U$4)),IF(AH!$U$5=1,INDEX('Live History'!$E$5:$E$3004,MATCH($A2211,'Live History'!$D$5:$D$3004,1)),INDEX('AH History'!$D$5:$GG$1380,$K2211,AH!$U$10+1))),NA()),NA())</f>
        <v/>
      </c>
      <c r="G2211" s="34">
        <f>IFERROR(IF(ISNUMBER($A2211),IF(AND(AH!$U$12=1,2206+1=AH!$U$6),IF(AH!$U$4=0,"unavailable",INDEX('Market Data'!$AK$5:$AK$66,AH!$U$4)),IF(AH!$U$5=1,INDEX('Live History'!$D$5:$D$3004,MATCH($A2211,'Live History'!$D$5:$D$3004,1)),INDEX('AH History'!$D$5:$GG$1380,$K2211,AH!$U$10+2))),NA()),NA())</f>
        <v/>
      </c>
      <c r="H2211" s="266">
        <f>IFERROR(IF(ISNUMBER($A2211),IF(AND(AH!$U$12=1,2206+1=AH!$U$6),IF(AH!$U$4=0,"unavailable",INDEX('Market Data'!$AP$5:$AP$66,AH!$U$4)),IF(AH!$U$5=1,INDEX('Live History'!$H$5:$H$3004,MATCH($A2211,'Live History'!$G$5:$G$3004,1)),INDEX('AH History'!$B$5:$B$1380,$K2211))),NA()),NA())</f>
        <v/>
      </c>
      <c r="I2211" s="34">
        <f>IFERROR(IF(ISNUMBER($A2211),IF(AND(AH!$U$12=1,2206+1=AH!$U$6),TODAY(),IF(AH!$U$5=1,INDEX('Live History'!$G$5:$G$3004,MATCH($A2211,'Live History'!$G$5:$G$3004,1)),INDEX('AH History'!$C$5:$C$1380,$K2211))),NA()),NA())</f>
        <v/>
      </c>
      <c r="J2211" s="32">
        <f>IFERROR(IF(AND($F2211&gt;0,$H2211&gt;0,$A2211-$G2211&lt;=10,$A2211-$I2211&lt;=5,$G2211&gt;0,$I2211&gt;0),$F2211*$H2211,NA()),NA())</f>
        <v/>
      </c>
      <c r="K2211" s="15">
        <f>IF($A2211="","",IF(AH!$U$5=1,IFERROR(MATCH($A2211,'Live History'!$A$5:$A$3004,0),0),AH!$U$7+2206))</f>
        <v/>
      </c>
      <c r="L2211" s="15">
        <f>IF(ISNUMBER(A2211),TEXT(A2211,"dd-mmm-yy"),"")</f>
        <v/>
      </c>
    </row>
    <row r="2212">
      <c r="A2212" s="14">
        <f>IF(OR(AH!$U$4=0,2207+1&gt;AH!$U$6,AND(AH!$M$5="Bloomberg",AH!$U$5=0)),"",IFERROR(IF(AND(AH!$U$12=1,2207+1=AH!$U$6),TODAY(),IF(AH!$U$5=1,INDEX('Live History'!$A$5:$A$3004,AH!$U$7+2207),INDEX('AH History'!$A$5:$A$1380,AH!$U$7+2207))),""))</f>
        <v/>
      </c>
      <c r="B2212" s="33">
        <f>IFERROR(IF(AH!$U$11=1,NA(),$J2212/$E2212-1),NA())</f>
        <v/>
      </c>
      <c r="C2212" s="269">
        <f>IFERROR(100*$E2212/$E$5,NA())</f>
        <v/>
      </c>
      <c r="D2212" s="269">
        <f>IFERROR(100*$J2212/$J$5,NA())</f>
        <v/>
      </c>
      <c r="E2212" s="32">
        <f>IFERROR(IF(AND(ISNUMBER($A2212),N(IF(AND(AH!$U$12=1,2207+1=AH!$U$6),IF(AH!$U$4=0,"unavailable",INDEX('Market Data'!$AN$5:$AN$66,AH!$U$4)),IF(AH!$U$5=1,INDEX('Live History'!$B$5:$B$3004,$K2212),INDEX('AH History'!$D$5:$GG$1380,$K2212,AH!$U$10))))&gt;0),IF(AND(AH!$U$12=1,2207+1=AH!$U$6),IF(AH!$U$4=0,"unavailable",INDEX('Market Data'!$AN$5:$AN$66,AH!$U$4)),IF(AH!$U$5=1,INDEX('Live History'!$B$5:$B$3004,$K2212),INDEX('AH History'!$D$5:$GG$1380,$K2212,AH!$U$10))),NA()),NA())</f>
        <v/>
      </c>
      <c r="F2212" s="32">
        <f>IFERROR(IF(ISNUMBER($A2212),IF(AND(AH!$U$12=1,2207+1=AH!$U$6),IF(AH!$U$4=0,"unavailable",INDEX('Market Data'!$AO$5:$AO$66,AH!$U$4)),IF(AH!$U$5=1,INDEX('Live History'!$E$5:$E$3004,MATCH($A2212,'Live History'!$D$5:$D$3004,1)),INDEX('AH History'!$D$5:$GG$1380,$K2212,AH!$U$10+1))),NA()),NA())</f>
        <v/>
      </c>
      <c r="G2212" s="34">
        <f>IFERROR(IF(ISNUMBER($A2212),IF(AND(AH!$U$12=1,2207+1=AH!$U$6),IF(AH!$U$4=0,"unavailable",INDEX('Market Data'!$AK$5:$AK$66,AH!$U$4)),IF(AH!$U$5=1,INDEX('Live History'!$D$5:$D$3004,MATCH($A2212,'Live History'!$D$5:$D$3004,1)),INDEX('AH History'!$D$5:$GG$1380,$K2212,AH!$U$10+2))),NA()),NA())</f>
        <v/>
      </c>
      <c r="H2212" s="266">
        <f>IFERROR(IF(ISNUMBER($A2212),IF(AND(AH!$U$12=1,2207+1=AH!$U$6),IF(AH!$U$4=0,"unavailable",INDEX('Market Data'!$AP$5:$AP$66,AH!$U$4)),IF(AH!$U$5=1,INDEX('Live History'!$H$5:$H$3004,MATCH($A2212,'Live History'!$G$5:$G$3004,1)),INDEX('AH History'!$B$5:$B$1380,$K2212))),NA()),NA())</f>
        <v/>
      </c>
      <c r="I2212" s="34">
        <f>IFERROR(IF(ISNUMBER($A2212),IF(AND(AH!$U$12=1,2207+1=AH!$U$6),TODAY(),IF(AH!$U$5=1,INDEX('Live History'!$G$5:$G$3004,MATCH($A2212,'Live History'!$G$5:$G$3004,1)),INDEX('AH History'!$C$5:$C$1380,$K2212))),NA()),NA())</f>
        <v/>
      </c>
      <c r="J2212" s="32">
        <f>IFERROR(IF(AND($F2212&gt;0,$H2212&gt;0,$A2212-$G2212&lt;=10,$A2212-$I2212&lt;=5,$G2212&gt;0,$I2212&gt;0),$F2212*$H2212,NA()),NA())</f>
        <v/>
      </c>
      <c r="K2212" s="15">
        <f>IF($A2212="","",IF(AH!$U$5=1,IFERROR(MATCH($A2212,'Live History'!$A$5:$A$3004,0),0),AH!$U$7+2207))</f>
        <v/>
      </c>
      <c r="L2212" s="15">
        <f>IF(ISNUMBER(A2212),TEXT(A2212,"dd-mmm-yy"),"")</f>
        <v/>
      </c>
    </row>
    <row r="2213">
      <c r="A2213" s="14">
        <f>IF(OR(AH!$U$4=0,2208+1&gt;AH!$U$6,AND(AH!$M$5="Bloomberg",AH!$U$5=0)),"",IFERROR(IF(AND(AH!$U$12=1,2208+1=AH!$U$6),TODAY(),IF(AH!$U$5=1,INDEX('Live History'!$A$5:$A$3004,AH!$U$7+2208),INDEX('AH History'!$A$5:$A$1380,AH!$U$7+2208))),""))</f>
        <v/>
      </c>
      <c r="B2213" s="33">
        <f>IFERROR(IF(AH!$U$11=1,NA(),$J2213/$E2213-1),NA())</f>
        <v/>
      </c>
      <c r="C2213" s="269">
        <f>IFERROR(100*$E2213/$E$5,NA())</f>
        <v/>
      </c>
      <c r="D2213" s="269">
        <f>IFERROR(100*$J2213/$J$5,NA())</f>
        <v/>
      </c>
      <c r="E2213" s="32">
        <f>IFERROR(IF(AND(ISNUMBER($A2213),N(IF(AND(AH!$U$12=1,2208+1=AH!$U$6),IF(AH!$U$4=0,"unavailable",INDEX('Market Data'!$AN$5:$AN$66,AH!$U$4)),IF(AH!$U$5=1,INDEX('Live History'!$B$5:$B$3004,$K2213),INDEX('AH History'!$D$5:$GG$1380,$K2213,AH!$U$10))))&gt;0),IF(AND(AH!$U$12=1,2208+1=AH!$U$6),IF(AH!$U$4=0,"unavailable",INDEX('Market Data'!$AN$5:$AN$66,AH!$U$4)),IF(AH!$U$5=1,INDEX('Live History'!$B$5:$B$3004,$K2213),INDEX('AH History'!$D$5:$GG$1380,$K2213,AH!$U$10))),NA()),NA())</f>
        <v/>
      </c>
      <c r="F2213" s="32">
        <f>IFERROR(IF(ISNUMBER($A2213),IF(AND(AH!$U$12=1,2208+1=AH!$U$6),IF(AH!$U$4=0,"unavailable",INDEX('Market Data'!$AO$5:$AO$66,AH!$U$4)),IF(AH!$U$5=1,INDEX('Live History'!$E$5:$E$3004,MATCH($A2213,'Live History'!$D$5:$D$3004,1)),INDEX('AH History'!$D$5:$GG$1380,$K2213,AH!$U$10+1))),NA()),NA())</f>
        <v/>
      </c>
      <c r="G2213" s="34">
        <f>IFERROR(IF(ISNUMBER($A2213),IF(AND(AH!$U$12=1,2208+1=AH!$U$6),IF(AH!$U$4=0,"unavailable",INDEX('Market Data'!$AK$5:$AK$66,AH!$U$4)),IF(AH!$U$5=1,INDEX('Live History'!$D$5:$D$3004,MATCH($A2213,'Live History'!$D$5:$D$3004,1)),INDEX('AH History'!$D$5:$GG$1380,$K2213,AH!$U$10+2))),NA()),NA())</f>
        <v/>
      </c>
      <c r="H2213" s="266">
        <f>IFERROR(IF(ISNUMBER($A2213),IF(AND(AH!$U$12=1,2208+1=AH!$U$6),IF(AH!$U$4=0,"unavailable",INDEX('Market Data'!$AP$5:$AP$66,AH!$U$4)),IF(AH!$U$5=1,INDEX('Live History'!$H$5:$H$3004,MATCH($A2213,'Live History'!$G$5:$G$3004,1)),INDEX('AH History'!$B$5:$B$1380,$K2213))),NA()),NA())</f>
        <v/>
      </c>
      <c r="I2213" s="34">
        <f>IFERROR(IF(ISNUMBER($A2213),IF(AND(AH!$U$12=1,2208+1=AH!$U$6),TODAY(),IF(AH!$U$5=1,INDEX('Live History'!$G$5:$G$3004,MATCH($A2213,'Live History'!$G$5:$G$3004,1)),INDEX('AH History'!$C$5:$C$1380,$K2213))),NA()),NA())</f>
        <v/>
      </c>
      <c r="J2213" s="32">
        <f>IFERROR(IF(AND($F2213&gt;0,$H2213&gt;0,$A2213-$G2213&lt;=10,$A2213-$I2213&lt;=5,$G2213&gt;0,$I2213&gt;0),$F2213*$H2213,NA()),NA())</f>
        <v/>
      </c>
      <c r="K2213" s="15">
        <f>IF($A2213="","",IF(AH!$U$5=1,IFERROR(MATCH($A2213,'Live History'!$A$5:$A$3004,0),0),AH!$U$7+2208))</f>
        <v/>
      </c>
      <c r="L2213" s="15">
        <f>IF(ISNUMBER(A2213),TEXT(A2213,"dd-mmm-yy"),"")</f>
        <v/>
      </c>
    </row>
    <row r="2214">
      <c r="A2214" s="14">
        <f>IF(OR(AH!$U$4=0,2209+1&gt;AH!$U$6,AND(AH!$M$5="Bloomberg",AH!$U$5=0)),"",IFERROR(IF(AND(AH!$U$12=1,2209+1=AH!$U$6),TODAY(),IF(AH!$U$5=1,INDEX('Live History'!$A$5:$A$3004,AH!$U$7+2209),INDEX('AH History'!$A$5:$A$1380,AH!$U$7+2209))),""))</f>
        <v/>
      </c>
      <c r="B2214" s="33">
        <f>IFERROR(IF(AH!$U$11=1,NA(),$J2214/$E2214-1),NA())</f>
        <v/>
      </c>
      <c r="C2214" s="269">
        <f>IFERROR(100*$E2214/$E$5,NA())</f>
        <v/>
      </c>
      <c r="D2214" s="269">
        <f>IFERROR(100*$J2214/$J$5,NA())</f>
        <v/>
      </c>
      <c r="E2214" s="32">
        <f>IFERROR(IF(AND(ISNUMBER($A2214),N(IF(AND(AH!$U$12=1,2209+1=AH!$U$6),IF(AH!$U$4=0,"unavailable",INDEX('Market Data'!$AN$5:$AN$66,AH!$U$4)),IF(AH!$U$5=1,INDEX('Live History'!$B$5:$B$3004,$K2214),INDEX('AH History'!$D$5:$GG$1380,$K2214,AH!$U$10))))&gt;0),IF(AND(AH!$U$12=1,2209+1=AH!$U$6),IF(AH!$U$4=0,"unavailable",INDEX('Market Data'!$AN$5:$AN$66,AH!$U$4)),IF(AH!$U$5=1,INDEX('Live History'!$B$5:$B$3004,$K2214),INDEX('AH History'!$D$5:$GG$1380,$K2214,AH!$U$10))),NA()),NA())</f>
        <v/>
      </c>
      <c r="F2214" s="32">
        <f>IFERROR(IF(ISNUMBER($A2214),IF(AND(AH!$U$12=1,2209+1=AH!$U$6),IF(AH!$U$4=0,"unavailable",INDEX('Market Data'!$AO$5:$AO$66,AH!$U$4)),IF(AH!$U$5=1,INDEX('Live History'!$E$5:$E$3004,MATCH($A2214,'Live History'!$D$5:$D$3004,1)),INDEX('AH History'!$D$5:$GG$1380,$K2214,AH!$U$10+1))),NA()),NA())</f>
        <v/>
      </c>
      <c r="G2214" s="34">
        <f>IFERROR(IF(ISNUMBER($A2214),IF(AND(AH!$U$12=1,2209+1=AH!$U$6),IF(AH!$U$4=0,"unavailable",INDEX('Market Data'!$AK$5:$AK$66,AH!$U$4)),IF(AH!$U$5=1,INDEX('Live History'!$D$5:$D$3004,MATCH($A2214,'Live History'!$D$5:$D$3004,1)),INDEX('AH History'!$D$5:$GG$1380,$K2214,AH!$U$10+2))),NA()),NA())</f>
        <v/>
      </c>
      <c r="H2214" s="266">
        <f>IFERROR(IF(ISNUMBER($A2214),IF(AND(AH!$U$12=1,2209+1=AH!$U$6),IF(AH!$U$4=0,"unavailable",INDEX('Market Data'!$AP$5:$AP$66,AH!$U$4)),IF(AH!$U$5=1,INDEX('Live History'!$H$5:$H$3004,MATCH($A2214,'Live History'!$G$5:$G$3004,1)),INDEX('AH History'!$B$5:$B$1380,$K2214))),NA()),NA())</f>
        <v/>
      </c>
      <c r="I2214" s="34">
        <f>IFERROR(IF(ISNUMBER($A2214),IF(AND(AH!$U$12=1,2209+1=AH!$U$6),TODAY(),IF(AH!$U$5=1,INDEX('Live History'!$G$5:$G$3004,MATCH($A2214,'Live History'!$G$5:$G$3004,1)),INDEX('AH History'!$C$5:$C$1380,$K2214))),NA()),NA())</f>
        <v/>
      </c>
      <c r="J2214" s="32">
        <f>IFERROR(IF(AND($F2214&gt;0,$H2214&gt;0,$A2214-$G2214&lt;=10,$A2214-$I2214&lt;=5,$G2214&gt;0,$I2214&gt;0),$F2214*$H2214,NA()),NA())</f>
        <v/>
      </c>
      <c r="K2214" s="15">
        <f>IF($A2214="","",IF(AH!$U$5=1,IFERROR(MATCH($A2214,'Live History'!$A$5:$A$3004,0),0),AH!$U$7+2209))</f>
        <v/>
      </c>
      <c r="L2214" s="15">
        <f>IF(ISNUMBER(A2214),TEXT(A2214,"dd-mmm-yy"),"")</f>
        <v/>
      </c>
    </row>
    <row r="2215">
      <c r="A2215" s="14">
        <f>IF(OR(AH!$U$4=0,2210+1&gt;AH!$U$6,AND(AH!$M$5="Bloomberg",AH!$U$5=0)),"",IFERROR(IF(AND(AH!$U$12=1,2210+1=AH!$U$6),TODAY(),IF(AH!$U$5=1,INDEX('Live History'!$A$5:$A$3004,AH!$U$7+2210),INDEX('AH History'!$A$5:$A$1380,AH!$U$7+2210))),""))</f>
        <v/>
      </c>
      <c r="B2215" s="33">
        <f>IFERROR(IF(AH!$U$11=1,NA(),$J2215/$E2215-1),NA())</f>
        <v/>
      </c>
      <c r="C2215" s="269">
        <f>IFERROR(100*$E2215/$E$5,NA())</f>
        <v/>
      </c>
      <c r="D2215" s="269">
        <f>IFERROR(100*$J2215/$J$5,NA())</f>
        <v/>
      </c>
      <c r="E2215" s="32">
        <f>IFERROR(IF(AND(ISNUMBER($A2215),N(IF(AND(AH!$U$12=1,2210+1=AH!$U$6),IF(AH!$U$4=0,"unavailable",INDEX('Market Data'!$AN$5:$AN$66,AH!$U$4)),IF(AH!$U$5=1,INDEX('Live History'!$B$5:$B$3004,$K2215),INDEX('AH History'!$D$5:$GG$1380,$K2215,AH!$U$10))))&gt;0),IF(AND(AH!$U$12=1,2210+1=AH!$U$6),IF(AH!$U$4=0,"unavailable",INDEX('Market Data'!$AN$5:$AN$66,AH!$U$4)),IF(AH!$U$5=1,INDEX('Live History'!$B$5:$B$3004,$K2215),INDEX('AH History'!$D$5:$GG$1380,$K2215,AH!$U$10))),NA()),NA())</f>
        <v/>
      </c>
      <c r="F2215" s="32">
        <f>IFERROR(IF(ISNUMBER($A2215),IF(AND(AH!$U$12=1,2210+1=AH!$U$6),IF(AH!$U$4=0,"unavailable",INDEX('Market Data'!$AO$5:$AO$66,AH!$U$4)),IF(AH!$U$5=1,INDEX('Live History'!$E$5:$E$3004,MATCH($A2215,'Live History'!$D$5:$D$3004,1)),INDEX('AH History'!$D$5:$GG$1380,$K2215,AH!$U$10+1))),NA()),NA())</f>
        <v/>
      </c>
      <c r="G2215" s="34">
        <f>IFERROR(IF(ISNUMBER($A2215),IF(AND(AH!$U$12=1,2210+1=AH!$U$6),IF(AH!$U$4=0,"unavailable",INDEX('Market Data'!$AK$5:$AK$66,AH!$U$4)),IF(AH!$U$5=1,INDEX('Live History'!$D$5:$D$3004,MATCH($A2215,'Live History'!$D$5:$D$3004,1)),INDEX('AH History'!$D$5:$GG$1380,$K2215,AH!$U$10+2))),NA()),NA())</f>
        <v/>
      </c>
      <c r="H2215" s="266">
        <f>IFERROR(IF(ISNUMBER($A2215),IF(AND(AH!$U$12=1,2210+1=AH!$U$6),IF(AH!$U$4=0,"unavailable",INDEX('Market Data'!$AP$5:$AP$66,AH!$U$4)),IF(AH!$U$5=1,INDEX('Live History'!$H$5:$H$3004,MATCH($A2215,'Live History'!$G$5:$G$3004,1)),INDEX('AH History'!$B$5:$B$1380,$K2215))),NA()),NA())</f>
        <v/>
      </c>
      <c r="I2215" s="34">
        <f>IFERROR(IF(ISNUMBER($A2215),IF(AND(AH!$U$12=1,2210+1=AH!$U$6),TODAY(),IF(AH!$U$5=1,INDEX('Live History'!$G$5:$G$3004,MATCH($A2215,'Live History'!$G$5:$G$3004,1)),INDEX('AH History'!$C$5:$C$1380,$K2215))),NA()),NA())</f>
        <v/>
      </c>
      <c r="J2215" s="32">
        <f>IFERROR(IF(AND($F2215&gt;0,$H2215&gt;0,$A2215-$G2215&lt;=10,$A2215-$I2215&lt;=5,$G2215&gt;0,$I2215&gt;0),$F2215*$H2215,NA()),NA())</f>
        <v/>
      </c>
      <c r="K2215" s="15">
        <f>IF($A2215="","",IF(AH!$U$5=1,IFERROR(MATCH($A2215,'Live History'!$A$5:$A$3004,0),0),AH!$U$7+2210))</f>
        <v/>
      </c>
      <c r="L2215" s="15">
        <f>IF(ISNUMBER(A2215),TEXT(A2215,"dd-mmm-yy"),"")</f>
        <v/>
      </c>
    </row>
    <row r="2216">
      <c r="A2216" s="14">
        <f>IF(OR(AH!$U$4=0,2211+1&gt;AH!$U$6,AND(AH!$M$5="Bloomberg",AH!$U$5=0)),"",IFERROR(IF(AND(AH!$U$12=1,2211+1=AH!$U$6),TODAY(),IF(AH!$U$5=1,INDEX('Live History'!$A$5:$A$3004,AH!$U$7+2211),INDEX('AH History'!$A$5:$A$1380,AH!$U$7+2211))),""))</f>
        <v/>
      </c>
      <c r="B2216" s="33">
        <f>IFERROR(IF(AH!$U$11=1,NA(),$J2216/$E2216-1),NA())</f>
        <v/>
      </c>
      <c r="C2216" s="269">
        <f>IFERROR(100*$E2216/$E$5,NA())</f>
        <v/>
      </c>
      <c r="D2216" s="269">
        <f>IFERROR(100*$J2216/$J$5,NA())</f>
        <v/>
      </c>
      <c r="E2216" s="32">
        <f>IFERROR(IF(AND(ISNUMBER($A2216),N(IF(AND(AH!$U$12=1,2211+1=AH!$U$6),IF(AH!$U$4=0,"unavailable",INDEX('Market Data'!$AN$5:$AN$66,AH!$U$4)),IF(AH!$U$5=1,INDEX('Live History'!$B$5:$B$3004,$K2216),INDEX('AH History'!$D$5:$GG$1380,$K2216,AH!$U$10))))&gt;0),IF(AND(AH!$U$12=1,2211+1=AH!$U$6),IF(AH!$U$4=0,"unavailable",INDEX('Market Data'!$AN$5:$AN$66,AH!$U$4)),IF(AH!$U$5=1,INDEX('Live History'!$B$5:$B$3004,$K2216),INDEX('AH History'!$D$5:$GG$1380,$K2216,AH!$U$10))),NA()),NA())</f>
        <v/>
      </c>
      <c r="F2216" s="32">
        <f>IFERROR(IF(ISNUMBER($A2216),IF(AND(AH!$U$12=1,2211+1=AH!$U$6),IF(AH!$U$4=0,"unavailable",INDEX('Market Data'!$AO$5:$AO$66,AH!$U$4)),IF(AH!$U$5=1,INDEX('Live History'!$E$5:$E$3004,MATCH($A2216,'Live History'!$D$5:$D$3004,1)),INDEX('AH History'!$D$5:$GG$1380,$K2216,AH!$U$10+1))),NA()),NA())</f>
        <v/>
      </c>
      <c r="G2216" s="34">
        <f>IFERROR(IF(ISNUMBER($A2216),IF(AND(AH!$U$12=1,2211+1=AH!$U$6),IF(AH!$U$4=0,"unavailable",INDEX('Market Data'!$AK$5:$AK$66,AH!$U$4)),IF(AH!$U$5=1,INDEX('Live History'!$D$5:$D$3004,MATCH($A2216,'Live History'!$D$5:$D$3004,1)),INDEX('AH History'!$D$5:$GG$1380,$K2216,AH!$U$10+2))),NA()),NA())</f>
        <v/>
      </c>
      <c r="H2216" s="266">
        <f>IFERROR(IF(ISNUMBER($A2216),IF(AND(AH!$U$12=1,2211+1=AH!$U$6),IF(AH!$U$4=0,"unavailable",INDEX('Market Data'!$AP$5:$AP$66,AH!$U$4)),IF(AH!$U$5=1,INDEX('Live History'!$H$5:$H$3004,MATCH($A2216,'Live History'!$G$5:$G$3004,1)),INDEX('AH History'!$B$5:$B$1380,$K2216))),NA()),NA())</f>
        <v/>
      </c>
      <c r="I2216" s="34">
        <f>IFERROR(IF(ISNUMBER($A2216),IF(AND(AH!$U$12=1,2211+1=AH!$U$6),TODAY(),IF(AH!$U$5=1,INDEX('Live History'!$G$5:$G$3004,MATCH($A2216,'Live History'!$G$5:$G$3004,1)),INDEX('AH History'!$C$5:$C$1380,$K2216))),NA()),NA())</f>
        <v/>
      </c>
      <c r="J2216" s="32">
        <f>IFERROR(IF(AND($F2216&gt;0,$H2216&gt;0,$A2216-$G2216&lt;=10,$A2216-$I2216&lt;=5,$G2216&gt;0,$I2216&gt;0),$F2216*$H2216,NA()),NA())</f>
        <v/>
      </c>
      <c r="K2216" s="15">
        <f>IF($A2216="","",IF(AH!$U$5=1,IFERROR(MATCH($A2216,'Live History'!$A$5:$A$3004,0),0),AH!$U$7+2211))</f>
        <v/>
      </c>
      <c r="L2216" s="15">
        <f>IF(ISNUMBER(A2216),TEXT(A2216,"dd-mmm-yy"),"")</f>
        <v/>
      </c>
    </row>
    <row r="2217">
      <c r="A2217" s="14">
        <f>IF(OR(AH!$U$4=0,2212+1&gt;AH!$U$6,AND(AH!$M$5="Bloomberg",AH!$U$5=0)),"",IFERROR(IF(AND(AH!$U$12=1,2212+1=AH!$U$6),TODAY(),IF(AH!$U$5=1,INDEX('Live History'!$A$5:$A$3004,AH!$U$7+2212),INDEX('AH History'!$A$5:$A$1380,AH!$U$7+2212))),""))</f>
        <v/>
      </c>
      <c r="B2217" s="33">
        <f>IFERROR(IF(AH!$U$11=1,NA(),$J2217/$E2217-1),NA())</f>
        <v/>
      </c>
      <c r="C2217" s="269">
        <f>IFERROR(100*$E2217/$E$5,NA())</f>
        <v/>
      </c>
      <c r="D2217" s="269">
        <f>IFERROR(100*$J2217/$J$5,NA())</f>
        <v/>
      </c>
      <c r="E2217" s="32">
        <f>IFERROR(IF(AND(ISNUMBER($A2217),N(IF(AND(AH!$U$12=1,2212+1=AH!$U$6),IF(AH!$U$4=0,"unavailable",INDEX('Market Data'!$AN$5:$AN$66,AH!$U$4)),IF(AH!$U$5=1,INDEX('Live History'!$B$5:$B$3004,$K2217),INDEX('AH History'!$D$5:$GG$1380,$K2217,AH!$U$10))))&gt;0),IF(AND(AH!$U$12=1,2212+1=AH!$U$6),IF(AH!$U$4=0,"unavailable",INDEX('Market Data'!$AN$5:$AN$66,AH!$U$4)),IF(AH!$U$5=1,INDEX('Live History'!$B$5:$B$3004,$K2217),INDEX('AH History'!$D$5:$GG$1380,$K2217,AH!$U$10))),NA()),NA())</f>
        <v/>
      </c>
      <c r="F2217" s="32">
        <f>IFERROR(IF(ISNUMBER($A2217),IF(AND(AH!$U$12=1,2212+1=AH!$U$6),IF(AH!$U$4=0,"unavailable",INDEX('Market Data'!$AO$5:$AO$66,AH!$U$4)),IF(AH!$U$5=1,INDEX('Live History'!$E$5:$E$3004,MATCH($A2217,'Live History'!$D$5:$D$3004,1)),INDEX('AH History'!$D$5:$GG$1380,$K2217,AH!$U$10+1))),NA()),NA())</f>
        <v/>
      </c>
      <c r="G2217" s="34">
        <f>IFERROR(IF(ISNUMBER($A2217),IF(AND(AH!$U$12=1,2212+1=AH!$U$6),IF(AH!$U$4=0,"unavailable",INDEX('Market Data'!$AK$5:$AK$66,AH!$U$4)),IF(AH!$U$5=1,INDEX('Live History'!$D$5:$D$3004,MATCH($A2217,'Live History'!$D$5:$D$3004,1)),INDEX('AH History'!$D$5:$GG$1380,$K2217,AH!$U$10+2))),NA()),NA())</f>
        <v/>
      </c>
      <c r="H2217" s="266">
        <f>IFERROR(IF(ISNUMBER($A2217),IF(AND(AH!$U$12=1,2212+1=AH!$U$6),IF(AH!$U$4=0,"unavailable",INDEX('Market Data'!$AP$5:$AP$66,AH!$U$4)),IF(AH!$U$5=1,INDEX('Live History'!$H$5:$H$3004,MATCH($A2217,'Live History'!$G$5:$G$3004,1)),INDEX('AH History'!$B$5:$B$1380,$K2217))),NA()),NA())</f>
        <v/>
      </c>
      <c r="I2217" s="34">
        <f>IFERROR(IF(ISNUMBER($A2217),IF(AND(AH!$U$12=1,2212+1=AH!$U$6),TODAY(),IF(AH!$U$5=1,INDEX('Live History'!$G$5:$G$3004,MATCH($A2217,'Live History'!$G$5:$G$3004,1)),INDEX('AH History'!$C$5:$C$1380,$K2217))),NA()),NA())</f>
        <v/>
      </c>
      <c r="J2217" s="32">
        <f>IFERROR(IF(AND($F2217&gt;0,$H2217&gt;0,$A2217-$G2217&lt;=10,$A2217-$I2217&lt;=5,$G2217&gt;0,$I2217&gt;0),$F2217*$H2217,NA()),NA())</f>
        <v/>
      </c>
      <c r="K2217" s="15">
        <f>IF($A2217="","",IF(AH!$U$5=1,IFERROR(MATCH($A2217,'Live History'!$A$5:$A$3004,0),0),AH!$U$7+2212))</f>
        <v/>
      </c>
      <c r="L2217" s="15">
        <f>IF(ISNUMBER(A2217),TEXT(A2217,"dd-mmm-yy"),"")</f>
        <v/>
      </c>
    </row>
    <row r="2218">
      <c r="A2218" s="14">
        <f>IF(OR(AH!$U$4=0,2213+1&gt;AH!$U$6,AND(AH!$M$5="Bloomberg",AH!$U$5=0)),"",IFERROR(IF(AND(AH!$U$12=1,2213+1=AH!$U$6),TODAY(),IF(AH!$U$5=1,INDEX('Live History'!$A$5:$A$3004,AH!$U$7+2213),INDEX('AH History'!$A$5:$A$1380,AH!$U$7+2213))),""))</f>
        <v/>
      </c>
      <c r="B2218" s="33">
        <f>IFERROR(IF(AH!$U$11=1,NA(),$J2218/$E2218-1),NA())</f>
        <v/>
      </c>
      <c r="C2218" s="269">
        <f>IFERROR(100*$E2218/$E$5,NA())</f>
        <v/>
      </c>
      <c r="D2218" s="269">
        <f>IFERROR(100*$J2218/$J$5,NA())</f>
        <v/>
      </c>
      <c r="E2218" s="32">
        <f>IFERROR(IF(AND(ISNUMBER($A2218),N(IF(AND(AH!$U$12=1,2213+1=AH!$U$6),IF(AH!$U$4=0,"unavailable",INDEX('Market Data'!$AN$5:$AN$66,AH!$U$4)),IF(AH!$U$5=1,INDEX('Live History'!$B$5:$B$3004,$K2218),INDEX('AH History'!$D$5:$GG$1380,$K2218,AH!$U$10))))&gt;0),IF(AND(AH!$U$12=1,2213+1=AH!$U$6),IF(AH!$U$4=0,"unavailable",INDEX('Market Data'!$AN$5:$AN$66,AH!$U$4)),IF(AH!$U$5=1,INDEX('Live History'!$B$5:$B$3004,$K2218),INDEX('AH History'!$D$5:$GG$1380,$K2218,AH!$U$10))),NA()),NA())</f>
        <v/>
      </c>
      <c r="F2218" s="32">
        <f>IFERROR(IF(ISNUMBER($A2218),IF(AND(AH!$U$12=1,2213+1=AH!$U$6),IF(AH!$U$4=0,"unavailable",INDEX('Market Data'!$AO$5:$AO$66,AH!$U$4)),IF(AH!$U$5=1,INDEX('Live History'!$E$5:$E$3004,MATCH($A2218,'Live History'!$D$5:$D$3004,1)),INDEX('AH History'!$D$5:$GG$1380,$K2218,AH!$U$10+1))),NA()),NA())</f>
        <v/>
      </c>
      <c r="G2218" s="34">
        <f>IFERROR(IF(ISNUMBER($A2218),IF(AND(AH!$U$12=1,2213+1=AH!$U$6),IF(AH!$U$4=0,"unavailable",INDEX('Market Data'!$AK$5:$AK$66,AH!$U$4)),IF(AH!$U$5=1,INDEX('Live History'!$D$5:$D$3004,MATCH($A2218,'Live History'!$D$5:$D$3004,1)),INDEX('AH History'!$D$5:$GG$1380,$K2218,AH!$U$10+2))),NA()),NA())</f>
        <v/>
      </c>
      <c r="H2218" s="266">
        <f>IFERROR(IF(ISNUMBER($A2218),IF(AND(AH!$U$12=1,2213+1=AH!$U$6),IF(AH!$U$4=0,"unavailable",INDEX('Market Data'!$AP$5:$AP$66,AH!$U$4)),IF(AH!$U$5=1,INDEX('Live History'!$H$5:$H$3004,MATCH($A2218,'Live History'!$G$5:$G$3004,1)),INDEX('AH History'!$B$5:$B$1380,$K2218))),NA()),NA())</f>
        <v/>
      </c>
      <c r="I2218" s="34">
        <f>IFERROR(IF(ISNUMBER($A2218),IF(AND(AH!$U$12=1,2213+1=AH!$U$6),TODAY(),IF(AH!$U$5=1,INDEX('Live History'!$G$5:$G$3004,MATCH($A2218,'Live History'!$G$5:$G$3004,1)),INDEX('AH History'!$C$5:$C$1380,$K2218))),NA()),NA())</f>
        <v/>
      </c>
      <c r="J2218" s="32">
        <f>IFERROR(IF(AND($F2218&gt;0,$H2218&gt;0,$A2218-$G2218&lt;=10,$A2218-$I2218&lt;=5,$G2218&gt;0,$I2218&gt;0),$F2218*$H2218,NA()),NA())</f>
        <v/>
      </c>
      <c r="K2218" s="15">
        <f>IF($A2218="","",IF(AH!$U$5=1,IFERROR(MATCH($A2218,'Live History'!$A$5:$A$3004,0),0),AH!$U$7+2213))</f>
        <v/>
      </c>
      <c r="L2218" s="15">
        <f>IF(ISNUMBER(A2218),TEXT(A2218,"dd-mmm-yy"),"")</f>
        <v/>
      </c>
    </row>
    <row r="2219">
      <c r="A2219" s="14">
        <f>IF(OR(AH!$U$4=0,2214+1&gt;AH!$U$6,AND(AH!$M$5="Bloomberg",AH!$U$5=0)),"",IFERROR(IF(AND(AH!$U$12=1,2214+1=AH!$U$6),TODAY(),IF(AH!$U$5=1,INDEX('Live History'!$A$5:$A$3004,AH!$U$7+2214),INDEX('AH History'!$A$5:$A$1380,AH!$U$7+2214))),""))</f>
        <v/>
      </c>
      <c r="B2219" s="33">
        <f>IFERROR(IF(AH!$U$11=1,NA(),$J2219/$E2219-1),NA())</f>
        <v/>
      </c>
      <c r="C2219" s="269">
        <f>IFERROR(100*$E2219/$E$5,NA())</f>
        <v/>
      </c>
      <c r="D2219" s="269">
        <f>IFERROR(100*$J2219/$J$5,NA())</f>
        <v/>
      </c>
      <c r="E2219" s="32">
        <f>IFERROR(IF(AND(ISNUMBER($A2219),N(IF(AND(AH!$U$12=1,2214+1=AH!$U$6),IF(AH!$U$4=0,"unavailable",INDEX('Market Data'!$AN$5:$AN$66,AH!$U$4)),IF(AH!$U$5=1,INDEX('Live History'!$B$5:$B$3004,$K2219),INDEX('AH History'!$D$5:$GG$1380,$K2219,AH!$U$10))))&gt;0),IF(AND(AH!$U$12=1,2214+1=AH!$U$6),IF(AH!$U$4=0,"unavailable",INDEX('Market Data'!$AN$5:$AN$66,AH!$U$4)),IF(AH!$U$5=1,INDEX('Live History'!$B$5:$B$3004,$K2219),INDEX('AH History'!$D$5:$GG$1380,$K2219,AH!$U$10))),NA()),NA())</f>
        <v/>
      </c>
      <c r="F2219" s="32">
        <f>IFERROR(IF(ISNUMBER($A2219),IF(AND(AH!$U$12=1,2214+1=AH!$U$6),IF(AH!$U$4=0,"unavailable",INDEX('Market Data'!$AO$5:$AO$66,AH!$U$4)),IF(AH!$U$5=1,INDEX('Live History'!$E$5:$E$3004,MATCH($A2219,'Live History'!$D$5:$D$3004,1)),INDEX('AH History'!$D$5:$GG$1380,$K2219,AH!$U$10+1))),NA()),NA())</f>
        <v/>
      </c>
      <c r="G2219" s="34">
        <f>IFERROR(IF(ISNUMBER($A2219),IF(AND(AH!$U$12=1,2214+1=AH!$U$6),IF(AH!$U$4=0,"unavailable",INDEX('Market Data'!$AK$5:$AK$66,AH!$U$4)),IF(AH!$U$5=1,INDEX('Live History'!$D$5:$D$3004,MATCH($A2219,'Live History'!$D$5:$D$3004,1)),INDEX('AH History'!$D$5:$GG$1380,$K2219,AH!$U$10+2))),NA()),NA())</f>
        <v/>
      </c>
      <c r="H2219" s="266">
        <f>IFERROR(IF(ISNUMBER($A2219),IF(AND(AH!$U$12=1,2214+1=AH!$U$6),IF(AH!$U$4=0,"unavailable",INDEX('Market Data'!$AP$5:$AP$66,AH!$U$4)),IF(AH!$U$5=1,INDEX('Live History'!$H$5:$H$3004,MATCH($A2219,'Live History'!$G$5:$G$3004,1)),INDEX('AH History'!$B$5:$B$1380,$K2219))),NA()),NA())</f>
        <v/>
      </c>
      <c r="I2219" s="34">
        <f>IFERROR(IF(ISNUMBER($A2219),IF(AND(AH!$U$12=1,2214+1=AH!$U$6),TODAY(),IF(AH!$U$5=1,INDEX('Live History'!$G$5:$G$3004,MATCH($A2219,'Live History'!$G$5:$G$3004,1)),INDEX('AH History'!$C$5:$C$1380,$K2219))),NA()),NA())</f>
        <v/>
      </c>
      <c r="J2219" s="32">
        <f>IFERROR(IF(AND($F2219&gt;0,$H2219&gt;0,$A2219-$G2219&lt;=10,$A2219-$I2219&lt;=5,$G2219&gt;0,$I2219&gt;0),$F2219*$H2219,NA()),NA())</f>
        <v/>
      </c>
      <c r="K2219" s="15">
        <f>IF($A2219="","",IF(AH!$U$5=1,IFERROR(MATCH($A2219,'Live History'!$A$5:$A$3004,0),0),AH!$U$7+2214))</f>
        <v/>
      </c>
      <c r="L2219" s="15">
        <f>IF(ISNUMBER(A2219),TEXT(A2219,"dd-mmm-yy"),"")</f>
        <v/>
      </c>
    </row>
    <row r="2220">
      <c r="A2220" s="14">
        <f>IF(OR(AH!$U$4=0,2215+1&gt;AH!$U$6,AND(AH!$M$5="Bloomberg",AH!$U$5=0)),"",IFERROR(IF(AND(AH!$U$12=1,2215+1=AH!$U$6),TODAY(),IF(AH!$U$5=1,INDEX('Live History'!$A$5:$A$3004,AH!$U$7+2215),INDEX('AH History'!$A$5:$A$1380,AH!$U$7+2215))),""))</f>
        <v/>
      </c>
      <c r="B2220" s="33">
        <f>IFERROR(IF(AH!$U$11=1,NA(),$J2220/$E2220-1),NA())</f>
        <v/>
      </c>
      <c r="C2220" s="269">
        <f>IFERROR(100*$E2220/$E$5,NA())</f>
        <v/>
      </c>
      <c r="D2220" s="269">
        <f>IFERROR(100*$J2220/$J$5,NA())</f>
        <v/>
      </c>
      <c r="E2220" s="32">
        <f>IFERROR(IF(AND(ISNUMBER($A2220),N(IF(AND(AH!$U$12=1,2215+1=AH!$U$6),IF(AH!$U$4=0,"unavailable",INDEX('Market Data'!$AN$5:$AN$66,AH!$U$4)),IF(AH!$U$5=1,INDEX('Live History'!$B$5:$B$3004,$K2220),INDEX('AH History'!$D$5:$GG$1380,$K2220,AH!$U$10))))&gt;0),IF(AND(AH!$U$12=1,2215+1=AH!$U$6),IF(AH!$U$4=0,"unavailable",INDEX('Market Data'!$AN$5:$AN$66,AH!$U$4)),IF(AH!$U$5=1,INDEX('Live History'!$B$5:$B$3004,$K2220),INDEX('AH History'!$D$5:$GG$1380,$K2220,AH!$U$10))),NA()),NA())</f>
        <v/>
      </c>
      <c r="F2220" s="32">
        <f>IFERROR(IF(ISNUMBER($A2220),IF(AND(AH!$U$12=1,2215+1=AH!$U$6),IF(AH!$U$4=0,"unavailable",INDEX('Market Data'!$AO$5:$AO$66,AH!$U$4)),IF(AH!$U$5=1,INDEX('Live History'!$E$5:$E$3004,MATCH($A2220,'Live History'!$D$5:$D$3004,1)),INDEX('AH History'!$D$5:$GG$1380,$K2220,AH!$U$10+1))),NA()),NA())</f>
        <v/>
      </c>
      <c r="G2220" s="34">
        <f>IFERROR(IF(ISNUMBER($A2220),IF(AND(AH!$U$12=1,2215+1=AH!$U$6),IF(AH!$U$4=0,"unavailable",INDEX('Market Data'!$AK$5:$AK$66,AH!$U$4)),IF(AH!$U$5=1,INDEX('Live History'!$D$5:$D$3004,MATCH($A2220,'Live History'!$D$5:$D$3004,1)),INDEX('AH History'!$D$5:$GG$1380,$K2220,AH!$U$10+2))),NA()),NA())</f>
        <v/>
      </c>
      <c r="H2220" s="266">
        <f>IFERROR(IF(ISNUMBER($A2220),IF(AND(AH!$U$12=1,2215+1=AH!$U$6),IF(AH!$U$4=0,"unavailable",INDEX('Market Data'!$AP$5:$AP$66,AH!$U$4)),IF(AH!$U$5=1,INDEX('Live History'!$H$5:$H$3004,MATCH($A2220,'Live History'!$G$5:$G$3004,1)),INDEX('AH History'!$B$5:$B$1380,$K2220))),NA()),NA())</f>
        <v/>
      </c>
      <c r="I2220" s="34">
        <f>IFERROR(IF(ISNUMBER($A2220),IF(AND(AH!$U$12=1,2215+1=AH!$U$6),TODAY(),IF(AH!$U$5=1,INDEX('Live History'!$G$5:$G$3004,MATCH($A2220,'Live History'!$G$5:$G$3004,1)),INDEX('AH History'!$C$5:$C$1380,$K2220))),NA()),NA())</f>
        <v/>
      </c>
      <c r="J2220" s="32">
        <f>IFERROR(IF(AND($F2220&gt;0,$H2220&gt;0,$A2220-$G2220&lt;=10,$A2220-$I2220&lt;=5,$G2220&gt;0,$I2220&gt;0),$F2220*$H2220,NA()),NA())</f>
        <v/>
      </c>
      <c r="K2220" s="15">
        <f>IF($A2220="","",IF(AH!$U$5=1,IFERROR(MATCH($A2220,'Live History'!$A$5:$A$3004,0),0),AH!$U$7+2215))</f>
        <v/>
      </c>
      <c r="L2220" s="15">
        <f>IF(ISNUMBER(A2220),TEXT(A2220,"dd-mmm-yy"),"")</f>
        <v/>
      </c>
    </row>
    <row r="2221">
      <c r="A2221" s="14">
        <f>IF(OR(AH!$U$4=0,2216+1&gt;AH!$U$6,AND(AH!$M$5="Bloomberg",AH!$U$5=0)),"",IFERROR(IF(AND(AH!$U$12=1,2216+1=AH!$U$6),TODAY(),IF(AH!$U$5=1,INDEX('Live History'!$A$5:$A$3004,AH!$U$7+2216),INDEX('AH History'!$A$5:$A$1380,AH!$U$7+2216))),""))</f>
        <v/>
      </c>
      <c r="B2221" s="33">
        <f>IFERROR(IF(AH!$U$11=1,NA(),$J2221/$E2221-1),NA())</f>
        <v/>
      </c>
      <c r="C2221" s="269">
        <f>IFERROR(100*$E2221/$E$5,NA())</f>
        <v/>
      </c>
      <c r="D2221" s="269">
        <f>IFERROR(100*$J2221/$J$5,NA())</f>
        <v/>
      </c>
      <c r="E2221" s="32">
        <f>IFERROR(IF(AND(ISNUMBER($A2221),N(IF(AND(AH!$U$12=1,2216+1=AH!$U$6),IF(AH!$U$4=0,"unavailable",INDEX('Market Data'!$AN$5:$AN$66,AH!$U$4)),IF(AH!$U$5=1,INDEX('Live History'!$B$5:$B$3004,$K2221),INDEX('AH History'!$D$5:$GG$1380,$K2221,AH!$U$10))))&gt;0),IF(AND(AH!$U$12=1,2216+1=AH!$U$6),IF(AH!$U$4=0,"unavailable",INDEX('Market Data'!$AN$5:$AN$66,AH!$U$4)),IF(AH!$U$5=1,INDEX('Live History'!$B$5:$B$3004,$K2221),INDEX('AH History'!$D$5:$GG$1380,$K2221,AH!$U$10))),NA()),NA())</f>
        <v/>
      </c>
      <c r="F2221" s="32">
        <f>IFERROR(IF(ISNUMBER($A2221),IF(AND(AH!$U$12=1,2216+1=AH!$U$6),IF(AH!$U$4=0,"unavailable",INDEX('Market Data'!$AO$5:$AO$66,AH!$U$4)),IF(AH!$U$5=1,INDEX('Live History'!$E$5:$E$3004,MATCH($A2221,'Live History'!$D$5:$D$3004,1)),INDEX('AH History'!$D$5:$GG$1380,$K2221,AH!$U$10+1))),NA()),NA())</f>
        <v/>
      </c>
      <c r="G2221" s="34">
        <f>IFERROR(IF(ISNUMBER($A2221),IF(AND(AH!$U$12=1,2216+1=AH!$U$6),IF(AH!$U$4=0,"unavailable",INDEX('Market Data'!$AK$5:$AK$66,AH!$U$4)),IF(AH!$U$5=1,INDEX('Live History'!$D$5:$D$3004,MATCH($A2221,'Live History'!$D$5:$D$3004,1)),INDEX('AH History'!$D$5:$GG$1380,$K2221,AH!$U$10+2))),NA()),NA())</f>
        <v/>
      </c>
      <c r="H2221" s="266">
        <f>IFERROR(IF(ISNUMBER($A2221),IF(AND(AH!$U$12=1,2216+1=AH!$U$6),IF(AH!$U$4=0,"unavailable",INDEX('Market Data'!$AP$5:$AP$66,AH!$U$4)),IF(AH!$U$5=1,INDEX('Live History'!$H$5:$H$3004,MATCH($A2221,'Live History'!$G$5:$G$3004,1)),INDEX('AH History'!$B$5:$B$1380,$K2221))),NA()),NA())</f>
        <v/>
      </c>
      <c r="I2221" s="34">
        <f>IFERROR(IF(ISNUMBER($A2221),IF(AND(AH!$U$12=1,2216+1=AH!$U$6),TODAY(),IF(AH!$U$5=1,INDEX('Live History'!$G$5:$G$3004,MATCH($A2221,'Live History'!$G$5:$G$3004,1)),INDEX('AH History'!$C$5:$C$1380,$K2221))),NA()),NA())</f>
        <v/>
      </c>
      <c r="J2221" s="32">
        <f>IFERROR(IF(AND($F2221&gt;0,$H2221&gt;0,$A2221-$G2221&lt;=10,$A2221-$I2221&lt;=5,$G2221&gt;0,$I2221&gt;0),$F2221*$H2221,NA()),NA())</f>
        <v/>
      </c>
      <c r="K2221" s="15">
        <f>IF($A2221="","",IF(AH!$U$5=1,IFERROR(MATCH($A2221,'Live History'!$A$5:$A$3004,0),0),AH!$U$7+2216))</f>
        <v/>
      </c>
      <c r="L2221" s="15">
        <f>IF(ISNUMBER(A2221),TEXT(A2221,"dd-mmm-yy"),"")</f>
        <v/>
      </c>
    </row>
    <row r="2222">
      <c r="A2222" s="14">
        <f>IF(OR(AH!$U$4=0,2217+1&gt;AH!$U$6,AND(AH!$M$5="Bloomberg",AH!$U$5=0)),"",IFERROR(IF(AND(AH!$U$12=1,2217+1=AH!$U$6),TODAY(),IF(AH!$U$5=1,INDEX('Live History'!$A$5:$A$3004,AH!$U$7+2217),INDEX('AH History'!$A$5:$A$1380,AH!$U$7+2217))),""))</f>
        <v/>
      </c>
      <c r="B2222" s="33">
        <f>IFERROR(IF(AH!$U$11=1,NA(),$J2222/$E2222-1),NA())</f>
        <v/>
      </c>
      <c r="C2222" s="269">
        <f>IFERROR(100*$E2222/$E$5,NA())</f>
        <v/>
      </c>
      <c r="D2222" s="269">
        <f>IFERROR(100*$J2222/$J$5,NA())</f>
        <v/>
      </c>
      <c r="E2222" s="32">
        <f>IFERROR(IF(AND(ISNUMBER($A2222),N(IF(AND(AH!$U$12=1,2217+1=AH!$U$6),IF(AH!$U$4=0,"unavailable",INDEX('Market Data'!$AN$5:$AN$66,AH!$U$4)),IF(AH!$U$5=1,INDEX('Live History'!$B$5:$B$3004,$K2222),INDEX('AH History'!$D$5:$GG$1380,$K2222,AH!$U$10))))&gt;0),IF(AND(AH!$U$12=1,2217+1=AH!$U$6),IF(AH!$U$4=0,"unavailable",INDEX('Market Data'!$AN$5:$AN$66,AH!$U$4)),IF(AH!$U$5=1,INDEX('Live History'!$B$5:$B$3004,$K2222),INDEX('AH History'!$D$5:$GG$1380,$K2222,AH!$U$10))),NA()),NA())</f>
        <v/>
      </c>
      <c r="F2222" s="32">
        <f>IFERROR(IF(ISNUMBER($A2222),IF(AND(AH!$U$12=1,2217+1=AH!$U$6),IF(AH!$U$4=0,"unavailable",INDEX('Market Data'!$AO$5:$AO$66,AH!$U$4)),IF(AH!$U$5=1,INDEX('Live History'!$E$5:$E$3004,MATCH($A2222,'Live History'!$D$5:$D$3004,1)),INDEX('AH History'!$D$5:$GG$1380,$K2222,AH!$U$10+1))),NA()),NA())</f>
        <v/>
      </c>
      <c r="G2222" s="34">
        <f>IFERROR(IF(ISNUMBER($A2222),IF(AND(AH!$U$12=1,2217+1=AH!$U$6),IF(AH!$U$4=0,"unavailable",INDEX('Market Data'!$AK$5:$AK$66,AH!$U$4)),IF(AH!$U$5=1,INDEX('Live History'!$D$5:$D$3004,MATCH($A2222,'Live History'!$D$5:$D$3004,1)),INDEX('AH History'!$D$5:$GG$1380,$K2222,AH!$U$10+2))),NA()),NA())</f>
        <v/>
      </c>
      <c r="H2222" s="266">
        <f>IFERROR(IF(ISNUMBER($A2222),IF(AND(AH!$U$12=1,2217+1=AH!$U$6),IF(AH!$U$4=0,"unavailable",INDEX('Market Data'!$AP$5:$AP$66,AH!$U$4)),IF(AH!$U$5=1,INDEX('Live History'!$H$5:$H$3004,MATCH($A2222,'Live History'!$G$5:$G$3004,1)),INDEX('AH History'!$B$5:$B$1380,$K2222))),NA()),NA())</f>
        <v/>
      </c>
      <c r="I2222" s="34">
        <f>IFERROR(IF(ISNUMBER($A2222),IF(AND(AH!$U$12=1,2217+1=AH!$U$6),TODAY(),IF(AH!$U$5=1,INDEX('Live History'!$G$5:$G$3004,MATCH($A2222,'Live History'!$G$5:$G$3004,1)),INDEX('AH History'!$C$5:$C$1380,$K2222))),NA()),NA())</f>
        <v/>
      </c>
      <c r="J2222" s="32">
        <f>IFERROR(IF(AND($F2222&gt;0,$H2222&gt;0,$A2222-$G2222&lt;=10,$A2222-$I2222&lt;=5,$G2222&gt;0,$I2222&gt;0),$F2222*$H2222,NA()),NA())</f>
        <v/>
      </c>
      <c r="K2222" s="15">
        <f>IF($A2222="","",IF(AH!$U$5=1,IFERROR(MATCH($A2222,'Live History'!$A$5:$A$3004,0),0),AH!$U$7+2217))</f>
        <v/>
      </c>
      <c r="L2222" s="15">
        <f>IF(ISNUMBER(A2222),TEXT(A2222,"dd-mmm-yy"),"")</f>
        <v/>
      </c>
    </row>
    <row r="2223">
      <c r="A2223" s="14">
        <f>IF(OR(AH!$U$4=0,2218+1&gt;AH!$U$6,AND(AH!$M$5="Bloomberg",AH!$U$5=0)),"",IFERROR(IF(AND(AH!$U$12=1,2218+1=AH!$U$6),TODAY(),IF(AH!$U$5=1,INDEX('Live History'!$A$5:$A$3004,AH!$U$7+2218),INDEX('AH History'!$A$5:$A$1380,AH!$U$7+2218))),""))</f>
        <v/>
      </c>
      <c r="B2223" s="33">
        <f>IFERROR(IF(AH!$U$11=1,NA(),$J2223/$E2223-1),NA())</f>
        <v/>
      </c>
      <c r="C2223" s="269">
        <f>IFERROR(100*$E2223/$E$5,NA())</f>
        <v/>
      </c>
      <c r="D2223" s="269">
        <f>IFERROR(100*$J2223/$J$5,NA())</f>
        <v/>
      </c>
      <c r="E2223" s="32">
        <f>IFERROR(IF(AND(ISNUMBER($A2223),N(IF(AND(AH!$U$12=1,2218+1=AH!$U$6),IF(AH!$U$4=0,"unavailable",INDEX('Market Data'!$AN$5:$AN$66,AH!$U$4)),IF(AH!$U$5=1,INDEX('Live History'!$B$5:$B$3004,$K2223),INDEX('AH History'!$D$5:$GG$1380,$K2223,AH!$U$10))))&gt;0),IF(AND(AH!$U$12=1,2218+1=AH!$U$6),IF(AH!$U$4=0,"unavailable",INDEX('Market Data'!$AN$5:$AN$66,AH!$U$4)),IF(AH!$U$5=1,INDEX('Live History'!$B$5:$B$3004,$K2223),INDEX('AH History'!$D$5:$GG$1380,$K2223,AH!$U$10))),NA()),NA())</f>
        <v/>
      </c>
      <c r="F2223" s="32">
        <f>IFERROR(IF(ISNUMBER($A2223),IF(AND(AH!$U$12=1,2218+1=AH!$U$6),IF(AH!$U$4=0,"unavailable",INDEX('Market Data'!$AO$5:$AO$66,AH!$U$4)),IF(AH!$U$5=1,INDEX('Live History'!$E$5:$E$3004,MATCH($A2223,'Live History'!$D$5:$D$3004,1)),INDEX('AH History'!$D$5:$GG$1380,$K2223,AH!$U$10+1))),NA()),NA())</f>
        <v/>
      </c>
      <c r="G2223" s="34">
        <f>IFERROR(IF(ISNUMBER($A2223),IF(AND(AH!$U$12=1,2218+1=AH!$U$6),IF(AH!$U$4=0,"unavailable",INDEX('Market Data'!$AK$5:$AK$66,AH!$U$4)),IF(AH!$U$5=1,INDEX('Live History'!$D$5:$D$3004,MATCH($A2223,'Live History'!$D$5:$D$3004,1)),INDEX('AH History'!$D$5:$GG$1380,$K2223,AH!$U$10+2))),NA()),NA())</f>
        <v/>
      </c>
      <c r="H2223" s="266">
        <f>IFERROR(IF(ISNUMBER($A2223),IF(AND(AH!$U$12=1,2218+1=AH!$U$6),IF(AH!$U$4=0,"unavailable",INDEX('Market Data'!$AP$5:$AP$66,AH!$U$4)),IF(AH!$U$5=1,INDEX('Live History'!$H$5:$H$3004,MATCH($A2223,'Live History'!$G$5:$G$3004,1)),INDEX('AH History'!$B$5:$B$1380,$K2223))),NA()),NA())</f>
        <v/>
      </c>
      <c r="I2223" s="34">
        <f>IFERROR(IF(ISNUMBER($A2223),IF(AND(AH!$U$12=1,2218+1=AH!$U$6),TODAY(),IF(AH!$U$5=1,INDEX('Live History'!$G$5:$G$3004,MATCH($A2223,'Live History'!$G$5:$G$3004,1)),INDEX('AH History'!$C$5:$C$1380,$K2223))),NA()),NA())</f>
        <v/>
      </c>
      <c r="J2223" s="32">
        <f>IFERROR(IF(AND($F2223&gt;0,$H2223&gt;0,$A2223-$G2223&lt;=10,$A2223-$I2223&lt;=5,$G2223&gt;0,$I2223&gt;0),$F2223*$H2223,NA()),NA())</f>
        <v/>
      </c>
      <c r="K2223" s="15">
        <f>IF($A2223="","",IF(AH!$U$5=1,IFERROR(MATCH($A2223,'Live History'!$A$5:$A$3004,0),0),AH!$U$7+2218))</f>
        <v/>
      </c>
      <c r="L2223" s="15">
        <f>IF(ISNUMBER(A2223),TEXT(A2223,"dd-mmm-yy"),"")</f>
        <v/>
      </c>
    </row>
    <row r="2224">
      <c r="A2224" s="14">
        <f>IF(OR(AH!$U$4=0,2219+1&gt;AH!$U$6,AND(AH!$M$5="Bloomberg",AH!$U$5=0)),"",IFERROR(IF(AND(AH!$U$12=1,2219+1=AH!$U$6),TODAY(),IF(AH!$U$5=1,INDEX('Live History'!$A$5:$A$3004,AH!$U$7+2219),INDEX('AH History'!$A$5:$A$1380,AH!$U$7+2219))),""))</f>
        <v/>
      </c>
      <c r="B2224" s="33">
        <f>IFERROR(IF(AH!$U$11=1,NA(),$J2224/$E2224-1),NA())</f>
        <v/>
      </c>
      <c r="C2224" s="269">
        <f>IFERROR(100*$E2224/$E$5,NA())</f>
        <v/>
      </c>
      <c r="D2224" s="269">
        <f>IFERROR(100*$J2224/$J$5,NA())</f>
        <v/>
      </c>
      <c r="E2224" s="32">
        <f>IFERROR(IF(AND(ISNUMBER($A2224),N(IF(AND(AH!$U$12=1,2219+1=AH!$U$6),IF(AH!$U$4=0,"unavailable",INDEX('Market Data'!$AN$5:$AN$66,AH!$U$4)),IF(AH!$U$5=1,INDEX('Live History'!$B$5:$B$3004,$K2224),INDEX('AH History'!$D$5:$GG$1380,$K2224,AH!$U$10))))&gt;0),IF(AND(AH!$U$12=1,2219+1=AH!$U$6),IF(AH!$U$4=0,"unavailable",INDEX('Market Data'!$AN$5:$AN$66,AH!$U$4)),IF(AH!$U$5=1,INDEX('Live History'!$B$5:$B$3004,$K2224),INDEX('AH History'!$D$5:$GG$1380,$K2224,AH!$U$10))),NA()),NA())</f>
        <v/>
      </c>
      <c r="F2224" s="32">
        <f>IFERROR(IF(ISNUMBER($A2224),IF(AND(AH!$U$12=1,2219+1=AH!$U$6),IF(AH!$U$4=0,"unavailable",INDEX('Market Data'!$AO$5:$AO$66,AH!$U$4)),IF(AH!$U$5=1,INDEX('Live History'!$E$5:$E$3004,MATCH($A2224,'Live History'!$D$5:$D$3004,1)),INDEX('AH History'!$D$5:$GG$1380,$K2224,AH!$U$10+1))),NA()),NA())</f>
        <v/>
      </c>
      <c r="G2224" s="34">
        <f>IFERROR(IF(ISNUMBER($A2224),IF(AND(AH!$U$12=1,2219+1=AH!$U$6),IF(AH!$U$4=0,"unavailable",INDEX('Market Data'!$AK$5:$AK$66,AH!$U$4)),IF(AH!$U$5=1,INDEX('Live History'!$D$5:$D$3004,MATCH($A2224,'Live History'!$D$5:$D$3004,1)),INDEX('AH History'!$D$5:$GG$1380,$K2224,AH!$U$10+2))),NA()),NA())</f>
        <v/>
      </c>
      <c r="H2224" s="266">
        <f>IFERROR(IF(ISNUMBER($A2224),IF(AND(AH!$U$12=1,2219+1=AH!$U$6),IF(AH!$U$4=0,"unavailable",INDEX('Market Data'!$AP$5:$AP$66,AH!$U$4)),IF(AH!$U$5=1,INDEX('Live History'!$H$5:$H$3004,MATCH($A2224,'Live History'!$G$5:$G$3004,1)),INDEX('AH History'!$B$5:$B$1380,$K2224))),NA()),NA())</f>
        <v/>
      </c>
      <c r="I2224" s="34">
        <f>IFERROR(IF(ISNUMBER($A2224),IF(AND(AH!$U$12=1,2219+1=AH!$U$6),TODAY(),IF(AH!$U$5=1,INDEX('Live History'!$G$5:$G$3004,MATCH($A2224,'Live History'!$G$5:$G$3004,1)),INDEX('AH History'!$C$5:$C$1380,$K2224))),NA()),NA())</f>
        <v/>
      </c>
      <c r="J2224" s="32">
        <f>IFERROR(IF(AND($F2224&gt;0,$H2224&gt;0,$A2224-$G2224&lt;=10,$A2224-$I2224&lt;=5,$G2224&gt;0,$I2224&gt;0),$F2224*$H2224,NA()),NA())</f>
        <v/>
      </c>
      <c r="K2224" s="15">
        <f>IF($A2224="","",IF(AH!$U$5=1,IFERROR(MATCH($A2224,'Live History'!$A$5:$A$3004,0),0),AH!$U$7+2219))</f>
        <v/>
      </c>
      <c r="L2224" s="15">
        <f>IF(ISNUMBER(A2224),TEXT(A2224,"dd-mmm-yy"),"")</f>
        <v/>
      </c>
    </row>
    <row r="2225">
      <c r="A2225" s="14">
        <f>IF(OR(AH!$U$4=0,2220+1&gt;AH!$U$6,AND(AH!$M$5="Bloomberg",AH!$U$5=0)),"",IFERROR(IF(AND(AH!$U$12=1,2220+1=AH!$U$6),TODAY(),IF(AH!$U$5=1,INDEX('Live History'!$A$5:$A$3004,AH!$U$7+2220),INDEX('AH History'!$A$5:$A$1380,AH!$U$7+2220))),""))</f>
        <v/>
      </c>
      <c r="B2225" s="33">
        <f>IFERROR(IF(AH!$U$11=1,NA(),$J2225/$E2225-1),NA())</f>
        <v/>
      </c>
      <c r="C2225" s="269">
        <f>IFERROR(100*$E2225/$E$5,NA())</f>
        <v/>
      </c>
      <c r="D2225" s="269">
        <f>IFERROR(100*$J2225/$J$5,NA())</f>
        <v/>
      </c>
      <c r="E2225" s="32">
        <f>IFERROR(IF(AND(ISNUMBER($A2225),N(IF(AND(AH!$U$12=1,2220+1=AH!$U$6),IF(AH!$U$4=0,"unavailable",INDEX('Market Data'!$AN$5:$AN$66,AH!$U$4)),IF(AH!$U$5=1,INDEX('Live History'!$B$5:$B$3004,$K2225),INDEX('AH History'!$D$5:$GG$1380,$K2225,AH!$U$10))))&gt;0),IF(AND(AH!$U$12=1,2220+1=AH!$U$6),IF(AH!$U$4=0,"unavailable",INDEX('Market Data'!$AN$5:$AN$66,AH!$U$4)),IF(AH!$U$5=1,INDEX('Live History'!$B$5:$B$3004,$K2225),INDEX('AH History'!$D$5:$GG$1380,$K2225,AH!$U$10))),NA()),NA())</f>
        <v/>
      </c>
      <c r="F2225" s="32">
        <f>IFERROR(IF(ISNUMBER($A2225),IF(AND(AH!$U$12=1,2220+1=AH!$U$6),IF(AH!$U$4=0,"unavailable",INDEX('Market Data'!$AO$5:$AO$66,AH!$U$4)),IF(AH!$U$5=1,INDEX('Live History'!$E$5:$E$3004,MATCH($A2225,'Live History'!$D$5:$D$3004,1)),INDEX('AH History'!$D$5:$GG$1380,$K2225,AH!$U$10+1))),NA()),NA())</f>
        <v/>
      </c>
      <c r="G2225" s="34">
        <f>IFERROR(IF(ISNUMBER($A2225),IF(AND(AH!$U$12=1,2220+1=AH!$U$6),IF(AH!$U$4=0,"unavailable",INDEX('Market Data'!$AK$5:$AK$66,AH!$U$4)),IF(AH!$U$5=1,INDEX('Live History'!$D$5:$D$3004,MATCH($A2225,'Live History'!$D$5:$D$3004,1)),INDEX('AH History'!$D$5:$GG$1380,$K2225,AH!$U$10+2))),NA()),NA())</f>
        <v/>
      </c>
      <c r="H2225" s="266">
        <f>IFERROR(IF(ISNUMBER($A2225),IF(AND(AH!$U$12=1,2220+1=AH!$U$6),IF(AH!$U$4=0,"unavailable",INDEX('Market Data'!$AP$5:$AP$66,AH!$U$4)),IF(AH!$U$5=1,INDEX('Live History'!$H$5:$H$3004,MATCH($A2225,'Live History'!$G$5:$G$3004,1)),INDEX('AH History'!$B$5:$B$1380,$K2225))),NA()),NA())</f>
        <v/>
      </c>
      <c r="I2225" s="34">
        <f>IFERROR(IF(ISNUMBER($A2225),IF(AND(AH!$U$12=1,2220+1=AH!$U$6),TODAY(),IF(AH!$U$5=1,INDEX('Live History'!$G$5:$G$3004,MATCH($A2225,'Live History'!$G$5:$G$3004,1)),INDEX('AH History'!$C$5:$C$1380,$K2225))),NA()),NA())</f>
        <v/>
      </c>
      <c r="J2225" s="32">
        <f>IFERROR(IF(AND($F2225&gt;0,$H2225&gt;0,$A2225-$G2225&lt;=10,$A2225-$I2225&lt;=5,$G2225&gt;0,$I2225&gt;0),$F2225*$H2225,NA()),NA())</f>
        <v/>
      </c>
      <c r="K2225" s="15">
        <f>IF($A2225="","",IF(AH!$U$5=1,IFERROR(MATCH($A2225,'Live History'!$A$5:$A$3004,0),0),AH!$U$7+2220))</f>
        <v/>
      </c>
      <c r="L2225" s="15">
        <f>IF(ISNUMBER(A2225),TEXT(A2225,"dd-mmm-yy"),"")</f>
        <v/>
      </c>
    </row>
    <row r="2226">
      <c r="A2226" s="14">
        <f>IF(OR(AH!$U$4=0,2221+1&gt;AH!$U$6,AND(AH!$M$5="Bloomberg",AH!$U$5=0)),"",IFERROR(IF(AND(AH!$U$12=1,2221+1=AH!$U$6),TODAY(),IF(AH!$U$5=1,INDEX('Live History'!$A$5:$A$3004,AH!$U$7+2221),INDEX('AH History'!$A$5:$A$1380,AH!$U$7+2221))),""))</f>
        <v/>
      </c>
      <c r="B2226" s="33">
        <f>IFERROR(IF(AH!$U$11=1,NA(),$J2226/$E2226-1),NA())</f>
        <v/>
      </c>
      <c r="C2226" s="269">
        <f>IFERROR(100*$E2226/$E$5,NA())</f>
        <v/>
      </c>
      <c r="D2226" s="269">
        <f>IFERROR(100*$J2226/$J$5,NA())</f>
        <v/>
      </c>
      <c r="E2226" s="32">
        <f>IFERROR(IF(AND(ISNUMBER($A2226),N(IF(AND(AH!$U$12=1,2221+1=AH!$U$6),IF(AH!$U$4=0,"unavailable",INDEX('Market Data'!$AN$5:$AN$66,AH!$U$4)),IF(AH!$U$5=1,INDEX('Live History'!$B$5:$B$3004,$K2226),INDEX('AH History'!$D$5:$GG$1380,$K2226,AH!$U$10))))&gt;0),IF(AND(AH!$U$12=1,2221+1=AH!$U$6),IF(AH!$U$4=0,"unavailable",INDEX('Market Data'!$AN$5:$AN$66,AH!$U$4)),IF(AH!$U$5=1,INDEX('Live History'!$B$5:$B$3004,$K2226),INDEX('AH History'!$D$5:$GG$1380,$K2226,AH!$U$10))),NA()),NA())</f>
        <v/>
      </c>
      <c r="F2226" s="32">
        <f>IFERROR(IF(ISNUMBER($A2226),IF(AND(AH!$U$12=1,2221+1=AH!$U$6),IF(AH!$U$4=0,"unavailable",INDEX('Market Data'!$AO$5:$AO$66,AH!$U$4)),IF(AH!$U$5=1,INDEX('Live History'!$E$5:$E$3004,MATCH($A2226,'Live History'!$D$5:$D$3004,1)),INDEX('AH History'!$D$5:$GG$1380,$K2226,AH!$U$10+1))),NA()),NA())</f>
        <v/>
      </c>
      <c r="G2226" s="34">
        <f>IFERROR(IF(ISNUMBER($A2226),IF(AND(AH!$U$12=1,2221+1=AH!$U$6),IF(AH!$U$4=0,"unavailable",INDEX('Market Data'!$AK$5:$AK$66,AH!$U$4)),IF(AH!$U$5=1,INDEX('Live History'!$D$5:$D$3004,MATCH($A2226,'Live History'!$D$5:$D$3004,1)),INDEX('AH History'!$D$5:$GG$1380,$K2226,AH!$U$10+2))),NA()),NA())</f>
        <v/>
      </c>
      <c r="H2226" s="266">
        <f>IFERROR(IF(ISNUMBER($A2226),IF(AND(AH!$U$12=1,2221+1=AH!$U$6),IF(AH!$U$4=0,"unavailable",INDEX('Market Data'!$AP$5:$AP$66,AH!$U$4)),IF(AH!$U$5=1,INDEX('Live History'!$H$5:$H$3004,MATCH($A2226,'Live History'!$G$5:$G$3004,1)),INDEX('AH History'!$B$5:$B$1380,$K2226))),NA()),NA())</f>
        <v/>
      </c>
      <c r="I2226" s="34">
        <f>IFERROR(IF(ISNUMBER($A2226),IF(AND(AH!$U$12=1,2221+1=AH!$U$6),TODAY(),IF(AH!$U$5=1,INDEX('Live History'!$G$5:$G$3004,MATCH($A2226,'Live History'!$G$5:$G$3004,1)),INDEX('AH History'!$C$5:$C$1380,$K2226))),NA()),NA())</f>
        <v/>
      </c>
      <c r="J2226" s="32">
        <f>IFERROR(IF(AND($F2226&gt;0,$H2226&gt;0,$A2226-$G2226&lt;=10,$A2226-$I2226&lt;=5,$G2226&gt;0,$I2226&gt;0),$F2226*$H2226,NA()),NA())</f>
        <v/>
      </c>
      <c r="K2226" s="15">
        <f>IF($A2226="","",IF(AH!$U$5=1,IFERROR(MATCH($A2226,'Live History'!$A$5:$A$3004,0),0),AH!$U$7+2221))</f>
        <v/>
      </c>
      <c r="L2226" s="15">
        <f>IF(ISNUMBER(A2226),TEXT(A2226,"dd-mmm-yy"),"")</f>
        <v/>
      </c>
    </row>
    <row r="2227">
      <c r="A2227" s="14">
        <f>IF(OR(AH!$U$4=0,2222+1&gt;AH!$U$6,AND(AH!$M$5="Bloomberg",AH!$U$5=0)),"",IFERROR(IF(AND(AH!$U$12=1,2222+1=AH!$U$6),TODAY(),IF(AH!$U$5=1,INDEX('Live History'!$A$5:$A$3004,AH!$U$7+2222),INDEX('AH History'!$A$5:$A$1380,AH!$U$7+2222))),""))</f>
        <v/>
      </c>
      <c r="B2227" s="33">
        <f>IFERROR(IF(AH!$U$11=1,NA(),$J2227/$E2227-1),NA())</f>
        <v/>
      </c>
      <c r="C2227" s="269">
        <f>IFERROR(100*$E2227/$E$5,NA())</f>
        <v/>
      </c>
      <c r="D2227" s="269">
        <f>IFERROR(100*$J2227/$J$5,NA())</f>
        <v/>
      </c>
      <c r="E2227" s="32">
        <f>IFERROR(IF(AND(ISNUMBER($A2227),N(IF(AND(AH!$U$12=1,2222+1=AH!$U$6),IF(AH!$U$4=0,"unavailable",INDEX('Market Data'!$AN$5:$AN$66,AH!$U$4)),IF(AH!$U$5=1,INDEX('Live History'!$B$5:$B$3004,$K2227),INDEX('AH History'!$D$5:$GG$1380,$K2227,AH!$U$10))))&gt;0),IF(AND(AH!$U$12=1,2222+1=AH!$U$6),IF(AH!$U$4=0,"unavailable",INDEX('Market Data'!$AN$5:$AN$66,AH!$U$4)),IF(AH!$U$5=1,INDEX('Live History'!$B$5:$B$3004,$K2227),INDEX('AH History'!$D$5:$GG$1380,$K2227,AH!$U$10))),NA()),NA())</f>
        <v/>
      </c>
      <c r="F2227" s="32">
        <f>IFERROR(IF(ISNUMBER($A2227),IF(AND(AH!$U$12=1,2222+1=AH!$U$6),IF(AH!$U$4=0,"unavailable",INDEX('Market Data'!$AO$5:$AO$66,AH!$U$4)),IF(AH!$U$5=1,INDEX('Live History'!$E$5:$E$3004,MATCH($A2227,'Live History'!$D$5:$D$3004,1)),INDEX('AH History'!$D$5:$GG$1380,$K2227,AH!$U$10+1))),NA()),NA())</f>
        <v/>
      </c>
      <c r="G2227" s="34">
        <f>IFERROR(IF(ISNUMBER($A2227),IF(AND(AH!$U$12=1,2222+1=AH!$U$6),IF(AH!$U$4=0,"unavailable",INDEX('Market Data'!$AK$5:$AK$66,AH!$U$4)),IF(AH!$U$5=1,INDEX('Live History'!$D$5:$D$3004,MATCH($A2227,'Live History'!$D$5:$D$3004,1)),INDEX('AH History'!$D$5:$GG$1380,$K2227,AH!$U$10+2))),NA()),NA())</f>
        <v/>
      </c>
      <c r="H2227" s="266">
        <f>IFERROR(IF(ISNUMBER($A2227),IF(AND(AH!$U$12=1,2222+1=AH!$U$6),IF(AH!$U$4=0,"unavailable",INDEX('Market Data'!$AP$5:$AP$66,AH!$U$4)),IF(AH!$U$5=1,INDEX('Live History'!$H$5:$H$3004,MATCH($A2227,'Live History'!$G$5:$G$3004,1)),INDEX('AH History'!$B$5:$B$1380,$K2227))),NA()),NA())</f>
        <v/>
      </c>
      <c r="I2227" s="34">
        <f>IFERROR(IF(ISNUMBER($A2227),IF(AND(AH!$U$12=1,2222+1=AH!$U$6),TODAY(),IF(AH!$U$5=1,INDEX('Live History'!$G$5:$G$3004,MATCH($A2227,'Live History'!$G$5:$G$3004,1)),INDEX('AH History'!$C$5:$C$1380,$K2227))),NA()),NA())</f>
        <v/>
      </c>
      <c r="J2227" s="32">
        <f>IFERROR(IF(AND($F2227&gt;0,$H2227&gt;0,$A2227-$G2227&lt;=10,$A2227-$I2227&lt;=5,$G2227&gt;0,$I2227&gt;0),$F2227*$H2227,NA()),NA())</f>
        <v/>
      </c>
      <c r="K2227" s="15">
        <f>IF($A2227="","",IF(AH!$U$5=1,IFERROR(MATCH($A2227,'Live History'!$A$5:$A$3004,0),0),AH!$U$7+2222))</f>
        <v/>
      </c>
      <c r="L2227" s="15">
        <f>IF(ISNUMBER(A2227),TEXT(A2227,"dd-mmm-yy"),"")</f>
        <v/>
      </c>
    </row>
    <row r="2228">
      <c r="A2228" s="14">
        <f>IF(OR(AH!$U$4=0,2223+1&gt;AH!$U$6,AND(AH!$M$5="Bloomberg",AH!$U$5=0)),"",IFERROR(IF(AND(AH!$U$12=1,2223+1=AH!$U$6),TODAY(),IF(AH!$U$5=1,INDEX('Live History'!$A$5:$A$3004,AH!$U$7+2223),INDEX('AH History'!$A$5:$A$1380,AH!$U$7+2223))),""))</f>
        <v/>
      </c>
      <c r="B2228" s="33">
        <f>IFERROR(IF(AH!$U$11=1,NA(),$J2228/$E2228-1),NA())</f>
        <v/>
      </c>
      <c r="C2228" s="269">
        <f>IFERROR(100*$E2228/$E$5,NA())</f>
        <v/>
      </c>
      <c r="D2228" s="269">
        <f>IFERROR(100*$J2228/$J$5,NA())</f>
        <v/>
      </c>
      <c r="E2228" s="32">
        <f>IFERROR(IF(AND(ISNUMBER($A2228),N(IF(AND(AH!$U$12=1,2223+1=AH!$U$6),IF(AH!$U$4=0,"unavailable",INDEX('Market Data'!$AN$5:$AN$66,AH!$U$4)),IF(AH!$U$5=1,INDEX('Live History'!$B$5:$B$3004,$K2228),INDEX('AH History'!$D$5:$GG$1380,$K2228,AH!$U$10))))&gt;0),IF(AND(AH!$U$12=1,2223+1=AH!$U$6),IF(AH!$U$4=0,"unavailable",INDEX('Market Data'!$AN$5:$AN$66,AH!$U$4)),IF(AH!$U$5=1,INDEX('Live History'!$B$5:$B$3004,$K2228),INDEX('AH History'!$D$5:$GG$1380,$K2228,AH!$U$10))),NA()),NA())</f>
        <v/>
      </c>
      <c r="F2228" s="32">
        <f>IFERROR(IF(ISNUMBER($A2228),IF(AND(AH!$U$12=1,2223+1=AH!$U$6),IF(AH!$U$4=0,"unavailable",INDEX('Market Data'!$AO$5:$AO$66,AH!$U$4)),IF(AH!$U$5=1,INDEX('Live History'!$E$5:$E$3004,MATCH($A2228,'Live History'!$D$5:$D$3004,1)),INDEX('AH History'!$D$5:$GG$1380,$K2228,AH!$U$10+1))),NA()),NA())</f>
        <v/>
      </c>
      <c r="G2228" s="34">
        <f>IFERROR(IF(ISNUMBER($A2228),IF(AND(AH!$U$12=1,2223+1=AH!$U$6),IF(AH!$U$4=0,"unavailable",INDEX('Market Data'!$AK$5:$AK$66,AH!$U$4)),IF(AH!$U$5=1,INDEX('Live History'!$D$5:$D$3004,MATCH($A2228,'Live History'!$D$5:$D$3004,1)),INDEX('AH History'!$D$5:$GG$1380,$K2228,AH!$U$10+2))),NA()),NA())</f>
        <v/>
      </c>
      <c r="H2228" s="266">
        <f>IFERROR(IF(ISNUMBER($A2228),IF(AND(AH!$U$12=1,2223+1=AH!$U$6),IF(AH!$U$4=0,"unavailable",INDEX('Market Data'!$AP$5:$AP$66,AH!$U$4)),IF(AH!$U$5=1,INDEX('Live History'!$H$5:$H$3004,MATCH($A2228,'Live History'!$G$5:$G$3004,1)),INDEX('AH History'!$B$5:$B$1380,$K2228))),NA()),NA())</f>
        <v/>
      </c>
      <c r="I2228" s="34">
        <f>IFERROR(IF(ISNUMBER($A2228),IF(AND(AH!$U$12=1,2223+1=AH!$U$6),TODAY(),IF(AH!$U$5=1,INDEX('Live History'!$G$5:$G$3004,MATCH($A2228,'Live History'!$G$5:$G$3004,1)),INDEX('AH History'!$C$5:$C$1380,$K2228))),NA()),NA())</f>
        <v/>
      </c>
      <c r="J2228" s="32">
        <f>IFERROR(IF(AND($F2228&gt;0,$H2228&gt;0,$A2228-$G2228&lt;=10,$A2228-$I2228&lt;=5,$G2228&gt;0,$I2228&gt;0),$F2228*$H2228,NA()),NA())</f>
        <v/>
      </c>
      <c r="K2228" s="15">
        <f>IF($A2228="","",IF(AH!$U$5=1,IFERROR(MATCH($A2228,'Live History'!$A$5:$A$3004,0),0),AH!$U$7+2223))</f>
        <v/>
      </c>
      <c r="L2228" s="15">
        <f>IF(ISNUMBER(A2228),TEXT(A2228,"dd-mmm-yy"),"")</f>
        <v/>
      </c>
    </row>
    <row r="2229">
      <c r="A2229" s="14">
        <f>IF(OR(AH!$U$4=0,2224+1&gt;AH!$U$6,AND(AH!$M$5="Bloomberg",AH!$U$5=0)),"",IFERROR(IF(AND(AH!$U$12=1,2224+1=AH!$U$6),TODAY(),IF(AH!$U$5=1,INDEX('Live History'!$A$5:$A$3004,AH!$U$7+2224),INDEX('AH History'!$A$5:$A$1380,AH!$U$7+2224))),""))</f>
        <v/>
      </c>
      <c r="B2229" s="33">
        <f>IFERROR(IF(AH!$U$11=1,NA(),$J2229/$E2229-1),NA())</f>
        <v/>
      </c>
      <c r="C2229" s="269">
        <f>IFERROR(100*$E2229/$E$5,NA())</f>
        <v/>
      </c>
      <c r="D2229" s="269">
        <f>IFERROR(100*$J2229/$J$5,NA())</f>
        <v/>
      </c>
      <c r="E2229" s="32">
        <f>IFERROR(IF(AND(ISNUMBER($A2229),N(IF(AND(AH!$U$12=1,2224+1=AH!$U$6),IF(AH!$U$4=0,"unavailable",INDEX('Market Data'!$AN$5:$AN$66,AH!$U$4)),IF(AH!$U$5=1,INDEX('Live History'!$B$5:$B$3004,$K2229),INDEX('AH History'!$D$5:$GG$1380,$K2229,AH!$U$10))))&gt;0),IF(AND(AH!$U$12=1,2224+1=AH!$U$6),IF(AH!$U$4=0,"unavailable",INDEX('Market Data'!$AN$5:$AN$66,AH!$U$4)),IF(AH!$U$5=1,INDEX('Live History'!$B$5:$B$3004,$K2229),INDEX('AH History'!$D$5:$GG$1380,$K2229,AH!$U$10))),NA()),NA())</f>
        <v/>
      </c>
      <c r="F2229" s="32">
        <f>IFERROR(IF(ISNUMBER($A2229),IF(AND(AH!$U$12=1,2224+1=AH!$U$6),IF(AH!$U$4=0,"unavailable",INDEX('Market Data'!$AO$5:$AO$66,AH!$U$4)),IF(AH!$U$5=1,INDEX('Live History'!$E$5:$E$3004,MATCH($A2229,'Live History'!$D$5:$D$3004,1)),INDEX('AH History'!$D$5:$GG$1380,$K2229,AH!$U$10+1))),NA()),NA())</f>
        <v/>
      </c>
      <c r="G2229" s="34">
        <f>IFERROR(IF(ISNUMBER($A2229),IF(AND(AH!$U$12=1,2224+1=AH!$U$6),IF(AH!$U$4=0,"unavailable",INDEX('Market Data'!$AK$5:$AK$66,AH!$U$4)),IF(AH!$U$5=1,INDEX('Live History'!$D$5:$D$3004,MATCH($A2229,'Live History'!$D$5:$D$3004,1)),INDEX('AH History'!$D$5:$GG$1380,$K2229,AH!$U$10+2))),NA()),NA())</f>
        <v/>
      </c>
      <c r="H2229" s="266">
        <f>IFERROR(IF(ISNUMBER($A2229),IF(AND(AH!$U$12=1,2224+1=AH!$U$6),IF(AH!$U$4=0,"unavailable",INDEX('Market Data'!$AP$5:$AP$66,AH!$U$4)),IF(AH!$U$5=1,INDEX('Live History'!$H$5:$H$3004,MATCH($A2229,'Live History'!$G$5:$G$3004,1)),INDEX('AH History'!$B$5:$B$1380,$K2229))),NA()),NA())</f>
        <v/>
      </c>
      <c r="I2229" s="34">
        <f>IFERROR(IF(ISNUMBER($A2229),IF(AND(AH!$U$12=1,2224+1=AH!$U$6),TODAY(),IF(AH!$U$5=1,INDEX('Live History'!$G$5:$G$3004,MATCH($A2229,'Live History'!$G$5:$G$3004,1)),INDEX('AH History'!$C$5:$C$1380,$K2229))),NA()),NA())</f>
        <v/>
      </c>
      <c r="J2229" s="32">
        <f>IFERROR(IF(AND($F2229&gt;0,$H2229&gt;0,$A2229-$G2229&lt;=10,$A2229-$I2229&lt;=5,$G2229&gt;0,$I2229&gt;0),$F2229*$H2229,NA()),NA())</f>
        <v/>
      </c>
      <c r="K2229" s="15">
        <f>IF($A2229="","",IF(AH!$U$5=1,IFERROR(MATCH($A2229,'Live History'!$A$5:$A$3004,0),0),AH!$U$7+2224))</f>
        <v/>
      </c>
      <c r="L2229" s="15">
        <f>IF(ISNUMBER(A2229),TEXT(A2229,"dd-mmm-yy"),"")</f>
        <v/>
      </c>
    </row>
    <row r="2230">
      <c r="A2230" s="14">
        <f>IF(OR(AH!$U$4=0,2225+1&gt;AH!$U$6,AND(AH!$M$5="Bloomberg",AH!$U$5=0)),"",IFERROR(IF(AND(AH!$U$12=1,2225+1=AH!$U$6),TODAY(),IF(AH!$U$5=1,INDEX('Live History'!$A$5:$A$3004,AH!$U$7+2225),INDEX('AH History'!$A$5:$A$1380,AH!$U$7+2225))),""))</f>
        <v/>
      </c>
      <c r="B2230" s="33">
        <f>IFERROR(IF(AH!$U$11=1,NA(),$J2230/$E2230-1),NA())</f>
        <v/>
      </c>
      <c r="C2230" s="269">
        <f>IFERROR(100*$E2230/$E$5,NA())</f>
        <v/>
      </c>
      <c r="D2230" s="269">
        <f>IFERROR(100*$J2230/$J$5,NA())</f>
        <v/>
      </c>
      <c r="E2230" s="32">
        <f>IFERROR(IF(AND(ISNUMBER($A2230),N(IF(AND(AH!$U$12=1,2225+1=AH!$U$6),IF(AH!$U$4=0,"unavailable",INDEX('Market Data'!$AN$5:$AN$66,AH!$U$4)),IF(AH!$U$5=1,INDEX('Live History'!$B$5:$B$3004,$K2230),INDEX('AH History'!$D$5:$GG$1380,$K2230,AH!$U$10))))&gt;0),IF(AND(AH!$U$12=1,2225+1=AH!$U$6),IF(AH!$U$4=0,"unavailable",INDEX('Market Data'!$AN$5:$AN$66,AH!$U$4)),IF(AH!$U$5=1,INDEX('Live History'!$B$5:$B$3004,$K2230),INDEX('AH History'!$D$5:$GG$1380,$K2230,AH!$U$10))),NA()),NA())</f>
        <v/>
      </c>
      <c r="F2230" s="32">
        <f>IFERROR(IF(ISNUMBER($A2230),IF(AND(AH!$U$12=1,2225+1=AH!$U$6),IF(AH!$U$4=0,"unavailable",INDEX('Market Data'!$AO$5:$AO$66,AH!$U$4)),IF(AH!$U$5=1,INDEX('Live History'!$E$5:$E$3004,MATCH($A2230,'Live History'!$D$5:$D$3004,1)),INDEX('AH History'!$D$5:$GG$1380,$K2230,AH!$U$10+1))),NA()),NA())</f>
        <v/>
      </c>
      <c r="G2230" s="34">
        <f>IFERROR(IF(ISNUMBER($A2230),IF(AND(AH!$U$12=1,2225+1=AH!$U$6),IF(AH!$U$4=0,"unavailable",INDEX('Market Data'!$AK$5:$AK$66,AH!$U$4)),IF(AH!$U$5=1,INDEX('Live History'!$D$5:$D$3004,MATCH($A2230,'Live History'!$D$5:$D$3004,1)),INDEX('AH History'!$D$5:$GG$1380,$K2230,AH!$U$10+2))),NA()),NA())</f>
        <v/>
      </c>
      <c r="H2230" s="266">
        <f>IFERROR(IF(ISNUMBER($A2230),IF(AND(AH!$U$12=1,2225+1=AH!$U$6),IF(AH!$U$4=0,"unavailable",INDEX('Market Data'!$AP$5:$AP$66,AH!$U$4)),IF(AH!$U$5=1,INDEX('Live History'!$H$5:$H$3004,MATCH($A2230,'Live History'!$G$5:$G$3004,1)),INDEX('AH History'!$B$5:$B$1380,$K2230))),NA()),NA())</f>
        <v/>
      </c>
      <c r="I2230" s="34">
        <f>IFERROR(IF(ISNUMBER($A2230),IF(AND(AH!$U$12=1,2225+1=AH!$U$6),TODAY(),IF(AH!$U$5=1,INDEX('Live History'!$G$5:$G$3004,MATCH($A2230,'Live History'!$G$5:$G$3004,1)),INDEX('AH History'!$C$5:$C$1380,$K2230))),NA()),NA())</f>
        <v/>
      </c>
      <c r="J2230" s="32">
        <f>IFERROR(IF(AND($F2230&gt;0,$H2230&gt;0,$A2230-$G2230&lt;=10,$A2230-$I2230&lt;=5,$G2230&gt;0,$I2230&gt;0),$F2230*$H2230,NA()),NA())</f>
        <v/>
      </c>
      <c r="K2230" s="15">
        <f>IF($A2230="","",IF(AH!$U$5=1,IFERROR(MATCH($A2230,'Live History'!$A$5:$A$3004,0),0),AH!$U$7+2225))</f>
        <v/>
      </c>
      <c r="L2230" s="15">
        <f>IF(ISNUMBER(A2230),TEXT(A2230,"dd-mmm-yy"),"")</f>
        <v/>
      </c>
    </row>
    <row r="2231">
      <c r="A2231" s="14">
        <f>IF(OR(AH!$U$4=0,2226+1&gt;AH!$U$6,AND(AH!$M$5="Bloomberg",AH!$U$5=0)),"",IFERROR(IF(AND(AH!$U$12=1,2226+1=AH!$U$6),TODAY(),IF(AH!$U$5=1,INDEX('Live History'!$A$5:$A$3004,AH!$U$7+2226),INDEX('AH History'!$A$5:$A$1380,AH!$U$7+2226))),""))</f>
        <v/>
      </c>
      <c r="B2231" s="33">
        <f>IFERROR(IF(AH!$U$11=1,NA(),$J2231/$E2231-1),NA())</f>
        <v/>
      </c>
      <c r="C2231" s="269">
        <f>IFERROR(100*$E2231/$E$5,NA())</f>
        <v/>
      </c>
      <c r="D2231" s="269">
        <f>IFERROR(100*$J2231/$J$5,NA())</f>
        <v/>
      </c>
      <c r="E2231" s="32">
        <f>IFERROR(IF(AND(ISNUMBER($A2231),N(IF(AND(AH!$U$12=1,2226+1=AH!$U$6),IF(AH!$U$4=0,"unavailable",INDEX('Market Data'!$AN$5:$AN$66,AH!$U$4)),IF(AH!$U$5=1,INDEX('Live History'!$B$5:$B$3004,$K2231),INDEX('AH History'!$D$5:$GG$1380,$K2231,AH!$U$10))))&gt;0),IF(AND(AH!$U$12=1,2226+1=AH!$U$6),IF(AH!$U$4=0,"unavailable",INDEX('Market Data'!$AN$5:$AN$66,AH!$U$4)),IF(AH!$U$5=1,INDEX('Live History'!$B$5:$B$3004,$K2231),INDEX('AH History'!$D$5:$GG$1380,$K2231,AH!$U$10))),NA()),NA())</f>
        <v/>
      </c>
      <c r="F2231" s="32">
        <f>IFERROR(IF(ISNUMBER($A2231),IF(AND(AH!$U$12=1,2226+1=AH!$U$6),IF(AH!$U$4=0,"unavailable",INDEX('Market Data'!$AO$5:$AO$66,AH!$U$4)),IF(AH!$U$5=1,INDEX('Live History'!$E$5:$E$3004,MATCH($A2231,'Live History'!$D$5:$D$3004,1)),INDEX('AH History'!$D$5:$GG$1380,$K2231,AH!$U$10+1))),NA()),NA())</f>
        <v/>
      </c>
      <c r="G2231" s="34">
        <f>IFERROR(IF(ISNUMBER($A2231),IF(AND(AH!$U$12=1,2226+1=AH!$U$6),IF(AH!$U$4=0,"unavailable",INDEX('Market Data'!$AK$5:$AK$66,AH!$U$4)),IF(AH!$U$5=1,INDEX('Live History'!$D$5:$D$3004,MATCH($A2231,'Live History'!$D$5:$D$3004,1)),INDEX('AH History'!$D$5:$GG$1380,$K2231,AH!$U$10+2))),NA()),NA())</f>
        <v/>
      </c>
      <c r="H2231" s="266">
        <f>IFERROR(IF(ISNUMBER($A2231),IF(AND(AH!$U$12=1,2226+1=AH!$U$6),IF(AH!$U$4=0,"unavailable",INDEX('Market Data'!$AP$5:$AP$66,AH!$U$4)),IF(AH!$U$5=1,INDEX('Live History'!$H$5:$H$3004,MATCH($A2231,'Live History'!$G$5:$G$3004,1)),INDEX('AH History'!$B$5:$B$1380,$K2231))),NA()),NA())</f>
        <v/>
      </c>
      <c r="I2231" s="34">
        <f>IFERROR(IF(ISNUMBER($A2231),IF(AND(AH!$U$12=1,2226+1=AH!$U$6),TODAY(),IF(AH!$U$5=1,INDEX('Live History'!$G$5:$G$3004,MATCH($A2231,'Live History'!$G$5:$G$3004,1)),INDEX('AH History'!$C$5:$C$1380,$K2231))),NA()),NA())</f>
        <v/>
      </c>
      <c r="J2231" s="32">
        <f>IFERROR(IF(AND($F2231&gt;0,$H2231&gt;0,$A2231-$G2231&lt;=10,$A2231-$I2231&lt;=5,$G2231&gt;0,$I2231&gt;0),$F2231*$H2231,NA()),NA())</f>
        <v/>
      </c>
      <c r="K2231" s="15">
        <f>IF($A2231="","",IF(AH!$U$5=1,IFERROR(MATCH($A2231,'Live History'!$A$5:$A$3004,0),0),AH!$U$7+2226))</f>
        <v/>
      </c>
      <c r="L2231" s="15">
        <f>IF(ISNUMBER(A2231),TEXT(A2231,"dd-mmm-yy"),"")</f>
        <v/>
      </c>
    </row>
    <row r="2232">
      <c r="A2232" s="14">
        <f>IF(OR(AH!$U$4=0,2227+1&gt;AH!$U$6,AND(AH!$M$5="Bloomberg",AH!$U$5=0)),"",IFERROR(IF(AND(AH!$U$12=1,2227+1=AH!$U$6),TODAY(),IF(AH!$U$5=1,INDEX('Live History'!$A$5:$A$3004,AH!$U$7+2227),INDEX('AH History'!$A$5:$A$1380,AH!$U$7+2227))),""))</f>
        <v/>
      </c>
      <c r="B2232" s="33">
        <f>IFERROR(IF(AH!$U$11=1,NA(),$J2232/$E2232-1),NA())</f>
        <v/>
      </c>
      <c r="C2232" s="269">
        <f>IFERROR(100*$E2232/$E$5,NA())</f>
        <v/>
      </c>
      <c r="D2232" s="269">
        <f>IFERROR(100*$J2232/$J$5,NA())</f>
        <v/>
      </c>
      <c r="E2232" s="32">
        <f>IFERROR(IF(AND(ISNUMBER($A2232),N(IF(AND(AH!$U$12=1,2227+1=AH!$U$6),IF(AH!$U$4=0,"unavailable",INDEX('Market Data'!$AN$5:$AN$66,AH!$U$4)),IF(AH!$U$5=1,INDEX('Live History'!$B$5:$B$3004,$K2232),INDEX('AH History'!$D$5:$GG$1380,$K2232,AH!$U$10))))&gt;0),IF(AND(AH!$U$12=1,2227+1=AH!$U$6),IF(AH!$U$4=0,"unavailable",INDEX('Market Data'!$AN$5:$AN$66,AH!$U$4)),IF(AH!$U$5=1,INDEX('Live History'!$B$5:$B$3004,$K2232),INDEX('AH History'!$D$5:$GG$1380,$K2232,AH!$U$10))),NA()),NA())</f>
        <v/>
      </c>
      <c r="F2232" s="32">
        <f>IFERROR(IF(ISNUMBER($A2232),IF(AND(AH!$U$12=1,2227+1=AH!$U$6),IF(AH!$U$4=0,"unavailable",INDEX('Market Data'!$AO$5:$AO$66,AH!$U$4)),IF(AH!$U$5=1,INDEX('Live History'!$E$5:$E$3004,MATCH($A2232,'Live History'!$D$5:$D$3004,1)),INDEX('AH History'!$D$5:$GG$1380,$K2232,AH!$U$10+1))),NA()),NA())</f>
        <v/>
      </c>
      <c r="G2232" s="34">
        <f>IFERROR(IF(ISNUMBER($A2232),IF(AND(AH!$U$12=1,2227+1=AH!$U$6),IF(AH!$U$4=0,"unavailable",INDEX('Market Data'!$AK$5:$AK$66,AH!$U$4)),IF(AH!$U$5=1,INDEX('Live History'!$D$5:$D$3004,MATCH($A2232,'Live History'!$D$5:$D$3004,1)),INDEX('AH History'!$D$5:$GG$1380,$K2232,AH!$U$10+2))),NA()),NA())</f>
        <v/>
      </c>
      <c r="H2232" s="266">
        <f>IFERROR(IF(ISNUMBER($A2232),IF(AND(AH!$U$12=1,2227+1=AH!$U$6),IF(AH!$U$4=0,"unavailable",INDEX('Market Data'!$AP$5:$AP$66,AH!$U$4)),IF(AH!$U$5=1,INDEX('Live History'!$H$5:$H$3004,MATCH($A2232,'Live History'!$G$5:$G$3004,1)),INDEX('AH History'!$B$5:$B$1380,$K2232))),NA()),NA())</f>
        <v/>
      </c>
      <c r="I2232" s="34">
        <f>IFERROR(IF(ISNUMBER($A2232),IF(AND(AH!$U$12=1,2227+1=AH!$U$6),TODAY(),IF(AH!$U$5=1,INDEX('Live History'!$G$5:$G$3004,MATCH($A2232,'Live History'!$G$5:$G$3004,1)),INDEX('AH History'!$C$5:$C$1380,$K2232))),NA()),NA())</f>
        <v/>
      </c>
      <c r="J2232" s="32">
        <f>IFERROR(IF(AND($F2232&gt;0,$H2232&gt;0,$A2232-$G2232&lt;=10,$A2232-$I2232&lt;=5,$G2232&gt;0,$I2232&gt;0),$F2232*$H2232,NA()),NA())</f>
        <v/>
      </c>
      <c r="K2232" s="15">
        <f>IF($A2232="","",IF(AH!$U$5=1,IFERROR(MATCH($A2232,'Live History'!$A$5:$A$3004,0),0),AH!$U$7+2227))</f>
        <v/>
      </c>
      <c r="L2232" s="15">
        <f>IF(ISNUMBER(A2232),TEXT(A2232,"dd-mmm-yy"),"")</f>
        <v/>
      </c>
    </row>
    <row r="2233">
      <c r="A2233" s="14">
        <f>IF(OR(AH!$U$4=0,2228+1&gt;AH!$U$6,AND(AH!$M$5="Bloomberg",AH!$U$5=0)),"",IFERROR(IF(AND(AH!$U$12=1,2228+1=AH!$U$6),TODAY(),IF(AH!$U$5=1,INDEX('Live History'!$A$5:$A$3004,AH!$U$7+2228),INDEX('AH History'!$A$5:$A$1380,AH!$U$7+2228))),""))</f>
        <v/>
      </c>
      <c r="B2233" s="33">
        <f>IFERROR(IF(AH!$U$11=1,NA(),$J2233/$E2233-1),NA())</f>
        <v/>
      </c>
      <c r="C2233" s="269">
        <f>IFERROR(100*$E2233/$E$5,NA())</f>
        <v/>
      </c>
      <c r="D2233" s="269">
        <f>IFERROR(100*$J2233/$J$5,NA())</f>
        <v/>
      </c>
      <c r="E2233" s="32">
        <f>IFERROR(IF(AND(ISNUMBER($A2233),N(IF(AND(AH!$U$12=1,2228+1=AH!$U$6),IF(AH!$U$4=0,"unavailable",INDEX('Market Data'!$AN$5:$AN$66,AH!$U$4)),IF(AH!$U$5=1,INDEX('Live History'!$B$5:$B$3004,$K2233),INDEX('AH History'!$D$5:$GG$1380,$K2233,AH!$U$10))))&gt;0),IF(AND(AH!$U$12=1,2228+1=AH!$U$6),IF(AH!$U$4=0,"unavailable",INDEX('Market Data'!$AN$5:$AN$66,AH!$U$4)),IF(AH!$U$5=1,INDEX('Live History'!$B$5:$B$3004,$K2233),INDEX('AH History'!$D$5:$GG$1380,$K2233,AH!$U$10))),NA()),NA())</f>
        <v/>
      </c>
      <c r="F2233" s="32">
        <f>IFERROR(IF(ISNUMBER($A2233),IF(AND(AH!$U$12=1,2228+1=AH!$U$6),IF(AH!$U$4=0,"unavailable",INDEX('Market Data'!$AO$5:$AO$66,AH!$U$4)),IF(AH!$U$5=1,INDEX('Live History'!$E$5:$E$3004,MATCH($A2233,'Live History'!$D$5:$D$3004,1)),INDEX('AH History'!$D$5:$GG$1380,$K2233,AH!$U$10+1))),NA()),NA())</f>
        <v/>
      </c>
      <c r="G2233" s="34">
        <f>IFERROR(IF(ISNUMBER($A2233),IF(AND(AH!$U$12=1,2228+1=AH!$U$6),IF(AH!$U$4=0,"unavailable",INDEX('Market Data'!$AK$5:$AK$66,AH!$U$4)),IF(AH!$U$5=1,INDEX('Live History'!$D$5:$D$3004,MATCH($A2233,'Live History'!$D$5:$D$3004,1)),INDEX('AH History'!$D$5:$GG$1380,$K2233,AH!$U$10+2))),NA()),NA())</f>
        <v/>
      </c>
      <c r="H2233" s="266">
        <f>IFERROR(IF(ISNUMBER($A2233),IF(AND(AH!$U$12=1,2228+1=AH!$U$6),IF(AH!$U$4=0,"unavailable",INDEX('Market Data'!$AP$5:$AP$66,AH!$U$4)),IF(AH!$U$5=1,INDEX('Live History'!$H$5:$H$3004,MATCH($A2233,'Live History'!$G$5:$G$3004,1)),INDEX('AH History'!$B$5:$B$1380,$K2233))),NA()),NA())</f>
        <v/>
      </c>
      <c r="I2233" s="34">
        <f>IFERROR(IF(ISNUMBER($A2233),IF(AND(AH!$U$12=1,2228+1=AH!$U$6),TODAY(),IF(AH!$U$5=1,INDEX('Live History'!$G$5:$G$3004,MATCH($A2233,'Live History'!$G$5:$G$3004,1)),INDEX('AH History'!$C$5:$C$1380,$K2233))),NA()),NA())</f>
        <v/>
      </c>
      <c r="J2233" s="32">
        <f>IFERROR(IF(AND($F2233&gt;0,$H2233&gt;0,$A2233-$G2233&lt;=10,$A2233-$I2233&lt;=5,$G2233&gt;0,$I2233&gt;0),$F2233*$H2233,NA()),NA())</f>
        <v/>
      </c>
      <c r="K2233" s="15">
        <f>IF($A2233="","",IF(AH!$U$5=1,IFERROR(MATCH($A2233,'Live History'!$A$5:$A$3004,0),0),AH!$U$7+2228))</f>
        <v/>
      </c>
      <c r="L2233" s="15">
        <f>IF(ISNUMBER(A2233),TEXT(A2233,"dd-mmm-yy"),"")</f>
        <v/>
      </c>
    </row>
    <row r="2234">
      <c r="A2234" s="14">
        <f>IF(OR(AH!$U$4=0,2229+1&gt;AH!$U$6,AND(AH!$M$5="Bloomberg",AH!$U$5=0)),"",IFERROR(IF(AND(AH!$U$12=1,2229+1=AH!$U$6),TODAY(),IF(AH!$U$5=1,INDEX('Live History'!$A$5:$A$3004,AH!$U$7+2229),INDEX('AH History'!$A$5:$A$1380,AH!$U$7+2229))),""))</f>
        <v/>
      </c>
      <c r="B2234" s="33">
        <f>IFERROR(IF(AH!$U$11=1,NA(),$J2234/$E2234-1),NA())</f>
        <v/>
      </c>
      <c r="C2234" s="269">
        <f>IFERROR(100*$E2234/$E$5,NA())</f>
        <v/>
      </c>
      <c r="D2234" s="269">
        <f>IFERROR(100*$J2234/$J$5,NA())</f>
        <v/>
      </c>
      <c r="E2234" s="32">
        <f>IFERROR(IF(AND(ISNUMBER($A2234),N(IF(AND(AH!$U$12=1,2229+1=AH!$U$6),IF(AH!$U$4=0,"unavailable",INDEX('Market Data'!$AN$5:$AN$66,AH!$U$4)),IF(AH!$U$5=1,INDEX('Live History'!$B$5:$B$3004,$K2234),INDEX('AH History'!$D$5:$GG$1380,$K2234,AH!$U$10))))&gt;0),IF(AND(AH!$U$12=1,2229+1=AH!$U$6),IF(AH!$U$4=0,"unavailable",INDEX('Market Data'!$AN$5:$AN$66,AH!$U$4)),IF(AH!$U$5=1,INDEX('Live History'!$B$5:$B$3004,$K2234),INDEX('AH History'!$D$5:$GG$1380,$K2234,AH!$U$10))),NA()),NA())</f>
        <v/>
      </c>
      <c r="F2234" s="32">
        <f>IFERROR(IF(ISNUMBER($A2234),IF(AND(AH!$U$12=1,2229+1=AH!$U$6),IF(AH!$U$4=0,"unavailable",INDEX('Market Data'!$AO$5:$AO$66,AH!$U$4)),IF(AH!$U$5=1,INDEX('Live History'!$E$5:$E$3004,MATCH($A2234,'Live History'!$D$5:$D$3004,1)),INDEX('AH History'!$D$5:$GG$1380,$K2234,AH!$U$10+1))),NA()),NA())</f>
        <v/>
      </c>
      <c r="G2234" s="34">
        <f>IFERROR(IF(ISNUMBER($A2234),IF(AND(AH!$U$12=1,2229+1=AH!$U$6),IF(AH!$U$4=0,"unavailable",INDEX('Market Data'!$AK$5:$AK$66,AH!$U$4)),IF(AH!$U$5=1,INDEX('Live History'!$D$5:$D$3004,MATCH($A2234,'Live History'!$D$5:$D$3004,1)),INDEX('AH History'!$D$5:$GG$1380,$K2234,AH!$U$10+2))),NA()),NA())</f>
        <v/>
      </c>
      <c r="H2234" s="266">
        <f>IFERROR(IF(ISNUMBER($A2234),IF(AND(AH!$U$12=1,2229+1=AH!$U$6),IF(AH!$U$4=0,"unavailable",INDEX('Market Data'!$AP$5:$AP$66,AH!$U$4)),IF(AH!$U$5=1,INDEX('Live History'!$H$5:$H$3004,MATCH($A2234,'Live History'!$G$5:$G$3004,1)),INDEX('AH History'!$B$5:$B$1380,$K2234))),NA()),NA())</f>
        <v/>
      </c>
      <c r="I2234" s="34">
        <f>IFERROR(IF(ISNUMBER($A2234),IF(AND(AH!$U$12=1,2229+1=AH!$U$6),TODAY(),IF(AH!$U$5=1,INDEX('Live History'!$G$5:$G$3004,MATCH($A2234,'Live History'!$G$5:$G$3004,1)),INDEX('AH History'!$C$5:$C$1380,$K2234))),NA()),NA())</f>
        <v/>
      </c>
      <c r="J2234" s="32">
        <f>IFERROR(IF(AND($F2234&gt;0,$H2234&gt;0,$A2234-$G2234&lt;=10,$A2234-$I2234&lt;=5,$G2234&gt;0,$I2234&gt;0),$F2234*$H2234,NA()),NA())</f>
        <v/>
      </c>
      <c r="K2234" s="15">
        <f>IF($A2234="","",IF(AH!$U$5=1,IFERROR(MATCH($A2234,'Live History'!$A$5:$A$3004,0),0),AH!$U$7+2229))</f>
        <v/>
      </c>
      <c r="L2234" s="15">
        <f>IF(ISNUMBER(A2234),TEXT(A2234,"dd-mmm-yy"),"")</f>
        <v/>
      </c>
    </row>
    <row r="2235">
      <c r="A2235" s="14">
        <f>IF(OR(AH!$U$4=0,2230+1&gt;AH!$U$6,AND(AH!$M$5="Bloomberg",AH!$U$5=0)),"",IFERROR(IF(AND(AH!$U$12=1,2230+1=AH!$U$6),TODAY(),IF(AH!$U$5=1,INDEX('Live History'!$A$5:$A$3004,AH!$U$7+2230),INDEX('AH History'!$A$5:$A$1380,AH!$U$7+2230))),""))</f>
        <v/>
      </c>
      <c r="B2235" s="33">
        <f>IFERROR(IF(AH!$U$11=1,NA(),$J2235/$E2235-1),NA())</f>
        <v/>
      </c>
      <c r="C2235" s="269">
        <f>IFERROR(100*$E2235/$E$5,NA())</f>
        <v/>
      </c>
      <c r="D2235" s="269">
        <f>IFERROR(100*$J2235/$J$5,NA())</f>
        <v/>
      </c>
      <c r="E2235" s="32">
        <f>IFERROR(IF(AND(ISNUMBER($A2235),N(IF(AND(AH!$U$12=1,2230+1=AH!$U$6),IF(AH!$U$4=0,"unavailable",INDEX('Market Data'!$AN$5:$AN$66,AH!$U$4)),IF(AH!$U$5=1,INDEX('Live History'!$B$5:$B$3004,$K2235),INDEX('AH History'!$D$5:$GG$1380,$K2235,AH!$U$10))))&gt;0),IF(AND(AH!$U$12=1,2230+1=AH!$U$6),IF(AH!$U$4=0,"unavailable",INDEX('Market Data'!$AN$5:$AN$66,AH!$U$4)),IF(AH!$U$5=1,INDEX('Live History'!$B$5:$B$3004,$K2235),INDEX('AH History'!$D$5:$GG$1380,$K2235,AH!$U$10))),NA()),NA())</f>
        <v/>
      </c>
      <c r="F2235" s="32">
        <f>IFERROR(IF(ISNUMBER($A2235),IF(AND(AH!$U$12=1,2230+1=AH!$U$6),IF(AH!$U$4=0,"unavailable",INDEX('Market Data'!$AO$5:$AO$66,AH!$U$4)),IF(AH!$U$5=1,INDEX('Live History'!$E$5:$E$3004,MATCH($A2235,'Live History'!$D$5:$D$3004,1)),INDEX('AH History'!$D$5:$GG$1380,$K2235,AH!$U$10+1))),NA()),NA())</f>
        <v/>
      </c>
      <c r="G2235" s="34">
        <f>IFERROR(IF(ISNUMBER($A2235),IF(AND(AH!$U$12=1,2230+1=AH!$U$6),IF(AH!$U$4=0,"unavailable",INDEX('Market Data'!$AK$5:$AK$66,AH!$U$4)),IF(AH!$U$5=1,INDEX('Live History'!$D$5:$D$3004,MATCH($A2235,'Live History'!$D$5:$D$3004,1)),INDEX('AH History'!$D$5:$GG$1380,$K2235,AH!$U$10+2))),NA()),NA())</f>
        <v/>
      </c>
      <c r="H2235" s="266">
        <f>IFERROR(IF(ISNUMBER($A2235),IF(AND(AH!$U$12=1,2230+1=AH!$U$6),IF(AH!$U$4=0,"unavailable",INDEX('Market Data'!$AP$5:$AP$66,AH!$U$4)),IF(AH!$U$5=1,INDEX('Live History'!$H$5:$H$3004,MATCH($A2235,'Live History'!$G$5:$G$3004,1)),INDEX('AH History'!$B$5:$B$1380,$K2235))),NA()),NA())</f>
        <v/>
      </c>
      <c r="I2235" s="34">
        <f>IFERROR(IF(ISNUMBER($A2235),IF(AND(AH!$U$12=1,2230+1=AH!$U$6),TODAY(),IF(AH!$U$5=1,INDEX('Live History'!$G$5:$G$3004,MATCH($A2235,'Live History'!$G$5:$G$3004,1)),INDEX('AH History'!$C$5:$C$1380,$K2235))),NA()),NA())</f>
        <v/>
      </c>
      <c r="J2235" s="32">
        <f>IFERROR(IF(AND($F2235&gt;0,$H2235&gt;0,$A2235-$G2235&lt;=10,$A2235-$I2235&lt;=5,$G2235&gt;0,$I2235&gt;0),$F2235*$H2235,NA()),NA())</f>
        <v/>
      </c>
      <c r="K2235" s="15">
        <f>IF($A2235="","",IF(AH!$U$5=1,IFERROR(MATCH($A2235,'Live History'!$A$5:$A$3004,0),0),AH!$U$7+2230))</f>
        <v/>
      </c>
      <c r="L2235" s="15">
        <f>IF(ISNUMBER(A2235),TEXT(A2235,"dd-mmm-yy"),"")</f>
        <v/>
      </c>
    </row>
    <row r="2236">
      <c r="A2236" s="14">
        <f>IF(OR(AH!$U$4=0,2231+1&gt;AH!$U$6,AND(AH!$M$5="Bloomberg",AH!$U$5=0)),"",IFERROR(IF(AND(AH!$U$12=1,2231+1=AH!$U$6),TODAY(),IF(AH!$U$5=1,INDEX('Live History'!$A$5:$A$3004,AH!$U$7+2231),INDEX('AH History'!$A$5:$A$1380,AH!$U$7+2231))),""))</f>
        <v/>
      </c>
      <c r="B2236" s="33">
        <f>IFERROR(IF(AH!$U$11=1,NA(),$J2236/$E2236-1),NA())</f>
        <v/>
      </c>
      <c r="C2236" s="269">
        <f>IFERROR(100*$E2236/$E$5,NA())</f>
        <v/>
      </c>
      <c r="D2236" s="269">
        <f>IFERROR(100*$J2236/$J$5,NA())</f>
        <v/>
      </c>
      <c r="E2236" s="32">
        <f>IFERROR(IF(AND(ISNUMBER($A2236),N(IF(AND(AH!$U$12=1,2231+1=AH!$U$6),IF(AH!$U$4=0,"unavailable",INDEX('Market Data'!$AN$5:$AN$66,AH!$U$4)),IF(AH!$U$5=1,INDEX('Live History'!$B$5:$B$3004,$K2236),INDEX('AH History'!$D$5:$GG$1380,$K2236,AH!$U$10))))&gt;0),IF(AND(AH!$U$12=1,2231+1=AH!$U$6),IF(AH!$U$4=0,"unavailable",INDEX('Market Data'!$AN$5:$AN$66,AH!$U$4)),IF(AH!$U$5=1,INDEX('Live History'!$B$5:$B$3004,$K2236),INDEX('AH History'!$D$5:$GG$1380,$K2236,AH!$U$10))),NA()),NA())</f>
        <v/>
      </c>
      <c r="F2236" s="32">
        <f>IFERROR(IF(ISNUMBER($A2236),IF(AND(AH!$U$12=1,2231+1=AH!$U$6),IF(AH!$U$4=0,"unavailable",INDEX('Market Data'!$AO$5:$AO$66,AH!$U$4)),IF(AH!$U$5=1,INDEX('Live History'!$E$5:$E$3004,MATCH($A2236,'Live History'!$D$5:$D$3004,1)),INDEX('AH History'!$D$5:$GG$1380,$K2236,AH!$U$10+1))),NA()),NA())</f>
        <v/>
      </c>
      <c r="G2236" s="34">
        <f>IFERROR(IF(ISNUMBER($A2236),IF(AND(AH!$U$12=1,2231+1=AH!$U$6),IF(AH!$U$4=0,"unavailable",INDEX('Market Data'!$AK$5:$AK$66,AH!$U$4)),IF(AH!$U$5=1,INDEX('Live History'!$D$5:$D$3004,MATCH($A2236,'Live History'!$D$5:$D$3004,1)),INDEX('AH History'!$D$5:$GG$1380,$K2236,AH!$U$10+2))),NA()),NA())</f>
        <v/>
      </c>
      <c r="H2236" s="266">
        <f>IFERROR(IF(ISNUMBER($A2236),IF(AND(AH!$U$12=1,2231+1=AH!$U$6),IF(AH!$U$4=0,"unavailable",INDEX('Market Data'!$AP$5:$AP$66,AH!$U$4)),IF(AH!$U$5=1,INDEX('Live History'!$H$5:$H$3004,MATCH($A2236,'Live History'!$G$5:$G$3004,1)),INDEX('AH History'!$B$5:$B$1380,$K2236))),NA()),NA())</f>
        <v/>
      </c>
      <c r="I2236" s="34">
        <f>IFERROR(IF(ISNUMBER($A2236),IF(AND(AH!$U$12=1,2231+1=AH!$U$6),TODAY(),IF(AH!$U$5=1,INDEX('Live History'!$G$5:$G$3004,MATCH($A2236,'Live History'!$G$5:$G$3004,1)),INDEX('AH History'!$C$5:$C$1380,$K2236))),NA()),NA())</f>
        <v/>
      </c>
      <c r="J2236" s="32">
        <f>IFERROR(IF(AND($F2236&gt;0,$H2236&gt;0,$A2236-$G2236&lt;=10,$A2236-$I2236&lt;=5,$G2236&gt;0,$I2236&gt;0),$F2236*$H2236,NA()),NA())</f>
        <v/>
      </c>
      <c r="K2236" s="15">
        <f>IF($A2236="","",IF(AH!$U$5=1,IFERROR(MATCH($A2236,'Live History'!$A$5:$A$3004,0),0),AH!$U$7+2231))</f>
        <v/>
      </c>
      <c r="L2236" s="15">
        <f>IF(ISNUMBER(A2236),TEXT(A2236,"dd-mmm-yy"),"")</f>
        <v/>
      </c>
    </row>
    <row r="2237">
      <c r="A2237" s="14">
        <f>IF(OR(AH!$U$4=0,2232+1&gt;AH!$U$6,AND(AH!$M$5="Bloomberg",AH!$U$5=0)),"",IFERROR(IF(AND(AH!$U$12=1,2232+1=AH!$U$6),TODAY(),IF(AH!$U$5=1,INDEX('Live History'!$A$5:$A$3004,AH!$U$7+2232),INDEX('AH History'!$A$5:$A$1380,AH!$U$7+2232))),""))</f>
        <v/>
      </c>
      <c r="B2237" s="33">
        <f>IFERROR(IF(AH!$U$11=1,NA(),$J2237/$E2237-1),NA())</f>
        <v/>
      </c>
      <c r="C2237" s="269">
        <f>IFERROR(100*$E2237/$E$5,NA())</f>
        <v/>
      </c>
      <c r="D2237" s="269">
        <f>IFERROR(100*$J2237/$J$5,NA())</f>
        <v/>
      </c>
      <c r="E2237" s="32">
        <f>IFERROR(IF(AND(ISNUMBER($A2237),N(IF(AND(AH!$U$12=1,2232+1=AH!$U$6),IF(AH!$U$4=0,"unavailable",INDEX('Market Data'!$AN$5:$AN$66,AH!$U$4)),IF(AH!$U$5=1,INDEX('Live History'!$B$5:$B$3004,$K2237),INDEX('AH History'!$D$5:$GG$1380,$K2237,AH!$U$10))))&gt;0),IF(AND(AH!$U$12=1,2232+1=AH!$U$6),IF(AH!$U$4=0,"unavailable",INDEX('Market Data'!$AN$5:$AN$66,AH!$U$4)),IF(AH!$U$5=1,INDEX('Live History'!$B$5:$B$3004,$K2237),INDEX('AH History'!$D$5:$GG$1380,$K2237,AH!$U$10))),NA()),NA())</f>
        <v/>
      </c>
      <c r="F2237" s="32">
        <f>IFERROR(IF(ISNUMBER($A2237),IF(AND(AH!$U$12=1,2232+1=AH!$U$6),IF(AH!$U$4=0,"unavailable",INDEX('Market Data'!$AO$5:$AO$66,AH!$U$4)),IF(AH!$U$5=1,INDEX('Live History'!$E$5:$E$3004,MATCH($A2237,'Live History'!$D$5:$D$3004,1)),INDEX('AH History'!$D$5:$GG$1380,$K2237,AH!$U$10+1))),NA()),NA())</f>
        <v/>
      </c>
      <c r="G2237" s="34">
        <f>IFERROR(IF(ISNUMBER($A2237),IF(AND(AH!$U$12=1,2232+1=AH!$U$6),IF(AH!$U$4=0,"unavailable",INDEX('Market Data'!$AK$5:$AK$66,AH!$U$4)),IF(AH!$U$5=1,INDEX('Live History'!$D$5:$D$3004,MATCH($A2237,'Live History'!$D$5:$D$3004,1)),INDEX('AH History'!$D$5:$GG$1380,$K2237,AH!$U$10+2))),NA()),NA())</f>
        <v/>
      </c>
      <c r="H2237" s="266">
        <f>IFERROR(IF(ISNUMBER($A2237),IF(AND(AH!$U$12=1,2232+1=AH!$U$6),IF(AH!$U$4=0,"unavailable",INDEX('Market Data'!$AP$5:$AP$66,AH!$U$4)),IF(AH!$U$5=1,INDEX('Live History'!$H$5:$H$3004,MATCH($A2237,'Live History'!$G$5:$G$3004,1)),INDEX('AH History'!$B$5:$B$1380,$K2237))),NA()),NA())</f>
        <v/>
      </c>
      <c r="I2237" s="34">
        <f>IFERROR(IF(ISNUMBER($A2237),IF(AND(AH!$U$12=1,2232+1=AH!$U$6),TODAY(),IF(AH!$U$5=1,INDEX('Live History'!$G$5:$G$3004,MATCH($A2237,'Live History'!$G$5:$G$3004,1)),INDEX('AH History'!$C$5:$C$1380,$K2237))),NA()),NA())</f>
        <v/>
      </c>
      <c r="J2237" s="32">
        <f>IFERROR(IF(AND($F2237&gt;0,$H2237&gt;0,$A2237-$G2237&lt;=10,$A2237-$I2237&lt;=5,$G2237&gt;0,$I2237&gt;0),$F2237*$H2237,NA()),NA())</f>
        <v/>
      </c>
      <c r="K2237" s="15">
        <f>IF($A2237="","",IF(AH!$U$5=1,IFERROR(MATCH($A2237,'Live History'!$A$5:$A$3004,0),0),AH!$U$7+2232))</f>
        <v/>
      </c>
      <c r="L2237" s="15">
        <f>IF(ISNUMBER(A2237),TEXT(A2237,"dd-mmm-yy"),"")</f>
        <v/>
      </c>
    </row>
    <row r="2238">
      <c r="A2238" s="14">
        <f>IF(OR(AH!$U$4=0,2233+1&gt;AH!$U$6,AND(AH!$M$5="Bloomberg",AH!$U$5=0)),"",IFERROR(IF(AND(AH!$U$12=1,2233+1=AH!$U$6),TODAY(),IF(AH!$U$5=1,INDEX('Live History'!$A$5:$A$3004,AH!$U$7+2233),INDEX('AH History'!$A$5:$A$1380,AH!$U$7+2233))),""))</f>
        <v/>
      </c>
      <c r="B2238" s="33">
        <f>IFERROR(IF(AH!$U$11=1,NA(),$J2238/$E2238-1),NA())</f>
        <v/>
      </c>
      <c r="C2238" s="269">
        <f>IFERROR(100*$E2238/$E$5,NA())</f>
        <v/>
      </c>
      <c r="D2238" s="269">
        <f>IFERROR(100*$J2238/$J$5,NA())</f>
        <v/>
      </c>
      <c r="E2238" s="32">
        <f>IFERROR(IF(AND(ISNUMBER($A2238),N(IF(AND(AH!$U$12=1,2233+1=AH!$U$6),IF(AH!$U$4=0,"unavailable",INDEX('Market Data'!$AN$5:$AN$66,AH!$U$4)),IF(AH!$U$5=1,INDEX('Live History'!$B$5:$B$3004,$K2238),INDEX('AH History'!$D$5:$GG$1380,$K2238,AH!$U$10))))&gt;0),IF(AND(AH!$U$12=1,2233+1=AH!$U$6),IF(AH!$U$4=0,"unavailable",INDEX('Market Data'!$AN$5:$AN$66,AH!$U$4)),IF(AH!$U$5=1,INDEX('Live History'!$B$5:$B$3004,$K2238),INDEX('AH History'!$D$5:$GG$1380,$K2238,AH!$U$10))),NA()),NA())</f>
        <v/>
      </c>
      <c r="F2238" s="32">
        <f>IFERROR(IF(ISNUMBER($A2238),IF(AND(AH!$U$12=1,2233+1=AH!$U$6),IF(AH!$U$4=0,"unavailable",INDEX('Market Data'!$AO$5:$AO$66,AH!$U$4)),IF(AH!$U$5=1,INDEX('Live History'!$E$5:$E$3004,MATCH($A2238,'Live History'!$D$5:$D$3004,1)),INDEX('AH History'!$D$5:$GG$1380,$K2238,AH!$U$10+1))),NA()),NA())</f>
        <v/>
      </c>
      <c r="G2238" s="34">
        <f>IFERROR(IF(ISNUMBER($A2238),IF(AND(AH!$U$12=1,2233+1=AH!$U$6),IF(AH!$U$4=0,"unavailable",INDEX('Market Data'!$AK$5:$AK$66,AH!$U$4)),IF(AH!$U$5=1,INDEX('Live History'!$D$5:$D$3004,MATCH($A2238,'Live History'!$D$5:$D$3004,1)),INDEX('AH History'!$D$5:$GG$1380,$K2238,AH!$U$10+2))),NA()),NA())</f>
        <v/>
      </c>
      <c r="H2238" s="266">
        <f>IFERROR(IF(ISNUMBER($A2238),IF(AND(AH!$U$12=1,2233+1=AH!$U$6),IF(AH!$U$4=0,"unavailable",INDEX('Market Data'!$AP$5:$AP$66,AH!$U$4)),IF(AH!$U$5=1,INDEX('Live History'!$H$5:$H$3004,MATCH($A2238,'Live History'!$G$5:$G$3004,1)),INDEX('AH History'!$B$5:$B$1380,$K2238))),NA()),NA())</f>
        <v/>
      </c>
      <c r="I2238" s="34">
        <f>IFERROR(IF(ISNUMBER($A2238),IF(AND(AH!$U$12=1,2233+1=AH!$U$6),TODAY(),IF(AH!$U$5=1,INDEX('Live History'!$G$5:$G$3004,MATCH($A2238,'Live History'!$G$5:$G$3004,1)),INDEX('AH History'!$C$5:$C$1380,$K2238))),NA()),NA())</f>
        <v/>
      </c>
      <c r="J2238" s="32">
        <f>IFERROR(IF(AND($F2238&gt;0,$H2238&gt;0,$A2238-$G2238&lt;=10,$A2238-$I2238&lt;=5,$G2238&gt;0,$I2238&gt;0),$F2238*$H2238,NA()),NA())</f>
        <v/>
      </c>
      <c r="K2238" s="15">
        <f>IF($A2238="","",IF(AH!$U$5=1,IFERROR(MATCH($A2238,'Live History'!$A$5:$A$3004,0),0),AH!$U$7+2233))</f>
        <v/>
      </c>
      <c r="L2238" s="15">
        <f>IF(ISNUMBER(A2238),TEXT(A2238,"dd-mmm-yy"),"")</f>
        <v/>
      </c>
    </row>
    <row r="2239">
      <c r="A2239" s="14">
        <f>IF(OR(AH!$U$4=0,2234+1&gt;AH!$U$6,AND(AH!$M$5="Bloomberg",AH!$U$5=0)),"",IFERROR(IF(AND(AH!$U$12=1,2234+1=AH!$U$6),TODAY(),IF(AH!$U$5=1,INDEX('Live History'!$A$5:$A$3004,AH!$U$7+2234),INDEX('AH History'!$A$5:$A$1380,AH!$U$7+2234))),""))</f>
        <v/>
      </c>
      <c r="B2239" s="33">
        <f>IFERROR(IF(AH!$U$11=1,NA(),$J2239/$E2239-1),NA())</f>
        <v/>
      </c>
      <c r="C2239" s="269">
        <f>IFERROR(100*$E2239/$E$5,NA())</f>
        <v/>
      </c>
      <c r="D2239" s="269">
        <f>IFERROR(100*$J2239/$J$5,NA())</f>
        <v/>
      </c>
      <c r="E2239" s="32">
        <f>IFERROR(IF(AND(ISNUMBER($A2239),N(IF(AND(AH!$U$12=1,2234+1=AH!$U$6),IF(AH!$U$4=0,"unavailable",INDEX('Market Data'!$AN$5:$AN$66,AH!$U$4)),IF(AH!$U$5=1,INDEX('Live History'!$B$5:$B$3004,$K2239),INDEX('AH History'!$D$5:$GG$1380,$K2239,AH!$U$10))))&gt;0),IF(AND(AH!$U$12=1,2234+1=AH!$U$6),IF(AH!$U$4=0,"unavailable",INDEX('Market Data'!$AN$5:$AN$66,AH!$U$4)),IF(AH!$U$5=1,INDEX('Live History'!$B$5:$B$3004,$K2239),INDEX('AH History'!$D$5:$GG$1380,$K2239,AH!$U$10))),NA()),NA())</f>
        <v/>
      </c>
      <c r="F2239" s="32">
        <f>IFERROR(IF(ISNUMBER($A2239),IF(AND(AH!$U$12=1,2234+1=AH!$U$6),IF(AH!$U$4=0,"unavailable",INDEX('Market Data'!$AO$5:$AO$66,AH!$U$4)),IF(AH!$U$5=1,INDEX('Live History'!$E$5:$E$3004,MATCH($A2239,'Live History'!$D$5:$D$3004,1)),INDEX('AH History'!$D$5:$GG$1380,$K2239,AH!$U$10+1))),NA()),NA())</f>
        <v/>
      </c>
      <c r="G2239" s="34">
        <f>IFERROR(IF(ISNUMBER($A2239),IF(AND(AH!$U$12=1,2234+1=AH!$U$6),IF(AH!$U$4=0,"unavailable",INDEX('Market Data'!$AK$5:$AK$66,AH!$U$4)),IF(AH!$U$5=1,INDEX('Live History'!$D$5:$D$3004,MATCH($A2239,'Live History'!$D$5:$D$3004,1)),INDEX('AH History'!$D$5:$GG$1380,$K2239,AH!$U$10+2))),NA()),NA())</f>
        <v/>
      </c>
      <c r="H2239" s="266">
        <f>IFERROR(IF(ISNUMBER($A2239),IF(AND(AH!$U$12=1,2234+1=AH!$U$6),IF(AH!$U$4=0,"unavailable",INDEX('Market Data'!$AP$5:$AP$66,AH!$U$4)),IF(AH!$U$5=1,INDEX('Live History'!$H$5:$H$3004,MATCH($A2239,'Live History'!$G$5:$G$3004,1)),INDEX('AH History'!$B$5:$B$1380,$K2239))),NA()),NA())</f>
        <v/>
      </c>
      <c r="I2239" s="34">
        <f>IFERROR(IF(ISNUMBER($A2239),IF(AND(AH!$U$12=1,2234+1=AH!$U$6),TODAY(),IF(AH!$U$5=1,INDEX('Live History'!$G$5:$G$3004,MATCH($A2239,'Live History'!$G$5:$G$3004,1)),INDEX('AH History'!$C$5:$C$1380,$K2239))),NA()),NA())</f>
        <v/>
      </c>
      <c r="J2239" s="32">
        <f>IFERROR(IF(AND($F2239&gt;0,$H2239&gt;0,$A2239-$G2239&lt;=10,$A2239-$I2239&lt;=5,$G2239&gt;0,$I2239&gt;0),$F2239*$H2239,NA()),NA())</f>
        <v/>
      </c>
      <c r="K2239" s="15">
        <f>IF($A2239="","",IF(AH!$U$5=1,IFERROR(MATCH($A2239,'Live History'!$A$5:$A$3004,0),0),AH!$U$7+2234))</f>
        <v/>
      </c>
      <c r="L2239" s="15">
        <f>IF(ISNUMBER(A2239),TEXT(A2239,"dd-mmm-yy"),"")</f>
        <v/>
      </c>
    </row>
    <row r="2240">
      <c r="A2240" s="14">
        <f>IF(OR(AH!$U$4=0,2235+1&gt;AH!$U$6,AND(AH!$M$5="Bloomberg",AH!$U$5=0)),"",IFERROR(IF(AND(AH!$U$12=1,2235+1=AH!$U$6),TODAY(),IF(AH!$U$5=1,INDEX('Live History'!$A$5:$A$3004,AH!$U$7+2235),INDEX('AH History'!$A$5:$A$1380,AH!$U$7+2235))),""))</f>
        <v/>
      </c>
      <c r="B2240" s="33">
        <f>IFERROR(IF(AH!$U$11=1,NA(),$J2240/$E2240-1),NA())</f>
        <v/>
      </c>
      <c r="C2240" s="269">
        <f>IFERROR(100*$E2240/$E$5,NA())</f>
        <v/>
      </c>
      <c r="D2240" s="269">
        <f>IFERROR(100*$J2240/$J$5,NA())</f>
        <v/>
      </c>
      <c r="E2240" s="32">
        <f>IFERROR(IF(AND(ISNUMBER($A2240),N(IF(AND(AH!$U$12=1,2235+1=AH!$U$6),IF(AH!$U$4=0,"unavailable",INDEX('Market Data'!$AN$5:$AN$66,AH!$U$4)),IF(AH!$U$5=1,INDEX('Live History'!$B$5:$B$3004,$K2240),INDEX('AH History'!$D$5:$GG$1380,$K2240,AH!$U$10))))&gt;0),IF(AND(AH!$U$12=1,2235+1=AH!$U$6),IF(AH!$U$4=0,"unavailable",INDEX('Market Data'!$AN$5:$AN$66,AH!$U$4)),IF(AH!$U$5=1,INDEX('Live History'!$B$5:$B$3004,$K2240),INDEX('AH History'!$D$5:$GG$1380,$K2240,AH!$U$10))),NA()),NA())</f>
        <v/>
      </c>
      <c r="F2240" s="32">
        <f>IFERROR(IF(ISNUMBER($A2240),IF(AND(AH!$U$12=1,2235+1=AH!$U$6),IF(AH!$U$4=0,"unavailable",INDEX('Market Data'!$AO$5:$AO$66,AH!$U$4)),IF(AH!$U$5=1,INDEX('Live History'!$E$5:$E$3004,MATCH($A2240,'Live History'!$D$5:$D$3004,1)),INDEX('AH History'!$D$5:$GG$1380,$K2240,AH!$U$10+1))),NA()),NA())</f>
        <v/>
      </c>
      <c r="G2240" s="34">
        <f>IFERROR(IF(ISNUMBER($A2240),IF(AND(AH!$U$12=1,2235+1=AH!$U$6),IF(AH!$U$4=0,"unavailable",INDEX('Market Data'!$AK$5:$AK$66,AH!$U$4)),IF(AH!$U$5=1,INDEX('Live History'!$D$5:$D$3004,MATCH($A2240,'Live History'!$D$5:$D$3004,1)),INDEX('AH History'!$D$5:$GG$1380,$K2240,AH!$U$10+2))),NA()),NA())</f>
        <v/>
      </c>
      <c r="H2240" s="266">
        <f>IFERROR(IF(ISNUMBER($A2240),IF(AND(AH!$U$12=1,2235+1=AH!$U$6),IF(AH!$U$4=0,"unavailable",INDEX('Market Data'!$AP$5:$AP$66,AH!$U$4)),IF(AH!$U$5=1,INDEX('Live History'!$H$5:$H$3004,MATCH($A2240,'Live History'!$G$5:$G$3004,1)),INDEX('AH History'!$B$5:$B$1380,$K2240))),NA()),NA())</f>
        <v/>
      </c>
      <c r="I2240" s="34">
        <f>IFERROR(IF(ISNUMBER($A2240),IF(AND(AH!$U$12=1,2235+1=AH!$U$6),TODAY(),IF(AH!$U$5=1,INDEX('Live History'!$G$5:$G$3004,MATCH($A2240,'Live History'!$G$5:$G$3004,1)),INDEX('AH History'!$C$5:$C$1380,$K2240))),NA()),NA())</f>
        <v/>
      </c>
      <c r="J2240" s="32">
        <f>IFERROR(IF(AND($F2240&gt;0,$H2240&gt;0,$A2240-$G2240&lt;=10,$A2240-$I2240&lt;=5,$G2240&gt;0,$I2240&gt;0),$F2240*$H2240,NA()),NA())</f>
        <v/>
      </c>
      <c r="K2240" s="15">
        <f>IF($A2240="","",IF(AH!$U$5=1,IFERROR(MATCH($A2240,'Live History'!$A$5:$A$3004,0),0),AH!$U$7+2235))</f>
        <v/>
      </c>
      <c r="L2240" s="15">
        <f>IF(ISNUMBER(A2240),TEXT(A2240,"dd-mmm-yy"),"")</f>
        <v/>
      </c>
    </row>
    <row r="2241">
      <c r="A2241" s="14">
        <f>IF(OR(AH!$U$4=0,2236+1&gt;AH!$U$6,AND(AH!$M$5="Bloomberg",AH!$U$5=0)),"",IFERROR(IF(AND(AH!$U$12=1,2236+1=AH!$U$6),TODAY(),IF(AH!$U$5=1,INDEX('Live History'!$A$5:$A$3004,AH!$U$7+2236),INDEX('AH History'!$A$5:$A$1380,AH!$U$7+2236))),""))</f>
        <v/>
      </c>
      <c r="B2241" s="33">
        <f>IFERROR(IF(AH!$U$11=1,NA(),$J2241/$E2241-1),NA())</f>
        <v/>
      </c>
      <c r="C2241" s="269">
        <f>IFERROR(100*$E2241/$E$5,NA())</f>
        <v/>
      </c>
      <c r="D2241" s="269">
        <f>IFERROR(100*$J2241/$J$5,NA())</f>
        <v/>
      </c>
      <c r="E2241" s="32">
        <f>IFERROR(IF(AND(ISNUMBER($A2241),N(IF(AND(AH!$U$12=1,2236+1=AH!$U$6),IF(AH!$U$4=0,"unavailable",INDEX('Market Data'!$AN$5:$AN$66,AH!$U$4)),IF(AH!$U$5=1,INDEX('Live History'!$B$5:$B$3004,$K2241),INDEX('AH History'!$D$5:$GG$1380,$K2241,AH!$U$10))))&gt;0),IF(AND(AH!$U$12=1,2236+1=AH!$U$6),IF(AH!$U$4=0,"unavailable",INDEX('Market Data'!$AN$5:$AN$66,AH!$U$4)),IF(AH!$U$5=1,INDEX('Live History'!$B$5:$B$3004,$K2241),INDEX('AH History'!$D$5:$GG$1380,$K2241,AH!$U$10))),NA()),NA())</f>
        <v/>
      </c>
      <c r="F2241" s="32">
        <f>IFERROR(IF(ISNUMBER($A2241),IF(AND(AH!$U$12=1,2236+1=AH!$U$6),IF(AH!$U$4=0,"unavailable",INDEX('Market Data'!$AO$5:$AO$66,AH!$U$4)),IF(AH!$U$5=1,INDEX('Live History'!$E$5:$E$3004,MATCH($A2241,'Live History'!$D$5:$D$3004,1)),INDEX('AH History'!$D$5:$GG$1380,$K2241,AH!$U$10+1))),NA()),NA())</f>
        <v/>
      </c>
      <c r="G2241" s="34">
        <f>IFERROR(IF(ISNUMBER($A2241),IF(AND(AH!$U$12=1,2236+1=AH!$U$6),IF(AH!$U$4=0,"unavailable",INDEX('Market Data'!$AK$5:$AK$66,AH!$U$4)),IF(AH!$U$5=1,INDEX('Live History'!$D$5:$D$3004,MATCH($A2241,'Live History'!$D$5:$D$3004,1)),INDEX('AH History'!$D$5:$GG$1380,$K2241,AH!$U$10+2))),NA()),NA())</f>
        <v/>
      </c>
      <c r="H2241" s="266">
        <f>IFERROR(IF(ISNUMBER($A2241),IF(AND(AH!$U$12=1,2236+1=AH!$U$6),IF(AH!$U$4=0,"unavailable",INDEX('Market Data'!$AP$5:$AP$66,AH!$U$4)),IF(AH!$U$5=1,INDEX('Live History'!$H$5:$H$3004,MATCH($A2241,'Live History'!$G$5:$G$3004,1)),INDEX('AH History'!$B$5:$B$1380,$K2241))),NA()),NA())</f>
        <v/>
      </c>
      <c r="I2241" s="34">
        <f>IFERROR(IF(ISNUMBER($A2241),IF(AND(AH!$U$12=1,2236+1=AH!$U$6),TODAY(),IF(AH!$U$5=1,INDEX('Live History'!$G$5:$G$3004,MATCH($A2241,'Live History'!$G$5:$G$3004,1)),INDEX('AH History'!$C$5:$C$1380,$K2241))),NA()),NA())</f>
        <v/>
      </c>
      <c r="J2241" s="32">
        <f>IFERROR(IF(AND($F2241&gt;0,$H2241&gt;0,$A2241-$G2241&lt;=10,$A2241-$I2241&lt;=5,$G2241&gt;0,$I2241&gt;0),$F2241*$H2241,NA()),NA())</f>
        <v/>
      </c>
      <c r="K2241" s="15">
        <f>IF($A2241="","",IF(AH!$U$5=1,IFERROR(MATCH($A2241,'Live History'!$A$5:$A$3004,0),0),AH!$U$7+2236))</f>
        <v/>
      </c>
      <c r="L2241" s="15">
        <f>IF(ISNUMBER(A2241),TEXT(A2241,"dd-mmm-yy"),"")</f>
        <v/>
      </c>
    </row>
    <row r="2242">
      <c r="A2242" s="14">
        <f>IF(OR(AH!$U$4=0,2237+1&gt;AH!$U$6,AND(AH!$M$5="Bloomberg",AH!$U$5=0)),"",IFERROR(IF(AND(AH!$U$12=1,2237+1=AH!$U$6),TODAY(),IF(AH!$U$5=1,INDEX('Live History'!$A$5:$A$3004,AH!$U$7+2237),INDEX('AH History'!$A$5:$A$1380,AH!$U$7+2237))),""))</f>
        <v/>
      </c>
      <c r="B2242" s="33">
        <f>IFERROR(IF(AH!$U$11=1,NA(),$J2242/$E2242-1),NA())</f>
        <v/>
      </c>
      <c r="C2242" s="269">
        <f>IFERROR(100*$E2242/$E$5,NA())</f>
        <v/>
      </c>
      <c r="D2242" s="269">
        <f>IFERROR(100*$J2242/$J$5,NA())</f>
        <v/>
      </c>
      <c r="E2242" s="32">
        <f>IFERROR(IF(AND(ISNUMBER($A2242),N(IF(AND(AH!$U$12=1,2237+1=AH!$U$6),IF(AH!$U$4=0,"unavailable",INDEX('Market Data'!$AN$5:$AN$66,AH!$U$4)),IF(AH!$U$5=1,INDEX('Live History'!$B$5:$B$3004,$K2242),INDEX('AH History'!$D$5:$GG$1380,$K2242,AH!$U$10))))&gt;0),IF(AND(AH!$U$12=1,2237+1=AH!$U$6),IF(AH!$U$4=0,"unavailable",INDEX('Market Data'!$AN$5:$AN$66,AH!$U$4)),IF(AH!$U$5=1,INDEX('Live History'!$B$5:$B$3004,$K2242),INDEX('AH History'!$D$5:$GG$1380,$K2242,AH!$U$10))),NA()),NA())</f>
        <v/>
      </c>
      <c r="F2242" s="32">
        <f>IFERROR(IF(ISNUMBER($A2242),IF(AND(AH!$U$12=1,2237+1=AH!$U$6),IF(AH!$U$4=0,"unavailable",INDEX('Market Data'!$AO$5:$AO$66,AH!$U$4)),IF(AH!$U$5=1,INDEX('Live History'!$E$5:$E$3004,MATCH($A2242,'Live History'!$D$5:$D$3004,1)),INDEX('AH History'!$D$5:$GG$1380,$K2242,AH!$U$10+1))),NA()),NA())</f>
        <v/>
      </c>
      <c r="G2242" s="34">
        <f>IFERROR(IF(ISNUMBER($A2242),IF(AND(AH!$U$12=1,2237+1=AH!$U$6),IF(AH!$U$4=0,"unavailable",INDEX('Market Data'!$AK$5:$AK$66,AH!$U$4)),IF(AH!$U$5=1,INDEX('Live History'!$D$5:$D$3004,MATCH($A2242,'Live History'!$D$5:$D$3004,1)),INDEX('AH History'!$D$5:$GG$1380,$K2242,AH!$U$10+2))),NA()),NA())</f>
        <v/>
      </c>
      <c r="H2242" s="266">
        <f>IFERROR(IF(ISNUMBER($A2242),IF(AND(AH!$U$12=1,2237+1=AH!$U$6),IF(AH!$U$4=0,"unavailable",INDEX('Market Data'!$AP$5:$AP$66,AH!$U$4)),IF(AH!$U$5=1,INDEX('Live History'!$H$5:$H$3004,MATCH($A2242,'Live History'!$G$5:$G$3004,1)),INDEX('AH History'!$B$5:$B$1380,$K2242))),NA()),NA())</f>
        <v/>
      </c>
      <c r="I2242" s="34">
        <f>IFERROR(IF(ISNUMBER($A2242),IF(AND(AH!$U$12=1,2237+1=AH!$U$6),TODAY(),IF(AH!$U$5=1,INDEX('Live History'!$G$5:$G$3004,MATCH($A2242,'Live History'!$G$5:$G$3004,1)),INDEX('AH History'!$C$5:$C$1380,$K2242))),NA()),NA())</f>
        <v/>
      </c>
      <c r="J2242" s="32">
        <f>IFERROR(IF(AND($F2242&gt;0,$H2242&gt;0,$A2242-$G2242&lt;=10,$A2242-$I2242&lt;=5,$G2242&gt;0,$I2242&gt;0),$F2242*$H2242,NA()),NA())</f>
        <v/>
      </c>
      <c r="K2242" s="15">
        <f>IF($A2242="","",IF(AH!$U$5=1,IFERROR(MATCH($A2242,'Live History'!$A$5:$A$3004,0),0),AH!$U$7+2237))</f>
        <v/>
      </c>
      <c r="L2242" s="15">
        <f>IF(ISNUMBER(A2242),TEXT(A2242,"dd-mmm-yy"),"")</f>
        <v/>
      </c>
    </row>
    <row r="2243">
      <c r="A2243" s="14">
        <f>IF(OR(AH!$U$4=0,2238+1&gt;AH!$U$6,AND(AH!$M$5="Bloomberg",AH!$U$5=0)),"",IFERROR(IF(AND(AH!$U$12=1,2238+1=AH!$U$6),TODAY(),IF(AH!$U$5=1,INDEX('Live History'!$A$5:$A$3004,AH!$U$7+2238),INDEX('AH History'!$A$5:$A$1380,AH!$U$7+2238))),""))</f>
        <v/>
      </c>
      <c r="B2243" s="33">
        <f>IFERROR(IF(AH!$U$11=1,NA(),$J2243/$E2243-1),NA())</f>
        <v/>
      </c>
      <c r="C2243" s="269">
        <f>IFERROR(100*$E2243/$E$5,NA())</f>
        <v/>
      </c>
      <c r="D2243" s="269">
        <f>IFERROR(100*$J2243/$J$5,NA())</f>
        <v/>
      </c>
      <c r="E2243" s="32">
        <f>IFERROR(IF(AND(ISNUMBER($A2243),N(IF(AND(AH!$U$12=1,2238+1=AH!$U$6),IF(AH!$U$4=0,"unavailable",INDEX('Market Data'!$AN$5:$AN$66,AH!$U$4)),IF(AH!$U$5=1,INDEX('Live History'!$B$5:$B$3004,$K2243),INDEX('AH History'!$D$5:$GG$1380,$K2243,AH!$U$10))))&gt;0),IF(AND(AH!$U$12=1,2238+1=AH!$U$6),IF(AH!$U$4=0,"unavailable",INDEX('Market Data'!$AN$5:$AN$66,AH!$U$4)),IF(AH!$U$5=1,INDEX('Live History'!$B$5:$B$3004,$K2243),INDEX('AH History'!$D$5:$GG$1380,$K2243,AH!$U$10))),NA()),NA())</f>
        <v/>
      </c>
      <c r="F2243" s="32">
        <f>IFERROR(IF(ISNUMBER($A2243),IF(AND(AH!$U$12=1,2238+1=AH!$U$6),IF(AH!$U$4=0,"unavailable",INDEX('Market Data'!$AO$5:$AO$66,AH!$U$4)),IF(AH!$U$5=1,INDEX('Live History'!$E$5:$E$3004,MATCH($A2243,'Live History'!$D$5:$D$3004,1)),INDEX('AH History'!$D$5:$GG$1380,$K2243,AH!$U$10+1))),NA()),NA())</f>
        <v/>
      </c>
      <c r="G2243" s="34">
        <f>IFERROR(IF(ISNUMBER($A2243),IF(AND(AH!$U$12=1,2238+1=AH!$U$6),IF(AH!$U$4=0,"unavailable",INDEX('Market Data'!$AK$5:$AK$66,AH!$U$4)),IF(AH!$U$5=1,INDEX('Live History'!$D$5:$D$3004,MATCH($A2243,'Live History'!$D$5:$D$3004,1)),INDEX('AH History'!$D$5:$GG$1380,$K2243,AH!$U$10+2))),NA()),NA())</f>
        <v/>
      </c>
      <c r="H2243" s="266">
        <f>IFERROR(IF(ISNUMBER($A2243),IF(AND(AH!$U$12=1,2238+1=AH!$U$6),IF(AH!$U$4=0,"unavailable",INDEX('Market Data'!$AP$5:$AP$66,AH!$U$4)),IF(AH!$U$5=1,INDEX('Live History'!$H$5:$H$3004,MATCH($A2243,'Live History'!$G$5:$G$3004,1)),INDEX('AH History'!$B$5:$B$1380,$K2243))),NA()),NA())</f>
        <v/>
      </c>
      <c r="I2243" s="34">
        <f>IFERROR(IF(ISNUMBER($A2243),IF(AND(AH!$U$12=1,2238+1=AH!$U$6),TODAY(),IF(AH!$U$5=1,INDEX('Live History'!$G$5:$G$3004,MATCH($A2243,'Live History'!$G$5:$G$3004,1)),INDEX('AH History'!$C$5:$C$1380,$K2243))),NA()),NA())</f>
        <v/>
      </c>
      <c r="J2243" s="32">
        <f>IFERROR(IF(AND($F2243&gt;0,$H2243&gt;0,$A2243-$G2243&lt;=10,$A2243-$I2243&lt;=5,$G2243&gt;0,$I2243&gt;0),$F2243*$H2243,NA()),NA())</f>
        <v/>
      </c>
      <c r="K2243" s="15">
        <f>IF($A2243="","",IF(AH!$U$5=1,IFERROR(MATCH($A2243,'Live History'!$A$5:$A$3004,0),0),AH!$U$7+2238))</f>
        <v/>
      </c>
      <c r="L2243" s="15">
        <f>IF(ISNUMBER(A2243),TEXT(A2243,"dd-mmm-yy"),"")</f>
        <v/>
      </c>
    </row>
    <row r="2244">
      <c r="A2244" s="14">
        <f>IF(OR(AH!$U$4=0,2239+1&gt;AH!$U$6,AND(AH!$M$5="Bloomberg",AH!$U$5=0)),"",IFERROR(IF(AND(AH!$U$12=1,2239+1=AH!$U$6),TODAY(),IF(AH!$U$5=1,INDEX('Live History'!$A$5:$A$3004,AH!$U$7+2239),INDEX('AH History'!$A$5:$A$1380,AH!$U$7+2239))),""))</f>
        <v/>
      </c>
      <c r="B2244" s="33">
        <f>IFERROR(IF(AH!$U$11=1,NA(),$J2244/$E2244-1),NA())</f>
        <v/>
      </c>
      <c r="C2244" s="269">
        <f>IFERROR(100*$E2244/$E$5,NA())</f>
        <v/>
      </c>
      <c r="D2244" s="269">
        <f>IFERROR(100*$J2244/$J$5,NA())</f>
        <v/>
      </c>
      <c r="E2244" s="32">
        <f>IFERROR(IF(AND(ISNUMBER($A2244),N(IF(AND(AH!$U$12=1,2239+1=AH!$U$6),IF(AH!$U$4=0,"unavailable",INDEX('Market Data'!$AN$5:$AN$66,AH!$U$4)),IF(AH!$U$5=1,INDEX('Live History'!$B$5:$B$3004,$K2244),INDEX('AH History'!$D$5:$GG$1380,$K2244,AH!$U$10))))&gt;0),IF(AND(AH!$U$12=1,2239+1=AH!$U$6),IF(AH!$U$4=0,"unavailable",INDEX('Market Data'!$AN$5:$AN$66,AH!$U$4)),IF(AH!$U$5=1,INDEX('Live History'!$B$5:$B$3004,$K2244),INDEX('AH History'!$D$5:$GG$1380,$K2244,AH!$U$10))),NA()),NA())</f>
        <v/>
      </c>
      <c r="F2244" s="32">
        <f>IFERROR(IF(ISNUMBER($A2244),IF(AND(AH!$U$12=1,2239+1=AH!$U$6),IF(AH!$U$4=0,"unavailable",INDEX('Market Data'!$AO$5:$AO$66,AH!$U$4)),IF(AH!$U$5=1,INDEX('Live History'!$E$5:$E$3004,MATCH($A2244,'Live History'!$D$5:$D$3004,1)),INDEX('AH History'!$D$5:$GG$1380,$K2244,AH!$U$10+1))),NA()),NA())</f>
        <v/>
      </c>
      <c r="G2244" s="34">
        <f>IFERROR(IF(ISNUMBER($A2244),IF(AND(AH!$U$12=1,2239+1=AH!$U$6),IF(AH!$U$4=0,"unavailable",INDEX('Market Data'!$AK$5:$AK$66,AH!$U$4)),IF(AH!$U$5=1,INDEX('Live History'!$D$5:$D$3004,MATCH($A2244,'Live History'!$D$5:$D$3004,1)),INDEX('AH History'!$D$5:$GG$1380,$K2244,AH!$U$10+2))),NA()),NA())</f>
        <v/>
      </c>
      <c r="H2244" s="266">
        <f>IFERROR(IF(ISNUMBER($A2244),IF(AND(AH!$U$12=1,2239+1=AH!$U$6),IF(AH!$U$4=0,"unavailable",INDEX('Market Data'!$AP$5:$AP$66,AH!$U$4)),IF(AH!$U$5=1,INDEX('Live History'!$H$5:$H$3004,MATCH($A2244,'Live History'!$G$5:$G$3004,1)),INDEX('AH History'!$B$5:$B$1380,$K2244))),NA()),NA())</f>
        <v/>
      </c>
      <c r="I2244" s="34">
        <f>IFERROR(IF(ISNUMBER($A2244),IF(AND(AH!$U$12=1,2239+1=AH!$U$6),TODAY(),IF(AH!$U$5=1,INDEX('Live History'!$G$5:$G$3004,MATCH($A2244,'Live History'!$G$5:$G$3004,1)),INDEX('AH History'!$C$5:$C$1380,$K2244))),NA()),NA())</f>
        <v/>
      </c>
      <c r="J2244" s="32">
        <f>IFERROR(IF(AND($F2244&gt;0,$H2244&gt;0,$A2244-$G2244&lt;=10,$A2244-$I2244&lt;=5,$G2244&gt;0,$I2244&gt;0),$F2244*$H2244,NA()),NA())</f>
        <v/>
      </c>
      <c r="K2244" s="15">
        <f>IF($A2244="","",IF(AH!$U$5=1,IFERROR(MATCH($A2244,'Live History'!$A$5:$A$3004,0),0),AH!$U$7+2239))</f>
        <v/>
      </c>
      <c r="L2244" s="15">
        <f>IF(ISNUMBER(A2244),TEXT(A2244,"dd-mmm-yy"),"")</f>
        <v/>
      </c>
    </row>
    <row r="2245">
      <c r="A2245" s="14">
        <f>IF(OR(AH!$U$4=0,2240+1&gt;AH!$U$6,AND(AH!$M$5="Bloomberg",AH!$U$5=0)),"",IFERROR(IF(AND(AH!$U$12=1,2240+1=AH!$U$6),TODAY(),IF(AH!$U$5=1,INDEX('Live History'!$A$5:$A$3004,AH!$U$7+2240),INDEX('AH History'!$A$5:$A$1380,AH!$U$7+2240))),""))</f>
        <v/>
      </c>
      <c r="B2245" s="33">
        <f>IFERROR(IF(AH!$U$11=1,NA(),$J2245/$E2245-1),NA())</f>
        <v/>
      </c>
      <c r="C2245" s="269">
        <f>IFERROR(100*$E2245/$E$5,NA())</f>
        <v/>
      </c>
      <c r="D2245" s="269">
        <f>IFERROR(100*$J2245/$J$5,NA())</f>
        <v/>
      </c>
      <c r="E2245" s="32">
        <f>IFERROR(IF(AND(ISNUMBER($A2245),N(IF(AND(AH!$U$12=1,2240+1=AH!$U$6),IF(AH!$U$4=0,"unavailable",INDEX('Market Data'!$AN$5:$AN$66,AH!$U$4)),IF(AH!$U$5=1,INDEX('Live History'!$B$5:$B$3004,$K2245),INDEX('AH History'!$D$5:$GG$1380,$K2245,AH!$U$10))))&gt;0),IF(AND(AH!$U$12=1,2240+1=AH!$U$6),IF(AH!$U$4=0,"unavailable",INDEX('Market Data'!$AN$5:$AN$66,AH!$U$4)),IF(AH!$U$5=1,INDEX('Live History'!$B$5:$B$3004,$K2245),INDEX('AH History'!$D$5:$GG$1380,$K2245,AH!$U$10))),NA()),NA())</f>
        <v/>
      </c>
      <c r="F2245" s="32">
        <f>IFERROR(IF(ISNUMBER($A2245),IF(AND(AH!$U$12=1,2240+1=AH!$U$6),IF(AH!$U$4=0,"unavailable",INDEX('Market Data'!$AO$5:$AO$66,AH!$U$4)),IF(AH!$U$5=1,INDEX('Live History'!$E$5:$E$3004,MATCH($A2245,'Live History'!$D$5:$D$3004,1)),INDEX('AH History'!$D$5:$GG$1380,$K2245,AH!$U$10+1))),NA()),NA())</f>
        <v/>
      </c>
      <c r="G2245" s="34">
        <f>IFERROR(IF(ISNUMBER($A2245),IF(AND(AH!$U$12=1,2240+1=AH!$U$6),IF(AH!$U$4=0,"unavailable",INDEX('Market Data'!$AK$5:$AK$66,AH!$U$4)),IF(AH!$U$5=1,INDEX('Live History'!$D$5:$D$3004,MATCH($A2245,'Live History'!$D$5:$D$3004,1)),INDEX('AH History'!$D$5:$GG$1380,$K2245,AH!$U$10+2))),NA()),NA())</f>
        <v/>
      </c>
      <c r="H2245" s="266">
        <f>IFERROR(IF(ISNUMBER($A2245),IF(AND(AH!$U$12=1,2240+1=AH!$U$6),IF(AH!$U$4=0,"unavailable",INDEX('Market Data'!$AP$5:$AP$66,AH!$U$4)),IF(AH!$U$5=1,INDEX('Live History'!$H$5:$H$3004,MATCH($A2245,'Live History'!$G$5:$G$3004,1)),INDEX('AH History'!$B$5:$B$1380,$K2245))),NA()),NA())</f>
        <v/>
      </c>
      <c r="I2245" s="34">
        <f>IFERROR(IF(ISNUMBER($A2245),IF(AND(AH!$U$12=1,2240+1=AH!$U$6),TODAY(),IF(AH!$U$5=1,INDEX('Live History'!$G$5:$G$3004,MATCH($A2245,'Live History'!$G$5:$G$3004,1)),INDEX('AH History'!$C$5:$C$1380,$K2245))),NA()),NA())</f>
        <v/>
      </c>
      <c r="J2245" s="32">
        <f>IFERROR(IF(AND($F2245&gt;0,$H2245&gt;0,$A2245-$G2245&lt;=10,$A2245-$I2245&lt;=5,$G2245&gt;0,$I2245&gt;0),$F2245*$H2245,NA()),NA())</f>
        <v/>
      </c>
      <c r="K2245" s="15">
        <f>IF($A2245="","",IF(AH!$U$5=1,IFERROR(MATCH($A2245,'Live History'!$A$5:$A$3004,0),0),AH!$U$7+2240))</f>
        <v/>
      </c>
      <c r="L2245" s="15">
        <f>IF(ISNUMBER(A2245),TEXT(A2245,"dd-mmm-yy"),"")</f>
        <v/>
      </c>
    </row>
    <row r="2246">
      <c r="A2246" s="14">
        <f>IF(OR(AH!$U$4=0,2241+1&gt;AH!$U$6,AND(AH!$M$5="Bloomberg",AH!$U$5=0)),"",IFERROR(IF(AND(AH!$U$12=1,2241+1=AH!$U$6),TODAY(),IF(AH!$U$5=1,INDEX('Live History'!$A$5:$A$3004,AH!$U$7+2241),INDEX('AH History'!$A$5:$A$1380,AH!$U$7+2241))),""))</f>
        <v/>
      </c>
      <c r="B2246" s="33">
        <f>IFERROR(IF(AH!$U$11=1,NA(),$J2246/$E2246-1),NA())</f>
        <v/>
      </c>
      <c r="C2246" s="269">
        <f>IFERROR(100*$E2246/$E$5,NA())</f>
        <v/>
      </c>
      <c r="D2246" s="269">
        <f>IFERROR(100*$J2246/$J$5,NA())</f>
        <v/>
      </c>
      <c r="E2246" s="32">
        <f>IFERROR(IF(AND(ISNUMBER($A2246),N(IF(AND(AH!$U$12=1,2241+1=AH!$U$6),IF(AH!$U$4=0,"unavailable",INDEX('Market Data'!$AN$5:$AN$66,AH!$U$4)),IF(AH!$U$5=1,INDEX('Live History'!$B$5:$B$3004,$K2246),INDEX('AH History'!$D$5:$GG$1380,$K2246,AH!$U$10))))&gt;0),IF(AND(AH!$U$12=1,2241+1=AH!$U$6),IF(AH!$U$4=0,"unavailable",INDEX('Market Data'!$AN$5:$AN$66,AH!$U$4)),IF(AH!$U$5=1,INDEX('Live History'!$B$5:$B$3004,$K2246),INDEX('AH History'!$D$5:$GG$1380,$K2246,AH!$U$10))),NA()),NA())</f>
        <v/>
      </c>
      <c r="F2246" s="32">
        <f>IFERROR(IF(ISNUMBER($A2246),IF(AND(AH!$U$12=1,2241+1=AH!$U$6),IF(AH!$U$4=0,"unavailable",INDEX('Market Data'!$AO$5:$AO$66,AH!$U$4)),IF(AH!$U$5=1,INDEX('Live History'!$E$5:$E$3004,MATCH($A2246,'Live History'!$D$5:$D$3004,1)),INDEX('AH History'!$D$5:$GG$1380,$K2246,AH!$U$10+1))),NA()),NA())</f>
        <v/>
      </c>
      <c r="G2246" s="34">
        <f>IFERROR(IF(ISNUMBER($A2246),IF(AND(AH!$U$12=1,2241+1=AH!$U$6),IF(AH!$U$4=0,"unavailable",INDEX('Market Data'!$AK$5:$AK$66,AH!$U$4)),IF(AH!$U$5=1,INDEX('Live History'!$D$5:$D$3004,MATCH($A2246,'Live History'!$D$5:$D$3004,1)),INDEX('AH History'!$D$5:$GG$1380,$K2246,AH!$U$10+2))),NA()),NA())</f>
        <v/>
      </c>
      <c r="H2246" s="266">
        <f>IFERROR(IF(ISNUMBER($A2246),IF(AND(AH!$U$12=1,2241+1=AH!$U$6),IF(AH!$U$4=0,"unavailable",INDEX('Market Data'!$AP$5:$AP$66,AH!$U$4)),IF(AH!$U$5=1,INDEX('Live History'!$H$5:$H$3004,MATCH($A2246,'Live History'!$G$5:$G$3004,1)),INDEX('AH History'!$B$5:$B$1380,$K2246))),NA()),NA())</f>
        <v/>
      </c>
      <c r="I2246" s="34">
        <f>IFERROR(IF(ISNUMBER($A2246),IF(AND(AH!$U$12=1,2241+1=AH!$U$6),TODAY(),IF(AH!$U$5=1,INDEX('Live History'!$G$5:$G$3004,MATCH($A2246,'Live History'!$G$5:$G$3004,1)),INDEX('AH History'!$C$5:$C$1380,$K2246))),NA()),NA())</f>
        <v/>
      </c>
      <c r="J2246" s="32">
        <f>IFERROR(IF(AND($F2246&gt;0,$H2246&gt;0,$A2246-$G2246&lt;=10,$A2246-$I2246&lt;=5,$G2246&gt;0,$I2246&gt;0),$F2246*$H2246,NA()),NA())</f>
        <v/>
      </c>
      <c r="K2246" s="15">
        <f>IF($A2246="","",IF(AH!$U$5=1,IFERROR(MATCH($A2246,'Live History'!$A$5:$A$3004,0),0),AH!$U$7+2241))</f>
        <v/>
      </c>
      <c r="L2246" s="15">
        <f>IF(ISNUMBER(A2246),TEXT(A2246,"dd-mmm-yy"),"")</f>
        <v/>
      </c>
    </row>
    <row r="2247">
      <c r="A2247" s="14">
        <f>IF(OR(AH!$U$4=0,2242+1&gt;AH!$U$6,AND(AH!$M$5="Bloomberg",AH!$U$5=0)),"",IFERROR(IF(AND(AH!$U$12=1,2242+1=AH!$U$6),TODAY(),IF(AH!$U$5=1,INDEX('Live History'!$A$5:$A$3004,AH!$U$7+2242),INDEX('AH History'!$A$5:$A$1380,AH!$U$7+2242))),""))</f>
        <v/>
      </c>
      <c r="B2247" s="33">
        <f>IFERROR(IF(AH!$U$11=1,NA(),$J2247/$E2247-1),NA())</f>
        <v/>
      </c>
      <c r="C2247" s="269">
        <f>IFERROR(100*$E2247/$E$5,NA())</f>
        <v/>
      </c>
      <c r="D2247" s="269">
        <f>IFERROR(100*$J2247/$J$5,NA())</f>
        <v/>
      </c>
      <c r="E2247" s="32">
        <f>IFERROR(IF(AND(ISNUMBER($A2247),N(IF(AND(AH!$U$12=1,2242+1=AH!$U$6),IF(AH!$U$4=0,"unavailable",INDEX('Market Data'!$AN$5:$AN$66,AH!$U$4)),IF(AH!$U$5=1,INDEX('Live History'!$B$5:$B$3004,$K2247),INDEX('AH History'!$D$5:$GG$1380,$K2247,AH!$U$10))))&gt;0),IF(AND(AH!$U$12=1,2242+1=AH!$U$6),IF(AH!$U$4=0,"unavailable",INDEX('Market Data'!$AN$5:$AN$66,AH!$U$4)),IF(AH!$U$5=1,INDEX('Live History'!$B$5:$B$3004,$K2247),INDEX('AH History'!$D$5:$GG$1380,$K2247,AH!$U$10))),NA()),NA())</f>
        <v/>
      </c>
      <c r="F2247" s="32">
        <f>IFERROR(IF(ISNUMBER($A2247),IF(AND(AH!$U$12=1,2242+1=AH!$U$6),IF(AH!$U$4=0,"unavailable",INDEX('Market Data'!$AO$5:$AO$66,AH!$U$4)),IF(AH!$U$5=1,INDEX('Live History'!$E$5:$E$3004,MATCH($A2247,'Live History'!$D$5:$D$3004,1)),INDEX('AH History'!$D$5:$GG$1380,$K2247,AH!$U$10+1))),NA()),NA())</f>
        <v/>
      </c>
      <c r="G2247" s="34">
        <f>IFERROR(IF(ISNUMBER($A2247),IF(AND(AH!$U$12=1,2242+1=AH!$U$6),IF(AH!$U$4=0,"unavailable",INDEX('Market Data'!$AK$5:$AK$66,AH!$U$4)),IF(AH!$U$5=1,INDEX('Live History'!$D$5:$D$3004,MATCH($A2247,'Live History'!$D$5:$D$3004,1)),INDEX('AH History'!$D$5:$GG$1380,$K2247,AH!$U$10+2))),NA()),NA())</f>
        <v/>
      </c>
      <c r="H2247" s="266">
        <f>IFERROR(IF(ISNUMBER($A2247),IF(AND(AH!$U$12=1,2242+1=AH!$U$6),IF(AH!$U$4=0,"unavailable",INDEX('Market Data'!$AP$5:$AP$66,AH!$U$4)),IF(AH!$U$5=1,INDEX('Live History'!$H$5:$H$3004,MATCH($A2247,'Live History'!$G$5:$G$3004,1)),INDEX('AH History'!$B$5:$B$1380,$K2247))),NA()),NA())</f>
        <v/>
      </c>
      <c r="I2247" s="34">
        <f>IFERROR(IF(ISNUMBER($A2247),IF(AND(AH!$U$12=1,2242+1=AH!$U$6),TODAY(),IF(AH!$U$5=1,INDEX('Live History'!$G$5:$G$3004,MATCH($A2247,'Live History'!$G$5:$G$3004,1)),INDEX('AH History'!$C$5:$C$1380,$K2247))),NA()),NA())</f>
        <v/>
      </c>
      <c r="J2247" s="32">
        <f>IFERROR(IF(AND($F2247&gt;0,$H2247&gt;0,$A2247-$G2247&lt;=10,$A2247-$I2247&lt;=5,$G2247&gt;0,$I2247&gt;0),$F2247*$H2247,NA()),NA())</f>
        <v/>
      </c>
      <c r="K2247" s="15">
        <f>IF($A2247="","",IF(AH!$U$5=1,IFERROR(MATCH($A2247,'Live History'!$A$5:$A$3004,0),0),AH!$U$7+2242))</f>
        <v/>
      </c>
      <c r="L2247" s="15">
        <f>IF(ISNUMBER(A2247),TEXT(A2247,"dd-mmm-yy"),"")</f>
        <v/>
      </c>
    </row>
    <row r="2248">
      <c r="A2248" s="14">
        <f>IF(OR(AH!$U$4=0,2243+1&gt;AH!$U$6,AND(AH!$M$5="Bloomberg",AH!$U$5=0)),"",IFERROR(IF(AND(AH!$U$12=1,2243+1=AH!$U$6),TODAY(),IF(AH!$U$5=1,INDEX('Live History'!$A$5:$A$3004,AH!$U$7+2243),INDEX('AH History'!$A$5:$A$1380,AH!$U$7+2243))),""))</f>
        <v/>
      </c>
      <c r="B2248" s="33">
        <f>IFERROR(IF(AH!$U$11=1,NA(),$J2248/$E2248-1),NA())</f>
        <v/>
      </c>
      <c r="C2248" s="269">
        <f>IFERROR(100*$E2248/$E$5,NA())</f>
        <v/>
      </c>
      <c r="D2248" s="269">
        <f>IFERROR(100*$J2248/$J$5,NA())</f>
        <v/>
      </c>
      <c r="E2248" s="32">
        <f>IFERROR(IF(AND(ISNUMBER($A2248),N(IF(AND(AH!$U$12=1,2243+1=AH!$U$6),IF(AH!$U$4=0,"unavailable",INDEX('Market Data'!$AN$5:$AN$66,AH!$U$4)),IF(AH!$U$5=1,INDEX('Live History'!$B$5:$B$3004,$K2248),INDEX('AH History'!$D$5:$GG$1380,$K2248,AH!$U$10))))&gt;0),IF(AND(AH!$U$12=1,2243+1=AH!$U$6),IF(AH!$U$4=0,"unavailable",INDEX('Market Data'!$AN$5:$AN$66,AH!$U$4)),IF(AH!$U$5=1,INDEX('Live History'!$B$5:$B$3004,$K2248),INDEX('AH History'!$D$5:$GG$1380,$K2248,AH!$U$10))),NA()),NA())</f>
        <v/>
      </c>
      <c r="F2248" s="32">
        <f>IFERROR(IF(ISNUMBER($A2248),IF(AND(AH!$U$12=1,2243+1=AH!$U$6),IF(AH!$U$4=0,"unavailable",INDEX('Market Data'!$AO$5:$AO$66,AH!$U$4)),IF(AH!$U$5=1,INDEX('Live History'!$E$5:$E$3004,MATCH($A2248,'Live History'!$D$5:$D$3004,1)),INDEX('AH History'!$D$5:$GG$1380,$K2248,AH!$U$10+1))),NA()),NA())</f>
        <v/>
      </c>
      <c r="G2248" s="34">
        <f>IFERROR(IF(ISNUMBER($A2248),IF(AND(AH!$U$12=1,2243+1=AH!$U$6),IF(AH!$U$4=0,"unavailable",INDEX('Market Data'!$AK$5:$AK$66,AH!$U$4)),IF(AH!$U$5=1,INDEX('Live History'!$D$5:$D$3004,MATCH($A2248,'Live History'!$D$5:$D$3004,1)),INDEX('AH History'!$D$5:$GG$1380,$K2248,AH!$U$10+2))),NA()),NA())</f>
        <v/>
      </c>
      <c r="H2248" s="266">
        <f>IFERROR(IF(ISNUMBER($A2248),IF(AND(AH!$U$12=1,2243+1=AH!$U$6),IF(AH!$U$4=0,"unavailable",INDEX('Market Data'!$AP$5:$AP$66,AH!$U$4)),IF(AH!$U$5=1,INDEX('Live History'!$H$5:$H$3004,MATCH($A2248,'Live History'!$G$5:$G$3004,1)),INDEX('AH History'!$B$5:$B$1380,$K2248))),NA()),NA())</f>
        <v/>
      </c>
      <c r="I2248" s="34">
        <f>IFERROR(IF(ISNUMBER($A2248),IF(AND(AH!$U$12=1,2243+1=AH!$U$6),TODAY(),IF(AH!$U$5=1,INDEX('Live History'!$G$5:$G$3004,MATCH($A2248,'Live History'!$G$5:$G$3004,1)),INDEX('AH History'!$C$5:$C$1380,$K2248))),NA()),NA())</f>
        <v/>
      </c>
      <c r="J2248" s="32">
        <f>IFERROR(IF(AND($F2248&gt;0,$H2248&gt;0,$A2248-$G2248&lt;=10,$A2248-$I2248&lt;=5,$G2248&gt;0,$I2248&gt;0),$F2248*$H2248,NA()),NA())</f>
        <v/>
      </c>
      <c r="K2248" s="15">
        <f>IF($A2248="","",IF(AH!$U$5=1,IFERROR(MATCH($A2248,'Live History'!$A$5:$A$3004,0),0),AH!$U$7+2243))</f>
        <v/>
      </c>
      <c r="L2248" s="15">
        <f>IF(ISNUMBER(A2248),TEXT(A2248,"dd-mmm-yy"),"")</f>
        <v/>
      </c>
    </row>
    <row r="2249">
      <c r="A2249" s="14">
        <f>IF(OR(AH!$U$4=0,2244+1&gt;AH!$U$6,AND(AH!$M$5="Bloomberg",AH!$U$5=0)),"",IFERROR(IF(AND(AH!$U$12=1,2244+1=AH!$U$6),TODAY(),IF(AH!$U$5=1,INDEX('Live History'!$A$5:$A$3004,AH!$U$7+2244),INDEX('AH History'!$A$5:$A$1380,AH!$U$7+2244))),""))</f>
        <v/>
      </c>
      <c r="B2249" s="33">
        <f>IFERROR(IF(AH!$U$11=1,NA(),$J2249/$E2249-1),NA())</f>
        <v/>
      </c>
      <c r="C2249" s="269">
        <f>IFERROR(100*$E2249/$E$5,NA())</f>
        <v/>
      </c>
      <c r="D2249" s="269">
        <f>IFERROR(100*$J2249/$J$5,NA())</f>
        <v/>
      </c>
      <c r="E2249" s="32">
        <f>IFERROR(IF(AND(ISNUMBER($A2249),N(IF(AND(AH!$U$12=1,2244+1=AH!$U$6),IF(AH!$U$4=0,"unavailable",INDEX('Market Data'!$AN$5:$AN$66,AH!$U$4)),IF(AH!$U$5=1,INDEX('Live History'!$B$5:$B$3004,$K2249),INDEX('AH History'!$D$5:$GG$1380,$K2249,AH!$U$10))))&gt;0),IF(AND(AH!$U$12=1,2244+1=AH!$U$6),IF(AH!$U$4=0,"unavailable",INDEX('Market Data'!$AN$5:$AN$66,AH!$U$4)),IF(AH!$U$5=1,INDEX('Live History'!$B$5:$B$3004,$K2249),INDEX('AH History'!$D$5:$GG$1380,$K2249,AH!$U$10))),NA()),NA())</f>
        <v/>
      </c>
      <c r="F2249" s="32">
        <f>IFERROR(IF(ISNUMBER($A2249),IF(AND(AH!$U$12=1,2244+1=AH!$U$6),IF(AH!$U$4=0,"unavailable",INDEX('Market Data'!$AO$5:$AO$66,AH!$U$4)),IF(AH!$U$5=1,INDEX('Live History'!$E$5:$E$3004,MATCH($A2249,'Live History'!$D$5:$D$3004,1)),INDEX('AH History'!$D$5:$GG$1380,$K2249,AH!$U$10+1))),NA()),NA())</f>
        <v/>
      </c>
      <c r="G2249" s="34">
        <f>IFERROR(IF(ISNUMBER($A2249),IF(AND(AH!$U$12=1,2244+1=AH!$U$6),IF(AH!$U$4=0,"unavailable",INDEX('Market Data'!$AK$5:$AK$66,AH!$U$4)),IF(AH!$U$5=1,INDEX('Live History'!$D$5:$D$3004,MATCH($A2249,'Live History'!$D$5:$D$3004,1)),INDEX('AH History'!$D$5:$GG$1380,$K2249,AH!$U$10+2))),NA()),NA())</f>
        <v/>
      </c>
      <c r="H2249" s="266">
        <f>IFERROR(IF(ISNUMBER($A2249),IF(AND(AH!$U$12=1,2244+1=AH!$U$6),IF(AH!$U$4=0,"unavailable",INDEX('Market Data'!$AP$5:$AP$66,AH!$U$4)),IF(AH!$U$5=1,INDEX('Live History'!$H$5:$H$3004,MATCH($A2249,'Live History'!$G$5:$G$3004,1)),INDEX('AH History'!$B$5:$B$1380,$K2249))),NA()),NA())</f>
        <v/>
      </c>
      <c r="I2249" s="34">
        <f>IFERROR(IF(ISNUMBER($A2249),IF(AND(AH!$U$12=1,2244+1=AH!$U$6),TODAY(),IF(AH!$U$5=1,INDEX('Live History'!$G$5:$G$3004,MATCH($A2249,'Live History'!$G$5:$G$3004,1)),INDEX('AH History'!$C$5:$C$1380,$K2249))),NA()),NA())</f>
        <v/>
      </c>
      <c r="J2249" s="32">
        <f>IFERROR(IF(AND($F2249&gt;0,$H2249&gt;0,$A2249-$G2249&lt;=10,$A2249-$I2249&lt;=5,$G2249&gt;0,$I2249&gt;0),$F2249*$H2249,NA()),NA())</f>
        <v/>
      </c>
      <c r="K2249" s="15">
        <f>IF($A2249="","",IF(AH!$U$5=1,IFERROR(MATCH($A2249,'Live History'!$A$5:$A$3004,0),0),AH!$U$7+2244))</f>
        <v/>
      </c>
      <c r="L2249" s="15">
        <f>IF(ISNUMBER(A2249),TEXT(A2249,"dd-mmm-yy"),"")</f>
        <v/>
      </c>
    </row>
    <row r="2250">
      <c r="A2250" s="14">
        <f>IF(OR(AH!$U$4=0,2245+1&gt;AH!$U$6,AND(AH!$M$5="Bloomberg",AH!$U$5=0)),"",IFERROR(IF(AND(AH!$U$12=1,2245+1=AH!$U$6),TODAY(),IF(AH!$U$5=1,INDEX('Live History'!$A$5:$A$3004,AH!$U$7+2245),INDEX('AH History'!$A$5:$A$1380,AH!$U$7+2245))),""))</f>
        <v/>
      </c>
      <c r="B2250" s="33">
        <f>IFERROR(IF(AH!$U$11=1,NA(),$J2250/$E2250-1),NA())</f>
        <v/>
      </c>
      <c r="C2250" s="269">
        <f>IFERROR(100*$E2250/$E$5,NA())</f>
        <v/>
      </c>
      <c r="D2250" s="269">
        <f>IFERROR(100*$J2250/$J$5,NA())</f>
        <v/>
      </c>
      <c r="E2250" s="32">
        <f>IFERROR(IF(AND(ISNUMBER($A2250),N(IF(AND(AH!$U$12=1,2245+1=AH!$U$6),IF(AH!$U$4=0,"unavailable",INDEX('Market Data'!$AN$5:$AN$66,AH!$U$4)),IF(AH!$U$5=1,INDEX('Live History'!$B$5:$B$3004,$K2250),INDEX('AH History'!$D$5:$GG$1380,$K2250,AH!$U$10))))&gt;0),IF(AND(AH!$U$12=1,2245+1=AH!$U$6),IF(AH!$U$4=0,"unavailable",INDEX('Market Data'!$AN$5:$AN$66,AH!$U$4)),IF(AH!$U$5=1,INDEX('Live History'!$B$5:$B$3004,$K2250),INDEX('AH History'!$D$5:$GG$1380,$K2250,AH!$U$10))),NA()),NA())</f>
        <v/>
      </c>
      <c r="F2250" s="32">
        <f>IFERROR(IF(ISNUMBER($A2250),IF(AND(AH!$U$12=1,2245+1=AH!$U$6),IF(AH!$U$4=0,"unavailable",INDEX('Market Data'!$AO$5:$AO$66,AH!$U$4)),IF(AH!$U$5=1,INDEX('Live History'!$E$5:$E$3004,MATCH($A2250,'Live History'!$D$5:$D$3004,1)),INDEX('AH History'!$D$5:$GG$1380,$K2250,AH!$U$10+1))),NA()),NA())</f>
        <v/>
      </c>
      <c r="G2250" s="34">
        <f>IFERROR(IF(ISNUMBER($A2250),IF(AND(AH!$U$12=1,2245+1=AH!$U$6),IF(AH!$U$4=0,"unavailable",INDEX('Market Data'!$AK$5:$AK$66,AH!$U$4)),IF(AH!$U$5=1,INDEX('Live History'!$D$5:$D$3004,MATCH($A2250,'Live History'!$D$5:$D$3004,1)),INDEX('AH History'!$D$5:$GG$1380,$K2250,AH!$U$10+2))),NA()),NA())</f>
        <v/>
      </c>
      <c r="H2250" s="266">
        <f>IFERROR(IF(ISNUMBER($A2250),IF(AND(AH!$U$12=1,2245+1=AH!$U$6),IF(AH!$U$4=0,"unavailable",INDEX('Market Data'!$AP$5:$AP$66,AH!$U$4)),IF(AH!$U$5=1,INDEX('Live History'!$H$5:$H$3004,MATCH($A2250,'Live History'!$G$5:$G$3004,1)),INDEX('AH History'!$B$5:$B$1380,$K2250))),NA()),NA())</f>
        <v/>
      </c>
      <c r="I2250" s="34">
        <f>IFERROR(IF(ISNUMBER($A2250),IF(AND(AH!$U$12=1,2245+1=AH!$U$6),TODAY(),IF(AH!$U$5=1,INDEX('Live History'!$G$5:$G$3004,MATCH($A2250,'Live History'!$G$5:$G$3004,1)),INDEX('AH History'!$C$5:$C$1380,$K2250))),NA()),NA())</f>
        <v/>
      </c>
      <c r="J2250" s="32">
        <f>IFERROR(IF(AND($F2250&gt;0,$H2250&gt;0,$A2250-$G2250&lt;=10,$A2250-$I2250&lt;=5,$G2250&gt;0,$I2250&gt;0),$F2250*$H2250,NA()),NA())</f>
        <v/>
      </c>
      <c r="K2250" s="15">
        <f>IF($A2250="","",IF(AH!$U$5=1,IFERROR(MATCH($A2250,'Live History'!$A$5:$A$3004,0),0),AH!$U$7+2245))</f>
        <v/>
      </c>
      <c r="L2250" s="15">
        <f>IF(ISNUMBER(A2250),TEXT(A2250,"dd-mmm-yy"),"")</f>
        <v/>
      </c>
    </row>
    <row r="2251">
      <c r="A2251" s="14">
        <f>IF(OR(AH!$U$4=0,2246+1&gt;AH!$U$6,AND(AH!$M$5="Bloomberg",AH!$U$5=0)),"",IFERROR(IF(AND(AH!$U$12=1,2246+1=AH!$U$6),TODAY(),IF(AH!$U$5=1,INDEX('Live History'!$A$5:$A$3004,AH!$U$7+2246),INDEX('AH History'!$A$5:$A$1380,AH!$U$7+2246))),""))</f>
        <v/>
      </c>
      <c r="B2251" s="33">
        <f>IFERROR(IF(AH!$U$11=1,NA(),$J2251/$E2251-1),NA())</f>
        <v/>
      </c>
      <c r="C2251" s="269">
        <f>IFERROR(100*$E2251/$E$5,NA())</f>
        <v/>
      </c>
      <c r="D2251" s="269">
        <f>IFERROR(100*$J2251/$J$5,NA())</f>
        <v/>
      </c>
      <c r="E2251" s="32">
        <f>IFERROR(IF(AND(ISNUMBER($A2251),N(IF(AND(AH!$U$12=1,2246+1=AH!$U$6),IF(AH!$U$4=0,"unavailable",INDEX('Market Data'!$AN$5:$AN$66,AH!$U$4)),IF(AH!$U$5=1,INDEX('Live History'!$B$5:$B$3004,$K2251),INDEX('AH History'!$D$5:$GG$1380,$K2251,AH!$U$10))))&gt;0),IF(AND(AH!$U$12=1,2246+1=AH!$U$6),IF(AH!$U$4=0,"unavailable",INDEX('Market Data'!$AN$5:$AN$66,AH!$U$4)),IF(AH!$U$5=1,INDEX('Live History'!$B$5:$B$3004,$K2251),INDEX('AH History'!$D$5:$GG$1380,$K2251,AH!$U$10))),NA()),NA())</f>
        <v/>
      </c>
      <c r="F2251" s="32">
        <f>IFERROR(IF(ISNUMBER($A2251),IF(AND(AH!$U$12=1,2246+1=AH!$U$6),IF(AH!$U$4=0,"unavailable",INDEX('Market Data'!$AO$5:$AO$66,AH!$U$4)),IF(AH!$U$5=1,INDEX('Live History'!$E$5:$E$3004,MATCH($A2251,'Live History'!$D$5:$D$3004,1)),INDEX('AH History'!$D$5:$GG$1380,$K2251,AH!$U$10+1))),NA()),NA())</f>
        <v/>
      </c>
      <c r="G2251" s="34">
        <f>IFERROR(IF(ISNUMBER($A2251),IF(AND(AH!$U$12=1,2246+1=AH!$U$6),IF(AH!$U$4=0,"unavailable",INDEX('Market Data'!$AK$5:$AK$66,AH!$U$4)),IF(AH!$U$5=1,INDEX('Live History'!$D$5:$D$3004,MATCH($A2251,'Live History'!$D$5:$D$3004,1)),INDEX('AH History'!$D$5:$GG$1380,$K2251,AH!$U$10+2))),NA()),NA())</f>
        <v/>
      </c>
      <c r="H2251" s="266">
        <f>IFERROR(IF(ISNUMBER($A2251),IF(AND(AH!$U$12=1,2246+1=AH!$U$6),IF(AH!$U$4=0,"unavailable",INDEX('Market Data'!$AP$5:$AP$66,AH!$U$4)),IF(AH!$U$5=1,INDEX('Live History'!$H$5:$H$3004,MATCH($A2251,'Live History'!$G$5:$G$3004,1)),INDEX('AH History'!$B$5:$B$1380,$K2251))),NA()),NA())</f>
        <v/>
      </c>
      <c r="I2251" s="34">
        <f>IFERROR(IF(ISNUMBER($A2251),IF(AND(AH!$U$12=1,2246+1=AH!$U$6),TODAY(),IF(AH!$U$5=1,INDEX('Live History'!$G$5:$G$3004,MATCH($A2251,'Live History'!$G$5:$G$3004,1)),INDEX('AH History'!$C$5:$C$1380,$K2251))),NA()),NA())</f>
        <v/>
      </c>
      <c r="J2251" s="32">
        <f>IFERROR(IF(AND($F2251&gt;0,$H2251&gt;0,$A2251-$G2251&lt;=10,$A2251-$I2251&lt;=5,$G2251&gt;0,$I2251&gt;0),$F2251*$H2251,NA()),NA())</f>
        <v/>
      </c>
      <c r="K2251" s="15">
        <f>IF($A2251="","",IF(AH!$U$5=1,IFERROR(MATCH($A2251,'Live History'!$A$5:$A$3004,0),0),AH!$U$7+2246))</f>
        <v/>
      </c>
      <c r="L2251" s="15">
        <f>IF(ISNUMBER(A2251),TEXT(A2251,"dd-mmm-yy"),"")</f>
        <v/>
      </c>
    </row>
    <row r="2252">
      <c r="A2252" s="14">
        <f>IF(OR(AH!$U$4=0,2247+1&gt;AH!$U$6,AND(AH!$M$5="Bloomberg",AH!$U$5=0)),"",IFERROR(IF(AND(AH!$U$12=1,2247+1=AH!$U$6),TODAY(),IF(AH!$U$5=1,INDEX('Live History'!$A$5:$A$3004,AH!$U$7+2247),INDEX('AH History'!$A$5:$A$1380,AH!$U$7+2247))),""))</f>
        <v/>
      </c>
      <c r="B2252" s="33">
        <f>IFERROR(IF(AH!$U$11=1,NA(),$J2252/$E2252-1),NA())</f>
        <v/>
      </c>
      <c r="C2252" s="269">
        <f>IFERROR(100*$E2252/$E$5,NA())</f>
        <v/>
      </c>
      <c r="D2252" s="269">
        <f>IFERROR(100*$J2252/$J$5,NA())</f>
        <v/>
      </c>
      <c r="E2252" s="32">
        <f>IFERROR(IF(AND(ISNUMBER($A2252),N(IF(AND(AH!$U$12=1,2247+1=AH!$U$6),IF(AH!$U$4=0,"unavailable",INDEX('Market Data'!$AN$5:$AN$66,AH!$U$4)),IF(AH!$U$5=1,INDEX('Live History'!$B$5:$B$3004,$K2252),INDEX('AH History'!$D$5:$GG$1380,$K2252,AH!$U$10))))&gt;0),IF(AND(AH!$U$12=1,2247+1=AH!$U$6),IF(AH!$U$4=0,"unavailable",INDEX('Market Data'!$AN$5:$AN$66,AH!$U$4)),IF(AH!$U$5=1,INDEX('Live History'!$B$5:$B$3004,$K2252),INDEX('AH History'!$D$5:$GG$1380,$K2252,AH!$U$10))),NA()),NA())</f>
        <v/>
      </c>
      <c r="F2252" s="32">
        <f>IFERROR(IF(ISNUMBER($A2252),IF(AND(AH!$U$12=1,2247+1=AH!$U$6),IF(AH!$U$4=0,"unavailable",INDEX('Market Data'!$AO$5:$AO$66,AH!$U$4)),IF(AH!$U$5=1,INDEX('Live History'!$E$5:$E$3004,MATCH($A2252,'Live History'!$D$5:$D$3004,1)),INDEX('AH History'!$D$5:$GG$1380,$K2252,AH!$U$10+1))),NA()),NA())</f>
        <v/>
      </c>
      <c r="G2252" s="34">
        <f>IFERROR(IF(ISNUMBER($A2252),IF(AND(AH!$U$12=1,2247+1=AH!$U$6),IF(AH!$U$4=0,"unavailable",INDEX('Market Data'!$AK$5:$AK$66,AH!$U$4)),IF(AH!$U$5=1,INDEX('Live History'!$D$5:$D$3004,MATCH($A2252,'Live History'!$D$5:$D$3004,1)),INDEX('AH History'!$D$5:$GG$1380,$K2252,AH!$U$10+2))),NA()),NA())</f>
        <v/>
      </c>
      <c r="H2252" s="266">
        <f>IFERROR(IF(ISNUMBER($A2252),IF(AND(AH!$U$12=1,2247+1=AH!$U$6),IF(AH!$U$4=0,"unavailable",INDEX('Market Data'!$AP$5:$AP$66,AH!$U$4)),IF(AH!$U$5=1,INDEX('Live History'!$H$5:$H$3004,MATCH($A2252,'Live History'!$G$5:$G$3004,1)),INDEX('AH History'!$B$5:$B$1380,$K2252))),NA()),NA())</f>
        <v/>
      </c>
      <c r="I2252" s="34">
        <f>IFERROR(IF(ISNUMBER($A2252),IF(AND(AH!$U$12=1,2247+1=AH!$U$6),TODAY(),IF(AH!$U$5=1,INDEX('Live History'!$G$5:$G$3004,MATCH($A2252,'Live History'!$G$5:$G$3004,1)),INDEX('AH History'!$C$5:$C$1380,$K2252))),NA()),NA())</f>
        <v/>
      </c>
      <c r="J2252" s="32">
        <f>IFERROR(IF(AND($F2252&gt;0,$H2252&gt;0,$A2252-$G2252&lt;=10,$A2252-$I2252&lt;=5,$G2252&gt;0,$I2252&gt;0),$F2252*$H2252,NA()),NA())</f>
        <v/>
      </c>
      <c r="K2252" s="15">
        <f>IF($A2252="","",IF(AH!$U$5=1,IFERROR(MATCH($A2252,'Live History'!$A$5:$A$3004,0),0),AH!$U$7+2247))</f>
        <v/>
      </c>
      <c r="L2252" s="15">
        <f>IF(ISNUMBER(A2252),TEXT(A2252,"dd-mmm-yy"),"")</f>
        <v/>
      </c>
    </row>
    <row r="2253">
      <c r="A2253" s="14">
        <f>IF(OR(AH!$U$4=0,2248+1&gt;AH!$U$6,AND(AH!$M$5="Bloomberg",AH!$U$5=0)),"",IFERROR(IF(AND(AH!$U$12=1,2248+1=AH!$U$6),TODAY(),IF(AH!$U$5=1,INDEX('Live History'!$A$5:$A$3004,AH!$U$7+2248),INDEX('AH History'!$A$5:$A$1380,AH!$U$7+2248))),""))</f>
        <v/>
      </c>
      <c r="B2253" s="33">
        <f>IFERROR(IF(AH!$U$11=1,NA(),$J2253/$E2253-1),NA())</f>
        <v/>
      </c>
      <c r="C2253" s="269">
        <f>IFERROR(100*$E2253/$E$5,NA())</f>
        <v/>
      </c>
      <c r="D2253" s="269">
        <f>IFERROR(100*$J2253/$J$5,NA())</f>
        <v/>
      </c>
      <c r="E2253" s="32">
        <f>IFERROR(IF(AND(ISNUMBER($A2253),N(IF(AND(AH!$U$12=1,2248+1=AH!$U$6),IF(AH!$U$4=0,"unavailable",INDEX('Market Data'!$AN$5:$AN$66,AH!$U$4)),IF(AH!$U$5=1,INDEX('Live History'!$B$5:$B$3004,$K2253),INDEX('AH History'!$D$5:$GG$1380,$K2253,AH!$U$10))))&gt;0),IF(AND(AH!$U$12=1,2248+1=AH!$U$6),IF(AH!$U$4=0,"unavailable",INDEX('Market Data'!$AN$5:$AN$66,AH!$U$4)),IF(AH!$U$5=1,INDEX('Live History'!$B$5:$B$3004,$K2253),INDEX('AH History'!$D$5:$GG$1380,$K2253,AH!$U$10))),NA()),NA())</f>
        <v/>
      </c>
      <c r="F2253" s="32">
        <f>IFERROR(IF(ISNUMBER($A2253),IF(AND(AH!$U$12=1,2248+1=AH!$U$6),IF(AH!$U$4=0,"unavailable",INDEX('Market Data'!$AO$5:$AO$66,AH!$U$4)),IF(AH!$U$5=1,INDEX('Live History'!$E$5:$E$3004,MATCH($A2253,'Live History'!$D$5:$D$3004,1)),INDEX('AH History'!$D$5:$GG$1380,$K2253,AH!$U$10+1))),NA()),NA())</f>
        <v/>
      </c>
      <c r="G2253" s="34">
        <f>IFERROR(IF(ISNUMBER($A2253),IF(AND(AH!$U$12=1,2248+1=AH!$U$6),IF(AH!$U$4=0,"unavailable",INDEX('Market Data'!$AK$5:$AK$66,AH!$U$4)),IF(AH!$U$5=1,INDEX('Live History'!$D$5:$D$3004,MATCH($A2253,'Live History'!$D$5:$D$3004,1)),INDEX('AH History'!$D$5:$GG$1380,$K2253,AH!$U$10+2))),NA()),NA())</f>
        <v/>
      </c>
      <c r="H2253" s="266">
        <f>IFERROR(IF(ISNUMBER($A2253),IF(AND(AH!$U$12=1,2248+1=AH!$U$6),IF(AH!$U$4=0,"unavailable",INDEX('Market Data'!$AP$5:$AP$66,AH!$U$4)),IF(AH!$U$5=1,INDEX('Live History'!$H$5:$H$3004,MATCH($A2253,'Live History'!$G$5:$G$3004,1)),INDEX('AH History'!$B$5:$B$1380,$K2253))),NA()),NA())</f>
        <v/>
      </c>
      <c r="I2253" s="34">
        <f>IFERROR(IF(ISNUMBER($A2253),IF(AND(AH!$U$12=1,2248+1=AH!$U$6),TODAY(),IF(AH!$U$5=1,INDEX('Live History'!$G$5:$G$3004,MATCH($A2253,'Live History'!$G$5:$G$3004,1)),INDEX('AH History'!$C$5:$C$1380,$K2253))),NA()),NA())</f>
        <v/>
      </c>
      <c r="J2253" s="32">
        <f>IFERROR(IF(AND($F2253&gt;0,$H2253&gt;0,$A2253-$G2253&lt;=10,$A2253-$I2253&lt;=5,$G2253&gt;0,$I2253&gt;0),$F2253*$H2253,NA()),NA())</f>
        <v/>
      </c>
      <c r="K2253" s="15">
        <f>IF($A2253="","",IF(AH!$U$5=1,IFERROR(MATCH($A2253,'Live History'!$A$5:$A$3004,0),0),AH!$U$7+2248))</f>
        <v/>
      </c>
      <c r="L2253" s="15">
        <f>IF(ISNUMBER(A2253),TEXT(A2253,"dd-mmm-yy"),"")</f>
        <v/>
      </c>
    </row>
    <row r="2254">
      <c r="A2254" s="14">
        <f>IF(OR(AH!$U$4=0,2249+1&gt;AH!$U$6,AND(AH!$M$5="Bloomberg",AH!$U$5=0)),"",IFERROR(IF(AND(AH!$U$12=1,2249+1=AH!$U$6),TODAY(),IF(AH!$U$5=1,INDEX('Live History'!$A$5:$A$3004,AH!$U$7+2249),INDEX('AH History'!$A$5:$A$1380,AH!$U$7+2249))),""))</f>
        <v/>
      </c>
      <c r="B2254" s="33">
        <f>IFERROR(IF(AH!$U$11=1,NA(),$J2254/$E2254-1),NA())</f>
        <v/>
      </c>
      <c r="C2254" s="269">
        <f>IFERROR(100*$E2254/$E$5,NA())</f>
        <v/>
      </c>
      <c r="D2254" s="269">
        <f>IFERROR(100*$J2254/$J$5,NA())</f>
        <v/>
      </c>
      <c r="E2254" s="32">
        <f>IFERROR(IF(AND(ISNUMBER($A2254),N(IF(AND(AH!$U$12=1,2249+1=AH!$U$6),IF(AH!$U$4=0,"unavailable",INDEX('Market Data'!$AN$5:$AN$66,AH!$U$4)),IF(AH!$U$5=1,INDEX('Live History'!$B$5:$B$3004,$K2254),INDEX('AH History'!$D$5:$GG$1380,$K2254,AH!$U$10))))&gt;0),IF(AND(AH!$U$12=1,2249+1=AH!$U$6),IF(AH!$U$4=0,"unavailable",INDEX('Market Data'!$AN$5:$AN$66,AH!$U$4)),IF(AH!$U$5=1,INDEX('Live History'!$B$5:$B$3004,$K2254),INDEX('AH History'!$D$5:$GG$1380,$K2254,AH!$U$10))),NA()),NA())</f>
        <v/>
      </c>
      <c r="F2254" s="32">
        <f>IFERROR(IF(ISNUMBER($A2254),IF(AND(AH!$U$12=1,2249+1=AH!$U$6),IF(AH!$U$4=0,"unavailable",INDEX('Market Data'!$AO$5:$AO$66,AH!$U$4)),IF(AH!$U$5=1,INDEX('Live History'!$E$5:$E$3004,MATCH($A2254,'Live History'!$D$5:$D$3004,1)),INDEX('AH History'!$D$5:$GG$1380,$K2254,AH!$U$10+1))),NA()),NA())</f>
        <v/>
      </c>
      <c r="G2254" s="34">
        <f>IFERROR(IF(ISNUMBER($A2254),IF(AND(AH!$U$12=1,2249+1=AH!$U$6),IF(AH!$U$4=0,"unavailable",INDEX('Market Data'!$AK$5:$AK$66,AH!$U$4)),IF(AH!$U$5=1,INDEX('Live History'!$D$5:$D$3004,MATCH($A2254,'Live History'!$D$5:$D$3004,1)),INDEX('AH History'!$D$5:$GG$1380,$K2254,AH!$U$10+2))),NA()),NA())</f>
        <v/>
      </c>
      <c r="H2254" s="266">
        <f>IFERROR(IF(ISNUMBER($A2254),IF(AND(AH!$U$12=1,2249+1=AH!$U$6),IF(AH!$U$4=0,"unavailable",INDEX('Market Data'!$AP$5:$AP$66,AH!$U$4)),IF(AH!$U$5=1,INDEX('Live History'!$H$5:$H$3004,MATCH($A2254,'Live History'!$G$5:$G$3004,1)),INDEX('AH History'!$B$5:$B$1380,$K2254))),NA()),NA())</f>
        <v/>
      </c>
      <c r="I2254" s="34">
        <f>IFERROR(IF(ISNUMBER($A2254),IF(AND(AH!$U$12=1,2249+1=AH!$U$6),TODAY(),IF(AH!$U$5=1,INDEX('Live History'!$G$5:$G$3004,MATCH($A2254,'Live History'!$G$5:$G$3004,1)),INDEX('AH History'!$C$5:$C$1380,$K2254))),NA()),NA())</f>
        <v/>
      </c>
      <c r="J2254" s="32">
        <f>IFERROR(IF(AND($F2254&gt;0,$H2254&gt;0,$A2254-$G2254&lt;=10,$A2254-$I2254&lt;=5,$G2254&gt;0,$I2254&gt;0),$F2254*$H2254,NA()),NA())</f>
        <v/>
      </c>
      <c r="K2254" s="15">
        <f>IF($A2254="","",IF(AH!$U$5=1,IFERROR(MATCH($A2254,'Live History'!$A$5:$A$3004,0),0),AH!$U$7+2249))</f>
        <v/>
      </c>
      <c r="L2254" s="15">
        <f>IF(ISNUMBER(A2254),TEXT(A2254,"dd-mmm-yy"),"")</f>
        <v/>
      </c>
    </row>
    <row r="2255">
      <c r="A2255" s="14">
        <f>IF(OR(AH!$U$4=0,2250+1&gt;AH!$U$6,AND(AH!$M$5="Bloomberg",AH!$U$5=0)),"",IFERROR(IF(AND(AH!$U$12=1,2250+1=AH!$U$6),TODAY(),IF(AH!$U$5=1,INDEX('Live History'!$A$5:$A$3004,AH!$U$7+2250),INDEX('AH History'!$A$5:$A$1380,AH!$U$7+2250))),""))</f>
        <v/>
      </c>
      <c r="B2255" s="33">
        <f>IFERROR(IF(AH!$U$11=1,NA(),$J2255/$E2255-1),NA())</f>
        <v/>
      </c>
      <c r="C2255" s="269">
        <f>IFERROR(100*$E2255/$E$5,NA())</f>
        <v/>
      </c>
      <c r="D2255" s="269">
        <f>IFERROR(100*$J2255/$J$5,NA())</f>
        <v/>
      </c>
      <c r="E2255" s="32">
        <f>IFERROR(IF(AND(ISNUMBER($A2255),N(IF(AND(AH!$U$12=1,2250+1=AH!$U$6),IF(AH!$U$4=0,"unavailable",INDEX('Market Data'!$AN$5:$AN$66,AH!$U$4)),IF(AH!$U$5=1,INDEX('Live History'!$B$5:$B$3004,$K2255),INDEX('AH History'!$D$5:$GG$1380,$K2255,AH!$U$10))))&gt;0),IF(AND(AH!$U$12=1,2250+1=AH!$U$6),IF(AH!$U$4=0,"unavailable",INDEX('Market Data'!$AN$5:$AN$66,AH!$U$4)),IF(AH!$U$5=1,INDEX('Live History'!$B$5:$B$3004,$K2255),INDEX('AH History'!$D$5:$GG$1380,$K2255,AH!$U$10))),NA()),NA())</f>
        <v/>
      </c>
      <c r="F2255" s="32">
        <f>IFERROR(IF(ISNUMBER($A2255),IF(AND(AH!$U$12=1,2250+1=AH!$U$6),IF(AH!$U$4=0,"unavailable",INDEX('Market Data'!$AO$5:$AO$66,AH!$U$4)),IF(AH!$U$5=1,INDEX('Live History'!$E$5:$E$3004,MATCH($A2255,'Live History'!$D$5:$D$3004,1)),INDEX('AH History'!$D$5:$GG$1380,$K2255,AH!$U$10+1))),NA()),NA())</f>
        <v/>
      </c>
      <c r="G2255" s="34">
        <f>IFERROR(IF(ISNUMBER($A2255),IF(AND(AH!$U$12=1,2250+1=AH!$U$6),IF(AH!$U$4=0,"unavailable",INDEX('Market Data'!$AK$5:$AK$66,AH!$U$4)),IF(AH!$U$5=1,INDEX('Live History'!$D$5:$D$3004,MATCH($A2255,'Live History'!$D$5:$D$3004,1)),INDEX('AH History'!$D$5:$GG$1380,$K2255,AH!$U$10+2))),NA()),NA())</f>
        <v/>
      </c>
      <c r="H2255" s="266">
        <f>IFERROR(IF(ISNUMBER($A2255),IF(AND(AH!$U$12=1,2250+1=AH!$U$6),IF(AH!$U$4=0,"unavailable",INDEX('Market Data'!$AP$5:$AP$66,AH!$U$4)),IF(AH!$U$5=1,INDEX('Live History'!$H$5:$H$3004,MATCH($A2255,'Live History'!$G$5:$G$3004,1)),INDEX('AH History'!$B$5:$B$1380,$K2255))),NA()),NA())</f>
        <v/>
      </c>
      <c r="I2255" s="34">
        <f>IFERROR(IF(ISNUMBER($A2255),IF(AND(AH!$U$12=1,2250+1=AH!$U$6),TODAY(),IF(AH!$U$5=1,INDEX('Live History'!$G$5:$G$3004,MATCH($A2255,'Live History'!$G$5:$G$3004,1)),INDEX('AH History'!$C$5:$C$1380,$K2255))),NA()),NA())</f>
        <v/>
      </c>
      <c r="J2255" s="32">
        <f>IFERROR(IF(AND($F2255&gt;0,$H2255&gt;0,$A2255-$G2255&lt;=10,$A2255-$I2255&lt;=5,$G2255&gt;0,$I2255&gt;0),$F2255*$H2255,NA()),NA())</f>
        <v/>
      </c>
      <c r="K2255" s="15">
        <f>IF($A2255="","",IF(AH!$U$5=1,IFERROR(MATCH($A2255,'Live History'!$A$5:$A$3004,0),0),AH!$U$7+2250))</f>
        <v/>
      </c>
      <c r="L2255" s="15">
        <f>IF(ISNUMBER(A2255),TEXT(A2255,"dd-mmm-yy"),"")</f>
        <v/>
      </c>
    </row>
    <row r="2256">
      <c r="A2256" s="14">
        <f>IF(OR(AH!$U$4=0,2251+1&gt;AH!$U$6,AND(AH!$M$5="Bloomberg",AH!$U$5=0)),"",IFERROR(IF(AND(AH!$U$12=1,2251+1=AH!$U$6),TODAY(),IF(AH!$U$5=1,INDEX('Live History'!$A$5:$A$3004,AH!$U$7+2251),INDEX('AH History'!$A$5:$A$1380,AH!$U$7+2251))),""))</f>
        <v/>
      </c>
      <c r="B2256" s="33">
        <f>IFERROR(IF(AH!$U$11=1,NA(),$J2256/$E2256-1),NA())</f>
        <v/>
      </c>
      <c r="C2256" s="269">
        <f>IFERROR(100*$E2256/$E$5,NA())</f>
        <v/>
      </c>
      <c r="D2256" s="269">
        <f>IFERROR(100*$J2256/$J$5,NA())</f>
        <v/>
      </c>
      <c r="E2256" s="32">
        <f>IFERROR(IF(AND(ISNUMBER($A2256),N(IF(AND(AH!$U$12=1,2251+1=AH!$U$6),IF(AH!$U$4=0,"unavailable",INDEX('Market Data'!$AN$5:$AN$66,AH!$U$4)),IF(AH!$U$5=1,INDEX('Live History'!$B$5:$B$3004,$K2256),INDEX('AH History'!$D$5:$GG$1380,$K2256,AH!$U$10))))&gt;0),IF(AND(AH!$U$12=1,2251+1=AH!$U$6),IF(AH!$U$4=0,"unavailable",INDEX('Market Data'!$AN$5:$AN$66,AH!$U$4)),IF(AH!$U$5=1,INDEX('Live History'!$B$5:$B$3004,$K2256),INDEX('AH History'!$D$5:$GG$1380,$K2256,AH!$U$10))),NA()),NA())</f>
        <v/>
      </c>
      <c r="F2256" s="32">
        <f>IFERROR(IF(ISNUMBER($A2256),IF(AND(AH!$U$12=1,2251+1=AH!$U$6),IF(AH!$U$4=0,"unavailable",INDEX('Market Data'!$AO$5:$AO$66,AH!$U$4)),IF(AH!$U$5=1,INDEX('Live History'!$E$5:$E$3004,MATCH($A2256,'Live History'!$D$5:$D$3004,1)),INDEX('AH History'!$D$5:$GG$1380,$K2256,AH!$U$10+1))),NA()),NA())</f>
        <v/>
      </c>
      <c r="G2256" s="34">
        <f>IFERROR(IF(ISNUMBER($A2256),IF(AND(AH!$U$12=1,2251+1=AH!$U$6),IF(AH!$U$4=0,"unavailable",INDEX('Market Data'!$AK$5:$AK$66,AH!$U$4)),IF(AH!$U$5=1,INDEX('Live History'!$D$5:$D$3004,MATCH($A2256,'Live History'!$D$5:$D$3004,1)),INDEX('AH History'!$D$5:$GG$1380,$K2256,AH!$U$10+2))),NA()),NA())</f>
        <v/>
      </c>
      <c r="H2256" s="266">
        <f>IFERROR(IF(ISNUMBER($A2256),IF(AND(AH!$U$12=1,2251+1=AH!$U$6),IF(AH!$U$4=0,"unavailable",INDEX('Market Data'!$AP$5:$AP$66,AH!$U$4)),IF(AH!$U$5=1,INDEX('Live History'!$H$5:$H$3004,MATCH($A2256,'Live History'!$G$5:$G$3004,1)),INDEX('AH History'!$B$5:$B$1380,$K2256))),NA()),NA())</f>
        <v/>
      </c>
      <c r="I2256" s="34">
        <f>IFERROR(IF(ISNUMBER($A2256),IF(AND(AH!$U$12=1,2251+1=AH!$U$6),TODAY(),IF(AH!$U$5=1,INDEX('Live History'!$G$5:$G$3004,MATCH($A2256,'Live History'!$G$5:$G$3004,1)),INDEX('AH History'!$C$5:$C$1380,$K2256))),NA()),NA())</f>
        <v/>
      </c>
      <c r="J2256" s="32">
        <f>IFERROR(IF(AND($F2256&gt;0,$H2256&gt;0,$A2256-$G2256&lt;=10,$A2256-$I2256&lt;=5,$G2256&gt;0,$I2256&gt;0),$F2256*$H2256,NA()),NA())</f>
        <v/>
      </c>
      <c r="K2256" s="15">
        <f>IF($A2256="","",IF(AH!$U$5=1,IFERROR(MATCH($A2256,'Live History'!$A$5:$A$3004,0),0),AH!$U$7+2251))</f>
        <v/>
      </c>
      <c r="L2256" s="15">
        <f>IF(ISNUMBER(A2256),TEXT(A2256,"dd-mmm-yy"),"")</f>
        <v/>
      </c>
    </row>
    <row r="2257">
      <c r="A2257" s="14">
        <f>IF(OR(AH!$U$4=0,2252+1&gt;AH!$U$6,AND(AH!$M$5="Bloomberg",AH!$U$5=0)),"",IFERROR(IF(AND(AH!$U$12=1,2252+1=AH!$U$6),TODAY(),IF(AH!$U$5=1,INDEX('Live History'!$A$5:$A$3004,AH!$U$7+2252),INDEX('AH History'!$A$5:$A$1380,AH!$U$7+2252))),""))</f>
        <v/>
      </c>
      <c r="B2257" s="33">
        <f>IFERROR(IF(AH!$U$11=1,NA(),$J2257/$E2257-1),NA())</f>
        <v/>
      </c>
      <c r="C2257" s="269">
        <f>IFERROR(100*$E2257/$E$5,NA())</f>
        <v/>
      </c>
      <c r="D2257" s="269">
        <f>IFERROR(100*$J2257/$J$5,NA())</f>
        <v/>
      </c>
      <c r="E2257" s="32">
        <f>IFERROR(IF(AND(ISNUMBER($A2257),N(IF(AND(AH!$U$12=1,2252+1=AH!$U$6),IF(AH!$U$4=0,"unavailable",INDEX('Market Data'!$AN$5:$AN$66,AH!$U$4)),IF(AH!$U$5=1,INDEX('Live History'!$B$5:$B$3004,$K2257),INDEX('AH History'!$D$5:$GG$1380,$K2257,AH!$U$10))))&gt;0),IF(AND(AH!$U$12=1,2252+1=AH!$U$6),IF(AH!$U$4=0,"unavailable",INDEX('Market Data'!$AN$5:$AN$66,AH!$U$4)),IF(AH!$U$5=1,INDEX('Live History'!$B$5:$B$3004,$K2257),INDEX('AH History'!$D$5:$GG$1380,$K2257,AH!$U$10))),NA()),NA())</f>
        <v/>
      </c>
      <c r="F2257" s="32">
        <f>IFERROR(IF(ISNUMBER($A2257),IF(AND(AH!$U$12=1,2252+1=AH!$U$6),IF(AH!$U$4=0,"unavailable",INDEX('Market Data'!$AO$5:$AO$66,AH!$U$4)),IF(AH!$U$5=1,INDEX('Live History'!$E$5:$E$3004,MATCH($A2257,'Live History'!$D$5:$D$3004,1)),INDEX('AH History'!$D$5:$GG$1380,$K2257,AH!$U$10+1))),NA()),NA())</f>
        <v/>
      </c>
      <c r="G2257" s="34">
        <f>IFERROR(IF(ISNUMBER($A2257),IF(AND(AH!$U$12=1,2252+1=AH!$U$6),IF(AH!$U$4=0,"unavailable",INDEX('Market Data'!$AK$5:$AK$66,AH!$U$4)),IF(AH!$U$5=1,INDEX('Live History'!$D$5:$D$3004,MATCH($A2257,'Live History'!$D$5:$D$3004,1)),INDEX('AH History'!$D$5:$GG$1380,$K2257,AH!$U$10+2))),NA()),NA())</f>
        <v/>
      </c>
      <c r="H2257" s="266">
        <f>IFERROR(IF(ISNUMBER($A2257),IF(AND(AH!$U$12=1,2252+1=AH!$U$6),IF(AH!$U$4=0,"unavailable",INDEX('Market Data'!$AP$5:$AP$66,AH!$U$4)),IF(AH!$U$5=1,INDEX('Live History'!$H$5:$H$3004,MATCH($A2257,'Live History'!$G$5:$G$3004,1)),INDEX('AH History'!$B$5:$B$1380,$K2257))),NA()),NA())</f>
        <v/>
      </c>
      <c r="I2257" s="34">
        <f>IFERROR(IF(ISNUMBER($A2257),IF(AND(AH!$U$12=1,2252+1=AH!$U$6),TODAY(),IF(AH!$U$5=1,INDEX('Live History'!$G$5:$G$3004,MATCH($A2257,'Live History'!$G$5:$G$3004,1)),INDEX('AH History'!$C$5:$C$1380,$K2257))),NA()),NA())</f>
        <v/>
      </c>
      <c r="J2257" s="32">
        <f>IFERROR(IF(AND($F2257&gt;0,$H2257&gt;0,$A2257-$G2257&lt;=10,$A2257-$I2257&lt;=5,$G2257&gt;0,$I2257&gt;0),$F2257*$H2257,NA()),NA())</f>
        <v/>
      </c>
      <c r="K2257" s="15">
        <f>IF($A2257="","",IF(AH!$U$5=1,IFERROR(MATCH($A2257,'Live History'!$A$5:$A$3004,0),0),AH!$U$7+2252))</f>
        <v/>
      </c>
      <c r="L2257" s="15">
        <f>IF(ISNUMBER(A2257),TEXT(A2257,"dd-mmm-yy"),"")</f>
        <v/>
      </c>
    </row>
    <row r="2258">
      <c r="A2258" s="14">
        <f>IF(OR(AH!$U$4=0,2253+1&gt;AH!$U$6,AND(AH!$M$5="Bloomberg",AH!$U$5=0)),"",IFERROR(IF(AND(AH!$U$12=1,2253+1=AH!$U$6),TODAY(),IF(AH!$U$5=1,INDEX('Live History'!$A$5:$A$3004,AH!$U$7+2253),INDEX('AH History'!$A$5:$A$1380,AH!$U$7+2253))),""))</f>
        <v/>
      </c>
      <c r="B2258" s="33">
        <f>IFERROR(IF(AH!$U$11=1,NA(),$J2258/$E2258-1),NA())</f>
        <v/>
      </c>
      <c r="C2258" s="269">
        <f>IFERROR(100*$E2258/$E$5,NA())</f>
        <v/>
      </c>
      <c r="D2258" s="269">
        <f>IFERROR(100*$J2258/$J$5,NA())</f>
        <v/>
      </c>
      <c r="E2258" s="32">
        <f>IFERROR(IF(AND(ISNUMBER($A2258),N(IF(AND(AH!$U$12=1,2253+1=AH!$U$6),IF(AH!$U$4=0,"unavailable",INDEX('Market Data'!$AN$5:$AN$66,AH!$U$4)),IF(AH!$U$5=1,INDEX('Live History'!$B$5:$B$3004,$K2258),INDEX('AH History'!$D$5:$GG$1380,$K2258,AH!$U$10))))&gt;0),IF(AND(AH!$U$12=1,2253+1=AH!$U$6),IF(AH!$U$4=0,"unavailable",INDEX('Market Data'!$AN$5:$AN$66,AH!$U$4)),IF(AH!$U$5=1,INDEX('Live History'!$B$5:$B$3004,$K2258),INDEX('AH History'!$D$5:$GG$1380,$K2258,AH!$U$10))),NA()),NA())</f>
        <v/>
      </c>
      <c r="F2258" s="32">
        <f>IFERROR(IF(ISNUMBER($A2258),IF(AND(AH!$U$12=1,2253+1=AH!$U$6),IF(AH!$U$4=0,"unavailable",INDEX('Market Data'!$AO$5:$AO$66,AH!$U$4)),IF(AH!$U$5=1,INDEX('Live History'!$E$5:$E$3004,MATCH($A2258,'Live History'!$D$5:$D$3004,1)),INDEX('AH History'!$D$5:$GG$1380,$K2258,AH!$U$10+1))),NA()),NA())</f>
        <v/>
      </c>
      <c r="G2258" s="34">
        <f>IFERROR(IF(ISNUMBER($A2258),IF(AND(AH!$U$12=1,2253+1=AH!$U$6),IF(AH!$U$4=0,"unavailable",INDEX('Market Data'!$AK$5:$AK$66,AH!$U$4)),IF(AH!$U$5=1,INDEX('Live History'!$D$5:$D$3004,MATCH($A2258,'Live History'!$D$5:$D$3004,1)),INDEX('AH History'!$D$5:$GG$1380,$K2258,AH!$U$10+2))),NA()),NA())</f>
        <v/>
      </c>
      <c r="H2258" s="266">
        <f>IFERROR(IF(ISNUMBER($A2258),IF(AND(AH!$U$12=1,2253+1=AH!$U$6),IF(AH!$U$4=0,"unavailable",INDEX('Market Data'!$AP$5:$AP$66,AH!$U$4)),IF(AH!$U$5=1,INDEX('Live History'!$H$5:$H$3004,MATCH($A2258,'Live History'!$G$5:$G$3004,1)),INDEX('AH History'!$B$5:$B$1380,$K2258))),NA()),NA())</f>
        <v/>
      </c>
      <c r="I2258" s="34">
        <f>IFERROR(IF(ISNUMBER($A2258),IF(AND(AH!$U$12=1,2253+1=AH!$U$6),TODAY(),IF(AH!$U$5=1,INDEX('Live History'!$G$5:$G$3004,MATCH($A2258,'Live History'!$G$5:$G$3004,1)),INDEX('AH History'!$C$5:$C$1380,$K2258))),NA()),NA())</f>
        <v/>
      </c>
      <c r="J2258" s="32">
        <f>IFERROR(IF(AND($F2258&gt;0,$H2258&gt;0,$A2258-$G2258&lt;=10,$A2258-$I2258&lt;=5,$G2258&gt;0,$I2258&gt;0),$F2258*$H2258,NA()),NA())</f>
        <v/>
      </c>
      <c r="K2258" s="15">
        <f>IF($A2258="","",IF(AH!$U$5=1,IFERROR(MATCH($A2258,'Live History'!$A$5:$A$3004,0),0),AH!$U$7+2253))</f>
        <v/>
      </c>
      <c r="L2258" s="15">
        <f>IF(ISNUMBER(A2258),TEXT(A2258,"dd-mmm-yy"),"")</f>
        <v/>
      </c>
    </row>
    <row r="2259">
      <c r="A2259" s="14">
        <f>IF(OR(AH!$U$4=0,2254+1&gt;AH!$U$6,AND(AH!$M$5="Bloomberg",AH!$U$5=0)),"",IFERROR(IF(AND(AH!$U$12=1,2254+1=AH!$U$6),TODAY(),IF(AH!$U$5=1,INDEX('Live History'!$A$5:$A$3004,AH!$U$7+2254),INDEX('AH History'!$A$5:$A$1380,AH!$U$7+2254))),""))</f>
        <v/>
      </c>
      <c r="B2259" s="33">
        <f>IFERROR(IF(AH!$U$11=1,NA(),$J2259/$E2259-1),NA())</f>
        <v/>
      </c>
      <c r="C2259" s="269">
        <f>IFERROR(100*$E2259/$E$5,NA())</f>
        <v/>
      </c>
      <c r="D2259" s="269">
        <f>IFERROR(100*$J2259/$J$5,NA())</f>
        <v/>
      </c>
      <c r="E2259" s="32">
        <f>IFERROR(IF(AND(ISNUMBER($A2259),N(IF(AND(AH!$U$12=1,2254+1=AH!$U$6),IF(AH!$U$4=0,"unavailable",INDEX('Market Data'!$AN$5:$AN$66,AH!$U$4)),IF(AH!$U$5=1,INDEX('Live History'!$B$5:$B$3004,$K2259),INDEX('AH History'!$D$5:$GG$1380,$K2259,AH!$U$10))))&gt;0),IF(AND(AH!$U$12=1,2254+1=AH!$U$6),IF(AH!$U$4=0,"unavailable",INDEX('Market Data'!$AN$5:$AN$66,AH!$U$4)),IF(AH!$U$5=1,INDEX('Live History'!$B$5:$B$3004,$K2259),INDEX('AH History'!$D$5:$GG$1380,$K2259,AH!$U$10))),NA()),NA())</f>
        <v/>
      </c>
      <c r="F2259" s="32">
        <f>IFERROR(IF(ISNUMBER($A2259),IF(AND(AH!$U$12=1,2254+1=AH!$U$6),IF(AH!$U$4=0,"unavailable",INDEX('Market Data'!$AO$5:$AO$66,AH!$U$4)),IF(AH!$U$5=1,INDEX('Live History'!$E$5:$E$3004,MATCH($A2259,'Live History'!$D$5:$D$3004,1)),INDEX('AH History'!$D$5:$GG$1380,$K2259,AH!$U$10+1))),NA()),NA())</f>
        <v/>
      </c>
      <c r="G2259" s="34">
        <f>IFERROR(IF(ISNUMBER($A2259),IF(AND(AH!$U$12=1,2254+1=AH!$U$6),IF(AH!$U$4=0,"unavailable",INDEX('Market Data'!$AK$5:$AK$66,AH!$U$4)),IF(AH!$U$5=1,INDEX('Live History'!$D$5:$D$3004,MATCH($A2259,'Live History'!$D$5:$D$3004,1)),INDEX('AH History'!$D$5:$GG$1380,$K2259,AH!$U$10+2))),NA()),NA())</f>
        <v/>
      </c>
      <c r="H2259" s="266">
        <f>IFERROR(IF(ISNUMBER($A2259),IF(AND(AH!$U$12=1,2254+1=AH!$U$6),IF(AH!$U$4=0,"unavailable",INDEX('Market Data'!$AP$5:$AP$66,AH!$U$4)),IF(AH!$U$5=1,INDEX('Live History'!$H$5:$H$3004,MATCH($A2259,'Live History'!$G$5:$G$3004,1)),INDEX('AH History'!$B$5:$B$1380,$K2259))),NA()),NA())</f>
        <v/>
      </c>
      <c r="I2259" s="34">
        <f>IFERROR(IF(ISNUMBER($A2259),IF(AND(AH!$U$12=1,2254+1=AH!$U$6),TODAY(),IF(AH!$U$5=1,INDEX('Live History'!$G$5:$G$3004,MATCH($A2259,'Live History'!$G$5:$G$3004,1)),INDEX('AH History'!$C$5:$C$1380,$K2259))),NA()),NA())</f>
        <v/>
      </c>
      <c r="J2259" s="32">
        <f>IFERROR(IF(AND($F2259&gt;0,$H2259&gt;0,$A2259-$G2259&lt;=10,$A2259-$I2259&lt;=5,$G2259&gt;0,$I2259&gt;0),$F2259*$H2259,NA()),NA())</f>
        <v/>
      </c>
      <c r="K2259" s="15">
        <f>IF($A2259="","",IF(AH!$U$5=1,IFERROR(MATCH($A2259,'Live History'!$A$5:$A$3004,0),0),AH!$U$7+2254))</f>
        <v/>
      </c>
      <c r="L2259" s="15">
        <f>IF(ISNUMBER(A2259),TEXT(A2259,"dd-mmm-yy"),"")</f>
        <v/>
      </c>
    </row>
    <row r="2260">
      <c r="A2260" s="14">
        <f>IF(OR(AH!$U$4=0,2255+1&gt;AH!$U$6,AND(AH!$M$5="Bloomberg",AH!$U$5=0)),"",IFERROR(IF(AND(AH!$U$12=1,2255+1=AH!$U$6),TODAY(),IF(AH!$U$5=1,INDEX('Live History'!$A$5:$A$3004,AH!$U$7+2255),INDEX('AH History'!$A$5:$A$1380,AH!$U$7+2255))),""))</f>
        <v/>
      </c>
      <c r="B2260" s="33">
        <f>IFERROR(IF(AH!$U$11=1,NA(),$J2260/$E2260-1),NA())</f>
        <v/>
      </c>
      <c r="C2260" s="269">
        <f>IFERROR(100*$E2260/$E$5,NA())</f>
        <v/>
      </c>
      <c r="D2260" s="269">
        <f>IFERROR(100*$J2260/$J$5,NA())</f>
        <v/>
      </c>
      <c r="E2260" s="32">
        <f>IFERROR(IF(AND(ISNUMBER($A2260),N(IF(AND(AH!$U$12=1,2255+1=AH!$U$6),IF(AH!$U$4=0,"unavailable",INDEX('Market Data'!$AN$5:$AN$66,AH!$U$4)),IF(AH!$U$5=1,INDEX('Live History'!$B$5:$B$3004,$K2260),INDEX('AH History'!$D$5:$GG$1380,$K2260,AH!$U$10))))&gt;0),IF(AND(AH!$U$12=1,2255+1=AH!$U$6),IF(AH!$U$4=0,"unavailable",INDEX('Market Data'!$AN$5:$AN$66,AH!$U$4)),IF(AH!$U$5=1,INDEX('Live History'!$B$5:$B$3004,$K2260),INDEX('AH History'!$D$5:$GG$1380,$K2260,AH!$U$10))),NA()),NA())</f>
        <v/>
      </c>
      <c r="F2260" s="32">
        <f>IFERROR(IF(ISNUMBER($A2260),IF(AND(AH!$U$12=1,2255+1=AH!$U$6),IF(AH!$U$4=0,"unavailable",INDEX('Market Data'!$AO$5:$AO$66,AH!$U$4)),IF(AH!$U$5=1,INDEX('Live History'!$E$5:$E$3004,MATCH($A2260,'Live History'!$D$5:$D$3004,1)),INDEX('AH History'!$D$5:$GG$1380,$K2260,AH!$U$10+1))),NA()),NA())</f>
        <v/>
      </c>
      <c r="G2260" s="34">
        <f>IFERROR(IF(ISNUMBER($A2260),IF(AND(AH!$U$12=1,2255+1=AH!$U$6),IF(AH!$U$4=0,"unavailable",INDEX('Market Data'!$AK$5:$AK$66,AH!$U$4)),IF(AH!$U$5=1,INDEX('Live History'!$D$5:$D$3004,MATCH($A2260,'Live History'!$D$5:$D$3004,1)),INDEX('AH History'!$D$5:$GG$1380,$K2260,AH!$U$10+2))),NA()),NA())</f>
        <v/>
      </c>
      <c r="H2260" s="266">
        <f>IFERROR(IF(ISNUMBER($A2260),IF(AND(AH!$U$12=1,2255+1=AH!$U$6),IF(AH!$U$4=0,"unavailable",INDEX('Market Data'!$AP$5:$AP$66,AH!$U$4)),IF(AH!$U$5=1,INDEX('Live History'!$H$5:$H$3004,MATCH($A2260,'Live History'!$G$5:$G$3004,1)),INDEX('AH History'!$B$5:$B$1380,$K2260))),NA()),NA())</f>
        <v/>
      </c>
      <c r="I2260" s="34">
        <f>IFERROR(IF(ISNUMBER($A2260),IF(AND(AH!$U$12=1,2255+1=AH!$U$6),TODAY(),IF(AH!$U$5=1,INDEX('Live History'!$G$5:$G$3004,MATCH($A2260,'Live History'!$G$5:$G$3004,1)),INDEX('AH History'!$C$5:$C$1380,$K2260))),NA()),NA())</f>
        <v/>
      </c>
      <c r="J2260" s="32">
        <f>IFERROR(IF(AND($F2260&gt;0,$H2260&gt;0,$A2260-$G2260&lt;=10,$A2260-$I2260&lt;=5,$G2260&gt;0,$I2260&gt;0),$F2260*$H2260,NA()),NA())</f>
        <v/>
      </c>
      <c r="K2260" s="15">
        <f>IF($A2260="","",IF(AH!$U$5=1,IFERROR(MATCH($A2260,'Live History'!$A$5:$A$3004,0),0),AH!$U$7+2255))</f>
        <v/>
      </c>
      <c r="L2260" s="15">
        <f>IF(ISNUMBER(A2260),TEXT(A2260,"dd-mmm-yy"),"")</f>
        <v/>
      </c>
    </row>
    <row r="2261">
      <c r="A2261" s="14">
        <f>IF(OR(AH!$U$4=0,2256+1&gt;AH!$U$6,AND(AH!$M$5="Bloomberg",AH!$U$5=0)),"",IFERROR(IF(AND(AH!$U$12=1,2256+1=AH!$U$6),TODAY(),IF(AH!$U$5=1,INDEX('Live History'!$A$5:$A$3004,AH!$U$7+2256),INDEX('AH History'!$A$5:$A$1380,AH!$U$7+2256))),""))</f>
        <v/>
      </c>
      <c r="B2261" s="33">
        <f>IFERROR(IF(AH!$U$11=1,NA(),$J2261/$E2261-1),NA())</f>
        <v/>
      </c>
      <c r="C2261" s="269">
        <f>IFERROR(100*$E2261/$E$5,NA())</f>
        <v/>
      </c>
      <c r="D2261" s="269">
        <f>IFERROR(100*$J2261/$J$5,NA())</f>
        <v/>
      </c>
      <c r="E2261" s="32">
        <f>IFERROR(IF(AND(ISNUMBER($A2261),N(IF(AND(AH!$U$12=1,2256+1=AH!$U$6),IF(AH!$U$4=0,"unavailable",INDEX('Market Data'!$AN$5:$AN$66,AH!$U$4)),IF(AH!$U$5=1,INDEX('Live History'!$B$5:$B$3004,$K2261),INDEX('AH History'!$D$5:$GG$1380,$K2261,AH!$U$10))))&gt;0),IF(AND(AH!$U$12=1,2256+1=AH!$U$6),IF(AH!$U$4=0,"unavailable",INDEX('Market Data'!$AN$5:$AN$66,AH!$U$4)),IF(AH!$U$5=1,INDEX('Live History'!$B$5:$B$3004,$K2261),INDEX('AH History'!$D$5:$GG$1380,$K2261,AH!$U$10))),NA()),NA())</f>
        <v/>
      </c>
      <c r="F2261" s="32">
        <f>IFERROR(IF(ISNUMBER($A2261),IF(AND(AH!$U$12=1,2256+1=AH!$U$6),IF(AH!$U$4=0,"unavailable",INDEX('Market Data'!$AO$5:$AO$66,AH!$U$4)),IF(AH!$U$5=1,INDEX('Live History'!$E$5:$E$3004,MATCH($A2261,'Live History'!$D$5:$D$3004,1)),INDEX('AH History'!$D$5:$GG$1380,$K2261,AH!$U$10+1))),NA()),NA())</f>
        <v/>
      </c>
      <c r="G2261" s="34">
        <f>IFERROR(IF(ISNUMBER($A2261),IF(AND(AH!$U$12=1,2256+1=AH!$U$6),IF(AH!$U$4=0,"unavailable",INDEX('Market Data'!$AK$5:$AK$66,AH!$U$4)),IF(AH!$U$5=1,INDEX('Live History'!$D$5:$D$3004,MATCH($A2261,'Live History'!$D$5:$D$3004,1)),INDEX('AH History'!$D$5:$GG$1380,$K2261,AH!$U$10+2))),NA()),NA())</f>
        <v/>
      </c>
      <c r="H2261" s="266">
        <f>IFERROR(IF(ISNUMBER($A2261),IF(AND(AH!$U$12=1,2256+1=AH!$U$6),IF(AH!$U$4=0,"unavailable",INDEX('Market Data'!$AP$5:$AP$66,AH!$U$4)),IF(AH!$U$5=1,INDEX('Live History'!$H$5:$H$3004,MATCH($A2261,'Live History'!$G$5:$G$3004,1)),INDEX('AH History'!$B$5:$B$1380,$K2261))),NA()),NA())</f>
        <v/>
      </c>
      <c r="I2261" s="34">
        <f>IFERROR(IF(ISNUMBER($A2261),IF(AND(AH!$U$12=1,2256+1=AH!$U$6),TODAY(),IF(AH!$U$5=1,INDEX('Live History'!$G$5:$G$3004,MATCH($A2261,'Live History'!$G$5:$G$3004,1)),INDEX('AH History'!$C$5:$C$1380,$K2261))),NA()),NA())</f>
        <v/>
      </c>
      <c r="J2261" s="32">
        <f>IFERROR(IF(AND($F2261&gt;0,$H2261&gt;0,$A2261-$G2261&lt;=10,$A2261-$I2261&lt;=5,$G2261&gt;0,$I2261&gt;0),$F2261*$H2261,NA()),NA())</f>
        <v/>
      </c>
      <c r="K2261" s="15">
        <f>IF($A2261="","",IF(AH!$U$5=1,IFERROR(MATCH($A2261,'Live History'!$A$5:$A$3004,0),0),AH!$U$7+2256))</f>
        <v/>
      </c>
      <c r="L2261" s="15">
        <f>IF(ISNUMBER(A2261),TEXT(A2261,"dd-mmm-yy"),"")</f>
        <v/>
      </c>
    </row>
    <row r="2262">
      <c r="A2262" s="14">
        <f>IF(OR(AH!$U$4=0,2257+1&gt;AH!$U$6,AND(AH!$M$5="Bloomberg",AH!$U$5=0)),"",IFERROR(IF(AND(AH!$U$12=1,2257+1=AH!$U$6),TODAY(),IF(AH!$U$5=1,INDEX('Live History'!$A$5:$A$3004,AH!$U$7+2257),INDEX('AH History'!$A$5:$A$1380,AH!$U$7+2257))),""))</f>
        <v/>
      </c>
      <c r="B2262" s="33">
        <f>IFERROR(IF(AH!$U$11=1,NA(),$J2262/$E2262-1),NA())</f>
        <v/>
      </c>
      <c r="C2262" s="269">
        <f>IFERROR(100*$E2262/$E$5,NA())</f>
        <v/>
      </c>
      <c r="D2262" s="269">
        <f>IFERROR(100*$J2262/$J$5,NA())</f>
        <v/>
      </c>
      <c r="E2262" s="32">
        <f>IFERROR(IF(AND(ISNUMBER($A2262),N(IF(AND(AH!$U$12=1,2257+1=AH!$U$6),IF(AH!$U$4=0,"unavailable",INDEX('Market Data'!$AN$5:$AN$66,AH!$U$4)),IF(AH!$U$5=1,INDEX('Live History'!$B$5:$B$3004,$K2262),INDEX('AH History'!$D$5:$GG$1380,$K2262,AH!$U$10))))&gt;0),IF(AND(AH!$U$12=1,2257+1=AH!$U$6),IF(AH!$U$4=0,"unavailable",INDEX('Market Data'!$AN$5:$AN$66,AH!$U$4)),IF(AH!$U$5=1,INDEX('Live History'!$B$5:$B$3004,$K2262),INDEX('AH History'!$D$5:$GG$1380,$K2262,AH!$U$10))),NA()),NA())</f>
        <v/>
      </c>
      <c r="F2262" s="32">
        <f>IFERROR(IF(ISNUMBER($A2262),IF(AND(AH!$U$12=1,2257+1=AH!$U$6),IF(AH!$U$4=0,"unavailable",INDEX('Market Data'!$AO$5:$AO$66,AH!$U$4)),IF(AH!$U$5=1,INDEX('Live History'!$E$5:$E$3004,MATCH($A2262,'Live History'!$D$5:$D$3004,1)),INDEX('AH History'!$D$5:$GG$1380,$K2262,AH!$U$10+1))),NA()),NA())</f>
        <v/>
      </c>
      <c r="G2262" s="34">
        <f>IFERROR(IF(ISNUMBER($A2262),IF(AND(AH!$U$12=1,2257+1=AH!$U$6),IF(AH!$U$4=0,"unavailable",INDEX('Market Data'!$AK$5:$AK$66,AH!$U$4)),IF(AH!$U$5=1,INDEX('Live History'!$D$5:$D$3004,MATCH($A2262,'Live History'!$D$5:$D$3004,1)),INDEX('AH History'!$D$5:$GG$1380,$K2262,AH!$U$10+2))),NA()),NA())</f>
        <v/>
      </c>
      <c r="H2262" s="266">
        <f>IFERROR(IF(ISNUMBER($A2262),IF(AND(AH!$U$12=1,2257+1=AH!$U$6),IF(AH!$U$4=0,"unavailable",INDEX('Market Data'!$AP$5:$AP$66,AH!$U$4)),IF(AH!$U$5=1,INDEX('Live History'!$H$5:$H$3004,MATCH($A2262,'Live History'!$G$5:$G$3004,1)),INDEX('AH History'!$B$5:$B$1380,$K2262))),NA()),NA())</f>
        <v/>
      </c>
      <c r="I2262" s="34">
        <f>IFERROR(IF(ISNUMBER($A2262),IF(AND(AH!$U$12=1,2257+1=AH!$U$6),TODAY(),IF(AH!$U$5=1,INDEX('Live History'!$G$5:$G$3004,MATCH($A2262,'Live History'!$G$5:$G$3004,1)),INDEX('AH History'!$C$5:$C$1380,$K2262))),NA()),NA())</f>
        <v/>
      </c>
      <c r="J2262" s="32">
        <f>IFERROR(IF(AND($F2262&gt;0,$H2262&gt;0,$A2262-$G2262&lt;=10,$A2262-$I2262&lt;=5,$G2262&gt;0,$I2262&gt;0),$F2262*$H2262,NA()),NA())</f>
        <v/>
      </c>
      <c r="K2262" s="15">
        <f>IF($A2262="","",IF(AH!$U$5=1,IFERROR(MATCH($A2262,'Live History'!$A$5:$A$3004,0),0),AH!$U$7+2257))</f>
        <v/>
      </c>
      <c r="L2262" s="15">
        <f>IF(ISNUMBER(A2262),TEXT(A2262,"dd-mmm-yy"),"")</f>
        <v/>
      </c>
    </row>
    <row r="2263">
      <c r="A2263" s="14">
        <f>IF(OR(AH!$U$4=0,2258+1&gt;AH!$U$6,AND(AH!$M$5="Bloomberg",AH!$U$5=0)),"",IFERROR(IF(AND(AH!$U$12=1,2258+1=AH!$U$6),TODAY(),IF(AH!$U$5=1,INDEX('Live History'!$A$5:$A$3004,AH!$U$7+2258),INDEX('AH History'!$A$5:$A$1380,AH!$U$7+2258))),""))</f>
        <v/>
      </c>
      <c r="B2263" s="33">
        <f>IFERROR(IF(AH!$U$11=1,NA(),$J2263/$E2263-1),NA())</f>
        <v/>
      </c>
      <c r="C2263" s="269">
        <f>IFERROR(100*$E2263/$E$5,NA())</f>
        <v/>
      </c>
      <c r="D2263" s="269">
        <f>IFERROR(100*$J2263/$J$5,NA())</f>
        <v/>
      </c>
      <c r="E2263" s="32">
        <f>IFERROR(IF(AND(ISNUMBER($A2263),N(IF(AND(AH!$U$12=1,2258+1=AH!$U$6),IF(AH!$U$4=0,"unavailable",INDEX('Market Data'!$AN$5:$AN$66,AH!$U$4)),IF(AH!$U$5=1,INDEX('Live History'!$B$5:$B$3004,$K2263),INDEX('AH History'!$D$5:$GG$1380,$K2263,AH!$U$10))))&gt;0),IF(AND(AH!$U$12=1,2258+1=AH!$U$6),IF(AH!$U$4=0,"unavailable",INDEX('Market Data'!$AN$5:$AN$66,AH!$U$4)),IF(AH!$U$5=1,INDEX('Live History'!$B$5:$B$3004,$K2263),INDEX('AH History'!$D$5:$GG$1380,$K2263,AH!$U$10))),NA()),NA())</f>
        <v/>
      </c>
      <c r="F2263" s="32">
        <f>IFERROR(IF(ISNUMBER($A2263),IF(AND(AH!$U$12=1,2258+1=AH!$U$6),IF(AH!$U$4=0,"unavailable",INDEX('Market Data'!$AO$5:$AO$66,AH!$U$4)),IF(AH!$U$5=1,INDEX('Live History'!$E$5:$E$3004,MATCH($A2263,'Live History'!$D$5:$D$3004,1)),INDEX('AH History'!$D$5:$GG$1380,$K2263,AH!$U$10+1))),NA()),NA())</f>
        <v/>
      </c>
      <c r="G2263" s="34">
        <f>IFERROR(IF(ISNUMBER($A2263),IF(AND(AH!$U$12=1,2258+1=AH!$U$6),IF(AH!$U$4=0,"unavailable",INDEX('Market Data'!$AK$5:$AK$66,AH!$U$4)),IF(AH!$U$5=1,INDEX('Live History'!$D$5:$D$3004,MATCH($A2263,'Live History'!$D$5:$D$3004,1)),INDEX('AH History'!$D$5:$GG$1380,$K2263,AH!$U$10+2))),NA()),NA())</f>
        <v/>
      </c>
      <c r="H2263" s="266">
        <f>IFERROR(IF(ISNUMBER($A2263),IF(AND(AH!$U$12=1,2258+1=AH!$U$6),IF(AH!$U$4=0,"unavailable",INDEX('Market Data'!$AP$5:$AP$66,AH!$U$4)),IF(AH!$U$5=1,INDEX('Live History'!$H$5:$H$3004,MATCH($A2263,'Live History'!$G$5:$G$3004,1)),INDEX('AH History'!$B$5:$B$1380,$K2263))),NA()),NA())</f>
        <v/>
      </c>
      <c r="I2263" s="34">
        <f>IFERROR(IF(ISNUMBER($A2263),IF(AND(AH!$U$12=1,2258+1=AH!$U$6),TODAY(),IF(AH!$U$5=1,INDEX('Live History'!$G$5:$G$3004,MATCH($A2263,'Live History'!$G$5:$G$3004,1)),INDEX('AH History'!$C$5:$C$1380,$K2263))),NA()),NA())</f>
        <v/>
      </c>
      <c r="J2263" s="32">
        <f>IFERROR(IF(AND($F2263&gt;0,$H2263&gt;0,$A2263-$G2263&lt;=10,$A2263-$I2263&lt;=5,$G2263&gt;0,$I2263&gt;0),$F2263*$H2263,NA()),NA())</f>
        <v/>
      </c>
      <c r="K2263" s="15">
        <f>IF($A2263="","",IF(AH!$U$5=1,IFERROR(MATCH($A2263,'Live History'!$A$5:$A$3004,0),0),AH!$U$7+2258))</f>
        <v/>
      </c>
      <c r="L2263" s="15">
        <f>IF(ISNUMBER(A2263),TEXT(A2263,"dd-mmm-yy"),"")</f>
        <v/>
      </c>
    </row>
    <row r="2264">
      <c r="A2264" s="14">
        <f>IF(OR(AH!$U$4=0,2259+1&gt;AH!$U$6,AND(AH!$M$5="Bloomberg",AH!$U$5=0)),"",IFERROR(IF(AND(AH!$U$12=1,2259+1=AH!$U$6),TODAY(),IF(AH!$U$5=1,INDEX('Live History'!$A$5:$A$3004,AH!$U$7+2259),INDEX('AH History'!$A$5:$A$1380,AH!$U$7+2259))),""))</f>
        <v/>
      </c>
      <c r="B2264" s="33">
        <f>IFERROR(IF(AH!$U$11=1,NA(),$J2264/$E2264-1),NA())</f>
        <v/>
      </c>
      <c r="C2264" s="269">
        <f>IFERROR(100*$E2264/$E$5,NA())</f>
        <v/>
      </c>
      <c r="D2264" s="269">
        <f>IFERROR(100*$J2264/$J$5,NA())</f>
        <v/>
      </c>
      <c r="E2264" s="32">
        <f>IFERROR(IF(AND(ISNUMBER($A2264),N(IF(AND(AH!$U$12=1,2259+1=AH!$U$6),IF(AH!$U$4=0,"unavailable",INDEX('Market Data'!$AN$5:$AN$66,AH!$U$4)),IF(AH!$U$5=1,INDEX('Live History'!$B$5:$B$3004,$K2264),INDEX('AH History'!$D$5:$GG$1380,$K2264,AH!$U$10))))&gt;0),IF(AND(AH!$U$12=1,2259+1=AH!$U$6),IF(AH!$U$4=0,"unavailable",INDEX('Market Data'!$AN$5:$AN$66,AH!$U$4)),IF(AH!$U$5=1,INDEX('Live History'!$B$5:$B$3004,$K2264),INDEX('AH History'!$D$5:$GG$1380,$K2264,AH!$U$10))),NA()),NA())</f>
        <v/>
      </c>
      <c r="F2264" s="32">
        <f>IFERROR(IF(ISNUMBER($A2264),IF(AND(AH!$U$12=1,2259+1=AH!$U$6),IF(AH!$U$4=0,"unavailable",INDEX('Market Data'!$AO$5:$AO$66,AH!$U$4)),IF(AH!$U$5=1,INDEX('Live History'!$E$5:$E$3004,MATCH($A2264,'Live History'!$D$5:$D$3004,1)),INDEX('AH History'!$D$5:$GG$1380,$K2264,AH!$U$10+1))),NA()),NA())</f>
        <v/>
      </c>
      <c r="G2264" s="34">
        <f>IFERROR(IF(ISNUMBER($A2264),IF(AND(AH!$U$12=1,2259+1=AH!$U$6),IF(AH!$U$4=0,"unavailable",INDEX('Market Data'!$AK$5:$AK$66,AH!$U$4)),IF(AH!$U$5=1,INDEX('Live History'!$D$5:$D$3004,MATCH($A2264,'Live History'!$D$5:$D$3004,1)),INDEX('AH History'!$D$5:$GG$1380,$K2264,AH!$U$10+2))),NA()),NA())</f>
        <v/>
      </c>
      <c r="H2264" s="266">
        <f>IFERROR(IF(ISNUMBER($A2264),IF(AND(AH!$U$12=1,2259+1=AH!$U$6),IF(AH!$U$4=0,"unavailable",INDEX('Market Data'!$AP$5:$AP$66,AH!$U$4)),IF(AH!$U$5=1,INDEX('Live History'!$H$5:$H$3004,MATCH($A2264,'Live History'!$G$5:$G$3004,1)),INDEX('AH History'!$B$5:$B$1380,$K2264))),NA()),NA())</f>
        <v/>
      </c>
      <c r="I2264" s="34">
        <f>IFERROR(IF(ISNUMBER($A2264),IF(AND(AH!$U$12=1,2259+1=AH!$U$6),TODAY(),IF(AH!$U$5=1,INDEX('Live History'!$G$5:$G$3004,MATCH($A2264,'Live History'!$G$5:$G$3004,1)),INDEX('AH History'!$C$5:$C$1380,$K2264))),NA()),NA())</f>
        <v/>
      </c>
      <c r="J2264" s="32">
        <f>IFERROR(IF(AND($F2264&gt;0,$H2264&gt;0,$A2264-$G2264&lt;=10,$A2264-$I2264&lt;=5,$G2264&gt;0,$I2264&gt;0),$F2264*$H2264,NA()),NA())</f>
        <v/>
      </c>
      <c r="K2264" s="15">
        <f>IF($A2264="","",IF(AH!$U$5=1,IFERROR(MATCH($A2264,'Live History'!$A$5:$A$3004,0),0),AH!$U$7+2259))</f>
        <v/>
      </c>
      <c r="L2264" s="15">
        <f>IF(ISNUMBER(A2264),TEXT(A2264,"dd-mmm-yy"),"")</f>
        <v/>
      </c>
    </row>
    <row r="2265">
      <c r="A2265" s="14">
        <f>IF(OR(AH!$U$4=0,2260+1&gt;AH!$U$6,AND(AH!$M$5="Bloomberg",AH!$U$5=0)),"",IFERROR(IF(AND(AH!$U$12=1,2260+1=AH!$U$6),TODAY(),IF(AH!$U$5=1,INDEX('Live History'!$A$5:$A$3004,AH!$U$7+2260),INDEX('AH History'!$A$5:$A$1380,AH!$U$7+2260))),""))</f>
        <v/>
      </c>
      <c r="B2265" s="33">
        <f>IFERROR(IF(AH!$U$11=1,NA(),$J2265/$E2265-1),NA())</f>
        <v/>
      </c>
      <c r="C2265" s="269">
        <f>IFERROR(100*$E2265/$E$5,NA())</f>
        <v/>
      </c>
      <c r="D2265" s="269">
        <f>IFERROR(100*$J2265/$J$5,NA())</f>
        <v/>
      </c>
      <c r="E2265" s="32">
        <f>IFERROR(IF(AND(ISNUMBER($A2265),N(IF(AND(AH!$U$12=1,2260+1=AH!$U$6),IF(AH!$U$4=0,"unavailable",INDEX('Market Data'!$AN$5:$AN$66,AH!$U$4)),IF(AH!$U$5=1,INDEX('Live History'!$B$5:$B$3004,$K2265),INDEX('AH History'!$D$5:$GG$1380,$K2265,AH!$U$10))))&gt;0),IF(AND(AH!$U$12=1,2260+1=AH!$U$6),IF(AH!$U$4=0,"unavailable",INDEX('Market Data'!$AN$5:$AN$66,AH!$U$4)),IF(AH!$U$5=1,INDEX('Live History'!$B$5:$B$3004,$K2265),INDEX('AH History'!$D$5:$GG$1380,$K2265,AH!$U$10))),NA()),NA())</f>
        <v/>
      </c>
      <c r="F2265" s="32">
        <f>IFERROR(IF(ISNUMBER($A2265),IF(AND(AH!$U$12=1,2260+1=AH!$U$6),IF(AH!$U$4=0,"unavailable",INDEX('Market Data'!$AO$5:$AO$66,AH!$U$4)),IF(AH!$U$5=1,INDEX('Live History'!$E$5:$E$3004,MATCH($A2265,'Live History'!$D$5:$D$3004,1)),INDEX('AH History'!$D$5:$GG$1380,$K2265,AH!$U$10+1))),NA()),NA())</f>
        <v/>
      </c>
      <c r="G2265" s="34">
        <f>IFERROR(IF(ISNUMBER($A2265),IF(AND(AH!$U$12=1,2260+1=AH!$U$6),IF(AH!$U$4=0,"unavailable",INDEX('Market Data'!$AK$5:$AK$66,AH!$U$4)),IF(AH!$U$5=1,INDEX('Live History'!$D$5:$D$3004,MATCH($A2265,'Live History'!$D$5:$D$3004,1)),INDEX('AH History'!$D$5:$GG$1380,$K2265,AH!$U$10+2))),NA()),NA())</f>
        <v/>
      </c>
      <c r="H2265" s="266">
        <f>IFERROR(IF(ISNUMBER($A2265),IF(AND(AH!$U$12=1,2260+1=AH!$U$6),IF(AH!$U$4=0,"unavailable",INDEX('Market Data'!$AP$5:$AP$66,AH!$U$4)),IF(AH!$U$5=1,INDEX('Live History'!$H$5:$H$3004,MATCH($A2265,'Live History'!$G$5:$G$3004,1)),INDEX('AH History'!$B$5:$B$1380,$K2265))),NA()),NA())</f>
        <v/>
      </c>
      <c r="I2265" s="34">
        <f>IFERROR(IF(ISNUMBER($A2265),IF(AND(AH!$U$12=1,2260+1=AH!$U$6),TODAY(),IF(AH!$U$5=1,INDEX('Live History'!$G$5:$G$3004,MATCH($A2265,'Live History'!$G$5:$G$3004,1)),INDEX('AH History'!$C$5:$C$1380,$K2265))),NA()),NA())</f>
        <v/>
      </c>
      <c r="J2265" s="32">
        <f>IFERROR(IF(AND($F2265&gt;0,$H2265&gt;0,$A2265-$G2265&lt;=10,$A2265-$I2265&lt;=5,$G2265&gt;0,$I2265&gt;0),$F2265*$H2265,NA()),NA())</f>
        <v/>
      </c>
      <c r="K2265" s="15">
        <f>IF($A2265="","",IF(AH!$U$5=1,IFERROR(MATCH($A2265,'Live History'!$A$5:$A$3004,0),0),AH!$U$7+2260))</f>
        <v/>
      </c>
      <c r="L2265" s="15">
        <f>IF(ISNUMBER(A2265),TEXT(A2265,"dd-mmm-yy"),"")</f>
        <v/>
      </c>
    </row>
    <row r="2266">
      <c r="A2266" s="14">
        <f>IF(OR(AH!$U$4=0,2261+1&gt;AH!$U$6,AND(AH!$M$5="Bloomberg",AH!$U$5=0)),"",IFERROR(IF(AND(AH!$U$12=1,2261+1=AH!$U$6),TODAY(),IF(AH!$U$5=1,INDEX('Live History'!$A$5:$A$3004,AH!$U$7+2261),INDEX('AH History'!$A$5:$A$1380,AH!$U$7+2261))),""))</f>
        <v/>
      </c>
      <c r="B2266" s="33">
        <f>IFERROR(IF(AH!$U$11=1,NA(),$J2266/$E2266-1),NA())</f>
        <v/>
      </c>
      <c r="C2266" s="269">
        <f>IFERROR(100*$E2266/$E$5,NA())</f>
        <v/>
      </c>
      <c r="D2266" s="269">
        <f>IFERROR(100*$J2266/$J$5,NA())</f>
        <v/>
      </c>
      <c r="E2266" s="32">
        <f>IFERROR(IF(AND(ISNUMBER($A2266),N(IF(AND(AH!$U$12=1,2261+1=AH!$U$6),IF(AH!$U$4=0,"unavailable",INDEX('Market Data'!$AN$5:$AN$66,AH!$U$4)),IF(AH!$U$5=1,INDEX('Live History'!$B$5:$B$3004,$K2266),INDEX('AH History'!$D$5:$GG$1380,$K2266,AH!$U$10))))&gt;0),IF(AND(AH!$U$12=1,2261+1=AH!$U$6),IF(AH!$U$4=0,"unavailable",INDEX('Market Data'!$AN$5:$AN$66,AH!$U$4)),IF(AH!$U$5=1,INDEX('Live History'!$B$5:$B$3004,$K2266),INDEX('AH History'!$D$5:$GG$1380,$K2266,AH!$U$10))),NA()),NA())</f>
        <v/>
      </c>
      <c r="F2266" s="32">
        <f>IFERROR(IF(ISNUMBER($A2266),IF(AND(AH!$U$12=1,2261+1=AH!$U$6),IF(AH!$U$4=0,"unavailable",INDEX('Market Data'!$AO$5:$AO$66,AH!$U$4)),IF(AH!$U$5=1,INDEX('Live History'!$E$5:$E$3004,MATCH($A2266,'Live History'!$D$5:$D$3004,1)),INDEX('AH History'!$D$5:$GG$1380,$K2266,AH!$U$10+1))),NA()),NA())</f>
        <v/>
      </c>
      <c r="G2266" s="34">
        <f>IFERROR(IF(ISNUMBER($A2266),IF(AND(AH!$U$12=1,2261+1=AH!$U$6),IF(AH!$U$4=0,"unavailable",INDEX('Market Data'!$AK$5:$AK$66,AH!$U$4)),IF(AH!$U$5=1,INDEX('Live History'!$D$5:$D$3004,MATCH($A2266,'Live History'!$D$5:$D$3004,1)),INDEX('AH History'!$D$5:$GG$1380,$K2266,AH!$U$10+2))),NA()),NA())</f>
        <v/>
      </c>
      <c r="H2266" s="266">
        <f>IFERROR(IF(ISNUMBER($A2266),IF(AND(AH!$U$12=1,2261+1=AH!$U$6),IF(AH!$U$4=0,"unavailable",INDEX('Market Data'!$AP$5:$AP$66,AH!$U$4)),IF(AH!$U$5=1,INDEX('Live History'!$H$5:$H$3004,MATCH($A2266,'Live History'!$G$5:$G$3004,1)),INDEX('AH History'!$B$5:$B$1380,$K2266))),NA()),NA())</f>
        <v/>
      </c>
      <c r="I2266" s="34">
        <f>IFERROR(IF(ISNUMBER($A2266),IF(AND(AH!$U$12=1,2261+1=AH!$U$6),TODAY(),IF(AH!$U$5=1,INDEX('Live History'!$G$5:$G$3004,MATCH($A2266,'Live History'!$G$5:$G$3004,1)),INDEX('AH History'!$C$5:$C$1380,$K2266))),NA()),NA())</f>
        <v/>
      </c>
      <c r="J2266" s="32">
        <f>IFERROR(IF(AND($F2266&gt;0,$H2266&gt;0,$A2266-$G2266&lt;=10,$A2266-$I2266&lt;=5,$G2266&gt;0,$I2266&gt;0),$F2266*$H2266,NA()),NA())</f>
        <v/>
      </c>
      <c r="K2266" s="15">
        <f>IF($A2266="","",IF(AH!$U$5=1,IFERROR(MATCH($A2266,'Live History'!$A$5:$A$3004,0),0),AH!$U$7+2261))</f>
        <v/>
      </c>
      <c r="L2266" s="15">
        <f>IF(ISNUMBER(A2266),TEXT(A2266,"dd-mmm-yy"),"")</f>
        <v/>
      </c>
    </row>
    <row r="2267">
      <c r="A2267" s="14">
        <f>IF(OR(AH!$U$4=0,2262+1&gt;AH!$U$6,AND(AH!$M$5="Bloomberg",AH!$U$5=0)),"",IFERROR(IF(AND(AH!$U$12=1,2262+1=AH!$U$6),TODAY(),IF(AH!$U$5=1,INDEX('Live History'!$A$5:$A$3004,AH!$U$7+2262),INDEX('AH History'!$A$5:$A$1380,AH!$U$7+2262))),""))</f>
        <v/>
      </c>
      <c r="B2267" s="33">
        <f>IFERROR(IF(AH!$U$11=1,NA(),$J2267/$E2267-1),NA())</f>
        <v/>
      </c>
      <c r="C2267" s="269">
        <f>IFERROR(100*$E2267/$E$5,NA())</f>
        <v/>
      </c>
      <c r="D2267" s="269">
        <f>IFERROR(100*$J2267/$J$5,NA())</f>
        <v/>
      </c>
      <c r="E2267" s="32">
        <f>IFERROR(IF(AND(ISNUMBER($A2267),N(IF(AND(AH!$U$12=1,2262+1=AH!$U$6),IF(AH!$U$4=0,"unavailable",INDEX('Market Data'!$AN$5:$AN$66,AH!$U$4)),IF(AH!$U$5=1,INDEX('Live History'!$B$5:$B$3004,$K2267),INDEX('AH History'!$D$5:$GG$1380,$K2267,AH!$U$10))))&gt;0),IF(AND(AH!$U$12=1,2262+1=AH!$U$6),IF(AH!$U$4=0,"unavailable",INDEX('Market Data'!$AN$5:$AN$66,AH!$U$4)),IF(AH!$U$5=1,INDEX('Live History'!$B$5:$B$3004,$K2267),INDEX('AH History'!$D$5:$GG$1380,$K2267,AH!$U$10))),NA()),NA())</f>
        <v/>
      </c>
      <c r="F2267" s="32">
        <f>IFERROR(IF(ISNUMBER($A2267),IF(AND(AH!$U$12=1,2262+1=AH!$U$6),IF(AH!$U$4=0,"unavailable",INDEX('Market Data'!$AO$5:$AO$66,AH!$U$4)),IF(AH!$U$5=1,INDEX('Live History'!$E$5:$E$3004,MATCH($A2267,'Live History'!$D$5:$D$3004,1)),INDEX('AH History'!$D$5:$GG$1380,$K2267,AH!$U$10+1))),NA()),NA())</f>
        <v/>
      </c>
      <c r="G2267" s="34">
        <f>IFERROR(IF(ISNUMBER($A2267),IF(AND(AH!$U$12=1,2262+1=AH!$U$6),IF(AH!$U$4=0,"unavailable",INDEX('Market Data'!$AK$5:$AK$66,AH!$U$4)),IF(AH!$U$5=1,INDEX('Live History'!$D$5:$D$3004,MATCH($A2267,'Live History'!$D$5:$D$3004,1)),INDEX('AH History'!$D$5:$GG$1380,$K2267,AH!$U$10+2))),NA()),NA())</f>
        <v/>
      </c>
      <c r="H2267" s="266">
        <f>IFERROR(IF(ISNUMBER($A2267),IF(AND(AH!$U$12=1,2262+1=AH!$U$6),IF(AH!$U$4=0,"unavailable",INDEX('Market Data'!$AP$5:$AP$66,AH!$U$4)),IF(AH!$U$5=1,INDEX('Live History'!$H$5:$H$3004,MATCH($A2267,'Live History'!$G$5:$G$3004,1)),INDEX('AH History'!$B$5:$B$1380,$K2267))),NA()),NA())</f>
        <v/>
      </c>
      <c r="I2267" s="34">
        <f>IFERROR(IF(ISNUMBER($A2267),IF(AND(AH!$U$12=1,2262+1=AH!$U$6),TODAY(),IF(AH!$U$5=1,INDEX('Live History'!$G$5:$G$3004,MATCH($A2267,'Live History'!$G$5:$G$3004,1)),INDEX('AH History'!$C$5:$C$1380,$K2267))),NA()),NA())</f>
        <v/>
      </c>
      <c r="J2267" s="32">
        <f>IFERROR(IF(AND($F2267&gt;0,$H2267&gt;0,$A2267-$G2267&lt;=10,$A2267-$I2267&lt;=5,$G2267&gt;0,$I2267&gt;0),$F2267*$H2267,NA()),NA())</f>
        <v/>
      </c>
      <c r="K2267" s="15">
        <f>IF($A2267="","",IF(AH!$U$5=1,IFERROR(MATCH($A2267,'Live History'!$A$5:$A$3004,0),0),AH!$U$7+2262))</f>
        <v/>
      </c>
      <c r="L2267" s="15">
        <f>IF(ISNUMBER(A2267),TEXT(A2267,"dd-mmm-yy"),"")</f>
        <v/>
      </c>
    </row>
    <row r="2268">
      <c r="A2268" s="14">
        <f>IF(OR(AH!$U$4=0,2263+1&gt;AH!$U$6,AND(AH!$M$5="Bloomberg",AH!$U$5=0)),"",IFERROR(IF(AND(AH!$U$12=1,2263+1=AH!$U$6),TODAY(),IF(AH!$U$5=1,INDEX('Live History'!$A$5:$A$3004,AH!$U$7+2263),INDEX('AH History'!$A$5:$A$1380,AH!$U$7+2263))),""))</f>
        <v/>
      </c>
      <c r="B2268" s="33">
        <f>IFERROR(IF(AH!$U$11=1,NA(),$J2268/$E2268-1),NA())</f>
        <v/>
      </c>
      <c r="C2268" s="269">
        <f>IFERROR(100*$E2268/$E$5,NA())</f>
        <v/>
      </c>
      <c r="D2268" s="269">
        <f>IFERROR(100*$J2268/$J$5,NA())</f>
        <v/>
      </c>
      <c r="E2268" s="32">
        <f>IFERROR(IF(AND(ISNUMBER($A2268),N(IF(AND(AH!$U$12=1,2263+1=AH!$U$6),IF(AH!$U$4=0,"unavailable",INDEX('Market Data'!$AN$5:$AN$66,AH!$U$4)),IF(AH!$U$5=1,INDEX('Live History'!$B$5:$B$3004,$K2268),INDEX('AH History'!$D$5:$GG$1380,$K2268,AH!$U$10))))&gt;0),IF(AND(AH!$U$12=1,2263+1=AH!$U$6),IF(AH!$U$4=0,"unavailable",INDEX('Market Data'!$AN$5:$AN$66,AH!$U$4)),IF(AH!$U$5=1,INDEX('Live History'!$B$5:$B$3004,$K2268),INDEX('AH History'!$D$5:$GG$1380,$K2268,AH!$U$10))),NA()),NA())</f>
        <v/>
      </c>
      <c r="F2268" s="32">
        <f>IFERROR(IF(ISNUMBER($A2268),IF(AND(AH!$U$12=1,2263+1=AH!$U$6),IF(AH!$U$4=0,"unavailable",INDEX('Market Data'!$AO$5:$AO$66,AH!$U$4)),IF(AH!$U$5=1,INDEX('Live History'!$E$5:$E$3004,MATCH($A2268,'Live History'!$D$5:$D$3004,1)),INDEX('AH History'!$D$5:$GG$1380,$K2268,AH!$U$10+1))),NA()),NA())</f>
        <v/>
      </c>
      <c r="G2268" s="34">
        <f>IFERROR(IF(ISNUMBER($A2268),IF(AND(AH!$U$12=1,2263+1=AH!$U$6),IF(AH!$U$4=0,"unavailable",INDEX('Market Data'!$AK$5:$AK$66,AH!$U$4)),IF(AH!$U$5=1,INDEX('Live History'!$D$5:$D$3004,MATCH($A2268,'Live History'!$D$5:$D$3004,1)),INDEX('AH History'!$D$5:$GG$1380,$K2268,AH!$U$10+2))),NA()),NA())</f>
        <v/>
      </c>
      <c r="H2268" s="266">
        <f>IFERROR(IF(ISNUMBER($A2268),IF(AND(AH!$U$12=1,2263+1=AH!$U$6),IF(AH!$U$4=0,"unavailable",INDEX('Market Data'!$AP$5:$AP$66,AH!$U$4)),IF(AH!$U$5=1,INDEX('Live History'!$H$5:$H$3004,MATCH($A2268,'Live History'!$G$5:$G$3004,1)),INDEX('AH History'!$B$5:$B$1380,$K2268))),NA()),NA())</f>
        <v/>
      </c>
      <c r="I2268" s="34">
        <f>IFERROR(IF(ISNUMBER($A2268),IF(AND(AH!$U$12=1,2263+1=AH!$U$6),TODAY(),IF(AH!$U$5=1,INDEX('Live History'!$G$5:$G$3004,MATCH($A2268,'Live History'!$G$5:$G$3004,1)),INDEX('AH History'!$C$5:$C$1380,$K2268))),NA()),NA())</f>
        <v/>
      </c>
      <c r="J2268" s="32">
        <f>IFERROR(IF(AND($F2268&gt;0,$H2268&gt;0,$A2268-$G2268&lt;=10,$A2268-$I2268&lt;=5,$G2268&gt;0,$I2268&gt;0),$F2268*$H2268,NA()),NA())</f>
        <v/>
      </c>
      <c r="K2268" s="15">
        <f>IF($A2268="","",IF(AH!$U$5=1,IFERROR(MATCH($A2268,'Live History'!$A$5:$A$3004,0),0),AH!$U$7+2263))</f>
        <v/>
      </c>
      <c r="L2268" s="15">
        <f>IF(ISNUMBER(A2268),TEXT(A2268,"dd-mmm-yy"),"")</f>
        <v/>
      </c>
    </row>
    <row r="2269">
      <c r="A2269" s="14">
        <f>IF(OR(AH!$U$4=0,2264+1&gt;AH!$U$6,AND(AH!$M$5="Bloomberg",AH!$U$5=0)),"",IFERROR(IF(AND(AH!$U$12=1,2264+1=AH!$U$6),TODAY(),IF(AH!$U$5=1,INDEX('Live History'!$A$5:$A$3004,AH!$U$7+2264),INDEX('AH History'!$A$5:$A$1380,AH!$U$7+2264))),""))</f>
        <v/>
      </c>
      <c r="B2269" s="33">
        <f>IFERROR(IF(AH!$U$11=1,NA(),$J2269/$E2269-1),NA())</f>
        <v/>
      </c>
      <c r="C2269" s="269">
        <f>IFERROR(100*$E2269/$E$5,NA())</f>
        <v/>
      </c>
      <c r="D2269" s="269">
        <f>IFERROR(100*$J2269/$J$5,NA())</f>
        <v/>
      </c>
      <c r="E2269" s="32">
        <f>IFERROR(IF(AND(ISNUMBER($A2269),N(IF(AND(AH!$U$12=1,2264+1=AH!$U$6),IF(AH!$U$4=0,"unavailable",INDEX('Market Data'!$AN$5:$AN$66,AH!$U$4)),IF(AH!$U$5=1,INDEX('Live History'!$B$5:$B$3004,$K2269),INDEX('AH History'!$D$5:$GG$1380,$K2269,AH!$U$10))))&gt;0),IF(AND(AH!$U$12=1,2264+1=AH!$U$6),IF(AH!$U$4=0,"unavailable",INDEX('Market Data'!$AN$5:$AN$66,AH!$U$4)),IF(AH!$U$5=1,INDEX('Live History'!$B$5:$B$3004,$K2269),INDEX('AH History'!$D$5:$GG$1380,$K2269,AH!$U$10))),NA()),NA())</f>
        <v/>
      </c>
      <c r="F2269" s="32">
        <f>IFERROR(IF(ISNUMBER($A2269),IF(AND(AH!$U$12=1,2264+1=AH!$U$6),IF(AH!$U$4=0,"unavailable",INDEX('Market Data'!$AO$5:$AO$66,AH!$U$4)),IF(AH!$U$5=1,INDEX('Live History'!$E$5:$E$3004,MATCH($A2269,'Live History'!$D$5:$D$3004,1)),INDEX('AH History'!$D$5:$GG$1380,$K2269,AH!$U$10+1))),NA()),NA())</f>
        <v/>
      </c>
      <c r="G2269" s="34">
        <f>IFERROR(IF(ISNUMBER($A2269),IF(AND(AH!$U$12=1,2264+1=AH!$U$6),IF(AH!$U$4=0,"unavailable",INDEX('Market Data'!$AK$5:$AK$66,AH!$U$4)),IF(AH!$U$5=1,INDEX('Live History'!$D$5:$D$3004,MATCH($A2269,'Live History'!$D$5:$D$3004,1)),INDEX('AH History'!$D$5:$GG$1380,$K2269,AH!$U$10+2))),NA()),NA())</f>
        <v/>
      </c>
      <c r="H2269" s="266">
        <f>IFERROR(IF(ISNUMBER($A2269),IF(AND(AH!$U$12=1,2264+1=AH!$U$6),IF(AH!$U$4=0,"unavailable",INDEX('Market Data'!$AP$5:$AP$66,AH!$U$4)),IF(AH!$U$5=1,INDEX('Live History'!$H$5:$H$3004,MATCH($A2269,'Live History'!$G$5:$G$3004,1)),INDEX('AH History'!$B$5:$B$1380,$K2269))),NA()),NA())</f>
        <v/>
      </c>
      <c r="I2269" s="34">
        <f>IFERROR(IF(ISNUMBER($A2269),IF(AND(AH!$U$12=1,2264+1=AH!$U$6),TODAY(),IF(AH!$U$5=1,INDEX('Live History'!$G$5:$G$3004,MATCH($A2269,'Live History'!$G$5:$G$3004,1)),INDEX('AH History'!$C$5:$C$1380,$K2269))),NA()),NA())</f>
        <v/>
      </c>
      <c r="J2269" s="32">
        <f>IFERROR(IF(AND($F2269&gt;0,$H2269&gt;0,$A2269-$G2269&lt;=10,$A2269-$I2269&lt;=5,$G2269&gt;0,$I2269&gt;0),$F2269*$H2269,NA()),NA())</f>
        <v/>
      </c>
      <c r="K2269" s="15">
        <f>IF($A2269="","",IF(AH!$U$5=1,IFERROR(MATCH($A2269,'Live History'!$A$5:$A$3004,0),0),AH!$U$7+2264))</f>
        <v/>
      </c>
      <c r="L2269" s="15">
        <f>IF(ISNUMBER(A2269),TEXT(A2269,"dd-mmm-yy"),"")</f>
        <v/>
      </c>
    </row>
    <row r="2270">
      <c r="A2270" s="14">
        <f>IF(OR(AH!$U$4=0,2265+1&gt;AH!$U$6,AND(AH!$M$5="Bloomberg",AH!$U$5=0)),"",IFERROR(IF(AND(AH!$U$12=1,2265+1=AH!$U$6),TODAY(),IF(AH!$U$5=1,INDEX('Live History'!$A$5:$A$3004,AH!$U$7+2265),INDEX('AH History'!$A$5:$A$1380,AH!$U$7+2265))),""))</f>
        <v/>
      </c>
      <c r="B2270" s="33">
        <f>IFERROR(IF(AH!$U$11=1,NA(),$J2270/$E2270-1),NA())</f>
        <v/>
      </c>
      <c r="C2270" s="269">
        <f>IFERROR(100*$E2270/$E$5,NA())</f>
        <v/>
      </c>
      <c r="D2270" s="269">
        <f>IFERROR(100*$J2270/$J$5,NA())</f>
        <v/>
      </c>
      <c r="E2270" s="32">
        <f>IFERROR(IF(AND(ISNUMBER($A2270),N(IF(AND(AH!$U$12=1,2265+1=AH!$U$6),IF(AH!$U$4=0,"unavailable",INDEX('Market Data'!$AN$5:$AN$66,AH!$U$4)),IF(AH!$U$5=1,INDEX('Live History'!$B$5:$B$3004,$K2270),INDEX('AH History'!$D$5:$GG$1380,$K2270,AH!$U$10))))&gt;0),IF(AND(AH!$U$12=1,2265+1=AH!$U$6),IF(AH!$U$4=0,"unavailable",INDEX('Market Data'!$AN$5:$AN$66,AH!$U$4)),IF(AH!$U$5=1,INDEX('Live History'!$B$5:$B$3004,$K2270),INDEX('AH History'!$D$5:$GG$1380,$K2270,AH!$U$10))),NA()),NA())</f>
        <v/>
      </c>
      <c r="F2270" s="32">
        <f>IFERROR(IF(ISNUMBER($A2270),IF(AND(AH!$U$12=1,2265+1=AH!$U$6),IF(AH!$U$4=0,"unavailable",INDEX('Market Data'!$AO$5:$AO$66,AH!$U$4)),IF(AH!$U$5=1,INDEX('Live History'!$E$5:$E$3004,MATCH($A2270,'Live History'!$D$5:$D$3004,1)),INDEX('AH History'!$D$5:$GG$1380,$K2270,AH!$U$10+1))),NA()),NA())</f>
        <v/>
      </c>
      <c r="G2270" s="34">
        <f>IFERROR(IF(ISNUMBER($A2270),IF(AND(AH!$U$12=1,2265+1=AH!$U$6),IF(AH!$U$4=0,"unavailable",INDEX('Market Data'!$AK$5:$AK$66,AH!$U$4)),IF(AH!$U$5=1,INDEX('Live History'!$D$5:$D$3004,MATCH($A2270,'Live History'!$D$5:$D$3004,1)),INDEX('AH History'!$D$5:$GG$1380,$K2270,AH!$U$10+2))),NA()),NA())</f>
        <v/>
      </c>
      <c r="H2270" s="266">
        <f>IFERROR(IF(ISNUMBER($A2270),IF(AND(AH!$U$12=1,2265+1=AH!$U$6),IF(AH!$U$4=0,"unavailable",INDEX('Market Data'!$AP$5:$AP$66,AH!$U$4)),IF(AH!$U$5=1,INDEX('Live History'!$H$5:$H$3004,MATCH($A2270,'Live History'!$G$5:$G$3004,1)),INDEX('AH History'!$B$5:$B$1380,$K2270))),NA()),NA())</f>
        <v/>
      </c>
      <c r="I2270" s="34">
        <f>IFERROR(IF(ISNUMBER($A2270),IF(AND(AH!$U$12=1,2265+1=AH!$U$6),TODAY(),IF(AH!$U$5=1,INDEX('Live History'!$G$5:$G$3004,MATCH($A2270,'Live History'!$G$5:$G$3004,1)),INDEX('AH History'!$C$5:$C$1380,$K2270))),NA()),NA())</f>
        <v/>
      </c>
      <c r="J2270" s="32">
        <f>IFERROR(IF(AND($F2270&gt;0,$H2270&gt;0,$A2270-$G2270&lt;=10,$A2270-$I2270&lt;=5,$G2270&gt;0,$I2270&gt;0),$F2270*$H2270,NA()),NA())</f>
        <v/>
      </c>
      <c r="K2270" s="15">
        <f>IF($A2270="","",IF(AH!$U$5=1,IFERROR(MATCH($A2270,'Live History'!$A$5:$A$3004,0),0),AH!$U$7+2265))</f>
        <v/>
      </c>
      <c r="L2270" s="15">
        <f>IF(ISNUMBER(A2270),TEXT(A2270,"dd-mmm-yy"),"")</f>
        <v/>
      </c>
    </row>
    <row r="2271">
      <c r="A2271" s="14">
        <f>IF(OR(AH!$U$4=0,2266+1&gt;AH!$U$6,AND(AH!$M$5="Bloomberg",AH!$U$5=0)),"",IFERROR(IF(AND(AH!$U$12=1,2266+1=AH!$U$6),TODAY(),IF(AH!$U$5=1,INDEX('Live History'!$A$5:$A$3004,AH!$U$7+2266),INDEX('AH History'!$A$5:$A$1380,AH!$U$7+2266))),""))</f>
        <v/>
      </c>
      <c r="B2271" s="33">
        <f>IFERROR(IF(AH!$U$11=1,NA(),$J2271/$E2271-1),NA())</f>
        <v/>
      </c>
      <c r="C2271" s="269">
        <f>IFERROR(100*$E2271/$E$5,NA())</f>
        <v/>
      </c>
      <c r="D2271" s="269">
        <f>IFERROR(100*$J2271/$J$5,NA())</f>
        <v/>
      </c>
      <c r="E2271" s="32">
        <f>IFERROR(IF(AND(ISNUMBER($A2271),N(IF(AND(AH!$U$12=1,2266+1=AH!$U$6),IF(AH!$U$4=0,"unavailable",INDEX('Market Data'!$AN$5:$AN$66,AH!$U$4)),IF(AH!$U$5=1,INDEX('Live History'!$B$5:$B$3004,$K2271),INDEX('AH History'!$D$5:$GG$1380,$K2271,AH!$U$10))))&gt;0),IF(AND(AH!$U$12=1,2266+1=AH!$U$6),IF(AH!$U$4=0,"unavailable",INDEX('Market Data'!$AN$5:$AN$66,AH!$U$4)),IF(AH!$U$5=1,INDEX('Live History'!$B$5:$B$3004,$K2271),INDEX('AH History'!$D$5:$GG$1380,$K2271,AH!$U$10))),NA()),NA())</f>
        <v/>
      </c>
      <c r="F2271" s="32">
        <f>IFERROR(IF(ISNUMBER($A2271),IF(AND(AH!$U$12=1,2266+1=AH!$U$6),IF(AH!$U$4=0,"unavailable",INDEX('Market Data'!$AO$5:$AO$66,AH!$U$4)),IF(AH!$U$5=1,INDEX('Live History'!$E$5:$E$3004,MATCH($A2271,'Live History'!$D$5:$D$3004,1)),INDEX('AH History'!$D$5:$GG$1380,$K2271,AH!$U$10+1))),NA()),NA())</f>
        <v/>
      </c>
      <c r="G2271" s="34">
        <f>IFERROR(IF(ISNUMBER($A2271),IF(AND(AH!$U$12=1,2266+1=AH!$U$6),IF(AH!$U$4=0,"unavailable",INDEX('Market Data'!$AK$5:$AK$66,AH!$U$4)),IF(AH!$U$5=1,INDEX('Live History'!$D$5:$D$3004,MATCH($A2271,'Live History'!$D$5:$D$3004,1)),INDEX('AH History'!$D$5:$GG$1380,$K2271,AH!$U$10+2))),NA()),NA())</f>
        <v/>
      </c>
      <c r="H2271" s="266">
        <f>IFERROR(IF(ISNUMBER($A2271),IF(AND(AH!$U$12=1,2266+1=AH!$U$6),IF(AH!$U$4=0,"unavailable",INDEX('Market Data'!$AP$5:$AP$66,AH!$U$4)),IF(AH!$U$5=1,INDEX('Live History'!$H$5:$H$3004,MATCH($A2271,'Live History'!$G$5:$G$3004,1)),INDEX('AH History'!$B$5:$B$1380,$K2271))),NA()),NA())</f>
        <v/>
      </c>
      <c r="I2271" s="34">
        <f>IFERROR(IF(ISNUMBER($A2271),IF(AND(AH!$U$12=1,2266+1=AH!$U$6),TODAY(),IF(AH!$U$5=1,INDEX('Live History'!$G$5:$G$3004,MATCH($A2271,'Live History'!$G$5:$G$3004,1)),INDEX('AH History'!$C$5:$C$1380,$K2271))),NA()),NA())</f>
        <v/>
      </c>
      <c r="J2271" s="32">
        <f>IFERROR(IF(AND($F2271&gt;0,$H2271&gt;0,$A2271-$G2271&lt;=10,$A2271-$I2271&lt;=5,$G2271&gt;0,$I2271&gt;0),$F2271*$H2271,NA()),NA())</f>
        <v/>
      </c>
      <c r="K2271" s="15">
        <f>IF($A2271="","",IF(AH!$U$5=1,IFERROR(MATCH($A2271,'Live History'!$A$5:$A$3004,0),0),AH!$U$7+2266))</f>
        <v/>
      </c>
      <c r="L2271" s="15">
        <f>IF(ISNUMBER(A2271),TEXT(A2271,"dd-mmm-yy"),"")</f>
        <v/>
      </c>
    </row>
    <row r="2272">
      <c r="A2272" s="14">
        <f>IF(OR(AH!$U$4=0,2267+1&gt;AH!$U$6,AND(AH!$M$5="Bloomberg",AH!$U$5=0)),"",IFERROR(IF(AND(AH!$U$12=1,2267+1=AH!$U$6),TODAY(),IF(AH!$U$5=1,INDEX('Live History'!$A$5:$A$3004,AH!$U$7+2267),INDEX('AH History'!$A$5:$A$1380,AH!$U$7+2267))),""))</f>
        <v/>
      </c>
      <c r="B2272" s="33">
        <f>IFERROR(IF(AH!$U$11=1,NA(),$J2272/$E2272-1),NA())</f>
        <v/>
      </c>
      <c r="C2272" s="269">
        <f>IFERROR(100*$E2272/$E$5,NA())</f>
        <v/>
      </c>
      <c r="D2272" s="269">
        <f>IFERROR(100*$J2272/$J$5,NA())</f>
        <v/>
      </c>
      <c r="E2272" s="32">
        <f>IFERROR(IF(AND(ISNUMBER($A2272),N(IF(AND(AH!$U$12=1,2267+1=AH!$U$6),IF(AH!$U$4=0,"unavailable",INDEX('Market Data'!$AN$5:$AN$66,AH!$U$4)),IF(AH!$U$5=1,INDEX('Live History'!$B$5:$B$3004,$K2272),INDEX('AH History'!$D$5:$GG$1380,$K2272,AH!$U$10))))&gt;0),IF(AND(AH!$U$12=1,2267+1=AH!$U$6),IF(AH!$U$4=0,"unavailable",INDEX('Market Data'!$AN$5:$AN$66,AH!$U$4)),IF(AH!$U$5=1,INDEX('Live History'!$B$5:$B$3004,$K2272),INDEX('AH History'!$D$5:$GG$1380,$K2272,AH!$U$10))),NA()),NA())</f>
        <v/>
      </c>
      <c r="F2272" s="32">
        <f>IFERROR(IF(ISNUMBER($A2272),IF(AND(AH!$U$12=1,2267+1=AH!$U$6),IF(AH!$U$4=0,"unavailable",INDEX('Market Data'!$AO$5:$AO$66,AH!$U$4)),IF(AH!$U$5=1,INDEX('Live History'!$E$5:$E$3004,MATCH($A2272,'Live History'!$D$5:$D$3004,1)),INDEX('AH History'!$D$5:$GG$1380,$K2272,AH!$U$10+1))),NA()),NA())</f>
        <v/>
      </c>
      <c r="G2272" s="34">
        <f>IFERROR(IF(ISNUMBER($A2272),IF(AND(AH!$U$12=1,2267+1=AH!$U$6),IF(AH!$U$4=0,"unavailable",INDEX('Market Data'!$AK$5:$AK$66,AH!$U$4)),IF(AH!$U$5=1,INDEX('Live History'!$D$5:$D$3004,MATCH($A2272,'Live History'!$D$5:$D$3004,1)),INDEX('AH History'!$D$5:$GG$1380,$K2272,AH!$U$10+2))),NA()),NA())</f>
        <v/>
      </c>
      <c r="H2272" s="266">
        <f>IFERROR(IF(ISNUMBER($A2272),IF(AND(AH!$U$12=1,2267+1=AH!$U$6),IF(AH!$U$4=0,"unavailable",INDEX('Market Data'!$AP$5:$AP$66,AH!$U$4)),IF(AH!$U$5=1,INDEX('Live History'!$H$5:$H$3004,MATCH($A2272,'Live History'!$G$5:$G$3004,1)),INDEX('AH History'!$B$5:$B$1380,$K2272))),NA()),NA())</f>
        <v/>
      </c>
      <c r="I2272" s="34">
        <f>IFERROR(IF(ISNUMBER($A2272),IF(AND(AH!$U$12=1,2267+1=AH!$U$6),TODAY(),IF(AH!$U$5=1,INDEX('Live History'!$G$5:$G$3004,MATCH($A2272,'Live History'!$G$5:$G$3004,1)),INDEX('AH History'!$C$5:$C$1380,$K2272))),NA()),NA())</f>
        <v/>
      </c>
      <c r="J2272" s="32">
        <f>IFERROR(IF(AND($F2272&gt;0,$H2272&gt;0,$A2272-$G2272&lt;=10,$A2272-$I2272&lt;=5,$G2272&gt;0,$I2272&gt;0),$F2272*$H2272,NA()),NA())</f>
        <v/>
      </c>
      <c r="K2272" s="15">
        <f>IF($A2272="","",IF(AH!$U$5=1,IFERROR(MATCH($A2272,'Live History'!$A$5:$A$3004,0),0),AH!$U$7+2267))</f>
        <v/>
      </c>
      <c r="L2272" s="15">
        <f>IF(ISNUMBER(A2272),TEXT(A2272,"dd-mmm-yy"),"")</f>
        <v/>
      </c>
    </row>
    <row r="2273">
      <c r="A2273" s="14">
        <f>IF(OR(AH!$U$4=0,2268+1&gt;AH!$U$6,AND(AH!$M$5="Bloomberg",AH!$U$5=0)),"",IFERROR(IF(AND(AH!$U$12=1,2268+1=AH!$U$6),TODAY(),IF(AH!$U$5=1,INDEX('Live History'!$A$5:$A$3004,AH!$U$7+2268),INDEX('AH History'!$A$5:$A$1380,AH!$U$7+2268))),""))</f>
        <v/>
      </c>
      <c r="B2273" s="33">
        <f>IFERROR(IF(AH!$U$11=1,NA(),$J2273/$E2273-1),NA())</f>
        <v/>
      </c>
      <c r="C2273" s="269">
        <f>IFERROR(100*$E2273/$E$5,NA())</f>
        <v/>
      </c>
      <c r="D2273" s="269">
        <f>IFERROR(100*$J2273/$J$5,NA())</f>
        <v/>
      </c>
      <c r="E2273" s="32">
        <f>IFERROR(IF(AND(ISNUMBER($A2273),N(IF(AND(AH!$U$12=1,2268+1=AH!$U$6),IF(AH!$U$4=0,"unavailable",INDEX('Market Data'!$AN$5:$AN$66,AH!$U$4)),IF(AH!$U$5=1,INDEX('Live History'!$B$5:$B$3004,$K2273),INDEX('AH History'!$D$5:$GG$1380,$K2273,AH!$U$10))))&gt;0),IF(AND(AH!$U$12=1,2268+1=AH!$U$6),IF(AH!$U$4=0,"unavailable",INDEX('Market Data'!$AN$5:$AN$66,AH!$U$4)),IF(AH!$U$5=1,INDEX('Live History'!$B$5:$B$3004,$K2273),INDEX('AH History'!$D$5:$GG$1380,$K2273,AH!$U$10))),NA()),NA())</f>
        <v/>
      </c>
      <c r="F2273" s="32">
        <f>IFERROR(IF(ISNUMBER($A2273),IF(AND(AH!$U$12=1,2268+1=AH!$U$6),IF(AH!$U$4=0,"unavailable",INDEX('Market Data'!$AO$5:$AO$66,AH!$U$4)),IF(AH!$U$5=1,INDEX('Live History'!$E$5:$E$3004,MATCH($A2273,'Live History'!$D$5:$D$3004,1)),INDEX('AH History'!$D$5:$GG$1380,$K2273,AH!$U$10+1))),NA()),NA())</f>
        <v/>
      </c>
      <c r="G2273" s="34">
        <f>IFERROR(IF(ISNUMBER($A2273),IF(AND(AH!$U$12=1,2268+1=AH!$U$6),IF(AH!$U$4=0,"unavailable",INDEX('Market Data'!$AK$5:$AK$66,AH!$U$4)),IF(AH!$U$5=1,INDEX('Live History'!$D$5:$D$3004,MATCH($A2273,'Live History'!$D$5:$D$3004,1)),INDEX('AH History'!$D$5:$GG$1380,$K2273,AH!$U$10+2))),NA()),NA())</f>
        <v/>
      </c>
      <c r="H2273" s="266">
        <f>IFERROR(IF(ISNUMBER($A2273),IF(AND(AH!$U$12=1,2268+1=AH!$U$6),IF(AH!$U$4=0,"unavailable",INDEX('Market Data'!$AP$5:$AP$66,AH!$U$4)),IF(AH!$U$5=1,INDEX('Live History'!$H$5:$H$3004,MATCH($A2273,'Live History'!$G$5:$G$3004,1)),INDEX('AH History'!$B$5:$B$1380,$K2273))),NA()),NA())</f>
        <v/>
      </c>
      <c r="I2273" s="34">
        <f>IFERROR(IF(ISNUMBER($A2273),IF(AND(AH!$U$12=1,2268+1=AH!$U$6),TODAY(),IF(AH!$U$5=1,INDEX('Live History'!$G$5:$G$3004,MATCH($A2273,'Live History'!$G$5:$G$3004,1)),INDEX('AH History'!$C$5:$C$1380,$K2273))),NA()),NA())</f>
        <v/>
      </c>
      <c r="J2273" s="32">
        <f>IFERROR(IF(AND($F2273&gt;0,$H2273&gt;0,$A2273-$G2273&lt;=10,$A2273-$I2273&lt;=5,$G2273&gt;0,$I2273&gt;0),$F2273*$H2273,NA()),NA())</f>
        <v/>
      </c>
      <c r="K2273" s="15">
        <f>IF($A2273="","",IF(AH!$U$5=1,IFERROR(MATCH($A2273,'Live History'!$A$5:$A$3004,0),0),AH!$U$7+2268))</f>
        <v/>
      </c>
      <c r="L2273" s="15">
        <f>IF(ISNUMBER(A2273),TEXT(A2273,"dd-mmm-yy"),"")</f>
        <v/>
      </c>
    </row>
    <row r="2274">
      <c r="A2274" s="14">
        <f>IF(OR(AH!$U$4=0,2269+1&gt;AH!$U$6,AND(AH!$M$5="Bloomberg",AH!$U$5=0)),"",IFERROR(IF(AND(AH!$U$12=1,2269+1=AH!$U$6),TODAY(),IF(AH!$U$5=1,INDEX('Live History'!$A$5:$A$3004,AH!$U$7+2269),INDEX('AH History'!$A$5:$A$1380,AH!$U$7+2269))),""))</f>
        <v/>
      </c>
      <c r="B2274" s="33">
        <f>IFERROR(IF(AH!$U$11=1,NA(),$J2274/$E2274-1),NA())</f>
        <v/>
      </c>
      <c r="C2274" s="269">
        <f>IFERROR(100*$E2274/$E$5,NA())</f>
        <v/>
      </c>
      <c r="D2274" s="269">
        <f>IFERROR(100*$J2274/$J$5,NA())</f>
        <v/>
      </c>
      <c r="E2274" s="32">
        <f>IFERROR(IF(AND(ISNUMBER($A2274),N(IF(AND(AH!$U$12=1,2269+1=AH!$U$6),IF(AH!$U$4=0,"unavailable",INDEX('Market Data'!$AN$5:$AN$66,AH!$U$4)),IF(AH!$U$5=1,INDEX('Live History'!$B$5:$B$3004,$K2274),INDEX('AH History'!$D$5:$GG$1380,$K2274,AH!$U$10))))&gt;0),IF(AND(AH!$U$12=1,2269+1=AH!$U$6),IF(AH!$U$4=0,"unavailable",INDEX('Market Data'!$AN$5:$AN$66,AH!$U$4)),IF(AH!$U$5=1,INDEX('Live History'!$B$5:$B$3004,$K2274),INDEX('AH History'!$D$5:$GG$1380,$K2274,AH!$U$10))),NA()),NA())</f>
        <v/>
      </c>
      <c r="F2274" s="32">
        <f>IFERROR(IF(ISNUMBER($A2274),IF(AND(AH!$U$12=1,2269+1=AH!$U$6),IF(AH!$U$4=0,"unavailable",INDEX('Market Data'!$AO$5:$AO$66,AH!$U$4)),IF(AH!$U$5=1,INDEX('Live History'!$E$5:$E$3004,MATCH($A2274,'Live History'!$D$5:$D$3004,1)),INDEX('AH History'!$D$5:$GG$1380,$K2274,AH!$U$10+1))),NA()),NA())</f>
        <v/>
      </c>
      <c r="G2274" s="34">
        <f>IFERROR(IF(ISNUMBER($A2274),IF(AND(AH!$U$12=1,2269+1=AH!$U$6),IF(AH!$U$4=0,"unavailable",INDEX('Market Data'!$AK$5:$AK$66,AH!$U$4)),IF(AH!$U$5=1,INDEX('Live History'!$D$5:$D$3004,MATCH($A2274,'Live History'!$D$5:$D$3004,1)),INDEX('AH History'!$D$5:$GG$1380,$K2274,AH!$U$10+2))),NA()),NA())</f>
        <v/>
      </c>
      <c r="H2274" s="266">
        <f>IFERROR(IF(ISNUMBER($A2274),IF(AND(AH!$U$12=1,2269+1=AH!$U$6),IF(AH!$U$4=0,"unavailable",INDEX('Market Data'!$AP$5:$AP$66,AH!$U$4)),IF(AH!$U$5=1,INDEX('Live History'!$H$5:$H$3004,MATCH($A2274,'Live History'!$G$5:$G$3004,1)),INDEX('AH History'!$B$5:$B$1380,$K2274))),NA()),NA())</f>
        <v/>
      </c>
      <c r="I2274" s="34">
        <f>IFERROR(IF(ISNUMBER($A2274),IF(AND(AH!$U$12=1,2269+1=AH!$U$6),TODAY(),IF(AH!$U$5=1,INDEX('Live History'!$G$5:$G$3004,MATCH($A2274,'Live History'!$G$5:$G$3004,1)),INDEX('AH History'!$C$5:$C$1380,$K2274))),NA()),NA())</f>
        <v/>
      </c>
      <c r="J2274" s="32">
        <f>IFERROR(IF(AND($F2274&gt;0,$H2274&gt;0,$A2274-$G2274&lt;=10,$A2274-$I2274&lt;=5,$G2274&gt;0,$I2274&gt;0),$F2274*$H2274,NA()),NA())</f>
        <v/>
      </c>
      <c r="K2274" s="15">
        <f>IF($A2274="","",IF(AH!$U$5=1,IFERROR(MATCH($A2274,'Live History'!$A$5:$A$3004,0),0),AH!$U$7+2269))</f>
        <v/>
      </c>
      <c r="L2274" s="15">
        <f>IF(ISNUMBER(A2274),TEXT(A2274,"dd-mmm-yy"),"")</f>
        <v/>
      </c>
    </row>
    <row r="2275">
      <c r="A2275" s="14">
        <f>IF(OR(AH!$U$4=0,2270+1&gt;AH!$U$6,AND(AH!$M$5="Bloomberg",AH!$U$5=0)),"",IFERROR(IF(AND(AH!$U$12=1,2270+1=AH!$U$6),TODAY(),IF(AH!$U$5=1,INDEX('Live History'!$A$5:$A$3004,AH!$U$7+2270),INDEX('AH History'!$A$5:$A$1380,AH!$U$7+2270))),""))</f>
        <v/>
      </c>
      <c r="B2275" s="33">
        <f>IFERROR(IF(AH!$U$11=1,NA(),$J2275/$E2275-1),NA())</f>
        <v/>
      </c>
      <c r="C2275" s="269">
        <f>IFERROR(100*$E2275/$E$5,NA())</f>
        <v/>
      </c>
      <c r="D2275" s="269">
        <f>IFERROR(100*$J2275/$J$5,NA())</f>
        <v/>
      </c>
      <c r="E2275" s="32">
        <f>IFERROR(IF(AND(ISNUMBER($A2275),N(IF(AND(AH!$U$12=1,2270+1=AH!$U$6),IF(AH!$U$4=0,"unavailable",INDEX('Market Data'!$AN$5:$AN$66,AH!$U$4)),IF(AH!$U$5=1,INDEX('Live History'!$B$5:$B$3004,$K2275),INDEX('AH History'!$D$5:$GG$1380,$K2275,AH!$U$10))))&gt;0),IF(AND(AH!$U$12=1,2270+1=AH!$U$6),IF(AH!$U$4=0,"unavailable",INDEX('Market Data'!$AN$5:$AN$66,AH!$U$4)),IF(AH!$U$5=1,INDEX('Live History'!$B$5:$B$3004,$K2275),INDEX('AH History'!$D$5:$GG$1380,$K2275,AH!$U$10))),NA()),NA())</f>
        <v/>
      </c>
      <c r="F2275" s="32">
        <f>IFERROR(IF(ISNUMBER($A2275),IF(AND(AH!$U$12=1,2270+1=AH!$U$6),IF(AH!$U$4=0,"unavailable",INDEX('Market Data'!$AO$5:$AO$66,AH!$U$4)),IF(AH!$U$5=1,INDEX('Live History'!$E$5:$E$3004,MATCH($A2275,'Live History'!$D$5:$D$3004,1)),INDEX('AH History'!$D$5:$GG$1380,$K2275,AH!$U$10+1))),NA()),NA())</f>
        <v/>
      </c>
      <c r="G2275" s="34">
        <f>IFERROR(IF(ISNUMBER($A2275),IF(AND(AH!$U$12=1,2270+1=AH!$U$6),IF(AH!$U$4=0,"unavailable",INDEX('Market Data'!$AK$5:$AK$66,AH!$U$4)),IF(AH!$U$5=1,INDEX('Live History'!$D$5:$D$3004,MATCH($A2275,'Live History'!$D$5:$D$3004,1)),INDEX('AH History'!$D$5:$GG$1380,$K2275,AH!$U$10+2))),NA()),NA())</f>
        <v/>
      </c>
      <c r="H2275" s="266">
        <f>IFERROR(IF(ISNUMBER($A2275),IF(AND(AH!$U$12=1,2270+1=AH!$U$6),IF(AH!$U$4=0,"unavailable",INDEX('Market Data'!$AP$5:$AP$66,AH!$U$4)),IF(AH!$U$5=1,INDEX('Live History'!$H$5:$H$3004,MATCH($A2275,'Live History'!$G$5:$G$3004,1)),INDEX('AH History'!$B$5:$B$1380,$K2275))),NA()),NA())</f>
        <v/>
      </c>
      <c r="I2275" s="34">
        <f>IFERROR(IF(ISNUMBER($A2275),IF(AND(AH!$U$12=1,2270+1=AH!$U$6),TODAY(),IF(AH!$U$5=1,INDEX('Live History'!$G$5:$G$3004,MATCH($A2275,'Live History'!$G$5:$G$3004,1)),INDEX('AH History'!$C$5:$C$1380,$K2275))),NA()),NA())</f>
        <v/>
      </c>
      <c r="J2275" s="32">
        <f>IFERROR(IF(AND($F2275&gt;0,$H2275&gt;0,$A2275-$G2275&lt;=10,$A2275-$I2275&lt;=5,$G2275&gt;0,$I2275&gt;0),$F2275*$H2275,NA()),NA())</f>
        <v/>
      </c>
      <c r="K2275" s="15">
        <f>IF($A2275="","",IF(AH!$U$5=1,IFERROR(MATCH($A2275,'Live History'!$A$5:$A$3004,0),0),AH!$U$7+2270))</f>
        <v/>
      </c>
      <c r="L2275" s="15">
        <f>IF(ISNUMBER(A2275),TEXT(A2275,"dd-mmm-yy"),"")</f>
        <v/>
      </c>
    </row>
    <row r="2276">
      <c r="A2276" s="14">
        <f>IF(OR(AH!$U$4=0,2271+1&gt;AH!$U$6,AND(AH!$M$5="Bloomberg",AH!$U$5=0)),"",IFERROR(IF(AND(AH!$U$12=1,2271+1=AH!$U$6),TODAY(),IF(AH!$U$5=1,INDEX('Live History'!$A$5:$A$3004,AH!$U$7+2271),INDEX('AH History'!$A$5:$A$1380,AH!$U$7+2271))),""))</f>
        <v/>
      </c>
      <c r="B2276" s="33">
        <f>IFERROR(IF(AH!$U$11=1,NA(),$J2276/$E2276-1),NA())</f>
        <v/>
      </c>
      <c r="C2276" s="269">
        <f>IFERROR(100*$E2276/$E$5,NA())</f>
        <v/>
      </c>
      <c r="D2276" s="269">
        <f>IFERROR(100*$J2276/$J$5,NA())</f>
        <v/>
      </c>
      <c r="E2276" s="32">
        <f>IFERROR(IF(AND(ISNUMBER($A2276),N(IF(AND(AH!$U$12=1,2271+1=AH!$U$6),IF(AH!$U$4=0,"unavailable",INDEX('Market Data'!$AN$5:$AN$66,AH!$U$4)),IF(AH!$U$5=1,INDEX('Live History'!$B$5:$B$3004,$K2276),INDEX('AH History'!$D$5:$GG$1380,$K2276,AH!$U$10))))&gt;0),IF(AND(AH!$U$12=1,2271+1=AH!$U$6),IF(AH!$U$4=0,"unavailable",INDEX('Market Data'!$AN$5:$AN$66,AH!$U$4)),IF(AH!$U$5=1,INDEX('Live History'!$B$5:$B$3004,$K2276),INDEX('AH History'!$D$5:$GG$1380,$K2276,AH!$U$10))),NA()),NA())</f>
        <v/>
      </c>
      <c r="F2276" s="32">
        <f>IFERROR(IF(ISNUMBER($A2276),IF(AND(AH!$U$12=1,2271+1=AH!$U$6),IF(AH!$U$4=0,"unavailable",INDEX('Market Data'!$AO$5:$AO$66,AH!$U$4)),IF(AH!$U$5=1,INDEX('Live History'!$E$5:$E$3004,MATCH($A2276,'Live History'!$D$5:$D$3004,1)),INDEX('AH History'!$D$5:$GG$1380,$K2276,AH!$U$10+1))),NA()),NA())</f>
        <v/>
      </c>
      <c r="G2276" s="34">
        <f>IFERROR(IF(ISNUMBER($A2276),IF(AND(AH!$U$12=1,2271+1=AH!$U$6),IF(AH!$U$4=0,"unavailable",INDEX('Market Data'!$AK$5:$AK$66,AH!$U$4)),IF(AH!$U$5=1,INDEX('Live History'!$D$5:$D$3004,MATCH($A2276,'Live History'!$D$5:$D$3004,1)),INDEX('AH History'!$D$5:$GG$1380,$K2276,AH!$U$10+2))),NA()),NA())</f>
        <v/>
      </c>
      <c r="H2276" s="266">
        <f>IFERROR(IF(ISNUMBER($A2276),IF(AND(AH!$U$12=1,2271+1=AH!$U$6),IF(AH!$U$4=0,"unavailable",INDEX('Market Data'!$AP$5:$AP$66,AH!$U$4)),IF(AH!$U$5=1,INDEX('Live History'!$H$5:$H$3004,MATCH($A2276,'Live History'!$G$5:$G$3004,1)),INDEX('AH History'!$B$5:$B$1380,$K2276))),NA()),NA())</f>
        <v/>
      </c>
      <c r="I2276" s="34">
        <f>IFERROR(IF(ISNUMBER($A2276),IF(AND(AH!$U$12=1,2271+1=AH!$U$6),TODAY(),IF(AH!$U$5=1,INDEX('Live History'!$G$5:$G$3004,MATCH($A2276,'Live History'!$G$5:$G$3004,1)),INDEX('AH History'!$C$5:$C$1380,$K2276))),NA()),NA())</f>
        <v/>
      </c>
      <c r="J2276" s="32">
        <f>IFERROR(IF(AND($F2276&gt;0,$H2276&gt;0,$A2276-$G2276&lt;=10,$A2276-$I2276&lt;=5,$G2276&gt;0,$I2276&gt;0),$F2276*$H2276,NA()),NA())</f>
        <v/>
      </c>
      <c r="K2276" s="15">
        <f>IF($A2276="","",IF(AH!$U$5=1,IFERROR(MATCH($A2276,'Live History'!$A$5:$A$3004,0),0),AH!$U$7+2271))</f>
        <v/>
      </c>
      <c r="L2276" s="15">
        <f>IF(ISNUMBER(A2276),TEXT(A2276,"dd-mmm-yy"),"")</f>
        <v/>
      </c>
    </row>
    <row r="2277">
      <c r="A2277" s="14">
        <f>IF(OR(AH!$U$4=0,2272+1&gt;AH!$U$6,AND(AH!$M$5="Bloomberg",AH!$U$5=0)),"",IFERROR(IF(AND(AH!$U$12=1,2272+1=AH!$U$6),TODAY(),IF(AH!$U$5=1,INDEX('Live History'!$A$5:$A$3004,AH!$U$7+2272),INDEX('AH History'!$A$5:$A$1380,AH!$U$7+2272))),""))</f>
        <v/>
      </c>
      <c r="B2277" s="33">
        <f>IFERROR(IF(AH!$U$11=1,NA(),$J2277/$E2277-1),NA())</f>
        <v/>
      </c>
      <c r="C2277" s="269">
        <f>IFERROR(100*$E2277/$E$5,NA())</f>
        <v/>
      </c>
      <c r="D2277" s="269">
        <f>IFERROR(100*$J2277/$J$5,NA())</f>
        <v/>
      </c>
      <c r="E2277" s="32">
        <f>IFERROR(IF(AND(ISNUMBER($A2277),N(IF(AND(AH!$U$12=1,2272+1=AH!$U$6),IF(AH!$U$4=0,"unavailable",INDEX('Market Data'!$AN$5:$AN$66,AH!$U$4)),IF(AH!$U$5=1,INDEX('Live History'!$B$5:$B$3004,$K2277),INDEX('AH History'!$D$5:$GG$1380,$K2277,AH!$U$10))))&gt;0),IF(AND(AH!$U$12=1,2272+1=AH!$U$6),IF(AH!$U$4=0,"unavailable",INDEX('Market Data'!$AN$5:$AN$66,AH!$U$4)),IF(AH!$U$5=1,INDEX('Live History'!$B$5:$B$3004,$K2277),INDEX('AH History'!$D$5:$GG$1380,$K2277,AH!$U$10))),NA()),NA())</f>
        <v/>
      </c>
      <c r="F2277" s="32">
        <f>IFERROR(IF(ISNUMBER($A2277),IF(AND(AH!$U$12=1,2272+1=AH!$U$6),IF(AH!$U$4=0,"unavailable",INDEX('Market Data'!$AO$5:$AO$66,AH!$U$4)),IF(AH!$U$5=1,INDEX('Live History'!$E$5:$E$3004,MATCH($A2277,'Live History'!$D$5:$D$3004,1)),INDEX('AH History'!$D$5:$GG$1380,$K2277,AH!$U$10+1))),NA()),NA())</f>
        <v/>
      </c>
      <c r="G2277" s="34">
        <f>IFERROR(IF(ISNUMBER($A2277),IF(AND(AH!$U$12=1,2272+1=AH!$U$6),IF(AH!$U$4=0,"unavailable",INDEX('Market Data'!$AK$5:$AK$66,AH!$U$4)),IF(AH!$U$5=1,INDEX('Live History'!$D$5:$D$3004,MATCH($A2277,'Live History'!$D$5:$D$3004,1)),INDEX('AH History'!$D$5:$GG$1380,$K2277,AH!$U$10+2))),NA()),NA())</f>
        <v/>
      </c>
      <c r="H2277" s="266">
        <f>IFERROR(IF(ISNUMBER($A2277),IF(AND(AH!$U$12=1,2272+1=AH!$U$6),IF(AH!$U$4=0,"unavailable",INDEX('Market Data'!$AP$5:$AP$66,AH!$U$4)),IF(AH!$U$5=1,INDEX('Live History'!$H$5:$H$3004,MATCH($A2277,'Live History'!$G$5:$G$3004,1)),INDEX('AH History'!$B$5:$B$1380,$K2277))),NA()),NA())</f>
        <v/>
      </c>
      <c r="I2277" s="34">
        <f>IFERROR(IF(ISNUMBER($A2277),IF(AND(AH!$U$12=1,2272+1=AH!$U$6),TODAY(),IF(AH!$U$5=1,INDEX('Live History'!$G$5:$G$3004,MATCH($A2277,'Live History'!$G$5:$G$3004,1)),INDEX('AH History'!$C$5:$C$1380,$K2277))),NA()),NA())</f>
        <v/>
      </c>
      <c r="J2277" s="32">
        <f>IFERROR(IF(AND($F2277&gt;0,$H2277&gt;0,$A2277-$G2277&lt;=10,$A2277-$I2277&lt;=5,$G2277&gt;0,$I2277&gt;0),$F2277*$H2277,NA()),NA())</f>
        <v/>
      </c>
      <c r="K2277" s="15">
        <f>IF($A2277="","",IF(AH!$U$5=1,IFERROR(MATCH($A2277,'Live History'!$A$5:$A$3004,0),0),AH!$U$7+2272))</f>
        <v/>
      </c>
      <c r="L2277" s="15">
        <f>IF(ISNUMBER(A2277),TEXT(A2277,"dd-mmm-yy"),"")</f>
        <v/>
      </c>
    </row>
    <row r="2278">
      <c r="A2278" s="14">
        <f>IF(OR(AH!$U$4=0,2273+1&gt;AH!$U$6,AND(AH!$M$5="Bloomberg",AH!$U$5=0)),"",IFERROR(IF(AND(AH!$U$12=1,2273+1=AH!$U$6),TODAY(),IF(AH!$U$5=1,INDEX('Live History'!$A$5:$A$3004,AH!$U$7+2273),INDEX('AH History'!$A$5:$A$1380,AH!$U$7+2273))),""))</f>
        <v/>
      </c>
      <c r="B2278" s="33">
        <f>IFERROR(IF(AH!$U$11=1,NA(),$J2278/$E2278-1),NA())</f>
        <v/>
      </c>
      <c r="C2278" s="269">
        <f>IFERROR(100*$E2278/$E$5,NA())</f>
        <v/>
      </c>
      <c r="D2278" s="269">
        <f>IFERROR(100*$J2278/$J$5,NA())</f>
        <v/>
      </c>
      <c r="E2278" s="32">
        <f>IFERROR(IF(AND(ISNUMBER($A2278),N(IF(AND(AH!$U$12=1,2273+1=AH!$U$6),IF(AH!$U$4=0,"unavailable",INDEX('Market Data'!$AN$5:$AN$66,AH!$U$4)),IF(AH!$U$5=1,INDEX('Live History'!$B$5:$B$3004,$K2278),INDEX('AH History'!$D$5:$GG$1380,$K2278,AH!$U$10))))&gt;0),IF(AND(AH!$U$12=1,2273+1=AH!$U$6),IF(AH!$U$4=0,"unavailable",INDEX('Market Data'!$AN$5:$AN$66,AH!$U$4)),IF(AH!$U$5=1,INDEX('Live History'!$B$5:$B$3004,$K2278),INDEX('AH History'!$D$5:$GG$1380,$K2278,AH!$U$10))),NA()),NA())</f>
        <v/>
      </c>
      <c r="F2278" s="32">
        <f>IFERROR(IF(ISNUMBER($A2278),IF(AND(AH!$U$12=1,2273+1=AH!$U$6),IF(AH!$U$4=0,"unavailable",INDEX('Market Data'!$AO$5:$AO$66,AH!$U$4)),IF(AH!$U$5=1,INDEX('Live History'!$E$5:$E$3004,MATCH($A2278,'Live History'!$D$5:$D$3004,1)),INDEX('AH History'!$D$5:$GG$1380,$K2278,AH!$U$10+1))),NA()),NA())</f>
        <v/>
      </c>
      <c r="G2278" s="34">
        <f>IFERROR(IF(ISNUMBER($A2278),IF(AND(AH!$U$12=1,2273+1=AH!$U$6),IF(AH!$U$4=0,"unavailable",INDEX('Market Data'!$AK$5:$AK$66,AH!$U$4)),IF(AH!$U$5=1,INDEX('Live History'!$D$5:$D$3004,MATCH($A2278,'Live History'!$D$5:$D$3004,1)),INDEX('AH History'!$D$5:$GG$1380,$K2278,AH!$U$10+2))),NA()),NA())</f>
        <v/>
      </c>
      <c r="H2278" s="266">
        <f>IFERROR(IF(ISNUMBER($A2278),IF(AND(AH!$U$12=1,2273+1=AH!$U$6),IF(AH!$U$4=0,"unavailable",INDEX('Market Data'!$AP$5:$AP$66,AH!$U$4)),IF(AH!$U$5=1,INDEX('Live History'!$H$5:$H$3004,MATCH($A2278,'Live History'!$G$5:$G$3004,1)),INDEX('AH History'!$B$5:$B$1380,$K2278))),NA()),NA())</f>
        <v/>
      </c>
      <c r="I2278" s="34">
        <f>IFERROR(IF(ISNUMBER($A2278),IF(AND(AH!$U$12=1,2273+1=AH!$U$6),TODAY(),IF(AH!$U$5=1,INDEX('Live History'!$G$5:$G$3004,MATCH($A2278,'Live History'!$G$5:$G$3004,1)),INDEX('AH History'!$C$5:$C$1380,$K2278))),NA()),NA())</f>
        <v/>
      </c>
      <c r="J2278" s="32">
        <f>IFERROR(IF(AND($F2278&gt;0,$H2278&gt;0,$A2278-$G2278&lt;=10,$A2278-$I2278&lt;=5,$G2278&gt;0,$I2278&gt;0),$F2278*$H2278,NA()),NA())</f>
        <v/>
      </c>
      <c r="K2278" s="15">
        <f>IF($A2278="","",IF(AH!$U$5=1,IFERROR(MATCH($A2278,'Live History'!$A$5:$A$3004,0),0),AH!$U$7+2273))</f>
        <v/>
      </c>
      <c r="L2278" s="15">
        <f>IF(ISNUMBER(A2278),TEXT(A2278,"dd-mmm-yy"),"")</f>
        <v/>
      </c>
    </row>
    <row r="2279">
      <c r="A2279" s="14">
        <f>IF(OR(AH!$U$4=0,2274+1&gt;AH!$U$6,AND(AH!$M$5="Bloomberg",AH!$U$5=0)),"",IFERROR(IF(AND(AH!$U$12=1,2274+1=AH!$U$6),TODAY(),IF(AH!$U$5=1,INDEX('Live History'!$A$5:$A$3004,AH!$U$7+2274),INDEX('AH History'!$A$5:$A$1380,AH!$U$7+2274))),""))</f>
        <v/>
      </c>
      <c r="B2279" s="33">
        <f>IFERROR(IF(AH!$U$11=1,NA(),$J2279/$E2279-1),NA())</f>
        <v/>
      </c>
      <c r="C2279" s="269">
        <f>IFERROR(100*$E2279/$E$5,NA())</f>
        <v/>
      </c>
      <c r="D2279" s="269">
        <f>IFERROR(100*$J2279/$J$5,NA())</f>
        <v/>
      </c>
      <c r="E2279" s="32">
        <f>IFERROR(IF(AND(ISNUMBER($A2279),N(IF(AND(AH!$U$12=1,2274+1=AH!$U$6),IF(AH!$U$4=0,"unavailable",INDEX('Market Data'!$AN$5:$AN$66,AH!$U$4)),IF(AH!$U$5=1,INDEX('Live History'!$B$5:$B$3004,$K2279),INDEX('AH History'!$D$5:$GG$1380,$K2279,AH!$U$10))))&gt;0),IF(AND(AH!$U$12=1,2274+1=AH!$U$6),IF(AH!$U$4=0,"unavailable",INDEX('Market Data'!$AN$5:$AN$66,AH!$U$4)),IF(AH!$U$5=1,INDEX('Live History'!$B$5:$B$3004,$K2279),INDEX('AH History'!$D$5:$GG$1380,$K2279,AH!$U$10))),NA()),NA())</f>
        <v/>
      </c>
      <c r="F2279" s="32">
        <f>IFERROR(IF(ISNUMBER($A2279),IF(AND(AH!$U$12=1,2274+1=AH!$U$6),IF(AH!$U$4=0,"unavailable",INDEX('Market Data'!$AO$5:$AO$66,AH!$U$4)),IF(AH!$U$5=1,INDEX('Live History'!$E$5:$E$3004,MATCH($A2279,'Live History'!$D$5:$D$3004,1)),INDEX('AH History'!$D$5:$GG$1380,$K2279,AH!$U$10+1))),NA()),NA())</f>
        <v/>
      </c>
      <c r="G2279" s="34">
        <f>IFERROR(IF(ISNUMBER($A2279),IF(AND(AH!$U$12=1,2274+1=AH!$U$6),IF(AH!$U$4=0,"unavailable",INDEX('Market Data'!$AK$5:$AK$66,AH!$U$4)),IF(AH!$U$5=1,INDEX('Live History'!$D$5:$D$3004,MATCH($A2279,'Live History'!$D$5:$D$3004,1)),INDEX('AH History'!$D$5:$GG$1380,$K2279,AH!$U$10+2))),NA()),NA())</f>
        <v/>
      </c>
      <c r="H2279" s="266">
        <f>IFERROR(IF(ISNUMBER($A2279),IF(AND(AH!$U$12=1,2274+1=AH!$U$6),IF(AH!$U$4=0,"unavailable",INDEX('Market Data'!$AP$5:$AP$66,AH!$U$4)),IF(AH!$U$5=1,INDEX('Live History'!$H$5:$H$3004,MATCH($A2279,'Live History'!$G$5:$G$3004,1)),INDEX('AH History'!$B$5:$B$1380,$K2279))),NA()),NA())</f>
        <v/>
      </c>
      <c r="I2279" s="34">
        <f>IFERROR(IF(ISNUMBER($A2279),IF(AND(AH!$U$12=1,2274+1=AH!$U$6),TODAY(),IF(AH!$U$5=1,INDEX('Live History'!$G$5:$G$3004,MATCH($A2279,'Live History'!$G$5:$G$3004,1)),INDEX('AH History'!$C$5:$C$1380,$K2279))),NA()),NA())</f>
        <v/>
      </c>
      <c r="J2279" s="32">
        <f>IFERROR(IF(AND($F2279&gt;0,$H2279&gt;0,$A2279-$G2279&lt;=10,$A2279-$I2279&lt;=5,$G2279&gt;0,$I2279&gt;0),$F2279*$H2279,NA()),NA())</f>
        <v/>
      </c>
      <c r="K2279" s="15">
        <f>IF($A2279="","",IF(AH!$U$5=1,IFERROR(MATCH($A2279,'Live History'!$A$5:$A$3004,0),0),AH!$U$7+2274))</f>
        <v/>
      </c>
      <c r="L2279" s="15">
        <f>IF(ISNUMBER(A2279),TEXT(A2279,"dd-mmm-yy"),"")</f>
        <v/>
      </c>
    </row>
    <row r="2280">
      <c r="A2280" s="14">
        <f>IF(OR(AH!$U$4=0,2275+1&gt;AH!$U$6,AND(AH!$M$5="Bloomberg",AH!$U$5=0)),"",IFERROR(IF(AND(AH!$U$12=1,2275+1=AH!$U$6),TODAY(),IF(AH!$U$5=1,INDEX('Live History'!$A$5:$A$3004,AH!$U$7+2275),INDEX('AH History'!$A$5:$A$1380,AH!$U$7+2275))),""))</f>
        <v/>
      </c>
      <c r="B2280" s="33">
        <f>IFERROR(IF(AH!$U$11=1,NA(),$J2280/$E2280-1),NA())</f>
        <v/>
      </c>
      <c r="C2280" s="269">
        <f>IFERROR(100*$E2280/$E$5,NA())</f>
        <v/>
      </c>
      <c r="D2280" s="269">
        <f>IFERROR(100*$J2280/$J$5,NA())</f>
        <v/>
      </c>
      <c r="E2280" s="32">
        <f>IFERROR(IF(AND(ISNUMBER($A2280),N(IF(AND(AH!$U$12=1,2275+1=AH!$U$6),IF(AH!$U$4=0,"unavailable",INDEX('Market Data'!$AN$5:$AN$66,AH!$U$4)),IF(AH!$U$5=1,INDEX('Live History'!$B$5:$B$3004,$K2280),INDEX('AH History'!$D$5:$GG$1380,$K2280,AH!$U$10))))&gt;0),IF(AND(AH!$U$12=1,2275+1=AH!$U$6),IF(AH!$U$4=0,"unavailable",INDEX('Market Data'!$AN$5:$AN$66,AH!$U$4)),IF(AH!$U$5=1,INDEX('Live History'!$B$5:$B$3004,$K2280),INDEX('AH History'!$D$5:$GG$1380,$K2280,AH!$U$10))),NA()),NA())</f>
        <v/>
      </c>
      <c r="F2280" s="32">
        <f>IFERROR(IF(ISNUMBER($A2280),IF(AND(AH!$U$12=1,2275+1=AH!$U$6),IF(AH!$U$4=0,"unavailable",INDEX('Market Data'!$AO$5:$AO$66,AH!$U$4)),IF(AH!$U$5=1,INDEX('Live History'!$E$5:$E$3004,MATCH($A2280,'Live History'!$D$5:$D$3004,1)),INDEX('AH History'!$D$5:$GG$1380,$K2280,AH!$U$10+1))),NA()),NA())</f>
        <v/>
      </c>
      <c r="G2280" s="34">
        <f>IFERROR(IF(ISNUMBER($A2280),IF(AND(AH!$U$12=1,2275+1=AH!$U$6),IF(AH!$U$4=0,"unavailable",INDEX('Market Data'!$AK$5:$AK$66,AH!$U$4)),IF(AH!$U$5=1,INDEX('Live History'!$D$5:$D$3004,MATCH($A2280,'Live History'!$D$5:$D$3004,1)),INDEX('AH History'!$D$5:$GG$1380,$K2280,AH!$U$10+2))),NA()),NA())</f>
        <v/>
      </c>
      <c r="H2280" s="266">
        <f>IFERROR(IF(ISNUMBER($A2280),IF(AND(AH!$U$12=1,2275+1=AH!$U$6),IF(AH!$U$4=0,"unavailable",INDEX('Market Data'!$AP$5:$AP$66,AH!$U$4)),IF(AH!$U$5=1,INDEX('Live History'!$H$5:$H$3004,MATCH($A2280,'Live History'!$G$5:$G$3004,1)),INDEX('AH History'!$B$5:$B$1380,$K2280))),NA()),NA())</f>
        <v/>
      </c>
      <c r="I2280" s="34">
        <f>IFERROR(IF(ISNUMBER($A2280),IF(AND(AH!$U$12=1,2275+1=AH!$U$6),TODAY(),IF(AH!$U$5=1,INDEX('Live History'!$G$5:$G$3004,MATCH($A2280,'Live History'!$G$5:$G$3004,1)),INDEX('AH History'!$C$5:$C$1380,$K2280))),NA()),NA())</f>
        <v/>
      </c>
      <c r="J2280" s="32">
        <f>IFERROR(IF(AND($F2280&gt;0,$H2280&gt;0,$A2280-$G2280&lt;=10,$A2280-$I2280&lt;=5,$G2280&gt;0,$I2280&gt;0),$F2280*$H2280,NA()),NA())</f>
        <v/>
      </c>
      <c r="K2280" s="15">
        <f>IF($A2280="","",IF(AH!$U$5=1,IFERROR(MATCH($A2280,'Live History'!$A$5:$A$3004,0),0),AH!$U$7+2275))</f>
        <v/>
      </c>
      <c r="L2280" s="15">
        <f>IF(ISNUMBER(A2280),TEXT(A2280,"dd-mmm-yy"),"")</f>
        <v/>
      </c>
    </row>
    <row r="2281">
      <c r="A2281" s="14">
        <f>IF(OR(AH!$U$4=0,2276+1&gt;AH!$U$6,AND(AH!$M$5="Bloomberg",AH!$U$5=0)),"",IFERROR(IF(AND(AH!$U$12=1,2276+1=AH!$U$6),TODAY(),IF(AH!$U$5=1,INDEX('Live History'!$A$5:$A$3004,AH!$U$7+2276),INDEX('AH History'!$A$5:$A$1380,AH!$U$7+2276))),""))</f>
        <v/>
      </c>
      <c r="B2281" s="33">
        <f>IFERROR(IF(AH!$U$11=1,NA(),$J2281/$E2281-1),NA())</f>
        <v/>
      </c>
      <c r="C2281" s="269">
        <f>IFERROR(100*$E2281/$E$5,NA())</f>
        <v/>
      </c>
      <c r="D2281" s="269">
        <f>IFERROR(100*$J2281/$J$5,NA())</f>
        <v/>
      </c>
      <c r="E2281" s="32">
        <f>IFERROR(IF(AND(ISNUMBER($A2281),N(IF(AND(AH!$U$12=1,2276+1=AH!$U$6),IF(AH!$U$4=0,"unavailable",INDEX('Market Data'!$AN$5:$AN$66,AH!$U$4)),IF(AH!$U$5=1,INDEX('Live History'!$B$5:$B$3004,$K2281),INDEX('AH History'!$D$5:$GG$1380,$K2281,AH!$U$10))))&gt;0),IF(AND(AH!$U$12=1,2276+1=AH!$U$6),IF(AH!$U$4=0,"unavailable",INDEX('Market Data'!$AN$5:$AN$66,AH!$U$4)),IF(AH!$U$5=1,INDEX('Live History'!$B$5:$B$3004,$K2281),INDEX('AH History'!$D$5:$GG$1380,$K2281,AH!$U$10))),NA()),NA())</f>
        <v/>
      </c>
      <c r="F2281" s="32">
        <f>IFERROR(IF(ISNUMBER($A2281),IF(AND(AH!$U$12=1,2276+1=AH!$U$6),IF(AH!$U$4=0,"unavailable",INDEX('Market Data'!$AO$5:$AO$66,AH!$U$4)),IF(AH!$U$5=1,INDEX('Live History'!$E$5:$E$3004,MATCH($A2281,'Live History'!$D$5:$D$3004,1)),INDEX('AH History'!$D$5:$GG$1380,$K2281,AH!$U$10+1))),NA()),NA())</f>
        <v/>
      </c>
      <c r="G2281" s="34">
        <f>IFERROR(IF(ISNUMBER($A2281),IF(AND(AH!$U$12=1,2276+1=AH!$U$6),IF(AH!$U$4=0,"unavailable",INDEX('Market Data'!$AK$5:$AK$66,AH!$U$4)),IF(AH!$U$5=1,INDEX('Live History'!$D$5:$D$3004,MATCH($A2281,'Live History'!$D$5:$D$3004,1)),INDEX('AH History'!$D$5:$GG$1380,$K2281,AH!$U$10+2))),NA()),NA())</f>
        <v/>
      </c>
      <c r="H2281" s="266">
        <f>IFERROR(IF(ISNUMBER($A2281),IF(AND(AH!$U$12=1,2276+1=AH!$U$6),IF(AH!$U$4=0,"unavailable",INDEX('Market Data'!$AP$5:$AP$66,AH!$U$4)),IF(AH!$U$5=1,INDEX('Live History'!$H$5:$H$3004,MATCH($A2281,'Live History'!$G$5:$G$3004,1)),INDEX('AH History'!$B$5:$B$1380,$K2281))),NA()),NA())</f>
        <v/>
      </c>
      <c r="I2281" s="34">
        <f>IFERROR(IF(ISNUMBER($A2281),IF(AND(AH!$U$12=1,2276+1=AH!$U$6),TODAY(),IF(AH!$U$5=1,INDEX('Live History'!$G$5:$G$3004,MATCH($A2281,'Live History'!$G$5:$G$3004,1)),INDEX('AH History'!$C$5:$C$1380,$K2281))),NA()),NA())</f>
        <v/>
      </c>
      <c r="J2281" s="32">
        <f>IFERROR(IF(AND($F2281&gt;0,$H2281&gt;0,$A2281-$G2281&lt;=10,$A2281-$I2281&lt;=5,$G2281&gt;0,$I2281&gt;0),$F2281*$H2281,NA()),NA())</f>
        <v/>
      </c>
      <c r="K2281" s="15">
        <f>IF($A2281="","",IF(AH!$U$5=1,IFERROR(MATCH($A2281,'Live History'!$A$5:$A$3004,0),0),AH!$U$7+2276))</f>
        <v/>
      </c>
      <c r="L2281" s="15">
        <f>IF(ISNUMBER(A2281),TEXT(A2281,"dd-mmm-yy"),"")</f>
        <v/>
      </c>
    </row>
    <row r="2282">
      <c r="A2282" s="14">
        <f>IF(OR(AH!$U$4=0,2277+1&gt;AH!$U$6,AND(AH!$M$5="Bloomberg",AH!$U$5=0)),"",IFERROR(IF(AND(AH!$U$12=1,2277+1=AH!$U$6),TODAY(),IF(AH!$U$5=1,INDEX('Live History'!$A$5:$A$3004,AH!$U$7+2277),INDEX('AH History'!$A$5:$A$1380,AH!$U$7+2277))),""))</f>
        <v/>
      </c>
      <c r="B2282" s="33">
        <f>IFERROR(IF(AH!$U$11=1,NA(),$J2282/$E2282-1),NA())</f>
        <v/>
      </c>
      <c r="C2282" s="269">
        <f>IFERROR(100*$E2282/$E$5,NA())</f>
        <v/>
      </c>
      <c r="D2282" s="269">
        <f>IFERROR(100*$J2282/$J$5,NA())</f>
        <v/>
      </c>
      <c r="E2282" s="32">
        <f>IFERROR(IF(AND(ISNUMBER($A2282),N(IF(AND(AH!$U$12=1,2277+1=AH!$U$6),IF(AH!$U$4=0,"unavailable",INDEX('Market Data'!$AN$5:$AN$66,AH!$U$4)),IF(AH!$U$5=1,INDEX('Live History'!$B$5:$B$3004,$K2282),INDEX('AH History'!$D$5:$GG$1380,$K2282,AH!$U$10))))&gt;0),IF(AND(AH!$U$12=1,2277+1=AH!$U$6),IF(AH!$U$4=0,"unavailable",INDEX('Market Data'!$AN$5:$AN$66,AH!$U$4)),IF(AH!$U$5=1,INDEX('Live History'!$B$5:$B$3004,$K2282),INDEX('AH History'!$D$5:$GG$1380,$K2282,AH!$U$10))),NA()),NA())</f>
        <v/>
      </c>
      <c r="F2282" s="32">
        <f>IFERROR(IF(ISNUMBER($A2282),IF(AND(AH!$U$12=1,2277+1=AH!$U$6),IF(AH!$U$4=0,"unavailable",INDEX('Market Data'!$AO$5:$AO$66,AH!$U$4)),IF(AH!$U$5=1,INDEX('Live History'!$E$5:$E$3004,MATCH($A2282,'Live History'!$D$5:$D$3004,1)),INDEX('AH History'!$D$5:$GG$1380,$K2282,AH!$U$10+1))),NA()),NA())</f>
        <v/>
      </c>
      <c r="G2282" s="34">
        <f>IFERROR(IF(ISNUMBER($A2282),IF(AND(AH!$U$12=1,2277+1=AH!$U$6),IF(AH!$U$4=0,"unavailable",INDEX('Market Data'!$AK$5:$AK$66,AH!$U$4)),IF(AH!$U$5=1,INDEX('Live History'!$D$5:$D$3004,MATCH($A2282,'Live History'!$D$5:$D$3004,1)),INDEX('AH History'!$D$5:$GG$1380,$K2282,AH!$U$10+2))),NA()),NA())</f>
        <v/>
      </c>
      <c r="H2282" s="266">
        <f>IFERROR(IF(ISNUMBER($A2282),IF(AND(AH!$U$12=1,2277+1=AH!$U$6),IF(AH!$U$4=0,"unavailable",INDEX('Market Data'!$AP$5:$AP$66,AH!$U$4)),IF(AH!$U$5=1,INDEX('Live History'!$H$5:$H$3004,MATCH($A2282,'Live History'!$G$5:$G$3004,1)),INDEX('AH History'!$B$5:$B$1380,$K2282))),NA()),NA())</f>
        <v/>
      </c>
      <c r="I2282" s="34">
        <f>IFERROR(IF(ISNUMBER($A2282),IF(AND(AH!$U$12=1,2277+1=AH!$U$6),TODAY(),IF(AH!$U$5=1,INDEX('Live History'!$G$5:$G$3004,MATCH($A2282,'Live History'!$G$5:$G$3004,1)),INDEX('AH History'!$C$5:$C$1380,$K2282))),NA()),NA())</f>
        <v/>
      </c>
      <c r="J2282" s="32">
        <f>IFERROR(IF(AND($F2282&gt;0,$H2282&gt;0,$A2282-$G2282&lt;=10,$A2282-$I2282&lt;=5,$G2282&gt;0,$I2282&gt;0),$F2282*$H2282,NA()),NA())</f>
        <v/>
      </c>
      <c r="K2282" s="15">
        <f>IF($A2282="","",IF(AH!$U$5=1,IFERROR(MATCH($A2282,'Live History'!$A$5:$A$3004,0),0),AH!$U$7+2277))</f>
        <v/>
      </c>
      <c r="L2282" s="15">
        <f>IF(ISNUMBER(A2282),TEXT(A2282,"dd-mmm-yy"),"")</f>
        <v/>
      </c>
    </row>
    <row r="2283">
      <c r="A2283" s="14">
        <f>IF(OR(AH!$U$4=0,2278+1&gt;AH!$U$6,AND(AH!$M$5="Bloomberg",AH!$U$5=0)),"",IFERROR(IF(AND(AH!$U$12=1,2278+1=AH!$U$6),TODAY(),IF(AH!$U$5=1,INDEX('Live History'!$A$5:$A$3004,AH!$U$7+2278),INDEX('AH History'!$A$5:$A$1380,AH!$U$7+2278))),""))</f>
        <v/>
      </c>
      <c r="B2283" s="33">
        <f>IFERROR(IF(AH!$U$11=1,NA(),$J2283/$E2283-1),NA())</f>
        <v/>
      </c>
      <c r="C2283" s="269">
        <f>IFERROR(100*$E2283/$E$5,NA())</f>
        <v/>
      </c>
      <c r="D2283" s="269">
        <f>IFERROR(100*$J2283/$J$5,NA())</f>
        <v/>
      </c>
      <c r="E2283" s="32">
        <f>IFERROR(IF(AND(ISNUMBER($A2283),N(IF(AND(AH!$U$12=1,2278+1=AH!$U$6),IF(AH!$U$4=0,"unavailable",INDEX('Market Data'!$AN$5:$AN$66,AH!$U$4)),IF(AH!$U$5=1,INDEX('Live History'!$B$5:$B$3004,$K2283),INDEX('AH History'!$D$5:$GG$1380,$K2283,AH!$U$10))))&gt;0),IF(AND(AH!$U$12=1,2278+1=AH!$U$6),IF(AH!$U$4=0,"unavailable",INDEX('Market Data'!$AN$5:$AN$66,AH!$U$4)),IF(AH!$U$5=1,INDEX('Live History'!$B$5:$B$3004,$K2283),INDEX('AH History'!$D$5:$GG$1380,$K2283,AH!$U$10))),NA()),NA())</f>
        <v/>
      </c>
      <c r="F2283" s="32">
        <f>IFERROR(IF(ISNUMBER($A2283),IF(AND(AH!$U$12=1,2278+1=AH!$U$6),IF(AH!$U$4=0,"unavailable",INDEX('Market Data'!$AO$5:$AO$66,AH!$U$4)),IF(AH!$U$5=1,INDEX('Live History'!$E$5:$E$3004,MATCH($A2283,'Live History'!$D$5:$D$3004,1)),INDEX('AH History'!$D$5:$GG$1380,$K2283,AH!$U$10+1))),NA()),NA())</f>
        <v/>
      </c>
      <c r="G2283" s="34">
        <f>IFERROR(IF(ISNUMBER($A2283),IF(AND(AH!$U$12=1,2278+1=AH!$U$6),IF(AH!$U$4=0,"unavailable",INDEX('Market Data'!$AK$5:$AK$66,AH!$U$4)),IF(AH!$U$5=1,INDEX('Live History'!$D$5:$D$3004,MATCH($A2283,'Live History'!$D$5:$D$3004,1)),INDEX('AH History'!$D$5:$GG$1380,$K2283,AH!$U$10+2))),NA()),NA())</f>
        <v/>
      </c>
      <c r="H2283" s="266">
        <f>IFERROR(IF(ISNUMBER($A2283),IF(AND(AH!$U$12=1,2278+1=AH!$U$6),IF(AH!$U$4=0,"unavailable",INDEX('Market Data'!$AP$5:$AP$66,AH!$U$4)),IF(AH!$U$5=1,INDEX('Live History'!$H$5:$H$3004,MATCH($A2283,'Live History'!$G$5:$G$3004,1)),INDEX('AH History'!$B$5:$B$1380,$K2283))),NA()),NA())</f>
        <v/>
      </c>
      <c r="I2283" s="34">
        <f>IFERROR(IF(ISNUMBER($A2283),IF(AND(AH!$U$12=1,2278+1=AH!$U$6),TODAY(),IF(AH!$U$5=1,INDEX('Live History'!$G$5:$G$3004,MATCH($A2283,'Live History'!$G$5:$G$3004,1)),INDEX('AH History'!$C$5:$C$1380,$K2283))),NA()),NA())</f>
        <v/>
      </c>
      <c r="J2283" s="32">
        <f>IFERROR(IF(AND($F2283&gt;0,$H2283&gt;0,$A2283-$G2283&lt;=10,$A2283-$I2283&lt;=5,$G2283&gt;0,$I2283&gt;0),$F2283*$H2283,NA()),NA())</f>
        <v/>
      </c>
      <c r="K2283" s="15">
        <f>IF($A2283="","",IF(AH!$U$5=1,IFERROR(MATCH($A2283,'Live History'!$A$5:$A$3004,0),0),AH!$U$7+2278))</f>
        <v/>
      </c>
      <c r="L2283" s="15">
        <f>IF(ISNUMBER(A2283),TEXT(A2283,"dd-mmm-yy"),"")</f>
        <v/>
      </c>
    </row>
    <row r="2284">
      <c r="A2284" s="14">
        <f>IF(OR(AH!$U$4=0,2279+1&gt;AH!$U$6,AND(AH!$M$5="Bloomberg",AH!$U$5=0)),"",IFERROR(IF(AND(AH!$U$12=1,2279+1=AH!$U$6),TODAY(),IF(AH!$U$5=1,INDEX('Live History'!$A$5:$A$3004,AH!$U$7+2279),INDEX('AH History'!$A$5:$A$1380,AH!$U$7+2279))),""))</f>
        <v/>
      </c>
      <c r="B2284" s="33">
        <f>IFERROR(IF(AH!$U$11=1,NA(),$J2284/$E2284-1),NA())</f>
        <v/>
      </c>
      <c r="C2284" s="269">
        <f>IFERROR(100*$E2284/$E$5,NA())</f>
        <v/>
      </c>
      <c r="D2284" s="269">
        <f>IFERROR(100*$J2284/$J$5,NA())</f>
        <v/>
      </c>
      <c r="E2284" s="32">
        <f>IFERROR(IF(AND(ISNUMBER($A2284),N(IF(AND(AH!$U$12=1,2279+1=AH!$U$6),IF(AH!$U$4=0,"unavailable",INDEX('Market Data'!$AN$5:$AN$66,AH!$U$4)),IF(AH!$U$5=1,INDEX('Live History'!$B$5:$B$3004,$K2284),INDEX('AH History'!$D$5:$GG$1380,$K2284,AH!$U$10))))&gt;0),IF(AND(AH!$U$12=1,2279+1=AH!$U$6),IF(AH!$U$4=0,"unavailable",INDEX('Market Data'!$AN$5:$AN$66,AH!$U$4)),IF(AH!$U$5=1,INDEX('Live History'!$B$5:$B$3004,$K2284),INDEX('AH History'!$D$5:$GG$1380,$K2284,AH!$U$10))),NA()),NA())</f>
        <v/>
      </c>
      <c r="F2284" s="32">
        <f>IFERROR(IF(ISNUMBER($A2284),IF(AND(AH!$U$12=1,2279+1=AH!$U$6),IF(AH!$U$4=0,"unavailable",INDEX('Market Data'!$AO$5:$AO$66,AH!$U$4)),IF(AH!$U$5=1,INDEX('Live History'!$E$5:$E$3004,MATCH($A2284,'Live History'!$D$5:$D$3004,1)),INDEX('AH History'!$D$5:$GG$1380,$K2284,AH!$U$10+1))),NA()),NA())</f>
        <v/>
      </c>
      <c r="G2284" s="34">
        <f>IFERROR(IF(ISNUMBER($A2284),IF(AND(AH!$U$12=1,2279+1=AH!$U$6),IF(AH!$U$4=0,"unavailable",INDEX('Market Data'!$AK$5:$AK$66,AH!$U$4)),IF(AH!$U$5=1,INDEX('Live History'!$D$5:$D$3004,MATCH($A2284,'Live History'!$D$5:$D$3004,1)),INDEX('AH History'!$D$5:$GG$1380,$K2284,AH!$U$10+2))),NA()),NA())</f>
        <v/>
      </c>
      <c r="H2284" s="266">
        <f>IFERROR(IF(ISNUMBER($A2284),IF(AND(AH!$U$12=1,2279+1=AH!$U$6),IF(AH!$U$4=0,"unavailable",INDEX('Market Data'!$AP$5:$AP$66,AH!$U$4)),IF(AH!$U$5=1,INDEX('Live History'!$H$5:$H$3004,MATCH($A2284,'Live History'!$G$5:$G$3004,1)),INDEX('AH History'!$B$5:$B$1380,$K2284))),NA()),NA())</f>
        <v/>
      </c>
      <c r="I2284" s="34">
        <f>IFERROR(IF(ISNUMBER($A2284),IF(AND(AH!$U$12=1,2279+1=AH!$U$6),TODAY(),IF(AH!$U$5=1,INDEX('Live History'!$G$5:$G$3004,MATCH($A2284,'Live History'!$G$5:$G$3004,1)),INDEX('AH History'!$C$5:$C$1380,$K2284))),NA()),NA())</f>
        <v/>
      </c>
      <c r="J2284" s="32">
        <f>IFERROR(IF(AND($F2284&gt;0,$H2284&gt;0,$A2284-$G2284&lt;=10,$A2284-$I2284&lt;=5,$G2284&gt;0,$I2284&gt;0),$F2284*$H2284,NA()),NA())</f>
        <v/>
      </c>
      <c r="K2284" s="15">
        <f>IF($A2284="","",IF(AH!$U$5=1,IFERROR(MATCH($A2284,'Live History'!$A$5:$A$3004,0),0),AH!$U$7+2279))</f>
        <v/>
      </c>
      <c r="L2284" s="15">
        <f>IF(ISNUMBER(A2284),TEXT(A2284,"dd-mmm-yy"),"")</f>
        <v/>
      </c>
    </row>
    <row r="2285">
      <c r="A2285" s="14">
        <f>IF(OR(AH!$U$4=0,2280+1&gt;AH!$U$6,AND(AH!$M$5="Bloomberg",AH!$U$5=0)),"",IFERROR(IF(AND(AH!$U$12=1,2280+1=AH!$U$6),TODAY(),IF(AH!$U$5=1,INDEX('Live History'!$A$5:$A$3004,AH!$U$7+2280),INDEX('AH History'!$A$5:$A$1380,AH!$U$7+2280))),""))</f>
        <v/>
      </c>
      <c r="B2285" s="33">
        <f>IFERROR(IF(AH!$U$11=1,NA(),$J2285/$E2285-1),NA())</f>
        <v/>
      </c>
      <c r="C2285" s="269">
        <f>IFERROR(100*$E2285/$E$5,NA())</f>
        <v/>
      </c>
      <c r="D2285" s="269">
        <f>IFERROR(100*$J2285/$J$5,NA())</f>
        <v/>
      </c>
      <c r="E2285" s="32">
        <f>IFERROR(IF(AND(ISNUMBER($A2285),N(IF(AND(AH!$U$12=1,2280+1=AH!$U$6),IF(AH!$U$4=0,"unavailable",INDEX('Market Data'!$AN$5:$AN$66,AH!$U$4)),IF(AH!$U$5=1,INDEX('Live History'!$B$5:$B$3004,$K2285),INDEX('AH History'!$D$5:$GG$1380,$K2285,AH!$U$10))))&gt;0),IF(AND(AH!$U$12=1,2280+1=AH!$U$6),IF(AH!$U$4=0,"unavailable",INDEX('Market Data'!$AN$5:$AN$66,AH!$U$4)),IF(AH!$U$5=1,INDEX('Live History'!$B$5:$B$3004,$K2285),INDEX('AH History'!$D$5:$GG$1380,$K2285,AH!$U$10))),NA()),NA())</f>
        <v/>
      </c>
      <c r="F2285" s="32">
        <f>IFERROR(IF(ISNUMBER($A2285),IF(AND(AH!$U$12=1,2280+1=AH!$U$6),IF(AH!$U$4=0,"unavailable",INDEX('Market Data'!$AO$5:$AO$66,AH!$U$4)),IF(AH!$U$5=1,INDEX('Live History'!$E$5:$E$3004,MATCH($A2285,'Live History'!$D$5:$D$3004,1)),INDEX('AH History'!$D$5:$GG$1380,$K2285,AH!$U$10+1))),NA()),NA())</f>
        <v/>
      </c>
      <c r="G2285" s="34">
        <f>IFERROR(IF(ISNUMBER($A2285),IF(AND(AH!$U$12=1,2280+1=AH!$U$6),IF(AH!$U$4=0,"unavailable",INDEX('Market Data'!$AK$5:$AK$66,AH!$U$4)),IF(AH!$U$5=1,INDEX('Live History'!$D$5:$D$3004,MATCH($A2285,'Live History'!$D$5:$D$3004,1)),INDEX('AH History'!$D$5:$GG$1380,$K2285,AH!$U$10+2))),NA()),NA())</f>
        <v/>
      </c>
      <c r="H2285" s="266">
        <f>IFERROR(IF(ISNUMBER($A2285),IF(AND(AH!$U$12=1,2280+1=AH!$U$6),IF(AH!$U$4=0,"unavailable",INDEX('Market Data'!$AP$5:$AP$66,AH!$U$4)),IF(AH!$U$5=1,INDEX('Live History'!$H$5:$H$3004,MATCH($A2285,'Live History'!$G$5:$G$3004,1)),INDEX('AH History'!$B$5:$B$1380,$K2285))),NA()),NA())</f>
        <v/>
      </c>
      <c r="I2285" s="34">
        <f>IFERROR(IF(ISNUMBER($A2285),IF(AND(AH!$U$12=1,2280+1=AH!$U$6),TODAY(),IF(AH!$U$5=1,INDEX('Live History'!$G$5:$G$3004,MATCH($A2285,'Live History'!$G$5:$G$3004,1)),INDEX('AH History'!$C$5:$C$1380,$K2285))),NA()),NA())</f>
        <v/>
      </c>
      <c r="J2285" s="32">
        <f>IFERROR(IF(AND($F2285&gt;0,$H2285&gt;0,$A2285-$G2285&lt;=10,$A2285-$I2285&lt;=5,$G2285&gt;0,$I2285&gt;0),$F2285*$H2285,NA()),NA())</f>
        <v/>
      </c>
      <c r="K2285" s="15">
        <f>IF($A2285="","",IF(AH!$U$5=1,IFERROR(MATCH($A2285,'Live History'!$A$5:$A$3004,0),0),AH!$U$7+2280))</f>
        <v/>
      </c>
      <c r="L2285" s="15">
        <f>IF(ISNUMBER(A2285),TEXT(A2285,"dd-mmm-yy"),"")</f>
        <v/>
      </c>
    </row>
    <row r="2286">
      <c r="A2286" s="14">
        <f>IF(OR(AH!$U$4=0,2281+1&gt;AH!$U$6,AND(AH!$M$5="Bloomberg",AH!$U$5=0)),"",IFERROR(IF(AND(AH!$U$12=1,2281+1=AH!$U$6),TODAY(),IF(AH!$U$5=1,INDEX('Live History'!$A$5:$A$3004,AH!$U$7+2281),INDEX('AH History'!$A$5:$A$1380,AH!$U$7+2281))),""))</f>
        <v/>
      </c>
      <c r="B2286" s="33">
        <f>IFERROR(IF(AH!$U$11=1,NA(),$J2286/$E2286-1),NA())</f>
        <v/>
      </c>
      <c r="C2286" s="269">
        <f>IFERROR(100*$E2286/$E$5,NA())</f>
        <v/>
      </c>
      <c r="D2286" s="269">
        <f>IFERROR(100*$J2286/$J$5,NA())</f>
        <v/>
      </c>
      <c r="E2286" s="32">
        <f>IFERROR(IF(AND(ISNUMBER($A2286),N(IF(AND(AH!$U$12=1,2281+1=AH!$U$6),IF(AH!$U$4=0,"unavailable",INDEX('Market Data'!$AN$5:$AN$66,AH!$U$4)),IF(AH!$U$5=1,INDEX('Live History'!$B$5:$B$3004,$K2286),INDEX('AH History'!$D$5:$GG$1380,$K2286,AH!$U$10))))&gt;0),IF(AND(AH!$U$12=1,2281+1=AH!$U$6),IF(AH!$U$4=0,"unavailable",INDEX('Market Data'!$AN$5:$AN$66,AH!$U$4)),IF(AH!$U$5=1,INDEX('Live History'!$B$5:$B$3004,$K2286),INDEX('AH History'!$D$5:$GG$1380,$K2286,AH!$U$10))),NA()),NA())</f>
        <v/>
      </c>
      <c r="F2286" s="32">
        <f>IFERROR(IF(ISNUMBER($A2286),IF(AND(AH!$U$12=1,2281+1=AH!$U$6),IF(AH!$U$4=0,"unavailable",INDEX('Market Data'!$AO$5:$AO$66,AH!$U$4)),IF(AH!$U$5=1,INDEX('Live History'!$E$5:$E$3004,MATCH($A2286,'Live History'!$D$5:$D$3004,1)),INDEX('AH History'!$D$5:$GG$1380,$K2286,AH!$U$10+1))),NA()),NA())</f>
        <v/>
      </c>
      <c r="G2286" s="34">
        <f>IFERROR(IF(ISNUMBER($A2286),IF(AND(AH!$U$12=1,2281+1=AH!$U$6),IF(AH!$U$4=0,"unavailable",INDEX('Market Data'!$AK$5:$AK$66,AH!$U$4)),IF(AH!$U$5=1,INDEX('Live History'!$D$5:$D$3004,MATCH($A2286,'Live History'!$D$5:$D$3004,1)),INDEX('AH History'!$D$5:$GG$1380,$K2286,AH!$U$10+2))),NA()),NA())</f>
        <v/>
      </c>
      <c r="H2286" s="266">
        <f>IFERROR(IF(ISNUMBER($A2286),IF(AND(AH!$U$12=1,2281+1=AH!$U$6),IF(AH!$U$4=0,"unavailable",INDEX('Market Data'!$AP$5:$AP$66,AH!$U$4)),IF(AH!$U$5=1,INDEX('Live History'!$H$5:$H$3004,MATCH($A2286,'Live History'!$G$5:$G$3004,1)),INDEX('AH History'!$B$5:$B$1380,$K2286))),NA()),NA())</f>
        <v/>
      </c>
      <c r="I2286" s="34">
        <f>IFERROR(IF(ISNUMBER($A2286),IF(AND(AH!$U$12=1,2281+1=AH!$U$6),TODAY(),IF(AH!$U$5=1,INDEX('Live History'!$G$5:$G$3004,MATCH($A2286,'Live History'!$G$5:$G$3004,1)),INDEX('AH History'!$C$5:$C$1380,$K2286))),NA()),NA())</f>
        <v/>
      </c>
      <c r="J2286" s="32">
        <f>IFERROR(IF(AND($F2286&gt;0,$H2286&gt;0,$A2286-$G2286&lt;=10,$A2286-$I2286&lt;=5,$G2286&gt;0,$I2286&gt;0),$F2286*$H2286,NA()),NA())</f>
        <v/>
      </c>
      <c r="K2286" s="15">
        <f>IF($A2286="","",IF(AH!$U$5=1,IFERROR(MATCH($A2286,'Live History'!$A$5:$A$3004,0),0),AH!$U$7+2281))</f>
        <v/>
      </c>
      <c r="L2286" s="15">
        <f>IF(ISNUMBER(A2286),TEXT(A2286,"dd-mmm-yy"),"")</f>
        <v/>
      </c>
    </row>
    <row r="2287">
      <c r="A2287" s="14">
        <f>IF(OR(AH!$U$4=0,2282+1&gt;AH!$U$6,AND(AH!$M$5="Bloomberg",AH!$U$5=0)),"",IFERROR(IF(AND(AH!$U$12=1,2282+1=AH!$U$6),TODAY(),IF(AH!$U$5=1,INDEX('Live History'!$A$5:$A$3004,AH!$U$7+2282),INDEX('AH History'!$A$5:$A$1380,AH!$U$7+2282))),""))</f>
        <v/>
      </c>
      <c r="B2287" s="33">
        <f>IFERROR(IF(AH!$U$11=1,NA(),$J2287/$E2287-1),NA())</f>
        <v/>
      </c>
      <c r="C2287" s="269">
        <f>IFERROR(100*$E2287/$E$5,NA())</f>
        <v/>
      </c>
      <c r="D2287" s="269">
        <f>IFERROR(100*$J2287/$J$5,NA())</f>
        <v/>
      </c>
      <c r="E2287" s="32">
        <f>IFERROR(IF(AND(ISNUMBER($A2287),N(IF(AND(AH!$U$12=1,2282+1=AH!$U$6),IF(AH!$U$4=0,"unavailable",INDEX('Market Data'!$AN$5:$AN$66,AH!$U$4)),IF(AH!$U$5=1,INDEX('Live History'!$B$5:$B$3004,$K2287),INDEX('AH History'!$D$5:$GG$1380,$K2287,AH!$U$10))))&gt;0),IF(AND(AH!$U$12=1,2282+1=AH!$U$6),IF(AH!$U$4=0,"unavailable",INDEX('Market Data'!$AN$5:$AN$66,AH!$U$4)),IF(AH!$U$5=1,INDEX('Live History'!$B$5:$B$3004,$K2287),INDEX('AH History'!$D$5:$GG$1380,$K2287,AH!$U$10))),NA()),NA())</f>
        <v/>
      </c>
      <c r="F2287" s="32">
        <f>IFERROR(IF(ISNUMBER($A2287),IF(AND(AH!$U$12=1,2282+1=AH!$U$6),IF(AH!$U$4=0,"unavailable",INDEX('Market Data'!$AO$5:$AO$66,AH!$U$4)),IF(AH!$U$5=1,INDEX('Live History'!$E$5:$E$3004,MATCH($A2287,'Live History'!$D$5:$D$3004,1)),INDEX('AH History'!$D$5:$GG$1380,$K2287,AH!$U$10+1))),NA()),NA())</f>
        <v/>
      </c>
      <c r="G2287" s="34">
        <f>IFERROR(IF(ISNUMBER($A2287),IF(AND(AH!$U$12=1,2282+1=AH!$U$6),IF(AH!$U$4=0,"unavailable",INDEX('Market Data'!$AK$5:$AK$66,AH!$U$4)),IF(AH!$U$5=1,INDEX('Live History'!$D$5:$D$3004,MATCH($A2287,'Live History'!$D$5:$D$3004,1)),INDEX('AH History'!$D$5:$GG$1380,$K2287,AH!$U$10+2))),NA()),NA())</f>
        <v/>
      </c>
      <c r="H2287" s="266">
        <f>IFERROR(IF(ISNUMBER($A2287),IF(AND(AH!$U$12=1,2282+1=AH!$U$6),IF(AH!$U$4=0,"unavailable",INDEX('Market Data'!$AP$5:$AP$66,AH!$U$4)),IF(AH!$U$5=1,INDEX('Live History'!$H$5:$H$3004,MATCH($A2287,'Live History'!$G$5:$G$3004,1)),INDEX('AH History'!$B$5:$B$1380,$K2287))),NA()),NA())</f>
        <v/>
      </c>
      <c r="I2287" s="34">
        <f>IFERROR(IF(ISNUMBER($A2287),IF(AND(AH!$U$12=1,2282+1=AH!$U$6),TODAY(),IF(AH!$U$5=1,INDEX('Live History'!$G$5:$G$3004,MATCH($A2287,'Live History'!$G$5:$G$3004,1)),INDEX('AH History'!$C$5:$C$1380,$K2287))),NA()),NA())</f>
        <v/>
      </c>
      <c r="J2287" s="32">
        <f>IFERROR(IF(AND($F2287&gt;0,$H2287&gt;0,$A2287-$G2287&lt;=10,$A2287-$I2287&lt;=5,$G2287&gt;0,$I2287&gt;0),$F2287*$H2287,NA()),NA())</f>
        <v/>
      </c>
      <c r="K2287" s="15">
        <f>IF($A2287="","",IF(AH!$U$5=1,IFERROR(MATCH($A2287,'Live History'!$A$5:$A$3004,0),0),AH!$U$7+2282))</f>
        <v/>
      </c>
      <c r="L2287" s="15">
        <f>IF(ISNUMBER(A2287),TEXT(A2287,"dd-mmm-yy"),"")</f>
        <v/>
      </c>
    </row>
    <row r="2288">
      <c r="A2288" s="14">
        <f>IF(OR(AH!$U$4=0,2283+1&gt;AH!$U$6,AND(AH!$M$5="Bloomberg",AH!$U$5=0)),"",IFERROR(IF(AND(AH!$U$12=1,2283+1=AH!$U$6),TODAY(),IF(AH!$U$5=1,INDEX('Live History'!$A$5:$A$3004,AH!$U$7+2283),INDEX('AH History'!$A$5:$A$1380,AH!$U$7+2283))),""))</f>
        <v/>
      </c>
      <c r="B2288" s="33">
        <f>IFERROR(IF(AH!$U$11=1,NA(),$J2288/$E2288-1),NA())</f>
        <v/>
      </c>
      <c r="C2288" s="269">
        <f>IFERROR(100*$E2288/$E$5,NA())</f>
        <v/>
      </c>
      <c r="D2288" s="269">
        <f>IFERROR(100*$J2288/$J$5,NA())</f>
        <v/>
      </c>
      <c r="E2288" s="32">
        <f>IFERROR(IF(AND(ISNUMBER($A2288),N(IF(AND(AH!$U$12=1,2283+1=AH!$U$6),IF(AH!$U$4=0,"unavailable",INDEX('Market Data'!$AN$5:$AN$66,AH!$U$4)),IF(AH!$U$5=1,INDEX('Live History'!$B$5:$B$3004,$K2288),INDEX('AH History'!$D$5:$GG$1380,$K2288,AH!$U$10))))&gt;0),IF(AND(AH!$U$12=1,2283+1=AH!$U$6),IF(AH!$U$4=0,"unavailable",INDEX('Market Data'!$AN$5:$AN$66,AH!$U$4)),IF(AH!$U$5=1,INDEX('Live History'!$B$5:$B$3004,$K2288),INDEX('AH History'!$D$5:$GG$1380,$K2288,AH!$U$10))),NA()),NA())</f>
        <v/>
      </c>
      <c r="F2288" s="32">
        <f>IFERROR(IF(ISNUMBER($A2288),IF(AND(AH!$U$12=1,2283+1=AH!$U$6),IF(AH!$U$4=0,"unavailable",INDEX('Market Data'!$AO$5:$AO$66,AH!$U$4)),IF(AH!$U$5=1,INDEX('Live History'!$E$5:$E$3004,MATCH($A2288,'Live History'!$D$5:$D$3004,1)),INDEX('AH History'!$D$5:$GG$1380,$K2288,AH!$U$10+1))),NA()),NA())</f>
        <v/>
      </c>
      <c r="G2288" s="34">
        <f>IFERROR(IF(ISNUMBER($A2288),IF(AND(AH!$U$12=1,2283+1=AH!$U$6),IF(AH!$U$4=0,"unavailable",INDEX('Market Data'!$AK$5:$AK$66,AH!$U$4)),IF(AH!$U$5=1,INDEX('Live History'!$D$5:$D$3004,MATCH($A2288,'Live History'!$D$5:$D$3004,1)),INDEX('AH History'!$D$5:$GG$1380,$K2288,AH!$U$10+2))),NA()),NA())</f>
        <v/>
      </c>
      <c r="H2288" s="266">
        <f>IFERROR(IF(ISNUMBER($A2288),IF(AND(AH!$U$12=1,2283+1=AH!$U$6),IF(AH!$U$4=0,"unavailable",INDEX('Market Data'!$AP$5:$AP$66,AH!$U$4)),IF(AH!$U$5=1,INDEX('Live History'!$H$5:$H$3004,MATCH($A2288,'Live History'!$G$5:$G$3004,1)),INDEX('AH History'!$B$5:$B$1380,$K2288))),NA()),NA())</f>
        <v/>
      </c>
      <c r="I2288" s="34">
        <f>IFERROR(IF(ISNUMBER($A2288),IF(AND(AH!$U$12=1,2283+1=AH!$U$6),TODAY(),IF(AH!$U$5=1,INDEX('Live History'!$G$5:$G$3004,MATCH($A2288,'Live History'!$G$5:$G$3004,1)),INDEX('AH History'!$C$5:$C$1380,$K2288))),NA()),NA())</f>
        <v/>
      </c>
      <c r="J2288" s="32">
        <f>IFERROR(IF(AND($F2288&gt;0,$H2288&gt;0,$A2288-$G2288&lt;=10,$A2288-$I2288&lt;=5,$G2288&gt;0,$I2288&gt;0),$F2288*$H2288,NA()),NA())</f>
        <v/>
      </c>
      <c r="K2288" s="15">
        <f>IF($A2288="","",IF(AH!$U$5=1,IFERROR(MATCH($A2288,'Live History'!$A$5:$A$3004,0),0),AH!$U$7+2283))</f>
        <v/>
      </c>
      <c r="L2288" s="15">
        <f>IF(ISNUMBER(A2288),TEXT(A2288,"dd-mmm-yy"),"")</f>
        <v/>
      </c>
    </row>
    <row r="2289">
      <c r="A2289" s="14">
        <f>IF(OR(AH!$U$4=0,2284+1&gt;AH!$U$6,AND(AH!$M$5="Bloomberg",AH!$U$5=0)),"",IFERROR(IF(AND(AH!$U$12=1,2284+1=AH!$U$6),TODAY(),IF(AH!$U$5=1,INDEX('Live History'!$A$5:$A$3004,AH!$U$7+2284),INDEX('AH History'!$A$5:$A$1380,AH!$U$7+2284))),""))</f>
        <v/>
      </c>
      <c r="B2289" s="33">
        <f>IFERROR(IF(AH!$U$11=1,NA(),$J2289/$E2289-1),NA())</f>
        <v/>
      </c>
      <c r="C2289" s="269">
        <f>IFERROR(100*$E2289/$E$5,NA())</f>
        <v/>
      </c>
      <c r="D2289" s="269">
        <f>IFERROR(100*$J2289/$J$5,NA())</f>
        <v/>
      </c>
      <c r="E2289" s="32">
        <f>IFERROR(IF(AND(ISNUMBER($A2289),N(IF(AND(AH!$U$12=1,2284+1=AH!$U$6),IF(AH!$U$4=0,"unavailable",INDEX('Market Data'!$AN$5:$AN$66,AH!$U$4)),IF(AH!$U$5=1,INDEX('Live History'!$B$5:$B$3004,$K2289),INDEX('AH History'!$D$5:$GG$1380,$K2289,AH!$U$10))))&gt;0),IF(AND(AH!$U$12=1,2284+1=AH!$U$6),IF(AH!$U$4=0,"unavailable",INDEX('Market Data'!$AN$5:$AN$66,AH!$U$4)),IF(AH!$U$5=1,INDEX('Live History'!$B$5:$B$3004,$K2289),INDEX('AH History'!$D$5:$GG$1380,$K2289,AH!$U$10))),NA()),NA())</f>
        <v/>
      </c>
      <c r="F2289" s="32">
        <f>IFERROR(IF(ISNUMBER($A2289),IF(AND(AH!$U$12=1,2284+1=AH!$U$6),IF(AH!$U$4=0,"unavailable",INDEX('Market Data'!$AO$5:$AO$66,AH!$U$4)),IF(AH!$U$5=1,INDEX('Live History'!$E$5:$E$3004,MATCH($A2289,'Live History'!$D$5:$D$3004,1)),INDEX('AH History'!$D$5:$GG$1380,$K2289,AH!$U$10+1))),NA()),NA())</f>
        <v/>
      </c>
      <c r="G2289" s="34">
        <f>IFERROR(IF(ISNUMBER($A2289),IF(AND(AH!$U$12=1,2284+1=AH!$U$6),IF(AH!$U$4=0,"unavailable",INDEX('Market Data'!$AK$5:$AK$66,AH!$U$4)),IF(AH!$U$5=1,INDEX('Live History'!$D$5:$D$3004,MATCH($A2289,'Live History'!$D$5:$D$3004,1)),INDEX('AH History'!$D$5:$GG$1380,$K2289,AH!$U$10+2))),NA()),NA())</f>
        <v/>
      </c>
      <c r="H2289" s="266">
        <f>IFERROR(IF(ISNUMBER($A2289),IF(AND(AH!$U$12=1,2284+1=AH!$U$6),IF(AH!$U$4=0,"unavailable",INDEX('Market Data'!$AP$5:$AP$66,AH!$U$4)),IF(AH!$U$5=1,INDEX('Live History'!$H$5:$H$3004,MATCH($A2289,'Live History'!$G$5:$G$3004,1)),INDEX('AH History'!$B$5:$B$1380,$K2289))),NA()),NA())</f>
        <v/>
      </c>
      <c r="I2289" s="34">
        <f>IFERROR(IF(ISNUMBER($A2289),IF(AND(AH!$U$12=1,2284+1=AH!$U$6),TODAY(),IF(AH!$U$5=1,INDEX('Live History'!$G$5:$G$3004,MATCH($A2289,'Live History'!$G$5:$G$3004,1)),INDEX('AH History'!$C$5:$C$1380,$K2289))),NA()),NA())</f>
        <v/>
      </c>
      <c r="J2289" s="32">
        <f>IFERROR(IF(AND($F2289&gt;0,$H2289&gt;0,$A2289-$G2289&lt;=10,$A2289-$I2289&lt;=5,$G2289&gt;0,$I2289&gt;0),$F2289*$H2289,NA()),NA())</f>
        <v/>
      </c>
      <c r="K2289" s="15">
        <f>IF($A2289="","",IF(AH!$U$5=1,IFERROR(MATCH($A2289,'Live History'!$A$5:$A$3004,0),0),AH!$U$7+2284))</f>
        <v/>
      </c>
      <c r="L2289" s="15">
        <f>IF(ISNUMBER(A2289),TEXT(A2289,"dd-mmm-yy"),"")</f>
        <v/>
      </c>
    </row>
    <row r="2290">
      <c r="A2290" s="14">
        <f>IF(OR(AH!$U$4=0,2285+1&gt;AH!$U$6,AND(AH!$M$5="Bloomberg",AH!$U$5=0)),"",IFERROR(IF(AND(AH!$U$12=1,2285+1=AH!$U$6),TODAY(),IF(AH!$U$5=1,INDEX('Live History'!$A$5:$A$3004,AH!$U$7+2285),INDEX('AH History'!$A$5:$A$1380,AH!$U$7+2285))),""))</f>
        <v/>
      </c>
      <c r="B2290" s="33">
        <f>IFERROR(IF(AH!$U$11=1,NA(),$J2290/$E2290-1),NA())</f>
        <v/>
      </c>
      <c r="C2290" s="269">
        <f>IFERROR(100*$E2290/$E$5,NA())</f>
        <v/>
      </c>
      <c r="D2290" s="269">
        <f>IFERROR(100*$J2290/$J$5,NA())</f>
        <v/>
      </c>
      <c r="E2290" s="32">
        <f>IFERROR(IF(AND(ISNUMBER($A2290),N(IF(AND(AH!$U$12=1,2285+1=AH!$U$6),IF(AH!$U$4=0,"unavailable",INDEX('Market Data'!$AN$5:$AN$66,AH!$U$4)),IF(AH!$U$5=1,INDEX('Live History'!$B$5:$B$3004,$K2290),INDEX('AH History'!$D$5:$GG$1380,$K2290,AH!$U$10))))&gt;0),IF(AND(AH!$U$12=1,2285+1=AH!$U$6),IF(AH!$U$4=0,"unavailable",INDEX('Market Data'!$AN$5:$AN$66,AH!$U$4)),IF(AH!$U$5=1,INDEX('Live History'!$B$5:$B$3004,$K2290),INDEX('AH History'!$D$5:$GG$1380,$K2290,AH!$U$10))),NA()),NA())</f>
        <v/>
      </c>
      <c r="F2290" s="32">
        <f>IFERROR(IF(ISNUMBER($A2290),IF(AND(AH!$U$12=1,2285+1=AH!$U$6),IF(AH!$U$4=0,"unavailable",INDEX('Market Data'!$AO$5:$AO$66,AH!$U$4)),IF(AH!$U$5=1,INDEX('Live History'!$E$5:$E$3004,MATCH($A2290,'Live History'!$D$5:$D$3004,1)),INDEX('AH History'!$D$5:$GG$1380,$K2290,AH!$U$10+1))),NA()),NA())</f>
        <v/>
      </c>
      <c r="G2290" s="34">
        <f>IFERROR(IF(ISNUMBER($A2290),IF(AND(AH!$U$12=1,2285+1=AH!$U$6),IF(AH!$U$4=0,"unavailable",INDEX('Market Data'!$AK$5:$AK$66,AH!$U$4)),IF(AH!$U$5=1,INDEX('Live History'!$D$5:$D$3004,MATCH($A2290,'Live History'!$D$5:$D$3004,1)),INDEX('AH History'!$D$5:$GG$1380,$K2290,AH!$U$10+2))),NA()),NA())</f>
        <v/>
      </c>
      <c r="H2290" s="266">
        <f>IFERROR(IF(ISNUMBER($A2290),IF(AND(AH!$U$12=1,2285+1=AH!$U$6),IF(AH!$U$4=0,"unavailable",INDEX('Market Data'!$AP$5:$AP$66,AH!$U$4)),IF(AH!$U$5=1,INDEX('Live History'!$H$5:$H$3004,MATCH($A2290,'Live History'!$G$5:$G$3004,1)),INDEX('AH History'!$B$5:$B$1380,$K2290))),NA()),NA())</f>
        <v/>
      </c>
      <c r="I2290" s="34">
        <f>IFERROR(IF(ISNUMBER($A2290),IF(AND(AH!$U$12=1,2285+1=AH!$U$6),TODAY(),IF(AH!$U$5=1,INDEX('Live History'!$G$5:$G$3004,MATCH($A2290,'Live History'!$G$5:$G$3004,1)),INDEX('AH History'!$C$5:$C$1380,$K2290))),NA()),NA())</f>
        <v/>
      </c>
      <c r="J2290" s="32">
        <f>IFERROR(IF(AND($F2290&gt;0,$H2290&gt;0,$A2290-$G2290&lt;=10,$A2290-$I2290&lt;=5,$G2290&gt;0,$I2290&gt;0),$F2290*$H2290,NA()),NA())</f>
        <v/>
      </c>
      <c r="K2290" s="15">
        <f>IF($A2290="","",IF(AH!$U$5=1,IFERROR(MATCH($A2290,'Live History'!$A$5:$A$3004,0),0),AH!$U$7+2285))</f>
        <v/>
      </c>
      <c r="L2290" s="15">
        <f>IF(ISNUMBER(A2290),TEXT(A2290,"dd-mmm-yy"),"")</f>
        <v/>
      </c>
    </row>
    <row r="2291">
      <c r="A2291" s="14">
        <f>IF(OR(AH!$U$4=0,2286+1&gt;AH!$U$6,AND(AH!$M$5="Bloomberg",AH!$U$5=0)),"",IFERROR(IF(AND(AH!$U$12=1,2286+1=AH!$U$6),TODAY(),IF(AH!$U$5=1,INDEX('Live History'!$A$5:$A$3004,AH!$U$7+2286),INDEX('AH History'!$A$5:$A$1380,AH!$U$7+2286))),""))</f>
        <v/>
      </c>
      <c r="B2291" s="33">
        <f>IFERROR(IF(AH!$U$11=1,NA(),$J2291/$E2291-1),NA())</f>
        <v/>
      </c>
      <c r="C2291" s="269">
        <f>IFERROR(100*$E2291/$E$5,NA())</f>
        <v/>
      </c>
      <c r="D2291" s="269">
        <f>IFERROR(100*$J2291/$J$5,NA())</f>
        <v/>
      </c>
      <c r="E2291" s="32">
        <f>IFERROR(IF(AND(ISNUMBER($A2291),N(IF(AND(AH!$U$12=1,2286+1=AH!$U$6),IF(AH!$U$4=0,"unavailable",INDEX('Market Data'!$AN$5:$AN$66,AH!$U$4)),IF(AH!$U$5=1,INDEX('Live History'!$B$5:$B$3004,$K2291),INDEX('AH History'!$D$5:$GG$1380,$K2291,AH!$U$10))))&gt;0),IF(AND(AH!$U$12=1,2286+1=AH!$U$6),IF(AH!$U$4=0,"unavailable",INDEX('Market Data'!$AN$5:$AN$66,AH!$U$4)),IF(AH!$U$5=1,INDEX('Live History'!$B$5:$B$3004,$K2291),INDEX('AH History'!$D$5:$GG$1380,$K2291,AH!$U$10))),NA()),NA())</f>
        <v/>
      </c>
      <c r="F2291" s="32">
        <f>IFERROR(IF(ISNUMBER($A2291),IF(AND(AH!$U$12=1,2286+1=AH!$U$6),IF(AH!$U$4=0,"unavailable",INDEX('Market Data'!$AO$5:$AO$66,AH!$U$4)),IF(AH!$U$5=1,INDEX('Live History'!$E$5:$E$3004,MATCH($A2291,'Live History'!$D$5:$D$3004,1)),INDEX('AH History'!$D$5:$GG$1380,$K2291,AH!$U$10+1))),NA()),NA())</f>
        <v/>
      </c>
      <c r="G2291" s="34">
        <f>IFERROR(IF(ISNUMBER($A2291),IF(AND(AH!$U$12=1,2286+1=AH!$U$6),IF(AH!$U$4=0,"unavailable",INDEX('Market Data'!$AK$5:$AK$66,AH!$U$4)),IF(AH!$U$5=1,INDEX('Live History'!$D$5:$D$3004,MATCH($A2291,'Live History'!$D$5:$D$3004,1)),INDEX('AH History'!$D$5:$GG$1380,$K2291,AH!$U$10+2))),NA()),NA())</f>
        <v/>
      </c>
      <c r="H2291" s="266">
        <f>IFERROR(IF(ISNUMBER($A2291),IF(AND(AH!$U$12=1,2286+1=AH!$U$6),IF(AH!$U$4=0,"unavailable",INDEX('Market Data'!$AP$5:$AP$66,AH!$U$4)),IF(AH!$U$5=1,INDEX('Live History'!$H$5:$H$3004,MATCH($A2291,'Live History'!$G$5:$G$3004,1)),INDEX('AH History'!$B$5:$B$1380,$K2291))),NA()),NA())</f>
        <v/>
      </c>
      <c r="I2291" s="34">
        <f>IFERROR(IF(ISNUMBER($A2291),IF(AND(AH!$U$12=1,2286+1=AH!$U$6),TODAY(),IF(AH!$U$5=1,INDEX('Live History'!$G$5:$G$3004,MATCH($A2291,'Live History'!$G$5:$G$3004,1)),INDEX('AH History'!$C$5:$C$1380,$K2291))),NA()),NA())</f>
        <v/>
      </c>
      <c r="J2291" s="32">
        <f>IFERROR(IF(AND($F2291&gt;0,$H2291&gt;0,$A2291-$G2291&lt;=10,$A2291-$I2291&lt;=5,$G2291&gt;0,$I2291&gt;0),$F2291*$H2291,NA()),NA())</f>
        <v/>
      </c>
      <c r="K2291" s="15">
        <f>IF($A2291="","",IF(AH!$U$5=1,IFERROR(MATCH($A2291,'Live History'!$A$5:$A$3004,0),0),AH!$U$7+2286))</f>
        <v/>
      </c>
      <c r="L2291" s="15">
        <f>IF(ISNUMBER(A2291),TEXT(A2291,"dd-mmm-yy"),"")</f>
        <v/>
      </c>
    </row>
    <row r="2292">
      <c r="A2292" s="14">
        <f>IF(OR(AH!$U$4=0,2287+1&gt;AH!$U$6,AND(AH!$M$5="Bloomberg",AH!$U$5=0)),"",IFERROR(IF(AND(AH!$U$12=1,2287+1=AH!$U$6),TODAY(),IF(AH!$U$5=1,INDEX('Live History'!$A$5:$A$3004,AH!$U$7+2287),INDEX('AH History'!$A$5:$A$1380,AH!$U$7+2287))),""))</f>
        <v/>
      </c>
      <c r="B2292" s="33">
        <f>IFERROR(IF(AH!$U$11=1,NA(),$J2292/$E2292-1),NA())</f>
        <v/>
      </c>
      <c r="C2292" s="269">
        <f>IFERROR(100*$E2292/$E$5,NA())</f>
        <v/>
      </c>
      <c r="D2292" s="269">
        <f>IFERROR(100*$J2292/$J$5,NA())</f>
        <v/>
      </c>
      <c r="E2292" s="32">
        <f>IFERROR(IF(AND(ISNUMBER($A2292),N(IF(AND(AH!$U$12=1,2287+1=AH!$U$6),IF(AH!$U$4=0,"unavailable",INDEX('Market Data'!$AN$5:$AN$66,AH!$U$4)),IF(AH!$U$5=1,INDEX('Live History'!$B$5:$B$3004,$K2292),INDEX('AH History'!$D$5:$GG$1380,$K2292,AH!$U$10))))&gt;0),IF(AND(AH!$U$12=1,2287+1=AH!$U$6),IF(AH!$U$4=0,"unavailable",INDEX('Market Data'!$AN$5:$AN$66,AH!$U$4)),IF(AH!$U$5=1,INDEX('Live History'!$B$5:$B$3004,$K2292),INDEX('AH History'!$D$5:$GG$1380,$K2292,AH!$U$10))),NA()),NA())</f>
        <v/>
      </c>
      <c r="F2292" s="32">
        <f>IFERROR(IF(ISNUMBER($A2292),IF(AND(AH!$U$12=1,2287+1=AH!$U$6),IF(AH!$U$4=0,"unavailable",INDEX('Market Data'!$AO$5:$AO$66,AH!$U$4)),IF(AH!$U$5=1,INDEX('Live History'!$E$5:$E$3004,MATCH($A2292,'Live History'!$D$5:$D$3004,1)),INDEX('AH History'!$D$5:$GG$1380,$K2292,AH!$U$10+1))),NA()),NA())</f>
        <v/>
      </c>
      <c r="G2292" s="34">
        <f>IFERROR(IF(ISNUMBER($A2292),IF(AND(AH!$U$12=1,2287+1=AH!$U$6),IF(AH!$U$4=0,"unavailable",INDEX('Market Data'!$AK$5:$AK$66,AH!$U$4)),IF(AH!$U$5=1,INDEX('Live History'!$D$5:$D$3004,MATCH($A2292,'Live History'!$D$5:$D$3004,1)),INDEX('AH History'!$D$5:$GG$1380,$K2292,AH!$U$10+2))),NA()),NA())</f>
        <v/>
      </c>
      <c r="H2292" s="266">
        <f>IFERROR(IF(ISNUMBER($A2292),IF(AND(AH!$U$12=1,2287+1=AH!$U$6),IF(AH!$U$4=0,"unavailable",INDEX('Market Data'!$AP$5:$AP$66,AH!$U$4)),IF(AH!$U$5=1,INDEX('Live History'!$H$5:$H$3004,MATCH($A2292,'Live History'!$G$5:$G$3004,1)),INDEX('AH History'!$B$5:$B$1380,$K2292))),NA()),NA())</f>
        <v/>
      </c>
      <c r="I2292" s="34">
        <f>IFERROR(IF(ISNUMBER($A2292),IF(AND(AH!$U$12=1,2287+1=AH!$U$6),TODAY(),IF(AH!$U$5=1,INDEX('Live History'!$G$5:$G$3004,MATCH($A2292,'Live History'!$G$5:$G$3004,1)),INDEX('AH History'!$C$5:$C$1380,$K2292))),NA()),NA())</f>
        <v/>
      </c>
      <c r="J2292" s="32">
        <f>IFERROR(IF(AND($F2292&gt;0,$H2292&gt;0,$A2292-$G2292&lt;=10,$A2292-$I2292&lt;=5,$G2292&gt;0,$I2292&gt;0),$F2292*$H2292,NA()),NA())</f>
        <v/>
      </c>
      <c r="K2292" s="15">
        <f>IF($A2292="","",IF(AH!$U$5=1,IFERROR(MATCH($A2292,'Live History'!$A$5:$A$3004,0),0),AH!$U$7+2287))</f>
        <v/>
      </c>
      <c r="L2292" s="15">
        <f>IF(ISNUMBER(A2292),TEXT(A2292,"dd-mmm-yy"),"")</f>
        <v/>
      </c>
    </row>
    <row r="2293">
      <c r="A2293" s="14">
        <f>IF(OR(AH!$U$4=0,2288+1&gt;AH!$U$6,AND(AH!$M$5="Bloomberg",AH!$U$5=0)),"",IFERROR(IF(AND(AH!$U$12=1,2288+1=AH!$U$6),TODAY(),IF(AH!$U$5=1,INDEX('Live History'!$A$5:$A$3004,AH!$U$7+2288),INDEX('AH History'!$A$5:$A$1380,AH!$U$7+2288))),""))</f>
        <v/>
      </c>
      <c r="B2293" s="33">
        <f>IFERROR(IF(AH!$U$11=1,NA(),$J2293/$E2293-1),NA())</f>
        <v/>
      </c>
      <c r="C2293" s="269">
        <f>IFERROR(100*$E2293/$E$5,NA())</f>
        <v/>
      </c>
      <c r="D2293" s="269">
        <f>IFERROR(100*$J2293/$J$5,NA())</f>
        <v/>
      </c>
      <c r="E2293" s="32">
        <f>IFERROR(IF(AND(ISNUMBER($A2293),N(IF(AND(AH!$U$12=1,2288+1=AH!$U$6),IF(AH!$U$4=0,"unavailable",INDEX('Market Data'!$AN$5:$AN$66,AH!$U$4)),IF(AH!$U$5=1,INDEX('Live History'!$B$5:$B$3004,$K2293),INDEX('AH History'!$D$5:$GG$1380,$K2293,AH!$U$10))))&gt;0),IF(AND(AH!$U$12=1,2288+1=AH!$U$6),IF(AH!$U$4=0,"unavailable",INDEX('Market Data'!$AN$5:$AN$66,AH!$U$4)),IF(AH!$U$5=1,INDEX('Live History'!$B$5:$B$3004,$K2293),INDEX('AH History'!$D$5:$GG$1380,$K2293,AH!$U$10))),NA()),NA())</f>
        <v/>
      </c>
      <c r="F2293" s="32">
        <f>IFERROR(IF(ISNUMBER($A2293),IF(AND(AH!$U$12=1,2288+1=AH!$U$6),IF(AH!$U$4=0,"unavailable",INDEX('Market Data'!$AO$5:$AO$66,AH!$U$4)),IF(AH!$U$5=1,INDEX('Live History'!$E$5:$E$3004,MATCH($A2293,'Live History'!$D$5:$D$3004,1)),INDEX('AH History'!$D$5:$GG$1380,$K2293,AH!$U$10+1))),NA()),NA())</f>
        <v/>
      </c>
      <c r="G2293" s="34">
        <f>IFERROR(IF(ISNUMBER($A2293),IF(AND(AH!$U$12=1,2288+1=AH!$U$6),IF(AH!$U$4=0,"unavailable",INDEX('Market Data'!$AK$5:$AK$66,AH!$U$4)),IF(AH!$U$5=1,INDEX('Live History'!$D$5:$D$3004,MATCH($A2293,'Live History'!$D$5:$D$3004,1)),INDEX('AH History'!$D$5:$GG$1380,$K2293,AH!$U$10+2))),NA()),NA())</f>
        <v/>
      </c>
      <c r="H2293" s="266">
        <f>IFERROR(IF(ISNUMBER($A2293),IF(AND(AH!$U$12=1,2288+1=AH!$U$6),IF(AH!$U$4=0,"unavailable",INDEX('Market Data'!$AP$5:$AP$66,AH!$U$4)),IF(AH!$U$5=1,INDEX('Live History'!$H$5:$H$3004,MATCH($A2293,'Live History'!$G$5:$G$3004,1)),INDEX('AH History'!$B$5:$B$1380,$K2293))),NA()),NA())</f>
        <v/>
      </c>
      <c r="I2293" s="34">
        <f>IFERROR(IF(ISNUMBER($A2293),IF(AND(AH!$U$12=1,2288+1=AH!$U$6),TODAY(),IF(AH!$U$5=1,INDEX('Live History'!$G$5:$G$3004,MATCH($A2293,'Live History'!$G$5:$G$3004,1)),INDEX('AH History'!$C$5:$C$1380,$K2293))),NA()),NA())</f>
        <v/>
      </c>
      <c r="J2293" s="32">
        <f>IFERROR(IF(AND($F2293&gt;0,$H2293&gt;0,$A2293-$G2293&lt;=10,$A2293-$I2293&lt;=5,$G2293&gt;0,$I2293&gt;0),$F2293*$H2293,NA()),NA())</f>
        <v/>
      </c>
      <c r="K2293" s="15">
        <f>IF($A2293="","",IF(AH!$U$5=1,IFERROR(MATCH($A2293,'Live History'!$A$5:$A$3004,0),0),AH!$U$7+2288))</f>
        <v/>
      </c>
      <c r="L2293" s="15">
        <f>IF(ISNUMBER(A2293),TEXT(A2293,"dd-mmm-yy"),"")</f>
        <v/>
      </c>
    </row>
    <row r="2294">
      <c r="A2294" s="14">
        <f>IF(OR(AH!$U$4=0,2289+1&gt;AH!$U$6,AND(AH!$M$5="Bloomberg",AH!$U$5=0)),"",IFERROR(IF(AND(AH!$U$12=1,2289+1=AH!$U$6),TODAY(),IF(AH!$U$5=1,INDEX('Live History'!$A$5:$A$3004,AH!$U$7+2289),INDEX('AH History'!$A$5:$A$1380,AH!$U$7+2289))),""))</f>
        <v/>
      </c>
      <c r="B2294" s="33">
        <f>IFERROR(IF(AH!$U$11=1,NA(),$J2294/$E2294-1),NA())</f>
        <v/>
      </c>
      <c r="C2294" s="269">
        <f>IFERROR(100*$E2294/$E$5,NA())</f>
        <v/>
      </c>
      <c r="D2294" s="269">
        <f>IFERROR(100*$J2294/$J$5,NA())</f>
        <v/>
      </c>
      <c r="E2294" s="32">
        <f>IFERROR(IF(AND(ISNUMBER($A2294),N(IF(AND(AH!$U$12=1,2289+1=AH!$U$6),IF(AH!$U$4=0,"unavailable",INDEX('Market Data'!$AN$5:$AN$66,AH!$U$4)),IF(AH!$U$5=1,INDEX('Live History'!$B$5:$B$3004,$K2294),INDEX('AH History'!$D$5:$GG$1380,$K2294,AH!$U$10))))&gt;0),IF(AND(AH!$U$12=1,2289+1=AH!$U$6),IF(AH!$U$4=0,"unavailable",INDEX('Market Data'!$AN$5:$AN$66,AH!$U$4)),IF(AH!$U$5=1,INDEX('Live History'!$B$5:$B$3004,$K2294),INDEX('AH History'!$D$5:$GG$1380,$K2294,AH!$U$10))),NA()),NA())</f>
        <v/>
      </c>
      <c r="F2294" s="32">
        <f>IFERROR(IF(ISNUMBER($A2294),IF(AND(AH!$U$12=1,2289+1=AH!$U$6),IF(AH!$U$4=0,"unavailable",INDEX('Market Data'!$AO$5:$AO$66,AH!$U$4)),IF(AH!$U$5=1,INDEX('Live History'!$E$5:$E$3004,MATCH($A2294,'Live History'!$D$5:$D$3004,1)),INDEX('AH History'!$D$5:$GG$1380,$K2294,AH!$U$10+1))),NA()),NA())</f>
        <v/>
      </c>
      <c r="G2294" s="34">
        <f>IFERROR(IF(ISNUMBER($A2294),IF(AND(AH!$U$12=1,2289+1=AH!$U$6),IF(AH!$U$4=0,"unavailable",INDEX('Market Data'!$AK$5:$AK$66,AH!$U$4)),IF(AH!$U$5=1,INDEX('Live History'!$D$5:$D$3004,MATCH($A2294,'Live History'!$D$5:$D$3004,1)),INDEX('AH History'!$D$5:$GG$1380,$K2294,AH!$U$10+2))),NA()),NA())</f>
        <v/>
      </c>
      <c r="H2294" s="266">
        <f>IFERROR(IF(ISNUMBER($A2294),IF(AND(AH!$U$12=1,2289+1=AH!$U$6),IF(AH!$U$4=0,"unavailable",INDEX('Market Data'!$AP$5:$AP$66,AH!$U$4)),IF(AH!$U$5=1,INDEX('Live History'!$H$5:$H$3004,MATCH($A2294,'Live History'!$G$5:$G$3004,1)),INDEX('AH History'!$B$5:$B$1380,$K2294))),NA()),NA())</f>
        <v/>
      </c>
      <c r="I2294" s="34">
        <f>IFERROR(IF(ISNUMBER($A2294),IF(AND(AH!$U$12=1,2289+1=AH!$U$6),TODAY(),IF(AH!$U$5=1,INDEX('Live History'!$G$5:$G$3004,MATCH($A2294,'Live History'!$G$5:$G$3004,1)),INDEX('AH History'!$C$5:$C$1380,$K2294))),NA()),NA())</f>
        <v/>
      </c>
      <c r="J2294" s="32">
        <f>IFERROR(IF(AND($F2294&gt;0,$H2294&gt;0,$A2294-$G2294&lt;=10,$A2294-$I2294&lt;=5,$G2294&gt;0,$I2294&gt;0),$F2294*$H2294,NA()),NA())</f>
        <v/>
      </c>
      <c r="K2294" s="15">
        <f>IF($A2294="","",IF(AH!$U$5=1,IFERROR(MATCH($A2294,'Live History'!$A$5:$A$3004,0),0),AH!$U$7+2289))</f>
        <v/>
      </c>
      <c r="L2294" s="15">
        <f>IF(ISNUMBER(A2294),TEXT(A2294,"dd-mmm-yy"),"")</f>
        <v/>
      </c>
    </row>
    <row r="2295">
      <c r="A2295" s="14">
        <f>IF(OR(AH!$U$4=0,2290+1&gt;AH!$U$6,AND(AH!$M$5="Bloomberg",AH!$U$5=0)),"",IFERROR(IF(AND(AH!$U$12=1,2290+1=AH!$U$6),TODAY(),IF(AH!$U$5=1,INDEX('Live History'!$A$5:$A$3004,AH!$U$7+2290),INDEX('AH History'!$A$5:$A$1380,AH!$U$7+2290))),""))</f>
        <v/>
      </c>
      <c r="B2295" s="33">
        <f>IFERROR(IF(AH!$U$11=1,NA(),$J2295/$E2295-1),NA())</f>
        <v/>
      </c>
      <c r="C2295" s="269">
        <f>IFERROR(100*$E2295/$E$5,NA())</f>
        <v/>
      </c>
      <c r="D2295" s="269">
        <f>IFERROR(100*$J2295/$J$5,NA())</f>
        <v/>
      </c>
      <c r="E2295" s="32">
        <f>IFERROR(IF(AND(ISNUMBER($A2295),N(IF(AND(AH!$U$12=1,2290+1=AH!$U$6),IF(AH!$U$4=0,"unavailable",INDEX('Market Data'!$AN$5:$AN$66,AH!$U$4)),IF(AH!$U$5=1,INDEX('Live History'!$B$5:$B$3004,$K2295),INDEX('AH History'!$D$5:$GG$1380,$K2295,AH!$U$10))))&gt;0),IF(AND(AH!$U$12=1,2290+1=AH!$U$6),IF(AH!$U$4=0,"unavailable",INDEX('Market Data'!$AN$5:$AN$66,AH!$U$4)),IF(AH!$U$5=1,INDEX('Live History'!$B$5:$B$3004,$K2295),INDEX('AH History'!$D$5:$GG$1380,$K2295,AH!$U$10))),NA()),NA())</f>
        <v/>
      </c>
      <c r="F2295" s="32">
        <f>IFERROR(IF(ISNUMBER($A2295),IF(AND(AH!$U$12=1,2290+1=AH!$U$6),IF(AH!$U$4=0,"unavailable",INDEX('Market Data'!$AO$5:$AO$66,AH!$U$4)),IF(AH!$U$5=1,INDEX('Live History'!$E$5:$E$3004,MATCH($A2295,'Live History'!$D$5:$D$3004,1)),INDEX('AH History'!$D$5:$GG$1380,$K2295,AH!$U$10+1))),NA()),NA())</f>
        <v/>
      </c>
      <c r="G2295" s="34">
        <f>IFERROR(IF(ISNUMBER($A2295),IF(AND(AH!$U$12=1,2290+1=AH!$U$6),IF(AH!$U$4=0,"unavailable",INDEX('Market Data'!$AK$5:$AK$66,AH!$U$4)),IF(AH!$U$5=1,INDEX('Live History'!$D$5:$D$3004,MATCH($A2295,'Live History'!$D$5:$D$3004,1)),INDEX('AH History'!$D$5:$GG$1380,$K2295,AH!$U$10+2))),NA()),NA())</f>
        <v/>
      </c>
      <c r="H2295" s="266">
        <f>IFERROR(IF(ISNUMBER($A2295),IF(AND(AH!$U$12=1,2290+1=AH!$U$6),IF(AH!$U$4=0,"unavailable",INDEX('Market Data'!$AP$5:$AP$66,AH!$U$4)),IF(AH!$U$5=1,INDEX('Live History'!$H$5:$H$3004,MATCH($A2295,'Live History'!$G$5:$G$3004,1)),INDEX('AH History'!$B$5:$B$1380,$K2295))),NA()),NA())</f>
        <v/>
      </c>
      <c r="I2295" s="34">
        <f>IFERROR(IF(ISNUMBER($A2295),IF(AND(AH!$U$12=1,2290+1=AH!$U$6),TODAY(),IF(AH!$U$5=1,INDEX('Live History'!$G$5:$G$3004,MATCH($A2295,'Live History'!$G$5:$G$3004,1)),INDEX('AH History'!$C$5:$C$1380,$K2295))),NA()),NA())</f>
        <v/>
      </c>
      <c r="J2295" s="32">
        <f>IFERROR(IF(AND($F2295&gt;0,$H2295&gt;0,$A2295-$G2295&lt;=10,$A2295-$I2295&lt;=5,$G2295&gt;0,$I2295&gt;0),$F2295*$H2295,NA()),NA())</f>
        <v/>
      </c>
      <c r="K2295" s="15">
        <f>IF($A2295="","",IF(AH!$U$5=1,IFERROR(MATCH($A2295,'Live History'!$A$5:$A$3004,0),0),AH!$U$7+2290))</f>
        <v/>
      </c>
      <c r="L2295" s="15">
        <f>IF(ISNUMBER(A2295),TEXT(A2295,"dd-mmm-yy"),"")</f>
        <v/>
      </c>
    </row>
    <row r="2296">
      <c r="A2296" s="14">
        <f>IF(OR(AH!$U$4=0,2291+1&gt;AH!$U$6,AND(AH!$M$5="Bloomberg",AH!$U$5=0)),"",IFERROR(IF(AND(AH!$U$12=1,2291+1=AH!$U$6),TODAY(),IF(AH!$U$5=1,INDEX('Live History'!$A$5:$A$3004,AH!$U$7+2291),INDEX('AH History'!$A$5:$A$1380,AH!$U$7+2291))),""))</f>
        <v/>
      </c>
      <c r="B2296" s="33">
        <f>IFERROR(IF(AH!$U$11=1,NA(),$J2296/$E2296-1),NA())</f>
        <v/>
      </c>
      <c r="C2296" s="269">
        <f>IFERROR(100*$E2296/$E$5,NA())</f>
        <v/>
      </c>
      <c r="D2296" s="269">
        <f>IFERROR(100*$J2296/$J$5,NA())</f>
        <v/>
      </c>
      <c r="E2296" s="32">
        <f>IFERROR(IF(AND(ISNUMBER($A2296),N(IF(AND(AH!$U$12=1,2291+1=AH!$U$6),IF(AH!$U$4=0,"unavailable",INDEX('Market Data'!$AN$5:$AN$66,AH!$U$4)),IF(AH!$U$5=1,INDEX('Live History'!$B$5:$B$3004,$K2296),INDEX('AH History'!$D$5:$GG$1380,$K2296,AH!$U$10))))&gt;0),IF(AND(AH!$U$12=1,2291+1=AH!$U$6),IF(AH!$U$4=0,"unavailable",INDEX('Market Data'!$AN$5:$AN$66,AH!$U$4)),IF(AH!$U$5=1,INDEX('Live History'!$B$5:$B$3004,$K2296),INDEX('AH History'!$D$5:$GG$1380,$K2296,AH!$U$10))),NA()),NA())</f>
        <v/>
      </c>
      <c r="F2296" s="32">
        <f>IFERROR(IF(ISNUMBER($A2296),IF(AND(AH!$U$12=1,2291+1=AH!$U$6),IF(AH!$U$4=0,"unavailable",INDEX('Market Data'!$AO$5:$AO$66,AH!$U$4)),IF(AH!$U$5=1,INDEX('Live History'!$E$5:$E$3004,MATCH($A2296,'Live History'!$D$5:$D$3004,1)),INDEX('AH History'!$D$5:$GG$1380,$K2296,AH!$U$10+1))),NA()),NA())</f>
        <v/>
      </c>
      <c r="G2296" s="34">
        <f>IFERROR(IF(ISNUMBER($A2296),IF(AND(AH!$U$12=1,2291+1=AH!$U$6),IF(AH!$U$4=0,"unavailable",INDEX('Market Data'!$AK$5:$AK$66,AH!$U$4)),IF(AH!$U$5=1,INDEX('Live History'!$D$5:$D$3004,MATCH($A2296,'Live History'!$D$5:$D$3004,1)),INDEX('AH History'!$D$5:$GG$1380,$K2296,AH!$U$10+2))),NA()),NA())</f>
        <v/>
      </c>
      <c r="H2296" s="266">
        <f>IFERROR(IF(ISNUMBER($A2296),IF(AND(AH!$U$12=1,2291+1=AH!$U$6),IF(AH!$U$4=0,"unavailable",INDEX('Market Data'!$AP$5:$AP$66,AH!$U$4)),IF(AH!$U$5=1,INDEX('Live History'!$H$5:$H$3004,MATCH($A2296,'Live History'!$G$5:$G$3004,1)),INDEX('AH History'!$B$5:$B$1380,$K2296))),NA()),NA())</f>
        <v/>
      </c>
      <c r="I2296" s="34">
        <f>IFERROR(IF(ISNUMBER($A2296),IF(AND(AH!$U$12=1,2291+1=AH!$U$6),TODAY(),IF(AH!$U$5=1,INDEX('Live History'!$G$5:$G$3004,MATCH($A2296,'Live History'!$G$5:$G$3004,1)),INDEX('AH History'!$C$5:$C$1380,$K2296))),NA()),NA())</f>
        <v/>
      </c>
      <c r="J2296" s="32">
        <f>IFERROR(IF(AND($F2296&gt;0,$H2296&gt;0,$A2296-$G2296&lt;=10,$A2296-$I2296&lt;=5,$G2296&gt;0,$I2296&gt;0),$F2296*$H2296,NA()),NA())</f>
        <v/>
      </c>
      <c r="K2296" s="15">
        <f>IF($A2296="","",IF(AH!$U$5=1,IFERROR(MATCH($A2296,'Live History'!$A$5:$A$3004,0),0),AH!$U$7+2291))</f>
        <v/>
      </c>
      <c r="L2296" s="15">
        <f>IF(ISNUMBER(A2296),TEXT(A2296,"dd-mmm-yy"),"")</f>
        <v/>
      </c>
    </row>
    <row r="2297">
      <c r="A2297" s="14">
        <f>IF(OR(AH!$U$4=0,2292+1&gt;AH!$U$6,AND(AH!$M$5="Bloomberg",AH!$U$5=0)),"",IFERROR(IF(AND(AH!$U$12=1,2292+1=AH!$U$6),TODAY(),IF(AH!$U$5=1,INDEX('Live History'!$A$5:$A$3004,AH!$U$7+2292),INDEX('AH History'!$A$5:$A$1380,AH!$U$7+2292))),""))</f>
        <v/>
      </c>
      <c r="B2297" s="33">
        <f>IFERROR(IF(AH!$U$11=1,NA(),$J2297/$E2297-1),NA())</f>
        <v/>
      </c>
      <c r="C2297" s="269">
        <f>IFERROR(100*$E2297/$E$5,NA())</f>
        <v/>
      </c>
      <c r="D2297" s="269">
        <f>IFERROR(100*$J2297/$J$5,NA())</f>
        <v/>
      </c>
      <c r="E2297" s="32">
        <f>IFERROR(IF(AND(ISNUMBER($A2297),N(IF(AND(AH!$U$12=1,2292+1=AH!$U$6),IF(AH!$U$4=0,"unavailable",INDEX('Market Data'!$AN$5:$AN$66,AH!$U$4)),IF(AH!$U$5=1,INDEX('Live History'!$B$5:$B$3004,$K2297),INDEX('AH History'!$D$5:$GG$1380,$K2297,AH!$U$10))))&gt;0),IF(AND(AH!$U$12=1,2292+1=AH!$U$6),IF(AH!$U$4=0,"unavailable",INDEX('Market Data'!$AN$5:$AN$66,AH!$U$4)),IF(AH!$U$5=1,INDEX('Live History'!$B$5:$B$3004,$K2297),INDEX('AH History'!$D$5:$GG$1380,$K2297,AH!$U$10))),NA()),NA())</f>
        <v/>
      </c>
      <c r="F2297" s="32">
        <f>IFERROR(IF(ISNUMBER($A2297),IF(AND(AH!$U$12=1,2292+1=AH!$U$6),IF(AH!$U$4=0,"unavailable",INDEX('Market Data'!$AO$5:$AO$66,AH!$U$4)),IF(AH!$U$5=1,INDEX('Live History'!$E$5:$E$3004,MATCH($A2297,'Live History'!$D$5:$D$3004,1)),INDEX('AH History'!$D$5:$GG$1380,$K2297,AH!$U$10+1))),NA()),NA())</f>
        <v/>
      </c>
      <c r="G2297" s="34">
        <f>IFERROR(IF(ISNUMBER($A2297),IF(AND(AH!$U$12=1,2292+1=AH!$U$6),IF(AH!$U$4=0,"unavailable",INDEX('Market Data'!$AK$5:$AK$66,AH!$U$4)),IF(AH!$U$5=1,INDEX('Live History'!$D$5:$D$3004,MATCH($A2297,'Live History'!$D$5:$D$3004,1)),INDEX('AH History'!$D$5:$GG$1380,$K2297,AH!$U$10+2))),NA()),NA())</f>
        <v/>
      </c>
      <c r="H2297" s="266">
        <f>IFERROR(IF(ISNUMBER($A2297),IF(AND(AH!$U$12=1,2292+1=AH!$U$6),IF(AH!$U$4=0,"unavailable",INDEX('Market Data'!$AP$5:$AP$66,AH!$U$4)),IF(AH!$U$5=1,INDEX('Live History'!$H$5:$H$3004,MATCH($A2297,'Live History'!$G$5:$G$3004,1)),INDEX('AH History'!$B$5:$B$1380,$K2297))),NA()),NA())</f>
        <v/>
      </c>
      <c r="I2297" s="34">
        <f>IFERROR(IF(ISNUMBER($A2297),IF(AND(AH!$U$12=1,2292+1=AH!$U$6),TODAY(),IF(AH!$U$5=1,INDEX('Live History'!$G$5:$G$3004,MATCH($A2297,'Live History'!$G$5:$G$3004,1)),INDEX('AH History'!$C$5:$C$1380,$K2297))),NA()),NA())</f>
        <v/>
      </c>
      <c r="J2297" s="32">
        <f>IFERROR(IF(AND($F2297&gt;0,$H2297&gt;0,$A2297-$G2297&lt;=10,$A2297-$I2297&lt;=5,$G2297&gt;0,$I2297&gt;0),$F2297*$H2297,NA()),NA())</f>
        <v/>
      </c>
      <c r="K2297" s="15">
        <f>IF($A2297="","",IF(AH!$U$5=1,IFERROR(MATCH($A2297,'Live History'!$A$5:$A$3004,0),0),AH!$U$7+2292))</f>
        <v/>
      </c>
      <c r="L2297" s="15">
        <f>IF(ISNUMBER(A2297),TEXT(A2297,"dd-mmm-yy"),"")</f>
        <v/>
      </c>
    </row>
    <row r="2298">
      <c r="A2298" s="14">
        <f>IF(OR(AH!$U$4=0,2293+1&gt;AH!$U$6,AND(AH!$M$5="Bloomberg",AH!$U$5=0)),"",IFERROR(IF(AND(AH!$U$12=1,2293+1=AH!$U$6),TODAY(),IF(AH!$U$5=1,INDEX('Live History'!$A$5:$A$3004,AH!$U$7+2293),INDEX('AH History'!$A$5:$A$1380,AH!$U$7+2293))),""))</f>
        <v/>
      </c>
      <c r="B2298" s="33">
        <f>IFERROR(IF(AH!$U$11=1,NA(),$J2298/$E2298-1),NA())</f>
        <v/>
      </c>
      <c r="C2298" s="269">
        <f>IFERROR(100*$E2298/$E$5,NA())</f>
        <v/>
      </c>
      <c r="D2298" s="269">
        <f>IFERROR(100*$J2298/$J$5,NA())</f>
        <v/>
      </c>
      <c r="E2298" s="32">
        <f>IFERROR(IF(AND(ISNUMBER($A2298),N(IF(AND(AH!$U$12=1,2293+1=AH!$U$6),IF(AH!$U$4=0,"unavailable",INDEX('Market Data'!$AN$5:$AN$66,AH!$U$4)),IF(AH!$U$5=1,INDEX('Live History'!$B$5:$B$3004,$K2298),INDEX('AH History'!$D$5:$GG$1380,$K2298,AH!$U$10))))&gt;0),IF(AND(AH!$U$12=1,2293+1=AH!$U$6),IF(AH!$U$4=0,"unavailable",INDEX('Market Data'!$AN$5:$AN$66,AH!$U$4)),IF(AH!$U$5=1,INDEX('Live History'!$B$5:$B$3004,$K2298),INDEX('AH History'!$D$5:$GG$1380,$K2298,AH!$U$10))),NA()),NA())</f>
        <v/>
      </c>
      <c r="F2298" s="32">
        <f>IFERROR(IF(ISNUMBER($A2298),IF(AND(AH!$U$12=1,2293+1=AH!$U$6),IF(AH!$U$4=0,"unavailable",INDEX('Market Data'!$AO$5:$AO$66,AH!$U$4)),IF(AH!$U$5=1,INDEX('Live History'!$E$5:$E$3004,MATCH($A2298,'Live History'!$D$5:$D$3004,1)),INDEX('AH History'!$D$5:$GG$1380,$K2298,AH!$U$10+1))),NA()),NA())</f>
        <v/>
      </c>
      <c r="G2298" s="34">
        <f>IFERROR(IF(ISNUMBER($A2298),IF(AND(AH!$U$12=1,2293+1=AH!$U$6),IF(AH!$U$4=0,"unavailable",INDEX('Market Data'!$AK$5:$AK$66,AH!$U$4)),IF(AH!$U$5=1,INDEX('Live History'!$D$5:$D$3004,MATCH($A2298,'Live History'!$D$5:$D$3004,1)),INDEX('AH History'!$D$5:$GG$1380,$K2298,AH!$U$10+2))),NA()),NA())</f>
        <v/>
      </c>
      <c r="H2298" s="266">
        <f>IFERROR(IF(ISNUMBER($A2298),IF(AND(AH!$U$12=1,2293+1=AH!$U$6),IF(AH!$U$4=0,"unavailable",INDEX('Market Data'!$AP$5:$AP$66,AH!$U$4)),IF(AH!$U$5=1,INDEX('Live History'!$H$5:$H$3004,MATCH($A2298,'Live History'!$G$5:$G$3004,1)),INDEX('AH History'!$B$5:$B$1380,$K2298))),NA()),NA())</f>
        <v/>
      </c>
      <c r="I2298" s="34">
        <f>IFERROR(IF(ISNUMBER($A2298),IF(AND(AH!$U$12=1,2293+1=AH!$U$6),TODAY(),IF(AH!$U$5=1,INDEX('Live History'!$G$5:$G$3004,MATCH($A2298,'Live History'!$G$5:$G$3004,1)),INDEX('AH History'!$C$5:$C$1380,$K2298))),NA()),NA())</f>
        <v/>
      </c>
      <c r="J2298" s="32">
        <f>IFERROR(IF(AND($F2298&gt;0,$H2298&gt;0,$A2298-$G2298&lt;=10,$A2298-$I2298&lt;=5,$G2298&gt;0,$I2298&gt;0),$F2298*$H2298,NA()),NA())</f>
        <v/>
      </c>
      <c r="K2298" s="15">
        <f>IF($A2298="","",IF(AH!$U$5=1,IFERROR(MATCH($A2298,'Live History'!$A$5:$A$3004,0),0),AH!$U$7+2293))</f>
        <v/>
      </c>
      <c r="L2298" s="15">
        <f>IF(ISNUMBER(A2298),TEXT(A2298,"dd-mmm-yy"),"")</f>
        <v/>
      </c>
    </row>
    <row r="2299">
      <c r="A2299" s="14">
        <f>IF(OR(AH!$U$4=0,2294+1&gt;AH!$U$6,AND(AH!$M$5="Bloomberg",AH!$U$5=0)),"",IFERROR(IF(AND(AH!$U$12=1,2294+1=AH!$U$6),TODAY(),IF(AH!$U$5=1,INDEX('Live History'!$A$5:$A$3004,AH!$U$7+2294),INDEX('AH History'!$A$5:$A$1380,AH!$U$7+2294))),""))</f>
        <v/>
      </c>
      <c r="B2299" s="33">
        <f>IFERROR(IF(AH!$U$11=1,NA(),$J2299/$E2299-1),NA())</f>
        <v/>
      </c>
      <c r="C2299" s="269">
        <f>IFERROR(100*$E2299/$E$5,NA())</f>
        <v/>
      </c>
      <c r="D2299" s="269">
        <f>IFERROR(100*$J2299/$J$5,NA())</f>
        <v/>
      </c>
      <c r="E2299" s="32">
        <f>IFERROR(IF(AND(ISNUMBER($A2299),N(IF(AND(AH!$U$12=1,2294+1=AH!$U$6),IF(AH!$U$4=0,"unavailable",INDEX('Market Data'!$AN$5:$AN$66,AH!$U$4)),IF(AH!$U$5=1,INDEX('Live History'!$B$5:$B$3004,$K2299),INDEX('AH History'!$D$5:$GG$1380,$K2299,AH!$U$10))))&gt;0),IF(AND(AH!$U$12=1,2294+1=AH!$U$6),IF(AH!$U$4=0,"unavailable",INDEX('Market Data'!$AN$5:$AN$66,AH!$U$4)),IF(AH!$U$5=1,INDEX('Live History'!$B$5:$B$3004,$K2299),INDEX('AH History'!$D$5:$GG$1380,$K2299,AH!$U$10))),NA()),NA())</f>
        <v/>
      </c>
      <c r="F2299" s="32">
        <f>IFERROR(IF(ISNUMBER($A2299),IF(AND(AH!$U$12=1,2294+1=AH!$U$6),IF(AH!$U$4=0,"unavailable",INDEX('Market Data'!$AO$5:$AO$66,AH!$U$4)),IF(AH!$U$5=1,INDEX('Live History'!$E$5:$E$3004,MATCH($A2299,'Live History'!$D$5:$D$3004,1)),INDEX('AH History'!$D$5:$GG$1380,$K2299,AH!$U$10+1))),NA()),NA())</f>
        <v/>
      </c>
      <c r="G2299" s="34">
        <f>IFERROR(IF(ISNUMBER($A2299),IF(AND(AH!$U$12=1,2294+1=AH!$U$6),IF(AH!$U$4=0,"unavailable",INDEX('Market Data'!$AK$5:$AK$66,AH!$U$4)),IF(AH!$U$5=1,INDEX('Live History'!$D$5:$D$3004,MATCH($A2299,'Live History'!$D$5:$D$3004,1)),INDEX('AH History'!$D$5:$GG$1380,$K2299,AH!$U$10+2))),NA()),NA())</f>
        <v/>
      </c>
      <c r="H2299" s="266">
        <f>IFERROR(IF(ISNUMBER($A2299),IF(AND(AH!$U$12=1,2294+1=AH!$U$6),IF(AH!$U$4=0,"unavailable",INDEX('Market Data'!$AP$5:$AP$66,AH!$U$4)),IF(AH!$U$5=1,INDEX('Live History'!$H$5:$H$3004,MATCH($A2299,'Live History'!$G$5:$G$3004,1)),INDEX('AH History'!$B$5:$B$1380,$K2299))),NA()),NA())</f>
        <v/>
      </c>
      <c r="I2299" s="34">
        <f>IFERROR(IF(ISNUMBER($A2299),IF(AND(AH!$U$12=1,2294+1=AH!$U$6),TODAY(),IF(AH!$U$5=1,INDEX('Live History'!$G$5:$G$3004,MATCH($A2299,'Live History'!$G$5:$G$3004,1)),INDEX('AH History'!$C$5:$C$1380,$K2299))),NA()),NA())</f>
        <v/>
      </c>
      <c r="J2299" s="32">
        <f>IFERROR(IF(AND($F2299&gt;0,$H2299&gt;0,$A2299-$G2299&lt;=10,$A2299-$I2299&lt;=5,$G2299&gt;0,$I2299&gt;0),$F2299*$H2299,NA()),NA())</f>
        <v/>
      </c>
      <c r="K2299" s="15">
        <f>IF($A2299="","",IF(AH!$U$5=1,IFERROR(MATCH($A2299,'Live History'!$A$5:$A$3004,0),0),AH!$U$7+2294))</f>
        <v/>
      </c>
      <c r="L2299" s="15">
        <f>IF(ISNUMBER(A2299),TEXT(A2299,"dd-mmm-yy"),"")</f>
        <v/>
      </c>
    </row>
    <row r="2300">
      <c r="A2300" s="14">
        <f>IF(OR(AH!$U$4=0,2295+1&gt;AH!$U$6,AND(AH!$M$5="Bloomberg",AH!$U$5=0)),"",IFERROR(IF(AND(AH!$U$12=1,2295+1=AH!$U$6),TODAY(),IF(AH!$U$5=1,INDEX('Live History'!$A$5:$A$3004,AH!$U$7+2295),INDEX('AH History'!$A$5:$A$1380,AH!$U$7+2295))),""))</f>
        <v/>
      </c>
      <c r="B2300" s="33">
        <f>IFERROR(IF(AH!$U$11=1,NA(),$J2300/$E2300-1),NA())</f>
        <v/>
      </c>
      <c r="C2300" s="269">
        <f>IFERROR(100*$E2300/$E$5,NA())</f>
        <v/>
      </c>
      <c r="D2300" s="269">
        <f>IFERROR(100*$J2300/$J$5,NA())</f>
        <v/>
      </c>
      <c r="E2300" s="32">
        <f>IFERROR(IF(AND(ISNUMBER($A2300),N(IF(AND(AH!$U$12=1,2295+1=AH!$U$6),IF(AH!$U$4=0,"unavailable",INDEX('Market Data'!$AN$5:$AN$66,AH!$U$4)),IF(AH!$U$5=1,INDEX('Live History'!$B$5:$B$3004,$K2300),INDEX('AH History'!$D$5:$GG$1380,$K2300,AH!$U$10))))&gt;0),IF(AND(AH!$U$12=1,2295+1=AH!$U$6),IF(AH!$U$4=0,"unavailable",INDEX('Market Data'!$AN$5:$AN$66,AH!$U$4)),IF(AH!$U$5=1,INDEX('Live History'!$B$5:$B$3004,$K2300),INDEX('AH History'!$D$5:$GG$1380,$K2300,AH!$U$10))),NA()),NA())</f>
        <v/>
      </c>
      <c r="F2300" s="32">
        <f>IFERROR(IF(ISNUMBER($A2300),IF(AND(AH!$U$12=1,2295+1=AH!$U$6),IF(AH!$U$4=0,"unavailable",INDEX('Market Data'!$AO$5:$AO$66,AH!$U$4)),IF(AH!$U$5=1,INDEX('Live History'!$E$5:$E$3004,MATCH($A2300,'Live History'!$D$5:$D$3004,1)),INDEX('AH History'!$D$5:$GG$1380,$K2300,AH!$U$10+1))),NA()),NA())</f>
        <v/>
      </c>
      <c r="G2300" s="34">
        <f>IFERROR(IF(ISNUMBER($A2300),IF(AND(AH!$U$12=1,2295+1=AH!$U$6),IF(AH!$U$4=0,"unavailable",INDEX('Market Data'!$AK$5:$AK$66,AH!$U$4)),IF(AH!$U$5=1,INDEX('Live History'!$D$5:$D$3004,MATCH($A2300,'Live History'!$D$5:$D$3004,1)),INDEX('AH History'!$D$5:$GG$1380,$K2300,AH!$U$10+2))),NA()),NA())</f>
        <v/>
      </c>
      <c r="H2300" s="266">
        <f>IFERROR(IF(ISNUMBER($A2300),IF(AND(AH!$U$12=1,2295+1=AH!$U$6),IF(AH!$U$4=0,"unavailable",INDEX('Market Data'!$AP$5:$AP$66,AH!$U$4)),IF(AH!$U$5=1,INDEX('Live History'!$H$5:$H$3004,MATCH($A2300,'Live History'!$G$5:$G$3004,1)),INDEX('AH History'!$B$5:$B$1380,$K2300))),NA()),NA())</f>
        <v/>
      </c>
      <c r="I2300" s="34">
        <f>IFERROR(IF(ISNUMBER($A2300),IF(AND(AH!$U$12=1,2295+1=AH!$U$6),TODAY(),IF(AH!$U$5=1,INDEX('Live History'!$G$5:$G$3004,MATCH($A2300,'Live History'!$G$5:$G$3004,1)),INDEX('AH History'!$C$5:$C$1380,$K2300))),NA()),NA())</f>
        <v/>
      </c>
      <c r="J2300" s="32">
        <f>IFERROR(IF(AND($F2300&gt;0,$H2300&gt;0,$A2300-$G2300&lt;=10,$A2300-$I2300&lt;=5,$G2300&gt;0,$I2300&gt;0),$F2300*$H2300,NA()),NA())</f>
        <v/>
      </c>
      <c r="K2300" s="15">
        <f>IF($A2300="","",IF(AH!$U$5=1,IFERROR(MATCH($A2300,'Live History'!$A$5:$A$3004,0),0),AH!$U$7+2295))</f>
        <v/>
      </c>
      <c r="L2300" s="15">
        <f>IF(ISNUMBER(A2300),TEXT(A2300,"dd-mmm-yy"),"")</f>
        <v/>
      </c>
    </row>
    <row r="2301">
      <c r="A2301" s="14">
        <f>IF(OR(AH!$U$4=0,2296+1&gt;AH!$U$6,AND(AH!$M$5="Bloomberg",AH!$U$5=0)),"",IFERROR(IF(AND(AH!$U$12=1,2296+1=AH!$U$6),TODAY(),IF(AH!$U$5=1,INDEX('Live History'!$A$5:$A$3004,AH!$U$7+2296),INDEX('AH History'!$A$5:$A$1380,AH!$U$7+2296))),""))</f>
        <v/>
      </c>
      <c r="B2301" s="33">
        <f>IFERROR(IF(AH!$U$11=1,NA(),$J2301/$E2301-1),NA())</f>
        <v/>
      </c>
      <c r="C2301" s="269">
        <f>IFERROR(100*$E2301/$E$5,NA())</f>
        <v/>
      </c>
      <c r="D2301" s="269">
        <f>IFERROR(100*$J2301/$J$5,NA())</f>
        <v/>
      </c>
      <c r="E2301" s="32">
        <f>IFERROR(IF(AND(ISNUMBER($A2301),N(IF(AND(AH!$U$12=1,2296+1=AH!$U$6),IF(AH!$U$4=0,"unavailable",INDEX('Market Data'!$AN$5:$AN$66,AH!$U$4)),IF(AH!$U$5=1,INDEX('Live History'!$B$5:$B$3004,$K2301),INDEX('AH History'!$D$5:$GG$1380,$K2301,AH!$U$10))))&gt;0),IF(AND(AH!$U$12=1,2296+1=AH!$U$6),IF(AH!$U$4=0,"unavailable",INDEX('Market Data'!$AN$5:$AN$66,AH!$U$4)),IF(AH!$U$5=1,INDEX('Live History'!$B$5:$B$3004,$K2301),INDEX('AH History'!$D$5:$GG$1380,$K2301,AH!$U$10))),NA()),NA())</f>
        <v/>
      </c>
      <c r="F2301" s="32">
        <f>IFERROR(IF(ISNUMBER($A2301),IF(AND(AH!$U$12=1,2296+1=AH!$U$6),IF(AH!$U$4=0,"unavailable",INDEX('Market Data'!$AO$5:$AO$66,AH!$U$4)),IF(AH!$U$5=1,INDEX('Live History'!$E$5:$E$3004,MATCH($A2301,'Live History'!$D$5:$D$3004,1)),INDEX('AH History'!$D$5:$GG$1380,$K2301,AH!$U$10+1))),NA()),NA())</f>
        <v/>
      </c>
      <c r="G2301" s="34">
        <f>IFERROR(IF(ISNUMBER($A2301),IF(AND(AH!$U$12=1,2296+1=AH!$U$6),IF(AH!$U$4=0,"unavailable",INDEX('Market Data'!$AK$5:$AK$66,AH!$U$4)),IF(AH!$U$5=1,INDEX('Live History'!$D$5:$D$3004,MATCH($A2301,'Live History'!$D$5:$D$3004,1)),INDEX('AH History'!$D$5:$GG$1380,$K2301,AH!$U$10+2))),NA()),NA())</f>
        <v/>
      </c>
      <c r="H2301" s="266">
        <f>IFERROR(IF(ISNUMBER($A2301),IF(AND(AH!$U$12=1,2296+1=AH!$U$6),IF(AH!$U$4=0,"unavailable",INDEX('Market Data'!$AP$5:$AP$66,AH!$U$4)),IF(AH!$U$5=1,INDEX('Live History'!$H$5:$H$3004,MATCH($A2301,'Live History'!$G$5:$G$3004,1)),INDEX('AH History'!$B$5:$B$1380,$K2301))),NA()),NA())</f>
        <v/>
      </c>
      <c r="I2301" s="34">
        <f>IFERROR(IF(ISNUMBER($A2301),IF(AND(AH!$U$12=1,2296+1=AH!$U$6),TODAY(),IF(AH!$U$5=1,INDEX('Live History'!$G$5:$G$3004,MATCH($A2301,'Live History'!$G$5:$G$3004,1)),INDEX('AH History'!$C$5:$C$1380,$K2301))),NA()),NA())</f>
        <v/>
      </c>
      <c r="J2301" s="32">
        <f>IFERROR(IF(AND($F2301&gt;0,$H2301&gt;0,$A2301-$G2301&lt;=10,$A2301-$I2301&lt;=5,$G2301&gt;0,$I2301&gt;0),$F2301*$H2301,NA()),NA())</f>
        <v/>
      </c>
      <c r="K2301" s="15">
        <f>IF($A2301="","",IF(AH!$U$5=1,IFERROR(MATCH($A2301,'Live History'!$A$5:$A$3004,0),0),AH!$U$7+2296))</f>
        <v/>
      </c>
      <c r="L2301" s="15">
        <f>IF(ISNUMBER(A2301),TEXT(A2301,"dd-mmm-yy"),"")</f>
        <v/>
      </c>
    </row>
    <row r="2302">
      <c r="A2302" s="14">
        <f>IF(OR(AH!$U$4=0,2297+1&gt;AH!$U$6,AND(AH!$M$5="Bloomberg",AH!$U$5=0)),"",IFERROR(IF(AND(AH!$U$12=1,2297+1=AH!$U$6),TODAY(),IF(AH!$U$5=1,INDEX('Live History'!$A$5:$A$3004,AH!$U$7+2297),INDEX('AH History'!$A$5:$A$1380,AH!$U$7+2297))),""))</f>
        <v/>
      </c>
      <c r="B2302" s="33">
        <f>IFERROR(IF(AH!$U$11=1,NA(),$J2302/$E2302-1),NA())</f>
        <v/>
      </c>
      <c r="C2302" s="269">
        <f>IFERROR(100*$E2302/$E$5,NA())</f>
        <v/>
      </c>
      <c r="D2302" s="269">
        <f>IFERROR(100*$J2302/$J$5,NA())</f>
        <v/>
      </c>
      <c r="E2302" s="32">
        <f>IFERROR(IF(AND(ISNUMBER($A2302),N(IF(AND(AH!$U$12=1,2297+1=AH!$U$6),IF(AH!$U$4=0,"unavailable",INDEX('Market Data'!$AN$5:$AN$66,AH!$U$4)),IF(AH!$U$5=1,INDEX('Live History'!$B$5:$B$3004,$K2302),INDEX('AH History'!$D$5:$GG$1380,$K2302,AH!$U$10))))&gt;0),IF(AND(AH!$U$12=1,2297+1=AH!$U$6),IF(AH!$U$4=0,"unavailable",INDEX('Market Data'!$AN$5:$AN$66,AH!$U$4)),IF(AH!$U$5=1,INDEX('Live History'!$B$5:$B$3004,$K2302),INDEX('AH History'!$D$5:$GG$1380,$K2302,AH!$U$10))),NA()),NA())</f>
        <v/>
      </c>
      <c r="F2302" s="32">
        <f>IFERROR(IF(ISNUMBER($A2302),IF(AND(AH!$U$12=1,2297+1=AH!$U$6),IF(AH!$U$4=0,"unavailable",INDEX('Market Data'!$AO$5:$AO$66,AH!$U$4)),IF(AH!$U$5=1,INDEX('Live History'!$E$5:$E$3004,MATCH($A2302,'Live History'!$D$5:$D$3004,1)),INDEX('AH History'!$D$5:$GG$1380,$K2302,AH!$U$10+1))),NA()),NA())</f>
        <v/>
      </c>
      <c r="G2302" s="34">
        <f>IFERROR(IF(ISNUMBER($A2302),IF(AND(AH!$U$12=1,2297+1=AH!$U$6),IF(AH!$U$4=0,"unavailable",INDEX('Market Data'!$AK$5:$AK$66,AH!$U$4)),IF(AH!$U$5=1,INDEX('Live History'!$D$5:$D$3004,MATCH($A2302,'Live History'!$D$5:$D$3004,1)),INDEX('AH History'!$D$5:$GG$1380,$K2302,AH!$U$10+2))),NA()),NA())</f>
        <v/>
      </c>
      <c r="H2302" s="266">
        <f>IFERROR(IF(ISNUMBER($A2302),IF(AND(AH!$U$12=1,2297+1=AH!$U$6),IF(AH!$U$4=0,"unavailable",INDEX('Market Data'!$AP$5:$AP$66,AH!$U$4)),IF(AH!$U$5=1,INDEX('Live History'!$H$5:$H$3004,MATCH($A2302,'Live History'!$G$5:$G$3004,1)),INDEX('AH History'!$B$5:$B$1380,$K2302))),NA()),NA())</f>
        <v/>
      </c>
      <c r="I2302" s="34">
        <f>IFERROR(IF(ISNUMBER($A2302),IF(AND(AH!$U$12=1,2297+1=AH!$U$6),TODAY(),IF(AH!$U$5=1,INDEX('Live History'!$G$5:$G$3004,MATCH($A2302,'Live History'!$G$5:$G$3004,1)),INDEX('AH History'!$C$5:$C$1380,$K2302))),NA()),NA())</f>
        <v/>
      </c>
      <c r="J2302" s="32">
        <f>IFERROR(IF(AND($F2302&gt;0,$H2302&gt;0,$A2302-$G2302&lt;=10,$A2302-$I2302&lt;=5,$G2302&gt;0,$I2302&gt;0),$F2302*$H2302,NA()),NA())</f>
        <v/>
      </c>
      <c r="K2302" s="15">
        <f>IF($A2302="","",IF(AH!$U$5=1,IFERROR(MATCH($A2302,'Live History'!$A$5:$A$3004,0),0),AH!$U$7+2297))</f>
        <v/>
      </c>
      <c r="L2302" s="15">
        <f>IF(ISNUMBER(A2302),TEXT(A2302,"dd-mmm-yy"),"")</f>
        <v/>
      </c>
    </row>
    <row r="2303">
      <c r="A2303" s="14">
        <f>IF(OR(AH!$U$4=0,2298+1&gt;AH!$U$6,AND(AH!$M$5="Bloomberg",AH!$U$5=0)),"",IFERROR(IF(AND(AH!$U$12=1,2298+1=AH!$U$6),TODAY(),IF(AH!$U$5=1,INDEX('Live History'!$A$5:$A$3004,AH!$U$7+2298),INDEX('AH History'!$A$5:$A$1380,AH!$U$7+2298))),""))</f>
        <v/>
      </c>
      <c r="B2303" s="33">
        <f>IFERROR(IF(AH!$U$11=1,NA(),$J2303/$E2303-1),NA())</f>
        <v/>
      </c>
      <c r="C2303" s="269">
        <f>IFERROR(100*$E2303/$E$5,NA())</f>
        <v/>
      </c>
      <c r="D2303" s="269">
        <f>IFERROR(100*$J2303/$J$5,NA())</f>
        <v/>
      </c>
      <c r="E2303" s="32">
        <f>IFERROR(IF(AND(ISNUMBER($A2303),N(IF(AND(AH!$U$12=1,2298+1=AH!$U$6),IF(AH!$U$4=0,"unavailable",INDEX('Market Data'!$AN$5:$AN$66,AH!$U$4)),IF(AH!$U$5=1,INDEX('Live History'!$B$5:$B$3004,$K2303),INDEX('AH History'!$D$5:$GG$1380,$K2303,AH!$U$10))))&gt;0),IF(AND(AH!$U$12=1,2298+1=AH!$U$6),IF(AH!$U$4=0,"unavailable",INDEX('Market Data'!$AN$5:$AN$66,AH!$U$4)),IF(AH!$U$5=1,INDEX('Live History'!$B$5:$B$3004,$K2303),INDEX('AH History'!$D$5:$GG$1380,$K2303,AH!$U$10))),NA()),NA())</f>
        <v/>
      </c>
      <c r="F2303" s="32">
        <f>IFERROR(IF(ISNUMBER($A2303),IF(AND(AH!$U$12=1,2298+1=AH!$U$6),IF(AH!$U$4=0,"unavailable",INDEX('Market Data'!$AO$5:$AO$66,AH!$U$4)),IF(AH!$U$5=1,INDEX('Live History'!$E$5:$E$3004,MATCH($A2303,'Live History'!$D$5:$D$3004,1)),INDEX('AH History'!$D$5:$GG$1380,$K2303,AH!$U$10+1))),NA()),NA())</f>
        <v/>
      </c>
      <c r="G2303" s="34">
        <f>IFERROR(IF(ISNUMBER($A2303),IF(AND(AH!$U$12=1,2298+1=AH!$U$6),IF(AH!$U$4=0,"unavailable",INDEX('Market Data'!$AK$5:$AK$66,AH!$U$4)),IF(AH!$U$5=1,INDEX('Live History'!$D$5:$D$3004,MATCH($A2303,'Live History'!$D$5:$D$3004,1)),INDEX('AH History'!$D$5:$GG$1380,$K2303,AH!$U$10+2))),NA()),NA())</f>
        <v/>
      </c>
      <c r="H2303" s="266">
        <f>IFERROR(IF(ISNUMBER($A2303),IF(AND(AH!$U$12=1,2298+1=AH!$U$6),IF(AH!$U$4=0,"unavailable",INDEX('Market Data'!$AP$5:$AP$66,AH!$U$4)),IF(AH!$U$5=1,INDEX('Live History'!$H$5:$H$3004,MATCH($A2303,'Live History'!$G$5:$G$3004,1)),INDEX('AH History'!$B$5:$B$1380,$K2303))),NA()),NA())</f>
        <v/>
      </c>
      <c r="I2303" s="34">
        <f>IFERROR(IF(ISNUMBER($A2303),IF(AND(AH!$U$12=1,2298+1=AH!$U$6),TODAY(),IF(AH!$U$5=1,INDEX('Live History'!$G$5:$G$3004,MATCH($A2303,'Live History'!$G$5:$G$3004,1)),INDEX('AH History'!$C$5:$C$1380,$K2303))),NA()),NA())</f>
        <v/>
      </c>
      <c r="J2303" s="32">
        <f>IFERROR(IF(AND($F2303&gt;0,$H2303&gt;0,$A2303-$G2303&lt;=10,$A2303-$I2303&lt;=5,$G2303&gt;0,$I2303&gt;0),$F2303*$H2303,NA()),NA())</f>
        <v/>
      </c>
      <c r="K2303" s="15">
        <f>IF($A2303="","",IF(AH!$U$5=1,IFERROR(MATCH($A2303,'Live History'!$A$5:$A$3004,0),0),AH!$U$7+2298))</f>
        <v/>
      </c>
      <c r="L2303" s="15">
        <f>IF(ISNUMBER(A2303),TEXT(A2303,"dd-mmm-yy"),"")</f>
        <v/>
      </c>
    </row>
    <row r="2304">
      <c r="A2304" s="14">
        <f>IF(OR(AH!$U$4=0,2299+1&gt;AH!$U$6,AND(AH!$M$5="Bloomberg",AH!$U$5=0)),"",IFERROR(IF(AND(AH!$U$12=1,2299+1=AH!$U$6),TODAY(),IF(AH!$U$5=1,INDEX('Live History'!$A$5:$A$3004,AH!$U$7+2299),INDEX('AH History'!$A$5:$A$1380,AH!$U$7+2299))),""))</f>
        <v/>
      </c>
      <c r="B2304" s="33">
        <f>IFERROR(IF(AH!$U$11=1,NA(),$J2304/$E2304-1),NA())</f>
        <v/>
      </c>
      <c r="C2304" s="269">
        <f>IFERROR(100*$E2304/$E$5,NA())</f>
        <v/>
      </c>
      <c r="D2304" s="269">
        <f>IFERROR(100*$J2304/$J$5,NA())</f>
        <v/>
      </c>
      <c r="E2304" s="32">
        <f>IFERROR(IF(AND(ISNUMBER($A2304),N(IF(AND(AH!$U$12=1,2299+1=AH!$U$6),IF(AH!$U$4=0,"unavailable",INDEX('Market Data'!$AN$5:$AN$66,AH!$U$4)),IF(AH!$U$5=1,INDEX('Live History'!$B$5:$B$3004,$K2304),INDEX('AH History'!$D$5:$GG$1380,$K2304,AH!$U$10))))&gt;0),IF(AND(AH!$U$12=1,2299+1=AH!$U$6),IF(AH!$U$4=0,"unavailable",INDEX('Market Data'!$AN$5:$AN$66,AH!$U$4)),IF(AH!$U$5=1,INDEX('Live History'!$B$5:$B$3004,$K2304),INDEX('AH History'!$D$5:$GG$1380,$K2304,AH!$U$10))),NA()),NA())</f>
        <v/>
      </c>
      <c r="F2304" s="32">
        <f>IFERROR(IF(ISNUMBER($A2304),IF(AND(AH!$U$12=1,2299+1=AH!$U$6),IF(AH!$U$4=0,"unavailable",INDEX('Market Data'!$AO$5:$AO$66,AH!$U$4)),IF(AH!$U$5=1,INDEX('Live History'!$E$5:$E$3004,MATCH($A2304,'Live History'!$D$5:$D$3004,1)),INDEX('AH History'!$D$5:$GG$1380,$K2304,AH!$U$10+1))),NA()),NA())</f>
        <v/>
      </c>
      <c r="G2304" s="34">
        <f>IFERROR(IF(ISNUMBER($A2304),IF(AND(AH!$U$12=1,2299+1=AH!$U$6),IF(AH!$U$4=0,"unavailable",INDEX('Market Data'!$AK$5:$AK$66,AH!$U$4)),IF(AH!$U$5=1,INDEX('Live History'!$D$5:$D$3004,MATCH($A2304,'Live History'!$D$5:$D$3004,1)),INDEX('AH History'!$D$5:$GG$1380,$K2304,AH!$U$10+2))),NA()),NA())</f>
        <v/>
      </c>
      <c r="H2304" s="266">
        <f>IFERROR(IF(ISNUMBER($A2304),IF(AND(AH!$U$12=1,2299+1=AH!$U$6),IF(AH!$U$4=0,"unavailable",INDEX('Market Data'!$AP$5:$AP$66,AH!$U$4)),IF(AH!$U$5=1,INDEX('Live History'!$H$5:$H$3004,MATCH($A2304,'Live History'!$G$5:$G$3004,1)),INDEX('AH History'!$B$5:$B$1380,$K2304))),NA()),NA())</f>
        <v/>
      </c>
      <c r="I2304" s="34">
        <f>IFERROR(IF(ISNUMBER($A2304),IF(AND(AH!$U$12=1,2299+1=AH!$U$6),TODAY(),IF(AH!$U$5=1,INDEX('Live History'!$G$5:$G$3004,MATCH($A2304,'Live History'!$G$5:$G$3004,1)),INDEX('AH History'!$C$5:$C$1380,$K2304))),NA()),NA())</f>
        <v/>
      </c>
      <c r="J2304" s="32">
        <f>IFERROR(IF(AND($F2304&gt;0,$H2304&gt;0,$A2304-$G2304&lt;=10,$A2304-$I2304&lt;=5,$G2304&gt;0,$I2304&gt;0),$F2304*$H2304,NA()),NA())</f>
        <v/>
      </c>
      <c r="K2304" s="15">
        <f>IF($A2304="","",IF(AH!$U$5=1,IFERROR(MATCH($A2304,'Live History'!$A$5:$A$3004,0),0),AH!$U$7+2299))</f>
        <v/>
      </c>
      <c r="L2304" s="15">
        <f>IF(ISNUMBER(A2304),TEXT(A2304,"dd-mmm-yy"),"")</f>
        <v/>
      </c>
    </row>
    <row r="2305">
      <c r="A2305" s="14">
        <f>IF(OR(AH!$U$4=0,2300+1&gt;AH!$U$6,AND(AH!$M$5="Bloomberg",AH!$U$5=0)),"",IFERROR(IF(AND(AH!$U$12=1,2300+1=AH!$U$6),TODAY(),IF(AH!$U$5=1,INDEX('Live History'!$A$5:$A$3004,AH!$U$7+2300),INDEX('AH History'!$A$5:$A$1380,AH!$U$7+2300))),""))</f>
        <v/>
      </c>
      <c r="B2305" s="33">
        <f>IFERROR(IF(AH!$U$11=1,NA(),$J2305/$E2305-1),NA())</f>
        <v/>
      </c>
      <c r="C2305" s="269">
        <f>IFERROR(100*$E2305/$E$5,NA())</f>
        <v/>
      </c>
      <c r="D2305" s="269">
        <f>IFERROR(100*$J2305/$J$5,NA())</f>
        <v/>
      </c>
      <c r="E2305" s="32">
        <f>IFERROR(IF(AND(ISNUMBER($A2305),N(IF(AND(AH!$U$12=1,2300+1=AH!$U$6),IF(AH!$U$4=0,"unavailable",INDEX('Market Data'!$AN$5:$AN$66,AH!$U$4)),IF(AH!$U$5=1,INDEX('Live History'!$B$5:$B$3004,$K2305),INDEX('AH History'!$D$5:$GG$1380,$K2305,AH!$U$10))))&gt;0),IF(AND(AH!$U$12=1,2300+1=AH!$U$6),IF(AH!$U$4=0,"unavailable",INDEX('Market Data'!$AN$5:$AN$66,AH!$U$4)),IF(AH!$U$5=1,INDEX('Live History'!$B$5:$B$3004,$K2305),INDEX('AH History'!$D$5:$GG$1380,$K2305,AH!$U$10))),NA()),NA())</f>
        <v/>
      </c>
      <c r="F2305" s="32">
        <f>IFERROR(IF(ISNUMBER($A2305),IF(AND(AH!$U$12=1,2300+1=AH!$U$6),IF(AH!$U$4=0,"unavailable",INDEX('Market Data'!$AO$5:$AO$66,AH!$U$4)),IF(AH!$U$5=1,INDEX('Live History'!$E$5:$E$3004,MATCH($A2305,'Live History'!$D$5:$D$3004,1)),INDEX('AH History'!$D$5:$GG$1380,$K2305,AH!$U$10+1))),NA()),NA())</f>
        <v/>
      </c>
      <c r="G2305" s="34">
        <f>IFERROR(IF(ISNUMBER($A2305),IF(AND(AH!$U$12=1,2300+1=AH!$U$6),IF(AH!$U$4=0,"unavailable",INDEX('Market Data'!$AK$5:$AK$66,AH!$U$4)),IF(AH!$U$5=1,INDEX('Live History'!$D$5:$D$3004,MATCH($A2305,'Live History'!$D$5:$D$3004,1)),INDEX('AH History'!$D$5:$GG$1380,$K2305,AH!$U$10+2))),NA()),NA())</f>
        <v/>
      </c>
      <c r="H2305" s="266">
        <f>IFERROR(IF(ISNUMBER($A2305),IF(AND(AH!$U$12=1,2300+1=AH!$U$6),IF(AH!$U$4=0,"unavailable",INDEX('Market Data'!$AP$5:$AP$66,AH!$U$4)),IF(AH!$U$5=1,INDEX('Live History'!$H$5:$H$3004,MATCH($A2305,'Live History'!$G$5:$G$3004,1)),INDEX('AH History'!$B$5:$B$1380,$K2305))),NA()),NA())</f>
        <v/>
      </c>
      <c r="I2305" s="34">
        <f>IFERROR(IF(ISNUMBER($A2305),IF(AND(AH!$U$12=1,2300+1=AH!$U$6),TODAY(),IF(AH!$U$5=1,INDEX('Live History'!$G$5:$G$3004,MATCH($A2305,'Live History'!$G$5:$G$3004,1)),INDEX('AH History'!$C$5:$C$1380,$K2305))),NA()),NA())</f>
        <v/>
      </c>
      <c r="J2305" s="32">
        <f>IFERROR(IF(AND($F2305&gt;0,$H2305&gt;0,$A2305-$G2305&lt;=10,$A2305-$I2305&lt;=5,$G2305&gt;0,$I2305&gt;0),$F2305*$H2305,NA()),NA())</f>
        <v/>
      </c>
      <c r="K2305" s="15">
        <f>IF($A2305="","",IF(AH!$U$5=1,IFERROR(MATCH($A2305,'Live History'!$A$5:$A$3004,0),0),AH!$U$7+2300))</f>
        <v/>
      </c>
      <c r="L2305" s="15">
        <f>IF(ISNUMBER(A2305),TEXT(A2305,"dd-mmm-yy"),"")</f>
        <v/>
      </c>
    </row>
    <row r="2306">
      <c r="A2306" s="14">
        <f>IF(OR(AH!$U$4=0,2301+1&gt;AH!$U$6,AND(AH!$M$5="Bloomberg",AH!$U$5=0)),"",IFERROR(IF(AND(AH!$U$12=1,2301+1=AH!$U$6),TODAY(),IF(AH!$U$5=1,INDEX('Live History'!$A$5:$A$3004,AH!$U$7+2301),INDEX('AH History'!$A$5:$A$1380,AH!$U$7+2301))),""))</f>
        <v/>
      </c>
      <c r="B2306" s="33">
        <f>IFERROR(IF(AH!$U$11=1,NA(),$J2306/$E2306-1),NA())</f>
        <v/>
      </c>
      <c r="C2306" s="269">
        <f>IFERROR(100*$E2306/$E$5,NA())</f>
        <v/>
      </c>
      <c r="D2306" s="269">
        <f>IFERROR(100*$J2306/$J$5,NA())</f>
        <v/>
      </c>
      <c r="E2306" s="32">
        <f>IFERROR(IF(AND(ISNUMBER($A2306),N(IF(AND(AH!$U$12=1,2301+1=AH!$U$6),IF(AH!$U$4=0,"unavailable",INDEX('Market Data'!$AN$5:$AN$66,AH!$U$4)),IF(AH!$U$5=1,INDEX('Live History'!$B$5:$B$3004,$K2306),INDEX('AH History'!$D$5:$GG$1380,$K2306,AH!$U$10))))&gt;0),IF(AND(AH!$U$12=1,2301+1=AH!$U$6),IF(AH!$U$4=0,"unavailable",INDEX('Market Data'!$AN$5:$AN$66,AH!$U$4)),IF(AH!$U$5=1,INDEX('Live History'!$B$5:$B$3004,$K2306),INDEX('AH History'!$D$5:$GG$1380,$K2306,AH!$U$10))),NA()),NA())</f>
        <v/>
      </c>
      <c r="F2306" s="32">
        <f>IFERROR(IF(ISNUMBER($A2306),IF(AND(AH!$U$12=1,2301+1=AH!$U$6),IF(AH!$U$4=0,"unavailable",INDEX('Market Data'!$AO$5:$AO$66,AH!$U$4)),IF(AH!$U$5=1,INDEX('Live History'!$E$5:$E$3004,MATCH($A2306,'Live History'!$D$5:$D$3004,1)),INDEX('AH History'!$D$5:$GG$1380,$K2306,AH!$U$10+1))),NA()),NA())</f>
        <v/>
      </c>
      <c r="G2306" s="34">
        <f>IFERROR(IF(ISNUMBER($A2306),IF(AND(AH!$U$12=1,2301+1=AH!$U$6),IF(AH!$U$4=0,"unavailable",INDEX('Market Data'!$AK$5:$AK$66,AH!$U$4)),IF(AH!$U$5=1,INDEX('Live History'!$D$5:$D$3004,MATCH($A2306,'Live History'!$D$5:$D$3004,1)),INDEX('AH History'!$D$5:$GG$1380,$K2306,AH!$U$10+2))),NA()),NA())</f>
        <v/>
      </c>
      <c r="H2306" s="266">
        <f>IFERROR(IF(ISNUMBER($A2306),IF(AND(AH!$U$12=1,2301+1=AH!$U$6),IF(AH!$U$4=0,"unavailable",INDEX('Market Data'!$AP$5:$AP$66,AH!$U$4)),IF(AH!$U$5=1,INDEX('Live History'!$H$5:$H$3004,MATCH($A2306,'Live History'!$G$5:$G$3004,1)),INDEX('AH History'!$B$5:$B$1380,$K2306))),NA()),NA())</f>
        <v/>
      </c>
      <c r="I2306" s="34">
        <f>IFERROR(IF(ISNUMBER($A2306),IF(AND(AH!$U$12=1,2301+1=AH!$U$6),TODAY(),IF(AH!$U$5=1,INDEX('Live History'!$G$5:$G$3004,MATCH($A2306,'Live History'!$G$5:$G$3004,1)),INDEX('AH History'!$C$5:$C$1380,$K2306))),NA()),NA())</f>
        <v/>
      </c>
      <c r="J2306" s="32">
        <f>IFERROR(IF(AND($F2306&gt;0,$H2306&gt;0,$A2306-$G2306&lt;=10,$A2306-$I2306&lt;=5,$G2306&gt;0,$I2306&gt;0),$F2306*$H2306,NA()),NA())</f>
        <v/>
      </c>
      <c r="K2306" s="15">
        <f>IF($A2306="","",IF(AH!$U$5=1,IFERROR(MATCH($A2306,'Live History'!$A$5:$A$3004,0),0),AH!$U$7+2301))</f>
        <v/>
      </c>
      <c r="L2306" s="15">
        <f>IF(ISNUMBER(A2306),TEXT(A2306,"dd-mmm-yy"),"")</f>
        <v/>
      </c>
    </row>
    <row r="2307">
      <c r="A2307" s="14">
        <f>IF(OR(AH!$U$4=0,2302+1&gt;AH!$U$6,AND(AH!$M$5="Bloomberg",AH!$U$5=0)),"",IFERROR(IF(AND(AH!$U$12=1,2302+1=AH!$U$6),TODAY(),IF(AH!$U$5=1,INDEX('Live History'!$A$5:$A$3004,AH!$U$7+2302),INDEX('AH History'!$A$5:$A$1380,AH!$U$7+2302))),""))</f>
        <v/>
      </c>
      <c r="B2307" s="33">
        <f>IFERROR(IF(AH!$U$11=1,NA(),$J2307/$E2307-1),NA())</f>
        <v/>
      </c>
      <c r="C2307" s="269">
        <f>IFERROR(100*$E2307/$E$5,NA())</f>
        <v/>
      </c>
      <c r="D2307" s="269">
        <f>IFERROR(100*$J2307/$J$5,NA())</f>
        <v/>
      </c>
      <c r="E2307" s="32">
        <f>IFERROR(IF(AND(ISNUMBER($A2307),N(IF(AND(AH!$U$12=1,2302+1=AH!$U$6),IF(AH!$U$4=0,"unavailable",INDEX('Market Data'!$AN$5:$AN$66,AH!$U$4)),IF(AH!$U$5=1,INDEX('Live History'!$B$5:$B$3004,$K2307),INDEX('AH History'!$D$5:$GG$1380,$K2307,AH!$U$10))))&gt;0),IF(AND(AH!$U$12=1,2302+1=AH!$U$6),IF(AH!$U$4=0,"unavailable",INDEX('Market Data'!$AN$5:$AN$66,AH!$U$4)),IF(AH!$U$5=1,INDEX('Live History'!$B$5:$B$3004,$K2307),INDEX('AH History'!$D$5:$GG$1380,$K2307,AH!$U$10))),NA()),NA())</f>
        <v/>
      </c>
      <c r="F2307" s="32">
        <f>IFERROR(IF(ISNUMBER($A2307),IF(AND(AH!$U$12=1,2302+1=AH!$U$6),IF(AH!$U$4=0,"unavailable",INDEX('Market Data'!$AO$5:$AO$66,AH!$U$4)),IF(AH!$U$5=1,INDEX('Live History'!$E$5:$E$3004,MATCH($A2307,'Live History'!$D$5:$D$3004,1)),INDEX('AH History'!$D$5:$GG$1380,$K2307,AH!$U$10+1))),NA()),NA())</f>
        <v/>
      </c>
      <c r="G2307" s="34">
        <f>IFERROR(IF(ISNUMBER($A2307),IF(AND(AH!$U$12=1,2302+1=AH!$U$6),IF(AH!$U$4=0,"unavailable",INDEX('Market Data'!$AK$5:$AK$66,AH!$U$4)),IF(AH!$U$5=1,INDEX('Live History'!$D$5:$D$3004,MATCH($A2307,'Live History'!$D$5:$D$3004,1)),INDEX('AH History'!$D$5:$GG$1380,$K2307,AH!$U$10+2))),NA()),NA())</f>
        <v/>
      </c>
      <c r="H2307" s="266">
        <f>IFERROR(IF(ISNUMBER($A2307),IF(AND(AH!$U$12=1,2302+1=AH!$U$6),IF(AH!$U$4=0,"unavailable",INDEX('Market Data'!$AP$5:$AP$66,AH!$U$4)),IF(AH!$U$5=1,INDEX('Live History'!$H$5:$H$3004,MATCH($A2307,'Live History'!$G$5:$G$3004,1)),INDEX('AH History'!$B$5:$B$1380,$K2307))),NA()),NA())</f>
        <v/>
      </c>
      <c r="I2307" s="34">
        <f>IFERROR(IF(ISNUMBER($A2307),IF(AND(AH!$U$12=1,2302+1=AH!$U$6),TODAY(),IF(AH!$U$5=1,INDEX('Live History'!$G$5:$G$3004,MATCH($A2307,'Live History'!$G$5:$G$3004,1)),INDEX('AH History'!$C$5:$C$1380,$K2307))),NA()),NA())</f>
        <v/>
      </c>
      <c r="J2307" s="32">
        <f>IFERROR(IF(AND($F2307&gt;0,$H2307&gt;0,$A2307-$G2307&lt;=10,$A2307-$I2307&lt;=5,$G2307&gt;0,$I2307&gt;0),$F2307*$H2307,NA()),NA())</f>
        <v/>
      </c>
      <c r="K2307" s="15">
        <f>IF($A2307="","",IF(AH!$U$5=1,IFERROR(MATCH($A2307,'Live History'!$A$5:$A$3004,0),0),AH!$U$7+2302))</f>
        <v/>
      </c>
      <c r="L2307" s="15">
        <f>IF(ISNUMBER(A2307),TEXT(A2307,"dd-mmm-yy"),"")</f>
        <v/>
      </c>
    </row>
    <row r="2308">
      <c r="A2308" s="14">
        <f>IF(OR(AH!$U$4=0,2303+1&gt;AH!$U$6,AND(AH!$M$5="Bloomberg",AH!$U$5=0)),"",IFERROR(IF(AND(AH!$U$12=1,2303+1=AH!$U$6),TODAY(),IF(AH!$U$5=1,INDEX('Live History'!$A$5:$A$3004,AH!$U$7+2303),INDEX('AH History'!$A$5:$A$1380,AH!$U$7+2303))),""))</f>
        <v/>
      </c>
      <c r="B2308" s="33">
        <f>IFERROR(IF(AH!$U$11=1,NA(),$J2308/$E2308-1),NA())</f>
        <v/>
      </c>
      <c r="C2308" s="269">
        <f>IFERROR(100*$E2308/$E$5,NA())</f>
        <v/>
      </c>
      <c r="D2308" s="269">
        <f>IFERROR(100*$J2308/$J$5,NA())</f>
        <v/>
      </c>
      <c r="E2308" s="32">
        <f>IFERROR(IF(AND(ISNUMBER($A2308),N(IF(AND(AH!$U$12=1,2303+1=AH!$U$6),IF(AH!$U$4=0,"unavailable",INDEX('Market Data'!$AN$5:$AN$66,AH!$U$4)),IF(AH!$U$5=1,INDEX('Live History'!$B$5:$B$3004,$K2308),INDEX('AH History'!$D$5:$GG$1380,$K2308,AH!$U$10))))&gt;0),IF(AND(AH!$U$12=1,2303+1=AH!$U$6),IF(AH!$U$4=0,"unavailable",INDEX('Market Data'!$AN$5:$AN$66,AH!$U$4)),IF(AH!$U$5=1,INDEX('Live History'!$B$5:$B$3004,$K2308),INDEX('AH History'!$D$5:$GG$1380,$K2308,AH!$U$10))),NA()),NA())</f>
        <v/>
      </c>
      <c r="F2308" s="32">
        <f>IFERROR(IF(ISNUMBER($A2308),IF(AND(AH!$U$12=1,2303+1=AH!$U$6),IF(AH!$U$4=0,"unavailable",INDEX('Market Data'!$AO$5:$AO$66,AH!$U$4)),IF(AH!$U$5=1,INDEX('Live History'!$E$5:$E$3004,MATCH($A2308,'Live History'!$D$5:$D$3004,1)),INDEX('AH History'!$D$5:$GG$1380,$K2308,AH!$U$10+1))),NA()),NA())</f>
        <v/>
      </c>
      <c r="G2308" s="34">
        <f>IFERROR(IF(ISNUMBER($A2308),IF(AND(AH!$U$12=1,2303+1=AH!$U$6),IF(AH!$U$4=0,"unavailable",INDEX('Market Data'!$AK$5:$AK$66,AH!$U$4)),IF(AH!$U$5=1,INDEX('Live History'!$D$5:$D$3004,MATCH($A2308,'Live History'!$D$5:$D$3004,1)),INDEX('AH History'!$D$5:$GG$1380,$K2308,AH!$U$10+2))),NA()),NA())</f>
        <v/>
      </c>
      <c r="H2308" s="266">
        <f>IFERROR(IF(ISNUMBER($A2308),IF(AND(AH!$U$12=1,2303+1=AH!$U$6),IF(AH!$U$4=0,"unavailable",INDEX('Market Data'!$AP$5:$AP$66,AH!$U$4)),IF(AH!$U$5=1,INDEX('Live History'!$H$5:$H$3004,MATCH($A2308,'Live History'!$G$5:$G$3004,1)),INDEX('AH History'!$B$5:$B$1380,$K2308))),NA()),NA())</f>
        <v/>
      </c>
      <c r="I2308" s="34">
        <f>IFERROR(IF(ISNUMBER($A2308),IF(AND(AH!$U$12=1,2303+1=AH!$U$6),TODAY(),IF(AH!$U$5=1,INDEX('Live History'!$G$5:$G$3004,MATCH($A2308,'Live History'!$G$5:$G$3004,1)),INDEX('AH History'!$C$5:$C$1380,$K2308))),NA()),NA())</f>
        <v/>
      </c>
      <c r="J2308" s="32">
        <f>IFERROR(IF(AND($F2308&gt;0,$H2308&gt;0,$A2308-$G2308&lt;=10,$A2308-$I2308&lt;=5,$G2308&gt;0,$I2308&gt;0),$F2308*$H2308,NA()),NA())</f>
        <v/>
      </c>
      <c r="K2308" s="15">
        <f>IF($A2308="","",IF(AH!$U$5=1,IFERROR(MATCH($A2308,'Live History'!$A$5:$A$3004,0),0),AH!$U$7+2303))</f>
        <v/>
      </c>
      <c r="L2308" s="15">
        <f>IF(ISNUMBER(A2308),TEXT(A2308,"dd-mmm-yy"),"")</f>
        <v/>
      </c>
    </row>
    <row r="2309">
      <c r="A2309" s="14">
        <f>IF(OR(AH!$U$4=0,2304+1&gt;AH!$U$6,AND(AH!$M$5="Bloomberg",AH!$U$5=0)),"",IFERROR(IF(AND(AH!$U$12=1,2304+1=AH!$U$6),TODAY(),IF(AH!$U$5=1,INDEX('Live History'!$A$5:$A$3004,AH!$U$7+2304),INDEX('AH History'!$A$5:$A$1380,AH!$U$7+2304))),""))</f>
        <v/>
      </c>
      <c r="B2309" s="33">
        <f>IFERROR(IF(AH!$U$11=1,NA(),$J2309/$E2309-1),NA())</f>
        <v/>
      </c>
      <c r="C2309" s="269">
        <f>IFERROR(100*$E2309/$E$5,NA())</f>
        <v/>
      </c>
      <c r="D2309" s="269">
        <f>IFERROR(100*$J2309/$J$5,NA())</f>
        <v/>
      </c>
      <c r="E2309" s="32">
        <f>IFERROR(IF(AND(ISNUMBER($A2309),N(IF(AND(AH!$U$12=1,2304+1=AH!$U$6),IF(AH!$U$4=0,"unavailable",INDEX('Market Data'!$AN$5:$AN$66,AH!$U$4)),IF(AH!$U$5=1,INDEX('Live History'!$B$5:$B$3004,$K2309),INDEX('AH History'!$D$5:$GG$1380,$K2309,AH!$U$10))))&gt;0),IF(AND(AH!$U$12=1,2304+1=AH!$U$6),IF(AH!$U$4=0,"unavailable",INDEX('Market Data'!$AN$5:$AN$66,AH!$U$4)),IF(AH!$U$5=1,INDEX('Live History'!$B$5:$B$3004,$K2309),INDEX('AH History'!$D$5:$GG$1380,$K2309,AH!$U$10))),NA()),NA())</f>
        <v/>
      </c>
      <c r="F2309" s="32">
        <f>IFERROR(IF(ISNUMBER($A2309),IF(AND(AH!$U$12=1,2304+1=AH!$U$6),IF(AH!$U$4=0,"unavailable",INDEX('Market Data'!$AO$5:$AO$66,AH!$U$4)),IF(AH!$U$5=1,INDEX('Live History'!$E$5:$E$3004,MATCH($A2309,'Live History'!$D$5:$D$3004,1)),INDEX('AH History'!$D$5:$GG$1380,$K2309,AH!$U$10+1))),NA()),NA())</f>
        <v/>
      </c>
      <c r="G2309" s="34">
        <f>IFERROR(IF(ISNUMBER($A2309),IF(AND(AH!$U$12=1,2304+1=AH!$U$6),IF(AH!$U$4=0,"unavailable",INDEX('Market Data'!$AK$5:$AK$66,AH!$U$4)),IF(AH!$U$5=1,INDEX('Live History'!$D$5:$D$3004,MATCH($A2309,'Live History'!$D$5:$D$3004,1)),INDEX('AH History'!$D$5:$GG$1380,$K2309,AH!$U$10+2))),NA()),NA())</f>
        <v/>
      </c>
      <c r="H2309" s="266">
        <f>IFERROR(IF(ISNUMBER($A2309),IF(AND(AH!$U$12=1,2304+1=AH!$U$6),IF(AH!$U$4=0,"unavailable",INDEX('Market Data'!$AP$5:$AP$66,AH!$U$4)),IF(AH!$U$5=1,INDEX('Live History'!$H$5:$H$3004,MATCH($A2309,'Live History'!$G$5:$G$3004,1)),INDEX('AH History'!$B$5:$B$1380,$K2309))),NA()),NA())</f>
        <v/>
      </c>
      <c r="I2309" s="34">
        <f>IFERROR(IF(ISNUMBER($A2309),IF(AND(AH!$U$12=1,2304+1=AH!$U$6),TODAY(),IF(AH!$U$5=1,INDEX('Live History'!$G$5:$G$3004,MATCH($A2309,'Live History'!$G$5:$G$3004,1)),INDEX('AH History'!$C$5:$C$1380,$K2309))),NA()),NA())</f>
        <v/>
      </c>
      <c r="J2309" s="32">
        <f>IFERROR(IF(AND($F2309&gt;0,$H2309&gt;0,$A2309-$G2309&lt;=10,$A2309-$I2309&lt;=5,$G2309&gt;0,$I2309&gt;0),$F2309*$H2309,NA()),NA())</f>
        <v/>
      </c>
      <c r="K2309" s="15">
        <f>IF($A2309="","",IF(AH!$U$5=1,IFERROR(MATCH($A2309,'Live History'!$A$5:$A$3004,0),0),AH!$U$7+2304))</f>
        <v/>
      </c>
      <c r="L2309" s="15">
        <f>IF(ISNUMBER(A2309),TEXT(A2309,"dd-mmm-yy"),"")</f>
        <v/>
      </c>
    </row>
    <row r="2310">
      <c r="A2310" s="14">
        <f>IF(OR(AH!$U$4=0,2305+1&gt;AH!$U$6,AND(AH!$M$5="Bloomberg",AH!$U$5=0)),"",IFERROR(IF(AND(AH!$U$12=1,2305+1=AH!$U$6),TODAY(),IF(AH!$U$5=1,INDEX('Live History'!$A$5:$A$3004,AH!$U$7+2305),INDEX('AH History'!$A$5:$A$1380,AH!$U$7+2305))),""))</f>
        <v/>
      </c>
      <c r="B2310" s="33">
        <f>IFERROR(IF(AH!$U$11=1,NA(),$J2310/$E2310-1),NA())</f>
        <v/>
      </c>
      <c r="C2310" s="269">
        <f>IFERROR(100*$E2310/$E$5,NA())</f>
        <v/>
      </c>
      <c r="D2310" s="269">
        <f>IFERROR(100*$J2310/$J$5,NA())</f>
        <v/>
      </c>
      <c r="E2310" s="32">
        <f>IFERROR(IF(AND(ISNUMBER($A2310),N(IF(AND(AH!$U$12=1,2305+1=AH!$U$6),IF(AH!$U$4=0,"unavailable",INDEX('Market Data'!$AN$5:$AN$66,AH!$U$4)),IF(AH!$U$5=1,INDEX('Live History'!$B$5:$B$3004,$K2310),INDEX('AH History'!$D$5:$GG$1380,$K2310,AH!$U$10))))&gt;0),IF(AND(AH!$U$12=1,2305+1=AH!$U$6),IF(AH!$U$4=0,"unavailable",INDEX('Market Data'!$AN$5:$AN$66,AH!$U$4)),IF(AH!$U$5=1,INDEX('Live History'!$B$5:$B$3004,$K2310),INDEX('AH History'!$D$5:$GG$1380,$K2310,AH!$U$10))),NA()),NA())</f>
        <v/>
      </c>
      <c r="F2310" s="32">
        <f>IFERROR(IF(ISNUMBER($A2310),IF(AND(AH!$U$12=1,2305+1=AH!$U$6),IF(AH!$U$4=0,"unavailable",INDEX('Market Data'!$AO$5:$AO$66,AH!$U$4)),IF(AH!$U$5=1,INDEX('Live History'!$E$5:$E$3004,MATCH($A2310,'Live History'!$D$5:$D$3004,1)),INDEX('AH History'!$D$5:$GG$1380,$K2310,AH!$U$10+1))),NA()),NA())</f>
        <v/>
      </c>
      <c r="G2310" s="34">
        <f>IFERROR(IF(ISNUMBER($A2310),IF(AND(AH!$U$12=1,2305+1=AH!$U$6),IF(AH!$U$4=0,"unavailable",INDEX('Market Data'!$AK$5:$AK$66,AH!$U$4)),IF(AH!$U$5=1,INDEX('Live History'!$D$5:$D$3004,MATCH($A2310,'Live History'!$D$5:$D$3004,1)),INDEX('AH History'!$D$5:$GG$1380,$K2310,AH!$U$10+2))),NA()),NA())</f>
        <v/>
      </c>
      <c r="H2310" s="266">
        <f>IFERROR(IF(ISNUMBER($A2310),IF(AND(AH!$U$12=1,2305+1=AH!$U$6),IF(AH!$U$4=0,"unavailable",INDEX('Market Data'!$AP$5:$AP$66,AH!$U$4)),IF(AH!$U$5=1,INDEX('Live History'!$H$5:$H$3004,MATCH($A2310,'Live History'!$G$5:$G$3004,1)),INDEX('AH History'!$B$5:$B$1380,$K2310))),NA()),NA())</f>
        <v/>
      </c>
      <c r="I2310" s="34">
        <f>IFERROR(IF(ISNUMBER($A2310),IF(AND(AH!$U$12=1,2305+1=AH!$U$6),TODAY(),IF(AH!$U$5=1,INDEX('Live History'!$G$5:$G$3004,MATCH($A2310,'Live History'!$G$5:$G$3004,1)),INDEX('AH History'!$C$5:$C$1380,$K2310))),NA()),NA())</f>
        <v/>
      </c>
      <c r="J2310" s="32">
        <f>IFERROR(IF(AND($F2310&gt;0,$H2310&gt;0,$A2310-$G2310&lt;=10,$A2310-$I2310&lt;=5,$G2310&gt;0,$I2310&gt;0),$F2310*$H2310,NA()),NA())</f>
        <v/>
      </c>
      <c r="K2310" s="15">
        <f>IF($A2310="","",IF(AH!$U$5=1,IFERROR(MATCH($A2310,'Live History'!$A$5:$A$3004,0),0),AH!$U$7+2305))</f>
        <v/>
      </c>
      <c r="L2310" s="15">
        <f>IF(ISNUMBER(A2310),TEXT(A2310,"dd-mmm-yy"),"")</f>
        <v/>
      </c>
    </row>
    <row r="2311">
      <c r="A2311" s="14">
        <f>IF(OR(AH!$U$4=0,2306+1&gt;AH!$U$6,AND(AH!$M$5="Bloomberg",AH!$U$5=0)),"",IFERROR(IF(AND(AH!$U$12=1,2306+1=AH!$U$6),TODAY(),IF(AH!$U$5=1,INDEX('Live History'!$A$5:$A$3004,AH!$U$7+2306),INDEX('AH History'!$A$5:$A$1380,AH!$U$7+2306))),""))</f>
        <v/>
      </c>
      <c r="B2311" s="33">
        <f>IFERROR(IF(AH!$U$11=1,NA(),$J2311/$E2311-1),NA())</f>
        <v/>
      </c>
      <c r="C2311" s="269">
        <f>IFERROR(100*$E2311/$E$5,NA())</f>
        <v/>
      </c>
      <c r="D2311" s="269">
        <f>IFERROR(100*$J2311/$J$5,NA())</f>
        <v/>
      </c>
      <c r="E2311" s="32">
        <f>IFERROR(IF(AND(ISNUMBER($A2311),N(IF(AND(AH!$U$12=1,2306+1=AH!$U$6),IF(AH!$U$4=0,"unavailable",INDEX('Market Data'!$AN$5:$AN$66,AH!$U$4)),IF(AH!$U$5=1,INDEX('Live History'!$B$5:$B$3004,$K2311),INDEX('AH History'!$D$5:$GG$1380,$K2311,AH!$U$10))))&gt;0),IF(AND(AH!$U$12=1,2306+1=AH!$U$6),IF(AH!$U$4=0,"unavailable",INDEX('Market Data'!$AN$5:$AN$66,AH!$U$4)),IF(AH!$U$5=1,INDEX('Live History'!$B$5:$B$3004,$K2311),INDEX('AH History'!$D$5:$GG$1380,$K2311,AH!$U$10))),NA()),NA())</f>
        <v/>
      </c>
      <c r="F2311" s="32">
        <f>IFERROR(IF(ISNUMBER($A2311),IF(AND(AH!$U$12=1,2306+1=AH!$U$6),IF(AH!$U$4=0,"unavailable",INDEX('Market Data'!$AO$5:$AO$66,AH!$U$4)),IF(AH!$U$5=1,INDEX('Live History'!$E$5:$E$3004,MATCH($A2311,'Live History'!$D$5:$D$3004,1)),INDEX('AH History'!$D$5:$GG$1380,$K2311,AH!$U$10+1))),NA()),NA())</f>
        <v/>
      </c>
      <c r="G2311" s="34">
        <f>IFERROR(IF(ISNUMBER($A2311),IF(AND(AH!$U$12=1,2306+1=AH!$U$6),IF(AH!$U$4=0,"unavailable",INDEX('Market Data'!$AK$5:$AK$66,AH!$U$4)),IF(AH!$U$5=1,INDEX('Live History'!$D$5:$D$3004,MATCH($A2311,'Live History'!$D$5:$D$3004,1)),INDEX('AH History'!$D$5:$GG$1380,$K2311,AH!$U$10+2))),NA()),NA())</f>
        <v/>
      </c>
      <c r="H2311" s="266">
        <f>IFERROR(IF(ISNUMBER($A2311),IF(AND(AH!$U$12=1,2306+1=AH!$U$6),IF(AH!$U$4=0,"unavailable",INDEX('Market Data'!$AP$5:$AP$66,AH!$U$4)),IF(AH!$U$5=1,INDEX('Live History'!$H$5:$H$3004,MATCH($A2311,'Live History'!$G$5:$G$3004,1)),INDEX('AH History'!$B$5:$B$1380,$K2311))),NA()),NA())</f>
        <v/>
      </c>
      <c r="I2311" s="34">
        <f>IFERROR(IF(ISNUMBER($A2311),IF(AND(AH!$U$12=1,2306+1=AH!$U$6),TODAY(),IF(AH!$U$5=1,INDEX('Live History'!$G$5:$G$3004,MATCH($A2311,'Live History'!$G$5:$G$3004,1)),INDEX('AH History'!$C$5:$C$1380,$K2311))),NA()),NA())</f>
        <v/>
      </c>
      <c r="J2311" s="32">
        <f>IFERROR(IF(AND($F2311&gt;0,$H2311&gt;0,$A2311-$G2311&lt;=10,$A2311-$I2311&lt;=5,$G2311&gt;0,$I2311&gt;0),$F2311*$H2311,NA()),NA())</f>
        <v/>
      </c>
      <c r="K2311" s="15">
        <f>IF($A2311="","",IF(AH!$U$5=1,IFERROR(MATCH($A2311,'Live History'!$A$5:$A$3004,0),0),AH!$U$7+2306))</f>
        <v/>
      </c>
      <c r="L2311" s="15">
        <f>IF(ISNUMBER(A2311),TEXT(A2311,"dd-mmm-yy"),"")</f>
        <v/>
      </c>
    </row>
    <row r="2312">
      <c r="A2312" s="14">
        <f>IF(OR(AH!$U$4=0,2307+1&gt;AH!$U$6,AND(AH!$M$5="Bloomberg",AH!$U$5=0)),"",IFERROR(IF(AND(AH!$U$12=1,2307+1=AH!$U$6),TODAY(),IF(AH!$U$5=1,INDEX('Live History'!$A$5:$A$3004,AH!$U$7+2307),INDEX('AH History'!$A$5:$A$1380,AH!$U$7+2307))),""))</f>
        <v/>
      </c>
      <c r="B2312" s="33">
        <f>IFERROR(IF(AH!$U$11=1,NA(),$J2312/$E2312-1),NA())</f>
        <v/>
      </c>
      <c r="C2312" s="269">
        <f>IFERROR(100*$E2312/$E$5,NA())</f>
        <v/>
      </c>
      <c r="D2312" s="269">
        <f>IFERROR(100*$J2312/$J$5,NA())</f>
        <v/>
      </c>
      <c r="E2312" s="32">
        <f>IFERROR(IF(AND(ISNUMBER($A2312),N(IF(AND(AH!$U$12=1,2307+1=AH!$U$6),IF(AH!$U$4=0,"unavailable",INDEX('Market Data'!$AN$5:$AN$66,AH!$U$4)),IF(AH!$U$5=1,INDEX('Live History'!$B$5:$B$3004,$K2312),INDEX('AH History'!$D$5:$GG$1380,$K2312,AH!$U$10))))&gt;0),IF(AND(AH!$U$12=1,2307+1=AH!$U$6),IF(AH!$U$4=0,"unavailable",INDEX('Market Data'!$AN$5:$AN$66,AH!$U$4)),IF(AH!$U$5=1,INDEX('Live History'!$B$5:$B$3004,$K2312),INDEX('AH History'!$D$5:$GG$1380,$K2312,AH!$U$10))),NA()),NA())</f>
        <v/>
      </c>
      <c r="F2312" s="32">
        <f>IFERROR(IF(ISNUMBER($A2312),IF(AND(AH!$U$12=1,2307+1=AH!$U$6),IF(AH!$U$4=0,"unavailable",INDEX('Market Data'!$AO$5:$AO$66,AH!$U$4)),IF(AH!$U$5=1,INDEX('Live History'!$E$5:$E$3004,MATCH($A2312,'Live History'!$D$5:$D$3004,1)),INDEX('AH History'!$D$5:$GG$1380,$K2312,AH!$U$10+1))),NA()),NA())</f>
        <v/>
      </c>
      <c r="G2312" s="34">
        <f>IFERROR(IF(ISNUMBER($A2312),IF(AND(AH!$U$12=1,2307+1=AH!$U$6),IF(AH!$U$4=0,"unavailable",INDEX('Market Data'!$AK$5:$AK$66,AH!$U$4)),IF(AH!$U$5=1,INDEX('Live History'!$D$5:$D$3004,MATCH($A2312,'Live History'!$D$5:$D$3004,1)),INDEX('AH History'!$D$5:$GG$1380,$K2312,AH!$U$10+2))),NA()),NA())</f>
        <v/>
      </c>
      <c r="H2312" s="266">
        <f>IFERROR(IF(ISNUMBER($A2312),IF(AND(AH!$U$12=1,2307+1=AH!$U$6),IF(AH!$U$4=0,"unavailable",INDEX('Market Data'!$AP$5:$AP$66,AH!$U$4)),IF(AH!$U$5=1,INDEX('Live History'!$H$5:$H$3004,MATCH($A2312,'Live History'!$G$5:$G$3004,1)),INDEX('AH History'!$B$5:$B$1380,$K2312))),NA()),NA())</f>
        <v/>
      </c>
      <c r="I2312" s="34">
        <f>IFERROR(IF(ISNUMBER($A2312),IF(AND(AH!$U$12=1,2307+1=AH!$U$6),TODAY(),IF(AH!$U$5=1,INDEX('Live History'!$G$5:$G$3004,MATCH($A2312,'Live History'!$G$5:$G$3004,1)),INDEX('AH History'!$C$5:$C$1380,$K2312))),NA()),NA())</f>
        <v/>
      </c>
      <c r="J2312" s="32">
        <f>IFERROR(IF(AND($F2312&gt;0,$H2312&gt;0,$A2312-$G2312&lt;=10,$A2312-$I2312&lt;=5,$G2312&gt;0,$I2312&gt;0),$F2312*$H2312,NA()),NA())</f>
        <v/>
      </c>
      <c r="K2312" s="15">
        <f>IF($A2312="","",IF(AH!$U$5=1,IFERROR(MATCH($A2312,'Live History'!$A$5:$A$3004,0),0),AH!$U$7+2307))</f>
        <v/>
      </c>
      <c r="L2312" s="15">
        <f>IF(ISNUMBER(A2312),TEXT(A2312,"dd-mmm-yy"),"")</f>
        <v/>
      </c>
    </row>
    <row r="2313">
      <c r="A2313" s="14">
        <f>IF(OR(AH!$U$4=0,2308+1&gt;AH!$U$6,AND(AH!$M$5="Bloomberg",AH!$U$5=0)),"",IFERROR(IF(AND(AH!$U$12=1,2308+1=AH!$U$6),TODAY(),IF(AH!$U$5=1,INDEX('Live History'!$A$5:$A$3004,AH!$U$7+2308),INDEX('AH History'!$A$5:$A$1380,AH!$U$7+2308))),""))</f>
        <v/>
      </c>
      <c r="B2313" s="33">
        <f>IFERROR(IF(AH!$U$11=1,NA(),$J2313/$E2313-1),NA())</f>
        <v/>
      </c>
      <c r="C2313" s="269">
        <f>IFERROR(100*$E2313/$E$5,NA())</f>
        <v/>
      </c>
      <c r="D2313" s="269">
        <f>IFERROR(100*$J2313/$J$5,NA())</f>
        <v/>
      </c>
      <c r="E2313" s="32">
        <f>IFERROR(IF(AND(ISNUMBER($A2313),N(IF(AND(AH!$U$12=1,2308+1=AH!$U$6),IF(AH!$U$4=0,"unavailable",INDEX('Market Data'!$AN$5:$AN$66,AH!$U$4)),IF(AH!$U$5=1,INDEX('Live History'!$B$5:$B$3004,$K2313),INDEX('AH History'!$D$5:$GG$1380,$K2313,AH!$U$10))))&gt;0),IF(AND(AH!$U$12=1,2308+1=AH!$U$6),IF(AH!$U$4=0,"unavailable",INDEX('Market Data'!$AN$5:$AN$66,AH!$U$4)),IF(AH!$U$5=1,INDEX('Live History'!$B$5:$B$3004,$K2313),INDEX('AH History'!$D$5:$GG$1380,$K2313,AH!$U$10))),NA()),NA())</f>
        <v/>
      </c>
      <c r="F2313" s="32">
        <f>IFERROR(IF(ISNUMBER($A2313),IF(AND(AH!$U$12=1,2308+1=AH!$U$6),IF(AH!$U$4=0,"unavailable",INDEX('Market Data'!$AO$5:$AO$66,AH!$U$4)),IF(AH!$U$5=1,INDEX('Live History'!$E$5:$E$3004,MATCH($A2313,'Live History'!$D$5:$D$3004,1)),INDEX('AH History'!$D$5:$GG$1380,$K2313,AH!$U$10+1))),NA()),NA())</f>
        <v/>
      </c>
      <c r="G2313" s="34">
        <f>IFERROR(IF(ISNUMBER($A2313),IF(AND(AH!$U$12=1,2308+1=AH!$U$6),IF(AH!$U$4=0,"unavailable",INDEX('Market Data'!$AK$5:$AK$66,AH!$U$4)),IF(AH!$U$5=1,INDEX('Live History'!$D$5:$D$3004,MATCH($A2313,'Live History'!$D$5:$D$3004,1)),INDEX('AH History'!$D$5:$GG$1380,$K2313,AH!$U$10+2))),NA()),NA())</f>
        <v/>
      </c>
      <c r="H2313" s="266">
        <f>IFERROR(IF(ISNUMBER($A2313),IF(AND(AH!$U$12=1,2308+1=AH!$U$6),IF(AH!$U$4=0,"unavailable",INDEX('Market Data'!$AP$5:$AP$66,AH!$U$4)),IF(AH!$U$5=1,INDEX('Live History'!$H$5:$H$3004,MATCH($A2313,'Live History'!$G$5:$G$3004,1)),INDEX('AH History'!$B$5:$B$1380,$K2313))),NA()),NA())</f>
        <v/>
      </c>
      <c r="I2313" s="34">
        <f>IFERROR(IF(ISNUMBER($A2313),IF(AND(AH!$U$12=1,2308+1=AH!$U$6),TODAY(),IF(AH!$U$5=1,INDEX('Live History'!$G$5:$G$3004,MATCH($A2313,'Live History'!$G$5:$G$3004,1)),INDEX('AH History'!$C$5:$C$1380,$K2313))),NA()),NA())</f>
        <v/>
      </c>
      <c r="J2313" s="32">
        <f>IFERROR(IF(AND($F2313&gt;0,$H2313&gt;0,$A2313-$G2313&lt;=10,$A2313-$I2313&lt;=5,$G2313&gt;0,$I2313&gt;0),$F2313*$H2313,NA()),NA())</f>
        <v/>
      </c>
      <c r="K2313" s="15">
        <f>IF($A2313="","",IF(AH!$U$5=1,IFERROR(MATCH($A2313,'Live History'!$A$5:$A$3004,0),0),AH!$U$7+2308))</f>
        <v/>
      </c>
      <c r="L2313" s="15">
        <f>IF(ISNUMBER(A2313),TEXT(A2313,"dd-mmm-yy"),"")</f>
        <v/>
      </c>
    </row>
    <row r="2314">
      <c r="A2314" s="14">
        <f>IF(OR(AH!$U$4=0,2309+1&gt;AH!$U$6,AND(AH!$M$5="Bloomberg",AH!$U$5=0)),"",IFERROR(IF(AND(AH!$U$12=1,2309+1=AH!$U$6),TODAY(),IF(AH!$U$5=1,INDEX('Live History'!$A$5:$A$3004,AH!$U$7+2309),INDEX('AH History'!$A$5:$A$1380,AH!$U$7+2309))),""))</f>
        <v/>
      </c>
      <c r="B2314" s="33">
        <f>IFERROR(IF(AH!$U$11=1,NA(),$J2314/$E2314-1),NA())</f>
        <v/>
      </c>
      <c r="C2314" s="269">
        <f>IFERROR(100*$E2314/$E$5,NA())</f>
        <v/>
      </c>
      <c r="D2314" s="269">
        <f>IFERROR(100*$J2314/$J$5,NA())</f>
        <v/>
      </c>
      <c r="E2314" s="32">
        <f>IFERROR(IF(AND(ISNUMBER($A2314),N(IF(AND(AH!$U$12=1,2309+1=AH!$U$6),IF(AH!$U$4=0,"unavailable",INDEX('Market Data'!$AN$5:$AN$66,AH!$U$4)),IF(AH!$U$5=1,INDEX('Live History'!$B$5:$B$3004,$K2314),INDEX('AH History'!$D$5:$GG$1380,$K2314,AH!$U$10))))&gt;0),IF(AND(AH!$U$12=1,2309+1=AH!$U$6),IF(AH!$U$4=0,"unavailable",INDEX('Market Data'!$AN$5:$AN$66,AH!$U$4)),IF(AH!$U$5=1,INDEX('Live History'!$B$5:$B$3004,$K2314),INDEX('AH History'!$D$5:$GG$1380,$K2314,AH!$U$10))),NA()),NA())</f>
        <v/>
      </c>
      <c r="F2314" s="32">
        <f>IFERROR(IF(ISNUMBER($A2314),IF(AND(AH!$U$12=1,2309+1=AH!$U$6),IF(AH!$U$4=0,"unavailable",INDEX('Market Data'!$AO$5:$AO$66,AH!$U$4)),IF(AH!$U$5=1,INDEX('Live History'!$E$5:$E$3004,MATCH($A2314,'Live History'!$D$5:$D$3004,1)),INDEX('AH History'!$D$5:$GG$1380,$K2314,AH!$U$10+1))),NA()),NA())</f>
        <v/>
      </c>
      <c r="G2314" s="34">
        <f>IFERROR(IF(ISNUMBER($A2314),IF(AND(AH!$U$12=1,2309+1=AH!$U$6),IF(AH!$U$4=0,"unavailable",INDEX('Market Data'!$AK$5:$AK$66,AH!$U$4)),IF(AH!$U$5=1,INDEX('Live History'!$D$5:$D$3004,MATCH($A2314,'Live History'!$D$5:$D$3004,1)),INDEX('AH History'!$D$5:$GG$1380,$K2314,AH!$U$10+2))),NA()),NA())</f>
        <v/>
      </c>
      <c r="H2314" s="266">
        <f>IFERROR(IF(ISNUMBER($A2314),IF(AND(AH!$U$12=1,2309+1=AH!$U$6),IF(AH!$U$4=0,"unavailable",INDEX('Market Data'!$AP$5:$AP$66,AH!$U$4)),IF(AH!$U$5=1,INDEX('Live History'!$H$5:$H$3004,MATCH($A2314,'Live History'!$G$5:$G$3004,1)),INDEX('AH History'!$B$5:$B$1380,$K2314))),NA()),NA())</f>
        <v/>
      </c>
      <c r="I2314" s="34">
        <f>IFERROR(IF(ISNUMBER($A2314),IF(AND(AH!$U$12=1,2309+1=AH!$U$6),TODAY(),IF(AH!$U$5=1,INDEX('Live History'!$G$5:$G$3004,MATCH($A2314,'Live History'!$G$5:$G$3004,1)),INDEX('AH History'!$C$5:$C$1380,$K2314))),NA()),NA())</f>
        <v/>
      </c>
      <c r="J2314" s="32">
        <f>IFERROR(IF(AND($F2314&gt;0,$H2314&gt;0,$A2314-$G2314&lt;=10,$A2314-$I2314&lt;=5,$G2314&gt;0,$I2314&gt;0),$F2314*$H2314,NA()),NA())</f>
        <v/>
      </c>
      <c r="K2314" s="15">
        <f>IF($A2314="","",IF(AH!$U$5=1,IFERROR(MATCH($A2314,'Live History'!$A$5:$A$3004,0),0),AH!$U$7+2309))</f>
        <v/>
      </c>
      <c r="L2314" s="15">
        <f>IF(ISNUMBER(A2314),TEXT(A2314,"dd-mmm-yy"),"")</f>
        <v/>
      </c>
    </row>
    <row r="2315">
      <c r="A2315" s="14">
        <f>IF(OR(AH!$U$4=0,2310+1&gt;AH!$U$6,AND(AH!$M$5="Bloomberg",AH!$U$5=0)),"",IFERROR(IF(AND(AH!$U$12=1,2310+1=AH!$U$6),TODAY(),IF(AH!$U$5=1,INDEX('Live History'!$A$5:$A$3004,AH!$U$7+2310),INDEX('AH History'!$A$5:$A$1380,AH!$U$7+2310))),""))</f>
        <v/>
      </c>
      <c r="B2315" s="33">
        <f>IFERROR(IF(AH!$U$11=1,NA(),$J2315/$E2315-1),NA())</f>
        <v/>
      </c>
      <c r="C2315" s="269">
        <f>IFERROR(100*$E2315/$E$5,NA())</f>
        <v/>
      </c>
      <c r="D2315" s="269">
        <f>IFERROR(100*$J2315/$J$5,NA())</f>
        <v/>
      </c>
      <c r="E2315" s="32">
        <f>IFERROR(IF(AND(ISNUMBER($A2315),N(IF(AND(AH!$U$12=1,2310+1=AH!$U$6),IF(AH!$U$4=0,"unavailable",INDEX('Market Data'!$AN$5:$AN$66,AH!$U$4)),IF(AH!$U$5=1,INDEX('Live History'!$B$5:$B$3004,$K2315),INDEX('AH History'!$D$5:$GG$1380,$K2315,AH!$U$10))))&gt;0),IF(AND(AH!$U$12=1,2310+1=AH!$U$6),IF(AH!$U$4=0,"unavailable",INDEX('Market Data'!$AN$5:$AN$66,AH!$U$4)),IF(AH!$U$5=1,INDEX('Live History'!$B$5:$B$3004,$K2315),INDEX('AH History'!$D$5:$GG$1380,$K2315,AH!$U$10))),NA()),NA())</f>
        <v/>
      </c>
      <c r="F2315" s="32">
        <f>IFERROR(IF(ISNUMBER($A2315),IF(AND(AH!$U$12=1,2310+1=AH!$U$6),IF(AH!$U$4=0,"unavailable",INDEX('Market Data'!$AO$5:$AO$66,AH!$U$4)),IF(AH!$U$5=1,INDEX('Live History'!$E$5:$E$3004,MATCH($A2315,'Live History'!$D$5:$D$3004,1)),INDEX('AH History'!$D$5:$GG$1380,$K2315,AH!$U$10+1))),NA()),NA())</f>
        <v/>
      </c>
      <c r="G2315" s="34">
        <f>IFERROR(IF(ISNUMBER($A2315),IF(AND(AH!$U$12=1,2310+1=AH!$U$6),IF(AH!$U$4=0,"unavailable",INDEX('Market Data'!$AK$5:$AK$66,AH!$U$4)),IF(AH!$U$5=1,INDEX('Live History'!$D$5:$D$3004,MATCH($A2315,'Live History'!$D$5:$D$3004,1)),INDEX('AH History'!$D$5:$GG$1380,$K2315,AH!$U$10+2))),NA()),NA())</f>
        <v/>
      </c>
      <c r="H2315" s="266">
        <f>IFERROR(IF(ISNUMBER($A2315),IF(AND(AH!$U$12=1,2310+1=AH!$U$6),IF(AH!$U$4=0,"unavailable",INDEX('Market Data'!$AP$5:$AP$66,AH!$U$4)),IF(AH!$U$5=1,INDEX('Live History'!$H$5:$H$3004,MATCH($A2315,'Live History'!$G$5:$G$3004,1)),INDEX('AH History'!$B$5:$B$1380,$K2315))),NA()),NA())</f>
        <v/>
      </c>
      <c r="I2315" s="34">
        <f>IFERROR(IF(ISNUMBER($A2315),IF(AND(AH!$U$12=1,2310+1=AH!$U$6),TODAY(),IF(AH!$U$5=1,INDEX('Live History'!$G$5:$G$3004,MATCH($A2315,'Live History'!$G$5:$G$3004,1)),INDEX('AH History'!$C$5:$C$1380,$K2315))),NA()),NA())</f>
        <v/>
      </c>
      <c r="J2315" s="32">
        <f>IFERROR(IF(AND($F2315&gt;0,$H2315&gt;0,$A2315-$G2315&lt;=10,$A2315-$I2315&lt;=5,$G2315&gt;0,$I2315&gt;0),$F2315*$H2315,NA()),NA())</f>
        <v/>
      </c>
      <c r="K2315" s="15">
        <f>IF($A2315="","",IF(AH!$U$5=1,IFERROR(MATCH($A2315,'Live History'!$A$5:$A$3004,0),0),AH!$U$7+2310))</f>
        <v/>
      </c>
      <c r="L2315" s="15">
        <f>IF(ISNUMBER(A2315),TEXT(A2315,"dd-mmm-yy"),"")</f>
        <v/>
      </c>
    </row>
    <row r="2316">
      <c r="A2316" s="14">
        <f>IF(OR(AH!$U$4=0,2311+1&gt;AH!$U$6,AND(AH!$M$5="Bloomberg",AH!$U$5=0)),"",IFERROR(IF(AND(AH!$U$12=1,2311+1=AH!$U$6),TODAY(),IF(AH!$U$5=1,INDEX('Live History'!$A$5:$A$3004,AH!$U$7+2311),INDEX('AH History'!$A$5:$A$1380,AH!$U$7+2311))),""))</f>
        <v/>
      </c>
      <c r="B2316" s="33">
        <f>IFERROR(IF(AH!$U$11=1,NA(),$J2316/$E2316-1),NA())</f>
        <v/>
      </c>
      <c r="C2316" s="269">
        <f>IFERROR(100*$E2316/$E$5,NA())</f>
        <v/>
      </c>
      <c r="D2316" s="269">
        <f>IFERROR(100*$J2316/$J$5,NA())</f>
        <v/>
      </c>
      <c r="E2316" s="32">
        <f>IFERROR(IF(AND(ISNUMBER($A2316),N(IF(AND(AH!$U$12=1,2311+1=AH!$U$6),IF(AH!$U$4=0,"unavailable",INDEX('Market Data'!$AN$5:$AN$66,AH!$U$4)),IF(AH!$U$5=1,INDEX('Live History'!$B$5:$B$3004,$K2316),INDEX('AH History'!$D$5:$GG$1380,$K2316,AH!$U$10))))&gt;0),IF(AND(AH!$U$12=1,2311+1=AH!$U$6),IF(AH!$U$4=0,"unavailable",INDEX('Market Data'!$AN$5:$AN$66,AH!$U$4)),IF(AH!$U$5=1,INDEX('Live History'!$B$5:$B$3004,$K2316),INDEX('AH History'!$D$5:$GG$1380,$K2316,AH!$U$10))),NA()),NA())</f>
        <v/>
      </c>
      <c r="F2316" s="32">
        <f>IFERROR(IF(ISNUMBER($A2316),IF(AND(AH!$U$12=1,2311+1=AH!$U$6),IF(AH!$U$4=0,"unavailable",INDEX('Market Data'!$AO$5:$AO$66,AH!$U$4)),IF(AH!$U$5=1,INDEX('Live History'!$E$5:$E$3004,MATCH($A2316,'Live History'!$D$5:$D$3004,1)),INDEX('AH History'!$D$5:$GG$1380,$K2316,AH!$U$10+1))),NA()),NA())</f>
        <v/>
      </c>
      <c r="G2316" s="34">
        <f>IFERROR(IF(ISNUMBER($A2316),IF(AND(AH!$U$12=1,2311+1=AH!$U$6),IF(AH!$U$4=0,"unavailable",INDEX('Market Data'!$AK$5:$AK$66,AH!$U$4)),IF(AH!$U$5=1,INDEX('Live History'!$D$5:$D$3004,MATCH($A2316,'Live History'!$D$5:$D$3004,1)),INDEX('AH History'!$D$5:$GG$1380,$K2316,AH!$U$10+2))),NA()),NA())</f>
        <v/>
      </c>
      <c r="H2316" s="266">
        <f>IFERROR(IF(ISNUMBER($A2316),IF(AND(AH!$U$12=1,2311+1=AH!$U$6),IF(AH!$U$4=0,"unavailable",INDEX('Market Data'!$AP$5:$AP$66,AH!$U$4)),IF(AH!$U$5=1,INDEX('Live History'!$H$5:$H$3004,MATCH($A2316,'Live History'!$G$5:$G$3004,1)),INDEX('AH History'!$B$5:$B$1380,$K2316))),NA()),NA())</f>
        <v/>
      </c>
      <c r="I2316" s="34">
        <f>IFERROR(IF(ISNUMBER($A2316),IF(AND(AH!$U$12=1,2311+1=AH!$U$6),TODAY(),IF(AH!$U$5=1,INDEX('Live History'!$G$5:$G$3004,MATCH($A2316,'Live History'!$G$5:$G$3004,1)),INDEX('AH History'!$C$5:$C$1380,$K2316))),NA()),NA())</f>
        <v/>
      </c>
      <c r="J2316" s="32">
        <f>IFERROR(IF(AND($F2316&gt;0,$H2316&gt;0,$A2316-$G2316&lt;=10,$A2316-$I2316&lt;=5,$G2316&gt;0,$I2316&gt;0),$F2316*$H2316,NA()),NA())</f>
        <v/>
      </c>
      <c r="K2316" s="15">
        <f>IF($A2316="","",IF(AH!$U$5=1,IFERROR(MATCH($A2316,'Live History'!$A$5:$A$3004,0),0),AH!$U$7+2311))</f>
        <v/>
      </c>
      <c r="L2316" s="15">
        <f>IF(ISNUMBER(A2316),TEXT(A2316,"dd-mmm-yy"),"")</f>
        <v/>
      </c>
    </row>
    <row r="2317">
      <c r="A2317" s="14">
        <f>IF(OR(AH!$U$4=0,2312+1&gt;AH!$U$6,AND(AH!$M$5="Bloomberg",AH!$U$5=0)),"",IFERROR(IF(AND(AH!$U$12=1,2312+1=AH!$U$6),TODAY(),IF(AH!$U$5=1,INDEX('Live History'!$A$5:$A$3004,AH!$U$7+2312),INDEX('AH History'!$A$5:$A$1380,AH!$U$7+2312))),""))</f>
        <v/>
      </c>
      <c r="B2317" s="33">
        <f>IFERROR(IF(AH!$U$11=1,NA(),$J2317/$E2317-1),NA())</f>
        <v/>
      </c>
      <c r="C2317" s="269">
        <f>IFERROR(100*$E2317/$E$5,NA())</f>
        <v/>
      </c>
      <c r="D2317" s="269">
        <f>IFERROR(100*$J2317/$J$5,NA())</f>
        <v/>
      </c>
      <c r="E2317" s="32">
        <f>IFERROR(IF(AND(ISNUMBER($A2317),N(IF(AND(AH!$U$12=1,2312+1=AH!$U$6),IF(AH!$U$4=0,"unavailable",INDEX('Market Data'!$AN$5:$AN$66,AH!$U$4)),IF(AH!$U$5=1,INDEX('Live History'!$B$5:$B$3004,$K2317),INDEX('AH History'!$D$5:$GG$1380,$K2317,AH!$U$10))))&gt;0),IF(AND(AH!$U$12=1,2312+1=AH!$U$6),IF(AH!$U$4=0,"unavailable",INDEX('Market Data'!$AN$5:$AN$66,AH!$U$4)),IF(AH!$U$5=1,INDEX('Live History'!$B$5:$B$3004,$K2317),INDEX('AH History'!$D$5:$GG$1380,$K2317,AH!$U$10))),NA()),NA())</f>
        <v/>
      </c>
      <c r="F2317" s="32">
        <f>IFERROR(IF(ISNUMBER($A2317),IF(AND(AH!$U$12=1,2312+1=AH!$U$6),IF(AH!$U$4=0,"unavailable",INDEX('Market Data'!$AO$5:$AO$66,AH!$U$4)),IF(AH!$U$5=1,INDEX('Live History'!$E$5:$E$3004,MATCH($A2317,'Live History'!$D$5:$D$3004,1)),INDEX('AH History'!$D$5:$GG$1380,$K2317,AH!$U$10+1))),NA()),NA())</f>
        <v/>
      </c>
      <c r="G2317" s="34">
        <f>IFERROR(IF(ISNUMBER($A2317),IF(AND(AH!$U$12=1,2312+1=AH!$U$6),IF(AH!$U$4=0,"unavailable",INDEX('Market Data'!$AK$5:$AK$66,AH!$U$4)),IF(AH!$U$5=1,INDEX('Live History'!$D$5:$D$3004,MATCH($A2317,'Live History'!$D$5:$D$3004,1)),INDEX('AH History'!$D$5:$GG$1380,$K2317,AH!$U$10+2))),NA()),NA())</f>
        <v/>
      </c>
      <c r="H2317" s="266">
        <f>IFERROR(IF(ISNUMBER($A2317),IF(AND(AH!$U$12=1,2312+1=AH!$U$6),IF(AH!$U$4=0,"unavailable",INDEX('Market Data'!$AP$5:$AP$66,AH!$U$4)),IF(AH!$U$5=1,INDEX('Live History'!$H$5:$H$3004,MATCH($A2317,'Live History'!$G$5:$G$3004,1)),INDEX('AH History'!$B$5:$B$1380,$K2317))),NA()),NA())</f>
        <v/>
      </c>
      <c r="I2317" s="34">
        <f>IFERROR(IF(ISNUMBER($A2317),IF(AND(AH!$U$12=1,2312+1=AH!$U$6),TODAY(),IF(AH!$U$5=1,INDEX('Live History'!$G$5:$G$3004,MATCH($A2317,'Live History'!$G$5:$G$3004,1)),INDEX('AH History'!$C$5:$C$1380,$K2317))),NA()),NA())</f>
        <v/>
      </c>
      <c r="J2317" s="32">
        <f>IFERROR(IF(AND($F2317&gt;0,$H2317&gt;0,$A2317-$G2317&lt;=10,$A2317-$I2317&lt;=5,$G2317&gt;0,$I2317&gt;0),$F2317*$H2317,NA()),NA())</f>
        <v/>
      </c>
      <c r="K2317" s="15">
        <f>IF($A2317="","",IF(AH!$U$5=1,IFERROR(MATCH($A2317,'Live History'!$A$5:$A$3004,0),0),AH!$U$7+2312))</f>
        <v/>
      </c>
      <c r="L2317" s="15">
        <f>IF(ISNUMBER(A2317),TEXT(A2317,"dd-mmm-yy"),"")</f>
        <v/>
      </c>
    </row>
    <row r="2318">
      <c r="A2318" s="14">
        <f>IF(OR(AH!$U$4=0,2313+1&gt;AH!$U$6,AND(AH!$M$5="Bloomberg",AH!$U$5=0)),"",IFERROR(IF(AND(AH!$U$12=1,2313+1=AH!$U$6),TODAY(),IF(AH!$U$5=1,INDEX('Live History'!$A$5:$A$3004,AH!$U$7+2313),INDEX('AH History'!$A$5:$A$1380,AH!$U$7+2313))),""))</f>
        <v/>
      </c>
      <c r="B2318" s="33">
        <f>IFERROR(IF(AH!$U$11=1,NA(),$J2318/$E2318-1),NA())</f>
        <v/>
      </c>
      <c r="C2318" s="269">
        <f>IFERROR(100*$E2318/$E$5,NA())</f>
        <v/>
      </c>
      <c r="D2318" s="269">
        <f>IFERROR(100*$J2318/$J$5,NA())</f>
        <v/>
      </c>
      <c r="E2318" s="32">
        <f>IFERROR(IF(AND(ISNUMBER($A2318),N(IF(AND(AH!$U$12=1,2313+1=AH!$U$6),IF(AH!$U$4=0,"unavailable",INDEX('Market Data'!$AN$5:$AN$66,AH!$U$4)),IF(AH!$U$5=1,INDEX('Live History'!$B$5:$B$3004,$K2318),INDEX('AH History'!$D$5:$GG$1380,$K2318,AH!$U$10))))&gt;0),IF(AND(AH!$U$12=1,2313+1=AH!$U$6),IF(AH!$U$4=0,"unavailable",INDEX('Market Data'!$AN$5:$AN$66,AH!$U$4)),IF(AH!$U$5=1,INDEX('Live History'!$B$5:$B$3004,$K2318),INDEX('AH History'!$D$5:$GG$1380,$K2318,AH!$U$10))),NA()),NA())</f>
        <v/>
      </c>
      <c r="F2318" s="32">
        <f>IFERROR(IF(ISNUMBER($A2318),IF(AND(AH!$U$12=1,2313+1=AH!$U$6),IF(AH!$U$4=0,"unavailable",INDEX('Market Data'!$AO$5:$AO$66,AH!$U$4)),IF(AH!$U$5=1,INDEX('Live History'!$E$5:$E$3004,MATCH($A2318,'Live History'!$D$5:$D$3004,1)),INDEX('AH History'!$D$5:$GG$1380,$K2318,AH!$U$10+1))),NA()),NA())</f>
        <v/>
      </c>
      <c r="G2318" s="34">
        <f>IFERROR(IF(ISNUMBER($A2318),IF(AND(AH!$U$12=1,2313+1=AH!$U$6),IF(AH!$U$4=0,"unavailable",INDEX('Market Data'!$AK$5:$AK$66,AH!$U$4)),IF(AH!$U$5=1,INDEX('Live History'!$D$5:$D$3004,MATCH($A2318,'Live History'!$D$5:$D$3004,1)),INDEX('AH History'!$D$5:$GG$1380,$K2318,AH!$U$10+2))),NA()),NA())</f>
        <v/>
      </c>
      <c r="H2318" s="266">
        <f>IFERROR(IF(ISNUMBER($A2318),IF(AND(AH!$U$12=1,2313+1=AH!$U$6),IF(AH!$U$4=0,"unavailable",INDEX('Market Data'!$AP$5:$AP$66,AH!$U$4)),IF(AH!$U$5=1,INDEX('Live History'!$H$5:$H$3004,MATCH($A2318,'Live History'!$G$5:$G$3004,1)),INDEX('AH History'!$B$5:$B$1380,$K2318))),NA()),NA())</f>
        <v/>
      </c>
      <c r="I2318" s="34">
        <f>IFERROR(IF(ISNUMBER($A2318),IF(AND(AH!$U$12=1,2313+1=AH!$U$6),TODAY(),IF(AH!$U$5=1,INDEX('Live History'!$G$5:$G$3004,MATCH($A2318,'Live History'!$G$5:$G$3004,1)),INDEX('AH History'!$C$5:$C$1380,$K2318))),NA()),NA())</f>
        <v/>
      </c>
      <c r="J2318" s="32">
        <f>IFERROR(IF(AND($F2318&gt;0,$H2318&gt;0,$A2318-$G2318&lt;=10,$A2318-$I2318&lt;=5,$G2318&gt;0,$I2318&gt;0),$F2318*$H2318,NA()),NA())</f>
        <v/>
      </c>
      <c r="K2318" s="15">
        <f>IF($A2318="","",IF(AH!$U$5=1,IFERROR(MATCH($A2318,'Live History'!$A$5:$A$3004,0),0),AH!$U$7+2313))</f>
        <v/>
      </c>
      <c r="L2318" s="15">
        <f>IF(ISNUMBER(A2318),TEXT(A2318,"dd-mmm-yy"),"")</f>
        <v/>
      </c>
    </row>
    <row r="2319">
      <c r="A2319" s="14">
        <f>IF(OR(AH!$U$4=0,2314+1&gt;AH!$U$6,AND(AH!$M$5="Bloomberg",AH!$U$5=0)),"",IFERROR(IF(AND(AH!$U$12=1,2314+1=AH!$U$6),TODAY(),IF(AH!$U$5=1,INDEX('Live History'!$A$5:$A$3004,AH!$U$7+2314),INDEX('AH History'!$A$5:$A$1380,AH!$U$7+2314))),""))</f>
        <v/>
      </c>
      <c r="B2319" s="33">
        <f>IFERROR(IF(AH!$U$11=1,NA(),$J2319/$E2319-1),NA())</f>
        <v/>
      </c>
      <c r="C2319" s="269">
        <f>IFERROR(100*$E2319/$E$5,NA())</f>
        <v/>
      </c>
      <c r="D2319" s="269">
        <f>IFERROR(100*$J2319/$J$5,NA())</f>
        <v/>
      </c>
      <c r="E2319" s="32">
        <f>IFERROR(IF(AND(ISNUMBER($A2319),N(IF(AND(AH!$U$12=1,2314+1=AH!$U$6),IF(AH!$U$4=0,"unavailable",INDEX('Market Data'!$AN$5:$AN$66,AH!$U$4)),IF(AH!$U$5=1,INDEX('Live History'!$B$5:$B$3004,$K2319),INDEX('AH History'!$D$5:$GG$1380,$K2319,AH!$U$10))))&gt;0),IF(AND(AH!$U$12=1,2314+1=AH!$U$6),IF(AH!$U$4=0,"unavailable",INDEX('Market Data'!$AN$5:$AN$66,AH!$U$4)),IF(AH!$U$5=1,INDEX('Live History'!$B$5:$B$3004,$K2319),INDEX('AH History'!$D$5:$GG$1380,$K2319,AH!$U$10))),NA()),NA())</f>
        <v/>
      </c>
      <c r="F2319" s="32">
        <f>IFERROR(IF(ISNUMBER($A2319),IF(AND(AH!$U$12=1,2314+1=AH!$U$6),IF(AH!$U$4=0,"unavailable",INDEX('Market Data'!$AO$5:$AO$66,AH!$U$4)),IF(AH!$U$5=1,INDEX('Live History'!$E$5:$E$3004,MATCH($A2319,'Live History'!$D$5:$D$3004,1)),INDEX('AH History'!$D$5:$GG$1380,$K2319,AH!$U$10+1))),NA()),NA())</f>
        <v/>
      </c>
      <c r="G2319" s="34">
        <f>IFERROR(IF(ISNUMBER($A2319),IF(AND(AH!$U$12=1,2314+1=AH!$U$6),IF(AH!$U$4=0,"unavailable",INDEX('Market Data'!$AK$5:$AK$66,AH!$U$4)),IF(AH!$U$5=1,INDEX('Live History'!$D$5:$D$3004,MATCH($A2319,'Live History'!$D$5:$D$3004,1)),INDEX('AH History'!$D$5:$GG$1380,$K2319,AH!$U$10+2))),NA()),NA())</f>
        <v/>
      </c>
      <c r="H2319" s="266">
        <f>IFERROR(IF(ISNUMBER($A2319),IF(AND(AH!$U$12=1,2314+1=AH!$U$6),IF(AH!$U$4=0,"unavailable",INDEX('Market Data'!$AP$5:$AP$66,AH!$U$4)),IF(AH!$U$5=1,INDEX('Live History'!$H$5:$H$3004,MATCH($A2319,'Live History'!$G$5:$G$3004,1)),INDEX('AH History'!$B$5:$B$1380,$K2319))),NA()),NA())</f>
        <v/>
      </c>
      <c r="I2319" s="34">
        <f>IFERROR(IF(ISNUMBER($A2319),IF(AND(AH!$U$12=1,2314+1=AH!$U$6),TODAY(),IF(AH!$U$5=1,INDEX('Live History'!$G$5:$G$3004,MATCH($A2319,'Live History'!$G$5:$G$3004,1)),INDEX('AH History'!$C$5:$C$1380,$K2319))),NA()),NA())</f>
        <v/>
      </c>
      <c r="J2319" s="32">
        <f>IFERROR(IF(AND($F2319&gt;0,$H2319&gt;0,$A2319-$G2319&lt;=10,$A2319-$I2319&lt;=5,$G2319&gt;0,$I2319&gt;0),$F2319*$H2319,NA()),NA())</f>
        <v/>
      </c>
      <c r="K2319" s="15">
        <f>IF($A2319="","",IF(AH!$U$5=1,IFERROR(MATCH($A2319,'Live History'!$A$5:$A$3004,0),0),AH!$U$7+2314))</f>
        <v/>
      </c>
      <c r="L2319" s="15">
        <f>IF(ISNUMBER(A2319),TEXT(A2319,"dd-mmm-yy"),"")</f>
        <v/>
      </c>
    </row>
    <row r="2320">
      <c r="A2320" s="14">
        <f>IF(OR(AH!$U$4=0,2315+1&gt;AH!$U$6,AND(AH!$M$5="Bloomberg",AH!$U$5=0)),"",IFERROR(IF(AND(AH!$U$12=1,2315+1=AH!$U$6),TODAY(),IF(AH!$U$5=1,INDEX('Live History'!$A$5:$A$3004,AH!$U$7+2315),INDEX('AH History'!$A$5:$A$1380,AH!$U$7+2315))),""))</f>
        <v/>
      </c>
      <c r="B2320" s="33">
        <f>IFERROR(IF(AH!$U$11=1,NA(),$J2320/$E2320-1),NA())</f>
        <v/>
      </c>
      <c r="C2320" s="269">
        <f>IFERROR(100*$E2320/$E$5,NA())</f>
        <v/>
      </c>
      <c r="D2320" s="269">
        <f>IFERROR(100*$J2320/$J$5,NA())</f>
        <v/>
      </c>
      <c r="E2320" s="32">
        <f>IFERROR(IF(AND(ISNUMBER($A2320),N(IF(AND(AH!$U$12=1,2315+1=AH!$U$6),IF(AH!$U$4=0,"unavailable",INDEX('Market Data'!$AN$5:$AN$66,AH!$U$4)),IF(AH!$U$5=1,INDEX('Live History'!$B$5:$B$3004,$K2320),INDEX('AH History'!$D$5:$GG$1380,$K2320,AH!$U$10))))&gt;0),IF(AND(AH!$U$12=1,2315+1=AH!$U$6),IF(AH!$U$4=0,"unavailable",INDEX('Market Data'!$AN$5:$AN$66,AH!$U$4)),IF(AH!$U$5=1,INDEX('Live History'!$B$5:$B$3004,$K2320),INDEX('AH History'!$D$5:$GG$1380,$K2320,AH!$U$10))),NA()),NA())</f>
        <v/>
      </c>
      <c r="F2320" s="32">
        <f>IFERROR(IF(ISNUMBER($A2320),IF(AND(AH!$U$12=1,2315+1=AH!$U$6),IF(AH!$U$4=0,"unavailable",INDEX('Market Data'!$AO$5:$AO$66,AH!$U$4)),IF(AH!$U$5=1,INDEX('Live History'!$E$5:$E$3004,MATCH($A2320,'Live History'!$D$5:$D$3004,1)),INDEX('AH History'!$D$5:$GG$1380,$K2320,AH!$U$10+1))),NA()),NA())</f>
        <v/>
      </c>
      <c r="G2320" s="34">
        <f>IFERROR(IF(ISNUMBER($A2320),IF(AND(AH!$U$12=1,2315+1=AH!$U$6),IF(AH!$U$4=0,"unavailable",INDEX('Market Data'!$AK$5:$AK$66,AH!$U$4)),IF(AH!$U$5=1,INDEX('Live History'!$D$5:$D$3004,MATCH($A2320,'Live History'!$D$5:$D$3004,1)),INDEX('AH History'!$D$5:$GG$1380,$K2320,AH!$U$10+2))),NA()),NA())</f>
        <v/>
      </c>
      <c r="H2320" s="266">
        <f>IFERROR(IF(ISNUMBER($A2320),IF(AND(AH!$U$12=1,2315+1=AH!$U$6),IF(AH!$U$4=0,"unavailable",INDEX('Market Data'!$AP$5:$AP$66,AH!$U$4)),IF(AH!$U$5=1,INDEX('Live History'!$H$5:$H$3004,MATCH($A2320,'Live History'!$G$5:$G$3004,1)),INDEX('AH History'!$B$5:$B$1380,$K2320))),NA()),NA())</f>
        <v/>
      </c>
      <c r="I2320" s="34">
        <f>IFERROR(IF(ISNUMBER($A2320),IF(AND(AH!$U$12=1,2315+1=AH!$U$6),TODAY(),IF(AH!$U$5=1,INDEX('Live History'!$G$5:$G$3004,MATCH($A2320,'Live History'!$G$5:$G$3004,1)),INDEX('AH History'!$C$5:$C$1380,$K2320))),NA()),NA())</f>
        <v/>
      </c>
      <c r="J2320" s="32">
        <f>IFERROR(IF(AND($F2320&gt;0,$H2320&gt;0,$A2320-$G2320&lt;=10,$A2320-$I2320&lt;=5,$G2320&gt;0,$I2320&gt;0),$F2320*$H2320,NA()),NA())</f>
        <v/>
      </c>
      <c r="K2320" s="15">
        <f>IF($A2320="","",IF(AH!$U$5=1,IFERROR(MATCH($A2320,'Live History'!$A$5:$A$3004,0),0),AH!$U$7+2315))</f>
        <v/>
      </c>
      <c r="L2320" s="15">
        <f>IF(ISNUMBER(A2320),TEXT(A2320,"dd-mmm-yy"),"")</f>
        <v/>
      </c>
    </row>
    <row r="2321">
      <c r="A2321" s="14">
        <f>IF(OR(AH!$U$4=0,2316+1&gt;AH!$U$6,AND(AH!$M$5="Bloomberg",AH!$U$5=0)),"",IFERROR(IF(AND(AH!$U$12=1,2316+1=AH!$U$6),TODAY(),IF(AH!$U$5=1,INDEX('Live History'!$A$5:$A$3004,AH!$U$7+2316),INDEX('AH History'!$A$5:$A$1380,AH!$U$7+2316))),""))</f>
        <v/>
      </c>
      <c r="B2321" s="33">
        <f>IFERROR(IF(AH!$U$11=1,NA(),$J2321/$E2321-1),NA())</f>
        <v/>
      </c>
      <c r="C2321" s="269">
        <f>IFERROR(100*$E2321/$E$5,NA())</f>
        <v/>
      </c>
      <c r="D2321" s="269">
        <f>IFERROR(100*$J2321/$J$5,NA())</f>
        <v/>
      </c>
      <c r="E2321" s="32">
        <f>IFERROR(IF(AND(ISNUMBER($A2321),N(IF(AND(AH!$U$12=1,2316+1=AH!$U$6),IF(AH!$U$4=0,"unavailable",INDEX('Market Data'!$AN$5:$AN$66,AH!$U$4)),IF(AH!$U$5=1,INDEX('Live History'!$B$5:$B$3004,$K2321),INDEX('AH History'!$D$5:$GG$1380,$K2321,AH!$U$10))))&gt;0),IF(AND(AH!$U$12=1,2316+1=AH!$U$6),IF(AH!$U$4=0,"unavailable",INDEX('Market Data'!$AN$5:$AN$66,AH!$U$4)),IF(AH!$U$5=1,INDEX('Live History'!$B$5:$B$3004,$K2321),INDEX('AH History'!$D$5:$GG$1380,$K2321,AH!$U$10))),NA()),NA())</f>
        <v/>
      </c>
      <c r="F2321" s="32">
        <f>IFERROR(IF(ISNUMBER($A2321),IF(AND(AH!$U$12=1,2316+1=AH!$U$6),IF(AH!$U$4=0,"unavailable",INDEX('Market Data'!$AO$5:$AO$66,AH!$U$4)),IF(AH!$U$5=1,INDEX('Live History'!$E$5:$E$3004,MATCH($A2321,'Live History'!$D$5:$D$3004,1)),INDEX('AH History'!$D$5:$GG$1380,$K2321,AH!$U$10+1))),NA()),NA())</f>
        <v/>
      </c>
      <c r="G2321" s="34">
        <f>IFERROR(IF(ISNUMBER($A2321),IF(AND(AH!$U$12=1,2316+1=AH!$U$6),IF(AH!$U$4=0,"unavailable",INDEX('Market Data'!$AK$5:$AK$66,AH!$U$4)),IF(AH!$U$5=1,INDEX('Live History'!$D$5:$D$3004,MATCH($A2321,'Live History'!$D$5:$D$3004,1)),INDEX('AH History'!$D$5:$GG$1380,$K2321,AH!$U$10+2))),NA()),NA())</f>
        <v/>
      </c>
      <c r="H2321" s="266">
        <f>IFERROR(IF(ISNUMBER($A2321),IF(AND(AH!$U$12=1,2316+1=AH!$U$6),IF(AH!$U$4=0,"unavailable",INDEX('Market Data'!$AP$5:$AP$66,AH!$U$4)),IF(AH!$U$5=1,INDEX('Live History'!$H$5:$H$3004,MATCH($A2321,'Live History'!$G$5:$G$3004,1)),INDEX('AH History'!$B$5:$B$1380,$K2321))),NA()),NA())</f>
        <v/>
      </c>
      <c r="I2321" s="34">
        <f>IFERROR(IF(ISNUMBER($A2321),IF(AND(AH!$U$12=1,2316+1=AH!$U$6),TODAY(),IF(AH!$U$5=1,INDEX('Live History'!$G$5:$G$3004,MATCH($A2321,'Live History'!$G$5:$G$3004,1)),INDEX('AH History'!$C$5:$C$1380,$K2321))),NA()),NA())</f>
        <v/>
      </c>
      <c r="J2321" s="32">
        <f>IFERROR(IF(AND($F2321&gt;0,$H2321&gt;0,$A2321-$G2321&lt;=10,$A2321-$I2321&lt;=5,$G2321&gt;0,$I2321&gt;0),$F2321*$H2321,NA()),NA())</f>
        <v/>
      </c>
      <c r="K2321" s="15">
        <f>IF($A2321="","",IF(AH!$U$5=1,IFERROR(MATCH($A2321,'Live History'!$A$5:$A$3004,0),0),AH!$U$7+2316))</f>
        <v/>
      </c>
      <c r="L2321" s="15">
        <f>IF(ISNUMBER(A2321),TEXT(A2321,"dd-mmm-yy"),"")</f>
        <v/>
      </c>
    </row>
    <row r="2322">
      <c r="A2322" s="14">
        <f>IF(OR(AH!$U$4=0,2317+1&gt;AH!$U$6,AND(AH!$M$5="Bloomberg",AH!$U$5=0)),"",IFERROR(IF(AND(AH!$U$12=1,2317+1=AH!$U$6),TODAY(),IF(AH!$U$5=1,INDEX('Live History'!$A$5:$A$3004,AH!$U$7+2317),INDEX('AH History'!$A$5:$A$1380,AH!$U$7+2317))),""))</f>
        <v/>
      </c>
      <c r="B2322" s="33">
        <f>IFERROR(IF(AH!$U$11=1,NA(),$J2322/$E2322-1),NA())</f>
        <v/>
      </c>
      <c r="C2322" s="269">
        <f>IFERROR(100*$E2322/$E$5,NA())</f>
        <v/>
      </c>
      <c r="D2322" s="269">
        <f>IFERROR(100*$J2322/$J$5,NA())</f>
        <v/>
      </c>
      <c r="E2322" s="32">
        <f>IFERROR(IF(AND(ISNUMBER($A2322),N(IF(AND(AH!$U$12=1,2317+1=AH!$U$6),IF(AH!$U$4=0,"unavailable",INDEX('Market Data'!$AN$5:$AN$66,AH!$U$4)),IF(AH!$U$5=1,INDEX('Live History'!$B$5:$B$3004,$K2322),INDEX('AH History'!$D$5:$GG$1380,$K2322,AH!$U$10))))&gt;0),IF(AND(AH!$U$12=1,2317+1=AH!$U$6),IF(AH!$U$4=0,"unavailable",INDEX('Market Data'!$AN$5:$AN$66,AH!$U$4)),IF(AH!$U$5=1,INDEX('Live History'!$B$5:$B$3004,$K2322),INDEX('AH History'!$D$5:$GG$1380,$K2322,AH!$U$10))),NA()),NA())</f>
        <v/>
      </c>
      <c r="F2322" s="32">
        <f>IFERROR(IF(ISNUMBER($A2322),IF(AND(AH!$U$12=1,2317+1=AH!$U$6),IF(AH!$U$4=0,"unavailable",INDEX('Market Data'!$AO$5:$AO$66,AH!$U$4)),IF(AH!$U$5=1,INDEX('Live History'!$E$5:$E$3004,MATCH($A2322,'Live History'!$D$5:$D$3004,1)),INDEX('AH History'!$D$5:$GG$1380,$K2322,AH!$U$10+1))),NA()),NA())</f>
        <v/>
      </c>
      <c r="G2322" s="34">
        <f>IFERROR(IF(ISNUMBER($A2322),IF(AND(AH!$U$12=1,2317+1=AH!$U$6),IF(AH!$U$4=0,"unavailable",INDEX('Market Data'!$AK$5:$AK$66,AH!$U$4)),IF(AH!$U$5=1,INDEX('Live History'!$D$5:$D$3004,MATCH($A2322,'Live History'!$D$5:$D$3004,1)),INDEX('AH History'!$D$5:$GG$1380,$K2322,AH!$U$10+2))),NA()),NA())</f>
        <v/>
      </c>
      <c r="H2322" s="266">
        <f>IFERROR(IF(ISNUMBER($A2322),IF(AND(AH!$U$12=1,2317+1=AH!$U$6),IF(AH!$U$4=0,"unavailable",INDEX('Market Data'!$AP$5:$AP$66,AH!$U$4)),IF(AH!$U$5=1,INDEX('Live History'!$H$5:$H$3004,MATCH($A2322,'Live History'!$G$5:$G$3004,1)),INDEX('AH History'!$B$5:$B$1380,$K2322))),NA()),NA())</f>
        <v/>
      </c>
      <c r="I2322" s="34">
        <f>IFERROR(IF(ISNUMBER($A2322),IF(AND(AH!$U$12=1,2317+1=AH!$U$6),TODAY(),IF(AH!$U$5=1,INDEX('Live History'!$G$5:$G$3004,MATCH($A2322,'Live History'!$G$5:$G$3004,1)),INDEX('AH History'!$C$5:$C$1380,$K2322))),NA()),NA())</f>
        <v/>
      </c>
      <c r="J2322" s="32">
        <f>IFERROR(IF(AND($F2322&gt;0,$H2322&gt;0,$A2322-$G2322&lt;=10,$A2322-$I2322&lt;=5,$G2322&gt;0,$I2322&gt;0),$F2322*$H2322,NA()),NA())</f>
        <v/>
      </c>
      <c r="K2322" s="15">
        <f>IF($A2322="","",IF(AH!$U$5=1,IFERROR(MATCH($A2322,'Live History'!$A$5:$A$3004,0),0),AH!$U$7+2317))</f>
        <v/>
      </c>
      <c r="L2322" s="15">
        <f>IF(ISNUMBER(A2322),TEXT(A2322,"dd-mmm-yy"),"")</f>
        <v/>
      </c>
    </row>
    <row r="2323">
      <c r="A2323" s="14">
        <f>IF(OR(AH!$U$4=0,2318+1&gt;AH!$U$6,AND(AH!$M$5="Bloomberg",AH!$U$5=0)),"",IFERROR(IF(AND(AH!$U$12=1,2318+1=AH!$U$6),TODAY(),IF(AH!$U$5=1,INDEX('Live History'!$A$5:$A$3004,AH!$U$7+2318),INDEX('AH History'!$A$5:$A$1380,AH!$U$7+2318))),""))</f>
        <v/>
      </c>
      <c r="B2323" s="33">
        <f>IFERROR(IF(AH!$U$11=1,NA(),$J2323/$E2323-1),NA())</f>
        <v/>
      </c>
      <c r="C2323" s="269">
        <f>IFERROR(100*$E2323/$E$5,NA())</f>
        <v/>
      </c>
      <c r="D2323" s="269">
        <f>IFERROR(100*$J2323/$J$5,NA())</f>
        <v/>
      </c>
      <c r="E2323" s="32">
        <f>IFERROR(IF(AND(ISNUMBER($A2323),N(IF(AND(AH!$U$12=1,2318+1=AH!$U$6),IF(AH!$U$4=0,"unavailable",INDEX('Market Data'!$AN$5:$AN$66,AH!$U$4)),IF(AH!$U$5=1,INDEX('Live History'!$B$5:$B$3004,$K2323),INDEX('AH History'!$D$5:$GG$1380,$K2323,AH!$U$10))))&gt;0),IF(AND(AH!$U$12=1,2318+1=AH!$U$6),IF(AH!$U$4=0,"unavailable",INDEX('Market Data'!$AN$5:$AN$66,AH!$U$4)),IF(AH!$U$5=1,INDEX('Live History'!$B$5:$B$3004,$K2323),INDEX('AH History'!$D$5:$GG$1380,$K2323,AH!$U$10))),NA()),NA())</f>
        <v/>
      </c>
      <c r="F2323" s="32">
        <f>IFERROR(IF(ISNUMBER($A2323),IF(AND(AH!$U$12=1,2318+1=AH!$U$6),IF(AH!$U$4=0,"unavailable",INDEX('Market Data'!$AO$5:$AO$66,AH!$U$4)),IF(AH!$U$5=1,INDEX('Live History'!$E$5:$E$3004,MATCH($A2323,'Live History'!$D$5:$D$3004,1)),INDEX('AH History'!$D$5:$GG$1380,$K2323,AH!$U$10+1))),NA()),NA())</f>
        <v/>
      </c>
      <c r="G2323" s="34">
        <f>IFERROR(IF(ISNUMBER($A2323),IF(AND(AH!$U$12=1,2318+1=AH!$U$6),IF(AH!$U$4=0,"unavailable",INDEX('Market Data'!$AK$5:$AK$66,AH!$U$4)),IF(AH!$U$5=1,INDEX('Live History'!$D$5:$D$3004,MATCH($A2323,'Live History'!$D$5:$D$3004,1)),INDEX('AH History'!$D$5:$GG$1380,$K2323,AH!$U$10+2))),NA()),NA())</f>
        <v/>
      </c>
      <c r="H2323" s="266">
        <f>IFERROR(IF(ISNUMBER($A2323),IF(AND(AH!$U$12=1,2318+1=AH!$U$6),IF(AH!$U$4=0,"unavailable",INDEX('Market Data'!$AP$5:$AP$66,AH!$U$4)),IF(AH!$U$5=1,INDEX('Live History'!$H$5:$H$3004,MATCH($A2323,'Live History'!$G$5:$G$3004,1)),INDEX('AH History'!$B$5:$B$1380,$K2323))),NA()),NA())</f>
        <v/>
      </c>
      <c r="I2323" s="34">
        <f>IFERROR(IF(ISNUMBER($A2323),IF(AND(AH!$U$12=1,2318+1=AH!$U$6),TODAY(),IF(AH!$U$5=1,INDEX('Live History'!$G$5:$G$3004,MATCH($A2323,'Live History'!$G$5:$G$3004,1)),INDEX('AH History'!$C$5:$C$1380,$K2323))),NA()),NA())</f>
        <v/>
      </c>
      <c r="J2323" s="32">
        <f>IFERROR(IF(AND($F2323&gt;0,$H2323&gt;0,$A2323-$G2323&lt;=10,$A2323-$I2323&lt;=5,$G2323&gt;0,$I2323&gt;0),$F2323*$H2323,NA()),NA())</f>
        <v/>
      </c>
      <c r="K2323" s="15">
        <f>IF($A2323="","",IF(AH!$U$5=1,IFERROR(MATCH($A2323,'Live History'!$A$5:$A$3004,0),0),AH!$U$7+2318))</f>
        <v/>
      </c>
      <c r="L2323" s="15">
        <f>IF(ISNUMBER(A2323),TEXT(A2323,"dd-mmm-yy"),"")</f>
        <v/>
      </c>
    </row>
    <row r="2324">
      <c r="A2324" s="14">
        <f>IF(OR(AH!$U$4=0,2319+1&gt;AH!$U$6,AND(AH!$M$5="Bloomberg",AH!$U$5=0)),"",IFERROR(IF(AND(AH!$U$12=1,2319+1=AH!$U$6),TODAY(),IF(AH!$U$5=1,INDEX('Live History'!$A$5:$A$3004,AH!$U$7+2319),INDEX('AH History'!$A$5:$A$1380,AH!$U$7+2319))),""))</f>
        <v/>
      </c>
      <c r="B2324" s="33">
        <f>IFERROR(IF(AH!$U$11=1,NA(),$J2324/$E2324-1),NA())</f>
        <v/>
      </c>
      <c r="C2324" s="269">
        <f>IFERROR(100*$E2324/$E$5,NA())</f>
        <v/>
      </c>
      <c r="D2324" s="269">
        <f>IFERROR(100*$J2324/$J$5,NA())</f>
        <v/>
      </c>
      <c r="E2324" s="32">
        <f>IFERROR(IF(AND(ISNUMBER($A2324),N(IF(AND(AH!$U$12=1,2319+1=AH!$U$6),IF(AH!$U$4=0,"unavailable",INDEX('Market Data'!$AN$5:$AN$66,AH!$U$4)),IF(AH!$U$5=1,INDEX('Live History'!$B$5:$B$3004,$K2324),INDEX('AH History'!$D$5:$GG$1380,$K2324,AH!$U$10))))&gt;0),IF(AND(AH!$U$12=1,2319+1=AH!$U$6),IF(AH!$U$4=0,"unavailable",INDEX('Market Data'!$AN$5:$AN$66,AH!$U$4)),IF(AH!$U$5=1,INDEX('Live History'!$B$5:$B$3004,$K2324),INDEX('AH History'!$D$5:$GG$1380,$K2324,AH!$U$10))),NA()),NA())</f>
        <v/>
      </c>
      <c r="F2324" s="32">
        <f>IFERROR(IF(ISNUMBER($A2324),IF(AND(AH!$U$12=1,2319+1=AH!$U$6),IF(AH!$U$4=0,"unavailable",INDEX('Market Data'!$AO$5:$AO$66,AH!$U$4)),IF(AH!$U$5=1,INDEX('Live History'!$E$5:$E$3004,MATCH($A2324,'Live History'!$D$5:$D$3004,1)),INDEX('AH History'!$D$5:$GG$1380,$K2324,AH!$U$10+1))),NA()),NA())</f>
        <v/>
      </c>
      <c r="G2324" s="34">
        <f>IFERROR(IF(ISNUMBER($A2324),IF(AND(AH!$U$12=1,2319+1=AH!$U$6),IF(AH!$U$4=0,"unavailable",INDEX('Market Data'!$AK$5:$AK$66,AH!$U$4)),IF(AH!$U$5=1,INDEX('Live History'!$D$5:$D$3004,MATCH($A2324,'Live History'!$D$5:$D$3004,1)),INDEX('AH History'!$D$5:$GG$1380,$K2324,AH!$U$10+2))),NA()),NA())</f>
        <v/>
      </c>
      <c r="H2324" s="266">
        <f>IFERROR(IF(ISNUMBER($A2324),IF(AND(AH!$U$12=1,2319+1=AH!$U$6),IF(AH!$U$4=0,"unavailable",INDEX('Market Data'!$AP$5:$AP$66,AH!$U$4)),IF(AH!$U$5=1,INDEX('Live History'!$H$5:$H$3004,MATCH($A2324,'Live History'!$G$5:$G$3004,1)),INDEX('AH History'!$B$5:$B$1380,$K2324))),NA()),NA())</f>
        <v/>
      </c>
      <c r="I2324" s="34">
        <f>IFERROR(IF(ISNUMBER($A2324),IF(AND(AH!$U$12=1,2319+1=AH!$U$6),TODAY(),IF(AH!$U$5=1,INDEX('Live History'!$G$5:$G$3004,MATCH($A2324,'Live History'!$G$5:$G$3004,1)),INDEX('AH History'!$C$5:$C$1380,$K2324))),NA()),NA())</f>
        <v/>
      </c>
      <c r="J2324" s="32">
        <f>IFERROR(IF(AND($F2324&gt;0,$H2324&gt;0,$A2324-$G2324&lt;=10,$A2324-$I2324&lt;=5,$G2324&gt;0,$I2324&gt;0),$F2324*$H2324,NA()),NA())</f>
        <v/>
      </c>
      <c r="K2324" s="15">
        <f>IF($A2324="","",IF(AH!$U$5=1,IFERROR(MATCH($A2324,'Live History'!$A$5:$A$3004,0),0),AH!$U$7+2319))</f>
        <v/>
      </c>
      <c r="L2324" s="15">
        <f>IF(ISNUMBER(A2324),TEXT(A2324,"dd-mmm-yy"),"")</f>
        <v/>
      </c>
    </row>
    <row r="2325">
      <c r="A2325" s="14">
        <f>IF(OR(AH!$U$4=0,2320+1&gt;AH!$U$6,AND(AH!$M$5="Bloomberg",AH!$U$5=0)),"",IFERROR(IF(AND(AH!$U$12=1,2320+1=AH!$U$6),TODAY(),IF(AH!$U$5=1,INDEX('Live History'!$A$5:$A$3004,AH!$U$7+2320),INDEX('AH History'!$A$5:$A$1380,AH!$U$7+2320))),""))</f>
        <v/>
      </c>
      <c r="B2325" s="33">
        <f>IFERROR(IF(AH!$U$11=1,NA(),$J2325/$E2325-1),NA())</f>
        <v/>
      </c>
      <c r="C2325" s="269">
        <f>IFERROR(100*$E2325/$E$5,NA())</f>
        <v/>
      </c>
      <c r="D2325" s="269">
        <f>IFERROR(100*$J2325/$J$5,NA())</f>
        <v/>
      </c>
      <c r="E2325" s="32">
        <f>IFERROR(IF(AND(ISNUMBER($A2325),N(IF(AND(AH!$U$12=1,2320+1=AH!$U$6),IF(AH!$U$4=0,"unavailable",INDEX('Market Data'!$AN$5:$AN$66,AH!$U$4)),IF(AH!$U$5=1,INDEX('Live History'!$B$5:$B$3004,$K2325),INDEX('AH History'!$D$5:$GG$1380,$K2325,AH!$U$10))))&gt;0),IF(AND(AH!$U$12=1,2320+1=AH!$U$6),IF(AH!$U$4=0,"unavailable",INDEX('Market Data'!$AN$5:$AN$66,AH!$U$4)),IF(AH!$U$5=1,INDEX('Live History'!$B$5:$B$3004,$K2325),INDEX('AH History'!$D$5:$GG$1380,$K2325,AH!$U$10))),NA()),NA())</f>
        <v/>
      </c>
      <c r="F2325" s="32">
        <f>IFERROR(IF(ISNUMBER($A2325),IF(AND(AH!$U$12=1,2320+1=AH!$U$6),IF(AH!$U$4=0,"unavailable",INDEX('Market Data'!$AO$5:$AO$66,AH!$U$4)),IF(AH!$U$5=1,INDEX('Live History'!$E$5:$E$3004,MATCH($A2325,'Live History'!$D$5:$D$3004,1)),INDEX('AH History'!$D$5:$GG$1380,$K2325,AH!$U$10+1))),NA()),NA())</f>
        <v/>
      </c>
      <c r="G2325" s="34">
        <f>IFERROR(IF(ISNUMBER($A2325),IF(AND(AH!$U$12=1,2320+1=AH!$U$6),IF(AH!$U$4=0,"unavailable",INDEX('Market Data'!$AK$5:$AK$66,AH!$U$4)),IF(AH!$U$5=1,INDEX('Live History'!$D$5:$D$3004,MATCH($A2325,'Live History'!$D$5:$D$3004,1)),INDEX('AH History'!$D$5:$GG$1380,$K2325,AH!$U$10+2))),NA()),NA())</f>
        <v/>
      </c>
      <c r="H2325" s="266">
        <f>IFERROR(IF(ISNUMBER($A2325),IF(AND(AH!$U$12=1,2320+1=AH!$U$6),IF(AH!$U$4=0,"unavailable",INDEX('Market Data'!$AP$5:$AP$66,AH!$U$4)),IF(AH!$U$5=1,INDEX('Live History'!$H$5:$H$3004,MATCH($A2325,'Live History'!$G$5:$G$3004,1)),INDEX('AH History'!$B$5:$B$1380,$K2325))),NA()),NA())</f>
        <v/>
      </c>
      <c r="I2325" s="34">
        <f>IFERROR(IF(ISNUMBER($A2325),IF(AND(AH!$U$12=1,2320+1=AH!$U$6),TODAY(),IF(AH!$U$5=1,INDEX('Live History'!$G$5:$G$3004,MATCH($A2325,'Live History'!$G$5:$G$3004,1)),INDEX('AH History'!$C$5:$C$1380,$K2325))),NA()),NA())</f>
        <v/>
      </c>
      <c r="J2325" s="32">
        <f>IFERROR(IF(AND($F2325&gt;0,$H2325&gt;0,$A2325-$G2325&lt;=10,$A2325-$I2325&lt;=5,$G2325&gt;0,$I2325&gt;0),$F2325*$H2325,NA()),NA())</f>
        <v/>
      </c>
      <c r="K2325" s="15">
        <f>IF($A2325="","",IF(AH!$U$5=1,IFERROR(MATCH($A2325,'Live History'!$A$5:$A$3004,0),0),AH!$U$7+2320))</f>
        <v/>
      </c>
      <c r="L2325" s="15">
        <f>IF(ISNUMBER(A2325),TEXT(A2325,"dd-mmm-yy"),"")</f>
        <v/>
      </c>
    </row>
    <row r="2326">
      <c r="A2326" s="14">
        <f>IF(OR(AH!$U$4=0,2321+1&gt;AH!$U$6,AND(AH!$M$5="Bloomberg",AH!$U$5=0)),"",IFERROR(IF(AND(AH!$U$12=1,2321+1=AH!$U$6),TODAY(),IF(AH!$U$5=1,INDEX('Live History'!$A$5:$A$3004,AH!$U$7+2321),INDEX('AH History'!$A$5:$A$1380,AH!$U$7+2321))),""))</f>
        <v/>
      </c>
      <c r="B2326" s="33">
        <f>IFERROR(IF(AH!$U$11=1,NA(),$J2326/$E2326-1),NA())</f>
        <v/>
      </c>
      <c r="C2326" s="269">
        <f>IFERROR(100*$E2326/$E$5,NA())</f>
        <v/>
      </c>
      <c r="D2326" s="269">
        <f>IFERROR(100*$J2326/$J$5,NA())</f>
        <v/>
      </c>
      <c r="E2326" s="32">
        <f>IFERROR(IF(AND(ISNUMBER($A2326),N(IF(AND(AH!$U$12=1,2321+1=AH!$U$6),IF(AH!$U$4=0,"unavailable",INDEX('Market Data'!$AN$5:$AN$66,AH!$U$4)),IF(AH!$U$5=1,INDEX('Live History'!$B$5:$B$3004,$K2326),INDEX('AH History'!$D$5:$GG$1380,$K2326,AH!$U$10))))&gt;0),IF(AND(AH!$U$12=1,2321+1=AH!$U$6),IF(AH!$U$4=0,"unavailable",INDEX('Market Data'!$AN$5:$AN$66,AH!$U$4)),IF(AH!$U$5=1,INDEX('Live History'!$B$5:$B$3004,$K2326),INDEX('AH History'!$D$5:$GG$1380,$K2326,AH!$U$10))),NA()),NA())</f>
        <v/>
      </c>
      <c r="F2326" s="32">
        <f>IFERROR(IF(ISNUMBER($A2326),IF(AND(AH!$U$12=1,2321+1=AH!$U$6),IF(AH!$U$4=0,"unavailable",INDEX('Market Data'!$AO$5:$AO$66,AH!$U$4)),IF(AH!$U$5=1,INDEX('Live History'!$E$5:$E$3004,MATCH($A2326,'Live History'!$D$5:$D$3004,1)),INDEX('AH History'!$D$5:$GG$1380,$K2326,AH!$U$10+1))),NA()),NA())</f>
        <v/>
      </c>
      <c r="G2326" s="34">
        <f>IFERROR(IF(ISNUMBER($A2326),IF(AND(AH!$U$12=1,2321+1=AH!$U$6),IF(AH!$U$4=0,"unavailable",INDEX('Market Data'!$AK$5:$AK$66,AH!$U$4)),IF(AH!$U$5=1,INDEX('Live History'!$D$5:$D$3004,MATCH($A2326,'Live History'!$D$5:$D$3004,1)),INDEX('AH History'!$D$5:$GG$1380,$K2326,AH!$U$10+2))),NA()),NA())</f>
        <v/>
      </c>
      <c r="H2326" s="266">
        <f>IFERROR(IF(ISNUMBER($A2326),IF(AND(AH!$U$12=1,2321+1=AH!$U$6),IF(AH!$U$4=0,"unavailable",INDEX('Market Data'!$AP$5:$AP$66,AH!$U$4)),IF(AH!$U$5=1,INDEX('Live History'!$H$5:$H$3004,MATCH($A2326,'Live History'!$G$5:$G$3004,1)),INDEX('AH History'!$B$5:$B$1380,$K2326))),NA()),NA())</f>
        <v/>
      </c>
      <c r="I2326" s="34">
        <f>IFERROR(IF(ISNUMBER($A2326),IF(AND(AH!$U$12=1,2321+1=AH!$U$6),TODAY(),IF(AH!$U$5=1,INDEX('Live History'!$G$5:$G$3004,MATCH($A2326,'Live History'!$G$5:$G$3004,1)),INDEX('AH History'!$C$5:$C$1380,$K2326))),NA()),NA())</f>
        <v/>
      </c>
      <c r="J2326" s="32">
        <f>IFERROR(IF(AND($F2326&gt;0,$H2326&gt;0,$A2326-$G2326&lt;=10,$A2326-$I2326&lt;=5,$G2326&gt;0,$I2326&gt;0),$F2326*$H2326,NA()),NA())</f>
        <v/>
      </c>
      <c r="K2326" s="15">
        <f>IF($A2326="","",IF(AH!$U$5=1,IFERROR(MATCH($A2326,'Live History'!$A$5:$A$3004,0),0),AH!$U$7+2321))</f>
        <v/>
      </c>
      <c r="L2326" s="15">
        <f>IF(ISNUMBER(A2326),TEXT(A2326,"dd-mmm-yy"),"")</f>
        <v/>
      </c>
    </row>
    <row r="2327">
      <c r="A2327" s="14">
        <f>IF(OR(AH!$U$4=0,2322+1&gt;AH!$U$6,AND(AH!$M$5="Bloomberg",AH!$U$5=0)),"",IFERROR(IF(AND(AH!$U$12=1,2322+1=AH!$U$6),TODAY(),IF(AH!$U$5=1,INDEX('Live History'!$A$5:$A$3004,AH!$U$7+2322),INDEX('AH History'!$A$5:$A$1380,AH!$U$7+2322))),""))</f>
        <v/>
      </c>
      <c r="B2327" s="33">
        <f>IFERROR(IF(AH!$U$11=1,NA(),$J2327/$E2327-1),NA())</f>
        <v/>
      </c>
      <c r="C2327" s="269">
        <f>IFERROR(100*$E2327/$E$5,NA())</f>
        <v/>
      </c>
      <c r="D2327" s="269">
        <f>IFERROR(100*$J2327/$J$5,NA())</f>
        <v/>
      </c>
      <c r="E2327" s="32">
        <f>IFERROR(IF(AND(ISNUMBER($A2327),N(IF(AND(AH!$U$12=1,2322+1=AH!$U$6),IF(AH!$U$4=0,"unavailable",INDEX('Market Data'!$AN$5:$AN$66,AH!$U$4)),IF(AH!$U$5=1,INDEX('Live History'!$B$5:$B$3004,$K2327),INDEX('AH History'!$D$5:$GG$1380,$K2327,AH!$U$10))))&gt;0),IF(AND(AH!$U$12=1,2322+1=AH!$U$6),IF(AH!$U$4=0,"unavailable",INDEX('Market Data'!$AN$5:$AN$66,AH!$U$4)),IF(AH!$U$5=1,INDEX('Live History'!$B$5:$B$3004,$K2327),INDEX('AH History'!$D$5:$GG$1380,$K2327,AH!$U$10))),NA()),NA())</f>
        <v/>
      </c>
      <c r="F2327" s="32">
        <f>IFERROR(IF(ISNUMBER($A2327),IF(AND(AH!$U$12=1,2322+1=AH!$U$6),IF(AH!$U$4=0,"unavailable",INDEX('Market Data'!$AO$5:$AO$66,AH!$U$4)),IF(AH!$U$5=1,INDEX('Live History'!$E$5:$E$3004,MATCH($A2327,'Live History'!$D$5:$D$3004,1)),INDEX('AH History'!$D$5:$GG$1380,$K2327,AH!$U$10+1))),NA()),NA())</f>
        <v/>
      </c>
      <c r="G2327" s="34">
        <f>IFERROR(IF(ISNUMBER($A2327),IF(AND(AH!$U$12=1,2322+1=AH!$U$6),IF(AH!$U$4=0,"unavailable",INDEX('Market Data'!$AK$5:$AK$66,AH!$U$4)),IF(AH!$U$5=1,INDEX('Live History'!$D$5:$D$3004,MATCH($A2327,'Live History'!$D$5:$D$3004,1)),INDEX('AH History'!$D$5:$GG$1380,$K2327,AH!$U$10+2))),NA()),NA())</f>
        <v/>
      </c>
      <c r="H2327" s="266">
        <f>IFERROR(IF(ISNUMBER($A2327),IF(AND(AH!$U$12=1,2322+1=AH!$U$6),IF(AH!$U$4=0,"unavailable",INDEX('Market Data'!$AP$5:$AP$66,AH!$U$4)),IF(AH!$U$5=1,INDEX('Live History'!$H$5:$H$3004,MATCH($A2327,'Live History'!$G$5:$G$3004,1)),INDEX('AH History'!$B$5:$B$1380,$K2327))),NA()),NA())</f>
        <v/>
      </c>
      <c r="I2327" s="34">
        <f>IFERROR(IF(ISNUMBER($A2327),IF(AND(AH!$U$12=1,2322+1=AH!$U$6),TODAY(),IF(AH!$U$5=1,INDEX('Live History'!$G$5:$G$3004,MATCH($A2327,'Live History'!$G$5:$G$3004,1)),INDEX('AH History'!$C$5:$C$1380,$K2327))),NA()),NA())</f>
        <v/>
      </c>
      <c r="J2327" s="32">
        <f>IFERROR(IF(AND($F2327&gt;0,$H2327&gt;0,$A2327-$G2327&lt;=10,$A2327-$I2327&lt;=5,$G2327&gt;0,$I2327&gt;0),$F2327*$H2327,NA()),NA())</f>
        <v/>
      </c>
      <c r="K2327" s="15">
        <f>IF($A2327="","",IF(AH!$U$5=1,IFERROR(MATCH($A2327,'Live History'!$A$5:$A$3004,0),0),AH!$U$7+2322))</f>
        <v/>
      </c>
      <c r="L2327" s="15">
        <f>IF(ISNUMBER(A2327),TEXT(A2327,"dd-mmm-yy"),"")</f>
        <v/>
      </c>
    </row>
    <row r="2328">
      <c r="A2328" s="14">
        <f>IF(OR(AH!$U$4=0,2323+1&gt;AH!$U$6,AND(AH!$M$5="Bloomberg",AH!$U$5=0)),"",IFERROR(IF(AND(AH!$U$12=1,2323+1=AH!$U$6),TODAY(),IF(AH!$U$5=1,INDEX('Live History'!$A$5:$A$3004,AH!$U$7+2323),INDEX('AH History'!$A$5:$A$1380,AH!$U$7+2323))),""))</f>
        <v/>
      </c>
      <c r="B2328" s="33">
        <f>IFERROR(IF(AH!$U$11=1,NA(),$J2328/$E2328-1),NA())</f>
        <v/>
      </c>
      <c r="C2328" s="269">
        <f>IFERROR(100*$E2328/$E$5,NA())</f>
        <v/>
      </c>
      <c r="D2328" s="269">
        <f>IFERROR(100*$J2328/$J$5,NA())</f>
        <v/>
      </c>
      <c r="E2328" s="32">
        <f>IFERROR(IF(AND(ISNUMBER($A2328),N(IF(AND(AH!$U$12=1,2323+1=AH!$U$6),IF(AH!$U$4=0,"unavailable",INDEX('Market Data'!$AN$5:$AN$66,AH!$U$4)),IF(AH!$U$5=1,INDEX('Live History'!$B$5:$B$3004,$K2328),INDEX('AH History'!$D$5:$GG$1380,$K2328,AH!$U$10))))&gt;0),IF(AND(AH!$U$12=1,2323+1=AH!$U$6),IF(AH!$U$4=0,"unavailable",INDEX('Market Data'!$AN$5:$AN$66,AH!$U$4)),IF(AH!$U$5=1,INDEX('Live History'!$B$5:$B$3004,$K2328),INDEX('AH History'!$D$5:$GG$1380,$K2328,AH!$U$10))),NA()),NA())</f>
        <v/>
      </c>
      <c r="F2328" s="32">
        <f>IFERROR(IF(ISNUMBER($A2328),IF(AND(AH!$U$12=1,2323+1=AH!$U$6),IF(AH!$U$4=0,"unavailable",INDEX('Market Data'!$AO$5:$AO$66,AH!$U$4)),IF(AH!$U$5=1,INDEX('Live History'!$E$5:$E$3004,MATCH($A2328,'Live History'!$D$5:$D$3004,1)),INDEX('AH History'!$D$5:$GG$1380,$K2328,AH!$U$10+1))),NA()),NA())</f>
        <v/>
      </c>
      <c r="G2328" s="34">
        <f>IFERROR(IF(ISNUMBER($A2328),IF(AND(AH!$U$12=1,2323+1=AH!$U$6),IF(AH!$U$4=0,"unavailable",INDEX('Market Data'!$AK$5:$AK$66,AH!$U$4)),IF(AH!$U$5=1,INDEX('Live History'!$D$5:$D$3004,MATCH($A2328,'Live History'!$D$5:$D$3004,1)),INDEX('AH History'!$D$5:$GG$1380,$K2328,AH!$U$10+2))),NA()),NA())</f>
        <v/>
      </c>
      <c r="H2328" s="266">
        <f>IFERROR(IF(ISNUMBER($A2328),IF(AND(AH!$U$12=1,2323+1=AH!$U$6),IF(AH!$U$4=0,"unavailable",INDEX('Market Data'!$AP$5:$AP$66,AH!$U$4)),IF(AH!$U$5=1,INDEX('Live History'!$H$5:$H$3004,MATCH($A2328,'Live History'!$G$5:$G$3004,1)),INDEX('AH History'!$B$5:$B$1380,$K2328))),NA()),NA())</f>
        <v/>
      </c>
      <c r="I2328" s="34">
        <f>IFERROR(IF(ISNUMBER($A2328),IF(AND(AH!$U$12=1,2323+1=AH!$U$6),TODAY(),IF(AH!$U$5=1,INDEX('Live History'!$G$5:$G$3004,MATCH($A2328,'Live History'!$G$5:$G$3004,1)),INDEX('AH History'!$C$5:$C$1380,$K2328))),NA()),NA())</f>
        <v/>
      </c>
      <c r="J2328" s="32">
        <f>IFERROR(IF(AND($F2328&gt;0,$H2328&gt;0,$A2328-$G2328&lt;=10,$A2328-$I2328&lt;=5,$G2328&gt;0,$I2328&gt;0),$F2328*$H2328,NA()),NA())</f>
        <v/>
      </c>
      <c r="K2328" s="15">
        <f>IF($A2328="","",IF(AH!$U$5=1,IFERROR(MATCH($A2328,'Live History'!$A$5:$A$3004,0),0),AH!$U$7+2323))</f>
        <v/>
      </c>
      <c r="L2328" s="15">
        <f>IF(ISNUMBER(A2328),TEXT(A2328,"dd-mmm-yy"),"")</f>
        <v/>
      </c>
    </row>
    <row r="2329">
      <c r="A2329" s="14">
        <f>IF(OR(AH!$U$4=0,2324+1&gt;AH!$U$6,AND(AH!$M$5="Bloomberg",AH!$U$5=0)),"",IFERROR(IF(AND(AH!$U$12=1,2324+1=AH!$U$6),TODAY(),IF(AH!$U$5=1,INDEX('Live History'!$A$5:$A$3004,AH!$U$7+2324),INDEX('AH History'!$A$5:$A$1380,AH!$U$7+2324))),""))</f>
        <v/>
      </c>
      <c r="B2329" s="33">
        <f>IFERROR(IF(AH!$U$11=1,NA(),$J2329/$E2329-1),NA())</f>
        <v/>
      </c>
      <c r="C2329" s="269">
        <f>IFERROR(100*$E2329/$E$5,NA())</f>
        <v/>
      </c>
      <c r="D2329" s="269">
        <f>IFERROR(100*$J2329/$J$5,NA())</f>
        <v/>
      </c>
      <c r="E2329" s="32">
        <f>IFERROR(IF(AND(ISNUMBER($A2329),N(IF(AND(AH!$U$12=1,2324+1=AH!$U$6),IF(AH!$U$4=0,"unavailable",INDEX('Market Data'!$AN$5:$AN$66,AH!$U$4)),IF(AH!$U$5=1,INDEX('Live History'!$B$5:$B$3004,$K2329),INDEX('AH History'!$D$5:$GG$1380,$K2329,AH!$U$10))))&gt;0),IF(AND(AH!$U$12=1,2324+1=AH!$U$6),IF(AH!$U$4=0,"unavailable",INDEX('Market Data'!$AN$5:$AN$66,AH!$U$4)),IF(AH!$U$5=1,INDEX('Live History'!$B$5:$B$3004,$K2329),INDEX('AH History'!$D$5:$GG$1380,$K2329,AH!$U$10))),NA()),NA())</f>
        <v/>
      </c>
      <c r="F2329" s="32">
        <f>IFERROR(IF(ISNUMBER($A2329),IF(AND(AH!$U$12=1,2324+1=AH!$U$6),IF(AH!$U$4=0,"unavailable",INDEX('Market Data'!$AO$5:$AO$66,AH!$U$4)),IF(AH!$U$5=1,INDEX('Live History'!$E$5:$E$3004,MATCH($A2329,'Live History'!$D$5:$D$3004,1)),INDEX('AH History'!$D$5:$GG$1380,$K2329,AH!$U$10+1))),NA()),NA())</f>
        <v/>
      </c>
      <c r="G2329" s="34">
        <f>IFERROR(IF(ISNUMBER($A2329),IF(AND(AH!$U$12=1,2324+1=AH!$U$6),IF(AH!$U$4=0,"unavailable",INDEX('Market Data'!$AK$5:$AK$66,AH!$U$4)),IF(AH!$U$5=1,INDEX('Live History'!$D$5:$D$3004,MATCH($A2329,'Live History'!$D$5:$D$3004,1)),INDEX('AH History'!$D$5:$GG$1380,$K2329,AH!$U$10+2))),NA()),NA())</f>
        <v/>
      </c>
      <c r="H2329" s="266">
        <f>IFERROR(IF(ISNUMBER($A2329),IF(AND(AH!$U$12=1,2324+1=AH!$U$6),IF(AH!$U$4=0,"unavailable",INDEX('Market Data'!$AP$5:$AP$66,AH!$U$4)),IF(AH!$U$5=1,INDEX('Live History'!$H$5:$H$3004,MATCH($A2329,'Live History'!$G$5:$G$3004,1)),INDEX('AH History'!$B$5:$B$1380,$K2329))),NA()),NA())</f>
        <v/>
      </c>
      <c r="I2329" s="34">
        <f>IFERROR(IF(ISNUMBER($A2329),IF(AND(AH!$U$12=1,2324+1=AH!$U$6),TODAY(),IF(AH!$U$5=1,INDEX('Live History'!$G$5:$G$3004,MATCH($A2329,'Live History'!$G$5:$G$3004,1)),INDEX('AH History'!$C$5:$C$1380,$K2329))),NA()),NA())</f>
        <v/>
      </c>
      <c r="J2329" s="32">
        <f>IFERROR(IF(AND($F2329&gt;0,$H2329&gt;0,$A2329-$G2329&lt;=10,$A2329-$I2329&lt;=5,$G2329&gt;0,$I2329&gt;0),$F2329*$H2329,NA()),NA())</f>
        <v/>
      </c>
      <c r="K2329" s="15">
        <f>IF($A2329="","",IF(AH!$U$5=1,IFERROR(MATCH($A2329,'Live History'!$A$5:$A$3004,0),0),AH!$U$7+2324))</f>
        <v/>
      </c>
      <c r="L2329" s="15">
        <f>IF(ISNUMBER(A2329),TEXT(A2329,"dd-mmm-yy"),"")</f>
        <v/>
      </c>
    </row>
    <row r="2330">
      <c r="A2330" s="14">
        <f>IF(OR(AH!$U$4=0,2325+1&gt;AH!$U$6,AND(AH!$M$5="Bloomberg",AH!$U$5=0)),"",IFERROR(IF(AND(AH!$U$12=1,2325+1=AH!$U$6),TODAY(),IF(AH!$U$5=1,INDEX('Live History'!$A$5:$A$3004,AH!$U$7+2325),INDEX('AH History'!$A$5:$A$1380,AH!$U$7+2325))),""))</f>
        <v/>
      </c>
      <c r="B2330" s="33">
        <f>IFERROR(IF(AH!$U$11=1,NA(),$J2330/$E2330-1),NA())</f>
        <v/>
      </c>
      <c r="C2330" s="269">
        <f>IFERROR(100*$E2330/$E$5,NA())</f>
        <v/>
      </c>
      <c r="D2330" s="269">
        <f>IFERROR(100*$J2330/$J$5,NA())</f>
        <v/>
      </c>
      <c r="E2330" s="32">
        <f>IFERROR(IF(AND(ISNUMBER($A2330),N(IF(AND(AH!$U$12=1,2325+1=AH!$U$6),IF(AH!$U$4=0,"unavailable",INDEX('Market Data'!$AN$5:$AN$66,AH!$U$4)),IF(AH!$U$5=1,INDEX('Live History'!$B$5:$B$3004,$K2330),INDEX('AH History'!$D$5:$GG$1380,$K2330,AH!$U$10))))&gt;0),IF(AND(AH!$U$12=1,2325+1=AH!$U$6),IF(AH!$U$4=0,"unavailable",INDEX('Market Data'!$AN$5:$AN$66,AH!$U$4)),IF(AH!$U$5=1,INDEX('Live History'!$B$5:$B$3004,$K2330),INDEX('AH History'!$D$5:$GG$1380,$K2330,AH!$U$10))),NA()),NA())</f>
        <v/>
      </c>
      <c r="F2330" s="32">
        <f>IFERROR(IF(ISNUMBER($A2330),IF(AND(AH!$U$12=1,2325+1=AH!$U$6),IF(AH!$U$4=0,"unavailable",INDEX('Market Data'!$AO$5:$AO$66,AH!$U$4)),IF(AH!$U$5=1,INDEX('Live History'!$E$5:$E$3004,MATCH($A2330,'Live History'!$D$5:$D$3004,1)),INDEX('AH History'!$D$5:$GG$1380,$K2330,AH!$U$10+1))),NA()),NA())</f>
        <v/>
      </c>
      <c r="G2330" s="34">
        <f>IFERROR(IF(ISNUMBER($A2330),IF(AND(AH!$U$12=1,2325+1=AH!$U$6),IF(AH!$U$4=0,"unavailable",INDEX('Market Data'!$AK$5:$AK$66,AH!$U$4)),IF(AH!$U$5=1,INDEX('Live History'!$D$5:$D$3004,MATCH($A2330,'Live History'!$D$5:$D$3004,1)),INDEX('AH History'!$D$5:$GG$1380,$K2330,AH!$U$10+2))),NA()),NA())</f>
        <v/>
      </c>
      <c r="H2330" s="266">
        <f>IFERROR(IF(ISNUMBER($A2330),IF(AND(AH!$U$12=1,2325+1=AH!$U$6),IF(AH!$U$4=0,"unavailable",INDEX('Market Data'!$AP$5:$AP$66,AH!$U$4)),IF(AH!$U$5=1,INDEX('Live History'!$H$5:$H$3004,MATCH($A2330,'Live History'!$G$5:$G$3004,1)),INDEX('AH History'!$B$5:$B$1380,$K2330))),NA()),NA())</f>
        <v/>
      </c>
      <c r="I2330" s="34">
        <f>IFERROR(IF(ISNUMBER($A2330),IF(AND(AH!$U$12=1,2325+1=AH!$U$6),TODAY(),IF(AH!$U$5=1,INDEX('Live History'!$G$5:$G$3004,MATCH($A2330,'Live History'!$G$5:$G$3004,1)),INDEX('AH History'!$C$5:$C$1380,$K2330))),NA()),NA())</f>
        <v/>
      </c>
      <c r="J2330" s="32">
        <f>IFERROR(IF(AND($F2330&gt;0,$H2330&gt;0,$A2330-$G2330&lt;=10,$A2330-$I2330&lt;=5,$G2330&gt;0,$I2330&gt;0),$F2330*$H2330,NA()),NA())</f>
        <v/>
      </c>
      <c r="K2330" s="15">
        <f>IF($A2330="","",IF(AH!$U$5=1,IFERROR(MATCH($A2330,'Live History'!$A$5:$A$3004,0),0),AH!$U$7+2325))</f>
        <v/>
      </c>
      <c r="L2330" s="15">
        <f>IF(ISNUMBER(A2330),TEXT(A2330,"dd-mmm-yy"),"")</f>
        <v/>
      </c>
    </row>
    <row r="2331">
      <c r="A2331" s="14">
        <f>IF(OR(AH!$U$4=0,2326+1&gt;AH!$U$6,AND(AH!$M$5="Bloomberg",AH!$U$5=0)),"",IFERROR(IF(AND(AH!$U$12=1,2326+1=AH!$U$6),TODAY(),IF(AH!$U$5=1,INDEX('Live History'!$A$5:$A$3004,AH!$U$7+2326),INDEX('AH History'!$A$5:$A$1380,AH!$U$7+2326))),""))</f>
        <v/>
      </c>
      <c r="B2331" s="33">
        <f>IFERROR(IF(AH!$U$11=1,NA(),$J2331/$E2331-1),NA())</f>
        <v/>
      </c>
      <c r="C2331" s="269">
        <f>IFERROR(100*$E2331/$E$5,NA())</f>
        <v/>
      </c>
      <c r="D2331" s="269">
        <f>IFERROR(100*$J2331/$J$5,NA())</f>
        <v/>
      </c>
      <c r="E2331" s="32">
        <f>IFERROR(IF(AND(ISNUMBER($A2331),N(IF(AND(AH!$U$12=1,2326+1=AH!$U$6),IF(AH!$U$4=0,"unavailable",INDEX('Market Data'!$AN$5:$AN$66,AH!$U$4)),IF(AH!$U$5=1,INDEX('Live History'!$B$5:$B$3004,$K2331),INDEX('AH History'!$D$5:$GG$1380,$K2331,AH!$U$10))))&gt;0),IF(AND(AH!$U$12=1,2326+1=AH!$U$6),IF(AH!$U$4=0,"unavailable",INDEX('Market Data'!$AN$5:$AN$66,AH!$U$4)),IF(AH!$U$5=1,INDEX('Live History'!$B$5:$B$3004,$K2331),INDEX('AH History'!$D$5:$GG$1380,$K2331,AH!$U$10))),NA()),NA())</f>
        <v/>
      </c>
      <c r="F2331" s="32">
        <f>IFERROR(IF(ISNUMBER($A2331),IF(AND(AH!$U$12=1,2326+1=AH!$U$6),IF(AH!$U$4=0,"unavailable",INDEX('Market Data'!$AO$5:$AO$66,AH!$U$4)),IF(AH!$U$5=1,INDEX('Live History'!$E$5:$E$3004,MATCH($A2331,'Live History'!$D$5:$D$3004,1)),INDEX('AH History'!$D$5:$GG$1380,$K2331,AH!$U$10+1))),NA()),NA())</f>
        <v/>
      </c>
      <c r="G2331" s="34">
        <f>IFERROR(IF(ISNUMBER($A2331),IF(AND(AH!$U$12=1,2326+1=AH!$U$6),IF(AH!$U$4=0,"unavailable",INDEX('Market Data'!$AK$5:$AK$66,AH!$U$4)),IF(AH!$U$5=1,INDEX('Live History'!$D$5:$D$3004,MATCH($A2331,'Live History'!$D$5:$D$3004,1)),INDEX('AH History'!$D$5:$GG$1380,$K2331,AH!$U$10+2))),NA()),NA())</f>
        <v/>
      </c>
      <c r="H2331" s="266">
        <f>IFERROR(IF(ISNUMBER($A2331),IF(AND(AH!$U$12=1,2326+1=AH!$U$6),IF(AH!$U$4=0,"unavailable",INDEX('Market Data'!$AP$5:$AP$66,AH!$U$4)),IF(AH!$U$5=1,INDEX('Live History'!$H$5:$H$3004,MATCH($A2331,'Live History'!$G$5:$G$3004,1)),INDEX('AH History'!$B$5:$B$1380,$K2331))),NA()),NA())</f>
        <v/>
      </c>
      <c r="I2331" s="34">
        <f>IFERROR(IF(ISNUMBER($A2331),IF(AND(AH!$U$12=1,2326+1=AH!$U$6),TODAY(),IF(AH!$U$5=1,INDEX('Live History'!$G$5:$G$3004,MATCH($A2331,'Live History'!$G$5:$G$3004,1)),INDEX('AH History'!$C$5:$C$1380,$K2331))),NA()),NA())</f>
        <v/>
      </c>
      <c r="J2331" s="32">
        <f>IFERROR(IF(AND($F2331&gt;0,$H2331&gt;0,$A2331-$G2331&lt;=10,$A2331-$I2331&lt;=5,$G2331&gt;0,$I2331&gt;0),$F2331*$H2331,NA()),NA())</f>
        <v/>
      </c>
      <c r="K2331" s="15">
        <f>IF($A2331="","",IF(AH!$U$5=1,IFERROR(MATCH($A2331,'Live History'!$A$5:$A$3004,0),0),AH!$U$7+2326))</f>
        <v/>
      </c>
      <c r="L2331" s="15">
        <f>IF(ISNUMBER(A2331),TEXT(A2331,"dd-mmm-yy"),"")</f>
        <v/>
      </c>
    </row>
    <row r="2332">
      <c r="A2332" s="14">
        <f>IF(OR(AH!$U$4=0,2327+1&gt;AH!$U$6,AND(AH!$M$5="Bloomberg",AH!$U$5=0)),"",IFERROR(IF(AND(AH!$U$12=1,2327+1=AH!$U$6),TODAY(),IF(AH!$U$5=1,INDEX('Live History'!$A$5:$A$3004,AH!$U$7+2327),INDEX('AH History'!$A$5:$A$1380,AH!$U$7+2327))),""))</f>
        <v/>
      </c>
      <c r="B2332" s="33">
        <f>IFERROR(IF(AH!$U$11=1,NA(),$J2332/$E2332-1),NA())</f>
        <v/>
      </c>
      <c r="C2332" s="269">
        <f>IFERROR(100*$E2332/$E$5,NA())</f>
        <v/>
      </c>
      <c r="D2332" s="269">
        <f>IFERROR(100*$J2332/$J$5,NA())</f>
        <v/>
      </c>
      <c r="E2332" s="32">
        <f>IFERROR(IF(AND(ISNUMBER($A2332),N(IF(AND(AH!$U$12=1,2327+1=AH!$U$6),IF(AH!$U$4=0,"unavailable",INDEX('Market Data'!$AN$5:$AN$66,AH!$U$4)),IF(AH!$U$5=1,INDEX('Live History'!$B$5:$B$3004,$K2332),INDEX('AH History'!$D$5:$GG$1380,$K2332,AH!$U$10))))&gt;0),IF(AND(AH!$U$12=1,2327+1=AH!$U$6),IF(AH!$U$4=0,"unavailable",INDEX('Market Data'!$AN$5:$AN$66,AH!$U$4)),IF(AH!$U$5=1,INDEX('Live History'!$B$5:$B$3004,$K2332),INDEX('AH History'!$D$5:$GG$1380,$K2332,AH!$U$10))),NA()),NA())</f>
        <v/>
      </c>
      <c r="F2332" s="32">
        <f>IFERROR(IF(ISNUMBER($A2332),IF(AND(AH!$U$12=1,2327+1=AH!$U$6),IF(AH!$U$4=0,"unavailable",INDEX('Market Data'!$AO$5:$AO$66,AH!$U$4)),IF(AH!$U$5=1,INDEX('Live History'!$E$5:$E$3004,MATCH($A2332,'Live History'!$D$5:$D$3004,1)),INDEX('AH History'!$D$5:$GG$1380,$K2332,AH!$U$10+1))),NA()),NA())</f>
        <v/>
      </c>
      <c r="G2332" s="34">
        <f>IFERROR(IF(ISNUMBER($A2332),IF(AND(AH!$U$12=1,2327+1=AH!$U$6),IF(AH!$U$4=0,"unavailable",INDEX('Market Data'!$AK$5:$AK$66,AH!$U$4)),IF(AH!$U$5=1,INDEX('Live History'!$D$5:$D$3004,MATCH($A2332,'Live History'!$D$5:$D$3004,1)),INDEX('AH History'!$D$5:$GG$1380,$K2332,AH!$U$10+2))),NA()),NA())</f>
        <v/>
      </c>
      <c r="H2332" s="266">
        <f>IFERROR(IF(ISNUMBER($A2332),IF(AND(AH!$U$12=1,2327+1=AH!$U$6),IF(AH!$U$4=0,"unavailable",INDEX('Market Data'!$AP$5:$AP$66,AH!$U$4)),IF(AH!$U$5=1,INDEX('Live History'!$H$5:$H$3004,MATCH($A2332,'Live History'!$G$5:$G$3004,1)),INDEX('AH History'!$B$5:$B$1380,$K2332))),NA()),NA())</f>
        <v/>
      </c>
      <c r="I2332" s="34">
        <f>IFERROR(IF(ISNUMBER($A2332),IF(AND(AH!$U$12=1,2327+1=AH!$U$6),TODAY(),IF(AH!$U$5=1,INDEX('Live History'!$G$5:$G$3004,MATCH($A2332,'Live History'!$G$5:$G$3004,1)),INDEX('AH History'!$C$5:$C$1380,$K2332))),NA()),NA())</f>
        <v/>
      </c>
      <c r="J2332" s="32">
        <f>IFERROR(IF(AND($F2332&gt;0,$H2332&gt;0,$A2332-$G2332&lt;=10,$A2332-$I2332&lt;=5,$G2332&gt;0,$I2332&gt;0),$F2332*$H2332,NA()),NA())</f>
        <v/>
      </c>
      <c r="K2332" s="15">
        <f>IF($A2332="","",IF(AH!$U$5=1,IFERROR(MATCH($A2332,'Live History'!$A$5:$A$3004,0),0),AH!$U$7+2327))</f>
        <v/>
      </c>
      <c r="L2332" s="15">
        <f>IF(ISNUMBER(A2332),TEXT(A2332,"dd-mmm-yy"),"")</f>
        <v/>
      </c>
    </row>
    <row r="2333">
      <c r="A2333" s="14">
        <f>IF(OR(AH!$U$4=0,2328+1&gt;AH!$U$6,AND(AH!$M$5="Bloomberg",AH!$U$5=0)),"",IFERROR(IF(AND(AH!$U$12=1,2328+1=AH!$U$6),TODAY(),IF(AH!$U$5=1,INDEX('Live History'!$A$5:$A$3004,AH!$U$7+2328),INDEX('AH History'!$A$5:$A$1380,AH!$U$7+2328))),""))</f>
        <v/>
      </c>
      <c r="B2333" s="33">
        <f>IFERROR(IF(AH!$U$11=1,NA(),$J2333/$E2333-1),NA())</f>
        <v/>
      </c>
      <c r="C2333" s="269">
        <f>IFERROR(100*$E2333/$E$5,NA())</f>
        <v/>
      </c>
      <c r="D2333" s="269">
        <f>IFERROR(100*$J2333/$J$5,NA())</f>
        <v/>
      </c>
      <c r="E2333" s="32">
        <f>IFERROR(IF(AND(ISNUMBER($A2333),N(IF(AND(AH!$U$12=1,2328+1=AH!$U$6),IF(AH!$U$4=0,"unavailable",INDEX('Market Data'!$AN$5:$AN$66,AH!$U$4)),IF(AH!$U$5=1,INDEX('Live History'!$B$5:$B$3004,$K2333),INDEX('AH History'!$D$5:$GG$1380,$K2333,AH!$U$10))))&gt;0),IF(AND(AH!$U$12=1,2328+1=AH!$U$6),IF(AH!$U$4=0,"unavailable",INDEX('Market Data'!$AN$5:$AN$66,AH!$U$4)),IF(AH!$U$5=1,INDEX('Live History'!$B$5:$B$3004,$K2333),INDEX('AH History'!$D$5:$GG$1380,$K2333,AH!$U$10))),NA()),NA())</f>
        <v/>
      </c>
      <c r="F2333" s="32">
        <f>IFERROR(IF(ISNUMBER($A2333),IF(AND(AH!$U$12=1,2328+1=AH!$U$6),IF(AH!$U$4=0,"unavailable",INDEX('Market Data'!$AO$5:$AO$66,AH!$U$4)),IF(AH!$U$5=1,INDEX('Live History'!$E$5:$E$3004,MATCH($A2333,'Live History'!$D$5:$D$3004,1)),INDEX('AH History'!$D$5:$GG$1380,$K2333,AH!$U$10+1))),NA()),NA())</f>
        <v/>
      </c>
      <c r="G2333" s="34">
        <f>IFERROR(IF(ISNUMBER($A2333),IF(AND(AH!$U$12=1,2328+1=AH!$U$6),IF(AH!$U$4=0,"unavailable",INDEX('Market Data'!$AK$5:$AK$66,AH!$U$4)),IF(AH!$U$5=1,INDEX('Live History'!$D$5:$D$3004,MATCH($A2333,'Live History'!$D$5:$D$3004,1)),INDEX('AH History'!$D$5:$GG$1380,$K2333,AH!$U$10+2))),NA()),NA())</f>
        <v/>
      </c>
      <c r="H2333" s="266">
        <f>IFERROR(IF(ISNUMBER($A2333),IF(AND(AH!$U$12=1,2328+1=AH!$U$6),IF(AH!$U$4=0,"unavailable",INDEX('Market Data'!$AP$5:$AP$66,AH!$U$4)),IF(AH!$U$5=1,INDEX('Live History'!$H$5:$H$3004,MATCH($A2333,'Live History'!$G$5:$G$3004,1)),INDEX('AH History'!$B$5:$B$1380,$K2333))),NA()),NA())</f>
        <v/>
      </c>
      <c r="I2333" s="34">
        <f>IFERROR(IF(ISNUMBER($A2333),IF(AND(AH!$U$12=1,2328+1=AH!$U$6),TODAY(),IF(AH!$U$5=1,INDEX('Live History'!$G$5:$G$3004,MATCH($A2333,'Live History'!$G$5:$G$3004,1)),INDEX('AH History'!$C$5:$C$1380,$K2333))),NA()),NA())</f>
        <v/>
      </c>
      <c r="J2333" s="32">
        <f>IFERROR(IF(AND($F2333&gt;0,$H2333&gt;0,$A2333-$G2333&lt;=10,$A2333-$I2333&lt;=5,$G2333&gt;0,$I2333&gt;0),$F2333*$H2333,NA()),NA())</f>
        <v/>
      </c>
      <c r="K2333" s="15">
        <f>IF($A2333="","",IF(AH!$U$5=1,IFERROR(MATCH($A2333,'Live History'!$A$5:$A$3004,0),0),AH!$U$7+2328))</f>
        <v/>
      </c>
      <c r="L2333" s="15">
        <f>IF(ISNUMBER(A2333),TEXT(A2333,"dd-mmm-yy"),"")</f>
        <v/>
      </c>
    </row>
    <row r="2334">
      <c r="A2334" s="14">
        <f>IF(OR(AH!$U$4=0,2329+1&gt;AH!$U$6,AND(AH!$M$5="Bloomberg",AH!$U$5=0)),"",IFERROR(IF(AND(AH!$U$12=1,2329+1=AH!$U$6),TODAY(),IF(AH!$U$5=1,INDEX('Live History'!$A$5:$A$3004,AH!$U$7+2329),INDEX('AH History'!$A$5:$A$1380,AH!$U$7+2329))),""))</f>
        <v/>
      </c>
      <c r="B2334" s="33">
        <f>IFERROR(IF(AH!$U$11=1,NA(),$J2334/$E2334-1),NA())</f>
        <v/>
      </c>
      <c r="C2334" s="269">
        <f>IFERROR(100*$E2334/$E$5,NA())</f>
        <v/>
      </c>
      <c r="D2334" s="269">
        <f>IFERROR(100*$J2334/$J$5,NA())</f>
        <v/>
      </c>
      <c r="E2334" s="32">
        <f>IFERROR(IF(AND(ISNUMBER($A2334),N(IF(AND(AH!$U$12=1,2329+1=AH!$U$6),IF(AH!$U$4=0,"unavailable",INDEX('Market Data'!$AN$5:$AN$66,AH!$U$4)),IF(AH!$U$5=1,INDEX('Live History'!$B$5:$B$3004,$K2334),INDEX('AH History'!$D$5:$GG$1380,$K2334,AH!$U$10))))&gt;0),IF(AND(AH!$U$12=1,2329+1=AH!$U$6),IF(AH!$U$4=0,"unavailable",INDEX('Market Data'!$AN$5:$AN$66,AH!$U$4)),IF(AH!$U$5=1,INDEX('Live History'!$B$5:$B$3004,$K2334),INDEX('AH History'!$D$5:$GG$1380,$K2334,AH!$U$10))),NA()),NA())</f>
        <v/>
      </c>
      <c r="F2334" s="32">
        <f>IFERROR(IF(ISNUMBER($A2334),IF(AND(AH!$U$12=1,2329+1=AH!$U$6),IF(AH!$U$4=0,"unavailable",INDEX('Market Data'!$AO$5:$AO$66,AH!$U$4)),IF(AH!$U$5=1,INDEX('Live History'!$E$5:$E$3004,MATCH($A2334,'Live History'!$D$5:$D$3004,1)),INDEX('AH History'!$D$5:$GG$1380,$K2334,AH!$U$10+1))),NA()),NA())</f>
        <v/>
      </c>
      <c r="G2334" s="34">
        <f>IFERROR(IF(ISNUMBER($A2334),IF(AND(AH!$U$12=1,2329+1=AH!$U$6),IF(AH!$U$4=0,"unavailable",INDEX('Market Data'!$AK$5:$AK$66,AH!$U$4)),IF(AH!$U$5=1,INDEX('Live History'!$D$5:$D$3004,MATCH($A2334,'Live History'!$D$5:$D$3004,1)),INDEX('AH History'!$D$5:$GG$1380,$K2334,AH!$U$10+2))),NA()),NA())</f>
        <v/>
      </c>
      <c r="H2334" s="266">
        <f>IFERROR(IF(ISNUMBER($A2334),IF(AND(AH!$U$12=1,2329+1=AH!$U$6),IF(AH!$U$4=0,"unavailable",INDEX('Market Data'!$AP$5:$AP$66,AH!$U$4)),IF(AH!$U$5=1,INDEX('Live History'!$H$5:$H$3004,MATCH($A2334,'Live History'!$G$5:$G$3004,1)),INDEX('AH History'!$B$5:$B$1380,$K2334))),NA()),NA())</f>
        <v/>
      </c>
      <c r="I2334" s="34">
        <f>IFERROR(IF(ISNUMBER($A2334),IF(AND(AH!$U$12=1,2329+1=AH!$U$6),TODAY(),IF(AH!$U$5=1,INDEX('Live History'!$G$5:$G$3004,MATCH($A2334,'Live History'!$G$5:$G$3004,1)),INDEX('AH History'!$C$5:$C$1380,$K2334))),NA()),NA())</f>
        <v/>
      </c>
      <c r="J2334" s="32">
        <f>IFERROR(IF(AND($F2334&gt;0,$H2334&gt;0,$A2334-$G2334&lt;=10,$A2334-$I2334&lt;=5,$G2334&gt;0,$I2334&gt;0),$F2334*$H2334,NA()),NA())</f>
        <v/>
      </c>
      <c r="K2334" s="15">
        <f>IF($A2334="","",IF(AH!$U$5=1,IFERROR(MATCH($A2334,'Live History'!$A$5:$A$3004,0),0),AH!$U$7+2329))</f>
        <v/>
      </c>
      <c r="L2334" s="15">
        <f>IF(ISNUMBER(A2334),TEXT(A2334,"dd-mmm-yy"),"")</f>
        <v/>
      </c>
    </row>
    <row r="2335">
      <c r="A2335" s="14">
        <f>IF(OR(AH!$U$4=0,2330+1&gt;AH!$U$6,AND(AH!$M$5="Bloomberg",AH!$U$5=0)),"",IFERROR(IF(AND(AH!$U$12=1,2330+1=AH!$U$6),TODAY(),IF(AH!$U$5=1,INDEX('Live History'!$A$5:$A$3004,AH!$U$7+2330),INDEX('AH History'!$A$5:$A$1380,AH!$U$7+2330))),""))</f>
        <v/>
      </c>
      <c r="B2335" s="33">
        <f>IFERROR(IF(AH!$U$11=1,NA(),$J2335/$E2335-1),NA())</f>
        <v/>
      </c>
      <c r="C2335" s="269">
        <f>IFERROR(100*$E2335/$E$5,NA())</f>
        <v/>
      </c>
      <c r="D2335" s="269">
        <f>IFERROR(100*$J2335/$J$5,NA())</f>
        <v/>
      </c>
      <c r="E2335" s="32">
        <f>IFERROR(IF(AND(ISNUMBER($A2335),N(IF(AND(AH!$U$12=1,2330+1=AH!$U$6),IF(AH!$U$4=0,"unavailable",INDEX('Market Data'!$AN$5:$AN$66,AH!$U$4)),IF(AH!$U$5=1,INDEX('Live History'!$B$5:$B$3004,$K2335),INDEX('AH History'!$D$5:$GG$1380,$K2335,AH!$U$10))))&gt;0),IF(AND(AH!$U$12=1,2330+1=AH!$U$6),IF(AH!$U$4=0,"unavailable",INDEX('Market Data'!$AN$5:$AN$66,AH!$U$4)),IF(AH!$U$5=1,INDEX('Live History'!$B$5:$B$3004,$K2335),INDEX('AH History'!$D$5:$GG$1380,$K2335,AH!$U$10))),NA()),NA())</f>
        <v/>
      </c>
      <c r="F2335" s="32">
        <f>IFERROR(IF(ISNUMBER($A2335),IF(AND(AH!$U$12=1,2330+1=AH!$U$6),IF(AH!$U$4=0,"unavailable",INDEX('Market Data'!$AO$5:$AO$66,AH!$U$4)),IF(AH!$U$5=1,INDEX('Live History'!$E$5:$E$3004,MATCH($A2335,'Live History'!$D$5:$D$3004,1)),INDEX('AH History'!$D$5:$GG$1380,$K2335,AH!$U$10+1))),NA()),NA())</f>
        <v/>
      </c>
      <c r="G2335" s="34">
        <f>IFERROR(IF(ISNUMBER($A2335),IF(AND(AH!$U$12=1,2330+1=AH!$U$6),IF(AH!$U$4=0,"unavailable",INDEX('Market Data'!$AK$5:$AK$66,AH!$U$4)),IF(AH!$U$5=1,INDEX('Live History'!$D$5:$D$3004,MATCH($A2335,'Live History'!$D$5:$D$3004,1)),INDEX('AH History'!$D$5:$GG$1380,$K2335,AH!$U$10+2))),NA()),NA())</f>
        <v/>
      </c>
      <c r="H2335" s="266">
        <f>IFERROR(IF(ISNUMBER($A2335),IF(AND(AH!$U$12=1,2330+1=AH!$U$6),IF(AH!$U$4=0,"unavailable",INDEX('Market Data'!$AP$5:$AP$66,AH!$U$4)),IF(AH!$U$5=1,INDEX('Live History'!$H$5:$H$3004,MATCH($A2335,'Live History'!$G$5:$G$3004,1)),INDEX('AH History'!$B$5:$B$1380,$K2335))),NA()),NA())</f>
        <v/>
      </c>
      <c r="I2335" s="34">
        <f>IFERROR(IF(ISNUMBER($A2335),IF(AND(AH!$U$12=1,2330+1=AH!$U$6),TODAY(),IF(AH!$U$5=1,INDEX('Live History'!$G$5:$G$3004,MATCH($A2335,'Live History'!$G$5:$G$3004,1)),INDEX('AH History'!$C$5:$C$1380,$K2335))),NA()),NA())</f>
        <v/>
      </c>
      <c r="J2335" s="32">
        <f>IFERROR(IF(AND($F2335&gt;0,$H2335&gt;0,$A2335-$G2335&lt;=10,$A2335-$I2335&lt;=5,$G2335&gt;0,$I2335&gt;0),$F2335*$H2335,NA()),NA())</f>
        <v/>
      </c>
      <c r="K2335" s="15">
        <f>IF($A2335="","",IF(AH!$U$5=1,IFERROR(MATCH($A2335,'Live History'!$A$5:$A$3004,0),0),AH!$U$7+2330))</f>
        <v/>
      </c>
      <c r="L2335" s="15">
        <f>IF(ISNUMBER(A2335),TEXT(A2335,"dd-mmm-yy"),"")</f>
        <v/>
      </c>
    </row>
    <row r="2336">
      <c r="A2336" s="14">
        <f>IF(OR(AH!$U$4=0,2331+1&gt;AH!$U$6,AND(AH!$M$5="Bloomberg",AH!$U$5=0)),"",IFERROR(IF(AND(AH!$U$12=1,2331+1=AH!$U$6),TODAY(),IF(AH!$U$5=1,INDEX('Live History'!$A$5:$A$3004,AH!$U$7+2331),INDEX('AH History'!$A$5:$A$1380,AH!$U$7+2331))),""))</f>
        <v/>
      </c>
      <c r="B2336" s="33">
        <f>IFERROR(IF(AH!$U$11=1,NA(),$J2336/$E2336-1),NA())</f>
        <v/>
      </c>
      <c r="C2336" s="269">
        <f>IFERROR(100*$E2336/$E$5,NA())</f>
        <v/>
      </c>
      <c r="D2336" s="269">
        <f>IFERROR(100*$J2336/$J$5,NA())</f>
        <v/>
      </c>
      <c r="E2336" s="32">
        <f>IFERROR(IF(AND(ISNUMBER($A2336),N(IF(AND(AH!$U$12=1,2331+1=AH!$U$6),IF(AH!$U$4=0,"unavailable",INDEX('Market Data'!$AN$5:$AN$66,AH!$U$4)),IF(AH!$U$5=1,INDEX('Live History'!$B$5:$B$3004,$K2336),INDEX('AH History'!$D$5:$GG$1380,$K2336,AH!$U$10))))&gt;0),IF(AND(AH!$U$12=1,2331+1=AH!$U$6),IF(AH!$U$4=0,"unavailable",INDEX('Market Data'!$AN$5:$AN$66,AH!$U$4)),IF(AH!$U$5=1,INDEX('Live History'!$B$5:$B$3004,$K2336),INDEX('AH History'!$D$5:$GG$1380,$K2336,AH!$U$10))),NA()),NA())</f>
        <v/>
      </c>
      <c r="F2336" s="32">
        <f>IFERROR(IF(ISNUMBER($A2336),IF(AND(AH!$U$12=1,2331+1=AH!$U$6),IF(AH!$U$4=0,"unavailable",INDEX('Market Data'!$AO$5:$AO$66,AH!$U$4)),IF(AH!$U$5=1,INDEX('Live History'!$E$5:$E$3004,MATCH($A2336,'Live History'!$D$5:$D$3004,1)),INDEX('AH History'!$D$5:$GG$1380,$K2336,AH!$U$10+1))),NA()),NA())</f>
        <v/>
      </c>
      <c r="G2336" s="34">
        <f>IFERROR(IF(ISNUMBER($A2336),IF(AND(AH!$U$12=1,2331+1=AH!$U$6),IF(AH!$U$4=0,"unavailable",INDEX('Market Data'!$AK$5:$AK$66,AH!$U$4)),IF(AH!$U$5=1,INDEX('Live History'!$D$5:$D$3004,MATCH($A2336,'Live History'!$D$5:$D$3004,1)),INDEX('AH History'!$D$5:$GG$1380,$K2336,AH!$U$10+2))),NA()),NA())</f>
        <v/>
      </c>
      <c r="H2336" s="266">
        <f>IFERROR(IF(ISNUMBER($A2336),IF(AND(AH!$U$12=1,2331+1=AH!$U$6),IF(AH!$U$4=0,"unavailable",INDEX('Market Data'!$AP$5:$AP$66,AH!$U$4)),IF(AH!$U$5=1,INDEX('Live History'!$H$5:$H$3004,MATCH($A2336,'Live History'!$G$5:$G$3004,1)),INDEX('AH History'!$B$5:$B$1380,$K2336))),NA()),NA())</f>
        <v/>
      </c>
      <c r="I2336" s="34">
        <f>IFERROR(IF(ISNUMBER($A2336),IF(AND(AH!$U$12=1,2331+1=AH!$U$6),TODAY(),IF(AH!$U$5=1,INDEX('Live History'!$G$5:$G$3004,MATCH($A2336,'Live History'!$G$5:$G$3004,1)),INDEX('AH History'!$C$5:$C$1380,$K2336))),NA()),NA())</f>
        <v/>
      </c>
      <c r="J2336" s="32">
        <f>IFERROR(IF(AND($F2336&gt;0,$H2336&gt;0,$A2336-$G2336&lt;=10,$A2336-$I2336&lt;=5,$G2336&gt;0,$I2336&gt;0),$F2336*$H2336,NA()),NA())</f>
        <v/>
      </c>
      <c r="K2336" s="15">
        <f>IF($A2336="","",IF(AH!$U$5=1,IFERROR(MATCH($A2336,'Live History'!$A$5:$A$3004,0),0),AH!$U$7+2331))</f>
        <v/>
      </c>
      <c r="L2336" s="15">
        <f>IF(ISNUMBER(A2336),TEXT(A2336,"dd-mmm-yy"),"")</f>
        <v/>
      </c>
    </row>
    <row r="2337">
      <c r="A2337" s="14">
        <f>IF(OR(AH!$U$4=0,2332+1&gt;AH!$U$6,AND(AH!$M$5="Bloomberg",AH!$U$5=0)),"",IFERROR(IF(AND(AH!$U$12=1,2332+1=AH!$U$6),TODAY(),IF(AH!$U$5=1,INDEX('Live History'!$A$5:$A$3004,AH!$U$7+2332),INDEX('AH History'!$A$5:$A$1380,AH!$U$7+2332))),""))</f>
        <v/>
      </c>
      <c r="B2337" s="33">
        <f>IFERROR(IF(AH!$U$11=1,NA(),$J2337/$E2337-1),NA())</f>
        <v/>
      </c>
      <c r="C2337" s="269">
        <f>IFERROR(100*$E2337/$E$5,NA())</f>
        <v/>
      </c>
      <c r="D2337" s="269">
        <f>IFERROR(100*$J2337/$J$5,NA())</f>
        <v/>
      </c>
      <c r="E2337" s="32">
        <f>IFERROR(IF(AND(ISNUMBER($A2337),N(IF(AND(AH!$U$12=1,2332+1=AH!$U$6),IF(AH!$U$4=0,"unavailable",INDEX('Market Data'!$AN$5:$AN$66,AH!$U$4)),IF(AH!$U$5=1,INDEX('Live History'!$B$5:$B$3004,$K2337),INDEX('AH History'!$D$5:$GG$1380,$K2337,AH!$U$10))))&gt;0),IF(AND(AH!$U$12=1,2332+1=AH!$U$6),IF(AH!$U$4=0,"unavailable",INDEX('Market Data'!$AN$5:$AN$66,AH!$U$4)),IF(AH!$U$5=1,INDEX('Live History'!$B$5:$B$3004,$K2337),INDEX('AH History'!$D$5:$GG$1380,$K2337,AH!$U$10))),NA()),NA())</f>
        <v/>
      </c>
      <c r="F2337" s="32">
        <f>IFERROR(IF(ISNUMBER($A2337),IF(AND(AH!$U$12=1,2332+1=AH!$U$6),IF(AH!$U$4=0,"unavailable",INDEX('Market Data'!$AO$5:$AO$66,AH!$U$4)),IF(AH!$U$5=1,INDEX('Live History'!$E$5:$E$3004,MATCH($A2337,'Live History'!$D$5:$D$3004,1)),INDEX('AH History'!$D$5:$GG$1380,$K2337,AH!$U$10+1))),NA()),NA())</f>
        <v/>
      </c>
      <c r="G2337" s="34">
        <f>IFERROR(IF(ISNUMBER($A2337),IF(AND(AH!$U$12=1,2332+1=AH!$U$6),IF(AH!$U$4=0,"unavailable",INDEX('Market Data'!$AK$5:$AK$66,AH!$U$4)),IF(AH!$U$5=1,INDEX('Live History'!$D$5:$D$3004,MATCH($A2337,'Live History'!$D$5:$D$3004,1)),INDEX('AH History'!$D$5:$GG$1380,$K2337,AH!$U$10+2))),NA()),NA())</f>
        <v/>
      </c>
      <c r="H2337" s="266">
        <f>IFERROR(IF(ISNUMBER($A2337),IF(AND(AH!$U$12=1,2332+1=AH!$U$6),IF(AH!$U$4=0,"unavailable",INDEX('Market Data'!$AP$5:$AP$66,AH!$U$4)),IF(AH!$U$5=1,INDEX('Live History'!$H$5:$H$3004,MATCH($A2337,'Live History'!$G$5:$G$3004,1)),INDEX('AH History'!$B$5:$B$1380,$K2337))),NA()),NA())</f>
        <v/>
      </c>
      <c r="I2337" s="34">
        <f>IFERROR(IF(ISNUMBER($A2337),IF(AND(AH!$U$12=1,2332+1=AH!$U$6),TODAY(),IF(AH!$U$5=1,INDEX('Live History'!$G$5:$G$3004,MATCH($A2337,'Live History'!$G$5:$G$3004,1)),INDEX('AH History'!$C$5:$C$1380,$K2337))),NA()),NA())</f>
        <v/>
      </c>
      <c r="J2337" s="32">
        <f>IFERROR(IF(AND($F2337&gt;0,$H2337&gt;0,$A2337-$G2337&lt;=10,$A2337-$I2337&lt;=5,$G2337&gt;0,$I2337&gt;0),$F2337*$H2337,NA()),NA())</f>
        <v/>
      </c>
      <c r="K2337" s="15">
        <f>IF($A2337="","",IF(AH!$U$5=1,IFERROR(MATCH($A2337,'Live History'!$A$5:$A$3004,0),0),AH!$U$7+2332))</f>
        <v/>
      </c>
      <c r="L2337" s="15">
        <f>IF(ISNUMBER(A2337),TEXT(A2337,"dd-mmm-yy"),"")</f>
        <v/>
      </c>
    </row>
    <row r="2338">
      <c r="A2338" s="14">
        <f>IF(OR(AH!$U$4=0,2333+1&gt;AH!$U$6,AND(AH!$M$5="Bloomberg",AH!$U$5=0)),"",IFERROR(IF(AND(AH!$U$12=1,2333+1=AH!$U$6),TODAY(),IF(AH!$U$5=1,INDEX('Live History'!$A$5:$A$3004,AH!$U$7+2333),INDEX('AH History'!$A$5:$A$1380,AH!$U$7+2333))),""))</f>
        <v/>
      </c>
      <c r="B2338" s="33">
        <f>IFERROR(IF(AH!$U$11=1,NA(),$J2338/$E2338-1),NA())</f>
        <v/>
      </c>
      <c r="C2338" s="269">
        <f>IFERROR(100*$E2338/$E$5,NA())</f>
        <v/>
      </c>
      <c r="D2338" s="269">
        <f>IFERROR(100*$J2338/$J$5,NA())</f>
        <v/>
      </c>
      <c r="E2338" s="32">
        <f>IFERROR(IF(AND(ISNUMBER($A2338),N(IF(AND(AH!$U$12=1,2333+1=AH!$U$6),IF(AH!$U$4=0,"unavailable",INDEX('Market Data'!$AN$5:$AN$66,AH!$U$4)),IF(AH!$U$5=1,INDEX('Live History'!$B$5:$B$3004,$K2338),INDEX('AH History'!$D$5:$GG$1380,$K2338,AH!$U$10))))&gt;0),IF(AND(AH!$U$12=1,2333+1=AH!$U$6),IF(AH!$U$4=0,"unavailable",INDEX('Market Data'!$AN$5:$AN$66,AH!$U$4)),IF(AH!$U$5=1,INDEX('Live History'!$B$5:$B$3004,$K2338),INDEX('AH History'!$D$5:$GG$1380,$K2338,AH!$U$10))),NA()),NA())</f>
        <v/>
      </c>
      <c r="F2338" s="32">
        <f>IFERROR(IF(ISNUMBER($A2338),IF(AND(AH!$U$12=1,2333+1=AH!$U$6),IF(AH!$U$4=0,"unavailable",INDEX('Market Data'!$AO$5:$AO$66,AH!$U$4)),IF(AH!$U$5=1,INDEX('Live History'!$E$5:$E$3004,MATCH($A2338,'Live History'!$D$5:$D$3004,1)),INDEX('AH History'!$D$5:$GG$1380,$K2338,AH!$U$10+1))),NA()),NA())</f>
        <v/>
      </c>
      <c r="G2338" s="34">
        <f>IFERROR(IF(ISNUMBER($A2338),IF(AND(AH!$U$12=1,2333+1=AH!$U$6),IF(AH!$U$4=0,"unavailable",INDEX('Market Data'!$AK$5:$AK$66,AH!$U$4)),IF(AH!$U$5=1,INDEX('Live History'!$D$5:$D$3004,MATCH($A2338,'Live History'!$D$5:$D$3004,1)),INDEX('AH History'!$D$5:$GG$1380,$K2338,AH!$U$10+2))),NA()),NA())</f>
        <v/>
      </c>
      <c r="H2338" s="266">
        <f>IFERROR(IF(ISNUMBER($A2338),IF(AND(AH!$U$12=1,2333+1=AH!$U$6),IF(AH!$U$4=0,"unavailable",INDEX('Market Data'!$AP$5:$AP$66,AH!$U$4)),IF(AH!$U$5=1,INDEX('Live History'!$H$5:$H$3004,MATCH($A2338,'Live History'!$G$5:$G$3004,1)),INDEX('AH History'!$B$5:$B$1380,$K2338))),NA()),NA())</f>
        <v/>
      </c>
      <c r="I2338" s="34">
        <f>IFERROR(IF(ISNUMBER($A2338),IF(AND(AH!$U$12=1,2333+1=AH!$U$6),TODAY(),IF(AH!$U$5=1,INDEX('Live History'!$G$5:$G$3004,MATCH($A2338,'Live History'!$G$5:$G$3004,1)),INDEX('AH History'!$C$5:$C$1380,$K2338))),NA()),NA())</f>
        <v/>
      </c>
      <c r="J2338" s="32">
        <f>IFERROR(IF(AND($F2338&gt;0,$H2338&gt;0,$A2338-$G2338&lt;=10,$A2338-$I2338&lt;=5,$G2338&gt;0,$I2338&gt;0),$F2338*$H2338,NA()),NA())</f>
        <v/>
      </c>
      <c r="K2338" s="15">
        <f>IF($A2338="","",IF(AH!$U$5=1,IFERROR(MATCH($A2338,'Live History'!$A$5:$A$3004,0),0),AH!$U$7+2333))</f>
        <v/>
      </c>
      <c r="L2338" s="15">
        <f>IF(ISNUMBER(A2338),TEXT(A2338,"dd-mmm-yy"),"")</f>
        <v/>
      </c>
    </row>
    <row r="2339">
      <c r="A2339" s="14">
        <f>IF(OR(AH!$U$4=0,2334+1&gt;AH!$U$6,AND(AH!$M$5="Bloomberg",AH!$U$5=0)),"",IFERROR(IF(AND(AH!$U$12=1,2334+1=AH!$U$6),TODAY(),IF(AH!$U$5=1,INDEX('Live History'!$A$5:$A$3004,AH!$U$7+2334),INDEX('AH History'!$A$5:$A$1380,AH!$U$7+2334))),""))</f>
        <v/>
      </c>
      <c r="B2339" s="33">
        <f>IFERROR(IF(AH!$U$11=1,NA(),$J2339/$E2339-1),NA())</f>
        <v/>
      </c>
      <c r="C2339" s="269">
        <f>IFERROR(100*$E2339/$E$5,NA())</f>
        <v/>
      </c>
      <c r="D2339" s="269">
        <f>IFERROR(100*$J2339/$J$5,NA())</f>
        <v/>
      </c>
      <c r="E2339" s="32">
        <f>IFERROR(IF(AND(ISNUMBER($A2339),N(IF(AND(AH!$U$12=1,2334+1=AH!$U$6),IF(AH!$U$4=0,"unavailable",INDEX('Market Data'!$AN$5:$AN$66,AH!$U$4)),IF(AH!$U$5=1,INDEX('Live History'!$B$5:$B$3004,$K2339),INDEX('AH History'!$D$5:$GG$1380,$K2339,AH!$U$10))))&gt;0),IF(AND(AH!$U$12=1,2334+1=AH!$U$6),IF(AH!$U$4=0,"unavailable",INDEX('Market Data'!$AN$5:$AN$66,AH!$U$4)),IF(AH!$U$5=1,INDEX('Live History'!$B$5:$B$3004,$K2339),INDEX('AH History'!$D$5:$GG$1380,$K2339,AH!$U$10))),NA()),NA())</f>
        <v/>
      </c>
      <c r="F2339" s="32">
        <f>IFERROR(IF(ISNUMBER($A2339),IF(AND(AH!$U$12=1,2334+1=AH!$U$6),IF(AH!$U$4=0,"unavailable",INDEX('Market Data'!$AO$5:$AO$66,AH!$U$4)),IF(AH!$U$5=1,INDEX('Live History'!$E$5:$E$3004,MATCH($A2339,'Live History'!$D$5:$D$3004,1)),INDEX('AH History'!$D$5:$GG$1380,$K2339,AH!$U$10+1))),NA()),NA())</f>
        <v/>
      </c>
      <c r="G2339" s="34">
        <f>IFERROR(IF(ISNUMBER($A2339),IF(AND(AH!$U$12=1,2334+1=AH!$U$6),IF(AH!$U$4=0,"unavailable",INDEX('Market Data'!$AK$5:$AK$66,AH!$U$4)),IF(AH!$U$5=1,INDEX('Live History'!$D$5:$D$3004,MATCH($A2339,'Live History'!$D$5:$D$3004,1)),INDEX('AH History'!$D$5:$GG$1380,$K2339,AH!$U$10+2))),NA()),NA())</f>
        <v/>
      </c>
      <c r="H2339" s="266">
        <f>IFERROR(IF(ISNUMBER($A2339),IF(AND(AH!$U$12=1,2334+1=AH!$U$6),IF(AH!$U$4=0,"unavailable",INDEX('Market Data'!$AP$5:$AP$66,AH!$U$4)),IF(AH!$U$5=1,INDEX('Live History'!$H$5:$H$3004,MATCH($A2339,'Live History'!$G$5:$G$3004,1)),INDEX('AH History'!$B$5:$B$1380,$K2339))),NA()),NA())</f>
        <v/>
      </c>
      <c r="I2339" s="34">
        <f>IFERROR(IF(ISNUMBER($A2339),IF(AND(AH!$U$12=1,2334+1=AH!$U$6),TODAY(),IF(AH!$U$5=1,INDEX('Live History'!$G$5:$G$3004,MATCH($A2339,'Live History'!$G$5:$G$3004,1)),INDEX('AH History'!$C$5:$C$1380,$K2339))),NA()),NA())</f>
        <v/>
      </c>
      <c r="J2339" s="32">
        <f>IFERROR(IF(AND($F2339&gt;0,$H2339&gt;0,$A2339-$G2339&lt;=10,$A2339-$I2339&lt;=5,$G2339&gt;0,$I2339&gt;0),$F2339*$H2339,NA()),NA())</f>
        <v/>
      </c>
      <c r="K2339" s="15">
        <f>IF($A2339="","",IF(AH!$U$5=1,IFERROR(MATCH($A2339,'Live History'!$A$5:$A$3004,0),0),AH!$U$7+2334))</f>
        <v/>
      </c>
      <c r="L2339" s="15">
        <f>IF(ISNUMBER(A2339),TEXT(A2339,"dd-mmm-yy"),"")</f>
        <v/>
      </c>
    </row>
    <row r="2340">
      <c r="A2340" s="14">
        <f>IF(OR(AH!$U$4=0,2335+1&gt;AH!$U$6,AND(AH!$M$5="Bloomberg",AH!$U$5=0)),"",IFERROR(IF(AND(AH!$U$12=1,2335+1=AH!$U$6),TODAY(),IF(AH!$U$5=1,INDEX('Live History'!$A$5:$A$3004,AH!$U$7+2335),INDEX('AH History'!$A$5:$A$1380,AH!$U$7+2335))),""))</f>
        <v/>
      </c>
      <c r="B2340" s="33">
        <f>IFERROR(IF(AH!$U$11=1,NA(),$J2340/$E2340-1),NA())</f>
        <v/>
      </c>
      <c r="C2340" s="269">
        <f>IFERROR(100*$E2340/$E$5,NA())</f>
        <v/>
      </c>
      <c r="D2340" s="269">
        <f>IFERROR(100*$J2340/$J$5,NA())</f>
        <v/>
      </c>
      <c r="E2340" s="32">
        <f>IFERROR(IF(AND(ISNUMBER($A2340),N(IF(AND(AH!$U$12=1,2335+1=AH!$U$6),IF(AH!$U$4=0,"unavailable",INDEX('Market Data'!$AN$5:$AN$66,AH!$U$4)),IF(AH!$U$5=1,INDEX('Live History'!$B$5:$B$3004,$K2340),INDEX('AH History'!$D$5:$GG$1380,$K2340,AH!$U$10))))&gt;0),IF(AND(AH!$U$12=1,2335+1=AH!$U$6),IF(AH!$U$4=0,"unavailable",INDEX('Market Data'!$AN$5:$AN$66,AH!$U$4)),IF(AH!$U$5=1,INDEX('Live History'!$B$5:$B$3004,$K2340),INDEX('AH History'!$D$5:$GG$1380,$K2340,AH!$U$10))),NA()),NA())</f>
        <v/>
      </c>
      <c r="F2340" s="32">
        <f>IFERROR(IF(ISNUMBER($A2340),IF(AND(AH!$U$12=1,2335+1=AH!$U$6),IF(AH!$U$4=0,"unavailable",INDEX('Market Data'!$AO$5:$AO$66,AH!$U$4)),IF(AH!$U$5=1,INDEX('Live History'!$E$5:$E$3004,MATCH($A2340,'Live History'!$D$5:$D$3004,1)),INDEX('AH History'!$D$5:$GG$1380,$K2340,AH!$U$10+1))),NA()),NA())</f>
        <v/>
      </c>
      <c r="G2340" s="34">
        <f>IFERROR(IF(ISNUMBER($A2340),IF(AND(AH!$U$12=1,2335+1=AH!$U$6),IF(AH!$U$4=0,"unavailable",INDEX('Market Data'!$AK$5:$AK$66,AH!$U$4)),IF(AH!$U$5=1,INDEX('Live History'!$D$5:$D$3004,MATCH($A2340,'Live History'!$D$5:$D$3004,1)),INDEX('AH History'!$D$5:$GG$1380,$K2340,AH!$U$10+2))),NA()),NA())</f>
        <v/>
      </c>
      <c r="H2340" s="266">
        <f>IFERROR(IF(ISNUMBER($A2340),IF(AND(AH!$U$12=1,2335+1=AH!$U$6),IF(AH!$U$4=0,"unavailable",INDEX('Market Data'!$AP$5:$AP$66,AH!$U$4)),IF(AH!$U$5=1,INDEX('Live History'!$H$5:$H$3004,MATCH($A2340,'Live History'!$G$5:$G$3004,1)),INDEX('AH History'!$B$5:$B$1380,$K2340))),NA()),NA())</f>
        <v/>
      </c>
      <c r="I2340" s="34">
        <f>IFERROR(IF(ISNUMBER($A2340),IF(AND(AH!$U$12=1,2335+1=AH!$U$6),TODAY(),IF(AH!$U$5=1,INDEX('Live History'!$G$5:$G$3004,MATCH($A2340,'Live History'!$G$5:$G$3004,1)),INDEX('AH History'!$C$5:$C$1380,$K2340))),NA()),NA())</f>
        <v/>
      </c>
      <c r="J2340" s="32">
        <f>IFERROR(IF(AND($F2340&gt;0,$H2340&gt;0,$A2340-$G2340&lt;=10,$A2340-$I2340&lt;=5,$G2340&gt;0,$I2340&gt;0),$F2340*$H2340,NA()),NA())</f>
        <v/>
      </c>
      <c r="K2340" s="15">
        <f>IF($A2340="","",IF(AH!$U$5=1,IFERROR(MATCH($A2340,'Live History'!$A$5:$A$3004,0),0),AH!$U$7+2335))</f>
        <v/>
      </c>
      <c r="L2340" s="15">
        <f>IF(ISNUMBER(A2340),TEXT(A2340,"dd-mmm-yy"),"")</f>
        <v/>
      </c>
    </row>
    <row r="2341">
      <c r="A2341" s="14">
        <f>IF(OR(AH!$U$4=0,2336+1&gt;AH!$U$6,AND(AH!$M$5="Bloomberg",AH!$U$5=0)),"",IFERROR(IF(AND(AH!$U$12=1,2336+1=AH!$U$6),TODAY(),IF(AH!$U$5=1,INDEX('Live History'!$A$5:$A$3004,AH!$U$7+2336),INDEX('AH History'!$A$5:$A$1380,AH!$U$7+2336))),""))</f>
        <v/>
      </c>
      <c r="B2341" s="33">
        <f>IFERROR(IF(AH!$U$11=1,NA(),$J2341/$E2341-1),NA())</f>
        <v/>
      </c>
      <c r="C2341" s="269">
        <f>IFERROR(100*$E2341/$E$5,NA())</f>
        <v/>
      </c>
      <c r="D2341" s="269">
        <f>IFERROR(100*$J2341/$J$5,NA())</f>
        <v/>
      </c>
      <c r="E2341" s="32">
        <f>IFERROR(IF(AND(ISNUMBER($A2341),N(IF(AND(AH!$U$12=1,2336+1=AH!$U$6),IF(AH!$U$4=0,"unavailable",INDEX('Market Data'!$AN$5:$AN$66,AH!$U$4)),IF(AH!$U$5=1,INDEX('Live History'!$B$5:$B$3004,$K2341),INDEX('AH History'!$D$5:$GG$1380,$K2341,AH!$U$10))))&gt;0),IF(AND(AH!$U$12=1,2336+1=AH!$U$6),IF(AH!$U$4=0,"unavailable",INDEX('Market Data'!$AN$5:$AN$66,AH!$U$4)),IF(AH!$U$5=1,INDEX('Live History'!$B$5:$B$3004,$K2341),INDEX('AH History'!$D$5:$GG$1380,$K2341,AH!$U$10))),NA()),NA())</f>
        <v/>
      </c>
      <c r="F2341" s="32">
        <f>IFERROR(IF(ISNUMBER($A2341),IF(AND(AH!$U$12=1,2336+1=AH!$U$6),IF(AH!$U$4=0,"unavailable",INDEX('Market Data'!$AO$5:$AO$66,AH!$U$4)),IF(AH!$U$5=1,INDEX('Live History'!$E$5:$E$3004,MATCH($A2341,'Live History'!$D$5:$D$3004,1)),INDEX('AH History'!$D$5:$GG$1380,$K2341,AH!$U$10+1))),NA()),NA())</f>
        <v/>
      </c>
      <c r="G2341" s="34">
        <f>IFERROR(IF(ISNUMBER($A2341),IF(AND(AH!$U$12=1,2336+1=AH!$U$6),IF(AH!$U$4=0,"unavailable",INDEX('Market Data'!$AK$5:$AK$66,AH!$U$4)),IF(AH!$U$5=1,INDEX('Live History'!$D$5:$D$3004,MATCH($A2341,'Live History'!$D$5:$D$3004,1)),INDEX('AH History'!$D$5:$GG$1380,$K2341,AH!$U$10+2))),NA()),NA())</f>
        <v/>
      </c>
      <c r="H2341" s="266">
        <f>IFERROR(IF(ISNUMBER($A2341),IF(AND(AH!$U$12=1,2336+1=AH!$U$6),IF(AH!$U$4=0,"unavailable",INDEX('Market Data'!$AP$5:$AP$66,AH!$U$4)),IF(AH!$U$5=1,INDEX('Live History'!$H$5:$H$3004,MATCH($A2341,'Live History'!$G$5:$G$3004,1)),INDEX('AH History'!$B$5:$B$1380,$K2341))),NA()),NA())</f>
        <v/>
      </c>
      <c r="I2341" s="34">
        <f>IFERROR(IF(ISNUMBER($A2341),IF(AND(AH!$U$12=1,2336+1=AH!$U$6),TODAY(),IF(AH!$U$5=1,INDEX('Live History'!$G$5:$G$3004,MATCH($A2341,'Live History'!$G$5:$G$3004,1)),INDEX('AH History'!$C$5:$C$1380,$K2341))),NA()),NA())</f>
        <v/>
      </c>
      <c r="J2341" s="32">
        <f>IFERROR(IF(AND($F2341&gt;0,$H2341&gt;0,$A2341-$G2341&lt;=10,$A2341-$I2341&lt;=5,$G2341&gt;0,$I2341&gt;0),$F2341*$H2341,NA()),NA())</f>
        <v/>
      </c>
      <c r="K2341" s="15">
        <f>IF($A2341="","",IF(AH!$U$5=1,IFERROR(MATCH($A2341,'Live History'!$A$5:$A$3004,0),0),AH!$U$7+2336))</f>
        <v/>
      </c>
      <c r="L2341" s="15">
        <f>IF(ISNUMBER(A2341),TEXT(A2341,"dd-mmm-yy"),"")</f>
        <v/>
      </c>
    </row>
    <row r="2342">
      <c r="A2342" s="14">
        <f>IF(OR(AH!$U$4=0,2337+1&gt;AH!$U$6,AND(AH!$M$5="Bloomberg",AH!$U$5=0)),"",IFERROR(IF(AND(AH!$U$12=1,2337+1=AH!$U$6),TODAY(),IF(AH!$U$5=1,INDEX('Live History'!$A$5:$A$3004,AH!$U$7+2337),INDEX('AH History'!$A$5:$A$1380,AH!$U$7+2337))),""))</f>
        <v/>
      </c>
      <c r="B2342" s="33">
        <f>IFERROR(IF(AH!$U$11=1,NA(),$J2342/$E2342-1),NA())</f>
        <v/>
      </c>
      <c r="C2342" s="269">
        <f>IFERROR(100*$E2342/$E$5,NA())</f>
        <v/>
      </c>
      <c r="D2342" s="269">
        <f>IFERROR(100*$J2342/$J$5,NA())</f>
        <v/>
      </c>
      <c r="E2342" s="32">
        <f>IFERROR(IF(AND(ISNUMBER($A2342),N(IF(AND(AH!$U$12=1,2337+1=AH!$U$6),IF(AH!$U$4=0,"unavailable",INDEX('Market Data'!$AN$5:$AN$66,AH!$U$4)),IF(AH!$U$5=1,INDEX('Live History'!$B$5:$B$3004,$K2342),INDEX('AH History'!$D$5:$GG$1380,$K2342,AH!$U$10))))&gt;0),IF(AND(AH!$U$12=1,2337+1=AH!$U$6),IF(AH!$U$4=0,"unavailable",INDEX('Market Data'!$AN$5:$AN$66,AH!$U$4)),IF(AH!$U$5=1,INDEX('Live History'!$B$5:$B$3004,$K2342),INDEX('AH History'!$D$5:$GG$1380,$K2342,AH!$U$10))),NA()),NA())</f>
        <v/>
      </c>
      <c r="F2342" s="32">
        <f>IFERROR(IF(ISNUMBER($A2342),IF(AND(AH!$U$12=1,2337+1=AH!$U$6),IF(AH!$U$4=0,"unavailable",INDEX('Market Data'!$AO$5:$AO$66,AH!$U$4)),IF(AH!$U$5=1,INDEX('Live History'!$E$5:$E$3004,MATCH($A2342,'Live History'!$D$5:$D$3004,1)),INDEX('AH History'!$D$5:$GG$1380,$K2342,AH!$U$10+1))),NA()),NA())</f>
        <v/>
      </c>
      <c r="G2342" s="34">
        <f>IFERROR(IF(ISNUMBER($A2342),IF(AND(AH!$U$12=1,2337+1=AH!$U$6),IF(AH!$U$4=0,"unavailable",INDEX('Market Data'!$AK$5:$AK$66,AH!$U$4)),IF(AH!$U$5=1,INDEX('Live History'!$D$5:$D$3004,MATCH($A2342,'Live History'!$D$5:$D$3004,1)),INDEX('AH History'!$D$5:$GG$1380,$K2342,AH!$U$10+2))),NA()),NA())</f>
        <v/>
      </c>
      <c r="H2342" s="266">
        <f>IFERROR(IF(ISNUMBER($A2342),IF(AND(AH!$U$12=1,2337+1=AH!$U$6),IF(AH!$U$4=0,"unavailable",INDEX('Market Data'!$AP$5:$AP$66,AH!$U$4)),IF(AH!$U$5=1,INDEX('Live History'!$H$5:$H$3004,MATCH($A2342,'Live History'!$G$5:$G$3004,1)),INDEX('AH History'!$B$5:$B$1380,$K2342))),NA()),NA())</f>
        <v/>
      </c>
      <c r="I2342" s="34">
        <f>IFERROR(IF(ISNUMBER($A2342),IF(AND(AH!$U$12=1,2337+1=AH!$U$6),TODAY(),IF(AH!$U$5=1,INDEX('Live History'!$G$5:$G$3004,MATCH($A2342,'Live History'!$G$5:$G$3004,1)),INDEX('AH History'!$C$5:$C$1380,$K2342))),NA()),NA())</f>
        <v/>
      </c>
      <c r="J2342" s="32">
        <f>IFERROR(IF(AND($F2342&gt;0,$H2342&gt;0,$A2342-$G2342&lt;=10,$A2342-$I2342&lt;=5,$G2342&gt;0,$I2342&gt;0),$F2342*$H2342,NA()),NA())</f>
        <v/>
      </c>
      <c r="K2342" s="15">
        <f>IF($A2342="","",IF(AH!$U$5=1,IFERROR(MATCH($A2342,'Live History'!$A$5:$A$3004,0),0),AH!$U$7+2337))</f>
        <v/>
      </c>
      <c r="L2342" s="15">
        <f>IF(ISNUMBER(A2342),TEXT(A2342,"dd-mmm-yy"),"")</f>
        <v/>
      </c>
    </row>
    <row r="2343">
      <c r="A2343" s="14">
        <f>IF(OR(AH!$U$4=0,2338+1&gt;AH!$U$6,AND(AH!$M$5="Bloomberg",AH!$U$5=0)),"",IFERROR(IF(AND(AH!$U$12=1,2338+1=AH!$U$6),TODAY(),IF(AH!$U$5=1,INDEX('Live History'!$A$5:$A$3004,AH!$U$7+2338),INDEX('AH History'!$A$5:$A$1380,AH!$U$7+2338))),""))</f>
        <v/>
      </c>
      <c r="B2343" s="33">
        <f>IFERROR(IF(AH!$U$11=1,NA(),$J2343/$E2343-1),NA())</f>
        <v/>
      </c>
      <c r="C2343" s="269">
        <f>IFERROR(100*$E2343/$E$5,NA())</f>
        <v/>
      </c>
      <c r="D2343" s="269">
        <f>IFERROR(100*$J2343/$J$5,NA())</f>
        <v/>
      </c>
      <c r="E2343" s="32">
        <f>IFERROR(IF(AND(ISNUMBER($A2343),N(IF(AND(AH!$U$12=1,2338+1=AH!$U$6),IF(AH!$U$4=0,"unavailable",INDEX('Market Data'!$AN$5:$AN$66,AH!$U$4)),IF(AH!$U$5=1,INDEX('Live History'!$B$5:$B$3004,$K2343),INDEX('AH History'!$D$5:$GG$1380,$K2343,AH!$U$10))))&gt;0),IF(AND(AH!$U$12=1,2338+1=AH!$U$6),IF(AH!$U$4=0,"unavailable",INDEX('Market Data'!$AN$5:$AN$66,AH!$U$4)),IF(AH!$U$5=1,INDEX('Live History'!$B$5:$B$3004,$K2343),INDEX('AH History'!$D$5:$GG$1380,$K2343,AH!$U$10))),NA()),NA())</f>
        <v/>
      </c>
      <c r="F2343" s="32">
        <f>IFERROR(IF(ISNUMBER($A2343),IF(AND(AH!$U$12=1,2338+1=AH!$U$6),IF(AH!$U$4=0,"unavailable",INDEX('Market Data'!$AO$5:$AO$66,AH!$U$4)),IF(AH!$U$5=1,INDEX('Live History'!$E$5:$E$3004,MATCH($A2343,'Live History'!$D$5:$D$3004,1)),INDEX('AH History'!$D$5:$GG$1380,$K2343,AH!$U$10+1))),NA()),NA())</f>
        <v/>
      </c>
      <c r="G2343" s="34">
        <f>IFERROR(IF(ISNUMBER($A2343),IF(AND(AH!$U$12=1,2338+1=AH!$U$6),IF(AH!$U$4=0,"unavailable",INDEX('Market Data'!$AK$5:$AK$66,AH!$U$4)),IF(AH!$U$5=1,INDEX('Live History'!$D$5:$D$3004,MATCH($A2343,'Live History'!$D$5:$D$3004,1)),INDEX('AH History'!$D$5:$GG$1380,$K2343,AH!$U$10+2))),NA()),NA())</f>
        <v/>
      </c>
      <c r="H2343" s="266">
        <f>IFERROR(IF(ISNUMBER($A2343),IF(AND(AH!$U$12=1,2338+1=AH!$U$6),IF(AH!$U$4=0,"unavailable",INDEX('Market Data'!$AP$5:$AP$66,AH!$U$4)),IF(AH!$U$5=1,INDEX('Live History'!$H$5:$H$3004,MATCH($A2343,'Live History'!$G$5:$G$3004,1)),INDEX('AH History'!$B$5:$B$1380,$K2343))),NA()),NA())</f>
        <v/>
      </c>
      <c r="I2343" s="34">
        <f>IFERROR(IF(ISNUMBER($A2343),IF(AND(AH!$U$12=1,2338+1=AH!$U$6),TODAY(),IF(AH!$U$5=1,INDEX('Live History'!$G$5:$G$3004,MATCH($A2343,'Live History'!$G$5:$G$3004,1)),INDEX('AH History'!$C$5:$C$1380,$K2343))),NA()),NA())</f>
        <v/>
      </c>
      <c r="J2343" s="32">
        <f>IFERROR(IF(AND($F2343&gt;0,$H2343&gt;0,$A2343-$G2343&lt;=10,$A2343-$I2343&lt;=5,$G2343&gt;0,$I2343&gt;0),$F2343*$H2343,NA()),NA())</f>
        <v/>
      </c>
      <c r="K2343" s="15">
        <f>IF($A2343="","",IF(AH!$U$5=1,IFERROR(MATCH($A2343,'Live History'!$A$5:$A$3004,0),0),AH!$U$7+2338))</f>
        <v/>
      </c>
      <c r="L2343" s="15">
        <f>IF(ISNUMBER(A2343),TEXT(A2343,"dd-mmm-yy"),"")</f>
        <v/>
      </c>
    </row>
    <row r="2344">
      <c r="A2344" s="14">
        <f>IF(OR(AH!$U$4=0,2339+1&gt;AH!$U$6,AND(AH!$M$5="Bloomberg",AH!$U$5=0)),"",IFERROR(IF(AND(AH!$U$12=1,2339+1=AH!$U$6),TODAY(),IF(AH!$U$5=1,INDEX('Live History'!$A$5:$A$3004,AH!$U$7+2339),INDEX('AH History'!$A$5:$A$1380,AH!$U$7+2339))),""))</f>
        <v/>
      </c>
      <c r="B2344" s="33">
        <f>IFERROR(IF(AH!$U$11=1,NA(),$J2344/$E2344-1),NA())</f>
        <v/>
      </c>
      <c r="C2344" s="269">
        <f>IFERROR(100*$E2344/$E$5,NA())</f>
        <v/>
      </c>
      <c r="D2344" s="269">
        <f>IFERROR(100*$J2344/$J$5,NA())</f>
        <v/>
      </c>
      <c r="E2344" s="32">
        <f>IFERROR(IF(AND(ISNUMBER($A2344),N(IF(AND(AH!$U$12=1,2339+1=AH!$U$6),IF(AH!$U$4=0,"unavailable",INDEX('Market Data'!$AN$5:$AN$66,AH!$U$4)),IF(AH!$U$5=1,INDEX('Live History'!$B$5:$B$3004,$K2344),INDEX('AH History'!$D$5:$GG$1380,$K2344,AH!$U$10))))&gt;0),IF(AND(AH!$U$12=1,2339+1=AH!$U$6),IF(AH!$U$4=0,"unavailable",INDEX('Market Data'!$AN$5:$AN$66,AH!$U$4)),IF(AH!$U$5=1,INDEX('Live History'!$B$5:$B$3004,$K2344),INDEX('AH History'!$D$5:$GG$1380,$K2344,AH!$U$10))),NA()),NA())</f>
        <v/>
      </c>
      <c r="F2344" s="32">
        <f>IFERROR(IF(ISNUMBER($A2344),IF(AND(AH!$U$12=1,2339+1=AH!$U$6),IF(AH!$U$4=0,"unavailable",INDEX('Market Data'!$AO$5:$AO$66,AH!$U$4)),IF(AH!$U$5=1,INDEX('Live History'!$E$5:$E$3004,MATCH($A2344,'Live History'!$D$5:$D$3004,1)),INDEX('AH History'!$D$5:$GG$1380,$K2344,AH!$U$10+1))),NA()),NA())</f>
        <v/>
      </c>
      <c r="G2344" s="34">
        <f>IFERROR(IF(ISNUMBER($A2344),IF(AND(AH!$U$12=1,2339+1=AH!$U$6),IF(AH!$U$4=0,"unavailable",INDEX('Market Data'!$AK$5:$AK$66,AH!$U$4)),IF(AH!$U$5=1,INDEX('Live History'!$D$5:$D$3004,MATCH($A2344,'Live History'!$D$5:$D$3004,1)),INDEX('AH History'!$D$5:$GG$1380,$K2344,AH!$U$10+2))),NA()),NA())</f>
        <v/>
      </c>
      <c r="H2344" s="266">
        <f>IFERROR(IF(ISNUMBER($A2344),IF(AND(AH!$U$12=1,2339+1=AH!$U$6),IF(AH!$U$4=0,"unavailable",INDEX('Market Data'!$AP$5:$AP$66,AH!$U$4)),IF(AH!$U$5=1,INDEX('Live History'!$H$5:$H$3004,MATCH($A2344,'Live History'!$G$5:$G$3004,1)),INDEX('AH History'!$B$5:$B$1380,$K2344))),NA()),NA())</f>
        <v/>
      </c>
      <c r="I2344" s="34">
        <f>IFERROR(IF(ISNUMBER($A2344),IF(AND(AH!$U$12=1,2339+1=AH!$U$6),TODAY(),IF(AH!$U$5=1,INDEX('Live History'!$G$5:$G$3004,MATCH($A2344,'Live History'!$G$5:$G$3004,1)),INDEX('AH History'!$C$5:$C$1380,$K2344))),NA()),NA())</f>
        <v/>
      </c>
      <c r="J2344" s="32">
        <f>IFERROR(IF(AND($F2344&gt;0,$H2344&gt;0,$A2344-$G2344&lt;=10,$A2344-$I2344&lt;=5,$G2344&gt;0,$I2344&gt;0),$F2344*$H2344,NA()),NA())</f>
        <v/>
      </c>
      <c r="K2344" s="15">
        <f>IF($A2344="","",IF(AH!$U$5=1,IFERROR(MATCH($A2344,'Live History'!$A$5:$A$3004,0),0),AH!$U$7+2339))</f>
        <v/>
      </c>
      <c r="L2344" s="15">
        <f>IF(ISNUMBER(A2344),TEXT(A2344,"dd-mmm-yy"),"")</f>
        <v/>
      </c>
    </row>
    <row r="2345">
      <c r="A2345" s="14">
        <f>IF(OR(AH!$U$4=0,2340+1&gt;AH!$U$6,AND(AH!$M$5="Bloomberg",AH!$U$5=0)),"",IFERROR(IF(AND(AH!$U$12=1,2340+1=AH!$U$6),TODAY(),IF(AH!$U$5=1,INDEX('Live History'!$A$5:$A$3004,AH!$U$7+2340),INDEX('AH History'!$A$5:$A$1380,AH!$U$7+2340))),""))</f>
        <v/>
      </c>
      <c r="B2345" s="33">
        <f>IFERROR(IF(AH!$U$11=1,NA(),$J2345/$E2345-1),NA())</f>
        <v/>
      </c>
      <c r="C2345" s="269">
        <f>IFERROR(100*$E2345/$E$5,NA())</f>
        <v/>
      </c>
      <c r="D2345" s="269">
        <f>IFERROR(100*$J2345/$J$5,NA())</f>
        <v/>
      </c>
      <c r="E2345" s="32">
        <f>IFERROR(IF(AND(ISNUMBER($A2345),N(IF(AND(AH!$U$12=1,2340+1=AH!$U$6),IF(AH!$U$4=0,"unavailable",INDEX('Market Data'!$AN$5:$AN$66,AH!$U$4)),IF(AH!$U$5=1,INDEX('Live History'!$B$5:$B$3004,$K2345),INDEX('AH History'!$D$5:$GG$1380,$K2345,AH!$U$10))))&gt;0),IF(AND(AH!$U$12=1,2340+1=AH!$U$6),IF(AH!$U$4=0,"unavailable",INDEX('Market Data'!$AN$5:$AN$66,AH!$U$4)),IF(AH!$U$5=1,INDEX('Live History'!$B$5:$B$3004,$K2345),INDEX('AH History'!$D$5:$GG$1380,$K2345,AH!$U$10))),NA()),NA())</f>
        <v/>
      </c>
      <c r="F2345" s="32">
        <f>IFERROR(IF(ISNUMBER($A2345),IF(AND(AH!$U$12=1,2340+1=AH!$U$6),IF(AH!$U$4=0,"unavailable",INDEX('Market Data'!$AO$5:$AO$66,AH!$U$4)),IF(AH!$U$5=1,INDEX('Live History'!$E$5:$E$3004,MATCH($A2345,'Live History'!$D$5:$D$3004,1)),INDEX('AH History'!$D$5:$GG$1380,$K2345,AH!$U$10+1))),NA()),NA())</f>
        <v/>
      </c>
      <c r="G2345" s="34">
        <f>IFERROR(IF(ISNUMBER($A2345),IF(AND(AH!$U$12=1,2340+1=AH!$U$6),IF(AH!$U$4=0,"unavailable",INDEX('Market Data'!$AK$5:$AK$66,AH!$U$4)),IF(AH!$U$5=1,INDEX('Live History'!$D$5:$D$3004,MATCH($A2345,'Live History'!$D$5:$D$3004,1)),INDEX('AH History'!$D$5:$GG$1380,$K2345,AH!$U$10+2))),NA()),NA())</f>
        <v/>
      </c>
      <c r="H2345" s="266">
        <f>IFERROR(IF(ISNUMBER($A2345),IF(AND(AH!$U$12=1,2340+1=AH!$U$6),IF(AH!$U$4=0,"unavailable",INDEX('Market Data'!$AP$5:$AP$66,AH!$U$4)),IF(AH!$U$5=1,INDEX('Live History'!$H$5:$H$3004,MATCH($A2345,'Live History'!$G$5:$G$3004,1)),INDEX('AH History'!$B$5:$B$1380,$K2345))),NA()),NA())</f>
        <v/>
      </c>
      <c r="I2345" s="34">
        <f>IFERROR(IF(ISNUMBER($A2345),IF(AND(AH!$U$12=1,2340+1=AH!$U$6),TODAY(),IF(AH!$U$5=1,INDEX('Live History'!$G$5:$G$3004,MATCH($A2345,'Live History'!$G$5:$G$3004,1)),INDEX('AH History'!$C$5:$C$1380,$K2345))),NA()),NA())</f>
        <v/>
      </c>
      <c r="J2345" s="32">
        <f>IFERROR(IF(AND($F2345&gt;0,$H2345&gt;0,$A2345-$G2345&lt;=10,$A2345-$I2345&lt;=5,$G2345&gt;0,$I2345&gt;0),$F2345*$H2345,NA()),NA())</f>
        <v/>
      </c>
      <c r="K2345" s="15">
        <f>IF($A2345="","",IF(AH!$U$5=1,IFERROR(MATCH($A2345,'Live History'!$A$5:$A$3004,0),0),AH!$U$7+2340))</f>
        <v/>
      </c>
      <c r="L2345" s="15">
        <f>IF(ISNUMBER(A2345),TEXT(A2345,"dd-mmm-yy"),"")</f>
        <v/>
      </c>
    </row>
    <row r="2346">
      <c r="A2346" s="14">
        <f>IF(OR(AH!$U$4=0,2341+1&gt;AH!$U$6,AND(AH!$M$5="Bloomberg",AH!$U$5=0)),"",IFERROR(IF(AND(AH!$U$12=1,2341+1=AH!$U$6),TODAY(),IF(AH!$U$5=1,INDEX('Live History'!$A$5:$A$3004,AH!$U$7+2341),INDEX('AH History'!$A$5:$A$1380,AH!$U$7+2341))),""))</f>
        <v/>
      </c>
      <c r="B2346" s="33">
        <f>IFERROR(IF(AH!$U$11=1,NA(),$J2346/$E2346-1),NA())</f>
        <v/>
      </c>
      <c r="C2346" s="269">
        <f>IFERROR(100*$E2346/$E$5,NA())</f>
        <v/>
      </c>
      <c r="D2346" s="269">
        <f>IFERROR(100*$J2346/$J$5,NA())</f>
        <v/>
      </c>
      <c r="E2346" s="32">
        <f>IFERROR(IF(AND(ISNUMBER($A2346),N(IF(AND(AH!$U$12=1,2341+1=AH!$U$6),IF(AH!$U$4=0,"unavailable",INDEX('Market Data'!$AN$5:$AN$66,AH!$U$4)),IF(AH!$U$5=1,INDEX('Live History'!$B$5:$B$3004,$K2346),INDEX('AH History'!$D$5:$GG$1380,$K2346,AH!$U$10))))&gt;0),IF(AND(AH!$U$12=1,2341+1=AH!$U$6),IF(AH!$U$4=0,"unavailable",INDEX('Market Data'!$AN$5:$AN$66,AH!$U$4)),IF(AH!$U$5=1,INDEX('Live History'!$B$5:$B$3004,$K2346),INDEX('AH History'!$D$5:$GG$1380,$K2346,AH!$U$10))),NA()),NA())</f>
        <v/>
      </c>
      <c r="F2346" s="32">
        <f>IFERROR(IF(ISNUMBER($A2346),IF(AND(AH!$U$12=1,2341+1=AH!$U$6),IF(AH!$U$4=0,"unavailable",INDEX('Market Data'!$AO$5:$AO$66,AH!$U$4)),IF(AH!$U$5=1,INDEX('Live History'!$E$5:$E$3004,MATCH($A2346,'Live History'!$D$5:$D$3004,1)),INDEX('AH History'!$D$5:$GG$1380,$K2346,AH!$U$10+1))),NA()),NA())</f>
        <v/>
      </c>
      <c r="G2346" s="34">
        <f>IFERROR(IF(ISNUMBER($A2346),IF(AND(AH!$U$12=1,2341+1=AH!$U$6),IF(AH!$U$4=0,"unavailable",INDEX('Market Data'!$AK$5:$AK$66,AH!$U$4)),IF(AH!$U$5=1,INDEX('Live History'!$D$5:$D$3004,MATCH($A2346,'Live History'!$D$5:$D$3004,1)),INDEX('AH History'!$D$5:$GG$1380,$K2346,AH!$U$10+2))),NA()),NA())</f>
        <v/>
      </c>
      <c r="H2346" s="266">
        <f>IFERROR(IF(ISNUMBER($A2346),IF(AND(AH!$U$12=1,2341+1=AH!$U$6),IF(AH!$U$4=0,"unavailable",INDEX('Market Data'!$AP$5:$AP$66,AH!$U$4)),IF(AH!$U$5=1,INDEX('Live History'!$H$5:$H$3004,MATCH($A2346,'Live History'!$G$5:$G$3004,1)),INDEX('AH History'!$B$5:$B$1380,$K2346))),NA()),NA())</f>
        <v/>
      </c>
      <c r="I2346" s="34">
        <f>IFERROR(IF(ISNUMBER($A2346),IF(AND(AH!$U$12=1,2341+1=AH!$U$6),TODAY(),IF(AH!$U$5=1,INDEX('Live History'!$G$5:$G$3004,MATCH($A2346,'Live History'!$G$5:$G$3004,1)),INDEX('AH History'!$C$5:$C$1380,$K2346))),NA()),NA())</f>
        <v/>
      </c>
      <c r="J2346" s="32">
        <f>IFERROR(IF(AND($F2346&gt;0,$H2346&gt;0,$A2346-$G2346&lt;=10,$A2346-$I2346&lt;=5,$G2346&gt;0,$I2346&gt;0),$F2346*$H2346,NA()),NA())</f>
        <v/>
      </c>
      <c r="K2346" s="15">
        <f>IF($A2346="","",IF(AH!$U$5=1,IFERROR(MATCH($A2346,'Live History'!$A$5:$A$3004,0),0),AH!$U$7+2341))</f>
        <v/>
      </c>
      <c r="L2346" s="15">
        <f>IF(ISNUMBER(A2346),TEXT(A2346,"dd-mmm-yy"),"")</f>
        <v/>
      </c>
    </row>
    <row r="2347">
      <c r="A2347" s="14">
        <f>IF(OR(AH!$U$4=0,2342+1&gt;AH!$U$6,AND(AH!$M$5="Bloomberg",AH!$U$5=0)),"",IFERROR(IF(AND(AH!$U$12=1,2342+1=AH!$U$6),TODAY(),IF(AH!$U$5=1,INDEX('Live History'!$A$5:$A$3004,AH!$U$7+2342),INDEX('AH History'!$A$5:$A$1380,AH!$U$7+2342))),""))</f>
        <v/>
      </c>
      <c r="B2347" s="33">
        <f>IFERROR(IF(AH!$U$11=1,NA(),$J2347/$E2347-1),NA())</f>
        <v/>
      </c>
      <c r="C2347" s="269">
        <f>IFERROR(100*$E2347/$E$5,NA())</f>
        <v/>
      </c>
      <c r="D2347" s="269">
        <f>IFERROR(100*$J2347/$J$5,NA())</f>
        <v/>
      </c>
      <c r="E2347" s="32">
        <f>IFERROR(IF(AND(ISNUMBER($A2347),N(IF(AND(AH!$U$12=1,2342+1=AH!$U$6),IF(AH!$U$4=0,"unavailable",INDEX('Market Data'!$AN$5:$AN$66,AH!$U$4)),IF(AH!$U$5=1,INDEX('Live History'!$B$5:$B$3004,$K2347),INDEX('AH History'!$D$5:$GG$1380,$K2347,AH!$U$10))))&gt;0),IF(AND(AH!$U$12=1,2342+1=AH!$U$6),IF(AH!$U$4=0,"unavailable",INDEX('Market Data'!$AN$5:$AN$66,AH!$U$4)),IF(AH!$U$5=1,INDEX('Live History'!$B$5:$B$3004,$K2347),INDEX('AH History'!$D$5:$GG$1380,$K2347,AH!$U$10))),NA()),NA())</f>
        <v/>
      </c>
      <c r="F2347" s="32">
        <f>IFERROR(IF(ISNUMBER($A2347),IF(AND(AH!$U$12=1,2342+1=AH!$U$6),IF(AH!$U$4=0,"unavailable",INDEX('Market Data'!$AO$5:$AO$66,AH!$U$4)),IF(AH!$U$5=1,INDEX('Live History'!$E$5:$E$3004,MATCH($A2347,'Live History'!$D$5:$D$3004,1)),INDEX('AH History'!$D$5:$GG$1380,$K2347,AH!$U$10+1))),NA()),NA())</f>
        <v/>
      </c>
      <c r="G2347" s="34">
        <f>IFERROR(IF(ISNUMBER($A2347),IF(AND(AH!$U$12=1,2342+1=AH!$U$6),IF(AH!$U$4=0,"unavailable",INDEX('Market Data'!$AK$5:$AK$66,AH!$U$4)),IF(AH!$U$5=1,INDEX('Live History'!$D$5:$D$3004,MATCH($A2347,'Live History'!$D$5:$D$3004,1)),INDEX('AH History'!$D$5:$GG$1380,$K2347,AH!$U$10+2))),NA()),NA())</f>
        <v/>
      </c>
      <c r="H2347" s="266">
        <f>IFERROR(IF(ISNUMBER($A2347),IF(AND(AH!$U$12=1,2342+1=AH!$U$6),IF(AH!$U$4=0,"unavailable",INDEX('Market Data'!$AP$5:$AP$66,AH!$U$4)),IF(AH!$U$5=1,INDEX('Live History'!$H$5:$H$3004,MATCH($A2347,'Live History'!$G$5:$G$3004,1)),INDEX('AH History'!$B$5:$B$1380,$K2347))),NA()),NA())</f>
        <v/>
      </c>
      <c r="I2347" s="34">
        <f>IFERROR(IF(ISNUMBER($A2347),IF(AND(AH!$U$12=1,2342+1=AH!$U$6),TODAY(),IF(AH!$U$5=1,INDEX('Live History'!$G$5:$G$3004,MATCH($A2347,'Live History'!$G$5:$G$3004,1)),INDEX('AH History'!$C$5:$C$1380,$K2347))),NA()),NA())</f>
        <v/>
      </c>
      <c r="J2347" s="32">
        <f>IFERROR(IF(AND($F2347&gt;0,$H2347&gt;0,$A2347-$G2347&lt;=10,$A2347-$I2347&lt;=5,$G2347&gt;0,$I2347&gt;0),$F2347*$H2347,NA()),NA())</f>
        <v/>
      </c>
      <c r="K2347" s="15">
        <f>IF($A2347="","",IF(AH!$U$5=1,IFERROR(MATCH($A2347,'Live History'!$A$5:$A$3004,0),0),AH!$U$7+2342))</f>
        <v/>
      </c>
      <c r="L2347" s="15">
        <f>IF(ISNUMBER(A2347),TEXT(A2347,"dd-mmm-yy"),"")</f>
        <v/>
      </c>
    </row>
    <row r="2348">
      <c r="A2348" s="14">
        <f>IF(OR(AH!$U$4=0,2343+1&gt;AH!$U$6,AND(AH!$M$5="Bloomberg",AH!$U$5=0)),"",IFERROR(IF(AND(AH!$U$12=1,2343+1=AH!$U$6),TODAY(),IF(AH!$U$5=1,INDEX('Live History'!$A$5:$A$3004,AH!$U$7+2343),INDEX('AH History'!$A$5:$A$1380,AH!$U$7+2343))),""))</f>
        <v/>
      </c>
      <c r="B2348" s="33">
        <f>IFERROR(IF(AH!$U$11=1,NA(),$J2348/$E2348-1),NA())</f>
        <v/>
      </c>
      <c r="C2348" s="269">
        <f>IFERROR(100*$E2348/$E$5,NA())</f>
        <v/>
      </c>
      <c r="D2348" s="269">
        <f>IFERROR(100*$J2348/$J$5,NA())</f>
        <v/>
      </c>
      <c r="E2348" s="32">
        <f>IFERROR(IF(AND(ISNUMBER($A2348),N(IF(AND(AH!$U$12=1,2343+1=AH!$U$6),IF(AH!$U$4=0,"unavailable",INDEX('Market Data'!$AN$5:$AN$66,AH!$U$4)),IF(AH!$U$5=1,INDEX('Live History'!$B$5:$B$3004,$K2348),INDEX('AH History'!$D$5:$GG$1380,$K2348,AH!$U$10))))&gt;0),IF(AND(AH!$U$12=1,2343+1=AH!$U$6),IF(AH!$U$4=0,"unavailable",INDEX('Market Data'!$AN$5:$AN$66,AH!$U$4)),IF(AH!$U$5=1,INDEX('Live History'!$B$5:$B$3004,$K2348),INDEX('AH History'!$D$5:$GG$1380,$K2348,AH!$U$10))),NA()),NA())</f>
        <v/>
      </c>
      <c r="F2348" s="32">
        <f>IFERROR(IF(ISNUMBER($A2348),IF(AND(AH!$U$12=1,2343+1=AH!$U$6),IF(AH!$U$4=0,"unavailable",INDEX('Market Data'!$AO$5:$AO$66,AH!$U$4)),IF(AH!$U$5=1,INDEX('Live History'!$E$5:$E$3004,MATCH($A2348,'Live History'!$D$5:$D$3004,1)),INDEX('AH History'!$D$5:$GG$1380,$K2348,AH!$U$10+1))),NA()),NA())</f>
        <v/>
      </c>
      <c r="G2348" s="34">
        <f>IFERROR(IF(ISNUMBER($A2348),IF(AND(AH!$U$12=1,2343+1=AH!$U$6),IF(AH!$U$4=0,"unavailable",INDEX('Market Data'!$AK$5:$AK$66,AH!$U$4)),IF(AH!$U$5=1,INDEX('Live History'!$D$5:$D$3004,MATCH($A2348,'Live History'!$D$5:$D$3004,1)),INDEX('AH History'!$D$5:$GG$1380,$K2348,AH!$U$10+2))),NA()),NA())</f>
        <v/>
      </c>
      <c r="H2348" s="266">
        <f>IFERROR(IF(ISNUMBER($A2348),IF(AND(AH!$U$12=1,2343+1=AH!$U$6),IF(AH!$U$4=0,"unavailable",INDEX('Market Data'!$AP$5:$AP$66,AH!$U$4)),IF(AH!$U$5=1,INDEX('Live History'!$H$5:$H$3004,MATCH($A2348,'Live History'!$G$5:$G$3004,1)),INDEX('AH History'!$B$5:$B$1380,$K2348))),NA()),NA())</f>
        <v/>
      </c>
      <c r="I2348" s="34">
        <f>IFERROR(IF(ISNUMBER($A2348),IF(AND(AH!$U$12=1,2343+1=AH!$U$6),TODAY(),IF(AH!$U$5=1,INDEX('Live History'!$G$5:$G$3004,MATCH($A2348,'Live History'!$G$5:$G$3004,1)),INDEX('AH History'!$C$5:$C$1380,$K2348))),NA()),NA())</f>
        <v/>
      </c>
      <c r="J2348" s="32">
        <f>IFERROR(IF(AND($F2348&gt;0,$H2348&gt;0,$A2348-$G2348&lt;=10,$A2348-$I2348&lt;=5,$G2348&gt;0,$I2348&gt;0),$F2348*$H2348,NA()),NA())</f>
        <v/>
      </c>
      <c r="K2348" s="15">
        <f>IF($A2348="","",IF(AH!$U$5=1,IFERROR(MATCH($A2348,'Live History'!$A$5:$A$3004,0),0),AH!$U$7+2343))</f>
        <v/>
      </c>
      <c r="L2348" s="15">
        <f>IF(ISNUMBER(A2348),TEXT(A2348,"dd-mmm-yy"),"")</f>
        <v/>
      </c>
    </row>
    <row r="2349">
      <c r="A2349" s="14">
        <f>IF(OR(AH!$U$4=0,2344+1&gt;AH!$U$6,AND(AH!$M$5="Bloomberg",AH!$U$5=0)),"",IFERROR(IF(AND(AH!$U$12=1,2344+1=AH!$U$6),TODAY(),IF(AH!$U$5=1,INDEX('Live History'!$A$5:$A$3004,AH!$U$7+2344),INDEX('AH History'!$A$5:$A$1380,AH!$U$7+2344))),""))</f>
        <v/>
      </c>
      <c r="B2349" s="33">
        <f>IFERROR(IF(AH!$U$11=1,NA(),$J2349/$E2349-1),NA())</f>
        <v/>
      </c>
      <c r="C2349" s="269">
        <f>IFERROR(100*$E2349/$E$5,NA())</f>
        <v/>
      </c>
      <c r="D2349" s="269">
        <f>IFERROR(100*$J2349/$J$5,NA())</f>
        <v/>
      </c>
      <c r="E2349" s="32">
        <f>IFERROR(IF(AND(ISNUMBER($A2349),N(IF(AND(AH!$U$12=1,2344+1=AH!$U$6),IF(AH!$U$4=0,"unavailable",INDEX('Market Data'!$AN$5:$AN$66,AH!$U$4)),IF(AH!$U$5=1,INDEX('Live History'!$B$5:$B$3004,$K2349),INDEX('AH History'!$D$5:$GG$1380,$K2349,AH!$U$10))))&gt;0),IF(AND(AH!$U$12=1,2344+1=AH!$U$6),IF(AH!$U$4=0,"unavailable",INDEX('Market Data'!$AN$5:$AN$66,AH!$U$4)),IF(AH!$U$5=1,INDEX('Live History'!$B$5:$B$3004,$K2349),INDEX('AH History'!$D$5:$GG$1380,$K2349,AH!$U$10))),NA()),NA())</f>
        <v/>
      </c>
      <c r="F2349" s="32">
        <f>IFERROR(IF(ISNUMBER($A2349),IF(AND(AH!$U$12=1,2344+1=AH!$U$6),IF(AH!$U$4=0,"unavailable",INDEX('Market Data'!$AO$5:$AO$66,AH!$U$4)),IF(AH!$U$5=1,INDEX('Live History'!$E$5:$E$3004,MATCH($A2349,'Live History'!$D$5:$D$3004,1)),INDEX('AH History'!$D$5:$GG$1380,$K2349,AH!$U$10+1))),NA()),NA())</f>
        <v/>
      </c>
      <c r="G2349" s="34">
        <f>IFERROR(IF(ISNUMBER($A2349),IF(AND(AH!$U$12=1,2344+1=AH!$U$6),IF(AH!$U$4=0,"unavailable",INDEX('Market Data'!$AK$5:$AK$66,AH!$U$4)),IF(AH!$U$5=1,INDEX('Live History'!$D$5:$D$3004,MATCH($A2349,'Live History'!$D$5:$D$3004,1)),INDEX('AH History'!$D$5:$GG$1380,$K2349,AH!$U$10+2))),NA()),NA())</f>
        <v/>
      </c>
      <c r="H2349" s="266">
        <f>IFERROR(IF(ISNUMBER($A2349),IF(AND(AH!$U$12=1,2344+1=AH!$U$6),IF(AH!$U$4=0,"unavailable",INDEX('Market Data'!$AP$5:$AP$66,AH!$U$4)),IF(AH!$U$5=1,INDEX('Live History'!$H$5:$H$3004,MATCH($A2349,'Live History'!$G$5:$G$3004,1)),INDEX('AH History'!$B$5:$B$1380,$K2349))),NA()),NA())</f>
        <v/>
      </c>
      <c r="I2349" s="34">
        <f>IFERROR(IF(ISNUMBER($A2349),IF(AND(AH!$U$12=1,2344+1=AH!$U$6),TODAY(),IF(AH!$U$5=1,INDEX('Live History'!$G$5:$G$3004,MATCH($A2349,'Live History'!$G$5:$G$3004,1)),INDEX('AH History'!$C$5:$C$1380,$K2349))),NA()),NA())</f>
        <v/>
      </c>
      <c r="J2349" s="32">
        <f>IFERROR(IF(AND($F2349&gt;0,$H2349&gt;0,$A2349-$G2349&lt;=10,$A2349-$I2349&lt;=5,$G2349&gt;0,$I2349&gt;0),$F2349*$H2349,NA()),NA())</f>
        <v/>
      </c>
      <c r="K2349" s="15">
        <f>IF($A2349="","",IF(AH!$U$5=1,IFERROR(MATCH($A2349,'Live History'!$A$5:$A$3004,0),0),AH!$U$7+2344))</f>
        <v/>
      </c>
      <c r="L2349" s="15">
        <f>IF(ISNUMBER(A2349),TEXT(A2349,"dd-mmm-yy"),"")</f>
        <v/>
      </c>
    </row>
    <row r="2350">
      <c r="A2350" s="14">
        <f>IF(OR(AH!$U$4=0,2345+1&gt;AH!$U$6,AND(AH!$M$5="Bloomberg",AH!$U$5=0)),"",IFERROR(IF(AND(AH!$U$12=1,2345+1=AH!$U$6),TODAY(),IF(AH!$U$5=1,INDEX('Live History'!$A$5:$A$3004,AH!$U$7+2345),INDEX('AH History'!$A$5:$A$1380,AH!$U$7+2345))),""))</f>
        <v/>
      </c>
      <c r="B2350" s="33">
        <f>IFERROR(IF(AH!$U$11=1,NA(),$J2350/$E2350-1),NA())</f>
        <v/>
      </c>
      <c r="C2350" s="269">
        <f>IFERROR(100*$E2350/$E$5,NA())</f>
        <v/>
      </c>
      <c r="D2350" s="269">
        <f>IFERROR(100*$J2350/$J$5,NA())</f>
        <v/>
      </c>
      <c r="E2350" s="32">
        <f>IFERROR(IF(AND(ISNUMBER($A2350),N(IF(AND(AH!$U$12=1,2345+1=AH!$U$6),IF(AH!$U$4=0,"unavailable",INDEX('Market Data'!$AN$5:$AN$66,AH!$U$4)),IF(AH!$U$5=1,INDEX('Live History'!$B$5:$B$3004,$K2350),INDEX('AH History'!$D$5:$GG$1380,$K2350,AH!$U$10))))&gt;0),IF(AND(AH!$U$12=1,2345+1=AH!$U$6),IF(AH!$U$4=0,"unavailable",INDEX('Market Data'!$AN$5:$AN$66,AH!$U$4)),IF(AH!$U$5=1,INDEX('Live History'!$B$5:$B$3004,$K2350),INDEX('AH History'!$D$5:$GG$1380,$K2350,AH!$U$10))),NA()),NA())</f>
        <v/>
      </c>
      <c r="F2350" s="32">
        <f>IFERROR(IF(ISNUMBER($A2350),IF(AND(AH!$U$12=1,2345+1=AH!$U$6),IF(AH!$U$4=0,"unavailable",INDEX('Market Data'!$AO$5:$AO$66,AH!$U$4)),IF(AH!$U$5=1,INDEX('Live History'!$E$5:$E$3004,MATCH($A2350,'Live History'!$D$5:$D$3004,1)),INDEX('AH History'!$D$5:$GG$1380,$K2350,AH!$U$10+1))),NA()),NA())</f>
        <v/>
      </c>
      <c r="G2350" s="34">
        <f>IFERROR(IF(ISNUMBER($A2350),IF(AND(AH!$U$12=1,2345+1=AH!$U$6),IF(AH!$U$4=0,"unavailable",INDEX('Market Data'!$AK$5:$AK$66,AH!$U$4)),IF(AH!$U$5=1,INDEX('Live History'!$D$5:$D$3004,MATCH($A2350,'Live History'!$D$5:$D$3004,1)),INDEX('AH History'!$D$5:$GG$1380,$K2350,AH!$U$10+2))),NA()),NA())</f>
        <v/>
      </c>
      <c r="H2350" s="266">
        <f>IFERROR(IF(ISNUMBER($A2350),IF(AND(AH!$U$12=1,2345+1=AH!$U$6),IF(AH!$U$4=0,"unavailable",INDEX('Market Data'!$AP$5:$AP$66,AH!$U$4)),IF(AH!$U$5=1,INDEX('Live History'!$H$5:$H$3004,MATCH($A2350,'Live History'!$G$5:$G$3004,1)),INDEX('AH History'!$B$5:$B$1380,$K2350))),NA()),NA())</f>
        <v/>
      </c>
      <c r="I2350" s="34">
        <f>IFERROR(IF(ISNUMBER($A2350),IF(AND(AH!$U$12=1,2345+1=AH!$U$6),TODAY(),IF(AH!$U$5=1,INDEX('Live History'!$G$5:$G$3004,MATCH($A2350,'Live History'!$G$5:$G$3004,1)),INDEX('AH History'!$C$5:$C$1380,$K2350))),NA()),NA())</f>
        <v/>
      </c>
      <c r="J2350" s="32">
        <f>IFERROR(IF(AND($F2350&gt;0,$H2350&gt;0,$A2350-$G2350&lt;=10,$A2350-$I2350&lt;=5,$G2350&gt;0,$I2350&gt;0),$F2350*$H2350,NA()),NA())</f>
        <v/>
      </c>
      <c r="K2350" s="15">
        <f>IF($A2350="","",IF(AH!$U$5=1,IFERROR(MATCH($A2350,'Live History'!$A$5:$A$3004,0),0),AH!$U$7+2345))</f>
        <v/>
      </c>
      <c r="L2350" s="15">
        <f>IF(ISNUMBER(A2350),TEXT(A2350,"dd-mmm-yy"),"")</f>
        <v/>
      </c>
    </row>
    <row r="2351">
      <c r="A2351" s="14">
        <f>IF(OR(AH!$U$4=0,2346+1&gt;AH!$U$6,AND(AH!$M$5="Bloomberg",AH!$U$5=0)),"",IFERROR(IF(AND(AH!$U$12=1,2346+1=AH!$U$6),TODAY(),IF(AH!$U$5=1,INDEX('Live History'!$A$5:$A$3004,AH!$U$7+2346),INDEX('AH History'!$A$5:$A$1380,AH!$U$7+2346))),""))</f>
        <v/>
      </c>
      <c r="B2351" s="33">
        <f>IFERROR(IF(AH!$U$11=1,NA(),$J2351/$E2351-1),NA())</f>
        <v/>
      </c>
      <c r="C2351" s="269">
        <f>IFERROR(100*$E2351/$E$5,NA())</f>
        <v/>
      </c>
      <c r="D2351" s="269">
        <f>IFERROR(100*$J2351/$J$5,NA())</f>
        <v/>
      </c>
      <c r="E2351" s="32">
        <f>IFERROR(IF(AND(ISNUMBER($A2351),N(IF(AND(AH!$U$12=1,2346+1=AH!$U$6),IF(AH!$U$4=0,"unavailable",INDEX('Market Data'!$AN$5:$AN$66,AH!$U$4)),IF(AH!$U$5=1,INDEX('Live History'!$B$5:$B$3004,$K2351),INDEX('AH History'!$D$5:$GG$1380,$K2351,AH!$U$10))))&gt;0),IF(AND(AH!$U$12=1,2346+1=AH!$U$6),IF(AH!$U$4=0,"unavailable",INDEX('Market Data'!$AN$5:$AN$66,AH!$U$4)),IF(AH!$U$5=1,INDEX('Live History'!$B$5:$B$3004,$K2351),INDEX('AH History'!$D$5:$GG$1380,$K2351,AH!$U$10))),NA()),NA())</f>
        <v/>
      </c>
      <c r="F2351" s="32">
        <f>IFERROR(IF(ISNUMBER($A2351),IF(AND(AH!$U$12=1,2346+1=AH!$U$6),IF(AH!$U$4=0,"unavailable",INDEX('Market Data'!$AO$5:$AO$66,AH!$U$4)),IF(AH!$U$5=1,INDEX('Live History'!$E$5:$E$3004,MATCH($A2351,'Live History'!$D$5:$D$3004,1)),INDEX('AH History'!$D$5:$GG$1380,$K2351,AH!$U$10+1))),NA()),NA())</f>
        <v/>
      </c>
      <c r="G2351" s="34">
        <f>IFERROR(IF(ISNUMBER($A2351),IF(AND(AH!$U$12=1,2346+1=AH!$U$6),IF(AH!$U$4=0,"unavailable",INDEX('Market Data'!$AK$5:$AK$66,AH!$U$4)),IF(AH!$U$5=1,INDEX('Live History'!$D$5:$D$3004,MATCH($A2351,'Live History'!$D$5:$D$3004,1)),INDEX('AH History'!$D$5:$GG$1380,$K2351,AH!$U$10+2))),NA()),NA())</f>
        <v/>
      </c>
      <c r="H2351" s="266">
        <f>IFERROR(IF(ISNUMBER($A2351),IF(AND(AH!$U$12=1,2346+1=AH!$U$6),IF(AH!$U$4=0,"unavailable",INDEX('Market Data'!$AP$5:$AP$66,AH!$U$4)),IF(AH!$U$5=1,INDEX('Live History'!$H$5:$H$3004,MATCH($A2351,'Live History'!$G$5:$G$3004,1)),INDEX('AH History'!$B$5:$B$1380,$K2351))),NA()),NA())</f>
        <v/>
      </c>
      <c r="I2351" s="34">
        <f>IFERROR(IF(ISNUMBER($A2351),IF(AND(AH!$U$12=1,2346+1=AH!$U$6),TODAY(),IF(AH!$U$5=1,INDEX('Live History'!$G$5:$G$3004,MATCH($A2351,'Live History'!$G$5:$G$3004,1)),INDEX('AH History'!$C$5:$C$1380,$K2351))),NA()),NA())</f>
        <v/>
      </c>
      <c r="J2351" s="32">
        <f>IFERROR(IF(AND($F2351&gt;0,$H2351&gt;0,$A2351-$G2351&lt;=10,$A2351-$I2351&lt;=5,$G2351&gt;0,$I2351&gt;0),$F2351*$H2351,NA()),NA())</f>
        <v/>
      </c>
      <c r="K2351" s="15">
        <f>IF($A2351="","",IF(AH!$U$5=1,IFERROR(MATCH($A2351,'Live History'!$A$5:$A$3004,0),0),AH!$U$7+2346))</f>
        <v/>
      </c>
      <c r="L2351" s="15">
        <f>IF(ISNUMBER(A2351),TEXT(A2351,"dd-mmm-yy"),"")</f>
        <v/>
      </c>
    </row>
    <row r="2352">
      <c r="A2352" s="14">
        <f>IF(OR(AH!$U$4=0,2347+1&gt;AH!$U$6,AND(AH!$M$5="Bloomberg",AH!$U$5=0)),"",IFERROR(IF(AND(AH!$U$12=1,2347+1=AH!$U$6),TODAY(),IF(AH!$U$5=1,INDEX('Live History'!$A$5:$A$3004,AH!$U$7+2347),INDEX('AH History'!$A$5:$A$1380,AH!$U$7+2347))),""))</f>
        <v/>
      </c>
      <c r="B2352" s="33">
        <f>IFERROR(IF(AH!$U$11=1,NA(),$J2352/$E2352-1),NA())</f>
        <v/>
      </c>
      <c r="C2352" s="269">
        <f>IFERROR(100*$E2352/$E$5,NA())</f>
        <v/>
      </c>
      <c r="D2352" s="269">
        <f>IFERROR(100*$J2352/$J$5,NA())</f>
        <v/>
      </c>
      <c r="E2352" s="32">
        <f>IFERROR(IF(AND(ISNUMBER($A2352),N(IF(AND(AH!$U$12=1,2347+1=AH!$U$6),IF(AH!$U$4=0,"unavailable",INDEX('Market Data'!$AN$5:$AN$66,AH!$U$4)),IF(AH!$U$5=1,INDEX('Live History'!$B$5:$B$3004,$K2352),INDEX('AH History'!$D$5:$GG$1380,$K2352,AH!$U$10))))&gt;0),IF(AND(AH!$U$12=1,2347+1=AH!$U$6),IF(AH!$U$4=0,"unavailable",INDEX('Market Data'!$AN$5:$AN$66,AH!$U$4)),IF(AH!$U$5=1,INDEX('Live History'!$B$5:$B$3004,$K2352),INDEX('AH History'!$D$5:$GG$1380,$K2352,AH!$U$10))),NA()),NA())</f>
        <v/>
      </c>
      <c r="F2352" s="32">
        <f>IFERROR(IF(ISNUMBER($A2352),IF(AND(AH!$U$12=1,2347+1=AH!$U$6),IF(AH!$U$4=0,"unavailable",INDEX('Market Data'!$AO$5:$AO$66,AH!$U$4)),IF(AH!$U$5=1,INDEX('Live History'!$E$5:$E$3004,MATCH($A2352,'Live History'!$D$5:$D$3004,1)),INDEX('AH History'!$D$5:$GG$1380,$K2352,AH!$U$10+1))),NA()),NA())</f>
        <v/>
      </c>
      <c r="G2352" s="34">
        <f>IFERROR(IF(ISNUMBER($A2352),IF(AND(AH!$U$12=1,2347+1=AH!$U$6),IF(AH!$U$4=0,"unavailable",INDEX('Market Data'!$AK$5:$AK$66,AH!$U$4)),IF(AH!$U$5=1,INDEX('Live History'!$D$5:$D$3004,MATCH($A2352,'Live History'!$D$5:$D$3004,1)),INDEX('AH History'!$D$5:$GG$1380,$K2352,AH!$U$10+2))),NA()),NA())</f>
        <v/>
      </c>
      <c r="H2352" s="266">
        <f>IFERROR(IF(ISNUMBER($A2352),IF(AND(AH!$U$12=1,2347+1=AH!$U$6),IF(AH!$U$4=0,"unavailable",INDEX('Market Data'!$AP$5:$AP$66,AH!$U$4)),IF(AH!$U$5=1,INDEX('Live History'!$H$5:$H$3004,MATCH($A2352,'Live History'!$G$5:$G$3004,1)),INDEX('AH History'!$B$5:$B$1380,$K2352))),NA()),NA())</f>
        <v/>
      </c>
      <c r="I2352" s="34">
        <f>IFERROR(IF(ISNUMBER($A2352),IF(AND(AH!$U$12=1,2347+1=AH!$U$6),TODAY(),IF(AH!$U$5=1,INDEX('Live History'!$G$5:$G$3004,MATCH($A2352,'Live History'!$G$5:$G$3004,1)),INDEX('AH History'!$C$5:$C$1380,$K2352))),NA()),NA())</f>
        <v/>
      </c>
      <c r="J2352" s="32">
        <f>IFERROR(IF(AND($F2352&gt;0,$H2352&gt;0,$A2352-$G2352&lt;=10,$A2352-$I2352&lt;=5,$G2352&gt;0,$I2352&gt;0),$F2352*$H2352,NA()),NA())</f>
        <v/>
      </c>
      <c r="K2352" s="15">
        <f>IF($A2352="","",IF(AH!$U$5=1,IFERROR(MATCH($A2352,'Live History'!$A$5:$A$3004,0),0),AH!$U$7+2347))</f>
        <v/>
      </c>
      <c r="L2352" s="15">
        <f>IF(ISNUMBER(A2352),TEXT(A2352,"dd-mmm-yy"),"")</f>
        <v/>
      </c>
    </row>
    <row r="2353">
      <c r="A2353" s="14">
        <f>IF(OR(AH!$U$4=0,2348+1&gt;AH!$U$6,AND(AH!$M$5="Bloomberg",AH!$U$5=0)),"",IFERROR(IF(AND(AH!$U$12=1,2348+1=AH!$U$6),TODAY(),IF(AH!$U$5=1,INDEX('Live History'!$A$5:$A$3004,AH!$U$7+2348),INDEX('AH History'!$A$5:$A$1380,AH!$U$7+2348))),""))</f>
        <v/>
      </c>
      <c r="B2353" s="33">
        <f>IFERROR(IF(AH!$U$11=1,NA(),$J2353/$E2353-1),NA())</f>
        <v/>
      </c>
      <c r="C2353" s="269">
        <f>IFERROR(100*$E2353/$E$5,NA())</f>
        <v/>
      </c>
      <c r="D2353" s="269">
        <f>IFERROR(100*$J2353/$J$5,NA())</f>
        <v/>
      </c>
      <c r="E2353" s="32">
        <f>IFERROR(IF(AND(ISNUMBER($A2353),N(IF(AND(AH!$U$12=1,2348+1=AH!$U$6),IF(AH!$U$4=0,"unavailable",INDEX('Market Data'!$AN$5:$AN$66,AH!$U$4)),IF(AH!$U$5=1,INDEX('Live History'!$B$5:$B$3004,$K2353),INDEX('AH History'!$D$5:$GG$1380,$K2353,AH!$U$10))))&gt;0),IF(AND(AH!$U$12=1,2348+1=AH!$U$6),IF(AH!$U$4=0,"unavailable",INDEX('Market Data'!$AN$5:$AN$66,AH!$U$4)),IF(AH!$U$5=1,INDEX('Live History'!$B$5:$B$3004,$K2353),INDEX('AH History'!$D$5:$GG$1380,$K2353,AH!$U$10))),NA()),NA())</f>
        <v/>
      </c>
      <c r="F2353" s="32">
        <f>IFERROR(IF(ISNUMBER($A2353),IF(AND(AH!$U$12=1,2348+1=AH!$U$6),IF(AH!$U$4=0,"unavailable",INDEX('Market Data'!$AO$5:$AO$66,AH!$U$4)),IF(AH!$U$5=1,INDEX('Live History'!$E$5:$E$3004,MATCH($A2353,'Live History'!$D$5:$D$3004,1)),INDEX('AH History'!$D$5:$GG$1380,$K2353,AH!$U$10+1))),NA()),NA())</f>
        <v/>
      </c>
      <c r="G2353" s="34">
        <f>IFERROR(IF(ISNUMBER($A2353),IF(AND(AH!$U$12=1,2348+1=AH!$U$6),IF(AH!$U$4=0,"unavailable",INDEX('Market Data'!$AK$5:$AK$66,AH!$U$4)),IF(AH!$U$5=1,INDEX('Live History'!$D$5:$D$3004,MATCH($A2353,'Live History'!$D$5:$D$3004,1)),INDEX('AH History'!$D$5:$GG$1380,$K2353,AH!$U$10+2))),NA()),NA())</f>
        <v/>
      </c>
      <c r="H2353" s="266">
        <f>IFERROR(IF(ISNUMBER($A2353),IF(AND(AH!$U$12=1,2348+1=AH!$U$6),IF(AH!$U$4=0,"unavailable",INDEX('Market Data'!$AP$5:$AP$66,AH!$U$4)),IF(AH!$U$5=1,INDEX('Live History'!$H$5:$H$3004,MATCH($A2353,'Live History'!$G$5:$G$3004,1)),INDEX('AH History'!$B$5:$B$1380,$K2353))),NA()),NA())</f>
        <v/>
      </c>
      <c r="I2353" s="34">
        <f>IFERROR(IF(ISNUMBER($A2353),IF(AND(AH!$U$12=1,2348+1=AH!$U$6),TODAY(),IF(AH!$U$5=1,INDEX('Live History'!$G$5:$G$3004,MATCH($A2353,'Live History'!$G$5:$G$3004,1)),INDEX('AH History'!$C$5:$C$1380,$K2353))),NA()),NA())</f>
        <v/>
      </c>
      <c r="J2353" s="32">
        <f>IFERROR(IF(AND($F2353&gt;0,$H2353&gt;0,$A2353-$G2353&lt;=10,$A2353-$I2353&lt;=5,$G2353&gt;0,$I2353&gt;0),$F2353*$H2353,NA()),NA())</f>
        <v/>
      </c>
      <c r="K2353" s="15">
        <f>IF($A2353="","",IF(AH!$U$5=1,IFERROR(MATCH($A2353,'Live History'!$A$5:$A$3004,0),0),AH!$U$7+2348))</f>
        <v/>
      </c>
      <c r="L2353" s="15">
        <f>IF(ISNUMBER(A2353),TEXT(A2353,"dd-mmm-yy"),"")</f>
        <v/>
      </c>
    </row>
    <row r="2354">
      <c r="A2354" s="14">
        <f>IF(OR(AH!$U$4=0,2349+1&gt;AH!$U$6,AND(AH!$M$5="Bloomberg",AH!$U$5=0)),"",IFERROR(IF(AND(AH!$U$12=1,2349+1=AH!$U$6),TODAY(),IF(AH!$U$5=1,INDEX('Live History'!$A$5:$A$3004,AH!$U$7+2349),INDEX('AH History'!$A$5:$A$1380,AH!$U$7+2349))),""))</f>
        <v/>
      </c>
      <c r="B2354" s="33">
        <f>IFERROR(IF(AH!$U$11=1,NA(),$J2354/$E2354-1),NA())</f>
        <v/>
      </c>
      <c r="C2354" s="269">
        <f>IFERROR(100*$E2354/$E$5,NA())</f>
        <v/>
      </c>
      <c r="D2354" s="269">
        <f>IFERROR(100*$J2354/$J$5,NA())</f>
        <v/>
      </c>
      <c r="E2354" s="32">
        <f>IFERROR(IF(AND(ISNUMBER($A2354),N(IF(AND(AH!$U$12=1,2349+1=AH!$U$6),IF(AH!$U$4=0,"unavailable",INDEX('Market Data'!$AN$5:$AN$66,AH!$U$4)),IF(AH!$U$5=1,INDEX('Live History'!$B$5:$B$3004,$K2354),INDEX('AH History'!$D$5:$GG$1380,$K2354,AH!$U$10))))&gt;0),IF(AND(AH!$U$12=1,2349+1=AH!$U$6),IF(AH!$U$4=0,"unavailable",INDEX('Market Data'!$AN$5:$AN$66,AH!$U$4)),IF(AH!$U$5=1,INDEX('Live History'!$B$5:$B$3004,$K2354),INDEX('AH History'!$D$5:$GG$1380,$K2354,AH!$U$10))),NA()),NA())</f>
        <v/>
      </c>
      <c r="F2354" s="32">
        <f>IFERROR(IF(ISNUMBER($A2354),IF(AND(AH!$U$12=1,2349+1=AH!$U$6),IF(AH!$U$4=0,"unavailable",INDEX('Market Data'!$AO$5:$AO$66,AH!$U$4)),IF(AH!$U$5=1,INDEX('Live History'!$E$5:$E$3004,MATCH($A2354,'Live History'!$D$5:$D$3004,1)),INDEX('AH History'!$D$5:$GG$1380,$K2354,AH!$U$10+1))),NA()),NA())</f>
        <v/>
      </c>
      <c r="G2354" s="34">
        <f>IFERROR(IF(ISNUMBER($A2354),IF(AND(AH!$U$12=1,2349+1=AH!$U$6),IF(AH!$U$4=0,"unavailable",INDEX('Market Data'!$AK$5:$AK$66,AH!$U$4)),IF(AH!$U$5=1,INDEX('Live History'!$D$5:$D$3004,MATCH($A2354,'Live History'!$D$5:$D$3004,1)),INDEX('AH History'!$D$5:$GG$1380,$K2354,AH!$U$10+2))),NA()),NA())</f>
        <v/>
      </c>
      <c r="H2354" s="266">
        <f>IFERROR(IF(ISNUMBER($A2354),IF(AND(AH!$U$12=1,2349+1=AH!$U$6),IF(AH!$U$4=0,"unavailable",INDEX('Market Data'!$AP$5:$AP$66,AH!$U$4)),IF(AH!$U$5=1,INDEX('Live History'!$H$5:$H$3004,MATCH($A2354,'Live History'!$G$5:$G$3004,1)),INDEX('AH History'!$B$5:$B$1380,$K2354))),NA()),NA())</f>
        <v/>
      </c>
      <c r="I2354" s="34">
        <f>IFERROR(IF(ISNUMBER($A2354),IF(AND(AH!$U$12=1,2349+1=AH!$U$6),TODAY(),IF(AH!$U$5=1,INDEX('Live History'!$G$5:$G$3004,MATCH($A2354,'Live History'!$G$5:$G$3004,1)),INDEX('AH History'!$C$5:$C$1380,$K2354))),NA()),NA())</f>
        <v/>
      </c>
      <c r="J2354" s="32">
        <f>IFERROR(IF(AND($F2354&gt;0,$H2354&gt;0,$A2354-$G2354&lt;=10,$A2354-$I2354&lt;=5,$G2354&gt;0,$I2354&gt;0),$F2354*$H2354,NA()),NA())</f>
        <v/>
      </c>
      <c r="K2354" s="15">
        <f>IF($A2354="","",IF(AH!$U$5=1,IFERROR(MATCH($A2354,'Live History'!$A$5:$A$3004,0),0),AH!$U$7+2349))</f>
        <v/>
      </c>
      <c r="L2354" s="15">
        <f>IF(ISNUMBER(A2354),TEXT(A2354,"dd-mmm-yy"),"")</f>
        <v/>
      </c>
    </row>
    <row r="2355">
      <c r="A2355" s="14">
        <f>IF(OR(AH!$U$4=0,2350+1&gt;AH!$U$6,AND(AH!$M$5="Bloomberg",AH!$U$5=0)),"",IFERROR(IF(AND(AH!$U$12=1,2350+1=AH!$U$6),TODAY(),IF(AH!$U$5=1,INDEX('Live History'!$A$5:$A$3004,AH!$U$7+2350),INDEX('AH History'!$A$5:$A$1380,AH!$U$7+2350))),""))</f>
        <v/>
      </c>
      <c r="B2355" s="33">
        <f>IFERROR(IF(AH!$U$11=1,NA(),$J2355/$E2355-1),NA())</f>
        <v/>
      </c>
      <c r="C2355" s="269">
        <f>IFERROR(100*$E2355/$E$5,NA())</f>
        <v/>
      </c>
      <c r="D2355" s="269">
        <f>IFERROR(100*$J2355/$J$5,NA())</f>
        <v/>
      </c>
      <c r="E2355" s="32">
        <f>IFERROR(IF(AND(ISNUMBER($A2355),N(IF(AND(AH!$U$12=1,2350+1=AH!$U$6),IF(AH!$U$4=0,"unavailable",INDEX('Market Data'!$AN$5:$AN$66,AH!$U$4)),IF(AH!$U$5=1,INDEX('Live History'!$B$5:$B$3004,$K2355),INDEX('AH History'!$D$5:$GG$1380,$K2355,AH!$U$10))))&gt;0),IF(AND(AH!$U$12=1,2350+1=AH!$U$6),IF(AH!$U$4=0,"unavailable",INDEX('Market Data'!$AN$5:$AN$66,AH!$U$4)),IF(AH!$U$5=1,INDEX('Live History'!$B$5:$B$3004,$K2355),INDEX('AH History'!$D$5:$GG$1380,$K2355,AH!$U$10))),NA()),NA())</f>
        <v/>
      </c>
      <c r="F2355" s="32">
        <f>IFERROR(IF(ISNUMBER($A2355),IF(AND(AH!$U$12=1,2350+1=AH!$U$6),IF(AH!$U$4=0,"unavailable",INDEX('Market Data'!$AO$5:$AO$66,AH!$U$4)),IF(AH!$U$5=1,INDEX('Live History'!$E$5:$E$3004,MATCH($A2355,'Live History'!$D$5:$D$3004,1)),INDEX('AH History'!$D$5:$GG$1380,$K2355,AH!$U$10+1))),NA()),NA())</f>
        <v/>
      </c>
      <c r="G2355" s="34">
        <f>IFERROR(IF(ISNUMBER($A2355),IF(AND(AH!$U$12=1,2350+1=AH!$U$6),IF(AH!$U$4=0,"unavailable",INDEX('Market Data'!$AK$5:$AK$66,AH!$U$4)),IF(AH!$U$5=1,INDEX('Live History'!$D$5:$D$3004,MATCH($A2355,'Live History'!$D$5:$D$3004,1)),INDEX('AH History'!$D$5:$GG$1380,$K2355,AH!$U$10+2))),NA()),NA())</f>
        <v/>
      </c>
      <c r="H2355" s="266">
        <f>IFERROR(IF(ISNUMBER($A2355),IF(AND(AH!$U$12=1,2350+1=AH!$U$6),IF(AH!$U$4=0,"unavailable",INDEX('Market Data'!$AP$5:$AP$66,AH!$U$4)),IF(AH!$U$5=1,INDEX('Live History'!$H$5:$H$3004,MATCH($A2355,'Live History'!$G$5:$G$3004,1)),INDEX('AH History'!$B$5:$B$1380,$K2355))),NA()),NA())</f>
        <v/>
      </c>
      <c r="I2355" s="34">
        <f>IFERROR(IF(ISNUMBER($A2355),IF(AND(AH!$U$12=1,2350+1=AH!$U$6),TODAY(),IF(AH!$U$5=1,INDEX('Live History'!$G$5:$G$3004,MATCH($A2355,'Live History'!$G$5:$G$3004,1)),INDEX('AH History'!$C$5:$C$1380,$K2355))),NA()),NA())</f>
        <v/>
      </c>
      <c r="J2355" s="32">
        <f>IFERROR(IF(AND($F2355&gt;0,$H2355&gt;0,$A2355-$G2355&lt;=10,$A2355-$I2355&lt;=5,$G2355&gt;0,$I2355&gt;0),$F2355*$H2355,NA()),NA())</f>
        <v/>
      </c>
      <c r="K2355" s="15">
        <f>IF($A2355="","",IF(AH!$U$5=1,IFERROR(MATCH($A2355,'Live History'!$A$5:$A$3004,0),0),AH!$U$7+2350))</f>
        <v/>
      </c>
      <c r="L2355" s="15">
        <f>IF(ISNUMBER(A2355),TEXT(A2355,"dd-mmm-yy"),"")</f>
        <v/>
      </c>
    </row>
    <row r="2356">
      <c r="A2356" s="14">
        <f>IF(OR(AH!$U$4=0,2351+1&gt;AH!$U$6,AND(AH!$M$5="Bloomberg",AH!$U$5=0)),"",IFERROR(IF(AND(AH!$U$12=1,2351+1=AH!$U$6),TODAY(),IF(AH!$U$5=1,INDEX('Live History'!$A$5:$A$3004,AH!$U$7+2351),INDEX('AH History'!$A$5:$A$1380,AH!$U$7+2351))),""))</f>
        <v/>
      </c>
      <c r="B2356" s="33">
        <f>IFERROR(IF(AH!$U$11=1,NA(),$J2356/$E2356-1),NA())</f>
        <v/>
      </c>
      <c r="C2356" s="269">
        <f>IFERROR(100*$E2356/$E$5,NA())</f>
        <v/>
      </c>
      <c r="D2356" s="269">
        <f>IFERROR(100*$J2356/$J$5,NA())</f>
        <v/>
      </c>
      <c r="E2356" s="32">
        <f>IFERROR(IF(AND(ISNUMBER($A2356),N(IF(AND(AH!$U$12=1,2351+1=AH!$U$6),IF(AH!$U$4=0,"unavailable",INDEX('Market Data'!$AN$5:$AN$66,AH!$U$4)),IF(AH!$U$5=1,INDEX('Live History'!$B$5:$B$3004,$K2356),INDEX('AH History'!$D$5:$GG$1380,$K2356,AH!$U$10))))&gt;0),IF(AND(AH!$U$12=1,2351+1=AH!$U$6),IF(AH!$U$4=0,"unavailable",INDEX('Market Data'!$AN$5:$AN$66,AH!$U$4)),IF(AH!$U$5=1,INDEX('Live History'!$B$5:$B$3004,$K2356),INDEX('AH History'!$D$5:$GG$1380,$K2356,AH!$U$10))),NA()),NA())</f>
        <v/>
      </c>
      <c r="F2356" s="32">
        <f>IFERROR(IF(ISNUMBER($A2356),IF(AND(AH!$U$12=1,2351+1=AH!$U$6),IF(AH!$U$4=0,"unavailable",INDEX('Market Data'!$AO$5:$AO$66,AH!$U$4)),IF(AH!$U$5=1,INDEX('Live History'!$E$5:$E$3004,MATCH($A2356,'Live History'!$D$5:$D$3004,1)),INDEX('AH History'!$D$5:$GG$1380,$K2356,AH!$U$10+1))),NA()),NA())</f>
        <v/>
      </c>
      <c r="G2356" s="34">
        <f>IFERROR(IF(ISNUMBER($A2356),IF(AND(AH!$U$12=1,2351+1=AH!$U$6),IF(AH!$U$4=0,"unavailable",INDEX('Market Data'!$AK$5:$AK$66,AH!$U$4)),IF(AH!$U$5=1,INDEX('Live History'!$D$5:$D$3004,MATCH($A2356,'Live History'!$D$5:$D$3004,1)),INDEX('AH History'!$D$5:$GG$1380,$K2356,AH!$U$10+2))),NA()),NA())</f>
        <v/>
      </c>
      <c r="H2356" s="266">
        <f>IFERROR(IF(ISNUMBER($A2356),IF(AND(AH!$U$12=1,2351+1=AH!$U$6),IF(AH!$U$4=0,"unavailable",INDEX('Market Data'!$AP$5:$AP$66,AH!$U$4)),IF(AH!$U$5=1,INDEX('Live History'!$H$5:$H$3004,MATCH($A2356,'Live History'!$G$5:$G$3004,1)),INDEX('AH History'!$B$5:$B$1380,$K2356))),NA()),NA())</f>
        <v/>
      </c>
      <c r="I2356" s="34">
        <f>IFERROR(IF(ISNUMBER($A2356),IF(AND(AH!$U$12=1,2351+1=AH!$U$6),TODAY(),IF(AH!$U$5=1,INDEX('Live History'!$G$5:$G$3004,MATCH($A2356,'Live History'!$G$5:$G$3004,1)),INDEX('AH History'!$C$5:$C$1380,$K2356))),NA()),NA())</f>
        <v/>
      </c>
      <c r="J2356" s="32">
        <f>IFERROR(IF(AND($F2356&gt;0,$H2356&gt;0,$A2356-$G2356&lt;=10,$A2356-$I2356&lt;=5,$G2356&gt;0,$I2356&gt;0),$F2356*$H2356,NA()),NA())</f>
        <v/>
      </c>
      <c r="K2356" s="15">
        <f>IF($A2356="","",IF(AH!$U$5=1,IFERROR(MATCH($A2356,'Live History'!$A$5:$A$3004,0),0),AH!$U$7+2351))</f>
        <v/>
      </c>
      <c r="L2356" s="15">
        <f>IF(ISNUMBER(A2356),TEXT(A2356,"dd-mmm-yy"),"")</f>
        <v/>
      </c>
    </row>
    <row r="2357">
      <c r="A2357" s="14">
        <f>IF(OR(AH!$U$4=0,2352+1&gt;AH!$U$6,AND(AH!$M$5="Bloomberg",AH!$U$5=0)),"",IFERROR(IF(AND(AH!$U$12=1,2352+1=AH!$U$6),TODAY(),IF(AH!$U$5=1,INDEX('Live History'!$A$5:$A$3004,AH!$U$7+2352),INDEX('AH History'!$A$5:$A$1380,AH!$U$7+2352))),""))</f>
        <v/>
      </c>
      <c r="B2357" s="33">
        <f>IFERROR(IF(AH!$U$11=1,NA(),$J2357/$E2357-1),NA())</f>
        <v/>
      </c>
      <c r="C2357" s="269">
        <f>IFERROR(100*$E2357/$E$5,NA())</f>
        <v/>
      </c>
      <c r="D2357" s="269">
        <f>IFERROR(100*$J2357/$J$5,NA())</f>
        <v/>
      </c>
      <c r="E2357" s="32">
        <f>IFERROR(IF(AND(ISNUMBER($A2357),N(IF(AND(AH!$U$12=1,2352+1=AH!$U$6),IF(AH!$U$4=0,"unavailable",INDEX('Market Data'!$AN$5:$AN$66,AH!$U$4)),IF(AH!$U$5=1,INDEX('Live History'!$B$5:$B$3004,$K2357),INDEX('AH History'!$D$5:$GG$1380,$K2357,AH!$U$10))))&gt;0),IF(AND(AH!$U$12=1,2352+1=AH!$U$6),IF(AH!$U$4=0,"unavailable",INDEX('Market Data'!$AN$5:$AN$66,AH!$U$4)),IF(AH!$U$5=1,INDEX('Live History'!$B$5:$B$3004,$K2357),INDEX('AH History'!$D$5:$GG$1380,$K2357,AH!$U$10))),NA()),NA())</f>
        <v/>
      </c>
      <c r="F2357" s="32">
        <f>IFERROR(IF(ISNUMBER($A2357),IF(AND(AH!$U$12=1,2352+1=AH!$U$6),IF(AH!$U$4=0,"unavailable",INDEX('Market Data'!$AO$5:$AO$66,AH!$U$4)),IF(AH!$U$5=1,INDEX('Live History'!$E$5:$E$3004,MATCH($A2357,'Live History'!$D$5:$D$3004,1)),INDEX('AH History'!$D$5:$GG$1380,$K2357,AH!$U$10+1))),NA()),NA())</f>
        <v/>
      </c>
      <c r="G2357" s="34">
        <f>IFERROR(IF(ISNUMBER($A2357),IF(AND(AH!$U$12=1,2352+1=AH!$U$6),IF(AH!$U$4=0,"unavailable",INDEX('Market Data'!$AK$5:$AK$66,AH!$U$4)),IF(AH!$U$5=1,INDEX('Live History'!$D$5:$D$3004,MATCH($A2357,'Live History'!$D$5:$D$3004,1)),INDEX('AH History'!$D$5:$GG$1380,$K2357,AH!$U$10+2))),NA()),NA())</f>
        <v/>
      </c>
      <c r="H2357" s="266">
        <f>IFERROR(IF(ISNUMBER($A2357),IF(AND(AH!$U$12=1,2352+1=AH!$U$6),IF(AH!$U$4=0,"unavailable",INDEX('Market Data'!$AP$5:$AP$66,AH!$U$4)),IF(AH!$U$5=1,INDEX('Live History'!$H$5:$H$3004,MATCH($A2357,'Live History'!$G$5:$G$3004,1)),INDEX('AH History'!$B$5:$B$1380,$K2357))),NA()),NA())</f>
        <v/>
      </c>
      <c r="I2357" s="34">
        <f>IFERROR(IF(ISNUMBER($A2357),IF(AND(AH!$U$12=1,2352+1=AH!$U$6),TODAY(),IF(AH!$U$5=1,INDEX('Live History'!$G$5:$G$3004,MATCH($A2357,'Live History'!$G$5:$G$3004,1)),INDEX('AH History'!$C$5:$C$1380,$K2357))),NA()),NA())</f>
        <v/>
      </c>
      <c r="J2357" s="32">
        <f>IFERROR(IF(AND($F2357&gt;0,$H2357&gt;0,$A2357-$G2357&lt;=10,$A2357-$I2357&lt;=5,$G2357&gt;0,$I2357&gt;0),$F2357*$H2357,NA()),NA())</f>
        <v/>
      </c>
      <c r="K2357" s="15">
        <f>IF($A2357="","",IF(AH!$U$5=1,IFERROR(MATCH($A2357,'Live History'!$A$5:$A$3004,0),0),AH!$U$7+2352))</f>
        <v/>
      </c>
      <c r="L2357" s="15">
        <f>IF(ISNUMBER(A2357),TEXT(A2357,"dd-mmm-yy"),"")</f>
        <v/>
      </c>
    </row>
    <row r="2358">
      <c r="A2358" s="14">
        <f>IF(OR(AH!$U$4=0,2353+1&gt;AH!$U$6,AND(AH!$M$5="Bloomberg",AH!$U$5=0)),"",IFERROR(IF(AND(AH!$U$12=1,2353+1=AH!$U$6),TODAY(),IF(AH!$U$5=1,INDEX('Live History'!$A$5:$A$3004,AH!$U$7+2353),INDEX('AH History'!$A$5:$A$1380,AH!$U$7+2353))),""))</f>
        <v/>
      </c>
      <c r="B2358" s="33">
        <f>IFERROR(IF(AH!$U$11=1,NA(),$J2358/$E2358-1),NA())</f>
        <v/>
      </c>
      <c r="C2358" s="269">
        <f>IFERROR(100*$E2358/$E$5,NA())</f>
        <v/>
      </c>
      <c r="D2358" s="269">
        <f>IFERROR(100*$J2358/$J$5,NA())</f>
        <v/>
      </c>
      <c r="E2358" s="32">
        <f>IFERROR(IF(AND(ISNUMBER($A2358),N(IF(AND(AH!$U$12=1,2353+1=AH!$U$6),IF(AH!$U$4=0,"unavailable",INDEX('Market Data'!$AN$5:$AN$66,AH!$U$4)),IF(AH!$U$5=1,INDEX('Live History'!$B$5:$B$3004,$K2358),INDEX('AH History'!$D$5:$GG$1380,$K2358,AH!$U$10))))&gt;0),IF(AND(AH!$U$12=1,2353+1=AH!$U$6),IF(AH!$U$4=0,"unavailable",INDEX('Market Data'!$AN$5:$AN$66,AH!$U$4)),IF(AH!$U$5=1,INDEX('Live History'!$B$5:$B$3004,$K2358),INDEX('AH History'!$D$5:$GG$1380,$K2358,AH!$U$10))),NA()),NA())</f>
        <v/>
      </c>
      <c r="F2358" s="32">
        <f>IFERROR(IF(ISNUMBER($A2358),IF(AND(AH!$U$12=1,2353+1=AH!$U$6),IF(AH!$U$4=0,"unavailable",INDEX('Market Data'!$AO$5:$AO$66,AH!$U$4)),IF(AH!$U$5=1,INDEX('Live History'!$E$5:$E$3004,MATCH($A2358,'Live History'!$D$5:$D$3004,1)),INDEX('AH History'!$D$5:$GG$1380,$K2358,AH!$U$10+1))),NA()),NA())</f>
        <v/>
      </c>
      <c r="G2358" s="34">
        <f>IFERROR(IF(ISNUMBER($A2358),IF(AND(AH!$U$12=1,2353+1=AH!$U$6),IF(AH!$U$4=0,"unavailable",INDEX('Market Data'!$AK$5:$AK$66,AH!$U$4)),IF(AH!$U$5=1,INDEX('Live History'!$D$5:$D$3004,MATCH($A2358,'Live History'!$D$5:$D$3004,1)),INDEX('AH History'!$D$5:$GG$1380,$K2358,AH!$U$10+2))),NA()),NA())</f>
        <v/>
      </c>
      <c r="H2358" s="266">
        <f>IFERROR(IF(ISNUMBER($A2358),IF(AND(AH!$U$12=1,2353+1=AH!$U$6),IF(AH!$U$4=0,"unavailable",INDEX('Market Data'!$AP$5:$AP$66,AH!$U$4)),IF(AH!$U$5=1,INDEX('Live History'!$H$5:$H$3004,MATCH($A2358,'Live History'!$G$5:$G$3004,1)),INDEX('AH History'!$B$5:$B$1380,$K2358))),NA()),NA())</f>
        <v/>
      </c>
      <c r="I2358" s="34">
        <f>IFERROR(IF(ISNUMBER($A2358),IF(AND(AH!$U$12=1,2353+1=AH!$U$6),TODAY(),IF(AH!$U$5=1,INDEX('Live History'!$G$5:$G$3004,MATCH($A2358,'Live History'!$G$5:$G$3004,1)),INDEX('AH History'!$C$5:$C$1380,$K2358))),NA()),NA())</f>
        <v/>
      </c>
      <c r="J2358" s="32">
        <f>IFERROR(IF(AND($F2358&gt;0,$H2358&gt;0,$A2358-$G2358&lt;=10,$A2358-$I2358&lt;=5,$G2358&gt;0,$I2358&gt;0),$F2358*$H2358,NA()),NA())</f>
        <v/>
      </c>
      <c r="K2358" s="15">
        <f>IF($A2358="","",IF(AH!$U$5=1,IFERROR(MATCH($A2358,'Live History'!$A$5:$A$3004,0),0),AH!$U$7+2353))</f>
        <v/>
      </c>
      <c r="L2358" s="15">
        <f>IF(ISNUMBER(A2358),TEXT(A2358,"dd-mmm-yy"),"")</f>
        <v/>
      </c>
    </row>
    <row r="2359">
      <c r="A2359" s="14">
        <f>IF(OR(AH!$U$4=0,2354+1&gt;AH!$U$6,AND(AH!$M$5="Bloomberg",AH!$U$5=0)),"",IFERROR(IF(AND(AH!$U$12=1,2354+1=AH!$U$6),TODAY(),IF(AH!$U$5=1,INDEX('Live History'!$A$5:$A$3004,AH!$U$7+2354),INDEX('AH History'!$A$5:$A$1380,AH!$U$7+2354))),""))</f>
        <v/>
      </c>
      <c r="B2359" s="33">
        <f>IFERROR(IF(AH!$U$11=1,NA(),$J2359/$E2359-1),NA())</f>
        <v/>
      </c>
      <c r="C2359" s="269">
        <f>IFERROR(100*$E2359/$E$5,NA())</f>
        <v/>
      </c>
      <c r="D2359" s="269">
        <f>IFERROR(100*$J2359/$J$5,NA())</f>
        <v/>
      </c>
      <c r="E2359" s="32">
        <f>IFERROR(IF(AND(ISNUMBER($A2359),N(IF(AND(AH!$U$12=1,2354+1=AH!$U$6),IF(AH!$U$4=0,"unavailable",INDEX('Market Data'!$AN$5:$AN$66,AH!$U$4)),IF(AH!$U$5=1,INDEX('Live History'!$B$5:$B$3004,$K2359),INDEX('AH History'!$D$5:$GG$1380,$K2359,AH!$U$10))))&gt;0),IF(AND(AH!$U$12=1,2354+1=AH!$U$6),IF(AH!$U$4=0,"unavailable",INDEX('Market Data'!$AN$5:$AN$66,AH!$U$4)),IF(AH!$U$5=1,INDEX('Live History'!$B$5:$B$3004,$K2359),INDEX('AH History'!$D$5:$GG$1380,$K2359,AH!$U$10))),NA()),NA())</f>
        <v/>
      </c>
      <c r="F2359" s="32">
        <f>IFERROR(IF(ISNUMBER($A2359),IF(AND(AH!$U$12=1,2354+1=AH!$U$6),IF(AH!$U$4=0,"unavailable",INDEX('Market Data'!$AO$5:$AO$66,AH!$U$4)),IF(AH!$U$5=1,INDEX('Live History'!$E$5:$E$3004,MATCH($A2359,'Live History'!$D$5:$D$3004,1)),INDEX('AH History'!$D$5:$GG$1380,$K2359,AH!$U$10+1))),NA()),NA())</f>
        <v/>
      </c>
      <c r="G2359" s="34">
        <f>IFERROR(IF(ISNUMBER($A2359),IF(AND(AH!$U$12=1,2354+1=AH!$U$6),IF(AH!$U$4=0,"unavailable",INDEX('Market Data'!$AK$5:$AK$66,AH!$U$4)),IF(AH!$U$5=1,INDEX('Live History'!$D$5:$D$3004,MATCH($A2359,'Live History'!$D$5:$D$3004,1)),INDEX('AH History'!$D$5:$GG$1380,$K2359,AH!$U$10+2))),NA()),NA())</f>
        <v/>
      </c>
      <c r="H2359" s="266">
        <f>IFERROR(IF(ISNUMBER($A2359),IF(AND(AH!$U$12=1,2354+1=AH!$U$6),IF(AH!$U$4=0,"unavailable",INDEX('Market Data'!$AP$5:$AP$66,AH!$U$4)),IF(AH!$U$5=1,INDEX('Live History'!$H$5:$H$3004,MATCH($A2359,'Live History'!$G$5:$G$3004,1)),INDEX('AH History'!$B$5:$B$1380,$K2359))),NA()),NA())</f>
        <v/>
      </c>
      <c r="I2359" s="34">
        <f>IFERROR(IF(ISNUMBER($A2359),IF(AND(AH!$U$12=1,2354+1=AH!$U$6),TODAY(),IF(AH!$U$5=1,INDEX('Live History'!$G$5:$G$3004,MATCH($A2359,'Live History'!$G$5:$G$3004,1)),INDEX('AH History'!$C$5:$C$1380,$K2359))),NA()),NA())</f>
        <v/>
      </c>
      <c r="J2359" s="32">
        <f>IFERROR(IF(AND($F2359&gt;0,$H2359&gt;0,$A2359-$G2359&lt;=10,$A2359-$I2359&lt;=5,$G2359&gt;0,$I2359&gt;0),$F2359*$H2359,NA()),NA())</f>
        <v/>
      </c>
      <c r="K2359" s="15">
        <f>IF($A2359="","",IF(AH!$U$5=1,IFERROR(MATCH($A2359,'Live History'!$A$5:$A$3004,0),0),AH!$U$7+2354))</f>
        <v/>
      </c>
      <c r="L2359" s="15">
        <f>IF(ISNUMBER(A2359),TEXT(A2359,"dd-mmm-yy"),"")</f>
        <v/>
      </c>
    </row>
    <row r="2360">
      <c r="A2360" s="14">
        <f>IF(OR(AH!$U$4=0,2355+1&gt;AH!$U$6,AND(AH!$M$5="Bloomberg",AH!$U$5=0)),"",IFERROR(IF(AND(AH!$U$12=1,2355+1=AH!$U$6),TODAY(),IF(AH!$U$5=1,INDEX('Live History'!$A$5:$A$3004,AH!$U$7+2355),INDEX('AH History'!$A$5:$A$1380,AH!$U$7+2355))),""))</f>
        <v/>
      </c>
      <c r="B2360" s="33">
        <f>IFERROR(IF(AH!$U$11=1,NA(),$J2360/$E2360-1),NA())</f>
        <v/>
      </c>
      <c r="C2360" s="269">
        <f>IFERROR(100*$E2360/$E$5,NA())</f>
        <v/>
      </c>
      <c r="D2360" s="269">
        <f>IFERROR(100*$J2360/$J$5,NA())</f>
        <v/>
      </c>
      <c r="E2360" s="32">
        <f>IFERROR(IF(AND(ISNUMBER($A2360),N(IF(AND(AH!$U$12=1,2355+1=AH!$U$6),IF(AH!$U$4=0,"unavailable",INDEX('Market Data'!$AN$5:$AN$66,AH!$U$4)),IF(AH!$U$5=1,INDEX('Live History'!$B$5:$B$3004,$K2360),INDEX('AH History'!$D$5:$GG$1380,$K2360,AH!$U$10))))&gt;0),IF(AND(AH!$U$12=1,2355+1=AH!$U$6),IF(AH!$U$4=0,"unavailable",INDEX('Market Data'!$AN$5:$AN$66,AH!$U$4)),IF(AH!$U$5=1,INDEX('Live History'!$B$5:$B$3004,$K2360),INDEX('AH History'!$D$5:$GG$1380,$K2360,AH!$U$10))),NA()),NA())</f>
        <v/>
      </c>
      <c r="F2360" s="32">
        <f>IFERROR(IF(ISNUMBER($A2360),IF(AND(AH!$U$12=1,2355+1=AH!$U$6),IF(AH!$U$4=0,"unavailable",INDEX('Market Data'!$AO$5:$AO$66,AH!$U$4)),IF(AH!$U$5=1,INDEX('Live History'!$E$5:$E$3004,MATCH($A2360,'Live History'!$D$5:$D$3004,1)),INDEX('AH History'!$D$5:$GG$1380,$K2360,AH!$U$10+1))),NA()),NA())</f>
        <v/>
      </c>
      <c r="G2360" s="34">
        <f>IFERROR(IF(ISNUMBER($A2360),IF(AND(AH!$U$12=1,2355+1=AH!$U$6),IF(AH!$U$4=0,"unavailable",INDEX('Market Data'!$AK$5:$AK$66,AH!$U$4)),IF(AH!$U$5=1,INDEX('Live History'!$D$5:$D$3004,MATCH($A2360,'Live History'!$D$5:$D$3004,1)),INDEX('AH History'!$D$5:$GG$1380,$K2360,AH!$U$10+2))),NA()),NA())</f>
        <v/>
      </c>
      <c r="H2360" s="266">
        <f>IFERROR(IF(ISNUMBER($A2360),IF(AND(AH!$U$12=1,2355+1=AH!$U$6),IF(AH!$U$4=0,"unavailable",INDEX('Market Data'!$AP$5:$AP$66,AH!$U$4)),IF(AH!$U$5=1,INDEX('Live History'!$H$5:$H$3004,MATCH($A2360,'Live History'!$G$5:$G$3004,1)),INDEX('AH History'!$B$5:$B$1380,$K2360))),NA()),NA())</f>
        <v/>
      </c>
      <c r="I2360" s="34">
        <f>IFERROR(IF(ISNUMBER($A2360),IF(AND(AH!$U$12=1,2355+1=AH!$U$6),TODAY(),IF(AH!$U$5=1,INDEX('Live History'!$G$5:$G$3004,MATCH($A2360,'Live History'!$G$5:$G$3004,1)),INDEX('AH History'!$C$5:$C$1380,$K2360))),NA()),NA())</f>
        <v/>
      </c>
      <c r="J2360" s="32">
        <f>IFERROR(IF(AND($F2360&gt;0,$H2360&gt;0,$A2360-$G2360&lt;=10,$A2360-$I2360&lt;=5,$G2360&gt;0,$I2360&gt;0),$F2360*$H2360,NA()),NA())</f>
        <v/>
      </c>
      <c r="K2360" s="15">
        <f>IF($A2360="","",IF(AH!$U$5=1,IFERROR(MATCH($A2360,'Live History'!$A$5:$A$3004,0),0),AH!$U$7+2355))</f>
        <v/>
      </c>
      <c r="L2360" s="15">
        <f>IF(ISNUMBER(A2360),TEXT(A2360,"dd-mmm-yy"),"")</f>
        <v/>
      </c>
    </row>
    <row r="2361">
      <c r="A2361" s="14">
        <f>IF(OR(AH!$U$4=0,2356+1&gt;AH!$U$6,AND(AH!$M$5="Bloomberg",AH!$U$5=0)),"",IFERROR(IF(AND(AH!$U$12=1,2356+1=AH!$U$6),TODAY(),IF(AH!$U$5=1,INDEX('Live History'!$A$5:$A$3004,AH!$U$7+2356),INDEX('AH History'!$A$5:$A$1380,AH!$U$7+2356))),""))</f>
        <v/>
      </c>
      <c r="B2361" s="33">
        <f>IFERROR(IF(AH!$U$11=1,NA(),$J2361/$E2361-1),NA())</f>
        <v/>
      </c>
      <c r="C2361" s="269">
        <f>IFERROR(100*$E2361/$E$5,NA())</f>
        <v/>
      </c>
      <c r="D2361" s="269">
        <f>IFERROR(100*$J2361/$J$5,NA())</f>
        <v/>
      </c>
      <c r="E2361" s="32">
        <f>IFERROR(IF(AND(ISNUMBER($A2361),N(IF(AND(AH!$U$12=1,2356+1=AH!$U$6),IF(AH!$U$4=0,"unavailable",INDEX('Market Data'!$AN$5:$AN$66,AH!$U$4)),IF(AH!$U$5=1,INDEX('Live History'!$B$5:$B$3004,$K2361),INDEX('AH History'!$D$5:$GG$1380,$K2361,AH!$U$10))))&gt;0),IF(AND(AH!$U$12=1,2356+1=AH!$U$6),IF(AH!$U$4=0,"unavailable",INDEX('Market Data'!$AN$5:$AN$66,AH!$U$4)),IF(AH!$U$5=1,INDEX('Live History'!$B$5:$B$3004,$K2361),INDEX('AH History'!$D$5:$GG$1380,$K2361,AH!$U$10))),NA()),NA())</f>
        <v/>
      </c>
      <c r="F2361" s="32">
        <f>IFERROR(IF(ISNUMBER($A2361),IF(AND(AH!$U$12=1,2356+1=AH!$U$6),IF(AH!$U$4=0,"unavailable",INDEX('Market Data'!$AO$5:$AO$66,AH!$U$4)),IF(AH!$U$5=1,INDEX('Live History'!$E$5:$E$3004,MATCH($A2361,'Live History'!$D$5:$D$3004,1)),INDEX('AH History'!$D$5:$GG$1380,$K2361,AH!$U$10+1))),NA()),NA())</f>
        <v/>
      </c>
      <c r="G2361" s="34">
        <f>IFERROR(IF(ISNUMBER($A2361),IF(AND(AH!$U$12=1,2356+1=AH!$U$6),IF(AH!$U$4=0,"unavailable",INDEX('Market Data'!$AK$5:$AK$66,AH!$U$4)),IF(AH!$U$5=1,INDEX('Live History'!$D$5:$D$3004,MATCH($A2361,'Live History'!$D$5:$D$3004,1)),INDEX('AH History'!$D$5:$GG$1380,$K2361,AH!$U$10+2))),NA()),NA())</f>
        <v/>
      </c>
      <c r="H2361" s="266">
        <f>IFERROR(IF(ISNUMBER($A2361),IF(AND(AH!$U$12=1,2356+1=AH!$U$6),IF(AH!$U$4=0,"unavailable",INDEX('Market Data'!$AP$5:$AP$66,AH!$U$4)),IF(AH!$U$5=1,INDEX('Live History'!$H$5:$H$3004,MATCH($A2361,'Live History'!$G$5:$G$3004,1)),INDEX('AH History'!$B$5:$B$1380,$K2361))),NA()),NA())</f>
        <v/>
      </c>
      <c r="I2361" s="34">
        <f>IFERROR(IF(ISNUMBER($A2361),IF(AND(AH!$U$12=1,2356+1=AH!$U$6),TODAY(),IF(AH!$U$5=1,INDEX('Live History'!$G$5:$G$3004,MATCH($A2361,'Live History'!$G$5:$G$3004,1)),INDEX('AH History'!$C$5:$C$1380,$K2361))),NA()),NA())</f>
        <v/>
      </c>
      <c r="J2361" s="32">
        <f>IFERROR(IF(AND($F2361&gt;0,$H2361&gt;0,$A2361-$G2361&lt;=10,$A2361-$I2361&lt;=5,$G2361&gt;0,$I2361&gt;0),$F2361*$H2361,NA()),NA())</f>
        <v/>
      </c>
      <c r="K2361" s="15">
        <f>IF($A2361="","",IF(AH!$U$5=1,IFERROR(MATCH($A2361,'Live History'!$A$5:$A$3004,0),0),AH!$U$7+2356))</f>
        <v/>
      </c>
      <c r="L2361" s="15">
        <f>IF(ISNUMBER(A2361),TEXT(A2361,"dd-mmm-yy"),"")</f>
        <v/>
      </c>
    </row>
    <row r="2362">
      <c r="A2362" s="14">
        <f>IF(OR(AH!$U$4=0,2357+1&gt;AH!$U$6,AND(AH!$M$5="Bloomberg",AH!$U$5=0)),"",IFERROR(IF(AND(AH!$U$12=1,2357+1=AH!$U$6),TODAY(),IF(AH!$U$5=1,INDEX('Live History'!$A$5:$A$3004,AH!$U$7+2357),INDEX('AH History'!$A$5:$A$1380,AH!$U$7+2357))),""))</f>
        <v/>
      </c>
      <c r="B2362" s="33">
        <f>IFERROR(IF(AH!$U$11=1,NA(),$J2362/$E2362-1),NA())</f>
        <v/>
      </c>
      <c r="C2362" s="269">
        <f>IFERROR(100*$E2362/$E$5,NA())</f>
        <v/>
      </c>
      <c r="D2362" s="269">
        <f>IFERROR(100*$J2362/$J$5,NA())</f>
        <v/>
      </c>
      <c r="E2362" s="32">
        <f>IFERROR(IF(AND(ISNUMBER($A2362),N(IF(AND(AH!$U$12=1,2357+1=AH!$U$6),IF(AH!$U$4=0,"unavailable",INDEX('Market Data'!$AN$5:$AN$66,AH!$U$4)),IF(AH!$U$5=1,INDEX('Live History'!$B$5:$B$3004,$K2362),INDEX('AH History'!$D$5:$GG$1380,$K2362,AH!$U$10))))&gt;0),IF(AND(AH!$U$12=1,2357+1=AH!$U$6),IF(AH!$U$4=0,"unavailable",INDEX('Market Data'!$AN$5:$AN$66,AH!$U$4)),IF(AH!$U$5=1,INDEX('Live History'!$B$5:$B$3004,$K2362),INDEX('AH History'!$D$5:$GG$1380,$K2362,AH!$U$10))),NA()),NA())</f>
        <v/>
      </c>
      <c r="F2362" s="32">
        <f>IFERROR(IF(ISNUMBER($A2362),IF(AND(AH!$U$12=1,2357+1=AH!$U$6),IF(AH!$U$4=0,"unavailable",INDEX('Market Data'!$AO$5:$AO$66,AH!$U$4)),IF(AH!$U$5=1,INDEX('Live History'!$E$5:$E$3004,MATCH($A2362,'Live History'!$D$5:$D$3004,1)),INDEX('AH History'!$D$5:$GG$1380,$K2362,AH!$U$10+1))),NA()),NA())</f>
        <v/>
      </c>
      <c r="G2362" s="34">
        <f>IFERROR(IF(ISNUMBER($A2362),IF(AND(AH!$U$12=1,2357+1=AH!$U$6),IF(AH!$U$4=0,"unavailable",INDEX('Market Data'!$AK$5:$AK$66,AH!$U$4)),IF(AH!$U$5=1,INDEX('Live History'!$D$5:$D$3004,MATCH($A2362,'Live History'!$D$5:$D$3004,1)),INDEX('AH History'!$D$5:$GG$1380,$K2362,AH!$U$10+2))),NA()),NA())</f>
        <v/>
      </c>
      <c r="H2362" s="266">
        <f>IFERROR(IF(ISNUMBER($A2362),IF(AND(AH!$U$12=1,2357+1=AH!$U$6),IF(AH!$U$4=0,"unavailable",INDEX('Market Data'!$AP$5:$AP$66,AH!$U$4)),IF(AH!$U$5=1,INDEX('Live History'!$H$5:$H$3004,MATCH($A2362,'Live History'!$G$5:$G$3004,1)),INDEX('AH History'!$B$5:$B$1380,$K2362))),NA()),NA())</f>
        <v/>
      </c>
      <c r="I2362" s="34">
        <f>IFERROR(IF(ISNUMBER($A2362),IF(AND(AH!$U$12=1,2357+1=AH!$U$6),TODAY(),IF(AH!$U$5=1,INDEX('Live History'!$G$5:$G$3004,MATCH($A2362,'Live History'!$G$5:$G$3004,1)),INDEX('AH History'!$C$5:$C$1380,$K2362))),NA()),NA())</f>
        <v/>
      </c>
      <c r="J2362" s="32">
        <f>IFERROR(IF(AND($F2362&gt;0,$H2362&gt;0,$A2362-$G2362&lt;=10,$A2362-$I2362&lt;=5,$G2362&gt;0,$I2362&gt;0),$F2362*$H2362,NA()),NA())</f>
        <v/>
      </c>
      <c r="K2362" s="15">
        <f>IF($A2362="","",IF(AH!$U$5=1,IFERROR(MATCH($A2362,'Live History'!$A$5:$A$3004,0),0),AH!$U$7+2357))</f>
        <v/>
      </c>
      <c r="L2362" s="15">
        <f>IF(ISNUMBER(A2362),TEXT(A2362,"dd-mmm-yy"),"")</f>
        <v/>
      </c>
    </row>
    <row r="2363">
      <c r="A2363" s="14">
        <f>IF(OR(AH!$U$4=0,2358+1&gt;AH!$U$6,AND(AH!$M$5="Bloomberg",AH!$U$5=0)),"",IFERROR(IF(AND(AH!$U$12=1,2358+1=AH!$U$6),TODAY(),IF(AH!$U$5=1,INDEX('Live History'!$A$5:$A$3004,AH!$U$7+2358),INDEX('AH History'!$A$5:$A$1380,AH!$U$7+2358))),""))</f>
        <v/>
      </c>
      <c r="B2363" s="33">
        <f>IFERROR(IF(AH!$U$11=1,NA(),$J2363/$E2363-1),NA())</f>
        <v/>
      </c>
      <c r="C2363" s="269">
        <f>IFERROR(100*$E2363/$E$5,NA())</f>
        <v/>
      </c>
      <c r="D2363" s="269">
        <f>IFERROR(100*$J2363/$J$5,NA())</f>
        <v/>
      </c>
      <c r="E2363" s="32">
        <f>IFERROR(IF(AND(ISNUMBER($A2363),N(IF(AND(AH!$U$12=1,2358+1=AH!$U$6),IF(AH!$U$4=0,"unavailable",INDEX('Market Data'!$AN$5:$AN$66,AH!$U$4)),IF(AH!$U$5=1,INDEX('Live History'!$B$5:$B$3004,$K2363),INDEX('AH History'!$D$5:$GG$1380,$K2363,AH!$U$10))))&gt;0),IF(AND(AH!$U$12=1,2358+1=AH!$U$6),IF(AH!$U$4=0,"unavailable",INDEX('Market Data'!$AN$5:$AN$66,AH!$U$4)),IF(AH!$U$5=1,INDEX('Live History'!$B$5:$B$3004,$K2363),INDEX('AH History'!$D$5:$GG$1380,$K2363,AH!$U$10))),NA()),NA())</f>
        <v/>
      </c>
      <c r="F2363" s="32">
        <f>IFERROR(IF(ISNUMBER($A2363),IF(AND(AH!$U$12=1,2358+1=AH!$U$6),IF(AH!$U$4=0,"unavailable",INDEX('Market Data'!$AO$5:$AO$66,AH!$U$4)),IF(AH!$U$5=1,INDEX('Live History'!$E$5:$E$3004,MATCH($A2363,'Live History'!$D$5:$D$3004,1)),INDEX('AH History'!$D$5:$GG$1380,$K2363,AH!$U$10+1))),NA()),NA())</f>
        <v/>
      </c>
      <c r="G2363" s="34">
        <f>IFERROR(IF(ISNUMBER($A2363),IF(AND(AH!$U$12=1,2358+1=AH!$U$6),IF(AH!$U$4=0,"unavailable",INDEX('Market Data'!$AK$5:$AK$66,AH!$U$4)),IF(AH!$U$5=1,INDEX('Live History'!$D$5:$D$3004,MATCH($A2363,'Live History'!$D$5:$D$3004,1)),INDEX('AH History'!$D$5:$GG$1380,$K2363,AH!$U$10+2))),NA()),NA())</f>
        <v/>
      </c>
      <c r="H2363" s="266">
        <f>IFERROR(IF(ISNUMBER($A2363),IF(AND(AH!$U$12=1,2358+1=AH!$U$6),IF(AH!$U$4=0,"unavailable",INDEX('Market Data'!$AP$5:$AP$66,AH!$U$4)),IF(AH!$U$5=1,INDEX('Live History'!$H$5:$H$3004,MATCH($A2363,'Live History'!$G$5:$G$3004,1)),INDEX('AH History'!$B$5:$B$1380,$K2363))),NA()),NA())</f>
        <v/>
      </c>
      <c r="I2363" s="34">
        <f>IFERROR(IF(ISNUMBER($A2363),IF(AND(AH!$U$12=1,2358+1=AH!$U$6),TODAY(),IF(AH!$U$5=1,INDEX('Live History'!$G$5:$G$3004,MATCH($A2363,'Live History'!$G$5:$G$3004,1)),INDEX('AH History'!$C$5:$C$1380,$K2363))),NA()),NA())</f>
        <v/>
      </c>
      <c r="J2363" s="32">
        <f>IFERROR(IF(AND($F2363&gt;0,$H2363&gt;0,$A2363-$G2363&lt;=10,$A2363-$I2363&lt;=5,$G2363&gt;0,$I2363&gt;0),$F2363*$H2363,NA()),NA())</f>
        <v/>
      </c>
      <c r="K2363" s="15">
        <f>IF($A2363="","",IF(AH!$U$5=1,IFERROR(MATCH($A2363,'Live History'!$A$5:$A$3004,0),0),AH!$U$7+2358))</f>
        <v/>
      </c>
      <c r="L2363" s="15">
        <f>IF(ISNUMBER(A2363),TEXT(A2363,"dd-mmm-yy"),"")</f>
        <v/>
      </c>
    </row>
    <row r="2364">
      <c r="A2364" s="14">
        <f>IF(OR(AH!$U$4=0,2359+1&gt;AH!$U$6,AND(AH!$M$5="Bloomberg",AH!$U$5=0)),"",IFERROR(IF(AND(AH!$U$12=1,2359+1=AH!$U$6),TODAY(),IF(AH!$U$5=1,INDEX('Live History'!$A$5:$A$3004,AH!$U$7+2359),INDEX('AH History'!$A$5:$A$1380,AH!$U$7+2359))),""))</f>
        <v/>
      </c>
      <c r="B2364" s="33">
        <f>IFERROR(IF(AH!$U$11=1,NA(),$J2364/$E2364-1),NA())</f>
        <v/>
      </c>
      <c r="C2364" s="269">
        <f>IFERROR(100*$E2364/$E$5,NA())</f>
        <v/>
      </c>
      <c r="D2364" s="269">
        <f>IFERROR(100*$J2364/$J$5,NA())</f>
        <v/>
      </c>
      <c r="E2364" s="32">
        <f>IFERROR(IF(AND(ISNUMBER($A2364),N(IF(AND(AH!$U$12=1,2359+1=AH!$U$6),IF(AH!$U$4=0,"unavailable",INDEX('Market Data'!$AN$5:$AN$66,AH!$U$4)),IF(AH!$U$5=1,INDEX('Live History'!$B$5:$B$3004,$K2364),INDEX('AH History'!$D$5:$GG$1380,$K2364,AH!$U$10))))&gt;0),IF(AND(AH!$U$12=1,2359+1=AH!$U$6),IF(AH!$U$4=0,"unavailable",INDEX('Market Data'!$AN$5:$AN$66,AH!$U$4)),IF(AH!$U$5=1,INDEX('Live History'!$B$5:$B$3004,$K2364),INDEX('AH History'!$D$5:$GG$1380,$K2364,AH!$U$10))),NA()),NA())</f>
        <v/>
      </c>
      <c r="F2364" s="32">
        <f>IFERROR(IF(ISNUMBER($A2364),IF(AND(AH!$U$12=1,2359+1=AH!$U$6),IF(AH!$U$4=0,"unavailable",INDEX('Market Data'!$AO$5:$AO$66,AH!$U$4)),IF(AH!$U$5=1,INDEX('Live History'!$E$5:$E$3004,MATCH($A2364,'Live History'!$D$5:$D$3004,1)),INDEX('AH History'!$D$5:$GG$1380,$K2364,AH!$U$10+1))),NA()),NA())</f>
        <v/>
      </c>
      <c r="G2364" s="34">
        <f>IFERROR(IF(ISNUMBER($A2364),IF(AND(AH!$U$12=1,2359+1=AH!$U$6),IF(AH!$U$4=0,"unavailable",INDEX('Market Data'!$AK$5:$AK$66,AH!$U$4)),IF(AH!$U$5=1,INDEX('Live History'!$D$5:$D$3004,MATCH($A2364,'Live History'!$D$5:$D$3004,1)),INDEX('AH History'!$D$5:$GG$1380,$K2364,AH!$U$10+2))),NA()),NA())</f>
        <v/>
      </c>
      <c r="H2364" s="266">
        <f>IFERROR(IF(ISNUMBER($A2364),IF(AND(AH!$U$12=1,2359+1=AH!$U$6),IF(AH!$U$4=0,"unavailable",INDEX('Market Data'!$AP$5:$AP$66,AH!$U$4)),IF(AH!$U$5=1,INDEX('Live History'!$H$5:$H$3004,MATCH($A2364,'Live History'!$G$5:$G$3004,1)),INDEX('AH History'!$B$5:$B$1380,$K2364))),NA()),NA())</f>
        <v/>
      </c>
      <c r="I2364" s="34">
        <f>IFERROR(IF(ISNUMBER($A2364),IF(AND(AH!$U$12=1,2359+1=AH!$U$6),TODAY(),IF(AH!$U$5=1,INDEX('Live History'!$G$5:$G$3004,MATCH($A2364,'Live History'!$G$5:$G$3004,1)),INDEX('AH History'!$C$5:$C$1380,$K2364))),NA()),NA())</f>
        <v/>
      </c>
      <c r="J2364" s="32">
        <f>IFERROR(IF(AND($F2364&gt;0,$H2364&gt;0,$A2364-$G2364&lt;=10,$A2364-$I2364&lt;=5,$G2364&gt;0,$I2364&gt;0),$F2364*$H2364,NA()),NA())</f>
        <v/>
      </c>
      <c r="K2364" s="15">
        <f>IF($A2364="","",IF(AH!$U$5=1,IFERROR(MATCH($A2364,'Live History'!$A$5:$A$3004,0),0),AH!$U$7+2359))</f>
        <v/>
      </c>
      <c r="L2364" s="15">
        <f>IF(ISNUMBER(A2364),TEXT(A2364,"dd-mmm-yy"),"")</f>
        <v/>
      </c>
    </row>
    <row r="2365">
      <c r="A2365" s="14">
        <f>IF(OR(AH!$U$4=0,2360+1&gt;AH!$U$6,AND(AH!$M$5="Bloomberg",AH!$U$5=0)),"",IFERROR(IF(AND(AH!$U$12=1,2360+1=AH!$U$6),TODAY(),IF(AH!$U$5=1,INDEX('Live History'!$A$5:$A$3004,AH!$U$7+2360),INDEX('AH History'!$A$5:$A$1380,AH!$U$7+2360))),""))</f>
        <v/>
      </c>
      <c r="B2365" s="33">
        <f>IFERROR(IF(AH!$U$11=1,NA(),$J2365/$E2365-1),NA())</f>
        <v/>
      </c>
      <c r="C2365" s="269">
        <f>IFERROR(100*$E2365/$E$5,NA())</f>
        <v/>
      </c>
      <c r="D2365" s="269">
        <f>IFERROR(100*$J2365/$J$5,NA())</f>
        <v/>
      </c>
      <c r="E2365" s="32">
        <f>IFERROR(IF(AND(ISNUMBER($A2365),N(IF(AND(AH!$U$12=1,2360+1=AH!$U$6),IF(AH!$U$4=0,"unavailable",INDEX('Market Data'!$AN$5:$AN$66,AH!$U$4)),IF(AH!$U$5=1,INDEX('Live History'!$B$5:$B$3004,$K2365),INDEX('AH History'!$D$5:$GG$1380,$K2365,AH!$U$10))))&gt;0),IF(AND(AH!$U$12=1,2360+1=AH!$U$6),IF(AH!$U$4=0,"unavailable",INDEX('Market Data'!$AN$5:$AN$66,AH!$U$4)),IF(AH!$U$5=1,INDEX('Live History'!$B$5:$B$3004,$K2365),INDEX('AH History'!$D$5:$GG$1380,$K2365,AH!$U$10))),NA()),NA())</f>
        <v/>
      </c>
      <c r="F2365" s="32">
        <f>IFERROR(IF(ISNUMBER($A2365),IF(AND(AH!$U$12=1,2360+1=AH!$U$6),IF(AH!$U$4=0,"unavailable",INDEX('Market Data'!$AO$5:$AO$66,AH!$U$4)),IF(AH!$U$5=1,INDEX('Live History'!$E$5:$E$3004,MATCH($A2365,'Live History'!$D$5:$D$3004,1)),INDEX('AH History'!$D$5:$GG$1380,$K2365,AH!$U$10+1))),NA()),NA())</f>
        <v/>
      </c>
      <c r="G2365" s="34">
        <f>IFERROR(IF(ISNUMBER($A2365),IF(AND(AH!$U$12=1,2360+1=AH!$U$6),IF(AH!$U$4=0,"unavailable",INDEX('Market Data'!$AK$5:$AK$66,AH!$U$4)),IF(AH!$U$5=1,INDEX('Live History'!$D$5:$D$3004,MATCH($A2365,'Live History'!$D$5:$D$3004,1)),INDEX('AH History'!$D$5:$GG$1380,$K2365,AH!$U$10+2))),NA()),NA())</f>
        <v/>
      </c>
      <c r="H2365" s="266">
        <f>IFERROR(IF(ISNUMBER($A2365),IF(AND(AH!$U$12=1,2360+1=AH!$U$6),IF(AH!$U$4=0,"unavailable",INDEX('Market Data'!$AP$5:$AP$66,AH!$U$4)),IF(AH!$U$5=1,INDEX('Live History'!$H$5:$H$3004,MATCH($A2365,'Live History'!$G$5:$G$3004,1)),INDEX('AH History'!$B$5:$B$1380,$K2365))),NA()),NA())</f>
        <v/>
      </c>
      <c r="I2365" s="34">
        <f>IFERROR(IF(ISNUMBER($A2365),IF(AND(AH!$U$12=1,2360+1=AH!$U$6),TODAY(),IF(AH!$U$5=1,INDEX('Live History'!$G$5:$G$3004,MATCH($A2365,'Live History'!$G$5:$G$3004,1)),INDEX('AH History'!$C$5:$C$1380,$K2365))),NA()),NA())</f>
        <v/>
      </c>
      <c r="J2365" s="32">
        <f>IFERROR(IF(AND($F2365&gt;0,$H2365&gt;0,$A2365-$G2365&lt;=10,$A2365-$I2365&lt;=5,$G2365&gt;0,$I2365&gt;0),$F2365*$H2365,NA()),NA())</f>
        <v/>
      </c>
      <c r="K2365" s="15">
        <f>IF($A2365="","",IF(AH!$U$5=1,IFERROR(MATCH($A2365,'Live History'!$A$5:$A$3004,0),0),AH!$U$7+2360))</f>
        <v/>
      </c>
      <c r="L2365" s="15">
        <f>IF(ISNUMBER(A2365),TEXT(A2365,"dd-mmm-yy"),"")</f>
        <v/>
      </c>
    </row>
    <row r="2366">
      <c r="A2366" s="14">
        <f>IF(OR(AH!$U$4=0,2361+1&gt;AH!$U$6,AND(AH!$M$5="Bloomberg",AH!$U$5=0)),"",IFERROR(IF(AND(AH!$U$12=1,2361+1=AH!$U$6),TODAY(),IF(AH!$U$5=1,INDEX('Live History'!$A$5:$A$3004,AH!$U$7+2361),INDEX('AH History'!$A$5:$A$1380,AH!$U$7+2361))),""))</f>
        <v/>
      </c>
      <c r="B2366" s="33">
        <f>IFERROR(IF(AH!$U$11=1,NA(),$J2366/$E2366-1),NA())</f>
        <v/>
      </c>
      <c r="C2366" s="269">
        <f>IFERROR(100*$E2366/$E$5,NA())</f>
        <v/>
      </c>
      <c r="D2366" s="269">
        <f>IFERROR(100*$J2366/$J$5,NA())</f>
        <v/>
      </c>
      <c r="E2366" s="32">
        <f>IFERROR(IF(AND(ISNUMBER($A2366),N(IF(AND(AH!$U$12=1,2361+1=AH!$U$6),IF(AH!$U$4=0,"unavailable",INDEX('Market Data'!$AN$5:$AN$66,AH!$U$4)),IF(AH!$U$5=1,INDEX('Live History'!$B$5:$B$3004,$K2366),INDEX('AH History'!$D$5:$GG$1380,$K2366,AH!$U$10))))&gt;0),IF(AND(AH!$U$12=1,2361+1=AH!$U$6),IF(AH!$U$4=0,"unavailable",INDEX('Market Data'!$AN$5:$AN$66,AH!$U$4)),IF(AH!$U$5=1,INDEX('Live History'!$B$5:$B$3004,$K2366),INDEX('AH History'!$D$5:$GG$1380,$K2366,AH!$U$10))),NA()),NA())</f>
        <v/>
      </c>
      <c r="F2366" s="32">
        <f>IFERROR(IF(ISNUMBER($A2366),IF(AND(AH!$U$12=1,2361+1=AH!$U$6),IF(AH!$U$4=0,"unavailable",INDEX('Market Data'!$AO$5:$AO$66,AH!$U$4)),IF(AH!$U$5=1,INDEX('Live History'!$E$5:$E$3004,MATCH($A2366,'Live History'!$D$5:$D$3004,1)),INDEX('AH History'!$D$5:$GG$1380,$K2366,AH!$U$10+1))),NA()),NA())</f>
        <v/>
      </c>
      <c r="G2366" s="34">
        <f>IFERROR(IF(ISNUMBER($A2366),IF(AND(AH!$U$12=1,2361+1=AH!$U$6),IF(AH!$U$4=0,"unavailable",INDEX('Market Data'!$AK$5:$AK$66,AH!$U$4)),IF(AH!$U$5=1,INDEX('Live History'!$D$5:$D$3004,MATCH($A2366,'Live History'!$D$5:$D$3004,1)),INDEX('AH History'!$D$5:$GG$1380,$K2366,AH!$U$10+2))),NA()),NA())</f>
        <v/>
      </c>
      <c r="H2366" s="266">
        <f>IFERROR(IF(ISNUMBER($A2366),IF(AND(AH!$U$12=1,2361+1=AH!$U$6),IF(AH!$U$4=0,"unavailable",INDEX('Market Data'!$AP$5:$AP$66,AH!$U$4)),IF(AH!$U$5=1,INDEX('Live History'!$H$5:$H$3004,MATCH($A2366,'Live History'!$G$5:$G$3004,1)),INDEX('AH History'!$B$5:$B$1380,$K2366))),NA()),NA())</f>
        <v/>
      </c>
      <c r="I2366" s="34">
        <f>IFERROR(IF(ISNUMBER($A2366),IF(AND(AH!$U$12=1,2361+1=AH!$U$6),TODAY(),IF(AH!$U$5=1,INDEX('Live History'!$G$5:$G$3004,MATCH($A2366,'Live History'!$G$5:$G$3004,1)),INDEX('AH History'!$C$5:$C$1380,$K2366))),NA()),NA())</f>
        <v/>
      </c>
      <c r="J2366" s="32">
        <f>IFERROR(IF(AND($F2366&gt;0,$H2366&gt;0,$A2366-$G2366&lt;=10,$A2366-$I2366&lt;=5,$G2366&gt;0,$I2366&gt;0),$F2366*$H2366,NA()),NA())</f>
        <v/>
      </c>
      <c r="K2366" s="15">
        <f>IF($A2366="","",IF(AH!$U$5=1,IFERROR(MATCH($A2366,'Live History'!$A$5:$A$3004,0),0),AH!$U$7+2361))</f>
        <v/>
      </c>
      <c r="L2366" s="15">
        <f>IF(ISNUMBER(A2366),TEXT(A2366,"dd-mmm-yy"),"")</f>
        <v/>
      </c>
    </row>
    <row r="2367">
      <c r="A2367" s="14">
        <f>IF(OR(AH!$U$4=0,2362+1&gt;AH!$U$6,AND(AH!$M$5="Bloomberg",AH!$U$5=0)),"",IFERROR(IF(AND(AH!$U$12=1,2362+1=AH!$U$6),TODAY(),IF(AH!$U$5=1,INDEX('Live History'!$A$5:$A$3004,AH!$U$7+2362),INDEX('AH History'!$A$5:$A$1380,AH!$U$7+2362))),""))</f>
        <v/>
      </c>
      <c r="B2367" s="33">
        <f>IFERROR(IF(AH!$U$11=1,NA(),$J2367/$E2367-1),NA())</f>
        <v/>
      </c>
      <c r="C2367" s="269">
        <f>IFERROR(100*$E2367/$E$5,NA())</f>
        <v/>
      </c>
      <c r="D2367" s="269">
        <f>IFERROR(100*$J2367/$J$5,NA())</f>
        <v/>
      </c>
      <c r="E2367" s="32">
        <f>IFERROR(IF(AND(ISNUMBER($A2367),N(IF(AND(AH!$U$12=1,2362+1=AH!$U$6),IF(AH!$U$4=0,"unavailable",INDEX('Market Data'!$AN$5:$AN$66,AH!$U$4)),IF(AH!$U$5=1,INDEX('Live History'!$B$5:$B$3004,$K2367),INDEX('AH History'!$D$5:$GG$1380,$K2367,AH!$U$10))))&gt;0),IF(AND(AH!$U$12=1,2362+1=AH!$U$6),IF(AH!$U$4=0,"unavailable",INDEX('Market Data'!$AN$5:$AN$66,AH!$U$4)),IF(AH!$U$5=1,INDEX('Live History'!$B$5:$B$3004,$K2367),INDEX('AH History'!$D$5:$GG$1380,$K2367,AH!$U$10))),NA()),NA())</f>
        <v/>
      </c>
      <c r="F2367" s="32">
        <f>IFERROR(IF(ISNUMBER($A2367),IF(AND(AH!$U$12=1,2362+1=AH!$U$6),IF(AH!$U$4=0,"unavailable",INDEX('Market Data'!$AO$5:$AO$66,AH!$U$4)),IF(AH!$U$5=1,INDEX('Live History'!$E$5:$E$3004,MATCH($A2367,'Live History'!$D$5:$D$3004,1)),INDEX('AH History'!$D$5:$GG$1380,$K2367,AH!$U$10+1))),NA()),NA())</f>
        <v/>
      </c>
      <c r="G2367" s="34">
        <f>IFERROR(IF(ISNUMBER($A2367),IF(AND(AH!$U$12=1,2362+1=AH!$U$6),IF(AH!$U$4=0,"unavailable",INDEX('Market Data'!$AK$5:$AK$66,AH!$U$4)),IF(AH!$U$5=1,INDEX('Live History'!$D$5:$D$3004,MATCH($A2367,'Live History'!$D$5:$D$3004,1)),INDEX('AH History'!$D$5:$GG$1380,$K2367,AH!$U$10+2))),NA()),NA())</f>
        <v/>
      </c>
      <c r="H2367" s="266">
        <f>IFERROR(IF(ISNUMBER($A2367),IF(AND(AH!$U$12=1,2362+1=AH!$U$6),IF(AH!$U$4=0,"unavailable",INDEX('Market Data'!$AP$5:$AP$66,AH!$U$4)),IF(AH!$U$5=1,INDEX('Live History'!$H$5:$H$3004,MATCH($A2367,'Live History'!$G$5:$G$3004,1)),INDEX('AH History'!$B$5:$B$1380,$K2367))),NA()),NA())</f>
        <v/>
      </c>
      <c r="I2367" s="34">
        <f>IFERROR(IF(ISNUMBER($A2367),IF(AND(AH!$U$12=1,2362+1=AH!$U$6),TODAY(),IF(AH!$U$5=1,INDEX('Live History'!$G$5:$G$3004,MATCH($A2367,'Live History'!$G$5:$G$3004,1)),INDEX('AH History'!$C$5:$C$1380,$K2367))),NA()),NA())</f>
        <v/>
      </c>
      <c r="J2367" s="32">
        <f>IFERROR(IF(AND($F2367&gt;0,$H2367&gt;0,$A2367-$G2367&lt;=10,$A2367-$I2367&lt;=5,$G2367&gt;0,$I2367&gt;0),$F2367*$H2367,NA()),NA())</f>
        <v/>
      </c>
      <c r="K2367" s="15">
        <f>IF($A2367="","",IF(AH!$U$5=1,IFERROR(MATCH($A2367,'Live History'!$A$5:$A$3004,0),0),AH!$U$7+2362))</f>
        <v/>
      </c>
      <c r="L2367" s="15">
        <f>IF(ISNUMBER(A2367),TEXT(A2367,"dd-mmm-yy"),"")</f>
        <v/>
      </c>
    </row>
    <row r="2368">
      <c r="A2368" s="14">
        <f>IF(OR(AH!$U$4=0,2363+1&gt;AH!$U$6,AND(AH!$M$5="Bloomberg",AH!$U$5=0)),"",IFERROR(IF(AND(AH!$U$12=1,2363+1=AH!$U$6),TODAY(),IF(AH!$U$5=1,INDEX('Live History'!$A$5:$A$3004,AH!$U$7+2363),INDEX('AH History'!$A$5:$A$1380,AH!$U$7+2363))),""))</f>
        <v/>
      </c>
      <c r="B2368" s="33">
        <f>IFERROR(IF(AH!$U$11=1,NA(),$J2368/$E2368-1),NA())</f>
        <v/>
      </c>
      <c r="C2368" s="269">
        <f>IFERROR(100*$E2368/$E$5,NA())</f>
        <v/>
      </c>
      <c r="D2368" s="269">
        <f>IFERROR(100*$J2368/$J$5,NA())</f>
        <v/>
      </c>
      <c r="E2368" s="32">
        <f>IFERROR(IF(AND(ISNUMBER($A2368),N(IF(AND(AH!$U$12=1,2363+1=AH!$U$6),IF(AH!$U$4=0,"unavailable",INDEX('Market Data'!$AN$5:$AN$66,AH!$U$4)),IF(AH!$U$5=1,INDEX('Live History'!$B$5:$B$3004,$K2368),INDEX('AH History'!$D$5:$GG$1380,$K2368,AH!$U$10))))&gt;0),IF(AND(AH!$U$12=1,2363+1=AH!$U$6),IF(AH!$U$4=0,"unavailable",INDEX('Market Data'!$AN$5:$AN$66,AH!$U$4)),IF(AH!$U$5=1,INDEX('Live History'!$B$5:$B$3004,$K2368),INDEX('AH History'!$D$5:$GG$1380,$K2368,AH!$U$10))),NA()),NA())</f>
        <v/>
      </c>
      <c r="F2368" s="32">
        <f>IFERROR(IF(ISNUMBER($A2368),IF(AND(AH!$U$12=1,2363+1=AH!$U$6),IF(AH!$U$4=0,"unavailable",INDEX('Market Data'!$AO$5:$AO$66,AH!$U$4)),IF(AH!$U$5=1,INDEX('Live History'!$E$5:$E$3004,MATCH($A2368,'Live History'!$D$5:$D$3004,1)),INDEX('AH History'!$D$5:$GG$1380,$K2368,AH!$U$10+1))),NA()),NA())</f>
        <v/>
      </c>
      <c r="G2368" s="34">
        <f>IFERROR(IF(ISNUMBER($A2368),IF(AND(AH!$U$12=1,2363+1=AH!$U$6),IF(AH!$U$4=0,"unavailable",INDEX('Market Data'!$AK$5:$AK$66,AH!$U$4)),IF(AH!$U$5=1,INDEX('Live History'!$D$5:$D$3004,MATCH($A2368,'Live History'!$D$5:$D$3004,1)),INDEX('AH History'!$D$5:$GG$1380,$K2368,AH!$U$10+2))),NA()),NA())</f>
        <v/>
      </c>
      <c r="H2368" s="266">
        <f>IFERROR(IF(ISNUMBER($A2368),IF(AND(AH!$U$12=1,2363+1=AH!$U$6),IF(AH!$U$4=0,"unavailable",INDEX('Market Data'!$AP$5:$AP$66,AH!$U$4)),IF(AH!$U$5=1,INDEX('Live History'!$H$5:$H$3004,MATCH($A2368,'Live History'!$G$5:$G$3004,1)),INDEX('AH History'!$B$5:$B$1380,$K2368))),NA()),NA())</f>
        <v/>
      </c>
      <c r="I2368" s="34">
        <f>IFERROR(IF(ISNUMBER($A2368),IF(AND(AH!$U$12=1,2363+1=AH!$U$6),TODAY(),IF(AH!$U$5=1,INDEX('Live History'!$G$5:$G$3004,MATCH($A2368,'Live History'!$G$5:$G$3004,1)),INDEX('AH History'!$C$5:$C$1380,$K2368))),NA()),NA())</f>
        <v/>
      </c>
      <c r="J2368" s="32">
        <f>IFERROR(IF(AND($F2368&gt;0,$H2368&gt;0,$A2368-$G2368&lt;=10,$A2368-$I2368&lt;=5,$G2368&gt;0,$I2368&gt;0),$F2368*$H2368,NA()),NA())</f>
        <v/>
      </c>
      <c r="K2368" s="15">
        <f>IF($A2368="","",IF(AH!$U$5=1,IFERROR(MATCH($A2368,'Live History'!$A$5:$A$3004,0),0),AH!$U$7+2363))</f>
        <v/>
      </c>
      <c r="L2368" s="15">
        <f>IF(ISNUMBER(A2368),TEXT(A2368,"dd-mmm-yy"),"")</f>
        <v/>
      </c>
    </row>
    <row r="2369">
      <c r="A2369" s="14">
        <f>IF(OR(AH!$U$4=0,2364+1&gt;AH!$U$6,AND(AH!$M$5="Bloomberg",AH!$U$5=0)),"",IFERROR(IF(AND(AH!$U$12=1,2364+1=AH!$U$6),TODAY(),IF(AH!$U$5=1,INDEX('Live History'!$A$5:$A$3004,AH!$U$7+2364),INDEX('AH History'!$A$5:$A$1380,AH!$U$7+2364))),""))</f>
        <v/>
      </c>
      <c r="B2369" s="33">
        <f>IFERROR(IF(AH!$U$11=1,NA(),$J2369/$E2369-1),NA())</f>
        <v/>
      </c>
      <c r="C2369" s="269">
        <f>IFERROR(100*$E2369/$E$5,NA())</f>
        <v/>
      </c>
      <c r="D2369" s="269">
        <f>IFERROR(100*$J2369/$J$5,NA())</f>
        <v/>
      </c>
      <c r="E2369" s="32">
        <f>IFERROR(IF(AND(ISNUMBER($A2369),N(IF(AND(AH!$U$12=1,2364+1=AH!$U$6),IF(AH!$U$4=0,"unavailable",INDEX('Market Data'!$AN$5:$AN$66,AH!$U$4)),IF(AH!$U$5=1,INDEX('Live History'!$B$5:$B$3004,$K2369),INDEX('AH History'!$D$5:$GG$1380,$K2369,AH!$U$10))))&gt;0),IF(AND(AH!$U$12=1,2364+1=AH!$U$6),IF(AH!$U$4=0,"unavailable",INDEX('Market Data'!$AN$5:$AN$66,AH!$U$4)),IF(AH!$U$5=1,INDEX('Live History'!$B$5:$B$3004,$K2369),INDEX('AH History'!$D$5:$GG$1380,$K2369,AH!$U$10))),NA()),NA())</f>
        <v/>
      </c>
      <c r="F2369" s="32">
        <f>IFERROR(IF(ISNUMBER($A2369),IF(AND(AH!$U$12=1,2364+1=AH!$U$6),IF(AH!$U$4=0,"unavailable",INDEX('Market Data'!$AO$5:$AO$66,AH!$U$4)),IF(AH!$U$5=1,INDEX('Live History'!$E$5:$E$3004,MATCH($A2369,'Live History'!$D$5:$D$3004,1)),INDEX('AH History'!$D$5:$GG$1380,$K2369,AH!$U$10+1))),NA()),NA())</f>
        <v/>
      </c>
      <c r="G2369" s="34">
        <f>IFERROR(IF(ISNUMBER($A2369),IF(AND(AH!$U$12=1,2364+1=AH!$U$6),IF(AH!$U$4=0,"unavailable",INDEX('Market Data'!$AK$5:$AK$66,AH!$U$4)),IF(AH!$U$5=1,INDEX('Live History'!$D$5:$D$3004,MATCH($A2369,'Live History'!$D$5:$D$3004,1)),INDEX('AH History'!$D$5:$GG$1380,$K2369,AH!$U$10+2))),NA()),NA())</f>
        <v/>
      </c>
      <c r="H2369" s="266">
        <f>IFERROR(IF(ISNUMBER($A2369),IF(AND(AH!$U$12=1,2364+1=AH!$U$6),IF(AH!$U$4=0,"unavailable",INDEX('Market Data'!$AP$5:$AP$66,AH!$U$4)),IF(AH!$U$5=1,INDEX('Live History'!$H$5:$H$3004,MATCH($A2369,'Live History'!$G$5:$G$3004,1)),INDEX('AH History'!$B$5:$B$1380,$K2369))),NA()),NA())</f>
        <v/>
      </c>
      <c r="I2369" s="34">
        <f>IFERROR(IF(ISNUMBER($A2369),IF(AND(AH!$U$12=1,2364+1=AH!$U$6),TODAY(),IF(AH!$U$5=1,INDEX('Live History'!$G$5:$G$3004,MATCH($A2369,'Live History'!$G$5:$G$3004,1)),INDEX('AH History'!$C$5:$C$1380,$K2369))),NA()),NA())</f>
        <v/>
      </c>
      <c r="J2369" s="32">
        <f>IFERROR(IF(AND($F2369&gt;0,$H2369&gt;0,$A2369-$G2369&lt;=10,$A2369-$I2369&lt;=5,$G2369&gt;0,$I2369&gt;0),$F2369*$H2369,NA()),NA())</f>
        <v/>
      </c>
      <c r="K2369" s="15">
        <f>IF($A2369="","",IF(AH!$U$5=1,IFERROR(MATCH($A2369,'Live History'!$A$5:$A$3004,0),0),AH!$U$7+2364))</f>
        <v/>
      </c>
      <c r="L2369" s="15">
        <f>IF(ISNUMBER(A2369),TEXT(A2369,"dd-mmm-yy"),"")</f>
        <v/>
      </c>
    </row>
    <row r="2370">
      <c r="A2370" s="14">
        <f>IF(OR(AH!$U$4=0,2365+1&gt;AH!$U$6,AND(AH!$M$5="Bloomberg",AH!$U$5=0)),"",IFERROR(IF(AND(AH!$U$12=1,2365+1=AH!$U$6),TODAY(),IF(AH!$U$5=1,INDEX('Live History'!$A$5:$A$3004,AH!$U$7+2365),INDEX('AH History'!$A$5:$A$1380,AH!$U$7+2365))),""))</f>
        <v/>
      </c>
      <c r="B2370" s="33">
        <f>IFERROR(IF(AH!$U$11=1,NA(),$J2370/$E2370-1),NA())</f>
        <v/>
      </c>
      <c r="C2370" s="269">
        <f>IFERROR(100*$E2370/$E$5,NA())</f>
        <v/>
      </c>
      <c r="D2370" s="269">
        <f>IFERROR(100*$J2370/$J$5,NA())</f>
        <v/>
      </c>
      <c r="E2370" s="32">
        <f>IFERROR(IF(AND(ISNUMBER($A2370),N(IF(AND(AH!$U$12=1,2365+1=AH!$U$6),IF(AH!$U$4=0,"unavailable",INDEX('Market Data'!$AN$5:$AN$66,AH!$U$4)),IF(AH!$U$5=1,INDEX('Live History'!$B$5:$B$3004,$K2370),INDEX('AH History'!$D$5:$GG$1380,$K2370,AH!$U$10))))&gt;0),IF(AND(AH!$U$12=1,2365+1=AH!$U$6),IF(AH!$U$4=0,"unavailable",INDEX('Market Data'!$AN$5:$AN$66,AH!$U$4)),IF(AH!$U$5=1,INDEX('Live History'!$B$5:$B$3004,$K2370),INDEX('AH History'!$D$5:$GG$1380,$K2370,AH!$U$10))),NA()),NA())</f>
        <v/>
      </c>
      <c r="F2370" s="32">
        <f>IFERROR(IF(ISNUMBER($A2370),IF(AND(AH!$U$12=1,2365+1=AH!$U$6),IF(AH!$U$4=0,"unavailable",INDEX('Market Data'!$AO$5:$AO$66,AH!$U$4)),IF(AH!$U$5=1,INDEX('Live History'!$E$5:$E$3004,MATCH($A2370,'Live History'!$D$5:$D$3004,1)),INDEX('AH History'!$D$5:$GG$1380,$K2370,AH!$U$10+1))),NA()),NA())</f>
        <v/>
      </c>
      <c r="G2370" s="34">
        <f>IFERROR(IF(ISNUMBER($A2370),IF(AND(AH!$U$12=1,2365+1=AH!$U$6),IF(AH!$U$4=0,"unavailable",INDEX('Market Data'!$AK$5:$AK$66,AH!$U$4)),IF(AH!$U$5=1,INDEX('Live History'!$D$5:$D$3004,MATCH($A2370,'Live History'!$D$5:$D$3004,1)),INDEX('AH History'!$D$5:$GG$1380,$K2370,AH!$U$10+2))),NA()),NA())</f>
        <v/>
      </c>
      <c r="H2370" s="266">
        <f>IFERROR(IF(ISNUMBER($A2370),IF(AND(AH!$U$12=1,2365+1=AH!$U$6),IF(AH!$U$4=0,"unavailable",INDEX('Market Data'!$AP$5:$AP$66,AH!$U$4)),IF(AH!$U$5=1,INDEX('Live History'!$H$5:$H$3004,MATCH($A2370,'Live History'!$G$5:$G$3004,1)),INDEX('AH History'!$B$5:$B$1380,$K2370))),NA()),NA())</f>
        <v/>
      </c>
      <c r="I2370" s="34">
        <f>IFERROR(IF(ISNUMBER($A2370),IF(AND(AH!$U$12=1,2365+1=AH!$U$6),TODAY(),IF(AH!$U$5=1,INDEX('Live History'!$G$5:$G$3004,MATCH($A2370,'Live History'!$G$5:$G$3004,1)),INDEX('AH History'!$C$5:$C$1380,$K2370))),NA()),NA())</f>
        <v/>
      </c>
      <c r="J2370" s="32">
        <f>IFERROR(IF(AND($F2370&gt;0,$H2370&gt;0,$A2370-$G2370&lt;=10,$A2370-$I2370&lt;=5,$G2370&gt;0,$I2370&gt;0),$F2370*$H2370,NA()),NA())</f>
        <v/>
      </c>
      <c r="K2370" s="15">
        <f>IF($A2370="","",IF(AH!$U$5=1,IFERROR(MATCH($A2370,'Live History'!$A$5:$A$3004,0),0),AH!$U$7+2365))</f>
        <v/>
      </c>
      <c r="L2370" s="15">
        <f>IF(ISNUMBER(A2370),TEXT(A2370,"dd-mmm-yy"),"")</f>
        <v/>
      </c>
    </row>
    <row r="2371">
      <c r="A2371" s="14">
        <f>IF(OR(AH!$U$4=0,2366+1&gt;AH!$U$6,AND(AH!$M$5="Bloomberg",AH!$U$5=0)),"",IFERROR(IF(AND(AH!$U$12=1,2366+1=AH!$U$6),TODAY(),IF(AH!$U$5=1,INDEX('Live History'!$A$5:$A$3004,AH!$U$7+2366),INDEX('AH History'!$A$5:$A$1380,AH!$U$7+2366))),""))</f>
        <v/>
      </c>
      <c r="B2371" s="33">
        <f>IFERROR(IF(AH!$U$11=1,NA(),$J2371/$E2371-1),NA())</f>
        <v/>
      </c>
      <c r="C2371" s="269">
        <f>IFERROR(100*$E2371/$E$5,NA())</f>
        <v/>
      </c>
      <c r="D2371" s="269">
        <f>IFERROR(100*$J2371/$J$5,NA())</f>
        <v/>
      </c>
      <c r="E2371" s="32">
        <f>IFERROR(IF(AND(ISNUMBER($A2371),N(IF(AND(AH!$U$12=1,2366+1=AH!$U$6),IF(AH!$U$4=0,"unavailable",INDEX('Market Data'!$AN$5:$AN$66,AH!$U$4)),IF(AH!$U$5=1,INDEX('Live History'!$B$5:$B$3004,$K2371),INDEX('AH History'!$D$5:$GG$1380,$K2371,AH!$U$10))))&gt;0),IF(AND(AH!$U$12=1,2366+1=AH!$U$6),IF(AH!$U$4=0,"unavailable",INDEX('Market Data'!$AN$5:$AN$66,AH!$U$4)),IF(AH!$U$5=1,INDEX('Live History'!$B$5:$B$3004,$K2371),INDEX('AH History'!$D$5:$GG$1380,$K2371,AH!$U$10))),NA()),NA())</f>
        <v/>
      </c>
      <c r="F2371" s="32">
        <f>IFERROR(IF(ISNUMBER($A2371),IF(AND(AH!$U$12=1,2366+1=AH!$U$6),IF(AH!$U$4=0,"unavailable",INDEX('Market Data'!$AO$5:$AO$66,AH!$U$4)),IF(AH!$U$5=1,INDEX('Live History'!$E$5:$E$3004,MATCH($A2371,'Live History'!$D$5:$D$3004,1)),INDEX('AH History'!$D$5:$GG$1380,$K2371,AH!$U$10+1))),NA()),NA())</f>
        <v/>
      </c>
      <c r="G2371" s="34">
        <f>IFERROR(IF(ISNUMBER($A2371),IF(AND(AH!$U$12=1,2366+1=AH!$U$6),IF(AH!$U$4=0,"unavailable",INDEX('Market Data'!$AK$5:$AK$66,AH!$U$4)),IF(AH!$U$5=1,INDEX('Live History'!$D$5:$D$3004,MATCH($A2371,'Live History'!$D$5:$D$3004,1)),INDEX('AH History'!$D$5:$GG$1380,$K2371,AH!$U$10+2))),NA()),NA())</f>
        <v/>
      </c>
      <c r="H2371" s="266">
        <f>IFERROR(IF(ISNUMBER($A2371),IF(AND(AH!$U$12=1,2366+1=AH!$U$6),IF(AH!$U$4=0,"unavailable",INDEX('Market Data'!$AP$5:$AP$66,AH!$U$4)),IF(AH!$U$5=1,INDEX('Live History'!$H$5:$H$3004,MATCH($A2371,'Live History'!$G$5:$G$3004,1)),INDEX('AH History'!$B$5:$B$1380,$K2371))),NA()),NA())</f>
        <v/>
      </c>
      <c r="I2371" s="34">
        <f>IFERROR(IF(ISNUMBER($A2371),IF(AND(AH!$U$12=1,2366+1=AH!$U$6),TODAY(),IF(AH!$U$5=1,INDEX('Live History'!$G$5:$G$3004,MATCH($A2371,'Live History'!$G$5:$G$3004,1)),INDEX('AH History'!$C$5:$C$1380,$K2371))),NA()),NA())</f>
        <v/>
      </c>
      <c r="J2371" s="32">
        <f>IFERROR(IF(AND($F2371&gt;0,$H2371&gt;0,$A2371-$G2371&lt;=10,$A2371-$I2371&lt;=5,$G2371&gt;0,$I2371&gt;0),$F2371*$H2371,NA()),NA())</f>
        <v/>
      </c>
      <c r="K2371" s="15">
        <f>IF($A2371="","",IF(AH!$U$5=1,IFERROR(MATCH($A2371,'Live History'!$A$5:$A$3004,0),0),AH!$U$7+2366))</f>
        <v/>
      </c>
      <c r="L2371" s="15">
        <f>IF(ISNUMBER(A2371),TEXT(A2371,"dd-mmm-yy"),"")</f>
        <v/>
      </c>
    </row>
    <row r="2372">
      <c r="A2372" s="14">
        <f>IF(OR(AH!$U$4=0,2367+1&gt;AH!$U$6,AND(AH!$M$5="Bloomberg",AH!$U$5=0)),"",IFERROR(IF(AND(AH!$U$12=1,2367+1=AH!$U$6),TODAY(),IF(AH!$U$5=1,INDEX('Live History'!$A$5:$A$3004,AH!$U$7+2367),INDEX('AH History'!$A$5:$A$1380,AH!$U$7+2367))),""))</f>
        <v/>
      </c>
      <c r="B2372" s="33">
        <f>IFERROR(IF(AH!$U$11=1,NA(),$J2372/$E2372-1),NA())</f>
        <v/>
      </c>
      <c r="C2372" s="269">
        <f>IFERROR(100*$E2372/$E$5,NA())</f>
        <v/>
      </c>
      <c r="D2372" s="269">
        <f>IFERROR(100*$J2372/$J$5,NA())</f>
        <v/>
      </c>
      <c r="E2372" s="32">
        <f>IFERROR(IF(AND(ISNUMBER($A2372),N(IF(AND(AH!$U$12=1,2367+1=AH!$U$6),IF(AH!$U$4=0,"unavailable",INDEX('Market Data'!$AN$5:$AN$66,AH!$U$4)),IF(AH!$U$5=1,INDEX('Live History'!$B$5:$B$3004,$K2372),INDEX('AH History'!$D$5:$GG$1380,$K2372,AH!$U$10))))&gt;0),IF(AND(AH!$U$12=1,2367+1=AH!$U$6),IF(AH!$U$4=0,"unavailable",INDEX('Market Data'!$AN$5:$AN$66,AH!$U$4)),IF(AH!$U$5=1,INDEX('Live History'!$B$5:$B$3004,$K2372),INDEX('AH History'!$D$5:$GG$1380,$K2372,AH!$U$10))),NA()),NA())</f>
        <v/>
      </c>
      <c r="F2372" s="32">
        <f>IFERROR(IF(ISNUMBER($A2372),IF(AND(AH!$U$12=1,2367+1=AH!$U$6),IF(AH!$U$4=0,"unavailable",INDEX('Market Data'!$AO$5:$AO$66,AH!$U$4)),IF(AH!$U$5=1,INDEX('Live History'!$E$5:$E$3004,MATCH($A2372,'Live History'!$D$5:$D$3004,1)),INDEX('AH History'!$D$5:$GG$1380,$K2372,AH!$U$10+1))),NA()),NA())</f>
        <v/>
      </c>
      <c r="G2372" s="34">
        <f>IFERROR(IF(ISNUMBER($A2372),IF(AND(AH!$U$12=1,2367+1=AH!$U$6),IF(AH!$U$4=0,"unavailable",INDEX('Market Data'!$AK$5:$AK$66,AH!$U$4)),IF(AH!$U$5=1,INDEX('Live History'!$D$5:$D$3004,MATCH($A2372,'Live History'!$D$5:$D$3004,1)),INDEX('AH History'!$D$5:$GG$1380,$K2372,AH!$U$10+2))),NA()),NA())</f>
        <v/>
      </c>
      <c r="H2372" s="266">
        <f>IFERROR(IF(ISNUMBER($A2372),IF(AND(AH!$U$12=1,2367+1=AH!$U$6),IF(AH!$U$4=0,"unavailable",INDEX('Market Data'!$AP$5:$AP$66,AH!$U$4)),IF(AH!$U$5=1,INDEX('Live History'!$H$5:$H$3004,MATCH($A2372,'Live History'!$G$5:$G$3004,1)),INDEX('AH History'!$B$5:$B$1380,$K2372))),NA()),NA())</f>
        <v/>
      </c>
      <c r="I2372" s="34">
        <f>IFERROR(IF(ISNUMBER($A2372),IF(AND(AH!$U$12=1,2367+1=AH!$U$6),TODAY(),IF(AH!$U$5=1,INDEX('Live History'!$G$5:$G$3004,MATCH($A2372,'Live History'!$G$5:$G$3004,1)),INDEX('AH History'!$C$5:$C$1380,$K2372))),NA()),NA())</f>
        <v/>
      </c>
      <c r="J2372" s="32">
        <f>IFERROR(IF(AND($F2372&gt;0,$H2372&gt;0,$A2372-$G2372&lt;=10,$A2372-$I2372&lt;=5,$G2372&gt;0,$I2372&gt;0),$F2372*$H2372,NA()),NA())</f>
        <v/>
      </c>
      <c r="K2372" s="15">
        <f>IF($A2372="","",IF(AH!$U$5=1,IFERROR(MATCH($A2372,'Live History'!$A$5:$A$3004,0),0),AH!$U$7+2367))</f>
        <v/>
      </c>
      <c r="L2372" s="15">
        <f>IF(ISNUMBER(A2372),TEXT(A2372,"dd-mmm-yy"),"")</f>
        <v/>
      </c>
    </row>
    <row r="2373">
      <c r="A2373" s="14">
        <f>IF(OR(AH!$U$4=0,2368+1&gt;AH!$U$6,AND(AH!$M$5="Bloomberg",AH!$U$5=0)),"",IFERROR(IF(AND(AH!$U$12=1,2368+1=AH!$U$6),TODAY(),IF(AH!$U$5=1,INDEX('Live History'!$A$5:$A$3004,AH!$U$7+2368),INDEX('AH History'!$A$5:$A$1380,AH!$U$7+2368))),""))</f>
        <v/>
      </c>
      <c r="B2373" s="33">
        <f>IFERROR(IF(AH!$U$11=1,NA(),$J2373/$E2373-1),NA())</f>
        <v/>
      </c>
      <c r="C2373" s="269">
        <f>IFERROR(100*$E2373/$E$5,NA())</f>
        <v/>
      </c>
      <c r="D2373" s="269">
        <f>IFERROR(100*$J2373/$J$5,NA())</f>
        <v/>
      </c>
      <c r="E2373" s="32">
        <f>IFERROR(IF(AND(ISNUMBER($A2373),N(IF(AND(AH!$U$12=1,2368+1=AH!$U$6),IF(AH!$U$4=0,"unavailable",INDEX('Market Data'!$AN$5:$AN$66,AH!$U$4)),IF(AH!$U$5=1,INDEX('Live History'!$B$5:$B$3004,$K2373),INDEX('AH History'!$D$5:$GG$1380,$K2373,AH!$U$10))))&gt;0),IF(AND(AH!$U$12=1,2368+1=AH!$U$6),IF(AH!$U$4=0,"unavailable",INDEX('Market Data'!$AN$5:$AN$66,AH!$U$4)),IF(AH!$U$5=1,INDEX('Live History'!$B$5:$B$3004,$K2373),INDEX('AH History'!$D$5:$GG$1380,$K2373,AH!$U$10))),NA()),NA())</f>
        <v/>
      </c>
      <c r="F2373" s="32">
        <f>IFERROR(IF(ISNUMBER($A2373),IF(AND(AH!$U$12=1,2368+1=AH!$U$6),IF(AH!$U$4=0,"unavailable",INDEX('Market Data'!$AO$5:$AO$66,AH!$U$4)),IF(AH!$U$5=1,INDEX('Live History'!$E$5:$E$3004,MATCH($A2373,'Live History'!$D$5:$D$3004,1)),INDEX('AH History'!$D$5:$GG$1380,$K2373,AH!$U$10+1))),NA()),NA())</f>
        <v/>
      </c>
      <c r="G2373" s="34">
        <f>IFERROR(IF(ISNUMBER($A2373),IF(AND(AH!$U$12=1,2368+1=AH!$U$6),IF(AH!$U$4=0,"unavailable",INDEX('Market Data'!$AK$5:$AK$66,AH!$U$4)),IF(AH!$U$5=1,INDEX('Live History'!$D$5:$D$3004,MATCH($A2373,'Live History'!$D$5:$D$3004,1)),INDEX('AH History'!$D$5:$GG$1380,$K2373,AH!$U$10+2))),NA()),NA())</f>
        <v/>
      </c>
      <c r="H2373" s="266">
        <f>IFERROR(IF(ISNUMBER($A2373),IF(AND(AH!$U$12=1,2368+1=AH!$U$6),IF(AH!$U$4=0,"unavailable",INDEX('Market Data'!$AP$5:$AP$66,AH!$U$4)),IF(AH!$U$5=1,INDEX('Live History'!$H$5:$H$3004,MATCH($A2373,'Live History'!$G$5:$G$3004,1)),INDEX('AH History'!$B$5:$B$1380,$K2373))),NA()),NA())</f>
        <v/>
      </c>
      <c r="I2373" s="34">
        <f>IFERROR(IF(ISNUMBER($A2373),IF(AND(AH!$U$12=1,2368+1=AH!$U$6),TODAY(),IF(AH!$U$5=1,INDEX('Live History'!$G$5:$G$3004,MATCH($A2373,'Live History'!$G$5:$G$3004,1)),INDEX('AH History'!$C$5:$C$1380,$K2373))),NA()),NA())</f>
        <v/>
      </c>
      <c r="J2373" s="32">
        <f>IFERROR(IF(AND($F2373&gt;0,$H2373&gt;0,$A2373-$G2373&lt;=10,$A2373-$I2373&lt;=5,$G2373&gt;0,$I2373&gt;0),$F2373*$H2373,NA()),NA())</f>
        <v/>
      </c>
      <c r="K2373" s="15">
        <f>IF($A2373="","",IF(AH!$U$5=1,IFERROR(MATCH($A2373,'Live History'!$A$5:$A$3004,0),0),AH!$U$7+2368))</f>
        <v/>
      </c>
      <c r="L2373" s="15">
        <f>IF(ISNUMBER(A2373),TEXT(A2373,"dd-mmm-yy"),"")</f>
        <v/>
      </c>
    </row>
    <row r="2374">
      <c r="A2374" s="14">
        <f>IF(OR(AH!$U$4=0,2369+1&gt;AH!$U$6,AND(AH!$M$5="Bloomberg",AH!$U$5=0)),"",IFERROR(IF(AND(AH!$U$12=1,2369+1=AH!$U$6),TODAY(),IF(AH!$U$5=1,INDEX('Live History'!$A$5:$A$3004,AH!$U$7+2369),INDEX('AH History'!$A$5:$A$1380,AH!$U$7+2369))),""))</f>
        <v/>
      </c>
      <c r="B2374" s="33">
        <f>IFERROR(IF(AH!$U$11=1,NA(),$J2374/$E2374-1),NA())</f>
        <v/>
      </c>
      <c r="C2374" s="269">
        <f>IFERROR(100*$E2374/$E$5,NA())</f>
        <v/>
      </c>
      <c r="D2374" s="269">
        <f>IFERROR(100*$J2374/$J$5,NA())</f>
        <v/>
      </c>
      <c r="E2374" s="32">
        <f>IFERROR(IF(AND(ISNUMBER($A2374),N(IF(AND(AH!$U$12=1,2369+1=AH!$U$6),IF(AH!$U$4=0,"unavailable",INDEX('Market Data'!$AN$5:$AN$66,AH!$U$4)),IF(AH!$U$5=1,INDEX('Live History'!$B$5:$B$3004,$K2374),INDEX('AH History'!$D$5:$GG$1380,$K2374,AH!$U$10))))&gt;0),IF(AND(AH!$U$12=1,2369+1=AH!$U$6),IF(AH!$U$4=0,"unavailable",INDEX('Market Data'!$AN$5:$AN$66,AH!$U$4)),IF(AH!$U$5=1,INDEX('Live History'!$B$5:$B$3004,$K2374),INDEX('AH History'!$D$5:$GG$1380,$K2374,AH!$U$10))),NA()),NA())</f>
        <v/>
      </c>
      <c r="F2374" s="32">
        <f>IFERROR(IF(ISNUMBER($A2374),IF(AND(AH!$U$12=1,2369+1=AH!$U$6),IF(AH!$U$4=0,"unavailable",INDEX('Market Data'!$AO$5:$AO$66,AH!$U$4)),IF(AH!$U$5=1,INDEX('Live History'!$E$5:$E$3004,MATCH($A2374,'Live History'!$D$5:$D$3004,1)),INDEX('AH History'!$D$5:$GG$1380,$K2374,AH!$U$10+1))),NA()),NA())</f>
        <v/>
      </c>
      <c r="G2374" s="34">
        <f>IFERROR(IF(ISNUMBER($A2374),IF(AND(AH!$U$12=1,2369+1=AH!$U$6),IF(AH!$U$4=0,"unavailable",INDEX('Market Data'!$AK$5:$AK$66,AH!$U$4)),IF(AH!$U$5=1,INDEX('Live History'!$D$5:$D$3004,MATCH($A2374,'Live History'!$D$5:$D$3004,1)),INDEX('AH History'!$D$5:$GG$1380,$K2374,AH!$U$10+2))),NA()),NA())</f>
        <v/>
      </c>
      <c r="H2374" s="266">
        <f>IFERROR(IF(ISNUMBER($A2374),IF(AND(AH!$U$12=1,2369+1=AH!$U$6),IF(AH!$U$4=0,"unavailable",INDEX('Market Data'!$AP$5:$AP$66,AH!$U$4)),IF(AH!$U$5=1,INDEX('Live History'!$H$5:$H$3004,MATCH($A2374,'Live History'!$G$5:$G$3004,1)),INDEX('AH History'!$B$5:$B$1380,$K2374))),NA()),NA())</f>
        <v/>
      </c>
      <c r="I2374" s="34">
        <f>IFERROR(IF(ISNUMBER($A2374),IF(AND(AH!$U$12=1,2369+1=AH!$U$6),TODAY(),IF(AH!$U$5=1,INDEX('Live History'!$G$5:$G$3004,MATCH($A2374,'Live History'!$G$5:$G$3004,1)),INDEX('AH History'!$C$5:$C$1380,$K2374))),NA()),NA())</f>
        <v/>
      </c>
      <c r="J2374" s="32">
        <f>IFERROR(IF(AND($F2374&gt;0,$H2374&gt;0,$A2374-$G2374&lt;=10,$A2374-$I2374&lt;=5,$G2374&gt;0,$I2374&gt;0),$F2374*$H2374,NA()),NA())</f>
        <v/>
      </c>
      <c r="K2374" s="15">
        <f>IF($A2374="","",IF(AH!$U$5=1,IFERROR(MATCH($A2374,'Live History'!$A$5:$A$3004,0),0),AH!$U$7+2369))</f>
        <v/>
      </c>
      <c r="L2374" s="15">
        <f>IF(ISNUMBER(A2374),TEXT(A2374,"dd-mmm-yy"),"")</f>
        <v/>
      </c>
    </row>
    <row r="2375">
      <c r="A2375" s="14">
        <f>IF(OR(AH!$U$4=0,2370+1&gt;AH!$U$6,AND(AH!$M$5="Bloomberg",AH!$U$5=0)),"",IFERROR(IF(AND(AH!$U$12=1,2370+1=AH!$U$6),TODAY(),IF(AH!$U$5=1,INDEX('Live History'!$A$5:$A$3004,AH!$U$7+2370),INDEX('AH History'!$A$5:$A$1380,AH!$U$7+2370))),""))</f>
        <v/>
      </c>
      <c r="B2375" s="33">
        <f>IFERROR(IF(AH!$U$11=1,NA(),$J2375/$E2375-1),NA())</f>
        <v/>
      </c>
      <c r="C2375" s="269">
        <f>IFERROR(100*$E2375/$E$5,NA())</f>
        <v/>
      </c>
      <c r="D2375" s="269">
        <f>IFERROR(100*$J2375/$J$5,NA())</f>
        <v/>
      </c>
      <c r="E2375" s="32">
        <f>IFERROR(IF(AND(ISNUMBER($A2375),N(IF(AND(AH!$U$12=1,2370+1=AH!$U$6),IF(AH!$U$4=0,"unavailable",INDEX('Market Data'!$AN$5:$AN$66,AH!$U$4)),IF(AH!$U$5=1,INDEX('Live History'!$B$5:$B$3004,$K2375),INDEX('AH History'!$D$5:$GG$1380,$K2375,AH!$U$10))))&gt;0),IF(AND(AH!$U$12=1,2370+1=AH!$U$6),IF(AH!$U$4=0,"unavailable",INDEX('Market Data'!$AN$5:$AN$66,AH!$U$4)),IF(AH!$U$5=1,INDEX('Live History'!$B$5:$B$3004,$K2375),INDEX('AH History'!$D$5:$GG$1380,$K2375,AH!$U$10))),NA()),NA())</f>
        <v/>
      </c>
      <c r="F2375" s="32">
        <f>IFERROR(IF(ISNUMBER($A2375),IF(AND(AH!$U$12=1,2370+1=AH!$U$6),IF(AH!$U$4=0,"unavailable",INDEX('Market Data'!$AO$5:$AO$66,AH!$U$4)),IF(AH!$U$5=1,INDEX('Live History'!$E$5:$E$3004,MATCH($A2375,'Live History'!$D$5:$D$3004,1)),INDEX('AH History'!$D$5:$GG$1380,$K2375,AH!$U$10+1))),NA()),NA())</f>
        <v/>
      </c>
      <c r="G2375" s="34">
        <f>IFERROR(IF(ISNUMBER($A2375),IF(AND(AH!$U$12=1,2370+1=AH!$U$6),IF(AH!$U$4=0,"unavailable",INDEX('Market Data'!$AK$5:$AK$66,AH!$U$4)),IF(AH!$U$5=1,INDEX('Live History'!$D$5:$D$3004,MATCH($A2375,'Live History'!$D$5:$D$3004,1)),INDEX('AH History'!$D$5:$GG$1380,$K2375,AH!$U$10+2))),NA()),NA())</f>
        <v/>
      </c>
      <c r="H2375" s="266">
        <f>IFERROR(IF(ISNUMBER($A2375),IF(AND(AH!$U$12=1,2370+1=AH!$U$6),IF(AH!$U$4=0,"unavailable",INDEX('Market Data'!$AP$5:$AP$66,AH!$U$4)),IF(AH!$U$5=1,INDEX('Live History'!$H$5:$H$3004,MATCH($A2375,'Live History'!$G$5:$G$3004,1)),INDEX('AH History'!$B$5:$B$1380,$K2375))),NA()),NA())</f>
        <v/>
      </c>
      <c r="I2375" s="34">
        <f>IFERROR(IF(ISNUMBER($A2375),IF(AND(AH!$U$12=1,2370+1=AH!$U$6),TODAY(),IF(AH!$U$5=1,INDEX('Live History'!$G$5:$G$3004,MATCH($A2375,'Live History'!$G$5:$G$3004,1)),INDEX('AH History'!$C$5:$C$1380,$K2375))),NA()),NA())</f>
        <v/>
      </c>
      <c r="J2375" s="32">
        <f>IFERROR(IF(AND($F2375&gt;0,$H2375&gt;0,$A2375-$G2375&lt;=10,$A2375-$I2375&lt;=5,$G2375&gt;0,$I2375&gt;0),$F2375*$H2375,NA()),NA())</f>
        <v/>
      </c>
      <c r="K2375" s="15">
        <f>IF($A2375="","",IF(AH!$U$5=1,IFERROR(MATCH($A2375,'Live History'!$A$5:$A$3004,0),0),AH!$U$7+2370))</f>
        <v/>
      </c>
      <c r="L2375" s="15">
        <f>IF(ISNUMBER(A2375),TEXT(A2375,"dd-mmm-yy"),"")</f>
        <v/>
      </c>
    </row>
    <row r="2376">
      <c r="A2376" s="14">
        <f>IF(OR(AH!$U$4=0,2371+1&gt;AH!$U$6,AND(AH!$M$5="Bloomberg",AH!$U$5=0)),"",IFERROR(IF(AND(AH!$U$12=1,2371+1=AH!$U$6),TODAY(),IF(AH!$U$5=1,INDEX('Live History'!$A$5:$A$3004,AH!$U$7+2371),INDEX('AH History'!$A$5:$A$1380,AH!$U$7+2371))),""))</f>
        <v/>
      </c>
      <c r="B2376" s="33">
        <f>IFERROR(IF(AH!$U$11=1,NA(),$J2376/$E2376-1),NA())</f>
        <v/>
      </c>
      <c r="C2376" s="269">
        <f>IFERROR(100*$E2376/$E$5,NA())</f>
        <v/>
      </c>
      <c r="D2376" s="269">
        <f>IFERROR(100*$J2376/$J$5,NA())</f>
        <v/>
      </c>
      <c r="E2376" s="32">
        <f>IFERROR(IF(AND(ISNUMBER($A2376),N(IF(AND(AH!$U$12=1,2371+1=AH!$U$6),IF(AH!$U$4=0,"unavailable",INDEX('Market Data'!$AN$5:$AN$66,AH!$U$4)),IF(AH!$U$5=1,INDEX('Live History'!$B$5:$B$3004,$K2376),INDEX('AH History'!$D$5:$GG$1380,$K2376,AH!$U$10))))&gt;0),IF(AND(AH!$U$12=1,2371+1=AH!$U$6),IF(AH!$U$4=0,"unavailable",INDEX('Market Data'!$AN$5:$AN$66,AH!$U$4)),IF(AH!$U$5=1,INDEX('Live History'!$B$5:$B$3004,$K2376),INDEX('AH History'!$D$5:$GG$1380,$K2376,AH!$U$10))),NA()),NA())</f>
        <v/>
      </c>
      <c r="F2376" s="32">
        <f>IFERROR(IF(ISNUMBER($A2376),IF(AND(AH!$U$12=1,2371+1=AH!$U$6),IF(AH!$U$4=0,"unavailable",INDEX('Market Data'!$AO$5:$AO$66,AH!$U$4)),IF(AH!$U$5=1,INDEX('Live History'!$E$5:$E$3004,MATCH($A2376,'Live History'!$D$5:$D$3004,1)),INDEX('AH History'!$D$5:$GG$1380,$K2376,AH!$U$10+1))),NA()),NA())</f>
        <v/>
      </c>
      <c r="G2376" s="34">
        <f>IFERROR(IF(ISNUMBER($A2376),IF(AND(AH!$U$12=1,2371+1=AH!$U$6),IF(AH!$U$4=0,"unavailable",INDEX('Market Data'!$AK$5:$AK$66,AH!$U$4)),IF(AH!$U$5=1,INDEX('Live History'!$D$5:$D$3004,MATCH($A2376,'Live History'!$D$5:$D$3004,1)),INDEX('AH History'!$D$5:$GG$1380,$K2376,AH!$U$10+2))),NA()),NA())</f>
        <v/>
      </c>
      <c r="H2376" s="266">
        <f>IFERROR(IF(ISNUMBER($A2376),IF(AND(AH!$U$12=1,2371+1=AH!$U$6),IF(AH!$U$4=0,"unavailable",INDEX('Market Data'!$AP$5:$AP$66,AH!$U$4)),IF(AH!$U$5=1,INDEX('Live History'!$H$5:$H$3004,MATCH($A2376,'Live History'!$G$5:$G$3004,1)),INDEX('AH History'!$B$5:$B$1380,$K2376))),NA()),NA())</f>
        <v/>
      </c>
      <c r="I2376" s="34">
        <f>IFERROR(IF(ISNUMBER($A2376),IF(AND(AH!$U$12=1,2371+1=AH!$U$6),TODAY(),IF(AH!$U$5=1,INDEX('Live History'!$G$5:$G$3004,MATCH($A2376,'Live History'!$G$5:$G$3004,1)),INDEX('AH History'!$C$5:$C$1380,$K2376))),NA()),NA())</f>
        <v/>
      </c>
      <c r="J2376" s="32">
        <f>IFERROR(IF(AND($F2376&gt;0,$H2376&gt;0,$A2376-$G2376&lt;=10,$A2376-$I2376&lt;=5,$G2376&gt;0,$I2376&gt;0),$F2376*$H2376,NA()),NA())</f>
        <v/>
      </c>
      <c r="K2376" s="15">
        <f>IF($A2376="","",IF(AH!$U$5=1,IFERROR(MATCH($A2376,'Live History'!$A$5:$A$3004,0),0),AH!$U$7+2371))</f>
        <v/>
      </c>
      <c r="L2376" s="15">
        <f>IF(ISNUMBER(A2376),TEXT(A2376,"dd-mmm-yy"),"")</f>
        <v/>
      </c>
    </row>
    <row r="2377">
      <c r="A2377" s="14">
        <f>IF(OR(AH!$U$4=0,2372+1&gt;AH!$U$6,AND(AH!$M$5="Bloomberg",AH!$U$5=0)),"",IFERROR(IF(AND(AH!$U$12=1,2372+1=AH!$U$6),TODAY(),IF(AH!$U$5=1,INDEX('Live History'!$A$5:$A$3004,AH!$U$7+2372),INDEX('AH History'!$A$5:$A$1380,AH!$U$7+2372))),""))</f>
        <v/>
      </c>
      <c r="B2377" s="33">
        <f>IFERROR(IF(AH!$U$11=1,NA(),$J2377/$E2377-1),NA())</f>
        <v/>
      </c>
      <c r="C2377" s="269">
        <f>IFERROR(100*$E2377/$E$5,NA())</f>
        <v/>
      </c>
      <c r="D2377" s="269">
        <f>IFERROR(100*$J2377/$J$5,NA())</f>
        <v/>
      </c>
      <c r="E2377" s="32">
        <f>IFERROR(IF(AND(ISNUMBER($A2377),N(IF(AND(AH!$U$12=1,2372+1=AH!$U$6),IF(AH!$U$4=0,"unavailable",INDEX('Market Data'!$AN$5:$AN$66,AH!$U$4)),IF(AH!$U$5=1,INDEX('Live History'!$B$5:$B$3004,$K2377),INDEX('AH History'!$D$5:$GG$1380,$K2377,AH!$U$10))))&gt;0),IF(AND(AH!$U$12=1,2372+1=AH!$U$6),IF(AH!$U$4=0,"unavailable",INDEX('Market Data'!$AN$5:$AN$66,AH!$U$4)),IF(AH!$U$5=1,INDEX('Live History'!$B$5:$B$3004,$K2377),INDEX('AH History'!$D$5:$GG$1380,$K2377,AH!$U$10))),NA()),NA())</f>
        <v/>
      </c>
      <c r="F2377" s="32">
        <f>IFERROR(IF(ISNUMBER($A2377),IF(AND(AH!$U$12=1,2372+1=AH!$U$6),IF(AH!$U$4=0,"unavailable",INDEX('Market Data'!$AO$5:$AO$66,AH!$U$4)),IF(AH!$U$5=1,INDEX('Live History'!$E$5:$E$3004,MATCH($A2377,'Live History'!$D$5:$D$3004,1)),INDEX('AH History'!$D$5:$GG$1380,$K2377,AH!$U$10+1))),NA()),NA())</f>
        <v/>
      </c>
      <c r="G2377" s="34">
        <f>IFERROR(IF(ISNUMBER($A2377),IF(AND(AH!$U$12=1,2372+1=AH!$U$6),IF(AH!$U$4=0,"unavailable",INDEX('Market Data'!$AK$5:$AK$66,AH!$U$4)),IF(AH!$U$5=1,INDEX('Live History'!$D$5:$D$3004,MATCH($A2377,'Live History'!$D$5:$D$3004,1)),INDEX('AH History'!$D$5:$GG$1380,$K2377,AH!$U$10+2))),NA()),NA())</f>
        <v/>
      </c>
      <c r="H2377" s="266">
        <f>IFERROR(IF(ISNUMBER($A2377),IF(AND(AH!$U$12=1,2372+1=AH!$U$6),IF(AH!$U$4=0,"unavailable",INDEX('Market Data'!$AP$5:$AP$66,AH!$U$4)),IF(AH!$U$5=1,INDEX('Live History'!$H$5:$H$3004,MATCH($A2377,'Live History'!$G$5:$G$3004,1)),INDEX('AH History'!$B$5:$B$1380,$K2377))),NA()),NA())</f>
        <v/>
      </c>
      <c r="I2377" s="34">
        <f>IFERROR(IF(ISNUMBER($A2377),IF(AND(AH!$U$12=1,2372+1=AH!$U$6),TODAY(),IF(AH!$U$5=1,INDEX('Live History'!$G$5:$G$3004,MATCH($A2377,'Live History'!$G$5:$G$3004,1)),INDEX('AH History'!$C$5:$C$1380,$K2377))),NA()),NA())</f>
        <v/>
      </c>
      <c r="J2377" s="32">
        <f>IFERROR(IF(AND($F2377&gt;0,$H2377&gt;0,$A2377-$G2377&lt;=10,$A2377-$I2377&lt;=5,$G2377&gt;0,$I2377&gt;0),$F2377*$H2377,NA()),NA())</f>
        <v/>
      </c>
      <c r="K2377" s="15">
        <f>IF($A2377="","",IF(AH!$U$5=1,IFERROR(MATCH($A2377,'Live History'!$A$5:$A$3004,0),0),AH!$U$7+2372))</f>
        <v/>
      </c>
      <c r="L2377" s="15">
        <f>IF(ISNUMBER(A2377),TEXT(A2377,"dd-mmm-yy"),"")</f>
        <v/>
      </c>
    </row>
    <row r="2378">
      <c r="A2378" s="14">
        <f>IF(OR(AH!$U$4=0,2373+1&gt;AH!$U$6,AND(AH!$M$5="Bloomberg",AH!$U$5=0)),"",IFERROR(IF(AND(AH!$U$12=1,2373+1=AH!$U$6),TODAY(),IF(AH!$U$5=1,INDEX('Live History'!$A$5:$A$3004,AH!$U$7+2373),INDEX('AH History'!$A$5:$A$1380,AH!$U$7+2373))),""))</f>
        <v/>
      </c>
      <c r="B2378" s="33">
        <f>IFERROR(IF(AH!$U$11=1,NA(),$J2378/$E2378-1),NA())</f>
        <v/>
      </c>
      <c r="C2378" s="269">
        <f>IFERROR(100*$E2378/$E$5,NA())</f>
        <v/>
      </c>
      <c r="D2378" s="269">
        <f>IFERROR(100*$J2378/$J$5,NA())</f>
        <v/>
      </c>
      <c r="E2378" s="32">
        <f>IFERROR(IF(AND(ISNUMBER($A2378),N(IF(AND(AH!$U$12=1,2373+1=AH!$U$6),IF(AH!$U$4=0,"unavailable",INDEX('Market Data'!$AN$5:$AN$66,AH!$U$4)),IF(AH!$U$5=1,INDEX('Live History'!$B$5:$B$3004,$K2378),INDEX('AH History'!$D$5:$GG$1380,$K2378,AH!$U$10))))&gt;0),IF(AND(AH!$U$12=1,2373+1=AH!$U$6),IF(AH!$U$4=0,"unavailable",INDEX('Market Data'!$AN$5:$AN$66,AH!$U$4)),IF(AH!$U$5=1,INDEX('Live History'!$B$5:$B$3004,$K2378),INDEX('AH History'!$D$5:$GG$1380,$K2378,AH!$U$10))),NA()),NA())</f>
        <v/>
      </c>
      <c r="F2378" s="32">
        <f>IFERROR(IF(ISNUMBER($A2378),IF(AND(AH!$U$12=1,2373+1=AH!$U$6),IF(AH!$U$4=0,"unavailable",INDEX('Market Data'!$AO$5:$AO$66,AH!$U$4)),IF(AH!$U$5=1,INDEX('Live History'!$E$5:$E$3004,MATCH($A2378,'Live History'!$D$5:$D$3004,1)),INDEX('AH History'!$D$5:$GG$1380,$K2378,AH!$U$10+1))),NA()),NA())</f>
        <v/>
      </c>
      <c r="G2378" s="34">
        <f>IFERROR(IF(ISNUMBER($A2378),IF(AND(AH!$U$12=1,2373+1=AH!$U$6),IF(AH!$U$4=0,"unavailable",INDEX('Market Data'!$AK$5:$AK$66,AH!$U$4)),IF(AH!$U$5=1,INDEX('Live History'!$D$5:$D$3004,MATCH($A2378,'Live History'!$D$5:$D$3004,1)),INDEX('AH History'!$D$5:$GG$1380,$K2378,AH!$U$10+2))),NA()),NA())</f>
        <v/>
      </c>
      <c r="H2378" s="266">
        <f>IFERROR(IF(ISNUMBER($A2378),IF(AND(AH!$U$12=1,2373+1=AH!$U$6),IF(AH!$U$4=0,"unavailable",INDEX('Market Data'!$AP$5:$AP$66,AH!$U$4)),IF(AH!$U$5=1,INDEX('Live History'!$H$5:$H$3004,MATCH($A2378,'Live History'!$G$5:$G$3004,1)),INDEX('AH History'!$B$5:$B$1380,$K2378))),NA()),NA())</f>
        <v/>
      </c>
      <c r="I2378" s="34">
        <f>IFERROR(IF(ISNUMBER($A2378),IF(AND(AH!$U$12=1,2373+1=AH!$U$6),TODAY(),IF(AH!$U$5=1,INDEX('Live History'!$G$5:$G$3004,MATCH($A2378,'Live History'!$G$5:$G$3004,1)),INDEX('AH History'!$C$5:$C$1380,$K2378))),NA()),NA())</f>
        <v/>
      </c>
      <c r="J2378" s="32">
        <f>IFERROR(IF(AND($F2378&gt;0,$H2378&gt;0,$A2378-$G2378&lt;=10,$A2378-$I2378&lt;=5,$G2378&gt;0,$I2378&gt;0),$F2378*$H2378,NA()),NA())</f>
        <v/>
      </c>
      <c r="K2378" s="15">
        <f>IF($A2378="","",IF(AH!$U$5=1,IFERROR(MATCH($A2378,'Live History'!$A$5:$A$3004,0),0),AH!$U$7+2373))</f>
        <v/>
      </c>
      <c r="L2378" s="15">
        <f>IF(ISNUMBER(A2378),TEXT(A2378,"dd-mmm-yy"),"")</f>
        <v/>
      </c>
    </row>
    <row r="2379">
      <c r="A2379" s="14">
        <f>IF(OR(AH!$U$4=0,2374+1&gt;AH!$U$6,AND(AH!$M$5="Bloomberg",AH!$U$5=0)),"",IFERROR(IF(AND(AH!$U$12=1,2374+1=AH!$U$6),TODAY(),IF(AH!$U$5=1,INDEX('Live History'!$A$5:$A$3004,AH!$U$7+2374),INDEX('AH History'!$A$5:$A$1380,AH!$U$7+2374))),""))</f>
        <v/>
      </c>
      <c r="B2379" s="33">
        <f>IFERROR(IF(AH!$U$11=1,NA(),$J2379/$E2379-1),NA())</f>
        <v/>
      </c>
      <c r="C2379" s="269">
        <f>IFERROR(100*$E2379/$E$5,NA())</f>
        <v/>
      </c>
      <c r="D2379" s="269">
        <f>IFERROR(100*$J2379/$J$5,NA())</f>
        <v/>
      </c>
      <c r="E2379" s="32">
        <f>IFERROR(IF(AND(ISNUMBER($A2379),N(IF(AND(AH!$U$12=1,2374+1=AH!$U$6),IF(AH!$U$4=0,"unavailable",INDEX('Market Data'!$AN$5:$AN$66,AH!$U$4)),IF(AH!$U$5=1,INDEX('Live History'!$B$5:$B$3004,$K2379),INDEX('AH History'!$D$5:$GG$1380,$K2379,AH!$U$10))))&gt;0),IF(AND(AH!$U$12=1,2374+1=AH!$U$6),IF(AH!$U$4=0,"unavailable",INDEX('Market Data'!$AN$5:$AN$66,AH!$U$4)),IF(AH!$U$5=1,INDEX('Live History'!$B$5:$B$3004,$K2379),INDEX('AH History'!$D$5:$GG$1380,$K2379,AH!$U$10))),NA()),NA())</f>
        <v/>
      </c>
      <c r="F2379" s="32">
        <f>IFERROR(IF(ISNUMBER($A2379),IF(AND(AH!$U$12=1,2374+1=AH!$U$6),IF(AH!$U$4=0,"unavailable",INDEX('Market Data'!$AO$5:$AO$66,AH!$U$4)),IF(AH!$U$5=1,INDEX('Live History'!$E$5:$E$3004,MATCH($A2379,'Live History'!$D$5:$D$3004,1)),INDEX('AH History'!$D$5:$GG$1380,$K2379,AH!$U$10+1))),NA()),NA())</f>
        <v/>
      </c>
      <c r="G2379" s="34">
        <f>IFERROR(IF(ISNUMBER($A2379),IF(AND(AH!$U$12=1,2374+1=AH!$U$6),IF(AH!$U$4=0,"unavailable",INDEX('Market Data'!$AK$5:$AK$66,AH!$U$4)),IF(AH!$U$5=1,INDEX('Live History'!$D$5:$D$3004,MATCH($A2379,'Live History'!$D$5:$D$3004,1)),INDEX('AH History'!$D$5:$GG$1380,$K2379,AH!$U$10+2))),NA()),NA())</f>
        <v/>
      </c>
      <c r="H2379" s="266">
        <f>IFERROR(IF(ISNUMBER($A2379),IF(AND(AH!$U$12=1,2374+1=AH!$U$6),IF(AH!$U$4=0,"unavailable",INDEX('Market Data'!$AP$5:$AP$66,AH!$U$4)),IF(AH!$U$5=1,INDEX('Live History'!$H$5:$H$3004,MATCH($A2379,'Live History'!$G$5:$G$3004,1)),INDEX('AH History'!$B$5:$B$1380,$K2379))),NA()),NA())</f>
        <v/>
      </c>
      <c r="I2379" s="34">
        <f>IFERROR(IF(ISNUMBER($A2379),IF(AND(AH!$U$12=1,2374+1=AH!$U$6),TODAY(),IF(AH!$U$5=1,INDEX('Live History'!$G$5:$G$3004,MATCH($A2379,'Live History'!$G$5:$G$3004,1)),INDEX('AH History'!$C$5:$C$1380,$K2379))),NA()),NA())</f>
        <v/>
      </c>
      <c r="J2379" s="32">
        <f>IFERROR(IF(AND($F2379&gt;0,$H2379&gt;0,$A2379-$G2379&lt;=10,$A2379-$I2379&lt;=5,$G2379&gt;0,$I2379&gt;0),$F2379*$H2379,NA()),NA())</f>
        <v/>
      </c>
      <c r="K2379" s="15">
        <f>IF($A2379="","",IF(AH!$U$5=1,IFERROR(MATCH($A2379,'Live History'!$A$5:$A$3004,0),0),AH!$U$7+2374))</f>
        <v/>
      </c>
      <c r="L2379" s="15">
        <f>IF(ISNUMBER(A2379),TEXT(A2379,"dd-mmm-yy"),"")</f>
        <v/>
      </c>
    </row>
    <row r="2380">
      <c r="A2380" s="14">
        <f>IF(OR(AH!$U$4=0,2375+1&gt;AH!$U$6,AND(AH!$M$5="Bloomberg",AH!$U$5=0)),"",IFERROR(IF(AND(AH!$U$12=1,2375+1=AH!$U$6),TODAY(),IF(AH!$U$5=1,INDEX('Live History'!$A$5:$A$3004,AH!$U$7+2375),INDEX('AH History'!$A$5:$A$1380,AH!$U$7+2375))),""))</f>
        <v/>
      </c>
      <c r="B2380" s="33">
        <f>IFERROR(IF(AH!$U$11=1,NA(),$J2380/$E2380-1),NA())</f>
        <v/>
      </c>
      <c r="C2380" s="269">
        <f>IFERROR(100*$E2380/$E$5,NA())</f>
        <v/>
      </c>
      <c r="D2380" s="269">
        <f>IFERROR(100*$J2380/$J$5,NA())</f>
        <v/>
      </c>
      <c r="E2380" s="32">
        <f>IFERROR(IF(AND(ISNUMBER($A2380),N(IF(AND(AH!$U$12=1,2375+1=AH!$U$6),IF(AH!$U$4=0,"unavailable",INDEX('Market Data'!$AN$5:$AN$66,AH!$U$4)),IF(AH!$U$5=1,INDEX('Live History'!$B$5:$B$3004,$K2380),INDEX('AH History'!$D$5:$GG$1380,$K2380,AH!$U$10))))&gt;0),IF(AND(AH!$U$12=1,2375+1=AH!$U$6),IF(AH!$U$4=0,"unavailable",INDEX('Market Data'!$AN$5:$AN$66,AH!$U$4)),IF(AH!$U$5=1,INDEX('Live History'!$B$5:$B$3004,$K2380),INDEX('AH History'!$D$5:$GG$1380,$K2380,AH!$U$10))),NA()),NA())</f>
        <v/>
      </c>
      <c r="F2380" s="32">
        <f>IFERROR(IF(ISNUMBER($A2380),IF(AND(AH!$U$12=1,2375+1=AH!$U$6),IF(AH!$U$4=0,"unavailable",INDEX('Market Data'!$AO$5:$AO$66,AH!$U$4)),IF(AH!$U$5=1,INDEX('Live History'!$E$5:$E$3004,MATCH($A2380,'Live History'!$D$5:$D$3004,1)),INDEX('AH History'!$D$5:$GG$1380,$K2380,AH!$U$10+1))),NA()),NA())</f>
        <v/>
      </c>
      <c r="G2380" s="34">
        <f>IFERROR(IF(ISNUMBER($A2380),IF(AND(AH!$U$12=1,2375+1=AH!$U$6),IF(AH!$U$4=0,"unavailable",INDEX('Market Data'!$AK$5:$AK$66,AH!$U$4)),IF(AH!$U$5=1,INDEX('Live History'!$D$5:$D$3004,MATCH($A2380,'Live History'!$D$5:$D$3004,1)),INDEX('AH History'!$D$5:$GG$1380,$K2380,AH!$U$10+2))),NA()),NA())</f>
        <v/>
      </c>
      <c r="H2380" s="266">
        <f>IFERROR(IF(ISNUMBER($A2380),IF(AND(AH!$U$12=1,2375+1=AH!$U$6),IF(AH!$U$4=0,"unavailable",INDEX('Market Data'!$AP$5:$AP$66,AH!$U$4)),IF(AH!$U$5=1,INDEX('Live History'!$H$5:$H$3004,MATCH($A2380,'Live History'!$G$5:$G$3004,1)),INDEX('AH History'!$B$5:$B$1380,$K2380))),NA()),NA())</f>
        <v/>
      </c>
      <c r="I2380" s="34">
        <f>IFERROR(IF(ISNUMBER($A2380),IF(AND(AH!$U$12=1,2375+1=AH!$U$6),TODAY(),IF(AH!$U$5=1,INDEX('Live History'!$G$5:$G$3004,MATCH($A2380,'Live History'!$G$5:$G$3004,1)),INDEX('AH History'!$C$5:$C$1380,$K2380))),NA()),NA())</f>
        <v/>
      </c>
      <c r="J2380" s="32">
        <f>IFERROR(IF(AND($F2380&gt;0,$H2380&gt;0,$A2380-$G2380&lt;=10,$A2380-$I2380&lt;=5,$G2380&gt;0,$I2380&gt;0),$F2380*$H2380,NA()),NA())</f>
        <v/>
      </c>
      <c r="K2380" s="15">
        <f>IF($A2380="","",IF(AH!$U$5=1,IFERROR(MATCH($A2380,'Live History'!$A$5:$A$3004,0),0),AH!$U$7+2375))</f>
        <v/>
      </c>
      <c r="L2380" s="15">
        <f>IF(ISNUMBER(A2380),TEXT(A2380,"dd-mmm-yy"),"")</f>
        <v/>
      </c>
    </row>
    <row r="2381">
      <c r="A2381" s="14">
        <f>IF(OR(AH!$U$4=0,2376+1&gt;AH!$U$6,AND(AH!$M$5="Bloomberg",AH!$U$5=0)),"",IFERROR(IF(AND(AH!$U$12=1,2376+1=AH!$U$6),TODAY(),IF(AH!$U$5=1,INDEX('Live History'!$A$5:$A$3004,AH!$U$7+2376),INDEX('AH History'!$A$5:$A$1380,AH!$U$7+2376))),""))</f>
        <v/>
      </c>
      <c r="B2381" s="33">
        <f>IFERROR(IF(AH!$U$11=1,NA(),$J2381/$E2381-1),NA())</f>
        <v/>
      </c>
      <c r="C2381" s="269">
        <f>IFERROR(100*$E2381/$E$5,NA())</f>
        <v/>
      </c>
      <c r="D2381" s="269">
        <f>IFERROR(100*$J2381/$J$5,NA())</f>
        <v/>
      </c>
      <c r="E2381" s="32">
        <f>IFERROR(IF(AND(ISNUMBER($A2381),N(IF(AND(AH!$U$12=1,2376+1=AH!$U$6),IF(AH!$U$4=0,"unavailable",INDEX('Market Data'!$AN$5:$AN$66,AH!$U$4)),IF(AH!$U$5=1,INDEX('Live History'!$B$5:$B$3004,$K2381),INDEX('AH History'!$D$5:$GG$1380,$K2381,AH!$U$10))))&gt;0),IF(AND(AH!$U$12=1,2376+1=AH!$U$6),IF(AH!$U$4=0,"unavailable",INDEX('Market Data'!$AN$5:$AN$66,AH!$U$4)),IF(AH!$U$5=1,INDEX('Live History'!$B$5:$B$3004,$K2381),INDEX('AH History'!$D$5:$GG$1380,$K2381,AH!$U$10))),NA()),NA())</f>
        <v/>
      </c>
      <c r="F2381" s="32">
        <f>IFERROR(IF(ISNUMBER($A2381),IF(AND(AH!$U$12=1,2376+1=AH!$U$6),IF(AH!$U$4=0,"unavailable",INDEX('Market Data'!$AO$5:$AO$66,AH!$U$4)),IF(AH!$U$5=1,INDEX('Live History'!$E$5:$E$3004,MATCH($A2381,'Live History'!$D$5:$D$3004,1)),INDEX('AH History'!$D$5:$GG$1380,$K2381,AH!$U$10+1))),NA()),NA())</f>
        <v/>
      </c>
      <c r="G2381" s="34">
        <f>IFERROR(IF(ISNUMBER($A2381),IF(AND(AH!$U$12=1,2376+1=AH!$U$6),IF(AH!$U$4=0,"unavailable",INDEX('Market Data'!$AK$5:$AK$66,AH!$U$4)),IF(AH!$U$5=1,INDEX('Live History'!$D$5:$D$3004,MATCH($A2381,'Live History'!$D$5:$D$3004,1)),INDEX('AH History'!$D$5:$GG$1380,$K2381,AH!$U$10+2))),NA()),NA())</f>
        <v/>
      </c>
      <c r="H2381" s="266">
        <f>IFERROR(IF(ISNUMBER($A2381),IF(AND(AH!$U$12=1,2376+1=AH!$U$6),IF(AH!$U$4=0,"unavailable",INDEX('Market Data'!$AP$5:$AP$66,AH!$U$4)),IF(AH!$U$5=1,INDEX('Live History'!$H$5:$H$3004,MATCH($A2381,'Live History'!$G$5:$G$3004,1)),INDEX('AH History'!$B$5:$B$1380,$K2381))),NA()),NA())</f>
        <v/>
      </c>
      <c r="I2381" s="34">
        <f>IFERROR(IF(ISNUMBER($A2381),IF(AND(AH!$U$12=1,2376+1=AH!$U$6),TODAY(),IF(AH!$U$5=1,INDEX('Live History'!$G$5:$G$3004,MATCH($A2381,'Live History'!$G$5:$G$3004,1)),INDEX('AH History'!$C$5:$C$1380,$K2381))),NA()),NA())</f>
        <v/>
      </c>
      <c r="J2381" s="32">
        <f>IFERROR(IF(AND($F2381&gt;0,$H2381&gt;0,$A2381-$G2381&lt;=10,$A2381-$I2381&lt;=5,$G2381&gt;0,$I2381&gt;0),$F2381*$H2381,NA()),NA())</f>
        <v/>
      </c>
      <c r="K2381" s="15">
        <f>IF($A2381="","",IF(AH!$U$5=1,IFERROR(MATCH($A2381,'Live History'!$A$5:$A$3004,0),0),AH!$U$7+2376))</f>
        <v/>
      </c>
      <c r="L2381" s="15">
        <f>IF(ISNUMBER(A2381),TEXT(A2381,"dd-mmm-yy"),"")</f>
        <v/>
      </c>
    </row>
    <row r="2382">
      <c r="A2382" s="14">
        <f>IF(OR(AH!$U$4=0,2377+1&gt;AH!$U$6,AND(AH!$M$5="Bloomberg",AH!$U$5=0)),"",IFERROR(IF(AND(AH!$U$12=1,2377+1=AH!$U$6),TODAY(),IF(AH!$U$5=1,INDEX('Live History'!$A$5:$A$3004,AH!$U$7+2377),INDEX('AH History'!$A$5:$A$1380,AH!$U$7+2377))),""))</f>
        <v/>
      </c>
      <c r="B2382" s="33">
        <f>IFERROR(IF(AH!$U$11=1,NA(),$J2382/$E2382-1),NA())</f>
        <v/>
      </c>
      <c r="C2382" s="269">
        <f>IFERROR(100*$E2382/$E$5,NA())</f>
        <v/>
      </c>
      <c r="D2382" s="269">
        <f>IFERROR(100*$J2382/$J$5,NA())</f>
        <v/>
      </c>
      <c r="E2382" s="32">
        <f>IFERROR(IF(AND(ISNUMBER($A2382),N(IF(AND(AH!$U$12=1,2377+1=AH!$U$6),IF(AH!$U$4=0,"unavailable",INDEX('Market Data'!$AN$5:$AN$66,AH!$U$4)),IF(AH!$U$5=1,INDEX('Live History'!$B$5:$B$3004,$K2382),INDEX('AH History'!$D$5:$GG$1380,$K2382,AH!$U$10))))&gt;0),IF(AND(AH!$U$12=1,2377+1=AH!$U$6),IF(AH!$U$4=0,"unavailable",INDEX('Market Data'!$AN$5:$AN$66,AH!$U$4)),IF(AH!$U$5=1,INDEX('Live History'!$B$5:$B$3004,$K2382),INDEX('AH History'!$D$5:$GG$1380,$K2382,AH!$U$10))),NA()),NA())</f>
        <v/>
      </c>
      <c r="F2382" s="32">
        <f>IFERROR(IF(ISNUMBER($A2382),IF(AND(AH!$U$12=1,2377+1=AH!$U$6),IF(AH!$U$4=0,"unavailable",INDEX('Market Data'!$AO$5:$AO$66,AH!$U$4)),IF(AH!$U$5=1,INDEX('Live History'!$E$5:$E$3004,MATCH($A2382,'Live History'!$D$5:$D$3004,1)),INDEX('AH History'!$D$5:$GG$1380,$K2382,AH!$U$10+1))),NA()),NA())</f>
        <v/>
      </c>
      <c r="G2382" s="34">
        <f>IFERROR(IF(ISNUMBER($A2382),IF(AND(AH!$U$12=1,2377+1=AH!$U$6),IF(AH!$U$4=0,"unavailable",INDEX('Market Data'!$AK$5:$AK$66,AH!$U$4)),IF(AH!$U$5=1,INDEX('Live History'!$D$5:$D$3004,MATCH($A2382,'Live History'!$D$5:$D$3004,1)),INDEX('AH History'!$D$5:$GG$1380,$K2382,AH!$U$10+2))),NA()),NA())</f>
        <v/>
      </c>
      <c r="H2382" s="266">
        <f>IFERROR(IF(ISNUMBER($A2382),IF(AND(AH!$U$12=1,2377+1=AH!$U$6),IF(AH!$U$4=0,"unavailable",INDEX('Market Data'!$AP$5:$AP$66,AH!$U$4)),IF(AH!$U$5=1,INDEX('Live History'!$H$5:$H$3004,MATCH($A2382,'Live History'!$G$5:$G$3004,1)),INDEX('AH History'!$B$5:$B$1380,$K2382))),NA()),NA())</f>
        <v/>
      </c>
      <c r="I2382" s="34">
        <f>IFERROR(IF(ISNUMBER($A2382),IF(AND(AH!$U$12=1,2377+1=AH!$U$6),TODAY(),IF(AH!$U$5=1,INDEX('Live History'!$G$5:$G$3004,MATCH($A2382,'Live History'!$G$5:$G$3004,1)),INDEX('AH History'!$C$5:$C$1380,$K2382))),NA()),NA())</f>
        <v/>
      </c>
      <c r="J2382" s="32">
        <f>IFERROR(IF(AND($F2382&gt;0,$H2382&gt;0,$A2382-$G2382&lt;=10,$A2382-$I2382&lt;=5,$G2382&gt;0,$I2382&gt;0),$F2382*$H2382,NA()),NA())</f>
        <v/>
      </c>
      <c r="K2382" s="15">
        <f>IF($A2382="","",IF(AH!$U$5=1,IFERROR(MATCH($A2382,'Live History'!$A$5:$A$3004,0),0),AH!$U$7+2377))</f>
        <v/>
      </c>
      <c r="L2382" s="15">
        <f>IF(ISNUMBER(A2382),TEXT(A2382,"dd-mmm-yy"),"")</f>
        <v/>
      </c>
    </row>
    <row r="2383">
      <c r="A2383" s="14">
        <f>IF(OR(AH!$U$4=0,2378+1&gt;AH!$U$6,AND(AH!$M$5="Bloomberg",AH!$U$5=0)),"",IFERROR(IF(AND(AH!$U$12=1,2378+1=AH!$U$6),TODAY(),IF(AH!$U$5=1,INDEX('Live History'!$A$5:$A$3004,AH!$U$7+2378),INDEX('AH History'!$A$5:$A$1380,AH!$U$7+2378))),""))</f>
        <v/>
      </c>
      <c r="B2383" s="33">
        <f>IFERROR(IF(AH!$U$11=1,NA(),$J2383/$E2383-1),NA())</f>
        <v/>
      </c>
      <c r="C2383" s="269">
        <f>IFERROR(100*$E2383/$E$5,NA())</f>
        <v/>
      </c>
      <c r="D2383" s="269">
        <f>IFERROR(100*$J2383/$J$5,NA())</f>
        <v/>
      </c>
      <c r="E2383" s="32">
        <f>IFERROR(IF(AND(ISNUMBER($A2383),N(IF(AND(AH!$U$12=1,2378+1=AH!$U$6),IF(AH!$U$4=0,"unavailable",INDEX('Market Data'!$AN$5:$AN$66,AH!$U$4)),IF(AH!$U$5=1,INDEX('Live History'!$B$5:$B$3004,$K2383),INDEX('AH History'!$D$5:$GG$1380,$K2383,AH!$U$10))))&gt;0),IF(AND(AH!$U$12=1,2378+1=AH!$U$6),IF(AH!$U$4=0,"unavailable",INDEX('Market Data'!$AN$5:$AN$66,AH!$U$4)),IF(AH!$U$5=1,INDEX('Live History'!$B$5:$B$3004,$K2383),INDEX('AH History'!$D$5:$GG$1380,$K2383,AH!$U$10))),NA()),NA())</f>
        <v/>
      </c>
      <c r="F2383" s="32">
        <f>IFERROR(IF(ISNUMBER($A2383),IF(AND(AH!$U$12=1,2378+1=AH!$U$6),IF(AH!$U$4=0,"unavailable",INDEX('Market Data'!$AO$5:$AO$66,AH!$U$4)),IF(AH!$U$5=1,INDEX('Live History'!$E$5:$E$3004,MATCH($A2383,'Live History'!$D$5:$D$3004,1)),INDEX('AH History'!$D$5:$GG$1380,$K2383,AH!$U$10+1))),NA()),NA())</f>
        <v/>
      </c>
      <c r="G2383" s="34">
        <f>IFERROR(IF(ISNUMBER($A2383),IF(AND(AH!$U$12=1,2378+1=AH!$U$6),IF(AH!$U$4=0,"unavailable",INDEX('Market Data'!$AK$5:$AK$66,AH!$U$4)),IF(AH!$U$5=1,INDEX('Live History'!$D$5:$D$3004,MATCH($A2383,'Live History'!$D$5:$D$3004,1)),INDEX('AH History'!$D$5:$GG$1380,$K2383,AH!$U$10+2))),NA()),NA())</f>
        <v/>
      </c>
      <c r="H2383" s="266">
        <f>IFERROR(IF(ISNUMBER($A2383),IF(AND(AH!$U$12=1,2378+1=AH!$U$6),IF(AH!$U$4=0,"unavailable",INDEX('Market Data'!$AP$5:$AP$66,AH!$U$4)),IF(AH!$U$5=1,INDEX('Live History'!$H$5:$H$3004,MATCH($A2383,'Live History'!$G$5:$G$3004,1)),INDEX('AH History'!$B$5:$B$1380,$K2383))),NA()),NA())</f>
        <v/>
      </c>
      <c r="I2383" s="34">
        <f>IFERROR(IF(ISNUMBER($A2383),IF(AND(AH!$U$12=1,2378+1=AH!$U$6),TODAY(),IF(AH!$U$5=1,INDEX('Live History'!$G$5:$G$3004,MATCH($A2383,'Live History'!$G$5:$G$3004,1)),INDEX('AH History'!$C$5:$C$1380,$K2383))),NA()),NA())</f>
        <v/>
      </c>
      <c r="J2383" s="32">
        <f>IFERROR(IF(AND($F2383&gt;0,$H2383&gt;0,$A2383-$G2383&lt;=10,$A2383-$I2383&lt;=5,$G2383&gt;0,$I2383&gt;0),$F2383*$H2383,NA()),NA())</f>
        <v/>
      </c>
      <c r="K2383" s="15">
        <f>IF($A2383="","",IF(AH!$U$5=1,IFERROR(MATCH($A2383,'Live History'!$A$5:$A$3004,0),0),AH!$U$7+2378))</f>
        <v/>
      </c>
      <c r="L2383" s="15">
        <f>IF(ISNUMBER(A2383),TEXT(A2383,"dd-mmm-yy"),"")</f>
        <v/>
      </c>
    </row>
    <row r="2384">
      <c r="A2384" s="14">
        <f>IF(OR(AH!$U$4=0,2379+1&gt;AH!$U$6,AND(AH!$M$5="Bloomberg",AH!$U$5=0)),"",IFERROR(IF(AND(AH!$U$12=1,2379+1=AH!$U$6),TODAY(),IF(AH!$U$5=1,INDEX('Live History'!$A$5:$A$3004,AH!$U$7+2379),INDEX('AH History'!$A$5:$A$1380,AH!$U$7+2379))),""))</f>
        <v/>
      </c>
      <c r="B2384" s="33">
        <f>IFERROR(IF(AH!$U$11=1,NA(),$J2384/$E2384-1),NA())</f>
        <v/>
      </c>
      <c r="C2384" s="269">
        <f>IFERROR(100*$E2384/$E$5,NA())</f>
        <v/>
      </c>
      <c r="D2384" s="269">
        <f>IFERROR(100*$J2384/$J$5,NA())</f>
        <v/>
      </c>
      <c r="E2384" s="32">
        <f>IFERROR(IF(AND(ISNUMBER($A2384),N(IF(AND(AH!$U$12=1,2379+1=AH!$U$6),IF(AH!$U$4=0,"unavailable",INDEX('Market Data'!$AN$5:$AN$66,AH!$U$4)),IF(AH!$U$5=1,INDEX('Live History'!$B$5:$B$3004,$K2384),INDEX('AH History'!$D$5:$GG$1380,$K2384,AH!$U$10))))&gt;0),IF(AND(AH!$U$12=1,2379+1=AH!$U$6),IF(AH!$U$4=0,"unavailable",INDEX('Market Data'!$AN$5:$AN$66,AH!$U$4)),IF(AH!$U$5=1,INDEX('Live History'!$B$5:$B$3004,$K2384),INDEX('AH History'!$D$5:$GG$1380,$K2384,AH!$U$10))),NA()),NA())</f>
        <v/>
      </c>
      <c r="F2384" s="32">
        <f>IFERROR(IF(ISNUMBER($A2384),IF(AND(AH!$U$12=1,2379+1=AH!$U$6),IF(AH!$U$4=0,"unavailable",INDEX('Market Data'!$AO$5:$AO$66,AH!$U$4)),IF(AH!$U$5=1,INDEX('Live History'!$E$5:$E$3004,MATCH($A2384,'Live History'!$D$5:$D$3004,1)),INDEX('AH History'!$D$5:$GG$1380,$K2384,AH!$U$10+1))),NA()),NA())</f>
        <v/>
      </c>
      <c r="G2384" s="34">
        <f>IFERROR(IF(ISNUMBER($A2384),IF(AND(AH!$U$12=1,2379+1=AH!$U$6),IF(AH!$U$4=0,"unavailable",INDEX('Market Data'!$AK$5:$AK$66,AH!$U$4)),IF(AH!$U$5=1,INDEX('Live History'!$D$5:$D$3004,MATCH($A2384,'Live History'!$D$5:$D$3004,1)),INDEX('AH History'!$D$5:$GG$1380,$K2384,AH!$U$10+2))),NA()),NA())</f>
        <v/>
      </c>
      <c r="H2384" s="266">
        <f>IFERROR(IF(ISNUMBER($A2384),IF(AND(AH!$U$12=1,2379+1=AH!$U$6),IF(AH!$U$4=0,"unavailable",INDEX('Market Data'!$AP$5:$AP$66,AH!$U$4)),IF(AH!$U$5=1,INDEX('Live History'!$H$5:$H$3004,MATCH($A2384,'Live History'!$G$5:$G$3004,1)),INDEX('AH History'!$B$5:$B$1380,$K2384))),NA()),NA())</f>
        <v/>
      </c>
      <c r="I2384" s="34">
        <f>IFERROR(IF(ISNUMBER($A2384),IF(AND(AH!$U$12=1,2379+1=AH!$U$6),TODAY(),IF(AH!$U$5=1,INDEX('Live History'!$G$5:$G$3004,MATCH($A2384,'Live History'!$G$5:$G$3004,1)),INDEX('AH History'!$C$5:$C$1380,$K2384))),NA()),NA())</f>
        <v/>
      </c>
      <c r="J2384" s="32">
        <f>IFERROR(IF(AND($F2384&gt;0,$H2384&gt;0,$A2384-$G2384&lt;=10,$A2384-$I2384&lt;=5,$G2384&gt;0,$I2384&gt;0),$F2384*$H2384,NA()),NA())</f>
        <v/>
      </c>
      <c r="K2384" s="15">
        <f>IF($A2384="","",IF(AH!$U$5=1,IFERROR(MATCH($A2384,'Live History'!$A$5:$A$3004,0),0),AH!$U$7+2379))</f>
        <v/>
      </c>
      <c r="L2384" s="15">
        <f>IF(ISNUMBER(A2384),TEXT(A2384,"dd-mmm-yy"),"")</f>
        <v/>
      </c>
    </row>
    <row r="2385">
      <c r="A2385" s="14">
        <f>IF(OR(AH!$U$4=0,2380+1&gt;AH!$U$6,AND(AH!$M$5="Bloomberg",AH!$U$5=0)),"",IFERROR(IF(AND(AH!$U$12=1,2380+1=AH!$U$6),TODAY(),IF(AH!$U$5=1,INDEX('Live History'!$A$5:$A$3004,AH!$U$7+2380),INDEX('AH History'!$A$5:$A$1380,AH!$U$7+2380))),""))</f>
        <v/>
      </c>
      <c r="B2385" s="33">
        <f>IFERROR(IF(AH!$U$11=1,NA(),$J2385/$E2385-1),NA())</f>
        <v/>
      </c>
      <c r="C2385" s="269">
        <f>IFERROR(100*$E2385/$E$5,NA())</f>
        <v/>
      </c>
      <c r="D2385" s="269">
        <f>IFERROR(100*$J2385/$J$5,NA())</f>
        <v/>
      </c>
      <c r="E2385" s="32">
        <f>IFERROR(IF(AND(ISNUMBER($A2385),N(IF(AND(AH!$U$12=1,2380+1=AH!$U$6),IF(AH!$U$4=0,"unavailable",INDEX('Market Data'!$AN$5:$AN$66,AH!$U$4)),IF(AH!$U$5=1,INDEX('Live History'!$B$5:$B$3004,$K2385),INDEX('AH History'!$D$5:$GG$1380,$K2385,AH!$U$10))))&gt;0),IF(AND(AH!$U$12=1,2380+1=AH!$U$6),IF(AH!$U$4=0,"unavailable",INDEX('Market Data'!$AN$5:$AN$66,AH!$U$4)),IF(AH!$U$5=1,INDEX('Live History'!$B$5:$B$3004,$K2385),INDEX('AH History'!$D$5:$GG$1380,$K2385,AH!$U$10))),NA()),NA())</f>
        <v/>
      </c>
      <c r="F2385" s="32">
        <f>IFERROR(IF(ISNUMBER($A2385),IF(AND(AH!$U$12=1,2380+1=AH!$U$6),IF(AH!$U$4=0,"unavailable",INDEX('Market Data'!$AO$5:$AO$66,AH!$U$4)),IF(AH!$U$5=1,INDEX('Live History'!$E$5:$E$3004,MATCH($A2385,'Live History'!$D$5:$D$3004,1)),INDEX('AH History'!$D$5:$GG$1380,$K2385,AH!$U$10+1))),NA()),NA())</f>
        <v/>
      </c>
      <c r="G2385" s="34">
        <f>IFERROR(IF(ISNUMBER($A2385),IF(AND(AH!$U$12=1,2380+1=AH!$U$6),IF(AH!$U$4=0,"unavailable",INDEX('Market Data'!$AK$5:$AK$66,AH!$U$4)),IF(AH!$U$5=1,INDEX('Live History'!$D$5:$D$3004,MATCH($A2385,'Live History'!$D$5:$D$3004,1)),INDEX('AH History'!$D$5:$GG$1380,$K2385,AH!$U$10+2))),NA()),NA())</f>
        <v/>
      </c>
      <c r="H2385" s="266">
        <f>IFERROR(IF(ISNUMBER($A2385),IF(AND(AH!$U$12=1,2380+1=AH!$U$6),IF(AH!$U$4=0,"unavailable",INDEX('Market Data'!$AP$5:$AP$66,AH!$U$4)),IF(AH!$U$5=1,INDEX('Live History'!$H$5:$H$3004,MATCH($A2385,'Live History'!$G$5:$G$3004,1)),INDEX('AH History'!$B$5:$B$1380,$K2385))),NA()),NA())</f>
        <v/>
      </c>
      <c r="I2385" s="34">
        <f>IFERROR(IF(ISNUMBER($A2385),IF(AND(AH!$U$12=1,2380+1=AH!$U$6),TODAY(),IF(AH!$U$5=1,INDEX('Live History'!$G$5:$G$3004,MATCH($A2385,'Live History'!$G$5:$G$3004,1)),INDEX('AH History'!$C$5:$C$1380,$K2385))),NA()),NA())</f>
        <v/>
      </c>
      <c r="J2385" s="32">
        <f>IFERROR(IF(AND($F2385&gt;0,$H2385&gt;0,$A2385-$G2385&lt;=10,$A2385-$I2385&lt;=5,$G2385&gt;0,$I2385&gt;0),$F2385*$H2385,NA()),NA())</f>
        <v/>
      </c>
      <c r="K2385" s="15">
        <f>IF($A2385="","",IF(AH!$U$5=1,IFERROR(MATCH($A2385,'Live History'!$A$5:$A$3004,0),0),AH!$U$7+2380))</f>
        <v/>
      </c>
      <c r="L2385" s="15">
        <f>IF(ISNUMBER(A2385),TEXT(A2385,"dd-mmm-yy"),"")</f>
        <v/>
      </c>
    </row>
    <row r="2386">
      <c r="A2386" s="14">
        <f>IF(OR(AH!$U$4=0,2381+1&gt;AH!$U$6,AND(AH!$M$5="Bloomberg",AH!$U$5=0)),"",IFERROR(IF(AND(AH!$U$12=1,2381+1=AH!$U$6),TODAY(),IF(AH!$U$5=1,INDEX('Live History'!$A$5:$A$3004,AH!$U$7+2381),INDEX('AH History'!$A$5:$A$1380,AH!$U$7+2381))),""))</f>
        <v/>
      </c>
      <c r="B2386" s="33">
        <f>IFERROR(IF(AH!$U$11=1,NA(),$J2386/$E2386-1),NA())</f>
        <v/>
      </c>
      <c r="C2386" s="269">
        <f>IFERROR(100*$E2386/$E$5,NA())</f>
        <v/>
      </c>
      <c r="D2386" s="269">
        <f>IFERROR(100*$J2386/$J$5,NA())</f>
        <v/>
      </c>
      <c r="E2386" s="32">
        <f>IFERROR(IF(AND(ISNUMBER($A2386),N(IF(AND(AH!$U$12=1,2381+1=AH!$U$6),IF(AH!$U$4=0,"unavailable",INDEX('Market Data'!$AN$5:$AN$66,AH!$U$4)),IF(AH!$U$5=1,INDEX('Live History'!$B$5:$B$3004,$K2386),INDEX('AH History'!$D$5:$GG$1380,$K2386,AH!$U$10))))&gt;0),IF(AND(AH!$U$12=1,2381+1=AH!$U$6),IF(AH!$U$4=0,"unavailable",INDEX('Market Data'!$AN$5:$AN$66,AH!$U$4)),IF(AH!$U$5=1,INDEX('Live History'!$B$5:$B$3004,$K2386),INDEX('AH History'!$D$5:$GG$1380,$K2386,AH!$U$10))),NA()),NA())</f>
        <v/>
      </c>
      <c r="F2386" s="32">
        <f>IFERROR(IF(ISNUMBER($A2386),IF(AND(AH!$U$12=1,2381+1=AH!$U$6),IF(AH!$U$4=0,"unavailable",INDEX('Market Data'!$AO$5:$AO$66,AH!$U$4)),IF(AH!$U$5=1,INDEX('Live History'!$E$5:$E$3004,MATCH($A2386,'Live History'!$D$5:$D$3004,1)),INDEX('AH History'!$D$5:$GG$1380,$K2386,AH!$U$10+1))),NA()),NA())</f>
        <v/>
      </c>
      <c r="G2386" s="34">
        <f>IFERROR(IF(ISNUMBER($A2386),IF(AND(AH!$U$12=1,2381+1=AH!$U$6),IF(AH!$U$4=0,"unavailable",INDEX('Market Data'!$AK$5:$AK$66,AH!$U$4)),IF(AH!$U$5=1,INDEX('Live History'!$D$5:$D$3004,MATCH($A2386,'Live History'!$D$5:$D$3004,1)),INDEX('AH History'!$D$5:$GG$1380,$K2386,AH!$U$10+2))),NA()),NA())</f>
        <v/>
      </c>
      <c r="H2386" s="266">
        <f>IFERROR(IF(ISNUMBER($A2386),IF(AND(AH!$U$12=1,2381+1=AH!$U$6),IF(AH!$U$4=0,"unavailable",INDEX('Market Data'!$AP$5:$AP$66,AH!$U$4)),IF(AH!$U$5=1,INDEX('Live History'!$H$5:$H$3004,MATCH($A2386,'Live History'!$G$5:$G$3004,1)),INDEX('AH History'!$B$5:$B$1380,$K2386))),NA()),NA())</f>
        <v/>
      </c>
      <c r="I2386" s="34">
        <f>IFERROR(IF(ISNUMBER($A2386),IF(AND(AH!$U$12=1,2381+1=AH!$U$6),TODAY(),IF(AH!$U$5=1,INDEX('Live History'!$G$5:$G$3004,MATCH($A2386,'Live History'!$G$5:$G$3004,1)),INDEX('AH History'!$C$5:$C$1380,$K2386))),NA()),NA())</f>
        <v/>
      </c>
      <c r="J2386" s="32">
        <f>IFERROR(IF(AND($F2386&gt;0,$H2386&gt;0,$A2386-$G2386&lt;=10,$A2386-$I2386&lt;=5,$G2386&gt;0,$I2386&gt;0),$F2386*$H2386,NA()),NA())</f>
        <v/>
      </c>
      <c r="K2386" s="15">
        <f>IF($A2386="","",IF(AH!$U$5=1,IFERROR(MATCH($A2386,'Live History'!$A$5:$A$3004,0),0),AH!$U$7+2381))</f>
        <v/>
      </c>
      <c r="L2386" s="15">
        <f>IF(ISNUMBER(A2386),TEXT(A2386,"dd-mmm-yy"),"")</f>
        <v/>
      </c>
    </row>
    <row r="2387">
      <c r="A2387" s="14">
        <f>IF(OR(AH!$U$4=0,2382+1&gt;AH!$U$6,AND(AH!$M$5="Bloomberg",AH!$U$5=0)),"",IFERROR(IF(AND(AH!$U$12=1,2382+1=AH!$U$6),TODAY(),IF(AH!$U$5=1,INDEX('Live History'!$A$5:$A$3004,AH!$U$7+2382),INDEX('AH History'!$A$5:$A$1380,AH!$U$7+2382))),""))</f>
        <v/>
      </c>
      <c r="B2387" s="33">
        <f>IFERROR(IF(AH!$U$11=1,NA(),$J2387/$E2387-1),NA())</f>
        <v/>
      </c>
      <c r="C2387" s="269">
        <f>IFERROR(100*$E2387/$E$5,NA())</f>
        <v/>
      </c>
      <c r="D2387" s="269">
        <f>IFERROR(100*$J2387/$J$5,NA())</f>
        <v/>
      </c>
      <c r="E2387" s="32">
        <f>IFERROR(IF(AND(ISNUMBER($A2387),N(IF(AND(AH!$U$12=1,2382+1=AH!$U$6),IF(AH!$U$4=0,"unavailable",INDEX('Market Data'!$AN$5:$AN$66,AH!$U$4)),IF(AH!$U$5=1,INDEX('Live History'!$B$5:$B$3004,$K2387),INDEX('AH History'!$D$5:$GG$1380,$K2387,AH!$U$10))))&gt;0),IF(AND(AH!$U$12=1,2382+1=AH!$U$6),IF(AH!$U$4=0,"unavailable",INDEX('Market Data'!$AN$5:$AN$66,AH!$U$4)),IF(AH!$U$5=1,INDEX('Live History'!$B$5:$B$3004,$K2387),INDEX('AH History'!$D$5:$GG$1380,$K2387,AH!$U$10))),NA()),NA())</f>
        <v/>
      </c>
      <c r="F2387" s="32">
        <f>IFERROR(IF(ISNUMBER($A2387),IF(AND(AH!$U$12=1,2382+1=AH!$U$6),IF(AH!$U$4=0,"unavailable",INDEX('Market Data'!$AO$5:$AO$66,AH!$U$4)),IF(AH!$U$5=1,INDEX('Live History'!$E$5:$E$3004,MATCH($A2387,'Live History'!$D$5:$D$3004,1)),INDEX('AH History'!$D$5:$GG$1380,$K2387,AH!$U$10+1))),NA()),NA())</f>
        <v/>
      </c>
      <c r="G2387" s="34">
        <f>IFERROR(IF(ISNUMBER($A2387),IF(AND(AH!$U$12=1,2382+1=AH!$U$6),IF(AH!$U$4=0,"unavailable",INDEX('Market Data'!$AK$5:$AK$66,AH!$U$4)),IF(AH!$U$5=1,INDEX('Live History'!$D$5:$D$3004,MATCH($A2387,'Live History'!$D$5:$D$3004,1)),INDEX('AH History'!$D$5:$GG$1380,$K2387,AH!$U$10+2))),NA()),NA())</f>
        <v/>
      </c>
      <c r="H2387" s="266">
        <f>IFERROR(IF(ISNUMBER($A2387),IF(AND(AH!$U$12=1,2382+1=AH!$U$6),IF(AH!$U$4=0,"unavailable",INDEX('Market Data'!$AP$5:$AP$66,AH!$U$4)),IF(AH!$U$5=1,INDEX('Live History'!$H$5:$H$3004,MATCH($A2387,'Live History'!$G$5:$G$3004,1)),INDEX('AH History'!$B$5:$B$1380,$K2387))),NA()),NA())</f>
        <v/>
      </c>
      <c r="I2387" s="34">
        <f>IFERROR(IF(ISNUMBER($A2387),IF(AND(AH!$U$12=1,2382+1=AH!$U$6),TODAY(),IF(AH!$U$5=1,INDEX('Live History'!$G$5:$G$3004,MATCH($A2387,'Live History'!$G$5:$G$3004,1)),INDEX('AH History'!$C$5:$C$1380,$K2387))),NA()),NA())</f>
        <v/>
      </c>
      <c r="J2387" s="32">
        <f>IFERROR(IF(AND($F2387&gt;0,$H2387&gt;0,$A2387-$G2387&lt;=10,$A2387-$I2387&lt;=5,$G2387&gt;0,$I2387&gt;0),$F2387*$H2387,NA()),NA())</f>
        <v/>
      </c>
      <c r="K2387" s="15">
        <f>IF($A2387="","",IF(AH!$U$5=1,IFERROR(MATCH($A2387,'Live History'!$A$5:$A$3004,0),0),AH!$U$7+2382))</f>
        <v/>
      </c>
      <c r="L2387" s="15">
        <f>IF(ISNUMBER(A2387),TEXT(A2387,"dd-mmm-yy"),"")</f>
        <v/>
      </c>
    </row>
    <row r="2388">
      <c r="A2388" s="14">
        <f>IF(OR(AH!$U$4=0,2383+1&gt;AH!$U$6,AND(AH!$M$5="Bloomberg",AH!$U$5=0)),"",IFERROR(IF(AND(AH!$U$12=1,2383+1=AH!$U$6),TODAY(),IF(AH!$U$5=1,INDEX('Live History'!$A$5:$A$3004,AH!$U$7+2383),INDEX('AH History'!$A$5:$A$1380,AH!$U$7+2383))),""))</f>
        <v/>
      </c>
      <c r="B2388" s="33">
        <f>IFERROR(IF(AH!$U$11=1,NA(),$J2388/$E2388-1),NA())</f>
        <v/>
      </c>
      <c r="C2388" s="269">
        <f>IFERROR(100*$E2388/$E$5,NA())</f>
        <v/>
      </c>
      <c r="D2388" s="269">
        <f>IFERROR(100*$J2388/$J$5,NA())</f>
        <v/>
      </c>
      <c r="E2388" s="32">
        <f>IFERROR(IF(AND(ISNUMBER($A2388),N(IF(AND(AH!$U$12=1,2383+1=AH!$U$6),IF(AH!$U$4=0,"unavailable",INDEX('Market Data'!$AN$5:$AN$66,AH!$U$4)),IF(AH!$U$5=1,INDEX('Live History'!$B$5:$B$3004,$K2388),INDEX('AH History'!$D$5:$GG$1380,$K2388,AH!$U$10))))&gt;0),IF(AND(AH!$U$12=1,2383+1=AH!$U$6),IF(AH!$U$4=0,"unavailable",INDEX('Market Data'!$AN$5:$AN$66,AH!$U$4)),IF(AH!$U$5=1,INDEX('Live History'!$B$5:$B$3004,$K2388),INDEX('AH History'!$D$5:$GG$1380,$K2388,AH!$U$10))),NA()),NA())</f>
        <v/>
      </c>
      <c r="F2388" s="32">
        <f>IFERROR(IF(ISNUMBER($A2388),IF(AND(AH!$U$12=1,2383+1=AH!$U$6),IF(AH!$U$4=0,"unavailable",INDEX('Market Data'!$AO$5:$AO$66,AH!$U$4)),IF(AH!$U$5=1,INDEX('Live History'!$E$5:$E$3004,MATCH($A2388,'Live History'!$D$5:$D$3004,1)),INDEX('AH History'!$D$5:$GG$1380,$K2388,AH!$U$10+1))),NA()),NA())</f>
        <v/>
      </c>
      <c r="G2388" s="34">
        <f>IFERROR(IF(ISNUMBER($A2388),IF(AND(AH!$U$12=1,2383+1=AH!$U$6),IF(AH!$U$4=0,"unavailable",INDEX('Market Data'!$AK$5:$AK$66,AH!$U$4)),IF(AH!$U$5=1,INDEX('Live History'!$D$5:$D$3004,MATCH($A2388,'Live History'!$D$5:$D$3004,1)),INDEX('AH History'!$D$5:$GG$1380,$K2388,AH!$U$10+2))),NA()),NA())</f>
        <v/>
      </c>
      <c r="H2388" s="266">
        <f>IFERROR(IF(ISNUMBER($A2388),IF(AND(AH!$U$12=1,2383+1=AH!$U$6),IF(AH!$U$4=0,"unavailable",INDEX('Market Data'!$AP$5:$AP$66,AH!$U$4)),IF(AH!$U$5=1,INDEX('Live History'!$H$5:$H$3004,MATCH($A2388,'Live History'!$G$5:$G$3004,1)),INDEX('AH History'!$B$5:$B$1380,$K2388))),NA()),NA())</f>
        <v/>
      </c>
      <c r="I2388" s="34">
        <f>IFERROR(IF(ISNUMBER($A2388),IF(AND(AH!$U$12=1,2383+1=AH!$U$6),TODAY(),IF(AH!$U$5=1,INDEX('Live History'!$G$5:$G$3004,MATCH($A2388,'Live History'!$G$5:$G$3004,1)),INDEX('AH History'!$C$5:$C$1380,$K2388))),NA()),NA())</f>
        <v/>
      </c>
      <c r="J2388" s="32">
        <f>IFERROR(IF(AND($F2388&gt;0,$H2388&gt;0,$A2388-$G2388&lt;=10,$A2388-$I2388&lt;=5,$G2388&gt;0,$I2388&gt;0),$F2388*$H2388,NA()),NA())</f>
        <v/>
      </c>
      <c r="K2388" s="15">
        <f>IF($A2388="","",IF(AH!$U$5=1,IFERROR(MATCH($A2388,'Live History'!$A$5:$A$3004,0),0),AH!$U$7+2383))</f>
        <v/>
      </c>
      <c r="L2388" s="15">
        <f>IF(ISNUMBER(A2388),TEXT(A2388,"dd-mmm-yy"),"")</f>
        <v/>
      </c>
    </row>
    <row r="2389">
      <c r="A2389" s="14">
        <f>IF(OR(AH!$U$4=0,2384+1&gt;AH!$U$6,AND(AH!$M$5="Bloomberg",AH!$U$5=0)),"",IFERROR(IF(AND(AH!$U$12=1,2384+1=AH!$U$6),TODAY(),IF(AH!$U$5=1,INDEX('Live History'!$A$5:$A$3004,AH!$U$7+2384),INDEX('AH History'!$A$5:$A$1380,AH!$U$7+2384))),""))</f>
        <v/>
      </c>
      <c r="B2389" s="33">
        <f>IFERROR(IF(AH!$U$11=1,NA(),$J2389/$E2389-1),NA())</f>
        <v/>
      </c>
      <c r="C2389" s="269">
        <f>IFERROR(100*$E2389/$E$5,NA())</f>
        <v/>
      </c>
      <c r="D2389" s="269">
        <f>IFERROR(100*$J2389/$J$5,NA())</f>
        <v/>
      </c>
      <c r="E2389" s="32">
        <f>IFERROR(IF(AND(ISNUMBER($A2389),N(IF(AND(AH!$U$12=1,2384+1=AH!$U$6),IF(AH!$U$4=0,"unavailable",INDEX('Market Data'!$AN$5:$AN$66,AH!$U$4)),IF(AH!$U$5=1,INDEX('Live History'!$B$5:$B$3004,$K2389),INDEX('AH History'!$D$5:$GG$1380,$K2389,AH!$U$10))))&gt;0),IF(AND(AH!$U$12=1,2384+1=AH!$U$6),IF(AH!$U$4=0,"unavailable",INDEX('Market Data'!$AN$5:$AN$66,AH!$U$4)),IF(AH!$U$5=1,INDEX('Live History'!$B$5:$B$3004,$K2389),INDEX('AH History'!$D$5:$GG$1380,$K2389,AH!$U$10))),NA()),NA())</f>
        <v/>
      </c>
      <c r="F2389" s="32">
        <f>IFERROR(IF(ISNUMBER($A2389),IF(AND(AH!$U$12=1,2384+1=AH!$U$6),IF(AH!$U$4=0,"unavailable",INDEX('Market Data'!$AO$5:$AO$66,AH!$U$4)),IF(AH!$U$5=1,INDEX('Live History'!$E$5:$E$3004,MATCH($A2389,'Live History'!$D$5:$D$3004,1)),INDEX('AH History'!$D$5:$GG$1380,$K2389,AH!$U$10+1))),NA()),NA())</f>
        <v/>
      </c>
      <c r="G2389" s="34">
        <f>IFERROR(IF(ISNUMBER($A2389),IF(AND(AH!$U$12=1,2384+1=AH!$U$6),IF(AH!$U$4=0,"unavailable",INDEX('Market Data'!$AK$5:$AK$66,AH!$U$4)),IF(AH!$U$5=1,INDEX('Live History'!$D$5:$D$3004,MATCH($A2389,'Live History'!$D$5:$D$3004,1)),INDEX('AH History'!$D$5:$GG$1380,$K2389,AH!$U$10+2))),NA()),NA())</f>
        <v/>
      </c>
      <c r="H2389" s="266">
        <f>IFERROR(IF(ISNUMBER($A2389),IF(AND(AH!$U$12=1,2384+1=AH!$U$6),IF(AH!$U$4=0,"unavailable",INDEX('Market Data'!$AP$5:$AP$66,AH!$U$4)),IF(AH!$U$5=1,INDEX('Live History'!$H$5:$H$3004,MATCH($A2389,'Live History'!$G$5:$G$3004,1)),INDEX('AH History'!$B$5:$B$1380,$K2389))),NA()),NA())</f>
        <v/>
      </c>
      <c r="I2389" s="34">
        <f>IFERROR(IF(ISNUMBER($A2389),IF(AND(AH!$U$12=1,2384+1=AH!$U$6),TODAY(),IF(AH!$U$5=1,INDEX('Live History'!$G$5:$G$3004,MATCH($A2389,'Live History'!$G$5:$G$3004,1)),INDEX('AH History'!$C$5:$C$1380,$K2389))),NA()),NA())</f>
        <v/>
      </c>
      <c r="J2389" s="32">
        <f>IFERROR(IF(AND($F2389&gt;0,$H2389&gt;0,$A2389-$G2389&lt;=10,$A2389-$I2389&lt;=5,$G2389&gt;0,$I2389&gt;0),$F2389*$H2389,NA()),NA())</f>
        <v/>
      </c>
      <c r="K2389" s="15">
        <f>IF($A2389="","",IF(AH!$U$5=1,IFERROR(MATCH($A2389,'Live History'!$A$5:$A$3004,0),0),AH!$U$7+2384))</f>
        <v/>
      </c>
      <c r="L2389" s="15">
        <f>IF(ISNUMBER(A2389),TEXT(A2389,"dd-mmm-yy"),"")</f>
        <v/>
      </c>
    </row>
    <row r="2390">
      <c r="A2390" s="14">
        <f>IF(OR(AH!$U$4=0,2385+1&gt;AH!$U$6,AND(AH!$M$5="Bloomberg",AH!$U$5=0)),"",IFERROR(IF(AND(AH!$U$12=1,2385+1=AH!$U$6),TODAY(),IF(AH!$U$5=1,INDEX('Live History'!$A$5:$A$3004,AH!$U$7+2385),INDEX('AH History'!$A$5:$A$1380,AH!$U$7+2385))),""))</f>
        <v/>
      </c>
      <c r="B2390" s="33">
        <f>IFERROR(IF(AH!$U$11=1,NA(),$J2390/$E2390-1),NA())</f>
        <v/>
      </c>
      <c r="C2390" s="269">
        <f>IFERROR(100*$E2390/$E$5,NA())</f>
        <v/>
      </c>
      <c r="D2390" s="269">
        <f>IFERROR(100*$J2390/$J$5,NA())</f>
        <v/>
      </c>
      <c r="E2390" s="32">
        <f>IFERROR(IF(AND(ISNUMBER($A2390),N(IF(AND(AH!$U$12=1,2385+1=AH!$U$6),IF(AH!$U$4=0,"unavailable",INDEX('Market Data'!$AN$5:$AN$66,AH!$U$4)),IF(AH!$U$5=1,INDEX('Live History'!$B$5:$B$3004,$K2390),INDEX('AH History'!$D$5:$GG$1380,$K2390,AH!$U$10))))&gt;0),IF(AND(AH!$U$12=1,2385+1=AH!$U$6),IF(AH!$U$4=0,"unavailable",INDEX('Market Data'!$AN$5:$AN$66,AH!$U$4)),IF(AH!$U$5=1,INDEX('Live History'!$B$5:$B$3004,$K2390),INDEX('AH History'!$D$5:$GG$1380,$K2390,AH!$U$10))),NA()),NA())</f>
        <v/>
      </c>
      <c r="F2390" s="32">
        <f>IFERROR(IF(ISNUMBER($A2390),IF(AND(AH!$U$12=1,2385+1=AH!$U$6),IF(AH!$U$4=0,"unavailable",INDEX('Market Data'!$AO$5:$AO$66,AH!$U$4)),IF(AH!$U$5=1,INDEX('Live History'!$E$5:$E$3004,MATCH($A2390,'Live History'!$D$5:$D$3004,1)),INDEX('AH History'!$D$5:$GG$1380,$K2390,AH!$U$10+1))),NA()),NA())</f>
        <v/>
      </c>
      <c r="G2390" s="34">
        <f>IFERROR(IF(ISNUMBER($A2390),IF(AND(AH!$U$12=1,2385+1=AH!$U$6),IF(AH!$U$4=0,"unavailable",INDEX('Market Data'!$AK$5:$AK$66,AH!$U$4)),IF(AH!$U$5=1,INDEX('Live History'!$D$5:$D$3004,MATCH($A2390,'Live History'!$D$5:$D$3004,1)),INDEX('AH History'!$D$5:$GG$1380,$K2390,AH!$U$10+2))),NA()),NA())</f>
        <v/>
      </c>
      <c r="H2390" s="266">
        <f>IFERROR(IF(ISNUMBER($A2390),IF(AND(AH!$U$12=1,2385+1=AH!$U$6),IF(AH!$U$4=0,"unavailable",INDEX('Market Data'!$AP$5:$AP$66,AH!$U$4)),IF(AH!$U$5=1,INDEX('Live History'!$H$5:$H$3004,MATCH($A2390,'Live History'!$G$5:$G$3004,1)),INDEX('AH History'!$B$5:$B$1380,$K2390))),NA()),NA())</f>
        <v/>
      </c>
      <c r="I2390" s="34">
        <f>IFERROR(IF(ISNUMBER($A2390),IF(AND(AH!$U$12=1,2385+1=AH!$U$6),TODAY(),IF(AH!$U$5=1,INDEX('Live History'!$G$5:$G$3004,MATCH($A2390,'Live History'!$G$5:$G$3004,1)),INDEX('AH History'!$C$5:$C$1380,$K2390))),NA()),NA())</f>
        <v/>
      </c>
      <c r="J2390" s="32">
        <f>IFERROR(IF(AND($F2390&gt;0,$H2390&gt;0,$A2390-$G2390&lt;=10,$A2390-$I2390&lt;=5,$G2390&gt;0,$I2390&gt;0),$F2390*$H2390,NA()),NA())</f>
        <v/>
      </c>
      <c r="K2390" s="15">
        <f>IF($A2390="","",IF(AH!$U$5=1,IFERROR(MATCH($A2390,'Live History'!$A$5:$A$3004,0),0),AH!$U$7+2385))</f>
        <v/>
      </c>
      <c r="L2390" s="15">
        <f>IF(ISNUMBER(A2390),TEXT(A2390,"dd-mmm-yy"),"")</f>
        <v/>
      </c>
    </row>
    <row r="2391">
      <c r="A2391" s="14">
        <f>IF(OR(AH!$U$4=0,2386+1&gt;AH!$U$6,AND(AH!$M$5="Bloomberg",AH!$U$5=0)),"",IFERROR(IF(AND(AH!$U$12=1,2386+1=AH!$U$6),TODAY(),IF(AH!$U$5=1,INDEX('Live History'!$A$5:$A$3004,AH!$U$7+2386),INDEX('AH History'!$A$5:$A$1380,AH!$U$7+2386))),""))</f>
        <v/>
      </c>
      <c r="B2391" s="33">
        <f>IFERROR(IF(AH!$U$11=1,NA(),$J2391/$E2391-1),NA())</f>
        <v/>
      </c>
      <c r="C2391" s="269">
        <f>IFERROR(100*$E2391/$E$5,NA())</f>
        <v/>
      </c>
      <c r="D2391" s="269">
        <f>IFERROR(100*$J2391/$J$5,NA())</f>
        <v/>
      </c>
      <c r="E2391" s="32">
        <f>IFERROR(IF(AND(ISNUMBER($A2391),N(IF(AND(AH!$U$12=1,2386+1=AH!$U$6),IF(AH!$U$4=0,"unavailable",INDEX('Market Data'!$AN$5:$AN$66,AH!$U$4)),IF(AH!$U$5=1,INDEX('Live History'!$B$5:$B$3004,$K2391),INDEX('AH History'!$D$5:$GG$1380,$K2391,AH!$U$10))))&gt;0),IF(AND(AH!$U$12=1,2386+1=AH!$U$6),IF(AH!$U$4=0,"unavailable",INDEX('Market Data'!$AN$5:$AN$66,AH!$U$4)),IF(AH!$U$5=1,INDEX('Live History'!$B$5:$B$3004,$K2391),INDEX('AH History'!$D$5:$GG$1380,$K2391,AH!$U$10))),NA()),NA())</f>
        <v/>
      </c>
      <c r="F2391" s="32">
        <f>IFERROR(IF(ISNUMBER($A2391),IF(AND(AH!$U$12=1,2386+1=AH!$U$6),IF(AH!$U$4=0,"unavailable",INDEX('Market Data'!$AO$5:$AO$66,AH!$U$4)),IF(AH!$U$5=1,INDEX('Live History'!$E$5:$E$3004,MATCH($A2391,'Live History'!$D$5:$D$3004,1)),INDEX('AH History'!$D$5:$GG$1380,$K2391,AH!$U$10+1))),NA()),NA())</f>
        <v/>
      </c>
      <c r="G2391" s="34">
        <f>IFERROR(IF(ISNUMBER($A2391),IF(AND(AH!$U$12=1,2386+1=AH!$U$6),IF(AH!$U$4=0,"unavailable",INDEX('Market Data'!$AK$5:$AK$66,AH!$U$4)),IF(AH!$U$5=1,INDEX('Live History'!$D$5:$D$3004,MATCH($A2391,'Live History'!$D$5:$D$3004,1)),INDEX('AH History'!$D$5:$GG$1380,$K2391,AH!$U$10+2))),NA()),NA())</f>
        <v/>
      </c>
      <c r="H2391" s="266">
        <f>IFERROR(IF(ISNUMBER($A2391),IF(AND(AH!$U$12=1,2386+1=AH!$U$6),IF(AH!$U$4=0,"unavailable",INDEX('Market Data'!$AP$5:$AP$66,AH!$U$4)),IF(AH!$U$5=1,INDEX('Live History'!$H$5:$H$3004,MATCH($A2391,'Live History'!$G$5:$G$3004,1)),INDEX('AH History'!$B$5:$B$1380,$K2391))),NA()),NA())</f>
        <v/>
      </c>
      <c r="I2391" s="34">
        <f>IFERROR(IF(ISNUMBER($A2391),IF(AND(AH!$U$12=1,2386+1=AH!$U$6),TODAY(),IF(AH!$U$5=1,INDEX('Live History'!$G$5:$G$3004,MATCH($A2391,'Live History'!$G$5:$G$3004,1)),INDEX('AH History'!$C$5:$C$1380,$K2391))),NA()),NA())</f>
        <v/>
      </c>
      <c r="J2391" s="32">
        <f>IFERROR(IF(AND($F2391&gt;0,$H2391&gt;0,$A2391-$G2391&lt;=10,$A2391-$I2391&lt;=5,$G2391&gt;0,$I2391&gt;0),$F2391*$H2391,NA()),NA())</f>
        <v/>
      </c>
      <c r="K2391" s="15">
        <f>IF($A2391="","",IF(AH!$U$5=1,IFERROR(MATCH($A2391,'Live History'!$A$5:$A$3004,0),0),AH!$U$7+2386))</f>
        <v/>
      </c>
      <c r="L2391" s="15">
        <f>IF(ISNUMBER(A2391),TEXT(A2391,"dd-mmm-yy"),"")</f>
        <v/>
      </c>
    </row>
    <row r="2392">
      <c r="A2392" s="14">
        <f>IF(OR(AH!$U$4=0,2387+1&gt;AH!$U$6,AND(AH!$M$5="Bloomberg",AH!$U$5=0)),"",IFERROR(IF(AND(AH!$U$12=1,2387+1=AH!$U$6),TODAY(),IF(AH!$U$5=1,INDEX('Live History'!$A$5:$A$3004,AH!$U$7+2387),INDEX('AH History'!$A$5:$A$1380,AH!$U$7+2387))),""))</f>
        <v/>
      </c>
      <c r="B2392" s="33">
        <f>IFERROR(IF(AH!$U$11=1,NA(),$J2392/$E2392-1),NA())</f>
        <v/>
      </c>
      <c r="C2392" s="269">
        <f>IFERROR(100*$E2392/$E$5,NA())</f>
        <v/>
      </c>
      <c r="D2392" s="269">
        <f>IFERROR(100*$J2392/$J$5,NA())</f>
        <v/>
      </c>
      <c r="E2392" s="32">
        <f>IFERROR(IF(AND(ISNUMBER($A2392),N(IF(AND(AH!$U$12=1,2387+1=AH!$U$6),IF(AH!$U$4=0,"unavailable",INDEX('Market Data'!$AN$5:$AN$66,AH!$U$4)),IF(AH!$U$5=1,INDEX('Live History'!$B$5:$B$3004,$K2392),INDEX('AH History'!$D$5:$GG$1380,$K2392,AH!$U$10))))&gt;0),IF(AND(AH!$U$12=1,2387+1=AH!$U$6),IF(AH!$U$4=0,"unavailable",INDEX('Market Data'!$AN$5:$AN$66,AH!$U$4)),IF(AH!$U$5=1,INDEX('Live History'!$B$5:$B$3004,$K2392),INDEX('AH History'!$D$5:$GG$1380,$K2392,AH!$U$10))),NA()),NA())</f>
        <v/>
      </c>
      <c r="F2392" s="32">
        <f>IFERROR(IF(ISNUMBER($A2392),IF(AND(AH!$U$12=1,2387+1=AH!$U$6),IF(AH!$U$4=0,"unavailable",INDEX('Market Data'!$AO$5:$AO$66,AH!$U$4)),IF(AH!$U$5=1,INDEX('Live History'!$E$5:$E$3004,MATCH($A2392,'Live History'!$D$5:$D$3004,1)),INDEX('AH History'!$D$5:$GG$1380,$K2392,AH!$U$10+1))),NA()),NA())</f>
        <v/>
      </c>
      <c r="G2392" s="34">
        <f>IFERROR(IF(ISNUMBER($A2392),IF(AND(AH!$U$12=1,2387+1=AH!$U$6),IF(AH!$U$4=0,"unavailable",INDEX('Market Data'!$AK$5:$AK$66,AH!$U$4)),IF(AH!$U$5=1,INDEX('Live History'!$D$5:$D$3004,MATCH($A2392,'Live History'!$D$5:$D$3004,1)),INDEX('AH History'!$D$5:$GG$1380,$K2392,AH!$U$10+2))),NA()),NA())</f>
        <v/>
      </c>
      <c r="H2392" s="266">
        <f>IFERROR(IF(ISNUMBER($A2392),IF(AND(AH!$U$12=1,2387+1=AH!$U$6),IF(AH!$U$4=0,"unavailable",INDEX('Market Data'!$AP$5:$AP$66,AH!$U$4)),IF(AH!$U$5=1,INDEX('Live History'!$H$5:$H$3004,MATCH($A2392,'Live History'!$G$5:$G$3004,1)),INDEX('AH History'!$B$5:$B$1380,$K2392))),NA()),NA())</f>
        <v/>
      </c>
      <c r="I2392" s="34">
        <f>IFERROR(IF(ISNUMBER($A2392),IF(AND(AH!$U$12=1,2387+1=AH!$U$6),TODAY(),IF(AH!$U$5=1,INDEX('Live History'!$G$5:$G$3004,MATCH($A2392,'Live History'!$G$5:$G$3004,1)),INDEX('AH History'!$C$5:$C$1380,$K2392))),NA()),NA())</f>
        <v/>
      </c>
      <c r="J2392" s="32">
        <f>IFERROR(IF(AND($F2392&gt;0,$H2392&gt;0,$A2392-$G2392&lt;=10,$A2392-$I2392&lt;=5,$G2392&gt;0,$I2392&gt;0),$F2392*$H2392,NA()),NA())</f>
        <v/>
      </c>
      <c r="K2392" s="15">
        <f>IF($A2392="","",IF(AH!$U$5=1,IFERROR(MATCH($A2392,'Live History'!$A$5:$A$3004,0),0),AH!$U$7+2387))</f>
        <v/>
      </c>
      <c r="L2392" s="15">
        <f>IF(ISNUMBER(A2392),TEXT(A2392,"dd-mmm-yy"),"")</f>
        <v/>
      </c>
    </row>
    <row r="2393">
      <c r="A2393" s="14">
        <f>IF(OR(AH!$U$4=0,2388+1&gt;AH!$U$6,AND(AH!$M$5="Bloomberg",AH!$U$5=0)),"",IFERROR(IF(AND(AH!$U$12=1,2388+1=AH!$U$6),TODAY(),IF(AH!$U$5=1,INDEX('Live History'!$A$5:$A$3004,AH!$U$7+2388),INDEX('AH History'!$A$5:$A$1380,AH!$U$7+2388))),""))</f>
        <v/>
      </c>
      <c r="B2393" s="33">
        <f>IFERROR(IF(AH!$U$11=1,NA(),$J2393/$E2393-1),NA())</f>
        <v/>
      </c>
      <c r="C2393" s="269">
        <f>IFERROR(100*$E2393/$E$5,NA())</f>
        <v/>
      </c>
      <c r="D2393" s="269">
        <f>IFERROR(100*$J2393/$J$5,NA())</f>
        <v/>
      </c>
      <c r="E2393" s="32">
        <f>IFERROR(IF(AND(ISNUMBER($A2393),N(IF(AND(AH!$U$12=1,2388+1=AH!$U$6),IF(AH!$U$4=0,"unavailable",INDEX('Market Data'!$AN$5:$AN$66,AH!$U$4)),IF(AH!$U$5=1,INDEX('Live History'!$B$5:$B$3004,$K2393),INDEX('AH History'!$D$5:$GG$1380,$K2393,AH!$U$10))))&gt;0),IF(AND(AH!$U$12=1,2388+1=AH!$U$6),IF(AH!$U$4=0,"unavailable",INDEX('Market Data'!$AN$5:$AN$66,AH!$U$4)),IF(AH!$U$5=1,INDEX('Live History'!$B$5:$B$3004,$K2393),INDEX('AH History'!$D$5:$GG$1380,$K2393,AH!$U$10))),NA()),NA())</f>
        <v/>
      </c>
      <c r="F2393" s="32">
        <f>IFERROR(IF(ISNUMBER($A2393),IF(AND(AH!$U$12=1,2388+1=AH!$U$6),IF(AH!$U$4=0,"unavailable",INDEX('Market Data'!$AO$5:$AO$66,AH!$U$4)),IF(AH!$U$5=1,INDEX('Live History'!$E$5:$E$3004,MATCH($A2393,'Live History'!$D$5:$D$3004,1)),INDEX('AH History'!$D$5:$GG$1380,$K2393,AH!$U$10+1))),NA()),NA())</f>
        <v/>
      </c>
      <c r="G2393" s="34">
        <f>IFERROR(IF(ISNUMBER($A2393),IF(AND(AH!$U$12=1,2388+1=AH!$U$6),IF(AH!$U$4=0,"unavailable",INDEX('Market Data'!$AK$5:$AK$66,AH!$U$4)),IF(AH!$U$5=1,INDEX('Live History'!$D$5:$D$3004,MATCH($A2393,'Live History'!$D$5:$D$3004,1)),INDEX('AH History'!$D$5:$GG$1380,$K2393,AH!$U$10+2))),NA()),NA())</f>
        <v/>
      </c>
      <c r="H2393" s="266">
        <f>IFERROR(IF(ISNUMBER($A2393),IF(AND(AH!$U$12=1,2388+1=AH!$U$6),IF(AH!$U$4=0,"unavailable",INDEX('Market Data'!$AP$5:$AP$66,AH!$U$4)),IF(AH!$U$5=1,INDEX('Live History'!$H$5:$H$3004,MATCH($A2393,'Live History'!$G$5:$G$3004,1)),INDEX('AH History'!$B$5:$B$1380,$K2393))),NA()),NA())</f>
        <v/>
      </c>
      <c r="I2393" s="34">
        <f>IFERROR(IF(ISNUMBER($A2393),IF(AND(AH!$U$12=1,2388+1=AH!$U$6),TODAY(),IF(AH!$U$5=1,INDEX('Live History'!$G$5:$G$3004,MATCH($A2393,'Live History'!$G$5:$G$3004,1)),INDEX('AH History'!$C$5:$C$1380,$K2393))),NA()),NA())</f>
        <v/>
      </c>
      <c r="J2393" s="32">
        <f>IFERROR(IF(AND($F2393&gt;0,$H2393&gt;0,$A2393-$G2393&lt;=10,$A2393-$I2393&lt;=5,$G2393&gt;0,$I2393&gt;0),$F2393*$H2393,NA()),NA())</f>
        <v/>
      </c>
      <c r="K2393" s="15">
        <f>IF($A2393="","",IF(AH!$U$5=1,IFERROR(MATCH($A2393,'Live History'!$A$5:$A$3004,0),0),AH!$U$7+2388))</f>
        <v/>
      </c>
      <c r="L2393" s="15">
        <f>IF(ISNUMBER(A2393),TEXT(A2393,"dd-mmm-yy"),"")</f>
        <v/>
      </c>
    </row>
    <row r="2394">
      <c r="A2394" s="14">
        <f>IF(OR(AH!$U$4=0,2389+1&gt;AH!$U$6,AND(AH!$M$5="Bloomberg",AH!$U$5=0)),"",IFERROR(IF(AND(AH!$U$12=1,2389+1=AH!$U$6),TODAY(),IF(AH!$U$5=1,INDEX('Live History'!$A$5:$A$3004,AH!$U$7+2389),INDEX('AH History'!$A$5:$A$1380,AH!$U$7+2389))),""))</f>
        <v/>
      </c>
      <c r="B2394" s="33">
        <f>IFERROR(IF(AH!$U$11=1,NA(),$J2394/$E2394-1),NA())</f>
        <v/>
      </c>
      <c r="C2394" s="269">
        <f>IFERROR(100*$E2394/$E$5,NA())</f>
        <v/>
      </c>
      <c r="D2394" s="269">
        <f>IFERROR(100*$J2394/$J$5,NA())</f>
        <v/>
      </c>
      <c r="E2394" s="32">
        <f>IFERROR(IF(AND(ISNUMBER($A2394),N(IF(AND(AH!$U$12=1,2389+1=AH!$U$6),IF(AH!$U$4=0,"unavailable",INDEX('Market Data'!$AN$5:$AN$66,AH!$U$4)),IF(AH!$U$5=1,INDEX('Live History'!$B$5:$B$3004,$K2394),INDEX('AH History'!$D$5:$GG$1380,$K2394,AH!$U$10))))&gt;0),IF(AND(AH!$U$12=1,2389+1=AH!$U$6),IF(AH!$U$4=0,"unavailable",INDEX('Market Data'!$AN$5:$AN$66,AH!$U$4)),IF(AH!$U$5=1,INDEX('Live History'!$B$5:$B$3004,$K2394),INDEX('AH History'!$D$5:$GG$1380,$K2394,AH!$U$10))),NA()),NA())</f>
        <v/>
      </c>
      <c r="F2394" s="32">
        <f>IFERROR(IF(ISNUMBER($A2394),IF(AND(AH!$U$12=1,2389+1=AH!$U$6),IF(AH!$U$4=0,"unavailable",INDEX('Market Data'!$AO$5:$AO$66,AH!$U$4)),IF(AH!$U$5=1,INDEX('Live History'!$E$5:$E$3004,MATCH($A2394,'Live History'!$D$5:$D$3004,1)),INDEX('AH History'!$D$5:$GG$1380,$K2394,AH!$U$10+1))),NA()),NA())</f>
        <v/>
      </c>
      <c r="G2394" s="34">
        <f>IFERROR(IF(ISNUMBER($A2394),IF(AND(AH!$U$12=1,2389+1=AH!$U$6),IF(AH!$U$4=0,"unavailable",INDEX('Market Data'!$AK$5:$AK$66,AH!$U$4)),IF(AH!$U$5=1,INDEX('Live History'!$D$5:$D$3004,MATCH($A2394,'Live History'!$D$5:$D$3004,1)),INDEX('AH History'!$D$5:$GG$1380,$K2394,AH!$U$10+2))),NA()),NA())</f>
        <v/>
      </c>
      <c r="H2394" s="266">
        <f>IFERROR(IF(ISNUMBER($A2394),IF(AND(AH!$U$12=1,2389+1=AH!$U$6),IF(AH!$U$4=0,"unavailable",INDEX('Market Data'!$AP$5:$AP$66,AH!$U$4)),IF(AH!$U$5=1,INDEX('Live History'!$H$5:$H$3004,MATCH($A2394,'Live History'!$G$5:$G$3004,1)),INDEX('AH History'!$B$5:$B$1380,$K2394))),NA()),NA())</f>
        <v/>
      </c>
      <c r="I2394" s="34">
        <f>IFERROR(IF(ISNUMBER($A2394),IF(AND(AH!$U$12=1,2389+1=AH!$U$6),TODAY(),IF(AH!$U$5=1,INDEX('Live History'!$G$5:$G$3004,MATCH($A2394,'Live History'!$G$5:$G$3004,1)),INDEX('AH History'!$C$5:$C$1380,$K2394))),NA()),NA())</f>
        <v/>
      </c>
      <c r="J2394" s="32">
        <f>IFERROR(IF(AND($F2394&gt;0,$H2394&gt;0,$A2394-$G2394&lt;=10,$A2394-$I2394&lt;=5,$G2394&gt;0,$I2394&gt;0),$F2394*$H2394,NA()),NA())</f>
        <v/>
      </c>
      <c r="K2394" s="15">
        <f>IF($A2394="","",IF(AH!$U$5=1,IFERROR(MATCH($A2394,'Live History'!$A$5:$A$3004,0),0),AH!$U$7+2389))</f>
        <v/>
      </c>
      <c r="L2394" s="15">
        <f>IF(ISNUMBER(A2394),TEXT(A2394,"dd-mmm-yy"),"")</f>
        <v/>
      </c>
    </row>
    <row r="2395">
      <c r="A2395" s="14">
        <f>IF(OR(AH!$U$4=0,2390+1&gt;AH!$U$6,AND(AH!$M$5="Bloomberg",AH!$U$5=0)),"",IFERROR(IF(AND(AH!$U$12=1,2390+1=AH!$U$6),TODAY(),IF(AH!$U$5=1,INDEX('Live History'!$A$5:$A$3004,AH!$U$7+2390),INDEX('AH History'!$A$5:$A$1380,AH!$U$7+2390))),""))</f>
        <v/>
      </c>
      <c r="B2395" s="33">
        <f>IFERROR(IF(AH!$U$11=1,NA(),$J2395/$E2395-1),NA())</f>
        <v/>
      </c>
      <c r="C2395" s="269">
        <f>IFERROR(100*$E2395/$E$5,NA())</f>
        <v/>
      </c>
      <c r="D2395" s="269">
        <f>IFERROR(100*$J2395/$J$5,NA())</f>
        <v/>
      </c>
      <c r="E2395" s="32">
        <f>IFERROR(IF(AND(ISNUMBER($A2395),N(IF(AND(AH!$U$12=1,2390+1=AH!$U$6),IF(AH!$U$4=0,"unavailable",INDEX('Market Data'!$AN$5:$AN$66,AH!$U$4)),IF(AH!$U$5=1,INDEX('Live History'!$B$5:$B$3004,$K2395),INDEX('AH History'!$D$5:$GG$1380,$K2395,AH!$U$10))))&gt;0),IF(AND(AH!$U$12=1,2390+1=AH!$U$6),IF(AH!$U$4=0,"unavailable",INDEX('Market Data'!$AN$5:$AN$66,AH!$U$4)),IF(AH!$U$5=1,INDEX('Live History'!$B$5:$B$3004,$K2395),INDEX('AH History'!$D$5:$GG$1380,$K2395,AH!$U$10))),NA()),NA())</f>
        <v/>
      </c>
      <c r="F2395" s="32">
        <f>IFERROR(IF(ISNUMBER($A2395),IF(AND(AH!$U$12=1,2390+1=AH!$U$6),IF(AH!$U$4=0,"unavailable",INDEX('Market Data'!$AO$5:$AO$66,AH!$U$4)),IF(AH!$U$5=1,INDEX('Live History'!$E$5:$E$3004,MATCH($A2395,'Live History'!$D$5:$D$3004,1)),INDEX('AH History'!$D$5:$GG$1380,$K2395,AH!$U$10+1))),NA()),NA())</f>
        <v/>
      </c>
      <c r="G2395" s="34">
        <f>IFERROR(IF(ISNUMBER($A2395),IF(AND(AH!$U$12=1,2390+1=AH!$U$6),IF(AH!$U$4=0,"unavailable",INDEX('Market Data'!$AK$5:$AK$66,AH!$U$4)),IF(AH!$U$5=1,INDEX('Live History'!$D$5:$D$3004,MATCH($A2395,'Live History'!$D$5:$D$3004,1)),INDEX('AH History'!$D$5:$GG$1380,$K2395,AH!$U$10+2))),NA()),NA())</f>
        <v/>
      </c>
      <c r="H2395" s="266">
        <f>IFERROR(IF(ISNUMBER($A2395),IF(AND(AH!$U$12=1,2390+1=AH!$U$6),IF(AH!$U$4=0,"unavailable",INDEX('Market Data'!$AP$5:$AP$66,AH!$U$4)),IF(AH!$U$5=1,INDEX('Live History'!$H$5:$H$3004,MATCH($A2395,'Live History'!$G$5:$G$3004,1)),INDEX('AH History'!$B$5:$B$1380,$K2395))),NA()),NA())</f>
        <v/>
      </c>
      <c r="I2395" s="34">
        <f>IFERROR(IF(ISNUMBER($A2395),IF(AND(AH!$U$12=1,2390+1=AH!$U$6),TODAY(),IF(AH!$U$5=1,INDEX('Live History'!$G$5:$G$3004,MATCH($A2395,'Live History'!$G$5:$G$3004,1)),INDEX('AH History'!$C$5:$C$1380,$K2395))),NA()),NA())</f>
        <v/>
      </c>
      <c r="J2395" s="32">
        <f>IFERROR(IF(AND($F2395&gt;0,$H2395&gt;0,$A2395-$G2395&lt;=10,$A2395-$I2395&lt;=5,$G2395&gt;0,$I2395&gt;0),$F2395*$H2395,NA()),NA())</f>
        <v/>
      </c>
      <c r="K2395" s="15">
        <f>IF($A2395="","",IF(AH!$U$5=1,IFERROR(MATCH($A2395,'Live History'!$A$5:$A$3004,0),0),AH!$U$7+2390))</f>
        <v/>
      </c>
      <c r="L2395" s="15">
        <f>IF(ISNUMBER(A2395),TEXT(A2395,"dd-mmm-yy"),"")</f>
        <v/>
      </c>
    </row>
    <row r="2396">
      <c r="A2396" s="14">
        <f>IF(OR(AH!$U$4=0,2391+1&gt;AH!$U$6,AND(AH!$M$5="Bloomberg",AH!$U$5=0)),"",IFERROR(IF(AND(AH!$U$12=1,2391+1=AH!$U$6),TODAY(),IF(AH!$U$5=1,INDEX('Live History'!$A$5:$A$3004,AH!$U$7+2391),INDEX('AH History'!$A$5:$A$1380,AH!$U$7+2391))),""))</f>
        <v/>
      </c>
      <c r="B2396" s="33">
        <f>IFERROR(IF(AH!$U$11=1,NA(),$J2396/$E2396-1),NA())</f>
        <v/>
      </c>
      <c r="C2396" s="269">
        <f>IFERROR(100*$E2396/$E$5,NA())</f>
        <v/>
      </c>
      <c r="D2396" s="269">
        <f>IFERROR(100*$J2396/$J$5,NA())</f>
        <v/>
      </c>
      <c r="E2396" s="32">
        <f>IFERROR(IF(AND(ISNUMBER($A2396),N(IF(AND(AH!$U$12=1,2391+1=AH!$U$6),IF(AH!$U$4=0,"unavailable",INDEX('Market Data'!$AN$5:$AN$66,AH!$U$4)),IF(AH!$U$5=1,INDEX('Live History'!$B$5:$B$3004,$K2396),INDEX('AH History'!$D$5:$GG$1380,$K2396,AH!$U$10))))&gt;0),IF(AND(AH!$U$12=1,2391+1=AH!$U$6),IF(AH!$U$4=0,"unavailable",INDEX('Market Data'!$AN$5:$AN$66,AH!$U$4)),IF(AH!$U$5=1,INDEX('Live History'!$B$5:$B$3004,$K2396),INDEX('AH History'!$D$5:$GG$1380,$K2396,AH!$U$10))),NA()),NA())</f>
        <v/>
      </c>
      <c r="F2396" s="32">
        <f>IFERROR(IF(ISNUMBER($A2396),IF(AND(AH!$U$12=1,2391+1=AH!$U$6),IF(AH!$U$4=0,"unavailable",INDEX('Market Data'!$AO$5:$AO$66,AH!$U$4)),IF(AH!$U$5=1,INDEX('Live History'!$E$5:$E$3004,MATCH($A2396,'Live History'!$D$5:$D$3004,1)),INDEX('AH History'!$D$5:$GG$1380,$K2396,AH!$U$10+1))),NA()),NA())</f>
        <v/>
      </c>
      <c r="G2396" s="34">
        <f>IFERROR(IF(ISNUMBER($A2396),IF(AND(AH!$U$12=1,2391+1=AH!$U$6),IF(AH!$U$4=0,"unavailable",INDEX('Market Data'!$AK$5:$AK$66,AH!$U$4)),IF(AH!$U$5=1,INDEX('Live History'!$D$5:$D$3004,MATCH($A2396,'Live History'!$D$5:$D$3004,1)),INDEX('AH History'!$D$5:$GG$1380,$K2396,AH!$U$10+2))),NA()),NA())</f>
        <v/>
      </c>
      <c r="H2396" s="266">
        <f>IFERROR(IF(ISNUMBER($A2396),IF(AND(AH!$U$12=1,2391+1=AH!$U$6),IF(AH!$U$4=0,"unavailable",INDEX('Market Data'!$AP$5:$AP$66,AH!$U$4)),IF(AH!$U$5=1,INDEX('Live History'!$H$5:$H$3004,MATCH($A2396,'Live History'!$G$5:$G$3004,1)),INDEX('AH History'!$B$5:$B$1380,$K2396))),NA()),NA())</f>
        <v/>
      </c>
      <c r="I2396" s="34">
        <f>IFERROR(IF(ISNUMBER($A2396),IF(AND(AH!$U$12=1,2391+1=AH!$U$6),TODAY(),IF(AH!$U$5=1,INDEX('Live History'!$G$5:$G$3004,MATCH($A2396,'Live History'!$G$5:$G$3004,1)),INDEX('AH History'!$C$5:$C$1380,$K2396))),NA()),NA())</f>
        <v/>
      </c>
      <c r="J2396" s="32">
        <f>IFERROR(IF(AND($F2396&gt;0,$H2396&gt;0,$A2396-$G2396&lt;=10,$A2396-$I2396&lt;=5,$G2396&gt;0,$I2396&gt;0),$F2396*$H2396,NA()),NA())</f>
        <v/>
      </c>
      <c r="K2396" s="15">
        <f>IF($A2396="","",IF(AH!$U$5=1,IFERROR(MATCH($A2396,'Live History'!$A$5:$A$3004,0),0),AH!$U$7+2391))</f>
        <v/>
      </c>
      <c r="L2396" s="15">
        <f>IF(ISNUMBER(A2396),TEXT(A2396,"dd-mmm-yy"),"")</f>
        <v/>
      </c>
    </row>
    <row r="2397">
      <c r="A2397" s="14">
        <f>IF(OR(AH!$U$4=0,2392+1&gt;AH!$U$6,AND(AH!$M$5="Bloomberg",AH!$U$5=0)),"",IFERROR(IF(AND(AH!$U$12=1,2392+1=AH!$U$6),TODAY(),IF(AH!$U$5=1,INDEX('Live History'!$A$5:$A$3004,AH!$U$7+2392),INDEX('AH History'!$A$5:$A$1380,AH!$U$7+2392))),""))</f>
        <v/>
      </c>
      <c r="B2397" s="33">
        <f>IFERROR(IF(AH!$U$11=1,NA(),$J2397/$E2397-1),NA())</f>
        <v/>
      </c>
      <c r="C2397" s="269">
        <f>IFERROR(100*$E2397/$E$5,NA())</f>
        <v/>
      </c>
      <c r="D2397" s="269">
        <f>IFERROR(100*$J2397/$J$5,NA())</f>
        <v/>
      </c>
      <c r="E2397" s="32">
        <f>IFERROR(IF(AND(ISNUMBER($A2397),N(IF(AND(AH!$U$12=1,2392+1=AH!$U$6),IF(AH!$U$4=0,"unavailable",INDEX('Market Data'!$AN$5:$AN$66,AH!$U$4)),IF(AH!$U$5=1,INDEX('Live History'!$B$5:$B$3004,$K2397),INDEX('AH History'!$D$5:$GG$1380,$K2397,AH!$U$10))))&gt;0),IF(AND(AH!$U$12=1,2392+1=AH!$U$6),IF(AH!$U$4=0,"unavailable",INDEX('Market Data'!$AN$5:$AN$66,AH!$U$4)),IF(AH!$U$5=1,INDEX('Live History'!$B$5:$B$3004,$K2397),INDEX('AH History'!$D$5:$GG$1380,$K2397,AH!$U$10))),NA()),NA())</f>
        <v/>
      </c>
      <c r="F2397" s="32">
        <f>IFERROR(IF(ISNUMBER($A2397),IF(AND(AH!$U$12=1,2392+1=AH!$U$6),IF(AH!$U$4=0,"unavailable",INDEX('Market Data'!$AO$5:$AO$66,AH!$U$4)),IF(AH!$U$5=1,INDEX('Live History'!$E$5:$E$3004,MATCH($A2397,'Live History'!$D$5:$D$3004,1)),INDEX('AH History'!$D$5:$GG$1380,$K2397,AH!$U$10+1))),NA()),NA())</f>
        <v/>
      </c>
      <c r="G2397" s="34">
        <f>IFERROR(IF(ISNUMBER($A2397),IF(AND(AH!$U$12=1,2392+1=AH!$U$6),IF(AH!$U$4=0,"unavailable",INDEX('Market Data'!$AK$5:$AK$66,AH!$U$4)),IF(AH!$U$5=1,INDEX('Live History'!$D$5:$D$3004,MATCH($A2397,'Live History'!$D$5:$D$3004,1)),INDEX('AH History'!$D$5:$GG$1380,$K2397,AH!$U$10+2))),NA()),NA())</f>
        <v/>
      </c>
      <c r="H2397" s="266">
        <f>IFERROR(IF(ISNUMBER($A2397),IF(AND(AH!$U$12=1,2392+1=AH!$U$6),IF(AH!$U$4=0,"unavailable",INDEX('Market Data'!$AP$5:$AP$66,AH!$U$4)),IF(AH!$U$5=1,INDEX('Live History'!$H$5:$H$3004,MATCH($A2397,'Live History'!$G$5:$G$3004,1)),INDEX('AH History'!$B$5:$B$1380,$K2397))),NA()),NA())</f>
        <v/>
      </c>
      <c r="I2397" s="34">
        <f>IFERROR(IF(ISNUMBER($A2397),IF(AND(AH!$U$12=1,2392+1=AH!$U$6),TODAY(),IF(AH!$U$5=1,INDEX('Live History'!$G$5:$G$3004,MATCH($A2397,'Live History'!$G$5:$G$3004,1)),INDEX('AH History'!$C$5:$C$1380,$K2397))),NA()),NA())</f>
        <v/>
      </c>
      <c r="J2397" s="32">
        <f>IFERROR(IF(AND($F2397&gt;0,$H2397&gt;0,$A2397-$G2397&lt;=10,$A2397-$I2397&lt;=5,$G2397&gt;0,$I2397&gt;0),$F2397*$H2397,NA()),NA())</f>
        <v/>
      </c>
      <c r="K2397" s="15">
        <f>IF($A2397="","",IF(AH!$U$5=1,IFERROR(MATCH($A2397,'Live History'!$A$5:$A$3004,0),0),AH!$U$7+2392))</f>
        <v/>
      </c>
      <c r="L2397" s="15">
        <f>IF(ISNUMBER(A2397),TEXT(A2397,"dd-mmm-yy"),"")</f>
        <v/>
      </c>
    </row>
    <row r="2398">
      <c r="A2398" s="14">
        <f>IF(OR(AH!$U$4=0,2393+1&gt;AH!$U$6,AND(AH!$M$5="Bloomberg",AH!$U$5=0)),"",IFERROR(IF(AND(AH!$U$12=1,2393+1=AH!$U$6),TODAY(),IF(AH!$U$5=1,INDEX('Live History'!$A$5:$A$3004,AH!$U$7+2393),INDEX('AH History'!$A$5:$A$1380,AH!$U$7+2393))),""))</f>
        <v/>
      </c>
      <c r="B2398" s="33">
        <f>IFERROR(IF(AH!$U$11=1,NA(),$J2398/$E2398-1),NA())</f>
        <v/>
      </c>
      <c r="C2398" s="269">
        <f>IFERROR(100*$E2398/$E$5,NA())</f>
        <v/>
      </c>
      <c r="D2398" s="269">
        <f>IFERROR(100*$J2398/$J$5,NA())</f>
        <v/>
      </c>
      <c r="E2398" s="32">
        <f>IFERROR(IF(AND(ISNUMBER($A2398),N(IF(AND(AH!$U$12=1,2393+1=AH!$U$6),IF(AH!$U$4=0,"unavailable",INDEX('Market Data'!$AN$5:$AN$66,AH!$U$4)),IF(AH!$U$5=1,INDEX('Live History'!$B$5:$B$3004,$K2398),INDEX('AH History'!$D$5:$GG$1380,$K2398,AH!$U$10))))&gt;0),IF(AND(AH!$U$12=1,2393+1=AH!$U$6),IF(AH!$U$4=0,"unavailable",INDEX('Market Data'!$AN$5:$AN$66,AH!$U$4)),IF(AH!$U$5=1,INDEX('Live History'!$B$5:$B$3004,$K2398),INDEX('AH History'!$D$5:$GG$1380,$K2398,AH!$U$10))),NA()),NA())</f>
        <v/>
      </c>
      <c r="F2398" s="32">
        <f>IFERROR(IF(ISNUMBER($A2398),IF(AND(AH!$U$12=1,2393+1=AH!$U$6),IF(AH!$U$4=0,"unavailable",INDEX('Market Data'!$AO$5:$AO$66,AH!$U$4)),IF(AH!$U$5=1,INDEX('Live History'!$E$5:$E$3004,MATCH($A2398,'Live History'!$D$5:$D$3004,1)),INDEX('AH History'!$D$5:$GG$1380,$K2398,AH!$U$10+1))),NA()),NA())</f>
        <v/>
      </c>
      <c r="G2398" s="34">
        <f>IFERROR(IF(ISNUMBER($A2398),IF(AND(AH!$U$12=1,2393+1=AH!$U$6),IF(AH!$U$4=0,"unavailable",INDEX('Market Data'!$AK$5:$AK$66,AH!$U$4)),IF(AH!$U$5=1,INDEX('Live History'!$D$5:$D$3004,MATCH($A2398,'Live History'!$D$5:$D$3004,1)),INDEX('AH History'!$D$5:$GG$1380,$K2398,AH!$U$10+2))),NA()),NA())</f>
        <v/>
      </c>
      <c r="H2398" s="266">
        <f>IFERROR(IF(ISNUMBER($A2398),IF(AND(AH!$U$12=1,2393+1=AH!$U$6),IF(AH!$U$4=0,"unavailable",INDEX('Market Data'!$AP$5:$AP$66,AH!$U$4)),IF(AH!$U$5=1,INDEX('Live History'!$H$5:$H$3004,MATCH($A2398,'Live History'!$G$5:$G$3004,1)),INDEX('AH History'!$B$5:$B$1380,$K2398))),NA()),NA())</f>
        <v/>
      </c>
      <c r="I2398" s="34">
        <f>IFERROR(IF(ISNUMBER($A2398),IF(AND(AH!$U$12=1,2393+1=AH!$U$6),TODAY(),IF(AH!$U$5=1,INDEX('Live History'!$G$5:$G$3004,MATCH($A2398,'Live History'!$G$5:$G$3004,1)),INDEX('AH History'!$C$5:$C$1380,$K2398))),NA()),NA())</f>
        <v/>
      </c>
      <c r="J2398" s="32">
        <f>IFERROR(IF(AND($F2398&gt;0,$H2398&gt;0,$A2398-$G2398&lt;=10,$A2398-$I2398&lt;=5,$G2398&gt;0,$I2398&gt;0),$F2398*$H2398,NA()),NA())</f>
        <v/>
      </c>
      <c r="K2398" s="15">
        <f>IF($A2398="","",IF(AH!$U$5=1,IFERROR(MATCH($A2398,'Live History'!$A$5:$A$3004,0),0),AH!$U$7+2393))</f>
        <v/>
      </c>
      <c r="L2398" s="15">
        <f>IF(ISNUMBER(A2398),TEXT(A2398,"dd-mmm-yy"),"")</f>
        <v/>
      </c>
    </row>
    <row r="2399">
      <c r="A2399" s="14">
        <f>IF(OR(AH!$U$4=0,2394+1&gt;AH!$U$6,AND(AH!$M$5="Bloomberg",AH!$U$5=0)),"",IFERROR(IF(AND(AH!$U$12=1,2394+1=AH!$U$6),TODAY(),IF(AH!$U$5=1,INDEX('Live History'!$A$5:$A$3004,AH!$U$7+2394),INDEX('AH History'!$A$5:$A$1380,AH!$U$7+2394))),""))</f>
        <v/>
      </c>
      <c r="B2399" s="33">
        <f>IFERROR(IF(AH!$U$11=1,NA(),$J2399/$E2399-1),NA())</f>
        <v/>
      </c>
      <c r="C2399" s="269">
        <f>IFERROR(100*$E2399/$E$5,NA())</f>
        <v/>
      </c>
      <c r="D2399" s="269">
        <f>IFERROR(100*$J2399/$J$5,NA())</f>
        <v/>
      </c>
      <c r="E2399" s="32">
        <f>IFERROR(IF(AND(ISNUMBER($A2399),N(IF(AND(AH!$U$12=1,2394+1=AH!$U$6),IF(AH!$U$4=0,"unavailable",INDEX('Market Data'!$AN$5:$AN$66,AH!$U$4)),IF(AH!$U$5=1,INDEX('Live History'!$B$5:$B$3004,$K2399),INDEX('AH History'!$D$5:$GG$1380,$K2399,AH!$U$10))))&gt;0),IF(AND(AH!$U$12=1,2394+1=AH!$U$6),IF(AH!$U$4=0,"unavailable",INDEX('Market Data'!$AN$5:$AN$66,AH!$U$4)),IF(AH!$U$5=1,INDEX('Live History'!$B$5:$B$3004,$K2399),INDEX('AH History'!$D$5:$GG$1380,$K2399,AH!$U$10))),NA()),NA())</f>
        <v/>
      </c>
      <c r="F2399" s="32">
        <f>IFERROR(IF(ISNUMBER($A2399),IF(AND(AH!$U$12=1,2394+1=AH!$U$6),IF(AH!$U$4=0,"unavailable",INDEX('Market Data'!$AO$5:$AO$66,AH!$U$4)),IF(AH!$U$5=1,INDEX('Live History'!$E$5:$E$3004,MATCH($A2399,'Live History'!$D$5:$D$3004,1)),INDEX('AH History'!$D$5:$GG$1380,$K2399,AH!$U$10+1))),NA()),NA())</f>
        <v/>
      </c>
      <c r="G2399" s="34">
        <f>IFERROR(IF(ISNUMBER($A2399),IF(AND(AH!$U$12=1,2394+1=AH!$U$6),IF(AH!$U$4=0,"unavailable",INDEX('Market Data'!$AK$5:$AK$66,AH!$U$4)),IF(AH!$U$5=1,INDEX('Live History'!$D$5:$D$3004,MATCH($A2399,'Live History'!$D$5:$D$3004,1)),INDEX('AH History'!$D$5:$GG$1380,$K2399,AH!$U$10+2))),NA()),NA())</f>
        <v/>
      </c>
      <c r="H2399" s="266">
        <f>IFERROR(IF(ISNUMBER($A2399),IF(AND(AH!$U$12=1,2394+1=AH!$U$6),IF(AH!$U$4=0,"unavailable",INDEX('Market Data'!$AP$5:$AP$66,AH!$U$4)),IF(AH!$U$5=1,INDEX('Live History'!$H$5:$H$3004,MATCH($A2399,'Live History'!$G$5:$G$3004,1)),INDEX('AH History'!$B$5:$B$1380,$K2399))),NA()),NA())</f>
        <v/>
      </c>
      <c r="I2399" s="34">
        <f>IFERROR(IF(ISNUMBER($A2399),IF(AND(AH!$U$12=1,2394+1=AH!$U$6),TODAY(),IF(AH!$U$5=1,INDEX('Live History'!$G$5:$G$3004,MATCH($A2399,'Live History'!$G$5:$G$3004,1)),INDEX('AH History'!$C$5:$C$1380,$K2399))),NA()),NA())</f>
        <v/>
      </c>
      <c r="J2399" s="32">
        <f>IFERROR(IF(AND($F2399&gt;0,$H2399&gt;0,$A2399-$G2399&lt;=10,$A2399-$I2399&lt;=5,$G2399&gt;0,$I2399&gt;0),$F2399*$H2399,NA()),NA())</f>
        <v/>
      </c>
      <c r="K2399" s="15">
        <f>IF($A2399="","",IF(AH!$U$5=1,IFERROR(MATCH($A2399,'Live History'!$A$5:$A$3004,0),0),AH!$U$7+2394))</f>
        <v/>
      </c>
      <c r="L2399" s="15">
        <f>IF(ISNUMBER(A2399),TEXT(A2399,"dd-mmm-yy"),"")</f>
        <v/>
      </c>
    </row>
    <row r="2400">
      <c r="A2400" s="14">
        <f>IF(OR(AH!$U$4=0,2395+1&gt;AH!$U$6,AND(AH!$M$5="Bloomberg",AH!$U$5=0)),"",IFERROR(IF(AND(AH!$U$12=1,2395+1=AH!$U$6),TODAY(),IF(AH!$U$5=1,INDEX('Live History'!$A$5:$A$3004,AH!$U$7+2395),INDEX('AH History'!$A$5:$A$1380,AH!$U$7+2395))),""))</f>
        <v/>
      </c>
      <c r="B2400" s="33">
        <f>IFERROR(IF(AH!$U$11=1,NA(),$J2400/$E2400-1),NA())</f>
        <v/>
      </c>
      <c r="C2400" s="269">
        <f>IFERROR(100*$E2400/$E$5,NA())</f>
        <v/>
      </c>
      <c r="D2400" s="269">
        <f>IFERROR(100*$J2400/$J$5,NA())</f>
        <v/>
      </c>
      <c r="E2400" s="32">
        <f>IFERROR(IF(AND(ISNUMBER($A2400),N(IF(AND(AH!$U$12=1,2395+1=AH!$U$6),IF(AH!$U$4=0,"unavailable",INDEX('Market Data'!$AN$5:$AN$66,AH!$U$4)),IF(AH!$U$5=1,INDEX('Live History'!$B$5:$B$3004,$K2400),INDEX('AH History'!$D$5:$GG$1380,$K2400,AH!$U$10))))&gt;0),IF(AND(AH!$U$12=1,2395+1=AH!$U$6),IF(AH!$U$4=0,"unavailable",INDEX('Market Data'!$AN$5:$AN$66,AH!$U$4)),IF(AH!$U$5=1,INDEX('Live History'!$B$5:$B$3004,$K2400),INDEX('AH History'!$D$5:$GG$1380,$K2400,AH!$U$10))),NA()),NA())</f>
        <v/>
      </c>
      <c r="F2400" s="32">
        <f>IFERROR(IF(ISNUMBER($A2400),IF(AND(AH!$U$12=1,2395+1=AH!$U$6),IF(AH!$U$4=0,"unavailable",INDEX('Market Data'!$AO$5:$AO$66,AH!$U$4)),IF(AH!$U$5=1,INDEX('Live History'!$E$5:$E$3004,MATCH($A2400,'Live History'!$D$5:$D$3004,1)),INDEX('AH History'!$D$5:$GG$1380,$K2400,AH!$U$10+1))),NA()),NA())</f>
        <v/>
      </c>
      <c r="G2400" s="34">
        <f>IFERROR(IF(ISNUMBER($A2400),IF(AND(AH!$U$12=1,2395+1=AH!$U$6),IF(AH!$U$4=0,"unavailable",INDEX('Market Data'!$AK$5:$AK$66,AH!$U$4)),IF(AH!$U$5=1,INDEX('Live History'!$D$5:$D$3004,MATCH($A2400,'Live History'!$D$5:$D$3004,1)),INDEX('AH History'!$D$5:$GG$1380,$K2400,AH!$U$10+2))),NA()),NA())</f>
        <v/>
      </c>
      <c r="H2400" s="266">
        <f>IFERROR(IF(ISNUMBER($A2400),IF(AND(AH!$U$12=1,2395+1=AH!$U$6),IF(AH!$U$4=0,"unavailable",INDEX('Market Data'!$AP$5:$AP$66,AH!$U$4)),IF(AH!$U$5=1,INDEX('Live History'!$H$5:$H$3004,MATCH($A2400,'Live History'!$G$5:$G$3004,1)),INDEX('AH History'!$B$5:$B$1380,$K2400))),NA()),NA())</f>
        <v/>
      </c>
      <c r="I2400" s="34">
        <f>IFERROR(IF(ISNUMBER($A2400),IF(AND(AH!$U$12=1,2395+1=AH!$U$6),TODAY(),IF(AH!$U$5=1,INDEX('Live History'!$G$5:$G$3004,MATCH($A2400,'Live History'!$G$5:$G$3004,1)),INDEX('AH History'!$C$5:$C$1380,$K2400))),NA()),NA())</f>
        <v/>
      </c>
      <c r="J2400" s="32">
        <f>IFERROR(IF(AND($F2400&gt;0,$H2400&gt;0,$A2400-$G2400&lt;=10,$A2400-$I2400&lt;=5,$G2400&gt;0,$I2400&gt;0),$F2400*$H2400,NA()),NA())</f>
        <v/>
      </c>
      <c r="K2400" s="15">
        <f>IF($A2400="","",IF(AH!$U$5=1,IFERROR(MATCH($A2400,'Live History'!$A$5:$A$3004,0),0),AH!$U$7+2395))</f>
        <v/>
      </c>
      <c r="L2400" s="15">
        <f>IF(ISNUMBER(A2400),TEXT(A2400,"dd-mmm-yy"),"")</f>
        <v/>
      </c>
    </row>
    <row r="2401">
      <c r="A2401" s="14">
        <f>IF(OR(AH!$U$4=0,2396+1&gt;AH!$U$6,AND(AH!$M$5="Bloomberg",AH!$U$5=0)),"",IFERROR(IF(AND(AH!$U$12=1,2396+1=AH!$U$6),TODAY(),IF(AH!$U$5=1,INDEX('Live History'!$A$5:$A$3004,AH!$U$7+2396),INDEX('AH History'!$A$5:$A$1380,AH!$U$7+2396))),""))</f>
        <v/>
      </c>
      <c r="B2401" s="33">
        <f>IFERROR(IF(AH!$U$11=1,NA(),$J2401/$E2401-1),NA())</f>
        <v/>
      </c>
      <c r="C2401" s="269">
        <f>IFERROR(100*$E2401/$E$5,NA())</f>
        <v/>
      </c>
      <c r="D2401" s="269">
        <f>IFERROR(100*$J2401/$J$5,NA())</f>
        <v/>
      </c>
      <c r="E2401" s="32">
        <f>IFERROR(IF(AND(ISNUMBER($A2401),N(IF(AND(AH!$U$12=1,2396+1=AH!$U$6),IF(AH!$U$4=0,"unavailable",INDEX('Market Data'!$AN$5:$AN$66,AH!$U$4)),IF(AH!$U$5=1,INDEX('Live History'!$B$5:$B$3004,$K2401),INDEX('AH History'!$D$5:$GG$1380,$K2401,AH!$U$10))))&gt;0),IF(AND(AH!$U$12=1,2396+1=AH!$U$6),IF(AH!$U$4=0,"unavailable",INDEX('Market Data'!$AN$5:$AN$66,AH!$U$4)),IF(AH!$U$5=1,INDEX('Live History'!$B$5:$B$3004,$K2401),INDEX('AH History'!$D$5:$GG$1380,$K2401,AH!$U$10))),NA()),NA())</f>
        <v/>
      </c>
      <c r="F2401" s="32">
        <f>IFERROR(IF(ISNUMBER($A2401),IF(AND(AH!$U$12=1,2396+1=AH!$U$6),IF(AH!$U$4=0,"unavailable",INDEX('Market Data'!$AO$5:$AO$66,AH!$U$4)),IF(AH!$U$5=1,INDEX('Live History'!$E$5:$E$3004,MATCH($A2401,'Live History'!$D$5:$D$3004,1)),INDEX('AH History'!$D$5:$GG$1380,$K2401,AH!$U$10+1))),NA()),NA())</f>
        <v/>
      </c>
      <c r="G2401" s="34">
        <f>IFERROR(IF(ISNUMBER($A2401),IF(AND(AH!$U$12=1,2396+1=AH!$U$6),IF(AH!$U$4=0,"unavailable",INDEX('Market Data'!$AK$5:$AK$66,AH!$U$4)),IF(AH!$U$5=1,INDEX('Live History'!$D$5:$D$3004,MATCH($A2401,'Live History'!$D$5:$D$3004,1)),INDEX('AH History'!$D$5:$GG$1380,$K2401,AH!$U$10+2))),NA()),NA())</f>
        <v/>
      </c>
      <c r="H2401" s="266">
        <f>IFERROR(IF(ISNUMBER($A2401),IF(AND(AH!$U$12=1,2396+1=AH!$U$6),IF(AH!$U$4=0,"unavailable",INDEX('Market Data'!$AP$5:$AP$66,AH!$U$4)),IF(AH!$U$5=1,INDEX('Live History'!$H$5:$H$3004,MATCH($A2401,'Live History'!$G$5:$G$3004,1)),INDEX('AH History'!$B$5:$B$1380,$K2401))),NA()),NA())</f>
        <v/>
      </c>
      <c r="I2401" s="34">
        <f>IFERROR(IF(ISNUMBER($A2401),IF(AND(AH!$U$12=1,2396+1=AH!$U$6),TODAY(),IF(AH!$U$5=1,INDEX('Live History'!$G$5:$G$3004,MATCH($A2401,'Live History'!$G$5:$G$3004,1)),INDEX('AH History'!$C$5:$C$1380,$K2401))),NA()),NA())</f>
        <v/>
      </c>
      <c r="J2401" s="32">
        <f>IFERROR(IF(AND($F2401&gt;0,$H2401&gt;0,$A2401-$G2401&lt;=10,$A2401-$I2401&lt;=5,$G2401&gt;0,$I2401&gt;0),$F2401*$H2401,NA()),NA())</f>
        <v/>
      </c>
      <c r="K2401" s="15">
        <f>IF($A2401="","",IF(AH!$U$5=1,IFERROR(MATCH($A2401,'Live History'!$A$5:$A$3004,0),0),AH!$U$7+2396))</f>
        <v/>
      </c>
      <c r="L2401" s="15">
        <f>IF(ISNUMBER(A2401),TEXT(A2401,"dd-mmm-yy"),"")</f>
        <v/>
      </c>
    </row>
    <row r="2402">
      <c r="A2402" s="14">
        <f>IF(OR(AH!$U$4=0,2397+1&gt;AH!$U$6,AND(AH!$M$5="Bloomberg",AH!$U$5=0)),"",IFERROR(IF(AND(AH!$U$12=1,2397+1=AH!$U$6),TODAY(),IF(AH!$U$5=1,INDEX('Live History'!$A$5:$A$3004,AH!$U$7+2397),INDEX('AH History'!$A$5:$A$1380,AH!$U$7+2397))),""))</f>
        <v/>
      </c>
      <c r="B2402" s="33">
        <f>IFERROR(IF(AH!$U$11=1,NA(),$J2402/$E2402-1),NA())</f>
        <v/>
      </c>
      <c r="C2402" s="269">
        <f>IFERROR(100*$E2402/$E$5,NA())</f>
        <v/>
      </c>
      <c r="D2402" s="269">
        <f>IFERROR(100*$J2402/$J$5,NA())</f>
        <v/>
      </c>
      <c r="E2402" s="32">
        <f>IFERROR(IF(AND(ISNUMBER($A2402),N(IF(AND(AH!$U$12=1,2397+1=AH!$U$6),IF(AH!$U$4=0,"unavailable",INDEX('Market Data'!$AN$5:$AN$66,AH!$U$4)),IF(AH!$U$5=1,INDEX('Live History'!$B$5:$B$3004,$K2402),INDEX('AH History'!$D$5:$GG$1380,$K2402,AH!$U$10))))&gt;0),IF(AND(AH!$U$12=1,2397+1=AH!$U$6),IF(AH!$U$4=0,"unavailable",INDEX('Market Data'!$AN$5:$AN$66,AH!$U$4)),IF(AH!$U$5=1,INDEX('Live History'!$B$5:$B$3004,$K2402),INDEX('AH History'!$D$5:$GG$1380,$K2402,AH!$U$10))),NA()),NA())</f>
        <v/>
      </c>
      <c r="F2402" s="32">
        <f>IFERROR(IF(ISNUMBER($A2402),IF(AND(AH!$U$12=1,2397+1=AH!$U$6),IF(AH!$U$4=0,"unavailable",INDEX('Market Data'!$AO$5:$AO$66,AH!$U$4)),IF(AH!$U$5=1,INDEX('Live History'!$E$5:$E$3004,MATCH($A2402,'Live History'!$D$5:$D$3004,1)),INDEX('AH History'!$D$5:$GG$1380,$K2402,AH!$U$10+1))),NA()),NA())</f>
        <v/>
      </c>
      <c r="G2402" s="34">
        <f>IFERROR(IF(ISNUMBER($A2402),IF(AND(AH!$U$12=1,2397+1=AH!$U$6),IF(AH!$U$4=0,"unavailable",INDEX('Market Data'!$AK$5:$AK$66,AH!$U$4)),IF(AH!$U$5=1,INDEX('Live History'!$D$5:$D$3004,MATCH($A2402,'Live History'!$D$5:$D$3004,1)),INDEX('AH History'!$D$5:$GG$1380,$K2402,AH!$U$10+2))),NA()),NA())</f>
        <v/>
      </c>
      <c r="H2402" s="266">
        <f>IFERROR(IF(ISNUMBER($A2402),IF(AND(AH!$U$12=1,2397+1=AH!$U$6),IF(AH!$U$4=0,"unavailable",INDEX('Market Data'!$AP$5:$AP$66,AH!$U$4)),IF(AH!$U$5=1,INDEX('Live History'!$H$5:$H$3004,MATCH($A2402,'Live History'!$G$5:$G$3004,1)),INDEX('AH History'!$B$5:$B$1380,$K2402))),NA()),NA())</f>
        <v/>
      </c>
      <c r="I2402" s="34">
        <f>IFERROR(IF(ISNUMBER($A2402),IF(AND(AH!$U$12=1,2397+1=AH!$U$6),TODAY(),IF(AH!$U$5=1,INDEX('Live History'!$G$5:$G$3004,MATCH($A2402,'Live History'!$G$5:$G$3004,1)),INDEX('AH History'!$C$5:$C$1380,$K2402))),NA()),NA())</f>
        <v/>
      </c>
      <c r="J2402" s="32">
        <f>IFERROR(IF(AND($F2402&gt;0,$H2402&gt;0,$A2402-$G2402&lt;=10,$A2402-$I2402&lt;=5,$G2402&gt;0,$I2402&gt;0),$F2402*$H2402,NA()),NA())</f>
        <v/>
      </c>
      <c r="K2402" s="15">
        <f>IF($A2402="","",IF(AH!$U$5=1,IFERROR(MATCH($A2402,'Live History'!$A$5:$A$3004,0),0),AH!$U$7+2397))</f>
        <v/>
      </c>
      <c r="L2402" s="15">
        <f>IF(ISNUMBER(A2402),TEXT(A2402,"dd-mmm-yy"),"")</f>
        <v/>
      </c>
    </row>
    <row r="2403">
      <c r="A2403" s="14">
        <f>IF(OR(AH!$U$4=0,2398+1&gt;AH!$U$6,AND(AH!$M$5="Bloomberg",AH!$U$5=0)),"",IFERROR(IF(AND(AH!$U$12=1,2398+1=AH!$U$6),TODAY(),IF(AH!$U$5=1,INDEX('Live History'!$A$5:$A$3004,AH!$U$7+2398),INDEX('AH History'!$A$5:$A$1380,AH!$U$7+2398))),""))</f>
        <v/>
      </c>
      <c r="B2403" s="33">
        <f>IFERROR(IF(AH!$U$11=1,NA(),$J2403/$E2403-1),NA())</f>
        <v/>
      </c>
      <c r="C2403" s="269">
        <f>IFERROR(100*$E2403/$E$5,NA())</f>
        <v/>
      </c>
      <c r="D2403" s="269">
        <f>IFERROR(100*$J2403/$J$5,NA())</f>
        <v/>
      </c>
      <c r="E2403" s="32">
        <f>IFERROR(IF(AND(ISNUMBER($A2403),N(IF(AND(AH!$U$12=1,2398+1=AH!$U$6),IF(AH!$U$4=0,"unavailable",INDEX('Market Data'!$AN$5:$AN$66,AH!$U$4)),IF(AH!$U$5=1,INDEX('Live History'!$B$5:$B$3004,$K2403),INDEX('AH History'!$D$5:$GG$1380,$K2403,AH!$U$10))))&gt;0),IF(AND(AH!$U$12=1,2398+1=AH!$U$6),IF(AH!$U$4=0,"unavailable",INDEX('Market Data'!$AN$5:$AN$66,AH!$U$4)),IF(AH!$U$5=1,INDEX('Live History'!$B$5:$B$3004,$K2403),INDEX('AH History'!$D$5:$GG$1380,$K2403,AH!$U$10))),NA()),NA())</f>
        <v/>
      </c>
      <c r="F2403" s="32">
        <f>IFERROR(IF(ISNUMBER($A2403),IF(AND(AH!$U$12=1,2398+1=AH!$U$6),IF(AH!$U$4=0,"unavailable",INDEX('Market Data'!$AO$5:$AO$66,AH!$U$4)),IF(AH!$U$5=1,INDEX('Live History'!$E$5:$E$3004,MATCH($A2403,'Live History'!$D$5:$D$3004,1)),INDEX('AH History'!$D$5:$GG$1380,$K2403,AH!$U$10+1))),NA()),NA())</f>
        <v/>
      </c>
      <c r="G2403" s="34">
        <f>IFERROR(IF(ISNUMBER($A2403),IF(AND(AH!$U$12=1,2398+1=AH!$U$6),IF(AH!$U$4=0,"unavailable",INDEX('Market Data'!$AK$5:$AK$66,AH!$U$4)),IF(AH!$U$5=1,INDEX('Live History'!$D$5:$D$3004,MATCH($A2403,'Live History'!$D$5:$D$3004,1)),INDEX('AH History'!$D$5:$GG$1380,$K2403,AH!$U$10+2))),NA()),NA())</f>
        <v/>
      </c>
      <c r="H2403" s="266">
        <f>IFERROR(IF(ISNUMBER($A2403),IF(AND(AH!$U$12=1,2398+1=AH!$U$6),IF(AH!$U$4=0,"unavailable",INDEX('Market Data'!$AP$5:$AP$66,AH!$U$4)),IF(AH!$U$5=1,INDEX('Live History'!$H$5:$H$3004,MATCH($A2403,'Live History'!$G$5:$G$3004,1)),INDEX('AH History'!$B$5:$B$1380,$K2403))),NA()),NA())</f>
        <v/>
      </c>
      <c r="I2403" s="34">
        <f>IFERROR(IF(ISNUMBER($A2403),IF(AND(AH!$U$12=1,2398+1=AH!$U$6),TODAY(),IF(AH!$U$5=1,INDEX('Live History'!$G$5:$G$3004,MATCH($A2403,'Live History'!$G$5:$G$3004,1)),INDEX('AH History'!$C$5:$C$1380,$K2403))),NA()),NA())</f>
        <v/>
      </c>
      <c r="J2403" s="32">
        <f>IFERROR(IF(AND($F2403&gt;0,$H2403&gt;0,$A2403-$G2403&lt;=10,$A2403-$I2403&lt;=5,$G2403&gt;0,$I2403&gt;0),$F2403*$H2403,NA()),NA())</f>
        <v/>
      </c>
      <c r="K2403" s="15">
        <f>IF($A2403="","",IF(AH!$U$5=1,IFERROR(MATCH($A2403,'Live History'!$A$5:$A$3004,0),0),AH!$U$7+2398))</f>
        <v/>
      </c>
      <c r="L2403" s="15">
        <f>IF(ISNUMBER(A2403),TEXT(A2403,"dd-mmm-yy"),"")</f>
        <v/>
      </c>
    </row>
    <row r="2404">
      <c r="A2404" s="14">
        <f>IF(OR(AH!$U$4=0,2399+1&gt;AH!$U$6,AND(AH!$M$5="Bloomberg",AH!$U$5=0)),"",IFERROR(IF(AND(AH!$U$12=1,2399+1=AH!$U$6),TODAY(),IF(AH!$U$5=1,INDEX('Live History'!$A$5:$A$3004,AH!$U$7+2399),INDEX('AH History'!$A$5:$A$1380,AH!$U$7+2399))),""))</f>
        <v/>
      </c>
      <c r="B2404" s="33">
        <f>IFERROR(IF(AH!$U$11=1,NA(),$J2404/$E2404-1),NA())</f>
        <v/>
      </c>
      <c r="C2404" s="269">
        <f>IFERROR(100*$E2404/$E$5,NA())</f>
        <v/>
      </c>
      <c r="D2404" s="269">
        <f>IFERROR(100*$J2404/$J$5,NA())</f>
        <v/>
      </c>
      <c r="E2404" s="32">
        <f>IFERROR(IF(AND(ISNUMBER($A2404),N(IF(AND(AH!$U$12=1,2399+1=AH!$U$6),IF(AH!$U$4=0,"unavailable",INDEX('Market Data'!$AN$5:$AN$66,AH!$U$4)),IF(AH!$U$5=1,INDEX('Live History'!$B$5:$B$3004,$K2404),INDEX('AH History'!$D$5:$GG$1380,$K2404,AH!$U$10))))&gt;0),IF(AND(AH!$U$12=1,2399+1=AH!$U$6),IF(AH!$U$4=0,"unavailable",INDEX('Market Data'!$AN$5:$AN$66,AH!$U$4)),IF(AH!$U$5=1,INDEX('Live History'!$B$5:$B$3004,$K2404),INDEX('AH History'!$D$5:$GG$1380,$K2404,AH!$U$10))),NA()),NA())</f>
        <v/>
      </c>
      <c r="F2404" s="32">
        <f>IFERROR(IF(ISNUMBER($A2404),IF(AND(AH!$U$12=1,2399+1=AH!$U$6),IF(AH!$U$4=0,"unavailable",INDEX('Market Data'!$AO$5:$AO$66,AH!$U$4)),IF(AH!$U$5=1,INDEX('Live History'!$E$5:$E$3004,MATCH($A2404,'Live History'!$D$5:$D$3004,1)),INDEX('AH History'!$D$5:$GG$1380,$K2404,AH!$U$10+1))),NA()),NA())</f>
        <v/>
      </c>
      <c r="G2404" s="34">
        <f>IFERROR(IF(ISNUMBER($A2404),IF(AND(AH!$U$12=1,2399+1=AH!$U$6),IF(AH!$U$4=0,"unavailable",INDEX('Market Data'!$AK$5:$AK$66,AH!$U$4)),IF(AH!$U$5=1,INDEX('Live History'!$D$5:$D$3004,MATCH($A2404,'Live History'!$D$5:$D$3004,1)),INDEX('AH History'!$D$5:$GG$1380,$K2404,AH!$U$10+2))),NA()),NA())</f>
        <v/>
      </c>
      <c r="H2404" s="266">
        <f>IFERROR(IF(ISNUMBER($A2404),IF(AND(AH!$U$12=1,2399+1=AH!$U$6),IF(AH!$U$4=0,"unavailable",INDEX('Market Data'!$AP$5:$AP$66,AH!$U$4)),IF(AH!$U$5=1,INDEX('Live History'!$H$5:$H$3004,MATCH($A2404,'Live History'!$G$5:$G$3004,1)),INDEX('AH History'!$B$5:$B$1380,$K2404))),NA()),NA())</f>
        <v/>
      </c>
      <c r="I2404" s="34">
        <f>IFERROR(IF(ISNUMBER($A2404),IF(AND(AH!$U$12=1,2399+1=AH!$U$6),TODAY(),IF(AH!$U$5=1,INDEX('Live History'!$G$5:$G$3004,MATCH($A2404,'Live History'!$G$5:$G$3004,1)),INDEX('AH History'!$C$5:$C$1380,$K2404))),NA()),NA())</f>
        <v/>
      </c>
      <c r="J2404" s="32">
        <f>IFERROR(IF(AND($F2404&gt;0,$H2404&gt;0,$A2404-$G2404&lt;=10,$A2404-$I2404&lt;=5,$G2404&gt;0,$I2404&gt;0),$F2404*$H2404,NA()),NA())</f>
        <v/>
      </c>
      <c r="K2404" s="15">
        <f>IF($A2404="","",IF(AH!$U$5=1,IFERROR(MATCH($A2404,'Live History'!$A$5:$A$3004,0),0),AH!$U$7+2399))</f>
        <v/>
      </c>
      <c r="L2404" s="15">
        <f>IF(ISNUMBER(A2404),TEXT(A2404,"dd-mmm-yy"),"")</f>
        <v/>
      </c>
    </row>
    <row r="2405">
      <c r="A2405" s="14">
        <f>IF(OR(AH!$U$4=0,2400+1&gt;AH!$U$6,AND(AH!$M$5="Bloomberg",AH!$U$5=0)),"",IFERROR(IF(AND(AH!$U$12=1,2400+1=AH!$U$6),TODAY(),IF(AH!$U$5=1,INDEX('Live History'!$A$5:$A$3004,AH!$U$7+2400),INDEX('AH History'!$A$5:$A$1380,AH!$U$7+2400))),""))</f>
        <v/>
      </c>
      <c r="B2405" s="33">
        <f>IFERROR(IF(AH!$U$11=1,NA(),$J2405/$E2405-1),NA())</f>
        <v/>
      </c>
      <c r="C2405" s="269">
        <f>IFERROR(100*$E2405/$E$5,NA())</f>
        <v/>
      </c>
      <c r="D2405" s="269">
        <f>IFERROR(100*$J2405/$J$5,NA())</f>
        <v/>
      </c>
      <c r="E2405" s="32">
        <f>IFERROR(IF(AND(ISNUMBER($A2405),N(IF(AND(AH!$U$12=1,2400+1=AH!$U$6),IF(AH!$U$4=0,"unavailable",INDEX('Market Data'!$AN$5:$AN$66,AH!$U$4)),IF(AH!$U$5=1,INDEX('Live History'!$B$5:$B$3004,$K2405),INDEX('AH History'!$D$5:$GG$1380,$K2405,AH!$U$10))))&gt;0),IF(AND(AH!$U$12=1,2400+1=AH!$U$6),IF(AH!$U$4=0,"unavailable",INDEX('Market Data'!$AN$5:$AN$66,AH!$U$4)),IF(AH!$U$5=1,INDEX('Live History'!$B$5:$B$3004,$K2405),INDEX('AH History'!$D$5:$GG$1380,$K2405,AH!$U$10))),NA()),NA())</f>
        <v/>
      </c>
      <c r="F2405" s="32">
        <f>IFERROR(IF(ISNUMBER($A2405),IF(AND(AH!$U$12=1,2400+1=AH!$U$6),IF(AH!$U$4=0,"unavailable",INDEX('Market Data'!$AO$5:$AO$66,AH!$U$4)),IF(AH!$U$5=1,INDEX('Live History'!$E$5:$E$3004,MATCH($A2405,'Live History'!$D$5:$D$3004,1)),INDEX('AH History'!$D$5:$GG$1380,$K2405,AH!$U$10+1))),NA()),NA())</f>
        <v/>
      </c>
      <c r="G2405" s="34">
        <f>IFERROR(IF(ISNUMBER($A2405),IF(AND(AH!$U$12=1,2400+1=AH!$U$6),IF(AH!$U$4=0,"unavailable",INDEX('Market Data'!$AK$5:$AK$66,AH!$U$4)),IF(AH!$U$5=1,INDEX('Live History'!$D$5:$D$3004,MATCH($A2405,'Live History'!$D$5:$D$3004,1)),INDEX('AH History'!$D$5:$GG$1380,$K2405,AH!$U$10+2))),NA()),NA())</f>
        <v/>
      </c>
      <c r="H2405" s="266">
        <f>IFERROR(IF(ISNUMBER($A2405),IF(AND(AH!$U$12=1,2400+1=AH!$U$6),IF(AH!$U$4=0,"unavailable",INDEX('Market Data'!$AP$5:$AP$66,AH!$U$4)),IF(AH!$U$5=1,INDEX('Live History'!$H$5:$H$3004,MATCH($A2405,'Live History'!$G$5:$G$3004,1)),INDEX('AH History'!$B$5:$B$1380,$K2405))),NA()),NA())</f>
        <v/>
      </c>
      <c r="I2405" s="34">
        <f>IFERROR(IF(ISNUMBER($A2405),IF(AND(AH!$U$12=1,2400+1=AH!$U$6),TODAY(),IF(AH!$U$5=1,INDEX('Live History'!$G$5:$G$3004,MATCH($A2405,'Live History'!$G$5:$G$3004,1)),INDEX('AH History'!$C$5:$C$1380,$K2405))),NA()),NA())</f>
        <v/>
      </c>
      <c r="J2405" s="32">
        <f>IFERROR(IF(AND($F2405&gt;0,$H2405&gt;0,$A2405-$G2405&lt;=10,$A2405-$I2405&lt;=5,$G2405&gt;0,$I2405&gt;0),$F2405*$H2405,NA()),NA())</f>
        <v/>
      </c>
      <c r="K2405" s="15">
        <f>IF($A2405="","",IF(AH!$U$5=1,IFERROR(MATCH($A2405,'Live History'!$A$5:$A$3004,0),0),AH!$U$7+2400))</f>
        <v/>
      </c>
      <c r="L2405" s="15">
        <f>IF(ISNUMBER(A2405),TEXT(A2405,"dd-mmm-yy"),"")</f>
        <v/>
      </c>
    </row>
    <row r="2406">
      <c r="A2406" s="14">
        <f>IF(OR(AH!$U$4=0,2401+1&gt;AH!$U$6,AND(AH!$M$5="Bloomberg",AH!$U$5=0)),"",IFERROR(IF(AND(AH!$U$12=1,2401+1=AH!$U$6),TODAY(),IF(AH!$U$5=1,INDEX('Live History'!$A$5:$A$3004,AH!$U$7+2401),INDEX('AH History'!$A$5:$A$1380,AH!$U$7+2401))),""))</f>
        <v/>
      </c>
      <c r="B2406" s="33">
        <f>IFERROR(IF(AH!$U$11=1,NA(),$J2406/$E2406-1),NA())</f>
        <v/>
      </c>
      <c r="C2406" s="269">
        <f>IFERROR(100*$E2406/$E$5,NA())</f>
        <v/>
      </c>
      <c r="D2406" s="269">
        <f>IFERROR(100*$J2406/$J$5,NA())</f>
        <v/>
      </c>
      <c r="E2406" s="32">
        <f>IFERROR(IF(AND(ISNUMBER($A2406),N(IF(AND(AH!$U$12=1,2401+1=AH!$U$6),IF(AH!$U$4=0,"unavailable",INDEX('Market Data'!$AN$5:$AN$66,AH!$U$4)),IF(AH!$U$5=1,INDEX('Live History'!$B$5:$B$3004,$K2406),INDEX('AH History'!$D$5:$GG$1380,$K2406,AH!$U$10))))&gt;0),IF(AND(AH!$U$12=1,2401+1=AH!$U$6),IF(AH!$U$4=0,"unavailable",INDEX('Market Data'!$AN$5:$AN$66,AH!$U$4)),IF(AH!$U$5=1,INDEX('Live History'!$B$5:$B$3004,$K2406),INDEX('AH History'!$D$5:$GG$1380,$K2406,AH!$U$10))),NA()),NA())</f>
        <v/>
      </c>
      <c r="F2406" s="32">
        <f>IFERROR(IF(ISNUMBER($A2406),IF(AND(AH!$U$12=1,2401+1=AH!$U$6),IF(AH!$U$4=0,"unavailable",INDEX('Market Data'!$AO$5:$AO$66,AH!$U$4)),IF(AH!$U$5=1,INDEX('Live History'!$E$5:$E$3004,MATCH($A2406,'Live History'!$D$5:$D$3004,1)),INDEX('AH History'!$D$5:$GG$1380,$K2406,AH!$U$10+1))),NA()),NA())</f>
        <v/>
      </c>
      <c r="G2406" s="34">
        <f>IFERROR(IF(ISNUMBER($A2406),IF(AND(AH!$U$12=1,2401+1=AH!$U$6),IF(AH!$U$4=0,"unavailable",INDEX('Market Data'!$AK$5:$AK$66,AH!$U$4)),IF(AH!$U$5=1,INDEX('Live History'!$D$5:$D$3004,MATCH($A2406,'Live History'!$D$5:$D$3004,1)),INDEX('AH History'!$D$5:$GG$1380,$K2406,AH!$U$10+2))),NA()),NA())</f>
        <v/>
      </c>
      <c r="H2406" s="266">
        <f>IFERROR(IF(ISNUMBER($A2406),IF(AND(AH!$U$12=1,2401+1=AH!$U$6),IF(AH!$U$4=0,"unavailable",INDEX('Market Data'!$AP$5:$AP$66,AH!$U$4)),IF(AH!$U$5=1,INDEX('Live History'!$H$5:$H$3004,MATCH($A2406,'Live History'!$G$5:$G$3004,1)),INDEX('AH History'!$B$5:$B$1380,$K2406))),NA()),NA())</f>
        <v/>
      </c>
      <c r="I2406" s="34">
        <f>IFERROR(IF(ISNUMBER($A2406),IF(AND(AH!$U$12=1,2401+1=AH!$U$6),TODAY(),IF(AH!$U$5=1,INDEX('Live History'!$G$5:$G$3004,MATCH($A2406,'Live History'!$G$5:$G$3004,1)),INDEX('AH History'!$C$5:$C$1380,$K2406))),NA()),NA())</f>
        <v/>
      </c>
      <c r="J2406" s="32">
        <f>IFERROR(IF(AND($F2406&gt;0,$H2406&gt;0,$A2406-$G2406&lt;=10,$A2406-$I2406&lt;=5,$G2406&gt;0,$I2406&gt;0),$F2406*$H2406,NA()),NA())</f>
        <v/>
      </c>
      <c r="K2406" s="15">
        <f>IF($A2406="","",IF(AH!$U$5=1,IFERROR(MATCH($A2406,'Live History'!$A$5:$A$3004,0),0),AH!$U$7+2401))</f>
        <v/>
      </c>
      <c r="L2406" s="15">
        <f>IF(ISNUMBER(A2406),TEXT(A2406,"dd-mmm-yy"),"")</f>
        <v/>
      </c>
    </row>
    <row r="2407">
      <c r="A2407" s="14">
        <f>IF(OR(AH!$U$4=0,2402+1&gt;AH!$U$6,AND(AH!$M$5="Bloomberg",AH!$U$5=0)),"",IFERROR(IF(AND(AH!$U$12=1,2402+1=AH!$U$6),TODAY(),IF(AH!$U$5=1,INDEX('Live History'!$A$5:$A$3004,AH!$U$7+2402),INDEX('AH History'!$A$5:$A$1380,AH!$U$7+2402))),""))</f>
        <v/>
      </c>
      <c r="B2407" s="33">
        <f>IFERROR(IF(AH!$U$11=1,NA(),$J2407/$E2407-1),NA())</f>
        <v/>
      </c>
      <c r="C2407" s="269">
        <f>IFERROR(100*$E2407/$E$5,NA())</f>
        <v/>
      </c>
      <c r="D2407" s="269">
        <f>IFERROR(100*$J2407/$J$5,NA())</f>
        <v/>
      </c>
      <c r="E2407" s="32">
        <f>IFERROR(IF(AND(ISNUMBER($A2407),N(IF(AND(AH!$U$12=1,2402+1=AH!$U$6),IF(AH!$U$4=0,"unavailable",INDEX('Market Data'!$AN$5:$AN$66,AH!$U$4)),IF(AH!$U$5=1,INDEX('Live History'!$B$5:$B$3004,$K2407),INDEX('AH History'!$D$5:$GG$1380,$K2407,AH!$U$10))))&gt;0),IF(AND(AH!$U$12=1,2402+1=AH!$U$6),IF(AH!$U$4=0,"unavailable",INDEX('Market Data'!$AN$5:$AN$66,AH!$U$4)),IF(AH!$U$5=1,INDEX('Live History'!$B$5:$B$3004,$K2407),INDEX('AH History'!$D$5:$GG$1380,$K2407,AH!$U$10))),NA()),NA())</f>
        <v/>
      </c>
      <c r="F2407" s="32">
        <f>IFERROR(IF(ISNUMBER($A2407),IF(AND(AH!$U$12=1,2402+1=AH!$U$6),IF(AH!$U$4=0,"unavailable",INDEX('Market Data'!$AO$5:$AO$66,AH!$U$4)),IF(AH!$U$5=1,INDEX('Live History'!$E$5:$E$3004,MATCH($A2407,'Live History'!$D$5:$D$3004,1)),INDEX('AH History'!$D$5:$GG$1380,$K2407,AH!$U$10+1))),NA()),NA())</f>
        <v/>
      </c>
      <c r="G2407" s="34">
        <f>IFERROR(IF(ISNUMBER($A2407),IF(AND(AH!$U$12=1,2402+1=AH!$U$6),IF(AH!$U$4=0,"unavailable",INDEX('Market Data'!$AK$5:$AK$66,AH!$U$4)),IF(AH!$U$5=1,INDEX('Live History'!$D$5:$D$3004,MATCH($A2407,'Live History'!$D$5:$D$3004,1)),INDEX('AH History'!$D$5:$GG$1380,$K2407,AH!$U$10+2))),NA()),NA())</f>
        <v/>
      </c>
      <c r="H2407" s="266">
        <f>IFERROR(IF(ISNUMBER($A2407),IF(AND(AH!$U$12=1,2402+1=AH!$U$6),IF(AH!$U$4=0,"unavailable",INDEX('Market Data'!$AP$5:$AP$66,AH!$U$4)),IF(AH!$U$5=1,INDEX('Live History'!$H$5:$H$3004,MATCH($A2407,'Live History'!$G$5:$G$3004,1)),INDEX('AH History'!$B$5:$B$1380,$K2407))),NA()),NA())</f>
        <v/>
      </c>
      <c r="I2407" s="34">
        <f>IFERROR(IF(ISNUMBER($A2407),IF(AND(AH!$U$12=1,2402+1=AH!$U$6),TODAY(),IF(AH!$U$5=1,INDEX('Live History'!$G$5:$G$3004,MATCH($A2407,'Live History'!$G$5:$G$3004,1)),INDEX('AH History'!$C$5:$C$1380,$K2407))),NA()),NA())</f>
        <v/>
      </c>
      <c r="J2407" s="32">
        <f>IFERROR(IF(AND($F2407&gt;0,$H2407&gt;0,$A2407-$G2407&lt;=10,$A2407-$I2407&lt;=5,$G2407&gt;0,$I2407&gt;0),$F2407*$H2407,NA()),NA())</f>
        <v/>
      </c>
      <c r="K2407" s="15">
        <f>IF($A2407="","",IF(AH!$U$5=1,IFERROR(MATCH($A2407,'Live History'!$A$5:$A$3004,0),0),AH!$U$7+2402))</f>
        <v/>
      </c>
      <c r="L2407" s="15">
        <f>IF(ISNUMBER(A2407),TEXT(A2407,"dd-mmm-yy"),"")</f>
        <v/>
      </c>
    </row>
    <row r="2408">
      <c r="A2408" s="14">
        <f>IF(OR(AH!$U$4=0,2403+1&gt;AH!$U$6,AND(AH!$M$5="Bloomberg",AH!$U$5=0)),"",IFERROR(IF(AND(AH!$U$12=1,2403+1=AH!$U$6),TODAY(),IF(AH!$U$5=1,INDEX('Live History'!$A$5:$A$3004,AH!$U$7+2403),INDEX('AH History'!$A$5:$A$1380,AH!$U$7+2403))),""))</f>
        <v/>
      </c>
      <c r="B2408" s="33">
        <f>IFERROR(IF(AH!$U$11=1,NA(),$J2408/$E2408-1),NA())</f>
        <v/>
      </c>
      <c r="C2408" s="269">
        <f>IFERROR(100*$E2408/$E$5,NA())</f>
        <v/>
      </c>
      <c r="D2408" s="269">
        <f>IFERROR(100*$J2408/$J$5,NA())</f>
        <v/>
      </c>
      <c r="E2408" s="32">
        <f>IFERROR(IF(AND(ISNUMBER($A2408),N(IF(AND(AH!$U$12=1,2403+1=AH!$U$6),IF(AH!$U$4=0,"unavailable",INDEX('Market Data'!$AN$5:$AN$66,AH!$U$4)),IF(AH!$U$5=1,INDEX('Live History'!$B$5:$B$3004,$K2408),INDEX('AH History'!$D$5:$GG$1380,$K2408,AH!$U$10))))&gt;0),IF(AND(AH!$U$12=1,2403+1=AH!$U$6),IF(AH!$U$4=0,"unavailable",INDEX('Market Data'!$AN$5:$AN$66,AH!$U$4)),IF(AH!$U$5=1,INDEX('Live History'!$B$5:$B$3004,$K2408),INDEX('AH History'!$D$5:$GG$1380,$K2408,AH!$U$10))),NA()),NA())</f>
        <v/>
      </c>
      <c r="F2408" s="32">
        <f>IFERROR(IF(ISNUMBER($A2408),IF(AND(AH!$U$12=1,2403+1=AH!$U$6),IF(AH!$U$4=0,"unavailable",INDEX('Market Data'!$AO$5:$AO$66,AH!$U$4)),IF(AH!$U$5=1,INDEX('Live History'!$E$5:$E$3004,MATCH($A2408,'Live History'!$D$5:$D$3004,1)),INDEX('AH History'!$D$5:$GG$1380,$K2408,AH!$U$10+1))),NA()),NA())</f>
        <v/>
      </c>
      <c r="G2408" s="34">
        <f>IFERROR(IF(ISNUMBER($A2408),IF(AND(AH!$U$12=1,2403+1=AH!$U$6),IF(AH!$U$4=0,"unavailable",INDEX('Market Data'!$AK$5:$AK$66,AH!$U$4)),IF(AH!$U$5=1,INDEX('Live History'!$D$5:$D$3004,MATCH($A2408,'Live History'!$D$5:$D$3004,1)),INDEX('AH History'!$D$5:$GG$1380,$K2408,AH!$U$10+2))),NA()),NA())</f>
        <v/>
      </c>
      <c r="H2408" s="266">
        <f>IFERROR(IF(ISNUMBER($A2408),IF(AND(AH!$U$12=1,2403+1=AH!$U$6),IF(AH!$U$4=0,"unavailable",INDEX('Market Data'!$AP$5:$AP$66,AH!$U$4)),IF(AH!$U$5=1,INDEX('Live History'!$H$5:$H$3004,MATCH($A2408,'Live History'!$G$5:$G$3004,1)),INDEX('AH History'!$B$5:$B$1380,$K2408))),NA()),NA())</f>
        <v/>
      </c>
      <c r="I2408" s="34">
        <f>IFERROR(IF(ISNUMBER($A2408),IF(AND(AH!$U$12=1,2403+1=AH!$U$6),TODAY(),IF(AH!$U$5=1,INDEX('Live History'!$G$5:$G$3004,MATCH($A2408,'Live History'!$G$5:$G$3004,1)),INDEX('AH History'!$C$5:$C$1380,$K2408))),NA()),NA())</f>
        <v/>
      </c>
      <c r="J2408" s="32">
        <f>IFERROR(IF(AND($F2408&gt;0,$H2408&gt;0,$A2408-$G2408&lt;=10,$A2408-$I2408&lt;=5,$G2408&gt;0,$I2408&gt;0),$F2408*$H2408,NA()),NA())</f>
        <v/>
      </c>
      <c r="K2408" s="15">
        <f>IF($A2408="","",IF(AH!$U$5=1,IFERROR(MATCH($A2408,'Live History'!$A$5:$A$3004,0),0),AH!$U$7+2403))</f>
        <v/>
      </c>
      <c r="L2408" s="15">
        <f>IF(ISNUMBER(A2408),TEXT(A2408,"dd-mmm-yy"),"")</f>
        <v/>
      </c>
    </row>
    <row r="2409">
      <c r="A2409" s="14">
        <f>IF(OR(AH!$U$4=0,2404+1&gt;AH!$U$6,AND(AH!$M$5="Bloomberg",AH!$U$5=0)),"",IFERROR(IF(AND(AH!$U$12=1,2404+1=AH!$U$6),TODAY(),IF(AH!$U$5=1,INDEX('Live History'!$A$5:$A$3004,AH!$U$7+2404),INDEX('AH History'!$A$5:$A$1380,AH!$U$7+2404))),""))</f>
        <v/>
      </c>
      <c r="B2409" s="33">
        <f>IFERROR(IF(AH!$U$11=1,NA(),$J2409/$E2409-1),NA())</f>
        <v/>
      </c>
      <c r="C2409" s="269">
        <f>IFERROR(100*$E2409/$E$5,NA())</f>
        <v/>
      </c>
      <c r="D2409" s="269">
        <f>IFERROR(100*$J2409/$J$5,NA())</f>
        <v/>
      </c>
      <c r="E2409" s="32">
        <f>IFERROR(IF(AND(ISNUMBER($A2409),N(IF(AND(AH!$U$12=1,2404+1=AH!$U$6),IF(AH!$U$4=0,"unavailable",INDEX('Market Data'!$AN$5:$AN$66,AH!$U$4)),IF(AH!$U$5=1,INDEX('Live History'!$B$5:$B$3004,$K2409),INDEX('AH History'!$D$5:$GG$1380,$K2409,AH!$U$10))))&gt;0),IF(AND(AH!$U$12=1,2404+1=AH!$U$6),IF(AH!$U$4=0,"unavailable",INDEX('Market Data'!$AN$5:$AN$66,AH!$U$4)),IF(AH!$U$5=1,INDEX('Live History'!$B$5:$B$3004,$K2409),INDEX('AH History'!$D$5:$GG$1380,$K2409,AH!$U$10))),NA()),NA())</f>
        <v/>
      </c>
      <c r="F2409" s="32">
        <f>IFERROR(IF(ISNUMBER($A2409),IF(AND(AH!$U$12=1,2404+1=AH!$U$6),IF(AH!$U$4=0,"unavailable",INDEX('Market Data'!$AO$5:$AO$66,AH!$U$4)),IF(AH!$U$5=1,INDEX('Live History'!$E$5:$E$3004,MATCH($A2409,'Live History'!$D$5:$D$3004,1)),INDEX('AH History'!$D$5:$GG$1380,$K2409,AH!$U$10+1))),NA()),NA())</f>
        <v/>
      </c>
      <c r="G2409" s="34">
        <f>IFERROR(IF(ISNUMBER($A2409),IF(AND(AH!$U$12=1,2404+1=AH!$U$6),IF(AH!$U$4=0,"unavailable",INDEX('Market Data'!$AK$5:$AK$66,AH!$U$4)),IF(AH!$U$5=1,INDEX('Live History'!$D$5:$D$3004,MATCH($A2409,'Live History'!$D$5:$D$3004,1)),INDEX('AH History'!$D$5:$GG$1380,$K2409,AH!$U$10+2))),NA()),NA())</f>
        <v/>
      </c>
      <c r="H2409" s="266">
        <f>IFERROR(IF(ISNUMBER($A2409),IF(AND(AH!$U$12=1,2404+1=AH!$U$6),IF(AH!$U$4=0,"unavailable",INDEX('Market Data'!$AP$5:$AP$66,AH!$U$4)),IF(AH!$U$5=1,INDEX('Live History'!$H$5:$H$3004,MATCH($A2409,'Live History'!$G$5:$G$3004,1)),INDEX('AH History'!$B$5:$B$1380,$K2409))),NA()),NA())</f>
        <v/>
      </c>
      <c r="I2409" s="34">
        <f>IFERROR(IF(ISNUMBER($A2409),IF(AND(AH!$U$12=1,2404+1=AH!$U$6),TODAY(),IF(AH!$U$5=1,INDEX('Live History'!$G$5:$G$3004,MATCH($A2409,'Live History'!$G$5:$G$3004,1)),INDEX('AH History'!$C$5:$C$1380,$K2409))),NA()),NA())</f>
        <v/>
      </c>
      <c r="J2409" s="32">
        <f>IFERROR(IF(AND($F2409&gt;0,$H2409&gt;0,$A2409-$G2409&lt;=10,$A2409-$I2409&lt;=5,$G2409&gt;0,$I2409&gt;0),$F2409*$H2409,NA()),NA())</f>
        <v/>
      </c>
      <c r="K2409" s="15">
        <f>IF($A2409="","",IF(AH!$U$5=1,IFERROR(MATCH($A2409,'Live History'!$A$5:$A$3004,0),0),AH!$U$7+2404))</f>
        <v/>
      </c>
      <c r="L2409" s="15">
        <f>IF(ISNUMBER(A2409),TEXT(A2409,"dd-mmm-yy"),"")</f>
        <v/>
      </c>
    </row>
    <row r="2410">
      <c r="A2410" s="14">
        <f>IF(OR(AH!$U$4=0,2405+1&gt;AH!$U$6,AND(AH!$M$5="Bloomberg",AH!$U$5=0)),"",IFERROR(IF(AND(AH!$U$12=1,2405+1=AH!$U$6),TODAY(),IF(AH!$U$5=1,INDEX('Live History'!$A$5:$A$3004,AH!$U$7+2405),INDEX('AH History'!$A$5:$A$1380,AH!$U$7+2405))),""))</f>
        <v/>
      </c>
      <c r="B2410" s="33">
        <f>IFERROR(IF(AH!$U$11=1,NA(),$J2410/$E2410-1),NA())</f>
        <v/>
      </c>
      <c r="C2410" s="269">
        <f>IFERROR(100*$E2410/$E$5,NA())</f>
        <v/>
      </c>
      <c r="D2410" s="269">
        <f>IFERROR(100*$J2410/$J$5,NA())</f>
        <v/>
      </c>
      <c r="E2410" s="32">
        <f>IFERROR(IF(AND(ISNUMBER($A2410),N(IF(AND(AH!$U$12=1,2405+1=AH!$U$6),IF(AH!$U$4=0,"unavailable",INDEX('Market Data'!$AN$5:$AN$66,AH!$U$4)),IF(AH!$U$5=1,INDEX('Live History'!$B$5:$B$3004,$K2410),INDEX('AH History'!$D$5:$GG$1380,$K2410,AH!$U$10))))&gt;0),IF(AND(AH!$U$12=1,2405+1=AH!$U$6),IF(AH!$U$4=0,"unavailable",INDEX('Market Data'!$AN$5:$AN$66,AH!$U$4)),IF(AH!$U$5=1,INDEX('Live History'!$B$5:$B$3004,$K2410),INDEX('AH History'!$D$5:$GG$1380,$K2410,AH!$U$10))),NA()),NA())</f>
        <v/>
      </c>
      <c r="F2410" s="32">
        <f>IFERROR(IF(ISNUMBER($A2410),IF(AND(AH!$U$12=1,2405+1=AH!$U$6),IF(AH!$U$4=0,"unavailable",INDEX('Market Data'!$AO$5:$AO$66,AH!$U$4)),IF(AH!$U$5=1,INDEX('Live History'!$E$5:$E$3004,MATCH($A2410,'Live History'!$D$5:$D$3004,1)),INDEX('AH History'!$D$5:$GG$1380,$K2410,AH!$U$10+1))),NA()),NA())</f>
        <v/>
      </c>
      <c r="G2410" s="34">
        <f>IFERROR(IF(ISNUMBER($A2410),IF(AND(AH!$U$12=1,2405+1=AH!$U$6),IF(AH!$U$4=0,"unavailable",INDEX('Market Data'!$AK$5:$AK$66,AH!$U$4)),IF(AH!$U$5=1,INDEX('Live History'!$D$5:$D$3004,MATCH($A2410,'Live History'!$D$5:$D$3004,1)),INDEX('AH History'!$D$5:$GG$1380,$K2410,AH!$U$10+2))),NA()),NA())</f>
        <v/>
      </c>
      <c r="H2410" s="266">
        <f>IFERROR(IF(ISNUMBER($A2410),IF(AND(AH!$U$12=1,2405+1=AH!$U$6),IF(AH!$U$4=0,"unavailable",INDEX('Market Data'!$AP$5:$AP$66,AH!$U$4)),IF(AH!$U$5=1,INDEX('Live History'!$H$5:$H$3004,MATCH($A2410,'Live History'!$G$5:$G$3004,1)),INDEX('AH History'!$B$5:$B$1380,$K2410))),NA()),NA())</f>
        <v/>
      </c>
      <c r="I2410" s="34">
        <f>IFERROR(IF(ISNUMBER($A2410),IF(AND(AH!$U$12=1,2405+1=AH!$U$6),TODAY(),IF(AH!$U$5=1,INDEX('Live History'!$G$5:$G$3004,MATCH($A2410,'Live History'!$G$5:$G$3004,1)),INDEX('AH History'!$C$5:$C$1380,$K2410))),NA()),NA())</f>
        <v/>
      </c>
      <c r="J2410" s="32">
        <f>IFERROR(IF(AND($F2410&gt;0,$H2410&gt;0,$A2410-$G2410&lt;=10,$A2410-$I2410&lt;=5,$G2410&gt;0,$I2410&gt;0),$F2410*$H2410,NA()),NA())</f>
        <v/>
      </c>
      <c r="K2410" s="15">
        <f>IF($A2410="","",IF(AH!$U$5=1,IFERROR(MATCH($A2410,'Live History'!$A$5:$A$3004,0),0),AH!$U$7+2405))</f>
        <v/>
      </c>
      <c r="L2410" s="15">
        <f>IF(ISNUMBER(A2410),TEXT(A2410,"dd-mmm-yy"),"")</f>
        <v/>
      </c>
    </row>
    <row r="2411">
      <c r="A2411" s="14">
        <f>IF(OR(AH!$U$4=0,2406+1&gt;AH!$U$6,AND(AH!$M$5="Bloomberg",AH!$U$5=0)),"",IFERROR(IF(AND(AH!$U$12=1,2406+1=AH!$U$6),TODAY(),IF(AH!$U$5=1,INDEX('Live History'!$A$5:$A$3004,AH!$U$7+2406),INDEX('AH History'!$A$5:$A$1380,AH!$U$7+2406))),""))</f>
        <v/>
      </c>
      <c r="B2411" s="33">
        <f>IFERROR(IF(AH!$U$11=1,NA(),$J2411/$E2411-1),NA())</f>
        <v/>
      </c>
      <c r="C2411" s="269">
        <f>IFERROR(100*$E2411/$E$5,NA())</f>
        <v/>
      </c>
      <c r="D2411" s="269">
        <f>IFERROR(100*$J2411/$J$5,NA())</f>
        <v/>
      </c>
      <c r="E2411" s="32">
        <f>IFERROR(IF(AND(ISNUMBER($A2411),N(IF(AND(AH!$U$12=1,2406+1=AH!$U$6),IF(AH!$U$4=0,"unavailable",INDEX('Market Data'!$AN$5:$AN$66,AH!$U$4)),IF(AH!$U$5=1,INDEX('Live History'!$B$5:$B$3004,$K2411),INDEX('AH History'!$D$5:$GG$1380,$K2411,AH!$U$10))))&gt;0),IF(AND(AH!$U$12=1,2406+1=AH!$U$6),IF(AH!$U$4=0,"unavailable",INDEX('Market Data'!$AN$5:$AN$66,AH!$U$4)),IF(AH!$U$5=1,INDEX('Live History'!$B$5:$B$3004,$K2411),INDEX('AH History'!$D$5:$GG$1380,$K2411,AH!$U$10))),NA()),NA())</f>
        <v/>
      </c>
      <c r="F2411" s="32">
        <f>IFERROR(IF(ISNUMBER($A2411),IF(AND(AH!$U$12=1,2406+1=AH!$U$6),IF(AH!$U$4=0,"unavailable",INDEX('Market Data'!$AO$5:$AO$66,AH!$U$4)),IF(AH!$U$5=1,INDEX('Live History'!$E$5:$E$3004,MATCH($A2411,'Live History'!$D$5:$D$3004,1)),INDEX('AH History'!$D$5:$GG$1380,$K2411,AH!$U$10+1))),NA()),NA())</f>
        <v/>
      </c>
      <c r="G2411" s="34">
        <f>IFERROR(IF(ISNUMBER($A2411),IF(AND(AH!$U$12=1,2406+1=AH!$U$6),IF(AH!$U$4=0,"unavailable",INDEX('Market Data'!$AK$5:$AK$66,AH!$U$4)),IF(AH!$U$5=1,INDEX('Live History'!$D$5:$D$3004,MATCH($A2411,'Live History'!$D$5:$D$3004,1)),INDEX('AH History'!$D$5:$GG$1380,$K2411,AH!$U$10+2))),NA()),NA())</f>
        <v/>
      </c>
      <c r="H2411" s="266">
        <f>IFERROR(IF(ISNUMBER($A2411),IF(AND(AH!$U$12=1,2406+1=AH!$U$6),IF(AH!$U$4=0,"unavailable",INDEX('Market Data'!$AP$5:$AP$66,AH!$U$4)),IF(AH!$U$5=1,INDEX('Live History'!$H$5:$H$3004,MATCH($A2411,'Live History'!$G$5:$G$3004,1)),INDEX('AH History'!$B$5:$B$1380,$K2411))),NA()),NA())</f>
        <v/>
      </c>
      <c r="I2411" s="34">
        <f>IFERROR(IF(ISNUMBER($A2411),IF(AND(AH!$U$12=1,2406+1=AH!$U$6),TODAY(),IF(AH!$U$5=1,INDEX('Live History'!$G$5:$G$3004,MATCH($A2411,'Live History'!$G$5:$G$3004,1)),INDEX('AH History'!$C$5:$C$1380,$K2411))),NA()),NA())</f>
        <v/>
      </c>
      <c r="J2411" s="32">
        <f>IFERROR(IF(AND($F2411&gt;0,$H2411&gt;0,$A2411-$G2411&lt;=10,$A2411-$I2411&lt;=5,$G2411&gt;0,$I2411&gt;0),$F2411*$H2411,NA()),NA())</f>
        <v/>
      </c>
      <c r="K2411" s="15">
        <f>IF($A2411="","",IF(AH!$U$5=1,IFERROR(MATCH($A2411,'Live History'!$A$5:$A$3004,0),0),AH!$U$7+2406))</f>
        <v/>
      </c>
      <c r="L2411" s="15">
        <f>IF(ISNUMBER(A2411),TEXT(A2411,"dd-mmm-yy"),"")</f>
        <v/>
      </c>
    </row>
    <row r="2412">
      <c r="A2412" s="14">
        <f>IF(OR(AH!$U$4=0,2407+1&gt;AH!$U$6,AND(AH!$M$5="Bloomberg",AH!$U$5=0)),"",IFERROR(IF(AND(AH!$U$12=1,2407+1=AH!$U$6),TODAY(),IF(AH!$U$5=1,INDEX('Live History'!$A$5:$A$3004,AH!$U$7+2407),INDEX('AH History'!$A$5:$A$1380,AH!$U$7+2407))),""))</f>
        <v/>
      </c>
      <c r="B2412" s="33">
        <f>IFERROR(IF(AH!$U$11=1,NA(),$J2412/$E2412-1),NA())</f>
        <v/>
      </c>
      <c r="C2412" s="269">
        <f>IFERROR(100*$E2412/$E$5,NA())</f>
        <v/>
      </c>
      <c r="D2412" s="269">
        <f>IFERROR(100*$J2412/$J$5,NA())</f>
        <v/>
      </c>
      <c r="E2412" s="32">
        <f>IFERROR(IF(AND(ISNUMBER($A2412),N(IF(AND(AH!$U$12=1,2407+1=AH!$U$6),IF(AH!$U$4=0,"unavailable",INDEX('Market Data'!$AN$5:$AN$66,AH!$U$4)),IF(AH!$U$5=1,INDEX('Live History'!$B$5:$B$3004,$K2412),INDEX('AH History'!$D$5:$GG$1380,$K2412,AH!$U$10))))&gt;0),IF(AND(AH!$U$12=1,2407+1=AH!$U$6),IF(AH!$U$4=0,"unavailable",INDEX('Market Data'!$AN$5:$AN$66,AH!$U$4)),IF(AH!$U$5=1,INDEX('Live History'!$B$5:$B$3004,$K2412),INDEX('AH History'!$D$5:$GG$1380,$K2412,AH!$U$10))),NA()),NA())</f>
        <v/>
      </c>
      <c r="F2412" s="32">
        <f>IFERROR(IF(ISNUMBER($A2412),IF(AND(AH!$U$12=1,2407+1=AH!$U$6),IF(AH!$U$4=0,"unavailable",INDEX('Market Data'!$AO$5:$AO$66,AH!$U$4)),IF(AH!$U$5=1,INDEX('Live History'!$E$5:$E$3004,MATCH($A2412,'Live History'!$D$5:$D$3004,1)),INDEX('AH History'!$D$5:$GG$1380,$K2412,AH!$U$10+1))),NA()),NA())</f>
        <v/>
      </c>
      <c r="G2412" s="34">
        <f>IFERROR(IF(ISNUMBER($A2412),IF(AND(AH!$U$12=1,2407+1=AH!$U$6),IF(AH!$U$4=0,"unavailable",INDEX('Market Data'!$AK$5:$AK$66,AH!$U$4)),IF(AH!$U$5=1,INDEX('Live History'!$D$5:$D$3004,MATCH($A2412,'Live History'!$D$5:$D$3004,1)),INDEX('AH History'!$D$5:$GG$1380,$K2412,AH!$U$10+2))),NA()),NA())</f>
        <v/>
      </c>
      <c r="H2412" s="266">
        <f>IFERROR(IF(ISNUMBER($A2412),IF(AND(AH!$U$12=1,2407+1=AH!$U$6),IF(AH!$U$4=0,"unavailable",INDEX('Market Data'!$AP$5:$AP$66,AH!$U$4)),IF(AH!$U$5=1,INDEX('Live History'!$H$5:$H$3004,MATCH($A2412,'Live History'!$G$5:$G$3004,1)),INDEX('AH History'!$B$5:$B$1380,$K2412))),NA()),NA())</f>
        <v/>
      </c>
      <c r="I2412" s="34">
        <f>IFERROR(IF(ISNUMBER($A2412),IF(AND(AH!$U$12=1,2407+1=AH!$U$6),TODAY(),IF(AH!$U$5=1,INDEX('Live History'!$G$5:$G$3004,MATCH($A2412,'Live History'!$G$5:$G$3004,1)),INDEX('AH History'!$C$5:$C$1380,$K2412))),NA()),NA())</f>
        <v/>
      </c>
      <c r="J2412" s="32">
        <f>IFERROR(IF(AND($F2412&gt;0,$H2412&gt;0,$A2412-$G2412&lt;=10,$A2412-$I2412&lt;=5,$G2412&gt;0,$I2412&gt;0),$F2412*$H2412,NA()),NA())</f>
        <v/>
      </c>
      <c r="K2412" s="15">
        <f>IF($A2412="","",IF(AH!$U$5=1,IFERROR(MATCH($A2412,'Live History'!$A$5:$A$3004,0),0),AH!$U$7+2407))</f>
        <v/>
      </c>
      <c r="L2412" s="15">
        <f>IF(ISNUMBER(A2412),TEXT(A2412,"dd-mmm-yy"),"")</f>
        <v/>
      </c>
    </row>
    <row r="2413">
      <c r="A2413" s="14">
        <f>IF(OR(AH!$U$4=0,2408+1&gt;AH!$U$6,AND(AH!$M$5="Bloomberg",AH!$U$5=0)),"",IFERROR(IF(AND(AH!$U$12=1,2408+1=AH!$U$6),TODAY(),IF(AH!$U$5=1,INDEX('Live History'!$A$5:$A$3004,AH!$U$7+2408),INDEX('AH History'!$A$5:$A$1380,AH!$U$7+2408))),""))</f>
        <v/>
      </c>
      <c r="B2413" s="33">
        <f>IFERROR(IF(AH!$U$11=1,NA(),$J2413/$E2413-1),NA())</f>
        <v/>
      </c>
      <c r="C2413" s="269">
        <f>IFERROR(100*$E2413/$E$5,NA())</f>
        <v/>
      </c>
      <c r="D2413" s="269">
        <f>IFERROR(100*$J2413/$J$5,NA())</f>
        <v/>
      </c>
      <c r="E2413" s="32">
        <f>IFERROR(IF(AND(ISNUMBER($A2413),N(IF(AND(AH!$U$12=1,2408+1=AH!$U$6),IF(AH!$U$4=0,"unavailable",INDEX('Market Data'!$AN$5:$AN$66,AH!$U$4)),IF(AH!$U$5=1,INDEX('Live History'!$B$5:$B$3004,$K2413),INDEX('AH History'!$D$5:$GG$1380,$K2413,AH!$U$10))))&gt;0),IF(AND(AH!$U$12=1,2408+1=AH!$U$6),IF(AH!$U$4=0,"unavailable",INDEX('Market Data'!$AN$5:$AN$66,AH!$U$4)),IF(AH!$U$5=1,INDEX('Live History'!$B$5:$B$3004,$K2413),INDEX('AH History'!$D$5:$GG$1380,$K2413,AH!$U$10))),NA()),NA())</f>
        <v/>
      </c>
      <c r="F2413" s="32">
        <f>IFERROR(IF(ISNUMBER($A2413),IF(AND(AH!$U$12=1,2408+1=AH!$U$6),IF(AH!$U$4=0,"unavailable",INDEX('Market Data'!$AO$5:$AO$66,AH!$U$4)),IF(AH!$U$5=1,INDEX('Live History'!$E$5:$E$3004,MATCH($A2413,'Live History'!$D$5:$D$3004,1)),INDEX('AH History'!$D$5:$GG$1380,$K2413,AH!$U$10+1))),NA()),NA())</f>
        <v/>
      </c>
      <c r="G2413" s="34">
        <f>IFERROR(IF(ISNUMBER($A2413),IF(AND(AH!$U$12=1,2408+1=AH!$U$6),IF(AH!$U$4=0,"unavailable",INDEX('Market Data'!$AK$5:$AK$66,AH!$U$4)),IF(AH!$U$5=1,INDEX('Live History'!$D$5:$D$3004,MATCH($A2413,'Live History'!$D$5:$D$3004,1)),INDEX('AH History'!$D$5:$GG$1380,$K2413,AH!$U$10+2))),NA()),NA())</f>
        <v/>
      </c>
      <c r="H2413" s="266">
        <f>IFERROR(IF(ISNUMBER($A2413),IF(AND(AH!$U$12=1,2408+1=AH!$U$6),IF(AH!$U$4=0,"unavailable",INDEX('Market Data'!$AP$5:$AP$66,AH!$U$4)),IF(AH!$U$5=1,INDEX('Live History'!$H$5:$H$3004,MATCH($A2413,'Live History'!$G$5:$G$3004,1)),INDEX('AH History'!$B$5:$B$1380,$K2413))),NA()),NA())</f>
        <v/>
      </c>
      <c r="I2413" s="34">
        <f>IFERROR(IF(ISNUMBER($A2413),IF(AND(AH!$U$12=1,2408+1=AH!$U$6),TODAY(),IF(AH!$U$5=1,INDEX('Live History'!$G$5:$G$3004,MATCH($A2413,'Live History'!$G$5:$G$3004,1)),INDEX('AH History'!$C$5:$C$1380,$K2413))),NA()),NA())</f>
        <v/>
      </c>
      <c r="J2413" s="32">
        <f>IFERROR(IF(AND($F2413&gt;0,$H2413&gt;0,$A2413-$G2413&lt;=10,$A2413-$I2413&lt;=5,$G2413&gt;0,$I2413&gt;0),$F2413*$H2413,NA()),NA())</f>
        <v/>
      </c>
      <c r="K2413" s="15">
        <f>IF($A2413="","",IF(AH!$U$5=1,IFERROR(MATCH($A2413,'Live History'!$A$5:$A$3004,0),0),AH!$U$7+2408))</f>
        <v/>
      </c>
      <c r="L2413" s="15">
        <f>IF(ISNUMBER(A2413),TEXT(A2413,"dd-mmm-yy"),"")</f>
        <v/>
      </c>
    </row>
    <row r="2414">
      <c r="A2414" s="14">
        <f>IF(OR(AH!$U$4=0,2409+1&gt;AH!$U$6,AND(AH!$M$5="Bloomberg",AH!$U$5=0)),"",IFERROR(IF(AND(AH!$U$12=1,2409+1=AH!$U$6),TODAY(),IF(AH!$U$5=1,INDEX('Live History'!$A$5:$A$3004,AH!$U$7+2409),INDEX('AH History'!$A$5:$A$1380,AH!$U$7+2409))),""))</f>
        <v/>
      </c>
      <c r="B2414" s="33">
        <f>IFERROR(IF(AH!$U$11=1,NA(),$J2414/$E2414-1),NA())</f>
        <v/>
      </c>
      <c r="C2414" s="269">
        <f>IFERROR(100*$E2414/$E$5,NA())</f>
        <v/>
      </c>
      <c r="D2414" s="269">
        <f>IFERROR(100*$J2414/$J$5,NA())</f>
        <v/>
      </c>
      <c r="E2414" s="32">
        <f>IFERROR(IF(AND(ISNUMBER($A2414),N(IF(AND(AH!$U$12=1,2409+1=AH!$U$6),IF(AH!$U$4=0,"unavailable",INDEX('Market Data'!$AN$5:$AN$66,AH!$U$4)),IF(AH!$U$5=1,INDEX('Live History'!$B$5:$B$3004,$K2414),INDEX('AH History'!$D$5:$GG$1380,$K2414,AH!$U$10))))&gt;0),IF(AND(AH!$U$12=1,2409+1=AH!$U$6),IF(AH!$U$4=0,"unavailable",INDEX('Market Data'!$AN$5:$AN$66,AH!$U$4)),IF(AH!$U$5=1,INDEX('Live History'!$B$5:$B$3004,$K2414),INDEX('AH History'!$D$5:$GG$1380,$K2414,AH!$U$10))),NA()),NA())</f>
        <v/>
      </c>
      <c r="F2414" s="32">
        <f>IFERROR(IF(ISNUMBER($A2414),IF(AND(AH!$U$12=1,2409+1=AH!$U$6),IF(AH!$U$4=0,"unavailable",INDEX('Market Data'!$AO$5:$AO$66,AH!$U$4)),IF(AH!$U$5=1,INDEX('Live History'!$E$5:$E$3004,MATCH($A2414,'Live History'!$D$5:$D$3004,1)),INDEX('AH History'!$D$5:$GG$1380,$K2414,AH!$U$10+1))),NA()),NA())</f>
        <v/>
      </c>
      <c r="G2414" s="34">
        <f>IFERROR(IF(ISNUMBER($A2414),IF(AND(AH!$U$12=1,2409+1=AH!$U$6),IF(AH!$U$4=0,"unavailable",INDEX('Market Data'!$AK$5:$AK$66,AH!$U$4)),IF(AH!$U$5=1,INDEX('Live History'!$D$5:$D$3004,MATCH($A2414,'Live History'!$D$5:$D$3004,1)),INDEX('AH History'!$D$5:$GG$1380,$K2414,AH!$U$10+2))),NA()),NA())</f>
        <v/>
      </c>
      <c r="H2414" s="266">
        <f>IFERROR(IF(ISNUMBER($A2414),IF(AND(AH!$U$12=1,2409+1=AH!$U$6),IF(AH!$U$4=0,"unavailable",INDEX('Market Data'!$AP$5:$AP$66,AH!$U$4)),IF(AH!$U$5=1,INDEX('Live History'!$H$5:$H$3004,MATCH($A2414,'Live History'!$G$5:$G$3004,1)),INDEX('AH History'!$B$5:$B$1380,$K2414))),NA()),NA())</f>
        <v/>
      </c>
      <c r="I2414" s="34">
        <f>IFERROR(IF(ISNUMBER($A2414),IF(AND(AH!$U$12=1,2409+1=AH!$U$6),TODAY(),IF(AH!$U$5=1,INDEX('Live History'!$G$5:$G$3004,MATCH($A2414,'Live History'!$G$5:$G$3004,1)),INDEX('AH History'!$C$5:$C$1380,$K2414))),NA()),NA())</f>
        <v/>
      </c>
      <c r="J2414" s="32">
        <f>IFERROR(IF(AND($F2414&gt;0,$H2414&gt;0,$A2414-$G2414&lt;=10,$A2414-$I2414&lt;=5,$G2414&gt;0,$I2414&gt;0),$F2414*$H2414,NA()),NA())</f>
        <v/>
      </c>
      <c r="K2414" s="15">
        <f>IF($A2414="","",IF(AH!$U$5=1,IFERROR(MATCH($A2414,'Live History'!$A$5:$A$3004,0),0),AH!$U$7+2409))</f>
        <v/>
      </c>
      <c r="L2414" s="15">
        <f>IF(ISNUMBER(A2414),TEXT(A2414,"dd-mmm-yy"),"")</f>
        <v/>
      </c>
    </row>
    <row r="2415">
      <c r="A2415" s="14">
        <f>IF(OR(AH!$U$4=0,2410+1&gt;AH!$U$6,AND(AH!$M$5="Bloomberg",AH!$U$5=0)),"",IFERROR(IF(AND(AH!$U$12=1,2410+1=AH!$U$6),TODAY(),IF(AH!$U$5=1,INDEX('Live History'!$A$5:$A$3004,AH!$U$7+2410),INDEX('AH History'!$A$5:$A$1380,AH!$U$7+2410))),""))</f>
        <v/>
      </c>
      <c r="B2415" s="33">
        <f>IFERROR(IF(AH!$U$11=1,NA(),$J2415/$E2415-1),NA())</f>
        <v/>
      </c>
      <c r="C2415" s="269">
        <f>IFERROR(100*$E2415/$E$5,NA())</f>
        <v/>
      </c>
      <c r="D2415" s="269">
        <f>IFERROR(100*$J2415/$J$5,NA())</f>
        <v/>
      </c>
      <c r="E2415" s="32">
        <f>IFERROR(IF(AND(ISNUMBER($A2415),N(IF(AND(AH!$U$12=1,2410+1=AH!$U$6),IF(AH!$U$4=0,"unavailable",INDEX('Market Data'!$AN$5:$AN$66,AH!$U$4)),IF(AH!$U$5=1,INDEX('Live History'!$B$5:$B$3004,$K2415),INDEX('AH History'!$D$5:$GG$1380,$K2415,AH!$U$10))))&gt;0),IF(AND(AH!$U$12=1,2410+1=AH!$U$6),IF(AH!$U$4=0,"unavailable",INDEX('Market Data'!$AN$5:$AN$66,AH!$U$4)),IF(AH!$U$5=1,INDEX('Live History'!$B$5:$B$3004,$K2415),INDEX('AH History'!$D$5:$GG$1380,$K2415,AH!$U$10))),NA()),NA())</f>
        <v/>
      </c>
      <c r="F2415" s="32">
        <f>IFERROR(IF(ISNUMBER($A2415),IF(AND(AH!$U$12=1,2410+1=AH!$U$6),IF(AH!$U$4=0,"unavailable",INDEX('Market Data'!$AO$5:$AO$66,AH!$U$4)),IF(AH!$U$5=1,INDEX('Live History'!$E$5:$E$3004,MATCH($A2415,'Live History'!$D$5:$D$3004,1)),INDEX('AH History'!$D$5:$GG$1380,$K2415,AH!$U$10+1))),NA()),NA())</f>
        <v/>
      </c>
      <c r="G2415" s="34">
        <f>IFERROR(IF(ISNUMBER($A2415),IF(AND(AH!$U$12=1,2410+1=AH!$U$6),IF(AH!$U$4=0,"unavailable",INDEX('Market Data'!$AK$5:$AK$66,AH!$U$4)),IF(AH!$U$5=1,INDEX('Live History'!$D$5:$D$3004,MATCH($A2415,'Live History'!$D$5:$D$3004,1)),INDEX('AH History'!$D$5:$GG$1380,$K2415,AH!$U$10+2))),NA()),NA())</f>
        <v/>
      </c>
      <c r="H2415" s="266">
        <f>IFERROR(IF(ISNUMBER($A2415),IF(AND(AH!$U$12=1,2410+1=AH!$U$6),IF(AH!$U$4=0,"unavailable",INDEX('Market Data'!$AP$5:$AP$66,AH!$U$4)),IF(AH!$U$5=1,INDEX('Live History'!$H$5:$H$3004,MATCH($A2415,'Live History'!$G$5:$G$3004,1)),INDEX('AH History'!$B$5:$B$1380,$K2415))),NA()),NA())</f>
        <v/>
      </c>
      <c r="I2415" s="34">
        <f>IFERROR(IF(ISNUMBER($A2415),IF(AND(AH!$U$12=1,2410+1=AH!$U$6),TODAY(),IF(AH!$U$5=1,INDEX('Live History'!$G$5:$G$3004,MATCH($A2415,'Live History'!$G$5:$G$3004,1)),INDEX('AH History'!$C$5:$C$1380,$K2415))),NA()),NA())</f>
        <v/>
      </c>
      <c r="J2415" s="32">
        <f>IFERROR(IF(AND($F2415&gt;0,$H2415&gt;0,$A2415-$G2415&lt;=10,$A2415-$I2415&lt;=5,$G2415&gt;0,$I2415&gt;0),$F2415*$H2415,NA()),NA())</f>
        <v/>
      </c>
      <c r="K2415" s="15">
        <f>IF($A2415="","",IF(AH!$U$5=1,IFERROR(MATCH($A2415,'Live History'!$A$5:$A$3004,0),0),AH!$U$7+2410))</f>
        <v/>
      </c>
      <c r="L2415" s="15">
        <f>IF(ISNUMBER(A2415),TEXT(A2415,"dd-mmm-yy"),"")</f>
        <v/>
      </c>
    </row>
    <row r="2416">
      <c r="A2416" s="14">
        <f>IF(OR(AH!$U$4=0,2411+1&gt;AH!$U$6,AND(AH!$M$5="Bloomberg",AH!$U$5=0)),"",IFERROR(IF(AND(AH!$U$12=1,2411+1=AH!$U$6),TODAY(),IF(AH!$U$5=1,INDEX('Live History'!$A$5:$A$3004,AH!$U$7+2411),INDEX('AH History'!$A$5:$A$1380,AH!$U$7+2411))),""))</f>
        <v/>
      </c>
      <c r="B2416" s="33">
        <f>IFERROR(IF(AH!$U$11=1,NA(),$J2416/$E2416-1),NA())</f>
        <v/>
      </c>
      <c r="C2416" s="269">
        <f>IFERROR(100*$E2416/$E$5,NA())</f>
        <v/>
      </c>
      <c r="D2416" s="269">
        <f>IFERROR(100*$J2416/$J$5,NA())</f>
        <v/>
      </c>
      <c r="E2416" s="32">
        <f>IFERROR(IF(AND(ISNUMBER($A2416),N(IF(AND(AH!$U$12=1,2411+1=AH!$U$6),IF(AH!$U$4=0,"unavailable",INDEX('Market Data'!$AN$5:$AN$66,AH!$U$4)),IF(AH!$U$5=1,INDEX('Live History'!$B$5:$B$3004,$K2416),INDEX('AH History'!$D$5:$GG$1380,$K2416,AH!$U$10))))&gt;0),IF(AND(AH!$U$12=1,2411+1=AH!$U$6),IF(AH!$U$4=0,"unavailable",INDEX('Market Data'!$AN$5:$AN$66,AH!$U$4)),IF(AH!$U$5=1,INDEX('Live History'!$B$5:$B$3004,$K2416),INDEX('AH History'!$D$5:$GG$1380,$K2416,AH!$U$10))),NA()),NA())</f>
        <v/>
      </c>
      <c r="F2416" s="32">
        <f>IFERROR(IF(ISNUMBER($A2416),IF(AND(AH!$U$12=1,2411+1=AH!$U$6),IF(AH!$U$4=0,"unavailable",INDEX('Market Data'!$AO$5:$AO$66,AH!$U$4)),IF(AH!$U$5=1,INDEX('Live History'!$E$5:$E$3004,MATCH($A2416,'Live History'!$D$5:$D$3004,1)),INDEX('AH History'!$D$5:$GG$1380,$K2416,AH!$U$10+1))),NA()),NA())</f>
        <v/>
      </c>
      <c r="G2416" s="34">
        <f>IFERROR(IF(ISNUMBER($A2416),IF(AND(AH!$U$12=1,2411+1=AH!$U$6),IF(AH!$U$4=0,"unavailable",INDEX('Market Data'!$AK$5:$AK$66,AH!$U$4)),IF(AH!$U$5=1,INDEX('Live History'!$D$5:$D$3004,MATCH($A2416,'Live History'!$D$5:$D$3004,1)),INDEX('AH History'!$D$5:$GG$1380,$K2416,AH!$U$10+2))),NA()),NA())</f>
        <v/>
      </c>
      <c r="H2416" s="266">
        <f>IFERROR(IF(ISNUMBER($A2416),IF(AND(AH!$U$12=1,2411+1=AH!$U$6),IF(AH!$U$4=0,"unavailable",INDEX('Market Data'!$AP$5:$AP$66,AH!$U$4)),IF(AH!$U$5=1,INDEX('Live History'!$H$5:$H$3004,MATCH($A2416,'Live History'!$G$5:$G$3004,1)),INDEX('AH History'!$B$5:$B$1380,$K2416))),NA()),NA())</f>
        <v/>
      </c>
      <c r="I2416" s="34">
        <f>IFERROR(IF(ISNUMBER($A2416),IF(AND(AH!$U$12=1,2411+1=AH!$U$6),TODAY(),IF(AH!$U$5=1,INDEX('Live History'!$G$5:$G$3004,MATCH($A2416,'Live History'!$G$5:$G$3004,1)),INDEX('AH History'!$C$5:$C$1380,$K2416))),NA()),NA())</f>
        <v/>
      </c>
      <c r="J2416" s="32">
        <f>IFERROR(IF(AND($F2416&gt;0,$H2416&gt;0,$A2416-$G2416&lt;=10,$A2416-$I2416&lt;=5,$G2416&gt;0,$I2416&gt;0),$F2416*$H2416,NA()),NA())</f>
        <v/>
      </c>
      <c r="K2416" s="15">
        <f>IF($A2416="","",IF(AH!$U$5=1,IFERROR(MATCH($A2416,'Live History'!$A$5:$A$3004,0),0),AH!$U$7+2411))</f>
        <v/>
      </c>
      <c r="L2416" s="15">
        <f>IF(ISNUMBER(A2416),TEXT(A2416,"dd-mmm-yy"),"")</f>
        <v/>
      </c>
    </row>
    <row r="2417">
      <c r="A2417" s="14">
        <f>IF(OR(AH!$U$4=0,2412+1&gt;AH!$U$6,AND(AH!$M$5="Bloomberg",AH!$U$5=0)),"",IFERROR(IF(AND(AH!$U$12=1,2412+1=AH!$U$6),TODAY(),IF(AH!$U$5=1,INDEX('Live History'!$A$5:$A$3004,AH!$U$7+2412),INDEX('AH History'!$A$5:$A$1380,AH!$U$7+2412))),""))</f>
        <v/>
      </c>
      <c r="B2417" s="33">
        <f>IFERROR(IF(AH!$U$11=1,NA(),$J2417/$E2417-1),NA())</f>
        <v/>
      </c>
      <c r="C2417" s="269">
        <f>IFERROR(100*$E2417/$E$5,NA())</f>
        <v/>
      </c>
      <c r="D2417" s="269">
        <f>IFERROR(100*$J2417/$J$5,NA())</f>
        <v/>
      </c>
      <c r="E2417" s="32">
        <f>IFERROR(IF(AND(ISNUMBER($A2417),N(IF(AND(AH!$U$12=1,2412+1=AH!$U$6),IF(AH!$U$4=0,"unavailable",INDEX('Market Data'!$AN$5:$AN$66,AH!$U$4)),IF(AH!$U$5=1,INDEX('Live History'!$B$5:$B$3004,$K2417),INDEX('AH History'!$D$5:$GG$1380,$K2417,AH!$U$10))))&gt;0),IF(AND(AH!$U$12=1,2412+1=AH!$U$6),IF(AH!$U$4=0,"unavailable",INDEX('Market Data'!$AN$5:$AN$66,AH!$U$4)),IF(AH!$U$5=1,INDEX('Live History'!$B$5:$B$3004,$K2417),INDEX('AH History'!$D$5:$GG$1380,$K2417,AH!$U$10))),NA()),NA())</f>
        <v/>
      </c>
      <c r="F2417" s="32">
        <f>IFERROR(IF(ISNUMBER($A2417),IF(AND(AH!$U$12=1,2412+1=AH!$U$6),IF(AH!$U$4=0,"unavailable",INDEX('Market Data'!$AO$5:$AO$66,AH!$U$4)),IF(AH!$U$5=1,INDEX('Live History'!$E$5:$E$3004,MATCH($A2417,'Live History'!$D$5:$D$3004,1)),INDEX('AH History'!$D$5:$GG$1380,$K2417,AH!$U$10+1))),NA()),NA())</f>
        <v/>
      </c>
      <c r="G2417" s="34">
        <f>IFERROR(IF(ISNUMBER($A2417),IF(AND(AH!$U$12=1,2412+1=AH!$U$6),IF(AH!$U$4=0,"unavailable",INDEX('Market Data'!$AK$5:$AK$66,AH!$U$4)),IF(AH!$U$5=1,INDEX('Live History'!$D$5:$D$3004,MATCH($A2417,'Live History'!$D$5:$D$3004,1)),INDEX('AH History'!$D$5:$GG$1380,$K2417,AH!$U$10+2))),NA()),NA())</f>
        <v/>
      </c>
      <c r="H2417" s="266">
        <f>IFERROR(IF(ISNUMBER($A2417),IF(AND(AH!$U$12=1,2412+1=AH!$U$6),IF(AH!$U$4=0,"unavailable",INDEX('Market Data'!$AP$5:$AP$66,AH!$U$4)),IF(AH!$U$5=1,INDEX('Live History'!$H$5:$H$3004,MATCH($A2417,'Live History'!$G$5:$G$3004,1)),INDEX('AH History'!$B$5:$B$1380,$K2417))),NA()),NA())</f>
        <v/>
      </c>
      <c r="I2417" s="34">
        <f>IFERROR(IF(ISNUMBER($A2417),IF(AND(AH!$U$12=1,2412+1=AH!$U$6),TODAY(),IF(AH!$U$5=1,INDEX('Live History'!$G$5:$G$3004,MATCH($A2417,'Live History'!$G$5:$G$3004,1)),INDEX('AH History'!$C$5:$C$1380,$K2417))),NA()),NA())</f>
        <v/>
      </c>
      <c r="J2417" s="32">
        <f>IFERROR(IF(AND($F2417&gt;0,$H2417&gt;0,$A2417-$G2417&lt;=10,$A2417-$I2417&lt;=5,$G2417&gt;0,$I2417&gt;0),$F2417*$H2417,NA()),NA())</f>
        <v/>
      </c>
      <c r="K2417" s="15">
        <f>IF($A2417="","",IF(AH!$U$5=1,IFERROR(MATCH($A2417,'Live History'!$A$5:$A$3004,0),0),AH!$U$7+2412))</f>
        <v/>
      </c>
      <c r="L2417" s="15">
        <f>IF(ISNUMBER(A2417),TEXT(A2417,"dd-mmm-yy"),"")</f>
        <v/>
      </c>
    </row>
    <row r="2418">
      <c r="A2418" s="14">
        <f>IF(OR(AH!$U$4=0,2413+1&gt;AH!$U$6,AND(AH!$M$5="Bloomberg",AH!$U$5=0)),"",IFERROR(IF(AND(AH!$U$12=1,2413+1=AH!$U$6),TODAY(),IF(AH!$U$5=1,INDEX('Live History'!$A$5:$A$3004,AH!$U$7+2413),INDEX('AH History'!$A$5:$A$1380,AH!$U$7+2413))),""))</f>
        <v/>
      </c>
      <c r="B2418" s="33">
        <f>IFERROR(IF(AH!$U$11=1,NA(),$J2418/$E2418-1),NA())</f>
        <v/>
      </c>
      <c r="C2418" s="269">
        <f>IFERROR(100*$E2418/$E$5,NA())</f>
        <v/>
      </c>
      <c r="D2418" s="269">
        <f>IFERROR(100*$J2418/$J$5,NA())</f>
        <v/>
      </c>
      <c r="E2418" s="32">
        <f>IFERROR(IF(AND(ISNUMBER($A2418),N(IF(AND(AH!$U$12=1,2413+1=AH!$U$6),IF(AH!$U$4=0,"unavailable",INDEX('Market Data'!$AN$5:$AN$66,AH!$U$4)),IF(AH!$U$5=1,INDEX('Live History'!$B$5:$B$3004,$K2418),INDEX('AH History'!$D$5:$GG$1380,$K2418,AH!$U$10))))&gt;0),IF(AND(AH!$U$12=1,2413+1=AH!$U$6),IF(AH!$U$4=0,"unavailable",INDEX('Market Data'!$AN$5:$AN$66,AH!$U$4)),IF(AH!$U$5=1,INDEX('Live History'!$B$5:$B$3004,$K2418),INDEX('AH History'!$D$5:$GG$1380,$K2418,AH!$U$10))),NA()),NA())</f>
        <v/>
      </c>
      <c r="F2418" s="32">
        <f>IFERROR(IF(ISNUMBER($A2418),IF(AND(AH!$U$12=1,2413+1=AH!$U$6),IF(AH!$U$4=0,"unavailable",INDEX('Market Data'!$AO$5:$AO$66,AH!$U$4)),IF(AH!$U$5=1,INDEX('Live History'!$E$5:$E$3004,MATCH($A2418,'Live History'!$D$5:$D$3004,1)),INDEX('AH History'!$D$5:$GG$1380,$K2418,AH!$U$10+1))),NA()),NA())</f>
        <v/>
      </c>
      <c r="G2418" s="34">
        <f>IFERROR(IF(ISNUMBER($A2418),IF(AND(AH!$U$12=1,2413+1=AH!$U$6),IF(AH!$U$4=0,"unavailable",INDEX('Market Data'!$AK$5:$AK$66,AH!$U$4)),IF(AH!$U$5=1,INDEX('Live History'!$D$5:$D$3004,MATCH($A2418,'Live History'!$D$5:$D$3004,1)),INDEX('AH History'!$D$5:$GG$1380,$K2418,AH!$U$10+2))),NA()),NA())</f>
        <v/>
      </c>
      <c r="H2418" s="266">
        <f>IFERROR(IF(ISNUMBER($A2418),IF(AND(AH!$U$12=1,2413+1=AH!$U$6),IF(AH!$U$4=0,"unavailable",INDEX('Market Data'!$AP$5:$AP$66,AH!$U$4)),IF(AH!$U$5=1,INDEX('Live History'!$H$5:$H$3004,MATCH($A2418,'Live History'!$G$5:$G$3004,1)),INDEX('AH History'!$B$5:$B$1380,$K2418))),NA()),NA())</f>
        <v/>
      </c>
      <c r="I2418" s="34">
        <f>IFERROR(IF(ISNUMBER($A2418),IF(AND(AH!$U$12=1,2413+1=AH!$U$6),TODAY(),IF(AH!$U$5=1,INDEX('Live History'!$G$5:$G$3004,MATCH($A2418,'Live History'!$G$5:$G$3004,1)),INDEX('AH History'!$C$5:$C$1380,$K2418))),NA()),NA())</f>
        <v/>
      </c>
      <c r="J2418" s="32">
        <f>IFERROR(IF(AND($F2418&gt;0,$H2418&gt;0,$A2418-$G2418&lt;=10,$A2418-$I2418&lt;=5,$G2418&gt;0,$I2418&gt;0),$F2418*$H2418,NA()),NA())</f>
        <v/>
      </c>
      <c r="K2418" s="15">
        <f>IF($A2418="","",IF(AH!$U$5=1,IFERROR(MATCH($A2418,'Live History'!$A$5:$A$3004,0),0),AH!$U$7+2413))</f>
        <v/>
      </c>
      <c r="L2418" s="15">
        <f>IF(ISNUMBER(A2418),TEXT(A2418,"dd-mmm-yy"),"")</f>
        <v/>
      </c>
    </row>
    <row r="2419">
      <c r="A2419" s="14">
        <f>IF(OR(AH!$U$4=0,2414+1&gt;AH!$U$6,AND(AH!$M$5="Bloomberg",AH!$U$5=0)),"",IFERROR(IF(AND(AH!$U$12=1,2414+1=AH!$U$6),TODAY(),IF(AH!$U$5=1,INDEX('Live History'!$A$5:$A$3004,AH!$U$7+2414),INDEX('AH History'!$A$5:$A$1380,AH!$U$7+2414))),""))</f>
        <v/>
      </c>
      <c r="B2419" s="33">
        <f>IFERROR(IF(AH!$U$11=1,NA(),$J2419/$E2419-1),NA())</f>
        <v/>
      </c>
      <c r="C2419" s="269">
        <f>IFERROR(100*$E2419/$E$5,NA())</f>
        <v/>
      </c>
      <c r="D2419" s="269">
        <f>IFERROR(100*$J2419/$J$5,NA())</f>
        <v/>
      </c>
      <c r="E2419" s="32">
        <f>IFERROR(IF(AND(ISNUMBER($A2419),N(IF(AND(AH!$U$12=1,2414+1=AH!$U$6),IF(AH!$U$4=0,"unavailable",INDEX('Market Data'!$AN$5:$AN$66,AH!$U$4)),IF(AH!$U$5=1,INDEX('Live History'!$B$5:$B$3004,$K2419),INDEX('AH History'!$D$5:$GG$1380,$K2419,AH!$U$10))))&gt;0),IF(AND(AH!$U$12=1,2414+1=AH!$U$6),IF(AH!$U$4=0,"unavailable",INDEX('Market Data'!$AN$5:$AN$66,AH!$U$4)),IF(AH!$U$5=1,INDEX('Live History'!$B$5:$B$3004,$K2419),INDEX('AH History'!$D$5:$GG$1380,$K2419,AH!$U$10))),NA()),NA())</f>
        <v/>
      </c>
      <c r="F2419" s="32">
        <f>IFERROR(IF(ISNUMBER($A2419),IF(AND(AH!$U$12=1,2414+1=AH!$U$6),IF(AH!$U$4=0,"unavailable",INDEX('Market Data'!$AO$5:$AO$66,AH!$U$4)),IF(AH!$U$5=1,INDEX('Live History'!$E$5:$E$3004,MATCH($A2419,'Live History'!$D$5:$D$3004,1)),INDEX('AH History'!$D$5:$GG$1380,$K2419,AH!$U$10+1))),NA()),NA())</f>
        <v/>
      </c>
      <c r="G2419" s="34">
        <f>IFERROR(IF(ISNUMBER($A2419),IF(AND(AH!$U$12=1,2414+1=AH!$U$6),IF(AH!$U$4=0,"unavailable",INDEX('Market Data'!$AK$5:$AK$66,AH!$U$4)),IF(AH!$U$5=1,INDEX('Live History'!$D$5:$D$3004,MATCH($A2419,'Live History'!$D$5:$D$3004,1)),INDEX('AH History'!$D$5:$GG$1380,$K2419,AH!$U$10+2))),NA()),NA())</f>
        <v/>
      </c>
      <c r="H2419" s="266">
        <f>IFERROR(IF(ISNUMBER($A2419),IF(AND(AH!$U$12=1,2414+1=AH!$U$6),IF(AH!$U$4=0,"unavailable",INDEX('Market Data'!$AP$5:$AP$66,AH!$U$4)),IF(AH!$U$5=1,INDEX('Live History'!$H$5:$H$3004,MATCH($A2419,'Live History'!$G$5:$G$3004,1)),INDEX('AH History'!$B$5:$B$1380,$K2419))),NA()),NA())</f>
        <v/>
      </c>
      <c r="I2419" s="34">
        <f>IFERROR(IF(ISNUMBER($A2419),IF(AND(AH!$U$12=1,2414+1=AH!$U$6),TODAY(),IF(AH!$U$5=1,INDEX('Live History'!$G$5:$G$3004,MATCH($A2419,'Live History'!$G$5:$G$3004,1)),INDEX('AH History'!$C$5:$C$1380,$K2419))),NA()),NA())</f>
        <v/>
      </c>
      <c r="J2419" s="32">
        <f>IFERROR(IF(AND($F2419&gt;0,$H2419&gt;0,$A2419-$G2419&lt;=10,$A2419-$I2419&lt;=5,$G2419&gt;0,$I2419&gt;0),$F2419*$H2419,NA()),NA())</f>
        <v/>
      </c>
      <c r="K2419" s="15">
        <f>IF($A2419="","",IF(AH!$U$5=1,IFERROR(MATCH($A2419,'Live History'!$A$5:$A$3004,0),0),AH!$U$7+2414))</f>
        <v/>
      </c>
      <c r="L2419" s="15">
        <f>IF(ISNUMBER(A2419),TEXT(A2419,"dd-mmm-yy"),"")</f>
        <v/>
      </c>
    </row>
    <row r="2420">
      <c r="A2420" s="14">
        <f>IF(OR(AH!$U$4=0,2415+1&gt;AH!$U$6,AND(AH!$M$5="Bloomberg",AH!$U$5=0)),"",IFERROR(IF(AND(AH!$U$12=1,2415+1=AH!$U$6),TODAY(),IF(AH!$U$5=1,INDEX('Live History'!$A$5:$A$3004,AH!$U$7+2415),INDEX('AH History'!$A$5:$A$1380,AH!$U$7+2415))),""))</f>
        <v/>
      </c>
      <c r="B2420" s="33">
        <f>IFERROR(IF(AH!$U$11=1,NA(),$J2420/$E2420-1),NA())</f>
        <v/>
      </c>
      <c r="C2420" s="269">
        <f>IFERROR(100*$E2420/$E$5,NA())</f>
        <v/>
      </c>
      <c r="D2420" s="269">
        <f>IFERROR(100*$J2420/$J$5,NA())</f>
        <v/>
      </c>
      <c r="E2420" s="32">
        <f>IFERROR(IF(AND(ISNUMBER($A2420),N(IF(AND(AH!$U$12=1,2415+1=AH!$U$6),IF(AH!$U$4=0,"unavailable",INDEX('Market Data'!$AN$5:$AN$66,AH!$U$4)),IF(AH!$U$5=1,INDEX('Live History'!$B$5:$B$3004,$K2420),INDEX('AH History'!$D$5:$GG$1380,$K2420,AH!$U$10))))&gt;0),IF(AND(AH!$U$12=1,2415+1=AH!$U$6),IF(AH!$U$4=0,"unavailable",INDEX('Market Data'!$AN$5:$AN$66,AH!$U$4)),IF(AH!$U$5=1,INDEX('Live History'!$B$5:$B$3004,$K2420),INDEX('AH History'!$D$5:$GG$1380,$K2420,AH!$U$10))),NA()),NA())</f>
        <v/>
      </c>
      <c r="F2420" s="32">
        <f>IFERROR(IF(ISNUMBER($A2420),IF(AND(AH!$U$12=1,2415+1=AH!$U$6),IF(AH!$U$4=0,"unavailable",INDEX('Market Data'!$AO$5:$AO$66,AH!$U$4)),IF(AH!$U$5=1,INDEX('Live History'!$E$5:$E$3004,MATCH($A2420,'Live History'!$D$5:$D$3004,1)),INDEX('AH History'!$D$5:$GG$1380,$K2420,AH!$U$10+1))),NA()),NA())</f>
        <v/>
      </c>
      <c r="G2420" s="34">
        <f>IFERROR(IF(ISNUMBER($A2420),IF(AND(AH!$U$12=1,2415+1=AH!$U$6),IF(AH!$U$4=0,"unavailable",INDEX('Market Data'!$AK$5:$AK$66,AH!$U$4)),IF(AH!$U$5=1,INDEX('Live History'!$D$5:$D$3004,MATCH($A2420,'Live History'!$D$5:$D$3004,1)),INDEX('AH History'!$D$5:$GG$1380,$K2420,AH!$U$10+2))),NA()),NA())</f>
        <v/>
      </c>
      <c r="H2420" s="266">
        <f>IFERROR(IF(ISNUMBER($A2420),IF(AND(AH!$U$12=1,2415+1=AH!$U$6),IF(AH!$U$4=0,"unavailable",INDEX('Market Data'!$AP$5:$AP$66,AH!$U$4)),IF(AH!$U$5=1,INDEX('Live History'!$H$5:$H$3004,MATCH($A2420,'Live History'!$G$5:$G$3004,1)),INDEX('AH History'!$B$5:$B$1380,$K2420))),NA()),NA())</f>
        <v/>
      </c>
      <c r="I2420" s="34">
        <f>IFERROR(IF(ISNUMBER($A2420),IF(AND(AH!$U$12=1,2415+1=AH!$U$6),TODAY(),IF(AH!$U$5=1,INDEX('Live History'!$G$5:$G$3004,MATCH($A2420,'Live History'!$G$5:$G$3004,1)),INDEX('AH History'!$C$5:$C$1380,$K2420))),NA()),NA())</f>
        <v/>
      </c>
      <c r="J2420" s="32">
        <f>IFERROR(IF(AND($F2420&gt;0,$H2420&gt;0,$A2420-$G2420&lt;=10,$A2420-$I2420&lt;=5,$G2420&gt;0,$I2420&gt;0),$F2420*$H2420,NA()),NA())</f>
        <v/>
      </c>
      <c r="K2420" s="15">
        <f>IF($A2420="","",IF(AH!$U$5=1,IFERROR(MATCH($A2420,'Live History'!$A$5:$A$3004,0),0),AH!$U$7+2415))</f>
        <v/>
      </c>
      <c r="L2420" s="15">
        <f>IF(ISNUMBER(A2420),TEXT(A2420,"dd-mmm-yy"),"")</f>
        <v/>
      </c>
    </row>
    <row r="2421">
      <c r="A2421" s="14">
        <f>IF(OR(AH!$U$4=0,2416+1&gt;AH!$U$6,AND(AH!$M$5="Bloomberg",AH!$U$5=0)),"",IFERROR(IF(AND(AH!$U$12=1,2416+1=AH!$U$6),TODAY(),IF(AH!$U$5=1,INDEX('Live History'!$A$5:$A$3004,AH!$U$7+2416),INDEX('AH History'!$A$5:$A$1380,AH!$U$7+2416))),""))</f>
        <v/>
      </c>
      <c r="B2421" s="33">
        <f>IFERROR(IF(AH!$U$11=1,NA(),$J2421/$E2421-1),NA())</f>
        <v/>
      </c>
      <c r="C2421" s="269">
        <f>IFERROR(100*$E2421/$E$5,NA())</f>
        <v/>
      </c>
      <c r="D2421" s="269">
        <f>IFERROR(100*$J2421/$J$5,NA())</f>
        <v/>
      </c>
      <c r="E2421" s="32">
        <f>IFERROR(IF(AND(ISNUMBER($A2421),N(IF(AND(AH!$U$12=1,2416+1=AH!$U$6),IF(AH!$U$4=0,"unavailable",INDEX('Market Data'!$AN$5:$AN$66,AH!$U$4)),IF(AH!$U$5=1,INDEX('Live History'!$B$5:$B$3004,$K2421),INDEX('AH History'!$D$5:$GG$1380,$K2421,AH!$U$10))))&gt;0),IF(AND(AH!$U$12=1,2416+1=AH!$U$6),IF(AH!$U$4=0,"unavailable",INDEX('Market Data'!$AN$5:$AN$66,AH!$U$4)),IF(AH!$U$5=1,INDEX('Live History'!$B$5:$B$3004,$K2421),INDEX('AH History'!$D$5:$GG$1380,$K2421,AH!$U$10))),NA()),NA())</f>
        <v/>
      </c>
      <c r="F2421" s="32">
        <f>IFERROR(IF(ISNUMBER($A2421),IF(AND(AH!$U$12=1,2416+1=AH!$U$6),IF(AH!$U$4=0,"unavailable",INDEX('Market Data'!$AO$5:$AO$66,AH!$U$4)),IF(AH!$U$5=1,INDEX('Live History'!$E$5:$E$3004,MATCH($A2421,'Live History'!$D$5:$D$3004,1)),INDEX('AH History'!$D$5:$GG$1380,$K2421,AH!$U$10+1))),NA()),NA())</f>
        <v/>
      </c>
      <c r="G2421" s="34">
        <f>IFERROR(IF(ISNUMBER($A2421),IF(AND(AH!$U$12=1,2416+1=AH!$U$6),IF(AH!$U$4=0,"unavailable",INDEX('Market Data'!$AK$5:$AK$66,AH!$U$4)),IF(AH!$U$5=1,INDEX('Live History'!$D$5:$D$3004,MATCH($A2421,'Live History'!$D$5:$D$3004,1)),INDEX('AH History'!$D$5:$GG$1380,$K2421,AH!$U$10+2))),NA()),NA())</f>
        <v/>
      </c>
      <c r="H2421" s="266">
        <f>IFERROR(IF(ISNUMBER($A2421),IF(AND(AH!$U$12=1,2416+1=AH!$U$6),IF(AH!$U$4=0,"unavailable",INDEX('Market Data'!$AP$5:$AP$66,AH!$U$4)),IF(AH!$U$5=1,INDEX('Live History'!$H$5:$H$3004,MATCH($A2421,'Live History'!$G$5:$G$3004,1)),INDEX('AH History'!$B$5:$B$1380,$K2421))),NA()),NA())</f>
        <v/>
      </c>
      <c r="I2421" s="34">
        <f>IFERROR(IF(ISNUMBER($A2421),IF(AND(AH!$U$12=1,2416+1=AH!$U$6),TODAY(),IF(AH!$U$5=1,INDEX('Live History'!$G$5:$G$3004,MATCH($A2421,'Live History'!$G$5:$G$3004,1)),INDEX('AH History'!$C$5:$C$1380,$K2421))),NA()),NA())</f>
        <v/>
      </c>
      <c r="J2421" s="32">
        <f>IFERROR(IF(AND($F2421&gt;0,$H2421&gt;0,$A2421-$G2421&lt;=10,$A2421-$I2421&lt;=5,$G2421&gt;0,$I2421&gt;0),$F2421*$H2421,NA()),NA())</f>
        <v/>
      </c>
      <c r="K2421" s="15">
        <f>IF($A2421="","",IF(AH!$U$5=1,IFERROR(MATCH($A2421,'Live History'!$A$5:$A$3004,0),0),AH!$U$7+2416))</f>
        <v/>
      </c>
      <c r="L2421" s="15">
        <f>IF(ISNUMBER(A2421),TEXT(A2421,"dd-mmm-yy"),"")</f>
        <v/>
      </c>
    </row>
    <row r="2422">
      <c r="A2422" s="14">
        <f>IF(OR(AH!$U$4=0,2417+1&gt;AH!$U$6,AND(AH!$M$5="Bloomberg",AH!$U$5=0)),"",IFERROR(IF(AND(AH!$U$12=1,2417+1=AH!$U$6),TODAY(),IF(AH!$U$5=1,INDEX('Live History'!$A$5:$A$3004,AH!$U$7+2417),INDEX('AH History'!$A$5:$A$1380,AH!$U$7+2417))),""))</f>
        <v/>
      </c>
      <c r="B2422" s="33">
        <f>IFERROR(IF(AH!$U$11=1,NA(),$J2422/$E2422-1),NA())</f>
        <v/>
      </c>
      <c r="C2422" s="269">
        <f>IFERROR(100*$E2422/$E$5,NA())</f>
        <v/>
      </c>
      <c r="D2422" s="269">
        <f>IFERROR(100*$J2422/$J$5,NA())</f>
        <v/>
      </c>
      <c r="E2422" s="32">
        <f>IFERROR(IF(AND(ISNUMBER($A2422),N(IF(AND(AH!$U$12=1,2417+1=AH!$U$6),IF(AH!$U$4=0,"unavailable",INDEX('Market Data'!$AN$5:$AN$66,AH!$U$4)),IF(AH!$U$5=1,INDEX('Live History'!$B$5:$B$3004,$K2422),INDEX('AH History'!$D$5:$GG$1380,$K2422,AH!$U$10))))&gt;0),IF(AND(AH!$U$12=1,2417+1=AH!$U$6),IF(AH!$U$4=0,"unavailable",INDEX('Market Data'!$AN$5:$AN$66,AH!$U$4)),IF(AH!$U$5=1,INDEX('Live History'!$B$5:$B$3004,$K2422),INDEX('AH History'!$D$5:$GG$1380,$K2422,AH!$U$10))),NA()),NA())</f>
        <v/>
      </c>
      <c r="F2422" s="32">
        <f>IFERROR(IF(ISNUMBER($A2422),IF(AND(AH!$U$12=1,2417+1=AH!$U$6),IF(AH!$U$4=0,"unavailable",INDEX('Market Data'!$AO$5:$AO$66,AH!$U$4)),IF(AH!$U$5=1,INDEX('Live History'!$E$5:$E$3004,MATCH($A2422,'Live History'!$D$5:$D$3004,1)),INDEX('AH History'!$D$5:$GG$1380,$K2422,AH!$U$10+1))),NA()),NA())</f>
        <v/>
      </c>
      <c r="G2422" s="34">
        <f>IFERROR(IF(ISNUMBER($A2422),IF(AND(AH!$U$12=1,2417+1=AH!$U$6),IF(AH!$U$4=0,"unavailable",INDEX('Market Data'!$AK$5:$AK$66,AH!$U$4)),IF(AH!$U$5=1,INDEX('Live History'!$D$5:$D$3004,MATCH($A2422,'Live History'!$D$5:$D$3004,1)),INDEX('AH History'!$D$5:$GG$1380,$K2422,AH!$U$10+2))),NA()),NA())</f>
        <v/>
      </c>
      <c r="H2422" s="266">
        <f>IFERROR(IF(ISNUMBER($A2422),IF(AND(AH!$U$12=1,2417+1=AH!$U$6),IF(AH!$U$4=0,"unavailable",INDEX('Market Data'!$AP$5:$AP$66,AH!$U$4)),IF(AH!$U$5=1,INDEX('Live History'!$H$5:$H$3004,MATCH($A2422,'Live History'!$G$5:$G$3004,1)),INDEX('AH History'!$B$5:$B$1380,$K2422))),NA()),NA())</f>
        <v/>
      </c>
      <c r="I2422" s="34">
        <f>IFERROR(IF(ISNUMBER($A2422),IF(AND(AH!$U$12=1,2417+1=AH!$U$6),TODAY(),IF(AH!$U$5=1,INDEX('Live History'!$G$5:$G$3004,MATCH($A2422,'Live History'!$G$5:$G$3004,1)),INDEX('AH History'!$C$5:$C$1380,$K2422))),NA()),NA())</f>
        <v/>
      </c>
      <c r="J2422" s="32">
        <f>IFERROR(IF(AND($F2422&gt;0,$H2422&gt;0,$A2422-$G2422&lt;=10,$A2422-$I2422&lt;=5,$G2422&gt;0,$I2422&gt;0),$F2422*$H2422,NA()),NA())</f>
        <v/>
      </c>
      <c r="K2422" s="15">
        <f>IF($A2422="","",IF(AH!$U$5=1,IFERROR(MATCH($A2422,'Live History'!$A$5:$A$3004,0),0),AH!$U$7+2417))</f>
        <v/>
      </c>
      <c r="L2422" s="15">
        <f>IF(ISNUMBER(A2422),TEXT(A2422,"dd-mmm-yy"),"")</f>
        <v/>
      </c>
    </row>
    <row r="2423">
      <c r="A2423" s="14">
        <f>IF(OR(AH!$U$4=0,2418+1&gt;AH!$U$6,AND(AH!$M$5="Bloomberg",AH!$U$5=0)),"",IFERROR(IF(AND(AH!$U$12=1,2418+1=AH!$U$6),TODAY(),IF(AH!$U$5=1,INDEX('Live History'!$A$5:$A$3004,AH!$U$7+2418),INDEX('AH History'!$A$5:$A$1380,AH!$U$7+2418))),""))</f>
        <v/>
      </c>
      <c r="B2423" s="33">
        <f>IFERROR(IF(AH!$U$11=1,NA(),$J2423/$E2423-1),NA())</f>
        <v/>
      </c>
      <c r="C2423" s="269">
        <f>IFERROR(100*$E2423/$E$5,NA())</f>
        <v/>
      </c>
      <c r="D2423" s="269">
        <f>IFERROR(100*$J2423/$J$5,NA())</f>
        <v/>
      </c>
      <c r="E2423" s="32">
        <f>IFERROR(IF(AND(ISNUMBER($A2423),N(IF(AND(AH!$U$12=1,2418+1=AH!$U$6),IF(AH!$U$4=0,"unavailable",INDEX('Market Data'!$AN$5:$AN$66,AH!$U$4)),IF(AH!$U$5=1,INDEX('Live History'!$B$5:$B$3004,$K2423),INDEX('AH History'!$D$5:$GG$1380,$K2423,AH!$U$10))))&gt;0),IF(AND(AH!$U$12=1,2418+1=AH!$U$6),IF(AH!$U$4=0,"unavailable",INDEX('Market Data'!$AN$5:$AN$66,AH!$U$4)),IF(AH!$U$5=1,INDEX('Live History'!$B$5:$B$3004,$K2423),INDEX('AH History'!$D$5:$GG$1380,$K2423,AH!$U$10))),NA()),NA())</f>
        <v/>
      </c>
      <c r="F2423" s="32">
        <f>IFERROR(IF(ISNUMBER($A2423),IF(AND(AH!$U$12=1,2418+1=AH!$U$6),IF(AH!$U$4=0,"unavailable",INDEX('Market Data'!$AO$5:$AO$66,AH!$U$4)),IF(AH!$U$5=1,INDEX('Live History'!$E$5:$E$3004,MATCH($A2423,'Live History'!$D$5:$D$3004,1)),INDEX('AH History'!$D$5:$GG$1380,$K2423,AH!$U$10+1))),NA()),NA())</f>
        <v/>
      </c>
      <c r="G2423" s="34">
        <f>IFERROR(IF(ISNUMBER($A2423),IF(AND(AH!$U$12=1,2418+1=AH!$U$6),IF(AH!$U$4=0,"unavailable",INDEX('Market Data'!$AK$5:$AK$66,AH!$U$4)),IF(AH!$U$5=1,INDEX('Live History'!$D$5:$D$3004,MATCH($A2423,'Live History'!$D$5:$D$3004,1)),INDEX('AH History'!$D$5:$GG$1380,$K2423,AH!$U$10+2))),NA()),NA())</f>
        <v/>
      </c>
      <c r="H2423" s="266">
        <f>IFERROR(IF(ISNUMBER($A2423),IF(AND(AH!$U$12=1,2418+1=AH!$U$6),IF(AH!$U$4=0,"unavailable",INDEX('Market Data'!$AP$5:$AP$66,AH!$U$4)),IF(AH!$U$5=1,INDEX('Live History'!$H$5:$H$3004,MATCH($A2423,'Live History'!$G$5:$G$3004,1)),INDEX('AH History'!$B$5:$B$1380,$K2423))),NA()),NA())</f>
        <v/>
      </c>
      <c r="I2423" s="34">
        <f>IFERROR(IF(ISNUMBER($A2423),IF(AND(AH!$U$12=1,2418+1=AH!$U$6),TODAY(),IF(AH!$U$5=1,INDEX('Live History'!$G$5:$G$3004,MATCH($A2423,'Live History'!$G$5:$G$3004,1)),INDEX('AH History'!$C$5:$C$1380,$K2423))),NA()),NA())</f>
        <v/>
      </c>
      <c r="J2423" s="32">
        <f>IFERROR(IF(AND($F2423&gt;0,$H2423&gt;0,$A2423-$G2423&lt;=10,$A2423-$I2423&lt;=5,$G2423&gt;0,$I2423&gt;0),$F2423*$H2423,NA()),NA())</f>
        <v/>
      </c>
      <c r="K2423" s="15">
        <f>IF($A2423="","",IF(AH!$U$5=1,IFERROR(MATCH($A2423,'Live History'!$A$5:$A$3004,0),0),AH!$U$7+2418))</f>
        <v/>
      </c>
      <c r="L2423" s="15">
        <f>IF(ISNUMBER(A2423),TEXT(A2423,"dd-mmm-yy"),"")</f>
        <v/>
      </c>
    </row>
    <row r="2424">
      <c r="A2424" s="14">
        <f>IF(OR(AH!$U$4=0,2419+1&gt;AH!$U$6,AND(AH!$M$5="Bloomberg",AH!$U$5=0)),"",IFERROR(IF(AND(AH!$U$12=1,2419+1=AH!$U$6),TODAY(),IF(AH!$U$5=1,INDEX('Live History'!$A$5:$A$3004,AH!$U$7+2419),INDEX('AH History'!$A$5:$A$1380,AH!$U$7+2419))),""))</f>
        <v/>
      </c>
      <c r="B2424" s="33">
        <f>IFERROR(IF(AH!$U$11=1,NA(),$J2424/$E2424-1),NA())</f>
        <v/>
      </c>
      <c r="C2424" s="269">
        <f>IFERROR(100*$E2424/$E$5,NA())</f>
        <v/>
      </c>
      <c r="D2424" s="269">
        <f>IFERROR(100*$J2424/$J$5,NA())</f>
        <v/>
      </c>
      <c r="E2424" s="32">
        <f>IFERROR(IF(AND(ISNUMBER($A2424),N(IF(AND(AH!$U$12=1,2419+1=AH!$U$6),IF(AH!$U$4=0,"unavailable",INDEX('Market Data'!$AN$5:$AN$66,AH!$U$4)),IF(AH!$U$5=1,INDEX('Live History'!$B$5:$B$3004,$K2424),INDEX('AH History'!$D$5:$GG$1380,$K2424,AH!$U$10))))&gt;0),IF(AND(AH!$U$12=1,2419+1=AH!$U$6),IF(AH!$U$4=0,"unavailable",INDEX('Market Data'!$AN$5:$AN$66,AH!$U$4)),IF(AH!$U$5=1,INDEX('Live History'!$B$5:$B$3004,$K2424),INDEX('AH History'!$D$5:$GG$1380,$K2424,AH!$U$10))),NA()),NA())</f>
        <v/>
      </c>
      <c r="F2424" s="32">
        <f>IFERROR(IF(ISNUMBER($A2424),IF(AND(AH!$U$12=1,2419+1=AH!$U$6),IF(AH!$U$4=0,"unavailable",INDEX('Market Data'!$AO$5:$AO$66,AH!$U$4)),IF(AH!$U$5=1,INDEX('Live History'!$E$5:$E$3004,MATCH($A2424,'Live History'!$D$5:$D$3004,1)),INDEX('AH History'!$D$5:$GG$1380,$K2424,AH!$U$10+1))),NA()),NA())</f>
        <v/>
      </c>
      <c r="G2424" s="34">
        <f>IFERROR(IF(ISNUMBER($A2424),IF(AND(AH!$U$12=1,2419+1=AH!$U$6),IF(AH!$U$4=0,"unavailable",INDEX('Market Data'!$AK$5:$AK$66,AH!$U$4)),IF(AH!$U$5=1,INDEX('Live History'!$D$5:$D$3004,MATCH($A2424,'Live History'!$D$5:$D$3004,1)),INDEX('AH History'!$D$5:$GG$1380,$K2424,AH!$U$10+2))),NA()),NA())</f>
        <v/>
      </c>
      <c r="H2424" s="266">
        <f>IFERROR(IF(ISNUMBER($A2424),IF(AND(AH!$U$12=1,2419+1=AH!$U$6),IF(AH!$U$4=0,"unavailable",INDEX('Market Data'!$AP$5:$AP$66,AH!$U$4)),IF(AH!$U$5=1,INDEX('Live History'!$H$5:$H$3004,MATCH($A2424,'Live History'!$G$5:$G$3004,1)),INDEX('AH History'!$B$5:$B$1380,$K2424))),NA()),NA())</f>
        <v/>
      </c>
      <c r="I2424" s="34">
        <f>IFERROR(IF(ISNUMBER($A2424),IF(AND(AH!$U$12=1,2419+1=AH!$U$6),TODAY(),IF(AH!$U$5=1,INDEX('Live History'!$G$5:$G$3004,MATCH($A2424,'Live History'!$G$5:$G$3004,1)),INDEX('AH History'!$C$5:$C$1380,$K2424))),NA()),NA())</f>
        <v/>
      </c>
      <c r="J2424" s="32">
        <f>IFERROR(IF(AND($F2424&gt;0,$H2424&gt;0,$A2424-$G2424&lt;=10,$A2424-$I2424&lt;=5,$G2424&gt;0,$I2424&gt;0),$F2424*$H2424,NA()),NA())</f>
        <v/>
      </c>
      <c r="K2424" s="15">
        <f>IF($A2424="","",IF(AH!$U$5=1,IFERROR(MATCH($A2424,'Live History'!$A$5:$A$3004,0),0),AH!$U$7+2419))</f>
        <v/>
      </c>
      <c r="L2424" s="15">
        <f>IF(ISNUMBER(A2424),TEXT(A2424,"dd-mmm-yy"),"")</f>
        <v/>
      </c>
    </row>
    <row r="2425">
      <c r="A2425" s="14">
        <f>IF(OR(AH!$U$4=0,2420+1&gt;AH!$U$6,AND(AH!$M$5="Bloomberg",AH!$U$5=0)),"",IFERROR(IF(AND(AH!$U$12=1,2420+1=AH!$U$6),TODAY(),IF(AH!$U$5=1,INDEX('Live History'!$A$5:$A$3004,AH!$U$7+2420),INDEX('AH History'!$A$5:$A$1380,AH!$U$7+2420))),""))</f>
        <v/>
      </c>
      <c r="B2425" s="33">
        <f>IFERROR(IF(AH!$U$11=1,NA(),$J2425/$E2425-1),NA())</f>
        <v/>
      </c>
      <c r="C2425" s="269">
        <f>IFERROR(100*$E2425/$E$5,NA())</f>
        <v/>
      </c>
      <c r="D2425" s="269">
        <f>IFERROR(100*$J2425/$J$5,NA())</f>
        <v/>
      </c>
      <c r="E2425" s="32">
        <f>IFERROR(IF(AND(ISNUMBER($A2425),N(IF(AND(AH!$U$12=1,2420+1=AH!$U$6),IF(AH!$U$4=0,"unavailable",INDEX('Market Data'!$AN$5:$AN$66,AH!$U$4)),IF(AH!$U$5=1,INDEX('Live History'!$B$5:$B$3004,$K2425),INDEX('AH History'!$D$5:$GG$1380,$K2425,AH!$U$10))))&gt;0),IF(AND(AH!$U$12=1,2420+1=AH!$U$6),IF(AH!$U$4=0,"unavailable",INDEX('Market Data'!$AN$5:$AN$66,AH!$U$4)),IF(AH!$U$5=1,INDEX('Live History'!$B$5:$B$3004,$K2425),INDEX('AH History'!$D$5:$GG$1380,$K2425,AH!$U$10))),NA()),NA())</f>
        <v/>
      </c>
      <c r="F2425" s="32">
        <f>IFERROR(IF(ISNUMBER($A2425),IF(AND(AH!$U$12=1,2420+1=AH!$U$6),IF(AH!$U$4=0,"unavailable",INDEX('Market Data'!$AO$5:$AO$66,AH!$U$4)),IF(AH!$U$5=1,INDEX('Live History'!$E$5:$E$3004,MATCH($A2425,'Live History'!$D$5:$D$3004,1)),INDEX('AH History'!$D$5:$GG$1380,$K2425,AH!$U$10+1))),NA()),NA())</f>
        <v/>
      </c>
      <c r="G2425" s="34">
        <f>IFERROR(IF(ISNUMBER($A2425),IF(AND(AH!$U$12=1,2420+1=AH!$U$6),IF(AH!$U$4=0,"unavailable",INDEX('Market Data'!$AK$5:$AK$66,AH!$U$4)),IF(AH!$U$5=1,INDEX('Live History'!$D$5:$D$3004,MATCH($A2425,'Live History'!$D$5:$D$3004,1)),INDEX('AH History'!$D$5:$GG$1380,$K2425,AH!$U$10+2))),NA()),NA())</f>
        <v/>
      </c>
      <c r="H2425" s="266">
        <f>IFERROR(IF(ISNUMBER($A2425),IF(AND(AH!$U$12=1,2420+1=AH!$U$6),IF(AH!$U$4=0,"unavailable",INDEX('Market Data'!$AP$5:$AP$66,AH!$U$4)),IF(AH!$U$5=1,INDEX('Live History'!$H$5:$H$3004,MATCH($A2425,'Live History'!$G$5:$G$3004,1)),INDEX('AH History'!$B$5:$B$1380,$K2425))),NA()),NA())</f>
        <v/>
      </c>
      <c r="I2425" s="34">
        <f>IFERROR(IF(ISNUMBER($A2425),IF(AND(AH!$U$12=1,2420+1=AH!$U$6),TODAY(),IF(AH!$U$5=1,INDEX('Live History'!$G$5:$G$3004,MATCH($A2425,'Live History'!$G$5:$G$3004,1)),INDEX('AH History'!$C$5:$C$1380,$K2425))),NA()),NA())</f>
        <v/>
      </c>
      <c r="J2425" s="32">
        <f>IFERROR(IF(AND($F2425&gt;0,$H2425&gt;0,$A2425-$G2425&lt;=10,$A2425-$I2425&lt;=5,$G2425&gt;0,$I2425&gt;0),$F2425*$H2425,NA()),NA())</f>
        <v/>
      </c>
      <c r="K2425" s="15">
        <f>IF($A2425="","",IF(AH!$U$5=1,IFERROR(MATCH($A2425,'Live History'!$A$5:$A$3004,0),0),AH!$U$7+2420))</f>
        <v/>
      </c>
      <c r="L2425" s="15">
        <f>IF(ISNUMBER(A2425),TEXT(A2425,"dd-mmm-yy"),"")</f>
        <v/>
      </c>
    </row>
    <row r="2426">
      <c r="A2426" s="14">
        <f>IF(OR(AH!$U$4=0,2421+1&gt;AH!$U$6,AND(AH!$M$5="Bloomberg",AH!$U$5=0)),"",IFERROR(IF(AND(AH!$U$12=1,2421+1=AH!$U$6),TODAY(),IF(AH!$U$5=1,INDEX('Live History'!$A$5:$A$3004,AH!$U$7+2421),INDEX('AH History'!$A$5:$A$1380,AH!$U$7+2421))),""))</f>
        <v/>
      </c>
      <c r="B2426" s="33">
        <f>IFERROR(IF(AH!$U$11=1,NA(),$J2426/$E2426-1),NA())</f>
        <v/>
      </c>
      <c r="C2426" s="269">
        <f>IFERROR(100*$E2426/$E$5,NA())</f>
        <v/>
      </c>
      <c r="D2426" s="269">
        <f>IFERROR(100*$J2426/$J$5,NA())</f>
        <v/>
      </c>
      <c r="E2426" s="32">
        <f>IFERROR(IF(AND(ISNUMBER($A2426),N(IF(AND(AH!$U$12=1,2421+1=AH!$U$6),IF(AH!$U$4=0,"unavailable",INDEX('Market Data'!$AN$5:$AN$66,AH!$U$4)),IF(AH!$U$5=1,INDEX('Live History'!$B$5:$B$3004,$K2426),INDEX('AH History'!$D$5:$GG$1380,$K2426,AH!$U$10))))&gt;0),IF(AND(AH!$U$12=1,2421+1=AH!$U$6),IF(AH!$U$4=0,"unavailable",INDEX('Market Data'!$AN$5:$AN$66,AH!$U$4)),IF(AH!$U$5=1,INDEX('Live History'!$B$5:$B$3004,$K2426),INDEX('AH History'!$D$5:$GG$1380,$K2426,AH!$U$10))),NA()),NA())</f>
        <v/>
      </c>
      <c r="F2426" s="32">
        <f>IFERROR(IF(ISNUMBER($A2426),IF(AND(AH!$U$12=1,2421+1=AH!$U$6),IF(AH!$U$4=0,"unavailable",INDEX('Market Data'!$AO$5:$AO$66,AH!$U$4)),IF(AH!$U$5=1,INDEX('Live History'!$E$5:$E$3004,MATCH($A2426,'Live History'!$D$5:$D$3004,1)),INDEX('AH History'!$D$5:$GG$1380,$K2426,AH!$U$10+1))),NA()),NA())</f>
        <v/>
      </c>
      <c r="G2426" s="34">
        <f>IFERROR(IF(ISNUMBER($A2426),IF(AND(AH!$U$12=1,2421+1=AH!$U$6),IF(AH!$U$4=0,"unavailable",INDEX('Market Data'!$AK$5:$AK$66,AH!$U$4)),IF(AH!$U$5=1,INDEX('Live History'!$D$5:$D$3004,MATCH($A2426,'Live History'!$D$5:$D$3004,1)),INDEX('AH History'!$D$5:$GG$1380,$K2426,AH!$U$10+2))),NA()),NA())</f>
        <v/>
      </c>
      <c r="H2426" s="266">
        <f>IFERROR(IF(ISNUMBER($A2426),IF(AND(AH!$U$12=1,2421+1=AH!$U$6),IF(AH!$U$4=0,"unavailable",INDEX('Market Data'!$AP$5:$AP$66,AH!$U$4)),IF(AH!$U$5=1,INDEX('Live History'!$H$5:$H$3004,MATCH($A2426,'Live History'!$G$5:$G$3004,1)),INDEX('AH History'!$B$5:$B$1380,$K2426))),NA()),NA())</f>
        <v/>
      </c>
      <c r="I2426" s="34">
        <f>IFERROR(IF(ISNUMBER($A2426),IF(AND(AH!$U$12=1,2421+1=AH!$U$6),TODAY(),IF(AH!$U$5=1,INDEX('Live History'!$G$5:$G$3004,MATCH($A2426,'Live History'!$G$5:$G$3004,1)),INDEX('AH History'!$C$5:$C$1380,$K2426))),NA()),NA())</f>
        <v/>
      </c>
      <c r="J2426" s="32">
        <f>IFERROR(IF(AND($F2426&gt;0,$H2426&gt;0,$A2426-$G2426&lt;=10,$A2426-$I2426&lt;=5,$G2426&gt;0,$I2426&gt;0),$F2426*$H2426,NA()),NA())</f>
        <v/>
      </c>
      <c r="K2426" s="15">
        <f>IF($A2426="","",IF(AH!$U$5=1,IFERROR(MATCH($A2426,'Live History'!$A$5:$A$3004,0),0),AH!$U$7+2421))</f>
        <v/>
      </c>
      <c r="L2426" s="15">
        <f>IF(ISNUMBER(A2426),TEXT(A2426,"dd-mmm-yy"),"")</f>
        <v/>
      </c>
    </row>
    <row r="2427">
      <c r="A2427" s="14">
        <f>IF(OR(AH!$U$4=0,2422+1&gt;AH!$U$6,AND(AH!$M$5="Bloomberg",AH!$U$5=0)),"",IFERROR(IF(AND(AH!$U$12=1,2422+1=AH!$U$6),TODAY(),IF(AH!$U$5=1,INDEX('Live History'!$A$5:$A$3004,AH!$U$7+2422),INDEX('AH History'!$A$5:$A$1380,AH!$U$7+2422))),""))</f>
        <v/>
      </c>
      <c r="B2427" s="33">
        <f>IFERROR(IF(AH!$U$11=1,NA(),$J2427/$E2427-1),NA())</f>
        <v/>
      </c>
      <c r="C2427" s="269">
        <f>IFERROR(100*$E2427/$E$5,NA())</f>
        <v/>
      </c>
      <c r="D2427" s="269">
        <f>IFERROR(100*$J2427/$J$5,NA())</f>
        <v/>
      </c>
      <c r="E2427" s="32">
        <f>IFERROR(IF(AND(ISNUMBER($A2427),N(IF(AND(AH!$U$12=1,2422+1=AH!$U$6),IF(AH!$U$4=0,"unavailable",INDEX('Market Data'!$AN$5:$AN$66,AH!$U$4)),IF(AH!$U$5=1,INDEX('Live History'!$B$5:$B$3004,$K2427),INDEX('AH History'!$D$5:$GG$1380,$K2427,AH!$U$10))))&gt;0),IF(AND(AH!$U$12=1,2422+1=AH!$U$6),IF(AH!$U$4=0,"unavailable",INDEX('Market Data'!$AN$5:$AN$66,AH!$U$4)),IF(AH!$U$5=1,INDEX('Live History'!$B$5:$B$3004,$K2427),INDEX('AH History'!$D$5:$GG$1380,$K2427,AH!$U$10))),NA()),NA())</f>
        <v/>
      </c>
      <c r="F2427" s="32">
        <f>IFERROR(IF(ISNUMBER($A2427),IF(AND(AH!$U$12=1,2422+1=AH!$U$6),IF(AH!$U$4=0,"unavailable",INDEX('Market Data'!$AO$5:$AO$66,AH!$U$4)),IF(AH!$U$5=1,INDEX('Live History'!$E$5:$E$3004,MATCH($A2427,'Live History'!$D$5:$D$3004,1)),INDEX('AH History'!$D$5:$GG$1380,$K2427,AH!$U$10+1))),NA()),NA())</f>
        <v/>
      </c>
      <c r="G2427" s="34">
        <f>IFERROR(IF(ISNUMBER($A2427),IF(AND(AH!$U$12=1,2422+1=AH!$U$6),IF(AH!$U$4=0,"unavailable",INDEX('Market Data'!$AK$5:$AK$66,AH!$U$4)),IF(AH!$U$5=1,INDEX('Live History'!$D$5:$D$3004,MATCH($A2427,'Live History'!$D$5:$D$3004,1)),INDEX('AH History'!$D$5:$GG$1380,$K2427,AH!$U$10+2))),NA()),NA())</f>
        <v/>
      </c>
      <c r="H2427" s="266">
        <f>IFERROR(IF(ISNUMBER($A2427),IF(AND(AH!$U$12=1,2422+1=AH!$U$6),IF(AH!$U$4=0,"unavailable",INDEX('Market Data'!$AP$5:$AP$66,AH!$U$4)),IF(AH!$U$5=1,INDEX('Live History'!$H$5:$H$3004,MATCH($A2427,'Live History'!$G$5:$G$3004,1)),INDEX('AH History'!$B$5:$B$1380,$K2427))),NA()),NA())</f>
        <v/>
      </c>
      <c r="I2427" s="34">
        <f>IFERROR(IF(ISNUMBER($A2427),IF(AND(AH!$U$12=1,2422+1=AH!$U$6),TODAY(),IF(AH!$U$5=1,INDEX('Live History'!$G$5:$G$3004,MATCH($A2427,'Live History'!$G$5:$G$3004,1)),INDEX('AH History'!$C$5:$C$1380,$K2427))),NA()),NA())</f>
        <v/>
      </c>
      <c r="J2427" s="32">
        <f>IFERROR(IF(AND($F2427&gt;0,$H2427&gt;0,$A2427-$G2427&lt;=10,$A2427-$I2427&lt;=5,$G2427&gt;0,$I2427&gt;0),$F2427*$H2427,NA()),NA())</f>
        <v/>
      </c>
      <c r="K2427" s="15">
        <f>IF($A2427="","",IF(AH!$U$5=1,IFERROR(MATCH($A2427,'Live History'!$A$5:$A$3004,0),0),AH!$U$7+2422))</f>
        <v/>
      </c>
      <c r="L2427" s="15">
        <f>IF(ISNUMBER(A2427),TEXT(A2427,"dd-mmm-yy"),"")</f>
        <v/>
      </c>
    </row>
    <row r="2428">
      <c r="A2428" s="14">
        <f>IF(OR(AH!$U$4=0,2423+1&gt;AH!$U$6,AND(AH!$M$5="Bloomberg",AH!$U$5=0)),"",IFERROR(IF(AND(AH!$U$12=1,2423+1=AH!$U$6),TODAY(),IF(AH!$U$5=1,INDEX('Live History'!$A$5:$A$3004,AH!$U$7+2423),INDEX('AH History'!$A$5:$A$1380,AH!$U$7+2423))),""))</f>
        <v/>
      </c>
      <c r="B2428" s="33">
        <f>IFERROR(IF(AH!$U$11=1,NA(),$J2428/$E2428-1),NA())</f>
        <v/>
      </c>
      <c r="C2428" s="269">
        <f>IFERROR(100*$E2428/$E$5,NA())</f>
        <v/>
      </c>
      <c r="D2428" s="269">
        <f>IFERROR(100*$J2428/$J$5,NA())</f>
        <v/>
      </c>
      <c r="E2428" s="32">
        <f>IFERROR(IF(AND(ISNUMBER($A2428),N(IF(AND(AH!$U$12=1,2423+1=AH!$U$6),IF(AH!$U$4=0,"unavailable",INDEX('Market Data'!$AN$5:$AN$66,AH!$U$4)),IF(AH!$U$5=1,INDEX('Live History'!$B$5:$B$3004,$K2428),INDEX('AH History'!$D$5:$GG$1380,$K2428,AH!$U$10))))&gt;0),IF(AND(AH!$U$12=1,2423+1=AH!$U$6),IF(AH!$U$4=0,"unavailable",INDEX('Market Data'!$AN$5:$AN$66,AH!$U$4)),IF(AH!$U$5=1,INDEX('Live History'!$B$5:$B$3004,$K2428),INDEX('AH History'!$D$5:$GG$1380,$K2428,AH!$U$10))),NA()),NA())</f>
        <v/>
      </c>
      <c r="F2428" s="32">
        <f>IFERROR(IF(ISNUMBER($A2428),IF(AND(AH!$U$12=1,2423+1=AH!$U$6),IF(AH!$U$4=0,"unavailable",INDEX('Market Data'!$AO$5:$AO$66,AH!$U$4)),IF(AH!$U$5=1,INDEX('Live History'!$E$5:$E$3004,MATCH($A2428,'Live History'!$D$5:$D$3004,1)),INDEX('AH History'!$D$5:$GG$1380,$K2428,AH!$U$10+1))),NA()),NA())</f>
        <v/>
      </c>
      <c r="G2428" s="34">
        <f>IFERROR(IF(ISNUMBER($A2428),IF(AND(AH!$U$12=1,2423+1=AH!$U$6),IF(AH!$U$4=0,"unavailable",INDEX('Market Data'!$AK$5:$AK$66,AH!$U$4)),IF(AH!$U$5=1,INDEX('Live History'!$D$5:$D$3004,MATCH($A2428,'Live History'!$D$5:$D$3004,1)),INDEX('AH History'!$D$5:$GG$1380,$K2428,AH!$U$10+2))),NA()),NA())</f>
        <v/>
      </c>
      <c r="H2428" s="266">
        <f>IFERROR(IF(ISNUMBER($A2428),IF(AND(AH!$U$12=1,2423+1=AH!$U$6),IF(AH!$U$4=0,"unavailable",INDEX('Market Data'!$AP$5:$AP$66,AH!$U$4)),IF(AH!$U$5=1,INDEX('Live History'!$H$5:$H$3004,MATCH($A2428,'Live History'!$G$5:$G$3004,1)),INDEX('AH History'!$B$5:$B$1380,$K2428))),NA()),NA())</f>
        <v/>
      </c>
      <c r="I2428" s="34">
        <f>IFERROR(IF(ISNUMBER($A2428),IF(AND(AH!$U$12=1,2423+1=AH!$U$6),TODAY(),IF(AH!$U$5=1,INDEX('Live History'!$G$5:$G$3004,MATCH($A2428,'Live History'!$G$5:$G$3004,1)),INDEX('AH History'!$C$5:$C$1380,$K2428))),NA()),NA())</f>
        <v/>
      </c>
      <c r="J2428" s="32">
        <f>IFERROR(IF(AND($F2428&gt;0,$H2428&gt;0,$A2428-$G2428&lt;=10,$A2428-$I2428&lt;=5,$G2428&gt;0,$I2428&gt;0),$F2428*$H2428,NA()),NA())</f>
        <v/>
      </c>
      <c r="K2428" s="15">
        <f>IF($A2428="","",IF(AH!$U$5=1,IFERROR(MATCH($A2428,'Live History'!$A$5:$A$3004,0),0),AH!$U$7+2423))</f>
        <v/>
      </c>
      <c r="L2428" s="15">
        <f>IF(ISNUMBER(A2428),TEXT(A2428,"dd-mmm-yy"),"")</f>
        <v/>
      </c>
    </row>
    <row r="2429">
      <c r="A2429" s="14">
        <f>IF(OR(AH!$U$4=0,2424+1&gt;AH!$U$6,AND(AH!$M$5="Bloomberg",AH!$U$5=0)),"",IFERROR(IF(AND(AH!$U$12=1,2424+1=AH!$U$6),TODAY(),IF(AH!$U$5=1,INDEX('Live History'!$A$5:$A$3004,AH!$U$7+2424),INDEX('AH History'!$A$5:$A$1380,AH!$U$7+2424))),""))</f>
        <v/>
      </c>
      <c r="B2429" s="33">
        <f>IFERROR(IF(AH!$U$11=1,NA(),$J2429/$E2429-1),NA())</f>
        <v/>
      </c>
      <c r="C2429" s="269">
        <f>IFERROR(100*$E2429/$E$5,NA())</f>
        <v/>
      </c>
      <c r="D2429" s="269">
        <f>IFERROR(100*$J2429/$J$5,NA())</f>
        <v/>
      </c>
      <c r="E2429" s="32">
        <f>IFERROR(IF(AND(ISNUMBER($A2429),N(IF(AND(AH!$U$12=1,2424+1=AH!$U$6),IF(AH!$U$4=0,"unavailable",INDEX('Market Data'!$AN$5:$AN$66,AH!$U$4)),IF(AH!$U$5=1,INDEX('Live History'!$B$5:$B$3004,$K2429),INDEX('AH History'!$D$5:$GG$1380,$K2429,AH!$U$10))))&gt;0),IF(AND(AH!$U$12=1,2424+1=AH!$U$6),IF(AH!$U$4=0,"unavailable",INDEX('Market Data'!$AN$5:$AN$66,AH!$U$4)),IF(AH!$U$5=1,INDEX('Live History'!$B$5:$B$3004,$K2429),INDEX('AH History'!$D$5:$GG$1380,$K2429,AH!$U$10))),NA()),NA())</f>
        <v/>
      </c>
      <c r="F2429" s="32">
        <f>IFERROR(IF(ISNUMBER($A2429),IF(AND(AH!$U$12=1,2424+1=AH!$U$6),IF(AH!$U$4=0,"unavailable",INDEX('Market Data'!$AO$5:$AO$66,AH!$U$4)),IF(AH!$U$5=1,INDEX('Live History'!$E$5:$E$3004,MATCH($A2429,'Live History'!$D$5:$D$3004,1)),INDEX('AH History'!$D$5:$GG$1380,$K2429,AH!$U$10+1))),NA()),NA())</f>
        <v/>
      </c>
      <c r="G2429" s="34">
        <f>IFERROR(IF(ISNUMBER($A2429),IF(AND(AH!$U$12=1,2424+1=AH!$U$6),IF(AH!$U$4=0,"unavailable",INDEX('Market Data'!$AK$5:$AK$66,AH!$U$4)),IF(AH!$U$5=1,INDEX('Live History'!$D$5:$D$3004,MATCH($A2429,'Live History'!$D$5:$D$3004,1)),INDEX('AH History'!$D$5:$GG$1380,$K2429,AH!$U$10+2))),NA()),NA())</f>
        <v/>
      </c>
      <c r="H2429" s="266">
        <f>IFERROR(IF(ISNUMBER($A2429),IF(AND(AH!$U$12=1,2424+1=AH!$U$6),IF(AH!$U$4=0,"unavailable",INDEX('Market Data'!$AP$5:$AP$66,AH!$U$4)),IF(AH!$U$5=1,INDEX('Live History'!$H$5:$H$3004,MATCH($A2429,'Live History'!$G$5:$G$3004,1)),INDEX('AH History'!$B$5:$B$1380,$K2429))),NA()),NA())</f>
        <v/>
      </c>
      <c r="I2429" s="34">
        <f>IFERROR(IF(ISNUMBER($A2429),IF(AND(AH!$U$12=1,2424+1=AH!$U$6),TODAY(),IF(AH!$U$5=1,INDEX('Live History'!$G$5:$G$3004,MATCH($A2429,'Live History'!$G$5:$G$3004,1)),INDEX('AH History'!$C$5:$C$1380,$K2429))),NA()),NA())</f>
        <v/>
      </c>
      <c r="J2429" s="32">
        <f>IFERROR(IF(AND($F2429&gt;0,$H2429&gt;0,$A2429-$G2429&lt;=10,$A2429-$I2429&lt;=5,$G2429&gt;0,$I2429&gt;0),$F2429*$H2429,NA()),NA())</f>
        <v/>
      </c>
      <c r="K2429" s="15">
        <f>IF($A2429="","",IF(AH!$U$5=1,IFERROR(MATCH($A2429,'Live History'!$A$5:$A$3004,0),0),AH!$U$7+2424))</f>
        <v/>
      </c>
      <c r="L2429" s="15">
        <f>IF(ISNUMBER(A2429),TEXT(A2429,"dd-mmm-yy"),"")</f>
        <v/>
      </c>
    </row>
    <row r="2430">
      <c r="A2430" s="14">
        <f>IF(OR(AH!$U$4=0,2425+1&gt;AH!$U$6,AND(AH!$M$5="Bloomberg",AH!$U$5=0)),"",IFERROR(IF(AND(AH!$U$12=1,2425+1=AH!$U$6),TODAY(),IF(AH!$U$5=1,INDEX('Live History'!$A$5:$A$3004,AH!$U$7+2425),INDEX('AH History'!$A$5:$A$1380,AH!$U$7+2425))),""))</f>
        <v/>
      </c>
      <c r="B2430" s="33">
        <f>IFERROR(IF(AH!$U$11=1,NA(),$J2430/$E2430-1),NA())</f>
        <v/>
      </c>
      <c r="C2430" s="269">
        <f>IFERROR(100*$E2430/$E$5,NA())</f>
        <v/>
      </c>
      <c r="D2430" s="269">
        <f>IFERROR(100*$J2430/$J$5,NA())</f>
        <v/>
      </c>
      <c r="E2430" s="32">
        <f>IFERROR(IF(AND(ISNUMBER($A2430),N(IF(AND(AH!$U$12=1,2425+1=AH!$U$6),IF(AH!$U$4=0,"unavailable",INDEX('Market Data'!$AN$5:$AN$66,AH!$U$4)),IF(AH!$U$5=1,INDEX('Live History'!$B$5:$B$3004,$K2430),INDEX('AH History'!$D$5:$GG$1380,$K2430,AH!$U$10))))&gt;0),IF(AND(AH!$U$12=1,2425+1=AH!$U$6),IF(AH!$U$4=0,"unavailable",INDEX('Market Data'!$AN$5:$AN$66,AH!$U$4)),IF(AH!$U$5=1,INDEX('Live History'!$B$5:$B$3004,$K2430),INDEX('AH History'!$D$5:$GG$1380,$K2430,AH!$U$10))),NA()),NA())</f>
        <v/>
      </c>
      <c r="F2430" s="32">
        <f>IFERROR(IF(ISNUMBER($A2430),IF(AND(AH!$U$12=1,2425+1=AH!$U$6),IF(AH!$U$4=0,"unavailable",INDEX('Market Data'!$AO$5:$AO$66,AH!$U$4)),IF(AH!$U$5=1,INDEX('Live History'!$E$5:$E$3004,MATCH($A2430,'Live History'!$D$5:$D$3004,1)),INDEX('AH History'!$D$5:$GG$1380,$K2430,AH!$U$10+1))),NA()),NA())</f>
        <v/>
      </c>
      <c r="G2430" s="34">
        <f>IFERROR(IF(ISNUMBER($A2430),IF(AND(AH!$U$12=1,2425+1=AH!$U$6),IF(AH!$U$4=0,"unavailable",INDEX('Market Data'!$AK$5:$AK$66,AH!$U$4)),IF(AH!$U$5=1,INDEX('Live History'!$D$5:$D$3004,MATCH($A2430,'Live History'!$D$5:$D$3004,1)),INDEX('AH History'!$D$5:$GG$1380,$K2430,AH!$U$10+2))),NA()),NA())</f>
        <v/>
      </c>
      <c r="H2430" s="266">
        <f>IFERROR(IF(ISNUMBER($A2430),IF(AND(AH!$U$12=1,2425+1=AH!$U$6),IF(AH!$U$4=0,"unavailable",INDEX('Market Data'!$AP$5:$AP$66,AH!$U$4)),IF(AH!$U$5=1,INDEX('Live History'!$H$5:$H$3004,MATCH($A2430,'Live History'!$G$5:$G$3004,1)),INDEX('AH History'!$B$5:$B$1380,$K2430))),NA()),NA())</f>
        <v/>
      </c>
      <c r="I2430" s="34">
        <f>IFERROR(IF(ISNUMBER($A2430),IF(AND(AH!$U$12=1,2425+1=AH!$U$6),TODAY(),IF(AH!$U$5=1,INDEX('Live History'!$G$5:$G$3004,MATCH($A2430,'Live History'!$G$5:$G$3004,1)),INDEX('AH History'!$C$5:$C$1380,$K2430))),NA()),NA())</f>
        <v/>
      </c>
      <c r="J2430" s="32">
        <f>IFERROR(IF(AND($F2430&gt;0,$H2430&gt;0,$A2430-$G2430&lt;=10,$A2430-$I2430&lt;=5,$G2430&gt;0,$I2430&gt;0),$F2430*$H2430,NA()),NA())</f>
        <v/>
      </c>
      <c r="K2430" s="15">
        <f>IF($A2430="","",IF(AH!$U$5=1,IFERROR(MATCH($A2430,'Live History'!$A$5:$A$3004,0),0),AH!$U$7+2425))</f>
        <v/>
      </c>
      <c r="L2430" s="15">
        <f>IF(ISNUMBER(A2430),TEXT(A2430,"dd-mmm-yy"),"")</f>
        <v/>
      </c>
    </row>
    <row r="2431">
      <c r="A2431" s="14">
        <f>IF(OR(AH!$U$4=0,2426+1&gt;AH!$U$6,AND(AH!$M$5="Bloomberg",AH!$U$5=0)),"",IFERROR(IF(AND(AH!$U$12=1,2426+1=AH!$U$6),TODAY(),IF(AH!$U$5=1,INDEX('Live History'!$A$5:$A$3004,AH!$U$7+2426),INDEX('AH History'!$A$5:$A$1380,AH!$U$7+2426))),""))</f>
        <v/>
      </c>
      <c r="B2431" s="33">
        <f>IFERROR(IF(AH!$U$11=1,NA(),$J2431/$E2431-1),NA())</f>
        <v/>
      </c>
      <c r="C2431" s="269">
        <f>IFERROR(100*$E2431/$E$5,NA())</f>
        <v/>
      </c>
      <c r="D2431" s="269">
        <f>IFERROR(100*$J2431/$J$5,NA())</f>
        <v/>
      </c>
      <c r="E2431" s="32">
        <f>IFERROR(IF(AND(ISNUMBER($A2431),N(IF(AND(AH!$U$12=1,2426+1=AH!$U$6),IF(AH!$U$4=0,"unavailable",INDEX('Market Data'!$AN$5:$AN$66,AH!$U$4)),IF(AH!$U$5=1,INDEX('Live History'!$B$5:$B$3004,$K2431),INDEX('AH History'!$D$5:$GG$1380,$K2431,AH!$U$10))))&gt;0),IF(AND(AH!$U$12=1,2426+1=AH!$U$6),IF(AH!$U$4=0,"unavailable",INDEX('Market Data'!$AN$5:$AN$66,AH!$U$4)),IF(AH!$U$5=1,INDEX('Live History'!$B$5:$B$3004,$K2431),INDEX('AH History'!$D$5:$GG$1380,$K2431,AH!$U$10))),NA()),NA())</f>
        <v/>
      </c>
      <c r="F2431" s="32">
        <f>IFERROR(IF(ISNUMBER($A2431),IF(AND(AH!$U$12=1,2426+1=AH!$U$6),IF(AH!$U$4=0,"unavailable",INDEX('Market Data'!$AO$5:$AO$66,AH!$U$4)),IF(AH!$U$5=1,INDEX('Live History'!$E$5:$E$3004,MATCH($A2431,'Live History'!$D$5:$D$3004,1)),INDEX('AH History'!$D$5:$GG$1380,$K2431,AH!$U$10+1))),NA()),NA())</f>
        <v/>
      </c>
      <c r="G2431" s="34">
        <f>IFERROR(IF(ISNUMBER($A2431),IF(AND(AH!$U$12=1,2426+1=AH!$U$6),IF(AH!$U$4=0,"unavailable",INDEX('Market Data'!$AK$5:$AK$66,AH!$U$4)),IF(AH!$U$5=1,INDEX('Live History'!$D$5:$D$3004,MATCH($A2431,'Live History'!$D$5:$D$3004,1)),INDEX('AH History'!$D$5:$GG$1380,$K2431,AH!$U$10+2))),NA()),NA())</f>
        <v/>
      </c>
      <c r="H2431" s="266">
        <f>IFERROR(IF(ISNUMBER($A2431),IF(AND(AH!$U$12=1,2426+1=AH!$U$6),IF(AH!$U$4=0,"unavailable",INDEX('Market Data'!$AP$5:$AP$66,AH!$U$4)),IF(AH!$U$5=1,INDEX('Live History'!$H$5:$H$3004,MATCH($A2431,'Live History'!$G$5:$G$3004,1)),INDEX('AH History'!$B$5:$B$1380,$K2431))),NA()),NA())</f>
        <v/>
      </c>
      <c r="I2431" s="34">
        <f>IFERROR(IF(ISNUMBER($A2431),IF(AND(AH!$U$12=1,2426+1=AH!$U$6),TODAY(),IF(AH!$U$5=1,INDEX('Live History'!$G$5:$G$3004,MATCH($A2431,'Live History'!$G$5:$G$3004,1)),INDEX('AH History'!$C$5:$C$1380,$K2431))),NA()),NA())</f>
        <v/>
      </c>
      <c r="J2431" s="32">
        <f>IFERROR(IF(AND($F2431&gt;0,$H2431&gt;0,$A2431-$G2431&lt;=10,$A2431-$I2431&lt;=5,$G2431&gt;0,$I2431&gt;0),$F2431*$H2431,NA()),NA())</f>
        <v/>
      </c>
      <c r="K2431" s="15">
        <f>IF($A2431="","",IF(AH!$U$5=1,IFERROR(MATCH($A2431,'Live History'!$A$5:$A$3004,0),0),AH!$U$7+2426))</f>
        <v/>
      </c>
      <c r="L2431" s="15">
        <f>IF(ISNUMBER(A2431),TEXT(A2431,"dd-mmm-yy"),"")</f>
        <v/>
      </c>
    </row>
    <row r="2432">
      <c r="A2432" s="14">
        <f>IF(OR(AH!$U$4=0,2427+1&gt;AH!$U$6,AND(AH!$M$5="Bloomberg",AH!$U$5=0)),"",IFERROR(IF(AND(AH!$U$12=1,2427+1=AH!$U$6),TODAY(),IF(AH!$U$5=1,INDEX('Live History'!$A$5:$A$3004,AH!$U$7+2427),INDEX('AH History'!$A$5:$A$1380,AH!$U$7+2427))),""))</f>
        <v/>
      </c>
      <c r="B2432" s="33">
        <f>IFERROR(IF(AH!$U$11=1,NA(),$J2432/$E2432-1),NA())</f>
        <v/>
      </c>
      <c r="C2432" s="269">
        <f>IFERROR(100*$E2432/$E$5,NA())</f>
        <v/>
      </c>
      <c r="D2432" s="269">
        <f>IFERROR(100*$J2432/$J$5,NA())</f>
        <v/>
      </c>
      <c r="E2432" s="32">
        <f>IFERROR(IF(AND(ISNUMBER($A2432),N(IF(AND(AH!$U$12=1,2427+1=AH!$U$6),IF(AH!$U$4=0,"unavailable",INDEX('Market Data'!$AN$5:$AN$66,AH!$U$4)),IF(AH!$U$5=1,INDEX('Live History'!$B$5:$B$3004,$K2432),INDEX('AH History'!$D$5:$GG$1380,$K2432,AH!$U$10))))&gt;0),IF(AND(AH!$U$12=1,2427+1=AH!$U$6),IF(AH!$U$4=0,"unavailable",INDEX('Market Data'!$AN$5:$AN$66,AH!$U$4)),IF(AH!$U$5=1,INDEX('Live History'!$B$5:$B$3004,$K2432),INDEX('AH History'!$D$5:$GG$1380,$K2432,AH!$U$10))),NA()),NA())</f>
        <v/>
      </c>
      <c r="F2432" s="32">
        <f>IFERROR(IF(ISNUMBER($A2432),IF(AND(AH!$U$12=1,2427+1=AH!$U$6),IF(AH!$U$4=0,"unavailable",INDEX('Market Data'!$AO$5:$AO$66,AH!$U$4)),IF(AH!$U$5=1,INDEX('Live History'!$E$5:$E$3004,MATCH($A2432,'Live History'!$D$5:$D$3004,1)),INDEX('AH History'!$D$5:$GG$1380,$K2432,AH!$U$10+1))),NA()),NA())</f>
        <v/>
      </c>
      <c r="G2432" s="34">
        <f>IFERROR(IF(ISNUMBER($A2432),IF(AND(AH!$U$12=1,2427+1=AH!$U$6),IF(AH!$U$4=0,"unavailable",INDEX('Market Data'!$AK$5:$AK$66,AH!$U$4)),IF(AH!$U$5=1,INDEX('Live History'!$D$5:$D$3004,MATCH($A2432,'Live History'!$D$5:$D$3004,1)),INDEX('AH History'!$D$5:$GG$1380,$K2432,AH!$U$10+2))),NA()),NA())</f>
        <v/>
      </c>
      <c r="H2432" s="266">
        <f>IFERROR(IF(ISNUMBER($A2432),IF(AND(AH!$U$12=1,2427+1=AH!$U$6),IF(AH!$U$4=0,"unavailable",INDEX('Market Data'!$AP$5:$AP$66,AH!$U$4)),IF(AH!$U$5=1,INDEX('Live History'!$H$5:$H$3004,MATCH($A2432,'Live History'!$G$5:$G$3004,1)),INDEX('AH History'!$B$5:$B$1380,$K2432))),NA()),NA())</f>
        <v/>
      </c>
      <c r="I2432" s="34">
        <f>IFERROR(IF(ISNUMBER($A2432),IF(AND(AH!$U$12=1,2427+1=AH!$U$6),TODAY(),IF(AH!$U$5=1,INDEX('Live History'!$G$5:$G$3004,MATCH($A2432,'Live History'!$G$5:$G$3004,1)),INDEX('AH History'!$C$5:$C$1380,$K2432))),NA()),NA())</f>
        <v/>
      </c>
      <c r="J2432" s="32">
        <f>IFERROR(IF(AND($F2432&gt;0,$H2432&gt;0,$A2432-$G2432&lt;=10,$A2432-$I2432&lt;=5,$G2432&gt;0,$I2432&gt;0),$F2432*$H2432,NA()),NA())</f>
        <v/>
      </c>
      <c r="K2432" s="15">
        <f>IF($A2432="","",IF(AH!$U$5=1,IFERROR(MATCH($A2432,'Live History'!$A$5:$A$3004,0),0),AH!$U$7+2427))</f>
        <v/>
      </c>
      <c r="L2432" s="15">
        <f>IF(ISNUMBER(A2432),TEXT(A2432,"dd-mmm-yy"),"")</f>
        <v/>
      </c>
    </row>
    <row r="2433">
      <c r="A2433" s="14">
        <f>IF(OR(AH!$U$4=0,2428+1&gt;AH!$U$6,AND(AH!$M$5="Bloomberg",AH!$U$5=0)),"",IFERROR(IF(AND(AH!$U$12=1,2428+1=AH!$U$6),TODAY(),IF(AH!$U$5=1,INDEX('Live History'!$A$5:$A$3004,AH!$U$7+2428),INDEX('AH History'!$A$5:$A$1380,AH!$U$7+2428))),""))</f>
        <v/>
      </c>
      <c r="B2433" s="33">
        <f>IFERROR(IF(AH!$U$11=1,NA(),$J2433/$E2433-1),NA())</f>
        <v/>
      </c>
      <c r="C2433" s="269">
        <f>IFERROR(100*$E2433/$E$5,NA())</f>
        <v/>
      </c>
      <c r="D2433" s="269">
        <f>IFERROR(100*$J2433/$J$5,NA())</f>
        <v/>
      </c>
      <c r="E2433" s="32">
        <f>IFERROR(IF(AND(ISNUMBER($A2433),N(IF(AND(AH!$U$12=1,2428+1=AH!$U$6),IF(AH!$U$4=0,"unavailable",INDEX('Market Data'!$AN$5:$AN$66,AH!$U$4)),IF(AH!$U$5=1,INDEX('Live History'!$B$5:$B$3004,$K2433),INDEX('AH History'!$D$5:$GG$1380,$K2433,AH!$U$10))))&gt;0),IF(AND(AH!$U$12=1,2428+1=AH!$U$6),IF(AH!$U$4=0,"unavailable",INDEX('Market Data'!$AN$5:$AN$66,AH!$U$4)),IF(AH!$U$5=1,INDEX('Live History'!$B$5:$B$3004,$K2433),INDEX('AH History'!$D$5:$GG$1380,$K2433,AH!$U$10))),NA()),NA())</f>
        <v/>
      </c>
      <c r="F2433" s="32">
        <f>IFERROR(IF(ISNUMBER($A2433),IF(AND(AH!$U$12=1,2428+1=AH!$U$6),IF(AH!$U$4=0,"unavailable",INDEX('Market Data'!$AO$5:$AO$66,AH!$U$4)),IF(AH!$U$5=1,INDEX('Live History'!$E$5:$E$3004,MATCH($A2433,'Live History'!$D$5:$D$3004,1)),INDEX('AH History'!$D$5:$GG$1380,$K2433,AH!$U$10+1))),NA()),NA())</f>
        <v/>
      </c>
      <c r="G2433" s="34">
        <f>IFERROR(IF(ISNUMBER($A2433),IF(AND(AH!$U$12=1,2428+1=AH!$U$6),IF(AH!$U$4=0,"unavailable",INDEX('Market Data'!$AK$5:$AK$66,AH!$U$4)),IF(AH!$U$5=1,INDEX('Live History'!$D$5:$D$3004,MATCH($A2433,'Live History'!$D$5:$D$3004,1)),INDEX('AH History'!$D$5:$GG$1380,$K2433,AH!$U$10+2))),NA()),NA())</f>
        <v/>
      </c>
      <c r="H2433" s="266">
        <f>IFERROR(IF(ISNUMBER($A2433),IF(AND(AH!$U$12=1,2428+1=AH!$U$6),IF(AH!$U$4=0,"unavailable",INDEX('Market Data'!$AP$5:$AP$66,AH!$U$4)),IF(AH!$U$5=1,INDEX('Live History'!$H$5:$H$3004,MATCH($A2433,'Live History'!$G$5:$G$3004,1)),INDEX('AH History'!$B$5:$B$1380,$K2433))),NA()),NA())</f>
        <v/>
      </c>
      <c r="I2433" s="34">
        <f>IFERROR(IF(ISNUMBER($A2433),IF(AND(AH!$U$12=1,2428+1=AH!$U$6),TODAY(),IF(AH!$U$5=1,INDEX('Live History'!$G$5:$G$3004,MATCH($A2433,'Live History'!$G$5:$G$3004,1)),INDEX('AH History'!$C$5:$C$1380,$K2433))),NA()),NA())</f>
        <v/>
      </c>
      <c r="J2433" s="32">
        <f>IFERROR(IF(AND($F2433&gt;0,$H2433&gt;0,$A2433-$G2433&lt;=10,$A2433-$I2433&lt;=5,$G2433&gt;0,$I2433&gt;0),$F2433*$H2433,NA()),NA())</f>
        <v/>
      </c>
      <c r="K2433" s="15">
        <f>IF($A2433="","",IF(AH!$U$5=1,IFERROR(MATCH($A2433,'Live History'!$A$5:$A$3004,0),0),AH!$U$7+2428))</f>
        <v/>
      </c>
      <c r="L2433" s="15">
        <f>IF(ISNUMBER(A2433),TEXT(A2433,"dd-mmm-yy"),"")</f>
        <v/>
      </c>
    </row>
    <row r="2434">
      <c r="A2434" s="14">
        <f>IF(OR(AH!$U$4=0,2429+1&gt;AH!$U$6,AND(AH!$M$5="Bloomberg",AH!$U$5=0)),"",IFERROR(IF(AND(AH!$U$12=1,2429+1=AH!$U$6),TODAY(),IF(AH!$U$5=1,INDEX('Live History'!$A$5:$A$3004,AH!$U$7+2429),INDEX('AH History'!$A$5:$A$1380,AH!$U$7+2429))),""))</f>
        <v/>
      </c>
      <c r="B2434" s="33">
        <f>IFERROR(IF(AH!$U$11=1,NA(),$J2434/$E2434-1),NA())</f>
        <v/>
      </c>
      <c r="C2434" s="269">
        <f>IFERROR(100*$E2434/$E$5,NA())</f>
        <v/>
      </c>
      <c r="D2434" s="269">
        <f>IFERROR(100*$J2434/$J$5,NA())</f>
        <v/>
      </c>
      <c r="E2434" s="32">
        <f>IFERROR(IF(AND(ISNUMBER($A2434),N(IF(AND(AH!$U$12=1,2429+1=AH!$U$6),IF(AH!$U$4=0,"unavailable",INDEX('Market Data'!$AN$5:$AN$66,AH!$U$4)),IF(AH!$U$5=1,INDEX('Live History'!$B$5:$B$3004,$K2434),INDEX('AH History'!$D$5:$GG$1380,$K2434,AH!$U$10))))&gt;0),IF(AND(AH!$U$12=1,2429+1=AH!$U$6),IF(AH!$U$4=0,"unavailable",INDEX('Market Data'!$AN$5:$AN$66,AH!$U$4)),IF(AH!$U$5=1,INDEX('Live History'!$B$5:$B$3004,$K2434),INDEX('AH History'!$D$5:$GG$1380,$K2434,AH!$U$10))),NA()),NA())</f>
        <v/>
      </c>
      <c r="F2434" s="32">
        <f>IFERROR(IF(ISNUMBER($A2434),IF(AND(AH!$U$12=1,2429+1=AH!$U$6),IF(AH!$U$4=0,"unavailable",INDEX('Market Data'!$AO$5:$AO$66,AH!$U$4)),IF(AH!$U$5=1,INDEX('Live History'!$E$5:$E$3004,MATCH($A2434,'Live History'!$D$5:$D$3004,1)),INDEX('AH History'!$D$5:$GG$1380,$K2434,AH!$U$10+1))),NA()),NA())</f>
        <v/>
      </c>
      <c r="G2434" s="34">
        <f>IFERROR(IF(ISNUMBER($A2434),IF(AND(AH!$U$12=1,2429+1=AH!$U$6),IF(AH!$U$4=0,"unavailable",INDEX('Market Data'!$AK$5:$AK$66,AH!$U$4)),IF(AH!$U$5=1,INDEX('Live History'!$D$5:$D$3004,MATCH($A2434,'Live History'!$D$5:$D$3004,1)),INDEX('AH History'!$D$5:$GG$1380,$K2434,AH!$U$10+2))),NA()),NA())</f>
        <v/>
      </c>
      <c r="H2434" s="266">
        <f>IFERROR(IF(ISNUMBER($A2434),IF(AND(AH!$U$12=1,2429+1=AH!$U$6),IF(AH!$U$4=0,"unavailable",INDEX('Market Data'!$AP$5:$AP$66,AH!$U$4)),IF(AH!$U$5=1,INDEX('Live History'!$H$5:$H$3004,MATCH($A2434,'Live History'!$G$5:$G$3004,1)),INDEX('AH History'!$B$5:$B$1380,$K2434))),NA()),NA())</f>
        <v/>
      </c>
      <c r="I2434" s="34">
        <f>IFERROR(IF(ISNUMBER($A2434),IF(AND(AH!$U$12=1,2429+1=AH!$U$6),TODAY(),IF(AH!$U$5=1,INDEX('Live History'!$G$5:$G$3004,MATCH($A2434,'Live History'!$G$5:$G$3004,1)),INDEX('AH History'!$C$5:$C$1380,$K2434))),NA()),NA())</f>
        <v/>
      </c>
      <c r="J2434" s="32">
        <f>IFERROR(IF(AND($F2434&gt;0,$H2434&gt;0,$A2434-$G2434&lt;=10,$A2434-$I2434&lt;=5,$G2434&gt;0,$I2434&gt;0),$F2434*$H2434,NA()),NA())</f>
        <v/>
      </c>
      <c r="K2434" s="15">
        <f>IF($A2434="","",IF(AH!$U$5=1,IFERROR(MATCH($A2434,'Live History'!$A$5:$A$3004,0),0),AH!$U$7+2429))</f>
        <v/>
      </c>
      <c r="L2434" s="15">
        <f>IF(ISNUMBER(A2434),TEXT(A2434,"dd-mmm-yy"),"")</f>
        <v/>
      </c>
    </row>
    <row r="2435">
      <c r="A2435" s="14">
        <f>IF(OR(AH!$U$4=0,2430+1&gt;AH!$U$6,AND(AH!$M$5="Bloomberg",AH!$U$5=0)),"",IFERROR(IF(AND(AH!$U$12=1,2430+1=AH!$U$6),TODAY(),IF(AH!$U$5=1,INDEX('Live History'!$A$5:$A$3004,AH!$U$7+2430),INDEX('AH History'!$A$5:$A$1380,AH!$U$7+2430))),""))</f>
        <v/>
      </c>
      <c r="B2435" s="33">
        <f>IFERROR(IF(AH!$U$11=1,NA(),$J2435/$E2435-1),NA())</f>
        <v/>
      </c>
      <c r="C2435" s="269">
        <f>IFERROR(100*$E2435/$E$5,NA())</f>
        <v/>
      </c>
      <c r="D2435" s="269">
        <f>IFERROR(100*$J2435/$J$5,NA())</f>
        <v/>
      </c>
      <c r="E2435" s="32">
        <f>IFERROR(IF(AND(ISNUMBER($A2435),N(IF(AND(AH!$U$12=1,2430+1=AH!$U$6),IF(AH!$U$4=0,"unavailable",INDEX('Market Data'!$AN$5:$AN$66,AH!$U$4)),IF(AH!$U$5=1,INDEX('Live History'!$B$5:$B$3004,$K2435),INDEX('AH History'!$D$5:$GG$1380,$K2435,AH!$U$10))))&gt;0),IF(AND(AH!$U$12=1,2430+1=AH!$U$6),IF(AH!$U$4=0,"unavailable",INDEX('Market Data'!$AN$5:$AN$66,AH!$U$4)),IF(AH!$U$5=1,INDEX('Live History'!$B$5:$B$3004,$K2435),INDEX('AH History'!$D$5:$GG$1380,$K2435,AH!$U$10))),NA()),NA())</f>
        <v/>
      </c>
      <c r="F2435" s="32">
        <f>IFERROR(IF(ISNUMBER($A2435),IF(AND(AH!$U$12=1,2430+1=AH!$U$6),IF(AH!$U$4=0,"unavailable",INDEX('Market Data'!$AO$5:$AO$66,AH!$U$4)),IF(AH!$U$5=1,INDEX('Live History'!$E$5:$E$3004,MATCH($A2435,'Live History'!$D$5:$D$3004,1)),INDEX('AH History'!$D$5:$GG$1380,$K2435,AH!$U$10+1))),NA()),NA())</f>
        <v/>
      </c>
      <c r="G2435" s="34">
        <f>IFERROR(IF(ISNUMBER($A2435),IF(AND(AH!$U$12=1,2430+1=AH!$U$6),IF(AH!$U$4=0,"unavailable",INDEX('Market Data'!$AK$5:$AK$66,AH!$U$4)),IF(AH!$U$5=1,INDEX('Live History'!$D$5:$D$3004,MATCH($A2435,'Live History'!$D$5:$D$3004,1)),INDEX('AH History'!$D$5:$GG$1380,$K2435,AH!$U$10+2))),NA()),NA())</f>
        <v/>
      </c>
      <c r="H2435" s="266">
        <f>IFERROR(IF(ISNUMBER($A2435),IF(AND(AH!$U$12=1,2430+1=AH!$U$6),IF(AH!$U$4=0,"unavailable",INDEX('Market Data'!$AP$5:$AP$66,AH!$U$4)),IF(AH!$U$5=1,INDEX('Live History'!$H$5:$H$3004,MATCH($A2435,'Live History'!$G$5:$G$3004,1)),INDEX('AH History'!$B$5:$B$1380,$K2435))),NA()),NA())</f>
        <v/>
      </c>
      <c r="I2435" s="34">
        <f>IFERROR(IF(ISNUMBER($A2435),IF(AND(AH!$U$12=1,2430+1=AH!$U$6),TODAY(),IF(AH!$U$5=1,INDEX('Live History'!$G$5:$G$3004,MATCH($A2435,'Live History'!$G$5:$G$3004,1)),INDEX('AH History'!$C$5:$C$1380,$K2435))),NA()),NA())</f>
        <v/>
      </c>
      <c r="J2435" s="32">
        <f>IFERROR(IF(AND($F2435&gt;0,$H2435&gt;0,$A2435-$G2435&lt;=10,$A2435-$I2435&lt;=5,$G2435&gt;0,$I2435&gt;0),$F2435*$H2435,NA()),NA())</f>
        <v/>
      </c>
      <c r="K2435" s="15">
        <f>IF($A2435="","",IF(AH!$U$5=1,IFERROR(MATCH($A2435,'Live History'!$A$5:$A$3004,0),0),AH!$U$7+2430))</f>
        <v/>
      </c>
      <c r="L2435" s="15">
        <f>IF(ISNUMBER(A2435),TEXT(A2435,"dd-mmm-yy"),"")</f>
        <v/>
      </c>
    </row>
    <row r="2436">
      <c r="A2436" s="14">
        <f>IF(OR(AH!$U$4=0,2431+1&gt;AH!$U$6,AND(AH!$M$5="Bloomberg",AH!$U$5=0)),"",IFERROR(IF(AND(AH!$U$12=1,2431+1=AH!$U$6),TODAY(),IF(AH!$U$5=1,INDEX('Live History'!$A$5:$A$3004,AH!$U$7+2431),INDEX('AH History'!$A$5:$A$1380,AH!$U$7+2431))),""))</f>
        <v/>
      </c>
      <c r="B2436" s="33">
        <f>IFERROR(IF(AH!$U$11=1,NA(),$J2436/$E2436-1),NA())</f>
        <v/>
      </c>
      <c r="C2436" s="269">
        <f>IFERROR(100*$E2436/$E$5,NA())</f>
        <v/>
      </c>
      <c r="D2436" s="269">
        <f>IFERROR(100*$J2436/$J$5,NA())</f>
        <v/>
      </c>
      <c r="E2436" s="32">
        <f>IFERROR(IF(AND(ISNUMBER($A2436),N(IF(AND(AH!$U$12=1,2431+1=AH!$U$6),IF(AH!$U$4=0,"unavailable",INDEX('Market Data'!$AN$5:$AN$66,AH!$U$4)),IF(AH!$U$5=1,INDEX('Live History'!$B$5:$B$3004,$K2436),INDEX('AH History'!$D$5:$GG$1380,$K2436,AH!$U$10))))&gt;0),IF(AND(AH!$U$12=1,2431+1=AH!$U$6),IF(AH!$U$4=0,"unavailable",INDEX('Market Data'!$AN$5:$AN$66,AH!$U$4)),IF(AH!$U$5=1,INDEX('Live History'!$B$5:$B$3004,$K2436),INDEX('AH History'!$D$5:$GG$1380,$K2436,AH!$U$10))),NA()),NA())</f>
        <v/>
      </c>
      <c r="F2436" s="32">
        <f>IFERROR(IF(ISNUMBER($A2436),IF(AND(AH!$U$12=1,2431+1=AH!$U$6),IF(AH!$U$4=0,"unavailable",INDEX('Market Data'!$AO$5:$AO$66,AH!$U$4)),IF(AH!$U$5=1,INDEX('Live History'!$E$5:$E$3004,MATCH($A2436,'Live History'!$D$5:$D$3004,1)),INDEX('AH History'!$D$5:$GG$1380,$K2436,AH!$U$10+1))),NA()),NA())</f>
        <v/>
      </c>
      <c r="G2436" s="34">
        <f>IFERROR(IF(ISNUMBER($A2436),IF(AND(AH!$U$12=1,2431+1=AH!$U$6),IF(AH!$U$4=0,"unavailable",INDEX('Market Data'!$AK$5:$AK$66,AH!$U$4)),IF(AH!$U$5=1,INDEX('Live History'!$D$5:$D$3004,MATCH($A2436,'Live History'!$D$5:$D$3004,1)),INDEX('AH History'!$D$5:$GG$1380,$K2436,AH!$U$10+2))),NA()),NA())</f>
        <v/>
      </c>
      <c r="H2436" s="266">
        <f>IFERROR(IF(ISNUMBER($A2436),IF(AND(AH!$U$12=1,2431+1=AH!$U$6),IF(AH!$U$4=0,"unavailable",INDEX('Market Data'!$AP$5:$AP$66,AH!$U$4)),IF(AH!$U$5=1,INDEX('Live History'!$H$5:$H$3004,MATCH($A2436,'Live History'!$G$5:$G$3004,1)),INDEX('AH History'!$B$5:$B$1380,$K2436))),NA()),NA())</f>
        <v/>
      </c>
      <c r="I2436" s="34">
        <f>IFERROR(IF(ISNUMBER($A2436),IF(AND(AH!$U$12=1,2431+1=AH!$U$6),TODAY(),IF(AH!$U$5=1,INDEX('Live History'!$G$5:$G$3004,MATCH($A2436,'Live History'!$G$5:$G$3004,1)),INDEX('AH History'!$C$5:$C$1380,$K2436))),NA()),NA())</f>
        <v/>
      </c>
      <c r="J2436" s="32">
        <f>IFERROR(IF(AND($F2436&gt;0,$H2436&gt;0,$A2436-$G2436&lt;=10,$A2436-$I2436&lt;=5,$G2436&gt;0,$I2436&gt;0),$F2436*$H2436,NA()),NA())</f>
        <v/>
      </c>
      <c r="K2436" s="15">
        <f>IF($A2436="","",IF(AH!$U$5=1,IFERROR(MATCH($A2436,'Live History'!$A$5:$A$3004,0),0),AH!$U$7+2431))</f>
        <v/>
      </c>
      <c r="L2436" s="15">
        <f>IF(ISNUMBER(A2436),TEXT(A2436,"dd-mmm-yy"),"")</f>
        <v/>
      </c>
    </row>
    <row r="2437">
      <c r="A2437" s="14">
        <f>IF(OR(AH!$U$4=0,2432+1&gt;AH!$U$6,AND(AH!$M$5="Bloomberg",AH!$U$5=0)),"",IFERROR(IF(AND(AH!$U$12=1,2432+1=AH!$U$6),TODAY(),IF(AH!$U$5=1,INDEX('Live History'!$A$5:$A$3004,AH!$U$7+2432),INDEX('AH History'!$A$5:$A$1380,AH!$U$7+2432))),""))</f>
        <v/>
      </c>
      <c r="B2437" s="33">
        <f>IFERROR(IF(AH!$U$11=1,NA(),$J2437/$E2437-1),NA())</f>
        <v/>
      </c>
      <c r="C2437" s="269">
        <f>IFERROR(100*$E2437/$E$5,NA())</f>
        <v/>
      </c>
      <c r="D2437" s="269">
        <f>IFERROR(100*$J2437/$J$5,NA())</f>
        <v/>
      </c>
      <c r="E2437" s="32">
        <f>IFERROR(IF(AND(ISNUMBER($A2437),N(IF(AND(AH!$U$12=1,2432+1=AH!$U$6),IF(AH!$U$4=0,"unavailable",INDEX('Market Data'!$AN$5:$AN$66,AH!$U$4)),IF(AH!$U$5=1,INDEX('Live History'!$B$5:$B$3004,$K2437),INDEX('AH History'!$D$5:$GG$1380,$K2437,AH!$U$10))))&gt;0),IF(AND(AH!$U$12=1,2432+1=AH!$U$6),IF(AH!$U$4=0,"unavailable",INDEX('Market Data'!$AN$5:$AN$66,AH!$U$4)),IF(AH!$U$5=1,INDEX('Live History'!$B$5:$B$3004,$K2437),INDEX('AH History'!$D$5:$GG$1380,$K2437,AH!$U$10))),NA()),NA())</f>
        <v/>
      </c>
      <c r="F2437" s="32">
        <f>IFERROR(IF(ISNUMBER($A2437),IF(AND(AH!$U$12=1,2432+1=AH!$U$6),IF(AH!$U$4=0,"unavailable",INDEX('Market Data'!$AO$5:$AO$66,AH!$U$4)),IF(AH!$U$5=1,INDEX('Live History'!$E$5:$E$3004,MATCH($A2437,'Live History'!$D$5:$D$3004,1)),INDEX('AH History'!$D$5:$GG$1380,$K2437,AH!$U$10+1))),NA()),NA())</f>
        <v/>
      </c>
      <c r="G2437" s="34">
        <f>IFERROR(IF(ISNUMBER($A2437),IF(AND(AH!$U$12=1,2432+1=AH!$U$6),IF(AH!$U$4=0,"unavailable",INDEX('Market Data'!$AK$5:$AK$66,AH!$U$4)),IF(AH!$U$5=1,INDEX('Live History'!$D$5:$D$3004,MATCH($A2437,'Live History'!$D$5:$D$3004,1)),INDEX('AH History'!$D$5:$GG$1380,$K2437,AH!$U$10+2))),NA()),NA())</f>
        <v/>
      </c>
      <c r="H2437" s="266">
        <f>IFERROR(IF(ISNUMBER($A2437),IF(AND(AH!$U$12=1,2432+1=AH!$U$6),IF(AH!$U$4=0,"unavailable",INDEX('Market Data'!$AP$5:$AP$66,AH!$U$4)),IF(AH!$U$5=1,INDEX('Live History'!$H$5:$H$3004,MATCH($A2437,'Live History'!$G$5:$G$3004,1)),INDEX('AH History'!$B$5:$B$1380,$K2437))),NA()),NA())</f>
        <v/>
      </c>
      <c r="I2437" s="34">
        <f>IFERROR(IF(ISNUMBER($A2437),IF(AND(AH!$U$12=1,2432+1=AH!$U$6),TODAY(),IF(AH!$U$5=1,INDEX('Live History'!$G$5:$G$3004,MATCH($A2437,'Live History'!$G$5:$G$3004,1)),INDEX('AH History'!$C$5:$C$1380,$K2437))),NA()),NA())</f>
        <v/>
      </c>
      <c r="J2437" s="32">
        <f>IFERROR(IF(AND($F2437&gt;0,$H2437&gt;0,$A2437-$G2437&lt;=10,$A2437-$I2437&lt;=5,$G2437&gt;0,$I2437&gt;0),$F2437*$H2437,NA()),NA())</f>
        <v/>
      </c>
      <c r="K2437" s="15">
        <f>IF($A2437="","",IF(AH!$U$5=1,IFERROR(MATCH($A2437,'Live History'!$A$5:$A$3004,0),0),AH!$U$7+2432))</f>
        <v/>
      </c>
      <c r="L2437" s="15">
        <f>IF(ISNUMBER(A2437),TEXT(A2437,"dd-mmm-yy"),"")</f>
        <v/>
      </c>
    </row>
    <row r="2438">
      <c r="A2438" s="14">
        <f>IF(OR(AH!$U$4=0,2433+1&gt;AH!$U$6,AND(AH!$M$5="Bloomberg",AH!$U$5=0)),"",IFERROR(IF(AND(AH!$U$12=1,2433+1=AH!$U$6),TODAY(),IF(AH!$U$5=1,INDEX('Live History'!$A$5:$A$3004,AH!$U$7+2433),INDEX('AH History'!$A$5:$A$1380,AH!$U$7+2433))),""))</f>
        <v/>
      </c>
      <c r="B2438" s="33">
        <f>IFERROR(IF(AH!$U$11=1,NA(),$J2438/$E2438-1),NA())</f>
        <v/>
      </c>
      <c r="C2438" s="269">
        <f>IFERROR(100*$E2438/$E$5,NA())</f>
        <v/>
      </c>
      <c r="D2438" s="269">
        <f>IFERROR(100*$J2438/$J$5,NA())</f>
        <v/>
      </c>
      <c r="E2438" s="32">
        <f>IFERROR(IF(AND(ISNUMBER($A2438),N(IF(AND(AH!$U$12=1,2433+1=AH!$U$6),IF(AH!$U$4=0,"unavailable",INDEX('Market Data'!$AN$5:$AN$66,AH!$U$4)),IF(AH!$U$5=1,INDEX('Live History'!$B$5:$B$3004,$K2438),INDEX('AH History'!$D$5:$GG$1380,$K2438,AH!$U$10))))&gt;0),IF(AND(AH!$U$12=1,2433+1=AH!$U$6),IF(AH!$U$4=0,"unavailable",INDEX('Market Data'!$AN$5:$AN$66,AH!$U$4)),IF(AH!$U$5=1,INDEX('Live History'!$B$5:$B$3004,$K2438),INDEX('AH History'!$D$5:$GG$1380,$K2438,AH!$U$10))),NA()),NA())</f>
        <v/>
      </c>
      <c r="F2438" s="32">
        <f>IFERROR(IF(ISNUMBER($A2438),IF(AND(AH!$U$12=1,2433+1=AH!$U$6),IF(AH!$U$4=0,"unavailable",INDEX('Market Data'!$AO$5:$AO$66,AH!$U$4)),IF(AH!$U$5=1,INDEX('Live History'!$E$5:$E$3004,MATCH($A2438,'Live History'!$D$5:$D$3004,1)),INDEX('AH History'!$D$5:$GG$1380,$K2438,AH!$U$10+1))),NA()),NA())</f>
        <v/>
      </c>
      <c r="G2438" s="34">
        <f>IFERROR(IF(ISNUMBER($A2438),IF(AND(AH!$U$12=1,2433+1=AH!$U$6),IF(AH!$U$4=0,"unavailable",INDEX('Market Data'!$AK$5:$AK$66,AH!$U$4)),IF(AH!$U$5=1,INDEX('Live History'!$D$5:$D$3004,MATCH($A2438,'Live History'!$D$5:$D$3004,1)),INDEX('AH History'!$D$5:$GG$1380,$K2438,AH!$U$10+2))),NA()),NA())</f>
        <v/>
      </c>
      <c r="H2438" s="266">
        <f>IFERROR(IF(ISNUMBER($A2438),IF(AND(AH!$U$12=1,2433+1=AH!$U$6),IF(AH!$U$4=0,"unavailable",INDEX('Market Data'!$AP$5:$AP$66,AH!$U$4)),IF(AH!$U$5=1,INDEX('Live History'!$H$5:$H$3004,MATCH($A2438,'Live History'!$G$5:$G$3004,1)),INDEX('AH History'!$B$5:$B$1380,$K2438))),NA()),NA())</f>
        <v/>
      </c>
      <c r="I2438" s="34">
        <f>IFERROR(IF(ISNUMBER($A2438),IF(AND(AH!$U$12=1,2433+1=AH!$U$6),TODAY(),IF(AH!$U$5=1,INDEX('Live History'!$G$5:$G$3004,MATCH($A2438,'Live History'!$G$5:$G$3004,1)),INDEX('AH History'!$C$5:$C$1380,$K2438))),NA()),NA())</f>
        <v/>
      </c>
      <c r="J2438" s="32">
        <f>IFERROR(IF(AND($F2438&gt;0,$H2438&gt;0,$A2438-$G2438&lt;=10,$A2438-$I2438&lt;=5,$G2438&gt;0,$I2438&gt;0),$F2438*$H2438,NA()),NA())</f>
        <v/>
      </c>
      <c r="K2438" s="15">
        <f>IF($A2438="","",IF(AH!$U$5=1,IFERROR(MATCH($A2438,'Live History'!$A$5:$A$3004,0),0),AH!$U$7+2433))</f>
        <v/>
      </c>
      <c r="L2438" s="15">
        <f>IF(ISNUMBER(A2438),TEXT(A2438,"dd-mmm-yy"),"")</f>
        <v/>
      </c>
    </row>
    <row r="2439">
      <c r="A2439" s="14">
        <f>IF(OR(AH!$U$4=0,2434+1&gt;AH!$U$6,AND(AH!$M$5="Bloomberg",AH!$U$5=0)),"",IFERROR(IF(AND(AH!$U$12=1,2434+1=AH!$U$6),TODAY(),IF(AH!$U$5=1,INDEX('Live History'!$A$5:$A$3004,AH!$U$7+2434),INDEX('AH History'!$A$5:$A$1380,AH!$U$7+2434))),""))</f>
        <v/>
      </c>
      <c r="B2439" s="33">
        <f>IFERROR(IF(AH!$U$11=1,NA(),$J2439/$E2439-1),NA())</f>
        <v/>
      </c>
      <c r="C2439" s="269">
        <f>IFERROR(100*$E2439/$E$5,NA())</f>
        <v/>
      </c>
      <c r="D2439" s="269">
        <f>IFERROR(100*$J2439/$J$5,NA())</f>
        <v/>
      </c>
      <c r="E2439" s="32">
        <f>IFERROR(IF(AND(ISNUMBER($A2439),N(IF(AND(AH!$U$12=1,2434+1=AH!$U$6),IF(AH!$U$4=0,"unavailable",INDEX('Market Data'!$AN$5:$AN$66,AH!$U$4)),IF(AH!$U$5=1,INDEX('Live History'!$B$5:$B$3004,$K2439),INDEX('AH History'!$D$5:$GG$1380,$K2439,AH!$U$10))))&gt;0),IF(AND(AH!$U$12=1,2434+1=AH!$U$6),IF(AH!$U$4=0,"unavailable",INDEX('Market Data'!$AN$5:$AN$66,AH!$U$4)),IF(AH!$U$5=1,INDEX('Live History'!$B$5:$B$3004,$K2439),INDEX('AH History'!$D$5:$GG$1380,$K2439,AH!$U$10))),NA()),NA())</f>
        <v/>
      </c>
      <c r="F2439" s="32">
        <f>IFERROR(IF(ISNUMBER($A2439),IF(AND(AH!$U$12=1,2434+1=AH!$U$6),IF(AH!$U$4=0,"unavailable",INDEX('Market Data'!$AO$5:$AO$66,AH!$U$4)),IF(AH!$U$5=1,INDEX('Live History'!$E$5:$E$3004,MATCH($A2439,'Live History'!$D$5:$D$3004,1)),INDEX('AH History'!$D$5:$GG$1380,$K2439,AH!$U$10+1))),NA()),NA())</f>
        <v/>
      </c>
      <c r="G2439" s="34">
        <f>IFERROR(IF(ISNUMBER($A2439),IF(AND(AH!$U$12=1,2434+1=AH!$U$6),IF(AH!$U$4=0,"unavailable",INDEX('Market Data'!$AK$5:$AK$66,AH!$U$4)),IF(AH!$U$5=1,INDEX('Live History'!$D$5:$D$3004,MATCH($A2439,'Live History'!$D$5:$D$3004,1)),INDEX('AH History'!$D$5:$GG$1380,$K2439,AH!$U$10+2))),NA()),NA())</f>
        <v/>
      </c>
      <c r="H2439" s="266">
        <f>IFERROR(IF(ISNUMBER($A2439),IF(AND(AH!$U$12=1,2434+1=AH!$U$6),IF(AH!$U$4=0,"unavailable",INDEX('Market Data'!$AP$5:$AP$66,AH!$U$4)),IF(AH!$U$5=1,INDEX('Live History'!$H$5:$H$3004,MATCH($A2439,'Live History'!$G$5:$G$3004,1)),INDEX('AH History'!$B$5:$B$1380,$K2439))),NA()),NA())</f>
        <v/>
      </c>
      <c r="I2439" s="34">
        <f>IFERROR(IF(ISNUMBER($A2439),IF(AND(AH!$U$12=1,2434+1=AH!$U$6),TODAY(),IF(AH!$U$5=1,INDEX('Live History'!$G$5:$G$3004,MATCH($A2439,'Live History'!$G$5:$G$3004,1)),INDEX('AH History'!$C$5:$C$1380,$K2439))),NA()),NA())</f>
        <v/>
      </c>
      <c r="J2439" s="32">
        <f>IFERROR(IF(AND($F2439&gt;0,$H2439&gt;0,$A2439-$G2439&lt;=10,$A2439-$I2439&lt;=5,$G2439&gt;0,$I2439&gt;0),$F2439*$H2439,NA()),NA())</f>
        <v/>
      </c>
      <c r="K2439" s="15">
        <f>IF($A2439="","",IF(AH!$U$5=1,IFERROR(MATCH($A2439,'Live History'!$A$5:$A$3004,0),0),AH!$U$7+2434))</f>
        <v/>
      </c>
      <c r="L2439" s="15">
        <f>IF(ISNUMBER(A2439),TEXT(A2439,"dd-mmm-yy"),"")</f>
        <v/>
      </c>
    </row>
    <row r="2440">
      <c r="A2440" s="14">
        <f>IF(OR(AH!$U$4=0,2435+1&gt;AH!$U$6,AND(AH!$M$5="Bloomberg",AH!$U$5=0)),"",IFERROR(IF(AND(AH!$U$12=1,2435+1=AH!$U$6),TODAY(),IF(AH!$U$5=1,INDEX('Live History'!$A$5:$A$3004,AH!$U$7+2435),INDEX('AH History'!$A$5:$A$1380,AH!$U$7+2435))),""))</f>
        <v/>
      </c>
      <c r="B2440" s="33">
        <f>IFERROR(IF(AH!$U$11=1,NA(),$J2440/$E2440-1),NA())</f>
        <v/>
      </c>
      <c r="C2440" s="269">
        <f>IFERROR(100*$E2440/$E$5,NA())</f>
        <v/>
      </c>
      <c r="D2440" s="269">
        <f>IFERROR(100*$J2440/$J$5,NA())</f>
        <v/>
      </c>
      <c r="E2440" s="32">
        <f>IFERROR(IF(AND(ISNUMBER($A2440),N(IF(AND(AH!$U$12=1,2435+1=AH!$U$6),IF(AH!$U$4=0,"unavailable",INDEX('Market Data'!$AN$5:$AN$66,AH!$U$4)),IF(AH!$U$5=1,INDEX('Live History'!$B$5:$B$3004,$K2440),INDEX('AH History'!$D$5:$GG$1380,$K2440,AH!$U$10))))&gt;0),IF(AND(AH!$U$12=1,2435+1=AH!$U$6),IF(AH!$U$4=0,"unavailable",INDEX('Market Data'!$AN$5:$AN$66,AH!$U$4)),IF(AH!$U$5=1,INDEX('Live History'!$B$5:$B$3004,$K2440),INDEX('AH History'!$D$5:$GG$1380,$K2440,AH!$U$10))),NA()),NA())</f>
        <v/>
      </c>
      <c r="F2440" s="32">
        <f>IFERROR(IF(ISNUMBER($A2440),IF(AND(AH!$U$12=1,2435+1=AH!$U$6),IF(AH!$U$4=0,"unavailable",INDEX('Market Data'!$AO$5:$AO$66,AH!$U$4)),IF(AH!$U$5=1,INDEX('Live History'!$E$5:$E$3004,MATCH($A2440,'Live History'!$D$5:$D$3004,1)),INDEX('AH History'!$D$5:$GG$1380,$K2440,AH!$U$10+1))),NA()),NA())</f>
        <v/>
      </c>
      <c r="G2440" s="34">
        <f>IFERROR(IF(ISNUMBER($A2440),IF(AND(AH!$U$12=1,2435+1=AH!$U$6),IF(AH!$U$4=0,"unavailable",INDEX('Market Data'!$AK$5:$AK$66,AH!$U$4)),IF(AH!$U$5=1,INDEX('Live History'!$D$5:$D$3004,MATCH($A2440,'Live History'!$D$5:$D$3004,1)),INDEX('AH History'!$D$5:$GG$1380,$K2440,AH!$U$10+2))),NA()),NA())</f>
        <v/>
      </c>
      <c r="H2440" s="266">
        <f>IFERROR(IF(ISNUMBER($A2440),IF(AND(AH!$U$12=1,2435+1=AH!$U$6),IF(AH!$U$4=0,"unavailable",INDEX('Market Data'!$AP$5:$AP$66,AH!$U$4)),IF(AH!$U$5=1,INDEX('Live History'!$H$5:$H$3004,MATCH($A2440,'Live History'!$G$5:$G$3004,1)),INDEX('AH History'!$B$5:$B$1380,$K2440))),NA()),NA())</f>
        <v/>
      </c>
      <c r="I2440" s="34">
        <f>IFERROR(IF(ISNUMBER($A2440),IF(AND(AH!$U$12=1,2435+1=AH!$U$6),TODAY(),IF(AH!$U$5=1,INDEX('Live History'!$G$5:$G$3004,MATCH($A2440,'Live History'!$G$5:$G$3004,1)),INDEX('AH History'!$C$5:$C$1380,$K2440))),NA()),NA())</f>
        <v/>
      </c>
      <c r="J2440" s="32">
        <f>IFERROR(IF(AND($F2440&gt;0,$H2440&gt;0,$A2440-$G2440&lt;=10,$A2440-$I2440&lt;=5,$G2440&gt;0,$I2440&gt;0),$F2440*$H2440,NA()),NA())</f>
        <v/>
      </c>
      <c r="K2440" s="15">
        <f>IF($A2440="","",IF(AH!$U$5=1,IFERROR(MATCH($A2440,'Live History'!$A$5:$A$3004,0),0),AH!$U$7+2435))</f>
        <v/>
      </c>
      <c r="L2440" s="15">
        <f>IF(ISNUMBER(A2440),TEXT(A2440,"dd-mmm-yy"),"")</f>
        <v/>
      </c>
    </row>
    <row r="2441">
      <c r="A2441" s="14">
        <f>IF(OR(AH!$U$4=0,2436+1&gt;AH!$U$6,AND(AH!$M$5="Bloomberg",AH!$U$5=0)),"",IFERROR(IF(AND(AH!$U$12=1,2436+1=AH!$U$6),TODAY(),IF(AH!$U$5=1,INDEX('Live History'!$A$5:$A$3004,AH!$U$7+2436),INDEX('AH History'!$A$5:$A$1380,AH!$U$7+2436))),""))</f>
        <v/>
      </c>
      <c r="B2441" s="33">
        <f>IFERROR(IF(AH!$U$11=1,NA(),$J2441/$E2441-1),NA())</f>
        <v/>
      </c>
      <c r="C2441" s="269">
        <f>IFERROR(100*$E2441/$E$5,NA())</f>
        <v/>
      </c>
      <c r="D2441" s="269">
        <f>IFERROR(100*$J2441/$J$5,NA())</f>
        <v/>
      </c>
      <c r="E2441" s="32">
        <f>IFERROR(IF(AND(ISNUMBER($A2441),N(IF(AND(AH!$U$12=1,2436+1=AH!$U$6),IF(AH!$U$4=0,"unavailable",INDEX('Market Data'!$AN$5:$AN$66,AH!$U$4)),IF(AH!$U$5=1,INDEX('Live History'!$B$5:$B$3004,$K2441),INDEX('AH History'!$D$5:$GG$1380,$K2441,AH!$U$10))))&gt;0),IF(AND(AH!$U$12=1,2436+1=AH!$U$6),IF(AH!$U$4=0,"unavailable",INDEX('Market Data'!$AN$5:$AN$66,AH!$U$4)),IF(AH!$U$5=1,INDEX('Live History'!$B$5:$B$3004,$K2441),INDEX('AH History'!$D$5:$GG$1380,$K2441,AH!$U$10))),NA()),NA())</f>
        <v/>
      </c>
      <c r="F2441" s="32">
        <f>IFERROR(IF(ISNUMBER($A2441),IF(AND(AH!$U$12=1,2436+1=AH!$U$6),IF(AH!$U$4=0,"unavailable",INDEX('Market Data'!$AO$5:$AO$66,AH!$U$4)),IF(AH!$U$5=1,INDEX('Live History'!$E$5:$E$3004,MATCH($A2441,'Live History'!$D$5:$D$3004,1)),INDEX('AH History'!$D$5:$GG$1380,$K2441,AH!$U$10+1))),NA()),NA())</f>
        <v/>
      </c>
      <c r="G2441" s="34">
        <f>IFERROR(IF(ISNUMBER($A2441),IF(AND(AH!$U$12=1,2436+1=AH!$U$6),IF(AH!$U$4=0,"unavailable",INDEX('Market Data'!$AK$5:$AK$66,AH!$U$4)),IF(AH!$U$5=1,INDEX('Live History'!$D$5:$D$3004,MATCH($A2441,'Live History'!$D$5:$D$3004,1)),INDEX('AH History'!$D$5:$GG$1380,$K2441,AH!$U$10+2))),NA()),NA())</f>
        <v/>
      </c>
      <c r="H2441" s="266">
        <f>IFERROR(IF(ISNUMBER($A2441),IF(AND(AH!$U$12=1,2436+1=AH!$U$6),IF(AH!$U$4=0,"unavailable",INDEX('Market Data'!$AP$5:$AP$66,AH!$U$4)),IF(AH!$U$5=1,INDEX('Live History'!$H$5:$H$3004,MATCH($A2441,'Live History'!$G$5:$G$3004,1)),INDEX('AH History'!$B$5:$B$1380,$K2441))),NA()),NA())</f>
        <v/>
      </c>
      <c r="I2441" s="34">
        <f>IFERROR(IF(ISNUMBER($A2441),IF(AND(AH!$U$12=1,2436+1=AH!$U$6),TODAY(),IF(AH!$U$5=1,INDEX('Live History'!$G$5:$G$3004,MATCH($A2441,'Live History'!$G$5:$G$3004,1)),INDEX('AH History'!$C$5:$C$1380,$K2441))),NA()),NA())</f>
        <v/>
      </c>
      <c r="J2441" s="32">
        <f>IFERROR(IF(AND($F2441&gt;0,$H2441&gt;0,$A2441-$G2441&lt;=10,$A2441-$I2441&lt;=5,$G2441&gt;0,$I2441&gt;0),$F2441*$H2441,NA()),NA())</f>
        <v/>
      </c>
      <c r="K2441" s="15">
        <f>IF($A2441="","",IF(AH!$U$5=1,IFERROR(MATCH($A2441,'Live History'!$A$5:$A$3004,0),0),AH!$U$7+2436))</f>
        <v/>
      </c>
      <c r="L2441" s="15">
        <f>IF(ISNUMBER(A2441),TEXT(A2441,"dd-mmm-yy"),"")</f>
        <v/>
      </c>
    </row>
    <row r="2442">
      <c r="A2442" s="14">
        <f>IF(OR(AH!$U$4=0,2437+1&gt;AH!$U$6,AND(AH!$M$5="Bloomberg",AH!$U$5=0)),"",IFERROR(IF(AND(AH!$U$12=1,2437+1=AH!$U$6),TODAY(),IF(AH!$U$5=1,INDEX('Live History'!$A$5:$A$3004,AH!$U$7+2437),INDEX('AH History'!$A$5:$A$1380,AH!$U$7+2437))),""))</f>
        <v/>
      </c>
      <c r="B2442" s="33">
        <f>IFERROR(IF(AH!$U$11=1,NA(),$J2442/$E2442-1),NA())</f>
        <v/>
      </c>
      <c r="C2442" s="269">
        <f>IFERROR(100*$E2442/$E$5,NA())</f>
        <v/>
      </c>
      <c r="D2442" s="269">
        <f>IFERROR(100*$J2442/$J$5,NA())</f>
        <v/>
      </c>
      <c r="E2442" s="32">
        <f>IFERROR(IF(AND(ISNUMBER($A2442),N(IF(AND(AH!$U$12=1,2437+1=AH!$U$6),IF(AH!$U$4=0,"unavailable",INDEX('Market Data'!$AN$5:$AN$66,AH!$U$4)),IF(AH!$U$5=1,INDEX('Live History'!$B$5:$B$3004,$K2442),INDEX('AH History'!$D$5:$GG$1380,$K2442,AH!$U$10))))&gt;0),IF(AND(AH!$U$12=1,2437+1=AH!$U$6),IF(AH!$U$4=0,"unavailable",INDEX('Market Data'!$AN$5:$AN$66,AH!$U$4)),IF(AH!$U$5=1,INDEX('Live History'!$B$5:$B$3004,$K2442),INDEX('AH History'!$D$5:$GG$1380,$K2442,AH!$U$10))),NA()),NA())</f>
        <v/>
      </c>
      <c r="F2442" s="32">
        <f>IFERROR(IF(ISNUMBER($A2442),IF(AND(AH!$U$12=1,2437+1=AH!$U$6),IF(AH!$U$4=0,"unavailable",INDEX('Market Data'!$AO$5:$AO$66,AH!$U$4)),IF(AH!$U$5=1,INDEX('Live History'!$E$5:$E$3004,MATCH($A2442,'Live History'!$D$5:$D$3004,1)),INDEX('AH History'!$D$5:$GG$1380,$K2442,AH!$U$10+1))),NA()),NA())</f>
        <v/>
      </c>
      <c r="G2442" s="34">
        <f>IFERROR(IF(ISNUMBER($A2442),IF(AND(AH!$U$12=1,2437+1=AH!$U$6),IF(AH!$U$4=0,"unavailable",INDEX('Market Data'!$AK$5:$AK$66,AH!$U$4)),IF(AH!$U$5=1,INDEX('Live History'!$D$5:$D$3004,MATCH($A2442,'Live History'!$D$5:$D$3004,1)),INDEX('AH History'!$D$5:$GG$1380,$K2442,AH!$U$10+2))),NA()),NA())</f>
        <v/>
      </c>
      <c r="H2442" s="266">
        <f>IFERROR(IF(ISNUMBER($A2442),IF(AND(AH!$U$12=1,2437+1=AH!$U$6),IF(AH!$U$4=0,"unavailable",INDEX('Market Data'!$AP$5:$AP$66,AH!$U$4)),IF(AH!$U$5=1,INDEX('Live History'!$H$5:$H$3004,MATCH($A2442,'Live History'!$G$5:$G$3004,1)),INDEX('AH History'!$B$5:$B$1380,$K2442))),NA()),NA())</f>
        <v/>
      </c>
      <c r="I2442" s="34">
        <f>IFERROR(IF(ISNUMBER($A2442),IF(AND(AH!$U$12=1,2437+1=AH!$U$6),TODAY(),IF(AH!$U$5=1,INDEX('Live History'!$G$5:$G$3004,MATCH($A2442,'Live History'!$G$5:$G$3004,1)),INDEX('AH History'!$C$5:$C$1380,$K2442))),NA()),NA())</f>
        <v/>
      </c>
      <c r="J2442" s="32">
        <f>IFERROR(IF(AND($F2442&gt;0,$H2442&gt;0,$A2442-$G2442&lt;=10,$A2442-$I2442&lt;=5,$G2442&gt;0,$I2442&gt;0),$F2442*$H2442,NA()),NA())</f>
        <v/>
      </c>
      <c r="K2442" s="15">
        <f>IF($A2442="","",IF(AH!$U$5=1,IFERROR(MATCH($A2442,'Live History'!$A$5:$A$3004,0),0),AH!$U$7+2437))</f>
        <v/>
      </c>
      <c r="L2442" s="15">
        <f>IF(ISNUMBER(A2442),TEXT(A2442,"dd-mmm-yy"),"")</f>
        <v/>
      </c>
    </row>
    <row r="2443">
      <c r="A2443" s="14">
        <f>IF(OR(AH!$U$4=0,2438+1&gt;AH!$U$6,AND(AH!$M$5="Bloomberg",AH!$U$5=0)),"",IFERROR(IF(AND(AH!$U$12=1,2438+1=AH!$U$6),TODAY(),IF(AH!$U$5=1,INDEX('Live History'!$A$5:$A$3004,AH!$U$7+2438),INDEX('AH History'!$A$5:$A$1380,AH!$U$7+2438))),""))</f>
        <v/>
      </c>
      <c r="B2443" s="33">
        <f>IFERROR(IF(AH!$U$11=1,NA(),$J2443/$E2443-1),NA())</f>
        <v/>
      </c>
      <c r="C2443" s="269">
        <f>IFERROR(100*$E2443/$E$5,NA())</f>
        <v/>
      </c>
      <c r="D2443" s="269">
        <f>IFERROR(100*$J2443/$J$5,NA())</f>
        <v/>
      </c>
      <c r="E2443" s="32">
        <f>IFERROR(IF(AND(ISNUMBER($A2443),N(IF(AND(AH!$U$12=1,2438+1=AH!$U$6),IF(AH!$U$4=0,"unavailable",INDEX('Market Data'!$AN$5:$AN$66,AH!$U$4)),IF(AH!$U$5=1,INDEX('Live History'!$B$5:$B$3004,$K2443),INDEX('AH History'!$D$5:$GG$1380,$K2443,AH!$U$10))))&gt;0),IF(AND(AH!$U$12=1,2438+1=AH!$U$6),IF(AH!$U$4=0,"unavailable",INDEX('Market Data'!$AN$5:$AN$66,AH!$U$4)),IF(AH!$U$5=1,INDEX('Live History'!$B$5:$B$3004,$K2443),INDEX('AH History'!$D$5:$GG$1380,$K2443,AH!$U$10))),NA()),NA())</f>
        <v/>
      </c>
      <c r="F2443" s="32">
        <f>IFERROR(IF(ISNUMBER($A2443),IF(AND(AH!$U$12=1,2438+1=AH!$U$6),IF(AH!$U$4=0,"unavailable",INDEX('Market Data'!$AO$5:$AO$66,AH!$U$4)),IF(AH!$U$5=1,INDEX('Live History'!$E$5:$E$3004,MATCH($A2443,'Live History'!$D$5:$D$3004,1)),INDEX('AH History'!$D$5:$GG$1380,$K2443,AH!$U$10+1))),NA()),NA())</f>
        <v/>
      </c>
      <c r="G2443" s="34">
        <f>IFERROR(IF(ISNUMBER($A2443),IF(AND(AH!$U$12=1,2438+1=AH!$U$6),IF(AH!$U$4=0,"unavailable",INDEX('Market Data'!$AK$5:$AK$66,AH!$U$4)),IF(AH!$U$5=1,INDEX('Live History'!$D$5:$D$3004,MATCH($A2443,'Live History'!$D$5:$D$3004,1)),INDEX('AH History'!$D$5:$GG$1380,$K2443,AH!$U$10+2))),NA()),NA())</f>
        <v/>
      </c>
      <c r="H2443" s="266">
        <f>IFERROR(IF(ISNUMBER($A2443),IF(AND(AH!$U$12=1,2438+1=AH!$U$6),IF(AH!$U$4=0,"unavailable",INDEX('Market Data'!$AP$5:$AP$66,AH!$U$4)),IF(AH!$U$5=1,INDEX('Live History'!$H$5:$H$3004,MATCH($A2443,'Live History'!$G$5:$G$3004,1)),INDEX('AH History'!$B$5:$B$1380,$K2443))),NA()),NA())</f>
        <v/>
      </c>
      <c r="I2443" s="34">
        <f>IFERROR(IF(ISNUMBER($A2443),IF(AND(AH!$U$12=1,2438+1=AH!$U$6),TODAY(),IF(AH!$U$5=1,INDEX('Live History'!$G$5:$G$3004,MATCH($A2443,'Live History'!$G$5:$G$3004,1)),INDEX('AH History'!$C$5:$C$1380,$K2443))),NA()),NA())</f>
        <v/>
      </c>
      <c r="J2443" s="32">
        <f>IFERROR(IF(AND($F2443&gt;0,$H2443&gt;0,$A2443-$G2443&lt;=10,$A2443-$I2443&lt;=5,$G2443&gt;0,$I2443&gt;0),$F2443*$H2443,NA()),NA())</f>
        <v/>
      </c>
      <c r="K2443" s="15">
        <f>IF($A2443="","",IF(AH!$U$5=1,IFERROR(MATCH($A2443,'Live History'!$A$5:$A$3004,0),0),AH!$U$7+2438))</f>
        <v/>
      </c>
      <c r="L2443" s="15">
        <f>IF(ISNUMBER(A2443),TEXT(A2443,"dd-mmm-yy"),"")</f>
        <v/>
      </c>
    </row>
    <row r="2444">
      <c r="A2444" s="14">
        <f>IF(OR(AH!$U$4=0,2439+1&gt;AH!$U$6,AND(AH!$M$5="Bloomberg",AH!$U$5=0)),"",IFERROR(IF(AND(AH!$U$12=1,2439+1=AH!$U$6),TODAY(),IF(AH!$U$5=1,INDEX('Live History'!$A$5:$A$3004,AH!$U$7+2439),INDEX('AH History'!$A$5:$A$1380,AH!$U$7+2439))),""))</f>
        <v/>
      </c>
      <c r="B2444" s="33">
        <f>IFERROR(IF(AH!$U$11=1,NA(),$J2444/$E2444-1),NA())</f>
        <v/>
      </c>
      <c r="C2444" s="269">
        <f>IFERROR(100*$E2444/$E$5,NA())</f>
        <v/>
      </c>
      <c r="D2444" s="269">
        <f>IFERROR(100*$J2444/$J$5,NA())</f>
        <v/>
      </c>
      <c r="E2444" s="32">
        <f>IFERROR(IF(AND(ISNUMBER($A2444),N(IF(AND(AH!$U$12=1,2439+1=AH!$U$6),IF(AH!$U$4=0,"unavailable",INDEX('Market Data'!$AN$5:$AN$66,AH!$U$4)),IF(AH!$U$5=1,INDEX('Live History'!$B$5:$B$3004,$K2444),INDEX('AH History'!$D$5:$GG$1380,$K2444,AH!$U$10))))&gt;0),IF(AND(AH!$U$12=1,2439+1=AH!$U$6),IF(AH!$U$4=0,"unavailable",INDEX('Market Data'!$AN$5:$AN$66,AH!$U$4)),IF(AH!$U$5=1,INDEX('Live History'!$B$5:$B$3004,$K2444),INDEX('AH History'!$D$5:$GG$1380,$K2444,AH!$U$10))),NA()),NA())</f>
        <v/>
      </c>
      <c r="F2444" s="32">
        <f>IFERROR(IF(ISNUMBER($A2444),IF(AND(AH!$U$12=1,2439+1=AH!$U$6),IF(AH!$U$4=0,"unavailable",INDEX('Market Data'!$AO$5:$AO$66,AH!$U$4)),IF(AH!$U$5=1,INDEX('Live History'!$E$5:$E$3004,MATCH($A2444,'Live History'!$D$5:$D$3004,1)),INDEX('AH History'!$D$5:$GG$1380,$K2444,AH!$U$10+1))),NA()),NA())</f>
        <v/>
      </c>
      <c r="G2444" s="34">
        <f>IFERROR(IF(ISNUMBER($A2444),IF(AND(AH!$U$12=1,2439+1=AH!$U$6),IF(AH!$U$4=0,"unavailable",INDEX('Market Data'!$AK$5:$AK$66,AH!$U$4)),IF(AH!$U$5=1,INDEX('Live History'!$D$5:$D$3004,MATCH($A2444,'Live History'!$D$5:$D$3004,1)),INDEX('AH History'!$D$5:$GG$1380,$K2444,AH!$U$10+2))),NA()),NA())</f>
        <v/>
      </c>
      <c r="H2444" s="266">
        <f>IFERROR(IF(ISNUMBER($A2444),IF(AND(AH!$U$12=1,2439+1=AH!$U$6),IF(AH!$U$4=0,"unavailable",INDEX('Market Data'!$AP$5:$AP$66,AH!$U$4)),IF(AH!$U$5=1,INDEX('Live History'!$H$5:$H$3004,MATCH($A2444,'Live History'!$G$5:$G$3004,1)),INDEX('AH History'!$B$5:$B$1380,$K2444))),NA()),NA())</f>
        <v/>
      </c>
      <c r="I2444" s="34">
        <f>IFERROR(IF(ISNUMBER($A2444),IF(AND(AH!$U$12=1,2439+1=AH!$U$6),TODAY(),IF(AH!$U$5=1,INDEX('Live History'!$G$5:$G$3004,MATCH($A2444,'Live History'!$G$5:$G$3004,1)),INDEX('AH History'!$C$5:$C$1380,$K2444))),NA()),NA())</f>
        <v/>
      </c>
      <c r="J2444" s="32">
        <f>IFERROR(IF(AND($F2444&gt;0,$H2444&gt;0,$A2444-$G2444&lt;=10,$A2444-$I2444&lt;=5,$G2444&gt;0,$I2444&gt;0),$F2444*$H2444,NA()),NA())</f>
        <v/>
      </c>
      <c r="K2444" s="15">
        <f>IF($A2444="","",IF(AH!$U$5=1,IFERROR(MATCH($A2444,'Live History'!$A$5:$A$3004,0),0),AH!$U$7+2439))</f>
        <v/>
      </c>
      <c r="L2444" s="15">
        <f>IF(ISNUMBER(A2444),TEXT(A2444,"dd-mmm-yy"),"")</f>
        <v/>
      </c>
    </row>
    <row r="2445">
      <c r="A2445" s="14">
        <f>IF(OR(AH!$U$4=0,2440+1&gt;AH!$U$6,AND(AH!$M$5="Bloomberg",AH!$U$5=0)),"",IFERROR(IF(AND(AH!$U$12=1,2440+1=AH!$U$6),TODAY(),IF(AH!$U$5=1,INDEX('Live History'!$A$5:$A$3004,AH!$U$7+2440),INDEX('AH History'!$A$5:$A$1380,AH!$U$7+2440))),""))</f>
        <v/>
      </c>
      <c r="B2445" s="33">
        <f>IFERROR(IF(AH!$U$11=1,NA(),$J2445/$E2445-1),NA())</f>
        <v/>
      </c>
      <c r="C2445" s="269">
        <f>IFERROR(100*$E2445/$E$5,NA())</f>
        <v/>
      </c>
      <c r="D2445" s="269">
        <f>IFERROR(100*$J2445/$J$5,NA())</f>
        <v/>
      </c>
      <c r="E2445" s="32">
        <f>IFERROR(IF(AND(ISNUMBER($A2445),N(IF(AND(AH!$U$12=1,2440+1=AH!$U$6),IF(AH!$U$4=0,"unavailable",INDEX('Market Data'!$AN$5:$AN$66,AH!$U$4)),IF(AH!$U$5=1,INDEX('Live History'!$B$5:$B$3004,$K2445),INDEX('AH History'!$D$5:$GG$1380,$K2445,AH!$U$10))))&gt;0),IF(AND(AH!$U$12=1,2440+1=AH!$U$6),IF(AH!$U$4=0,"unavailable",INDEX('Market Data'!$AN$5:$AN$66,AH!$U$4)),IF(AH!$U$5=1,INDEX('Live History'!$B$5:$B$3004,$K2445),INDEX('AH History'!$D$5:$GG$1380,$K2445,AH!$U$10))),NA()),NA())</f>
        <v/>
      </c>
      <c r="F2445" s="32">
        <f>IFERROR(IF(ISNUMBER($A2445),IF(AND(AH!$U$12=1,2440+1=AH!$U$6),IF(AH!$U$4=0,"unavailable",INDEX('Market Data'!$AO$5:$AO$66,AH!$U$4)),IF(AH!$U$5=1,INDEX('Live History'!$E$5:$E$3004,MATCH($A2445,'Live History'!$D$5:$D$3004,1)),INDEX('AH History'!$D$5:$GG$1380,$K2445,AH!$U$10+1))),NA()),NA())</f>
        <v/>
      </c>
      <c r="G2445" s="34">
        <f>IFERROR(IF(ISNUMBER($A2445),IF(AND(AH!$U$12=1,2440+1=AH!$U$6),IF(AH!$U$4=0,"unavailable",INDEX('Market Data'!$AK$5:$AK$66,AH!$U$4)),IF(AH!$U$5=1,INDEX('Live History'!$D$5:$D$3004,MATCH($A2445,'Live History'!$D$5:$D$3004,1)),INDEX('AH History'!$D$5:$GG$1380,$K2445,AH!$U$10+2))),NA()),NA())</f>
        <v/>
      </c>
      <c r="H2445" s="266">
        <f>IFERROR(IF(ISNUMBER($A2445),IF(AND(AH!$U$12=1,2440+1=AH!$U$6),IF(AH!$U$4=0,"unavailable",INDEX('Market Data'!$AP$5:$AP$66,AH!$U$4)),IF(AH!$U$5=1,INDEX('Live History'!$H$5:$H$3004,MATCH($A2445,'Live History'!$G$5:$G$3004,1)),INDEX('AH History'!$B$5:$B$1380,$K2445))),NA()),NA())</f>
        <v/>
      </c>
      <c r="I2445" s="34">
        <f>IFERROR(IF(ISNUMBER($A2445),IF(AND(AH!$U$12=1,2440+1=AH!$U$6),TODAY(),IF(AH!$U$5=1,INDEX('Live History'!$G$5:$G$3004,MATCH($A2445,'Live History'!$G$5:$G$3004,1)),INDEX('AH History'!$C$5:$C$1380,$K2445))),NA()),NA())</f>
        <v/>
      </c>
      <c r="J2445" s="32">
        <f>IFERROR(IF(AND($F2445&gt;0,$H2445&gt;0,$A2445-$G2445&lt;=10,$A2445-$I2445&lt;=5,$G2445&gt;0,$I2445&gt;0),$F2445*$H2445,NA()),NA())</f>
        <v/>
      </c>
      <c r="K2445" s="15">
        <f>IF($A2445="","",IF(AH!$U$5=1,IFERROR(MATCH($A2445,'Live History'!$A$5:$A$3004,0),0),AH!$U$7+2440))</f>
        <v/>
      </c>
      <c r="L2445" s="15">
        <f>IF(ISNUMBER(A2445),TEXT(A2445,"dd-mmm-yy"),"")</f>
        <v/>
      </c>
    </row>
    <row r="2446">
      <c r="A2446" s="14">
        <f>IF(OR(AH!$U$4=0,2441+1&gt;AH!$U$6,AND(AH!$M$5="Bloomberg",AH!$U$5=0)),"",IFERROR(IF(AND(AH!$U$12=1,2441+1=AH!$U$6),TODAY(),IF(AH!$U$5=1,INDEX('Live History'!$A$5:$A$3004,AH!$U$7+2441),INDEX('AH History'!$A$5:$A$1380,AH!$U$7+2441))),""))</f>
        <v/>
      </c>
      <c r="B2446" s="33">
        <f>IFERROR(IF(AH!$U$11=1,NA(),$J2446/$E2446-1),NA())</f>
        <v/>
      </c>
      <c r="C2446" s="269">
        <f>IFERROR(100*$E2446/$E$5,NA())</f>
        <v/>
      </c>
      <c r="D2446" s="269">
        <f>IFERROR(100*$J2446/$J$5,NA())</f>
        <v/>
      </c>
      <c r="E2446" s="32">
        <f>IFERROR(IF(AND(ISNUMBER($A2446),N(IF(AND(AH!$U$12=1,2441+1=AH!$U$6),IF(AH!$U$4=0,"unavailable",INDEX('Market Data'!$AN$5:$AN$66,AH!$U$4)),IF(AH!$U$5=1,INDEX('Live History'!$B$5:$B$3004,$K2446),INDEX('AH History'!$D$5:$GG$1380,$K2446,AH!$U$10))))&gt;0),IF(AND(AH!$U$12=1,2441+1=AH!$U$6),IF(AH!$U$4=0,"unavailable",INDEX('Market Data'!$AN$5:$AN$66,AH!$U$4)),IF(AH!$U$5=1,INDEX('Live History'!$B$5:$B$3004,$K2446),INDEX('AH History'!$D$5:$GG$1380,$K2446,AH!$U$10))),NA()),NA())</f>
        <v/>
      </c>
      <c r="F2446" s="32">
        <f>IFERROR(IF(ISNUMBER($A2446),IF(AND(AH!$U$12=1,2441+1=AH!$U$6),IF(AH!$U$4=0,"unavailable",INDEX('Market Data'!$AO$5:$AO$66,AH!$U$4)),IF(AH!$U$5=1,INDEX('Live History'!$E$5:$E$3004,MATCH($A2446,'Live History'!$D$5:$D$3004,1)),INDEX('AH History'!$D$5:$GG$1380,$K2446,AH!$U$10+1))),NA()),NA())</f>
        <v/>
      </c>
      <c r="G2446" s="34">
        <f>IFERROR(IF(ISNUMBER($A2446),IF(AND(AH!$U$12=1,2441+1=AH!$U$6),IF(AH!$U$4=0,"unavailable",INDEX('Market Data'!$AK$5:$AK$66,AH!$U$4)),IF(AH!$U$5=1,INDEX('Live History'!$D$5:$D$3004,MATCH($A2446,'Live History'!$D$5:$D$3004,1)),INDEX('AH History'!$D$5:$GG$1380,$K2446,AH!$U$10+2))),NA()),NA())</f>
        <v/>
      </c>
      <c r="H2446" s="266">
        <f>IFERROR(IF(ISNUMBER($A2446),IF(AND(AH!$U$12=1,2441+1=AH!$U$6),IF(AH!$U$4=0,"unavailable",INDEX('Market Data'!$AP$5:$AP$66,AH!$U$4)),IF(AH!$U$5=1,INDEX('Live History'!$H$5:$H$3004,MATCH($A2446,'Live History'!$G$5:$G$3004,1)),INDEX('AH History'!$B$5:$B$1380,$K2446))),NA()),NA())</f>
        <v/>
      </c>
      <c r="I2446" s="34">
        <f>IFERROR(IF(ISNUMBER($A2446),IF(AND(AH!$U$12=1,2441+1=AH!$U$6),TODAY(),IF(AH!$U$5=1,INDEX('Live History'!$G$5:$G$3004,MATCH($A2446,'Live History'!$G$5:$G$3004,1)),INDEX('AH History'!$C$5:$C$1380,$K2446))),NA()),NA())</f>
        <v/>
      </c>
      <c r="J2446" s="32">
        <f>IFERROR(IF(AND($F2446&gt;0,$H2446&gt;0,$A2446-$G2446&lt;=10,$A2446-$I2446&lt;=5,$G2446&gt;0,$I2446&gt;0),$F2446*$H2446,NA()),NA())</f>
        <v/>
      </c>
      <c r="K2446" s="15">
        <f>IF($A2446="","",IF(AH!$U$5=1,IFERROR(MATCH($A2446,'Live History'!$A$5:$A$3004,0),0),AH!$U$7+2441))</f>
        <v/>
      </c>
      <c r="L2446" s="15">
        <f>IF(ISNUMBER(A2446),TEXT(A2446,"dd-mmm-yy"),"")</f>
        <v/>
      </c>
    </row>
    <row r="2447">
      <c r="A2447" s="14">
        <f>IF(OR(AH!$U$4=0,2442+1&gt;AH!$U$6,AND(AH!$M$5="Bloomberg",AH!$U$5=0)),"",IFERROR(IF(AND(AH!$U$12=1,2442+1=AH!$U$6),TODAY(),IF(AH!$U$5=1,INDEX('Live History'!$A$5:$A$3004,AH!$U$7+2442),INDEX('AH History'!$A$5:$A$1380,AH!$U$7+2442))),""))</f>
        <v/>
      </c>
      <c r="B2447" s="33">
        <f>IFERROR(IF(AH!$U$11=1,NA(),$J2447/$E2447-1),NA())</f>
        <v/>
      </c>
      <c r="C2447" s="269">
        <f>IFERROR(100*$E2447/$E$5,NA())</f>
        <v/>
      </c>
      <c r="D2447" s="269">
        <f>IFERROR(100*$J2447/$J$5,NA())</f>
        <v/>
      </c>
      <c r="E2447" s="32">
        <f>IFERROR(IF(AND(ISNUMBER($A2447),N(IF(AND(AH!$U$12=1,2442+1=AH!$U$6),IF(AH!$U$4=0,"unavailable",INDEX('Market Data'!$AN$5:$AN$66,AH!$U$4)),IF(AH!$U$5=1,INDEX('Live History'!$B$5:$B$3004,$K2447),INDEX('AH History'!$D$5:$GG$1380,$K2447,AH!$U$10))))&gt;0),IF(AND(AH!$U$12=1,2442+1=AH!$U$6),IF(AH!$U$4=0,"unavailable",INDEX('Market Data'!$AN$5:$AN$66,AH!$U$4)),IF(AH!$U$5=1,INDEX('Live History'!$B$5:$B$3004,$K2447),INDEX('AH History'!$D$5:$GG$1380,$K2447,AH!$U$10))),NA()),NA())</f>
        <v/>
      </c>
      <c r="F2447" s="32">
        <f>IFERROR(IF(ISNUMBER($A2447),IF(AND(AH!$U$12=1,2442+1=AH!$U$6),IF(AH!$U$4=0,"unavailable",INDEX('Market Data'!$AO$5:$AO$66,AH!$U$4)),IF(AH!$U$5=1,INDEX('Live History'!$E$5:$E$3004,MATCH($A2447,'Live History'!$D$5:$D$3004,1)),INDEX('AH History'!$D$5:$GG$1380,$K2447,AH!$U$10+1))),NA()),NA())</f>
        <v/>
      </c>
      <c r="G2447" s="34">
        <f>IFERROR(IF(ISNUMBER($A2447),IF(AND(AH!$U$12=1,2442+1=AH!$U$6),IF(AH!$U$4=0,"unavailable",INDEX('Market Data'!$AK$5:$AK$66,AH!$U$4)),IF(AH!$U$5=1,INDEX('Live History'!$D$5:$D$3004,MATCH($A2447,'Live History'!$D$5:$D$3004,1)),INDEX('AH History'!$D$5:$GG$1380,$K2447,AH!$U$10+2))),NA()),NA())</f>
        <v/>
      </c>
      <c r="H2447" s="266">
        <f>IFERROR(IF(ISNUMBER($A2447),IF(AND(AH!$U$12=1,2442+1=AH!$U$6),IF(AH!$U$4=0,"unavailable",INDEX('Market Data'!$AP$5:$AP$66,AH!$U$4)),IF(AH!$U$5=1,INDEX('Live History'!$H$5:$H$3004,MATCH($A2447,'Live History'!$G$5:$G$3004,1)),INDEX('AH History'!$B$5:$B$1380,$K2447))),NA()),NA())</f>
        <v/>
      </c>
      <c r="I2447" s="34">
        <f>IFERROR(IF(ISNUMBER($A2447),IF(AND(AH!$U$12=1,2442+1=AH!$U$6),TODAY(),IF(AH!$U$5=1,INDEX('Live History'!$G$5:$G$3004,MATCH($A2447,'Live History'!$G$5:$G$3004,1)),INDEX('AH History'!$C$5:$C$1380,$K2447))),NA()),NA())</f>
        <v/>
      </c>
      <c r="J2447" s="32">
        <f>IFERROR(IF(AND($F2447&gt;0,$H2447&gt;0,$A2447-$G2447&lt;=10,$A2447-$I2447&lt;=5,$G2447&gt;0,$I2447&gt;0),$F2447*$H2447,NA()),NA())</f>
        <v/>
      </c>
      <c r="K2447" s="15">
        <f>IF($A2447="","",IF(AH!$U$5=1,IFERROR(MATCH($A2447,'Live History'!$A$5:$A$3004,0),0),AH!$U$7+2442))</f>
        <v/>
      </c>
      <c r="L2447" s="15">
        <f>IF(ISNUMBER(A2447),TEXT(A2447,"dd-mmm-yy"),"")</f>
        <v/>
      </c>
    </row>
    <row r="2448">
      <c r="A2448" s="14">
        <f>IF(OR(AH!$U$4=0,2443+1&gt;AH!$U$6,AND(AH!$M$5="Bloomberg",AH!$U$5=0)),"",IFERROR(IF(AND(AH!$U$12=1,2443+1=AH!$U$6),TODAY(),IF(AH!$U$5=1,INDEX('Live History'!$A$5:$A$3004,AH!$U$7+2443),INDEX('AH History'!$A$5:$A$1380,AH!$U$7+2443))),""))</f>
        <v/>
      </c>
      <c r="B2448" s="33">
        <f>IFERROR(IF(AH!$U$11=1,NA(),$J2448/$E2448-1),NA())</f>
        <v/>
      </c>
      <c r="C2448" s="269">
        <f>IFERROR(100*$E2448/$E$5,NA())</f>
        <v/>
      </c>
      <c r="D2448" s="269">
        <f>IFERROR(100*$J2448/$J$5,NA())</f>
        <v/>
      </c>
      <c r="E2448" s="32">
        <f>IFERROR(IF(AND(ISNUMBER($A2448),N(IF(AND(AH!$U$12=1,2443+1=AH!$U$6),IF(AH!$U$4=0,"unavailable",INDEX('Market Data'!$AN$5:$AN$66,AH!$U$4)),IF(AH!$U$5=1,INDEX('Live History'!$B$5:$B$3004,$K2448),INDEX('AH History'!$D$5:$GG$1380,$K2448,AH!$U$10))))&gt;0),IF(AND(AH!$U$12=1,2443+1=AH!$U$6),IF(AH!$U$4=0,"unavailable",INDEX('Market Data'!$AN$5:$AN$66,AH!$U$4)),IF(AH!$U$5=1,INDEX('Live History'!$B$5:$B$3004,$K2448),INDEX('AH History'!$D$5:$GG$1380,$K2448,AH!$U$10))),NA()),NA())</f>
        <v/>
      </c>
      <c r="F2448" s="32">
        <f>IFERROR(IF(ISNUMBER($A2448),IF(AND(AH!$U$12=1,2443+1=AH!$U$6),IF(AH!$U$4=0,"unavailable",INDEX('Market Data'!$AO$5:$AO$66,AH!$U$4)),IF(AH!$U$5=1,INDEX('Live History'!$E$5:$E$3004,MATCH($A2448,'Live History'!$D$5:$D$3004,1)),INDEX('AH History'!$D$5:$GG$1380,$K2448,AH!$U$10+1))),NA()),NA())</f>
        <v/>
      </c>
      <c r="G2448" s="34">
        <f>IFERROR(IF(ISNUMBER($A2448),IF(AND(AH!$U$12=1,2443+1=AH!$U$6),IF(AH!$U$4=0,"unavailable",INDEX('Market Data'!$AK$5:$AK$66,AH!$U$4)),IF(AH!$U$5=1,INDEX('Live History'!$D$5:$D$3004,MATCH($A2448,'Live History'!$D$5:$D$3004,1)),INDEX('AH History'!$D$5:$GG$1380,$K2448,AH!$U$10+2))),NA()),NA())</f>
        <v/>
      </c>
      <c r="H2448" s="266">
        <f>IFERROR(IF(ISNUMBER($A2448),IF(AND(AH!$U$12=1,2443+1=AH!$U$6),IF(AH!$U$4=0,"unavailable",INDEX('Market Data'!$AP$5:$AP$66,AH!$U$4)),IF(AH!$U$5=1,INDEX('Live History'!$H$5:$H$3004,MATCH($A2448,'Live History'!$G$5:$G$3004,1)),INDEX('AH History'!$B$5:$B$1380,$K2448))),NA()),NA())</f>
        <v/>
      </c>
      <c r="I2448" s="34">
        <f>IFERROR(IF(ISNUMBER($A2448),IF(AND(AH!$U$12=1,2443+1=AH!$U$6),TODAY(),IF(AH!$U$5=1,INDEX('Live History'!$G$5:$G$3004,MATCH($A2448,'Live History'!$G$5:$G$3004,1)),INDEX('AH History'!$C$5:$C$1380,$K2448))),NA()),NA())</f>
        <v/>
      </c>
      <c r="J2448" s="32">
        <f>IFERROR(IF(AND($F2448&gt;0,$H2448&gt;0,$A2448-$G2448&lt;=10,$A2448-$I2448&lt;=5,$G2448&gt;0,$I2448&gt;0),$F2448*$H2448,NA()),NA())</f>
        <v/>
      </c>
      <c r="K2448" s="15">
        <f>IF($A2448="","",IF(AH!$U$5=1,IFERROR(MATCH($A2448,'Live History'!$A$5:$A$3004,0),0),AH!$U$7+2443))</f>
        <v/>
      </c>
      <c r="L2448" s="15">
        <f>IF(ISNUMBER(A2448),TEXT(A2448,"dd-mmm-yy"),"")</f>
        <v/>
      </c>
    </row>
    <row r="2449">
      <c r="A2449" s="14">
        <f>IF(OR(AH!$U$4=0,2444+1&gt;AH!$U$6,AND(AH!$M$5="Bloomberg",AH!$U$5=0)),"",IFERROR(IF(AND(AH!$U$12=1,2444+1=AH!$U$6),TODAY(),IF(AH!$U$5=1,INDEX('Live History'!$A$5:$A$3004,AH!$U$7+2444),INDEX('AH History'!$A$5:$A$1380,AH!$U$7+2444))),""))</f>
        <v/>
      </c>
      <c r="B2449" s="33">
        <f>IFERROR(IF(AH!$U$11=1,NA(),$J2449/$E2449-1),NA())</f>
        <v/>
      </c>
      <c r="C2449" s="269">
        <f>IFERROR(100*$E2449/$E$5,NA())</f>
        <v/>
      </c>
      <c r="D2449" s="269">
        <f>IFERROR(100*$J2449/$J$5,NA())</f>
        <v/>
      </c>
      <c r="E2449" s="32">
        <f>IFERROR(IF(AND(ISNUMBER($A2449),N(IF(AND(AH!$U$12=1,2444+1=AH!$U$6),IF(AH!$U$4=0,"unavailable",INDEX('Market Data'!$AN$5:$AN$66,AH!$U$4)),IF(AH!$U$5=1,INDEX('Live History'!$B$5:$B$3004,$K2449),INDEX('AH History'!$D$5:$GG$1380,$K2449,AH!$U$10))))&gt;0),IF(AND(AH!$U$12=1,2444+1=AH!$U$6),IF(AH!$U$4=0,"unavailable",INDEX('Market Data'!$AN$5:$AN$66,AH!$U$4)),IF(AH!$U$5=1,INDEX('Live History'!$B$5:$B$3004,$K2449),INDEX('AH History'!$D$5:$GG$1380,$K2449,AH!$U$10))),NA()),NA())</f>
        <v/>
      </c>
      <c r="F2449" s="32">
        <f>IFERROR(IF(ISNUMBER($A2449),IF(AND(AH!$U$12=1,2444+1=AH!$U$6),IF(AH!$U$4=0,"unavailable",INDEX('Market Data'!$AO$5:$AO$66,AH!$U$4)),IF(AH!$U$5=1,INDEX('Live History'!$E$5:$E$3004,MATCH($A2449,'Live History'!$D$5:$D$3004,1)),INDEX('AH History'!$D$5:$GG$1380,$K2449,AH!$U$10+1))),NA()),NA())</f>
        <v/>
      </c>
      <c r="G2449" s="34">
        <f>IFERROR(IF(ISNUMBER($A2449),IF(AND(AH!$U$12=1,2444+1=AH!$U$6),IF(AH!$U$4=0,"unavailable",INDEX('Market Data'!$AK$5:$AK$66,AH!$U$4)),IF(AH!$U$5=1,INDEX('Live History'!$D$5:$D$3004,MATCH($A2449,'Live History'!$D$5:$D$3004,1)),INDEX('AH History'!$D$5:$GG$1380,$K2449,AH!$U$10+2))),NA()),NA())</f>
        <v/>
      </c>
      <c r="H2449" s="266">
        <f>IFERROR(IF(ISNUMBER($A2449),IF(AND(AH!$U$12=1,2444+1=AH!$U$6),IF(AH!$U$4=0,"unavailable",INDEX('Market Data'!$AP$5:$AP$66,AH!$U$4)),IF(AH!$U$5=1,INDEX('Live History'!$H$5:$H$3004,MATCH($A2449,'Live History'!$G$5:$G$3004,1)),INDEX('AH History'!$B$5:$B$1380,$K2449))),NA()),NA())</f>
        <v/>
      </c>
      <c r="I2449" s="34">
        <f>IFERROR(IF(ISNUMBER($A2449),IF(AND(AH!$U$12=1,2444+1=AH!$U$6),TODAY(),IF(AH!$U$5=1,INDEX('Live History'!$G$5:$G$3004,MATCH($A2449,'Live History'!$G$5:$G$3004,1)),INDEX('AH History'!$C$5:$C$1380,$K2449))),NA()),NA())</f>
        <v/>
      </c>
      <c r="J2449" s="32">
        <f>IFERROR(IF(AND($F2449&gt;0,$H2449&gt;0,$A2449-$G2449&lt;=10,$A2449-$I2449&lt;=5,$G2449&gt;0,$I2449&gt;0),$F2449*$H2449,NA()),NA())</f>
        <v/>
      </c>
      <c r="K2449" s="15">
        <f>IF($A2449="","",IF(AH!$U$5=1,IFERROR(MATCH($A2449,'Live History'!$A$5:$A$3004,0),0),AH!$U$7+2444))</f>
        <v/>
      </c>
      <c r="L2449" s="15">
        <f>IF(ISNUMBER(A2449),TEXT(A2449,"dd-mmm-yy"),"")</f>
        <v/>
      </c>
    </row>
    <row r="2450">
      <c r="A2450" s="14">
        <f>IF(OR(AH!$U$4=0,2445+1&gt;AH!$U$6,AND(AH!$M$5="Bloomberg",AH!$U$5=0)),"",IFERROR(IF(AND(AH!$U$12=1,2445+1=AH!$U$6),TODAY(),IF(AH!$U$5=1,INDEX('Live History'!$A$5:$A$3004,AH!$U$7+2445),INDEX('AH History'!$A$5:$A$1380,AH!$U$7+2445))),""))</f>
        <v/>
      </c>
      <c r="B2450" s="33">
        <f>IFERROR(IF(AH!$U$11=1,NA(),$J2450/$E2450-1),NA())</f>
        <v/>
      </c>
      <c r="C2450" s="269">
        <f>IFERROR(100*$E2450/$E$5,NA())</f>
        <v/>
      </c>
      <c r="D2450" s="269">
        <f>IFERROR(100*$J2450/$J$5,NA())</f>
        <v/>
      </c>
      <c r="E2450" s="32">
        <f>IFERROR(IF(AND(ISNUMBER($A2450),N(IF(AND(AH!$U$12=1,2445+1=AH!$U$6),IF(AH!$U$4=0,"unavailable",INDEX('Market Data'!$AN$5:$AN$66,AH!$U$4)),IF(AH!$U$5=1,INDEX('Live History'!$B$5:$B$3004,$K2450),INDEX('AH History'!$D$5:$GG$1380,$K2450,AH!$U$10))))&gt;0),IF(AND(AH!$U$12=1,2445+1=AH!$U$6),IF(AH!$U$4=0,"unavailable",INDEX('Market Data'!$AN$5:$AN$66,AH!$U$4)),IF(AH!$U$5=1,INDEX('Live History'!$B$5:$B$3004,$K2450),INDEX('AH History'!$D$5:$GG$1380,$K2450,AH!$U$10))),NA()),NA())</f>
        <v/>
      </c>
      <c r="F2450" s="32">
        <f>IFERROR(IF(ISNUMBER($A2450),IF(AND(AH!$U$12=1,2445+1=AH!$U$6),IF(AH!$U$4=0,"unavailable",INDEX('Market Data'!$AO$5:$AO$66,AH!$U$4)),IF(AH!$U$5=1,INDEX('Live History'!$E$5:$E$3004,MATCH($A2450,'Live History'!$D$5:$D$3004,1)),INDEX('AH History'!$D$5:$GG$1380,$K2450,AH!$U$10+1))),NA()),NA())</f>
        <v/>
      </c>
      <c r="G2450" s="34">
        <f>IFERROR(IF(ISNUMBER($A2450),IF(AND(AH!$U$12=1,2445+1=AH!$U$6),IF(AH!$U$4=0,"unavailable",INDEX('Market Data'!$AK$5:$AK$66,AH!$U$4)),IF(AH!$U$5=1,INDEX('Live History'!$D$5:$D$3004,MATCH($A2450,'Live History'!$D$5:$D$3004,1)),INDEX('AH History'!$D$5:$GG$1380,$K2450,AH!$U$10+2))),NA()),NA())</f>
        <v/>
      </c>
      <c r="H2450" s="266">
        <f>IFERROR(IF(ISNUMBER($A2450),IF(AND(AH!$U$12=1,2445+1=AH!$U$6),IF(AH!$U$4=0,"unavailable",INDEX('Market Data'!$AP$5:$AP$66,AH!$U$4)),IF(AH!$U$5=1,INDEX('Live History'!$H$5:$H$3004,MATCH($A2450,'Live History'!$G$5:$G$3004,1)),INDEX('AH History'!$B$5:$B$1380,$K2450))),NA()),NA())</f>
        <v/>
      </c>
      <c r="I2450" s="34">
        <f>IFERROR(IF(ISNUMBER($A2450),IF(AND(AH!$U$12=1,2445+1=AH!$U$6),TODAY(),IF(AH!$U$5=1,INDEX('Live History'!$G$5:$G$3004,MATCH($A2450,'Live History'!$G$5:$G$3004,1)),INDEX('AH History'!$C$5:$C$1380,$K2450))),NA()),NA())</f>
        <v/>
      </c>
      <c r="J2450" s="32">
        <f>IFERROR(IF(AND($F2450&gt;0,$H2450&gt;0,$A2450-$G2450&lt;=10,$A2450-$I2450&lt;=5,$G2450&gt;0,$I2450&gt;0),$F2450*$H2450,NA()),NA())</f>
        <v/>
      </c>
      <c r="K2450" s="15">
        <f>IF($A2450="","",IF(AH!$U$5=1,IFERROR(MATCH($A2450,'Live History'!$A$5:$A$3004,0),0),AH!$U$7+2445))</f>
        <v/>
      </c>
      <c r="L2450" s="15">
        <f>IF(ISNUMBER(A2450),TEXT(A2450,"dd-mmm-yy"),"")</f>
        <v/>
      </c>
    </row>
    <row r="2451">
      <c r="A2451" s="14">
        <f>IF(OR(AH!$U$4=0,2446+1&gt;AH!$U$6,AND(AH!$M$5="Bloomberg",AH!$U$5=0)),"",IFERROR(IF(AND(AH!$U$12=1,2446+1=AH!$U$6),TODAY(),IF(AH!$U$5=1,INDEX('Live History'!$A$5:$A$3004,AH!$U$7+2446),INDEX('AH History'!$A$5:$A$1380,AH!$U$7+2446))),""))</f>
        <v/>
      </c>
      <c r="B2451" s="33">
        <f>IFERROR(IF(AH!$U$11=1,NA(),$J2451/$E2451-1),NA())</f>
        <v/>
      </c>
      <c r="C2451" s="269">
        <f>IFERROR(100*$E2451/$E$5,NA())</f>
        <v/>
      </c>
      <c r="D2451" s="269">
        <f>IFERROR(100*$J2451/$J$5,NA())</f>
        <v/>
      </c>
      <c r="E2451" s="32">
        <f>IFERROR(IF(AND(ISNUMBER($A2451),N(IF(AND(AH!$U$12=1,2446+1=AH!$U$6),IF(AH!$U$4=0,"unavailable",INDEX('Market Data'!$AN$5:$AN$66,AH!$U$4)),IF(AH!$U$5=1,INDEX('Live History'!$B$5:$B$3004,$K2451),INDEX('AH History'!$D$5:$GG$1380,$K2451,AH!$U$10))))&gt;0),IF(AND(AH!$U$12=1,2446+1=AH!$U$6),IF(AH!$U$4=0,"unavailable",INDEX('Market Data'!$AN$5:$AN$66,AH!$U$4)),IF(AH!$U$5=1,INDEX('Live History'!$B$5:$B$3004,$K2451),INDEX('AH History'!$D$5:$GG$1380,$K2451,AH!$U$10))),NA()),NA())</f>
        <v/>
      </c>
      <c r="F2451" s="32">
        <f>IFERROR(IF(ISNUMBER($A2451),IF(AND(AH!$U$12=1,2446+1=AH!$U$6),IF(AH!$U$4=0,"unavailable",INDEX('Market Data'!$AO$5:$AO$66,AH!$U$4)),IF(AH!$U$5=1,INDEX('Live History'!$E$5:$E$3004,MATCH($A2451,'Live History'!$D$5:$D$3004,1)),INDEX('AH History'!$D$5:$GG$1380,$K2451,AH!$U$10+1))),NA()),NA())</f>
        <v/>
      </c>
      <c r="G2451" s="34">
        <f>IFERROR(IF(ISNUMBER($A2451),IF(AND(AH!$U$12=1,2446+1=AH!$U$6),IF(AH!$U$4=0,"unavailable",INDEX('Market Data'!$AK$5:$AK$66,AH!$U$4)),IF(AH!$U$5=1,INDEX('Live History'!$D$5:$D$3004,MATCH($A2451,'Live History'!$D$5:$D$3004,1)),INDEX('AH History'!$D$5:$GG$1380,$K2451,AH!$U$10+2))),NA()),NA())</f>
        <v/>
      </c>
      <c r="H2451" s="266">
        <f>IFERROR(IF(ISNUMBER($A2451),IF(AND(AH!$U$12=1,2446+1=AH!$U$6),IF(AH!$U$4=0,"unavailable",INDEX('Market Data'!$AP$5:$AP$66,AH!$U$4)),IF(AH!$U$5=1,INDEX('Live History'!$H$5:$H$3004,MATCH($A2451,'Live History'!$G$5:$G$3004,1)),INDEX('AH History'!$B$5:$B$1380,$K2451))),NA()),NA())</f>
        <v/>
      </c>
      <c r="I2451" s="34">
        <f>IFERROR(IF(ISNUMBER($A2451),IF(AND(AH!$U$12=1,2446+1=AH!$U$6),TODAY(),IF(AH!$U$5=1,INDEX('Live History'!$G$5:$G$3004,MATCH($A2451,'Live History'!$G$5:$G$3004,1)),INDEX('AH History'!$C$5:$C$1380,$K2451))),NA()),NA())</f>
        <v/>
      </c>
      <c r="J2451" s="32">
        <f>IFERROR(IF(AND($F2451&gt;0,$H2451&gt;0,$A2451-$G2451&lt;=10,$A2451-$I2451&lt;=5,$G2451&gt;0,$I2451&gt;0),$F2451*$H2451,NA()),NA())</f>
        <v/>
      </c>
      <c r="K2451" s="15">
        <f>IF($A2451="","",IF(AH!$U$5=1,IFERROR(MATCH($A2451,'Live History'!$A$5:$A$3004,0),0),AH!$U$7+2446))</f>
        <v/>
      </c>
      <c r="L2451" s="15">
        <f>IF(ISNUMBER(A2451),TEXT(A2451,"dd-mmm-yy"),"")</f>
        <v/>
      </c>
    </row>
    <row r="2452">
      <c r="A2452" s="14">
        <f>IF(OR(AH!$U$4=0,2447+1&gt;AH!$U$6,AND(AH!$M$5="Bloomberg",AH!$U$5=0)),"",IFERROR(IF(AND(AH!$U$12=1,2447+1=AH!$U$6),TODAY(),IF(AH!$U$5=1,INDEX('Live History'!$A$5:$A$3004,AH!$U$7+2447),INDEX('AH History'!$A$5:$A$1380,AH!$U$7+2447))),""))</f>
        <v/>
      </c>
      <c r="B2452" s="33">
        <f>IFERROR(IF(AH!$U$11=1,NA(),$J2452/$E2452-1),NA())</f>
        <v/>
      </c>
      <c r="C2452" s="269">
        <f>IFERROR(100*$E2452/$E$5,NA())</f>
        <v/>
      </c>
      <c r="D2452" s="269">
        <f>IFERROR(100*$J2452/$J$5,NA())</f>
        <v/>
      </c>
      <c r="E2452" s="32">
        <f>IFERROR(IF(AND(ISNUMBER($A2452),N(IF(AND(AH!$U$12=1,2447+1=AH!$U$6),IF(AH!$U$4=0,"unavailable",INDEX('Market Data'!$AN$5:$AN$66,AH!$U$4)),IF(AH!$U$5=1,INDEX('Live History'!$B$5:$B$3004,$K2452),INDEX('AH History'!$D$5:$GG$1380,$K2452,AH!$U$10))))&gt;0),IF(AND(AH!$U$12=1,2447+1=AH!$U$6),IF(AH!$U$4=0,"unavailable",INDEX('Market Data'!$AN$5:$AN$66,AH!$U$4)),IF(AH!$U$5=1,INDEX('Live History'!$B$5:$B$3004,$K2452),INDEX('AH History'!$D$5:$GG$1380,$K2452,AH!$U$10))),NA()),NA())</f>
        <v/>
      </c>
      <c r="F2452" s="32">
        <f>IFERROR(IF(ISNUMBER($A2452),IF(AND(AH!$U$12=1,2447+1=AH!$U$6),IF(AH!$U$4=0,"unavailable",INDEX('Market Data'!$AO$5:$AO$66,AH!$U$4)),IF(AH!$U$5=1,INDEX('Live History'!$E$5:$E$3004,MATCH($A2452,'Live History'!$D$5:$D$3004,1)),INDEX('AH History'!$D$5:$GG$1380,$K2452,AH!$U$10+1))),NA()),NA())</f>
        <v/>
      </c>
      <c r="G2452" s="34">
        <f>IFERROR(IF(ISNUMBER($A2452),IF(AND(AH!$U$12=1,2447+1=AH!$U$6),IF(AH!$U$4=0,"unavailable",INDEX('Market Data'!$AK$5:$AK$66,AH!$U$4)),IF(AH!$U$5=1,INDEX('Live History'!$D$5:$D$3004,MATCH($A2452,'Live History'!$D$5:$D$3004,1)),INDEX('AH History'!$D$5:$GG$1380,$K2452,AH!$U$10+2))),NA()),NA())</f>
        <v/>
      </c>
      <c r="H2452" s="266">
        <f>IFERROR(IF(ISNUMBER($A2452),IF(AND(AH!$U$12=1,2447+1=AH!$U$6),IF(AH!$U$4=0,"unavailable",INDEX('Market Data'!$AP$5:$AP$66,AH!$U$4)),IF(AH!$U$5=1,INDEX('Live History'!$H$5:$H$3004,MATCH($A2452,'Live History'!$G$5:$G$3004,1)),INDEX('AH History'!$B$5:$B$1380,$K2452))),NA()),NA())</f>
        <v/>
      </c>
      <c r="I2452" s="34">
        <f>IFERROR(IF(ISNUMBER($A2452),IF(AND(AH!$U$12=1,2447+1=AH!$U$6),TODAY(),IF(AH!$U$5=1,INDEX('Live History'!$G$5:$G$3004,MATCH($A2452,'Live History'!$G$5:$G$3004,1)),INDEX('AH History'!$C$5:$C$1380,$K2452))),NA()),NA())</f>
        <v/>
      </c>
      <c r="J2452" s="32">
        <f>IFERROR(IF(AND($F2452&gt;0,$H2452&gt;0,$A2452-$G2452&lt;=10,$A2452-$I2452&lt;=5,$G2452&gt;0,$I2452&gt;0),$F2452*$H2452,NA()),NA())</f>
        <v/>
      </c>
      <c r="K2452" s="15">
        <f>IF($A2452="","",IF(AH!$U$5=1,IFERROR(MATCH($A2452,'Live History'!$A$5:$A$3004,0),0),AH!$U$7+2447))</f>
        <v/>
      </c>
      <c r="L2452" s="15">
        <f>IF(ISNUMBER(A2452),TEXT(A2452,"dd-mmm-yy"),"")</f>
        <v/>
      </c>
    </row>
    <row r="2453">
      <c r="A2453" s="14">
        <f>IF(OR(AH!$U$4=0,2448+1&gt;AH!$U$6,AND(AH!$M$5="Bloomberg",AH!$U$5=0)),"",IFERROR(IF(AND(AH!$U$12=1,2448+1=AH!$U$6),TODAY(),IF(AH!$U$5=1,INDEX('Live History'!$A$5:$A$3004,AH!$U$7+2448),INDEX('AH History'!$A$5:$A$1380,AH!$U$7+2448))),""))</f>
        <v/>
      </c>
      <c r="B2453" s="33">
        <f>IFERROR(IF(AH!$U$11=1,NA(),$J2453/$E2453-1),NA())</f>
        <v/>
      </c>
      <c r="C2453" s="269">
        <f>IFERROR(100*$E2453/$E$5,NA())</f>
        <v/>
      </c>
      <c r="D2453" s="269">
        <f>IFERROR(100*$J2453/$J$5,NA())</f>
        <v/>
      </c>
      <c r="E2453" s="32">
        <f>IFERROR(IF(AND(ISNUMBER($A2453),N(IF(AND(AH!$U$12=1,2448+1=AH!$U$6),IF(AH!$U$4=0,"unavailable",INDEX('Market Data'!$AN$5:$AN$66,AH!$U$4)),IF(AH!$U$5=1,INDEX('Live History'!$B$5:$B$3004,$K2453),INDEX('AH History'!$D$5:$GG$1380,$K2453,AH!$U$10))))&gt;0),IF(AND(AH!$U$12=1,2448+1=AH!$U$6),IF(AH!$U$4=0,"unavailable",INDEX('Market Data'!$AN$5:$AN$66,AH!$U$4)),IF(AH!$U$5=1,INDEX('Live History'!$B$5:$B$3004,$K2453),INDEX('AH History'!$D$5:$GG$1380,$K2453,AH!$U$10))),NA()),NA())</f>
        <v/>
      </c>
      <c r="F2453" s="32">
        <f>IFERROR(IF(ISNUMBER($A2453),IF(AND(AH!$U$12=1,2448+1=AH!$U$6),IF(AH!$U$4=0,"unavailable",INDEX('Market Data'!$AO$5:$AO$66,AH!$U$4)),IF(AH!$U$5=1,INDEX('Live History'!$E$5:$E$3004,MATCH($A2453,'Live History'!$D$5:$D$3004,1)),INDEX('AH History'!$D$5:$GG$1380,$K2453,AH!$U$10+1))),NA()),NA())</f>
        <v/>
      </c>
      <c r="G2453" s="34">
        <f>IFERROR(IF(ISNUMBER($A2453),IF(AND(AH!$U$12=1,2448+1=AH!$U$6),IF(AH!$U$4=0,"unavailable",INDEX('Market Data'!$AK$5:$AK$66,AH!$U$4)),IF(AH!$U$5=1,INDEX('Live History'!$D$5:$D$3004,MATCH($A2453,'Live History'!$D$5:$D$3004,1)),INDEX('AH History'!$D$5:$GG$1380,$K2453,AH!$U$10+2))),NA()),NA())</f>
        <v/>
      </c>
      <c r="H2453" s="266">
        <f>IFERROR(IF(ISNUMBER($A2453),IF(AND(AH!$U$12=1,2448+1=AH!$U$6),IF(AH!$U$4=0,"unavailable",INDEX('Market Data'!$AP$5:$AP$66,AH!$U$4)),IF(AH!$U$5=1,INDEX('Live History'!$H$5:$H$3004,MATCH($A2453,'Live History'!$G$5:$G$3004,1)),INDEX('AH History'!$B$5:$B$1380,$K2453))),NA()),NA())</f>
        <v/>
      </c>
      <c r="I2453" s="34">
        <f>IFERROR(IF(ISNUMBER($A2453),IF(AND(AH!$U$12=1,2448+1=AH!$U$6),TODAY(),IF(AH!$U$5=1,INDEX('Live History'!$G$5:$G$3004,MATCH($A2453,'Live History'!$G$5:$G$3004,1)),INDEX('AH History'!$C$5:$C$1380,$K2453))),NA()),NA())</f>
        <v/>
      </c>
      <c r="J2453" s="32">
        <f>IFERROR(IF(AND($F2453&gt;0,$H2453&gt;0,$A2453-$G2453&lt;=10,$A2453-$I2453&lt;=5,$G2453&gt;0,$I2453&gt;0),$F2453*$H2453,NA()),NA())</f>
        <v/>
      </c>
      <c r="K2453" s="15">
        <f>IF($A2453="","",IF(AH!$U$5=1,IFERROR(MATCH($A2453,'Live History'!$A$5:$A$3004,0),0),AH!$U$7+2448))</f>
        <v/>
      </c>
      <c r="L2453" s="15">
        <f>IF(ISNUMBER(A2453),TEXT(A2453,"dd-mmm-yy"),"")</f>
        <v/>
      </c>
    </row>
    <row r="2454">
      <c r="A2454" s="14">
        <f>IF(OR(AH!$U$4=0,2449+1&gt;AH!$U$6,AND(AH!$M$5="Bloomberg",AH!$U$5=0)),"",IFERROR(IF(AND(AH!$U$12=1,2449+1=AH!$U$6),TODAY(),IF(AH!$U$5=1,INDEX('Live History'!$A$5:$A$3004,AH!$U$7+2449),INDEX('AH History'!$A$5:$A$1380,AH!$U$7+2449))),""))</f>
        <v/>
      </c>
      <c r="B2454" s="33">
        <f>IFERROR(IF(AH!$U$11=1,NA(),$J2454/$E2454-1),NA())</f>
        <v/>
      </c>
      <c r="C2454" s="269">
        <f>IFERROR(100*$E2454/$E$5,NA())</f>
        <v/>
      </c>
      <c r="D2454" s="269">
        <f>IFERROR(100*$J2454/$J$5,NA())</f>
        <v/>
      </c>
      <c r="E2454" s="32">
        <f>IFERROR(IF(AND(ISNUMBER($A2454),N(IF(AND(AH!$U$12=1,2449+1=AH!$U$6),IF(AH!$U$4=0,"unavailable",INDEX('Market Data'!$AN$5:$AN$66,AH!$U$4)),IF(AH!$U$5=1,INDEX('Live History'!$B$5:$B$3004,$K2454),INDEX('AH History'!$D$5:$GG$1380,$K2454,AH!$U$10))))&gt;0),IF(AND(AH!$U$12=1,2449+1=AH!$U$6),IF(AH!$U$4=0,"unavailable",INDEX('Market Data'!$AN$5:$AN$66,AH!$U$4)),IF(AH!$U$5=1,INDEX('Live History'!$B$5:$B$3004,$K2454),INDEX('AH History'!$D$5:$GG$1380,$K2454,AH!$U$10))),NA()),NA())</f>
        <v/>
      </c>
      <c r="F2454" s="32">
        <f>IFERROR(IF(ISNUMBER($A2454),IF(AND(AH!$U$12=1,2449+1=AH!$U$6),IF(AH!$U$4=0,"unavailable",INDEX('Market Data'!$AO$5:$AO$66,AH!$U$4)),IF(AH!$U$5=1,INDEX('Live History'!$E$5:$E$3004,MATCH($A2454,'Live History'!$D$5:$D$3004,1)),INDEX('AH History'!$D$5:$GG$1380,$K2454,AH!$U$10+1))),NA()),NA())</f>
        <v/>
      </c>
      <c r="G2454" s="34">
        <f>IFERROR(IF(ISNUMBER($A2454),IF(AND(AH!$U$12=1,2449+1=AH!$U$6),IF(AH!$U$4=0,"unavailable",INDEX('Market Data'!$AK$5:$AK$66,AH!$U$4)),IF(AH!$U$5=1,INDEX('Live History'!$D$5:$D$3004,MATCH($A2454,'Live History'!$D$5:$D$3004,1)),INDEX('AH History'!$D$5:$GG$1380,$K2454,AH!$U$10+2))),NA()),NA())</f>
        <v/>
      </c>
      <c r="H2454" s="266">
        <f>IFERROR(IF(ISNUMBER($A2454),IF(AND(AH!$U$12=1,2449+1=AH!$U$6),IF(AH!$U$4=0,"unavailable",INDEX('Market Data'!$AP$5:$AP$66,AH!$U$4)),IF(AH!$U$5=1,INDEX('Live History'!$H$5:$H$3004,MATCH($A2454,'Live History'!$G$5:$G$3004,1)),INDEX('AH History'!$B$5:$B$1380,$K2454))),NA()),NA())</f>
        <v/>
      </c>
      <c r="I2454" s="34">
        <f>IFERROR(IF(ISNUMBER($A2454),IF(AND(AH!$U$12=1,2449+1=AH!$U$6),TODAY(),IF(AH!$U$5=1,INDEX('Live History'!$G$5:$G$3004,MATCH($A2454,'Live History'!$G$5:$G$3004,1)),INDEX('AH History'!$C$5:$C$1380,$K2454))),NA()),NA())</f>
        <v/>
      </c>
      <c r="J2454" s="32">
        <f>IFERROR(IF(AND($F2454&gt;0,$H2454&gt;0,$A2454-$G2454&lt;=10,$A2454-$I2454&lt;=5,$G2454&gt;0,$I2454&gt;0),$F2454*$H2454,NA()),NA())</f>
        <v/>
      </c>
      <c r="K2454" s="15">
        <f>IF($A2454="","",IF(AH!$U$5=1,IFERROR(MATCH($A2454,'Live History'!$A$5:$A$3004,0),0),AH!$U$7+2449))</f>
        <v/>
      </c>
      <c r="L2454" s="15">
        <f>IF(ISNUMBER(A2454),TEXT(A2454,"dd-mmm-yy"),"")</f>
        <v/>
      </c>
    </row>
    <row r="2455">
      <c r="A2455" s="14">
        <f>IF(OR(AH!$U$4=0,2450+1&gt;AH!$U$6,AND(AH!$M$5="Bloomberg",AH!$U$5=0)),"",IFERROR(IF(AND(AH!$U$12=1,2450+1=AH!$U$6),TODAY(),IF(AH!$U$5=1,INDEX('Live History'!$A$5:$A$3004,AH!$U$7+2450),INDEX('AH History'!$A$5:$A$1380,AH!$U$7+2450))),""))</f>
        <v/>
      </c>
      <c r="B2455" s="33">
        <f>IFERROR(IF(AH!$U$11=1,NA(),$J2455/$E2455-1),NA())</f>
        <v/>
      </c>
      <c r="C2455" s="269">
        <f>IFERROR(100*$E2455/$E$5,NA())</f>
        <v/>
      </c>
      <c r="D2455" s="269">
        <f>IFERROR(100*$J2455/$J$5,NA())</f>
        <v/>
      </c>
      <c r="E2455" s="32">
        <f>IFERROR(IF(AND(ISNUMBER($A2455),N(IF(AND(AH!$U$12=1,2450+1=AH!$U$6),IF(AH!$U$4=0,"unavailable",INDEX('Market Data'!$AN$5:$AN$66,AH!$U$4)),IF(AH!$U$5=1,INDEX('Live History'!$B$5:$B$3004,$K2455),INDEX('AH History'!$D$5:$GG$1380,$K2455,AH!$U$10))))&gt;0),IF(AND(AH!$U$12=1,2450+1=AH!$U$6),IF(AH!$U$4=0,"unavailable",INDEX('Market Data'!$AN$5:$AN$66,AH!$U$4)),IF(AH!$U$5=1,INDEX('Live History'!$B$5:$B$3004,$K2455),INDEX('AH History'!$D$5:$GG$1380,$K2455,AH!$U$10))),NA()),NA())</f>
        <v/>
      </c>
      <c r="F2455" s="32">
        <f>IFERROR(IF(ISNUMBER($A2455),IF(AND(AH!$U$12=1,2450+1=AH!$U$6),IF(AH!$U$4=0,"unavailable",INDEX('Market Data'!$AO$5:$AO$66,AH!$U$4)),IF(AH!$U$5=1,INDEX('Live History'!$E$5:$E$3004,MATCH($A2455,'Live History'!$D$5:$D$3004,1)),INDEX('AH History'!$D$5:$GG$1380,$K2455,AH!$U$10+1))),NA()),NA())</f>
        <v/>
      </c>
      <c r="G2455" s="34">
        <f>IFERROR(IF(ISNUMBER($A2455),IF(AND(AH!$U$12=1,2450+1=AH!$U$6),IF(AH!$U$4=0,"unavailable",INDEX('Market Data'!$AK$5:$AK$66,AH!$U$4)),IF(AH!$U$5=1,INDEX('Live History'!$D$5:$D$3004,MATCH($A2455,'Live History'!$D$5:$D$3004,1)),INDEX('AH History'!$D$5:$GG$1380,$K2455,AH!$U$10+2))),NA()),NA())</f>
        <v/>
      </c>
      <c r="H2455" s="266">
        <f>IFERROR(IF(ISNUMBER($A2455),IF(AND(AH!$U$12=1,2450+1=AH!$U$6),IF(AH!$U$4=0,"unavailable",INDEX('Market Data'!$AP$5:$AP$66,AH!$U$4)),IF(AH!$U$5=1,INDEX('Live History'!$H$5:$H$3004,MATCH($A2455,'Live History'!$G$5:$G$3004,1)),INDEX('AH History'!$B$5:$B$1380,$K2455))),NA()),NA())</f>
        <v/>
      </c>
      <c r="I2455" s="34">
        <f>IFERROR(IF(ISNUMBER($A2455),IF(AND(AH!$U$12=1,2450+1=AH!$U$6),TODAY(),IF(AH!$U$5=1,INDEX('Live History'!$G$5:$G$3004,MATCH($A2455,'Live History'!$G$5:$G$3004,1)),INDEX('AH History'!$C$5:$C$1380,$K2455))),NA()),NA())</f>
        <v/>
      </c>
      <c r="J2455" s="32">
        <f>IFERROR(IF(AND($F2455&gt;0,$H2455&gt;0,$A2455-$G2455&lt;=10,$A2455-$I2455&lt;=5,$G2455&gt;0,$I2455&gt;0),$F2455*$H2455,NA()),NA())</f>
        <v/>
      </c>
      <c r="K2455" s="15">
        <f>IF($A2455="","",IF(AH!$U$5=1,IFERROR(MATCH($A2455,'Live History'!$A$5:$A$3004,0),0),AH!$U$7+2450))</f>
        <v/>
      </c>
      <c r="L2455" s="15">
        <f>IF(ISNUMBER(A2455),TEXT(A2455,"dd-mmm-yy"),"")</f>
        <v/>
      </c>
    </row>
    <row r="2456">
      <c r="A2456" s="14">
        <f>IF(OR(AH!$U$4=0,2451+1&gt;AH!$U$6,AND(AH!$M$5="Bloomberg",AH!$U$5=0)),"",IFERROR(IF(AND(AH!$U$12=1,2451+1=AH!$U$6),TODAY(),IF(AH!$U$5=1,INDEX('Live History'!$A$5:$A$3004,AH!$U$7+2451),INDEX('AH History'!$A$5:$A$1380,AH!$U$7+2451))),""))</f>
        <v/>
      </c>
      <c r="B2456" s="33">
        <f>IFERROR(IF(AH!$U$11=1,NA(),$J2456/$E2456-1),NA())</f>
        <v/>
      </c>
      <c r="C2456" s="269">
        <f>IFERROR(100*$E2456/$E$5,NA())</f>
        <v/>
      </c>
      <c r="D2456" s="269">
        <f>IFERROR(100*$J2456/$J$5,NA())</f>
        <v/>
      </c>
      <c r="E2456" s="32">
        <f>IFERROR(IF(AND(ISNUMBER($A2456),N(IF(AND(AH!$U$12=1,2451+1=AH!$U$6),IF(AH!$U$4=0,"unavailable",INDEX('Market Data'!$AN$5:$AN$66,AH!$U$4)),IF(AH!$U$5=1,INDEX('Live History'!$B$5:$B$3004,$K2456),INDEX('AH History'!$D$5:$GG$1380,$K2456,AH!$U$10))))&gt;0),IF(AND(AH!$U$12=1,2451+1=AH!$U$6),IF(AH!$U$4=0,"unavailable",INDEX('Market Data'!$AN$5:$AN$66,AH!$U$4)),IF(AH!$U$5=1,INDEX('Live History'!$B$5:$B$3004,$K2456),INDEX('AH History'!$D$5:$GG$1380,$K2456,AH!$U$10))),NA()),NA())</f>
        <v/>
      </c>
      <c r="F2456" s="32">
        <f>IFERROR(IF(ISNUMBER($A2456),IF(AND(AH!$U$12=1,2451+1=AH!$U$6),IF(AH!$U$4=0,"unavailable",INDEX('Market Data'!$AO$5:$AO$66,AH!$U$4)),IF(AH!$U$5=1,INDEX('Live History'!$E$5:$E$3004,MATCH($A2456,'Live History'!$D$5:$D$3004,1)),INDEX('AH History'!$D$5:$GG$1380,$K2456,AH!$U$10+1))),NA()),NA())</f>
        <v/>
      </c>
      <c r="G2456" s="34">
        <f>IFERROR(IF(ISNUMBER($A2456),IF(AND(AH!$U$12=1,2451+1=AH!$U$6),IF(AH!$U$4=0,"unavailable",INDEX('Market Data'!$AK$5:$AK$66,AH!$U$4)),IF(AH!$U$5=1,INDEX('Live History'!$D$5:$D$3004,MATCH($A2456,'Live History'!$D$5:$D$3004,1)),INDEX('AH History'!$D$5:$GG$1380,$K2456,AH!$U$10+2))),NA()),NA())</f>
        <v/>
      </c>
      <c r="H2456" s="266">
        <f>IFERROR(IF(ISNUMBER($A2456),IF(AND(AH!$U$12=1,2451+1=AH!$U$6),IF(AH!$U$4=0,"unavailable",INDEX('Market Data'!$AP$5:$AP$66,AH!$U$4)),IF(AH!$U$5=1,INDEX('Live History'!$H$5:$H$3004,MATCH($A2456,'Live History'!$G$5:$G$3004,1)),INDEX('AH History'!$B$5:$B$1380,$K2456))),NA()),NA())</f>
        <v/>
      </c>
      <c r="I2456" s="34">
        <f>IFERROR(IF(ISNUMBER($A2456),IF(AND(AH!$U$12=1,2451+1=AH!$U$6),TODAY(),IF(AH!$U$5=1,INDEX('Live History'!$G$5:$G$3004,MATCH($A2456,'Live History'!$G$5:$G$3004,1)),INDEX('AH History'!$C$5:$C$1380,$K2456))),NA()),NA())</f>
        <v/>
      </c>
      <c r="J2456" s="32">
        <f>IFERROR(IF(AND($F2456&gt;0,$H2456&gt;0,$A2456-$G2456&lt;=10,$A2456-$I2456&lt;=5,$G2456&gt;0,$I2456&gt;0),$F2456*$H2456,NA()),NA())</f>
        <v/>
      </c>
      <c r="K2456" s="15">
        <f>IF($A2456="","",IF(AH!$U$5=1,IFERROR(MATCH($A2456,'Live History'!$A$5:$A$3004,0),0),AH!$U$7+2451))</f>
        <v/>
      </c>
      <c r="L2456" s="15">
        <f>IF(ISNUMBER(A2456),TEXT(A2456,"dd-mmm-yy"),"")</f>
        <v/>
      </c>
    </row>
    <row r="2457">
      <c r="A2457" s="14">
        <f>IF(OR(AH!$U$4=0,2452+1&gt;AH!$U$6,AND(AH!$M$5="Bloomberg",AH!$U$5=0)),"",IFERROR(IF(AND(AH!$U$12=1,2452+1=AH!$U$6),TODAY(),IF(AH!$U$5=1,INDEX('Live History'!$A$5:$A$3004,AH!$U$7+2452),INDEX('AH History'!$A$5:$A$1380,AH!$U$7+2452))),""))</f>
        <v/>
      </c>
      <c r="B2457" s="33">
        <f>IFERROR(IF(AH!$U$11=1,NA(),$J2457/$E2457-1),NA())</f>
        <v/>
      </c>
      <c r="C2457" s="269">
        <f>IFERROR(100*$E2457/$E$5,NA())</f>
        <v/>
      </c>
      <c r="D2457" s="269">
        <f>IFERROR(100*$J2457/$J$5,NA())</f>
        <v/>
      </c>
      <c r="E2457" s="32">
        <f>IFERROR(IF(AND(ISNUMBER($A2457),N(IF(AND(AH!$U$12=1,2452+1=AH!$U$6),IF(AH!$U$4=0,"unavailable",INDEX('Market Data'!$AN$5:$AN$66,AH!$U$4)),IF(AH!$U$5=1,INDEX('Live History'!$B$5:$B$3004,$K2457),INDEX('AH History'!$D$5:$GG$1380,$K2457,AH!$U$10))))&gt;0),IF(AND(AH!$U$12=1,2452+1=AH!$U$6),IF(AH!$U$4=0,"unavailable",INDEX('Market Data'!$AN$5:$AN$66,AH!$U$4)),IF(AH!$U$5=1,INDEX('Live History'!$B$5:$B$3004,$K2457),INDEX('AH History'!$D$5:$GG$1380,$K2457,AH!$U$10))),NA()),NA())</f>
        <v/>
      </c>
      <c r="F2457" s="32">
        <f>IFERROR(IF(ISNUMBER($A2457),IF(AND(AH!$U$12=1,2452+1=AH!$U$6),IF(AH!$U$4=0,"unavailable",INDEX('Market Data'!$AO$5:$AO$66,AH!$U$4)),IF(AH!$U$5=1,INDEX('Live History'!$E$5:$E$3004,MATCH($A2457,'Live History'!$D$5:$D$3004,1)),INDEX('AH History'!$D$5:$GG$1380,$K2457,AH!$U$10+1))),NA()),NA())</f>
        <v/>
      </c>
      <c r="G2457" s="34">
        <f>IFERROR(IF(ISNUMBER($A2457),IF(AND(AH!$U$12=1,2452+1=AH!$U$6),IF(AH!$U$4=0,"unavailable",INDEX('Market Data'!$AK$5:$AK$66,AH!$U$4)),IF(AH!$U$5=1,INDEX('Live History'!$D$5:$D$3004,MATCH($A2457,'Live History'!$D$5:$D$3004,1)),INDEX('AH History'!$D$5:$GG$1380,$K2457,AH!$U$10+2))),NA()),NA())</f>
        <v/>
      </c>
      <c r="H2457" s="266">
        <f>IFERROR(IF(ISNUMBER($A2457),IF(AND(AH!$U$12=1,2452+1=AH!$U$6),IF(AH!$U$4=0,"unavailable",INDEX('Market Data'!$AP$5:$AP$66,AH!$U$4)),IF(AH!$U$5=1,INDEX('Live History'!$H$5:$H$3004,MATCH($A2457,'Live History'!$G$5:$G$3004,1)),INDEX('AH History'!$B$5:$B$1380,$K2457))),NA()),NA())</f>
        <v/>
      </c>
      <c r="I2457" s="34">
        <f>IFERROR(IF(ISNUMBER($A2457),IF(AND(AH!$U$12=1,2452+1=AH!$U$6),TODAY(),IF(AH!$U$5=1,INDEX('Live History'!$G$5:$G$3004,MATCH($A2457,'Live History'!$G$5:$G$3004,1)),INDEX('AH History'!$C$5:$C$1380,$K2457))),NA()),NA())</f>
        <v/>
      </c>
      <c r="J2457" s="32">
        <f>IFERROR(IF(AND($F2457&gt;0,$H2457&gt;0,$A2457-$G2457&lt;=10,$A2457-$I2457&lt;=5,$G2457&gt;0,$I2457&gt;0),$F2457*$H2457,NA()),NA())</f>
        <v/>
      </c>
      <c r="K2457" s="15">
        <f>IF($A2457="","",IF(AH!$U$5=1,IFERROR(MATCH($A2457,'Live History'!$A$5:$A$3004,0),0),AH!$U$7+2452))</f>
        <v/>
      </c>
      <c r="L2457" s="15">
        <f>IF(ISNUMBER(A2457),TEXT(A2457,"dd-mmm-yy"),"")</f>
        <v/>
      </c>
    </row>
    <row r="2458">
      <c r="A2458" s="14">
        <f>IF(OR(AH!$U$4=0,2453+1&gt;AH!$U$6,AND(AH!$M$5="Bloomberg",AH!$U$5=0)),"",IFERROR(IF(AND(AH!$U$12=1,2453+1=AH!$U$6),TODAY(),IF(AH!$U$5=1,INDEX('Live History'!$A$5:$A$3004,AH!$U$7+2453),INDEX('AH History'!$A$5:$A$1380,AH!$U$7+2453))),""))</f>
        <v/>
      </c>
      <c r="B2458" s="33">
        <f>IFERROR(IF(AH!$U$11=1,NA(),$J2458/$E2458-1),NA())</f>
        <v/>
      </c>
      <c r="C2458" s="269">
        <f>IFERROR(100*$E2458/$E$5,NA())</f>
        <v/>
      </c>
      <c r="D2458" s="269">
        <f>IFERROR(100*$J2458/$J$5,NA())</f>
        <v/>
      </c>
      <c r="E2458" s="32">
        <f>IFERROR(IF(AND(ISNUMBER($A2458),N(IF(AND(AH!$U$12=1,2453+1=AH!$U$6),IF(AH!$U$4=0,"unavailable",INDEX('Market Data'!$AN$5:$AN$66,AH!$U$4)),IF(AH!$U$5=1,INDEX('Live History'!$B$5:$B$3004,$K2458),INDEX('AH History'!$D$5:$GG$1380,$K2458,AH!$U$10))))&gt;0),IF(AND(AH!$U$12=1,2453+1=AH!$U$6),IF(AH!$U$4=0,"unavailable",INDEX('Market Data'!$AN$5:$AN$66,AH!$U$4)),IF(AH!$U$5=1,INDEX('Live History'!$B$5:$B$3004,$K2458),INDEX('AH History'!$D$5:$GG$1380,$K2458,AH!$U$10))),NA()),NA())</f>
        <v/>
      </c>
      <c r="F2458" s="32">
        <f>IFERROR(IF(ISNUMBER($A2458),IF(AND(AH!$U$12=1,2453+1=AH!$U$6),IF(AH!$U$4=0,"unavailable",INDEX('Market Data'!$AO$5:$AO$66,AH!$U$4)),IF(AH!$U$5=1,INDEX('Live History'!$E$5:$E$3004,MATCH($A2458,'Live History'!$D$5:$D$3004,1)),INDEX('AH History'!$D$5:$GG$1380,$K2458,AH!$U$10+1))),NA()),NA())</f>
        <v/>
      </c>
      <c r="G2458" s="34">
        <f>IFERROR(IF(ISNUMBER($A2458),IF(AND(AH!$U$12=1,2453+1=AH!$U$6),IF(AH!$U$4=0,"unavailable",INDEX('Market Data'!$AK$5:$AK$66,AH!$U$4)),IF(AH!$U$5=1,INDEX('Live History'!$D$5:$D$3004,MATCH($A2458,'Live History'!$D$5:$D$3004,1)),INDEX('AH History'!$D$5:$GG$1380,$K2458,AH!$U$10+2))),NA()),NA())</f>
        <v/>
      </c>
      <c r="H2458" s="266">
        <f>IFERROR(IF(ISNUMBER($A2458),IF(AND(AH!$U$12=1,2453+1=AH!$U$6),IF(AH!$U$4=0,"unavailable",INDEX('Market Data'!$AP$5:$AP$66,AH!$U$4)),IF(AH!$U$5=1,INDEX('Live History'!$H$5:$H$3004,MATCH($A2458,'Live History'!$G$5:$G$3004,1)),INDEX('AH History'!$B$5:$B$1380,$K2458))),NA()),NA())</f>
        <v/>
      </c>
      <c r="I2458" s="34">
        <f>IFERROR(IF(ISNUMBER($A2458),IF(AND(AH!$U$12=1,2453+1=AH!$U$6),TODAY(),IF(AH!$U$5=1,INDEX('Live History'!$G$5:$G$3004,MATCH($A2458,'Live History'!$G$5:$G$3004,1)),INDEX('AH History'!$C$5:$C$1380,$K2458))),NA()),NA())</f>
        <v/>
      </c>
      <c r="J2458" s="32">
        <f>IFERROR(IF(AND($F2458&gt;0,$H2458&gt;0,$A2458-$G2458&lt;=10,$A2458-$I2458&lt;=5,$G2458&gt;0,$I2458&gt;0),$F2458*$H2458,NA()),NA())</f>
        <v/>
      </c>
      <c r="K2458" s="15">
        <f>IF($A2458="","",IF(AH!$U$5=1,IFERROR(MATCH($A2458,'Live History'!$A$5:$A$3004,0),0),AH!$U$7+2453))</f>
        <v/>
      </c>
      <c r="L2458" s="15">
        <f>IF(ISNUMBER(A2458),TEXT(A2458,"dd-mmm-yy"),"")</f>
        <v/>
      </c>
    </row>
    <row r="2459">
      <c r="A2459" s="14">
        <f>IF(OR(AH!$U$4=0,2454+1&gt;AH!$U$6,AND(AH!$M$5="Bloomberg",AH!$U$5=0)),"",IFERROR(IF(AND(AH!$U$12=1,2454+1=AH!$U$6),TODAY(),IF(AH!$U$5=1,INDEX('Live History'!$A$5:$A$3004,AH!$U$7+2454),INDEX('AH History'!$A$5:$A$1380,AH!$U$7+2454))),""))</f>
        <v/>
      </c>
      <c r="B2459" s="33">
        <f>IFERROR(IF(AH!$U$11=1,NA(),$J2459/$E2459-1),NA())</f>
        <v/>
      </c>
      <c r="C2459" s="269">
        <f>IFERROR(100*$E2459/$E$5,NA())</f>
        <v/>
      </c>
      <c r="D2459" s="269">
        <f>IFERROR(100*$J2459/$J$5,NA())</f>
        <v/>
      </c>
      <c r="E2459" s="32">
        <f>IFERROR(IF(AND(ISNUMBER($A2459),N(IF(AND(AH!$U$12=1,2454+1=AH!$U$6),IF(AH!$U$4=0,"unavailable",INDEX('Market Data'!$AN$5:$AN$66,AH!$U$4)),IF(AH!$U$5=1,INDEX('Live History'!$B$5:$B$3004,$K2459),INDEX('AH History'!$D$5:$GG$1380,$K2459,AH!$U$10))))&gt;0),IF(AND(AH!$U$12=1,2454+1=AH!$U$6),IF(AH!$U$4=0,"unavailable",INDEX('Market Data'!$AN$5:$AN$66,AH!$U$4)),IF(AH!$U$5=1,INDEX('Live History'!$B$5:$B$3004,$K2459),INDEX('AH History'!$D$5:$GG$1380,$K2459,AH!$U$10))),NA()),NA())</f>
        <v/>
      </c>
      <c r="F2459" s="32">
        <f>IFERROR(IF(ISNUMBER($A2459),IF(AND(AH!$U$12=1,2454+1=AH!$U$6),IF(AH!$U$4=0,"unavailable",INDEX('Market Data'!$AO$5:$AO$66,AH!$U$4)),IF(AH!$U$5=1,INDEX('Live History'!$E$5:$E$3004,MATCH($A2459,'Live History'!$D$5:$D$3004,1)),INDEX('AH History'!$D$5:$GG$1380,$K2459,AH!$U$10+1))),NA()),NA())</f>
        <v/>
      </c>
      <c r="G2459" s="34">
        <f>IFERROR(IF(ISNUMBER($A2459),IF(AND(AH!$U$12=1,2454+1=AH!$U$6),IF(AH!$U$4=0,"unavailable",INDEX('Market Data'!$AK$5:$AK$66,AH!$U$4)),IF(AH!$U$5=1,INDEX('Live History'!$D$5:$D$3004,MATCH($A2459,'Live History'!$D$5:$D$3004,1)),INDEX('AH History'!$D$5:$GG$1380,$K2459,AH!$U$10+2))),NA()),NA())</f>
        <v/>
      </c>
      <c r="H2459" s="266">
        <f>IFERROR(IF(ISNUMBER($A2459),IF(AND(AH!$U$12=1,2454+1=AH!$U$6),IF(AH!$U$4=0,"unavailable",INDEX('Market Data'!$AP$5:$AP$66,AH!$U$4)),IF(AH!$U$5=1,INDEX('Live History'!$H$5:$H$3004,MATCH($A2459,'Live History'!$G$5:$G$3004,1)),INDEX('AH History'!$B$5:$B$1380,$K2459))),NA()),NA())</f>
        <v/>
      </c>
      <c r="I2459" s="34">
        <f>IFERROR(IF(ISNUMBER($A2459),IF(AND(AH!$U$12=1,2454+1=AH!$U$6),TODAY(),IF(AH!$U$5=1,INDEX('Live History'!$G$5:$G$3004,MATCH($A2459,'Live History'!$G$5:$G$3004,1)),INDEX('AH History'!$C$5:$C$1380,$K2459))),NA()),NA())</f>
        <v/>
      </c>
      <c r="J2459" s="32">
        <f>IFERROR(IF(AND($F2459&gt;0,$H2459&gt;0,$A2459-$G2459&lt;=10,$A2459-$I2459&lt;=5,$G2459&gt;0,$I2459&gt;0),$F2459*$H2459,NA()),NA())</f>
        <v/>
      </c>
      <c r="K2459" s="15">
        <f>IF($A2459="","",IF(AH!$U$5=1,IFERROR(MATCH($A2459,'Live History'!$A$5:$A$3004,0),0),AH!$U$7+2454))</f>
        <v/>
      </c>
      <c r="L2459" s="15">
        <f>IF(ISNUMBER(A2459),TEXT(A2459,"dd-mmm-yy"),"")</f>
        <v/>
      </c>
    </row>
    <row r="2460">
      <c r="A2460" s="14">
        <f>IF(OR(AH!$U$4=0,2455+1&gt;AH!$U$6,AND(AH!$M$5="Bloomberg",AH!$U$5=0)),"",IFERROR(IF(AND(AH!$U$12=1,2455+1=AH!$U$6),TODAY(),IF(AH!$U$5=1,INDEX('Live History'!$A$5:$A$3004,AH!$U$7+2455),INDEX('AH History'!$A$5:$A$1380,AH!$U$7+2455))),""))</f>
        <v/>
      </c>
      <c r="B2460" s="33">
        <f>IFERROR(IF(AH!$U$11=1,NA(),$J2460/$E2460-1),NA())</f>
        <v/>
      </c>
      <c r="C2460" s="269">
        <f>IFERROR(100*$E2460/$E$5,NA())</f>
        <v/>
      </c>
      <c r="D2460" s="269">
        <f>IFERROR(100*$J2460/$J$5,NA())</f>
        <v/>
      </c>
      <c r="E2460" s="32">
        <f>IFERROR(IF(AND(ISNUMBER($A2460),N(IF(AND(AH!$U$12=1,2455+1=AH!$U$6),IF(AH!$U$4=0,"unavailable",INDEX('Market Data'!$AN$5:$AN$66,AH!$U$4)),IF(AH!$U$5=1,INDEX('Live History'!$B$5:$B$3004,$K2460),INDEX('AH History'!$D$5:$GG$1380,$K2460,AH!$U$10))))&gt;0),IF(AND(AH!$U$12=1,2455+1=AH!$U$6),IF(AH!$U$4=0,"unavailable",INDEX('Market Data'!$AN$5:$AN$66,AH!$U$4)),IF(AH!$U$5=1,INDEX('Live History'!$B$5:$B$3004,$K2460),INDEX('AH History'!$D$5:$GG$1380,$K2460,AH!$U$10))),NA()),NA())</f>
        <v/>
      </c>
      <c r="F2460" s="32">
        <f>IFERROR(IF(ISNUMBER($A2460),IF(AND(AH!$U$12=1,2455+1=AH!$U$6),IF(AH!$U$4=0,"unavailable",INDEX('Market Data'!$AO$5:$AO$66,AH!$U$4)),IF(AH!$U$5=1,INDEX('Live History'!$E$5:$E$3004,MATCH($A2460,'Live History'!$D$5:$D$3004,1)),INDEX('AH History'!$D$5:$GG$1380,$K2460,AH!$U$10+1))),NA()),NA())</f>
        <v/>
      </c>
      <c r="G2460" s="34">
        <f>IFERROR(IF(ISNUMBER($A2460),IF(AND(AH!$U$12=1,2455+1=AH!$U$6),IF(AH!$U$4=0,"unavailable",INDEX('Market Data'!$AK$5:$AK$66,AH!$U$4)),IF(AH!$U$5=1,INDEX('Live History'!$D$5:$D$3004,MATCH($A2460,'Live History'!$D$5:$D$3004,1)),INDEX('AH History'!$D$5:$GG$1380,$K2460,AH!$U$10+2))),NA()),NA())</f>
        <v/>
      </c>
      <c r="H2460" s="266">
        <f>IFERROR(IF(ISNUMBER($A2460),IF(AND(AH!$U$12=1,2455+1=AH!$U$6),IF(AH!$U$4=0,"unavailable",INDEX('Market Data'!$AP$5:$AP$66,AH!$U$4)),IF(AH!$U$5=1,INDEX('Live History'!$H$5:$H$3004,MATCH($A2460,'Live History'!$G$5:$G$3004,1)),INDEX('AH History'!$B$5:$B$1380,$K2460))),NA()),NA())</f>
        <v/>
      </c>
      <c r="I2460" s="34">
        <f>IFERROR(IF(ISNUMBER($A2460),IF(AND(AH!$U$12=1,2455+1=AH!$U$6),TODAY(),IF(AH!$U$5=1,INDEX('Live History'!$G$5:$G$3004,MATCH($A2460,'Live History'!$G$5:$G$3004,1)),INDEX('AH History'!$C$5:$C$1380,$K2460))),NA()),NA())</f>
        <v/>
      </c>
      <c r="J2460" s="32">
        <f>IFERROR(IF(AND($F2460&gt;0,$H2460&gt;0,$A2460-$G2460&lt;=10,$A2460-$I2460&lt;=5,$G2460&gt;0,$I2460&gt;0),$F2460*$H2460,NA()),NA())</f>
        <v/>
      </c>
      <c r="K2460" s="15">
        <f>IF($A2460="","",IF(AH!$U$5=1,IFERROR(MATCH($A2460,'Live History'!$A$5:$A$3004,0),0),AH!$U$7+2455))</f>
        <v/>
      </c>
      <c r="L2460" s="15">
        <f>IF(ISNUMBER(A2460),TEXT(A2460,"dd-mmm-yy"),"")</f>
        <v/>
      </c>
    </row>
    <row r="2461">
      <c r="A2461" s="14">
        <f>IF(OR(AH!$U$4=0,2456+1&gt;AH!$U$6,AND(AH!$M$5="Bloomberg",AH!$U$5=0)),"",IFERROR(IF(AND(AH!$U$12=1,2456+1=AH!$U$6),TODAY(),IF(AH!$U$5=1,INDEX('Live History'!$A$5:$A$3004,AH!$U$7+2456),INDEX('AH History'!$A$5:$A$1380,AH!$U$7+2456))),""))</f>
        <v/>
      </c>
      <c r="B2461" s="33">
        <f>IFERROR(IF(AH!$U$11=1,NA(),$J2461/$E2461-1),NA())</f>
        <v/>
      </c>
      <c r="C2461" s="269">
        <f>IFERROR(100*$E2461/$E$5,NA())</f>
        <v/>
      </c>
      <c r="D2461" s="269">
        <f>IFERROR(100*$J2461/$J$5,NA())</f>
        <v/>
      </c>
      <c r="E2461" s="32">
        <f>IFERROR(IF(AND(ISNUMBER($A2461),N(IF(AND(AH!$U$12=1,2456+1=AH!$U$6),IF(AH!$U$4=0,"unavailable",INDEX('Market Data'!$AN$5:$AN$66,AH!$U$4)),IF(AH!$U$5=1,INDEX('Live History'!$B$5:$B$3004,$K2461),INDEX('AH History'!$D$5:$GG$1380,$K2461,AH!$U$10))))&gt;0),IF(AND(AH!$U$12=1,2456+1=AH!$U$6),IF(AH!$U$4=0,"unavailable",INDEX('Market Data'!$AN$5:$AN$66,AH!$U$4)),IF(AH!$U$5=1,INDEX('Live History'!$B$5:$B$3004,$K2461),INDEX('AH History'!$D$5:$GG$1380,$K2461,AH!$U$10))),NA()),NA())</f>
        <v/>
      </c>
      <c r="F2461" s="32">
        <f>IFERROR(IF(ISNUMBER($A2461),IF(AND(AH!$U$12=1,2456+1=AH!$U$6),IF(AH!$U$4=0,"unavailable",INDEX('Market Data'!$AO$5:$AO$66,AH!$U$4)),IF(AH!$U$5=1,INDEX('Live History'!$E$5:$E$3004,MATCH($A2461,'Live History'!$D$5:$D$3004,1)),INDEX('AH History'!$D$5:$GG$1380,$K2461,AH!$U$10+1))),NA()),NA())</f>
        <v/>
      </c>
      <c r="G2461" s="34">
        <f>IFERROR(IF(ISNUMBER($A2461),IF(AND(AH!$U$12=1,2456+1=AH!$U$6),IF(AH!$U$4=0,"unavailable",INDEX('Market Data'!$AK$5:$AK$66,AH!$U$4)),IF(AH!$U$5=1,INDEX('Live History'!$D$5:$D$3004,MATCH($A2461,'Live History'!$D$5:$D$3004,1)),INDEX('AH History'!$D$5:$GG$1380,$K2461,AH!$U$10+2))),NA()),NA())</f>
        <v/>
      </c>
      <c r="H2461" s="266">
        <f>IFERROR(IF(ISNUMBER($A2461),IF(AND(AH!$U$12=1,2456+1=AH!$U$6),IF(AH!$U$4=0,"unavailable",INDEX('Market Data'!$AP$5:$AP$66,AH!$U$4)),IF(AH!$U$5=1,INDEX('Live History'!$H$5:$H$3004,MATCH($A2461,'Live History'!$G$5:$G$3004,1)),INDEX('AH History'!$B$5:$B$1380,$K2461))),NA()),NA())</f>
        <v/>
      </c>
      <c r="I2461" s="34">
        <f>IFERROR(IF(ISNUMBER($A2461),IF(AND(AH!$U$12=1,2456+1=AH!$U$6),TODAY(),IF(AH!$U$5=1,INDEX('Live History'!$G$5:$G$3004,MATCH($A2461,'Live History'!$G$5:$G$3004,1)),INDEX('AH History'!$C$5:$C$1380,$K2461))),NA()),NA())</f>
        <v/>
      </c>
      <c r="J2461" s="32">
        <f>IFERROR(IF(AND($F2461&gt;0,$H2461&gt;0,$A2461-$G2461&lt;=10,$A2461-$I2461&lt;=5,$G2461&gt;0,$I2461&gt;0),$F2461*$H2461,NA()),NA())</f>
        <v/>
      </c>
      <c r="K2461" s="15">
        <f>IF($A2461="","",IF(AH!$U$5=1,IFERROR(MATCH($A2461,'Live History'!$A$5:$A$3004,0),0),AH!$U$7+2456))</f>
        <v/>
      </c>
      <c r="L2461" s="15">
        <f>IF(ISNUMBER(A2461),TEXT(A2461,"dd-mmm-yy"),"")</f>
        <v/>
      </c>
    </row>
    <row r="2462">
      <c r="A2462" s="14">
        <f>IF(OR(AH!$U$4=0,2457+1&gt;AH!$U$6,AND(AH!$M$5="Bloomberg",AH!$U$5=0)),"",IFERROR(IF(AND(AH!$U$12=1,2457+1=AH!$U$6),TODAY(),IF(AH!$U$5=1,INDEX('Live History'!$A$5:$A$3004,AH!$U$7+2457),INDEX('AH History'!$A$5:$A$1380,AH!$U$7+2457))),""))</f>
        <v/>
      </c>
      <c r="B2462" s="33">
        <f>IFERROR(IF(AH!$U$11=1,NA(),$J2462/$E2462-1),NA())</f>
        <v/>
      </c>
      <c r="C2462" s="269">
        <f>IFERROR(100*$E2462/$E$5,NA())</f>
        <v/>
      </c>
      <c r="D2462" s="269">
        <f>IFERROR(100*$J2462/$J$5,NA())</f>
        <v/>
      </c>
      <c r="E2462" s="32">
        <f>IFERROR(IF(AND(ISNUMBER($A2462),N(IF(AND(AH!$U$12=1,2457+1=AH!$U$6),IF(AH!$U$4=0,"unavailable",INDEX('Market Data'!$AN$5:$AN$66,AH!$U$4)),IF(AH!$U$5=1,INDEX('Live History'!$B$5:$B$3004,$K2462),INDEX('AH History'!$D$5:$GG$1380,$K2462,AH!$U$10))))&gt;0),IF(AND(AH!$U$12=1,2457+1=AH!$U$6),IF(AH!$U$4=0,"unavailable",INDEX('Market Data'!$AN$5:$AN$66,AH!$U$4)),IF(AH!$U$5=1,INDEX('Live History'!$B$5:$B$3004,$K2462),INDEX('AH History'!$D$5:$GG$1380,$K2462,AH!$U$10))),NA()),NA())</f>
        <v/>
      </c>
      <c r="F2462" s="32">
        <f>IFERROR(IF(ISNUMBER($A2462),IF(AND(AH!$U$12=1,2457+1=AH!$U$6),IF(AH!$U$4=0,"unavailable",INDEX('Market Data'!$AO$5:$AO$66,AH!$U$4)),IF(AH!$U$5=1,INDEX('Live History'!$E$5:$E$3004,MATCH($A2462,'Live History'!$D$5:$D$3004,1)),INDEX('AH History'!$D$5:$GG$1380,$K2462,AH!$U$10+1))),NA()),NA())</f>
        <v/>
      </c>
      <c r="G2462" s="34">
        <f>IFERROR(IF(ISNUMBER($A2462),IF(AND(AH!$U$12=1,2457+1=AH!$U$6),IF(AH!$U$4=0,"unavailable",INDEX('Market Data'!$AK$5:$AK$66,AH!$U$4)),IF(AH!$U$5=1,INDEX('Live History'!$D$5:$D$3004,MATCH($A2462,'Live History'!$D$5:$D$3004,1)),INDEX('AH History'!$D$5:$GG$1380,$K2462,AH!$U$10+2))),NA()),NA())</f>
        <v/>
      </c>
      <c r="H2462" s="266">
        <f>IFERROR(IF(ISNUMBER($A2462),IF(AND(AH!$U$12=1,2457+1=AH!$U$6),IF(AH!$U$4=0,"unavailable",INDEX('Market Data'!$AP$5:$AP$66,AH!$U$4)),IF(AH!$U$5=1,INDEX('Live History'!$H$5:$H$3004,MATCH($A2462,'Live History'!$G$5:$G$3004,1)),INDEX('AH History'!$B$5:$B$1380,$K2462))),NA()),NA())</f>
        <v/>
      </c>
      <c r="I2462" s="34">
        <f>IFERROR(IF(ISNUMBER($A2462),IF(AND(AH!$U$12=1,2457+1=AH!$U$6),TODAY(),IF(AH!$U$5=1,INDEX('Live History'!$G$5:$G$3004,MATCH($A2462,'Live History'!$G$5:$G$3004,1)),INDEX('AH History'!$C$5:$C$1380,$K2462))),NA()),NA())</f>
        <v/>
      </c>
      <c r="J2462" s="32">
        <f>IFERROR(IF(AND($F2462&gt;0,$H2462&gt;0,$A2462-$G2462&lt;=10,$A2462-$I2462&lt;=5,$G2462&gt;0,$I2462&gt;0),$F2462*$H2462,NA()),NA())</f>
        <v/>
      </c>
      <c r="K2462" s="15">
        <f>IF($A2462="","",IF(AH!$U$5=1,IFERROR(MATCH($A2462,'Live History'!$A$5:$A$3004,0),0),AH!$U$7+2457))</f>
        <v/>
      </c>
      <c r="L2462" s="15">
        <f>IF(ISNUMBER(A2462),TEXT(A2462,"dd-mmm-yy"),"")</f>
        <v/>
      </c>
    </row>
    <row r="2463">
      <c r="A2463" s="14">
        <f>IF(OR(AH!$U$4=0,2458+1&gt;AH!$U$6,AND(AH!$M$5="Bloomberg",AH!$U$5=0)),"",IFERROR(IF(AND(AH!$U$12=1,2458+1=AH!$U$6),TODAY(),IF(AH!$U$5=1,INDEX('Live History'!$A$5:$A$3004,AH!$U$7+2458),INDEX('AH History'!$A$5:$A$1380,AH!$U$7+2458))),""))</f>
        <v/>
      </c>
      <c r="B2463" s="33">
        <f>IFERROR(IF(AH!$U$11=1,NA(),$J2463/$E2463-1),NA())</f>
        <v/>
      </c>
      <c r="C2463" s="269">
        <f>IFERROR(100*$E2463/$E$5,NA())</f>
        <v/>
      </c>
      <c r="D2463" s="269">
        <f>IFERROR(100*$J2463/$J$5,NA())</f>
        <v/>
      </c>
      <c r="E2463" s="32">
        <f>IFERROR(IF(AND(ISNUMBER($A2463),N(IF(AND(AH!$U$12=1,2458+1=AH!$U$6),IF(AH!$U$4=0,"unavailable",INDEX('Market Data'!$AN$5:$AN$66,AH!$U$4)),IF(AH!$U$5=1,INDEX('Live History'!$B$5:$B$3004,$K2463),INDEX('AH History'!$D$5:$GG$1380,$K2463,AH!$U$10))))&gt;0),IF(AND(AH!$U$12=1,2458+1=AH!$U$6),IF(AH!$U$4=0,"unavailable",INDEX('Market Data'!$AN$5:$AN$66,AH!$U$4)),IF(AH!$U$5=1,INDEX('Live History'!$B$5:$B$3004,$K2463),INDEX('AH History'!$D$5:$GG$1380,$K2463,AH!$U$10))),NA()),NA())</f>
        <v/>
      </c>
      <c r="F2463" s="32">
        <f>IFERROR(IF(ISNUMBER($A2463),IF(AND(AH!$U$12=1,2458+1=AH!$U$6),IF(AH!$U$4=0,"unavailable",INDEX('Market Data'!$AO$5:$AO$66,AH!$U$4)),IF(AH!$U$5=1,INDEX('Live History'!$E$5:$E$3004,MATCH($A2463,'Live History'!$D$5:$D$3004,1)),INDEX('AH History'!$D$5:$GG$1380,$K2463,AH!$U$10+1))),NA()),NA())</f>
        <v/>
      </c>
      <c r="G2463" s="34">
        <f>IFERROR(IF(ISNUMBER($A2463),IF(AND(AH!$U$12=1,2458+1=AH!$U$6),IF(AH!$U$4=0,"unavailable",INDEX('Market Data'!$AK$5:$AK$66,AH!$U$4)),IF(AH!$U$5=1,INDEX('Live History'!$D$5:$D$3004,MATCH($A2463,'Live History'!$D$5:$D$3004,1)),INDEX('AH History'!$D$5:$GG$1380,$K2463,AH!$U$10+2))),NA()),NA())</f>
        <v/>
      </c>
      <c r="H2463" s="266">
        <f>IFERROR(IF(ISNUMBER($A2463),IF(AND(AH!$U$12=1,2458+1=AH!$U$6),IF(AH!$U$4=0,"unavailable",INDEX('Market Data'!$AP$5:$AP$66,AH!$U$4)),IF(AH!$U$5=1,INDEX('Live History'!$H$5:$H$3004,MATCH($A2463,'Live History'!$G$5:$G$3004,1)),INDEX('AH History'!$B$5:$B$1380,$K2463))),NA()),NA())</f>
        <v/>
      </c>
      <c r="I2463" s="34">
        <f>IFERROR(IF(ISNUMBER($A2463),IF(AND(AH!$U$12=1,2458+1=AH!$U$6),TODAY(),IF(AH!$U$5=1,INDEX('Live History'!$G$5:$G$3004,MATCH($A2463,'Live History'!$G$5:$G$3004,1)),INDEX('AH History'!$C$5:$C$1380,$K2463))),NA()),NA())</f>
        <v/>
      </c>
      <c r="J2463" s="32">
        <f>IFERROR(IF(AND($F2463&gt;0,$H2463&gt;0,$A2463-$G2463&lt;=10,$A2463-$I2463&lt;=5,$G2463&gt;0,$I2463&gt;0),$F2463*$H2463,NA()),NA())</f>
        <v/>
      </c>
      <c r="K2463" s="15">
        <f>IF($A2463="","",IF(AH!$U$5=1,IFERROR(MATCH($A2463,'Live History'!$A$5:$A$3004,0),0),AH!$U$7+2458))</f>
        <v/>
      </c>
      <c r="L2463" s="15">
        <f>IF(ISNUMBER(A2463),TEXT(A2463,"dd-mmm-yy"),"")</f>
        <v/>
      </c>
    </row>
    <row r="2464">
      <c r="A2464" s="14">
        <f>IF(OR(AH!$U$4=0,2459+1&gt;AH!$U$6,AND(AH!$M$5="Bloomberg",AH!$U$5=0)),"",IFERROR(IF(AND(AH!$U$12=1,2459+1=AH!$U$6),TODAY(),IF(AH!$U$5=1,INDEX('Live History'!$A$5:$A$3004,AH!$U$7+2459),INDEX('AH History'!$A$5:$A$1380,AH!$U$7+2459))),""))</f>
        <v/>
      </c>
      <c r="B2464" s="33">
        <f>IFERROR(IF(AH!$U$11=1,NA(),$J2464/$E2464-1),NA())</f>
        <v/>
      </c>
      <c r="C2464" s="269">
        <f>IFERROR(100*$E2464/$E$5,NA())</f>
        <v/>
      </c>
      <c r="D2464" s="269">
        <f>IFERROR(100*$J2464/$J$5,NA())</f>
        <v/>
      </c>
      <c r="E2464" s="32">
        <f>IFERROR(IF(AND(ISNUMBER($A2464),N(IF(AND(AH!$U$12=1,2459+1=AH!$U$6),IF(AH!$U$4=0,"unavailable",INDEX('Market Data'!$AN$5:$AN$66,AH!$U$4)),IF(AH!$U$5=1,INDEX('Live History'!$B$5:$B$3004,$K2464),INDEX('AH History'!$D$5:$GG$1380,$K2464,AH!$U$10))))&gt;0),IF(AND(AH!$U$12=1,2459+1=AH!$U$6),IF(AH!$U$4=0,"unavailable",INDEX('Market Data'!$AN$5:$AN$66,AH!$U$4)),IF(AH!$U$5=1,INDEX('Live History'!$B$5:$B$3004,$K2464),INDEX('AH History'!$D$5:$GG$1380,$K2464,AH!$U$10))),NA()),NA())</f>
        <v/>
      </c>
      <c r="F2464" s="32">
        <f>IFERROR(IF(ISNUMBER($A2464),IF(AND(AH!$U$12=1,2459+1=AH!$U$6),IF(AH!$U$4=0,"unavailable",INDEX('Market Data'!$AO$5:$AO$66,AH!$U$4)),IF(AH!$U$5=1,INDEX('Live History'!$E$5:$E$3004,MATCH($A2464,'Live History'!$D$5:$D$3004,1)),INDEX('AH History'!$D$5:$GG$1380,$K2464,AH!$U$10+1))),NA()),NA())</f>
        <v/>
      </c>
      <c r="G2464" s="34">
        <f>IFERROR(IF(ISNUMBER($A2464),IF(AND(AH!$U$12=1,2459+1=AH!$U$6),IF(AH!$U$4=0,"unavailable",INDEX('Market Data'!$AK$5:$AK$66,AH!$U$4)),IF(AH!$U$5=1,INDEX('Live History'!$D$5:$D$3004,MATCH($A2464,'Live History'!$D$5:$D$3004,1)),INDEX('AH History'!$D$5:$GG$1380,$K2464,AH!$U$10+2))),NA()),NA())</f>
        <v/>
      </c>
      <c r="H2464" s="266">
        <f>IFERROR(IF(ISNUMBER($A2464),IF(AND(AH!$U$12=1,2459+1=AH!$U$6),IF(AH!$U$4=0,"unavailable",INDEX('Market Data'!$AP$5:$AP$66,AH!$U$4)),IF(AH!$U$5=1,INDEX('Live History'!$H$5:$H$3004,MATCH($A2464,'Live History'!$G$5:$G$3004,1)),INDEX('AH History'!$B$5:$B$1380,$K2464))),NA()),NA())</f>
        <v/>
      </c>
      <c r="I2464" s="34">
        <f>IFERROR(IF(ISNUMBER($A2464),IF(AND(AH!$U$12=1,2459+1=AH!$U$6),TODAY(),IF(AH!$U$5=1,INDEX('Live History'!$G$5:$G$3004,MATCH($A2464,'Live History'!$G$5:$G$3004,1)),INDEX('AH History'!$C$5:$C$1380,$K2464))),NA()),NA())</f>
        <v/>
      </c>
      <c r="J2464" s="32">
        <f>IFERROR(IF(AND($F2464&gt;0,$H2464&gt;0,$A2464-$G2464&lt;=10,$A2464-$I2464&lt;=5,$G2464&gt;0,$I2464&gt;0),$F2464*$H2464,NA()),NA())</f>
        <v/>
      </c>
      <c r="K2464" s="15">
        <f>IF($A2464="","",IF(AH!$U$5=1,IFERROR(MATCH($A2464,'Live History'!$A$5:$A$3004,0),0),AH!$U$7+2459))</f>
        <v/>
      </c>
      <c r="L2464" s="15">
        <f>IF(ISNUMBER(A2464),TEXT(A2464,"dd-mmm-yy"),"")</f>
        <v/>
      </c>
    </row>
    <row r="2465">
      <c r="A2465" s="14">
        <f>IF(OR(AH!$U$4=0,2460+1&gt;AH!$U$6,AND(AH!$M$5="Bloomberg",AH!$U$5=0)),"",IFERROR(IF(AND(AH!$U$12=1,2460+1=AH!$U$6),TODAY(),IF(AH!$U$5=1,INDEX('Live History'!$A$5:$A$3004,AH!$U$7+2460),INDEX('AH History'!$A$5:$A$1380,AH!$U$7+2460))),""))</f>
        <v/>
      </c>
      <c r="B2465" s="33">
        <f>IFERROR(IF(AH!$U$11=1,NA(),$J2465/$E2465-1),NA())</f>
        <v/>
      </c>
      <c r="C2465" s="269">
        <f>IFERROR(100*$E2465/$E$5,NA())</f>
        <v/>
      </c>
      <c r="D2465" s="269">
        <f>IFERROR(100*$J2465/$J$5,NA())</f>
        <v/>
      </c>
      <c r="E2465" s="32">
        <f>IFERROR(IF(AND(ISNUMBER($A2465),N(IF(AND(AH!$U$12=1,2460+1=AH!$U$6),IF(AH!$U$4=0,"unavailable",INDEX('Market Data'!$AN$5:$AN$66,AH!$U$4)),IF(AH!$U$5=1,INDEX('Live History'!$B$5:$B$3004,$K2465),INDEX('AH History'!$D$5:$GG$1380,$K2465,AH!$U$10))))&gt;0),IF(AND(AH!$U$12=1,2460+1=AH!$U$6),IF(AH!$U$4=0,"unavailable",INDEX('Market Data'!$AN$5:$AN$66,AH!$U$4)),IF(AH!$U$5=1,INDEX('Live History'!$B$5:$B$3004,$K2465),INDEX('AH History'!$D$5:$GG$1380,$K2465,AH!$U$10))),NA()),NA())</f>
        <v/>
      </c>
      <c r="F2465" s="32">
        <f>IFERROR(IF(ISNUMBER($A2465),IF(AND(AH!$U$12=1,2460+1=AH!$U$6),IF(AH!$U$4=0,"unavailable",INDEX('Market Data'!$AO$5:$AO$66,AH!$U$4)),IF(AH!$U$5=1,INDEX('Live History'!$E$5:$E$3004,MATCH($A2465,'Live History'!$D$5:$D$3004,1)),INDEX('AH History'!$D$5:$GG$1380,$K2465,AH!$U$10+1))),NA()),NA())</f>
        <v/>
      </c>
      <c r="G2465" s="34">
        <f>IFERROR(IF(ISNUMBER($A2465),IF(AND(AH!$U$12=1,2460+1=AH!$U$6),IF(AH!$U$4=0,"unavailable",INDEX('Market Data'!$AK$5:$AK$66,AH!$U$4)),IF(AH!$U$5=1,INDEX('Live History'!$D$5:$D$3004,MATCH($A2465,'Live History'!$D$5:$D$3004,1)),INDEX('AH History'!$D$5:$GG$1380,$K2465,AH!$U$10+2))),NA()),NA())</f>
        <v/>
      </c>
      <c r="H2465" s="266">
        <f>IFERROR(IF(ISNUMBER($A2465),IF(AND(AH!$U$12=1,2460+1=AH!$U$6),IF(AH!$U$4=0,"unavailable",INDEX('Market Data'!$AP$5:$AP$66,AH!$U$4)),IF(AH!$U$5=1,INDEX('Live History'!$H$5:$H$3004,MATCH($A2465,'Live History'!$G$5:$G$3004,1)),INDEX('AH History'!$B$5:$B$1380,$K2465))),NA()),NA())</f>
        <v/>
      </c>
      <c r="I2465" s="34">
        <f>IFERROR(IF(ISNUMBER($A2465),IF(AND(AH!$U$12=1,2460+1=AH!$U$6),TODAY(),IF(AH!$U$5=1,INDEX('Live History'!$G$5:$G$3004,MATCH($A2465,'Live History'!$G$5:$G$3004,1)),INDEX('AH History'!$C$5:$C$1380,$K2465))),NA()),NA())</f>
        <v/>
      </c>
      <c r="J2465" s="32">
        <f>IFERROR(IF(AND($F2465&gt;0,$H2465&gt;0,$A2465-$G2465&lt;=10,$A2465-$I2465&lt;=5,$G2465&gt;0,$I2465&gt;0),$F2465*$H2465,NA()),NA())</f>
        <v/>
      </c>
      <c r="K2465" s="15">
        <f>IF($A2465="","",IF(AH!$U$5=1,IFERROR(MATCH($A2465,'Live History'!$A$5:$A$3004,0),0),AH!$U$7+2460))</f>
        <v/>
      </c>
      <c r="L2465" s="15">
        <f>IF(ISNUMBER(A2465),TEXT(A2465,"dd-mmm-yy"),"")</f>
        <v/>
      </c>
    </row>
    <row r="2466">
      <c r="A2466" s="14">
        <f>IF(OR(AH!$U$4=0,2461+1&gt;AH!$U$6,AND(AH!$M$5="Bloomberg",AH!$U$5=0)),"",IFERROR(IF(AND(AH!$U$12=1,2461+1=AH!$U$6),TODAY(),IF(AH!$U$5=1,INDEX('Live History'!$A$5:$A$3004,AH!$U$7+2461),INDEX('AH History'!$A$5:$A$1380,AH!$U$7+2461))),""))</f>
        <v/>
      </c>
      <c r="B2466" s="33">
        <f>IFERROR(IF(AH!$U$11=1,NA(),$J2466/$E2466-1),NA())</f>
        <v/>
      </c>
      <c r="C2466" s="269">
        <f>IFERROR(100*$E2466/$E$5,NA())</f>
        <v/>
      </c>
      <c r="D2466" s="269">
        <f>IFERROR(100*$J2466/$J$5,NA())</f>
        <v/>
      </c>
      <c r="E2466" s="32">
        <f>IFERROR(IF(AND(ISNUMBER($A2466),N(IF(AND(AH!$U$12=1,2461+1=AH!$U$6),IF(AH!$U$4=0,"unavailable",INDEX('Market Data'!$AN$5:$AN$66,AH!$U$4)),IF(AH!$U$5=1,INDEX('Live History'!$B$5:$B$3004,$K2466),INDEX('AH History'!$D$5:$GG$1380,$K2466,AH!$U$10))))&gt;0),IF(AND(AH!$U$12=1,2461+1=AH!$U$6),IF(AH!$U$4=0,"unavailable",INDEX('Market Data'!$AN$5:$AN$66,AH!$U$4)),IF(AH!$U$5=1,INDEX('Live History'!$B$5:$B$3004,$K2466),INDEX('AH History'!$D$5:$GG$1380,$K2466,AH!$U$10))),NA()),NA())</f>
        <v/>
      </c>
      <c r="F2466" s="32">
        <f>IFERROR(IF(ISNUMBER($A2466),IF(AND(AH!$U$12=1,2461+1=AH!$U$6),IF(AH!$U$4=0,"unavailable",INDEX('Market Data'!$AO$5:$AO$66,AH!$U$4)),IF(AH!$U$5=1,INDEX('Live History'!$E$5:$E$3004,MATCH($A2466,'Live History'!$D$5:$D$3004,1)),INDEX('AH History'!$D$5:$GG$1380,$K2466,AH!$U$10+1))),NA()),NA())</f>
        <v/>
      </c>
      <c r="G2466" s="34">
        <f>IFERROR(IF(ISNUMBER($A2466),IF(AND(AH!$U$12=1,2461+1=AH!$U$6),IF(AH!$U$4=0,"unavailable",INDEX('Market Data'!$AK$5:$AK$66,AH!$U$4)),IF(AH!$U$5=1,INDEX('Live History'!$D$5:$D$3004,MATCH($A2466,'Live History'!$D$5:$D$3004,1)),INDEX('AH History'!$D$5:$GG$1380,$K2466,AH!$U$10+2))),NA()),NA())</f>
        <v/>
      </c>
      <c r="H2466" s="266">
        <f>IFERROR(IF(ISNUMBER($A2466),IF(AND(AH!$U$12=1,2461+1=AH!$U$6),IF(AH!$U$4=0,"unavailable",INDEX('Market Data'!$AP$5:$AP$66,AH!$U$4)),IF(AH!$U$5=1,INDEX('Live History'!$H$5:$H$3004,MATCH($A2466,'Live History'!$G$5:$G$3004,1)),INDEX('AH History'!$B$5:$B$1380,$K2466))),NA()),NA())</f>
        <v/>
      </c>
      <c r="I2466" s="34">
        <f>IFERROR(IF(ISNUMBER($A2466),IF(AND(AH!$U$12=1,2461+1=AH!$U$6),TODAY(),IF(AH!$U$5=1,INDEX('Live History'!$G$5:$G$3004,MATCH($A2466,'Live History'!$G$5:$G$3004,1)),INDEX('AH History'!$C$5:$C$1380,$K2466))),NA()),NA())</f>
        <v/>
      </c>
      <c r="J2466" s="32">
        <f>IFERROR(IF(AND($F2466&gt;0,$H2466&gt;0,$A2466-$G2466&lt;=10,$A2466-$I2466&lt;=5,$G2466&gt;0,$I2466&gt;0),$F2466*$H2466,NA()),NA())</f>
        <v/>
      </c>
      <c r="K2466" s="15">
        <f>IF($A2466="","",IF(AH!$U$5=1,IFERROR(MATCH($A2466,'Live History'!$A$5:$A$3004,0),0),AH!$U$7+2461))</f>
        <v/>
      </c>
      <c r="L2466" s="15">
        <f>IF(ISNUMBER(A2466),TEXT(A2466,"dd-mmm-yy"),"")</f>
        <v/>
      </c>
    </row>
    <row r="2467">
      <c r="A2467" s="14">
        <f>IF(OR(AH!$U$4=0,2462+1&gt;AH!$U$6,AND(AH!$M$5="Bloomberg",AH!$U$5=0)),"",IFERROR(IF(AND(AH!$U$12=1,2462+1=AH!$U$6),TODAY(),IF(AH!$U$5=1,INDEX('Live History'!$A$5:$A$3004,AH!$U$7+2462),INDEX('AH History'!$A$5:$A$1380,AH!$U$7+2462))),""))</f>
        <v/>
      </c>
      <c r="B2467" s="33">
        <f>IFERROR(IF(AH!$U$11=1,NA(),$J2467/$E2467-1),NA())</f>
        <v/>
      </c>
      <c r="C2467" s="269">
        <f>IFERROR(100*$E2467/$E$5,NA())</f>
        <v/>
      </c>
      <c r="D2467" s="269">
        <f>IFERROR(100*$J2467/$J$5,NA())</f>
        <v/>
      </c>
      <c r="E2467" s="32">
        <f>IFERROR(IF(AND(ISNUMBER($A2467),N(IF(AND(AH!$U$12=1,2462+1=AH!$U$6),IF(AH!$U$4=0,"unavailable",INDEX('Market Data'!$AN$5:$AN$66,AH!$U$4)),IF(AH!$U$5=1,INDEX('Live History'!$B$5:$B$3004,$K2467),INDEX('AH History'!$D$5:$GG$1380,$K2467,AH!$U$10))))&gt;0),IF(AND(AH!$U$12=1,2462+1=AH!$U$6),IF(AH!$U$4=0,"unavailable",INDEX('Market Data'!$AN$5:$AN$66,AH!$U$4)),IF(AH!$U$5=1,INDEX('Live History'!$B$5:$B$3004,$K2467),INDEX('AH History'!$D$5:$GG$1380,$K2467,AH!$U$10))),NA()),NA())</f>
        <v/>
      </c>
      <c r="F2467" s="32">
        <f>IFERROR(IF(ISNUMBER($A2467),IF(AND(AH!$U$12=1,2462+1=AH!$U$6),IF(AH!$U$4=0,"unavailable",INDEX('Market Data'!$AO$5:$AO$66,AH!$U$4)),IF(AH!$U$5=1,INDEX('Live History'!$E$5:$E$3004,MATCH($A2467,'Live History'!$D$5:$D$3004,1)),INDEX('AH History'!$D$5:$GG$1380,$K2467,AH!$U$10+1))),NA()),NA())</f>
        <v/>
      </c>
      <c r="G2467" s="34">
        <f>IFERROR(IF(ISNUMBER($A2467),IF(AND(AH!$U$12=1,2462+1=AH!$U$6),IF(AH!$U$4=0,"unavailable",INDEX('Market Data'!$AK$5:$AK$66,AH!$U$4)),IF(AH!$U$5=1,INDEX('Live History'!$D$5:$D$3004,MATCH($A2467,'Live History'!$D$5:$D$3004,1)),INDEX('AH History'!$D$5:$GG$1380,$K2467,AH!$U$10+2))),NA()),NA())</f>
        <v/>
      </c>
      <c r="H2467" s="266">
        <f>IFERROR(IF(ISNUMBER($A2467),IF(AND(AH!$U$12=1,2462+1=AH!$U$6),IF(AH!$U$4=0,"unavailable",INDEX('Market Data'!$AP$5:$AP$66,AH!$U$4)),IF(AH!$U$5=1,INDEX('Live History'!$H$5:$H$3004,MATCH($A2467,'Live History'!$G$5:$G$3004,1)),INDEX('AH History'!$B$5:$B$1380,$K2467))),NA()),NA())</f>
        <v/>
      </c>
      <c r="I2467" s="34">
        <f>IFERROR(IF(ISNUMBER($A2467),IF(AND(AH!$U$12=1,2462+1=AH!$U$6),TODAY(),IF(AH!$U$5=1,INDEX('Live History'!$G$5:$G$3004,MATCH($A2467,'Live History'!$G$5:$G$3004,1)),INDEX('AH History'!$C$5:$C$1380,$K2467))),NA()),NA())</f>
        <v/>
      </c>
      <c r="J2467" s="32">
        <f>IFERROR(IF(AND($F2467&gt;0,$H2467&gt;0,$A2467-$G2467&lt;=10,$A2467-$I2467&lt;=5,$G2467&gt;0,$I2467&gt;0),$F2467*$H2467,NA()),NA())</f>
        <v/>
      </c>
      <c r="K2467" s="15">
        <f>IF($A2467="","",IF(AH!$U$5=1,IFERROR(MATCH($A2467,'Live History'!$A$5:$A$3004,0),0),AH!$U$7+2462))</f>
        <v/>
      </c>
      <c r="L2467" s="15">
        <f>IF(ISNUMBER(A2467),TEXT(A2467,"dd-mmm-yy"),"")</f>
        <v/>
      </c>
    </row>
    <row r="2468">
      <c r="A2468" s="14">
        <f>IF(OR(AH!$U$4=0,2463+1&gt;AH!$U$6,AND(AH!$M$5="Bloomberg",AH!$U$5=0)),"",IFERROR(IF(AND(AH!$U$12=1,2463+1=AH!$U$6),TODAY(),IF(AH!$U$5=1,INDEX('Live History'!$A$5:$A$3004,AH!$U$7+2463),INDEX('AH History'!$A$5:$A$1380,AH!$U$7+2463))),""))</f>
        <v/>
      </c>
      <c r="B2468" s="33">
        <f>IFERROR(IF(AH!$U$11=1,NA(),$J2468/$E2468-1),NA())</f>
        <v/>
      </c>
      <c r="C2468" s="269">
        <f>IFERROR(100*$E2468/$E$5,NA())</f>
        <v/>
      </c>
      <c r="D2468" s="269">
        <f>IFERROR(100*$J2468/$J$5,NA())</f>
        <v/>
      </c>
      <c r="E2468" s="32">
        <f>IFERROR(IF(AND(ISNUMBER($A2468),N(IF(AND(AH!$U$12=1,2463+1=AH!$U$6),IF(AH!$U$4=0,"unavailable",INDEX('Market Data'!$AN$5:$AN$66,AH!$U$4)),IF(AH!$U$5=1,INDEX('Live History'!$B$5:$B$3004,$K2468),INDEX('AH History'!$D$5:$GG$1380,$K2468,AH!$U$10))))&gt;0),IF(AND(AH!$U$12=1,2463+1=AH!$U$6),IF(AH!$U$4=0,"unavailable",INDEX('Market Data'!$AN$5:$AN$66,AH!$U$4)),IF(AH!$U$5=1,INDEX('Live History'!$B$5:$B$3004,$K2468),INDEX('AH History'!$D$5:$GG$1380,$K2468,AH!$U$10))),NA()),NA())</f>
        <v/>
      </c>
      <c r="F2468" s="32">
        <f>IFERROR(IF(ISNUMBER($A2468),IF(AND(AH!$U$12=1,2463+1=AH!$U$6),IF(AH!$U$4=0,"unavailable",INDEX('Market Data'!$AO$5:$AO$66,AH!$U$4)),IF(AH!$U$5=1,INDEX('Live History'!$E$5:$E$3004,MATCH($A2468,'Live History'!$D$5:$D$3004,1)),INDEX('AH History'!$D$5:$GG$1380,$K2468,AH!$U$10+1))),NA()),NA())</f>
        <v/>
      </c>
      <c r="G2468" s="34">
        <f>IFERROR(IF(ISNUMBER($A2468),IF(AND(AH!$U$12=1,2463+1=AH!$U$6),IF(AH!$U$4=0,"unavailable",INDEX('Market Data'!$AK$5:$AK$66,AH!$U$4)),IF(AH!$U$5=1,INDEX('Live History'!$D$5:$D$3004,MATCH($A2468,'Live History'!$D$5:$D$3004,1)),INDEX('AH History'!$D$5:$GG$1380,$K2468,AH!$U$10+2))),NA()),NA())</f>
        <v/>
      </c>
      <c r="H2468" s="266">
        <f>IFERROR(IF(ISNUMBER($A2468),IF(AND(AH!$U$12=1,2463+1=AH!$U$6),IF(AH!$U$4=0,"unavailable",INDEX('Market Data'!$AP$5:$AP$66,AH!$U$4)),IF(AH!$U$5=1,INDEX('Live History'!$H$5:$H$3004,MATCH($A2468,'Live History'!$G$5:$G$3004,1)),INDEX('AH History'!$B$5:$B$1380,$K2468))),NA()),NA())</f>
        <v/>
      </c>
      <c r="I2468" s="34">
        <f>IFERROR(IF(ISNUMBER($A2468),IF(AND(AH!$U$12=1,2463+1=AH!$U$6),TODAY(),IF(AH!$U$5=1,INDEX('Live History'!$G$5:$G$3004,MATCH($A2468,'Live History'!$G$5:$G$3004,1)),INDEX('AH History'!$C$5:$C$1380,$K2468))),NA()),NA())</f>
        <v/>
      </c>
      <c r="J2468" s="32">
        <f>IFERROR(IF(AND($F2468&gt;0,$H2468&gt;0,$A2468-$G2468&lt;=10,$A2468-$I2468&lt;=5,$G2468&gt;0,$I2468&gt;0),$F2468*$H2468,NA()),NA())</f>
        <v/>
      </c>
      <c r="K2468" s="15">
        <f>IF($A2468="","",IF(AH!$U$5=1,IFERROR(MATCH($A2468,'Live History'!$A$5:$A$3004,0),0),AH!$U$7+2463))</f>
        <v/>
      </c>
      <c r="L2468" s="15">
        <f>IF(ISNUMBER(A2468),TEXT(A2468,"dd-mmm-yy"),"")</f>
        <v/>
      </c>
    </row>
    <row r="2469">
      <c r="A2469" s="14">
        <f>IF(OR(AH!$U$4=0,2464+1&gt;AH!$U$6,AND(AH!$M$5="Bloomberg",AH!$U$5=0)),"",IFERROR(IF(AND(AH!$U$12=1,2464+1=AH!$U$6),TODAY(),IF(AH!$U$5=1,INDEX('Live History'!$A$5:$A$3004,AH!$U$7+2464),INDEX('AH History'!$A$5:$A$1380,AH!$U$7+2464))),""))</f>
        <v/>
      </c>
      <c r="B2469" s="33">
        <f>IFERROR(IF(AH!$U$11=1,NA(),$J2469/$E2469-1),NA())</f>
        <v/>
      </c>
      <c r="C2469" s="269">
        <f>IFERROR(100*$E2469/$E$5,NA())</f>
        <v/>
      </c>
      <c r="D2469" s="269">
        <f>IFERROR(100*$J2469/$J$5,NA())</f>
        <v/>
      </c>
      <c r="E2469" s="32">
        <f>IFERROR(IF(AND(ISNUMBER($A2469),N(IF(AND(AH!$U$12=1,2464+1=AH!$U$6),IF(AH!$U$4=0,"unavailable",INDEX('Market Data'!$AN$5:$AN$66,AH!$U$4)),IF(AH!$U$5=1,INDEX('Live History'!$B$5:$B$3004,$K2469),INDEX('AH History'!$D$5:$GG$1380,$K2469,AH!$U$10))))&gt;0),IF(AND(AH!$U$12=1,2464+1=AH!$U$6),IF(AH!$U$4=0,"unavailable",INDEX('Market Data'!$AN$5:$AN$66,AH!$U$4)),IF(AH!$U$5=1,INDEX('Live History'!$B$5:$B$3004,$K2469),INDEX('AH History'!$D$5:$GG$1380,$K2469,AH!$U$10))),NA()),NA())</f>
        <v/>
      </c>
      <c r="F2469" s="32">
        <f>IFERROR(IF(ISNUMBER($A2469),IF(AND(AH!$U$12=1,2464+1=AH!$U$6),IF(AH!$U$4=0,"unavailable",INDEX('Market Data'!$AO$5:$AO$66,AH!$U$4)),IF(AH!$U$5=1,INDEX('Live History'!$E$5:$E$3004,MATCH($A2469,'Live History'!$D$5:$D$3004,1)),INDEX('AH History'!$D$5:$GG$1380,$K2469,AH!$U$10+1))),NA()),NA())</f>
        <v/>
      </c>
      <c r="G2469" s="34">
        <f>IFERROR(IF(ISNUMBER($A2469),IF(AND(AH!$U$12=1,2464+1=AH!$U$6),IF(AH!$U$4=0,"unavailable",INDEX('Market Data'!$AK$5:$AK$66,AH!$U$4)),IF(AH!$U$5=1,INDEX('Live History'!$D$5:$D$3004,MATCH($A2469,'Live History'!$D$5:$D$3004,1)),INDEX('AH History'!$D$5:$GG$1380,$K2469,AH!$U$10+2))),NA()),NA())</f>
        <v/>
      </c>
      <c r="H2469" s="266">
        <f>IFERROR(IF(ISNUMBER($A2469),IF(AND(AH!$U$12=1,2464+1=AH!$U$6),IF(AH!$U$4=0,"unavailable",INDEX('Market Data'!$AP$5:$AP$66,AH!$U$4)),IF(AH!$U$5=1,INDEX('Live History'!$H$5:$H$3004,MATCH($A2469,'Live History'!$G$5:$G$3004,1)),INDEX('AH History'!$B$5:$B$1380,$K2469))),NA()),NA())</f>
        <v/>
      </c>
      <c r="I2469" s="34">
        <f>IFERROR(IF(ISNUMBER($A2469),IF(AND(AH!$U$12=1,2464+1=AH!$U$6),TODAY(),IF(AH!$U$5=1,INDEX('Live History'!$G$5:$G$3004,MATCH($A2469,'Live History'!$G$5:$G$3004,1)),INDEX('AH History'!$C$5:$C$1380,$K2469))),NA()),NA())</f>
        <v/>
      </c>
      <c r="J2469" s="32">
        <f>IFERROR(IF(AND($F2469&gt;0,$H2469&gt;0,$A2469-$G2469&lt;=10,$A2469-$I2469&lt;=5,$G2469&gt;0,$I2469&gt;0),$F2469*$H2469,NA()),NA())</f>
        <v/>
      </c>
      <c r="K2469" s="15">
        <f>IF($A2469="","",IF(AH!$U$5=1,IFERROR(MATCH($A2469,'Live History'!$A$5:$A$3004,0),0),AH!$U$7+2464))</f>
        <v/>
      </c>
      <c r="L2469" s="15">
        <f>IF(ISNUMBER(A2469),TEXT(A2469,"dd-mmm-yy"),"")</f>
        <v/>
      </c>
    </row>
    <row r="2470">
      <c r="A2470" s="14">
        <f>IF(OR(AH!$U$4=0,2465+1&gt;AH!$U$6,AND(AH!$M$5="Bloomberg",AH!$U$5=0)),"",IFERROR(IF(AND(AH!$U$12=1,2465+1=AH!$U$6),TODAY(),IF(AH!$U$5=1,INDEX('Live History'!$A$5:$A$3004,AH!$U$7+2465),INDEX('AH History'!$A$5:$A$1380,AH!$U$7+2465))),""))</f>
        <v/>
      </c>
      <c r="B2470" s="33">
        <f>IFERROR(IF(AH!$U$11=1,NA(),$J2470/$E2470-1),NA())</f>
        <v/>
      </c>
      <c r="C2470" s="269">
        <f>IFERROR(100*$E2470/$E$5,NA())</f>
        <v/>
      </c>
      <c r="D2470" s="269">
        <f>IFERROR(100*$J2470/$J$5,NA())</f>
        <v/>
      </c>
      <c r="E2470" s="32">
        <f>IFERROR(IF(AND(ISNUMBER($A2470),N(IF(AND(AH!$U$12=1,2465+1=AH!$U$6),IF(AH!$U$4=0,"unavailable",INDEX('Market Data'!$AN$5:$AN$66,AH!$U$4)),IF(AH!$U$5=1,INDEX('Live History'!$B$5:$B$3004,$K2470),INDEX('AH History'!$D$5:$GG$1380,$K2470,AH!$U$10))))&gt;0),IF(AND(AH!$U$12=1,2465+1=AH!$U$6),IF(AH!$U$4=0,"unavailable",INDEX('Market Data'!$AN$5:$AN$66,AH!$U$4)),IF(AH!$U$5=1,INDEX('Live History'!$B$5:$B$3004,$K2470),INDEX('AH History'!$D$5:$GG$1380,$K2470,AH!$U$10))),NA()),NA())</f>
        <v/>
      </c>
      <c r="F2470" s="32">
        <f>IFERROR(IF(ISNUMBER($A2470),IF(AND(AH!$U$12=1,2465+1=AH!$U$6),IF(AH!$U$4=0,"unavailable",INDEX('Market Data'!$AO$5:$AO$66,AH!$U$4)),IF(AH!$U$5=1,INDEX('Live History'!$E$5:$E$3004,MATCH($A2470,'Live History'!$D$5:$D$3004,1)),INDEX('AH History'!$D$5:$GG$1380,$K2470,AH!$U$10+1))),NA()),NA())</f>
        <v/>
      </c>
      <c r="G2470" s="34">
        <f>IFERROR(IF(ISNUMBER($A2470),IF(AND(AH!$U$12=1,2465+1=AH!$U$6),IF(AH!$U$4=0,"unavailable",INDEX('Market Data'!$AK$5:$AK$66,AH!$U$4)),IF(AH!$U$5=1,INDEX('Live History'!$D$5:$D$3004,MATCH($A2470,'Live History'!$D$5:$D$3004,1)),INDEX('AH History'!$D$5:$GG$1380,$K2470,AH!$U$10+2))),NA()),NA())</f>
        <v/>
      </c>
      <c r="H2470" s="266">
        <f>IFERROR(IF(ISNUMBER($A2470),IF(AND(AH!$U$12=1,2465+1=AH!$U$6),IF(AH!$U$4=0,"unavailable",INDEX('Market Data'!$AP$5:$AP$66,AH!$U$4)),IF(AH!$U$5=1,INDEX('Live History'!$H$5:$H$3004,MATCH($A2470,'Live History'!$G$5:$G$3004,1)),INDEX('AH History'!$B$5:$B$1380,$K2470))),NA()),NA())</f>
        <v/>
      </c>
      <c r="I2470" s="34">
        <f>IFERROR(IF(ISNUMBER($A2470),IF(AND(AH!$U$12=1,2465+1=AH!$U$6),TODAY(),IF(AH!$U$5=1,INDEX('Live History'!$G$5:$G$3004,MATCH($A2470,'Live History'!$G$5:$G$3004,1)),INDEX('AH History'!$C$5:$C$1380,$K2470))),NA()),NA())</f>
        <v/>
      </c>
      <c r="J2470" s="32">
        <f>IFERROR(IF(AND($F2470&gt;0,$H2470&gt;0,$A2470-$G2470&lt;=10,$A2470-$I2470&lt;=5,$G2470&gt;0,$I2470&gt;0),$F2470*$H2470,NA()),NA())</f>
        <v/>
      </c>
      <c r="K2470" s="15">
        <f>IF($A2470="","",IF(AH!$U$5=1,IFERROR(MATCH($A2470,'Live History'!$A$5:$A$3004,0),0),AH!$U$7+2465))</f>
        <v/>
      </c>
      <c r="L2470" s="15">
        <f>IF(ISNUMBER(A2470),TEXT(A2470,"dd-mmm-yy"),"")</f>
        <v/>
      </c>
    </row>
    <row r="2471">
      <c r="A2471" s="14">
        <f>IF(OR(AH!$U$4=0,2466+1&gt;AH!$U$6,AND(AH!$M$5="Bloomberg",AH!$U$5=0)),"",IFERROR(IF(AND(AH!$U$12=1,2466+1=AH!$U$6),TODAY(),IF(AH!$U$5=1,INDEX('Live History'!$A$5:$A$3004,AH!$U$7+2466),INDEX('AH History'!$A$5:$A$1380,AH!$U$7+2466))),""))</f>
        <v/>
      </c>
      <c r="B2471" s="33">
        <f>IFERROR(IF(AH!$U$11=1,NA(),$J2471/$E2471-1),NA())</f>
        <v/>
      </c>
      <c r="C2471" s="269">
        <f>IFERROR(100*$E2471/$E$5,NA())</f>
        <v/>
      </c>
      <c r="D2471" s="269">
        <f>IFERROR(100*$J2471/$J$5,NA())</f>
        <v/>
      </c>
      <c r="E2471" s="32">
        <f>IFERROR(IF(AND(ISNUMBER($A2471),N(IF(AND(AH!$U$12=1,2466+1=AH!$U$6),IF(AH!$U$4=0,"unavailable",INDEX('Market Data'!$AN$5:$AN$66,AH!$U$4)),IF(AH!$U$5=1,INDEX('Live History'!$B$5:$B$3004,$K2471),INDEX('AH History'!$D$5:$GG$1380,$K2471,AH!$U$10))))&gt;0),IF(AND(AH!$U$12=1,2466+1=AH!$U$6),IF(AH!$U$4=0,"unavailable",INDEX('Market Data'!$AN$5:$AN$66,AH!$U$4)),IF(AH!$U$5=1,INDEX('Live History'!$B$5:$B$3004,$K2471),INDEX('AH History'!$D$5:$GG$1380,$K2471,AH!$U$10))),NA()),NA())</f>
        <v/>
      </c>
      <c r="F2471" s="32">
        <f>IFERROR(IF(ISNUMBER($A2471),IF(AND(AH!$U$12=1,2466+1=AH!$U$6),IF(AH!$U$4=0,"unavailable",INDEX('Market Data'!$AO$5:$AO$66,AH!$U$4)),IF(AH!$U$5=1,INDEX('Live History'!$E$5:$E$3004,MATCH($A2471,'Live History'!$D$5:$D$3004,1)),INDEX('AH History'!$D$5:$GG$1380,$K2471,AH!$U$10+1))),NA()),NA())</f>
        <v/>
      </c>
      <c r="G2471" s="34">
        <f>IFERROR(IF(ISNUMBER($A2471),IF(AND(AH!$U$12=1,2466+1=AH!$U$6),IF(AH!$U$4=0,"unavailable",INDEX('Market Data'!$AK$5:$AK$66,AH!$U$4)),IF(AH!$U$5=1,INDEX('Live History'!$D$5:$D$3004,MATCH($A2471,'Live History'!$D$5:$D$3004,1)),INDEX('AH History'!$D$5:$GG$1380,$K2471,AH!$U$10+2))),NA()),NA())</f>
        <v/>
      </c>
      <c r="H2471" s="266">
        <f>IFERROR(IF(ISNUMBER($A2471),IF(AND(AH!$U$12=1,2466+1=AH!$U$6),IF(AH!$U$4=0,"unavailable",INDEX('Market Data'!$AP$5:$AP$66,AH!$U$4)),IF(AH!$U$5=1,INDEX('Live History'!$H$5:$H$3004,MATCH($A2471,'Live History'!$G$5:$G$3004,1)),INDEX('AH History'!$B$5:$B$1380,$K2471))),NA()),NA())</f>
        <v/>
      </c>
      <c r="I2471" s="34">
        <f>IFERROR(IF(ISNUMBER($A2471),IF(AND(AH!$U$12=1,2466+1=AH!$U$6),TODAY(),IF(AH!$U$5=1,INDEX('Live History'!$G$5:$G$3004,MATCH($A2471,'Live History'!$G$5:$G$3004,1)),INDEX('AH History'!$C$5:$C$1380,$K2471))),NA()),NA())</f>
        <v/>
      </c>
      <c r="J2471" s="32">
        <f>IFERROR(IF(AND($F2471&gt;0,$H2471&gt;0,$A2471-$G2471&lt;=10,$A2471-$I2471&lt;=5,$G2471&gt;0,$I2471&gt;0),$F2471*$H2471,NA()),NA())</f>
        <v/>
      </c>
      <c r="K2471" s="15">
        <f>IF($A2471="","",IF(AH!$U$5=1,IFERROR(MATCH($A2471,'Live History'!$A$5:$A$3004,0),0),AH!$U$7+2466))</f>
        <v/>
      </c>
      <c r="L2471" s="15">
        <f>IF(ISNUMBER(A2471),TEXT(A2471,"dd-mmm-yy"),"")</f>
        <v/>
      </c>
    </row>
    <row r="2472">
      <c r="A2472" s="14">
        <f>IF(OR(AH!$U$4=0,2467+1&gt;AH!$U$6,AND(AH!$M$5="Bloomberg",AH!$U$5=0)),"",IFERROR(IF(AND(AH!$U$12=1,2467+1=AH!$U$6),TODAY(),IF(AH!$U$5=1,INDEX('Live History'!$A$5:$A$3004,AH!$U$7+2467),INDEX('AH History'!$A$5:$A$1380,AH!$U$7+2467))),""))</f>
        <v/>
      </c>
      <c r="B2472" s="33">
        <f>IFERROR(IF(AH!$U$11=1,NA(),$J2472/$E2472-1),NA())</f>
        <v/>
      </c>
      <c r="C2472" s="269">
        <f>IFERROR(100*$E2472/$E$5,NA())</f>
        <v/>
      </c>
      <c r="D2472" s="269">
        <f>IFERROR(100*$J2472/$J$5,NA())</f>
        <v/>
      </c>
      <c r="E2472" s="32">
        <f>IFERROR(IF(AND(ISNUMBER($A2472),N(IF(AND(AH!$U$12=1,2467+1=AH!$U$6),IF(AH!$U$4=0,"unavailable",INDEX('Market Data'!$AN$5:$AN$66,AH!$U$4)),IF(AH!$U$5=1,INDEX('Live History'!$B$5:$B$3004,$K2472),INDEX('AH History'!$D$5:$GG$1380,$K2472,AH!$U$10))))&gt;0),IF(AND(AH!$U$12=1,2467+1=AH!$U$6),IF(AH!$U$4=0,"unavailable",INDEX('Market Data'!$AN$5:$AN$66,AH!$U$4)),IF(AH!$U$5=1,INDEX('Live History'!$B$5:$B$3004,$K2472),INDEX('AH History'!$D$5:$GG$1380,$K2472,AH!$U$10))),NA()),NA())</f>
        <v/>
      </c>
      <c r="F2472" s="32">
        <f>IFERROR(IF(ISNUMBER($A2472),IF(AND(AH!$U$12=1,2467+1=AH!$U$6),IF(AH!$U$4=0,"unavailable",INDEX('Market Data'!$AO$5:$AO$66,AH!$U$4)),IF(AH!$U$5=1,INDEX('Live History'!$E$5:$E$3004,MATCH($A2472,'Live History'!$D$5:$D$3004,1)),INDEX('AH History'!$D$5:$GG$1380,$K2472,AH!$U$10+1))),NA()),NA())</f>
        <v/>
      </c>
      <c r="G2472" s="34">
        <f>IFERROR(IF(ISNUMBER($A2472),IF(AND(AH!$U$12=1,2467+1=AH!$U$6),IF(AH!$U$4=0,"unavailable",INDEX('Market Data'!$AK$5:$AK$66,AH!$U$4)),IF(AH!$U$5=1,INDEX('Live History'!$D$5:$D$3004,MATCH($A2472,'Live History'!$D$5:$D$3004,1)),INDEX('AH History'!$D$5:$GG$1380,$K2472,AH!$U$10+2))),NA()),NA())</f>
        <v/>
      </c>
      <c r="H2472" s="266">
        <f>IFERROR(IF(ISNUMBER($A2472),IF(AND(AH!$U$12=1,2467+1=AH!$U$6),IF(AH!$U$4=0,"unavailable",INDEX('Market Data'!$AP$5:$AP$66,AH!$U$4)),IF(AH!$U$5=1,INDEX('Live History'!$H$5:$H$3004,MATCH($A2472,'Live History'!$G$5:$G$3004,1)),INDEX('AH History'!$B$5:$B$1380,$K2472))),NA()),NA())</f>
        <v/>
      </c>
      <c r="I2472" s="34">
        <f>IFERROR(IF(ISNUMBER($A2472),IF(AND(AH!$U$12=1,2467+1=AH!$U$6),TODAY(),IF(AH!$U$5=1,INDEX('Live History'!$G$5:$G$3004,MATCH($A2472,'Live History'!$G$5:$G$3004,1)),INDEX('AH History'!$C$5:$C$1380,$K2472))),NA()),NA())</f>
        <v/>
      </c>
      <c r="J2472" s="32">
        <f>IFERROR(IF(AND($F2472&gt;0,$H2472&gt;0,$A2472-$G2472&lt;=10,$A2472-$I2472&lt;=5,$G2472&gt;0,$I2472&gt;0),$F2472*$H2472,NA()),NA())</f>
        <v/>
      </c>
      <c r="K2472" s="15">
        <f>IF($A2472="","",IF(AH!$U$5=1,IFERROR(MATCH($A2472,'Live History'!$A$5:$A$3004,0),0),AH!$U$7+2467))</f>
        <v/>
      </c>
      <c r="L2472" s="15">
        <f>IF(ISNUMBER(A2472),TEXT(A2472,"dd-mmm-yy"),"")</f>
        <v/>
      </c>
    </row>
    <row r="2473">
      <c r="A2473" s="14">
        <f>IF(OR(AH!$U$4=0,2468+1&gt;AH!$U$6,AND(AH!$M$5="Bloomberg",AH!$U$5=0)),"",IFERROR(IF(AND(AH!$U$12=1,2468+1=AH!$U$6),TODAY(),IF(AH!$U$5=1,INDEX('Live History'!$A$5:$A$3004,AH!$U$7+2468),INDEX('AH History'!$A$5:$A$1380,AH!$U$7+2468))),""))</f>
        <v/>
      </c>
      <c r="B2473" s="33">
        <f>IFERROR(IF(AH!$U$11=1,NA(),$J2473/$E2473-1),NA())</f>
        <v/>
      </c>
      <c r="C2473" s="269">
        <f>IFERROR(100*$E2473/$E$5,NA())</f>
        <v/>
      </c>
      <c r="D2473" s="269">
        <f>IFERROR(100*$J2473/$J$5,NA())</f>
        <v/>
      </c>
      <c r="E2473" s="32">
        <f>IFERROR(IF(AND(ISNUMBER($A2473),N(IF(AND(AH!$U$12=1,2468+1=AH!$U$6),IF(AH!$U$4=0,"unavailable",INDEX('Market Data'!$AN$5:$AN$66,AH!$U$4)),IF(AH!$U$5=1,INDEX('Live History'!$B$5:$B$3004,$K2473),INDEX('AH History'!$D$5:$GG$1380,$K2473,AH!$U$10))))&gt;0),IF(AND(AH!$U$12=1,2468+1=AH!$U$6),IF(AH!$U$4=0,"unavailable",INDEX('Market Data'!$AN$5:$AN$66,AH!$U$4)),IF(AH!$U$5=1,INDEX('Live History'!$B$5:$B$3004,$K2473),INDEX('AH History'!$D$5:$GG$1380,$K2473,AH!$U$10))),NA()),NA())</f>
        <v/>
      </c>
      <c r="F2473" s="32">
        <f>IFERROR(IF(ISNUMBER($A2473),IF(AND(AH!$U$12=1,2468+1=AH!$U$6),IF(AH!$U$4=0,"unavailable",INDEX('Market Data'!$AO$5:$AO$66,AH!$U$4)),IF(AH!$U$5=1,INDEX('Live History'!$E$5:$E$3004,MATCH($A2473,'Live History'!$D$5:$D$3004,1)),INDEX('AH History'!$D$5:$GG$1380,$K2473,AH!$U$10+1))),NA()),NA())</f>
        <v/>
      </c>
      <c r="G2473" s="34">
        <f>IFERROR(IF(ISNUMBER($A2473),IF(AND(AH!$U$12=1,2468+1=AH!$U$6),IF(AH!$U$4=0,"unavailable",INDEX('Market Data'!$AK$5:$AK$66,AH!$U$4)),IF(AH!$U$5=1,INDEX('Live History'!$D$5:$D$3004,MATCH($A2473,'Live History'!$D$5:$D$3004,1)),INDEX('AH History'!$D$5:$GG$1380,$K2473,AH!$U$10+2))),NA()),NA())</f>
        <v/>
      </c>
      <c r="H2473" s="266">
        <f>IFERROR(IF(ISNUMBER($A2473),IF(AND(AH!$U$12=1,2468+1=AH!$U$6),IF(AH!$U$4=0,"unavailable",INDEX('Market Data'!$AP$5:$AP$66,AH!$U$4)),IF(AH!$U$5=1,INDEX('Live History'!$H$5:$H$3004,MATCH($A2473,'Live History'!$G$5:$G$3004,1)),INDEX('AH History'!$B$5:$B$1380,$K2473))),NA()),NA())</f>
        <v/>
      </c>
      <c r="I2473" s="34">
        <f>IFERROR(IF(ISNUMBER($A2473),IF(AND(AH!$U$12=1,2468+1=AH!$U$6),TODAY(),IF(AH!$U$5=1,INDEX('Live History'!$G$5:$G$3004,MATCH($A2473,'Live History'!$G$5:$G$3004,1)),INDEX('AH History'!$C$5:$C$1380,$K2473))),NA()),NA())</f>
        <v/>
      </c>
      <c r="J2473" s="32">
        <f>IFERROR(IF(AND($F2473&gt;0,$H2473&gt;0,$A2473-$G2473&lt;=10,$A2473-$I2473&lt;=5,$G2473&gt;0,$I2473&gt;0),$F2473*$H2473,NA()),NA())</f>
        <v/>
      </c>
      <c r="K2473" s="15">
        <f>IF($A2473="","",IF(AH!$U$5=1,IFERROR(MATCH($A2473,'Live History'!$A$5:$A$3004,0),0),AH!$U$7+2468))</f>
        <v/>
      </c>
      <c r="L2473" s="15">
        <f>IF(ISNUMBER(A2473),TEXT(A2473,"dd-mmm-yy"),"")</f>
        <v/>
      </c>
    </row>
    <row r="2474">
      <c r="A2474" s="14">
        <f>IF(OR(AH!$U$4=0,2469+1&gt;AH!$U$6,AND(AH!$M$5="Bloomberg",AH!$U$5=0)),"",IFERROR(IF(AND(AH!$U$12=1,2469+1=AH!$U$6),TODAY(),IF(AH!$U$5=1,INDEX('Live History'!$A$5:$A$3004,AH!$U$7+2469),INDEX('AH History'!$A$5:$A$1380,AH!$U$7+2469))),""))</f>
        <v/>
      </c>
      <c r="B2474" s="33">
        <f>IFERROR(IF(AH!$U$11=1,NA(),$J2474/$E2474-1),NA())</f>
        <v/>
      </c>
      <c r="C2474" s="269">
        <f>IFERROR(100*$E2474/$E$5,NA())</f>
        <v/>
      </c>
      <c r="D2474" s="269">
        <f>IFERROR(100*$J2474/$J$5,NA())</f>
        <v/>
      </c>
      <c r="E2474" s="32">
        <f>IFERROR(IF(AND(ISNUMBER($A2474),N(IF(AND(AH!$U$12=1,2469+1=AH!$U$6),IF(AH!$U$4=0,"unavailable",INDEX('Market Data'!$AN$5:$AN$66,AH!$U$4)),IF(AH!$U$5=1,INDEX('Live History'!$B$5:$B$3004,$K2474),INDEX('AH History'!$D$5:$GG$1380,$K2474,AH!$U$10))))&gt;0),IF(AND(AH!$U$12=1,2469+1=AH!$U$6),IF(AH!$U$4=0,"unavailable",INDEX('Market Data'!$AN$5:$AN$66,AH!$U$4)),IF(AH!$U$5=1,INDEX('Live History'!$B$5:$B$3004,$K2474),INDEX('AH History'!$D$5:$GG$1380,$K2474,AH!$U$10))),NA()),NA())</f>
        <v/>
      </c>
      <c r="F2474" s="32">
        <f>IFERROR(IF(ISNUMBER($A2474),IF(AND(AH!$U$12=1,2469+1=AH!$U$6),IF(AH!$U$4=0,"unavailable",INDEX('Market Data'!$AO$5:$AO$66,AH!$U$4)),IF(AH!$U$5=1,INDEX('Live History'!$E$5:$E$3004,MATCH($A2474,'Live History'!$D$5:$D$3004,1)),INDEX('AH History'!$D$5:$GG$1380,$K2474,AH!$U$10+1))),NA()),NA())</f>
        <v/>
      </c>
      <c r="G2474" s="34">
        <f>IFERROR(IF(ISNUMBER($A2474),IF(AND(AH!$U$12=1,2469+1=AH!$U$6),IF(AH!$U$4=0,"unavailable",INDEX('Market Data'!$AK$5:$AK$66,AH!$U$4)),IF(AH!$U$5=1,INDEX('Live History'!$D$5:$D$3004,MATCH($A2474,'Live History'!$D$5:$D$3004,1)),INDEX('AH History'!$D$5:$GG$1380,$K2474,AH!$U$10+2))),NA()),NA())</f>
        <v/>
      </c>
      <c r="H2474" s="266">
        <f>IFERROR(IF(ISNUMBER($A2474),IF(AND(AH!$U$12=1,2469+1=AH!$U$6),IF(AH!$U$4=0,"unavailable",INDEX('Market Data'!$AP$5:$AP$66,AH!$U$4)),IF(AH!$U$5=1,INDEX('Live History'!$H$5:$H$3004,MATCH($A2474,'Live History'!$G$5:$G$3004,1)),INDEX('AH History'!$B$5:$B$1380,$K2474))),NA()),NA())</f>
        <v/>
      </c>
      <c r="I2474" s="34">
        <f>IFERROR(IF(ISNUMBER($A2474),IF(AND(AH!$U$12=1,2469+1=AH!$U$6),TODAY(),IF(AH!$U$5=1,INDEX('Live History'!$G$5:$G$3004,MATCH($A2474,'Live History'!$G$5:$G$3004,1)),INDEX('AH History'!$C$5:$C$1380,$K2474))),NA()),NA())</f>
        <v/>
      </c>
      <c r="J2474" s="32">
        <f>IFERROR(IF(AND($F2474&gt;0,$H2474&gt;0,$A2474-$G2474&lt;=10,$A2474-$I2474&lt;=5,$G2474&gt;0,$I2474&gt;0),$F2474*$H2474,NA()),NA())</f>
        <v/>
      </c>
      <c r="K2474" s="15">
        <f>IF($A2474="","",IF(AH!$U$5=1,IFERROR(MATCH($A2474,'Live History'!$A$5:$A$3004,0),0),AH!$U$7+2469))</f>
        <v/>
      </c>
      <c r="L2474" s="15">
        <f>IF(ISNUMBER(A2474),TEXT(A2474,"dd-mmm-yy"),"")</f>
        <v/>
      </c>
    </row>
    <row r="2475">
      <c r="A2475" s="14">
        <f>IF(OR(AH!$U$4=0,2470+1&gt;AH!$U$6,AND(AH!$M$5="Bloomberg",AH!$U$5=0)),"",IFERROR(IF(AND(AH!$U$12=1,2470+1=AH!$U$6),TODAY(),IF(AH!$U$5=1,INDEX('Live History'!$A$5:$A$3004,AH!$U$7+2470),INDEX('AH History'!$A$5:$A$1380,AH!$U$7+2470))),""))</f>
        <v/>
      </c>
      <c r="B2475" s="33">
        <f>IFERROR(IF(AH!$U$11=1,NA(),$J2475/$E2475-1),NA())</f>
        <v/>
      </c>
      <c r="C2475" s="269">
        <f>IFERROR(100*$E2475/$E$5,NA())</f>
        <v/>
      </c>
      <c r="D2475" s="269">
        <f>IFERROR(100*$J2475/$J$5,NA())</f>
        <v/>
      </c>
      <c r="E2475" s="32">
        <f>IFERROR(IF(AND(ISNUMBER($A2475),N(IF(AND(AH!$U$12=1,2470+1=AH!$U$6),IF(AH!$U$4=0,"unavailable",INDEX('Market Data'!$AN$5:$AN$66,AH!$U$4)),IF(AH!$U$5=1,INDEX('Live History'!$B$5:$B$3004,$K2475),INDEX('AH History'!$D$5:$GG$1380,$K2475,AH!$U$10))))&gt;0),IF(AND(AH!$U$12=1,2470+1=AH!$U$6),IF(AH!$U$4=0,"unavailable",INDEX('Market Data'!$AN$5:$AN$66,AH!$U$4)),IF(AH!$U$5=1,INDEX('Live History'!$B$5:$B$3004,$K2475),INDEX('AH History'!$D$5:$GG$1380,$K2475,AH!$U$10))),NA()),NA())</f>
        <v/>
      </c>
      <c r="F2475" s="32">
        <f>IFERROR(IF(ISNUMBER($A2475),IF(AND(AH!$U$12=1,2470+1=AH!$U$6),IF(AH!$U$4=0,"unavailable",INDEX('Market Data'!$AO$5:$AO$66,AH!$U$4)),IF(AH!$U$5=1,INDEX('Live History'!$E$5:$E$3004,MATCH($A2475,'Live History'!$D$5:$D$3004,1)),INDEX('AH History'!$D$5:$GG$1380,$K2475,AH!$U$10+1))),NA()),NA())</f>
        <v/>
      </c>
      <c r="G2475" s="34">
        <f>IFERROR(IF(ISNUMBER($A2475),IF(AND(AH!$U$12=1,2470+1=AH!$U$6),IF(AH!$U$4=0,"unavailable",INDEX('Market Data'!$AK$5:$AK$66,AH!$U$4)),IF(AH!$U$5=1,INDEX('Live History'!$D$5:$D$3004,MATCH($A2475,'Live History'!$D$5:$D$3004,1)),INDEX('AH History'!$D$5:$GG$1380,$K2475,AH!$U$10+2))),NA()),NA())</f>
        <v/>
      </c>
      <c r="H2475" s="266">
        <f>IFERROR(IF(ISNUMBER($A2475),IF(AND(AH!$U$12=1,2470+1=AH!$U$6),IF(AH!$U$4=0,"unavailable",INDEX('Market Data'!$AP$5:$AP$66,AH!$U$4)),IF(AH!$U$5=1,INDEX('Live History'!$H$5:$H$3004,MATCH($A2475,'Live History'!$G$5:$G$3004,1)),INDEX('AH History'!$B$5:$B$1380,$K2475))),NA()),NA())</f>
        <v/>
      </c>
      <c r="I2475" s="34">
        <f>IFERROR(IF(ISNUMBER($A2475),IF(AND(AH!$U$12=1,2470+1=AH!$U$6),TODAY(),IF(AH!$U$5=1,INDEX('Live History'!$G$5:$G$3004,MATCH($A2475,'Live History'!$G$5:$G$3004,1)),INDEX('AH History'!$C$5:$C$1380,$K2475))),NA()),NA())</f>
        <v/>
      </c>
      <c r="J2475" s="32">
        <f>IFERROR(IF(AND($F2475&gt;0,$H2475&gt;0,$A2475-$G2475&lt;=10,$A2475-$I2475&lt;=5,$G2475&gt;0,$I2475&gt;0),$F2475*$H2475,NA()),NA())</f>
        <v/>
      </c>
      <c r="K2475" s="15">
        <f>IF($A2475="","",IF(AH!$U$5=1,IFERROR(MATCH($A2475,'Live History'!$A$5:$A$3004,0),0),AH!$U$7+2470))</f>
        <v/>
      </c>
      <c r="L2475" s="15">
        <f>IF(ISNUMBER(A2475),TEXT(A2475,"dd-mmm-yy"),"")</f>
        <v/>
      </c>
    </row>
    <row r="2476">
      <c r="A2476" s="14">
        <f>IF(OR(AH!$U$4=0,2471+1&gt;AH!$U$6,AND(AH!$M$5="Bloomberg",AH!$U$5=0)),"",IFERROR(IF(AND(AH!$U$12=1,2471+1=AH!$U$6),TODAY(),IF(AH!$U$5=1,INDEX('Live History'!$A$5:$A$3004,AH!$U$7+2471),INDEX('AH History'!$A$5:$A$1380,AH!$U$7+2471))),""))</f>
        <v/>
      </c>
      <c r="B2476" s="33">
        <f>IFERROR(IF(AH!$U$11=1,NA(),$J2476/$E2476-1),NA())</f>
        <v/>
      </c>
      <c r="C2476" s="269">
        <f>IFERROR(100*$E2476/$E$5,NA())</f>
        <v/>
      </c>
      <c r="D2476" s="269">
        <f>IFERROR(100*$J2476/$J$5,NA())</f>
        <v/>
      </c>
      <c r="E2476" s="32">
        <f>IFERROR(IF(AND(ISNUMBER($A2476),N(IF(AND(AH!$U$12=1,2471+1=AH!$U$6),IF(AH!$U$4=0,"unavailable",INDEX('Market Data'!$AN$5:$AN$66,AH!$U$4)),IF(AH!$U$5=1,INDEX('Live History'!$B$5:$B$3004,$K2476),INDEX('AH History'!$D$5:$GG$1380,$K2476,AH!$U$10))))&gt;0),IF(AND(AH!$U$12=1,2471+1=AH!$U$6),IF(AH!$U$4=0,"unavailable",INDEX('Market Data'!$AN$5:$AN$66,AH!$U$4)),IF(AH!$U$5=1,INDEX('Live History'!$B$5:$B$3004,$K2476),INDEX('AH History'!$D$5:$GG$1380,$K2476,AH!$U$10))),NA()),NA())</f>
        <v/>
      </c>
      <c r="F2476" s="32">
        <f>IFERROR(IF(ISNUMBER($A2476),IF(AND(AH!$U$12=1,2471+1=AH!$U$6),IF(AH!$U$4=0,"unavailable",INDEX('Market Data'!$AO$5:$AO$66,AH!$U$4)),IF(AH!$U$5=1,INDEX('Live History'!$E$5:$E$3004,MATCH($A2476,'Live History'!$D$5:$D$3004,1)),INDEX('AH History'!$D$5:$GG$1380,$K2476,AH!$U$10+1))),NA()),NA())</f>
        <v/>
      </c>
      <c r="G2476" s="34">
        <f>IFERROR(IF(ISNUMBER($A2476),IF(AND(AH!$U$12=1,2471+1=AH!$U$6),IF(AH!$U$4=0,"unavailable",INDEX('Market Data'!$AK$5:$AK$66,AH!$U$4)),IF(AH!$U$5=1,INDEX('Live History'!$D$5:$D$3004,MATCH($A2476,'Live History'!$D$5:$D$3004,1)),INDEX('AH History'!$D$5:$GG$1380,$K2476,AH!$U$10+2))),NA()),NA())</f>
        <v/>
      </c>
      <c r="H2476" s="266">
        <f>IFERROR(IF(ISNUMBER($A2476),IF(AND(AH!$U$12=1,2471+1=AH!$U$6),IF(AH!$U$4=0,"unavailable",INDEX('Market Data'!$AP$5:$AP$66,AH!$U$4)),IF(AH!$U$5=1,INDEX('Live History'!$H$5:$H$3004,MATCH($A2476,'Live History'!$G$5:$G$3004,1)),INDEX('AH History'!$B$5:$B$1380,$K2476))),NA()),NA())</f>
        <v/>
      </c>
      <c r="I2476" s="34">
        <f>IFERROR(IF(ISNUMBER($A2476),IF(AND(AH!$U$12=1,2471+1=AH!$U$6),TODAY(),IF(AH!$U$5=1,INDEX('Live History'!$G$5:$G$3004,MATCH($A2476,'Live History'!$G$5:$G$3004,1)),INDEX('AH History'!$C$5:$C$1380,$K2476))),NA()),NA())</f>
        <v/>
      </c>
      <c r="J2476" s="32">
        <f>IFERROR(IF(AND($F2476&gt;0,$H2476&gt;0,$A2476-$G2476&lt;=10,$A2476-$I2476&lt;=5,$G2476&gt;0,$I2476&gt;0),$F2476*$H2476,NA()),NA())</f>
        <v/>
      </c>
      <c r="K2476" s="15">
        <f>IF($A2476="","",IF(AH!$U$5=1,IFERROR(MATCH($A2476,'Live History'!$A$5:$A$3004,0),0),AH!$U$7+2471))</f>
        <v/>
      </c>
      <c r="L2476" s="15">
        <f>IF(ISNUMBER(A2476),TEXT(A2476,"dd-mmm-yy"),"")</f>
        <v/>
      </c>
    </row>
    <row r="2477">
      <c r="A2477" s="14">
        <f>IF(OR(AH!$U$4=0,2472+1&gt;AH!$U$6,AND(AH!$M$5="Bloomberg",AH!$U$5=0)),"",IFERROR(IF(AND(AH!$U$12=1,2472+1=AH!$U$6),TODAY(),IF(AH!$U$5=1,INDEX('Live History'!$A$5:$A$3004,AH!$U$7+2472),INDEX('AH History'!$A$5:$A$1380,AH!$U$7+2472))),""))</f>
        <v/>
      </c>
      <c r="B2477" s="33">
        <f>IFERROR(IF(AH!$U$11=1,NA(),$J2477/$E2477-1),NA())</f>
        <v/>
      </c>
      <c r="C2477" s="269">
        <f>IFERROR(100*$E2477/$E$5,NA())</f>
        <v/>
      </c>
      <c r="D2477" s="269">
        <f>IFERROR(100*$J2477/$J$5,NA())</f>
        <v/>
      </c>
      <c r="E2477" s="32">
        <f>IFERROR(IF(AND(ISNUMBER($A2477),N(IF(AND(AH!$U$12=1,2472+1=AH!$U$6),IF(AH!$U$4=0,"unavailable",INDEX('Market Data'!$AN$5:$AN$66,AH!$U$4)),IF(AH!$U$5=1,INDEX('Live History'!$B$5:$B$3004,$K2477),INDEX('AH History'!$D$5:$GG$1380,$K2477,AH!$U$10))))&gt;0),IF(AND(AH!$U$12=1,2472+1=AH!$U$6),IF(AH!$U$4=0,"unavailable",INDEX('Market Data'!$AN$5:$AN$66,AH!$U$4)),IF(AH!$U$5=1,INDEX('Live History'!$B$5:$B$3004,$K2477),INDEX('AH History'!$D$5:$GG$1380,$K2477,AH!$U$10))),NA()),NA())</f>
        <v/>
      </c>
      <c r="F2477" s="32">
        <f>IFERROR(IF(ISNUMBER($A2477),IF(AND(AH!$U$12=1,2472+1=AH!$U$6),IF(AH!$U$4=0,"unavailable",INDEX('Market Data'!$AO$5:$AO$66,AH!$U$4)),IF(AH!$U$5=1,INDEX('Live History'!$E$5:$E$3004,MATCH($A2477,'Live History'!$D$5:$D$3004,1)),INDEX('AH History'!$D$5:$GG$1380,$K2477,AH!$U$10+1))),NA()),NA())</f>
        <v/>
      </c>
      <c r="G2477" s="34">
        <f>IFERROR(IF(ISNUMBER($A2477),IF(AND(AH!$U$12=1,2472+1=AH!$U$6),IF(AH!$U$4=0,"unavailable",INDEX('Market Data'!$AK$5:$AK$66,AH!$U$4)),IF(AH!$U$5=1,INDEX('Live History'!$D$5:$D$3004,MATCH($A2477,'Live History'!$D$5:$D$3004,1)),INDEX('AH History'!$D$5:$GG$1380,$K2477,AH!$U$10+2))),NA()),NA())</f>
        <v/>
      </c>
      <c r="H2477" s="266">
        <f>IFERROR(IF(ISNUMBER($A2477),IF(AND(AH!$U$12=1,2472+1=AH!$U$6),IF(AH!$U$4=0,"unavailable",INDEX('Market Data'!$AP$5:$AP$66,AH!$U$4)),IF(AH!$U$5=1,INDEX('Live History'!$H$5:$H$3004,MATCH($A2477,'Live History'!$G$5:$G$3004,1)),INDEX('AH History'!$B$5:$B$1380,$K2477))),NA()),NA())</f>
        <v/>
      </c>
      <c r="I2477" s="34">
        <f>IFERROR(IF(ISNUMBER($A2477),IF(AND(AH!$U$12=1,2472+1=AH!$U$6),TODAY(),IF(AH!$U$5=1,INDEX('Live History'!$G$5:$G$3004,MATCH($A2477,'Live History'!$G$5:$G$3004,1)),INDEX('AH History'!$C$5:$C$1380,$K2477))),NA()),NA())</f>
        <v/>
      </c>
      <c r="J2477" s="32">
        <f>IFERROR(IF(AND($F2477&gt;0,$H2477&gt;0,$A2477-$G2477&lt;=10,$A2477-$I2477&lt;=5,$G2477&gt;0,$I2477&gt;0),$F2477*$H2477,NA()),NA())</f>
        <v/>
      </c>
      <c r="K2477" s="15">
        <f>IF($A2477="","",IF(AH!$U$5=1,IFERROR(MATCH($A2477,'Live History'!$A$5:$A$3004,0),0),AH!$U$7+2472))</f>
        <v/>
      </c>
      <c r="L2477" s="15">
        <f>IF(ISNUMBER(A2477),TEXT(A2477,"dd-mmm-yy"),"")</f>
        <v/>
      </c>
    </row>
    <row r="2478">
      <c r="A2478" s="14">
        <f>IF(OR(AH!$U$4=0,2473+1&gt;AH!$U$6,AND(AH!$M$5="Bloomberg",AH!$U$5=0)),"",IFERROR(IF(AND(AH!$U$12=1,2473+1=AH!$U$6),TODAY(),IF(AH!$U$5=1,INDEX('Live History'!$A$5:$A$3004,AH!$U$7+2473),INDEX('AH History'!$A$5:$A$1380,AH!$U$7+2473))),""))</f>
        <v/>
      </c>
      <c r="B2478" s="33">
        <f>IFERROR(IF(AH!$U$11=1,NA(),$J2478/$E2478-1),NA())</f>
        <v/>
      </c>
      <c r="C2478" s="269">
        <f>IFERROR(100*$E2478/$E$5,NA())</f>
        <v/>
      </c>
      <c r="D2478" s="269">
        <f>IFERROR(100*$J2478/$J$5,NA())</f>
        <v/>
      </c>
      <c r="E2478" s="32">
        <f>IFERROR(IF(AND(ISNUMBER($A2478),N(IF(AND(AH!$U$12=1,2473+1=AH!$U$6),IF(AH!$U$4=0,"unavailable",INDEX('Market Data'!$AN$5:$AN$66,AH!$U$4)),IF(AH!$U$5=1,INDEX('Live History'!$B$5:$B$3004,$K2478),INDEX('AH History'!$D$5:$GG$1380,$K2478,AH!$U$10))))&gt;0),IF(AND(AH!$U$12=1,2473+1=AH!$U$6),IF(AH!$U$4=0,"unavailable",INDEX('Market Data'!$AN$5:$AN$66,AH!$U$4)),IF(AH!$U$5=1,INDEX('Live History'!$B$5:$B$3004,$K2478),INDEX('AH History'!$D$5:$GG$1380,$K2478,AH!$U$10))),NA()),NA())</f>
        <v/>
      </c>
      <c r="F2478" s="32">
        <f>IFERROR(IF(ISNUMBER($A2478),IF(AND(AH!$U$12=1,2473+1=AH!$U$6),IF(AH!$U$4=0,"unavailable",INDEX('Market Data'!$AO$5:$AO$66,AH!$U$4)),IF(AH!$U$5=1,INDEX('Live History'!$E$5:$E$3004,MATCH($A2478,'Live History'!$D$5:$D$3004,1)),INDEX('AH History'!$D$5:$GG$1380,$K2478,AH!$U$10+1))),NA()),NA())</f>
        <v/>
      </c>
      <c r="G2478" s="34">
        <f>IFERROR(IF(ISNUMBER($A2478),IF(AND(AH!$U$12=1,2473+1=AH!$U$6),IF(AH!$U$4=0,"unavailable",INDEX('Market Data'!$AK$5:$AK$66,AH!$U$4)),IF(AH!$U$5=1,INDEX('Live History'!$D$5:$D$3004,MATCH($A2478,'Live History'!$D$5:$D$3004,1)),INDEX('AH History'!$D$5:$GG$1380,$K2478,AH!$U$10+2))),NA()),NA())</f>
        <v/>
      </c>
      <c r="H2478" s="266">
        <f>IFERROR(IF(ISNUMBER($A2478),IF(AND(AH!$U$12=1,2473+1=AH!$U$6),IF(AH!$U$4=0,"unavailable",INDEX('Market Data'!$AP$5:$AP$66,AH!$U$4)),IF(AH!$U$5=1,INDEX('Live History'!$H$5:$H$3004,MATCH($A2478,'Live History'!$G$5:$G$3004,1)),INDEX('AH History'!$B$5:$B$1380,$K2478))),NA()),NA())</f>
        <v/>
      </c>
      <c r="I2478" s="34">
        <f>IFERROR(IF(ISNUMBER($A2478),IF(AND(AH!$U$12=1,2473+1=AH!$U$6),TODAY(),IF(AH!$U$5=1,INDEX('Live History'!$G$5:$G$3004,MATCH($A2478,'Live History'!$G$5:$G$3004,1)),INDEX('AH History'!$C$5:$C$1380,$K2478))),NA()),NA())</f>
        <v/>
      </c>
      <c r="J2478" s="32">
        <f>IFERROR(IF(AND($F2478&gt;0,$H2478&gt;0,$A2478-$G2478&lt;=10,$A2478-$I2478&lt;=5,$G2478&gt;0,$I2478&gt;0),$F2478*$H2478,NA()),NA())</f>
        <v/>
      </c>
      <c r="K2478" s="15">
        <f>IF($A2478="","",IF(AH!$U$5=1,IFERROR(MATCH($A2478,'Live History'!$A$5:$A$3004,0),0),AH!$U$7+2473))</f>
        <v/>
      </c>
      <c r="L2478" s="15">
        <f>IF(ISNUMBER(A2478),TEXT(A2478,"dd-mmm-yy"),"")</f>
        <v/>
      </c>
    </row>
    <row r="2479">
      <c r="A2479" s="14">
        <f>IF(OR(AH!$U$4=0,2474+1&gt;AH!$U$6,AND(AH!$M$5="Bloomberg",AH!$U$5=0)),"",IFERROR(IF(AND(AH!$U$12=1,2474+1=AH!$U$6),TODAY(),IF(AH!$U$5=1,INDEX('Live History'!$A$5:$A$3004,AH!$U$7+2474),INDEX('AH History'!$A$5:$A$1380,AH!$U$7+2474))),""))</f>
        <v/>
      </c>
      <c r="B2479" s="33">
        <f>IFERROR(IF(AH!$U$11=1,NA(),$J2479/$E2479-1),NA())</f>
        <v/>
      </c>
      <c r="C2479" s="269">
        <f>IFERROR(100*$E2479/$E$5,NA())</f>
        <v/>
      </c>
      <c r="D2479" s="269">
        <f>IFERROR(100*$J2479/$J$5,NA())</f>
        <v/>
      </c>
      <c r="E2479" s="32">
        <f>IFERROR(IF(AND(ISNUMBER($A2479),N(IF(AND(AH!$U$12=1,2474+1=AH!$U$6),IF(AH!$U$4=0,"unavailable",INDEX('Market Data'!$AN$5:$AN$66,AH!$U$4)),IF(AH!$U$5=1,INDEX('Live History'!$B$5:$B$3004,$K2479),INDEX('AH History'!$D$5:$GG$1380,$K2479,AH!$U$10))))&gt;0),IF(AND(AH!$U$12=1,2474+1=AH!$U$6),IF(AH!$U$4=0,"unavailable",INDEX('Market Data'!$AN$5:$AN$66,AH!$U$4)),IF(AH!$U$5=1,INDEX('Live History'!$B$5:$B$3004,$K2479),INDEX('AH History'!$D$5:$GG$1380,$K2479,AH!$U$10))),NA()),NA())</f>
        <v/>
      </c>
      <c r="F2479" s="32">
        <f>IFERROR(IF(ISNUMBER($A2479),IF(AND(AH!$U$12=1,2474+1=AH!$U$6),IF(AH!$U$4=0,"unavailable",INDEX('Market Data'!$AO$5:$AO$66,AH!$U$4)),IF(AH!$U$5=1,INDEX('Live History'!$E$5:$E$3004,MATCH($A2479,'Live History'!$D$5:$D$3004,1)),INDEX('AH History'!$D$5:$GG$1380,$K2479,AH!$U$10+1))),NA()),NA())</f>
        <v/>
      </c>
      <c r="G2479" s="34">
        <f>IFERROR(IF(ISNUMBER($A2479),IF(AND(AH!$U$12=1,2474+1=AH!$U$6),IF(AH!$U$4=0,"unavailable",INDEX('Market Data'!$AK$5:$AK$66,AH!$U$4)),IF(AH!$U$5=1,INDEX('Live History'!$D$5:$D$3004,MATCH($A2479,'Live History'!$D$5:$D$3004,1)),INDEX('AH History'!$D$5:$GG$1380,$K2479,AH!$U$10+2))),NA()),NA())</f>
        <v/>
      </c>
      <c r="H2479" s="266">
        <f>IFERROR(IF(ISNUMBER($A2479),IF(AND(AH!$U$12=1,2474+1=AH!$U$6),IF(AH!$U$4=0,"unavailable",INDEX('Market Data'!$AP$5:$AP$66,AH!$U$4)),IF(AH!$U$5=1,INDEX('Live History'!$H$5:$H$3004,MATCH($A2479,'Live History'!$G$5:$G$3004,1)),INDEX('AH History'!$B$5:$B$1380,$K2479))),NA()),NA())</f>
        <v/>
      </c>
      <c r="I2479" s="34">
        <f>IFERROR(IF(ISNUMBER($A2479),IF(AND(AH!$U$12=1,2474+1=AH!$U$6),TODAY(),IF(AH!$U$5=1,INDEX('Live History'!$G$5:$G$3004,MATCH($A2479,'Live History'!$G$5:$G$3004,1)),INDEX('AH History'!$C$5:$C$1380,$K2479))),NA()),NA())</f>
        <v/>
      </c>
      <c r="J2479" s="32">
        <f>IFERROR(IF(AND($F2479&gt;0,$H2479&gt;0,$A2479-$G2479&lt;=10,$A2479-$I2479&lt;=5,$G2479&gt;0,$I2479&gt;0),$F2479*$H2479,NA()),NA())</f>
        <v/>
      </c>
      <c r="K2479" s="15">
        <f>IF($A2479="","",IF(AH!$U$5=1,IFERROR(MATCH($A2479,'Live History'!$A$5:$A$3004,0),0),AH!$U$7+2474))</f>
        <v/>
      </c>
      <c r="L2479" s="15">
        <f>IF(ISNUMBER(A2479),TEXT(A2479,"dd-mmm-yy"),"")</f>
        <v/>
      </c>
    </row>
    <row r="2480">
      <c r="A2480" s="14">
        <f>IF(OR(AH!$U$4=0,2475+1&gt;AH!$U$6,AND(AH!$M$5="Bloomberg",AH!$U$5=0)),"",IFERROR(IF(AND(AH!$U$12=1,2475+1=AH!$U$6),TODAY(),IF(AH!$U$5=1,INDEX('Live History'!$A$5:$A$3004,AH!$U$7+2475),INDEX('AH History'!$A$5:$A$1380,AH!$U$7+2475))),""))</f>
        <v/>
      </c>
      <c r="B2480" s="33">
        <f>IFERROR(IF(AH!$U$11=1,NA(),$J2480/$E2480-1),NA())</f>
        <v/>
      </c>
      <c r="C2480" s="269">
        <f>IFERROR(100*$E2480/$E$5,NA())</f>
        <v/>
      </c>
      <c r="D2480" s="269">
        <f>IFERROR(100*$J2480/$J$5,NA())</f>
        <v/>
      </c>
      <c r="E2480" s="32">
        <f>IFERROR(IF(AND(ISNUMBER($A2480),N(IF(AND(AH!$U$12=1,2475+1=AH!$U$6),IF(AH!$U$4=0,"unavailable",INDEX('Market Data'!$AN$5:$AN$66,AH!$U$4)),IF(AH!$U$5=1,INDEX('Live History'!$B$5:$B$3004,$K2480),INDEX('AH History'!$D$5:$GG$1380,$K2480,AH!$U$10))))&gt;0),IF(AND(AH!$U$12=1,2475+1=AH!$U$6),IF(AH!$U$4=0,"unavailable",INDEX('Market Data'!$AN$5:$AN$66,AH!$U$4)),IF(AH!$U$5=1,INDEX('Live History'!$B$5:$B$3004,$K2480),INDEX('AH History'!$D$5:$GG$1380,$K2480,AH!$U$10))),NA()),NA())</f>
        <v/>
      </c>
      <c r="F2480" s="32">
        <f>IFERROR(IF(ISNUMBER($A2480),IF(AND(AH!$U$12=1,2475+1=AH!$U$6),IF(AH!$U$4=0,"unavailable",INDEX('Market Data'!$AO$5:$AO$66,AH!$U$4)),IF(AH!$U$5=1,INDEX('Live History'!$E$5:$E$3004,MATCH($A2480,'Live History'!$D$5:$D$3004,1)),INDEX('AH History'!$D$5:$GG$1380,$K2480,AH!$U$10+1))),NA()),NA())</f>
        <v/>
      </c>
      <c r="G2480" s="34">
        <f>IFERROR(IF(ISNUMBER($A2480),IF(AND(AH!$U$12=1,2475+1=AH!$U$6),IF(AH!$U$4=0,"unavailable",INDEX('Market Data'!$AK$5:$AK$66,AH!$U$4)),IF(AH!$U$5=1,INDEX('Live History'!$D$5:$D$3004,MATCH($A2480,'Live History'!$D$5:$D$3004,1)),INDEX('AH History'!$D$5:$GG$1380,$K2480,AH!$U$10+2))),NA()),NA())</f>
        <v/>
      </c>
      <c r="H2480" s="266">
        <f>IFERROR(IF(ISNUMBER($A2480),IF(AND(AH!$U$12=1,2475+1=AH!$U$6),IF(AH!$U$4=0,"unavailable",INDEX('Market Data'!$AP$5:$AP$66,AH!$U$4)),IF(AH!$U$5=1,INDEX('Live History'!$H$5:$H$3004,MATCH($A2480,'Live History'!$G$5:$G$3004,1)),INDEX('AH History'!$B$5:$B$1380,$K2480))),NA()),NA())</f>
        <v/>
      </c>
      <c r="I2480" s="34">
        <f>IFERROR(IF(ISNUMBER($A2480),IF(AND(AH!$U$12=1,2475+1=AH!$U$6),TODAY(),IF(AH!$U$5=1,INDEX('Live History'!$G$5:$G$3004,MATCH($A2480,'Live History'!$G$5:$G$3004,1)),INDEX('AH History'!$C$5:$C$1380,$K2480))),NA()),NA())</f>
        <v/>
      </c>
      <c r="J2480" s="32">
        <f>IFERROR(IF(AND($F2480&gt;0,$H2480&gt;0,$A2480-$G2480&lt;=10,$A2480-$I2480&lt;=5,$G2480&gt;0,$I2480&gt;0),$F2480*$H2480,NA()),NA())</f>
        <v/>
      </c>
      <c r="K2480" s="15">
        <f>IF($A2480="","",IF(AH!$U$5=1,IFERROR(MATCH($A2480,'Live History'!$A$5:$A$3004,0),0),AH!$U$7+2475))</f>
        <v/>
      </c>
      <c r="L2480" s="15">
        <f>IF(ISNUMBER(A2480),TEXT(A2480,"dd-mmm-yy"),"")</f>
        <v/>
      </c>
    </row>
    <row r="2481">
      <c r="A2481" s="14">
        <f>IF(OR(AH!$U$4=0,2476+1&gt;AH!$U$6,AND(AH!$M$5="Bloomberg",AH!$U$5=0)),"",IFERROR(IF(AND(AH!$U$12=1,2476+1=AH!$U$6),TODAY(),IF(AH!$U$5=1,INDEX('Live History'!$A$5:$A$3004,AH!$U$7+2476),INDEX('AH History'!$A$5:$A$1380,AH!$U$7+2476))),""))</f>
        <v/>
      </c>
      <c r="B2481" s="33">
        <f>IFERROR(IF(AH!$U$11=1,NA(),$J2481/$E2481-1),NA())</f>
        <v/>
      </c>
      <c r="C2481" s="269">
        <f>IFERROR(100*$E2481/$E$5,NA())</f>
        <v/>
      </c>
      <c r="D2481" s="269">
        <f>IFERROR(100*$J2481/$J$5,NA())</f>
        <v/>
      </c>
      <c r="E2481" s="32">
        <f>IFERROR(IF(AND(ISNUMBER($A2481),N(IF(AND(AH!$U$12=1,2476+1=AH!$U$6),IF(AH!$U$4=0,"unavailable",INDEX('Market Data'!$AN$5:$AN$66,AH!$U$4)),IF(AH!$U$5=1,INDEX('Live History'!$B$5:$B$3004,$K2481),INDEX('AH History'!$D$5:$GG$1380,$K2481,AH!$U$10))))&gt;0),IF(AND(AH!$U$12=1,2476+1=AH!$U$6),IF(AH!$U$4=0,"unavailable",INDEX('Market Data'!$AN$5:$AN$66,AH!$U$4)),IF(AH!$U$5=1,INDEX('Live History'!$B$5:$B$3004,$K2481),INDEX('AH History'!$D$5:$GG$1380,$K2481,AH!$U$10))),NA()),NA())</f>
        <v/>
      </c>
      <c r="F2481" s="32">
        <f>IFERROR(IF(ISNUMBER($A2481),IF(AND(AH!$U$12=1,2476+1=AH!$U$6),IF(AH!$U$4=0,"unavailable",INDEX('Market Data'!$AO$5:$AO$66,AH!$U$4)),IF(AH!$U$5=1,INDEX('Live History'!$E$5:$E$3004,MATCH($A2481,'Live History'!$D$5:$D$3004,1)),INDEX('AH History'!$D$5:$GG$1380,$K2481,AH!$U$10+1))),NA()),NA())</f>
        <v/>
      </c>
      <c r="G2481" s="34">
        <f>IFERROR(IF(ISNUMBER($A2481),IF(AND(AH!$U$12=1,2476+1=AH!$U$6),IF(AH!$U$4=0,"unavailable",INDEX('Market Data'!$AK$5:$AK$66,AH!$U$4)),IF(AH!$U$5=1,INDEX('Live History'!$D$5:$D$3004,MATCH($A2481,'Live History'!$D$5:$D$3004,1)),INDEX('AH History'!$D$5:$GG$1380,$K2481,AH!$U$10+2))),NA()),NA())</f>
        <v/>
      </c>
      <c r="H2481" s="266">
        <f>IFERROR(IF(ISNUMBER($A2481),IF(AND(AH!$U$12=1,2476+1=AH!$U$6),IF(AH!$U$4=0,"unavailable",INDEX('Market Data'!$AP$5:$AP$66,AH!$U$4)),IF(AH!$U$5=1,INDEX('Live History'!$H$5:$H$3004,MATCH($A2481,'Live History'!$G$5:$G$3004,1)),INDEX('AH History'!$B$5:$B$1380,$K2481))),NA()),NA())</f>
        <v/>
      </c>
      <c r="I2481" s="34">
        <f>IFERROR(IF(ISNUMBER($A2481),IF(AND(AH!$U$12=1,2476+1=AH!$U$6),TODAY(),IF(AH!$U$5=1,INDEX('Live History'!$G$5:$G$3004,MATCH($A2481,'Live History'!$G$5:$G$3004,1)),INDEX('AH History'!$C$5:$C$1380,$K2481))),NA()),NA())</f>
        <v/>
      </c>
      <c r="J2481" s="32">
        <f>IFERROR(IF(AND($F2481&gt;0,$H2481&gt;0,$A2481-$G2481&lt;=10,$A2481-$I2481&lt;=5,$G2481&gt;0,$I2481&gt;0),$F2481*$H2481,NA()),NA())</f>
        <v/>
      </c>
      <c r="K2481" s="15">
        <f>IF($A2481="","",IF(AH!$U$5=1,IFERROR(MATCH($A2481,'Live History'!$A$5:$A$3004,0),0),AH!$U$7+2476))</f>
        <v/>
      </c>
      <c r="L2481" s="15">
        <f>IF(ISNUMBER(A2481),TEXT(A2481,"dd-mmm-yy"),"")</f>
        <v/>
      </c>
    </row>
    <row r="2482">
      <c r="A2482" s="14">
        <f>IF(OR(AH!$U$4=0,2477+1&gt;AH!$U$6,AND(AH!$M$5="Bloomberg",AH!$U$5=0)),"",IFERROR(IF(AND(AH!$U$12=1,2477+1=AH!$U$6),TODAY(),IF(AH!$U$5=1,INDEX('Live History'!$A$5:$A$3004,AH!$U$7+2477),INDEX('AH History'!$A$5:$A$1380,AH!$U$7+2477))),""))</f>
        <v/>
      </c>
      <c r="B2482" s="33">
        <f>IFERROR(IF(AH!$U$11=1,NA(),$J2482/$E2482-1),NA())</f>
        <v/>
      </c>
      <c r="C2482" s="269">
        <f>IFERROR(100*$E2482/$E$5,NA())</f>
        <v/>
      </c>
      <c r="D2482" s="269">
        <f>IFERROR(100*$J2482/$J$5,NA())</f>
        <v/>
      </c>
      <c r="E2482" s="32">
        <f>IFERROR(IF(AND(ISNUMBER($A2482),N(IF(AND(AH!$U$12=1,2477+1=AH!$U$6),IF(AH!$U$4=0,"unavailable",INDEX('Market Data'!$AN$5:$AN$66,AH!$U$4)),IF(AH!$U$5=1,INDEX('Live History'!$B$5:$B$3004,$K2482),INDEX('AH History'!$D$5:$GG$1380,$K2482,AH!$U$10))))&gt;0),IF(AND(AH!$U$12=1,2477+1=AH!$U$6),IF(AH!$U$4=0,"unavailable",INDEX('Market Data'!$AN$5:$AN$66,AH!$U$4)),IF(AH!$U$5=1,INDEX('Live History'!$B$5:$B$3004,$K2482),INDEX('AH History'!$D$5:$GG$1380,$K2482,AH!$U$10))),NA()),NA())</f>
        <v/>
      </c>
      <c r="F2482" s="32">
        <f>IFERROR(IF(ISNUMBER($A2482),IF(AND(AH!$U$12=1,2477+1=AH!$U$6),IF(AH!$U$4=0,"unavailable",INDEX('Market Data'!$AO$5:$AO$66,AH!$U$4)),IF(AH!$U$5=1,INDEX('Live History'!$E$5:$E$3004,MATCH($A2482,'Live History'!$D$5:$D$3004,1)),INDEX('AH History'!$D$5:$GG$1380,$K2482,AH!$U$10+1))),NA()),NA())</f>
        <v/>
      </c>
      <c r="G2482" s="34">
        <f>IFERROR(IF(ISNUMBER($A2482),IF(AND(AH!$U$12=1,2477+1=AH!$U$6),IF(AH!$U$4=0,"unavailable",INDEX('Market Data'!$AK$5:$AK$66,AH!$U$4)),IF(AH!$U$5=1,INDEX('Live History'!$D$5:$D$3004,MATCH($A2482,'Live History'!$D$5:$D$3004,1)),INDEX('AH History'!$D$5:$GG$1380,$K2482,AH!$U$10+2))),NA()),NA())</f>
        <v/>
      </c>
      <c r="H2482" s="266">
        <f>IFERROR(IF(ISNUMBER($A2482),IF(AND(AH!$U$12=1,2477+1=AH!$U$6),IF(AH!$U$4=0,"unavailable",INDEX('Market Data'!$AP$5:$AP$66,AH!$U$4)),IF(AH!$U$5=1,INDEX('Live History'!$H$5:$H$3004,MATCH($A2482,'Live History'!$G$5:$G$3004,1)),INDEX('AH History'!$B$5:$B$1380,$K2482))),NA()),NA())</f>
        <v/>
      </c>
      <c r="I2482" s="34">
        <f>IFERROR(IF(ISNUMBER($A2482),IF(AND(AH!$U$12=1,2477+1=AH!$U$6),TODAY(),IF(AH!$U$5=1,INDEX('Live History'!$G$5:$G$3004,MATCH($A2482,'Live History'!$G$5:$G$3004,1)),INDEX('AH History'!$C$5:$C$1380,$K2482))),NA()),NA())</f>
        <v/>
      </c>
      <c r="J2482" s="32">
        <f>IFERROR(IF(AND($F2482&gt;0,$H2482&gt;0,$A2482-$G2482&lt;=10,$A2482-$I2482&lt;=5,$G2482&gt;0,$I2482&gt;0),$F2482*$H2482,NA()),NA())</f>
        <v/>
      </c>
      <c r="K2482" s="15">
        <f>IF($A2482="","",IF(AH!$U$5=1,IFERROR(MATCH($A2482,'Live History'!$A$5:$A$3004,0),0),AH!$U$7+2477))</f>
        <v/>
      </c>
      <c r="L2482" s="15">
        <f>IF(ISNUMBER(A2482),TEXT(A2482,"dd-mmm-yy"),"")</f>
        <v/>
      </c>
    </row>
    <row r="2483">
      <c r="A2483" s="14">
        <f>IF(OR(AH!$U$4=0,2478+1&gt;AH!$U$6,AND(AH!$M$5="Bloomberg",AH!$U$5=0)),"",IFERROR(IF(AND(AH!$U$12=1,2478+1=AH!$U$6),TODAY(),IF(AH!$U$5=1,INDEX('Live History'!$A$5:$A$3004,AH!$U$7+2478),INDEX('AH History'!$A$5:$A$1380,AH!$U$7+2478))),""))</f>
        <v/>
      </c>
      <c r="B2483" s="33">
        <f>IFERROR(IF(AH!$U$11=1,NA(),$J2483/$E2483-1),NA())</f>
        <v/>
      </c>
      <c r="C2483" s="269">
        <f>IFERROR(100*$E2483/$E$5,NA())</f>
        <v/>
      </c>
      <c r="D2483" s="269">
        <f>IFERROR(100*$J2483/$J$5,NA())</f>
        <v/>
      </c>
      <c r="E2483" s="32">
        <f>IFERROR(IF(AND(ISNUMBER($A2483),N(IF(AND(AH!$U$12=1,2478+1=AH!$U$6),IF(AH!$U$4=0,"unavailable",INDEX('Market Data'!$AN$5:$AN$66,AH!$U$4)),IF(AH!$U$5=1,INDEX('Live History'!$B$5:$B$3004,$K2483),INDEX('AH History'!$D$5:$GG$1380,$K2483,AH!$U$10))))&gt;0),IF(AND(AH!$U$12=1,2478+1=AH!$U$6),IF(AH!$U$4=0,"unavailable",INDEX('Market Data'!$AN$5:$AN$66,AH!$U$4)),IF(AH!$U$5=1,INDEX('Live History'!$B$5:$B$3004,$K2483),INDEX('AH History'!$D$5:$GG$1380,$K2483,AH!$U$10))),NA()),NA())</f>
        <v/>
      </c>
      <c r="F2483" s="32">
        <f>IFERROR(IF(ISNUMBER($A2483),IF(AND(AH!$U$12=1,2478+1=AH!$U$6),IF(AH!$U$4=0,"unavailable",INDEX('Market Data'!$AO$5:$AO$66,AH!$U$4)),IF(AH!$U$5=1,INDEX('Live History'!$E$5:$E$3004,MATCH($A2483,'Live History'!$D$5:$D$3004,1)),INDEX('AH History'!$D$5:$GG$1380,$K2483,AH!$U$10+1))),NA()),NA())</f>
        <v/>
      </c>
      <c r="G2483" s="34">
        <f>IFERROR(IF(ISNUMBER($A2483),IF(AND(AH!$U$12=1,2478+1=AH!$U$6),IF(AH!$U$4=0,"unavailable",INDEX('Market Data'!$AK$5:$AK$66,AH!$U$4)),IF(AH!$U$5=1,INDEX('Live History'!$D$5:$D$3004,MATCH($A2483,'Live History'!$D$5:$D$3004,1)),INDEX('AH History'!$D$5:$GG$1380,$K2483,AH!$U$10+2))),NA()),NA())</f>
        <v/>
      </c>
      <c r="H2483" s="266">
        <f>IFERROR(IF(ISNUMBER($A2483),IF(AND(AH!$U$12=1,2478+1=AH!$U$6),IF(AH!$U$4=0,"unavailable",INDEX('Market Data'!$AP$5:$AP$66,AH!$U$4)),IF(AH!$U$5=1,INDEX('Live History'!$H$5:$H$3004,MATCH($A2483,'Live History'!$G$5:$G$3004,1)),INDEX('AH History'!$B$5:$B$1380,$K2483))),NA()),NA())</f>
        <v/>
      </c>
      <c r="I2483" s="34">
        <f>IFERROR(IF(ISNUMBER($A2483),IF(AND(AH!$U$12=1,2478+1=AH!$U$6),TODAY(),IF(AH!$U$5=1,INDEX('Live History'!$G$5:$G$3004,MATCH($A2483,'Live History'!$G$5:$G$3004,1)),INDEX('AH History'!$C$5:$C$1380,$K2483))),NA()),NA())</f>
        <v/>
      </c>
      <c r="J2483" s="32">
        <f>IFERROR(IF(AND($F2483&gt;0,$H2483&gt;0,$A2483-$G2483&lt;=10,$A2483-$I2483&lt;=5,$G2483&gt;0,$I2483&gt;0),$F2483*$H2483,NA()),NA())</f>
        <v/>
      </c>
      <c r="K2483" s="15">
        <f>IF($A2483="","",IF(AH!$U$5=1,IFERROR(MATCH($A2483,'Live History'!$A$5:$A$3004,0),0),AH!$U$7+2478))</f>
        <v/>
      </c>
      <c r="L2483" s="15">
        <f>IF(ISNUMBER(A2483),TEXT(A2483,"dd-mmm-yy"),"")</f>
        <v/>
      </c>
    </row>
    <row r="2484">
      <c r="A2484" s="14">
        <f>IF(OR(AH!$U$4=0,2479+1&gt;AH!$U$6,AND(AH!$M$5="Bloomberg",AH!$U$5=0)),"",IFERROR(IF(AND(AH!$U$12=1,2479+1=AH!$U$6),TODAY(),IF(AH!$U$5=1,INDEX('Live History'!$A$5:$A$3004,AH!$U$7+2479),INDEX('AH History'!$A$5:$A$1380,AH!$U$7+2479))),""))</f>
        <v/>
      </c>
      <c r="B2484" s="33">
        <f>IFERROR(IF(AH!$U$11=1,NA(),$J2484/$E2484-1),NA())</f>
        <v/>
      </c>
      <c r="C2484" s="269">
        <f>IFERROR(100*$E2484/$E$5,NA())</f>
        <v/>
      </c>
      <c r="D2484" s="269">
        <f>IFERROR(100*$J2484/$J$5,NA())</f>
        <v/>
      </c>
      <c r="E2484" s="32">
        <f>IFERROR(IF(AND(ISNUMBER($A2484),N(IF(AND(AH!$U$12=1,2479+1=AH!$U$6),IF(AH!$U$4=0,"unavailable",INDEX('Market Data'!$AN$5:$AN$66,AH!$U$4)),IF(AH!$U$5=1,INDEX('Live History'!$B$5:$B$3004,$K2484),INDEX('AH History'!$D$5:$GG$1380,$K2484,AH!$U$10))))&gt;0),IF(AND(AH!$U$12=1,2479+1=AH!$U$6),IF(AH!$U$4=0,"unavailable",INDEX('Market Data'!$AN$5:$AN$66,AH!$U$4)),IF(AH!$U$5=1,INDEX('Live History'!$B$5:$B$3004,$K2484),INDEX('AH History'!$D$5:$GG$1380,$K2484,AH!$U$10))),NA()),NA())</f>
        <v/>
      </c>
      <c r="F2484" s="32">
        <f>IFERROR(IF(ISNUMBER($A2484),IF(AND(AH!$U$12=1,2479+1=AH!$U$6),IF(AH!$U$4=0,"unavailable",INDEX('Market Data'!$AO$5:$AO$66,AH!$U$4)),IF(AH!$U$5=1,INDEX('Live History'!$E$5:$E$3004,MATCH($A2484,'Live History'!$D$5:$D$3004,1)),INDEX('AH History'!$D$5:$GG$1380,$K2484,AH!$U$10+1))),NA()),NA())</f>
        <v/>
      </c>
      <c r="G2484" s="34">
        <f>IFERROR(IF(ISNUMBER($A2484),IF(AND(AH!$U$12=1,2479+1=AH!$U$6),IF(AH!$U$4=0,"unavailable",INDEX('Market Data'!$AK$5:$AK$66,AH!$U$4)),IF(AH!$U$5=1,INDEX('Live History'!$D$5:$D$3004,MATCH($A2484,'Live History'!$D$5:$D$3004,1)),INDEX('AH History'!$D$5:$GG$1380,$K2484,AH!$U$10+2))),NA()),NA())</f>
        <v/>
      </c>
      <c r="H2484" s="266">
        <f>IFERROR(IF(ISNUMBER($A2484),IF(AND(AH!$U$12=1,2479+1=AH!$U$6),IF(AH!$U$4=0,"unavailable",INDEX('Market Data'!$AP$5:$AP$66,AH!$U$4)),IF(AH!$U$5=1,INDEX('Live History'!$H$5:$H$3004,MATCH($A2484,'Live History'!$G$5:$G$3004,1)),INDEX('AH History'!$B$5:$B$1380,$K2484))),NA()),NA())</f>
        <v/>
      </c>
      <c r="I2484" s="34">
        <f>IFERROR(IF(ISNUMBER($A2484),IF(AND(AH!$U$12=1,2479+1=AH!$U$6),TODAY(),IF(AH!$U$5=1,INDEX('Live History'!$G$5:$G$3004,MATCH($A2484,'Live History'!$G$5:$G$3004,1)),INDEX('AH History'!$C$5:$C$1380,$K2484))),NA()),NA())</f>
        <v/>
      </c>
      <c r="J2484" s="32">
        <f>IFERROR(IF(AND($F2484&gt;0,$H2484&gt;0,$A2484-$G2484&lt;=10,$A2484-$I2484&lt;=5,$G2484&gt;0,$I2484&gt;0),$F2484*$H2484,NA()),NA())</f>
        <v/>
      </c>
      <c r="K2484" s="15">
        <f>IF($A2484="","",IF(AH!$U$5=1,IFERROR(MATCH($A2484,'Live History'!$A$5:$A$3004,0),0),AH!$U$7+2479))</f>
        <v/>
      </c>
      <c r="L2484" s="15">
        <f>IF(ISNUMBER(A2484),TEXT(A2484,"dd-mmm-yy"),"")</f>
        <v/>
      </c>
    </row>
    <row r="2485">
      <c r="A2485" s="14">
        <f>IF(OR(AH!$U$4=0,2480+1&gt;AH!$U$6,AND(AH!$M$5="Bloomberg",AH!$U$5=0)),"",IFERROR(IF(AND(AH!$U$12=1,2480+1=AH!$U$6),TODAY(),IF(AH!$U$5=1,INDEX('Live History'!$A$5:$A$3004,AH!$U$7+2480),INDEX('AH History'!$A$5:$A$1380,AH!$U$7+2480))),""))</f>
        <v/>
      </c>
      <c r="B2485" s="33">
        <f>IFERROR(IF(AH!$U$11=1,NA(),$J2485/$E2485-1),NA())</f>
        <v/>
      </c>
      <c r="C2485" s="269">
        <f>IFERROR(100*$E2485/$E$5,NA())</f>
        <v/>
      </c>
      <c r="D2485" s="269">
        <f>IFERROR(100*$J2485/$J$5,NA())</f>
        <v/>
      </c>
      <c r="E2485" s="32">
        <f>IFERROR(IF(AND(ISNUMBER($A2485),N(IF(AND(AH!$U$12=1,2480+1=AH!$U$6),IF(AH!$U$4=0,"unavailable",INDEX('Market Data'!$AN$5:$AN$66,AH!$U$4)),IF(AH!$U$5=1,INDEX('Live History'!$B$5:$B$3004,$K2485),INDEX('AH History'!$D$5:$GG$1380,$K2485,AH!$U$10))))&gt;0),IF(AND(AH!$U$12=1,2480+1=AH!$U$6),IF(AH!$U$4=0,"unavailable",INDEX('Market Data'!$AN$5:$AN$66,AH!$U$4)),IF(AH!$U$5=1,INDEX('Live History'!$B$5:$B$3004,$K2485),INDEX('AH History'!$D$5:$GG$1380,$K2485,AH!$U$10))),NA()),NA())</f>
        <v/>
      </c>
      <c r="F2485" s="32">
        <f>IFERROR(IF(ISNUMBER($A2485),IF(AND(AH!$U$12=1,2480+1=AH!$U$6),IF(AH!$U$4=0,"unavailable",INDEX('Market Data'!$AO$5:$AO$66,AH!$U$4)),IF(AH!$U$5=1,INDEX('Live History'!$E$5:$E$3004,MATCH($A2485,'Live History'!$D$5:$D$3004,1)),INDEX('AH History'!$D$5:$GG$1380,$K2485,AH!$U$10+1))),NA()),NA())</f>
        <v/>
      </c>
      <c r="G2485" s="34">
        <f>IFERROR(IF(ISNUMBER($A2485),IF(AND(AH!$U$12=1,2480+1=AH!$U$6),IF(AH!$U$4=0,"unavailable",INDEX('Market Data'!$AK$5:$AK$66,AH!$U$4)),IF(AH!$U$5=1,INDEX('Live History'!$D$5:$D$3004,MATCH($A2485,'Live History'!$D$5:$D$3004,1)),INDEX('AH History'!$D$5:$GG$1380,$K2485,AH!$U$10+2))),NA()),NA())</f>
        <v/>
      </c>
      <c r="H2485" s="266">
        <f>IFERROR(IF(ISNUMBER($A2485),IF(AND(AH!$U$12=1,2480+1=AH!$U$6),IF(AH!$U$4=0,"unavailable",INDEX('Market Data'!$AP$5:$AP$66,AH!$U$4)),IF(AH!$U$5=1,INDEX('Live History'!$H$5:$H$3004,MATCH($A2485,'Live History'!$G$5:$G$3004,1)),INDEX('AH History'!$B$5:$B$1380,$K2485))),NA()),NA())</f>
        <v/>
      </c>
      <c r="I2485" s="34">
        <f>IFERROR(IF(ISNUMBER($A2485),IF(AND(AH!$U$12=1,2480+1=AH!$U$6),TODAY(),IF(AH!$U$5=1,INDEX('Live History'!$G$5:$G$3004,MATCH($A2485,'Live History'!$G$5:$G$3004,1)),INDEX('AH History'!$C$5:$C$1380,$K2485))),NA()),NA())</f>
        <v/>
      </c>
      <c r="J2485" s="32">
        <f>IFERROR(IF(AND($F2485&gt;0,$H2485&gt;0,$A2485-$G2485&lt;=10,$A2485-$I2485&lt;=5,$G2485&gt;0,$I2485&gt;0),$F2485*$H2485,NA()),NA())</f>
        <v/>
      </c>
      <c r="K2485" s="15">
        <f>IF($A2485="","",IF(AH!$U$5=1,IFERROR(MATCH($A2485,'Live History'!$A$5:$A$3004,0),0),AH!$U$7+2480))</f>
        <v/>
      </c>
      <c r="L2485" s="15">
        <f>IF(ISNUMBER(A2485),TEXT(A2485,"dd-mmm-yy"),"")</f>
        <v/>
      </c>
    </row>
    <row r="2486">
      <c r="A2486" s="14">
        <f>IF(OR(AH!$U$4=0,2481+1&gt;AH!$U$6,AND(AH!$M$5="Bloomberg",AH!$U$5=0)),"",IFERROR(IF(AND(AH!$U$12=1,2481+1=AH!$U$6),TODAY(),IF(AH!$U$5=1,INDEX('Live History'!$A$5:$A$3004,AH!$U$7+2481),INDEX('AH History'!$A$5:$A$1380,AH!$U$7+2481))),""))</f>
        <v/>
      </c>
      <c r="B2486" s="33">
        <f>IFERROR(IF(AH!$U$11=1,NA(),$J2486/$E2486-1),NA())</f>
        <v/>
      </c>
      <c r="C2486" s="269">
        <f>IFERROR(100*$E2486/$E$5,NA())</f>
        <v/>
      </c>
      <c r="D2486" s="269">
        <f>IFERROR(100*$J2486/$J$5,NA())</f>
        <v/>
      </c>
      <c r="E2486" s="32">
        <f>IFERROR(IF(AND(ISNUMBER($A2486),N(IF(AND(AH!$U$12=1,2481+1=AH!$U$6),IF(AH!$U$4=0,"unavailable",INDEX('Market Data'!$AN$5:$AN$66,AH!$U$4)),IF(AH!$U$5=1,INDEX('Live History'!$B$5:$B$3004,$K2486),INDEX('AH History'!$D$5:$GG$1380,$K2486,AH!$U$10))))&gt;0),IF(AND(AH!$U$12=1,2481+1=AH!$U$6),IF(AH!$U$4=0,"unavailable",INDEX('Market Data'!$AN$5:$AN$66,AH!$U$4)),IF(AH!$U$5=1,INDEX('Live History'!$B$5:$B$3004,$K2486),INDEX('AH History'!$D$5:$GG$1380,$K2486,AH!$U$10))),NA()),NA())</f>
        <v/>
      </c>
      <c r="F2486" s="32">
        <f>IFERROR(IF(ISNUMBER($A2486),IF(AND(AH!$U$12=1,2481+1=AH!$U$6),IF(AH!$U$4=0,"unavailable",INDEX('Market Data'!$AO$5:$AO$66,AH!$U$4)),IF(AH!$U$5=1,INDEX('Live History'!$E$5:$E$3004,MATCH($A2486,'Live History'!$D$5:$D$3004,1)),INDEX('AH History'!$D$5:$GG$1380,$K2486,AH!$U$10+1))),NA()),NA())</f>
        <v/>
      </c>
      <c r="G2486" s="34">
        <f>IFERROR(IF(ISNUMBER($A2486),IF(AND(AH!$U$12=1,2481+1=AH!$U$6),IF(AH!$U$4=0,"unavailable",INDEX('Market Data'!$AK$5:$AK$66,AH!$U$4)),IF(AH!$U$5=1,INDEX('Live History'!$D$5:$D$3004,MATCH($A2486,'Live History'!$D$5:$D$3004,1)),INDEX('AH History'!$D$5:$GG$1380,$K2486,AH!$U$10+2))),NA()),NA())</f>
        <v/>
      </c>
      <c r="H2486" s="266">
        <f>IFERROR(IF(ISNUMBER($A2486),IF(AND(AH!$U$12=1,2481+1=AH!$U$6),IF(AH!$U$4=0,"unavailable",INDEX('Market Data'!$AP$5:$AP$66,AH!$U$4)),IF(AH!$U$5=1,INDEX('Live History'!$H$5:$H$3004,MATCH($A2486,'Live History'!$G$5:$G$3004,1)),INDEX('AH History'!$B$5:$B$1380,$K2486))),NA()),NA())</f>
        <v/>
      </c>
      <c r="I2486" s="34">
        <f>IFERROR(IF(ISNUMBER($A2486),IF(AND(AH!$U$12=1,2481+1=AH!$U$6),TODAY(),IF(AH!$U$5=1,INDEX('Live History'!$G$5:$G$3004,MATCH($A2486,'Live History'!$G$5:$G$3004,1)),INDEX('AH History'!$C$5:$C$1380,$K2486))),NA()),NA())</f>
        <v/>
      </c>
      <c r="J2486" s="32">
        <f>IFERROR(IF(AND($F2486&gt;0,$H2486&gt;0,$A2486-$G2486&lt;=10,$A2486-$I2486&lt;=5,$G2486&gt;0,$I2486&gt;0),$F2486*$H2486,NA()),NA())</f>
        <v/>
      </c>
      <c r="K2486" s="15">
        <f>IF($A2486="","",IF(AH!$U$5=1,IFERROR(MATCH($A2486,'Live History'!$A$5:$A$3004,0),0),AH!$U$7+2481))</f>
        <v/>
      </c>
      <c r="L2486" s="15">
        <f>IF(ISNUMBER(A2486),TEXT(A2486,"dd-mmm-yy"),"")</f>
        <v/>
      </c>
    </row>
    <row r="2487">
      <c r="A2487" s="14">
        <f>IF(OR(AH!$U$4=0,2482+1&gt;AH!$U$6,AND(AH!$M$5="Bloomberg",AH!$U$5=0)),"",IFERROR(IF(AND(AH!$U$12=1,2482+1=AH!$U$6),TODAY(),IF(AH!$U$5=1,INDEX('Live History'!$A$5:$A$3004,AH!$U$7+2482),INDEX('AH History'!$A$5:$A$1380,AH!$U$7+2482))),""))</f>
        <v/>
      </c>
      <c r="B2487" s="33">
        <f>IFERROR(IF(AH!$U$11=1,NA(),$J2487/$E2487-1),NA())</f>
        <v/>
      </c>
      <c r="C2487" s="269">
        <f>IFERROR(100*$E2487/$E$5,NA())</f>
        <v/>
      </c>
      <c r="D2487" s="269">
        <f>IFERROR(100*$J2487/$J$5,NA())</f>
        <v/>
      </c>
      <c r="E2487" s="32">
        <f>IFERROR(IF(AND(ISNUMBER($A2487),N(IF(AND(AH!$U$12=1,2482+1=AH!$U$6),IF(AH!$U$4=0,"unavailable",INDEX('Market Data'!$AN$5:$AN$66,AH!$U$4)),IF(AH!$U$5=1,INDEX('Live History'!$B$5:$B$3004,$K2487),INDEX('AH History'!$D$5:$GG$1380,$K2487,AH!$U$10))))&gt;0),IF(AND(AH!$U$12=1,2482+1=AH!$U$6),IF(AH!$U$4=0,"unavailable",INDEX('Market Data'!$AN$5:$AN$66,AH!$U$4)),IF(AH!$U$5=1,INDEX('Live History'!$B$5:$B$3004,$K2487),INDEX('AH History'!$D$5:$GG$1380,$K2487,AH!$U$10))),NA()),NA())</f>
        <v/>
      </c>
      <c r="F2487" s="32">
        <f>IFERROR(IF(ISNUMBER($A2487),IF(AND(AH!$U$12=1,2482+1=AH!$U$6),IF(AH!$U$4=0,"unavailable",INDEX('Market Data'!$AO$5:$AO$66,AH!$U$4)),IF(AH!$U$5=1,INDEX('Live History'!$E$5:$E$3004,MATCH($A2487,'Live History'!$D$5:$D$3004,1)),INDEX('AH History'!$D$5:$GG$1380,$K2487,AH!$U$10+1))),NA()),NA())</f>
        <v/>
      </c>
      <c r="G2487" s="34">
        <f>IFERROR(IF(ISNUMBER($A2487),IF(AND(AH!$U$12=1,2482+1=AH!$U$6),IF(AH!$U$4=0,"unavailable",INDEX('Market Data'!$AK$5:$AK$66,AH!$U$4)),IF(AH!$U$5=1,INDEX('Live History'!$D$5:$D$3004,MATCH($A2487,'Live History'!$D$5:$D$3004,1)),INDEX('AH History'!$D$5:$GG$1380,$K2487,AH!$U$10+2))),NA()),NA())</f>
        <v/>
      </c>
      <c r="H2487" s="266">
        <f>IFERROR(IF(ISNUMBER($A2487),IF(AND(AH!$U$12=1,2482+1=AH!$U$6),IF(AH!$U$4=0,"unavailable",INDEX('Market Data'!$AP$5:$AP$66,AH!$U$4)),IF(AH!$U$5=1,INDEX('Live History'!$H$5:$H$3004,MATCH($A2487,'Live History'!$G$5:$G$3004,1)),INDEX('AH History'!$B$5:$B$1380,$K2487))),NA()),NA())</f>
        <v/>
      </c>
      <c r="I2487" s="34">
        <f>IFERROR(IF(ISNUMBER($A2487),IF(AND(AH!$U$12=1,2482+1=AH!$U$6),TODAY(),IF(AH!$U$5=1,INDEX('Live History'!$G$5:$G$3004,MATCH($A2487,'Live History'!$G$5:$G$3004,1)),INDEX('AH History'!$C$5:$C$1380,$K2487))),NA()),NA())</f>
        <v/>
      </c>
      <c r="J2487" s="32">
        <f>IFERROR(IF(AND($F2487&gt;0,$H2487&gt;0,$A2487-$G2487&lt;=10,$A2487-$I2487&lt;=5,$G2487&gt;0,$I2487&gt;0),$F2487*$H2487,NA()),NA())</f>
        <v/>
      </c>
      <c r="K2487" s="15">
        <f>IF($A2487="","",IF(AH!$U$5=1,IFERROR(MATCH($A2487,'Live History'!$A$5:$A$3004,0),0),AH!$U$7+2482))</f>
        <v/>
      </c>
      <c r="L2487" s="15">
        <f>IF(ISNUMBER(A2487),TEXT(A2487,"dd-mmm-yy"),"")</f>
        <v/>
      </c>
    </row>
    <row r="2488">
      <c r="A2488" s="14">
        <f>IF(OR(AH!$U$4=0,2483+1&gt;AH!$U$6,AND(AH!$M$5="Bloomberg",AH!$U$5=0)),"",IFERROR(IF(AND(AH!$U$12=1,2483+1=AH!$U$6),TODAY(),IF(AH!$U$5=1,INDEX('Live History'!$A$5:$A$3004,AH!$U$7+2483),INDEX('AH History'!$A$5:$A$1380,AH!$U$7+2483))),""))</f>
        <v/>
      </c>
      <c r="B2488" s="33">
        <f>IFERROR(IF(AH!$U$11=1,NA(),$J2488/$E2488-1),NA())</f>
        <v/>
      </c>
      <c r="C2488" s="269">
        <f>IFERROR(100*$E2488/$E$5,NA())</f>
        <v/>
      </c>
      <c r="D2488" s="269">
        <f>IFERROR(100*$J2488/$J$5,NA())</f>
        <v/>
      </c>
      <c r="E2488" s="32">
        <f>IFERROR(IF(AND(ISNUMBER($A2488),N(IF(AND(AH!$U$12=1,2483+1=AH!$U$6),IF(AH!$U$4=0,"unavailable",INDEX('Market Data'!$AN$5:$AN$66,AH!$U$4)),IF(AH!$U$5=1,INDEX('Live History'!$B$5:$B$3004,$K2488),INDEX('AH History'!$D$5:$GG$1380,$K2488,AH!$U$10))))&gt;0),IF(AND(AH!$U$12=1,2483+1=AH!$U$6),IF(AH!$U$4=0,"unavailable",INDEX('Market Data'!$AN$5:$AN$66,AH!$U$4)),IF(AH!$U$5=1,INDEX('Live History'!$B$5:$B$3004,$K2488),INDEX('AH History'!$D$5:$GG$1380,$K2488,AH!$U$10))),NA()),NA())</f>
        <v/>
      </c>
      <c r="F2488" s="32">
        <f>IFERROR(IF(ISNUMBER($A2488),IF(AND(AH!$U$12=1,2483+1=AH!$U$6),IF(AH!$U$4=0,"unavailable",INDEX('Market Data'!$AO$5:$AO$66,AH!$U$4)),IF(AH!$U$5=1,INDEX('Live History'!$E$5:$E$3004,MATCH($A2488,'Live History'!$D$5:$D$3004,1)),INDEX('AH History'!$D$5:$GG$1380,$K2488,AH!$U$10+1))),NA()),NA())</f>
        <v/>
      </c>
      <c r="G2488" s="34">
        <f>IFERROR(IF(ISNUMBER($A2488),IF(AND(AH!$U$12=1,2483+1=AH!$U$6),IF(AH!$U$4=0,"unavailable",INDEX('Market Data'!$AK$5:$AK$66,AH!$U$4)),IF(AH!$U$5=1,INDEX('Live History'!$D$5:$D$3004,MATCH($A2488,'Live History'!$D$5:$D$3004,1)),INDEX('AH History'!$D$5:$GG$1380,$K2488,AH!$U$10+2))),NA()),NA())</f>
        <v/>
      </c>
      <c r="H2488" s="266">
        <f>IFERROR(IF(ISNUMBER($A2488),IF(AND(AH!$U$12=1,2483+1=AH!$U$6),IF(AH!$U$4=0,"unavailable",INDEX('Market Data'!$AP$5:$AP$66,AH!$U$4)),IF(AH!$U$5=1,INDEX('Live History'!$H$5:$H$3004,MATCH($A2488,'Live History'!$G$5:$G$3004,1)),INDEX('AH History'!$B$5:$B$1380,$K2488))),NA()),NA())</f>
        <v/>
      </c>
      <c r="I2488" s="34">
        <f>IFERROR(IF(ISNUMBER($A2488),IF(AND(AH!$U$12=1,2483+1=AH!$U$6),TODAY(),IF(AH!$U$5=1,INDEX('Live History'!$G$5:$G$3004,MATCH($A2488,'Live History'!$G$5:$G$3004,1)),INDEX('AH History'!$C$5:$C$1380,$K2488))),NA()),NA())</f>
        <v/>
      </c>
      <c r="J2488" s="32">
        <f>IFERROR(IF(AND($F2488&gt;0,$H2488&gt;0,$A2488-$G2488&lt;=10,$A2488-$I2488&lt;=5,$G2488&gt;0,$I2488&gt;0),$F2488*$H2488,NA()),NA())</f>
        <v/>
      </c>
      <c r="K2488" s="15">
        <f>IF($A2488="","",IF(AH!$U$5=1,IFERROR(MATCH($A2488,'Live History'!$A$5:$A$3004,0),0),AH!$U$7+2483))</f>
        <v/>
      </c>
      <c r="L2488" s="15">
        <f>IF(ISNUMBER(A2488),TEXT(A2488,"dd-mmm-yy"),"")</f>
        <v/>
      </c>
    </row>
    <row r="2489">
      <c r="A2489" s="14">
        <f>IF(OR(AH!$U$4=0,2484+1&gt;AH!$U$6,AND(AH!$M$5="Bloomberg",AH!$U$5=0)),"",IFERROR(IF(AND(AH!$U$12=1,2484+1=AH!$U$6),TODAY(),IF(AH!$U$5=1,INDEX('Live History'!$A$5:$A$3004,AH!$U$7+2484),INDEX('AH History'!$A$5:$A$1380,AH!$U$7+2484))),""))</f>
        <v/>
      </c>
      <c r="B2489" s="33">
        <f>IFERROR(IF(AH!$U$11=1,NA(),$J2489/$E2489-1),NA())</f>
        <v/>
      </c>
      <c r="C2489" s="269">
        <f>IFERROR(100*$E2489/$E$5,NA())</f>
        <v/>
      </c>
      <c r="D2489" s="269">
        <f>IFERROR(100*$J2489/$J$5,NA())</f>
        <v/>
      </c>
      <c r="E2489" s="32">
        <f>IFERROR(IF(AND(ISNUMBER($A2489),N(IF(AND(AH!$U$12=1,2484+1=AH!$U$6),IF(AH!$U$4=0,"unavailable",INDEX('Market Data'!$AN$5:$AN$66,AH!$U$4)),IF(AH!$U$5=1,INDEX('Live History'!$B$5:$B$3004,$K2489),INDEX('AH History'!$D$5:$GG$1380,$K2489,AH!$U$10))))&gt;0),IF(AND(AH!$U$12=1,2484+1=AH!$U$6),IF(AH!$U$4=0,"unavailable",INDEX('Market Data'!$AN$5:$AN$66,AH!$U$4)),IF(AH!$U$5=1,INDEX('Live History'!$B$5:$B$3004,$K2489),INDEX('AH History'!$D$5:$GG$1380,$K2489,AH!$U$10))),NA()),NA())</f>
        <v/>
      </c>
      <c r="F2489" s="32">
        <f>IFERROR(IF(ISNUMBER($A2489),IF(AND(AH!$U$12=1,2484+1=AH!$U$6),IF(AH!$U$4=0,"unavailable",INDEX('Market Data'!$AO$5:$AO$66,AH!$U$4)),IF(AH!$U$5=1,INDEX('Live History'!$E$5:$E$3004,MATCH($A2489,'Live History'!$D$5:$D$3004,1)),INDEX('AH History'!$D$5:$GG$1380,$K2489,AH!$U$10+1))),NA()),NA())</f>
        <v/>
      </c>
      <c r="G2489" s="34">
        <f>IFERROR(IF(ISNUMBER($A2489),IF(AND(AH!$U$12=1,2484+1=AH!$U$6),IF(AH!$U$4=0,"unavailable",INDEX('Market Data'!$AK$5:$AK$66,AH!$U$4)),IF(AH!$U$5=1,INDEX('Live History'!$D$5:$D$3004,MATCH($A2489,'Live History'!$D$5:$D$3004,1)),INDEX('AH History'!$D$5:$GG$1380,$K2489,AH!$U$10+2))),NA()),NA())</f>
        <v/>
      </c>
      <c r="H2489" s="266">
        <f>IFERROR(IF(ISNUMBER($A2489),IF(AND(AH!$U$12=1,2484+1=AH!$U$6),IF(AH!$U$4=0,"unavailable",INDEX('Market Data'!$AP$5:$AP$66,AH!$U$4)),IF(AH!$U$5=1,INDEX('Live History'!$H$5:$H$3004,MATCH($A2489,'Live History'!$G$5:$G$3004,1)),INDEX('AH History'!$B$5:$B$1380,$K2489))),NA()),NA())</f>
        <v/>
      </c>
      <c r="I2489" s="34">
        <f>IFERROR(IF(ISNUMBER($A2489),IF(AND(AH!$U$12=1,2484+1=AH!$U$6),TODAY(),IF(AH!$U$5=1,INDEX('Live History'!$G$5:$G$3004,MATCH($A2489,'Live History'!$G$5:$G$3004,1)),INDEX('AH History'!$C$5:$C$1380,$K2489))),NA()),NA())</f>
        <v/>
      </c>
      <c r="J2489" s="32">
        <f>IFERROR(IF(AND($F2489&gt;0,$H2489&gt;0,$A2489-$G2489&lt;=10,$A2489-$I2489&lt;=5,$G2489&gt;0,$I2489&gt;0),$F2489*$H2489,NA()),NA())</f>
        <v/>
      </c>
      <c r="K2489" s="15">
        <f>IF($A2489="","",IF(AH!$U$5=1,IFERROR(MATCH($A2489,'Live History'!$A$5:$A$3004,0),0),AH!$U$7+2484))</f>
        <v/>
      </c>
      <c r="L2489" s="15">
        <f>IF(ISNUMBER(A2489),TEXT(A2489,"dd-mmm-yy"),"")</f>
        <v/>
      </c>
    </row>
    <row r="2490">
      <c r="A2490" s="14">
        <f>IF(OR(AH!$U$4=0,2485+1&gt;AH!$U$6,AND(AH!$M$5="Bloomberg",AH!$U$5=0)),"",IFERROR(IF(AND(AH!$U$12=1,2485+1=AH!$U$6),TODAY(),IF(AH!$U$5=1,INDEX('Live History'!$A$5:$A$3004,AH!$U$7+2485),INDEX('AH History'!$A$5:$A$1380,AH!$U$7+2485))),""))</f>
        <v/>
      </c>
      <c r="B2490" s="33">
        <f>IFERROR(IF(AH!$U$11=1,NA(),$J2490/$E2490-1),NA())</f>
        <v/>
      </c>
      <c r="C2490" s="269">
        <f>IFERROR(100*$E2490/$E$5,NA())</f>
        <v/>
      </c>
      <c r="D2490" s="269">
        <f>IFERROR(100*$J2490/$J$5,NA())</f>
        <v/>
      </c>
      <c r="E2490" s="32">
        <f>IFERROR(IF(AND(ISNUMBER($A2490),N(IF(AND(AH!$U$12=1,2485+1=AH!$U$6),IF(AH!$U$4=0,"unavailable",INDEX('Market Data'!$AN$5:$AN$66,AH!$U$4)),IF(AH!$U$5=1,INDEX('Live History'!$B$5:$B$3004,$K2490),INDEX('AH History'!$D$5:$GG$1380,$K2490,AH!$U$10))))&gt;0),IF(AND(AH!$U$12=1,2485+1=AH!$U$6),IF(AH!$U$4=0,"unavailable",INDEX('Market Data'!$AN$5:$AN$66,AH!$U$4)),IF(AH!$U$5=1,INDEX('Live History'!$B$5:$B$3004,$K2490),INDEX('AH History'!$D$5:$GG$1380,$K2490,AH!$U$10))),NA()),NA())</f>
        <v/>
      </c>
      <c r="F2490" s="32">
        <f>IFERROR(IF(ISNUMBER($A2490),IF(AND(AH!$U$12=1,2485+1=AH!$U$6),IF(AH!$U$4=0,"unavailable",INDEX('Market Data'!$AO$5:$AO$66,AH!$U$4)),IF(AH!$U$5=1,INDEX('Live History'!$E$5:$E$3004,MATCH($A2490,'Live History'!$D$5:$D$3004,1)),INDEX('AH History'!$D$5:$GG$1380,$K2490,AH!$U$10+1))),NA()),NA())</f>
        <v/>
      </c>
      <c r="G2490" s="34">
        <f>IFERROR(IF(ISNUMBER($A2490),IF(AND(AH!$U$12=1,2485+1=AH!$U$6),IF(AH!$U$4=0,"unavailable",INDEX('Market Data'!$AK$5:$AK$66,AH!$U$4)),IF(AH!$U$5=1,INDEX('Live History'!$D$5:$D$3004,MATCH($A2490,'Live History'!$D$5:$D$3004,1)),INDEX('AH History'!$D$5:$GG$1380,$K2490,AH!$U$10+2))),NA()),NA())</f>
        <v/>
      </c>
      <c r="H2490" s="266">
        <f>IFERROR(IF(ISNUMBER($A2490),IF(AND(AH!$U$12=1,2485+1=AH!$U$6),IF(AH!$U$4=0,"unavailable",INDEX('Market Data'!$AP$5:$AP$66,AH!$U$4)),IF(AH!$U$5=1,INDEX('Live History'!$H$5:$H$3004,MATCH($A2490,'Live History'!$G$5:$G$3004,1)),INDEX('AH History'!$B$5:$B$1380,$K2490))),NA()),NA())</f>
        <v/>
      </c>
      <c r="I2490" s="34">
        <f>IFERROR(IF(ISNUMBER($A2490),IF(AND(AH!$U$12=1,2485+1=AH!$U$6),TODAY(),IF(AH!$U$5=1,INDEX('Live History'!$G$5:$G$3004,MATCH($A2490,'Live History'!$G$5:$G$3004,1)),INDEX('AH History'!$C$5:$C$1380,$K2490))),NA()),NA())</f>
        <v/>
      </c>
      <c r="J2490" s="32">
        <f>IFERROR(IF(AND($F2490&gt;0,$H2490&gt;0,$A2490-$G2490&lt;=10,$A2490-$I2490&lt;=5,$G2490&gt;0,$I2490&gt;0),$F2490*$H2490,NA()),NA())</f>
        <v/>
      </c>
      <c r="K2490" s="15">
        <f>IF($A2490="","",IF(AH!$U$5=1,IFERROR(MATCH($A2490,'Live History'!$A$5:$A$3004,0),0),AH!$U$7+2485))</f>
        <v/>
      </c>
      <c r="L2490" s="15">
        <f>IF(ISNUMBER(A2490),TEXT(A2490,"dd-mmm-yy"),"")</f>
        <v/>
      </c>
    </row>
    <row r="2491">
      <c r="A2491" s="14">
        <f>IF(OR(AH!$U$4=0,2486+1&gt;AH!$U$6,AND(AH!$M$5="Bloomberg",AH!$U$5=0)),"",IFERROR(IF(AND(AH!$U$12=1,2486+1=AH!$U$6),TODAY(),IF(AH!$U$5=1,INDEX('Live History'!$A$5:$A$3004,AH!$U$7+2486),INDEX('AH History'!$A$5:$A$1380,AH!$U$7+2486))),""))</f>
        <v/>
      </c>
      <c r="B2491" s="33">
        <f>IFERROR(IF(AH!$U$11=1,NA(),$J2491/$E2491-1),NA())</f>
        <v/>
      </c>
      <c r="C2491" s="269">
        <f>IFERROR(100*$E2491/$E$5,NA())</f>
        <v/>
      </c>
      <c r="D2491" s="269">
        <f>IFERROR(100*$J2491/$J$5,NA())</f>
        <v/>
      </c>
      <c r="E2491" s="32">
        <f>IFERROR(IF(AND(ISNUMBER($A2491),N(IF(AND(AH!$U$12=1,2486+1=AH!$U$6),IF(AH!$U$4=0,"unavailable",INDEX('Market Data'!$AN$5:$AN$66,AH!$U$4)),IF(AH!$U$5=1,INDEX('Live History'!$B$5:$B$3004,$K2491),INDEX('AH History'!$D$5:$GG$1380,$K2491,AH!$U$10))))&gt;0),IF(AND(AH!$U$12=1,2486+1=AH!$U$6),IF(AH!$U$4=0,"unavailable",INDEX('Market Data'!$AN$5:$AN$66,AH!$U$4)),IF(AH!$U$5=1,INDEX('Live History'!$B$5:$B$3004,$K2491),INDEX('AH History'!$D$5:$GG$1380,$K2491,AH!$U$10))),NA()),NA())</f>
        <v/>
      </c>
      <c r="F2491" s="32">
        <f>IFERROR(IF(ISNUMBER($A2491),IF(AND(AH!$U$12=1,2486+1=AH!$U$6),IF(AH!$U$4=0,"unavailable",INDEX('Market Data'!$AO$5:$AO$66,AH!$U$4)),IF(AH!$U$5=1,INDEX('Live History'!$E$5:$E$3004,MATCH($A2491,'Live History'!$D$5:$D$3004,1)),INDEX('AH History'!$D$5:$GG$1380,$K2491,AH!$U$10+1))),NA()),NA())</f>
        <v/>
      </c>
      <c r="G2491" s="34">
        <f>IFERROR(IF(ISNUMBER($A2491),IF(AND(AH!$U$12=1,2486+1=AH!$U$6),IF(AH!$U$4=0,"unavailable",INDEX('Market Data'!$AK$5:$AK$66,AH!$U$4)),IF(AH!$U$5=1,INDEX('Live History'!$D$5:$D$3004,MATCH($A2491,'Live History'!$D$5:$D$3004,1)),INDEX('AH History'!$D$5:$GG$1380,$K2491,AH!$U$10+2))),NA()),NA())</f>
        <v/>
      </c>
      <c r="H2491" s="266">
        <f>IFERROR(IF(ISNUMBER($A2491),IF(AND(AH!$U$12=1,2486+1=AH!$U$6),IF(AH!$U$4=0,"unavailable",INDEX('Market Data'!$AP$5:$AP$66,AH!$U$4)),IF(AH!$U$5=1,INDEX('Live History'!$H$5:$H$3004,MATCH($A2491,'Live History'!$G$5:$G$3004,1)),INDEX('AH History'!$B$5:$B$1380,$K2491))),NA()),NA())</f>
        <v/>
      </c>
      <c r="I2491" s="34">
        <f>IFERROR(IF(ISNUMBER($A2491),IF(AND(AH!$U$12=1,2486+1=AH!$U$6),TODAY(),IF(AH!$U$5=1,INDEX('Live History'!$G$5:$G$3004,MATCH($A2491,'Live History'!$G$5:$G$3004,1)),INDEX('AH History'!$C$5:$C$1380,$K2491))),NA()),NA())</f>
        <v/>
      </c>
      <c r="J2491" s="32">
        <f>IFERROR(IF(AND($F2491&gt;0,$H2491&gt;0,$A2491-$G2491&lt;=10,$A2491-$I2491&lt;=5,$G2491&gt;0,$I2491&gt;0),$F2491*$H2491,NA()),NA())</f>
        <v/>
      </c>
      <c r="K2491" s="15">
        <f>IF($A2491="","",IF(AH!$U$5=1,IFERROR(MATCH($A2491,'Live History'!$A$5:$A$3004,0),0),AH!$U$7+2486))</f>
        <v/>
      </c>
      <c r="L2491" s="15">
        <f>IF(ISNUMBER(A2491),TEXT(A2491,"dd-mmm-yy"),"")</f>
        <v/>
      </c>
    </row>
    <row r="2492">
      <c r="A2492" s="14">
        <f>IF(OR(AH!$U$4=0,2487+1&gt;AH!$U$6,AND(AH!$M$5="Bloomberg",AH!$U$5=0)),"",IFERROR(IF(AND(AH!$U$12=1,2487+1=AH!$U$6),TODAY(),IF(AH!$U$5=1,INDEX('Live History'!$A$5:$A$3004,AH!$U$7+2487),INDEX('AH History'!$A$5:$A$1380,AH!$U$7+2487))),""))</f>
        <v/>
      </c>
      <c r="B2492" s="33">
        <f>IFERROR(IF(AH!$U$11=1,NA(),$J2492/$E2492-1),NA())</f>
        <v/>
      </c>
      <c r="C2492" s="269">
        <f>IFERROR(100*$E2492/$E$5,NA())</f>
        <v/>
      </c>
      <c r="D2492" s="269">
        <f>IFERROR(100*$J2492/$J$5,NA())</f>
        <v/>
      </c>
      <c r="E2492" s="32">
        <f>IFERROR(IF(AND(ISNUMBER($A2492),N(IF(AND(AH!$U$12=1,2487+1=AH!$U$6),IF(AH!$U$4=0,"unavailable",INDEX('Market Data'!$AN$5:$AN$66,AH!$U$4)),IF(AH!$U$5=1,INDEX('Live History'!$B$5:$B$3004,$K2492),INDEX('AH History'!$D$5:$GG$1380,$K2492,AH!$U$10))))&gt;0),IF(AND(AH!$U$12=1,2487+1=AH!$U$6),IF(AH!$U$4=0,"unavailable",INDEX('Market Data'!$AN$5:$AN$66,AH!$U$4)),IF(AH!$U$5=1,INDEX('Live History'!$B$5:$B$3004,$K2492),INDEX('AH History'!$D$5:$GG$1380,$K2492,AH!$U$10))),NA()),NA())</f>
        <v/>
      </c>
      <c r="F2492" s="32">
        <f>IFERROR(IF(ISNUMBER($A2492),IF(AND(AH!$U$12=1,2487+1=AH!$U$6),IF(AH!$U$4=0,"unavailable",INDEX('Market Data'!$AO$5:$AO$66,AH!$U$4)),IF(AH!$U$5=1,INDEX('Live History'!$E$5:$E$3004,MATCH($A2492,'Live History'!$D$5:$D$3004,1)),INDEX('AH History'!$D$5:$GG$1380,$K2492,AH!$U$10+1))),NA()),NA())</f>
        <v/>
      </c>
      <c r="G2492" s="34">
        <f>IFERROR(IF(ISNUMBER($A2492),IF(AND(AH!$U$12=1,2487+1=AH!$U$6),IF(AH!$U$4=0,"unavailable",INDEX('Market Data'!$AK$5:$AK$66,AH!$U$4)),IF(AH!$U$5=1,INDEX('Live History'!$D$5:$D$3004,MATCH($A2492,'Live History'!$D$5:$D$3004,1)),INDEX('AH History'!$D$5:$GG$1380,$K2492,AH!$U$10+2))),NA()),NA())</f>
        <v/>
      </c>
      <c r="H2492" s="266">
        <f>IFERROR(IF(ISNUMBER($A2492),IF(AND(AH!$U$12=1,2487+1=AH!$U$6),IF(AH!$U$4=0,"unavailable",INDEX('Market Data'!$AP$5:$AP$66,AH!$U$4)),IF(AH!$U$5=1,INDEX('Live History'!$H$5:$H$3004,MATCH($A2492,'Live History'!$G$5:$G$3004,1)),INDEX('AH History'!$B$5:$B$1380,$K2492))),NA()),NA())</f>
        <v/>
      </c>
      <c r="I2492" s="34">
        <f>IFERROR(IF(ISNUMBER($A2492),IF(AND(AH!$U$12=1,2487+1=AH!$U$6),TODAY(),IF(AH!$U$5=1,INDEX('Live History'!$G$5:$G$3004,MATCH($A2492,'Live History'!$G$5:$G$3004,1)),INDEX('AH History'!$C$5:$C$1380,$K2492))),NA()),NA())</f>
        <v/>
      </c>
      <c r="J2492" s="32">
        <f>IFERROR(IF(AND($F2492&gt;0,$H2492&gt;0,$A2492-$G2492&lt;=10,$A2492-$I2492&lt;=5,$G2492&gt;0,$I2492&gt;0),$F2492*$H2492,NA()),NA())</f>
        <v/>
      </c>
      <c r="K2492" s="15">
        <f>IF($A2492="","",IF(AH!$U$5=1,IFERROR(MATCH($A2492,'Live History'!$A$5:$A$3004,0),0),AH!$U$7+2487))</f>
        <v/>
      </c>
      <c r="L2492" s="15">
        <f>IF(ISNUMBER(A2492),TEXT(A2492,"dd-mmm-yy"),"")</f>
        <v/>
      </c>
    </row>
    <row r="2493">
      <c r="A2493" s="14">
        <f>IF(OR(AH!$U$4=0,2488+1&gt;AH!$U$6,AND(AH!$M$5="Bloomberg",AH!$U$5=0)),"",IFERROR(IF(AND(AH!$U$12=1,2488+1=AH!$U$6),TODAY(),IF(AH!$U$5=1,INDEX('Live History'!$A$5:$A$3004,AH!$U$7+2488),INDEX('AH History'!$A$5:$A$1380,AH!$U$7+2488))),""))</f>
        <v/>
      </c>
      <c r="B2493" s="33">
        <f>IFERROR(IF(AH!$U$11=1,NA(),$J2493/$E2493-1),NA())</f>
        <v/>
      </c>
      <c r="C2493" s="269">
        <f>IFERROR(100*$E2493/$E$5,NA())</f>
        <v/>
      </c>
      <c r="D2493" s="269">
        <f>IFERROR(100*$J2493/$J$5,NA())</f>
        <v/>
      </c>
      <c r="E2493" s="32">
        <f>IFERROR(IF(AND(ISNUMBER($A2493),N(IF(AND(AH!$U$12=1,2488+1=AH!$U$6),IF(AH!$U$4=0,"unavailable",INDEX('Market Data'!$AN$5:$AN$66,AH!$U$4)),IF(AH!$U$5=1,INDEX('Live History'!$B$5:$B$3004,$K2493),INDEX('AH History'!$D$5:$GG$1380,$K2493,AH!$U$10))))&gt;0),IF(AND(AH!$U$12=1,2488+1=AH!$U$6),IF(AH!$U$4=0,"unavailable",INDEX('Market Data'!$AN$5:$AN$66,AH!$U$4)),IF(AH!$U$5=1,INDEX('Live History'!$B$5:$B$3004,$K2493),INDEX('AH History'!$D$5:$GG$1380,$K2493,AH!$U$10))),NA()),NA())</f>
        <v/>
      </c>
      <c r="F2493" s="32">
        <f>IFERROR(IF(ISNUMBER($A2493),IF(AND(AH!$U$12=1,2488+1=AH!$U$6),IF(AH!$U$4=0,"unavailable",INDEX('Market Data'!$AO$5:$AO$66,AH!$U$4)),IF(AH!$U$5=1,INDEX('Live History'!$E$5:$E$3004,MATCH($A2493,'Live History'!$D$5:$D$3004,1)),INDEX('AH History'!$D$5:$GG$1380,$K2493,AH!$U$10+1))),NA()),NA())</f>
        <v/>
      </c>
      <c r="G2493" s="34">
        <f>IFERROR(IF(ISNUMBER($A2493),IF(AND(AH!$U$12=1,2488+1=AH!$U$6),IF(AH!$U$4=0,"unavailable",INDEX('Market Data'!$AK$5:$AK$66,AH!$U$4)),IF(AH!$U$5=1,INDEX('Live History'!$D$5:$D$3004,MATCH($A2493,'Live History'!$D$5:$D$3004,1)),INDEX('AH History'!$D$5:$GG$1380,$K2493,AH!$U$10+2))),NA()),NA())</f>
        <v/>
      </c>
      <c r="H2493" s="266">
        <f>IFERROR(IF(ISNUMBER($A2493),IF(AND(AH!$U$12=1,2488+1=AH!$U$6),IF(AH!$U$4=0,"unavailable",INDEX('Market Data'!$AP$5:$AP$66,AH!$U$4)),IF(AH!$U$5=1,INDEX('Live History'!$H$5:$H$3004,MATCH($A2493,'Live History'!$G$5:$G$3004,1)),INDEX('AH History'!$B$5:$B$1380,$K2493))),NA()),NA())</f>
        <v/>
      </c>
      <c r="I2493" s="34">
        <f>IFERROR(IF(ISNUMBER($A2493),IF(AND(AH!$U$12=1,2488+1=AH!$U$6),TODAY(),IF(AH!$U$5=1,INDEX('Live History'!$G$5:$G$3004,MATCH($A2493,'Live History'!$G$5:$G$3004,1)),INDEX('AH History'!$C$5:$C$1380,$K2493))),NA()),NA())</f>
        <v/>
      </c>
      <c r="J2493" s="32">
        <f>IFERROR(IF(AND($F2493&gt;0,$H2493&gt;0,$A2493-$G2493&lt;=10,$A2493-$I2493&lt;=5,$G2493&gt;0,$I2493&gt;0),$F2493*$H2493,NA()),NA())</f>
        <v/>
      </c>
      <c r="K2493" s="15">
        <f>IF($A2493="","",IF(AH!$U$5=1,IFERROR(MATCH($A2493,'Live History'!$A$5:$A$3004,0),0),AH!$U$7+2488))</f>
        <v/>
      </c>
      <c r="L2493" s="15">
        <f>IF(ISNUMBER(A2493),TEXT(A2493,"dd-mmm-yy"),"")</f>
        <v/>
      </c>
    </row>
    <row r="2494">
      <c r="A2494" s="14">
        <f>IF(OR(AH!$U$4=0,2489+1&gt;AH!$U$6,AND(AH!$M$5="Bloomberg",AH!$U$5=0)),"",IFERROR(IF(AND(AH!$U$12=1,2489+1=AH!$U$6),TODAY(),IF(AH!$U$5=1,INDEX('Live History'!$A$5:$A$3004,AH!$U$7+2489),INDEX('AH History'!$A$5:$A$1380,AH!$U$7+2489))),""))</f>
        <v/>
      </c>
      <c r="B2494" s="33">
        <f>IFERROR(IF(AH!$U$11=1,NA(),$J2494/$E2494-1),NA())</f>
        <v/>
      </c>
      <c r="C2494" s="269">
        <f>IFERROR(100*$E2494/$E$5,NA())</f>
        <v/>
      </c>
      <c r="D2494" s="269">
        <f>IFERROR(100*$J2494/$J$5,NA())</f>
        <v/>
      </c>
      <c r="E2494" s="32">
        <f>IFERROR(IF(AND(ISNUMBER($A2494),N(IF(AND(AH!$U$12=1,2489+1=AH!$U$6),IF(AH!$U$4=0,"unavailable",INDEX('Market Data'!$AN$5:$AN$66,AH!$U$4)),IF(AH!$U$5=1,INDEX('Live History'!$B$5:$B$3004,$K2494),INDEX('AH History'!$D$5:$GG$1380,$K2494,AH!$U$10))))&gt;0),IF(AND(AH!$U$12=1,2489+1=AH!$U$6),IF(AH!$U$4=0,"unavailable",INDEX('Market Data'!$AN$5:$AN$66,AH!$U$4)),IF(AH!$U$5=1,INDEX('Live History'!$B$5:$B$3004,$K2494),INDEX('AH History'!$D$5:$GG$1380,$K2494,AH!$U$10))),NA()),NA())</f>
        <v/>
      </c>
      <c r="F2494" s="32">
        <f>IFERROR(IF(ISNUMBER($A2494),IF(AND(AH!$U$12=1,2489+1=AH!$U$6),IF(AH!$U$4=0,"unavailable",INDEX('Market Data'!$AO$5:$AO$66,AH!$U$4)),IF(AH!$U$5=1,INDEX('Live History'!$E$5:$E$3004,MATCH($A2494,'Live History'!$D$5:$D$3004,1)),INDEX('AH History'!$D$5:$GG$1380,$K2494,AH!$U$10+1))),NA()),NA())</f>
        <v/>
      </c>
      <c r="G2494" s="34">
        <f>IFERROR(IF(ISNUMBER($A2494),IF(AND(AH!$U$12=1,2489+1=AH!$U$6),IF(AH!$U$4=0,"unavailable",INDEX('Market Data'!$AK$5:$AK$66,AH!$U$4)),IF(AH!$U$5=1,INDEX('Live History'!$D$5:$D$3004,MATCH($A2494,'Live History'!$D$5:$D$3004,1)),INDEX('AH History'!$D$5:$GG$1380,$K2494,AH!$U$10+2))),NA()),NA())</f>
        <v/>
      </c>
      <c r="H2494" s="266">
        <f>IFERROR(IF(ISNUMBER($A2494),IF(AND(AH!$U$12=1,2489+1=AH!$U$6),IF(AH!$U$4=0,"unavailable",INDEX('Market Data'!$AP$5:$AP$66,AH!$U$4)),IF(AH!$U$5=1,INDEX('Live History'!$H$5:$H$3004,MATCH($A2494,'Live History'!$G$5:$G$3004,1)),INDEX('AH History'!$B$5:$B$1380,$K2494))),NA()),NA())</f>
        <v/>
      </c>
      <c r="I2494" s="34">
        <f>IFERROR(IF(ISNUMBER($A2494),IF(AND(AH!$U$12=1,2489+1=AH!$U$6),TODAY(),IF(AH!$U$5=1,INDEX('Live History'!$G$5:$G$3004,MATCH($A2494,'Live History'!$G$5:$G$3004,1)),INDEX('AH History'!$C$5:$C$1380,$K2494))),NA()),NA())</f>
        <v/>
      </c>
      <c r="J2494" s="32">
        <f>IFERROR(IF(AND($F2494&gt;0,$H2494&gt;0,$A2494-$G2494&lt;=10,$A2494-$I2494&lt;=5,$G2494&gt;0,$I2494&gt;0),$F2494*$H2494,NA()),NA())</f>
        <v/>
      </c>
      <c r="K2494" s="15">
        <f>IF($A2494="","",IF(AH!$U$5=1,IFERROR(MATCH($A2494,'Live History'!$A$5:$A$3004,0),0),AH!$U$7+2489))</f>
        <v/>
      </c>
      <c r="L2494" s="15">
        <f>IF(ISNUMBER(A2494),TEXT(A2494,"dd-mmm-yy"),"")</f>
        <v/>
      </c>
    </row>
    <row r="2495">
      <c r="A2495" s="14">
        <f>IF(OR(AH!$U$4=0,2490+1&gt;AH!$U$6,AND(AH!$M$5="Bloomberg",AH!$U$5=0)),"",IFERROR(IF(AND(AH!$U$12=1,2490+1=AH!$U$6),TODAY(),IF(AH!$U$5=1,INDEX('Live History'!$A$5:$A$3004,AH!$U$7+2490),INDEX('AH History'!$A$5:$A$1380,AH!$U$7+2490))),""))</f>
        <v/>
      </c>
      <c r="B2495" s="33">
        <f>IFERROR(IF(AH!$U$11=1,NA(),$J2495/$E2495-1),NA())</f>
        <v/>
      </c>
      <c r="C2495" s="269">
        <f>IFERROR(100*$E2495/$E$5,NA())</f>
        <v/>
      </c>
      <c r="D2495" s="269">
        <f>IFERROR(100*$J2495/$J$5,NA())</f>
        <v/>
      </c>
      <c r="E2495" s="32">
        <f>IFERROR(IF(AND(ISNUMBER($A2495),N(IF(AND(AH!$U$12=1,2490+1=AH!$U$6),IF(AH!$U$4=0,"unavailable",INDEX('Market Data'!$AN$5:$AN$66,AH!$U$4)),IF(AH!$U$5=1,INDEX('Live History'!$B$5:$B$3004,$K2495),INDEX('AH History'!$D$5:$GG$1380,$K2495,AH!$U$10))))&gt;0),IF(AND(AH!$U$12=1,2490+1=AH!$U$6),IF(AH!$U$4=0,"unavailable",INDEX('Market Data'!$AN$5:$AN$66,AH!$U$4)),IF(AH!$U$5=1,INDEX('Live History'!$B$5:$B$3004,$K2495),INDEX('AH History'!$D$5:$GG$1380,$K2495,AH!$U$10))),NA()),NA())</f>
        <v/>
      </c>
      <c r="F2495" s="32">
        <f>IFERROR(IF(ISNUMBER($A2495),IF(AND(AH!$U$12=1,2490+1=AH!$U$6),IF(AH!$U$4=0,"unavailable",INDEX('Market Data'!$AO$5:$AO$66,AH!$U$4)),IF(AH!$U$5=1,INDEX('Live History'!$E$5:$E$3004,MATCH($A2495,'Live History'!$D$5:$D$3004,1)),INDEX('AH History'!$D$5:$GG$1380,$K2495,AH!$U$10+1))),NA()),NA())</f>
        <v/>
      </c>
      <c r="G2495" s="34">
        <f>IFERROR(IF(ISNUMBER($A2495),IF(AND(AH!$U$12=1,2490+1=AH!$U$6),IF(AH!$U$4=0,"unavailable",INDEX('Market Data'!$AK$5:$AK$66,AH!$U$4)),IF(AH!$U$5=1,INDEX('Live History'!$D$5:$D$3004,MATCH($A2495,'Live History'!$D$5:$D$3004,1)),INDEX('AH History'!$D$5:$GG$1380,$K2495,AH!$U$10+2))),NA()),NA())</f>
        <v/>
      </c>
      <c r="H2495" s="266">
        <f>IFERROR(IF(ISNUMBER($A2495),IF(AND(AH!$U$12=1,2490+1=AH!$U$6),IF(AH!$U$4=0,"unavailable",INDEX('Market Data'!$AP$5:$AP$66,AH!$U$4)),IF(AH!$U$5=1,INDEX('Live History'!$H$5:$H$3004,MATCH($A2495,'Live History'!$G$5:$G$3004,1)),INDEX('AH History'!$B$5:$B$1380,$K2495))),NA()),NA())</f>
        <v/>
      </c>
      <c r="I2495" s="34">
        <f>IFERROR(IF(ISNUMBER($A2495),IF(AND(AH!$U$12=1,2490+1=AH!$U$6),TODAY(),IF(AH!$U$5=1,INDEX('Live History'!$G$5:$G$3004,MATCH($A2495,'Live History'!$G$5:$G$3004,1)),INDEX('AH History'!$C$5:$C$1380,$K2495))),NA()),NA())</f>
        <v/>
      </c>
      <c r="J2495" s="32">
        <f>IFERROR(IF(AND($F2495&gt;0,$H2495&gt;0,$A2495-$G2495&lt;=10,$A2495-$I2495&lt;=5,$G2495&gt;0,$I2495&gt;0),$F2495*$H2495,NA()),NA())</f>
        <v/>
      </c>
      <c r="K2495" s="15">
        <f>IF($A2495="","",IF(AH!$U$5=1,IFERROR(MATCH($A2495,'Live History'!$A$5:$A$3004,0),0),AH!$U$7+2490))</f>
        <v/>
      </c>
      <c r="L2495" s="15">
        <f>IF(ISNUMBER(A2495),TEXT(A2495,"dd-mmm-yy"),"")</f>
        <v/>
      </c>
    </row>
    <row r="2496">
      <c r="A2496" s="14">
        <f>IF(OR(AH!$U$4=0,2491+1&gt;AH!$U$6,AND(AH!$M$5="Bloomberg",AH!$U$5=0)),"",IFERROR(IF(AND(AH!$U$12=1,2491+1=AH!$U$6),TODAY(),IF(AH!$U$5=1,INDEX('Live History'!$A$5:$A$3004,AH!$U$7+2491),INDEX('AH History'!$A$5:$A$1380,AH!$U$7+2491))),""))</f>
        <v/>
      </c>
      <c r="B2496" s="33">
        <f>IFERROR(IF(AH!$U$11=1,NA(),$J2496/$E2496-1),NA())</f>
        <v/>
      </c>
      <c r="C2496" s="269">
        <f>IFERROR(100*$E2496/$E$5,NA())</f>
        <v/>
      </c>
      <c r="D2496" s="269">
        <f>IFERROR(100*$J2496/$J$5,NA())</f>
        <v/>
      </c>
      <c r="E2496" s="32">
        <f>IFERROR(IF(AND(ISNUMBER($A2496),N(IF(AND(AH!$U$12=1,2491+1=AH!$U$6),IF(AH!$U$4=0,"unavailable",INDEX('Market Data'!$AN$5:$AN$66,AH!$U$4)),IF(AH!$U$5=1,INDEX('Live History'!$B$5:$B$3004,$K2496),INDEX('AH History'!$D$5:$GG$1380,$K2496,AH!$U$10))))&gt;0),IF(AND(AH!$U$12=1,2491+1=AH!$U$6),IF(AH!$U$4=0,"unavailable",INDEX('Market Data'!$AN$5:$AN$66,AH!$U$4)),IF(AH!$U$5=1,INDEX('Live History'!$B$5:$B$3004,$K2496),INDEX('AH History'!$D$5:$GG$1380,$K2496,AH!$U$10))),NA()),NA())</f>
        <v/>
      </c>
      <c r="F2496" s="32">
        <f>IFERROR(IF(ISNUMBER($A2496),IF(AND(AH!$U$12=1,2491+1=AH!$U$6),IF(AH!$U$4=0,"unavailable",INDEX('Market Data'!$AO$5:$AO$66,AH!$U$4)),IF(AH!$U$5=1,INDEX('Live History'!$E$5:$E$3004,MATCH($A2496,'Live History'!$D$5:$D$3004,1)),INDEX('AH History'!$D$5:$GG$1380,$K2496,AH!$U$10+1))),NA()),NA())</f>
        <v/>
      </c>
      <c r="G2496" s="34">
        <f>IFERROR(IF(ISNUMBER($A2496),IF(AND(AH!$U$12=1,2491+1=AH!$U$6),IF(AH!$U$4=0,"unavailable",INDEX('Market Data'!$AK$5:$AK$66,AH!$U$4)),IF(AH!$U$5=1,INDEX('Live History'!$D$5:$D$3004,MATCH($A2496,'Live History'!$D$5:$D$3004,1)),INDEX('AH History'!$D$5:$GG$1380,$K2496,AH!$U$10+2))),NA()),NA())</f>
        <v/>
      </c>
      <c r="H2496" s="266">
        <f>IFERROR(IF(ISNUMBER($A2496),IF(AND(AH!$U$12=1,2491+1=AH!$U$6),IF(AH!$U$4=0,"unavailable",INDEX('Market Data'!$AP$5:$AP$66,AH!$U$4)),IF(AH!$U$5=1,INDEX('Live History'!$H$5:$H$3004,MATCH($A2496,'Live History'!$G$5:$G$3004,1)),INDEX('AH History'!$B$5:$B$1380,$K2496))),NA()),NA())</f>
        <v/>
      </c>
      <c r="I2496" s="34">
        <f>IFERROR(IF(ISNUMBER($A2496),IF(AND(AH!$U$12=1,2491+1=AH!$U$6),TODAY(),IF(AH!$U$5=1,INDEX('Live History'!$G$5:$G$3004,MATCH($A2496,'Live History'!$G$5:$G$3004,1)),INDEX('AH History'!$C$5:$C$1380,$K2496))),NA()),NA())</f>
        <v/>
      </c>
      <c r="J2496" s="32">
        <f>IFERROR(IF(AND($F2496&gt;0,$H2496&gt;0,$A2496-$G2496&lt;=10,$A2496-$I2496&lt;=5,$G2496&gt;0,$I2496&gt;0),$F2496*$H2496,NA()),NA())</f>
        <v/>
      </c>
      <c r="K2496" s="15">
        <f>IF($A2496="","",IF(AH!$U$5=1,IFERROR(MATCH($A2496,'Live History'!$A$5:$A$3004,0),0),AH!$U$7+2491))</f>
        <v/>
      </c>
      <c r="L2496" s="15">
        <f>IF(ISNUMBER(A2496),TEXT(A2496,"dd-mmm-yy"),"")</f>
        <v/>
      </c>
    </row>
    <row r="2497">
      <c r="A2497" s="14">
        <f>IF(OR(AH!$U$4=0,2492+1&gt;AH!$U$6,AND(AH!$M$5="Bloomberg",AH!$U$5=0)),"",IFERROR(IF(AND(AH!$U$12=1,2492+1=AH!$U$6),TODAY(),IF(AH!$U$5=1,INDEX('Live History'!$A$5:$A$3004,AH!$U$7+2492),INDEX('AH History'!$A$5:$A$1380,AH!$U$7+2492))),""))</f>
        <v/>
      </c>
      <c r="B2497" s="33">
        <f>IFERROR(IF(AH!$U$11=1,NA(),$J2497/$E2497-1),NA())</f>
        <v/>
      </c>
      <c r="C2497" s="269">
        <f>IFERROR(100*$E2497/$E$5,NA())</f>
        <v/>
      </c>
      <c r="D2497" s="269">
        <f>IFERROR(100*$J2497/$J$5,NA())</f>
        <v/>
      </c>
      <c r="E2497" s="32">
        <f>IFERROR(IF(AND(ISNUMBER($A2497),N(IF(AND(AH!$U$12=1,2492+1=AH!$U$6),IF(AH!$U$4=0,"unavailable",INDEX('Market Data'!$AN$5:$AN$66,AH!$U$4)),IF(AH!$U$5=1,INDEX('Live History'!$B$5:$B$3004,$K2497),INDEX('AH History'!$D$5:$GG$1380,$K2497,AH!$U$10))))&gt;0),IF(AND(AH!$U$12=1,2492+1=AH!$U$6),IF(AH!$U$4=0,"unavailable",INDEX('Market Data'!$AN$5:$AN$66,AH!$U$4)),IF(AH!$U$5=1,INDEX('Live History'!$B$5:$B$3004,$K2497),INDEX('AH History'!$D$5:$GG$1380,$K2497,AH!$U$10))),NA()),NA())</f>
        <v/>
      </c>
      <c r="F2497" s="32">
        <f>IFERROR(IF(ISNUMBER($A2497),IF(AND(AH!$U$12=1,2492+1=AH!$U$6),IF(AH!$U$4=0,"unavailable",INDEX('Market Data'!$AO$5:$AO$66,AH!$U$4)),IF(AH!$U$5=1,INDEX('Live History'!$E$5:$E$3004,MATCH($A2497,'Live History'!$D$5:$D$3004,1)),INDEX('AH History'!$D$5:$GG$1380,$K2497,AH!$U$10+1))),NA()),NA())</f>
        <v/>
      </c>
      <c r="G2497" s="34">
        <f>IFERROR(IF(ISNUMBER($A2497),IF(AND(AH!$U$12=1,2492+1=AH!$U$6),IF(AH!$U$4=0,"unavailable",INDEX('Market Data'!$AK$5:$AK$66,AH!$U$4)),IF(AH!$U$5=1,INDEX('Live History'!$D$5:$D$3004,MATCH($A2497,'Live History'!$D$5:$D$3004,1)),INDEX('AH History'!$D$5:$GG$1380,$K2497,AH!$U$10+2))),NA()),NA())</f>
        <v/>
      </c>
      <c r="H2497" s="266">
        <f>IFERROR(IF(ISNUMBER($A2497),IF(AND(AH!$U$12=1,2492+1=AH!$U$6),IF(AH!$U$4=0,"unavailable",INDEX('Market Data'!$AP$5:$AP$66,AH!$U$4)),IF(AH!$U$5=1,INDEX('Live History'!$H$5:$H$3004,MATCH($A2497,'Live History'!$G$5:$G$3004,1)),INDEX('AH History'!$B$5:$B$1380,$K2497))),NA()),NA())</f>
        <v/>
      </c>
      <c r="I2497" s="34">
        <f>IFERROR(IF(ISNUMBER($A2497),IF(AND(AH!$U$12=1,2492+1=AH!$U$6),TODAY(),IF(AH!$U$5=1,INDEX('Live History'!$G$5:$G$3004,MATCH($A2497,'Live History'!$G$5:$G$3004,1)),INDEX('AH History'!$C$5:$C$1380,$K2497))),NA()),NA())</f>
        <v/>
      </c>
      <c r="J2497" s="32">
        <f>IFERROR(IF(AND($F2497&gt;0,$H2497&gt;0,$A2497-$G2497&lt;=10,$A2497-$I2497&lt;=5,$G2497&gt;0,$I2497&gt;0),$F2497*$H2497,NA()),NA())</f>
        <v/>
      </c>
      <c r="K2497" s="15">
        <f>IF($A2497="","",IF(AH!$U$5=1,IFERROR(MATCH($A2497,'Live History'!$A$5:$A$3004,0),0),AH!$U$7+2492))</f>
        <v/>
      </c>
      <c r="L2497" s="15">
        <f>IF(ISNUMBER(A2497),TEXT(A2497,"dd-mmm-yy"),"")</f>
        <v/>
      </c>
    </row>
    <row r="2498">
      <c r="A2498" s="14">
        <f>IF(OR(AH!$U$4=0,2493+1&gt;AH!$U$6,AND(AH!$M$5="Bloomberg",AH!$U$5=0)),"",IFERROR(IF(AND(AH!$U$12=1,2493+1=AH!$U$6),TODAY(),IF(AH!$U$5=1,INDEX('Live History'!$A$5:$A$3004,AH!$U$7+2493),INDEX('AH History'!$A$5:$A$1380,AH!$U$7+2493))),""))</f>
        <v/>
      </c>
      <c r="B2498" s="33">
        <f>IFERROR(IF(AH!$U$11=1,NA(),$J2498/$E2498-1),NA())</f>
        <v/>
      </c>
      <c r="C2498" s="269">
        <f>IFERROR(100*$E2498/$E$5,NA())</f>
        <v/>
      </c>
      <c r="D2498" s="269">
        <f>IFERROR(100*$J2498/$J$5,NA())</f>
        <v/>
      </c>
      <c r="E2498" s="32">
        <f>IFERROR(IF(AND(ISNUMBER($A2498),N(IF(AND(AH!$U$12=1,2493+1=AH!$U$6),IF(AH!$U$4=0,"unavailable",INDEX('Market Data'!$AN$5:$AN$66,AH!$U$4)),IF(AH!$U$5=1,INDEX('Live History'!$B$5:$B$3004,$K2498),INDEX('AH History'!$D$5:$GG$1380,$K2498,AH!$U$10))))&gt;0),IF(AND(AH!$U$12=1,2493+1=AH!$U$6),IF(AH!$U$4=0,"unavailable",INDEX('Market Data'!$AN$5:$AN$66,AH!$U$4)),IF(AH!$U$5=1,INDEX('Live History'!$B$5:$B$3004,$K2498),INDEX('AH History'!$D$5:$GG$1380,$K2498,AH!$U$10))),NA()),NA())</f>
        <v/>
      </c>
      <c r="F2498" s="32">
        <f>IFERROR(IF(ISNUMBER($A2498),IF(AND(AH!$U$12=1,2493+1=AH!$U$6),IF(AH!$U$4=0,"unavailable",INDEX('Market Data'!$AO$5:$AO$66,AH!$U$4)),IF(AH!$U$5=1,INDEX('Live History'!$E$5:$E$3004,MATCH($A2498,'Live History'!$D$5:$D$3004,1)),INDEX('AH History'!$D$5:$GG$1380,$K2498,AH!$U$10+1))),NA()),NA())</f>
        <v/>
      </c>
      <c r="G2498" s="34">
        <f>IFERROR(IF(ISNUMBER($A2498),IF(AND(AH!$U$12=1,2493+1=AH!$U$6),IF(AH!$U$4=0,"unavailable",INDEX('Market Data'!$AK$5:$AK$66,AH!$U$4)),IF(AH!$U$5=1,INDEX('Live History'!$D$5:$D$3004,MATCH($A2498,'Live History'!$D$5:$D$3004,1)),INDEX('AH History'!$D$5:$GG$1380,$K2498,AH!$U$10+2))),NA()),NA())</f>
        <v/>
      </c>
      <c r="H2498" s="266">
        <f>IFERROR(IF(ISNUMBER($A2498),IF(AND(AH!$U$12=1,2493+1=AH!$U$6),IF(AH!$U$4=0,"unavailable",INDEX('Market Data'!$AP$5:$AP$66,AH!$U$4)),IF(AH!$U$5=1,INDEX('Live History'!$H$5:$H$3004,MATCH($A2498,'Live History'!$G$5:$G$3004,1)),INDEX('AH History'!$B$5:$B$1380,$K2498))),NA()),NA())</f>
        <v/>
      </c>
      <c r="I2498" s="34">
        <f>IFERROR(IF(ISNUMBER($A2498),IF(AND(AH!$U$12=1,2493+1=AH!$U$6),TODAY(),IF(AH!$U$5=1,INDEX('Live History'!$G$5:$G$3004,MATCH($A2498,'Live History'!$G$5:$G$3004,1)),INDEX('AH History'!$C$5:$C$1380,$K2498))),NA()),NA())</f>
        <v/>
      </c>
      <c r="J2498" s="32">
        <f>IFERROR(IF(AND($F2498&gt;0,$H2498&gt;0,$A2498-$G2498&lt;=10,$A2498-$I2498&lt;=5,$G2498&gt;0,$I2498&gt;0),$F2498*$H2498,NA()),NA())</f>
        <v/>
      </c>
      <c r="K2498" s="15">
        <f>IF($A2498="","",IF(AH!$U$5=1,IFERROR(MATCH($A2498,'Live History'!$A$5:$A$3004,0),0),AH!$U$7+2493))</f>
        <v/>
      </c>
      <c r="L2498" s="15">
        <f>IF(ISNUMBER(A2498),TEXT(A2498,"dd-mmm-yy"),"")</f>
        <v/>
      </c>
    </row>
    <row r="2499">
      <c r="A2499" s="14">
        <f>IF(OR(AH!$U$4=0,2494+1&gt;AH!$U$6,AND(AH!$M$5="Bloomberg",AH!$U$5=0)),"",IFERROR(IF(AND(AH!$U$12=1,2494+1=AH!$U$6),TODAY(),IF(AH!$U$5=1,INDEX('Live History'!$A$5:$A$3004,AH!$U$7+2494),INDEX('AH History'!$A$5:$A$1380,AH!$U$7+2494))),""))</f>
        <v/>
      </c>
      <c r="B2499" s="33">
        <f>IFERROR(IF(AH!$U$11=1,NA(),$J2499/$E2499-1),NA())</f>
        <v/>
      </c>
      <c r="C2499" s="269">
        <f>IFERROR(100*$E2499/$E$5,NA())</f>
        <v/>
      </c>
      <c r="D2499" s="269">
        <f>IFERROR(100*$J2499/$J$5,NA())</f>
        <v/>
      </c>
      <c r="E2499" s="32">
        <f>IFERROR(IF(AND(ISNUMBER($A2499),N(IF(AND(AH!$U$12=1,2494+1=AH!$U$6),IF(AH!$U$4=0,"unavailable",INDEX('Market Data'!$AN$5:$AN$66,AH!$U$4)),IF(AH!$U$5=1,INDEX('Live History'!$B$5:$B$3004,$K2499),INDEX('AH History'!$D$5:$GG$1380,$K2499,AH!$U$10))))&gt;0),IF(AND(AH!$U$12=1,2494+1=AH!$U$6),IF(AH!$U$4=0,"unavailable",INDEX('Market Data'!$AN$5:$AN$66,AH!$U$4)),IF(AH!$U$5=1,INDEX('Live History'!$B$5:$B$3004,$K2499),INDEX('AH History'!$D$5:$GG$1380,$K2499,AH!$U$10))),NA()),NA())</f>
        <v/>
      </c>
      <c r="F2499" s="32">
        <f>IFERROR(IF(ISNUMBER($A2499),IF(AND(AH!$U$12=1,2494+1=AH!$U$6),IF(AH!$U$4=0,"unavailable",INDEX('Market Data'!$AO$5:$AO$66,AH!$U$4)),IF(AH!$U$5=1,INDEX('Live History'!$E$5:$E$3004,MATCH($A2499,'Live History'!$D$5:$D$3004,1)),INDEX('AH History'!$D$5:$GG$1380,$K2499,AH!$U$10+1))),NA()),NA())</f>
        <v/>
      </c>
      <c r="G2499" s="34">
        <f>IFERROR(IF(ISNUMBER($A2499),IF(AND(AH!$U$12=1,2494+1=AH!$U$6),IF(AH!$U$4=0,"unavailable",INDEX('Market Data'!$AK$5:$AK$66,AH!$U$4)),IF(AH!$U$5=1,INDEX('Live History'!$D$5:$D$3004,MATCH($A2499,'Live History'!$D$5:$D$3004,1)),INDEX('AH History'!$D$5:$GG$1380,$K2499,AH!$U$10+2))),NA()),NA())</f>
        <v/>
      </c>
      <c r="H2499" s="266">
        <f>IFERROR(IF(ISNUMBER($A2499),IF(AND(AH!$U$12=1,2494+1=AH!$U$6),IF(AH!$U$4=0,"unavailable",INDEX('Market Data'!$AP$5:$AP$66,AH!$U$4)),IF(AH!$U$5=1,INDEX('Live History'!$H$5:$H$3004,MATCH($A2499,'Live History'!$G$5:$G$3004,1)),INDEX('AH History'!$B$5:$B$1380,$K2499))),NA()),NA())</f>
        <v/>
      </c>
      <c r="I2499" s="34">
        <f>IFERROR(IF(ISNUMBER($A2499),IF(AND(AH!$U$12=1,2494+1=AH!$U$6),TODAY(),IF(AH!$U$5=1,INDEX('Live History'!$G$5:$G$3004,MATCH($A2499,'Live History'!$G$5:$G$3004,1)),INDEX('AH History'!$C$5:$C$1380,$K2499))),NA()),NA())</f>
        <v/>
      </c>
      <c r="J2499" s="32">
        <f>IFERROR(IF(AND($F2499&gt;0,$H2499&gt;0,$A2499-$G2499&lt;=10,$A2499-$I2499&lt;=5,$G2499&gt;0,$I2499&gt;0),$F2499*$H2499,NA()),NA())</f>
        <v/>
      </c>
      <c r="K2499" s="15">
        <f>IF($A2499="","",IF(AH!$U$5=1,IFERROR(MATCH($A2499,'Live History'!$A$5:$A$3004,0),0),AH!$U$7+2494))</f>
        <v/>
      </c>
      <c r="L2499" s="15">
        <f>IF(ISNUMBER(A2499),TEXT(A2499,"dd-mmm-yy"),"")</f>
        <v/>
      </c>
    </row>
    <row r="2500">
      <c r="A2500" s="14">
        <f>IF(OR(AH!$U$4=0,2495+1&gt;AH!$U$6,AND(AH!$M$5="Bloomberg",AH!$U$5=0)),"",IFERROR(IF(AND(AH!$U$12=1,2495+1=AH!$U$6),TODAY(),IF(AH!$U$5=1,INDEX('Live History'!$A$5:$A$3004,AH!$U$7+2495),INDEX('AH History'!$A$5:$A$1380,AH!$U$7+2495))),""))</f>
        <v/>
      </c>
      <c r="B2500" s="33">
        <f>IFERROR(IF(AH!$U$11=1,NA(),$J2500/$E2500-1),NA())</f>
        <v/>
      </c>
      <c r="C2500" s="269">
        <f>IFERROR(100*$E2500/$E$5,NA())</f>
        <v/>
      </c>
      <c r="D2500" s="269">
        <f>IFERROR(100*$J2500/$J$5,NA())</f>
        <v/>
      </c>
      <c r="E2500" s="32">
        <f>IFERROR(IF(AND(ISNUMBER($A2500),N(IF(AND(AH!$U$12=1,2495+1=AH!$U$6),IF(AH!$U$4=0,"unavailable",INDEX('Market Data'!$AN$5:$AN$66,AH!$U$4)),IF(AH!$U$5=1,INDEX('Live History'!$B$5:$B$3004,$K2500),INDEX('AH History'!$D$5:$GG$1380,$K2500,AH!$U$10))))&gt;0),IF(AND(AH!$U$12=1,2495+1=AH!$U$6),IF(AH!$U$4=0,"unavailable",INDEX('Market Data'!$AN$5:$AN$66,AH!$U$4)),IF(AH!$U$5=1,INDEX('Live History'!$B$5:$B$3004,$K2500),INDEX('AH History'!$D$5:$GG$1380,$K2500,AH!$U$10))),NA()),NA())</f>
        <v/>
      </c>
      <c r="F2500" s="32">
        <f>IFERROR(IF(ISNUMBER($A2500),IF(AND(AH!$U$12=1,2495+1=AH!$U$6),IF(AH!$U$4=0,"unavailable",INDEX('Market Data'!$AO$5:$AO$66,AH!$U$4)),IF(AH!$U$5=1,INDEX('Live History'!$E$5:$E$3004,MATCH($A2500,'Live History'!$D$5:$D$3004,1)),INDEX('AH History'!$D$5:$GG$1380,$K2500,AH!$U$10+1))),NA()),NA())</f>
        <v/>
      </c>
      <c r="G2500" s="34">
        <f>IFERROR(IF(ISNUMBER($A2500),IF(AND(AH!$U$12=1,2495+1=AH!$U$6),IF(AH!$U$4=0,"unavailable",INDEX('Market Data'!$AK$5:$AK$66,AH!$U$4)),IF(AH!$U$5=1,INDEX('Live History'!$D$5:$D$3004,MATCH($A2500,'Live History'!$D$5:$D$3004,1)),INDEX('AH History'!$D$5:$GG$1380,$K2500,AH!$U$10+2))),NA()),NA())</f>
        <v/>
      </c>
      <c r="H2500" s="266">
        <f>IFERROR(IF(ISNUMBER($A2500),IF(AND(AH!$U$12=1,2495+1=AH!$U$6),IF(AH!$U$4=0,"unavailable",INDEX('Market Data'!$AP$5:$AP$66,AH!$U$4)),IF(AH!$U$5=1,INDEX('Live History'!$H$5:$H$3004,MATCH($A2500,'Live History'!$G$5:$G$3004,1)),INDEX('AH History'!$B$5:$B$1380,$K2500))),NA()),NA())</f>
        <v/>
      </c>
      <c r="I2500" s="34">
        <f>IFERROR(IF(ISNUMBER($A2500),IF(AND(AH!$U$12=1,2495+1=AH!$U$6),TODAY(),IF(AH!$U$5=1,INDEX('Live History'!$G$5:$G$3004,MATCH($A2500,'Live History'!$G$5:$G$3004,1)),INDEX('AH History'!$C$5:$C$1380,$K2500))),NA()),NA())</f>
        <v/>
      </c>
      <c r="J2500" s="32">
        <f>IFERROR(IF(AND($F2500&gt;0,$H2500&gt;0,$A2500-$G2500&lt;=10,$A2500-$I2500&lt;=5,$G2500&gt;0,$I2500&gt;0),$F2500*$H2500,NA()),NA())</f>
        <v/>
      </c>
      <c r="K2500" s="15">
        <f>IF($A2500="","",IF(AH!$U$5=1,IFERROR(MATCH($A2500,'Live History'!$A$5:$A$3004,0),0),AH!$U$7+2495))</f>
        <v/>
      </c>
      <c r="L2500" s="15">
        <f>IF(ISNUMBER(A2500),TEXT(A2500,"dd-mmm-yy"),"")</f>
        <v/>
      </c>
    </row>
    <row r="2501">
      <c r="A2501" s="14">
        <f>IF(OR(AH!$U$4=0,2496+1&gt;AH!$U$6,AND(AH!$M$5="Bloomberg",AH!$U$5=0)),"",IFERROR(IF(AND(AH!$U$12=1,2496+1=AH!$U$6),TODAY(),IF(AH!$U$5=1,INDEX('Live History'!$A$5:$A$3004,AH!$U$7+2496),INDEX('AH History'!$A$5:$A$1380,AH!$U$7+2496))),""))</f>
        <v/>
      </c>
      <c r="B2501" s="33">
        <f>IFERROR(IF(AH!$U$11=1,NA(),$J2501/$E2501-1),NA())</f>
        <v/>
      </c>
      <c r="C2501" s="269">
        <f>IFERROR(100*$E2501/$E$5,NA())</f>
        <v/>
      </c>
      <c r="D2501" s="269">
        <f>IFERROR(100*$J2501/$J$5,NA())</f>
        <v/>
      </c>
      <c r="E2501" s="32">
        <f>IFERROR(IF(AND(ISNUMBER($A2501),N(IF(AND(AH!$U$12=1,2496+1=AH!$U$6),IF(AH!$U$4=0,"unavailable",INDEX('Market Data'!$AN$5:$AN$66,AH!$U$4)),IF(AH!$U$5=1,INDEX('Live History'!$B$5:$B$3004,$K2501),INDEX('AH History'!$D$5:$GG$1380,$K2501,AH!$U$10))))&gt;0),IF(AND(AH!$U$12=1,2496+1=AH!$U$6),IF(AH!$U$4=0,"unavailable",INDEX('Market Data'!$AN$5:$AN$66,AH!$U$4)),IF(AH!$U$5=1,INDEX('Live History'!$B$5:$B$3004,$K2501),INDEX('AH History'!$D$5:$GG$1380,$K2501,AH!$U$10))),NA()),NA())</f>
        <v/>
      </c>
      <c r="F2501" s="32">
        <f>IFERROR(IF(ISNUMBER($A2501),IF(AND(AH!$U$12=1,2496+1=AH!$U$6),IF(AH!$U$4=0,"unavailable",INDEX('Market Data'!$AO$5:$AO$66,AH!$U$4)),IF(AH!$U$5=1,INDEX('Live History'!$E$5:$E$3004,MATCH($A2501,'Live History'!$D$5:$D$3004,1)),INDEX('AH History'!$D$5:$GG$1380,$K2501,AH!$U$10+1))),NA()),NA())</f>
        <v/>
      </c>
      <c r="G2501" s="34">
        <f>IFERROR(IF(ISNUMBER($A2501),IF(AND(AH!$U$12=1,2496+1=AH!$U$6),IF(AH!$U$4=0,"unavailable",INDEX('Market Data'!$AK$5:$AK$66,AH!$U$4)),IF(AH!$U$5=1,INDEX('Live History'!$D$5:$D$3004,MATCH($A2501,'Live History'!$D$5:$D$3004,1)),INDEX('AH History'!$D$5:$GG$1380,$K2501,AH!$U$10+2))),NA()),NA())</f>
        <v/>
      </c>
      <c r="H2501" s="266">
        <f>IFERROR(IF(ISNUMBER($A2501),IF(AND(AH!$U$12=1,2496+1=AH!$U$6),IF(AH!$U$4=0,"unavailable",INDEX('Market Data'!$AP$5:$AP$66,AH!$U$4)),IF(AH!$U$5=1,INDEX('Live History'!$H$5:$H$3004,MATCH($A2501,'Live History'!$G$5:$G$3004,1)),INDEX('AH History'!$B$5:$B$1380,$K2501))),NA()),NA())</f>
        <v/>
      </c>
      <c r="I2501" s="34">
        <f>IFERROR(IF(ISNUMBER($A2501),IF(AND(AH!$U$12=1,2496+1=AH!$U$6),TODAY(),IF(AH!$U$5=1,INDEX('Live History'!$G$5:$G$3004,MATCH($A2501,'Live History'!$G$5:$G$3004,1)),INDEX('AH History'!$C$5:$C$1380,$K2501))),NA()),NA())</f>
        <v/>
      </c>
      <c r="J2501" s="32">
        <f>IFERROR(IF(AND($F2501&gt;0,$H2501&gt;0,$A2501-$G2501&lt;=10,$A2501-$I2501&lt;=5,$G2501&gt;0,$I2501&gt;0),$F2501*$H2501,NA()),NA())</f>
        <v/>
      </c>
      <c r="K2501" s="15">
        <f>IF($A2501="","",IF(AH!$U$5=1,IFERROR(MATCH($A2501,'Live History'!$A$5:$A$3004,0),0),AH!$U$7+2496))</f>
        <v/>
      </c>
      <c r="L2501" s="15">
        <f>IF(ISNUMBER(A2501),TEXT(A2501,"dd-mmm-yy"),"")</f>
        <v/>
      </c>
    </row>
    <row r="2502">
      <c r="A2502" s="14">
        <f>IF(OR(AH!$U$4=0,2497+1&gt;AH!$U$6,AND(AH!$M$5="Bloomberg",AH!$U$5=0)),"",IFERROR(IF(AND(AH!$U$12=1,2497+1=AH!$U$6),TODAY(),IF(AH!$U$5=1,INDEX('Live History'!$A$5:$A$3004,AH!$U$7+2497),INDEX('AH History'!$A$5:$A$1380,AH!$U$7+2497))),""))</f>
        <v/>
      </c>
      <c r="B2502" s="33">
        <f>IFERROR(IF(AH!$U$11=1,NA(),$J2502/$E2502-1),NA())</f>
        <v/>
      </c>
      <c r="C2502" s="269">
        <f>IFERROR(100*$E2502/$E$5,NA())</f>
        <v/>
      </c>
      <c r="D2502" s="269">
        <f>IFERROR(100*$J2502/$J$5,NA())</f>
        <v/>
      </c>
      <c r="E2502" s="32">
        <f>IFERROR(IF(AND(ISNUMBER($A2502),N(IF(AND(AH!$U$12=1,2497+1=AH!$U$6),IF(AH!$U$4=0,"unavailable",INDEX('Market Data'!$AN$5:$AN$66,AH!$U$4)),IF(AH!$U$5=1,INDEX('Live History'!$B$5:$B$3004,$K2502),INDEX('AH History'!$D$5:$GG$1380,$K2502,AH!$U$10))))&gt;0),IF(AND(AH!$U$12=1,2497+1=AH!$U$6),IF(AH!$U$4=0,"unavailable",INDEX('Market Data'!$AN$5:$AN$66,AH!$U$4)),IF(AH!$U$5=1,INDEX('Live History'!$B$5:$B$3004,$K2502),INDEX('AH History'!$D$5:$GG$1380,$K2502,AH!$U$10))),NA()),NA())</f>
        <v/>
      </c>
      <c r="F2502" s="32">
        <f>IFERROR(IF(ISNUMBER($A2502),IF(AND(AH!$U$12=1,2497+1=AH!$U$6),IF(AH!$U$4=0,"unavailable",INDEX('Market Data'!$AO$5:$AO$66,AH!$U$4)),IF(AH!$U$5=1,INDEX('Live History'!$E$5:$E$3004,MATCH($A2502,'Live History'!$D$5:$D$3004,1)),INDEX('AH History'!$D$5:$GG$1380,$K2502,AH!$U$10+1))),NA()),NA())</f>
        <v/>
      </c>
      <c r="G2502" s="34">
        <f>IFERROR(IF(ISNUMBER($A2502),IF(AND(AH!$U$12=1,2497+1=AH!$U$6),IF(AH!$U$4=0,"unavailable",INDEX('Market Data'!$AK$5:$AK$66,AH!$U$4)),IF(AH!$U$5=1,INDEX('Live History'!$D$5:$D$3004,MATCH($A2502,'Live History'!$D$5:$D$3004,1)),INDEX('AH History'!$D$5:$GG$1380,$K2502,AH!$U$10+2))),NA()),NA())</f>
        <v/>
      </c>
      <c r="H2502" s="266">
        <f>IFERROR(IF(ISNUMBER($A2502),IF(AND(AH!$U$12=1,2497+1=AH!$U$6),IF(AH!$U$4=0,"unavailable",INDEX('Market Data'!$AP$5:$AP$66,AH!$U$4)),IF(AH!$U$5=1,INDEX('Live History'!$H$5:$H$3004,MATCH($A2502,'Live History'!$G$5:$G$3004,1)),INDEX('AH History'!$B$5:$B$1380,$K2502))),NA()),NA())</f>
        <v/>
      </c>
      <c r="I2502" s="34">
        <f>IFERROR(IF(ISNUMBER($A2502),IF(AND(AH!$U$12=1,2497+1=AH!$U$6),TODAY(),IF(AH!$U$5=1,INDEX('Live History'!$G$5:$G$3004,MATCH($A2502,'Live History'!$G$5:$G$3004,1)),INDEX('AH History'!$C$5:$C$1380,$K2502))),NA()),NA())</f>
        <v/>
      </c>
      <c r="J2502" s="32">
        <f>IFERROR(IF(AND($F2502&gt;0,$H2502&gt;0,$A2502-$G2502&lt;=10,$A2502-$I2502&lt;=5,$G2502&gt;0,$I2502&gt;0),$F2502*$H2502,NA()),NA())</f>
        <v/>
      </c>
      <c r="K2502" s="15">
        <f>IF($A2502="","",IF(AH!$U$5=1,IFERROR(MATCH($A2502,'Live History'!$A$5:$A$3004,0),0),AH!$U$7+2497))</f>
        <v/>
      </c>
      <c r="L2502" s="15">
        <f>IF(ISNUMBER(A2502),TEXT(A2502,"dd-mmm-yy"),"")</f>
        <v/>
      </c>
    </row>
    <row r="2503">
      <c r="A2503" s="14">
        <f>IF(OR(AH!$U$4=0,2498+1&gt;AH!$U$6,AND(AH!$M$5="Bloomberg",AH!$U$5=0)),"",IFERROR(IF(AND(AH!$U$12=1,2498+1=AH!$U$6),TODAY(),IF(AH!$U$5=1,INDEX('Live History'!$A$5:$A$3004,AH!$U$7+2498),INDEX('AH History'!$A$5:$A$1380,AH!$U$7+2498))),""))</f>
        <v/>
      </c>
      <c r="B2503" s="33">
        <f>IFERROR(IF(AH!$U$11=1,NA(),$J2503/$E2503-1),NA())</f>
        <v/>
      </c>
      <c r="C2503" s="269">
        <f>IFERROR(100*$E2503/$E$5,NA())</f>
        <v/>
      </c>
      <c r="D2503" s="269">
        <f>IFERROR(100*$J2503/$J$5,NA())</f>
        <v/>
      </c>
      <c r="E2503" s="32">
        <f>IFERROR(IF(AND(ISNUMBER($A2503),N(IF(AND(AH!$U$12=1,2498+1=AH!$U$6),IF(AH!$U$4=0,"unavailable",INDEX('Market Data'!$AN$5:$AN$66,AH!$U$4)),IF(AH!$U$5=1,INDEX('Live History'!$B$5:$B$3004,$K2503),INDEX('AH History'!$D$5:$GG$1380,$K2503,AH!$U$10))))&gt;0),IF(AND(AH!$U$12=1,2498+1=AH!$U$6),IF(AH!$U$4=0,"unavailable",INDEX('Market Data'!$AN$5:$AN$66,AH!$U$4)),IF(AH!$U$5=1,INDEX('Live History'!$B$5:$B$3004,$K2503),INDEX('AH History'!$D$5:$GG$1380,$K2503,AH!$U$10))),NA()),NA())</f>
        <v/>
      </c>
      <c r="F2503" s="32">
        <f>IFERROR(IF(ISNUMBER($A2503),IF(AND(AH!$U$12=1,2498+1=AH!$U$6),IF(AH!$U$4=0,"unavailable",INDEX('Market Data'!$AO$5:$AO$66,AH!$U$4)),IF(AH!$U$5=1,INDEX('Live History'!$E$5:$E$3004,MATCH($A2503,'Live History'!$D$5:$D$3004,1)),INDEX('AH History'!$D$5:$GG$1380,$K2503,AH!$U$10+1))),NA()),NA())</f>
        <v/>
      </c>
      <c r="G2503" s="34">
        <f>IFERROR(IF(ISNUMBER($A2503),IF(AND(AH!$U$12=1,2498+1=AH!$U$6),IF(AH!$U$4=0,"unavailable",INDEX('Market Data'!$AK$5:$AK$66,AH!$U$4)),IF(AH!$U$5=1,INDEX('Live History'!$D$5:$D$3004,MATCH($A2503,'Live History'!$D$5:$D$3004,1)),INDEX('AH History'!$D$5:$GG$1380,$K2503,AH!$U$10+2))),NA()),NA())</f>
        <v/>
      </c>
      <c r="H2503" s="266">
        <f>IFERROR(IF(ISNUMBER($A2503),IF(AND(AH!$U$12=1,2498+1=AH!$U$6),IF(AH!$U$4=0,"unavailable",INDEX('Market Data'!$AP$5:$AP$66,AH!$U$4)),IF(AH!$U$5=1,INDEX('Live History'!$H$5:$H$3004,MATCH($A2503,'Live History'!$G$5:$G$3004,1)),INDEX('AH History'!$B$5:$B$1380,$K2503))),NA()),NA())</f>
        <v/>
      </c>
      <c r="I2503" s="34">
        <f>IFERROR(IF(ISNUMBER($A2503),IF(AND(AH!$U$12=1,2498+1=AH!$U$6),TODAY(),IF(AH!$U$5=1,INDEX('Live History'!$G$5:$G$3004,MATCH($A2503,'Live History'!$G$5:$G$3004,1)),INDEX('AH History'!$C$5:$C$1380,$K2503))),NA()),NA())</f>
        <v/>
      </c>
      <c r="J2503" s="32">
        <f>IFERROR(IF(AND($F2503&gt;0,$H2503&gt;0,$A2503-$G2503&lt;=10,$A2503-$I2503&lt;=5,$G2503&gt;0,$I2503&gt;0),$F2503*$H2503,NA()),NA())</f>
        <v/>
      </c>
      <c r="K2503" s="15">
        <f>IF($A2503="","",IF(AH!$U$5=1,IFERROR(MATCH($A2503,'Live History'!$A$5:$A$3004,0),0),AH!$U$7+2498))</f>
        <v/>
      </c>
      <c r="L2503" s="15">
        <f>IF(ISNUMBER(A2503),TEXT(A2503,"dd-mmm-yy"),"")</f>
        <v/>
      </c>
    </row>
    <row r="2504">
      <c r="A2504" s="14">
        <f>IF(OR(AH!$U$4=0,2499+1&gt;AH!$U$6,AND(AH!$M$5="Bloomberg",AH!$U$5=0)),"",IFERROR(IF(AND(AH!$U$12=1,2499+1=AH!$U$6),TODAY(),IF(AH!$U$5=1,INDEX('Live History'!$A$5:$A$3004,AH!$U$7+2499),INDEX('AH History'!$A$5:$A$1380,AH!$U$7+2499))),""))</f>
        <v/>
      </c>
      <c r="B2504" s="33">
        <f>IFERROR(IF(AH!$U$11=1,NA(),$J2504/$E2504-1),NA())</f>
        <v/>
      </c>
      <c r="C2504" s="269">
        <f>IFERROR(100*$E2504/$E$5,NA())</f>
        <v/>
      </c>
      <c r="D2504" s="269">
        <f>IFERROR(100*$J2504/$J$5,NA())</f>
        <v/>
      </c>
      <c r="E2504" s="32">
        <f>IFERROR(IF(AND(ISNUMBER($A2504),N(IF(AND(AH!$U$12=1,2499+1=AH!$U$6),IF(AH!$U$4=0,"unavailable",INDEX('Market Data'!$AN$5:$AN$66,AH!$U$4)),IF(AH!$U$5=1,INDEX('Live History'!$B$5:$B$3004,$K2504),INDEX('AH History'!$D$5:$GG$1380,$K2504,AH!$U$10))))&gt;0),IF(AND(AH!$U$12=1,2499+1=AH!$U$6),IF(AH!$U$4=0,"unavailable",INDEX('Market Data'!$AN$5:$AN$66,AH!$U$4)),IF(AH!$U$5=1,INDEX('Live History'!$B$5:$B$3004,$K2504),INDEX('AH History'!$D$5:$GG$1380,$K2504,AH!$U$10))),NA()),NA())</f>
        <v/>
      </c>
      <c r="F2504" s="32">
        <f>IFERROR(IF(ISNUMBER($A2504),IF(AND(AH!$U$12=1,2499+1=AH!$U$6),IF(AH!$U$4=0,"unavailable",INDEX('Market Data'!$AO$5:$AO$66,AH!$U$4)),IF(AH!$U$5=1,INDEX('Live History'!$E$5:$E$3004,MATCH($A2504,'Live History'!$D$5:$D$3004,1)),INDEX('AH History'!$D$5:$GG$1380,$K2504,AH!$U$10+1))),NA()),NA())</f>
        <v/>
      </c>
      <c r="G2504" s="34">
        <f>IFERROR(IF(ISNUMBER($A2504),IF(AND(AH!$U$12=1,2499+1=AH!$U$6),IF(AH!$U$4=0,"unavailable",INDEX('Market Data'!$AK$5:$AK$66,AH!$U$4)),IF(AH!$U$5=1,INDEX('Live History'!$D$5:$D$3004,MATCH($A2504,'Live History'!$D$5:$D$3004,1)),INDEX('AH History'!$D$5:$GG$1380,$K2504,AH!$U$10+2))),NA()),NA())</f>
        <v/>
      </c>
      <c r="H2504" s="266">
        <f>IFERROR(IF(ISNUMBER($A2504),IF(AND(AH!$U$12=1,2499+1=AH!$U$6),IF(AH!$U$4=0,"unavailable",INDEX('Market Data'!$AP$5:$AP$66,AH!$U$4)),IF(AH!$U$5=1,INDEX('Live History'!$H$5:$H$3004,MATCH($A2504,'Live History'!$G$5:$G$3004,1)),INDEX('AH History'!$B$5:$B$1380,$K2504))),NA()),NA())</f>
        <v/>
      </c>
      <c r="I2504" s="34">
        <f>IFERROR(IF(ISNUMBER($A2504),IF(AND(AH!$U$12=1,2499+1=AH!$U$6),TODAY(),IF(AH!$U$5=1,INDEX('Live History'!$G$5:$G$3004,MATCH($A2504,'Live History'!$G$5:$G$3004,1)),INDEX('AH History'!$C$5:$C$1380,$K2504))),NA()),NA())</f>
        <v/>
      </c>
      <c r="J2504" s="32">
        <f>IFERROR(IF(AND($F2504&gt;0,$H2504&gt;0,$A2504-$G2504&lt;=10,$A2504-$I2504&lt;=5,$G2504&gt;0,$I2504&gt;0),$F2504*$H2504,NA()),NA())</f>
        <v/>
      </c>
      <c r="K2504" s="15">
        <f>IF($A2504="","",IF(AH!$U$5=1,IFERROR(MATCH($A2504,'Live History'!$A$5:$A$3004,0),0),AH!$U$7+2499))</f>
        <v/>
      </c>
      <c r="L2504" s="15">
        <f>IF(ISNUMBER(A2504),TEXT(A2504,"dd-mmm-yy"),"")</f>
        <v/>
      </c>
    </row>
    <row r="2505">
      <c r="A2505" s="14">
        <f>IF(OR(AH!$U$4=0,2500+1&gt;AH!$U$6,AND(AH!$M$5="Bloomberg",AH!$U$5=0)),"",IFERROR(IF(AND(AH!$U$12=1,2500+1=AH!$U$6),TODAY(),IF(AH!$U$5=1,INDEX('Live History'!$A$5:$A$3004,AH!$U$7+2500),INDEX('AH History'!$A$5:$A$1380,AH!$U$7+2500))),""))</f>
        <v/>
      </c>
      <c r="B2505" s="33">
        <f>IFERROR(IF(AH!$U$11=1,NA(),$J2505/$E2505-1),NA())</f>
        <v/>
      </c>
      <c r="C2505" s="269">
        <f>IFERROR(100*$E2505/$E$5,NA())</f>
        <v/>
      </c>
      <c r="D2505" s="269">
        <f>IFERROR(100*$J2505/$J$5,NA())</f>
        <v/>
      </c>
      <c r="E2505" s="32">
        <f>IFERROR(IF(AND(ISNUMBER($A2505),N(IF(AND(AH!$U$12=1,2500+1=AH!$U$6),IF(AH!$U$4=0,"unavailable",INDEX('Market Data'!$AN$5:$AN$66,AH!$U$4)),IF(AH!$U$5=1,INDEX('Live History'!$B$5:$B$3004,$K2505),INDEX('AH History'!$D$5:$GG$1380,$K2505,AH!$U$10))))&gt;0),IF(AND(AH!$U$12=1,2500+1=AH!$U$6),IF(AH!$U$4=0,"unavailable",INDEX('Market Data'!$AN$5:$AN$66,AH!$U$4)),IF(AH!$U$5=1,INDEX('Live History'!$B$5:$B$3004,$K2505),INDEX('AH History'!$D$5:$GG$1380,$K2505,AH!$U$10))),NA()),NA())</f>
        <v/>
      </c>
      <c r="F2505" s="32">
        <f>IFERROR(IF(ISNUMBER($A2505),IF(AND(AH!$U$12=1,2500+1=AH!$U$6),IF(AH!$U$4=0,"unavailable",INDEX('Market Data'!$AO$5:$AO$66,AH!$U$4)),IF(AH!$U$5=1,INDEX('Live History'!$E$5:$E$3004,MATCH($A2505,'Live History'!$D$5:$D$3004,1)),INDEX('AH History'!$D$5:$GG$1380,$K2505,AH!$U$10+1))),NA()),NA())</f>
        <v/>
      </c>
      <c r="G2505" s="34">
        <f>IFERROR(IF(ISNUMBER($A2505),IF(AND(AH!$U$12=1,2500+1=AH!$U$6),IF(AH!$U$4=0,"unavailable",INDEX('Market Data'!$AK$5:$AK$66,AH!$U$4)),IF(AH!$U$5=1,INDEX('Live History'!$D$5:$D$3004,MATCH($A2505,'Live History'!$D$5:$D$3004,1)),INDEX('AH History'!$D$5:$GG$1380,$K2505,AH!$U$10+2))),NA()),NA())</f>
        <v/>
      </c>
      <c r="H2505" s="266">
        <f>IFERROR(IF(ISNUMBER($A2505),IF(AND(AH!$U$12=1,2500+1=AH!$U$6),IF(AH!$U$4=0,"unavailable",INDEX('Market Data'!$AP$5:$AP$66,AH!$U$4)),IF(AH!$U$5=1,INDEX('Live History'!$H$5:$H$3004,MATCH($A2505,'Live History'!$G$5:$G$3004,1)),INDEX('AH History'!$B$5:$B$1380,$K2505))),NA()),NA())</f>
        <v/>
      </c>
      <c r="I2505" s="34">
        <f>IFERROR(IF(ISNUMBER($A2505),IF(AND(AH!$U$12=1,2500+1=AH!$U$6),TODAY(),IF(AH!$U$5=1,INDEX('Live History'!$G$5:$G$3004,MATCH($A2505,'Live History'!$G$5:$G$3004,1)),INDEX('AH History'!$C$5:$C$1380,$K2505))),NA()),NA())</f>
        <v/>
      </c>
      <c r="J2505" s="32">
        <f>IFERROR(IF(AND($F2505&gt;0,$H2505&gt;0,$A2505-$G2505&lt;=10,$A2505-$I2505&lt;=5,$G2505&gt;0,$I2505&gt;0),$F2505*$H2505,NA()),NA())</f>
        <v/>
      </c>
      <c r="K2505" s="15">
        <f>IF($A2505="","",IF(AH!$U$5=1,IFERROR(MATCH($A2505,'Live History'!$A$5:$A$3004,0),0),AH!$U$7+2500))</f>
        <v/>
      </c>
      <c r="L2505" s="15">
        <f>IF(ISNUMBER(A2505),TEXT(A2505,"dd-mmm-yy"),"")</f>
        <v/>
      </c>
    </row>
    <row r="2506">
      <c r="A2506" s="14">
        <f>IF(OR(AH!$U$4=0,2501+1&gt;AH!$U$6,AND(AH!$M$5="Bloomberg",AH!$U$5=0)),"",IFERROR(IF(AND(AH!$U$12=1,2501+1=AH!$U$6),TODAY(),IF(AH!$U$5=1,INDEX('Live History'!$A$5:$A$3004,AH!$U$7+2501),INDEX('AH History'!$A$5:$A$1380,AH!$U$7+2501))),""))</f>
        <v/>
      </c>
      <c r="B2506" s="33">
        <f>IFERROR(IF(AH!$U$11=1,NA(),$J2506/$E2506-1),NA())</f>
        <v/>
      </c>
      <c r="C2506" s="269">
        <f>IFERROR(100*$E2506/$E$5,NA())</f>
        <v/>
      </c>
      <c r="D2506" s="269">
        <f>IFERROR(100*$J2506/$J$5,NA())</f>
        <v/>
      </c>
      <c r="E2506" s="32">
        <f>IFERROR(IF(AND(ISNUMBER($A2506),N(IF(AND(AH!$U$12=1,2501+1=AH!$U$6),IF(AH!$U$4=0,"unavailable",INDEX('Market Data'!$AN$5:$AN$66,AH!$U$4)),IF(AH!$U$5=1,INDEX('Live History'!$B$5:$B$3004,$K2506),INDEX('AH History'!$D$5:$GG$1380,$K2506,AH!$U$10))))&gt;0),IF(AND(AH!$U$12=1,2501+1=AH!$U$6),IF(AH!$U$4=0,"unavailable",INDEX('Market Data'!$AN$5:$AN$66,AH!$U$4)),IF(AH!$U$5=1,INDEX('Live History'!$B$5:$B$3004,$K2506),INDEX('AH History'!$D$5:$GG$1380,$K2506,AH!$U$10))),NA()),NA())</f>
        <v/>
      </c>
      <c r="F2506" s="32">
        <f>IFERROR(IF(ISNUMBER($A2506),IF(AND(AH!$U$12=1,2501+1=AH!$U$6),IF(AH!$U$4=0,"unavailable",INDEX('Market Data'!$AO$5:$AO$66,AH!$U$4)),IF(AH!$U$5=1,INDEX('Live History'!$E$5:$E$3004,MATCH($A2506,'Live History'!$D$5:$D$3004,1)),INDEX('AH History'!$D$5:$GG$1380,$K2506,AH!$U$10+1))),NA()),NA())</f>
        <v/>
      </c>
      <c r="G2506" s="34">
        <f>IFERROR(IF(ISNUMBER($A2506),IF(AND(AH!$U$12=1,2501+1=AH!$U$6),IF(AH!$U$4=0,"unavailable",INDEX('Market Data'!$AK$5:$AK$66,AH!$U$4)),IF(AH!$U$5=1,INDEX('Live History'!$D$5:$D$3004,MATCH($A2506,'Live History'!$D$5:$D$3004,1)),INDEX('AH History'!$D$5:$GG$1380,$K2506,AH!$U$10+2))),NA()),NA())</f>
        <v/>
      </c>
      <c r="H2506" s="266">
        <f>IFERROR(IF(ISNUMBER($A2506),IF(AND(AH!$U$12=1,2501+1=AH!$U$6),IF(AH!$U$4=0,"unavailable",INDEX('Market Data'!$AP$5:$AP$66,AH!$U$4)),IF(AH!$U$5=1,INDEX('Live History'!$H$5:$H$3004,MATCH($A2506,'Live History'!$G$5:$G$3004,1)),INDEX('AH History'!$B$5:$B$1380,$K2506))),NA()),NA())</f>
        <v/>
      </c>
      <c r="I2506" s="34">
        <f>IFERROR(IF(ISNUMBER($A2506),IF(AND(AH!$U$12=1,2501+1=AH!$U$6),TODAY(),IF(AH!$U$5=1,INDEX('Live History'!$G$5:$G$3004,MATCH($A2506,'Live History'!$G$5:$G$3004,1)),INDEX('AH History'!$C$5:$C$1380,$K2506))),NA()),NA())</f>
        <v/>
      </c>
      <c r="J2506" s="32">
        <f>IFERROR(IF(AND($F2506&gt;0,$H2506&gt;0,$A2506-$G2506&lt;=10,$A2506-$I2506&lt;=5,$G2506&gt;0,$I2506&gt;0),$F2506*$H2506,NA()),NA())</f>
        <v/>
      </c>
      <c r="K2506" s="15">
        <f>IF($A2506="","",IF(AH!$U$5=1,IFERROR(MATCH($A2506,'Live History'!$A$5:$A$3004,0),0),AH!$U$7+2501))</f>
        <v/>
      </c>
      <c r="L2506" s="15">
        <f>IF(ISNUMBER(A2506),TEXT(A2506,"dd-mmm-yy"),"")</f>
        <v/>
      </c>
    </row>
    <row r="2507">
      <c r="A2507" s="14">
        <f>IF(OR(AH!$U$4=0,2502+1&gt;AH!$U$6,AND(AH!$M$5="Bloomberg",AH!$U$5=0)),"",IFERROR(IF(AND(AH!$U$12=1,2502+1=AH!$U$6),TODAY(),IF(AH!$U$5=1,INDEX('Live History'!$A$5:$A$3004,AH!$U$7+2502),INDEX('AH History'!$A$5:$A$1380,AH!$U$7+2502))),""))</f>
        <v/>
      </c>
      <c r="B2507" s="33">
        <f>IFERROR(IF(AH!$U$11=1,NA(),$J2507/$E2507-1),NA())</f>
        <v/>
      </c>
      <c r="C2507" s="269">
        <f>IFERROR(100*$E2507/$E$5,NA())</f>
        <v/>
      </c>
      <c r="D2507" s="269">
        <f>IFERROR(100*$J2507/$J$5,NA())</f>
        <v/>
      </c>
      <c r="E2507" s="32">
        <f>IFERROR(IF(AND(ISNUMBER($A2507),N(IF(AND(AH!$U$12=1,2502+1=AH!$U$6),IF(AH!$U$4=0,"unavailable",INDEX('Market Data'!$AN$5:$AN$66,AH!$U$4)),IF(AH!$U$5=1,INDEX('Live History'!$B$5:$B$3004,$K2507),INDEX('AH History'!$D$5:$GG$1380,$K2507,AH!$U$10))))&gt;0),IF(AND(AH!$U$12=1,2502+1=AH!$U$6),IF(AH!$U$4=0,"unavailable",INDEX('Market Data'!$AN$5:$AN$66,AH!$U$4)),IF(AH!$U$5=1,INDEX('Live History'!$B$5:$B$3004,$K2507),INDEX('AH History'!$D$5:$GG$1380,$K2507,AH!$U$10))),NA()),NA())</f>
        <v/>
      </c>
      <c r="F2507" s="32">
        <f>IFERROR(IF(ISNUMBER($A2507),IF(AND(AH!$U$12=1,2502+1=AH!$U$6),IF(AH!$U$4=0,"unavailable",INDEX('Market Data'!$AO$5:$AO$66,AH!$U$4)),IF(AH!$U$5=1,INDEX('Live History'!$E$5:$E$3004,MATCH($A2507,'Live History'!$D$5:$D$3004,1)),INDEX('AH History'!$D$5:$GG$1380,$K2507,AH!$U$10+1))),NA()),NA())</f>
        <v/>
      </c>
      <c r="G2507" s="34">
        <f>IFERROR(IF(ISNUMBER($A2507),IF(AND(AH!$U$12=1,2502+1=AH!$U$6),IF(AH!$U$4=0,"unavailable",INDEX('Market Data'!$AK$5:$AK$66,AH!$U$4)),IF(AH!$U$5=1,INDEX('Live History'!$D$5:$D$3004,MATCH($A2507,'Live History'!$D$5:$D$3004,1)),INDEX('AH History'!$D$5:$GG$1380,$K2507,AH!$U$10+2))),NA()),NA())</f>
        <v/>
      </c>
      <c r="H2507" s="266">
        <f>IFERROR(IF(ISNUMBER($A2507),IF(AND(AH!$U$12=1,2502+1=AH!$U$6),IF(AH!$U$4=0,"unavailable",INDEX('Market Data'!$AP$5:$AP$66,AH!$U$4)),IF(AH!$U$5=1,INDEX('Live History'!$H$5:$H$3004,MATCH($A2507,'Live History'!$G$5:$G$3004,1)),INDEX('AH History'!$B$5:$B$1380,$K2507))),NA()),NA())</f>
        <v/>
      </c>
      <c r="I2507" s="34">
        <f>IFERROR(IF(ISNUMBER($A2507),IF(AND(AH!$U$12=1,2502+1=AH!$U$6),TODAY(),IF(AH!$U$5=1,INDEX('Live History'!$G$5:$G$3004,MATCH($A2507,'Live History'!$G$5:$G$3004,1)),INDEX('AH History'!$C$5:$C$1380,$K2507))),NA()),NA())</f>
        <v/>
      </c>
      <c r="J2507" s="32">
        <f>IFERROR(IF(AND($F2507&gt;0,$H2507&gt;0,$A2507-$G2507&lt;=10,$A2507-$I2507&lt;=5,$G2507&gt;0,$I2507&gt;0),$F2507*$H2507,NA()),NA())</f>
        <v/>
      </c>
      <c r="K2507" s="15">
        <f>IF($A2507="","",IF(AH!$U$5=1,IFERROR(MATCH($A2507,'Live History'!$A$5:$A$3004,0),0),AH!$U$7+2502))</f>
        <v/>
      </c>
      <c r="L2507" s="15">
        <f>IF(ISNUMBER(A2507),TEXT(A2507,"dd-mmm-yy"),"")</f>
        <v/>
      </c>
    </row>
    <row r="2508">
      <c r="A2508" s="14">
        <f>IF(OR(AH!$U$4=0,2503+1&gt;AH!$U$6,AND(AH!$M$5="Bloomberg",AH!$U$5=0)),"",IFERROR(IF(AND(AH!$U$12=1,2503+1=AH!$U$6),TODAY(),IF(AH!$U$5=1,INDEX('Live History'!$A$5:$A$3004,AH!$U$7+2503),INDEX('AH History'!$A$5:$A$1380,AH!$U$7+2503))),""))</f>
        <v/>
      </c>
      <c r="B2508" s="33">
        <f>IFERROR(IF(AH!$U$11=1,NA(),$J2508/$E2508-1),NA())</f>
        <v/>
      </c>
      <c r="C2508" s="269">
        <f>IFERROR(100*$E2508/$E$5,NA())</f>
        <v/>
      </c>
      <c r="D2508" s="269">
        <f>IFERROR(100*$J2508/$J$5,NA())</f>
        <v/>
      </c>
      <c r="E2508" s="32">
        <f>IFERROR(IF(AND(ISNUMBER($A2508),N(IF(AND(AH!$U$12=1,2503+1=AH!$U$6),IF(AH!$U$4=0,"unavailable",INDEX('Market Data'!$AN$5:$AN$66,AH!$U$4)),IF(AH!$U$5=1,INDEX('Live History'!$B$5:$B$3004,$K2508),INDEX('AH History'!$D$5:$GG$1380,$K2508,AH!$U$10))))&gt;0),IF(AND(AH!$U$12=1,2503+1=AH!$U$6),IF(AH!$U$4=0,"unavailable",INDEX('Market Data'!$AN$5:$AN$66,AH!$U$4)),IF(AH!$U$5=1,INDEX('Live History'!$B$5:$B$3004,$K2508),INDEX('AH History'!$D$5:$GG$1380,$K2508,AH!$U$10))),NA()),NA())</f>
        <v/>
      </c>
      <c r="F2508" s="32">
        <f>IFERROR(IF(ISNUMBER($A2508),IF(AND(AH!$U$12=1,2503+1=AH!$U$6),IF(AH!$U$4=0,"unavailable",INDEX('Market Data'!$AO$5:$AO$66,AH!$U$4)),IF(AH!$U$5=1,INDEX('Live History'!$E$5:$E$3004,MATCH($A2508,'Live History'!$D$5:$D$3004,1)),INDEX('AH History'!$D$5:$GG$1380,$K2508,AH!$U$10+1))),NA()),NA())</f>
        <v/>
      </c>
      <c r="G2508" s="34">
        <f>IFERROR(IF(ISNUMBER($A2508),IF(AND(AH!$U$12=1,2503+1=AH!$U$6),IF(AH!$U$4=0,"unavailable",INDEX('Market Data'!$AK$5:$AK$66,AH!$U$4)),IF(AH!$U$5=1,INDEX('Live History'!$D$5:$D$3004,MATCH($A2508,'Live History'!$D$5:$D$3004,1)),INDEX('AH History'!$D$5:$GG$1380,$K2508,AH!$U$10+2))),NA()),NA())</f>
        <v/>
      </c>
      <c r="H2508" s="266">
        <f>IFERROR(IF(ISNUMBER($A2508),IF(AND(AH!$U$12=1,2503+1=AH!$U$6),IF(AH!$U$4=0,"unavailable",INDEX('Market Data'!$AP$5:$AP$66,AH!$U$4)),IF(AH!$U$5=1,INDEX('Live History'!$H$5:$H$3004,MATCH($A2508,'Live History'!$G$5:$G$3004,1)),INDEX('AH History'!$B$5:$B$1380,$K2508))),NA()),NA())</f>
        <v/>
      </c>
      <c r="I2508" s="34">
        <f>IFERROR(IF(ISNUMBER($A2508),IF(AND(AH!$U$12=1,2503+1=AH!$U$6),TODAY(),IF(AH!$U$5=1,INDEX('Live History'!$G$5:$G$3004,MATCH($A2508,'Live History'!$G$5:$G$3004,1)),INDEX('AH History'!$C$5:$C$1380,$K2508))),NA()),NA())</f>
        <v/>
      </c>
      <c r="J2508" s="32">
        <f>IFERROR(IF(AND($F2508&gt;0,$H2508&gt;0,$A2508-$G2508&lt;=10,$A2508-$I2508&lt;=5,$G2508&gt;0,$I2508&gt;0),$F2508*$H2508,NA()),NA())</f>
        <v/>
      </c>
      <c r="K2508" s="15">
        <f>IF($A2508="","",IF(AH!$U$5=1,IFERROR(MATCH($A2508,'Live History'!$A$5:$A$3004,0),0),AH!$U$7+2503))</f>
        <v/>
      </c>
      <c r="L2508" s="15">
        <f>IF(ISNUMBER(A2508),TEXT(A2508,"dd-mmm-yy"),"")</f>
        <v/>
      </c>
    </row>
    <row r="2509">
      <c r="A2509" s="14">
        <f>IF(OR(AH!$U$4=0,2504+1&gt;AH!$U$6,AND(AH!$M$5="Bloomberg",AH!$U$5=0)),"",IFERROR(IF(AND(AH!$U$12=1,2504+1=AH!$U$6),TODAY(),IF(AH!$U$5=1,INDEX('Live History'!$A$5:$A$3004,AH!$U$7+2504),INDEX('AH History'!$A$5:$A$1380,AH!$U$7+2504))),""))</f>
        <v/>
      </c>
      <c r="B2509" s="33">
        <f>IFERROR(IF(AH!$U$11=1,NA(),$J2509/$E2509-1),NA())</f>
        <v/>
      </c>
      <c r="C2509" s="269">
        <f>IFERROR(100*$E2509/$E$5,NA())</f>
        <v/>
      </c>
      <c r="D2509" s="269">
        <f>IFERROR(100*$J2509/$J$5,NA())</f>
        <v/>
      </c>
      <c r="E2509" s="32">
        <f>IFERROR(IF(AND(ISNUMBER($A2509),N(IF(AND(AH!$U$12=1,2504+1=AH!$U$6),IF(AH!$U$4=0,"unavailable",INDEX('Market Data'!$AN$5:$AN$66,AH!$U$4)),IF(AH!$U$5=1,INDEX('Live History'!$B$5:$B$3004,$K2509),INDEX('AH History'!$D$5:$GG$1380,$K2509,AH!$U$10))))&gt;0),IF(AND(AH!$U$12=1,2504+1=AH!$U$6),IF(AH!$U$4=0,"unavailable",INDEX('Market Data'!$AN$5:$AN$66,AH!$U$4)),IF(AH!$U$5=1,INDEX('Live History'!$B$5:$B$3004,$K2509),INDEX('AH History'!$D$5:$GG$1380,$K2509,AH!$U$10))),NA()),NA())</f>
        <v/>
      </c>
      <c r="F2509" s="32">
        <f>IFERROR(IF(ISNUMBER($A2509),IF(AND(AH!$U$12=1,2504+1=AH!$U$6),IF(AH!$U$4=0,"unavailable",INDEX('Market Data'!$AO$5:$AO$66,AH!$U$4)),IF(AH!$U$5=1,INDEX('Live History'!$E$5:$E$3004,MATCH($A2509,'Live History'!$D$5:$D$3004,1)),INDEX('AH History'!$D$5:$GG$1380,$K2509,AH!$U$10+1))),NA()),NA())</f>
        <v/>
      </c>
      <c r="G2509" s="34">
        <f>IFERROR(IF(ISNUMBER($A2509),IF(AND(AH!$U$12=1,2504+1=AH!$U$6),IF(AH!$U$4=0,"unavailable",INDEX('Market Data'!$AK$5:$AK$66,AH!$U$4)),IF(AH!$U$5=1,INDEX('Live History'!$D$5:$D$3004,MATCH($A2509,'Live History'!$D$5:$D$3004,1)),INDEX('AH History'!$D$5:$GG$1380,$K2509,AH!$U$10+2))),NA()),NA())</f>
        <v/>
      </c>
      <c r="H2509" s="266">
        <f>IFERROR(IF(ISNUMBER($A2509),IF(AND(AH!$U$12=1,2504+1=AH!$U$6),IF(AH!$U$4=0,"unavailable",INDEX('Market Data'!$AP$5:$AP$66,AH!$U$4)),IF(AH!$U$5=1,INDEX('Live History'!$H$5:$H$3004,MATCH($A2509,'Live History'!$G$5:$G$3004,1)),INDEX('AH History'!$B$5:$B$1380,$K2509))),NA()),NA())</f>
        <v/>
      </c>
      <c r="I2509" s="34">
        <f>IFERROR(IF(ISNUMBER($A2509),IF(AND(AH!$U$12=1,2504+1=AH!$U$6),TODAY(),IF(AH!$U$5=1,INDEX('Live History'!$G$5:$G$3004,MATCH($A2509,'Live History'!$G$5:$G$3004,1)),INDEX('AH History'!$C$5:$C$1380,$K2509))),NA()),NA())</f>
        <v/>
      </c>
      <c r="J2509" s="32">
        <f>IFERROR(IF(AND($F2509&gt;0,$H2509&gt;0,$A2509-$G2509&lt;=10,$A2509-$I2509&lt;=5,$G2509&gt;0,$I2509&gt;0),$F2509*$H2509,NA()),NA())</f>
        <v/>
      </c>
      <c r="K2509" s="15">
        <f>IF($A2509="","",IF(AH!$U$5=1,IFERROR(MATCH($A2509,'Live History'!$A$5:$A$3004,0),0),AH!$U$7+2504))</f>
        <v/>
      </c>
      <c r="L2509" s="15">
        <f>IF(ISNUMBER(A2509),TEXT(A2509,"dd-mmm-yy"),"")</f>
        <v/>
      </c>
    </row>
    <row r="2510">
      <c r="A2510" s="14">
        <f>IF(OR(AH!$U$4=0,2505+1&gt;AH!$U$6,AND(AH!$M$5="Bloomberg",AH!$U$5=0)),"",IFERROR(IF(AND(AH!$U$12=1,2505+1=AH!$U$6),TODAY(),IF(AH!$U$5=1,INDEX('Live History'!$A$5:$A$3004,AH!$U$7+2505),INDEX('AH History'!$A$5:$A$1380,AH!$U$7+2505))),""))</f>
        <v/>
      </c>
      <c r="B2510" s="33">
        <f>IFERROR(IF(AH!$U$11=1,NA(),$J2510/$E2510-1),NA())</f>
        <v/>
      </c>
      <c r="C2510" s="269">
        <f>IFERROR(100*$E2510/$E$5,NA())</f>
        <v/>
      </c>
      <c r="D2510" s="269">
        <f>IFERROR(100*$J2510/$J$5,NA())</f>
        <v/>
      </c>
      <c r="E2510" s="32">
        <f>IFERROR(IF(AND(ISNUMBER($A2510),N(IF(AND(AH!$U$12=1,2505+1=AH!$U$6),IF(AH!$U$4=0,"unavailable",INDEX('Market Data'!$AN$5:$AN$66,AH!$U$4)),IF(AH!$U$5=1,INDEX('Live History'!$B$5:$B$3004,$K2510),INDEX('AH History'!$D$5:$GG$1380,$K2510,AH!$U$10))))&gt;0),IF(AND(AH!$U$12=1,2505+1=AH!$U$6),IF(AH!$U$4=0,"unavailable",INDEX('Market Data'!$AN$5:$AN$66,AH!$U$4)),IF(AH!$U$5=1,INDEX('Live History'!$B$5:$B$3004,$K2510),INDEX('AH History'!$D$5:$GG$1380,$K2510,AH!$U$10))),NA()),NA())</f>
        <v/>
      </c>
      <c r="F2510" s="32">
        <f>IFERROR(IF(ISNUMBER($A2510),IF(AND(AH!$U$12=1,2505+1=AH!$U$6),IF(AH!$U$4=0,"unavailable",INDEX('Market Data'!$AO$5:$AO$66,AH!$U$4)),IF(AH!$U$5=1,INDEX('Live History'!$E$5:$E$3004,MATCH($A2510,'Live History'!$D$5:$D$3004,1)),INDEX('AH History'!$D$5:$GG$1380,$K2510,AH!$U$10+1))),NA()),NA())</f>
        <v/>
      </c>
      <c r="G2510" s="34">
        <f>IFERROR(IF(ISNUMBER($A2510),IF(AND(AH!$U$12=1,2505+1=AH!$U$6),IF(AH!$U$4=0,"unavailable",INDEX('Market Data'!$AK$5:$AK$66,AH!$U$4)),IF(AH!$U$5=1,INDEX('Live History'!$D$5:$D$3004,MATCH($A2510,'Live History'!$D$5:$D$3004,1)),INDEX('AH History'!$D$5:$GG$1380,$K2510,AH!$U$10+2))),NA()),NA())</f>
        <v/>
      </c>
      <c r="H2510" s="266">
        <f>IFERROR(IF(ISNUMBER($A2510),IF(AND(AH!$U$12=1,2505+1=AH!$U$6),IF(AH!$U$4=0,"unavailable",INDEX('Market Data'!$AP$5:$AP$66,AH!$U$4)),IF(AH!$U$5=1,INDEX('Live History'!$H$5:$H$3004,MATCH($A2510,'Live History'!$G$5:$G$3004,1)),INDEX('AH History'!$B$5:$B$1380,$K2510))),NA()),NA())</f>
        <v/>
      </c>
      <c r="I2510" s="34">
        <f>IFERROR(IF(ISNUMBER($A2510),IF(AND(AH!$U$12=1,2505+1=AH!$U$6),TODAY(),IF(AH!$U$5=1,INDEX('Live History'!$G$5:$G$3004,MATCH($A2510,'Live History'!$G$5:$G$3004,1)),INDEX('AH History'!$C$5:$C$1380,$K2510))),NA()),NA())</f>
        <v/>
      </c>
      <c r="J2510" s="32">
        <f>IFERROR(IF(AND($F2510&gt;0,$H2510&gt;0,$A2510-$G2510&lt;=10,$A2510-$I2510&lt;=5,$G2510&gt;0,$I2510&gt;0),$F2510*$H2510,NA()),NA())</f>
        <v/>
      </c>
      <c r="K2510" s="15">
        <f>IF($A2510="","",IF(AH!$U$5=1,IFERROR(MATCH($A2510,'Live History'!$A$5:$A$3004,0),0),AH!$U$7+2505))</f>
        <v/>
      </c>
      <c r="L2510" s="15">
        <f>IF(ISNUMBER(A2510),TEXT(A2510,"dd-mmm-yy"),"")</f>
        <v/>
      </c>
    </row>
    <row r="2511">
      <c r="A2511" s="14">
        <f>IF(OR(AH!$U$4=0,2506+1&gt;AH!$U$6,AND(AH!$M$5="Bloomberg",AH!$U$5=0)),"",IFERROR(IF(AND(AH!$U$12=1,2506+1=AH!$U$6),TODAY(),IF(AH!$U$5=1,INDEX('Live History'!$A$5:$A$3004,AH!$U$7+2506),INDEX('AH History'!$A$5:$A$1380,AH!$U$7+2506))),""))</f>
        <v/>
      </c>
      <c r="B2511" s="33">
        <f>IFERROR(IF(AH!$U$11=1,NA(),$J2511/$E2511-1),NA())</f>
        <v/>
      </c>
      <c r="C2511" s="269">
        <f>IFERROR(100*$E2511/$E$5,NA())</f>
        <v/>
      </c>
      <c r="D2511" s="269">
        <f>IFERROR(100*$J2511/$J$5,NA())</f>
        <v/>
      </c>
      <c r="E2511" s="32">
        <f>IFERROR(IF(AND(ISNUMBER($A2511),N(IF(AND(AH!$U$12=1,2506+1=AH!$U$6),IF(AH!$U$4=0,"unavailable",INDEX('Market Data'!$AN$5:$AN$66,AH!$U$4)),IF(AH!$U$5=1,INDEX('Live History'!$B$5:$B$3004,$K2511),INDEX('AH History'!$D$5:$GG$1380,$K2511,AH!$U$10))))&gt;0),IF(AND(AH!$U$12=1,2506+1=AH!$U$6),IF(AH!$U$4=0,"unavailable",INDEX('Market Data'!$AN$5:$AN$66,AH!$U$4)),IF(AH!$U$5=1,INDEX('Live History'!$B$5:$B$3004,$K2511),INDEX('AH History'!$D$5:$GG$1380,$K2511,AH!$U$10))),NA()),NA())</f>
        <v/>
      </c>
      <c r="F2511" s="32">
        <f>IFERROR(IF(ISNUMBER($A2511),IF(AND(AH!$U$12=1,2506+1=AH!$U$6),IF(AH!$U$4=0,"unavailable",INDEX('Market Data'!$AO$5:$AO$66,AH!$U$4)),IF(AH!$U$5=1,INDEX('Live History'!$E$5:$E$3004,MATCH($A2511,'Live History'!$D$5:$D$3004,1)),INDEX('AH History'!$D$5:$GG$1380,$K2511,AH!$U$10+1))),NA()),NA())</f>
        <v/>
      </c>
      <c r="G2511" s="34">
        <f>IFERROR(IF(ISNUMBER($A2511),IF(AND(AH!$U$12=1,2506+1=AH!$U$6),IF(AH!$U$4=0,"unavailable",INDEX('Market Data'!$AK$5:$AK$66,AH!$U$4)),IF(AH!$U$5=1,INDEX('Live History'!$D$5:$D$3004,MATCH($A2511,'Live History'!$D$5:$D$3004,1)),INDEX('AH History'!$D$5:$GG$1380,$K2511,AH!$U$10+2))),NA()),NA())</f>
        <v/>
      </c>
      <c r="H2511" s="266">
        <f>IFERROR(IF(ISNUMBER($A2511),IF(AND(AH!$U$12=1,2506+1=AH!$U$6),IF(AH!$U$4=0,"unavailable",INDEX('Market Data'!$AP$5:$AP$66,AH!$U$4)),IF(AH!$U$5=1,INDEX('Live History'!$H$5:$H$3004,MATCH($A2511,'Live History'!$G$5:$G$3004,1)),INDEX('AH History'!$B$5:$B$1380,$K2511))),NA()),NA())</f>
        <v/>
      </c>
      <c r="I2511" s="34">
        <f>IFERROR(IF(ISNUMBER($A2511),IF(AND(AH!$U$12=1,2506+1=AH!$U$6),TODAY(),IF(AH!$U$5=1,INDEX('Live History'!$G$5:$G$3004,MATCH($A2511,'Live History'!$G$5:$G$3004,1)),INDEX('AH History'!$C$5:$C$1380,$K2511))),NA()),NA())</f>
        <v/>
      </c>
      <c r="J2511" s="32">
        <f>IFERROR(IF(AND($F2511&gt;0,$H2511&gt;0,$A2511-$G2511&lt;=10,$A2511-$I2511&lt;=5,$G2511&gt;0,$I2511&gt;0),$F2511*$H2511,NA()),NA())</f>
        <v/>
      </c>
      <c r="K2511" s="15">
        <f>IF($A2511="","",IF(AH!$U$5=1,IFERROR(MATCH($A2511,'Live History'!$A$5:$A$3004,0),0),AH!$U$7+2506))</f>
        <v/>
      </c>
      <c r="L2511" s="15">
        <f>IF(ISNUMBER(A2511),TEXT(A2511,"dd-mmm-yy"),"")</f>
        <v/>
      </c>
    </row>
    <row r="2512">
      <c r="A2512" s="14">
        <f>IF(OR(AH!$U$4=0,2507+1&gt;AH!$U$6,AND(AH!$M$5="Bloomberg",AH!$U$5=0)),"",IFERROR(IF(AND(AH!$U$12=1,2507+1=AH!$U$6),TODAY(),IF(AH!$U$5=1,INDEX('Live History'!$A$5:$A$3004,AH!$U$7+2507),INDEX('AH History'!$A$5:$A$1380,AH!$U$7+2507))),""))</f>
        <v/>
      </c>
      <c r="B2512" s="33">
        <f>IFERROR(IF(AH!$U$11=1,NA(),$J2512/$E2512-1),NA())</f>
        <v/>
      </c>
      <c r="C2512" s="269">
        <f>IFERROR(100*$E2512/$E$5,NA())</f>
        <v/>
      </c>
      <c r="D2512" s="269">
        <f>IFERROR(100*$J2512/$J$5,NA())</f>
        <v/>
      </c>
      <c r="E2512" s="32">
        <f>IFERROR(IF(AND(ISNUMBER($A2512),N(IF(AND(AH!$U$12=1,2507+1=AH!$U$6),IF(AH!$U$4=0,"unavailable",INDEX('Market Data'!$AN$5:$AN$66,AH!$U$4)),IF(AH!$U$5=1,INDEX('Live History'!$B$5:$B$3004,$K2512),INDEX('AH History'!$D$5:$GG$1380,$K2512,AH!$U$10))))&gt;0),IF(AND(AH!$U$12=1,2507+1=AH!$U$6),IF(AH!$U$4=0,"unavailable",INDEX('Market Data'!$AN$5:$AN$66,AH!$U$4)),IF(AH!$U$5=1,INDEX('Live History'!$B$5:$B$3004,$K2512),INDEX('AH History'!$D$5:$GG$1380,$K2512,AH!$U$10))),NA()),NA())</f>
        <v/>
      </c>
      <c r="F2512" s="32">
        <f>IFERROR(IF(ISNUMBER($A2512),IF(AND(AH!$U$12=1,2507+1=AH!$U$6),IF(AH!$U$4=0,"unavailable",INDEX('Market Data'!$AO$5:$AO$66,AH!$U$4)),IF(AH!$U$5=1,INDEX('Live History'!$E$5:$E$3004,MATCH($A2512,'Live History'!$D$5:$D$3004,1)),INDEX('AH History'!$D$5:$GG$1380,$K2512,AH!$U$10+1))),NA()),NA())</f>
        <v/>
      </c>
      <c r="G2512" s="34">
        <f>IFERROR(IF(ISNUMBER($A2512),IF(AND(AH!$U$12=1,2507+1=AH!$U$6),IF(AH!$U$4=0,"unavailable",INDEX('Market Data'!$AK$5:$AK$66,AH!$U$4)),IF(AH!$U$5=1,INDEX('Live History'!$D$5:$D$3004,MATCH($A2512,'Live History'!$D$5:$D$3004,1)),INDEX('AH History'!$D$5:$GG$1380,$K2512,AH!$U$10+2))),NA()),NA())</f>
        <v/>
      </c>
      <c r="H2512" s="266">
        <f>IFERROR(IF(ISNUMBER($A2512),IF(AND(AH!$U$12=1,2507+1=AH!$U$6),IF(AH!$U$4=0,"unavailable",INDEX('Market Data'!$AP$5:$AP$66,AH!$U$4)),IF(AH!$U$5=1,INDEX('Live History'!$H$5:$H$3004,MATCH($A2512,'Live History'!$G$5:$G$3004,1)),INDEX('AH History'!$B$5:$B$1380,$K2512))),NA()),NA())</f>
        <v/>
      </c>
      <c r="I2512" s="34">
        <f>IFERROR(IF(ISNUMBER($A2512),IF(AND(AH!$U$12=1,2507+1=AH!$U$6),TODAY(),IF(AH!$U$5=1,INDEX('Live History'!$G$5:$G$3004,MATCH($A2512,'Live History'!$G$5:$G$3004,1)),INDEX('AH History'!$C$5:$C$1380,$K2512))),NA()),NA())</f>
        <v/>
      </c>
      <c r="J2512" s="32">
        <f>IFERROR(IF(AND($F2512&gt;0,$H2512&gt;0,$A2512-$G2512&lt;=10,$A2512-$I2512&lt;=5,$G2512&gt;0,$I2512&gt;0),$F2512*$H2512,NA()),NA())</f>
        <v/>
      </c>
      <c r="K2512" s="15">
        <f>IF($A2512="","",IF(AH!$U$5=1,IFERROR(MATCH($A2512,'Live History'!$A$5:$A$3004,0),0),AH!$U$7+2507))</f>
        <v/>
      </c>
      <c r="L2512" s="15">
        <f>IF(ISNUMBER(A2512),TEXT(A2512,"dd-mmm-yy"),"")</f>
        <v/>
      </c>
    </row>
    <row r="2513">
      <c r="A2513" s="14">
        <f>IF(OR(AH!$U$4=0,2508+1&gt;AH!$U$6,AND(AH!$M$5="Bloomberg",AH!$U$5=0)),"",IFERROR(IF(AND(AH!$U$12=1,2508+1=AH!$U$6),TODAY(),IF(AH!$U$5=1,INDEX('Live History'!$A$5:$A$3004,AH!$U$7+2508),INDEX('AH History'!$A$5:$A$1380,AH!$U$7+2508))),""))</f>
        <v/>
      </c>
      <c r="B2513" s="33">
        <f>IFERROR(IF(AH!$U$11=1,NA(),$J2513/$E2513-1),NA())</f>
        <v/>
      </c>
      <c r="C2513" s="269">
        <f>IFERROR(100*$E2513/$E$5,NA())</f>
        <v/>
      </c>
      <c r="D2513" s="269">
        <f>IFERROR(100*$J2513/$J$5,NA())</f>
        <v/>
      </c>
      <c r="E2513" s="32">
        <f>IFERROR(IF(AND(ISNUMBER($A2513),N(IF(AND(AH!$U$12=1,2508+1=AH!$U$6),IF(AH!$U$4=0,"unavailable",INDEX('Market Data'!$AN$5:$AN$66,AH!$U$4)),IF(AH!$U$5=1,INDEX('Live History'!$B$5:$B$3004,$K2513),INDEX('AH History'!$D$5:$GG$1380,$K2513,AH!$U$10))))&gt;0),IF(AND(AH!$U$12=1,2508+1=AH!$U$6),IF(AH!$U$4=0,"unavailable",INDEX('Market Data'!$AN$5:$AN$66,AH!$U$4)),IF(AH!$U$5=1,INDEX('Live History'!$B$5:$B$3004,$K2513),INDEX('AH History'!$D$5:$GG$1380,$K2513,AH!$U$10))),NA()),NA())</f>
        <v/>
      </c>
      <c r="F2513" s="32">
        <f>IFERROR(IF(ISNUMBER($A2513),IF(AND(AH!$U$12=1,2508+1=AH!$U$6),IF(AH!$U$4=0,"unavailable",INDEX('Market Data'!$AO$5:$AO$66,AH!$U$4)),IF(AH!$U$5=1,INDEX('Live History'!$E$5:$E$3004,MATCH($A2513,'Live History'!$D$5:$D$3004,1)),INDEX('AH History'!$D$5:$GG$1380,$K2513,AH!$U$10+1))),NA()),NA())</f>
        <v/>
      </c>
      <c r="G2513" s="34">
        <f>IFERROR(IF(ISNUMBER($A2513),IF(AND(AH!$U$12=1,2508+1=AH!$U$6),IF(AH!$U$4=0,"unavailable",INDEX('Market Data'!$AK$5:$AK$66,AH!$U$4)),IF(AH!$U$5=1,INDEX('Live History'!$D$5:$D$3004,MATCH($A2513,'Live History'!$D$5:$D$3004,1)),INDEX('AH History'!$D$5:$GG$1380,$K2513,AH!$U$10+2))),NA()),NA())</f>
        <v/>
      </c>
      <c r="H2513" s="266">
        <f>IFERROR(IF(ISNUMBER($A2513),IF(AND(AH!$U$12=1,2508+1=AH!$U$6),IF(AH!$U$4=0,"unavailable",INDEX('Market Data'!$AP$5:$AP$66,AH!$U$4)),IF(AH!$U$5=1,INDEX('Live History'!$H$5:$H$3004,MATCH($A2513,'Live History'!$G$5:$G$3004,1)),INDEX('AH History'!$B$5:$B$1380,$K2513))),NA()),NA())</f>
        <v/>
      </c>
      <c r="I2513" s="34">
        <f>IFERROR(IF(ISNUMBER($A2513),IF(AND(AH!$U$12=1,2508+1=AH!$U$6),TODAY(),IF(AH!$U$5=1,INDEX('Live History'!$G$5:$G$3004,MATCH($A2513,'Live History'!$G$5:$G$3004,1)),INDEX('AH History'!$C$5:$C$1380,$K2513))),NA()),NA())</f>
        <v/>
      </c>
      <c r="J2513" s="32">
        <f>IFERROR(IF(AND($F2513&gt;0,$H2513&gt;0,$A2513-$G2513&lt;=10,$A2513-$I2513&lt;=5,$G2513&gt;0,$I2513&gt;0),$F2513*$H2513,NA()),NA())</f>
        <v/>
      </c>
      <c r="K2513" s="15">
        <f>IF($A2513="","",IF(AH!$U$5=1,IFERROR(MATCH($A2513,'Live History'!$A$5:$A$3004,0),0),AH!$U$7+2508))</f>
        <v/>
      </c>
      <c r="L2513" s="15">
        <f>IF(ISNUMBER(A2513),TEXT(A2513,"dd-mmm-yy"),"")</f>
        <v/>
      </c>
    </row>
    <row r="2514">
      <c r="A2514" s="14">
        <f>IF(OR(AH!$U$4=0,2509+1&gt;AH!$U$6,AND(AH!$M$5="Bloomberg",AH!$U$5=0)),"",IFERROR(IF(AND(AH!$U$12=1,2509+1=AH!$U$6),TODAY(),IF(AH!$U$5=1,INDEX('Live History'!$A$5:$A$3004,AH!$U$7+2509),INDEX('AH History'!$A$5:$A$1380,AH!$U$7+2509))),""))</f>
        <v/>
      </c>
      <c r="B2514" s="33">
        <f>IFERROR(IF(AH!$U$11=1,NA(),$J2514/$E2514-1),NA())</f>
        <v/>
      </c>
      <c r="C2514" s="269">
        <f>IFERROR(100*$E2514/$E$5,NA())</f>
        <v/>
      </c>
      <c r="D2514" s="269">
        <f>IFERROR(100*$J2514/$J$5,NA())</f>
        <v/>
      </c>
      <c r="E2514" s="32">
        <f>IFERROR(IF(AND(ISNUMBER($A2514),N(IF(AND(AH!$U$12=1,2509+1=AH!$U$6),IF(AH!$U$4=0,"unavailable",INDEX('Market Data'!$AN$5:$AN$66,AH!$U$4)),IF(AH!$U$5=1,INDEX('Live History'!$B$5:$B$3004,$K2514),INDEX('AH History'!$D$5:$GG$1380,$K2514,AH!$U$10))))&gt;0),IF(AND(AH!$U$12=1,2509+1=AH!$U$6),IF(AH!$U$4=0,"unavailable",INDEX('Market Data'!$AN$5:$AN$66,AH!$U$4)),IF(AH!$U$5=1,INDEX('Live History'!$B$5:$B$3004,$K2514),INDEX('AH History'!$D$5:$GG$1380,$K2514,AH!$U$10))),NA()),NA())</f>
        <v/>
      </c>
      <c r="F2514" s="32">
        <f>IFERROR(IF(ISNUMBER($A2514),IF(AND(AH!$U$12=1,2509+1=AH!$U$6),IF(AH!$U$4=0,"unavailable",INDEX('Market Data'!$AO$5:$AO$66,AH!$U$4)),IF(AH!$U$5=1,INDEX('Live History'!$E$5:$E$3004,MATCH($A2514,'Live History'!$D$5:$D$3004,1)),INDEX('AH History'!$D$5:$GG$1380,$K2514,AH!$U$10+1))),NA()),NA())</f>
        <v/>
      </c>
      <c r="G2514" s="34">
        <f>IFERROR(IF(ISNUMBER($A2514),IF(AND(AH!$U$12=1,2509+1=AH!$U$6),IF(AH!$U$4=0,"unavailable",INDEX('Market Data'!$AK$5:$AK$66,AH!$U$4)),IF(AH!$U$5=1,INDEX('Live History'!$D$5:$D$3004,MATCH($A2514,'Live History'!$D$5:$D$3004,1)),INDEX('AH History'!$D$5:$GG$1380,$K2514,AH!$U$10+2))),NA()),NA())</f>
        <v/>
      </c>
      <c r="H2514" s="266">
        <f>IFERROR(IF(ISNUMBER($A2514),IF(AND(AH!$U$12=1,2509+1=AH!$U$6),IF(AH!$U$4=0,"unavailable",INDEX('Market Data'!$AP$5:$AP$66,AH!$U$4)),IF(AH!$U$5=1,INDEX('Live History'!$H$5:$H$3004,MATCH($A2514,'Live History'!$G$5:$G$3004,1)),INDEX('AH History'!$B$5:$B$1380,$K2514))),NA()),NA())</f>
        <v/>
      </c>
      <c r="I2514" s="34">
        <f>IFERROR(IF(ISNUMBER($A2514),IF(AND(AH!$U$12=1,2509+1=AH!$U$6),TODAY(),IF(AH!$U$5=1,INDEX('Live History'!$G$5:$G$3004,MATCH($A2514,'Live History'!$G$5:$G$3004,1)),INDEX('AH History'!$C$5:$C$1380,$K2514))),NA()),NA())</f>
        <v/>
      </c>
      <c r="J2514" s="32">
        <f>IFERROR(IF(AND($F2514&gt;0,$H2514&gt;0,$A2514-$G2514&lt;=10,$A2514-$I2514&lt;=5,$G2514&gt;0,$I2514&gt;0),$F2514*$H2514,NA()),NA())</f>
        <v/>
      </c>
      <c r="K2514" s="15">
        <f>IF($A2514="","",IF(AH!$U$5=1,IFERROR(MATCH($A2514,'Live History'!$A$5:$A$3004,0),0),AH!$U$7+2509))</f>
        <v/>
      </c>
      <c r="L2514" s="15">
        <f>IF(ISNUMBER(A2514),TEXT(A2514,"dd-mmm-yy"),"")</f>
        <v/>
      </c>
    </row>
    <row r="2515">
      <c r="A2515" s="14">
        <f>IF(OR(AH!$U$4=0,2510+1&gt;AH!$U$6,AND(AH!$M$5="Bloomberg",AH!$U$5=0)),"",IFERROR(IF(AND(AH!$U$12=1,2510+1=AH!$U$6),TODAY(),IF(AH!$U$5=1,INDEX('Live History'!$A$5:$A$3004,AH!$U$7+2510),INDEX('AH History'!$A$5:$A$1380,AH!$U$7+2510))),""))</f>
        <v/>
      </c>
      <c r="B2515" s="33">
        <f>IFERROR(IF(AH!$U$11=1,NA(),$J2515/$E2515-1),NA())</f>
        <v/>
      </c>
      <c r="C2515" s="269">
        <f>IFERROR(100*$E2515/$E$5,NA())</f>
        <v/>
      </c>
      <c r="D2515" s="269">
        <f>IFERROR(100*$J2515/$J$5,NA())</f>
        <v/>
      </c>
      <c r="E2515" s="32">
        <f>IFERROR(IF(AND(ISNUMBER($A2515),N(IF(AND(AH!$U$12=1,2510+1=AH!$U$6),IF(AH!$U$4=0,"unavailable",INDEX('Market Data'!$AN$5:$AN$66,AH!$U$4)),IF(AH!$U$5=1,INDEX('Live History'!$B$5:$B$3004,$K2515),INDEX('AH History'!$D$5:$GG$1380,$K2515,AH!$U$10))))&gt;0),IF(AND(AH!$U$12=1,2510+1=AH!$U$6),IF(AH!$U$4=0,"unavailable",INDEX('Market Data'!$AN$5:$AN$66,AH!$U$4)),IF(AH!$U$5=1,INDEX('Live History'!$B$5:$B$3004,$K2515),INDEX('AH History'!$D$5:$GG$1380,$K2515,AH!$U$10))),NA()),NA())</f>
        <v/>
      </c>
      <c r="F2515" s="32">
        <f>IFERROR(IF(ISNUMBER($A2515),IF(AND(AH!$U$12=1,2510+1=AH!$U$6),IF(AH!$U$4=0,"unavailable",INDEX('Market Data'!$AO$5:$AO$66,AH!$U$4)),IF(AH!$U$5=1,INDEX('Live History'!$E$5:$E$3004,MATCH($A2515,'Live History'!$D$5:$D$3004,1)),INDEX('AH History'!$D$5:$GG$1380,$K2515,AH!$U$10+1))),NA()),NA())</f>
        <v/>
      </c>
      <c r="G2515" s="34">
        <f>IFERROR(IF(ISNUMBER($A2515),IF(AND(AH!$U$12=1,2510+1=AH!$U$6),IF(AH!$U$4=0,"unavailable",INDEX('Market Data'!$AK$5:$AK$66,AH!$U$4)),IF(AH!$U$5=1,INDEX('Live History'!$D$5:$D$3004,MATCH($A2515,'Live History'!$D$5:$D$3004,1)),INDEX('AH History'!$D$5:$GG$1380,$K2515,AH!$U$10+2))),NA()),NA())</f>
        <v/>
      </c>
      <c r="H2515" s="266">
        <f>IFERROR(IF(ISNUMBER($A2515),IF(AND(AH!$U$12=1,2510+1=AH!$U$6),IF(AH!$U$4=0,"unavailable",INDEX('Market Data'!$AP$5:$AP$66,AH!$U$4)),IF(AH!$U$5=1,INDEX('Live History'!$H$5:$H$3004,MATCH($A2515,'Live History'!$G$5:$G$3004,1)),INDEX('AH History'!$B$5:$B$1380,$K2515))),NA()),NA())</f>
        <v/>
      </c>
      <c r="I2515" s="34">
        <f>IFERROR(IF(ISNUMBER($A2515),IF(AND(AH!$U$12=1,2510+1=AH!$U$6),TODAY(),IF(AH!$U$5=1,INDEX('Live History'!$G$5:$G$3004,MATCH($A2515,'Live History'!$G$5:$G$3004,1)),INDEX('AH History'!$C$5:$C$1380,$K2515))),NA()),NA())</f>
        <v/>
      </c>
      <c r="J2515" s="32">
        <f>IFERROR(IF(AND($F2515&gt;0,$H2515&gt;0,$A2515-$G2515&lt;=10,$A2515-$I2515&lt;=5,$G2515&gt;0,$I2515&gt;0),$F2515*$H2515,NA()),NA())</f>
        <v/>
      </c>
      <c r="K2515" s="15">
        <f>IF($A2515="","",IF(AH!$U$5=1,IFERROR(MATCH($A2515,'Live History'!$A$5:$A$3004,0),0),AH!$U$7+2510))</f>
        <v/>
      </c>
      <c r="L2515" s="15">
        <f>IF(ISNUMBER(A2515),TEXT(A2515,"dd-mmm-yy"),"")</f>
        <v/>
      </c>
    </row>
    <row r="2516">
      <c r="A2516" s="14">
        <f>IF(OR(AH!$U$4=0,2511+1&gt;AH!$U$6,AND(AH!$M$5="Bloomberg",AH!$U$5=0)),"",IFERROR(IF(AND(AH!$U$12=1,2511+1=AH!$U$6),TODAY(),IF(AH!$U$5=1,INDEX('Live History'!$A$5:$A$3004,AH!$U$7+2511),INDEX('AH History'!$A$5:$A$1380,AH!$U$7+2511))),""))</f>
        <v/>
      </c>
      <c r="B2516" s="33">
        <f>IFERROR(IF(AH!$U$11=1,NA(),$J2516/$E2516-1),NA())</f>
        <v/>
      </c>
      <c r="C2516" s="269">
        <f>IFERROR(100*$E2516/$E$5,NA())</f>
        <v/>
      </c>
      <c r="D2516" s="269">
        <f>IFERROR(100*$J2516/$J$5,NA())</f>
        <v/>
      </c>
      <c r="E2516" s="32">
        <f>IFERROR(IF(AND(ISNUMBER($A2516),N(IF(AND(AH!$U$12=1,2511+1=AH!$U$6),IF(AH!$U$4=0,"unavailable",INDEX('Market Data'!$AN$5:$AN$66,AH!$U$4)),IF(AH!$U$5=1,INDEX('Live History'!$B$5:$B$3004,$K2516),INDEX('AH History'!$D$5:$GG$1380,$K2516,AH!$U$10))))&gt;0),IF(AND(AH!$U$12=1,2511+1=AH!$U$6),IF(AH!$U$4=0,"unavailable",INDEX('Market Data'!$AN$5:$AN$66,AH!$U$4)),IF(AH!$U$5=1,INDEX('Live History'!$B$5:$B$3004,$K2516),INDEX('AH History'!$D$5:$GG$1380,$K2516,AH!$U$10))),NA()),NA())</f>
        <v/>
      </c>
      <c r="F2516" s="32">
        <f>IFERROR(IF(ISNUMBER($A2516),IF(AND(AH!$U$12=1,2511+1=AH!$U$6),IF(AH!$U$4=0,"unavailable",INDEX('Market Data'!$AO$5:$AO$66,AH!$U$4)),IF(AH!$U$5=1,INDEX('Live History'!$E$5:$E$3004,MATCH($A2516,'Live History'!$D$5:$D$3004,1)),INDEX('AH History'!$D$5:$GG$1380,$K2516,AH!$U$10+1))),NA()),NA())</f>
        <v/>
      </c>
      <c r="G2516" s="34">
        <f>IFERROR(IF(ISNUMBER($A2516),IF(AND(AH!$U$12=1,2511+1=AH!$U$6),IF(AH!$U$4=0,"unavailable",INDEX('Market Data'!$AK$5:$AK$66,AH!$U$4)),IF(AH!$U$5=1,INDEX('Live History'!$D$5:$D$3004,MATCH($A2516,'Live History'!$D$5:$D$3004,1)),INDEX('AH History'!$D$5:$GG$1380,$K2516,AH!$U$10+2))),NA()),NA())</f>
        <v/>
      </c>
      <c r="H2516" s="266">
        <f>IFERROR(IF(ISNUMBER($A2516),IF(AND(AH!$U$12=1,2511+1=AH!$U$6),IF(AH!$U$4=0,"unavailable",INDEX('Market Data'!$AP$5:$AP$66,AH!$U$4)),IF(AH!$U$5=1,INDEX('Live History'!$H$5:$H$3004,MATCH($A2516,'Live History'!$G$5:$G$3004,1)),INDEX('AH History'!$B$5:$B$1380,$K2516))),NA()),NA())</f>
        <v/>
      </c>
      <c r="I2516" s="34">
        <f>IFERROR(IF(ISNUMBER($A2516),IF(AND(AH!$U$12=1,2511+1=AH!$U$6),TODAY(),IF(AH!$U$5=1,INDEX('Live History'!$G$5:$G$3004,MATCH($A2516,'Live History'!$G$5:$G$3004,1)),INDEX('AH History'!$C$5:$C$1380,$K2516))),NA()),NA())</f>
        <v/>
      </c>
      <c r="J2516" s="32">
        <f>IFERROR(IF(AND($F2516&gt;0,$H2516&gt;0,$A2516-$G2516&lt;=10,$A2516-$I2516&lt;=5,$G2516&gt;0,$I2516&gt;0),$F2516*$H2516,NA()),NA())</f>
        <v/>
      </c>
      <c r="K2516" s="15">
        <f>IF($A2516="","",IF(AH!$U$5=1,IFERROR(MATCH($A2516,'Live History'!$A$5:$A$3004,0),0),AH!$U$7+2511))</f>
        <v/>
      </c>
      <c r="L2516" s="15">
        <f>IF(ISNUMBER(A2516),TEXT(A2516,"dd-mmm-yy"),"")</f>
        <v/>
      </c>
    </row>
    <row r="2517">
      <c r="A2517" s="14">
        <f>IF(OR(AH!$U$4=0,2512+1&gt;AH!$U$6,AND(AH!$M$5="Bloomberg",AH!$U$5=0)),"",IFERROR(IF(AND(AH!$U$12=1,2512+1=AH!$U$6),TODAY(),IF(AH!$U$5=1,INDEX('Live History'!$A$5:$A$3004,AH!$U$7+2512),INDEX('AH History'!$A$5:$A$1380,AH!$U$7+2512))),""))</f>
        <v/>
      </c>
      <c r="B2517" s="33">
        <f>IFERROR(IF(AH!$U$11=1,NA(),$J2517/$E2517-1),NA())</f>
        <v/>
      </c>
      <c r="C2517" s="269">
        <f>IFERROR(100*$E2517/$E$5,NA())</f>
        <v/>
      </c>
      <c r="D2517" s="269">
        <f>IFERROR(100*$J2517/$J$5,NA())</f>
        <v/>
      </c>
      <c r="E2517" s="32">
        <f>IFERROR(IF(AND(ISNUMBER($A2517),N(IF(AND(AH!$U$12=1,2512+1=AH!$U$6),IF(AH!$U$4=0,"unavailable",INDEX('Market Data'!$AN$5:$AN$66,AH!$U$4)),IF(AH!$U$5=1,INDEX('Live History'!$B$5:$B$3004,$K2517),INDEX('AH History'!$D$5:$GG$1380,$K2517,AH!$U$10))))&gt;0),IF(AND(AH!$U$12=1,2512+1=AH!$U$6),IF(AH!$U$4=0,"unavailable",INDEX('Market Data'!$AN$5:$AN$66,AH!$U$4)),IF(AH!$U$5=1,INDEX('Live History'!$B$5:$B$3004,$K2517),INDEX('AH History'!$D$5:$GG$1380,$K2517,AH!$U$10))),NA()),NA())</f>
        <v/>
      </c>
      <c r="F2517" s="32">
        <f>IFERROR(IF(ISNUMBER($A2517),IF(AND(AH!$U$12=1,2512+1=AH!$U$6),IF(AH!$U$4=0,"unavailable",INDEX('Market Data'!$AO$5:$AO$66,AH!$U$4)),IF(AH!$U$5=1,INDEX('Live History'!$E$5:$E$3004,MATCH($A2517,'Live History'!$D$5:$D$3004,1)),INDEX('AH History'!$D$5:$GG$1380,$K2517,AH!$U$10+1))),NA()),NA())</f>
        <v/>
      </c>
      <c r="G2517" s="34">
        <f>IFERROR(IF(ISNUMBER($A2517),IF(AND(AH!$U$12=1,2512+1=AH!$U$6),IF(AH!$U$4=0,"unavailable",INDEX('Market Data'!$AK$5:$AK$66,AH!$U$4)),IF(AH!$U$5=1,INDEX('Live History'!$D$5:$D$3004,MATCH($A2517,'Live History'!$D$5:$D$3004,1)),INDEX('AH History'!$D$5:$GG$1380,$K2517,AH!$U$10+2))),NA()),NA())</f>
        <v/>
      </c>
      <c r="H2517" s="266">
        <f>IFERROR(IF(ISNUMBER($A2517),IF(AND(AH!$U$12=1,2512+1=AH!$U$6),IF(AH!$U$4=0,"unavailable",INDEX('Market Data'!$AP$5:$AP$66,AH!$U$4)),IF(AH!$U$5=1,INDEX('Live History'!$H$5:$H$3004,MATCH($A2517,'Live History'!$G$5:$G$3004,1)),INDEX('AH History'!$B$5:$B$1380,$K2517))),NA()),NA())</f>
        <v/>
      </c>
      <c r="I2517" s="34">
        <f>IFERROR(IF(ISNUMBER($A2517),IF(AND(AH!$U$12=1,2512+1=AH!$U$6),TODAY(),IF(AH!$U$5=1,INDEX('Live History'!$G$5:$G$3004,MATCH($A2517,'Live History'!$G$5:$G$3004,1)),INDEX('AH History'!$C$5:$C$1380,$K2517))),NA()),NA())</f>
        <v/>
      </c>
      <c r="J2517" s="32">
        <f>IFERROR(IF(AND($F2517&gt;0,$H2517&gt;0,$A2517-$G2517&lt;=10,$A2517-$I2517&lt;=5,$G2517&gt;0,$I2517&gt;0),$F2517*$H2517,NA()),NA())</f>
        <v/>
      </c>
      <c r="K2517" s="15">
        <f>IF($A2517="","",IF(AH!$U$5=1,IFERROR(MATCH($A2517,'Live History'!$A$5:$A$3004,0),0),AH!$U$7+2512))</f>
        <v/>
      </c>
      <c r="L2517" s="15">
        <f>IF(ISNUMBER(A2517),TEXT(A2517,"dd-mmm-yy"),"")</f>
        <v/>
      </c>
    </row>
    <row r="2518">
      <c r="A2518" s="14">
        <f>IF(OR(AH!$U$4=0,2513+1&gt;AH!$U$6,AND(AH!$M$5="Bloomberg",AH!$U$5=0)),"",IFERROR(IF(AND(AH!$U$12=1,2513+1=AH!$U$6),TODAY(),IF(AH!$U$5=1,INDEX('Live History'!$A$5:$A$3004,AH!$U$7+2513),INDEX('AH History'!$A$5:$A$1380,AH!$U$7+2513))),""))</f>
        <v/>
      </c>
      <c r="B2518" s="33">
        <f>IFERROR(IF(AH!$U$11=1,NA(),$J2518/$E2518-1),NA())</f>
        <v/>
      </c>
      <c r="C2518" s="269">
        <f>IFERROR(100*$E2518/$E$5,NA())</f>
        <v/>
      </c>
      <c r="D2518" s="269">
        <f>IFERROR(100*$J2518/$J$5,NA())</f>
        <v/>
      </c>
      <c r="E2518" s="32">
        <f>IFERROR(IF(AND(ISNUMBER($A2518),N(IF(AND(AH!$U$12=1,2513+1=AH!$U$6),IF(AH!$U$4=0,"unavailable",INDEX('Market Data'!$AN$5:$AN$66,AH!$U$4)),IF(AH!$U$5=1,INDEX('Live History'!$B$5:$B$3004,$K2518),INDEX('AH History'!$D$5:$GG$1380,$K2518,AH!$U$10))))&gt;0),IF(AND(AH!$U$12=1,2513+1=AH!$U$6),IF(AH!$U$4=0,"unavailable",INDEX('Market Data'!$AN$5:$AN$66,AH!$U$4)),IF(AH!$U$5=1,INDEX('Live History'!$B$5:$B$3004,$K2518),INDEX('AH History'!$D$5:$GG$1380,$K2518,AH!$U$10))),NA()),NA())</f>
        <v/>
      </c>
      <c r="F2518" s="32">
        <f>IFERROR(IF(ISNUMBER($A2518),IF(AND(AH!$U$12=1,2513+1=AH!$U$6),IF(AH!$U$4=0,"unavailable",INDEX('Market Data'!$AO$5:$AO$66,AH!$U$4)),IF(AH!$U$5=1,INDEX('Live History'!$E$5:$E$3004,MATCH($A2518,'Live History'!$D$5:$D$3004,1)),INDEX('AH History'!$D$5:$GG$1380,$K2518,AH!$U$10+1))),NA()),NA())</f>
        <v/>
      </c>
      <c r="G2518" s="34">
        <f>IFERROR(IF(ISNUMBER($A2518),IF(AND(AH!$U$12=1,2513+1=AH!$U$6),IF(AH!$U$4=0,"unavailable",INDEX('Market Data'!$AK$5:$AK$66,AH!$U$4)),IF(AH!$U$5=1,INDEX('Live History'!$D$5:$D$3004,MATCH($A2518,'Live History'!$D$5:$D$3004,1)),INDEX('AH History'!$D$5:$GG$1380,$K2518,AH!$U$10+2))),NA()),NA())</f>
        <v/>
      </c>
      <c r="H2518" s="266">
        <f>IFERROR(IF(ISNUMBER($A2518),IF(AND(AH!$U$12=1,2513+1=AH!$U$6),IF(AH!$U$4=0,"unavailable",INDEX('Market Data'!$AP$5:$AP$66,AH!$U$4)),IF(AH!$U$5=1,INDEX('Live History'!$H$5:$H$3004,MATCH($A2518,'Live History'!$G$5:$G$3004,1)),INDEX('AH History'!$B$5:$B$1380,$K2518))),NA()),NA())</f>
        <v/>
      </c>
      <c r="I2518" s="34">
        <f>IFERROR(IF(ISNUMBER($A2518),IF(AND(AH!$U$12=1,2513+1=AH!$U$6),TODAY(),IF(AH!$U$5=1,INDEX('Live History'!$G$5:$G$3004,MATCH($A2518,'Live History'!$G$5:$G$3004,1)),INDEX('AH History'!$C$5:$C$1380,$K2518))),NA()),NA())</f>
        <v/>
      </c>
      <c r="J2518" s="32">
        <f>IFERROR(IF(AND($F2518&gt;0,$H2518&gt;0,$A2518-$G2518&lt;=10,$A2518-$I2518&lt;=5,$G2518&gt;0,$I2518&gt;0),$F2518*$H2518,NA()),NA())</f>
        <v/>
      </c>
      <c r="K2518" s="15">
        <f>IF($A2518="","",IF(AH!$U$5=1,IFERROR(MATCH($A2518,'Live History'!$A$5:$A$3004,0),0),AH!$U$7+2513))</f>
        <v/>
      </c>
      <c r="L2518" s="15">
        <f>IF(ISNUMBER(A2518),TEXT(A2518,"dd-mmm-yy"),"")</f>
        <v/>
      </c>
    </row>
    <row r="2519">
      <c r="A2519" s="14">
        <f>IF(OR(AH!$U$4=0,2514+1&gt;AH!$U$6,AND(AH!$M$5="Bloomberg",AH!$U$5=0)),"",IFERROR(IF(AND(AH!$U$12=1,2514+1=AH!$U$6),TODAY(),IF(AH!$U$5=1,INDEX('Live History'!$A$5:$A$3004,AH!$U$7+2514),INDEX('AH History'!$A$5:$A$1380,AH!$U$7+2514))),""))</f>
        <v/>
      </c>
      <c r="B2519" s="33">
        <f>IFERROR(IF(AH!$U$11=1,NA(),$J2519/$E2519-1),NA())</f>
        <v/>
      </c>
      <c r="C2519" s="269">
        <f>IFERROR(100*$E2519/$E$5,NA())</f>
        <v/>
      </c>
      <c r="D2519" s="269">
        <f>IFERROR(100*$J2519/$J$5,NA())</f>
        <v/>
      </c>
      <c r="E2519" s="32">
        <f>IFERROR(IF(AND(ISNUMBER($A2519),N(IF(AND(AH!$U$12=1,2514+1=AH!$U$6),IF(AH!$U$4=0,"unavailable",INDEX('Market Data'!$AN$5:$AN$66,AH!$U$4)),IF(AH!$U$5=1,INDEX('Live History'!$B$5:$B$3004,$K2519),INDEX('AH History'!$D$5:$GG$1380,$K2519,AH!$U$10))))&gt;0),IF(AND(AH!$U$12=1,2514+1=AH!$U$6),IF(AH!$U$4=0,"unavailable",INDEX('Market Data'!$AN$5:$AN$66,AH!$U$4)),IF(AH!$U$5=1,INDEX('Live History'!$B$5:$B$3004,$K2519),INDEX('AH History'!$D$5:$GG$1380,$K2519,AH!$U$10))),NA()),NA())</f>
        <v/>
      </c>
      <c r="F2519" s="32">
        <f>IFERROR(IF(ISNUMBER($A2519),IF(AND(AH!$U$12=1,2514+1=AH!$U$6),IF(AH!$U$4=0,"unavailable",INDEX('Market Data'!$AO$5:$AO$66,AH!$U$4)),IF(AH!$U$5=1,INDEX('Live History'!$E$5:$E$3004,MATCH($A2519,'Live History'!$D$5:$D$3004,1)),INDEX('AH History'!$D$5:$GG$1380,$K2519,AH!$U$10+1))),NA()),NA())</f>
        <v/>
      </c>
      <c r="G2519" s="34">
        <f>IFERROR(IF(ISNUMBER($A2519),IF(AND(AH!$U$12=1,2514+1=AH!$U$6),IF(AH!$U$4=0,"unavailable",INDEX('Market Data'!$AK$5:$AK$66,AH!$U$4)),IF(AH!$U$5=1,INDEX('Live History'!$D$5:$D$3004,MATCH($A2519,'Live History'!$D$5:$D$3004,1)),INDEX('AH History'!$D$5:$GG$1380,$K2519,AH!$U$10+2))),NA()),NA())</f>
        <v/>
      </c>
      <c r="H2519" s="266">
        <f>IFERROR(IF(ISNUMBER($A2519),IF(AND(AH!$U$12=1,2514+1=AH!$U$6),IF(AH!$U$4=0,"unavailable",INDEX('Market Data'!$AP$5:$AP$66,AH!$U$4)),IF(AH!$U$5=1,INDEX('Live History'!$H$5:$H$3004,MATCH($A2519,'Live History'!$G$5:$G$3004,1)),INDEX('AH History'!$B$5:$B$1380,$K2519))),NA()),NA())</f>
        <v/>
      </c>
      <c r="I2519" s="34">
        <f>IFERROR(IF(ISNUMBER($A2519),IF(AND(AH!$U$12=1,2514+1=AH!$U$6),TODAY(),IF(AH!$U$5=1,INDEX('Live History'!$G$5:$G$3004,MATCH($A2519,'Live History'!$G$5:$G$3004,1)),INDEX('AH History'!$C$5:$C$1380,$K2519))),NA()),NA())</f>
        <v/>
      </c>
      <c r="J2519" s="32">
        <f>IFERROR(IF(AND($F2519&gt;0,$H2519&gt;0,$A2519-$G2519&lt;=10,$A2519-$I2519&lt;=5,$G2519&gt;0,$I2519&gt;0),$F2519*$H2519,NA()),NA())</f>
        <v/>
      </c>
      <c r="K2519" s="15">
        <f>IF($A2519="","",IF(AH!$U$5=1,IFERROR(MATCH($A2519,'Live History'!$A$5:$A$3004,0),0),AH!$U$7+2514))</f>
        <v/>
      </c>
      <c r="L2519" s="15">
        <f>IF(ISNUMBER(A2519),TEXT(A2519,"dd-mmm-yy"),"")</f>
        <v/>
      </c>
    </row>
    <row r="2520">
      <c r="A2520" s="14">
        <f>IF(OR(AH!$U$4=0,2515+1&gt;AH!$U$6,AND(AH!$M$5="Bloomberg",AH!$U$5=0)),"",IFERROR(IF(AND(AH!$U$12=1,2515+1=AH!$U$6),TODAY(),IF(AH!$U$5=1,INDEX('Live History'!$A$5:$A$3004,AH!$U$7+2515),INDEX('AH History'!$A$5:$A$1380,AH!$U$7+2515))),""))</f>
        <v/>
      </c>
      <c r="B2520" s="33">
        <f>IFERROR(IF(AH!$U$11=1,NA(),$J2520/$E2520-1),NA())</f>
        <v/>
      </c>
      <c r="C2520" s="269">
        <f>IFERROR(100*$E2520/$E$5,NA())</f>
        <v/>
      </c>
      <c r="D2520" s="269">
        <f>IFERROR(100*$J2520/$J$5,NA())</f>
        <v/>
      </c>
      <c r="E2520" s="32">
        <f>IFERROR(IF(AND(ISNUMBER($A2520),N(IF(AND(AH!$U$12=1,2515+1=AH!$U$6),IF(AH!$U$4=0,"unavailable",INDEX('Market Data'!$AN$5:$AN$66,AH!$U$4)),IF(AH!$U$5=1,INDEX('Live History'!$B$5:$B$3004,$K2520),INDEX('AH History'!$D$5:$GG$1380,$K2520,AH!$U$10))))&gt;0),IF(AND(AH!$U$12=1,2515+1=AH!$U$6),IF(AH!$U$4=0,"unavailable",INDEX('Market Data'!$AN$5:$AN$66,AH!$U$4)),IF(AH!$U$5=1,INDEX('Live History'!$B$5:$B$3004,$K2520),INDEX('AH History'!$D$5:$GG$1380,$K2520,AH!$U$10))),NA()),NA())</f>
        <v/>
      </c>
      <c r="F2520" s="32">
        <f>IFERROR(IF(ISNUMBER($A2520),IF(AND(AH!$U$12=1,2515+1=AH!$U$6),IF(AH!$U$4=0,"unavailable",INDEX('Market Data'!$AO$5:$AO$66,AH!$U$4)),IF(AH!$U$5=1,INDEX('Live History'!$E$5:$E$3004,MATCH($A2520,'Live History'!$D$5:$D$3004,1)),INDEX('AH History'!$D$5:$GG$1380,$K2520,AH!$U$10+1))),NA()),NA())</f>
        <v/>
      </c>
      <c r="G2520" s="34">
        <f>IFERROR(IF(ISNUMBER($A2520),IF(AND(AH!$U$12=1,2515+1=AH!$U$6),IF(AH!$U$4=0,"unavailable",INDEX('Market Data'!$AK$5:$AK$66,AH!$U$4)),IF(AH!$U$5=1,INDEX('Live History'!$D$5:$D$3004,MATCH($A2520,'Live History'!$D$5:$D$3004,1)),INDEX('AH History'!$D$5:$GG$1380,$K2520,AH!$U$10+2))),NA()),NA())</f>
        <v/>
      </c>
      <c r="H2520" s="266">
        <f>IFERROR(IF(ISNUMBER($A2520),IF(AND(AH!$U$12=1,2515+1=AH!$U$6),IF(AH!$U$4=0,"unavailable",INDEX('Market Data'!$AP$5:$AP$66,AH!$U$4)),IF(AH!$U$5=1,INDEX('Live History'!$H$5:$H$3004,MATCH($A2520,'Live History'!$G$5:$G$3004,1)),INDEX('AH History'!$B$5:$B$1380,$K2520))),NA()),NA())</f>
        <v/>
      </c>
      <c r="I2520" s="34">
        <f>IFERROR(IF(ISNUMBER($A2520),IF(AND(AH!$U$12=1,2515+1=AH!$U$6),TODAY(),IF(AH!$U$5=1,INDEX('Live History'!$G$5:$G$3004,MATCH($A2520,'Live History'!$G$5:$G$3004,1)),INDEX('AH History'!$C$5:$C$1380,$K2520))),NA()),NA())</f>
        <v/>
      </c>
      <c r="J2520" s="32">
        <f>IFERROR(IF(AND($F2520&gt;0,$H2520&gt;0,$A2520-$G2520&lt;=10,$A2520-$I2520&lt;=5,$G2520&gt;0,$I2520&gt;0),$F2520*$H2520,NA()),NA())</f>
        <v/>
      </c>
      <c r="K2520" s="15">
        <f>IF($A2520="","",IF(AH!$U$5=1,IFERROR(MATCH($A2520,'Live History'!$A$5:$A$3004,0),0),AH!$U$7+2515))</f>
        <v/>
      </c>
      <c r="L2520" s="15">
        <f>IF(ISNUMBER(A2520),TEXT(A2520,"dd-mmm-yy"),"")</f>
        <v/>
      </c>
    </row>
    <row r="2521">
      <c r="A2521" s="14">
        <f>IF(OR(AH!$U$4=0,2516+1&gt;AH!$U$6,AND(AH!$M$5="Bloomberg",AH!$U$5=0)),"",IFERROR(IF(AND(AH!$U$12=1,2516+1=AH!$U$6),TODAY(),IF(AH!$U$5=1,INDEX('Live History'!$A$5:$A$3004,AH!$U$7+2516),INDEX('AH History'!$A$5:$A$1380,AH!$U$7+2516))),""))</f>
        <v/>
      </c>
      <c r="B2521" s="33">
        <f>IFERROR(IF(AH!$U$11=1,NA(),$J2521/$E2521-1),NA())</f>
        <v/>
      </c>
      <c r="C2521" s="269">
        <f>IFERROR(100*$E2521/$E$5,NA())</f>
        <v/>
      </c>
      <c r="D2521" s="269">
        <f>IFERROR(100*$J2521/$J$5,NA())</f>
        <v/>
      </c>
      <c r="E2521" s="32">
        <f>IFERROR(IF(AND(ISNUMBER($A2521),N(IF(AND(AH!$U$12=1,2516+1=AH!$U$6),IF(AH!$U$4=0,"unavailable",INDEX('Market Data'!$AN$5:$AN$66,AH!$U$4)),IF(AH!$U$5=1,INDEX('Live History'!$B$5:$B$3004,$K2521),INDEX('AH History'!$D$5:$GG$1380,$K2521,AH!$U$10))))&gt;0),IF(AND(AH!$U$12=1,2516+1=AH!$U$6),IF(AH!$U$4=0,"unavailable",INDEX('Market Data'!$AN$5:$AN$66,AH!$U$4)),IF(AH!$U$5=1,INDEX('Live History'!$B$5:$B$3004,$K2521),INDEX('AH History'!$D$5:$GG$1380,$K2521,AH!$U$10))),NA()),NA())</f>
        <v/>
      </c>
      <c r="F2521" s="32">
        <f>IFERROR(IF(ISNUMBER($A2521),IF(AND(AH!$U$12=1,2516+1=AH!$U$6),IF(AH!$U$4=0,"unavailable",INDEX('Market Data'!$AO$5:$AO$66,AH!$U$4)),IF(AH!$U$5=1,INDEX('Live History'!$E$5:$E$3004,MATCH($A2521,'Live History'!$D$5:$D$3004,1)),INDEX('AH History'!$D$5:$GG$1380,$K2521,AH!$U$10+1))),NA()),NA())</f>
        <v/>
      </c>
      <c r="G2521" s="34">
        <f>IFERROR(IF(ISNUMBER($A2521),IF(AND(AH!$U$12=1,2516+1=AH!$U$6),IF(AH!$U$4=0,"unavailable",INDEX('Market Data'!$AK$5:$AK$66,AH!$U$4)),IF(AH!$U$5=1,INDEX('Live History'!$D$5:$D$3004,MATCH($A2521,'Live History'!$D$5:$D$3004,1)),INDEX('AH History'!$D$5:$GG$1380,$K2521,AH!$U$10+2))),NA()),NA())</f>
        <v/>
      </c>
      <c r="H2521" s="266">
        <f>IFERROR(IF(ISNUMBER($A2521),IF(AND(AH!$U$12=1,2516+1=AH!$U$6),IF(AH!$U$4=0,"unavailable",INDEX('Market Data'!$AP$5:$AP$66,AH!$U$4)),IF(AH!$U$5=1,INDEX('Live History'!$H$5:$H$3004,MATCH($A2521,'Live History'!$G$5:$G$3004,1)),INDEX('AH History'!$B$5:$B$1380,$K2521))),NA()),NA())</f>
        <v/>
      </c>
      <c r="I2521" s="34">
        <f>IFERROR(IF(ISNUMBER($A2521),IF(AND(AH!$U$12=1,2516+1=AH!$U$6),TODAY(),IF(AH!$U$5=1,INDEX('Live History'!$G$5:$G$3004,MATCH($A2521,'Live History'!$G$5:$G$3004,1)),INDEX('AH History'!$C$5:$C$1380,$K2521))),NA()),NA())</f>
        <v/>
      </c>
      <c r="J2521" s="32">
        <f>IFERROR(IF(AND($F2521&gt;0,$H2521&gt;0,$A2521-$G2521&lt;=10,$A2521-$I2521&lt;=5,$G2521&gt;0,$I2521&gt;0),$F2521*$H2521,NA()),NA())</f>
        <v/>
      </c>
      <c r="K2521" s="15">
        <f>IF($A2521="","",IF(AH!$U$5=1,IFERROR(MATCH($A2521,'Live History'!$A$5:$A$3004,0),0),AH!$U$7+2516))</f>
        <v/>
      </c>
      <c r="L2521" s="15">
        <f>IF(ISNUMBER(A2521),TEXT(A2521,"dd-mmm-yy"),"")</f>
        <v/>
      </c>
    </row>
    <row r="2522">
      <c r="A2522" s="14">
        <f>IF(OR(AH!$U$4=0,2517+1&gt;AH!$U$6,AND(AH!$M$5="Bloomberg",AH!$U$5=0)),"",IFERROR(IF(AND(AH!$U$12=1,2517+1=AH!$U$6),TODAY(),IF(AH!$U$5=1,INDEX('Live History'!$A$5:$A$3004,AH!$U$7+2517),INDEX('AH History'!$A$5:$A$1380,AH!$U$7+2517))),""))</f>
        <v/>
      </c>
      <c r="B2522" s="33">
        <f>IFERROR(IF(AH!$U$11=1,NA(),$J2522/$E2522-1),NA())</f>
        <v/>
      </c>
      <c r="C2522" s="269">
        <f>IFERROR(100*$E2522/$E$5,NA())</f>
        <v/>
      </c>
      <c r="D2522" s="269">
        <f>IFERROR(100*$J2522/$J$5,NA())</f>
        <v/>
      </c>
      <c r="E2522" s="32">
        <f>IFERROR(IF(AND(ISNUMBER($A2522),N(IF(AND(AH!$U$12=1,2517+1=AH!$U$6),IF(AH!$U$4=0,"unavailable",INDEX('Market Data'!$AN$5:$AN$66,AH!$U$4)),IF(AH!$U$5=1,INDEX('Live History'!$B$5:$B$3004,$K2522),INDEX('AH History'!$D$5:$GG$1380,$K2522,AH!$U$10))))&gt;0),IF(AND(AH!$U$12=1,2517+1=AH!$U$6),IF(AH!$U$4=0,"unavailable",INDEX('Market Data'!$AN$5:$AN$66,AH!$U$4)),IF(AH!$U$5=1,INDEX('Live History'!$B$5:$B$3004,$K2522),INDEX('AH History'!$D$5:$GG$1380,$K2522,AH!$U$10))),NA()),NA())</f>
        <v/>
      </c>
      <c r="F2522" s="32">
        <f>IFERROR(IF(ISNUMBER($A2522),IF(AND(AH!$U$12=1,2517+1=AH!$U$6),IF(AH!$U$4=0,"unavailable",INDEX('Market Data'!$AO$5:$AO$66,AH!$U$4)),IF(AH!$U$5=1,INDEX('Live History'!$E$5:$E$3004,MATCH($A2522,'Live History'!$D$5:$D$3004,1)),INDEX('AH History'!$D$5:$GG$1380,$K2522,AH!$U$10+1))),NA()),NA())</f>
        <v/>
      </c>
      <c r="G2522" s="34">
        <f>IFERROR(IF(ISNUMBER($A2522),IF(AND(AH!$U$12=1,2517+1=AH!$U$6),IF(AH!$U$4=0,"unavailable",INDEX('Market Data'!$AK$5:$AK$66,AH!$U$4)),IF(AH!$U$5=1,INDEX('Live History'!$D$5:$D$3004,MATCH($A2522,'Live History'!$D$5:$D$3004,1)),INDEX('AH History'!$D$5:$GG$1380,$K2522,AH!$U$10+2))),NA()),NA())</f>
        <v/>
      </c>
      <c r="H2522" s="266">
        <f>IFERROR(IF(ISNUMBER($A2522),IF(AND(AH!$U$12=1,2517+1=AH!$U$6),IF(AH!$U$4=0,"unavailable",INDEX('Market Data'!$AP$5:$AP$66,AH!$U$4)),IF(AH!$U$5=1,INDEX('Live History'!$H$5:$H$3004,MATCH($A2522,'Live History'!$G$5:$G$3004,1)),INDEX('AH History'!$B$5:$B$1380,$K2522))),NA()),NA())</f>
        <v/>
      </c>
      <c r="I2522" s="34">
        <f>IFERROR(IF(ISNUMBER($A2522),IF(AND(AH!$U$12=1,2517+1=AH!$U$6),TODAY(),IF(AH!$U$5=1,INDEX('Live History'!$G$5:$G$3004,MATCH($A2522,'Live History'!$G$5:$G$3004,1)),INDEX('AH History'!$C$5:$C$1380,$K2522))),NA()),NA())</f>
        <v/>
      </c>
      <c r="J2522" s="32">
        <f>IFERROR(IF(AND($F2522&gt;0,$H2522&gt;0,$A2522-$G2522&lt;=10,$A2522-$I2522&lt;=5,$G2522&gt;0,$I2522&gt;0),$F2522*$H2522,NA()),NA())</f>
        <v/>
      </c>
      <c r="K2522" s="15">
        <f>IF($A2522="","",IF(AH!$U$5=1,IFERROR(MATCH($A2522,'Live History'!$A$5:$A$3004,0),0),AH!$U$7+2517))</f>
        <v/>
      </c>
      <c r="L2522" s="15">
        <f>IF(ISNUMBER(A2522),TEXT(A2522,"dd-mmm-yy"),"")</f>
        <v/>
      </c>
    </row>
    <row r="2523">
      <c r="A2523" s="14">
        <f>IF(OR(AH!$U$4=0,2518+1&gt;AH!$U$6,AND(AH!$M$5="Bloomberg",AH!$U$5=0)),"",IFERROR(IF(AND(AH!$U$12=1,2518+1=AH!$U$6),TODAY(),IF(AH!$U$5=1,INDEX('Live History'!$A$5:$A$3004,AH!$U$7+2518),INDEX('AH History'!$A$5:$A$1380,AH!$U$7+2518))),""))</f>
        <v/>
      </c>
      <c r="B2523" s="33">
        <f>IFERROR(IF(AH!$U$11=1,NA(),$J2523/$E2523-1),NA())</f>
        <v/>
      </c>
      <c r="C2523" s="269">
        <f>IFERROR(100*$E2523/$E$5,NA())</f>
        <v/>
      </c>
      <c r="D2523" s="269">
        <f>IFERROR(100*$J2523/$J$5,NA())</f>
        <v/>
      </c>
      <c r="E2523" s="32">
        <f>IFERROR(IF(AND(ISNUMBER($A2523),N(IF(AND(AH!$U$12=1,2518+1=AH!$U$6),IF(AH!$U$4=0,"unavailable",INDEX('Market Data'!$AN$5:$AN$66,AH!$U$4)),IF(AH!$U$5=1,INDEX('Live History'!$B$5:$B$3004,$K2523),INDEX('AH History'!$D$5:$GG$1380,$K2523,AH!$U$10))))&gt;0),IF(AND(AH!$U$12=1,2518+1=AH!$U$6),IF(AH!$U$4=0,"unavailable",INDEX('Market Data'!$AN$5:$AN$66,AH!$U$4)),IF(AH!$U$5=1,INDEX('Live History'!$B$5:$B$3004,$K2523),INDEX('AH History'!$D$5:$GG$1380,$K2523,AH!$U$10))),NA()),NA())</f>
        <v/>
      </c>
      <c r="F2523" s="32">
        <f>IFERROR(IF(ISNUMBER($A2523),IF(AND(AH!$U$12=1,2518+1=AH!$U$6),IF(AH!$U$4=0,"unavailable",INDEX('Market Data'!$AO$5:$AO$66,AH!$U$4)),IF(AH!$U$5=1,INDEX('Live History'!$E$5:$E$3004,MATCH($A2523,'Live History'!$D$5:$D$3004,1)),INDEX('AH History'!$D$5:$GG$1380,$K2523,AH!$U$10+1))),NA()),NA())</f>
        <v/>
      </c>
      <c r="G2523" s="34">
        <f>IFERROR(IF(ISNUMBER($A2523),IF(AND(AH!$U$12=1,2518+1=AH!$U$6),IF(AH!$U$4=0,"unavailable",INDEX('Market Data'!$AK$5:$AK$66,AH!$U$4)),IF(AH!$U$5=1,INDEX('Live History'!$D$5:$D$3004,MATCH($A2523,'Live History'!$D$5:$D$3004,1)),INDEX('AH History'!$D$5:$GG$1380,$K2523,AH!$U$10+2))),NA()),NA())</f>
        <v/>
      </c>
      <c r="H2523" s="266">
        <f>IFERROR(IF(ISNUMBER($A2523),IF(AND(AH!$U$12=1,2518+1=AH!$U$6),IF(AH!$U$4=0,"unavailable",INDEX('Market Data'!$AP$5:$AP$66,AH!$U$4)),IF(AH!$U$5=1,INDEX('Live History'!$H$5:$H$3004,MATCH($A2523,'Live History'!$G$5:$G$3004,1)),INDEX('AH History'!$B$5:$B$1380,$K2523))),NA()),NA())</f>
        <v/>
      </c>
      <c r="I2523" s="34">
        <f>IFERROR(IF(ISNUMBER($A2523),IF(AND(AH!$U$12=1,2518+1=AH!$U$6),TODAY(),IF(AH!$U$5=1,INDEX('Live History'!$G$5:$G$3004,MATCH($A2523,'Live History'!$G$5:$G$3004,1)),INDEX('AH History'!$C$5:$C$1380,$K2523))),NA()),NA())</f>
        <v/>
      </c>
      <c r="J2523" s="32">
        <f>IFERROR(IF(AND($F2523&gt;0,$H2523&gt;0,$A2523-$G2523&lt;=10,$A2523-$I2523&lt;=5,$G2523&gt;0,$I2523&gt;0),$F2523*$H2523,NA()),NA())</f>
        <v/>
      </c>
      <c r="K2523" s="15">
        <f>IF($A2523="","",IF(AH!$U$5=1,IFERROR(MATCH($A2523,'Live History'!$A$5:$A$3004,0),0),AH!$U$7+2518))</f>
        <v/>
      </c>
      <c r="L2523" s="15">
        <f>IF(ISNUMBER(A2523),TEXT(A2523,"dd-mmm-yy"),"")</f>
        <v/>
      </c>
    </row>
    <row r="2524">
      <c r="A2524" s="14">
        <f>IF(OR(AH!$U$4=0,2519+1&gt;AH!$U$6,AND(AH!$M$5="Bloomberg",AH!$U$5=0)),"",IFERROR(IF(AND(AH!$U$12=1,2519+1=AH!$U$6),TODAY(),IF(AH!$U$5=1,INDEX('Live History'!$A$5:$A$3004,AH!$U$7+2519),INDEX('AH History'!$A$5:$A$1380,AH!$U$7+2519))),""))</f>
        <v/>
      </c>
      <c r="B2524" s="33">
        <f>IFERROR(IF(AH!$U$11=1,NA(),$J2524/$E2524-1),NA())</f>
        <v/>
      </c>
      <c r="C2524" s="269">
        <f>IFERROR(100*$E2524/$E$5,NA())</f>
        <v/>
      </c>
      <c r="D2524" s="269">
        <f>IFERROR(100*$J2524/$J$5,NA())</f>
        <v/>
      </c>
      <c r="E2524" s="32">
        <f>IFERROR(IF(AND(ISNUMBER($A2524),N(IF(AND(AH!$U$12=1,2519+1=AH!$U$6),IF(AH!$U$4=0,"unavailable",INDEX('Market Data'!$AN$5:$AN$66,AH!$U$4)),IF(AH!$U$5=1,INDEX('Live History'!$B$5:$B$3004,$K2524),INDEX('AH History'!$D$5:$GG$1380,$K2524,AH!$U$10))))&gt;0),IF(AND(AH!$U$12=1,2519+1=AH!$U$6),IF(AH!$U$4=0,"unavailable",INDEX('Market Data'!$AN$5:$AN$66,AH!$U$4)),IF(AH!$U$5=1,INDEX('Live History'!$B$5:$B$3004,$K2524),INDEX('AH History'!$D$5:$GG$1380,$K2524,AH!$U$10))),NA()),NA())</f>
        <v/>
      </c>
      <c r="F2524" s="32">
        <f>IFERROR(IF(ISNUMBER($A2524),IF(AND(AH!$U$12=1,2519+1=AH!$U$6),IF(AH!$U$4=0,"unavailable",INDEX('Market Data'!$AO$5:$AO$66,AH!$U$4)),IF(AH!$U$5=1,INDEX('Live History'!$E$5:$E$3004,MATCH($A2524,'Live History'!$D$5:$D$3004,1)),INDEX('AH History'!$D$5:$GG$1380,$K2524,AH!$U$10+1))),NA()),NA())</f>
        <v/>
      </c>
      <c r="G2524" s="34">
        <f>IFERROR(IF(ISNUMBER($A2524),IF(AND(AH!$U$12=1,2519+1=AH!$U$6),IF(AH!$U$4=0,"unavailable",INDEX('Market Data'!$AK$5:$AK$66,AH!$U$4)),IF(AH!$U$5=1,INDEX('Live History'!$D$5:$D$3004,MATCH($A2524,'Live History'!$D$5:$D$3004,1)),INDEX('AH History'!$D$5:$GG$1380,$K2524,AH!$U$10+2))),NA()),NA())</f>
        <v/>
      </c>
      <c r="H2524" s="266">
        <f>IFERROR(IF(ISNUMBER($A2524),IF(AND(AH!$U$12=1,2519+1=AH!$U$6),IF(AH!$U$4=0,"unavailable",INDEX('Market Data'!$AP$5:$AP$66,AH!$U$4)),IF(AH!$U$5=1,INDEX('Live History'!$H$5:$H$3004,MATCH($A2524,'Live History'!$G$5:$G$3004,1)),INDEX('AH History'!$B$5:$B$1380,$K2524))),NA()),NA())</f>
        <v/>
      </c>
      <c r="I2524" s="34">
        <f>IFERROR(IF(ISNUMBER($A2524),IF(AND(AH!$U$12=1,2519+1=AH!$U$6),TODAY(),IF(AH!$U$5=1,INDEX('Live History'!$G$5:$G$3004,MATCH($A2524,'Live History'!$G$5:$G$3004,1)),INDEX('AH History'!$C$5:$C$1380,$K2524))),NA()),NA())</f>
        <v/>
      </c>
      <c r="J2524" s="32">
        <f>IFERROR(IF(AND($F2524&gt;0,$H2524&gt;0,$A2524-$G2524&lt;=10,$A2524-$I2524&lt;=5,$G2524&gt;0,$I2524&gt;0),$F2524*$H2524,NA()),NA())</f>
        <v/>
      </c>
      <c r="K2524" s="15">
        <f>IF($A2524="","",IF(AH!$U$5=1,IFERROR(MATCH($A2524,'Live History'!$A$5:$A$3004,0),0),AH!$U$7+2519))</f>
        <v/>
      </c>
      <c r="L2524" s="15">
        <f>IF(ISNUMBER(A2524),TEXT(A2524,"dd-mmm-yy"),"")</f>
        <v/>
      </c>
    </row>
    <row r="2525">
      <c r="A2525" s="14">
        <f>IF(OR(AH!$U$4=0,2520+1&gt;AH!$U$6,AND(AH!$M$5="Bloomberg",AH!$U$5=0)),"",IFERROR(IF(AND(AH!$U$12=1,2520+1=AH!$U$6),TODAY(),IF(AH!$U$5=1,INDEX('Live History'!$A$5:$A$3004,AH!$U$7+2520),INDEX('AH History'!$A$5:$A$1380,AH!$U$7+2520))),""))</f>
        <v/>
      </c>
      <c r="B2525" s="33">
        <f>IFERROR(IF(AH!$U$11=1,NA(),$J2525/$E2525-1),NA())</f>
        <v/>
      </c>
      <c r="C2525" s="269">
        <f>IFERROR(100*$E2525/$E$5,NA())</f>
        <v/>
      </c>
      <c r="D2525" s="269">
        <f>IFERROR(100*$J2525/$J$5,NA())</f>
        <v/>
      </c>
      <c r="E2525" s="32">
        <f>IFERROR(IF(AND(ISNUMBER($A2525),N(IF(AND(AH!$U$12=1,2520+1=AH!$U$6),IF(AH!$U$4=0,"unavailable",INDEX('Market Data'!$AN$5:$AN$66,AH!$U$4)),IF(AH!$U$5=1,INDEX('Live History'!$B$5:$B$3004,$K2525),INDEX('AH History'!$D$5:$GG$1380,$K2525,AH!$U$10))))&gt;0),IF(AND(AH!$U$12=1,2520+1=AH!$U$6),IF(AH!$U$4=0,"unavailable",INDEX('Market Data'!$AN$5:$AN$66,AH!$U$4)),IF(AH!$U$5=1,INDEX('Live History'!$B$5:$B$3004,$K2525),INDEX('AH History'!$D$5:$GG$1380,$K2525,AH!$U$10))),NA()),NA())</f>
        <v/>
      </c>
      <c r="F2525" s="32">
        <f>IFERROR(IF(ISNUMBER($A2525),IF(AND(AH!$U$12=1,2520+1=AH!$U$6),IF(AH!$U$4=0,"unavailable",INDEX('Market Data'!$AO$5:$AO$66,AH!$U$4)),IF(AH!$U$5=1,INDEX('Live History'!$E$5:$E$3004,MATCH($A2525,'Live History'!$D$5:$D$3004,1)),INDEX('AH History'!$D$5:$GG$1380,$K2525,AH!$U$10+1))),NA()),NA())</f>
        <v/>
      </c>
      <c r="G2525" s="34">
        <f>IFERROR(IF(ISNUMBER($A2525),IF(AND(AH!$U$12=1,2520+1=AH!$U$6),IF(AH!$U$4=0,"unavailable",INDEX('Market Data'!$AK$5:$AK$66,AH!$U$4)),IF(AH!$U$5=1,INDEX('Live History'!$D$5:$D$3004,MATCH($A2525,'Live History'!$D$5:$D$3004,1)),INDEX('AH History'!$D$5:$GG$1380,$K2525,AH!$U$10+2))),NA()),NA())</f>
        <v/>
      </c>
      <c r="H2525" s="266">
        <f>IFERROR(IF(ISNUMBER($A2525),IF(AND(AH!$U$12=1,2520+1=AH!$U$6),IF(AH!$U$4=0,"unavailable",INDEX('Market Data'!$AP$5:$AP$66,AH!$U$4)),IF(AH!$U$5=1,INDEX('Live History'!$H$5:$H$3004,MATCH($A2525,'Live History'!$G$5:$G$3004,1)),INDEX('AH History'!$B$5:$B$1380,$K2525))),NA()),NA())</f>
        <v/>
      </c>
      <c r="I2525" s="34">
        <f>IFERROR(IF(ISNUMBER($A2525),IF(AND(AH!$U$12=1,2520+1=AH!$U$6),TODAY(),IF(AH!$U$5=1,INDEX('Live History'!$G$5:$G$3004,MATCH($A2525,'Live History'!$G$5:$G$3004,1)),INDEX('AH History'!$C$5:$C$1380,$K2525))),NA()),NA())</f>
        <v/>
      </c>
      <c r="J2525" s="32">
        <f>IFERROR(IF(AND($F2525&gt;0,$H2525&gt;0,$A2525-$G2525&lt;=10,$A2525-$I2525&lt;=5,$G2525&gt;0,$I2525&gt;0),$F2525*$H2525,NA()),NA())</f>
        <v/>
      </c>
      <c r="K2525" s="15">
        <f>IF($A2525="","",IF(AH!$U$5=1,IFERROR(MATCH($A2525,'Live History'!$A$5:$A$3004,0),0),AH!$U$7+2520))</f>
        <v/>
      </c>
      <c r="L2525" s="15">
        <f>IF(ISNUMBER(A2525),TEXT(A2525,"dd-mmm-yy"),"")</f>
        <v/>
      </c>
    </row>
    <row r="2526">
      <c r="A2526" s="14">
        <f>IF(OR(AH!$U$4=0,2521+1&gt;AH!$U$6,AND(AH!$M$5="Bloomberg",AH!$U$5=0)),"",IFERROR(IF(AND(AH!$U$12=1,2521+1=AH!$U$6),TODAY(),IF(AH!$U$5=1,INDEX('Live History'!$A$5:$A$3004,AH!$U$7+2521),INDEX('AH History'!$A$5:$A$1380,AH!$U$7+2521))),""))</f>
        <v/>
      </c>
      <c r="B2526" s="33">
        <f>IFERROR(IF(AH!$U$11=1,NA(),$J2526/$E2526-1),NA())</f>
        <v/>
      </c>
      <c r="C2526" s="269">
        <f>IFERROR(100*$E2526/$E$5,NA())</f>
        <v/>
      </c>
      <c r="D2526" s="269">
        <f>IFERROR(100*$J2526/$J$5,NA())</f>
        <v/>
      </c>
      <c r="E2526" s="32">
        <f>IFERROR(IF(AND(ISNUMBER($A2526),N(IF(AND(AH!$U$12=1,2521+1=AH!$U$6),IF(AH!$U$4=0,"unavailable",INDEX('Market Data'!$AN$5:$AN$66,AH!$U$4)),IF(AH!$U$5=1,INDEX('Live History'!$B$5:$B$3004,$K2526),INDEX('AH History'!$D$5:$GG$1380,$K2526,AH!$U$10))))&gt;0),IF(AND(AH!$U$12=1,2521+1=AH!$U$6),IF(AH!$U$4=0,"unavailable",INDEX('Market Data'!$AN$5:$AN$66,AH!$U$4)),IF(AH!$U$5=1,INDEX('Live History'!$B$5:$B$3004,$K2526),INDEX('AH History'!$D$5:$GG$1380,$K2526,AH!$U$10))),NA()),NA())</f>
        <v/>
      </c>
      <c r="F2526" s="32">
        <f>IFERROR(IF(ISNUMBER($A2526),IF(AND(AH!$U$12=1,2521+1=AH!$U$6),IF(AH!$U$4=0,"unavailable",INDEX('Market Data'!$AO$5:$AO$66,AH!$U$4)),IF(AH!$U$5=1,INDEX('Live History'!$E$5:$E$3004,MATCH($A2526,'Live History'!$D$5:$D$3004,1)),INDEX('AH History'!$D$5:$GG$1380,$K2526,AH!$U$10+1))),NA()),NA())</f>
        <v/>
      </c>
      <c r="G2526" s="34">
        <f>IFERROR(IF(ISNUMBER($A2526),IF(AND(AH!$U$12=1,2521+1=AH!$U$6),IF(AH!$U$4=0,"unavailable",INDEX('Market Data'!$AK$5:$AK$66,AH!$U$4)),IF(AH!$U$5=1,INDEX('Live History'!$D$5:$D$3004,MATCH($A2526,'Live History'!$D$5:$D$3004,1)),INDEX('AH History'!$D$5:$GG$1380,$K2526,AH!$U$10+2))),NA()),NA())</f>
        <v/>
      </c>
      <c r="H2526" s="266">
        <f>IFERROR(IF(ISNUMBER($A2526),IF(AND(AH!$U$12=1,2521+1=AH!$U$6),IF(AH!$U$4=0,"unavailable",INDEX('Market Data'!$AP$5:$AP$66,AH!$U$4)),IF(AH!$U$5=1,INDEX('Live History'!$H$5:$H$3004,MATCH($A2526,'Live History'!$G$5:$G$3004,1)),INDEX('AH History'!$B$5:$B$1380,$K2526))),NA()),NA())</f>
        <v/>
      </c>
      <c r="I2526" s="34">
        <f>IFERROR(IF(ISNUMBER($A2526),IF(AND(AH!$U$12=1,2521+1=AH!$U$6),TODAY(),IF(AH!$U$5=1,INDEX('Live History'!$G$5:$G$3004,MATCH($A2526,'Live History'!$G$5:$G$3004,1)),INDEX('AH History'!$C$5:$C$1380,$K2526))),NA()),NA())</f>
        <v/>
      </c>
      <c r="J2526" s="32">
        <f>IFERROR(IF(AND($F2526&gt;0,$H2526&gt;0,$A2526-$G2526&lt;=10,$A2526-$I2526&lt;=5,$G2526&gt;0,$I2526&gt;0),$F2526*$H2526,NA()),NA())</f>
        <v/>
      </c>
      <c r="K2526" s="15">
        <f>IF($A2526="","",IF(AH!$U$5=1,IFERROR(MATCH($A2526,'Live History'!$A$5:$A$3004,0),0),AH!$U$7+2521))</f>
        <v/>
      </c>
      <c r="L2526" s="15">
        <f>IF(ISNUMBER(A2526),TEXT(A2526,"dd-mmm-yy"),"")</f>
        <v/>
      </c>
    </row>
    <row r="2527">
      <c r="A2527" s="14">
        <f>IF(OR(AH!$U$4=0,2522+1&gt;AH!$U$6,AND(AH!$M$5="Bloomberg",AH!$U$5=0)),"",IFERROR(IF(AND(AH!$U$12=1,2522+1=AH!$U$6),TODAY(),IF(AH!$U$5=1,INDEX('Live History'!$A$5:$A$3004,AH!$U$7+2522),INDEX('AH History'!$A$5:$A$1380,AH!$U$7+2522))),""))</f>
        <v/>
      </c>
      <c r="B2527" s="33">
        <f>IFERROR(IF(AH!$U$11=1,NA(),$J2527/$E2527-1),NA())</f>
        <v/>
      </c>
      <c r="C2527" s="269">
        <f>IFERROR(100*$E2527/$E$5,NA())</f>
        <v/>
      </c>
      <c r="D2527" s="269">
        <f>IFERROR(100*$J2527/$J$5,NA())</f>
        <v/>
      </c>
      <c r="E2527" s="32">
        <f>IFERROR(IF(AND(ISNUMBER($A2527),N(IF(AND(AH!$U$12=1,2522+1=AH!$U$6),IF(AH!$U$4=0,"unavailable",INDEX('Market Data'!$AN$5:$AN$66,AH!$U$4)),IF(AH!$U$5=1,INDEX('Live History'!$B$5:$B$3004,$K2527),INDEX('AH History'!$D$5:$GG$1380,$K2527,AH!$U$10))))&gt;0),IF(AND(AH!$U$12=1,2522+1=AH!$U$6),IF(AH!$U$4=0,"unavailable",INDEX('Market Data'!$AN$5:$AN$66,AH!$U$4)),IF(AH!$U$5=1,INDEX('Live History'!$B$5:$B$3004,$K2527),INDEX('AH History'!$D$5:$GG$1380,$K2527,AH!$U$10))),NA()),NA())</f>
        <v/>
      </c>
      <c r="F2527" s="32">
        <f>IFERROR(IF(ISNUMBER($A2527),IF(AND(AH!$U$12=1,2522+1=AH!$U$6),IF(AH!$U$4=0,"unavailable",INDEX('Market Data'!$AO$5:$AO$66,AH!$U$4)),IF(AH!$U$5=1,INDEX('Live History'!$E$5:$E$3004,MATCH($A2527,'Live History'!$D$5:$D$3004,1)),INDEX('AH History'!$D$5:$GG$1380,$K2527,AH!$U$10+1))),NA()),NA())</f>
        <v/>
      </c>
      <c r="G2527" s="34">
        <f>IFERROR(IF(ISNUMBER($A2527),IF(AND(AH!$U$12=1,2522+1=AH!$U$6),IF(AH!$U$4=0,"unavailable",INDEX('Market Data'!$AK$5:$AK$66,AH!$U$4)),IF(AH!$U$5=1,INDEX('Live History'!$D$5:$D$3004,MATCH($A2527,'Live History'!$D$5:$D$3004,1)),INDEX('AH History'!$D$5:$GG$1380,$K2527,AH!$U$10+2))),NA()),NA())</f>
        <v/>
      </c>
      <c r="H2527" s="266">
        <f>IFERROR(IF(ISNUMBER($A2527),IF(AND(AH!$U$12=1,2522+1=AH!$U$6),IF(AH!$U$4=0,"unavailable",INDEX('Market Data'!$AP$5:$AP$66,AH!$U$4)),IF(AH!$U$5=1,INDEX('Live History'!$H$5:$H$3004,MATCH($A2527,'Live History'!$G$5:$G$3004,1)),INDEX('AH History'!$B$5:$B$1380,$K2527))),NA()),NA())</f>
        <v/>
      </c>
      <c r="I2527" s="34">
        <f>IFERROR(IF(ISNUMBER($A2527),IF(AND(AH!$U$12=1,2522+1=AH!$U$6),TODAY(),IF(AH!$U$5=1,INDEX('Live History'!$G$5:$G$3004,MATCH($A2527,'Live History'!$G$5:$G$3004,1)),INDEX('AH History'!$C$5:$C$1380,$K2527))),NA()),NA())</f>
        <v/>
      </c>
      <c r="J2527" s="32">
        <f>IFERROR(IF(AND($F2527&gt;0,$H2527&gt;0,$A2527-$G2527&lt;=10,$A2527-$I2527&lt;=5,$G2527&gt;0,$I2527&gt;0),$F2527*$H2527,NA()),NA())</f>
        <v/>
      </c>
      <c r="K2527" s="15">
        <f>IF($A2527="","",IF(AH!$U$5=1,IFERROR(MATCH($A2527,'Live History'!$A$5:$A$3004,0),0),AH!$U$7+2522))</f>
        <v/>
      </c>
      <c r="L2527" s="15">
        <f>IF(ISNUMBER(A2527),TEXT(A2527,"dd-mmm-yy"),"")</f>
        <v/>
      </c>
    </row>
    <row r="2528">
      <c r="A2528" s="14">
        <f>IF(OR(AH!$U$4=0,2523+1&gt;AH!$U$6,AND(AH!$M$5="Bloomberg",AH!$U$5=0)),"",IFERROR(IF(AND(AH!$U$12=1,2523+1=AH!$U$6),TODAY(),IF(AH!$U$5=1,INDEX('Live History'!$A$5:$A$3004,AH!$U$7+2523),INDEX('AH History'!$A$5:$A$1380,AH!$U$7+2523))),""))</f>
        <v/>
      </c>
      <c r="B2528" s="33">
        <f>IFERROR(IF(AH!$U$11=1,NA(),$J2528/$E2528-1),NA())</f>
        <v/>
      </c>
      <c r="C2528" s="269">
        <f>IFERROR(100*$E2528/$E$5,NA())</f>
        <v/>
      </c>
      <c r="D2528" s="269">
        <f>IFERROR(100*$J2528/$J$5,NA())</f>
        <v/>
      </c>
      <c r="E2528" s="32">
        <f>IFERROR(IF(AND(ISNUMBER($A2528),N(IF(AND(AH!$U$12=1,2523+1=AH!$U$6),IF(AH!$U$4=0,"unavailable",INDEX('Market Data'!$AN$5:$AN$66,AH!$U$4)),IF(AH!$U$5=1,INDEX('Live History'!$B$5:$B$3004,$K2528),INDEX('AH History'!$D$5:$GG$1380,$K2528,AH!$U$10))))&gt;0),IF(AND(AH!$U$12=1,2523+1=AH!$U$6),IF(AH!$U$4=0,"unavailable",INDEX('Market Data'!$AN$5:$AN$66,AH!$U$4)),IF(AH!$U$5=1,INDEX('Live History'!$B$5:$B$3004,$K2528),INDEX('AH History'!$D$5:$GG$1380,$K2528,AH!$U$10))),NA()),NA())</f>
        <v/>
      </c>
      <c r="F2528" s="32">
        <f>IFERROR(IF(ISNUMBER($A2528),IF(AND(AH!$U$12=1,2523+1=AH!$U$6),IF(AH!$U$4=0,"unavailable",INDEX('Market Data'!$AO$5:$AO$66,AH!$U$4)),IF(AH!$U$5=1,INDEX('Live History'!$E$5:$E$3004,MATCH($A2528,'Live History'!$D$5:$D$3004,1)),INDEX('AH History'!$D$5:$GG$1380,$K2528,AH!$U$10+1))),NA()),NA())</f>
        <v/>
      </c>
      <c r="G2528" s="34">
        <f>IFERROR(IF(ISNUMBER($A2528),IF(AND(AH!$U$12=1,2523+1=AH!$U$6),IF(AH!$U$4=0,"unavailable",INDEX('Market Data'!$AK$5:$AK$66,AH!$U$4)),IF(AH!$U$5=1,INDEX('Live History'!$D$5:$D$3004,MATCH($A2528,'Live History'!$D$5:$D$3004,1)),INDEX('AH History'!$D$5:$GG$1380,$K2528,AH!$U$10+2))),NA()),NA())</f>
        <v/>
      </c>
      <c r="H2528" s="266">
        <f>IFERROR(IF(ISNUMBER($A2528),IF(AND(AH!$U$12=1,2523+1=AH!$U$6),IF(AH!$U$4=0,"unavailable",INDEX('Market Data'!$AP$5:$AP$66,AH!$U$4)),IF(AH!$U$5=1,INDEX('Live History'!$H$5:$H$3004,MATCH($A2528,'Live History'!$G$5:$G$3004,1)),INDEX('AH History'!$B$5:$B$1380,$K2528))),NA()),NA())</f>
        <v/>
      </c>
      <c r="I2528" s="34">
        <f>IFERROR(IF(ISNUMBER($A2528),IF(AND(AH!$U$12=1,2523+1=AH!$U$6),TODAY(),IF(AH!$U$5=1,INDEX('Live History'!$G$5:$G$3004,MATCH($A2528,'Live History'!$G$5:$G$3004,1)),INDEX('AH History'!$C$5:$C$1380,$K2528))),NA()),NA())</f>
        <v/>
      </c>
      <c r="J2528" s="32">
        <f>IFERROR(IF(AND($F2528&gt;0,$H2528&gt;0,$A2528-$G2528&lt;=10,$A2528-$I2528&lt;=5,$G2528&gt;0,$I2528&gt;0),$F2528*$H2528,NA()),NA())</f>
        <v/>
      </c>
      <c r="K2528" s="15">
        <f>IF($A2528="","",IF(AH!$U$5=1,IFERROR(MATCH($A2528,'Live History'!$A$5:$A$3004,0),0),AH!$U$7+2523))</f>
        <v/>
      </c>
      <c r="L2528" s="15">
        <f>IF(ISNUMBER(A2528),TEXT(A2528,"dd-mmm-yy"),"")</f>
        <v/>
      </c>
    </row>
    <row r="2529">
      <c r="A2529" s="14">
        <f>IF(OR(AH!$U$4=0,2524+1&gt;AH!$U$6,AND(AH!$M$5="Bloomberg",AH!$U$5=0)),"",IFERROR(IF(AND(AH!$U$12=1,2524+1=AH!$U$6),TODAY(),IF(AH!$U$5=1,INDEX('Live History'!$A$5:$A$3004,AH!$U$7+2524),INDEX('AH History'!$A$5:$A$1380,AH!$U$7+2524))),""))</f>
        <v/>
      </c>
      <c r="B2529" s="33">
        <f>IFERROR(IF(AH!$U$11=1,NA(),$J2529/$E2529-1),NA())</f>
        <v/>
      </c>
      <c r="C2529" s="269">
        <f>IFERROR(100*$E2529/$E$5,NA())</f>
        <v/>
      </c>
      <c r="D2529" s="269">
        <f>IFERROR(100*$J2529/$J$5,NA())</f>
        <v/>
      </c>
      <c r="E2529" s="32">
        <f>IFERROR(IF(AND(ISNUMBER($A2529),N(IF(AND(AH!$U$12=1,2524+1=AH!$U$6),IF(AH!$U$4=0,"unavailable",INDEX('Market Data'!$AN$5:$AN$66,AH!$U$4)),IF(AH!$U$5=1,INDEX('Live History'!$B$5:$B$3004,$K2529),INDEX('AH History'!$D$5:$GG$1380,$K2529,AH!$U$10))))&gt;0),IF(AND(AH!$U$12=1,2524+1=AH!$U$6),IF(AH!$U$4=0,"unavailable",INDEX('Market Data'!$AN$5:$AN$66,AH!$U$4)),IF(AH!$U$5=1,INDEX('Live History'!$B$5:$B$3004,$K2529),INDEX('AH History'!$D$5:$GG$1380,$K2529,AH!$U$10))),NA()),NA())</f>
        <v/>
      </c>
      <c r="F2529" s="32">
        <f>IFERROR(IF(ISNUMBER($A2529),IF(AND(AH!$U$12=1,2524+1=AH!$U$6),IF(AH!$U$4=0,"unavailable",INDEX('Market Data'!$AO$5:$AO$66,AH!$U$4)),IF(AH!$U$5=1,INDEX('Live History'!$E$5:$E$3004,MATCH($A2529,'Live History'!$D$5:$D$3004,1)),INDEX('AH History'!$D$5:$GG$1380,$K2529,AH!$U$10+1))),NA()),NA())</f>
        <v/>
      </c>
      <c r="G2529" s="34">
        <f>IFERROR(IF(ISNUMBER($A2529),IF(AND(AH!$U$12=1,2524+1=AH!$U$6),IF(AH!$U$4=0,"unavailable",INDEX('Market Data'!$AK$5:$AK$66,AH!$U$4)),IF(AH!$U$5=1,INDEX('Live History'!$D$5:$D$3004,MATCH($A2529,'Live History'!$D$5:$D$3004,1)),INDEX('AH History'!$D$5:$GG$1380,$K2529,AH!$U$10+2))),NA()),NA())</f>
        <v/>
      </c>
      <c r="H2529" s="266">
        <f>IFERROR(IF(ISNUMBER($A2529),IF(AND(AH!$U$12=1,2524+1=AH!$U$6),IF(AH!$U$4=0,"unavailable",INDEX('Market Data'!$AP$5:$AP$66,AH!$U$4)),IF(AH!$U$5=1,INDEX('Live History'!$H$5:$H$3004,MATCH($A2529,'Live History'!$G$5:$G$3004,1)),INDEX('AH History'!$B$5:$B$1380,$K2529))),NA()),NA())</f>
        <v/>
      </c>
      <c r="I2529" s="34">
        <f>IFERROR(IF(ISNUMBER($A2529),IF(AND(AH!$U$12=1,2524+1=AH!$U$6),TODAY(),IF(AH!$U$5=1,INDEX('Live History'!$G$5:$G$3004,MATCH($A2529,'Live History'!$G$5:$G$3004,1)),INDEX('AH History'!$C$5:$C$1380,$K2529))),NA()),NA())</f>
        <v/>
      </c>
      <c r="J2529" s="32">
        <f>IFERROR(IF(AND($F2529&gt;0,$H2529&gt;0,$A2529-$G2529&lt;=10,$A2529-$I2529&lt;=5,$G2529&gt;0,$I2529&gt;0),$F2529*$H2529,NA()),NA())</f>
        <v/>
      </c>
      <c r="K2529" s="15">
        <f>IF($A2529="","",IF(AH!$U$5=1,IFERROR(MATCH($A2529,'Live History'!$A$5:$A$3004,0),0),AH!$U$7+2524))</f>
        <v/>
      </c>
      <c r="L2529" s="15">
        <f>IF(ISNUMBER(A2529),TEXT(A2529,"dd-mmm-yy"),"")</f>
        <v/>
      </c>
    </row>
    <row r="2530">
      <c r="A2530" s="14">
        <f>IF(OR(AH!$U$4=0,2525+1&gt;AH!$U$6,AND(AH!$M$5="Bloomberg",AH!$U$5=0)),"",IFERROR(IF(AND(AH!$U$12=1,2525+1=AH!$U$6),TODAY(),IF(AH!$U$5=1,INDEX('Live History'!$A$5:$A$3004,AH!$U$7+2525),INDEX('AH History'!$A$5:$A$1380,AH!$U$7+2525))),""))</f>
        <v/>
      </c>
      <c r="B2530" s="33">
        <f>IFERROR(IF(AH!$U$11=1,NA(),$J2530/$E2530-1),NA())</f>
        <v/>
      </c>
      <c r="C2530" s="269">
        <f>IFERROR(100*$E2530/$E$5,NA())</f>
        <v/>
      </c>
      <c r="D2530" s="269">
        <f>IFERROR(100*$J2530/$J$5,NA())</f>
        <v/>
      </c>
      <c r="E2530" s="32">
        <f>IFERROR(IF(AND(ISNUMBER($A2530),N(IF(AND(AH!$U$12=1,2525+1=AH!$U$6),IF(AH!$U$4=0,"unavailable",INDEX('Market Data'!$AN$5:$AN$66,AH!$U$4)),IF(AH!$U$5=1,INDEX('Live History'!$B$5:$B$3004,$K2530),INDEX('AH History'!$D$5:$GG$1380,$K2530,AH!$U$10))))&gt;0),IF(AND(AH!$U$12=1,2525+1=AH!$U$6),IF(AH!$U$4=0,"unavailable",INDEX('Market Data'!$AN$5:$AN$66,AH!$U$4)),IF(AH!$U$5=1,INDEX('Live History'!$B$5:$B$3004,$K2530),INDEX('AH History'!$D$5:$GG$1380,$K2530,AH!$U$10))),NA()),NA())</f>
        <v/>
      </c>
      <c r="F2530" s="32">
        <f>IFERROR(IF(ISNUMBER($A2530),IF(AND(AH!$U$12=1,2525+1=AH!$U$6),IF(AH!$U$4=0,"unavailable",INDEX('Market Data'!$AO$5:$AO$66,AH!$U$4)),IF(AH!$U$5=1,INDEX('Live History'!$E$5:$E$3004,MATCH($A2530,'Live History'!$D$5:$D$3004,1)),INDEX('AH History'!$D$5:$GG$1380,$K2530,AH!$U$10+1))),NA()),NA())</f>
        <v/>
      </c>
      <c r="G2530" s="34">
        <f>IFERROR(IF(ISNUMBER($A2530),IF(AND(AH!$U$12=1,2525+1=AH!$U$6),IF(AH!$U$4=0,"unavailable",INDEX('Market Data'!$AK$5:$AK$66,AH!$U$4)),IF(AH!$U$5=1,INDEX('Live History'!$D$5:$D$3004,MATCH($A2530,'Live History'!$D$5:$D$3004,1)),INDEX('AH History'!$D$5:$GG$1380,$K2530,AH!$U$10+2))),NA()),NA())</f>
        <v/>
      </c>
      <c r="H2530" s="266">
        <f>IFERROR(IF(ISNUMBER($A2530),IF(AND(AH!$U$12=1,2525+1=AH!$U$6),IF(AH!$U$4=0,"unavailable",INDEX('Market Data'!$AP$5:$AP$66,AH!$U$4)),IF(AH!$U$5=1,INDEX('Live History'!$H$5:$H$3004,MATCH($A2530,'Live History'!$G$5:$G$3004,1)),INDEX('AH History'!$B$5:$B$1380,$K2530))),NA()),NA())</f>
        <v/>
      </c>
      <c r="I2530" s="34">
        <f>IFERROR(IF(ISNUMBER($A2530),IF(AND(AH!$U$12=1,2525+1=AH!$U$6),TODAY(),IF(AH!$U$5=1,INDEX('Live History'!$G$5:$G$3004,MATCH($A2530,'Live History'!$G$5:$G$3004,1)),INDEX('AH History'!$C$5:$C$1380,$K2530))),NA()),NA())</f>
        <v/>
      </c>
      <c r="J2530" s="32">
        <f>IFERROR(IF(AND($F2530&gt;0,$H2530&gt;0,$A2530-$G2530&lt;=10,$A2530-$I2530&lt;=5,$G2530&gt;0,$I2530&gt;0),$F2530*$H2530,NA()),NA())</f>
        <v/>
      </c>
      <c r="K2530" s="15">
        <f>IF($A2530="","",IF(AH!$U$5=1,IFERROR(MATCH($A2530,'Live History'!$A$5:$A$3004,0),0),AH!$U$7+2525))</f>
        <v/>
      </c>
      <c r="L2530" s="15">
        <f>IF(ISNUMBER(A2530),TEXT(A2530,"dd-mmm-yy"),"")</f>
        <v/>
      </c>
    </row>
    <row r="2531">
      <c r="A2531" s="14">
        <f>IF(OR(AH!$U$4=0,2526+1&gt;AH!$U$6,AND(AH!$M$5="Bloomberg",AH!$U$5=0)),"",IFERROR(IF(AND(AH!$U$12=1,2526+1=AH!$U$6),TODAY(),IF(AH!$U$5=1,INDEX('Live History'!$A$5:$A$3004,AH!$U$7+2526),INDEX('AH History'!$A$5:$A$1380,AH!$U$7+2526))),""))</f>
        <v/>
      </c>
      <c r="B2531" s="33">
        <f>IFERROR(IF(AH!$U$11=1,NA(),$J2531/$E2531-1),NA())</f>
        <v/>
      </c>
      <c r="C2531" s="269">
        <f>IFERROR(100*$E2531/$E$5,NA())</f>
        <v/>
      </c>
      <c r="D2531" s="269">
        <f>IFERROR(100*$J2531/$J$5,NA())</f>
        <v/>
      </c>
      <c r="E2531" s="32">
        <f>IFERROR(IF(AND(ISNUMBER($A2531),N(IF(AND(AH!$U$12=1,2526+1=AH!$U$6),IF(AH!$U$4=0,"unavailable",INDEX('Market Data'!$AN$5:$AN$66,AH!$U$4)),IF(AH!$U$5=1,INDEX('Live History'!$B$5:$B$3004,$K2531),INDEX('AH History'!$D$5:$GG$1380,$K2531,AH!$U$10))))&gt;0),IF(AND(AH!$U$12=1,2526+1=AH!$U$6),IF(AH!$U$4=0,"unavailable",INDEX('Market Data'!$AN$5:$AN$66,AH!$U$4)),IF(AH!$U$5=1,INDEX('Live History'!$B$5:$B$3004,$K2531),INDEX('AH History'!$D$5:$GG$1380,$K2531,AH!$U$10))),NA()),NA())</f>
        <v/>
      </c>
      <c r="F2531" s="32">
        <f>IFERROR(IF(ISNUMBER($A2531),IF(AND(AH!$U$12=1,2526+1=AH!$U$6),IF(AH!$U$4=0,"unavailable",INDEX('Market Data'!$AO$5:$AO$66,AH!$U$4)),IF(AH!$U$5=1,INDEX('Live History'!$E$5:$E$3004,MATCH($A2531,'Live History'!$D$5:$D$3004,1)),INDEX('AH History'!$D$5:$GG$1380,$K2531,AH!$U$10+1))),NA()),NA())</f>
        <v/>
      </c>
      <c r="G2531" s="34">
        <f>IFERROR(IF(ISNUMBER($A2531),IF(AND(AH!$U$12=1,2526+1=AH!$U$6),IF(AH!$U$4=0,"unavailable",INDEX('Market Data'!$AK$5:$AK$66,AH!$U$4)),IF(AH!$U$5=1,INDEX('Live History'!$D$5:$D$3004,MATCH($A2531,'Live History'!$D$5:$D$3004,1)),INDEX('AH History'!$D$5:$GG$1380,$K2531,AH!$U$10+2))),NA()),NA())</f>
        <v/>
      </c>
      <c r="H2531" s="266">
        <f>IFERROR(IF(ISNUMBER($A2531),IF(AND(AH!$U$12=1,2526+1=AH!$U$6),IF(AH!$U$4=0,"unavailable",INDEX('Market Data'!$AP$5:$AP$66,AH!$U$4)),IF(AH!$U$5=1,INDEX('Live History'!$H$5:$H$3004,MATCH($A2531,'Live History'!$G$5:$G$3004,1)),INDEX('AH History'!$B$5:$B$1380,$K2531))),NA()),NA())</f>
        <v/>
      </c>
      <c r="I2531" s="34">
        <f>IFERROR(IF(ISNUMBER($A2531),IF(AND(AH!$U$12=1,2526+1=AH!$U$6),TODAY(),IF(AH!$U$5=1,INDEX('Live History'!$G$5:$G$3004,MATCH($A2531,'Live History'!$G$5:$G$3004,1)),INDEX('AH History'!$C$5:$C$1380,$K2531))),NA()),NA())</f>
        <v/>
      </c>
      <c r="J2531" s="32">
        <f>IFERROR(IF(AND($F2531&gt;0,$H2531&gt;0,$A2531-$G2531&lt;=10,$A2531-$I2531&lt;=5,$G2531&gt;0,$I2531&gt;0),$F2531*$H2531,NA()),NA())</f>
        <v/>
      </c>
      <c r="K2531" s="15">
        <f>IF($A2531="","",IF(AH!$U$5=1,IFERROR(MATCH($A2531,'Live History'!$A$5:$A$3004,0),0),AH!$U$7+2526))</f>
        <v/>
      </c>
      <c r="L2531" s="15">
        <f>IF(ISNUMBER(A2531),TEXT(A2531,"dd-mmm-yy"),"")</f>
        <v/>
      </c>
    </row>
    <row r="2532">
      <c r="A2532" s="14">
        <f>IF(OR(AH!$U$4=0,2527+1&gt;AH!$U$6,AND(AH!$M$5="Bloomberg",AH!$U$5=0)),"",IFERROR(IF(AND(AH!$U$12=1,2527+1=AH!$U$6),TODAY(),IF(AH!$U$5=1,INDEX('Live History'!$A$5:$A$3004,AH!$U$7+2527),INDEX('AH History'!$A$5:$A$1380,AH!$U$7+2527))),""))</f>
        <v/>
      </c>
      <c r="B2532" s="33">
        <f>IFERROR(IF(AH!$U$11=1,NA(),$J2532/$E2532-1),NA())</f>
        <v/>
      </c>
      <c r="C2532" s="269">
        <f>IFERROR(100*$E2532/$E$5,NA())</f>
        <v/>
      </c>
      <c r="D2532" s="269">
        <f>IFERROR(100*$J2532/$J$5,NA())</f>
        <v/>
      </c>
      <c r="E2532" s="32">
        <f>IFERROR(IF(AND(ISNUMBER($A2532),N(IF(AND(AH!$U$12=1,2527+1=AH!$U$6),IF(AH!$U$4=0,"unavailable",INDEX('Market Data'!$AN$5:$AN$66,AH!$U$4)),IF(AH!$U$5=1,INDEX('Live History'!$B$5:$B$3004,$K2532),INDEX('AH History'!$D$5:$GG$1380,$K2532,AH!$U$10))))&gt;0),IF(AND(AH!$U$12=1,2527+1=AH!$U$6),IF(AH!$U$4=0,"unavailable",INDEX('Market Data'!$AN$5:$AN$66,AH!$U$4)),IF(AH!$U$5=1,INDEX('Live History'!$B$5:$B$3004,$K2532),INDEX('AH History'!$D$5:$GG$1380,$K2532,AH!$U$10))),NA()),NA())</f>
        <v/>
      </c>
      <c r="F2532" s="32">
        <f>IFERROR(IF(ISNUMBER($A2532),IF(AND(AH!$U$12=1,2527+1=AH!$U$6),IF(AH!$U$4=0,"unavailable",INDEX('Market Data'!$AO$5:$AO$66,AH!$U$4)),IF(AH!$U$5=1,INDEX('Live History'!$E$5:$E$3004,MATCH($A2532,'Live History'!$D$5:$D$3004,1)),INDEX('AH History'!$D$5:$GG$1380,$K2532,AH!$U$10+1))),NA()),NA())</f>
        <v/>
      </c>
      <c r="G2532" s="34">
        <f>IFERROR(IF(ISNUMBER($A2532),IF(AND(AH!$U$12=1,2527+1=AH!$U$6),IF(AH!$U$4=0,"unavailable",INDEX('Market Data'!$AK$5:$AK$66,AH!$U$4)),IF(AH!$U$5=1,INDEX('Live History'!$D$5:$D$3004,MATCH($A2532,'Live History'!$D$5:$D$3004,1)),INDEX('AH History'!$D$5:$GG$1380,$K2532,AH!$U$10+2))),NA()),NA())</f>
        <v/>
      </c>
      <c r="H2532" s="266">
        <f>IFERROR(IF(ISNUMBER($A2532),IF(AND(AH!$U$12=1,2527+1=AH!$U$6),IF(AH!$U$4=0,"unavailable",INDEX('Market Data'!$AP$5:$AP$66,AH!$U$4)),IF(AH!$U$5=1,INDEX('Live History'!$H$5:$H$3004,MATCH($A2532,'Live History'!$G$5:$G$3004,1)),INDEX('AH History'!$B$5:$B$1380,$K2532))),NA()),NA())</f>
        <v/>
      </c>
      <c r="I2532" s="34">
        <f>IFERROR(IF(ISNUMBER($A2532),IF(AND(AH!$U$12=1,2527+1=AH!$U$6),TODAY(),IF(AH!$U$5=1,INDEX('Live History'!$G$5:$G$3004,MATCH($A2532,'Live History'!$G$5:$G$3004,1)),INDEX('AH History'!$C$5:$C$1380,$K2532))),NA()),NA())</f>
        <v/>
      </c>
      <c r="J2532" s="32">
        <f>IFERROR(IF(AND($F2532&gt;0,$H2532&gt;0,$A2532-$G2532&lt;=10,$A2532-$I2532&lt;=5,$G2532&gt;0,$I2532&gt;0),$F2532*$H2532,NA()),NA())</f>
        <v/>
      </c>
      <c r="K2532" s="15">
        <f>IF($A2532="","",IF(AH!$U$5=1,IFERROR(MATCH($A2532,'Live History'!$A$5:$A$3004,0),0),AH!$U$7+2527))</f>
        <v/>
      </c>
      <c r="L2532" s="15">
        <f>IF(ISNUMBER(A2532),TEXT(A2532,"dd-mmm-yy"),"")</f>
        <v/>
      </c>
    </row>
    <row r="2533">
      <c r="A2533" s="14">
        <f>IF(OR(AH!$U$4=0,2528+1&gt;AH!$U$6,AND(AH!$M$5="Bloomberg",AH!$U$5=0)),"",IFERROR(IF(AND(AH!$U$12=1,2528+1=AH!$U$6),TODAY(),IF(AH!$U$5=1,INDEX('Live History'!$A$5:$A$3004,AH!$U$7+2528),INDEX('AH History'!$A$5:$A$1380,AH!$U$7+2528))),""))</f>
        <v/>
      </c>
      <c r="B2533" s="33">
        <f>IFERROR(IF(AH!$U$11=1,NA(),$J2533/$E2533-1),NA())</f>
        <v/>
      </c>
      <c r="C2533" s="269">
        <f>IFERROR(100*$E2533/$E$5,NA())</f>
        <v/>
      </c>
      <c r="D2533" s="269">
        <f>IFERROR(100*$J2533/$J$5,NA())</f>
        <v/>
      </c>
      <c r="E2533" s="32">
        <f>IFERROR(IF(AND(ISNUMBER($A2533),N(IF(AND(AH!$U$12=1,2528+1=AH!$U$6),IF(AH!$U$4=0,"unavailable",INDEX('Market Data'!$AN$5:$AN$66,AH!$U$4)),IF(AH!$U$5=1,INDEX('Live History'!$B$5:$B$3004,$K2533),INDEX('AH History'!$D$5:$GG$1380,$K2533,AH!$U$10))))&gt;0),IF(AND(AH!$U$12=1,2528+1=AH!$U$6),IF(AH!$U$4=0,"unavailable",INDEX('Market Data'!$AN$5:$AN$66,AH!$U$4)),IF(AH!$U$5=1,INDEX('Live History'!$B$5:$B$3004,$K2533),INDEX('AH History'!$D$5:$GG$1380,$K2533,AH!$U$10))),NA()),NA())</f>
        <v/>
      </c>
      <c r="F2533" s="32">
        <f>IFERROR(IF(ISNUMBER($A2533),IF(AND(AH!$U$12=1,2528+1=AH!$U$6),IF(AH!$U$4=0,"unavailable",INDEX('Market Data'!$AO$5:$AO$66,AH!$U$4)),IF(AH!$U$5=1,INDEX('Live History'!$E$5:$E$3004,MATCH($A2533,'Live History'!$D$5:$D$3004,1)),INDEX('AH History'!$D$5:$GG$1380,$K2533,AH!$U$10+1))),NA()),NA())</f>
        <v/>
      </c>
      <c r="G2533" s="34">
        <f>IFERROR(IF(ISNUMBER($A2533),IF(AND(AH!$U$12=1,2528+1=AH!$U$6),IF(AH!$U$4=0,"unavailable",INDEX('Market Data'!$AK$5:$AK$66,AH!$U$4)),IF(AH!$U$5=1,INDEX('Live History'!$D$5:$D$3004,MATCH($A2533,'Live History'!$D$5:$D$3004,1)),INDEX('AH History'!$D$5:$GG$1380,$K2533,AH!$U$10+2))),NA()),NA())</f>
        <v/>
      </c>
      <c r="H2533" s="266">
        <f>IFERROR(IF(ISNUMBER($A2533),IF(AND(AH!$U$12=1,2528+1=AH!$U$6),IF(AH!$U$4=0,"unavailable",INDEX('Market Data'!$AP$5:$AP$66,AH!$U$4)),IF(AH!$U$5=1,INDEX('Live History'!$H$5:$H$3004,MATCH($A2533,'Live History'!$G$5:$G$3004,1)),INDEX('AH History'!$B$5:$B$1380,$K2533))),NA()),NA())</f>
        <v/>
      </c>
      <c r="I2533" s="34">
        <f>IFERROR(IF(ISNUMBER($A2533),IF(AND(AH!$U$12=1,2528+1=AH!$U$6),TODAY(),IF(AH!$U$5=1,INDEX('Live History'!$G$5:$G$3004,MATCH($A2533,'Live History'!$G$5:$G$3004,1)),INDEX('AH History'!$C$5:$C$1380,$K2533))),NA()),NA())</f>
        <v/>
      </c>
      <c r="J2533" s="32">
        <f>IFERROR(IF(AND($F2533&gt;0,$H2533&gt;0,$A2533-$G2533&lt;=10,$A2533-$I2533&lt;=5,$G2533&gt;0,$I2533&gt;0),$F2533*$H2533,NA()),NA())</f>
        <v/>
      </c>
      <c r="K2533" s="15">
        <f>IF($A2533="","",IF(AH!$U$5=1,IFERROR(MATCH($A2533,'Live History'!$A$5:$A$3004,0),0),AH!$U$7+2528))</f>
        <v/>
      </c>
      <c r="L2533" s="15">
        <f>IF(ISNUMBER(A2533),TEXT(A2533,"dd-mmm-yy"),"")</f>
        <v/>
      </c>
    </row>
    <row r="2534">
      <c r="A2534" s="14">
        <f>IF(OR(AH!$U$4=0,2529+1&gt;AH!$U$6,AND(AH!$M$5="Bloomberg",AH!$U$5=0)),"",IFERROR(IF(AND(AH!$U$12=1,2529+1=AH!$U$6),TODAY(),IF(AH!$U$5=1,INDEX('Live History'!$A$5:$A$3004,AH!$U$7+2529),INDEX('AH History'!$A$5:$A$1380,AH!$U$7+2529))),""))</f>
        <v/>
      </c>
      <c r="B2534" s="33">
        <f>IFERROR(IF(AH!$U$11=1,NA(),$J2534/$E2534-1),NA())</f>
        <v/>
      </c>
      <c r="C2534" s="269">
        <f>IFERROR(100*$E2534/$E$5,NA())</f>
        <v/>
      </c>
      <c r="D2534" s="269">
        <f>IFERROR(100*$J2534/$J$5,NA())</f>
        <v/>
      </c>
      <c r="E2534" s="32">
        <f>IFERROR(IF(AND(ISNUMBER($A2534),N(IF(AND(AH!$U$12=1,2529+1=AH!$U$6),IF(AH!$U$4=0,"unavailable",INDEX('Market Data'!$AN$5:$AN$66,AH!$U$4)),IF(AH!$U$5=1,INDEX('Live History'!$B$5:$B$3004,$K2534),INDEX('AH History'!$D$5:$GG$1380,$K2534,AH!$U$10))))&gt;0),IF(AND(AH!$U$12=1,2529+1=AH!$U$6),IF(AH!$U$4=0,"unavailable",INDEX('Market Data'!$AN$5:$AN$66,AH!$U$4)),IF(AH!$U$5=1,INDEX('Live History'!$B$5:$B$3004,$K2534),INDEX('AH History'!$D$5:$GG$1380,$K2534,AH!$U$10))),NA()),NA())</f>
        <v/>
      </c>
      <c r="F2534" s="32">
        <f>IFERROR(IF(ISNUMBER($A2534),IF(AND(AH!$U$12=1,2529+1=AH!$U$6),IF(AH!$U$4=0,"unavailable",INDEX('Market Data'!$AO$5:$AO$66,AH!$U$4)),IF(AH!$U$5=1,INDEX('Live History'!$E$5:$E$3004,MATCH($A2534,'Live History'!$D$5:$D$3004,1)),INDEX('AH History'!$D$5:$GG$1380,$K2534,AH!$U$10+1))),NA()),NA())</f>
        <v/>
      </c>
      <c r="G2534" s="34">
        <f>IFERROR(IF(ISNUMBER($A2534),IF(AND(AH!$U$12=1,2529+1=AH!$U$6),IF(AH!$U$4=0,"unavailable",INDEX('Market Data'!$AK$5:$AK$66,AH!$U$4)),IF(AH!$U$5=1,INDEX('Live History'!$D$5:$D$3004,MATCH($A2534,'Live History'!$D$5:$D$3004,1)),INDEX('AH History'!$D$5:$GG$1380,$K2534,AH!$U$10+2))),NA()),NA())</f>
        <v/>
      </c>
      <c r="H2534" s="266">
        <f>IFERROR(IF(ISNUMBER($A2534),IF(AND(AH!$U$12=1,2529+1=AH!$U$6),IF(AH!$U$4=0,"unavailable",INDEX('Market Data'!$AP$5:$AP$66,AH!$U$4)),IF(AH!$U$5=1,INDEX('Live History'!$H$5:$H$3004,MATCH($A2534,'Live History'!$G$5:$G$3004,1)),INDEX('AH History'!$B$5:$B$1380,$K2534))),NA()),NA())</f>
        <v/>
      </c>
      <c r="I2534" s="34">
        <f>IFERROR(IF(ISNUMBER($A2534),IF(AND(AH!$U$12=1,2529+1=AH!$U$6),TODAY(),IF(AH!$U$5=1,INDEX('Live History'!$G$5:$G$3004,MATCH($A2534,'Live History'!$G$5:$G$3004,1)),INDEX('AH History'!$C$5:$C$1380,$K2534))),NA()),NA())</f>
        <v/>
      </c>
      <c r="J2534" s="32">
        <f>IFERROR(IF(AND($F2534&gt;0,$H2534&gt;0,$A2534-$G2534&lt;=10,$A2534-$I2534&lt;=5,$G2534&gt;0,$I2534&gt;0),$F2534*$H2534,NA()),NA())</f>
        <v/>
      </c>
      <c r="K2534" s="15">
        <f>IF($A2534="","",IF(AH!$U$5=1,IFERROR(MATCH($A2534,'Live History'!$A$5:$A$3004,0),0),AH!$U$7+2529))</f>
        <v/>
      </c>
      <c r="L2534" s="15">
        <f>IF(ISNUMBER(A2534),TEXT(A2534,"dd-mmm-yy"),"")</f>
        <v/>
      </c>
    </row>
    <row r="2535">
      <c r="A2535" s="14">
        <f>IF(OR(AH!$U$4=0,2530+1&gt;AH!$U$6,AND(AH!$M$5="Bloomberg",AH!$U$5=0)),"",IFERROR(IF(AND(AH!$U$12=1,2530+1=AH!$U$6),TODAY(),IF(AH!$U$5=1,INDEX('Live History'!$A$5:$A$3004,AH!$U$7+2530),INDEX('AH History'!$A$5:$A$1380,AH!$U$7+2530))),""))</f>
        <v/>
      </c>
      <c r="B2535" s="33">
        <f>IFERROR(IF(AH!$U$11=1,NA(),$J2535/$E2535-1),NA())</f>
        <v/>
      </c>
      <c r="C2535" s="269">
        <f>IFERROR(100*$E2535/$E$5,NA())</f>
        <v/>
      </c>
      <c r="D2535" s="269">
        <f>IFERROR(100*$J2535/$J$5,NA())</f>
        <v/>
      </c>
      <c r="E2535" s="32">
        <f>IFERROR(IF(AND(ISNUMBER($A2535),N(IF(AND(AH!$U$12=1,2530+1=AH!$U$6),IF(AH!$U$4=0,"unavailable",INDEX('Market Data'!$AN$5:$AN$66,AH!$U$4)),IF(AH!$U$5=1,INDEX('Live History'!$B$5:$B$3004,$K2535),INDEX('AH History'!$D$5:$GG$1380,$K2535,AH!$U$10))))&gt;0),IF(AND(AH!$U$12=1,2530+1=AH!$U$6),IF(AH!$U$4=0,"unavailable",INDEX('Market Data'!$AN$5:$AN$66,AH!$U$4)),IF(AH!$U$5=1,INDEX('Live History'!$B$5:$B$3004,$K2535),INDEX('AH History'!$D$5:$GG$1380,$K2535,AH!$U$10))),NA()),NA())</f>
        <v/>
      </c>
      <c r="F2535" s="32">
        <f>IFERROR(IF(ISNUMBER($A2535),IF(AND(AH!$U$12=1,2530+1=AH!$U$6),IF(AH!$U$4=0,"unavailable",INDEX('Market Data'!$AO$5:$AO$66,AH!$U$4)),IF(AH!$U$5=1,INDEX('Live History'!$E$5:$E$3004,MATCH($A2535,'Live History'!$D$5:$D$3004,1)),INDEX('AH History'!$D$5:$GG$1380,$K2535,AH!$U$10+1))),NA()),NA())</f>
        <v/>
      </c>
      <c r="G2535" s="34">
        <f>IFERROR(IF(ISNUMBER($A2535),IF(AND(AH!$U$12=1,2530+1=AH!$U$6),IF(AH!$U$4=0,"unavailable",INDEX('Market Data'!$AK$5:$AK$66,AH!$U$4)),IF(AH!$U$5=1,INDEX('Live History'!$D$5:$D$3004,MATCH($A2535,'Live History'!$D$5:$D$3004,1)),INDEX('AH History'!$D$5:$GG$1380,$K2535,AH!$U$10+2))),NA()),NA())</f>
        <v/>
      </c>
      <c r="H2535" s="266">
        <f>IFERROR(IF(ISNUMBER($A2535),IF(AND(AH!$U$12=1,2530+1=AH!$U$6),IF(AH!$U$4=0,"unavailable",INDEX('Market Data'!$AP$5:$AP$66,AH!$U$4)),IF(AH!$U$5=1,INDEX('Live History'!$H$5:$H$3004,MATCH($A2535,'Live History'!$G$5:$G$3004,1)),INDEX('AH History'!$B$5:$B$1380,$K2535))),NA()),NA())</f>
        <v/>
      </c>
      <c r="I2535" s="34">
        <f>IFERROR(IF(ISNUMBER($A2535),IF(AND(AH!$U$12=1,2530+1=AH!$U$6),TODAY(),IF(AH!$U$5=1,INDEX('Live History'!$G$5:$G$3004,MATCH($A2535,'Live History'!$G$5:$G$3004,1)),INDEX('AH History'!$C$5:$C$1380,$K2535))),NA()),NA())</f>
        <v/>
      </c>
      <c r="J2535" s="32">
        <f>IFERROR(IF(AND($F2535&gt;0,$H2535&gt;0,$A2535-$G2535&lt;=10,$A2535-$I2535&lt;=5,$G2535&gt;0,$I2535&gt;0),$F2535*$H2535,NA()),NA())</f>
        <v/>
      </c>
      <c r="K2535" s="15">
        <f>IF($A2535="","",IF(AH!$U$5=1,IFERROR(MATCH($A2535,'Live History'!$A$5:$A$3004,0),0),AH!$U$7+2530))</f>
        <v/>
      </c>
      <c r="L2535" s="15">
        <f>IF(ISNUMBER(A2535),TEXT(A2535,"dd-mmm-yy"),"")</f>
        <v/>
      </c>
    </row>
    <row r="2536">
      <c r="A2536" s="14">
        <f>IF(OR(AH!$U$4=0,2531+1&gt;AH!$U$6,AND(AH!$M$5="Bloomberg",AH!$U$5=0)),"",IFERROR(IF(AND(AH!$U$12=1,2531+1=AH!$U$6),TODAY(),IF(AH!$U$5=1,INDEX('Live History'!$A$5:$A$3004,AH!$U$7+2531),INDEX('AH History'!$A$5:$A$1380,AH!$U$7+2531))),""))</f>
        <v/>
      </c>
      <c r="B2536" s="33">
        <f>IFERROR(IF(AH!$U$11=1,NA(),$J2536/$E2536-1),NA())</f>
        <v/>
      </c>
      <c r="C2536" s="269">
        <f>IFERROR(100*$E2536/$E$5,NA())</f>
        <v/>
      </c>
      <c r="D2536" s="269">
        <f>IFERROR(100*$J2536/$J$5,NA())</f>
        <v/>
      </c>
      <c r="E2536" s="32">
        <f>IFERROR(IF(AND(ISNUMBER($A2536),N(IF(AND(AH!$U$12=1,2531+1=AH!$U$6),IF(AH!$U$4=0,"unavailable",INDEX('Market Data'!$AN$5:$AN$66,AH!$U$4)),IF(AH!$U$5=1,INDEX('Live History'!$B$5:$B$3004,$K2536),INDEX('AH History'!$D$5:$GG$1380,$K2536,AH!$U$10))))&gt;0),IF(AND(AH!$U$12=1,2531+1=AH!$U$6),IF(AH!$U$4=0,"unavailable",INDEX('Market Data'!$AN$5:$AN$66,AH!$U$4)),IF(AH!$U$5=1,INDEX('Live History'!$B$5:$B$3004,$K2536),INDEX('AH History'!$D$5:$GG$1380,$K2536,AH!$U$10))),NA()),NA())</f>
        <v/>
      </c>
      <c r="F2536" s="32">
        <f>IFERROR(IF(ISNUMBER($A2536),IF(AND(AH!$U$12=1,2531+1=AH!$U$6),IF(AH!$U$4=0,"unavailable",INDEX('Market Data'!$AO$5:$AO$66,AH!$U$4)),IF(AH!$U$5=1,INDEX('Live History'!$E$5:$E$3004,MATCH($A2536,'Live History'!$D$5:$D$3004,1)),INDEX('AH History'!$D$5:$GG$1380,$K2536,AH!$U$10+1))),NA()),NA())</f>
        <v/>
      </c>
      <c r="G2536" s="34">
        <f>IFERROR(IF(ISNUMBER($A2536),IF(AND(AH!$U$12=1,2531+1=AH!$U$6),IF(AH!$U$4=0,"unavailable",INDEX('Market Data'!$AK$5:$AK$66,AH!$U$4)),IF(AH!$U$5=1,INDEX('Live History'!$D$5:$D$3004,MATCH($A2536,'Live History'!$D$5:$D$3004,1)),INDEX('AH History'!$D$5:$GG$1380,$K2536,AH!$U$10+2))),NA()),NA())</f>
        <v/>
      </c>
      <c r="H2536" s="266">
        <f>IFERROR(IF(ISNUMBER($A2536),IF(AND(AH!$U$12=1,2531+1=AH!$U$6),IF(AH!$U$4=0,"unavailable",INDEX('Market Data'!$AP$5:$AP$66,AH!$U$4)),IF(AH!$U$5=1,INDEX('Live History'!$H$5:$H$3004,MATCH($A2536,'Live History'!$G$5:$G$3004,1)),INDEX('AH History'!$B$5:$B$1380,$K2536))),NA()),NA())</f>
        <v/>
      </c>
      <c r="I2536" s="34">
        <f>IFERROR(IF(ISNUMBER($A2536),IF(AND(AH!$U$12=1,2531+1=AH!$U$6),TODAY(),IF(AH!$U$5=1,INDEX('Live History'!$G$5:$G$3004,MATCH($A2536,'Live History'!$G$5:$G$3004,1)),INDEX('AH History'!$C$5:$C$1380,$K2536))),NA()),NA())</f>
        <v/>
      </c>
      <c r="J2536" s="32">
        <f>IFERROR(IF(AND($F2536&gt;0,$H2536&gt;0,$A2536-$G2536&lt;=10,$A2536-$I2536&lt;=5,$G2536&gt;0,$I2536&gt;0),$F2536*$H2536,NA()),NA())</f>
        <v/>
      </c>
      <c r="K2536" s="15">
        <f>IF($A2536="","",IF(AH!$U$5=1,IFERROR(MATCH($A2536,'Live History'!$A$5:$A$3004,0),0),AH!$U$7+2531))</f>
        <v/>
      </c>
      <c r="L2536" s="15">
        <f>IF(ISNUMBER(A2536),TEXT(A2536,"dd-mmm-yy"),"")</f>
        <v/>
      </c>
    </row>
    <row r="2537">
      <c r="A2537" s="14">
        <f>IF(OR(AH!$U$4=0,2532+1&gt;AH!$U$6,AND(AH!$M$5="Bloomberg",AH!$U$5=0)),"",IFERROR(IF(AND(AH!$U$12=1,2532+1=AH!$U$6),TODAY(),IF(AH!$U$5=1,INDEX('Live History'!$A$5:$A$3004,AH!$U$7+2532),INDEX('AH History'!$A$5:$A$1380,AH!$U$7+2532))),""))</f>
        <v/>
      </c>
      <c r="B2537" s="33">
        <f>IFERROR(IF(AH!$U$11=1,NA(),$J2537/$E2537-1),NA())</f>
        <v/>
      </c>
      <c r="C2537" s="269">
        <f>IFERROR(100*$E2537/$E$5,NA())</f>
        <v/>
      </c>
      <c r="D2537" s="269">
        <f>IFERROR(100*$J2537/$J$5,NA())</f>
        <v/>
      </c>
      <c r="E2537" s="32">
        <f>IFERROR(IF(AND(ISNUMBER($A2537),N(IF(AND(AH!$U$12=1,2532+1=AH!$U$6),IF(AH!$U$4=0,"unavailable",INDEX('Market Data'!$AN$5:$AN$66,AH!$U$4)),IF(AH!$U$5=1,INDEX('Live History'!$B$5:$B$3004,$K2537),INDEX('AH History'!$D$5:$GG$1380,$K2537,AH!$U$10))))&gt;0),IF(AND(AH!$U$12=1,2532+1=AH!$U$6),IF(AH!$U$4=0,"unavailable",INDEX('Market Data'!$AN$5:$AN$66,AH!$U$4)),IF(AH!$U$5=1,INDEX('Live History'!$B$5:$B$3004,$K2537),INDEX('AH History'!$D$5:$GG$1380,$K2537,AH!$U$10))),NA()),NA())</f>
        <v/>
      </c>
      <c r="F2537" s="32">
        <f>IFERROR(IF(ISNUMBER($A2537),IF(AND(AH!$U$12=1,2532+1=AH!$U$6),IF(AH!$U$4=0,"unavailable",INDEX('Market Data'!$AO$5:$AO$66,AH!$U$4)),IF(AH!$U$5=1,INDEX('Live History'!$E$5:$E$3004,MATCH($A2537,'Live History'!$D$5:$D$3004,1)),INDEX('AH History'!$D$5:$GG$1380,$K2537,AH!$U$10+1))),NA()),NA())</f>
        <v/>
      </c>
      <c r="G2537" s="34">
        <f>IFERROR(IF(ISNUMBER($A2537),IF(AND(AH!$U$12=1,2532+1=AH!$U$6),IF(AH!$U$4=0,"unavailable",INDEX('Market Data'!$AK$5:$AK$66,AH!$U$4)),IF(AH!$U$5=1,INDEX('Live History'!$D$5:$D$3004,MATCH($A2537,'Live History'!$D$5:$D$3004,1)),INDEX('AH History'!$D$5:$GG$1380,$K2537,AH!$U$10+2))),NA()),NA())</f>
        <v/>
      </c>
      <c r="H2537" s="266">
        <f>IFERROR(IF(ISNUMBER($A2537),IF(AND(AH!$U$12=1,2532+1=AH!$U$6),IF(AH!$U$4=0,"unavailable",INDEX('Market Data'!$AP$5:$AP$66,AH!$U$4)),IF(AH!$U$5=1,INDEX('Live History'!$H$5:$H$3004,MATCH($A2537,'Live History'!$G$5:$G$3004,1)),INDEX('AH History'!$B$5:$B$1380,$K2537))),NA()),NA())</f>
        <v/>
      </c>
      <c r="I2537" s="34">
        <f>IFERROR(IF(ISNUMBER($A2537),IF(AND(AH!$U$12=1,2532+1=AH!$U$6),TODAY(),IF(AH!$U$5=1,INDEX('Live History'!$G$5:$G$3004,MATCH($A2537,'Live History'!$G$5:$G$3004,1)),INDEX('AH History'!$C$5:$C$1380,$K2537))),NA()),NA())</f>
        <v/>
      </c>
      <c r="J2537" s="32">
        <f>IFERROR(IF(AND($F2537&gt;0,$H2537&gt;0,$A2537-$G2537&lt;=10,$A2537-$I2537&lt;=5,$G2537&gt;0,$I2537&gt;0),$F2537*$H2537,NA()),NA())</f>
        <v/>
      </c>
      <c r="K2537" s="15">
        <f>IF($A2537="","",IF(AH!$U$5=1,IFERROR(MATCH($A2537,'Live History'!$A$5:$A$3004,0),0),AH!$U$7+2532))</f>
        <v/>
      </c>
      <c r="L2537" s="15">
        <f>IF(ISNUMBER(A2537),TEXT(A2537,"dd-mmm-yy"),"")</f>
        <v/>
      </c>
    </row>
    <row r="2538">
      <c r="A2538" s="14">
        <f>IF(OR(AH!$U$4=0,2533+1&gt;AH!$U$6,AND(AH!$M$5="Bloomberg",AH!$U$5=0)),"",IFERROR(IF(AND(AH!$U$12=1,2533+1=AH!$U$6),TODAY(),IF(AH!$U$5=1,INDEX('Live History'!$A$5:$A$3004,AH!$U$7+2533),INDEX('AH History'!$A$5:$A$1380,AH!$U$7+2533))),""))</f>
        <v/>
      </c>
      <c r="B2538" s="33">
        <f>IFERROR(IF(AH!$U$11=1,NA(),$J2538/$E2538-1),NA())</f>
        <v/>
      </c>
      <c r="C2538" s="269">
        <f>IFERROR(100*$E2538/$E$5,NA())</f>
        <v/>
      </c>
      <c r="D2538" s="269">
        <f>IFERROR(100*$J2538/$J$5,NA())</f>
        <v/>
      </c>
      <c r="E2538" s="32">
        <f>IFERROR(IF(AND(ISNUMBER($A2538),N(IF(AND(AH!$U$12=1,2533+1=AH!$U$6),IF(AH!$U$4=0,"unavailable",INDEX('Market Data'!$AN$5:$AN$66,AH!$U$4)),IF(AH!$U$5=1,INDEX('Live History'!$B$5:$B$3004,$K2538),INDEX('AH History'!$D$5:$GG$1380,$K2538,AH!$U$10))))&gt;0),IF(AND(AH!$U$12=1,2533+1=AH!$U$6),IF(AH!$U$4=0,"unavailable",INDEX('Market Data'!$AN$5:$AN$66,AH!$U$4)),IF(AH!$U$5=1,INDEX('Live History'!$B$5:$B$3004,$K2538),INDEX('AH History'!$D$5:$GG$1380,$K2538,AH!$U$10))),NA()),NA())</f>
        <v/>
      </c>
      <c r="F2538" s="32">
        <f>IFERROR(IF(ISNUMBER($A2538),IF(AND(AH!$U$12=1,2533+1=AH!$U$6),IF(AH!$U$4=0,"unavailable",INDEX('Market Data'!$AO$5:$AO$66,AH!$U$4)),IF(AH!$U$5=1,INDEX('Live History'!$E$5:$E$3004,MATCH($A2538,'Live History'!$D$5:$D$3004,1)),INDEX('AH History'!$D$5:$GG$1380,$K2538,AH!$U$10+1))),NA()),NA())</f>
        <v/>
      </c>
      <c r="G2538" s="34">
        <f>IFERROR(IF(ISNUMBER($A2538),IF(AND(AH!$U$12=1,2533+1=AH!$U$6),IF(AH!$U$4=0,"unavailable",INDEX('Market Data'!$AK$5:$AK$66,AH!$U$4)),IF(AH!$U$5=1,INDEX('Live History'!$D$5:$D$3004,MATCH($A2538,'Live History'!$D$5:$D$3004,1)),INDEX('AH History'!$D$5:$GG$1380,$K2538,AH!$U$10+2))),NA()),NA())</f>
        <v/>
      </c>
      <c r="H2538" s="266">
        <f>IFERROR(IF(ISNUMBER($A2538),IF(AND(AH!$U$12=1,2533+1=AH!$U$6),IF(AH!$U$4=0,"unavailable",INDEX('Market Data'!$AP$5:$AP$66,AH!$U$4)),IF(AH!$U$5=1,INDEX('Live History'!$H$5:$H$3004,MATCH($A2538,'Live History'!$G$5:$G$3004,1)),INDEX('AH History'!$B$5:$B$1380,$K2538))),NA()),NA())</f>
        <v/>
      </c>
      <c r="I2538" s="34">
        <f>IFERROR(IF(ISNUMBER($A2538),IF(AND(AH!$U$12=1,2533+1=AH!$U$6),TODAY(),IF(AH!$U$5=1,INDEX('Live History'!$G$5:$G$3004,MATCH($A2538,'Live History'!$G$5:$G$3004,1)),INDEX('AH History'!$C$5:$C$1380,$K2538))),NA()),NA())</f>
        <v/>
      </c>
      <c r="J2538" s="32">
        <f>IFERROR(IF(AND($F2538&gt;0,$H2538&gt;0,$A2538-$G2538&lt;=10,$A2538-$I2538&lt;=5,$G2538&gt;0,$I2538&gt;0),$F2538*$H2538,NA()),NA())</f>
        <v/>
      </c>
      <c r="K2538" s="15">
        <f>IF($A2538="","",IF(AH!$U$5=1,IFERROR(MATCH($A2538,'Live History'!$A$5:$A$3004,0),0),AH!$U$7+2533))</f>
        <v/>
      </c>
      <c r="L2538" s="15">
        <f>IF(ISNUMBER(A2538),TEXT(A2538,"dd-mmm-yy"),"")</f>
        <v/>
      </c>
    </row>
    <row r="2539">
      <c r="A2539" s="14">
        <f>IF(OR(AH!$U$4=0,2534+1&gt;AH!$U$6,AND(AH!$M$5="Bloomberg",AH!$U$5=0)),"",IFERROR(IF(AND(AH!$U$12=1,2534+1=AH!$U$6),TODAY(),IF(AH!$U$5=1,INDEX('Live History'!$A$5:$A$3004,AH!$U$7+2534),INDEX('AH History'!$A$5:$A$1380,AH!$U$7+2534))),""))</f>
        <v/>
      </c>
      <c r="B2539" s="33">
        <f>IFERROR(IF(AH!$U$11=1,NA(),$J2539/$E2539-1),NA())</f>
        <v/>
      </c>
      <c r="C2539" s="269">
        <f>IFERROR(100*$E2539/$E$5,NA())</f>
        <v/>
      </c>
      <c r="D2539" s="269">
        <f>IFERROR(100*$J2539/$J$5,NA())</f>
        <v/>
      </c>
      <c r="E2539" s="32">
        <f>IFERROR(IF(AND(ISNUMBER($A2539),N(IF(AND(AH!$U$12=1,2534+1=AH!$U$6),IF(AH!$U$4=0,"unavailable",INDEX('Market Data'!$AN$5:$AN$66,AH!$U$4)),IF(AH!$U$5=1,INDEX('Live History'!$B$5:$B$3004,$K2539),INDEX('AH History'!$D$5:$GG$1380,$K2539,AH!$U$10))))&gt;0),IF(AND(AH!$U$12=1,2534+1=AH!$U$6),IF(AH!$U$4=0,"unavailable",INDEX('Market Data'!$AN$5:$AN$66,AH!$U$4)),IF(AH!$U$5=1,INDEX('Live History'!$B$5:$B$3004,$K2539),INDEX('AH History'!$D$5:$GG$1380,$K2539,AH!$U$10))),NA()),NA())</f>
        <v/>
      </c>
      <c r="F2539" s="32">
        <f>IFERROR(IF(ISNUMBER($A2539),IF(AND(AH!$U$12=1,2534+1=AH!$U$6),IF(AH!$U$4=0,"unavailable",INDEX('Market Data'!$AO$5:$AO$66,AH!$U$4)),IF(AH!$U$5=1,INDEX('Live History'!$E$5:$E$3004,MATCH($A2539,'Live History'!$D$5:$D$3004,1)),INDEX('AH History'!$D$5:$GG$1380,$K2539,AH!$U$10+1))),NA()),NA())</f>
        <v/>
      </c>
      <c r="G2539" s="34">
        <f>IFERROR(IF(ISNUMBER($A2539),IF(AND(AH!$U$12=1,2534+1=AH!$U$6),IF(AH!$U$4=0,"unavailable",INDEX('Market Data'!$AK$5:$AK$66,AH!$U$4)),IF(AH!$U$5=1,INDEX('Live History'!$D$5:$D$3004,MATCH($A2539,'Live History'!$D$5:$D$3004,1)),INDEX('AH History'!$D$5:$GG$1380,$K2539,AH!$U$10+2))),NA()),NA())</f>
        <v/>
      </c>
      <c r="H2539" s="266">
        <f>IFERROR(IF(ISNUMBER($A2539),IF(AND(AH!$U$12=1,2534+1=AH!$U$6),IF(AH!$U$4=0,"unavailable",INDEX('Market Data'!$AP$5:$AP$66,AH!$U$4)),IF(AH!$U$5=1,INDEX('Live History'!$H$5:$H$3004,MATCH($A2539,'Live History'!$G$5:$G$3004,1)),INDEX('AH History'!$B$5:$B$1380,$K2539))),NA()),NA())</f>
        <v/>
      </c>
      <c r="I2539" s="34">
        <f>IFERROR(IF(ISNUMBER($A2539),IF(AND(AH!$U$12=1,2534+1=AH!$U$6),TODAY(),IF(AH!$U$5=1,INDEX('Live History'!$G$5:$G$3004,MATCH($A2539,'Live History'!$G$5:$G$3004,1)),INDEX('AH History'!$C$5:$C$1380,$K2539))),NA()),NA())</f>
        <v/>
      </c>
      <c r="J2539" s="32">
        <f>IFERROR(IF(AND($F2539&gt;0,$H2539&gt;0,$A2539-$G2539&lt;=10,$A2539-$I2539&lt;=5,$G2539&gt;0,$I2539&gt;0),$F2539*$H2539,NA()),NA())</f>
        <v/>
      </c>
      <c r="K2539" s="15">
        <f>IF($A2539="","",IF(AH!$U$5=1,IFERROR(MATCH($A2539,'Live History'!$A$5:$A$3004,0),0),AH!$U$7+2534))</f>
        <v/>
      </c>
      <c r="L2539" s="15">
        <f>IF(ISNUMBER(A2539),TEXT(A2539,"dd-mmm-yy"),"")</f>
        <v/>
      </c>
    </row>
    <row r="2540">
      <c r="A2540" s="14">
        <f>IF(OR(AH!$U$4=0,2535+1&gt;AH!$U$6,AND(AH!$M$5="Bloomberg",AH!$U$5=0)),"",IFERROR(IF(AND(AH!$U$12=1,2535+1=AH!$U$6),TODAY(),IF(AH!$U$5=1,INDEX('Live History'!$A$5:$A$3004,AH!$U$7+2535),INDEX('AH History'!$A$5:$A$1380,AH!$U$7+2535))),""))</f>
        <v/>
      </c>
      <c r="B2540" s="33">
        <f>IFERROR(IF(AH!$U$11=1,NA(),$J2540/$E2540-1),NA())</f>
        <v/>
      </c>
      <c r="C2540" s="269">
        <f>IFERROR(100*$E2540/$E$5,NA())</f>
        <v/>
      </c>
      <c r="D2540" s="269">
        <f>IFERROR(100*$J2540/$J$5,NA())</f>
        <v/>
      </c>
      <c r="E2540" s="32">
        <f>IFERROR(IF(AND(ISNUMBER($A2540),N(IF(AND(AH!$U$12=1,2535+1=AH!$U$6),IF(AH!$U$4=0,"unavailable",INDEX('Market Data'!$AN$5:$AN$66,AH!$U$4)),IF(AH!$U$5=1,INDEX('Live History'!$B$5:$B$3004,$K2540),INDEX('AH History'!$D$5:$GG$1380,$K2540,AH!$U$10))))&gt;0),IF(AND(AH!$U$12=1,2535+1=AH!$U$6),IF(AH!$U$4=0,"unavailable",INDEX('Market Data'!$AN$5:$AN$66,AH!$U$4)),IF(AH!$U$5=1,INDEX('Live History'!$B$5:$B$3004,$K2540),INDEX('AH History'!$D$5:$GG$1380,$K2540,AH!$U$10))),NA()),NA())</f>
        <v/>
      </c>
      <c r="F2540" s="32">
        <f>IFERROR(IF(ISNUMBER($A2540),IF(AND(AH!$U$12=1,2535+1=AH!$U$6),IF(AH!$U$4=0,"unavailable",INDEX('Market Data'!$AO$5:$AO$66,AH!$U$4)),IF(AH!$U$5=1,INDEX('Live History'!$E$5:$E$3004,MATCH($A2540,'Live History'!$D$5:$D$3004,1)),INDEX('AH History'!$D$5:$GG$1380,$K2540,AH!$U$10+1))),NA()),NA())</f>
        <v/>
      </c>
      <c r="G2540" s="34">
        <f>IFERROR(IF(ISNUMBER($A2540),IF(AND(AH!$U$12=1,2535+1=AH!$U$6),IF(AH!$U$4=0,"unavailable",INDEX('Market Data'!$AK$5:$AK$66,AH!$U$4)),IF(AH!$U$5=1,INDEX('Live History'!$D$5:$D$3004,MATCH($A2540,'Live History'!$D$5:$D$3004,1)),INDEX('AH History'!$D$5:$GG$1380,$K2540,AH!$U$10+2))),NA()),NA())</f>
        <v/>
      </c>
      <c r="H2540" s="266">
        <f>IFERROR(IF(ISNUMBER($A2540),IF(AND(AH!$U$12=1,2535+1=AH!$U$6),IF(AH!$U$4=0,"unavailable",INDEX('Market Data'!$AP$5:$AP$66,AH!$U$4)),IF(AH!$U$5=1,INDEX('Live History'!$H$5:$H$3004,MATCH($A2540,'Live History'!$G$5:$G$3004,1)),INDEX('AH History'!$B$5:$B$1380,$K2540))),NA()),NA())</f>
        <v/>
      </c>
      <c r="I2540" s="34">
        <f>IFERROR(IF(ISNUMBER($A2540),IF(AND(AH!$U$12=1,2535+1=AH!$U$6),TODAY(),IF(AH!$U$5=1,INDEX('Live History'!$G$5:$G$3004,MATCH($A2540,'Live History'!$G$5:$G$3004,1)),INDEX('AH History'!$C$5:$C$1380,$K2540))),NA()),NA())</f>
        <v/>
      </c>
      <c r="J2540" s="32">
        <f>IFERROR(IF(AND($F2540&gt;0,$H2540&gt;0,$A2540-$G2540&lt;=10,$A2540-$I2540&lt;=5,$G2540&gt;0,$I2540&gt;0),$F2540*$H2540,NA()),NA())</f>
        <v/>
      </c>
      <c r="K2540" s="15">
        <f>IF($A2540="","",IF(AH!$U$5=1,IFERROR(MATCH($A2540,'Live History'!$A$5:$A$3004,0),0),AH!$U$7+2535))</f>
        <v/>
      </c>
      <c r="L2540" s="15">
        <f>IF(ISNUMBER(A2540),TEXT(A2540,"dd-mmm-yy"),"")</f>
        <v/>
      </c>
    </row>
    <row r="2541">
      <c r="A2541" s="14">
        <f>IF(OR(AH!$U$4=0,2536+1&gt;AH!$U$6,AND(AH!$M$5="Bloomberg",AH!$U$5=0)),"",IFERROR(IF(AND(AH!$U$12=1,2536+1=AH!$U$6),TODAY(),IF(AH!$U$5=1,INDEX('Live History'!$A$5:$A$3004,AH!$U$7+2536),INDEX('AH History'!$A$5:$A$1380,AH!$U$7+2536))),""))</f>
        <v/>
      </c>
      <c r="B2541" s="33">
        <f>IFERROR(IF(AH!$U$11=1,NA(),$J2541/$E2541-1),NA())</f>
        <v/>
      </c>
      <c r="C2541" s="269">
        <f>IFERROR(100*$E2541/$E$5,NA())</f>
        <v/>
      </c>
      <c r="D2541" s="269">
        <f>IFERROR(100*$J2541/$J$5,NA())</f>
        <v/>
      </c>
      <c r="E2541" s="32">
        <f>IFERROR(IF(AND(ISNUMBER($A2541),N(IF(AND(AH!$U$12=1,2536+1=AH!$U$6),IF(AH!$U$4=0,"unavailable",INDEX('Market Data'!$AN$5:$AN$66,AH!$U$4)),IF(AH!$U$5=1,INDEX('Live History'!$B$5:$B$3004,$K2541),INDEX('AH History'!$D$5:$GG$1380,$K2541,AH!$U$10))))&gt;0),IF(AND(AH!$U$12=1,2536+1=AH!$U$6),IF(AH!$U$4=0,"unavailable",INDEX('Market Data'!$AN$5:$AN$66,AH!$U$4)),IF(AH!$U$5=1,INDEX('Live History'!$B$5:$B$3004,$K2541),INDEX('AH History'!$D$5:$GG$1380,$K2541,AH!$U$10))),NA()),NA())</f>
        <v/>
      </c>
      <c r="F2541" s="32">
        <f>IFERROR(IF(ISNUMBER($A2541),IF(AND(AH!$U$12=1,2536+1=AH!$U$6),IF(AH!$U$4=0,"unavailable",INDEX('Market Data'!$AO$5:$AO$66,AH!$U$4)),IF(AH!$U$5=1,INDEX('Live History'!$E$5:$E$3004,MATCH($A2541,'Live History'!$D$5:$D$3004,1)),INDEX('AH History'!$D$5:$GG$1380,$K2541,AH!$U$10+1))),NA()),NA())</f>
        <v/>
      </c>
      <c r="G2541" s="34">
        <f>IFERROR(IF(ISNUMBER($A2541),IF(AND(AH!$U$12=1,2536+1=AH!$U$6),IF(AH!$U$4=0,"unavailable",INDEX('Market Data'!$AK$5:$AK$66,AH!$U$4)),IF(AH!$U$5=1,INDEX('Live History'!$D$5:$D$3004,MATCH($A2541,'Live History'!$D$5:$D$3004,1)),INDEX('AH History'!$D$5:$GG$1380,$K2541,AH!$U$10+2))),NA()),NA())</f>
        <v/>
      </c>
      <c r="H2541" s="266">
        <f>IFERROR(IF(ISNUMBER($A2541),IF(AND(AH!$U$12=1,2536+1=AH!$U$6),IF(AH!$U$4=0,"unavailable",INDEX('Market Data'!$AP$5:$AP$66,AH!$U$4)),IF(AH!$U$5=1,INDEX('Live History'!$H$5:$H$3004,MATCH($A2541,'Live History'!$G$5:$G$3004,1)),INDEX('AH History'!$B$5:$B$1380,$K2541))),NA()),NA())</f>
        <v/>
      </c>
      <c r="I2541" s="34">
        <f>IFERROR(IF(ISNUMBER($A2541),IF(AND(AH!$U$12=1,2536+1=AH!$U$6),TODAY(),IF(AH!$U$5=1,INDEX('Live History'!$G$5:$G$3004,MATCH($A2541,'Live History'!$G$5:$G$3004,1)),INDEX('AH History'!$C$5:$C$1380,$K2541))),NA()),NA())</f>
        <v/>
      </c>
      <c r="J2541" s="32">
        <f>IFERROR(IF(AND($F2541&gt;0,$H2541&gt;0,$A2541-$G2541&lt;=10,$A2541-$I2541&lt;=5,$G2541&gt;0,$I2541&gt;0),$F2541*$H2541,NA()),NA())</f>
        <v/>
      </c>
      <c r="K2541" s="15">
        <f>IF($A2541="","",IF(AH!$U$5=1,IFERROR(MATCH($A2541,'Live History'!$A$5:$A$3004,0),0),AH!$U$7+2536))</f>
        <v/>
      </c>
      <c r="L2541" s="15">
        <f>IF(ISNUMBER(A2541),TEXT(A2541,"dd-mmm-yy"),"")</f>
        <v/>
      </c>
    </row>
    <row r="2542">
      <c r="A2542" s="14">
        <f>IF(OR(AH!$U$4=0,2537+1&gt;AH!$U$6,AND(AH!$M$5="Bloomberg",AH!$U$5=0)),"",IFERROR(IF(AND(AH!$U$12=1,2537+1=AH!$U$6),TODAY(),IF(AH!$U$5=1,INDEX('Live History'!$A$5:$A$3004,AH!$U$7+2537),INDEX('AH History'!$A$5:$A$1380,AH!$U$7+2537))),""))</f>
        <v/>
      </c>
      <c r="B2542" s="33">
        <f>IFERROR(IF(AH!$U$11=1,NA(),$J2542/$E2542-1),NA())</f>
        <v/>
      </c>
      <c r="C2542" s="269">
        <f>IFERROR(100*$E2542/$E$5,NA())</f>
        <v/>
      </c>
      <c r="D2542" s="269">
        <f>IFERROR(100*$J2542/$J$5,NA())</f>
        <v/>
      </c>
      <c r="E2542" s="32">
        <f>IFERROR(IF(AND(ISNUMBER($A2542),N(IF(AND(AH!$U$12=1,2537+1=AH!$U$6),IF(AH!$U$4=0,"unavailable",INDEX('Market Data'!$AN$5:$AN$66,AH!$U$4)),IF(AH!$U$5=1,INDEX('Live History'!$B$5:$B$3004,$K2542),INDEX('AH History'!$D$5:$GG$1380,$K2542,AH!$U$10))))&gt;0),IF(AND(AH!$U$12=1,2537+1=AH!$U$6),IF(AH!$U$4=0,"unavailable",INDEX('Market Data'!$AN$5:$AN$66,AH!$U$4)),IF(AH!$U$5=1,INDEX('Live History'!$B$5:$B$3004,$K2542),INDEX('AH History'!$D$5:$GG$1380,$K2542,AH!$U$10))),NA()),NA())</f>
        <v/>
      </c>
      <c r="F2542" s="32">
        <f>IFERROR(IF(ISNUMBER($A2542),IF(AND(AH!$U$12=1,2537+1=AH!$U$6),IF(AH!$U$4=0,"unavailable",INDEX('Market Data'!$AO$5:$AO$66,AH!$U$4)),IF(AH!$U$5=1,INDEX('Live History'!$E$5:$E$3004,MATCH($A2542,'Live History'!$D$5:$D$3004,1)),INDEX('AH History'!$D$5:$GG$1380,$K2542,AH!$U$10+1))),NA()),NA())</f>
        <v/>
      </c>
      <c r="G2542" s="34">
        <f>IFERROR(IF(ISNUMBER($A2542),IF(AND(AH!$U$12=1,2537+1=AH!$U$6),IF(AH!$U$4=0,"unavailable",INDEX('Market Data'!$AK$5:$AK$66,AH!$U$4)),IF(AH!$U$5=1,INDEX('Live History'!$D$5:$D$3004,MATCH($A2542,'Live History'!$D$5:$D$3004,1)),INDEX('AH History'!$D$5:$GG$1380,$K2542,AH!$U$10+2))),NA()),NA())</f>
        <v/>
      </c>
      <c r="H2542" s="266">
        <f>IFERROR(IF(ISNUMBER($A2542),IF(AND(AH!$U$12=1,2537+1=AH!$U$6),IF(AH!$U$4=0,"unavailable",INDEX('Market Data'!$AP$5:$AP$66,AH!$U$4)),IF(AH!$U$5=1,INDEX('Live History'!$H$5:$H$3004,MATCH($A2542,'Live History'!$G$5:$G$3004,1)),INDEX('AH History'!$B$5:$B$1380,$K2542))),NA()),NA())</f>
        <v/>
      </c>
      <c r="I2542" s="34">
        <f>IFERROR(IF(ISNUMBER($A2542),IF(AND(AH!$U$12=1,2537+1=AH!$U$6),TODAY(),IF(AH!$U$5=1,INDEX('Live History'!$G$5:$G$3004,MATCH($A2542,'Live History'!$G$5:$G$3004,1)),INDEX('AH History'!$C$5:$C$1380,$K2542))),NA()),NA())</f>
        <v/>
      </c>
      <c r="J2542" s="32">
        <f>IFERROR(IF(AND($F2542&gt;0,$H2542&gt;0,$A2542-$G2542&lt;=10,$A2542-$I2542&lt;=5,$G2542&gt;0,$I2542&gt;0),$F2542*$H2542,NA()),NA())</f>
        <v/>
      </c>
      <c r="K2542" s="15">
        <f>IF($A2542="","",IF(AH!$U$5=1,IFERROR(MATCH($A2542,'Live History'!$A$5:$A$3004,0),0),AH!$U$7+2537))</f>
        <v/>
      </c>
      <c r="L2542" s="15">
        <f>IF(ISNUMBER(A2542),TEXT(A2542,"dd-mmm-yy"),"")</f>
        <v/>
      </c>
    </row>
    <row r="2543">
      <c r="A2543" s="14">
        <f>IF(OR(AH!$U$4=0,2538+1&gt;AH!$U$6,AND(AH!$M$5="Bloomberg",AH!$U$5=0)),"",IFERROR(IF(AND(AH!$U$12=1,2538+1=AH!$U$6),TODAY(),IF(AH!$U$5=1,INDEX('Live History'!$A$5:$A$3004,AH!$U$7+2538),INDEX('AH History'!$A$5:$A$1380,AH!$U$7+2538))),""))</f>
        <v/>
      </c>
      <c r="B2543" s="33">
        <f>IFERROR(IF(AH!$U$11=1,NA(),$J2543/$E2543-1),NA())</f>
        <v/>
      </c>
      <c r="C2543" s="269">
        <f>IFERROR(100*$E2543/$E$5,NA())</f>
        <v/>
      </c>
      <c r="D2543" s="269">
        <f>IFERROR(100*$J2543/$J$5,NA())</f>
        <v/>
      </c>
      <c r="E2543" s="32">
        <f>IFERROR(IF(AND(ISNUMBER($A2543),N(IF(AND(AH!$U$12=1,2538+1=AH!$U$6),IF(AH!$U$4=0,"unavailable",INDEX('Market Data'!$AN$5:$AN$66,AH!$U$4)),IF(AH!$U$5=1,INDEX('Live History'!$B$5:$B$3004,$K2543),INDEX('AH History'!$D$5:$GG$1380,$K2543,AH!$U$10))))&gt;0),IF(AND(AH!$U$12=1,2538+1=AH!$U$6),IF(AH!$U$4=0,"unavailable",INDEX('Market Data'!$AN$5:$AN$66,AH!$U$4)),IF(AH!$U$5=1,INDEX('Live History'!$B$5:$B$3004,$K2543),INDEX('AH History'!$D$5:$GG$1380,$K2543,AH!$U$10))),NA()),NA())</f>
        <v/>
      </c>
      <c r="F2543" s="32">
        <f>IFERROR(IF(ISNUMBER($A2543),IF(AND(AH!$U$12=1,2538+1=AH!$U$6),IF(AH!$U$4=0,"unavailable",INDEX('Market Data'!$AO$5:$AO$66,AH!$U$4)),IF(AH!$U$5=1,INDEX('Live History'!$E$5:$E$3004,MATCH($A2543,'Live History'!$D$5:$D$3004,1)),INDEX('AH History'!$D$5:$GG$1380,$K2543,AH!$U$10+1))),NA()),NA())</f>
        <v/>
      </c>
      <c r="G2543" s="34">
        <f>IFERROR(IF(ISNUMBER($A2543),IF(AND(AH!$U$12=1,2538+1=AH!$U$6),IF(AH!$U$4=0,"unavailable",INDEX('Market Data'!$AK$5:$AK$66,AH!$U$4)),IF(AH!$U$5=1,INDEX('Live History'!$D$5:$D$3004,MATCH($A2543,'Live History'!$D$5:$D$3004,1)),INDEX('AH History'!$D$5:$GG$1380,$K2543,AH!$U$10+2))),NA()),NA())</f>
        <v/>
      </c>
      <c r="H2543" s="266">
        <f>IFERROR(IF(ISNUMBER($A2543),IF(AND(AH!$U$12=1,2538+1=AH!$U$6),IF(AH!$U$4=0,"unavailable",INDEX('Market Data'!$AP$5:$AP$66,AH!$U$4)),IF(AH!$U$5=1,INDEX('Live History'!$H$5:$H$3004,MATCH($A2543,'Live History'!$G$5:$G$3004,1)),INDEX('AH History'!$B$5:$B$1380,$K2543))),NA()),NA())</f>
        <v/>
      </c>
      <c r="I2543" s="34">
        <f>IFERROR(IF(ISNUMBER($A2543),IF(AND(AH!$U$12=1,2538+1=AH!$U$6),TODAY(),IF(AH!$U$5=1,INDEX('Live History'!$G$5:$G$3004,MATCH($A2543,'Live History'!$G$5:$G$3004,1)),INDEX('AH History'!$C$5:$C$1380,$K2543))),NA()),NA())</f>
        <v/>
      </c>
      <c r="J2543" s="32">
        <f>IFERROR(IF(AND($F2543&gt;0,$H2543&gt;0,$A2543-$G2543&lt;=10,$A2543-$I2543&lt;=5,$G2543&gt;0,$I2543&gt;0),$F2543*$H2543,NA()),NA())</f>
        <v/>
      </c>
      <c r="K2543" s="15">
        <f>IF($A2543="","",IF(AH!$U$5=1,IFERROR(MATCH($A2543,'Live History'!$A$5:$A$3004,0),0),AH!$U$7+2538))</f>
        <v/>
      </c>
      <c r="L2543" s="15">
        <f>IF(ISNUMBER(A2543),TEXT(A2543,"dd-mmm-yy"),"")</f>
        <v/>
      </c>
    </row>
    <row r="2544">
      <c r="A2544" s="14">
        <f>IF(OR(AH!$U$4=0,2539+1&gt;AH!$U$6,AND(AH!$M$5="Bloomberg",AH!$U$5=0)),"",IFERROR(IF(AND(AH!$U$12=1,2539+1=AH!$U$6),TODAY(),IF(AH!$U$5=1,INDEX('Live History'!$A$5:$A$3004,AH!$U$7+2539),INDEX('AH History'!$A$5:$A$1380,AH!$U$7+2539))),""))</f>
        <v/>
      </c>
      <c r="B2544" s="33">
        <f>IFERROR(IF(AH!$U$11=1,NA(),$J2544/$E2544-1),NA())</f>
        <v/>
      </c>
      <c r="C2544" s="269">
        <f>IFERROR(100*$E2544/$E$5,NA())</f>
        <v/>
      </c>
      <c r="D2544" s="269">
        <f>IFERROR(100*$J2544/$J$5,NA())</f>
        <v/>
      </c>
      <c r="E2544" s="32">
        <f>IFERROR(IF(AND(ISNUMBER($A2544),N(IF(AND(AH!$U$12=1,2539+1=AH!$U$6),IF(AH!$U$4=0,"unavailable",INDEX('Market Data'!$AN$5:$AN$66,AH!$U$4)),IF(AH!$U$5=1,INDEX('Live History'!$B$5:$B$3004,$K2544),INDEX('AH History'!$D$5:$GG$1380,$K2544,AH!$U$10))))&gt;0),IF(AND(AH!$U$12=1,2539+1=AH!$U$6),IF(AH!$U$4=0,"unavailable",INDEX('Market Data'!$AN$5:$AN$66,AH!$U$4)),IF(AH!$U$5=1,INDEX('Live History'!$B$5:$B$3004,$K2544),INDEX('AH History'!$D$5:$GG$1380,$K2544,AH!$U$10))),NA()),NA())</f>
        <v/>
      </c>
      <c r="F2544" s="32">
        <f>IFERROR(IF(ISNUMBER($A2544),IF(AND(AH!$U$12=1,2539+1=AH!$U$6),IF(AH!$U$4=0,"unavailable",INDEX('Market Data'!$AO$5:$AO$66,AH!$U$4)),IF(AH!$U$5=1,INDEX('Live History'!$E$5:$E$3004,MATCH($A2544,'Live History'!$D$5:$D$3004,1)),INDEX('AH History'!$D$5:$GG$1380,$K2544,AH!$U$10+1))),NA()),NA())</f>
        <v/>
      </c>
      <c r="G2544" s="34">
        <f>IFERROR(IF(ISNUMBER($A2544),IF(AND(AH!$U$12=1,2539+1=AH!$U$6),IF(AH!$U$4=0,"unavailable",INDEX('Market Data'!$AK$5:$AK$66,AH!$U$4)),IF(AH!$U$5=1,INDEX('Live History'!$D$5:$D$3004,MATCH($A2544,'Live History'!$D$5:$D$3004,1)),INDEX('AH History'!$D$5:$GG$1380,$K2544,AH!$U$10+2))),NA()),NA())</f>
        <v/>
      </c>
      <c r="H2544" s="266">
        <f>IFERROR(IF(ISNUMBER($A2544),IF(AND(AH!$U$12=1,2539+1=AH!$U$6),IF(AH!$U$4=0,"unavailable",INDEX('Market Data'!$AP$5:$AP$66,AH!$U$4)),IF(AH!$U$5=1,INDEX('Live History'!$H$5:$H$3004,MATCH($A2544,'Live History'!$G$5:$G$3004,1)),INDEX('AH History'!$B$5:$B$1380,$K2544))),NA()),NA())</f>
        <v/>
      </c>
      <c r="I2544" s="34">
        <f>IFERROR(IF(ISNUMBER($A2544),IF(AND(AH!$U$12=1,2539+1=AH!$U$6),TODAY(),IF(AH!$U$5=1,INDEX('Live History'!$G$5:$G$3004,MATCH($A2544,'Live History'!$G$5:$G$3004,1)),INDEX('AH History'!$C$5:$C$1380,$K2544))),NA()),NA())</f>
        <v/>
      </c>
      <c r="J2544" s="32">
        <f>IFERROR(IF(AND($F2544&gt;0,$H2544&gt;0,$A2544-$G2544&lt;=10,$A2544-$I2544&lt;=5,$G2544&gt;0,$I2544&gt;0),$F2544*$H2544,NA()),NA())</f>
        <v/>
      </c>
      <c r="K2544" s="15">
        <f>IF($A2544="","",IF(AH!$U$5=1,IFERROR(MATCH($A2544,'Live History'!$A$5:$A$3004,0),0),AH!$U$7+2539))</f>
        <v/>
      </c>
      <c r="L2544" s="15">
        <f>IF(ISNUMBER(A2544),TEXT(A2544,"dd-mmm-yy"),"")</f>
        <v/>
      </c>
    </row>
    <row r="2545">
      <c r="A2545" s="14">
        <f>IF(OR(AH!$U$4=0,2540+1&gt;AH!$U$6,AND(AH!$M$5="Bloomberg",AH!$U$5=0)),"",IFERROR(IF(AND(AH!$U$12=1,2540+1=AH!$U$6),TODAY(),IF(AH!$U$5=1,INDEX('Live History'!$A$5:$A$3004,AH!$U$7+2540),INDEX('AH History'!$A$5:$A$1380,AH!$U$7+2540))),""))</f>
        <v/>
      </c>
      <c r="B2545" s="33">
        <f>IFERROR(IF(AH!$U$11=1,NA(),$J2545/$E2545-1),NA())</f>
        <v/>
      </c>
      <c r="C2545" s="269">
        <f>IFERROR(100*$E2545/$E$5,NA())</f>
        <v/>
      </c>
      <c r="D2545" s="269">
        <f>IFERROR(100*$J2545/$J$5,NA())</f>
        <v/>
      </c>
      <c r="E2545" s="32">
        <f>IFERROR(IF(AND(ISNUMBER($A2545),N(IF(AND(AH!$U$12=1,2540+1=AH!$U$6),IF(AH!$U$4=0,"unavailable",INDEX('Market Data'!$AN$5:$AN$66,AH!$U$4)),IF(AH!$U$5=1,INDEX('Live History'!$B$5:$B$3004,$K2545),INDEX('AH History'!$D$5:$GG$1380,$K2545,AH!$U$10))))&gt;0),IF(AND(AH!$U$12=1,2540+1=AH!$U$6),IF(AH!$U$4=0,"unavailable",INDEX('Market Data'!$AN$5:$AN$66,AH!$U$4)),IF(AH!$U$5=1,INDEX('Live History'!$B$5:$B$3004,$K2545),INDEX('AH History'!$D$5:$GG$1380,$K2545,AH!$U$10))),NA()),NA())</f>
        <v/>
      </c>
      <c r="F2545" s="32">
        <f>IFERROR(IF(ISNUMBER($A2545),IF(AND(AH!$U$12=1,2540+1=AH!$U$6),IF(AH!$U$4=0,"unavailable",INDEX('Market Data'!$AO$5:$AO$66,AH!$U$4)),IF(AH!$U$5=1,INDEX('Live History'!$E$5:$E$3004,MATCH($A2545,'Live History'!$D$5:$D$3004,1)),INDEX('AH History'!$D$5:$GG$1380,$K2545,AH!$U$10+1))),NA()),NA())</f>
        <v/>
      </c>
      <c r="G2545" s="34">
        <f>IFERROR(IF(ISNUMBER($A2545),IF(AND(AH!$U$12=1,2540+1=AH!$U$6),IF(AH!$U$4=0,"unavailable",INDEX('Market Data'!$AK$5:$AK$66,AH!$U$4)),IF(AH!$U$5=1,INDEX('Live History'!$D$5:$D$3004,MATCH($A2545,'Live History'!$D$5:$D$3004,1)),INDEX('AH History'!$D$5:$GG$1380,$K2545,AH!$U$10+2))),NA()),NA())</f>
        <v/>
      </c>
      <c r="H2545" s="266">
        <f>IFERROR(IF(ISNUMBER($A2545),IF(AND(AH!$U$12=1,2540+1=AH!$U$6),IF(AH!$U$4=0,"unavailable",INDEX('Market Data'!$AP$5:$AP$66,AH!$U$4)),IF(AH!$U$5=1,INDEX('Live History'!$H$5:$H$3004,MATCH($A2545,'Live History'!$G$5:$G$3004,1)),INDEX('AH History'!$B$5:$B$1380,$K2545))),NA()),NA())</f>
        <v/>
      </c>
      <c r="I2545" s="34">
        <f>IFERROR(IF(ISNUMBER($A2545),IF(AND(AH!$U$12=1,2540+1=AH!$U$6),TODAY(),IF(AH!$U$5=1,INDEX('Live History'!$G$5:$G$3004,MATCH($A2545,'Live History'!$G$5:$G$3004,1)),INDEX('AH History'!$C$5:$C$1380,$K2545))),NA()),NA())</f>
        <v/>
      </c>
      <c r="J2545" s="32">
        <f>IFERROR(IF(AND($F2545&gt;0,$H2545&gt;0,$A2545-$G2545&lt;=10,$A2545-$I2545&lt;=5,$G2545&gt;0,$I2545&gt;0),$F2545*$H2545,NA()),NA())</f>
        <v/>
      </c>
      <c r="K2545" s="15">
        <f>IF($A2545="","",IF(AH!$U$5=1,IFERROR(MATCH($A2545,'Live History'!$A$5:$A$3004,0),0),AH!$U$7+2540))</f>
        <v/>
      </c>
      <c r="L2545" s="15">
        <f>IF(ISNUMBER(A2545),TEXT(A2545,"dd-mmm-yy"),"")</f>
        <v/>
      </c>
    </row>
    <row r="2546">
      <c r="A2546" s="14">
        <f>IF(OR(AH!$U$4=0,2541+1&gt;AH!$U$6,AND(AH!$M$5="Bloomberg",AH!$U$5=0)),"",IFERROR(IF(AND(AH!$U$12=1,2541+1=AH!$U$6),TODAY(),IF(AH!$U$5=1,INDEX('Live History'!$A$5:$A$3004,AH!$U$7+2541),INDEX('AH History'!$A$5:$A$1380,AH!$U$7+2541))),""))</f>
        <v/>
      </c>
      <c r="B2546" s="33">
        <f>IFERROR(IF(AH!$U$11=1,NA(),$J2546/$E2546-1),NA())</f>
        <v/>
      </c>
      <c r="C2546" s="269">
        <f>IFERROR(100*$E2546/$E$5,NA())</f>
        <v/>
      </c>
      <c r="D2546" s="269">
        <f>IFERROR(100*$J2546/$J$5,NA())</f>
        <v/>
      </c>
      <c r="E2546" s="32">
        <f>IFERROR(IF(AND(ISNUMBER($A2546),N(IF(AND(AH!$U$12=1,2541+1=AH!$U$6),IF(AH!$U$4=0,"unavailable",INDEX('Market Data'!$AN$5:$AN$66,AH!$U$4)),IF(AH!$U$5=1,INDEX('Live History'!$B$5:$B$3004,$K2546),INDEX('AH History'!$D$5:$GG$1380,$K2546,AH!$U$10))))&gt;0),IF(AND(AH!$U$12=1,2541+1=AH!$U$6),IF(AH!$U$4=0,"unavailable",INDEX('Market Data'!$AN$5:$AN$66,AH!$U$4)),IF(AH!$U$5=1,INDEX('Live History'!$B$5:$B$3004,$K2546),INDEX('AH History'!$D$5:$GG$1380,$K2546,AH!$U$10))),NA()),NA())</f>
        <v/>
      </c>
      <c r="F2546" s="32">
        <f>IFERROR(IF(ISNUMBER($A2546),IF(AND(AH!$U$12=1,2541+1=AH!$U$6),IF(AH!$U$4=0,"unavailable",INDEX('Market Data'!$AO$5:$AO$66,AH!$U$4)),IF(AH!$U$5=1,INDEX('Live History'!$E$5:$E$3004,MATCH($A2546,'Live History'!$D$5:$D$3004,1)),INDEX('AH History'!$D$5:$GG$1380,$K2546,AH!$U$10+1))),NA()),NA())</f>
        <v/>
      </c>
      <c r="G2546" s="34">
        <f>IFERROR(IF(ISNUMBER($A2546),IF(AND(AH!$U$12=1,2541+1=AH!$U$6),IF(AH!$U$4=0,"unavailable",INDEX('Market Data'!$AK$5:$AK$66,AH!$U$4)),IF(AH!$U$5=1,INDEX('Live History'!$D$5:$D$3004,MATCH($A2546,'Live History'!$D$5:$D$3004,1)),INDEX('AH History'!$D$5:$GG$1380,$K2546,AH!$U$10+2))),NA()),NA())</f>
        <v/>
      </c>
      <c r="H2546" s="266">
        <f>IFERROR(IF(ISNUMBER($A2546),IF(AND(AH!$U$12=1,2541+1=AH!$U$6),IF(AH!$U$4=0,"unavailable",INDEX('Market Data'!$AP$5:$AP$66,AH!$U$4)),IF(AH!$U$5=1,INDEX('Live History'!$H$5:$H$3004,MATCH($A2546,'Live History'!$G$5:$G$3004,1)),INDEX('AH History'!$B$5:$B$1380,$K2546))),NA()),NA())</f>
        <v/>
      </c>
      <c r="I2546" s="34">
        <f>IFERROR(IF(ISNUMBER($A2546),IF(AND(AH!$U$12=1,2541+1=AH!$U$6),TODAY(),IF(AH!$U$5=1,INDEX('Live History'!$G$5:$G$3004,MATCH($A2546,'Live History'!$G$5:$G$3004,1)),INDEX('AH History'!$C$5:$C$1380,$K2546))),NA()),NA())</f>
        <v/>
      </c>
      <c r="J2546" s="32">
        <f>IFERROR(IF(AND($F2546&gt;0,$H2546&gt;0,$A2546-$G2546&lt;=10,$A2546-$I2546&lt;=5,$G2546&gt;0,$I2546&gt;0),$F2546*$H2546,NA()),NA())</f>
        <v/>
      </c>
      <c r="K2546" s="15">
        <f>IF($A2546="","",IF(AH!$U$5=1,IFERROR(MATCH($A2546,'Live History'!$A$5:$A$3004,0),0),AH!$U$7+2541))</f>
        <v/>
      </c>
      <c r="L2546" s="15">
        <f>IF(ISNUMBER(A2546),TEXT(A2546,"dd-mmm-yy"),"")</f>
        <v/>
      </c>
    </row>
    <row r="2547">
      <c r="A2547" s="14">
        <f>IF(OR(AH!$U$4=0,2542+1&gt;AH!$U$6,AND(AH!$M$5="Bloomberg",AH!$U$5=0)),"",IFERROR(IF(AND(AH!$U$12=1,2542+1=AH!$U$6),TODAY(),IF(AH!$U$5=1,INDEX('Live History'!$A$5:$A$3004,AH!$U$7+2542),INDEX('AH History'!$A$5:$A$1380,AH!$U$7+2542))),""))</f>
        <v/>
      </c>
      <c r="B2547" s="33">
        <f>IFERROR(IF(AH!$U$11=1,NA(),$J2547/$E2547-1),NA())</f>
        <v/>
      </c>
      <c r="C2547" s="269">
        <f>IFERROR(100*$E2547/$E$5,NA())</f>
        <v/>
      </c>
      <c r="D2547" s="269">
        <f>IFERROR(100*$J2547/$J$5,NA())</f>
        <v/>
      </c>
      <c r="E2547" s="32">
        <f>IFERROR(IF(AND(ISNUMBER($A2547),N(IF(AND(AH!$U$12=1,2542+1=AH!$U$6),IF(AH!$U$4=0,"unavailable",INDEX('Market Data'!$AN$5:$AN$66,AH!$U$4)),IF(AH!$U$5=1,INDEX('Live History'!$B$5:$B$3004,$K2547),INDEX('AH History'!$D$5:$GG$1380,$K2547,AH!$U$10))))&gt;0),IF(AND(AH!$U$12=1,2542+1=AH!$U$6),IF(AH!$U$4=0,"unavailable",INDEX('Market Data'!$AN$5:$AN$66,AH!$U$4)),IF(AH!$U$5=1,INDEX('Live History'!$B$5:$B$3004,$K2547),INDEX('AH History'!$D$5:$GG$1380,$K2547,AH!$U$10))),NA()),NA())</f>
        <v/>
      </c>
      <c r="F2547" s="32">
        <f>IFERROR(IF(ISNUMBER($A2547),IF(AND(AH!$U$12=1,2542+1=AH!$U$6),IF(AH!$U$4=0,"unavailable",INDEX('Market Data'!$AO$5:$AO$66,AH!$U$4)),IF(AH!$U$5=1,INDEX('Live History'!$E$5:$E$3004,MATCH($A2547,'Live History'!$D$5:$D$3004,1)),INDEX('AH History'!$D$5:$GG$1380,$K2547,AH!$U$10+1))),NA()),NA())</f>
        <v/>
      </c>
      <c r="G2547" s="34">
        <f>IFERROR(IF(ISNUMBER($A2547),IF(AND(AH!$U$12=1,2542+1=AH!$U$6),IF(AH!$U$4=0,"unavailable",INDEX('Market Data'!$AK$5:$AK$66,AH!$U$4)),IF(AH!$U$5=1,INDEX('Live History'!$D$5:$D$3004,MATCH($A2547,'Live History'!$D$5:$D$3004,1)),INDEX('AH History'!$D$5:$GG$1380,$K2547,AH!$U$10+2))),NA()),NA())</f>
        <v/>
      </c>
      <c r="H2547" s="266">
        <f>IFERROR(IF(ISNUMBER($A2547),IF(AND(AH!$U$12=1,2542+1=AH!$U$6),IF(AH!$U$4=0,"unavailable",INDEX('Market Data'!$AP$5:$AP$66,AH!$U$4)),IF(AH!$U$5=1,INDEX('Live History'!$H$5:$H$3004,MATCH($A2547,'Live History'!$G$5:$G$3004,1)),INDEX('AH History'!$B$5:$B$1380,$K2547))),NA()),NA())</f>
        <v/>
      </c>
      <c r="I2547" s="34">
        <f>IFERROR(IF(ISNUMBER($A2547),IF(AND(AH!$U$12=1,2542+1=AH!$U$6),TODAY(),IF(AH!$U$5=1,INDEX('Live History'!$G$5:$G$3004,MATCH($A2547,'Live History'!$G$5:$G$3004,1)),INDEX('AH History'!$C$5:$C$1380,$K2547))),NA()),NA())</f>
        <v/>
      </c>
      <c r="J2547" s="32">
        <f>IFERROR(IF(AND($F2547&gt;0,$H2547&gt;0,$A2547-$G2547&lt;=10,$A2547-$I2547&lt;=5,$G2547&gt;0,$I2547&gt;0),$F2547*$H2547,NA()),NA())</f>
        <v/>
      </c>
      <c r="K2547" s="15">
        <f>IF($A2547="","",IF(AH!$U$5=1,IFERROR(MATCH($A2547,'Live History'!$A$5:$A$3004,0),0),AH!$U$7+2542))</f>
        <v/>
      </c>
      <c r="L2547" s="15">
        <f>IF(ISNUMBER(A2547),TEXT(A2547,"dd-mmm-yy"),"")</f>
        <v/>
      </c>
    </row>
    <row r="2548">
      <c r="A2548" s="14">
        <f>IF(OR(AH!$U$4=0,2543+1&gt;AH!$U$6,AND(AH!$M$5="Bloomberg",AH!$U$5=0)),"",IFERROR(IF(AND(AH!$U$12=1,2543+1=AH!$U$6),TODAY(),IF(AH!$U$5=1,INDEX('Live History'!$A$5:$A$3004,AH!$U$7+2543),INDEX('AH History'!$A$5:$A$1380,AH!$U$7+2543))),""))</f>
        <v/>
      </c>
      <c r="B2548" s="33">
        <f>IFERROR(IF(AH!$U$11=1,NA(),$J2548/$E2548-1),NA())</f>
        <v/>
      </c>
      <c r="C2548" s="269">
        <f>IFERROR(100*$E2548/$E$5,NA())</f>
        <v/>
      </c>
      <c r="D2548" s="269">
        <f>IFERROR(100*$J2548/$J$5,NA())</f>
        <v/>
      </c>
      <c r="E2548" s="32">
        <f>IFERROR(IF(AND(ISNUMBER($A2548),N(IF(AND(AH!$U$12=1,2543+1=AH!$U$6),IF(AH!$U$4=0,"unavailable",INDEX('Market Data'!$AN$5:$AN$66,AH!$U$4)),IF(AH!$U$5=1,INDEX('Live History'!$B$5:$B$3004,$K2548),INDEX('AH History'!$D$5:$GG$1380,$K2548,AH!$U$10))))&gt;0),IF(AND(AH!$U$12=1,2543+1=AH!$U$6),IF(AH!$U$4=0,"unavailable",INDEX('Market Data'!$AN$5:$AN$66,AH!$U$4)),IF(AH!$U$5=1,INDEX('Live History'!$B$5:$B$3004,$K2548),INDEX('AH History'!$D$5:$GG$1380,$K2548,AH!$U$10))),NA()),NA())</f>
        <v/>
      </c>
      <c r="F2548" s="32">
        <f>IFERROR(IF(ISNUMBER($A2548),IF(AND(AH!$U$12=1,2543+1=AH!$U$6),IF(AH!$U$4=0,"unavailable",INDEX('Market Data'!$AO$5:$AO$66,AH!$U$4)),IF(AH!$U$5=1,INDEX('Live History'!$E$5:$E$3004,MATCH($A2548,'Live History'!$D$5:$D$3004,1)),INDEX('AH History'!$D$5:$GG$1380,$K2548,AH!$U$10+1))),NA()),NA())</f>
        <v/>
      </c>
      <c r="G2548" s="34">
        <f>IFERROR(IF(ISNUMBER($A2548),IF(AND(AH!$U$12=1,2543+1=AH!$U$6),IF(AH!$U$4=0,"unavailable",INDEX('Market Data'!$AK$5:$AK$66,AH!$U$4)),IF(AH!$U$5=1,INDEX('Live History'!$D$5:$D$3004,MATCH($A2548,'Live History'!$D$5:$D$3004,1)),INDEX('AH History'!$D$5:$GG$1380,$K2548,AH!$U$10+2))),NA()),NA())</f>
        <v/>
      </c>
      <c r="H2548" s="266">
        <f>IFERROR(IF(ISNUMBER($A2548),IF(AND(AH!$U$12=1,2543+1=AH!$U$6),IF(AH!$U$4=0,"unavailable",INDEX('Market Data'!$AP$5:$AP$66,AH!$U$4)),IF(AH!$U$5=1,INDEX('Live History'!$H$5:$H$3004,MATCH($A2548,'Live History'!$G$5:$G$3004,1)),INDEX('AH History'!$B$5:$B$1380,$K2548))),NA()),NA())</f>
        <v/>
      </c>
      <c r="I2548" s="34">
        <f>IFERROR(IF(ISNUMBER($A2548),IF(AND(AH!$U$12=1,2543+1=AH!$U$6),TODAY(),IF(AH!$U$5=1,INDEX('Live History'!$G$5:$G$3004,MATCH($A2548,'Live History'!$G$5:$G$3004,1)),INDEX('AH History'!$C$5:$C$1380,$K2548))),NA()),NA())</f>
        <v/>
      </c>
      <c r="J2548" s="32">
        <f>IFERROR(IF(AND($F2548&gt;0,$H2548&gt;0,$A2548-$G2548&lt;=10,$A2548-$I2548&lt;=5,$G2548&gt;0,$I2548&gt;0),$F2548*$H2548,NA()),NA())</f>
        <v/>
      </c>
      <c r="K2548" s="15">
        <f>IF($A2548="","",IF(AH!$U$5=1,IFERROR(MATCH($A2548,'Live History'!$A$5:$A$3004,0),0),AH!$U$7+2543))</f>
        <v/>
      </c>
      <c r="L2548" s="15">
        <f>IF(ISNUMBER(A2548),TEXT(A2548,"dd-mmm-yy"),"")</f>
        <v/>
      </c>
    </row>
    <row r="2549">
      <c r="A2549" s="14">
        <f>IF(OR(AH!$U$4=0,2544+1&gt;AH!$U$6,AND(AH!$M$5="Bloomberg",AH!$U$5=0)),"",IFERROR(IF(AND(AH!$U$12=1,2544+1=AH!$U$6),TODAY(),IF(AH!$U$5=1,INDEX('Live History'!$A$5:$A$3004,AH!$U$7+2544),INDEX('AH History'!$A$5:$A$1380,AH!$U$7+2544))),""))</f>
        <v/>
      </c>
      <c r="B2549" s="33">
        <f>IFERROR(IF(AH!$U$11=1,NA(),$J2549/$E2549-1),NA())</f>
        <v/>
      </c>
      <c r="C2549" s="269">
        <f>IFERROR(100*$E2549/$E$5,NA())</f>
        <v/>
      </c>
      <c r="D2549" s="269">
        <f>IFERROR(100*$J2549/$J$5,NA())</f>
        <v/>
      </c>
      <c r="E2549" s="32">
        <f>IFERROR(IF(AND(ISNUMBER($A2549),N(IF(AND(AH!$U$12=1,2544+1=AH!$U$6),IF(AH!$U$4=0,"unavailable",INDEX('Market Data'!$AN$5:$AN$66,AH!$U$4)),IF(AH!$U$5=1,INDEX('Live History'!$B$5:$B$3004,$K2549),INDEX('AH History'!$D$5:$GG$1380,$K2549,AH!$U$10))))&gt;0),IF(AND(AH!$U$12=1,2544+1=AH!$U$6),IF(AH!$U$4=0,"unavailable",INDEX('Market Data'!$AN$5:$AN$66,AH!$U$4)),IF(AH!$U$5=1,INDEX('Live History'!$B$5:$B$3004,$K2549),INDEX('AH History'!$D$5:$GG$1380,$K2549,AH!$U$10))),NA()),NA())</f>
        <v/>
      </c>
      <c r="F2549" s="32">
        <f>IFERROR(IF(ISNUMBER($A2549),IF(AND(AH!$U$12=1,2544+1=AH!$U$6),IF(AH!$U$4=0,"unavailable",INDEX('Market Data'!$AO$5:$AO$66,AH!$U$4)),IF(AH!$U$5=1,INDEX('Live History'!$E$5:$E$3004,MATCH($A2549,'Live History'!$D$5:$D$3004,1)),INDEX('AH History'!$D$5:$GG$1380,$K2549,AH!$U$10+1))),NA()),NA())</f>
        <v/>
      </c>
      <c r="G2549" s="34">
        <f>IFERROR(IF(ISNUMBER($A2549),IF(AND(AH!$U$12=1,2544+1=AH!$U$6),IF(AH!$U$4=0,"unavailable",INDEX('Market Data'!$AK$5:$AK$66,AH!$U$4)),IF(AH!$U$5=1,INDEX('Live History'!$D$5:$D$3004,MATCH($A2549,'Live History'!$D$5:$D$3004,1)),INDEX('AH History'!$D$5:$GG$1380,$K2549,AH!$U$10+2))),NA()),NA())</f>
        <v/>
      </c>
      <c r="H2549" s="266">
        <f>IFERROR(IF(ISNUMBER($A2549),IF(AND(AH!$U$12=1,2544+1=AH!$U$6),IF(AH!$U$4=0,"unavailable",INDEX('Market Data'!$AP$5:$AP$66,AH!$U$4)),IF(AH!$U$5=1,INDEX('Live History'!$H$5:$H$3004,MATCH($A2549,'Live History'!$G$5:$G$3004,1)),INDEX('AH History'!$B$5:$B$1380,$K2549))),NA()),NA())</f>
        <v/>
      </c>
      <c r="I2549" s="34">
        <f>IFERROR(IF(ISNUMBER($A2549),IF(AND(AH!$U$12=1,2544+1=AH!$U$6),TODAY(),IF(AH!$U$5=1,INDEX('Live History'!$G$5:$G$3004,MATCH($A2549,'Live History'!$G$5:$G$3004,1)),INDEX('AH History'!$C$5:$C$1380,$K2549))),NA()),NA())</f>
        <v/>
      </c>
      <c r="J2549" s="32">
        <f>IFERROR(IF(AND($F2549&gt;0,$H2549&gt;0,$A2549-$G2549&lt;=10,$A2549-$I2549&lt;=5,$G2549&gt;0,$I2549&gt;0),$F2549*$H2549,NA()),NA())</f>
        <v/>
      </c>
      <c r="K2549" s="15">
        <f>IF($A2549="","",IF(AH!$U$5=1,IFERROR(MATCH($A2549,'Live History'!$A$5:$A$3004,0),0),AH!$U$7+2544))</f>
        <v/>
      </c>
      <c r="L2549" s="15">
        <f>IF(ISNUMBER(A2549),TEXT(A2549,"dd-mmm-yy"),"")</f>
        <v/>
      </c>
    </row>
    <row r="2550">
      <c r="A2550" s="14">
        <f>IF(OR(AH!$U$4=0,2545+1&gt;AH!$U$6,AND(AH!$M$5="Bloomberg",AH!$U$5=0)),"",IFERROR(IF(AND(AH!$U$12=1,2545+1=AH!$U$6),TODAY(),IF(AH!$U$5=1,INDEX('Live History'!$A$5:$A$3004,AH!$U$7+2545),INDEX('AH History'!$A$5:$A$1380,AH!$U$7+2545))),""))</f>
        <v/>
      </c>
      <c r="B2550" s="33">
        <f>IFERROR(IF(AH!$U$11=1,NA(),$J2550/$E2550-1),NA())</f>
        <v/>
      </c>
      <c r="C2550" s="269">
        <f>IFERROR(100*$E2550/$E$5,NA())</f>
        <v/>
      </c>
      <c r="D2550" s="269">
        <f>IFERROR(100*$J2550/$J$5,NA())</f>
        <v/>
      </c>
      <c r="E2550" s="32">
        <f>IFERROR(IF(AND(ISNUMBER($A2550),N(IF(AND(AH!$U$12=1,2545+1=AH!$U$6),IF(AH!$U$4=0,"unavailable",INDEX('Market Data'!$AN$5:$AN$66,AH!$U$4)),IF(AH!$U$5=1,INDEX('Live History'!$B$5:$B$3004,$K2550),INDEX('AH History'!$D$5:$GG$1380,$K2550,AH!$U$10))))&gt;0),IF(AND(AH!$U$12=1,2545+1=AH!$U$6),IF(AH!$U$4=0,"unavailable",INDEX('Market Data'!$AN$5:$AN$66,AH!$U$4)),IF(AH!$U$5=1,INDEX('Live History'!$B$5:$B$3004,$K2550),INDEX('AH History'!$D$5:$GG$1380,$K2550,AH!$U$10))),NA()),NA())</f>
        <v/>
      </c>
      <c r="F2550" s="32">
        <f>IFERROR(IF(ISNUMBER($A2550),IF(AND(AH!$U$12=1,2545+1=AH!$U$6),IF(AH!$U$4=0,"unavailable",INDEX('Market Data'!$AO$5:$AO$66,AH!$U$4)),IF(AH!$U$5=1,INDEX('Live History'!$E$5:$E$3004,MATCH($A2550,'Live History'!$D$5:$D$3004,1)),INDEX('AH History'!$D$5:$GG$1380,$K2550,AH!$U$10+1))),NA()),NA())</f>
        <v/>
      </c>
      <c r="G2550" s="34">
        <f>IFERROR(IF(ISNUMBER($A2550),IF(AND(AH!$U$12=1,2545+1=AH!$U$6),IF(AH!$U$4=0,"unavailable",INDEX('Market Data'!$AK$5:$AK$66,AH!$U$4)),IF(AH!$U$5=1,INDEX('Live History'!$D$5:$D$3004,MATCH($A2550,'Live History'!$D$5:$D$3004,1)),INDEX('AH History'!$D$5:$GG$1380,$K2550,AH!$U$10+2))),NA()),NA())</f>
        <v/>
      </c>
      <c r="H2550" s="266">
        <f>IFERROR(IF(ISNUMBER($A2550),IF(AND(AH!$U$12=1,2545+1=AH!$U$6),IF(AH!$U$4=0,"unavailable",INDEX('Market Data'!$AP$5:$AP$66,AH!$U$4)),IF(AH!$U$5=1,INDEX('Live History'!$H$5:$H$3004,MATCH($A2550,'Live History'!$G$5:$G$3004,1)),INDEX('AH History'!$B$5:$B$1380,$K2550))),NA()),NA())</f>
        <v/>
      </c>
      <c r="I2550" s="34">
        <f>IFERROR(IF(ISNUMBER($A2550),IF(AND(AH!$U$12=1,2545+1=AH!$U$6),TODAY(),IF(AH!$U$5=1,INDEX('Live History'!$G$5:$G$3004,MATCH($A2550,'Live History'!$G$5:$G$3004,1)),INDEX('AH History'!$C$5:$C$1380,$K2550))),NA()),NA())</f>
        <v/>
      </c>
      <c r="J2550" s="32">
        <f>IFERROR(IF(AND($F2550&gt;0,$H2550&gt;0,$A2550-$G2550&lt;=10,$A2550-$I2550&lt;=5,$G2550&gt;0,$I2550&gt;0),$F2550*$H2550,NA()),NA())</f>
        <v/>
      </c>
      <c r="K2550" s="15">
        <f>IF($A2550="","",IF(AH!$U$5=1,IFERROR(MATCH($A2550,'Live History'!$A$5:$A$3004,0),0),AH!$U$7+2545))</f>
        <v/>
      </c>
      <c r="L2550" s="15">
        <f>IF(ISNUMBER(A2550),TEXT(A2550,"dd-mmm-yy"),"")</f>
        <v/>
      </c>
    </row>
    <row r="2551">
      <c r="A2551" s="14">
        <f>IF(OR(AH!$U$4=0,2546+1&gt;AH!$U$6,AND(AH!$M$5="Bloomberg",AH!$U$5=0)),"",IFERROR(IF(AND(AH!$U$12=1,2546+1=AH!$U$6),TODAY(),IF(AH!$U$5=1,INDEX('Live History'!$A$5:$A$3004,AH!$U$7+2546),INDEX('AH History'!$A$5:$A$1380,AH!$U$7+2546))),""))</f>
        <v/>
      </c>
      <c r="B2551" s="33">
        <f>IFERROR(IF(AH!$U$11=1,NA(),$J2551/$E2551-1),NA())</f>
        <v/>
      </c>
      <c r="C2551" s="269">
        <f>IFERROR(100*$E2551/$E$5,NA())</f>
        <v/>
      </c>
      <c r="D2551" s="269">
        <f>IFERROR(100*$J2551/$J$5,NA())</f>
        <v/>
      </c>
      <c r="E2551" s="32">
        <f>IFERROR(IF(AND(ISNUMBER($A2551),N(IF(AND(AH!$U$12=1,2546+1=AH!$U$6),IF(AH!$U$4=0,"unavailable",INDEX('Market Data'!$AN$5:$AN$66,AH!$U$4)),IF(AH!$U$5=1,INDEX('Live History'!$B$5:$B$3004,$K2551),INDEX('AH History'!$D$5:$GG$1380,$K2551,AH!$U$10))))&gt;0),IF(AND(AH!$U$12=1,2546+1=AH!$U$6),IF(AH!$U$4=0,"unavailable",INDEX('Market Data'!$AN$5:$AN$66,AH!$U$4)),IF(AH!$U$5=1,INDEX('Live History'!$B$5:$B$3004,$K2551),INDEX('AH History'!$D$5:$GG$1380,$K2551,AH!$U$10))),NA()),NA())</f>
        <v/>
      </c>
      <c r="F2551" s="32">
        <f>IFERROR(IF(ISNUMBER($A2551),IF(AND(AH!$U$12=1,2546+1=AH!$U$6),IF(AH!$U$4=0,"unavailable",INDEX('Market Data'!$AO$5:$AO$66,AH!$U$4)),IF(AH!$U$5=1,INDEX('Live History'!$E$5:$E$3004,MATCH($A2551,'Live History'!$D$5:$D$3004,1)),INDEX('AH History'!$D$5:$GG$1380,$K2551,AH!$U$10+1))),NA()),NA())</f>
        <v/>
      </c>
      <c r="G2551" s="34">
        <f>IFERROR(IF(ISNUMBER($A2551),IF(AND(AH!$U$12=1,2546+1=AH!$U$6),IF(AH!$U$4=0,"unavailable",INDEX('Market Data'!$AK$5:$AK$66,AH!$U$4)),IF(AH!$U$5=1,INDEX('Live History'!$D$5:$D$3004,MATCH($A2551,'Live History'!$D$5:$D$3004,1)),INDEX('AH History'!$D$5:$GG$1380,$K2551,AH!$U$10+2))),NA()),NA())</f>
        <v/>
      </c>
      <c r="H2551" s="266">
        <f>IFERROR(IF(ISNUMBER($A2551),IF(AND(AH!$U$12=1,2546+1=AH!$U$6),IF(AH!$U$4=0,"unavailable",INDEX('Market Data'!$AP$5:$AP$66,AH!$U$4)),IF(AH!$U$5=1,INDEX('Live History'!$H$5:$H$3004,MATCH($A2551,'Live History'!$G$5:$G$3004,1)),INDEX('AH History'!$B$5:$B$1380,$K2551))),NA()),NA())</f>
        <v/>
      </c>
      <c r="I2551" s="34">
        <f>IFERROR(IF(ISNUMBER($A2551),IF(AND(AH!$U$12=1,2546+1=AH!$U$6),TODAY(),IF(AH!$U$5=1,INDEX('Live History'!$G$5:$G$3004,MATCH($A2551,'Live History'!$G$5:$G$3004,1)),INDEX('AH History'!$C$5:$C$1380,$K2551))),NA()),NA())</f>
        <v/>
      </c>
      <c r="J2551" s="32">
        <f>IFERROR(IF(AND($F2551&gt;0,$H2551&gt;0,$A2551-$G2551&lt;=10,$A2551-$I2551&lt;=5,$G2551&gt;0,$I2551&gt;0),$F2551*$H2551,NA()),NA())</f>
        <v/>
      </c>
      <c r="K2551" s="15">
        <f>IF($A2551="","",IF(AH!$U$5=1,IFERROR(MATCH($A2551,'Live History'!$A$5:$A$3004,0),0),AH!$U$7+2546))</f>
        <v/>
      </c>
      <c r="L2551" s="15">
        <f>IF(ISNUMBER(A2551),TEXT(A2551,"dd-mmm-yy"),"")</f>
        <v/>
      </c>
    </row>
    <row r="2552">
      <c r="A2552" s="14">
        <f>IF(OR(AH!$U$4=0,2547+1&gt;AH!$U$6,AND(AH!$M$5="Bloomberg",AH!$U$5=0)),"",IFERROR(IF(AND(AH!$U$12=1,2547+1=AH!$U$6),TODAY(),IF(AH!$U$5=1,INDEX('Live History'!$A$5:$A$3004,AH!$U$7+2547),INDEX('AH History'!$A$5:$A$1380,AH!$U$7+2547))),""))</f>
        <v/>
      </c>
      <c r="B2552" s="33">
        <f>IFERROR(IF(AH!$U$11=1,NA(),$J2552/$E2552-1),NA())</f>
        <v/>
      </c>
      <c r="C2552" s="269">
        <f>IFERROR(100*$E2552/$E$5,NA())</f>
        <v/>
      </c>
      <c r="D2552" s="269">
        <f>IFERROR(100*$J2552/$J$5,NA())</f>
        <v/>
      </c>
      <c r="E2552" s="32">
        <f>IFERROR(IF(AND(ISNUMBER($A2552),N(IF(AND(AH!$U$12=1,2547+1=AH!$U$6),IF(AH!$U$4=0,"unavailable",INDEX('Market Data'!$AN$5:$AN$66,AH!$U$4)),IF(AH!$U$5=1,INDEX('Live History'!$B$5:$B$3004,$K2552),INDEX('AH History'!$D$5:$GG$1380,$K2552,AH!$U$10))))&gt;0),IF(AND(AH!$U$12=1,2547+1=AH!$U$6),IF(AH!$U$4=0,"unavailable",INDEX('Market Data'!$AN$5:$AN$66,AH!$U$4)),IF(AH!$U$5=1,INDEX('Live History'!$B$5:$B$3004,$K2552),INDEX('AH History'!$D$5:$GG$1380,$K2552,AH!$U$10))),NA()),NA())</f>
        <v/>
      </c>
      <c r="F2552" s="32">
        <f>IFERROR(IF(ISNUMBER($A2552),IF(AND(AH!$U$12=1,2547+1=AH!$U$6),IF(AH!$U$4=0,"unavailable",INDEX('Market Data'!$AO$5:$AO$66,AH!$U$4)),IF(AH!$U$5=1,INDEX('Live History'!$E$5:$E$3004,MATCH($A2552,'Live History'!$D$5:$D$3004,1)),INDEX('AH History'!$D$5:$GG$1380,$K2552,AH!$U$10+1))),NA()),NA())</f>
        <v/>
      </c>
      <c r="G2552" s="34">
        <f>IFERROR(IF(ISNUMBER($A2552),IF(AND(AH!$U$12=1,2547+1=AH!$U$6),IF(AH!$U$4=0,"unavailable",INDEX('Market Data'!$AK$5:$AK$66,AH!$U$4)),IF(AH!$U$5=1,INDEX('Live History'!$D$5:$D$3004,MATCH($A2552,'Live History'!$D$5:$D$3004,1)),INDEX('AH History'!$D$5:$GG$1380,$K2552,AH!$U$10+2))),NA()),NA())</f>
        <v/>
      </c>
      <c r="H2552" s="266">
        <f>IFERROR(IF(ISNUMBER($A2552),IF(AND(AH!$U$12=1,2547+1=AH!$U$6),IF(AH!$U$4=0,"unavailable",INDEX('Market Data'!$AP$5:$AP$66,AH!$U$4)),IF(AH!$U$5=1,INDEX('Live History'!$H$5:$H$3004,MATCH($A2552,'Live History'!$G$5:$G$3004,1)),INDEX('AH History'!$B$5:$B$1380,$K2552))),NA()),NA())</f>
        <v/>
      </c>
      <c r="I2552" s="34">
        <f>IFERROR(IF(ISNUMBER($A2552),IF(AND(AH!$U$12=1,2547+1=AH!$U$6),TODAY(),IF(AH!$U$5=1,INDEX('Live History'!$G$5:$G$3004,MATCH($A2552,'Live History'!$G$5:$G$3004,1)),INDEX('AH History'!$C$5:$C$1380,$K2552))),NA()),NA())</f>
        <v/>
      </c>
      <c r="J2552" s="32">
        <f>IFERROR(IF(AND($F2552&gt;0,$H2552&gt;0,$A2552-$G2552&lt;=10,$A2552-$I2552&lt;=5,$G2552&gt;0,$I2552&gt;0),$F2552*$H2552,NA()),NA())</f>
        <v/>
      </c>
      <c r="K2552" s="15">
        <f>IF($A2552="","",IF(AH!$U$5=1,IFERROR(MATCH($A2552,'Live History'!$A$5:$A$3004,0),0),AH!$U$7+2547))</f>
        <v/>
      </c>
      <c r="L2552" s="15">
        <f>IF(ISNUMBER(A2552),TEXT(A2552,"dd-mmm-yy"),"")</f>
        <v/>
      </c>
    </row>
    <row r="2553">
      <c r="A2553" s="14">
        <f>IF(OR(AH!$U$4=0,2548+1&gt;AH!$U$6,AND(AH!$M$5="Bloomberg",AH!$U$5=0)),"",IFERROR(IF(AND(AH!$U$12=1,2548+1=AH!$U$6),TODAY(),IF(AH!$U$5=1,INDEX('Live History'!$A$5:$A$3004,AH!$U$7+2548),INDEX('AH History'!$A$5:$A$1380,AH!$U$7+2548))),""))</f>
        <v/>
      </c>
      <c r="B2553" s="33">
        <f>IFERROR(IF(AH!$U$11=1,NA(),$J2553/$E2553-1),NA())</f>
        <v/>
      </c>
      <c r="C2553" s="269">
        <f>IFERROR(100*$E2553/$E$5,NA())</f>
        <v/>
      </c>
      <c r="D2553" s="269">
        <f>IFERROR(100*$J2553/$J$5,NA())</f>
        <v/>
      </c>
      <c r="E2553" s="32">
        <f>IFERROR(IF(AND(ISNUMBER($A2553),N(IF(AND(AH!$U$12=1,2548+1=AH!$U$6),IF(AH!$U$4=0,"unavailable",INDEX('Market Data'!$AN$5:$AN$66,AH!$U$4)),IF(AH!$U$5=1,INDEX('Live History'!$B$5:$B$3004,$K2553),INDEX('AH History'!$D$5:$GG$1380,$K2553,AH!$U$10))))&gt;0),IF(AND(AH!$U$12=1,2548+1=AH!$U$6),IF(AH!$U$4=0,"unavailable",INDEX('Market Data'!$AN$5:$AN$66,AH!$U$4)),IF(AH!$U$5=1,INDEX('Live History'!$B$5:$B$3004,$K2553),INDEX('AH History'!$D$5:$GG$1380,$K2553,AH!$U$10))),NA()),NA())</f>
        <v/>
      </c>
      <c r="F2553" s="32">
        <f>IFERROR(IF(ISNUMBER($A2553),IF(AND(AH!$U$12=1,2548+1=AH!$U$6),IF(AH!$U$4=0,"unavailable",INDEX('Market Data'!$AO$5:$AO$66,AH!$U$4)),IF(AH!$U$5=1,INDEX('Live History'!$E$5:$E$3004,MATCH($A2553,'Live History'!$D$5:$D$3004,1)),INDEX('AH History'!$D$5:$GG$1380,$K2553,AH!$U$10+1))),NA()),NA())</f>
        <v/>
      </c>
      <c r="G2553" s="34">
        <f>IFERROR(IF(ISNUMBER($A2553),IF(AND(AH!$U$12=1,2548+1=AH!$U$6),IF(AH!$U$4=0,"unavailable",INDEX('Market Data'!$AK$5:$AK$66,AH!$U$4)),IF(AH!$U$5=1,INDEX('Live History'!$D$5:$D$3004,MATCH($A2553,'Live History'!$D$5:$D$3004,1)),INDEX('AH History'!$D$5:$GG$1380,$K2553,AH!$U$10+2))),NA()),NA())</f>
        <v/>
      </c>
      <c r="H2553" s="266">
        <f>IFERROR(IF(ISNUMBER($A2553),IF(AND(AH!$U$12=1,2548+1=AH!$U$6),IF(AH!$U$4=0,"unavailable",INDEX('Market Data'!$AP$5:$AP$66,AH!$U$4)),IF(AH!$U$5=1,INDEX('Live History'!$H$5:$H$3004,MATCH($A2553,'Live History'!$G$5:$G$3004,1)),INDEX('AH History'!$B$5:$B$1380,$K2553))),NA()),NA())</f>
        <v/>
      </c>
      <c r="I2553" s="34">
        <f>IFERROR(IF(ISNUMBER($A2553),IF(AND(AH!$U$12=1,2548+1=AH!$U$6),TODAY(),IF(AH!$U$5=1,INDEX('Live History'!$G$5:$G$3004,MATCH($A2553,'Live History'!$G$5:$G$3004,1)),INDEX('AH History'!$C$5:$C$1380,$K2553))),NA()),NA())</f>
        <v/>
      </c>
      <c r="J2553" s="32">
        <f>IFERROR(IF(AND($F2553&gt;0,$H2553&gt;0,$A2553-$G2553&lt;=10,$A2553-$I2553&lt;=5,$G2553&gt;0,$I2553&gt;0),$F2553*$H2553,NA()),NA())</f>
        <v/>
      </c>
      <c r="K2553" s="15">
        <f>IF($A2553="","",IF(AH!$U$5=1,IFERROR(MATCH($A2553,'Live History'!$A$5:$A$3004,0),0),AH!$U$7+2548))</f>
        <v/>
      </c>
      <c r="L2553" s="15">
        <f>IF(ISNUMBER(A2553),TEXT(A2553,"dd-mmm-yy"),"")</f>
        <v/>
      </c>
    </row>
    <row r="2554">
      <c r="A2554" s="14">
        <f>IF(OR(AH!$U$4=0,2549+1&gt;AH!$U$6,AND(AH!$M$5="Bloomberg",AH!$U$5=0)),"",IFERROR(IF(AND(AH!$U$12=1,2549+1=AH!$U$6),TODAY(),IF(AH!$U$5=1,INDEX('Live History'!$A$5:$A$3004,AH!$U$7+2549),INDEX('AH History'!$A$5:$A$1380,AH!$U$7+2549))),""))</f>
        <v/>
      </c>
      <c r="B2554" s="33">
        <f>IFERROR(IF(AH!$U$11=1,NA(),$J2554/$E2554-1),NA())</f>
        <v/>
      </c>
      <c r="C2554" s="269">
        <f>IFERROR(100*$E2554/$E$5,NA())</f>
        <v/>
      </c>
      <c r="D2554" s="269">
        <f>IFERROR(100*$J2554/$J$5,NA())</f>
        <v/>
      </c>
      <c r="E2554" s="32">
        <f>IFERROR(IF(AND(ISNUMBER($A2554),N(IF(AND(AH!$U$12=1,2549+1=AH!$U$6),IF(AH!$U$4=0,"unavailable",INDEX('Market Data'!$AN$5:$AN$66,AH!$U$4)),IF(AH!$U$5=1,INDEX('Live History'!$B$5:$B$3004,$K2554),INDEX('AH History'!$D$5:$GG$1380,$K2554,AH!$U$10))))&gt;0),IF(AND(AH!$U$12=1,2549+1=AH!$U$6),IF(AH!$U$4=0,"unavailable",INDEX('Market Data'!$AN$5:$AN$66,AH!$U$4)),IF(AH!$U$5=1,INDEX('Live History'!$B$5:$B$3004,$K2554),INDEX('AH History'!$D$5:$GG$1380,$K2554,AH!$U$10))),NA()),NA())</f>
        <v/>
      </c>
      <c r="F2554" s="32">
        <f>IFERROR(IF(ISNUMBER($A2554),IF(AND(AH!$U$12=1,2549+1=AH!$U$6),IF(AH!$U$4=0,"unavailable",INDEX('Market Data'!$AO$5:$AO$66,AH!$U$4)),IF(AH!$U$5=1,INDEX('Live History'!$E$5:$E$3004,MATCH($A2554,'Live History'!$D$5:$D$3004,1)),INDEX('AH History'!$D$5:$GG$1380,$K2554,AH!$U$10+1))),NA()),NA())</f>
        <v/>
      </c>
      <c r="G2554" s="34">
        <f>IFERROR(IF(ISNUMBER($A2554),IF(AND(AH!$U$12=1,2549+1=AH!$U$6),IF(AH!$U$4=0,"unavailable",INDEX('Market Data'!$AK$5:$AK$66,AH!$U$4)),IF(AH!$U$5=1,INDEX('Live History'!$D$5:$D$3004,MATCH($A2554,'Live History'!$D$5:$D$3004,1)),INDEX('AH History'!$D$5:$GG$1380,$K2554,AH!$U$10+2))),NA()),NA())</f>
        <v/>
      </c>
      <c r="H2554" s="266">
        <f>IFERROR(IF(ISNUMBER($A2554),IF(AND(AH!$U$12=1,2549+1=AH!$U$6),IF(AH!$U$4=0,"unavailable",INDEX('Market Data'!$AP$5:$AP$66,AH!$U$4)),IF(AH!$U$5=1,INDEX('Live History'!$H$5:$H$3004,MATCH($A2554,'Live History'!$G$5:$G$3004,1)),INDEX('AH History'!$B$5:$B$1380,$K2554))),NA()),NA())</f>
        <v/>
      </c>
      <c r="I2554" s="34">
        <f>IFERROR(IF(ISNUMBER($A2554),IF(AND(AH!$U$12=1,2549+1=AH!$U$6),TODAY(),IF(AH!$U$5=1,INDEX('Live History'!$G$5:$G$3004,MATCH($A2554,'Live History'!$G$5:$G$3004,1)),INDEX('AH History'!$C$5:$C$1380,$K2554))),NA()),NA())</f>
        <v/>
      </c>
      <c r="J2554" s="32">
        <f>IFERROR(IF(AND($F2554&gt;0,$H2554&gt;0,$A2554-$G2554&lt;=10,$A2554-$I2554&lt;=5,$G2554&gt;0,$I2554&gt;0),$F2554*$H2554,NA()),NA())</f>
        <v/>
      </c>
      <c r="K2554" s="15">
        <f>IF($A2554="","",IF(AH!$U$5=1,IFERROR(MATCH($A2554,'Live History'!$A$5:$A$3004,0),0),AH!$U$7+2549))</f>
        <v/>
      </c>
      <c r="L2554" s="15">
        <f>IF(ISNUMBER(A2554),TEXT(A2554,"dd-mmm-yy"),"")</f>
        <v/>
      </c>
    </row>
    <row r="2555">
      <c r="A2555" s="14">
        <f>IF(OR(AH!$U$4=0,2550+1&gt;AH!$U$6,AND(AH!$M$5="Bloomberg",AH!$U$5=0)),"",IFERROR(IF(AND(AH!$U$12=1,2550+1=AH!$U$6),TODAY(),IF(AH!$U$5=1,INDEX('Live History'!$A$5:$A$3004,AH!$U$7+2550),INDEX('AH History'!$A$5:$A$1380,AH!$U$7+2550))),""))</f>
        <v/>
      </c>
      <c r="B2555" s="33">
        <f>IFERROR(IF(AH!$U$11=1,NA(),$J2555/$E2555-1),NA())</f>
        <v/>
      </c>
      <c r="C2555" s="269">
        <f>IFERROR(100*$E2555/$E$5,NA())</f>
        <v/>
      </c>
      <c r="D2555" s="269">
        <f>IFERROR(100*$J2555/$J$5,NA())</f>
        <v/>
      </c>
      <c r="E2555" s="32">
        <f>IFERROR(IF(AND(ISNUMBER($A2555),N(IF(AND(AH!$U$12=1,2550+1=AH!$U$6),IF(AH!$U$4=0,"unavailable",INDEX('Market Data'!$AN$5:$AN$66,AH!$U$4)),IF(AH!$U$5=1,INDEX('Live History'!$B$5:$B$3004,$K2555),INDEX('AH History'!$D$5:$GG$1380,$K2555,AH!$U$10))))&gt;0),IF(AND(AH!$U$12=1,2550+1=AH!$U$6),IF(AH!$U$4=0,"unavailable",INDEX('Market Data'!$AN$5:$AN$66,AH!$U$4)),IF(AH!$U$5=1,INDEX('Live History'!$B$5:$B$3004,$K2555),INDEX('AH History'!$D$5:$GG$1380,$K2555,AH!$U$10))),NA()),NA())</f>
        <v/>
      </c>
      <c r="F2555" s="32">
        <f>IFERROR(IF(ISNUMBER($A2555),IF(AND(AH!$U$12=1,2550+1=AH!$U$6),IF(AH!$U$4=0,"unavailable",INDEX('Market Data'!$AO$5:$AO$66,AH!$U$4)),IF(AH!$U$5=1,INDEX('Live History'!$E$5:$E$3004,MATCH($A2555,'Live History'!$D$5:$D$3004,1)),INDEX('AH History'!$D$5:$GG$1380,$K2555,AH!$U$10+1))),NA()),NA())</f>
        <v/>
      </c>
      <c r="G2555" s="34">
        <f>IFERROR(IF(ISNUMBER($A2555),IF(AND(AH!$U$12=1,2550+1=AH!$U$6),IF(AH!$U$4=0,"unavailable",INDEX('Market Data'!$AK$5:$AK$66,AH!$U$4)),IF(AH!$U$5=1,INDEX('Live History'!$D$5:$D$3004,MATCH($A2555,'Live History'!$D$5:$D$3004,1)),INDEX('AH History'!$D$5:$GG$1380,$K2555,AH!$U$10+2))),NA()),NA())</f>
        <v/>
      </c>
      <c r="H2555" s="266">
        <f>IFERROR(IF(ISNUMBER($A2555),IF(AND(AH!$U$12=1,2550+1=AH!$U$6),IF(AH!$U$4=0,"unavailable",INDEX('Market Data'!$AP$5:$AP$66,AH!$U$4)),IF(AH!$U$5=1,INDEX('Live History'!$H$5:$H$3004,MATCH($A2555,'Live History'!$G$5:$G$3004,1)),INDEX('AH History'!$B$5:$B$1380,$K2555))),NA()),NA())</f>
        <v/>
      </c>
      <c r="I2555" s="34">
        <f>IFERROR(IF(ISNUMBER($A2555),IF(AND(AH!$U$12=1,2550+1=AH!$U$6),TODAY(),IF(AH!$U$5=1,INDEX('Live History'!$G$5:$G$3004,MATCH($A2555,'Live History'!$G$5:$G$3004,1)),INDEX('AH History'!$C$5:$C$1380,$K2555))),NA()),NA())</f>
        <v/>
      </c>
      <c r="J2555" s="32">
        <f>IFERROR(IF(AND($F2555&gt;0,$H2555&gt;0,$A2555-$G2555&lt;=10,$A2555-$I2555&lt;=5,$G2555&gt;0,$I2555&gt;0),$F2555*$H2555,NA()),NA())</f>
        <v/>
      </c>
      <c r="K2555" s="15">
        <f>IF($A2555="","",IF(AH!$U$5=1,IFERROR(MATCH($A2555,'Live History'!$A$5:$A$3004,0),0),AH!$U$7+2550))</f>
        <v/>
      </c>
      <c r="L2555" s="15">
        <f>IF(ISNUMBER(A2555),TEXT(A2555,"dd-mmm-yy"),"")</f>
        <v/>
      </c>
    </row>
    <row r="2556">
      <c r="A2556" s="14">
        <f>IF(OR(AH!$U$4=0,2551+1&gt;AH!$U$6,AND(AH!$M$5="Bloomberg",AH!$U$5=0)),"",IFERROR(IF(AND(AH!$U$12=1,2551+1=AH!$U$6),TODAY(),IF(AH!$U$5=1,INDEX('Live History'!$A$5:$A$3004,AH!$U$7+2551),INDEX('AH History'!$A$5:$A$1380,AH!$U$7+2551))),""))</f>
        <v/>
      </c>
      <c r="B2556" s="33">
        <f>IFERROR(IF(AH!$U$11=1,NA(),$J2556/$E2556-1),NA())</f>
        <v/>
      </c>
      <c r="C2556" s="269">
        <f>IFERROR(100*$E2556/$E$5,NA())</f>
        <v/>
      </c>
      <c r="D2556" s="269">
        <f>IFERROR(100*$J2556/$J$5,NA())</f>
        <v/>
      </c>
      <c r="E2556" s="32">
        <f>IFERROR(IF(AND(ISNUMBER($A2556),N(IF(AND(AH!$U$12=1,2551+1=AH!$U$6),IF(AH!$U$4=0,"unavailable",INDEX('Market Data'!$AN$5:$AN$66,AH!$U$4)),IF(AH!$U$5=1,INDEX('Live History'!$B$5:$B$3004,$K2556),INDEX('AH History'!$D$5:$GG$1380,$K2556,AH!$U$10))))&gt;0),IF(AND(AH!$U$12=1,2551+1=AH!$U$6),IF(AH!$U$4=0,"unavailable",INDEX('Market Data'!$AN$5:$AN$66,AH!$U$4)),IF(AH!$U$5=1,INDEX('Live History'!$B$5:$B$3004,$K2556),INDEX('AH History'!$D$5:$GG$1380,$K2556,AH!$U$10))),NA()),NA())</f>
        <v/>
      </c>
      <c r="F2556" s="32">
        <f>IFERROR(IF(ISNUMBER($A2556),IF(AND(AH!$U$12=1,2551+1=AH!$U$6),IF(AH!$U$4=0,"unavailable",INDEX('Market Data'!$AO$5:$AO$66,AH!$U$4)),IF(AH!$U$5=1,INDEX('Live History'!$E$5:$E$3004,MATCH($A2556,'Live History'!$D$5:$D$3004,1)),INDEX('AH History'!$D$5:$GG$1380,$K2556,AH!$U$10+1))),NA()),NA())</f>
        <v/>
      </c>
      <c r="G2556" s="34">
        <f>IFERROR(IF(ISNUMBER($A2556),IF(AND(AH!$U$12=1,2551+1=AH!$U$6),IF(AH!$U$4=0,"unavailable",INDEX('Market Data'!$AK$5:$AK$66,AH!$U$4)),IF(AH!$U$5=1,INDEX('Live History'!$D$5:$D$3004,MATCH($A2556,'Live History'!$D$5:$D$3004,1)),INDEX('AH History'!$D$5:$GG$1380,$K2556,AH!$U$10+2))),NA()),NA())</f>
        <v/>
      </c>
      <c r="H2556" s="266">
        <f>IFERROR(IF(ISNUMBER($A2556),IF(AND(AH!$U$12=1,2551+1=AH!$U$6),IF(AH!$U$4=0,"unavailable",INDEX('Market Data'!$AP$5:$AP$66,AH!$U$4)),IF(AH!$U$5=1,INDEX('Live History'!$H$5:$H$3004,MATCH($A2556,'Live History'!$G$5:$G$3004,1)),INDEX('AH History'!$B$5:$B$1380,$K2556))),NA()),NA())</f>
        <v/>
      </c>
      <c r="I2556" s="34">
        <f>IFERROR(IF(ISNUMBER($A2556),IF(AND(AH!$U$12=1,2551+1=AH!$U$6),TODAY(),IF(AH!$U$5=1,INDEX('Live History'!$G$5:$G$3004,MATCH($A2556,'Live History'!$G$5:$G$3004,1)),INDEX('AH History'!$C$5:$C$1380,$K2556))),NA()),NA())</f>
        <v/>
      </c>
      <c r="J2556" s="32">
        <f>IFERROR(IF(AND($F2556&gt;0,$H2556&gt;0,$A2556-$G2556&lt;=10,$A2556-$I2556&lt;=5,$G2556&gt;0,$I2556&gt;0),$F2556*$H2556,NA()),NA())</f>
        <v/>
      </c>
      <c r="K2556" s="15">
        <f>IF($A2556="","",IF(AH!$U$5=1,IFERROR(MATCH($A2556,'Live History'!$A$5:$A$3004,0),0),AH!$U$7+2551))</f>
        <v/>
      </c>
      <c r="L2556" s="15">
        <f>IF(ISNUMBER(A2556),TEXT(A2556,"dd-mmm-yy"),"")</f>
        <v/>
      </c>
    </row>
    <row r="2557">
      <c r="A2557" s="14">
        <f>IF(OR(AH!$U$4=0,2552+1&gt;AH!$U$6,AND(AH!$M$5="Bloomberg",AH!$U$5=0)),"",IFERROR(IF(AND(AH!$U$12=1,2552+1=AH!$U$6),TODAY(),IF(AH!$U$5=1,INDEX('Live History'!$A$5:$A$3004,AH!$U$7+2552),INDEX('AH History'!$A$5:$A$1380,AH!$U$7+2552))),""))</f>
        <v/>
      </c>
      <c r="B2557" s="33">
        <f>IFERROR(IF(AH!$U$11=1,NA(),$J2557/$E2557-1),NA())</f>
        <v/>
      </c>
      <c r="C2557" s="269">
        <f>IFERROR(100*$E2557/$E$5,NA())</f>
        <v/>
      </c>
      <c r="D2557" s="269">
        <f>IFERROR(100*$J2557/$J$5,NA())</f>
        <v/>
      </c>
      <c r="E2557" s="32">
        <f>IFERROR(IF(AND(ISNUMBER($A2557),N(IF(AND(AH!$U$12=1,2552+1=AH!$U$6),IF(AH!$U$4=0,"unavailable",INDEX('Market Data'!$AN$5:$AN$66,AH!$U$4)),IF(AH!$U$5=1,INDEX('Live History'!$B$5:$B$3004,$K2557),INDEX('AH History'!$D$5:$GG$1380,$K2557,AH!$U$10))))&gt;0),IF(AND(AH!$U$12=1,2552+1=AH!$U$6),IF(AH!$U$4=0,"unavailable",INDEX('Market Data'!$AN$5:$AN$66,AH!$U$4)),IF(AH!$U$5=1,INDEX('Live History'!$B$5:$B$3004,$K2557),INDEX('AH History'!$D$5:$GG$1380,$K2557,AH!$U$10))),NA()),NA())</f>
        <v/>
      </c>
      <c r="F2557" s="32">
        <f>IFERROR(IF(ISNUMBER($A2557),IF(AND(AH!$U$12=1,2552+1=AH!$U$6),IF(AH!$U$4=0,"unavailable",INDEX('Market Data'!$AO$5:$AO$66,AH!$U$4)),IF(AH!$U$5=1,INDEX('Live History'!$E$5:$E$3004,MATCH($A2557,'Live History'!$D$5:$D$3004,1)),INDEX('AH History'!$D$5:$GG$1380,$K2557,AH!$U$10+1))),NA()),NA())</f>
        <v/>
      </c>
      <c r="G2557" s="34">
        <f>IFERROR(IF(ISNUMBER($A2557),IF(AND(AH!$U$12=1,2552+1=AH!$U$6),IF(AH!$U$4=0,"unavailable",INDEX('Market Data'!$AK$5:$AK$66,AH!$U$4)),IF(AH!$U$5=1,INDEX('Live History'!$D$5:$D$3004,MATCH($A2557,'Live History'!$D$5:$D$3004,1)),INDEX('AH History'!$D$5:$GG$1380,$K2557,AH!$U$10+2))),NA()),NA())</f>
        <v/>
      </c>
      <c r="H2557" s="266">
        <f>IFERROR(IF(ISNUMBER($A2557),IF(AND(AH!$U$12=1,2552+1=AH!$U$6),IF(AH!$U$4=0,"unavailable",INDEX('Market Data'!$AP$5:$AP$66,AH!$U$4)),IF(AH!$U$5=1,INDEX('Live History'!$H$5:$H$3004,MATCH($A2557,'Live History'!$G$5:$G$3004,1)),INDEX('AH History'!$B$5:$B$1380,$K2557))),NA()),NA())</f>
        <v/>
      </c>
      <c r="I2557" s="34">
        <f>IFERROR(IF(ISNUMBER($A2557),IF(AND(AH!$U$12=1,2552+1=AH!$U$6),TODAY(),IF(AH!$U$5=1,INDEX('Live History'!$G$5:$G$3004,MATCH($A2557,'Live History'!$G$5:$G$3004,1)),INDEX('AH History'!$C$5:$C$1380,$K2557))),NA()),NA())</f>
        <v/>
      </c>
      <c r="J2557" s="32">
        <f>IFERROR(IF(AND($F2557&gt;0,$H2557&gt;0,$A2557-$G2557&lt;=10,$A2557-$I2557&lt;=5,$G2557&gt;0,$I2557&gt;0),$F2557*$H2557,NA()),NA())</f>
        <v/>
      </c>
      <c r="K2557" s="15">
        <f>IF($A2557="","",IF(AH!$U$5=1,IFERROR(MATCH($A2557,'Live History'!$A$5:$A$3004,0),0),AH!$U$7+2552))</f>
        <v/>
      </c>
      <c r="L2557" s="15">
        <f>IF(ISNUMBER(A2557),TEXT(A2557,"dd-mmm-yy"),"")</f>
        <v/>
      </c>
    </row>
    <row r="2558">
      <c r="A2558" s="14">
        <f>IF(OR(AH!$U$4=0,2553+1&gt;AH!$U$6,AND(AH!$M$5="Bloomberg",AH!$U$5=0)),"",IFERROR(IF(AND(AH!$U$12=1,2553+1=AH!$U$6),TODAY(),IF(AH!$U$5=1,INDEX('Live History'!$A$5:$A$3004,AH!$U$7+2553),INDEX('AH History'!$A$5:$A$1380,AH!$U$7+2553))),""))</f>
        <v/>
      </c>
      <c r="B2558" s="33">
        <f>IFERROR(IF(AH!$U$11=1,NA(),$J2558/$E2558-1),NA())</f>
        <v/>
      </c>
      <c r="C2558" s="269">
        <f>IFERROR(100*$E2558/$E$5,NA())</f>
        <v/>
      </c>
      <c r="D2558" s="269">
        <f>IFERROR(100*$J2558/$J$5,NA())</f>
        <v/>
      </c>
      <c r="E2558" s="32">
        <f>IFERROR(IF(AND(ISNUMBER($A2558),N(IF(AND(AH!$U$12=1,2553+1=AH!$U$6),IF(AH!$U$4=0,"unavailable",INDEX('Market Data'!$AN$5:$AN$66,AH!$U$4)),IF(AH!$U$5=1,INDEX('Live History'!$B$5:$B$3004,$K2558),INDEX('AH History'!$D$5:$GG$1380,$K2558,AH!$U$10))))&gt;0),IF(AND(AH!$U$12=1,2553+1=AH!$U$6),IF(AH!$U$4=0,"unavailable",INDEX('Market Data'!$AN$5:$AN$66,AH!$U$4)),IF(AH!$U$5=1,INDEX('Live History'!$B$5:$B$3004,$K2558),INDEX('AH History'!$D$5:$GG$1380,$K2558,AH!$U$10))),NA()),NA())</f>
        <v/>
      </c>
      <c r="F2558" s="32">
        <f>IFERROR(IF(ISNUMBER($A2558),IF(AND(AH!$U$12=1,2553+1=AH!$U$6),IF(AH!$U$4=0,"unavailable",INDEX('Market Data'!$AO$5:$AO$66,AH!$U$4)),IF(AH!$U$5=1,INDEX('Live History'!$E$5:$E$3004,MATCH($A2558,'Live History'!$D$5:$D$3004,1)),INDEX('AH History'!$D$5:$GG$1380,$K2558,AH!$U$10+1))),NA()),NA())</f>
        <v/>
      </c>
      <c r="G2558" s="34">
        <f>IFERROR(IF(ISNUMBER($A2558),IF(AND(AH!$U$12=1,2553+1=AH!$U$6),IF(AH!$U$4=0,"unavailable",INDEX('Market Data'!$AK$5:$AK$66,AH!$U$4)),IF(AH!$U$5=1,INDEX('Live History'!$D$5:$D$3004,MATCH($A2558,'Live History'!$D$5:$D$3004,1)),INDEX('AH History'!$D$5:$GG$1380,$K2558,AH!$U$10+2))),NA()),NA())</f>
        <v/>
      </c>
      <c r="H2558" s="266">
        <f>IFERROR(IF(ISNUMBER($A2558),IF(AND(AH!$U$12=1,2553+1=AH!$U$6),IF(AH!$U$4=0,"unavailable",INDEX('Market Data'!$AP$5:$AP$66,AH!$U$4)),IF(AH!$U$5=1,INDEX('Live History'!$H$5:$H$3004,MATCH($A2558,'Live History'!$G$5:$G$3004,1)),INDEX('AH History'!$B$5:$B$1380,$K2558))),NA()),NA())</f>
        <v/>
      </c>
      <c r="I2558" s="34">
        <f>IFERROR(IF(ISNUMBER($A2558),IF(AND(AH!$U$12=1,2553+1=AH!$U$6),TODAY(),IF(AH!$U$5=1,INDEX('Live History'!$G$5:$G$3004,MATCH($A2558,'Live History'!$G$5:$G$3004,1)),INDEX('AH History'!$C$5:$C$1380,$K2558))),NA()),NA())</f>
        <v/>
      </c>
      <c r="J2558" s="32">
        <f>IFERROR(IF(AND($F2558&gt;0,$H2558&gt;0,$A2558-$G2558&lt;=10,$A2558-$I2558&lt;=5,$G2558&gt;0,$I2558&gt;0),$F2558*$H2558,NA()),NA())</f>
        <v/>
      </c>
      <c r="K2558" s="15">
        <f>IF($A2558="","",IF(AH!$U$5=1,IFERROR(MATCH($A2558,'Live History'!$A$5:$A$3004,0),0),AH!$U$7+2553))</f>
        <v/>
      </c>
      <c r="L2558" s="15">
        <f>IF(ISNUMBER(A2558),TEXT(A2558,"dd-mmm-yy"),"")</f>
        <v/>
      </c>
    </row>
    <row r="2559">
      <c r="A2559" s="14">
        <f>IF(OR(AH!$U$4=0,2554+1&gt;AH!$U$6,AND(AH!$M$5="Bloomberg",AH!$U$5=0)),"",IFERROR(IF(AND(AH!$U$12=1,2554+1=AH!$U$6),TODAY(),IF(AH!$U$5=1,INDEX('Live History'!$A$5:$A$3004,AH!$U$7+2554),INDEX('AH History'!$A$5:$A$1380,AH!$U$7+2554))),""))</f>
        <v/>
      </c>
      <c r="B2559" s="33">
        <f>IFERROR(IF(AH!$U$11=1,NA(),$J2559/$E2559-1),NA())</f>
        <v/>
      </c>
      <c r="C2559" s="269">
        <f>IFERROR(100*$E2559/$E$5,NA())</f>
        <v/>
      </c>
      <c r="D2559" s="269">
        <f>IFERROR(100*$J2559/$J$5,NA())</f>
        <v/>
      </c>
      <c r="E2559" s="32">
        <f>IFERROR(IF(AND(ISNUMBER($A2559),N(IF(AND(AH!$U$12=1,2554+1=AH!$U$6),IF(AH!$U$4=0,"unavailable",INDEX('Market Data'!$AN$5:$AN$66,AH!$U$4)),IF(AH!$U$5=1,INDEX('Live History'!$B$5:$B$3004,$K2559),INDEX('AH History'!$D$5:$GG$1380,$K2559,AH!$U$10))))&gt;0),IF(AND(AH!$U$12=1,2554+1=AH!$U$6),IF(AH!$U$4=0,"unavailable",INDEX('Market Data'!$AN$5:$AN$66,AH!$U$4)),IF(AH!$U$5=1,INDEX('Live History'!$B$5:$B$3004,$K2559),INDEX('AH History'!$D$5:$GG$1380,$K2559,AH!$U$10))),NA()),NA())</f>
        <v/>
      </c>
      <c r="F2559" s="32">
        <f>IFERROR(IF(ISNUMBER($A2559),IF(AND(AH!$U$12=1,2554+1=AH!$U$6),IF(AH!$U$4=0,"unavailable",INDEX('Market Data'!$AO$5:$AO$66,AH!$U$4)),IF(AH!$U$5=1,INDEX('Live History'!$E$5:$E$3004,MATCH($A2559,'Live History'!$D$5:$D$3004,1)),INDEX('AH History'!$D$5:$GG$1380,$K2559,AH!$U$10+1))),NA()),NA())</f>
        <v/>
      </c>
      <c r="G2559" s="34">
        <f>IFERROR(IF(ISNUMBER($A2559),IF(AND(AH!$U$12=1,2554+1=AH!$U$6),IF(AH!$U$4=0,"unavailable",INDEX('Market Data'!$AK$5:$AK$66,AH!$U$4)),IF(AH!$U$5=1,INDEX('Live History'!$D$5:$D$3004,MATCH($A2559,'Live History'!$D$5:$D$3004,1)),INDEX('AH History'!$D$5:$GG$1380,$K2559,AH!$U$10+2))),NA()),NA())</f>
        <v/>
      </c>
      <c r="H2559" s="266">
        <f>IFERROR(IF(ISNUMBER($A2559),IF(AND(AH!$U$12=1,2554+1=AH!$U$6),IF(AH!$U$4=0,"unavailable",INDEX('Market Data'!$AP$5:$AP$66,AH!$U$4)),IF(AH!$U$5=1,INDEX('Live History'!$H$5:$H$3004,MATCH($A2559,'Live History'!$G$5:$G$3004,1)),INDEX('AH History'!$B$5:$B$1380,$K2559))),NA()),NA())</f>
        <v/>
      </c>
      <c r="I2559" s="34">
        <f>IFERROR(IF(ISNUMBER($A2559),IF(AND(AH!$U$12=1,2554+1=AH!$U$6),TODAY(),IF(AH!$U$5=1,INDEX('Live History'!$G$5:$G$3004,MATCH($A2559,'Live History'!$G$5:$G$3004,1)),INDEX('AH History'!$C$5:$C$1380,$K2559))),NA()),NA())</f>
        <v/>
      </c>
      <c r="J2559" s="32">
        <f>IFERROR(IF(AND($F2559&gt;0,$H2559&gt;0,$A2559-$G2559&lt;=10,$A2559-$I2559&lt;=5,$G2559&gt;0,$I2559&gt;0),$F2559*$H2559,NA()),NA())</f>
        <v/>
      </c>
      <c r="K2559" s="15">
        <f>IF($A2559="","",IF(AH!$U$5=1,IFERROR(MATCH($A2559,'Live History'!$A$5:$A$3004,0),0),AH!$U$7+2554))</f>
        <v/>
      </c>
      <c r="L2559" s="15">
        <f>IF(ISNUMBER(A2559),TEXT(A2559,"dd-mmm-yy"),"")</f>
        <v/>
      </c>
    </row>
    <row r="2560">
      <c r="A2560" s="14">
        <f>IF(OR(AH!$U$4=0,2555+1&gt;AH!$U$6,AND(AH!$M$5="Bloomberg",AH!$U$5=0)),"",IFERROR(IF(AND(AH!$U$12=1,2555+1=AH!$U$6),TODAY(),IF(AH!$U$5=1,INDEX('Live History'!$A$5:$A$3004,AH!$U$7+2555),INDEX('AH History'!$A$5:$A$1380,AH!$U$7+2555))),""))</f>
        <v/>
      </c>
      <c r="B2560" s="33">
        <f>IFERROR(IF(AH!$U$11=1,NA(),$J2560/$E2560-1),NA())</f>
        <v/>
      </c>
      <c r="C2560" s="269">
        <f>IFERROR(100*$E2560/$E$5,NA())</f>
        <v/>
      </c>
      <c r="D2560" s="269">
        <f>IFERROR(100*$J2560/$J$5,NA())</f>
        <v/>
      </c>
      <c r="E2560" s="32">
        <f>IFERROR(IF(AND(ISNUMBER($A2560),N(IF(AND(AH!$U$12=1,2555+1=AH!$U$6),IF(AH!$U$4=0,"unavailable",INDEX('Market Data'!$AN$5:$AN$66,AH!$U$4)),IF(AH!$U$5=1,INDEX('Live History'!$B$5:$B$3004,$K2560),INDEX('AH History'!$D$5:$GG$1380,$K2560,AH!$U$10))))&gt;0),IF(AND(AH!$U$12=1,2555+1=AH!$U$6),IF(AH!$U$4=0,"unavailable",INDEX('Market Data'!$AN$5:$AN$66,AH!$U$4)),IF(AH!$U$5=1,INDEX('Live History'!$B$5:$B$3004,$K2560),INDEX('AH History'!$D$5:$GG$1380,$K2560,AH!$U$10))),NA()),NA())</f>
        <v/>
      </c>
      <c r="F2560" s="32">
        <f>IFERROR(IF(ISNUMBER($A2560),IF(AND(AH!$U$12=1,2555+1=AH!$U$6),IF(AH!$U$4=0,"unavailable",INDEX('Market Data'!$AO$5:$AO$66,AH!$U$4)),IF(AH!$U$5=1,INDEX('Live History'!$E$5:$E$3004,MATCH($A2560,'Live History'!$D$5:$D$3004,1)),INDEX('AH History'!$D$5:$GG$1380,$K2560,AH!$U$10+1))),NA()),NA())</f>
        <v/>
      </c>
      <c r="G2560" s="34">
        <f>IFERROR(IF(ISNUMBER($A2560),IF(AND(AH!$U$12=1,2555+1=AH!$U$6),IF(AH!$U$4=0,"unavailable",INDEX('Market Data'!$AK$5:$AK$66,AH!$U$4)),IF(AH!$U$5=1,INDEX('Live History'!$D$5:$D$3004,MATCH($A2560,'Live History'!$D$5:$D$3004,1)),INDEX('AH History'!$D$5:$GG$1380,$K2560,AH!$U$10+2))),NA()),NA())</f>
        <v/>
      </c>
      <c r="H2560" s="266">
        <f>IFERROR(IF(ISNUMBER($A2560),IF(AND(AH!$U$12=1,2555+1=AH!$U$6),IF(AH!$U$4=0,"unavailable",INDEX('Market Data'!$AP$5:$AP$66,AH!$U$4)),IF(AH!$U$5=1,INDEX('Live History'!$H$5:$H$3004,MATCH($A2560,'Live History'!$G$5:$G$3004,1)),INDEX('AH History'!$B$5:$B$1380,$K2560))),NA()),NA())</f>
        <v/>
      </c>
      <c r="I2560" s="34">
        <f>IFERROR(IF(ISNUMBER($A2560),IF(AND(AH!$U$12=1,2555+1=AH!$U$6),TODAY(),IF(AH!$U$5=1,INDEX('Live History'!$G$5:$G$3004,MATCH($A2560,'Live History'!$G$5:$G$3004,1)),INDEX('AH History'!$C$5:$C$1380,$K2560))),NA()),NA())</f>
        <v/>
      </c>
      <c r="J2560" s="32">
        <f>IFERROR(IF(AND($F2560&gt;0,$H2560&gt;0,$A2560-$G2560&lt;=10,$A2560-$I2560&lt;=5,$G2560&gt;0,$I2560&gt;0),$F2560*$H2560,NA()),NA())</f>
        <v/>
      </c>
      <c r="K2560" s="15">
        <f>IF($A2560="","",IF(AH!$U$5=1,IFERROR(MATCH($A2560,'Live History'!$A$5:$A$3004,0),0),AH!$U$7+2555))</f>
        <v/>
      </c>
      <c r="L2560" s="15">
        <f>IF(ISNUMBER(A2560),TEXT(A2560,"dd-mmm-yy"),"")</f>
        <v/>
      </c>
    </row>
    <row r="2561">
      <c r="A2561" s="14">
        <f>IF(OR(AH!$U$4=0,2556+1&gt;AH!$U$6,AND(AH!$M$5="Bloomberg",AH!$U$5=0)),"",IFERROR(IF(AND(AH!$U$12=1,2556+1=AH!$U$6),TODAY(),IF(AH!$U$5=1,INDEX('Live History'!$A$5:$A$3004,AH!$U$7+2556),INDEX('AH History'!$A$5:$A$1380,AH!$U$7+2556))),""))</f>
        <v/>
      </c>
      <c r="B2561" s="33">
        <f>IFERROR(IF(AH!$U$11=1,NA(),$J2561/$E2561-1),NA())</f>
        <v/>
      </c>
      <c r="C2561" s="269">
        <f>IFERROR(100*$E2561/$E$5,NA())</f>
        <v/>
      </c>
      <c r="D2561" s="269">
        <f>IFERROR(100*$J2561/$J$5,NA())</f>
        <v/>
      </c>
      <c r="E2561" s="32">
        <f>IFERROR(IF(AND(ISNUMBER($A2561),N(IF(AND(AH!$U$12=1,2556+1=AH!$U$6),IF(AH!$U$4=0,"unavailable",INDEX('Market Data'!$AN$5:$AN$66,AH!$U$4)),IF(AH!$U$5=1,INDEX('Live History'!$B$5:$B$3004,$K2561),INDEX('AH History'!$D$5:$GG$1380,$K2561,AH!$U$10))))&gt;0),IF(AND(AH!$U$12=1,2556+1=AH!$U$6),IF(AH!$U$4=0,"unavailable",INDEX('Market Data'!$AN$5:$AN$66,AH!$U$4)),IF(AH!$U$5=1,INDEX('Live History'!$B$5:$B$3004,$K2561),INDEX('AH History'!$D$5:$GG$1380,$K2561,AH!$U$10))),NA()),NA())</f>
        <v/>
      </c>
      <c r="F2561" s="32">
        <f>IFERROR(IF(ISNUMBER($A2561),IF(AND(AH!$U$12=1,2556+1=AH!$U$6),IF(AH!$U$4=0,"unavailable",INDEX('Market Data'!$AO$5:$AO$66,AH!$U$4)),IF(AH!$U$5=1,INDEX('Live History'!$E$5:$E$3004,MATCH($A2561,'Live History'!$D$5:$D$3004,1)),INDEX('AH History'!$D$5:$GG$1380,$K2561,AH!$U$10+1))),NA()),NA())</f>
        <v/>
      </c>
      <c r="G2561" s="34">
        <f>IFERROR(IF(ISNUMBER($A2561),IF(AND(AH!$U$12=1,2556+1=AH!$U$6),IF(AH!$U$4=0,"unavailable",INDEX('Market Data'!$AK$5:$AK$66,AH!$U$4)),IF(AH!$U$5=1,INDEX('Live History'!$D$5:$D$3004,MATCH($A2561,'Live History'!$D$5:$D$3004,1)),INDEX('AH History'!$D$5:$GG$1380,$K2561,AH!$U$10+2))),NA()),NA())</f>
        <v/>
      </c>
      <c r="H2561" s="266">
        <f>IFERROR(IF(ISNUMBER($A2561),IF(AND(AH!$U$12=1,2556+1=AH!$U$6),IF(AH!$U$4=0,"unavailable",INDEX('Market Data'!$AP$5:$AP$66,AH!$U$4)),IF(AH!$U$5=1,INDEX('Live History'!$H$5:$H$3004,MATCH($A2561,'Live History'!$G$5:$G$3004,1)),INDEX('AH History'!$B$5:$B$1380,$K2561))),NA()),NA())</f>
        <v/>
      </c>
      <c r="I2561" s="34">
        <f>IFERROR(IF(ISNUMBER($A2561),IF(AND(AH!$U$12=1,2556+1=AH!$U$6),TODAY(),IF(AH!$U$5=1,INDEX('Live History'!$G$5:$G$3004,MATCH($A2561,'Live History'!$G$5:$G$3004,1)),INDEX('AH History'!$C$5:$C$1380,$K2561))),NA()),NA())</f>
        <v/>
      </c>
      <c r="J2561" s="32">
        <f>IFERROR(IF(AND($F2561&gt;0,$H2561&gt;0,$A2561-$G2561&lt;=10,$A2561-$I2561&lt;=5,$G2561&gt;0,$I2561&gt;0),$F2561*$H2561,NA()),NA())</f>
        <v/>
      </c>
      <c r="K2561" s="15">
        <f>IF($A2561="","",IF(AH!$U$5=1,IFERROR(MATCH($A2561,'Live History'!$A$5:$A$3004,0),0),AH!$U$7+2556))</f>
        <v/>
      </c>
      <c r="L2561" s="15">
        <f>IF(ISNUMBER(A2561),TEXT(A2561,"dd-mmm-yy"),"")</f>
        <v/>
      </c>
    </row>
    <row r="2562">
      <c r="A2562" s="14">
        <f>IF(OR(AH!$U$4=0,2557+1&gt;AH!$U$6,AND(AH!$M$5="Bloomberg",AH!$U$5=0)),"",IFERROR(IF(AND(AH!$U$12=1,2557+1=AH!$U$6),TODAY(),IF(AH!$U$5=1,INDEX('Live History'!$A$5:$A$3004,AH!$U$7+2557),INDEX('AH History'!$A$5:$A$1380,AH!$U$7+2557))),""))</f>
        <v/>
      </c>
      <c r="B2562" s="33">
        <f>IFERROR(IF(AH!$U$11=1,NA(),$J2562/$E2562-1),NA())</f>
        <v/>
      </c>
      <c r="C2562" s="269">
        <f>IFERROR(100*$E2562/$E$5,NA())</f>
        <v/>
      </c>
      <c r="D2562" s="269">
        <f>IFERROR(100*$J2562/$J$5,NA())</f>
        <v/>
      </c>
      <c r="E2562" s="32">
        <f>IFERROR(IF(AND(ISNUMBER($A2562),N(IF(AND(AH!$U$12=1,2557+1=AH!$U$6),IF(AH!$U$4=0,"unavailable",INDEX('Market Data'!$AN$5:$AN$66,AH!$U$4)),IF(AH!$U$5=1,INDEX('Live History'!$B$5:$B$3004,$K2562),INDEX('AH History'!$D$5:$GG$1380,$K2562,AH!$U$10))))&gt;0),IF(AND(AH!$U$12=1,2557+1=AH!$U$6),IF(AH!$U$4=0,"unavailable",INDEX('Market Data'!$AN$5:$AN$66,AH!$U$4)),IF(AH!$U$5=1,INDEX('Live History'!$B$5:$B$3004,$K2562),INDEX('AH History'!$D$5:$GG$1380,$K2562,AH!$U$10))),NA()),NA())</f>
        <v/>
      </c>
      <c r="F2562" s="32">
        <f>IFERROR(IF(ISNUMBER($A2562),IF(AND(AH!$U$12=1,2557+1=AH!$U$6),IF(AH!$U$4=0,"unavailable",INDEX('Market Data'!$AO$5:$AO$66,AH!$U$4)),IF(AH!$U$5=1,INDEX('Live History'!$E$5:$E$3004,MATCH($A2562,'Live History'!$D$5:$D$3004,1)),INDEX('AH History'!$D$5:$GG$1380,$K2562,AH!$U$10+1))),NA()),NA())</f>
        <v/>
      </c>
      <c r="G2562" s="34">
        <f>IFERROR(IF(ISNUMBER($A2562),IF(AND(AH!$U$12=1,2557+1=AH!$U$6),IF(AH!$U$4=0,"unavailable",INDEX('Market Data'!$AK$5:$AK$66,AH!$U$4)),IF(AH!$U$5=1,INDEX('Live History'!$D$5:$D$3004,MATCH($A2562,'Live History'!$D$5:$D$3004,1)),INDEX('AH History'!$D$5:$GG$1380,$K2562,AH!$U$10+2))),NA()),NA())</f>
        <v/>
      </c>
      <c r="H2562" s="266">
        <f>IFERROR(IF(ISNUMBER($A2562),IF(AND(AH!$U$12=1,2557+1=AH!$U$6),IF(AH!$U$4=0,"unavailable",INDEX('Market Data'!$AP$5:$AP$66,AH!$U$4)),IF(AH!$U$5=1,INDEX('Live History'!$H$5:$H$3004,MATCH($A2562,'Live History'!$G$5:$G$3004,1)),INDEX('AH History'!$B$5:$B$1380,$K2562))),NA()),NA())</f>
        <v/>
      </c>
      <c r="I2562" s="34">
        <f>IFERROR(IF(ISNUMBER($A2562),IF(AND(AH!$U$12=1,2557+1=AH!$U$6),TODAY(),IF(AH!$U$5=1,INDEX('Live History'!$G$5:$G$3004,MATCH($A2562,'Live History'!$G$5:$G$3004,1)),INDEX('AH History'!$C$5:$C$1380,$K2562))),NA()),NA())</f>
        <v/>
      </c>
      <c r="J2562" s="32">
        <f>IFERROR(IF(AND($F2562&gt;0,$H2562&gt;0,$A2562-$G2562&lt;=10,$A2562-$I2562&lt;=5,$G2562&gt;0,$I2562&gt;0),$F2562*$H2562,NA()),NA())</f>
        <v/>
      </c>
      <c r="K2562" s="15">
        <f>IF($A2562="","",IF(AH!$U$5=1,IFERROR(MATCH($A2562,'Live History'!$A$5:$A$3004,0),0),AH!$U$7+2557))</f>
        <v/>
      </c>
      <c r="L2562" s="15">
        <f>IF(ISNUMBER(A2562),TEXT(A2562,"dd-mmm-yy"),"")</f>
        <v/>
      </c>
    </row>
    <row r="2563">
      <c r="A2563" s="14">
        <f>IF(OR(AH!$U$4=0,2558+1&gt;AH!$U$6,AND(AH!$M$5="Bloomberg",AH!$U$5=0)),"",IFERROR(IF(AND(AH!$U$12=1,2558+1=AH!$U$6),TODAY(),IF(AH!$U$5=1,INDEX('Live History'!$A$5:$A$3004,AH!$U$7+2558),INDEX('AH History'!$A$5:$A$1380,AH!$U$7+2558))),""))</f>
        <v/>
      </c>
      <c r="B2563" s="33">
        <f>IFERROR(IF(AH!$U$11=1,NA(),$J2563/$E2563-1),NA())</f>
        <v/>
      </c>
      <c r="C2563" s="269">
        <f>IFERROR(100*$E2563/$E$5,NA())</f>
        <v/>
      </c>
      <c r="D2563" s="269">
        <f>IFERROR(100*$J2563/$J$5,NA())</f>
        <v/>
      </c>
      <c r="E2563" s="32">
        <f>IFERROR(IF(AND(ISNUMBER($A2563),N(IF(AND(AH!$U$12=1,2558+1=AH!$U$6),IF(AH!$U$4=0,"unavailable",INDEX('Market Data'!$AN$5:$AN$66,AH!$U$4)),IF(AH!$U$5=1,INDEX('Live History'!$B$5:$B$3004,$K2563),INDEX('AH History'!$D$5:$GG$1380,$K2563,AH!$U$10))))&gt;0),IF(AND(AH!$U$12=1,2558+1=AH!$U$6),IF(AH!$U$4=0,"unavailable",INDEX('Market Data'!$AN$5:$AN$66,AH!$U$4)),IF(AH!$U$5=1,INDEX('Live History'!$B$5:$B$3004,$K2563),INDEX('AH History'!$D$5:$GG$1380,$K2563,AH!$U$10))),NA()),NA())</f>
        <v/>
      </c>
      <c r="F2563" s="32">
        <f>IFERROR(IF(ISNUMBER($A2563),IF(AND(AH!$U$12=1,2558+1=AH!$U$6),IF(AH!$U$4=0,"unavailable",INDEX('Market Data'!$AO$5:$AO$66,AH!$U$4)),IF(AH!$U$5=1,INDEX('Live History'!$E$5:$E$3004,MATCH($A2563,'Live History'!$D$5:$D$3004,1)),INDEX('AH History'!$D$5:$GG$1380,$K2563,AH!$U$10+1))),NA()),NA())</f>
        <v/>
      </c>
      <c r="G2563" s="34">
        <f>IFERROR(IF(ISNUMBER($A2563),IF(AND(AH!$U$12=1,2558+1=AH!$U$6),IF(AH!$U$4=0,"unavailable",INDEX('Market Data'!$AK$5:$AK$66,AH!$U$4)),IF(AH!$U$5=1,INDEX('Live History'!$D$5:$D$3004,MATCH($A2563,'Live History'!$D$5:$D$3004,1)),INDEX('AH History'!$D$5:$GG$1380,$K2563,AH!$U$10+2))),NA()),NA())</f>
        <v/>
      </c>
      <c r="H2563" s="266">
        <f>IFERROR(IF(ISNUMBER($A2563),IF(AND(AH!$U$12=1,2558+1=AH!$U$6),IF(AH!$U$4=0,"unavailable",INDEX('Market Data'!$AP$5:$AP$66,AH!$U$4)),IF(AH!$U$5=1,INDEX('Live History'!$H$5:$H$3004,MATCH($A2563,'Live History'!$G$5:$G$3004,1)),INDEX('AH History'!$B$5:$B$1380,$K2563))),NA()),NA())</f>
        <v/>
      </c>
      <c r="I2563" s="34">
        <f>IFERROR(IF(ISNUMBER($A2563),IF(AND(AH!$U$12=1,2558+1=AH!$U$6),TODAY(),IF(AH!$U$5=1,INDEX('Live History'!$G$5:$G$3004,MATCH($A2563,'Live History'!$G$5:$G$3004,1)),INDEX('AH History'!$C$5:$C$1380,$K2563))),NA()),NA())</f>
        <v/>
      </c>
      <c r="J2563" s="32">
        <f>IFERROR(IF(AND($F2563&gt;0,$H2563&gt;0,$A2563-$G2563&lt;=10,$A2563-$I2563&lt;=5,$G2563&gt;0,$I2563&gt;0),$F2563*$H2563,NA()),NA())</f>
        <v/>
      </c>
      <c r="K2563" s="15">
        <f>IF($A2563="","",IF(AH!$U$5=1,IFERROR(MATCH($A2563,'Live History'!$A$5:$A$3004,0),0),AH!$U$7+2558))</f>
        <v/>
      </c>
      <c r="L2563" s="15">
        <f>IF(ISNUMBER(A2563),TEXT(A2563,"dd-mmm-yy"),"")</f>
        <v/>
      </c>
    </row>
    <row r="2564">
      <c r="A2564" s="14">
        <f>IF(OR(AH!$U$4=0,2559+1&gt;AH!$U$6,AND(AH!$M$5="Bloomberg",AH!$U$5=0)),"",IFERROR(IF(AND(AH!$U$12=1,2559+1=AH!$U$6),TODAY(),IF(AH!$U$5=1,INDEX('Live History'!$A$5:$A$3004,AH!$U$7+2559),INDEX('AH History'!$A$5:$A$1380,AH!$U$7+2559))),""))</f>
        <v/>
      </c>
      <c r="B2564" s="33">
        <f>IFERROR(IF(AH!$U$11=1,NA(),$J2564/$E2564-1),NA())</f>
        <v/>
      </c>
      <c r="C2564" s="269">
        <f>IFERROR(100*$E2564/$E$5,NA())</f>
        <v/>
      </c>
      <c r="D2564" s="269">
        <f>IFERROR(100*$J2564/$J$5,NA())</f>
        <v/>
      </c>
      <c r="E2564" s="32">
        <f>IFERROR(IF(AND(ISNUMBER($A2564),N(IF(AND(AH!$U$12=1,2559+1=AH!$U$6),IF(AH!$U$4=0,"unavailable",INDEX('Market Data'!$AN$5:$AN$66,AH!$U$4)),IF(AH!$U$5=1,INDEX('Live History'!$B$5:$B$3004,$K2564),INDEX('AH History'!$D$5:$GG$1380,$K2564,AH!$U$10))))&gt;0),IF(AND(AH!$U$12=1,2559+1=AH!$U$6),IF(AH!$U$4=0,"unavailable",INDEX('Market Data'!$AN$5:$AN$66,AH!$U$4)),IF(AH!$U$5=1,INDEX('Live History'!$B$5:$B$3004,$K2564),INDEX('AH History'!$D$5:$GG$1380,$K2564,AH!$U$10))),NA()),NA())</f>
        <v/>
      </c>
      <c r="F2564" s="32">
        <f>IFERROR(IF(ISNUMBER($A2564),IF(AND(AH!$U$12=1,2559+1=AH!$U$6),IF(AH!$U$4=0,"unavailable",INDEX('Market Data'!$AO$5:$AO$66,AH!$U$4)),IF(AH!$U$5=1,INDEX('Live History'!$E$5:$E$3004,MATCH($A2564,'Live History'!$D$5:$D$3004,1)),INDEX('AH History'!$D$5:$GG$1380,$K2564,AH!$U$10+1))),NA()),NA())</f>
        <v/>
      </c>
      <c r="G2564" s="34">
        <f>IFERROR(IF(ISNUMBER($A2564),IF(AND(AH!$U$12=1,2559+1=AH!$U$6),IF(AH!$U$4=0,"unavailable",INDEX('Market Data'!$AK$5:$AK$66,AH!$U$4)),IF(AH!$U$5=1,INDEX('Live History'!$D$5:$D$3004,MATCH($A2564,'Live History'!$D$5:$D$3004,1)),INDEX('AH History'!$D$5:$GG$1380,$K2564,AH!$U$10+2))),NA()),NA())</f>
        <v/>
      </c>
      <c r="H2564" s="266">
        <f>IFERROR(IF(ISNUMBER($A2564),IF(AND(AH!$U$12=1,2559+1=AH!$U$6),IF(AH!$U$4=0,"unavailable",INDEX('Market Data'!$AP$5:$AP$66,AH!$U$4)),IF(AH!$U$5=1,INDEX('Live History'!$H$5:$H$3004,MATCH($A2564,'Live History'!$G$5:$G$3004,1)),INDEX('AH History'!$B$5:$B$1380,$K2564))),NA()),NA())</f>
        <v/>
      </c>
      <c r="I2564" s="34">
        <f>IFERROR(IF(ISNUMBER($A2564),IF(AND(AH!$U$12=1,2559+1=AH!$U$6),TODAY(),IF(AH!$U$5=1,INDEX('Live History'!$G$5:$G$3004,MATCH($A2564,'Live History'!$G$5:$G$3004,1)),INDEX('AH History'!$C$5:$C$1380,$K2564))),NA()),NA())</f>
        <v/>
      </c>
      <c r="J2564" s="32">
        <f>IFERROR(IF(AND($F2564&gt;0,$H2564&gt;0,$A2564-$G2564&lt;=10,$A2564-$I2564&lt;=5,$G2564&gt;0,$I2564&gt;0),$F2564*$H2564,NA()),NA())</f>
        <v/>
      </c>
      <c r="K2564" s="15">
        <f>IF($A2564="","",IF(AH!$U$5=1,IFERROR(MATCH($A2564,'Live History'!$A$5:$A$3004,0),0),AH!$U$7+2559))</f>
        <v/>
      </c>
      <c r="L2564" s="15">
        <f>IF(ISNUMBER(A2564),TEXT(A2564,"dd-mmm-yy"),"")</f>
        <v/>
      </c>
    </row>
    <row r="2565">
      <c r="A2565" s="14">
        <f>IF(OR(AH!$U$4=0,2560+1&gt;AH!$U$6,AND(AH!$M$5="Bloomberg",AH!$U$5=0)),"",IFERROR(IF(AND(AH!$U$12=1,2560+1=AH!$U$6),TODAY(),IF(AH!$U$5=1,INDEX('Live History'!$A$5:$A$3004,AH!$U$7+2560),INDEX('AH History'!$A$5:$A$1380,AH!$U$7+2560))),""))</f>
        <v/>
      </c>
      <c r="B2565" s="33">
        <f>IFERROR(IF(AH!$U$11=1,NA(),$J2565/$E2565-1),NA())</f>
        <v/>
      </c>
      <c r="C2565" s="269">
        <f>IFERROR(100*$E2565/$E$5,NA())</f>
        <v/>
      </c>
      <c r="D2565" s="269">
        <f>IFERROR(100*$J2565/$J$5,NA())</f>
        <v/>
      </c>
      <c r="E2565" s="32">
        <f>IFERROR(IF(AND(ISNUMBER($A2565),N(IF(AND(AH!$U$12=1,2560+1=AH!$U$6),IF(AH!$U$4=0,"unavailable",INDEX('Market Data'!$AN$5:$AN$66,AH!$U$4)),IF(AH!$U$5=1,INDEX('Live History'!$B$5:$B$3004,$K2565),INDEX('AH History'!$D$5:$GG$1380,$K2565,AH!$U$10))))&gt;0),IF(AND(AH!$U$12=1,2560+1=AH!$U$6),IF(AH!$U$4=0,"unavailable",INDEX('Market Data'!$AN$5:$AN$66,AH!$U$4)),IF(AH!$U$5=1,INDEX('Live History'!$B$5:$B$3004,$K2565),INDEX('AH History'!$D$5:$GG$1380,$K2565,AH!$U$10))),NA()),NA())</f>
        <v/>
      </c>
      <c r="F2565" s="32">
        <f>IFERROR(IF(ISNUMBER($A2565),IF(AND(AH!$U$12=1,2560+1=AH!$U$6),IF(AH!$U$4=0,"unavailable",INDEX('Market Data'!$AO$5:$AO$66,AH!$U$4)),IF(AH!$U$5=1,INDEX('Live History'!$E$5:$E$3004,MATCH($A2565,'Live History'!$D$5:$D$3004,1)),INDEX('AH History'!$D$5:$GG$1380,$K2565,AH!$U$10+1))),NA()),NA())</f>
        <v/>
      </c>
      <c r="G2565" s="34">
        <f>IFERROR(IF(ISNUMBER($A2565),IF(AND(AH!$U$12=1,2560+1=AH!$U$6),IF(AH!$U$4=0,"unavailable",INDEX('Market Data'!$AK$5:$AK$66,AH!$U$4)),IF(AH!$U$5=1,INDEX('Live History'!$D$5:$D$3004,MATCH($A2565,'Live History'!$D$5:$D$3004,1)),INDEX('AH History'!$D$5:$GG$1380,$K2565,AH!$U$10+2))),NA()),NA())</f>
        <v/>
      </c>
      <c r="H2565" s="266">
        <f>IFERROR(IF(ISNUMBER($A2565),IF(AND(AH!$U$12=1,2560+1=AH!$U$6),IF(AH!$U$4=0,"unavailable",INDEX('Market Data'!$AP$5:$AP$66,AH!$U$4)),IF(AH!$U$5=1,INDEX('Live History'!$H$5:$H$3004,MATCH($A2565,'Live History'!$G$5:$G$3004,1)),INDEX('AH History'!$B$5:$B$1380,$K2565))),NA()),NA())</f>
        <v/>
      </c>
      <c r="I2565" s="34">
        <f>IFERROR(IF(ISNUMBER($A2565),IF(AND(AH!$U$12=1,2560+1=AH!$U$6),TODAY(),IF(AH!$U$5=1,INDEX('Live History'!$G$5:$G$3004,MATCH($A2565,'Live History'!$G$5:$G$3004,1)),INDEX('AH History'!$C$5:$C$1380,$K2565))),NA()),NA())</f>
        <v/>
      </c>
      <c r="J2565" s="32">
        <f>IFERROR(IF(AND($F2565&gt;0,$H2565&gt;0,$A2565-$G2565&lt;=10,$A2565-$I2565&lt;=5,$G2565&gt;0,$I2565&gt;0),$F2565*$H2565,NA()),NA())</f>
        <v/>
      </c>
      <c r="K2565" s="15">
        <f>IF($A2565="","",IF(AH!$U$5=1,IFERROR(MATCH($A2565,'Live History'!$A$5:$A$3004,0),0),AH!$U$7+2560))</f>
        <v/>
      </c>
      <c r="L2565" s="15">
        <f>IF(ISNUMBER(A2565),TEXT(A2565,"dd-mmm-yy"),"")</f>
        <v/>
      </c>
    </row>
    <row r="2566">
      <c r="A2566" s="14">
        <f>IF(OR(AH!$U$4=0,2561+1&gt;AH!$U$6,AND(AH!$M$5="Bloomberg",AH!$U$5=0)),"",IFERROR(IF(AND(AH!$U$12=1,2561+1=AH!$U$6),TODAY(),IF(AH!$U$5=1,INDEX('Live History'!$A$5:$A$3004,AH!$U$7+2561),INDEX('AH History'!$A$5:$A$1380,AH!$U$7+2561))),""))</f>
        <v/>
      </c>
      <c r="B2566" s="33">
        <f>IFERROR(IF(AH!$U$11=1,NA(),$J2566/$E2566-1),NA())</f>
        <v/>
      </c>
      <c r="C2566" s="269">
        <f>IFERROR(100*$E2566/$E$5,NA())</f>
        <v/>
      </c>
      <c r="D2566" s="269">
        <f>IFERROR(100*$J2566/$J$5,NA())</f>
        <v/>
      </c>
      <c r="E2566" s="32">
        <f>IFERROR(IF(AND(ISNUMBER($A2566),N(IF(AND(AH!$U$12=1,2561+1=AH!$U$6),IF(AH!$U$4=0,"unavailable",INDEX('Market Data'!$AN$5:$AN$66,AH!$U$4)),IF(AH!$U$5=1,INDEX('Live History'!$B$5:$B$3004,$K2566),INDEX('AH History'!$D$5:$GG$1380,$K2566,AH!$U$10))))&gt;0),IF(AND(AH!$U$12=1,2561+1=AH!$U$6),IF(AH!$U$4=0,"unavailable",INDEX('Market Data'!$AN$5:$AN$66,AH!$U$4)),IF(AH!$U$5=1,INDEX('Live History'!$B$5:$B$3004,$K2566),INDEX('AH History'!$D$5:$GG$1380,$K2566,AH!$U$10))),NA()),NA())</f>
        <v/>
      </c>
      <c r="F2566" s="32">
        <f>IFERROR(IF(ISNUMBER($A2566),IF(AND(AH!$U$12=1,2561+1=AH!$U$6),IF(AH!$U$4=0,"unavailable",INDEX('Market Data'!$AO$5:$AO$66,AH!$U$4)),IF(AH!$U$5=1,INDEX('Live History'!$E$5:$E$3004,MATCH($A2566,'Live History'!$D$5:$D$3004,1)),INDEX('AH History'!$D$5:$GG$1380,$K2566,AH!$U$10+1))),NA()),NA())</f>
        <v/>
      </c>
      <c r="G2566" s="34">
        <f>IFERROR(IF(ISNUMBER($A2566),IF(AND(AH!$U$12=1,2561+1=AH!$U$6),IF(AH!$U$4=0,"unavailable",INDEX('Market Data'!$AK$5:$AK$66,AH!$U$4)),IF(AH!$U$5=1,INDEX('Live History'!$D$5:$D$3004,MATCH($A2566,'Live History'!$D$5:$D$3004,1)),INDEX('AH History'!$D$5:$GG$1380,$K2566,AH!$U$10+2))),NA()),NA())</f>
        <v/>
      </c>
      <c r="H2566" s="266">
        <f>IFERROR(IF(ISNUMBER($A2566),IF(AND(AH!$U$12=1,2561+1=AH!$U$6),IF(AH!$U$4=0,"unavailable",INDEX('Market Data'!$AP$5:$AP$66,AH!$U$4)),IF(AH!$U$5=1,INDEX('Live History'!$H$5:$H$3004,MATCH($A2566,'Live History'!$G$5:$G$3004,1)),INDEX('AH History'!$B$5:$B$1380,$K2566))),NA()),NA())</f>
        <v/>
      </c>
      <c r="I2566" s="34">
        <f>IFERROR(IF(ISNUMBER($A2566),IF(AND(AH!$U$12=1,2561+1=AH!$U$6),TODAY(),IF(AH!$U$5=1,INDEX('Live History'!$G$5:$G$3004,MATCH($A2566,'Live History'!$G$5:$G$3004,1)),INDEX('AH History'!$C$5:$C$1380,$K2566))),NA()),NA())</f>
        <v/>
      </c>
      <c r="J2566" s="32">
        <f>IFERROR(IF(AND($F2566&gt;0,$H2566&gt;0,$A2566-$G2566&lt;=10,$A2566-$I2566&lt;=5,$G2566&gt;0,$I2566&gt;0),$F2566*$H2566,NA()),NA())</f>
        <v/>
      </c>
      <c r="K2566" s="15">
        <f>IF($A2566="","",IF(AH!$U$5=1,IFERROR(MATCH($A2566,'Live History'!$A$5:$A$3004,0),0),AH!$U$7+2561))</f>
        <v/>
      </c>
      <c r="L2566" s="15">
        <f>IF(ISNUMBER(A2566),TEXT(A2566,"dd-mmm-yy"),"")</f>
        <v/>
      </c>
    </row>
    <row r="2567">
      <c r="A2567" s="14">
        <f>IF(OR(AH!$U$4=0,2562+1&gt;AH!$U$6,AND(AH!$M$5="Bloomberg",AH!$U$5=0)),"",IFERROR(IF(AND(AH!$U$12=1,2562+1=AH!$U$6),TODAY(),IF(AH!$U$5=1,INDEX('Live History'!$A$5:$A$3004,AH!$U$7+2562),INDEX('AH History'!$A$5:$A$1380,AH!$U$7+2562))),""))</f>
        <v/>
      </c>
      <c r="B2567" s="33">
        <f>IFERROR(IF(AH!$U$11=1,NA(),$J2567/$E2567-1),NA())</f>
        <v/>
      </c>
      <c r="C2567" s="269">
        <f>IFERROR(100*$E2567/$E$5,NA())</f>
        <v/>
      </c>
      <c r="D2567" s="269">
        <f>IFERROR(100*$J2567/$J$5,NA())</f>
        <v/>
      </c>
      <c r="E2567" s="32">
        <f>IFERROR(IF(AND(ISNUMBER($A2567),N(IF(AND(AH!$U$12=1,2562+1=AH!$U$6),IF(AH!$U$4=0,"unavailable",INDEX('Market Data'!$AN$5:$AN$66,AH!$U$4)),IF(AH!$U$5=1,INDEX('Live History'!$B$5:$B$3004,$K2567),INDEX('AH History'!$D$5:$GG$1380,$K2567,AH!$U$10))))&gt;0),IF(AND(AH!$U$12=1,2562+1=AH!$U$6),IF(AH!$U$4=0,"unavailable",INDEX('Market Data'!$AN$5:$AN$66,AH!$U$4)),IF(AH!$U$5=1,INDEX('Live History'!$B$5:$B$3004,$K2567),INDEX('AH History'!$D$5:$GG$1380,$K2567,AH!$U$10))),NA()),NA())</f>
        <v/>
      </c>
      <c r="F2567" s="32">
        <f>IFERROR(IF(ISNUMBER($A2567),IF(AND(AH!$U$12=1,2562+1=AH!$U$6),IF(AH!$U$4=0,"unavailable",INDEX('Market Data'!$AO$5:$AO$66,AH!$U$4)),IF(AH!$U$5=1,INDEX('Live History'!$E$5:$E$3004,MATCH($A2567,'Live History'!$D$5:$D$3004,1)),INDEX('AH History'!$D$5:$GG$1380,$K2567,AH!$U$10+1))),NA()),NA())</f>
        <v/>
      </c>
      <c r="G2567" s="34">
        <f>IFERROR(IF(ISNUMBER($A2567),IF(AND(AH!$U$12=1,2562+1=AH!$U$6),IF(AH!$U$4=0,"unavailable",INDEX('Market Data'!$AK$5:$AK$66,AH!$U$4)),IF(AH!$U$5=1,INDEX('Live History'!$D$5:$D$3004,MATCH($A2567,'Live History'!$D$5:$D$3004,1)),INDEX('AH History'!$D$5:$GG$1380,$K2567,AH!$U$10+2))),NA()),NA())</f>
        <v/>
      </c>
      <c r="H2567" s="266">
        <f>IFERROR(IF(ISNUMBER($A2567),IF(AND(AH!$U$12=1,2562+1=AH!$U$6),IF(AH!$U$4=0,"unavailable",INDEX('Market Data'!$AP$5:$AP$66,AH!$U$4)),IF(AH!$U$5=1,INDEX('Live History'!$H$5:$H$3004,MATCH($A2567,'Live History'!$G$5:$G$3004,1)),INDEX('AH History'!$B$5:$B$1380,$K2567))),NA()),NA())</f>
        <v/>
      </c>
      <c r="I2567" s="34">
        <f>IFERROR(IF(ISNUMBER($A2567),IF(AND(AH!$U$12=1,2562+1=AH!$U$6),TODAY(),IF(AH!$U$5=1,INDEX('Live History'!$G$5:$G$3004,MATCH($A2567,'Live History'!$G$5:$G$3004,1)),INDEX('AH History'!$C$5:$C$1380,$K2567))),NA()),NA())</f>
        <v/>
      </c>
      <c r="J2567" s="32">
        <f>IFERROR(IF(AND($F2567&gt;0,$H2567&gt;0,$A2567-$G2567&lt;=10,$A2567-$I2567&lt;=5,$G2567&gt;0,$I2567&gt;0),$F2567*$H2567,NA()),NA())</f>
        <v/>
      </c>
      <c r="K2567" s="15">
        <f>IF($A2567="","",IF(AH!$U$5=1,IFERROR(MATCH($A2567,'Live History'!$A$5:$A$3004,0),0),AH!$U$7+2562))</f>
        <v/>
      </c>
      <c r="L2567" s="15">
        <f>IF(ISNUMBER(A2567),TEXT(A2567,"dd-mmm-yy"),"")</f>
        <v/>
      </c>
    </row>
    <row r="2568">
      <c r="A2568" s="14">
        <f>IF(OR(AH!$U$4=0,2563+1&gt;AH!$U$6,AND(AH!$M$5="Bloomberg",AH!$U$5=0)),"",IFERROR(IF(AND(AH!$U$12=1,2563+1=AH!$U$6),TODAY(),IF(AH!$U$5=1,INDEX('Live History'!$A$5:$A$3004,AH!$U$7+2563),INDEX('AH History'!$A$5:$A$1380,AH!$U$7+2563))),""))</f>
        <v/>
      </c>
      <c r="B2568" s="33">
        <f>IFERROR(IF(AH!$U$11=1,NA(),$J2568/$E2568-1),NA())</f>
        <v/>
      </c>
      <c r="C2568" s="269">
        <f>IFERROR(100*$E2568/$E$5,NA())</f>
        <v/>
      </c>
      <c r="D2568" s="269">
        <f>IFERROR(100*$J2568/$J$5,NA())</f>
        <v/>
      </c>
      <c r="E2568" s="32">
        <f>IFERROR(IF(AND(ISNUMBER($A2568),N(IF(AND(AH!$U$12=1,2563+1=AH!$U$6),IF(AH!$U$4=0,"unavailable",INDEX('Market Data'!$AN$5:$AN$66,AH!$U$4)),IF(AH!$U$5=1,INDEX('Live History'!$B$5:$B$3004,$K2568),INDEX('AH History'!$D$5:$GG$1380,$K2568,AH!$U$10))))&gt;0),IF(AND(AH!$U$12=1,2563+1=AH!$U$6),IF(AH!$U$4=0,"unavailable",INDEX('Market Data'!$AN$5:$AN$66,AH!$U$4)),IF(AH!$U$5=1,INDEX('Live History'!$B$5:$B$3004,$K2568),INDEX('AH History'!$D$5:$GG$1380,$K2568,AH!$U$10))),NA()),NA())</f>
        <v/>
      </c>
      <c r="F2568" s="32">
        <f>IFERROR(IF(ISNUMBER($A2568),IF(AND(AH!$U$12=1,2563+1=AH!$U$6),IF(AH!$U$4=0,"unavailable",INDEX('Market Data'!$AO$5:$AO$66,AH!$U$4)),IF(AH!$U$5=1,INDEX('Live History'!$E$5:$E$3004,MATCH($A2568,'Live History'!$D$5:$D$3004,1)),INDEX('AH History'!$D$5:$GG$1380,$K2568,AH!$U$10+1))),NA()),NA())</f>
        <v/>
      </c>
      <c r="G2568" s="34">
        <f>IFERROR(IF(ISNUMBER($A2568),IF(AND(AH!$U$12=1,2563+1=AH!$U$6),IF(AH!$U$4=0,"unavailable",INDEX('Market Data'!$AK$5:$AK$66,AH!$U$4)),IF(AH!$U$5=1,INDEX('Live History'!$D$5:$D$3004,MATCH($A2568,'Live History'!$D$5:$D$3004,1)),INDEX('AH History'!$D$5:$GG$1380,$K2568,AH!$U$10+2))),NA()),NA())</f>
        <v/>
      </c>
      <c r="H2568" s="266">
        <f>IFERROR(IF(ISNUMBER($A2568),IF(AND(AH!$U$12=1,2563+1=AH!$U$6),IF(AH!$U$4=0,"unavailable",INDEX('Market Data'!$AP$5:$AP$66,AH!$U$4)),IF(AH!$U$5=1,INDEX('Live History'!$H$5:$H$3004,MATCH($A2568,'Live History'!$G$5:$G$3004,1)),INDEX('AH History'!$B$5:$B$1380,$K2568))),NA()),NA())</f>
        <v/>
      </c>
      <c r="I2568" s="34">
        <f>IFERROR(IF(ISNUMBER($A2568),IF(AND(AH!$U$12=1,2563+1=AH!$U$6),TODAY(),IF(AH!$U$5=1,INDEX('Live History'!$G$5:$G$3004,MATCH($A2568,'Live History'!$G$5:$G$3004,1)),INDEX('AH History'!$C$5:$C$1380,$K2568))),NA()),NA())</f>
        <v/>
      </c>
      <c r="J2568" s="32">
        <f>IFERROR(IF(AND($F2568&gt;0,$H2568&gt;0,$A2568-$G2568&lt;=10,$A2568-$I2568&lt;=5,$G2568&gt;0,$I2568&gt;0),$F2568*$H2568,NA()),NA())</f>
        <v/>
      </c>
      <c r="K2568" s="15">
        <f>IF($A2568="","",IF(AH!$U$5=1,IFERROR(MATCH($A2568,'Live History'!$A$5:$A$3004,0),0),AH!$U$7+2563))</f>
        <v/>
      </c>
      <c r="L2568" s="15">
        <f>IF(ISNUMBER(A2568),TEXT(A2568,"dd-mmm-yy"),"")</f>
        <v/>
      </c>
    </row>
    <row r="2569">
      <c r="A2569" s="14">
        <f>IF(OR(AH!$U$4=0,2564+1&gt;AH!$U$6,AND(AH!$M$5="Bloomberg",AH!$U$5=0)),"",IFERROR(IF(AND(AH!$U$12=1,2564+1=AH!$U$6),TODAY(),IF(AH!$U$5=1,INDEX('Live History'!$A$5:$A$3004,AH!$U$7+2564),INDEX('AH History'!$A$5:$A$1380,AH!$U$7+2564))),""))</f>
        <v/>
      </c>
      <c r="B2569" s="33">
        <f>IFERROR(IF(AH!$U$11=1,NA(),$J2569/$E2569-1),NA())</f>
        <v/>
      </c>
      <c r="C2569" s="269">
        <f>IFERROR(100*$E2569/$E$5,NA())</f>
        <v/>
      </c>
      <c r="D2569" s="269">
        <f>IFERROR(100*$J2569/$J$5,NA())</f>
        <v/>
      </c>
      <c r="E2569" s="32">
        <f>IFERROR(IF(AND(ISNUMBER($A2569),N(IF(AND(AH!$U$12=1,2564+1=AH!$U$6),IF(AH!$U$4=0,"unavailable",INDEX('Market Data'!$AN$5:$AN$66,AH!$U$4)),IF(AH!$U$5=1,INDEX('Live History'!$B$5:$B$3004,$K2569),INDEX('AH History'!$D$5:$GG$1380,$K2569,AH!$U$10))))&gt;0),IF(AND(AH!$U$12=1,2564+1=AH!$U$6),IF(AH!$U$4=0,"unavailable",INDEX('Market Data'!$AN$5:$AN$66,AH!$U$4)),IF(AH!$U$5=1,INDEX('Live History'!$B$5:$B$3004,$K2569),INDEX('AH History'!$D$5:$GG$1380,$K2569,AH!$U$10))),NA()),NA())</f>
        <v/>
      </c>
      <c r="F2569" s="32">
        <f>IFERROR(IF(ISNUMBER($A2569),IF(AND(AH!$U$12=1,2564+1=AH!$U$6),IF(AH!$U$4=0,"unavailable",INDEX('Market Data'!$AO$5:$AO$66,AH!$U$4)),IF(AH!$U$5=1,INDEX('Live History'!$E$5:$E$3004,MATCH($A2569,'Live History'!$D$5:$D$3004,1)),INDEX('AH History'!$D$5:$GG$1380,$K2569,AH!$U$10+1))),NA()),NA())</f>
        <v/>
      </c>
      <c r="G2569" s="34">
        <f>IFERROR(IF(ISNUMBER($A2569),IF(AND(AH!$U$12=1,2564+1=AH!$U$6),IF(AH!$U$4=0,"unavailable",INDEX('Market Data'!$AK$5:$AK$66,AH!$U$4)),IF(AH!$U$5=1,INDEX('Live History'!$D$5:$D$3004,MATCH($A2569,'Live History'!$D$5:$D$3004,1)),INDEX('AH History'!$D$5:$GG$1380,$K2569,AH!$U$10+2))),NA()),NA())</f>
        <v/>
      </c>
      <c r="H2569" s="266">
        <f>IFERROR(IF(ISNUMBER($A2569),IF(AND(AH!$U$12=1,2564+1=AH!$U$6),IF(AH!$U$4=0,"unavailable",INDEX('Market Data'!$AP$5:$AP$66,AH!$U$4)),IF(AH!$U$5=1,INDEX('Live History'!$H$5:$H$3004,MATCH($A2569,'Live History'!$G$5:$G$3004,1)),INDEX('AH History'!$B$5:$B$1380,$K2569))),NA()),NA())</f>
        <v/>
      </c>
      <c r="I2569" s="34">
        <f>IFERROR(IF(ISNUMBER($A2569),IF(AND(AH!$U$12=1,2564+1=AH!$U$6),TODAY(),IF(AH!$U$5=1,INDEX('Live History'!$G$5:$G$3004,MATCH($A2569,'Live History'!$G$5:$G$3004,1)),INDEX('AH History'!$C$5:$C$1380,$K2569))),NA()),NA())</f>
        <v/>
      </c>
      <c r="J2569" s="32">
        <f>IFERROR(IF(AND($F2569&gt;0,$H2569&gt;0,$A2569-$G2569&lt;=10,$A2569-$I2569&lt;=5,$G2569&gt;0,$I2569&gt;0),$F2569*$H2569,NA()),NA())</f>
        <v/>
      </c>
      <c r="K2569" s="15">
        <f>IF($A2569="","",IF(AH!$U$5=1,IFERROR(MATCH($A2569,'Live History'!$A$5:$A$3004,0),0),AH!$U$7+2564))</f>
        <v/>
      </c>
      <c r="L2569" s="15">
        <f>IF(ISNUMBER(A2569),TEXT(A2569,"dd-mmm-yy"),"")</f>
        <v/>
      </c>
    </row>
    <row r="2570">
      <c r="A2570" s="14">
        <f>IF(OR(AH!$U$4=0,2565+1&gt;AH!$U$6,AND(AH!$M$5="Bloomberg",AH!$U$5=0)),"",IFERROR(IF(AND(AH!$U$12=1,2565+1=AH!$U$6),TODAY(),IF(AH!$U$5=1,INDEX('Live History'!$A$5:$A$3004,AH!$U$7+2565),INDEX('AH History'!$A$5:$A$1380,AH!$U$7+2565))),""))</f>
        <v/>
      </c>
      <c r="B2570" s="33">
        <f>IFERROR(IF(AH!$U$11=1,NA(),$J2570/$E2570-1),NA())</f>
        <v/>
      </c>
      <c r="C2570" s="269">
        <f>IFERROR(100*$E2570/$E$5,NA())</f>
        <v/>
      </c>
      <c r="D2570" s="269">
        <f>IFERROR(100*$J2570/$J$5,NA())</f>
        <v/>
      </c>
      <c r="E2570" s="32">
        <f>IFERROR(IF(AND(ISNUMBER($A2570),N(IF(AND(AH!$U$12=1,2565+1=AH!$U$6),IF(AH!$U$4=0,"unavailable",INDEX('Market Data'!$AN$5:$AN$66,AH!$U$4)),IF(AH!$U$5=1,INDEX('Live History'!$B$5:$B$3004,$K2570),INDEX('AH History'!$D$5:$GG$1380,$K2570,AH!$U$10))))&gt;0),IF(AND(AH!$U$12=1,2565+1=AH!$U$6),IF(AH!$U$4=0,"unavailable",INDEX('Market Data'!$AN$5:$AN$66,AH!$U$4)),IF(AH!$U$5=1,INDEX('Live History'!$B$5:$B$3004,$K2570),INDEX('AH History'!$D$5:$GG$1380,$K2570,AH!$U$10))),NA()),NA())</f>
        <v/>
      </c>
      <c r="F2570" s="32">
        <f>IFERROR(IF(ISNUMBER($A2570),IF(AND(AH!$U$12=1,2565+1=AH!$U$6),IF(AH!$U$4=0,"unavailable",INDEX('Market Data'!$AO$5:$AO$66,AH!$U$4)),IF(AH!$U$5=1,INDEX('Live History'!$E$5:$E$3004,MATCH($A2570,'Live History'!$D$5:$D$3004,1)),INDEX('AH History'!$D$5:$GG$1380,$K2570,AH!$U$10+1))),NA()),NA())</f>
        <v/>
      </c>
      <c r="G2570" s="34">
        <f>IFERROR(IF(ISNUMBER($A2570),IF(AND(AH!$U$12=1,2565+1=AH!$U$6),IF(AH!$U$4=0,"unavailable",INDEX('Market Data'!$AK$5:$AK$66,AH!$U$4)),IF(AH!$U$5=1,INDEX('Live History'!$D$5:$D$3004,MATCH($A2570,'Live History'!$D$5:$D$3004,1)),INDEX('AH History'!$D$5:$GG$1380,$K2570,AH!$U$10+2))),NA()),NA())</f>
        <v/>
      </c>
      <c r="H2570" s="266">
        <f>IFERROR(IF(ISNUMBER($A2570),IF(AND(AH!$U$12=1,2565+1=AH!$U$6),IF(AH!$U$4=0,"unavailable",INDEX('Market Data'!$AP$5:$AP$66,AH!$U$4)),IF(AH!$U$5=1,INDEX('Live History'!$H$5:$H$3004,MATCH($A2570,'Live History'!$G$5:$G$3004,1)),INDEX('AH History'!$B$5:$B$1380,$K2570))),NA()),NA())</f>
        <v/>
      </c>
      <c r="I2570" s="34">
        <f>IFERROR(IF(ISNUMBER($A2570),IF(AND(AH!$U$12=1,2565+1=AH!$U$6),TODAY(),IF(AH!$U$5=1,INDEX('Live History'!$G$5:$G$3004,MATCH($A2570,'Live History'!$G$5:$G$3004,1)),INDEX('AH History'!$C$5:$C$1380,$K2570))),NA()),NA())</f>
        <v/>
      </c>
      <c r="J2570" s="32">
        <f>IFERROR(IF(AND($F2570&gt;0,$H2570&gt;0,$A2570-$G2570&lt;=10,$A2570-$I2570&lt;=5,$G2570&gt;0,$I2570&gt;0),$F2570*$H2570,NA()),NA())</f>
        <v/>
      </c>
      <c r="K2570" s="15">
        <f>IF($A2570="","",IF(AH!$U$5=1,IFERROR(MATCH($A2570,'Live History'!$A$5:$A$3004,0),0),AH!$U$7+2565))</f>
        <v/>
      </c>
      <c r="L2570" s="15">
        <f>IF(ISNUMBER(A2570),TEXT(A2570,"dd-mmm-yy"),"")</f>
        <v/>
      </c>
    </row>
    <row r="2571">
      <c r="A2571" s="14">
        <f>IF(OR(AH!$U$4=0,2566+1&gt;AH!$U$6,AND(AH!$M$5="Bloomberg",AH!$U$5=0)),"",IFERROR(IF(AND(AH!$U$12=1,2566+1=AH!$U$6),TODAY(),IF(AH!$U$5=1,INDEX('Live History'!$A$5:$A$3004,AH!$U$7+2566),INDEX('AH History'!$A$5:$A$1380,AH!$U$7+2566))),""))</f>
        <v/>
      </c>
      <c r="B2571" s="33">
        <f>IFERROR(IF(AH!$U$11=1,NA(),$J2571/$E2571-1),NA())</f>
        <v/>
      </c>
      <c r="C2571" s="269">
        <f>IFERROR(100*$E2571/$E$5,NA())</f>
        <v/>
      </c>
      <c r="D2571" s="269">
        <f>IFERROR(100*$J2571/$J$5,NA())</f>
        <v/>
      </c>
      <c r="E2571" s="32">
        <f>IFERROR(IF(AND(ISNUMBER($A2571),N(IF(AND(AH!$U$12=1,2566+1=AH!$U$6),IF(AH!$U$4=0,"unavailable",INDEX('Market Data'!$AN$5:$AN$66,AH!$U$4)),IF(AH!$U$5=1,INDEX('Live History'!$B$5:$B$3004,$K2571),INDEX('AH History'!$D$5:$GG$1380,$K2571,AH!$U$10))))&gt;0),IF(AND(AH!$U$12=1,2566+1=AH!$U$6),IF(AH!$U$4=0,"unavailable",INDEX('Market Data'!$AN$5:$AN$66,AH!$U$4)),IF(AH!$U$5=1,INDEX('Live History'!$B$5:$B$3004,$K2571),INDEX('AH History'!$D$5:$GG$1380,$K2571,AH!$U$10))),NA()),NA())</f>
        <v/>
      </c>
      <c r="F2571" s="32">
        <f>IFERROR(IF(ISNUMBER($A2571),IF(AND(AH!$U$12=1,2566+1=AH!$U$6),IF(AH!$U$4=0,"unavailable",INDEX('Market Data'!$AO$5:$AO$66,AH!$U$4)),IF(AH!$U$5=1,INDEX('Live History'!$E$5:$E$3004,MATCH($A2571,'Live History'!$D$5:$D$3004,1)),INDEX('AH History'!$D$5:$GG$1380,$K2571,AH!$U$10+1))),NA()),NA())</f>
        <v/>
      </c>
      <c r="G2571" s="34">
        <f>IFERROR(IF(ISNUMBER($A2571),IF(AND(AH!$U$12=1,2566+1=AH!$U$6),IF(AH!$U$4=0,"unavailable",INDEX('Market Data'!$AK$5:$AK$66,AH!$U$4)),IF(AH!$U$5=1,INDEX('Live History'!$D$5:$D$3004,MATCH($A2571,'Live History'!$D$5:$D$3004,1)),INDEX('AH History'!$D$5:$GG$1380,$K2571,AH!$U$10+2))),NA()),NA())</f>
        <v/>
      </c>
      <c r="H2571" s="266">
        <f>IFERROR(IF(ISNUMBER($A2571),IF(AND(AH!$U$12=1,2566+1=AH!$U$6),IF(AH!$U$4=0,"unavailable",INDEX('Market Data'!$AP$5:$AP$66,AH!$U$4)),IF(AH!$U$5=1,INDEX('Live History'!$H$5:$H$3004,MATCH($A2571,'Live History'!$G$5:$G$3004,1)),INDEX('AH History'!$B$5:$B$1380,$K2571))),NA()),NA())</f>
        <v/>
      </c>
      <c r="I2571" s="34">
        <f>IFERROR(IF(ISNUMBER($A2571),IF(AND(AH!$U$12=1,2566+1=AH!$U$6),TODAY(),IF(AH!$U$5=1,INDEX('Live History'!$G$5:$G$3004,MATCH($A2571,'Live History'!$G$5:$G$3004,1)),INDEX('AH History'!$C$5:$C$1380,$K2571))),NA()),NA())</f>
        <v/>
      </c>
      <c r="J2571" s="32">
        <f>IFERROR(IF(AND($F2571&gt;0,$H2571&gt;0,$A2571-$G2571&lt;=10,$A2571-$I2571&lt;=5,$G2571&gt;0,$I2571&gt;0),$F2571*$H2571,NA()),NA())</f>
        <v/>
      </c>
      <c r="K2571" s="15">
        <f>IF($A2571="","",IF(AH!$U$5=1,IFERROR(MATCH($A2571,'Live History'!$A$5:$A$3004,0),0),AH!$U$7+2566))</f>
        <v/>
      </c>
      <c r="L2571" s="15">
        <f>IF(ISNUMBER(A2571),TEXT(A2571,"dd-mmm-yy"),"")</f>
        <v/>
      </c>
    </row>
    <row r="2572">
      <c r="A2572" s="14">
        <f>IF(OR(AH!$U$4=0,2567+1&gt;AH!$U$6,AND(AH!$M$5="Bloomberg",AH!$U$5=0)),"",IFERROR(IF(AND(AH!$U$12=1,2567+1=AH!$U$6),TODAY(),IF(AH!$U$5=1,INDEX('Live History'!$A$5:$A$3004,AH!$U$7+2567),INDEX('AH History'!$A$5:$A$1380,AH!$U$7+2567))),""))</f>
        <v/>
      </c>
      <c r="B2572" s="33">
        <f>IFERROR(IF(AH!$U$11=1,NA(),$J2572/$E2572-1),NA())</f>
        <v/>
      </c>
      <c r="C2572" s="269">
        <f>IFERROR(100*$E2572/$E$5,NA())</f>
        <v/>
      </c>
      <c r="D2572" s="269">
        <f>IFERROR(100*$J2572/$J$5,NA())</f>
        <v/>
      </c>
      <c r="E2572" s="32">
        <f>IFERROR(IF(AND(ISNUMBER($A2572),N(IF(AND(AH!$U$12=1,2567+1=AH!$U$6),IF(AH!$U$4=0,"unavailable",INDEX('Market Data'!$AN$5:$AN$66,AH!$U$4)),IF(AH!$U$5=1,INDEX('Live History'!$B$5:$B$3004,$K2572),INDEX('AH History'!$D$5:$GG$1380,$K2572,AH!$U$10))))&gt;0),IF(AND(AH!$U$12=1,2567+1=AH!$U$6),IF(AH!$U$4=0,"unavailable",INDEX('Market Data'!$AN$5:$AN$66,AH!$U$4)),IF(AH!$U$5=1,INDEX('Live History'!$B$5:$B$3004,$K2572),INDEX('AH History'!$D$5:$GG$1380,$K2572,AH!$U$10))),NA()),NA())</f>
        <v/>
      </c>
      <c r="F2572" s="32">
        <f>IFERROR(IF(ISNUMBER($A2572),IF(AND(AH!$U$12=1,2567+1=AH!$U$6),IF(AH!$U$4=0,"unavailable",INDEX('Market Data'!$AO$5:$AO$66,AH!$U$4)),IF(AH!$U$5=1,INDEX('Live History'!$E$5:$E$3004,MATCH($A2572,'Live History'!$D$5:$D$3004,1)),INDEX('AH History'!$D$5:$GG$1380,$K2572,AH!$U$10+1))),NA()),NA())</f>
        <v/>
      </c>
      <c r="G2572" s="34">
        <f>IFERROR(IF(ISNUMBER($A2572),IF(AND(AH!$U$12=1,2567+1=AH!$U$6),IF(AH!$U$4=0,"unavailable",INDEX('Market Data'!$AK$5:$AK$66,AH!$U$4)),IF(AH!$U$5=1,INDEX('Live History'!$D$5:$D$3004,MATCH($A2572,'Live History'!$D$5:$D$3004,1)),INDEX('AH History'!$D$5:$GG$1380,$K2572,AH!$U$10+2))),NA()),NA())</f>
        <v/>
      </c>
      <c r="H2572" s="266">
        <f>IFERROR(IF(ISNUMBER($A2572),IF(AND(AH!$U$12=1,2567+1=AH!$U$6),IF(AH!$U$4=0,"unavailable",INDEX('Market Data'!$AP$5:$AP$66,AH!$U$4)),IF(AH!$U$5=1,INDEX('Live History'!$H$5:$H$3004,MATCH($A2572,'Live History'!$G$5:$G$3004,1)),INDEX('AH History'!$B$5:$B$1380,$K2572))),NA()),NA())</f>
        <v/>
      </c>
      <c r="I2572" s="34">
        <f>IFERROR(IF(ISNUMBER($A2572),IF(AND(AH!$U$12=1,2567+1=AH!$U$6),TODAY(),IF(AH!$U$5=1,INDEX('Live History'!$G$5:$G$3004,MATCH($A2572,'Live History'!$G$5:$G$3004,1)),INDEX('AH History'!$C$5:$C$1380,$K2572))),NA()),NA())</f>
        <v/>
      </c>
      <c r="J2572" s="32">
        <f>IFERROR(IF(AND($F2572&gt;0,$H2572&gt;0,$A2572-$G2572&lt;=10,$A2572-$I2572&lt;=5,$G2572&gt;0,$I2572&gt;0),$F2572*$H2572,NA()),NA())</f>
        <v/>
      </c>
      <c r="K2572" s="15">
        <f>IF($A2572="","",IF(AH!$U$5=1,IFERROR(MATCH($A2572,'Live History'!$A$5:$A$3004,0),0),AH!$U$7+2567))</f>
        <v/>
      </c>
      <c r="L2572" s="15">
        <f>IF(ISNUMBER(A2572),TEXT(A2572,"dd-mmm-yy"),"")</f>
        <v/>
      </c>
    </row>
    <row r="2573">
      <c r="A2573" s="14">
        <f>IF(OR(AH!$U$4=0,2568+1&gt;AH!$U$6,AND(AH!$M$5="Bloomberg",AH!$U$5=0)),"",IFERROR(IF(AND(AH!$U$12=1,2568+1=AH!$U$6),TODAY(),IF(AH!$U$5=1,INDEX('Live History'!$A$5:$A$3004,AH!$U$7+2568),INDEX('AH History'!$A$5:$A$1380,AH!$U$7+2568))),""))</f>
        <v/>
      </c>
      <c r="B2573" s="33">
        <f>IFERROR(IF(AH!$U$11=1,NA(),$J2573/$E2573-1),NA())</f>
        <v/>
      </c>
      <c r="C2573" s="269">
        <f>IFERROR(100*$E2573/$E$5,NA())</f>
        <v/>
      </c>
      <c r="D2573" s="269">
        <f>IFERROR(100*$J2573/$J$5,NA())</f>
        <v/>
      </c>
      <c r="E2573" s="32">
        <f>IFERROR(IF(AND(ISNUMBER($A2573),N(IF(AND(AH!$U$12=1,2568+1=AH!$U$6),IF(AH!$U$4=0,"unavailable",INDEX('Market Data'!$AN$5:$AN$66,AH!$U$4)),IF(AH!$U$5=1,INDEX('Live History'!$B$5:$B$3004,$K2573),INDEX('AH History'!$D$5:$GG$1380,$K2573,AH!$U$10))))&gt;0),IF(AND(AH!$U$12=1,2568+1=AH!$U$6),IF(AH!$U$4=0,"unavailable",INDEX('Market Data'!$AN$5:$AN$66,AH!$U$4)),IF(AH!$U$5=1,INDEX('Live History'!$B$5:$B$3004,$K2573),INDEX('AH History'!$D$5:$GG$1380,$K2573,AH!$U$10))),NA()),NA())</f>
        <v/>
      </c>
      <c r="F2573" s="32">
        <f>IFERROR(IF(ISNUMBER($A2573),IF(AND(AH!$U$12=1,2568+1=AH!$U$6),IF(AH!$U$4=0,"unavailable",INDEX('Market Data'!$AO$5:$AO$66,AH!$U$4)),IF(AH!$U$5=1,INDEX('Live History'!$E$5:$E$3004,MATCH($A2573,'Live History'!$D$5:$D$3004,1)),INDEX('AH History'!$D$5:$GG$1380,$K2573,AH!$U$10+1))),NA()),NA())</f>
        <v/>
      </c>
      <c r="G2573" s="34">
        <f>IFERROR(IF(ISNUMBER($A2573),IF(AND(AH!$U$12=1,2568+1=AH!$U$6),IF(AH!$U$4=0,"unavailable",INDEX('Market Data'!$AK$5:$AK$66,AH!$U$4)),IF(AH!$U$5=1,INDEX('Live History'!$D$5:$D$3004,MATCH($A2573,'Live History'!$D$5:$D$3004,1)),INDEX('AH History'!$D$5:$GG$1380,$K2573,AH!$U$10+2))),NA()),NA())</f>
        <v/>
      </c>
      <c r="H2573" s="266">
        <f>IFERROR(IF(ISNUMBER($A2573),IF(AND(AH!$U$12=1,2568+1=AH!$U$6),IF(AH!$U$4=0,"unavailable",INDEX('Market Data'!$AP$5:$AP$66,AH!$U$4)),IF(AH!$U$5=1,INDEX('Live History'!$H$5:$H$3004,MATCH($A2573,'Live History'!$G$5:$G$3004,1)),INDEX('AH History'!$B$5:$B$1380,$K2573))),NA()),NA())</f>
        <v/>
      </c>
      <c r="I2573" s="34">
        <f>IFERROR(IF(ISNUMBER($A2573),IF(AND(AH!$U$12=1,2568+1=AH!$U$6),TODAY(),IF(AH!$U$5=1,INDEX('Live History'!$G$5:$G$3004,MATCH($A2573,'Live History'!$G$5:$G$3004,1)),INDEX('AH History'!$C$5:$C$1380,$K2573))),NA()),NA())</f>
        <v/>
      </c>
      <c r="J2573" s="32">
        <f>IFERROR(IF(AND($F2573&gt;0,$H2573&gt;0,$A2573-$G2573&lt;=10,$A2573-$I2573&lt;=5,$G2573&gt;0,$I2573&gt;0),$F2573*$H2573,NA()),NA())</f>
        <v/>
      </c>
      <c r="K2573" s="15">
        <f>IF($A2573="","",IF(AH!$U$5=1,IFERROR(MATCH($A2573,'Live History'!$A$5:$A$3004,0),0),AH!$U$7+2568))</f>
        <v/>
      </c>
      <c r="L2573" s="15">
        <f>IF(ISNUMBER(A2573),TEXT(A2573,"dd-mmm-yy"),"")</f>
        <v/>
      </c>
    </row>
    <row r="2574">
      <c r="A2574" s="14">
        <f>IF(OR(AH!$U$4=0,2569+1&gt;AH!$U$6,AND(AH!$M$5="Bloomberg",AH!$U$5=0)),"",IFERROR(IF(AND(AH!$U$12=1,2569+1=AH!$U$6),TODAY(),IF(AH!$U$5=1,INDEX('Live History'!$A$5:$A$3004,AH!$U$7+2569),INDEX('AH History'!$A$5:$A$1380,AH!$U$7+2569))),""))</f>
        <v/>
      </c>
      <c r="B2574" s="33">
        <f>IFERROR(IF(AH!$U$11=1,NA(),$J2574/$E2574-1),NA())</f>
        <v/>
      </c>
      <c r="C2574" s="269">
        <f>IFERROR(100*$E2574/$E$5,NA())</f>
        <v/>
      </c>
      <c r="D2574" s="269">
        <f>IFERROR(100*$J2574/$J$5,NA())</f>
        <v/>
      </c>
      <c r="E2574" s="32">
        <f>IFERROR(IF(AND(ISNUMBER($A2574),N(IF(AND(AH!$U$12=1,2569+1=AH!$U$6),IF(AH!$U$4=0,"unavailable",INDEX('Market Data'!$AN$5:$AN$66,AH!$U$4)),IF(AH!$U$5=1,INDEX('Live History'!$B$5:$B$3004,$K2574),INDEX('AH History'!$D$5:$GG$1380,$K2574,AH!$U$10))))&gt;0),IF(AND(AH!$U$12=1,2569+1=AH!$U$6),IF(AH!$U$4=0,"unavailable",INDEX('Market Data'!$AN$5:$AN$66,AH!$U$4)),IF(AH!$U$5=1,INDEX('Live History'!$B$5:$B$3004,$K2574),INDEX('AH History'!$D$5:$GG$1380,$K2574,AH!$U$10))),NA()),NA())</f>
        <v/>
      </c>
      <c r="F2574" s="32">
        <f>IFERROR(IF(ISNUMBER($A2574),IF(AND(AH!$U$12=1,2569+1=AH!$U$6),IF(AH!$U$4=0,"unavailable",INDEX('Market Data'!$AO$5:$AO$66,AH!$U$4)),IF(AH!$U$5=1,INDEX('Live History'!$E$5:$E$3004,MATCH($A2574,'Live History'!$D$5:$D$3004,1)),INDEX('AH History'!$D$5:$GG$1380,$K2574,AH!$U$10+1))),NA()),NA())</f>
        <v/>
      </c>
      <c r="G2574" s="34">
        <f>IFERROR(IF(ISNUMBER($A2574),IF(AND(AH!$U$12=1,2569+1=AH!$U$6),IF(AH!$U$4=0,"unavailable",INDEX('Market Data'!$AK$5:$AK$66,AH!$U$4)),IF(AH!$U$5=1,INDEX('Live History'!$D$5:$D$3004,MATCH($A2574,'Live History'!$D$5:$D$3004,1)),INDEX('AH History'!$D$5:$GG$1380,$K2574,AH!$U$10+2))),NA()),NA())</f>
        <v/>
      </c>
      <c r="H2574" s="266">
        <f>IFERROR(IF(ISNUMBER($A2574),IF(AND(AH!$U$12=1,2569+1=AH!$U$6),IF(AH!$U$4=0,"unavailable",INDEX('Market Data'!$AP$5:$AP$66,AH!$U$4)),IF(AH!$U$5=1,INDEX('Live History'!$H$5:$H$3004,MATCH($A2574,'Live History'!$G$5:$G$3004,1)),INDEX('AH History'!$B$5:$B$1380,$K2574))),NA()),NA())</f>
        <v/>
      </c>
      <c r="I2574" s="34">
        <f>IFERROR(IF(ISNUMBER($A2574),IF(AND(AH!$U$12=1,2569+1=AH!$U$6),TODAY(),IF(AH!$U$5=1,INDEX('Live History'!$G$5:$G$3004,MATCH($A2574,'Live History'!$G$5:$G$3004,1)),INDEX('AH History'!$C$5:$C$1380,$K2574))),NA()),NA())</f>
        <v/>
      </c>
      <c r="J2574" s="32">
        <f>IFERROR(IF(AND($F2574&gt;0,$H2574&gt;0,$A2574-$G2574&lt;=10,$A2574-$I2574&lt;=5,$G2574&gt;0,$I2574&gt;0),$F2574*$H2574,NA()),NA())</f>
        <v/>
      </c>
      <c r="K2574" s="15">
        <f>IF($A2574="","",IF(AH!$U$5=1,IFERROR(MATCH($A2574,'Live History'!$A$5:$A$3004,0),0),AH!$U$7+2569))</f>
        <v/>
      </c>
      <c r="L2574" s="15">
        <f>IF(ISNUMBER(A2574),TEXT(A2574,"dd-mmm-yy"),"")</f>
        <v/>
      </c>
    </row>
    <row r="2575">
      <c r="A2575" s="14">
        <f>IF(OR(AH!$U$4=0,2570+1&gt;AH!$U$6,AND(AH!$M$5="Bloomberg",AH!$U$5=0)),"",IFERROR(IF(AND(AH!$U$12=1,2570+1=AH!$U$6),TODAY(),IF(AH!$U$5=1,INDEX('Live History'!$A$5:$A$3004,AH!$U$7+2570),INDEX('AH History'!$A$5:$A$1380,AH!$U$7+2570))),""))</f>
        <v/>
      </c>
      <c r="B2575" s="33">
        <f>IFERROR(IF(AH!$U$11=1,NA(),$J2575/$E2575-1),NA())</f>
        <v/>
      </c>
      <c r="C2575" s="269">
        <f>IFERROR(100*$E2575/$E$5,NA())</f>
        <v/>
      </c>
      <c r="D2575" s="269">
        <f>IFERROR(100*$J2575/$J$5,NA())</f>
        <v/>
      </c>
      <c r="E2575" s="32">
        <f>IFERROR(IF(AND(ISNUMBER($A2575),N(IF(AND(AH!$U$12=1,2570+1=AH!$U$6),IF(AH!$U$4=0,"unavailable",INDEX('Market Data'!$AN$5:$AN$66,AH!$U$4)),IF(AH!$U$5=1,INDEX('Live History'!$B$5:$B$3004,$K2575),INDEX('AH History'!$D$5:$GG$1380,$K2575,AH!$U$10))))&gt;0),IF(AND(AH!$U$12=1,2570+1=AH!$U$6),IF(AH!$U$4=0,"unavailable",INDEX('Market Data'!$AN$5:$AN$66,AH!$U$4)),IF(AH!$U$5=1,INDEX('Live History'!$B$5:$B$3004,$K2575),INDEX('AH History'!$D$5:$GG$1380,$K2575,AH!$U$10))),NA()),NA())</f>
        <v/>
      </c>
      <c r="F2575" s="32">
        <f>IFERROR(IF(ISNUMBER($A2575),IF(AND(AH!$U$12=1,2570+1=AH!$U$6),IF(AH!$U$4=0,"unavailable",INDEX('Market Data'!$AO$5:$AO$66,AH!$U$4)),IF(AH!$U$5=1,INDEX('Live History'!$E$5:$E$3004,MATCH($A2575,'Live History'!$D$5:$D$3004,1)),INDEX('AH History'!$D$5:$GG$1380,$K2575,AH!$U$10+1))),NA()),NA())</f>
        <v/>
      </c>
      <c r="G2575" s="34">
        <f>IFERROR(IF(ISNUMBER($A2575),IF(AND(AH!$U$12=1,2570+1=AH!$U$6),IF(AH!$U$4=0,"unavailable",INDEX('Market Data'!$AK$5:$AK$66,AH!$U$4)),IF(AH!$U$5=1,INDEX('Live History'!$D$5:$D$3004,MATCH($A2575,'Live History'!$D$5:$D$3004,1)),INDEX('AH History'!$D$5:$GG$1380,$K2575,AH!$U$10+2))),NA()),NA())</f>
        <v/>
      </c>
      <c r="H2575" s="266">
        <f>IFERROR(IF(ISNUMBER($A2575),IF(AND(AH!$U$12=1,2570+1=AH!$U$6),IF(AH!$U$4=0,"unavailable",INDEX('Market Data'!$AP$5:$AP$66,AH!$U$4)),IF(AH!$U$5=1,INDEX('Live History'!$H$5:$H$3004,MATCH($A2575,'Live History'!$G$5:$G$3004,1)),INDEX('AH History'!$B$5:$B$1380,$K2575))),NA()),NA())</f>
        <v/>
      </c>
      <c r="I2575" s="34">
        <f>IFERROR(IF(ISNUMBER($A2575),IF(AND(AH!$U$12=1,2570+1=AH!$U$6),TODAY(),IF(AH!$U$5=1,INDEX('Live History'!$G$5:$G$3004,MATCH($A2575,'Live History'!$G$5:$G$3004,1)),INDEX('AH History'!$C$5:$C$1380,$K2575))),NA()),NA())</f>
        <v/>
      </c>
      <c r="J2575" s="32">
        <f>IFERROR(IF(AND($F2575&gt;0,$H2575&gt;0,$A2575-$G2575&lt;=10,$A2575-$I2575&lt;=5,$G2575&gt;0,$I2575&gt;0),$F2575*$H2575,NA()),NA())</f>
        <v/>
      </c>
      <c r="K2575" s="15">
        <f>IF($A2575="","",IF(AH!$U$5=1,IFERROR(MATCH($A2575,'Live History'!$A$5:$A$3004,0),0),AH!$U$7+2570))</f>
        <v/>
      </c>
      <c r="L2575" s="15">
        <f>IF(ISNUMBER(A2575),TEXT(A2575,"dd-mmm-yy"),"")</f>
        <v/>
      </c>
    </row>
    <row r="2576">
      <c r="A2576" s="14">
        <f>IF(OR(AH!$U$4=0,2571+1&gt;AH!$U$6,AND(AH!$M$5="Bloomberg",AH!$U$5=0)),"",IFERROR(IF(AND(AH!$U$12=1,2571+1=AH!$U$6),TODAY(),IF(AH!$U$5=1,INDEX('Live History'!$A$5:$A$3004,AH!$U$7+2571),INDEX('AH History'!$A$5:$A$1380,AH!$U$7+2571))),""))</f>
        <v/>
      </c>
      <c r="B2576" s="33">
        <f>IFERROR(IF(AH!$U$11=1,NA(),$J2576/$E2576-1),NA())</f>
        <v/>
      </c>
      <c r="C2576" s="269">
        <f>IFERROR(100*$E2576/$E$5,NA())</f>
        <v/>
      </c>
      <c r="D2576" s="269">
        <f>IFERROR(100*$J2576/$J$5,NA())</f>
        <v/>
      </c>
      <c r="E2576" s="32">
        <f>IFERROR(IF(AND(ISNUMBER($A2576),N(IF(AND(AH!$U$12=1,2571+1=AH!$U$6),IF(AH!$U$4=0,"unavailable",INDEX('Market Data'!$AN$5:$AN$66,AH!$U$4)),IF(AH!$U$5=1,INDEX('Live History'!$B$5:$B$3004,$K2576),INDEX('AH History'!$D$5:$GG$1380,$K2576,AH!$U$10))))&gt;0),IF(AND(AH!$U$12=1,2571+1=AH!$U$6),IF(AH!$U$4=0,"unavailable",INDEX('Market Data'!$AN$5:$AN$66,AH!$U$4)),IF(AH!$U$5=1,INDEX('Live History'!$B$5:$B$3004,$K2576),INDEX('AH History'!$D$5:$GG$1380,$K2576,AH!$U$10))),NA()),NA())</f>
        <v/>
      </c>
      <c r="F2576" s="32">
        <f>IFERROR(IF(ISNUMBER($A2576),IF(AND(AH!$U$12=1,2571+1=AH!$U$6),IF(AH!$U$4=0,"unavailable",INDEX('Market Data'!$AO$5:$AO$66,AH!$U$4)),IF(AH!$U$5=1,INDEX('Live History'!$E$5:$E$3004,MATCH($A2576,'Live History'!$D$5:$D$3004,1)),INDEX('AH History'!$D$5:$GG$1380,$K2576,AH!$U$10+1))),NA()),NA())</f>
        <v/>
      </c>
      <c r="G2576" s="34">
        <f>IFERROR(IF(ISNUMBER($A2576),IF(AND(AH!$U$12=1,2571+1=AH!$U$6),IF(AH!$U$4=0,"unavailable",INDEX('Market Data'!$AK$5:$AK$66,AH!$U$4)),IF(AH!$U$5=1,INDEX('Live History'!$D$5:$D$3004,MATCH($A2576,'Live History'!$D$5:$D$3004,1)),INDEX('AH History'!$D$5:$GG$1380,$K2576,AH!$U$10+2))),NA()),NA())</f>
        <v/>
      </c>
      <c r="H2576" s="266">
        <f>IFERROR(IF(ISNUMBER($A2576),IF(AND(AH!$U$12=1,2571+1=AH!$U$6),IF(AH!$U$4=0,"unavailable",INDEX('Market Data'!$AP$5:$AP$66,AH!$U$4)),IF(AH!$U$5=1,INDEX('Live History'!$H$5:$H$3004,MATCH($A2576,'Live History'!$G$5:$G$3004,1)),INDEX('AH History'!$B$5:$B$1380,$K2576))),NA()),NA())</f>
        <v/>
      </c>
      <c r="I2576" s="34">
        <f>IFERROR(IF(ISNUMBER($A2576),IF(AND(AH!$U$12=1,2571+1=AH!$U$6),TODAY(),IF(AH!$U$5=1,INDEX('Live History'!$G$5:$G$3004,MATCH($A2576,'Live History'!$G$5:$G$3004,1)),INDEX('AH History'!$C$5:$C$1380,$K2576))),NA()),NA())</f>
        <v/>
      </c>
      <c r="J2576" s="32">
        <f>IFERROR(IF(AND($F2576&gt;0,$H2576&gt;0,$A2576-$G2576&lt;=10,$A2576-$I2576&lt;=5,$G2576&gt;0,$I2576&gt;0),$F2576*$H2576,NA()),NA())</f>
        <v/>
      </c>
      <c r="K2576" s="15">
        <f>IF($A2576="","",IF(AH!$U$5=1,IFERROR(MATCH($A2576,'Live History'!$A$5:$A$3004,0),0),AH!$U$7+2571))</f>
        <v/>
      </c>
      <c r="L2576" s="15">
        <f>IF(ISNUMBER(A2576),TEXT(A2576,"dd-mmm-yy"),"")</f>
        <v/>
      </c>
    </row>
    <row r="2577">
      <c r="A2577" s="14">
        <f>IF(OR(AH!$U$4=0,2572+1&gt;AH!$U$6,AND(AH!$M$5="Bloomberg",AH!$U$5=0)),"",IFERROR(IF(AND(AH!$U$12=1,2572+1=AH!$U$6),TODAY(),IF(AH!$U$5=1,INDEX('Live History'!$A$5:$A$3004,AH!$U$7+2572),INDEX('AH History'!$A$5:$A$1380,AH!$U$7+2572))),""))</f>
        <v/>
      </c>
      <c r="B2577" s="33">
        <f>IFERROR(IF(AH!$U$11=1,NA(),$J2577/$E2577-1),NA())</f>
        <v/>
      </c>
      <c r="C2577" s="269">
        <f>IFERROR(100*$E2577/$E$5,NA())</f>
        <v/>
      </c>
      <c r="D2577" s="269">
        <f>IFERROR(100*$J2577/$J$5,NA())</f>
        <v/>
      </c>
      <c r="E2577" s="32">
        <f>IFERROR(IF(AND(ISNUMBER($A2577),N(IF(AND(AH!$U$12=1,2572+1=AH!$U$6),IF(AH!$U$4=0,"unavailable",INDEX('Market Data'!$AN$5:$AN$66,AH!$U$4)),IF(AH!$U$5=1,INDEX('Live History'!$B$5:$B$3004,$K2577),INDEX('AH History'!$D$5:$GG$1380,$K2577,AH!$U$10))))&gt;0),IF(AND(AH!$U$12=1,2572+1=AH!$U$6),IF(AH!$U$4=0,"unavailable",INDEX('Market Data'!$AN$5:$AN$66,AH!$U$4)),IF(AH!$U$5=1,INDEX('Live History'!$B$5:$B$3004,$K2577),INDEX('AH History'!$D$5:$GG$1380,$K2577,AH!$U$10))),NA()),NA())</f>
        <v/>
      </c>
      <c r="F2577" s="32">
        <f>IFERROR(IF(ISNUMBER($A2577),IF(AND(AH!$U$12=1,2572+1=AH!$U$6),IF(AH!$U$4=0,"unavailable",INDEX('Market Data'!$AO$5:$AO$66,AH!$U$4)),IF(AH!$U$5=1,INDEX('Live History'!$E$5:$E$3004,MATCH($A2577,'Live History'!$D$5:$D$3004,1)),INDEX('AH History'!$D$5:$GG$1380,$K2577,AH!$U$10+1))),NA()),NA())</f>
        <v/>
      </c>
      <c r="G2577" s="34">
        <f>IFERROR(IF(ISNUMBER($A2577),IF(AND(AH!$U$12=1,2572+1=AH!$U$6),IF(AH!$U$4=0,"unavailable",INDEX('Market Data'!$AK$5:$AK$66,AH!$U$4)),IF(AH!$U$5=1,INDEX('Live History'!$D$5:$D$3004,MATCH($A2577,'Live History'!$D$5:$D$3004,1)),INDEX('AH History'!$D$5:$GG$1380,$K2577,AH!$U$10+2))),NA()),NA())</f>
        <v/>
      </c>
      <c r="H2577" s="266">
        <f>IFERROR(IF(ISNUMBER($A2577),IF(AND(AH!$U$12=1,2572+1=AH!$U$6),IF(AH!$U$4=0,"unavailable",INDEX('Market Data'!$AP$5:$AP$66,AH!$U$4)),IF(AH!$U$5=1,INDEX('Live History'!$H$5:$H$3004,MATCH($A2577,'Live History'!$G$5:$G$3004,1)),INDEX('AH History'!$B$5:$B$1380,$K2577))),NA()),NA())</f>
        <v/>
      </c>
      <c r="I2577" s="34">
        <f>IFERROR(IF(ISNUMBER($A2577),IF(AND(AH!$U$12=1,2572+1=AH!$U$6),TODAY(),IF(AH!$U$5=1,INDEX('Live History'!$G$5:$G$3004,MATCH($A2577,'Live History'!$G$5:$G$3004,1)),INDEX('AH History'!$C$5:$C$1380,$K2577))),NA()),NA())</f>
        <v/>
      </c>
      <c r="J2577" s="32">
        <f>IFERROR(IF(AND($F2577&gt;0,$H2577&gt;0,$A2577-$G2577&lt;=10,$A2577-$I2577&lt;=5,$G2577&gt;0,$I2577&gt;0),$F2577*$H2577,NA()),NA())</f>
        <v/>
      </c>
      <c r="K2577" s="15">
        <f>IF($A2577="","",IF(AH!$U$5=1,IFERROR(MATCH($A2577,'Live History'!$A$5:$A$3004,0),0),AH!$U$7+2572))</f>
        <v/>
      </c>
      <c r="L2577" s="15">
        <f>IF(ISNUMBER(A2577),TEXT(A2577,"dd-mmm-yy"),"")</f>
        <v/>
      </c>
    </row>
    <row r="2578">
      <c r="A2578" s="14">
        <f>IF(OR(AH!$U$4=0,2573+1&gt;AH!$U$6,AND(AH!$M$5="Bloomberg",AH!$U$5=0)),"",IFERROR(IF(AND(AH!$U$12=1,2573+1=AH!$U$6),TODAY(),IF(AH!$U$5=1,INDEX('Live History'!$A$5:$A$3004,AH!$U$7+2573),INDEX('AH History'!$A$5:$A$1380,AH!$U$7+2573))),""))</f>
        <v/>
      </c>
      <c r="B2578" s="33">
        <f>IFERROR(IF(AH!$U$11=1,NA(),$J2578/$E2578-1),NA())</f>
        <v/>
      </c>
      <c r="C2578" s="269">
        <f>IFERROR(100*$E2578/$E$5,NA())</f>
        <v/>
      </c>
      <c r="D2578" s="269">
        <f>IFERROR(100*$J2578/$J$5,NA())</f>
        <v/>
      </c>
      <c r="E2578" s="32">
        <f>IFERROR(IF(AND(ISNUMBER($A2578),N(IF(AND(AH!$U$12=1,2573+1=AH!$U$6),IF(AH!$U$4=0,"unavailable",INDEX('Market Data'!$AN$5:$AN$66,AH!$U$4)),IF(AH!$U$5=1,INDEX('Live History'!$B$5:$B$3004,$K2578),INDEX('AH History'!$D$5:$GG$1380,$K2578,AH!$U$10))))&gt;0),IF(AND(AH!$U$12=1,2573+1=AH!$U$6),IF(AH!$U$4=0,"unavailable",INDEX('Market Data'!$AN$5:$AN$66,AH!$U$4)),IF(AH!$U$5=1,INDEX('Live History'!$B$5:$B$3004,$K2578),INDEX('AH History'!$D$5:$GG$1380,$K2578,AH!$U$10))),NA()),NA())</f>
        <v/>
      </c>
      <c r="F2578" s="32">
        <f>IFERROR(IF(ISNUMBER($A2578),IF(AND(AH!$U$12=1,2573+1=AH!$U$6),IF(AH!$U$4=0,"unavailable",INDEX('Market Data'!$AO$5:$AO$66,AH!$U$4)),IF(AH!$U$5=1,INDEX('Live History'!$E$5:$E$3004,MATCH($A2578,'Live History'!$D$5:$D$3004,1)),INDEX('AH History'!$D$5:$GG$1380,$K2578,AH!$U$10+1))),NA()),NA())</f>
        <v/>
      </c>
      <c r="G2578" s="34">
        <f>IFERROR(IF(ISNUMBER($A2578),IF(AND(AH!$U$12=1,2573+1=AH!$U$6),IF(AH!$U$4=0,"unavailable",INDEX('Market Data'!$AK$5:$AK$66,AH!$U$4)),IF(AH!$U$5=1,INDEX('Live History'!$D$5:$D$3004,MATCH($A2578,'Live History'!$D$5:$D$3004,1)),INDEX('AH History'!$D$5:$GG$1380,$K2578,AH!$U$10+2))),NA()),NA())</f>
        <v/>
      </c>
      <c r="H2578" s="266">
        <f>IFERROR(IF(ISNUMBER($A2578),IF(AND(AH!$U$12=1,2573+1=AH!$U$6),IF(AH!$U$4=0,"unavailable",INDEX('Market Data'!$AP$5:$AP$66,AH!$U$4)),IF(AH!$U$5=1,INDEX('Live History'!$H$5:$H$3004,MATCH($A2578,'Live History'!$G$5:$G$3004,1)),INDEX('AH History'!$B$5:$B$1380,$K2578))),NA()),NA())</f>
        <v/>
      </c>
      <c r="I2578" s="34">
        <f>IFERROR(IF(ISNUMBER($A2578),IF(AND(AH!$U$12=1,2573+1=AH!$U$6),TODAY(),IF(AH!$U$5=1,INDEX('Live History'!$G$5:$G$3004,MATCH($A2578,'Live History'!$G$5:$G$3004,1)),INDEX('AH History'!$C$5:$C$1380,$K2578))),NA()),NA())</f>
        <v/>
      </c>
      <c r="J2578" s="32">
        <f>IFERROR(IF(AND($F2578&gt;0,$H2578&gt;0,$A2578-$G2578&lt;=10,$A2578-$I2578&lt;=5,$G2578&gt;0,$I2578&gt;0),$F2578*$H2578,NA()),NA())</f>
        <v/>
      </c>
      <c r="K2578" s="15">
        <f>IF($A2578="","",IF(AH!$U$5=1,IFERROR(MATCH($A2578,'Live History'!$A$5:$A$3004,0),0),AH!$U$7+2573))</f>
        <v/>
      </c>
      <c r="L2578" s="15">
        <f>IF(ISNUMBER(A2578),TEXT(A2578,"dd-mmm-yy"),"")</f>
        <v/>
      </c>
    </row>
    <row r="2579">
      <c r="A2579" s="14">
        <f>IF(OR(AH!$U$4=0,2574+1&gt;AH!$U$6,AND(AH!$M$5="Bloomberg",AH!$U$5=0)),"",IFERROR(IF(AND(AH!$U$12=1,2574+1=AH!$U$6),TODAY(),IF(AH!$U$5=1,INDEX('Live History'!$A$5:$A$3004,AH!$U$7+2574),INDEX('AH History'!$A$5:$A$1380,AH!$U$7+2574))),""))</f>
        <v/>
      </c>
      <c r="B2579" s="33">
        <f>IFERROR(IF(AH!$U$11=1,NA(),$J2579/$E2579-1),NA())</f>
        <v/>
      </c>
      <c r="C2579" s="269">
        <f>IFERROR(100*$E2579/$E$5,NA())</f>
        <v/>
      </c>
      <c r="D2579" s="269">
        <f>IFERROR(100*$J2579/$J$5,NA())</f>
        <v/>
      </c>
      <c r="E2579" s="32">
        <f>IFERROR(IF(AND(ISNUMBER($A2579),N(IF(AND(AH!$U$12=1,2574+1=AH!$U$6),IF(AH!$U$4=0,"unavailable",INDEX('Market Data'!$AN$5:$AN$66,AH!$U$4)),IF(AH!$U$5=1,INDEX('Live History'!$B$5:$B$3004,$K2579),INDEX('AH History'!$D$5:$GG$1380,$K2579,AH!$U$10))))&gt;0),IF(AND(AH!$U$12=1,2574+1=AH!$U$6),IF(AH!$U$4=0,"unavailable",INDEX('Market Data'!$AN$5:$AN$66,AH!$U$4)),IF(AH!$U$5=1,INDEX('Live History'!$B$5:$B$3004,$K2579),INDEX('AH History'!$D$5:$GG$1380,$K2579,AH!$U$10))),NA()),NA())</f>
        <v/>
      </c>
      <c r="F2579" s="32">
        <f>IFERROR(IF(ISNUMBER($A2579),IF(AND(AH!$U$12=1,2574+1=AH!$U$6),IF(AH!$U$4=0,"unavailable",INDEX('Market Data'!$AO$5:$AO$66,AH!$U$4)),IF(AH!$U$5=1,INDEX('Live History'!$E$5:$E$3004,MATCH($A2579,'Live History'!$D$5:$D$3004,1)),INDEX('AH History'!$D$5:$GG$1380,$K2579,AH!$U$10+1))),NA()),NA())</f>
        <v/>
      </c>
      <c r="G2579" s="34">
        <f>IFERROR(IF(ISNUMBER($A2579),IF(AND(AH!$U$12=1,2574+1=AH!$U$6),IF(AH!$U$4=0,"unavailable",INDEX('Market Data'!$AK$5:$AK$66,AH!$U$4)),IF(AH!$U$5=1,INDEX('Live History'!$D$5:$D$3004,MATCH($A2579,'Live History'!$D$5:$D$3004,1)),INDEX('AH History'!$D$5:$GG$1380,$K2579,AH!$U$10+2))),NA()),NA())</f>
        <v/>
      </c>
      <c r="H2579" s="266">
        <f>IFERROR(IF(ISNUMBER($A2579),IF(AND(AH!$U$12=1,2574+1=AH!$U$6),IF(AH!$U$4=0,"unavailable",INDEX('Market Data'!$AP$5:$AP$66,AH!$U$4)),IF(AH!$U$5=1,INDEX('Live History'!$H$5:$H$3004,MATCH($A2579,'Live History'!$G$5:$G$3004,1)),INDEX('AH History'!$B$5:$B$1380,$K2579))),NA()),NA())</f>
        <v/>
      </c>
      <c r="I2579" s="34">
        <f>IFERROR(IF(ISNUMBER($A2579),IF(AND(AH!$U$12=1,2574+1=AH!$U$6),TODAY(),IF(AH!$U$5=1,INDEX('Live History'!$G$5:$G$3004,MATCH($A2579,'Live History'!$G$5:$G$3004,1)),INDEX('AH History'!$C$5:$C$1380,$K2579))),NA()),NA())</f>
        <v/>
      </c>
      <c r="J2579" s="32">
        <f>IFERROR(IF(AND($F2579&gt;0,$H2579&gt;0,$A2579-$G2579&lt;=10,$A2579-$I2579&lt;=5,$G2579&gt;0,$I2579&gt;0),$F2579*$H2579,NA()),NA())</f>
        <v/>
      </c>
      <c r="K2579" s="15">
        <f>IF($A2579="","",IF(AH!$U$5=1,IFERROR(MATCH($A2579,'Live History'!$A$5:$A$3004,0),0),AH!$U$7+2574))</f>
        <v/>
      </c>
      <c r="L2579" s="15">
        <f>IF(ISNUMBER(A2579),TEXT(A2579,"dd-mmm-yy"),"")</f>
        <v/>
      </c>
    </row>
    <row r="2580">
      <c r="A2580" s="14">
        <f>IF(OR(AH!$U$4=0,2575+1&gt;AH!$U$6,AND(AH!$M$5="Bloomberg",AH!$U$5=0)),"",IFERROR(IF(AND(AH!$U$12=1,2575+1=AH!$U$6),TODAY(),IF(AH!$U$5=1,INDEX('Live History'!$A$5:$A$3004,AH!$U$7+2575),INDEX('AH History'!$A$5:$A$1380,AH!$U$7+2575))),""))</f>
        <v/>
      </c>
      <c r="B2580" s="33">
        <f>IFERROR(IF(AH!$U$11=1,NA(),$J2580/$E2580-1),NA())</f>
        <v/>
      </c>
      <c r="C2580" s="269">
        <f>IFERROR(100*$E2580/$E$5,NA())</f>
        <v/>
      </c>
      <c r="D2580" s="269">
        <f>IFERROR(100*$J2580/$J$5,NA())</f>
        <v/>
      </c>
      <c r="E2580" s="32">
        <f>IFERROR(IF(AND(ISNUMBER($A2580),N(IF(AND(AH!$U$12=1,2575+1=AH!$U$6),IF(AH!$U$4=0,"unavailable",INDEX('Market Data'!$AN$5:$AN$66,AH!$U$4)),IF(AH!$U$5=1,INDEX('Live History'!$B$5:$B$3004,$K2580),INDEX('AH History'!$D$5:$GG$1380,$K2580,AH!$U$10))))&gt;0),IF(AND(AH!$U$12=1,2575+1=AH!$U$6),IF(AH!$U$4=0,"unavailable",INDEX('Market Data'!$AN$5:$AN$66,AH!$U$4)),IF(AH!$U$5=1,INDEX('Live History'!$B$5:$B$3004,$K2580),INDEX('AH History'!$D$5:$GG$1380,$K2580,AH!$U$10))),NA()),NA())</f>
        <v/>
      </c>
      <c r="F2580" s="32">
        <f>IFERROR(IF(ISNUMBER($A2580),IF(AND(AH!$U$12=1,2575+1=AH!$U$6),IF(AH!$U$4=0,"unavailable",INDEX('Market Data'!$AO$5:$AO$66,AH!$U$4)),IF(AH!$U$5=1,INDEX('Live History'!$E$5:$E$3004,MATCH($A2580,'Live History'!$D$5:$D$3004,1)),INDEX('AH History'!$D$5:$GG$1380,$K2580,AH!$U$10+1))),NA()),NA())</f>
        <v/>
      </c>
      <c r="G2580" s="34">
        <f>IFERROR(IF(ISNUMBER($A2580),IF(AND(AH!$U$12=1,2575+1=AH!$U$6),IF(AH!$U$4=0,"unavailable",INDEX('Market Data'!$AK$5:$AK$66,AH!$U$4)),IF(AH!$U$5=1,INDEX('Live History'!$D$5:$D$3004,MATCH($A2580,'Live History'!$D$5:$D$3004,1)),INDEX('AH History'!$D$5:$GG$1380,$K2580,AH!$U$10+2))),NA()),NA())</f>
        <v/>
      </c>
      <c r="H2580" s="266">
        <f>IFERROR(IF(ISNUMBER($A2580),IF(AND(AH!$U$12=1,2575+1=AH!$U$6),IF(AH!$U$4=0,"unavailable",INDEX('Market Data'!$AP$5:$AP$66,AH!$U$4)),IF(AH!$U$5=1,INDEX('Live History'!$H$5:$H$3004,MATCH($A2580,'Live History'!$G$5:$G$3004,1)),INDEX('AH History'!$B$5:$B$1380,$K2580))),NA()),NA())</f>
        <v/>
      </c>
      <c r="I2580" s="34">
        <f>IFERROR(IF(ISNUMBER($A2580),IF(AND(AH!$U$12=1,2575+1=AH!$U$6),TODAY(),IF(AH!$U$5=1,INDEX('Live History'!$G$5:$G$3004,MATCH($A2580,'Live History'!$G$5:$G$3004,1)),INDEX('AH History'!$C$5:$C$1380,$K2580))),NA()),NA())</f>
        <v/>
      </c>
      <c r="J2580" s="32">
        <f>IFERROR(IF(AND($F2580&gt;0,$H2580&gt;0,$A2580-$G2580&lt;=10,$A2580-$I2580&lt;=5,$G2580&gt;0,$I2580&gt;0),$F2580*$H2580,NA()),NA())</f>
        <v/>
      </c>
      <c r="K2580" s="15">
        <f>IF($A2580="","",IF(AH!$U$5=1,IFERROR(MATCH($A2580,'Live History'!$A$5:$A$3004,0),0),AH!$U$7+2575))</f>
        <v/>
      </c>
      <c r="L2580" s="15">
        <f>IF(ISNUMBER(A2580),TEXT(A2580,"dd-mmm-yy"),"")</f>
        <v/>
      </c>
    </row>
    <row r="2581">
      <c r="A2581" s="14">
        <f>IF(OR(AH!$U$4=0,2576+1&gt;AH!$U$6,AND(AH!$M$5="Bloomberg",AH!$U$5=0)),"",IFERROR(IF(AND(AH!$U$12=1,2576+1=AH!$U$6),TODAY(),IF(AH!$U$5=1,INDEX('Live History'!$A$5:$A$3004,AH!$U$7+2576),INDEX('AH History'!$A$5:$A$1380,AH!$U$7+2576))),""))</f>
        <v/>
      </c>
      <c r="B2581" s="33">
        <f>IFERROR(IF(AH!$U$11=1,NA(),$J2581/$E2581-1),NA())</f>
        <v/>
      </c>
      <c r="C2581" s="269">
        <f>IFERROR(100*$E2581/$E$5,NA())</f>
        <v/>
      </c>
      <c r="D2581" s="269">
        <f>IFERROR(100*$J2581/$J$5,NA())</f>
        <v/>
      </c>
      <c r="E2581" s="32">
        <f>IFERROR(IF(AND(ISNUMBER($A2581),N(IF(AND(AH!$U$12=1,2576+1=AH!$U$6),IF(AH!$U$4=0,"unavailable",INDEX('Market Data'!$AN$5:$AN$66,AH!$U$4)),IF(AH!$U$5=1,INDEX('Live History'!$B$5:$B$3004,$K2581),INDEX('AH History'!$D$5:$GG$1380,$K2581,AH!$U$10))))&gt;0),IF(AND(AH!$U$12=1,2576+1=AH!$U$6),IF(AH!$U$4=0,"unavailable",INDEX('Market Data'!$AN$5:$AN$66,AH!$U$4)),IF(AH!$U$5=1,INDEX('Live History'!$B$5:$B$3004,$K2581),INDEX('AH History'!$D$5:$GG$1380,$K2581,AH!$U$10))),NA()),NA())</f>
        <v/>
      </c>
      <c r="F2581" s="32">
        <f>IFERROR(IF(ISNUMBER($A2581),IF(AND(AH!$U$12=1,2576+1=AH!$U$6),IF(AH!$U$4=0,"unavailable",INDEX('Market Data'!$AO$5:$AO$66,AH!$U$4)),IF(AH!$U$5=1,INDEX('Live History'!$E$5:$E$3004,MATCH($A2581,'Live History'!$D$5:$D$3004,1)),INDEX('AH History'!$D$5:$GG$1380,$K2581,AH!$U$10+1))),NA()),NA())</f>
        <v/>
      </c>
      <c r="G2581" s="34">
        <f>IFERROR(IF(ISNUMBER($A2581),IF(AND(AH!$U$12=1,2576+1=AH!$U$6),IF(AH!$U$4=0,"unavailable",INDEX('Market Data'!$AK$5:$AK$66,AH!$U$4)),IF(AH!$U$5=1,INDEX('Live History'!$D$5:$D$3004,MATCH($A2581,'Live History'!$D$5:$D$3004,1)),INDEX('AH History'!$D$5:$GG$1380,$K2581,AH!$U$10+2))),NA()),NA())</f>
        <v/>
      </c>
      <c r="H2581" s="266">
        <f>IFERROR(IF(ISNUMBER($A2581),IF(AND(AH!$U$12=1,2576+1=AH!$U$6),IF(AH!$U$4=0,"unavailable",INDEX('Market Data'!$AP$5:$AP$66,AH!$U$4)),IF(AH!$U$5=1,INDEX('Live History'!$H$5:$H$3004,MATCH($A2581,'Live History'!$G$5:$G$3004,1)),INDEX('AH History'!$B$5:$B$1380,$K2581))),NA()),NA())</f>
        <v/>
      </c>
      <c r="I2581" s="34">
        <f>IFERROR(IF(ISNUMBER($A2581),IF(AND(AH!$U$12=1,2576+1=AH!$U$6),TODAY(),IF(AH!$U$5=1,INDEX('Live History'!$G$5:$G$3004,MATCH($A2581,'Live History'!$G$5:$G$3004,1)),INDEX('AH History'!$C$5:$C$1380,$K2581))),NA()),NA())</f>
        <v/>
      </c>
      <c r="J2581" s="32">
        <f>IFERROR(IF(AND($F2581&gt;0,$H2581&gt;0,$A2581-$G2581&lt;=10,$A2581-$I2581&lt;=5,$G2581&gt;0,$I2581&gt;0),$F2581*$H2581,NA()),NA())</f>
        <v/>
      </c>
      <c r="K2581" s="15">
        <f>IF($A2581="","",IF(AH!$U$5=1,IFERROR(MATCH($A2581,'Live History'!$A$5:$A$3004,0),0),AH!$U$7+2576))</f>
        <v/>
      </c>
      <c r="L2581" s="15">
        <f>IF(ISNUMBER(A2581),TEXT(A2581,"dd-mmm-yy"),"")</f>
        <v/>
      </c>
    </row>
    <row r="2582">
      <c r="A2582" s="14">
        <f>IF(OR(AH!$U$4=0,2577+1&gt;AH!$U$6,AND(AH!$M$5="Bloomberg",AH!$U$5=0)),"",IFERROR(IF(AND(AH!$U$12=1,2577+1=AH!$U$6),TODAY(),IF(AH!$U$5=1,INDEX('Live History'!$A$5:$A$3004,AH!$U$7+2577),INDEX('AH History'!$A$5:$A$1380,AH!$U$7+2577))),""))</f>
        <v/>
      </c>
      <c r="B2582" s="33">
        <f>IFERROR(IF(AH!$U$11=1,NA(),$J2582/$E2582-1),NA())</f>
        <v/>
      </c>
      <c r="C2582" s="269">
        <f>IFERROR(100*$E2582/$E$5,NA())</f>
        <v/>
      </c>
      <c r="D2582" s="269">
        <f>IFERROR(100*$J2582/$J$5,NA())</f>
        <v/>
      </c>
      <c r="E2582" s="32">
        <f>IFERROR(IF(AND(ISNUMBER($A2582),N(IF(AND(AH!$U$12=1,2577+1=AH!$U$6),IF(AH!$U$4=0,"unavailable",INDEX('Market Data'!$AN$5:$AN$66,AH!$U$4)),IF(AH!$U$5=1,INDEX('Live History'!$B$5:$B$3004,$K2582),INDEX('AH History'!$D$5:$GG$1380,$K2582,AH!$U$10))))&gt;0),IF(AND(AH!$U$12=1,2577+1=AH!$U$6),IF(AH!$U$4=0,"unavailable",INDEX('Market Data'!$AN$5:$AN$66,AH!$U$4)),IF(AH!$U$5=1,INDEX('Live History'!$B$5:$B$3004,$K2582),INDEX('AH History'!$D$5:$GG$1380,$K2582,AH!$U$10))),NA()),NA())</f>
        <v/>
      </c>
      <c r="F2582" s="32">
        <f>IFERROR(IF(ISNUMBER($A2582),IF(AND(AH!$U$12=1,2577+1=AH!$U$6),IF(AH!$U$4=0,"unavailable",INDEX('Market Data'!$AO$5:$AO$66,AH!$U$4)),IF(AH!$U$5=1,INDEX('Live History'!$E$5:$E$3004,MATCH($A2582,'Live History'!$D$5:$D$3004,1)),INDEX('AH History'!$D$5:$GG$1380,$K2582,AH!$U$10+1))),NA()),NA())</f>
        <v/>
      </c>
      <c r="G2582" s="34">
        <f>IFERROR(IF(ISNUMBER($A2582),IF(AND(AH!$U$12=1,2577+1=AH!$U$6),IF(AH!$U$4=0,"unavailable",INDEX('Market Data'!$AK$5:$AK$66,AH!$U$4)),IF(AH!$U$5=1,INDEX('Live History'!$D$5:$D$3004,MATCH($A2582,'Live History'!$D$5:$D$3004,1)),INDEX('AH History'!$D$5:$GG$1380,$K2582,AH!$U$10+2))),NA()),NA())</f>
        <v/>
      </c>
      <c r="H2582" s="266">
        <f>IFERROR(IF(ISNUMBER($A2582),IF(AND(AH!$U$12=1,2577+1=AH!$U$6),IF(AH!$U$4=0,"unavailable",INDEX('Market Data'!$AP$5:$AP$66,AH!$U$4)),IF(AH!$U$5=1,INDEX('Live History'!$H$5:$H$3004,MATCH($A2582,'Live History'!$G$5:$G$3004,1)),INDEX('AH History'!$B$5:$B$1380,$K2582))),NA()),NA())</f>
        <v/>
      </c>
      <c r="I2582" s="34">
        <f>IFERROR(IF(ISNUMBER($A2582),IF(AND(AH!$U$12=1,2577+1=AH!$U$6),TODAY(),IF(AH!$U$5=1,INDEX('Live History'!$G$5:$G$3004,MATCH($A2582,'Live History'!$G$5:$G$3004,1)),INDEX('AH History'!$C$5:$C$1380,$K2582))),NA()),NA())</f>
        <v/>
      </c>
      <c r="J2582" s="32">
        <f>IFERROR(IF(AND($F2582&gt;0,$H2582&gt;0,$A2582-$G2582&lt;=10,$A2582-$I2582&lt;=5,$G2582&gt;0,$I2582&gt;0),$F2582*$H2582,NA()),NA())</f>
        <v/>
      </c>
      <c r="K2582" s="15">
        <f>IF($A2582="","",IF(AH!$U$5=1,IFERROR(MATCH($A2582,'Live History'!$A$5:$A$3004,0),0),AH!$U$7+2577))</f>
        <v/>
      </c>
      <c r="L2582" s="15">
        <f>IF(ISNUMBER(A2582),TEXT(A2582,"dd-mmm-yy"),"")</f>
        <v/>
      </c>
    </row>
    <row r="2583">
      <c r="A2583" s="14">
        <f>IF(OR(AH!$U$4=0,2578+1&gt;AH!$U$6,AND(AH!$M$5="Bloomberg",AH!$U$5=0)),"",IFERROR(IF(AND(AH!$U$12=1,2578+1=AH!$U$6),TODAY(),IF(AH!$U$5=1,INDEX('Live History'!$A$5:$A$3004,AH!$U$7+2578),INDEX('AH History'!$A$5:$A$1380,AH!$U$7+2578))),""))</f>
        <v/>
      </c>
      <c r="B2583" s="33">
        <f>IFERROR(IF(AH!$U$11=1,NA(),$J2583/$E2583-1),NA())</f>
        <v/>
      </c>
      <c r="C2583" s="269">
        <f>IFERROR(100*$E2583/$E$5,NA())</f>
        <v/>
      </c>
      <c r="D2583" s="269">
        <f>IFERROR(100*$J2583/$J$5,NA())</f>
        <v/>
      </c>
      <c r="E2583" s="32">
        <f>IFERROR(IF(AND(ISNUMBER($A2583),N(IF(AND(AH!$U$12=1,2578+1=AH!$U$6),IF(AH!$U$4=0,"unavailable",INDEX('Market Data'!$AN$5:$AN$66,AH!$U$4)),IF(AH!$U$5=1,INDEX('Live History'!$B$5:$B$3004,$K2583),INDEX('AH History'!$D$5:$GG$1380,$K2583,AH!$U$10))))&gt;0),IF(AND(AH!$U$12=1,2578+1=AH!$U$6),IF(AH!$U$4=0,"unavailable",INDEX('Market Data'!$AN$5:$AN$66,AH!$U$4)),IF(AH!$U$5=1,INDEX('Live History'!$B$5:$B$3004,$K2583),INDEX('AH History'!$D$5:$GG$1380,$K2583,AH!$U$10))),NA()),NA())</f>
        <v/>
      </c>
      <c r="F2583" s="32">
        <f>IFERROR(IF(ISNUMBER($A2583),IF(AND(AH!$U$12=1,2578+1=AH!$U$6),IF(AH!$U$4=0,"unavailable",INDEX('Market Data'!$AO$5:$AO$66,AH!$U$4)),IF(AH!$U$5=1,INDEX('Live History'!$E$5:$E$3004,MATCH($A2583,'Live History'!$D$5:$D$3004,1)),INDEX('AH History'!$D$5:$GG$1380,$K2583,AH!$U$10+1))),NA()),NA())</f>
        <v/>
      </c>
      <c r="G2583" s="34">
        <f>IFERROR(IF(ISNUMBER($A2583),IF(AND(AH!$U$12=1,2578+1=AH!$U$6),IF(AH!$U$4=0,"unavailable",INDEX('Market Data'!$AK$5:$AK$66,AH!$U$4)),IF(AH!$U$5=1,INDEX('Live History'!$D$5:$D$3004,MATCH($A2583,'Live History'!$D$5:$D$3004,1)),INDEX('AH History'!$D$5:$GG$1380,$K2583,AH!$U$10+2))),NA()),NA())</f>
        <v/>
      </c>
      <c r="H2583" s="266">
        <f>IFERROR(IF(ISNUMBER($A2583),IF(AND(AH!$U$12=1,2578+1=AH!$U$6),IF(AH!$U$4=0,"unavailable",INDEX('Market Data'!$AP$5:$AP$66,AH!$U$4)),IF(AH!$U$5=1,INDEX('Live History'!$H$5:$H$3004,MATCH($A2583,'Live History'!$G$5:$G$3004,1)),INDEX('AH History'!$B$5:$B$1380,$K2583))),NA()),NA())</f>
        <v/>
      </c>
      <c r="I2583" s="34">
        <f>IFERROR(IF(ISNUMBER($A2583),IF(AND(AH!$U$12=1,2578+1=AH!$U$6),TODAY(),IF(AH!$U$5=1,INDEX('Live History'!$G$5:$G$3004,MATCH($A2583,'Live History'!$G$5:$G$3004,1)),INDEX('AH History'!$C$5:$C$1380,$K2583))),NA()),NA())</f>
        <v/>
      </c>
      <c r="J2583" s="32">
        <f>IFERROR(IF(AND($F2583&gt;0,$H2583&gt;0,$A2583-$G2583&lt;=10,$A2583-$I2583&lt;=5,$G2583&gt;0,$I2583&gt;0),$F2583*$H2583,NA()),NA())</f>
        <v/>
      </c>
      <c r="K2583" s="15">
        <f>IF($A2583="","",IF(AH!$U$5=1,IFERROR(MATCH($A2583,'Live History'!$A$5:$A$3004,0),0),AH!$U$7+2578))</f>
        <v/>
      </c>
      <c r="L2583" s="15">
        <f>IF(ISNUMBER(A2583),TEXT(A2583,"dd-mmm-yy"),"")</f>
        <v/>
      </c>
    </row>
    <row r="2584">
      <c r="A2584" s="14">
        <f>IF(OR(AH!$U$4=0,2579+1&gt;AH!$U$6,AND(AH!$M$5="Bloomberg",AH!$U$5=0)),"",IFERROR(IF(AND(AH!$U$12=1,2579+1=AH!$U$6),TODAY(),IF(AH!$U$5=1,INDEX('Live History'!$A$5:$A$3004,AH!$U$7+2579),INDEX('AH History'!$A$5:$A$1380,AH!$U$7+2579))),""))</f>
        <v/>
      </c>
      <c r="B2584" s="33">
        <f>IFERROR(IF(AH!$U$11=1,NA(),$J2584/$E2584-1),NA())</f>
        <v/>
      </c>
      <c r="C2584" s="269">
        <f>IFERROR(100*$E2584/$E$5,NA())</f>
        <v/>
      </c>
      <c r="D2584" s="269">
        <f>IFERROR(100*$J2584/$J$5,NA())</f>
        <v/>
      </c>
      <c r="E2584" s="32">
        <f>IFERROR(IF(AND(ISNUMBER($A2584),N(IF(AND(AH!$U$12=1,2579+1=AH!$U$6),IF(AH!$U$4=0,"unavailable",INDEX('Market Data'!$AN$5:$AN$66,AH!$U$4)),IF(AH!$U$5=1,INDEX('Live History'!$B$5:$B$3004,$K2584),INDEX('AH History'!$D$5:$GG$1380,$K2584,AH!$U$10))))&gt;0),IF(AND(AH!$U$12=1,2579+1=AH!$U$6),IF(AH!$U$4=0,"unavailable",INDEX('Market Data'!$AN$5:$AN$66,AH!$U$4)),IF(AH!$U$5=1,INDEX('Live History'!$B$5:$B$3004,$K2584),INDEX('AH History'!$D$5:$GG$1380,$K2584,AH!$U$10))),NA()),NA())</f>
        <v/>
      </c>
      <c r="F2584" s="32">
        <f>IFERROR(IF(ISNUMBER($A2584),IF(AND(AH!$U$12=1,2579+1=AH!$U$6),IF(AH!$U$4=0,"unavailable",INDEX('Market Data'!$AO$5:$AO$66,AH!$U$4)),IF(AH!$U$5=1,INDEX('Live History'!$E$5:$E$3004,MATCH($A2584,'Live History'!$D$5:$D$3004,1)),INDEX('AH History'!$D$5:$GG$1380,$K2584,AH!$U$10+1))),NA()),NA())</f>
        <v/>
      </c>
      <c r="G2584" s="34">
        <f>IFERROR(IF(ISNUMBER($A2584),IF(AND(AH!$U$12=1,2579+1=AH!$U$6),IF(AH!$U$4=0,"unavailable",INDEX('Market Data'!$AK$5:$AK$66,AH!$U$4)),IF(AH!$U$5=1,INDEX('Live History'!$D$5:$D$3004,MATCH($A2584,'Live History'!$D$5:$D$3004,1)),INDEX('AH History'!$D$5:$GG$1380,$K2584,AH!$U$10+2))),NA()),NA())</f>
        <v/>
      </c>
      <c r="H2584" s="266">
        <f>IFERROR(IF(ISNUMBER($A2584),IF(AND(AH!$U$12=1,2579+1=AH!$U$6),IF(AH!$U$4=0,"unavailable",INDEX('Market Data'!$AP$5:$AP$66,AH!$U$4)),IF(AH!$U$5=1,INDEX('Live History'!$H$5:$H$3004,MATCH($A2584,'Live History'!$G$5:$G$3004,1)),INDEX('AH History'!$B$5:$B$1380,$K2584))),NA()),NA())</f>
        <v/>
      </c>
      <c r="I2584" s="34">
        <f>IFERROR(IF(ISNUMBER($A2584),IF(AND(AH!$U$12=1,2579+1=AH!$U$6),TODAY(),IF(AH!$U$5=1,INDEX('Live History'!$G$5:$G$3004,MATCH($A2584,'Live History'!$G$5:$G$3004,1)),INDEX('AH History'!$C$5:$C$1380,$K2584))),NA()),NA())</f>
        <v/>
      </c>
      <c r="J2584" s="32">
        <f>IFERROR(IF(AND($F2584&gt;0,$H2584&gt;0,$A2584-$G2584&lt;=10,$A2584-$I2584&lt;=5,$G2584&gt;0,$I2584&gt;0),$F2584*$H2584,NA()),NA())</f>
        <v/>
      </c>
      <c r="K2584" s="15">
        <f>IF($A2584="","",IF(AH!$U$5=1,IFERROR(MATCH($A2584,'Live History'!$A$5:$A$3004,0),0),AH!$U$7+2579))</f>
        <v/>
      </c>
      <c r="L2584" s="15">
        <f>IF(ISNUMBER(A2584),TEXT(A2584,"dd-mmm-yy"),"")</f>
        <v/>
      </c>
    </row>
    <row r="2585">
      <c r="A2585" s="14">
        <f>IF(OR(AH!$U$4=0,2580+1&gt;AH!$U$6,AND(AH!$M$5="Bloomberg",AH!$U$5=0)),"",IFERROR(IF(AND(AH!$U$12=1,2580+1=AH!$U$6),TODAY(),IF(AH!$U$5=1,INDEX('Live History'!$A$5:$A$3004,AH!$U$7+2580),INDEX('AH History'!$A$5:$A$1380,AH!$U$7+2580))),""))</f>
        <v/>
      </c>
      <c r="B2585" s="33">
        <f>IFERROR(IF(AH!$U$11=1,NA(),$J2585/$E2585-1),NA())</f>
        <v/>
      </c>
      <c r="C2585" s="269">
        <f>IFERROR(100*$E2585/$E$5,NA())</f>
        <v/>
      </c>
      <c r="D2585" s="269">
        <f>IFERROR(100*$J2585/$J$5,NA())</f>
        <v/>
      </c>
      <c r="E2585" s="32">
        <f>IFERROR(IF(AND(ISNUMBER($A2585),N(IF(AND(AH!$U$12=1,2580+1=AH!$U$6),IF(AH!$U$4=0,"unavailable",INDEX('Market Data'!$AN$5:$AN$66,AH!$U$4)),IF(AH!$U$5=1,INDEX('Live History'!$B$5:$B$3004,$K2585),INDEX('AH History'!$D$5:$GG$1380,$K2585,AH!$U$10))))&gt;0),IF(AND(AH!$U$12=1,2580+1=AH!$U$6),IF(AH!$U$4=0,"unavailable",INDEX('Market Data'!$AN$5:$AN$66,AH!$U$4)),IF(AH!$U$5=1,INDEX('Live History'!$B$5:$B$3004,$K2585),INDEX('AH History'!$D$5:$GG$1380,$K2585,AH!$U$10))),NA()),NA())</f>
        <v/>
      </c>
      <c r="F2585" s="32">
        <f>IFERROR(IF(ISNUMBER($A2585),IF(AND(AH!$U$12=1,2580+1=AH!$U$6),IF(AH!$U$4=0,"unavailable",INDEX('Market Data'!$AO$5:$AO$66,AH!$U$4)),IF(AH!$U$5=1,INDEX('Live History'!$E$5:$E$3004,MATCH($A2585,'Live History'!$D$5:$D$3004,1)),INDEX('AH History'!$D$5:$GG$1380,$K2585,AH!$U$10+1))),NA()),NA())</f>
        <v/>
      </c>
      <c r="G2585" s="34">
        <f>IFERROR(IF(ISNUMBER($A2585),IF(AND(AH!$U$12=1,2580+1=AH!$U$6),IF(AH!$U$4=0,"unavailable",INDEX('Market Data'!$AK$5:$AK$66,AH!$U$4)),IF(AH!$U$5=1,INDEX('Live History'!$D$5:$D$3004,MATCH($A2585,'Live History'!$D$5:$D$3004,1)),INDEX('AH History'!$D$5:$GG$1380,$K2585,AH!$U$10+2))),NA()),NA())</f>
        <v/>
      </c>
      <c r="H2585" s="266">
        <f>IFERROR(IF(ISNUMBER($A2585),IF(AND(AH!$U$12=1,2580+1=AH!$U$6),IF(AH!$U$4=0,"unavailable",INDEX('Market Data'!$AP$5:$AP$66,AH!$U$4)),IF(AH!$U$5=1,INDEX('Live History'!$H$5:$H$3004,MATCH($A2585,'Live History'!$G$5:$G$3004,1)),INDEX('AH History'!$B$5:$B$1380,$K2585))),NA()),NA())</f>
        <v/>
      </c>
      <c r="I2585" s="34">
        <f>IFERROR(IF(ISNUMBER($A2585),IF(AND(AH!$U$12=1,2580+1=AH!$U$6),TODAY(),IF(AH!$U$5=1,INDEX('Live History'!$G$5:$G$3004,MATCH($A2585,'Live History'!$G$5:$G$3004,1)),INDEX('AH History'!$C$5:$C$1380,$K2585))),NA()),NA())</f>
        <v/>
      </c>
      <c r="J2585" s="32">
        <f>IFERROR(IF(AND($F2585&gt;0,$H2585&gt;0,$A2585-$G2585&lt;=10,$A2585-$I2585&lt;=5,$G2585&gt;0,$I2585&gt;0),$F2585*$H2585,NA()),NA())</f>
        <v/>
      </c>
      <c r="K2585" s="15">
        <f>IF($A2585="","",IF(AH!$U$5=1,IFERROR(MATCH($A2585,'Live History'!$A$5:$A$3004,0),0),AH!$U$7+2580))</f>
        <v/>
      </c>
      <c r="L2585" s="15">
        <f>IF(ISNUMBER(A2585),TEXT(A2585,"dd-mmm-yy"),"")</f>
        <v/>
      </c>
    </row>
    <row r="2586">
      <c r="A2586" s="14">
        <f>IF(OR(AH!$U$4=0,2581+1&gt;AH!$U$6,AND(AH!$M$5="Bloomberg",AH!$U$5=0)),"",IFERROR(IF(AND(AH!$U$12=1,2581+1=AH!$U$6),TODAY(),IF(AH!$U$5=1,INDEX('Live History'!$A$5:$A$3004,AH!$U$7+2581),INDEX('AH History'!$A$5:$A$1380,AH!$U$7+2581))),""))</f>
        <v/>
      </c>
      <c r="B2586" s="33">
        <f>IFERROR(IF(AH!$U$11=1,NA(),$J2586/$E2586-1),NA())</f>
        <v/>
      </c>
      <c r="C2586" s="269">
        <f>IFERROR(100*$E2586/$E$5,NA())</f>
        <v/>
      </c>
      <c r="D2586" s="269">
        <f>IFERROR(100*$J2586/$J$5,NA())</f>
        <v/>
      </c>
      <c r="E2586" s="32">
        <f>IFERROR(IF(AND(ISNUMBER($A2586),N(IF(AND(AH!$U$12=1,2581+1=AH!$U$6),IF(AH!$U$4=0,"unavailable",INDEX('Market Data'!$AN$5:$AN$66,AH!$U$4)),IF(AH!$U$5=1,INDEX('Live History'!$B$5:$B$3004,$K2586),INDEX('AH History'!$D$5:$GG$1380,$K2586,AH!$U$10))))&gt;0),IF(AND(AH!$U$12=1,2581+1=AH!$U$6),IF(AH!$U$4=0,"unavailable",INDEX('Market Data'!$AN$5:$AN$66,AH!$U$4)),IF(AH!$U$5=1,INDEX('Live History'!$B$5:$B$3004,$K2586),INDEX('AH History'!$D$5:$GG$1380,$K2586,AH!$U$10))),NA()),NA())</f>
        <v/>
      </c>
      <c r="F2586" s="32">
        <f>IFERROR(IF(ISNUMBER($A2586),IF(AND(AH!$U$12=1,2581+1=AH!$U$6),IF(AH!$U$4=0,"unavailable",INDEX('Market Data'!$AO$5:$AO$66,AH!$U$4)),IF(AH!$U$5=1,INDEX('Live History'!$E$5:$E$3004,MATCH($A2586,'Live History'!$D$5:$D$3004,1)),INDEX('AH History'!$D$5:$GG$1380,$K2586,AH!$U$10+1))),NA()),NA())</f>
        <v/>
      </c>
      <c r="G2586" s="34">
        <f>IFERROR(IF(ISNUMBER($A2586),IF(AND(AH!$U$12=1,2581+1=AH!$U$6),IF(AH!$U$4=0,"unavailable",INDEX('Market Data'!$AK$5:$AK$66,AH!$U$4)),IF(AH!$U$5=1,INDEX('Live History'!$D$5:$D$3004,MATCH($A2586,'Live History'!$D$5:$D$3004,1)),INDEX('AH History'!$D$5:$GG$1380,$K2586,AH!$U$10+2))),NA()),NA())</f>
        <v/>
      </c>
      <c r="H2586" s="266">
        <f>IFERROR(IF(ISNUMBER($A2586),IF(AND(AH!$U$12=1,2581+1=AH!$U$6),IF(AH!$U$4=0,"unavailable",INDEX('Market Data'!$AP$5:$AP$66,AH!$U$4)),IF(AH!$U$5=1,INDEX('Live History'!$H$5:$H$3004,MATCH($A2586,'Live History'!$G$5:$G$3004,1)),INDEX('AH History'!$B$5:$B$1380,$K2586))),NA()),NA())</f>
        <v/>
      </c>
      <c r="I2586" s="34">
        <f>IFERROR(IF(ISNUMBER($A2586),IF(AND(AH!$U$12=1,2581+1=AH!$U$6),TODAY(),IF(AH!$U$5=1,INDEX('Live History'!$G$5:$G$3004,MATCH($A2586,'Live History'!$G$5:$G$3004,1)),INDEX('AH History'!$C$5:$C$1380,$K2586))),NA()),NA())</f>
        <v/>
      </c>
      <c r="J2586" s="32">
        <f>IFERROR(IF(AND($F2586&gt;0,$H2586&gt;0,$A2586-$G2586&lt;=10,$A2586-$I2586&lt;=5,$G2586&gt;0,$I2586&gt;0),$F2586*$H2586,NA()),NA())</f>
        <v/>
      </c>
      <c r="K2586" s="15">
        <f>IF($A2586="","",IF(AH!$U$5=1,IFERROR(MATCH($A2586,'Live History'!$A$5:$A$3004,0),0),AH!$U$7+2581))</f>
        <v/>
      </c>
      <c r="L2586" s="15">
        <f>IF(ISNUMBER(A2586),TEXT(A2586,"dd-mmm-yy"),"")</f>
        <v/>
      </c>
    </row>
    <row r="2587">
      <c r="A2587" s="14">
        <f>IF(OR(AH!$U$4=0,2582+1&gt;AH!$U$6,AND(AH!$M$5="Bloomberg",AH!$U$5=0)),"",IFERROR(IF(AND(AH!$U$12=1,2582+1=AH!$U$6),TODAY(),IF(AH!$U$5=1,INDEX('Live History'!$A$5:$A$3004,AH!$U$7+2582),INDEX('AH History'!$A$5:$A$1380,AH!$U$7+2582))),""))</f>
        <v/>
      </c>
      <c r="B2587" s="33">
        <f>IFERROR(IF(AH!$U$11=1,NA(),$J2587/$E2587-1),NA())</f>
        <v/>
      </c>
      <c r="C2587" s="269">
        <f>IFERROR(100*$E2587/$E$5,NA())</f>
        <v/>
      </c>
      <c r="D2587" s="269">
        <f>IFERROR(100*$J2587/$J$5,NA())</f>
        <v/>
      </c>
      <c r="E2587" s="32">
        <f>IFERROR(IF(AND(ISNUMBER($A2587),N(IF(AND(AH!$U$12=1,2582+1=AH!$U$6),IF(AH!$U$4=0,"unavailable",INDEX('Market Data'!$AN$5:$AN$66,AH!$U$4)),IF(AH!$U$5=1,INDEX('Live History'!$B$5:$B$3004,$K2587),INDEX('AH History'!$D$5:$GG$1380,$K2587,AH!$U$10))))&gt;0),IF(AND(AH!$U$12=1,2582+1=AH!$U$6),IF(AH!$U$4=0,"unavailable",INDEX('Market Data'!$AN$5:$AN$66,AH!$U$4)),IF(AH!$U$5=1,INDEX('Live History'!$B$5:$B$3004,$K2587),INDEX('AH History'!$D$5:$GG$1380,$K2587,AH!$U$10))),NA()),NA())</f>
        <v/>
      </c>
      <c r="F2587" s="32">
        <f>IFERROR(IF(ISNUMBER($A2587),IF(AND(AH!$U$12=1,2582+1=AH!$U$6),IF(AH!$U$4=0,"unavailable",INDEX('Market Data'!$AO$5:$AO$66,AH!$U$4)),IF(AH!$U$5=1,INDEX('Live History'!$E$5:$E$3004,MATCH($A2587,'Live History'!$D$5:$D$3004,1)),INDEX('AH History'!$D$5:$GG$1380,$K2587,AH!$U$10+1))),NA()),NA())</f>
        <v/>
      </c>
      <c r="G2587" s="34">
        <f>IFERROR(IF(ISNUMBER($A2587),IF(AND(AH!$U$12=1,2582+1=AH!$U$6),IF(AH!$U$4=0,"unavailable",INDEX('Market Data'!$AK$5:$AK$66,AH!$U$4)),IF(AH!$U$5=1,INDEX('Live History'!$D$5:$D$3004,MATCH($A2587,'Live History'!$D$5:$D$3004,1)),INDEX('AH History'!$D$5:$GG$1380,$K2587,AH!$U$10+2))),NA()),NA())</f>
        <v/>
      </c>
      <c r="H2587" s="266">
        <f>IFERROR(IF(ISNUMBER($A2587),IF(AND(AH!$U$12=1,2582+1=AH!$U$6),IF(AH!$U$4=0,"unavailable",INDEX('Market Data'!$AP$5:$AP$66,AH!$U$4)),IF(AH!$U$5=1,INDEX('Live History'!$H$5:$H$3004,MATCH($A2587,'Live History'!$G$5:$G$3004,1)),INDEX('AH History'!$B$5:$B$1380,$K2587))),NA()),NA())</f>
        <v/>
      </c>
      <c r="I2587" s="34">
        <f>IFERROR(IF(ISNUMBER($A2587),IF(AND(AH!$U$12=1,2582+1=AH!$U$6),TODAY(),IF(AH!$U$5=1,INDEX('Live History'!$G$5:$G$3004,MATCH($A2587,'Live History'!$G$5:$G$3004,1)),INDEX('AH History'!$C$5:$C$1380,$K2587))),NA()),NA())</f>
        <v/>
      </c>
      <c r="J2587" s="32">
        <f>IFERROR(IF(AND($F2587&gt;0,$H2587&gt;0,$A2587-$G2587&lt;=10,$A2587-$I2587&lt;=5,$G2587&gt;0,$I2587&gt;0),$F2587*$H2587,NA()),NA())</f>
        <v/>
      </c>
      <c r="K2587" s="15">
        <f>IF($A2587="","",IF(AH!$U$5=1,IFERROR(MATCH($A2587,'Live History'!$A$5:$A$3004,0),0),AH!$U$7+2582))</f>
        <v/>
      </c>
      <c r="L2587" s="15">
        <f>IF(ISNUMBER(A2587),TEXT(A2587,"dd-mmm-yy"),"")</f>
        <v/>
      </c>
    </row>
    <row r="2588">
      <c r="A2588" s="14">
        <f>IF(OR(AH!$U$4=0,2583+1&gt;AH!$U$6,AND(AH!$M$5="Bloomberg",AH!$U$5=0)),"",IFERROR(IF(AND(AH!$U$12=1,2583+1=AH!$U$6),TODAY(),IF(AH!$U$5=1,INDEX('Live History'!$A$5:$A$3004,AH!$U$7+2583),INDEX('AH History'!$A$5:$A$1380,AH!$U$7+2583))),""))</f>
        <v/>
      </c>
      <c r="B2588" s="33">
        <f>IFERROR(IF(AH!$U$11=1,NA(),$J2588/$E2588-1),NA())</f>
        <v/>
      </c>
      <c r="C2588" s="269">
        <f>IFERROR(100*$E2588/$E$5,NA())</f>
        <v/>
      </c>
      <c r="D2588" s="269">
        <f>IFERROR(100*$J2588/$J$5,NA())</f>
        <v/>
      </c>
      <c r="E2588" s="32">
        <f>IFERROR(IF(AND(ISNUMBER($A2588),N(IF(AND(AH!$U$12=1,2583+1=AH!$U$6),IF(AH!$U$4=0,"unavailable",INDEX('Market Data'!$AN$5:$AN$66,AH!$U$4)),IF(AH!$U$5=1,INDEX('Live History'!$B$5:$B$3004,$K2588),INDEX('AH History'!$D$5:$GG$1380,$K2588,AH!$U$10))))&gt;0),IF(AND(AH!$U$12=1,2583+1=AH!$U$6),IF(AH!$U$4=0,"unavailable",INDEX('Market Data'!$AN$5:$AN$66,AH!$U$4)),IF(AH!$U$5=1,INDEX('Live History'!$B$5:$B$3004,$K2588),INDEX('AH History'!$D$5:$GG$1380,$K2588,AH!$U$10))),NA()),NA())</f>
        <v/>
      </c>
      <c r="F2588" s="32">
        <f>IFERROR(IF(ISNUMBER($A2588),IF(AND(AH!$U$12=1,2583+1=AH!$U$6),IF(AH!$U$4=0,"unavailable",INDEX('Market Data'!$AO$5:$AO$66,AH!$U$4)),IF(AH!$U$5=1,INDEX('Live History'!$E$5:$E$3004,MATCH($A2588,'Live History'!$D$5:$D$3004,1)),INDEX('AH History'!$D$5:$GG$1380,$K2588,AH!$U$10+1))),NA()),NA())</f>
        <v/>
      </c>
      <c r="G2588" s="34">
        <f>IFERROR(IF(ISNUMBER($A2588),IF(AND(AH!$U$12=1,2583+1=AH!$U$6),IF(AH!$U$4=0,"unavailable",INDEX('Market Data'!$AK$5:$AK$66,AH!$U$4)),IF(AH!$U$5=1,INDEX('Live History'!$D$5:$D$3004,MATCH($A2588,'Live History'!$D$5:$D$3004,1)),INDEX('AH History'!$D$5:$GG$1380,$K2588,AH!$U$10+2))),NA()),NA())</f>
        <v/>
      </c>
      <c r="H2588" s="266">
        <f>IFERROR(IF(ISNUMBER($A2588),IF(AND(AH!$U$12=1,2583+1=AH!$U$6),IF(AH!$U$4=0,"unavailable",INDEX('Market Data'!$AP$5:$AP$66,AH!$U$4)),IF(AH!$U$5=1,INDEX('Live History'!$H$5:$H$3004,MATCH($A2588,'Live History'!$G$5:$G$3004,1)),INDEX('AH History'!$B$5:$B$1380,$K2588))),NA()),NA())</f>
        <v/>
      </c>
      <c r="I2588" s="34">
        <f>IFERROR(IF(ISNUMBER($A2588),IF(AND(AH!$U$12=1,2583+1=AH!$U$6),TODAY(),IF(AH!$U$5=1,INDEX('Live History'!$G$5:$G$3004,MATCH($A2588,'Live History'!$G$5:$G$3004,1)),INDEX('AH History'!$C$5:$C$1380,$K2588))),NA()),NA())</f>
        <v/>
      </c>
      <c r="J2588" s="32">
        <f>IFERROR(IF(AND($F2588&gt;0,$H2588&gt;0,$A2588-$G2588&lt;=10,$A2588-$I2588&lt;=5,$G2588&gt;0,$I2588&gt;0),$F2588*$H2588,NA()),NA())</f>
        <v/>
      </c>
      <c r="K2588" s="15">
        <f>IF($A2588="","",IF(AH!$U$5=1,IFERROR(MATCH($A2588,'Live History'!$A$5:$A$3004,0),0),AH!$U$7+2583))</f>
        <v/>
      </c>
      <c r="L2588" s="15">
        <f>IF(ISNUMBER(A2588),TEXT(A2588,"dd-mmm-yy"),"")</f>
        <v/>
      </c>
    </row>
    <row r="2589">
      <c r="A2589" s="14">
        <f>IF(OR(AH!$U$4=0,2584+1&gt;AH!$U$6,AND(AH!$M$5="Bloomberg",AH!$U$5=0)),"",IFERROR(IF(AND(AH!$U$12=1,2584+1=AH!$U$6),TODAY(),IF(AH!$U$5=1,INDEX('Live History'!$A$5:$A$3004,AH!$U$7+2584),INDEX('AH History'!$A$5:$A$1380,AH!$U$7+2584))),""))</f>
        <v/>
      </c>
      <c r="B2589" s="33">
        <f>IFERROR(IF(AH!$U$11=1,NA(),$J2589/$E2589-1),NA())</f>
        <v/>
      </c>
      <c r="C2589" s="269">
        <f>IFERROR(100*$E2589/$E$5,NA())</f>
        <v/>
      </c>
      <c r="D2589" s="269">
        <f>IFERROR(100*$J2589/$J$5,NA())</f>
        <v/>
      </c>
      <c r="E2589" s="32">
        <f>IFERROR(IF(AND(ISNUMBER($A2589),N(IF(AND(AH!$U$12=1,2584+1=AH!$U$6),IF(AH!$U$4=0,"unavailable",INDEX('Market Data'!$AN$5:$AN$66,AH!$U$4)),IF(AH!$U$5=1,INDEX('Live History'!$B$5:$B$3004,$K2589),INDEX('AH History'!$D$5:$GG$1380,$K2589,AH!$U$10))))&gt;0),IF(AND(AH!$U$12=1,2584+1=AH!$U$6),IF(AH!$U$4=0,"unavailable",INDEX('Market Data'!$AN$5:$AN$66,AH!$U$4)),IF(AH!$U$5=1,INDEX('Live History'!$B$5:$B$3004,$K2589),INDEX('AH History'!$D$5:$GG$1380,$K2589,AH!$U$10))),NA()),NA())</f>
        <v/>
      </c>
      <c r="F2589" s="32">
        <f>IFERROR(IF(ISNUMBER($A2589),IF(AND(AH!$U$12=1,2584+1=AH!$U$6),IF(AH!$U$4=0,"unavailable",INDEX('Market Data'!$AO$5:$AO$66,AH!$U$4)),IF(AH!$U$5=1,INDEX('Live History'!$E$5:$E$3004,MATCH($A2589,'Live History'!$D$5:$D$3004,1)),INDEX('AH History'!$D$5:$GG$1380,$K2589,AH!$U$10+1))),NA()),NA())</f>
        <v/>
      </c>
      <c r="G2589" s="34">
        <f>IFERROR(IF(ISNUMBER($A2589),IF(AND(AH!$U$12=1,2584+1=AH!$U$6),IF(AH!$U$4=0,"unavailable",INDEX('Market Data'!$AK$5:$AK$66,AH!$U$4)),IF(AH!$U$5=1,INDEX('Live History'!$D$5:$D$3004,MATCH($A2589,'Live History'!$D$5:$D$3004,1)),INDEX('AH History'!$D$5:$GG$1380,$K2589,AH!$U$10+2))),NA()),NA())</f>
        <v/>
      </c>
      <c r="H2589" s="266">
        <f>IFERROR(IF(ISNUMBER($A2589),IF(AND(AH!$U$12=1,2584+1=AH!$U$6),IF(AH!$U$4=0,"unavailable",INDEX('Market Data'!$AP$5:$AP$66,AH!$U$4)),IF(AH!$U$5=1,INDEX('Live History'!$H$5:$H$3004,MATCH($A2589,'Live History'!$G$5:$G$3004,1)),INDEX('AH History'!$B$5:$B$1380,$K2589))),NA()),NA())</f>
        <v/>
      </c>
      <c r="I2589" s="34">
        <f>IFERROR(IF(ISNUMBER($A2589),IF(AND(AH!$U$12=1,2584+1=AH!$U$6),TODAY(),IF(AH!$U$5=1,INDEX('Live History'!$G$5:$G$3004,MATCH($A2589,'Live History'!$G$5:$G$3004,1)),INDEX('AH History'!$C$5:$C$1380,$K2589))),NA()),NA())</f>
        <v/>
      </c>
      <c r="J2589" s="32">
        <f>IFERROR(IF(AND($F2589&gt;0,$H2589&gt;0,$A2589-$G2589&lt;=10,$A2589-$I2589&lt;=5,$G2589&gt;0,$I2589&gt;0),$F2589*$H2589,NA()),NA())</f>
        <v/>
      </c>
      <c r="K2589" s="15">
        <f>IF($A2589="","",IF(AH!$U$5=1,IFERROR(MATCH($A2589,'Live History'!$A$5:$A$3004,0),0),AH!$U$7+2584))</f>
        <v/>
      </c>
      <c r="L2589" s="15">
        <f>IF(ISNUMBER(A2589),TEXT(A2589,"dd-mmm-yy"),"")</f>
        <v/>
      </c>
    </row>
    <row r="2590">
      <c r="A2590" s="14">
        <f>IF(OR(AH!$U$4=0,2585+1&gt;AH!$U$6,AND(AH!$M$5="Bloomberg",AH!$U$5=0)),"",IFERROR(IF(AND(AH!$U$12=1,2585+1=AH!$U$6),TODAY(),IF(AH!$U$5=1,INDEX('Live History'!$A$5:$A$3004,AH!$U$7+2585),INDEX('AH History'!$A$5:$A$1380,AH!$U$7+2585))),""))</f>
        <v/>
      </c>
      <c r="B2590" s="33">
        <f>IFERROR(IF(AH!$U$11=1,NA(),$J2590/$E2590-1),NA())</f>
        <v/>
      </c>
      <c r="C2590" s="269">
        <f>IFERROR(100*$E2590/$E$5,NA())</f>
        <v/>
      </c>
      <c r="D2590" s="269">
        <f>IFERROR(100*$J2590/$J$5,NA())</f>
        <v/>
      </c>
      <c r="E2590" s="32">
        <f>IFERROR(IF(AND(ISNUMBER($A2590),N(IF(AND(AH!$U$12=1,2585+1=AH!$U$6),IF(AH!$U$4=0,"unavailable",INDEX('Market Data'!$AN$5:$AN$66,AH!$U$4)),IF(AH!$U$5=1,INDEX('Live History'!$B$5:$B$3004,$K2590),INDEX('AH History'!$D$5:$GG$1380,$K2590,AH!$U$10))))&gt;0),IF(AND(AH!$U$12=1,2585+1=AH!$U$6),IF(AH!$U$4=0,"unavailable",INDEX('Market Data'!$AN$5:$AN$66,AH!$U$4)),IF(AH!$U$5=1,INDEX('Live History'!$B$5:$B$3004,$K2590),INDEX('AH History'!$D$5:$GG$1380,$K2590,AH!$U$10))),NA()),NA())</f>
        <v/>
      </c>
      <c r="F2590" s="32">
        <f>IFERROR(IF(ISNUMBER($A2590),IF(AND(AH!$U$12=1,2585+1=AH!$U$6),IF(AH!$U$4=0,"unavailable",INDEX('Market Data'!$AO$5:$AO$66,AH!$U$4)),IF(AH!$U$5=1,INDEX('Live History'!$E$5:$E$3004,MATCH($A2590,'Live History'!$D$5:$D$3004,1)),INDEX('AH History'!$D$5:$GG$1380,$K2590,AH!$U$10+1))),NA()),NA())</f>
        <v/>
      </c>
      <c r="G2590" s="34">
        <f>IFERROR(IF(ISNUMBER($A2590),IF(AND(AH!$U$12=1,2585+1=AH!$U$6),IF(AH!$U$4=0,"unavailable",INDEX('Market Data'!$AK$5:$AK$66,AH!$U$4)),IF(AH!$U$5=1,INDEX('Live History'!$D$5:$D$3004,MATCH($A2590,'Live History'!$D$5:$D$3004,1)),INDEX('AH History'!$D$5:$GG$1380,$K2590,AH!$U$10+2))),NA()),NA())</f>
        <v/>
      </c>
      <c r="H2590" s="266">
        <f>IFERROR(IF(ISNUMBER($A2590),IF(AND(AH!$U$12=1,2585+1=AH!$U$6),IF(AH!$U$4=0,"unavailable",INDEX('Market Data'!$AP$5:$AP$66,AH!$U$4)),IF(AH!$U$5=1,INDEX('Live History'!$H$5:$H$3004,MATCH($A2590,'Live History'!$G$5:$G$3004,1)),INDEX('AH History'!$B$5:$B$1380,$K2590))),NA()),NA())</f>
        <v/>
      </c>
      <c r="I2590" s="34">
        <f>IFERROR(IF(ISNUMBER($A2590),IF(AND(AH!$U$12=1,2585+1=AH!$U$6),TODAY(),IF(AH!$U$5=1,INDEX('Live History'!$G$5:$G$3004,MATCH($A2590,'Live History'!$G$5:$G$3004,1)),INDEX('AH History'!$C$5:$C$1380,$K2590))),NA()),NA())</f>
        <v/>
      </c>
      <c r="J2590" s="32">
        <f>IFERROR(IF(AND($F2590&gt;0,$H2590&gt;0,$A2590-$G2590&lt;=10,$A2590-$I2590&lt;=5,$G2590&gt;0,$I2590&gt;0),$F2590*$H2590,NA()),NA())</f>
        <v/>
      </c>
      <c r="K2590" s="15">
        <f>IF($A2590="","",IF(AH!$U$5=1,IFERROR(MATCH($A2590,'Live History'!$A$5:$A$3004,0),0),AH!$U$7+2585))</f>
        <v/>
      </c>
      <c r="L2590" s="15">
        <f>IF(ISNUMBER(A2590),TEXT(A2590,"dd-mmm-yy"),"")</f>
        <v/>
      </c>
    </row>
    <row r="2591">
      <c r="A2591" s="14">
        <f>IF(OR(AH!$U$4=0,2586+1&gt;AH!$U$6,AND(AH!$M$5="Bloomberg",AH!$U$5=0)),"",IFERROR(IF(AND(AH!$U$12=1,2586+1=AH!$U$6),TODAY(),IF(AH!$U$5=1,INDEX('Live History'!$A$5:$A$3004,AH!$U$7+2586),INDEX('AH History'!$A$5:$A$1380,AH!$U$7+2586))),""))</f>
        <v/>
      </c>
      <c r="B2591" s="33">
        <f>IFERROR(IF(AH!$U$11=1,NA(),$J2591/$E2591-1),NA())</f>
        <v/>
      </c>
      <c r="C2591" s="269">
        <f>IFERROR(100*$E2591/$E$5,NA())</f>
        <v/>
      </c>
      <c r="D2591" s="269">
        <f>IFERROR(100*$J2591/$J$5,NA())</f>
        <v/>
      </c>
      <c r="E2591" s="32">
        <f>IFERROR(IF(AND(ISNUMBER($A2591),N(IF(AND(AH!$U$12=1,2586+1=AH!$U$6),IF(AH!$U$4=0,"unavailable",INDEX('Market Data'!$AN$5:$AN$66,AH!$U$4)),IF(AH!$U$5=1,INDEX('Live History'!$B$5:$B$3004,$K2591),INDEX('AH History'!$D$5:$GG$1380,$K2591,AH!$U$10))))&gt;0),IF(AND(AH!$U$12=1,2586+1=AH!$U$6),IF(AH!$U$4=0,"unavailable",INDEX('Market Data'!$AN$5:$AN$66,AH!$U$4)),IF(AH!$U$5=1,INDEX('Live History'!$B$5:$B$3004,$K2591),INDEX('AH History'!$D$5:$GG$1380,$K2591,AH!$U$10))),NA()),NA())</f>
        <v/>
      </c>
      <c r="F2591" s="32">
        <f>IFERROR(IF(ISNUMBER($A2591),IF(AND(AH!$U$12=1,2586+1=AH!$U$6),IF(AH!$U$4=0,"unavailable",INDEX('Market Data'!$AO$5:$AO$66,AH!$U$4)),IF(AH!$U$5=1,INDEX('Live History'!$E$5:$E$3004,MATCH($A2591,'Live History'!$D$5:$D$3004,1)),INDEX('AH History'!$D$5:$GG$1380,$K2591,AH!$U$10+1))),NA()),NA())</f>
        <v/>
      </c>
      <c r="G2591" s="34">
        <f>IFERROR(IF(ISNUMBER($A2591),IF(AND(AH!$U$12=1,2586+1=AH!$U$6),IF(AH!$U$4=0,"unavailable",INDEX('Market Data'!$AK$5:$AK$66,AH!$U$4)),IF(AH!$U$5=1,INDEX('Live History'!$D$5:$D$3004,MATCH($A2591,'Live History'!$D$5:$D$3004,1)),INDEX('AH History'!$D$5:$GG$1380,$K2591,AH!$U$10+2))),NA()),NA())</f>
        <v/>
      </c>
      <c r="H2591" s="266">
        <f>IFERROR(IF(ISNUMBER($A2591),IF(AND(AH!$U$12=1,2586+1=AH!$U$6),IF(AH!$U$4=0,"unavailable",INDEX('Market Data'!$AP$5:$AP$66,AH!$U$4)),IF(AH!$U$5=1,INDEX('Live History'!$H$5:$H$3004,MATCH($A2591,'Live History'!$G$5:$G$3004,1)),INDEX('AH History'!$B$5:$B$1380,$K2591))),NA()),NA())</f>
        <v/>
      </c>
      <c r="I2591" s="34">
        <f>IFERROR(IF(ISNUMBER($A2591),IF(AND(AH!$U$12=1,2586+1=AH!$U$6),TODAY(),IF(AH!$U$5=1,INDEX('Live History'!$G$5:$G$3004,MATCH($A2591,'Live History'!$G$5:$G$3004,1)),INDEX('AH History'!$C$5:$C$1380,$K2591))),NA()),NA())</f>
        <v/>
      </c>
      <c r="J2591" s="32">
        <f>IFERROR(IF(AND($F2591&gt;0,$H2591&gt;0,$A2591-$G2591&lt;=10,$A2591-$I2591&lt;=5,$G2591&gt;0,$I2591&gt;0),$F2591*$H2591,NA()),NA())</f>
        <v/>
      </c>
      <c r="K2591" s="15">
        <f>IF($A2591="","",IF(AH!$U$5=1,IFERROR(MATCH($A2591,'Live History'!$A$5:$A$3004,0),0),AH!$U$7+2586))</f>
        <v/>
      </c>
      <c r="L2591" s="15">
        <f>IF(ISNUMBER(A2591),TEXT(A2591,"dd-mmm-yy"),"")</f>
        <v/>
      </c>
    </row>
    <row r="2592">
      <c r="A2592" s="14">
        <f>IF(OR(AH!$U$4=0,2587+1&gt;AH!$U$6,AND(AH!$M$5="Bloomberg",AH!$U$5=0)),"",IFERROR(IF(AND(AH!$U$12=1,2587+1=AH!$U$6),TODAY(),IF(AH!$U$5=1,INDEX('Live History'!$A$5:$A$3004,AH!$U$7+2587),INDEX('AH History'!$A$5:$A$1380,AH!$U$7+2587))),""))</f>
        <v/>
      </c>
      <c r="B2592" s="33">
        <f>IFERROR(IF(AH!$U$11=1,NA(),$J2592/$E2592-1),NA())</f>
        <v/>
      </c>
      <c r="C2592" s="269">
        <f>IFERROR(100*$E2592/$E$5,NA())</f>
        <v/>
      </c>
      <c r="D2592" s="269">
        <f>IFERROR(100*$J2592/$J$5,NA())</f>
        <v/>
      </c>
      <c r="E2592" s="32">
        <f>IFERROR(IF(AND(ISNUMBER($A2592),N(IF(AND(AH!$U$12=1,2587+1=AH!$U$6),IF(AH!$U$4=0,"unavailable",INDEX('Market Data'!$AN$5:$AN$66,AH!$U$4)),IF(AH!$U$5=1,INDEX('Live History'!$B$5:$B$3004,$K2592),INDEX('AH History'!$D$5:$GG$1380,$K2592,AH!$U$10))))&gt;0),IF(AND(AH!$U$12=1,2587+1=AH!$U$6),IF(AH!$U$4=0,"unavailable",INDEX('Market Data'!$AN$5:$AN$66,AH!$U$4)),IF(AH!$U$5=1,INDEX('Live History'!$B$5:$B$3004,$K2592),INDEX('AH History'!$D$5:$GG$1380,$K2592,AH!$U$10))),NA()),NA())</f>
        <v/>
      </c>
      <c r="F2592" s="32">
        <f>IFERROR(IF(ISNUMBER($A2592),IF(AND(AH!$U$12=1,2587+1=AH!$U$6),IF(AH!$U$4=0,"unavailable",INDEX('Market Data'!$AO$5:$AO$66,AH!$U$4)),IF(AH!$U$5=1,INDEX('Live History'!$E$5:$E$3004,MATCH($A2592,'Live History'!$D$5:$D$3004,1)),INDEX('AH History'!$D$5:$GG$1380,$K2592,AH!$U$10+1))),NA()),NA())</f>
        <v/>
      </c>
      <c r="G2592" s="34">
        <f>IFERROR(IF(ISNUMBER($A2592),IF(AND(AH!$U$12=1,2587+1=AH!$U$6),IF(AH!$U$4=0,"unavailable",INDEX('Market Data'!$AK$5:$AK$66,AH!$U$4)),IF(AH!$U$5=1,INDEX('Live History'!$D$5:$D$3004,MATCH($A2592,'Live History'!$D$5:$D$3004,1)),INDEX('AH History'!$D$5:$GG$1380,$K2592,AH!$U$10+2))),NA()),NA())</f>
        <v/>
      </c>
      <c r="H2592" s="266">
        <f>IFERROR(IF(ISNUMBER($A2592),IF(AND(AH!$U$12=1,2587+1=AH!$U$6),IF(AH!$U$4=0,"unavailable",INDEX('Market Data'!$AP$5:$AP$66,AH!$U$4)),IF(AH!$U$5=1,INDEX('Live History'!$H$5:$H$3004,MATCH($A2592,'Live History'!$G$5:$G$3004,1)),INDEX('AH History'!$B$5:$B$1380,$K2592))),NA()),NA())</f>
        <v/>
      </c>
      <c r="I2592" s="34">
        <f>IFERROR(IF(ISNUMBER($A2592),IF(AND(AH!$U$12=1,2587+1=AH!$U$6),TODAY(),IF(AH!$U$5=1,INDEX('Live History'!$G$5:$G$3004,MATCH($A2592,'Live History'!$G$5:$G$3004,1)),INDEX('AH History'!$C$5:$C$1380,$K2592))),NA()),NA())</f>
        <v/>
      </c>
      <c r="J2592" s="32">
        <f>IFERROR(IF(AND($F2592&gt;0,$H2592&gt;0,$A2592-$G2592&lt;=10,$A2592-$I2592&lt;=5,$G2592&gt;0,$I2592&gt;0),$F2592*$H2592,NA()),NA())</f>
        <v/>
      </c>
      <c r="K2592" s="15">
        <f>IF($A2592="","",IF(AH!$U$5=1,IFERROR(MATCH($A2592,'Live History'!$A$5:$A$3004,0),0),AH!$U$7+2587))</f>
        <v/>
      </c>
      <c r="L2592" s="15">
        <f>IF(ISNUMBER(A2592),TEXT(A2592,"dd-mmm-yy"),"")</f>
        <v/>
      </c>
    </row>
    <row r="2593">
      <c r="A2593" s="14">
        <f>IF(OR(AH!$U$4=0,2588+1&gt;AH!$U$6,AND(AH!$M$5="Bloomberg",AH!$U$5=0)),"",IFERROR(IF(AND(AH!$U$12=1,2588+1=AH!$U$6),TODAY(),IF(AH!$U$5=1,INDEX('Live History'!$A$5:$A$3004,AH!$U$7+2588),INDEX('AH History'!$A$5:$A$1380,AH!$U$7+2588))),""))</f>
        <v/>
      </c>
      <c r="B2593" s="33">
        <f>IFERROR(IF(AH!$U$11=1,NA(),$J2593/$E2593-1),NA())</f>
        <v/>
      </c>
      <c r="C2593" s="269">
        <f>IFERROR(100*$E2593/$E$5,NA())</f>
        <v/>
      </c>
      <c r="D2593" s="269">
        <f>IFERROR(100*$J2593/$J$5,NA())</f>
        <v/>
      </c>
      <c r="E2593" s="32">
        <f>IFERROR(IF(AND(ISNUMBER($A2593),N(IF(AND(AH!$U$12=1,2588+1=AH!$U$6),IF(AH!$U$4=0,"unavailable",INDEX('Market Data'!$AN$5:$AN$66,AH!$U$4)),IF(AH!$U$5=1,INDEX('Live History'!$B$5:$B$3004,$K2593),INDEX('AH History'!$D$5:$GG$1380,$K2593,AH!$U$10))))&gt;0),IF(AND(AH!$U$12=1,2588+1=AH!$U$6),IF(AH!$U$4=0,"unavailable",INDEX('Market Data'!$AN$5:$AN$66,AH!$U$4)),IF(AH!$U$5=1,INDEX('Live History'!$B$5:$B$3004,$K2593),INDEX('AH History'!$D$5:$GG$1380,$K2593,AH!$U$10))),NA()),NA())</f>
        <v/>
      </c>
      <c r="F2593" s="32">
        <f>IFERROR(IF(ISNUMBER($A2593),IF(AND(AH!$U$12=1,2588+1=AH!$U$6),IF(AH!$U$4=0,"unavailable",INDEX('Market Data'!$AO$5:$AO$66,AH!$U$4)),IF(AH!$U$5=1,INDEX('Live History'!$E$5:$E$3004,MATCH($A2593,'Live History'!$D$5:$D$3004,1)),INDEX('AH History'!$D$5:$GG$1380,$K2593,AH!$U$10+1))),NA()),NA())</f>
        <v/>
      </c>
      <c r="G2593" s="34">
        <f>IFERROR(IF(ISNUMBER($A2593),IF(AND(AH!$U$12=1,2588+1=AH!$U$6),IF(AH!$U$4=0,"unavailable",INDEX('Market Data'!$AK$5:$AK$66,AH!$U$4)),IF(AH!$U$5=1,INDEX('Live History'!$D$5:$D$3004,MATCH($A2593,'Live History'!$D$5:$D$3004,1)),INDEX('AH History'!$D$5:$GG$1380,$K2593,AH!$U$10+2))),NA()),NA())</f>
        <v/>
      </c>
      <c r="H2593" s="266">
        <f>IFERROR(IF(ISNUMBER($A2593),IF(AND(AH!$U$12=1,2588+1=AH!$U$6),IF(AH!$U$4=0,"unavailable",INDEX('Market Data'!$AP$5:$AP$66,AH!$U$4)),IF(AH!$U$5=1,INDEX('Live History'!$H$5:$H$3004,MATCH($A2593,'Live History'!$G$5:$G$3004,1)),INDEX('AH History'!$B$5:$B$1380,$K2593))),NA()),NA())</f>
        <v/>
      </c>
      <c r="I2593" s="34">
        <f>IFERROR(IF(ISNUMBER($A2593),IF(AND(AH!$U$12=1,2588+1=AH!$U$6),TODAY(),IF(AH!$U$5=1,INDEX('Live History'!$G$5:$G$3004,MATCH($A2593,'Live History'!$G$5:$G$3004,1)),INDEX('AH History'!$C$5:$C$1380,$K2593))),NA()),NA())</f>
        <v/>
      </c>
      <c r="J2593" s="32">
        <f>IFERROR(IF(AND($F2593&gt;0,$H2593&gt;0,$A2593-$G2593&lt;=10,$A2593-$I2593&lt;=5,$G2593&gt;0,$I2593&gt;0),$F2593*$H2593,NA()),NA())</f>
        <v/>
      </c>
      <c r="K2593" s="15">
        <f>IF($A2593="","",IF(AH!$U$5=1,IFERROR(MATCH($A2593,'Live History'!$A$5:$A$3004,0),0),AH!$U$7+2588))</f>
        <v/>
      </c>
      <c r="L2593" s="15">
        <f>IF(ISNUMBER(A2593),TEXT(A2593,"dd-mmm-yy"),"")</f>
        <v/>
      </c>
    </row>
    <row r="2594">
      <c r="A2594" s="14">
        <f>IF(OR(AH!$U$4=0,2589+1&gt;AH!$U$6,AND(AH!$M$5="Bloomberg",AH!$U$5=0)),"",IFERROR(IF(AND(AH!$U$12=1,2589+1=AH!$U$6),TODAY(),IF(AH!$U$5=1,INDEX('Live History'!$A$5:$A$3004,AH!$U$7+2589),INDEX('AH History'!$A$5:$A$1380,AH!$U$7+2589))),""))</f>
        <v/>
      </c>
      <c r="B2594" s="33">
        <f>IFERROR(IF(AH!$U$11=1,NA(),$J2594/$E2594-1),NA())</f>
        <v/>
      </c>
      <c r="C2594" s="269">
        <f>IFERROR(100*$E2594/$E$5,NA())</f>
        <v/>
      </c>
      <c r="D2594" s="269">
        <f>IFERROR(100*$J2594/$J$5,NA())</f>
        <v/>
      </c>
      <c r="E2594" s="32">
        <f>IFERROR(IF(AND(ISNUMBER($A2594),N(IF(AND(AH!$U$12=1,2589+1=AH!$U$6),IF(AH!$U$4=0,"unavailable",INDEX('Market Data'!$AN$5:$AN$66,AH!$U$4)),IF(AH!$U$5=1,INDEX('Live History'!$B$5:$B$3004,$K2594),INDEX('AH History'!$D$5:$GG$1380,$K2594,AH!$U$10))))&gt;0),IF(AND(AH!$U$12=1,2589+1=AH!$U$6),IF(AH!$U$4=0,"unavailable",INDEX('Market Data'!$AN$5:$AN$66,AH!$U$4)),IF(AH!$U$5=1,INDEX('Live History'!$B$5:$B$3004,$K2594),INDEX('AH History'!$D$5:$GG$1380,$K2594,AH!$U$10))),NA()),NA())</f>
        <v/>
      </c>
      <c r="F2594" s="32">
        <f>IFERROR(IF(ISNUMBER($A2594),IF(AND(AH!$U$12=1,2589+1=AH!$U$6),IF(AH!$U$4=0,"unavailable",INDEX('Market Data'!$AO$5:$AO$66,AH!$U$4)),IF(AH!$U$5=1,INDEX('Live History'!$E$5:$E$3004,MATCH($A2594,'Live History'!$D$5:$D$3004,1)),INDEX('AH History'!$D$5:$GG$1380,$K2594,AH!$U$10+1))),NA()),NA())</f>
        <v/>
      </c>
      <c r="G2594" s="34">
        <f>IFERROR(IF(ISNUMBER($A2594),IF(AND(AH!$U$12=1,2589+1=AH!$U$6),IF(AH!$U$4=0,"unavailable",INDEX('Market Data'!$AK$5:$AK$66,AH!$U$4)),IF(AH!$U$5=1,INDEX('Live History'!$D$5:$D$3004,MATCH($A2594,'Live History'!$D$5:$D$3004,1)),INDEX('AH History'!$D$5:$GG$1380,$K2594,AH!$U$10+2))),NA()),NA())</f>
        <v/>
      </c>
      <c r="H2594" s="266">
        <f>IFERROR(IF(ISNUMBER($A2594),IF(AND(AH!$U$12=1,2589+1=AH!$U$6),IF(AH!$U$4=0,"unavailable",INDEX('Market Data'!$AP$5:$AP$66,AH!$U$4)),IF(AH!$U$5=1,INDEX('Live History'!$H$5:$H$3004,MATCH($A2594,'Live History'!$G$5:$G$3004,1)),INDEX('AH History'!$B$5:$B$1380,$K2594))),NA()),NA())</f>
        <v/>
      </c>
      <c r="I2594" s="34">
        <f>IFERROR(IF(ISNUMBER($A2594),IF(AND(AH!$U$12=1,2589+1=AH!$U$6),TODAY(),IF(AH!$U$5=1,INDEX('Live History'!$G$5:$G$3004,MATCH($A2594,'Live History'!$G$5:$G$3004,1)),INDEX('AH History'!$C$5:$C$1380,$K2594))),NA()),NA())</f>
        <v/>
      </c>
      <c r="J2594" s="32">
        <f>IFERROR(IF(AND($F2594&gt;0,$H2594&gt;0,$A2594-$G2594&lt;=10,$A2594-$I2594&lt;=5,$G2594&gt;0,$I2594&gt;0),$F2594*$H2594,NA()),NA())</f>
        <v/>
      </c>
      <c r="K2594" s="15">
        <f>IF($A2594="","",IF(AH!$U$5=1,IFERROR(MATCH($A2594,'Live History'!$A$5:$A$3004,0),0),AH!$U$7+2589))</f>
        <v/>
      </c>
      <c r="L2594" s="15">
        <f>IF(ISNUMBER(A2594),TEXT(A2594,"dd-mmm-yy"),"")</f>
        <v/>
      </c>
    </row>
    <row r="2595">
      <c r="A2595" s="14">
        <f>IF(OR(AH!$U$4=0,2590+1&gt;AH!$U$6,AND(AH!$M$5="Bloomberg",AH!$U$5=0)),"",IFERROR(IF(AND(AH!$U$12=1,2590+1=AH!$U$6),TODAY(),IF(AH!$U$5=1,INDEX('Live History'!$A$5:$A$3004,AH!$U$7+2590),INDEX('AH History'!$A$5:$A$1380,AH!$U$7+2590))),""))</f>
        <v/>
      </c>
      <c r="B2595" s="33">
        <f>IFERROR(IF(AH!$U$11=1,NA(),$J2595/$E2595-1),NA())</f>
        <v/>
      </c>
      <c r="C2595" s="269">
        <f>IFERROR(100*$E2595/$E$5,NA())</f>
        <v/>
      </c>
      <c r="D2595" s="269">
        <f>IFERROR(100*$J2595/$J$5,NA())</f>
        <v/>
      </c>
      <c r="E2595" s="32">
        <f>IFERROR(IF(AND(ISNUMBER($A2595),N(IF(AND(AH!$U$12=1,2590+1=AH!$U$6),IF(AH!$U$4=0,"unavailable",INDEX('Market Data'!$AN$5:$AN$66,AH!$U$4)),IF(AH!$U$5=1,INDEX('Live History'!$B$5:$B$3004,$K2595),INDEX('AH History'!$D$5:$GG$1380,$K2595,AH!$U$10))))&gt;0),IF(AND(AH!$U$12=1,2590+1=AH!$U$6),IF(AH!$U$4=0,"unavailable",INDEX('Market Data'!$AN$5:$AN$66,AH!$U$4)),IF(AH!$U$5=1,INDEX('Live History'!$B$5:$B$3004,$K2595),INDEX('AH History'!$D$5:$GG$1380,$K2595,AH!$U$10))),NA()),NA())</f>
        <v/>
      </c>
      <c r="F2595" s="32">
        <f>IFERROR(IF(ISNUMBER($A2595),IF(AND(AH!$U$12=1,2590+1=AH!$U$6),IF(AH!$U$4=0,"unavailable",INDEX('Market Data'!$AO$5:$AO$66,AH!$U$4)),IF(AH!$U$5=1,INDEX('Live History'!$E$5:$E$3004,MATCH($A2595,'Live History'!$D$5:$D$3004,1)),INDEX('AH History'!$D$5:$GG$1380,$K2595,AH!$U$10+1))),NA()),NA())</f>
        <v/>
      </c>
      <c r="G2595" s="34">
        <f>IFERROR(IF(ISNUMBER($A2595),IF(AND(AH!$U$12=1,2590+1=AH!$U$6),IF(AH!$U$4=0,"unavailable",INDEX('Market Data'!$AK$5:$AK$66,AH!$U$4)),IF(AH!$U$5=1,INDEX('Live History'!$D$5:$D$3004,MATCH($A2595,'Live History'!$D$5:$D$3004,1)),INDEX('AH History'!$D$5:$GG$1380,$K2595,AH!$U$10+2))),NA()),NA())</f>
        <v/>
      </c>
      <c r="H2595" s="266">
        <f>IFERROR(IF(ISNUMBER($A2595),IF(AND(AH!$U$12=1,2590+1=AH!$U$6),IF(AH!$U$4=0,"unavailable",INDEX('Market Data'!$AP$5:$AP$66,AH!$U$4)),IF(AH!$U$5=1,INDEX('Live History'!$H$5:$H$3004,MATCH($A2595,'Live History'!$G$5:$G$3004,1)),INDEX('AH History'!$B$5:$B$1380,$K2595))),NA()),NA())</f>
        <v/>
      </c>
      <c r="I2595" s="34">
        <f>IFERROR(IF(ISNUMBER($A2595),IF(AND(AH!$U$12=1,2590+1=AH!$U$6),TODAY(),IF(AH!$U$5=1,INDEX('Live History'!$G$5:$G$3004,MATCH($A2595,'Live History'!$G$5:$G$3004,1)),INDEX('AH History'!$C$5:$C$1380,$K2595))),NA()),NA())</f>
        <v/>
      </c>
      <c r="J2595" s="32">
        <f>IFERROR(IF(AND($F2595&gt;0,$H2595&gt;0,$A2595-$G2595&lt;=10,$A2595-$I2595&lt;=5,$G2595&gt;0,$I2595&gt;0),$F2595*$H2595,NA()),NA())</f>
        <v/>
      </c>
      <c r="K2595" s="15">
        <f>IF($A2595="","",IF(AH!$U$5=1,IFERROR(MATCH($A2595,'Live History'!$A$5:$A$3004,0),0),AH!$U$7+2590))</f>
        <v/>
      </c>
      <c r="L2595" s="15">
        <f>IF(ISNUMBER(A2595),TEXT(A2595,"dd-mmm-yy"),"")</f>
        <v/>
      </c>
    </row>
    <row r="2596">
      <c r="A2596" s="14">
        <f>IF(OR(AH!$U$4=0,2591+1&gt;AH!$U$6,AND(AH!$M$5="Bloomberg",AH!$U$5=0)),"",IFERROR(IF(AND(AH!$U$12=1,2591+1=AH!$U$6),TODAY(),IF(AH!$U$5=1,INDEX('Live History'!$A$5:$A$3004,AH!$U$7+2591),INDEX('AH History'!$A$5:$A$1380,AH!$U$7+2591))),""))</f>
        <v/>
      </c>
      <c r="B2596" s="33">
        <f>IFERROR(IF(AH!$U$11=1,NA(),$J2596/$E2596-1),NA())</f>
        <v/>
      </c>
      <c r="C2596" s="269">
        <f>IFERROR(100*$E2596/$E$5,NA())</f>
        <v/>
      </c>
      <c r="D2596" s="269">
        <f>IFERROR(100*$J2596/$J$5,NA())</f>
        <v/>
      </c>
      <c r="E2596" s="32">
        <f>IFERROR(IF(AND(ISNUMBER($A2596),N(IF(AND(AH!$U$12=1,2591+1=AH!$U$6),IF(AH!$U$4=0,"unavailable",INDEX('Market Data'!$AN$5:$AN$66,AH!$U$4)),IF(AH!$U$5=1,INDEX('Live History'!$B$5:$B$3004,$K2596),INDEX('AH History'!$D$5:$GG$1380,$K2596,AH!$U$10))))&gt;0),IF(AND(AH!$U$12=1,2591+1=AH!$U$6),IF(AH!$U$4=0,"unavailable",INDEX('Market Data'!$AN$5:$AN$66,AH!$U$4)),IF(AH!$U$5=1,INDEX('Live History'!$B$5:$B$3004,$K2596),INDEX('AH History'!$D$5:$GG$1380,$K2596,AH!$U$10))),NA()),NA())</f>
        <v/>
      </c>
      <c r="F2596" s="32">
        <f>IFERROR(IF(ISNUMBER($A2596),IF(AND(AH!$U$12=1,2591+1=AH!$U$6),IF(AH!$U$4=0,"unavailable",INDEX('Market Data'!$AO$5:$AO$66,AH!$U$4)),IF(AH!$U$5=1,INDEX('Live History'!$E$5:$E$3004,MATCH($A2596,'Live History'!$D$5:$D$3004,1)),INDEX('AH History'!$D$5:$GG$1380,$K2596,AH!$U$10+1))),NA()),NA())</f>
        <v/>
      </c>
      <c r="G2596" s="34">
        <f>IFERROR(IF(ISNUMBER($A2596),IF(AND(AH!$U$12=1,2591+1=AH!$U$6),IF(AH!$U$4=0,"unavailable",INDEX('Market Data'!$AK$5:$AK$66,AH!$U$4)),IF(AH!$U$5=1,INDEX('Live History'!$D$5:$D$3004,MATCH($A2596,'Live History'!$D$5:$D$3004,1)),INDEX('AH History'!$D$5:$GG$1380,$K2596,AH!$U$10+2))),NA()),NA())</f>
        <v/>
      </c>
      <c r="H2596" s="266">
        <f>IFERROR(IF(ISNUMBER($A2596),IF(AND(AH!$U$12=1,2591+1=AH!$U$6),IF(AH!$U$4=0,"unavailable",INDEX('Market Data'!$AP$5:$AP$66,AH!$U$4)),IF(AH!$U$5=1,INDEX('Live History'!$H$5:$H$3004,MATCH($A2596,'Live History'!$G$5:$G$3004,1)),INDEX('AH History'!$B$5:$B$1380,$K2596))),NA()),NA())</f>
        <v/>
      </c>
      <c r="I2596" s="34">
        <f>IFERROR(IF(ISNUMBER($A2596),IF(AND(AH!$U$12=1,2591+1=AH!$U$6),TODAY(),IF(AH!$U$5=1,INDEX('Live History'!$G$5:$G$3004,MATCH($A2596,'Live History'!$G$5:$G$3004,1)),INDEX('AH History'!$C$5:$C$1380,$K2596))),NA()),NA())</f>
        <v/>
      </c>
      <c r="J2596" s="32">
        <f>IFERROR(IF(AND($F2596&gt;0,$H2596&gt;0,$A2596-$G2596&lt;=10,$A2596-$I2596&lt;=5,$G2596&gt;0,$I2596&gt;0),$F2596*$H2596,NA()),NA())</f>
        <v/>
      </c>
      <c r="K2596" s="15">
        <f>IF($A2596="","",IF(AH!$U$5=1,IFERROR(MATCH($A2596,'Live History'!$A$5:$A$3004,0),0),AH!$U$7+2591))</f>
        <v/>
      </c>
      <c r="L2596" s="15">
        <f>IF(ISNUMBER(A2596),TEXT(A2596,"dd-mmm-yy"),"")</f>
        <v/>
      </c>
    </row>
    <row r="2597">
      <c r="A2597" s="14">
        <f>IF(OR(AH!$U$4=0,2592+1&gt;AH!$U$6,AND(AH!$M$5="Bloomberg",AH!$U$5=0)),"",IFERROR(IF(AND(AH!$U$12=1,2592+1=AH!$U$6),TODAY(),IF(AH!$U$5=1,INDEX('Live History'!$A$5:$A$3004,AH!$U$7+2592),INDEX('AH History'!$A$5:$A$1380,AH!$U$7+2592))),""))</f>
        <v/>
      </c>
      <c r="B2597" s="33">
        <f>IFERROR(IF(AH!$U$11=1,NA(),$J2597/$E2597-1),NA())</f>
        <v/>
      </c>
      <c r="C2597" s="269">
        <f>IFERROR(100*$E2597/$E$5,NA())</f>
        <v/>
      </c>
      <c r="D2597" s="269">
        <f>IFERROR(100*$J2597/$J$5,NA())</f>
        <v/>
      </c>
      <c r="E2597" s="32">
        <f>IFERROR(IF(AND(ISNUMBER($A2597),N(IF(AND(AH!$U$12=1,2592+1=AH!$U$6),IF(AH!$U$4=0,"unavailable",INDEX('Market Data'!$AN$5:$AN$66,AH!$U$4)),IF(AH!$U$5=1,INDEX('Live History'!$B$5:$B$3004,$K2597),INDEX('AH History'!$D$5:$GG$1380,$K2597,AH!$U$10))))&gt;0),IF(AND(AH!$U$12=1,2592+1=AH!$U$6),IF(AH!$U$4=0,"unavailable",INDEX('Market Data'!$AN$5:$AN$66,AH!$U$4)),IF(AH!$U$5=1,INDEX('Live History'!$B$5:$B$3004,$K2597),INDEX('AH History'!$D$5:$GG$1380,$K2597,AH!$U$10))),NA()),NA())</f>
        <v/>
      </c>
      <c r="F2597" s="32">
        <f>IFERROR(IF(ISNUMBER($A2597),IF(AND(AH!$U$12=1,2592+1=AH!$U$6),IF(AH!$U$4=0,"unavailable",INDEX('Market Data'!$AO$5:$AO$66,AH!$U$4)),IF(AH!$U$5=1,INDEX('Live History'!$E$5:$E$3004,MATCH($A2597,'Live History'!$D$5:$D$3004,1)),INDEX('AH History'!$D$5:$GG$1380,$K2597,AH!$U$10+1))),NA()),NA())</f>
        <v/>
      </c>
      <c r="G2597" s="34">
        <f>IFERROR(IF(ISNUMBER($A2597),IF(AND(AH!$U$12=1,2592+1=AH!$U$6),IF(AH!$U$4=0,"unavailable",INDEX('Market Data'!$AK$5:$AK$66,AH!$U$4)),IF(AH!$U$5=1,INDEX('Live History'!$D$5:$D$3004,MATCH($A2597,'Live History'!$D$5:$D$3004,1)),INDEX('AH History'!$D$5:$GG$1380,$K2597,AH!$U$10+2))),NA()),NA())</f>
        <v/>
      </c>
      <c r="H2597" s="266">
        <f>IFERROR(IF(ISNUMBER($A2597),IF(AND(AH!$U$12=1,2592+1=AH!$U$6),IF(AH!$U$4=0,"unavailable",INDEX('Market Data'!$AP$5:$AP$66,AH!$U$4)),IF(AH!$U$5=1,INDEX('Live History'!$H$5:$H$3004,MATCH($A2597,'Live History'!$G$5:$G$3004,1)),INDEX('AH History'!$B$5:$B$1380,$K2597))),NA()),NA())</f>
        <v/>
      </c>
      <c r="I2597" s="34">
        <f>IFERROR(IF(ISNUMBER($A2597),IF(AND(AH!$U$12=1,2592+1=AH!$U$6),TODAY(),IF(AH!$U$5=1,INDEX('Live History'!$G$5:$G$3004,MATCH($A2597,'Live History'!$G$5:$G$3004,1)),INDEX('AH History'!$C$5:$C$1380,$K2597))),NA()),NA())</f>
        <v/>
      </c>
      <c r="J2597" s="32">
        <f>IFERROR(IF(AND($F2597&gt;0,$H2597&gt;0,$A2597-$G2597&lt;=10,$A2597-$I2597&lt;=5,$G2597&gt;0,$I2597&gt;0),$F2597*$H2597,NA()),NA())</f>
        <v/>
      </c>
      <c r="K2597" s="15">
        <f>IF($A2597="","",IF(AH!$U$5=1,IFERROR(MATCH($A2597,'Live History'!$A$5:$A$3004,0),0),AH!$U$7+2592))</f>
        <v/>
      </c>
      <c r="L2597" s="15">
        <f>IF(ISNUMBER(A2597),TEXT(A2597,"dd-mmm-yy"),"")</f>
        <v/>
      </c>
    </row>
    <row r="2598">
      <c r="A2598" s="14">
        <f>IF(OR(AH!$U$4=0,2593+1&gt;AH!$U$6,AND(AH!$M$5="Bloomberg",AH!$U$5=0)),"",IFERROR(IF(AND(AH!$U$12=1,2593+1=AH!$U$6),TODAY(),IF(AH!$U$5=1,INDEX('Live History'!$A$5:$A$3004,AH!$U$7+2593),INDEX('AH History'!$A$5:$A$1380,AH!$U$7+2593))),""))</f>
        <v/>
      </c>
      <c r="B2598" s="33">
        <f>IFERROR(IF(AH!$U$11=1,NA(),$J2598/$E2598-1),NA())</f>
        <v/>
      </c>
      <c r="C2598" s="269">
        <f>IFERROR(100*$E2598/$E$5,NA())</f>
        <v/>
      </c>
      <c r="D2598" s="269">
        <f>IFERROR(100*$J2598/$J$5,NA())</f>
        <v/>
      </c>
      <c r="E2598" s="32">
        <f>IFERROR(IF(AND(ISNUMBER($A2598),N(IF(AND(AH!$U$12=1,2593+1=AH!$U$6),IF(AH!$U$4=0,"unavailable",INDEX('Market Data'!$AN$5:$AN$66,AH!$U$4)),IF(AH!$U$5=1,INDEX('Live History'!$B$5:$B$3004,$K2598),INDEX('AH History'!$D$5:$GG$1380,$K2598,AH!$U$10))))&gt;0),IF(AND(AH!$U$12=1,2593+1=AH!$U$6),IF(AH!$U$4=0,"unavailable",INDEX('Market Data'!$AN$5:$AN$66,AH!$U$4)),IF(AH!$U$5=1,INDEX('Live History'!$B$5:$B$3004,$K2598),INDEX('AH History'!$D$5:$GG$1380,$K2598,AH!$U$10))),NA()),NA())</f>
        <v/>
      </c>
      <c r="F2598" s="32">
        <f>IFERROR(IF(ISNUMBER($A2598),IF(AND(AH!$U$12=1,2593+1=AH!$U$6),IF(AH!$U$4=0,"unavailable",INDEX('Market Data'!$AO$5:$AO$66,AH!$U$4)),IF(AH!$U$5=1,INDEX('Live History'!$E$5:$E$3004,MATCH($A2598,'Live History'!$D$5:$D$3004,1)),INDEX('AH History'!$D$5:$GG$1380,$K2598,AH!$U$10+1))),NA()),NA())</f>
        <v/>
      </c>
      <c r="G2598" s="34">
        <f>IFERROR(IF(ISNUMBER($A2598),IF(AND(AH!$U$12=1,2593+1=AH!$U$6),IF(AH!$U$4=0,"unavailable",INDEX('Market Data'!$AK$5:$AK$66,AH!$U$4)),IF(AH!$U$5=1,INDEX('Live History'!$D$5:$D$3004,MATCH($A2598,'Live History'!$D$5:$D$3004,1)),INDEX('AH History'!$D$5:$GG$1380,$K2598,AH!$U$10+2))),NA()),NA())</f>
        <v/>
      </c>
      <c r="H2598" s="266">
        <f>IFERROR(IF(ISNUMBER($A2598),IF(AND(AH!$U$12=1,2593+1=AH!$U$6),IF(AH!$U$4=0,"unavailable",INDEX('Market Data'!$AP$5:$AP$66,AH!$U$4)),IF(AH!$U$5=1,INDEX('Live History'!$H$5:$H$3004,MATCH($A2598,'Live History'!$G$5:$G$3004,1)),INDEX('AH History'!$B$5:$B$1380,$K2598))),NA()),NA())</f>
        <v/>
      </c>
      <c r="I2598" s="34">
        <f>IFERROR(IF(ISNUMBER($A2598),IF(AND(AH!$U$12=1,2593+1=AH!$U$6),TODAY(),IF(AH!$U$5=1,INDEX('Live History'!$G$5:$G$3004,MATCH($A2598,'Live History'!$G$5:$G$3004,1)),INDEX('AH History'!$C$5:$C$1380,$K2598))),NA()),NA())</f>
        <v/>
      </c>
      <c r="J2598" s="32">
        <f>IFERROR(IF(AND($F2598&gt;0,$H2598&gt;0,$A2598-$G2598&lt;=10,$A2598-$I2598&lt;=5,$G2598&gt;0,$I2598&gt;0),$F2598*$H2598,NA()),NA())</f>
        <v/>
      </c>
      <c r="K2598" s="15">
        <f>IF($A2598="","",IF(AH!$U$5=1,IFERROR(MATCH($A2598,'Live History'!$A$5:$A$3004,0),0),AH!$U$7+2593))</f>
        <v/>
      </c>
      <c r="L2598" s="15">
        <f>IF(ISNUMBER(A2598),TEXT(A2598,"dd-mmm-yy"),"")</f>
        <v/>
      </c>
    </row>
    <row r="2599">
      <c r="A2599" s="14">
        <f>IF(OR(AH!$U$4=0,2594+1&gt;AH!$U$6,AND(AH!$M$5="Bloomberg",AH!$U$5=0)),"",IFERROR(IF(AND(AH!$U$12=1,2594+1=AH!$U$6),TODAY(),IF(AH!$U$5=1,INDEX('Live History'!$A$5:$A$3004,AH!$U$7+2594),INDEX('AH History'!$A$5:$A$1380,AH!$U$7+2594))),""))</f>
        <v/>
      </c>
      <c r="B2599" s="33">
        <f>IFERROR(IF(AH!$U$11=1,NA(),$J2599/$E2599-1),NA())</f>
        <v/>
      </c>
      <c r="C2599" s="269">
        <f>IFERROR(100*$E2599/$E$5,NA())</f>
        <v/>
      </c>
      <c r="D2599" s="269">
        <f>IFERROR(100*$J2599/$J$5,NA())</f>
        <v/>
      </c>
      <c r="E2599" s="32">
        <f>IFERROR(IF(AND(ISNUMBER($A2599),N(IF(AND(AH!$U$12=1,2594+1=AH!$U$6),IF(AH!$U$4=0,"unavailable",INDEX('Market Data'!$AN$5:$AN$66,AH!$U$4)),IF(AH!$U$5=1,INDEX('Live History'!$B$5:$B$3004,$K2599),INDEX('AH History'!$D$5:$GG$1380,$K2599,AH!$U$10))))&gt;0),IF(AND(AH!$U$12=1,2594+1=AH!$U$6),IF(AH!$U$4=0,"unavailable",INDEX('Market Data'!$AN$5:$AN$66,AH!$U$4)),IF(AH!$U$5=1,INDEX('Live History'!$B$5:$B$3004,$K2599),INDEX('AH History'!$D$5:$GG$1380,$K2599,AH!$U$10))),NA()),NA())</f>
        <v/>
      </c>
      <c r="F2599" s="32">
        <f>IFERROR(IF(ISNUMBER($A2599),IF(AND(AH!$U$12=1,2594+1=AH!$U$6),IF(AH!$U$4=0,"unavailable",INDEX('Market Data'!$AO$5:$AO$66,AH!$U$4)),IF(AH!$U$5=1,INDEX('Live History'!$E$5:$E$3004,MATCH($A2599,'Live History'!$D$5:$D$3004,1)),INDEX('AH History'!$D$5:$GG$1380,$K2599,AH!$U$10+1))),NA()),NA())</f>
        <v/>
      </c>
      <c r="G2599" s="34">
        <f>IFERROR(IF(ISNUMBER($A2599),IF(AND(AH!$U$12=1,2594+1=AH!$U$6),IF(AH!$U$4=0,"unavailable",INDEX('Market Data'!$AK$5:$AK$66,AH!$U$4)),IF(AH!$U$5=1,INDEX('Live History'!$D$5:$D$3004,MATCH($A2599,'Live History'!$D$5:$D$3004,1)),INDEX('AH History'!$D$5:$GG$1380,$K2599,AH!$U$10+2))),NA()),NA())</f>
        <v/>
      </c>
      <c r="H2599" s="266">
        <f>IFERROR(IF(ISNUMBER($A2599),IF(AND(AH!$U$12=1,2594+1=AH!$U$6),IF(AH!$U$4=0,"unavailable",INDEX('Market Data'!$AP$5:$AP$66,AH!$U$4)),IF(AH!$U$5=1,INDEX('Live History'!$H$5:$H$3004,MATCH($A2599,'Live History'!$G$5:$G$3004,1)),INDEX('AH History'!$B$5:$B$1380,$K2599))),NA()),NA())</f>
        <v/>
      </c>
      <c r="I2599" s="34">
        <f>IFERROR(IF(ISNUMBER($A2599),IF(AND(AH!$U$12=1,2594+1=AH!$U$6),TODAY(),IF(AH!$U$5=1,INDEX('Live History'!$G$5:$G$3004,MATCH($A2599,'Live History'!$G$5:$G$3004,1)),INDEX('AH History'!$C$5:$C$1380,$K2599))),NA()),NA())</f>
        <v/>
      </c>
      <c r="J2599" s="32">
        <f>IFERROR(IF(AND($F2599&gt;0,$H2599&gt;0,$A2599-$G2599&lt;=10,$A2599-$I2599&lt;=5,$G2599&gt;0,$I2599&gt;0),$F2599*$H2599,NA()),NA())</f>
        <v/>
      </c>
      <c r="K2599" s="15">
        <f>IF($A2599="","",IF(AH!$U$5=1,IFERROR(MATCH($A2599,'Live History'!$A$5:$A$3004,0),0),AH!$U$7+2594))</f>
        <v/>
      </c>
      <c r="L2599" s="15">
        <f>IF(ISNUMBER(A2599),TEXT(A2599,"dd-mmm-yy"),"")</f>
        <v/>
      </c>
    </row>
    <row r="2600">
      <c r="A2600" s="14">
        <f>IF(OR(AH!$U$4=0,2595+1&gt;AH!$U$6,AND(AH!$M$5="Bloomberg",AH!$U$5=0)),"",IFERROR(IF(AND(AH!$U$12=1,2595+1=AH!$U$6),TODAY(),IF(AH!$U$5=1,INDEX('Live History'!$A$5:$A$3004,AH!$U$7+2595),INDEX('AH History'!$A$5:$A$1380,AH!$U$7+2595))),""))</f>
        <v/>
      </c>
      <c r="B2600" s="33">
        <f>IFERROR(IF(AH!$U$11=1,NA(),$J2600/$E2600-1),NA())</f>
        <v/>
      </c>
      <c r="C2600" s="269">
        <f>IFERROR(100*$E2600/$E$5,NA())</f>
        <v/>
      </c>
      <c r="D2600" s="269">
        <f>IFERROR(100*$J2600/$J$5,NA())</f>
        <v/>
      </c>
      <c r="E2600" s="32">
        <f>IFERROR(IF(AND(ISNUMBER($A2600),N(IF(AND(AH!$U$12=1,2595+1=AH!$U$6),IF(AH!$U$4=0,"unavailable",INDEX('Market Data'!$AN$5:$AN$66,AH!$U$4)),IF(AH!$U$5=1,INDEX('Live History'!$B$5:$B$3004,$K2600),INDEX('AH History'!$D$5:$GG$1380,$K2600,AH!$U$10))))&gt;0),IF(AND(AH!$U$12=1,2595+1=AH!$U$6),IF(AH!$U$4=0,"unavailable",INDEX('Market Data'!$AN$5:$AN$66,AH!$U$4)),IF(AH!$U$5=1,INDEX('Live History'!$B$5:$B$3004,$K2600),INDEX('AH History'!$D$5:$GG$1380,$K2600,AH!$U$10))),NA()),NA())</f>
        <v/>
      </c>
      <c r="F2600" s="32">
        <f>IFERROR(IF(ISNUMBER($A2600),IF(AND(AH!$U$12=1,2595+1=AH!$U$6),IF(AH!$U$4=0,"unavailable",INDEX('Market Data'!$AO$5:$AO$66,AH!$U$4)),IF(AH!$U$5=1,INDEX('Live History'!$E$5:$E$3004,MATCH($A2600,'Live History'!$D$5:$D$3004,1)),INDEX('AH History'!$D$5:$GG$1380,$K2600,AH!$U$10+1))),NA()),NA())</f>
        <v/>
      </c>
      <c r="G2600" s="34">
        <f>IFERROR(IF(ISNUMBER($A2600),IF(AND(AH!$U$12=1,2595+1=AH!$U$6),IF(AH!$U$4=0,"unavailable",INDEX('Market Data'!$AK$5:$AK$66,AH!$U$4)),IF(AH!$U$5=1,INDEX('Live History'!$D$5:$D$3004,MATCH($A2600,'Live History'!$D$5:$D$3004,1)),INDEX('AH History'!$D$5:$GG$1380,$K2600,AH!$U$10+2))),NA()),NA())</f>
        <v/>
      </c>
      <c r="H2600" s="266">
        <f>IFERROR(IF(ISNUMBER($A2600),IF(AND(AH!$U$12=1,2595+1=AH!$U$6),IF(AH!$U$4=0,"unavailable",INDEX('Market Data'!$AP$5:$AP$66,AH!$U$4)),IF(AH!$U$5=1,INDEX('Live History'!$H$5:$H$3004,MATCH($A2600,'Live History'!$G$5:$G$3004,1)),INDEX('AH History'!$B$5:$B$1380,$K2600))),NA()),NA())</f>
        <v/>
      </c>
      <c r="I2600" s="34">
        <f>IFERROR(IF(ISNUMBER($A2600),IF(AND(AH!$U$12=1,2595+1=AH!$U$6),TODAY(),IF(AH!$U$5=1,INDEX('Live History'!$G$5:$G$3004,MATCH($A2600,'Live History'!$G$5:$G$3004,1)),INDEX('AH History'!$C$5:$C$1380,$K2600))),NA()),NA())</f>
        <v/>
      </c>
      <c r="J2600" s="32">
        <f>IFERROR(IF(AND($F2600&gt;0,$H2600&gt;0,$A2600-$G2600&lt;=10,$A2600-$I2600&lt;=5,$G2600&gt;0,$I2600&gt;0),$F2600*$H2600,NA()),NA())</f>
        <v/>
      </c>
      <c r="K2600" s="15">
        <f>IF($A2600="","",IF(AH!$U$5=1,IFERROR(MATCH($A2600,'Live History'!$A$5:$A$3004,0),0),AH!$U$7+2595))</f>
        <v/>
      </c>
      <c r="L2600" s="15">
        <f>IF(ISNUMBER(A2600),TEXT(A2600,"dd-mmm-yy"),"")</f>
        <v/>
      </c>
    </row>
    <row r="2601">
      <c r="A2601" s="14">
        <f>IF(OR(AH!$U$4=0,2596+1&gt;AH!$U$6,AND(AH!$M$5="Bloomberg",AH!$U$5=0)),"",IFERROR(IF(AND(AH!$U$12=1,2596+1=AH!$U$6),TODAY(),IF(AH!$U$5=1,INDEX('Live History'!$A$5:$A$3004,AH!$U$7+2596),INDEX('AH History'!$A$5:$A$1380,AH!$U$7+2596))),""))</f>
        <v/>
      </c>
      <c r="B2601" s="33">
        <f>IFERROR(IF(AH!$U$11=1,NA(),$J2601/$E2601-1),NA())</f>
        <v/>
      </c>
      <c r="C2601" s="269">
        <f>IFERROR(100*$E2601/$E$5,NA())</f>
        <v/>
      </c>
      <c r="D2601" s="269">
        <f>IFERROR(100*$J2601/$J$5,NA())</f>
        <v/>
      </c>
      <c r="E2601" s="32">
        <f>IFERROR(IF(AND(ISNUMBER($A2601),N(IF(AND(AH!$U$12=1,2596+1=AH!$U$6),IF(AH!$U$4=0,"unavailable",INDEX('Market Data'!$AN$5:$AN$66,AH!$U$4)),IF(AH!$U$5=1,INDEX('Live History'!$B$5:$B$3004,$K2601),INDEX('AH History'!$D$5:$GG$1380,$K2601,AH!$U$10))))&gt;0),IF(AND(AH!$U$12=1,2596+1=AH!$U$6),IF(AH!$U$4=0,"unavailable",INDEX('Market Data'!$AN$5:$AN$66,AH!$U$4)),IF(AH!$U$5=1,INDEX('Live History'!$B$5:$B$3004,$K2601),INDEX('AH History'!$D$5:$GG$1380,$K2601,AH!$U$10))),NA()),NA())</f>
        <v/>
      </c>
      <c r="F2601" s="32">
        <f>IFERROR(IF(ISNUMBER($A2601),IF(AND(AH!$U$12=1,2596+1=AH!$U$6),IF(AH!$U$4=0,"unavailable",INDEX('Market Data'!$AO$5:$AO$66,AH!$U$4)),IF(AH!$U$5=1,INDEX('Live History'!$E$5:$E$3004,MATCH($A2601,'Live History'!$D$5:$D$3004,1)),INDEX('AH History'!$D$5:$GG$1380,$K2601,AH!$U$10+1))),NA()),NA())</f>
        <v/>
      </c>
      <c r="G2601" s="34">
        <f>IFERROR(IF(ISNUMBER($A2601),IF(AND(AH!$U$12=1,2596+1=AH!$U$6),IF(AH!$U$4=0,"unavailable",INDEX('Market Data'!$AK$5:$AK$66,AH!$U$4)),IF(AH!$U$5=1,INDEX('Live History'!$D$5:$D$3004,MATCH($A2601,'Live History'!$D$5:$D$3004,1)),INDEX('AH History'!$D$5:$GG$1380,$K2601,AH!$U$10+2))),NA()),NA())</f>
        <v/>
      </c>
      <c r="H2601" s="266">
        <f>IFERROR(IF(ISNUMBER($A2601),IF(AND(AH!$U$12=1,2596+1=AH!$U$6),IF(AH!$U$4=0,"unavailable",INDEX('Market Data'!$AP$5:$AP$66,AH!$U$4)),IF(AH!$U$5=1,INDEX('Live History'!$H$5:$H$3004,MATCH($A2601,'Live History'!$G$5:$G$3004,1)),INDEX('AH History'!$B$5:$B$1380,$K2601))),NA()),NA())</f>
        <v/>
      </c>
      <c r="I2601" s="34">
        <f>IFERROR(IF(ISNUMBER($A2601),IF(AND(AH!$U$12=1,2596+1=AH!$U$6),TODAY(),IF(AH!$U$5=1,INDEX('Live History'!$G$5:$G$3004,MATCH($A2601,'Live History'!$G$5:$G$3004,1)),INDEX('AH History'!$C$5:$C$1380,$K2601))),NA()),NA())</f>
        <v/>
      </c>
      <c r="J2601" s="32">
        <f>IFERROR(IF(AND($F2601&gt;0,$H2601&gt;0,$A2601-$G2601&lt;=10,$A2601-$I2601&lt;=5,$G2601&gt;0,$I2601&gt;0),$F2601*$H2601,NA()),NA())</f>
        <v/>
      </c>
      <c r="K2601" s="15">
        <f>IF($A2601="","",IF(AH!$U$5=1,IFERROR(MATCH($A2601,'Live History'!$A$5:$A$3004,0),0),AH!$U$7+2596))</f>
        <v/>
      </c>
      <c r="L2601" s="15">
        <f>IF(ISNUMBER(A2601),TEXT(A2601,"dd-mmm-yy"),"")</f>
        <v/>
      </c>
    </row>
    <row r="2602">
      <c r="A2602" s="14">
        <f>IF(OR(AH!$U$4=0,2597+1&gt;AH!$U$6,AND(AH!$M$5="Bloomberg",AH!$U$5=0)),"",IFERROR(IF(AND(AH!$U$12=1,2597+1=AH!$U$6),TODAY(),IF(AH!$U$5=1,INDEX('Live History'!$A$5:$A$3004,AH!$U$7+2597),INDEX('AH History'!$A$5:$A$1380,AH!$U$7+2597))),""))</f>
        <v/>
      </c>
      <c r="B2602" s="33">
        <f>IFERROR(IF(AH!$U$11=1,NA(),$J2602/$E2602-1),NA())</f>
        <v/>
      </c>
      <c r="C2602" s="269">
        <f>IFERROR(100*$E2602/$E$5,NA())</f>
        <v/>
      </c>
      <c r="D2602" s="269">
        <f>IFERROR(100*$J2602/$J$5,NA())</f>
        <v/>
      </c>
      <c r="E2602" s="32">
        <f>IFERROR(IF(AND(ISNUMBER($A2602),N(IF(AND(AH!$U$12=1,2597+1=AH!$U$6),IF(AH!$U$4=0,"unavailable",INDEX('Market Data'!$AN$5:$AN$66,AH!$U$4)),IF(AH!$U$5=1,INDEX('Live History'!$B$5:$B$3004,$K2602),INDEX('AH History'!$D$5:$GG$1380,$K2602,AH!$U$10))))&gt;0),IF(AND(AH!$U$12=1,2597+1=AH!$U$6),IF(AH!$U$4=0,"unavailable",INDEX('Market Data'!$AN$5:$AN$66,AH!$U$4)),IF(AH!$U$5=1,INDEX('Live History'!$B$5:$B$3004,$K2602),INDEX('AH History'!$D$5:$GG$1380,$K2602,AH!$U$10))),NA()),NA())</f>
        <v/>
      </c>
      <c r="F2602" s="32">
        <f>IFERROR(IF(ISNUMBER($A2602),IF(AND(AH!$U$12=1,2597+1=AH!$U$6),IF(AH!$U$4=0,"unavailable",INDEX('Market Data'!$AO$5:$AO$66,AH!$U$4)),IF(AH!$U$5=1,INDEX('Live History'!$E$5:$E$3004,MATCH($A2602,'Live History'!$D$5:$D$3004,1)),INDEX('AH History'!$D$5:$GG$1380,$K2602,AH!$U$10+1))),NA()),NA())</f>
        <v/>
      </c>
      <c r="G2602" s="34">
        <f>IFERROR(IF(ISNUMBER($A2602),IF(AND(AH!$U$12=1,2597+1=AH!$U$6),IF(AH!$U$4=0,"unavailable",INDEX('Market Data'!$AK$5:$AK$66,AH!$U$4)),IF(AH!$U$5=1,INDEX('Live History'!$D$5:$D$3004,MATCH($A2602,'Live History'!$D$5:$D$3004,1)),INDEX('AH History'!$D$5:$GG$1380,$K2602,AH!$U$10+2))),NA()),NA())</f>
        <v/>
      </c>
      <c r="H2602" s="266">
        <f>IFERROR(IF(ISNUMBER($A2602),IF(AND(AH!$U$12=1,2597+1=AH!$U$6),IF(AH!$U$4=0,"unavailable",INDEX('Market Data'!$AP$5:$AP$66,AH!$U$4)),IF(AH!$U$5=1,INDEX('Live History'!$H$5:$H$3004,MATCH($A2602,'Live History'!$G$5:$G$3004,1)),INDEX('AH History'!$B$5:$B$1380,$K2602))),NA()),NA())</f>
        <v/>
      </c>
      <c r="I2602" s="34">
        <f>IFERROR(IF(ISNUMBER($A2602),IF(AND(AH!$U$12=1,2597+1=AH!$U$6),TODAY(),IF(AH!$U$5=1,INDEX('Live History'!$G$5:$G$3004,MATCH($A2602,'Live History'!$G$5:$G$3004,1)),INDEX('AH History'!$C$5:$C$1380,$K2602))),NA()),NA())</f>
        <v/>
      </c>
      <c r="J2602" s="32">
        <f>IFERROR(IF(AND($F2602&gt;0,$H2602&gt;0,$A2602-$G2602&lt;=10,$A2602-$I2602&lt;=5,$G2602&gt;0,$I2602&gt;0),$F2602*$H2602,NA()),NA())</f>
        <v/>
      </c>
      <c r="K2602" s="15">
        <f>IF($A2602="","",IF(AH!$U$5=1,IFERROR(MATCH($A2602,'Live History'!$A$5:$A$3004,0),0),AH!$U$7+2597))</f>
        <v/>
      </c>
      <c r="L2602" s="15">
        <f>IF(ISNUMBER(A2602),TEXT(A2602,"dd-mmm-yy"),"")</f>
        <v/>
      </c>
    </row>
    <row r="2603">
      <c r="A2603" s="14">
        <f>IF(OR(AH!$U$4=0,2598+1&gt;AH!$U$6,AND(AH!$M$5="Bloomberg",AH!$U$5=0)),"",IFERROR(IF(AND(AH!$U$12=1,2598+1=AH!$U$6),TODAY(),IF(AH!$U$5=1,INDEX('Live History'!$A$5:$A$3004,AH!$U$7+2598),INDEX('AH History'!$A$5:$A$1380,AH!$U$7+2598))),""))</f>
        <v/>
      </c>
      <c r="B2603" s="33">
        <f>IFERROR(IF(AH!$U$11=1,NA(),$J2603/$E2603-1),NA())</f>
        <v/>
      </c>
      <c r="C2603" s="269">
        <f>IFERROR(100*$E2603/$E$5,NA())</f>
        <v/>
      </c>
      <c r="D2603" s="269">
        <f>IFERROR(100*$J2603/$J$5,NA())</f>
        <v/>
      </c>
      <c r="E2603" s="32">
        <f>IFERROR(IF(AND(ISNUMBER($A2603),N(IF(AND(AH!$U$12=1,2598+1=AH!$U$6),IF(AH!$U$4=0,"unavailable",INDEX('Market Data'!$AN$5:$AN$66,AH!$U$4)),IF(AH!$U$5=1,INDEX('Live History'!$B$5:$B$3004,$K2603),INDEX('AH History'!$D$5:$GG$1380,$K2603,AH!$U$10))))&gt;0),IF(AND(AH!$U$12=1,2598+1=AH!$U$6),IF(AH!$U$4=0,"unavailable",INDEX('Market Data'!$AN$5:$AN$66,AH!$U$4)),IF(AH!$U$5=1,INDEX('Live History'!$B$5:$B$3004,$K2603),INDEX('AH History'!$D$5:$GG$1380,$K2603,AH!$U$10))),NA()),NA())</f>
        <v/>
      </c>
      <c r="F2603" s="32">
        <f>IFERROR(IF(ISNUMBER($A2603),IF(AND(AH!$U$12=1,2598+1=AH!$U$6),IF(AH!$U$4=0,"unavailable",INDEX('Market Data'!$AO$5:$AO$66,AH!$U$4)),IF(AH!$U$5=1,INDEX('Live History'!$E$5:$E$3004,MATCH($A2603,'Live History'!$D$5:$D$3004,1)),INDEX('AH History'!$D$5:$GG$1380,$K2603,AH!$U$10+1))),NA()),NA())</f>
        <v/>
      </c>
      <c r="G2603" s="34">
        <f>IFERROR(IF(ISNUMBER($A2603),IF(AND(AH!$U$12=1,2598+1=AH!$U$6),IF(AH!$U$4=0,"unavailable",INDEX('Market Data'!$AK$5:$AK$66,AH!$U$4)),IF(AH!$U$5=1,INDEX('Live History'!$D$5:$D$3004,MATCH($A2603,'Live History'!$D$5:$D$3004,1)),INDEX('AH History'!$D$5:$GG$1380,$K2603,AH!$U$10+2))),NA()),NA())</f>
        <v/>
      </c>
      <c r="H2603" s="266">
        <f>IFERROR(IF(ISNUMBER($A2603),IF(AND(AH!$U$12=1,2598+1=AH!$U$6),IF(AH!$U$4=0,"unavailable",INDEX('Market Data'!$AP$5:$AP$66,AH!$U$4)),IF(AH!$U$5=1,INDEX('Live History'!$H$5:$H$3004,MATCH($A2603,'Live History'!$G$5:$G$3004,1)),INDEX('AH History'!$B$5:$B$1380,$K2603))),NA()),NA())</f>
        <v/>
      </c>
      <c r="I2603" s="34">
        <f>IFERROR(IF(ISNUMBER($A2603),IF(AND(AH!$U$12=1,2598+1=AH!$U$6),TODAY(),IF(AH!$U$5=1,INDEX('Live History'!$G$5:$G$3004,MATCH($A2603,'Live History'!$G$5:$G$3004,1)),INDEX('AH History'!$C$5:$C$1380,$K2603))),NA()),NA())</f>
        <v/>
      </c>
      <c r="J2603" s="32">
        <f>IFERROR(IF(AND($F2603&gt;0,$H2603&gt;0,$A2603-$G2603&lt;=10,$A2603-$I2603&lt;=5,$G2603&gt;0,$I2603&gt;0),$F2603*$H2603,NA()),NA())</f>
        <v/>
      </c>
      <c r="K2603" s="15">
        <f>IF($A2603="","",IF(AH!$U$5=1,IFERROR(MATCH($A2603,'Live History'!$A$5:$A$3004,0),0),AH!$U$7+2598))</f>
        <v/>
      </c>
      <c r="L2603" s="15">
        <f>IF(ISNUMBER(A2603),TEXT(A2603,"dd-mmm-yy"),"")</f>
        <v/>
      </c>
    </row>
    <row r="2604">
      <c r="A2604" s="14">
        <f>IF(OR(AH!$U$4=0,2599+1&gt;AH!$U$6,AND(AH!$M$5="Bloomberg",AH!$U$5=0)),"",IFERROR(IF(AND(AH!$U$12=1,2599+1=AH!$U$6),TODAY(),IF(AH!$U$5=1,INDEX('Live History'!$A$5:$A$3004,AH!$U$7+2599),INDEX('AH History'!$A$5:$A$1380,AH!$U$7+2599))),""))</f>
        <v/>
      </c>
      <c r="B2604" s="33">
        <f>IFERROR(IF(AH!$U$11=1,NA(),$J2604/$E2604-1),NA())</f>
        <v/>
      </c>
      <c r="C2604" s="269">
        <f>IFERROR(100*$E2604/$E$5,NA())</f>
        <v/>
      </c>
      <c r="D2604" s="269">
        <f>IFERROR(100*$J2604/$J$5,NA())</f>
        <v/>
      </c>
      <c r="E2604" s="32">
        <f>IFERROR(IF(AND(ISNUMBER($A2604),N(IF(AND(AH!$U$12=1,2599+1=AH!$U$6),IF(AH!$U$4=0,"unavailable",INDEX('Market Data'!$AN$5:$AN$66,AH!$U$4)),IF(AH!$U$5=1,INDEX('Live History'!$B$5:$B$3004,$K2604),INDEX('AH History'!$D$5:$GG$1380,$K2604,AH!$U$10))))&gt;0),IF(AND(AH!$U$12=1,2599+1=AH!$U$6),IF(AH!$U$4=0,"unavailable",INDEX('Market Data'!$AN$5:$AN$66,AH!$U$4)),IF(AH!$U$5=1,INDEX('Live History'!$B$5:$B$3004,$K2604),INDEX('AH History'!$D$5:$GG$1380,$K2604,AH!$U$10))),NA()),NA())</f>
        <v/>
      </c>
      <c r="F2604" s="32">
        <f>IFERROR(IF(ISNUMBER($A2604),IF(AND(AH!$U$12=1,2599+1=AH!$U$6),IF(AH!$U$4=0,"unavailable",INDEX('Market Data'!$AO$5:$AO$66,AH!$U$4)),IF(AH!$U$5=1,INDEX('Live History'!$E$5:$E$3004,MATCH($A2604,'Live History'!$D$5:$D$3004,1)),INDEX('AH History'!$D$5:$GG$1380,$K2604,AH!$U$10+1))),NA()),NA())</f>
        <v/>
      </c>
      <c r="G2604" s="34">
        <f>IFERROR(IF(ISNUMBER($A2604),IF(AND(AH!$U$12=1,2599+1=AH!$U$6),IF(AH!$U$4=0,"unavailable",INDEX('Market Data'!$AK$5:$AK$66,AH!$U$4)),IF(AH!$U$5=1,INDEX('Live History'!$D$5:$D$3004,MATCH($A2604,'Live History'!$D$5:$D$3004,1)),INDEX('AH History'!$D$5:$GG$1380,$K2604,AH!$U$10+2))),NA()),NA())</f>
        <v/>
      </c>
      <c r="H2604" s="266">
        <f>IFERROR(IF(ISNUMBER($A2604),IF(AND(AH!$U$12=1,2599+1=AH!$U$6),IF(AH!$U$4=0,"unavailable",INDEX('Market Data'!$AP$5:$AP$66,AH!$U$4)),IF(AH!$U$5=1,INDEX('Live History'!$H$5:$H$3004,MATCH($A2604,'Live History'!$G$5:$G$3004,1)),INDEX('AH History'!$B$5:$B$1380,$K2604))),NA()),NA())</f>
        <v/>
      </c>
      <c r="I2604" s="34">
        <f>IFERROR(IF(ISNUMBER($A2604),IF(AND(AH!$U$12=1,2599+1=AH!$U$6),TODAY(),IF(AH!$U$5=1,INDEX('Live History'!$G$5:$G$3004,MATCH($A2604,'Live History'!$G$5:$G$3004,1)),INDEX('AH History'!$C$5:$C$1380,$K2604))),NA()),NA())</f>
        <v/>
      </c>
      <c r="J2604" s="32">
        <f>IFERROR(IF(AND($F2604&gt;0,$H2604&gt;0,$A2604-$G2604&lt;=10,$A2604-$I2604&lt;=5,$G2604&gt;0,$I2604&gt;0),$F2604*$H2604,NA()),NA())</f>
        <v/>
      </c>
      <c r="K2604" s="15">
        <f>IF($A2604="","",IF(AH!$U$5=1,IFERROR(MATCH($A2604,'Live History'!$A$5:$A$3004,0),0),AH!$U$7+2599))</f>
        <v/>
      </c>
      <c r="L2604" s="15">
        <f>IF(ISNUMBER(A2604),TEXT(A2604,"dd-mmm-yy"),"")</f>
        <v/>
      </c>
    </row>
    <row r="2605">
      <c r="A2605" s="14">
        <f>IF(OR(AH!$U$4=0,2600+1&gt;AH!$U$6,AND(AH!$M$5="Bloomberg",AH!$U$5=0)),"",IFERROR(IF(AND(AH!$U$12=1,2600+1=AH!$U$6),TODAY(),IF(AH!$U$5=1,INDEX('Live History'!$A$5:$A$3004,AH!$U$7+2600),INDEX('AH History'!$A$5:$A$1380,AH!$U$7+2600))),""))</f>
        <v/>
      </c>
      <c r="B2605" s="33">
        <f>IFERROR(IF(AH!$U$11=1,NA(),$J2605/$E2605-1),NA())</f>
        <v/>
      </c>
      <c r="C2605" s="269">
        <f>IFERROR(100*$E2605/$E$5,NA())</f>
        <v/>
      </c>
      <c r="D2605" s="269">
        <f>IFERROR(100*$J2605/$J$5,NA())</f>
        <v/>
      </c>
      <c r="E2605" s="32">
        <f>IFERROR(IF(AND(ISNUMBER($A2605),N(IF(AND(AH!$U$12=1,2600+1=AH!$U$6),IF(AH!$U$4=0,"unavailable",INDEX('Market Data'!$AN$5:$AN$66,AH!$U$4)),IF(AH!$U$5=1,INDEX('Live History'!$B$5:$B$3004,$K2605),INDEX('AH History'!$D$5:$GG$1380,$K2605,AH!$U$10))))&gt;0),IF(AND(AH!$U$12=1,2600+1=AH!$U$6),IF(AH!$U$4=0,"unavailable",INDEX('Market Data'!$AN$5:$AN$66,AH!$U$4)),IF(AH!$U$5=1,INDEX('Live History'!$B$5:$B$3004,$K2605),INDEX('AH History'!$D$5:$GG$1380,$K2605,AH!$U$10))),NA()),NA())</f>
        <v/>
      </c>
      <c r="F2605" s="32">
        <f>IFERROR(IF(ISNUMBER($A2605),IF(AND(AH!$U$12=1,2600+1=AH!$U$6),IF(AH!$U$4=0,"unavailable",INDEX('Market Data'!$AO$5:$AO$66,AH!$U$4)),IF(AH!$U$5=1,INDEX('Live History'!$E$5:$E$3004,MATCH($A2605,'Live History'!$D$5:$D$3004,1)),INDEX('AH History'!$D$5:$GG$1380,$K2605,AH!$U$10+1))),NA()),NA())</f>
        <v/>
      </c>
      <c r="G2605" s="34">
        <f>IFERROR(IF(ISNUMBER($A2605),IF(AND(AH!$U$12=1,2600+1=AH!$U$6),IF(AH!$U$4=0,"unavailable",INDEX('Market Data'!$AK$5:$AK$66,AH!$U$4)),IF(AH!$U$5=1,INDEX('Live History'!$D$5:$D$3004,MATCH($A2605,'Live History'!$D$5:$D$3004,1)),INDEX('AH History'!$D$5:$GG$1380,$K2605,AH!$U$10+2))),NA()),NA())</f>
        <v/>
      </c>
      <c r="H2605" s="266">
        <f>IFERROR(IF(ISNUMBER($A2605),IF(AND(AH!$U$12=1,2600+1=AH!$U$6),IF(AH!$U$4=0,"unavailable",INDEX('Market Data'!$AP$5:$AP$66,AH!$U$4)),IF(AH!$U$5=1,INDEX('Live History'!$H$5:$H$3004,MATCH($A2605,'Live History'!$G$5:$G$3004,1)),INDEX('AH History'!$B$5:$B$1380,$K2605))),NA()),NA())</f>
        <v/>
      </c>
      <c r="I2605" s="34">
        <f>IFERROR(IF(ISNUMBER($A2605),IF(AND(AH!$U$12=1,2600+1=AH!$U$6),TODAY(),IF(AH!$U$5=1,INDEX('Live History'!$G$5:$G$3004,MATCH($A2605,'Live History'!$G$5:$G$3004,1)),INDEX('AH History'!$C$5:$C$1380,$K2605))),NA()),NA())</f>
        <v/>
      </c>
      <c r="J2605" s="32">
        <f>IFERROR(IF(AND($F2605&gt;0,$H2605&gt;0,$A2605-$G2605&lt;=10,$A2605-$I2605&lt;=5,$G2605&gt;0,$I2605&gt;0),$F2605*$H2605,NA()),NA())</f>
        <v/>
      </c>
      <c r="K2605" s="15">
        <f>IF($A2605="","",IF(AH!$U$5=1,IFERROR(MATCH($A2605,'Live History'!$A$5:$A$3004,0),0),AH!$U$7+2600))</f>
        <v/>
      </c>
      <c r="L2605" s="15">
        <f>IF(ISNUMBER(A2605),TEXT(A2605,"dd-mmm-yy"),"")</f>
        <v/>
      </c>
    </row>
    <row r="2606">
      <c r="A2606" s="14">
        <f>IF(OR(AH!$U$4=0,2601+1&gt;AH!$U$6,AND(AH!$M$5="Bloomberg",AH!$U$5=0)),"",IFERROR(IF(AND(AH!$U$12=1,2601+1=AH!$U$6),TODAY(),IF(AH!$U$5=1,INDEX('Live History'!$A$5:$A$3004,AH!$U$7+2601),INDEX('AH History'!$A$5:$A$1380,AH!$U$7+2601))),""))</f>
        <v/>
      </c>
      <c r="B2606" s="33">
        <f>IFERROR(IF(AH!$U$11=1,NA(),$J2606/$E2606-1),NA())</f>
        <v/>
      </c>
      <c r="C2606" s="269">
        <f>IFERROR(100*$E2606/$E$5,NA())</f>
        <v/>
      </c>
      <c r="D2606" s="269">
        <f>IFERROR(100*$J2606/$J$5,NA())</f>
        <v/>
      </c>
      <c r="E2606" s="32">
        <f>IFERROR(IF(AND(ISNUMBER($A2606),N(IF(AND(AH!$U$12=1,2601+1=AH!$U$6),IF(AH!$U$4=0,"unavailable",INDEX('Market Data'!$AN$5:$AN$66,AH!$U$4)),IF(AH!$U$5=1,INDEX('Live History'!$B$5:$B$3004,$K2606),INDEX('AH History'!$D$5:$GG$1380,$K2606,AH!$U$10))))&gt;0),IF(AND(AH!$U$12=1,2601+1=AH!$U$6),IF(AH!$U$4=0,"unavailable",INDEX('Market Data'!$AN$5:$AN$66,AH!$U$4)),IF(AH!$U$5=1,INDEX('Live History'!$B$5:$B$3004,$K2606),INDEX('AH History'!$D$5:$GG$1380,$K2606,AH!$U$10))),NA()),NA())</f>
        <v/>
      </c>
      <c r="F2606" s="32">
        <f>IFERROR(IF(ISNUMBER($A2606),IF(AND(AH!$U$12=1,2601+1=AH!$U$6),IF(AH!$U$4=0,"unavailable",INDEX('Market Data'!$AO$5:$AO$66,AH!$U$4)),IF(AH!$U$5=1,INDEX('Live History'!$E$5:$E$3004,MATCH($A2606,'Live History'!$D$5:$D$3004,1)),INDEX('AH History'!$D$5:$GG$1380,$K2606,AH!$U$10+1))),NA()),NA())</f>
        <v/>
      </c>
      <c r="G2606" s="34">
        <f>IFERROR(IF(ISNUMBER($A2606),IF(AND(AH!$U$12=1,2601+1=AH!$U$6),IF(AH!$U$4=0,"unavailable",INDEX('Market Data'!$AK$5:$AK$66,AH!$U$4)),IF(AH!$U$5=1,INDEX('Live History'!$D$5:$D$3004,MATCH($A2606,'Live History'!$D$5:$D$3004,1)),INDEX('AH History'!$D$5:$GG$1380,$K2606,AH!$U$10+2))),NA()),NA())</f>
        <v/>
      </c>
      <c r="H2606" s="266">
        <f>IFERROR(IF(ISNUMBER($A2606),IF(AND(AH!$U$12=1,2601+1=AH!$U$6),IF(AH!$U$4=0,"unavailable",INDEX('Market Data'!$AP$5:$AP$66,AH!$U$4)),IF(AH!$U$5=1,INDEX('Live History'!$H$5:$H$3004,MATCH($A2606,'Live History'!$G$5:$G$3004,1)),INDEX('AH History'!$B$5:$B$1380,$K2606))),NA()),NA())</f>
        <v/>
      </c>
      <c r="I2606" s="34">
        <f>IFERROR(IF(ISNUMBER($A2606),IF(AND(AH!$U$12=1,2601+1=AH!$U$6),TODAY(),IF(AH!$U$5=1,INDEX('Live History'!$G$5:$G$3004,MATCH($A2606,'Live History'!$G$5:$G$3004,1)),INDEX('AH History'!$C$5:$C$1380,$K2606))),NA()),NA())</f>
        <v/>
      </c>
      <c r="J2606" s="32">
        <f>IFERROR(IF(AND($F2606&gt;0,$H2606&gt;0,$A2606-$G2606&lt;=10,$A2606-$I2606&lt;=5,$G2606&gt;0,$I2606&gt;0),$F2606*$H2606,NA()),NA())</f>
        <v/>
      </c>
      <c r="K2606" s="15">
        <f>IF($A2606="","",IF(AH!$U$5=1,IFERROR(MATCH($A2606,'Live History'!$A$5:$A$3004,0),0),AH!$U$7+2601))</f>
        <v/>
      </c>
      <c r="L2606" s="15">
        <f>IF(ISNUMBER(A2606),TEXT(A2606,"dd-mmm-yy"),"")</f>
        <v/>
      </c>
    </row>
    <row r="2607">
      <c r="A2607" s="14">
        <f>IF(OR(AH!$U$4=0,2602+1&gt;AH!$U$6,AND(AH!$M$5="Bloomberg",AH!$U$5=0)),"",IFERROR(IF(AND(AH!$U$12=1,2602+1=AH!$U$6),TODAY(),IF(AH!$U$5=1,INDEX('Live History'!$A$5:$A$3004,AH!$U$7+2602),INDEX('AH History'!$A$5:$A$1380,AH!$U$7+2602))),""))</f>
        <v/>
      </c>
      <c r="B2607" s="33">
        <f>IFERROR(IF(AH!$U$11=1,NA(),$J2607/$E2607-1),NA())</f>
        <v/>
      </c>
      <c r="C2607" s="269">
        <f>IFERROR(100*$E2607/$E$5,NA())</f>
        <v/>
      </c>
      <c r="D2607" s="269">
        <f>IFERROR(100*$J2607/$J$5,NA())</f>
        <v/>
      </c>
      <c r="E2607" s="32">
        <f>IFERROR(IF(AND(ISNUMBER($A2607),N(IF(AND(AH!$U$12=1,2602+1=AH!$U$6),IF(AH!$U$4=0,"unavailable",INDEX('Market Data'!$AN$5:$AN$66,AH!$U$4)),IF(AH!$U$5=1,INDEX('Live History'!$B$5:$B$3004,$K2607),INDEX('AH History'!$D$5:$GG$1380,$K2607,AH!$U$10))))&gt;0),IF(AND(AH!$U$12=1,2602+1=AH!$U$6),IF(AH!$U$4=0,"unavailable",INDEX('Market Data'!$AN$5:$AN$66,AH!$U$4)),IF(AH!$U$5=1,INDEX('Live History'!$B$5:$B$3004,$K2607),INDEX('AH History'!$D$5:$GG$1380,$K2607,AH!$U$10))),NA()),NA())</f>
        <v/>
      </c>
      <c r="F2607" s="32">
        <f>IFERROR(IF(ISNUMBER($A2607),IF(AND(AH!$U$12=1,2602+1=AH!$U$6),IF(AH!$U$4=0,"unavailable",INDEX('Market Data'!$AO$5:$AO$66,AH!$U$4)),IF(AH!$U$5=1,INDEX('Live History'!$E$5:$E$3004,MATCH($A2607,'Live History'!$D$5:$D$3004,1)),INDEX('AH History'!$D$5:$GG$1380,$K2607,AH!$U$10+1))),NA()),NA())</f>
        <v/>
      </c>
      <c r="G2607" s="34">
        <f>IFERROR(IF(ISNUMBER($A2607),IF(AND(AH!$U$12=1,2602+1=AH!$U$6),IF(AH!$U$4=0,"unavailable",INDEX('Market Data'!$AK$5:$AK$66,AH!$U$4)),IF(AH!$U$5=1,INDEX('Live History'!$D$5:$D$3004,MATCH($A2607,'Live History'!$D$5:$D$3004,1)),INDEX('AH History'!$D$5:$GG$1380,$K2607,AH!$U$10+2))),NA()),NA())</f>
        <v/>
      </c>
      <c r="H2607" s="266">
        <f>IFERROR(IF(ISNUMBER($A2607),IF(AND(AH!$U$12=1,2602+1=AH!$U$6),IF(AH!$U$4=0,"unavailable",INDEX('Market Data'!$AP$5:$AP$66,AH!$U$4)),IF(AH!$U$5=1,INDEX('Live History'!$H$5:$H$3004,MATCH($A2607,'Live History'!$G$5:$G$3004,1)),INDEX('AH History'!$B$5:$B$1380,$K2607))),NA()),NA())</f>
        <v/>
      </c>
      <c r="I2607" s="34">
        <f>IFERROR(IF(ISNUMBER($A2607),IF(AND(AH!$U$12=1,2602+1=AH!$U$6),TODAY(),IF(AH!$U$5=1,INDEX('Live History'!$G$5:$G$3004,MATCH($A2607,'Live History'!$G$5:$G$3004,1)),INDEX('AH History'!$C$5:$C$1380,$K2607))),NA()),NA())</f>
        <v/>
      </c>
      <c r="J2607" s="32">
        <f>IFERROR(IF(AND($F2607&gt;0,$H2607&gt;0,$A2607-$G2607&lt;=10,$A2607-$I2607&lt;=5,$G2607&gt;0,$I2607&gt;0),$F2607*$H2607,NA()),NA())</f>
        <v/>
      </c>
      <c r="K2607" s="15">
        <f>IF($A2607="","",IF(AH!$U$5=1,IFERROR(MATCH($A2607,'Live History'!$A$5:$A$3004,0),0),AH!$U$7+2602))</f>
        <v/>
      </c>
      <c r="L2607" s="15">
        <f>IF(ISNUMBER(A2607),TEXT(A2607,"dd-mmm-yy"),"")</f>
        <v/>
      </c>
    </row>
    <row r="2608">
      <c r="A2608" s="14">
        <f>IF(OR(AH!$U$4=0,2603+1&gt;AH!$U$6,AND(AH!$M$5="Bloomberg",AH!$U$5=0)),"",IFERROR(IF(AND(AH!$U$12=1,2603+1=AH!$U$6),TODAY(),IF(AH!$U$5=1,INDEX('Live History'!$A$5:$A$3004,AH!$U$7+2603),INDEX('AH History'!$A$5:$A$1380,AH!$U$7+2603))),""))</f>
        <v/>
      </c>
      <c r="B2608" s="33">
        <f>IFERROR(IF(AH!$U$11=1,NA(),$J2608/$E2608-1),NA())</f>
        <v/>
      </c>
      <c r="C2608" s="269">
        <f>IFERROR(100*$E2608/$E$5,NA())</f>
        <v/>
      </c>
      <c r="D2608" s="269">
        <f>IFERROR(100*$J2608/$J$5,NA())</f>
        <v/>
      </c>
      <c r="E2608" s="32">
        <f>IFERROR(IF(AND(ISNUMBER($A2608),N(IF(AND(AH!$U$12=1,2603+1=AH!$U$6),IF(AH!$U$4=0,"unavailable",INDEX('Market Data'!$AN$5:$AN$66,AH!$U$4)),IF(AH!$U$5=1,INDEX('Live History'!$B$5:$B$3004,$K2608),INDEX('AH History'!$D$5:$GG$1380,$K2608,AH!$U$10))))&gt;0),IF(AND(AH!$U$12=1,2603+1=AH!$U$6),IF(AH!$U$4=0,"unavailable",INDEX('Market Data'!$AN$5:$AN$66,AH!$U$4)),IF(AH!$U$5=1,INDEX('Live History'!$B$5:$B$3004,$K2608),INDEX('AH History'!$D$5:$GG$1380,$K2608,AH!$U$10))),NA()),NA())</f>
        <v/>
      </c>
      <c r="F2608" s="32">
        <f>IFERROR(IF(ISNUMBER($A2608),IF(AND(AH!$U$12=1,2603+1=AH!$U$6),IF(AH!$U$4=0,"unavailable",INDEX('Market Data'!$AO$5:$AO$66,AH!$U$4)),IF(AH!$U$5=1,INDEX('Live History'!$E$5:$E$3004,MATCH($A2608,'Live History'!$D$5:$D$3004,1)),INDEX('AH History'!$D$5:$GG$1380,$K2608,AH!$U$10+1))),NA()),NA())</f>
        <v/>
      </c>
      <c r="G2608" s="34">
        <f>IFERROR(IF(ISNUMBER($A2608),IF(AND(AH!$U$12=1,2603+1=AH!$U$6),IF(AH!$U$4=0,"unavailable",INDEX('Market Data'!$AK$5:$AK$66,AH!$U$4)),IF(AH!$U$5=1,INDEX('Live History'!$D$5:$D$3004,MATCH($A2608,'Live History'!$D$5:$D$3004,1)),INDEX('AH History'!$D$5:$GG$1380,$K2608,AH!$U$10+2))),NA()),NA())</f>
        <v/>
      </c>
      <c r="H2608" s="266">
        <f>IFERROR(IF(ISNUMBER($A2608),IF(AND(AH!$U$12=1,2603+1=AH!$U$6),IF(AH!$U$4=0,"unavailable",INDEX('Market Data'!$AP$5:$AP$66,AH!$U$4)),IF(AH!$U$5=1,INDEX('Live History'!$H$5:$H$3004,MATCH($A2608,'Live History'!$G$5:$G$3004,1)),INDEX('AH History'!$B$5:$B$1380,$K2608))),NA()),NA())</f>
        <v/>
      </c>
      <c r="I2608" s="34">
        <f>IFERROR(IF(ISNUMBER($A2608),IF(AND(AH!$U$12=1,2603+1=AH!$U$6),TODAY(),IF(AH!$U$5=1,INDEX('Live History'!$G$5:$G$3004,MATCH($A2608,'Live History'!$G$5:$G$3004,1)),INDEX('AH History'!$C$5:$C$1380,$K2608))),NA()),NA())</f>
        <v/>
      </c>
      <c r="J2608" s="32">
        <f>IFERROR(IF(AND($F2608&gt;0,$H2608&gt;0,$A2608-$G2608&lt;=10,$A2608-$I2608&lt;=5,$G2608&gt;0,$I2608&gt;0),$F2608*$H2608,NA()),NA())</f>
        <v/>
      </c>
      <c r="K2608" s="15">
        <f>IF($A2608="","",IF(AH!$U$5=1,IFERROR(MATCH($A2608,'Live History'!$A$5:$A$3004,0),0),AH!$U$7+2603))</f>
        <v/>
      </c>
      <c r="L2608" s="15">
        <f>IF(ISNUMBER(A2608),TEXT(A2608,"dd-mmm-yy"),"")</f>
        <v/>
      </c>
    </row>
    <row r="2609">
      <c r="A2609" s="14">
        <f>IF(OR(AH!$U$4=0,2604+1&gt;AH!$U$6,AND(AH!$M$5="Bloomberg",AH!$U$5=0)),"",IFERROR(IF(AND(AH!$U$12=1,2604+1=AH!$U$6),TODAY(),IF(AH!$U$5=1,INDEX('Live History'!$A$5:$A$3004,AH!$U$7+2604),INDEX('AH History'!$A$5:$A$1380,AH!$U$7+2604))),""))</f>
        <v/>
      </c>
      <c r="B2609" s="33">
        <f>IFERROR(IF(AH!$U$11=1,NA(),$J2609/$E2609-1),NA())</f>
        <v/>
      </c>
      <c r="C2609" s="269">
        <f>IFERROR(100*$E2609/$E$5,NA())</f>
        <v/>
      </c>
      <c r="D2609" s="269">
        <f>IFERROR(100*$J2609/$J$5,NA())</f>
        <v/>
      </c>
      <c r="E2609" s="32">
        <f>IFERROR(IF(AND(ISNUMBER($A2609),N(IF(AND(AH!$U$12=1,2604+1=AH!$U$6),IF(AH!$U$4=0,"unavailable",INDEX('Market Data'!$AN$5:$AN$66,AH!$U$4)),IF(AH!$U$5=1,INDEX('Live History'!$B$5:$B$3004,$K2609),INDEX('AH History'!$D$5:$GG$1380,$K2609,AH!$U$10))))&gt;0),IF(AND(AH!$U$12=1,2604+1=AH!$U$6),IF(AH!$U$4=0,"unavailable",INDEX('Market Data'!$AN$5:$AN$66,AH!$U$4)),IF(AH!$U$5=1,INDEX('Live History'!$B$5:$B$3004,$K2609),INDEX('AH History'!$D$5:$GG$1380,$K2609,AH!$U$10))),NA()),NA())</f>
        <v/>
      </c>
      <c r="F2609" s="32">
        <f>IFERROR(IF(ISNUMBER($A2609),IF(AND(AH!$U$12=1,2604+1=AH!$U$6),IF(AH!$U$4=0,"unavailable",INDEX('Market Data'!$AO$5:$AO$66,AH!$U$4)),IF(AH!$U$5=1,INDEX('Live History'!$E$5:$E$3004,MATCH($A2609,'Live History'!$D$5:$D$3004,1)),INDEX('AH History'!$D$5:$GG$1380,$K2609,AH!$U$10+1))),NA()),NA())</f>
        <v/>
      </c>
      <c r="G2609" s="34">
        <f>IFERROR(IF(ISNUMBER($A2609),IF(AND(AH!$U$12=1,2604+1=AH!$U$6),IF(AH!$U$4=0,"unavailable",INDEX('Market Data'!$AK$5:$AK$66,AH!$U$4)),IF(AH!$U$5=1,INDEX('Live History'!$D$5:$D$3004,MATCH($A2609,'Live History'!$D$5:$D$3004,1)),INDEX('AH History'!$D$5:$GG$1380,$K2609,AH!$U$10+2))),NA()),NA())</f>
        <v/>
      </c>
      <c r="H2609" s="266">
        <f>IFERROR(IF(ISNUMBER($A2609),IF(AND(AH!$U$12=1,2604+1=AH!$U$6),IF(AH!$U$4=0,"unavailable",INDEX('Market Data'!$AP$5:$AP$66,AH!$U$4)),IF(AH!$U$5=1,INDEX('Live History'!$H$5:$H$3004,MATCH($A2609,'Live History'!$G$5:$G$3004,1)),INDEX('AH History'!$B$5:$B$1380,$K2609))),NA()),NA())</f>
        <v/>
      </c>
      <c r="I2609" s="34">
        <f>IFERROR(IF(ISNUMBER($A2609),IF(AND(AH!$U$12=1,2604+1=AH!$U$6),TODAY(),IF(AH!$U$5=1,INDEX('Live History'!$G$5:$G$3004,MATCH($A2609,'Live History'!$G$5:$G$3004,1)),INDEX('AH History'!$C$5:$C$1380,$K2609))),NA()),NA())</f>
        <v/>
      </c>
      <c r="J2609" s="32">
        <f>IFERROR(IF(AND($F2609&gt;0,$H2609&gt;0,$A2609-$G2609&lt;=10,$A2609-$I2609&lt;=5,$G2609&gt;0,$I2609&gt;0),$F2609*$H2609,NA()),NA())</f>
        <v/>
      </c>
      <c r="K2609" s="15">
        <f>IF($A2609="","",IF(AH!$U$5=1,IFERROR(MATCH($A2609,'Live History'!$A$5:$A$3004,0),0),AH!$U$7+2604))</f>
        <v/>
      </c>
      <c r="L2609" s="15">
        <f>IF(ISNUMBER(A2609),TEXT(A2609,"dd-mmm-yy"),"")</f>
        <v/>
      </c>
    </row>
    <row r="2610">
      <c r="A2610" s="14">
        <f>IF(OR(AH!$U$4=0,2605+1&gt;AH!$U$6,AND(AH!$M$5="Bloomberg",AH!$U$5=0)),"",IFERROR(IF(AND(AH!$U$12=1,2605+1=AH!$U$6),TODAY(),IF(AH!$U$5=1,INDEX('Live History'!$A$5:$A$3004,AH!$U$7+2605),INDEX('AH History'!$A$5:$A$1380,AH!$U$7+2605))),""))</f>
        <v/>
      </c>
      <c r="B2610" s="33">
        <f>IFERROR(IF(AH!$U$11=1,NA(),$J2610/$E2610-1),NA())</f>
        <v/>
      </c>
      <c r="C2610" s="269">
        <f>IFERROR(100*$E2610/$E$5,NA())</f>
        <v/>
      </c>
      <c r="D2610" s="269">
        <f>IFERROR(100*$J2610/$J$5,NA())</f>
        <v/>
      </c>
      <c r="E2610" s="32">
        <f>IFERROR(IF(AND(ISNUMBER($A2610),N(IF(AND(AH!$U$12=1,2605+1=AH!$U$6),IF(AH!$U$4=0,"unavailable",INDEX('Market Data'!$AN$5:$AN$66,AH!$U$4)),IF(AH!$U$5=1,INDEX('Live History'!$B$5:$B$3004,$K2610),INDEX('AH History'!$D$5:$GG$1380,$K2610,AH!$U$10))))&gt;0),IF(AND(AH!$U$12=1,2605+1=AH!$U$6),IF(AH!$U$4=0,"unavailable",INDEX('Market Data'!$AN$5:$AN$66,AH!$U$4)),IF(AH!$U$5=1,INDEX('Live History'!$B$5:$B$3004,$K2610),INDEX('AH History'!$D$5:$GG$1380,$K2610,AH!$U$10))),NA()),NA())</f>
        <v/>
      </c>
      <c r="F2610" s="32">
        <f>IFERROR(IF(ISNUMBER($A2610),IF(AND(AH!$U$12=1,2605+1=AH!$U$6),IF(AH!$U$4=0,"unavailable",INDEX('Market Data'!$AO$5:$AO$66,AH!$U$4)),IF(AH!$U$5=1,INDEX('Live History'!$E$5:$E$3004,MATCH($A2610,'Live History'!$D$5:$D$3004,1)),INDEX('AH History'!$D$5:$GG$1380,$K2610,AH!$U$10+1))),NA()),NA())</f>
        <v/>
      </c>
      <c r="G2610" s="34">
        <f>IFERROR(IF(ISNUMBER($A2610),IF(AND(AH!$U$12=1,2605+1=AH!$U$6),IF(AH!$U$4=0,"unavailable",INDEX('Market Data'!$AK$5:$AK$66,AH!$U$4)),IF(AH!$U$5=1,INDEX('Live History'!$D$5:$D$3004,MATCH($A2610,'Live History'!$D$5:$D$3004,1)),INDEX('AH History'!$D$5:$GG$1380,$K2610,AH!$U$10+2))),NA()),NA())</f>
        <v/>
      </c>
      <c r="H2610" s="266">
        <f>IFERROR(IF(ISNUMBER($A2610),IF(AND(AH!$U$12=1,2605+1=AH!$U$6),IF(AH!$U$4=0,"unavailable",INDEX('Market Data'!$AP$5:$AP$66,AH!$U$4)),IF(AH!$U$5=1,INDEX('Live History'!$H$5:$H$3004,MATCH($A2610,'Live History'!$G$5:$G$3004,1)),INDEX('AH History'!$B$5:$B$1380,$K2610))),NA()),NA())</f>
        <v/>
      </c>
      <c r="I2610" s="34">
        <f>IFERROR(IF(ISNUMBER($A2610),IF(AND(AH!$U$12=1,2605+1=AH!$U$6),TODAY(),IF(AH!$U$5=1,INDEX('Live History'!$G$5:$G$3004,MATCH($A2610,'Live History'!$G$5:$G$3004,1)),INDEX('AH History'!$C$5:$C$1380,$K2610))),NA()),NA())</f>
        <v/>
      </c>
      <c r="J2610" s="32">
        <f>IFERROR(IF(AND($F2610&gt;0,$H2610&gt;0,$A2610-$G2610&lt;=10,$A2610-$I2610&lt;=5,$G2610&gt;0,$I2610&gt;0),$F2610*$H2610,NA()),NA())</f>
        <v/>
      </c>
      <c r="K2610" s="15">
        <f>IF($A2610="","",IF(AH!$U$5=1,IFERROR(MATCH($A2610,'Live History'!$A$5:$A$3004,0),0),AH!$U$7+2605))</f>
        <v/>
      </c>
      <c r="L2610" s="15">
        <f>IF(ISNUMBER(A2610),TEXT(A2610,"dd-mmm-yy"),"")</f>
        <v/>
      </c>
    </row>
    <row r="2611">
      <c r="A2611" s="14">
        <f>IF(OR(AH!$U$4=0,2606+1&gt;AH!$U$6,AND(AH!$M$5="Bloomberg",AH!$U$5=0)),"",IFERROR(IF(AND(AH!$U$12=1,2606+1=AH!$U$6),TODAY(),IF(AH!$U$5=1,INDEX('Live History'!$A$5:$A$3004,AH!$U$7+2606),INDEX('AH History'!$A$5:$A$1380,AH!$U$7+2606))),""))</f>
        <v/>
      </c>
      <c r="B2611" s="33">
        <f>IFERROR(IF(AH!$U$11=1,NA(),$J2611/$E2611-1),NA())</f>
        <v/>
      </c>
      <c r="C2611" s="269">
        <f>IFERROR(100*$E2611/$E$5,NA())</f>
        <v/>
      </c>
      <c r="D2611" s="269">
        <f>IFERROR(100*$J2611/$J$5,NA())</f>
        <v/>
      </c>
      <c r="E2611" s="32">
        <f>IFERROR(IF(AND(ISNUMBER($A2611),N(IF(AND(AH!$U$12=1,2606+1=AH!$U$6),IF(AH!$U$4=0,"unavailable",INDEX('Market Data'!$AN$5:$AN$66,AH!$U$4)),IF(AH!$U$5=1,INDEX('Live History'!$B$5:$B$3004,$K2611),INDEX('AH History'!$D$5:$GG$1380,$K2611,AH!$U$10))))&gt;0),IF(AND(AH!$U$12=1,2606+1=AH!$U$6),IF(AH!$U$4=0,"unavailable",INDEX('Market Data'!$AN$5:$AN$66,AH!$U$4)),IF(AH!$U$5=1,INDEX('Live History'!$B$5:$B$3004,$K2611),INDEX('AH History'!$D$5:$GG$1380,$K2611,AH!$U$10))),NA()),NA())</f>
        <v/>
      </c>
      <c r="F2611" s="32">
        <f>IFERROR(IF(ISNUMBER($A2611),IF(AND(AH!$U$12=1,2606+1=AH!$U$6),IF(AH!$U$4=0,"unavailable",INDEX('Market Data'!$AO$5:$AO$66,AH!$U$4)),IF(AH!$U$5=1,INDEX('Live History'!$E$5:$E$3004,MATCH($A2611,'Live History'!$D$5:$D$3004,1)),INDEX('AH History'!$D$5:$GG$1380,$K2611,AH!$U$10+1))),NA()),NA())</f>
        <v/>
      </c>
      <c r="G2611" s="34">
        <f>IFERROR(IF(ISNUMBER($A2611),IF(AND(AH!$U$12=1,2606+1=AH!$U$6),IF(AH!$U$4=0,"unavailable",INDEX('Market Data'!$AK$5:$AK$66,AH!$U$4)),IF(AH!$U$5=1,INDEX('Live History'!$D$5:$D$3004,MATCH($A2611,'Live History'!$D$5:$D$3004,1)),INDEX('AH History'!$D$5:$GG$1380,$K2611,AH!$U$10+2))),NA()),NA())</f>
        <v/>
      </c>
      <c r="H2611" s="266">
        <f>IFERROR(IF(ISNUMBER($A2611),IF(AND(AH!$U$12=1,2606+1=AH!$U$6),IF(AH!$U$4=0,"unavailable",INDEX('Market Data'!$AP$5:$AP$66,AH!$U$4)),IF(AH!$U$5=1,INDEX('Live History'!$H$5:$H$3004,MATCH($A2611,'Live History'!$G$5:$G$3004,1)),INDEX('AH History'!$B$5:$B$1380,$K2611))),NA()),NA())</f>
        <v/>
      </c>
      <c r="I2611" s="34">
        <f>IFERROR(IF(ISNUMBER($A2611),IF(AND(AH!$U$12=1,2606+1=AH!$U$6),TODAY(),IF(AH!$U$5=1,INDEX('Live History'!$G$5:$G$3004,MATCH($A2611,'Live History'!$G$5:$G$3004,1)),INDEX('AH History'!$C$5:$C$1380,$K2611))),NA()),NA())</f>
        <v/>
      </c>
      <c r="J2611" s="32">
        <f>IFERROR(IF(AND($F2611&gt;0,$H2611&gt;0,$A2611-$G2611&lt;=10,$A2611-$I2611&lt;=5,$G2611&gt;0,$I2611&gt;0),$F2611*$H2611,NA()),NA())</f>
        <v/>
      </c>
      <c r="K2611" s="15">
        <f>IF($A2611="","",IF(AH!$U$5=1,IFERROR(MATCH($A2611,'Live History'!$A$5:$A$3004,0),0),AH!$U$7+2606))</f>
        <v/>
      </c>
      <c r="L2611" s="15">
        <f>IF(ISNUMBER(A2611),TEXT(A2611,"dd-mmm-yy"),"")</f>
        <v/>
      </c>
    </row>
    <row r="2612">
      <c r="A2612" s="14">
        <f>IF(OR(AH!$U$4=0,2607+1&gt;AH!$U$6,AND(AH!$M$5="Bloomberg",AH!$U$5=0)),"",IFERROR(IF(AND(AH!$U$12=1,2607+1=AH!$U$6),TODAY(),IF(AH!$U$5=1,INDEX('Live History'!$A$5:$A$3004,AH!$U$7+2607),INDEX('AH History'!$A$5:$A$1380,AH!$U$7+2607))),""))</f>
        <v/>
      </c>
      <c r="B2612" s="33">
        <f>IFERROR(IF(AH!$U$11=1,NA(),$J2612/$E2612-1),NA())</f>
        <v/>
      </c>
      <c r="C2612" s="269">
        <f>IFERROR(100*$E2612/$E$5,NA())</f>
        <v/>
      </c>
      <c r="D2612" s="269">
        <f>IFERROR(100*$J2612/$J$5,NA())</f>
        <v/>
      </c>
      <c r="E2612" s="32">
        <f>IFERROR(IF(AND(ISNUMBER($A2612),N(IF(AND(AH!$U$12=1,2607+1=AH!$U$6),IF(AH!$U$4=0,"unavailable",INDEX('Market Data'!$AN$5:$AN$66,AH!$U$4)),IF(AH!$U$5=1,INDEX('Live History'!$B$5:$B$3004,$K2612),INDEX('AH History'!$D$5:$GG$1380,$K2612,AH!$U$10))))&gt;0),IF(AND(AH!$U$12=1,2607+1=AH!$U$6),IF(AH!$U$4=0,"unavailable",INDEX('Market Data'!$AN$5:$AN$66,AH!$U$4)),IF(AH!$U$5=1,INDEX('Live History'!$B$5:$B$3004,$K2612),INDEX('AH History'!$D$5:$GG$1380,$K2612,AH!$U$10))),NA()),NA())</f>
        <v/>
      </c>
      <c r="F2612" s="32">
        <f>IFERROR(IF(ISNUMBER($A2612),IF(AND(AH!$U$12=1,2607+1=AH!$U$6),IF(AH!$U$4=0,"unavailable",INDEX('Market Data'!$AO$5:$AO$66,AH!$U$4)),IF(AH!$U$5=1,INDEX('Live History'!$E$5:$E$3004,MATCH($A2612,'Live History'!$D$5:$D$3004,1)),INDEX('AH History'!$D$5:$GG$1380,$K2612,AH!$U$10+1))),NA()),NA())</f>
        <v/>
      </c>
      <c r="G2612" s="34">
        <f>IFERROR(IF(ISNUMBER($A2612),IF(AND(AH!$U$12=1,2607+1=AH!$U$6),IF(AH!$U$4=0,"unavailable",INDEX('Market Data'!$AK$5:$AK$66,AH!$U$4)),IF(AH!$U$5=1,INDEX('Live History'!$D$5:$D$3004,MATCH($A2612,'Live History'!$D$5:$D$3004,1)),INDEX('AH History'!$D$5:$GG$1380,$K2612,AH!$U$10+2))),NA()),NA())</f>
        <v/>
      </c>
      <c r="H2612" s="266">
        <f>IFERROR(IF(ISNUMBER($A2612),IF(AND(AH!$U$12=1,2607+1=AH!$U$6),IF(AH!$U$4=0,"unavailable",INDEX('Market Data'!$AP$5:$AP$66,AH!$U$4)),IF(AH!$U$5=1,INDEX('Live History'!$H$5:$H$3004,MATCH($A2612,'Live History'!$G$5:$G$3004,1)),INDEX('AH History'!$B$5:$B$1380,$K2612))),NA()),NA())</f>
        <v/>
      </c>
      <c r="I2612" s="34">
        <f>IFERROR(IF(ISNUMBER($A2612),IF(AND(AH!$U$12=1,2607+1=AH!$U$6),TODAY(),IF(AH!$U$5=1,INDEX('Live History'!$G$5:$G$3004,MATCH($A2612,'Live History'!$G$5:$G$3004,1)),INDEX('AH History'!$C$5:$C$1380,$K2612))),NA()),NA())</f>
        <v/>
      </c>
      <c r="J2612" s="32">
        <f>IFERROR(IF(AND($F2612&gt;0,$H2612&gt;0,$A2612-$G2612&lt;=10,$A2612-$I2612&lt;=5,$G2612&gt;0,$I2612&gt;0),$F2612*$H2612,NA()),NA())</f>
        <v/>
      </c>
      <c r="K2612" s="15">
        <f>IF($A2612="","",IF(AH!$U$5=1,IFERROR(MATCH($A2612,'Live History'!$A$5:$A$3004,0),0),AH!$U$7+2607))</f>
        <v/>
      </c>
      <c r="L2612" s="15">
        <f>IF(ISNUMBER(A2612),TEXT(A2612,"dd-mmm-yy"),"")</f>
        <v/>
      </c>
    </row>
    <row r="2613">
      <c r="A2613" s="14">
        <f>IF(OR(AH!$U$4=0,2608+1&gt;AH!$U$6,AND(AH!$M$5="Bloomberg",AH!$U$5=0)),"",IFERROR(IF(AND(AH!$U$12=1,2608+1=AH!$U$6),TODAY(),IF(AH!$U$5=1,INDEX('Live History'!$A$5:$A$3004,AH!$U$7+2608),INDEX('AH History'!$A$5:$A$1380,AH!$U$7+2608))),""))</f>
        <v/>
      </c>
      <c r="B2613" s="33">
        <f>IFERROR(IF(AH!$U$11=1,NA(),$J2613/$E2613-1),NA())</f>
        <v/>
      </c>
      <c r="C2613" s="269">
        <f>IFERROR(100*$E2613/$E$5,NA())</f>
        <v/>
      </c>
      <c r="D2613" s="269">
        <f>IFERROR(100*$J2613/$J$5,NA())</f>
        <v/>
      </c>
      <c r="E2613" s="32">
        <f>IFERROR(IF(AND(ISNUMBER($A2613),N(IF(AND(AH!$U$12=1,2608+1=AH!$U$6),IF(AH!$U$4=0,"unavailable",INDEX('Market Data'!$AN$5:$AN$66,AH!$U$4)),IF(AH!$U$5=1,INDEX('Live History'!$B$5:$B$3004,$K2613),INDEX('AH History'!$D$5:$GG$1380,$K2613,AH!$U$10))))&gt;0),IF(AND(AH!$U$12=1,2608+1=AH!$U$6),IF(AH!$U$4=0,"unavailable",INDEX('Market Data'!$AN$5:$AN$66,AH!$U$4)),IF(AH!$U$5=1,INDEX('Live History'!$B$5:$B$3004,$K2613),INDEX('AH History'!$D$5:$GG$1380,$K2613,AH!$U$10))),NA()),NA())</f>
        <v/>
      </c>
      <c r="F2613" s="32">
        <f>IFERROR(IF(ISNUMBER($A2613),IF(AND(AH!$U$12=1,2608+1=AH!$U$6),IF(AH!$U$4=0,"unavailable",INDEX('Market Data'!$AO$5:$AO$66,AH!$U$4)),IF(AH!$U$5=1,INDEX('Live History'!$E$5:$E$3004,MATCH($A2613,'Live History'!$D$5:$D$3004,1)),INDEX('AH History'!$D$5:$GG$1380,$K2613,AH!$U$10+1))),NA()),NA())</f>
        <v/>
      </c>
      <c r="G2613" s="34">
        <f>IFERROR(IF(ISNUMBER($A2613),IF(AND(AH!$U$12=1,2608+1=AH!$U$6),IF(AH!$U$4=0,"unavailable",INDEX('Market Data'!$AK$5:$AK$66,AH!$U$4)),IF(AH!$U$5=1,INDEX('Live History'!$D$5:$D$3004,MATCH($A2613,'Live History'!$D$5:$D$3004,1)),INDEX('AH History'!$D$5:$GG$1380,$K2613,AH!$U$10+2))),NA()),NA())</f>
        <v/>
      </c>
      <c r="H2613" s="266">
        <f>IFERROR(IF(ISNUMBER($A2613),IF(AND(AH!$U$12=1,2608+1=AH!$U$6),IF(AH!$U$4=0,"unavailable",INDEX('Market Data'!$AP$5:$AP$66,AH!$U$4)),IF(AH!$U$5=1,INDEX('Live History'!$H$5:$H$3004,MATCH($A2613,'Live History'!$G$5:$G$3004,1)),INDEX('AH History'!$B$5:$B$1380,$K2613))),NA()),NA())</f>
        <v/>
      </c>
      <c r="I2613" s="34">
        <f>IFERROR(IF(ISNUMBER($A2613),IF(AND(AH!$U$12=1,2608+1=AH!$U$6),TODAY(),IF(AH!$U$5=1,INDEX('Live History'!$G$5:$G$3004,MATCH($A2613,'Live History'!$G$5:$G$3004,1)),INDEX('AH History'!$C$5:$C$1380,$K2613))),NA()),NA())</f>
        <v/>
      </c>
      <c r="J2613" s="32">
        <f>IFERROR(IF(AND($F2613&gt;0,$H2613&gt;0,$A2613-$G2613&lt;=10,$A2613-$I2613&lt;=5,$G2613&gt;0,$I2613&gt;0),$F2613*$H2613,NA()),NA())</f>
        <v/>
      </c>
      <c r="K2613" s="15">
        <f>IF($A2613="","",IF(AH!$U$5=1,IFERROR(MATCH($A2613,'Live History'!$A$5:$A$3004,0),0),AH!$U$7+2608))</f>
        <v/>
      </c>
      <c r="L2613" s="15">
        <f>IF(ISNUMBER(A2613),TEXT(A2613,"dd-mmm-yy"),"")</f>
        <v/>
      </c>
    </row>
    <row r="2614">
      <c r="A2614" s="14">
        <f>IF(OR(AH!$U$4=0,2609+1&gt;AH!$U$6,AND(AH!$M$5="Bloomberg",AH!$U$5=0)),"",IFERROR(IF(AND(AH!$U$12=1,2609+1=AH!$U$6),TODAY(),IF(AH!$U$5=1,INDEX('Live History'!$A$5:$A$3004,AH!$U$7+2609),INDEX('AH History'!$A$5:$A$1380,AH!$U$7+2609))),""))</f>
        <v/>
      </c>
      <c r="B2614" s="33">
        <f>IFERROR(IF(AH!$U$11=1,NA(),$J2614/$E2614-1),NA())</f>
        <v/>
      </c>
      <c r="C2614" s="269">
        <f>IFERROR(100*$E2614/$E$5,NA())</f>
        <v/>
      </c>
      <c r="D2614" s="269">
        <f>IFERROR(100*$J2614/$J$5,NA())</f>
        <v/>
      </c>
      <c r="E2614" s="32">
        <f>IFERROR(IF(AND(ISNUMBER($A2614),N(IF(AND(AH!$U$12=1,2609+1=AH!$U$6),IF(AH!$U$4=0,"unavailable",INDEX('Market Data'!$AN$5:$AN$66,AH!$U$4)),IF(AH!$U$5=1,INDEX('Live History'!$B$5:$B$3004,$K2614),INDEX('AH History'!$D$5:$GG$1380,$K2614,AH!$U$10))))&gt;0),IF(AND(AH!$U$12=1,2609+1=AH!$U$6),IF(AH!$U$4=0,"unavailable",INDEX('Market Data'!$AN$5:$AN$66,AH!$U$4)),IF(AH!$U$5=1,INDEX('Live History'!$B$5:$B$3004,$K2614),INDEX('AH History'!$D$5:$GG$1380,$K2614,AH!$U$10))),NA()),NA())</f>
        <v/>
      </c>
      <c r="F2614" s="32">
        <f>IFERROR(IF(ISNUMBER($A2614),IF(AND(AH!$U$12=1,2609+1=AH!$U$6),IF(AH!$U$4=0,"unavailable",INDEX('Market Data'!$AO$5:$AO$66,AH!$U$4)),IF(AH!$U$5=1,INDEX('Live History'!$E$5:$E$3004,MATCH($A2614,'Live History'!$D$5:$D$3004,1)),INDEX('AH History'!$D$5:$GG$1380,$K2614,AH!$U$10+1))),NA()),NA())</f>
        <v/>
      </c>
      <c r="G2614" s="34">
        <f>IFERROR(IF(ISNUMBER($A2614),IF(AND(AH!$U$12=1,2609+1=AH!$U$6),IF(AH!$U$4=0,"unavailable",INDEX('Market Data'!$AK$5:$AK$66,AH!$U$4)),IF(AH!$U$5=1,INDEX('Live History'!$D$5:$D$3004,MATCH($A2614,'Live History'!$D$5:$D$3004,1)),INDEX('AH History'!$D$5:$GG$1380,$K2614,AH!$U$10+2))),NA()),NA())</f>
        <v/>
      </c>
      <c r="H2614" s="266">
        <f>IFERROR(IF(ISNUMBER($A2614),IF(AND(AH!$U$12=1,2609+1=AH!$U$6),IF(AH!$U$4=0,"unavailable",INDEX('Market Data'!$AP$5:$AP$66,AH!$U$4)),IF(AH!$U$5=1,INDEX('Live History'!$H$5:$H$3004,MATCH($A2614,'Live History'!$G$5:$G$3004,1)),INDEX('AH History'!$B$5:$B$1380,$K2614))),NA()),NA())</f>
        <v/>
      </c>
      <c r="I2614" s="34">
        <f>IFERROR(IF(ISNUMBER($A2614),IF(AND(AH!$U$12=1,2609+1=AH!$U$6),TODAY(),IF(AH!$U$5=1,INDEX('Live History'!$G$5:$G$3004,MATCH($A2614,'Live History'!$G$5:$G$3004,1)),INDEX('AH History'!$C$5:$C$1380,$K2614))),NA()),NA())</f>
        <v/>
      </c>
      <c r="J2614" s="32">
        <f>IFERROR(IF(AND($F2614&gt;0,$H2614&gt;0,$A2614-$G2614&lt;=10,$A2614-$I2614&lt;=5,$G2614&gt;0,$I2614&gt;0),$F2614*$H2614,NA()),NA())</f>
        <v/>
      </c>
      <c r="K2614" s="15">
        <f>IF($A2614="","",IF(AH!$U$5=1,IFERROR(MATCH($A2614,'Live History'!$A$5:$A$3004,0),0),AH!$U$7+2609))</f>
        <v/>
      </c>
      <c r="L2614" s="15">
        <f>IF(ISNUMBER(A2614),TEXT(A2614,"dd-mmm-yy"),"")</f>
        <v/>
      </c>
    </row>
    <row r="2615">
      <c r="A2615" s="14">
        <f>IF(OR(AH!$U$4=0,2610+1&gt;AH!$U$6,AND(AH!$M$5="Bloomberg",AH!$U$5=0)),"",IFERROR(IF(AND(AH!$U$12=1,2610+1=AH!$U$6),TODAY(),IF(AH!$U$5=1,INDEX('Live History'!$A$5:$A$3004,AH!$U$7+2610),INDEX('AH History'!$A$5:$A$1380,AH!$U$7+2610))),""))</f>
        <v/>
      </c>
      <c r="B2615" s="33">
        <f>IFERROR(IF(AH!$U$11=1,NA(),$J2615/$E2615-1),NA())</f>
        <v/>
      </c>
      <c r="C2615" s="269">
        <f>IFERROR(100*$E2615/$E$5,NA())</f>
        <v/>
      </c>
      <c r="D2615" s="269">
        <f>IFERROR(100*$J2615/$J$5,NA())</f>
        <v/>
      </c>
      <c r="E2615" s="32">
        <f>IFERROR(IF(AND(ISNUMBER($A2615),N(IF(AND(AH!$U$12=1,2610+1=AH!$U$6),IF(AH!$U$4=0,"unavailable",INDEX('Market Data'!$AN$5:$AN$66,AH!$U$4)),IF(AH!$U$5=1,INDEX('Live History'!$B$5:$B$3004,$K2615),INDEX('AH History'!$D$5:$GG$1380,$K2615,AH!$U$10))))&gt;0),IF(AND(AH!$U$12=1,2610+1=AH!$U$6),IF(AH!$U$4=0,"unavailable",INDEX('Market Data'!$AN$5:$AN$66,AH!$U$4)),IF(AH!$U$5=1,INDEX('Live History'!$B$5:$B$3004,$K2615),INDEX('AH History'!$D$5:$GG$1380,$K2615,AH!$U$10))),NA()),NA())</f>
        <v/>
      </c>
      <c r="F2615" s="32">
        <f>IFERROR(IF(ISNUMBER($A2615),IF(AND(AH!$U$12=1,2610+1=AH!$U$6),IF(AH!$U$4=0,"unavailable",INDEX('Market Data'!$AO$5:$AO$66,AH!$U$4)),IF(AH!$U$5=1,INDEX('Live History'!$E$5:$E$3004,MATCH($A2615,'Live History'!$D$5:$D$3004,1)),INDEX('AH History'!$D$5:$GG$1380,$K2615,AH!$U$10+1))),NA()),NA())</f>
        <v/>
      </c>
      <c r="G2615" s="34">
        <f>IFERROR(IF(ISNUMBER($A2615),IF(AND(AH!$U$12=1,2610+1=AH!$U$6),IF(AH!$U$4=0,"unavailable",INDEX('Market Data'!$AK$5:$AK$66,AH!$U$4)),IF(AH!$U$5=1,INDEX('Live History'!$D$5:$D$3004,MATCH($A2615,'Live History'!$D$5:$D$3004,1)),INDEX('AH History'!$D$5:$GG$1380,$K2615,AH!$U$10+2))),NA()),NA())</f>
        <v/>
      </c>
      <c r="H2615" s="266">
        <f>IFERROR(IF(ISNUMBER($A2615),IF(AND(AH!$U$12=1,2610+1=AH!$U$6),IF(AH!$U$4=0,"unavailable",INDEX('Market Data'!$AP$5:$AP$66,AH!$U$4)),IF(AH!$U$5=1,INDEX('Live History'!$H$5:$H$3004,MATCH($A2615,'Live History'!$G$5:$G$3004,1)),INDEX('AH History'!$B$5:$B$1380,$K2615))),NA()),NA())</f>
        <v/>
      </c>
      <c r="I2615" s="34">
        <f>IFERROR(IF(ISNUMBER($A2615),IF(AND(AH!$U$12=1,2610+1=AH!$U$6),TODAY(),IF(AH!$U$5=1,INDEX('Live History'!$G$5:$G$3004,MATCH($A2615,'Live History'!$G$5:$G$3004,1)),INDEX('AH History'!$C$5:$C$1380,$K2615))),NA()),NA())</f>
        <v/>
      </c>
      <c r="J2615" s="32">
        <f>IFERROR(IF(AND($F2615&gt;0,$H2615&gt;0,$A2615-$G2615&lt;=10,$A2615-$I2615&lt;=5,$G2615&gt;0,$I2615&gt;0),$F2615*$H2615,NA()),NA())</f>
        <v/>
      </c>
      <c r="K2615" s="15">
        <f>IF($A2615="","",IF(AH!$U$5=1,IFERROR(MATCH($A2615,'Live History'!$A$5:$A$3004,0),0),AH!$U$7+2610))</f>
        <v/>
      </c>
      <c r="L2615" s="15">
        <f>IF(ISNUMBER(A2615),TEXT(A2615,"dd-mmm-yy"),"")</f>
        <v/>
      </c>
    </row>
    <row r="2616">
      <c r="A2616" s="14">
        <f>IF(OR(AH!$U$4=0,2611+1&gt;AH!$U$6,AND(AH!$M$5="Bloomberg",AH!$U$5=0)),"",IFERROR(IF(AND(AH!$U$12=1,2611+1=AH!$U$6),TODAY(),IF(AH!$U$5=1,INDEX('Live History'!$A$5:$A$3004,AH!$U$7+2611),INDEX('AH History'!$A$5:$A$1380,AH!$U$7+2611))),""))</f>
        <v/>
      </c>
      <c r="B2616" s="33">
        <f>IFERROR(IF(AH!$U$11=1,NA(),$J2616/$E2616-1),NA())</f>
        <v/>
      </c>
      <c r="C2616" s="269">
        <f>IFERROR(100*$E2616/$E$5,NA())</f>
        <v/>
      </c>
      <c r="D2616" s="269">
        <f>IFERROR(100*$J2616/$J$5,NA())</f>
        <v/>
      </c>
      <c r="E2616" s="32">
        <f>IFERROR(IF(AND(ISNUMBER($A2616),N(IF(AND(AH!$U$12=1,2611+1=AH!$U$6),IF(AH!$U$4=0,"unavailable",INDEX('Market Data'!$AN$5:$AN$66,AH!$U$4)),IF(AH!$U$5=1,INDEX('Live History'!$B$5:$B$3004,$K2616),INDEX('AH History'!$D$5:$GG$1380,$K2616,AH!$U$10))))&gt;0),IF(AND(AH!$U$12=1,2611+1=AH!$U$6),IF(AH!$U$4=0,"unavailable",INDEX('Market Data'!$AN$5:$AN$66,AH!$U$4)),IF(AH!$U$5=1,INDEX('Live History'!$B$5:$B$3004,$K2616),INDEX('AH History'!$D$5:$GG$1380,$K2616,AH!$U$10))),NA()),NA())</f>
        <v/>
      </c>
      <c r="F2616" s="32">
        <f>IFERROR(IF(ISNUMBER($A2616),IF(AND(AH!$U$12=1,2611+1=AH!$U$6),IF(AH!$U$4=0,"unavailable",INDEX('Market Data'!$AO$5:$AO$66,AH!$U$4)),IF(AH!$U$5=1,INDEX('Live History'!$E$5:$E$3004,MATCH($A2616,'Live History'!$D$5:$D$3004,1)),INDEX('AH History'!$D$5:$GG$1380,$K2616,AH!$U$10+1))),NA()),NA())</f>
        <v/>
      </c>
      <c r="G2616" s="34">
        <f>IFERROR(IF(ISNUMBER($A2616),IF(AND(AH!$U$12=1,2611+1=AH!$U$6),IF(AH!$U$4=0,"unavailable",INDEX('Market Data'!$AK$5:$AK$66,AH!$U$4)),IF(AH!$U$5=1,INDEX('Live History'!$D$5:$D$3004,MATCH($A2616,'Live History'!$D$5:$D$3004,1)),INDEX('AH History'!$D$5:$GG$1380,$K2616,AH!$U$10+2))),NA()),NA())</f>
        <v/>
      </c>
      <c r="H2616" s="266">
        <f>IFERROR(IF(ISNUMBER($A2616),IF(AND(AH!$U$12=1,2611+1=AH!$U$6),IF(AH!$U$4=0,"unavailable",INDEX('Market Data'!$AP$5:$AP$66,AH!$U$4)),IF(AH!$U$5=1,INDEX('Live History'!$H$5:$H$3004,MATCH($A2616,'Live History'!$G$5:$G$3004,1)),INDEX('AH History'!$B$5:$B$1380,$K2616))),NA()),NA())</f>
        <v/>
      </c>
      <c r="I2616" s="34">
        <f>IFERROR(IF(ISNUMBER($A2616),IF(AND(AH!$U$12=1,2611+1=AH!$U$6),TODAY(),IF(AH!$U$5=1,INDEX('Live History'!$G$5:$G$3004,MATCH($A2616,'Live History'!$G$5:$G$3004,1)),INDEX('AH History'!$C$5:$C$1380,$K2616))),NA()),NA())</f>
        <v/>
      </c>
      <c r="J2616" s="32">
        <f>IFERROR(IF(AND($F2616&gt;0,$H2616&gt;0,$A2616-$G2616&lt;=10,$A2616-$I2616&lt;=5,$G2616&gt;0,$I2616&gt;0),$F2616*$H2616,NA()),NA())</f>
        <v/>
      </c>
      <c r="K2616" s="15">
        <f>IF($A2616="","",IF(AH!$U$5=1,IFERROR(MATCH($A2616,'Live History'!$A$5:$A$3004,0),0),AH!$U$7+2611))</f>
        <v/>
      </c>
      <c r="L2616" s="15">
        <f>IF(ISNUMBER(A2616),TEXT(A2616,"dd-mmm-yy"),"")</f>
        <v/>
      </c>
    </row>
    <row r="2617">
      <c r="A2617" s="14">
        <f>IF(OR(AH!$U$4=0,2612+1&gt;AH!$U$6,AND(AH!$M$5="Bloomberg",AH!$U$5=0)),"",IFERROR(IF(AND(AH!$U$12=1,2612+1=AH!$U$6),TODAY(),IF(AH!$U$5=1,INDEX('Live History'!$A$5:$A$3004,AH!$U$7+2612),INDEX('AH History'!$A$5:$A$1380,AH!$U$7+2612))),""))</f>
        <v/>
      </c>
      <c r="B2617" s="33">
        <f>IFERROR(IF(AH!$U$11=1,NA(),$J2617/$E2617-1),NA())</f>
        <v/>
      </c>
      <c r="C2617" s="269">
        <f>IFERROR(100*$E2617/$E$5,NA())</f>
        <v/>
      </c>
      <c r="D2617" s="269">
        <f>IFERROR(100*$J2617/$J$5,NA())</f>
        <v/>
      </c>
      <c r="E2617" s="32">
        <f>IFERROR(IF(AND(ISNUMBER($A2617),N(IF(AND(AH!$U$12=1,2612+1=AH!$U$6),IF(AH!$U$4=0,"unavailable",INDEX('Market Data'!$AN$5:$AN$66,AH!$U$4)),IF(AH!$U$5=1,INDEX('Live History'!$B$5:$B$3004,$K2617),INDEX('AH History'!$D$5:$GG$1380,$K2617,AH!$U$10))))&gt;0),IF(AND(AH!$U$12=1,2612+1=AH!$U$6),IF(AH!$U$4=0,"unavailable",INDEX('Market Data'!$AN$5:$AN$66,AH!$U$4)),IF(AH!$U$5=1,INDEX('Live History'!$B$5:$B$3004,$K2617),INDEX('AH History'!$D$5:$GG$1380,$K2617,AH!$U$10))),NA()),NA())</f>
        <v/>
      </c>
      <c r="F2617" s="32">
        <f>IFERROR(IF(ISNUMBER($A2617),IF(AND(AH!$U$12=1,2612+1=AH!$U$6),IF(AH!$U$4=0,"unavailable",INDEX('Market Data'!$AO$5:$AO$66,AH!$U$4)),IF(AH!$U$5=1,INDEX('Live History'!$E$5:$E$3004,MATCH($A2617,'Live History'!$D$5:$D$3004,1)),INDEX('AH History'!$D$5:$GG$1380,$K2617,AH!$U$10+1))),NA()),NA())</f>
        <v/>
      </c>
      <c r="G2617" s="34">
        <f>IFERROR(IF(ISNUMBER($A2617),IF(AND(AH!$U$12=1,2612+1=AH!$U$6),IF(AH!$U$4=0,"unavailable",INDEX('Market Data'!$AK$5:$AK$66,AH!$U$4)),IF(AH!$U$5=1,INDEX('Live History'!$D$5:$D$3004,MATCH($A2617,'Live History'!$D$5:$D$3004,1)),INDEX('AH History'!$D$5:$GG$1380,$K2617,AH!$U$10+2))),NA()),NA())</f>
        <v/>
      </c>
      <c r="H2617" s="266">
        <f>IFERROR(IF(ISNUMBER($A2617),IF(AND(AH!$U$12=1,2612+1=AH!$U$6),IF(AH!$U$4=0,"unavailable",INDEX('Market Data'!$AP$5:$AP$66,AH!$U$4)),IF(AH!$U$5=1,INDEX('Live History'!$H$5:$H$3004,MATCH($A2617,'Live History'!$G$5:$G$3004,1)),INDEX('AH History'!$B$5:$B$1380,$K2617))),NA()),NA())</f>
        <v/>
      </c>
      <c r="I2617" s="34">
        <f>IFERROR(IF(ISNUMBER($A2617),IF(AND(AH!$U$12=1,2612+1=AH!$U$6),TODAY(),IF(AH!$U$5=1,INDEX('Live History'!$G$5:$G$3004,MATCH($A2617,'Live History'!$G$5:$G$3004,1)),INDEX('AH History'!$C$5:$C$1380,$K2617))),NA()),NA())</f>
        <v/>
      </c>
      <c r="J2617" s="32">
        <f>IFERROR(IF(AND($F2617&gt;0,$H2617&gt;0,$A2617-$G2617&lt;=10,$A2617-$I2617&lt;=5,$G2617&gt;0,$I2617&gt;0),$F2617*$H2617,NA()),NA())</f>
        <v/>
      </c>
      <c r="K2617" s="15">
        <f>IF($A2617="","",IF(AH!$U$5=1,IFERROR(MATCH($A2617,'Live History'!$A$5:$A$3004,0),0),AH!$U$7+2612))</f>
        <v/>
      </c>
      <c r="L2617" s="15">
        <f>IF(ISNUMBER(A2617),TEXT(A2617,"dd-mmm-yy"),"")</f>
        <v/>
      </c>
    </row>
    <row r="2618">
      <c r="A2618" s="14">
        <f>IF(OR(AH!$U$4=0,2613+1&gt;AH!$U$6,AND(AH!$M$5="Bloomberg",AH!$U$5=0)),"",IFERROR(IF(AND(AH!$U$12=1,2613+1=AH!$U$6),TODAY(),IF(AH!$U$5=1,INDEX('Live History'!$A$5:$A$3004,AH!$U$7+2613),INDEX('AH History'!$A$5:$A$1380,AH!$U$7+2613))),""))</f>
        <v/>
      </c>
      <c r="B2618" s="33">
        <f>IFERROR(IF(AH!$U$11=1,NA(),$J2618/$E2618-1),NA())</f>
        <v/>
      </c>
      <c r="C2618" s="269">
        <f>IFERROR(100*$E2618/$E$5,NA())</f>
        <v/>
      </c>
      <c r="D2618" s="269">
        <f>IFERROR(100*$J2618/$J$5,NA())</f>
        <v/>
      </c>
      <c r="E2618" s="32">
        <f>IFERROR(IF(AND(ISNUMBER($A2618),N(IF(AND(AH!$U$12=1,2613+1=AH!$U$6),IF(AH!$U$4=0,"unavailable",INDEX('Market Data'!$AN$5:$AN$66,AH!$U$4)),IF(AH!$U$5=1,INDEX('Live History'!$B$5:$B$3004,$K2618),INDEX('AH History'!$D$5:$GG$1380,$K2618,AH!$U$10))))&gt;0),IF(AND(AH!$U$12=1,2613+1=AH!$U$6),IF(AH!$U$4=0,"unavailable",INDEX('Market Data'!$AN$5:$AN$66,AH!$U$4)),IF(AH!$U$5=1,INDEX('Live History'!$B$5:$B$3004,$K2618),INDEX('AH History'!$D$5:$GG$1380,$K2618,AH!$U$10))),NA()),NA())</f>
        <v/>
      </c>
      <c r="F2618" s="32">
        <f>IFERROR(IF(ISNUMBER($A2618),IF(AND(AH!$U$12=1,2613+1=AH!$U$6),IF(AH!$U$4=0,"unavailable",INDEX('Market Data'!$AO$5:$AO$66,AH!$U$4)),IF(AH!$U$5=1,INDEX('Live History'!$E$5:$E$3004,MATCH($A2618,'Live History'!$D$5:$D$3004,1)),INDEX('AH History'!$D$5:$GG$1380,$K2618,AH!$U$10+1))),NA()),NA())</f>
        <v/>
      </c>
      <c r="G2618" s="34">
        <f>IFERROR(IF(ISNUMBER($A2618),IF(AND(AH!$U$12=1,2613+1=AH!$U$6),IF(AH!$U$4=0,"unavailable",INDEX('Market Data'!$AK$5:$AK$66,AH!$U$4)),IF(AH!$U$5=1,INDEX('Live History'!$D$5:$D$3004,MATCH($A2618,'Live History'!$D$5:$D$3004,1)),INDEX('AH History'!$D$5:$GG$1380,$K2618,AH!$U$10+2))),NA()),NA())</f>
        <v/>
      </c>
      <c r="H2618" s="266">
        <f>IFERROR(IF(ISNUMBER($A2618),IF(AND(AH!$U$12=1,2613+1=AH!$U$6),IF(AH!$U$4=0,"unavailable",INDEX('Market Data'!$AP$5:$AP$66,AH!$U$4)),IF(AH!$U$5=1,INDEX('Live History'!$H$5:$H$3004,MATCH($A2618,'Live History'!$G$5:$G$3004,1)),INDEX('AH History'!$B$5:$B$1380,$K2618))),NA()),NA())</f>
        <v/>
      </c>
      <c r="I2618" s="34">
        <f>IFERROR(IF(ISNUMBER($A2618),IF(AND(AH!$U$12=1,2613+1=AH!$U$6),TODAY(),IF(AH!$U$5=1,INDEX('Live History'!$G$5:$G$3004,MATCH($A2618,'Live History'!$G$5:$G$3004,1)),INDEX('AH History'!$C$5:$C$1380,$K2618))),NA()),NA())</f>
        <v/>
      </c>
      <c r="J2618" s="32">
        <f>IFERROR(IF(AND($F2618&gt;0,$H2618&gt;0,$A2618-$G2618&lt;=10,$A2618-$I2618&lt;=5,$G2618&gt;0,$I2618&gt;0),$F2618*$H2618,NA()),NA())</f>
        <v/>
      </c>
      <c r="K2618" s="15">
        <f>IF($A2618="","",IF(AH!$U$5=1,IFERROR(MATCH($A2618,'Live History'!$A$5:$A$3004,0),0),AH!$U$7+2613))</f>
        <v/>
      </c>
      <c r="L2618" s="15">
        <f>IF(ISNUMBER(A2618),TEXT(A2618,"dd-mmm-yy"),"")</f>
        <v/>
      </c>
    </row>
    <row r="2619">
      <c r="A2619" s="14">
        <f>IF(OR(AH!$U$4=0,2614+1&gt;AH!$U$6,AND(AH!$M$5="Bloomberg",AH!$U$5=0)),"",IFERROR(IF(AND(AH!$U$12=1,2614+1=AH!$U$6),TODAY(),IF(AH!$U$5=1,INDEX('Live History'!$A$5:$A$3004,AH!$U$7+2614),INDEX('AH History'!$A$5:$A$1380,AH!$U$7+2614))),""))</f>
        <v/>
      </c>
      <c r="B2619" s="33">
        <f>IFERROR(IF(AH!$U$11=1,NA(),$J2619/$E2619-1),NA())</f>
        <v/>
      </c>
      <c r="C2619" s="269">
        <f>IFERROR(100*$E2619/$E$5,NA())</f>
        <v/>
      </c>
      <c r="D2619" s="269">
        <f>IFERROR(100*$J2619/$J$5,NA())</f>
        <v/>
      </c>
      <c r="E2619" s="32">
        <f>IFERROR(IF(AND(ISNUMBER($A2619),N(IF(AND(AH!$U$12=1,2614+1=AH!$U$6),IF(AH!$U$4=0,"unavailable",INDEX('Market Data'!$AN$5:$AN$66,AH!$U$4)),IF(AH!$U$5=1,INDEX('Live History'!$B$5:$B$3004,$K2619),INDEX('AH History'!$D$5:$GG$1380,$K2619,AH!$U$10))))&gt;0),IF(AND(AH!$U$12=1,2614+1=AH!$U$6),IF(AH!$U$4=0,"unavailable",INDEX('Market Data'!$AN$5:$AN$66,AH!$U$4)),IF(AH!$U$5=1,INDEX('Live History'!$B$5:$B$3004,$K2619),INDEX('AH History'!$D$5:$GG$1380,$K2619,AH!$U$10))),NA()),NA())</f>
        <v/>
      </c>
      <c r="F2619" s="32">
        <f>IFERROR(IF(ISNUMBER($A2619),IF(AND(AH!$U$12=1,2614+1=AH!$U$6),IF(AH!$U$4=0,"unavailable",INDEX('Market Data'!$AO$5:$AO$66,AH!$U$4)),IF(AH!$U$5=1,INDEX('Live History'!$E$5:$E$3004,MATCH($A2619,'Live History'!$D$5:$D$3004,1)),INDEX('AH History'!$D$5:$GG$1380,$K2619,AH!$U$10+1))),NA()),NA())</f>
        <v/>
      </c>
      <c r="G2619" s="34">
        <f>IFERROR(IF(ISNUMBER($A2619),IF(AND(AH!$U$12=1,2614+1=AH!$U$6),IF(AH!$U$4=0,"unavailable",INDEX('Market Data'!$AK$5:$AK$66,AH!$U$4)),IF(AH!$U$5=1,INDEX('Live History'!$D$5:$D$3004,MATCH($A2619,'Live History'!$D$5:$D$3004,1)),INDEX('AH History'!$D$5:$GG$1380,$K2619,AH!$U$10+2))),NA()),NA())</f>
        <v/>
      </c>
      <c r="H2619" s="266">
        <f>IFERROR(IF(ISNUMBER($A2619),IF(AND(AH!$U$12=1,2614+1=AH!$U$6),IF(AH!$U$4=0,"unavailable",INDEX('Market Data'!$AP$5:$AP$66,AH!$U$4)),IF(AH!$U$5=1,INDEX('Live History'!$H$5:$H$3004,MATCH($A2619,'Live History'!$G$5:$G$3004,1)),INDEX('AH History'!$B$5:$B$1380,$K2619))),NA()),NA())</f>
        <v/>
      </c>
      <c r="I2619" s="34">
        <f>IFERROR(IF(ISNUMBER($A2619),IF(AND(AH!$U$12=1,2614+1=AH!$U$6),TODAY(),IF(AH!$U$5=1,INDEX('Live History'!$G$5:$G$3004,MATCH($A2619,'Live History'!$G$5:$G$3004,1)),INDEX('AH History'!$C$5:$C$1380,$K2619))),NA()),NA())</f>
        <v/>
      </c>
      <c r="J2619" s="32">
        <f>IFERROR(IF(AND($F2619&gt;0,$H2619&gt;0,$A2619-$G2619&lt;=10,$A2619-$I2619&lt;=5,$G2619&gt;0,$I2619&gt;0),$F2619*$H2619,NA()),NA())</f>
        <v/>
      </c>
      <c r="K2619" s="15">
        <f>IF($A2619="","",IF(AH!$U$5=1,IFERROR(MATCH($A2619,'Live History'!$A$5:$A$3004,0),0),AH!$U$7+2614))</f>
        <v/>
      </c>
      <c r="L2619" s="15">
        <f>IF(ISNUMBER(A2619),TEXT(A2619,"dd-mmm-yy"),"")</f>
        <v/>
      </c>
    </row>
    <row r="2620">
      <c r="A2620" s="14">
        <f>IF(OR(AH!$U$4=0,2615+1&gt;AH!$U$6,AND(AH!$M$5="Bloomberg",AH!$U$5=0)),"",IFERROR(IF(AND(AH!$U$12=1,2615+1=AH!$U$6),TODAY(),IF(AH!$U$5=1,INDEX('Live History'!$A$5:$A$3004,AH!$U$7+2615),INDEX('AH History'!$A$5:$A$1380,AH!$U$7+2615))),""))</f>
        <v/>
      </c>
      <c r="B2620" s="33">
        <f>IFERROR(IF(AH!$U$11=1,NA(),$J2620/$E2620-1),NA())</f>
        <v/>
      </c>
      <c r="C2620" s="269">
        <f>IFERROR(100*$E2620/$E$5,NA())</f>
        <v/>
      </c>
      <c r="D2620" s="269">
        <f>IFERROR(100*$J2620/$J$5,NA())</f>
        <v/>
      </c>
      <c r="E2620" s="32">
        <f>IFERROR(IF(AND(ISNUMBER($A2620),N(IF(AND(AH!$U$12=1,2615+1=AH!$U$6),IF(AH!$U$4=0,"unavailable",INDEX('Market Data'!$AN$5:$AN$66,AH!$U$4)),IF(AH!$U$5=1,INDEX('Live History'!$B$5:$B$3004,$K2620),INDEX('AH History'!$D$5:$GG$1380,$K2620,AH!$U$10))))&gt;0),IF(AND(AH!$U$12=1,2615+1=AH!$U$6),IF(AH!$U$4=0,"unavailable",INDEX('Market Data'!$AN$5:$AN$66,AH!$U$4)),IF(AH!$U$5=1,INDEX('Live History'!$B$5:$B$3004,$K2620),INDEX('AH History'!$D$5:$GG$1380,$K2620,AH!$U$10))),NA()),NA())</f>
        <v/>
      </c>
      <c r="F2620" s="32">
        <f>IFERROR(IF(ISNUMBER($A2620),IF(AND(AH!$U$12=1,2615+1=AH!$U$6),IF(AH!$U$4=0,"unavailable",INDEX('Market Data'!$AO$5:$AO$66,AH!$U$4)),IF(AH!$U$5=1,INDEX('Live History'!$E$5:$E$3004,MATCH($A2620,'Live History'!$D$5:$D$3004,1)),INDEX('AH History'!$D$5:$GG$1380,$K2620,AH!$U$10+1))),NA()),NA())</f>
        <v/>
      </c>
      <c r="G2620" s="34">
        <f>IFERROR(IF(ISNUMBER($A2620),IF(AND(AH!$U$12=1,2615+1=AH!$U$6),IF(AH!$U$4=0,"unavailable",INDEX('Market Data'!$AK$5:$AK$66,AH!$U$4)),IF(AH!$U$5=1,INDEX('Live History'!$D$5:$D$3004,MATCH($A2620,'Live History'!$D$5:$D$3004,1)),INDEX('AH History'!$D$5:$GG$1380,$K2620,AH!$U$10+2))),NA()),NA())</f>
        <v/>
      </c>
      <c r="H2620" s="266">
        <f>IFERROR(IF(ISNUMBER($A2620),IF(AND(AH!$U$12=1,2615+1=AH!$U$6),IF(AH!$U$4=0,"unavailable",INDEX('Market Data'!$AP$5:$AP$66,AH!$U$4)),IF(AH!$U$5=1,INDEX('Live History'!$H$5:$H$3004,MATCH($A2620,'Live History'!$G$5:$G$3004,1)),INDEX('AH History'!$B$5:$B$1380,$K2620))),NA()),NA())</f>
        <v/>
      </c>
      <c r="I2620" s="34">
        <f>IFERROR(IF(ISNUMBER($A2620),IF(AND(AH!$U$12=1,2615+1=AH!$U$6),TODAY(),IF(AH!$U$5=1,INDEX('Live History'!$G$5:$G$3004,MATCH($A2620,'Live History'!$G$5:$G$3004,1)),INDEX('AH History'!$C$5:$C$1380,$K2620))),NA()),NA())</f>
        <v/>
      </c>
      <c r="J2620" s="32">
        <f>IFERROR(IF(AND($F2620&gt;0,$H2620&gt;0,$A2620-$G2620&lt;=10,$A2620-$I2620&lt;=5,$G2620&gt;0,$I2620&gt;0),$F2620*$H2620,NA()),NA())</f>
        <v/>
      </c>
      <c r="K2620" s="15">
        <f>IF($A2620="","",IF(AH!$U$5=1,IFERROR(MATCH($A2620,'Live History'!$A$5:$A$3004,0),0),AH!$U$7+2615))</f>
        <v/>
      </c>
      <c r="L2620" s="15">
        <f>IF(ISNUMBER(A2620),TEXT(A2620,"dd-mmm-yy"),"")</f>
        <v/>
      </c>
    </row>
    <row r="2621">
      <c r="A2621" s="14">
        <f>IF(OR(AH!$U$4=0,2616+1&gt;AH!$U$6,AND(AH!$M$5="Bloomberg",AH!$U$5=0)),"",IFERROR(IF(AND(AH!$U$12=1,2616+1=AH!$U$6),TODAY(),IF(AH!$U$5=1,INDEX('Live History'!$A$5:$A$3004,AH!$U$7+2616),INDEX('AH History'!$A$5:$A$1380,AH!$U$7+2616))),""))</f>
        <v/>
      </c>
      <c r="B2621" s="33">
        <f>IFERROR(IF(AH!$U$11=1,NA(),$J2621/$E2621-1),NA())</f>
        <v/>
      </c>
      <c r="C2621" s="269">
        <f>IFERROR(100*$E2621/$E$5,NA())</f>
        <v/>
      </c>
      <c r="D2621" s="269">
        <f>IFERROR(100*$J2621/$J$5,NA())</f>
        <v/>
      </c>
      <c r="E2621" s="32">
        <f>IFERROR(IF(AND(ISNUMBER($A2621),N(IF(AND(AH!$U$12=1,2616+1=AH!$U$6),IF(AH!$U$4=0,"unavailable",INDEX('Market Data'!$AN$5:$AN$66,AH!$U$4)),IF(AH!$U$5=1,INDEX('Live History'!$B$5:$B$3004,$K2621),INDEX('AH History'!$D$5:$GG$1380,$K2621,AH!$U$10))))&gt;0),IF(AND(AH!$U$12=1,2616+1=AH!$U$6),IF(AH!$U$4=0,"unavailable",INDEX('Market Data'!$AN$5:$AN$66,AH!$U$4)),IF(AH!$U$5=1,INDEX('Live History'!$B$5:$B$3004,$K2621),INDEX('AH History'!$D$5:$GG$1380,$K2621,AH!$U$10))),NA()),NA())</f>
        <v/>
      </c>
      <c r="F2621" s="32">
        <f>IFERROR(IF(ISNUMBER($A2621),IF(AND(AH!$U$12=1,2616+1=AH!$U$6),IF(AH!$U$4=0,"unavailable",INDEX('Market Data'!$AO$5:$AO$66,AH!$U$4)),IF(AH!$U$5=1,INDEX('Live History'!$E$5:$E$3004,MATCH($A2621,'Live History'!$D$5:$D$3004,1)),INDEX('AH History'!$D$5:$GG$1380,$K2621,AH!$U$10+1))),NA()),NA())</f>
        <v/>
      </c>
      <c r="G2621" s="34">
        <f>IFERROR(IF(ISNUMBER($A2621),IF(AND(AH!$U$12=1,2616+1=AH!$U$6),IF(AH!$U$4=0,"unavailable",INDEX('Market Data'!$AK$5:$AK$66,AH!$U$4)),IF(AH!$U$5=1,INDEX('Live History'!$D$5:$D$3004,MATCH($A2621,'Live History'!$D$5:$D$3004,1)),INDEX('AH History'!$D$5:$GG$1380,$K2621,AH!$U$10+2))),NA()),NA())</f>
        <v/>
      </c>
      <c r="H2621" s="266">
        <f>IFERROR(IF(ISNUMBER($A2621),IF(AND(AH!$U$12=1,2616+1=AH!$U$6),IF(AH!$U$4=0,"unavailable",INDEX('Market Data'!$AP$5:$AP$66,AH!$U$4)),IF(AH!$U$5=1,INDEX('Live History'!$H$5:$H$3004,MATCH($A2621,'Live History'!$G$5:$G$3004,1)),INDEX('AH History'!$B$5:$B$1380,$K2621))),NA()),NA())</f>
        <v/>
      </c>
      <c r="I2621" s="34">
        <f>IFERROR(IF(ISNUMBER($A2621),IF(AND(AH!$U$12=1,2616+1=AH!$U$6),TODAY(),IF(AH!$U$5=1,INDEX('Live History'!$G$5:$G$3004,MATCH($A2621,'Live History'!$G$5:$G$3004,1)),INDEX('AH History'!$C$5:$C$1380,$K2621))),NA()),NA())</f>
        <v/>
      </c>
      <c r="J2621" s="32">
        <f>IFERROR(IF(AND($F2621&gt;0,$H2621&gt;0,$A2621-$G2621&lt;=10,$A2621-$I2621&lt;=5,$G2621&gt;0,$I2621&gt;0),$F2621*$H2621,NA()),NA())</f>
        <v/>
      </c>
      <c r="K2621" s="15">
        <f>IF($A2621="","",IF(AH!$U$5=1,IFERROR(MATCH($A2621,'Live History'!$A$5:$A$3004,0),0),AH!$U$7+2616))</f>
        <v/>
      </c>
      <c r="L2621" s="15">
        <f>IF(ISNUMBER(A2621),TEXT(A2621,"dd-mmm-yy"),"")</f>
        <v/>
      </c>
    </row>
    <row r="2622">
      <c r="A2622" s="14">
        <f>IF(OR(AH!$U$4=0,2617+1&gt;AH!$U$6,AND(AH!$M$5="Bloomberg",AH!$U$5=0)),"",IFERROR(IF(AND(AH!$U$12=1,2617+1=AH!$U$6),TODAY(),IF(AH!$U$5=1,INDEX('Live History'!$A$5:$A$3004,AH!$U$7+2617),INDEX('AH History'!$A$5:$A$1380,AH!$U$7+2617))),""))</f>
        <v/>
      </c>
      <c r="B2622" s="33">
        <f>IFERROR(IF(AH!$U$11=1,NA(),$J2622/$E2622-1),NA())</f>
        <v/>
      </c>
      <c r="C2622" s="269">
        <f>IFERROR(100*$E2622/$E$5,NA())</f>
        <v/>
      </c>
      <c r="D2622" s="269">
        <f>IFERROR(100*$J2622/$J$5,NA())</f>
        <v/>
      </c>
      <c r="E2622" s="32">
        <f>IFERROR(IF(AND(ISNUMBER($A2622),N(IF(AND(AH!$U$12=1,2617+1=AH!$U$6),IF(AH!$U$4=0,"unavailable",INDEX('Market Data'!$AN$5:$AN$66,AH!$U$4)),IF(AH!$U$5=1,INDEX('Live History'!$B$5:$B$3004,$K2622),INDEX('AH History'!$D$5:$GG$1380,$K2622,AH!$U$10))))&gt;0),IF(AND(AH!$U$12=1,2617+1=AH!$U$6),IF(AH!$U$4=0,"unavailable",INDEX('Market Data'!$AN$5:$AN$66,AH!$U$4)),IF(AH!$U$5=1,INDEX('Live History'!$B$5:$B$3004,$K2622),INDEX('AH History'!$D$5:$GG$1380,$K2622,AH!$U$10))),NA()),NA())</f>
        <v/>
      </c>
      <c r="F2622" s="32">
        <f>IFERROR(IF(ISNUMBER($A2622),IF(AND(AH!$U$12=1,2617+1=AH!$U$6),IF(AH!$U$4=0,"unavailable",INDEX('Market Data'!$AO$5:$AO$66,AH!$U$4)),IF(AH!$U$5=1,INDEX('Live History'!$E$5:$E$3004,MATCH($A2622,'Live History'!$D$5:$D$3004,1)),INDEX('AH History'!$D$5:$GG$1380,$K2622,AH!$U$10+1))),NA()),NA())</f>
        <v/>
      </c>
      <c r="G2622" s="34">
        <f>IFERROR(IF(ISNUMBER($A2622),IF(AND(AH!$U$12=1,2617+1=AH!$U$6),IF(AH!$U$4=0,"unavailable",INDEX('Market Data'!$AK$5:$AK$66,AH!$U$4)),IF(AH!$U$5=1,INDEX('Live History'!$D$5:$D$3004,MATCH($A2622,'Live History'!$D$5:$D$3004,1)),INDEX('AH History'!$D$5:$GG$1380,$K2622,AH!$U$10+2))),NA()),NA())</f>
        <v/>
      </c>
      <c r="H2622" s="266">
        <f>IFERROR(IF(ISNUMBER($A2622),IF(AND(AH!$U$12=1,2617+1=AH!$U$6),IF(AH!$U$4=0,"unavailable",INDEX('Market Data'!$AP$5:$AP$66,AH!$U$4)),IF(AH!$U$5=1,INDEX('Live History'!$H$5:$H$3004,MATCH($A2622,'Live History'!$G$5:$G$3004,1)),INDEX('AH History'!$B$5:$B$1380,$K2622))),NA()),NA())</f>
        <v/>
      </c>
      <c r="I2622" s="34">
        <f>IFERROR(IF(ISNUMBER($A2622),IF(AND(AH!$U$12=1,2617+1=AH!$U$6),TODAY(),IF(AH!$U$5=1,INDEX('Live History'!$G$5:$G$3004,MATCH($A2622,'Live History'!$G$5:$G$3004,1)),INDEX('AH History'!$C$5:$C$1380,$K2622))),NA()),NA())</f>
        <v/>
      </c>
      <c r="J2622" s="32">
        <f>IFERROR(IF(AND($F2622&gt;0,$H2622&gt;0,$A2622-$G2622&lt;=10,$A2622-$I2622&lt;=5,$G2622&gt;0,$I2622&gt;0),$F2622*$H2622,NA()),NA())</f>
        <v/>
      </c>
      <c r="K2622" s="15">
        <f>IF($A2622="","",IF(AH!$U$5=1,IFERROR(MATCH($A2622,'Live History'!$A$5:$A$3004,0),0),AH!$U$7+2617))</f>
        <v/>
      </c>
      <c r="L2622" s="15">
        <f>IF(ISNUMBER(A2622),TEXT(A2622,"dd-mmm-yy"),"")</f>
        <v/>
      </c>
    </row>
    <row r="2623">
      <c r="A2623" s="14">
        <f>IF(OR(AH!$U$4=0,2618+1&gt;AH!$U$6,AND(AH!$M$5="Bloomberg",AH!$U$5=0)),"",IFERROR(IF(AND(AH!$U$12=1,2618+1=AH!$U$6),TODAY(),IF(AH!$U$5=1,INDEX('Live History'!$A$5:$A$3004,AH!$U$7+2618),INDEX('AH History'!$A$5:$A$1380,AH!$U$7+2618))),""))</f>
        <v/>
      </c>
      <c r="B2623" s="33">
        <f>IFERROR(IF(AH!$U$11=1,NA(),$J2623/$E2623-1),NA())</f>
        <v/>
      </c>
      <c r="C2623" s="269">
        <f>IFERROR(100*$E2623/$E$5,NA())</f>
        <v/>
      </c>
      <c r="D2623" s="269">
        <f>IFERROR(100*$J2623/$J$5,NA())</f>
        <v/>
      </c>
      <c r="E2623" s="32">
        <f>IFERROR(IF(AND(ISNUMBER($A2623),N(IF(AND(AH!$U$12=1,2618+1=AH!$U$6),IF(AH!$U$4=0,"unavailable",INDEX('Market Data'!$AN$5:$AN$66,AH!$U$4)),IF(AH!$U$5=1,INDEX('Live History'!$B$5:$B$3004,$K2623),INDEX('AH History'!$D$5:$GG$1380,$K2623,AH!$U$10))))&gt;0),IF(AND(AH!$U$12=1,2618+1=AH!$U$6),IF(AH!$U$4=0,"unavailable",INDEX('Market Data'!$AN$5:$AN$66,AH!$U$4)),IF(AH!$U$5=1,INDEX('Live History'!$B$5:$B$3004,$K2623),INDEX('AH History'!$D$5:$GG$1380,$K2623,AH!$U$10))),NA()),NA())</f>
        <v/>
      </c>
      <c r="F2623" s="32">
        <f>IFERROR(IF(ISNUMBER($A2623),IF(AND(AH!$U$12=1,2618+1=AH!$U$6),IF(AH!$U$4=0,"unavailable",INDEX('Market Data'!$AO$5:$AO$66,AH!$U$4)),IF(AH!$U$5=1,INDEX('Live History'!$E$5:$E$3004,MATCH($A2623,'Live History'!$D$5:$D$3004,1)),INDEX('AH History'!$D$5:$GG$1380,$K2623,AH!$U$10+1))),NA()),NA())</f>
        <v/>
      </c>
      <c r="G2623" s="34">
        <f>IFERROR(IF(ISNUMBER($A2623),IF(AND(AH!$U$12=1,2618+1=AH!$U$6),IF(AH!$U$4=0,"unavailable",INDEX('Market Data'!$AK$5:$AK$66,AH!$U$4)),IF(AH!$U$5=1,INDEX('Live History'!$D$5:$D$3004,MATCH($A2623,'Live History'!$D$5:$D$3004,1)),INDEX('AH History'!$D$5:$GG$1380,$K2623,AH!$U$10+2))),NA()),NA())</f>
        <v/>
      </c>
      <c r="H2623" s="266">
        <f>IFERROR(IF(ISNUMBER($A2623),IF(AND(AH!$U$12=1,2618+1=AH!$U$6),IF(AH!$U$4=0,"unavailable",INDEX('Market Data'!$AP$5:$AP$66,AH!$U$4)),IF(AH!$U$5=1,INDEX('Live History'!$H$5:$H$3004,MATCH($A2623,'Live History'!$G$5:$G$3004,1)),INDEX('AH History'!$B$5:$B$1380,$K2623))),NA()),NA())</f>
        <v/>
      </c>
      <c r="I2623" s="34">
        <f>IFERROR(IF(ISNUMBER($A2623),IF(AND(AH!$U$12=1,2618+1=AH!$U$6),TODAY(),IF(AH!$U$5=1,INDEX('Live History'!$G$5:$G$3004,MATCH($A2623,'Live History'!$G$5:$G$3004,1)),INDEX('AH History'!$C$5:$C$1380,$K2623))),NA()),NA())</f>
        <v/>
      </c>
      <c r="J2623" s="32">
        <f>IFERROR(IF(AND($F2623&gt;0,$H2623&gt;0,$A2623-$G2623&lt;=10,$A2623-$I2623&lt;=5,$G2623&gt;0,$I2623&gt;0),$F2623*$H2623,NA()),NA())</f>
        <v/>
      </c>
      <c r="K2623" s="15">
        <f>IF($A2623="","",IF(AH!$U$5=1,IFERROR(MATCH($A2623,'Live History'!$A$5:$A$3004,0),0),AH!$U$7+2618))</f>
        <v/>
      </c>
      <c r="L2623" s="15">
        <f>IF(ISNUMBER(A2623),TEXT(A2623,"dd-mmm-yy"),"")</f>
        <v/>
      </c>
    </row>
    <row r="2624">
      <c r="A2624" s="14">
        <f>IF(OR(AH!$U$4=0,2619+1&gt;AH!$U$6,AND(AH!$M$5="Bloomberg",AH!$U$5=0)),"",IFERROR(IF(AND(AH!$U$12=1,2619+1=AH!$U$6),TODAY(),IF(AH!$U$5=1,INDEX('Live History'!$A$5:$A$3004,AH!$U$7+2619),INDEX('AH History'!$A$5:$A$1380,AH!$U$7+2619))),""))</f>
        <v/>
      </c>
      <c r="B2624" s="33">
        <f>IFERROR(IF(AH!$U$11=1,NA(),$J2624/$E2624-1),NA())</f>
        <v/>
      </c>
      <c r="C2624" s="269">
        <f>IFERROR(100*$E2624/$E$5,NA())</f>
        <v/>
      </c>
      <c r="D2624" s="269">
        <f>IFERROR(100*$J2624/$J$5,NA())</f>
        <v/>
      </c>
      <c r="E2624" s="32">
        <f>IFERROR(IF(AND(ISNUMBER($A2624),N(IF(AND(AH!$U$12=1,2619+1=AH!$U$6),IF(AH!$U$4=0,"unavailable",INDEX('Market Data'!$AN$5:$AN$66,AH!$U$4)),IF(AH!$U$5=1,INDEX('Live History'!$B$5:$B$3004,$K2624),INDEX('AH History'!$D$5:$GG$1380,$K2624,AH!$U$10))))&gt;0),IF(AND(AH!$U$12=1,2619+1=AH!$U$6),IF(AH!$U$4=0,"unavailable",INDEX('Market Data'!$AN$5:$AN$66,AH!$U$4)),IF(AH!$U$5=1,INDEX('Live History'!$B$5:$B$3004,$K2624),INDEX('AH History'!$D$5:$GG$1380,$K2624,AH!$U$10))),NA()),NA())</f>
        <v/>
      </c>
      <c r="F2624" s="32">
        <f>IFERROR(IF(ISNUMBER($A2624),IF(AND(AH!$U$12=1,2619+1=AH!$U$6),IF(AH!$U$4=0,"unavailable",INDEX('Market Data'!$AO$5:$AO$66,AH!$U$4)),IF(AH!$U$5=1,INDEX('Live History'!$E$5:$E$3004,MATCH($A2624,'Live History'!$D$5:$D$3004,1)),INDEX('AH History'!$D$5:$GG$1380,$K2624,AH!$U$10+1))),NA()),NA())</f>
        <v/>
      </c>
      <c r="G2624" s="34">
        <f>IFERROR(IF(ISNUMBER($A2624),IF(AND(AH!$U$12=1,2619+1=AH!$U$6),IF(AH!$U$4=0,"unavailable",INDEX('Market Data'!$AK$5:$AK$66,AH!$U$4)),IF(AH!$U$5=1,INDEX('Live History'!$D$5:$D$3004,MATCH($A2624,'Live History'!$D$5:$D$3004,1)),INDEX('AH History'!$D$5:$GG$1380,$K2624,AH!$U$10+2))),NA()),NA())</f>
        <v/>
      </c>
      <c r="H2624" s="266">
        <f>IFERROR(IF(ISNUMBER($A2624),IF(AND(AH!$U$12=1,2619+1=AH!$U$6),IF(AH!$U$4=0,"unavailable",INDEX('Market Data'!$AP$5:$AP$66,AH!$U$4)),IF(AH!$U$5=1,INDEX('Live History'!$H$5:$H$3004,MATCH($A2624,'Live History'!$G$5:$G$3004,1)),INDEX('AH History'!$B$5:$B$1380,$K2624))),NA()),NA())</f>
        <v/>
      </c>
      <c r="I2624" s="34">
        <f>IFERROR(IF(ISNUMBER($A2624),IF(AND(AH!$U$12=1,2619+1=AH!$U$6),TODAY(),IF(AH!$U$5=1,INDEX('Live History'!$G$5:$G$3004,MATCH($A2624,'Live History'!$G$5:$G$3004,1)),INDEX('AH History'!$C$5:$C$1380,$K2624))),NA()),NA())</f>
        <v/>
      </c>
      <c r="J2624" s="32">
        <f>IFERROR(IF(AND($F2624&gt;0,$H2624&gt;0,$A2624-$G2624&lt;=10,$A2624-$I2624&lt;=5,$G2624&gt;0,$I2624&gt;0),$F2624*$H2624,NA()),NA())</f>
        <v/>
      </c>
      <c r="K2624" s="15">
        <f>IF($A2624="","",IF(AH!$U$5=1,IFERROR(MATCH($A2624,'Live History'!$A$5:$A$3004,0),0),AH!$U$7+2619))</f>
        <v/>
      </c>
      <c r="L2624" s="15">
        <f>IF(ISNUMBER(A2624),TEXT(A2624,"dd-mmm-yy"),"")</f>
        <v/>
      </c>
    </row>
    <row r="2625">
      <c r="A2625" s="14">
        <f>IF(OR(AH!$U$4=0,2620+1&gt;AH!$U$6,AND(AH!$M$5="Bloomberg",AH!$U$5=0)),"",IFERROR(IF(AND(AH!$U$12=1,2620+1=AH!$U$6),TODAY(),IF(AH!$U$5=1,INDEX('Live History'!$A$5:$A$3004,AH!$U$7+2620),INDEX('AH History'!$A$5:$A$1380,AH!$U$7+2620))),""))</f>
        <v/>
      </c>
      <c r="B2625" s="33">
        <f>IFERROR(IF(AH!$U$11=1,NA(),$J2625/$E2625-1),NA())</f>
        <v/>
      </c>
      <c r="C2625" s="269">
        <f>IFERROR(100*$E2625/$E$5,NA())</f>
        <v/>
      </c>
      <c r="D2625" s="269">
        <f>IFERROR(100*$J2625/$J$5,NA())</f>
        <v/>
      </c>
      <c r="E2625" s="32">
        <f>IFERROR(IF(AND(ISNUMBER($A2625),N(IF(AND(AH!$U$12=1,2620+1=AH!$U$6),IF(AH!$U$4=0,"unavailable",INDEX('Market Data'!$AN$5:$AN$66,AH!$U$4)),IF(AH!$U$5=1,INDEX('Live History'!$B$5:$B$3004,$K2625),INDEX('AH History'!$D$5:$GG$1380,$K2625,AH!$U$10))))&gt;0),IF(AND(AH!$U$12=1,2620+1=AH!$U$6),IF(AH!$U$4=0,"unavailable",INDEX('Market Data'!$AN$5:$AN$66,AH!$U$4)),IF(AH!$U$5=1,INDEX('Live History'!$B$5:$B$3004,$K2625),INDEX('AH History'!$D$5:$GG$1380,$K2625,AH!$U$10))),NA()),NA())</f>
        <v/>
      </c>
      <c r="F2625" s="32">
        <f>IFERROR(IF(ISNUMBER($A2625),IF(AND(AH!$U$12=1,2620+1=AH!$U$6),IF(AH!$U$4=0,"unavailable",INDEX('Market Data'!$AO$5:$AO$66,AH!$U$4)),IF(AH!$U$5=1,INDEX('Live History'!$E$5:$E$3004,MATCH($A2625,'Live History'!$D$5:$D$3004,1)),INDEX('AH History'!$D$5:$GG$1380,$K2625,AH!$U$10+1))),NA()),NA())</f>
        <v/>
      </c>
      <c r="G2625" s="34">
        <f>IFERROR(IF(ISNUMBER($A2625),IF(AND(AH!$U$12=1,2620+1=AH!$U$6),IF(AH!$U$4=0,"unavailable",INDEX('Market Data'!$AK$5:$AK$66,AH!$U$4)),IF(AH!$U$5=1,INDEX('Live History'!$D$5:$D$3004,MATCH($A2625,'Live History'!$D$5:$D$3004,1)),INDEX('AH History'!$D$5:$GG$1380,$K2625,AH!$U$10+2))),NA()),NA())</f>
        <v/>
      </c>
      <c r="H2625" s="266">
        <f>IFERROR(IF(ISNUMBER($A2625),IF(AND(AH!$U$12=1,2620+1=AH!$U$6),IF(AH!$U$4=0,"unavailable",INDEX('Market Data'!$AP$5:$AP$66,AH!$U$4)),IF(AH!$U$5=1,INDEX('Live History'!$H$5:$H$3004,MATCH($A2625,'Live History'!$G$5:$G$3004,1)),INDEX('AH History'!$B$5:$B$1380,$K2625))),NA()),NA())</f>
        <v/>
      </c>
      <c r="I2625" s="34">
        <f>IFERROR(IF(ISNUMBER($A2625),IF(AND(AH!$U$12=1,2620+1=AH!$U$6),TODAY(),IF(AH!$U$5=1,INDEX('Live History'!$G$5:$G$3004,MATCH($A2625,'Live History'!$G$5:$G$3004,1)),INDEX('AH History'!$C$5:$C$1380,$K2625))),NA()),NA())</f>
        <v/>
      </c>
      <c r="J2625" s="32">
        <f>IFERROR(IF(AND($F2625&gt;0,$H2625&gt;0,$A2625-$G2625&lt;=10,$A2625-$I2625&lt;=5,$G2625&gt;0,$I2625&gt;0),$F2625*$H2625,NA()),NA())</f>
        <v/>
      </c>
      <c r="K2625" s="15">
        <f>IF($A2625="","",IF(AH!$U$5=1,IFERROR(MATCH($A2625,'Live History'!$A$5:$A$3004,0),0),AH!$U$7+2620))</f>
        <v/>
      </c>
      <c r="L2625" s="15">
        <f>IF(ISNUMBER(A2625),TEXT(A2625,"dd-mmm-yy"),"")</f>
        <v/>
      </c>
    </row>
    <row r="2626">
      <c r="A2626" s="14">
        <f>IF(OR(AH!$U$4=0,2621+1&gt;AH!$U$6,AND(AH!$M$5="Bloomberg",AH!$U$5=0)),"",IFERROR(IF(AND(AH!$U$12=1,2621+1=AH!$U$6),TODAY(),IF(AH!$U$5=1,INDEX('Live History'!$A$5:$A$3004,AH!$U$7+2621),INDEX('AH History'!$A$5:$A$1380,AH!$U$7+2621))),""))</f>
        <v/>
      </c>
      <c r="B2626" s="33">
        <f>IFERROR(IF(AH!$U$11=1,NA(),$J2626/$E2626-1),NA())</f>
        <v/>
      </c>
      <c r="C2626" s="269">
        <f>IFERROR(100*$E2626/$E$5,NA())</f>
        <v/>
      </c>
      <c r="D2626" s="269">
        <f>IFERROR(100*$J2626/$J$5,NA())</f>
        <v/>
      </c>
      <c r="E2626" s="32">
        <f>IFERROR(IF(AND(ISNUMBER($A2626),N(IF(AND(AH!$U$12=1,2621+1=AH!$U$6),IF(AH!$U$4=0,"unavailable",INDEX('Market Data'!$AN$5:$AN$66,AH!$U$4)),IF(AH!$U$5=1,INDEX('Live History'!$B$5:$B$3004,$K2626),INDEX('AH History'!$D$5:$GG$1380,$K2626,AH!$U$10))))&gt;0),IF(AND(AH!$U$12=1,2621+1=AH!$U$6),IF(AH!$U$4=0,"unavailable",INDEX('Market Data'!$AN$5:$AN$66,AH!$U$4)),IF(AH!$U$5=1,INDEX('Live History'!$B$5:$B$3004,$K2626),INDEX('AH History'!$D$5:$GG$1380,$K2626,AH!$U$10))),NA()),NA())</f>
        <v/>
      </c>
      <c r="F2626" s="32">
        <f>IFERROR(IF(ISNUMBER($A2626),IF(AND(AH!$U$12=1,2621+1=AH!$U$6),IF(AH!$U$4=0,"unavailable",INDEX('Market Data'!$AO$5:$AO$66,AH!$U$4)),IF(AH!$U$5=1,INDEX('Live History'!$E$5:$E$3004,MATCH($A2626,'Live History'!$D$5:$D$3004,1)),INDEX('AH History'!$D$5:$GG$1380,$K2626,AH!$U$10+1))),NA()),NA())</f>
        <v/>
      </c>
      <c r="G2626" s="34">
        <f>IFERROR(IF(ISNUMBER($A2626),IF(AND(AH!$U$12=1,2621+1=AH!$U$6),IF(AH!$U$4=0,"unavailable",INDEX('Market Data'!$AK$5:$AK$66,AH!$U$4)),IF(AH!$U$5=1,INDEX('Live History'!$D$5:$D$3004,MATCH($A2626,'Live History'!$D$5:$D$3004,1)),INDEX('AH History'!$D$5:$GG$1380,$K2626,AH!$U$10+2))),NA()),NA())</f>
        <v/>
      </c>
      <c r="H2626" s="266">
        <f>IFERROR(IF(ISNUMBER($A2626),IF(AND(AH!$U$12=1,2621+1=AH!$U$6),IF(AH!$U$4=0,"unavailable",INDEX('Market Data'!$AP$5:$AP$66,AH!$U$4)),IF(AH!$U$5=1,INDEX('Live History'!$H$5:$H$3004,MATCH($A2626,'Live History'!$G$5:$G$3004,1)),INDEX('AH History'!$B$5:$B$1380,$K2626))),NA()),NA())</f>
        <v/>
      </c>
      <c r="I2626" s="34">
        <f>IFERROR(IF(ISNUMBER($A2626),IF(AND(AH!$U$12=1,2621+1=AH!$U$6),TODAY(),IF(AH!$U$5=1,INDEX('Live History'!$G$5:$G$3004,MATCH($A2626,'Live History'!$G$5:$G$3004,1)),INDEX('AH History'!$C$5:$C$1380,$K2626))),NA()),NA())</f>
        <v/>
      </c>
      <c r="J2626" s="32">
        <f>IFERROR(IF(AND($F2626&gt;0,$H2626&gt;0,$A2626-$G2626&lt;=10,$A2626-$I2626&lt;=5,$G2626&gt;0,$I2626&gt;0),$F2626*$H2626,NA()),NA())</f>
        <v/>
      </c>
      <c r="K2626" s="15">
        <f>IF($A2626="","",IF(AH!$U$5=1,IFERROR(MATCH($A2626,'Live History'!$A$5:$A$3004,0),0),AH!$U$7+2621))</f>
        <v/>
      </c>
      <c r="L2626" s="15">
        <f>IF(ISNUMBER(A2626),TEXT(A2626,"dd-mmm-yy"),"")</f>
        <v/>
      </c>
    </row>
    <row r="2627">
      <c r="A2627" s="14">
        <f>IF(OR(AH!$U$4=0,2622+1&gt;AH!$U$6,AND(AH!$M$5="Bloomberg",AH!$U$5=0)),"",IFERROR(IF(AND(AH!$U$12=1,2622+1=AH!$U$6),TODAY(),IF(AH!$U$5=1,INDEX('Live History'!$A$5:$A$3004,AH!$U$7+2622),INDEX('AH History'!$A$5:$A$1380,AH!$U$7+2622))),""))</f>
        <v/>
      </c>
      <c r="B2627" s="33">
        <f>IFERROR(IF(AH!$U$11=1,NA(),$J2627/$E2627-1),NA())</f>
        <v/>
      </c>
      <c r="C2627" s="269">
        <f>IFERROR(100*$E2627/$E$5,NA())</f>
        <v/>
      </c>
      <c r="D2627" s="269">
        <f>IFERROR(100*$J2627/$J$5,NA())</f>
        <v/>
      </c>
      <c r="E2627" s="32">
        <f>IFERROR(IF(AND(ISNUMBER($A2627),N(IF(AND(AH!$U$12=1,2622+1=AH!$U$6),IF(AH!$U$4=0,"unavailable",INDEX('Market Data'!$AN$5:$AN$66,AH!$U$4)),IF(AH!$U$5=1,INDEX('Live History'!$B$5:$B$3004,$K2627),INDEX('AH History'!$D$5:$GG$1380,$K2627,AH!$U$10))))&gt;0),IF(AND(AH!$U$12=1,2622+1=AH!$U$6),IF(AH!$U$4=0,"unavailable",INDEX('Market Data'!$AN$5:$AN$66,AH!$U$4)),IF(AH!$U$5=1,INDEX('Live History'!$B$5:$B$3004,$K2627),INDEX('AH History'!$D$5:$GG$1380,$K2627,AH!$U$10))),NA()),NA())</f>
        <v/>
      </c>
      <c r="F2627" s="32">
        <f>IFERROR(IF(ISNUMBER($A2627),IF(AND(AH!$U$12=1,2622+1=AH!$U$6),IF(AH!$U$4=0,"unavailable",INDEX('Market Data'!$AO$5:$AO$66,AH!$U$4)),IF(AH!$U$5=1,INDEX('Live History'!$E$5:$E$3004,MATCH($A2627,'Live History'!$D$5:$D$3004,1)),INDEX('AH History'!$D$5:$GG$1380,$K2627,AH!$U$10+1))),NA()),NA())</f>
        <v/>
      </c>
      <c r="G2627" s="34">
        <f>IFERROR(IF(ISNUMBER($A2627),IF(AND(AH!$U$12=1,2622+1=AH!$U$6),IF(AH!$U$4=0,"unavailable",INDEX('Market Data'!$AK$5:$AK$66,AH!$U$4)),IF(AH!$U$5=1,INDEX('Live History'!$D$5:$D$3004,MATCH($A2627,'Live History'!$D$5:$D$3004,1)),INDEX('AH History'!$D$5:$GG$1380,$K2627,AH!$U$10+2))),NA()),NA())</f>
        <v/>
      </c>
      <c r="H2627" s="266">
        <f>IFERROR(IF(ISNUMBER($A2627),IF(AND(AH!$U$12=1,2622+1=AH!$U$6),IF(AH!$U$4=0,"unavailable",INDEX('Market Data'!$AP$5:$AP$66,AH!$U$4)),IF(AH!$U$5=1,INDEX('Live History'!$H$5:$H$3004,MATCH($A2627,'Live History'!$G$5:$G$3004,1)),INDEX('AH History'!$B$5:$B$1380,$K2627))),NA()),NA())</f>
        <v/>
      </c>
      <c r="I2627" s="34">
        <f>IFERROR(IF(ISNUMBER($A2627),IF(AND(AH!$U$12=1,2622+1=AH!$U$6),TODAY(),IF(AH!$U$5=1,INDEX('Live History'!$G$5:$G$3004,MATCH($A2627,'Live History'!$G$5:$G$3004,1)),INDEX('AH History'!$C$5:$C$1380,$K2627))),NA()),NA())</f>
        <v/>
      </c>
      <c r="J2627" s="32">
        <f>IFERROR(IF(AND($F2627&gt;0,$H2627&gt;0,$A2627-$G2627&lt;=10,$A2627-$I2627&lt;=5,$G2627&gt;0,$I2627&gt;0),$F2627*$H2627,NA()),NA())</f>
        <v/>
      </c>
      <c r="K2627" s="15">
        <f>IF($A2627="","",IF(AH!$U$5=1,IFERROR(MATCH($A2627,'Live History'!$A$5:$A$3004,0),0),AH!$U$7+2622))</f>
        <v/>
      </c>
      <c r="L2627" s="15">
        <f>IF(ISNUMBER(A2627),TEXT(A2627,"dd-mmm-yy"),"")</f>
        <v/>
      </c>
    </row>
    <row r="2628">
      <c r="A2628" s="14">
        <f>IF(OR(AH!$U$4=0,2623+1&gt;AH!$U$6,AND(AH!$M$5="Bloomberg",AH!$U$5=0)),"",IFERROR(IF(AND(AH!$U$12=1,2623+1=AH!$U$6),TODAY(),IF(AH!$U$5=1,INDEX('Live History'!$A$5:$A$3004,AH!$U$7+2623),INDEX('AH History'!$A$5:$A$1380,AH!$U$7+2623))),""))</f>
        <v/>
      </c>
      <c r="B2628" s="33">
        <f>IFERROR(IF(AH!$U$11=1,NA(),$J2628/$E2628-1),NA())</f>
        <v/>
      </c>
      <c r="C2628" s="269">
        <f>IFERROR(100*$E2628/$E$5,NA())</f>
        <v/>
      </c>
      <c r="D2628" s="269">
        <f>IFERROR(100*$J2628/$J$5,NA())</f>
        <v/>
      </c>
      <c r="E2628" s="32">
        <f>IFERROR(IF(AND(ISNUMBER($A2628),N(IF(AND(AH!$U$12=1,2623+1=AH!$U$6),IF(AH!$U$4=0,"unavailable",INDEX('Market Data'!$AN$5:$AN$66,AH!$U$4)),IF(AH!$U$5=1,INDEX('Live History'!$B$5:$B$3004,$K2628),INDEX('AH History'!$D$5:$GG$1380,$K2628,AH!$U$10))))&gt;0),IF(AND(AH!$U$12=1,2623+1=AH!$U$6),IF(AH!$U$4=0,"unavailable",INDEX('Market Data'!$AN$5:$AN$66,AH!$U$4)),IF(AH!$U$5=1,INDEX('Live History'!$B$5:$B$3004,$K2628),INDEX('AH History'!$D$5:$GG$1380,$K2628,AH!$U$10))),NA()),NA())</f>
        <v/>
      </c>
      <c r="F2628" s="32">
        <f>IFERROR(IF(ISNUMBER($A2628),IF(AND(AH!$U$12=1,2623+1=AH!$U$6),IF(AH!$U$4=0,"unavailable",INDEX('Market Data'!$AO$5:$AO$66,AH!$U$4)),IF(AH!$U$5=1,INDEX('Live History'!$E$5:$E$3004,MATCH($A2628,'Live History'!$D$5:$D$3004,1)),INDEX('AH History'!$D$5:$GG$1380,$K2628,AH!$U$10+1))),NA()),NA())</f>
        <v/>
      </c>
      <c r="G2628" s="34">
        <f>IFERROR(IF(ISNUMBER($A2628),IF(AND(AH!$U$12=1,2623+1=AH!$U$6),IF(AH!$U$4=0,"unavailable",INDEX('Market Data'!$AK$5:$AK$66,AH!$U$4)),IF(AH!$U$5=1,INDEX('Live History'!$D$5:$D$3004,MATCH($A2628,'Live History'!$D$5:$D$3004,1)),INDEX('AH History'!$D$5:$GG$1380,$K2628,AH!$U$10+2))),NA()),NA())</f>
        <v/>
      </c>
      <c r="H2628" s="266">
        <f>IFERROR(IF(ISNUMBER($A2628),IF(AND(AH!$U$12=1,2623+1=AH!$U$6),IF(AH!$U$4=0,"unavailable",INDEX('Market Data'!$AP$5:$AP$66,AH!$U$4)),IF(AH!$U$5=1,INDEX('Live History'!$H$5:$H$3004,MATCH($A2628,'Live History'!$G$5:$G$3004,1)),INDEX('AH History'!$B$5:$B$1380,$K2628))),NA()),NA())</f>
        <v/>
      </c>
      <c r="I2628" s="34">
        <f>IFERROR(IF(ISNUMBER($A2628),IF(AND(AH!$U$12=1,2623+1=AH!$U$6),TODAY(),IF(AH!$U$5=1,INDEX('Live History'!$G$5:$G$3004,MATCH($A2628,'Live History'!$G$5:$G$3004,1)),INDEX('AH History'!$C$5:$C$1380,$K2628))),NA()),NA())</f>
        <v/>
      </c>
      <c r="J2628" s="32">
        <f>IFERROR(IF(AND($F2628&gt;0,$H2628&gt;0,$A2628-$G2628&lt;=10,$A2628-$I2628&lt;=5,$G2628&gt;0,$I2628&gt;0),$F2628*$H2628,NA()),NA())</f>
        <v/>
      </c>
      <c r="K2628" s="15">
        <f>IF($A2628="","",IF(AH!$U$5=1,IFERROR(MATCH($A2628,'Live History'!$A$5:$A$3004,0),0),AH!$U$7+2623))</f>
        <v/>
      </c>
      <c r="L2628" s="15">
        <f>IF(ISNUMBER(A2628),TEXT(A2628,"dd-mmm-yy"),"")</f>
        <v/>
      </c>
    </row>
    <row r="2629">
      <c r="A2629" s="14">
        <f>IF(OR(AH!$U$4=0,2624+1&gt;AH!$U$6,AND(AH!$M$5="Bloomberg",AH!$U$5=0)),"",IFERROR(IF(AND(AH!$U$12=1,2624+1=AH!$U$6),TODAY(),IF(AH!$U$5=1,INDEX('Live History'!$A$5:$A$3004,AH!$U$7+2624),INDEX('AH History'!$A$5:$A$1380,AH!$U$7+2624))),""))</f>
        <v/>
      </c>
      <c r="B2629" s="33">
        <f>IFERROR(IF(AH!$U$11=1,NA(),$J2629/$E2629-1),NA())</f>
        <v/>
      </c>
      <c r="C2629" s="269">
        <f>IFERROR(100*$E2629/$E$5,NA())</f>
        <v/>
      </c>
      <c r="D2629" s="269">
        <f>IFERROR(100*$J2629/$J$5,NA())</f>
        <v/>
      </c>
      <c r="E2629" s="32">
        <f>IFERROR(IF(AND(ISNUMBER($A2629),N(IF(AND(AH!$U$12=1,2624+1=AH!$U$6),IF(AH!$U$4=0,"unavailable",INDEX('Market Data'!$AN$5:$AN$66,AH!$U$4)),IF(AH!$U$5=1,INDEX('Live History'!$B$5:$B$3004,$K2629),INDEX('AH History'!$D$5:$GG$1380,$K2629,AH!$U$10))))&gt;0),IF(AND(AH!$U$12=1,2624+1=AH!$U$6),IF(AH!$U$4=0,"unavailable",INDEX('Market Data'!$AN$5:$AN$66,AH!$U$4)),IF(AH!$U$5=1,INDEX('Live History'!$B$5:$B$3004,$K2629),INDEX('AH History'!$D$5:$GG$1380,$K2629,AH!$U$10))),NA()),NA())</f>
        <v/>
      </c>
      <c r="F2629" s="32">
        <f>IFERROR(IF(ISNUMBER($A2629),IF(AND(AH!$U$12=1,2624+1=AH!$U$6),IF(AH!$U$4=0,"unavailable",INDEX('Market Data'!$AO$5:$AO$66,AH!$U$4)),IF(AH!$U$5=1,INDEX('Live History'!$E$5:$E$3004,MATCH($A2629,'Live History'!$D$5:$D$3004,1)),INDEX('AH History'!$D$5:$GG$1380,$K2629,AH!$U$10+1))),NA()),NA())</f>
        <v/>
      </c>
      <c r="G2629" s="34">
        <f>IFERROR(IF(ISNUMBER($A2629),IF(AND(AH!$U$12=1,2624+1=AH!$U$6),IF(AH!$U$4=0,"unavailable",INDEX('Market Data'!$AK$5:$AK$66,AH!$U$4)),IF(AH!$U$5=1,INDEX('Live History'!$D$5:$D$3004,MATCH($A2629,'Live History'!$D$5:$D$3004,1)),INDEX('AH History'!$D$5:$GG$1380,$K2629,AH!$U$10+2))),NA()),NA())</f>
        <v/>
      </c>
      <c r="H2629" s="266">
        <f>IFERROR(IF(ISNUMBER($A2629),IF(AND(AH!$U$12=1,2624+1=AH!$U$6),IF(AH!$U$4=0,"unavailable",INDEX('Market Data'!$AP$5:$AP$66,AH!$U$4)),IF(AH!$U$5=1,INDEX('Live History'!$H$5:$H$3004,MATCH($A2629,'Live History'!$G$5:$G$3004,1)),INDEX('AH History'!$B$5:$B$1380,$K2629))),NA()),NA())</f>
        <v/>
      </c>
      <c r="I2629" s="34">
        <f>IFERROR(IF(ISNUMBER($A2629),IF(AND(AH!$U$12=1,2624+1=AH!$U$6),TODAY(),IF(AH!$U$5=1,INDEX('Live History'!$G$5:$G$3004,MATCH($A2629,'Live History'!$G$5:$G$3004,1)),INDEX('AH History'!$C$5:$C$1380,$K2629))),NA()),NA())</f>
        <v/>
      </c>
      <c r="J2629" s="32">
        <f>IFERROR(IF(AND($F2629&gt;0,$H2629&gt;0,$A2629-$G2629&lt;=10,$A2629-$I2629&lt;=5,$G2629&gt;0,$I2629&gt;0),$F2629*$H2629,NA()),NA())</f>
        <v/>
      </c>
      <c r="K2629" s="15">
        <f>IF($A2629="","",IF(AH!$U$5=1,IFERROR(MATCH($A2629,'Live History'!$A$5:$A$3004,0),0),AH!$U$7+2624))</f>
        <v/>
      </c>
      <c r="L2629" s="15">
        <f>IF(ISNUMBER(A2629),TEXT(A2629,"dd-mmm-yy"),"")</f>
        <v/>
      </c>
    </row>
    <row r="2630">
      <c r="A2630" s="14">
        <f>IF(OR(AH!$U$4=0,2625+1&gt;AH!$U$6,AND(AH!$M$5="Bloomberg",AH!$U$5=0)),"",IFERROR(IF(AND(AH!$U$12=1,2625+1=AH!$U$6),TODAY(),IF(AH!$U$5=1,INDEX('Live History'!$A$5:$A$3004,AH!$U$7+2625),INDEX('AH History'!$A$5:$A$1380,AH!$U$7+2625))),""))</f>
        <v/>
      </c>
      <c r="B2630" s="33">
        <f>IFERROR(IF(AH!$U$11=1,NA(),$J2630/$E2630-1),NA())</f>
        <v/>
      </c>
      <c r="C2630" s="269">
        <f>IFERROR(100*$E2630/$E$5,NA())</f>
        <v/>
      </c>
      <c r="D2630" s="269">
        <f>IFERROR(100*$J2630/$J$5,NA())</f>
        <v/>
      </c>
      <c r="E2630" s="32">
        <f>IFERROR(IF(AND(ISNUMBER($A2630),N(IF(AND(AH!$U$12=1,2625+1=AH!$U$6),IF(AH!$U$4=0,"unavailable",INDEX('Market Data'!$AN$5:$AN$66,AH!$U$4)),IF(AH!$U$5=1,INDEX('Live History'!$B$5:$B$3004,$K2630),INDEX('AH History'!$D$5:$GG$1380,$K2630,AH!$U$10))))&gt;0),IF(AND(AH!$U$12=1,2625+1=AH!$U$6),IF(AH!$U$4=0,"unavailable",INDEX('Market Data'!$AN$5:$AN$66,AH!$U$4)),IF(AH!$U$5=1,INDEX('Live History'!$B$5:$B$3004,$K2630),INDEX('AH History'!$D$5:$GG$1380,$K2630,AH!$U$10))),NA()),NA())</f>
        <v/>
      </c>
      <c r="F2630" s="32">
        <f>IFERROR(IF(ISNUMBER($A2630),IF(AND(AH!$U$12=1,2625+1=AH!$U$6),IF(AH!$U$4=0,"unavailable",INDEX('Market Data'!$AO$5:$AO$66,AH!$U$4)),IF(AH!$U$5=1,INDEX('Live History'!$E$5:$E$3004,MATCH($A2630,'Live History'!$D$5:$D$3004,1)),INDEX('AH History'!$D$5:$GG$1380,$K2630,AH!$U$10+1))),NA()),NA())</f>
        <v/>
      </c>
      <c r="G2630" s="34">
        <f>IFERROR(IF(ISNUMBER($A2630),IF(AND(AH!$U$12=1,2625+1=AH!$U$6),IF(AH!$U$4=0,"unavailable",INDEX('Market Data'!$AK$5:$AK$66,AH!$U$4)),IF(AH!$U$5=1,INDEX('Live History'!$D$5:$D$3004,MATCH($A2630,'Live History'!$D$5:$D$3004,1)),INDEX('AH History'!$D$5:$GG$1380,$K2630,AH!$U$10+2))),NA()),NA())</f>
        <v/>
      </c>
      <c r="H2630" s="266">
        <f>IFERROR(IF(ISNUMBER($A2630),IF(AND(AH!$U$12=1,2625+1=AH!$U$6),IF(AH!$U$4=0,"unavailable",INDEX('Market Data'!$AP$5:$AP$66,AH!$U$4)),IF(AH!$U$5=1,INDEX('Live History'!$H$5:$H$3004,MATCH($A2630,'Live History'!$G$5:$G$3004,1)),INDEX('AH History'!$B$5:$B$1380,$K2630))),NA()),NA())</f>
        <v/>
      </c>
      <c r="I2630" s="34">
        <f>IFERROR(IF(ISNUMBER($A2630),IF(AND(AH!$U$12=1,2625+1=AH!$U$6),TODAY(),IF(AH!$U$5=1,INDEX('Live History'!$G$5:$G$3004,MATCH($A2630,'Live History'!$G$5:$G$3004,1)),INDEX('AH History'!$C$5:$C$1380,$K2630))),NA()),NA())</f>
        <v/>
      </c>
      <c r="J2630" s="32">
        <f>IFERROR(IF(AND($F2630&gt;0,$H2630&gt;0,$A2630-$G2630&lt;=10,$A2630-$I2630&lt;=5,$G2630&gt;0,$I2630&gt;0),$F2630*$H2630,NA()),NA())</f>
        <v/>
      </c>
      <c r="K2630" s="15">
        <f>IF($A2630="","",IF(AH!$U$5=1,IFERROR(MATCH($A2630,'Live History'!$A$5:$A$3004,0),0),AH!$U$7+2625))</f>
        <v/>
      </c>
      <c r="L2630" s="15">
        <f>IF(ISNUMBER(A2630),TEXT(A2630,"dd-mmm-yy"),"")</f>
        <v/>
      </c>
    </row>
    <row r="2631">
      <c r="A2631" s="14">
        <f>IF(OR(AH!$U$4=0,2626+1&gt;AH!$U$6,AND(AH!$M$5="Bloomberg",AH!$U$5=0)),"",IFERROR(IF(AND(AH!$U$12=1,2626+1=AH!$U$6),TODAY(),IF(AH!$U$5=1,INDEX('Live History'!$A$5:$A$3004,AH!$U$7+2626),INDEX('AH History'!$A$5:$A$1380,AH!$U$7+2626))),""))</f>
        <v/>
      </c>
      <c r="B2631" s="33">
        <f>IFERROR(IF(AH!$U$11=1,NA(),$J2631/$E2631-1),NA())</f>
        <v/>
      </c>
      <c r="C2631" s="269">
        <f>IFERROR(100*$E2631/$E$5,NA())</f>
        <v/>
      </c>
      <c r="D2631" s="269">
        <f>IFERROR(100*$J2631/$J$5,NA())</f>
        <v/>
      </c>
      <c r="E2631" s="32">
        <f>IFERROR(IF(AND(ISNUMBER($A2631),N(IF(AND(AH!$U$12=1,2626+1=AH!$U$6),IF(AH!$U$4=0,"unavailable",INDEX('Market Data'!$AN$5:$AN$66,AH!$U$4)),IF(AH!$U$5=1,INDEX('Live History'!$B$5:$B$3004,$K2631),INDEX('AH History'!$D$5:$GG$1380,$K2631,AH!$U$10))))&gt;0),IF(AND(AH!$U$12=1,2626+1=AH!$U$6),IF(AH!$U$4=0,"unavailable",INDEX('Market Data'!$AN$5:$AN$66,AH!$U$4)),IF(AH!$U$5=1,INDEX('Live History'!$B$5:$B$3004,$K2631),INDEX('AH History'!$D$5:$GG$1380,$K2631,AH!$U$10))),NA()),NA())</f>
        <v/>
      </c>
      <c r="F2631" s="32">
        <f>IFERROR(IF(ISNUMBER($A2631),IF(AND(AH!$U$12=1,2626+1=AH!$U$6),IF(AH!$U$4=0,"unavailable",INDEX('Market Data'!$AO$5:$AO$66,AH!$U$4)),IF(AH!$U$5=1,INDEX('Live History'!$E$5:$E$3004,MATCH($A2631,'Live History'!$D$5:$D$3004,1)),INDEX('AH History'!$D$5:$GG$1380,$K2631,AH!$U$10+1))),NA()),NA())</f>
        <v/>
      </c>
      <c r="G2631" s="34">
        <f>IFERROR(IF(ISNUMBER($A2631),IF(AND(AH!$U$12=1,2626+1=AH!$U$6),IF(AH!$U$4=0,"unavailable",INDEX('Market Data'!$AK$5:$AK$66,AH!$U$4)),IF(AH!$U$5=1,INDEX('Live History'!$D$5:$D$3004,MATCH($A2631,'Live History'!$D$5:$D$3004,1)),INDEX('AH History'!$D$5:$GG$1380,$K2631,AH!$U$10+2))),NA()),NA())</f>
        <v/>
      </c>
      <c r="H2631" s="266">
        <f>IFERROR(IF(ISNUMBER($A2631),IF(AND(AH!$U$12=1,2626+1=AH!$U$6),IF(AH!$U$4=0,"unavailable",INDEX('Market Data'!$AP$5:$AP$66,AH!$U$4)),IF(AH!$U$5=1,INDEX('Live History'!$H$5:$H$3004,MATCH($A2631,'Live History'!$G$5:$G$3004,1)),INDEX('AH History'!$B$5:$B$1380,$K2631))),NA()),NA())</f>
        <v/>
      </c>
      <c r="I2631" s="34">
        <f>IFERROR(IF(ISNUMBER($A2631),IF(AND(AH!$U$12=1,2626+1=AH!$U$6),TODAY(),IF(AH!$U$5=1,INDEX('Live History'!$G$5:$G$3004,MATCH($A2631,'Live History'!$G$5:$G$3004,1)),INDEX('AH History'!$C$5:$C$1380,$K2631))),NA()),NA())</f>
        <v/>
      </c>
      <c r="J2631" s="32">
        <f>IFERROR(IF(AND($F2631&gt;0,$H2631&gt;0,$A2631-$G2631&lt;=10,$A2631-$I2631&lt;=5,$G2631&gt;0,$I2631&gt;0),$F2631*$H2631,NA()),NA())</f>
        <v/>
      </c>
      <c r="K2631" s="15">
        <f>IF($A2631="","",IF(AH!$U$5=1,IFERROR(MATCH($A2631,'Live History'!$A$5:$A$3004,0),0),AH!$U$7+2626))</f>
        <v/>
      </c>
      <c r="L2631" s="15">
        <f>IF(ISNUMBER(A2631),TEXT(A2631,"dd-mmm-yy"),"")</f>
        <v/>
      </c>
    </row>
    <row r="2632">
      <c r="A2632" s="14">
        <f>IF(OR(AH!$U$4=0,2627+1&gt;AH!$U$6,AND(AH!$M$5="Bloomberg",AH!$U$5=0)),"",IFERROR(IF(AND(AH!$U$12=1,2627+1=AH!$U$6),TODAY(),IF(AH!$U$5=1,INDEX('Live History'!$A$5:$A$3004,AH!$U$7+2627),INDEX('AH History'!$A$5:$A$1380,AH!$U$7+2627))),""))</f>
        <v/>
      </c>
      <c r="B2632" s="33">
        <f>IFERROR(IF(AH!$U$11=1,NA(),$J2632/$E2632-1),NA())</f>
        <v/>
      </c>
      <c r="C2632" s="269">
        <f>IFERROR(100*$E2632/$E$5,NA())</f>
        <v/>
      </c>
      <c r="D2632" s="269">
        <f>IFERROR(100*$J2632/$J$5,NA())</f>
        <v/>
      </c>
      <c r="E2632" s="32">
        <f>IFERROR(IF(AND(ISNUMBER($A2632),N(IF(AND(AH!$U$12=1,2627+1=AH!$U$6),IF(AH!$U$4=0,"unavailable",INDEX('Market Data'!$AN$5:$AN$66,AH!$U$4)),IF(AH!$U$5=1,INDEX('Live History'!$B$5:$B$3004,$K2632),INDEX('AH History'!$D$5:$GG$1380,$K2632,AH!$U$10))))&gt;0),IF(AND(AH!$U$12=1,2627+1=AH!$U$6),IF(AH!$U$4=0,"unavailable",INDEX('Market Data'!$AN$5:$AN$66,AH!$U$4)),IF(AH!$U$5=1,INDEX('Live History'!$B$5:$B$3004,$K2632),INDEX('AH History'!$D$5:$GG$1380,$K2632,AH!$U$10))),NA()),NA())</f>
        <v/>
      </c>
      <c r="F2632" s="32">
        <f>IFERROR(IF(ISNUMBER($A2632),IF(AND(AH!$U$12=1,2627+1=AH!$U$6),IF(AH!$U$4=0,"unavailable",INDEX('Market Data'!$AO$5:$AO$66,AH!$U$4)),IF(AH!$U$5=1,INDEX('Live History'!$E$5:$E$3004,MATCH($A2632,'Live History'!$D$5:$D$3004,1)),INDEX('AH History'!$D$5:$GG$1380,$K2632,AH!$U$10+1))),NA()),NA())</f>
        <v/>
      </c>
      <c r="G2632" s="34">
        <f>IFERROR(IF(ISNUMBER($A2632),IF(AND(AH!$U$12=1,2627+1=AH!$U$6),IF(AH!$U$4=0,"unavailable",INDEX('Market Data'!$AK$5:$AK$66,AH!$U$4)),IF(AH!$U$5=1,INDEX('Live History'!$D$5:$D$3004,MATCH($A2632,'Live History'!$D$5:$D$3004,1)),INDEX('AH History'!$D$5:$GG$1380,$K2632,AH!$U$10+2))),NA()),NA())</f>
        <v/>
      </c>
      <c r="H2632" s="266">
        <f>IFERROR(IF(ISNUMBER($A2632),IF(AND(AH!$U$12=1,2627+1=AH!$U$6),IF(AH!$U$4=0,"unavailable",INDEX('Market Data'!$AP$5:$AP$66,AH!$U$4)),IF(AH!$U$5=1,INDEX('Live History'!$H$5:$H$3004,MATCH($A2632,'Live History'!$G$5:$G$3004,1)),INDEX('AH History'!$B$5:$B$1380,$K2632))),NA()),NA())</f>
        <v/>
      </c>
      <c r="I2632" s="34">
        <f>IFERROR(IF(ISNUMBER($A2632),IF(AND(AH!$U$12=1,2627+1=AH!$U$6),TODAY(),IF(AH!$U$5=1,INDEX('Live History'!$G$5:$G$3004,MATCH($A2632,'Live History'!$G$5:$G$3004,1)),INDEX('AH History'!$C$5:$C$1380,$K2632))),NA()),NA())</f>
        <v/>
      </c>
      <c r="J2632" s="32">
        <f>IFERROR(IF(AND($F2632&gt;0,$H2632&gt;0,$A2632-$G2632&lt;=10,$A2632-$I2632&lt;=5,$G2632&gt;0,$I2632&gt;0),$F2632*$H2632,NA()),NA())</f>
        <v/>
      </c>
      <c r="K2632" s="15">
        <f>IF($A2632="","",IF(AH!$U$5=1,IFERROR(MATCH($A2632,'Live History'!$A$5:$A$3004,0),0),AH!$U$7+2627))</f>
        <v/>
      </c>
      <c r="L2632" s="15">
        <f>IF(ISNUMBER(A2632),TEXT(A2632,"dd-mmm-yy"),"")</f>
        <v/>
      </c>
    </row>
    <row r="2633">
      <c r="A2633" s="14">
        <f>IF(OR(AH!$U$4=0,2628+1&gt;AH!$U$6,AND(AH!$M$5="Bloomberg",AH!$U$5=0)),"",IFERROR(IF(AND(AH!$U$12=1,2628+1=AH!$U$6),TODAY(),IF(AH!$U$5=1,INDEX('Live History'!$A$5:$A$3004,AH!$U$7+2628),INDEX('AH History'!$A$5:$A$1380,AH!$U$7+2628))),""))</f>
        <v/>
      </c>
      <c r="B2633" s="33">
        <f>IFERROR(IF(AH!$U$11=1,NA(),$J2633/$E2633-1),NA())</f>
        <v/>
      </c>
      <c r="C2633" s="269">
        <f>IFERROR(100*$E2633/$E$5,NA())</f>
        <v/>
      </c>
      <c r="D2633" s="269">
        <f>IFERROR(100*$J2633/$J$5,NA())</f>
        <v/>
      </c>
      <c r="E2633" s="32">
        <f>IFERROR(IF(AND(ISNUMBER($A2633),N(IF(AND(AH!$U$12=1,2628+1=AH!$U$6),IF(AH!$U$4=0,"unavailable",INDEX('Market Data'!$AN$5:$AN$66,AH!$U$4)),IF(AH!$U$5=1,INDEX('Live History'!$B$5:$B$3004,$K2633),INDEX('AH History'!$D$5:$GG$1380,$K2633,AH!$U$10))))&gt;0),IF(AND(AH!$U$12=1,2628+1=AH!$U$6),IF(AH!$U$4=0,"unavailable",INDEX('Market Data'!$AN$5:$AN$66,AH!$U$4)),IF(AH!$U$5=1,INDEX('Live History'!$B$5:$B$3004,$K2633),INDEX('AH History'!$D$5:$GG$1380,$K2633,AH!$U$10))),NA()),NA())</f>
        <v/>
      </c>
      <c r="F2633" s="32">
        <f>IFERROR(IF(ISNUMBER($A2633),IF(AND(AH!$U$12=1,2628+1=AH!$U$6),IF(AH!$U$4=0,"unavailable",INDEX('Market Data'!$AO$5:$AO$66,AH!$U$4)),IF(AH!$U$5=1,INDEX('Live History'!$E$5:$E$3004,MATCH($A2633,'Live History'!$D$5:$D$3004,1)),INDEX('AH History'!$D$5:$GG$1380,$K2633,AH!$U$10+1))),NA()),NA())</f>
        <v/>
      </c>
      <c r="G2633" s="34">
        <f>IFERROR(IF(ISNUMBER($A2633),IF(AND(AH!$U$12=1,2628+1=AH!$U$6),IF(AH!$U$4=0,"unavailable",INDEX('Market Data'!$AK$5:$AK$66,AH!$U$4)),IF(AH!$U$5=1,INDEX('Live History'!$D$5:$D$3004,MATCH($A2633,'Live History'!$D$5:$D$3004,1)),INDEX('AH History'!$D$5:$GG$1380,$K2633,AH!$U$10+2))),NA()),NA())</f>
        <v/>
      </c>
      <c r="H2633" s="266">
        <f>IFERROR(IF(ISNUMBER($A2633),IF(AND(AH!$U$12=1,2628+1=AH!$U$6),IF(AH!$U$4=0,"unavailable",INDEX('Market Data'!$AP$5:$AP$66,AH!$U$4)),IF(AH!$U$5=1,INDEX('Live History'!$H$5:$H$3004,MATCH($A2633,'Live History'!$G$5:$G$3004,1)),INDEX('AH History'!$B$5:$B$1380,$K2633))),NA()),NA())</f>
        <v/>
      </c>
      <c r="I2633" s="34">
        <f>IFERROR(IF(ISNUMBER($A2633),IF(AND(AH!$U$12=1,2628+1=AH!$U$6),TODAY(),IF(AH!$U$5=1,INDEX('Live History'!$G$5:$G$3004,MATCH($A2633,'Live History'!$G$5:$G$3004,1)),INDEX('AH History'!$C$5:$C$1380,$K2633))),NA()),NA())</f>
        <v/>
      </c>
      <c r="J2633" s="32">
        <f>IFERROR(IF(AND($F2633&gt;0,$H2633&gt;0,$A2633-$G2633&lt;=10,$A2633-$I2633&lt;=5,$G2633&gt;0,$I2633&gt;0),$F2633*$H2633,NA()),NA())</f>
        <v/>
      </c>
      <c r="K2633" s="15">
        <f>IF($A2633="","",IF(AH!$U$5=1,IFERROR(MATCH($A2633,'Live History'!$A$5:$A$3004,0),0),AH!$U$7+2628))</f>
        <v/>
      </c>
      <c r="L2633" s="15">
        <f>IF(ISNUMBER(A2633),TEXT(A2633,"dd-mmm-yy"),"")</f>
        <v/>
      </c>
    </row>
    <row r="2634">
      <c r="A2634" s="14">
        <f>IF(OR(AH!$U$4=0,2629+1&gt;AH!$U$6,AND(AH!$M$5="Bloomberg",AH!$U$5=0)),"",IFERROR(IF(AND(AH!$U$12=1,2629+1=AH!$U$6),TODAY(),IF(AH!$U$5=1,INDEX('Live History'!$A$5:$A$3004,AH!$U$7+2629),INDEX('AH History'!$A$5:$A$1380,AH!$U$7+2629))),""))</f>
        <v/>
      </c>
      <c r="B2634" s="33">
        <f>IFERROR(IF(AH!$U$11=1,NA(),$J2634/$E2634-1),NA())</f>
        <v/>
      </c>
      <c r="C2634" s="269">
        <f>IFERROR(100*$E2634/$E$5,NA())</f>
        <v/>
      </c>
      <c r="D2634" s="269">
        <f>IFERROR(100*$J2634/$J$5,NA())</f>
        <v/>
      </c>
      <c r="E2634" s="32">
        <f>IFERROR(IF(AND(ISNUMBER($A2634),N(IF(AND(AH!$U$12=1,2629+1=AH!$U$6),IF(AH!$U$4=0,"unavailable",INDEX('Market Data'!$AN$5:$AN$66,AH!$U$4)),IF(AH!$U$5=1,INDEX('Live History'!$B$5:$B$3004,$K2634),INDEX('AH History'!$D$5:$GG$1380,$K2634,AH!$U$10))))&gt;0),IF(AND(AH!$U$12=1,2629+1=AH!$U$6),IF(AH!$U$4=0,"unavailable",INDEX('Market Data'!$AN$5:$AN$66,AH!$U$4)),IF(AH!$U$5=1,INDEX('Live History'!$B$5:$B$3004,$K2634),INDEX('AH History'!$D$5:$GG$1380,$K2634,AH!$U$10))),NA()),NA())</f>
        <v/>
      </c>
      <c r="F2634" s="32">
        <f>IFERROR(IF(ISNUMBER($A2634),IF(AND(AH!$U$12=1,2629+1=AH!$U$6),IF(AH!$U$4=0,"unavailable",INDEX('Market Data'!$AO$5:$AO$66,AH!$U$4)),IF(AH!$U$5=1,INDEX('Live History'!$E$5:$E$3004,MATCH($A2634,'Live History'!$D$5:$D$3004,1)),INDEX('AH History'!$D$5:$GG$1380,$K2634,AH!$U$10+1))),NA()),NA())</f>
        <v/>
      </c>
      <c r="G2634" s="34">
        <f>IFERROR(IF(ISNUMBER($A2634),IF(AND(AH!$U$12=1,2629+1=AH!$U$6),IF(AH!$U$4=0,"unavailable",INDEX('Market Data'!$AK$5:$AK$66,AH!$U$4)),IF(AH!$U$5=1,INDEX('Live History'!$D$5:$D$3004,MATCH($A2634,'Live History'!$D$5:$D$3004,1)),INDEX('AH History'!$D$5:$GG$1380,$K2634,AH!$U$10+2))),NA()),NA())</f>
        <v/>
      </c>
      <c r="H2634" s="266">
        <f>IFERROR(IF(ISNUMBER($A2634),IF(AND(AH!$U$12=1,2629+1=AH!$U$6),IF(AH!$U$4=0,"unavailable",INDEX('Market Data'!$AP$5:$AP$66,AH!$U$4)),IF(AH!$U$5=1,INDEX('Live History'!$H$5:$H$3004,MATCH($A2634,'Live History'!$G$5:$G$3004,1)),INDEX('AH History'!$B$5:$B$1380,$K2634))),NA()),NA())</f>
        <v/>
      </c>
      <c r="I2634" s="34">
        <f>IFERROR(IF(ISNUMBER($A2634),IF(AND(AH!$U$12=1,2629+1=AH!$U$6),TODAY(),IF(AH!$U$5=1,INDEX('Live History'!$G$5:$G$3004,MATCH($A2634,'Live History'!$G$5:$G$3004,1)),INDEX('AH History'!$C$5:$C$1380,$K2634))),NA()),NA())</f>
        <v/>
      </c>
      <c r="J2634" s="32">
        <f>IFERROR(IF(AND($F2634&gt;0,$H2634&gt;0,$A2634-$G2634&lt;=10,$A2634-$I2634&lt;=5,$G2634&gt;0,$I2634&gt;0),$F2634*$H2634,NA()),NA())</f>
        <v/>
      </c>
      <c r="K2634" s="15">
        <f>IF($A2634="","",IF(AH!$U$5=1,IFERROR(MATCH($A2634,'Live History'!$A$5:$A$3004,0),0),AH!$U$7+2629))</f>
        <v/>
      </c>
      <c r="L2634" s="15">
        <f>IF(ISNUMBER(A2634),TEXT(A2634,"dd-mmm-yy"),"")</f>
        <v/>
      </c>
    </row>
    <row r="2635">
      <c r="A2635" s="14">
        <f>IF(OR(AH!$U$4=0,2630+1&gt;AH!$U$6,AND(AH!$M$5="Bloomberg",AH!$U$5=0)),"",IFERROR(IF(AND(AH!$U$12=1,2630+1=AH!$U$6),TODAY(),IF(AH!$U$5=1,INDEX('Live History'!$A$5:$A$3004,AH!$U$7+2630),INDEX('AH History'!$A$5:$A$1380,AH!$U$7+2630))),""))</f>
        <v/>
      </c>
      <c r="B2635" s="33">
        <f>IFERROR(IF(AH!$U$11=1,NA(),$J2635/$E2635-1),NA())</f>
        <v/>
      </c>
      <c r="C2635" s="269">
        <f>IFERROR(100*$E2635/$E$5,NA())</f>
        <v/>
      </c>
      <c r="D2635" s="269">
        <f>IFERROR(100*$J2635/$J$5,NA())</f>
        <v/>
      </c>
      <c r="E2635" s="32">
        <f>IFERROR(IF(AND(ISNUMBER($A2635),N(IF(AND(AH!$U$12=1,2630+1=AH!$U$6),IF(AH!$U$4=0,"unavailable",INDEX('Market Data'!$AN$5:$AN$66,AH!$U$4)),IF(AH!$U$5=1,INDEX('Live History'!$B$5:$B$3004,$K2635),INDEX('AH History'!$D$5:$GG$1380,$K2635,AH!$U$10))))&gt;0),IF(AND(AH!$U$12=1,2630+1=AH!$U$6),IF(AH!$U$4=0,"unavailable",INDEX('Market Data'!$AN$5:$AN$66,AH!$U$4)),IF(AH!$U$5=1,INDEX('Live History'!$B$5:$B$3004,$K2635),INDEX('AH History'!$D$5:$GG$1380,$K2635,AH!$U$10))),NA()),NA())</f>
        <v/>
      </c>
      <c r="F2635" s="32">
        <f>IFERROR(IF(ISNUMBER($A2635),IF(AND(AH!$U$12=1,2630+1=AH!$U$6),IF(AH!$U$4=0,"unavailable",INDEX('Market Data'!$AO$5:$AO$66,AH!$U$4)),IF(AH!$U$5=1,INDEX('Live History'!$E$5:$E$3004,MATCH($A2635,'Live History'!$D$5:$D$3004,1)),INDEX('AH History'!$D$5:$GG$1380,$K2635,AH!$U$10+1))),NA()),NA())</f>
        <v/>
      </c>
      <c r="G2635" s="34">
        <f>IFERROR(IF(ISNUMBER($A2635),IF(AND(AH!$U$12=1,2630+1=AH!$U$6),IF(AH!$U$4=0,"unavailable",INDEX('Market Data'!$AK$5:$AK$66,AH!$U$4)),IF(AH!$U$5=1,INDEX('Live History'!$D$5:$D$3004,MATCH($A2635,'Live History'!$D$5:$D$3004,1)),INDEX('AH History'!$D$5:$GG$1380,$K2635,AH!$U$10+2))),NA()),NA())</f>
        <v/>
      </c>
      <c r="H2635" s="266">
        <f>IFERROR(IF(ISNUMBER($A2635),IF(AND(AH!$U$12=1,2630+1=AH!$U$6),IF(AH!$U$4=0,"unavailable",INDEX('Market Data'!$AP$5:$AP$66,AH!$U$4)),IF(AH!$U$5=1,INDEX('Live History'!$H$5:$H$3004,MATCH($A2635,'Live History'!$G$5:$G$3004,1)),INDEX('AH History'!$B$5:$B$1380,$K2635))),NA()),NA())</f>
        <v/>
      </c>
      <c r="I2635" s="34">
        <f>IFERROR(IF(ISNUMBER($A2635),IF(AND(AH!$U$12=1,2630+1=AH!$U$6),TODAY(),IF(AH!$U$5=1,INDEX('Live History'!$G$5:$G$3004,MATCH($A2635,'Live History'!$G$5:$G$3004,1)),INDEX('AH History'!$C$5:$C$1380,$K2635))),NA()),NA())</f>
        <v/>
      </c>
      <c r="J2635" s="32">
        <f>IFERROR(IF(AND($F2635&gt;0,$H2635&gt;0,$A2635-$G2635&lt;=10,$A2635-$I2635&lt;=5,$G2635&gt;0,$I2635&gt;0),$F2635*$H2635,NA()),NA())</f>
        <v/>
      </c>
      <c r="K2635" s="15">
        <f>IF($A2635="","",IF(AH!$U$5=1,IFERROR(MATCH($A2635,'Live History'!$A$5:$A$3004,0),0),AH!$U$7+2630))</f>
        <v/>
      </c>
      <c r="L2635" s="15">
        <f>IF(ISNUMBER(A2635),TEXT(A2635,"dd-mmm-yy"),"")</f>
        <v/>
      </c>
    </row>
    <row r="2636">
      <c r="A2636" s="14">
        <f>IF(OR(AH!$U$4=0,2631+1&gt;AH!$U$6,AND(AH!$M$5="Bloomberg",AH!$U$5=0)),"",IFERROR(IF(AND(AH!$U$12=1,2631+1=AH!$U$6),TODAY(),IF(AH!$U$5=1,INDEX('Live History'!$A$5:$A$3004,AH!$U$7+2631),INDEX('AH History'!$A$5:$A$1380,AH!$U$7+2631))),""))</f>
        <v/>
      </c>
      <c r="B2636" s="33">
        <f>IFERROR(IF(AH!$U$11=1,NA(),$J2636/$E2636-1),NA())</f>
        <v/>
      </c>
      <c r="C2636" s="269">
        <f>IFERROR(100*$E2636/$E$5,NA())</f>
        <v/>
      </c>
      <c r="D2636" s="269">
        <f>IFERROR(100*$J2636/$J$5,NA())</f>
        <v/>
      </c>
      <c r="E2636" s="32">
        <f>IFERROR(IF(AND(ISNUMBER($A2636),N(IF(AND(AH!$U$12=1,2631+1=AH!$U$6),IF(AH!$U$4=0,"unavailable",INDEX('Market Data'!$AN$5:$AN$66,AH!$U$4)),IF(AH!$U$5=1,INDEX('Live History'!$B$5:$B$3004,$K2636),INDEX('AH History'!$D$5:$GG$1380,$K2636,AH!$U$10))))&gt;0),IF(AND(AH!$U$12=1,2631+1=AH!$U$6),IF(AH!$U$4=0,"unavailable",INDEX('Market Data'!$AN$5:$AN$66,AH!$U$4)),IF(AH!$U$5=1,INDEX('Live History'!$B$5:$B$3004,$K2636),INDEX('AH History'!$D$5:$GG$1380,$K2636,AH!$U$10))),NA()),NA())</f>
        <v/>
      </c>
      <c r="F2636" s="32">
        <f>IFERROR(IF(ISNUMBER($A2636),IF(AND(AH!$U$12=1,2631+1=AH!$U$6),IF(AH!$U$4=0,"unavailable",INDEX('Market Data'!$AO$5:$AO$66,AH!$U$4)),IF(AH!$U$5=1,INDEX('Live History'!$E$5:$E$3004,MATCH($A2636,'Live History'!$D$5:$D$3004,1)),INDEX('AH History'!$D$5:$GG$1380,$K2636,AH!$U$10+1))),NA()),NA())</f>
        <v/>
      </c>
      <c r="G2636" s="34">
        <f>IFERROR(IF(ISNUMBER($A2636),IF(AND(AH!$U$12=1,2631+1=AH!$U$6),IF(AH!$U$4=0,"unavailable",INDEX('Market Data'!$AK$5:$AK$66,AH!$U$4)),IF(AH!$U$5=1,INDEX('Live History'!$D$5:$D$3004,MATCH($A2636,'Live History'!$D$5:$D$3004,1)),INDEX('AH History'!$D$5:$GG$1380,$K2636,AH!$U$10+2))),NA()),NA())</f>
        <v/>
      </c>
      <c r="H2636" s="266">
        <f>IFERROR(IF(ISNUMBER($A2636),IF(AND(AH!$U$12=1,2631+1=AH!$U$6),IF(AH!$U$4=0,"unavailable",INDEX('Market Data'!$AP$5:$AP$66,AH!$U$4)),IF(AH!$U$5=1,INDEX('Live History'!$H$5:$H$3004,MATCH($A2636,'Live History'!$G$5:$G$3004,1)),INDEX('AH History'!$B$5:$B$1380,$K2636))),NA()),NA())</f>
        <v/>
      </c>
      <c r="I2636" s="34">
        <f>IFERROR(IF(ISNUMBER($A2636),IF(AND(AH!$U$12=1,2631+1=AH!$U$6),TODAY(),IF(AH!$U$5=1,INDEX('Live History'!$G$5:$G$3004,MATCH($A2636,'Live History'!$G$5:$G$3004,1)),INDEX('AH History'!$C$5:$C$1380,$K2636))),NA()),NA())</f>
        <v/>
      </c>
      <c r="J2636" s="32">
        <f>IFERROR(IF(AND($F2636&gt;0,$H2636&gt;0,$A2636-$G2636&lt;=10,$A2636-$I2636&lt;=5,$G2636&gt;0,$I2636&gt;0),$F2636*$H2636,NA()),NA())</f>
        <v/>
      </c>
      <c r="K2636" s="15">
        <f>IF($A2636="","",IF(AH!$U$5=1,IFERROR(MATCH($A2636,'Live History'!$A$5:$A$3004,0),0),AH!$U$7+2631))</f>
        <v/>
      </c>
      <c r="L2636" s="15">
        <f>IF(ISNUMBER(A2636),TEXT(A2636,"dd-mmm-yy"),"")</f>
        <v/>
      </c>
    </row>
    <row r="2637">
      <c r="A2637" s="14">
        <f>IF(OR(AH!$U$4=0,2632+1&gt;AH!$U$6,AND(AH!$M$5="Bloomberg",AH!$U$5=0)),"",IFERROR(IF(AND(AH!$U$12=1,2632+1=AH!$U$6),TODAY(),IF(AH!$U$5=1,INDEX('Live History'!$A$5:$A$3004,AH!$U$7+2632),INDEX('AH History'!$A$5:$A$1380,AH!$U$7+2632))),""))</f>
        <v/>
      </c>
      <c r="B2637" s="33">
        <f>IFERROR(IF(AH!$U$11=1,NA(),$J2637/$E2637-1),NA())</f>
        <v/>
      </c>
      <c r="C2637" s="269">
        <f>IFERROR(100*$E2637/$E$5,NA())</f>
        <v/>
      </c>
      <c r="D2637" s="269">
        <f>IFERROR(100*$J2637/$J$5,NA())</f>
        <v/>
      </c>
      <c r="E2637" s="32">
        <f>IFERROR(IF(AND(ISNUMBER($A2637),N(IF(AND(AH!$U$12=1,2632+1=AH!$U$6),IF(AH!$U$4=0,"unavailable",INDEX('Market Data'!$AN$5:$AN$66,AH!$U$4)),IF(AH!$U$5=1,INDEX('Live History'!$B$5:$B$3004,$K2637),INDEX('AH History'!$D$5:$GG$1380,$K2637,AH!$U$10))))&gt;0),IF(AND(AH!$U$12=1,2632+1=AH!$U$6),IF(AH!$U$4=0,"unavailable",INDEX('Market Data'!$AN$5:$AN$66,AH!$U$4)),IF(AH!$U$5=1,INDEX('Live History'!$B$5:$B$3004,$K2637),INDEX('AH History'!$D$5:$GG$1380,$K2637,AH!$U$10))),NA()),NA())</f>
        <v/>
      </c>
      <c r="F2637" s="32">
        <f>IFERROR(IF(ISNUMBER($A2637),IF(AND(AH!$U$12=1,2632+1=AH!$U$6),IF(AH!$U$4=0,"unavailable",INDEX('Market Data'!$AO$5:$AO$66,AH!$U$4)),IF(AH!$U$5=1,INDEX('Live History'!$E$5:$E$3004,MATCH($A2637,'Live History'!$D$5:$D$3004,1)),INDEX('AH History'!$D$5:$GG$1380,$K2637,AH!$U$10+1))),NA()),NA())</f>
        <v/>
      </c>
      <c r="G2637" s="34">
        <f>IFERROR(IF(ISNUMBER($A2637),IF(AND(AH!$U$12=1,2632+1=AH!$U$6),IF(AH!$U$4=0,"unavailable",INDEX('Market Data'!$AK$5:$AK$66,AH!$U$4)),IF(AH!$U$5=1,INDEX('Live History'!$D$5:$D$3004,MATCH($A2637,'Live History'!$D$5:$D$3004,1)),INDEX('AH History'!$D$5:$GG$1380,$K2637,AH!$U$10+2))),NA()),NA())</f>
        <v/>
      </c>
      <c r="H2637" s="266">
        <f>IFERROR(IF(ISNUMBER($A2637),IF(AND(AH!$U$12=1,2632+1=AH!$U$6),IF(AH!$U$4=0,"unavailable",INDEX('Market Data'!$AP$5:$AP$66,AH!$U$4)),IF(AH!$U$5=1,INDEX('Live History'!$H$5:$H$3004,MATCH($A2637,'Live History'!$G$5:$G$3004,1)),INDEX('AH History'!$B$5:$B$1380,$K2637))),NA()),NA())</f>
        <v/>
      </c>
      <c r="I2637" s="34">
        <f>IFERROR(IF(ISNUMBER($A2637),IF(AND(AH!$U$12=1,2632+1=AH!$U$6),TODAY(),IF(AH!$U$5=1,INDEX('Live History'!$G$5:$G$3004,MATCH($A2637,'Live History'!$G$5:$G$3004,1)),INDEX('AH History'!$C$5:$C$1380,$K2637))),NA()),NA())</f>
        <v/>
      </c>
      <c r="J2637" s="32">
        <f>IFERROR(IF(AND($F2637&gt;0,$H2637&gt;0,$A2637-$G2637&lt;=10,$A2637-$I2637&lt;=5,$G2637&gt;0,$I2637&gt;0),$F2637*$H2637,NA()),NA())</f>
        <v/>
      </c>
      <c r="K2637" s="15">
        <f>IF($A2637="","",IF(AH!$U$5=1,IFERROR(MATCH($A2637,'Live History'!$A$5:$A$3004,0),0),AH!$U$7+2632))</f>
        <v/>
      </c>
      <c r="L2637" s="15">
        <f>IF(ISNUMBER(A2637),TEXT(A2637,"dd-mmm-yy"),"")</f>
        <v/>
      </c>
    </row>
    <row r="2638">
      <c r="A2638" s="14">
        <f>IF(OR(AH!$U$4=0,2633+1&gt;AH!$U$6,AND(AH!$M$5="Bloomberg",AH!$U$5=0)),"",IFERROR(IF(AND(AH!$U$12=1,2633+1=AH!$U$6),TODAY(),IF(AH!$U$5=1,INDEX('Live History'!$A$5:$A$3004,AH!$U$7+2633),INDEX('AH History'!$A$5:$A$1380,AH!$U$7+2633))),""))</f>
        <v/>
      </c>
      <c r="B2638" s="33">
        <f>IFERROR(IF(AH!$U$11=1,NA(),$J2638/$E2638-1),NA())</f>
        <v/>
      </c>
      <c r="C2638" s="269">
        <f>IFERROR(100*$E2638/$E$5,NA())</f>
        <v/>
      </c>
      <c r="D2638" s="269">
        <f>IFERROR(100*$J2638/$J$5,NA())</f>
        <v/>
      </c>
      <c r="E2638" s="32">
        <f>IFERROR(IF(AND(ISNUMBER($A2638),N(IF(AND(AH!$U$12=1,2633+1=AH!$U$6),IF(AH!$U$4=0,"unavailable",INDEX('Market Data'!$AN$5:$AN$66,AH!$U$4)),IF(AH!$U$5=1,INDEX('Live History'!$B$5:$B$3004,$K2638),INDEX('AH History'!$D$5:$GG$1380,$K2638,AH!$U$10))))&gt;0),IF(AND(AH!$U$12=1,2633+1=AH!$U$6),IF(AH!$U$4=0,"unavailable",INDEX('Market Data'!$AN$5:$AN$66,AH!$U$4)),IF(AH!$U$5=1,INDEX('Live History'!$B$5:$B$3004,$K2638),INDEX('AH History'!$D$5:$GG$1380,$K2638,AH!$U$10))),NA()),NA())</f>
        <v/>
      </c>
      <c r="F2638" s="32">
        <f>IFERROR(IF(ISNUMBER($A2638),IF(AND(AH!$U$12=1,2633+1=AH!$U$6),IF(AH!$U$4=0,"unavailable",INDEX('Market Data'!$AO$5:$AO$66,AH!$U$4)),IF(AH!$U$5=1,INDEX('Live History'!$E$5:$E$3004,MATCH($A2638,'Live History'!$D$5:$D$3004,1)),INDEX('AH History'!$D$5:$GG$1380,$K2638,AH!$U$10+1))),NA()),NA())</f>
        <v/>
      </c>
      <c r="G2638" s="34">
        <f>IFERROR(IF(ISNUMBER($A2638),IF(AND(AH!$U$12=1,2633+1=AH!$U$6),IF(AH!$U$4=0,"unavailable",INDEX('Market Data'!$AK$5:$AK$66,AH!$U$4)),IF(AH!$U$5=1,INDEX('Live History'!$D$5:$D$3004,MATCH($A2638,'Live History'!$D$5:$D$3004,1)),INDEX('AH History'!$D$5:$GG$1380,$K2638,AH!$U$10+2))),NA()),NA())</f>
        <v/>
      </c>
      <c r="H2638" s="266">
        <f>IFERROR(IF(ISNUMBER($A2638),IF(AND(AH!$U$12=1,2633+1=AH!$U$6),IF(AH!$U$4=0,"unavailable",INDEX('Market Data'!$AP$5:$AP$66,AH!$U$4)),IF(AH!$U$5=1,INDEX('Live History'!$H$5:$H$3004,MATCH($A2638,'Live History'!$G$5:$G$3004,1)),INDEX('AH History'!$B$5:$B$1380,$K2638))),NA()),NA())</f>
        <v/>
      </c>
      <c r="I2638" s="34">
        <f>IFERROR(IF(ISNUMBER($A2638),IF(AND(AH!$U$12=1,2633+1=AH!$U$6),TODAY(),IF(AH!$U$5=1,INDEX('Live History'!$G$5:$G$3004,MATCH($A2638,'Live History'!$G$5:$G$3004,1)),INDEX('AH History'!$C$5:$C$1380,$K2638))),NA()),NA())</f>
        <v/>
      </c>
      <c r="J2638" s="32">
        <f>IFERROR(IF(AND($F2638&gt;0,$H2638&gt;0,$A2638-$G2638&lt;=10,$A2638-$I2638&lt;=5,$G2638&gt;0,$I2638&gt;0),$F2638*$H2638,NA()),NA())</f>
        <v/>
      </c>
      <c r="K2638" s="15">
        <f>IF($A2638="","",IF(AH!$U$5=1,IFERROR(MATCH($A2638,'Live History'!$A$5:$A$3004,0),0),AH!$U$7+2633))</f>
        <v/>
      </c>
      <c r="L2638" s="15">
        <f>IF(ISNUMBER(A2638),TEXT(A2638,"dd-mmm-yy"),"")</f>
        <v/>
      </c>
    </row>
    <row r="2639">
      <c r="A2639" s="14">
        <f>IF(OR(AH!$U$4=0,2634+1&gt;AH!$U$6,AND(AH!$M$5="Bloomberg",AH!$U$5=0)),"",IFERROR(IF(AND(AH!$U$12=1,2634+1=AH!$U$6),TODAY(),IF(AH!$U$5=1,INDEX('Live History'!$A$5:$A$3004,AH!$U$7+2634),INDEX('AH History'!$A$5:$A$1380,AH!$U$7+2634))),""))</f>
        <v/>
      </c>
      <c r="B2639" s="33">
        <f>IFERROR(IF(AH!$U$11=1,NA(),$J2639/$E2639-1),NA())</f>
        <v/>
      </c>
      <c r="C2639" s="269">
        <f>IFERROR(100*$E2639/$E$5,NA())</f>
        <v/>
      </c>
      <c r="D2639" s="269">
        <f>IFERROR(100*$J2639/$J$5,NA())</f>
        <v/>
      </c>
      <c r="E2639" s="32">
        <f>IFERROR(IF(AND(ISNUMBER($A2639),N(IF(AND(AH!$U$12=1,2634+1=AH!$U$6),IF(AH!$U$4=0,"unavailable",INDEX('Market Data'!$AN$5:$AN$66,AH!$U$4)),IF(AH!$U$5=1,INDEX('Live History'!$B$5:$B$3004,$K2639),INDEX('AH History'!$D$5:$GG$1380,$K2639,AH!$U$10))))&gt;0),IF(AND(AH!$U$12=1,2634+1=AH!$U$6),IF(AH!$U$4=0,"unavailable",INDEX('Market Data'!$AN$5:$AN$66,AH!$U$4)),IF(AH!$U$5=1,INDEX('Live History'!$B$5:$B$3004,$K2639),INDEX('AH History'!$D$5:$GG$1380,$K2639,AH!$U$10))),NA()),NA())</f>
        <v/>
      </c>
      <c r="F2639" s="32">
        <f>IFERROR(IF(ISNUMBER($A2639),IF(AND(AH!$U$12=1,2634+1=AH!$U$6),IF(AH!$U$4=0,"unavailable",INDEX('Market Data'!$AO$5:$AO$66,AH!$U$4)),IF(AH!$U$5=1,INDEX('Live History'!$E$5:$E$3004,MATCH($A2639,'Live History'!$D$5:$D$3004,1)),INDEX('AH History'!$D$5:$GG$1380,$K2639,AH!$U$10+1))),NA()),NA())</f>
        <v/>
      </c>
      <c r="G2639" s="34">
        <f>IFERROR(IF(ISNUMBER($A2639),IF(AND(AH!$U$12=1,2634+1=AH!$U$6),IF(AH!$U$4=0,"unavailable",INDEX('Market Data'!$AK$5:$AK$66,AH!$U$4)),IF(AH!$U$5=1,INDEX('Live History'!$D$5:$D$3004,MATCH($A2639,'Live History'!$D$5:$D$3004,1)),INDEX('AH History'!$D$5:$GG$1380,$K2639,AH!$U$10+2))),NA()),NA())</f>
        <v/>
      </c>
      <c r="H2639" s="266">
        <f>IFERROR(IF(ISNUMBER($A2639),IF(AND(AH!$U$12=1,2634+1=AH!$U$6),IF(AH!$U$4=0,"unavailable",INDEX('Market Data'!$AP$5:$AP$66,AH!$U$4)),IF(AH!$U$5=1,INDEX('Live History'!$H$5:$H$3004,MATCH($A2639,'Live History'!$G$5:$G$3004,1)),INDEX('AH History'!$B$5:$B$1380,$K2639))),NA()),NA())</f>
        <v/>
      </c>
      <c r="I2639" s="34">
        <f>IFERROR(IF(ISNUMBER($A2639),IF(AND(AH!$U$12=1,2634+1=AH!$U$6),TODAY(),IF(AH!$U$5=1,INDEX('Live History'!$G$5:$G$3004,MATCH($A2639,'Live History'!$G$5:$G$3004,1)),INDEX('AH History'!$C$5:$C$1380,$K2639))),NA()),NA())</f>
        <v/>
      </c>
      <c r="J2639" s="32">
        <f>IFERROR(IF(AND($F2639&gt;0,$H2639&gt;0,$A2639-$G2639&lt;=10,$A2639-$I2639&lt;=5,$G2639&gt;0,$I2639&gt;0),$F2639*$H2639,NA()),NA())</f>
        <v/>
      </c>
      <c r="K2639" s="15">
        <f>IF($A2639="","",IF(AH!$U$5=1,IFERROR(MATCH($A2639,'Live History'!$A$5:$A$3004,0),0),AH!$U$7+2634))</f>
        <v/>
      </c>
      <c r="L2639" s="15">
        <f>IF(ISNUMBER(A2639),TEXT(A2639,"dd-mmm-yy"),"")</f>
        <v/>
      </c>
    </row>
    <row r="2640">
      <c r="A2640" s="14">
        <f>IF(OR(AH!$U$4=0,2635+1&gt;AH!$U$6,AND(AH!$M$5="Bloomberg",AH!$U$5=0)),"",IFERROR(IF(AND(AH!$U$12=1,2635+1=AH!$U$6),TODAY(),IF(AH!$U$5=1,INDEX('Live History'!$A$5:$A$3004,AH!$U$7+2635),INDEX('AH History'!$A$5:$A$1380,AH!$U$7+2635))),""))</f>
        <v/>
      </c>
      <c r="B2640" s="33">
        <f>IFERROR(IF(AH!$U$11=1,NA(),$J2640/$E2640-1),NA())</f>
        <v/>
      </c>
      <c r="C2640" s="269">
        <f>IFERROR(100*$E2640/$E$5,NA())</f>
        <v/>
      </c>
      <c r="D2640" s="269">
        <f>IFERROR(100*$J2640/$J$5,NA())</f>
        <v/>
      </c>
      <c r="E2640" s="32">
        <f>IFERROR(IF(AND(ISNUMBER($A2640),N(IF(AND(AH!$U$12=1,2635+1=AH!$U$6),IF(AH!$U$4=0,"unavailable",INDEX('Market Data'!$AN$5:$AN$66,AH!$U$4)),IF(AH!$U$5=1,INDEX('Live History'!$B$5:$B$3004,$K2640),INDEX('AH History'!$D$5:$GG$1380,$K2640,AH!$U$10))))&gt;0),IF(AND(AH!$U$12=1,2635+1=AH!$U$6),IF(AH!$U$4=0,"unavailable",INDEX('Market Data'!$AN$5:$AN$66,AH!$U$4)),IF(AH!$U$5=1,INDEX('Live History'!$B$5:$B$3004,$K2640),INDEX('AH History'!$D$5:$GG$1380,$K2640,AH!$U$10))),NA()),NA())</f>
        <v/>
      </c>
      <c r="F2640" s="32">
        <f>IFERROR(IF(ISNUMBER($A2640),IF(AND(AH!$U$12=1,2635+1=AH!$U$6),IF(AH!$U$4=0,"unavailable",INDEX('Market Data'!$AO$5:$AO$66,AH!$U$4)),IF(AH!$U$5=1,INDEX('Live History'!$E$5:$E$3004,MATCH($A2640,'Live History'!$D$5:$D$3004,1)),INDEX('AH History'!$D$5:$GG$1380,$K2640,AH!$U$10+1))),NA()),NA())</f>
        <v/>
      </c>
      <c r="G2640" s="34">
        <f>IFERROR(IF(ISNUMBER($A2640),IF(AND(AH!$U$12=1,2635+1=AH!$U$6),IF(AH!$U$4=0,"unavailable",INDEX('Market Data'!$AK$5:$AK$66,AH!$U$4)),IF(AH!$U$5=1,INDEX('Live History'!$D$5:$D$3004,MATCH($A2640,'Live History'!$D$5:$D$3004,1)),INDEX('AH History'!$D$5:$GG$1380,$K2640,AH!$U$10+2))),NA()),NA())</f>
        <v/>
      </c>
      <c r="H2640" s="266">
        <f>IFERROR(IF(ISNUMBER($A2640),IF(AND(AH!$U$12=1,2635+1=AH!$U$6),IF(AH!$U$4=0,"unavailable",INDEX('Market Data'!$AP$5:$AP$66,AH!$U$4)),IF(AH!$U$5=1,INDEX('Live History'!$H$5:$H$3004,MATCH($A2640,'Live History'!$G$5:$G$3004,1)),INDEX('AH History'!$B$5:$B$1380,$K2640))),NA()),NA())</f>
        <v/>
      </c>
      <c r="I2640" s="34">
        <f>IFERROR(IF(ISNUMBER($A2640),IF(AND(AH!$U$12=1,2635+1=AH!$U$6),TODAY(),IF(AH!$U$5=1,INDEX('Live History'!$G$5:$G$3004,MATCH($A2640,'Live History'!$G$5:$G$3004,1)),INDEX('AH History'!$C$5:$C$1380,$K2640))),NA()),NA())</f>
        <v/>
      </c>
      <c r="J2640" s="32">
        <f>IFERROR(IF(AND($F2640&gt;0,$H2640&gt;0,$A2640-$G2640&lt;=10,$A2640-$I2640&lt;=5,$G2640&gt;0,$I2640&gt;0),$F2640*$H2640,NA()),NA())</f>
        <v/>
      </c>
      <c r="K2640" s="15">
        <f>IF($A2640="","",IF(AH!$U$5=1,IFERROR(MATCH($A2640,'Live History'!$A$5:$A$3004,0),0),AH!$U$7+2635))</f>
        <v/>
      </c>
      <c r="L2640" s="15">
        <f>IF(ISNUMBER(A2640),TEXT(A2640,"dd-mmm-yy"),"")</f>
        <v/>
      </c>
    </row>
    <row r="2641">
      <c r="A2641" s="14">
        <f>IF(OR(AH!$U$4=0,2636+1&gt;AH!$U$6,AND(AH!$M$5="Bloomberg",AH!$U$5=0)),"",IFERROR(IF(AND(AH!$U$12=1,2636+1=AH!$U$6),TODAY(),IF(AH!$U$5=1,INDEX('Live History'!$A$5:$A$3004,AH!$U$7+2636),INDEX('AH History'!$A$5:$A$1380,AH!$U$7+2636))),""))</f>
        <v/>
      </c>
      <c r="B2641" s="33">
        <f>IFERROR(IF(AH!$U$11=1,NA(),$J2641/$E2641-1),NA())</f>
        <v/>
      </c>
      <c r="C2641" s="269">
        <f>IFERROR(100*$E2641/$E$5,NA())</f>
        <v/>
      </c>
      <c r="D2641" s="269">
        <f>IFERROR(100*$J2641/$J$5,NA())</f>
        <v/>
      </c>
      <c r="E2641" s="32">
        <f>IFERROR(IF(AND(ISNUMBER($A2641),N(IF(AND(AH!$U$12=1,2636+1=AH!$U$6),IF(AH!$U$4=0,"unavailable",INDEX('Market Data'!$AN$5:$AN$66,AH!$U$4)),IF(AH!$U$5=1,INDEX('Live History'!$B$5:$B$3004,$K2641),INDEX('AH History'!$D$5:$GG$1380,$K2641,AH!$U$10))))&gt;0),IF(AND(AH!$U$12=1,2636+1=AH!$U$6),IF(AH!$U$4=0,"unavailable",INDEX('Market Data'!$AN$5:$AN$66,AH!$U$4)),IF(AH!$U$5=1,INDEX('Live History'!$B$5:$B$3004,$K2641),INDEX('AH History'!$D$5:$GG$1380,$K2641,AH!$U$10))),NA()),NA())</f>
        <v/>
      </c>
      <c r="F2641" s="32">
        <f>IFERROR(IF(ISNUMBER($A2641),IF(AND(AH!$U$12=1,2636+1=AH!$U$6),IF(AH!$U$4=0,"unavailable",INDEX('Market Data'!$AO$5:$AO$66,AH!$U$4)),IF(AH!$U$5=1,INDEX('Live History'!$E$5:$E$3004,MATCH($A2641,'Live History'!$D$5:$D$3004,1)),INDEX('AH History'!$D$5:$GG$1380,$K2641,AH!$U$10+1))),NA()),NA())</f>
        <v/>
      </c>
      <c r="G2641" s="34">
        <f>IFERROR(IF(ISNUMBER($A2641),IF(AND(AH!$U$12=1,2636+1=AH!$U$6),IF(AH!$U$4=0,"unavailable",INDEX('Market Data'!$AK$5:$AK$66,AH!$U$4)),IF(AH!$U$5=1,INDEX('Live History'!$D$5:$D$3004,MATCH($A2641,'Live History'!$D$5:$D$3004,1)),INDEX('AH History'!$D$5:$GG$1380,$K2641,AH!$U$10+2))),NA()),NA())</f>
        <v/>
      </c>
      <c r="H2641" s="266">
        <f>IFERROR(IF(ISNUMBER($A2641),IF(AND(AH!$U$12=1,2636+1=AH!$U$6),IF(AH!$U$4=0,"unavailable",INDEX('Market Data'!$AP$5:$AP$66,AH!$U$4)),IF(AH!$U$5=1,INDEX('Live History'!$H$5:$H$3004,MATCH($A2641,'Live History'!$G$5:$G$3004,1)),INDEX('AH History'!$B$5:$B$1380,$K2641))),NA()),NA())</f>
        <v/>
      </c>
      <c r="I2641" s="34">
        <f>IFERROR(IF(ISNUMBER($A2641),IF(AND(AH!$U$12=1,2636+1=AH!$U$6),TODAY(),IF(AH!$U$5=1,INDEX('Live History'!$G$5:$G$3004,MATCH($A2641,'Live History'!$G$5:$G$3004,1)),INDEX('AH History'!$C$5:$C$1380,$K2641))),NA()),NA())</f>
        <v/>
      </c>
      <c r="J2641" s="32">
        <f>IFERROR(IF(AND($F2641&gt;0,$H2641&gt;0,$A2641-$G2641&lt;=10,$A2641-$I2641&lt;=5,$G2641&gt;0,$I2641&gt;0),$F2641*$H2641,NA()),NA())</f>
        <v/>
      </c>
      <c r="K2641" s="15">
        <f>IF($A2641="","",IF(AH!$U$5=1,IFERROR(MATCH($A2641,'Live History'!$A$5:$A$3004,0),0),AH!$U$7+2636))</f>
        <v/>
      </c>
      <c r="L2641" s="15">
        <f>IF(ISNUMBER(A2641),TEXT(A2641,"dd-mmm-yy"),"")</f>
        <v/>
      </c>
    </row>
    <row r="2642">
      <c r="A2642" s="14">
        <f>IF(OR(AH!$U$4=0,2637+1&gt;AH!$U$6,AND(AH!$M$5="Bloomberg",AH!$U$5=0)),"",IFERROR(IF(AND(AH!$U$12=1,2637+1=AH!$U$6),TODAY(),IF(AH!$U$5=1,INDEX('Live History'!$A$5:$A$3004,AH!$U$7+2637),INDEX('AH History'!$A$5:$A$1380,AH!$U$7+2637))),""))</f>
        <v/>
      </c>
      <c r="B2642" s="33">
        <f>IFERROR(IF(AH!$U$11=1,NA(),$J2642/$E2642-1),NA())</f>
        <v/>
      </c>
      <c r="C2642" s="269">
        <f>IFERROR(100*$E2642/$E$5,NA())</f>
        <v/>
      </c>
      <c r="D2642" s="269">
        <f>IFERROR(100*$J2642/$J$5,NA())</f>
        <v/>
      </c>
      <c r="E2642" s="32">
        <f>IFERROR(IF(AND(ISNUMBER($A2642),N(IF(AND(AH!$U$12=1,2637+1=AH!$U$6),IF(AH!$U$4=0,"unavailable",INDEX('Market Data'!$AN$5:$AN$66,AH!$U$4)),IF(AH!$U$5=1,INDEX('Live History'!$B$5:$B$3004,$K2642),INDEX('AH History'!$D$5:$GG$1380,$K2642,AH!$U$10))))&gt;0),IF(AND(AH!$U$12=1,2637+1=AH!$U$6),IF(AH!$U$4=0,"unavailable",INDEX('Market Data'!$AN$5:$AN$66,AH!$U$4)),IF(AH!$U$5=1,INDEX('Live History'!$B$5:$B$3004,$K2642),INDEX('AH History'!$D$5:$GG$1380,$K2642,AH!$U$10))),NA()),NA())</f>
        <v/>
      </c>
      <c r="F2642" s="32">
        <f>IFERROR(IF(ISNUMBER($A2642),IF(AND(AH!$U$12=1,2637+1=AH!$U$6),IF(AH!$U$4=0,"unavailable",INDEX('Market Data'!$AO$5:$AO$66,AH!$U$4)),IF(AH!$U$5=1,INDEX('Live History'!$E$5:$E$3004,MATCH($A2642,'Live History'!$D$5:$D$3004,1)),INDEX('AH History'!$D$5:$GG$1380,$K2642,AH!$U$10+1))),NA()),NA())</f>
        <v/>
      </c>
      <c r="G2642" s="34">
        <f>IFERROR(IF(ISNUMBER($A2642),IF(AND(AH!$U$12=1,2637+1=AH!$U$6),IF(AH!$U$4=0,"unavailable",INDEX('Market Data'!$AK$5:$AK$66,AH!$U$4)),IF(AH!$U$5=1,INDEX('Live History'!$D$5:$D$3004,MATCH($A2642,'Live History'!$D$5:$D$3004,1)),INDEX('AH History'!$D$5:$GG$1380,$K2642,AH!$U$10+2))),NA()),NA())</f>
        <v/>
      </c>
      <c r="H2642" s="266">
        <f>IFERROR(IF(ISNUMBER($A2642),IF(AND(AH!$U$12=1,2637+1=AH!$U$6),IF(AH!$U$4=0,"unavailable",INDEX('Market Data'!$AP$5:$AP$66,AH!$U$4)),IF(AH!$U$5=1,INDEX('Live History'!$H$5:$H$3004,MATCH($A2642,'Live History'!$G$5:$G$3004,1)),INDEX('AH History'!$B$5:$B$1380,$K2642))),NA()),NA())</f>
        <v/>
      </c>
      <c r="I2642" s="34">
        <f>IFERROR(IF(ISNUMBER($A2642),IF(AND(AH!$U$12=1,2637+1=AH!$U$6),TODAY(),IF(AH!$U$5=1,INDEX('Live History'!$G$5:$G$3004,MATCH($A2642,'Live History'!$G$5:$G$3004,1)),INDEX('AH History'!$C$5:$C$1380,$K2642))),NA()),NA())</f>
        <v/>
      </c>
      <c r="J2642" s="32">
        <f>IFERROR(IF(AND($F2642&gt;0,$H2642&gt;0,$A2642-$G2642&lt;=10,$A2642-$I2642&lt;=5,$G2642&gt;0,$I2642&gt;0),$F2642*$H2642,NA()),NA())</f>
        <v/>
      </c>
      <c r="K2642" s="15">
        <f>IF($A2642="","",IF(AH!$U$5=1,IFERROR(MATCH($A2642,'Live History'!$A$5:$A$3004,0),0),AH!$U$7+2637))</f>
        <v/>
      </c>
      <c r="L2642" s="15">
        <f>IF(ISNUMBER(A2642),TEXT(A2642,"dd-mmm-yy"),"")</f>
        <v/>
      </c>
    </row>
    <row r="2643">
      <c r="A2643" s="14">
        <f>IF(OR(AH!$U$4=0,2638+1&gt;AH!$U$6,AND(AH!$M$5="Bloomberg",AH!$U$5=0)),"",IFERROR(IF(AND(AH!$U$12=1,2638+1=AH!$U$6),TODAY(),IF(AH!$U$5=1,INDEX('Live History'!$A$5:$A$3004,AH!$U$7+2638),INDEX('AH History'!$A$5:$A$1380,AH!$U$7+2638))),""))</f>
        <v/>
      </c>
      <c r="B2643" s="33">
        <f>IFERROR(IF(AH!$U$11=1,NA(),$J2643/$E2643-1),NA())</f>
        <v/>
      </c>
      <c r="C2643" s="269">
        <f>IFERROR(100*$E2643/$E$5,NA())</f>
        <v/>
      </c>
      <c r="D2643" s="269">
        <f>IFERROR(100*$J2643/$J$5,NA())</f>
        <v/>
      </c>
      <c r="E2643" s="32">
        <f>IFERROR(IF(AND(ISNUMBER($A2643),N(IF(AND(AH!$U$12=1,2638+1=AH!$U$6),IF(AH!$U$4=0,"unavailable",INDEX('Market Data'!$AN$5:$AN$66,AH!$U$4)),IF(AH!$U$5=1,INDEX('Live History'!$B$5:$B$3004,$K2643),INDEX('AH History'!$D$5:$GG$1380,$K2643,AH!$U$10))))&gt;0),IF(AND(AH!$U$12=1,2638+1=AH!$U$6),IF(AH!$U$4=0,"unavailable",INDEX('Market Data'!$AN$5:$AN$66,AH!$U$4)),IF(AH!$U$5=1,INDEX('Live History'!$B$5:$B$3004,$K2643),INDEX('AH History'!$D$5:$GG$1380,$K2643,AH!$U$10))),NA()),NA())</f>
        <v/>
      </c>
      <c r="F2643" s="32">
        <f>IFERROR(IF(ISNUMBER($A2643),IF(AND(AH!$U$12=1,2638+1=AH!$U$6),IF(AH!$U$4=0,"unavailable",INDEX('Market Data'!$AO$5:$AO$66,AH!$U$4)),IF(AH!$U$5=1,INDEX('Live History'!$E$5:$E$3004,MATCH($A2643,'Live History'!$D$5:$D$3004,1)),INDEX('AH History'!$D$5:$GG$1380,$K2643,AH!$U$10+1))),NA()),NA())</f>
        <v/>
      </c>
      <c r="G2643" s="34">
        <f>IFERROR(IF(ISNUMBER($A2643),IF(AND(AH!$U$12=1,2638+1=AH!$U$6),IF(AH!$U$4=0,"unavailable",INDEX('Market Data'!$AK$5:$AK$66,AH!$U$4)),IF(AH!$U$5=1,INDEX('Live History'!$D$5:$D$3004,MATCH($A2643,'Live History'!$D$5:$D$3004,1)),INDEX('AH History'!$D$5:$GG$1380,$K2643,AH!$U$10+2))),NA()),NA())</f>
        <v/>
      </c>
      <c r="H2643" s="266">
        <f>IFERROR(IF(ISNUMBER($A2643),IF(AND(AH!$U$12=1,2638+1=AH!$U$6),IF(AH!$U$4=0,"unavailable",INDEX('Market Data'!$AP$5:$AP$66,AH!$U$4)),IF(AH!$U$5=1,INDEX('Live History'!$H$5:$H$3004,MATCH($A2643,'Live History'!$G$5:$G$3004,1)),INDEX('AH History'!$B$5:$B$1380,$K2643))),NA()),NA())</f>
        <v/>
      </c>
      <c r="I2643" s="34">
        <f>IFERROR(IF(ISNUMBER($A2643),IF(AND(AH!$U$12=1,2638+1=AH!$U$6),TODAY(),IF(AH!$U$5=1,INDEX('Live History'!$G$5:$G$3004,MATCH($A2643,'Live History'!$G$5:$G$3004,1)),INDEX('AH History'!$C$5:$C$1380,$K2643))),NA()),NA())</f>
        <v/>
      </c>
      <c r="J2643" s="32">
        <f>IFERROR(IF(AND($F2643&gt;0,$H2643&gt;0,$A2643-$G2643&lt;=10,$A2643-$I2643&lt;=5,$G2643&gt;0,$I2643&gt;0),$F2643*$H2643,NA()),NA())</f>
        <v/>
      </c>
      <c r="K2643" s="15">
        <f>IF($A2643="","",IF(AH!$U$5=1,IFERROR(MATCH($A2643,'Live History'!$A$5:$A$3004,0),0),AH!$U$7+2638))</f>
        <v/>
      </c>
      <c r="L2643" s="15">
        <f>IF(ISNUMBER(A2643),TEXT(A2643,"dd-mmm-yy"),"")</f>
        <v/>
      </c>
    </row>
    <row r="2644">
      <c r="A2644" s="14">
        <f>IF(OR(AH!$U$4=0,2639+1&gt;AH!$U$6,AND(AH!$M$5="Bloomberg",AH!$U$5=0)),"",IFERROR(IF(AND(AH!$U$12=1,2639+1=AH!$U$6),TODAY(),IF(AH!$U$5=1,INDEX('Live History'!$A$5:$A$3004,AH!$U$7+2639),INDEX('AH History'!$A$5:$A$1380,AH!$U$7+2639))),""))</f>
        <v/>
      </c>
      <c r="B2644" s="33">
        <f>IFERROR(IF(AH!$U$11=1,NA(),$J2644/$E2644-1),NA())</f>
        <v/>
      </c>
      <c r="C2644" s="269">
        <f>IFERROR(100*$E2644/$E$5,NA())</f>
        <v/>
      </c>
      <c r="D2644" s="269">
        <f>IFERROR(100*$J2644/$J$5,NA())</f>
        <v/>
      </c>
      <c r="E2644" s="32">
        <f>IFERROR(IF(AND(ISNUMBER($A2644),N(IF(AND(AH!$U$12=1,2639+1=AH!$U$6),IF(AH!$U$4=0,"unavailable",INDEX('Market Data'!$AN$5:$AN$66,AH!$U$4)),IF(AH!$U$5=1,INDEX('Live History'!$B$5:$B$3004,$K2644),INDEX('AH History'!$D$5:$GG$1380,$K2644,AH!$U$10))))&gt;0),IF(AND(AH!$U$12=1,2639+1=AH!$U$6),IF(AH!$U$4=0,"unavailable",INDEX('Market Data'!$AN$5:$AN$66,AH!$U$4)),IF(AH!$U$5=1,INDEX('Live History'!$B$5:$B$3004,$K2644),INDEX('AH History'!$D$5:$GG$1380,$K2644,AH!$U$10))),NA()),NA())</f>
        <v/>
      </c>
      <c r="F2644" s="32">
        <f>IFERROR(IF(ISNUMBER($A2644),IF(AND(AH!$U$12=1,2639+1=AH!$U$6),IF(AH!$U$4=0,"unavailable",INDEX('Market Data'!$AO$5:$AO$66,AH!$U$4)),IF(AH!$U$5=1,INDEX('Live History'!$E$5:$E$3004,MATCH($A2644,'Live History'!$D$5:$D$3004,1)),INDEX('AH History'!$D$5:$GG$1380,$K2644,AH!$U$10+1))),NA()),NA())</f>
        <v/>
      </c>
      <c r="G2644" s="34">
        <f>IFERROR(IF(ISNUMBER($A2644),IF(AND(AH!$U$12=1,2639+1=AH!$U$6),IF(AH!$U$4=0,"unavailable",INDEX('Market Data'!$AK$5:$AK$66,AH!$U$4)),IF(AH!$U$5=1,INDEX('Live History'!$D$5:$D$3004,MATCH($A2644,'Live History'!$D$5:$D$3004,1)),INDEX('AH History'!$D$5:$GG$1380,$K2644,AH!$U$10+2))),NA()),NA())</f>
        <v/>
      </c>
      <c r="H2644" s="266">
        <f>IFERROR(IF(ISNUMBER($A2644),IF(AND(AH!$U$12=1,2639+1=AH!$U$6),IF(AH!$U$4=0,"unavailable",INDEX('Market Data'!$AP$5:$AP$66,AH!$U$4)),IF(AH!$U$5=1,INDEX('Live History'!$H$5:$H$3004,MATCH($A2644,'Live History'!$G$5:$G$3004,1)),INDEX('AH History'!$B$5:$B$1380,$K2644))),NA()),NA())</f>
        <v/>
      </c>
      <c r="I2644" s="34">
        <f>IFERROR(IF(ISNUMBER($A2644),IF(AND(AH!$U$12=1,2639+1=AH!$U$6),TODAY(),IF(AH!$U$5=1,INDEX('Live History'!$G$5:$G$3004,MATCH($A2644,'Live History'!$G$5:$G$3004,1)),INDEX('AH History'!$C$5:$C$1380,$K2644))),NA()),NA())</f>
        <v/>
      </c>
      <c r="J2644" s="32">
        <f>IFERROR(IF(AND($F2644&gt;0,$H2644&gt;0,$A2644-$G2644&lt;=10,$A2644-$I2644&lt;=5,$G2644&gt;0,$I2644&gt;0),$F2644*$H2644,NA()),NA())</f>
        <v/>
      </c>
      <c r="K2644" s="15">
        <f>IF($A2644="","",IF(AH!$U$5=1,IFERROR(MATCH($A2644,'Live History'!$A$5:$A$3004,0),0),AH!$U$7+2639))</f>
        <v/>
      </c>
      <c r="L2644" s="15">
        <f>IF(ISNUMBER(A2644),TEXT(A2644,"dd-mmm-yy"),"")</f>
        <v/>
      </c>
    </row>
    <row r="2645">
      <c r="A2645" s="14">
        <f>IF(OR(AH!$U$4=0,2640+1&gt;AH!$U$6,AND(AH!$M$5="Bloomberg",AH!$U$5=0)),"",IFERROR(IF(AND(AH!$U$12=1,2640+1=AH!$U$6),TODAY(),IF(AH!$U$5=1,INDEX('Live History'!$A$5:$A$3004,AH!$U$7+2640),INDEX('AH History'!$A$5:$A$1380,AH!$U$7+2640))),""))</f>
        <v/>
      </c>
      <c r="B2645" s="33">
        <f>IFERROR(IF(AH!$U$11=1,NA(),$J2645/$E2645-1),NA())</f>
        <v/>
      </c>
      <c r="C2645" s="269">
        <f>IFERROR(100*$E2645/$E$5,NA())</f>
        <v/>
      </c>
      <c r="D2645" s="269">
        <f>IFERROR(100*$J2645/$J$5,NA())</f>
        <v/>
      </c>
      <c r="E2645" s="32">
        <f>IFERROR(IF(AND(ISNUMBER($A2645),N(IF(AND(AH!$U$12=1,2640+1=AH!$U$6),IF(AH!$U$4=0,"unavailable",INDEX('Market Data'!$AN$5:$AN$66,AH!$U$4)),IF(AH!$U$5=1,INDEX('Live History'!$B$5:$B$3004,$K2645),INDEX('AH History'!$D$5:$GG$1380,$K2645,AH!$U$10))))&gt;0),IF(AND(AH!$U$12=1,2640+1=AH!$U$6),IF(AH!$U$4=0,"unavailable",INDEX('Market Data'!$AN$5:$AN$66,AH!$U$4)),IF(AH!$U$5=1,INDEX('Live History'!$B$5:$B$3004,$K2645),INDEX('AH History'!$D$5:$GG$1380,$K2645,AH!$U$10))),NA()),NA())</f>
        <v/>
      </c>
      <c r="F2645" s="32">
        <f>IFERROR(IF(ISNUMBER($A2645),IF(AND(AH!$U$12=1,2640+1=AH!$U$6),IF(AH!$U$4=0,"unavailable",INDEX('Market Data'!$AO$5:$AO$66,AH!$U$4)),IF(AH!$U$5=1,INDEX('Live History'!$E$5:$E$3004,MATCH($A2645,'Live History'!$D$5:$D$3004,1)),INDEX('AH History'!$D$5:$GG$1380,$K2645,AH!$U$10+1))),NA()),NA())</f>
        <v/>
      </c>
      <c r="G2645" s="34">
        <f>IFERROR(IF(ISNUMBER($A2645),IF(AND(AH!$U$12=1,2640+1=AH!$U$6),IF(AH!$U$4=0,"unavailable",INDEX('Market Data'!$AK$5:$AK$66,AH!$U$4)),IF(AH!$U$5=1,INDEX('Live History'!$D$5:$D$3004,MATCH($A2645,'Live History'!$D$5:$D$3004,1)),INDEX('AH History'!$D$5:$GG$1380,$K2645,AH!$U$10+2))),NA()),NA())</f>
        <v/>
      </c>
      <c r="H2645" s="266">
        <f>IFERROR(IF(ISNUMBER($A2645),IF(AND(AH!$U$12=1,2640+1=AH!$U$6),IF(AH!$U$4=0,"unavailable",INDEX('Market Data'!$AP$5:$AP$66,AH!$U$4)),IF(AH!$U$5=1,INDEX('Live History'!$H$5:$H$3004,MATCH($A2645,'Live History'!$G$5:$G$3004,1)),INDEX('AH History'!$B$5:$B$1380,$K2645))),NA()),NA())</f>
        <v/>
      </c>
      <c r="I2645" s="34">
        <f>IFERROR(IF(ISNUMBER($A2645),IF(AND(AH!$U$12=1,2640+1=AH!$U$6),TODAY(),IF(AH!$U$5=1,INDEX('Live History'!$G$5:$G$3004,MATCH($A2645,'Live History'!$G$5:$G$3004,1)),INDEX('AH History'!$C$5:$C$1380,$K2645))),NA()),NA())</f>
        <v/>
      </c>
      <c r="J2645" s="32">
        <f>IFERROR(IF(AND($F2645&gt;0,$H2645&gt;0,$A2645-$G2645&lt;=10,$A2645-$I2645&lt;=5,$G2645&gt;0,$I2645&gt;0),$F2645*$H2645,NA()),NA())</f>
        <v/>
      </c>
      <c r="K2645" s="15">
        <f>IF($A2645="","",IF(AH!$U$5=1,IFERROR(MATCH($A2645,'Live History'!$A$5:$A$3004,0),0),AH!$U$7+2640))</f>
        <v/>
      </c>
      <c r="L2645" s="15">
        <f>IF(ISNUMBER(A2645),TEXT(A2645,"dd-mmm-yy"),"")</f>
        <v/>
      </c>
    </row>
    <row r="2646">
      <c r="A2646" s="14">
        <f>IF(OR(AH!$U$4=0,2641+1&gt;AH!$U$6,AND(AH!$M$5="Bloomberg",AH!$U$5=0)),"",IFERROR(IF(AND(AH!$U$12=1,2641+1=AH!$U$6),TODAY(),IF(AH!$U$5=1,INDEX('Live History'!$A$5:$A$3004,AH!$U$7+2641),INDEX('AH History'!$A$5:$A$1380,AH!$U$7+2641))),""))</f>
        <v/>
      </c>
      <c r="B2646" s="33">
        <f>IFERROR(IF(AH!$U$11=1,NA(),$J2646/$E2646-1),NA())</f>
        <v/>
      </c>
      <c r="C2646" s="269">
        <f>IFERROR(100*$E2646/$E$5,NA())</f>
        <v/>
      </c>
      <c r="D2646" s="269">
        <f>IFERROR(100*$J2646/$J$5,NA())</f>
        <v/>
      </c>
      <c r="E2646" s="32">
        <f>IFERROR(IF(AND(ISNUMBER($A2646),N(IF(AND(AH!$U$12=1,2641+1=AH!$U$6),IF(AH!$U$4=0,"unavailable",INDEX('Market Data'!$AN$5:$AN$66,AH!$U$4)),IF(AH!$U$5=1,INDEX('Live History'!$B$5:$B$3004,$K2646),INDEX('AH History'!$D$5:$GG$1380,$K2646,AH!$U$10))))&gt;0),IF(AND(AH!$U$12=1,2641+1=AH!$U$6),IF(AH!$U$4=0,"unavailable",INDEX('Market Data'!$AN$5:$AN$66,AH!$U$4)),IF(AH!$U$5=1,INDEX('Live History'!$B$5:$B$3004,$K2646),INDEX('AH History'!$D$5:$GG$1380,$K2646,AH!$U$10))),NA()),NA())</f>
        <v/>
      </c>
      <c r="F2646" s="32">
        <f>IFERROR(IF(ISNUMBER($A2646),IF(AND(AH!$U$12=1,2641+1=AH!$U$6),IF(AH!$U$4=0,"unavailable",INDEX('Market Data'!$AO$5:$AO$66,AH!$U$4)),IF(AH!$U$5=1,INDEX('Live History'!$E$5:$E$3004,MATCH($A2646,'Live History'!$D$5:$D$3004,1)),INDEX('AH History'!$D$5:$GG$1380,$K2646,AH!$U$10+1))),NA()),NA())</f>
        <v/>
      </c>
      <c r="G2646" s="34">
        <f>IFERROR(IF(ISNUMBER($A2646),IF(AND(AH!$U$12=1,2641+1=AH!$U$6),IF(AH!$U$4=0,"unavailable",INDEX('Market Data'!$AK$5:$AK$66,AH!$U$4)),IF(AH!$U$5=1,INDEX('Live History'!$D$5:$D$3004,MATCH($A2646,'Live History'!$D$5:$D$3004,1)),INDEX('AH History'!$D$5:$GG$1380,$K2646,AH!$U$10+2))),NA()),NA())</f>
        <v/>
      </c>
      <c r="H2646" s="266">
        <f>IFERROR(IF(ISNUMBER($A2646),IF(AND(AH!$U$12=1,2641+1=AH!$U$6),IF(AH!$U$4=0,"unavailable",INDEX('Market Data'!$AP$5:$AP$66,AH!$U$4)),IF(AH!$U$5=1,INDEX('Live History'!$H$5:$H$3004,MATCH($A2646,'Live History'!$G$5:$G$3004,1)),INDEX('AH History'!$B$5:$B$1380,$K2646))),NA()),NA())</f>
        <v/>
      </c>
      <c r="I2646" s="34">
        <f>IFERROR(IF(ISNUMBER($A2646),IF(AND(AH!$U$12=1,2641+1=AH!$U$6),TODAY(),IF(AH!$U$5=1,INDEX('Live History'!$G$5:$G$3004,MATCH($A2646,'Live History'!$G$5:$G$3004,1)),INDEX('AH History'!$C$5:$C$1380,$K2646))),NA()),NA())</f>
        <v/>
      </c>
      <c r="J2646" s="32">
        <f>IFERROR(IF(AND($F2646&gt;0,$H2646&gt;0,$A2646-$G2646&lt;=10,$A2646-$I2646&lt;=5,$G2646&gt;0,$I2646&gt;0),$F2646*$H2646,NA()),NA())</f>
        <v/>
      </c>
      <c r="K2646" s="15">
        <f>IF($A2646="","",IF(AH!$U$5=1,IFERROR(MATCH($A2646,'Live History'!$A$5:$A$3004,0),0),AH!$U$7+2641))</f>
        <v/>
      </c>
      <c r="L2646" s="15">
        <f>IF(ISNUMBER(A2646),TEXT(A2646,"dd-mmm-yy"),"")</f>
        <v/>
      </c>
    </row>
    <row r="2647">
      <c r="A2647" s="14">
        <f>IF(OR(AH!$U$4=0,2642+1&gt;AH!$U$6,AND(AH!$M$5="Bloomberg",AH!$U$5=0)),"",IFERROR(IF(AND(AH!$U$12=1,2642+1=AH!$U$6),TODAY(),IF(AH!$U$5=1,INDEX('Live History'!$A$5:$A$3004,AH!$U$7+2642),INDEX('AH History'!$A$5:$A$1380,AH!$U$7+2642))),""))</f>
        <v/>
      </c>
      <c r="B2647" s="33">
        <f>IFERROR(IF(AH!$U$11=1,NA(),$J2647/$E2647-1),NA())</f>
        <v/>
      </c>
      <c r="C2647" s="269">
        <f>IFERROR(100*$E2647/$E$5,NA())</f>
        <v/>
      </c>
      <c r="D2647" s="269">
        <f>IFERROR(100*$J2647/$J$5,NA())</f>
        <v/>
      </c>
      <c r="E2647" s="32">
        <f>IFERROR(IF(AND(ISNUMBER($A2647),N(IF(AND(AH!$U$12=1,2642+1=AH!$U$6),IF(AH!$U$4=0,"unavailable",INDEX('Market Data'!$AN$5:$AN$66,AH!$U$4)),IF(AH!$U$5=1,INDEX('Live History'!$B$5:$B$3004,$K2647),INDEX('AH History'!$D$5:$GG$1380,$K2647,AH!$U$10))))&gt;0),IF(AND(AH!$U$12=1,2642+1=AH!$U$6),IF(AH!$U$4=0,"unavailable",INDEX('Market Data'!$AN$5:$AN$66,AH!$U$4)),IF(AH!$U$5=1,INDEX('Live History'!$B$5:$B$3004,$K2647),INDEX('AH History'!$D$5:$GG$1380,$K2647,AH!$U$10))),NA()),NA())</f>
        <v/>
      </c>
      <c r="F2647" s="32">
        <f>IFERROR(IF(ISNUMBER($A2647),IF(AND(AH!$U$12=1,2642+1=AH!$U$6),IF(AH!$U$4=0,"unavailable",INDEX('Market Data'!$AO$5:$AO$66,AH!$U$4)),IF(AH!$U$5=1,INDEX('Live History'!$E$5:$E$3004,MATCH($A2647,'Live History'!$D$5:$D$3004,1)),INDEX('AH History'!$D$5:$GG$1380,$K2647,AH!$U$10+1))),NA()),NA())</f>
        <v/>
      </c>
      <c r="G2647" s="34">
        <f>IFERROR(IF(ISNUMBER($A2647),IF(AND(AH!$U$12=1,2642+1=AH!$U$6),IF(AH!$U$4=0,"unavailable",INDEX('Market Data'!$AK$5:$AK$66,AH!$U$4)),IF(AH!$U$5=1,INDEX('Live History'!$D$5:$D$3004,MATCH($A2647,'Live History'!$D$5:$D$3004,1)),INDEX('AH History'!$D$5:$GG$1380,$K2647,AH!$U$10+2))),NA()),NA())</f>
        <v/>
      </c>
      <c r="H2647" s="266">
        <f>IFERROR(IF(ISNUMBER($A2647),IF(AND(AH!$U$12=1,2642+1=AH!$U$6),IF(AH!$U$4=0,"unavailable",INDEX('Market Data'!$AP$5:$AP$66,AH!$U$4)),IF(AH!$U$5=1,INDEX('Live History'!$H$5:$H$3004,MATCH($A2647,'Live History'!$G$5:$G$3004,1)),INDEX('AH History'!$B$5:$B$1380,$K2647))),NA()),NA())</f>
        <v/>
      </c>
      <c r="I2647" s="34">
        <f>IFERROR(IF(ISNUMBER($A2647),IF(AND(AH!$U$12=1,2642+1=AH!$U$6),TODAY(),IF(AH!$U$5=1,INDEX('Live History'!$G$5:$G$3004,MATCH($A2647,'Live History'!$G$5:$G$3004,1)),INDEX('AH History'!$C$5:$C$1380,$K2647))),NA()),NA())</f>
        <v/>
      </c>
      <c r="J2647" s="32">
        <f>IFERROR(IF(AND($F2647&gt;0,$H2647&gt;0,$A2647-$G2647&lt;=10,$A2647-$I2647&lt;=5,$G2647&gt;0,$I2647&gt;0),$F2647*$H2647,NA()),NA())</f>
        <v/>
      </c>
      <c r="K2647" s="15">
        <f>IF($A2647="","",IF(AH!$U$5=1,IFERROR(MATCH($A2647,'Live History'!$A$5:$A$3004,0),0),AH!$U$7+2642))</f>
        <v/>
      </c>
      <c r="L2647" s="15">
        <f>IF(ISNUMBER(A2647),TEXT(A2647,"dd-mmm-yy"),"")</f>
        <v/>
      </c>
    </row>
    <row r="2648">
      <c r="A2648" s="14">
        <f>IF(OR(AH!$U$4=0,2643+1&gt;AH!$U$6,AND(AH!$M$5="Bloomberg",AH!$U$5=0)),"",IFERROR(IF(AND(AH!$U$12=1,2643+1=AH!$U$6),TODAY(),IF(AH!$U$5=1,INDEX('Live History'!$A$5:$A$3004,AH!$U$7+2643),INDEX('AH History'!$A$5:$A$1380,AH!$U$7+2643))),""))</f>
        <v/>
      </c>
      <c r="B2648" s="33">
        <f>IFERROR(IF(AH!$U$11=1,NA(),$J2648/$E2648-1),NA())</f>
        <v/>
      </c>
      <c r="C2648" s="269">
        <f>IFERROR(100*$E2648/$E$5,NA())</f>
        <v/>
      </c>
      <c r="D2648" s="269">
        <f>IFERROR(100*$J2648/$J$5,NA())</f>
        <v/>
      </c>
      <c r="E2648" s="32">
        <f>IFERROR(IF(AND(ISNUMBER($A2648),N(IF(AND(AH!$U$12=1,2643+1=AH!$U$6),IF(AH!$U$4=0,"unavailable",INDEX('Market Data'!$AN$5:$AN$66,AH!$U$4)),IF(AH!$U$5=1,INDEX('Live History'!$B$5:$B$3004,$K2648),INDEX('AH History'!$D$5:$GG$1380,$K2648,AH!$U$10))))&gt;0),IF(AND(AH!$U$12=1,2643+1=AH!$U$6),IF(AH!$U$4=0,"unavailable",INDEX('Market Data'!$AN$5:$AN$66,AH!$U$4)),IF(AH!$U$5=1,INDEX('Live History'!$B$5:$B$3004,$K2648),INDEX('AH History'!$D$5:$GG$1380,$K2648,AH!$U$10))),NA()),NA())</f>
        <v/>
      </c>
      <c r="F2648" s="32">
        <f>IFERROR(IF(ISNUMBER($A2648),IF(AND(AH!$U$12=1,2643+1=AH!$U$6),IF(AH!$U$4=0,"unavailable",INDEX('Market Data'!$AO$5:$AO$66,AH!$U$4)),IF(AH!$U$5=1,INDEX('Live History'!$E$5:$E$3004,MATCH($A2648,'Live History'!$D$5:$D$3004,1)),INDEX('AH History'!$D$5:$GG$1380,$K2648,AH!$U$10+1))),NA()),NA())</f>
        <v/>
      </c>
      <c r="G2648" s="34">
        <f>IFERROR(IF(ISNUMBER($A2648),IF(AND(AH!$U$12=1,2643+1=AH!$U$6),IF(AH!$U$4=0,"unavailable",INDEX('Market Data'!$AK$5:$AK$66,AH!$U$4)),IF(AH!$U$5=1,INDEX('Live History'!$D$5:$D$3004,MATCH($A2648,'Live History'!$D$5:$D$3004,1)),INDEX('AH History'!$D$5:$GG$1380,$K2648,AH!$U$10+2))),NA()),NA())</f>
        <v/>
      </c>
      <c r="H2648" s="266">
        <f>IFERROR(IF(ISNUMBER($A2648),IF(AND(AH!$U$12=1,2643+1=AH!$U$6),IF(AH!$U$4=0,"unavailable",INDEX('Market Data'!$AP$5:$AP$66,AH!$U$4)),IF(AH!$U$5=1,INDEX('Live History'!$H$5:$H$3004,MATCH($A2648,'Live History'!$G$5:$G$3004,1)),INDEX('AH History'!$B$5:$B$1380,$K2648))),NA()),NA())</f>
        <v/>
      </c>
      <c r="I2648" s="34">
        <f>IFERROR(IF(ISNUMBER($A2648),IF(AND(AH!$U$12=1,2643+1=AH!$U$6),TODAY(),IF(AH!$U$5=1,INDEX('Live History'!$G$5:$G$3004,MATCH($A2648,'Live History'!$G$5:$G$3004,1)),INDEX('AH History'!$C$5:$C$1380,$K2648))),NA()),NA())</f>
        <v/>
      </c>
      <c r="J2648" s="32">
        <f>IFERROR(IF(AND($F2648&gt;0,$H2648&gt;0,$A2648-$G2648&lt;=10,$A2648-$I2648&lt;=5,$G2648&gt;0,$I2648&gt;0),$F2648*$H2648,NA()),NA())</f>
        <v/>
      </c>
      <c r="K2648" s="15">
        <f>IF($A2648="","",IF(AH!$U$5=1,IFERROR(MATCH($A2648,'Live History'!$A$5:$A$3004,0),0),AH!$U$7+2643))</f>
        <v/>
      </c>
      <c r="L2648" s="15">
        <f>IF(ISNUMBER(A2648),TEXT(A2648,"dd-mmm-yy"),"")</f>
        <v/>
      </c>
    </row>
    <row r="2649">
      <c r="A2649" s="14">
        <f>IF(OR(AH!$U$4=0,2644+1&gt;AH!$U$6,AND(AH!$M$5="Bloomberg",AH!$U$5=0)),"",IFERROR(IF(AND(AH!$U$12=1,2644+1=AH!$U$6),TODAY(),IF(AH!$U$5=1,INDEX('Live History'!$A$5:$A$3004,AH!$U$7+2644),INDEX('AH History'!$A$5:$A$1380,AH!$U$7+2644))),""))</f>
        <v/>
      </c>
      <c r="B2649" s="33">
        <f>IFERROR(IF(AH!$U$11=1,NA(),$J2649/$E2649-1),NA())</f>
        <v/>
      </c>
      <c r="C2649" s="269">
        <f>IFERROR(100*$E2649/$E$5,NA())</f>
        <v/>
      </c>
      <c r="D2649" s="269">
        <f>IFERROR(100*$J2649/$J$5,NA())</f>
        <v/>
      </c>
      <c r="E2649" s="32">
        <f>IFERROR(IF(AND(ISNUMBER($A2649),N(IF(AND(AH!$U$12=1,2644+1=AH!$U$6),IF(AH!$U$4=0,"unavailable",INDEX('Market Data'!$AN$5:$AN$66,AH!$U$4)),IF(AH!$U$5=1,INDEX('Live History'!$B$5:$B$3004,$K2649),INDEX('AH History'!$D$5:$GG$1380,$K2649,AH!$U$10))))&gt;0),IF(AND(AH!$U$12=1,2644+1=AH!$U$6),IF(AH!$U$4=0,"unavailable",INDEX('Market Data'!$AN$5:$AN$66,AH!$U$4)),IF(AH!$U$5=1,INDEX('Live History'!$B$5:$B$3004,$K2649),INDEX('AH History'!$D$5:$GG$1380,$K2649,AH!$U$10))),NA()),NA())</f>
        <v/>
      </c>
      <c r="F2649" s="32">
        <f>IFERROR(IF(ISNUMBER($A2649),IF(AND(AH!$U$12=1,2644+1=AH!$U$6),IF(AH!$U$4=0,"unavailable",INDEX('Market Data'!$AO$5:$AO$66,AH!$U$4)),IF(AH!$U$5=1,INDEX('Live History'!$E$5:$E$3004,MATCH($A2649,'Live History'!$D$5:$D$3004,1)),INDEX('AH History'!$D$5:$GG$1380,$K2649,AH!$U$10+1))),NA()),NA())</f>
        <v/>
      </c>
      <c r="G2649" s="34">
        <f>IFERROR(IF(ISNUMBER($A2649),IF(AND(AH!$U$12=1,2644+1=AH!$U$6),IF(AH!$U$4=0,"unavailable",INDEX('Market Data'!$AK$5:$AK$66,AH!$U$4)),IF(AH!$U$5=1,INDEX('Live History'!$D$5:$D$3004,MATCH($A2649,'Live History'!$D$5:$D$3004,1)),INDEX('AH History'!$D$5:$GG$1380,$K2649,AH!$U$10+2))),NA()),NA())</f>
        <v/>
      </c>
      <c r="H2649" s="266">
        <f>IFERROR(IF(ISNUMBER($A2649),IF(AND(AH!$U$12=1,2644+1=AH!$U$6),IF(AH!$U$4=0,"unavailable",INDEX('Market Data'!$AP$5:$AP$66,AH!$U$4)),IF(AH!$U$5=1,INDEX('Live History'!$H$5:$H$3004,MATCH($A2649,'Live History'!$G$5:$G$3004,1)),INDEX('AH History'!$B$5:$B$1380,$K2649))),NA()),NA())</f>
        <v/>
      </c>
      <c r="I2649" s="34">
        <f>IFERROR(IF(ISNUMBER($A2649),IF(AND(AH!$U$12=1,2644+1=AH!$U$6),TODAY(),IF(AH!$U$5=1,INDEX('Live History'!$G$5:$G$3004,MATCH($A2649,'Live History'!$G$5:$G$3004,1)),INDEX('AH History'!$C$5:$C$1380,$K2649))),NA()),NA())</f>
        <v/>
      </c>
      <c r="J2649" s="32">
        <f>IFERROR(IF(AND($F2649&gt;0,$H2649&gt;0,$A2649-$G2649&lt;=10,$A2649-$I2649&lt;=5,$G2649&gt;0,$I2649&gt;0),$F2649*$H2649,NA()),NA())</f>
        <v/>
      </c>
      <c r="K2649" s="15">
        <f>IF($A2649="","",IF(AH!$U$5=1,IFERROR(MATCH($A2649,'Live History'!$A$5:$A$3004,0),0),AH!$U$7+2644))</f>
        <v/>
      </c>
      <c r="L2649" s="15">
        <f>IF(ISNUMBER(A2649),TEXT(A2649,"dd-mmm-yy"),"")</f>
        <v/>
      </c>
    </row>
    <row r="2650">
      <c r="A2650" s="14">
        <f>IF(OR(AH!$U$4=0,2645+1&gt;AH!$U$6,AND(AH!$M$5="Bloomberg",AH!$U$5=0)),"",IFERROR(IF(AND(AH!$U$12=1,2645+1=AH!$U$6),TODAY(),IF(AH!$U$5=1,INDEX('Live History'!$A$5:$A$3004,AH!$U$7+2645),INDEX('AH History'!$A$5:$A$1380,AH!$U$7+2645))),""))</f>
        <v/>
      </c>
      <c r="B2650" s="33">
        <f>IFERROR(IF(AH!$U$11=1,NA(),$J2650/$E2650-1),NA())</f>
        <v/>
      </c>
      <c r="C2650" s="269">
        <f>IFERROR(100*$E2650/$E$5,NA())</f>
        <v/>
      </c>
      <c r="D2650" s="269">
        <f>IFERROR(100*$J2650/$J$5,NA())</f>
        <v/>
      </c>
      <c r="E2650" s="32">
        <f>IFERROR(IF(AND(ISNUMBER($A2650),N(IF(AND(AH!$U$12=1,2645+1=AH!$U$6),IF(AH!$U$4=0,"unavailable",INDEX('Market Data'!$AN$5:$AN$66,AH!$U$4)),IF(AH!$U$5=1,INDEX('Live History'!$B$5:$B$3004,$K2650),INDEX('AH History'!$D$5:$GG$1380,$K2650,AH!$U$10))))&gt;0),IF(AND(AH!$U$12=1,2645+1=AH!$U$6),IF(AH!$U$4=0,"unavailable",INDEX('Market Data'!$AN$5:$AN$66,AH!$U$4)),IF(AH!$U$5=1,INDEX('Live History'!$B$5:$B$3004,$K2650),INDEX('AH History'!$D$5:$GG$1380,$K2650,AH!$U$10))),NA()),NA())</f>
        <v/>
      </c>
      <c r="F2650" s="32">
        <f>IFERROR(IF(ISNUMBER($A2650),IF(AND(AH!$U$12=1,2645+1=AH!$U$6),IF(AH!$U$4=0,"unavailable",INDEX('Market Data'!$AO$5:$AO$66,AH!$U$4)),IF(AH!$U$5=1,INDEX('Live History'!$E$5:$E$3004,MATCH($A2650,'Live History'!$D$5:$D$3004,1)),INDEX('AH History'!$D$5:$GG$1380,$K2650,AH!$U$10+1))),NA()),NA())</f>
        <v/>
      </c>
      <c r="G2650" s="34">
        <f>IFERROR(IF(ISNUMBER($A2650),IF(AND(AH!$U$12=1,2645+1=AH!$U$6),IF(AH!$U$4=0,"unavailable",INDEX('Market Data'!$AK$5:$AK$66,AH!$U$4)),IF(AH!$U$5=1,INDEX('Live History'!$D$5:$D$3004,MATCH($A2650,'Live History'!$D$5:$D$3004,1)),INDEX('AH History'!$D$5:$GG$1380,$K2650,AH!$U$10+2))),NA()),NA())</f>
        <v/>
      </c>
      <c r="H2650" s="266">
        <f>IFERROR(IF(ISNUMBER($A2650),IF(AND(AH!$U$12=1,2645+1=AH!$U$6),IF(AH!$U$4=0,"unavailable",INDEX('Market Data'!$AP$5:$AP$66,AH!$U$4)),IF(AH!$U$5=1,INDEX('Live History'!$H$5:$H$3004,MATCH($A2650,'Live History'!$G$5:$G$3004,1)),INDEX('AH History'!$B$5:$B$1380,$K2650))),NA()),NA())</f>
        <v/>
      </c>
      <c r="I2650" s="34">
        <f>IFERROR(IF(ISNUMBER($A2650),IF(AND(AH!$U$12=1,2645+1=AH!$U$6),TODAY(),IF(AH!$U$5=1,INDEX('Live History'!$G$5:$G$3004,MATCH($A2650,'Live History'!$G$5:$G$3004,1)),INDEX('AH History'!$C$5:$C$1380,$K2650))),NA()),NA())</f>
        <v/>
      </c>
      <c r="J2650" s="32">
        <f>IFERROR(IF(AND($F2650&gt;0,$H2650&gt;0,$A2650-$G2650&lt;=10,$A2650-$I2650&lt;=5,$G2650&gt;0,$I2650&gt;0),$F2650*$H2650,NA()),NA())</f>
        <v/>
      </c>
      <c r="K2650" s="15">
        <f>IF($A2650="","",IF(AH!$U$5=1,IFERROR(MATCH($A2650,'Live History'!$A$5:$A$3004,0),0),AH!$U$7+2645))</f>
        <v/>
      </c>
      <c r="L2650" s="15">
        <f>IF(ISNUMBER(A2650),TEXT(A2650,"dd-mmm-yy"),"")</f>
        <v/>
      </c>
    </row>
    <row r="2651">
      <c r="A2651" s="14">
        <f>IF(OR(AH!$U$4=0,2646+1&gt;AH!$U$6,AND(AH!$M$5="Bloomberg",AH!$U$5=0)),"",IFERROR(IF(AND(AH!$U$12=1,2646+1=AH!$U$6),TODAY(),IF(AH!$U$5=1,INDEX('Live History'!$A$5:$A$3004,AH!$U$7+2646),INDEX('AH History'!$A$5:$A$1380,AH!$U$7+2646))),""))</f>
        <v/>
      </c>
      <c r="B2651" s="33">
        <f>IFERROR(IF(AH!$U$11=1,NA(),$J2651/$E2651-1),NA())</f>
        <v/>
      </c>
      <c r="C2651" s="269">
        <f>IFERROR(100*$E2651/$E$5,NA())</f>
        <v/>
      </c>
      <c r="D2651" s="269">
        <f>IFERROR(100*$J2651/$J$5,NA())</f>
        <v/>
      </c>
      <c r="E2651" s="32">
        <f>IFERROR(IF(AND(ISNUMBER($A2651),N(IF(AND(AH!$U$12=1,2646+1=AH!$U$6),IF(AH!$U$4=0,"unavailable",INDEX('Market Data'!$AN$5:$AN$66,AH!$U$4)),IF(AH!$U$5=1,INDEX('Live History'!$B$5:$B$3004,$K2651),INDEX('AH History'!$D$5:$GG$1380,$K2651,AH!$U$10))))&gt;0),IF(AND(AH!$U$12=1,2646+1=AH!$U$6),IF(AH!$U$4=0,"unavailable",INDEX('Market Data'!$AN$5:$AN$66,AH!$U$4)),IF(AH!$U$5=1,INDEX('Live History'!$B$5:$B$3004,$K2651),INDEX('AH History'!$D$5:$GG$1380,$K2651,AH!$U$10))),NA()),NA())</f>
        <v/>
      </c>
      <c r="F2651" s="32">
        <f>IFERROR(IF(ISNUMBER($A2651),IF(AND(AH!$U$12=1,2646+1=AH!$U$6),IF(AH!$U$4=0,"unavailable",INDEX('Market Data'!$AO$5:$AO$66,AH!$U$4)),IF(AH!$U$5=1,INDEX('Live History'!$E$5:$E$3004,MATCH($A2651,'Live History'!$D$5:$D$3004,1)),INDEX('AH History'!$D$5:$GG$1380,$K2651,AH!$U$10+1))),NA()),NA())</f>
        <v/>
      </c>
      <c r="G2651" s="34">
        <f>IFERROR(IF(ISNUMBER($A2651),IF(AND(AH!$U$12=1,2646+1=AH!$U$6),IF(AH!$U$4=0,"unavailable",INDEX('Market Data'!$AK$5:$AK$66,AH!$U$4)),IF(AH!$U$5=1,INDEX('Live History'!$D$5:$D$3004,MATCH($A2651,'Live History'!$D$5:$D$3004,1)),INDEX('AH History'!$D$5:$GG$1380,$K2651,AH!$U$10+2))),NA()),NA())</f>
        <v/>
      </c>
      <c r="H2651" s="266">
        <f>IFERROR(IF(ISNUMBER($A2651),IF(AND(AH!$U$12=1,2646+1=AH!$U$6),IF(AH!$U$4=0,"unavailable",INDEX('Market Data'!$AP$5:$AP$66,AH!$U$4)),IF(AH!$U$5=1,INDEX('Live History'!$H$5:$H$3004,MATCH($A2651,'Live History'!$G$5:$G$3004,1)),INDEX('AH History'!$B$5:$B$1380,$K2651))),NA()),NA())</f>
        <v/>
      </c>
      <c r="I2651" s="34">
        <f>IFERROR(IF(ISNUMBER($A2651),IF(AND(AH!$U$12=1,2646+1=AH!$U$6),TODAY(),IF(AH!$U$5=1,INDEX('Live History'!$G$5:$G$3004,MATCH($A2651,'Live History'!$G$5:$G$3004,1)),INDEX('AH History'!$C$5:$C$1380,$K2651))),NA()),NA())</f>
        <v/>
      </c>
      <c r="J2651" s="32">
        <f>IFERROR(IF(AND($F2651&gt;0,$H2651&gt;0,$A2651-$G2651&lt;=10,$A2651-$I2651&lt;=5,$G2651&gt;0,$I2651&gt;0),$F2651*$H2651,NA()),NA())</f>
        <v/>
      </c>
      <c r="K2651" s="15">
        <f>IF($A2651="","",IF(AH!$U$5=1,IFERROR(MATCH($A2651,'Live History'!$A$5:$A$3004,0),0),AH!$U$7+2646))</f>
        <v/>
      </c>
      <c r="L2651" s="15">
        <f>IF(ISNUMBER(A2651),TEXT(A2651,"dd-mmm-yy"),"")</f>
        <v/>
      </c>
    </row>
    <row r="2652">
      <c r="A2652" s="14">
        <f>IF(OR(AH!$U$4=0,2647+1&gt;AH!$U$6,AND(AH!$M$5="Bloomberg",AH!$U$5=0)),"",IFERROR(IF(AND(AH!$U$12=1,2647+1=AH!$U$6),TODAY(),IF(AH!$U$5=1,INDEX('Live History'!$A$5:$A$3004,AH!$U$7+2647),INDEX('AH History'!$A$5:$A$1380,AH!$U$7+2647))),""))</f>
        <v/>
      </c>
      <c r="B2652" s="33">
        <f>IFERROR(IF(AH!$U$11=1,NA(),$J2652/$E2652-1),NA())</f>
        <v/>
      </c>
      <c r="C2652" s="269">
        <f>IFERROR(100*$E2652/$E$5,NA())</f>
        <v/>
      </c>
      <c r="D2652" s="269">
        <f>IFERROR(100*$J2652/$J$5,NA())</f>
        <v/>
      </c>
      <c r="E2652" s="32">
        <f>IFERROR(IF(AND(ISNUMBER($A2652),N(IF(AND(AH!$U$12=1,2647+1=AH!$U$6),IF(AH!$U$4=0,"unavailable",INDEX('Market Data'!$AN$5:$AN$66,AH!$U$4)),IF(AH!$U$5=1,INDEX('Live History'!$B$5:$B$3004,$K2652),INDEX('AH History'!$D$5:$GG$1380,$K2652,AH!$U$10))))&gt;0),IF(AND(AH!$U$12=1,2647+1=AH!$U$6),IF(AH!$U$4=0,"unavailable",INDEX('Market Data'!$AN$5:$AN$66,AH!$U$4)),IF(AH!$U$5=1,INDEX('Live History'!$B$5:$B$3004,$K2652),INDEX('AH History'!$D$5:$GG$1380,$K2652,AH!$U$10))),NA()),NA())</f>
        <v/>
      </c>
      <c r="F2652" s="32">
        <f>IFERROR(IF(ISNUMBER($A2652),IF(AND(AH!$U$12=1,2647+1=AH!$U$6),IF(AH!$U$4=0,"unavailable",INDEX('Market Data'!$AO$5:$AO$66,AH!$U$4)),IF(AH!$U$5=1,INDEX('Live History'!$E$5:$E$3004,MATCH($A2652,'Live History'!$D$5:$D$3004,1)),INDEX('AH History'!$D$5:$GG$1380,$K2652,AH!$U$10+1))),NA()),NA())</f>
        <v/>
      </c>
      <c r="G2652" s="34">
        <f>IFERROR(IF(ISNUMBER($A2652),IF(AND(AH!$U$12=1,2647+1=AH!$U$6),IF(AH!$U$4=0,"unavailable",INDEX('Market Data'!$AK$5:$AK$66,AH!$U$4)),IF(AH!$U$5=1,INDEX('Live History'!$D$5:$D$3004,MATCH($A2652,'Live History'!$D$5:$D$3004,1)),INDEX('AH History'!$D$5:$GG$1380,$K2652,AH!$U$10+2))),NA()),NA())</f>
        <v/>
      </c>
      <c r="H2652" s="266">
        <f>IFERROR(IF(ISNUMBER($A2652),IF(AND(AH!$U$12=1,2647+1=AH!$U$6),IF(AH!$U$4=0,"unavailable",INDEX('Market Data'!$AP$5:$AP$66,AH!$U$4)),IF(AH!$U$5=1,INDEX('Live History'!$H$5:$H$3004,MATCH($A2652,'Live History'!$G$5:$G$3004,1)),INDEX('AH History'!$B$5:$B$1380,$K2652))),NA()),NA())</f>
        <v/>
      </c>
      <c r="I2652" s="34">
        <f>IFERROR(IF(ISNUMBER($A2652),IF(AND(AH!$U$12=1,2647+1=AH!$U$6),TODAY(),IF(AH!$U$5=1,INDEX('Live History'!$G$5:$G$3004,MATCH($A2652,'Live History'!$G$5:$G$3004,1)),INDEX('AH History'!$C$5:$C$1380,$K2652))),NA()),NA())</f>
        <v/>
      </c>
      <c r="J2652" s="32">
        <f>IFERROR(IF(AND($F2652&gt;0,$H2652&gt;0,$A2652-$G2652&lt;=10,$A2652-$I2652&lt;=5,$G2652&gt;0,$I2652&gt;0),$F2652*$H2652,NA()),NA())</f>
        <v/>
      </c>
      <c r="K2652" s="15">
        <f>IF($A2652="","",IF(AH!$U$5=1,IFERROR(MATCH($A2652,'Live History'!$A$5:$A$3004,0),0),AH!$U$7+2647))</f>
        <v/>
      </c>
      <c r="L2652" s="15">
        <f>IF(ISNUMBER(A2652),TEXT(A2652,"dd-mmm-yy"),"")</f>
        <v/>
      </c>
    </row>
    <row r="2653">
      <c r="A2653" s="14">
        <f>IF(OR(AH!$U$4=0,2648+1&gt;AH!$U$6,AND(AH!$M$5="Bloomberg",AH!$U$5=0)),"",IFERROR(IF(AND(AH!$U$12=1,2648+1=AH!$U$6),TODAY(),IF(AH!$U$5=1,INDEX('Live History'!$A$5:$A$3004,AH!$U$7+2648),INDEX('AH History'!$A$5:$A$1380,AH!$U$7+2648))),""))</f>
        <v/>
      </c>
      <c r="B2653" s="33">
        <f>IFERROR(IF(AH!$U$11=1,NA(),$J2653/$E2653-1),NA())</f>
        <v/>
      </c>
      <c r="C2653" s="269">
        <f>IFERROR(100*$E2653/$E$5,NA())</f>
        <v/>
      </c>
      <c r="D2653" s="269">
        <f>IFERROR(100*$J2653/$J$5,NA())</f>
        <v/>
      </c>
      <c r="E2653" s="32">
        <f>IFERROR(IF(AND(ISNUMBER($A2653),N(IF(AND(AH!$U$12=1,2648+1=AH!$U$6),IF(AH!$U$4=0,"unavailable",INDEX('Market Data'!$AN$5:$AN$66,AH!$U$4)),IF(AH!$U$5=1,INDEX('Live History'!$B$5:$B$3004,$K2653),INDEX('AH History'!$D$5:$GG$1380,$K2653,AH!$U$10))))&gt;0),IF(AND(AH!$U$12=1,2648+1=AH!$U$6),IF(AH!$U$4=0,"unavailable",INDEX('Market Data'!$AN$5:$AN$66,AH!$U$4)),IF(AH!$U$5=1,INDEX('Live History'!$B$5:$B$3004,$K2653),INDEX('AH History'!$D$5:$GG$1380,$K2653,AH!$U$10))),NA()),NA())</f>
        <v/>
      </c>
      <c r="F2653" s="32">
        <f>IFERROR(IF(ISNUMBER($A2653),IF(AND(AH!$U$12=1,2648+1=AH!$U$6),IF(AH!$U$4=0,"unavailable",INDEX('Market Data'!$AO$5:$AO$66,AH!$U$4)),IF(AH!$U$5=1,INDEX('Live History'!$E$5:$E$3004,MATCH($A2653,'Live History'!$D$5:$D$3004,1)),INDEX('AH History'!$D$5:$GG$1380,$K2653,AH!$U$10+1))),NA()),NA())</f>
        <v/>
      </c>
      <c r="G2653" s="34">
        <f>IFERROR(IF(ISNUMBER($A2653),IF(AND(AH!$U$12=1,2648+1=AH!$U$6),IF(AH!$U$4=0,"unavailable",INDEX('Market Data'!$AK$5:$AK$66,AH!$U$4)),IF(AH!$U$5=1,INDEX('Live History'!$D$5:$D$3004,MATCH($A2653,'Live History'!$D$5:$D$3004,1)),INDEX('AH History'!$D$5:$GG$1380,$K2653,AH!$U$10+2))),NA()),NA())</f>
        <v/>
      </c>
      <c r="H2653" s="266">
        <f>IFERROR(IF(ISNUMBER($A2653),IF(AND(AH!$U$12=1,2648+1=AH!$U$6),IF(AH!$U$4=0,"unavailable",INDEX('Market Data'!$AP$5:$AP$66,AH!$U$4)),IF(AH!$U$5=1,INDEX('Live History'!$H$5:$H$3004,MATCH($A2653,'Live History'!$G$5:$G$3004,1)),INDEX('AH History'!$B$5:$B$1380,$K2653))),NA()),NA())</f>
        <v/>
      </c>
      <c r="I2653" s="34">
        <f>IFERROR(IF(ISNUMBER($A2653),IF(AND(AH!$U$12=1,2648+1=AH!$U$6),TODAY(),IF(AH!$U$5=1,INDEX('Live History'!$G$5:$G$3004,MATCH($A2653,'Live History'!$G$5:$G$3004,1)),INDEX('AH History'!$C$5:$C$1380,$K2653))),NA()),NA())</f>
        <v/>
      </c>
      <c r="J2653" s="32">
        <f>IFERROR(IF(AND($F2653&gt;0,$H2653&gt;0,$A2653-$G2653&lt;=10,$A2653-$I2653&lt;=5,$G2653&gt;0,$I2653&gt;0),$F2653*$H2653,NA()),NA())</f>
        <v/>
      </c>
      <c r="K2653" s="15">
        <f>IF($A2653="","",IF(AH!$U$5=1,IFERROR(MATCH($A2653,'Live History'!$A$5:$A$3004,0),0),AH!$U$7+2648))</f>
        <v/>
      </c>
      <c r="L2653" s="15">
        <f>IF(ISNUMBER(A2653),TEXT(A2653,"dd-mmm-yy"),"")</f>
        <v/>
      </c>
    </row>
    <row r="2654">
      <c r="A2654" s="14">
        <f>IF(OR(AH!$U$4=0,2649+1&gt;AH!$U$6,AND(AH!$M$5="Bloomberg",AH!$U$5=0)),"",IFERROR(IF(AND(AH!$U$12=1,2649+1=AH!$U$6),TODAY(),IF(AH!$U$5=1,INDEX('Live History'!$A$5:$A$3004,AH!$U$7+2649),INDEX('AH History'!$A$5:$A$1380,AH!$U$7+2649))),""))</f>
        <v/>
      </c>
      <c r="B2654" s="33">
        <f>IFERROR(IF(AH!$U$11=1,NA(),$J2654/$E2654-1),NA())</f>
        <v/>
      </c>
      <c r="C2654" s="269">
        <f>IFERROR(100*$E2654/$E$5,NA())</f>
        <v/>
      </c>
      <c r="D2654" s="269">
        <f>IFERROR(100*$J2654/$J$5,NA())</f>
        <v/>
      </c>
      <c r="E2654" s="32">
        <f>IFERROR(IF(AND(ISNUMBER($A2654),N(IF(AND(AH!$U$12=1,2649+1=AH!$U$6),IF(AH!$U$4=0,"unavailable",INDEX('Market Data'!$AN$5:$AN$66,AH!$U$4)),IF(AH!$U$5=1,INDEX('Live History'!$B$5:$B$3004,$K2654),INDEX('AH History'!$D$5:$GG$1380,$K2654,AH!$U$10))))&gt;0),IF(AND(AH!$U$12=1,2649+1=AH!$U$6),IF(AH!$U$4=0,"unavailable",INDEX('Market Data'!$AN$5:$AN$66,AH!$U$4)),IF(AH!$U$5=1,INDEX('Live History'!$B$5:$B$3004,$K2654),INDEX('AH History'!$D$5:$GG$1380,$K2654,AH!$U$10))),NA()),NA())</f>
        <v/>
      </c>
      <c r="F2654" s="32">
        <f>IFERROR(IF(ISNUMBER($A2654),IF(AND(AH!$U$12=1,2649+1=AH!$U$6),IF(AH!$U$4=0,"unavailable",INDEX('Market Data'!$AO$5:$AO$66,AH!$U$4)),IF(AH!$U$5=1,INDEX('Live History'!$E$5:$E$3004,MATCH($A2654,'Live History'!$D$5:$D$3004,1)),INDEX('AH History'!$D$5:$GG$1380,$K2654,AH!$U$10+1))),NA()),NA())</f>
        <v/>
      </c>
      <c r="G2654" s="34">
        <f>IFERROR(IF(ISNUMBER($A2654),IF(AND(AH!$U$12=1,2649+1=AH!$U$6),IF(AH!$U$4=0,"unavailable",INDEX('Market Data'!$AK$5:$AK$66,AH!$U$4)),IF(AH!$U$5=1,INDEX('Live History'!$D$5:$D$3004,MATCH($A2654,'Live History'!$D$5:$D$3004,1)),INDEX('AH History'!$D$5:$GG$1380,$K2654,AH!$U$10+2))),NA()),NA())</f>
        <v/>
      </c>
      <c r="H2654" s="266">
        <f>IFERROR(IF(ISNUMBER($A2654),IF(AND(AH!$U$12=1,2649+1=AH!$U$6),IF(AH!$U$4=0,"unavailable",INDEX('Market Data'!$AP$5:$AP$66,AH!$U$4)),IF(AH!$U$5=1,INDEX('Live History'!$H$5:$H$3004,MATCH($A2654,'Live History'!$G$5:$G$3004,1)),INDEX('AH History'!$B$5:$B$1380,$K2654))),NA()),NA())</f>
        <v/>
      </c>
      <c r="I2654" s="34">
        <f>IFERROR(IF(ISNUMBER($A2654),IF(AND(AH!$U$12=1,2649+1=AH!$U$6),TODAY(),IF(AH!$U$5=1,INDEX('Live History'!$G$5:$G$3004,MATCH($A2654,'Live History'!$G$5:$G$3004,1)),INDEX('AH History'!$C$5:$C$1380,$K2654))),NA()),NA())</f>
        <v/>
      </c>
      <c r="J2654" s="32">
        <f>IFERROR(IF(AND($F2654&gt;0,$H2654&gt;0,$A2654-$G2654&lt;=10,$A2654-$I2654&lt;=5,$G2654&gt;0,$I2654&gt;0),$F2654*$H2654,NA()),NA())</f>
        <v/>
      </c>
      <c r="K2654" s="15">
        <f>IF($A2654="","",IF(AH!$U$5=1,IFERROR(MATCH($A2654,'Live History'!$A$5:$A$3004,0),0),AH!$U$7+2649))</f>
        <v/>
      </c>
      <c r="L2654" s="15">
        <f>IF(ISNUMBER(A2654),TEXT(A2654,"dd-mmm-yy"),"")</f>
        <v/>
      </c>
    </row>
    <row r="2655">
      <c r="A2655" s="14">
        <f>IF(OR(AH!$U$4=0,2650+1&gt;AH!$U$6,AND(AH!$M$5="Bloomberg",AH!$U$5=0)),"",IFERROR(IF(AND(AH!$U$12=1,2650+1=AH!$U$6),TODAY(),IF(AH!$U$5=1,INDEX('Live History'!$A$5:$A$3004,AH!$U$7+2650),INDEX('AH History'!$A$5:$A$1380,AH!$U$7+2650))),""))</f>
        <v/>
      </c>
      <c r="B2655" s="33">
        <f>IFERROR(IF(AH!$U$11=1,NA(),$J2655/$E2655-1),NA())</f>
        <v/>
      </c>
      <c r="C2655" s="269">
        <f>IFERROR(100*$E2655/$E$5,NA())</f>
        <v/>
      </c>
      <c r="D2655" s="269">
        <f>IFERROR(100*$J2655/$J$5,NA())</f>
        <v/>
      </c>
      <c r="E2655" s="32">
        <f>IFERROR(IF(AND(ISNUMBER($A2655),N(IF(AND(AH!$U$12=1,2650+1=AH!$U$6),IF(AH!$U$4=0,"unavailable",INDEX('Market Data'!$AN$5:$AN$66,AH!$U$4)),IF(AH!$U$5=1,INDEX('Live History'!$B$5:$B$3004,$K2655),INDEX('AH History'!$D$5:$GG$1380,$K2655,AH!$U$10))))&gt;0),IF(AND(AH!$U$12=1,2650+1=AH!$U$6),IF(AH!$U$4=0,"unavailable",INDEX('Market Data'!$AN$5:$AN$66,AH!$U$4)),IF(AH!$U$5=1,INDEX('Live History'!$B$5:$B$3004,$K2655),INDEX('AH History'!$D$5:$GG$1380,$K2655,AH!$U$10))),NA()),NA())</f>
        <v/>
      </c>
      <c r="F2655" s="32">
        <f>IFERROR(IF(ISNUMBER($A2655),IF(AND(AH!$U$12=1,2650+1=AH!$U$6),IF(AH!$U$4=0,"unavailable",INDEX('Market Data'!$AO$5:$AO$66,AH!$U$4)),IF(AH!$U$5=1,INDEX('Live History'!$E$5:$E$3004,MATCH($A2655,'Live History'!$D$5:$D$3004,1)),INDEX('AH History'!$D$5:$GG$1380,$K2655,AH!$U$10+1))),NA()),NA())</f>
        <v/>
      </c>
      <c r="G2655" s="34">
        <f>IFERROR(IF(ISNUMBER($A2655),IF(AND(AH!$U$12=1,2650+1=AH!$U$6),IF(AH!$U$4=0,"unavailable",INDEX('Market Data'!$AK$5:$AK$66,AH!$U$4)),IF(AH!$U$5=1,INDEX('Live History'!$D$5:$D$3004,MATCH($A2655,'Live History'!$D$5:$D$3004,1)),INDEX('AH History'!$D$5:$GG$1380,$K2655,AH!$U$10+2))),NA()),NA())</f>
        <v/>
      </c>
      <c r="H2655" s="266">
        <f>IFERROR(IF(ISNUMBER($A2655),IF(AND(AH!$U$12=1,2650+1=AH!$U$6),IF(AH!$U$4=0,"unavailable",INDEX('Market Data'!$AP$5:$AP$66,AH!$U$4)),IF(AH!$U$5=1,INDEX('Live History'!$H$5:$H$3004,MATCH($A2655,'Live History'!$G$5:$G$3004,1)),INDEX('AH History'!$B$5:$B$1380,$K2655))),NA()),NA())</f>
        <v/>
      </c>
      <c r="I2655" s="34">
        <f>IFERROR(IF(ISNUMBER($A2655),IF(AND(AH!$U$12=1,2650+1=AH!$U$6),TODAY(),IF(AH!$U$5=1,INDEX('Live History'!$G$5:$G$3004,MATCH($A2655,'Live History'!$G$5:$G$3004,1)),INDEX('AH History'!$C$5:$C$1380,$K2655))),NA()),NA())</f>
        <v/>
      </c>
      <c r="J2655" s="32">
        <f>IFERROR(IF(AND($F2655&gt;0,$H2655&gt;0,$A2655-$G2655&lt;=10,$A2655-$I2655&lt;=5,$G2655&gt;0,$I2655&gt;0),$F2655*$H2655,NA()),NA())</f>
        <v/>
      </c>
      <c r="K2655" s="15">
        <f>IF($A2655="","",IF(AH!$U$5=1,IFERROR(MATCH($A2655,'Live History'!$A$5:$A$3004,0),0),AH!$U$7+2650))</f>
        <v/>
      </c>
      <c r="L2655" s="15">
        <f>IF(ISNUMBER(A2655),TEXT(A2655,"dd-mmm-yy"),"")</f>
        <v/>
      </c>
    </row>
    <row r="2656">
      <c r="A2656" s="14">
        <f>IF(OR(AH!$U$4=0,2651+1&gt;AH!$U$6,AND(AH!$M$5="Bloomberg",AH!$U$5=0)),"",IFERROR(IF(AND(AH!$U$12=1,2651+1=AH!$U$6),TODAY(),IF(AH!$U$5=1,INDEX('Live History'!$A$5:$A$3004,AH!$U$7+2651),INDEX('AH History'!$A$5:$A$1380,AH!$U$7+2651))),""))</f>
        <v/>
      </c>
      <c r="B2656" s="33">
        <f>IFERROR(IF(AH!$U$11=1,NA(),$J2656/$E2656-1),NA())</f>
        <v/>
      </c>
      <c r="C2656" s="269">
        <f>IFERROR(100*$E2656/$E$5,NA())</f>
        <v/>
      </c>
      <c r="D2656" s="269">
        <f>IFERROR(100*$J2656/$J$5,NA())</f>
        <v/>
      </c>
      <c r="E2656" s="32">
        <f>IFERROR(IF(AND(ISNUMBER($A2656),N(IF(AND(AH!$U$12=1,2651+1=AH!$U$6),IF(AH!$U$4=0,"unavailable",INDEX('Market Data'!$AN$5:$AN$66,AH!$U$4)),IF(AH!$U$5=1,INDEX('Live History'!$B$5:$B$3004,$K2656),INDEX('AH History'!$D$5:$GG$1380,$K2656,AH!$U$10))))&gt;0),IF(AND(AH!$U$12=1,2651+1=AH!$U$6),IF(AH!$U$4=0,"unavailable",INDEX('Market Data'!$AN$5:$AN$66,AH!$U$4)),IF(AH!$U$5=1,INDEX('Live History'!$B$5:$B$3004,$K2656),INDEX('AH History'!$D$5:$GG$1380,$K2656,AH!$U$10))),NA()),NA())</f>
        <v/>
      </c>
      <c r="F2656" s="32">
        <f>IFERROR(IF(ISNUMBER($A2656),IF(AND(AH!$U$12=1,2651+1=AH!$U$6),IF(AH!$U$4=0,"unavailable",INDEX('Market Data'!$AO$5:$AO$66,AH!$U$4)),IF(AH!$U$5=1,INDEX('Live History'!$E$5:$E$3004,MATCH($A2656,'Live History'!$D$5:$D$3004,1)),INDEX('AH History'!$D$5:$GG$1380,$K2656,AH!$U$10+1))),NA()),NA())</f>
        <v/>
      </c>
      <c r="G2656" s="34">
        <f>IFERROR(IF(ISNUMBER($A2656),IF(AND(AH!$U$12=1,2651+1=AH!$U$6),IF(AH!$U$4=0,"unavailable",INDEX('Market Data'!$AK$5:$AK$66,AH!$U$4)),IF(AH!$U$5=1,INDEX('Live History'!$D$5:$D$3004,MATCH($A2656,'Live History'!$D$5:$D$3004,1)),INDEX('AH History'!$D$5:$GG$1380,$K2656,AH!$U$10+2))),NA()),NA())</f>
        <v/>
      </c>
      <c r="H2656" s="266">
        <f>IFERROR(IF(ISNUMBER($A2656),IF(AND(AH!$U$12=1,2651+1=AH!$U$6),IF(AH!$U$4=0,"unavailable",INDEX('Market Data'!$AP$5:$AP$66,AH!$U$4)),IF(AH!$U$5=1,INDEX('Live History'!$H$5:$H$3004,MATCH($A2656,'Live History'!$G$5:$G$3004,1)),INDEX('AH History'!$B$5:$B$1380,$K2656))),NA()),NA())</f>
        <v/>
      </c>
      <c r="I2656" s="34">
        <f>IFERROR(IF(ISNUMBER($A2656),IF(AND(AH!$U$12=1,2651+1=AH!$U$6),TODAY(),IF(AH!$U$5=1,INDEX('Live History'!$G$5:$G$3004,MATCH($A2656,'Live History'!$G$5:$G$3004,1)),INDEX('AH History'!$C$5:$C$1380,$K2656))),NA()),NA())</f>
        <v/>
      </c>
      <c r="J2656" s="32">
        <f>IFERROR(IF(AND($F2656&gt;0,$H2656&gt;0,$A2656-$G2656&lt;=10,$A2656-$I2656&lt;=5,$G2656&gt;0,$I2656&gt;0),$F2656*$H2656,NA()),NA())</f>
        <v/>
      </c>
      <c r="K2656" s="15">
        <f>IF($A2656="","",IF(AH!$U$5=1,IFERROR(MATCH($A2656,'Live History'!$A$5:$A$3004,0),0),AH!$U$7+2651))</f>
        <v/>
      </c>
      <c r="L2656" s="15">
        <f>IF(ISNUMBER(A2656),TEXT(A2656,"dd-mmm-yy"),"")</f>
        <v/>
      </c>
    </row>
    <row r="2657">
      <c r="A2657" s="14">
        <f>IF(OR(AH!$U$4=0,2652+1&gt;AH!$U$6,AND(AH!$M$5="Bloomberg",AH!$U$5=0)),"",IFERROR(IF(AND(AH!$U$12=1,2652+1=AH!$U$6),TODAY(),IF(AH!$U$5=1,INDEX('Live History'!$A$5:$A$3004,AH!$U$7+2652),INDEX('AH History'!$A$5:$A$1380,AH!$U$7+2652))),""))</f>
        <v/>
      </c>
      <c r="B2657" s="33">
        <f>IFERROR(IF(AH!$U$11=1,NA(),$J2657/$E2657-1),NA())</f>
        <v/>
      </c>
      <c r="C2657" s="269">
        <f>IFERROR(100*$E2657/$E$5,NA())</f>
        <v/>
      </c>
      <c r="D2657" s="269">
        <f>IFERROR(100*$J2657/$J$5,NA())</f>
        <v/>
      </c>
      <c r="E2657" s="32">
        <f>IFERROR(IF(AND(ISNUMBER($A2657),N(IF(AND(AH!$U$12=1,2652+1=AH!$U$6),IF(AH!$U$4=0,"unavailable",INDEX('Market Data'!$AN$5:$AN$66,AH!$U$4)),IF(AH!$U$5=1,INDEX('Live History'!$B$5:$B$3004,$K2657),INDEX('AH History'!$D$5:$GG$1380,$K2657,AH!$U$10))))&gt;0),IF(AND(AH!$U$12=1,2652+1=AH!$U$6),IF(AH!$U$4=0,"unavailable",INDEX('Market Data'!$AN$5:$AN$66,AH!$U$4)),IF(AH!$U$5=1,INDEX('Live History'!$B$5:$B$3004,$K2657),INDEX('AH History'!$D$5:$GG$1380,$K2657,AH!$U$10))),NA()),NA())</f>
        <v/>
      </c>
      <c r="F2657" s="32">
        <f>IFERROR(IF(ISNUMBER($A2657),IF(AND(AH!$U$12=1,2652+1=AH!$U$6),IF(AH!$U$4=0,"unavailable",INDEX('Market Data'!$AO$5:$AO$66,AH!$U$4)),IF(AH!$U$5=1,INDEX('Live History'!$E$5:$E$3004,MATCH($A2657,'Live History'!$D$5:$D$3004,1)),INDEX('AH History'!$D$5:$GG$1380,$K2657,AH!$U$10+1))),NA()),NA())</f>
        <v/>
      </c>
      <c r="G2657" s="34">
        <f>IFERROR(IF(ISNUMBER($A2657),IF(AND(AH!$U$12=1,2652+1=AH!$U$6),IF(AH!$U$4=0,"unavailable",INDEX('Market Data'!$AK$5:$AK$66,AH!$U$4)),IF(AH!$U$5=1,INDEX('Live History'!$D$5:$D$3004,MATCH($A2657,'Live History'!$D$5:$D$3004,1)),INDEX('AH History'!$D$5:$GG$1380,$K2657,AH!$U$10+2))),NA()),NA())</f>
        <v/>
      </c>
      <c r="H2657" s="266">
        <f>IFERROR(IF(ISNUMBER($A2657),IF(AND(AH!$U$12=1,2652+1=AH!$U$6),IF(AH!$U$4=0,"unavailable",INDEX('Market Data'!$AP$5:$AP$66,AH!$U$4)),IF(AH!$U$5=1,INDEX('Live History'!$H$5:$H$3004,MATCH($A2657,'Live History'!$G$5:$G$3004,1)),INDEX('AH History'!$B$5:$B$1380,$K2657))),NA()),NA())</f>
        <v/>
      </c>
      <c r="I2657" s="34">
        <f>IFERROR(IF(ISNUMBER($A2657),IF(AND(AH!$U$12=1,2652+1=AH!$U$6),TODAY(),IF(AH!$U$5=1,INDEX('Live History'!$G$5:$G$3004,MATCH($A2657,'Live History'!$G$5:$G$3004,1)),INDEX('AH History'!$C$5:$C$1380,$K2657))),NA()),NA())</f>
        <v/>
      </c>
      <c r="J2657" s="32">
        <f>IFERROR(IF(AND($F2657&gt;0,$H2657&gt;0,$A2657-$G2657&lt;=10,$A2657-$I2657&lt;=5,$G2657&gt;0,$I2657&gt;0),$F2657*$H2657,NA()),NA())</f>
        <v/>
      </c>
      <c r="K2657" s="15">
        <f>IF($A2657="","",IF(AH!$U$5=1,IFERROR(MATCH($A2657,'Live History'!$A$5:$A$3004,0),0),AH!$U$7+2652))</f>
        <v/>
      </c>
      <c r="L2657" s="15">
        <f>IF(ISNUMBER(A2657),TEXT(A2657,"dd-mmm-yy"),"")</f>
        <v/>
      </c>
    </row>
    <row r="2658">
      <c r="A2658" s="14">
        <f>IF(OR(AH!$U$4=0,2653+1&gt;AH!$U$6,AND(AH!$M$5="Bloomberg",AH!$U$5=0)),"",IFERROR(IF(AND(AH!$U$12=1,2653+1=AH!$U$6),TODAY(),IF(AH!$U$5=1,INDEX('Live History'!$A$5:$A$3004,AH!$U$7+2653),INDEX('AH History'!$A$5:$A$1380,AH!$U$7+2653))),""))</f>
        <v/>
      </c>
      <c r="B2658" s="33">
        <f>IFERROR(IF(AH!$U$11=1,NA(),$J2658/$E2658-1),NA())</f>
        <v/>
      </c>
      <c r="C2658" s="269">
        <f>IFERROR(100*$E2658/$E$5,NA())</f>
        <v/>
      </c>
      <c r="D2658" s="269">
        <f>IFERROR(100*$J2658/$J$5,NA())</f>
        <v/>
      </c>
      <c r="E2658" s="32">
        <f>IFERROR(IF(AND(ISNUMBER($A2658),N(IF(AND(AH!$U$12=1,2653+1=AH!$U$6),IF(AH!$U$4=0,"unavailable",INDEX('Market Data'!$AN$5:$AN$66,AH!$U$4)),IF(AH!$U$5=1,INDEX('Live History'!$B$5:$B$3004,$K2658),INDEX('AH History'!$D$5:$GG$1380,$K2658,AH!$U$10))))&gt;0),IF(AND(AH!$U$12=1,2653+1=AH!$U$6),IF(AH!$U$4=0,"unavailable",INDEX('Market Data'!$AN$5:$AN$66,AH!$U$4)),IF(AH!$U$5=1,INDEX('Live History'!$B$5:$B$3004,$K2658),INDEX('AH History'!$D$5:$GG$1380,$K2658,AH!$U$10))),NA()),NA())</f>
        <v/>
      </c>
      <c r="F2658" s="32">
        <f>IFERROR(IF(ISNUMBER($A2658),IF(AND(AH!$U$12=1,2653+1=AH!$U$6),IF(AH!$U$4=0,"unavailable",INDEX('Market Data'!$AO$5:$AO$66,AH!$U$4)),IF(AH!$U$5=1,INDEX('Live History'!$E$5:$E$3004,MATCH($A2658,'Live History'!$D$5:$D$3004,1)),INDEX('AH History'!$D$5:$GG$1380,$K2658,AH!$U$10+1))),NA()),NA())</f>
        <v/>
      </c>
      <c r="G2658" s="34">
        <f>IFERROR(IF(ISNUMBER($A2658),IF(AND(AH!$U$12=1,2653+1=AH!$U$6),IF(AH!$U$4=0,"unavailable",INDEX('Market Data'!$AK$5:$AK$66,AH!$U$4)),IF(AH!$U$5=1,INDEX('Live History'!$D$5:$D$3004,MATCH($A2658,'Live History'!$D$5:$D$3004,1)),INDEX('AH History'!$D$5:$GG$1380,$K2658,AH!$U$10+2))),NA()),NA())</f>
        <v/>
      </c>
      <c r="H2658" s="266">
        <f>IFERROR(IF(ISNUMBER($A2658),IF(AND(AH!$U$12=1,2653+1=AH!$U$6),IF(AH!$U$4=0,"unavailable",INDEX('Market Data'!$AP$5:$AP$66,AH!$U$4)),IF(AH!$U$5=1,INDEX('Live History'!$H$5:$H$3004,MATCH($A2658,'Live History'!$G$5:$G$3004,1)),INDEX('AH History'!$B$5:$B$1380,$K2658))),NA()),NA())</f>
        <v/>
      </c>
      <c r="I2658" s="34">
        <f>IFERROR(IF(ISNUMBER($A2658),IF(AND(AH!$U$12=1,2653+1=AH!$U$6),TODAY(),IF(AH!$U$5=1,INDEX('Live History'!$G$5:$G$3004,MATCH($A2658,'Live History'!$G$5:$G$3004,1)),INDEX('AH History'!$C$5:$C$1380,$K2658))),NA()),NA())</f>
        <v/>
      </c>
      <c r="J2658" s="32">
        <f>IFERROR(IF(AND($F2658&gt;0,$H2658&gt;0,$A2658-$G2658&lt;=10,$A2658-$I2658&lt;=5,$G2658&gt;0,$I2658&gt;0),$F2658*$H2658,NA()),NA())</f>
        <v/>
      </c>
      <c r="K2658" s="15">
        <f>IF($A2658="","",IF(AH!$U$5=1,IFERROR(MATCH($A2658,'Live History'!$A$5:$A$3004,0),0),AH!$U$7+2653))</f>
        <v/>
      </c>
      <c r="L2658" s="15">
        <f>IF(ISNUMBER(A2658),TEXT(A2658,"dd-mmm-yy"),"")</f>
        <v/>
      </c>
    </row>
    <row r="2659">
      <c r="A2659" s="14">
        <f>IF(OR(AH!$U$4=0,2654+1&gt;AH!$U$6,AND(AH!$M$5="Bloomberg",AH!$U$5=0)),"",IFERROR(IF(AND(AH!$U$12=1,2654+1=AH!$U$6),TODAY(),IF(AH!$U$5=1,INDEX('Live History'!$A$5:$A$3004,AH!$U$7+2654),INDEX('AH History'!$A$5:$A$1380,AH!$U$7+2654))),""))</f>
        <v/>
      </c>
      <c r="B2659" s="33">
        <f>IFERROR(IF(AH!$U$11=1,NA(),$J2659/$E2659-1),NA())</f>
        <v/>
      </c>
      <c r="C2659" s="269">
        <f>IFERROR(100*$E2659/$E$5,NA())</f>
        <v/>
      </c>
      <c r="D2659" s="269">
        <f>IFERROR(100*$J2659/$J$5,NA())</f>
        <v/>
      </c>
      <c r="E2659" s="32">
        <f>IFERROR(IF(AND(ISNUMBER($A2659),N(IF(AND(AH!$U$12=1,2654+1=AH!$U$6),IF(AH!$U$4=0,"unavailable",INDEX('Market Data'!$AN$5:$AN$66,AH!$U$4)),IF(AH!$U$5=1,INDEX('Live History'!$B$5:$B$3004,$K2659),INDEX('AH History'!$D$5:$GG$1380,$K2659,AH!$U$10))))&gt;0),IF(AND(AH!$U$12=1,2654+1=AH!$U$6),IF(AH!$U$4=0,"unavailable",INDEX('Market Data'!$AN$5:$AN$66,AH!$U$4)),IF(AH!$U$5=1,INDEX('Live History'!$B$5:$B$3004,$K2659),INDEX('AH History'!$D$5:$GG$1380,$K2659,AH!$U$10))),NA()),NA())</f>
        <v/>
      </c>
      <c r="F2659" s="32">
        <f>IFERROR(IF(ISNUMBER($A2659),IF(AND(AH!$U$12=1,2654+1=AH!$U$6),IF(AH!$U$4=0,"unavailable",INDEX('Market Data'!$AO$5:$AO$66,AH!$U$4)),IF(AH!$U$5=1,INDEX('Live History'!$E$5:$E$3004,MATCH($A2659,'Live History'!$D$5:$D$3004,1)),INDEX('AH History'!$D$5:$GG$1380,$K2659,AH!$U$10+1))),NA()),NA())</f>
        <v/>
      </c>
      <c r="G2659" s="34">
        <f>IFERROR(IF(ISNUMBER($A2659),IF(AND(AH!$U$12=1,2654+1=AH!$U$6),IF(AH!$U$4=0,"unavailable",INDEX('Market Data'!$AK$5:$AK$66,AH!$U$4)),IF(AH!$U$5=1,INDEX('Live History'!$D$5:$D$3004,MATCH($A2659,'Live History'!$D$5:$D$3004,1)),INDEX('AH History'!$D$5:$GG$1380,$K2659,AH!$U$10+2))),NA()),NA())</f>
        <v/>
      </c>
      <c r="H2659" s="266">
        <f>IFERROR(IF(ISNUMBER($A2659),IF(AND(AH!$U$12=1,2654+1=AH!$U$6),IF(AH!$U$4=0,"unavailable",INDEX('Market Data'!$AP$5:$AP$66,AH!$U$4)),IF(AH!$U$5=1,INDEX('Live History'!$H$5:$H$3004,MATCH($A2659,'Live History'!$G$5:$G$3004,1)),INDEX('AH History'!$B$5:$B$1380,$K2659))),NA()),NA())</f>
        <v/>
      </c>
      <c r="I2659" s="34">
        <f>IFERROR(IF(ISNUMBER($A2659),IF(AND(AH!$U$12=1,2654+1=AH!$U$6),TODAY(),IF(AH!$U$5=1,INDEX('Live History'!$G$5:$G$3004,MATCH($A2659,'Live History'!$G$5:$G$3004,1)),INDEX('AH History'!$C$5:$C$1380,$K2659))),NA()),NA())</f>
        <v/>
      </c>
      <c r="J2659" s="32">
        <f>IFERROR(IF(AND($F2659&gt;0,$H2659&gt;0,$A2659-$G2659&lt;=10,$A2659-$I2659&lt;=5,$G2659&gt;0,$I2659&gt;0),$F2659*$H2659,NA()),NA())</f>
        <v/>
      </c>
      <c r="K2659" s="15">
        <f>IF($A2659="","",IF(AH!$U$5=1,IFERROR(MATCH($A2659,'Live History'!$A$5:$A$3004,0),0),AH!$U$7+2654))</f>
        <v/>
      </c>
      <c r="L2659" s="15">
        <f>IF(ISNUMBER(A2659),TEXT(A2659,"dd-mmm-yy"),"")</f>
        <v/>
      </c>
    </row>
    <row r="2660">
      <c r="A2660" s="14">
        <f>IF(OR(AH!$U$4=0,2655+1&gt;AH!$U$6,AND(AH!$M$5="Bloomberg",AH!$U$5=0)),"",IFERROR(IF(AND(AH!$U$12=1,2655+1=AH!$U$6),TODAY(),IF(AH!$U$5=1,INDEX('Live History'!$A$5:$A$3004,AH!$U$7+2655),INDEX('AH History'!$A$5:$A$1380,AH!$U$7+2655))),""))</f>
        <v/>
      </c>
      <c r="B2660" s="33">
        <f>IFERROR(IF(AH!$U$11=1,NA(),$J2660/$E2660-1),NA())</f>
        <v/>
      </c>
      <c r="C2660" s="269">
        <f>IFERROR(100*$E2660/$E$5,NA())</f>
        <v/>
      </c>
      <c r="D2660" s="269">
        <f>IFERROR(100*$J2660/$J$5,NA())</f>
        <v/>
      </c>
      <c r="E2660" s="32">
        <f>IFERROR(IF(AND(ISNUMBER($A2660),N(IF(AND(AH!$U$12=1,2655+1=AH!$U$6),IF(AH!$U$4=0,"unavailable",INDEX('Market Data'!$AN$5:$AN$66,AH!$U$4)),IF(AH!$U$5=1,INDEX('Live History'!$B$5:$B$3004,$K2660),INDEX('AH History'!$D$5:$GG$1380,$K2660,AH!$U$10))))&gt;0),IF(AND(AH!$U$12=1,2655+1=AH!$U$6),IF(AH!$U$4=0,"unavailable",INDEX('Market Data'!$AN$5:$AN$66,AH!$U$4)),IF(AH!$U$5=1,INDEX('Live History'!$B$5:$B$3004,$K2660),INDEX('AH History'!$D$5:$GG$1380,$K2660,AH!$U$10))),NA()),NA())</f>
        <v/>
      </c>
      <c r="F2660" s="32">
        <f>IFERROR(IF(ISNUMBER($A2660),IF(AND(AH!$U$12=1,2655+1=AH!$U$6),IF(AH!$U$4=0,"unavailable",INDEX('Market Data'!$AO$5:$AO$66,AH!$U$4)),IF(AH!$U$5=1,INDEX('Live History'!$E$5:$E$3004,MATCH($A2660,'Live History'!$D$5:$D$3004,1)),INDEX('AH History'!$D$5:$GG$1380,$K2660,AH!$U$10+1))),NA()),NA())</f>
        <v/>
      </c>
      <c r="G2660" s="34">
        <f>IFERROR(IF(ISNUMBER($A2660),IF(AND(AH!$U$12=1,2655+1=AH!$U$6),IF(AH!$U$4=0,"unavailable",INDEX('Market Data'!$AK$5:$AK$66,AH!$U$4)),IF(AH!$U$5=1,INDEX('Live History'!$D$5:$D$3004,MATCH($A2660,'Live History'!$D$5:$D$3004,1)),INDEX('AH History'!$D$5:$GG$1380,$K2660,AH!$U$10+2))),NA()),NA())</f>
        <v/>
      </c>
      <c r="H2660" s="266">
        <f>IFERROR(IF(ISNUMBER($A2660),IF(AND(AH!$U$12=1,2655+1=AH!$U$6),IF(AH!$U$4=0,"unavailable",INDEX('Market Data'!$AP$5:$AP$66,AH!$U$4)),IF(AH!$U$5=1,INDEX('Live History'!$H$5:$H$3004,MATCH($A2660,'Live History'!$G$5:$G$3004,1)),INDEX('AH History'!$B$5:$B$1380,$K2660))),NA()),NA())</f>
        <v/>
      </c>
      <c r="I2660" s="34">
        <f>IFERROR(IF(ISNUMBER($A2660),IF(AND(AH!$U$12=1,2655+1=AH!$U$6),TODAY(),IF(AH!$U$5=1,INDEX('Live History'!$G$5:$G$3004,MATCH($A2660,'Live History'!$G$5:$G$3004,1)),INDEX('AH History'!$C$5:$C$1380,$K2660))),NA()),NA())</f>
        <v/>
      </c>
      <c r="J2660" s="32">
        <f>IFERROR(IF(AND($F2660&gt;0,$H2660&gt;0,$A2660-$G2660&lt;=10,$A2660-$I2660&lt;=5,$G2660&gt;0,$I2660&gt;0),$F2660*$H2660,NA()),NA())</f>
        <v/>
      </c>
      <c r="K2660" s="15">
        <f>IF($A2660="","",IF(AH!$U$5=1,IFERROR(MATCH($A2660,'Live History'!$A$5:$A$3004,0),0),AH!$U$7+2655))</f>
        <v/>
      </c>
      <c r="L2660" s="15">
        <f>IF(ISNUMBER(A2660),TEXT(A2660,"dd-mmm-yy"),"")</f>
        <v/>
      </c>
    </row>
    <row r="2661">
      <c r="A2661" s="14">
        <f>IF(OR(AH!$U$4=0,2656+1&gt;AH!$U$6,AND(AH!$M$5="Bloomberg",AH!$U$5=0)),"",IFERROR(IF(AND(AH!$U$12=1,2656+1=AH!$U$6),TODAY(),IF(AH!$U$5=1,INDEX('Live History'!$A$5:$A$3004,AH!$U$7+2656),INDEX('AH History'!$A$5:$A$1380,AH!$U$7+2656))),""))</f>
        <v/>
      </c>
      <c r="B2661" s="33">
        <f>IFERROR(IF(AH!$U$11=1,NA(),$J2661/$E2661-1),NA())</f>
        <v/>
      </c>
      <c r="C2661" s="269">
        <f>IFERROR(100*$E2661/$E$5,NA())</f>
        <v/>
      </c>
      <c r="D2661" s="269">
        <f>IFERROR(100*$J2661/$J$5,NA())</f>
        <v/>
      </c>
      <c r="E2661" s="32">
        <f>IFERROR(IF(AND(ISNUMBER($A2661),N(IF(AND(AH!$U$12=1,2656+1=AH!$U$6),IF(AH!$U$4=0,"unavailable",INDEX('Market Data'!$AN$5:$AN$66,AH!$U$4)),IF(AH!$U$5=1,INDEX('Live History'!$B$5:$B$3004,$K2661),INDEX('AH History'!$D$5:$GG$1380,$K2661,AH!$U$10))))&gt;0),IF(AND(AH!$U$12=1,2656+1=AH!$U$6),IF(AH!$U$4=0,"unavailable",INDEX('Market Data'!$AN$5:$AN$66,AH!$U$4)),IF(AH!$U$5=1,INDEX('Live History'!$B$5:$B$3004,$K2661),INDEX('AH History'!$D$5:$GG$1380,$K2661,AH!$U$10))),NA()),NA())</f>
        <v/>
      </c>
      <c r="F2661" s="32">
        <f>IFERROR(IF(ISNUMBER($A2661),IF(AND(AH!$U$12=1,2656+1=AH!$U$6),IF(AH!$U$4=0,"unavailable",INDEX('Market Data'!$AO$5:$AO$66,AH!$U$4)),IF(AH!$U$5=1,INDEX('Live History'!$E$5:$E$3004,MATCH($A2661,'Live History'!$D$5:$D$3004,1)),INDEX('AH History'!$D$5:$GG$1380,$K2661,AH!$U$10+1))),NA()),NA())</f>
        <v/>
      </c>
      <c r="G2661" s="34">
        <f>IFERROR(IF(ISNUMBER($A2661),IF(AND(AH!$U$12=1,2656+1=AH!$U$6),IF(AH!$U$4=0,"unavailable",INDEX('Market Data'!$AK$5:$AK$66,AH!$U$4)),IF(AH!$U$5=1,INDEX('Live History'!$D$5:$D$3004,MATCH($A2661,'Live History'!$D$5:$D$3004,1)),INDEX('AH History'!$D$5:$GG$1380,$K2661,AH!$U$10+2))),NA()),NA())</f>
        <v/>
      </c>
      <c r="H2661" s="266">
        <f>IFERROR(IF(ISNUMBER($A2661),IF(AND(AH!$U$12=1,2656+1=AH!$U$6),IF(AH!$U$4=0,"unavailable",INDEX('Market Data'!$AP$5:$AP$66,AH!$U$4)),IF(AH!$U$5=1,INDEX('Live History'!$H$5:$H$3004,MATCH($A2661,'Live History'!$G$5:$G$3004,1)),INDEX('AH History'!$B$5:$B$1380,$K2661))),NA()),NA())</f>
        <v/>
      </c>
      <c r="I2661" s="34">
        <f>IFERROR(IF(ISNUMBER($A2661),IF(AND(AH!$U$12=1,2656+1=AH!$U$6),TODAY(),IF(AH!$U$5=1,INDEX('Live History'!$G$5:$G$3004,MATCH($A2661,'Live History'!$G$5:$G$3004,1)),INDEX('AH History'!$C$5:$C$1380,$K2661))),NA()),NA())</f>
        <v/>
      </c>
      <c r="J2661" s="32">
        <f>IFERROR(IF(AND($F2661&gt;0,$H2661&gt;0,$A2661-$G2661&lt;=10,$A2661-$I2661&lt;=5,$G2661&gt;0,$I2661&gt;0),$F2661*$H2661,NA()),NA())</f>
        <v/>
      </c>
      <c r="K2661" s="15">
        <f>IF($A2661="","",IF(AH!$U$5=1,IFERROR(MATCH($A2661,'Live History'!$A$5:$A$3004,0),0),AH!$U$7+2656))</f>
        <v/>
      </c>
      <c r="L2661" s="15">
        <f>IF(ISNUMBER(A2661),TEXT(A2661,"dd-mmm-yy"),"")</f>
        <v/>
      </c>
    </row>
    <row r="2662">
      <c r="A2662" s="14">
        <f>IF(OR(AH!$U$4=0,2657+1&gt;AH!$U$6,AND(AH!$M$5="Bloomberg",AH!$U$5=0)),"",IFERROR(IF(AND(AH!$U$12=1,2657+1=AH!$U$6),TODAY(),IF(AH!$U$5=1,INDEX('Live History'!$A$5:$A$3004,AH!$U$7+2657),INDEX('AH History'!$A$5:$A$1380,AH!$U$7+2657))),""))</f>
        <v/>
      </c>
      <c r="B2662" s="33">
        <f>IFERROR(IF(AH!$U$11=1,NA(),$J2662/$E2662-1),NA())</f>
        <v/>
      </c>
      <c r="C2662" s="269">
        <f>IFERROR(100*$E2662/$E$5,NA())</f>
        <v/>
      </c>
      <c r="D2662" s="269">
        <f>IFERROR(100*$J2662/$J$5,NA())</f>
        <v/>
      </c>
      <c r="E2662" s="32">
        <f>IFERROR(IF(AND(ISNUMBER($A2662),N(IF(AND(AH!$U$12=1,2657+1=AH!$U$6),IF(AH!$U$4=0,"unavailable",INDEX('Market Data'!$AN$5:$AN$66,AH!$U$4)),IF(AH!$U$5=1,INDEX('Live History'!$B$5:$B$3004,$K2662),INDEX('AH History'!$D$5:$GG$1380,$K2662,AH!$U$10))))&gt;0),IF(AND(AH!$U$12=1,2657+1=AH!$U$6),IF(AH!$U$4=0,"unavailable",INDEX('Market Data'!$AN$5:$AN$66,AH!$U$4)),IF(AH!$U$5=1,INDEX('Live History'!$B$5:$B$3004,$K2662),INDEX('AH History'!$D$5:$GG$1380,$K2662,AH!$U$10))),NA()),NA())</f>
        <v/>
      </c>
      <c r="F2662" s="32">
        <f>IFERROR(IF(ISNUMBER($A2662),IF(AND(AH!$U$12=1,2657+1=AH!$U$6),IF(AH!$U$4=0,"unavailable",INDEX('Market Data'!$AO$5:$AO$66,AH!$U$4)),IF(AH!$U$5=1,INDEX('Live History'!$E$5:$E$3004,MATCH($A2662,'Live History'!$D$5:$D$3004,1)),INDEX('AH History'!$D$5:$GG$1380,$K2662,AH!$U$10+1))),NA()),NA())</f>
        <v/>
      </c>
      <c r="G2662" s="34">
        <f>IFERROR(IF(ISNUMBER($A2662),IF(AND(AH!$U$12=1,2657+1=AH!$U$6),IF(AH!$U$4=0,"unavailable",INDEX('Market Data'!$AK$5:$AK$66,AH!$U$4)),IF(AH!$U$5=1,INDEX('Live History'!$D$5:$D$3004,MATCH($A2662,'Live History'!$D$5:$D$3004,1)),INDEX('AH History'!$D$5:$GG$1380,$K2662,AH!$U$10+2))),NA()),NA())</f>
        <v/>
      </c>
      <c r="H2662" s="266">
        <f>IFERROR(IF(ISNUMBER($A2662),IF(AND(AH!$U$12=1,2657+1=AH!$U$6),IF(AH!$U$4=0,"unavailable",INDEX('Market Data'!$AP$5:$AP$66,AH!$U$4)),IF(AH!$U$5=1,INDEX('Live History'!$H$5:$H$3004,MATCH($A2662,'Live History'!$G$5:$G$3004,1)),INDEX('AH History'!$B$5:$B$1380,$K2662))),NA()),NA())</f>
        <v/>
      </c>
      <c r="I2662" s="34">
        <f>IFERROR(IF(ISNUMBER($A2662),IF(AND(AH!$U$12=1,2657+1=AH!$U$6),TODAY(),IF(AH!$U$5=1,INDEX('Live History'!$G$5:$G$3004,MATCH($A2662,'Live History'!$G$5:$G$3004,1)),INDEX('AH History'!$C$5:$C$1380,$K2662))),NA()),NA())</f>
        <v/>
      </c>
      <c r="J2662" s="32">
        <f>IFERROR(IF(AND($F2662&gt;0,$H2662&gt;0,$A2662-$G2662&lt;=10,$A2662-$I2662&lt;=5,$G2662&gt;0,$I2662&gt;0),$F2662*$H2662,NA()),NA())</f>
        <v/>
      </c>
      <c r="K2662" s="15">
        <f>IF($A2662="","",IF(AH!$U$5=1,IFERROR(MATCH($A2662,'Live History'!$A$5:$A$3004,0),0),AH!$U$7+2657))</f>
        <v/>
      </c>
      <c r="L2662" s="15">
        <f>IF(ISNUMBER(A2662),TEXT(A2662,"dd-mmm-yy"),"")</f>
        <v/>
      </c>
    </row>
    <row r="2663">
      <c r="A2663" s="14">
        <f>IF(OR(AH!$U$4=0,2658+1&gt;AH!$U$6,AND(AH!$M$5="Bloomberg",AH!$U$5=0)),"",IFERROR(IF(AND(AH!$U$12=1,2658+1=AH!$U$6),TODAY(),IF(AH!$U$5=1,INDEX('Live History'!$A$5:$A$3004,AH!$U$7+2658),INDEX('AH History'!$A$5:$A$1380,AH!$U$7+2658))),""))</f>
        <v/>
      </c>
      <c r="B2663" s="33">
        <f>IFERROR(IF(AH!$U$11=1,NA(),$J2663/$E2663-1),NA())</f>
        <v/>
      </c>
      <c r="C2663" s="269">
        <f>IFERROR(100*$E2663/$E$5,NA())</f>
        <v/>
      </c>
      <c r="D2663" s="269">
        <f>IFERROR(100*$J2663/$J$5,NA())</f>
        <v/>
      </c>
      <c r="E2663" s="32">
        <f>IFERROR(IF(AND(ISNUMBER($A2663),N(IF(AND(AH!$U$12=1,2658+1=AH!$U$6),IF(AH!$U$4=0,"unavailable",INDEX('Market Data'!$AN$5:$AN$66,AH!$U$4)),IF(AH!$U$5=1,INDEX('Live History'!$B$5:$B$3004,$K2663),INDEX('AH History'!$D$5:$GG$1380,$K2663,AH!$U$10))))&gt;0),IF(AND(AH!$U$12=1,2658+1=AH!$U$6),IF(AH!$U$4=0,"unavailable",INDEX('Market Data'!$AN$5:$AN$66,AH!$U$4)),IF(AH!$U$5=1,INDEX('Live History'!$B$5:$B$3004,$K2663),INDEX('AH History'!$D$5:$GG$1380,$K2663,AH!$U$10))),NA()),NA())</f>
        <v/>
      </c>
      <c r="F2663" s="32">
        <f>IFERROR(IF(ISNUMBER($A2663),IF(AND(AH!$U$12=1,2658+1=AH!$U$6),IF(AH!$U$4=0,"unavailable",INDEX('Market Data'!$AO$5:$AO$66,AH!$U$4)),IF(AH!$U$5=1,INDEX('Live History'!$E$5:$E$3004,MATCH($A2663,'Live History'!$D$5:$D$3004,1)),INDEX('AH History'!$D$5:$GG$1380,$K2663,AH!$U$10+1))),NA()),NA())</f>
        <v/>
      </c>
      <c r="G2663" s="34">
        <f>IFERROR(IF(ISNUMBER($A2663),IF(AND(AH!$U$12=1,2658+1=AH!$U$6),IF(AH!$U$4=0,"unavailable",INDEX('Market Data'!$AK$5:$AK$66,AH!$U$4)),IF(AH!$U$5=1,INDEX('Live History'!$D$5:$D$3004,MATCH($A2663,'Live History'!$D$5:$D$3004,1)),INDEX('AH History'!$D$5:$GG$1380,$K2663,AH!$U$10+2))),NA()),NA())</f>
        <v/>
      </c>
      <c r="H2663" s="266">
        <f>IFERROR(IF(ISNUMBER($A2663),IF(AND(AH!$U$12=1,2658+1=AH!$U$6),IF(AH!$U$4=0,"unavailable",INDEX('Market Data'!$AP$5:$AP$66,AH!$U$4)),IF(AH!$U$5=1,INDEX('Live History'!$H$5:$H$3004,MATCH($A2663,'Live History'!$G$5:$G$3004,1)),INDEX('AH History'!$B$5:$B$1380,$K2663))),NA()),NA())</f>
        <v/>
      </c>
      <c r="I2663" s="34">
        <f>IFERROR(IF(ISNUMBER($A2663),IF(AND(AH!$U$12=1,2658+1=AH!$U$6),TODAY(),IF(AH!$U$5=1,INDEX('Live History'!$G$5:$G$3004,MATCH($A2663,'Live History'!$G$5:$G$3004,1)),INDEX('AH History'!$C$5:$C$1380,$K2663))),NA()),NA())</f>
        <v/>
      </c>
      <c r="J2663" s="32">
        <f>IFERROR(IF(AND($F2663&gt;0,$H2663&gt;0,$A2663-$G2663&lt;=10,$A2663-$I2663&lt;=5,$G2663&gt;0,$I2663&gt;0),$F2663*$H2663,NA()),NA())</f>
        <v/>
      </c>
      <c r="K2663" s="15">
        <f>IF($A2663="","",IF(AH!$U$5=1,IFERROR(MATCH($A2663,'Live History'!$A$5:$A$3004,0),0),AH!$U$7+2658))</f>
        <v/>
      </c>
      <c r="L2663" s="15">
        <f>IF(ISNUMBER(A2663),TEXT(A2663,"dd-mmm-yy"),"")</f>
        <v/>
      </c>
    </row>
    <row r="2664">
      <c r="A2664" s="14">
        <f>IF(OR(AH!$U$4=0,2659+1&gt;AH!$U$6,AND(AH!$M$5="Bloomberg",AH!$U$5=0)),"",IFERROR(IF(AND(AH!$U$12=1,2659+1=AH!$U$6),TODAY(),IF(AH!$U$5=1,INDEX('Live History'!$A$5:$A$3004,AH!$U$7+2659),INDEX('AH History'!$A$5:$A$1380,AH!$U$7+2659))),""))</f>
        <v/>
      </c>
      <c r="B2664" s="33">
        <f>IFERROR(IF(AH!$U$11=1,NA(),$J2664/$E2664-1),NA())</f>
        <v/>
      </c>
      <c r="C2664" s="269">
        <f>IFERROR(100*$E2664/$E$5,NA())</f>
        <v/>
      </c>
      <c r="D2664" s="269">
        <f>IFERROR(100*$J2664/$J$5,NA())</f>
        <v/>
      </c>
      <c r="E2664" s="32">
        <f>IFERROR(IF(AND(ISNUMBER($A2664),N(IF(AND(AH!$U$12=1,2659+1=AH!$U$6),IF(AH!$U$4=0,"unavailable",INDEX('Market Data'!$AN$5:$AN$66,AH!$U$4)),IF(AH!$U$5=1,INDEX('Live History'!$B$5:$B$3004,$K2664),INDEX('AH History'!$D$5:$GG$1380,$K2664,AH!$U$10))))&gt;0),IF(AND(AH!$U$12=1,2659+1=AH!$U$6),IF(AH!$U$4=0,"unavailable",INDEX('Market Data'!$AN$5:$AN$66,AH!$U$4)),IF(AH!$U$5=1,INDEX('Live History'!$B$5:$B$3004,$K2664),INDEX('AH History'!$D$5:$GG$1380,$K2664,AH!$U$10))),NA()),NA())</f>
        <v/>
      </c>
      <c r="F2664" s="32">
        <f>IFERROR(IF(ISNUMBER($A2664),IF(AND(AH!$U$12=1,2659+1=AH!$U$6),IF(AH!$U$4=0,"unavailable",INDEX('Market Data'!$AO$5:$AO$66,AH!$U$4)),IF(AH!$U$5=1,INDEX('Live History'!$E$5:$E$3004,MATCH($A2664,'Live History'!$D$5:$D$3004,1)),INDEX('AH History'!$D$5:$GG$1380,$K2664,AH!$U$10+1))),NA()),NA())</f>
        <v/>
      </c>
      <c r="G2664" s="34">
        <f>IFERROR(IF(ISNUMBER($A2664),IF(AND(AH!$U$12=1,2659+1=AH!$U$6),IF(AH!$U$4=0,"unavailable",INDEX('Market Data'!$AK$5:$AK$66,AH!$U$4)),IF(AH!$U$5=1,INDEX('Live History'!$D$5:$D$3004,MATCH($A2664,'Live History'!$D$5:$D$3004,1)),INDEX('AH History'!$D$5:$GG$1380,$K2664,AH!$U$10+2))),NA()),NA())</f>
        <v/>
      </c>
      <c r="H2664" s="266">
        <f>IFERROR(IF(ISNUMBER($A2664),IF(AND(AH!$U$12=1,2659+1=AH!$U$6),IF(AH!$U$4=0,"unavailable",INDEX('Market Data'!$AP$5:$AP$66,AH!$U$4)),IF(AH!$U$5=1,INDEX('Live History'!$H$5:$H$3004,MATCH($A2664,'Live History'!$G$5:$G$3004,1)),INDEX('AH History'!$B$5:$B$1380,$K2664))),NA()),NA())</f>
        <v/>
      </c>
      <c r="I2664" s="34">
        <f>IFERROR(IF(ISNUMBER($A2664),IF(AND(AH!$U$12=1,2659+1=AH!$U$6),TODAY(),IF(AH!$U$5=1,INDEX('Live History'!$G$5:$G$3004,MATCH($A2664,'Live History'!$G$5:$G$3004,1)),INDEX('AH History'!$C$5:$C$1380,$K2664))),NA()),NA())</f>
        <v/>
      </c>
      <c r="J2664" s="32">
        <f>IFERROR(IF(AND($F2664&gt;0,$H2664&gt;0,$A2664-$G2664&lt;=10,$A2664-$I2664&lt;=5,$G2664&gt;0,$I2664&gt;0),$F2664*$H2664,NA()),NA())</f>
        <v/>
      </c>
      <c r="K2664" s="15">
        <f>IF($A2664="","",IF(AH!$U$5=1,IFERROR(MATCH($A2664,'Live History'!$A$5:$A$3004,0),0),AH!$U$7+2659))</f>
        <v/>
      </c>
      <c r="L2664" s="15">
        <f>IF(ISNUMBER(A2664),TEXT(A2664,"dd-mmm-yy"),"")</f>
        <v/>
      </c>
    </row>
    <row r="2665">
      <c r="A2665" s="14">
        <f>IF(OR(AH!$U$4=0,2660+1&gt;AH!$U$6,AND(AH!$M$5="Bloomberg",AH!$U$5=0)),"",IFERROR(IF(AND(AH!$U$12=1,2660+1=AH!$U$6),TODAY(),IF(AH!$U$5=1,INDEX('Live History'!$A$5:$A$3004,AH!$U$7+2660),INDEX('AH History'!$A$5:$A$1380,AH!$U$7+2660))),""))</f>
        <v/>
      </c>
      <c r="B2665" s="33">
        <f>IFERROR(IF(AH!$U$11=1,NA(),$J2665/$E2665-1),NA())</f>
        <v/>
      </c>
      <c r="C2665" s="269">
        <f>IFERROR(100*$E2665/$E$5,NA())</f>
        <v/>
      </c>
      <c r="D2665" s="269">
        <f>IFERROR(100*$J2665/$J$5,NA())</f>
        <v/>
      </c>
      <c r="E2665" s="32">
        <f>IFERROR(IF(AND(ISNUMBER($A2665),N(IF(AND(AH!$U$12=1,2660+1=AH!$U$6),IF(AH!$U$4=0,"unavailable",INDEX('Market Data'!$AN$5:$AN$66,AH!$U$4)),IF(AH!$U$5=1,INDEX('Live History'!$B$5:$B$3004,$K2665),INDEX('AH History'!$D$5:$GG$1380,$K2665,AH!$U$10))))&gt;0),IF(AND(AH!$U$12=1,2660+1=AH!$U$6),IF(AH!$U$4=0,"unavailable",INDEX('Market Data'!$AN$5:$AN$66,AH!$U$4)),IF(AH!$U$5=1,INDEX('Live History'!$B$5:$B$3004,$K2665),INDEX('AH History'!$D$5:$GG$1380,$K2665,AH!$U$10))),NA()),NA())</f>
        <v/>
      </c>
      <c r="F2665" s="32">
        <f>IFERROR(IF(ISNUMBER($A2665),IF(AND(AH!$U$12=1,2660+1=AH!$U$6),IF(AH!$U$4=0,"unavailable",INDEX('Market Data'!$AO$5:$AO$66,AH!$U$4)),IF(AH!$U$5=1,INDEX('Live History'!$E$5:$E$3004,MATCH($A2665,'Live History'!$D$5:$D$3004,1)),INDEX('AH History'!$D$5:$GG$1380,$K2665,AH!$U$10+1))),NA()),NA())</f>
        <v/>
      </c>
      <c r="G2665" s="34">
        <f>IFERROR(IF(ISNUMBER($A2665),IF(AND(AH!$U$12=1,2660+1=AH!$U$6),IF(AH!$U$4=0,"unavailable",INDEX('Market Data'!$AK$5:$AK$66,AH!$U$4)),IF(AH!$U$5=1,INDEX('Live History'!$D$5:$D$3004,MATCH($A2665,'Live History'!$D$5:$D$3004,1)),INDEX('AH History'!$D$5:$GG$1380,$K2665,AH!$U$10+2))),NA()),NA())</f>
        <v/>
      </c>
      <c r="H2665" s="266">
        <f>IFERROR(IF(ISNUMBER($A2665),IF(AND(AH!$U$12=1,2660+1=AH!$U$6),IF(AH!$U$4=0,"unavailable",INDEX('Market Data'!$AP$5:$AP$66,AH!$U$4)),IF(AH!$U$5=1,INDEX('Live History'!$H$5:$H$3004,MATCH($A2665,'Live History'!$G$5:$G$3004,1)),INDEX('AH History'!$B$5:$B$1380,$K2665))),NA()),NA())</f>
        <v/>
      </c>
      <c r="I2665" s="34">
        <f>IFERROR(IF(ISNUMBER($A2665),IF(AND(AH!$U$12=1,2660+1=AH!$U$6),TODAY(),IF(AH!$U$5=1,INDEX('Live History'!$G$5:$G$3004,MATCH($A2665,'Live History'!$G$5:$G$3004,1)),INDEX('AH History'!$C$5:$C$1380,$K2665))),NA()),NA())</f>
        <v/>
      </c>
      <c r="J2665" s="32">
        <f>IFERROR(IF(AND($F2665&gt;0,$H2665&gt;0,$A2665-$G2665&lt;=10,$A2665-$I2665&lt;=5,$G2665&gt;0,$I2665&gt;0),$F2665*$H2665,NA()),NA())</f>
        <v/>
      </c>
      <c r="K2665" s="15">
        <f>IF($A2665="","",IF(AH!$U$5=1,IFERROR(MATCH($A2665,'Live History'!$A$5:$A$3004,0),0),AH!$U$7+2660))</f>
        <v/>
      </c>
      <c r="L2665" s="15">
        <f>IF(ISNUMBER(A2665),TEXT(A2665,"dd-mmm-yy"),"")</f>
        <v/>
      </c>
    </row>
    <row r="2666">
      <c r="A2666" s="14">
        <f>IF(OR(AH!$U$4=0,2661+1&gt;AH!$U$6,AND(AH!$M$5="Bloomberg",AH!$U$5=0)),"",IFERROR(IF(AND(AH!$U$12=1,2661+1=AH!$U$6),TODAY(),IF(AH!$U$5=1,INDEX('Live History'!$A$5:$A$3004,AH!$U$7+2661),INDEX('AH History'!$A$5:$A$1380,AH!$U$7+2661))),""))</f>
        <v/>
      </c>
      <c r="B2666" s="33">
        <f>IFERROR(IF(AH!$U$11=1,NA(),$J2666/$E2666-1),NA())</f>
        <v/>
      </c>
      <c r="C2666" s="269">
        <f>IFERROR(100*$E2666/$E$5,NA())</f>
        <v/>
      </c>
      <c r="D2666" s="269">
        <f>IFERROR(100*$J2666/$J$5,NA())</f>
        <v/>
      </c>
      <c r="E2666" s="32">
        <f>IFERROR(IF(AND(ISNUMBER($A2666),N(IF(AND(AH!$U$12=1,2661+1=AH!$U$6),IF(AH!$U$4=0,"unavailable",INDEX('Market Data'!$AN$5:$AN$66,AH!$U$4)),IF(AH!$U$5=1,INDEX('Live History'!$B$5:$B$3004,$K2666),INDEX('AH History'!$D$5:$GG$1380,$K2666,AH!$U$10))))&gt;0),IF(AND(AH!$U$12=1,2661+1=AH!$U$6),IF(AH!$U$4=0,"unavailable",INDEX('Market Data'!$AN$5:$AN$66,AH!$U$4)),IF(AH!$U$5=1,INDEX('Live History'!$B$5:$B$3004,$K2666),INDEX('AH History'!$D$5:$GG$1380,$K2666,AH!$U$10))),NA()),NA())</f>
        <v/>
      </c>
      <c r="F2666" s="32">
        <f>IFERROR(IF(ISNUMBER($A2666),IF(AND(AH!$U$12=1,2661+1=AH!$U$6),IF(AH!$U$4=0,"unavailable",INDEX('Market Data'!$AO$5:$AO$66,AH!$U$4)),IF(AH!$U$5=1,INDEX('Live History'!$E$5:$E$3004,MATCH($A2666,'Live History'!$D$5:$D$3004,1)),INDEX('AH History'!$D$5:$GG$1380,$K2666,AH!$U$10+1))),NA()),NA())</f>
        <v/>
      </c>
      <c r="G2666" s="34">
        <f>IFERROR(IF(ISNUMBER($A2666),IF(AND(AH!$U$12=1,2661+1=AH!$U$6),IF(AH!$U$4=0,"unavailable",INDEX('Market Data'!$AK$5:$AK$66,AH!$U$4)),IF(AH!$U$5=1,INDEX('Live History'!$D$5:$D$3004,MATCH($A2666,'Live History'!$D$5:$D$3004,1)),INDEX('AH History'!$D$5:$GG$1380,$K2666,AH!$U$10+2))),NA()),NA())</f>
        <v/>
      </c>
      <c r="H2666" s="266">
        <f>IFERROR(IF(ISNUMBER($A2666),IF(AND(AH!$U$12=1,2661+1=AH!$U$6),IF(AH!$U$4=0,"unavailable",INDEX('Market Data'!$AP$5:$AP$66,AH!$U$4)),IF(AH!$U$5=1,INDEX('Live History'!$H$5:$H$3004,MATCH($A2666,'Live History'!$G$5:$G$3004,1)),INDEX('AH History'!$B$5:$B$1380,$K2666))),NA()),NA())</f>
        <v/>
      </c>
      <c r="I2666" s="34">
        <f>IFERROR(IF(ISNUMBER($A2666),IF(AND(AH!$U$12=1,2661+1=AH!$U$6),TODAY(),IF(AH!$U$5=1,INDEX('Live History'!$G$5:$G$3004,MATCH($A2666,'Live History'!$G$5:$G$3004,1)),INDEX('AH History'!$C$5:$C$1380,$K2666))),NA()),NA())</f>
        <v/>
      </c>
      <c r="J2666" s="32">
        <f>IFERROR(IF(AND($F2666&gt;0,$H2666&gt;0,$A2666-$G2666&lt;=10,$A2666-$I2666&lt;=5,$G2666&gt;0,$I2666&gt;0),$F2666*$H2666,NA()),NA())</f>
        <v/>
      </c>
      <c r="K2666" s="15">
        <f>IF($A2666="","",IF(AH!$U$5=1,IFERROR(MATCH($A2666,'Live History'!$A$5:$A$3004,0),0),AH!$U$7+2661))</f>
        <v/>
      </c>
      <c r="L2666" s="15">
        <f>IF(ISNUMBER(A2666),TEXT(A2666,"dd-mmm-yy"),"")</f>
        <v/>
      </c>
    </row>
    <row r="2667">
      <c r="A2667" s="14">
        <f>IF(OR(AH!$U$4=0,2662+1&gt;AH!$U$6,AND(AH!$M$5="Bloomberg",AH!$U$5=0)),"",IFERROR(IF(AND(AH!$U$12=1,2662+1=AH!$U$6),TODAY(),IF(AH!$U$5=1,INDEX('Live History'!$A$5:$A$3004,AH!$U$7+2662),INDEX('AH History'!$A$5:$A$1380,AH!$U$7+2662))),""))</f>
        <v/>
      </c>
      <c r="B2667" s="33">
        <f>IFERROR(IF(AH!$U$11=1,NA(),$J2667/$E2667-1),NA())</f>
        <v/>
      </c>
      <c r="C2667" s="269">
        <f>IFERROR(100*$E2667/$E$5,NA())</f>
        <v/>
      </c>
      <c r="D2667" s="269">
        <f>IFERROR(100*$J2667/$J$5,NA())</f>
        <v/>
      </c>
      <c r="E2667" s="32">
        <f>IFERROR(IF(AND(ISNUMBER($A2667),N(IF(AND(AH!$U$12=1,2662+1=AH!$U$6),IF(AH!$U$4=0,"unavailable",INDEX('Market Data'!$AN$5:$AN$66,AH!$U$4)),IF(AH!$U$5=1,INDEX('Live History'!$B$5:$B$3004,$K2667),INDEX('AH History'!$D$5:$GG$1380,$K2667,AH!$U$10))))&gt;0),IF(AND(AH!$U$12=1,2662+1=AH!$U$6),IF(AH!$U$4=0,"unavailable",INDEX('Market Data'!$AN$5:$AN$66,AH!$U$4)),IF(AH!$U$5=1,INDEX('Live History'!$B$5:$B$3004,$K2667),INDEX('AH History'!$D$5:$GG$1380,$K2667,AH!$U$10))),NA()),NA())</f>
        <v/>
      </c>
      <c r="F2667" s="32">
        <f>IFERROR(IF(ISNUMBER($A2667),IF(AND(AH!$U$12=1,2662+1=AH!$U$6),IF(AH!$U$4=0,"unavailable",INDEX('Market Data'!$AO$5:$AO$66,AH!$U$4)),IF(AH!$U$5=1,INDEX('Live History'!$E$5:$E$3004,MATCH($A2667,'Live History'!$D$5:$D$3004,1)),INDEX('AH History'!$D$5:$GG$1380,$K2667,AH!$U$10+1))),NA()),NA())</f>
        <v/>
      </c>
      <c r="G2667" s="34">
        <f>IFERROR(IF(ISNUMBER($A2667),IF(AND(AH!$U$12=1,2662+1=AH!$U$6),IF(AH!$U$4=0,"unavailable",INDEX('Market Data'!$AK$5:$AK$66,AH!$U$4)),IF(AH!$U$5=1,INDEX('Live History'!$D$5:$D$3004,MATCH($A2667,'Live History'!$D$5:$D$3004,1)),INDEX('AH History'!$D$5:$GG$1380,$K2667,AH!$U$10+2))),NA()),NA())</f>
        <v/>
      </c>
      <c r="H2667" s="266">
        <f>IFERROR(IF(ISNUMBER($A2667),IF(AND(AH!$U$12=1,2662+1=AH!$U$6),IF(AH!$U$4=0,"unavailable",INDEX('Market Data'!$AP$5:$AP$66,AH!$U$4)),IF(AH!$U$5=1,INDEX('Live History'!$H$5:$H$3004,MATCH($A2667,'Live History'!$G$5:$G$3004,1)),INDEX('AH History'!$B$5:$B$1380,$K2667))),NA()),NA())</f>
        <v/>
      </c>
      <c r="I2667" s="34">
        <f>IFERROR(IF(ISNUMBER($A2667),IF(AND(AH!$U$12=1,2662+1=AH!$U$6),TODAY(),IF(AH!$U$5=1,INDEX('Live History'!$G$5:$G$3004,MATCH($A2667,'Live History'!$G$5:$G$3004,1)),INDEX('AH History'!$C$5:$C$1380,$K2667))),NA()),NA())</f>
        <v/>
      </c>
      <c r="J2667" s="32">
        <f>IFERROR(IF(AND($F2667&gt;0,$H2667&gt;0,$A2667-$G2667&lt;=10,$A2667-$I2667&lt;=5,$G2667&gt;0,$I2667&gt;0),$F2667*$H2667,NA()),NA())</f>
        <v/>
      </c>
      <c r="K2667" s="15">
        <f>IF($A2667="","",IF(AH!$U$5=1,IFERROR(MATCH($A2667,'Live History'!$A$5:$A$3004,0),0),AH!$U$7+2662))</f>
        <v/>
      </c>
      <c r="L2667" s="15">
        <f>IF(ISNUMBER(A2667),TEXT(A2667,"dd-mmm-yy"),"")</f>
        <v/>
      </c>
    </row>
    <row r="2668">
      <c r="A2668" s="14">
        <f>IF(OR(AH!$U$4=0,2663+1&gt;AH!$U$6,AND(AH!$M$5="Bloomberg",AH!$U$5=0)),"",IFERROR(IF(AND(AH!$U$12=1,2663+1=AH!$U$6),TODAY(),IF(AH!$U$5=1,INDEX('Live History'!$A$5:$A$3004,AH!$U$7+2663),INDEX('AH History'!$A$5:$A$1380,AH!$U$7+2663))),""))</f>
        <v/>
      </c>
      <c r="B2668" s="33">
        <f>IFERROR(IF(AH!$U$11=1,NA(),$J2668/$E2668-1),NA())</f>
        <v/>
      </c>
      <c r="C2668" s="269">
        <f>IFERROR(100*$E2668/$E$5,NA())</f>
        <v/>
      </c>
      <c r="D2668" s="269">
        <f>IFERROR(100*$J2668/$J$5,NA())</f>
        <v/>
      </c>
      <c r="E2668" s="32">
        <f>IFERROR(IF(AND(ISNUMBER($A2668),N(IF(AND(AH!$U$12=1,2663+1=AH!$U$6),IF(AH!$U$4=0,"unavailable",INDEX('Market Data'!$AN$5:$AN$66,AH!$U$4)),IF(AH!$U$5=1,INDEX('Live History'!$B$5:$B$3004,$K2668),INDEX('AH History'!$D$5:$GG$1380,$K2668,AH!$U$10))))&gt;0),IF(AND(AH!$U$12=1,2663+1=AH!$U$6),IF(AH!$U$4=0,"unavailable",INDEX('Market Data'!$AN$5:$AN$66,AH!$U$4)),IF(AH!$U$5=1,INDEX('Live History'!$B$5:$B$3004,$K2668),INDEX('AH History'!$D$5:$GG$1380,$K2668,AH!$U$10))),NA()),NA())</f>
        <v/>
      </c>
      <c r="F2668" s="32">
        <f>IFERROR(IF(ISNUMBER($A2668),IF(AND(AH!$U$12=1,2663+1=AH!$U$6),IF(AH!$U$4=0,"unavailable",INDEX('Market Data'!$AO$5:$AO$66,AH!$U$4)),IF(AH!$U$5=1,INDEX('Live History'!$E$5:$E$3004,MATCH($A2668,'Live History'!$D$5:$D$3004,1)),INDEX('AH History'!$D$5:$GG$1380,$K2668,AH!$U$10+1))),NA()),NA())</f>
        <v/>
      </c>
      <c r="G2668" s="34">
        <f>IFERROR(IF(ISNUMBER($A2668),IF(AND(AH!$U$12=1,2663+1=AH!$U$6),IF(AH!$U$4=0,"unavailable",INDEX('Market Data'!$AK$5:$AK$66,AH!$U$4)),IF(AH!$U$5=1,INDEX('Live History'!$D$5:$D$3004,MATCH($A2668,'Live History'!$D$5:$D$3004,1)),INDEX('AH History'!$D$5:$GG$1380,$K2668,AH!$U$10+2))),NA()),NA())</f>
        <v/>
      </c>
      <c r="H2668" s="266">
        <f>IFERROR(IF(ISNUMBER($A2668),IF(AND(AH!$U$12=1,2663+1=AH!$U$6),IF(AH!$U$4=0,"unavailable",INDEX('Market Data'!$AP$5:$AP$66,AH!$U$4)),IF(AH!$U$5=1,INDEX('Live History'!$H$5:$H$3004,MATCH($A2668,'Live History'!$G$5:$G$3004,1)),INDEX('AH History'!$B$5:$B$1380,$K2668))),NA()),NA())</f>
        <v/>
      </c>
      <c r="I2668" s="34">
        <f>IFERROR(IF(ISNUMBER($A2668),IF(AND(AH!$U$12=1,2663+1=AH!$U$6),TODAY(),IF(AH!$U$5=1,INDEX('Live History'!$G$5:$G$3004,MATCH($A2668,'Live History'!$G$5:$G$3004,1)),INDEX('AH History'!$C$5:$C$1380,$K2668))),NA()),NA())</f>
        <v/>
      </c>
      <c r="J2668" s="32">
        <f>IFERROR(IF(AND($F2668&gt;0,$H2668&gt;0,$A2668-$G2668&lt;=10,$A2668-$I2668&lt;=5,$G2668&gt;0,$I2668&gt;0),$F2668*$H2668,NA()),NA())</f>
        <v/>
      </c>
      <c r="K2668" s="15">
        <f>IF($A2668="","",IF(AH!$U$5=1,IFERROR(MATCH($A2668,'Live History'!$A$5:$A$3004,0),0),AH!$U$7+2663))</f>
        <v/>
      </c>
      <c r="L2668" s="15">
        <f>IF(ISNUMBER(A2668),TEXT(A2668,"dd-mmm-yy"),"")</f>
        <v/>
      </c>
    </row>
    <row r="2669">
      <c r="A2669" s="14">
        <f>IF(OR(AH!$U$4=0,2664+1&gt;AH!$U$6,AND(AH!$M$5="Bloomberg",AH!$U$5=0)),"",IFERROR(IF(AND(AH!$U$12=1,2664+1=AH!$U$6),TODAY(),IF(AH!$U$5=1,INDEX('Live History'!$A$5:$A$3004,AH!$U$7+2664),INDEX('AH History'!$A$5:$A$1380,AH!$U$7+2664))),""))</f>
        <v/>
      </c>
      <c r="B2669" s="33">
        <f>IFERROR(IF(AH!$U$11=1,NA(),$J2669/$E2669-1),NA())</f>
        <v/>
      </c>
      <c r="C2669" s="269">
        <f>IFERROR(100*$E2669/$E$5,NA())</f>
        <v/>
      </c>
      <c r="D2669" s="269">
        <f>IFERROR(100*$J2669/$J$5,NA())</f>
        <v/>
      </c>
      <c r="E2669" s="32">
        <f>IFERROR(IF(AND(ISNUMBER($A2669),N(IF(AND(AH!$U$12=1,2664+1=AH!$U$6),IF(AH!$U$4=0,"unavailable",INDEX('Market Data'!$AN$5:$AN$66,AH!$U$4)),IF(AH!$U$5=1,INDEX('Live History'!$B$5:$B$3004,$K2669),INDEX('AH History'!$D$5:$GG$1380,$K2669,AH!$U$10))))&gt;0),IF(AND(AH!$U$12=1,2664+1=AH!$U$6),IF(AH!$U$4=0,"unavailable",INDEX('Market Data'!$AN$5:$AN$66,AH!$U$4)),IF(AH!$U$5=1,INDEX('Live History'!$B$5:$B$3004,$K2669),INDEX('AH History'!$D$5:$GG$1380,$K2669,AH!$U$10))),NA()),NA())</f>
        <v/>
      </c>
      <c r="F2669" s="32">
        <f>IFERROR(IF(ISNUMBER($A2669),IF(AND(AH!$U$12=1,2664+1=AH!$U$6),IF(AH!$U$4=0,"unavailable",INDEX('Market Data'!$AO$5:$AO$66,AH!$U$4)),IF(AH!$U$5=1,INDEX('Live History'!$E$5:$E$3004,MATCH($A2669,'Live History'!$D$5:$D$3004,1)),INDEX('AH History'!$D$5:$GG$1380,$K2669,AH!$U$10+1))),NA()),NA())</f>
        <v/>
      </c>
      <c r="G2669" s="34">
        <f>IFERROR(IF(ISNUMBER($A2669),IF(AND(AH!$U$12=1,2664+1=AH!$U$6),IF(AH!$U$4=0,"unavailable",INDEX('Market Data'!$AK$5:$AK$66,AH!$U$4)),IF(AH!$U$5=1,INDEX('Live History'!$D$5:$D$3004,MATCH($A2669,'Live History'!$D$5:$D$3004,1)),INDEX('AH History'!$D$5:$GG$1380,$K2669,AH!$U$10+2))),NA()),NA())</f>
        <v/>
      </c>
      <c r="H2669" s="266">
        <f>IFERROR(IF(ISNUMBER($A2669),IF(AND(AH!$U$12=1,2664+1=AH!$U$6),IF(AH!$U$4=0,"unavailable",INDEX('Market Data'!$AP$5:$AP$66,AH!$U$4)),IF(AH!$U$5=1,INDEX('Live History'!$H$5:$H$3004,MATCH($A2669,'Live History'!$G$5:$G$3004,1)),INDEX('AH History'!$B$5:$B$1380,$K2669))),NA()),NA())</f>
        <v/>
      </c>
      <c r="I2669" s="34">
        <f>IFERROR(IF(ISNUMBER($A2669),IF(AND(AH!$U$12=1,2664+1=AH!$U$6),TODAY(),IF(AH!$U$5=1,INDEX('Live History'!$G$5:$G$3004,MATCH($A2669,'Live History'!$G$5:$G$3004,1)),INDEX('AH History'!$C$5:$C$1380,$K2669))),NA()),NA())</f>
        <v/>
      </c>
      <c r="J2669" s="32">
        <f>IFERROR(IF(AND($F2669&gt;0,$H2669&gt;0,$A2669-$G2669&lt;=10,$A2669-$I2669&lt;=5,$G2669&gt;0,$I2669&gt;0),$F2669*$H2669,NA()),NA())</f>
        <v/>
      </c>
      <c r="K2669" s="15">
        <f>IF($A2669="","",IF(AH!$U$5=1,IFERROR(MATCH($A2669,'Live History'!$A$5:$A$3004,0),0),AH!$U$7+2664))</f>
        <v/>
      </c>
      <c r="L2669" s="15">
        <f>IF(ISNUMBER(A2669),TEXT(A2669,"dd-mmm-yy"),"")</f>
        <v/>
      </c>
    </row>
    <row r="2670">
      <c r="A2670" s="14">
        <f>IF(OR(AH!$U$4=0,2665+1&gt;AH!$U$6,AND(AH!$M$5="Bloomberg",AH!$U$5=0)),"",IFERROR(IF(AND(AH!$U$12=1,2665+1=AH!$U$6),TODAY(),IF(AH!$U$5=1,INDEX('Live History'!$A$5:$A$3004,AH!$U$7+2665),INDEX('AH History'!$A$5:$A$1380,AH!$U$7+2665))),""))</f>
        <v/>
      </c>
      <c r="B2670" s="33">
        <f>IFERROR(IF(AH!$U$11=1,NA(),$J2670/$E2670-1),NA())</f>
        <v/>
      </c>
      <c r="C2670" s="269">
        <f>IFERROR(100*$E2670/$E$5,NA())</f>
        <v/>
      </c>
      <c r="D2670" s="269">
        <f>IFERROR(100*$J2670/$J$5,NA())</f>
        <v/>
      </c>
      <c r="E2670" s="32">
        <f>IFERROR(IF(AND(ISNUMBER($A2670),N(IF(AND(AH!$U$12=1,2665+1=AH!$U$6),IF(AH!$U$4=0,"unavailable",INDEX('Market Data'!$AN$5:$AN$66,AH!$U$4)),IF(AH!$U$5=1,INDEX('Live History'!$B$5:$B$3004,$K2670),INDEX('AH History'!$D$5:$GG$1380,$K2670,AH!$U$10))))&gt;0),IF(AND(AH!$U$12=1,2665+1=AH!$U$6),IF(AH!$U$4=0,"unavailable",INDEX('Market Data'!$AN$5:$AN$66,AH!$U$4)),IF(AH!$U$5=1,INDEX('Live History'!$B$5:$B$3004,$K2670),INDEX('AH History'!$D$5:$GG$1380,$K2670,AH!$U$10))),NA()),NA())</f>
        <v/>
      </c>
      <c r="F2670" s="32">
        <f>IFERROR(IF(ISNUMBER($A2670),IF(AND(AH!$U$12=1,2665+1=AH!$U$6),IF(AH!$U$4=0,"unavailable",INDEX('Market Data'!$AO$5:$AO$66,AH!$U$4)),IF(AH!$U$5=1,INDEX('Live History'!$E$5:$E$3004,MATCH($A2670,'Live History'!$D$5:$D$3004,1)),INDEX('AH History'!$D$5:$GG$1380,$K2670,AH!$U$10+1))),NA()),NA())</f>
        <v/>
      </c>
      <c r="G2670" s="34">
        <f>IFERROR(IF(ISNUMBER($A2670),IF(AND(AH!$U$12=1,2665+1=AH!$U$6),IF(AH!$U$4=0,"unavailable",INDEX('Market Data'!$AK$5:$AK$66,AH!$U$4)),IF(AH!$U$5=1,INDEX('Live History'!$D$5:$D$3004,MATCH($A2670,'Live History'!$D$5:$D$3004,1)),INDEX('AH History'!$D$5:$GG$1380,$K2670,AH!$U$10+2))),NA()),NA())</f>
        <v/>
      </c>
      <c r="H2670" s="266">
        <f>IFERROR(IF(ISNUMBER($A2670),IF(AND(AH!$U$12=1,2665+1=AH!$U$6),IF(AH!$U$4=0,"unavailable",INDEX('Market Data'!$AP$5:$AP$66,AH!$U$4)),IF(AH!$U$5=1,INDEX('Live History'!$H$5:$H$3004,MATCH($A2670,'Live History'!$G$5:$G$3004,1)),INDEX('AH History'!$B$5:$B$1380,$K2670))),NA()),NA())</f>
        <v/>
      </c>
      <c r="I2670" s="34">
        <f>IFERROR(IF(ISNUMBER($A2670),IF(AND(AH!$U$12=1,2665+1=AH!$U$6),TODAY(),IF(AH!$U$5=1,INDEX('Live History'!$G$5:$G$3004,MATCH($A2670,'Live History'!$G$5:$G$3004,1)),INDEX('AH History'!$C$5:$C$1380,$K2670))),NA()),NA())</f>
        <v/>
      </c>
      <c r="J2670" s="32">
        <f>IFERROR(IF(AND($F2670&gt;0,$H2670&gt;0,$A2670-$G2670&lt;=10,$A2670-$I2670&lt;=5,$G2670&gt;0,$I2670&gt;0),$F2670*$H2670,NA()),NA())</f>
        <v/>
      </c>
      <c r="K2670" s="15">
        <f>IF($A2670="","",IF(AH!$U$5=1,IFERROR(MATCH($A2670,'Live History'!$A$5:$A$3004,0),0),AH!$U$7+2665))</f>
        <v/>
      </c>
      <c r="L2670" s="15">
        <f>IF(ISNUMBER(A2670),TEXT(A2670,"dd-mmm-yy"),"")</f>
        <v/>
      </c>
    </row>
    <row r="2671">
      <c r="A2671" s="14">
        <f>IF(OR(AH!$U$4=0,2666+1&gt;AH!$U$6,AND(AH!$M$5="Bloomberg",AH!$U$5=0)),"",IFERROR(IF(AND(AH!$U$12=1,2666+1=AH!$U$6),TODAY(),IF(AH!$U$5=1,INDEX('Live History'!$A$5:$A$3004,AH!$U$7+2666),INDEX('AH History'!$A$5:$A$1380,AH!$U$7+2666))),""))</f>
        <v/>
      </c>
      <c r="B2671" s="33">
        <f>IFERROR(IF(AH!$U$11=1,NA(),$J2671/$E2671-1),NA())</f>
        <v/>
      </c>
      <c r="C2671" s="269">
        <f>IFERROR(100*$E2671/$E$5,NA())</f>
        <v/>
      </c>
      <c r="D2671" s="269">
        <f>IFERROR(100*$J2671/$J$5,NA())</f>
        <v/>
      </c>
      <c r="E2671" s="32">
        <f>IFERROR(IF(AND(ISNUMBER($A2671),N(IF(AND(AH!$U$12=1,2666+1=AH!$U$6),IF(AH!$U$4=0,"unavailable",INDEX('Market Data'!$AN$5:$AN$66,AH!$U$4)),IF(AH!$U$5=1,INDEX('Live History'!$B$5:$B$3004,$K2671),INDEX('AH History'!$D$5:$GG$1380,$K2671,AH!$U$10))))&gt;0),IF(AND(AH!$U$12=1,2666+1=AH!$U$6),IF(AH!$U$4=0,"unavailable",INDEX('Market Data'!$AN$5:$AN$66,AH!$U$4)),IF(AH!$U$5=1,INDEX('Live History'!$B$5:$B$3004,$K2671),INDEX('AH History'!$D$5:$GG$1380,$K2671,AH!$U$10))),NA()),NA())</f>
        <v/>
      </c>
      <c r="F2671" s="32">
        <f>IFERROR(IF(ISNUMBER($A2671),IF(AND(AH!$U$12=1,2666+1=AH!$U$6),IF(AH!$U$4=0,"unavailable",INDEX('Market Data'!$AO$5:$AO$66,AH!$U$4)),IF(AH!$U$5=1,INDEX('Live History'!$E$5:$E$3004,MATCH($A2671,'Live History'!$D$5:$D$3004,1)),INDEX('AH History'!$D$5:$GG$1380,$K2671,AH!$U$10+1))),NA()),NA())</f>
        <v/>
      </c>
      <c r="G2671" s="34">
        <f>IFERROR(IF(ISNUMBER($A2671),IF(AND(AH!$U$12=1,2666+1=AH!$U$6),IF(AH!$U$4=0,"unavailable",INDEX('Market Data'!$AK$5:$AK$66,AH!$U$4)),IF(AH!$U$5=1,INDEX('Live History'!$D$5:$D$3004,MATCH($A2671,'Live History'!$D$5:$D$3004,1)),INDEX('AH History'!$D$5:$GG$1380,$K2671,AH!$U$10+2))),NA()),NA())</f>
        <v/>
      </c>
      <c r="H2671" s="266">
        <f>IFERROR(IF(ISNUMBER($A2671),IF(AND(AH!$U$12=1,2666+1=AH!$U$6),IF(AH!$U$4=0,"unavailable",INDEX('Market Data'!$AP$5:$AP$66,AH!$U$4)),IF(AH!$U$5=1,INDEX('Live History'!$H$5:$H$3004,MATCH($A2671,'Live History'!$G$5:$G$3004,1)),INDEX('AH History'!$B$5:$B$1380,$K2671))),NA()),NA())</f>
        <v/>
      </c>
      <c r="I2671" s="34">
        <f>IFERROR(IF(ISNUMBER($A2671),IF(AND(AH!$U$12=1,2666+1=AH!$U$6),TODAY(),IF(AH!$U$5=1,INDEX('Live History'!$G$5:$G$3004,MATCH($A2671,'Live History'!$G$5:$G$3004,1)),INDEX('AH History'!$C$5:$C$1380,$K2671))),NA()),NA())</f>
        <v/>
      </c>
      <c r="J2671" s="32">
        <f>IFERROR(IF(AND($F2671&gt;0,$H2671&gt;0,$A2671-$G2671&lt;=10,$A2671-$I2671&lt;=5,$G2671&gt;0,$I2671&gt;0),$F2671*$H2671,NA()),NA())</f>
        <v/>
      </c>
      <c r="K2671" s="15">
        <f>IF($A2671="","",IF(AH!$U$5=1,IFERROR(MATCH($A2671,'Live History'!$A$5:$A$3004,0),0),AH!$U$7+2666))</f>
        <v/>
      </c>
      <c r="L2671" s="15">
        <f>IF(ISNUMBER(A2671),TEXT(A2671,"dd-mmm-yy"),"")</f>
        <v/>
      </c>
    </row>
    <row r="2672">
      <c r="A2672" s="14">
        <f>IF(OR(AH!$U$4=0,2667+1&gt;AH!$U$6,AND(AH!$M$5="Bloomberg",AH!$U$5=0)),"",IFERROR(IF(AND(AH!$U$12=1,2667+1=AH!$U$6),TODAY(),IF(AH!$U$5=1,INDEX('Live History'!$A$5:$A$3004,AH!$U$7+2667),INDEX('AH History'!$A$5:$A$1380,AH!$U$7+2667))),""))</f>
        <v/>
      </c>
      <c r="B2672" s="33">
        <f>IFERROR(IF(AH!$U$11=1,NA(),$J2672/$E2672-1),NA())</f>
        <v/>
      </c>
      <c r="C2672" s="269">
        <f>IFERROR(100*$E2672/$E$5,NA())</f>
        <v/>
      </c>
      <c r="D2672" s="269">
        <f>IFERROR(100*$J2672/$J$5,NA())</f>
        <v/>
      </c>
      <c r="E2672" s="32">
        <f>IFERROR(IF(AND(ISNUMBER($A2672),N(IF(AND(AH!$U$12=1,2667+1=AH!$U$6),IF(AH!$U$4=0,"unavailable",INDEX('Market Data'!$AN$5:$AN$66,AH!$U$4)),IF(AH!$U$5=1,INDEX('Live History'!$B$5:$B$3004,$K2672),INDEX('AH History'!$D$5:$GG$1380,$K2672,AH!$U$10))))&gt;0),IF(AND(AH!$U$12=1,2667+1=AH!$U$6),IF(AH!$U$4=0,"unavailable",INDEX('Market Data'!$AN$5:$AN$66,AH!$U$4)),IF(AH!$U$5=1,INDEX('Live History'!$B$5:$B$3004,$K2672),INDEX('AH History'!$D$5:$GG$1380,$K2672,AH!$U$10))),NA()),NA())</f>
        <v/>
      </c>
      <c r="F2672" s="32">
        <f>IFERROR(IF(ISNUMBER($A2672),IF(AND(AH!$U$12=1,2667+1=AH!$U$6),IF(AH!$U$4=0,"unavailable",INDEX('Market Data'!$AO$5:$AO$66,AH!$U$4)),IF(AH!$U$5=1,INDEX('Live History'!$E$5:$E$3004,MATCH($A2672,'Live History'!$D$5:$D$3004,1)),INDEX('AH History'!$D$5:$GG$1380,$K2672,AH!$U$10+1))),NA()),NA())</f>
        <v/>
      </c>
      <c r="G2672" s="34">
        <f>IFERROR(IF(ISNUMBER($A2672),IF(AND(AH!$U$12=1,2667+1=AH!$U$6),IF(AH!$U$4=0,"unavailable",INDEX('Market Data'!$AK$5:$AK$66,AH!$U$4)),IF(AH!$U$5=1,INDEX('Live History'!$D$5:$D$3004,MATCH($A2672,'Live History'!$D$5:$D$3004,1)),INDEX('AH History'!$D$5:$GG$1380,$K2672,AH!$U$10+2))),NA()),NA())</f>
        <v/>
      </c>
      <c r="H2672" s="266">
        <f>IFERROR(IF(ISNUMBER($A2672),IF(AND(AH!$U$12=1,2667+1=AH!$U$6),IF(AH!$U$4=0,"unavailable",INDEX('Market Data'!$AP$5:$AP$66,AH!$U$4)),IF(AH!$U$5=1,INDEX('Live History'!$H$5:$H$3004,MATCH($A2672,'Live History'!$G$5:$G$3004,1)),INDEX('AH History'!$B$5:$B$1380,$K2672))),NA()),NA())</f>
        <v/>
      </c>
      <c r="I2672" s="34">
        <f>IFERROR(IF(ISNUMBER($A2672),IF(AND(AH!$U$12=1,2667+1=AH!$U$6),TODAY(),IF(AH!$U$5=1,INDEX('Live History'!$G$5:$G$3004,MATCH($A2672,'Live History'!$G$5:$G$3004,1)),INDEX('AH History'!$C$5:$C$1380,$K2672))),NA()),NA())</f>
        <v/>
      </c>
      <c r="J2672" s="32">
        <f>IFERROR(IF(AND($F2672&gt;0,$H2672&gt;0,$A2672-$G2672&lt;=10,$A2672-$I2672&lt;=5,$G2672&gt;0,$I2672&gt;0),$F2672*$H2672,NA()),NA())</f>
        <v/>
      </c>
      <c r="K2672" s="15">
        <f>IF($A2672="","",IF(AH!$U$5=1,IFERROR(MATCH($A2672,'Live History'!$A$5:$A$3004,0),0),AH!$U$7+2667))</f>
        <v/>
      </c>
      <c r="L2672" s="15">
        <f>IF(ISNUMBER(A2672),TEXT(A2672,"dd-mmm-yy"),"")</f>
        <v/>
      </c>
    </row>
    <row r="2673">
      <c r="A2673" s="14">
        <f>IF(OR(AH!$U$4=0,2668+1&gt;AH!$U$6,AND(AH!$M$5="Bloomberg",AH!$U$5=0)),"",IFERROR(IF(AND(AH!$U$12=1,2668+1=AH!$U$6),TODAY(),IF(AH!$U$5=1,INDEX('Live History'!$A$5:$A$3004,AH!$U$7+2668),INDEX('AH History'!$A$5:$A$1380,AH!$U$7+2668))),""))</f>
        <v/>
      </c>
      <c r="B2673" s="33">
        <f>IFERROR(IF(AH!$U$11=1,NA(),$J2673/$E2673-1),NA())</f>
        <v/>
      </c>
      <c r="C2673" s="269">
        <f>IFERROR(100*$E2673/$E$5,NA())</f>
        <v/>
      </c>
      <c r="D2673" s="269">
        <f>IFERROR(100*$J2673/$J$5,NA())</f>
        <v/>
      </c>
      <c r="E2673" s="32">
        <f>IFERROR(IF(AND(ISNUMBER($A2673),N(IF(AND(AH!$U$12=1,2668+1=AH!$U$6),IF(AH!$U$4=0,"unavailable",INDEX('Market Data'!$AN$5:$AN$66,AH!$U$4)),IF(AH!$U$5=1,INDEX('Live History'!$B$5:$B$3004,$K2673),INDEX('AH History'!$D$5:$GG$1380,$K2673,AH!$U$10))))&gt;0),IF(AND(AH!$U$12=1,2668+1=AH!$U$6),IF(AH!$U$4=0,"unavailable",INDEX('Market Data'!$AN$5:$AN$66,AH!$U$4)),IF(AH!$U$5=1,INDEX('Live History'!$B$5:$B$3004,$K2673),INDEX('AH History'!$D$5:$GG$1380,$K2673,AH!$U$10))),NA()),NA())</f>
        <v/>
      </c>
      <c r="F2673" s="32">
        <f>IFERROR(IF(ISNUMBER($A2673),IF(AND(AH!$U$12=1,2668+1=AH!$U$6),IF(AH!$U$4=0,"unavailable",INDEX('Market Data'!$AO$5:$AO$66,AH!$U$4)),IF(AH!$U$5=1,INDEX('Live History'!$E$5:$E$3004,MATCH($A2673,'Live History'!$D$5:$D$3004,1)),INDEX('AH History'!$D$5:$GG$1380,$K2673,AH!$U$10+1))),NA()),NA())</f>
        <v/>
      </c>
      <c r="G2673" s="34">
        <f>IFERROR(IF(ISNUMBER($A2673),IF(AND(AH!$U$12=1,2668+1=AH!$U$6),IF(AH!$U$4=0,"unavailable",INDEX('Market Data'!$AK$5:$AK$66,AH!$U$4)),IF(AH!$U$5=1,INDEX('Live History'!$D$5:$D$3004,MATCH($A2673,'Live History'!$D$5:$D$3004,1)),INDEX('AH History'!$D$5:$GG$1380,$K2673,AH!$U$10+2))),NA()),NA())</f>
        <v/>
      </c>
      <c r="H2673" s="266">
        <f>IFERROR(IF(ISNUMBER($A2673),IF(AND(AH!$U$12=1,2668+1=AH!$U$6),IF(AH!$U$4=0,"unavailable",INDEX('Market Data'!$AP$5:$AP$66,AH!$U$4)),IF(AH!$U$5=1,INDEX('Live History'!$H$5:$H$3004,MATCH($A2673,'Live History'!$G$5:$G$3004,1)),INDEX('AH History'!$B$5:$B$1380,$K2673))),NA()),NA())</f>
        <v/>
      </c>
      <c r="I2673" s="34">
        <f>IFERROR(IF(ISNUMBER($A2673),IF(AND(AH!$U$12=1,2668+1=AH!$U$6),TODAY(),IF(AH!$U$5=1,INDEX('Live History'!$G$5:$G$3004,MATCH($A2673,'Live History'!$G$5:$G$3004,1)),INDEX('AH History'!$C$5:$C$1380,$K2673))),NA()),NA())</f>
        <v/>
      </c>
      <c r="J2673" s="32">
        <f>IFERROR(IF(AND($F2673&gt;0,$H2673&gt;0,$A2673-$G2673&lt;=10,$A2673-$I2673&lt;=5,$G2673&gt;0,$I2673&gt;0),$F2673*$H2673,NA()),NA())</f>
        <v/>
      </c>
      <c r="K2673" s="15">
        <f>IF($A2673="","",IF(AH!$U$5=1,IFERROR(MATCH($A2673,'Live History'!$A$5:$A$3004,0),0),AH!$U$7+2668))</f>
        <v/>
      </c>
      <c r="L2673" s="15">
        <f>IF(ISNUMBER(A2673),TEXT(A2673,"dd-mmm-yy"),"")</f>
        <v/>
      </c>
    </row>
    <row r="2674">
      <c r="A2674" s="14">
        <f>IF(OR(AH!$U$4=0,2669+1&gt;AH!$U$6,AND(AH!$M$5="Bloomberg",AH!$U$5=0)),"",IFERROR(IF(AND(AH!$U$12=1,2669+1=AH!$U$6),TODAY(),IF(AH!$U$5=1,INDEX('Live History'!$A$5:$A$3004,AH!$U$7+2669),INDEX('AH History'!$A$5:$A$1380,AH!$U$7+2669))),""))</f>
        <v/>
      </c>
      <c r="B2674" s="33">
        <f>IFERROR(IF(AH!$U$11=1,NA(),$J2674/$E2674-1),NA())</f>
        <v/>
      </c>
      <c r="C2674" s="269">
        <f>IFERROR(100*$E2674/$E$5,NA())</f>
        <v/>
      </c>
      <c r="D2674" s="269">
        <f>IFERROR(100*$J2674/$J$5,NA())</f>
        <v/>
      </c>
      <c r="E2674" s="32">
        <f>IFERROR(IF(AND(ISNUMBER($A2674),N(IF(AND(AH!$U$12=1,2669+1=AH!$U$6),IF(AH!$U$4=0,"unavailable",INDEX('Market Data'!$AN$5:$AN$66,AH!$U$4)),IF(AH!$U$5=1,INDEX('Live History'!$B$5:$B$3004,$K2674),INDEX('AH History'!$D$5:$GG$1380,$K2674,AH!$U$10))))&gt;0),IF(AND(AH!$U$12=1,2669+1=AH!$U$6),IF(AH!$U$4=0,"unavailable",INDEX('Market Data'!$AN$5:$AN$66,AH!$U$4)),IF(AH!$U$5=1,INDEX('Live History'!$B$5:$B$3004,$K2674),INDEX('AH History'!$D$5:$GG$1380,$K2674,AH!$U$10))),NA()),NA())</f>
        <v/>
      </c>
      <c r="F2674" s="32">
        <f>IFERROR(IF(ISNUMBER($A2674),IF(AND(AH!$U$12=1,2669+1=AH!$U$6),IF(AH!$U$4=0,"unavailable",INDEX('Market Data'!$AO$5:$AO$66,AH!$U$4)),IF(AH!$U$5=1,INDEX('Live History'!$E$5:$E$3004,MATCH($A2674,'Live History'!$D$5:$D$3004,1)),INDEX('AH History'!$D$5:$GG$1380,$K2674,AH!$U$10+1))),NA()),NA())</f>
        <v/>
      </c>
      <c r="G2674" s="34">
        <f>IFERROR(IF(ISNUMBER($A2674),IF(AND(AH!$U$12=1,2669+1=AH!$U$6),IF(AH!$U$4=0,"unavailable",INDEX('Market Data'!$AK$5:$AK$66,AH!$U$4)),IF(AH!$U$5=1,INDEX('Live History'!$D$5:$D$3004,MATCH($A2674,'Live History'!$D$5:$D$3004,1)),INDEX('AH History'!$D$5:$GG$1380,$K2674,AH!$U$10+2))),NA()),NA())</f>
        <v/>
      </c>
      <c r="H2674" s="266">
        <f>IFERROR(IF(ISNUMBER($A2674),IF(AND(AH!$U$12=1,2669+1=AH!$U$6),IF(AH!$U$4=0,"unavailable",INDEX('Market Data'!$AP$5:$AP$66,AH!$U$4)),IF(AH!$U$5=1,INDEX('Live History'!$H$5:$H$3004,MATCH($A2674,'Live History'!$G$5:$G$3004,1)),INDEX('AH History'!$B$5:$B$1380,$K2674))),NA()),NA())</f>
        <v/>
      </c>
      <c r="I2674" s="34">
        <f>IFERROR(IF(ISNUMBER($A2674),IF(AND(AH!$U$12=1,2669+1=AH!$U$6),TODAY(),IF(AH!$U$5=1,INDEX('Live History'!$G$5:$G$3004,MATCH($A2674,'Live History'!$G$5:$G$3004,1)),INDEX('AH History'!$C$5:$C$1380,$K2674))),NA()),NA())</f>
        <v/>
      </c>
      <c r="J2674" s="32">
        <f>IFERROR(IF(AND($F2674&gt;0,$H2674&gt;0,$A2674-$G2674&lt;=10,$A2674-$I2674&lt;=5,$G2674&gt;0,$I2674&gt;0),$F2674*$H2674,NA()),NA())</f>
        <v/>
      </c>
      <c r="K2674" s="15">
        <f>IF($A2674="","",IF(AH!$U$5=1,IFERROR(MATCH($A2674,'Live History'!$A$5:$A$3004,0),0),AH!$U$7+2669))</f>
        <v/>
      </c>
      <c r="L2674" s="15">
        <f>IF(ISNUMBER(A2674),TEXT(A2674,"dd-mmm-yy"),"")</f>
        <v/>
      </c>
    </row>
    <row r="2675">
      <c r="A2675" s="14">
        <f>IF(OR(AH!$U$4=0,2670+1&gt;AH!$U$6,AND(AH!$M$5="Bloomberg",AH!$U$5=0)),"",IFERROR(IF(AND(AH!$U$12=1,2670+1=AH!$U$6),TODAY(),IF(AH!$U$5=1,INDEX('Live History'!$A$5:$A$3004,AH!$U$7+2670),INDEX('AH History'!$A$5:$A$1380,AH!$U$7+2670))),""))</f>
        <v/>
      </c>
      <c r="B2675" s="33">
        <f>IFERROR(IF(AH!$U$11=1,NA(),$J2675/$E2675-1),NA())</f>
        <v/>
      </c>
      <c r="C2675" s="269">
        <f>IFERROR(100*$E2675/$E$5,NA())</f>
        <v/>
      </c>
      <c r="D2675" s="269">
        <f>IFERROR(100*$J2675/$J$5,NA())</f>
        <v/>
      </c>
      <c r="E2675" s="32">
        <f>IFERROR(IF(AND(ISNUMBER($A2675),N(IF(AND(AH!$U$12=1,2670+1=AH!$U$6),IF(AH!$U$4=0,"unavailable",INDEX('Market Data'!$AN$5:$AN$66,AH!$U$4)),IF(AH!$U$5=1,INDEX('Live History'!$B$5:$B$3004,$K2675),INDEX('AH History'!$D$5:$GG$1380,$K2675,AH!$U$10))))&gt;0),IF(AND(AH!$U$12=1,2670+1=AH!$U$6),IF(AH!$U$4=0,"unavailable",INDEX('Market Data'!$AN$5:$AN$66,AH!$U$4)),IF(AH!$U$5=1,INDEX('Live History'!$B$5:$B$3004,$K2675),INDEX('AH History'!$D$5:$GG$1380,$K2675,AH!$U$10))),NA()),NA())</f>
        <v/>
      </c>
      <c r="F2675" s="32">
        <f>IFERROR(IF(ISNUMBER($A2675),IF(AND(AH!$U$12=1,2670+1=AH!$U$6),IF(AH!$U$4=0,"unavailable",INDEX('Market Data'!$AO$5:$AO$66,AH!$U$4)),IF(AH!$U$5=1,INDEX('Live History'!$E$5:$E$3004,MATCH($A2675,'Live History'!$D$5:$D$3004,1)),INDEX('AH History'!$D$5:$GG$1380,$K2675,AH!$U$10+1))),NA()),NA())</f>
        <v/>
      </c>
      <c r="G2675" s="34">
        <f>IFERROR(IF(ISNUMBER($A2675),IF(AND(AH!$U$12=1,2670+1=AH!$U$6),IF(AH!$U$4=0,"unavailable",INDEX('Market Data'!$AK$5:$AK$66,AH!$U$4)),IF(AH!$U$5=1,INDEX('Live History'!$D$5:$D$3004,MATCH($A2675,'Live History'!$D$5:$D$3004,1)),INDEX('AH History'!$D$5:$GG$1380,$K2675,AH!$U$10+2))),NA()),NA())</f>
        <v/>
      </c>
      <c r="H2675" s="266">
        <f>IFERROR(IF(ISNUMBER($A2675),IF(AND(AH!$U$12=1,2670+1=AH!$U$6),IF(AH!$U$4=0,"unavailable",INDEX('Market Data'!$AP$5:$AP$66,AH!$U$4)),IF(AH!$U$5=1,INDEX('Live History'!$H$5:$H$3004,MATCH($A2675,'Live History'!$G$5:$G$3004,1)),INDEX('AH History'!$B$5:$B$1380,$K2675))),NA()),NA())</f>
        <v/>
      </c>
      <c r="I2675" s="34">
        <f>IFERROR(IF(ISNUMBER($A2675),IF(AND(AH!$U$12=1,2670+1=AH!$U$6),TODAY(),IF(AH!$U$5=1,INDEX('Live History'!$G$5:$G$3004,MATCH($A2675,'Live History'!$G$5:$G$3004,1)),INDEX('AH History'!$C$5:$C$1380,$K2675))),NA()),NA())</f>
        <v/>
      </c>
      <c r="J2675" s="32">
        <f>IFERROR(IF(AND($F2675&gt;0,$H2675&gt;0,$A2675-$G2675&lt;=10,$A2675-$I2675&lt;=5,$G2675&gt;0,$I2675&gt;0),$F2675*$H2675,NA()),NA())</f>
        <v/>
      </c>
      <c r="K2675" s="15">
        <f>IF($A2675="","",IF(AH!$U$5=1,IFERROR(MATCH($A2675,'Live History'!$A$5:$A$3004,0),0),AH!$U$7+2670))</f>
        <v/>
      </c>
      <c r="L2675" s="15">
        <f>IF(ISNUMBER(A2675),TEXT(A2675,"dd-mmm-yy"),"")</f>
        <v/>
      </c>
    </row>
    <row r="2676">
      <c r="A2676" s="14">
        <f>IF(OR(AH!$U$4=0,2671+1&gt;AH!$U$6,AND(AH!$M$5="Bloomberg",AH!$U$5=0)),"",IFERROR(IF(AND(AH!$U$12=1,2671+1=AH!$U$6),TODAY(),IF(AH!$U$5=1,INDEX('Live History'!$A$5:$A$3004,AH!$U$7+2671),INDEX('AH History'!$A$5:$A$1380,AH!$U$7+2671))),""))</f>
        <v/>
      </c>
      <c r="B2676" s="33">
        <f>IFERROR(IF(AH!$U$11=1,NA(),$J2676/$E2676-1),NA())</f>
        <v/>
      </c>
      <c r="C2676" s="269">
        <f>IFERROR(100*$E2676/$E$5,NA())</f>
        <v/>
      </c>
      <c r="D2676" s="269">
        <f>IFERROR(100*$J2676/$J$5,NA())</f>
        <v/>
      </c>
      <c r="E2676" s="32">
        <f>IFERROR(IF(AND(ISNUMBER($A2676),N(IF(AND(AH!$U$12=1,2671+1=AH!$U$6),IF(AH!$U$4=0,"unavailable",INDEX('Market Data'!$AN$5:$AN$66,AH!$U$4)),IF(AH!$U$5=1,INDEX('Live History'!$B$5:$B$3004,$K2676),INDEX('AH History'!$D$5:$GG$1380,$K2676,AH!$U$10))))&gt;0),IF(AND(AH!$U$12=1,2671+1=AH!$U$6),IF(AH!$U$4=0,"unavailable",INDEX('Market Data'!$AN$5:$AN$66,AH!$U$4)),IF(AH!$U$5=1,INDEX('Live History'!$B$5:$B$3004,$K2676),INDEX('AH History'!$D$5:$GG$1380,$K2676,AH!$U$10))),NA()),NA())</f>
        <v/>
      </c>
      <c r="F2676" s="32">
        <f>IFERROR(IF(ISNUMBER($A2676),IF(AND(AH!$U$12=1,2671+1=AH!$U$6),IF(AH!$U$4=0,"unavailable",INDEX('Market Data'!$AO$5:$AO$66,AH!$U$4)),IF(AH!$U$5=1,INDEX('Live History'!$E$5:$E$3004,MATCH($A2676,'Live History'!$D$5:$D$3004,1)),INDEX('AH History'!$D$5:$GG$1380,$K2676,AH!$U$10+1))),NA()),NA())</f>
        <v/>
      </c>
      <c r="G2676" s="34">
        <f>IFERROR(IF(ISNUMBER($A2676),IF(AND(AH!$U$12=1,2671+1=AH!$U$6),IF(AH!$U$4=0,"unavailable",INDEX('Market Data'!$AK$5:$AK$66,AH!$U$4)),IF(AH!$U$5=1,INDEX('Live History'!$D$5:$D$3004,MATCH($A2676,'Live History'!$D$5:$D$3004,1)),INDEX('AH History'!$D$5:$GG$1380,$K2676,AH!$U$10+2))),NA()),NA())</f>
        <v/>
      </c>
      <c r="H2676" s="266">
        <f>IFERROR(IF(ISNUMBER($A2676),IF(AND(AH!$U$12=1,2671+1=AH!$U$6),IF(AH!$U$4=0,"unavailable",INDEX('Market Data'!$AP$5:$AP$66,AH!$U$4)),IF(AH!$U$5=1,INDEX('Live History'!$H$5:$H$3004,MATCH($A2676,'Live History'!$G$5:$G$3004,1)),INDEX('AH History'!$B$5:$B$1380,$K2676))),NA()),NA())</f>
        <v/>
      </c>
      <c r="I2676" s="34">
        <f>IFERROR(IF(ISNUMBER($A2676),IF(AND(AH!$U$12=1,2671+1=AH!$U$6),TODAY(),IF(AH!$U$5=1,INDEX('Live History'!$G$5:$G$3004,MATCH($A2676,'Live History'!$G$5:$G$3004,1)),INDEX('AH History'!$C$5:$C$1380,$K2676))),NA()),NA())</f>
        <v/>
      </c>
      <c r="J2676" s="32">
        <f>IFERROR(IF(AND($F2676&gt;0,$H2676&gt;0,$A2676-$G2676&lt;=10,$A2676-$I2676&lt;=5,$G2676&gt;0,$I2676&gt;0),$F2676*$H2676,NA()),NA())</f>
        <v/>
      </c>
      <c r="K2676" s="15">
        <f>IF($A2676="","",IF(AH!$U$5=1,IFERROR(MATCH($A2676,'Live History'!$A$5:$A$3004,0),0),AH!$U$7+2671))</f>
        <v/>
      </c>
      <c r="L2676" s="15">
        <f>IF(ISNUMBER(A2676),TEXT(A2676,"dd-mmm-yy"),"")</f>
        <v/>
      </c>
    </row>
    <row r="2677">
      <c r="A2677" s="14">
        <f>IF(OR(AH!$U$4=0,2672+1&gt;AH!$U$6,AND(AH!$M$5="Bloomberg",AH!$U$5=0)),"",IFERROR(IF(AND(AH!$U$12=1,2672+1=AH!$U$6),TODAY(),IF(AH!$U$5=1,INDEX('Live History'!$A$5:$A$3004,AH!$U$7+2672),INDEX('AH History'!$A$5:$A$1380,AH!$U$7+2672))),""))</f>
        <v/>
      </c>
      <c r="B2677" s="33">
        <f>IFERROR(IF(AH!$U$11=1,NA(),$J2677/$E2677-1),NA())</f>
        <v/>
      </c>
      <c r="C2677" s="269">
        <f>IFERROR(100*$E2677/$E$5,NA())</f>
        <v/>
      </c>
      <c r="D2677" s="269">
        <f>IFERROR(100*$J2677/$J$5,NA())</f>
        <v/>
      </c>
      <c r="E2677" s="32">
        <f>IFERROR(IF(AND(ISNUMBER($A2677),N(IF(AND(AH!$U$12=1,2672+1=AH!$U$6),IF(AH!$U$4=0,"unavailable",INDEX('Market Data'!$AN$5:$AN$66,AH!$U$4)),IF(AH!$U$5=1,INDEX('Live History'!$B$5:$B$3004,$K2677),INDEX('AH History'!$D$5:$GG$1380,$K2677,AH!$U$10))))&gt;0),IF(AND(AH!$U$12=1,2672+1=AH!$U$6),IF(AH!$U$4=0,"unavailable",INDEX('Market Data'!$AN$5:$AN$66,AH!$U$4)),IF(AH!$U$5=1,INDEX('Live History'!$B$5:$B$3004,$K2677),INDEX('AH History'!$D$5:$GG$1380,$K2677,AH!$U$10))),NA()),NA())</f>
        <v/>
      </c>
      <c r="F2677" s="32">
        <f>IFERROR(IF(ISNUMBER($A2677),IF(AND(AH!$U$12=1,2672+1=AH!$U$6),IF(AH!$U$4=0,"unavailable",INDEX('Market Data'!$AO$5:$AO$66,AH!$U$4)),IF(AH!$U$5=1,INDEX('Live History'!$E$5:$E$3004,MATCH($A2677,'Live History'!$D$5:$D$3004,1)),INDEX('AH History'!$D$5:$GG$1380,$K2677,AH!$U$10+1))),NA()),NA())</f>
        <v/>
      </c>
      <c r="G2677" s="34">
        <f>IFERROR(IF(ISNUMBER($A2677),IF(AND(AH!$U$12=1,2672+1=AH!$U$6),IF(AH!$U$4=0,"unavailable",INDEX('Market Data'!$AK$5:$AK$66,AH!$U$4)),IF(AH!$U$5=1,INDEX('Live History'!$D$5:$D$3004,MATCH($A2677,'Live History'!$D$5:$D$3004,1)),INDEX('AH History'!$D$5:$GG$1380,$K2677,AH!$U$10+2))),NA()),NA())</f>
        <v/>
      </c>
      <c r="H2677" s="266">
        <f>IFERROR(IF(ISNUMBER($A2677),IF(AND(AH!$U$12=1,2672+1=AH!$U$6),IF(AH!$U$4=0,"unavailable",INDEX('Market Data'!$AP$5:$AP$66,AH!$U$4)),IF(AH!$U$5=1,INDEX('Live History'!$H$5:$H$3004,MATCH($A2677,'Live History'!$G$5:$G$3004,1)),INDEX('AH History'!$B$5:$B$1380,$K2677))),NA()),NA())</f>
        <v/>
      </c>
      <c r="I2677" s="34">
        <f>IFERROR(IF(ISNUMBER($A2677),IF(AND(AH!$U$12=1,2672+1=AH!$U$6),TODAY(),IF(AH!$U$5=1,INDEX('Live History'!$G$5:$G$3004,MATCH($A2677,'Live History'!$G$5:$G$3004,1)),INDEX('AH History'!$C$5:$C$1380,$K2677))),NA()),NA())</f>
        <v/>
      </c>
      <c r="J2677" s="32">
        <f>IFERROR(IF(AND($F2677&gt;0,$H2677&gt;0,$A2677-$G2677&lt;=10,$A2677-$I2677&lt;=5,$G2677&gt;0,$I2677&gt;0),$F2677*$H2677,NA()),NA())</f>
        <v/>
      </c>
      <c r="K2677" s="15">
        <f>IF($A2677="","",IF(AH!$U$5=1,IFERROR(MATCH($A2677,'Live History'!$A$5:$A$3004,0),0),AH!$U$7+2672))</f>
        <v/>
      </c>
      <c r="L2677" s="15">
        <f>IF(ISNUMBER(A2677),TEXT(A2677,"dd-mmm-yy"),"")</f>
        <v/>
      </c>
    </row>
    <row r="2678">
      <c r="A2678" s="14">
        <f>IF(OR(AH!$U$4=0,2673+1&gt;AH!$U$6,AND(AH!$M$5="Bloomberg",AH!$U$5=0)),"",IFERROR(IF(AND(AH!$U$12=1,2673+1=AH!$U$6),TODAY(),IF(AH!$U$5=1,INDEX('Live History'!$A$5:$A$3004,AH!$U$7+2673),INDEX('AH History'!$A$5:$A$1380,AH!$U$7+2673))),""))</f>
        <v/>
      </c>
      <c r="B2678" s="33">
        <f>IFERROR(IF(AH!$U$11=1,NA(),$J2678/$E2678-1),NA())</f>
        <v/>
      </c>
      <c r="C2678" s="269">
        <f>IFERROR(100*$E2678/$E$5,NA())</f>
        <v/>
      </c>
      <c r="D2678" s="269">
        <f>IFERROR(100*$J2678/$J$5,NA())</f>
        <v/>
      </c>
      <c r="E2678" s="32">
        <f>IFERROR(IF(AND(ISNUMBER($A2678),N(IF(AND(AH!$U$12=1,2673+1=AH!$U$6),IF(AH!$U$4=0,"unavailable",INDEX('Market Data'!$AN$5:$AN$66,AH!$U$4)),IF(AH!$U$5=1,INDEX('Live History'!$B$5:$B$3004,$K2678),INDEX('AH History'!$D$5:$GG$1380,$K2678,AH!$U$10))))&gt;0),IF(AND(AH!$U$12=1,2673+1=AH!$U$6),IF(AH!$U$4=0,"unavailable",INDEX('Market Data'!$AN$5:$AN$66,AH!$U$4)),IF(AH!$U$5=1,INDEX('Live History'!$B$5:$B$3004,$K2678),INDEX('AH History'!$D$5:$GG$1380,$K2678,AH!$U$10))),NA()),NA())</f>
        <v/>
      </c>
      <c r="F2678" s="32">
        <f>IFERROR(IF(ISNUMBER($A2678),IF(AND(AH!$U$12=1,2673+1=AH!$U$6),IF(AH!$U$4=0,"unavailable",INDEX('Market Data'!$AO$5:$AO$66,AH!$U$4)),IF(AH!$U$5=1,INDEX('Live History'!$E$5:$E$3004,MATCH($A2678,'Live History'!$D$5:$D$3004,1)),INDEX('AH History'!$D$5:$GG$1380,$K2678,AH!$U$10+1))),NA()),NA())</f>
        <v/>
      </c>
      <c r="G2678" s="34">
        <f>IFERROR(IF(ISNUMBER($A2678),IF(AND(AH!$U$12=1,2673+1=AH!$U$6),IF(AH!$U$4=0,"unavailable",INDEX('Market Data'!$AK$5:$AK$66,AH!$U$4)),IF(AH!$U$5=1,INDEX('Live History'!$D$5:$D$3004,MATCH($A2678,'Live History'!$D$5:$D$3004,1)),INDEX('AH History'!$D$5:$GG$1380,$K2678,AH!$U$10+2))),NA()),NA())</f>
        <v/>
      </c>
      <c r="H2678" s="266">
        <f>IFERROR(IF(ISNUMBER($A2678),IF(AND(AH!$U$12=1,2673+1=AH!$U$6),IF(AH!$U$4=0,"unavailable",INDEX('Market Data'!$AP$5:$AP$66,AH!$U$4)),IF(AH!$U$5=1,INDEX('Live History'!$H$5:$H$3004,MATCH($A2678,'Live History'!$G$5:$G$3004,1)),INDEX('AH History'!$B$5:$B$1380,$K2678))),NA()),NA())</f>
        <v/>
      </c>
      <c r="I2678" s="34">
        <f>IFERROR(IF(ISNUMBER($A2678),IF(AND(AH!$U$12=1,2673+1=AH!$U$6),TODAY(),IF(AH!$U$5=1,INDEX('Live History'!$G$5:$G$3004,MATCH($A2678,'Live History'!$G$5:$G$3004,1)),INDEX('AH History'!$C$5:$C$1380,$K2678))),NA()),NA())</f>
        <v/>
      </c>
      <c r="J2678" s="32">
        <f>IFERROR(IF(AND($F2678&gt;0,$H2678&gt;0,$A2678-$G2678&lt;=10,$A2678-$I2678&lt;=5,$G2678&gt;0,$I2678&gt;0),$F2678*$H2678,NA()),NA())</f>
        <v/>
      </c>
      <c r="K2678" s="15">
        <f>IF($A2678="","",IF(AH!$U$5=1,IFERROR(MATCH($A2678,'Live History'!$A$5:$A$3004,0),0),AH!$U$7+2673))</f>
        <v/>
      </c>
      <c r="L2678" s="15">
        <f>IF(ISNUMBER(A2678),TEXT(A2678,"dd-mmm-yy"),"")</f>
        <v/>
      </c>
    </row>
    <row r="2679">
      <c r="A2679" s="14">
        <f>IF(OR(AH!$U$4=0,2674+1&gt;AH!$U$6,AND(AH!$M$5="Bloomberg",AH!$U$5=0)),"",IFERROR(IF(AND(AH!$U$12=1,2674+1=AH!$U$6),TODAY(),IF(AH!$U$5=1,INDEX('Live History'!$A$5:$A$3004,AH!$U$7+2674),INDEX('AH History'!$A$5:$A$1380,AH!$U$7+2674))),""))</f>
        <v/>
      </c>
      <c r="B2679" s="33">
        <f>IFERROR(IF(AH!$U$11=1,NA(),$J2679/$E2679-1),NA())</f>
        <v/>
      </c>
      <c r="C2679" s="269">
        <f>IFERROR(100*$E2679/$E$5,NA())</f>
        <v/>
      </c>
      <c r="D2679" s="269">
        <f>IFERROR(100*$J2679/$J$5,NA())</f>
        <v/>
      </c>
      <c r="E2679" s="32">
        <f>IFERROR(IF(AND(ISNUMBER($A2679),N(IF(AND(AH!$U$12=1,2674+1=AH!$U$6),IF(AH!$U$4=0,"unavailable",INDEX('Market Data'!$AN$5:$AN$66,AH!$U$4)),IF(AH!$U$5=1,INDEX('Live History'!$B$5:$B$3004,$K2679),INDEX('AH History'!$D$5:$GG$1380,$K2679,AH!$U$10))))&gt;0),IF(AND(AH!$U$12=1,2674+1=AH!$U$6),IF(AH!$U$4=0,"unavailable",INDEX('Market Data'!$AN$5:$AN$66,AH!$U$4)),IF(AH!$U$5=1,INDEX('Live History'!$B$5:$B$3004,$K2679),INDEX('AH History'!$D$5:$GG$1380,$K2679,AH!$U$10))),NA()),NA())</f>
        <v/>
      </c>
      <c r="F2679" s="32">
        <f>IFERROR(IF(ISNUMBER($A2679),IF(AND(AH!$U$12=1,2674+1=AH!$U$6),IF(AH!$U$4=0,"unavailable",INDEX('Market Data'!$AO$5:$AO$66,AH!$U$4)),IF(AH!$U$5=1,INDEX('Live History'!$E$5:$E$3004,MATCH($A2679,'Live History'!$D$5:$D$3004,1)),INDEX('AH History'!$D$5:$GG$1380,$K2679,AH!$U$10+1))),NA()),NA())</f>
        <v/>
      </c>
      <c r="G2679" s="34">
        <f>IFERROR(IF(ISNUMBER($A2679),IF(AND(AH!$U$12=1,2674+1=AH!$U$6),IF(AH!$U$4=0,"unavailable",INDEX('Market Data'!$AK$5:$AK$66,AH!$U$4)),IF(AH!$U$5=1,INDEX('Live History'!$D$5:$D$3004,MATCH($A2679,'Live History'!$D$5:$D$3004,1)),INDEX('AH History'!$D$5:$GG$1380,$K2679,AH!$U$10+2))),NA()),NA())</f>
        <v/>
      </c>
      <c r="H2679" s="266">
        <f>IFERROR(IF(ISNUMBER($A2679),IF(AND(AH!$U$12=1,2674+1=AH!$U$6),IF(AH!$U$4=0,"unavailable",INDEX('Market Data'!$AP$5:$AP$66,AH!$U$4)),IF(AH!$U$5=1,INDEX('Live History'!$H$5:$H$3004,MATCH($A2679,'Live History'!$G$5:$G$3004,1)),INDEX('AH History'!$B$5:$B$1380,$K2679))),NA()),NA())</f>
        <v/>
      </c>
      <c r="I2679" s="34">
        <f>IFERROR(IF(ISNUMBER($A2679),IF(AND(AH!$U$12=1,2674+1=AH!$U$6),TODAY(),IF(AH!$U$5=1,INDEX('Live History'!$G$5:$G$3004,MATCH($A2679,'Live History'!$G$5:$G$3004,1)),INDEX('AH History'!$C$5:$C$1380,$K2679))),NA()),NA())</f>
        <v/>
      </c>
      <c r="J2679" s="32">
        <f>IFERROR(IF(AND($F2679&gt;0,$H2679&gt;0,$A2679-$G2679&lt;=10,$A2679-$I2679&lt;=5,$G2679&gt;0,$I2679&gt;0),$F2679*$H2679,NA()),NA())</f>
        <v/>
      </c>
      <c r="K2679" s="15">
        <f>IF($A2679="","",IF(AH!$U$5=1,IFERROR(MATCH($A2679,'Live History'!$A$5:$A$3004,0),0),AH!$U$7+2674))</f>
        <v/>
      </c>
      <c r="L2679" s="15">
        <f>IF(ISNUMBER(A2679),TEXT(A2679,"dd-mmm-yy"),"")</f>
        <v/>
      </c>
    </row>
    <row r="2680">
      <c r="A2680" s="14">
        <f>IF(OR(AH!$U$4=0,2675+1&gt;AH!$U$6,AND(AH!$M$5="Bloomberg",AH!$U$5=0)),"",IFERROR(IF(AND(AH!$U$12=1,2675+1=AH!$U$6),TODAY(),IF(AH!$U$5=1,INDEX('Live History'!$A$5:$A$3004,AH!$U$7+2675),INDEX('AH History'!$A$5:$A$1380,AH!$U$7+2675))),""))</f>
        <v/>
      </c>
      <c r="B2680" s="33">
        <f>IFERROR(IF(AH!$U$11=1,NA(),$J2680/$E2680-1),NA())</f>
        <v/>
      </c>
      <c r="C2680" s="269">
        <f>IFERROR(100*$E2680/$E$5,NA())</f>
        <v/>
      </c>
      <c r="D2680" s="269">
        <f>IFERROR(100*$J2680/$J$5,NA())</f>
        <v/>
      </c>
      <c r="E2680" s="32">
        <f>IFERROR(IF(AND(ISNUMBER($A2680),N(IF(AND(AH!$U$12=1,2675+1=AH!$U$6),IF(AH!$U$4=0,"unavailable",INDEX('Market Data'!$AN$5:$AN$66,AH!$U$4)),IF(AH!$U$5=1,INDEX('Live History'!$B$5:$B$3004,$K2680),INDEX('AH History'!$D$5:$GG$1380,$K2680,AH!$U$10))))&gt;0),IF(AND(AH!$U$12=1,2675+1=AH!$U$6),IF(AH!$U$4=0,"unavailable",INDEX('Market Data'!$AN$5:$AN$66,AH!$U$4)),IF(AH!$U$5=1,INDEX('Live History'!$B$5:$B$3004,$K2680),INDEX('AH History'!$D$5:$GG$1380,$K2680,AH!$U$10))),NA()),NA())</f>
        <v/>
      </c>
      <c r="F2680" s="32">
        <f>IFERROR(IF(ISNUMBER($A2680),IF(AND(AH!$U$12=1,2675+1=AH!$U$6),IF(AH!$U$4=0,"unavailable",INDEX('Market Data'!$AO$5:$AO$66,AH!$U$4)),IF(AH!$U$5=1,INDEX('Live History'!$E$5:$E$3004,MATCH($A2680,'Live History'!$D$5:$D$3004,1)),INDEX('AH History'!$D$5:$GG$1380,$K2680,AH!$U$10+1))),NA()),NA())</f>
        <v/>
      </c>
      <c r="G2680" s="34">
        <f>IFERROR(IF(ISNUMBER($A2680),IF(AND(AH!$U$12=1,2675+1=AH!$U$6),IF(AH!$U$4=0,"unavailable",INDEX('Market Data'!$AK$5:$AK$66,AH!$U$4)),IF(AH!$U$5=1,INDEX('Live History'!$D$5:$D$3004,MATCH($A2680,'Live History'!$D$5:$D$3004,1)),INDEX('AH History'!$D$5:$GG$1380,$K2680,AH!$U$10+2))),NA()),NA())</f>
        <v/>
      </c>
      <c r="H2680" s="266">
        <f>IFERROR(IF(ISNUMBER($A2680),IF(AND(AH!$U$12=1,2675+1=AH!$U$6),IF(AH!$U$4=0,"unavailable",INDEX('Market Data'!$AP$5:$AP$66,AH!$U$4)),IF(AH!$U$5=1,INDEX('Live History'!$H$5:$H$3004,MATCH($A2680,'Live History'!$G$5:$G$3004,1)),INDEX('AH History'!$B$5:$B$1380,$K2680))),NA()),NA())</f>
        <v/>
      </c>
      <c r="I2680" s="34">
        <f>IFERROR(IF(ISNUMBER($A2680),IF(AND(AH!$U$12=1,2675+1=AH!$U$6),TODAY(),IF(AH!$U$5=1,INDEX('Live History'!$G$5:$G$3004,MATCH($A2680,'Live History'!$G$5:$G$3004,1)),INDEX('AH History'!$C$5:$C$1380,$K2680))),NA()),NA())</f>
        <v/>
      </c>
      <c r="J2680" s="32">
        <f>IFERROR(IF(AND($F2680&gt;0,$H2680&gt;0,$A2680-$G2680&lt;=10,$A2680-$I2680&lt;=5,$G2680&gt;0,$I2680&gt;0),$F2680*$H2680,NA()),NA())</f>
        <v/>
      </c>
      <c r="K2680" s="15">
        <f>IF($A2680="","",IF(AH!$U$5=1,IFERROR(MATCH($A2680,'Live History'!$A$5:$A$3004,0),0),AH!$U$7+2675))</f>
        <v/>
      </c>
      <c r="L2680" s="15">
        <f>IF(ISNUMBER(A2680),TEXT(A2680,"dd-mmm-yy"),"")</f>
        <v/>
      </c>
    </row>
    <row r="2681">
      <c r="A2681" s="14">
        <f>IF(OR(AH!$U$4=0,2676+1&gt;AH!$U$6,AND(AH!$M$5="Bloomberg",AH!$U$5=0)),"",IFERROR(IF(AND(AH!$U$12=1,2676+1=AH!$U$6),TODAY(),IF(AH!$U$5=1,INDEX('Live History'!$A$5:$A$3004,AH!$U$7+2676),INDEX('AH History'!$A$5:$A$1380,AH!$U$7+2676))),""))</f>
        <v/>
      </c>
      <c r="B2681" s="33">
        <f>IFERROR(IF(AH!$U$11=1,NA(),$J2681/$E2681-1),NA())</f>
        <v/>
      </c>
      <c r="C2681" s="269">
        <f>IFERROR(100*$E2681/$E$5,NA())</f>
        <v/>
      </c>
      <c r="D2681" s="269">
        <f>IFERROR(100*$J2681/$J$5,NA())</f>
        <v/>
      </c>
      <c r="E2681" s="32">
        <f>IFERROR(IF(AND(ISNUMBER($A2681),N(IF(AND(AH!$U$12=1,2676+1=AH!$U$6),IF(AH!$U$4=0,"unavailable",INDEX('Market Data'!$AN$5:$AN$66,AH!$U$4)),IF(AH!$U$5=1,INDEX('Live History'!$B$5:$B$3004,$K2681),INDEX('AH History'!$D$5:$GG$1380,$K2681,AH!$U$10))))&gt;0),IF(AND(AH!$U$12=1,2676+1=AH!$U$6),IF(AH!$U$4=0,"unavailable",INDEX('Market Data'!$AN$5:$AN$66,AH!$U$4)),IF(AH!$U$5=1,INDEX('Live History'!$B$5:$B$3004,$K2681),INDEX('AH History'!$D$5:$GG$1380,$K2681,AH!$U$10))),NA()),NA())</f>
        <v/>
      </c>
      <c r="F2681" s="32">
        <f>IFERROR(IF(ISNUMBER($A2681),IF(AND(AH!$U$12=1,2676+1=AH!$U$6),IF(AH!$U$4=0,"unavailable",INDEX('Market Data'!$AO$5:$AO$66,AH!$U$4)),IF(AH!$U$5=1,INDEX('Live History'!$E$5:$E$3004,MATCH($A2681,'Live History'!$D$5:$D$3004,1)),INDEX('AH History'!$D$5:$GG$1380,$K2681,AH!$U$10+1))),NA()),NA())</f>
        <v/>
      </c>
      <c r="G2681" s="34">
        <f>IFERROR(IF(ISNUMBER($A2681),IF(AND(AH!$U$12=1,2676+1=AH!$U$6),IF(AH!$U$4=0,"unavailable",INDEX('Market Data'!$AK$5:$AK$66,AH!$U$4)),IF(AH!$U$5=1,INDEX('Live History'!$D$5:$D$3004,MATCH($A2681,'Live History'!$D$5:$D$3004,1)),INDEX('AH History'!$D$5:$GG$1380,$K2681,AH!$U$10+2))),NA()),NA())</f>
        <v/>
      </c>
      <c r="H2681" s="266">
        <f>IFERROR(IF(ISNUMBER($A2681),IF(AND(AH!$U$12=1,2676+1=AH!$U$6),IF(AH!$U$4=0,"unavailable",INDEX('Market Data'!$AP$5:$AP$66,AH!$U$4)),IF(AH!$U$5=1,INDEX('Live History'!$H$5:$H$3004,MATCH($A2681,'Live History'!$G$5:$G$3004,1)),INDEX('AH History'!$B$5:$B$1380,$K2681))),NA()),NA())</f>
        <v/>
      </c>
      <c r="I2681" s="34">
        <f>IFERROR(IF(ISNUMBER($A2681),IF(AND(AH!$U$12=1,2676+1=AH!$U$6),TODAY(),IF(AH!$U$5=1,INDEX('Live History'!$G$5:$G$3004,MATCH($A2681,'Live History'!$G$5:$G$3004,1)),INDEX('AH History'!$C$5:$C$1380,$K2681))),NA()),NA())</f>
        <v/>
      </c>
      <c r="J2681" s="32">
        <f>IFERROR(IF(AND($F2681&gt;0,$H2681&gt;0,$A2681-$G2681&lt;=10,$A2681-$I2681&lt;=5,$G2681&gt;0,$I2681&gt;0),$F2681*$H2681,NA()),NA())</f>
        <v/>
      </c>
      <c r="K2681" s="15">
        <f>IF($A2681="","",IF(AH!$U$5=1,IFERROR(MATCH($A2681,'Live History'!$A$5:$A$3004,0),0),AH!$U$7+2676))</f>
        <v/>
      </c>
      <c r="L2681" s="15">
        <f>IF(ISNUMBER(A2681),TEXT(A2681,"dd-mmm-yy"),"")</f>
        <v/>
      </c>
    </row>
    <row r="2682">
      <c r="A2682" s="14">
        <f>IF(OR(AH!$U$4=0,2677+1&gt;AH!$U$6,AND(AH!$M$5="Bloomberg",AH!$U$5=0)),"",IFERROR(IF(AND(AH!$U$12=1,2677+1=AH!$U$6),TODAY(),IF(AH!$U$5=1,INDEX('Live History'!$A$5:$A$3004,AH!$U$7+2677),INDEX('AH History'!$A$5:$A$1380,AH!$U$7+2677))),""))</f>
        <v/>
      </c>
      <c r="B2682" s="33">
        <f>IFERROR(IF(AH!$U$11=1,NA(),$J2682/$E2682-1),NA())</f>
        <v/>
      </c>
      <c r="C2682" s="269">
        <f>IFERROR(100*$E2682/$E$5,NA())</f>
        <v/>
      </c>
      <c r="D2682" s="269">
        <f>IFERROR(100*$J2682/$J$5,NA())</f>
        <v/>
      </c>
      <c r="E2682" s="32">
        <f>IFERROR(IF(AND(ISNUMBER($A2682),N(IF(AND(AH!$U$12=1,2677+1=AH!$U$6),IF(AH!$U$4=0,"unavailable",INDEX('Market Data'!$AN$5:$AN$66,AH!$U$4)),IF(AH!$U$5=1,INDEX('Live History'!$B$5:$B$3004,$K2682),INDEX('AH History'!$D$5:$GG$1380,$K2682,AH!$U$10))))&gt;0),IF(AND(AH!$U$12=1,2677+1=AH!$U$6),IF(AH!$U$4=0,"unavailable",INDEX('Market Data'!$AN$5:$AN$66,AH!$U$4)),IF(AH!$U$5=1,INDEX('Live History'!$B$5:$B$3004,$K2682),INDEX('AH History'!$D$5:$GG$1380,$K2682,AH!$U$10))),NA()),NA())</f>
        <v/>
      </c>
      <c r="F2682" s="32">
        <f>IFERROR(IF(ISNUMBER($A2682),IF(AND(AH!$U$12=1,2677+1=AH!$U$6),IF(AH!$U$4=0,"unavailable",INDEX('Market Data'!$AO$5:$AO$66,AH!$U$4)),IF(AH!$U$5=1,INDEX('Live History'!$E$5:$E$3004,MATCH($A2682,'Live History'!$D$5:$D$3004,1)),INDEX('AH History'!$D$5:$GG$1380,$K2682,AH!$U$10+1))),NA()),NA())</f>
        <v/>
      </c>
      <c r="G2682" s="34">
        <f>IFERROR(IF(ISNUMBER($A2682),IF(AND(AH!$U$12=1,2677+1=AH!$U$6),IF(AH!$U$4=0,"unavailable",INDEX('Market Data'!$AK$5:$AK$66,AH!$U$4)),IF(AH!$U$5=1,INDEX('Live History'!$D$5:$D$3004,MATCH($A2682,'Live History'!$D$5:$D$3004,1)),INDEX('AH History'!$D$5:$GG$1380,$K2682,AH!$U$10+2))),NA()),NA())</f>
        <v/>
      </c>
      <c r="H2682" s="266">
        <f>IFERROR(IF(ISNUMBER($A2682),IF(AND(AH!$U$12=1,2677+1=AH!$U$6),IF(AH!$U$4=0,"unavailable",INDEX('Market Data'!$AP$5:$AP$66,AH!$U$4)),IF(AH!$U$5=1,INDEX('Live History'!$H$5:$H$3004,MATCH($A2682,'Live History'!$G$5:$G$3004,1)),INDEX('AH History'!$B$5:$B$1380,$K2682))),NA()),NA())</f>
        <v/>
      </c>
      <c r="I2682" s="34">
        <f>IFERROR(IF(ISNUMBER($A2682),IF(AND(AH!$U$12=1,2677+1=AH!$U$6),TODAY(),IF(AH!$U$5=1,INDEX('Live History'!$G$5:$G$3004,MATCH($A2682,'Live History'!$G$5:$G$3004,1)),INDEX('AH History'!$C$5:$C$1380,$K2682))),NA()),NA())</f>
        <v/>
      </c>
      <c r="J2682" s="32">
        <f>IFERROR(IF(AND($F2682&gt;0,$H2682&gt;0,$A2682-$G2682&lt;=10,$A2682-$I2682&lt;=5,$G2682&gt;0,$I2682&gt;0),$F2682*$H2682,NA()),NA())</f>
        <v/>
      </c>
      <c r="K2682" s="15">
        <f>IF($A2682="","",IF(AH!$U$5=1,IFERROR(MATCH($A2682,'Live History'!$A$5:$A$3004,0),0),AH!$U$7+2677))</f>
        <v/>
      </c>
      <c r="L2682" s="15">
        <f>IF(ISNUMBER(A2682),TEXT(A2682,"dd-mmm-yy"),"")</f>
        <v/>
      </c>
    </row>
    <row r="2683">
      <c r="A2683" s="14">
        <f>IF(OR(AH!$U$4=0,2678+1&gt;AH!$U$6,AND(AH!$M$5="Bloomberg",AH!$U$5=0)),"",IFERROR(IF(AND(AH!$U$12=1,2678+1=AH!$U$6),TODAY(),IF(AH!$U$5=1,INDEX('Live History'!$A$5:$A$3004,AH!$U$7+2678),INDEX('AH History'!$A$5:$A$1380,AH!$U$7+2678))),""))</f>
        <v/>
      </c>
      <c r="B2683" s="33">
        <f>IFERROR(IF(AH!$U$11=1,NA(),$J2683/$E2683-1),NA())</f>
        <v/>
      </c>
      <c r="C2683" s="269">
        <f>IFERROR(100*$E2683/$E$5,NA())</f>
        <v/>
      </c>
      <c r="D2683" s="269">
        <f>IFERROR(100*$J2683/$J$5,NA())</f>
        <v/>
      </c>
      <c r="E2683" s="32">
        <f>IFERROR(IF(AND(ISNUMBER($A2683),N(IF(AND(AH!$U$12=1,2678+1=AH!$U$6),IF(AH!$U$4=0,"unavailable",INDEX('Market Data'!$AN$5:$AN$66,AH!$U$4)),IF(AH!$U$5=1,INDEX('Live History'!$B$5:$B$3004,$K2683),INDEX('AH History'!$D$5:$GG$1380,$K2683,AH!$U$10))))&gt;0),IF(AND(AH!$U$12=1,2678+1=AH!$U$6),IF(AH!$U$4=0,"unavailable",INDEX('Market Data'!$AN$5:$AN$66,AH!$U$4)),IF(AH!$U$5=1,INDEX('Live History'!$B$5:$B$3004,$K2683),INDEX('AH History'!$D$5:$GG$1380,$K2683,AH!$U$10))),NA()),NA())</f>
        <v/>
      </c>
      <c r="F2683" s="32">
        <f>IFERROR(IF(ISNUMBER($A2683),IF(AND(AH!$U$12=1,2678+1=AH!$U$6),IF(AH!$U$4=0,"unavailable",INDEX('Market Data'!$AO$5:$AO$66,AH!$U$4)),IF(AH!$U$5=1,INDEX('Live History'!$E$5:$E$3004,MATCH($A2683,'Live History'!$D$5:$D$3004,1)),INDEX('AH History'!$D$5:$GG$1380,$K2683,AH!$U$10+1))),NA()),NA())</f>
        <v/>
      </c>
      <c r="G2683" s="34">
        <f>IFERROR(IF(ISNUMBER($A2683),IF(AND(AH!$U$12=1,2678+1=AH!$U$6),IF(AH!$U$4=0,"unavailable",INDEX('Market Data'!$AK$5:$AK$66,AH!$U$4)),IF(AH!$U$5=1,INDEX('Live History'!$D$5:$D$3004,MATCH($A2683,'Live History'!$D$5:$D$3004,1)),INDEX('AH History'!$D$5:$GG$1380,$K2683,AH!$U$10+2))),NA()),NA())</f>
        <v/>
      </c>
      <c r="H2683" s="266">
        <f>IFERROR(IF(ISNUMBER($A2683),IF(AND(AH!$U$12=1,2678+1=AH!$U$6),IF(AH!$U$4=0,"unavailable",INDEX('Market Data'!$AP$5:$AP$66,AH!$U$4)),IF(AH!$U$5=1,INDEX('Live History'!$H$5:$H$3004,MATCH($A2683,'Live History'!$G$5:$G$3004,1)),INDEX('AH History'!$B$5:$B$1380,$K2683))),NA()),NA())</f>
        <v/>
      </c>
      <c r="I2683" s="34">
        <f>IFERROR(IF(ISNUMBER($A2683),IF(AND(AH!$U$12=1,2678+1=AH!$U$6),TODAY(),IF(AH!$U$5=1,INDEX('Live History'!$G$5:$G$3004,MATCH($A2683,'Live History'!$G$5:$G$3004,1)),INDEX('AH History'!$C$5:$C$1380,$K2683))),NA()),NA())</f>
        <v/>
      </c>
      <c r="J2683" s="32">
        <f>IFERROR(IF(AND($F2683&gt;0,$H2683&gt;0,$A2683-$G2683&lt;=10,$A2683-$I2683&lt;=5,$G2683&gt;0,$I2683&gt;0),$F2683*$H2683,NA()),NA())</f>
        <v/>
      </c>
      <c r="K2683" s="15">
        <f>IF($A2683="","",IF(AH!$U$5=1,IFERROR(MATCH($A2683,'Live History'!$A$5:$A$3004,0),0),AH!$U$7+2678))</f>
        <v/>
      </c>
      <c r="L2683" s="15">
        <f>IF(ISNUMBER(A2683),TEXT(A2683,"dd-mmm-yy"),"")</f>
        <v/>
      </c>
    </row>
    <row r="2684">
      <c r="A2684" s="14">
        <f>IF(OR(AH!$U$4=0,2679+1&gt;AH!$U$6,AND(AH!$M$5="Bloomberg",AH!$U$5=0)),"",IFERROR(IF(AND(AH!$U$12=1,2679+1=AH!$U$6),TODAY(),IF(AH!$U$5=1,INDEX('Live History'!$A$5:$A$3004,AH!$U$7+2679),INDEX('AH History'!$A$5:$A$1380,AH!$U$7+2679))),""))</f>
        <v/>
      </c>
      <c r="B2684" s="33">
        <f>IFERROR(IF(AH!$U$11=1,NA(),$J2684/$E2684-1),NA())</f>
        <v/>
      </c>
      <c r="C2684" s="269">
        <f>IFERROR(100*$E2684/$E$5,NA())</f>
        <v/>
      </c>
      <c r="D2684" s="269">
        <f>IFERROR(100*$J2684/$J$5,NA())</f>
        <v/>
      </c>
      <c r="E2684" s="32">
        <f>IFERROR(IF(AND(ISNUMBER($A2684),N(IF(AND(AH!$U$12=1,2679+1=AH!$U$6),IF(AH!$U$4=0,"unavailable",INDEX('Market Data'!$AN$5:$AN$66,AH!$U$4)),IF(AH!$U$5=1,INDEX('Live History'!$B$5:$B$3004,$K2684),INDEX('AH History'!$D$5:$GG$1380,$K2684,AH!$U$10))))&gt;0),IF(AND(AH!$U$12=1,2679+1=AH!$U$6),IF(AH!$U$4=0,"unavailable",INDEX('Market Data'!$AN$5:$AN$66,AH!$U$4)),IF(AH!$U$5=1,INDEX('Live History'!$B$5:$B$3004,$K2684),INDEX('AH History'!$D$5:$GG$1380,$K2684,AH!$U$10))),NA()),NA())</f>
        <v/>
      </c>
      <c r="F2684" s="32">
        <f>IFERROR(IF(ISNUMBER($A2684),IF(AND(AH!$U$12=1,2679+1=AH!$U$6),IF(AH!$U$4=0,"unavailable",INDEX('Market Data'!$AO$5:$AO$66,AH!$U$4)),IF(AH!$U$5=1,INDEX('Live History'!$E$5:$E$3004,MATCH($A2684,'Live History'!$D$5:$D$3004,1)),INDEX('AH History'!$D$5:$GG$1380,$K2684,AH!$U$10+1))),NA()),NA())</f>
        <v/>
      </c>
      <c r="G2684" s="34">
        <f>IFERROR(IF(ISNUMBER($A2684),IF(AND(AH!$U$12=1,2679+1=AH!$U$6),IF(AH!$U$4=0,"unavailable",INDEX('Market Data'!$AK$5:$AK$66,AH!$U$4)),IF(AH!$U$5=1,INDEX('Live History'!$D$5:$D$3004,MATCH($A2684,'Live History'!$D$5:$D$3004,1)),INDEX('AH History'!$D$5:$GG$1380,$K2684,AH!$U$10+2))),NA()),NA())</f>
        <v/>
      </c>
      <c r="H2684" s="266">
        <f>IFERROR(IF(ISNUMBER($A2684),IF(AND(AH!$U$12=1,2679+1=AH!$U$6),IF(AH!$U$4=0,"unavailable",INDEX('Market Data'!$AP$5:$AP$66,AH!$U$4)),IF(AH!$U$5=1,INDEX('Live History'!$H$5:$H$3004,MATCH($A2684,'Live History'!$G$5:$G$3004,1)),INDEX('AH History'!$B$5:$B$1380,$K2684))),NA()),NA())</f>
        <v/>
      </c>
      <c r="I2684" s="34">
        <f>IFERROR(IF(ISNUMBER($A2684),IF(AND(AH!$U$12=1,2679+1=AH!$U$6),TODAY(),IF(AH!$U$5=1,INDEX('Live History'!$G$5:$G$3004,MATCH($A2684,'Live History'!$G$5:$G$3004,1)),INDEX('AH History'!$C$5:$C$1380,$K2684))),NA()),NA())</f>
        <v/>
      </c>
      <c r="J2684" s="32">
        <f>IFERROR(IF(AND($F2684&gt;0,$H2684&gt;0,$A2684-$G2684&lt;=10,$A2684-$I2684&lt;=5,$G2684&gt;0,$I2684&gt;0),$F2684*$H2684,NA()),NA())</f>
        <v/>
      </c>
      <c r="K2684" s="15">
        <f>IF($A2684="","",IF(AH!$U$5=1,IFERROR(MATCH($A2684,'Live History'!$A$5:$A$3004,0),0),AH!$U$7+2679))</f>
        <v/>
      </c>
      <c r="L2684" s="15">
        <f>IF(ISNUMBER(A2684),TEXT(A2684,"dd-mmm-yy"),"")</f>
        <v/>
      </c>
    </row>
    <row r="2685">
      <c r="A2685" s="14">
        <f>IF(OR(AH!$U$4=0,2680+1&gt;AH!$U$6,AND(AH!$M$5="Bloomberg",AH!$U$5=0)),"",IFERROR(IF(AND(AH!$U$12=1,2680+1=AH!$U$6),TODAY(),IF(AH!$U$5=1,INDEX('Live History'!$A$5:$A$3004,AH!$U$7+2680),INDEX('AH History'!$A$5:$A$1380,AH!$U$7+2680))),""))</f>
        <v/>
      </c>
      <c r="B2685" s="33">
        <f>IFERROR(IF(AH!$U$11=1,NA(),$J2685/$E2685-1),NA())</f>
        <v/>
      </c>
      <c r="C2685" s="269">
        <f>IFERROR(100*$E2685/$E$5,NA())</f>
        <v/>
      </c>
      <c r="D2685" s="269">
        <f>IFERROR(100*$J2685/$J$5,NA())</f>
        <v/>
      </c>
      <c r="E2685" s="32">
        <f>IFERROR(IF(AND(ISNUMBER($A2685),N(IF(AND(AH!$U$12=1,2680+1=AH!$U$6),IF(AH!$U$4=0,"unavailable",INDEX('Market Data'!$AN$5:$AN$66,AH!$U$4)),IF(AH!$U$5=1,INDEX('Live History'!$B$5:$B$3004,$K2685),INDEX('AH History'!$D$5:$GG$1380,$K2685,AH!$U$10))))&gt;0),IF(AND(AH!$U$12=1,2680+1=AH!$U$6),IF(AH!$U$4=0,"unavailable",INDEX('Market Data'!$AN$5:$AN$66,AH!$U$4)),IF(AH!$U$5=1,INDEX('Live History'!$B$5:$B$3004,$K2685),INDEX('AH History'!$D$5:$GG$1380,$K2685,AH!$U$10))),NA()),NA())</f>
        <v/>
      </c>
      <c r="F2685" s="32">
        <f>IFERROR(IF(ISNUMBER($A2685),IF(AND(AH!$U$12=1,2680+1=AH!$U$6),IF(AH!$U$4=0,"unavailable",INDEX('Market Data'!$AO$5:$AO$66,AH!$U$4)),IF(AH!$U$5=1,INDEX('Live History'!$E$5:$E$3004,MATCH($A2685,'Live History'!$D$5:$D$3004,1)),INDEX('AH History'!$D$5:$GG$1380,$K2685,AH!$U$10+1))),NA()),NA())</f>
        <v/>
      </c>
      <c r="G2685" s="34">
        <f>IFERROR(IF(ISNUMBER($A2685),IF(AND(AH!$U$12=1,2680+1=AH!$U$6),IF(AH!$U$4=0,"unavailable",INDEX('Market Data'!$AK$5:$AK$66,AH!$U$4)),IF(AH!$U$5=1,INDEX('Live History'!$D$5:$D$3004,MATCH($A2685,'Live History'!$D$5:$D$3004,1)),INDEX('AH History'!$D$5:$GG$1380,$K2685,AH!$U$10+2))),NA()),NA())</f>
        <v/>
      </c>
      <c r="H2685" s="266">
        <f>IFERROR(IF(ISNUMBER($A2685),IF(AND(AH!$U$12=1,2680+1=AH!$U$6),IF(AH!$U$4=0,"unavailable",INDEX('Market Data'!$AP$5:$AP$66,AH!$U$4)),IF(AH!$U$5=1,INDEX('Live History'!$H$5:$H$3004,MATCH($A2685,'Live History'!$G$5:$G$3004,1)),INDEX('AH History'!$B$5:$B$1380,$K2685))),NA()),NA())</f>
        <v/>
      </c>
      <c r="I2685" s="34">
        <f>IFERROR(IF(ISNUMBER($A2685),IF(AND(AH!$U$12=1,2680+1=AH!$U$6),TODAY(),IF(AH!$U$5=1,INDEX('Live History'!$G$5:$G$3004,MATCH($A2685,'Live History'!$G$5:$G$3004,1)),INDEX('AH History'!$C$5:$C$1380,$K2685))),NA()),NA())</f>
        <v/>
      </c>
      <c r="J2685" s="32">
        <f>IFERROR(IF(AND($F2685&gt;0,$H2685&gt;0,$A2685-$G2685&lt;=10,$A2685-$I2685&lt;=5,$G2685&gt;0,$I2685&gt;0),$F2685*$H2685,NA()),NA())</f>
        <v/>
      </c>
      <c r="K2685" s="15">
        <f>IF($A2685="","",IF(AH!$U$5=1,IFERROR(MATCH($A2685,'Live History'!$A$5:$A$3004,0),0),AH!$U$7+2680))</f>
        <v/>
      </c>
      <c r="L2685" s="15">
        <f>IF(ISNUMBER(A2685),TEXT(A2685,"dd-mmm-yy"),"")</f>
        <v/>
      </c>
    </row>
    <row r="2686">
      <c r="A2686" s="14">
        <f>IF(OR(AH!$U$4=0,2681+1&gt;AH!$U$6,AND(AH!$M$5="Bloomberg",AH!$U$5=0)),"",IFERROR(IF(AND(AH!$U$12=1,2681+1=AH!$U$6),TODAY(),IF(AH!$U$5=1,INDEX('Live History'!$A$5:$A$3004,AH!$U$7+2681),INDEX('AH History'!$A$5:$A$1380,AH!$U$7+2681))),""))</f>
        <v/>
      </c>
      <c r="B2686" s="33">
        <f>IFERROR(IF(AH!$U$11=1,NA(),$J2686/$E2686-1),NA())</f>
        <v/>
      </c>
      <c r="C2686" s="269">
        <f>IFERROR(100*$E2686/$E$5,NA())</f>
        <v/>
      </c>
      <c r="D2686" s="269">
        <f>IFERROR(100*$J2686/$J$5,NA())</f>
        <v/>
      </c>
      <c r="E2686" s="32">
        <f>IFERROR(IF(AND(ISNUMBER($A2686),N(IF(AND(AH!$U$12=1,2681+1=AH!$U$6),IF(AH!$U$4=0,"unavailable",INDEX('Market Data'!$AN$5:$AN$66,AH!$U$4)),IF(AH!$U$5=1,INDEX('Live History'!$B$5:$B$3004,$K2686),INDEX('AH History'!$D$5:$GG$1380,$K2686,AH!$U$10))))&gt;0),IF(AND(AH!$U$12=1,2681+1=AH!$U$6),IF(AH!$U$4=0,"unavailable",INDEX('Market Data'!$AN$5:$AN$66,AH!$U$4)),IF(AH!$U$5=1,INDEX('Live History'!$B$5:$B$3004,$K2686),INDEX('AH History'!$D$5:$GG$1380,$K2686,AH!$U$10))),NA()),NA())</f>
        <v/>
      </c>
      <c r="F2686" s="32">
        <f>IFERROR(IF(ISNUMBER($A2686),IF(AND(AH!$U$12=1,2681+1=AH!$U$6),IF(AH!$U$4=0,"unavailable",INDEX('Market Data'!$AO$5:$AO$66,AH!$U$4)),IF(AH!$U$5=1,INDEX('Live History'!$E$5:$E$3004,MATCH($A2686,'Live History'!$D$5:$D$3004,1)),INDEX('AH History'!$D$5:$GG$1380,$K2686,AH!$U$10+1))),NA()),NA())</f>
        <v/>
      </c>
      <c r="G2686" s="34">
        <f>IFERROR(IF(ISNUMBER($A2686),IF(AND(AH!$U$12=1,2681+1=AH!$U$6),IF(AH!$U$4=0,"unavailable",INDEX('Market Data'!$AK$5:$AK$66,AH!$U$4)),IF(AH!$U$5=1,INDEX('Live History'!$D$5:$D$3004,MATCH($A2686,'Live History'!$D$5:$D$3004,1)),INDEX('AH History'!$D$5:$GG$1380,$K2686,AH!$U$10+2))),NA()),NA())</f>
        <v/>
      </c>
      <c r="H2686" s="266">
        <f>IFERROR(IF(ISNUMBER($A2686),IF(AND(AH!$U$12=1,2681+1=AH!$U$6),IF(AH!$U$4=0,"unavailable",INDEX('Market Data'!$AP$5:$AP$66,AH!$U$4)),IF(AH!$U$5=1,INDEX('Live History'!$H$5:$H$3004,MATCH($A2686,'Live History'!$G$5:$G$3004,1)),INDEX('AH History'!$B$5:$B$1380,$K2686))),NA()),NA())</f>
        <v/>
      </c>
      <c r="I2686" s="34">
        <f>IFERROR(IF(ISNUMBER($A2686),IF(AND(AH!$U$12=1,2681+1=AH!$U$6),TODAY(),IF(AH!$U$5=1,INDEX('Live History'!$G$5:$G$3004,MATCH($A2686,'Live History'!$G$5:$G$3004,1)),INDEX('AH History'!$C$5:$C$1380,$K2686))),NA()),NA())</f>
        <v/>
      </c>
      <c r="J2686" s="32">
        <f>IFERROR(IF(AND($F2686&gt;0,$H2686&gt;0,$A2686-$G2686&lt;=10,$A2686-$I2686&lt;=5,$G2686&gt;0,$I2686&gt;0),$F2686*$H2686,NA()),NA())</f>
        <v/>
      </c>
      <c r="K2686" s="15">
        <f>IF($A2686="","",IF(AH!$U$5=1,IFERROR(MATCH($A2686,'Live History'!$A$5:$A$3004,0),0),AH!$U$7+2681))</f>
        <v/>
      </c>
      <c r="L2686" s="15">
        <f>IF(ISNUMBER(A2686),TEXT(A2686,"dd-mmm-yy"),"")</f>
        <v/>
      </c>
    </row>
    <row r="2687">
      <c r="A2687" s="14">
        <f>IF(OR(AH!$U$4=0,2682+1&gt;AH!$U$6,AND(AH!$M$5="Bloomberg",AH!$U$5=0)),"",IFERROR(IF(AND(AH!$U$12=1,2682+1=AH!$U$6),TODAY(),IF(AH!$U$5=1,INDEX('Live History'!$A$5:$A$3004,AH!$U$7+2682),INDEX('AH History'!$A$5:$A$1380,AH!$U$7+2682))),""))</f>
        <v/>
      </c>
      <c r="B2687" s="33">
        <f>IFERROR(IF(AH!$U$11=1,NA(),$J2687/$E2687-1),NA())</f>
        <v/>
      </c>
      <c r="C2687" s="269">
        <f>IFERROR(100*$E2687/$E$5,NA())</f>
        <v/>
      </c>
      <c r="D2687" s="269">
        <f>IFERROR(100*$J2687/$J$5,NA())</f>
        <v/>
      </c>
      <c r="E2687" s="32">
        <f>IFERROR(IF(AND(ISNUMBER($A2687),N(IF(AND(AH!$U$12=1,2682+1=AH!$U$6),IF(AH!$U$4=0,"unavailable",INDEX('Market Data'!$AN$5:$AN$66,AH!$U$4)),IF(AH!$U$5=1,INDEX('Live History'!$B$5:$B$3004,$K2687),INDEX('AH History'!$D$5:$GG$1380,$K2687,AH!$U$10))))&gt;0),IF(AND(AH!$U$12=1,2682+1=AH!$U$6),IF(AH!$U$4=0,"unavailable",INDEX('Market Data'!$AN$5:$AN$66,AH!$U$4)),IF(AH!$U$5=1,INDEX('Live History'!$B$5:$B$3004,$K2687),INDEX('AH History'!$D$5:$GG$1380,$K2687,AH!$U$10))),NA()),NA())</f>
        <v/>
      </c>
      <c r="F2687" s="32">
        <f>IFERROR(IF(ISNUMBER($A2687),IF(AND(AH!$U$12=1,2682+1=AH!$U$6),IF(AH!$U$4=0,"unavailable",INDEX('Market Data'!$AO$5:$AO$66,AH!$U$4)),IF(AH!$U$5=1,INDEX('Live History'!$E$5:$E$3004,MATCH($A2687,'Live History'!$D$5:$D$3004,1)),INDEX('AH History'!$D$5:$GG$1380,$K2687,AH!$U$10+1))),NA()),NA())</f>
        <v/>
      </c>
      <c r="G2687" s="34">
        <f>IFERROR(IF(ISNUMBER($A2687),IF(AND(AH!$U$12=1,2682+1=AH!$U$6),IF(AH!$U$4=0,"unavailable",INDEX('Market Data'!$AK$5:$AK$66,AH!$U$4)),IF(AH!$U$5=1,INDEX('Live History'!$D$5:$D$3004,MATCH($A2687,'Live History'!$D$5:$D$3004,1)),INDEX('AH History'!$D$5:$GG$1380,$K2687,AH!$U$10+2))),NA()),NA())</f>
        <v/>
      </c>
      <c r="H2687" s="266">
        <f>IFERROR(IF(ISNUMBER($A2687),IF(AND(AH!$U$12=1,2682+1=AH!$U$6),IF(AH!$U$4=0,"unavailable",INDEX('Market Data'!$AP$5:$AP$66,AH!$U$4)),IF(AH!$U$5=1,INDEX('Live History'!$H$5:$H$3004,MATCH($A2687,'Live History'!$G$5:$G$3004,1)),INDEX('AH History'!$B$5:$B$1380,$K2687))),NA()),NA())</f>
        <v/>
      </c>
      <c r="I2687" s="34">
        <f>IFERROR(IF(ISNUMBER($A2687),IF(AND(AH!$U$12=1,2682+1=AH!$U$6),TODAY(),IF(AH!$U$5=1,INDEX('Live History'!$G$5:$G$3004,MATCH($A2687,'Live History'!$G$5:$G$3004,1)),INDEX('AH History'!$C$5:$C$1380,$K2687))),NA()),NA())</f>
        <v/>
      </c>
      <c r="J2687" s="32">
        <f>IFERROR(IF(AND($F2687&gt;0,$H2687&gt;0,$A2687-$G2687&lt;=10,$A2687-$I2687&lt;=5,$G2687&gt;0,$I2687&gt;0),$F2687*$H2687,NA()),NA())</f>
        <v/>
      </c>
      <c r="K2687" s="15">
        <f>IF($A2687="","",IF(AH!$U$5=1,IFERROR(MATCH($A2687,'Live History'!$A$5:$A$3004,0),0),AH!$U$7+2682))</f>
        <v/>
      </c>
      <c r="L2687" s="15">
        <f>IF(ISNUMBER(A2687),TEXT(A2687,"dd-mmm-yy"),"")</f>
        <v/>
      </c>
    </row>
    <row r="2688">
      <c r="A2688" s="14">
        <f>IF(OR(AH!$U$4=0,2683+1&gt;AH!$U$6,AND(AH!$M$5="Bloomberg",AH!$U$5=0)),"",IFERROR(IF(AND(AH!$U$12=1,2683+1=AH!$U$6),TODAY(),IF(AH!$U$5=1,INDEX('Live History'!$A$5:$A$3004,AH!$U$7+2683),INDEX('AH History'!$A$5:$A$1380,AH!$U$7+2683))),""))</f>
        <v/>
      </c>
      <c r="B2688" s="33">
        <f>IFERROR(IF(AH!$U$11=1,NA(),$J2688/$E2688-1),NA())</f>
        <v/>
      </c>
      <c r="C2688" s="269">
        <f>IFERROR(100*$E2688/$E$5,NA())</f>
        <v/>
      </c>
      <c r="D2688" s="269">
        <f>IFERROR(100*$J2688/$J$5,NA())</f>
        <v/>
      </c>
      <c r="E2688" s="32">
        <f>IFERROR(IF(AND(ISNUMBER($A2688),N(IF(AND(AH!$U$12=1,2683+1=AH!$U$6),IF(AH!$U$4=0,"unavailable",INDEX('Market Data'!$AN$5:$AN$66,AH!$U$4)),IF(AH!$U$5=1,INDEX('Live History'!$B$5:$B$3004,$K2688),INDEX('AH History'!$D$5:$GG$1380,$K2688,AH!$U$10))))&gt;0),IF(AND(AH!$U$12=1,2683+1=AH!$U$6),IF(AH!$U$4=0,"unavailable",INDEX('Market Data'!$AN$5:$AN$66,AH!$U$4)),IF(AH!$U$5=1,INDEX('Live History'!$B$5:$B$3004,$K2688),INDEX('AH History'!$D$5:$GG$1380,$K2688,AH!$U$10))),NA()),NA())</f>
        <v/>
      </c>
      <c r="F2688" s="32">
        <f>IFERROR(IF(ISNUMBER($A2688),IF(AND(AH!$U$12=1,2683+1=AH!$U$6),IF(AH!$U$4=0,"unavailable",INDEX('Market Data'!$AO$5:$AO$66,AH!$U$4)),IF(AH!$U$5=1,INDEX('Live History'!$E$5:$E$3004,MATCH($A2688,'Live History'!$D$5:$D$3004,1)),INDEX('AH History'!$D$5:$GG$1380,$K2688,AH!$U$10+1))),NA()),NA())</f>
        <v/>
      </c>
      <c r="G2688" s="34">
        <f>IFERROR(IF(ISNUMBER($A2688),IF(AND(AH!$U$12=1,2683+1=AH!$U$6),IF(AH!$U$4=0,"unavailable",INDEX('Market Data'!$AK$5:$AK$66,AH!$U$4)),IF(AH!$U$5=1,INDEX('Live History'!$D$5:$D$3004,MATCH($A2688,'Live History'!$D$5:$D$3004,1)),INDEX('AH History'!$D$5:$GG$1380,$K2688,AH!$U$10+2))),NA()),NA())</f>
        <v/>
      </c>
      <c r="H2688" s="266">
        <f>IFERROR(IF(ISNUMBER($A2688),IF(AND(AH!$U$12=1,2683+1=AH!$U$6),IF(AH!$U$4=0,"unavailable",INDEX('Market Data'!$AP$5:$AP$66,AH!$U$4)),IF(AH!$U$5=1,INDEX('Live History'!$H$5:$H$3004,MATCH($A2688,'Live History'!$G$5:$G$3004,1)),INDEX('AH History'!$B$5:$B$1380,$K2688))),NA()),NA())</f>
        <v/>
      </c>
      <c r="I2688" s="34">
        <f>IFERROR(IF(ISNUMBER($A2688),IF(AND(AH!$U$12=1,2683+1=AH!$U$6),TODAY(),IF(AH!$U$5=1,INDEX('Live History'!$G$5:$G$3004,MATCH($A2688,'Live History'!$G$5:$G$3004,1)),INDEX('AH History'!$C$5:$C$1380,$K2688))),NA()),NA())</f>
        <v/>
      </c>
      <c r="J2688" s="32">
        <f>IFERROR(IF(AND($F2688&gt;0,$H2688&gt;0,$A2688-$G2688&lt;=10,$A2688-$I2688&lt;=5,$G2688&gt;0,$I2688&gt;0),$F2688*$H2688,NA()),NA())</f>
        <v/>
      </c>
      <c r="K2688" s="15">
        <f>IF($A2688="","",IF(AH!$U$5=1,IFERROR(MATCH($A2688,'Live History'!$A$5:$A$3004,0),0),AH!$U$7+2683))</f>
        <v/>
      </c>
      <c r="L2688" s="15">
        <f>IF(ISNUMBER(A2688),TEXT(A2688,"dd-mmm-yy"),"")</f>
        <v/>
      </c>
    </row>
    <row r="2689">
      <c r="A2689" s="14">
        <f>IF(OR(AH!$U$4=0,2684+1&gt;AH!$U$6,AND(AH!$M$5="Bloomberg",AH!$U$5=0)),"",IFERROR(IF(AND(AH!$U$12=1,2684+1=AH!$U$6),TODAY(),IF(AH!$U$5=1,INDEX('Live History'!$A$5:$A$3004,AH!$U$7+2684),INDEX('AH History'!$A$5:$A$1380,AH!$U$7+2684))),""))</f>
        <v/>
      </c>
      <c r="B2689" s="33">
        <f>IFERROR(IF(AH!$U$11=1,NA(),$J2689/$E2689-1),NA())</f>
        <v/>
      </c>
      <c r="C2689" s="269">
        <f>IFERROR(100*$E2689/$E$5,NA())</f>
        <v/>
      </c>
      <c r="D2689" s="269">
        <f>IFERROR(100*$J2689/$J$5,NA())</f>
        <v/>
      </c>
      <c r="E2689" s="32">
        <f>IFERROR(IF(AND(ISNUMBER($A2689),N(IF(AND(AH!$U$12=1,2684+1=AH!$U$6),IF(AH!$U$4=0,"unavailable",INDEX('Market Data'!$AN$5:$AN$66,AH!$U$4)),IF(AH!$U$5=1,INDEX('Live History'!$B$5:$B$3004,$K2689),INDEX('AH History'!$D$5:$GG$1380,$K2689,AH!$U$10))))&gt;0),IF(AND(AH!$U$12=1,2684+1=AH!$U$6),IF(AH!$U$4=0,"unavailable",INDEX('Market Data'!$AN$5:$AN$66,AH!$U$4)),IF(AH!$U$5=1,INDEX('Live History'!$B$5:$B$3004,$K2689),INDEX('AH History'!$D$5:$GG$1380,$K2689,AH!$U$10))),NA()),NA())</f>
        <v/>
      </c>
      <c r="F2689" s="32">
        <f>IFERROR(IF(ISNUMBER($A2689),IF(AND(AH!$U$12=1,2684+1=AH!$U$6),IF(AH!$U$4=0,"unavailable",INDEX('Market Data'!$AO$5:$AO$66,AH!$U$4)),IF(AH!$U$5=1,INDEX('Live History'!$E$5:$E$3004,MATCH($A2689,'Live History'!$D$5:$D$3004,1)),INDEX('AH History'!$D$5:$GG$1380,$K2689,AH!$U$10+1))),NA()),NA())</f>
        <v/>
      </c>
      <c r="G2689" s="34">
        <f>IFERROR(IF(ISNUMBER($A2689),IF(AND(AH!$U$12=1,2684+1=AH!$U$6),IF(AH!$U$4=0,"unavailable",INDEX('Market Data'!$AK$5:$AK$66,AH!$U$4)),IF(AH!$U$5=1,INDEX('Live History'!$D$5:$D$3004,MATCH($A2689,'Live History'!$D$5:$D$3004,1)),INDEX('AH History'!$D$5:$GG$1380,$K2689,AH!$U$10+2))),NA()),NA())</f>
        <v/>
      </c>
      <c r="H2689" s="266">
        <f>IFERROR(IF(ISNUMBER($A2689),IF(AND(AH!$U$12=1,2684+1=AH!$U$6),IF(AH!$U$4=0,"unavailable",INDEX('Market Data'!$AP$5:$AP$66,AH!$U$4)),IF(AH!$U$5=1,INDEX('Live History'!$H$5:$H$3004,MATCH($A2689,'Live History'!$G$5:$G$3004,1)),INDEX('AH History'!$B$5:$B$1380,$K2689))),NA()),NA())</f>
        <v/>
      </c>
      <c r="I2689" s="34">
        <f>IFERROR(IF(ISNUMBER($A2689),IF(AND(AH!$U$12=1,2684+1=AH!$U$6),TODAY(),IF(AH!$U$5=1,INDEX('Live History'!$G$5:$G$3004,MATCH($A2689,'Live History'!$G$5:$G$3004,1)),INDEX('AH History'!$C$5:$C$1380,$K2689))),NA()),NA())</f>
        <v/>
      </c>
      <c r="J2689" s="32">
        <f>IFERROR(IF(AND($F2689&gt;0,$H2689&gt;0,$A2689-$G2689&lt;=10,$A2689-$I2689&lt;=5,$G2689&gt;0,$I2689&gt;0),$F2689*$H2689,NA()),NA())</f>
        <v/>
      </c>
      <c r="K2689" s="15">
        <f>IF($A2689="","",IF(AH!$U$5=1,IFERROR(MATCH($A2689,'Live History'!$A$5:$A$3004,0),0),AH!$U$7+2684))</f>
        <v/>
      </c>
      <c r="L2689" s="15">
        <f>IF(ISNUMBER(A2689),TEXT(A2689,"dd-mmm-yy"),"")</f>
        <v/>
      </c>
    </row>
    <row r="2690">
      <c r="A2690" s="14">
        <f>IF(OR(AH!$U$4=0,2685+1&gt;AH!$U$6,AND(AH!$M$5="Bloomberg",AH!$U$5=0)),"",IFERROR(IF(AND(AH!$U$12=1,2685+1=AH!$U$6),TODAY(),IF(AH!$U$5=1,INDEX('Live History'!$A$5:$A$3004,AH!$U$7+2685),INDEX('AH History'!$A$5:$A$1380,AH!$U$7+2685))),""))</f>
        <v/>
      </c>
      <c r="B2690" s="33">
        <f>IFERROR(IF(AH!$U$11=1,NA(),$J2690/$E2690-1),NA())</f>
        <v/>
      </c>
      <c r="C2690" s="269">
        <f>IFERROR(100*$E2690/$E$5,NA())</f>
        <v/>
      </c>
      <c r="D2690" s="269">
        <f>IFERROR(100*$J2690/$J$5,NA())</f>
        <v/>
      </c>
      <c r="E2690" s="32">
        <f>IFERROR(IF(AND(ISNUMBER($A2690),N(IF(AND(AH!$U$12=1,2685+1=AH!$U$6),IF(AH!$U$4=0,"unavailable",INDEX('Market Data'!$AN$5:$AN$66,AH!$U$4)),IF(AH!$U$5=1,INDEX('Live History'!$B$5:$B$3004,$K2690),INDEX('AH History'!$D$5:$GG$1380,$K2690,AH!$U$10))))&gt;0),IF(AND(AH!$U$12=1,2685+1=AH!$U$6),IF(AH!$U$4=0,"unavailable",INDEX('Market Data'!$AN$5:$AN$66,AH!$U$4)),IF(AH!$U$5=1,INDEX('Live History'!$B$5:$B$3004,$K2690),INDEX('AH History'!$D$5:$GG$1380,$K2690,AH!$U$10))),NA()),NA())</f>
        <v/>
      </c>
      <c r="F2690" s="32">
        <f>IFERROR(IF(ISNUMBER($A2690),IF(AND(AH!$U$12=1,2685+1=AH!$U$6),IF(AH!$U$4=0,"unavailable",INDEX('Market Data'!$AO$5:$AO$66,AH!$U$4)),IF(AH!$U$5=1,INDEX('Live History'!$E$5:$E$3004,MATCH($A2690,'Live History'!$D$5:$D$3004,1)),INDEX('AH History'!$D$5:$GG$1380,$K2690,AH!$U$10+1))),NA()),NA())</f>
        <v/>
      </c>
      <c r="G2690" s="34">
        <f>IFERROR(IF(ISNUMBER($A2690),IF(AND(AH!$U$12=1,2685+1=AH!$U$6),IF(AH!$U$4=0,"unavailable",INDEX('Market Data'!$AK$5:$AK$66,AH!$U$4)),IF(AH!$U$5=1,INDEX('Live History'!$D$5:$D$3004,MATCH($A2690,'Live History'!$D$5:$D$3004,1)),INDEX('AH History'!$D$5:$GG$1380,$K2690,AH!$U$10+2))),NA()),NA())</f>
        <v/>
      </c>
      <c r="H2690" s="266">
        <f>IFERROR(IF(ISNUMBER($A2690),IF(AND(AH!$U$12=1,2685+1=AH!$U$6),IF(AH!$U$4=0,"unavailable",INDEX('Market Data'!$AP$5:$AP$66,AH!$U$4)),IF(AH!$U$5=1,INDEX('Live History'!$H$5:$H$3004,MATCH($A2690,'Live History'!$G$5:$G$3004,1)),INDEX('AH History'!$B$5:$B$1380,$K2690))),NA()),NA())</f>
        <v/>
      </c>
      <c r="I2690" s="34">
        <f>IFERROR(IF(ISNUMBER($A2690),IF(AND(AH!$U$12=1,2685+1=AH!$U$6),TODAY(),IF(AH!$U$5=1,INDEX('Live History'!$G$5:$G$3004,MATCH($A2690,'Live History'!$G$5:$G$3004,1)),INDEX('AH History'!$C$5:$C$1380,$K2690))),NA()),NA())</f>
        <v/>
      </c>
      <c r="J2690" s="32">
        <f>IFERROR(IF(AND($F2690&gt;0,$H2690&gt;0,$A2690-$G2690&lt;=10,$A2690-$I2690&lt;=5,$G2690&gt;0,$I2690&gt;0),$F2690*$H2690,NA()),NA())</f>
        <v/>
      </c>
      <c r="K2690" s="15">
        <f>IF($A2690="","",IF(AH!$U$5=1,IFERROR(MATCH($A2690,'Live History'!$A$5:$A$3004,0),0),AH!$U$7+2685))</f>
        <v/>
      </c>
      <c r="L2690" s="15">
        <f>IF(ISNUMBER(A2690),TEXT(A2690,"dd-mmm-yy"),"")</f>
        <v/>
      </c>
    </row>
    <row r="2691">
      <c r="A2691" s="14">
        <f>IF(OR(AH!$U$4=0,2686+1&gt;AH!$U$6,AND(AH!$M$5="Bloomberg",AH!$U$5=0)),"",IFERROR(IF(AND(AH!$U$12=1,2686+1=AH!$U$6),TODAY(),IF(AH!$U$5=1,INDEX('Live History'!$A$5:$A$3004,AH!$U$7+2686),INDEX('AH History'!$A$5:$A$1380,AH!$U$7+2686))),""))</f>
        <v/>
      </c>
      <c r="B2691" s="33">
        <f>IFERROR(IF(AH!$U$11=1,NA(),$J2691/$E2691-1),NA())</f>
        <v/>
      </c>
      <c r="C2691" s="269">
        <f>IFERROR(100*$E2691/$E$5,NA())</f>
        <v/>
      </c>
      <c r="D2691" s="269">
        <f>IFERROR(100*$J2691/$J$5,NA())</f>
        <v/>
      </c>
      <c r="E2691" s="32">
        <f>IFERROR(IF(AND(ISNUMBER($A2691),N(IF(AND(AH!$U$12=1,2686+1=AH!$U$6),IF(AH!$U$4=0,"unavailable",INDEX('Market Data'!$AN$5:$AN$66,AH!$U$4)),IF(AH!$U$5=1,INDEX('Live History'!$B$5:$B$3004,$K2691),INDEX('AH History'!$D$5:$GG$1380,$K2691,AH!$U$10))))&gt;0),IF(AND(AH!$U$12=1,2686+1=AH!$U$6),IF(AH!$U$4=0,"unavailable",INDEX('Market Data'!$AN$5:$AN$66,AH!$U$4)),IF(AH!$U$5=1,INDEX('Live History'!$B$5:$B$3004,$K2691),INDEX('AH History'!$D$5:$GG$1380,$K2691,AH!$U$10))),NA()),NA())</f>
        <v/>
      </c>
      <c r="F2691" s="32">
        <f>IFERROR(IF(ISNUMBER($A2691),IF(AND(AH!$U$12=1,2686+1=AH!$U$6),IF(AH!$U$4=0,"unavailable",INDEX('Market Data'!$AO$5:$AO$66,AH!$U$4)),IF(AH!$U$5=1,INDEX('Live History'!$E$5:$E$3004,MATCH($A2691,'Live History'!$D$5:$D$3004,1)),INDEX('AH History'!$D$5:$GG$1380,$K2691,AH!$U$10+1))),NA()),NA())</f>
        <v/>
      </c>
      <c r="G2691" s="34">
        <f>IFERROR(IF(ISNUMBER($A2691),IF(AND(AH!$U$12=1,2686+1=AH!$U$6),IF(AH!$U$4=0,"unavailable",INDEX('Market Data'!$AK$5:$AK$66,AH!$U$4)),IF(AH!$U$5=1,INDEX('Live History'!$D$5:$D$3004,MATCH($A2691,'Live History'!$D$5:$D$3004,1)),INDEX('AH History'!$D$5:$GG$1380,$K2691,AH!$U$10+2))),NA()),NA())</f>
        <v/>
      </c>
      <c r="H2691" s="266">
        <f>IFERROR(IF(ISNUMBER($A2691),IF(AND(AH!$U$12=1,2686+1=AH!$U$6),IF(AH!$U$4=0,"unavailable",INDEX('Market Data'!$AP$5:$AP$66,AH!$U$4)),IF(AH!$U$5=1,INDEX('Live History'!$H$5:$H$3004,MATCH($A2691,'Live History'!$G$5:$G$3004,1)),INDEX('AH History'!$B$5:$B$1380,$K2691))),NA()),NA())</f>
        <v/>
      </c>
      <c r="I2691" s="34">
        <f>IFERROR(IF(ISNUMBER($A2691),IF(AND(AH!$U$12=1,2686+1=AH!$U$6),TODAY(),IF(AH!$U$5=1,INDEX('Live History'!$G$5:$G$3004,MATCH($A2691,'Live History'!$G$5:$G$3004,1)),INDEX('AH History'!$C$5:$C$1380,$K2691))),NA()),NA())</f>
        <v/>
      </c>
      <c r="J2691" s="32">
        <f>IFERROR(IF(AND($F2691&gt;0,$H2691&gt;0,$A2691-$G2691&lt;=10,$A2691-$I2691&lt;=5,$G2691&gt;0,$I2691&gt;0),$F2691*$H2691,NA()),NA())</f>
        <v/>
      </c>
      <c r="K2691" s="15">
        <f>IF($A2691="","",IF(AH!$U$5=1,IFERROR(MATCH($A2691,'Live History'!$A$5:$A$3004,0),0),AH!$U$7+2686))</f>
        <v/>
      </c>
      <c r="L2691" s="15">
        <f>IF(ISNUMBER(A2691),TEXT(A2691,"dd-mmm-yy"),"")</f>
        <v/>
      </c>
    </row>
    <row r="2692">
      <c r="A2692" s="14">
        <f>IF(OR(AH!$U$4=0,2687+1&gt;AH!$U$6,AND(AH!$M$5="Bloomberg",AH!$U$5=0)),"",IFERROR(IF(AND(AH!$U$12=1,2687+1=AH!$U$6),TODAY(),IF(AH!$U$5=1,INDEX('Live History'!$A$5:$A$3004,AH!$U$7+2687),INDEX('AH History'!$A$5:$A$1380,AH!$U$7+2687))),""))</f>
        <v/>
      </c>
      <c r="B2692" s="33">
        <f>IFERROR(IF(AH!$U$11=1,NA(),$J2692/$E2692-1),NA())</f>
        <v/>
      </c>
      <c r="C2692" s="269">
        <f>IFERROR(100*$E2692/$E$5,NA())</f>
        <v/>
      </c>
      <c r="D2692" s="269">
        <f>IFERROR(100*$J2692/$J$5,NA())</f>
        <v/>
      </c>
      <c r="E2692" s="32">
        <f>IFERROR(IF(AND(ISNUMBER($A2692),N(IF(AND(AH!$U$12=1,2687+1=AH!$U$6),IF(AH!$U$4=0,"unavailable",INDEX('Market Data'!$AN$5:$AN$66,AH!$U$4)),IF(AH!$U$5=1,INDEX('Live History'!$B$5:$B$3004,$K2692),INDEX('AH History'!$D$5:$GG$1380,$K2692,AH!$U$10))))&gt;0),IF(AND(AH!$U$12=1,2687+1=AH!$U$6),IF(AH!$U$4=0,"unavailable",INDEX('Market Data'!$AN$5:$AN$66,AH!$U$4)),IF(AH!$U$5=1,INDEX('Live History'!$B$5:$B$3004,$K2692),INDEX('AH History'!$D$5:$GG$1380,$K2692,AH!$U$10))),NA()),NA())</f>
        <v/>
      </c>
      <c r="F2692" s="32">
        <f>IFERROR(IF(ISNUMBER($A2692),IF(AND(AH!$U$12=1,2687+1=AH!$U$6),IF(AH!$U$4=0,"unavailable",INDEX('Market Data'!$AO$5:$AO$66,AH!$U$4)),IF(AH!$U$5=1,INDEX('Live History'!$E$5:$E$3004,MATCH($A2692,'Live History'!$D$5:$D$3004,1)),INDEX('AH History'!$D$5:$GG$1380,$K2692,AH!$U$10+1))),NA()),NA())</f>
        <v/>
      </c>
      <c r="G2692" s="34">
        <f>IFERROR(IF(ISNUMBER($A2692),IF(AND(AH!$U$12=1,2687+1=AH!$U$6),IF(AH!$U$4=0,"unavailable",INDEX('Market Data'!$AK$5:$AK$66,AH!$U$4)),IF(AH!$U$5=1,INDEX('Live History'!$D$5:$D$3004,MATCH($A2692,'Live History'!$D$5:$D$3004,1)),INDEX('AH History'!$D$5:$GG$1380,$K2692,AH!$U$10+2))),NA()),NA())</f>
        <v/>
      </c>
      <c r="H2692" s="266">
        <f>IFERROR(IF(ISNUMBER($A2692),IF(AND(AH!$U$12=1,2687+1=AH!$U$6),IF(AH!$U$4=0,"unavailable",INDEX('Market Data'!$AP$5:$AP$66,AH!$U$4)),IF(AH!$U$5=1,INDEX('Live History'!$H$5:$H$3004,MATCH($A2692,'Live History'!$G$5:$G$3004,1)),INDEX('AH History'!$B$5:$B$1380,$K2692))),NA()),NA())</f>
        <v/>
      </c>
      <c r="I2692" s="34">
        <f>IFERROR(IF(ISNUMBER($A2692),IF(AND(AH!$U$12=1,2687+1=AH!$U$6),TODAY(),IF(AH!$U$5=1,INDEX('Live History'!$G$5:$G$3004,MATCH($A2692,'Live History'!$G$5:$G$3004,1)),INDEX('AH History'!$C$5:$C$1380,$K2692))),NA()),NA())</f>
        <v/>
      </c>
      <c r="J2692" s="32">
        <f>IFERROR(IF(AND($F2692&gt;0,$H2692&gt;0,$A2692-$G2692&lt;=10,$A2692-$I2692&lt;=5,$G2692&gt;0,$I2692&gt;0),$F2692*$H2692,NA()),NA())</f>
        <v/>
      </c>
      <c r="K2692" s="15">
        <f>IF($A2692="","",IF(AH!$U$5=1,IFERROR(MATCH($A2692,'Live History'!$A$5:$A$3004,0),0),AH!$U$7+2687))</f>
        <v/>
      </c>
      <c r="L2692" s="15">
        <f>IF(ISNUMBER(A2692),TEXT(A2692,"dd-mmm-yy"),"")</f>
        <v/>
      </c>
    </row>
    <row r="2693">
      <c r="A2693" s="14">
        <f>IF(OR(AH!$U$4=0,2688+1&gt;AH!$U$6,AND(AH!$M$5="Bloomberg",AH!$U$5=0)),"",IFERROR(IF(AND(AH!$U$12=1,2688+1=AH!$U$6),TODAY(),IF(AH!$U$5=1,INDEX('Live History'!$A$5:$A$3004,AH!$U$7+2688),INDEX('AH History'!$A$5:$A$1380,AH!$U$7+2688))),""))</f>
        <v/>
      </c>
      <c r="B2693" s="33">
        <f>IFERROR(IF(AH!$U$11=1,NA(),$J2693/$E2693-1),NA())</f>
        <v/>
      </c>
      <c r="C2693" s="269">
        <f>IFERROR(100*$E2693/$E$5,NA())</f>
        <v/>
      </c>
      <c r="D2693" s="269">
        <f>IFERROR(100*$J2693/$J$5,NA())</f>
        <v/>
      </c>
      <c r="E2693" s="32">
        <f>IFERROR(IF(AND(ISNUMBER($A2693),N(IF(AND(AH!$U$12=1,2688+1=AH!$U$6),IF(AH!$U$4=0,"unavailable",INDEX('Market Data'!$AN$5:$AN$66,AH!$U$4)),IF(AH!$U$5=1,INDEX('Live History'!$B$5:$B$3004,$K2693),INDEX('AH History'!$D$5:$GG$1380,$K2693,AH!$U$10))))&gt;0),IF(AND(AH!$U$12=1,2688+1=AH!$U$6),IF(AH!$U$4=0,"unavailable",INDEX('Market Data'!$AN$5:$AN$66,AH!$U$4)),IF(AH!$U$5=1,INDEX('Live History'!$B$5:$B$3004,$K2693),INDEX('AH History'!$D$5:$GG$1380,$K2693,AH!$U$10))),NA()),NA())</f>
        <v/>
      </c>
      <c r="F2693" s="32">
        <f>IFERROR(IF(ISNUMBER($A2693),IF(AND(AH!$U$12=1,2688+1=AH!$U$6),IF(AH!$U$4=0,"unavailable",INDEX('Market Data'!$AO$5:$AO$66,AH!$U$4)),IF(AH!$U$5=1,INDEX('Live History'!$E$5:$E$3004,MATCH($A2693,'Live History'!$D$5:$D$3004,1)),INDEX('AH History'!$D$5:$GG$1380,$K2693,AH!$U$10+1))),NA()),NA())</f>
        <v/>
      </c>
      <c r="G2693" s="34">
        <f>IFERROR(IF(ISNUMBER($A2693),IF(AND(AH!$U$12=1,2688+1=AH!$U$6),IF(AH!$U$4=0,"unavailable",INDEX('Market Data'!$AK$5:$AK$66,AH!$U$4)),IF(AH!$U$5=1,INDEX('Live History'!$D$5:$D$3004,MATCH($A2693,'Live History'!$D$5:$D$3004,1)),INDEX('AH History'!$D$5:$GG$1380,$K2693,AH!$U$10+2))),NA()),NA())</f>
        <v/>
      </c>
      <c r="H2693" s="266">
        <f>IFERROR(IF(ISNUMBER($A2693),IF(AND(AH!$U$12=1,2688+1=AH!$U$6),IF(AH!$U$4=0,"unavailable",INDEX('Market Data'!$AP$5:$AP$66,AH!$U$4)),IF(AH!$U$5=1,INDEX('Live History'!$H$5:$H$3004,MATCH($A2693,'Live History'!$G$5:$G$3004,1)),INDEX('AH History'!$B$5:$B$1380,$K2693))),NA()),NA())</f>
        <v/>
      </c>
      <c r="I2693" s="34">
        <f>IFERROR(IF(ISNUMBER($A2693),IF(AND(AH!$U$12=1,2688+1=AH!$U$6),TODAY(),IF(AH!$U$5=1,INDEX('Live History'!$G$5:$G$3004,MATCH($A2693,'Live History'!$G$5:$G$3004,1)),INDEX('AH History'!$C$5:$C$1380,$K2693))),NA()),NA())</f>
        <v/>
      </c>
      <c r="J2693" s="32">
        <f>IFERROR(IF(AND($F2693&gt;0,$H2693&gt;0,$A2693-$G2693&lt;=10,$A2693-$I2693&lt;=5,$G2693&gt;0,$I2693&gt;0),$F2693*$H2693,NA()),NA())</f>
        <v/>
      </c>
      <c r="K2693" s="15">
        <f>IF($A2693="","",IF(AH!$U$5=1,IFERROR(MATCH($A2693,'Live History'!$A$5:$A$3004,0),0),AH!$U$7+2688))</f>
        <v/>
      </c>
      <c r="L2693" s="15">
        <f>IF(ISNUMBER(A2693),TEXT(A2693,"dd-mmm-yy"),"")</f>
        <v/>
      </c>
    </row>
    <row r="2694">
      <c r="A2694" s="14">
        <f>IF(OR(AH!$U$4=0,2689+1&gt;AH!$U$6,AND(AH!$M$5="Bloomberg",AH!$U$5=0)),"",IFERROR(IF(AND(AH!$U$12=1,2689+1=AH!$U$6),TODAY(),IF(AH!$U$5=1,INDEX('Live History'!$A$5:$A$3004,AH!$U$7+2689),INDEX('AH History'!$A$5:$A$1380,AH!$U$7+2689))),""))</f>
        <v/>
      </c>
      <c r="B2694" s="33">
        <f>IFERROR(IF(AH!$U$11=1,NA(),$J2694/$E2694-1),NA())</f>
        <v/>
      </c>
      <c r="C2694" s="269">
        <f>IFERROR(100*$E2694/$E$5,NA())</f>
        <v/>
      </c>
      <c r="D2694" s="269">
        <f>IFERROR(100*$J2694/$J$5,NA())</f>
        <v/>
      </c>
      <c r="E2694" s="32">
        <f>IFERROR(IF(AND(ISNUMBER($A2694),N(IF(AND(AH!$U$12=1,2689+1=AH!$U$6),IF(AH!$U$4=0,"unavailable",INDEX('Market Data'!$AN$5:$AN$66,AH!$U$4)),IF(AH!$U$5=1,INDEX('Live History'!$B$5:$B$3004,$K2694),INDEX('AH History'!$D$5:$GG$1380,$K2694,AH!$U$10))))&gt;0),IF(AND(AH!$U$12=1,2689+1=AH!$U$6),IF(AH!$U$4=0,"unavailable",INDEX('Market Data'!$AN$5:$AN$66,AH!$U$4)),IF(AH!$U$5=1,INDEX('Live History'!$B$5:$B$3004,$K2694),INDEX('AH History'!$D$5:$GG$1380,$K2694,AH!$U$10))),NA()),NA())</f>
        <v/>
      </c>
      <c r="F2694" s="32">
        <f>IFERROR(IF(ISNUMBER($A2694),IF(AND(AH!$U$12=1,2689+1=AH!$U$6),IF(AH!$U$4=0,"unavailable",INDEX('Market Data'!$AO$5:$AO$66,AH!$U$4)),IF(AH!$U$5=1,INDEX('Live History'!$E$5:$E$3004,MATCH($A2694,'Live History'!$D$5:$D$3004,1)),INDEX('AH History'!$D$5:$GG$1380,$K2694,AH!$U$10+1))),NA()),NA())</f>
        <v/>
      </c>
      <c r="G2694" s="34">
        <f>IFERROR(IF(ISNUMBER($A2694),IF(AND(AH!$U$12=1,2689+1=AH!$U$6),IF(AH!$U$4=0,"unavailable",INDEX('Market Data'!$AK$5:$AK$66,AH!$U$4)),IF(AH!$U$5=1,INDEX('Live History'!$D$5:$D$3004,MATCH($A2694,'Live History'!$D$5:$D$3004,1)),INDEX('AH History'!$D$5:$GG$1380,$K2694,AH!$U$10+2))),NA()),NA())</f>
        <v/>
      </c>
      <c r="H2694" s="266">
        <f>IFERROR(IF(ISNUMBER($A2694),IF(AND(AH!$U$12=1,2689+1=AH!$U$6),IF(AH!$U$4=0,"unavailable",INDEX('Market Data'!$AP$5:$AP$66,AH!$U$4)),IF(AH!$U$5=1,INDEX('Live History'!$H$5:$H$3004,MATCH($A2694,'Live History'!$G$5:$G$3004,1)),INDEX('AH History'!$B$5:$B$1380,$K2694))),NA()),NA())</f>
        <v/>
      </c>
      <c r="I2694" s="34">
        <f>IFERROR(IF(ISNUMBER($A2694),IF(AND(AH!$U$12=1,2689+1=AH!$U$6),TODAY(),IF(AH!$U$5=1,INDEX('Live History'!$G$5:$G$3004,MATCH($A2694,'Live History'!$G$5:$G$3004,1)),INDEX('AH History'!$C$5:$C$1380,$K2694))),NA()),NA())</f>
        <v/>
      </c>
      <c r="J2694" s="32">
        <f>IFERROR(IF(AND($F2694&gt;0,$H2694&gt;0,$A2694-$G2694&lt;=10,$A2694-$I2694&lt;=5,$G2694&gt;0,$I2694&gt;0),$F2694*$H2694,NA()),NA())</f>
        <v/>
      </c>
      <c r="K2694" s="15">
        <f>IF($A2694="","",IF(AH!$U$5=1,IFERROR(MATCH($A2694,'Live History'!$A$5:$A$3004,0),0),AH!$U$7+2689))</f>
        <v/>
      </c>
      <c r="L2694" s="15">
        <f>IF(ISNUMBER(A2694),TEXT(A2694,"dd-mmm-yy"),"")</f>
        <v/>
      </c>
    </row>
    <row r="2695">
      <c r="A2695" s="14">
        <f>IF(OR(AH!$U$4=0,2690+1&gt;AH!$U$6,AND(AH!$M$5="Bloomberg",AH!$U$5=0)),"",IFERROR(IF(AND(AH!$U$12=1,2690+1=AH!$U$6),TODAY(),IF(AH!$U$5=1,INDEX('Live History'!$A$5:$A$3004,AH!$U$7+2690),INDEX('AH History'!$A$5:$A$1380,AH!$U$7+2690))),""))</f>
        <v/>
      </c>
      <c r="B2695" s="33">
        <f>IFERROR(IF(AH!$U$11=1,NA(),$J2695/$E2695-1),NA())</f>
        <v/>
      </c>
      <c r="C2695" s="269">
        <f>IFERROR(100*$E2695/$E$5,NA())</f>
        <v/>
      </c>
      <c r="D2695" s="269">
        <f>IFERROR(100*$J2695/$J$5,NA())</f>
        <v/>
      </c>
      <c r="E2695" s="32">
        <f>IFERROR(IF(AND(ISNUMBER($A2695),N(IF(AND(AH!$U$12=1,2690+1=AH!$U$6),IF(AH!$U$4=0,"unavailable",INDEX('Market Data'!$AN$5:$AN$66,AH!$U$4)),IF(AH!$U$5=1,INDEX('Live History'!$B$5:$B$3004,$K2695),INDEX('AH History'!$D$5:$GG$1380,$K2695,AH!$U$10))))&gt;0),IF(AND(AH!$U$12=1,2690+1=AH!$U$6),IF(AH!$U$4=0,"unavailable",INDEX('Market Data'!$AN$5:$AN$66,AH!$U$4)),IF(AH!$U$5=1,INDEX('Live History'!$B$5:$B$3004,$K2695),INDEX('AH History'!$D$5:$GG$1380,$K2695,AH!$U$10))),NA()),NA())</f>
        <v/>
      </c>
      <c r="F2695" s="32">
        <f>IFERROR(IF(ISNUMBER($A2695),IF(AND(AH!$U$12=1,2690+1=AH!$U$6),IF(AH!$U$4=0,"unavailable",INDEX('Market Data'!$AO$5:$AO$66,AH!$U$4)),IF(AH!$U$5=1,INDEX('Live History'!$E$5:$E$3004,MATCH($A2695,'Live History'!$D$5:$D$3004,1)),INDEX('AH History'!$D$5:$GG$1380,$K2695,AH!$U$10+1))),NA()),NA())</f>
        <v/>
      </c>
      <c r="G2695" s="34">
        <f>IFERROR(IF(ISNUMBER($A2695),IF(AND(AH!$U$12=1,2690+1=AH!$U$6),IF(AH!$U$4=0,"unavailable",INDEX('Market Data'!$AK$5:$AK$66,AH!$U$4)),IF(AH!$U$5=1,INDEX('Live History'!$D$5:$D$3004,MATCH($A2695,'Live History'!$D$5:$D$3004,1)),INDEX('AH History'!$D$5:$GG$1380,$K2695,AH!$U$10+2))),NA()),NA())</f>
        <v/>
      </c>
      <c r="H2695" s="266">
        <f>IFERROR(IF(ISNUMBER($A2695),IF(AND(AH!$U$12=1,2690+1=AH!$U$6),IF(AH!$U$4=0,"unavailable",INDEX('Market Data'!$AP$5:$AP$66,AH!$U$4)),IF(AH!$U$5=1,INDEX('Live History'!$H$5:$H$3004,MATCH($A2695,'Live History'!$G$5:$G$3004,1)),INDEX('AH History'!$B$5:$B$1380,$K2695))),NA()),NA())</f>
        <v/>
      </c>
      <c r="I2695" s="34">
        <f>IFERROR(IF(ISNUMBER($A2695),IF(AND(AH!$U$12=1,2690+1=AH!$U$6),TODAY(),IF(AH!$U$5=1,INDEX('Live History'!$G$5:$G$3004,MATCH($A2695,'Live History'!$G$5:$G$3004,1)),INDEX('AH History'!$C$5:$C$1380,$K2695))),NA()),NA())</f>
        <v/>
      </c>
      <c r="J2695" s="32">
        <f>IFERROR(IF(AND($F2695&gt;0,$H2695&gt;0,$A2695-$G2695&lt;=10,$A2695-$I2695&lt;=5,$G2695&gt;0,$I2695&gt;0),$F2695*$H2695,NA()),NA())</f>
        <v/>
      </c>
      <c r="K2695" s="15">
        <f>IF($A2695="","",IF(AH!$U$5=1,IFERROR(MATCH($A2695,'Live History'!$A$5:$A$3004,0),0),AH!$U$7+2690))</f>
        <v/>
      </c>
      <c r="L2695" s="15">
        <f>IF(ISNUMBER(A2695),TEXT(A2695,"dd-mmm-yy"),"")</f>
        <v/>
      </c>
    </row>
    <row r="2696">
      <c r="A2696" s="14">
        <f>IF(OR(AH!$U$4=0,2691+1&gt;AH!$U$6,AND(AH!$M$5="Bloomberg",AH!$U$5=0)),"",IFERROR(IF(AND(AH!$U$12=1,2691+1=AH!$U$6),TODAY(),IF(AH!$U$5=1,INDEX('Live History'!$A$5:$A$3004,AH!$U$7+2691),INDEX('AH History'!$A$5:$A$1380,AH!$U$7+2691))),""))</f>
        <v/>
      </c>
      <c r="B2696" s="33">
        <f>IFERROR(IF(AH!$U$11=1,NA(),$J2696/$E2696-1),NA())</f>
        <v/>
      </c>
      <c r="C2696" s="269">
        <f>IFERROR(100*$E2696/$E$5,NA())</f>
        <v/>
      </c>
      <c r="D2696" s="269">
        <f>IFERROR(100*$J2696/$J$5,NA())</f>
        <v/>
      </c>
      <c r="E2696" s="32">
        <f>IFERROR(IF(AND(ISNUMBER($A2696),N(IF(AND(AH!$U$12=1,2691+1=AH!$U$6),IF(AH!$U$4=0,"unavailable",INDEX('Market Data'!$AN$5:$AN$66,AH!$U$4)),IF(AH!$U$5=1,INDEX('Live History'!$B$5:$B$3004,$K2696),INDEX('AH History'!$D$5:$GG$1380,$K2696,AH!$U$10))))&gt;0),IF(AND(AH!$U$12=1,2691+1=AH!$U$6),IF(AH!$U$4=0,"unavailable",INDEX('Market Data'!$AN$5:$AN$66,AH!$U$4)),IF(AH!$U$5=1,INDEX('Live History'!$B$5:$B$3004,$K2696),INDEX('AH History'!$D$5:$GG$1380,$K2696,AH!$U$10))),NA()),NA())</f>
        <v/>
      </c>
      <c r="F2696" s="32">
        <f>IFERROR(IF(ISNUMBER($A2696),IF(AND(AH!$U$12=1,2691+1=AH!$U$6),IF(AH!$U$4=0,"unavailable",INDEX('Market Data'!$AO$5:$AO$66,AH!$U$4)),IF(AH!$U$5=1,INDEX('Live History'!$E$5:$E$3004,MATCH($A2696,'Live History'!$D$5:$D$3004,1)),INDEX('AH History'!$D$5:$GG$1380,$K2696,AH!$U$10+1))),NA()),NA())</f>
        <v/>
      </c>
      <c r="G2696" s="34">
        <f>IFERROR(IF(ISNUMBER($A2696),IF(AND(AH!$U$12=1,2691+1=AH!$U$6),IF(AH!$U$4=0,"unavailable",INDEX('Market Data'!$AK$5:$AK$66,AH!$U$4)),IF(AH!$U$5=1,INDEX('Live History'!$D$5:$D$3004,MATCH($A2696,'Live History'!$D$5:$D$3004,1)),INDEX('AH History'!$D$5:$GG$1380,$K2696,AH!$U$10+2))),NA()),NA())</f>
        <v/>
      </c>
      <c r="H2696" s="266">
        <f>IFERROR(IF(ISNUMBER($A2696),IF(AND(AH!$U$12=1,2691+1=AH!$U$6),IF(AH!$U$4=0,"unavailable",INDEX('Market Data'!$AP$5:$AP$66,AH!$U$4)),IF(AH!$U$5=1,INDEX('Live History'!$H$5:$H$3004,MATCH($A2696,'Live History'!$G$5:$G$3004,1)),INDEX('AH History'!$B$5:$B$1380,$K2696))),NA()),NA())</f>
        <v/>
      </c>
      <c r="I2696" s="34">
        <f>IFERROR(IF(ISNUMBER($A2696),IF(AND(AH!$U$12=1,2691+1=AH!$U$6),TODAY(),IF(AH!$U$5=1,INDEX('Live History'!$G$5:$G$3004,MATCH($A2696,'Live History'!$G$5:$G$3004,1)),INDEX('AH History'!$C$5:$C$1380,$K2696))),NA()),NA())</f>
        <v/>
      </c>
      <c r="J2696" s="32">
        <f>IFERROR(IF(AND($F2696&gt;0,$H2696&gt;0,$A2696-$G2696&lt;=10,$A2696-$I2696&lt;=5,$G2696&gt;0,$I2696&gt;0),$F2696*$H2696,NA()),NA())</f>
        <v/>
      </c>
      <c r="K2696" s="15">
        <f>IF($A2696="","",IF(AH!$U$5=1,IFERROR(MATCH($A2696,'Live History'!$A$5:$A$3004,0),0),AH!$U$7+2691))</f>
        <v/>
      </c>
      <c r="L2696" s="15">
        <f>IF(ISNUMBER(A2696),TEXT(A2696,"dd-mmm-yy"),"")</f>
        <v/>
      </c>
    </row>
    <row r="2697">
      <c r="A2697" s="14">
        <f>IF(OR(AH!$U$4=0,2692+1&gt;AH!$U$6,AND(AH!$M$5="Bloomberg",AH!$U$5=0)),"",IFERROR(IF(AND(AH!$U$12=1,2692+1=AH!$U$6),TODAY(),IF(AH!$U$5=1,INDEX('Live History'!$A$5:$A$3004,AH!$U$7+2692),INDEX('AH History'!$A$5:$A$1380,AH!$U$7+2692))),""))</f>
        <v/>
      </c>
      <c r="B2697" s="33">
        <f>IFERROR(IF(AH!$U$11=1,NA(),$J2697/$E2697-1),NA())</f>
        <v/>
      </c>
      <c r="C2697" s="269">
        <f>IFERROR(100*$E2697/$E$5,NA())</f>
        <v/>
      </c>
      <c r="D2697" s="269">
        <f>IFERROR(100*$J2697/$J$5,NA())</f>
        <v/>
      </c>
      <c r="E2697" s="32">
        <f>IFERROR(IF(AND(ISNUMBER($A2697),N(IF(AND(AH!$U$12=1,2692+1=AH!$U$6),IF(AH!$U$4=0,"unavailable",INDEX('Market Data'!$AN$5:$AN$66,AH!$U$4)),IF(AH!$U$5=1,INDEX('Live History'!$B$5:$B$3004,$K2697),INDEX('AH History'!$D$5:$GG$1380,$K2697,AH!$U$10))))&gt;0),IF(AND(AH!$U$12=1,2692+1=AH!$U$6),IF(AH!$U$4=0,"unavailable",INDEX('Market Data'!$AN$5:$AN$66,AH!$U$4)),IF(AH!$U$5=1,INDEX('Live History'!$B$5:$B$3004,$K2697),INDEX('AH History'!$D$5:$GG$1380,$K2697,AH!$U$10))),NA()),NA())</f>
        <v/>
      </c>
      <c r="F2697" s="32">
        <f>IFERROR(IF(ISNUMBER($A2697),IF(AND(AH!$U$12=1,2692+1=AH!$U$6),IF(AH!$U$4=0,"unavailable",INDEX('Market Data'!$AO$5:$AO$66,AH!$U$4)),IF(AH!$U$5=1,INDEX('Live History'!$E$5:$E$3004,MATCH($A2697,'Live History'!$D$5:$D$3004,1)),INDEX('AH History'!$D$5:$GG$1380,$K2697,AH!$U$10+1))),NA()),NA())</f>
        <v/>
      </c>
      <c r="G2697" s="34">
        <f>IFERROR(IF(ISNUMBER($A2697),IF(AND(AH!$U$12=1,2692+1=AH!$U$6),IF(AH!$U$4=0,"unavailable",INDEX('Market Data'!$AK$5:$AK$66,AH!$U$4)),IF(AH!$U$5=1,INDEX('Live History'!$D$5:$D$3004,MATCH($A2697,'Live History'!$D$5:$D$3004,1)),INDEX('AH History'!$D$5:$GG$1380,$K2697,AH!$U$10+2))),NA()),NA())</f>
        <v/>
      </c>
      <c r="H2697" s="266">
        <f>IFERROR(IF(ISNUMBER($A2697),IF(AND(AH!$U$12=1,2692+1=AH!$U$6),IF(AH!$U$4=0,"unavailable",INDEX('Market Data'!$AP$5:$AP$66,AH!$U$4)),IF(AH!$U$5=1,INDEX('Live History'!$H$5:$H$3004,MATCH($A2697,'Live History'!$G$5:$G$3004,1)),INDEX('AH History'!$B$5:$B$1380,$K2697))),NA()),NA())</f>
        <v/>
      </c>
      <c r="I2697" s="34">
        <f>IFERROR(IF(ISNUMBER($A2697),IF(AND(AH!$U$12=1,2692+1=AH!$U$6),TODAY(),IF(AH!$U$5=1,INDEX('Live History'!$G$5:$G$3004,MATCH($A2697,'Live History'!$G$5:$G$3004,1)),INDEX('AH History'!$C$5:$C$1380,$K2697))),NA()),NA())</f>
        <v/>
      </c>
      <c r="J2697" s="32">
        <f>IFERROR(IF(AND($F2697&gt;0,$H2697&gt;0,$A2697-$G2697&lt;=10,$A2697-$I2697&lt;=5,$G2697&gt;0,$I2697&gt;0),$F2697*$H2697,NA()),NA())</f>
        <v/>
      </c>
      <c r="K2697" s="15">
        <f>IF($A2697="","",IF(AH!$U$5=1,IFERROR(MATCH($A2697,'Live History'!$A$5:$A$3004,0),0),AH!$U$7+2692))</f>
        <v/>
      </c>
      <c r="L2697" s="15">
        <f>IF(ISNUMBER(A2697),TEXT(A2697,"dd-mmm-yy"),"")</f>
        <v/>
      </c>
    </row>
    <row r="2698">
      <c r="A2698" s="14">
        <f>IF(OR(AH!$U$4=0,2693+1&gt;AH!$U$6,AND(AH!$M$5="Bloomberg",AH!$U$5=0)),"",IFERROR(IF(AND(AH!$U$12=1,2693+1=AH!$U$6),TODAY(),IF(AH!$U$5=1,INDEX('Live History'!$A$5:$A$3004,AH!$U$7+2693),INDEX('AH History'!$A$5:$A$1380,AH!$U$7+2693))),""))</f>
        <v/>
      </c>
      <c r="B2698" s="33">
        <f>IFERROR(IF(AH!$U$11=1,NA(),$J2698/$E2698-1),NA())</f>
        <v/>
      </c>
      <c r="C2698" s="269">
        <f>IFERROR(100*$E2698/$E$5,NA())</f>
        <v/>
      </c>
      <c r="D2698" s="269">
        <f>IFERROR(100*$J2698/$J$5,NA())</f>
        <v/>
      </c>
      <c r="E2698" s="32">
        <f>IFERROR(IF(AND(ISNUMBER($A2698),N(IF(AND(AH!$U$12=1,2693+1=AH!$U$6),IF(AH!$U$4=0,"unavailable",INDEX('Market Data'!$AN$5:$AN$66,AH!$U$4)),IF(AH!$U$5=1,INDEX('Live History'!$B$5:$B$3004,$K2698),INDEX('AH History'!$D$5:$GG$1380,$K2698,AH!$U$10))))&gt;0),IF(AND(AH!$U$12=1,2693+1=AH!$U$6),IF(AH!$U$4=0,"unavailable",INDEX('Market Data'!$AN$5:$AN$66,AH!$U$4)),IF(AH!$U$5=1,INDEX('Live History'!$B$5:$B$3004,$K2698),INDEX('AH History'!$D$5:$GG$1380,$K2698,AH!$U$10))),NA()),NA())</f>
        <v/>
      </c>
      <c r="F2698" s="32">
        <f>IFERROR(IF(ISNUMBER($A2698),IF(AND(AH!$U$12=1,2693+1=AH!$U$6),IF(AH!$U$4=0,"unavailable",INDEX('Market Data'!$AO$5:$AO$66,AH!$U$4)),IF(AH!$U$5=1,INDEX('Live History'!$E$5:$E$3004,MATCH($A2698,'Live History'!$D$5:$D$3004,1)),INDEX('AH History'!$D$5:$GG$1380,$K2698,AH!$U$10+1))),NA()),NA())</f>
        <v/>
      </c>
      <c r="G2698" s="34">
        <f>IFERROR(IF(ISNUMBER($A2698),IF(AND(AH!$U$12=1,2693+1=AH!$U$6),IF(AH!$U$4=0,"unavailable",INDEX('Market Data'!$AK$5:$AK$66,AH!$U$4)),IF(AH!$U$5=1,INDEX('Live History'!$D$5:$D$3004,MATCH($A2698,'Live History'!$D$5:$D$3004,1)),INDEX('AH History'!$D$5:$GG$1380,$K2698,AH!$U$10+2))),NA()),NA())</f>
        <v/>
      </c>
      <c r="H2698" s="266">
        <f>IFERROR(IF(ISNUMBER($A2698),IF(AND(AH!$U$12=1,2693+1=AH!$U$6),IF(AH!$U$4=0,"unavailable",INDEX('Market Data'!$AP$5:$AP$66,AH!$U$4)),IF(AH!$U$5=1,INDEX('Live History'!$H$5:$H$3004,MATCH($A2698,'Live History'!$G$5:$G$3004,1)),INDEX('AH History'!$B$5:$B$1380,$K2698))),NA()),NA())</f>
        <v/>
      </c>
      <c r="I2698" s="34">
        <f>IFERROR(IF(ISNUMBER($A2698),IF(AND(AH!$U$12=1,2693+1=AH!$U$6),TODAY(),IF(AH!$U$5=1,INDEX('Live History'!$G$5:$G$3004,MATCH($A2698,'Live History'!$G$5:$G$3004,1)),INDEX('AH History'!$C$5:$C$1380,$K2698))),NA()),NA())</f>
        <v/>
      </c>
      <c r="J2698" s="32">
        <f>IFERROR(IF(AND($F2698&gt;0,$H2698&gt;0,$A2698-$G2698&lt;=10,$A2698-$I2698&lt;=5,$G2698&gt;0,$I2698&gt;0),$F2698*$H2698,NA()),NA())</f>
        <v/>
      </c>
      <c r="K2698" s="15">
        <f>IF($A2698="","",IF(AH!$U$5=1,IFERROR(MATCH($A2698,'Live History'!$A$5:$A$3004,0),0),AH!$U$7+2693))</f>
        <v/>
      </c>
      <c r="L2698" s="15">
        <f>IF(ISNUMBER(A2698),TEXT(A2698,"dd-mmm-yy"),"")</f>
        <v/>
      </c>
    </row>
    <row r="2699">
      <c r="A2699" s="14">
        <f>IF(OR(AH!$U$4=0,2694+1&gt;AH!$U$6,AND(AH!$M$5="Bloomberg",AH!$U$5=0)),"",IFERROR(IF(AND(AH!$U$12=1,2694+1=AH!$U$6),TODAY(),IF(AH!$U$5=1,INDEX('Live History'!$A$5:$A$3004,AH!$U$7+2694),INDEX('AH History'!$A$5:$A$1380,AH!$U$7+2694))),""))</f>
        <v/>
      </c>
      <c r="B2699" s="33">
        <f>IFERROR(IF(AH!$U$11=1,NA(),$J2699/$E2699-1),NA())</f>
        <v/>
      </c>
      <c r="C2699" s="269">
        <f>IFERROR(100*$E2699/$E$5,NA())</f>
        <v/>
      </c>
      <c r="D2699" s="269">
        <f>IFERROR(100*$J2699/$J$5,NA())</f>
        <v/>
      </c>
      <c r="E2699" s="32">
        <f>IFERROR(IF(AND(ISNUMBER($A2699),N(IF(AND(AH!$U$12=1,2694+1=AH!$U$6),IF(AH!$U$4=0,"unavailable",INDEX('Market Data'!$AN$5:$AN$66,AH!$U$4)),IF(AH!$U$5=1,INDEX('Live History'!$B$5:$B$3004,$K2699),INDEX('AH History'!$D$5:$GG$1380,$K2699,AH!$U$10))))&gt;0),IF(AND(AH!$U$12=1,2694+1=AH!$U$6),IF(AH!$U$4=0,"unavailable",INDEX('Market Data'!$AN$5:$AN$66,AH!$U$4)),IF(AH!$U$5=1,INDEX('Live History'!$B$5:$B$3004,$K2699),INDEX('AH History'!$D$5:$GG$1380,$K2699,AH!$U$10))),NA()),NA())</f>
        <v/>
      </c>
      <c r="F2699" s="32">
        <f>IFERROR(IF(ISNUMBER($A2699),IF(AND(AH!$U$12=1,2694+1=AH!$U$6),IF(AH!$U$4=0,"unavailable",INDEX('Market Data'!$AO$5:$AO$66,AH!$U$4)),IF(AH!$U$5=1,INDEX('Live History'!$E$5:$E$3004,MATCH($A2699,'Live History'!$D$5:$D$3004,1)),INDEX('AH History'!$D$5:$GG$1380,$K2699,AH!$U$10+1))),NA()),NA())</f>
        <v/>
      </c>
      <c r="G2699" s="34">
        <f>IFERROR(IF(ISNUMBER($A2699),IF(AND(AH!$U$12=1,2694+1=AH!$U$6),IF(AH!$U$4=0,"unavailable",INDEX('Market Data'!$AK$5:$AK$66,AH!$U$4)),IF(AH!$U$5=1,INDEX('Live History'!$D$5:$D$3004,MATCH($A2699,'Live History'!$D$5:$D$3004,1)),INDEX('AH History'!$D$5:$GG$1380,$K2699,AH!$U$10+2))),NA()),NA())</f>
        <v/>
      </c>
      <c r="H2699" s="266">
        <f>IFERROR(IF(ISNUMBER($A2699),IF(AND(AH!$U$12=1,2694+1=AH!$U$6),IF(AH!$U$4=0,"unavailable",INDEX('Market Data'!$AP$5:$AP$66,AH!$U$4)),IF(AH!$U$5=1,INDEX('Live History'!$H$5:$H$3004,MATCH($A2699,'Live History'!$G$5:$G$3004,1)),INDEX('AH History'!$B$5:$B$1380,$K2699))),NA()),NA())</f>
        <v/>
      </c>
      <c r="I2699" s="34">
        <f>IFERROR(IF(ISNUMBER($A2699),IF(AND(AH!$U$12=1,2694+1=AH!$U$6),TODAY(),IF(AH!$U$5=1,INDEX('Live History'!$G$5:$G$3004,MATCH($A2699,'Live History'!$G$5:$G$3004,1)),INDEX('AH History'!$C$5:$C$1380,$K2699))),NA()),NA())</f>
        <v/>
      </c>
      <c r="J2699" s="32">
        <f>IFERROR(IF(AND($F2699&gt;0,$H2699&gt;0,$A2699-$G2699&lt;=10,$A2699-$I2699&lt;=5,$G2699&gt;0,$I2699&gt;0),$F2699*$H2699,NA()),NA())</f>
        <v/>
      </c>
      <c r="K2699" s="15">
        <f>IF($A2699="","",IF(AH!$U$5=1,IFERROR(MATCH($A2699,'Live History'!$A$5:$A$3004,0),0),AH!$U$7+2694))</f>
        <v/>
      </c>
      <c r="L2699" s="15">
        <f>IF(ISNUMBER(A2699),TEXT(A2699,"dd-mmm-yy"),"")</f>
        <v/>
      </c>
    </row>
    <row r="2700">
      <c r="A2700" s="14">
        <f>IF(OR(AH!$U$4=0,2695+1&gt;AH!$U$6,AND(AH!$M$5="Bloomberg",AH!$U$5=0)),"",IFERROR(IF(AND(AH!$U$12=1,2695+1=AH!$U$6),TODAY(),IF(AH!$U$5=1,INDEX('Live History'!$A$5:$A$3004,AH!$U$7+2695),INDEX('AH History'!$A$5:$A$1380,AH!$U$7+2695))),""))</f>
        <v/>
      </c>
      <c r="B2700" s="33">
        <f>IFERROR(IF(AH!$U$11=1,NA(),$J2700/$E2700-1),NA())</f>
        <v/>
      </c>
      <c r="C2700" s="269">
        <f>IFERROR(100*$E2700/$E$5,NA())</f>
        <v/>
      </c>
      <c r="D2700" s="269">
        <f>IFERROR(100*$J2700/$J$5,NA())</f>
        <v/>
      </c>
      <c r="E2700" s="32">
        <f>IFERROR(IF(AND(ISNUMBER($A2700),N(IF(AND(AH!$U$12=1,2695+1=AH!$U$6),IF(AH!$U$4=0,"unavailable",INDEX('Market Data'!$AN$5:$AN$66,AH!$U$4)),IF(AH!$U$5=1,INDEX('Live History'!$B$5:$B$3004,$K2700),INDEX('AH History'!$D$5:$GG$1380,$K2700,AH!$U$10))))&gt;0),IF(AND(AH!$U$12=1,2695+1=AH!$U$6),IF(AH!$U$4=0,"unavailable",INDEX('Market Data'!$AN$5:$AN$66,AH!$U$4)),IF(AH!$U$5=1,INDEX('Live History'!$B$5:$B$3004,$K2700),INDEX('AH History'!$D$5:$GG$1380,$K2700,AH!$U$10))),NA()),NA())</f>
        <v/>
      </c>
      <c r="F2700" s="32">
        <f>IFERROR(IF(ISNUMBER($A2700),IF(AND(AH!$U$12=1,2695+1=AH!$U$6),IF(AH!$U$4=0,"unavailable",INDEX('Market Data'!$AO$5:$AO$66,AH!$U$4)),IF(AH!$U$5=1,INDEX('Live History'!$E$5:$E$3004,MATCH($A2700,'Live History'!$D$5:$D$3004,1)),INDEX('AH History'!$D$5:$GG$1380,$K2700,AH!$U$10+1))),NA()),NA())</f>
        <v/>
      </c>
      <c r="G2700" s="34">
        <f>IFERROR(IF(ISNUMBER($A2700),IF(AND(AH!$U$12=1,2695+1=AH!$U$6),IF(AH!$U$4=0,"unavailable",INDEX('Market Data'!$AK$5:$AK$66,AH!$U$4)),IF(AH!$U$5=1,INDEX('Live History'!$D$5:$D$3004,MATCH($A2700,'Live History'!$D$5:$D$3004,1)),INDEX('AH History'!$D$5:$GG$1380,$K2700,AH!$U$10+2))),NA()),NA())</f>
        <v/>
      </c>
      <c r="H2700" s="266">
        <f>IFERROR(IF(ISNUMBER($A2700),IF(AND(AH!$U$12=1,2695+1=AH!$U$6),IF(AH!$U$4=0,"unavailable",INDEX('Market Data'!$AP$5:$AP$66,AH!$U$4)),IF(AH!$U$5=1,INDEX('Live History'!$H$5:$H$3004,MATCH($A2700,'Live History'!$G$5:$G$3004,1)),INDEX('AH History'!$B$5:$B$1380,$K2700))),NA()),NA())</f>
        <v/>
      </c>
      <c r="I2700" s="34">
        <f>IFERROR(IF(ISNUMBER($A2700),IF(AND(AH!$U$12=1,2695+1=AH!$U$6),TODAY(),IF(AH!$U$5=1,INDEX('Live History'!$G$5:$G$3004,MATCH($A2700,'Live History'!$G$5:$G$3004,1)),INDEX('AH History'!$C$5:$C$1380,$K2700))),NA()),NA())</f>
        <v/>
      </c>
      <c r="J2700" s="32">
        <f>IFERROR(IF(AND($F2700&gt;0,$H2700&gt;0,$A2700-$G2700&lt;=10,$A2700-$I2700&lt;=5,$G2700&gt;0,$I2700&gt;0),$F2700*$H2700,NA()),NA())</f>
        <v/>
      </c>
      <c r="K2700" s="15">
        <f>IF($A2700="","",IF(AH!$U$5=1,IFERROR(MATCH($A2700,'Live History'!$A$5:$A$3004,0),0),AH!$U$7+2695))</f>
        <v/>
      </c>
      <c r="L2700" s="15">
        <f>IF(ISNUMBER(A2700),TEXT(A2700,"dd-mmm-yy"),"")</f>
        <v/>
      </c>
    </row>
    <row r="2701">
      <c r="A2701" s="14">
        <f>IF(OR(AH!$U$4=0,2696+1&gt;AH!$U$6,AND(AH!$M$5="Bloomberg",AH!$U$5=0)),"",IFERROR(IF(AND(AH!$U$12=1,2696+1=AH!$U$6),TODAY(),IF(AH!$U$5=1,INDEX('Live History'!$A$5:$A$3004,AH!$U$7+2696),INDEX('AH History'!$A$5:$A$1380,AH!$U$7+2696))),""))</f>
        <v/>
      </c>
      <c r="B2701" s="33">
        <f>IFERROR(IF(AH!$U$11=1,NA(),$J2701/$E2701-1),NA())</f>
        <v/>
      </c>
      <c r="C2701" s="269">
        <f>IFERROR(100*$E2701/$E$5,NA())</f>
        <v/>
      </c>
      <c r="D2701" s="269">
        <f>IFERROR(100*$J2701/$J$5,NA())</f>
        <v/>
      </c>
      <c r="E2701" s="32">
        <f>IFERROR(IF(AND(ISNUMBER($A2701),N(IF(AND(AH!$U$12=1,2696+1=AH!$U$6),IF(AH!$U$4=0,"unavailable",INDEX('Market Data'!$AN$5:$AN$66,AH!$U$4)),IF(AH!$U$5=1,INDEX('Live History'!$B$5:$B$3004,$K2701),INDEX('AH History'!$D$5:$GG$1380,$K2701,AH!$U$10))))&gt;0),IF(AND(AH!$U$12=1,2696+1=AH!$U$6),IF(AH!$U$4=0,"unavailable",INDEX('Market Data'!$AN$5:$AN$66,AH!$U$4)),IF(AH!$U$5=1,INDEX('Live History'!$B$5:$B$3004,$K2701),INDEX('AH History'!$D$5:$GG$1380,$K2701,AH!$U$10))),NA()),NA())</f>
        <v/>
      </c>
      <c r="F2701" s="32">
        <f>IFERROR(IF(ISNUMBER($A2701),IF(AND(AH!$U$12=1,2696+1=AH!$U$6),IF(AH!$U$4=0,"unavailable",INDEX('Market Data'!$AO$5:$AO$66,AH!$U$4)),IF(AH!$U$5=1,INDEX('Live History'!$E$5:$E$3004,MATCH($A2701,'Live History'!$D$5:$D$3004,1)),INDEX('AH History'!$D$5:$GG$1380,$K2701,AH!$U$10+1))),NA()),NA())</f>
        <v/>
      </c>
      <c r="G2701" s="34">
        <f>IFERROR(IF(ISNUMBER($A2701),IF(AND(AH!$U$12=1,2696+1=AH!$U$6),IF(AH!$U$4=0,"unavailable",INDEX('Market Data'!$AK$5:$AK$66,AH!$U$4)),IF(AH!$U$5=1,INDEX('Live History'!$D$5:$D$3004,MATCH($A2701,'Live History'!$D$5:$D$3004,1)),INDEX('AH History'!$D$5:$GG$1380,$K2701,AH!$U$10+2))),NA()),NA())</f>
        <v/>
      </c>
      <c r="H2701" s="266">
        <f>IFERROR(IF(ISNUMBER($A2701),IF(AND(AH!$U$12=1,2696+1=AH!$U$6),IF(AH!$U$4=0,"unavailable",INDEX('Market Data'!$AP$5:$AP$66,AH!$U$4)),IF(AH!$U$5=1,INDEX('Live History'!$H$5:$H$3004,MATCH($A2701,'Live History'!$G$5:$G$3004,1)),INDEX('AH History'!$B$5:$B$1380,$K2701))),NA()),NA())</f>
        <v/>
      </c>
      <c r="I2701" s="34">
        <f>IFERROR(IF(ISNUMBER($A2701),IF(AND(AH!$U$12=1,2696+1=AH!$U$6),TODAY(),IF(AH!$U$5=1,INDEX('Live History'!$G$5:$G$3004,MATCH($A2701,'Live History'!$G$5:$G$3004,1)),INDEX('AH History'!$C$5:$C$1380,$K2701))),NA()),NA())</f>
        <v/>
      </c>
      <c r="J2701" s="32">
        <f>IFERROR(IF(AND($F2701&gt;0,$H2701&gt;0,$A2701-$G2701&lt;=10,$A2701-$I2701&lt;=5,$G2701&gt;0,$I2701&gt;0),$F2701*$H2701,NA()),NA())</f>
        <v/>
      </c>
      <c r="K2701" s="15">
        <f>IF($A2701="","",IF(AH!$U$5=1,IFERROR(MATCH($A2701,'Live History'!$A$5:$A$3004,0),0),AH!$U$7+2696))</f>
        <v/>
      </c>
      <c r="L2701" s="15">
        <f>IF(ISNUMBER(A2701),TEXT(A2701,"dd-mmm-yy"),"")</f>
        <v/>
      </c>
    </row>
    <row r="2702">
      <c r="A2702" s="14">
        <f>IF(OR(AH!$U$4=0,2697+1&gt;AH!$U$6,AND(AH!$M$5="Bloomberg",AH!$U$5=0)),"",IFERROR(IF(AND(AH!$U$12=1,2697+1=AH!$U$6),TODAY(),IF(AH!$U$5=1,INDEX('Live History'!$A$5:$A$3004,AH!$U$7+2697),INDEX('AH History'!$A$5:$A$1380,AH!$U$7+2697))),""))</f>
        <v/>
      </c>
      <c r="B2702" s="33">
        <f>IFERROR(IF(AH!$U$11=1,NA(),$J2702/$E2702-1),NA())</f>
        <v/>
      </c>
      <c r="C2702" s="269">
        <f>IFERROR(100*$E2702/$E$5,NA())</f>
        <v/>
      </c>
      <c r="D2702" s="269">
        <f>IFERROR(100*$J2702/$J$5,NA())</f>
        <v/>
      </c>
      <c r="E2702" s="32">
        <f>IFERROR(IF(AND(ISNUMBER($A2702),N(IF(AND(AH!$U$12=1,2697+1=AH!$U$6),IF(AH!$U$4=0,"unavailable",INDEX('Market Data'!$AN$5:$AN$66,AH!$U$4)),IF(AH!$U$5=1,INDEX('Live History'!$B$5:$B$3004,$K2702),INDEX('AH History'!$D$5:$GG$1380,$K2702,AH!$U$10))))&gt;0),IF(AND(AH!$U$12=1,2697+1=AH!$U$6),IF(AH!$U$4=0,"unavailable",INDEX('Market Data'!$AN$5:$AN$66,AH!$U$4)),IF(AH!$U$5=1,INDEX('Live History'!$B$5:$B$3004,$K2702),INDEX('AH History'!$D$5:$GG$1380,$K2702,AH!$U$10))),NA()),NA())</f>
        <v/>
      </c>
      <c r="F2702" s="32">
        <f>IFERROR(IF(ISNUMBER($A2702),IF(AND(AH!$U$12=1,2697+1=AH!$U$6),IF(AH!$U$4=0,"unavailable",INDEX('Market Data'!$AO$5:$AO$66,AH!$U$4)),IF(AH!$U$5=1,INDEX('Live History'!$E$5:$E$3004,MATCH($A2702,'Live History'!$D$5:$D$3004,1)),INDEX('AH History'!$D$5:$GG$1380,$K2702,AH!$U$10+1))),NA()),NA())</f>
        <v/>
      </c>
      <c r="G2702" s="34">
        <f>IFERROR(IF(ISNUMBER($A2702),IF(AND(AH!$U$12=1,2697+1=AH!$U$6),IF(AH!$U$4=0,"unavailable",INDEX('Market Data'!$AK$5:$AK$66,AH!$U$4)),IF(AH!$U$5=1,INDEX('Live History'!$D$5:$D$3004,MATCH($A2702,'Live History'!$D$5:$D$3004,1)),INDEX('AH History'!$D$5:$GG$1380,$K2702,AH!$U$10+2))),NA()),NA())</f>
        <v/>
      </c>
      <c r="H2702" s="266">
        <f>IFERROR(IF(ISNUMBER($A2702),IF(AND(AH!$U$12=1,2697+1=AH!$U$6),IF(AH!$U$4=0,"unavailable",INDEX('Market Data'!$AP$5:$AP$66,AH!$U$4)),IF(AH!$U$5=1,INDEX('Live History'!$H$5:$H$3004,MATCH($A2702,'Live History'!$G$5:$G$3004,1)),INDEX('AH History'!$B$5:$B$1380,$K2702))),NA()),NA())</f>
        <v/>
      </c>
      <c r="I2702" s="34">
        <f>IFERROR(IF(ISNUMBER($A2702),IF(AND(AH!$U$12=1,2697+1=AH!$U$6),TODAY(),IF(AH!$U$5=1,INDEX('Live History'!$G$5:$G$3004,MATCH($A2702,'Live History'!$G$5:$G$3004,1)),INDEX('AH History'!$C$5:$C$1380,$K2702))),NA()),NA())</f>
        <v/>
      </c>
      <c r="J2702" s="32">
        <f>IFERROR(IF(AND($F2702&gt;0,$H2702&gt;0,$A2702-$G2702&lt;=10,$A2702-$I2702&lt;=5,$G2702&gt;0,$I2702&gt;0),$F2702*$H2702,NA()),NA())</f>
        <v/>
      </c>
      <c r="K2702" s="15">
        <f>IF($A2702="","",IF(AH!$U$5=1,IFERROR(MATCH($A2702,'Live History'!$A$5:$A$3004,0),0),AH!$U$7+2697))</f>
        <v/>
      </c>
      <c r="L2702" s="15">
        <f>IF(ISNUMBER(A2702),TEXT(A2702,"dd-mmm-yy"),"")</f>
        <v/>
      </c>
    </row>
    <row r="2703">
      <c r="A2703" s="14">
        <f>IF(OR(AH!$U$4=0,2698+1&gt;AH!$U$6,AND(AH!$M$5="Bloomberg",AH!$U$5=0)),"",IFERROR(IF(AND(AH!$U$12=1,2698+1=AH!$U$6),TODAY(),IF(AH!$U$5=1,INDEX('Live History'!$A$5:$A$3004,AH!$U$7+2698),INDEX('AH History'!$A$5:$A$1380,AH!$U$7+2698))),""))</f>
        <v/>
      </c>
      <c r="B2703" s="33">
        <f>IFERROR(IF(AH!$U$11=1,NA(),$J2703/$E2703-1),NA())</f>
        <v/>
      </c>
      <c r="C2703" s="269">
        <f>IFERROR(100*$E2703/$E$5,NA())</f>
        <v/>
      </c>
      <c r="D2703" s="269">
        <f>IFERROR(100*$J2703/$J$5,NA())</f>
        <v/>
      </c>
      <c r="E2703" s="32">
        <f>IFERROR(IF(AND(ISNUMBER($A2703),N(IF(AND(AH!$U$12=1,2698+1=AH!$U$6),IF(AH!$U$4=0,"unavailable",INDEX('Market Data'!$AN$5:$AN$66,AH!$U$4)),IF(AH!$U$5=1,INDEX('Live History'!$B$5:$B$3004,$K2703),INDEX('AH History'!$D$5:$GG$1380,$K2703,AH!$U$10))))&gt;0),IF(AND(AH!$U$12=1,2698+1=AH!$U$6),IF(AH!$U$4=0,"unavailable",INDEX('Market Data'!$AN$5:$AN$66,AH!$U$4)),IF(AH!$U$5=1,INDEX('Live History'!$B$5:$B$3004,$K2703),INDEX('AH History'!$D$5:$GG$1380,$K2703,AH!$U$10))),NA()),NA())</f>
        <v/>
      </c>
      <c r="F2703" s="32">
        <f>IFERROR(IF(ISNUMBER($A2703),IF(AND(AH!$U$12=1,2698+1=AH!$U$6),IF(AH!$U$4=0,"unavailable",INDEX('Market Data'!$AO$5:$AO$66,AH!$U$4)),IF(AH!$U$5=1,INDEX('Live History'!$E$5:$E$3004,MATCH($A2703,'Live History'!$D$5:$D$3004,1)),INDEX('AH History'!$D$5:$GG$1380,$K2703,AH!$U$10+1))),NA()),NA())</f>
        <v/>
      </c>
      <c r="G2703" s="34">
        <f>IFERROR(IF(ISNUMBER($A2703),IF(AND(AH!$U$12=1,2698+1=AH!$U$6),IF(AH!$U$4=0,"unavailable",INDEX('Market Data'!$AK$5:$AK$66,AH!$U$4)),IF(AH!$U$5=1,INDEX('Live History'!$D$5:$D$3004,MATCH($A2703,'Live History'!$D$5:$D$3004,1)),INDEX('AH History'!$D$5:$GG$1380,$K2703,AH!$U$10+2))),NA()),NA())</f>
        <v/>
      </c>
      <c r="H2703" s="266">
        <f>IFERROR(IF(ISNUMBER($A2703),IF(AND(AH!$U$12=1,2698+1=AH!$U$6),IF(AH!$U$4=0,"unavailable",INDEX('Market Data'!$AP$5:$AP$66,AH!$U$4)),IF(AH!$U$5=1,INDEX('Live History'!$H$5:$H$3004,MATCH($A2703,'Live History'!$G$5:$G$3004,1)),INDEX('AH History'!$B$5:$B$1380,$K2703))),NA()),NA())</f>
        <v/>
      </c>
      <c r="I2703" s="34">
        <f>IFERROR(IF(ISNUMBER($A2703),IF(AND(AH!$U$12=1,2698+1=AH!$U$6),TODAY(),IF(AH!$U$5=1,INDEX('Live History'!$G$5:$G$3004,MATCH($A2703,'Live History'!$G$5:$G$3004,1)),INDEX('AH History'!$C$5:$C$1380,$K2703))),NA()),NA())</f>
        <v/>
      </c>
      <c r="J2703" s="32">
        <f>IFERROR(IF(AND($F2703&gt;0,$H2703&gt;0,$A2703-$G2703&lt;=10,$A2703-$I2703&lt;=5,$G2703&gt;0,$I2703&gt;0),$F2703*$H2703,NA()),NA())</f>
        <v/>
      </c>
      <c r="K2703" s="15">
        <f>IF($A2703="","",IF(AH!$U$5=1,IFERROR(MATCH($A2703,'Live History'!$A$5:$A$3004,0),0),AH!$U$7+2698))</f>
        <v/>
      </c>
      <c r="L2703" s="15">
        <f>IF(ISNUMBER(A2703),TEXT(A2703,"dd-mmm-yy"),"")</f>
        <v/>
      </c>
    </row>
    <row r="2704">
      <c r="A2704" s="14">
        <f>IF(OR(AH!$U$4=0,2699+1&gt;AH!$U$6,AND(AH!$M$5="Bloomberg",AH!$U$5=0)),"",IFERROR(IF(AND(AH!$U$12=1,2699+1=AH!$U$6),TODAY(),IF(AH!$U$5=1,INDEX('Live History'!$A$5:$A$3004,AH!$U$7+2699),INDEX('AH History'!$A$5:$A$1380,AH!$U$7+2699))),""))</f>
        <v/>
      </c>
      <c r="B2704" s="33">
        <f>IFERROR(IF(AH!$U$11=1,NA(),$J2704/$E2704-1),NA())</f>
        <v/>
      </c>
      <c r="C2704" s="269">
        <f>IFERROR(100*$E2704/$E$5,NA())</f>
        <v/>
      </c>
      <c r="D2704" s="269">
        <f>IFERROR(100*$J2704/$J$5,NA())</f>
        <v/>
      </c>
      <c r="E2704" s="32">
        <f>IFERROR(IF(AND(ISNUMBER($A2704),N(IF(AND(AH!$U$12=1,2699+1=AH!$U$6),IF(AH!$U$4=0,"unavailable",INDEX('Market Data'!$AN$5:$AN$66,AH!$U$4)),IF(AH!$U$5=1,INDEX('Live History'!$B$5:$B$3004,$K2704),INDEX('AH History'!$D$5:$GG$1380,$K2704,AH!$U$10))))&gt;0),IF(AND(AH!$U$12=1,2699+1=AH!$U$6),IF(AH!$U$4=0,"unavailable",INDEX('Market Data'!$AN$5:$AN$66,AH!$U$4)),IF(AH!$U$5=1,INDEX('Live History'!$B$5:$B$3004,$K2704),INDEX('AH History'!$D$5:$GG$1380,$K2704,AH!$U$10))),NA()),NA())</f>
        <v/>
      </c>
      <c r="F2704" s="32">
        <f>IFERROR(IF(ISNUMBER($A2704),IF(AND(AH!$U$12=1,2699+1=AH!$U$6),IF(AH!$U$4=0,"unavailable",INDEX('Market Data'!$AO$5:$AO$66,AH!$U$4)),IF(AH!$U$5=1,INDEX('Live History'!$E$5:$E$3004,MATCH($A2704,'Live History'!$D$5:$D$3004,1)),INDEX('AH History'!$D$5:$GG$1380,$K2704,AH!$U$10+1))),NA()),NA())</f>
        <v/>
      </c>
      <c r="G2704" s="34">
        <f>IFERROR(IF(ISNUMBER($A2704),IF(AND(AH!$U$12=1,2699+1=AH!$U$6),IF(AH!$U$4=0,"unavailable",INDEX('Market Data'!$AK$5:$AK$66,AH!$U$4)),IF(AH!$U$5=1,INDEX('Live History'!$D$5:$D$3004,MATCH($A2704,'Live History'!$D$5:$D$3004,1)),INDEX('AH History'!$D$5:$GG$1380,$K2704,AH!$U$10+2))),NA()),NA())</f>
        <v/>
      </c>
      <c r="H2704" s="266">
        <f>IFERROR(IF(ISNUMBER($A2704),IF(AND(AH!$U$12=1,2699+1=AH!$U$6),IF(AH!$U$4=0,"unavailable",INDEX('Market Data'!$AP$5:$AP$66,AH!$U$4)),IF(AH!$U$5=1,INDEX('Live History'!$H$5:$H$3004,MATCH($A2704,'Live History'!$G$5:$G$3004,1)),INDEX('AH History'!$B$5:$B$1380,$K2704))),NA()),NA())</f>
        <v/>
      </c>
      <c r="I2704" s="34">
        <f>IFERROR(IF(ISNUMBER($A2704),IF(AND(AH!$U$12=1,2699+1=AH!$U$6),TODAY(),IF(AH!$U$5=1,INDEX('Live History'!$G$5:$G$3004,MATCH($A2704,'Live History'!$G$5:$G$3004,1)),INDEX('AH History'!$C$5:$C$1380,$K2704))),NA()),NA())</f>
        <v/>
      </c>
      <c r="J2704" s="32">
        <f>IFERROR(IF(AND($F2704&gt;0,$H2704&gt;0,$A2704-$G2704&lt;=10,$A2704-$I2704&lt;=5,$G2704&gt;0,$I2704&gt;0),$F2704*$H2704,NA()),NA())</f>
        <v/>
      </c>
      <c r="K2704" s="15">
        <f>IF($A2704="","",IF(AH!$U$5=1,IFERROR(MATCH($A2704,'Live History'!$A$5:$A$3004,0),0),AH!$U$7+2699))</f>
        <v/>
      </c>
      <c r="L2704" s="15">
        <f>IF(ISNUMBER(A2704),TEXT(A2704,"dd-mmm-yy"),"")</f>
        <v/>
      </c>
    </row>
    <row r="2705">
      <c r="A2705" s="14">
        <f>IF(OR(AH!$U$4=0,2700+1&gt;AH!$U$6,AND(AH!$M$5="Bloomberg",AH!$U$5=0)),"",IFERROR(IF(AND(AH!$U$12=1,2700+1=AH!$U$6),TODAY(),IF(AH!$U$5=1,INDEX('Live History'!$A$5:$A$3004,AH!$U$7+2700),INDEX('AH History'!$A$5:$A$1380,AH!$U$7+2700))),""))</f>
        <v/>
      </c>
      <c r="B2705" s="33">
        <f>IFERROR(IF(AH!$U$11=1,NA(),$J2705/$E2705-1),NA())</f>
        <v/>
      </c>
      <c r="C2705" s="269">
        <f>IFERROR(100*$E2705/$E$5,NA())</f>
        <v/>
      </c>
      <c r="D2705" s="269">
        <f>IFERROR(100*$J2705/$J$5,NA())</f>
        <v/>
      </c>
      <c r="E2705" s="32">
        <f>IFERROR(IF(AND(ISNUMBER($A2705),N(IF(AND(AH!$U$12=1,2700+1=AH!$U$6),IF(AH!$U$4=0,"unavailable",INDEX('Market Data'!$AN$5:$AN$66,AH!$U$4)),IF(AH!$U$5=1,INDEX('Live History'!$B$5:$B$3004,$K2705),INDEX('AH History'!$D$5:$GG$1380,$K2705,AH!$U$10))))&gt;0),IF(AND(AH!$U$12=1,2700+1=AH!$U$6),IF(AH!$U$4=0,"unavailable",INDEX('Market Data'!$AN$5:$AN$66,AH!$U$4)),IF(AH!$U$5=1,INDEX('Live History'!$B$5:$B$3004,$K2705),INDEX('AH History'!$D$5:$GG$1380,$K2705,AH!$U$10))),NA()),NA())</f>
        <v/>
      </c>
      <c r="F2705" s="32">
        <f>IFERROR(IF(ISNUMBER($A2705),IF(AND(AH!$U$12=1,2700+1=AH!$U$6),IF(AH!$U$4=0,"unavailable",INDEX('Market Data'!$AO$5:$AO$66,AH!$U$4)),IF(AH!$U$5=1,INDEX('Live History'!$E$5:$E$3004,MATCH($A2705,'Live History'!$D$5:$D$3004,1)),INDEX('AH History'!$D$5:$GG$1380,$K2705,AH!$U$10+1))),NA()),NA())</f>
        <v/>
      </c>
      <c r="G2705" s="34">
        <f>IFERROR(IF(ISNUMBER($A2705),IF(AND(AH!$U$12=1,2700+1=AH!$U$6),IF(AH!$U$4=0,"unavailable",INDEX('Market Data'!$AK$5:$AK$66,AH!$U$4)),IF(AH!$U$5=1,INDEX('Live History'!$D$5:$D$3004,MATCH($A2705,'Live History'!$D$5:$D$3004,1)),INDEX('AH History'!$D$5:$GG$1380,$K2705,AH!$U$10+2))),NA()),NA())</f>
        <v/>
      </c>
      <c r="H2705" s="266">
        <f>IFERROR(IF(ISNUMBER($A2705),IF(AND(AH!$U$12=1,2700+1=AH!$U$6),IF(AH!$U$4=0,"unavailable",INDEX('Market Data'!$AP$5:$AP$66,AH!$U$4)),IF(AH!$U$5=1,INDEX('Live History'!$H$5:$H$3004,MATCH($A2705,'Live History'!$G$5:$G$3004,1)),INDEX('AH History'!$B$5:$B$1380,$K2705))),NA()),NA())</f>
        <v/>
      </c>
      <c r="I2705" s="34">
        <f>IFERROR(IF(ISNUMBER($A2705),IF(AND(AH!$U$12=1,2700+1=AH!$U$6),TODAY(),IF(AH!$U$5=1,INDEX('Live History'!$G$5:$G$3004,MATCH($A2705,'Live History'!$G$5:$G$3004,1)),INDEX('AH History'!$C$5:$C$1380,$K2705))),NA()),NA())</f>
        <v/>
      </c>
      <c r="J2705" s="32">
        <f>IFERROR(IF(AND($F2705&gt;0,$H2705&gt;0,$A2705-$G2705&lt;=10,$A2705-$I2705&lt;=5,$G2705&gt;0,$I2705&gt;0),$F2705*$H2705,NA()),NA())</f>
        <v/>
      </c>
      <c r="K2705" s="15">
        <f>IF($A2705="","",IF(AH!$U$5=1,IFERROR(MATCH($A2705,'Live History'!$A$5:$A$3004,0),0),AH!$U$7+2700))</f>
        <v/>
      </c>
      <c r="L2705" s="15">
        <f>IF(ISNUMBER(A2705),TEXT(A2705,"dd-mmm-yy"),"")</f>
        <v/>
      </c>
    </row>
    <row r="2706">
      <c r="A2706" s="14">
        <f>IF(OR(AH!$U$4=0,2701+1&gt;AH!$U$6,AND(AH!$M$5="Bloomberg",AH!$U$5=0)),"",IFERROR(IF(AND(AH!$U$12=1,2701+1=AH!$U$6),TODAY(),IF(AH!$U$5=1,INDEX('Live History'!$A$5:$A$3004,AH!$U$7+2701),INDEX('AH History'!$A$5:$A$1380,AH!$U$7+2701))),""))</f>
        <v/>
      </c>
      <c r="B2706" s="33">
        <f>IFERROR(IF(AH!$U$11=1,NA(),$J2706/$E2706-1),NA())</f>
        <v/>
      </c>
      <c r="C2706" s="269">
        <f>IFERROR(100*$E2706/$E$5,NA())</f>
        <v/>
      </c>
      <c r="D2706" s="269">
        <f>IFERROR(100*$J2706/$J$5,NA())</f>
        <v/>
      </c>
      <c r="E2706" s="32">
        <f>IFERROR(IF(AND(ISNUMBER($A2706),N(IF(AND(AH!$U$12=1,2701+1=AH!$U$6),IF(AH!$U$4=0,"unavailable",INDEX('Market Data'!$AN$5:$AN$66,AH!$U$4)),IF(AH!$U$5=1,INDEX('Live History'!$B$5:$B$3004,$K2706),INDEX('AH History'!$D$5:$GG$1380,$K2706,AH!$U$10))))&gt;0),IF(AND(AH!$U$12=1,2701+1=AH!$U$6),IF(AH!$U$4=0,"unavailable",INDEX('Market Data'!$AN$5:$AN$66,AH!$U$4)),IF(AH!$U$5=1,INDEX('Live History'!$B$5:$B$3004,$K2706),INDEX('AH History'!$D$5:$GG$1380,$K2706,AH!$U$10))),NA()),NA())</f>
        <v/>
      </c>
      <c r="F2706" s="32">
        <f>IFERROR(IF(ISNUMBER($A2706),IF(AND(AH!$U$12=1,2701+1=AH!$U$6),IF(AH!$U$4=0,"unavailable",INDEX('Market Data'!$AO$5:$AO$66,AH!$U$4)),IF(AH!$U$5=1,INDEX('Live History'!$E$5:$E$3004,MATCH($A2706,'Live History'!$D$5:$D$3004,1)),INDEX('AH History'!$D$5:$GG$1380,$K2706,AH!$U$10+1))),NA()),NA())</f>
        <v/>
      </c>
      <c r="G2706" s="34">
        <f>IFERROR(IF(ISNUMBER($A2706),IF(AND(AH!$U$12=1,2701+1=AH!$U$6),IF(AH!$U$4=0,"unavailable",INDEX('Market Data'!$AK$5:$AK$66,AH!$U$4)),IF(AH!$U$5=1,INDEX('Live History'!$D$5:$D$3004,MATCH($A2706,'Live History'!$D$5:$D$3004,1)),INDEX('AH History'!$D$5:$GG$1380,$K2706,AH!$U$10+2))),NA()),NA())</f>
        <v/>
      </c>
      <c r="H2706" s="266">
        <f>IFERROR(IF(ISNUMBER($A2706),IF(AND(AH!$U$12=1,2701+1=AH!$U$6),IF(AH!$U$4=0,"unavailable",INDEX('Market Data'!$AP$5:$AP$66,AH!$U$4)),IF(AH!$U$5=1,INDEX('Live History'!$H$5:$H$3004,MATCH($A2706,'Live History'!$G$5:$G$3004,1)),INDEX('AH History'!$B$5:$B$1380,$K2706))),NA()),NA())</f>
        <v/>
      </c>
      <c r="I2706" s="34">
        <f>IFERROR(IF(ISNUMBER($A2706),IF(AND(AH!$U$12=1,2701+1=AH!$U$6),TODAY(),IF(AH!$U$5=1,INDEX('Live History'!$G$5:$G$3004,MATCH($A2706,'Live History'!$G$5:$G$3004,1)),INDEX('AH History'!$C$5:$C$1380,$K2706))),NA()),NA())</f>
        <v/>
      </c>
      <c r="J2706" s="32">
        <f>IFERROR(IF(AND($F2706&gt;0,$H2706&gt;0,$A2706-$G2706&lt;=10,$A2706-$I2706&lt;=5,$G2706&gt;0,$I2706&gt;0),$F2706*$H2706,NA()),NA())</f>
        <v/>
      </c>
      <c r="K2706" s="15">
        <f>IF($A2706="","",IF(AH!$U$5=1,IFERROR(MATCH($A2706,'Live History'!$A$5:$A$3004,0),0),AH!$U$7+2701))</f>
        <v/>
      </c>
      <c r="L2706" s="15">
        <f>IF(ISNUMBER(A2706),TEXT(A2706,"dd-mmm-yy"),"")</f>
        <v/>
      </c>
    </row>
    <row r="2707">
      <c r="A2707" s="14">
        <f>IF(OR(AH!$U$4=0,2702+1&gt;AH!$U$6,AND(AH!$M$5="Bloomberg",AH!$U$5=0)),"",IFERROR(IF(AND(AH!$U$12=1,2702+1=AH!$U$6),TODAY(),IF(AH!$U$5=1,INDEX('Live History'!$A$5:$A$3004,AH!$U$7+2702),INDEX('AH History'!$A$5:$A$1380,AH!$U$7+2702))),""))</f>
        <v/>
      </c>
      <c r="B2707" s="33">
        <f>IFERROR(IF(AH!$U$11=1,NA(),$J2707/$E2707-1),NA())</f>
        <v/>
      </c>
      <c r="C2707" s="269">
        <f>IFERROR(100*$E2707/$E$5,NA())</f>
        <v/>
      </c>
      <c r="D2707" s="269">
        <f>IFERROR(100*$J2707/$J$5,NA())</f>
        <v/>
      </c>
      <c r="E2707" s="32">
        <f>IFERROR(IF(AND(ISNUMBER($A2707),N(IF(AND(AH!$U$12=1,2702+1=AH!$U$6),IF(AH!$U$4=0,"unavailable",INDEX('Market Data'!$AN$5:$AN$66,AH!$U$4)),IF(AH!$U$5=1,INDEX('Live History'!$B$5:$B$3004,$K2707),INDEX('AH History'!$D$5:$GG$1380,$K2707,AH!$U$10))))&gt;0),IF(AND(AH!$U$12=1,2702+1=AH!$U$6),IF(AH!$U$4=0,"unavailable",INDEX('Market Data'!$AN$5:$AN$66,AH!$U$4)),IF(AH!$U$5=1,INDEX('Live History'!$B$5:$B$3004,$K2707),INDEX('AH History'!$D$5:$GG$1380,$K2707,AH!$U$10))),NA()),NA())</f>
        <v/>
      </c>
      <c r="F2707" s="32">
        <f>IFERROR(IF(ISNUMBER($A2707),IF(AND(AH!$U$12=1,2702+1=AH!$U$6),IF(AH!$U$4=0,"unavailable",INDEX('Market Data'!$AO$5:$AO$66,AH!$U$4)),IF(AH!$U$5=1,INDEX('Live History'!$E$5:$E$3004,MATCH($A2707,'Live History'!$D$5:$D$3004,1)),INDEX('AH History'!$D$5:$GG$1380,$K2707,AH!$U$10+1))),NA()),NA())</f>
        <v/>
      </c>
      <c r="G2707" s="34">
        <f>IFERROR(IF(ISNUMBER($A2707),IF(AND(AH!$U$12=1,2702+1=AH!$U$6),IF(AH!$U$4=0,"unavailable",INDEX('Market Data'!$AK$5:$AK$66,AH!$U$4)),IF(AH!$U$5=1,INDEX('Live History'!$D$5:$D$3004,MATCH($A2707,'Live History'!$D$5:$D$3004,1)),INDEX('AH History'!$D$5:$GG$1380,$K2707,AH!$U$10+2))),NA()),NA())</f>
        <v/>
      </c>
      <c r="H2707" s="266">
        <f>IFERROR(IF(ISNUMBER($A2707),IF(AND(AH!$U$12=1,2702+1=AH!$U$6),IF(AH!$U$4=0,"unavailable",INDEX('Market Data'!$AP$5:$AP$66,AH!$U$4)),IF(AH!$U$5=1,INDEX('Live History'!$H$5:$H$3004,MATCH($A2707,'Live History'!$G$5:$G$3004,1)),INDEX('AH History'!$B$5:$B$1380,$K2707))),NA()),NA())</f>
        <v/>
      </c>
      <c r="I2707" s="34">
        <f>IFERROR(IF(ISNUMBER($A2707),IF(AND(AH!$U$12=1,2702+1=AH!$U$6),TODAY(),IF(AH!$U$5=1,INDEX('Live History'!$G$5:$G$3004,MATCH($A2707,'Live History'!$G$5:$G$3004,1)),INDEX('AH History'!$C$5:$C$1380,$K2707))),NA()),NA())</f>
        <v/>
      </c>
      <c r="J2707" s="32">
        <f>IFERROR(IF(AND($F2707&gt;0,$H2707&gt;0,$A2707-$G2707&lt;=10,$A2707-$I2707&lt;=5,$G2707&gt;0,$I2707&gt;0),$F2707*$H2707,NA()),NA())</f>
        <v/>
      </c>
      <c r="K2707" s="15">
        <f>IF($A2707="","",IF(AH!$U$5=1,IFERROR(MATCH($A2707,'Live History'!$A$5:$A$3004,0),0),AH!$U$7+2702))</f>
        <v/>
      </c>
      <c r="L2707" s="15">
        <f>IF(ISNUMBER(A2707),TEXT(A2707,"dd-mmm-yy"),"")</f>
        <v/>
      </c>
    </row>
    <row r="2708">
      <c r="A2708" s="14">
        <f>IF(OR(AH!$U$4=0,2703+1&gt;AH!$U$6,AND(AH!$M$5="Bloomberg",AH!$U$5=0)),"",IFERROR(IF(AND(AH!$U$12=1,2703+1=AH!$U$6),TODAY(),IF(AH!$U$5=1,INDEX('Live History'!$A$5:$A$3004,AH!$U$7+2703),INDEX('AH History'!$A$5:$A$1380,AH!$U$7+2703))),""))</f>
        <v/>
      </c>
      <c r="B2708" s="33">
        <f>IFERROR(IF(AH!$U$11=1,NA(),$J2708/$E2708-1),NA())</f>
        <v/>
      </c>
      <c r="C2708" s="269">
        <f>IFERROR(100*$E2708/$E$5,NA())</f>
        <v/>
      </c>
      <c r="D2708" s="269">
        <f>IFERROR(100*$J2708/$J$5,NA())</f>
        <v/>
      </c>
      <c r="E2708" s="32">
        <f>IFERROR(IF(AND(ISNUMBER($A2708),N(IF(AND(AH!$U$12=1,2703+1=AH!$U$6),IF(AH!$U$4=0,"unavailable",INDEX('Market Data'!$AN$5:$AN$66,AH!$U$4)),IF(AH!$U$5=1,INDEX('Live History'!$B$5:$B$3004,$K2708),INDEX('AH History'!$D$5:$GG$1380,$K2708,AH!$U$10))))&gt;0),IF(AND(AH!$U$12=1,2703+1=AH!$U$6),IF(AH!$U$4=0,"unavailable",INDEX('Market Data'!$AN$5:$AN$66,AH!$U$4)),IF(AH!$U$5=1,INDEX('Live History'!$B$5:$B$3004,$K2708),INDEX('AH History'!$D$5:$GG$1380,$K2708,AH!$U$10))),NA()),NA())</f>
        <v/>
      </c>
      <c r="F2708" s="32">
        <f>IFERROR(IF(ISNUMBER($A2708),IF(AND(AH!$U$12=1,2703+1=AH!$U$6),IF(AH!$U$4=0,"unavailable",INDEX('Market Data'!$AO$5:$AO$66,AH!$U$4)),IF(AH!$U$5=1,INDEX('Live History'!$E$5:$E$3004,MATCH($A2708,'Live History'!$D$5:$D$3004,1)),INDEX('AH History'!$D$5:$GG$1380,$K2708,AH!$U$10+1))),NA()),NA())</f>
        <v/>
      </c>
      <c r="G2708" s="34">
        <f>IFERROR(IF(ISNUMBER($A2708),IF(AND(AH!$U$12=1,2703+1=AH!$U$6),IF(AH!$U$4=0,"unavailable",INDEX('Market Data'!$AK$5:$AK$66,AH!$U$4)),IF(AH!$U$5=1,INDEX('Live History'!$D$5:$D$3004,MATCH($A2708,'Live History'!$D$5:$D$3004,1)),INDEX('AH History'!$D$5:$GG$1380,$K2708,AH!$U$10+2))),NA()),NA())</f>
        <v/>
      </c>
      <c r="H2708" s="266">
        <f>IFERROR(IF(ISNUMBER($A2708),IF(AND(AH!$U$12=1,2703+1=AH!$U$6),IF(AH!$U$4=0,"unavailable",INDEX('Market Data'!$AP$5:$AP$66,AH!$U$4)),IF(AH!$U$5=1,INDEX('Live History'!$H$5:$H$3004,MATCH($A2708,'Live History'!$G$5:$G$3004,1)),INDEX('AH History'!$B$5:$B$1380,$K2708))),NA()),NA())</f>
        <v/>
      </c>
      <c r="I2708" s="34">
        <f>IFERROR(IF(ISNUMBER($A2708),IF(AND(AH!$U$12=1,2703+1=AH!$U$6),TODAY(),IF(AH!$U$5=1,INDEX('Live History'!$G$5:$G$3004,MATCH($A2708,'Live History'!$G$5:$G$3004,1)),INDEX('AH History'!$C$5:$C$1380,$K2708))),NA()),NA())</f>
        <v/>
      </c>
      <c r="J2708" s="32">
        <f>IFERROR(IF(AND($F2708&gt;0,$H2708&gt;0,$A2708-$G2708&lt;=10,$A2708-$I2708&lt;=5,$G2708&gt;0,$I2708&gt;0),$F2708*$H2708,NA()),NA())</f>
        <v/>
      </c>
      <c r="K2708" s="15">
        <f>IF($A2708="","",IF(AH!$U$5=1,IFERROR(MATCH($A2708,'Live History'!$A$5:$A$3004,0),0),AH!$U$7+2703))</f>
        <v/>
      </c>
      <c r="L2708" s="15">
        <f>IF(ISNUMBER(A2708),TEXT(A2708,"dd-mmm-yy"),"")</f>
        <v/>
      </c>
    </row>
    <row r="2709">
      <c r="A2709" s="14">
        <f>IF(OR(AH!$U$4=0,2704+1&gt;AH!$U$6,AND(AH!$M$5="Bloomberg",AH!$U$5=0)),"",IFERROR(IF(AND(AH!$U$12=1,2704+1=AH!$U$6),TODAY(),IF(AH!$U$5=1,INDEX('Live History'!$A$5:$A$3004,AH!$U$7+2704),INDEX('AH History'!$A$5:$A$1380,AH!$U$7+2704))),""))</f>
        <v/>
      </c>
      <c r="B2709" s="33">
        <f>IFERROR(IF(AH!$U$11=1,NA(),$J2709/$E2709-1),NA())</f>
        <v/>
      </c>
      <c r="C2709" s="269">
        <f>IFERROR(100*$E2709/$E$5,NA())</f>
        <v/>
      </c>
      <c r="D2709" s="269">
        <f>IFERROR(100*$J2709/$J$5,NA())</f>
        <v/>
      </c>
      <c r="E2709" s="32">
        <f>IFERROR(IF(AND(ISNUMBER($A2709),N(IF(AND(AH!$U$12=1,2704+1=AH!$U$6),IF(AH!$U$4=0,"unavailable",INDEX('Market Data'!$AN$5:$AN$66,AH!$U$4)),IF(AH!$U$5=1,INDEX('Live History'!$B$5:$B$3004,$K2709),INDEX('AH History'!$D$5:$GG$1380,$K2709,AH!$U$10))))&gt;0),IF(AND(AH!$U$12=1,2704+1=AH!$U$6),IF(AH!$U$4=0,"unavailable",INDEX('Market Data'!$AN$5:$AN$66,AH!$U$4)),IF(AH!$U$5=1,INDEX('Live History'!$B$5:$B$3004,$K2709),INDEX('AH History'!$D$5:$GG$1380,$K2709,AH!$U$10))),NA()),NA())</f>
        <v/>
      </c>
      <c r="F2709" s="32">
        <f>IFERROR(IF(ISNUMBER($A2709),IF(AND(AH!$U$12=1,2704+1=AH!$U$6),IF(AH!$U$4=0,"unavailable",INDEX('Market Data'!$AO$5:$AO$66,AH!$U$4)),IF(AH!$U$5=1,INDEX('Live History'!$E$5:$E$3004,MATCH($A2709,'Live History'!$D$5:$D$3004,1)),INDEX('AH History'!$D$5:$GG$1380,$K2709,AH!$U$10+1))),NA()),NA())</f>
        <v/>
      </c>
      <c r="G2709" s="34">
        <f>IFERROR(IF(ISNUMBER($A2709),IF(AND(AH!$U$12=1,2704+1=AH!$U$6),IF(AH!$U$4=0,"unavailable",INDEX('Market Data'!$AK$5:$AK$66,AH!$U$4)),IF(AH!$U$5=1,INDEX('Live History'!$D$5:$D$3004,MATCH($A2709,'Live History'!$D$5:$D$3004,1)),INDEX('AH History'!$D$5:$GG$1380,$K2709,AH!$U$10+2))),NA()),NA())</f>
        <v/>
      </c>
      <c r="H2709" s="266">
        <f>IFERROR(IF(ISNUMBER($A2709),IF(AND(AH!$U$12=1,2704+1=AH!$U$6),IF(AH!$U$4=0,"unavailable",INDEX('Market Data'!$AP$5:$AP$66,AH!$U$4)),IF(AH!$U$5=1,INDEX('Live History'!$H$5:$H$3004,MATCH($A2709,'Live History'!$G$5:$G$3004,1)),INDEX('AH History'!$B$5:$B$1380,$K2709))),NA()),NA())</f>
        <v/>
      </c>
      <c r="I2709" s="34">
        <f>IFERROR(IF(ISNUMBER($A2709),IF(AND(AH!$U$12=1,2704+1=AH!$U$6),TODAY(),IF(AH!$U$5=1,INDEX('Live History'!$G$5:$G$3004,MATCH($A2709,'Live History'!$G$5:$G$3004,1)),INDEX('AH History'!$C$5:$C$1380,$K2709))),NA()),NA())</f>
        <v/>
      </c>
      <c r="J2709" s="32">
        <f>IFERROR(IF(AND($F2709&gt;0,$H2709&gt;0,$A2709-$G2709&lt;=10,$A2709-$I2709&lt;=5,$G2709&gt;0,$I2709&gt;0),$F2709*$H2709,NA()),NA())</f>
        <v/>
      </c>
      <c r="K2709" s="15">
        <f>IF($A2709="","",IF(AH!$U$5=1,IFERROR(MATCH($A2709,'Live History'!$A$5:$A$3004,0),0),AH!$U$7+2704))</f>
        <v/>
      </c>
      <c r="L2709" s="15">
        <f>IF(ISNUMBER(A2709),TEXT(A2709,"dd-mmm-yy"),"")</f>
        <v/>
      </c>
    </row>
    <row r="2710">
      <c r="A2710" s="14">
        <f>IF(OR(AH!$U$4=0,2705+1&gt;AH!$U$6,AND(AH!$M$5="Bloomberg",AH!$U$5=0)),"",IFERROR(IF(AND(AH!$U$12=1,2705+1=AH!$U$6),TODAY(),IF(AH!$U$5=1,INDEX('Live History'!$A$5:$A$3004,AH!$U$7+2705),INDEX('AH History'!$A$5:$A$1380,AH!$U$7+2705))),""))</f>
        <v/>
      </c>
      <c r="B2710" s="33">
        <f>IFERROR(IF(AH!$U$11=1,NA(),$J2710/$E2710-1),NA())</f>
        <v/>
      </c>
      <c r="C2710" s="269">
        <f>IFERROR(100*$E2710/$E$5,NA())</f>
        <v/>
      </c>
      <c r="D2710" s="269">
        <f>IFERROR(100*$J2710/$J$5,NA())</f>
        <v/>
      </c>
      <c r="E2710" s="32">
        <f>IFERROR(IF(AND(ISNUMBER($A2710),N(IF(AND(AH!$U$12=1,2705+1=AH!$U$6),IF(AH!$U$4=0,"unavailable",INDEX('Market Data'!$AN$5:$AN$66,AH!$U$4)),IF(AH!$U$5=1,INDEX('Live History'!$B$5:$B$3004,$K2710),INDEX('AH History'!$D$5:$GG$1380,$K2710,AH!$U$10))))&gt;0),IF(AND(AH!$U$12=1,2705+1=AH!$U$6),IF(AH!$U$4=0,"unavailable",INDEX('Market Data'!$AN$5:$AN$66,AH!$U$4)),IF(AH!$U$5=1,INDEX('Live History'!$B$5:$B$3004,$K2710),INDEX('AH History'!$D$5:$GG$1380,$K2710,AH!$U$10))),NA()),NA())</f>
        <v/>
      </c>
      <c r="F2710" s="32">
        <f>IFERROR(IF(ISNUMBER($A2710),IF(AND(AH!$U$12=1,2705+1=AH!$U$6),IF(AH!$U$4=0,"unavailable",INDEX('Market Data'!$AO$5:$AO$66,AH!$U$4)),IF(AH!$U$5=1,INDEX('Live History'!$E$5:$E$3004,MATCH($A2710,'Live History'!$D$5:$D$3004,1)),INDEX('AH History'!$D$5:$GG$1380,$K2710,AH!$U$10+1))),NA()),NA())</f>
        <v/>
      </c>
      <c r="G2710" s="34">
        <f>IFERROR(IF(ISNUMBER($A2710),IF(AND(AH!$U$12=1,2705+1=AH!$U$6),IF(AH!$U$4=0,"unavailable",INDEX('Market Data'!$AK$5:$AK$66,AH!$U$4)),IF(AH!$U$5=1,INDEX('Live History'!$D$5:$D$3004,MATCH($A2710,'Live History'!$D$5:$D$3004,1)),INDEX('AH History'!$D$5:$GG$1380,$K2710,AH!$U$10+2))),NA()),NA())</f>
        <v/>
      </c>
      <c r="H2710" s="266">
        <f>IFERROR(IF(ISNUMBER($A2710),IF(AND(AH!$U$12=1,2705+1=AH!$U$6),IF(AH!$U$4=0,"unavailable",INDEX('Market Data'!$AP$5:$AP$66,AH!$U$4)),IF(AH!$U$5=1,INDEX('Live History'!$H$5:$H$3004,MATCH($A2710,'Live History'!$G$5:$G$3004,1)),INDEX('AH History'!$B$5:$B$1380,$K2710))),NA()),NA())</f>
        <v/>
      </c>
      <c r="I2710" s="34">
        <f>IFERROR(IF(ISNUMBER($A2710),IF(AND(AH!$U$12=1,2705+1=AH!$U$6),TODAY(),IF(AH!$U$5=1,INDEX('Live History'!$G$5:$G$3004,MATCH($A2710,'Live History'!$G$5:$G$3004,1)),INDEX('AH History'!$C$5:$C$1380,$K2710))),NA()),NA())</f>
        <v/>
      </c>
      <c r="J2710" s="32">
        <f>IFERROR(IF(AND($F2710&gt;0,$H2710&gt;0,$A2710-$G2710&lt;=10,$A2710-$I2710&lt;=5,$G2710&gt;0,$I2710&gt;0),$F2710*$H2710,NA()),NA())</f>
        <v/>
      </c>
      <c r="K2710" s="15">
        <f>IF($A2710="","",IF(AH!$U$5=1,IFERROR(MATCH($A2710,'Live History'!$A$5:$A$3004,0),0),AH!$U$7+2705))</f>
        <v/>
      </c>
      <c r="L2710" s="15">
        <f>IF(ISNUMBER(A2710),TEXT(A2710,"dd-mmm-yy"),"")</f>
        <v/>
      </c>
    </row>
    <row r="2711">
      <c r="A2711" s="14">
        <f>IF(OR(AH!$U$4=0,2706+1&gt;AH!$U$6,AND(AH!$M$5="Bloomberg",AH!$U$5=0)),"",IFERROR(IF(AND(AH!$U$12=1,2706+1=AH!$U$6),TODAY(),IF(AH!$U$5=1,INDEX('Live History'!$A$5:$A$3004,AH!$U$7+2706),INDEX('AH History'!$A$5:$A$1380,AH!$U$7+2706))),""))</f>
        <v/>
      </c>
      <c r="B2711" s="33">
        <f>IFERROR(IF(AH!$U$11=1,NA(),$J2711/$E2711-1),NA())</f>
        <v/>
      </c>
      <c r="C2711" s="269">
        <f>IFERROR(100*$E2711/$E$5,NA())</f>
        <v/>
      </c>
      <c r="D2711" s="269">
        <f>IFERROR(100*$J2711/$J$5,NA())</f>
        <v/>
      </c>
      <c r="E2711" s="32">
        <f>IFERROR(IF(AND(ISNUMBER($A2711),N(IF(AND(AH!$U$12=1,2706+1=AH!$U$6),IF(AH!$U$4=0,"unavailable",INDEX('Market Data'!$AN$5:$AN$66,AH!$U$4)),IF(AH!$U$5=1,INDEX('Live History'!$B$5:$B$3004,$K2711),INDEX('AH History'!$D$5:$GG$1380,$K2711,AH!$U$10))))&gt;0),IF(AND(AH!$U$12=1,2706+1=AH!$U$6),IF(AH!$U$4=0,"unavailable",INDEX('Market Data'!$AN$5:$AN$66,AH!$U$4)),IF(AH!$U$5=1,INDEX('Live History'!$B$5:$B$3004,$K2711),INDEX('AH History'!$D$5:$GG$1380,$K2711,AH!$U$10))),NA()),NA())</f>
        <v/>
      </c>
      <c r="F2711" s="32">
        <f>IFERROR(IF(ISNUMBER($A2711),IF(AND(AH!$U$12=1,2706+1=AH!$U$6),IF(AH!$U$4=0,"unavailable",INDEX('Market Data'!$AO$5:$AO$66,AH!$U$4)),IF(AH!$U$5=1,INDEX('Live History'!$E$5:$E$3004,MATCH($A2711,'Live History'!$D$5:$D$3004,1)),INDEX('AH History'!$D$5:$GG$1380,$K2711,AH!$U$10+1))),NA()),NA())</f>
        <v/>
      </c>
      <c r="G2711" s="34">
        <f>IFERROR(IF(ISNUMBER($A2711),IF(AND(AH!$U$12=1,2706+1=AH!$U$6),IF(AH!$U$4=0,"unavailable",INDEX('Market Data'!$AK$5:$AK$66,AH!$U$4)),IF(AH!$U$5=1,INDEX('Live History'!$D$5:$D$3004,MATCH($A2711,'Live History'!$D$5:$D$3004,1)),INDEX('AH History'!$D$5:$GG$1380,$K2711,AH!$U$10+2))),NA()),NA())</f>
        <v/>
      </c>
      <c r="H2711" s="266">
        <f>IFERROR(IF(ISNUMBER($A2711),IF(AND(AH!$U$12=1,2706+1=AH!$U$6),IF(AH!$U$4=0,"unavailable",INDEX('Market Data'!$AP$5:$AP$66,AH!$U$4)),IF(AH!$U$5=1,INDEX('Live History'!$H$5:$H$3004,MATCH($A2711,'Live History'!$G$5:$G$3004,1)),INDEX('AH History'!$B$5:$B$1380,$K2711))),NA()),NA())</f>
        <v/>
      </c>
      <c r="I2711" s="34">
        <f>IFERROR(IF(ISNUMBER($A2711),IF(AND(AH!$U$12=1,2706+1=AH!$U$6),TODAY(),IF(AH!$U$5=1,INDEX('Live History'!$G$5:$G$3004,MATCH($A2711,'Live History'!$G$5:$G$3004,1)),INDEX('AH History'!$C$5:$C$1380,$K2711))),NA()),NA())</f>
        <v/>
      </c>
      <c r="J2711" s="32">
        <f>IFERROR(IF(AND($F2711&gt;0,$H2711&gt;0,$A2711-$G2711&lt;=10,$A2711-$I2711&lt;=5,$G2711&gt;0,$I2711&gt;0),$F2711*$H2711,NA()),NA())</f>
        <v/>
      </c>
      <c r="K2711" s="15">
        <f>IF($A2711="","",IF(AH!$U$5=1,IFERROR(MATCH($A2711,'Live History'!$A$5:$A$3004,0),0),AH!$U$7+2706))</f>
        <v/>
      </c>
      <c r="L2711" s="15">
        <f>IF(ISNUMBER(A2711),TEXT(A2711,"dd-mmm-yy"),"")</f>
        <v/>
      </c>
    </row>
    <row r="2712">
      <c r="A2712" s="14">
        <f>IF(OR(AH!$U$4=0,2707+1&gt;AH!$U$6,AND(AH!$M$5="Bloomberg",AH!$U$5=0)),"",IFERROR(IF(AND(AH!$U$12=1,2707+1=AH!$U$6),TODAY(),IF(AH!$U$5=1,INDEX('Live History'!$A$5:$A$3004,AH!$U$7+2707),INDEX('AH History'!$A$5:$A$1380,AH!$U$7+2707))),""))</f>
        <v/>
      </c>
      <c r="B2712" s="33">
        <f>IFERROR(IF(AH!$U$11=1,NA(),$J2712/$E2712-1),NA())</f>
        <v/>
      </c>
      <c r="C2712" s="269">
        <f>IFERROR(100*$E2712/$E$5,NA())</f>
        <v/>
      </c>
      <c r="D2712" s="269">
        <f>IFERROR(100*$J2712/$J$5,NA())</f>
        <v/>
      </c>
      <c r="E2712" s="32">
        <f>IFERROR(IF(AND(ISNUMBER($A2712),N(IF(AND(AH!$U$12=1,2707+1=AH!$U$6),IF(AH!$U$4=0,"unavailable",INDEX('Market Data'!$AN$5:$AN$66,AH!$U$4)),IF(AH!$U$5=1,INDEX('Live History'!$B$5:$B$3004,$K2712),INDEX('AH History'!$D$5:$GG$1380,$K2712,AH!$U$10))))&gt;0),IF(AND(AH!$U$12=1,2707+1=AH!$U$6),IF(AH!$U$4=0,"unavailable",INDEX('Market Data'!$AN$5:$AN$66,AH!$U$4)),IF(AH!$U$5=1,INDEX('Live History'!$B$5:$B$3004,$K2712),INDEX('AH History'!$D$5:$GG$1380,$K2712,AH!$U$10))),NA()),NA())</f>
        <v/>
      </c>
      <c r="F2712" s="32">
        <f>IFERROR(IF(ISNUMBER($A2712),IF(AND(AH!$U$12=1,2707+1=AH!$U$6),IF(AH!$U$4=0,"unavailable",INDEX('Market Data'!$AO$5:$AO$66,AH!$U$4)),IF(AH!$U$5=1,INDEX('Live History'!$E$5:$E$3004,MATCH($A2712,'Live History'!$D$5:$D$3004,1)),INDEX('AH History'!$D$5:$GG$1380,$K2712,AH!$U$10+1))),NA()),NA())</f>
        <v/>
      </c>
      <c r="G2712" s="34">
        <f>IFERROR(IF(ISNUMBER($A2712),IF(AND(AH!$U$12=1,2707+1=AH!$U$6),IF(AH!$U$4=0,"unavailable",INDEX('Market Data'!$AK$5:$AK$66,AH!$U$4)),IF(AH!$U$5=1,INDEX('Live History'!$D$5:$D$3004,MATCH($A2712,'Live History'!$D$5:$D$3004,1)),INDEX('AH History'!$D$5:$GG$1380,$K2712,AH!$U$10+2))),NA()),NA())</f>
        <v/>
      </c>
      <c r="H2712" s="266">
        <f>IFERROR(IF(ISNUMBER($A2712),IF(AND(AH!$U$12=1,2707+1=AH!$U$6),IF(AH!$U$4=0,"unavailable",INDEX('Market Data'!$AP$5:$AP$66,AH!$U$4)),IF(AH!$U$5=1,INDEX('Live History'!$H$5:$H$3004,MATCH($A2712,'Live History'!$G$5:$G$3004,1)),INDEX('AH History'!$B$5:$B$1380,$K2712))),NA()),NA())</f>
        <v/>
      </c>
      <c r="I2712" s="34">
        <f>IFERROR(IF(ISNUMBER($A2712),IF(AND(AH!$U$12=1,2707+1=AH!$U$6),TODAY(),IF(AH!$U$5=1,INDEX('Live History'!$G$5:$G$3004,MATCH($A2712,'Live History'!$G$5:$G$3004,1)),INDEX('AH History'!$C$5:$C$1380,$K2712))),NA()),NA())</f>
        <v/>
      </c>
      <c r="J2712" s="32">
        <f>IFERROR(IF(AND($F2712&gt;0,$H2712&gt;0,$A2712-$G2712&lt;=10,$A2712-$I2712&lt;=5,$G2712&gt;0,$I2712&gt;0),$F2712*$H2712,NA()),NA())</f>
        <v/>
      </c>
      <c r="K2712" s="15">
        <f>IF($A2712="","",IF(AH!$U$5=1,IFERROR(MATCH($A2712,'Live History'!$A$5:$A$3004,0),0),AH!$U$7+2707))</f>
        <v/>
      </c>
      <c r="L2712" s="15">
        <f>IF(ISNUMBER(A2712),TEXT(A2712,"dd-mmm-yy"),"")</f>
        <v/>
      </c>
    </row>
    <row r="2713">
      <c r="A2713" s="14">
        <f>IF(OR(AH!$U$4=0,2708+1&gt;AH!$U$6,AND(AH!$M$5="Bloomberg",AH!$U$5=0)),"",IFERROR(IF(AND(AH!$U$12=1,2708+1=AH!$U$6),TODAY(),IF(AH!$U$5=1,INDEX('Live History'!$A$5:$A$3004,AH!$U$7+2708),INDEX('AH History'!$A$5:$A$1380,AH!$U$7+2708))),""))</f>
        <v/>
      </c>
      <c r="B2713" s="33">
        <f>IFERROR(IF(AH!$U$11=1,NA(),$J2713/$E2713-1),NA())</f>
        <v/>
      </c>
      <c r="C2713" s="269">
        <f>IFERROR(100*$E2713/$E$5,NA())</f>
        <v/>
      </c>
      <c r="D2713" s="269">
        <f>IFERROR(100*$J2713/$J$5,NA())</f>
        <v/>
      </c>
      <c r="E2713" s="32">
        <f>IFERROR(IF(AND(ISNUMBER($A2713),N(IF(AND(AH!$U$12=1,2708+1=AH!$U$6),IF(AH!$U$4=0,"unavailable",INDEX('Market Data'!$AN$5:$AN$66,AH!$U$4)),IF(AH!$U$5=1,INDEX('Live History'!$B$5:$B$3004,$K2713),INDEX('AH History'!$D$5:$GG$1380,$K2713,AH!$U$10))))&gt;0),IF(AND(AH!$U$12=1,2708+1=AH!$U$6),IF(AH!$U$4=0,"unavailable",INDEX('Market Data'!$AN$5:$AN$66,AH!$U$4)),IF(AH!$U$5=1,INDEX('Live History'!$B$5:$B$3004,$K2713),INDEX('AH History'!$D$5:$GG$1380,$K2713,AH!$U$10))),NA()),NA())</f>
        <v/>
      </c>
      <c r="F2713" s="32">
        <f>IFERROR(IF(ISNUMBER($A2713),IF(AND(AH!$U$12=1,2708+1=AH!$U$6),IF(AH!$U$4=0,"unavailable",INDEX('Market Data'!$AO$5:$AO$66,AH!$U$4)),IF(AH!$U$5=1,INDEX('Live History'!$E$5:$E$3004,MATCH($A2713,'Live History'!$D$5:$D$3004,1)),INDEX('AH History'!$D$5:$GG$1380,$K2713,AH!$U$10+1))),NA()),NA())</f>
        <v/>
      </c>
      <c r="G2713" s="34">
        <f>IFERROR(IF(ISNUMBER($A2713),IF(AND(AH!$U$12=1,2708+1=AH!$U$6),IF(AH!$U$4=0,"unavailable",INDEX('Market Data'!$AK$5:$AK$66,AH!$U$4)),IF(AH!$U$5=1,INDEX('Live History'!$D$5:$D$3004,MATCH($A2713,'Live History'!$D$5:$D$3004,1)),INDEX('AH History'!$D$5:$GG$1380,$K2713,AH!$U$10+2))),NA()),NA())</f>
        <v/>
      </c>
      <c r="H2713" s="266">
        <f>IFERROR(IF(ISNUMBER($A2713),IF(AND(AH!$U$12=1,2708+1=AH!$U$6),IF(AH!$U$4=0,"unavailable",INDEX('Market Data'!$AP$5:$AP$66,AH!$U$4)),IF(AH!$U$5=1,INDEX('Live History'!$H$5:$H$3004,MATCH($A2713,'Live History'!$G$5:$G$3004,1)),INDEX('AH History'!$B$5:$B$1380,$K2713))),NA()),NA())</f>
        <v/>
      </c>
      <c r="I2713" s="34">
        <f>IFERROR(IF(ISNUMBER($A2713),IF(AND(AH!$U$12=1,2708+1=AH!$U$6),TODAY(),IF(AH!$U$5=1,INDEX('Live History'!$G$5:$G$3004,MATCH($A2713,'Live History'!$G$5:$G$3004,1)),INDEX('AH History'!$C$5:$C$1380,$K2713))),NA()),NA())</f>
        <v/>
      </c>
      <c r="J2713" s="32">
        <f>IFERROR(IF(AND($F2713&gt;0,$H2713&gt;0,$A2713-$G2713&lt;=10,$A2713-$I2713&lt;=5,$G2713&gt;0,$I2713&gt;0),$F2713*$H2713,NA()),NA())</f>
        <v/>
      </c>
      <c r="K2713" s="15">
        <f>IF($A2713="","",IF(AH!$U$5=1,IFERROR(MATCH($A2713,'Live History'!$A$5:$A$3004,0),0),AH!$U$7+2708))</f>
        <v/>
      </c>
      <c r="L2713" s="15">
        <f>IF(ISNUMBER(A2713),TEXT(A2713,"dd-mmm-yy"),"")</f>
        <v/>
      </c>
    </row>
    <row r="2714">
      <c r="A2714" s="14">
        <f>IF(OR(AH!$U$4=0,2709+1&gt;AH!$U$6,AND(AH!$M$5="Bloomberg",AH!$U$5=0)),"",IFERROR(IF(AND(AH!$U$12=1,2709+1=AH!$U$6),TODAY(),IF(AH!$U$5=1,INDEX('Live History'!$A$5:$A$3004,AH!$U$7+2709),INDEX('AH History'!$A$5:$A$1380,AH!$U$7+2709))),""))</f>
        <v/>
      </c>
      <c r="B2714" s="33">
        <f>IFERROR(IF(AH!$U$11=1,NA(),$J2714/$E2714-1),NA())</f>
        <v/>
      </c>
      <c r="C2714" s="269">
        <f>IFERROR(100*$E2714/$E$5,NA())</f>
        <v/>
      </c>
      <c r="D2714" s="269">
        <f>IFERROR(100*$J2714/$J$5,NA())</f>
        <v/>
      </c>
      <c r="E2714" s="32">
        <f>IFERROR(IF(AND(ISNUMBER($A2714),N(IF(AND(AH!$U$12=1,2709+1=AH!$U$6),IF(AH!$U$4=0,"unavailable",INDEX('Market Data'!$AN$5:$AN$66,AH!$U$4)),IF(AH!$U$5=1,INDEX('Live History'!$B$5:$B$3004,$K2714),INDEX('AH History'!$D$5:$GG$1380,$K2714,AH!$U$10))))&gt;0),IF(AND(AH!$U$12=1,2709+1=AH!$U$6),IF(AH!$U$4=0,"unavailable",INDEX('Market Data'!$AN$5:$AN$66,AH!$U$4)),IF(AH!$U$5=1,INDEX('Live History'!$B$5:$B$3004,$K2714),INDEX('AH History'!$D$5:$GG$1380,$K2714,AH!$U$10))),NA()),NA())</f>
        <v/>
      </c>
      <c r="F2714" s="32">
        <f>IFERROR(IF(ISNUMBER($A2714),IF(AND(AH!$U$12=1,2709+1=AH!$U$6),IF(AH!$U$4=0,"unavailable",INDEX('Market Data'!$AO$5:$AO$66,AH!$U$4)),IF(AH!$U$5=1,INDEX('Live History'!$E$5:$E$3004,MATCH($A2714,'Live History'!$D$5:$D$3004,1)),INDEX('AH History'!$D$5:$GG$1380,$K2714,AH!$U$10+1))),NA()),NA())</f>
        <v/>
      </c>
      <c r="G2714" s="34">
        <f>IFERROR(IF(ISNUMBER($A2714),IF(AND(AH!$U$12=1,2709+1=AH!$U$6),IF(AH!$U$4=0,"unavailable",INDEX('Market Data'!$AK$5:$AK$66,AH!$U$4)),IF(AH!$U$5=1,INDEX('Live History'!$D$5:$D$3004,MATCH($A2714,'Live History'!$D$5:$D$3004,1)),INDEX('AH History'!$D$5:$GG$1380,$K2714,AH!$U$10+2))),NA()),NA())</f>
        <v/>
      </c>
      <c r="H2714" s="266">
        <f>IFERROR(IF(ISNUMBER($A2714),IF(AND(AH!$U$12=1,2709+1=AH!$U$6),IF(AH!$U$4=0,"unavailable",INDEX('Market Data'!$AP$5:$AP$66,AH!$U$4)),IF(AH!$U$5=1,INDEX('Live History'!$H$5:$H$3004,MATCH($A2714,'Live History'!$G$5:$G$3004,1)),INDEX('AH History'!$B$5:$B$1380,$K2714))),NA()),NA())</f>
        <v/>
      </c>
      <c r="I2714" s="34">
        <f>IFERROR(IF(ISNUMBER($A2714),IF(AND(AH!$U$12=1,2709+1=AH!$U$6),TODAY(),IF(AH!$U$5=1,INDEX('Live History'!$G$5:$G$3004,MATCH($A2714,'Live History'!$G$5:$G$3004,1)),INDEX('AH History'!$C$5:$C$1380,$K2714))),NA()),NA())</f>
        <v/>
      </c>
      <c r="J2714" s="32">
        <f>IFERROR(IF(AND($F2714&gt;0,$H2714&gt;0,$A2714-$G2714&lt;=10,$A2714-$I2714&lt;=5,$G2714&gt;0,$I2714&gt;0),$F2714*$H2714,NA()),NA())</f>
        <v/>
      </c>
      <c r="K2714" s="15">
        <f>IF($A2714="","",IF(AH!$U$5=1,IFERROR(MATCH($A2714,'Live History'!$A$5:$A$3004,0),0),AH!$U$7+2709))</f>
        <v/>
      </c>
      <c r="L2714" s="15">
        <f>IF(ISNUMBER(A2714),TEXT(A2714,"dd-mmm-yy"),"")</f>
        <v/>
      </c>
    </row>
    <row r="2715">
      <c r="A2715" s="14">
        <f>IF(OR(AH!$U$4=0,2710+1&gt;AH!$U$6,AND(AH!$M$5="Bloomberg",AH!$U$5=0)),"",IFERROR(IF(AND(AH!$U$12=1,2710+1=AH!$U$6),TODAY(),IF(AH!$U$5=1,INDEX('Live History'!$A$5:$A$3004,AH!$U$7+2710),INDEX('AH History'!$A$5:$A$1380,AH!$U$7+2710))),""))</f>
        <v/>
      </c>
      <c r="B2715" s="33">
        <f>IFERROR(IF(AH!$U$11=1,NA(),$J2715/$E2715-1),NA())</f>
        <v/>
      </c>
      <c r="C2715" s="269">
        <f>IFERROR(100*$E2715/$E$5,NA())</f>
        <v/>
      </c>
      <c r="D2715" s="269">
        <f>IFERROR(100*$J2715/$J$5,NA())</f>
        <v/>
      </c>
      <c r="E2715" s="32">
        <f>IFERROR(IF(AND(ISNUMBER($A2715),N(IF(AND(AH!$U$12=1,2710+1=AH!$U$6),IF(AH!$U$4=0,"unavailable",INDEX('Market Data'!$AN$5:$AN$66,AH!$U$4)),IF(AH!$U$5=1,INDEX('Live History'!$B$5:$B$3004,$K2715),INDEX('AH History'!$D$5:$GG$1380,$K2715,AH!$U$10))))&gt;0),IF(AND(AH!$U$12=1,2710+1=AH!$U$6),IF(AH!$U$4=0,"unavailable",INDEX('Market Data'!$AN$5:$AN$66,AH!$U$4)),IF(AH!$U$5=1,INDEX('Live History'!$B$5:$B$3004,$K2715),INDEX('AH History'!$D$5:$GG$1380,$K2715,AH!$U$10))),NA()),NA())</f>
        <v/>
      </c>
      <c r="F2715" s="32">
        <f>IFERROR(IF(ISNUMBER($A2715),IF(AND(AH!$U$12=1,2710+1=AH!$U$6),IF(AH!$U$4=0,"unavailable",INDEX('Market Data'!$AO$5:$AO$66,AH!$U$4)),IF(AH!$U$5=1,INDEX('Live History'!$E$5:$E$3004,MATCH($A2715,'Live History'!$D$5:$D$3004,1)),INDEX('AH History'!$D$5:$GG$1380,$K2715,AH!$U$10+1))),NA()),NA())</f>
        <v/>
      </c>
      <c r="G2715" s="34">
        <f>IFERROR(IF(ISNUMBER($A2715),IF(AND(AH!$U$12=1,2710+1=AH!$U$6),IF(AH!$U$4=0,"unavailable",INDEX('Market Data'!$AK$5:$AK$66,AH!$U$4)),IF(AH!$U$5=1,INDEX('Live History'!$D$5:$D$3004,MATCH($A2715,'Live History'!$D$5:$D$3004,1)),INDEX('AH History'!$D$5:$GG$1380,$K2715,AH!$U$10+2))),NA()),NA())</f>
        <v/>
      </c>
      <c r="H2715" s="266">
        <f>IFERROR(IF(ISNUMBER($A2715),IF(AND(AH!$U$12=1,2710+1=AH!$U$6),IF(AH!$U$4=0,"unavailable",INDEX('Market Data'!$AP$5:$AP$66,AH!$U$4)),IF(AH!$U$5=1,INDEX('Live History'!$H$5:$H$3004,MATCH($A2715,'Live History'!$G$5:$G$3004,1)),INDEX('AH History'!$B$5:$B$1380,$K2715))),NA()),NA())</f>
        <v/>
      </c>
      <c r="I2715" s="34">
        <f>IFERROR(IF(ISNUMBER($A2715),IF(AND(AH!$U$12=1,2710+1=AH!$U$6),TODAY(),IF(AH!$U$5=1,INDEX('Live History'!$G$5:$G$3004,MATCH($A2715,'Live History'!$G$5:$G$3004,1)),INDEX('AH History'!$C$5:$C$1380,$K2715))),NA()),NA())</f>
        <v/>
      </c>
      <c r="J2715" s="32">
        <f>IFERROR(IF(AND($F2715&gt;0,$H2715&gt;0,$A2715-$G2715&lt;=10,$A2715-$I2715&lt;=5,$G2715&gt;0,$I2715&gt;0),$F2715*$H2715,NA()),NA())</f>
        <v/>
      </c>
      <c r="K2715" s="15">
        <f>IF($A2715="","",IF(AH!$U$5=1,IFERROR(MATCH($A2715,'Live History'!$A$5:$A$3004,0),0),AH!$U$7+2710))</f>
        <v/>
      </c>
      <c r="L2715" s="15">
        <f>IF(ISNUMBER(A2715),TEXT(A2715,"dd-mmm-yy"),"")</f>
        <v/>
      </c>
    </row>
    <row r="2716">
      <c r="A2716" s="14">
        <f>IF(OR(AH!$U$4=0,2711+1&gt;AH!$U$6,AND(AH!$M$5="Bloomberg",AH!$U$5=0)),"",IFERROR(IF(AND(AH!$U$12=1,2711+1=AH!$U$6),TODAY(),IF(AH!$U$5=1,INDEX('Live History'!$A$5:$A$3004,AH!$U$7+2711),INDEX('AH History'!$A$5:$A$1380,AH!$U$7+2711))),""))</f>
        <v/>
      </c>
      <c r="B2716" s="33">
        <f>IFERROR(IF(AH!$U$11=1,NA(),$J2716/$E2716-1),NA())</f>
        <v/>
      </c>
      <c r="C2716" s="269">
        <f>IFERROR(100*$E2716/$E$5,NA())</f>
        <v/>
      </c>
      <c r="D2716" s="269">
        <f>IFERROR(100*$J2716/$J$5,NA())</f>
        <v/>
      </c>
      <c r="E2716" s="32">
        <f>IFERROR(IF(AND(ISNUMBER($A2716),N(IF(AND(AH!$U$12=1,2711+1=AH!$U$6),IF(AH!$U$4=0,"unavailable",INDEX('Market Data'!$AN$5:$AN$66,AH!$U$4)),IF(AH!$U$5=1,INDEX('Live History'!$B$5:$B$3004,$K2716),INDEX('AH History'!$D$5:$GG$1380,$K2716,AH!$U$10))))&gt;0),IF(AND(AH!$U$12=1,2711+1=AH!$U$6),IF(AH!$U$4=0,"unavailable",INDEX('Market Data'!$AN$5:$AN$66,AH!$U$4)),IF(AH!$U$5=1,INDEX('Live History'!$B$5:$B$3004,$K2716),INDEX('AH History'!$D$5:$GG$1380,$K2716,AH!$U$10))),NA()),NA())</f>
        <v/>
      </c>
      <c r="F2716" s="32">
        <f>IFERROR(IF(ISNUMBER($A2716),IF(AND(AH!$U$12=1,2711+1=AH!$U$6),IF(AH!$U$4=0,"unavailable",INDEX('Market Data'!$AO$5:$AO$66,AH!$U$4)),IF(AH!$U$5=1,INDEX('Live History'!$E$5:$E$3004,MATCH($A2716,'Live History'!$D$5:$D$3004,1)),INDEX('AH History'!$D$5:$GG$1380,$K2716,AH!$U$10+1))),NA()),NA())</f>
        <v/>
      </c>
      <c r="G2716" s="34">
        <f>IFERROR(IF(ISNUMBER($A2716),IF(AND(AH!$U$12=1,2711+1=AH!$U$6),IF(AH!$U$4=0,"unavailable",INDEX('Market Data'!$AK$5:$AK$66,AH!$U$4)),IF(AH!$U$5=1,INDEX('Live History'!$D$5:$D$3004,MATCH($A2716,'Live History'!$D$5:$D$3004,1)),INDEX('AH History'!$D$5:$GG$1380,$K2716,AH!$U$10+2))),NA()),NA())</f>
        <v/>
      </c>
      <c r="H2716" s="266">
        <f>IFERROR(IF(ISNUMBER($A2716),IF(AND(AH!$U$12=1,2711+1=AH!$U$6),IF(AH!$U$4=0,"unavailable",INDEX('Market Data'!$AP$5:$AP$66,AH!$U$4)),IF(AH!$U$5=1,INDEX('Live History'!$H$5:$H$3004,MATCH($A2716,'Live History'!$G$5:$G$3004,1)),INDEX('AH History'!$B$5:$B$1380,$K2716))),NA()),NA())</f>
        <v/>
      </c>
      <c r="I2716" s="34">
        <f>IFERROR(IF(ISNUMBER($A2716),IF(AND(AH!$U$12=1,2711+1=AH!$U$6),TODAY(),IF(AH!$U$5=1,INDEX('Live History'!$G$5:$G$3004,MATCH($A2716,'Live History'!$G$5:$G$3004,1)),INDEX('AH History'!$C$5:$C$1380,$K2716))),NA()),NA())</f>
        <v/>
      </c>
      <c r="J2716" s="32">
        <f>IFERROR(IF(AND($F2716&gt;0,$H2716&gt;0,$A2716-$G2716&lt;=10,$A2716-$I2716&lt;=5,$G2716&gt;0,$I2716&gt;0),$F2716*$H2716,NA()),NA())</f>
        <v/>
      </c>
      <c r="K2716" s="15">
        <f>IF($A2716="","",IF(AH!$U$5=1,IFERROR(MATCH($A2716,'Live History'!$A$5:$A$3004,0),0),AH!$U$7+2711))</f>
        <v/>
      </c>
      <c r="L2716" s="15">
        <f>IF(ISNUMBER(A2716),TEXT(A2716,"dd-mmm-yy"),"")</f>
        <v/>
      </c>
    </row>
    <row r="2717">
      <c r="A2717" s="14">
        <f>IF(OR(AH!$U$4=0,2712+1&gt;AH!$U$6,AND(AH!$M$5="Bloomberg",AH!$U$5=0)),"",IFERROR(IF(AND(AH!$U$12=1,2712+1=AH!$U$6),TODAY(),IF(AH!$U$5=1,INDEX('Live History'!$A$5:$A$3004,AH!$U$7+2712),INDEX('AH History'!$A$5:$A$1380,AH!$U$7+2712))),""))</f>
        <v/>
      </c>
      <c r="B2717" s="33">
        <f>IFERROR(IF(AH!$U$11=1,NA(),$J2717/$E2717-1),NA())</f>
        <v/>
      </c>
      <c r="C2717" s="269">
        <f>IFERROR(100*$E2717/$E$5,NA())</f>
        <v/>
      </c>
      <c r="D2717" s="269">
        <f>IFERROR(100*$J2717/$J$5,NA())</f>
        <v/>
      </c>
      <c r="E2717" s="32">
        <f>IFERROR(IF(AND(ISNUMBER($A2717),N(IF(AND(AH!$U$12=1,2712+1=AH!$U$6),IF(AH!$U$4=0,"unavailable",INDEX('Market Data'!$AN$5:$AN$66,AH!$U$4)),IF(AH!$U$5=1,INDEX('Live History'!$B$5:$B$3004,$K2717),INDEX('AH History'!$D$5:$GG$1380,$K2717,AH!$U$10))))&gt;0),IF(AND(AH!$U$12=1,2712+1=AH!$U$6),IF(AH!$U$4=0,"unavailable",INDEX('Market Data'!$AN$5:$AN$66,AH!$U$4)),IF(AH!$U$5=1,INDEX('Live History'!$B$5:$B$3004,$K2717),INDEX('AH History'!$D$5:$GG$1380,$K2717,AH!$U$10))),NA()),NA())</f>
        <v/>
      </c>
      <c r="F2717" s="32">
        <f>IFERROR(IF(ISNUMBER($A2717),IF(AND(AH!$U$12=1,2712+1=AH!$U$6),IF(AH!$U$4=0,"unavailable",INDEX('Market Data'!$AO$5:$AO$66,AH!$U$4)),IF(AH!$U$5=1,INDEX('Live History'!$E$5:$E$3004,MATCH($A2717,'Live History'!$D$5:$D$3004,1)),INDEX('AH History'!$D$5:$GG$1380,$K2717,AH!$U$10+1))),NA()),NA())</f>
        <v/>
      </c>
      <c r="G2717" s="34">
        <f>IFERROR(IF(ISNUMBER($A2717),IF(AND(AH!$U$12=1,2712+1=AH!$U$6),IF(AH!$U$4=0,"unavailable",INDEX('Market Data'!$AK$5:$AK$66,AH!$U$4)),IF(AH!$U$5=1,INDEX('Live History'!$D$5:$D$3004,MATCH($A2717,'Live History'!$D$5:$D$3004,1)),INDEX('AH History'!$D$5:$GG$1380,$K2717,AH!$U$10+2))),NA()),NA())</f>
        <v/>
      </c>
      <c r="H2717" s="266">
        <f>IFERROR(IF(ISNUMBER($A2717),IF(AND(AH!$U$12=1,2712+1=AH!$U$6),IF(AH!$U$4=0,"unavailable",INDEX('Market Data'!$AP$5:$AP$66,AH!$U$4)),IF(AH!$U$5=1,INDEX('Live History'!$H$5:$H$3004,MATCH($A2717,'Live History'!$G$5:$G$3004,1)),INDEX('AH History'!$B$5:$B$1380,$K2717))),NA()),NA())</f>
        <v/>
      </c>
      <c r="I2717" s="34">
        <f>IFERROR(IF(ISNUMBER($A2717),IF(AND(AH!$U$12=1,2712+1=AH!$U$6),TODAY(),IF(AH!$U$5=1,INDEX('Live History'!$G$5:$G$3004,MATCH($A2717,'Live History'!$G$5:$G$3004,1)),INDEX('AH History'!$C$5:$C$1380,$K2717))),NA()),NA())</f>
        <v/>
      </c>
      <c r="J2717" s="32">
        <f>IFERROR(IF(AND($F2717&gt;0,$H2717&gt;0,$A2717-$G2717&lt;=10,$A2717-$I2717&lt;=5,$G2717&gt;0,$I2717&gt;0),$F2717*$H2717,NA()),NA())</f>
        <v/>
      </c>
      <c r="K2717" s="15">
        <f>IF($A2717="","",IF(AH!$U$5=1,IFERROR(MATCH($A2717,'Live History'!$A$5:$A$3004,0),0),AH!$U$7+2712))</f>
        <v/>
      </c>
      <c r="L2717" s="15">
        <f>IF(ISNUMBER(A2717),TEXT(A2717,"dd-mmm-yy"),"")</f>
        <v/>
      </c>
    </row>
    <row r="2718">
      <c r="A2718" s="14">
        <f>IF(OR(AH!$U$4=0,2713+1&gt;AH!$U$6,AND(AH!$M$5="Bloomberg",AH!$U$5=0)),"",IFERROR(IF(AND(AH!$U$12=1,2713+1=AH!$U$6),TODAY(),IF(AH!$U$5=1,INDEX('Live History'!$A$5:$A$3004,AH!$U$7+2713),INDEX('AH History'!$A$5:$A$1380,AH!$U$7+2713))),""))</f>
        <v/>
      </c>
      <c r="B2718" s="33">
        <f>IFERROR(IF(AH!$U$11=1,NA(),$J2718/$E2718-1),NA())</f>
        <v/>
      </c>
      <c r="C2718" s="269">
        <f>IFERROR(100*$E2718/$E$5,NA())</f>
        <v/>
      </c>
      <c r="D2718" s="269">
        <f>IFERROR(100*$J2718/$J$5,NA())</f>
        <v/>
      </c>
      <c r="E2718" s="32">
        <f>IFERROR(IF(AND(ISNUMBER($A2718),N(IF(AND(AH!$U$12=1,2713+1=AH!$U$6),IF(AH!$U$4=0,"unavailable",INDEX('Market Data'!$AN$5:$AN$66,AH!$U$4)),IF(AH!$U$5=1,INDEX('Live History'!$B$5:$B$3004,$K2718),INDEX('AH History'!$D$5:$GG$1380,$K2718,AH!$U$10))))&gt;0),IF(AND(AH!$U$12=1,2713+1=AH!$U$6),IF(AH!$U$4=0,"unavailable",INDEX('Market Data'!$AN$5:$AN$66,AH!$U$4)),IF(AH!$U$5=1,INDEX('Live History'!$B$5:$B$3004,$K2718),INDEX('AH History'!$D$5:$GG$1380,$K2718,AH!$U$10))),NA()),NA())</f>
        <v/>
      </c>
      <c r="F2718" s="32">
        <f>IFERROR(IF(ISNUMBER($A2718),IF(AND(AH!$U$12=1,2713+1=AH!$U$6),IF(AH!$U$4=0,"unavailable",INDEX('Market Data'!$AO$5:$AO$66,AH!$U$4)),IF(AH!$U$5=1,INDEX('Live History'!$E$5:$E$3004,MATCH($A2718,'Live History'!$D$5:$D$3004,1)),INDEX('AH History'!$D$5:$GG$1380,$K2718,AH!$U$10+1))),NA()),NA())</f>
        <v/>
      </c>
      <c r="G2718" s="34">
        <f>IFERROR(IF(ISNUMBER($A2718),IF(AND(AH!$U$12=1,2713+1=AH!$U$6),IF(AH!$U$4=0,"unavailable",INDEX('Market Data'!$AK$5:$AK$66,AH!$U$4)),IF(AH!$U$5=1,INDEX('Live History'!$D$5:$D$3004,MATCH($A2718,'Live History'!$D$5:$D$3004,1)),INDEX('AH History'!$D$5:$GG$1380,$K2718,AH!$U$10+2))),NA()),NA())</f>
        <v/>
      </c>
      <c r="H2718" s="266">
        <f>IFERROR(IF(ISNUMBER($A2718),IF(AND(AH!$U$12=1,2713+1=AH!$U$6),IF(AH!$U$4=0,"unavailable",INDEX('Market Data'!$AP$5:$AP$66,AH!$U$4)),IF(AH!$U$5=1,INDEX('Live History'!$H$5:$H$3004,MATCH($A2718,'Live History'!$G$5:$G$3004,1)),INDEX('AH History'!$B$5:$B$1380,$K2718))),NA()),NA())</f>
        <v/>
      </c>
      <c r="I2718" s="34">
        <f>IFERROR(IF(ISNUMBER($A2718),IF(AND(AH!$U$12=1,2713+1=AH!$U$6),TODAY(),IF(AH!$U$5=1,INDEX('Live History'!$G$5:$G$3004,MATCH($A2718,'Live History'!$G$5:$G$3004,1)),INDEX('AH History'!$C$5:$C$1380,$K2718))),NA()),NA())</f>
        <v/>
      </c>
      <c r="J2718" s="32">
        <f>IFERROR(IF(AND($F2718&gt;0,$H2718&gt;0,$A2718-$G2718&lt;=10,$A2718-$I2718&lt;=5,$G2718&gt;0,$I2718&gt;0),$F2718*$H2718,NA()),NA())</f>
        <v/>
      </c>
      <c r="K2718" s="15">
        <f>IF($A2718="","",IF(AH!$U$5=1,IFERROR(MATCH($A2718,'Live History'!$A$5:$A$3004,0),0),AH!$U$7+2713))</f>
        <v/>
      </c>
      <c r="L2718" s="15">
        <f>IF(ISNUMBER(A2718),TEXT(A2718,"dd-mmm-yy"),"")</f>
        <v/>
      </c>
    </row>
    <row r="2719">
      <c r="A2719" s="14">
        <f>IF(OR(AH!$U$4=0,2714+1&gt;AH!$U$6,AND(AH!$M$5="Bloomberg",AH!$U$5=0)),"",IFERROR(IF(AND(AH!$U$12=1,2714+1=AH!$U$6),TODAY(),IF(AH!$U$5=1,INDEX('Live History'!$A$5:$A$3004,AH!$U$7+2714),INDEX('AH History'!$A$5:$A$1380,AH!$U$7+2714))),""))</f>
        <v/>
      </c>
      <c r="B2719" s="33">
        <f>IFERROR(IF(AH!$U$11=1,NA(),$J2719/$E2719-1),NA())</f>
        <v/>
      </c>
      <c r="C2719" s="269">
        <f>IFERROR(100*$E2719/$E$5,NA())</f>
        <v/>
      </c>
      <c r="D2719" s="269">
        <f>IFERROR(100*$J2719/$J$5,NA())</f>
        <v/>
      </c>
      <c r="E2719" s="32">
        <f>IFERROR(IF(AND(ISNUMBER($A2719),N(IF(AND(AH!$U$12=1,2714+1=AH!$U$6),IF(AH!$U$4=0,"unavailable",INDEX('Market Data'!$AN$5:$AN$66,AH!$U$4)),IF(AH!$U$5=1,INDEX('Live History'!$B$5:$B$3004,$K2719),INDEX('AH History'!$D$5:$GG$1380,$K2719,AH!$U$10))))&gt;0),IF(AND(AH!$U$12=1,2714+1=AH!$U$6),IF(AH!$U$4=0,"unavailable",INDEX('Market Data'!$AN$5:$AN$66,AH!$U$4)),IF(AH!$U$5=1,INDEX('Live History'!$B$5:$B$3004,$K2719),INDEX('AH History'!$D$5:$GG$1380,$K2719,AH!$U$10))),NA()),NA())</f>
        <v/>
      </c>
      <c r="F2719" s="32">
        <f>IFERROR(IF(ISNUMBER($A2719),IF(AND(AH!$U$12=1,2714+1=AH!$U$6),IF(AH!$U$4=0,"unavailable",INDEX('Market Data'!$AO$5:$AO$66,AH!$U$4)),IF(AH!$U$5=1,INDEX('Live History'!$E$5:$E$3004,MATCH($A2719,'Live History'!$D$5:$D$3004,1)),INDEX('AH History'!$D$5:$GG$1380,$K2719,AH!$U$10+1))),NA()),NA())</f>
        <v/>
      </c>
      <c r="G2719" s="34">
        <f>IFERROR(IF(ISNUMBER($A2719),IF(AND(AH!$U$12=1,2714+1=AH!$U$6),IF(AH!$U$4=0,"unavailable",INDEX('Market Data'!$AK$5:$AK$66,AH!$U$4)),IF(AH!$U$5=1,INDEX('Live History'!$D$5:$D$3004,MATCH($A2719,'Live History'!$D$5:$D$3004,1)),INDEX('AH History'!$D$5:$GG$1380,$K2719,AH!$U$10+2))),NA()),NA())</f>
        <v/>
      </c>
      <c r="H2719" s="266">
        <f>IFERROR(IF(ISNUMBER($A2719),IF(AND(AH!$U$12=1,2714+1=AH!$U$6),IF(AH!$U$4=0,"unavailable",INDEX('Market Data'!$AP$5:$AP$66,AH!$U$4)),IF(AH!$U$5=1,INDEX('Live History'!$H$5:$H$3004,MATCH($A2719,'Live History'!$G$5:$G$3004,1)),INDEX('AH History'!$B$5:$B$1380,$K2719))),NA()),NA())</f>
        <v/>
      </c>
      <c r="I2719" s="34">
        <f>IFERROR(IF(ISNUMBER($A2719),IF(AND(AH!$U$12=1,2714+1=AH!$U$6),TODAY(),IF(AH!$U$5=1,INDEX('Live History'!$G$5:$G$3004,MATCH($A2719,'Live History'!$G$5:$G$3004,1)),INDEX('AH History'!$C$5:$C$1380,$K2719))),NA()),NA())</f>
        <v/>
      </c>
      <c r="J2719" s="32">
        <f>IFERROR(IF(AND($F2719&gt;0,$H2719&gt;0,$A2719-$G2719&lt;=10,$A2719-$I2719&lt;=5,$G2719&gt;0,$I2719&gt;0),$F2719*$H2719,NA()),NA())</f>
        <v/>
      </c>
      <c r="K2719" s="15">
        <f>IF($A2719="","",IF(AH!$U$5=1,IFERROR(MATCH($A2719,'Live History'!$A$5:$A$3004,0),0),AH!$U$7+2714))</f>
        <v/>
      </c>
      <c r="L2719" s="15">
        <f>IF(ISNUMBER(A2719),TEXT(A2719,"dd-mmm-yy"),"")</f>
        <v/>
      </c>
    </row>
    <row r="2720">
      <c r="A2720" s="14">
        <f>IF(OR(AH!$U$4=0,2715+1&gt;AH!$U$6,AND(AH!$M$5="Bloomberg",AH!$U$5=0)),"",IFERROR(IF(AND(AH!$U$12=1,2715+1=AH!$U$6),TODAY(),IF(AH!$U$5=1,INDEX('Live History'!$A$5:$A$3004,AH!$U$7+2715),INDEX('AH History'!$A$5:$A$1380,AH!$U$7+2715))),""))</f>
        <v/>
      </c>
      <c r="B2720" s="33">
        <f>IFERROR(IF(AH!$U$11=1,NA(),$J2720/$E2720-1),NA())</f>
        <v/>
      </c>
      <c r="C2720" s="269">
        <f>IFERROR(100*$E2720/$E$5,NA())</f>
        <v/>
      </c>
      <c r="D2720" s="269">
        <f>IFERROR(100*$J2720/$J$5,NA())</f>
        <v/>
      </c>
      <c r="E2720" s="32">
        <f>IFERROR(IF(AND(ISNUMBER($A2720),N(IF(AND(AH!$U$12=1,2715+1=AH!$U$6),IF(AH!$U$4=0,"unavailable",INDEX('Market Data'!$AN$5:$AN$66,AH!$U$4)),IF(AH!$U$5=1,INDEX('Live History'!$B$5:$B$3004,$K2720),INDEX('AH History'!$D$5:$GG$1380,$K2720,AH!$U$10))))&gt;0),IF(AND(AH!$U$12=1,2715+1=AH!$U$6),IF(AH!$U$4=0,"unavailable",INDEX('Market Data'!$AN$5:$AN$66,AH!$U$4)),IF(AH!$U$5=1,INDEX('Live History'!$B$5:$B$3004,$K2720),INDEX('AH History'!$D$5:$GG$1380,$K2720,AH!$U$10))),NA()),NA())</f>
        <v/>
      </c>
      <c r="F2720" s="32">
        <f>IFERROR(IF(ISNUMBER($A2720),IF(AND(AH!$U$12=1,2715+1=AH!$U$6),IF(AH!$U$4=0,"unavailable",INDEX('Market Data'!$AO$5:$AO$66,AH!$U$4)),IF(AH!$U$5=1,INDEX('Live History'!$E$5:$E$3004,MATCH($A2720,'Live History'!$D$5:$D$3004,1)),INDEX('AH History'!$D$5:$GG$1380,$K2720,AH!$U$10+1))),NA()),NA())</f>
        <v/>
      </c>
      <c r="G2720" s="34">
        <f>IFERROR(IF(ISNUMBER($A2720),IF(AND(AH!$U$12=1,2715+1=AH!$U$6),IF(AH!$U$4=0,"unavailable",INDEX('Market Data'!$AK$5:$AK$66,AH!$U$4)),IF(AH!$U$5=1,INDEX('Live History'!$D$5:$D$3004,MATCH($A2720,'Live History'!$D$5:$D$3004,1)),INDEX('AH History'!$D$5:$GG$1380,$K2720,AH!$U$10+2))),NA()),NA())</f>
        <v/>
      </c>
      <c r="H2720" s="266">
        <f>IFERROR(IF(ISNUMBER($A2720),IF(AND(AH!$U$12=1,2715+1=AH!$U$6),IF(AH!$U$4=0,"unavailable",INDEX('Market Data'!$AP$5:$AP$66,AH!$U$4)),IF(AH!$U$5=1,INDEX('Live History'!$H$5:$H$3004,MATCH($A2720,'Live History'!$G$5:$G$3004,1)),INDEX('AH History'!$B$5:$B$1380,$K2720))),NA()),NA())</f>
        <v/>
      </c>
      <c r="I2720" s="34">
        <f>IFERROR(IF(ISNUMBER($A2720),IF(AND(AH!$U$12=1,2715+1=AH!$U$6),TODAY(),IF(AH!$U$5=1,INDEX('Live History'!$G$5:$G$3004,MATCH($A2720,'Live History'!$G$5:$G$3004,1)),INDEX('AH History'!$C$5:$C$1380,$K2720))),NA()),NA())</f>
        <v/>
      </c>
      <c r="J2720" s="32">
        <f>IFERROR(IF(AND($F2720&gt;0,$H2720&gt;0,$A2720-$G2720&lt;=10,$A2720-$I2720&lt;=5,$G2720&gt;0,$I2720&gt;0),$F2720*$H2720,NA()),NA())</f>
        <v/>
      </c>
      <c r="K2720" s="15">
        <f>IF($A2720="","",IF(AH!$U$5=1,IFERROR(MATCH($A2720,'Live History'!$A$5:$A$3004,0),0),AH!$U$7+2715))</f>
        <v/>
      </c>
      <c r="L2720" s="15">
        <f>IF(ISNUMBER(A2720),TEXT(A2720,"dd-mmm-yy"),"")</f>
        <v/>
      </c>
    </row>
    <row r="2721">
      <c r="A2721" s="14">
        <f>IF(OR(AH!$U$4=0,2716+1&gt;AH!$U$6,AND(AH!$M$5="Bloomberg",AH!$U$5=0)),"",IFERROR(IF(AND(AH!$U$12=1,2716+1=AH!$U$6),TODAY(),IF(AH!$U$5=1,INDEX('Live History'!$A$5:$A$3004,AH!$U$7+2716),INDEX('AH History'!$A$5:$A$1380,AH!$U$7+2716))),""))</f>
        <v/>
      </c>
      <c r="B2721" s="33">
        <f>IFERROR(IF(AH!$U$11=1,NA(),$J2721/$E2721-1),NA())</f>
        <v/>
      </c>
      <c r="C2721" s="269">
        <f>IFERROR(100*$E2721/$E$5,NA())</f>
        <v/>
      </c>
      <c r="D2721" s="269">
        <f>IFERROR(100*$J2721/$J$5,NA())</f>
        <v/>
      </c>
      <c r="E2721" s="32">
        <f>IFERROR(IF(AND(ISNUMBER($A2721),N(IF(AND(AH!$U$12=1,2716+1=AH!$U$6),IF(AH!$U$4=0,"unavailable",INDEX('Market Data'!$AN$5:$AN$66,AH!$U$4)),IF(AH!$U$5=1,INDEX('Live History'!$B$5:$B$3004,$K2721),INDEX('AH History'!$D$5:$GG$1380,$K2721,AH!$U$10))))&gt;0),IF(AND(AH!$U$12=1,2716+1=AH!$U$6),IF(AH!$U$4=0,"unavailable",INDEX('Market Data'!$AN$5:$AN$66,AH!$U$4)),IF(AH!$U$5=1,INDEX('Live History'!$B$5:$B$3004,$K2721),INDEX('AH History'!$D$5:$GG$1380,$K2721,AH!$U$10))),NA()),NA())</f>
        <v/>
      </c>
      <c r="F2721" s="32">
        <f>IFERROR(IF(ISNUMBER($A2721),IF(AND(AH!$U$12=1,2716+1=AH!$U$6),IF(AH!$U$4=0,"unavailable",INDEX('Market Data'!$AO$5:$AO$66,AH!$U$4)),IF(AH!$U$5=1,INDEX('Live History'!$E$5:$E$3004,MATCH($A2721,'Live History'!$D$5:$D$3004,1)),INDEX('AH History'!$D$5:$GG$1380,$K2721,AH!$U$10+1))),NA()),NA())</f>
        <v/>
      </c>
      <c r="G2721" s="34">
        <f>IFERROR(IF(ISNUMBER($A2721),IF(AND(AH!$U$12=1,2716+1=AH!$U$6),IF(AH!$U$4=0,"unavailable",INDEX('Market Data'!$AK$5:$AK$66,AH!$U$4)),IF(AH!$U$5=1,INDEX('Live History'!$D$5:$D$3004,MATCH($A2721,'Live History'!$D$5:$D$3004,1)),INDEX('AH History'!$D$5:$GG$1380,$K2721,AH!$U$10+2))),NA()),NA())</f>
        <v/>
      </c>
      <c r="H2721" s="266">
        <f>IFERROR(IF(ISNUMBER($A2721),IF(AND(AH!$U$12=1,2716+1=AH!$U$6),IF(AH!$U$4=0,"unavailable",INDEX('Market Data'!$AP$5:$AP$66,AH!$U$4)),IF(AH!$U$5=1,INDEX('Live History'!$H$5:$H$3004,MATCH($A2721,'Live History'!$G$5:$G$3004,1)),INDEX('AH History'!$B$5:$B$1380,$K2721))),NA()),NA())</f>
        <v/>
      </c>
      <c r="I2721" s="34">
        <f>IFERROR(IF(ISNUMBER($A2721),IF(AND(AH!$U$12=1,2716+1=AH!$U$6),TODAY(),IF(AH!$U$5=1,INDEX('Live History'!$G$5:$G$3004,MATCH($A2721,'Live History'!$G$5:$G$3004,1)),INDEX('AH History'!$C$5:$C$1380,$K2721))),NA()),NA())</f>
        <v/>
      </c>
      <c r="J2721" s="32">
        <f>IFERROR(IF(AND($F2721&gt;0,$H2721&gt;0,$A2721-$G2721&lt;=10,$A2721-$I2721&lt;=5,$G2721&gt;0,$I2721&gt;0),$F2721*$H2721,NA()),NA())</f>
        <v/>
      </c>
      <c r="K2721" s="15">
        <f>IF($A2721="","",IF(AH!$U$5=1,IFERROR(MATCH($A2721,'Live History'!$A$5:$A$3004,0),0),AH!$U$7+2716))</f>
        <v/>
      </c>
      <c r="L2721" s="15">
        <f>IF(ISNUMBER(A2721),TEXT(A2721,"dd-mmm-yy"),"")</f>
        <v/>
      </c>
    </row>
    <row r="2722">
      <c r="A2722" s="14">
        <f>IF(OR(AH!$U$4=0,2717+1&gt;AH!$U$6,AND(AH!$M$5="Bloomberg",AH!$U$5=0)),"",IFERROR(IF(AND(AH!$U$12=1,2717+1=AH!$U$6),TODAY(),IF(AH!$U$5=1,INDEX('Live History'!$A$5:$A$3004,AH!$U$7+2717),INDEX('AH History'!$A$5:$A$1380,AH!$U$7+2717))),""))</f>
        <v/>
      </c>
      <c r="B2722" s="33">
        <f>IFERROR(IF(AH!$U$11=1,NA(),$J2722/$E2722-1),NA())</f>
        <v/>
      </c>
      <c r="C2722" s="269">
        <f>IFERROR(100*$E2722/$E$5,NA())</f>
        <v/>
      </c>
      <c r="D2722" s="269">
        <f>IFERROR(100*$J2722/$J$5,NA())</f>
        <v/>
      </c>
      <c r="E2722" s="32">
        <f>IFERROR(IF(AND(ISNUMBER($A2722),N(IF(AND(AH!$U$12=1,2717+1=AH!$U$6),IF(AH!$U$4=0,"unavailable",INDEX('Market Data'!$AN$5:$AN$66,AH!$U$4)),IF(AH!$U$5=1,INDEX('Live History'!$B$5:$B$3004,$K2722),INDEX('AH History'!$D$5:$GG$1380,$K2722,AH!$U$10))))&gt;0),IF(AND(AH!$U$12=1,2717+1=AH!$U$6),IF(AH!$U$4=0,"unavailable",INDEX('Market Data'!$AN$5:$AN$66,AH!$U$4)),IF(AH!$U$5=1,INDEX('Live History'!$B$5:$B$3004,$K2722),INDEX('AH History'!$D$5:$GG$1380,$K2722,AH!$U$10))),NA()),NA())</f>
        <v/>
      </c>
      <c r="F2722" s="32">
        <f>IFERROR(IF(ISNUMBER($A2722),IF(AND(AH!$U$12=1,2717+1=AH!$U$6),IF(AH!$U$4=0,"unavailable",INDEX('Market Data'!$AO$5:$AO$66,AH!$U$4)),IF(AH!$U$5=1,INDEX('Live History'!$E$5:$E$3004,MATCH($A2722,'Live History'!$D$5:$D$3004,1)),INDEX('AH History'!$D$5:$GG$1380,$K2722,AH!$U$10+1))),NA()),NA())</f>
        <v/>
      </c>
      <c r="G2722" s="34">
        <f>IFERROR(IF(ISNUMBER($A2722),IF(AND(AH!$U$12=1,2717+1=AH!$U$6),IF(AH!$U$4=0,"unavailable",INDEX('Market Data'!$AK$5:$AK$66,AH!$U$4)),IF(AH!$U$5=1,INDEX('Live History'!$D$5:$D$3004,MATCH($A2722,'Live History'!$D$5:$D$3004,1)),INDEX('AH History'!$D$5:$GG$1380,$K2722,AH!$U$10+2))),NA()),NA())</f>
        <v/>
      </c>
      <c r="H2722" s="266">
        <f>IFERROR(IF(ISNUMBER($A2722),IF(AND(AH!$U$12=1,2717+1=AH!$U$6),IF(AH!$U$4=0,"unavailable",INDEX('Market Data'!$AP$5:$AP$66,AH!$U$4)),IF(AH!$U$5=1,INDEX('Live History'!$H$5:$H$3004,MATCH($A2722,'Live History'!$G$5:$G$3004,1)),INDEX('AH History'!$B$5:$B$1380,$K2722))),NA()),NA())</f>
        <v/>
      </c>
      <c r="I2722" s="34">
        <f>IFERROR(IF(ISNUMBER($A2722),IF(AND(AH!$U$12=1,2717+1=AH!$U$6),TODAY(),IF(AH!$U$5=1,INDEX('Live History'!$G$5:$G$3004,MATCH($A2722,'Live History'!$G$5:$G$3004,1)),INDEX('AH History'!$C$5:$C$1380,$K2722))),NA()),NA())</f>
        <v/>
      </c>
      <c r="J2722" s="32">
        <f>IFERROR(IF(AND($F2722&gt;0,$H2722&gt;0,$A2722-$G2722&lt;=10,$A2722-$I2722&lt;=5,$G2722&gt;0,$I2722&gt;0),$F2722*$H2722,NA()),NA())</f>
        <v/>
      </c>
      <c r="K2722" s="15">
        <f>IF($A2722="","",IF(AH!$U$5=1,IFERROR(MATCH($A2722,'Live History'!$A$5:$A$3004,0),0),AH!$U$7+2717))</f>
        <v/>
      </c>
      <c r="L2722" s="15">
        <f>IF(ISNUMBER(A2722),TEXT(A2722,"dd-mmm-yy"),"")</f>
        <v/>
      </c>
    </row>
    <row r="2723">
      <c r="A2723" s="14">
        <f>IF(OR(AH!$U$4=0,2718+1&gt;AH!$U$6,AND(AH!$M$5="Bloomberg",AH!$U$5=0)),"",IFERROR(IF(AND(AH!$U$12=1,2718+1=AH!$U$6),TODAY(),IF(AH!$U$5=1,INDEX('Live History'!$A$5:$A$3004,AH!$U$7+2718),INDEX('AH History'!$A$5:$A$1380,AH!$U$7+2718))),""))</f>
        <v/>
      </c>
      <c r="B2723" s="33">
        <f>IFERROR(IF(AH!$U$11=1,NA(),$J2723/$E2723-1),NA())</f>
        <v/>
      </c>
      <c r="C2723" s="269">
        <f>IFERROR(100*$E2723/$E$5,NA())</f>
        <v/>
      </c>
      <c r="D2723" s="269">
        <f>IFERROR(100*$J2723/$J$5,NA())</f>
        <v/>
      </c>
      <c r="E2723" s="32">
        <f>IFERROR(IF(AND(ISNUMBER($A2723),N(IF(AND(AH!$U$12=1,2718+1=AH!$U$6),IF(AH!$U$4=0,"unavailable",INDEX('Market Data'!$AN$5:$AN$66,AH!$U$4)),IF(AH!$U$5=1,INDEX('Live History'!$B$5:$B$3004,$K2723),INDEX('AH History'!$D$5:$GG$1380,$K2723,AH!$U$10))))&gt;0),IF(AND(AH!$U$12=1,2718+1=AH!$U$6),IF(AH!$U$4=0,"unavailable",INDEX('Market Data'!$AN$5:$AN$66,AH!$U$4)),IF(AH!$U$5=1,INDEX('Live History'!$B$5:$B$3004,$K2723),INDEX('AH History'!$D$5:$GG$1380,$K2723,AH!$U$10))),NA()),NA())</f>
        <v/>
      </c>
      <c r="F2723" s="32">
        <f>IFERROR(IF(ISNUMBER($A2723),IF(AND(AH!$U$12=1,2718+1=AH!$U$6),IF(AH!$U$4=0,"unavailable",INDEX('Market Data'!$AO$5:$AO$66,AH!$U$4)),IF(AH!$U$5=1,INDEX('Live History'!$E$5:$E$3004,MATCH($A2723,'Live History'!$D$5:$D$3004,1)),INDEX('AH History'!$D$5:$GG$1380,$K2723,AH!$U$10+1))),NA()),NA())</f>
        <v/>
      </c>
      <c r="G2723" s="34">
        <f>IFERROR(IF(ISNUMBER($A2723),IF(AND(AH!$U$12=1,2718+1=AH!$U$6),IF(AH!$U$4=0,"unavailable",INDEX('Market Data'!$AK$5:$AK$66,AH!$U$4)),IF(AH!$U$5=1,INDEX('Live History'!$D$5:$D$3004,MATCH($A2723,'Live History'!$D$5:$D$3004,1)),INDEX('AH History'!$D$5:$GG$1380,$K2723,AH!$U$10+2))),NA()),NA())</f>
        <v/>
      </c>
      <c r="H2723" s="266">
        <f>IFERROR(IF(ISNUMBER($A2723),IF(AND(AH!$U$12=1,2718+1=AH!$U$6),IF(AH!$U$4=0,"unavailable",INDEX('Market Data'!$AP$5:$AP$66,AH!$U$4)),IF(AH!$U$5=1,INDEX('Live History'!$H$5:$H$3004,MATCH($A2723,'Live History'!$G$5:$G$3004,1)),INDEX('AH History'!$B$5:$B$1380,$K2723))),NA()),NA())</f>
        <v/>
      </c>
      <c r="I2723" s="34">
        <f>IFERROR(IF(ISNUMBER($A2723),IF(AND(AH!$U$12=1,2718+1=AH!$U$6),TODAY(),IF(AH!$U$5=1,INDEX('Live History'!$G$5:$G$3004,MATCH($A2723,'Live History'!$G$5:$G$3004,1)),INDEX('AH History'!$C$5:$C$1380,$K2723))),NA()),NA())</f>
        <v/>
      </c>
      <c r="J2723" s="32">
        <f>IFERROR(IF(AND($F2723&gt;0,$H2723&gt;0,$A2723-$G2723&lt;=10,$A2723-$I2723&lt;=5,$G2723&gt;0,$I2723&gt;0),$F2723*$H2723,NA()),NA())</f>
        <v/>
      </c>
      <c r="K2723" s="15">
        <f>IF($A2723="","",IF(AH!$U$5=1,IFERROR(MATCH($A2723,'Live History'!$A$5:$A$3004,0),0),AH!$U$7+2718))</f>
        <v/>
      </c>
      <c r="L2723" s="15">
        <f>IF(ISNUMBER(A2723),TEXT(A2723,"dd-mmm-yy"),"")</f>
        <v/>
      </c>
    </row>
    <row r="2724">
      <c r="A2724" s="14">
        <f>IF(OR(AH!$U$4=0,2719+1&gt;AH!$U$6,AND(AH!$M$5="Bloomberg",AH!$U$5=0)),"",IFERROR(IF(AND(AH!$U$12=1,2719+1=AH!$U$6),TODAY(),IF(AH!$U$5=1,INDEX('Live History'!$A$5:$A$3004,AH!$U$7+2719),INDEX('AH History'!$A$5:$A$1380,AH!$U$7+2719))),""))</f>
        <v/>
      </c>
      <c r="B2724" s="33">
        <f>IFERROR(IF(AH!$U$11=1,NA(),$J2724/$E2724-1),NA())</f>
        <v/>
      </c>
      <c r="C2724" s="269">
        <f>IFERROR(100*$E2724/$E$5,NA())</f>
        <v/>
      </c>
      <c r="D2724" s="269">
        <f>IFERROR(100*$J2724/$J$5,NA())</f>
        <v/>
      </c>
      <c r="E2724" s="32">
        <f>IFERROR(IF(AND(ISNUMBER($A2724),N(IF(AND(AH!$U$12=1,2719+1=AH!$U$6),IF(AH!$U$4=0,"unavailable",INDEX('Market Data'!$AN$5:$AN$66,AH!$U$4)),IF(AH!$U$5=1,INDEX('Live History'!$B$5:$B$3004,$K2724),INDEX('AH History'!$D$5:$GG$1380,$K2724,AH!$U$10))))&gt;0),IF(AND(AH!$U$12=1,2719+1=AH!$U$6),IF(AH!$U$4=0,"unavailable",INDEX('Market Data'!$AN$5:$AN$66,AH!$U$4)),IF(AH!$U$5=1,INDEX('Live History'!$B$5:$B$3004,$K2724),INDEX('AH History'!$D$5:$GG$1380,$K2724,AH!$U$10))),NA()),NA())</f>
        <v/>
      </c>
      <c r="F2724" s="32">
        <f>IFERROR(IF(ISNUMBER($A2724),IF(AND(AH!$U$12=1,2719+1=AH!$U$6),IF(AH!$U$4=0,"unavailable",INDEX('Market Data'!$AO$5:$AO$66,AH!$U$4)),IF(AH!$U$5=1,INDEX('Live History'!$E$5:$E$3004,MATCH($A2724,'Live History'!$D$5:$D$3004,1)),INDEX('AH History'!$D$5:$GG$1380,$K2724,AH!$U$10+1))),NA()),NA())</f>
        <v/>
      </c>
      <c r="G2724" s="34">
        <f>IFERROR(IF(ISNUMBER($A2724),IF(AND(AH!$U$12=1,2719+1=AH!$U$6),IF(AH!$U$4=0,"unavailable",INDEX('Market Data'!$AK$5:$AK$66,AH!$U$4)),IF(AH!$U$5=1,INDEX('Live History'!$D$5:$D$3004,MATCH($A2724,'Live History'!$D$5:$D$3004,1)),INDEX('AH History'!$D$5:$GG$1380,$K2724,AH!$U$10+2))),NA()),NA())</f>
        <v/>
      </c>
      <c r="H2724" s="266">
        <f>IFERROR(IF(ISNUMBER($A2724),IF(AND(AH!$U$12=1,2719+1=AH!$U$6),IF(AH!$U$4=0,"unavailable",INDEX('Market Data'!$AP$5:$AP$66,AH!$U$4)),IF(AH!$U$5=1,INDEX('Live History'!$H$5:$H$3004,MATCH($A2724,'Live History'!$G$5:$G$3004,1)),INDEX('AH History'!$B$5:$B$1380,$K2724))),NA()),NA())</f>
        <v/>
      </c>
      <c r="I2724" s="34">
        <f>IFERROR(IF(ISNUMBER($A2724),IF(AND(AH!$U$12=1,2719+1=AH!$U$6),TODAY(),IF(AH!$U$5=1,INDEX('Live History'!$G$5:$G$3004,MATCH($A2724,'Live History'!$G$5:$G$3004,1)),INDEX('AH History'!$C$5:$C$1380,$K2724))),NA()),NA())</f>
        <v/>
      </c>
      <c r="J2724" s="32">
        <f>IFERROR(IF(AND($F2724&gt;0,$H2724&gt;0,$A2724-$G2724&lt;=10,$A2724-$I2724&lt;=5,$G2724&gt;0,$I2724&gt;0),$F2724*$H2724,NA()),NA())</f>
        <v/>
      </c>
      <c r="K2724" s="15">
        <f>IF($A2724="","",IF(AH!$U$5=1,IFERROR(MATCH($A2724,'Live History'!$A$5:$A$3004,0),0),AH!$U$7+2719))</f>
        <v/>
      </c>
      <c r="L2724" s="15">
        <f>IF(ISNUMBER(A2724),TEXT(A2724,"dd-mmm-yy"),"")</f>
        <v/>
      </c>
    </row>
    <row r="2725">
      <c r="A2725" s="14">
        <f>IF(OR(AH!$U$4=0,2720+1&gt;AH!$U$6,AND(AH!$M$5="Bloomberg",AH!$U$5=0)),"",IFERROR(IF(AND(AH!$U$12=1,2720+1=AH!$U$6),TODAY(),IF(AH!$U$5=1,INDEX('Live History'!$A$5:$A$3004,AH!$U$7+2720),INDEX('AH History'!$A$5:$A$1380,AH!$U$7+2720))),""))</f>
        <v/>
      </c>
      <c r="B2725" s="33">
        <f>IFERROR(IF(AH!$U$11=1,NA(),$J2725/$E2725-1),NA())</f>
        <v/>
      </c>
      <c r="C2725" s="269">
        <f>IFERROR(100*$E2725/$E$5,NA())</f>
        <v/>
      </c>
      <c r="D2725" s="269">
        <f>IFERROR(100*$J2725/$J$5,NA())</f>
        <v/>
      </c>
      <c r="E2725" s="32">
        <f>IFERROR(IF(AND(ISNUMBER($A2725),N(IF(AND(AH!$U$12=1,2720+1=AH!$U$6),IF(AH!$U$4=0,"unavailable",INDEX('Market Data'!$AN$5:$AN$66,AH!$U$4)),IF(AH!$U$5=1,INDEX('Live History'!$B$5:$B$3004,$K2725),INDEX('AH History'!$D$5:$GG$1380,$K2725,AH!$U$10))))&gt;0),IF(AND(AH!$U$12=1,2720+1=AH!$U$6),IF(AH!$U$4=0,"unavailable",INDEX('Market Data'!$AN$5:$AN$66,AH!$U$4)),IF(AH!$U$5=1,INDEX('Live History'!$B$5:$B$3004,$K2725),INDEX('AH History'!$D$5:$GG$1380,$K2725,AH!$U$10))),NA()),NA())</f>
        <v/>
      </c>
      <c r="F2725" s="32">
        <f>IFERROR(IF(ISNUMBER($A2725),IF(AND(AH!$U$12=1,2720+1=AH!$U$6),IF(AH!$U$4=0,"unavailable",INDEX('Market Data'!$AO$5:$AO$66,AH!$U$4)),IF(AH!$U$5=1,INDEX('Live History'!$E$5:$E$3004,MATCH($A2725,'Live History'!$D$5:$D$3004,1)),INDEX('AH History'!$D$5:$GG$1380,$K2725,AH!$U$10+1))),NA()),NA())</f>
        <v/>
      </c>
      <c r="G2725" s="34">
        <f>IFERROR(IF(ISNUMBER($A2725),IF(AND(AH!$U$12=1,2720+1=AH!$U$6),IF(AH!$U$4=0,"unavailable",INDEX('Market Data'!$AK$5:$AK$66,AH!$U$4)),IF(AH!$U$5=1,INDEX('Live History'!$D$5:$D$3004,MATCH($A2725,'Live History'!$D$5:$D$3004,1)),INDEX('AH History'!$D$5:$GG$1380,$K2725,AH!$U$10+2))),NA()),NA())</f>
        <v/>
      </c>
      <c r="H2725" s="266">
        <f>IFERROR(IF(ISNUMBER($A2725),IF(AND(AH!$U$12=1,2720+1=AH!$U$6),IF(AH!$U$4=0,"unavailable",INDEX('Market Data'!$AP$5:$AP$66,AH!$U$4)),IF(AH!$U$5=1,INDEX('Live History'!$H$5:$H$3004,MATCH($A2725,'Live History'!$G$5:$G$3004,1)),INDEX('AH History'!$B$5:$B$1380,$K2725))),NA()),NA())</f>
        <v/>
      </c>
      <c r="I2725" s="34">
        <f>IFERROR(IF(ISNUMBER($A2725),IF(AND(AH!$U$12=1,2720+1=AH!$U$6),TODAY(),IF(AH!$U$5=1,INDEX('Live History'!$G$5:$G$3004,MATCH($A2725,'Live History'!$G$5:$G$3004,1)),INDEX('AH History'!$C$5:$C$1380,$K2725))),NA()),NA())</f>
        <v/>
      </c>
      <c r="J2725" s="32">
        <f>IFERROR(IF(AND($F2725&gt;0,$H2725&gt;0,$A2725-$G2725&lt;=10,$A2725-$I2725&lt;=5,$G2725&gt;0,$I2725&gt;0),$F2725*$H2725,NA()),NA())</f>
        <v/>
      </c>
      <c r="K2725" s="15">
        <f>IF($A2725="","",IF(AH!$U$5=1,IFERROR(MATCH($A2725,'Live History'!$A$5:$A$3004,0),0),AH!$U$7+2720))</f>
        <v/>
      </c>
      <c r="L2725" s="15">
        <f>IF(ISNUMBER(A2725),TEXT(A2725,"dd-mmm-yy"),"")</f>
        <v/>
      </c>
    </row>
    <row r="2726">
      <c r="A2726" s="14">
        <f>IF(OR(AH!$U$4=0,2721+1&gt;AH!$U$6,AND(AH!$M$5="Bloomberg",AH!$U$5=0)),"",IFERROR(IF(AND(AH!$U$12=1,2721+1=AH!$U$6),TODAY(),IF(AH!$U$5=1,INDEX('Live History'!$A$5:$A$3004,AH!$U$7+2721),INDEX('AH History'!$A$5:$A$1380,AH!$U$7+2721))),""))</f>
        <v/>
      </c>
      <c r="B2726" s="33">
        <f>IFERROR(IF(AH!$U$11=1,NA(),$J2726/$E2726-1),NA())</f>
        <v/>
      </c>
      <c r="C2726" s="269">
        <f>IFERROR(100*$E2726/$E$5,NA())</f>
        <v/>
      </c>
      <c r="D2726" s="269">
        <f>IFERROR(100*$J2726/$J$5,NA())</f>
        <v/>
      </c>
      <c r="E2726" s="32">
        <f>IFERROR(IF(AND(ISNUMBER($A2726),N(IF(AND(AH!$U$12=1,2721+1=AH!$U$6),IF(AH!$U$4=0,"unavailable",INDEX('Market Data'!$AN$5:$AN$66,AH!$U$4)),IF(AH!$U$5=1,INDEX('Live History'!$B$5:$B$3004,$K2726),INDEX('AH History'!$D$5:$GG$1380,$K2726,AH!$U$10))))&gt;0),IF(AND(AH!$U$12=1,2721+1=AH!$U$6),IF(AH!$U$4=0,"unavailable",INDEX('Market Data'!$AN$5:$AN$66,AH!$U$4)),IF(AH!$U$5=1,INDEX('Live History'!$B$5:$B$3004,$K2726),INDEX('AH History'!$D$5:$GG$1380,$K2726,AH!$U$10))),NA()),NA())</f>
        <v/>
      </c>
      <c r="F2726" s="32">
        <f>IFERROR(IF(ISNUMBER($A2726),IF(AND(AH!$U$12=1,2721+1=AH!$U$6),IF(AH!$U$4=0,"unavailable",INDEX('Market Data'!$AO$5:$AO$66,AH!$U$4)),IF(AH!$U$5=1,INDEX('Live History'!$E$5:$E$3004,MATCH($A2726,'Live History'!$D$5:$D$3004,1)),INDEX('AH History'!$D$5:$GG$1380,$K2726,AH!$U$10+1))),NA()),NA())</f>
        <v/>
      </c>
      <c r="G2726" s="34">
        <f>IFERROR(IF(ISNUMBER($A2726),IF(AND(AH!$U$12=1,2721+1=AH!$U$6),IF(AH!$U$4=0,"unavailable",INDEX('Market Data'!$AK$5:$AK$66,AH!$U$4)),IF(AH!$U$5=1,INDEX('Live History'!$D$5:$D$3004,MATCH($A2726,'Live History'!$D$5:$D$3004,1)),INDEX('AH History'!$D$5:$GG$1380,$K2726,AH!$U$10+2))),NA()),NA())</f>
        <v/>
      </c>
      <c r="H2726" s="266">
        <f>IFERROR(IF(ISNUMBER($A2726),IF(AND(AH!$U$12=1,2721+1=AH!$U$6),IF(AH!$U$4=0,"unavailable",INDEX('Market Data'!$AP$5:$AP$66,AH!$U$4)),IF(AH!$U$5=1,INDEX('Live History'!$H$5:$H$3004,MATCH($A2726,'Live History'!$G$5:$G$3004,1)),INDEX('AH History'!$B$5:$B$1380,$K2726))),NA()),NA())</f>
        <v/>
      </c>
      <c r="I2726" s="34">
        <f>IFERROR(IF(ISNUMBER($A2726),IF(AND(AH!$U$12=1,2721+1=AH!$U$6),TODAY(),IF(AH!$U$5=1,INDEX('Live History'!$G$5:$G$3004,MATCH($A2726,'Live History'!$G$5:$G$3004,1)),INDEX('AH History'!$C$5:$C$1380,$K2726))),NA()),NA())</f>
        <v/>
      </c>
      <c r="J2726" s="32">
        <f>IFERROR(IF(AND($F2726&gt;0,$H2726&gt;0,$A2726-$G2726&lt;=10,$A2726-$I2726&lt;=5,$G2726&gt;0,$I2726&gt;0),$F2726*$H2726,NA()),NA())</f>
        <v/>
      </c>
      <c r="K2726" s="15">
        <f>IF($A2726="","",IF(AH!$U$5=1,IFERROR(MATCH($A2726,'Live History'!$A$5:$A$3004,0),0),AH!$U$7+2721))</f>
        <v/>
      </c>
      <c r="L2726" s="15">
        <f>IF(ISNUMBER(A2726),TEXT(A2726,"dd-mmm-yy"),"")</f>
        <v/>
      </c>
    </row>
    <row r="2727">
      <c r="A2727" s="14">
        <f>IF(OR(AH!$U$4=0,2722+1&gt;AH!$U$6,AND(AH!$M$5="Bloomberg",AH!$U$5=0)),"",IFERROR(IF(AND(AH!$U$12=1,2722+1=AH!$U$6),TODAY(),IF(AH!$U$5=1,INDEX('Live History'!$A$5:$A$3004,AH!$U$7+2722),INDEX('AH History'!$A$5:$A$1380,AH!$U$7+2722))),""))</f>
        <v/>
      </c>
      <c r="B2727" s="33">
        <f>IFERROR(IF(AH!$U$11=1,NA(),$J2727/$E2727-1),NA())</f>
        <v/>
      </c>
      <c r="C2727" s="269">
        <f>IFERROR(100*$E2727/$E$5,NA())</f>
        <v/>
      </c>
      <c r="D2727" s="269">
        <f>IFERROR(100*$J2727/$J$5,NA())</f>
        <v/>
      </c>
      <c r="E2727" s="32">
        <f>IFERROR(IF(AND(ISNUMBER($A2727),N(IF(AND(AH!$U$12=1,2722+1=AH!$U$6),IF(AH!$U$4=0,"unavailable",INDEX('Market Data'!$AN$5:$AN$66,AH!$U$4)),IF(AH!$U$5=1,INDEX('Live History'!$B$5:$B$3004,$K2727),INDEX('AH History'!$D$5:$GG$1380,$K2727,AH!$U$10))))&gt;0),IF(AND(AH!$U$12=1,2722+1=AH!$U$6),IF(AH!$U$4=0,"unavailable",INDEX('Market Data'!$AN$5:$AN$66,AH!$U$4)),IF(AH!$U$5=1,INDEX('Live History'!$B$5:$B$3004,$K2727),INDEX('AH History'!$D$5:$GG$1380,$K2727,AH!$U$10))),NA()),NA())</f>
        <v/>
      </c>
      <c r="F2727" s="32">
        <f>IFERROR(IF(ISNUMBER($A2727),IF(AND(AH!$U$12=1,2722+1=AH!$U$6),IF(AH!$U$4=0,"unavailable",INDEX('Market Data'!$AO$5:$AO$66,AH!$U$4)),IF(AH!$U$5=1,INDEX('Live History'!$E$5:$E$3004,MATCH($A2727,'Live History'!$D$5:$D$3004,1)),INDEX('AH History'!$D$5:$GG$1380,$K2727,AH!$U$10+1))),NA()),NA())</f>
        <v/>
      </c>
      <c r="G2727" s="34">
        <f>IFERROR(IF(ISNUMBER($A2727),IF(AND(AH!$U$12=1,2722+1=AH!$U$6),IF(AH!$U$4=0,"unavailable",INDEX('Market Data'!$AK$5:$AK$66,AH!$U$4)),IF(AH!$U$5=1,INDEX('Live History'!$D$5:$D$3004,MATCH($A2727,'Live History'!$D$5:$D$3004,1)),INDEX('AH History'!$D$5:$GG$1380,$K2727,AH!$U$10+2))),NA()),NA())</f>
        <v/>
      </c>
      <c r="H2727" s="266">
        <f>IFERROR(IF(ISNUMBER($A2727),IF(AND(AH!$U$12=1,2722+1=AH!$U$6),IF(AH!$U$4=0,"unavailable",INDEX('Market Data'!$AP$5:$AP$66,AH!$U$4)),IF(AH!$U$5=1,INDEX('Live History'!$H$5:$H$3004,MATCH($A2727,'Live History'!$G$5:$G$3004,1)),INDEX('AH History'!$B$5:$B$1380,$K2727))),NA()),NA())</f>
        <v/>
      </c>
      <c r="I2727" s="34">
        <f>IFERROR(IF(ISNUMBER($A2727),IF(AND(AH!$U$12=1,2722+1=AH!$U$6),TODAY(),IF(AH!$U$5=1,INDEX('Live History'!$G$5:$G$3004,MATCH($A2727,'Live History'!$G$5:$G$3004,1)),INDEX('AH History'!$C$5:$C$1380,$K2727))),NA()),NA())</f>
        <v/>
      </c>
      <c r="J2727" s="32">
        <f>IFERROR(IF(AND($F2727&gt;0,$H2727&gt;0,$A2727-$G2727&lt;=10,$A2727-$I2727&lt;=5,$G2727&gt;0,$I2727&gt;0),$F2727*$H2727,NA()),NA())</f>
        <v/>
      </c>
      <c r="K2727" s="15">
        <f>IF($A2727="","",IF(AH!$U$5=1,IFERROR(MATCH($A2727,'Live History'!$A$5:$A$3004,0),0),AH!$U$7+2722))</f>
        <v/>
      </c>
      <c r="L2727" s="15">
        <f>IF(ISNUMBER(A2727),TEXT(A2727,"dd-mmm-yy"),"")</f>
        <v/>
      </c>
    </row>
    <row r="2728">
      <c r="A2728" s="14">
        <f>IF(OR(AH!$U$4=0,2723+1&gt;AH!$U$6,AND(AH!$M$5="Bloomberg",AH!$U$5=0)),"",IFERROR(IF(AND(AH!$U$12=1,2723+1=AH!$U$6),TODAY(),IF(AH!$U$5=1,INDEX('Live History'!$A$5:$A$3004,AH!$U$7+2723),INDEX('AH History'!$A$5:$A$1380,AH!$U$7+2723))),""))</f>
        <v/>
      </c>
      <c r="B2728" s="33">
        <f>IFERROR(IF(AH!$U$11=1,NA(),$J2728/$E2728-1),NA())</f>
        <v/>
      </c>
      <c r="C2728" s="269">
        <f>IFERROR(100*$E2728/$E$5,NA())</f>
        <v/>
      </c>
      <c r="D2728" s="269">
        <f>IFERROR(100*$J2728/$J$5,NA())</f>
        <v/>
      </c>
      <c r="E2728" s="32">
        <f>IFERROR(IF(AND(ISNUMBER($A2728),N(IF(AND(AH!$U$12=1,2723+1=AH!$U$6),IF(AH!$U$4=0,"unavailable",INDEX('Market Data'!$AN$5:$AN$66,AH!$U$4)),IF(AH!$U$5=1,INDEX('Live History'!$B$5:$B$3004,$K2728),INDEX('AH History'!$D$5:$GG$1380,$K2728,AH!$U$10))))&gt;0),IF(AND(AH!$U$12=1,2723+1=AH!$U$6),IF(AH!$U$4=0,"unavailable",INDEX('Market Data'!$AN$5:$AN$66,AH!$U$4)),IF(AH!$U$5=1,INDEX('Live History'!$B$5:$B$3004,$K2728),INDEX('AH History'!$D$5:$GG$1380,$K2728,AH!$U$10))),NA()),NA())</f>
        <v/>
      </c>
      <c r="F2728" s="32">
        <f>IFERROR(IF(ISNUMBER($A2728),IF(AND(AH!$U$12=1,2723+1=AH!$U$6),IF(AH!$U$4=0,"unavailable",INDEX('Market Data'!$AO$5:$AO$66,AH!$U$4)),IF(AH!$U$5=1,INDEX('Live History'!$E$5:$E$3004,MATCH($A2728,'Live History'!$D$5:$D$3004,1)),INDEX('AH History'!$D$5:$GG$1380,$K2728,AH!$U$10+1))),NA()),NA())</f>
        <v/>
      </c>
      <c r="G2728" s="34">
        <f>IFERROR(IF(ISNUMBER($A2728),IF(AND(AH!$U$12=1,2723+1=AH!$U$6),IF(AH!$U$4=0,"unavailable",INDEX('Market Data'!$AK$5:$AK$66,AH!$U$4)),IF(AH!$U$5=1,INDEX('Live History'!$D$5:$D$3004,MATCH($A2728,'Live History'!$D$5:$D$3004,1)),INDEX('AH History'!$D$5:$GG$1380,$K2728,AH!$U$10+2))),NA()),NA())</f>
        <v/>
      </c>
      <c r="H2728" s="266">
        <f>IFERROR(IF(ISNUMBER($A2728),IF(AND(AH!$U$12=1,2723+1=AH!$U$6),IF(AH!$U$4=0,"unavailable",INDEX('Market Data'!$AP$5:$AP$66,AH!$U$4)),IF(AH!$U$5=1,INDEX('Live History'!$H$5:$H$3004,MATCH($A2728,'Live History'!$G$5:$G$3004,1)),INDEX('AH History'!$B$5:$B$1380,$K2728))),NA()),NA())</f>
        <v/>
      </c>
      <c r="I2728" s="34">
        <f>IFERROR(IF(ISNUMBER($A2728),IF(AND(AH!$U$12=1,2723+1=AH!$U$6),TODAY(),IF(AH!$U$5=1,INDEX('Live History'!$G$5:$G$3004,MATCH($A2728,'Live History'!$G$5:$G$3004,1)),INDEX('AH History'!$C$5:$C$1380,$K2728))),NA()),NA())</f>
        <v/>
      </c>
      <c r="J2728" s="32">
        <f>IFERROR(IF(AND($F2728&gt;0,$H2728&gt;0,$A2728-$G2728&lt;=10,$A2728-$I2728&lt;=5,$G2728&gt;0,$I2728&gt;0),$F2728*$H2728,NA()),NA())</f>
        <v/>
      </c>
      <c r="K2728" s="15">
        <f>IF($A2728="","",IF(AH!$U$5=1,IFERROR(MATCH($A2728,'Live History'!$A$5:$A$3004,0),0),AH!$U$7+2723))</f>
        <v/>
      </c>
      <c r="L2728" s="15">
        <f>IF(ISNUMBER(A2728),TEXT(A2728,"dd-mmm-yy"),"")</f>
        <v/>
      </c>
    </row>
    <row r="2729">
      <c r="A2729" s="14">
        <f>IF(OR(AH!$U$4=0,2724+1&gt;AH!$U$6,AND(AH!$M$5="Bloomberg",AH!$U$5=0)),"",IFERROR(IF(AND(AH!$U$12=1,2724+1=AH!$U$6),TODAY(),IF(AH!$U$5=1,INDEX('Live History'!$A$5:$A$3004,AH!$U$7+2724),INDEX('AH History'!$A$5:$A$1380,AH!$U$7+2724))),""))</f>
        <v/>
      </c>
      <c r="B2729" s="33">
        <f>IFERROR(IF(AH!$U$11=1,NA(),$J2729/$E2729-1),NA())</f>
        <v/>
      </c>
      <c r="C2729" s="269">
        <f>IFERROR(100*$E2729/$E$5,NA())</f>
        <v/>
      </c>
      <c r="D2729" s="269">
        <f>IFERROR(100*$J2729/$J$5,NA())</f>
        <v/>
      </c>
      <c r="E2729" s="32">
        <f>IFERROR(IF(AND(ISNUMBER($A2729),N(IF(AND(AH!$U$12=1,2724+1=AH!$U$6),IF(AH!$U$4=0,"unavailable",INDEX('Market Data'!$AN$5:$AN$66,AH!$U$4)),IF(AH!$U$5=1,INDEX('Live History'!$B$5:$B$3004,$K2729),INDEX('AH History'!$D$5:$GG$1380,$K2729,AH!$U$10))))&gt;0),IF(AND(AH!$U$12=1,2724+1=AH!$U$6),IF(AH!$U$4=0,"unavailable",INDEX('Market Data'!$AN$5:$AN$66,AH!$U$4)),IF(AH!$U$5=1,INDEX('Live History'!$B$5:$B$3004,$K2729),INDEX('AH History'!$D$5:$GG$1380,$K2729,AH!$U$10))),NA()),NA())</f>
        <v/>
      </c>
      <c r="F2729" s="32">
        <f>IFERROR(IF(ISNUMBER($A2729),IF(AND(AH!$U$12=1,2724+1=AH!$U$6),IF(AH!$U$4=0,"unavailable",INDEX('Market Data'!$AO$5:$AO$66,AH!$U$4)),IF(AH!$U$5=1,INDEX('Live History'!$E$5:$E$3004,MATCH($A2729,'Live History'!$D$5:$D$3004,1)),INDEX('AH History'!$D$5:$GG$1380,$K2729,AH!$U$10+1))),NA()),NA())</f>
        <v/>
      </c>
      <c r="G2729" s="34">
        <f>IFERROR(IF(ISNUMBER($A2729),IF(AND(AH!$U$12=1,2724+1=AH!$U$6),IF(AH!$U$4=0,"unavailable",INDEX('Market Data'!$AK$5:$AK$66,AH!$U$4)),IF(AH!$U$5=1,INDEX('Live History'!$D$5:$D$3004,MATCH($A2729,'Live History'!$D$5:$D$3004,1)),INDEX('AH History'!$D$5:$GG$1380,$K2729,AH!$U$10+2))),NA()),NA())</f>
        <v/>
      </c>
      <c r="H2729" s="266">
        <f>IFERROR(IF(ISNUMBER($A2729),IF(AND(AH!$U$12=1,2724+1=AH!$U$6),IF(AH!$U$4=0,"unavailable",INDEX('Market Data'!$AP$5:$AP$66,AH!$U$4)),IF(AH!$U$5=1,INDEX('Live History'!$H$5:$H$3004,MATCH($A2729,'Live History'!$G$5:$G$3004,1)),INDEX('AH History'!$B$5:$B$1380,$K2729))),NA()),NA())</f>
        <v/>
      </c>
      <c r="I2729" s="34">
        <f>IFERROR(IF(ISNUMBER($A2729),IF(AND(AH!$U$12=1,2724+1=AH!$U$6),TODAY(),IF(AH!$U$5=1,INDEX('Live History'!$G$5:$G$3004,MATCH($A2729,'Live History'!$G$5:$G$3004,1)),INDEX('AH History'!$C$5:$C$1380,$K2729))),NA()),NA())</f>
        <v/>
      </c>
      <c r="J2729" s="32">
        <f>IFERROR(IF(AND($F2729&gt;0,$H2729&gt;0,$A2729-$G2729&lt;=10,$A2729-$I2729&lt;=5,$G2729&gt;0,$I2729&gt;0),$F2729*$H2729,NA()),NA())</f>
        <v/>
      </c>
      <c r="K2729" s="15">
        <f>IF($A2729="","",IF(AH!$U$5=1,IFERROR(MATCH($A2729,'Live History'!$A$5:$A$3004,0),0),AH!$U$7+2724))</f>
        <v/>
      </c>
      <c r="L2729" s="15">
        <f>IF(ISNUMBER(A2729),TEXT(A2729,"dd-mmm-yy"),"")</f>
        <v/>
      </c>
    </row>
    <row r="2730">
      <c r="A2730" s="14">
        <f>IF(OR(AH!$U$4=0,2725+1&gt;AH!$U$6,AND(AH!$M$5="Bloomberg",AH!$U$5=0)),"",IFERROR(IF(AND(AH!$U$12=1,2725+1=AH!$U$6),TODAY(),IF(AH!$U$5=1,INDEX('Live History'!$A$5:$A$3004,AH!$U$7+2725),INDEX('AH History'!$A$5:$A$1380,AH!$U$7+2725))),""))</f>
        <v/>
      </c>
      <c r="B2730" s="33">
        <f>IFERROR(IF(AH!$U$11=1,NA(),$J2730/$E2730-1),NA())</f>
        <v/>
      </c>
      <c r="C2730" s="269">
        <f>IFERROR(100*$E2730/$E$5,NA())</f>
        <v/>
      </c>
      <c r="D2730" s="269">
        <f>IFERROR(100*$J2730/$J$5,NA())</f>
        <v/>
      </c>
      <c r="E2730" s="32">
        <f>IFERROR(IF(AND(ISNUMBER($A2730),N(IF(AND(AH!$U$12=1,2725+1=AH!$U$6),IF(AH!$U$4=0,"unavailable",INDEX('Market Data'!$AN$5:$AN$66,AH!$U$4)),IF(AH!$U$5=1,INDEX('Live History'!$B$5:$B$3004,$K2730),INDEX('AH History'!$D$5:$GG$1380,$K2730,AH!$U$10))))&gt;0),IF(AND(AH!$U$12=1,2725+1=AH!$U$6),IF(AH!$U$4=0,"unavailable",INDEX('Market Data'!$AN$5:$AN$66,AH!$U$4)),IF(AH!$U$5=1,INDEX('Live History'!$B$5:$B$3004,$K2730),INDEX('AH History'!$D$5:$GG$1380,$K2730,AH!$U$10))),NA()),NA())</f>
        <v/>
      </c>
      <c r="F2730" s="32">
        <f>IFERROR(IF(ISNUMBER($A2730),IF(AND(AH!$U$12=1,2725+1=AH!$U$6),IF(AH!$U$4=0,"unavailable",INDEX('Market Data'!$AO$5:$AO$66,AH!$U$4)),IF(AH!$U$5=1,INDEX('Live History'!$E$5:$E$3004,MATCH($A2730,'Live History'!$D$5:$D$3004,1)),INDEX('AH History'!$D$5:$GG$1380,$K2730,AH!$U$10+1))),NA()),NA())</f>
        <v/>
      </c>
      <c r="G2730" s="34">
        <f>IFERROR(IF(ISNUMBER($A2730),IF(AND(AH!$U$12=1,2725+1=AH!$U$6),IF(AH!$U$4=0,"unavailable",INDEX('Market Data'!$AK$5:$AK$66,AH!$U$4)),IF(AH!$U$5=1,INDEX('Live History'!$D$5:$D$3004,MATCH($A2730,'Live History'!$D$5:$D$3004,1)),INDEX('AH History'!$D$5:$GG$1380,$K2730,AH!$U$10+2))),NA()),NA())</f>
        <v/>
      </c>
      <c r="H2730" s="266">
        <f>IFERROR(IF(ISNUMBER($A2730),IF(AND(AH!$U$12=1,2725+1=AH!$U$6),IF(AH!$U$4=0,"unavailable",INDEX('Market Data'!$AP$5:$AP$66,AH!$U$4)),IF(AH!$U$5=1,INDEX('Live History'!$H$5:$H$3004,MATCH($A2730,'Live History'!$G$5:$G$3004,1)),INDEX('AH History'!$B$5:$B$1380,$K2730))),NA()),NA())</f>
        <v/>
      </c>
      <c r="I2730" s="34">
        <f>IFERROR(IF(ISNUMBER($A2730),IF(AND(AH!$U$12=1,2725+1=AH!$U$6),TODAY(),IF(AH!$U$5=1,INDEX('Live History'!$G$5:$G$3004,MATCH($A2730,'Live History'!$G$5:$G$3004,1)),INDEX('AH History'!$C$5:$C$1380,$K2730))),NA()),NA())</f>
        <v/>
      </c>
      <c r="J2730" s="32">
        <f>IFERROR(IF(AND($F2730&gt;0,$H2730&gt;0,$A2730-$G2730&lt;=10,$A2730-$I2730&lt;=5,$G2730&gt;0,$I2730&gt;0),$F2730*$H2730,NA()),NA())</f>
        <v/>
      </c>
      <c r="K2730" s="15">
        <f>IF($A2730="","",IF(AH!$U$5=1,IFERROR(MATCH($A2730,'Live History'!$A$5:$A$3004,0),0),AH!$U$7+2725))</f>
        <v/>
      </c>
      <c r="L2730" s="15">
        <f>IF(ISNUMBER(A2730),TEXT(A2730,"dd-mmm-yy"),"")</f>
        <v/>
      </c>
    </row>
    <row r="2731">
      <c r="A2731" s="14">
        <f>IF(OR(AH!$U$4=0,2726+1&gt;AH!$U$6,AND(AH!$M$5="Bloomberg",AH!$U$5=0)),"",IFERROR(IF(AND(AH!$U$12=1,2726+1=AH!$U$6),TODAY(),IF(AH!$U$5=1,INDEX('Live History'!$A$5:$A$3004,AH!$U$7+2726),INDEX('AH History'!$A$5:$A$1380,AH!$U$7+2726))),""))</f>
        <v/>
      </c>
      <c r="B2731" s="33">
        <f>IFERROR(IF(AH!$U$11=1,NA(),$J2731/$E2731-1),NA())</f>
        <v/>
      </c>
      <c r="C2731" s="269">
        <f>IFERROR(100*$E2731/$E$5,NA())</f>
        <v/>
      </c>
      <c r="D2731" s="269">
        <f>IFERROR(100*$J2731/$J$5,NA())</f>
        <v/>
      </c>
      <c r="E2731" s="32">
        <f>IFERROR(IF(AND(ISNUMBER($A2731),N(IF(AND(AH!$U$12=1,2726+1=AH!$U$6),IF(AH!$U$4=0,"unavailable",INDEX('Market Data'!$AN$5:$AN$66,AH!$U$4)),IF(AH!$U$5=1,INDEX('Live History'!$B$5:$B$3004,$K2731),INDEX('AH History'!$D$5:$GG$1380,$K2731,AH!$U$10))))&gt;0),IF(AND(AH!$U$12=1,2726+1=AH!$U$6),IF(AH!$U$4=0,"unavailable",INDEX('Market Data'!$AN$5:$AN$66,AH!$U$4)),IF(AH!$U$5=1,INDEX('Live History'!$B$5:$B$3004,$K2731),INDEX('AH History'!$D$5:$GG$1380,$K2731,AH!$U$10))),NA()),NA())</f>
        <v/>
      </c>
      <c r="F2731" s="32">
        <f>IFERROR(IF(ISNUMBER($A2731),IF(AND(AH!$U$12=1,2726+1=AH!$U$6),IF(AH!$U$4=0,"unavailable",INDEX('Market Data'!$AO$5:$AO$66,AH!$U$4)),IF(AH!$U$5=1,INDEX('Live History'!$E$5:$E$3004,MATCH($A2731,'Live History'!$D$5:$D$3004,1)),INDEX('AH History'!$D$5:$GG$1380,$K2731,AH!$U$10+1))),NA()),NA())</f>
        <v/>
      </c>
      <c r="G2731" s="34">
        <f>IFERROR(IF(ISNUMBER($A2731),IF(AND(AH!$U$12=1,2726+1=AH!$U$6),IF(AH!$U$4=0,"unavailable",INDEX('Market Data'!$AK$5:$AK$66,AH!$U$4)),IF(AH!$U$5=1,INDEX('Live History'!$D$5:$D$3004,MATCH($A2731,'Live History'!$D$5:$D$3004,1)),INDEX('AH History'!$D$5:$GG$1380,$K2731,AH!$U$10+2))),NA()),NA())</f>
        <v/>
      </c>
      <c r="H2731" s="266">
        <f>IFERROR(IF(ISNUMBER($A2731),IF(AND(AH!$U$12=1,2726+1=AH!$U$6),IF(AH!$U$4=0,"unavailable",INDEX('Market Data'!$AP$5:$AP$66,AH!$U$4)),IF(AH!$U$5=1,INDEX('Live History'!$H$5:$H$3004,MATCH($A2731,'Live History'!$G$5:$G$3004,1)),INDEX('AH History'!$B$5:$B$1380,$K2731))),NA()),NA())</f>
        <v/>
      </c>
      <c r="I2731" s="34">
        <f>IFERROR(IF(ISNUMBER($A2731),IF(AND(AH!$U$12=1,2726+1=AH!$U$6),TODAY(),IF(AH!$U$5=1,INDEX('Live History'!$G$5:$G$3004,MATCH($A2731,'Live History'!$G$5:$G$3004,1)),INDEX('AH History'!$C$5:$C$1380,$K2731))),NA()),NA())</f>
        <v/>
      </c>
      <c r="J2731" s="32">
        <f>IFERROR(IF(AND($F2731&gt;0,$H2731&gt;0,$A2731-$G2731&lt;=10,$A2731-$I2731&lt;=5,$G2731&gt;0,$I2731&gt;0),$F2731*$H2731,NA()),NA())</f>
        <v/>
      </c>
      <c r="K2731" s="15">
        <f>IF($A2731="","",IF(AH!$U$5=1,IFERROR(MATCH($A2731,'Live History'!$A$5:$A$3004,0),0),AH!$U$7+2726))</f>
        <v/>
      </c>
      <c r="L2731" s="15">
        <f>IF(ISNUMBER(A2731),TEXT(A2731,"dd-mmm-yy"),"")</f>
        <v/>
      </c>
    </row>
    <row r="2732">
      <c r="A2732" s="14">
        <f>IF(OR(AH!$U$4=0,2727+1&gt;AH!$U$6,AND(AH!$M$5="Bloomberg",AH!$U$5=0)),"",IFERROR(IF(AND(AH!$U$12=1,2727+1=AH!$U$6),TODAY(),IF(AH!$U$5=1,INDEX('Live History'!$A$5:$A$3004,AH!$U$7+2727),INDEX('AH History'!$A$5:$A$1380,AH!$U$7+2727))),""))</f>
        <v/>
      </c>
      <c r="B2732" s="33">
        <f>IFERROR(IF(AH!$U$11=1,NA(),$J2732/$E2732-1),NA())</f>
        <v/>
      </c>
      <c r="C2732" s="269">
        <f>IFERROR(100*$E2732/$E$5,NA())</f>
        <v/>
      </c>
      <c r="D2732" s="269">
        <f>IFERROR(100*$J2732/$J$5,NA())</f>
        <v/>
      </c>
      <c r="E2732" s="32">
        <f>IFERROR(IF(AND(ISNUMBER($A2732),N(IF(AND(AH!$U$12=1,2727+1=AH!$U$6),IF(AH!$U$4=0,"unavailable",INDEX('Market Data'!$AN$5:$AN$66,AH!$U$4)),IF(AH!$U$5=1,INDEX('Live History'!$B$5:$B$3004,$K2732),INDEX('AH History'!$D$5:$GG$1380,$K2732,AH!$U$10))))&gt;0),IF(AND(AH!$U$12=1,2727+1=AH!$U$6),IF(AH!$U$4=0,"unavailable",INDEX('Market Data'!$AN$5:$AN$66,AH!$U$4)),IF(AH!$U$5=1,INDEX('Live History'!$B$5:$B$3004,$K2732),INDEX('AH History'!$D$5:$GG$1380,$K2732,AH!$U$10))),NA()),NA())</f>
        <v/>
      </c>
      <c r="F2732" s="32">
        <f>IFERROR(IF(ISNUMBER($A2732),IF(AND(AH!$U$12=1,2727+1=AH!$U$6),IF(AH!$U$4=0,"unavailable",INDEX('Market Data'!$AO$5:$AO$66,AH!$U$4)),IF(AH!$U$5=1,INDEX('Live History'!$E$5:$E$3004,MATCH($A2732,'Live History'!$D$5:$D$3004,1)),INDEX('AH History'!$D$5:$GG$1380,$K2732,AH!$U$10+1))),NA()),NA())</f>
        <v/>
      </c>
      <c r="G2732" s="34">
        <f>IFERROR(IF(ISNUMBER($A2732),IF(AND(AH!$U$12=1,2727+1=AH!$U$6),IF(AH!$U$4=0,"unavailable",INDEX('Market Data'!$AK$5:$AK$66,AH!$U$4)),IF(AH!$U$5=1,INDEX('Live History'!$D$5:$D$3004,MATCH($A2732,'Live History'!$D$5:$D$3004,1)),INDEX('AH History'!$D$5:$GG$1380,$K2732,AH!$U$10+2))),NA()),NA())</f>
        <v/>
      </c>
      <c r="H2732" s="266">
        <f>IFERROR(IF(ISNUMBER($A2732),IF(AND(AH!$U$12=1,2727+1=AH!$U$6),IF(AH!$U$4=0,"unavailable",INDEX('Market Data'!$AP$5:$AP$66,AH!$U$4)),IF(AH!$U$5=1,INDEX('Live History'!$H$5:$H$3004,MATCH($A2732,'Live History'!$G$5:$G$3004,1)),INDEX('AH History'!$B$5:$B$1380,$K2732))),NA()),NA())</f>
        <v/>
      </c>
      <c r="I2732" s="34">
        <f>IFERROR(IF(ISNUMBER($A2732),IF(AND(AH!$U$12=1,2727+1=AH!$U$6),TODAY(),IF(AH!$U$5=1,INDEX('Live History'!$G$5:$G$3004,MATCH($A2732,'Live History'!$G$5:$G$3004,1)),INDEX('AH History'!$C$5:$C$1380,$K2732))),NA()),NA())</f>
        <v/>
      </c>
      <c r="J2732" s="32">
        <f>IFERROR(IF(AND($F2732&gt;0,$H2732&gt;0,$A2732-$G2732&lt;=10,$A2732-$I2732&lt;=5,$G2732&gt;0,$I2732&gt;0),$F2732*$H2732,NA()),NA())</f>
        <v/>
      </c>
      <c r="K2732" s="15">
        <f>IF($A2732="","",IF(AH!$U$5=1,IFERROR(MATCH($A2732,'Live History'!$A$5:$A$3004,0),0),AH!$U$7+2727))</f>
        <v/>
      </c>
      <c r="L2732" s="15">
        <f>IF(ISNUMBER(A2732),TEXT(A2732,"dd-mmm-yy"),"")</f>
        <v/>
      </c>
    </row>
    <row r="2733">
      <c r="A2733" s="14">
        <f>IF(OR(AH!$U$4=0,2728+1&gt;AH!$U$6,AND(AH!$M$5="Bloomberg",AH!$U$5=0)),"",IFERROR(IF(AND(AH!$U$12=1,2728+1=AH!$U$6),TODAY(),IF(AH!$U$5=1,INDEX('Live History'!$A$5:$A$3004,AH!$U$7+2728),INDEX('AH History'!$A$5:$A$1380,AH!$U$7+2728))),""))</f>
        <v/>
      </c>
      <c r="B2733" s="33">
        <f>IFERROR(IF(AH!$U$11=1,NA(),$J2733/$E2733-1),NA())</f>
        <v/>
      </c>
      <c r="C2733" s="269">
        <f>IFERROR(100*$E2733/$E$5,NA())</f>
        <v/>
      </c>
      <c r="D2733" s="269">
        <f>IFERROR(100*$J2733/$J$5,NA())</f>
        <v/>
      </c>
      <c r="E2733" s="32">
        <f>IFERROR(IF(AND(ISNUMBER($A2733),N(IF(AND(AH!$U$12=1,2728+1=AH!$U$6),IF(AH!$U$4=0,"unavailable",INDEX('Market Data'!$AN$5:$AN$66,AH!$U$4)),IF(AH!$U$5=1,INDEX('Live History'!$B$5:$B$3004,$K2733),INDEX('AH History'!$D$5:$GG$1380,$K2733,AH!$U$10))))&gt;0),IF(AND(AH!$U$12=1,2728+1=AH!$U$6),IF(AH!$U$4=0,"unavailable",INDEX('Market Data'!$AN$5:$AN$66,AH!$U$4)),IF(AH!$U$5=1,INDEX('Live History'!$B$5:$B$3004,$K2733),INDEX('AH History'!$D$5:$GG$1380,$K2733,AH!$U$10))),NA()),NA())</f>
        <v/>
      </c>
      <c r="F2733" s="32">
        <f>IFERROR(IF(ISNUMBER($A2733),IF(AND(AH!$U$12=1,2728+1=AH!$U$6),IF(AH!$U$4=0,"unavailable",INDEX('Market Data'!$AO$5:$AO$66,AH!$U$4)),IF(AH!$U$5=1,INDEX('Live History'!$E$5:$E$3004,MATCH($A2733,'Live History'!$D$5:$D$3004,1)),INDEX('AH History'!$D$5:$GG$1380,$K2733,AH!$U$10+1))),NA()),NA())</f>
        <v/>
      </c>
      <c r="G2733" s="34">
        <f>IFERROR(IF(ISNUMBER($A2733),IF(AND(AH!$U$12=1,2728+1=AH!$U$6),IF(AH!$U$4=0,"unavailable",INDEX('Market Data'!$AK$5:$AK$66,AH!$U$4)),IF(AH!$U$5=1,INDEX('Live History'!$D$5:$D$3004,MATCH($A2733,'Live History'!$D$5:$D$3004,1)),INDEX('AH History'!$D$5:$GG$1380,$K2733,AH!$U$10+2))),NA()),NA())</f>
        <v/>
      </c>
      <c r="H2733" s="266">
        <f>IFERROR(IF(ISNUMBER($A2733),IF(AND(AH!$U$12=1,2728+1=AH!$U$6),IF(AH!$U$4=0,"unavailable",INDEX('Market Data'!$AP$5:$AP$66,AH!$U$4)),IF(AH!$U$5=1,INDEX('Live History'!$H$5:$H$3004,MATCH($A2733,'Live History'!$G$5:$G$3004,1)),INDEX('AH History'!$B$5:$B$1380,$K2733))),NA()),NA())</f>
        <v/>
      </c>
      <c r="I2733" s="34">
        <f>IFERROR(IF(ISNUMBER($A2733),IF(AND(AH!$U$12=1,2728+1=AH!$U$6),TODAY(),IF(AH!$U$5=1,INDEX('Live History'!$G$5:$G$3004,MATCH($A2733,'Live History'!$G$5:$G$3004,1)),INDEX('AH History'!$C$5:$C$1380,$K2733))),NA()),NA())</f>
        <v/>
      </c>
      <c r="J2733" s="32">
        <f>IFERROR(IF(AND($F2733&gt;0,$H2733&gt;0,$A2733-$G2733&lt;=10,$A2733-$I2733&lt;=5,$G2733&gt;0,$I2733&gt;0),$F2733*$H2733,NA()),NA())</f>
        <v/>
      </c>
      <c r="K2733" s="15">
        <f>IF($A2733="","",IF(AH!$U$5=1,IFERROR(MATCH($A2733,'Live History'!$A$5:$A$3004,0),0),AH!$U$7+2728))</f>
        <v/>
      </c>
      <c r="L2733" s="15">
        <f>IF(ISNUMBER(A2733),TEXT(A2733,"dd-mmm-yy"),"")</f>
        <v/>
      </c>
    </row>
    <row r="2734">
      <c r="A2734" s="14">
        <f>IF(OR(AH!$U$4=0,2729+1&gt;AH!$U$6,AND(AH!$M$5="Bloomberg",AH!$U$5=0)),"",IFERROR(IF(AND(AH!$U$12=1,2729+1=AH!$U$6),TODAY(),IF(AH!$U$5=1,INDEX('Live History'!$A$5:$A$3004,AH!$U$7+2729),INDEX('AH History'!$A$5:$A$1380,AH!$U$7+2729))),""))</f>
        <v/>
      </c>
      <c r="B2734" s="33">
        <f>IFERROR(IF(AH!$U$11=1,NA(),$J2734/$E2734-1),NA())</f>
        <v/>
      </c>
      <c r="C2734" s="269">
        <f>IFERROR(100*$E2734/$E$5,NA())</f>
        <v/>
      </c>
      <c r="D2734" s="269">
        <f>IFERROR(100*$J2734/$J$5,NA())</f>
        <v/>
      </c>
      <c r="E2734" s="32">
        <f>IFERROR(IF(AND(ISNUMBER($A2734),N(IF(AND(AH!$U$12=1,2729+1=AH!$U$6),IF(AH!$U$4=0,"unavailable",INDEX('Market Data'!$AN$5:$AN$66,AH!$U$4)),IF(AH!$U$5=1,INDEX('Live History'!$B$5:$B$3004,$K2734),INDEX('AH History'!$D$5:$GG$1380,$K2734,AH!$U$10))))&gt;0),IF(AND(AH!$U$12=1,2729+1=AH!$U$6),IF(AH!$U$4=0,"unavailable",INDEX('Market Data'!$AN$5:$AN$66,AH!$U$4)),IF(AH!$U$5=1,INDEX('Live History'!$B$5:$B$3004,$K2734),INDEX('AH History'!$D$5:$GG$1380,$K2734,AH!$U$10))),NA()),NA())</f>
        <v/>
      </c>
      <c r="F2734" s="32">
        <f>IFERROR(IF(ISNUMBER($A2734),IF(AND(AH!$U$12=1,2729+1=AH!$U$6),IF(AH!$U$4=0,"unavailable",INDEX('Market Data'!$AO$5:$AO$66,AH!$U$4)),IF(AH!$U$5=1,INDEX('Live History'!$E$5:$E$3004,MATCH($A2734,'Live History'!$D$5:$D$3004,1)),INDEX('AH History'!$D$5:$GG$1380,$K2734,AH!$U$10+1))),NA()),NA())</f>
        <v/>
      </c>
      <c r="G2734" s="34">
        <f>IFERROR(IF(ISNUMBER($A2734),IF(AND(AH!$U$12=1,2729+1=AH!$U$6),IF(AH!$U$4=0,"unavailable",INDEX('Market Data'!$AK$5:$AK$66,AH!$U$4)),IF(AH!$U$5=1,INDEX('Live History'!$D$5:$D$3004,MATCH($A2734,'Live History'!$D$5:$D$3004,1)),INDEX('AH History'!$D$5:$GG$1380,$K2734,AH!$U$10+2))),NA()),NA())</f>
        <v/>
      </c>
      <c r="H2734" s="266">
        <f>IFERROR(IF(ISNUMBER($A2734),IF(AND(AH!$U$12=1,2729+1=AH!$U$6),IF(AH!$U$4=0,"unavailable",INDEX('Market Data'!$AP$5:$AP$66,AH!$U$4)),IF(AH!$U$5=1,INDEX('Live History'!$H$5:$H$3004,MATCH($A2734,'Live History'!$G$5:$G$3004,1)),INDEX('AH History'!$B$5:$B$1380,$K2734))),NA()),NA())</f>
        <v/>
      </c>
      <c r="I2734" s="34">
        <f>IFERROR(IF(ISNUMBER($A2734),IF(AND(AH!$U$12=1,2729+1=AH!$U$6),TODAY(),IF(AH!$U$5=1,INDEX('Live History'!$G$5:$G$3004,MATCH($A2734,'Live History'!$G$5:$G$3004,1)),INDEX('AH History'!$C$5:$C$1380,$K2734))),NA()),NA())</f>
        <v/>
      </c>
      <c r="J2734" s="32">
        <f>IFERROR(IF(AND($F2734&gt;0,$H2734&gt;0,$A2734-$G2734&lt;=10,$A2734-$I2734&lt;=5,$G2734&gt;0,$I2734&gt;0),$F2734*$H2734,NA()),NA())</f>
        <v/>
      </c>
      <c r="K2734" s="15">
        <f>IF($A2734="","",IF(AH!$U$5=1,IFERROR(MATCH($A2734,'Live History'!$A$5:$A$3004,0),0),AH!$U$7+2729))</f>
        <v/>
      </c>
      <c r="L2734" s="15">
        <f>IF(ISNUMBER(A2734),TEXT(A2734,"dd-mmm-yy"),"")</f>
        <v/>
      </c>
    </row>
    <row r="2735">
      <c r="A2735" s="14">
        <f>IF(OR(AH!$U$4=0,2730+1&gt;AH!$U$6,AND(AH!$M$5="Bloomberg",AH!$U$5=0)),"",IFERROR(IF(AND(AH!$U$12=1,2730+1=AH!$U$6),TODAY(),IF(AH!$U$5=1,INDEX('Live History'!$A$5:$A$3004,AH!$U$7+2730),INDEX('AH History'!$A$5:$A$1380,AH!$U$7+2730))),""))</f>
        <v/>
      </c>
      <c r="B2735" s="33">
        <f>IFERROR(IF(AH!$U$11=1,NA(),$J2735/$E2735-1),NA())</f>
        <v/>
      </c>
      <c r="C2735" s="269">
        <f>IFERROR(100*$E2735/$E$5,NA())</f>
        <v/>
      </c>
      <c r="D2735" s="269">
        <f>IFERROR(100*$J2735/$J$5,NA())</f>
        <v/>
      </c>
      <c r="E2735" s="32">
        <f>IFERROR(IF(AND(ISNUMBER($A2735),N(IF(AND(AH!$U$12=1,2730+1=AH!$U$6),IF(AH!$U$4=0,"unavailable",INDEX('Market Data'!$AN$5:$AN$66,AH!$U$4)),IF(AH!$U$5=1,INDEX('Live History'!$B$5:$B$3004,$K2735),INDEX('AH History'!$D$5:$GG$1380,$K2735,AH!$U$10))))&gt;0),IF(AND(AH!$U$12=1,2730+1=AH!$U$6),IF(AH!$U$4=0,"unavailable",INDEX('Market Data'!$AN$5:$AN$66,AH!$U$4)),IF(AH!$U$5=1,INDEX('Live History'!$B$5:$B$3004,$K2735),INDEX('AH History'!$D$5:$GG$1380,$K2735,AH!$U$10))),NA()),NA())</f>
        <v/>
      </c>
      <c r="F2735" s="32">
        <f>IFERROR(IF(ISNUMBER($A2735),IF(AND(AH!$U$12=1,2730+1=AH!$U$6),IF(AH!$U$4=0,"unavailable",INDEX('Market Data'!$AO$5:$AO$66,AH!$U$4)),IF(AH!$U$5=1,INDEX('Live History'!$E$5:$E$3004,MATCH($A2735,'Live History'!$D$5:$D$3004,1)),INDEX('AH History'!$D$5:$GG$1380,$K2735,AH!$U$10+1))),NA()),NA())</f>
        <v/>
      </c>
      <c r="G2735" s="34">
        <f>IFERROR(IF(ISNUMBER($A2735),IF(AND(AH!$U$12=1,2730+1=AH!$U$6),IF(AH!$U$4=0,"unavailable",INDEX('Market Data'!$AK$5:$AK$66,AH!$U$4)),IF(AH!$U$5=1,INDEX('Live History'!$D$5:$D$3004,MATCH($A2735,'Live History'!$D$5:$D$3004,1)),INDEX('AH History'!$D$5:$GG$1380,$K2735,AH!$U$10+2))),NA()),NA())</f>
        <v/>
      </c>
      <c r="H2735" s="266">
        <f>IFERROR(IF(ISNUMBER($A2735),IF(AND(AH!$U$12=1,2730+1=AH!$U$6),IF(AH!$U$4=0,"unavailable",INDEX('Market Data'!$AP$5:$AP$66,AH!$U$4)),IF(AH!$U$5=1,INDEX('Live History'!$H$5:$H$3004,MATCH($A2735,'Live History'!$G$5:$G$3004,1)),INDEX('AH History'!$B$5:$B$1380,$K2735))),NA()),NA())</f>
        <v/>
      </c>
      <c r="I2735" s="34">
        <f>IFERROR(IF(ISNUMBER($A2735),IF(AND(AH!$U$12=1,2730+1=AH!$U$6),TODAY(),IF(AH!$U$5=1,INDEX('Live History'!$G$5:$G$3004,MATCH($A2735,'Live History'!$G$5:$G$3004,1)),INDEX('AH History'!$C$5:$C$1380,$K2735))),NA()),NA())</f>
        <v/>
      </c>
      <c r="J2735" s="32">
        <f>IFERROR(IF(AND($F2735&gt;0,$H2735&gt;0,$A2735-$G2735&lt;=10,$A2735-$I2735&lt;=5,$G2735&gt;0,$I2735&gt;0),$F2735*$H2735,NA()),NA())</f>
        <v/>
      </c>
      <c r="K2735" s="15">
        <f>IF($A2735="","",IF(AH!$U$5=1,IFERROR(MATCH($A2735,'Live History'!$A$5:$A$3004,0),0),AH!$U$7+2730))</f>
        <v/>
      </c>
      <c r="L2735" s="15">
        <f>IF(ISNUMBER(A2735),TEXT(A2735,"dd-mmm-yy"),"")</f>
        <v/>
      </c>
    </row>
    <row r="2736">
      <c r="A2736" s="14">
        <f>IF(OR(AH!$U$4=0,2731+1&gt;AH!$U$6,AND(AH!$M$5="Bloomberg",AH!$U$5=0)),"",IFERROR(IF(AND(AH!$U$12=1,2731+1=AH!$U$6),TODAY(),IF(AH!$U$5=1,INDEX('Live History'!$A$5:$A$3004,AH!$U$7+2731),INDEX('AH History'!$A$5:$A$1380,AH!$U$7+2731))),""))</f>
        <v/>
      </c>
      <c r="B2736" s="33">
        <f>IFERROR(IF(AH!$U$11=1,NA(),$J2736/$E2736-1),NA())</f>
        <v/>
      </c>
      <c r="C2736" s="269">
        <f>IFERROR(100*$E2736/$E$5,NA())</f>
        <v/>
      </c>
      <c r="D2736" s="269">
        <f>IFERROR(100*$J2736/$J$5,NA())</f>
        <v/>
      </c>
      <c r="E2736" s="32">
        <f>IFERROR(IF(AND(ISNUMBER($A2736),N(IF(AND(AH!$U$12=1,2731+1=AH!$U$6),IF(AH!$U$4=0,"unavailable",INDEX('Market Data'!$AN$5:$AN$66,AH!$U$4)),IF(AH!$U$5=1,INDEX('Live History'!$B$5:$B$3004,$K2736),INDEX('AH History'!$D$5:$GG$1380,$K2736,AH!$U$10))))&gt;0),IF(AND(AH!$U$12=1,2731+1=AH!$U$6),IF(AH!$U$4=0,"unavailable",INDEX('Market Data'!$AN$5:$AN$66,AH!$U$4)),IF(AH!$U$5=1,INDEX('Live History'!$B$5:$B$3004,$K2736),INDEX('AH History'!$D$5:$GG$1380,$K2736,AH!$U$10))),NA()),NA())</f>
        <v/>
      </c>
      <c r="F2736" s="32">
        <f>IFERROR(IF(ISNUMBER($A2736),IF(AND(AH!$U$12=1,2731+1=AH!$U$6),IF(AH!$U$4=0,"unavailable",INDEX('Market Data'!$AO$5:$AO$66,AH!$U$4)),IF(AH!$U$5=1,INDEX('Live History'!$E$5:$E$3004,MATCH($A2736,'Live History'!$D$5:$D$3004,1)),INDEX('AH History'!$D$5:$GG$1380,$K2736,AH!$U$10+1))),NA()),NA())</f>
        <v/>
      </c>
      <c r="G2736" s="34">
        <f>IFERROR(IF(ISNUMBER($A2736),IF(AND(AH!$U$12=1,2731+1=AH!$U$6),IF(AH!$U$4=0,"unavailable",INDEX('Market Data'!$AK$5:$AK$66,AH!$U$4)),IF(AH!$U$5=1,INDEX('Live History'!$D$5:$D$3004,MATCH($A2736,'Live History'!$D$5:$D$3004,1)),INDEX('AH History'!$D$5:$GG$1380,$K2736,AH!$U$10+2))),NA()),NA())</f>
        <v/>
      </c>
      <c r="H2736" s="266">
        <f>IFERROR(IF(ISNUMBER($A2736),IF(AND(AH!$U$12=1,2731+1=AH!$U$6),IF(AH!$U$4=0,"unavailable",INDEX('Market Data'!$AP$5:$AP$66,AH!$U$4)),IF(AH!$U$5=1,INDEX('Live History'!$H$5:$H$3004,MATCH($A2736,'Live History'!$G$5:$G$3004,1)),INDEX('AH History'!$B$5:$B$1380,$K2736))),NA()),NA())</f>
        <v/>
      </c>
      <c r="I2736" s="34">
        <f>IFERROR(IF(ISNUMBER($A2736),IF(AND(AH!$U$12=1,2731+1=AH!$U$6),TODAY(),IF(AH!$U$5=1,INDEX('Live History'!$G$5:$G$3004,MATCH($A2736,'Live History'!$G$5:$G$3004,1)),INDEX('AH History'!$C$5:$C$1380,$K2736))),NA()),NA())</f>
        <v/>
      </c>
      <c r="J2736" s="32">
        <f>IFERROR(IF(AND($F2736&gt;0,$H2736&gt;0,$A2736-$G2736&lt;=10,$A2736-$I2736&lt;=5,$G2736&gt;0,$I2736&gt;0),$F2736*$H2736,NA()),NA())</f>
        <v/>
      </c>
      <c r="K2736" s="15">
        <f>IF($A2736="","",IF(AH!$U$5=1,IFERROR(MATCH($A2736,'Live History'!$A$5:$A$3004,0),0),AH!$U$7+2731))</f>
        <v/>
      </c>
      <c r="L2736" s="15">
        <f>IF(ISNUMBER(A2736),TEXT(A2736,"dd-mmm-yy"),"")</f>
        <v/>
      </c>
    </row>
    <row r="2737">
      <c r="A2737" s="14">
        <f>IF(OR(AH!$U$4=0,2732+1&gt;AH!$U$6,AND(AH!$M$5="Bloomberg",AH!$U$5=0)),"",IFERROR(IF(AND(AH!$U$12=1,2732+1=AH!$U$6),TODAY(),IF(AH!$U$5=1,INDEX('Live History'!$A$5:$A$3004,AH!$U$7+2732),INDEX('AH History'!$A$5:$A$1380,AH!$U$7+2732))),""))</f>
        <v/>
      </c>
      <c r="B2737" s="33">
        <f>IFERROR(IF(AH!$U$11=1,NA(),$J2737/$E2737-1),NA())</f>
        <v/>
      </c>
      <c r="C2737" s="269">
        <f>IFERROR(100*$E2737/$E$5,NA())</f>
        <v/>
      </c>
      <c r="D2737" s="269">
        <f>IFERROR(100*$J2737/$J$5,NA())</f>
        <v/>
      </c>
      <c r="E2737" s="32">
        <f>IFERROR(IF(AND(ISNUMBER($A2737),N(IF(AND(AH!$U$12=1,2732+1=AH!$U$6),IF(AH!$U$4=0,"unavailable",INDEX('Market Data'!$AN$5:$AN$66,AH!$U$4)),IF(AH!$U$5=1,INDEX('Live History'!$B$5:$B$3004,$K2737),INDEX('AH History'!$D$5:$GG$1380,$K2737,AH!$U$10))))&gt;0),IF(AND(AH!$U$12=1,2732+1=AH!$U$6),IF(AH!$U$4=0,"unavailable",INDEX('Market Data'!$AN$5:$AN$66,AH!$U$4)),IF(AH!$U$5=1,INDEX('Live History'!$B$5:$B$3004,$K2737),INDEX('AH History'!$D$5:$GG$1380,$K2737,AH!$U$10))),NA()),NA())</f>
        <v/>
      </c>
      <c r="F2737" s="32">
        <f>IFERROR(IF(ISNUMBER($A2737),IF(AND(AH!$U$12=1,2732+1=AH!$U$6),IF(AH!$U$4=0,"unavailable",INDEX('Market Data'!$AO$5:$AO$66,AH!$U$4)),IF(AH!$U$5=1,INDEX('Live History'!$E$5:$E$3004,MATCH($A2737,'Live History'!$D$5:$D$3004,1)),INDEX('AH History'!$D$5:$GG$1380,$K2737,AH!$U$10+1))),NA()),NA())</f>
        <v/>
      </c>
      <c r="G2737" s="34">
        <f>IFERROR(IF(ISNUMBER($A2737),IF(AND(AH!$U$12=1,2732+1=AH!$U$6),IF(AH!$U$4=0,"unavailable",INDEX('Market Data'!$AK$5:$AK$66,AH!$U$4)),IF(AH!$U$5=1,INDEX('Live History'!$D$5:$D$3004,MATCH($A2737,'Live History'!$D$5:$D$3004,1)),INDEX('AH History'!$D$5:$GG$1380,$K2737,AH!$U$10+2))),NA()),NA())</f>
        <v/>
      </c>
      <c r="H2737" s="266">
        <f>IFERROR(IF(ISNUMBER($A2737),IF(AND(AH!$U$12=1,2732+1=AH!$U$6),IF(AH!$U$4=0,"unavailable",INDEX('Market Data'!$AP$5:$AP$66,AH!$U$4)),IF(AH!$U$5=1,INDEX('Live History'!$H$5:$H$3004,MATCH($A2737,'Live History'!$G$5:$G$3004,1)),INDEX('AH History'!$B$5:$B$1380,$K2737))),NA()),NA())</f>
        <v/>
      </c>
      <c r="I2737" s="34">
        <f>IFERROR(IF(ISNUMBER($A2737),IF(AND(AH!$U$12=1,2732+1=AH!$U$6),TODAY(),IF(AH!$U$5=1,INDEX('Live History'!$G$5:$G$3004,MATCH($A2737,'Live History'!$G$5:$G$3004,1)),INDEX('AH History'!$C$5:$C$1380,$K2737))),NA()),NA())</f>
        <v/>
      </c>
      <c r="J2737" s="32">
        <f>IFERROR(IF(AND($F2737&gt;0,$H2737&gt;0,$A2737-$G2737&lt;=10,$A2737-$I2737&lt;=5,$G2737&gt;0,$I2737&gt;0),$F2737*$H2737,NA()),NA())</f>
        <v/>
      </c>
      <c r="K2737" s="15">
        <f>IF($A2737="","",IF(AH!$U$5=1,IFERROR(MATCH($A2737,'Live History'!$A$5:$A$3004,0),0),AH!$U$7+2732))</f>
        <v/>
      </c>
      <c r="L2737" s="15">
        <f>IF(ISNUMBER(A2737),TEXT(A2737,"dd-mmm-yy"),"")</f>
        <v/>
      </c>
    </row>
    <row r="2738">
      <c r="A2738" s="14">
        <f>IF(OR(AH!$U$4=0,2733+1&gt;AH!$U$6,AND(AH!$M$5="Bloomberg",AH!$U$5=0)),"",IFERROR(IF(AND(AH!$U$12=1,2733+1=AH!$U$6),TODAY(),IF(AH!$U$5=1,INDEX('Live History'!$A$5:$A$3004,AH!$U$7+2733),INDEX('AH History'!$A$5:$A$1380,AH!$U$7+2733))),""))</f>
        <v/>
      </c>
      <c r="B2738" s="33">
        <f>IFERROR(IF(AH!$U$11=1,NA(),$J2738/$E2738-1),NA())</f>
        <v/>
      </c>
      <c r="C2738" s="269">
        <f>IFERROR(100*$E2738/$E$5,NA())</f>
        <v/>
      </c>
      <c r="D2738" s="269">
        <f>IFERROR(100*$J2738/$J$5,NA())</f>
        <v/>
      </c>
      <c r="E2738" s="32">
        <f>IFERROR(IF(AND(ISNUMBER($A2738),N(IF(AND(AH!$U$12=1,2733+1=AH!$U$6),IF(AH!$U$4=0,"unavailable",INDEX('Market Data'!$AN$5:$AN$66,AH!$U$4)),IF(AH!$U$5=1,INDEX('Live History'!$B$5:$B$3004,$K2738),INDEX('AH History'!$D$5:$GG$1380,$K2738,AH!$U$10))))&gt;0),IF(AND(AH!$U$12=1,2733+1=AH!$U$6),IF(AH!$U$4=0,"unavailable",INDEX('Market Data'!$AN$5:$AN$66,AH!$U$4)),IF(AH!$U$5=1,INDEX('Live History'!$B$5:$B$3004,$K2738),INDEX('AH History'!$D$5:$GG$1380,$K2738,AH!$U$10))),NA()),NA())</f>
        <v/>
      </c>
      <c r="F2738" s="32">
        <f>IFERROR(IF(ISNUMBER($A2738),IF(AND(AH!$U$12=1,2733+1=AH!$U$6),IF(AH!$U$4=0,"unavailable",INDEX('Market Data'!$AO$5:$AO$66,AH!$U$4)),IF(AH!$U$5=1,INDEX('Live History'!$E$5:$E$3004,MATCH($A2738,'Live History'!$D$5:$D$3004,1)),INDEX('AH History'!$D$5:$GG$1380,$K2738,AH!$U$10+1))),NA()),NA())</f>
        <v/>
      </c>
      <c r="G2738" s="34">
        <f>IFERROR(IF(ISNUMBER($A2738),IF(AND(AH!$U$12=1,2733+1=AH!$U$6),IF(AH!$U$4=0,"unavailable",INDEX('Market Data'!$AK$5:$AK$66,AH!$U$4)),IF(AH!$U$5=1,INDEX('Live History'!$D$5:$D$3004,MATCH($A2738,'Live History'!$D$5:$D$3004,1)),INDEX('AH History'!$D$5:$GG$1380,$K2738,AH!$U$10+2))),NA()),NA())</f>
        <v/>
      </c>
      <c r="H2738" s="266">
        <f>IFERROR(IF(ISNUMBER($A2738),IF(AND(AH!$U$12=1,2733+1=AH!$U$6),IF(AH!$U$4=0,"unavailable",INDEX('Market Data'!$AP$5:$AP$66,AH!$U$4)),IF(AH!$U$5=1,INDEX('Live History'!$H$5:$H$3004,MATCH($A2738,'Live History'!$G$5:$G$3004,1)),INDEX('AH History'!$B$5:$B$1380,$K2738))),NA()),NA())</f>
        <v/>
      </c>
      <c r="I2738" s="34">
        <f>IFERROR(IF(ISNUMBER($A2738),IF(AND(AH!$U$12=1,2733+1=AH!$U$6),TODAY(),IF(AH!$U$5=1,INDEX('Live History'!$G$5:$G$3004,MATCH($A2738,'Live History'!$G$5:$G$3004,1)),INDEX('AH History'!$C$5:$C$1380,$K2738))),NA()),NA())</f>
        <v/>
      </c>
      <c r="J2738" s="32">
        <f>IFERROR(IF(AND($F2738&gt;0,$H2738&gt;0,$A2738-$G2738&lt;=10,$A2738-$I2738&lt;=5,$G2738&gt;0,$I2738&gt;0),$F2738*$H2738,NA()),NA())</f>
        <v/>
      </c>
      <c r="K2738" s="15">
        <f>IF($A2738="","",IF(AH!$U$5=1,IFERROR(MATCH($A2738,'Live History'!$A$5:$A$3004,0),0),AH!$U$7+2733))</f>
        <v/>
      </c>
      <c r="L2738" s="15">
        <f>IF(ISNUMBER(A2738),TEXT(A2738,"dd-mmm-yy"),"")</f>
        <v/>
      </c>
    </row>
    <row r="2739">
      <c r="A2739" s="14">
        <f>IF(OR(AH!$U$4=0,2734+1&gt;AH!$U$6,AND(AH!$M$5="Bloomberg",AH!$U$5=0)),"",IFERROR(IF(AND(AH!$U$12=1,2734+1=AH!$U$6),TODAY(),IF(AH!$U$5=1,INDEX('Live History'!$A$5:$A$3004,AH!$U$7+2734),INDEX('AH History'!$A$5:$A$1380,AH!$U$7+2734))),""))</f>
        <v/>
      </c>
      <c r="B2739" s="33">
        <f>IFERROR(IF(AH!$U$11=1,NA(),$J2739/$E2739-1),NA())</f>
        <v/>
      </c>
      <c r="C2739" s="269">
        <f>IFERROR(100*$E2739/$E$5,NA())</f>
        <v/>
      </c>
      <c r="D2739" s="269">
        <f>IFERROR(100*$J2739/$J$5,NA())</f>
        <v/>
      </c>
      <c r="E2739" s="32">
        <f>IFERROR(IF(AND(ISNUMBER($A2739),N(IF(AND(AH!$U$12=1,2734+1=AH!$U$6),IF(AH!$U$4=0,"unavailable",INDEX('Market Data'!$AN$5:$AN$66,AH!$U$4)),IF(AH!$U$5=1,INDEX('Live History'!$B$5:$B$3004,$K2739),INDEX('AH History'!$D$5:$GG$1380,$K2739,AH!$U$10))))&gt;0),IF(AND(AH!$U$12=1,2734+1=AH!$U$6),IF(AH!$U$4=0,"unavailable",INDEX('Market Data'!$AN$5:$AN$66,AH!$U$4)),IF(AH!$U$5=1,INDEX('Live History'!$B$5:$B$3004,$K2739),INDEX('AH History'!$D$5:$GG$1380,$K2739,AH!$U$10))),NA()),NA())</f>
        <v/>
      </c>
      <c r="F2739" s="32">
        <f>IFERROR(IF(ISNUMBER($A2739),IF(AND(AH!$U$12=1,2734+1=AH!$U$6),IF(AH!$U$4=0,"unavailable",INDEX('Market Data'!$AO$5:$AO$66,AH!$U$4)),IF(AH!$U$5=1,INDEX('Live History'!$E$5:$E$3004,MATCH($A2739,'Live History'!$D$5:$D$3004,1)),INDEX('AH History'!$D$5:$GG$1380,$K2739,AH!$U$10+1))),NA()),NA())</f>
        <v/>
      </c>
      <c r="G2739" s="34">
        <f>IFERROR(IF(ISNUMBER($A2739),IF(AND(AH!$U$12=1,2734+1=AH!$U$6),IF(AH!$U$4=0,"unavailable",INDEX('Market Data'!$AK$5:$AK$66,AH!$U$4)),IF(AH!$U$5=1,INDEX('Live History'!$D$5:$D$3004,MATCH($A2739,'Live History'!$D$5:$D$3004,1)),INDEX('AH History'!$D$5:$GG$1380,$K2739,AH!$U$10+2))),NA()),NA())</f>
        <v/>
      </c>
      <c r="H2739" s="266">
        <f>IFERROR(IF(ISNUMBER($A2739),IF(AND(AH!$U$12=1,2734+1=AH!$U$6),IF(AH!$U$4=0,"unavailable",INDEX('Market Data'!$AP$5:$AP$66,AH!$U$4)),IF(AH!$U$5=1,INDEX('Live History'!$H$5:$H$3004,MATCH($A2739,'Live History'!$G$5:$G$3004,1)),INDEX('AH History'!$B$5:$B$1380,$K2739))),NA()),NA())</f>
        <v/>
      </c>
      <c r="I2739" s="34">
        <f>IFERROR(IF(ISNUMBER($A2739),IF(AND(AH!$U$12=1,2734+1=AH!$U$6),TODAY(),IF(AH!$U$5=1,INDEX('Live History'!$G$5:$G$3004,MATCH($A2739,'Live History'!$G$5:$G$3004,1)),INDEX('AH History'!$C$5:$C$1380,$K2739))),NA()),NA())</f>
        <v/>
      </c>
      <c r="J2739" s="32">
        <f>IFERROR(IF(AND($F2739&gt;0,$H2739&gt;0,$A2739-$G2739&lt;=10,$A2739-$I2739&lt;=5,$G2739&gt;0,$I2739&gt;0),$F2739*$H2739,NA()),NA())</f>
        <v/>
      </c>
      <c r="K2739" s="15">
        <f>IF($A2739="","",IF(AH!$U$5=1,IFERROR(MATCH($A2739,'Live History'!$A$5:$A$3004,0),0),AH!$U$7+2734))</f>
        <v/>
      </c>
      <c r="L2739" s="15">
        <f>IF(ISNUMBER(A2739),TEXT(A2739,"dd-mmm-yy"),"")</f>
        <v/>
      </c>
    </row>
    <row r="2740">
      <c r="A2740" s="14">
        <f>IF(OR(AH!$U$4=0,2735+1&gt;AH!$U$6,AND(AH!$M$5="Bloomberg",AH!$U$5=0)),"",IFERROR(IF(AND(AH!$U$12=1,2735+1=AH!$U$6),TODAY(),IF(AH!$U$5=1,INDEX('Live History'!$A$5:$A$3004,AH!$U$7+2735),INDEX('AH History'!$A$5:$A$1380,AH!$U$7+2735))),""))</f>
        <v/>
      </c>
      <c r="B2740" s="33">
        <f>IFERROR(IF(AH!$U$11=1,NA(),$J2740/$E2740-1),NA())</f>
        <v/>
      </c>
      <c r="C2740" s="269">
        <f>IFERROR(100*$E2740/$E$5,NA())</f>
        <v/>
      </c>
      <c r="D2740" s="269">
        <f>IFERROR(100*$J2740/$J$5,NA())</f>
        <v/>
      </c>
      <c r="E2740" s="32">
        <f>IFERROR(IF(AND(ISNUMBER($A2740),N(IF(AND(AH!$U$12=1,2735+1=AH!$U$6),IF(AH!$U$4=0,"unavailable",INDEX('Market Data'!$AN$5:$AN$66,AH!$U$4)),IF(AH!$U$5=1,INDEX('Live History'!$B$5:$B$3004,$K2740),INDEX('AH History'!$D$5:$GG$1380,$K2740,AH!$U$10))))&gt;0),IF(AND(AH!$U$12=1,2735+1=AH!$U$6),IF(AH!$U$4=0,"unavailable",INDEX('Market Data'!$AN$5:$AN$66,AH!$U$4)),IF(AH!$U$5=1,INDEX('Live History'!$B$5:$B$3004,$K2740),INDEX('AH History'!$D$5:$GG$1380,$K2740,AH!$U$10))),NA()),NA())</f>
        <v/>
      </c>
      <c r="F2740" s="32">
        <f>IFERROR(IF(ISNUMBER($A2740),IF(AND(AH!$U$12=1,2735+1=AH!$U$6),IF(AH!$U$4=0,"unavailable",INDEX('Market Data'!$AO$5:$AO$66,AH!$U$4)),IF(AH!$U$5=1,INDEX('Live History'!$E$5:$E$3004,MATCH($A2740,'Live History'!$D$5:$D$3004,1)),INDEX('AH History'!$D$5:$GG$1380,$K2740,AH!$U$10+1))),NA()),NA())</f>
        <v/>
      </c>
      <c r="G2740" s="34">
        <f>IFERROR(IF(ISNUMBER($A2740),IF(AND(AH!$U$12=1,2735+1=AH!$U$6),IF(AH!$U$4=0,"unavailable",INDEX('Market Data'!$AK$5:$AK$66,AH!$U$4)),IF(AH!$U$5=1,INDEX('Live History'!$D$5:$D$3004,MATCH($A2740,'Live History'!$D$5:$D$3004,1)),INDEX('AH History'!$D$5:$GG$1380,$K2740,AH!$U$10+2))),NA()),NA())</f>
        <v/>
      </c>
      <c r="H2740" s="266">
        <f>IFERROR(IF(ISNUMBER($A2740),IF(AND(AH!$U$12=1,2735+1=AH!$U$6),IF(AH!$U$4=0,"unavailable",INDEX('Market Data'!$AP$5:$AP$66,AH!$U$4)),IF(AH!$U$5=1,INDEX('Live History'!$H$5:$H$3004,MATCH($A2740,'Live History'!$G$5:$G$3004,1)),INDEX('AH History'!$B$5:$B$1380,$K2740))),NA()),NA())</f>
        <v/>
      </c>
      <c r="I2740" s="34">
        <f>IFERROR(IF(ISNUMBER($A2740),IF(AND(AH!$U$12=1,2735+1=AH!$U$6),TODAY(),IF(AH!$U$5=1,INDEX('Live History'!$G$5:$G$3004,MATCH($A2740,'Live History'!$G$5:$G$3004,1)),INDEX('AH History'!$C$5:$C$1380,$K2740))),NA()),NA())</f>
        <v/>
      </c>
      <c r="J2740" s="32">
        <f>IFERROR(IF(AND($F2740&gt;0,$H2740&gt;0,$A2740-$G2740&lt;=10,$A2740-$I2740&lt;=5,$G2740&gt;0,$I2740&gt;0),$F2740*$H2740,NA()),NA())</f>
        <v/>
      </c>
      <c r="K2740" s="15">
        <f>IF($A2740="","",IF(AH!$U$5=1,IFERROR(MATCH($A2740,'Live History'!$A$5:$A$3004,0),0),AH!$U$7+2735))</f>
        <v/>
      </c>
      <c r="L2740" s="15">
        <f>IF(ISNUMBER(A2740),TEXT(A2740,"dd-mmm-yy"),"")</f>
        <v/>
      </c>
    </row>
    <row r="2741">
      <c r="A2741" s="14">
        <f>IF(OR(AH!$U$4=0,2736+1&gt;AH!$U$6,AND(AH!$M$5="Bloomberg",AH!$U$5=0)),"",IFERROR(IF(AND(AH!$U$12=1,2736+1=AH!$U$6),TODAY(),IF(AH!$U$5=1,INDEX('Live History'!$A$5:$A$3004,AH!$U$7+2736),INDEX('AH History'!$A$5:$A$1380,AH!$U$7+2736))),""))</f>
        <v/>
      </c>
      <c r="B2741" s="33">
        <f>IFERROR(IF(AH!$U$11=1,NA(),$J2741/$E2741-1),NA())</f>
        <v/>
      </c>
      <c r="C2741" s="269">
        <f>IFERROR(100*$E2741/$E$5,NA())</f>
        <v/>
      </c>
      <c r="D2741" s="269">
        <f>IFERROR(100*$J2741/$J$5,NA())</f>
        <v/>
      </c>
      <c r="E2741" s="32">
        <f>IFERROR(IF(AND(ISNUMBER($A2741),N(IF(AND(AH!$U$12=1,2736+1=AH!$U$6),IF(AH!$U$4=0,"unavailable",INDEX('Market Data'!$AN$5:$AN$66,AH!$U$4)),IF(AH!$U$5=1,INDEX('Live History'!$B$5:$B$3004,$K2741),INDEX('AH History'!$D$5:$GG$1380,$K2741,AH!$U$10))))&gt;0),IF(AND(AH!$U$12=1,2736+1=AH!$U$6),IF(AH!$U$4=0,"unavailable",INDEX('Market Data'!$AN$5:$AN$66,AH!$U$4)),IF(AH!$U$5=1,INDEX('Live History'!$B$5:$B$3004,$K2741),INDEX('AH History'!$D$5:$GG$1380,$K2741,AH!$U$10))),NA()),NA())</f>
        <v/>
      </c>
      <c r="F2741" s="32">
        <f>IFERROR(IF(ISNUMBER($A2741),IF(AND(AH!$U$12=1,2736+1=AH!$U$6),IF(AH!$U$4=0,"unavailable",INDEX('Market Data'!$AO$5:$AO$66,AH!$U$4)),IF(AH!$U$5=1,INDEX('Live History'!$E$5:$E$3004,MATCH($A2741,'Live History'!$D$5:$D$3004,1)),INDEX('AH History'!$D$5:$GG$1380,$K2741,AH!$U$10+1))),NA()),NA())</f>
        <v/>
      </c>
      <c r="G2741" s="34">
        <f>IFERROR(IF(ISNUMBER($A2741),IF(AND(AH!$U$12=1,2736+1=AH!$U$6),IF(AH!$U$4=0,"unavailable",INDEX('Market Data'!$AK$5:$AK$66,AH!$U$4)),IF(AH!$U$5=1,INDEX('Live History'!$D$5:$D$3004,MATCH($A2741,'Live History'!$D$5:$D$3004,1)),INDEX('AH History'!$D$5:$GG$1380,$K2741,AH!$U$10+2))),NA()),NA())</f>
        <v/>
      </c>
      <c r="H2741" s="266">
        <f>IFERROR(IF(ISNUMBER($A2741),IF(AND(AH!$U$12=1,2736+1=AH!$U$6),IF(AH!$U$4=0,"unavailable",INDEX('Market Data'!$AP$5:$AP$66,AH!$U$4)),IF(AH!$U$5=1,INDEX('Live History'!$H$5:$H$3004,MATCH($A2741,'Live History'!$G$5:$G$3004,1)),INDEX('AH History'!$B$5:$B$1380,$K2741))),NA()),NA())</f>
        <v/>
      </c>
      <c r="I2741" s="34">
        <f>IFERROR(IF(ISNUMBER($A2741),IF(AND(AH!$U$12=1,2736+1=AH!$U$6),TODAY(),IF(AH!$U$5=1,INDEX('Live History'!$G$5:$G$3004,MATCH($A2741,'Live History'!$G$5:$G$3004,1)),INDEX('AH History'!$C$5:$C$1380,$K2741))),NA()),NA())</f>
        <v/>
      </c>
      <c r="J2741" s="32">
        <f>IFERROR(IF(AND($F2741&gt;0,$H2741&gt;0,$A2741-$G2741&lt;=10,$A2741-$I2741&lt;=5,$G2741&gt;0,$I2741&gt;0),$F2741*$H2741,NA()),NA())</f>
        <v/>
      </c>
      <c r="K2741" s="15">
        <f>IF($A2741="","",IF(AH!$U$5=1,IFERROR(MATCH($A2741,'Live History'!$A$5:$A$3004,0),0),AH!$U$7+2736))</f>
        <v/>
      </c>
      <c r="L2741" s="15">
        <f>IF(ISNUMBER(A2741),TEXT(A2741,"dd-mmm-yy"),"")</f>
        <v/>
      </c>
    </row>
    <row r="2742">
      <c r="A2742" s="14">
        <f>IF(OR(AH!$U$4=0,2737+1&gt;AH!$U$6,AND(AH!$M$5="Bloomberg",AH!$U$5=0)),"",IFERROR(IF(AND(AH!$U$12=1,2737+1=AH!$U$6),TODAY(),IF(AH!$U$5=1,INDEX('Live History'!$A$5:$A$3004,AH!$U$7+2737),INDEX('AH History'!$A$5:$A$1380,AH!$U$7+2737))),""))</f>
        <v/>
      </c>
      <c r="B2742" s="33">
        <f>IFERROR(IF(AH!$U$11=1,NA(),$J2742/$E2742-1),NA())</f>
        <v/>
      </c>
      <c r="C2742" s="269">
        <f>IFERROR(100*$E2742/$E$5,NA())</f>
        <v/>
      </c>
      <c r="D2742" s="269">
        <f>IFERROR(100*$J2742/$J$5,NA())</f>
        <v/>
      </c>
      <c r="E2742" s="32">
        <f>IFERROR(IF(AND(ISNUMBER($A2742),N(IF(AND(AH!$U$12=1,2737+1=AH!$U$6),IF(AH!$U$4=0,"unavailable",INDEX('Market Data'!$AN$5:$AN$66,AH!$U$4)),IF(AH!$U$5=1,INDEX('Live History'!$B$5:$B$3004,$K2742),INDEX('AH History'!$D$5:$GG$1380,$K2742,AH!$U$10))))&gt;0),IF(AND(AH!$U$12=1,2737+1=AH!$U$6),IF(AH!$U$4=0,"unavailable",INDEX('Market Data'!$AN$5:$AN$66,AH!$U$4)),IF(AH!$U$5=1,INDEX('Live History'!$B$5:$B$3004,$K2742),INDEX('AH History'!$D$5:$GG$1380,$K2742,AH!$U$10))),NA()),NA())</f>
        <v/>
      </c>
      <c r="F2742" s="32">
        <f>IFERROR(IF(ISNUMBER($A2742),IF(AND(AH!$U$12=1,2737+1=AH!$U$6),IF(AH!$U$4=0,"unavailable",INDEX('Market Data'!$AO$5:$AO$66,AH!$U$4)),IF(AH!$U$5=1,INDEX('Live History'!$E$5:$E$3004,MATCH($A2742,'Live History'!$D$5:$D$3004,1)),INDEX('AH History'!$D$5:$GG$1380,$K2742,AH!$U$10+1))),NA()),NA())</f>
        <v/>
      </c>
      <c r="G2742" s="34">
        <f>IFERROR(IF(ISNUMBER($A2742),IF(AND(AH!$U$12=1,2737+1=AH!$U$6),IF(AH!$U$4=0,"unavailable",INDEX('Market Data'!$AK$5:$AK$66,AH!$U$4)),IF(AH!$U$5=1,INDEX('Live History'!$D$5:$D$3004,MATCH($A2742,'Live History'!$D$5:$D$3004,1)),INDEX('AH History'!$D$5:$GG$1380,$K2742,AH!$U$10+2))),NA()),NA())</f>
        <v/>
      </c>
      <c r="H2742" s="266">
        <f>IFERROR(IF(ISNUMBER($A2742),IF(AND(AH!$U$12=1,2737+1=AH!$U$6),IF(AH!$U$4=0,"unavailable",INDEX('Market Data'!$AP$5:$AP$66,AH!$U$4)),IF(AH!$U$5=1,INDEX('Live History'!$H$5:$H$3004,MATCH($A2742,'Live History'!$G$5:$G$3004,1)),INDEX('AH History'!$B$5:$B$1380,$K2742))),NA()),NA())</f>
        <v/>
      </c>
      <c r="I2742" s="34">
        <f>IFERROR(IF(ISNUMBER($A2742),IF(AND(AH!$U$12=1,2737+1=AH!$U$6),TODAY(),IF(AH!$U$5=1,INDEX('Live History'!$G$5:$G$3004,MATCH($A2742,'Live History'!$G$5:$G$3004,1)),INDEX('AH History'!$C$5:$C$1380,$K2742))),NA()),NA())</f>
        <v/>
      </c>
      <c r="J2742" s="32">
        <f>IFERROR(IF(AND($F2742&gt;0,$H2742&gt;0,$A2742-$G2742&lt;=10,$A2742-$I2742&lt;=5,$G2742&gt;0,$I2742&gt;0),$F2742*$H2742,NA()),NA())</f>
        <v/>
      </c>
      <c r="K2742" s="15">
        <f>IF($A2742="","",IF(AH!$U$5=1,IFERROR(MATCH($A2742,'Live History'!$A$5:$A$3004,0),0),AH!$U$7+2737))</f>
        <v/>
      </c>
      <c r="L2742" s="15">
        <f>IF(ISNUMBER(A2742),TEXT(A2742,"dd-mmm-yy"),"")</f>
        <v/>
      </c>
    </row>
    <row r="2743">
      <c r="A2743" s="14">
        <f>IF(OR(AH!$U$4=0,2738+1&gt;AH!$U$6,AND(AH!$M$5="Bloomberg",AH!$U$5=0)),"",IFERROR(IF(AND(AH!$U$12=1,2738+1=AH!$U$6),TODAY(),IF(AH!$U$5=1,INDEX('Live History'!$A$5:$A$3004,AH!$U$7+2738),INDEX('AH History'!$A$5:$A$1380,AH!$U$7+2738))),""))</f>
        <v/>
      </c>
      <c r="B2743" s="33">
        <f>IFERROR(IF(AH!$U$11=1,NA(),$J2743/$E2743-1),NA())</f>
        <v/>
      </c>
      <c r="C2743" s="269">
        <f>IFERROR(100*$E2743/$E$5,NA())</f>
        <v/>
      </c>
      <c r="D2743" s="269">
        <f>IFERROR(100*$J2743/$J$5,NA())</f>
        <v/>
      </c>
      <c r="E2743" s="32">
        <f>IFERROR(IF(AND(ISNUMBER($A2743),N(IF(AND(AH!$U$12=1,2738+1=AH!$U$6),IF(AH!$U$4=0,"unavailable",INDEX('Market Data'!$AN$5:$AN$66,AH!$U$4)),IF(AH!$U$5=1,INDEX('Live History'!$B$5:$B$3004,$K2743),INDEX('AH History'!$D$5:$GG$1380,$K2743,AH!$U$10))))&gt;0),IF(AND(AH!$U$12=1,2738+1=AH!$U$6),IF(AH!$U$4=0,"unavailable",INDEX('Market Data'!$AN$5:$AN$66,AH!$U$4)),IF(AH!$U$5=1,INDEX('Live History'!$B$5:$B$3004,$K2743),INDEX('AH History'!$D$5:$GG$1380,$K2743,AH!$U$10))),NA()),NA())</f>
        <v/>
      </c>
      <c r="F2743" s="32">
        <f>IFERROR(IF(ISNUMBER($A2743),IF(AND(AH!$U$12=1,2738+1=AH!$U$6),IF(AH!$U$4=0,"unavailable",INDEX('Market Data'!$AO$5:$AO$66,AH!$U$4)),IF(AH!$U$5=1,INDEX('Live History'!$E$5:$E$3004,MATCH($A2743,'Live History'!$D$5:$D$3004,1)),INDEX('AH History'!$D$5:$GG$1380,$K2743,AH!$U$10+1))),NA()),NA())</f>
        <v/>
      </c>
      <c r="G2743" s="34">
        <f>IFERROR(IF(ISNUMBER($A2743),IF(AND(AH!$U$12=1,2738+1=AH!$U$6),IF(AH!$U$4=0,"unavailable",INDEX('Market Data'!$AK$5:$AK$66,AH!$U$4)),IF(AH!$U$5=1,INDEX('Live History'!$D$5:$D$3004,MATCH($A2743,'Live History'!$D$5:$D$3004,1)),INDEX('AH History'!$D$5:$GG$1380,$K2743,AH!$U$10+2))),NA()),NA())</f>
        <v/>
      </c>
      <c r="H2743" s="266">
        <f>IFERROR(IF(ISNUMBER($A2743),IF(AND(AH!$U$12=1,2738+1=AH!$U$6),IF(AH!$U$4=0,"unavailable",INDEX('Market Data'!$AP$5:$AP$66,AH!$U$4)),IF(AH!$U$5=1,INDEX('Live History'!$H$5:$H$3004,MATCH($A2743,'Live History'!$G$5:$G$3004,1)),INDEX('AH History'!$B$5:$B$1380,$K2743))),NA()),NA())</f>
        <v/>
      </c>
      <c r="I2743" s="34">
        <f>IFERROR(IF(ISNUMBER($A2743),IF(AND(AH!$U$12=1,2738+1=AH!$U$6),TODAY(),IF(AH!$U$5=1,INDEX('Live History'!$G$5:$G$3004,MATCH($A2743,'Live History'!$G$5:$G$3004,1)),INDEX('AH History'!$C$5:$C$1380,$K2743))),NA()),NA())</f>
        <v/>
      </c>
      <c r="J2743" s="32">
        <f>IFERROR(IF(AND($F2743&gt;0,$H2743&gt;0,$A2743-$G2743&lt;=10,$A2743-$I2743&lt;=5,$G2743&gt;0,$I2743&gt;0),$F2743*$H2743,NA()),NA())</f>
        <v/>
      </c>
      <c r="K2743" s="15">
        <f>IF($A2743="","",IF(AH!$U$5=1,IFERROR(MATCH($A2743,'Live History'!$A$5:$A$3004,0),0),AH!$U$7+2738))</f>
        <v/>
      </c>
      <c r="L2743" s="15">
        <f>IF(ISNUMBER(A2743),TEXT(A2743,"dd-mmm-yy"),"")</f>
        <v/>
      </c>
    </row>
    <row r="2744">
      <c r="A2744" s="14">
        <f>IF(OR(AH!$U$4=0,2739+1&gt;AH!$U$6,AND(AH!$M$5="Bloomberg",AH!$U$5=0)),"",IFERROR(IF(AND(AH!$U$12=1,2739+1=AH!$U$6),TODAY(),IF(AH!$U$5=1,INDEX('Live History'!$A$5:$A$3004,AH!$U$7+2739),INDEX('AH History'!$A$5:$A$1380,AH!$U$7+2739))),""))</f>
        <v/>
      </c>
      <c r="B2744" s="33">
        <f>IFERROR(IF(AH!$U$11=1,NA(),$J2744/$E2744-1),NA())</f>
        <v/>
      </c>
      <c r="C2744" s="269">
        <f>IFERROR(100*$E2744/$E$5,NA())</f>
        <v/>
      </c>
      <c r="D2744" s="269">
        <f>IFERROR(100*$J2744/$J$5,NA())</f>
        <v/>
      </c>
      <c r="E2744" s="32">
        <f>IFERROR(IF(AND(ISNUMBER($A2744),N(IF(AND(AH!$U$12=1,2739+1=AH!$U$6),IF(AH!$U$4=0,"unavailable",INDEX('Market Data'!$AN$5:$AN$66,AH!$U$4)),IF(AH!$U$5=1,INDEX('Live History'!$B$5:$B$3004,$K2744),INDEX('AH History'!$D$5:$GG$1380,$K2744,AH!$U$10))))&gt;0),IF(AND(AH!$U$12=1,2739+1=AH!$U$6),IF(AH!$U$4=0,"unavailable",INDEX('Market Data'!$AN$5:$AN$66,AH!$U$4)),IF(AH!$U$5=1,INDEX('Live History'!$B$5:$B$3004,$K2744),INDEX('AH History'!$D$5:$GG$1380,$K2744,AH!$U$10))),NA()),NA())</f>
        <v/>
      </c>
      <c r="F2744" s="32">
        <f>IFERROR(IF(ISNUMBER($A2744),IF(AND(AH!$U$12=1,2739+1=AH!$U$6),IF(AH!$U$4=0,"unavailable",INDEX('Market Data'!$AO$5:$AO$66,AH!$U$4)),IF(AH!$U$5=1,INDEX('Live History'!$E$5:$E$3004,MATCH($A2744,'Live History'!$D$5:$D$3004,1)),INDEX('AH History'!$D$5:$GG$1380,$K2744,AH!$U$10+1))),NA()),NA())</f>
        <v/>
      </c>
      <c r="G2744" s="34">
        <f>IFERROR(IF(ISNUMBER($A2744),IF(AND(AH!$U$12=1,2739+1=AH!$U$6),IF(AH!$U$4=0,"unavailable",INDEX('Market Data'!$AK$5:$AK$66,AH!$U$4)),IF(AH!$U$5=1,INDEX('Live History'!$D$5:$D$3004,MATCH($A2744,'Live History'!$D$5:$D$3004,1)),INDEX('AH History'!$D$5:$GG$1380,$K2744,AH!$U$10+2))),NA()),NA())</f>
        <v/>
      </c>
      <c r="H2744" s="266">
        <f>IFERROR(IF(ISNUMBER($A2744),IF(AND(AH!$U$12=1,2739+1=AH!$U$6),IF(AH!$U$4=0,"unavailable",INDEX('Market Data'!$AP$5:$AP$66,AH!$U$4)),IF(AH!$U$5=1,INDEX('Live History'!$H$5:$H$3004,MATCH($A2744,'Live History'!$G$5:$G$3004,1)),INDEX('AH History'!$B$5:$B$1380,$K2744))),NA()),NA())</f>
        <v/>
      </c>
      <c r="I2744" s="34">
        <f>IFERROR(IF(ISNUMBER($A2744),IF(AND(AH!$U$12=1,2739+1=AH!$U$6),TODAY(),IF(AH!$U$5=1,INDEX('Live History'!$G$5:$G$3004,MATCH($A2744,'Live History'!$G$5:$G$3004,1)),INDEX('AH History'!$C$5:$C$1380,$K2744))),NA()),NA())</f>
        <v/>
      </c>
      <c r="J2744" s="32">
        <f>IFERROR(IF(AND($F2744&gt;0,$H2744&gt;0,$A2744-$G2744&lt;=10,$A2744-$I2744&lt;=5,$G2744&gt;0,$I2744&gt;0),$F2744*$H2744,NA()),NA())</f>
        <v/>
      </c>
      <c r="K2744" s="15">
        <f>IF($A2744="","",IF(AH!$U$5=1,IFERROR(MATCH($A2744,'Live History'!$A$5:$A$3004,0),0),AH!$U$7+2739))</f>
        <v/>
      </c>
      <c r="L2744" s="15">
        <f>IF(ISNUMBER(A2744),TEXT(A2744,"dd-mmm-yy"),"")</f>
        <v/>
      </c>
    </row>
    <row r="2745">
      <c r="A2745" s="14">
        <f>IF(OR(AH!$U$4=0,2740+1&gt;AH!$U$6,AND(AH!$M$5="Bloomberg",AH!$U$5=0)),"",IFERROR(IF(AND(AH!$U$12=1,2740+1=AH!$U$6),TODAY(),IF(AH!$U$5=1,INDEX('Live History'!$A$5:$A$3004,AH!$U$7+2740),INDEX('AH History'!$A$5:$A$1380,AH!$U$7+2740))),""))</f>
        <v/>
      </c>
      <c r="B2745" s="33">
        <f>IFERROR(IF(AH!$U$11=1,NA(),$J2745/$E2745-1),NA())</f>
        <v/>
      </c>
      <c r="C2745" s="269">
        <f>IFERROR(100*$E2745/$E$5,NA())</f>
        <v/>
      </c>
      <c r="D2745" s="269">
        <f>IFERROR(100*$J2745/$J$5,NA())</f>
        <v/>
      </c>
      <c r="E2745" s="32">
        <f>IFERROR(IF(AND(ISNUMBER($A2745),N(IF(AND(AH!$U$12=1,2740+1=AH!$U$6),IF(AH!$U$4=0,"unavailable",INDEX('Market Data'!$AN$5:$AN$66,AH!$U$4)),IF(AH!$U$5=1,INDEX('Live History'!$B$5:$B$3004,$K2745),INDEX('AH History'!$D$5:$GG$1380,$K2745,AH!$U$10))))&gt;0),IF(AND(AH!$U$12=1,2740+1=AH!$U$6),IF(AH!$U$4=0,"unavailable",INDEX('Market Data'!$AN$5:$AN$66,AH!$U$4)),IF(AH!$U$5=1,INDEX('Live History'!$B$5:$B$3004,$K2745),INDEX('AH History'!$D$5:$GG$1380,$K2745,AH!$U$10))),NA()),NA())</f>
        <v/>
      </c>
      <c r="F2745" s="32">
        <f>IFERROR(IF(ISNUMBER($A2745),IF(AND(AH!$U$12=1,2740+1=AH!$U$6),IF(AH!$U$4=0,"unavailable",INDEX('Market Data'!$AO$5:$AO$66,AH!$U$4)),IF(AH!$U$5=1,INDEX('Live History'!$E$5:$E$3004,MATCH($A2745,'Live History'!$D$5:$D$3004,1)),INDEX('AH History'!$D$5:$GG$1380,$K2745,AH!$U$10+1))),NA()),NA())</f>
        <v/>
      </c>
      <c r="G2745" s="34">
        <f>IFERROR(IF(ISNUMBER($A2745),IF(AND(AH!$U$12=1,2740+1=AH!$U$6),IF(AH!$U$4=0,"unavailable",INDEX('Market Data'!$AK$5:$AK$66,AH!$U$4)),IF(AH!$U$5=1,INDEX('Live History'!$D$5:$D$3004,MATCH($A2745,'Live History'!$D$5:$D$3004,1)),INDEX('AH History'!$D$5:$GG$1380,$K2745,AH!$U$10+2))),NA()),NA())</f>
        <v/>
      </c>
      <c r="H2745" s="266">
        <f>IFERROR(IF(ISNUMBER($A2745),IF(AND(AH!$U$12=1,2740+1=AH!$U$6),IF(AH!$U$4=0,"unavailable",INDEX('Market Data'!$AP$5:$AP$66,AH!$U$4)),IF(AH!$U$5=1,INDEX('Live History'!$H$5:$H$3004,MATCH($A2745,'Live History'!$G$5:$G$3004,1)),INDEX('AH History'!$B$5:$B$1380,$K2745))),NA()),NA())</f>
        <v/>
      </c>
      <c r="I2745" s="34">
        <f>IFERROR(IF(ISNUMBER($A2745),IF(AND(AH!$U$12=1,2740+1=AH!$U$6),TODAY(),IF(AH!$U$5=1,INDEX('Live History'!$G$5:$G$3004,MATCH($A2745,'Live History'!$G$5:$G$3004,1)),INDEX('AH History'!$C$5:$C$1380,$K2745))),NA()),NA())</f>
        <v/>
      </c>
      <c r="J2745" s="32">
        <f>IFERROR(IF(AND($F2745&gt;0,$H2745&gt;0,$A2745-$G2745&lt;=10,$A2745-$I2745&lt;=5,$G2745&gt;0,$I2745&gt;0),$F2745*$H2745,NA()),NA())</f>
        <v/>
      </c>
      <c r="K2745" s="15">
        <f>IF($A2745="","",IF(AH!$U$5=1,IFERROR(MATCH($A2745,'Live History'!$A$5:$A$3004,0),0),AH!$U$7+2740))</f>
        <v/>
      </c>
      <c r="L2745" s="15">
        <f>IF(ISNUMBER(A2745),TEXT(A2745,"dd-mmm-yy"),"")</f>
        <v/>
      </c>
    </row>
    <row r="2746">
      <c r="A2746" s="14">
        <f>IF(OR(AH!$U$4=0,2741+1&gt;AH!$U$6,AND(AH!$M$5="Bloomberg",AH!$U$5=0)),"",IFERROR(IF(AND(AH!$U$12=1,2741+1=AH!$U$6),TODAY(),IF(AH!$U$5=1,INDEX('Live History'!$A$5:$A$3004,AH!$U$7+2741),INDEX('AH History'!$A$5:$A$1380,AH!$U$7+2741))),""))</f>
        <v/>
      </c>
      <c r="B2746" s="33">
        <f>IFERROR(IF(AH!$U$11=1,NA(),$J2746/$E2746-1),NA())</f>
        <v/>
      </c>
      <c r="C2746" s="269">
        <f>IFERROR(100*$E2746/$E$5,NA())</f>
        <v/>
      </c>
      <c r="D2746" s="269">
        <f>IFERROR(100*$J2746/$J$5,NA())</f>
        <v/>
      </c>
      <c r="E2746" s="32">
        <f>IFERROR(IF(AND(ISNUMBER($A2746),N(IF(AND(AH!$U$12=1,2741+1=AH!$U$6),IF(AH!$U$4=0,"unavailable",INDEX('Market Data'!$AN$5:$AN$66,AH!$U$4)),IF(AH!$U$5=1,INDEX('Live History'!$B$5:$B$3004,$K2746),INDEX('AH History'!$D$5:$GG$1380,$K2746,AH!$U$10))))&gt;0),IF(AND(AH!$U$12=1,2741+1=AH!$U$6),IF(AH!$U$4=0,"unavailable",INDEX('Market Data'!$AN$5:$AN$66,AH!$U$4)),IF(AH!$U$5=1,INDEX('Live History'!$B$5:$B$3004,$K2746),INDEX('AH History'!$D$5:$GG$1380,$K2746,AH!$U$10))),NA()),NA())</f>
        <v/>
      </c>
      <c r="F2746" s="32">
        <f>IFERROR(IF(ISNUMBER($A2746),IF(AND(AH!$U$12=1,2741+1=AH!$U$6),IF(AH!$U$4=0,"unavailable",INDEX('Market Data'!$AO$5:$AO$66,AH!$U$4)),IF(AH!$U$5=1,INDEX('Live History'!$E$5:$E$3004,MATCH($A2746,'Live History'!$D$5:$D$3004,1)),INDEX('AH History'!$D$5:$GG$1380,$K2746,AH!$U$10+1))),NA()),NA())</f>
        <v/>
      </c>
      <c r="G2746" s="34">
        <f>IFERROR(IF(ISNUMBER($A2746),IF(AND(AH!$U$12=1,2741+1=AH!$U$6),IF(AH!$U$4=0,"unavailable",INDEX('Market Data'!$AK$5:$AK$66,AH!$U$4)),IF(AH!$U$5=1,INDEX('Live History'!$D$5:$D$3004,MATCH($A2746,'Live History'!$D$5:$D$3004,1)),INDEX('AH History'!$D$5:$GG$1380,$K2746,AH!$U$10+2))),NA()),NA())</f>
        <v/>
      </c>
      <c r="H2746" s="266">
        <f>IFERROR(IF(ISNUMBER($A2746),IF(AND(AH!$U$12=1,2741+1=AH!$U$6),IF(AH!$U$4=0,"unavailable",INDEX('Market Data'!$AP$5:$AP$66,AH!$U$4)),IF(AH!$U$5=1,INDEX('Live History'!$H$5:$H$3004,MATCH($A2746,'Live History'!$G$5:$G$3004,1)),INDEX('AH History'!$B$5:$B$1380,$K2746))),NA()),NA())</f>
        <v/>
      </c>
      <c r="I2746" s="34">
        <f>IFERROR(IF(ISNUMBER($A2746),IF(AND(AH!$U$12=1,2741+1=AH!$U$6),TODAY(),IF(AH!$U$5=1,INDEX('Live History'!$G$5:$G$3004,MATCH($A2746,'Live History'!$G$5:$G$3004,1)),INDEX('AH History'!$C$5:$C$1380,$K2746))),NA()),NA())</f>
        <v/>
      </c>
      <c r="J2746" s="32">
        <f>IFERROR(IF(AND($F2746&gt;0,$H2746&gt;0,$A2746-$G2746&lt;=10,$A2746-$I2746&lt;=5,$G2746&gt;0,$I2746&gt;0),$F2746*$H2746,NA()),NA())</f>
        <v/>
      </c>
      <c r="K2746" s="15">
        <f>IF($A2746="","",IF(AH!$U$5=1,IFERROR(MATCH($A2746,'Live History'!$A$5:$A$3004,0),0),AH!$U$7+2741))</f>
        <v/>
      </c>
      <c r="L2746" s="15">
        <f>IF(ISNUMBER(A2746),TEXT(A2746,"dd-mmm-yy"),"")</f>
        <v/>
      </c>
    </row>
    <row r="2747">
      <c r="A2747" s="14">
        <f>IF(OR(AH!$U$4=0,2742+1&gt;AH!$U$6,AND(AH!$M$5="Bloomberg",AH!$U$5=0)),"",IFERROR(IF(AND(AH!$U$12=1,2742+1=AH!$U$6),TODAY(),IF(AH!$U$5=1,INDEX('Live History'!$A$5:$A$3004,AH!$U$7+2742),INDEX('AH History'!$A$5:$A$1380,AH!$U$7+2742))),""))</f>
        <v/>
      </c>
      <c r="B2747" s="33">
        <f>IFERROR(IF(AH!$U$11=1,NA(),$J2747/$E2747-1),NA())</f>
        <v/>
      </c>
      <c r="C2747" s="269">
        <f>IFERROR(100*$E2747/$E$5,NA())</f>
        <v/>
      </c>
      <c r="D2747" s="269">
        <f>IFERROR(100*$J2747/$J$5,NA())</f>
        <v/>
      </c>
      <c r="E2747" s="32">
        <f>IFERROR(IF(AND(ISNUMBER($A2747),N(IF(AND(AH!$U$12=1,2742+1=AH!$U$6),IF(AH!$U$4=0,"unavailable",INDEX('Market Data'!$AN$5:$AN$66,AH!$U$4)),IF(AH!$U$5=1,INDEX('Live History'!$B$5:$B$3004,$K2747),INDEX('AH History'!$D$5:$GG$1380,$K2747,AH!$U$10))))&gt;0),IF(AND(AH!$U$12=1,2742+1=AH!$U$6),IF(AH!$U$4=0,"unavailable",INDEX('Market Data'!$AN$5:$AN$66,AH!$U$4)),IF(AH!$U$5=1,INDEX('Live History'!$B$5:$B$3004,$K2747),INDEX('AH History'!$D$5:$GG$1380,$K2747,AH!$U$10))),NA()),NA())</f>
        <v/>
      </c>
      <c r="F2747" s="32">
        <f>IFERROR(IF(ISNUMBER($A2747),IF(AND(AH!$U$12=1,2742+1=AH!$U$6),IF(AH!$U$4=0,"unavailable",INDEX('Market Data'!$AO$5:$AO$66,AH!$U$4)),IF(AH!$U$5=1,INDEX('Live History'!$E$5:$E$3004,MATCH($A2747,'Live History'!$D$5:$D$3004,1)),INDEX('AH History'!$D$5:$GG$1380,$K2747,AH!$U$10+1))),NA()),NA())</f>
        <v/>
      </c>
      <c r="G2747" s="34">
        <f>IFERROR(IF(ISNUMBER($A2747),IF(AND(AH!$U$12=1,2742+1=AH!$U$6),IF(AH!$U$4=0,"unavailable",INDEX('Market Data'!$AK$5:$AK$66,AH!$U$4)),IF(AH!$U$5=1,INDEX('Live History'!$D$5:$D$3004,MATCH($A2747,'Live History'!$D$5:$D$3004,1)),INDEX('AH History'!$D$5:$GG$1380,$K2747,AH!$U$10+2))),NA()),NA())</f>
        <v/>
      </c>
      <c r="H2747" s="266">
        <f>IFERROR(IF(ISNUMBER($A2747),IF(AND(AH!$U$12=1,2742+1=AH!$U$6),IF(AH!$U$4=0,"unavailable",INDEX('Market Data'!$AP$5:$AP$66,AH!$U$4)),IF(AH!$U$5=1,INDEX('Live History'!$H$5:$H$3004,MATCH($A2747,'Live History'!$G$5:$G$3004,1)),INDEX('AH History'!$B$5:$B$1380,$K2747))),NA()),NA())</f>
        <v/>
      </c>
      <c r="I2747" s="34">
        <f>IFERROR(IF(ISNUMBER($A2747),IF(AND(AH!$U$12=1,2742+1=AH!$U$6),TODAY(),IF(AH!$U$5=1,INDEX('Live History'!$G$5:$G$3004,MATCH($A2747,'Live History'!$G$5:$G$3004,1)),INDEX('AH History'!$C$5:$C$1380,$K2747))),NA()),NA())</f>
        <v/>
      </c>
      <c r="J2747" s="32">
        <f>IFERROR(IF(AND($F2747&gt;0,$H2747&gt;0,$A2747-$G2747&lt;=10,$A2747-$I2747&lt;=5,$G2747&gt;0,$I2747&gt;0),$F2747*$H2747,NA()),NA())</f>
        <v/>
      </c>
      <c r="K2747" s="15">
        <f>IF($A2747="","",IF(AH!$U$5=1,IFERROR(MATCH($A2747,'Live History'!$A$5:$A$3004,0),0),AH!$U$7+2742))</f>
        <v/>
      </c>
      <c r="L2747" s="15">
        <f>IF(ISNUMBER(A2747),TEXT(A2747,"dd-mmm-yy"),"")</f>
        <v/>
      </c>
    </row>
    <row r="2748">
      <c r="A2748" s="14">
        <f>IF(OR(AH!$U$4=0,2743+1&gt;AH!$U$6,AND(AH!$M$5="Bloomberg",AH!$U$5=0)),"",IFERROR(IF(AND(AH!$U$12=1,2743+1=AH!$U$6),TODAY(),IF(AH!$U$5=1,INDEX('Live History'!$A$5:$A$3004,AH!$U$7+2743),INDEX('AH History'!$A$5:$A$1380,AH!$U$7+2743))),""))</f>
        <v/>
      </c>
      <c r="B2748" s="33">
        <f>IFERROR(IF(AH!$U$11=1,NA(),$J2748/$E2748-1),NA())</f>
        <v/>
      </c>
      <c r="C2748" s="269">
        <f>IFERROR(100*$E2748/$E$5,NA())</f>
        <v/>
      </c>
      <c r="D2748" s="269">
        <f>IFERROR(100*$J2748/$J$5,NA())</f>
        <v/>
      </c>
      <c r="E2748" s="32">
        <f>IFERROR(IF(AND(ISNUMBER($A2748),N(IF(AND(AH!$U$12=1,2743+1=AH!$U$6),IF(AH!$U$4=0,"unavailable",INDEX('Market Data'!$AN$5:$AN$66,AH!$U$4)),IF(AH!$U$5=1,INDEX('Live History'!$B$5:$B$3004,$K2748),INDEX('AH History'!$D$5:$GG$1380,$K2748,AH!$U$10))))&gt;0),IF(AND(AH!$U$12=1,2743+1=AH!$U$6),IF(AH!$U$4=0,"unavailable",INDEX('Market Data'!$AN$5:$AN$66,AH!$U$4)),IF(AH!$U$5=1,INDEX('Live History'!$B$5:$B$3004,$K2748),INDEX('AH History'!$D$5:$GG$1380,$K2748,AH!$U$10))),NA()),NA())</f>
        <v/>
      </c>
      <c r="F2748" s="32">
        <f>IFERROR(IF(ISNUMBER($A2748),IF(AND(AH!$U$12=1,2743+1=AH!$U$6),IF(AH!$U$4=0,"unavailable",INDEX('Market Data'!$AO$5:$AO$66,AH!$U$4)),IF(AH!$U$5=1,INDEX('Live History'!$E$5:$E$3004,MATCH($A2748,'Live History'!$D$5:$D$3004,1)),INDEX('AH History'!$D$5:$GG$1380,$K2748,AH!$U$10+1))),NA()),NA())</f>
        <v/>
      </c>
      <c r="G2748" s="34">
        <f>IFERROR(IF(ISNUMBER($A2748),IF(AND(AH!$U$12=1,2743+1=AH!$U$6),IF(AH!$U$4=0,"unavailable",INDEX('Market Data'!$AK$5:$AK$66,AH!$U$4)),IF(AH!$U$5=1,INDEX('Live History'!$D$5:$D$3004,MATCH($A2748,'Live History'!$D$5:$D$3004,1)),INDEX('AH History'!$D$5:$GG$1380,$K2748,AH!$U$10+2))),NA()),NA())</f>
        <v/>
      </c>
      <c r="H2748" s="266">
        <f>IFERROR(IF(ISNUMBER($A2748),IF(AND(AH!$U$12=1,2743+1=AH!$U$6),IF(AH!$U$4=0,"unavailable",INDEX('Market Data'!$AP$5:$AP$66,AH!$U$4)),IF(AH!$U$5=1,INDEX('Live History'!$H$5:$H$3004,MATCH($A2748,'Live History'!$G$5:$G$3004,1)),INDEX('AH History'!$B$5:$B$1380,$K2748))),NA()),NA())</f>
        <v/>
      </c>
      <c r="I2748" s="34">
        <f>IFERROR(IF(ISNUMBER($A2748),IF(AND(AH!$U$12=1,2743+1=AH!$U$6),TODAY(),IF(AH!$U$5=1,INDEX('Live History'!$G$5:$G$3004,MATCH($A2748,'Live History'!$G$5:$G$3004,1)),INDEX('AH History'!$C$5:$C$1380,$K2748))),NA()),NA())</f>
        <v/>
      </c>
      <c r="J2748" s="32">
        <f>IFERROR(IF(AND($F2748&gt;0,$H2748&gt;0,$A2748-$G2748&lt;=10,$A2748-$I2748&lt;=5,$G2748&gt;0,$I2748&gt;0),$F2748*$H2748,NA()),NA())</f>
        <v/>
      </c>
      <c r="K2748" s="15">
        <f>IF($A2748="","",IF(AH!$U$5=1,IFERROR(MATCH($A2748,'Live History'!$A$5:$A$3004,0),0),AH!$U$7+2743))</f>
        <v/>
      </c>
      <c r="L2748" s="15">
        <f>IF(ISNUMBER(A2748),TEXT(A2748,"dd-mmm-yy"),"")</f>
        <v/>
      </c>
    </row>
    <row r="2749">
      <c r="A2749" s="14">
        <f>IF(OR(AH!$U$4=0,2744+1&gt;AH!$U$6,AND(AH!$M$5="Bloomberg",AH!$U$5=0)),"",IFERROR(IF(AND(AH!$U$12=1,2744+1=AH!$U$6),TODAY(),IF(AH!$U$5=1,INDEX('Live History'!$A$5:$A$3004,AH!$U$7+2744),INDEX('AH History'!$A$5:$A$1380,AH!$U$7+2744))),""))</f>
        <v/>
      </c>
      <c r="B2749" s="33">
        <f>IFERROR(IF(AH!$U$11=1,NA(),$J2749/$E2749-1),NA())</f>
        <v/>
      </c>
      <c r="C2749" s="269">
        <f>IFERROR(100*$E2749/$E$5,NA())</f>
        <v/>
      </c>
      <c r="D2749" s="269">
        <f>IFERROR(100*$J2749/$J$5,NA())</f>
        <v/>
      </c>
      <c r="E2749" s="32">
        <f>IFERROR(IF(AND(ISNUMBER($A2749),N(IF(AND(AH!$U$12=1,2744+1=AH!$U$6),IF(AH!$U$4=0,"unavailable",INDEX('Market Data'!$AN$5:$AN$66,AH!$U$4)),IF(AH!$U$5=1,INDEX('Live History'!$B$5:$B$3004,$K2749),INDEX('AH History'!$D$5:$GG$1380,$K2749,AH!$U$10))))&gt;0),IF(AND(AH!$U$12=1,2744+1=AH!$U$6),IF(AH!$U$4=0,"unavailable",INDEX('Market Data'!$AN$5:$AN$66,AH!$U$4)),IF(AH!$U$5=1,INDEX('Live History'!$B$5:$B$3004,$K2749),INDEX('AH History'!$D$5:$GG$1380,$K2749,AH!$U$10))),NA()),NA())</f>
        <v/>
      </c>
      <c r="F2749" s="32">
        <f>IFERROR(IF(ISNUMBER($A2749),IF(AND(AH!$U$12=1,2744+1=AH!$U$6),IF(AH!$U$4=0,"unavailable",INDEX('Market Data'!$AO$5:$AO$66,AH!$U$4)),IF(AH!$U$5=1,INDEX('Live History'!$E$5:$E$3004,MATCH($A2749,'Live History'!$D$5:$D$3004,1)),INDEX('AH History'!$D$5:$GG$1380,$K2749,AH!$U$10+1))),NA()),NA())</f>
        <v/>
      </c>
      <c r="G2749" s="34">
        <f>IFERROR(IF(ISNUMBER($A2749),IF(AND(AH!$U$12=1,2744+1=AH!$U$6),IF(AH!$U$4=0,"unavailable",INDEX('Market Data'!$AK$5:$AK$66,AH!$U$4)),IF(AH!$U$5=1,INDEX('Live History'!$D$5:$D$3004,MATCH($A2749,'Live History'!$D$5:$D$3004,1)),INDEX('AH History'!$D$5:$GG$1380,$K2749,AH!$U$10+2))),NA()),NA())</f>
        <v/>
      </c>
      <c r="H2749" s="266">
        <f>IFERROR(IF(ISNUMBER($A2749),IF(AND(AH!$U$12=1,2744+1=AH!$U$6),IF(AH!$U$4=0,"unavailable",INDEX('Market Data'!$AP$5:$AP$66,AH!$U$4)),IF(AH!$U$5=1,INDEX('Live History'!$H$5:$H$3004,MATCH($A2749,'Live History'!$G$5:$G$3004,1)),INDEX('AH History'!$B$5:$B$1380,$K2749))),NA()),NA())</f>
        <v/>
      </c>
      <c r="I2749" s="34">
        <f>IFERROR(IF(ISNUMBER($A2749),IF(AND(AH!$U$12=1,2744+1=AH!$U$6),TODAY(),IF(AH!$U$5=1,INDEX('Live History'!$G$5:$G$3004,MATCH($A2749,'Live History'!$G$5:$G$3004,1)),INDEX('AH History'!$C$5:$C$1380,$K2749))),NA()),NA())</f>
        <v/>
      </c>
      <c r="J2749" s="32">
        <f>IFERROR(IF(AND($F2749&gt;0,$H2749&gt;0,$A2749-$G2749&lt;=10,$A2749-$I2749&lt;=5,$G2749&gt;0,$I2749&gt;0),$F2749*$H2749,NA()),NA())</f>
        <v/>
      </c>
      <c r="K2749" s="15">
        <f>IF($A2749="","",IF(AH!$U$5=1,IFERROR(MATCH($A2749,'Live History'!$A$5:$A$3004,0),0),AH!$U$7+2744))</f>
        <v/>
      </c>
      <c r="L2749" s="15">
        <f>IF(ISNUMBER(A2749),TEXT(A2749,"dd-mmm-yy"),"")</f>
        <v/>
      </c>
    </row>
    <row r="2750">
      <c r="A2750" s="14">
        <f>IF(OR(AH!$U$4=0,2745+1&gt;AH!$U$6,AND(AH!$M$5="Bloomberg",AH!$U$5=0)),"",IFERROR(IF(AND(AH!$U$12=1,2745+1=AH!$U$6),TODAY(),IF(AH!$U$5=1,INDEX('Live History'!$A$5:$A$3004,AH!$U$7+2745),INDEX('AH History'!$A$5:$A$1380,AH!$U$7+2745))),""))</f>
        <v/>
      </c>
      <c r="B2750" s="33">
        <f>IFERROR(IF(AH!$U$11=1,NA(),$J2750/$E2750-1),NA())</f>
        <v/>
      </c>
      <c r="C2750" s="269">
        <f>IFERROR(100*$E2750/$E$5,NA())</f>
        <v/>
      </c>
      <c r="D2750" s="269">
        <f>IFERROR(100*$J2750/$J$5,NA())</f>
        <v/>
      </c>
      <c r="E2750" s="32">
        <f>IFERROR(IF(AND(ISNUMBER($A2750),N(IF(AND(AH!$U$12=1,2745+1=AH!$U$6),IF(AH!$U$4=0,"unavailable",INDEX('Market Data'!$AN$5:$AN$66,AH!$U$4)),IF(AH!$U$5=1,INDEX('Live History'!$B$5:$B$3004,$K2750),INDEX('AH History'!$D$5:$GG$1380,$K2750,AH!$U$10))))&gt;0),IF(AND(AH!$U$12=1,2745+1=AH!$U$6),IF(AH!$U$4=0,"unavailable",INDEX('Market Data'!$AN$5:$AN$66,AH!$U$4)),IF(AH!$U$5=1,INDEX('Live History'!$B$5:$B$3004,$K2750),INDEX('AH History'!$D$5:$GG$1380,$K2750,AH!$U$10))),NA()),NA())</f>
        <v/>
      </c>
      <c r="F2750" s="32">
        <f>IFERROR(IF(ISNUMBER($A2750),IF(AND(AH!$U$12=1,2745+1=AH!$U$6),IF(AH!$U$4=0,"unavailable",INDEX('Market Data'!$AO$5:$AO$66,AH!$U$4)),IF(AH!$U$5=1,INDEX('Live History'!$E$5:$E$3004,MATCH($A2750,'Live History'!$D$5:$D$3004,1)),INDEX('AH History'!$D$5:$GG$1380,$K2750,AH!$U$10+1))),NA()),NA())</f>
        <v/>
      </c>
      <c r="G2750" s="34">
        <f>IFERROR(IF(ISNUMBER($A2750),IF(AND(AH!$U$12=1,2745+1=AH!$U$6),IF(AH!$U$4=0,"unavailable",INDEX('Market Data'!$AK$5:$AK$66,AH!$U$4)),IF(AH!$U$5=1,INDEX('Live History'!$D$5:$D$3004,MATCH($A2750,'Live History'!$D$5:$D$3004,1)),INDEX('AH History'!$D$5:$GG$1380,$K2750,AH!$U$10+2))),NA()),NA())</f>
        <v/>
      </c>
      <c r="H2750" s="266">
        <f>IFERROR(IF(ISNUMBER($A2750),IF(AND(AH!$U$12=1,2745+1=AH!$U$6),IF(AH!$U$4=0,"unavailable",INDEX('Market Data'!$AP$5:$AP$66,AH!$U$4)),IF(AH!$U$5=1,INDEX('Live History'!$H$5:$H$3004,MATCH($A2750,'Live History'!$G$5:$G$3004,1)),INDEX('AH History'!$B$5:$B$1380,$K2750))),NA()),NA())</f>
        <v/>
      </c>
      <c r="I2750" s="34">
        <f>IFERROR(IF(ISNUMBER($A2750),IF(AND(AH!$U$12=1,2745+1=AH!$U$6),TODAY(),IF(AH!$U$5=1,INDEX('Live History'!$G$5:$G$3004,MATCH($A2750,'Live History'!$G$5:$G$3004,1)),INDEX('AH History'!$C$5:$C$1380,$K2750))),NA()),NA())</f>
        <v/>
      </c>
      <c r="J2750" s="32">
        <f>IFERROR(IF(AND($F2750&gt;0,$H2750&gt;0,$A2750-$G2750&lt;=10,$A2750-$I2750&lt;=5,$G2750&gt;0,$I2750&gt;0),$F2750*$H2750,NA()),NA())</f>
        <v/>
      </c>
      <c r="K2750" s="15">
        <f>IF($A2750="","",IF(AH!$U$5=1,IFERROR(MATCH($A2750,'Live History'!$A$5:$A$3004,0),0),AH!$U$7+2745))</f>
        <v/>
      </c>
      <c r="L2750" s="15">
        <f>IF(ISNUMBER(A2750),TEXT(A2750,"dd-mmm-yy"),"")</f>
        <v/>
      </c>
    </row>
    <row r="2751">
      <c r="A2751" s="14">
        <f>IF(OR(AH!$U$4=0,2746+1&gt;AH!$U$6,AND(AH!$M$5="Bloomberg",AH!$U$5=0)),"",IFERROR(IF(AND(AH!$U$12=1,2746+1=AH!$U$6),TODAY(),IF(AH!$U$5=1,INDEX('Live History'!$A$5:$A$3004,AH!$U$7+2746),INDEX('AH History'!$A$5:$A$1380,AH!$U$7+2746))),""))</f>
        <v/>
      </c>
      <c r="B2751" s="33">
        <f>IFERROR(IF(AH!$U$11=1,NA(),$J2751/$E2751-1),NA())</f>
        <v/>
      </c>
      <c r="C2751" s="269">
        <f>IFERROR(100*$E2751/$E$5,NA())</f>
        <v/>
      </c>
      <c r="D2751" s="269">
        <f>IFERROR(100*$J2751/$J$5,NA())</f>
        <v/>
      </c>
      <c r="E2751" s="32">
        <f>IFERROR(IF(AND(ISNUMBER($A2751),N(IF(AND(AH!$U$12=1,2746+1=AH!$U$6),IF(AH!$U$4=0,"unavailable",INDEX('Market Data'!$AN$5:$AN$66,AH!$U$4)),IF(AH!$U$5=1,INDEX('Live History'!$B$5:$B$3004,$K2751),INDEX('AH History'!$D$5:$GG$1380,$K2751,AH!$U$10))))&gt;0),IF(AND(AH!$U$12=1,2746+1=AH!$U$6),IF(AH!$U$4=0,"unavailable",INDEX('Market Data'!$AN$5:$AN$66,AH!$U$4)),IF(AH!$U$5=1,INDEX('Live History'!$B$5:$B$3004,$K2751),INDEX('AH History'!$D$5:$GG$1380,$K2751,AH!$U$10))),NA()),NA())</f>
        <v/>
      </c>
      <c r="F2751" s="32">
        <f>IFERROR(IF(ISNUMBER($A2751),IF(AND(AH!$U$12=1,2746+1=AH!$U$6),IF(AH!$U$4=0,"unavailable",INDEX('Market Data'!$AO$5:$AO$66,AH!$U$4)),IF(AH!$U$5=1,INDEX('Live History'!$E$5:$E$3004,MATCH($A2751,'Live History'!$D$5:$D$3004,1)),INDEX('AH History'!$D$5:$GG$1380,$K2751,AH!$U$10+1))),NA()),NA())</f>
        <v/>
      </c>
      <c r="G2751" s="34">
        <f>IFERROR(IF(ISNUMBER($A2751),IF(AND(AH!$U$12=1,2746+1=AH!$U$6),IF(AH!$U$4=0,"unavailable",INDEX('Market Data'!$AK$5:$AK$66,AH!$U$4)),IF(AH!$U$5=1,INDEX('Live History'!$D$5:$D$3004,MATCH($A2751,'Live History'!$D$5:$D$3004,1)),INDEX('AH History'!$D$5:$GG$1380,$K2751,AH!$U$10+2))),NA()),NA())</f>
        <v/>
      </c>
      <c r="H2751" s="266">
        <f>IFERROR(IF(ISNUMBER($A2751),IF(AND(AH!$U$12=1,2746+1=AH!$U$6),IF(AH!$U$4=0,"unavailable",INDEX('Market Data'!$AP$5:$AP$66,AH!$U$4)),IF(AH!$U$5=1,INDEX('Live History'!$H$5:$H$3004,MATCH($A2751,'Live History'!$G$5:$G$3004,1)),INDEX('AH History'!$B$5:$B$1380,$K2751))),NA()),NA())</f>
        <v/>
      </c>
      <c r="I2751" s="34">
        <f>IFERROR(IF(ISNUMBER($A2751),IF(AND(AH!$U$12=1,2746+1=AH!$U$6),TODAY(),IF(AH!$U$5=1,INDEX('Live History'!$G$5:$G$3004,MATCH($A2751,'Live History'!$G$5:$G$3004,1)),INDEX('AH History'!$C$5:$C$1380,$K2751))),NA()),NA())</f>
        <v/>
      </c>
      <c r="J2751" s="32">
        <f>IFERROR(IF(AND($F2751&gt;0,$H2751&gt;0,$A2751-$G2751&lt;=10,$A2751-$I2751&lt;=5,$G2751&gt;0,$I2751&gt;0),$F2751*$H2751,NA()),NA())</f>
        <v/>
      </c>
      <c r="K2751" s="15">
        <f>IF($A2751="","",IF(AH!$U$5=1,IFERROR(MATCH($A2751,'Live History'!$A$5:$A$3004,0),0),AH!$U$7+2746))</f>
        <v/>
      </c>
      <c r="L2751" s="15">
        <f>IF(ISNUMBER(A2751),TEXT(A2751,"dd-mmm-yy"),"")</f>
        <v/>
      </c>
    </row>
    <row r="2752">
      <c r="A2752" s="14">
        <f>IF(OR(AH!$U$4=0,2747+1&gt;AH!$U$6,AND(AH!$M$5="Bloomberg",AH!$U$5=0)),"",IFERROR(IF(AND(AH!$U$12=1,2747+1=AH!$U$6),TODAY(),IF(AH!$U$5=1,INDEX('Live History'!$A$5:$A$3004,AH!$U$7+2747),INDEX('AH History'!$A$5:$A$1380,AH!$U$7+2747))),""))</f>
        <v/>
      </c>
      <c r="B2752" s="33">
        <f>IFERROR(IF(AH!$U$11=1,NA(),$J2752/$E2752-1),NA())</f>
        <v/>
      </c>
      <c r="C2752" s="269">
        <f>IFERROR(100*$E2752/$E$5,NA())</f>
        <v/>
      </c>
      <c r="D2752" s="269">
        <f>IFERROR(100*$J2752/$J$5,NA())</f>
        <v/>
      </c>
      <c r="E2752" s="32">
        <f>IFERROR(IF(AND(ISNUMBER($A2752),N(IF(AND(AH!$U$12=1,2747+1=AH!$U$6),IF(AH!$U$4=0,"unavailable",INDEX('Market Data'!$AN$5:$AN$66,AH!$U$4)),IF(AH!$U$5=1,INDEX('Live History'!$B$5:$B$3004,$K2752),INDEX('AH History'!$D$5:$GG$1380,$K2752,AH!$U$10))))&gt;0),IF(AND(AH!$U$12=1,2747+1=AH!$U$6),IF(AH!$U$4=0,"unavailable",INDEX('Market Data'!$AN$5:$AN$66,AH!$U$4)),IF(AH!$U$5=1,INDEX('Live History'!$B$5:$B$3004,$K2752),INDEX('AH History'!$D$5:$GG$1380,$K2752,AH!$U$10))),NA()),NA())</f>
        <v/>
      </c>
      <c r="F2752" s="32">
        <f>IFERROR(IF(ISNUMBER($A2752),IF(AND(AH!$U$12=1,2747+1=AH!$U$6),IF(AH!$U$4=0,"unavailable",INDEX('Market Data'!$AO$5:$AO$66,AH!$U$4)),IF(AH!$U$5=1,INDEX('Live History'!$E$5:$E$3004,MATCH($A2752,'Live History'!$D$5:$D$3004,1)),INDEX('AH History'!$D$5:$GG$1380,$K2752,AH!$U$10+1))),NA()),NA())</f>
        <v/>
      </c>
      <c r="G2752" s="34">
        <f>IFERROR(IF(ISNUMBER($A2752),IF(AND(AH!$U$12=1,2747+1=AH!$U$6),IF(AH!$U$4=0,"unavailable",INDEX('Market Data'!$AK$5:$AK$66,AH!$U$4)),IF(AH!$U$5=1,INDEX('Live History'!$D$5:$D$3004,MATCH($A2752,'Live History'!$D$5:$D$3004,1)),INDEX('AH History'!$D$5:$GG$1380,$K2752,AH!$U$10+2))),NA()),NA())</f>
        <v/>
      </c>
      <c r="H2752" s="266">
        <f>IFERROR(IF(ISNUMBER($A2752),IF(AND(AH!$U$12=1,2747+1=AH!$U$6),IF(AH!$U$4=0,"unavailable",INDEX('Market Data'!$AP$5:$AP$66,AH!$U$4)),IF(AH!$U$5=1,INDEX('Live History'!$H$5:$H$3004,MATCH($A2752,'Live History'!$G$5:$G$3004,1)),INDEX('AH History'!$B$5:$B$1380,$K2752))),NA()),NA())</f>
        <v/>
      </c>
      <c r="I2752" s="34">
        <f>IFERROR(IF(ISNUMBER($A2752),IF(AND(AH!$U$12=1,2747+1=AH!$U$6),TODAY(),IF(AH!$U$5=1,INDEX('Live History'!$G$5:$G$3004,MATCH($A2752,'Live History'!$G$5:$G$3004,1)),INDEX('AH History'!$C$5:$C$1380,$K2752))),NA()),NA())</f>
        <v/>
      </c>
      <c r="J2752" s="32">
        <f>IFERROR(IF(AND($F2752&gt;0,$H2752&gt;0,$A2752-$G2752&lt;=10,$A2752-$I2752&lt;=5,$G2752&gt;0,$I2752&gt;0),$F2752*$H2752,NA()),NA())</f>
        <v/>
      </c>
      <c r="K2752" s="15">
        <f>IF($A2752="","",IF(AH!$U$5=1,IFERROR(MATCH($A2752,'Live History'!$A$5:$A$3004,0),0),AH!$U$7+2747))</f>
        <v/>
      </c>
      <c r="L2752" s="15">
        <f>IF(ISNUMBER(A2752),TEXT(A2752,"dd-mmm-yy"),"")</f>
        <v/>
      </c>
    </row>
    <row r="2753">
      <c r="A2753" s="14">
        <f>IF(OR(AH!$U$4=0,2748+1&gt;AH!$U$6,AND(AH!$M$5="Bloomberg",AH!$U$5=0)),"",IFERROR(IF(AND(AH!$U$12=1,2748+1=AH!$U$6),TODAY(),IF(AH!$U$5=1,INDEX('Live History'!$A$5:$A$3004,AH!$U$7+2748),INDEX('AH History'!$A$5:$A$1380,AH!$U$7+2748))),""))</f>
        <v/>
      </c>
      <c r="B2753" s="33">
        <f>IFERROR(IF(AH!$U$11=1,NA(),$J2753/$E2753-1),NA())</f>
        <v/>
      </c>
      <c r="C2753" s="269">
        <f>IFERROR(100*$E2753/$E$5,NA())</f>
        <v/>
      </c>
      <c r="D2753" s="269">
        <f>IFERROR(100*$J2753/$J$5,NA())</f>
        <v/>
      </c>
      <c r="E2753" s="32">
        <f>IFERROR(IF(AND(ISNUMBER($A2753),N(IF(AND(AH!$U$12=1,2748+1=AH!$U$6),IF(AH!$U$4=0,"unavailable",INDEX('Market Data'!$AN$5:$AN$66,AH!$U$4)),IF(AH!$U$5=1,INDEX('Live History'!$B$5:$B$3004,$K2753),INDEX('AH History'!$D$5:$GG$1380,$K2753,AH!$U$10))))&gt;0),IF(AND(AH!$U$12=1,2748+1=AH!$U$6),IF(AH!$U$4=0,"unavailable",INDEX('Market Data'!$AN$5:$AN$66,AH!$U$4)),IF(AH!$U$5=1,INDEX('Live History'!$B$5:$B$3004,$K2753),INDEX('AH History'!$D$5:$GG$1380,$K2753,AH!$U$10))),NA()),NA())</f>
        <v/>
      </c>
      <c r="F2753" s="32">
        <f>IFERROR(IF(ISNUMBER($A2753),IF(AND(AH!$U$12=1,2748+1=AH!$U$6),IF(AH!$U$4=0,"unavailable",INDEX('Market Data'!$AO$5:$AO$66,AH!$U$4)),IF(AH!$U$5=1,INDEX('Live History'!$E$5:$E$3004,MATCH($A2753,'Live History'!$D$5:$D$3004,1)),INDEX('AH History'!$D$5:$GG$1380,$K2753,AH!$U$10+1))),NA()),NA())</f>
        <v/>
      </c>
      <c r="G2753" s="34">
        <f>IFERROR(IF(ISNUMBER($A2753),IF(AND(AH!$U$12=1,2748+1=AH!$U$6),IF(AH!$U$4=0,"unavailable",INDEX('Market Data'!$AK$5:$AK$66,AH!$U$4)),IF(AH!$U$5=1,INDEX('Live History'!$D$5:$D$3004,MATCH($A2753,'Live History'!$D$5:$D$3004,1)),INDEX('AH History'!$D$5:$GG$1380,$K2753,AH!$U$10+2))),NA()),NA())</f>
        <v/>
      </c>
      <c r="H2753" s="266">
        <f>IFERROR(IF(ISNUMBER($A2753),IF(AND(AH!$U$12=1,2748+1=AH!$U$6),IF(AH!$U$4=0,"unavailable",INDEX('Market Data'!$AP$5:$AP$66,AH!$U$4)),IF(AH!$U$5=1,INDEX('Live History'!$H$5:$H$3004,MATCH($A2753,'Live History'!$G$5:$G$3004,1)),INDEX('AH History'!$B$5:$B$1380,$K2753))),NA()),NA())</f>
        <v/>
      </c>
      <c r="I2753" s="34">
        <f>IFERROR(IF(ISNUMBER($A2753),IF(AND(AH!$U$12=1,2748+1=AH!$U$6),TODAY(),IF(AH!$U$5=1,INDEX('Live History'!$G$5:$G$3004,MATCH($A2753,'Live History'!$G$5:$G$3004,1)),INDEX('AH History'!$C$5:$C$1380,$K2753))),NA()),NA())</f>
        <v/>
      </c>
      <c r="J2753" s="32">
        <f>IFERROR(IF(AND($F2753&gt;0,$H2753&gt;0,$A2753-$G2753&lt;=10,$A2753-$I2753&lt;=5,$G2753&gt;0,$I2753&gt;0),$F2753*$H2753,NA()),NA())</f>
        <v/>
      </c>
      <c r="K2753" s="15">
        <f>IF($A2753="","",IF(AH!$U$5=1,IFERROR(MATCH($A2753,'Live History'!$A$5:$A$3004,0),0),AH!$U$7+2748))</f>
        <v/>
      </c>
      <c r="L2753" s="15">
        <f>IF(ISNUMBER(A2753),TEXT(A2753,"dd-mmm-yy"),"")</f>
        <v/>
      </c>
    </row>
    <row r="2754">
      <c r="A2754" s="14">
        <f>IF(OR(AH!$U$4=0,2749+1&gt;AH!$U$6,AND(AH!$M$5="Bloomberg",AH!$U$5=0)),"",IFERROR(IF(AND(AH!$U$12=1,2749+1=AH!$U$6),TODAY(),IF(AH!$U$5=1,INDEX('Live History'!$A$5:$A$3004,AH!$U$7+2749),INDEX('AH History'!$A$5:$A$1380,AH!$U$7+2749))),""))</f>
        <v/>
      </c>
      <c r="B2754" s="33">
        <f>IFERROR(IF(AH!$U$11=1,NA(),$J2754/$E2754-1),NA())</f>
        <v/>
      </c>
      <c r="C2754" s="269">
        <f>IFERROR(100*$E2754/$E$5,NA())</f>
        <v/>
      </c>
      <c r="D2754" s="269">
        <f>IFERROR(100*$J2754/$J$5,NA())</f>
        <v/>
      </c>
      <c r="E2754" s="32">
        <f>IFERROR(IF(AND(ISNUMBER($A2754),N(IF(AND(AH!$U$12=1,2749+1=AH!$U$6),IF(AH!$U$4=0,"unavailable",INDEX('Market Data'!$AN$5:$AN$66,AH!$U$4)),IF(AH!$U$5=1,INDEX('Live History'!$B$5:$B$3004,$K2754),INDEX('AH History'!$D$5:$GG$1380,$K2754,AH!$U$10))))&gt;0),IF(AND(AH!$U$12=1,2749+1=AH!$U$6),IF(AH!$U$4=0,"unavailable",INDEX('Market Data'!$AN$5:$AN$66,AH!$U$4)),IF(AH!$U$5=1,INDEX('Live History'!$B$5:$B$3004,$K2754),INDEX('AH History'!$D$5:$GG$1380,$K2754,AH!$U$10))),NA()),NA())</f>
        <v/>
      </c>
      <c r="F2754" s="32">
        <f>IFERROR(IF(ISNUMBER($A2754),IF(AND(AH!$U$12=1,2749+1=AH!$U$6),IF(AH!$U$4=0,"unavailable",INDEX('Market Data'!$AO$5:$AO$66,AH!$U$4)),IF(AH!$U$5=1,INDEX('Live History'!$E$5:$E$3004,MATCH($A2754,'Live History'!$D$5:$D$3004,1)),INDEX('AH History'!$D$5:$GG$1380,$K2754,AH!$U$10+1))),NA()),NA())</f>
        <v/>
      </c>
      <c r="G2754" s="34">
        <f>IFERROR(IF(ISNUMBER($A2754),IF(AND(AH!$U$12=1,2749+1=AH!$U$6),IF(AH!$U$4=0,"unavailable",INDEX('Market Data'!$AK$5:$AK$66,AH!$U$4)),IF(AH!$U$5=1,INDEX('Live History'!$D$5:$D$3004,MATCH($A2754,'Live History'!$D$5:$D$3004,1)),INDEX('AH History'!$D$5:$GG$1380,$K2754,AH!$U$10+2))),NA()),NA())</f>
        <v/>
      </c>
      <c r="H2754" s="266">
        <f>IFERROR(IF(ISNUMBER($A2754),IF(AND(AH!$U$12=1,2749+1=AH!$U$6),IF(AH!$U$4=0,"unavailable",INDEX('Market Data'!$AP$5:$AP$66,AH!$U$4)),IF(AH!$U$5=1,INDEX('Live History'!$H$5:$H$3004,MATCH($A2754,'Live History'!$G$5:$G$3004,1)),INDEX('AH History'!$B$5:$B$1380,$K2754))),NA()),NA())</f>
        <v/>
      </c>
      <c r="I2754" s="34">
        <f>IFERROR(IF(ISNUMBER($A2754),IF(AND(AH!$U$12=1,2749+1=AH!$U$6),TODAY(),IF(AH!$U$5=1,INDEX('Live History'!$G$5:$G$3004,MATCH($A2754,'Live History'!$G$5:$G$3004,1)),INDEX('AH History'!$C$5:$C$1380,$K2754))),NA()),NA())</f>
        <v/>
      </c>
      <c r="J2754" s="32">
        <f>IFERROR(IF(AND($F2754&gt;0,$H2754&gt;0,$A2754-$G2754&lt;=10,$A2754-$I2754&lt;=5,$G2754&gt;0,$I2754&gt;0),$F2754*$H2754,NA()),NA())</f>
        <v/>
      </c>
      <c r="K2754" s="15">
        <f>IF($A2754="","",IF(AH!$U$5=1,IFERROR(MATCH($A2754,'Live History'!$A$5:$A$3004,0),0),AH!$U$7+2749))</f>
        <v/>
      </c>
      <c r="L2754" s="15">
        <f>IF(ISNUMBER(A2754),TEXT(A2754,"dd-mmm-yy"),"")</f>
        <v/>
      </c>
    </row>
    <row r="2755">
      <c r="A2755" s="14">
        <f>IF(OR(AH!$U$4=0,2750+1&gt;AH!$U$6,AND(AH!$M$5="Bloomberg",AH!$U$5=0)),"",IFERROR(IF(AND(AH!$U$12=1,2750+1=AH!$U$6),TODAY(),IF(AH!$U$5=1,INDEX('Live History'!$A$5:$A$3004,AH!$U$7+2750),INDEX('AH History'!$A$5:$A$1380,AH!$U$7+2750))),""))</f>
        <v/>
      </c>
      <c r="B2755" s="33">
        <f>IFERROR(IF(AH!$U$11=1,NA(),$J2755/$E2755-1),NA())</f>
        <v/>
      </c>
      <c r="C2755" s="269">
        <f>IFERROR(100*$E2755/$E$5,NA())</f>
        <v/>
      </c>
      <c r="D2755" s="269">
        <f>IFERROR(100*$J2755/$J$5,NA())</f>
        <v/>
      </c>
      <c r="E2755" s="32">
        <f>IFERROR(IF(AND(ISNUMBER($A2755),N(IF(AND(AH!$U$12=1,2750+1=AH!$U$6),IF(AH!$U$4=0,"unavailable",INDEX('Market Data'!$AN$5:$AN$66,AH!$U$4)),IF(AH!$U$5=1,INDEX('Live History'!$B$5:$B$3004,$K2755),INDEX('AH History'!$D$5:$GG$1380,$K2755,AH!$U$10))))&gt;0),IF(AND(AH!$U$12=1,2750+1=AH!$U$6),IF(AH!$U$4=0,"unavailable",INDEX('Market Data'!$AN$5:$AN$66,AH!$U$4)),IF(AH!$U$5=1,INDEX('Live History'!$B$5:$B$3004,$K2755),INDEX('AH History'!$D$5:$GG$1380,$K2755,AH!$U$10))),NA()),NA())</f>
        <v/>
      </c>
      <c r="F2755" s="32">
        <f>IFERROR(IF(ISNUMBER($A2755),IF(AND(AH!$U$12=1,2750+1=AH!$U$6),IF(AH!$U$4=0,"unavailable",INDEX('Market Data'!$AO$5:$AO$66,AH!$U$4)),IF(AH!$U$5=1,INDEX('Live History'!$E$5:$E$3004,MATCH($A2755,'Live History'!$D$5:$D$3004,1)),INDEX('AH History'!$D$5:$GG$1380,$K2755,AH!$U$10+1))),NA()),NA())</f>
        <v/>
      </c>
      <c r="G2755" s="34">
        <f>IFERROR(IF(ISNUMBER($A2755),IF(AND(AH!$U$12=1,2750+1=AH!$U$6),IF(AH!$U$4=0,"unavailable",INDEX('Market Data'!$AK$5:$AK$66,AH!$U$4)),IF(AH!$U$5=1,INDEX('Live History'!$D$5:$D$3004,MATCH($A2755,'Live History'!$D$5:$D$3004,1)),INDEX('AH History'!$D$5:$GG$1380,$K2755,AH!$U$10+2))),NA()),NA())</f>
        <v/>
      </c>
      <c r="H2755" s="266">
        <f>IFERROR(IF(ISNUMBER($A2755),IF(AND(AH!$U$12=1,2750+1=AH!$U$6),IF(AH!$U$4=0,"unavailable",INDEX('Market Data'!$AP$5:$AP$66,AH!$U$4)),IF(AH!$U$5=1,INDEX('Live History'!$H$5:$H$3004,MATCH($A2755,'Live History'!$G$5:$G$3004,1)),INDEX('AH History'!$B$5:$B$1380,$K2755))),NA()),NA())</f>
        <v/>
      </c>
      <c r="I2755" s="34">
        <f>IFERROR(IF(ISNUMBER($A2755),IF(AND(AH!$U$12=1,2750+1=AH!$U$6),TODAY(),IF(AH!$U$5=1,INDEX('Live History'!$G$5:$G$3004,MATCH($A2755,'Live History'!$G$5:$G$3004,1)),INDEX('AH History'!$C$5:$C$1380,$K2755))),NA()),NA())</f>
        <v/>
      </c>
      <c r="J2755" s="32">
        <f>IFERROR(IF(AND($F2755&gt;0,$H2755&gt;0,$A2755-$G2755&lt;=10,$A2755-$I2755&lt;=5,$G2755&gt;0,$I2755&gt;0),$F2755*$H2755,NA()),NA())</f>
        <v/>
      </c>
      <c r="K2755" s="15">
        <f>IF($A2755="","",IF(AH!$U$5=1,IFERROR(MATCH($A2755,'Live History'!$A$5:$A$3004,0),0),AH!$U$7+2750))</f>
        <v/>
      </c>
      <c r="L2755" s="15">
        <f>IF(ISNUMBER(A2755),TEXT(A2755,"dd-mmm-yy"),"")</f>
        <v/>
      </c>
    </row>
    <row r="2756">
      <c r="A2756" s="14">
        <f>IF(OR(AH!$U$4=0,2751+1&gt;AH!$U$6,AND(AH!$M$5="Bloomberg",AH!$U$5=0)),"",IFERROR(IF(AND(AH!$U$12=1,2751+1=AH!$U$6),TODAY(),IF(AH!$U$5=1,INDEX('Live History'!$A$5:$A$3004,AH!$U$7+2751),INDEX('AH History'!$A$5:$A$1380,AH!$U$7+2751))),""))</f>
        <v/>
      </c>
      <c r="B2756" s="33">
        <f>IFERROR(IF(AH!$U$11=1,NA(),$J2756/$E2756-1),NA())</f>
        <v/>
      </c>
      <c r="C2756" s="269">
        <f>IFERROR(100*$E2756/$E$5,NA())</f>
        <v/>
      </c>
      <c r="D2756" s="269">
        <f>IFERROR(100*$J2756/$J$5,NA())</f>
        <v/>
      </c>
      <c r="E2756" s="32">
        <f>IFERROR(IF(AND(ISNUMBER($A2756),N(IF(AND(AH!$U$12=1,2751+1=AH!$U$6),IF(AH!$U$4=0,"unavailable",INDEX('Market Data'!$AN$5:$AN$66,AH!$U$4)),IF(AH!$U$5=1,INDEX('Live History'!$B$5:$B$3004,$K2756),INDEX('AH History'!$D$5:$GG$1380,$K2756,AH!$U$10))))&gt;0),IF(AND(AH!$U$12=1,2751+1=AH!$U$6),IF(AH!$U$4=0,"unavailable",INDEX('Market Data'!$AN$5:$AN$66,AH!$U$4)),IF(AH!$U$5=1,INDEX('Live History'!$B$5:$B$3004,$K2756),INDEX('AH History'!$D$5:$GG$1380,$K2756,AH!$U$10))),NA()),NA())</f>
        <v/>
      </c>
      <c r="F2756" s="32">
        <f>IFERROR(IF(ISNUMBER($A2756),IF(AND(AH!$U$12=1,2751+1=AH!$U$6),IF(AH!$U$4=0,"unavailable",INDEX('Market Data'!$AO$5:$AO$66,AH!$U$4)),IF(AH!$U$5=1,INDEX('Live History'!$E$5:$E$3004,MATCH($A2756,'Live History'!$D$5:$D$3004,1)),INDEX('AH History'!$D$5:$GG$1380,$K2756,AH!$U$10+1))),NA()),NA())</f>
        <v/>
      </c>
      <c r="G2756" s="34">
        <f>IFERROR(IF(ISNUMBER($A2756),IF(AND(AH!$U$12=1,2751+1=AH!$U$6),IF(AH!$U$4=0,"unavailable",INDEX('Market Data'!$AK$5:$AK$66,AH!$U$4)),IF(AH!$U$5=1,INDEX('Live History'!$D$5:$D$3004,MATCH($A2756,'Live History'!$D$5:$D$3004,1)),INDEX('AH History'!$D$5:$GG$1380,$K2756,AH!$U$10+2))),NA()),NA())</f>
        <v/>
      </c>
      <c r="H2756" s="266">
        <f>IFERROR(IF(ISNUMBER($A2756),IF(AND(AH!$U$12=1,2751+1=AH!$U$6),IF(AH!$U$4=0,"unavailable",INDEX('Market Data'!$AP$5:$AP$66,AH!$U$4)),IF(AH!$U$5=1,INDEX('Live History'!$H$5:$H$3004,MATCH($A2756,'Live History'!$G$5:$G$3004,1)),INDEX('AH History'!$B$5:$B$1380,$K2756))),NA()),NA())</f>
        <v/>
      </c>
      <c r="I2756" s="34">
        <f>IFERROR(IF(ISNUMBER($A2756),IF(AND(AH!$U$12=1,2751+1=AH!$U$6),TODAY(),IF(AH!$U$5=1,INDEX('Live History'!$G$5:$G$3004,MATCH($A2756,'Live History'!$G$5:$G$3004,1)),INDEX('AH History'!$C$5:$C$1380,$K2756))),NA()),NA())</f>
        <v/>
      </c>
      <c r="J2756" s="32">
        <f>IFERROR(IF(AND($F2756&gt;0,$H2756&gt;0,$A2756-$G2756&lt;=10,$A2756-$I2756&lt;=5,$G2756&gt;0,$I2756&gt;0),$F2756*$H2756,NA()),NA())</f>
        <v/>
      </c>
      <c r="K2756" s="15">
        <f>IF($A2756="","",IF(AH!$U$5=1,IFERROR(MATCH($A2756,'Live History'!$A$5:$A$3004,0),0),AH!$U$7+2751))</f>
        <v/>
      </c>
      <c r="L2756" s="15">
        <f>IF(ISNUMBER(A2756),TEXT(A2756,"dd-mmm-yy"),"")</f>
        <v/>
      </c>
    </row>
    <row r="2757">
      <c r="A2757" s="14">
        <f>IF(OR(AH!$U$4=0,2752+1&gt;AH!$U$6,AND(AH!$M$5="Bloomberg",AH!$U$5=0)),"",IFERROR(IF(AND(AH!$U$12=1,2752+1=AH!$U$6),TODAY(),IF(AH!$U$5=1,INDEX('Live History'!$A$5:$A$3004,AH!$U$7+2752),INDEX('AH History'!$A$5:$A$1380,AH!$U$7+2752))),""))</f>
        <v/>
      </c>
      <c r="B2757" s="33">
        <f>IFERROR(IF(AH!$U$11=1,NA(),$J2757/$E2757-1),NA())</f>
        <v/>
      </c>
      <c r="C2757" s="269">
        <f>IFERROR(100*$E2757/$E$5,NA())</f>
        <v/>
      </c>
      <c r="D2757" s="269">
        <f>IFERROR(100*$J2757/$J$5,NA())</f>
        <v/>
      </c>
      <c r="E2757" s="32">
        <f>IFERROR(IF(AND(ISNUMBER($A2757),N(IF(AND(AH!$U$12=1,2752+1=AH!$U$6),IF(AH!$U$4=0,"unavailable",INDEX('Market Data'!$AN$5:$AN$66,AH!$U$4)),IF(AH!$U$5=1,INDEX('Live History'!$B$5:$B$3004,$K2757),INDEX('AH History'!$D$5:$GG$1380,$K2757,AH!$U$10))))&gt;0),IF(AND(AH!$U$12=1,2752+1=AH!$U$6),IF(AH!$U$4=0,"unavailable",INDEX('Market Data'!$AN$5:$AN$66,AH!$U$4)),IF(AH!$U$5=1,INDEX('Live History'!$B$5:$B$3004,$K2757),INDEX('AH History'!$D$5:$GG$1380,$K2757,AH!$U$10))),NA()),NA())</f>
        <v/>
      </c>
      <c r="F2757" s="32">
        <f>IFERROR(IF(ISNUMBER($A2757),IF(AND(AH!$U$12=1,2752+1=AH!$U$6),IF(AH!$U$4=0,"unavailable",INDEX('Market Data'!$AO$5:$AO$66,AH!$U$4)),IF(AH!$U$5=1,INDEX('Live History'!$E$5:$E$3004,MATCH($A2757,'Live History'!$D$5:$D$3004,1)),INDEX('AH History'!$D$5:$GG$1380,$K2757,AH!$U$10+1))),NA()),NA())</f>
        <v/>
      </c>
      <c r="G2757" s="34">
        <f>IFERROR(IF(ISNUMBER($A2757),IF(AND(AH!$U$12=1,2752+1=AH!$U$6),IF(AH!$U$4=0,"unavailable",INDEX('Market Data'!$AK$5:$AK$66,AH!$U$4)),IF(AH!$U$5=1,INDEX('Live History'!$D$5:$D$3004,MATCH($A2757,'Live History'!$D$5:$D$3004,1)),INDEX('AH History'!$D$5:$GG$1380,$K2757,AH!$U$10+2))),NA()),NA())</f>
        <v/>
      </c>
      <c r="H2757" s="266">
        <f>IFERROR(IF(ISNUMBER($A2757),IF(AND(AH!$U$12=1,2752+1=AH!$U$6),IF(AH!$U$4=0,"unavailable",INDEX('Market Data'!$AP$5:$AP$66,AH!$U$4)),IF(AH!$U$5=1,INDEX('Live History'!$H$5:$H$3004,MATCH($A2757,'Live History'!$G$5:$G$3004,1)),INDEX('AH History'!$B$5:$B$1380,$K2757))),NA()),NA())</f>
        <v/>
      </c>
      <c r="I2757" s="34">
        <f>IFERROR(IF(ISNUMBER($A2757),IF(AND(AH!$U$12=1,2752+1=AH!$U$6),TODAY(),IF(AH!$U$5=1,INDEX('Live History'!$G$5:$G$3004,MATCH($A2757,'Live History'!$G$5:$G$3004,1)),INDEX('AH History'!$C$5:$C$1380,$K2757))),NA()),NA())</f>
        <v/>
      </c>
      <c r="J2757" s="32">
        <f>IFERROR(IF(AND($F2757&gt;0,$H2757&gt;0,$A2757-$G2757&lt;=10,$A2757-$I2757&lt;=5,$G2757&gt;0,$I2757&gt;0),$F2757*$H2757,NA()),NA())</f>
        <v/>
      </c>
      <c r="K2757" s="15">
        <f>IF($A2757="","",IF(AH!$U$5=1,IFERROR(MATCH($A2757,'Live History'!$A$5:$A$3004,0),0),AH!$U$7+2752))</f>
        <v/>
      </c>
      <c r="L2757" s="15">
        <f>IF(ISNUMBER(A2757),TEXT(A2757,"dd-mmm-yy"),"")</f>
        <v/>
      </c>
    </row>
    <row r="2758">
      <c r="A2758" s="14">
        <f>IF(OR(AH!$U$4=0,2753+1&gt;AH!$U$6,AND(AH!$M$5="Bloomberg",AH!$U$5=0)),"",IFERROR(IF(AND(AH!$U$12=1,2753+1=AH!$U$6),TODAY(),IF(AH!$U$5=1,INDEX('Live History'!$A$5:$A$3004,AH!$U$7+2753),INDEX('AH History'!$A$5:$A$1380,AH!$U$7+2753))),""))</f>
        <v/>
      </c>
      <c r="B2758" s="33">
        <f>IFERROR(IF(AH!$U$11=1,NA(),$J2758/$E2758-1),NA())</f>
        <v/>
      </c>
      <c r="C2758" s="269">
        <f>IFERROR(100*$E2758/$E$5,NA())</f>
        <v/>
      </c>
      <c r="D2758" s="269">
        <f>IFERROR(100*$J2758/$J$5,NA())</f>
        <v/>
      </c>
      <c r="E2758" s="32">
        <f>IFERROR(IF(AND(ISNUMBER($A2758),N(IF(AND(AH!$U$12=1,2753+1=AH!$U$6),IF(AH!$U$4=0,"unavailable",INDEX('Market Data'!$AN$5:$AN$66,AH!$U$4)),IF(AH!$U$5=1,INDEX('Live History'!$B$5:$B$3004,$K2758),INDEX('AH History'!$D$5:$GG$1380,$K2758,AH!$U$10))))&gt;0),IF(AND(AH!$U$12=1,2753+1=AH!$U$6),IF(AH!$U$4=0,"unavailable",INDEX('Market Data'!$AN$5:$AN$66,AH!$U$4)),IF(AH!$U$5=1,INDEX('Live History'!$B$5:$B$3004,$K2758),INDEX('AH History'!$D$5:$GG$1380,$K2758,AH!$U$10))),NA()),NA())</f>
        <v/>
      </c>
      <c r="F2758" s="32">
        <f>IFERROR(IF(ISNUMBER($A2758),IF(AND(AH!$U$12=1,2753+1=AH!$U$6),IF(AH!$U$4=0,"unavailable",INDEX('Market Data'!$AO$5:$AO$66,AH!$U$4)),IF(AH!$U$5=1,INDEX('Live History'!$E$5:$E$3004,MATCH($A2758,'Live History'!$D$5:$D$3004,1)),INDEX('AH History'!$D$5:$GG$1380,$K2758,AH!$U$10+1))),NA()),NA())</f>
        <v/>
      </c>
      <c r="G2758" s="34">
        <f>IFERROR(IF(ISNUMBER($A2758),IF(AND(AH!$U$12=1,2753+1=AH!$U$6),IF(AH!$U$4=0,"unavailable",INDEX('Market Data'!$AK$5:$AK$66,AH!$U$4)),IF(AH!$U$5=1,INDEX('Live History'!$D$5:$D$3004,MATCH($A2758,'Live History'!$D$5:$D$3004,1)),INDEX('AH History'!$D$5:$GG$1380,$K2758,AH!$U$10+2))),NA()),NA())</f>
        <v/>
      </c>
      <c r="H2758" s="266">
        <f>IFERROR(IF(ISNUMBER($A2758),IF(AND(AH!$U$12=1,2753+1=AH!$U$6),IF(AH!$U$4=0,"unavailable",INDEX('Market Data'!$AP$5:$AP$66,AH!$U$4)),IF(AH!$U$5=1,INDEX('Live History'!$H$5:$H$3004,MATCH($A2758,'Live History'!$G$5:$G$3004,1)),INDEX('AH History'!$B$5:$B$1380,$K2758))),NA()),NA())</f>
        <v/>
      </c>
      <c r="I2758" s="34">
        <f>IFERROR(IF(ISNUMBER($A2758),IF(AND(AH!$U$12=1,2753+1=AH!$U$6),TODAY(),IF(AH!$U$5=1,INDEX('Live History'!$G$5:$G$3004,MATCH($A2758,'Live History'!$G$5:$G$3004,1)),INDEX('AH History'!$C$5:$C$1380,$K2758))),NA()),NA())</f>
        <v/>
      </c>
      <c r="J2758" s="32">
        <f>IFERROR(IF(AND($F2758&gt;0,$H2758&gt;0,$A2758-$G2758&lt;=10,$A2758-$I2758&lt;=5,$G2758&gt;0,$I2758&gt;0),$F2758*$H2758,NA()),NA())</f>
        <v/>
      </c>
      <c r="K2758" s="15">
        <f>IF($A2758="","",IF(AH!$U$5=1,IFERROR(MATCH($A2758,'Live History'!$A$5:$A$3004,0),0),AH!$U$7+2753))</f>
        <v/>
      </c>
      <c r="L2758" s="15">
        <f>IF(ISNUMBER(A2758),TEXT(A2758,"dd-mmm-yy"),"")</f>
        <v/>
      </c>
    </row>
    <row r="2759">
      <c r="A2759" s="14">
        <f>IF(OR(AH!$U$4=0,2754+1&gt;AH!$U$6,AND(AH!$M$5="Bloomberg",AH!$U$5=0)),"",IFERROR(IF(AND(AH!$U$12=1,2754+1=AH!$U$6),TODAY(),IF(AH!$U$5=1,INDEX('Live History'!$A$5:$A$3004,AH!$U$7+2754),INDEX('AH History'!$A$5:$A$1380,AH!$U$7+2754))),""))</f>
        <v/>
      </c>
      <c r="B2759" s="33">
        <f>IFERROR(IF(AH!$U$11=1,NA(),$J2759/$E2759-1),NA())</f>
        <v/>
      </c>
      <c r="C2759" s="269">
        <f>IFERROR(100*$E2759/$E$5,NA())</f>
        <v/>
      </c>
      <c r="D2759" s="269">
        <f>IFERROR(100*$J2759/$J$5,NA())</f>
        <v/>
      </c>
      <c r="E2759" s="32">
        <f>IFERROR(IF(AND(ISNUMBER($A2759),N(IF(AND(AH!$U$12=1,2754+1=AH!$U$6),IF(AH!$U$4=0,"unavailable",INDEX('Market Data'!$AN$5:$AN$66,AH!$U$4)),IF(AH!$U$5=1,INDEX('Live History'!$B$5:$B$3004,$K2759),INDEX('AH History'!$D$5:$GG$1380,$K2759,AH!$U$10))))&gt;0),IF(AND(AH!$U$12=1,2754+1=AH!$U$6),IF(AH!$U$4=0,"unavailable",INDEX('Market Data'!$AN$5:$AN$66,AH!$U$4)),IF(AH!$U$5=1,INDEX('Live History'!$B$5:$B$3004,$K2759),INDEX('AH History'!$D$5:$GG$1380,$K2759,AH!$U$10))),NA()),NA())</f>
        <v/>
      </c>
      <c r="F2759" s="32">
        <f>IFERROR(IF(ISNUMBER($A2759),IF(AND(AH!$U$12=1,2754+1=AH!$U$6),IF(AH!$U$4=0,"unavailable",INDEX('Market Data'!$AO$5:$AO$66,AH!$U$4)),IF(AH!$U$5=1,INDEX('Live History'!$E$5:$E$3004,MATCH($A2759,'Live History'!$D$5:$D$3004,1)),INDEX('AH History'!$D$5:$GG$1380,$K2759,AH!$U$10+1))),NA()),NA())</f>
        <v/>
      </c>
      <c r="G2759" s="34">
        <f>IFERROR(IF(ISNUMBER($A2759),IF(AND(AH!$U$12=1,2754+1=AH!$U$6),IF(AH!$U$4=0,"unavailable",INDEX('Market Data'!$AK$5:$AK$66,AH!$U$4)),IF(AH!$U$5=1,INDEX('Live History'!$D$5:$D$3004,MATCH($A2759,'Live History'!$D$5:$D$3004,1)),INDEX('AH History'!$D$5:$GG$1380,$K2759,AH!$U$10+2))),NA()),NA())</f>
        <v/>
      </c>
      <c r="H2759" s="266">
        <f>IFERROR(IF(ISNUMBER($A2759),IF(AND(AH!$U$12=1,2754+1=AH!$U$6),IF(AH!$U$4=0,"unavailable",INDEX('Market Data'!$AP$5:$AP$66,AH!$U$4)),IF(AH!$U$5=1,INDEX('Live History'!$H$5:$H$3004,MATCH($A2759,'Live History'!$G$5:$G$3004,1)),INDEX('AH History'!$B$5:$B$1380,$K2759))),NA()),NA())</f>
        <v/>
      </c>
      <c r="I2759" s="34">
        <f>IFERROR(IF(ISNUMBER($A2759),IF(AND(AH!$U$12=1,2754+1=AH!$U$6),TODAY(),IF(AH!$U$5=1,INDEX('Live History'!$G$5:$G$3004,MATCH($A2759,'Live History'!$G$5:$G$3004,1)),INDEX('AH History'!$C$5:$C$1380,$K2759))),NA()),NA())</f>
        <v/>
      </c>
      <c r="J2759" s="32">
        <f>IFERROR(IF(AND($F2759&gt;0,$H2759&gt;0,$A2759-$G2759&lt;=10,$A2759-$I2759&lt;=5,$G2759&gt;0,$I2759&gt;0),$F2759*$H2759,NA()),NA())</f>
        <v/>
      </c>
      <c r="K2759" s="15">
        <f>IF($A2759="","",IF(AH!$U$5=1,IFERROR(MATCH($A2759,'Live History'!$A$5:$A$3004,0),0),AH!$U$7+2754))</f>
        <v/>
      </c>
      <c r="L2759" s="15">
        <f>IF(ISNUMBER(A2759),TEXT(A2759,"dd-mmm-yy"),"")</f>
        <v/>
      </c>
    </row>
    <row r="2760">
      <c r="A2760" s="14">
        <f>IF(OR(AH!$U$4=0,2755+1&gt;AH!$U$6,AND(AH!$M$5="Bloomberg",AH!$U$5=0)),"",IFERROR(IF(AND(AH!$U$12=1,2755+1=AH!$U$6),TODAY(),IF(AH!$U$5=1,INDEX('Live History'!$A$5:$A$3004,AH!$U$7+2755),INDEX('AH History'!$A$5:$A$1380,AH!$U$7+2755))),""))</f>
        <v/>
      </c>
      <c r="B2760" s="33">
        <f>IFERROR(IF(AH!$U$11=1,NA(),$J2760/$E2760-1),NA())</f>
        <v/>
      </c>
      <c r="C2760" s="269">
        <f>IFERROR(100*$E2760/$E$5,NA())</f>
        <v/>
      </c>
      <c r="D2760" s="269">
        <f>IFERROR(100*$J2760/$J$5,NA())</f>
        <v/>
      </c>
      <c r="E2760" s="32">
        <f>IFERROR(IF(AND(ISNUMBER($A2760),N(IF(AND(AH!$U$12=1,2755+1=AH!$U$6),IF(AH!$U$4=0,"unavailable",INDEX('Market Data'!$AN$5:$AN$66,AH!$U$4)),IF(AH!$U$5=1,INDEX('Live History'!$B$5:$B$3004,$K2760),INDEX('AH History'!$D$5:$GG$1380,$K2760,AH!$U$10))))&gt;0),IF(AND(AH!$U$12=1,2755+1=AH!$U$6),IF(AH!$U$4=0,"unavailable",INDEX('Market Data'!$AN$5:$AN$66,AH!$U$4)),IF(AH!$U$5=1,INDEX('Live History'!$B$5:$B$3004,$K2760),INDEX('AH History'!$D$5:$GG$1380,$K2760,AH!$U$10))),NA()),NA())</f>
        <v/>
      </c>
      <c r="F2760" s="32">
        <f>IFERROR(IF(ISNUMBER($A2760),IF(AND(AH!$U$12=1,2755+1=AH!$U$6),IF(AH!$U$4=0,"unavailable",INDEX('Market Data'!$AO$5:$AO$66,AH!$U$4)),IF(AH!$U$5=1,INDEX('Live History'!$E$5:$E$3004,MATCH($A2760,'Live History'!$D$5:$D$3004,1)),INDEX('AH History'!$D$5:$GG$1380,$K2760,AH!$U$10+1))),NA()),NA())</f>
        <v/>
      </c>
      <c r="G2760" s="34">
        <f>IFERROR(IF(ISNUMBER($A2760),IF(AND(AH!$U$12=1,2755+1=AH!$U$6),IF(AH!$U$4=0,"unavailable",INDEX('Market Data'!$AK$5:$AK$66,AH!$U$4)),IF(AH!$U$5=1,INDEX('Live History'!$D$5:$D$3004,MATCH($A2760,'Live History'!$D$5:$D$3004,1)),INDEX('AH History'!$D$5:$GG$1380,$K2760,AH!$U$10+2))),NA()),NA())</f>
        <v/>
      </c>
      <c r="H2760" s="266">
        <f>IFERROR(IF(ISNUMBER($A2760),IF(AND(AH!$U$12=1,2755+1=AH!$U$6),IF(AH!$U$4=0,"unavailable",INDEX('Market Data'!$AP$5:$AP$66,AH!$U$4)),IF(AH!$U$5=1,INDEX('Live History'!$H$5:$H$3004,MATCH($A2760,'Live History'!$G$5:$G$3004,1)),INDEX('AH History'!$B$5:$B$1380,$K2760))),NA()),NA())</f>
        <v/>
      </c>
      <c r="I2760" s="34">
        <f>IFERROR(IF(ISNUMBER($A2760),IF(AND(AH!$U$12=1,2755+1=AH!$U$6),TODAY(),IF(AH!$U$5=1,INDEX('Live History'!$G$5:$G$3004,MATCH($A2760,'Live History'!$G$5:$G$3004,1)),INDEX('AH History'!$C$5:$C$1380,$K2760))),NA()),NA())</f>
        <v/>
      </c>
      <c r="J2760" s="32">
        <f>IFERROR(IF(AND($F2760&gt;0,$H2760&gt;0,$A2760-$G2760&lt;=10,$A2760-$I2760&lt;=5,$G2760&gt;0,$I2760&gt;0),$F2760*$H2760,NA()),NA())</f>
        <v/>
      </c>
      <c r="K2760" s="15">
        <f>IF($A2760="","",IF(AH!$U$5=1,IFERROR(MATCH($A2760,'Live History'!$A$5:$A$3004,0),0),AH!$U$7+2755))</f>
        <v/>
      </c>
      <c r="L2760" s="15">
        <f>IF(ISNUMBER(A2760),TEXT(A2760,"dd-mmm-yy"),"")</f>
        <v/>
      </c>
    </row>
    <row r="2761">
      <c r="A2761" s="14">
        <f>IF(OR(AH!$U$4=0,2756+1&gt;AH!$U$6,AND(AH!$M$5="Bloomberg",AH!$U$5=0)),"",IFERROR(IF(AND(AH!$U$12=1,2756+1=AH!$U$6),TODAY(),IF(AH!$U$5=1,INDEX('Live History'!$A$5:$A$3004,AH!$U$7+2756),INDEX('AH History'!$A$5:$A$1380,AH!$U$7+2756))),""))</f>
        <v/>
      </c>
      <c r="B2761" s="33">
        <f>IFERROR(IF(AH!$U$11=1,NA(),$J2761/$E2761-1),NA())</f>
        <v/>
      </c>
      <c r="C2761" s="269">
        <f>IFERROR(100*$E2761/$E$5,NA())</f>
        <v/>
      </c>
      <c r="D2761" s="269">
        <f>IFERROR(100*$J2761/$J$5,NA())</f>
        <v/>
      </c>
      <c r="E2761" s="32">
        <f>IFERROR(IF(AND(ISNUMBER($A2761),N(IF(AND(AH!$U$12=1,2756+1=AH!$U$6),IF(AH!$U$4=0,"unavailable",INDEX('Market Data'!$AN$5:$AN$66,AH!$U$4)),IF(AH!$U$5=1,INDEX('Live History'!$B$5:$B$3004,$K2761),INDEX('AH History'!$D$5:$GG$1380,$K2761,AH!$U$10))))&gt;0),IF(AND(AH!$U$12=1,2756+1=AH!$U$6),IF(AH!$U$4=0,"unavailable",INDEX('Market Data'!$AN$5:$AN$66,AH!$U$4)),IF(AH!$U$5=1,INDEX('Live History'!$B$5:$B$3004,$K2761),INDEX('AH History'!$D$5:$GG$1380,$K2761,AH!$U$10))),NA()),NA())</f>
        <v/>
      </c>
      <c r="F2761" s="32">
        <f>IFERROR(IF(ISNUMBER($A2761),IF(AND(AH!$U$12=1,2756+1=AH!$U$6),IF(AH!$U$4=0,"unavailable",INDEX('Market Data'!$AO$5:$AO$66,AH!$U$4)),IF(AH!$U$5=1,INDEX('Live History'!$E$5:$E$3004,MATCH($A2761,'Live History'!$D$5:$D$3004,1)),INDEX('AH History'!$D$5:$GG$1380,$K2761,AH!$U$10+1))),NA()),NA())</f>
        <v/>
      </c>
      <c r="G2761" s="34">
        <f>IFERROR(IF(ISNUMBER($A2761),IF(AND(AH!$U$12=1,2756+1=AH!$U$6),IF(AH!$U$4=0,"unavailable",INDEX('Market Data'!$AK$5:$AK$66,AH!$U$4)),IF(AH!$U$5=1,INDEX('Live History'!$D$5:$D$3004,MATCH($A2761,'Live History'!$D$5:$D$3004,1)),INDEX('AH History'!$D$5:$GG$1380,$K2761,AH!$U$10+2))),NA()),NA())</f>
        <v/>
      </c>
      <c r="H2761" s="266">
        <f>IFERROR(IF(ISNUMBER($A2761),IF(AND(AH!$U$12=1,2756+1=AH!$U$6),IF(AH!$U$4=0,"unavailable",INDEX('Market Data'!$AP$5:$AP$66,AH!$U$4)),IF(AH!$U$5=1,INDEX('Live History'!$H$5:$H$3004,MATCH($A2761,'Live History'!$G$5:$G$3004,1)),INDEX('AH History'!$B$5:$B$1380,$K2761))),NA()),NA())</f>
        <v/>
      </c>
      <c r="I2761" s="34">
        <f>IFERROR(IF(ISNUMBER($A2761),IF(AND(AH!$U$12=1,2756+1=AH!$U$6),TODAY(),IF(AH!$U$5=1,INDEX('Live History'!$G$5:$G$3004,MATCH($A2761,'Live History'!$G$5:$G$3004,1)),INDEX('AH History'!$C$5:$C$1380,$K2761))),NA()),NA())</f>
        <v/>
      </c>
      <c r="J2761" s="32">
        <f>IFERROR(IF(AND($F2761&gt;0,$H2761&gt;0,$A2761-$G2761&lt;=10,$A2761-$I2761&lt;=5,$G2761&gt;0,$I2761&gt;0),$F2761*$H2761,NA()),NA())</f>
        <v/>
      </c>
      <c r="K2761" s="15">
        <f>IF($A2761="","",IF(AH!$U$5=1,IFERROR(MATCH($A2761,'Live History'!$A$5:$A$3004,0),0),AH!$U$7+2756))</f>
        <v/>
      </c>
      <c r="L2761" s="15">
        <f>IF(ISNUMBER(A2761),TEXT(A2761,"dd-mmm-yy"),"")</f>
        <v/>
      </c>
    </row>
    <row r="2762">
      <c r="A2762" s="14">
        <f>IF(OR(AH!$U$4=0,2757+1&gt;AH!$U$6,AND(AH!$M$5="Bloomberg",AH!$U$5=0)),"",IFERROR(IF(AND(AH!$U$12=1,2757+1=AH!$U$6),TODAY(),IF(AH!$U$5=1,INDEX('Live History'!$A$5:$A$3004,AH!$U$7+2757),INDEX('AH History'!$A$5:$A$1380,AH!$U$7+2757))),""))</f>
        <v/>
      </c>
      <c r="B2762" s="33">
        <f>IFERROR(IF(AH!$U$11=1,NA(),$J2762/$E2762-1),NA())</f>
        <v/>
      </c>
      <c r="C2762" s="269">
        <f>IFERROR(100*$E2762/$E$5,NA())</f>
        <v/>
      </c>
      <c r="D2762" s="269">
        <f>IFERROR(100*$J2762/$J$5,NA())</f>
        <v/>
      </c>
      <c r="E2762" s="32">
        <f>IFERROR(IF(AND(ISNUMBER($A2762),N(IF(AND(AH!$U$12=1,2757+1=AH!$U$6),IF(AH!$U$4=0,"unavailable",INDEX('Market Data'!$AN$5:$AN$66,AH!$U$4)),IF(AH!$U$5=1,INDEX('Live History'!$B$5:$B$3004,$K2762),INDEX('AH History'!$D$5:$GG$1380,$K2762,AH!$U$10))))&gt;0),IF(AND(AH!$U$12=1,2757+1=AH!$U$6),IF(AH!$U$4=0,"unavailable",INDEX('Market Data'!$AN$5:$AN$66,AH!$U$4)),IF(AH!$U$5=1,INDEX('Live History'!$B$5:$B$3004,$K2762),INDEX('AH History'!$D$5:$GG$1380,$K2762,AH!$U$10))),NA()),NA())</f>
        <v/>
      </c>
      <c r="F2762" s="32">
        <f>IFERROR(IF(ISNUMBER($A2762),IF(AND(AH!$U$12=1,2757+1=AH!$U$6),IF(AH!$U$4=0,"unavailable",INDEX('Market Data'!$AO$5:$AO$66,AH!$U$4)),IF(AH!$U$5=1,INDEX('Live History'!$E$5:$E$3004,MATCH($A2762,'Live History'!$D$5:$D$3004,1)),INDEX('AH History'!$D$5:$GG$1380,$K2762,AH!$U$10+1))),NA()),NA())</f>
        <v/>
      </c>
      <c r="G2762" s="34">
        <f>IFERROR(IF(ISNUMBER($A2762),IF(AND(AH!$U$12=1,2757+1=AH!$U$6),IF(AH!$U$4=0,"unavailable",INDEX('Market Data'!$AK$5:$AK$66,AH!$U$4)),IF(AH!$U$5=1,INDEX('Live History'!$D$5:$D$3004,MATCH($A2762,'Live History'!$D$5:$D$3004,1)),INDEX('AH History'!$D$5:$GG$1380,$K2762,AH!$U$10+2))),NA()),NA())</f>
        <v/>
      </c>
      <c r="H2762" s="266">
        <f>IFERROR(IF(ISNUMBER($A2762),IF(AND(AH!$U$12=1,2757+1=AH!$U$6),IF(AH!$U$4=0,"unavailable",INDEX('Market Data'!$AP$5:$AP$66,AH!$U$4)),IF(AH!$U$5=1,INDEX('Live History'!$H$5:$H$3004,MATCH($A2762,'Live History'!$G$5:$G$3004,1)),INDEX('AH History'!$B$5:$B$1380,$K2762))),NA()),NA())</f>
        <v/>
      </c>
      <c r="I2762" s="34">
        <f>IFERROR(IF(ISNUMBER($A2762),IF(AND(AH!$U$12=1,2757+1=AH!$U$6),TODAY(),IF(AH!$U$5=1,INDEX('Live History'!$G$5:$G$3004,MATCH($A2762,'Live History'!$G$5:$G$3004,1)),INDEX('AH History'!$C$5:$C$1380,$K2762))),NA()),NA())</f>
        <v/>
      </c>
      <c r="J2762" s="32">
        <f>IFERROR(IF(AND($F2762&gt;0,$H2762&gt;0,$A2762-$G2762&lt;=10,$A2762-$I2762&lt;=5,$G2762&gt;0,$I2762&gt;0),$F2762*$H2762,NA()),NA())</f>
        <v/>
      </c>
      <c r="K2762" s="15">
        <f>IF($A2762="","",IF(AH!$U$5=1,IFERROR(MATCH($A2762,'Live History'!$A$5:$A$3004,0),0),AH!$U$7+2757))</f>
        <v/>
      </c>
      <c r="L2762" s="15">
        <f>IF(ISNUMBER(A2762),TEXT(A2762,"dd-mmm-yy"),"")</f>
        <v/>
      </c>
    </row>
    <row r="2763">
      <c r="A2763" s="14">
        <f>IF(OR(AH!$U$4=0,2758+1&gt;AH!$U$6,AND(AH!$M$5="Bloomberg",AH!$U$5=0)),"",IFERROR(IF(AND(AH!$U$12=1,2758+1=AH!$U$6),TODAY(),IF(AH!$U$5=1,INDEX('Live History'!$A$5:$A$3004,AH!$U$7+2758),INDEX('AH History'!$A$5:$A$1380,AH!$U$7+2758))),""))</f>
        <v/>
      </c>
      <c r="B2763" s="33">
        <f>IFERROR(IF(AH!$U$11=1,NA(),$J2763/$E2763-1),NA())</f>
        <v/>
      </c>
      <c r="C2763" s="269">
        <f>IFERROR(100*$E2763/$E$5,NA())</f>
        <v/>
      </c>
      <c r="D2763" s="269">
        <f>IFERROR(100*$J2763/$J$5,NA())</f>
        <v/>
      </c>
      <c r="E2763" s="32">
        <f>IFERROR(IF(AND(ISNUMBER($A2763),N(IF(AND(AH!$U$12=1,2758+1=AH!$U$6),IF(AH!$U$4=0,"unavailable",INDEX('Market Data'!$AN$5:$AN$66,AH!$U$4)),IF(AH!$U$5=1,INDEX('Live History'!$B$5:$B$3004,$K2763),INDEX('AH History'!$D$5:$GG$1380,$K2763,AH!$U$10))))&gt;0),IF(AND(AH!$U$12=1,2758+1=AH!$U$6),IF(AH!$U$4=0,"unavailable",INDEX('Market Data'!$AN$5:$AN$66,AH!$U$4)),IF(AH!$U$5=1,INDEX('Live History'!$B$5:$B$3004,$K2763),INDEX('AH History'!$D$5:$GG$1380,$K2763,AH!$U$10))),NA()),NA())</f>
        <v/>
      </c>
      <c r="F2763" s="32">
        <f>IFERROR(IF(ISNUMBER($A2763),IF(AND(AH!$U$12=1,2758+1=AH!$U$6),IF(AH!$U$4=0,"unavailable",INDEX('Market Data'!$AO$5:$AO$66,AH!$U$4)),IF(AH!$U$5=1,INDEX('Live History'!$E$5:$E$3004,MATCH($A2763,'Live History'!$D$5:$D$3004,1)),INDEX('AH History'!$D$5:$GG$1380,$K2763,AH!$U$10+1))),NA()),NA())</f>
        <v/>
      </c>
      <c r="G2763" s="34">
        <f>IFERROR(IF(ISNUMBER($A2763),IF(AND(AH!$U$12=1,2758+1=AH!$U$6),IF(AH!$U$4=0,"unavailable",INDEX('Market Data'!$AK$5:$AK$66,AH!$U$4)),IF(AH!$U$5=1,INDEX('Live History'!$D$5:$D$3004,MATCH($A2763,'Live History'!$D$5:$D$3004,1)),INDEX('AH History'!$D$5:$GG$1380,$K2763,AH!$U$10+2))),NA()),NA())</f>
        <v/>
      </c>
      <c r="H2763" s="266">
        <f>IFERROR(IF(ISNUMBER($A2763),IF(AND(AH!$U$12=1,2758+1=AH!$U$6),IF(AH!$U$4=0,"unavailable",INDEX('Market Data'!$AP$5:$AP$66,AH!$U$4)),IF(AH!$U$5=1,INDEX('Live History'!$H$5:$H$3004,MATCH($A2763,'Live History'!$G$5:$G$3004,1)),INDEX('AH History'!$B$5:$B$1380,$K2763))),NA()),NA())</f>
        <v/>
      </c>
      <c r="I2763" s="34">
        <f>IFERROR(IF(ISNUMBER($A2763),IF(AND(AH!$U$12=1,2758+1=AH!$U$6),TODAY(),IF(AH!$U$5=1,INDEX('Live History'!$G$5:$G$3004,MATCH($A2763,'Live History'!$G$5:$G$3004,1)),INDEX('AH History'!$C$5:$C$1380,$K2763))),NA()),NA())</f>
        <v/>
      </c>
      <c r="J2763" s="32">
        <f>IFERROR(IF(AND($F2763&gt;0,$H2763&gt;0,$A2763-$G2763&lt;=10,$A2763-$I2763&lt;=5,$G2763&gt;0,$I2763&gt;0),$F2763*$H2763,NA()),NA())</f>
        <v/>
      </c>
      <c r="K2763" s="15">
        <f>IF($A2763="","",IF(AH!$U$5=1,IFERROR(MATCH($A2763,'Live History'!$A$5:$A$3004,0),0),AH!$U$7+2758))</f>
        <v/>
      </c>
      <c r="L2763" s="15">
        <f>IF(ISNUMBER(A2763),TEXT(A2763,"dd-mmm-yy"),"")</f>
        <v/>
      </c>
    </row>
    <row r="2764">
      <c r="A2764" s="14">
        <f>IF(OR(AH!$U$4=0,2759+1&gt;AH!$U$6,AND(AH!$M$5="Bloomberg",AH!$U$5=0)),"",IFERROR(IF(AND(AH!$U$12=1,2759+1=AH!$U$6),TODAY(),IF(AH!$U$5=1,INDEX('Live History'!$A$5:$A$3004,AH!$U$7+2759),INDEX('AH History'!$A$5:$A$1380,AH!$U$7+2759))),""))</f>
        <v/>
      </c>
      <c r="B2764" s="33">
        <f>IFERROR(IF(AH!$U$11=1,NA(),$J2764/$E2764-1),NA())</f>
        <v/>
      </c>
      <c r="C2764" s="269">
        <f>IFERROR(100*$E2764/$E$5,NA())</f>
        <v/>
      </c>
      <c r="D2764" s="269">
        <f>IFERROR(100*$J2764/$J$5,NA())</f>
        <v/>
      </c>
      <c r="E2764" s="32">
        <f>IFERROR(IF(AND(ISNUMBER($A2764),N(IF(AND(AH!$U$12=1,2759+1=AH!$U$6),IF(AH!$U$4=0,"unavailable",INDEX('Market Data'!$AN$5:$AN$66,AH!$U$4)),IF(AH!$U$5=1,INDEX('Live History'!$B$5:$B$3004,$K2764),INDEX('AH History'!$D$5:$GG$1380,$K2764,AH!$U$10))))&gt;0),IF(AND(AH!$U$12=1,2759+1=AH!$U$6),IF(AH!$U$4=0,"unavailable",INDEX('Market Data'!$AN$5:$AN$66,AH!$U$4)),IF(AH!$U$5=1,INDEX('Live History'!$B$5:$B$3004,$K2764),INDEX('AH History'!$D$5:$GG$1380,$K2764,AH!$U$10))),NA()),NA())</f>
        <v/>
      </c>
      <c r="F2764" s="32">
        <f>IFERROR(IF(ISNUMBER($A2764),IF(AND(AH!$U$12=1,2759+1=AH!$U$6),IF(AH!$U$4=0,"unavailable",INDEX('Market Data'!$AO$5:$AO$66,AH!$U$4)),IF(AH!$U$5=1,INDEX('Live History'!$E$5:$E$3004,MATCH($A2764,'Live History'!$D$5:$D$3004,1)),INDEX('AH History'!$D$5:$GG$1380,$K2764,AH!$U$10+1))),NA()),NA())</f>
        <v/>
      </c>
      <c r="G2764" s="34">
        <f>IFERROR(IF(ISNUMBER($A2764),IF(AND(AH!$U$12=1,2759+1=AH!$U$6),IF(AH!$U$4=0,"unavailable",INDEX('Market Data'!$AK$5:$AK$66,AH!$U$4)),IF(AH!$U$5=1,INDEX('Live History'!$D$5:$D$3004,MATCH($A2764,'Live History'!$D$5:$D$3004,1)),INDEX('AH History'!$D$5:$GG$1380,$K2764,AH!$U$10+2))),NA()),NA())</f>
        <v/>
      </c>
      <c r="H2764" s="266">
        <f>IFERROR(IF(ISNUMBER($A2764),IF(AND(AH!$U$12=1,2759+1=AH!$U$6),IF(AH!$U$4=0,"unavailable",INDEX('Market Data'!$AP$5:$AP$66,AH!$U$4)),IF(AH!$U$5=1,INDEX('Live History'!$H$5:$H$3004,MATCH($A2764,'Live History'!$G$5:$G$3004,1)),INDEX('AH History'!$B$5:$B$1380,$K2764))),NA()),NA())</f>
        <v/>
      </c>
      <c r="I2764" s="34">
        <f>IFERROR(IF(ISNUMBER($A2764),IF(AND(AH!$U$12=1,2759+1=AH!$U$6),TODAY(),IF(AH!$U$5=1,INDEX('Live History'!$G$5:$G$3004,MATCH($A2764,'Live History'!$G$5:$G$3004,1)),INDEX('AH History'!$C$5:$C$1380,$K2764))),NA()),NA())</f>
        <v/>
      </c>
      <c r="J2764" s="32">
        <f>IFERROR(IF(AND($F2764&gt;0,$H2764&gt;0,$A2764-$G2764&lt;=10,$A2764-$I2764&lt;=5,$G2764&gt;0,$I2764&gt;0),$F2764*$H2764,NA()),NA())</f>
        <v/>
      </c>
      <c r="K2764" s="15">
        <f>IF($A2764="","",IF(AH!$U$5=1,IFERROR(MATCH($A2764,'Live History'!$A$5:$A$3004,0),0),AH!$U$7+2759))</f>
        <v/>
      </c>
      <c r="L2764" s="15">
        <f>IF(ISNUMBER(A2764),TEXT(A2764,"dd-mmm-yy"),"")</f>
        <v/>
      </c>
    </row>
    <row r="2765">
      <c r="A2765" s="14">
        <f>IF(OR(AH!$U$4=0,2760+1&gt;AH!$U$6,AND(AH!$M$5="Bloomberg",AH!$U$5=0)),"",IFERROR(IF(AND(AH!$U$12=1,2760+1=AH!$U$6),TODAY(),IF(AH!$U$5=1,INDEX('Live History'!$A$5:$A$3004,AH!$U$7+2760),INDEX('AH History'!$A$5:$A$1380,AH!$U$7+2760))),""))</f>
        <v/>
      </c>
      <c r="B2765" s="33">
        <f>IFERROR(IF(AH!$U$11=1,NA(),$J2765/$E2765-1),NA())</f>
        <v/>
      </c>
      <c r="C2765" s="269">
        <f>IFERROR(100*$E2765/$E$5,NA())</f>
        <v/>
      </c>
      <c r="D2765" s="269">
        <f>IFERROR(100*$J2765/$J$5,NA())</f>
        <v/>
      </c>
      <c r="E2765" s="32">
        <f>IFERROR(IF(AND(ISNUMBER($A2765),N(IF(AND(AH!$U$12=1,2760+1=AH!$U$6),IF(AH!$U$4=0,"unavailable",INDEX('Market Data'!$AN$5:$AN$66,AH!$U$4)),IF(AH!$U$5=1,INDEX('Live History'!$B$5:$B$3004,$K2765),INDEX('AH History'!$D$5:$GG$1380,$K2765,AH!$U$10))))&gt;0),IF(AND(AH!$U$12=1,2760+1=AH!$U$6),IF(AH!$U$4=0,"unavailable",INDEX('Market Data'!$AN$5:$AN$66,AH!$U$4)),IF(AH!$U$5=1,INDEX('Live History'!$B$5:$B$3004,$K2765),INDEX('AH History'!$D$5:$GG$1380,$K2765,AH!$U$10))),NA()),NA())</f>
        <v/>
      </c>
      <c r="F2765" s="32">
        <f>IFERROR(IF(ISNUMBER($A2765),IF(AND(AH!$U$12=1,2760+1=AH!$U$6),IF(AH!$U$4=0,"unavailable",INDEX('Market Data'!$AO$5:$AO$66,AH!$U$4)),IF(AH!$U$5=1,INDEX('Live History'!$E$5:$E$3004,MATCH($A2765,'Live History'!$D$5:$D$3004,1)),INDEX('AH History'!$D$5:$GG$1380,$K2765,AH!$U$10+1))),NA()),NA())</f>
        <v/>
      </c>
      <c r="G2765" s="34">
        <f>IFERROR(IF(ISNUMBER($A2765),IF(AND(AH!$U$12=1,2760+1=AH!$U$6),IF(AH!$U$4=0,"unavailable",INDEX('Market Data'!$AK$5:$AK$66,AH!$U$4)),IF(AH!$U$5=1,INDEX('Live History'!$D$5:$D$3004,MATCH($A2765,'Live History'!$D$5:$D$3004,1)),INDEX('AH History'!$D$5:$GG$1380,$K2765,AH!$U$10+2))),NA()),NA())</f>
        <v/>
      </c>
      <c r="H2765" s="266">
        <f>IFERROR(IF(ISNUMBER($A2765),IF(AND(AH!$U$12=1,2760+1=AH!$U$6),IF(AH!$U$4=0,"unavailable",INDEX('Market Data'!$AP$5:$AP$66,AH!$U$4)),IF(AH!$U$5=1,INDEX('Live History'!$H$5:$H$3004,MATCH($A2765,'Live History'!$G$5:$G$3004,1)),INDEX('AH History'!$B$5:$B$1380,$K2765))),NA()),NA())</f>
        <v/>
      </c>
      <c r="I2765" s="34">
        <f>IFERROR(IF(ISNUMBER($A2765),IF(AND(AH!$U$12=1,2760+1=AH!$U$6),TODAY(),IF(AH!$U$5=1,INDEX('Live History'!$G$5:$G$3004,MATCH($A2765,'Live History'!$G$5:$G$3004,1)),INDEX('AH History'!$C$5:$C$1380,$K2765))),NA()),NA())</f>
        <v/>
      </c>
      <c r="J2765" s="32">
        <f>IFERROR(IF(AND($F2765&gt;0,$H2765&gt;0,$A2765-$G2765&lt;=10,$A2765-$I2765&lt;=5,$G2765&gt;0,$I2765&gt;0),$F2765*$H2765,NA()),NA())</f>
        <v/>
      </c>
      <c r="K2765" s="15">
        <f>IF($A2765="","",IF(AH!$U$5=1,IFERROR(MATCH($A2765,'Live History'!$A$5:$A$3004,0),0),AH!$U$7+2760))</f>
        <v/>
      </c>
      <c r="L2765" s="15">
        <f>IF(ISNUMBER(A2765),TEXT(A2765,"dd-mmm-yy"),"")</f>
        <v/>
      </c>
    </row>
    <row r="2766">
      <c r="A2766" s="14">
        <f>IF(OR(AH!$U$4=0,2761+1&gt;AH!$U$6,AND(AH!$M$5="Bloomberg",AH!$U$5=0)),"",IFERROR(IF(AND(AH!$U$12=1,2761+1=AH!$U$6),TODAY(),IF(AH!$U$5=1,INDEX('Live History'!$A$5:$A$3004,AH!$U$7+2761),INDEX('AH History'!$A$5:$A$1380,AH!$U$7+2761))),""))</f>
        <v/>
      </c>
      <c r="B2766" s="33">
        <f>IFERROR(IF(AH!$U$11=1,NA(),$J2766/$E2766-1),NA())</f>
        <v/>
      </c>
      <c r="C2766" s="269">
        <f>IFERROR(100*$E2766/$E$5,NA())</f>
        <v/>
      </c>
      <c r="D2766" s="269">
        <f>IFERROR(100*$J2766/$J$5,NA())</f>
        <v/>
      </c>
      <c r="E2766" s="32">
        <f>IFERROR(IF(AND(ISNUMBER($A2766),N(IF(AND(AH!$U$12=1,2761+1=AH!$U$6),IF(AH!$U$4=0,"unavailable",INDEX('Market Data'!$AN$5:$AN$66,AH!$U$4)),IF(AH!$U$5=1,INDEX('Live History'!$B$5:$B$3004,$K2766),INDEX('AH History'!$D$5:$GG$1380,$K2766,AH!$U$10))))&gt;0),IF(AND(AH!$U$12=1,2761+1=AH!$U$6),IF(AH!$U$4=0,"unavailable",INDEX('Market Data'!$AN$5:$AN$66,AH!$U$4)),IF(AH!$U$5=1,INDEX('Live History'!$B$5:$B$3004,$K2766),INDEX('AH History'!$D$5:$GG$1380,$K2766,AH!$U$10))),NA()),NA())</f>
        <v/>
      </c>
      <c r="F2766" s="32">
        <f>IFERROR(IF(ISNUMBER($A2766),IF(AND(AH!$U$12=1,2761+1=AH!$U$6),IF(AH!$U$4=0,"unavailable",INDEX('Market Data'!$AO$5:$AO$66,AH!$U$4)),IF(AH!$U$5=1,INDEX('Live History'!$E$5:$E$3004,MATCH($A2766,'Live History'!$D$5:$D$3004,1)),INDEX('AH History'!$D$5:$GG$1380,$K2766,AH!$U$10+1))),NA()),NA())</f>
        <v/>
      </c>
      <c r="G2766" s="34">
        <f>IFERROR(IF(ISNUMBER($A2766),IF(AND(AH!$U$12=1,2761+1=AH!$U$6),IF(AH!$U$4=0,"unavailable",INDEX('Market Data'!$AK$5:$AK$66,AH!$U$4)),IF(AH!$U$5=1,INDEX('Live History'!$D$5:$D$3004,MATCH($A2766,'Live History'!$D$5:$D$3004,1)),INDEX('AH History'!$D$5:$GG$1380,$K2766,AH!$U$10+2))),NA()),NA())</f>
        <v/>
      </c>
      <c r="H2766" s="266">
        <f>IFERROR(IF(ISNUMBER($A2766),IF(AND(AH!$U$12=1,2761+1=AH!$U$6),IF(AH!$U$4=0,"unavailable",INDEX('Market Data'!$AP$5:$AP$66,AH!$U$4)),IF(AH!$U$5=1,INDEX('Live History'!$H$5:$H$3004,MATCH($A2766,'Live History'!$G$5:$G$3004,1)),INDEX('AH History'!$B$5:$B$1380,$K2766))),NA()),NA())</f>
        <v/>
      </c>
      <c r="I2766" s="34">
        <f>IFERROR(IF(ISNUMBER($A2766),IF(AND(AH!$U$12=1,2761+1=AH!$U$6),TODAY(),IF(AH!$U$5=1,INDEX('Live History'!$G$5:$G$3004,MATCH($A2766,'Live History'!$G$5:$G$3004,1)),INDEX('AH History'!$C$5:$C$1380,$K2766))),NA()),NA())</f>
        <v/>
      </c>
      <c r="J2766" s="32">
        <f>IFERROR(IF(AND($F2766&gt;0,$H2766&gt;0,$A2766-$G2766&lt;=10,$A2766-$I2766&lt;=5,$G2766&gt;0,$I2766&gt;0),$F2766*$H2766,NA()),NA())</f>
        <v/>
      </c>
      <c r="K2766" s="15">
        <f>IF($A2766="","",IF(AH!$U$5=1,IFERROR(MATCH($A2766,'Live History'!$A$5:$A$3004,0),0),AH!$U$7+2761))</f>
        <v/>
      </c>
      <c r="L2766" s="15">
        <f>IF(ISNUMBER(A2766),TEXT(A2766,"dd-mmm-yy"),"")</f>
        <v/>
      </c>
    </row>
    <row r="2767">
      <c r="A2767" s="14">
        <f>IF(OR(AH!$U$4=0,2762+1&gt;AH!$U$6,AND(AH!$M$5="Bloomberg",AH!$U$5=0)),"",IFERROR(IF(AND(AH!$U$12=1,2762+1=AH!$U$6),TODAY(),IF(AH!$U$5=1,INDEX('Live History'!$A$5:$A$3004,AH!$U$7+2762),INDEX('AH History'!$A$5:$A$1380,AH!$U$7+2762))),""))</f>
        <v/>
      </c>
      <c r="B2767" s="33">
        <f>IFERROR(IF(AH!$U$11=1,NA(),$J2767/$E2767-1),NA())</f>
        <v/>
      </c>
      <c r="C2767" s="269">
        <f>IFERROR(100*$E2767/$E$5,NA())</f>
        <v/>
      </c>
      <c r="D2767" s="269">
        <f>IFERROR(100*$J2767/$J$5,NA())</f>
        <v/>
      </c>
      <c r="E2767" s="32">
        <f>IFERROR(IF(AND(ISNUMBER($A2767),N(IF(AND(AH!$U$12=1,2762+1=AH!$U$6),IF(AH!$U$4=0,"unavailable",INDEX('Market Data'!$AN$5:$AN$66,AH!$U$4)),IF(AH!$U$5=1,INDEX('Live History'!$B$5:$B$3004,$K2767),INDEX('AH History'!$D$5:$GG$1380,$K2767,AH!$U$10))))&gt;0),IF(AND(AH!$U$12=1,2762+1=AH!$U$6),IF(AH!$U$4=0,"unavailable",INDEX('Market Data'!$AN$5:$AN$66,AH!$U$4)),IF(AH!$U$5=1,INDEX('Live History'!$B$5:$B$3004,$K2767),INDEX('AH History'!$D$5:$GG$1380,$K2767,AH!$U$10))),NA()),NA())</f>
        <v/>
      </c>
      <c r="F2767" s="32">
        <f>IFERROR(IF(ISNUMBER($A2767),IF(AND(AH!$U$12=1,2762+1=AH!$U$6),IF(AH!$U$4=0,"unavailable",INDEX('Market Data'!$AO$5:$AO$66,AH!$U$4)),IF(AH!$U$5=1,INDEX('Live History'!$E$5:$E$3004,MATCH($A2767,'Live History'!$D$5:$D$3004,1)),INDEX('AH History'!$D$5:$GG$1380,$K2767,AH!$U$10+1))),NA()),NA())</f>
        <v/>
      </c>
      <c r="G2767" s="34">
        <f>IFERROR(IF(ISNUMBER($A2767),IF(AND(AH!$U$12=1,2762+1=AH!$U$6),IF(AH!$U$4=0,"unavailable",INDEX('Market Data'!$AK$5:$AK$66,AH!$U$4)),IF(AH!$U$5=1,INDEX('Live History'!$D$5:$D$3004,MATCH($A2767,'Live History'!$D$5:$D$3004,1)),INDEX('AH History'!$D$5:$GG$1380,$K2767,AH!$U$10+2))),NA()),NA())</f>
        <v/>
      </c>
      <c r="H2767" s="266">
        <f>IFERROR(IF(ISNUMBER($A2767),IF(AND(AH!$U$12=1,2762+1=AH!$U$6),IF(AH!$U$4=0,"unavailable",INDEX('Market Data'!$AP$5:$AP$66,AH!$U$4)),IF(AH!$U$5=1,INDEX('Live History'!$H$5:$H$3004,MATCH($A2767,'Live History'!$G$5:$G$3004,1)),INDEX('AH History'!$B$5:$B$1380,$K2767))),NA()),NA())</f>
        <v/>
      </c>
      <c r="I2767" s="34">
        <f>IFERROR(IF(ISNUMBER($A2767),IF(AND(AH!$U$12=1,2762+1=AH!$U$6),TODAY(),IF(AH!$U$5=1,INDEX('Live History'!$G$5:$G$3004,MATCH($A2767,'Live History'!$G$5:$G$3004,1)),INDEX('AH History'!$C$5:$C$1380,$K2767))),NA()),NA())</f>
        <v/>
      </c>
      <c r="J2767" s="32">
        <f>IFERROR(IF(AND($F2767&gt;0,$H2767&gt;0,$A2767-$G2767&lt;=10,$A2767-$I2767&lt;=5,$G2767&gt;0,$I2767&gt;0),$F2767*$H2767,NA()),NA())</f>
        <v/>
      </c>
      <c r="K2767" s="15">
        <f>IF($A2767="","",IF(AH!$U$5=1,IFERROR(MATCH($A2767,'Live History'!$A$5:$A$3004,0),0),AH!$U$7+2762))</f>
        <v/>
      </c>
      <c r="L2767" s="15">
        <f>IF(ISNUMBER(A2767),TEXT(A2767,"dd-mmm-yy"),"")</f>
        <v/>
      </c>
    </row>
    <row r="2768">
      <c r="A2768" s="14">
        <f>IF(OR(AH!$U$4=0,2763+1&gt;AH!$U$6,AND(AH!$M$5="Bloomberg",AH!$U$5=0)),"",IFERROR(IF(AND(AH!$U$12=1,2763+1=AH!$U$6),TODAY(),IF(AH!$U$5=1,INDEX('Live History'!$A$5:$A$3004,AH!$U$7+2763),INDEX('AH History'!$A$5:$A$1380,AH!$U$7+2763))),""))</f>
        <v/>
      </c>
      <c r="B2768" s="33">
        <f>IFERROR(IF(AH!$U$11=1,NA(),$J2768/$E2768-1),NA())</f>
        <v/>
      </c>
      <c r="C2768" s="269">
        <f>IFERROR(100*$E2768/$E$5,NA())</f>
        <v/>
      </c>
      <c r="D2768" s="269">
        <f>IFERROR(100*$J2768/$J$5,NA())</f>
        <v/>
      </c>
      <c r="E2768" s="32">
        <f>IFERROR(IF(AND(ISNUMBER($A2768),N(IF(AND(AH!$U$12=1,2763+1=AH!$U$6),IF(AH!$U$4=0,"unavailable",INDEX('Market Data'!$AN$5:$AN$66,AH!$U$4)),IF(AH!$U$5=1,INDEX('Live History'!$B$5:$B$3004,$K2768),INDEX('AH History'!$D$5:$GG$1380,$K2768,AH!$U$10))))&gt;0),IF(AND(AH!$U$12=1,2763+1=AH!$U$6),IF(AH!$U$4=0,"unavailable",INDEX('Market Data'!$AN$5:$AN$66,AH!$U$4)),IF(AH!$U$5=1,INDEX('Live History'!$B$5:$B$3004,$K2768),INDEX('AH History'!$D$5:$GG$1380,$K2768,AH!$U$10))),NA()),NA())</f>
        <v/>
      </c>
      <c r="F2768" s="32">
        <f>IFERROR(IF(ISNUMBER($A2768),IF(AND(AH!$U$12=1,2763+1=AH!$U$6),IF(AH!$U$4=0,"unavailable",INDEX('Market Data'!$AO$5:$AO$66,AH!$U$4)),IF(AH!$U$5=1,INDEX('Live History'!$E$5:$E$3004,MATCH($A2768,'Live History'!$D$5:$D$3004,1)),INDEX('AH History'!$D$5:$GG$1380,$K2768,AH!$U$10+1))),NA()),NA())</f>
        <v/>
      </c>
      <c r="G2768" s="34">
        <f>IFERROR(IF(ISNUMBER($A2768),IF(AND(AH!$U$12=1,2763+1=AH!$U$6),IF(AH!$U$4=0,"unavailable",INDEX('Market Data'!$AK$5:$AK$66,AH!$U$4)),IF(AH!$U$5=1,INDEX('Live History'!$D$5:$D$3004,MATCH($A2768,'Live History'!$D$5:$D$3004,1)),INDEX('AH History'!$D$5:$GG$1380,$K2768,AH!$U$10+2))),NA()),NA())</f>
        <v/>
      </c>
      <c r="H2768" s="266">
        <f>IFERROR(IF(ISNUMBER($A2768),IF(AND(AH!$U$12=1,2763+1=AH!$U$6),IF(AH!$U$4=0,"unavailable",INDEX('Market Data'!$AP$5:$AP$66,AH!$U$4)),IF(AH!$U$5=1,INDEX('Live History'!$H$5:$H$3004,MATCH($A2768,'Live History'!$G$5:$G$3004,1)),INDEX('AH History'!$B$5:$B$1380,$K2768))),NA()),NA())</f>
        <v/>
      </c>
      <c r="I2768" s="34">
        <f>IFERROR(IF(ISNUMBER($A2768),IF(AND(AH!$U$12=1,2763+1=AH!$U$6),TODAY(),IF(AH!$U$5=1,INDEX('Live History'!$G$5:$G$3004,MATCH($A2768,'Live History'!$G$5:$G$3004,1)),INDEX('AH History'!$C$5:$C$1380,$K2768))),NA()),NA())</f>
        <v/>
      </c>
      <c r="J2768" s="32">
        <f>IFERROR(IF(AND($F2768&gt;0,$H2768&gt;0,$A2768-$G2768&lt;=10,$A2768-$I2768&lt;=5,$G2768&gt;0,$I2768&gt;0),$F2768*$H2768,NA()),NA())</f>
        <v/>
      </c>
      <c r="K2768" s="15">
        <f>IF($A2768="","",IF(AH!$U$5=1,IFERROR(MATCH($A2768,'Live History'!$A$5:$A$3004,0),0),AH!$U$7+2763))</f>
        <v/>
      </c>
      <c r="L2768" s="15">
        <f>IF(ISNUMBER(A2768),TEXT(A2768,"dd-mmm-yy"),"")</f>
        <v/>
      </c>
    </row>
    <row r="2769">
      <c r="A2769" s="14">
        <f>IF(OR(AH!$U$4=0,2764+1&gt;AH!$U$6,AND(AH!$M$5="Bloomberg",AH!$U$5=0)),"",IFERROR(IF(AND(AH!$U$12=1,2764+1=AH!$U$6),TODAY(),IF(AH!$U$5=1,INDEX('Live History'!$A$5:$A$3004,AH!$U$7+2764),INDEX('AH History'!$A$5:$A$1380,AH!$U$7+2764))),""))</f>
        <v/>
      </c>
      <c r="B2769" s="33">
        <f>IFERROR(IF(AH!$U$11=1,NA(),$J2769/$E2769-1),NA())</f>
        <v/>
      </c>
      <c r="C2769" s="269">
        <f>IFERROR(100*$E2769/$E$5,NA())</f>
        <v/>
      </c>
      <c r="D2769" s="269">
        <f>IFERROR(100*$J2769/$J$5,NA())</f>
        <v/>
      </c>
      <c r="E2769" s="32">
        <f>IFERROR(IF(AND(ISNUMBER($A2769),N(IF(AND(AH!$U$12=1,2764+1=AH!$U$6),IF(AH!$U$4=0,"unavailable",INDEX('Market Data'!$AN$5:$AN$66,AH!$U$4)),IF(AH!$U$5=1,INDEX('Live History'!$B$5:$B$3004,$K2769),INDEX('AH History'!$D$5:$GG$1380,$K2769,AH!$U$10))))&gt;0),IF(AND(AH!$U$12=1,2764+1=AH!$U$6),IF(AH!$U$4=0,"unavailable",INDEX('Market Data'!$AN$5:$AN$66,AH!$U$4)),IF(AH!$U$5=1,INDEX('Live History'!$B$5:$B$3004,$K2769),INDEX('AH History'!$D$5:$GG$1380,$K2769,AH!$U$10))),NA()),NA())</f>
        <v/>
      </c>
      <c r="F2769" s="32">
        <f>IFERROR(IF(ISNUMBER($A2769),IF(AND(AH!$U$12=1,2764+1=AH!$U$6),IF(AH!$U$4=0,"unavailable",INDEX('Market Data'!$AO$5:$AO$66,AH!$U$4)),IF(AH!$U$5=1,INDEX('Live History'!$E$5:$E$3004,MATCH($A2769,'Live History'!$D$5:$D$3004,1)),INDEX('AH History'!$D$5:$GG$1380,$K2769,AH!$U$10+1))),NA()),NA())</f>
        <v/>
      </c>
      <c r="G2769" s="34">
        <f>IFERROR(IF(ISNUMBER($A2769),IF(AND(AH!$U$12=1,2764+1=AH!$U$6),IF(AH!$U$4=0,"unavailable",INDEX('Market Data'!$AK$5:$AK$66,AH!$U$4)),IF(AH!$U$5=1,INDEX('Live History'!$D$5:$D$3004,MATCH($A2769,'Live History'!$D$5:$D$3004,1)),INDEX('AH History'!$D$5:$GG$1380,$K2769,AH!$U$10+2))),NA()),NA())</f>
        <v/>
      </c>
      <c r="H2769" s="266">
        <f>IFERROR(IF(ISNUMBER($A2769),IF(AND(AH!$U$12=1,2764+1=AH!$U$6),IF(AH!$U$4=0,"unavailable",INDEX('Market Data'!$AP$5:$AP$66,AH!$U$4)),IF(AH!$U$5=1,INDEX('Live History'!$H$5:$H$3004,MATCH($A2769,'Live History'!$G$5:$G$3004,1)),INDEX('AH History'!$B$5:$B$1380,$K2769))),NA()),NA())</f>
        <v/>
      </c>
      <c r="I2769" s="34">
        <f>IFERROR(IF(ISNUMBER($A2769),IF(AND(AH!$U$12=1,2764+1=AH!$U$6),TODAY(),IF(AH!$U$5=1,INDEX('Live History'!$G$5:$G$3004,MATCH($A2769,'Live History'!$G$5:$G$3004,1)),INDEX('AH History'!$C$5:$C$1380,$K2769))),NA()),NA())</f>
        <v/>
      </c>
      <c r="J2769" s="32">
        <f>IFERROR(IF(AND($F2769&gt;0,$H2769&gt;0,$A2769-$G2769&lt;=10,$A2769-$I2769&lt;=5,$G2769&gt;0,$I2769&gt;0),$F2769*$H2769,NA()),NA())</f>
        <v/>
      </c>
      <c r="K2769" s="15">
        <f>IF($A2769="","",IF(AH!$U$5=1,IFERROR(MATCH($A2769,'Live History'!$A$5:$A$3004,0),0),AH!$U$7+2764))</f>
        <v/>
      </c>
      <c r="L2769" s="15">
        <f>IF(ISNUMBER(A2769),TEXT(A2769,"dd-mmm-yy"),"")</f>
        <v/>
      </c>
    </row>
    <row r="2770">
      <c r="A2770" s="14">
        <f>IF(OR(AH!$U$4=0,2765+1&gt;AH!$U$6,AND(AH!$M$5="Bloomberg",AH!$U$5=0)),"",IFERROR(IF(AND(AH!$U$12=1,2765+1=AH!$U$6),TODAY(),IF(AH!$U$5=1,INDEX('Live History'!$A$5:$A$3004,AH!$U$7+2765),INDEX('AH History'!$A$5:$A$1380,AH!$U$7+2765))),""))</f>
        <v/>
      </c>
      <c r="B2770" s="33">
        <f>IFERROR(IF(AH!$U$11=1,NA(),$J2770/$E2770-1),NA())</f>
        <v/>
      </c>
      <c r="C2770" s="269">
        <f>IFERROR(100*$E2770/$E$5,NA())</f>
        <v/>
      </c>
      <c r="D2770" s="269">
        <f>IFERROR(100*$J2770/$J$5,NA())</f>
        <v/>
      </c>
      <c r="E2770" s="32">
        <f>IFERROR(IF(AND(ISNUMBER($A2770),N(IF(AND(AH!$U$12=1,2765+1=AH!$U$6),IF(AH!$U$4=0,"unavailable",INDEX('Market Data'!$AN$5:$AN$66,AH!$U$4)),IF(AH!$U$5=1,INDEX('Live History'!$B$5:$B$3004,$K2770),INDEX('AH History'!$D$5:$GG$1380,$K2770,AH!$U$10))))&gt;0),IF(AND(AH!$U$12=1,2765+1=AH!$U$6),IF(AH!$U$4=0,"unavailable",INDEX('Market Data'!$AN$5:$AN$66,AH!$U$4)),IF(AH!$U$5=1,INDEX('Live History'!$B$5:$B$3004,$K2770),INDEX('AH History'!$D$5:$GG$1380,$K2770,AH!$U$10))),NA()),NA())</f>
        <v/>
      </c>
      <c r="F2770" s="32">
        <f>IFERROR(IF(ISNUMBER($A2770),IF(AND(AH!$U$12=1,2765+1=AH!$U$6),IF(AH!$U$4=0,"unavailable",INDEX('Market Data'!$AO$5:$AO$66,AH!$U$4)),IF(AH!$U$5=1,INDEX('Live History'!$E$5:$E$3004,MATCH($A2770,'Live History'!$D$5:$D$3004,1)),INDEX('AH History'!$D$5:$GG$1380,$K2770,AH!$U$10+1))),NA()),NA())</f>
        <v/>
      </c>
      <c r="G2770" s="34">
        <f>IFERROR(IF(ISNUMBER($A2770),IF(AND(AH!$U$12=1,2765+1=AH!$U$6),IF(AH!$U$4=0,"unavailable",INDEX('Market Data'!$AK$5:$AK$66,AH!$U$4)),IF(AH!$U$5=1,INDEX('Live History'!$D$5:$D$3004,MATCH($A2770,'Live History'!$D$5:$D$3004,1)),INDEX('AH History'!$D$5:$GG$1380,$K2770,AH!$U$10+2))),NA()),NA())</f>
        <v/>
      </c>
      <c r="H2770" s="266">
        <f>IFERROR(IF(ISNUMBER($A2770),IF(AND(AH!$U$12=1,2765+1=AH!$U$6),IF(AH!$U$4=0,"unavailable",INDEX('Market Data'!$AP$5:$AP$66,AH!$U$4)),IF(AH!$U$5=1,INDEX('Live History'!$H$5:$H$3004,MATCH($A2770,'Live History'!$G$5:$G$3004,1)),INDEX('AH History'!$B$5:$B$1380,$K2770))),NA()),NA())</f>
        <v/>
      </c>
      <c r="I2770" s="34">
        <f>IFERROR(IF(ISNUMBER($A2770),IF(AND(AH!$U$12=1,2765+1=AH!$U$6),TODAY(),IF(AH!$U$5=1,INDEX('Live History'!$G$5:$G$3004,MATCH($A2770,'Live History'!$G$5:$G$3004,1)),INDEX('AH History'!$C$5:$C$1380,$K2770))),NA()),NA())</f>
        <v/>
      </c>
      <c r="J2770" s="32">
        <f>IFERROR(IF(AND($F2770&gt;0,$H2770&gt;0,$A2770-$G2770&lt;=10,$A2770-$I2770&lt;=5,$G2770&gt;0,$I2770&gt;0),$F2770*$H2770,NA()),NA())</f>
        <v/>
      </c>
      <c r="K2770" s="15">
        <f>IF($A2770="","",IF(AH!$U$5=1,IFERROR(MATCH($A2770,'Live History'!$A$5:$A$3004,0),0),AH!$U$7+2765))</f>
        <v/>
      </c>
      <c r="L2770" s="15">
        <f>IF(ISNUMBER(A2770),TEXT(A2770,"dd-mmm-yy"),"")</f>
        <v/>
      </c>
    </row>
    <row r="2771">
      <c r="A2771" s="14">
        <f>IF(OR(AH!$U$4=0,2766+1&gt;AH!$U$6,AND(AH!$M$5="Bloomberg",AH!$U$5=0)),"",IFERROR(IF(AND(AH!$U$12=1,2766+1=AH!$U$6),TODAY(),IF(AH!$U$5=1,INDEX('Live History'!$A$5:$A$3004,AH!$U$7+2766),INDEX('AH History'!$A$5:$A$1380,AH!$U$7+2766))),""))</f>
        <v/>
      </c>
      <c r="B2771" s="33">
        <f>IFERROR(IF(AH!$U$11=1,NA(),$J2771/$E2771-1),NA())</f>
        <v/>
      </c>
      <c r="C2771" s="269">
        <f>IFERROR(100*$E2771/$E$5,NA())</f>
        <v/>
      </c>
      <c r="D2771" s="269">
        <f>IFERROR(100*$J2771/$J$5,NA())</f>
        <v/>
      </c>
      <c r="E2771" s="32">
        <f>IFERROR(IF(AND(ISNUMBER($A2771),N(IF(AND(AH!$U$12=1,2766+1=AH!$U$6),IF(AH!$U$4=0,"unavailable",INDEX('Market Data'!$AN$5:$AN$66,AH!$U$4)),IF(AH!$U$5=1,INDEX('Live History'!$B$5:$B$3004,$K2771),INDEX('AH History'!$D$5:$GG$1380,$K2771,AH!$U$10))))&gt;0),IF(AND(AH!$U$12=1,2766+1=AH!$U$6),IF(AH!$U$4=0,"unavailable",INDEX('Market Data'!$AN$5:$AN$66,AH!$U$4)),IF(AH!$U$5=1,INDEX('Live History'!$B$5:$B$3004,$K2771),INDEX('AH History'!$D$5:$GG$1380,$K2771,AH!$U$10))),NA()),NA())</f>
        <v/>
      </c>
      <c r="F2771" s="32">
        <f>IFERROR(IF(ISNUMBER($A2771),IF(AND(AH!$U$12=1,2766+1=AH!$U$6),IF(AH!$U$4=0,"unavailable",INDEX('Market Data'!$AO$5:$AO$66,AH!$U$4)),IF(AH!$U$5=1,INDEX('Live History'!$E$5:$E$3004,MATCH($A2771,'Live History'!$D$5:$D$3004,1)),INDEX('AH History'!$D$5:$GG$1380,$K2771,AH!$U$10+1))),NA()),NA())</f>
        <v/>
      </c>
      <c r="G2771" s="34">
        <f>IFERROR(IF(ISNUMBER($A2771),IF(AND(AH!$U$12=1,2766+1=AH!$U$6),IF(AH!$U$4=0,"unavailable",INDEX('Market Data'!$AK$5:$AK$66,AH!$U$4)),IF(AH!$U$5=1,INDEX('Live History'!$D$5:$D$3004,MATCH($A2771,'Live History'!$D$5:$D$3004,1)),INDEX('AH History'!$D$5:$GG$1380,$K2771,AH!$U$10+2))),NA()),NA())</f>
        <v/>
      </c>
      <c r="H2771" s="266">
        <f>IFERROR(IF(ISNUMBER($A2771),IF(AND(AH!$U$12=1,2766+1=AH!$U$6),IF(AH!$U$4=0,"unavailable",INDEX('Market Data'!$AP$5:$AP$66,AH!$U$4)),IF(AH!$U$5=1,INDEX('Live History'!$H$5:$H$3004,MATCH($A2771,'Live History'!$G$5:$G$3004,1)),INDEX('AH History'!$B$5:$B$1380,$K2771))),NA()),NA())</f>
        <v/>
      </c>
      <c r="I2771" s="34">
        <f>IFERROR(IF(ISNUMBER($A2771),IF(AND(AH!$U$12=1,2766+1=AH!$U$6),TODAY(),IF(AH!$U$5=1,INDEX('Live History'!$G$5:$G$3004,MATCH($A2771,'Live History'!$G$5:$G$3004,1)),INDEX('AH History'!$C$5:$C$1380,$K2771))),NA()),NA())</f>
        <v/>
      </c>
      <c r="J2771" s="32">
        <f>IFERROR(IF(AND($F2771&gt;0,$H2771&gt;0,$A2771-$G2771&lt;=10,$A2771-$I2771&lt;=5,$G2771&gt;0,$I2771&gt;0),$F2771*$H2771,NA()),NA())</f>
        <v/>
      </c>
      <c r="K2771" s="15">
        <f>IF($A2771="","",IF(AH!$U$5=1,IFERROR(MATCH($A2771,'Live History'!$A$5:$A$3004,0),0),AH!$U$7+2766))</f>
        <v/>
      </c>
      <c r="L2771" s="15">
        <f>IF(ISNUMBER(A2771),TEXT(A2771,"dd-mmm-yy"),"")</f>
        <v/>
      </c>
    </row>
    <row r="2772">
      <c r="A2772" s="14">
        <f>IF(OR(AH!$U$4=0,2767+1&gt;AH!$U$6,AND(AH!$M$5="Bloomberg",AH!$U$5=0)),"",IFERROR(IF(AND(AH!$U$12=1,2767+1=AH!$U$6),TODAY(),IF(AH!$U$5=1,INDEX('Live History'!$A$5:$A$3004,AH!$U$7+2767),INDEX('AH History'!$A$5:$A$1380,AH!$U$7+2767))),""))</f>
        <v/>
      </c>
      <c r="B2772" s="33">
        <f>IFERROR(IF(AH!$U$11=1,NA(),$J2772/$E2772-1),NA())</f>
        <v/>
      </c>
      <c r="C2772" s="269">
        <f>IFERROR(100*$E2772/$E$5,NA())</f>
        <v/>
      </c>
      <c r="D2772" s="269">
        <f>IFERROR(100*$J2772/$J$5,NA())</f>
        <v/>
      </c>
      <c r="E2772" s="32">
        <f>IFERROR(IF(AND(ISNUMBER($A2772),N(IF(AND(AH!$U$12=1,2767+1=AH!$U$6),IF(AH!$U$4=0,"unavailable",INDEX('Market Data'!$AN$5:$AN$66,AH!$U$4)),IF(AH!$U$5=1,INDEX('Live History'!$B$5:$B$3004,$K2772),INDEX('AH History'!$D$5:$GG$1380,$K2772,AH!$U$10))))&gt;0),IF(AND(AH!$U$12=1,2767+1=AH!$U$6),IF(AH!$U$4=0,"unavailable",INDEX('Market Data'!$AN$5:$AN$66,AH!$U$4)),IF(AH!$U$5=1,INDEX('Live History'!$B$5:$B$3004,$K2772),INDEX('AH History'!$D$5:$GG$1380,$K2772,AH!$U$10))),NA()),NA())</f>
        <v/>
      </c>
      <c r="F2772" s="32">
        <f>IFERROR(IF(ISNUMBER($A2772),IF(AND(AH!$U$12=1,2767+1=AH!$U$6),IF(AH!$U$4=0,"unavailable",INDEX('Market Data'!$AO$5:$AO$66,AH!$U$4)),IF(AH!$U$5=1,INDEX('Live History'!$E$5:$E$3004,MATCH($A2772,'Live History'!$D$5:$D$3004,1)),INDEX('AH History'!$D$5:$GG$1380,$K2772,AH!$U$10+1))),NA()),NA())</f>
        <v/>
      </c>
      <c r="G2772" s="34">
        <f>IFERROR(IF(ISNUMBER($A2772),IF(AND(AH!$U$12=1,2767+1=AH!$U$6),IF(AH!$U$4=0,"unavailable",INDEX('Market Data'!$AK$5:$AK$66,AH!$U$4)),IF(AH!$U$5=1,INDEX('Live History'!$D$5:$D$3004,MATCH($A2772,'Live History'!$D$5:$D$3004,1)),INDEX('AH History'!$D$5:$GG$1380,$K2772,AH!$U$10+2))),NA()),NA())</f>
        <v/>
      </c>
      <c r="H2772" s="266">
        <f>IFERROR(IF(ISNUMBER($A2772),IF(AND(AH!$U$12=1,2767+1=AH!$U$6),IF(AH!$U$4=0,"unavailable",INDEX('Market Data'!$AP$5:$AP$66,AH!$U$4)),IF(AH!$U$5=1,INDEX('Live History'!$H$5:$H$3004,MATCH($A2772,'Live History'!$G$5:$G$3004,1)),INDEX('AH History'!$B$5:$B$1380,$K2772))),NA()),NA())</f>
        <v/>
      </c>
      <c r="I2772" s="34">
        <f>IFERROR(IF(ISNUMBER($A2772),IF(AND(AH!$U$12=1,2767+1=AH!$U$6),TODAY(),IF(AH!$U$5=1,INDEX('Live History'!$G$5:$G$3004,MATCH($A2772,'Live History'!$G$5:$G$3004,1)),INDEX('AH History'!$C$5:$C$1380,$K2772))),NA()),NA())</f>
        <v/>
      </c>
      <c r="J2772" s="32">
        <f>IFERROR(IF(AND($F2772&gt;0,$H2772&gt;0,$A2772-$G2772&lt;=10,$A2772-$I2772&lt;=5,$G2772&gt;0,$I2772&gt;0),$F2772*$H2772,NA()),NA())</f>
        <v/>
      </c>
      <c r="K2772" s="15">
        <f>IF($A2772="","",IF(AH!$U$5=1,IFERROR(MATCH($A2772,'Live History'!$A$5:$A$3004,0),0),AH!$U$7+2767))</f>
        <v/>
      </c>
      <c r="L2772" s="15">
        <f>IF(ISNUMBER(A2772),TEXT(A2772,"dd-mmm-yy"),"")</f>
        <v/>
      </c>
    </row>
    <row r="2773">
      <c r="A2773" s="14">
        <f>IF(OR(AH!$U$4=0,2768+1&gt;AH!$U$6,AND(AH!$M$5="Bloomberg",AH!$U$5=0)),"",IFERROR(IF(AND(AH!$U$12=1,2768+1=AH!$U$6),TODAY(),IF(AH!$U$5=1,INDEX('Live History'!$A$5:$A$3004,AH!$U$7+2768),INDEX('AH History'!$A$5:$A$1380,AH!$U$7+2768))),""))</f>
        <v/>
      </c>
      <c r="B2773" s="33">
        <f>IFERROR(IF(AH!$U$11=1,NA(),$J2773/$E2773-1),NA())</f>
        <v/>
      </c>
      <c r="C2773" s="269">
        <f>IFERROR(100*$E2773/$E$5,NA())</f>
        <v/>
      </c>
      <c r="D2773" s="269">
        <f>IFERROR(100*$J2773/$J$5,NA())</f>
        <v/>
      </c>
      <c r="E2773" s="32">
        <f>IFERROR(IF(AND(ISNUMBER($A2773),N(IF(AND(AH!$U$12=1,2768+1=AH!$U$6),IF(AH!$U$4=0,"unavailable",INDEX('Market Data'!$AN$5:$AN$66,AH!$U$4)),IF(AH!$U$5=1,INDEX('Live History'!$B$5:$B$3004,$K2773),INDEX('AH History'!$D$5:$GG$1380,$K2773,AH!$U$10))))&gt;0),IF(AND(AH!$U$12=1,2768+1=AH!$U$6),IF(AH!$U$4=0,"unavailable",INDEX('Market Data'!$AN$5:$AN$66,AH!$U$4)),IF(AH!$U$5=1,INDEX('Live History'!$B$5:$B$3004,$K2773),INDEX('AH History'!$D$5:$GG$1380,$K2773,AH!$U$10))),NA()),NA())</f>
        <v/>
      </c>
      <c r="F2773" s="32">
        <f>IFERROR(IF(ISNUMBER($A2773),IF(AND(AH!$U$12=1,2768+1=AH!$U$6),IF(AH!$U$4=0,"unavailable",INDEX('Market Data'!$AO$5:$AO$66,AH!$U$4)),IF(AH!$U$5=1,INDEX('Live History'!$E$5:$E$3004,MATCH($A2773,'Live History'!$D$5:$D$3004,1)),INDEX('AH History'!$D$5:$GG$1380,$K2773,AH!$U$10+1))),NA()),NA())</f>
        <v/>
      </c>
      <c r="G2773" s="34">
        <f>IFERROR(IF(ISNUMBER($A2773),IF(AND(AH!$U$12=1,2768+1=AH!$U$6),IF(AH!$U$4=0,"unavailable",INDEX('Market Data'!$AK$5:$AK$66,AH!$U$4)),IF(AH!$U$5=1,INDEX('Live History'!$D$5:$D$3004,MATCH($A2773,'Live History'!$D$5:$D$3004,1)),INDEX('AH History'!$D$5:$GG$1380,$K2773,AH!$U$10+2))),NA()),NA())</f>
        <v/>
      </c>
      <c r="H2773" s="266">
        <f>IFERROR(IF(ISNUMBER($A2773),IF(AND(AH!$U$12=1,2768+1=AH!$U$6),IF(AH!$U$4=0,"unavailable",INDEX('Market Data'!$AP$5:$AP$66,AH!$U$4)),IF(AH!$U$5=1,INDEX('Live History'!$H$5:$H$3004,MATCH($A2773,'Live History'!$G$5:$G$3004,1)),INDEX('AH History'!$B$5:$B$1380,$K2773))),NA()),NA())</f>
        <v/>
      </c>
      <c r="I2773" s="34">
        <f>IFERROR(IF(ISNUMBER($A2773),IF(AND(AH!$U$12=1,2768+1=AH!$U$6),TODAY(),IF(AH!$U$5=1,INDEX('Live History'!$G$5:$G$3004,MATCH($A2773,'Live History'!$G$5:$G$3004,1)),INDEX('AH History'!$C$5:$C$1380,$K2773))),NA()),NA())</f>
        <v/>
      </c>
      <c r="J2773" s="32">
        <f>IFERROR(IF(AND($F2773&gt;0,$H2773&gt;0,$A2773-$G2773&lt;=10,$A2773-$I2773&lt;=5,$G2773&gt;0,$I2773&gt;0),$F2773*$H2773,NA()),NA())</f>
        <v/>
      </c>
      <c r="K2773" s="15">
        <f>IF($A2773="","",IF(AH!$U$5=1,IFERROR(MATCH($A2773,'Live History'!$A$5:$A$3004,0),0),AH!$U$7+2768))</f>
        <v/>
      </c>
      <c r="L2773" s="15">
        <f>IF(ISNUMBER(A2773),TEXT(A2773,"dd-mmm-yy"),"")</f>
        <v/>
      </c>
    </row>
    <row r="2774">
      <c r="A2774" s="14">
        <f>IF(OR(AH!$U$4=0,2769+1&gt;AH!$U$6,AND(AH!$M$5="Bloomberg",AH!$U$5=0)),"",IFERROR(IF(AND(AH!$U$12=1,2769+1=AH!$U$6),TODAY(),IF(AH!$U$5=1,INDEX('Live History'!$A$5:$A$3004,AH!$U$7+2769),INDEX('AH History'!$A$5:$A$1380,AH!$U$7+2769))),""))</f>
        <v/>
      </c>
      <c r="B2774" s="33">
        <f>IFERROR(IF(AH!$U$11=1,NA(),$J2774/$E2774-1),NA())</f>
        <v/>
      </c>
      <c r="C2774" s="269">
        <f>IFERROR(100*$E2774/$E$5,NA())</f>
        <v/>
      </c>
      <c r="D2774" s="269">
        <f>IFERROR(100*$J2774/$J$5,NA())</f>
        <v/>
      </c>
      <c r="E2774" s="32">
        <f>IFERROR(IF(AND(ISNUMBER($A2774),N(IF(AND(AH!$U$12=1,2769+1=AH!$U$6),IF(AH!$U$4=0,"unavailable",INDEX('Market Data'!$AN$5:$AN$66,AH!$U$4)),IF(AH!$U$5=1,INDEX('Live History'!$B$5:$B$3004,$K2774),INDEX('AH History'!$D$5:$GG$1380,$K2774,AH!$U$10))))&gt;0),IF(AND(AH!$U$12=1,2769+1=AH!$U$6),IF(AH!$U$4=0,"unavailable",INDEX('Market Data'!$AN$5:$AN$66,AH!$U$4)),IF(AH!$U$5=1,INDEX('Live History'!$B$5:$B$3004,$K2774),INDEX('AH History'!$D$5:$GG$1380,$K2774,AH!$U$10))),NA()),NA())</f>
        <v/>
      </c>
      <c r="F2774" s="32">
        <f>IFERROR(IF(ISNUMBER($A2774),IF(AND(AH!$U$12=1,2769+1=AH!$U$6),IF(AH!$U$4=0,"unavailable",INDEX('Market Data'!$AO$5:$AO$66,AH!$U$4)),IF(AH!$U$5=1,INDEX('Live History'!$E$5:$E$3004,MATCH($A2774,'Live History'!$D$5:$D$3004,1)),INDEX('AH History'!$D$5:$GG$1380,$K2774,AH!$U$10+1))),NA()),NA())</f>
        <v/>
      </c>
      <c r="G2774" s="34">
        <f>IFERROR(IF(ISNUMBER($A2774),IF(AND(AH!$U$12=1,2769+1=AH!$U$6),IF(AH!$U$4=0,"unavailable",INDEX('Market Data'!$AK$5:$AK$66,AH!$U$4)),IF(AH!$U$5=1,INDEX('Live History'!$D$5:$D$3004,MATCH($A2774,'Live History'!$D$5:$D$3004,1)),INDEX('AH History'!$D$5:$GG$1380,$K2774,AH!$U$10+2))),NA()),NA())</f>
        <v/>
      </c>
      <c r="H2774" s="266">
        <f>IFERROR(IF(ISNUMBER($A2774),IF(AND(AH!$U$12=1,2769+1=AH!$U$6),IF(AH!$U$4=0,"unavailable",INDEX('Market Data'!$AP$5:$AP$66,AH!$U$4)),IF(AH!$U$5=1,INDEX('Live History'!$H$5:$H$3004,MATCH($A2774,'Live History'!$G$5:$G$3004,1)),INDEX('AH History'!$B$5:$B$1380,$K2774))),NA()),NA())</f>
        <v/>
      </c>
      <c r="I2774" s="34">
        <f>IFERROR(IF(ISNUMBER($A2774),IF(AND(AH!$U$12=1,2769+1=AH!$U$6),TODAY(),IF(AH!$U$5=1,INDEX('Live History'!$G$5:$G$3004,MATCH($A2774,'Live History'!$G$5:$G$3004,1)),INDEX('AH History'!$C$5:$C$1380,$K2774))),NA()),NA())</f>
        <v/>
      </c>
      <c r="J2774" s="32">
        <f>IFERROR(IF(AND($F2774&gt;0,$H2774&gt;0,$A2774-$G2774&lt;=10,$A2774-$I2774&lt;=5,$G2774&gt;0,$I2774&gt;0),$F2774*$H2774,NA()),NA())</f>
        <v/>
      </c>
      <c r="K2774" s="15">
        <f>IF($A2774="","",IF(AH!$U$5=1,IFERROR(MATCH($A2774,'Live History'!$A$5:$A$3004,0),0),AH!$U$7+2769))</f>
        <v/>
      </c>
      <c r="L2774" s="15">
        <f>IF(ISNUMBER(A2774),TEXT(A2774,"dd-mmm-yy"),"")</f>
        <v/>
      </c>
    </row>
    <row r="2775">
      <c r="A2775" s="14">
        <f>IF(OR(AH!$U$4=0,2770+1&gt;AH!$U$6,AND(AH!$M$5="Bloomberg",AH!$U$5=0)),"",IFERROR(IF(AND(AH!$U$12=1,2770+1=AH!$U$6),TODAY(),IF(AH!$U$5=1,INDEX('Live History'!$A$5:$A$3004,AH!$U$7+2770),INDEX('AH History'!$A$5:$A$1380,AH!$U$7+2770))),""))</f>
        <v/>
      </c>
      <c r="B2775" s="33">
        <f>IFERROR(IF(AH!$U$11=1,NA(),$J2775/$E2775-1),NA())</f>
        <v/>
      </c>
      <c r="C2775" s="269">
        <f>IFERROR(100*$E2775/$E$5,NA())</f>
        <v/>
      </c>
      <c r="D2775" s="269">
        <f>IFERROR(100*$J2775/$J$5,NA())</f>
        <v/>
      </c>
      <c r="E2775" s="32">
        <f>IFERROR(IF(AND(ISNUMBER($A2775),N(IF(AND(AH!$U$12=1,2770+1=AH!$U$6),IF(AH!$U$4=0,"unavailable",INDEX('Market Data'!$AN$5:$AN$66,AH!$U$4)),IF(AH!$U$5=1,INDEX('Live History'!$B$5:$B$3004,$K2775),INDEX('AH History'!$D$5:$GG$1380,$K2775,AH!$U$10))))&gt;0),IF(AND(AH!$U$12=1,2770+1=AH!$U$6),IF(AH!$U$4=0,"unavailable",INDEX('Market Data'!$AN$5:$AN$66,AH!$U$4)),IF(AH!$U$5=1,INDEX('Live History'!$B$5:$B$3004,$K2775),INDEX('AH History'!$D$5:$GG$1380,$K2775,AH!$U$10))),NA()),NA())</f>
        <v/>
      </c>
      <c r="F2775" s="32">
        <f>IFERROR(IF(ISNUMBER($A2775),IF(AND(AH!$U$12=1,2770+1=AH!$U$6),IF(AH!$U$4=0,"unavailable",INDEX('Market Data'!$AO$5:$AO$66,AH!$U$4)),IF(AH!$U$5=1,INDEX('Live History'!$E$5:$E$3004,MATCH($A2775,'Live History'!$D$5:$D$3004,1)),INDEX('AH History'!$D$5:$GG$1380,$K2775,AH!$U$10+1))),NA()),NA())</f>
        <v/>
      </c>
      <c r="G2775" s="34">
        <f>IFERROR(IF(ISNUMBER($A2775),IF(AND(AH!$U$12=1,2770+1=AH!$U$6),IF(AH!$U$4=0,"unavailable",INDEX('Market Data'!$AK$5:$AK$66,AH!$U$4)),IF(AH!$U$5=1,INDEX('Live History'!$D$5:$D$3004,MATCH($A2775,'Live History'!$D$5:$D$3004,1)),INDEX('AH History'!$D$5:$GG$1380,$K2775,AH!$U$10+2))),NA()),NA())</f>
        <v/>
      </c>
      <c r="H2775" s="266">
        <f>IFERROR(IF(ISNUMBER($A2775),IF(AND(AH!$U$12=1,2770+1=AH!$U$6),IF(AH!$U$4=0,"unavailable",INDEX('Market Data'!$AP$5:$AP$66,AH!$U$4)),IF(AH!$U$5=1,INDEX('Live History'!$H$5:$H$3004,MATCH($A2775,'Live History'!$G$5:$G$3004,1)),INDEX('AH History'!$B$5:$B$1380,$K2775))),NA()),NA())</f>
        <v/>
      </c>
      <c r="I2775" s="34">
        <f>IFERROR(IF(ISNUMBER($A2775),IF(AND(AH!$U$12=1,2770+1=AH!$U$6),TODAY(),IF(AH!$U$5=1,INDEX('Live History'!$G$5:$G$3004,MATCH($A2775,'Live History'!$G$5:$G$3004,1)),INDEX('AH History'!$C$5:$C$1380,$K2775))),NA()),NA())</f>
        <v/>
      </c>
      <c r="J2775" s="32">
        <f>IFERROR(IF(AND($F2775&gt;0,$H2775&gt;0,$A2775-$G2775&lt;=10,$A2775-$I2775&lt;=5,$G2775&gt;0,$I2775&gt;0),$F2775*$H2775,NA()),NA())</f>
        <v/>
      </c>
      <c r="K2775" s="15">
        <f>IF($A2775="","",IF(AH!$U$5=1,IFERROR(MATCH($A2775,'Live History'!$A$5:$A$3004,0),0),AH!$U$7+2770))</f>
        <v/>
      </c>
      <c r="L2775" s="15">
        <f>IF(ISNUMBER(A2775),TEXT(A2775,"dd-mmm-yy"),"")</f>
        <v/>
      </c>
    </row>
    <row r="2776">
      <c r="A2776" s="14">
        <f>IF(OR(AH!$U$4=0,2771+1&gt;AH!$U$6,AND(AH!$M$5="Bloomberg",AH!$U$5=0)),"",IFERROR(IF(AND(AH!$U$12=1,2771+1=AH!$U$6),TODAY(),IF(AH!$U$5=1,INDEX('Live History'!$A$5:$A$3004,AH!$U$7+2771),INDEX('AH History'!$A$5:$A$1380,AH!$U$7+2771))),""))</f>
        <v/>
      </c>
      <c r="B2776" s="33">
        <f>IFERROR(IF(AH!$U$11=1,NA(),$J2776/$E2776-1),NA())</f>
        <v/>
      </c>
      <c r="C2776" s="269">
        <f>IFERROR(100*$E2776/$E$5,NA())</f>
        <v/>
      </c>
      <c r="D2776" s="269">
        <f>IFERROR(100*$J2776/$J$5,NA())</f>
        <v/>
      </c>
      <c r="E2776" s="32">
        <f>IFERROR(IF(AND(ISNUMBER($A2776),N(IF(AND(AH!$U$12=1,2771+1=AH!$U$6),IF(AH!$U$4=0,"unavailable",INDEX('Market Data'!$AN$5:$AN$66,AH!$U$4)),IF(AH!$U$5=1,INDEX('Live History'!$B$5:$B$3004,$K2776),INDEX('AH History'!$D$5:$GG$1380,$K2776,AH!$U$10))))&gt;0),IF(AND(AH!$U$12=1,2771+1=AH!$U$6),IF(AH!$U$4=0,"unavailable",INDEX('Market Data'!$AN$5:$AN$66,AH!$U$4)),IF(AH!$U$5=1,INDEX('Live History'!$B$5:$B$3004,$K2776),INDEX('AH History'!$D$5:$GG$1380,$K2776,AH!$U$10))),NA()),NA())</f>
        <v/>
      </c>
      <c r="F2776" s="32">
        <f>IFERROR(IF(ISNUMBER($A2776),IF(AND(AH!$U$12=1,2771+1=AH!$U$6),IF(AH!$U$4=0,"unavailable",INDEX('Market Data'!$AO$5:$AO$66,AH!$U$4)),IF(AH!$U$5=1,INDEX('Live History'!$E$5:$E$3004,MATCH($A2776,'Live History'!$D$5:$D$3004,1)),INDEX('AH History'!$D$5:$GG$1380,$K2776,AH!$U$10+1))),NA()),NA())</f>
        <v/>
      </c>
      <c r="G2776" s="34">
        <f>IFERROR(IF(ISNUMBER($A2776),IF(AND(AH!$U$12=1,2771+1=AH!$U$6),IF(AH!$U$4=0,"unavailable",INDEX('Market Data'!$AK$5:$AK$66,AH!$U$4)),IF(AH!$U$5=1,INDEX('Live History'!$D$5:$D$3004,MATCH($A2776,'Live History'!$D$5:$D$3004,1)),INDEX('AH History'!$D$5:$GG$1380,$K2776,AH!$U$10+2))),NA()),NA())</f>
        <v/>
      </c>
      <c r="H2776" s="266">
        <f>IFERROR(IF(ISNUMBER($A2776),IF(AND(AH!$U$12=1,2771+1=AH!$U$6),IF(AH!$U$4=0,"unavailable",INDEX('Market Data'!$AP$5:$AP$66,AH!$U$4)),IF(AH!$U$5=1,INDEX('Live History'!$H$5:$H$3004,MATCH($A2776,'Live History'!$G$5:$G$3004,1)),INDEX('AH History'!$B$5:$B$1380,$K2776))),NA()),NA())</f>
        <v/>
      </c>
      <c r="I2776" s="34">
        <f>IFERROR(IF(ISNUMBER($A2776),IF(AND(AH!$U$12=1,2771+1=AH!$U$6),TODAY(),IF(AH!$U$5=1,INDEX('Live History'!$G$5:$G$3004,MATCH($A2776,'Live History'!$G$5:$G$3004,1)),INDEX('AH History'!$C$5:$C$1380,$K2776))),NA()),NA())</f>
        <v/>
      </c>
      <c r="J2776" s="32">
        <f>IFERROR(IF(AND($F2776&gt;0,$H2776&gt;0,$A2776-$G2776&lt;=10,$A2776-$I2776&lt;=5,$G2776&gt;0,$I2776&gt;0),$F2776*$H2776,NA()),NA())</f>
        <v/>
      </c>
      <c r="K2776" s="15">
        <f>IF($A2776="","",IF(AH!$U$5=1,IFERROR(MATCH($A2776,'Live History'!$A$5:$A$3004,0),0),AH!$U$7+2771))</f>
        <v/>
      </c>
      <c r="L2776" s="15">
        <f>IF(ISNUMBER(A2776),TEXT(A2776,"dd-mmm-yy"),"")</f>
        <v/>
      </c>
    </row>
    <row r="2777">
      <c r="A2777" s="14">
        <f>IF(OR(AH!$U$4=0,2772+1&gt;AH!$U$6,AND(AH!$M$5="Bloomberg",AH!$U$5=0)),"",IFERROR(IF(AND(AH!$U$12=1,2772+1=AH!$U$6),TODAY(),IF(AH!$U$5=1,INDEX('Live History'!$A$5:$A$3004,AH!$U$7+2772),INDEX('AH History'!$A$5:$A$1380,AH!$U$7+2772))),""))</f>
        <v/>
      </c>
      <c r="B2777" s="33">
        <f>IFERROR(IF(AH!$U$11=1,NA(),$J2777/$E2777-1),NA())</f>
        <v/>
      </c>
      <c r="C2777" s="269">
        <f>IFERROR(100*$E2777/$E$5,NA())</f>
        <v/>
      </c>
      <c r="D2777" s="269">
        <f>IFERROR(100*$J2777/$J$5,NA())</f>
        <v/>
      </c>
      <c r="E2777" s="32">
        <f>IFERROR(IF(AND(ISNUMBER($A2777),N(IF(AND(AH!$U$12=1,2772+1=AH!$U$6),IF(AH!$U$4=0,"unavailable",INDEX('Market Data'!$AN$5:$AN$66,AH!$U$4)),IF(AH!$U$5=1,INDEX('Live History'!$B$5:$B$3004,$K2777),INDEX('AH History'!$D$5:$GG$1380,$K2777,AH!$U$10))))&gt;0),IF(AND(AH!$U$12=1,2772+1=AH!$U$6),IF(AH!$U$4=0,"unavailable",INDEX('Market Data'!$AN$5:$AN$66,AH!$U$4)),IF(AH!$U$5=1,INDEX('Live History'!$B$5:$B$3004,$K2777),INDEX('AH History'!$D$5:$GG$1380,$K2777,AH!$U$10))),NA()),NA())</f>
        <v/>
      </c>
      <c r="F2777" s="32">
        <f>IFERROR(IF(ISNUMBER($A2777),IF(AND(AH!$U$12=1,2772+1=AH!$U$6),IF(AH!$U$4=0,"unavailable",INDEX('Market Data'!$AO$5:$AO$66,AH!$U$4)),IF(AH!$U$5=1,INDEX('Live History'!$E$5:$E$3004,MATCH($A2777,'Live History'!$D$5:$D$3004,1)),INDEX('AH History'!$D$5:$GG$1380,$K2777,AH!$U$10+1))),NA()),NA())</f>
        <v/>
      </c>
      <c r="G2777" s="34">
        <f>IFERROR(IF(ISNUMBER($A2777),IF(AND(AH!$U$12=1,2772+1=AH!$U$6),IF(AH!$U$4=0,"unavailable",INDEX('Market Data'!$AK$5:$AK$66,AH!$U$4)),IF(AH!$U$5=1,INDEX('Live History'!$D$5:$D$3004,MATCH($A2777,'Live History'!$D$5:$D$3004,1)),INDEX('AH History'!$D$5:$GG$1380,$K2777,AH!$U$10+2))),NA()),NA())</f>
        <v/>
      </c>
      <c r="H2777" s="266">
        <f>IFERROR(IF(ISNUMBER($A2777),IF(AND(AH!$U$12=1,2772+1=AH!$U$6),IF(AH!$U$4=0,"unavailable",INDEX('Market Data'!$AP$5:$AP$66,AH!$U$4)),IF(AH!$U$5=1,INDEX('Live History'!$H$5:$H$3004,MATCH($A2777,'Live History'!$G$5:$G$3004,1)),INDEX('AH History'!$B$5:$B$1380,$K2777))),NA()),NA())</f>
        <v/>
      </c>
      <c r="I2777" s="34">
        <f>IFERROR(IF(ISNUMBER($A2777),IF(AND(AH!$U$12=1,2772+1=AH!$U$6),TODAY(),IF(AH!$U$5=1,INDEX('Live History'!$G$5:$G$3004,MATCH($A2777,'Live History'!$G$5:$G$3004,1)),INDEX('AH History'!$C$5:$C$1380,$K2777))),NA()),NA())</f>
        <v/>
      </c>
      <c r="J2777" s="32">
        <f>IFERROR(IF(AND($F2777&gt;0,$H2777&gt;0,$A2777-$G2777&lt;=10,$A2777-$I2777&lt;=5,$G2777&gt;0,$I2777&gt;0),$F2777*$H2777,NA()),NA())</f>
        <v/>
      </c>
      <c r="K2777" s="15">
        <f>IF($A2777="","",IF(AH!$U$5=1,IFERROR(MATCH($A2777,'Live History'!$A$5:$A$3004,0),0),AH!$U$7+2772))</f>
        <v/>
      </c>
      <c r="L2777" s="15">
        <f>IF(ISNUMBER(A2777),TEXT(A2777,"dd-mmm-yy"),"")</f>
        <v/>
      </c>
    </row>
    <row r="2778">
      <c r="A2778" s="14">
        <f>IF(OR(AH!$U$4=0,2773+1&gt;AH!$U$6,AND(AH!$M$5="Bloomberg",AH!$U$5=0)),"",IFERROR(IF(AND(AH!$U$12=1,2773+1=AH!$U$6),TODAY(),IF(AH!$U$5=1,INDEX('Live History'!$A$5:$A$3004,AH!$U$7+2773),INDEX('AH History'!$A$5:$A$1380,AH!$U$7+2773))),""))</f>
        <v/>
      </c>
      <c r="B2778" s="33">
        <f>IFERROR(IF(AH!$U$11=1,NA(),$J2778/$E2778-1),NA())</f>
        <v/>
      </c>
      <c r="C2778" s="269">
        <f>IFERROR(100*$E2778/$E$5,NA())</f>
        <v/>
      </c>
      <c r="D2778" s="269">
        <f>IFERROR(100*$J2778/$J$5,NA())</f>
        <v/>
      </c>
      <c r="E2778" s="32">
        <f>IFERROR(IF(AND(ISNUMBER($A2778),N(IF(AND(AH!$U$12=1,2773+1=AH!$U$6),IF(AH!$U$4=0,"unavailable",INDEX('Market Data'!$AN$5:$AN$66,AH!$U$4)),IF(AH!$U$5=1,INDEX('Live History'!$B$5:$B$3004,$K2778),INDEX('AH History'!$D$5:$GG$1380,$K2778,AH!$U$10))))&gt;0),IF(AND(AH!$U$12=1,2773+1=AH!$U$6),IF(AH!$U$4=0,"unavailable",INDEX('Market Data'!$AN$5:$AN$66,AH!$U$4)),IF(AH!$U$5=1,INDEX('Live History'!$B$5:$B$3004,$K2778),INDEX('AH History'!$D$5:$GG$1380,$K2778,AH!$U$10))),NA()),NA())</f>
        <v/>
      </c>
      <c r="F2778" s="32">
        <f>IFERROR(IF(ISNUMBER($A2778),IF(AND(AH!$U$12=1,2773+1=AH!$U$6),IF(AH!$U$4=0,"unavailable",INDEX('Market Data'!$AO$5:$AO$66,AH!$U$4)),IF(AH!$U$5=1,INDEX('Live History'!$E$5:$E$3004,MATCH($A2778,'Live History'!$D$5:$D$3004,1)),INDEX('AH History'!$D$5:$GG$1380,$K2778,AH!$U$10+1))),NA()),NA())</f>
        <v/>
      </c>
      <c r="G2778" s="34">
        <f>IFERROR(IF(ISNUMBER($A2778),IF(AND(AH!$U$12=1,2773+1=AH!$U$6),IF(AH!$U$4=0,"unavailable",INDEX('Market Data'!$AK$5:$AK$66,AH!$U$4)),IF(AH!$U$5=1,INDEX('Live History'!$D$5:$D$3004,MATCH($A2778,'Live History'!$D$5:$D$3004,1)),INDEX('AH History'!$D$5:$GG$1380,$K2778,AH!$U$10+2))),NA()),NA())</f>
        <v/>
      </c>
      <c r="H2778" s="266">
        <f>IFERROR(IF(ISNUMBER($A2778),IF(AND(AH!$U$12=1,2773+1=AH!$U$6),IF(AH!$U$4=0,"unavailable",INDEX('Market Data'!$AP$5:$AP$66,AH!$U$4)),IF(AH!$U$5=1,INDEX('Live History'!$H$5:$H$3004,MATCH($A2778,'Live History'!$G$5:$G$3004,1)),INDEX('AH History'!$B$5:$B$1380,$K2778))),NA()),NA())</f>
        <v/>
      </c>
      <c r="I2778" s="34">
        <f>IFERROR(IF(ISNUMBER($A2778),IF(AND(AH!$U$12=1,2773+1=AH!$U$6),TODAY(),IF(AH!$U$5=1,INDEX('Live History'!$G$5:$G$3004,MATCH($A2778,'Live History'!$G$5:$G$3004,1)),INDEX('AH History'!$C$5:$C$1380,$K2778))),NA()),NA())</f>
        <v/>
      </c>
      <c r="J2778" s="32">
        <f>IFERROR(IF(AND($F2778&gt;0,$H2778&gt;0,$A2778-$G2778&lt;=10,$A2778-$I2778&lt;=5,$G2778&gt;0,$I2778&gt;0),$F2778*$H2778,NA()),NA())</f>
        <v/>
      </c>
      <c r="K2778" s="15">
        <f>IF($A2778="","",IF(AH!$U$5=1,IFERROR(MATCH($A2778,'Live History'!$A$5:$A$3004,0),0),AH!$U$7+2773))</f>
        <v/>
      </c>
      <c r="L2778" s="15">
        <f>IF(ISNUMBER(A2778),TEXT(A2778,"dd-mmm-yy"),"")</f>
        <v/>
      </c>
    </row>
    <row r="2779">
      <c r="A2779" s="14">
        <f>IF(OR(AH!$U$4=0,2774+1&gt;AH!$U$6,AND(AH!$M$5="Bloomberg",AH!$U$5=0)),"",IFERROR(IF(AND(AH!$U$12=1,2774+1=AH!$U$6),TODAY(),IF(AH!$U$5=1,INDEX('Live History'!$A$5:$A$3004,AH!$U$7+2774),INDEX('AH History'!$A$5:$A$1380,AH!$U$7+2774))),""))</f>
        <v/>
      </c>
      <c r="B2779" s="33">
        <f>IFERROR(IF(AH!$U$11=1,NA(),$J2779/$E2779-1),NA())</f>
        <v/>
      </c>
      <c r="C2779" s="269">
        <f>IFERROR(100*$E2779/$E$5,NA())</f>
        <v/>
      </c>
      <c r="D2779" s="269">
        <f>IFERROR(100*$J2779/$J$5,NA())</f>
        <v/>
      </c>
      <c r="E2779" s="32">
        <f>IFERROR(IF(AND(ISNUMBER($A2779),N(IF(AND(AH!$U$12=1,2774+1=AH!$U$6),IF(AH!$U$4=0,"unavailable",INDEX('Market Data'!$AN$5:$AN$66,AH!$U$4)),IF(AH!$U$5=1,INDEX('Live History'!$B$5:$B$3004,$K2779),INDEX('AH History'!$D$5:$GG$1380,$K2779,AH!$U$10))))&gt;0),IF(AND(AH!$U$12=1,2774+1=AH!$U$6),IF(AH!$U$4=0,"unavailable",INDEX('Market Data'!$AN$5:$AN$66,AH!$U$4)),IF(AH!$U$5=1,INDEX('Live History'!$B$5:$B$3004,$K2779),INDEX('AH History'!$D$5:$GG$1380,$K2779,AH!$U$10))),NA()),NA())</f>
        <v/>
      </c>
      <c r="F2779" s="32">
        <f>IFERROR(IF(ISNUMBER($A2779),IF(AND(AH!$U$12=1,2774+1=AH!$U$6),IF(AH!$U$4=0,"unavailable",INDEX('Market Data'!$AO$5:$AO$66,AH!$U$4)),IF(AH!$U$5=1,INDEX('Live History'!$E$5:$E$3004,MATCH($A2779,'Live History'!$D$5:$D$3004,1)),INDEX('AH History'!$D$5:$GG$1380,$K2779,AH!$U$10+1))),NA()),NA())</f>
        <v/>
      </c>
      <c r="G2779" s="34">
        <f>IFERROR(IF(ISNUMBER($A2779),IF(AND(AH!$U$12=1,2774+1=AH!$U$6),IF(AH!$U$4=0,"unavailable",INDEX('Market Data'!$AK$5:$AK$66,AH!$U$4)),IF(AH!$U$5=1,INDEX('Live History'!$D$5:$D$3004,MATCH($A2779,'Live History'!$D$5:$D$3004,1)),INDEX('AH History'!$D$5:$GG$1380,$K2779,AH!$U$10+2))),NA()),NA())</f>
        <v/>
      </c>
      <c r="H2779" s="266">
        <f>IFERROR(IF(ISNUMBER($A2779),IF(AND(AH!$U$12=1,2774+1=AH!$U$6),IF(AH!$U$4=0,"unavailable",INDEX('Market Data'!$AP$5:$AP$66,AH!$U$4)),IF(AH!$U$5=1,INDEX('Live History'!$H$5:$H$3004,MATCH($A2779,'Live History'!$G$5:$G$3004,1)),INDEX('AH History'!$B$5:$B$1380,$K2779))),NA()),NA())</f>
        <v/>
      </c>
      <c r="I2779" s="34">
        <f>IFERROR(IF(ISNUMBER($A2779),IF(AND(AH!$U$12=1,2774+1=AH!$U$6),TODAY(),IF(AH!$U$5=1,INDEX('Live History'!$G$5:$G$3004,MATCH($A2779,'Live History'!$G$5:$G$3004,1)),INDEX('AH History'!$C$5:$C$1380,$K2779))),NA()),NA())</f>
        <v/>
      </c>
      <c r="J2779" s="32">
        <f>IFERROR(IF(AND($F2779&gt;0,$H2779&gt;0,$A2779-$G2779&lt;=10,$A2779-$I2779&lt;=5,$G2779&gt;0,$I2779&gt;0),$F2779*$H2779,NA()),NA())</f>
        <v/>
      </c>
      <c r="K2779" s="15">
        <f>IF($A2779="","",IF(AH!$U$5=1,IFERROR(MATCH($A2779,'Live History'!$A$5:$A$3004,0),0),AH!$U$7+2774))</f>
        <v/>
      </c>
      <c r="L2779" s="15">
        <f>IF(ISNUMBER(A2779),TEXT(A2779,"dd-mmm-yy"),"")</f>
        <v/>
      </c>
    </row>
    <row r="2780">
      <c r="A2780" s="14">
        <f>IF(OR(AH!$U$4=0,2775+1&gt;AH!$U$6,AND(AH!$M$5="Bloomberg",AH!$U$5=0)),"",IFERROR(IF(AND(AH!$U$12=1,2775+1=AH!$U$6),TODAY(),IF(AH!$U$5=1,INDEX('Live History'!$A$5:$A$3004,AH!$U$7+2775),INDEX('AH History'!$A$5:$A$1380,AH!$U$7+2775))),""))</f>
        <v/>
      </c>
      <c r="B2780" s="33">
        <f>IFERROR(IF(AH!$U$11=1,NA(),$J2780/$E2780-1),NA())</f>
        <v/>
      </c>
      <c r="C2780" s="269">
        <f>IFERROR(100*$E2780/$E$5,NA())</f>
        <v/>
      </c>
      <c r="D2780" s="269">
        <f>IFERROR(100*$J2780/$J$5,NA())</f>
        <v/>
      </c>
      <c r="E2780" s="32">
        <f>IFERROR(IF(AND(ISNUMBER($A2780),N(IF(AND(AH!$U$12=1,2775+1=AH!$U$6),IF(AH!$U$4=0,"unavailable",INDEX('Market Data'!$AN$5:$AN$66,AH!$U$4)),IF(AH!$U$5=1,INDEX('Live History'!$B$5:$B$3004,$K2780),INDEX('AH History'!$D$5:$GG$1380,$K2780,AH!$U$10))))&gt;0),IF(AND(AH!$U$12=1,2775+1=AH!$U$6),IF(AH!$U$4=0,"unavailable",INDEX('Market Data'!$AN$5:$AN$66,AH!$U$4)),IF(AH!$U$5=1,INDEX('Live History'!$B$5:$B$3004,$K2780),INDEX('AH History'!$D$5:$GG$1380,$K2780,AH!$U$10))),NA()),NA())</f>
        <v/>
      </c>
      <c r="F2780" s="32">
        <f>IFERROR(IF(ISNUMBER($A2780),IF(AND(AH!$U$12=1,2775+1=AH!$U$6),IF(AH!$U$4=0,"unavailable",INDEX('Market Data'!$AO$5:$AO$66,AH!$U$4)),IF(AH!$U$5=1,INDEX('Live History'!$E$5:$E$3004,MATCH($A2780,'Live History'!$D$5:$D$3004,1)),INDEX('AH History'!$D$5:$GG$1380,$K2780,AH!$U$10+1))),NA()),NA())</f>
        <v/>
      </c>
      <c r="G2780" s="34">
        <f>IFERROR(IF(ISNUMBER($A2780),IF(AND(AH!$U$12=1,2775+1=AH!$U$6),IF(AH!$U$4=0,"unavailable",INDEX('Market Data'!$AK$5:$AK$66,AH!$U$4)),IF(AH!$U$5=1,INDEX('Live History'!$D$5:$D$3004,MATCH($A2780,'Live History'!$D$5:$D$3004,1)),INDEX('AH History'!$D$5:$GG$1380,$K2780,AH!$U$10+2))),NA()),NA())</f>
        <v/>
      </c>
      <c r="H2780" s="266">
        <f>IFERROR(IF(ISNUMBER($A2780),IF(AND(AH!$U$12=1,2775+1=AH!$U$6),IF(AH!$U$4=0,"unavailable",INDEX('Market Data'!$AP$5:$AP$66,AH!$U$4)),IF(AH!$U$5=1,INDEX('Live History'!$H$5:$H$3004,MATCH($A2780,'Live History'!$G$5:$G$3004,1)),INDEX('AH History'!$B$5:$B$1380,$K2780))),NA()),NA())</f>
        <v/>
      </c>
      <c r="I2780" s="34">
        <f>IFERROR(IF(ISNUMBER($A2780),IF(AND(AH!$U$12=1,2775+1=AH!$U$6),TODAY(),IF(AH!$U$5=1,INDEX('Live History'!$G$5:$G$3004,MATCH($A2780,'Live History'!$G$5:$G$3004,1)),INDEX('AH History'!$C$5:$C$1380,$K2780))),NA()),NA())</f>
        <v/>
      </c>
      <c r="J2780" s="32">
        <f>IFERROR(IF(AND($F2780&gt;0,$H2780&gt;0,$A2780-$G2780&lt;=10,$A2780-$I2780&lt;=5,$G2780&gt;0,$I2780&gt;0),$F2780*$H2780,NA()),NA())</f>
        <v/>
      </c>
      <c r="K2780" s="15">
        <f>IF($A2780="","",IF(AH!$U$5=1,IFERROR(MATCH($A2780,'Live History'!$A$5:$A$3004,0),0),AH!$U$7+2775))</f>
        <v/>
      </c>
      <c r="L2780" s="15">
        <f>IF(ISNUMBER(A2780),TEXT(A2780,"dd-mmm-yy"),"")</f>
        <v/>
      </c>
    </row>
    <row r="2781">
      <c r="A2781" s="14">
        <f>IF(OR(AH!$U$4=0,2776+1&gt;AH!$U$6,AND(AH!$M$5="Bloomberg",AH!$U$5=0)),"",IFERROR(IF(AND(AH!$U$12=1,2776+1=AH!$U$6),TODAY(),IF(AH!$U$5=1,INDEX('Live History'!$A$5:$A$3004,AH!$U$7+2776),INDEX('AH History'!$A$5:$A$1380,AH!$U$7+2776))),""))</f>
        <v/>
      </c>
      <c r="B2781" s="33">
        <f>IFERROR(IF(AH!$U$11=1,NA(),$J2781/$E2781-1),NA())</f>
        <v/>
      </c>
      <c r="C2781" s="269">
        <f>IFERROR(100*$E2781/$E$5,NA())</f>
        <v/>
      </c>
      <c r="D2781" s="269">
        <f>IFERROR(100*$J2781/$J$5,NA())</f>
        <v/>
      </c>
      <c r="E2781" s="32">
        <f>IFERROR(IF(AND(ISNUMBER($A2781),N(IF(AND(AH!$U$12=1,2776+1=AH!$U$6),IF(AH!$U$4=0,"unavailable",INDEX('Market Data'!$AN$5:$AN$66,AH!$U$4)),IF(AH!$U$5=1,INDEX('Live History'!$B$5:$B$3004,$K2781),INDEX('AH History'!$D$5:$GG$1380,$K2781,AH!$U$10))))&gt;0),IF(AND(AH!$U$12=1,2776+1=AH!$U$6),IF(AH!$U$4=0,"unavailable",INDEX('Market Data'!$AN$5:$AN$66,AH!$U$4)),IF(AH!$U$5=1,INDEX('Live History'!$B$5:$B$3004,$K2781),INDEX('AH History'!$D$5:$GG$1380,$K2781,AH!$U$10))),NA()),NA())</f>
        <v/>
      </c>
      <c r="F2781" s="32">
        <f>IFERROR(IF(ISNUMBER($A2781),IF(AND(AH!$U$12=1,2776+1=AH!$U$6),IF(AH!$U$4=0,"unavailable",INDEX('Market Data'!$AO$5:$AO$66,AH!$U$4)),IF(AH!$U$5=1,INDEX('Live History'!$E$5:$E$3004,MATCH($A2781,'Live History'!$D$5:$D$3004,1)),INDEX('AH History'!$D$5:$GG$1380,$K2781,AH!$U$10+1))),NA()),NA())</f>
        <v/>
      </c>
      <c r="G2781" s="34">
        <f>IFERROR(IF(ISNUMBER($A2781),IF(AND(AH!$U$12=1,2776+1=AH!$U$6),IF(AH!$U$4=0,"unavailable",INDEX('Market Data'!$AK$5:$AK$66,AH!$U$4)),IF(AH!$U$5=1,INDEX('Live History'!$D$5:$D$3004,MATCH($A2781,'Live History'!$D$5:$D$3004,1)),INDEX('AH History'!$D$5:$GG$1380,$K2781,AH!$U$10+2))),NA()),NA())</f>
        <v/>
      </c>
      <c r="H2781" s="266">
        <f>IFERROR(IF(ISNUMBER($A2781),IF(AND(AH!$U$12=1,2776+1=AH!$U$6),IF(AH!$U$4=0,"unavailable",INDEX('Market Data'!$AP$5:$AP$66,AH!$U$4)),IF(AH!$U$5=1,INDEX('Live History'!$H$5:$H$3004,MATCH($A2781,'Live History'!$G$5:$G$3004,1)),INDEX('AH History'!$B$5:$B$1380,$K2781))),NA()),NA())</f>
        <v/>
      </c>
      <c r="I2781" s="34">
        <f>IFERROR(IF(ISNUMBER($A2781),IF(AND(AH!$U$12=1,2776+1=AH!$U$6),TODAY(),IF(AH!$U$5=1,INDEX('Live History'!$G$5:$G$3004,MATCH($A2781,'Live History'!$G$5:$G$3004,1)),INDEX('AH History'!$C$5:$C$1380,$K2781))),NA()),NA())</f>
        <v/>
      </c>
      <c r="J2781" s="32">
        <f>IFERROR(IF(AND($F2781&gt;0,$H2781&gt;0,$A2781-$G2781&lt;=10,$A2781-$I2781&lt;=5,$G2781&gt;0,$I2781&gt;0),$F2781*$H2781,NA()),NA())</f>
        <v/>
      </c>
      <c r="K2781" s="15">
        <f>IF($A2781="","",IF(AH!$U$5=1,IFERROR(MATCH($A2781,'Live History'!$A$5:$A$3004,0),0),AH!$U$7+2776))</f>
        <v/>
      </c>
      <c r="L2781" s="15">
        <f>IF(ISNUMBER(A2781),TEXT(A2781,"dd-mmm-yy"),"")</f>
        <v/>
      </c>
    </row>
    <row r="2782">
      <c r="A2782" s="14">
        <f>IF(OR(AH!$U$4=0,2777+1&gt;AH!$U$6,AND(AH!$M$5="Bloomberg",AH!$U$5=0)),"",IFERROR(IF(AND(AH!$U$12=1,2777+1=AH!$U$6),TODAY(),IF(AH!$U$5=1,INDEX('Live History'!$A$5:$A$3004,AH!$U$7+2777),INDEX('AH History'!$A$5:$A$1380,AH!$U$7+2777))),""))</f>
        <v/>
      </c>
      <c r="B2782" s="33">
        <f>IFERROR(IF(AH!$U$11=1,NA(),$J2782/$E2782-1),NA())</f>
        <v/>
      </c>
      <c r="C2782" s="269">
        <f>IFERROR(100*$E2782/$E$5,NA())</f>
        <v/>
      </c>
      <c r="D2782" s="269">
        <f>IFERROR(100*$J2782/$J$5,NA())</f>
        <v/>
      </c>
      <c r="E2782" s="32">
        <f>IFERROR(IF(AND(ISNUMBER($A2782),N(IF(AND(AH!$U$12=1,2777+1=AH!$U$6),IF(AH!$U$4=0,"unavailable",INDEX('Market Data'!$AN$5:$AN$66,AH!$U$4)),IF(AH!$U$5=1,INDEX('Live History'!$B$5:$B$3004,$K2782),INDEX('AH History'!$D$5:$GG$1380,$K2782,AH!$U$10))))&gt;0),IF(AND(AH!$U$12=1,2777+1=AH!$U$6),IF(AH!$U$4=0,"unavailable",INDEX('Market Data'!$AN$5:$AN$66,AH!$U$4)),IF(AH!$U$5=1,INDEX('Live History'!$B$5:$B$3004,$K2782),INDEX('AH History'!$D$5:$GG$1380,$K2782,AH!$U$10))),NA()),NA())</f>
        <v/>
      </c>
      <c r="F2782" s="32">
        <f>IFERROR(IF(ISNUMBER($A2782),IF(AND(AH!$U$12=1,2777+1=AH!$U$6),IF(AH!$U$4=0,"unavailable",INDEX('Market Data'!$AO$5:$AO$66,AH!$U$4)),IF(AH!$U$5=1,INDEX('Live History'!$E$5:$E$3004,MATCH($A2782,'Live History'!$D$5:$D$3004,1)),INDEX('AH History'!$D$5:$GG$1380,$K2782,AH!$U$10+1))),NA()),NA())</f>
        <v/>
      </c>
      <c r="G2782" s="34">
        <f>IFERROR(IF(ISNUMBER($A2782),IF(AND(AH!$U$12=1,2777+1=AH!$U$6),IF(AH!$U$4=0,"unavailable",INDEX('Market Data'!$AK$5:$AK$66,AH!$U$4)),IF(AH!$U$5=1,INDEX('Live History'!$D$5:$D$3004,MATCH($A2782,'Live History'!$D$5:$D$3004,1)),INDEX('AH History'!$D$5:$GG$1380,$K2782,AH!$U$10+2))),NA()),NA())</f>
        <v/>
      </c>
      <c r="H2782" s="266">
        <f>IFERROR(IF(ISNUMBER($A2782),IF(AND(AH!$U$12=1,2777+1=AH!$U$6),IF(AH!$U$4=0,"unavailable",INDEX('Market Data'!$AP$5:$AP$66,AH!$U$4)),IF(AH!$U$5=1,INDEX('Live History'!$H$5:$H$3004,MATCH($A2782,'Live History'!$G$5:$G$3004,1)),INDEX('AH History'!$B$5:$B$1380,$K2782))),NA()),NA())</f>
        <v/>
      </c>
      <c r="I2782" s="34">
        <f>IFERROR(IF(ISNUMBER($A2782),IF(AND(AH!$U$12=1,2777+1=AH!$U$6),TODAY(),IF(AH!$U$5=1,INDEX('Live History'!$G$5:$G$3004,MATCH($A2782,'Live History'!$G$5:$G$3004,1)),INDEX('AH History'!$C$5:$C$1380,$K2782))),NA()),NA())</f>
        <v/>
      </c>
      <c r="J2782" s="32">
        <f>IFERROR(IF(AND($F2782&gt;0,$H2782&gt;0,$A2782-$G2782&lt;=10,$A2782-$I2782&lt;=5,$G2782&gt;0,$I2782&gt;0),$F2782*$H2782,NA()),NA())</f>
        <v/>
      </c>
      <c r="K2782" s="15">
        <f>IF($A2782="","",IF(AH!$U$5=1,IFERROR(MATCH($A2782,'Live History'!$A$5:$A$3004,0),0),AH!$U$7+2777))</f>
        <v/>
      </c>
      <c r="L2782" s="15">
        <f>IF(ISNUMBER(A2782),TEXT(A2782,"dd-mmm-yy"),"")</f>
        <v/>
      </c>
    </row>
    <row r="2783">
      <c r="A2783" s="14">
        <f>IF(OR(AH!$U$4=0,2778+1&gt;AH!$U$6,AND(AH!$M$5="Bloomberg",AH!$U$5=0)),"",IFERROR(IF(AND(AH!$U$12=1,2778+1=AH!$U$6),TODAY(),IF(AH!$U$5=1,INDEX('Live History'!$A$5:$A$3004,AH!$U$7+2778),INDEX('AH History'!$A$5:$A$1380,AH!$U$7+2778))),""))</f>
        <v/>
      </c>
      <c r="B2783" s="33">
        <f>IFERROR(IF(AH!$U$11=1,NA(),$J2783/$E2783-1),NA())</f>
        <v/>
      </c>
      <c r="C2783" s="269">
        <f>IFERROR(100*$E2783/$E$5,NA())</f>
        <v/>
      </c>
      <c r="D2783" s="269">
        <f>IFERROR(100*$J2783/$J$5,NA())</f>
        <v/>
      </c>
      <c r="E2783" s="32">
        <f>IFERROR(IF(AND(ISNUMBER($A2783),N(IF(AND(AH!$U$12=1,2778+1=AH!$U$6),IF(AH!$U$4=0,"unavailable",INDEX('Market Data'!$AN$5:$AN$66,AH!$U$4)),IF(AH!$U$5=1,INDEX('Live History'!$B$5:$B$3004,$K2783),INDEX('AH History'!$D$5:$GG$1380,$K2783,AH!$U$10))))&gt;0),IF(AND(AH!$U$12=1,2778+1=AH!$U$6),IF(AH!$U$4=0,"unavailable",INDEX('Market Data'!$AN$5:$AN$66,AH!$U$4)),IF(AH!$U$5=1,INDEX('Live History'!$B$5:$B$3004,$K2783),INDEX('AH History'!$D$5:$GG$1380,$K2783,AH!$U$10))),NA()),NA())</f>
        <v/>
      </c>
      <c r="F2783" s="32">
        <f>IFERROR(IF(ISNUMBER($A2783),IF(AND(AH!$U$12=1,2778+1=AH!$U$6),IF(AH!$U$4=0,"unavailable",INDEX('Market Data'!$AO$5:$AO$66,AH!$U$4)),IF(AH!$U$5=1,INDEX('Live History'!$E$5:$E$3004,MATCH($A2783,'Live History'!$D$5:$D$3004,1)),INDEX('AH History'!$D$5:$GG$1380,$K2783,AH!$U$10+1))),NA()),NA())</f>
        <v/>
      </c>
      <c r="G2783" s="34">
        <f>IFERROR(IF(ISNUMBER($A2783),IF(AND(AH!$U$12=1,2778+1=AH!$U$6),IF(AH!$U$4=0,"unavailable",INDEX('Market Data'!$AK$5:$AK$66,AH!$U$4)),IF(AH!$U$5=1,INDEX('Live History'!$D$5:$D$3004,MATCH($A2783,'Live History'!$D$5:$D$3004,1)),INDEX('AH History'!$D$5:$GG$1380,$K2783,AH!$U$10+2))),NA()),NA())</f>
        <v/>
      </c>
      <c r="H2783" s="266">
        <f>IFERROR(IF(ISNUMBER($A2783),IF(AND(AH!$U$12=1,2778+1=AH!$U$6),IF(AH!$U$4=0,"unavailable",INDEX('Market Data'!$AP$5:$AP$66,AH!$U$4)),IF(AH!$U$5=1,INDEX('Live History'!$H$5:$H$3004,MATCH($A2783,'Live History'!$G$5:$G$3004,1)),INDEX('AH History'!$B$5:$B$1380,$K2783))),NA()),NA())</f>
        <v/>
      </c>
      <c r="I2783" s="34">
        <f>IFERROR(IF(ISNUMBER($A2783),IF(AND(AH!$U$12=1,2778+1=AH!$U$6),TODAY(),IF(AH!$U$5=1,INDEX('Live History'!$G$5:$G$3004,MATCH($A2783,'Live History'!$G$5:$G$3004,1)),INDEX('AH History'!$C$5:$C$1380,$K2783))),NA()),NA())</f>
        <v/>
      </c>
      <c r="J2783" s="32">
        <f>IFERROR(IF(AND($F2783&gt;0,$H2783&gt;0,$A2783-$G2783&lt;=10,$A2783-$I2783&lt;=5,$G2783&gt;0,$I2783&gt;0),$F2783*$H2783,NA()),NA())</f>
        <v/>
      </c>
      <c r="K2783" s="15">
        <f>IF($A2783="","",IF(AH!$U$5=1,IFERROR(MATCH($A2783,'Live History'!$A$5:$A$3004,0),0),AH!$U$7+2778))</f>
        <v/>
      </c>
      <c r="L2783" s="15">
        <f>IF(ISNUMBER(A2783),TEXT(A2783,"dd-mmm-yy"),"")</f>
        <v/>
      </c>
    </row>
    <row r="2784">
      <c r="A2784" s="14">
        <f>IF(OR(AH!$U$4=0,2779+1&gt;AH!$U$6,AND(AH!$M$5="Bloomberg",AH!$U$5=0)),"",IFERROR(IF(AND(AH!$U$12=1,2779+1=AH!$U$6),TODAY(),IF(AH!$U$5=1,INDEX('Live History'!$A$5:$A$3004,AH!$U$7+2779),INDEX('AH History'!$A$5:$A$1380,AH!$U$7+2779))),""))</f>
        <v/>
      </c>
      <c r="B2784" s="33">
        <f>IFERROR(IF(AH!$U$11=1,NA(),$J2784/$E2784-1),NA())</f>
        <v/>
      </c>
      <c r="C2784" s="269">
        <f>IFERROR(100*$E2784/$E$5,NA())</f>
        <v/>
      </c>
      <c r="D2784" s="269">
        <f>IFERROR(100*$J2784/$J$5,NA())</f>
        <v/>
      </c>
      <c r="E2784" s="32">
        <f>IFERROR(IF(AND(ISNUMBER($A2784),N(IF(AND(AH!$U$12=1,2779+1=AH!$U$6),IF(AH!$U$4=0,"unavailable",INDEX('Market Data'!$AN$5:$AN$66,AH!$U$4)),IF(AH!$U$5=1,INDEX('Live History'!$B$5:$B$3004,$K2784),INDEX('AH History'!$D$5:$GG$1380,$K2784,AH!$U$10))))&gt;0),IF(AND(AH!$U$12=1,2779+1=AH!$U$6),IF(AH!$U$4=0,"unavailable",INDEX('Market Data'!$AN$5:$AN$66,AH!$U$4)),IF(AH!$U$5=1,INDEX('Live History'!$B$5:$B$3004,$K2784),INDEX('AH History'!$D$5:$GG$1380,$K2784,AH!$U$10))),NA()),NA())</f>
        <v/>
      </c>
      <c r="F2784" s="32">
        <f>IFERROR(IF(ISNUMBER($A2784),IF(AND(AH!$U$12=1,2779+1=AH!$U$6),IF(AH!$U$4=0,"unavailable",INDEX('Market Data'!$AO$5:$AO$66,AH!$U$4)),IF(AH!$U$5=1,INDEX('Live History'!$E$5:$E$3004,MATCH($A2784,'Live History'!$D$5:$D$3004,1)),INDEX('AH History'!$D$5:$GG$1380,$K2784,AH!$U$10+1))),NA()),NA())</f>
        <v/>
      </c>
      <c r="G2784" s="34">
        <f>IFERROR(IF(ISNUMBER($A2784),IF(AND(AH!$U$12=1,2779+1=AH!$U$6),IF(AH!$U$4=0,"unavailable",INDEX('Market Data'!$AK$5:$AK$66,AH!$U$4)),IF(AH!$U$5=1,INDEX('Live History'!$D$5:$D$3004,MATCH($A2784,'Live History'!$D$5:$D$3004,1)),INDEX('AH History'!$D$5:$GG$1380,$K2784,AH!$U$10+2))),NA()),NA())</f>
        <v/>
      </c>
      <c r="H2784" s="266">
        <f>IFERROR(IF(ISNUMBER($A2784),IF(AND(AH!$U$12=1,2779+1=AH!$U$6),IF(AH!$U$4=0,"unavailable",INDEX('Market Data'!$AP$5:$AP$66,AH!$U$4)),IF(AH!$U$5=1,INDEX('Live History'!$H$5:$H$3004,MATCH($A2784,'Live History'!$G$5:$G$3004,1)),INDEX('AH History'!$B$5:$B$1380,$K2784))),NA()),NA())</f>
        <v/>
      </c>
      <c r="I2784" s="34">
        <f>IFERROR(IF(ISNUMBER($A2784),IF(AND(AH!$U$12=1,2779+1=AH!$U$6),TODAY(),IF(AH!$U$5=1,INDEX('Live History'!$G$5:$G$3004,MATCH($A2784,'Live History'!$G$5:$G$3004,1)),INDEX('AH History'!$C$5:$C$1380,$K2784))),NA()),NA())</f>
        <v/>
      </c>
      <c r="J2784" s="32">
        <f>IFERROR(IF(AND($F2784&gt;0,$H2784&gt;0,$A2784-$G2784&lt;=10,$A2784-$I2784&lt;=5,$G2784&gt;0,$I2784&gt;0),$F2784*$H2784,NA()),NA())</f>
        <v/>
      </c>
      <c r="K2784" s="15">
        <f>IF($A2784="","",IF(AH!$U$5=1,IFERROR(MATCH($A2784,'Live History'!$A$5:$A$3004,0),0),AH!$U$7+2779))</f>
        <v/>
      </c>
      <c r="L2784" s="15">
        <f>IF(ISNUMBER(A2784),TEXT(A2784,"dd-mmm-yy"),"")</f>
        <v/>
      </c>
    </row>
    <row r="2785">
      <c r="A2785" s="14">
        <f>IF(OR(AH!$U$4=0,2780+1&gt;AH!$U$6,AND(AH!$M$5="Bloomberg",AH!$U$5=0)),"",IFERROR(IF(AND(AH!$U$12=1,2780+1=AH!$U$6),TODAY(),IF(AH!$U$5=1,INDEX('Live History'!$A$5:$A$3004,AH!$U$7+2780),INDEX('AH History'!$A$5:$A$1380,AH!$U$7+2780))),""))</f>
        <v/>
      </c>
      <c r="B2785" s="33">
        <f>IFERROR(IF(AH!$U$11=1,NA(),$J2785/$E2785-1),NA())</f>
        <v/>
      </c>
      <c r="C2785" s="269">
        <f>IFERROR(100*$E2785/$E$5,NA())</f>
        <v/>
      </c>
      <c r="D2785" s="269">
        <f>IFERROR(100*$J2785/$J$5,NA())</f>
        <v/>
      </c>
      <c r="E2785" s="32">
        <f>IFERROR(IF(AND(ISNUMBER($A2785),N(IF(AND(AH!$U$12=1,2780+1=AH!$U$6),IF(AH!$U$4=0,"unavailable",INDEX('Market Data'!$AN$5:$AN$66,AH!$U$4)),IF(AH!$U$5=1,INDEX('Live History'!$B$5:$B$3004,$K2785),INDEX('AH History'!$D$5:$GG$1380,$K2785,AH!$U$10))))&gt;0),IF(AND(AH!$U$12=1,2780+1=AH!$U$6),IF(AH!$U$4=0,"unavailable",INDEX('Market Data'!$AN$5:$AN$66,AH!$U$4)),IF(AH!$U$5=1,INDEX('Live History'!$B$5:$B$3004,$K2785),INDEX('AH History'!$D$5:$GG$1380,$K2785,AH!$U$10))),NA()),NA())</f>
        <v/>
      </c>
      <c r="F2785" s="32">
        <f>IFERROR(IF(ISNUMBER($A2785),IF(AND(AH!$U$12=1,2780+1=AH!$U$6),IF(AH!$U$4=0,"unavailable",INDEX('Market Data'!$AO$5:$AO$66,AH!$U$4)),IF(AH!$U$5=1,INDEX('Live History'!$E$5:$E$3004,MATCH($A2785,'Live History'!$D$5:$D$3004,1)),INDEX('AH History'!$D$5:$GG$1380,$K2785,AH!$U$10+1))),NA()),NA())</f>
        <v/>
      </c>
      <c r="G2785" s="34">
        <f>IFERROR(IF(ISNUMBER($A2785),IF(AND(AH!$U$12=1,2780+1=AH!$U$6),IF(AH!$U$4=0,"unavailable",INDEX('Market Data'!$AK$5:$AK$66,AH!$U$4)),IF(AH!$U$5=1,INDEX('Live History'!$D$5:$D$3004,MATCH($A2785,'Live History'!$D$5:$D$3004,1)),INDEX('AH History'!$D$5:$GG$1380,$K2785,AH!$U$10+2))),NA()),NA())</f>
        <v/>
      </c>
      <c r="H2785" s="266">
        <f>IFERROR(IF(ISNUMBER($A2785),IF(AND(AH!$U$12=1,2780+1=AH!$U$6),IF(AH!$U$4=0,"unavailable",INDEX('Market Data'!$AP$5:$AP$66,AH!$U$4)),IF(AH!$U$5=1,INDEX('Live History'!$H$5:$H$3004,MATCH($A2785,'Live History'!$G$5:$G$3004,1)),INDEX('AH History'!$B$5:$B$1380,$K2785))),NA()),NA())</f>
        <v/>
      </c>
      <c r="I2785" s="34">
        <f>IFERROR(IF(ISNUMBER($A2785),IF(AND(AH!$U$12=1,2780+1=AH!$U$6),TODAY(),IF(AH!$U$5=1,INDEX('Live History'!$G$5:$G$3004,MATCH($A2785,'Live History'!$G$5:$G$3004,1)),INDEX('AH History'!$C$5:$C$1380,$K2785))),NA()),NA())</f>
        <v/>
      </c>
      <c r="J2785" s="32">
        <f>IFERROR(IF(AND($F2785&gt;0,$H2785&gt;0,$A2785-$G2785&lt;=10,$A2785-$I2785&lt;=5,$G2785&gt;0,$I2785&gt;0),$F2785*$H2785,NA()),NA())</f>
        <v/>
      </c>
      <c r="K2785" s="15">
        <f>IF($A2785="","",IF(AH!$U$5=1,IFERROR(MATCH($A2785,'Live History'!$A$5:$A$3004,0),0),AH!$U$7+2780))</f>
        <v/>
      </c>
      <c r="L2785" s="15">
        <f>IF(ISNUMBER(A2785),TEXT(A2785,"dd-mmm-yy"),"")</f>
        <v/>
      </c>
    </row>
    <row r="2786">
      <c r="A2786" s="14">
        <f>IF(OR(AH!$U$4=0,2781+1&gt;AH!$U$6,AND(AH!$M$5="Bloomberg",AH!$U$5=0)),"",IFERROR(IF(AND(AH!$U$12=1,2781+1=AH!$U$6),TODAY(),IF(AH!$U$5=1,INDEX('Live History'!$A$5:$A$3004,AH!$U$7+2781),INDEX('AH History'!$A$5:$A$1380,AH!$U$7+2781))),""))</f>
        <v/>
      </c>
      <c r="B2786" s="33">
        <f>IFERROR(IF(AH!$U$11=1,NA(),$J2786/$E2786-1),NA())</f>
        <v/>
      </c>
      <c r="C2786" s="269">
        <f>IFERROR(100*$E2786/$E$5,NA())</f>
        <v/>
      </c>
      <c r="D2786" s="269">
        <f>IFERROR(100*$J2786/$J$5,NA())</f>
        <v/>
      </c>
      <c r="E2786" s="32">
        <f>IFERROR(IF(AND(ISNUMBER($A2786),N(IF(AND(AH!$U$12=1,2781+1=AH!$U$6),IF(AH!$U$4=0,"unavailable",INDEX('Market Data'!$AN$5:$AN$66,AH!$U$4)),IF(AH!$U$5=1,INDEX('Live History'!$B$5:$B$3004,$K2786),INDEX('AH History'!$D$5:$GG$1380,$K2786,AH!$U$10))))&gt;0),IF(AND(AH!$U$12=1,2781+1=AH!$U$6),IF(AH!$U$4=0,"unavailable",INDEX('Market Data'!$AN$5:$AN$66,AH!$U$4)),IF(AH!$U$5=1,INDEX('Live History'!$B$5:$B$3004,$K2786),INDEX('AH History'!$D$5:$GG$1380,$K2786,AH!$U$10))),NA()),NA())</f>
        <v/>
      </c>
      <c r="F2786" s="32">
        <f>IFERROR(IF(ISNUMBER($A2786),IF(AND(AH!$U$12=1,2781+1=AH!$U$6),IF(AH!$U$4=0,"unavailable",INDEX('Market Data'!$AO$5:$AO$66,AH!$U$4)),IF(AH!$U$5=1,INDEX('Live History'!$E$5:$E$3004,MATCH($A2786,'Live History'!$D$5:$D$3004,1)),INDEX('AH History'!$D$5:$GG$1380,$K2786,AH!$U$10+1))),NA()),NA())</f>
        <v/>
      </c>
      <c r="G2786" s="34">
        <f>IFERROR(IF(ISNUMBER($A2786),IF(AND(AH!$U$12=1,2781+1=AH!$U$6),IF(AH!$U$4=0,"unavailable",INDEX('Market Data'!$AK$5:$AK$66,AH!$U$4)),IF(AH!$U$5=1,INDEX('Live History'!$D$5:$D$3004,MATCH($A2786,'Live History'!$D$5:$D$3004,1)),INDEX('AH History'!$D$5:$GG$1380,$K2786,AH!$U$10+2))),NA()),NA())</f>
        <v/>
      </c>
      <c r="H2786" s="266">
        <f>IFERROR(IF(ISNUMBER($A2786),IF(AND(AH!$U$12=1,2781+1=AH!$U$6),IF(AH!$U$4=0,"unavailable",INDEX('Market Data'!$AP$5:$AP$66,AH!$U$4)),IF(AH!$U$5=1,INDEX('Live History'!$H$5:$H$3004,MATCH($A2786,'Live History'!$G$5:$G$3004,1)),INDEX('AH History'!$B$5:$B$1380,$K2786))),NA()),NA())</f>
        <v/>
      </c>
      <c r="I2786" s="34">
        <f>IFERROR(IF(ISNUMBER($A2786),IF(AND(AH!$U$12=1,2781+1=AH!$U$6),TODAY(),IF(AH!$U$5=1,INDEX('Live History'!$G$5:$G$3004,MATCH($A2786,'Live History'!$G$5:$G$3004,1)),INDEX('AH History'!$C$5:$C$1380,$K2786))),NA()),NA())</f>
        <v/>
      </c>
      <c r="J2786" s="32">
        <f>IFERROR(IF(AND($F2786&gt;0,$H2786&gt;0,$A2786-$G2786&lt;=10,$A2786-$I2786&lt;=5,$G2786&gt;0,$I2786&gt;0),$F2786*$H2786,NA()),NA())</f>
        <v/>
      </c>
      <c r="K2786" s="15">
        <f>IF($A2786="","",IF(AH!$U$5=1,IFERROR(MATCH($A2786,'Live History'!$A$5:$A$3004,0),0),AH!$U$7+2781))</f>
        <v/>
      </c>
      <c r="L2786" s="15">
        <f>IF(ISNUMBER(A2786),TEXT(A2786,"dd-mmm-yy"),"")</f>
        <v/>
      </c>
    </row>
    <row r="2787">
      <c r="A2787" s="14">
        <f>IF(OR(AH!$U$4=0,2782+1&gt;AH!$U$6,AND(AH!$M$5="Bloomberg",AH!$U$5=0)),"",IFERROR(IF(AND(AH!$U$12=1,2782+1=AH!$U$6),TODAY(),IF(AH!$U$5=1,INDEX('Live History'!$A$5:$A$3004,AH!$U$7+2782),INDEX('AH History'!$A$5:$A$1380,AH!$U$7+2782))),""))</f>
        <v/>
      </c>
      <c r="B2787" s="33">
        <f>IFERROR(IF(AH!$U$11=1,NA(),$J2787/$E2787-1),NA())</f>
        <v/>
      </c>
      <c r="C2787" s="269">
        <f>IFERROR(100*$E2787/$E$5,NA())</f>
        <v/>
      </c>
      <c r="D2787" s="269">
        <f>IFERROR(100*$J2787/$J$5,NA())</f>
        <v/>
      </c>
      <c r="E2787" s="32">
        <f>IFERROR(IF(AND(ISNUMBER($A2787),N(IF(AND(AH!$U$12=1,2782+1=AH!$U$6),IF(AH!$U$4=0,"unavailable",INDEX('Market Data'!$AN$5:$AN$66,AH!$U$4)),IF(AH!$U$5=1,INDEX('Live History'!$B$5:$B$3004,$K2787),INDEX('AH History'!$D$5:$GG$1380,$K2787,AH!$U$10))))&gt;0),IF(AND(AH!$U$12=1,2782+1=AH!$U$6),IF(AH!$U$4=0,"unavailable",INDEX('Market Data'!$AN$5:$AN$66,AH!$U$4)),IF(AH!$U$5=1,INDEX('Live History'!$B$5:$B$3004,$K2787),INDEX('AH History'!$D$5:$GG$1380,$K2787,AH!$U$10))),NA()),NA())</f>
        <v/>
      </c>
      <c r="F2787" s="32">
        <f>IFERROR(IF(ISNUMBER($A2787),IF(AND(AH!$U$12=1,2782+1=AH!$U$6),IF(AH!$U$4=0,"unavailable",INDEX('Market Data'!$AO$5:$AO$66,AH!$U$4)),IF(AH!$U$5=1,INDEX('Live History'!$E$5:$E$3004,MATCH($A2787,'Live History'!$D$5:$D$3004,1)),INDEX('AH History'!$D$5:$GG$1380,$K2787,AH!$U$10+1))),NA()),NA())</f>
        <v/>
      </c>
      <c r="G2787" s="34">
        <f>IFERROR(IF(ISNUMBER($A2787),IF(AND(AH!$U$12=1,2782+1=AH!$U$6),IF(AH!$U$4=0,"unavailable",INDEX('Market Data'!$AK$5:$AK$66,AH!$U$4)),IF(AH!$U$5=1,INDEX('Live History'!$D$5:$D$3004,MATCH($A2787,'Live History'!$D$5:$D$3004,1)),INDEX('AH History'!$D$5:$GG$1380,$K2787,AH!$U$10+2))),NA()),NA())</f>
        <v/>
      </c>
      <c r="H2787" s="266">
        <f>IFERROR(IF(ISNUMBER($A2787),IF(AND(AH!$U$12=1,2782+1=AH!$U$6),IF(AH!$U$4=0,"unavailable",INDEX('Market Data'!$AP$5:$AP$66,AH!$U$4)),IF(AH!$U$5=1,INDEX('Live History'!$H$5:$H$3004,MATCH($A2787,'Live History'!$G$5:$G$3004,1)),INDEX('AH History'!$B$5:$B$1380,$K2787))),NA()),NA())</f>
        <v/>
      </c>
      <c r="I2787" s="34">
        <f>IFERROR(IF(ISNUMBER($A2787),IF(AND(AH!$U$12=1,2782+1=AH!$U$6),TODAY(),IF(AH!$U$5=1,INDEX('Live History'!$G$5:$G$3004,MATCH($A2787,'Live History'!$G$5:$G$3004,1)),INDEX('AH History'!$C$5:$C$1380,$K2787))),NA()),NA())</f>
        <v/>
      </c>
      <c r="J2787" s="32">
        <f>IFERROR(IF(AND($F2787&gt;0,$H2787&gt;0,$A2787-$G2787&lt;=10,$A2787-$I2787&lt;=5,$G2787&gt;0,$I2787&gt;0),$F2787*$H2787,NA()),NA())</f>
        <v/>
      </c>
      <c r="K2787" s="15">
        <f>IF($A2787="","",IF(AH!$U$5=1,IFERROR(MATCH($A2787,'Live History'!$A$5:$A$3004,0),0),AH!$U$7+2782))</f>
        <v/>
      </c>
      <c r="L2787" s="15">
        <f>IF(ISNUMBER(A2787),TEXT(A2787,"dd-mmm-yy"),"")</f>
        <v/>
      </c>
    </row>
    <row r="2788">
      <c r="A2788" s="14">
        <f>IF(OR(AH!$U$4=0,2783+1&gt;AH!$U$6,AND(AH!$M$5="Bloomberg",AH!$U$5=0)),"",IFERROR(IF(AND(AH!$U$12=1,2783+1=AH!$U$6),TODAY(),IF(AH!$U$5=1,INDEX('Live History'!$A$5:$A$3004,AH!$U$7+2783),INDEX('AH History'!$A$5:$A$1380,AH!$U$7+2783))),""))</f>
        <v/>
      </c>
      <c r="B2788" s="33">
        <f>IFERROR(IF(AH!$U$11=1,NA(),$J2788/$E2788-1),NA())</f>
        <v/>
      </c>
      <c r="C2788" s="269">
        <f>IFERROR(100*$E2788/$E$5,NA())</f>
        <v/>
      </c>
      <c r="D2788" s="269">
        <f>IFERROR(100*$J2788/$J$5,NA())</f>
        <v/>
      </c>
      <c r="E2788" s="32">
        <f>IFERROR(IF(AND(ISNUMBER($A2788),N(IF(AND(AH!$U$12=1,2783+1=AH!$U$6),IF(AH!$U$4=0,"unavailable",INDEX('Market Data'!$AN$5:$AN$66,AH!$U$4)),IF(AH!$U$5=1,INDEX('Live History'!$B$5:$B$3004,$K2788),INDEX('AH History'!$D$5:$GG$1380,$K2788,AH!$U$10))))&gt;0),IF(AND(AH!$U$12=1,2783+1=AH!$U$6),IF(AH!$U$4=0,"unavailable",INDEX('Market Data'!$AN$5:$AN$66,AH!$U$4)),IF(AH!$U$5=1,INDEX('Live History'!$B$5:$B$3004,$K2788),INDEX('AH History'!$D$5:$GG$1380,$K2788,AH!$U$10))),NA()),NA())</f>
        <v/>
      </c>
      <c r="F2788" s="32">
        <f>IFERROR(IF(ISNUMBER($A2788),IF(AND(AH!$U$12=1,2783+1=AH!$U$6),IF(AH!$U$4=0,"unavailable",INDEX('Market Data'!$AO$5:$AO$66,AH!$U$4)),IF(AH!$U$5=1,INDEX('Live History'!$E$5:$E$3004,MATCH($A2788,'Live History'!$D$5:$D$3004,1)),INDEX('AH History'!$D$5:$GG$1380,$K2788,AH!$U$10+1))),NA()),NA())</f>
        <v/>
      </c>
      <c r="G2788" s="34">
        <f>IFERROR(IF(ISNUMBER($A2788),IF(AND(AH!$U$12=1,2783+1=AH!$U$6),IF(AH!$U$4=0,"unavailable",INDEX('Market Data'!$AK$5:$AK$66,AH!$U$4)),IF(AH!$U$5=1,INDEX('Live History'!$D$5:$D$3004,MATCH($A2788,'Live History'!$D$5:$D$3004,1)),INDEX('AH History'!$D$5:$GG$1380,$K2788,AH!$U$10+2))),NA()),NA())</f>
        <v/>
      </c>
      <c r="H2788" s="266">
        <f>IFERROR(IF(ISNUMBER($A2788),IF(AND(AH!$U$12=1,2783+1=AH!$U$6),IF(AH!$U$4=0,"unavailable",INDEX('Market Data'!$AP$5:$AP$66,AH!$U$4)),IF(AH!$U$5=1,INDEX('Live History'!$H$5:$H$3004,MATCH($A2788,'Live History'!$G$5:$G$3004,1)),INDEX('AH History'!$B$5:$B$1380,$K2788))),NA()),NA())</f>
        <v/>
      </c>
      <c r="I2788" s="34">
        <f>IFERROR(IF(ISNUMBER($A2788),IF(AND(AH!$U$12=1,2783+1=AH!$U$6),TODAY(),IF(AH!$U$5=1,INDEX('Live History'!$G$5:$G$3004,MATCH($A2788,'Live History'!$G$5:$G$3004,1)),INDEX('AH History'!$C$5:$C$1380,$K2788))),NA()),NA())</f>
        <v/>
      </c>
      <c r="J2788" s="32">
        <f>IFERROR(IF(AND($F2788&gt;0,$H2788&gt;0,$A2788-$G2788&lt;=10,$A2788-$I2788&lt;=5,$G2788&gt;0,$I2788&gt;0),$F2788*$H2788,NA()),NA())</f>
        <v/>
      </c>
      <c r="K2788" s="15">
        <f>IF($A2788="","",IF(AH!$U$5=1,IFERROR(MATCH($A2788,'Live History'!$A$5:$A$3004,0),0),AH!$U$7+2783))</f>
        <v/>
      </c>
      <c r="L2788" s="15">
        <f>IF(ISNUMBER(A2788),TEXT(A2788,"dd-mmm-yy"),"")</f>
        <v/>
      </c>
    </row>
    <row r="2789">
      <c r="A2789" s="14">
        <f>IF(OR(AH!$U$4=0,2784+1&gt;AH!$U$6,AND(AH!$M$5="Bloomberg",AH!$U$5=0)),"",IFERROR(IF(AND(AH!$U$12=1,2784+1=AH!$U$6),TODAY(),IF(AH!$U$5=1,INDEX('Live History'!$A$5:$A$3004,AH!$U$7+2784),INDEX('AH History'!$A$5:$A$1380,AH!$U$7+2784))),""))</f>
        <v/>
      </c>
      <c r="B2789" s="33">
        <f>IFERROR(IF(AH!$U$11=1,NA(),$J2789/$E2789-1),NA())</f>
        <v/>
      </c>
      <c r="C2789" s="269">
        <f>IFERROR(100*$E2789/$E$5,NA())</f>
        <v/>
      </c>
      <c r="D2789" s="269">
        <f>IFERROR(100*$J2789/$J$5,NA())</f>
        <v/>
      </c>
      <c r="E2789" s="32">
        <f>IFERROR(IF(AND(ISNUMBER($A2789),N(IF(AND(AH!$U$12=1,2784+1=AH!$U$6),IF(AH!$U$4=0,"unavailable",INDEX('Market Data'!$AN$5:$AN$66,AH!$U$4)),IF(AH!$U$5=1,INDEX('Live History'!$B$5:$B$3004,$K2789),INDEX('AH History'!$D$5:$GG$1380,$K2789,AH!$U$10))))&gt;0),IF(AND(AH!$U$12=1,2784+1=AH!$U$6),IF(AH!$U$4=0,"unavailable",INDEX('Market Data'!$AN$5:$AN$66,AH!$U$4)),IF(AH!$U$5=1,INDEX('Live History'!$B$5:$B$3004,$K2789),INDEX('AH History'!$D$5:$GG$1380,$K2789,AH!$U$10))),NA()),NA())</f>
        <v/>
      </c>
      <c r="F2789" s="32">
        <f>IFERROR(IF(ISNUMBER($A2789),IF(AND(AH!$U$12=1,2784+1=AH!$U$6),IF(AH!$U$4=0,"unavailable",INDEX('Market Data'!$AO$5:$AO$66,AH!$U$4)),IF(AH!$U$5=1,INDEX('Live History'!$E$5:$E$3004,MATCH($A2789,'Live History'!$D$5:$D$3004,1)),INDEX('AH History'!$D$5:$GG$1380,$K2789,AH!$U$10+1))),NA()),NA())</f>
        <v/>
      </c>
      <c r="G2789" s="34">
        <f>IFERROR(IF(ISNUMBER($A2789),IF(AND(AH!$U$12=1,2784+1=AH!$U$6),IF(AH!$U$4=0,"unavailable",INDEX('Market Data'!$AK$5:$AK$66,AH!$U$4)),IF(AH!$U$5=1,INDEX('Live History'!$D$5:$D$3004,MATCH($A2789,'Live History'!$D$5:$D$3004,1)),INDEX('AH History'!$D$5:$GG$1380,$K2789,AH!$U$10+2))),NA()),NA())</f>
        <v/>
      </c>
      <c r="H2789" s="266">
        <f>IFERROR(IF(ISNUMBER($A2789),IF(AND(AH!$U$12=1,2784+1=AH!$U$6),IF(AH!$U$4=0,"unavailable",INDEX('Market Data'!$AP$5:$AP$66,AH!$U$4)),IF(AH!$U$5=1,INDEX('Live History'!$H$5:$H$3004,MATCH($A2789,'Live History'!$G$5:$G$3004,1)),INDEX('AH History'!$B$5:$B$1380,$K2789))),NA()),NA())</f>
        <v/>
      </c>
      <c r="I2789" s="34">
        <f>IFERROR(IF(ISNUMBER($A2789),IF(AND(AH!$U$12=1,2784+1=AH!$U$6),TODAY(),IF(AH!$U$5=1,INDEX('Live History'!$G$5:$G$3004,MATCH($A2789,'Live History'!$G$5:$G$3004,1)),INDEX('AH History'!$C$5:$C$1380,$K2789))),NA()),NA())</f>
        <v/>
      </c>
      <c r="J2789" s="32">
        <f>IFERROR(IF(AND($F2789&gt;0,$H2789&gt;0,$A2789-$G2789&lt;=10,$A2789-$I2789&lt;=5,$G2789&gt;0,$I2789&gt;0),$F2789*$H2789,NA()),NA())</f>
        <v/>
      </c>
      <c r="K2789" s="15">
        <f>IF($A2789="","",IF(AH!$U$5=1,IFERROR(MATCH($A2789,'Live History'!$A$5:$A$3004,0),0),AH!$U$7+2784))</f>
        <v/>
      </c>
      <c r="L2789" s="15">
        <f>IF(ISNUMBER(A2789),TEXT(A2789,"dd-mmm-yy"),"")</f>
        <v/>
      </c>
    </row>
    <row r="2790">
      <c r="A2790" s="14">
        <f>IF(OR(AH!$U$4=0,2785+1&gt;AH!$U$6,AND(AH!$M$5="Bloomberg",AH!$U$5=0)),"",IFERROR(IF(AND(AH!$U$12=1,2785+1=AH!$U$6),TODAY(),IF(AH!$U$5=1,INDEX('Live History'!$A$5:$A$3004,AH!$U$7+2785),INDEX('AH History'!$A$5:$A$1380,AH!$U$7+2785))),""))</f>
        <v/>
      </c>
      <c r="B2790" s="33">
        <f>IFERROR(IF(AH!$U$11=1,NA(),$J2790/$E2790-1),NA())</f>
        <v/>
      </c>
      <c r="C2790" s="269">
        <f>IFERROR(100*$E2790/$E$5,NA())</f>
        <v/>
      </c>
      <c r="D2790" s="269">
        <f>IFERROR(100*$J2790/$J$5,NA())</f>
        <v/>
      </c>
      <c r="E2790" s="32">
        <f>IFERROR(IF(AND(ISNUMBER($A2790),N(IF(AND(AH!$U$12=1,2785+1=AH!$U$6),IF(AH!$U$4=0,"unavailable",INDEX('Market Data'!$AN$5:$AN$66,AH!$U$4)),IF(AH!$U$5=1,INDEX('Live History'!$B$5:$B$3004,$K2790),INDEX('AH History'!$D$5:$GG$1380,$K2790,AH!$U$10))))&gt;0),IF(AND(AH!$U$12=1,2785+1=AH!$U$6),IF(AH!$U$4=0,"unavailable",INDEX('Market Data'!$AN$5:$AN$66,AH!$U$4)),IF(AH!$U$5=1,INDEX('Live History'!$B$5:$B$3004,$K2790),INDEX('AH History'!$D$5:$GG$1380,$K2790,AH!$U$10))),NA()),NA())</f>
        <v/>
      </c>
      <c r="F2790" s="32">
        <f>IFERROR(IF(ISNUMBER($A2790),IF(AND(AH!$U$12=1,2785+1=AH!$U$6),IF(AH!$U$4=0,"unavailable",INDEX('Market Data'!$AO$5:$AO$66,AH!$U$4)),IF(AH!$U$5=1,INDEX('Live History'!$E$5:$E$3004,MATCH($A2790,'Live History'!$D$5:$D$3004,1)),INDEX('AH History'!$D$5:$GG$1380,$K2790,AH!$U$10+1))),NA()),NA())</f>
        <v/>
      </c>
      <c r="G2790" s="34">
        <f>IFERROR(IF(ISNUMBER($A2790),IF(AND(AH!$U$12=1,2785+1=AH!$U$6),IF(AH!$U$4=0,"unavailable",INDEX('Market Data'!$AK$5:$AK$66,AH!$U$4)),IF(AH!$U$5=1,INDEX('Live History'!$D$5:$D$3004,MATCH($A2790,'Live History'!$D$5:$D$3004,1)),INDEX('AH History'!$D$5:$GG$1380,$K2790,AH!$U$10+2))),NA()),NA())</f>
        <v/>
      </c>
      <c r="H2790" s="266">
        <f>IFERROR(IF(ISNUMBER($A2790),IF(AND(AH!$U$12=1,2785+1=AH!$U$6),IF(AH!$U$4=0,"unavailable",INDEX('Market Data'!$AP$5:$AP$66,AH!$U$4)),IF(AH!$U$5=1,INDEX('Live History'!$H$5:$H$3004,MATCH($A2790,'Live History'!$G$5:$G$3004,1)),INDEX('AH History'!$B$5:$B$1380,$K2790))),NA()),NA())</f>
        <v/>
      </c>
      <c r="I2790" s="34">
        <f>IFERROR(IF(ISNUMBER($A2790),IF(AND(AH!$U$12=1,2785+1=AH!$U$6),TODAY(),IF(AH!$U$5=1,INDEX('Live History'!$G$5:$G$3004,MATCH($A2790,'Live History'!$G$5:$G$3004,1)),INDEX('AH History'!$C$5:$C$1380,$K2790))),NA()),NA())</f>
        <v/>
      </c>
      <c r="J2790" s="32">
        <f>IFERROR(IF(AND($F2790&gt;0,$H2790&gt;0,$A2790-$G2790&lt;=10,$A2790-$I2790&lt;=5,$G2790&gt;0,$I2790&gt;0),$F2790*$H2790,NA()),NA())</f>
        <v/>
      </c>
      <c r="K2790" s="15">
        <f>IF($A2790="","",IF(AH!$U$5=1,IFERROR(MATCH($A2790,'Live History'!$A$5:$A$3004,0),0),AH!$U$7+2785))</f>
        <v/>
      </c>
      <c r="L2790" s="15">
        <f>IF(ISNUMBER(A2790),TEXT(A2790,"dd-mmm-yy"),"")</f>
        <v/>
      </c>
    </row>
    <row r="2791">
      <c r="A2791" s="14">
        <f>IF(OR(AH!$U$4=0,2786+1&gt;AH!$U$6,AND(AH!$M$5="Bloomberg",AH!$U$5=0)),"",IFERROR(IF(AND(AH!$U$12=1,2786+1=AH!$U$6),TODAY(),IF(AH!$U$5=1,INDEX('Live History'!$A$5:$A$3004,AH!$U$7+2786),INDEX('AH History'!$A$5:$A$1380,AH!$U$7+2786))),""))</f>
        <v/>
      </c>
      <c r="B2791" s="33">
        <f>IFERROR(IF(AH!$U$11=1,NA(),$J2791/$E2791-1),NA())</f>
        <v/>
      </c>
      <c r="C2791" s="269">
        <f>IFERROR(100*$E2791/$E$5,NA())</f>
        <v/>
      </c>
      <c r="D2791" s="269">
        <f>IFERROR(100*$J2791/$J$5,NA())</f>
        <v/>
      </c>
      <c r="E2791" s="32">
        <f>IFERROR(IF(AND(ISNUMBER($A2791),N(IF(AND(AH!$U$12=1,2786+1=AH!$U$6),IF(AH!$U$4=0,"unavailable",INDEX('Market Data'!$AN$5:$AN$66,AH!$U$4)),IF(AH!$U$5=1,INDEX('Live History'!$B$5:$B$3004,$K2791),INDEX('AH History'!$D$5:$GG$1380,$K2791,AH!$U$10))))&gt;0),IF(AND(AH!$U$12=1,2786+1=AH!$U$6),IF(AH!$U$4=0,"unavailable",INDEX('Market Data'!$AN$5:$AN$66,AH!$U$4)),IF(AH!$U$5=1,INDEX('Live History'!$B$5:$B$3004,$K2791),INDEX('AH History'!$D$5:$GG$1380,$K2791,AH!$U$10))),NA()),NA())</f>
        <v/>
      </c>
      <c r="F2791" s="32">
        <f>IFERROR(IF(ISNUMBER($A2791),IF(AND(AH!$U$12=1,2786+1=AH!$U$6),IF(AH!$U$4=0,"unavailable",INDEX('Market Data'!$AO$5:$AO$66,AH!$U$4)),IF(AH!$U$5=1,INDEX('Live History'!$E$5:$E$3004,MATCH($A2791,'Live History'!$D$5:$D$3004,1)),INDEX('AH History'!$D$5:$GG$1380,$K2791,AH!$U$10+1))),NA()),NA())</f>
        <v/>
      </c>
      <c r="G2791" s="34">
        <f>IFERROR(IF(ISNUMBER($A2791),IF(AND(AH!$U$12=1,2786+1=AH!$U$6),IF(AH!$U$4=0,"unavailable",INDEX('Market Data'!$AK$5:$AK$66,AH!$U$4)),IF(AH!$U$5=1,INDEX('Live History'!$D$5:$D$3004,MATCH($A2791,'Live History'!$D$5:$D$3004,1)),INDEX('AH History'!$D$5:$GG$1380,$K2791,AH!$U$10+2))),NA()),NA())</f>
        <v/>
      </c>
      <c r="H2791" s="266">
        <f>IFERROR(IF(ISNUMBER($A2791),IF(AND(AH!$U$12=1,2786+1=AH!$U$6),IF(AH!$U$4=0,"unavailable",INDEX('Market Data'!$AP$5:$AP$66,AH!$U$4)),IF(AH!$U$5=1,INDEX('Live History'!$H$5:$H$3004,MATCH($A2791,'Live History'!$G$5:$G$3004,1)),INDEX('AH History'!$B$5:$B$1380,$K2791))),NA()),NA())</f>
        <v/>
      </c>
      <c r="I2791" s="34">
        <f>IFERROR(IF(ISNUMBER($A2791),IF(AND(AH!$U$12=1,2786+1=AH!$U$6),TODAY(),IF(AH!$U$5=1,INDEX('Live History'!$G$5:$G$3004,MATCH($A2791,'Live History'!$G$5:$G$3004,1)),INDEX('AH History'!$C$5:$C$1380,$K2791))),NA()),NA())</f>
        <v/>
      </c>
      <c r="J2791" s="32">
        <f>IFERROR(IF(AND($F2791&gt;0,$H2791&gt;0,$A2791-$G2791&lt;=10,$A2791-$I2791&lt;=5,$G2791&gt;0,$I2791&gt;0),$F2791*$H2791,NA()),NA())</f>
        <v/>
      </c>
      <c r="K2791" s="15">
        <f>IF($A2791="","",IF(AH!$U$5=1,IFERROR(MATCH($A2791,'Live History'!$A$5:$A$3004,0),0),AH!$U$7+2786))</f>
        <v/>
      </c>
      <c r="L2791" s="15">
        <f>IF(ISNUMBER(A2791),TEXT(A2791,"dd-mmm-yy"),"")</f>
        <v/>
      </c>
    </row>
    <row r="2792">
      <c r="A2792" s="14">
        <f>IF(OR(AH!$U$4=0,2787+1&gt;AH!$U$6,AND(AH!$M$5="Bloomberg",AH!$U$5=0)),"",IFERROR(IF(AND(AH!$U$12=1,2787+1=AH!$U$6),TODAY(),IF(AH!$U$5=1,INDEX('Live History'!$A$5:$A$3004,AH!$U$7+2787),INDEX('AH History'!$A$5:$A$1380,AH!$U$7+2787))),""))</f>
        <v/>
      </c>
      <c r="B2792" s="33">
        <f>IFERROR(IF(AH!$U$11=1,NA(),$J2792/$E2792-1),NA())</f>
        <v/>
      </c>
      <c r="C2792" s="269">
        <f>IFERROR(100*$E2792/$E$5,NA())</f>
        <v/>
      </c>
      <c r="D2792" s="269">
        <f>IFERROR(100*$J2792/$J$5,NA())</f>
        <v/>
      </c>
      <c r="E2792" s="32">
        <f>IFERROR(IF(AND(ISNUMBER($A2792),N(IF(AND(AH!$U$12=1,2787+1=AH!$U$6),IF(AH!$U$4=0,"unavailable",INDEX('Market Data'!$AN$5:$AN$66,AH!$U$4)),IF(AH!$U$5=1,INDEX('Live History'!$B$5:$B$3004,$K2792),INDEX('AH History'!$D$5:$GG$1380,$K2792,AH!$U$10))))&gt;0),IF(AND(AH!$U$12=1,2787+1=AH!$U$6),IF(AH!$U$4=0,"unavailable",INDEX('Market Data'!$AN$5:$AN$66,AH!$U$4)),IF(AH!$U$5=1,INDEX('Live History'!$B$5:$B$3004,$K2792),INDEX('AH History'!$D$5:$GG$1380,$K2792,AH!$U$10))),NA()),NA())</f>
        <v/>
      </c>
      <c r="F2792" s="32">
        <f>IFERROR(IF(ISNUMBER($A2792),IF(AND(AH!$U$12=1,2787+1=AH!$U$6),IF(AH!$U$4=0,"unavailable",INDEX('Market Data'!$AO$5:$AO$66,AH!$U$4)),IF(AH!$U$5=1,INDEX('Live History'!$E$5:$E$3004,MATCH($A2792,'Live History'!$D$5:$D$3004,1)),INDEX('AH History'!$D$5:$GG$1380,$K2792,AH!$U$10+1))),NA()),NA())</f>
        <v/>
      </c>
      <c r="G2792" s="34">
        <f>IFERROR(IF(ISNUMBER($A2792),IF(AND(AH!$U$12=1,2787+1=AH!$U$6),IF(AH!$U$4=0,"unavailable",INDEX('Market Data'!$AK$5:$AK$66,AH!$U$4)),IF(AH!$U$5=1,INDEX('Live History'!$D$5:$D$3004,MATCH($A2792,'Live History'!$D$5:$D$3004,1)),INDEX('AH History'!$D$5:$GG$1380,$K2792,AH!$U$10+2))),NA()),NA())</f>
        <v/>
      </c>
      <c r="H2792" s="266">
        <f>IFERROR(IF(ISNUMBER($A2792),IF(AND(AH!$U$12=1,2787+1=AH!$U$6),IF(AH!$U$4=0,"unavailable",INDEX('Market Data'!$AP$5:$AP$66,AH!$U$4)),IF(AH!$U$5=1,INDEX('Live History'!$H$5:$H$3004,MATCH($A2792,'Live History'!$G$5:$G$3004,1)),INDEX('AH History'!$B$5:$B$1380,$K2792))),NA()),NA())</f>
        <v/>
      </c>
      <c r="I2792" s="34">
        <f>IFERROR(IF(ISNUMBER($A2792),IF(AND(AH!$U$12=1,2787+1=AH!$U$6),TODAY(),IF(AH!$U$5=1,INDEX('Live History'!$G$5:$G$3004,MATCH($A2792,'Live History'!$G$5:$G$3004,1)),INDEX('AH History'!$C$5:$C$1380,$K2792))),NA()),NA())</f>
        <v/>
      </c>
      <c r="J2792" s="32">
        <f>IFERROR(IF(AND($F2792&gt;0,$H2792&gt;0,$A2792-$G2792&lt;=10,$A2792-$I2792&lt;=5,$G2792&gt;0,$I2792&gt;0),$F2792*$H2792,NA()),NA())</f>
        <v/>
      </c>
      <c r="K2792" s="15">
        <f>IF($A2792="","",IF(AH!$U$5=1,IFERROR(MATCH($A2792,'Live History'!$A$5:$A$3004,0),0),AH!$U$7+2787))</f>
        <v/>
      </c>
      <c r="L2792" s="15">
        <f>IF(ISNUMBER(A2792),TEXT(A2792,"dd-mmm-yy"),"")</f>
        <v/>
      </c>
    </row>
    <row r="2793">
      <c r="A2793" s="14">
        <f>IF(OR(AH!$U$4=0,2788+1&gt;AH!$U$6,AND(AH!$M$5="Bloomberg",AH!$U$5=0)),"",IFERROR(IF(AND(AH!$U$12=1,2788+1=AH!$U$6),TODAY(),IF(AH!$U$5=1,INDEX('Live History'!$A$5:$A$3004,AH!$U$7+2788),INDEX('AH History'!$A$5:$A$1380,AH!$U$7+2788))),""))</f>
        <v/>
      </c>
      <c r="B2793" s="33">
        <f>IFERROR(IF(AH!$U$11=1,NA(),$J2793/$E2793-1),NA())</f>
        <v/>
      </c>
      <c r="C2793" s="269">
        <f>IFERROR(100*$E2793/$E$5,NA())</f>
        <v/>
      </c>
      <c r="D2793" s="269">
        <f>IFERROR(100*$J2793/$J$5,NA())</f>
        <v/>
      </c>
      <c r="E2793" s="32">
        <f>IFERROR(IF(AND(ISNUMBER($A2793),N(IF(AND(AH!$U$12=1,2788+1=AH!$U$6),IF(AH!$U$4=0,"unavailable",INDEX('Market Data'!$AN$5:$AN$66,AH!$U$4)),IF(AH!$U$5=1,INDEX('Live History'!$B$5:$B$3004,$K2793),INDEX('AH History'!$D$5:$GG$1380,$K2793,AH!$U$10))))&gt;0),IF(AND(AH!$U$12=1,2788+1=AH!$U$6),IF(AH!$U$4=0,"unavailable",INDEX('Market Data'!$AN$5:$AN$66,AH!$U$4)),IF(AH!$U$5=1,INDEX('Live History'!$B$5:$B$3004,$K2793),INDEX('AH History'!$D$5:$GG$1380,$K2793,AH!$U$10))),NA()),NA())</f>
        <v/>
      </c>
      <c r="F2793" s="32">
        <f>IFERROR(IF(ISNUMBER($A2793),IF(AND(AH!$U$12=1,2788+1=AH!$U$6),IF(AH!$U$4=0,"unavailable",INDEX('Market Data'!$AO$5:$AO$66,AH!$U$4)),IF(AH!$U$5=1,INDEX('Live History'!$E$5:$E$3004,MATCH($A2793,'Live History'!$D$5:$D$3004,1)),INDEX('AH History'!$D$5:$GG$1380,$K2793,AH!$U$10+1))),NA()),NA())</f>
        <v/>
      </c>
      <c r="G2793" s="34">
        <f>IFERROR(IF(ISNUMBER($A2793),IF(AND(AH!$U$12=1,2788+1=AH!$U$6),IF(AH!$U$4=0,"unavailable",INDEX('Market Data'!$AK$5:$AK$66,AH!$U$4)),IF(AH!$U$5=1,INDEX('Live History'!$D$5:$D$3004,MATCH($A2793,'Live History'!$D$5:$D$3004,1)),INDEX('AH History'!$D$5:$GG$1380,$K2793,AH!$U$10+2))),NA()),NA())</f>
        <v/>
      </c>
      <c r="H2793" s="266">
        <f>IFERROR(IF(ISNUMBER($A2793),IF(AND(AH!$U$12=1,2788+1=AH!$U$6),IF(AH!$U$4=0,"unavailable",INDEX('Market Data'!$AP$5:$AP$66,AH!$U$4)),IF(AH!$U$5=1,INDEX('Live History'!$H$5:$H$3004,MATCH($A2793,'Live History'!$G$5:$G$3004,1)),INDEX('AH History'!$B$5:$B$1380,$K2793))),NA()),NA())</f>
        <v/>
      </c>
      <c r="I2793" s="34">
        <f>IFERROR(IF(ISNUMBER($A2793),IF(AND(AH!$U$12=1,2788+1=AH!$U$6),TODAY(),IF(AH!$U$5=1,INDEX('Live History'!$G$5:$G$3004,MATCH($A2793,'Live History'!$G$5:$G$3004,1)),INDEX('AH History'!$C$5:$C$1380,$K2793))),NA()),NA())</f>
        <v/>
      </c>
      <c r="J2793" s="32">
        <f>IFERROR(IF(AND($F2793&gt;0,$H2793&gt;0,$A2793-$G2793&lt;=10,$A2793-$I2793&lt;=5,$G2793&gt;0,$I2793&gt;0),$F2793*$H2793,NA()),NA())</f>
        <v/>
      </c>
      <c r="K2793" s="15">
        <f>IF($A2793="","",IF(AH!$U$5=1,IFERROR(MATCH($A2793,'Live History'!$A$5:$A$3004,0),0),AH!$U$7+2788))</f>
        <v/>
      </c>
      <c r="L2793" s="15">
        <f>IF(ISNUMBER(A2793),TEXT(A2793,"dd-mmm-yy"),"")</f>
        <v/>
      </c>
    </row>
    <row r="2794">
      <c r="A2794" s="14">
        <f>IF(OR(AH!$U$4=0,2789+1&gt;AH!$U$6,AND(AH!$M$5="Bloomberg",AH!$U$5=0)),"",IFERROR(IF(AND(AH!$U$12=1,2789+1=AH!$U$6),TODAY(),IF(AH!$U$5=1,INDEX('Live History'!$A$5:$A$3004,AH!$U$7+2789),INDEX('AH History'!$A$5:$A$1380,AH!$U$7+2789))),""))</f>
        <v/>
      </c>
      <c r="B2794" s="33">
        <f>IFERROR(IF(AH!$U$11=1,NA(),$J2794/$E2794-1),NA())</f>
        <v/>
      </c>
      <c r="C2794" s="269">
        <f>IFERROR(100*$E2794/$E$5,NA())</f>
        <v/>
      </c>
      <c r="D2794" s="269">
        <f>IFERROR(100*$J2794/$J$5,NA())</f>
        <v/>
      </c>
      <c r="E2794" s="32">
        <f>IFERROR(IF(AND(ISNUMBER($A2794),N(IF(AND(AH!$U$12=1,2789+1=AH!$U$6),IF(AH!$U$4=0,"unavailable",INDEX('Market Data'!$AN$5:$AN$66,AH!$U$4)),IF(AH!$U$5=1,INDEX('Live History'!$B$5:$B$3004,$K2794),INDEX('AH History'!$D$5:$GG$1380,$K2794,AH!$U$10))))&gt;0),IF(AND(AH!$U$12=1,2789+1=AH!$U$6),IF(AH!$U$4=0,"unavailable",INDEX('Market Data'!$AN$5:$AN$66,AH!$U$4)),IF(AH!$U$5=1,INDEX('Live History'!$B$5:$B$3004,$K2794),INDEX('AH History'!$D$5:$GG$1380,$K2794,AH!$U$10))),NA()),NA())</f>
        <v/>
      </c>
      <c r="F2794" s="32">
        <f>IFERROR(IF(ISNUMBER($A2794),IF(AND(AH!$U$12=1,2789+1=AH!$U$6),IF(AH!$U$4=0,"unavailable",INDEX('Market Data'!$AO$5:$AO$66,AH!$U$4)),IF(AH!$U$5=1,INDEX('Live History'!$E$5:$E$3004,MATCH($A2794,'Live History'!$D$5:$D$3004,1)),INDEX('AH History'!$D$5:$GG$1380,$K2794,AH!$U$10+1))),NA()),NA())</f>
        <v/>
      </c>
      <c r="G2794" s="34">
        <f>IFERROR(IF(ISNUMBER($A2794),IF(AND(AH!$U$12=1,2789+1=AH!$U$6),IF(AH!$U$4=0,"unavailable",INDEX('Market Data'!$AK$5:$AK$66,AH!$U$4)),IF(AH!$U$5=1,INDEX('Live History'!$D$5:$D$3004,MATCH($A2794,'Live History'!$D$5:$D$3004,1)),INDEX('AH History'!$D$5:$GG$1380,$K2794,AH!$U$10+2))),NA()),NA())</f>
        <v/>
      </c>
      <c r="H2794" s="266">
        <f>IFERROR(IF(ISNUMBER($A2794),IF(AND(AH!$U$12=1,2789+1=AH!$U$6),IF(AH!$U$4=0,"unavailable",INDEX('Market Data'!$AP$5:$AP$66,AH!$U$4)),IF(AH!$U$5=1,INDEX('Live History'!$H$5:$H$3004,MATCH($A2794,'Live History'!$G$5:$G$3004,1)),INDEX('AH History'!$B$5:$B$1380,$K2794))),NA()),NA())</f>
        <v/>
      </c>
      <c r="I2794" s="34">
        <f>IFERROR(IF(ISNUMBER($A2794),IF(AND(AH!$U$12=1,2789+1=AH!$U$6),TODAY(),IF(AH!$U$5=1,INDEX('Live History'!$G$5:$G$3004,MATCH($A2794,'Live History'!$G$5:$G$3004,1)),INDEX('AH History'!$C$5:$C$1380,$K2794))),NA()),NA())</f>
        <v/>
      </c>
      <c r="J2794" s="32">
        <f>IFERROR(IF(AND($F2794&gt;0,$H2794&gt;0,$A2794-$G2794&lt;=10,$A2794-$I2794&lt;=5,$G2794&gt;0,$I2794&gt;0),$F2794*$H2794,NA()),NA())</f>
        <v/>
      </c>
      <c r="K2794" s="15">
        <f>IF($A2794="","",IF(AH!$U$5=1,IFERROR(MATCH($A2794,'Live History'!$A$5:$A$3004,0),0),AH!$U$7+2789))</f>
        <v/>
      </c>
      <c r="L2794" s="15">
        <f>IF(ISNUMBER(A2794),TEXT(A2794,"dd-mmm-yy"),"")</f>
        <v/>
      </c>
    </row>
    <row r="2795">
      <c r="A2795" s="14">
        <f>IF(OR(AH!$U$4=0,2790+1&gt;AH!$U$6,AND(AH!$M$5="Bloomberg",AH!$U$5=0)),"",IFERROR(IF(AND(AH!$U$12=1,2790+1=AH!$U$6),TODAY(),IF(AH!$U$5=1,INDEX('Live History'!$A$5:$A$3004,AH!$U$7+2790),INDEX('AH History'!$A$5:$A$1380,AH!$U$7+2790))),""))</f>
        <v/>
      </c>
      <c r="B2795" s="33">
        <f>IFERROR(IF(AH!$U$11=1,NA(),$J2795/$E2795-1),NA())</f>
        <v/>
      </c>
      <c r="C2795" s="269">
        <f>IFERROR(100*$E2795/$E$5,NA())</f>
        <v/>
      </c>
      <c r="D2795" s="269">
        <f>IFERROR(100*$J2795/$J$5,NA())</f>
        <v/>
      </c>
      <c r="E2795" s="32">
        <f>IFERROR(IF(AND(ISNUMBER($A2795),N(IF(AND(AH!$U$12=1,2790+1=AH!$U$6),IF(AH!$U$4=0,"unavailable",INDEX('Market Data'!$AN$5:$AN$66,AH!$U$4)),IF(AH!$U$5=1,INDEX('Live History'!$B$5:$B$3004,$K2795),INDEX('AH History'!$D$5:$GG$1380,$K2795,AH!$U$10))))&gt;0),IF(AND(AH!$U$12=1,2790+1=AH!$U$6),IF(AH!$U$4=0,"unavailable",INDEX('Market Data'!$AN$5:$AN$66,AH!$U$4)),IF(AH!$U$5=1,INDEX('Live History'!$B$5:$B$3004,$K2795),INDEX('AH History'!$D$5:$GG$1380,$K2795,AH!$U$10))),NA()),NA())</f>
        <v/>
      </c>
      <c r="F2795" s="32">
        <f>IFERROR(IF(ISNUMBER($A2795),IF(AND(AH!$U$12=1,2790+1=AH!$U$6),IF(AH!$U$4=0,"unavailable",INDEX('Market Data'!$AO$5:$AO$66,AH!$U$4)),IF(AH!$U$5=1,INDEX('Live History'!$E$5:$E$3004,MATCH($A2795,'Live History'!$D$5:$D$3004,1)),INDEX('AH History'!$D$5:$GG$1380,$K2795,AH!$U$10+1))),NA()),NA())</f>
        <v/>
      </c>
      <c r="G2795" s="34">
        <f>IFERROR(IF(ISNUMBER($A2795),IF(AND(AH!$U$12=1,2790+1=AH!$U$6),IF(AH!$U$4=0,"unavailable",INDEX('Market Data'!$AK$5:$AK$66,AH!$U$4)),IF(AH!$U$5=1,INDEX('Live History'!$D$5:$D$3004,MATCH($A2795,'Live History'!$D$5:$D$3004,1)),INDEX('AH History'!$D$5:$GG$1380,$K2795,AH!$U$10+2))),NA()),NA())</f>
        <v/>
      </c>
      <c r="H2795" s="266">
        <f>IFERROR(IF(ISNUMBER($A2795),IF(AND(AH!$U$12=1,2790+1=AH!$U$6),IF(AH!$U$4=0,"unavailable",INDEX('Market Data'!$AP$5:$AP$66,AH!$U$4)),IF(AH!$U$5=1,INDEX('Live History'!$H$5:$H$3004,MATCH($A2795,'Live History'!$G$5:$G$3004,1)),INDEX('AH History'!$B$5:$B$1380,$K2795))),NA()),NA())</f>
        <v/>
      </c>
      <c r="I2795" s="34">
        <f>IFERROR(IF(ISNUMBER($A2795),IF(AND(AH!$U$12=1,2790+1=AH!$U$6),TODAY(),IF(AH!$U$5=1,INDEX('Live History'!$G$5:$G$3004,MATCH($A2795,'Live History'!$G$5:$G$3004,1)),INDEX('AH History'!$C$5:$C$1380,$K2795))),NA()),NA())</f>
        <v/>
      </c>
      <c r="J2795" s="32">
        <f>IFERROR(IF(AND($F2795&gt;0,$H2795&gt;0,$A2795-$G2795&lt;=10,$A2795-$I2795&lt;=5,$G2795&gt;0,$I2795&gt;0),$F2795*$H2795,NA()),NA())</f>
        <v/>
      </c>
      <c r="K2795" s="15">
        <f>IF($A2795="","",IF(AH!$U$5=1,IFERROR(MATCH($A2795,'Live History'!$A$5:$A$3004,0),0),AH!$U$7+2790))</f>
        <v/>
      </c>
      <c r="L2795" s="15">
        <f>IF(ISNUMBER(A2795),TEXT(A2795,"dd-mmm-yy"),"")</f>
        <v/>
      </c>
    </row>
    <row r="2796">
      <c r="A2796" s="14">
        <f>IF(OR(AH!$U$4=0,2791+1&gt;AH!$U$6,AND(AH!$M$5="Bloomberg",AH!$U$5=0)),"",IFERROR(IF(AND(AH!$U$12=1,2791+1=AH!$U$6),TODAY(),IF(AH!$U$5=1,INDEX('Live History'!$A$5:$A$3004,AH!$U$7+2791),INDEX('AH History'!$A$5:$A$1380,AH!$U$7+2791))),""))</f>
        <v/>
      </c>
      <c r="B2796" s="33">
        <f>IFERROR(IF(AH!$U$11=1,NA(),$J2796/$E2796-1),NA())</f>
        <v/>
      </c>
      <c r="C2796" s="269">
        <f>IFERROR(100*$E2796/$E$5,NA())</f>
        <v/>
      </c>
      <c r="D2796" s="269">
        <f>IFERROR(100*$J2796/$J$5,NA())</f>
        <v/>
      </c>
      <c r="E2796" s="32">
        <f>IFERROR(IF(AND(ISNUMBER($A2796),N(IF(AND(AH!$U$12=1,2791+1=AH!$U$6),IF(AH!$U$4=0,"unavailable",INDEX('Market Data'!$AN$5:$AN$66,AH!$U$4)),IF(AH!$U$5=1,INDEX('Live History'!$B$5:$B$3004,$K2796),INDEX('AH History'!$D$5:$GG$1380,$K2796,AH!$U$10))))&gt;0),IF(AND(AH!$U$12=1,2791+1=AH!$U$6),IF(AH!$U$4=0,"unavailable",INDEX('Market Data'!$AN$5:$AN$66,AH!$U$4)),IF(AH!$U$5=1,INDEX('Live History'!$B$5:$B$3004,$K2796),INDEX('AH History'!$D$5:$GG$1380,$K2796,AH!$U$10))),NA()),NA())</f>
        <v/>
      </c>
      <c r="F2796" s="32">
        <f>IFERROR(IF(ISNUMBER($A2796),IF(AND(AH!$U$12=1,2791+1=AH!$U$6),IF(AH!$U$4=0,"unavailable",INDEX('Market Data'!$AO$5:$AO$66,AH!$U$4)),IF(AH!$U$5=1,INDEX('Live History'!$E$5:$E$3004,MATCH($A2796,'Live History'!$D$5:$D$3004,1)),INDEX('AH History'!$D$5:$GG$1380,$K2796,AH!$U$10+1))),NA()),NA())</f>
        <v/>
      </c>
      <c r="G2796" s="34">
        <f>IFERROR(IF(ISNUMBER($A2796),IF(AND(AH!$U$12=1,2791+1=AH!$U$6),IF(AH!$U$4=0,"unavailable",INDEX('Market Data'!$AK$5:$AK$66,AH!$U$4)),IF(AH!$U$5=1,INDEX('Live History'!$D$5:$D$3004,MATCH($A2796,'Live History'!$D$5:$D$3004,1)),INDEX('AH History'!$D$5:$GG$1380,$K2796,AH!$U$10+2))),NA()),NA())</f>
        <v/>
      </c>
      <c r="H2796" s="266">
        <f>IFERROR(IF(ISNUMBER($A2796),IF(AND(AH!$U$12=1,2791+1=AH!$U$6),IF(AH!$U$4=0,"unavailable",INDEX('Market Data'!$AP$5:$AP$66,AH!$U$4)),IF(AH!$U$5=1,INDEX('Live History'!$H$5:$H$3004,MATCH($A2796,'Live History'!$G$5:$G$3004,1)),INDEX('AH History'!$B$5:$B$1380,$K2796))),NA()),NA())</f>
        <v/>
      </c>
      <c r="I2796" s="34">
        <f>IFERROR(IF(ISNUMBER($A2796),IF(AND(AH!$U$12=1,2791+1=AH!$U$6),TODAY(),IF(AH!$U$5=1,INDEX('Live History'!$G$5:$G$3004,MATCH($A2796,'Live History'!$G$5:$G$3004,1)),INDEX('AH History'!$C$5:$C$1380,$K2796))),NA()),NA())</f>
        <v/>
      </c>
      <c r="J2796" s="32">
        <f>IFERROR(IF(AND($F2796&gt;0,$H2796&gt;0,$A2796-$G2796&lt;=10,$A2796-$I2796&lt;=5,$G2796&gt;0,$I2796&gt;0),$F2796*$H2796,NA()),NA())</f>
        <v/>
      </c>
      <c r="K2796" s="15">
        <f>IF($A2796="","",IF(AH!$U$5=1,IFERROR(MATCH($A2796,'Live History'!$A$5:$A$3004,0),0),AH!$U$7+2791))</f>
        <v/>
      </c>
      <c r="L2796" s="15">
        <f>IF(ISNUMBER(A2796),TEXT(A2796,"dd-mmm-yy"),"")</f>
        <v/>
      </c>
    </row>
    <row r="2797">
      <c r="A2797" s="14">
        <f>IF(OR(AH!$U$4=0,2792+1&gt;AH!$U$6,AND(AH!$M$5="Bloomberg",AH!$U$5=0)),"",IFERROR(IF(AND(AH!$U$12=1,2792+1=AH!$U$6),TODAY(),IF(AH!$U$5=1,INDEX('Live History'!$A$5:$A$3004,AH!$U$7+2792),INDEX('AH History'!$A$5:$A$1380,AH!$U$7+2792))),""))</f>
        <v/>
      </c>
      <c r="B2797" s="33">
        <f>IFERROR(IF(AH!$U$11=1,NA(),$J2797/$E2797-1),NA())</f>
        <v/>
      </c>
      <c r="C2797" s="269">
        <f>IFERROR(100*$E2797/$E$5,NA())</f>
        <v/>
      </c>
      <c r="D2797" s="269">
        <f>IFERROR(100*$J2797/$J$5,NA())</f>
        <v/>
      </c>
      <c r="E2797" s="32">
        <f>IFERROR(IF(AND(ISNUMBER($A2797),N(IF(AND(AH!$U$12=1,2792+1=AH!$U$6),IF(AH!$U$4=0,"unavailable",INDEX('Market Data'!$AN$5:$AN$66,AH!$U$4)),IF(AH!$U$5=1,INDEX('Live History'!$B$5:$B$3004,$K2797),INDEX('AH History'!$D$5:$GG$1380,$K2797,AH!$U$10))))&gt;0),IF(AND(AH!$U$12=1,2792+1=AH!$U$6),IF(AH!$U$4=0,"unavailable",INDEX('Market Data'!$AN$5:$AN$66,AH!$U$4)),IF(AH!$U$5=1,INDEX('Live History'!$B$5:$B$3004,$K2797),INDEX('AH History'!$D$5:$GG$1380,$K2797,AH!$U$10))),NA()),NA())</f>
        <v/>
      </c>
      <c r="F2797" s="32">
        <f>IFERROR(IF(ISNUMBER($A2797),IF(AND(AH!$U$12=1,2792+1=AH!$U$6),IF(AH!$U$4=0,"unavailable",INDEX('Market Data'!$AO$5:$AO$66,AH!$U$4)),IF(AH!$U$5=1,INDEX('Live History'!$E$5:$E$3004,MATCH($A2797,'Live History'!$D$5:$D$3004,1)),INDEX('AH History'!$D$5:$GG$1380,$K2797,AH!$U$10+1))),NA()),NA())</f>
        <v/>
      </c>
      <c r="G2797" s="34">
        <f>IFERROR(IF(ISNUMBER($A2797),IF(AND(AH!$U$12=1,2792+1=AH!$U$6),IF(AH!$U$4=0,"unavailable",INDEX('Market Data'!$AK$5:$AK$66,AH!$U$4)),IF(AH!$U$5=1,INDEX('Live History'!$D$5:$D$3004,MATCH($A2797,'Live History'!$D$5:$D$3004,1)),INDEX('AH History'!$D$5:$GG$1380,$K2797,AH!$U$10+2))),NA()),NA())</f>
        <v/>
      </c>
      <c r="H2797" s="266">
        <f>IFERROR(IF(ISNUMBER($A2797),IF(AND(AH!$U$12=1,2792+1=AH!$U$6),IF(AH!$U$4=0,"unavailable",INDEX('Market Data'!$AP$5:$AP$66,AH!$U$4)),IF(AH!$U$5=1,INDEX('Live History'!$H$5:$H$3004,MATCH($A2797,'Live History'!$G$5:$G$3004,1)),INDEX('AH History'!$B$5:$B$1380,$K2797))),NA()),NA())</f>
        <v/>
      </c>
      <c r="I2797" s="34">
        <f>IFERROR(IF(ISNUMBER($A2797),IF(AND(AH!$U$12=1,2792+1=AH!$U$6),TODAY(),IF(AH!$U$5=1,INDEX('Live History'!$G$5:$G$3004,MATCH($A2797,'Live History'!$G$5:$G$3004,1)),INDEX('AH History'!$C$5:$C$1380,$K2797))),NA()),NA())</f>
        <v/>
      </c>
      <c r="J2797" s="32">
        <f>IFERROR(IF(AND($F2797&gt;0,$H2797&gt;0,$A2797-$G2797&lt;=10,$A2797-$I2797&lt;=5,$G2797&gt;0,$I2797&gt;0),$F2797*$H2797,NA()),NA())</f>
        <v/>
      </c>
      <c r="K2797" s="15">
        <f>IF($A2797="","",IF(AH!$U$5=1,IFERROR(MATCH($A2797,'Live History'!$A$5:$A$3004,0),0),AH!$U$7+2792))</f>
        <v/>
      </c>
      <c r="L2797" s="15">
        <f>IF(ISNUMBER(A2797),TEXT(A2797,"dd-mmm-yy"),"")</f>
        <v/>
      </c>
    </row>
    <row r="2798">
      <c r="A2798" s="14">
        <f>IF(OR(AH!$U$4=0,2793+1&gt;AH!$U$6,AND(AH!$M$5="Bloomberg",AH!$U$5=0)),"",IFERROR(IF(AND(AH!$U$12=1,2793+1=AH!$U$6),TODAY(),IF(AH!$U$5=1,INDEX('Live History'!$A$5:$A$3004,AH!$U$7+2793),INDEX('AH History'!$A$5:$A$1380,AH!$U$7+2793))),""))</f>
        <v/>
      </c>
      <c r="B2798" s="33">
        <f>IFERROR(IF(AH!$U$11=1,NA(),$J2798/$E2798-1),NA())</f>
        <v/>
      </c>
      <c r="C2798" s="269">
        <f>IFERROR(100*$E2798/$E$5,NA())</f>
        <v/>
      </c>
      <c r="D2798" s="269">
        <f>IFERROR(100*$J2798/$J$5,NA())</f>
        <v/>
      </c>
      <c r="E2798" s="32">
        <f>IFERROR(IF(AND(ISNUMBER($A2798),N(IF(AND(AH!$U$12=1,2793+1=AH!$U$6),IF(AH!$U$4=0,"unavailable",INDEX('Market Data'!$AN$5:$AN$66,AH!$U$4)),IF(AH!$U$5=1,INDEX('Live History'!$B$5:$B$3004,$K2798),INDEX('AH History'!$D$5:$GG$1380,$K2798,AH!$U$10))))&gt;0),IF(AND(AH!$U$12=1,2793+1=AH!$U$6),IF(AH!$U$4=0,"unavailable",INDEX('Market Data'!$AN$5:$AN$66,AH!$U$4)),IF(AH!$U$5=1,INDEX('Live History'!$B$5:$B$3004,$K2798),INDEX('AH History'!$D$5:$GG$1380,$K2798,AH!$U$10))),NA()),NA())</f>
        <v/>
      </c>
      <c r="F2798" s="32">
        <f>IFERROR(IF(ISNUMBER($A2798),IF(AND(AH!$U$12=1,2793+1=AH!$U$6),IF(AH!$U$4=0,"unavailable",INDEX('Market Data'!$AO$5:$AO$66,AH!$U$4)),IF(AH!$U$5=1,INDEX('Live History'!$E$5:$E$3004,MATCH($A2798,'Live History'!$D$5:$D$3004,1)),INDEX('AH History'!$D$5:$GG$1380,$K2798,AH!$U$10+1))),NA()),NA())</f>
        <v/>
      </c>
      <c r="G2798" s="34">
        <f>IFERROR(IF(ISNUMBER($A2798),IF(AND(AH!$U$12=1,2793+1=AH!$U$6),IF(AH!$U$4=0,"unavailable",INDEX('Market Data'!$AK$5:$AK$66,AH!$U$4)),IF(AH!$U$5=1,INDEX('Live History'!$D$5:$D$3004,MATCH($A2798,'Live History'!$D$5:$D$3004,1)),INDEX('AH History'!$D$5:$GG$1380,$K2798,AH!$U$10+2))),NA()),NA())</f>
        <v/>
      </c>
      <c r="H2798" s="266">
        <f>IFERROR(IF(ISNUMBER($A2798),IF(AND(AH!$U$12=1,2793+1=AH!$U$6),IF(AH!$U$4=0,"unavailable",INDEX('Market Data'!$AP$5:$AP$66,AH!$U$4)),IF(AH!$U$5=1,INDEX('Live History'!$H$5:$H$3004,MATCH($A2798,'Live History'!$G$5:$G$3004,1)),INDEX('AH History'!$B$5:$B$1380,$K2798))),NA()),NA())</f>
        <v/>
      </c>
      <c r="I2798" s="34">
        <f>IFERROR(IF(ISNUMBER($A2798),IF(AND(AH!$U$12=1,2793+1=AH!$U$6),TODAY(),IF(AH!$U$5=1,INDEX('Live History'!$G$5:$G$3004,MATCH($A2798,'Live History'!$G$5:$G$3004,1)),INDEX('AH History'!$C$5:$C$1380,$K2798))),NA()),NA())</f>
        <v/>
      </c>
      <c r="J2798" s="32">
        <f>IFERROR(IF(AND($F2798&gt;0,$H2798&gt;0,$A2798-$G2798&lt;=10,$A2798-$I2798&lt;=5,$G2798&gt;0,$I2798&gt;0),$F2798*$H2798,NA()),NA())</f>
        <v/>
      </c>
      <c r="K2798" s="15">
        <f>IF($A2798="","",IF(AH!$U$5=1,IFERROR(MATCH($A2798,'Live History'!$A$5:$A$3004,0),0),AH!$U$7+2793))</f>
        <v/>
      </c>
      <c r="L2798" s="15">
        <f>IF(ISNUMBER(A2798),TEXT(A2798,"dd-mmm-yy"),"")</f>
        <v/>
      </c>
    </row>
    <row r="2799">
      <c r="A2799" s="14">
        <f>IF(OR(AH!$U$4=0,2794+1&gt;AH!$U$6,AND(AH!$M$5="Bloomberg",AH!$U$5=0)),"",IFERROR(IF(AND(AH!$U$12=1,2794+1=AH!$U$6),TODAY(),IF(AH!$U$5=1,INDEX('Live History'!$A$5:$A$3004,AH!$U$7+2794),INDEX('AH History'!$A$5:$A$1380,AH!$U$7+2794))),""))</f>
        <v/>
      </c>
      <c r="B2799" s="33">
        <f>IFERROR(IF(AH!$U$11=1,NA(),$J2799/$E2799-1),NA())</f>
        <v/>
      </c>
      <c r="C2799" s="269">
        <f>IFERROR(100*$E2799/$E$5,NA())</f>
        <v/>
      </c>
      <c r="D2799" s="269">
        <f>IFERROR(100*$J2799/$J$5,NA())</f>
        <v/>
      </c>
      <c r="E2799" s="32">
        <f>IFERROR(IF(AND(ISNUMBER($A2799),N(IF(AND(AH!$U$12=1,2794+1=AH!$U$6),IF(AH!$U$4=0,"unavailable",INDEX('Market Data'!$AN$5:$AN$66,AH!$U$4)),IF(AH!$U$5=1,INDEX('Live History'!$B$5:$B$3004,$K2799),INDEX('AH History'!$D$5:$GG$1380,$K2799,AH!$U$10))))&gt;0),IF(AND(AH!$U$12=1,2794+1=AH!$U$6),IF(AH!$U$4=0,"unavailable",INDEX('Market Data'!$AN$5:$AN$66,AH!$U$4)),IF(AH!$U$5=1,INDEX('Live History'!$B$5:$B$3004,$K2799),INDEX('AH History'!$D$5:$GG$1380,$K2799,AH!$U$10))),NA()),NA())</f>
        <v/>
      </c>
      <c r="F2799" s="32">
        <f>IFERROR(IF(ISNUMBER($A2799),IF(AND(AH!$U$12=1,2794+1=AH!$U$6),IF(AH!$U$4=0,"unavailable",INDEX('Market Data'!$AO$5:$AO$66,AH!$U$4)),IF(AH!$U$5=1,INDEX('Live History'!$E$5:$E$3004,MATCH($A2799,'Live History'!$D$5:$D$3004,1)),INDEX('AH History'!$D$5:$GG$1380,$K2799,AH!$U$10+1))),NA()),NA())</f>
        <v/>
      </c>
      <c r="G2799" s="34">
        <f>IFERROR(IF(ISNUMBER($A2799),IF(AND(AH!$U$12=1,2794+1=AH!$U$6),IF(AH!$U$4=0,"unavailable",INDEX('Market Data'!$AK$5:$AK$66,AH!$U$4)),IF(AH!$U$5=1,INDEX('Live History'!$D$5:$D$3004,MATCH($A2799,'Live History'!$D$5:$D$3004,1)),INDEX('AH History'!$D$5:$GG$1380,$K2799,AH!$U$10+2))),NA()),NA())</f>
        <v/>
      </c>
      <c r="H2799" s="266">
        <f>IFERROR(IF(ISNUMBER($A2799),IF(AND(AH!$U$12=1,2794+1=AH!$U$6),IF(AH!$U$4=0,"unavailable",INDEX('Market Data'!$AP$5:$AP$66,AH!$U$4)),IF(AH!$U$5=1,INDEX('Live History'!$H$5:$H$3004,MATCH($A2799,'Live History'!$G$5:$G$3004,1)),INDEX('AH History'!$B$5:$B$1380,$K2799))),NA()),NA())</f>
        <v/>
      </c>
      <c r="I2799" s="34">
        <f>IFERROR(IF(ISNUMBER($A2799),IF(AND(AH!$U$12=1,2794+1=AH!$U$6),TODAY(),IF(AH!$U$5=1,INDEX('Live History'!$G$5:$G$3004,MATCH($A2799,'Live History'!$G$5:$G$3004,1)),INDEX('AH History'!$C$5:$C$1380,$K2799))),NA()),NA())</f>
        <v/>
      </c>
      <c r="J2799" s="32">
        <f>IFERROR(IF(AND($F2799&gt;0,$H2799&gt;0,$A2799-$G2799&lt;=10,$A2799-$I2799&lt;=5,$G2799&gt;0,$I2799&gt;0),$F2799*$H2799,NA()),NA())</f>
        <v/>
      </c>
      <c r="K2799" s="15">
        <f>IF($A2799="","",IF(AH!$U$5=1,IFERROR(MATCH($A2799,'Live History'!$A$5:$A$3004,0),0),AH!$U$7+2794))</f>
        <v/>
      </c>
      <c r="L2799" s="15">
        <f>IF(ISNUMBER(A2799),TEXT(A2799,"dd-mmm-yy"),"")</f>
        <v/>
      </c>
    </row>
    <row r="2800">
      <c r="A2800" s="14">
        <f>IF(OR(AH!$U$4=0,2795+1&gt;AH!$U$6,AND(AH!$M$5="Bloomberg",AH!$U$5=0)),"",IFERROR(IF(AND(AH!$U$12=1,2795+1=AH!$U$6),TODAY(),IF(AH!$U$5=1,INDEX('Live History'!$A$5:$A$3004,AH!$U$7+2795),INDEX('AH History'!$A$5:$A$1380,AH!$U$7+2795))),""))</f>
        <v/>
      </c>
      <c r="B2800" s="33">
        <f>IFERROR(IF(AH!$U$11=1,NA(),$J2800/$E2800-1),NA())</f>
        <v/>
      </c>
      <c r="C2800" s="269">
        <f>IFERROR(100*$E2800/$E$5,NA())</f>
        <v/>
      </c>
      <c r="D2800" s="269">
        <f>IFERROR(100*$J2800/$J$5,NA())</f>
        <v/>
      </c>
      <c r="E2800" s="32">
        <f>IFERROR(IF(AND(ISNUMBER($A2800),N(IF(AND(AH!$U$12=1,2795+1=AH!$U$6),IF(AH!$U$4=0,"unavailable",INDEX('Market Data'!$AN$5:$AN$66,AH!$U$4)),IF(AH!$U$5=1,INDEX('Live History'!$B$5:$B$3004,$K2800),INDEX('AH History'!$D$5:$GG$1380,$K2800,AH!$U$10))))&gt;0),IF(AND(AH!$U$12=1,2795+1=AH!$U$6),IF(AH!$U$4=0,"unavailable",INDEX('Market Data'!$AN$5:$AN$66,AH!$U$4)),IF(AH!$U$5=1,INDEX('Live History'!$B$5:$B$3004,$K2800),INDEX('AH History'!$D$5:$GG$1380,$K2800,AH!$U$10))),NA()),NA())</f>
        <v/>
      </c>
      <c r="F2800" s="32">
        <f>IFERROR(IF(ISNUMBER($A2800),IF(AND(AH!$U$12=1,2795+1=AH!$U$6),IF(AH!$U$4=0,"unavailable",INDEX('Market Data'!$AO$5:$AO$66,AH!$U$4)),IF(AH!$U$5=1,INDEX('Live History'!$E$5:$E$3004,MATCH($A2800,'Live History'!$D$5:$D$3004,1)),INDEX('AH History'!$D$5:$GG$1380,$K2800,AH!$U$10+1))),NA()),NA())</f>
        <v/>
      </c>
      <c r="G2800" s="34">
        <f>IFERROR(IF(ISNUMBER($A2800),IF(AND(AH!$U$12=1,2795+1=AH!$U$6),IF(AH!$U$4=0,"unavailable",INDEX('Market Data'!$AK$5:$AK$66,AH!$U$4)),IF(AH!$U$5=1,INDEX('Live History'!$D$5:$D$3004,MATCH($A2800,'Live History'!$D$5:$D$3004,1)),INDEX('AH History'!$D$5:$GG$1380,$K2800,AH!$U$10+2))),NA()),NA())</f>
        <v/>
      </c>
      <c r="H2800" s="266">
        <f>IFERROR(IF(ISNUMBER($A2800),IF(AND(AH!$U$12=1,2795+1=AH!$U$6),IF(AH!$U$4=0,"unavailable",INDEX('Market Data'!$AP$5:$AP$66,AH!$U$4)),IF(AH!$U$5=1,INDEX('Live History'!$H$5:$H$3004,MATCH($A2800,'Live History'!$G$5:$G$3004,1)),INDEX('AH History'!$B$5:$B$1380,$K2800))),NA()),NA())</f>
        <v/>
      </c>
      <c r="I2800" s="34">
        <f>IFERROR(IF(ISNUMBER($A2800),IF(AND(AH!$U$12=1,2795+1=AH!$U$6),TODAY(),IF(AH!$U$5=1,INDEX('Live History'!$G$5:$G$3004,MATCH($A2800,'Live History'!$G$5:$G$3004,1)),INDEX('AH History'!$C$5:$C$1380,$K2800))),NA()),NA())</f>
        <v/>
      </c>
      <c r="J2800" s="32">
        <f>IFERROR(IF(AND($F2800&gt;0,$H2800&gt;0,$A2800-$G2800&lt;=10,$A2800-$I2800&lt;=5,$G2800&gt;0,$I2800&gt;0),$F2800*$H2800,NA()),NA())</f>
        <v/>
      </c>
      <c r="K2800" s="15">
        <f>IF($A2800="","",IF(AH!$U$5=1,IFERROR(MATCH($A2800,'Live History'!$A$5:$A$3004,0),0),AH!$U$7+2795))</f>
        <v/>
      </c>
      <c r="L2800" s="15">
        <f>IF(ISNUMBER(A2800),TEXT(A2800,"dd-mmm-yy"),"")</f>
        <v/>
      </c>
    </row>
    <row r="2801">
      <c r="A2801" s="14">
        <f>IF(OR(AH!$U$4=0,2796+1&gt;AH!$U$6,AND(AH!$M$5="Bloomberg",AH!$U$5=0)),"",IFERROR(IF(AND(AH!$U$12=1,2796+1=AH!$U$6),TODAY(),IF(AH!$U$5=1,INDEX('Live History'!$A$5:$A$3004,AH!$U$7+2796),INDEX('AH History'!$A$5:$A$1380,AH!$U$7+2796))),""))</f>
        <v/>
      </c>
      <c r="B2801" s="33">
        <f>IFERROR(IF(AH!$U$11=1,NA(),$J2801/$E2801-1),NA())</f>
        <v/>
      </c>
      <c r="C2801" s="269">
        <f>IFERROR(100*$E2801/$E$5,NA())</f>
        <v/>
      </c>
      <c r="D2801" s="269">
        <f>IFERROR(100*$J2801/$J$5,NA())</f>
        <v/>
      </c>
      <c r="E2801" s="32">
        <f>IFERROR(IF(AND(ISNUMBER($A2801),N(IF(AND(AH!$U$12=1,2796+1=AH!$U$6),IF(AH!$U$4=0,"unavailable",INDEX('Market Data'!$AN$5:$AN$66,AH!$U$4)),IF(AH!$U$5=1,INDEX('Live History'!$B$5:$B$3004,$K2801),INDEX('AH History'!$D$5:$GG$1380,$K2801,AH!$U$10))))&gt;0),IF(AND(AH!$U$12=1,2796+1=AH!$U$6),IF(AH!$U$4=0,"unavailable",INDEX('Market Data'!$AN$5:$AN$66,AH!$U$4)),IF(AH!$U$5=1,INDEX('Live History'!$B$5:$B$3004,$K2801),INDEX('AH History'!$D$5:$GG$1380,$K2801,AH!$U$10))),NA()),NA())</f>
        <v/>
      </c>
      <c r="F2801" s="32">
        <f>IFERROR(IF(ISNUMBER($A2801),IF(AND(AH!$U$12=1,2796+1=AH!$U$6),IF(AH!$U$4=0,"unavailable",INDEX('Market Data'!$AO$5:$AO$66,AH!$U$4)),IF(AH!$U$5=1,INDEX('Live History'!$E$5:$E$3004,MATCH($A2801,'Live History'!$D$5:$D$3004,1)),INDEX('AH History'!$D$5:$GG$1380,$K2801,AH!$U$10+1))),NA()),NA())</f>
        <v/>
      </c>
      <c r="G2801" s="34">
        <f>IFERROR(IF(ISNUMBER($A2801),IF(AND(AH!$U$12=1,2796+1=AH!$U$6),IF(AH!$U$4=0,"unavailable",INDEX('Market Data'!$AK$5:$AK$66,AH!$U$4)),IF(AH!$U$5=1,INDEX('Live History'!$D$5:$D$3004,MATCH($A2801,'Live History'!$D$5:$D$3004,1)),INDEX('AH History'!$D$5:$GG$1380,$K2801,AH!$U$10+2))),NA()),NA())</f>
        <v/>
      </c>
      <c r="H2801" s="266">
        <f>IFERROR(IF(ISNUMBER($A2801),IF(AND(AH!$U$12=1,2796+1=AH!$U$6),IF(AH!$U$4=0,"unavailable",INDEX('Market Data'!$AP$5:$AP$66,AH!$U$4)),IF(AH!$U$5=1,INDEX('Live History'!$H$5:$H$3004,MATCH($A2801,'Live History'!$G$5:$G$3004,1)),INDEX('AH History'!$B$5:$B$1380,$K2801))),NA()),NA())</f>
        <v/>
      </c>
      <c r="I2801" s="34">
        <f>IFERROR(IF(ISNUMBER($A2801),IF(AND(AH!$U$12=1,2796+1=AH!$U$6),TODAY(),IF(AH!$U$5=1,INDEX('Live History'!$G$5:$G$3004,MATCH($A2801,'Live History'!$G$5:$G$3004,1)),INDEX('AH History'!$C$5:$C$1380,$K2801))),NA()),NA())</f>
        <v/>
      </c>
      <c r="J2801" s="32">
        <f>IFERROR(IF(AND($F2801&gt;0,$H2801&gt;0,$A2801-$G2801&lt;=10,$A2801-$I2801&lt;=5,$G2801&gt;0,$I2801&gt;0),$F2801*$H2801,NA()),NA())</f>
        <v/>
      </c>
      <c r="K2801" s="15">
        <f>IF($A2801="","",IF(AH!$U$5=1,IFERROR(MATCH($A2801,'Live History'!$A$5:$A$3004,0),0),AH!$U$7+2796))</f>
        <v/>
      </c>
      <c r="L2801" s="15">
        <f>IF(ISNUMBER(A2801),TEXT(A2801,"dd-mmm-yy"),"")</f>
        <v/>
      </c>
    </row>
    <row r="2802">
      <c r="A2802" s="14">
        <f>IF(OR(AH!$U$4=0,2797+1&gt;AH!$U$6,AND(AH!$M$5="Bloomberg",AH!$U$5=0)),"",IFERROR(IF(AND(AH!$U$12=1,2797+1=AH!$U$6),TODAY(),IF(AH!$U$5=1,INDEX('Live History'!$A$5:$A$3004,AH!$U$7+2797),INDEX('AH History'!$A$5:$A$1380,AH!$U$7+2797))),""))</f>
        <v/>
      </c>
      <c r="B2802" s="33">
        <f>IFERROR(IF(AH!$U$11=1,NA(),$J2802/$E2802-1),NA())</f>
        <v/>
      </c>
      <c r="C2802" s="269">
        <f>IFERROR(100*$E2802/$E$5,NA())</f>
        <v/>
      </c>
      <c r="D2802" s="269">
        <f>IFERROR(100*$J2802/$J$5,NA())</f>
        <v/>
      </c>
      <c r="E2802" s="32">
        <f>IFERROR(IF(AND(ISNUMBER($A2802),N(IF(AND(AH!$U$12=1,2797+1=AH!$U$6),IF(AH!$U$4=0,"unavailable",INDEX('Market Data'!$AN$5:$AN$66,AH!$U$4)),IF(AH!$U$5=1,INDEX('Live History'!$B$5:$B$3004,$K2802),INDEX('AH History'!$D$5:$GG$1380,$K2802,AH!$U$10))))&gt;0),IF(AND(AH!$U$12=1,2797+1=AH!$U$6),IF(AH!$U$4=0,"unavailable",INDEX('Market Data'!$AN$5:$AN$66,AH!$U$4)),IF(AH!$U$5=1,INDEX('Live History'!$B$5:$B$3004,$K2802),INDEX('AH History'!$D$5:$GG$1380,$K2802,AH!$U$10))),NA()),NA())</f>
        <v/>
      </c>
      <c r="F2802" s="32">
        <f>IFERROR(IF(ISNUMBER($A2802),IF(AND(AH!$U$12=1,2797+1=AH!$U$6),IF(AH!$U$4=0,"unavailable",INDEX('Market Data'!$AO$5:$AO$66,AH!$U$4)),IF(AH!$U$5=1,INDEX('Live History'!$E$5:$E$3004,MATCH($A2802,'Live History'!$D$5:$D$3004,1)),INDEX('AH History'!$D$5:$GG$1380,$K2802,AH!$U$10+1))),NA()),NA())</f>
        <v/>
      </c>
      <c r="G2802" s="34">
        <f>IFERROR(IF(ISNUMBER($A2802),IF(AND(AH!$U$12=1,2797+1=AH!$U$6),IF(AH!$U$4=0,"unavailable",INDEX('Market Data'!$AK$5:$AK$66,AH!$U$4)),IF(AH!$U$5=1,INDEX('Live History'!$D$5:$D$3004,MATCH($A2802,'Live History'!$D$5:$D$3004,1)),INDEX('AH History'!$D$5:$GG$1380,$K2802,AH!$U$10+2))),NA()),NA())</f>
        <v/>
      </c>
      <c r="H2802" s="266">
        <f>IFERROR(IF(ISNUMBER($A2802),IF(AND(AH!$U$12=1,2797+1=AH!$U$6),IF(AH!$U$4=0,"unavailable",INDEX('Market Data'!$AP$5:$AP$66,AH!$U$4)),IF(AH!$U$5=1,INDEX('Live History'!$H$5:$H$3004,MATCH($A2802,'Live History'!$G$5:$G$3004,1)),INDEX('AH History'!$B$5:$B$1380,$K2802))),NA()),NA())</f>
        <v/>
      </c>
      <c r="I2802" s="34">
        <f>IFERROR(IF(ISNUMBER($A2802),IF(AND(AH!$U$12=1,2797+1=AH!$U$6),TODAY(),IF(AH!$U$5=1,INDEX('Live History'!$G$5:$G$3004,MATCH($A2802,'Live History'!$G$5:$G$3004,1)),INDEX('AH History'!$C$5:$C$1380,$K2802))),NA()),NA())</f>
        <v/>
      </c>
      <c r="J2802" s="32">
        <f>IFERROR(IF(AND($F2802&gt;0,$H2802&gt;0,$A2802-$G2802&lt;=10,$A2802-$I2802&lt;=5,$G2802&gt;0,$I2802&gt;0),$F2802*$H2802,NA()),NA())</f>
        <v/>
      </c>
      <c r="K2802" s="15">
        <f>IF($A2802="","",IF(AH!$U$5=1,IFERROR(MATCH($A2802,'Live History'!$A$5:$A$3004,0),0),AH!$U$7+2797))</f>
        <v/>
      </c>
      <c r="L2802" s="15">
        <f>IF(ISNUMBER(A2802),TEXT(A2802,"dd-mmm-yy"),"")</f>
        <v/>
      </c>
    </row>
    <row r="2803">
      <c r="A2803" s="14">
        <f>IF(OR(AH!$U$4=0,2798+1&gt;AH!$U$6,AND(AH!$M$5="Bloomberg",AH!$U$5=0)),"",IFERROR(IF(AND(AH!$U$12=1,2798+1=AH!$U$6),TODAY(),IF(AH!$U$5=1,INDEX('Live History'!$A$5:$A$3004,AH!$U$7+2798),INDEX('AH History'!$A$5:$A$1380,AH!$U$7+2798))),""))</f>
        <v/>
      </c>
      <c r="B2803" s="33">
        <f>IFERROR(IF(AH!$U$11=1,NA(),$J2803/$E2803-1),NA())</f>
        <v/>
      </c>
      <c r="C2803" s="269">
        <f>IFERROR(100*$E2803/$E$5,NA())</f>
        <v/>
      </c>
      <c r="D2803" s="269">
        <f>IFERROR(100*$J2803/$J$5,NA())</f>
        <v/>
      </c>
      <c r="E2803" s="32">
        <f>IFERROR(IF(AND(ISNUMBER($A2803),N(IF(AND(AH!$U$12=1,2798+1=AH!$U$6),IF(AH!$U$4=0,"unavailable",INDEX('Market Data'!$AN$5:$AN$66,AH!$U$4)),IF(AH!$U$5=1,INDEX('Live History'!$B$5:$B$3004,$K2803),INDEX('AH History'!$D$5:$GG$1380,$K2803,AH!$U$10))))&gt;0),IF(AND(AH!$U$12=1,2798+1=AH!$U$6),IF(AH!$U$4=0,"unavailable",INDEX('Market Data'!$AN$5:$AN$66,AH!$U$4)),IF(AH!$U$5=1,INDEX('Live History'!$B$5:$B$3004,$K2803),INDEX('AH History'!$D$5:$GG$1380,$K2803,AH!$U$10))),NA()),NA())</f>
        <v/>
      </c>
      <c r="F2803" s="32">
        <f>IFERROR(IF(ISNUMBER($A2803),IF(AND(AH!$U$12=1,2798+1=AH!$U$6),IF(AH!$U$4=0,"unavailable",INDEX('Market Data'!$AO$5:$AO$66,AH!$U$4)),IF(AH!$U$5=1,INDEX('Live History'!$E$5:$E$3004,MATCH($A2803,'Live History'!$D$5:$D$3004,1)),INDEX('AH History'!$D$5:$GG$1380,$K2803,AH!$U$10+1))),NA()),NA())</f>
        <v/>
      </c>
      <c r="G2803" s="34">
        <f>IFERROR(IF(ISNUMBER($A2803),IF(AND(AH!$U$12=1,2798+1=AH!$U$6),IF(AH!$U$4=0,"unavailable",INDEX('Market Data'!$AK$5:$AK$66,AH!$U$4)),IF(AH!$U$5=1,INDEX('Live History'!$D$5:$D$3004,MATCH($A2803,'Live History'!$D$5:$D$3004,1)),INDEX('AH History'!$D$5:$GG$1380,$K2803,AH!$U$10+2))),NA()),NA())</f>
        <v/>
      </c>
      <c r="H2803" s="266">
        <f>IFERROR(IF(ISNUMBER($A2803),IF(AND(AH!$U$12=1,2798+1=AH!$U$6),IF(AH!$U$4=0,"unavailable",INDEX('Market Data'!$AP$5:$AP$66,AH!$U$4)),IF(AH!$U$5=1,INDEX('Live History'!$H$5:$H$3004,MATCH($A2803,'Live History'!$G$5:$G$3004,1)),INDEX('AH History'!$B$5:$B$1380,$K2803))),NA()),NA())</f>
        <v/>
      </c>
      <c r="I2803" s="34">
        <f>IFERROR(IF(ISNUMBER($A2803),IF(AND(AH!$U$12=1,2798+1=AH!$U$6),TODAY(),IF(AH!$U$5=1,INDEX('Live History'!$G$5:$G$3004,MATCH($A2803,'Live History'!$G$5:$G$3004,1)),INDEX('AH History'!$C$5:$C$1380,$K2803))),NA()),NA())</f>
        <v/>
      </c>
      <c r="J2803" s="32">
        <f>IFERROR(IF(AND($F2803&gt;0,$H2803&gt;0,$A2803-$G2803&lt;=10,$A2803-$I2803&lt;=5,$G2803&gt;0,$I2803&gt;0),$F2803*$H2803,NA()),NA())</f>
        <v/>
      </c>
      <c r="K2803" s="15">
        <f>IF($A2803="","",IF(AH!$U$5=1,IFERROR(MATCH($A2803,'Live History'!$A$5:$A$3004,0),0),AH!$U$7+2798))</f>
        <v/>
      </c>
      <c r="L2803" s="15">
        <f>IF(ISNUMBER(A2803),TEXT(A2803,"dd-mmm-yy"),"")</f>
        <v/>
      </c>
    </row>
    <row r="2804">
      <c r="A2804" s="14">
        <f>IF(OR(AH!$U$4=0,2799+1&gt;AH!$U$6,AND(AH!$M$5="Bloomberg",AH!$U$5=0)),"",IFERROR(IF(AND(AH!$U$12=1,2799+1=AH!$U$6),TODAY(),IF(AH!$U$5=1,INDEX('Live History'!$A$5:$A$3004,AH!$U$7+2799),INDEX('AH History'!$A$5:$A$1380,AH!$U$7+2799))),""))</f>
        <v/>
      </c>
      <c r="B2804" s="33">
        <f>IFERROR(IF(AH!$U$11=1,NA(),$J2804/$E2804-1),NA())</f>
        <v/>
      </c>
      <c r="C2804" s="269">
        <f>IFERROR(100*$E2804/$E$5,NA())</f>
        <v/>
      </c>
      <c r="D2804" s="269">
        <f>IFERROR(100*$J2804/$J$5,NA())</f>
        <v/>
      </c>
      <c r="E2804" s="32">
        <f>IFERROR(IF(AND(ISNUMBER($A2804),N(IF(AND(AH!$U$12=1,2799+1=AH!$U$6),IF(AH!$U$4=0,"unavailable",INDEX('Market Data'!$AN$5:$AN$66,AH!$U$4)),IF(AH!$U$5=1,INDEX('Live History'!$B$5:$B$3004,$K2804),INDEX('AH History'!$D$5:$GG$1380,$K2804,AH!$U$10))))&gt;0),IF(AND(AH!$U$12=1,2799+1=AH!$U$6),IF(AH!$U$4=0,"unavailable",INDEX('Market Data'!$AN$5:$AN$66,AH!$U$4)),IF(AH!$U$5=1,INDEX('Live History'!$B$5:$B$3004,$K2804),INDEX('AH History'!$D$5:$GG$1380,$K2804,AH!$U$10))),NA()),NA())</f>
        <v/>
      </c>
      <c r="F2804" s="32">
        <f>IFERROR(IF(ISNUMBER($A2804),IF(AND(AH!$U$12=1,2799+1=AH!$U$6),IF(AH!$U$4=0,"unavailable",INDEX('Market Data'!$AO$5:$AO$66,AH!$U$4)),IF(AH!$U$5=1,INDEX('Live History'!$E$5:$E$3004,MATCH($A2804,'Live History'!$D$5:$D$3004,1)),INDEX('AH History'!$D$5:$GG$1380,$K2804,AH!$U$10+1))),NA()),NA())</f>
        <v/>
      </c>
      <c r="G2804" s="34">
        <f>IFERROR(IF(ISNUMBER($A2804),IF(AND(AH!$U$12=1,2799+1=AH!$U$6),IF(AH!$U$4=0,"unavailable",INDEX('Market Data'!$AK$5:$AK$66,AH!$U$4)),IF(AH!$U$5=1,INDEX('Live History'!$D$5:$D$3004,MATCH($A2804,'Live History'!$D$5:$D$3004,1)),INDEX('AH History'!$D$5:$GG$1380,$K2804,AH!$U$10+2))),NA()),NA())</f>
        <v/>
      </c>
      <c r="H2804" s="266">
        <f>IFERROR(IF(ISNUMBER($A2804),IF(AND(AH!$U$12=1,2799+1=AH!$U$6),IF(AH!$U$4=0,"unavailable",INDEX('Market Data'!$AP$5:$AP$66,AH!$U$4)),IF(AH!$U$5=1,INDEX('Live History'!$H$5:$H$3004,MATCH($A2804,'Live History'!$G$5:$G$3004,1)),INDEX('AH History'!$B$5:$B$1380,$K2804))),NA()),NA())</f>
        <v/>
      </c>
      <c r="I2804" s="34">
        <f>IFERROR(IF(ISNUMBER($A2804),IF(AND(AH!$U$12=1,2799+1=AH!$U$6),TODAY(),IF(AH!$U$5=1,INDEX('Live History'!$G$5:$G$3004,MATCH($A2804,'Live History'!$G$5:$G$3004,1)),INDEX('AH History'!$C$5:$C$1380,$K2804))),NA()),NA())</f>
        <v/>
      </c>
      <c r="J2804" s="32">
        <f>IFERROR(IF(AND($F2804&gt;0,$H2804&gt;0,$A2804-$G2804&lt;=10,$A2804-$I2804&lt;=5,$G2804&gt;0,$I2804&gt;0),$F2804*$H2804,NA()),NA())</f>
        <v/>
      </c>
      <c r="K2804" s="15">
        <f>IF($A2804="","",IF(AH!$U$5=1,IFERROR(MATCH($A2804,'Live History'!$A$5:$A$3004,0),0),AH!$U$7+2799))</f>
        <v/>
      </c>
      <c r="L2804" s="15">
        <f>IF(ISNUMBER(A2804),TEXT(A2804,"dd-mmm-yy"),"")</f>
        <v/>
      </c>
    </row>
    <row r="2805">
      <c r="A2805" s="14">
        <f>IF(OR(AH!$U$4=0,2800+1&gt;AH!$U$6,AND(AH!$M$5="Bloomberg",AH!$U$5=0)),"",IFERROR(IF(AND(AH!$U$12=1,2800+1=AH!$U$6),TODAY(),IF(AH!$U$5=1,INDEX('Live History'!$A$5:$A$3004,AH!$U$7+2800),INDEX('AH History'!$A$5:$A$1380,AH!$U$7+2800))),""))</f>
        <v/>
      </c>
      <c r="B2805" s="33">
        <f>IFERROR(IF(AH!$U$11=1,NA(),$J2805/$E2805-1),NA())</f>
        <v/>
      </c>
      <c r="C2805" s="269">
        <f>IFERROR(100*$E2805/$E$5,NA())</f>
        <v/>
      </c>
      <c r="D2805" s="269">
        <f>IFERROR(100*$J2805/$J$5,NA())</f>
        <v/>
      </c>
      <c r="E2805" s="32">
        <f>IFERROR(IF(AND(ISNUMBER($A2805),N(IF(AND(AH!$U$12=1,2800+1=AH!$U$6),IF(AH!$U$4=0,"unavailable",INDEX('Market Data'!$AN$5:$AN$66,AH!$U$4)),IF(AH!$U$5=1,INDEX('Live History'!$B$5:$B$3004,$K2805),INDEX('AH History'!$D$5:$GG$1380,$K2805,AH!$U$10))))&gt;0),IF(AND(AH!$U$12=1,2800+1=AH!$U$6),IF(AH!$U$4=0,"unavailable",INDEX('Market Data'!$AN$5:$AN$66,AH!$U$4)),IF(AH!$U$5=1,INDEX('Live History'!$B$5:$B$3004,$K2805),INDEX('AH History'!$D$5:$GG$1380,$K2805,AH!$U$10))),NA()),NA())</f>
        <v/>
      </c>
      <c r="F2805" s="32">
        <f>IFERROR(IF(ISNUMBER($A2805),IF(AND(AH!$U$12=1,2800+1=AH!$U$6),IF(AH!$U$4=0,"unavailable",INDEX('Market Data'!$AO$5:$AO$66,AH!$U$4)),IF(AH!$U$5=1,INDEX('Live History'!$E$5:$E$3004,MATCH($A2805,'Live History'!$D$5:$D$3004,1)),INDEX('AH History'!$D$5:$GG$1380,$K2805,AH!$U$10+1))),NA()),NA())</f>
        <v/>
      </c>
      <c r="G2805" s="34">
        <f>IFERROR(IF(ISNUMBER($A2805),IF(AND(AH!$U$12=1,2800+1=AH!$U$6),IF(AH!$U$4=0,"unavailable",INDEX('Market Data'!$AK$5:$AK$66,AH!$U$4)),IF(AH!$U$5=1,INDEX('Live History'!$D$5:$D$3004,MATCH($A2805,'Live History'!$D$5:$D$3004,1)),INDEX('AH History'!$D$5:$GG$1380,$K2805,AH!$U$10+2))),NA()),NA())</f>
        <v/>
      </c>
      <c r="H2805" s="266">
        <f>IFERROR(IF(ISNUMBER($A2805),IF(AND(AH!$U$12=1,2800+1=AH!$U$6),IF(AH!$U$4=0,"unavailable",INDEX('Market Data'!$AP$5:$AP$66,AH!$U$4)),IF(AH!$U$5=1,INDEX('Live History'!$H$5:$H$3004,MATCH($A2805,'Live History'!$G$5:$G$3004,1)),INDEX('AH History'!$B$5:$B$1380,$K2805))),NA()),NA())</f>
        <v/>
      </c>
      <c r="I2805" s="34">
        <f>IFERROR(IF(ISNUMBER($A2805),IF(AND(AH!$U$12=1,2800+1=AH!$U$6),TODAY(),IF(AH!$U$5=1,INDEX('Live History'!$G$5:$G$3004,MATCH($A2805,'Live History'!$G$5:$G$3004,1)),INDEX('AH History'!$C$5:$C$1380,$K2805))),NA()),NA())</f>
        <v/>
      </c>
      <c r="J2805" s="32">
        <f>IFERROR(IF(AND($F2805&gt;0,$H2805&gt;0,$A2805-$G2805&lt;=10,$A2805-$I2805&lt;=5,$G2805&gt;0,$I2805&gt;0),$F2805*$H2805,NA()),NA())</f>
        <v/>
      </c>
      <c r="K2805" s="15">
        <f>IF($A2805="","",IF(AH!$U$5=1,IFERROR(MATCH($A2805,'Live History'!$A$5:$A$3004,0),0),AH!$U$7+2800))</f>
        <v/>
      </c>
      <c r="L2805" s="15">
        <f>IF(ISNUMBER(A2805),TEXT(A2805,"dd-mmm-yy"),"")</f>
        <v/>
      </c>
    </row>
    <row r="2806">
      <c r="A2806" s="14">
        <f>IF(OR(AH!$U$4=0,2801+1&gt;AH!$U$6,AND(AH!$M$5="Bloomberg",AH!$U$5=0)),"",IFERROR(IF(AND(AH!$U$12=1,2801+1=AH!$U$6),TODAY(),IF(AH!$U$5=1,INDEX('Live History'!$A$5:$A$3004,AH!$U$7+2801),INDEX('AH History'!$A$5:$A$1380,AH!$U$7+2801))),""))</f>
        <v/>
      </c>
      <c r="B2806" s="33">
        <f>IFERROR(IF(AH!$U$11=1,NA(),$J2806/$E2806-1),NA())</f>
        <v/>
      </c>
      <c r="C2806" s="269">
        <f>IFERROR(100*$E2806/$E$5,NA())</f>
        <v/>
      </c>
      <c r="D2806" s="269">
        <f>IFERROR(100*$J2806/$J$5,NA())</f>
        <v/>
      </c>
      <c r="E2806" s="32">
        <f>IFERROR(IF(AND(ISNUMBER($A2806),N(IF(AND(AH!$U$12=1,2801+1=AH!$U$6),IF(AH!$U$4=0,"unavailable",INDEX('Market Data'!$AN$5:$AN$66,AH!$U$4)),IF(AH!$U$5=1,INDEX('Live History'!$B$5:$B$3004,$K2806),INDEX('AH History'!$D$5:$GG$1380,$K2806,AH!$U$10))))&gt;0),IF(AND(AH!$U$12=1,2801+1=AH!$U$6),IF(AH!$U$4=0,"unavailable",INDEX('Market Data'!$AN$5:$AN$66,AH!$U$4)),IF(AH!$U$5=1,INDEX('Live History'!$B$5:$B$3004,$K2806),INDEX('AH History'!$D$5:$GG$1380,$K2806,AH!$U$10))),NA()),NA())</f>
        <v/>
      </c>
      <c r="F2806" s="32">
        <f>IFERROR(IF(ISNUMBER($A2806),IF(AND(AH!$U$12=1,2801+1=AH!$U$6),IF(AH!$U$4=0,"unavailable",INDEX('Market Data'!$AO$5:$AO$66,AH!$U$4)),IF(AH!$U$5=1,INDEX('Live History'!$E$5:$E$3004,MATCH($A2806,'Live History'!$D$5:$D$3004,1)),INDEX('AH History'!$D$5:$GG$1380,$K2806,AH!$U$10+1))),NA()),NA())</f>
        <v/>
      </c>
      <c r="G2806" s="34">
        <f>IFERROR(IF(ISNUMBER($A2806),IF(AND(AH!$U$12=1,2801+1=AH!$U$6),IF(AH!$U$4=0,"unavailable",INDEX('Market Data'!$AK$5:$AK$66,AH!$U$4)),IF(AH!$U$5=1,INDEX('Live History'!$D$5:$D$3004,MATCH($A2806,'Live History'!$D$5:$D$3004,1)),INDEX('AH History'!$D$5:$GG$1380,$K2806,AH!$U$10+2))),NA()),NA())</f>
        <v/>
      </c>
      <c r="H2806" s="266">
        <f>IFERROR(IF(ISNUMBER($A2806),IF(AND(AH!$U$12=1,2801+1=AH!$U$6),IF(AH!$U$4=0,"unavailable",INDEX('Market Data'!$AP$5:$AP$66,AH!$U$4)),IF(AH!$U$5=1,INDEX('Live History'!$H$5:$H$3004,MATCH($A2806,'Live History'!$G$5:$G$3004,1)),INDEX('AH History'!$B$5:$B$1380,$K2806))),NA()),NA())</f>
        <v/>
      </c>
      <c r="I2806" s="34">
        <f>IFERROR(IF(ISNUMBER($A2806),IF(AND(AH!$U$12=1,2801+1=AH!$U$6),TODAY(),IF(AH!$U$5=1,INDEX('Live History'!$G$5:$G$3004,MATCH($A2806,'Live History'!$G$5:$G$3004,1)),INDEX('AH History'!$C$5:$C$1380,$K2806))),NA()),NA())</f>
        <v/>
      </c>
      <c r="J2806" s="32">
        <f>IFERROR(IF(AND($F2806&gt;0,$H2806&gt;0,$A2806-$G2806&lt;=10,$A2806-$I2806&lt;=5,$G2806&gt;0,$I2806&gt;0),$F2806*$H2806,NA()),NA())</f>
        <v/>
      </c>
      <c r="K2806" s="15">
        <f>IF($A2806="","",IF(AH!$U$5=1,IFERROR(MATCH($A2806,'Live History'!$A$5:$A$3004,0),0),AH!$U$7+2801))</f>
        <v/>
      </c>
      <c r="L2806" s="15">
        <f>IF(ISNUMBER(A2806),TEXT(A2806,"dd-mmm-yy"),"")</f>
        <v/>
      </c>
    </row>
    <row r="2807">
      <c r="A2807" s="14">
        <f>IF(OR(AH!$U$4=0,2802+1&gt;AH!$U$6,AND(AH!$M$5="Bloomberg",AH!$U$5=0)),"",IFERROR(IF(AND(AH!$U$12=1,2802+1=AH!$U$6),TODAY(),IF(AH!$U$5=1,INDEX('Live History'!$A$5:$A$3004,AH!$U$7+2802),INDEX('AH History'!$A$5:$A$1380,AH!$U$7+2802))),""))</f>
        <v/>
      </c>
      <c r="B2807" s="33">
        <f>IFERROR(IF(AH!$U$11=1,NA(),$J2807/$E2807-1),NA())</f>
        <v/>
      </c>
      <c r="C2807" s="269">
        <f>IFERROR(100*$E2807/$E$5,NA())</f>
        <v/>
      </c>
      <c r="D2807" s="269">
        <f>IFERROR(100*$J2807/$J$5,NA())</f>
        <v/>
      </c>
      <c r="E2807" s="32">
        <f>IFERROR(IF(AND(ISNUMBER($A2807),N(IF(AND(AH!$U$12=1,2802+1=AH!$U$6),IF(AH!$U$4=0,"unavailable",INDEX('Market Data'!$AN$5:$AN$66,AH!$U$4)),IF(AH!$U$5=1,INDEX('Live History'!$B$5:$B$3004,$K2807),INDEX('AH History'!$D$5:$GG$1380,$K2807,AH!$U$10))))&gt;0),IF(AND(AH!$U$12=1,2802+1=AH!$U$6),IF(AH!$U$4=0,"unavailable",INDEX('Market Data'!$AN$5:$AN$66,AH!$U$4)),IF(AH!$U$5=1,INDEX('Live History'!$B$5:$B$3004,$K2807),INDEX('AH History'!$D$5:$GG$1380,$K2807,AH!$U$10))),NA()),NA())</f>
        <v/>
      </c>
      <c r="F2807" s="32">
        <f>IFERROR(IF(ISNUMBER($A2807),IF(AND(AH!$U$12=1,2802+1=AH!$U$6),IF(AH!$U$4=0,"unavailable",INDEX('Market Data'!$AO$5:$AO$66,AH!$U$4)),IF(AH!$U$5=1,INDEX('Live History'!$E$5:$E$3004,MATCH($A2807,'Live History'!$D$5:$D$3004,1)),INDEX('AH History'!$D$5:$GG$1380,$K2807,AH!$U$10+1))),NA()),NA())</f>
        <v/>
      </c>
      <c r="G2807" s="34">
        <f>IFERROR(IF(ISNUMBER($A2807),IF(AND(AH!$U$12=1,2802+1=AH!$U$6),IF(AH!$U$4=0,"unavailable",INDEX('Market Data'!$AK$5:$AK$66,AH!$U$4)),IF(AH!$U$5=1,INDEX('Live History'!$D$5:$D$3004,MATCH($A2807,'Live History'!$D$5:$D$3004,1)),INDEX('AH History'!$D$5:$GG$1380,$K2807,AH!$U$10+2))),NA()),NA())</f>
        <v/>
      </c>
      <c r="H2807" s="266">
        <f>IFERROR(IF(ISNUMBER($A2807),IF(AND(AH!$U$12=1,2802+1=AH!$U$6),IF(AH!$U$4=0,"unavailable",INDEX('Market Data'!$AP$5:$AP$66,AH!$U$4)),IF(AH!$U$5=1,INDEX('Live History'!$H$5:$H$3004,MATCH($A2807,'Live History'!$G$5:$G$3004,1)),INDEX('AH History'!$B$5:$B$1380,$K2807))),NA()),NA())</f>
        <v/>
      </c>
      <c r="I2807" s="34">
        <f>IFERROR(IF(ISNUMBER($A2807),IF(AND(AH!$U$12=1,2802+1=AH!$U$6),TODAY(),IF(AH!$U$5=1,INDEX('Live History'!$G$5:$G$3004,MATCH($A2807,'Live History'!$G$5:$G$3004,1)),INDEX('AH History'!$C$5:$C$1380,$K2807))),NA()),NA())</f>
        <v/>
      </c>
      <c r="J2807" s="32">
        <f>IFERROR(IF(AND($F2807&gt;0,$H2807&gt;0,$A2807-$G2807&lt;=10,$A2807-$I2807&lt;=5,$G2807&gt;0,$I2807&gt;0),$F2807*$H2807,NA()),NA())</f>
        <v/>
      </c>
      <c r="K2807" s="15">
        <f>IF($A2807="","",IF(AH!$U$5=1,IFERROR(MATCH($A2807,'Live History'!$A$5:$A$3004,0),0),AH!$U$7+2802))</f>
        <v/>
      </c>
      <c r="L2807" s="15">
        <f>IF(ISNUMBER(A2807),TEXT(A2807,"dd-mmm-yy"),"")</f>
        <v/>
      </c>
    </row>
    <row r="2808">
      <c r="A2808" s="14">
        <f>IF(OR(AH!$U$4=0,2803+1&gt;AH!$U$6,AND(AH!$M$5="Bloomberg",AH!$U$5=0)),"",IFERROR(IF(AND(AH!$U$12=1,2803+1=AH!$U$6),TODAY(),IF(AH!$U$5=1,INDEX('Live History'!$A$5:$A$3004,AH!$U$7+2803),INDEX('AH History'!$A$5:$A$1380,AH!$U$7+2803))),""))</f>
        <v/>
      </c>
      <c r="B2808" s="33">
        <f>IFERROR(IF(AH!$U$11=1,NA(),$J2808/$E2808-1),NA())</f>
        <v/>
      </c>
      <c r="C2808" s="269">
        <f>IFERROR(100*$E2808/$E$5,NA())</f>
        <v/>
      </c>
      <c r="D2808" s="269">
        <f>IFERROR(100*$J2808/$J$5,NA())</f>
        <v/>
      </c>
      <c r="E2808" s="32">
        <f>IFERROR(IF(AND(ISNUMBER($A2808),N(IF(AND(AH!$U$12=1,2803+1=AH!$U$6),IF(AH!$U$4=0,"unavailable",INDEX('Market Data'!$AN$5:$AN$66,AH!$U$4)),IF(AH!$U$5=1,INDEX('Live History'!$B$5:$B$3004,$K2808),INDEX('AH History'!$D$5:$GG$1380,$K2808,AH!$U$10))))&gt;0),IF(AND(AH!$U$12=1,2803+1=AH!$U$6),IF(AH!$U$4=0,"unavailable",INDEX('Market Data'!$AN$5:$AN$66,AH!$U$4)),IF(AH!$U$5=1,INDEX('Live History'!$B$5:$B$3004,$K2808),INDEX('AH History'!$D$5:$GG$1380,$K2808,AH!$U$10))),NA()),NA())</f>
        <v/>
      </c>
      <c r="F2808" s="32">
        <f>IFERROR(IF(ISNUMBER($A2808),IF(AND(AH!$U$12=1,2803+1=AH!$U$6),IF(AH!$U$4=0,"unavailable",INDEX('Market Data'!$AO$5:$AO$66,AH!$U$4)),IF(AH!$U$5=1,INDEX('Live History'!$E$5:$E$3004,MATCH($A2808,'Live History'!$D$5:$D$3004,1)),INDEX('AH History'!$D$5:$GG$1380,$K2808,AH!$U$10+1))),NA()),NA())</f>
        <v/>
      </c>
      <c r="G2808" s="34">
        <f>IFERROR(IF(ISNUMBER($A2808),IF(AND(AH!$U$12=1,2803+1=AH!$U$6),IF(AH!$U$4=0,"unavailable",INDEX('Market Data'!$AK$5:$AK$66,AH!$U$4)),IF(AH!$U$5=1,INDEX('Live History'!$D$5:$D$3004,MATCH($A2808,'Live History'!$D$5:$D$3004,1)),INDEX('AH History'!$D$5:$GG$1380,$K2808,AH!$U$10+2))),NA()),NA())</f>
        <v/>
      </c>
      <c r="H2808" s="266">
        <f>IFERROR(IF(ISNUMBER($A2808),IF(AND(AH!$U$12=1,2803+1=AH!$U$6),IF(AH!$U$4=0,"unavailable",INDEX('Market Data'!$AP$5:$AP$66,AH!$U$4)),IF(AH!$U$5=1,INDEX('Live History'!$H$5:$H$3004,MATCH($A2808,'Live History'!$G$5:$G$3004,1)),INDEX('AH History'!$B$5:$B$1380,$K2808))),NA()),NA())</f>
        <v/>
      </c>
      <c r="I2808" s="34">
        <f>IFERROR(IF(ISNUMBER($A2808),IF(AND(AH!$U$12=1,2803+1=AH!$U$6),TODAY(),IF(AH!$U$5=1,INDEX('Live History'!$G$5:$G$3004,MATCH($A2808,'Live History'!$G$5:$G$3004,1)),INDEX('AH History'!$C$5:$C$1380,$K2808))),NA()),NA())</f>
        <v/>
      </c>
      <c r="J2808" s="32">
        <f>IFERROR(IF(AND($F2808&gt;0,$H2808&gt;0,$A2808-$G2808&lt;=10,$A2808-$I2808&lt;=5,$G2808&gt;0,$I2808&gt;0),$F2808*$H2808,NA()),NA())</f>
        <v/>
      </c>
      <c r="K2808" s="15">
        <f>IF($A2808="","",IF(AH!$U$5=1,IFERROR(MATCH($A2808,'Live History'!$A$5:$A$3004,0),0),AH!$U$7+2803))</f>
        <v/>
      </c>
      <c r="L2808" s="15">
        <f>IF(ISNUMBER(A2808),TEXT(A2808,"dd-mmm-yy"),"")</f>
        <v/>
      </c>
    </row>
    <row r="2809">
      <c r="A2809" s="14">
        <f>IF(OR(AH!$U$4=0,2804+1&gt;AH!$U$6,AND(AH!$M$5="Bloomberg",AH!$U$5=0)),"",IFERROR(IF(AND(AH!$U$12=1,2804+1=AH!$U$6),TODAY(),IF(AH!$U$5=1,INDEX('Live History'!$A$5:$A$3004,AH!$U$7+2804),INDEX('AH History'!$A$5:$A$1380,AH!$U$7+2804))),""))</f>
        <v/>
      </c>
      <c r="B2809" s="33">
        <f>IFERROR(IF(AH!$U$11=1,NA(),$J2809/$E2809-1),NA())</f>
        <v/>
      </c>
      <c r="C2809" s="269">
        <f>IFERROR(100*$E2809/$E$5,NA())</f>
        <v/>
      </c>
      <c r="D2809" s="269">
        <f>IFERROR(100*$J2809/$J$5,NA())</f>
        <v/>
      </c>
      <c r="E2809" s="32">
        <f>IFERROR(IF(AND(ISNUMBER($A2809),N(IF(AND(AH!$U$12=1,2804+1=AH!$U$6),IF(AH!$U$4=0,"unavailable",INDEX('Market Data'!$AN$5:$AN$66,AH!$U$4)),IF(AH!$U$5=1,INDEX('Live History'!$B$5:$B$3004,$K2809),INDEX('AH History'!$D$5:$GG$1380,$K2809,AH!$U$10))))&gt;0),IF(AND(AH!$U$12=1,2804+1=AH!$U$6),IF(AH!$U$4=0,"unavailable",INDEX('Market Data'!$AN$5:$AN$66,AH!$U$4)),IF(AH!$U$5=1,INDEX('Live History'!$B$5:$B$3004,$K2809),INDEX('AH History'!$D$5:$GG$1380,$K2809,AH!$U$10))),NA()),NA())</f>
        <v/>
      </c>
      <c r="F2809" s="32">
        <f>IFERROR(IF(ISNUMBER($A2809),IF(AND(AH!$U$12=1,2804+1=AH!$U$6),IF(AH!$U$4=0,"unavailable",INDEX('Market Data'!$AO$5:$AO$66,AH!$U$4)),IF(AH!$U$5=1,INDEX('Live History'!$E$5:$E$3004,MATCH($A2809,'Live History'!$D$5:$D$3004,1)),INDEX('AH History'!$D$5:$GG$1380,$K2809,AH!$U$10+1))),NA()),NA())</f>
        <v/>
      </c>
      <c r="G2809" s="34">
        <f>IFERROR(IF(ISNUMBER($A2809),IF(AND(AH!$U$12=1,2804+1=AH!$U$6),IF(AH!$U$4=0,"unavailable",INDEX('Market Data'!$AK$5:$AK$66,AH!$U$4)),IF(AH!$U$5=1,INDEX('Live History'!$D$5:$D$3004,MATCH($A2809,'Live History'!$D$5:$D$3004,1)),INDEX('AH History'!$D$5:$GG$1380,$K2809,AH!$U$10+2))),NA()),NA())</f>
        <v/>
      </c>
      <c r="H2809" s="266">
        <f>IFERROR(IF(ISNUMBER($A2809),IF(AND(AH!$U$12=1,2804+1=AH!$U$6),IF(AH!$U$4=0,"unavailable",INDEX('Market Data'!$AP$5:$AP$66,AH!$U$4)),IF(AH!$U$5=1,INDEX('Live History'!$H$5:$H$3004,MATCH($A2809,'Live History'!$G$5:$G$3004,1)),INDEX('AH History'!$B$5:$B$1380,$K2809))),NA()),NA())</f>
        <v/>
      </c>
      <c r="I2809" s="34">
        <f>IFERROR(IF(ISNUMBER($A2809),IF(AND(AH!$U$12=1,2804+1=AH!$U$6),TODAY(),IF(AH!$U$5=1,INDEX('Live History'!$G$5:$G$3004,MATCH($A2809,'Live History'!$G$5:$G$3004,1)),INDEX('AH History'!$C$5:$C$1380,$K2809))),NA()),NA())</f>
        <v/>
      </c>
      <c r="J2809" s="32">
        <f>IFERROR(IF(AND($F2809&gt;0,$H2809&gt;0,$A2809-$G2809&lt;=10,$A2809-$I2809&lt;=5,$G2809&gt;0,$I2809&gt;0),$F2809*$H2809,NA()),NA())</f>
        <v/>
      </c>
      <c r="K2809" s="15">
        <f>IF($A2809="","",IF(AH!$U$5=1,IFERROR(MATCH($A2809,'Live History'!$A$5:$A$3004,0),0),AH!$U$7+2804))</f>
        <v/>
      </c>
      <c r="L2809" s="15">
        <f>IF(ISNUMBER(A2809),TEXT(A2809,"dd-mmm-yy"),"")</f>
        <v/>
      </c>
    </row>
    <row r="2810">
      <c r="A2810" s="14">
        <f>IF(OR(AH!$U$4=0,2805+1&gt;AH!$U$6,AND(AH!$M$5="Bloomberg",AH!$U$5=0)),"",IFERROR(IF(AND(AH!$U$12=1,2805+1=AH!$U$6),TODAY(),IF(AH!$U$5=1,INDEX('Live History'!$A$5:$A$3004,AH!$U$7+2805),INDEX('AH History'!$A$5:$A$1380,AH!$U$7+2805))),""))</f>
        <v/>
      </c>
      <c r="B2810" s="33">
        <f>IFERROR(IF(AH!$U$11=1,NA(),$J2810/$E2810-1),NA())</f>
        <v/>
      </c>
      <c r="C2810" s="269">
        <f>IFERROR(100*$E2810/$E$5,NA())</f>
        <v/>
      </c>
      <c r="D2810" s="269">
        <f>IFERROR(100*$J2810/$J$5,NA())</f>
        <v/>
      </c>
      <c r="E2810" s="32">
        <f>IFERROR(IF(AND(ISNUMBER($A2810),N(IF(AND(AH!$U$12=1,2805+1=AH!$U$6),IF(AH!$U$4=0,"unavailable",INDEX('Market Data'!$AN$5:$AN$66,AH!$U$4)),IF(AH!$U$5=1,INDEX('Live History'!$B$5:$B$3004,$K2810),INDEX('AH History'!$D$5:$GG$1380,$K2810,AH!$U$10))))&gt;0),IF(AND(AH!$U$12=1,2805+1=AH!$U$6),IF(AH!$U$4=0,"unavailable",INDEX('Market Data'!$AN$5:$AN$66,AH!$U$4)),IF(AH!$U$5=1,INDEX('Live History'!$B$5:$B$3004,$K2810),INDEX('AH History'!$D$5:$GG$1380,$K2810,AH!$U$10))),NA()),NA())</f>
        <v/>
      </c>
      <c r="F2810" s="32">
        <f>IFERROR(IF(ISNUMBER($A2810),IF(AND(AH!$U$12=1,2805+1=AH!$U$6),IF(AH!$U$4=0,"unavailable",INDEX('Market Data'!$AO$5:$AO$66,AH!$U$4)),IF(AH!$U$5=1,INDEX('Live History'!$E$5:$E$3004,MATCH($A2810,'Live History'!$D$5:$D$3004,1)),INDEX('AH History'!$D$5:$GG$1380,$K2810,AH!$U$10+1))),NA()),NA())</f>
        <v/>
      </c>
      <c r="G2810" s="34">
        <f>IFERROR(IF(ISNUMBER($A2810),IF(AND(AH!$U$12=1,2805+1=AH!$U$6),IF(AH!$U$4=0,"unavailable",INDEX('Market Data'!$AK$5:$AK$66,AH!$U$4)),IF(AH!$U$5=1,INDEX('Live History'!$D$5:$D$3004,MATCH($A2810,'Live History'!$D$5:$D$3004,1)),INDEX('AH History'!$D$5:$GG$1380,$K2810,AH!$U$10+2))),NA()),NA())</f>
        <v/>
      </c>
      <c r="H2810" s="266">
        <f>IFERROR(IF(ISNUMBER($A2810),IF(AND(AH!$U$12=1,2805+1=AH!$U$6),IF(AH!$U$4=0,"unavailable",INDEX('Market Data'!$AP$5:$AP$66,AH!$U$4)),IF(AH!$U$5=1,INDEX('Live History'!$H$5:$H$3004,MATCH($A2810,'Live History'!$G$5:$G$3004,1)),INDEX('AH History'!$B$5:$B$1380,$K2810))),NA()),NA())</f>
        <v/>
      </c>
      <c r="I2810" s="34">
        <f>IFERROR(IF(ISNUMBER($A2810),IF(AND(AH!$U$12=1,2805+1=AH!$U$6),TODAY(),IF(AH!$U$5=1,INDEX('Live History'!$G$5:$G$3004,MATCH($A2810,'Live History'!$G$5:$G$3004,1)),INDEX('AH History'!$C$5:$C$1380,$K2810))),NA()),NA())</f>
        <v/>
      </c>
      <c r="J2810" s="32">
        <f>IFERROR(IF(AND($F2810&gt;0,$H2810&gt;0,$A2810-$G2810&lt;=10,$A2810-$I2810&lt;=5,$G2810&gt;0,$I2810&gt;0),$F2810*$H2810,NA()),NA())</f>
        <v/>
      </c>
      <c r="K2810" s="15">
        <f>IF($A2810="","",IF(AH!$U$5=1,IFERROR(MATCH($A2810,'Live History'!$A$5:$A$3004,0),0),AH!$U$7+2805))</f>
        <v/>
      </c>
      <c r="L2810" s="15">
        <f>IF(ISNUMBER(A2810),TEXT(A2810,"dd-mmm-yy"),"")</f>
        <v/>
      </c>
    </row>
    <row r="2811">
      <c r="A2811" s="14">
        <f>IF(OR(AH!$U$4=0,2806+1&gt;AH!$U$6,AND(AH!$M$5="Bloomberg",AH!$U$5=0)),"",IFERROR(IF(AND(AH!$U$12=1,2806+1=AH!$U$6),TODAY(),IF(AH!$U$5=1,INDEX('Live History'!$A$5:$A$3004,AH!$U$7+2806),INDEX('AH History'!$A$5:$A$1380,AH!$U$7+2806))),""))</f>
        <v/>
      </c>
      <c r="B2811" s="33">
        <f>IFERROR(IF(AH!$U$11=1,NA(),$J2811/$E2811-1),NA())</f>
        <v/>
      </c>
      <c r="C2811" s="269">
        <f>IFERROR(100*$E2811/$E$5,NA())</f>
        <v/>
      </c>
      <c r="D2811" s="269">
        <f>IFERROR(100*$J2811/$J$5,NA())</f>
        <v/>
      </c>
      <c r="E2811" s="32">
        <f>IFERROR(IF(AND(ISNUMBER($A2811),N(IF(AND(AH!$U$12=1,2806+1=AH!$U$6),IF(AH!$U$4=0,"unavailable",INDEX('Market Data'!$AN$5:$AN$66,AH!$U$4)),IF(AH!$U$5=1,INDEX('Live History'!$B$5:$B$3004,$K2811),INDEX('AH History'!$D$5:$GG$1380,$K2811,AH!$U$10))))&gt;0),IF(AND(AH!$U$12=1,2806+1=AH!$U$6),IF(AH!$U$4=0,"unavailable",INDEX('Market Data'!$AN$5:$AN$66,AH!$U$4)),IF(AH!$U$5=1,INDEX('Live History'!$B$5:$B$3004,$K2811),INDEX('AH History'!$D$5:$GG$1380,$K2811,AH!$U$10))),NA()),NA())</f>
        <v/>
      </c>
      <c r="F2811" s="32">
        <f>IFERROR(IF(ISNUMBER($A2811),IF(AND(AH!$U$12=1,2806+1=AH!$U$6),IF(AH!$U$4=0,"unavailable",INDEX('Market Data'!$AO$5:$AO$66,AH!$U$4)),IF(AH!$U$5=1,INDEX('Live History'!$E$5:$E$3004,MATCH($A2811,'Live History'!$D$5:$D$3004,1)),INDEX('AH History'!$D$5:$GG$1380,$K2811,AH!$U$10+1))),NA()),NA())</f>
        <v/>
      </c>
      <c r="G2811" s="34">
        <f>IFERROR(IF(ISNUMBER($A2811),IF(AND(AH!$U$12=1,2806+1=AH!$U$6),IF(AH!$U$4=0,"unavailable",INDEX('Market Data'!$AK$5:$AK$66,AH!$U$4)),IF(AH!$U$5=1,INDEX('Live History'!$D$5:$D$3004,MATCH($A2811,'Live History'!$D$5:$D$3004,1)),INDEX('AH History'!$D$5:$GG$1380,$K2811,AH!$U$10+2))),NA()),NA())</f>
        <v/>
      </c>
      <c r="H2811" s="266">
        <f>IFERROR(IF(ISNUMBER($A2811),IF(AND(AH!$U$12=1,2806+1=AH!$U$6),IF(AH!$U$4=0,"unavailable",INDEX('Market Data'!$AP$5:$AP$66,AH!$U$4)),IF(AH!$U$5=1,INDEX('Live History'!$H$5:$H$3004,MATCH($A2811,'Live History'!$G$5:$G$3004,1)),INDEX('AH History'!$B$5:$B$1380,$K2811))),NA()),NA())</f>
        <v/>
      </c>
      <c r="I2811" s="34">
        <f>IFERROR(IF(ISNUMBER($A2811),IF(AND(AH!$U$12=1,2806+1=AH!$U$6),TODAY(),IF(AH!$U$5=1,INDEX('Live History'!$G$5:$G$3004,MATCH($A2811,'Live History'!$G$5:$G$3004,1)),INDEX('AH History'!$C$5:$C$1380,$K2811))),NA()),NA())</f>
        <v/>
      </c>
      <c r="J2811" s="32">
        <f>IFERROR(IF(AND($F2811&gt;0,$H2811&gt;0,$A2811-$G2811&lt;=10,$A2811-$I2811&lt;=5,$G2811&gt;0,$I2811&gt;0),$F2811*$H2811,NA()),NA())</f>
        <v/>
      </c>
      <c r="K2811" s="15">
        <f>IF($A2811="","",IF(AH!$U$5=1,IFERROR(MATCH($A2811,'Live History'!$A$5:$A$3004,0),0),AH!$U$7+2806))</f>
        <v/>
      </c>
      <c r="L2811" s="15">
        <f>IF(ISNUMBER(A2811),TEXT(A2811,"dd-mmm-yy"),"")</f>
        <v/>
      </c>
    </row>
    <row r="2812">
      <c r="A2812" s="14">
        <f>IF(OR(AH!$U$4=0,2807+1&gt;AH!$U$6,AND(AH!$M$5="Bloomberg",AH!$U$5=0)),"",IFERROR(IF(AND(AH!$U$12=1,2807+1=AH!$U$6),TODAY(),IF(AH!$U$5=1,INDEX('Live History'!$A$5:$A$3004,AH!$U$7+2807),INDEX('AH History'!$A$5:$A$1380,AH!$U$7+2807))),""))</f>
        <v/>
      </c>
      <c r="B2812" s="33">
        <f>IFERROR(IF(AH!$U$11=1,NA(),$J2812/$E2812-1),NA())</f>
        <v/>
      </c>
      <c r="C2812" s="269">
        <f>IFERROR(100*$E2812/$E$5,NA())</f>
        <v/>
      </c>
      <c r="D2812" s="269">
        <f>IFERROR(100*$J2812/$J$5,NA())</f>
        <v/>
      </c>
      <c r="E2812" s="32">
        <f>IFERROR(IF(AND(ISNUMBER($A2812),N(IF(AND(AH!$U$12=1,2807+1=AH!$U$6),IF(AH!$U$4=0,"unavailable",INDEX('Market Data'!$AN$5:$AN$66,AH!$U$4)),IF(AH!$U$5=1,INDEX('Live History'!$B$5:$B$3004,$K2812),INDEX('AH History'!$D$5:$GG$1380,$K2812,AH!$U$10))))&gt;0),IF(AND(AH!$U$12=1,2807+1=AH!$U$6),IF(AH!$U$4=0,"unavailable",INDEX('Market Data'!$AN$5:$AN$66,AH!$U$4)),IF(AH!$U$5=1,INDEX('Live History'!$B$5:$B$3004,$K2812),INDEX('AH History'!$D$5:$GG$1380,$K2812,AH!$U$10))),NA()),NA())</f>
        <v/>
      </c>
      <c r="F2812" s="32">
        <f>IFERROR(IF(ISNUMBER($A2812),IF(AND(AH!$U$12=1,2807+1=AH!$U$6),IF(AH!$U$4=0,"unavailable",INDEX('Market Data'!$AO$5:$AO$66,AH!$U$4)),IF(AH!$U$5=1,INDEX('Live History'!$E$5:$E$3004,MATCH($A2812,'Live History'!$D$5:$D$3004,1)),INDEX('AH History'!$D$5:$GG$1380,$K2812,AH!$U$10+1))),NA()),NA())</f>
        <v/>
      </c>
      <c r="G2812" s="34">
        <f>IFERROR(IF(ISNUMBER($A2812),IF(AND(AH!$U$12=1,2807+1=AH!$U$6),IF(AH!$U$4=0,"unavailable",INDEX('Market Data'!$AK$5:$AK$66,AH!$U$4)),IF(AH!$U$5=1,INDEX('Live History'!$D$5:$D$3004,MATCH($A2812,'Live History'!$D$5:$D$3004,1)),INDEX('AH History'!$D$5:$GG$1380,$K2812,AH!$U$10+2))),NA()),NA())</f>
        <v/>
      </c>
      <c r="H2812" s="266">
        <f>IFERROR(IF(ISNUMBER($A2812),IF(AND(AH!$U$12=1,2807+1=AH!$U$6),IF(AH!$U$4=0,"unavailable",INDEX('Market Data'!$AP$5:$AP$66,AH!$U$4)),IF(AH!$U$5=1,INDEX('Live History'!$H$5:$H$3004,MATCH($A2812,'Live History'!$G$5:$G$3004,1)),INDEX('AH History'!$B$5:$B$1380,$K2812))),NA()),NA())</f>
        <v/>
      </c>
      <c r="I2812" s="34">
        <f>IFERROR(IF(ISNUMBER($A2812),IF(AND(AH!$U$12=1,2807+1=AH!$U$6),TODAY(),IF(AH!$U$5=1,INDEX('Live History'!$G$5:$G$3004,MATCH($A2812,'Live History'!$G$5:$G$3004,1)),INDEX('AH History'!$C$5:$C$1380,$K2812))),NA()),NA())</f>
        <v/>
      </c>
      <c r="J2812" s="32">
        <f>IFERROR(IF(AND($F2812&gt;0,$H2812&gt;0,$A2812-$G2812&lt;=10,$A2812-$I2812&lt;=5,$G2812&gt;0,$I2812&gt;0),$F2812*$H2812,NA()),NA())</f>
        <v/>
      </c>
      <c r="K2812" s="15">
        <f>IF($A2812="","",IF(AH!$U$5=1,IFERROR(MATCH($A2812,'Live History'!$A$5:$A$3004,0),0),AH!$U$7+2807))</f>
        <v/>
      </c>
      <c r="L2812" s="15">
        <f>IF(ISNUMBER(A2812),TEXT(A2812,"dd-mmm-yy"),"")</f>
        <v/>
      </c>
    </row>
    <row r="2813">
      <c r="A2813" s="14">
        <f>IF(OR(AH!$U$4=0,2808+1&gt;AH!$U$6,AND(AH!$M$5="Bloomberg",AH!$U$5=0)),"",IFERROR(IF(AND(AH!$U$12=1,2808+1=AH!$U$6),TODAY(),IF(AH!$U$5=1,INDEX('Live History'!$A$5:$A$3004,AH!$U$7+2808),INDEX('AH History'!$A$5:$A$1380,AH!$U$7+2808))),""))</f>
        <v/>
      </c>
      <c r="B2813" s="33">
        <f>IFERROR(IF(AH!$U$11=1,NA(),$J2813/$E2813-1),NA())</f>
        <v/>
      </c>
      <c r="C2813" s="269">
        <f>IFERROR(100*$E2813/$E$5,NA())</f>
        <v/>
      </c>
      <c r="D2813" s="269">
        <f>IFERROR(100*$J2813/$J$5,NA())</f>
        <v/>
      </c>
      <c r="E2813" s="32">
        <f>IFERROR(IF(AND(ISNUMBER($A2813),N(IF(AND(AH!$U$12=1,2808+1=AH!$U$6),IF(AH!$U$4=0,"unavailable",INDEX('Market Data'!$AN$5:$AN$66,AH!$U$4)),IF(AH!$U$5=1,INDEX('Live History'!$B$5:$B$3004,$K2813),INDEX('AH History'!$D$5:$GG$1380,$K2813,AH!$U$10))))&gt;0),IF(AND(AH!$U$12=1,2808+1=AH!$U$6),IF(AH!$U$4=0,"unavailable",INDEX('Market Data'!$AN$5:$AN$66,AH!$U$4)),IF(AH!$U$5=1,INDEX('Live History'!$B$5:$B$3004,$K2813),INDEX('AH History'!$D$5:$GG$1380,$K2813,AH!$U$10))),NA()),NA())</f>
        <v/>
      </c>
      <c r="F2813" s="32">
        <f>IFERROR(IF(ISNUMBER($A2813),IF(AND(AH!$U$12=1,2808+1=AH!$U$6),IF(AH!$U$4=0,"unavailable",INDEX('Market Data'!$AO$5:$AO$66,AH!$U$4)),IF(AH!$U$5=1,INDEX('Live History'!$E$5:$E$3004,MATCH($A2813,'Live History'!$D$5:$D$3004,1)),INDEX('AH History'!$D$5:$GG$1380,$K2813,AH!$U$10+1))),NA()),NA())</f>
        <v/>
      </c>
      <c r="G2813" s="34">
        <f>IFERROR(IF(ISNUMBER($A2813),IF(AND(AH!$U$12=1,2808+1=AH!$U$6),IF(AH!$U$4=0,"unavailable",INDEX('Market Data'!$AK$5:$AK$66,AH!$U$4)),IF(AH!$U$5=1,INDEX('Live History'!$D$5:$D$3004,MATCH($A2813,'Live History'!$D$5:$D$3004,1)),INDEX('AH History'!$D$5:$GG$1380,$K2813,AH!$U$10+2))),NA()),NA())</f>
        <v/>
      </c>
      <c r="H2813" s="266">
        <f>IFERROR(IF(ISNUMBER($A2813),IF(AND(AH!$U$12=1,2808+1=AH!$U$6),IF(AH!$U$4=0,"unavailable",INDEX('Market Data'!$AP$5:$AP$66,AH!$U$4)),IF(AH!$U$5=1,INDEX('Live History'!$H$5:$H$3004,MATCH($A2813,'Live History'!$G$5:$G$3004,1)),INDEX('AH History'!$B$5:$B$1380,$K2813))),NA()),NA())</f>
        <v/>
      </c>
      <c r="I2813" s="34">
        <f>IFERROR(IF(ISNUMBER($A2813),IF(AND(AH!$U$12=1,2808+1=AH!$U$6),TODAY(),IF(AH!$U$5=1,INDEX('Live History'!$G$5:$G$3004,MATCH($A2813,'Live History'!$G$5:$G$3004,1)),INDEX('AH History'!$C$5:$C$1380,$K2813))),NA()),NA())</f>
        <v/>
      </c>
      <c r="J2813" s="32">
        <f>IFERROR(IF(AND($F2813&gt;0,$H2813&gt;0,$A2813-$G2813&lt;=10,$A2813-$I2813&lt;=5,$G2813&gt;0,$I2813&gt;0),$F2813*$H2813,NA()),NA())</f>
        <v/>
      </c>
      <c r="K2813" s="15">
        <f>IF($A2813="","",IF(AH!$U$5=1,IFERROR(MATCH($A2813,'Live History'!$A$5:$A$3004,0),0),AH!$U$7+2808))</f>
        <v/>
      </c>
      <c r="L2813" s="15">
        <f>IF(ISNUMBER(A2813),TEXT(A2813,"dd-mmm-yy"),"")</f>
        <v/>
      </c>
    </row>
    <row r="2814">
      <c r="A2814" s="14">
        <f>IF(OR(AH!$U$4=0,2809+1&gt;AH!$U$6,AND(AH!$M$5="Bloomberg",AH!$U$5=0)),"",IFERROR(IF(AND(AH!$U$12=1,2809+1=AH!$U$6),TODAY(),IF(AH!$U$5=1,INDEX('Live History'!$A$5:$A$3004,AH!$U$7+2809),INDEX('AH History'!$A$5:$A$1380,AH!$U$7+2809))),""))</f>
        <v/>
      </c>
      <c r="B2814" s="33">
        <f>IFERROR(IF(AH!$U$11=1,NA(),$J2814/$E2814-1),NA())</f>
        <v/>
      </c>
      <c r="C2814" s="269">
        <f>IFERROR(100*$E2814/$E$5,NA())</f>
        <v/>
      </c>
      <c r="D2814" s="269">
        <f>IFERROR(100*$J2814/$J$5,NA())</f>
        <v/>
      </c>
      <c r="E2814" s="32">
        <f>IFERROR(IF(AND(ISNUMBER($A2814),N(IF(AND(AH!$U$12=1,2809+1=AH!$U$6),IF(AH!$U$4=0,"unavailable",INDEX('Market Data'!$AN$5:$AN$66,AH!$U$4)),IF(AH!$U$5=1,INDEX('Live History'!$B$5:$B$3004,$K2814),INDEX('AH History'!$D$5:$GG$1380,$K2814,AH!$U$10))))&gt;0),IF(AND(AH!$U$12=1,2809+1=AH!$U$6),IF(AH!$U$4=0,"unavailable",INDEX('Market Data'!$AN$5:$AN$66,AH!$U$4)),IF(AH!$U$5=1,INDEX('Live History'!$B$5:$B$3004,$K2814),INDEX('AH History'!$D$5:$GG$1380,$K2814,AH!$U$10))),NA()),NA())</f>
        <v/>
      </c>
      <c r="F2814" s="32">
        <f>IFERROR(IF(ISNUMBER($A2814),IF(AND(AH!$U$12=1,2809+1=AH!$U$6),IF(AH!$U$4=0,"unavailable",INDEX('Market Data'!$AO$5:$AO$66,AH!$U$4)),IF(AH!$U$5=1,INDEX('Live History'!$E$5:$E$3004,MATCH($A2814,'Live History'!$D$5:$D$3004,1)),INDEX('AH History'!$D$5:$GG$1380,$K2814,AH!$U$10+1))),NA()),NA())</f>
        <v/>
      </c>
      <c r="G2814" s="34">
        <f>IFERROR(IF(ISNUMBER($A2814),IF(AND(AH!$U$12=1,2809+1=AH!$U$6),IF(AH!$U$4=0,"unavailable",INDEX('Market Data'!$AK$5:$AK$66,AH!$U$4)),IF(AH!$U$5=1,INDEX('Live History'!$D$5:$D$3004,MATCH($A2814,'Live History'!$D$5:$D$3004,1)),INDEX('AH History'!$D$5:$GG$1380,$K2814,AH!$U$10+2))),NA()),NA())</f>
        <v/>
      </c>
      <c r="H2814" s="266">
        <f>IFERROR(IF(ISNUMBER($A2814),IF(AND(AH!$U$12=1,2809+1=AH!$U$6),IF(AH!$U$4=0,"unavailable",INDEX('Market Data'!$AP$5:$AP$66,AH!$U$4)),IF(AH!$U$5=1,INDEX('Live History'!$H$5:$H$3004,MATCH($A2814,'Live History'!$G$5:$G$3004,1)),INDEX('AH History'!$B$5:$B$1380,$K2814))),NA()),NA())</f>
        <v/>
      </c>
      <c r="I2814" s="34">
        <f>IFERROR(IF(ISNUMBER($A2814),IF(AND(AH!$U$12=1,2809+1=AH!$U$6),TODAY(),IF(AH!$U$5=1,INDEX('Live History'!$G$5:$G$3004,MATCH($A2814,'Live History'!$G$5:$G$3004,1)),INDEX('AH History'!$C$5:$C$1380,$K2814))),NA()),NA())</f>
        <v/>
      </c>
      <c r="J2814" s="32">
        <f>IFERROR(IF(AND($F2814&gt;0,$H2814&gt;0,$A2814-$G2814&lt;=10,$A2814-$I2814&lt;=5,$G2814&gt;0,$I2814&gt;0),$F2814*$H2814,NA()),NA())</f>
        <v/>
      </c>
      <c r="K2814" s="15">
        <f>IF($A2814="","",IF(AH!$U$5=1,IFERROR(MATCH($A2814,'Live History'!$A$5:$A$3004,0),0),AH!$U$7+2809))</f>
        <v/>
      </c>
      <c r="L2814" s="15">
        <f>IF(ISNUMBER(A2814),TEXT(A2814,"dd-mmm-yy"),"")</f>
        <v/>
      </c>
    </row>
    <row r="2815">
      <c r="A2815" s="14">
        <f>IF(OR(AH!$U$4=0,2810+1&gt;AH!$U$6,AND(AH!$M$5="Bloomberg",AH!$U$5=0)),"",IFERROR(IF(AND(AH!$U$12=1,2810+1=AH!$U$6),TODAY(),IF(AH!$U$5=1,INDEX('Live History'!$A$5:$A$3004,AH!$U$7+2810),INDEX('AH History'!$A$5:$A$1380,AH!$U$7+2810))),""))</f>
        <v/>
      </c>
      <c r="B2815" s="33">
        <f>IFERROR(IF(AH!$U$11=1,NA(),$J2815/$E2815-1),NA())</f>
        <v/>
      </c>
      <c r="C2815" s="269">
        <f>IFERROR(100*$E2815/$E$5,NA())</f>
        <v/>
      </c>
      <c r="D2815" s="269">
        <f>IFERROR(100*$J2815/$J$5,NA())</f>
        <v/>
      </c>
      <c r="E2815" s="32">
        <f>IFERROR(IF(AND(ISNUMBER($A2815),N(IF(AND(AH!$U$12=1,2810+1=AH!$U$6),IF(AH!$U$4=0,"unavailable",INDEX('Market Data'!$AN$5:$AN$66,AH!$U$4)),IF(AH!$U$5=1,INDEX('Live History'!$B$5:$B$3004,$K2815),INDEX('AH History'!$D$5:$GG$1380,$K2815,AH!$U$10))))&gt;0),IF(AND(AH!$U$12=1,2810+1=AH!$U$6),IF(AH!$U$4=0,"unavailable",INDEX('Market Data'!$AN$5:$AN$66,AH!$U$4)),IF(AH!$U$5=1,INDEX('Live History'!$B$5:$B$3004,$K2815),INDEX('AH History'!$D$5:$GG$1380,$K2815,AH!$U$10))),NA()),NA())</f>
        <v/>
      </c>
      <c r="F2815" s="32">
        <f>IFERROR(IF(ISNUMBER($A2815),IF(AND(AH!$U$12=1,2810+1=AH!$U$6),IF(AH!$U$4=0,"unavailable",INDEX('Market Data'!$AO$5:$AO$66,AH!$U$4)),IF(AH!$U$5=1,INDEX('Live History'!$E$5:$E$3004,MATCH($A2815,'Live History'!$D$5:$D$3004,1)),INDEX('AH History'!$D$5:$GG$1380,$K2815,AH!$U$10+1))),NA()),NA())</f>
        <v/>
      </c>
      <c r="G2815" s="34">
        <f>IFERROR(IF(ISNUMBER($A2815),IF(AND(AH!$U$12=1,2810+1=AH!$U$6),IF(AH!$U$4=0,"unavailable",INDEX('Market Data'!$AK$5:$AK$66,AH!$U$4)),IF(AH!$U$5=1,INDEX('Live History'!$D$5:$D$3004,MATCH($A2815,'Live History'!$D$5:$D$3004,1)),INDEX('AH History'!$D$5:$GG$1380,$K2815,AH!$U$10+2))),NA()),NA())</f>
        <v/>
      </c>
      <c r="H2815" s="266">
        <f>IFERROR(IF(ISNUMBER($A2815),IF(AND(AH!$U$12=1,2810+1=AH!$U$6),IF(AH!$U$4=0,"unavailable",INDEX('Market Data'!$AP$5:$AP$66,AH!$U$4)),IF(AH!$U$5=1,INDEX('Live History'!$H$5:$H$3004,MATCH($A2815,'Live History'!$G$5:$G$3004,1)),INDEX('AH History'!$B$5:$B$1380,$K2815))),NA()),NA())</f>
        <v/>
      </c>
      <c r="I2815" s="34">
        <f>IFERROR(IF(ISNUMBER($A2815),IF(AND(AH!$U$12=1,2810+1=AH!$U$6),TODAY(),IF(AH!$U$5=1,INDEX('Live History'!$G$5:$G$3004,MATCH($A2815,'Live History'!$G$5:$G$3004,1)),INDEX('AH History'!$C$5:$C$1380,$K2815))),NA()),NA())</f>
        <v/>
      </c>
      <c r="J2815" s="32">
        <f>IFERROR(IF(AND($F2815&gt;0,$H2815&gt;0,$A2815-$G2815&lt;=10,$A2815-$I2815&lt;=5,$G2815&gt;0,$I2815&gt;0),$F2815*$H2815,NA()),NA())</f>
        <v/>
      </c>
      <c r="K2815" s="15">
        <f>IF($A2815="","",IF(AH!$U$5=1,IFERROR(MATCH($A2815,'Live History'!$A$5:$A$3004,0),0),AH!$U$7+2810))</f>
        <v/>
      </c>
      <c r="L2815" s="15">
        <f>IF(ISNUMBER(A2815),TEXT(A2815,"dd-mmm-yy"),"")</f>
        <v/>
      </c>
    </row>
    <row r="2816">
      <c r="A2816" s="14">
        <f>IF(OR(AH!$U$4=0,2811+1&gt;AH!$U$6,AND(AH!$M$5="Bloomberg",AH!$U$5=0)),"",IFERROR(IF(AND(AH!$U$12=1,2811+1=AH!$U$6),TODAY(),IF(AH!$U$5=1,INDEX('Live History'!$A$5:$A$3004,AH!$U$7+2811),INDEX('AH History'!$A$5:$A$1380,AH!$U$7+2811))),""))</f>
        <v/>
      </c>
      <c r="B2816" s="33">
        <f>IFERROR(IF(AH!$U$11=1,NA(),$J2816/$E2816-1),NA())</f>
        <v/>
      </c>
      <c r="C2816" s="269">
        <f>IFERROR(100*$E2816/$E$5,NA())</f>
        <v/>
      </c>
      <c r="D2816" s="269">
        <f>IFERROR(100*$J2816/$J$5,NA())</f>
        <v/>
      </c>
      <c r="E2816" s="32">
        <f>IFERROR(IF(AND(ISNUMBER($A2816),N(IF(AND(AH!$U$12=1,2811+1=AH!$U$6),IF(AH!$U$4=0,"unavailable",INDEX('Market Data'!$AN$5:$AN$66,AH!$U$4)),IF(AH!$U$5=1,INDEX('Live History'!$B$5:$B$3004,$K2816),INDEX('AH History'!$D$5:$GG$1380,$K2816,AH!$U$10))))&gt;0),IF(AND(AH!$U$12=1,2811+1=AH!$U$6),IF(AH!$U$4=0,"unavailable",INDEX('Market Data'!$AN$5:$AN$66,AH!$U$4)),IF(AH!$U$5=1,INDEX('Live History'!$B$5:$B$3004,$K2816),INDEX('AH History'!$D$5:$GG$1380,$K2816,AH!$U$10))),NA()),NA())</f>
        <v/>
      </c>
      <c r="F2816" s="32">
        <f>IFERROR(IF(ISNUMBER($A2816),IF(AND(AH!$U$12=1,2811+1=AH!$U$6),IF(AH!$U$4=0,"unavailable",INDEX('Market Data'!$AO$5:$AO$66,AH!$U$4)),IF(AH!$U$5=1,INDEX('Live History'!$E$5:$E$3004,MATCH($A2816,'Live History'!$D$5:$D$3004,1)),INDEX('AH History'!$D$5:$GG$1380,$K2816,AH!$U$10+1))),NA()),NA())</f>
        <v/>
      </c>
      <c r="G2816" s="34">
        <f>IFERROR(IF(ISNUMBER($A2816),IF(AND(AH!$U$12=1,2811+1=AH!$U$6),IF(AH!$U$4=0,"unavailable",INDEX('Market Data'!$AK$5:$AK$66,AH!$U$4)),IF(AH!$U$5=1,INDEX('Live History'!$D$5:$D$3004,MATCH($A2816,'Live History'!$D$5:$D$3004,1)),INDEX('AH History'!$D$5:$GG$1380,$K2816,AH!$U$10+2))),NA()),NA())</f>
        <v/>
      </c>
      <c r="H2816" s="266">
        <f>IFERROR(IF(ISNUMBER($A2816),IF(AND(AH!$U$12=1,2811+1=AH!$U$6),IF(AH!$U$4=0,"unavailable",INDEX('Market Data'!$AP$5:$AP$66,AH!$U$4)),IF(AH!$U$5=1,INDEX('Live History'!$H$5:$H$3004,MATCH($A2816,'Live History'!$G$5:$G$3004,1)),INDEX('AH History'!$B$5:$B$1380,$K2816))),NA()),NA())</f>
        <v/>
      </c>
      <c r="I2816" s="34">
        <f>IFERROR(IF(ISNUMBER($A2816),IF(AND(AH!$U$12=1,2811+1=AH!$U$6),TODAY(),IF(AH!$U$5=1,INDEX('Live History'!$G$5:$G$3004,MATCH($A2816,'Live History'!$G$5:$G$3004,1)),INDEX('AH History'!$C$5:$C$1380,$K2816))),NA()),NA())</f>
        <v/>
      </c>
      <c r="J2816" s="32">
        <f>IFERROR(IF(AND($F2816&gt;0,$H2816&gt;0,$A2816-$G2816&lt;=10,$A2816-$I2816&lt;=5,$G2816&gt;0,$I2816&gt;0),$F2816*$H2816,NA()),NA())</f>
        <v/>
      </c>
      <c r="K2816" s="15">
        <f>IF($A2816="","",IF(AH!$U$5=1,IFERROR(MATCH($A2816,'Live History'!$A$5:$A$3004,0),0),AH!$U$7+2811))</f>
        <v/>
      </c>
      <c r="L2816" s="15">
        <f>IF(ISNUMBER(A2816),TEXT(A2816,"dd-mmm-yy"),"")</f>
        <v/>
      </c>
    </row>
    <row r="2817">
      <c r="A2817" s="14">
        <f>IF(OR(AH!$U$4=0,2812+1&gt;AH!$U$6,AND(AH!$M$5="Bloomberg",AH!$U$5=0)),"",IFERROR(IF(AND(AH!$U$12=1,2812+1=AH!$U$6),TODAY(),IF(AH!$U$5=1,INDEX('Live History'!$A$5:$A$3004,AH!$U$7+2812),INDEX('AH History'!$A$5:$A$1380,AH!$U$7+2812))),""))</f>
        <v/>
      </c>
      <c r="B2817" s="33">
        <f>IFERROR(IF(AH!$U$11=1,NA(),$J2817/$E2817-1),NA())</f>
        <v/>
      </c>
      <c r="C2817" s="269">
        <f>IFERROR(100*$E2817/$E$5,NA())</f>
        <v/>
      </c>
      <c r="D2817" s="269">
        <f>IFERROR(100*$J2817/$J$5,NA())</f>
        <v/>
      </c>
      <c r="E2817" s="32">
        <f>IFERROR(IF(AND(ISNUMBER($A2817),N(IF(AND(AH!$U$12=1,2812+1=AH!$U$6),IF(AH!$U$4=0,"unavailable",INDEX('Market Data'!$AN$5:$AN$66,AH!$U$4)),IF(AH!$U$5=1,INDEX('Live History'!$B$5:$B$3004,$K2817),INDEX('AH History'!$D$5:$GG$1380,$K2817,AH!$U$10))))&gt;0),IF(AND(AH!$U$12=1,2812+1=AH!$U$6),IF(AH!$U$4=0,"unavailable",INDEX('Market Data'!$AN$5:$AN$66,AH!$U$4)),IF(AH!$U$5=1,INDEX('Live History'!$B$5:$B$3004,$K2817),INDEX('AH History'!$D$5:$GG$1380,$K2817,AH!$U$10))),NA()),NA())</f>
        <v/>
      </c>
      <c r="F2817" s="32">
        <f>IFERROR(IF(ISNUMBER($A2817),IF(AND(AH!$U$12=1,2812+1=AH!$U$6),IF(AH!$U$4=0,"unavailable",INDEX('Market Data'!$AO$5:$AO$66,AH!$U$4)),IF(AH!$U$5=1,INDEX('Live History'!$E$5:$E$3004,MATCH($A2817,'Live History'!$D$5:$D$3004,1)),INDEX('AH History'!$D$5:$GG$1380,$K2817,AH!$U$10+1))),NA()),NA())</f>
        <v/>
      </c>
      <c r="G2817" s="34">
        <f>IFERROR(IF(ISNUMBER($A2817),IF(AND(AH!$U$12=1,2812+1=AH!$U$6),IF(AH!$U$4=0,"unavailable",INDEX('Market Data'!$AK$5:$AK$66,AH!$U$4)),IF(AH!$U$5=1,INDEX('Live History'!$D$5:$D$3004,MATCH($A2817,'Live History'!$D$5:$D$3004,1)),INDEX('AH History'!$D$5:$GG$1380,$K2817,AH!$U$10+2))),NA()),NA())</f>
        <v/>
      </c>
      <c r="H2817" s="266">
        <f>IFERROR(IF(ISNUMBER($A2817),IF(AND(AH!$U$12=1,2812+1=AH!$U$6),IF(AH!$U$4=0,"unavailable",INDEX('Market Data'!$AP$5:$AP$66,AH!$U$4)),IF(AH!$U$5=1,INDEX('Live History'!$H$5:$H$3004,MATCH($A2817,'Live History'!$G$5:$G$3004,1)),INDEX('AH History'!$B$5:$B$1380,$K2817))),NA()),NA())</f>
        <v/>
      </c>
      <c r="I2817" s="34">
        <f>IFERROR(IF(ISNUMBER($A2817),IF(AND(AH!$U$12=1,2812+1=AH!$U$6),TODAY(),IF(AH!$U$5=1,INDEX('Live History'!$G$5:$G$3004,MATCH($A2817,'Live History'!$G$5:$G$3004,1)),INDEX('AH History'!$C$5:$C$1380,$K2817))),NA()),NA())</f>
        <v/>
      </c>
      <c r="J2817" s="32">
        <f>IFERROR(IF(AND($F2817&gt;0,$H2817&gt;0,$A2817-$G2817&lt;=10,$A2817-$I2817&lt;=5,$G2817&gt;0,$I2817&gt;0),$F2817*$H2817,NA()),NA())</f>
        <v/>
      </c>
      <c r="K2817" s="15">
        <f>IF($A2817="","",IF(AH!$U$5=1,IFERROR(MATCH($A2817,'Live History'!$A$5:$A$3004,0),0),AH!$U$7+2812))</f>
        <v/>
      </c>
      <c r="L2817" s="15">
        <f>IF(ISNUMBER(A2817),TEXT(A2817,"dd-mmm-yy"),"")</f>
        <v/>
      </c>
    </row>
    <row r="2818">
      <c r="A2818" s="14">
        <f>IF(OR(AH!$U$4=0,2813+1&gt;AH!$U$6,AND(AH!$M$5="Bloomberg",AH!$U$5=0)),"",IFERROR(IF(AND(AH!$U$12=1,2813+1=AH!$U$6),TODAY(),IF(AH!$U$5=1,INDEX('Live History'!$A$5:$A$3004,AH!$U$7+2813),INDEX('AH History'!$A$5:$A$1380,AH!$U$7+2813))),""))</f>
        <v/>
      </c>
      <c r="B2818" s="33">
        <f>IFERROR(IF(AH!$U$11=1,NA(),$J2818/$E2818-1),NA())</f>
        <v/>
      </c>
      <c r="C2818" s="269">
        <f>IFERROR(100*$E2818/$E$5,NA())</f>
        <v/>
      </c>
      <c r="D2818" s="269">
        <f>IFERROR(100*$J2818/$J$5,NA())</f>
        <v/>
      </c>
      <c r="E2818" s="32">
        <f>IFERROR(IF(AND(ISNUMBER($A2818),N(IF(AND(AH!$U$12=1,2813+1=AH!$U$6),IF(AH!$U$4=0,"unavailable",INDEX('Market Data'!$AN$5:$AN$66,AH!$U$4)),IF(AH!$U$5=1,INDEX('Live History'!$B$5:$B$3004,$K2818),INDEX('AH History'!$D$5:$GG$1380,$K2818,AH!$U$10))))&gt;0),IF(AND(AH!$U$12=1,2813+1=AH!$U$6),IF(AH!$U$4=0,"unavailable",INDEX('Market Data'!$AN$5:$AN$66,AH!$U$4)),IF(AH!$U$5=1,INDEX('Live History'!$B$5:$B$3004,$K2818),INDEX('AH History'!$D$5:$GG$1380,$K2818,AH!$U$10))),NA()),NA())</f>
        <v/>
      </c>
      <c r="F2818" s="32">
        <f>IFERROR(IF(ISNUMBER($A2818),IF(AND(AH!$U$12=1,2813+1=AH!$U$6),IF(AH!$U$4=0,"unavailable",INDEX('Market Data'!$AO$5:$AO$66,AH!$U$4)),IF(AH!$U$5=1,INDEX('Live History'!$E$5:$E$3004,MATCH($A2818,'Live History'!$D$5:$D$3004,1)),INDEX('AH History'!$D$5:$GG$1380,$K2818,AH!$U$10+1))),NA()),NA())</f>
        <v/>
      </c>
      <c r="G2818" s="34">
        <f>IFERROR(IF(ISNUMBER($A2818),IF(AND(AH!$U$12=1,2813+1=AH!$U$6),IF(AH!$U$4=0,"unavailable",INDEX('Market Data'!$AK$5:$AK$66,AH!$U$4)),IF(AH!$U$5=1,INDEX('Live History'!$D$5:$D$3004,MATCH($A2818,'Live History'!$D$5:$D$3004,1)),INDEX('AH History'!$D$5:$GG$1380,$K2818,AH!$U$10+2))),NA()),NA())</f>
        <v/>
      </c>
      <c r="H2818" s="266">
        <f>IFERROR(IF(ISNUMBER($A2818),IF(AND(AH!$U$12=1,2813+1=AH!$U$6),IF(AH!$U$4=0,"unavailable",INDEX('Market Data'!$AP$5:$AP$66,AH!$U$4)),IF(AH!$U$5=1,INDEX('Live History'!$H$5:$H$3004,MATCH($A2818,'Live History'!$G$5:$G$3004,1)),INDEX('AH History'!$B$5:$B$1380,$K2818))),NA()),NA())</f>
        <v/>
      </c>
      <c r="I2818" s="34">
        <f>IFERROR(IF(ISNUMBER($A2818),IF(AND(AH!$U$12=1,2813+1=AH!$U$6),TODAY(),IF(AH!$U$5=1,INDEX('Live History'!$G$5:$G$3004,MATCH($A2818,'Live History'!$G$5:$G$3004,1)),INDEX('AH History'!$C$5:$C$1380,$K2818))),NA()),NA())</f>
        <v/>
      </c>
      <c r="J2818" s="32">
        <f>IFERROR(IF(AND($F2818&gt;0,$H2818&gt;0,$A2818-$G2818&lt;=10,$A2818-$I2818&lt;=5,$G2818&gt;0,$I2818&gt;0),$F2818*$H2818,NA()),NA())</f>
        <v/>
      </c>
      <c r="K2818" s="15">
        <f>IF($A2818="","",IF(AH!$U$5=1,IFERROR(MATCH($A2818,'Live History'!$A$5:$A$3004,0),0),AH!$U$7+2813))</f>
        <v/>
      </c>
      <c r="L2818" s="15">
        <f>IF(ISNUMBER(A2818),TEXT(A2818,"dd-mmm-yy"),"")</f>
        <v/>
      </c>
    </row>
    <row r="2819">
      <c r="A2819" s="14">
        <f>IF(OR(AH!$U$4=0,2814+1&gt;AH!$U$6,AND(AH!$M$5="Bloomberg",AH!$U$5=0)),"",IFERROR(IF(AND(AH!$U$12=1,2814+1=AH!$U$6),TODAY(),IF(AH!$U$5=1,INDEX('Live History'!$A$5:$A$3004,AH!$U$7+2814),INDEX('AH History'!$A$5:$A$1380,AH!$U$7+2814))),""))</f>
        <v/>
      </c>
      <c r="B2819" s="33">
        <f>IFERROR(IF(AH!$U$11=1,NA(),$J2819/$E2819-1),NA())</f>
        <v/>
      </c>
      <c r="C2819" s="269">
        <f>IFERROR(100*$E2819/$E$5,NA())</f>
        <v/>
      </c>
      <c r="D2819" s="269">
        <f>IFERROR(100*$J2819/$J$5,NA())</f>
        <v/>
      </c>
      <c r="E2819" s="32">
        <f>IFERROR(IF(AND(ISNUMBER($A2819),N(IF(AND(AH!$U$12=1,2814+1=AH!$U$6),IF(AH!$U$4=0,"unavailable",INDEX('Market Data'!$AN$5:$AN$66,AH!$U$4)),IF(AH!$U$5=1,INDEX('Live History'!$B$5:$B$3004,$K2819),INDEX('AH History'!$D$5:$GG$1380,$K2819,AH!$U$10))))&gt;0),IF(AND(AH!$U$12=1,2814+1=AH!$U$6),IF(AH!$U$4=0,"unavailable",INDEX('Market Data'!$AN$5:$AN$66,AH!$U$4)),IF(AH!$U$5=1,INDEX('Live History'!$B$5:$B$3004,$K2819),INDEX('AH History'!$D$5:$GG$1380,$K2819,AH!$U$10))),NA()),NA())</f>
        <v/>
      </c>
      <c r="F2819" s="32">
        <f>IFERROR(IF(ISNUMBER($A2819),IF(AND(AH!$U$12=1,2814+1=AH!$U$6),IF(AH!$U$4=0,"unavailable",INDEX('Market Data'!$AO$5:$AO$66,AH!$U$4)),IF(AH!$U$5=1,INDEX('Live History'!$E$5:$E$3004,MATCH($A2819,'Live History'!$D$5:$D$3004,1)),INDEX('AH History'!$D$5:$GG$1380,$K2819,AH!$U$10+1))),NA()),NA())</f>
        <v/>
      </c>
      <c r="G2819" s="34">
        <f>IFERROR(IF(ISNUMBER($A2819),IF(AND(AH!$U$12=1,2814+1=AH!$U$6),IF(AH!$U$4=0,"unavailable",INDEX('Market Data'!$AK$5:$AK$66,AH!$U$4)),IF(AH!$U$5=1,INDEX('Live History'!$D$5:$D$3004,MATCH($A2819,'Live History'!$D$5:$D$3004,1)),INDEX('AH History'!$D$5:$GG$1380,$K2819,AH!$U$10+2))),NA()),NA())</f>
        <v/>
      </c>
      <c r="H2819" s="266">
        <f>IFERROR(IF(ISNUMBER($A2819),IF(AND(AH!$U$12=1,2814+1=AH!$U$6),IF(AH!$U$4=0,"unavailable",INDEX('Market Data'!$AP$5:$AP$66,AH!$U$4)),IF(AH!$U$5=1,INDEX('Live History'!$H$5:$H$3004,MATCH($A2819,'Live History'!$G$5:$G$3004,1)),INDEX('AH History'!$B$5:$B$1380,$K2819))),NA()),NA())</f>
        <v/>
      </c>
      <c r="I2819" s="34">
        <f>IFERROR(IF(ISNUMBER($A2819),IF(AND(AH!$U$12=1,2814+1=AH!$U$6),TODAY(),IF(AH!$U$5=1,INDEX('Live History'!$G$5:$G$3004,MATCH($A2819,'Live History'!$G$5:$G$3004,1)),INDEX('AH History'!$C$5:$C$1380,$K2819))),NA()),NA())</f>
        <v/>
      </c>
      <c r="J2819" s="32">
        <f>IFERROR(IF(AND($F2819&gt;0,$H2819&gt;0,$A2819-$G2819&lt;=10,$A2819-$I2819&lt;=5,$G2819&gt;0,$I2819&gt;0),$F2819*$H2819,NA()),NA())</f>
        <v/>
      </c>
      <c r="K2819" s="15">
        <f>IF($A2819="","",IF(AH!$U$5=1,IFERROR(MATCH($A2819,'Live History'!$A$5:$A$3004,0),0),AH!$U$7+2814))</f>
        <v/>
      </c>
      <c r="L2819" s="15">
        <f>IF(ISNUMBER(A2819),TEXT(A2819,"dd-mmm-yy"),"")</f>
        <v/>
      </c>
    </row>
    <row r="2820">
      <c r="A2820" s="14">
        <f>IF(OR(AH!$U$4=0,2815+1&gt;AH!$U$6,AND(AH!$M$5="Bloomberg",AH!$U$5=0)),"",IFERROR(IF(AND(AH!$U$12=1,2815+1=AH!$U$6),TODAY(),IF(AH!$U$5=1,INDEX('Live History'!$A$5:$A$3004,AH!$U$7+2815),INDEX('AH History'!$A$5:$A$1380,AH!$U$7+2815))),""))</f>
        <v/>
      </c>
      <c r="B2820" s="33">
        <f>IFERROR(IF(AH!$U$11=1,NA(),$J2820/$E2820-1),NA())</f>
        <v/>
      </c>
      <c r="C2820" s="269">
        <f>IFERROR(100*$E2820/$E$5,NA())</f>
        <v/>
      </c>
      <c r="D2820" s="269">
        <f>IFERROR(100*$J2820/$J$5,NA())</f>
        <v/>
      </c>
      <c r="E2820" s="32">
        <f>IFERROR(IF(AND(ISNUMBER($A2820),N(IF(AND(AH!$U$12=1,2815+1=AH!$U$6),IF(AH!$U$4=0,"unavailable",INDEX('Market Data'!$AN$5:$AN$66,AH!$U$4)),IF(AH!$U$5=1,INDEX('Live History'!$B$5:$B$3004,$K2820),INDEX('AH History'!$D$5:$GG$1380,$K2820,AH!$U$10))))&gt;0),IF(AND(AH!$U$12=1,2815+1=AH!$U$6),IF(AH!$U$4=0,"unavailable",INDEX('Market Data'!$AN$5:$AN$66,AH!$U$4)),IF(AH!$U$5=1,INDEX('Live History'!$B$5:$B$3004,$K2820),INDEX('AH History'!$D$5:$GG$1380,$K2820,AH!$U$10))),NA()),NA())</f>
        <v/>
      </c>
      <c r="F2820" s="32">
        <f>IFERROR(IF(ISNUMBER($A2820),IF(AND(AH!$U$12=1,2815+1=AH!$U$6),IF(AH!$U$4=0,"unavailable",INDEX('Market Data'!$AO$5:$AO$66,AH!$U$4)),IF(AH!$U$5=1,INDEX('Live History'!$E$5:$E$3004,MATCH($A2820,'Live History'!$D$5:$D$3004,1)),INDEX('AH History'!$D$5:$GG$1380,$K2820,AH!$U$10+1))),NA()),NA())</f>
        <v/>
      </c>
      <c r="G2820" s="34">
        <f>IFERROR(IF(ISNUMBER($A2820),IF(AND(AH!$U$12=1,2815+1=AH!$U$6),IF(AH!$U$4=0,"unavailable",INDEX('Market Data'!$AK$5:$AK$66,AH!$U$4)),IF(AH!$U$5=1,INDEX('Live History'!$D$5:$D$3004,MATCH($A2820,'Live History'!$D$5:$D$3004,1)),INDEX('AH History'!$D$5:$GG$1380,$K2820,AH!$U$10+2))),NA()),NA())</f>
        <v/>
      </c>
      <c r="H2820" s="266">
        <f>IFERROR(IF(ISNUMBER($A2820),IF(AND(AH!$U$12=1,2815+1=AH!$U$6),IF(AH!$U$4=0,"unavailable",INDEX('Market Data'!$AP$5:$AP$66,AH!$U$4)),IF(AH!$U$5=1,INDEX('Live History'!$H$5:$H$3004,MATCH($A2820,'Live History'!$G$5:$G$3004,1)),INDEX('AH History'!$B$5:$B$1380,$K2820))),NA()),NA())</f>
        <v/>
      </c>
      <c r="I2820" s="34">
        <f>IFERROR(IF(ISNUMBER($A2820),IF(AND(AH!$U$12=1,2815+1=AH!$U$6),TODAY(),IF(AH!$U$5=1,INDEX('Live History'!$G$5:$G$3004,MATCH($A2820,'Live History'!$G$5:$G$3004,1)),INDEX('AH History'!$C$5:$C$1380,$K2820))),NA()),NA())</f>
        <v/>
      </c>
      <c r="J2820" s="32">
        <f>IFERROR(IF(AND($F2820&gt;0,$H2820&gt;0,$A2820-$G2820&lt;=10,$A2820-$I2820&lt;=5,$G2820&gt;0,$I2820&gt;0),$F2820*$H2820,NA()),NA())</f>
        <v/>
      </c>
      <c r="K2820" s="15">
        <f>IF($A2820="","",IF(AH!$U$5=1,IFERROR(MATCH($A2820,'Live History'!$A$5:$A$3004,0),0),AH!$U$7+2815))</f>
        <v/>
      </c>
      <c r="L2820" s="15">
        <f>IF(ISNUMBER(A2820),TEXT(A2820,"dd-mmm-yy"),"")</f>
        <v/>
      </c>
    </row>
    <row r="2821">
      <c r="A2821" s="14">
        <f>IF(OR(AH!$U$4=0,2816+1&gt;AH!$U$6,AND(AH!$M$5="Bloomberg",AH!$U$5=0)),"",IFERROR(IF(AND(AH!$U$12=1,2816+1=AH!$U$6),TODAY(),IF(AH!$U$5=1,INDEX('Live History'!$A$5:$A$3004,AH!$U$7+2816),INDEX('AH History'!$A$5:$A$1380,AH!$U$7+2816))),""))</f>
        <v/>
      </c>
      <c r="B2821" s="33">
        <f>IFERROR(IF(AH!$U$11=1,NA(),$J2821/$E2821-1),NA())</f>
        <v/>
      </c>
      <c r="C2821" s="269">
        <f>IFERROR(100*$E2821/$E$5,NA())</f>
        <v/>
      </c>
      <c r="D2821" s="269">
        <f>IFERROR(100*$J2821/$J$5,NA())</f>
        <v/>
      </c>
      <c r="E2821" s="32">
        <f>IFERROR(IF(AND(ISNUMBER($A2821),N(IF(AND(AH!$U$12=1,2816+1=AH!$U$6),IF(AH!$U$4=0,"unavailable",INDEX('Market Data'!$AN$5:$AN$66,AH!$U$4)),IF(AH!$U$5=1,INDEX('Live History'!$B$5:$B$3004,$K2821),INDEX('AH History'!$D$5:$GG$1380,$K2821,AH!$U$10))))&gt;0),IF(AND(AH!$U$12=1,2816+1=AH!$U$6),IF(AH!$U$4=0,"unavailable",INDEX('Market Data'!$AN$5:$AN$66,AH!$U$4)),IF(AH!$U$5=1,INDEX('Live History'!$B$5:$B$3004,$K2821),INDEX('AH History'!$D$5:$GG$1380,$K2821,AH!$U$10))),NA()),NA())</f>
        <v/>
      </c>
      <c r="F2821" s="32">
        <f>IFERROR(IF(ISNUMBER($A2821),IF(AND(AH!$U$12=1,2816+1=AH!$U$6),IF(AH!$U$4=0,"unavailable",INDEX('Market Data'!$AO$5:$AO$66,AH!$U$4)),IF(AH!$U$5=1,INDEX('Live History'!$E$5:$E$3004,MATCH($A2821,'Live History'!$D$5:$D$3004,1)),INDEX('AH History'!$D$5:$GG$1380,$K2821,AH!$U$10+1))),NA()),NA())</f>
        <v/>
      </c>
      <c r="G2821" s="34">
        <f>IFERROR(IF(ISNUMBER($A2821),IF(AND(AH!$U$12=1,2816+1=AH!$U$6),IF(AH!$U$4=0,"unavailable",INDEX('Market Data'!$AK$5:$AK$66,AH!$U$4)),IF(AH!$U$5=1,INDEX('Live History'!$D$5:$D$3004,MATCH($A2821,'Live History'!$D$5:$D$3004,1)),INDEX('AH History'!$D$5:$GG$1380,$K2821,AH!$U$10+2))),NA()),NA())</f>
        <v/>
      </c>
      <c r="H2821" s="266">
        <f>IFERROR(IF(ISNUMBER($A2821),IF(AND(AH!$U$12=1,2816+1=AH!$U$6),IF(AH!$U$4=0,"unavailable",INDEX('Market Data'!$AP$5:$AP$66,AH!$U$4)),IF(AH!$U$5=1,INDEX('Live History'!$H$5:$H$3004,MATCH($A2821,'Live History'!$G$5:$G$3004,1)),INDEX('AH History'!$B$5:$B$1380,$K2821))),NA()),NA())</f>
        <v/>
      </c>
      <c r="I2821" s="34">
        <f>IFERROR(IF(ISNUMBER($A2821),IF(AND(AH!$U$12=1,2816+1=AH!$U$6),TODAY(),IF(AH!$U$5=1,INDEX('Live History'!$G$5:$G$3004,MATCH($A2821,'Live History'!$G$5:$G$3004,1)),INDEX('AH History'!$C$5:$C$1380,$K2821))),NA()),NA())</f>
        <v/>
      </c>
      <c r="J2821" s="32">
        <f>IFERROR(IF(AND($F2821&gt;0,$H2821&gt;0,$A2821-$G2821&lt;=10,$A2821-$I2821&lt;=5,$G2821&gt;0,$I2821&gt;0),$F2821*$H2821,NA()),NA())</f>
        <v/>
      </c>
      <c r="K2821" s="15">
        <f>IF($A2821="","",IF(AH!$U$5=1,IFERROR(MATCH($A2821,'Live History'!$A$5:$A$3004,0),0),AH!$U$7+2816))</f>
        <v/>
      </c>
      <c r="L2821" s="15">
        <f>IF(ISNUMBER(A2821),TEXT(A2821,"dd-mmm-yy"),"")</f>
        <v/>
      </c>
    </row>
    <row r="2822">
      <c r="A2822" s="14">
        <f>IF(OR(AH!$U$4=0,2817+1&gt;AH!$U$6,AND(AH!$M$5="Bloomberg",AH!$U$5=0)),"",IFERROR(IF(AND(AH!$U$12=1,2817+1=AH!$U$6),TODAY(),IF(AH!$U$5=1,INDEX('Live History'!$A$5:$A$3004,AH!$U$7+2817),INDEX('AH History'!$A$5:$A$1380,AH!$U$7+2817))),""))</f>
        <v/>
      </c>
      <c r="B2822" s="33">
        <f>IFERROR(IF(AH!$U$11=1,NA(),$J2822/$E2822-1),NA())</f>
        <v/>
      </c>
      <c r="C2822" s="269">
        <f>IFERROR(100*$E2822/$E$5,NA())</f>
        <v/>
      </c>
      <c r="D2822" s="269">
        <f>IFERROR(100*$J2822/$J$5,NA())</f>
        <v/>
      </c>
      <c r="E2822" s="32">
        <f>IFERROR(IF(AND(ISNUMBER($A2822),N(IF(AND(AH!$U$12=1,2817+1=AH!$U$6),IF(AH!$U$4=0,"unavailable",INDEX('Market Data'!$AN$5:$AN$66,AH!$U$4)),IF(AH!$U$5=1,INDEX('Live History'!$B$5:$B$3004,$K2822),INDEX('AH History'!$D$5:$GG$1380,$K2822,AH!$U$10))))&gt;0),IF(AND(AH!$U$12=1,2817+1=AH!$U$6),IF(AH!$U$4=0,"unavailable",INDEX('Market Data'!$AN$5:$AN$66,AH!$U$4)),IF(AH!$U$5=1,INDEX('Live History'!$B$5:$B$3004,$K2822),INDEX('AH History'!$D$5:$GG$1380,$K2822,AH!$U$10))),NA()),NA())</f>
        <v/>
      </c>
      <c r="F2822" s="32">
        <f>IFERROR(IF(ISNUMBER($A2822),IF(AND(AH!$U$12=1,2817+1=AH!$U$6),IF(AH!$U$4=0,"unavailable",INDEX('Market Data'!$AO$5:$AO$66,AH!$U$4)),IF(AH!$U$5=1,INDEX('Live History'!$E$5:$E$3004,MATCH($A2822,'Live History'!$D$5:$D$3004,1)),INDEX('AH History'!$D$5:$GG$1380,$K2822,AH!$U$10+1))),NA()),NA())</f>
        <v/>
      </c>
      <c r="G2822" s="34">
        <f>IFERROR(IF(ISNUMBER($A2822),IF(AND(AH!$U$12=1,2817+1=AH!$U$6),IF(AH!$U$4=0,"unavailable",INDEX('Market Data'!$AK$5:$AK$66,AH!$U$4)),IF(AH!$U$5=1,INDEX('Live History'!$D$5:$D$3004,MATCH($A2822,'Live History'!$D$5:$D$3004,1)),INDEX('AH History'!$D$5:$GG$1380,$K2822,AH!$U$10+2))),NA()),NA())</f>
        <v/>
      </c>
      <c r="H2822" s="266">
        <f>IFERROR(IF(ISNUMBER($A2822),IF(AND(AH!$U$12=1,2817+1=AH!$U$6),IF(AH!$U$4=0,"unavailable",INDEX('Market Data'!$AP$5:$AP$66,AH!$U$4)),IF(AH!$U$5=1,INDEX('Live History'!$H$5:$H$3004,MATCH($A2822,'Live History'!$G$5:$G$3004,1)),INDEX('AH History'!$B$5:$B$1380,$K2822))),NA()),NA())</f>
        <v/>
      </c>
      <c r="I2822" s="34">
        <f>IFERROR(IF(ISNUMBER($A2822),IF(AND(AH!$U$12=1,2817+1=AH!$U$6),TODAY(),IF(AH!$U$5=1,INDEX('Live History'!$G$5:$G$3004,MATCH($A2822,'Live History'!$G$5:$G$3004,1)),INDEX('AH History'!$C$5:$C$1380,$K2822))),NA()),NA())</f>
        <v/>
      </c>
      <c r="J2822" s="32">
        <f>IFERROR(IF(AND($F2822&gt;0,$H2822&gt;0,$A2822-$G2822&lt;=10,$A2822-$I2822&lt;=5,$G2822&gt;0,$I2822&gt;0),$F2822*$H2822,NA()),NA())</f>
        <v/>
      </c>
      <c r="K2822" s="15">
        <f>IF($A2822="","",IF(AH!$U$5=1,IFERROR(MATCH($A2822,'Live History'!$A$5:$A$3004,0),0),AH!$U$7+2817))</f>
        <v/>
      </c>
      <c r="L2822" s="15">
        <f>IF(ISNUMBER(A2822),TEXT(A2822,"dd-mmm-yy"),"")</f>
        <v/>
      </c>
    </row>
    <row r="2823">
      <c r="A2823" s="14">
        <f>IF(OR(AH!$U$4=0,2818+1&gt;AH!$U$6,AND(AH!$M$5="Bloomberg",AH!$U$5=0)),"",IFERROR(IF(AND(AH!$U$12=1,2818+1=AH!$U$6),TODAY(),IF(AH!$U$5=1,INDEX('Live History'!$A$5:$A$3004,AH!$U$7+2818),INDEX('AH History'!$A$5:$A$1380,AH!$U$7+2818))),""))</f>
        <v/>
      </c>
      <c r="B2823" s="33">
        <f>IFERROR(IF(AH!$U$11=1,NA(),$J2823/$E2823-1),NA())</f>
        <v/>
      </c>
      <c r="C2823" s="269">
        <f>IFERROR(100*$E2823/$E$5,NA())</f>
        <v/>
      </c>
      <c r="D2823" s="269">
        <f>IFERROR(100*$J2823/$J$5,NA())</f>
        <v/>
      </c>
      <c r="E2823" s="32">
        <f>IFERROR(IF(AND(ISNUMBER($A2823),N(IF(AND(AH!$U$12=1,2818+1=AH!$U$6),IF(AH!$U$4=0,"unavailable",INDEX('Market Data'!$AN$5:$AN$66,AH!$U$4)),IF(AH!$U$5=1,INDEX('Live History'!$B$5:$B$3004,$K2823),INDEX('AH History'!$D$5:$GG$1380,$K2823,AH!$U$10))))&gt;0),IF(AND(AH!$U$12=1,2818+1=AH!$U$6),IF(AH!$U$4=0,"unavailable",INDEX('Market Data'!$AN$5:$AN$66,AH!$U$4)),IF(AH!$U$5=1,INDEX('Live History'!$B$5:$B$3004,$K2823),INDEX('AH History'!$D$5:$GG$1380,$K2823,AH!$U$10))),NA()),NA())</f>
        <v/>
      </c>
      <c r="F2823" s="32">
        <f>IFERROR(IF(ISNUMBER($A2823),IF(AND(AH!$U$12=1,2818+1=AH!$U$6),IF(AH!$U$4=0,"unavailable",INDEX('Market Data'!$AO$5:$AO$66,AH!$U$4)),IF(AH!$U$5=1,INDEX('Live History'!$E$5:$E$3004,MATCH($A2823,'Live History'!$D$5:$D$3004,1)),INDEX('AH History'!$D$5:$GG$1380,$K2823,AH!$U$10+1))),NA()),NA())</f>
        <v/>
      </c>
      <c r="G2823" s="34">
        <f>IFERROR(IF(ISNUMBER($A2823),IF(AND(AH!$U$12=1,2818+1=AH!$U$6),IF(AH!$U$4=0,"unavailable",INDEX('Market Data'!$AK$5:$AK$66,AH!$U$4)),IF(AH!$U$5=1,INDEX('Live History'!$D$5:$D$3004,MATCH($A2823,'Live History'!$D$5:$D$3004,1)),INDEX('AH History'!$D$5:$GG$1380,$K2823,AH!$U$10+2))),NA()),NA())</f>
        <v/>
      </c>
      <c r="H2823" s="266">
        <f>IFERROR(IF(ISNUMBER($A2823),IF(AND(AH!$U$12=1,2818+1=AH!$U$6),IF(AH!$U$4=0,"unavailable",INDEX('Market Data'!$AP$5:$AP$66,AH!$U$4)),IF(AH!$U$5=1,INDEX('Live History'!$H$5:$H$3004,MATCH($A2823,'Live History'!$G$5:$G$3004,1)),INDEX('AH History'!$B$5:$B$1380,$K2823))),NA()),NA())</f>
        <v/>
      </c>
      <c r="I2823" s="34">
        <f>IFERROR(IF(ISNUMBER($A2823),IF(AND(AH!$U$12=1,2818+1=AH!$U$6),TODAY(),IF(AH!$U$5=1,INDEX('Live History'!$G$5:$G$3004,MATCH($A2823,'Live History'!$G$5:$G$3004,1)),INDEX('AH History'!$C$5:$C$1380,$K2823))),NA()),NA())</f>
        <v/>
      </c>
      <c r="J2823" s="32">
        <f>IFERROR(IF(AND($F2823&gt;0,$H2823&gt;0,$A2823-$G2823&lt;=10,$A2823-$I2823&lt;=5,$G2823&gt;0,$I2823&gt;0),$F2823*$H2823,NA()),NA())</f>
        <v/>
      </c>
      <c r="K2823" s="15">
        <f>IF($A2823="","",IF(AH!$U$5=1,IFERROR(MATCH($A2823,'Live History'!$A$5:$A$3004,0),0),AH!$U$7+2818))</f>
        <v/>
      </c>
      <c r="L2823" s="15">
        <f>IF(ISNUMBER(A2823),TEXT(A2823,"dd-mmm-yy"),"")</f>
        <v/>
      </c>
    </row>
    <row r="2824">
      <c r="A2824" s="14">
        <f>IF(OR(AH!$U$4=0,2819+1&gt;AH!$U$6,AND(AH!$M$5="Bloomberg",AH!$U$5=0)),"",IFERROR(IF(AND(AH!$U$12=1,2819+1=AH!$U$6),TODAY(),IF(AH!$U$5=1,INDEX('Live History'!$A$5:$A$3004,AH!$U$7+2819),INDEX('AH History'!$A$5:$A$1380,AH!$U$7+2819))),""))</f>
        <v/>
      </c>
      <c r="B2824" s="33">
        <f>IFERROR(IF(AH!$U$11=1,NA(),$J2824/$E2824-1),NA())</f>
        <v/>
      </c>
      <c r="C2824" s="269">
        <f>IFERROR(100*$E2824/$E$5,NA())</f>
        <v/>
      </c>
      <c r="D2824" s="269">
        <f>IFERROR(100*$J2824/$J$5,NA())</f>
        <v/>
      </c>
      <c r="E2824" s="32">
        <f>IFERROR(IF(AND(ISNUMBER($A2824),N(IF(AND(AH!$U$12=1,2819+1=AH!$U$6),IF(AH!$U$4=0,"unavailable",INDEX('Market Data'!$AN$5:$AN$66,AH!$U$4)),IF(AH!$U$5=1,INDEX('Live History'!$B$5:$B$3004,$K2824),INDEX('AH History'!$D$5:$GG$1380,$K2824,AH!$U$10))))&gt;0),IF(AND(AH!$U$12=1,2819+1=AH!$U$6),IF(AH!$U$4=0,"unavailable",INDEX('Market Data'!$AN$5:$AN$66,AH!$U$4)),IF(AH!$U$5=1,INDEX('Live History'!$B$5:$B$3004,$K2824),INDEX('AH History'!$D$5:$GG$1380,$K2824,AH!$U$10))),NA()),NA())</f>
        <v/>
      </c>
      <c r="F2824" s="32">
        <f>IFERROR(IF(ISNUMBER($A2824),IF(AND(AH!$U$12=1,2819+1=AH!$U$6),IF(AH!$U$4=0,"unavailable",INDEX('Market Data'!$AO$5:$AO$66,AH!$U$4)),IF(AH!$U$5=1,INDEX('Live History'!$E$5:$E$3004,MATCH($A2824,'Live History'!$D$5:$D$3004,1)),INDEX('AH History'!$D$5:$GG$1380,$K2824,AH!$U$10+1))),NA()),NA())</f>
        <v/>
      </c>
      <c r="G2824" s="34">
        <f>IFERROR(IF(ISNUMBER($A2824),IF(AND(AH!$U$12=1,2819+1=AH!$U$6),IF(AH!$U$4=0,"unavailable",INDEX('Market Data'!$AK$5:$AK$66,AH!$U$4)),IF(AH!$U$5=1,INDEX('Live History'!$D$5:$D$3004,MATCH($A2824,'Live History'!$D$5:$D$3004,1)),INDEX('AH History'!$D$5:$GG$1380,$K2824,AH!$U$10+2))),NA()),NA())</f>
        <v/>
      </c>
      <c r="H2824" s="266">
        <f>IFERROR(IF(ISNUMBER($A2824),IF(AND(AH!$U$12=1,2819+1=AH!$U$6),IF(AH!$U$4=0,"unavailable",INDEX('Market Data'!$AP$5:$AP$66,AH!$U$4)),IF(AH!$U$5=1,INDEX('Live History'!$H$5:$H$3004,MATCH($A2824,'Live History'!$G$5:$G$3004,1)),INDEX('AH History'!$B$5:$B$1380,$K2824))),NA()),NA())</f>
        <v/>
      </c>
      <c r="I2824" s="34">
        <f>IFERROR(IF(ISNUMBER($A2824),IF(AND(AH!$U$12=1,2819+1=AH!$U$6),TODAY(),IF(AH!$U$5=1,INDEX('Live History'!$G$5:$G$3004,MATCH($A2824,'Live History'!$G$5:$G$3004,1)),INDEX('AH History'!$C$5:$C$1380,$K2824))),NA()),NA())</f>
        <v/>
      </c>
      <c r="J2824" s="32">
        <f>IFERROR(IF(AND($F2824&gt;0,$H2824&gt;0,$A2824-$G2824&lt;=10,$A2824-$I2824&lt;=5,$G2824&gt;0,$I2824&gt;0),$F2824*$H2824,NA()),NA())</f>
        <v/>
      </c>
      <c r="K2824" s="15">
        <f>IF($A2824="","",IF(AH!$U$5=1,IFERROR(MATCH($A2824,'Live History'!$A$5:$A$3004,0),0),AH!$U$7+2819))</f>
        <v/>
      </c>
      <c r="L2824" s="15">
        <f>IF(ISNUMBER(A2824),TEXT(A2824,"dd-mmm-yy"),"")</f>
        <v/>
      </c>
    </row>
    <row r="2825">
      <c r="A2825" s="14">
        <f>IF(OR(AH!$U$4=0,2820+1&gt;AH!$U$6,AND(AH!$M$5="Bloomberg",AH!$U$5=0)),"",IFERROR(IF(AND(AH!$U$12=1,2820+1=AH!$U$6),TODAY(),IF(AH!$U$5=1,INDEX('Live History'!$A$5:$A$3004,AH!$U$7+2820),INDEX('AH History'!$A$5:$A$1380,AH!$U$7+2820))),""))</f>
        <v/>
      </c>
      <c r="B2825" s="33">
        <f>IFERROR(IF(AH!$U$11=1,NA(),$J2825/$E2825-1),NA())</f>
        <v/>
      </c>
      <c r="C2825" s="269">
        <f>IFERROR(100*$E2825/$E$5,NA())</f>
        <v/>
      </c>
      <c r="D2825" s="269">
        <f>IFERROR(100*$J2825/$J$5,NA())</f>
        <v/>
      </c>
      <c r="E2825" s="32">
        <f>IFERROR(IF(AND(ISNUMBER($A2825),N(IF(AND(AH!$U$12=1,2820+1=AH!$U$6),IF(AH!$U$4=0,"unavailable",INDEX('Market Data'!$AN$5:$AN$66,AH!$U$4)),IF(AH!$U$5=1,INDEX('Live History'!$B$5:$B$3004,$K2825),INDEX('AH History'!$D$5:$GG$1380,$K2825,AH!$U$10))))&gt;0),IF(AND(AH!$U$12=1,2820+1=AH!$U$6),IF(AH!$U$4=0,"unavailable",INDEX('Market Data'!$AN$5:$AN$66,AH!$U$4)),IF(AH!$U$5=1,INDEX('Live History'!$B$5:$B$3004,$K2825),INDEX('AH History'!$D$5:$GG$1380,$K2825,AH!$U$10))),NA()),NA())</f>
        <v/>
      </c>
      <c r="F2825" s="32">
        <f>IFERROR(IF(ISNUMBER($A2825),IF(AND(AH!$U$12=1,2820+1=AH!$U$6),IF(AH!$U$4=0,"unavailable",INDEX('Market Data'!$AO$5:$AO$66,AH!$U$4)),IF(AH!$U$5=1,INDEX('Live History'!$E$5:$E$3004,MATCH($A2825,'Live History'!$D$5:$D$3004,1)),INDEX('AH History'!$D$5:$GG$1380,$K2825,AH!$U$10+1))),NA()),NA())</f>
        <v/>
      </c>
      <c r="G2825" s="34">
        <f>IFERROR(IF(ISNUMBER($A2825),IF(AND(AH!$U$12=1,2820+1=AH!$U$6),IF(AH!$U$4=0,"unavailable",INDEX('Market Data'!$AK$5:$AK$66,AH!$U$4)),IF(AH!$U$5=1,INDEX('Live History'!$D$5:$D$3004,MATCH($A2825,'Live History'!$D$5:$D$3004,1)),INDEX('AH History'!$D$5:$GG$1380,$K2825,AH!$U$10+2))),NA()),NA())</f>
        <v/>
      </c>
      <c r="H2825" s="266">
        <f>IFERROR(IF(ISNUMBER($A2825),IF(AND(AH!$U$12=1,2820+1=AH!$U$6),IF(AH!$U$4=0,"unavailable",INDEX('Market Data'!$AP$5:$AP$66,AH!$U$4)),IF(AH!$U$5=1,INDEX('Live History'!$H$5:$H$3004,MATCH($A2825,'Live History'!$G$5:$G$3004,1)),INDEX('AH History'!$B$5:$B$1380,$K2825))),NA()),NA())</f>
        <v/>
      </c>
      <c r="I2825" s="34">
        <f>IFERROR(IF(ISNUMBER($A2825),IF(AND(AH!$U$12=1,2820+1=AH!$U$6),TODAY(),IF(AH!$U$5=1,INDEX('Live History'!$G$5:$G$3004,MATCH($A2825,'Live History'!$G$5:$G$3004,1)),INDEX('AH History'!$C$5:$C$1380,$K2825))),NA()),NA())</f>
        <v/>
      </c>
      <c r="J2825" s="32">
        <f>IFERROR(IF(AND($F2825&gt;0,$H2825&gt;0,$A2825-$G2825&lt;=10,$A2825-$I2825&lt;=5,$G2825&gt;0,$I2825&gt;0),$F2825*$H2825,NA()),NA())</f>
        <v/>
      </c>
      <c r="K2825" s="15">
        <f>IF($A2825="","",IF(AH!$U$5=1,IFERROR(MATCH($A2825,'Live History'!$A$5:$A$3004,0),0),AH!$U$7+2820))</f>
        <v/>
      </c>
      <c r="L2825" s="15">
        <f>IF(ISNUMBER(A2825),TEXT(A2825,"dd-mmm-yy"),"")</f>
        <v/>
      </c>
    </row>
    <row r="2826">
      <c r="A2826" s="14">
        <f>IF(OR(AH!$U$4=0,2821+1&gt;AH!$U$6,AND(AH!$M$5="Bloomberg",AH!$U$5=0)),"",IFERROR(IF(AND(AH!$U$12=1,2821+1=AH!$U$6),TODAY(),IF(AH!$U$5=1,INDEX('Live History'!$A$5:$A$3004,AH!$U$7+2821),INDEX('AH History'!$A$5:$A$1380,AH!$U$7+2821))),""))</f>
        <v/>
      </c>
      <c r="B2826" s="33">
        <f>IFERROR(IF(AH!$U$11=1,NA(),$J2826/$E2826-1),NA())</f>
        <v/>
      </c>
      <c r="C2826" s="269">
        <f>IFERROR(100*$E2826/$E$5,NA())</f>
        <v/>
      </c>
      <c r="D2826" s="269">
        <f>IFERROR(100*$J2826/$J$5,NA())</f>
        <v/>
      </c>
      <c r="E2826" s="32">
        <f>IFERROR(IF(AND(ISNUMBER($A2826),N(IF(AND(AH!$U$12=1,2821+1=AH!$U$6),IF(AH!$U$4=0,"unavailable",INDEX('Market Data'!$AN$5:$AN$66,AH!$U$4)),IF(AH!$U$5=1,INDEX('Live History'!$B$5:$B$3004,$K2826),INDEX('AH History'!$D$5:$GG$1380,$K2826,AH!$U$10))))&gt;0),IF(AND(AH!$U$12=1,2821+1=AH!$U$6),IF(AH!$U$4=0,"unavailable",INDEX('Market Data'!$AN$5:$AN$66,AH!$U$4)),IF(AH!$U$5=1,INDEX('Live History'!$B$5:$B$3004,$K2826),INDEX('AH History'!$D$5:$GG$1380,$K2826,AH!$U$10))),NA()),NA())</f>
        <v/>
      </c>
      <c r="F2826" s="32">
        <f>IFERROR(IF(ISNUMBER($A2826),IF(AND(AH!$U$12=1,2821+1=AH!$U$6),IF(AH!$U$4=0,"unavailable",INDEX('Market Data'!$AO$5:$AO$66,AH!$U$4)),IF(AH!$U$5=1,INDEX('Live History'!$E$5:$E$3004,MATCH($A2826,'Live History'!$D$5:$D$3004,1)),INDEX('AH History'!$D$5:$GG$1380,$K2826,AH!$U$10+1))),NA()),NA())</f>
        <v/>
      </c>
      <c r="G2826" s="34">
        <f>IFERROR(IF(ISNUMBER($A2826),IF(AND(AH!$U$12=1,2821+1=AH!$U$6),IF(AH!$U$4=0,"unavailable",INDEX('Market Data'!$AK$5:$AK$66,AH!$U$4)),IF(AH!$U$5=1,INDEX('Live History'!$D$5:$D$3004,MATCH($A2826,'Live History'!$D$5:$D$3004,1)),INDEX('AH History'!$D$5:$GG$1380,$K2826,AH!$U$10+2))),NA()),NA())</f>
        <v/>
      </c>
      <c r="H2826" s="266">
        <f>IFERROR(IF(ISNUMBER($A2826),IF(AND(AH!$U$12=1,2821+1=AH!$U$6),IF(AH!$U$4=0,"unavailable",INDEX('Market Data'!$AP$5:$AP$66,AH!$U$4)),IF(AH!$U$5=1,INDEX('Live History'!$H$5:$H$3004,MATCH($A2826,'Live History'!$G$5:$G$3004,1)),INDEX('AH History'!$B$5:$B$1380,$K2826))),NA()),NA())</f>
        <v/>
      </c>
      <c r="I2826" s="34">
        <f>IFERROR(IF(ISNUMBER($A2826),IF(AND(AH!$U$12=1,2821+1=AH!$U$6),TODAY(),IF(AH!$U$5=1,INDEX('Live History'!$G$5:$G$3004,MATCH($A2826,'Live History'!$G$5:$G$3004,1)),INDEX('AH History'!$C$5:$C$1380,$K2826))),NA()),NA())</f>
        <v/>
      </c>
      <c r="J2826" s="32">
        <f>IFERROR(IF(AND($F2826&gt;0,$H2826&gt;0,$A2826-$G2826&lt;=10,$A2826-$I2826&lt;=5,$G2826&gt;0,$I2826&gt;0),$F2826*$H2826,NA()),NA())</f>
        <v/>
      </c>
      <c r="K2826" s="15">
        <f>IF($A2826="","",IF(AH!$U$5=1,IFERROR(MATCH($A2826,'Live History'!$A$5:$A$3004,0),0),AH!$U$7+2821))</f>
        <v/>
      </c>
      <c r="L2826" s="15">
        <f>IF(ISNUMBER(A2826),TEXT(A2826,"dd-mmm-yy"),"")</f>
        <v/>
      </c>
    </row>
    <row r="2827">
      <c r="A2827" s="14">
        <f>IF(OR(AH!$U$4=0,2822+1&gt;AH!$U$6,AND(AH!$M$5="Bloomberg",AH!$U$5=0)),"",IFERROR(IF(AND(AH!$U$12=1,2822+1=AH!$U$6),TODAY(),IF(AH!$U$5=1,INDEX('Live History'!$A$5:$A$3004,AH!$U$7+2822),INDEX('AH History'!$A$5:$A$1380,AH!$U$7+2822))),""))</f>
        <v/>
      </c>
      <c r="B2827" s="33">
        <f>IFERROR(IF(AH!$U$11=1,NA(),$J2827/$E2827-1),NA())</f>
        <v/>
      </c>
      <c r="C2827" s="269">
        <f>IFERROR(100*$E2827/$E$5,NA())</f>
        <v/>
      </c>
      <c r="D2827" s="269">
        <f>IFERROR(100*$J2827/$J$5,NA())</f>
        <v/>
      </c>
      <c r="E2827" s="32">
        <f>IFERROR(IF(AND(ISNUMBER($A2827),N(IF(AND(AH!$U$12=1,2822+1=AH!$U$6),IF(AH!$U$4=0,"unavailable",INDEX('Market Data'!$AN$5:$AN$66,AH!$U$4)),IF(AH!$U$5=1,INDEX('Live History'!$B$5:$B$3004,$K2827),INDEX('AH History'!$D$5:$GG$1380,$K2827,AH!$U$10))))&gt;0),IF(AND(AH!$U$12=1,2822+1=AH!$U$6),IF(AH!$U$4=0,"unavailable",INDEX('Market Data'!$AN$5:$AN$66,AH!$U$4)),IF(AH!$U$5=1,INDEX('Live History'!$B$5:$B$3004,$K2827),INDEX('AH History'!$D$5:$GG$1380,$K2827,AH!$U$10))),NA()),NA())</f>
        <v/>
      </c>
      <c r="F2827" s="32">
        <f>IFERROR(IF(ISNUMBER($A2827),IF(AND(AH!$U$12=1,2822+1=AH!$U$6),IF(AH!$U$4=0,"unavailable",INDEX('Market Data'!$AO$5:$AO$66,AH!$U$4)),IF(AH!$U$5=1,INDEX('Live History'!$E$5:$E$3004,MATCH($A2827,'Live History'!$D$5:$D$3004,1)),INDEX('AH History'!$D$5:$GG$1380,$K2827,AH!$U$10+1))),NA()),NA())</f>
        <v/>
      </c>
      <c r="G2827" s="34">
        <f>IFERROR(IF(ISNUMBER($A2827),IF(AND(AH!$U$12=1,2822+1=AH!$U$6),IF(AH!$U$4=0,"unavailable",INDEX('Market Data'!$AK$5:$AK$66,AH!$U$4)),IF(AH!$U$5=1,INDEX('Live History'!$D$5:$D$3004,MATCH($A2827,'Live History'!$D$5:$D$3004,1)),INDEX('AH History'!$D$5:$GG$1380,$K2827,AH!$U$10+2))),NA()),NA())</f>
        <v/>
      </c>
      <c r="H2827" s="266">
        <f>IFERROR(IF(ISNUMBER($A2827),IF(AND(AH!$U$12=1,2822+1=AH!$U$6),IF(AH!$U$4=0,"unavailable",INDEX('Market Data'!$AP$5:$AP$66,AH!$U$4)),IF(AH!$U$5=1,INDEX('Live History'!$H$5:$H$3004,MATCH($A2827,'Live History'!$G$5:$G$3004,1)),INDEX('AH History'!$B$5:$B$1380,$K2827))),NA()),NA())</f>
        <v/>
      </c>
      <c r="I2827" s="34">
        <f>IFERROR(IF(ISNUMBER($A2827),IF(AND(AH!$U$12=1,2822+1=AH!$U$6),TODAY(),IF(AH!$U$5=1,INDEX('Live History'!$G$5:$G$3004,MATCH($A2827,'Live History'!$G$5:$G$3004,1)),INDEX('AH History'!$C$5:$C$1380,$K2827))),NA()),NA())</f>
        <v/>
      </c>
      <c r="J2827" s="32">
        <f>IFERROR(IF(AND($F2827&gt;0,$H2827&gt;0,$A2827-$G2827&lt;=10,$A2827-$I2827&lt;=5,$G2827&gt;0,$I2827&gt;0),$F2827*$H2827,NA()),NA())</f>
        <v/>
      </c>
      <c r="K2827" s="15">
        <f>IF($A2827="","",IF(AH!$U$5=1,IFERROR(MATCH($A2827,'Live History'!$A$5:$A$3004,0),0),AH!$U$7+2822))</f>
        <v/>
      </c>
      <c r="L2827" s="15">
        <f>IF(ISNUMBER(A2827),TEXT(A2827,"dd-mmm-yy"),"")</f>
        <v/>
      </c>
    </row>
    <row r="2828">
      <c r="A2828" s="14">
        <f>IF(OR(AH!$U$4=0,2823+1&gt;AH!$U$6,AND(AH!$M$5="Bloomberg",AH!$U$5=0)),"",IFERROR(IF(AND(AH!$U$12=1,2823+1=AH!$U$6),TODAY(),IF(AH!$U$5=1,INDEX('Live History'!$A$5:$A$3004,AH!$U$7+2823),INDEX('AH History'!$A$5:$A$1380,AH!$U$7+2823))),""))</f>
        <v/>
      </c>
      <c r="B2828" s="33">
        <f>IFERROR(IF(AH!$U$11=1,NA(),$J2828/$E2828-1),NA())</f>
        <v/>
      </c>
      <c r="C2828" s="269">
        <f>IFERROR(100*$E2828/$E$5,NA())</f>
        <v/>
      </c>
      <c r="D2828" s="269">
        <f>IFERROR(100*$J2828/$J$5,NA())</f>
        <v/>
      </c>
      <c r="E2828" s="32">
        <f>IFERROR(IF(AND(ISNUMBER($A2828),N(IF(AND(AH!$U$12=1,2823+1=AH!$U$6),IF(AH!$U$4=0,"unavailable",INDEX('Market Data'!$AN$5:$AN$66,AH!$U$4)),IF(AH!$U$5=1,INDEX('Live History'!$B$5:$B$3004,$K2828),INDEX('AH History'!$D$5:$GG$1380,$K2828,AH!$U$10))))&gt;0),IF(AND(AH!$U$12=1,2823+1=AH!$U$6),IF(AH!$U$4=0,"unavailable",INDEX('Market Data'!$AN$5:$AN$66,AH!$U$4)),IF(AH!$U$5=1,INDEX('Live History'!$B$5:$B$3004,$K2828),INDEX('AH History'!$D$5:$GG$1380,$K2828,AH!$U$10))),NA()),NA())</f>
        <v/>
      </c>
      <c r="F2828" s="32">
        <f>IFERROR(IF(ISNUMBER($A2828),IF(AND(AH!$U$12=1,2823+1=AH!$U$6),IF(AH!$U$4=0,"unavailable",INDEX('Market Data'!$AO$5:$AO$66,AH!$U$4)),IF(AH!$U$5=1,INDEX('Live History'!$E$5:$E$3004,MATCH($A2828,'Live History'!$D$5:$D$3004,1)),INDEX('AH History'!$D$5:$GG$1380,$K2828,AH!$U$10+1))),NA()),NA())</f>
        <v/>
      </c>
      <c r="G2828" s="34">
        <f>IFERROR(IF(ISNUMBER($A2828),IF(AND(AH!$U$12=1,2823+1=AH!$U$6),IF(AH!$U$4=0,"unavailable",INDEX('Market Data'!$AK$5:$AK$66,AH!$U$4)),IF(AH!$U$5=1,INDEX('Live History'!$D$5:$D$3004,MATCH($A2828,'Live History'!$D$5:$D$3004,1)),INDEX('AH History'!$D$5:$GG$1380,$K2828,AH!$U$10+2))),NA()),NA())</f>
        <v/>
      </c>
      <c r="H2828" s="266">
        <f>IFERROR(IF(ISNUMBER($A2828),IF(AND(AH!$U$12=1,2823+1=AH!$U$6),IF(AH!$U$4=0,"unavailable",INDEX('Market Data'!$AP$5:$AP$66,AH!$U$4)),IF(AH!$U$5=1,INDEX('Live History'!$H$5:$H$3004,MATCH($A2828,'Live History'!$G$5:$G$3004,1)),INDEX('AH History'!$B$5:$B$1380,$K2828))),NA()),NA())</f>
        <v/>
      </c>
      <c r="I2828" s="34">
        <f>IFERROR(IF(ISNUMBER($A2828),IF(AND(AH!$U$12=1,2823+1=AH!$U$6),TODAY(),IF(AH!$U$5=1,INDEX('Live History'!$G$5:$G$3004,MATCH($A2828,'Live History'!$G$5:$G$3004,1)),INDEX('AH History'!$C$5:$C$1380,$K2828))),NA()),NA())</f>
        <v/>
      </c>
      <c r="J2828" s="32">
        <f>IFERROR(IF(AND($F2828&gt;0,$H2828&gt;0,$A2828-$G2828&lt;=10,$A2828-$I2828&lt;=5,$G2828&gt;0,$I2828&gt;0),$F2828*$H2828,NA()),NA())</f>
        <v/>
      </c>
      <c r="K2828" s="15">
        <f>IF($A2828="","",IF(AH!$U$5=1,IFERROR(MATCH($A2828,'Live History'!$A$5:$A$3004,0),0),AH!$U$7+2823))</f>
        <v/>
      </c>
      <c r="L2828" s="15">
        <f>IF(ISNUMBER(A2828),TEXT(A2828,"dd-mmm-yy"),"")</f>
        <v/>
      </c>
    </row>
    <row r="2829">
      <c r="A2829" s="14">
        <f>IF(OR(AH!$U$4=0,2824+1&gt;AH!$U$6,AND(AH!$M$5="Bloomberg",AH!$U$5=0)),"",IFERROR(IF(AND(AH!$U$12=1,2824+1=AH!$U$6),TODAY(),IF(AH!$U$5=1,INDEX('Live History'!$A$5:$A$3004,AH!$U$7+2824),INDEX('AH History'!$A$5:$A$1380,AH!$U$7+2824))),""))</f>
        <v/>
      </c>
      <c r="B2829" s="33">
        <f>IFERROR(IF(AH!$U$11=1,NA(),$J2829/$E2829-1),NA())</f>
        <v/>
      </c>
      <c r="C2829" s="269">
        <f>IFERROR(100*$E2829/$E$5,NA())</f>
        <v/>
      </c>
      <c r="D2829" s="269">
        <f>IFERROR(100*$J2829/$J$5,NA())</f>
        <v/>
      </c>
      <c r="E2829" s="32">
        <f>IFERROR(IF(AND(ISNUMBER($A2829),N(IF(AND(AH!$U$12=1,2824+1=AH!$U$6),IF(AH!$U$4=0,"unavailable",INDEX('Market Data'!$AN$5:$AN$66,AH!$U$4)),IF(AH!$U$5=1,INDEX('Live History'!$B$5:$B$3004,$K2829),INDEX('AH History'!$D$5:$GG$1380,$K2829,AH!$U$10))))&gt;0),IF(AND(AH!$U$12=1,2824+1=AH!$U$6),IF(AH!$U$4=0,"unavailable",INDEX('Market Data'!$AN$5:$AN$66,AH!$U$4)),IF(AH!$U$5=1,INDEX('Live History'!$B$5:$B$3004,$K2829),INDEX('AH History'!$D$5:$GG$1380,$K2829,AH!$U$10))),NA()),NA())</f>
        <v/>
      </c>
      <c r="F2829" s="32">
        <f>IFERROR(IF(ISNUMBER($A2829),IF(AND(AH!$U$12=1,2824+1=AH!$U$6),IF(AH!$U$4=0,"unavailable",INDEX('Market Data'!$AO$5:$AO$66,AH!$U$4)),IF(AH!$U$5=1,INDEX('Live History'!$E$5:$E$3004,MATCH($A2829,'Live History'!$D$5:$D$3004,1)),INDEX('AH History'!$D$5:$GG$1380,$K2829,AH!$U$10+1))),NA()),NA())</f>
        <v/>
      </c>
      <c r="G2829" s="34">
        <f>IFERROR(IF(ISNUMBER($A2829),IF(AND(AH!$U$12=1,2824+1=AH!$U$6),IF(AH!$U$4=0,"unavailable",INDEX('Market Data'!$AK$5:$AK$66,AH!$U$4)),IF(AH!$U$5=1,INDEX('Live History'!$D$5:$D$3004,MATCH($A2829,'Live History'!$D$5:$D$3004,1)),INDEX('AH History'!$D$5:$GG$1380,$K2829,AH!$U$10+2))),NA()),NA())</f>
        <v/>
      </c>
      <c r="H2829" s="266">
        <f>IFERROR(IF(ISNUMBER($A2829),IF(AND(AH!$U$12=1,2824+1=AH!$U$6),IF(AH!$U$4=0,"unavailable",INDEX('Market Data'!$AP$5:$AP$66,AH!$U$4)),IF(AH!$U$5=1,INDEX('Live History'!$H$5:$H$3004,MATCH($A2829,'Live History'!$G$5:$G$3004,1)),INDEX('AH History'!$B$5:$B$1380,$K2829))),NA()),NA())</f>
        <v/>
      </c>
      <c r="I2829" s="34">
        <f>IFERROR(IF(ISNUMBER($A2829),IF(AND(AH!$U$12=1,2824+1=AH!$U$6),TODAY(),IF(AH!$U$5=1,INDEX('Live History'!$G$5:$G$3004,MATCH($A2829,'Live History'!$G$5:$G$3004,1)),INDEX('AH History'!$C$5:$C$1380,$K2829))),NA()),NA())</f>
        <v/>
      </c>
      <c r="J2829" s="32">
        <f>IFERROR(IF(AND($F2829&gt;0,$H2829&gt;0,$A2829-$G2829&lt;=10,$A2829-$I2829&lt;=5,$G2829&gt;0,$I2829&gt;0),$F2829*$H2829,NA()),NA())</f>
        <v/>
      </c>
      <c r="K2829" s="15">
        <f>IF($A2829="","",IF(AH!$U$5=1,IFERROR(MATCH($A2829,'Live History'!$A$5:$A$3004,0),0),AH!$U$7+2824))</f>
        <v/>
      </c>
      <c r="L2829" s="15">
        <f>IF(ISNUMBER(A2829),TEXT(A2829,"dd-mmm-yy"),"")</f>
        <v/>
      </c>
    </row>
    <row r="2830">
      <c r="A2830" s="14">
        <f>IF(OR(AH!$U$4=0,2825+1&gt;AH!$U$6,AND(AH!$M$5="Bloomberg",AH!$U$5=0)),"",IFERROR(IF(AND(AH!$U$12=1,2825+1=AH!$U$6),TODAY(),IF(AH!$U$5=1,INDEX('Live History'!$A$5:$A$3004,AH!$U$7+2825),INDEX('AH History'!$A$5:$A$1380,AH!$U$7+2825))),""))</f>
        <v/>
      </c>
      <c r="B2830" s="33">
        <f>IFERROR(IF(AH!$U$11=1,NA(),$J2830/$E2830-1),NA())</f>
        <v/>
      </c>
      <c r="C2830" s="269">
        <f>IFERROR(100*$E2830/$E$5,NA())</f>
        <v/>
      </c>
      <c r="D2830" s="269">
        <f>IFERROR(100*$J2830/$J$5,NA())</f>
        <v/>
      </c>
      <c r="E2830" s="32">
        <f>IFERROR(IF(AND(ISNUMBER($A2830),N(IF(AND(AH!$U$12=1,2825+1=AH!$U$6),IF(AH!$U$4=0,"unavailable",INDEX('Market Data'!$AN$5:$AN$66,AH!$U$4)),IF(AH!$U$5=1,INDEX('Live History'!$B$5:$B$3004,$K2830),INDEX('AH History'!$D$5:$GG$1380,$K2830,AH!$U$10))))&gt;0),IF(AND(AH!$U$12=1,2825+1=AH!$U$6),IF(AH!$U$4=0,"unavailable",INDEX('Market Data'!$AN$5:$AN$66,AH!$U$4)),IF(AH!$U$5=1,INDEX('Live History'!$B$5:$B$3004,$K2830),INDEX('AH History'!$D$5:$GG$1380,$K2830,AH!$U$10))),NA()),NA())</f>
        <v/>
      </c>
      <c r="F2830" s="32">
        <f>IFERROR(IF(ISNUMBER($A2830),IF(AND(AH!$U$12=1,2825+1=AH!$U$6),IF(AH!$U$4=0,"unavailable",INDEX('Market Data'!$AO$5:$AO$66,AH!$U$4)),IF(AH!$U$5=1,INDEX('Live History'!$E$5:$E$3004,MATCH($A2830,'Live History'!$D$5:$D$3004,1)),INDEX('AH History'!$D$5:$GG$1380,$K2830,AH!$U$10+1))),NA()),NA())</f>
        <v/>
      </c>
      <c r="G2830" s="34">
        <f>IFERROR(IF(ISNUMBER($A2830),IF(AND(AH!$U$12=1,2825+1=AH!$U$6),IF(AH!$U$4=0,"unavailable",INDEX('Market Data'!$AK$5:$AK$66,AH!$U$4)),IF(AH!$U$5=1,INDEX('Live History'!$D$5:$D$3004,MATCH($A2830,'Live History'!$D$5:$D$3004,1)),INDEX('AH History'!$D$5:$GG$1380,$K2830,AH!$U$10+2))),NA()),NA())</f>
        <v/>
      </c>
      <c r="H2830" s="266">
        <f>IFERROR(IF(ISNUMBER($A2830),IF(AND(AH!$U$12=1,2825+1=AH!$U$6),IF(AH!$U$4=0,"unavailable",INDEX('Market Data'!$AP$5:$AP$66,AH!$U$4)),IF(AH!$U$5=1,INDEX('Live History'!$H$5:$H$3004,MATCH($A2830,'Live History'!$G$5:$G$3004,1)),INDEX('AH History'!$B$5:$B$1380,$K2830))),NA()),NA())</f>
        <v/>
      </c>
      <c r="I2830" s="34">
        <f>IFERROR(IF(ISNUMBER($A2830),IF(AND(AH!$U$12=1,2825+1=AH!$U$6),TODAY(),IF(AH!$U$5=1,INDEX('Live History'!$G$5:$G$3004,MATCH($A2830,'Live History'!$G$5:$G$3004,1)),INDEX('AH History'!$C$5:$C$1380,$K2830))),NA()),NA())</f>
        <v/>
      </c>
      <c r="J2830" s="32">
        <f>IFERROR(IF(AND($F2830&gt;0,$H2830&gt;0,$A2830-$G2830&lt;=10,$A2830-$I2830&lt;=5,$G2830&gt;0,$I2830&gt;0),$F2830*$H2830,NA()),NA())</f>
        <v/>
      </c>
      <c r="K2830" s="15">
        <f>IF($A2830="","",IF(AH!$U$5=1,IFERROR(MATCH($A2830,'Live History'!$A$5:$A$3004,0),0),AH!$U$7+2825))</f>
        <v/>
      </c>
      <c r="L2830" s="15">
        <f>IF(ISNUMBER(A2830),TEXT(A2830,"dd-mmm-yy"),"")</f>
        <v/>
      </c>
    </row>
    <row r="2831">
      <c r="A2831" s="14">
        <f>IF(OR(AH!$U$4=0,2826+1&gt;AH!$U$6,AND(AH!$M$5="Bloomberg",AH!$U$5=0)),"",IFERROR(IF(AND(AH!$U$12=1,2826+1=AH!$U$6),TODAY(),IF(AH!$U$5=1,INDEX('Live History'!$A$5:$A$3004,AH!$U$7+2826),INDEX('AH History'!$A$5:$A$1380,AH!$U$7+2826))),""))</f>
        <v/>
      </c>
      <c r="B2831" s="33">
        <f>IFERROR(IF(AH!$U$11=1,NA(),$J2831/$E2831-1),NA())</f>
        <v/>
      </c>
      <c r="C2831" s="269">
        <f>IFERROR(100*$E2831/$E$5,NA())</f>
        <v/>
      </c>
      <c r="D2831" s="269">
        <f>IFERROR(100*$J2831/$J$5,NA())</f>
        <v/>
      </c>
      <c r="E2831" s="32">
        <f>IFERROR(IF(AND(ISNUMBER($A2831),N(IF(AND(AH!$U$12=1,2826+1=AH!$U$6),IF(AH!$U$4=0,"unavailable",INDEX('Market Data'!$AN$5:$AN$66,AH!$U$4)),IF(AH!$U$5=1,INDEX('Live History'!$B$5:$B$3004,$K2831),INDEX('AH History'!$D$5:$GG$1380,$K2831,AH!$U$10))))&gt;0),IF(AND(AH!$U$12=1,2826+1=AH!$U$6),IF(AH!$U$4=0,"unavailable",INDEX('Market Data'!$AN$5:$AN$66,AH!$U$4)),IF(AH!$U$5=1,INDEX('Live History'!$B$5:$B$3004,$K2831),INDEX('AH History'!$D$5:$GG$1380,$K2831,AH!$U$10))),NA()),NA())</f>
        <v/>
      </c>
      <c r="F2831" s="32">
        <f>IFERROR(IF(ISNUMBER($A2831),IF(AND(AH!$U$12=1,2826+1=AH!$U$6),IF(AH!$U$4=0,"unavailable",INDEX('Market Data'!$AO$5:$AO$66,AH!$U$4)),IF(AH!$U$5=1,INDEX('Live History'!$E$5:$E$3004,MATCH($A2831,'Live History'!$D$5:$D$3004,1)),INDEX('AH History'!$D$5:$GG$1380,$K2831,AH!$U$10+1))),NA()),NA())</f>
        <v/>
      </c>
      <c r="G2831" s="34">
        <f>IFERROR(IF(ISNUMBER($A2831),IF(AND(AH!$U$12=1,2826+1=AH!$U$6),IF(AH!$U$4=0,"unavailable",INDEX('Market Data'!$AK$5:$AK$66,AH!$U$4)),IF(AH!$U$5=1,INDEX('Live History'!$D$5:$D$3004,MATCH($A2831,'Live History'!$D$5:$D$3004,1)),INDEX('AH History'!$D$5:$GG$1380,$K2831,AH!$U$10+2))),NA()),NA())</f>
        <v/>
      </c>
      <c r="H2831" s="266">
        <f>IFERROR(IF(ISNUMBER($A2831),IF(AND(AH!$U$12=1,2826+1=AH!$U$6),IF(AH!$U$4=0,"unavailable",INDEX('Market Data'!$AP$5:$AP$66,AH!$U$4)),IF(AH!$U$5=1,INDEX('Live History'!$H$5:$H$3004,MATCH($A2831,'Live History'!$G$5:$G$3004,1)),INDEX('AH History'!$B$5:$B$1380,$K2831))),NA()),NA())</f>
        <v/>
      </c>
      <c r="I2831" s="34">
        <f>IFERROR(IF(ISNUMBER($A2831),IF(AND(AH!$U$12=1,2826+1=AH!$U$6),TODAY(),IF(AH!$U$5=1,INDEX('Live History'!$G$5:$G$3004,MATCH($A2831,'Live History'!$G$5:$G$3004,1)),INDEX('AH History'!$C$5:$C$1380,$K2831))),NA()),NA())</f>
        <v/>
      </c>
      <c r="J2831" s="32">
        <f>IFERROR(IF(AND($F2831&gt;0,$H2831&gt;0,$A2831-$G2831&lt;=10,$A2831-$I2831&lt;=5,$G2831&gt;0,$I2831&gt;0),$F2831*$H2831,NA()),NA())</f>
        <v/>
      </c>
      <c r="K2831" s="15">
        <f>IF($A2831="","",IF(AH!$U$5=1,IFERROR(MATCH($A2831,'Live History'!$A$5:$A$3004,0),0),AH!$U$7+2826))</f>
        <v/>
      </c>
      <c r="L2831" s="15">
        <f>IF(ISNUMBER(A2831),TEXT(A2831,"dd-mmm-yy"),"")</f>
        <v/>
      </c>
    </row>
    <row r="2832">
      <c r="A2832" s="14">
        <f>IF(OR(AH!$U$4=0,2827+1&gt;AH!$U$6,AND(AH!$M$5="Bloomberg",AH!$U$5=0)),"",IFERROR(IF(AND(AH!$U$12=1,2827+1=AH!$U$6),TODAY(),IF(AH!$U$5=1,INDEX('Live History'!$A$5:$A$3004,AH!$U$7+2827),INDEX('AH History'!$A$5:$A$1380,AH!$U$7+2827))),""))</f>
        <v/>
      </c>
      <c r="B2832" s="33">
        <f>IFERROR(IF(AH!$U$11=1,NA(),$J2832/$E2832-1),NA())</f>
        <v/>
      </c>
      <c r="C2832" s="269">
        <f>IFERROR(100*$E2832/$E$5,NA())</f>
        <v/>
      </c>
      <c r="D2832" s="269">
        <f>IFERROR(100*$J2832/$J$5,NA())</f>
        <v/>
      </c>
      <c r="E2832" s="32">
        <f>IFERROR(IF(AND(ISNUMBER($A2832),N(IF(AND(AH!$U$12=1,2827+1=AH!$U$6),IF(AH!$U$4=0,"unavailable",INDEX('Market Data'!$AN$5:$AN$66,AH!$U$4)),IF(AH!$U$5=1,INDEX('Live History'!$B$5:$B$3004,$K2832),INDEX('AH History'!$D$5:$GG$1380,$K2832,AH!$U$10))))&gt;0),IF(AND(AH!$U$12=1,2827+1=AH!$U$6),IF(AH!$U$4=0,"unavailable",INDEX('Market Data'!$AN$5:$AN$66,AH!$U$4)),IF(AH!$U$5=1,INDEX('Live History'!$B$5:$B$3004,$K2832),INDEX('AH History'!$D$5:$GG$1380,$K2832,AH!$U$10))),NA()),NA())</f>
        <v/>
      </c>
      <c r="F2832" s="32">
        <f>IFERROR(IF(ISNUMBER($A2832),IF(AND(AH!$U$12=1,2827+1=AH!$U$6),IF(AH!$U$4=0,"unavailable",INDEX('Market Data'!$AO$5:$AO$66,AH!$U$4)),IF(AH!$U$5=1,INDEX('Live History'!$E$5:$E$3004,MATCH($A2832,'Live History'!$D$5:$D$3004,1)),INDEX('AH History'!$D$5:$GG$1380,$K2832,AH!$U$10+1))),NA()),NA())</f>
        <v/>
      </c>
      <c r="G2832" s="34">
        <f>IFERROR(IF(ISNUMBER($A2832),IF(AND(AH!$U$12=1,2827+1=AH!$U$6),IF(AH!$U$4=0,"unavailable",INDEX('Market Data'!$AK$5:$AK$66,AH!$U$4)),IF(AH!$U$5=1,INDEX('Live History'!$D$5:$D$3004,MATCH($A2832,'Live History'!$D$5:$D$3004,1)),INDEX('AH History'!$D$5:$GG$1380,$K2832,AH!$U$10+2))),NA()),NA())</f>
        <v/>
      </c>
      <c r="H2832" s="266">
        <f>IFERROR(IF(ISNUMBER($A2832),IF(AND(AH!$U$12=1,2827+1=AH!$U$6),IF(AH!$U$4=0,"unavailable",INDEX('Market Data'!$AP$5:$AP$66,AH!$U$4)),IF(AH!$U$5=1,INDEX('Live History'!$H$5:$H$3004,MATCH($A2832,'Live History'!$G$5:$G$3004,1)),INDEX('AH History'!$B$5:$B$1380,$K2832))),NA()),NA())</f>
        <v/>
      </c>
      <c r="I2832" s="34">
        <f>IFERROR(IF(ISNUMBER($A2832),IF(AND(AH!$U$12=1,2827+1=AH!$U$6),TODAY(),IF(AH!$U$5=1,INDEX('Live History'!$G$5:$G$3004,MATCH($A2832,'Live History'!$G$5:$G$3004,1)),INDEX('AH History'!$C$5:$C$1380,$K2832))),NA()),NA())</f>
        <v/>
      </c>
      <c r="J2832" s="32">
        <f>IFERROR(IF(AND($F2832&gt;0,$H2832&gt;0,$A2832-$G2832&lt;=10,$A2832-$I2832&lt;=5,$G2832&gt;0,$I2832&gt;0),$F2832*$H2832,NA()),NA())</f>
        <v/>
      </c>
      <c r="K2832" s="15">
        <f>IF($A2832="","",IF(AH!$U$5=1,IFERROR(MATCH($A2832,'Live History'!$A$5:$A$3004,0),0),AH!$U$7+2827))</f>
        <v/>
      </c>
      <c r="L2832" s="15">
        <f>IF(ISNUMBER(A2832),TEXT(A2832,"dd-mmm-yy"),"")</f>
        <v/>
      </c>
    </row>
    <row r="2833">
      <c r="A2833" s="14">
        <f>IF(OR(AH!$U$4=0,2828+1&gt;AH!$U$6,AND(AH!$M$5="Bloomberg",AH!$U$5=0)),"",IFERROR(IF(AND(AH!$U$12=1,2828+1=AH!$U$6),TODAY(),IF(AH!$U$5=1,INDEX('Live History'!$A$5:$A$3004,AH!$U$7+2828),INDEX('AH History'!$A$5:$A$1380,AH!$U$7+2828))),""))</f>
        <v/>
      </c>
      <c r="B2833" s="33">
        <f>IFERROR(IF(AH!$U$11=1,NA(),$J2833/$E2833-1),NA())</f>
        <v/>
      </c>
      <c r="C2833" s="269">
        <f>IFERROR(100*$E2833/$E$5,NA())</f>
        <v/>
      </c>
      <c r="D2833" s="269">
        <f>IFERROR(100*$J2833/$J$5,NA())</f>
        <v/>
      </c>
      <c r="E2833" s="32">
        <f>IFERROR(IF(AND(ISNUMBER($A2833),N(IF(AND(AH!$U$12=1,2828+1=AH!$U$6),IF(AH!$U$4=0,"unavailable",INDEX('Market Data'!$AN$5:$AN$66,AH!$U$4)),IF(AH!$U$5=1,INDEX('Live History'!$B$5:$B$3004,$K2833),INDEX('AH History'!$D$5:$GG$1380,$K2833,AH!$U$10))))&gt;0),IF(AND(AH!$U$12=1,2828+1=AH!$U$6),IF(AH!$U$4=0,"unavailable",INDEX('Market Data'!$AN$5:$AN$66,AH!$U$4)),IF(AH!$U$5=1,INDEX('Live History'!$B$5:$B$3004,$K2833),INDEX('AH History'!$D$5:$GG$1380,$K2833,AH!$U$10))),NA()),NA())</f>
        <v/>
      </c>
      <c r="F2833" s="32">
        <f>IFERROR(IF(ISNUMBER($A2833),IF(AND(AH!$U$12=1,2828+1=AH!$U$6),IF(AH!$U$4=0,"unavailable",INDEX('Market Data'!$AO$5:$AO$66,AH!$U$4)),IF(AH!$U$5=1,INDEX('Live History'!$E$5:$E$3004,MATCH($A2833,'Live History'!$D$5:$D$3004,1)),INDEX('AH History'!$D$5:$GG$1380,$K2833,AH!$U$10+1))),NA()),NA())</f>
        <v/>
      </c>
      <c r="G2833" s="34">
        <f>IFERROR(IF(ISNUMBER($A2833),IF(AND(AH!$U$12=1,2828+1=AH!$U$6),IF(AH!$U$4=0,"unavailable",INDEX('Market Data'!$AK$5:$AK$66,AH!$U$4)),IF(AH!$U$5=1,INDEX('Live History'!$D$5:$D$3004,MATCH($A2833,'Live History'!$D$5:$D$3004,1)),INDEX('AH History'!$D$5:$GG$1380,$K2833,AH!$U$10+2))),NA()),NA())</f>
        <v/>
      </c>
      <c r="H2833" s="266">
        <f>IFERROR(IF(ISNUMBER($A2833),IF(AND(AH!$U$12=1,2828+1=AH!$U$6),IF(AH!$U$4=0,"unavailable",INDEX('Market Data'!$AP$5:$AP$66,AH!$U$4)),IF(AH!$U$5=1,INDEX('Live History'!$H$5:$H$3004,MATCH($A2833,'Live History'!$G$5:$G$3004,1)),INDEX('AH History'!$B$5:$B$1380,$K2833))),NA()),NA())</f>
        <v/>
      </c>
      <c r="I2833" s="34">
        <f>IFERROR(IF(ISNUMBER($A2833),IF(AND(AH!$U$12=1,2828+1=AH!$U$6),TODAY(),IF(AH!$U$5=1,INDEX('Live History'!$G$5:$G$3004,MATCH($A2833,'Live History'!$G$5:$G$3004,1)),INDEX('AH History'!$C$5:$C$1380,$K2833))),NA()),NA())</f>
        <v/>
      </c>
      <c r="J2833" s="32">
        <f>IFERROR(IF(AND($F2833&gt;0,$H2833&gt;0,$A2833-$G2833&lt;=10,$A2833-$I2833&lt;=5,$G2833&gt;0,$I2833&gt;0),$F2833*$H2833,NA()),NA())</f>
        <v/>
      </c>
      <c r="K2833" s="15">
        <f>IF($A2833="","",IF(AH!$U$5=1,IFERROR(MATCH($A2833,'Live History'!$A$5:$A$3004,0),0),AH!$U$7+2828))</f>
        <v/>
      </c>
      <c r="L2833" s="15">
        <f>IF(ISNUMBER(A2833),TEXT(A2833,"dd-mmm-yy"),"")</f>
        <v/>
      </c>
    </row>
    <row r="2834">
      <c r="A2834" s="14">
        <f>IF(OR(AH!$U$4=0,2829+1&gt;AH!$U$6,AND(AH!$M$5="Bloomberg",AH!$U$5=0)),"",IFERROR(IF(AND(AH!$U$12=1,2829+1=AH!$U$6),TODAY(),IF(AH!$U$5=1,INDEX('Live History'!$A$5:$A$3004,AH!$U$7+2829),INDEX('AH History'!$A$5:$A$1380,AH!$U$7+2829))),""))</f>
        <v/>
      </c>
      <c r="B2834" s="33">
        <f>IFERROR(IF(AH!$U$11=1,NA(),$J2834/$E2834-1),NA())</f>
        <v/>
      </c>
      <c r="C2834" s="269">
        <f>IFERROR(100*$E2834/$E$5,NA())</f>
        <v/>
      </c>
      <c r="D2834" s="269">
        <f>IFERROR(100*$J2834/$J$5,NA())</f>
        <v/>
      </c>
      <c r="E2834" s="32">
        <f>IFERROR(IF(AND(ISNUMBER($A2834),N(IF(AND(AH!$U$12=1,2829+1=AH!$U$6),IF(AH!$U$4=0,"unavailable",INDEX('Market Data'!$AN$5:$AN$66,AH!$U$4)),IF(AH!$U$5=1,INDEX('Live History'!$B$5:$B$3004,$K2834),INDEX('AH History'!$D$5:$GG$1380,$K2834,AH!$U$10))))&gt;0),IF(AND(AH!$U$12=1,2829+1=AH!$U$6),IF(AH!$U$4=0,"unavailable",INDEX('Market Data'!$AN$5:$AN$66,AH!$U$4)),IF(AH!$U$5=1,INDEX('Live History'!$B$5:$B$3004,$K2834),INDEX('AH History'!$D$5:$GG$1380,$K2834,AH!$U$10))),NA()),NA())</f>
        <v/>
      </c>
      <c r="F2834" s="32">
        <f>IFERROR(IF(ISNUMBER($A2834),IF(AND(AH!$U$12=1,2829+1=AH!$U$6),IF(AH!$U$4=0,"unavailable",INDEX('Market Data'!$AO$5:$AO$66,AH!$U$4)),IF(AH!$U$5=1,INDEX('Live History'!$E$5:$E$3004,MATCH($A2834,'Live History'!$D$5:$D$3004,1)),INDEX('AH History'!$D$5:$GG$1380,$K2834,AH!$U$10+1))),NA()),NA())</f>
        <v/>
      </c>
      <c r="G2834" s="34">
        <f>IFERROR(IF(ISNUMBER($A2834),IF(AND(AH!$U$12=1,2829+1=AH!$U$6),IF(AH!$U$4=0,"unavailable",INDEX('Market Data'!$AK$5:$AK$66,AH!$U$4)),IF(AH!$U$5=1,INDEX('Live History'!$D$5:$D$3004,MATCH($A2834,'Live History'!$D$5:$D$3004,1)),INDEX('AH History'!$D$5:$GG$1380,$K2834,AH!$U$10+2))),NA()),NA())</f>
        <v/>
      </c>
      <c r="H2834" s="266">
        <f>IFERROR(IF(ISNUMBER($A2834),IF(AND(AH!$U$12=1,2829+1=AH!$U$6),IF(AH!$U$4=0,"unavailable",INDEX('Market Data'!$AP$5:$AP$66,AH!$U$4)),IF(AH!$U$5=1,INDEX('Live History'!$H$5:$H$3004,MATCH($A2834,'Live History'!$G$5:$G$3004,1)),INDEX('AH History'!$B$5:$B$1380,$K2834))),NA()),NA())</f>
        <v/>
      </c>
      <c r="I2834" s="34">
        <f>IFERROR(IF(ISNUMBER($A2834),IF(AND(AH!$U$12=1,2829+1=AH!$U$6),TODAY(),IF(AH!$U$5=1,INDEX('Live History'!$G$5:$G$3004,MATCH($A2834,'Live History'!$G$5:$G$3004,1)),INDEX('AH History'!$C$5:$C$1380,$K2834))),NA()),NA())</f>
        <v/>
      </c>
      <c r="J2834" s="32">
        <f>IFERROR(IF(AND($F2834&gt;0,$H2834&gt;0,$A2834-$G2834&lt;=10,$A2834-$I2834&lt;=5,$G2834&gt;0,$I2834&gt;0),$F2834*$H2834,NA()),NA())</f>
        <v/>
      </c>
      <c r="K2834" s="15">
        <f>IF($A2834="","",IF(AH!$U$5=1,IFERROR(MATCH($A2834,'Live History'!$A$5:$A$3004,0),0),AH!$U$7+2829))</f>
        <v/>
      </c>
      <c r="L2834" s="15">
        <f>IF(ISNUMBER(A2834),TEXT(A2834,"dd-mmm-yy"),"")</f>
        <v/>
      </c>
    </row>
    <row r="2835">
      <c r="A2835" s="14">
        <f>IF(OR(AH!$U$4=0,2830+1&gt;AH!$U$6,AND(AH!$M$5="Bloomberg",AH!$U$5=0)),"",IFERROR(IF(AND(AH!$U$12=1,2830+1=AH!$U$6),TODAY(),IF(AH!$U$5=1,INDEX('Live History'!$A$5:$A$3004,AH!$U$7+2830),INDEX('AH History'!$A$5:$A$1380,AH!$U$7+2830))),""))</f>
        <v/>
      </c>
      <c r="B2835" s="33">
        <f>IFERROR(IF(AH!$U$11=1,NA(),$J2835/$E2835-1),NA())</f>
        <v/>
      </c>
      <c r="C2835" s="269">
        <f>IFERROR(100*$E2835/$E$5,NA())</f>
        <v/>
      </c>
      <c r="D2835" s="269">
        <f>IFERROR(100*$J2835/$J$5,NA())</f>
        <v/>
      </c>
      <c r="E2835" s="32">
        <f>IFERROR(IF(AND(ISNUMBER($A2835),N(IF(AND(AH!$U$12=1,2830+1=AH!$U$6),IF(AH!$U$4=0,"unavailable",INDEX('Market Data'!$AN$5:$AN$66,AH!$U$4)),IF(AH!$U$5=1,INDEX('Live History'!$B$5:$B$3004,$K2835),INDEX('AH History'!$D$5:$GG$1380,$K2835,AH!$U$10))))&gt;0),IF(AND(AH!$U$12=1,2830+1=AH!$U$6),IF(AH!$U$4=0,"unavailable",INDEX('Market Data'!$AN$5:$AN$66,AH!$U$4)),IF(AH!$U$5=1,INDEX('Live History'!$B$5:$B$3004,$K2835),INDEX('AH History'!$D$5:$GG$1380,$K2835,AH!$U$10))),NA()),NA())</f>
        <v/>
      </c>
      <c r="F2835" s="32">
        <f>IFERROR(IF(ISNUMBER($A2835),IF(AND(AH!$U$12=1,2830+1=AH!$U$6),IF(AH!$U$4=0,"unavailable",INDEX('Market Data'!$AO$5:$AO$66,AH!$U$4)),IF(AH!$U$5=1,INDEX('Live History'!$E$5:$E$3004,MATCH($A2835,'Live History'!$D$5:$D$3004,1)),INDEX('AH History'!$D$5:$GG$1380,$K2835,AH!$U$10+1))),NA()),NA())</f>
        <v/>
      </c>
      <c r="G2835" s="34">
        <f>IFERROR(IF(ISNUMBER($A2835),IF(AND(AH!$U$12=1,2830+1=AH!$U$6),IF(AH!$U$4=0,"unavailable",INDEX('Market Data'!$AK$5:$AK$66,AH!$U$4)),IF(AH!$U$5=1,INDEX('Live History'!$D$5:$D$3004,MATCH($A2835,'Live History'!$D$5:$D$3004,1)),INDEX('AH History'!$D$5:$GG$1380,$K2835,AH!$U$10+2))),NA()),NA())</f>
        <v/>
      </c>
      <c r="H2835" s="266">
        <f>IFERROR(IF(ISNUMBER($A2835),IF(AND(AH!$U$12=1,2830+1=AH!$U$6),IF(AH!$U$4=0,"unavailable",INDEX('Market Data'!$AP$5:$AP$66,AH!$U$4)),IF(AH!$U$5=1,INDEX('Live History'!$H$5:$H$3004,MATCH($A2835,'Live History'!$G$5:$G$3004,1)),INDEX('AH History'!$B$5:$B$1380,$K2835))),NA()),NA())</f>
        <v/>
      </c>
      <c r="I2835" s="34">
        <f>IFERROR(IF(ISNUMBER($A2835),IF(AND(AH!$U$12=1,2830+1=AH!$U$6),TODAY(),IF(AH!$U$5=1,INDEX('Live History'!$G$5:$G$3004,MATCH($A2835,'Live History'!$G$5:$G$3004,1)),INDEX('AH History'!$C$5:$C$1380,$K2835))),NA()),NA())</f>
        <v/>
      </c>
      <c r="J2835" s="32">
        <f>IFERROR(IF(AND($F2835&gt;0,$H2835&gt;0,$A2835-$G2835&lt;=10,$A2835-$I2835&lt;=5,$G2835&gt;0,$I2835&gt;0),$F2835*$H2835,NA()),NA())</f>
        <v/>
      </c>
      <c r="K2835" s="15">
        <f>IF($A2835="","",IF(AH!$U$5=1,IFERROR(MATCH($A2835,'Live History'!$A$5:$A$3004,0),0),AH!$U$7+2830))</f>
        <v/>
      </c>
      <c r="L2835" s="15">
        <f>IF(ISNUMBER(A2835),TEXT(A2835,"dd-mmm-yy"),"")</f>
        <v/>
      </c>
    </row>
    <row r="2836">
      <c r="A2836" s="14">
        <f>IF(OR(AH!$U$4=0,2831+1&gt;AH!$U$6,AND(AH!$M$5="Bloomberg",AH!$U$5=0)),"",IFERROR(IF(AND(AH!$U$12=1,2831+1=AH!$U$6),TODAY(),IF(AH!$U$5=1,INDEX('Live History'!$A$5:$A$3004,AH!$U$7+2831),INDEX('AH History'!$A$5:$A$1380,AH!$U$7+2831))),""))</f>
        <v/>
      </c>
      <c r="B2836" s="33">
        <f>IFERROR(IF(AH!$U$11=1,NA(),$J2836/$E2836-1),NA())</f>
        <v/>
      </c>
      <c r="C2836" s="269">
        <f>IFERROR(100*$E2836/$E$5,NA())</f>
        <v/>
      </c>
      <c r="D2836" s="269">
        <f>IFERROR(100*$J2836/$J$5,NA())</f>
        <v/>
      </c>
      <c r="E2836" s="32">
        <f>IFERROR(IF(AND(ISNUMBER($A2836),N(IF(AND(AH!$U$12=1,2831+1=AH!$U$6),IF(AH!$U$4=0,"unavailable",INDEX('Market Data'!$AN$5:$AN$66,AH!$U$4)),IF(AH!$U$5=1,INDEX('Live History'!$B$5:$B$3004,$K2836),INDEX('AH History'!$D$5:$GG$1380,$K2836,AH!$U$10))))&gt;0),IF(AND(AH!$U$12=1,2831+1=AH!$U$6),IF(AH!$U$4=0,"unavailable",INDEX('Market Data'!$AN$5:$AN$66,AH!$U$4)),IF(AH!$U$5=1,INDEX('Live History'!$B$5:$B$3004,$K2836),INDEX('AH History'!$D$5:$GG$1380,$K2836,AH!$U$10))),NA()),NA())</f>
        <v/>
      </c>
      <c r="F2836" s="32">
        <f>IFERROR(IF(ISNUMBER($A2836),IF(AND(AH!$U$12=1,2831+1=AH!$U$6),IF(AH!$U$4=0,"unavailable",INDEX('Market Data'!$AO$5:$AO$66,AH!$U$4)),IF(AH!$U$5=1,INDEX('Live History'!$E$5:$E$3004,MATCH($A2836,'Live History'!$D$5:$D$3004,1)),INDEX('AH History'!$D$5:$GG$1380,$K2836,AH!$U$10+1))),NA()),NA())</f>
        <v/>
      </c>
      <c r="G2836" s="34">
        <f>IFERROR(IF(ISNUMBER($A2836),IF(AND(AH!$U$12=1,2831+1=AH!$U$6),IF(AH!$U$4=0,"unavailable",INDEX('Market Data'!$AK$5:$AK$66,AH!$U$4)),IF(AH!$U$5=1,INDEX('Live History'!$D$5:$D$3004,MATCH($A2836,'Live History'!$D$5:$D$3004,1)),INDEX('AH History'!$D$5:$GG$1380,$K2836,AH!$U$10+2))),NA()),NA())</f>
        <v/>
      </c>
      <c r="H2836" s="266">
        <f>IFERROR(IF(ISNUMBER($A2836),IF(AND(AH!$U$12=1,2831+1=AH!$U$6),IF(AH!$U$4=0,"unavailable",INDEX('Market Data'!$AP$5:$AP$66,AH!$U$4)),IF(AH!$U$5=1,INDEX('Live History'!$H$5:$H$3004,MATCH($A2836,'Live History'!$G$5:$G$3004,1)),INDEX('AH History'!$B$5:$B$1380,$K2836))),NA()),NA())</f>
        <v/>
      </c>
      <c r="I2836" s="34">
        <f>IFERROR(IF(ISNUMBER($A2836),IF(AND(AH!$U$12=1,2831+1=AH!$U$6),TODAY(),IF(AH!$U$5=1,INDEX('Live History'!$G$5:$G$3004,MATCH($A2836,'Live History'!$G$5:$G$3004,1)),INDEX('AH History'!$C$5:$C$1380,$K2836))),NA()),NA())</f>
        <v/>
      </c>
      <c r="J2836" s="32">
        <f>IFERROR(IF(AND($F2836&gt;0,$H2836&gt;0,$A2836-$G2836&lt;=10,$A2836-$I2836&lt;=5,$G2836&gt;0,$I2836&gt;0),$F2836*$H2836,NA()),NA())</f>
        <v/>
      </c>
      <c r="K2836" s="15">
        <f>IF($A2836="","",IF(AH!$U$5=1,IFERROR(MATCH($A2836,'Live History'!$A$5:$A$3004,0),0),AH!$U$7+2831))</f>
        <v/>
      </c>
      <c r="L2836" s="15">
        <f>IF(ISNUMBER(A2836),TEXT(A2836,"dd-mmm-yy"),"")</f>
        <v/>
      </c>
    </row>
    <row r="2837">
      <c r="A2837" s="14">
        <f>IF(OR(AH!$U$4=0,2832+1&gt;AH!$U$6,AND(AH!$M$5="Bloomberg",AH!$U$5=0)),"",IFERROR(IF(AND(AH!$U$12=1,2832+1=AH!$U$6),TODAY(),IF(AH!$U$5=1,INDEX('Live History'!$A$5:$A$3004,AH!$U$7+2832),INDEX('AH History'!$A$5:$A$1380,AH!$U$7+2832))),""))</f>
        <v/>
      </c>
      <c r="B2837" s="33">
        <f>IFERROR(IF(AH!$U$11=1,NA(),$J2837/$E2837-1),NA())</f>
        <v/>
      </c>
      <c r="C2837" s="269">
        <f>IFERROR(100*$E2837/$E$5,NA())</f>
        <v/>
      </c>
      <c r="D2837" s="269">
        <f>IFERROR(100*$J2837/$J$5,NA())</f>
        <v/>
      </c>
      <c r="E2837" s="32">
        <f>IFERROR(IF(AND(ISNUMBER($A2837),N(IF(AND(AH!$U$12=1,2832+1=AH!$U$6),IF(AH!$U$4=0,"unavailable",INDEX('Market Data'!$AN$5:$AN$66,AH!$U$4)),IF(AH!$U$5=1,INDEX('Live History'!$B$5:$B$3004,$K2837),INDEX('AH History'!$D$5:$GG$1380,$K2837,AH!$U$10))))&gt;0),IF(AND(AH!$U$12=1,2832+1=AH!$U$6),IF(AH!$U$4=0,"unavailable",INDEX('Market Data'!$AN$5:$AN$66,AH!$U$4)),IF(AH!$U$5=1,INDEX('Live History'!$B$5:$B$3004,$K2837),INDEX('AH History'!$D$5:$GG$1380,$K2837,AH!$U$10))),NA()),NA())</f>
        <v/>
      </c>
      <c r="F2837" s="32">
        <f>IFERROR(IF(ISNUMBER($A2837),IF(AND(AH!$U$12=1,2832+1=AH!$U$6),IF(AH!$U$4=0,"unavailable",INDEX('Market Data'!$AO$5:$AO$66,AH!$U$4)),IF(AH!$U$5=1,INDEX('Live History'!$E$5:$E$3004,MATCH($A2837,'Live History'!$D$5:$D$3004,1)),INDEX('AH History'!$D$5:$GG$1380,$K2837,AH!$U$10+1))),NA()),NA())</f>
        <v/>
      </c>
      <c r="G2837" s="34">
        <f>IFERROR(IF(ISNUMBER($A2837),IF(AND(AH!$U$12=1,2832+1=AH!$U$6),IF(AH!$U$4=0,"unavailable",INDEX('Market Data'!$AK$5:$AK$66,AH!$U$4)),IF(AH!$U$5=1,INDEX('Live History'!$D$5:$D$3004,MATCH($A2837,'Live History'!$D$5:$D$3004,1)),INDEX('AH History'!$D$5:$GG$1380,$K2837,AH!$U$10+2))),NA()),NA())</f>
        <v/>
      </c>
      <c r="H2837" s="266">
        <f>IFERROR(IF(ISNUMBER($A2837),IF(AND(AH!$U$12=1,2832+1=AH!$U$6),IF(AH!$U$4=0,"unavailable",INDEX('Market Data'!$AP$5:$AP$66,AH!$U$4)),IF(AH!$U$5=1,INDEX('Live History'!$H$5:$H$3004,MATCH($A2837,'Live History'!$G$5:$G$3004,1)),INDEX('AH History'!$B$5:$B$1380,$K2837))),NA()),NA())</f>
        <v/>
      </c>
      <c r="I2837" s="34">
        <f>IFERROR(IF(ISNUMBER($A2837),IF(AND(AH!$U$12=1,2832+1=AH!$U$6),TODAY(),IF(AH!$U$5=1,INDEX('Live History'!$G$5:$G$3004,MATCH($A2837,'Live History'!$G$5:$G$3004,1)),INDEX('AH History'!$C$5:$C$1380,$K2837))),NA()),NA())</f>
        <v/>
      </c>
      <c r="J2837" s="32">
        <f>IFERROR(IF(AND($F2837&gt;0,$H2837&gt;0,$A2837-$G2837&lt;=10,$A2837-$I2837&lt;=5,$G2837&gt;0,$I2837&gt;0),$F2837*$H2837,NA()),NA())</f>
        <v/>
      </c>
      <c r="K2837" s="15">
        <f>IF($A2837="","",IF(AH!$U$5=1,IFERROR(MATCH($A2837,'Live History'!$A$5:$A$3004,0),0),AH!$U$7+2832))</f>
        <v/>
      </c>
      <c r="L2837" s="15">
        <f>IF(ISNUMBER(A2837),TEXT(A2837,"dd-mmm-yy"),"")</f>
        <v/>
      </c>
    </row>
    <row r="2838">
      <c r="A2838" s="14">
        <f>IF(OR(AH!$U$4=0,2833+1&gt;AH!$U$6,AND(AH!$M$5="Bloomberg",AH!$U$5=0)),"",IFERROR(IF(AND(AH!$U$12=1,2833+1=AH!$U$6),TODAY(),IF(AH!$U$5=1,INDEX('Live History'!$A$5:$A$3004,AH!$U$7+2833),INDEX('AH History'!$A$5:$A$1380,AH!$U$7+2833))),""))</f>
        <v/>
      </c>
      <c r="B2838" s="33">
        <f>IFERROR(IF(AH!$U$11=1,NA(),$J2838/$E2838-1),NA())</f>
        <v/>
      </c>
      <c r="C2838" s="269">
        <f>IFERROR(100*$E2838/$E$5,NA())</f>
        <v/>
      </c>
      <c r="D2838" s="269">
        <f>IFERROR(100*$J2838/$J$5,NA())</f>
        <v/>
      </c>
      <c r="E2838" s="32">
        <f>IFERROR(IF(AND(ISNUMBER($A2838),N(IF(AND(AH!$U$12=1,2833+1=AH!$U$6),IF(AH!$U$4=0,"unavailable",INDEX('Market Data'!$AN$5:$AN$66,AH!$U$4)),IF(AH!$U$5=1,INDEX('Live History'!$B$5:$B$3004,$K2838),INDEX('AH History'!$D$5:$GG$1380,$K2838,AH!$U$10))))&gt;0),IF(AND(AH!$U$12=1,2833+1=AH!$U$6),IF(AH!$U$4=0,"unavailable",INDEX('Market Data'!$AN$5:$AN$66,AH!$U$4)),IF(AH!$U$5=1,INDEX('Live History'!$B$5:$B$3004,$K2838),INDEX('AH History'!$D$5:$GG$1380,$K2838,AH!$U$10))),NA()),NA())</f>
        <v/>
      </c>
      <c r="F2838" s="32">
        <f>IFERROR(IF(ISNUMBER($A2838),IF(AND(AH!$U$12=1,2833+1=AH!$U$6),IF(AH!$U$4=0,"unavailable",INDEX('Market Data'!$AO$5:$AO$66,AH!$U$4)),IF(AH!$U$5=1,INDEX('Live History'!$E$5:$E$3004,MATCH($A2838,'Live History'!$D$5:$D$3004,1)),INDEX('AH History'!$D$5:$GG$1380,$K2838,AH!$U$10+1))),NA()),NA())</f>
        <v/>
      </c>
      <c r="G2838" s="34">
        <f>IFERROR(IF(ISNUMBER($A2838),IF(AND(AH!$U$12=1,2833+1=AH!$U$6),IF(AH!$U$4=0,"unavailable",INDEX('Market Data'!$AK$5:$AK$66,AH!$U$4)),IF(AH!$U$5=1,INDEX('Live History'!$D$5:$D$3004,MATCH($A2838,'Live History'!$D$5:$D$3004,1)),INDEX('AH History'!$D$5:$GG$1380,$K2838,AH!$U$10+2))),NA()),NA())</f>
        <v/>
      </c>
      <c r="H2838" s="266">
        <f>IFERROR(IF(ISNUMBER($A2838),IF(AND(AH!$U$12=1,2833+1=AH!$U$6),IF(AH!$U$4=0,"unavailable",INDEX('Market Data'!$AP$5:$AP$66,AH!$U$4)),IF(AH!$U$5=1,INDEX('Live History'!$H$5:$H$3004,MATCH($A2838,'Live History'!$G$5:$G$3004,1)),INDEX('AH History'!$B$5:$B$1380,$K2838))),NA()),NA())</f>
        <v/>
      </c>
      <c r="I2838" s="34">
        <f>IFERROR(IF(ISNUMBER($A2838),IF(AND(AH!$U$12=1,2833+1=AH!$U$6),TODAY(),IF(AH!$U$5=1,INDEX('Live History'!$G$5:$G$3004,MATCH($A2838,'Live History'!$G$5:$G$3004,1)),INDEX('AH History'!$C$5:$C$1380,$K2838))),NA()),NA())</f>
        <v/>
      </c>
      <c r="J2838" s="32">
        <f>IFERROR(IF(AND($F2838&gt;0,$H2838&gt;0,$A2838-$G2838&lt;=10,$A2838-$I2838&lt;=5,$G2838&gt;0,$I2838&gt;0),$F2838*$H2838,NA()),NA())</f>
        <v/>
      </c>
      <c r="K2838" s="15">
        <f>IF($A2838="","",IF(AH!$U$5=1,IFERROR(MATCH($A2838,'Live History'!$A$5:$A$3004,0),0),AH!$U$7+2833))</f>
        <v/>
      </c>
      <c r="L2838" s="15">
        <f>IF(ISNUMBER(A2838),TEXT(A2838,"dd-mmm-yy"),"")</f>
        <v/>
      </c>
    </row>
    <row r="2839">
      <c r="A2839" s="14">
        <f>IF(OR(AH!$U$4=0,2834+1&gt;AH!$U$6,AND(AH!$M$5="Bloomberg",AH!$U$5=0)),"",IFERROR(IF(AND(AH!$U$12=1,2834+1=AH!$U$6),TODAY(),IF(AH!$U$5=1,INDEX('Live History'!$A$5:$A$3004,AH!$U$7+2834),INDEX('AH History'!$A$5:$A$1380,AH!$U$7+2834))),""))</f>
        <v/>
      </c>
      <c r="B2839" s="33">
        <f>IFERROR(IF(AH!$U$11=1,NA(),$J2839/$E2839-1),NA())</f>
        <v/>
      </c>
      <c r="C2839" s="269">
        <f>IFERROR(100*$E2839/$E$5,NA())</f>
        <v/>
      </c>
      <c r="D2839" s="269">
        <f>IFERROR(100*$J2839/$J$5,NA())</f>
        <v/>
      </c>
      <c r="E2839" s="32">
        <f>IFERROR(IF(AND(ISNUMBER($A2839),N(IF(AND(AH!$U$12=1,2834+1=AH!$U$6),IF(AH!$U$4=0,"unavailable",INDEX('Market Data'!$AN$5:$AN$66,AH!$U$4)),IF(AH!$U$5=1,INDEX('Live History'!$B$5:$B$3004,$K2839),INDEX('AH History'!$D$5:$GG$1380,$K2839,AH!$U$10))))&gt;0),IF(AND(AH!$U$12=1,2834+1=AH!$U$6),IF(AH!$U$4=0,"unavailable",INDEX('Market Data'!$AN$5:$AN$66,AH!$U$4)),IF(AH!$U$5=1,INDEX('Live History'!$B$5:$B$3004,$K2839),INDEX('AH History'!$D$5:$GG$1380,$K2839,AH!$U$10))),NA()),NA())</f>
        <v/>
      </c>
      <c r="F2839" s="32">
        <f>IFERROR(IF(ISNUMBER($A2839),IF(AND(AH!$U$12=1,2834+1=AH!$U$6),IF(AH!$U$4=0,"unavailable",INDEX('Market Data'!$AO$5:$AO$66,AH!$U$4)),IF(AH!$U$5=1,INDEX('Live History'!$E$5:$E$3004,MATCH($A2839,'Live History'!$D$5:$D$3004,1)),INDEX('AH History'!$D$5:$GG$1380,$K2839,AH!$U$10+1))),NA()),NA())</f>
        <v/>
      </c>
      <c r="G2839" s="34">
        <f>IFERROR(IF(ISNUMBER($A2839),IF(AND(AH!$U$12=1,2834+1=AH!$U$6),IF(AH!$U$4=0,"unavailable",INDEX('Market Data'!$AK$5:$AK$66,AH!$U$4)),IF(AH!$U$5=1,INDEX('Live History'!$D$5:$D$3004,MATCH($A2839,'Live History'!$D$5:$D$3004,1)),INDEX('AH History'!$D$5:$GG$1380,$K2839,AH!$U$10+2))),NA()),NA())</f>
        <v/>
      </c>
      <c r="H2839" s="266">
        <f>IFERROR(IF(ISNUMBER($A2839),IF(AND(AH!$U$12=1,2834+1=AH!$U$6),IF(AH!$U$4=0,"unavailable",INDEX('Market Data'!$AP$5:$AP$66,AH!$U$4)),IF(AH!$U$5=1,INDEX('Live History'!$H$5:$H$3004,MATCH($A2839,'Live History'!$G$5:$G$3004,1)),INDEX('AH History'!$B$5:$B$1380,$K2839))),NA()),NA())</f>
        <v/>
      </c>
      <c r="I2839" s="34">
        <f>IFERROR(IF(ISNUMBER($A2839),IF(AND(AH!$U$12=1,2834+1=AH!$U$6),TODAY(),IF(AH!$U$5=1,INDEX('Live History'!$G$5:$G$3004,MATCH($A2839,'Live History'!$G$5:$G$3004,1)),INDEX('AH History'!$C$5:$C$1380,$K2839))),NA()),NA())</f>
        <v/>
      </c>
      <c r="J2839" s="32">
        <f>IFERROR(IF(AND($F2839&gt;0,$H2839&gt;0,$A2839-$G2839&lt;=10,$A2839-$I2839&lt;=5,$G2839&gt;0,$I2839&gt;0),$F2839*$H2839,NA()),NA())</f>
        <v/>
      </c>
      <c r="K2839" s="15">
        <f>IF($A2839="","",IF(AH!$U$5=1,IFERROR(MATCH($A2839,'Live History'!$A$5:$A$3004,0),0),AH!$U$7+2834))</f>
        <v/>
      </c>
      <c r="L2839" s="15">
        <f>IF(ISNUMBER(A2839),TEXT(A2839,"dd-mmm-yy"),"")</f>
        <v/>
      </c>
    </row>
    <row r="2840">
      <c r="A2840" s="14">
        <f>IF(OR(AH!$U$4=0,2835+1&gt;AH!$U$6,AND(AH!$M$5="Bloomberg",AH!$U$5=0)),"",IFERROR(IF(AND(AH!$U$12=1,2835+1=AH!$U$6),TODAY(),IF(AH!$U$5=1,INDEX('Live History'!$A$5:$A$3004,AH!$U$7+2835),INDEX('AH History'!$A$5:$A$1380,AH!$U$7+2835))),""))</f>
        <v/>
      </c>
      <c r="B2840" s="33">
        <f>IFERROR(IF(AH!$U$11=1,NA(),$J2840/$E2840-1),NA())</f>
        <v/>
      </c>
      <c r="C2840" s="269">
        <f>IFERROR(100*$E2840/$E$5,NA())</f>
        <v/>
      </c>
      <c r="D2840" s="269">
        <f>IFERROR(100*$J2840/$J$5,NA())</f>
        <v/>
      </c>
      <c r="E2840" s="32">
        <f>IFERROR(IF(AND(ISNUMBER($A2840),N(IF(AND(AH!$U$12=1,2835+1=AH!$U$6),IF(AH!$U$4=0,"unavailable",INDEX('Market Data'!$AN$5:$AN$66,AH!$U$4)),IF(AH!$U$5=1,INDEX('Live History'!$B$5:$B$3004,$K2840),INDEX('AH History'!$D$5:$GG$1380,$K2840,AH!$U$10))))&gt;0),IF(AND(AH!$U$12=1,2835+1=AH!$U$6),IF(AH!$U$4=0,"unavailable",INDEX('Market Data'!$AN$5:$AN$66,AH!$U$4)),IF(AH!$U$5=1,INDEX('Live History'!$B$5:$B$3004,$K2840),INDEX('AH History'!$D$5:$GG$1380,$K2840,AH!$U$10))),NA()),NA())</f>
        <v/>
      </c>
      <c r="F2840" s="32">
        <f>IFERROR(IF(ISNUMBER($A2840),IF(AND(AH!$U$12=1,2835+1=AH!$U$6),IF(AH!$U$4=0,"unavailable",INDEX('Market Data'!$AO$5:$AO$66,AH!$U$4)),IF(AH!$U$5=1,INDEX('Live History'!$E$5:$E$3004,MATCH($A2840,'Live History'!$D$5:$D$3004,1)),INDEX('AH History'!$D$5:$GG$1380,$K2840,AH!$U$10+1))),NA()),NA())</f>
        <v/>
      </c>
      <c r="G2840" s="34">
        <f>IFERROR(IF(ISNUMBER($A2840),IF(AND(AH!$U$12=1,2835+1=AH!$U$6),IF(AH!$U$4=0,"unavailable",INDEX('Market Data'!$AK$5:$AK$66,AH!$U$4)),IF(AH!$U$5=1,INDEX('Live History'!$D$5:$D$3004,MATCH($A2840,'Live History'!$D$5:$D$3004,1)),INDEX('AH History'!$D$5:$GG$1380,$K2840,AH!$U$10+2))),NA()),NA())</f>
        <v/>
      </c>
      <c r="H2840" s="266">
        <f>IFERROR(IF(ISNUMBER($A2840),IF(AND(AH!$U$12=1,2835+1=AH!$U$6),IF(AH!$U$4=0,"unavailable",INDEX('Market Data'!$AP$5:$AP$66,AH!$U$4)),IF(AH!$U$5=1,INDEX('Live History'!$H$5:$H$3004,MATCH($A2840,'Live History'!$G$5:$G$3004,1)),INDEX('AH History'!$B$5:$B$1380,$K2840))),NA()),NA())</f>
        <v/>
      </c>
      <c r="I2840" s="34">
        <f>IFERROR(IF(ISNUMBER($A2840),IF(AND(AH!$U$12=1,2835+1=AH!$U$6),TODAY(),IF(AH!$U$5=1,INDEX('Live History'!$G$5:$G$3004,MATCH($A2840,'Live History'!$G$5:$G$3004,1)),INDEX('AH History'!$C$5:$C$1380,$K2840))),NA()),NA())</f>
        <v/>
      </c>
      <c r="J2840" s="32">
        <f>IFERROR(IF(AND($F2840&gt;0,$H2840&gt;0,$A2840-$G2840&lt;=10,$A2840-$I2840&lt;=5,$G2840&gt;0,$I2840&gt;0),$F2840*$H2840,NA()),NA())</f>
        <v/>
      </c>
      <c r="K2840" s="15">
        <f>IF($A2840="","",IF(AH!$U$5=1,IFERROR(MATCH($A2840,'Live History'!$A$5:$A$3004,0),0),AH!$U$7+2835))</f>
        <v/>
      </c>
      <c r="L2840" s="15">
        <f>IF(ISNUMBER(A2840),TEXT(A2840,"dd-mmm-yy"),"")</f>
        <v/>
      </c>
    </row>
    <row r="2841">
      <c r="A2841" s="14">
        <f>IF(OR(AH!$U$4=0,2836+1&gt;AH!$U$6,AND(AH!$M$5="Bloomberg",AH!$U$5=0)),"",IFERROR(IF(AND(AH!$U$12=1,2836+1=AH!$U$6),TODAY(),IF(AH!$U$5=1,INDEX('Live History'!$A$5:$A$3004,AH!$U$7+2836),INDEX('AH History'!$A$5:$A$1380,AH!$U$7+2836))),""))</f>
        <v/>
      </c>
      <c r="B2841" s="33">
        <f>IFERROR(IF(AH!$U$11=1,NA(),$J2841/$E2841-1),NA())</f>
        <v/>
      </c>
      <c r="C2841" s="269">
        <f>IFERROR(100*$E2841/$E$5,NA())</f>
        <v/>
      </c>
      <c r="D2841" s="269">
        <f>IFERROR(100*$J2841/$J$5,NA())</f>
        <v/>
      </c>
      <c r="E2841" s="32">
        <f>IFERROR(IF(AND(ISNUMBER($A2841),N(IF(AND(AH!$U$12=1,2836+1=AH!$U$6),IF(AH!$U$4=0,"unavailable",INDEX('Market Data'!$AN$5:$AN$66,AH!$U$4)),IF(AH!$U$5=1,INDEX('Live History'!$B$5:$B$3004,$K2841),INDEX('AH History'!$D$5:$GG$1380,$K2841,AH!$U$10))))&gt;0),IF(AND(AH!$U$12=1,2836+1=AH!$U$6),IF(AH!$U$4=0,"unavailable",INDEX('Market Data'!$AN$5:$AN$66,AH!$U$4)),IF(AH!$U$5=1,INDEX('Live History'!$B$5:$B$3004,$K2841),INDEX('AH History'!$D$5:$GG$1380,$K2841,AH!$U$10))),NA()),NA())</f>
        <v/>
      </c>
      <c r="F2841" s="32">
        <f>IFERROR(IF(ISNUMBER($A2841),IF(AND(AH!$U$12=1,2836+1=AH!$U$6),IF(AH!$U$4=0,"unavailable",INDEX('Market Data'!$AO$5:$AO$66,AH!$U$4)),IF(AH!$U$5=1,INDEX('Live History'!$E$5:$E$3004,MATCH($A2841,'Live History'!$D$5:$D$3004,1)),INDEX('AH History'!$D$5:$GG$1380,$K2841,AH!$U$10+1))),NA()),NA())</f>
        <v/>
      </c>
      <c r="G2841" s="34">
        <f>IFERROR(IF(ISNUMBER($A2841),IF(AND(AH!$U$12=1,2836+1=AH!$U$6),IF(AH!$U$4=0,"unavailable",INDEX('Market Data'!$AK$5:$AK$66,AH!$U$4)),IF(AH!$U$5=1,INDEX('Live History'!$D$5:$D$3004,MATCH($A2841,'Live History'!$D$5:$D$3004,1)),INDEX('AH History'!$D$5:$GG$1380,$K2841,AH!$U$10+2))),NA()),NA())</f>
        <v/>
      </c>
      <c r="H2841" s="266">
        <f>IFERROR(IF(ISNUMBER($A2841),IF(AND(AH!$U$12=1,2836+1=AH!$U$6),IF(AH!$U$4=0,"unavailable",INDEX('Market Data'!$AP$5:$AP$66,AH!$U$4)),IF(AH!$U$5=1,INDEX('Live History'!$H$5:$H$3004,MATCH($A2841,'Live History'!$G$5:$G$3004,1)),INDEX('AH History'!$B$5:$B$1380,$K2841))),NA()),NA())</f>
        <v/>
      </c>
      <c r="I2841" s="34">
        <f>IFERROR(IF(ISNUMBER($A2841),IF(AND(AH!$U$12=1,2836+1=AH!$U$6),TODAY(),IF(AH!$U$5=1,INDEX('Live History'!$G$5:$G$3004,MATCH($A2841,'Live History'!$G$5:$G$3004,1)),INDEX('AH History'!$C$5:$C$1380,$K2841))),NA()),NA())</f>
        <v/>
      </c>
      <c r="J2841" s="32">
        <f>IFERROR(IF(AND($F2841&gt;0,$H2841&gt;0,$A2841-$G2841&lt;=10,$A2841-$I2841&lt;=5,$G2841&gt;0,$I2841&gt;0),$F2841*$H2841,NA()),NA())</f>
        <v/>
      </c>
      <c r="K2841" s="15">
        <f>IF($A2841="","",IF(AH!$U$5=1,IFERROR(MATCH($A2841,'Live History'!$A$5:$A$3004,0),0),AH!$U$7+2836))</f>
        <v/>
      </c>
      <c r="L2841" s="15">
        <f>IF(ISNUMBER(A2841),TEXT(A2841,"dd-mmm-yy"),"")</f>
        <v/>
      </c>
    </row>
    <row r="2842">
      <c r="A2842" s="14">
        <f>IF(OR(AH!$U$4=0,2837+1&gt;AH!$U$6,AND(AH!$M$5="Bloomberg",AH!$U$5=0)),"",IFERROR(IF(AND(AH!$U$12=1,2837+1=AH!$U$6),TODAY(),IF(AH!$U$5=1,INDEX('Live History'!$A$5:$A$3004,AH!$U$7+2837),INDEX('AH History'!$A$5:$A$1380,AH!$U$7+2837))),""))</f>
        <v/>
      </c>
      <c r="B2842" s="33">
        <f>IFERROR(IF(AH!$U$11=1,NA(),$J2842/$E2842-1),NA())</f>
        <v/>
      </c>
      <c r="C2842" s="269">
        <f>IFERROR(100*$E2842/$E$5,NA())</f>
        <v/>
      </c>
      <c r="D2842" s="269">
        <f>IFERROR(100*$J2842/$J$5,NA())</f>
        <v/>
      </c>
      <c r="E2842" s="32">
        <f>IFERROR(IF(AND(ISNUMBER($A2842),N(IF(AND(AH!$U$12=1,2837+1=AH!$U$6),IF(AH!$U$4=0,"unavailable",INDEX('Market Data'!$AN$5:$AN$66,AH!$U$4)),IF(AH!$U$5=1,INDEX('Live History'!$B$5:$B$3004,$K2842),INDEX('AH History'!$D$5:$GG$1380,$K2842,AH!$U$10))))&gt;0),IF(AND(AH!$U$12=1,2837+1=AH!$U$6),IF(AH!$U$4=0,"unavailable",INDEX('Market Data'!$AN$5:$AN$66,AH!$U$4)),IF(AH!$U$5=1,INDEX('Live History'!$B$5:$B$3004,$K2842),INDEX('AH History'!$D$5:$GG$1380,$K2842,AH!$U$10))),NA()),NA())</f>
        <v/>
      </c>
      <c r="F2842" s="32">
        <f>IFERROR(IF(ISNUMBER($A2842),IF(AND(AH!$U$12=1,2837+1=AH!$U$6),IF(AH!$U$4=0,"unavailable",INDEX('Market Data'!$AO$5:$AO$66,AH!$U$4)),IF(AH!$U$5=1,INDEX('Live History'!$E$5:$E$3004,MATCH($A2842,'Live History'!$D$5:$D$3004,1)),INDEX('AH History'!$D$5:$GG$1380,$K2842,AH!$U$10+1))),NA()),NA())</f>
        <v/>
      </c>
      <c r="G2842" s="34">
        <f>IFERROR(IF(ISNUMBER($A2842),IF(AND(AH!$U$12=1,2837+1=AH!$U$6),IF(AH!$U$4=0,"unavailable",INDEX('Market Data'!$AK$5:$AK$66,AH!$U$4)),IF(AH!$U$5=1,INDEX('Live History'!$D$5:$D$3004,MATCH($A2842,'Live History'!$D$5:$D$3004,1)),INDEX('AH History'!$D$5:$GG$1380,$K2842,AH!$U$10+2))),NA()),NA())</f>
        <v/>
      </c>
      <c r="H2842" s="266">
        <f>IFERROR(IF(ISNUMBER($A2842),IF(AND(AH!$U$12=1,2837+1=AH!$U$6),IF(AH!$U$4=0,"unavailable",INDEX('Market Data'!$AP$5:$AP$66,AH!$U$4)),IF(AH!$U$5=1,INDEX('Live History'!$H$5:$H$3004,MATCH($A2842,'Live History'!$G$5:$G$3004,1)),INDEX('AH History'!$B$5:$B$1380,$K2842))),NA()),NA())</f>
        <v/>
      </c>
      <c r="I2842" s="34">
        <f>IFERROR(IF(ISNUMBER($A2842),IF(AND(AH!$U$12=1,2837+1=AH!$U$6),TODAY(),IF(AH!$U$5=1,INDEX('Live History'!$G$5:$G$3004,MATCH($A2842,'Live History'!$G$5:$G$3004,1)),INDEX('AH History'!$C$5:$C$1380,$K2842))),NA()),NA())</f>
        <v/>
      </c>
      <c r="J2842" s="32">
        <f>IFERROR(IF(AND($F2842&gt;0,$H2842&gt;0,$A2842-$G2842&lt;=10,$A2842-$I2842&lt;=5,$G2842&gt;0,$I2842&gt;0),$F2842*$H2842,NA()),NA())</f>
        <v/>
      </c>
      <c r="K2842" s="15">
        <f>IF($A2842="","",IF(AH!$U$5=1,IFERROR(MATCH($A2842,'Live History'!$A$5:$A$3004,0),0),AH!$U$7+2837))</f>
        <v/>
      </c>
      <c r="L2842" s="15">
        <f>IF(ISNUMBER(A2842),TEXT(A2842,"dd-mmm-yy"),"")</f>
        <v/>
      </c>
    </row>
    <row r="2843">
      <c r="A2843" s="14">
        <f>IF(OR(AH!$U$4=0,2838+1&gt;AH!$U$6,AND(AH!$M$5="Bloomberg",AH!$U$5=0)),"",IFERROR(IF(AND(AH!$U$12=1,2838+1=AH!$U$6),TODAY(),IF(AH!$U$5=1,INDEX('Live History'!$A$5:$A$3004,AH!$U$7+2838),INDEX('AH History'!$A$5:$A$1380,AH!$U$7+2838))),""))</f>
        <v/>
      </c>
      <c r="B2843" s="33">
        <f>IFERROR(IF(AH!$U$11=1,NA(),$J2843/$E2843-1),NA())</f>
        <v/>
      </c>
      <c r="C2843" s="269">
        <f>IFERROR(100*$E2843/$E$5,NA())</f>
        <v/>
      </c>
      <c r="D2843" s="269">
        <f>IFERROR(100*$J2843/$J$5,NA())</f>
        <v/>
      </c>
      <c r="E2843" s="32">
        <f>IFERROR(IF(AND(ISNUMBER($A2843),N(IF(AND(AH!$U$12=1,2838+1=AH!$U$6),IF(AH!$U$4=0,"unavailable",INDEX('Market Data'!$AN$5:$AN$66,AH!$U$4)),IF(AH!$U$5=1,INDEX('Live History'!$B$5:$B$3004,$K2843),INDEX('AH History'!$D$5:$GG$1380,$K2843,AH!$U$10))))&gt;0),IF(AND(AH!$U$12=1,2838+1=AH!$U$6),IF(AH!$U$4=0,"unavailable",INDEX('Market Data'!$AN$5:$AN$66,AH!$U$4)),IF(AH!$U$5=1,INDEX('Live History'!$B$5:$B$3004,$K2843),INDEX('AH History'!$D$5:$GG$1380,$K2843,AH!$U$10))),NA()),NA())</f>
        <v/>
      </c>
      <c r="F2843" s="32">
        <f>IFERROR(IF(ISNUMBER($A2843),IF(AND(AH!$U$12=1,2838+1=AH!$U$6),IF(AH!$U$4=0,"unavailable",INDEX('Market Data'!$AO$5:$AO$66,AH!$U$4)),IF(AH!$U$5=1,INDEX('Live History'!$E$5:$E$3004,MATCH($A2843,'Live History'!$D$5:$D$3004,1)),INDEX('AH History'!$D$5:$GG$1380,$K2843,AH!$U$10+1))),NA()),NA())</f>
        <v/>
      </c>
      <c r="G2843" s="34">
        <f>IFERROR(IF(ISNUMBER($A2843),IF(AND(AH!$U$12=1,2838+1=AH!$U$6),IF(AH!$U$4=0,"unavailable",INDEX('Market Data'!$AK$5:$AK$66,AH!$U$4)),IF(AH!$U$5=1,INDEX('Live History'!$D$5:$D$3004,MATCH($A2843,'Live History'!$D$5:$D$3004,1)),INDEX('AH History'!$D$5:$GG$1380,$K2843,AH!$U$10+2))),NA()),NA())</f>
        <v/>
      </c>
      <c r="H2843" s="266">
        <f>IFERROR(IF(ISNUMBER($A2843),IF(AND(AH!$U$12=1,2838+1=AH!$U$6),IF(AH!$U$4=0,"unavailable",INDEX('Market Data'!$AP$5:$AP$66,AH!$U$4)),IF(AH!$U$5=1,INDEX('Live History'!$H$5:$H$3004,MATCH($A2843,'Live History'!$G$5:$G$3004,1)),INDEX('AH History'!$B$5:$B$1380,$K2843))),NA()),NA())</f>
        <v/>
      </c>
      <c r="I2843" s="34">
        <f>IFERROR(IF(ISNUMBER($A2843),IF(AND(AH!$U$12=1,2838+1=AH!$U$6),TODAY(),IF(AH!$U$5=1,INDEX('Live History'!$G$5:$G$3004,MATCH($A2843,'Live History'!$G$5:$G$3004,1)),INDEX('AH History'!$C$5:$C$1380,$K2843))),NA()),NA())</f>
        <v/>
      </c>
      <c r="J2843" s="32">
        <f>IFERROR(IF(AND($F2843&gt;0,$H2843&gt;0,$A2843-$G2843&lt;=10,$A2843-$I2843&lt;=5,$G2843&gt;0,$I2843&gt;0),$F2843*$H2843,NA()),NA())</f>
        <v/>
      </c>
      <c r="K2843" s="15">
        <f>IF($A2843="","",IF(AH!$U$5=1,IFERROR(MATCH($A2843,'Live History'!$A$5:$A$3004,0),0),AH!$U$7+2838))</f>
        <v/>
      </c>
      <c r="L2843" s="15">
        <f>IF(ISNUMBER(A2843),TEXT(A2843,"dd-mmm-yy"),"")</f>
        <v/>
      </c>
    </row>
    <row r="2844">
      <c r="A2844" s="14">
        <f>IF(OR(AH!$U$4=0,2839+1&gt;AH!$U$6,AND(AH!$M$5="Bloomberg",AH!$U$5=0)),"",IFERROR(IF(AND(AH!$U$12=1,2839+1=AH!$U$6),TODAY(),IF(AH!$U$5=1,INDEX('Live History'!$A$5:$A$3004,AH!$U$7+2839),INDEX('AH History'!$A$5:$A$1380,AH!$U$7+2839))),""))</f>
        <v/>
      </c>
      <c r="B2844" s="33">
        <f>IFERROR(IF(AH!$U$11=1,NA(),$J2844/$E2844-1),NA())</f>
        <v/>
      </c>
      <c r="C2844" s="269">
        <f>IFERROR(100*$E2844/$E$5,NA())</f>
        <v/>
      </c>
      <c r="D2844" s="269">
        <f>IFERROR(100*$J2844/$J$5,NA())</f>
        <v/>
      </c>
      <c r="E2844" s="32">
        <f>IFERROR(IF(AND(ISNUMBER($A2844),N(IF(AND(AH!$U$12=1,2839+1=AH!$U$6),IF(AH!$U$4=0,"unavailable",INDEX('Market Data'!$AN$5:$AN$66,AH!$U$4)),IF(AH!$U$5=1,INDEX('Live History'!$B$5:$B$3004,$K2844),INDEX('AH History'!$D$5:$GG$1380,$K2844,AH!$U$10))))&gt;0),IF(AND(AH!$U$12=1,2839+1=AH!$U$6),IF(AH!$U$4=0,"unavailable",INDEX('Market Data'!$AN$5:$AN$66,AH!$U$4)),IF(AH!$U$5=1,INDEX('Live History'!$B$5:$B$3004,$K2844),INDEX('AH History'!$D$5:$GG$1380,$K2844,AH!$U$10))),NA()),NA())</f>
        <v/>
      </c>
      <c r="F2844" s="32">
        <f>IFERROR(IF(ISNUMBER($A2844),IF(AND(AH!$U$12=1,2839+1=AH!$U$6),IF(AH!$U$4=0,"unavailable",INDEX('Market Data'!$AO$5:$AO$66,AH!$U$4)),IF(AH!$U$5=1,INDEX('Live History'!$E$5:$E$3004,MATCH($A2844,'Live History'!$D$5:$D$3004,1)),INDEX('AH History'!$D$5:$GG$1380,$K2844,AH!$U$10+1))),NA()),NA())</f>
        <v/>
      </c>
      <c r="G2844" s="34">
        <f>IFERROR(IF(ISNUMBER($A2844),IF(AND(AH!$U$12=1,2839+1=AH!$U$6),IF(AH!$U$4=0,"unavailable",INDEX('Market Data'!$AK$5:$AK$66,AH!$U$4)),IF(AH!$U$5=1,INDEX('Live History'!$D$5:$D$3004,MATCH($A2844,'Live History'!$D$5:$D$3004,1)),INDEX('AH History'!$D$5:$GG$1380,$K2844,AH!$U$10+2))),NA()),NA())</f>
        <v/>
      </c>
      <c r="H2844" s="266">
        <f>IFERROR(IF(ISNUMBER($A2844),IF(AND(AH!$U$12=1,2839+1=AH!$U$6),IF(AH!$U$4=0,"unavailable",INDEX('Market Data'!$AP$5:$AP$66,AH!$U$4)),IF(AH!$U$5=1,INDEX('Live History'!$H$5:$H$3004,MATCH($A2844,'Live History'!$G$5:$G$3004,1)),INDEX('AH History'!$B$5:$B$1380,$K2844))),NA()),NA())</f>
        <v/>
      </c>
      <c r="I2844" s="34">
        <f>IFERROR(IF(ISNUMBER($A2844),IF(AND(AH!$U$12=1,2839+1=AH!$U$6),TODAY(),IF(AH!$U$5=1,INDEX('Live History'!$G$5:$G$3004,MATCH($A2844,'Live History'!$G$5:$G$3004,1)),INDEX('AH History'!$C$5:$C$1380,$K2844))),NA()),NA())</f>
        <v/>
      </c>
      <c r="J2844" s="32">
        <f>IFERROR(IF(AND($F2844&gt;0,$H2844&gt;0,$A2844-$G2844&lt;=10,$A2844-$I2844&lt;=5,$G2844&gt;0,$I2844&gt;0),$F2844*$H2844,NA()),NA())</f>
        <v/>
      </c>
      <c r="K2844" s="15">
        <f>IF($A2844="","",IF(AH!$U$5=1,IFERROR(MATCH($A2844,'Live History'!$A$5:$A$3004,0),0),AH!$U$7+2839))</f>
        <v/>
      </c>
      <c r="L2844" s="15">
        <f>IF(ISNUMBER(A2844),TEXT(A2844,"dd-mmm-yy"),"")</f>
        <v/>
      </c>
    </row>
    <row r="2845">
      <c r="A2845" s="14">
        <f>IF(OR(AH!$U$4=0,2840+1&gt;AH!$U$6,AND(AH!$M$5="Bloomberg",AH!$U$5=0)),"",IFERROR(IF(AND(AH!$U$12=1,2840+1=AH!$U$6),TODAY(),IF(AH!$U$5=1,INDEX('Live History'!$A$5:$A$3004,AH!$U$7+2840),INDEX('AH History'!$A$5:$A$1380,AH!$U$7+2840))),""))</f>
        <v/>
      </c>
      <c r="B2845" s="33">
        <f>IFERROR(IF(AH!$U$11=1,NA(),$J2845/$E2845-1),NA())</f>
        <v/>
      </c>
      <c r="C2845" s="269">
        <f>IFERROR(100*$E2845/$E$5,NA())</f>
        <v/>
      </c>
      <c r="D2845" s="269">
        <f>IFERROR(100*$J2845/$J$5,NA())</f>
        <v/>
      </c>
      <c r="E2845" s="32">
        <f>IFERROR(IF(AND(ISNUMBER($A2845),N(IF(AND(AH!$U$12=1,2840+1=AH!$U$6),IF(AH!$U$4=0,"unavailable",INDEX('Market Data'!$AN$5:$AN$66,AH!$U$4)),IF(AH!$U$5=1,INDEX('Live History'!$B$5:$B$3004,$K2845),INDEX('AH History'!$D$5:$GG$1380,$K2845,AH!$U$10))))&gt;0),IF(AND(AH!$U$12=1,2840+1=AH!$U$6),IF(AH!$U$4=0,"unavailable",INDEX('Market Data'!$AN$5:$AN$66,AH!$U$4)),IF(AH!$U$5=1,INDEX('Live History'!$B$5:$B$3004,$K2845),INDEX('AH History'!$D$5:$GG$1380,$K2845,AH!$U$10))),NA()),NA())</f>
        <v/>
      </c>
      <c r="F2845" s="32">
        <f>IFERROR(IF(ISNUMBER($A2845),IF(AND(AH!$U$12=1,2840+1=AH!$U$6),IF(AH!$U$4=0,"unavailable",INDEX('Market Data'!$AO$5:$AO$66,AH!$U$4)),IF(AH!$U$5=1,INDEX('Live History'!$E$5:$E$3004,MATCH($A2845,'Live History'!$D$5:$D$3004,1)),INDEX('AH History'!$D$5:$GG$1380,$K2845,AH!$U$10+1))),NA()),NA())</f>
        <v/>
      </c>
      <c r="G2845" s="34">
        <f>IFERROR(IF(ISNUMBER($A2845),IF(AND(AH!$U$12=1,2840+1=AH!$U$6),IF(AH!$U$4=0,"unavailable",INDEX('Market Data'!$AK$5:$AK$66,AH!$U$4)),IF(AH!$U$5=1,INDEX('Live History'!$D$5:$D$3004,MATCH($A2845,'Live History'!$D$5:$D$3004,1)),INDEX('AH History'!$D$5:$GG$1380,$K2845,AH!$U$10+2))),NA()),NA())</f>
        <v/>
      </c>
      <c r="H2845" s="266">
        <f>IFERROR(IF(ISNUMBER($A2845),IF(AND(AH!$U$12=1,2840+1=AH!$U$6),IF(AH!$U$4=0,"unavailable",INDEX('Market Data'!$AP$5:$AP$66,AH!$U$4)),IF(AH!$U$5=1,INDEX('Live History'!$H$5:$H$3004,MATCH($A2845,'Live History'!$G$5:$G$3004,1)),INDEX('AH History'!$B$5:$B$1380,$K2845))),NA()),NA())</f>
        <v/>
      </c>
      <c r="I2845" s="34">
        <f>IFERROR(IF(ISNUMBER($A2845),IF(AND(AH!$U$12=1,2840+1=AH!$U$6),TODAY(),IF(AH!$U$5=1,INDEX('Live History'!$G$5:$G$3004,MATCH($A2845,'Live History'!$G$5:$G$3004,1)),INDEX('AH History'!$C$5:$C$1380,$K2845))),NA()),NA())</f>
        <v/>
      </c>
      <c r="J2845" s="32">
        <f>IFERROR(IF(AND($F2845&gt;0,$H2845&gt;0,$A2845-$G2845&lt;=10,$A2845-$I2845&lt;=5,$G2845&gt;0,$I2845&gt;0),$F2845*$H2845,NA()),NA())</f>
        <v/>
      </c>
      <c r="K2845" s="15">
        <f>IF($A2845="","",IF(AH!$U$5=1,IFERROR(MATCH($A2845,'Live History'!$A$5:$A$3004,0),0),AH!$U$7+2840))</f>
        <v/>
      </c>
      <c r="L2845" s="15">
        <f>IF(ISNUMBER(A2845),TEXT(A2845,"dd-mmm-yy"),"")</f>
        <v/>
      </c>
    </row>
    <row r="2846">
      <c r="A2846" s="14">
        <f>IF(OR(AH!$U$4=0,2841+1&gt;AH!$U$6,AND(AH!$M$5="Bloomberg",AH!$U$5=0)),"",IFERROR(IF(AND(AH!$U$12=1,2841+1=AH!$U$6),TODAY(),IF(AH!$U$5=1,INDEX('Live History'!$A$5:$A$3004,AH!$U$7+2841),INDEX('AH History'!$A$5:$A$1380,AH!$U$7+2841))),""))</f>
        <v/>
      </c>
      <c r="B2846" s="33">
        <f>IFERROR(IF(AH!$U$11=1,NA(),$J2846/$E2846-1),NA())</f>
        <v/>
      </c>
      <c r="C2846" s="269">
        <f>IFERROR(100*$E2846/$E$5,NA())</f>
        <v/>
      </c>
      <c r="D2846" s="269">
        <f>IFERROR(100*$J2846/$J$5,NA())</f>
        <v/>
      </c>
      <c r="E2846" s="32">
        <f>IFERROR(IF(AND(ISNUMBER($A2846),N(IF(AND(AH!$U$12=1,2841+1=AH!$U$6),IF(AH!$U$4=0,"unavailable",INDEX('Market Data'!$AN$5:$AN$66,AH!$U$4)),IF(AH!$U$5=1,INDEX('Live History'!$B$5:$B$3004,$K2846),INDEX('AH History'!$D$5:$GG$1380,$K2846,AH!$U$10))))&gt;0),IF(AND(AH!$U$12=1,2841+1=AH!$U$6),IF(AH!$U$4=0,"unavailable",INDEX('Market Data'!$AN$5:$AN$66,AH!$U$4)),IF(AH!$U$5=1,INDEX('Live History'!$B$5:$B$3004,$K2846),INDEX('AH History'!$D$5:$GG$1380,$K2846,AH!$U$10))),NA()),NA())</f>
        <v/>
      </c>
      <c r="F2846" s="32">
        <f>IFERROR(IF(ISNUMBER($A2846),IF(AND(AH!$U$12=1,2841+1=AH!$U$6),IF(AH!$U$4=0,"unavailable",INDEX('Market Data'!$AO$5:$AO$66,AH!$U$4)),IF(AH!$U$5=1,INDEX('Live History'!$E$5:$E$3004,MATCH($A2846,'Live History'!$D$5:$D$3004,1)),INDEX('AH History'!$D$5:$GG$1380,$K2846,AH!$U$10+1))),NA()),NA())</f>
        <v/>
      </c>
      <c r="G2846" s="34">
        <f>IFERROR(IF(ISNUMBER($A2846),IF(AND(AH!$U$12=1,2841+1=AH!$U$6),IF(AH!$U$4=0,"unavailable",INDEX('Market Data'!$AK$5:$AK$66,AH!$U$4)),IF(AH!$U$5=1,INDEX('Live History'!$D$5:$D$3004,MATCH($A2846,'Live History'!$D$5:$D$3004,1)),INDEX('AH History'!$D$5:$GG$1380,$K2846,AH!$U$10+2))),NA()),NA())</f>
        <v/>
      </c>
      <c r="H2846" s="266">
        <f>IFERROR(IF(ISNUMBER($A2846),IF(AND(AH!$U$12=1,2841+1=AH!$U$6),IF(AH!$U$4=0,"unavailable",INDEX('Market Data'!$AP$5:$AP$66,AH!$U$4)),IF(AH!$U$5=1,INDEX('Live History'!$H$5:$H$3004,MATCH($A2846,'Live History'!$G$5:$G$3004,1)),INDEX('AH History'!$B$5:$B$1380,$K2846))),NA()),NA())</f>
        <v/>
      </c>
      <c r="I2846" s="34">
        <f>IFERROR(IF(ISNUMBER($A2846),IF(AND(AH!$U$12=1,2841+1=AH!$U$6),TODAY(),IF(AH!$U$5=1,INDEX('Live History'!$G$5:$G$3004,MATCH($A2846,'Live History'!$G$5:$G$3004,1)),INDEX('AH History'!$C$5:$C$1380,$K2846))),NA()),NA())</f>
        <v/>
      </c>
      <c r="J2846" s="32">
        <f>IFERROR(IF(AND($F2846&gt;0,$H2846&gt;0,$A2846-$G2846&lt;=10,$A2846-$I2846&lt;=5,$G2846&gt;0,$I2846&gt;0),$F2846*$H2846,NA()),NA())</f>
        <v/>
      </c>
      <c r="K2846" s="15">
        <f>IF($A2846="","",IF(AH!$U$5=1,IFERROR(MATCH($A2846,'Live History'!$A$5:$A$3004,0),0),AH!$U$7+2841))</f>
        <v/>
      </c>
      <c r="L2846" s="15">
        <f>IF(ISNUMBER(A2846),TEXT(A2846,"dd-mmm-yy"),"")</f>
        <v/>
      </c>
    </row>
    <row r="2847">
      <c r="A2847" s="14">
        <f>IF(OR(AH!$U$4=0,2842+1&gt;AH!$U$6,AND(AH!$M$5="Bloomberg",AH!$U$5=0)),"",IFERROR(IF(AND(AH!$U$12=1,2842+1=AH!$U$6),TODAY(),IF(AH!$U$5=1,INDEX('Live History'!$A$5:$A$3004,AH!$U$7+2842),INDEX('AH History'!$A$5:$A$1380,AH!$U$7+2842))),""))</f>
        <v/>
      </c>
      <c r="B2847" s="33">
        <f>IFERROR(IF(AH!$U$11=1,NA(),$J2847/$E2847-1),NA())</f>
        <v/>
      </c>
      <c r="C2847" s="269">
        <f>IFERROR(100*$E2847/$E$5,NA())</f>
        <v/>
      </c>
      <c r="D2847" s="269">
        <f>IFERROR(100*$J2847/$J$5,NA())</f>
        <v/>
      </c>
      <c r="E2847" s="32">
        <f>IFERROR(IF(AND(ISNUMBER($A2847),N(IF(AND(AH!$U$12=1,2842+1=AH!$U$6),IF(AH!$U$4=0,"unavailable",INDEX('Market Data'!$AN$5:$AN$66,AH!$U$4)),IF(AH!$U$5=1,INDEX('Live History'!$B$5:$B$3004,$K2847),INDEX('AH History'!$D$5:$GG$1380,$K2847,AH!$U$10))))&gt;0),IF(AND(AH!$U$12=1,2842+1=AH!$U$6),IF(AH!$U$4=0,"unavailable",INDEX('Market Data'!$AN$5:$AN$66,AH!$U$4)),IF(AH!$U$5=1,INDEX('Live History'!$B$5:$B$3004,$K2847),INDEX('AH History'!$D$5:$GG$1380,$K2847,AH!$U$10))),NA()),NA())</f>
        <v/>
      </c>
      <c r="F2847" s="32">
        <f>IFERROR(IF(ISNUMBER($A2847),IF(AND(AH!$U$12=1,2842+1=AH!$U$6),IF(AH!$U$4=0,"unavailable",INDEX('Market Data'!$AO$5:$AO$66,AH!$U$4)),IF(AH!$U$5=1,INDEX('Live History'!$E$5:$E$3004,MATCH($A2847,'Live History'!$D$5:$D$3004,1)),INDEX('AH History'!$D$5:$GG$1380,$K2847,AH!$U$10+1))),NA()),NA())</f>
        <v/>
      </c>
      <c r="G2847" s="34">
        <f>IFERROR(IF(ISNUMBER($A2847),IF(AND(AH!$U$12=1,2842+1=AH!$U$6),IF(AH!$U$4=0,"unavailable",INDEX('Market Data'!$AK$5:$AK$66,AH!$U$4)),IF(AH!$U$5=1,INDEX('Live History'!$D$5:$D$3004,MATCH($A2847,'Live History'!$D$5:$D$3004,1)),INDEX('AH History'!$D$5:$GG$1380,$K2847,AH!$U$10+2))),NA()),NA())</f>
        <v/>
      </c>
      <c r="H2847" s="266">
        <f>IFERROR(IF(ISNUMBER($A2847),IF(AND(AH!$U$12=1,2842+1=AH!$U$6),IF(AH!$U$4=0,"unavailable",INDEX('Market Data'!$AP$5:$AP$66,AH!$U$4)),IF(AH!$U$5=1,INDEX('Live History'!$H$5:$H$3004,MATCH($A2847,'Live History'!$G$5:$G$3004,1)),INDEX('AH History'!$B$5:$B$1380,$K2847))),NA()),NA())</f>
        <v/>
      </c>
      <c r="I2847" s="34">
        <f>IFERROR(IF(ISNUMBER($A2847),IF(AND(AH!$U$12=1,2842+1=AH!$U$6),TODAY(),IF(AH!$U$5=1,INDEX('Live History'!$G$5:$G$3004,MATCH($A2847,'Live History'!$G$5:$G$3004,1)),INDEX('AH History'!$C$5:$C$1380,$K2847))),NA()),NA())</f>
        <v/>
      </c>
      <c r="J2847" s="32">
        <f>IFERROR(IF(AND($F2847&gt;0,$H2847&gt;0,$A2847-$G2847&lt;=10,$A2847-$I2847&lt;=5,$G2847&gt;0,$I2847&gt;0),$F2847*$H2847,NA()),NA())</f>
        <v/>
      </c>
      <c r="K2847" s="15">
        <f>IF($A2847="","",IF(AH!$U$5=1,IFERROR(MATCH($A2847,'Live History'!$A$5:$A$3004,0),0),AH!$U$7+2842))</f>
        <v/>
      </c>
      <c r="L2847" s="15">
        <f>IF(ISNUMBER(A2847),TEXT(A2847,"dd-mmm-yy"),"")</f>
        <v/>
      </c>
    </row>
    <row r="2848">
      <c r="A2848" s="14">
        <f>IF(OR(AH!$U$4=0,2843+1&gt;AH!$U$6,AND(AH!$M$5="Bloomberg",AH!$U$5=0)),"",IFERROR(IF(AND(AH!$U$12=1,2843+1=AH!$U$6),TODAY(),IF(AH!$U$5=1,INDEX('Live History'!$A$5:$A$3004,AH!$U$7+2843),INDEX('AH History'!$A$5:$A$1380,AH!$U$7+2843))),""))</f>
        <v/>
      </c>
      <c r="B2848" s="33">
        <f>IFERROR(IF(AH!$U$11=1,NA(),$J2848/$E2848-1),NA())</f>
        <v/>
      </c>
      <c r="C2848" s="269">
        <f>IFERROR(100*$E2848/$E$5,NA())</f>
        <v/>
      </c>
      <c r="D2848" s="269">
        <f>IFERROR(100*$J2848/$J$5,NA())</f>
        <v/>
      </c>
      <c r="E2848" s="32">
        <f>IFERROR(IF(AND(ISNUMBER($A2848),N(IF(AND(AH!$U$12=1,2843+1=AH!$U$6),IF(AH!$U$4=0,"unavailable",INDEX('Market Data'!$AN$5:$AN$66,AH!$U$4)),IF(AH!$U$5=1,INDEX('Live History'!$B$5:$B$3004,$K2848),INDEX('AH History'!$D$5:$GG$1380,$K2848,AH!$U$10))))&gt;0),IF(AND(AH!$U$12=1,2843+1=AH!$U$6),IF(AH!$U$4=0,"unavailable",INDEX('Market Data'!$AN$5:$AN$66,AH!$U$4)),IF(AH!$U$5=1,INDEX('Live History'!$B$5:$B$3004,$K2848),INDEX('AH History'!$D$5:$GG$1380,$K2848,AH!$U$10))),NA()),NA())</f>
        <v/>
      </c>
      <c r="F2848" s="32">
        <f>IFERROR(IF(ISNUMBER($A2848),IF(AND(AH!$U$12=1,2843+1=AH!$U$6),IF(AH!$U$4=0,"unavailable",INDEX('Market Data'!$AO$5:$AO$66,AH!$U$4)),IF(AH!$U$5=1,INDEX('Live History'!$E$5:$E$3004,MATCH($A2848,'Live History'!$D$5:$D$3004,1)),INDEX('AH History'!$D$5:$GG$1380,$K2848,AH!$U$10+1))),NA()),NA())</f>
        <v/>
      </c>
      <c r="G2848" s="34">
        <f>IFERROR(IF(ISNUMBER($A2848),IF(AND(AH!$U$12=1,2843+1=AH!$U$6),IF(AH!$U$4=0,"unavailable",INDEX('Market Data'!$AK$5:$AK$66,AH!$U$4)),IF(AH!$U$5=1,INDEX('Live History'!$D$5:$D$3004,MATCH($A2848,'Live History'!$D$5:$D$3004,1)),INDEX('AH History'!$D$5:$GG$1380,$K2848,AH!$U$10+2))),NA()),NA())</f>
        <v/>
      </c>
      <c r="H2848" s="266">
        <f>IFERROR(IF(ISNUMBER($A2848),IF(AND(AH!$U$12=1,2843+1=AH!$U$6),IF(AH!$U$4=0,"unavailable",INDEX('Market Data'!$AP$5:$AP$66,AH!$U$4)),IF(AH!$U$5=1,INDEX('Live History'!$H$5:$H$3004,MATCH($A2848,'Live History'!$G$5:$G$3004,1)),INDEX('AH History'!$B$5:$B$1380,$K2848))),NA()),NA())</f>
        <v/>
      </c>
      <c r="I2848" s="34">
        <f>IFERROR(IF(ISNUMBER($A2848),IF(AND(AH!$U$12=1,2843+1=AH!$U$6),TODAY(),IF(AH!$U$5=1,INDEX('Live History'!$G$5:$G$3004,MATCH($A2848,'Live History'!$G$5:$G$3004,1)),INDEX('AH History'!$C$5:$C$1380,$K2848))),NA()),NA())</f>
        <v/>
      </c>
      <c r="J2848" s="32">
        <f>IFERROR(IF(AND($F2848&gt;0,$H2848&gt;0,$A2848-$G2848&lt;=10,$A2848-$I2848&lt;=5,$G2848&gt;0,$I2848&gt;0),$F2848*$H2848,NA()),NA())</f>
        <v/>
      </c>
      <c r="K2848" s="15">
        <f>IF($A2848="","",IF(AH!$U$5=1,IFERROR(MATCH($A2848,'Live History'!$A$5:$A$3004,0),0),AH!$U$7+2843))</f>
        <v/>
      </c>
      <c r="L2848" s="15">
        <f>IF(ISNUMBER(A2848),TEXT(A2848,"dd-mmm-yy"),"")</f>
        <v/>
      </c>
    </row>
    <row r="2849">
      <c r="A2849" s="14">
        <f>IF(OR(AH!$U$4=0,2844+1&gt;AH!$U$6,AND(AH!$M$5="Bloomberg",AH!$U$5=0)),"",IFERROR(IF(AND(AH!$U$12=1,2844+1=AH!$U$6),TODAY(),IF(AH!$U$5=1,INDEX('Live History'!$A$5:$A$3004,AH!$U$7+2844),INDEX('AH History'!$A$5:$A$1380,AH!$U$7+2844))),""))</f>
        <v/>
      </c>
      <c r="B2849" s="33">
        <f>IFERROR(IF(AH!$U$11=1,NA(),$J2849/$E2849-1),NA())</f>
        <v/>
      </c>
      <c r="C2849" s="269">
        <f>IFERROR(100*$E2849/$E$5,NA())</f>
        <v/>
      </c>
      <c r="D2849" s="269">
        <f>IFERROR(100*$J2849/$J$5,NA())</f>
        <v/>
      </c>
      <c r="E2849" s="32">
        <f>IFERROR(IF(AND(ISNUMBER($A2849),N(IF(AND(AH!$U$12=1,2844+1=AH!$U$6),IF(AH!$U$4=0,"unavailable",INDEX('Market Data'!$AN$5:$AN$66,AH!$U$4)),IF(AH!$U$5=1,INDEX('Live History'!$B$5:$B$3004,$K2849),INDEX('AH History'!$D$5:$GG$1380,$K2849,AH!$U$10))))&gt;0),IF(AND(AH!$U$12=1,2844+1=AH!$U$6),IF(AH!$U$4=0,"unavailable",INDEX('Market Data'!$AN$5:$AN$66,AH!$U$4)),IF(AH!$U$5=1,INDEX('Live History'!$B$5:$B$3004,$K2849),INDEX('AH History'!$D$5:$GG$1380,$K2849,AH!$U$10))),NA()),NA())</f>
        <v/>
      </c>
      <c r="F2849" s="32">
        <f>IFERROR(IF(ISNUMBER($A2849),IF(AND(AH!$U$12=1,2844+1=AH!$U$6),IF(AH!$U$4=0,"unavailable",INDEX('Market Data'!$AO$5:$AO$66,AH!$U$4)),IF(AH!$U$5=1,INDEX('Live History'!$E$5:$E$3004,MATCH($A2849,'Live History'!$D$5:$D$3004,1)),INDEX('AH History'!$D$5:$GG$1380,$K2849,AH!$U$10+1))),NA()),NA())</f>
        <v/>
      </c>
      <c r="G2849" s="34">
        <f>IFERROR(IF(ISNUMBER($A2849),IF(AND(AH!$U$12=1,2844+1=AH!$U$6),IF(AH!$U$4=0,"unavailable",INDEX('Market Data'!$AK$5:$AK$66,AH!$U$4)),IF(AH!$U$5=1,INDEX('Live History'!$D$5:$D$3004,MATCH($A2849,'Live History'!$D$5:$D$3004,1)),INDEX('AH History'!$D$5:$GG$1380,$K2849,AH!$U$10+2))),NA()),NA())</f>
        <v/>
      </c>
      <c r="H2849" s="266">
        <f>IFERROR(IF(ISNUMBER($A2849),IF(AND(AH!$U$12=1,2844+1=AH!$U$6),IF(AH!$U$4=0,"unavailable",INDEX('Market Data'!$AP$5:$AP$66,AH!$U$4)),IF(AH!$U$5=1,INDEX('Live History'!$H$5:$H$3004,MATCH($A2849,'Live History'!$G$5:$G$3004,1)),INDEX('AH History'!$B$5:$B$1380,$K2849))),NA()),NA())</f>
        <v/>
      </c>
      <c r="I2849" s="34">
        <f>IFERROR(IF(ISNUMBER($A2849),IF(AND(AH!$U$12=1,2844+1=AH!$U$6),TODAY(),IF(AH!$U$5=1,INDEX('Live History'!$G$5:$G$3004,MATCH($A2849,'Live History'!$G$5:$G$3004,1)),INDEX('AH History'!$C$5:$C$1380,$K2849))),NA()),NA())</f>
        <v/>
      </c>
      <c r="J2849" s="32">
        <f>IFERROR(IF(AND($F2849&gt;0,$H2849&gt;0,$A2849-$G2849&lt;=10,$A2849-$I2849&lt;=5,$G2849&gt;0,$I2849&gt;0),$F2849*$H2849,NA()),NA())</f>
        <v/>
      </c>
      <c r="K2849" s="15">
        <f>IF($A2849="","",IF(AH!$U$5=1,IFERROR(MATCH($A2849,'Live History'!$A$5:$A$3004,0),0),AH!$U$7+2844))</f>
        <v/>
      </c>
      <c r="L2849" s="15">
        <f>IF(ISNUMBER(A2849),TEXT(A2849,"dd-mmm-yy"),"")</f>
        <v/>
      </c>
    </row>
    <row r="2850">
      <c r="A2850" s="14">
        <f>IF(OR(AH!$U$4=0,2845+1&gt;AH!$U$6,AND(AH!$M$5="Bloomberg",AH!$U$5=0)),"",IFERROR(IF(AND(AH!$U$12=1,2845+1=AH!$U$6),TODAY(),IF(AH!$U$5=1,INDEX('Live History'!$A$5:$A$3004,AH!$U$7+2845),INDEX('AH History'!$A$5:$A$1380,AH!$U$7+2845))),""))</f>
        <v/>
      </c>
      <c r="B2850" s="33">
        <f>IFERROR(IF(AH!$U$11=1,NA(),$J2850/$E2850-1),NA())</f>
        <v/>
      </c>
      <c r="C2850" s="269">
        <f>IFERROR(100*$E2850/$E$5,NA())</f>
        <v/>
      </c>
      <c r="D2850" s="269">
        <f>IFERROR(100*$J2850/$J$5,NA())</f>
        <v/>
      </c>
      <c r="E2850" s="32">
        <f>IFERROR(IF(AND(ISNUMBER($A2850),N(IF(AND(AH!$U$12=1,2845+1=AH!$U$6),IF(AH!$U$4=0,"unavailable",INDEX('Market Data'!$AN$5:$AN$66,AH!$U$4)),IF(AH!$U$5=1,INDEX('Live History'!$B$5:$B$3004,$K2850),INDEX('AH History'!$D$5:$GG$1380,$K2850,AH!$U$10))))&gt;0),IF(AND(AH!$U$12=1,2845+1=AH!$U$6),IF(AH!$U$4=0,"unavailable",INDEX('Market Data'!$AN$5:$AN$66,AH!$U$4)),IF(AH!$U$5=1,INDEX('Live History'!$B$5:$B$3004,$K2850),INDEX('AH History'!$D$5:$GG$1380,$K2850,AH!$U$10))),NA()),NA())</f>
        <v/>
      </c>
      <c r="F2850" s="32">
        <f>IFERROR(IF(ISNUMBER($A2850),IF(AND(AH!$U$12=1,2845+1=AH!$U$6),IF(AH!$U$4=0,"unavailable",INDEX('Market Data'!$AO$5:$AO$66,AH!$U$4)),IF(AH!$U$5=1,INDEX('Live History'!$E$5:$E$3004,MATCH($A2850,'Live History'!$D$5:$D$3004,1)),INDEX('AH History'!$D$5:$GG$1380,$K2850,AH!$U$10+1))),NA()),NA())</f>
        <v/>
      </c>
      <c r="G2850" s="34">
        <f>IFERROR(IF(ISNUMBER($A2850),IF(AND(AH!$U$12=1,2845+1=AH!$U$6),IF(AH!$U$4=0,"unavailable",INDEX('Market Data'!$AK$5:$AK$66,AH!$U$4)),IF(AH!$U$5=1,INDEX('Live History'!$D$5:$D$3004,MATCH($A2850,'Live History'!$D$5:$D$3004,1)),INDEX('AH History'!$D$5:$GG$1380,$K2850,AH!$U$10+2))),NA()),NA())</f>
        <v/>
      </c>
      <c r="H2850" s="266">
        <f>IFERROR(IF(ISNUMBER($A2850),IF(AND(AH!$U$12=1,2845+1=AH!$U$6),IF(AH!$U$4=0,"unavailable",INDEX('Market Data'!$AP$5:$AP$66,AH!$U$4)),IF(AH!$U$5=1,INDEX('Live History'!$H$5:$H$3004,MATCH($A2850,'Live History'!$G$5:$G$3004,1)),INDEX('AH History'!$B$5:$B$1380,$K2850))),NA()),NA())</f>
        <v/>
      </c>
      <c r="I2850" s="34">
        <f>IFERROR(IF(ISNUMBER($A2850),IF(AND(AH!$U$12=1,2845+1=AH!$U$6),TODAY(),IF(AH!$U$5=1,INDEX('Live History'!$G$5:$G$3004,MATCH($A2850,'Live History'!$G$5:$G$3004,1)),INDEX('AH History'!$C$5:$C$1380,$K2850))),NA()),NA())</f>
        <v/>
      </c>
      <c r="J2850" s="32">
        <f>IFERROR(IF(AND($F2850&gt;0,$H2850&gt;0,$A2850-$G2850&lt;=10,$A2850-$I2850&lt;=5,$G2850&gt;0,$I2850&gt;0),$F2850*$H2850,NA()),NA())</f>
        <v/>
      </c>
      <c r="K2850" s="15">
        <f>IF($A2850="","",IF(AH!$U$5=1,IFERROR(MATCH($A2850,'Live History'!$A$5:$A$3004,0),0),AH!$U$7+2845))</f>
        <v/>
      </c>
      <c r="L2850" s="15">
        <f>IF(ISNUMBER(A2850),TEXT(A2850,"dd-mmm-yy"),"")</f>
        <v/>
      </c>
    </row>
    <row r="2851">
      <c r="A2851" s="14">
        <f>IF(OR(AH!$U$4=0,2846+1&gt;AH!$U$6,AND(AH!$M$5="Bloomberg",AH!$U$5=0)),"",IFERROR(IF(AND(AH!$U$12=1,2846+1=AH!$U$6),TODAY(),IF(AH!$U$5=1,INDEX('Live History'!$A$5:$A$3004,AH!$U$7+2846),INDEX('AH History'!$A$5:$A$1380,AH!$U$7+2846))),""))</f>
        <v/>
      </c>
      <c r="B2851" s="33">
        <f>IFERROR(IF(AH!$U$11=1,NA(),$J2851/$E2851-1),NA())</f>
        <v/>
      </c>
      <c r="C2851" s="269">
        <f>IFERROR(100*$E2851/$E$5,NA())</f>
        <v/>
      </c>
      <c r="D2851" s="269">
        <f>IFERROR(100*$J2851/$J$5,NA())</f>
        <v/>
      </c>
      <c r="E2851" s="32">
        <f>IFERROR(IF(AND(ISNUMBER($A2851),N(IF(AND(AH!$U$12=1,2846+1=AH!$U$6),IF(AH!$U$4=0,"unavailable",INDEX('Market Data'!$AN$5:$AN$66,AH!$U$4)),IF(AH!$U$5=1,INDEX('Live History'!$B$5:$B$3004,$K2851),INDEX('AH History'!$D$5:$GG$1380,$K2851,AH!$U$10))))&gt;0),IF(AND(AH!$U$12=1,2846+1=AH!$U$6),IF(AH!$U$4=0,"unavailable",INDEX('Market Data'!$AN$5:$AN$66,AH!$U$4)),IF(AH!$U$5=1,INDEX('Live History'!$B$5:$B$3004,$K2851),INDEX('AH History'!$D$5:$GG$1380,$K2851,AH!$U$10))),NA()),NA())</f>
        <v/>
      </c>
      <c r="F2851" s="32">
        <f>IFERROR(IF(ISNUMBER($A2851),IF(AND(AH!$U$12=1,2846+1=AH!$U$6),IF(AH!$U$4=0,"unavailable",INDEX('Market Data'!$AO$5:$AO$66,AH!$U$4)),IF(AH!$U$5=1,INDEX('Live History'!$E$5:$E$3004,MATCH($A2851,'Live History'!$D$5:$D$3004,1)),INDEX('AH History'!$D$5:$GG$1380,$K2851,AH!$U$10+1))),NA()),NA())</f>
        <v/>
      </c>
      <c r="G2851" s="34">
        <f>IFERROR(IF(ISNUMBER($A2851),IF(AND(AH!$U$12=1,2846+1=AH!$U$6),IF(AH!$U$4=0,"unavailable",INDEX('Market Data'!$AK$5:$AK$66,AH!$U$4)),IF(AH!$U$5=1,INDEX('Live History'!$D$5:$D$3004,MATCH($A2851,'Live History'!$D$5:$D$3004,1)),INDEX('AH History'!$D$5:$GG$1380,$K2851,AH!$U$10+2))),NA()),NA())</f>
        <v/>
      </c>
      <c r="H2851" s="266">
        <f>IFERROR(IF(ISNUMBER($A2851),IF(AND(AH!$U$12=1,2846+1=AH!$U$6),IF(AH!$U$4=0,"unavailable",INDEX('Market Data'!$AP$5:$AP$66,AH!$U$4)),IF(AH!$U$5=1,INDEX('Live History'!$H$5:$H$3004,MATCH($A2851,'Live History'!$G$5:$G$3004,1)),INDEX('AH History'!$B$5:$B$1380,$K2851))),NA()),NA())</f>
        <v/>
      </c>
      <c r="I2851" s="34">
        <f>IFERROR(IF(ISNUMBER($A2851),IF(AND(AH!$U$12=1,2846+1=AH!$U$6),TODAY(),IF(AH!$U$5=1,INDEX('Live History'!$G$5:$G$3004,MATCH($A2851,'Live History'!$G$5:$G$3004,1)),INDEX('AH History'!$C$5:$C$1380,$K2851))),NA()),NA())</f>
        <v/>
      </c>
      <c r="J2851" s="32">
        <f>IFERROR(IF(AND($F2851&gt;0,$H2851&gt;0,$A2851-$G2851&lt;=10,$A2851-$I2851&lt;=5,$G2851&gt;0,$I2851&gt;0),$F2851*$H2851,NA()),NA())</f>
        <v/>
      </c>
      <c r="K2851" s="15">
        <f>IF($A2851="","",IF(AH!$U$5=1,IFERROR(MATCH($A2851,'Live History'!$A$5:$A$3004,0),0),AH!$U$7+2846))</f>
        <v/>
      </c>
      <c r="L2851" s="15">
        <f>IF(ISNUMBER(A2851),TEXT(A2851,"dd-mmm-yy"),"")</f>
        <v/>
      </c>
    </row>
    <row r="2852">
      <c r="A2852" s="14">
        <f>IF(OR(AH!$U$4=0,2847+1&gt;AH!$U$6,AND(AH!$M$5="Bloomberg",AH!$U$5=0)),"",IFERROR(IF(AND(AH!$U$12=1,2847+1=AH!$U$6),TODAY(),IF(AH!$U$5=1,INDEX('Live History'!$A$5:$A$3004,AH!$U$7+2847),INDEX('AH History'!$A$5:$A$1380,AH!$U$7+2847))),""))</f>
        <v/>
      </c>
      <c r="B2852" s="33">
        <f>IFERROR(IF(AH!$U$11=1,NA(),$J2852/$E2852-1),NA())</f>
        <v/>
      </c>
      <c r="C2852" s="269">
        <f>IFERROR(100*$E2852/$E$5,NA())</f>
        <v/>
      </c>
      <c r="D2852" s="269">
        <f>IFERROR(100*$J2852/$J$5,NA())</f>
        <v/>
      </c>
      <c r="E2852" s="32">
        <f>IFERROR(IF(AND(ISNUMBER($A2852),N(IF(AND(AH!$U$12=1,2847+1=AH!$U$6),IF(AH!$U$4=0,"unavailable",INDEX('Market Data'!$AN$5:$AN$66,AH!$U$4)),IF(AH!$U$5=1,INDEX('Live History'!$B$5:$B$3004,$K2852),INDEX('AH History'!$D$5:$GG$1380,$K2852,AH!$U$10))))&gt;0),IF(AND(AH!$U$12=1,2847+1=AH!$U$6),IF(AH!$U$4=0,"unavailable",INDEX('Market Data'!$AN$5:$AN$66,AH!$U$4)),IF(AH!$U$5=1,INDEX('Live History'!$B$5:$B$3004,$K2852),INDEX('AH History'!$D$5:$GG$1380,$K2852,AH!$U$10))),NA()),NA())</f>
        <v/>
      </c>
      <c r="F2852" s="32">
        <f>IFERROR(IF(ISNUMBER($A2852),IF(AND(AH!$U$12=1,2847+1=AH!$U$6),IF(AH!$U$4=0,"unavailable",INDEX('Market Data'!$AO$5:$AO$66,AH!$U$4)),IF(AH!$U$5=1,INDEX('Live History'!$E$5:$E$3004,MATCH($A2852,'Live History'!$D$5:$D$3004,1)),INDEX('AH History'!$D$5:$GG$1380,$K2852,AH!$U$10+1))),NA()),NA())</f>
        <v/>
      </c>
      <c r="G2852" s="34">
        <f>IFERROR(IF(ISNUMBER($A2852),IF(AND(AH!$U$12=1,2847+1=AH!$U$6),IF(AH!$U$4=0,"unavailable",INDEX('Market Data'!$AK$5:$AK$66,AH!$U$4)),IF(AH!$U$5=1,INDEX('Live History'!$D$5:$D$3004,MATCH($A2852,'Live History'!$D$5:$D$3004,1)),INDEX('AH History'!$D$5:$GG$1380,$K2852,AH!$U$10+2))),NA()),NA())</f>
        <v/>
      </c>
      <c r="H2852" s="266">
        <f>IFERROR(IF(ISNUMBER($A2852),IF(AND(AH!$U$12=1,2847+1=AH!$U$6),IF(AH!$U$4=0,"unavailable",INDEX('Market Data'!$AP$5:$AP$66,AH!$U$4)),IF(AH!$U$5=1,INDEX('Live History'!$H$5:$H$3004,MATCH($A2852,'Live History'!$G$5:$G$3004,1)),INDEX('AH History'!$B$5:$B$1380,$K2852))),NA()),NA())</f>
        <v/>
      </c>
      <c r="I2852" s="34">
        <f>IFERROR(IF(ISNUMBER($A2852),IF(AND(AH!$U$12=1,2847+1=AH!$U$6),TODAY(),IF(AH!$U$5=1,INDEX('Live History'!$G$5:$G$3004,MATCH($A2852,'Live History'!$G$5:$G$3004,1)),INDEX('AH History'!$C$5:$C$1380,$K2852))),NA()),NA())</f>
        <v/>
      </c>
      <c r="J2852" s="32">
        <f>IFERROR(IF(AND($F2852&gt;0,$H2852&gt;0,$A2852-$G2852&lt;=10,$A2852-$I2852&lt;=5,$G2852&gt;0,$I2852&gt;0),$F2852*$H2852,NA()),NA())</f>
        <v/>
      </c>
      <c r="K2852" s="15">
        <f>IF($A2852="","",IF(AH!$U$5=1,IFERROR(MATCH($A2852,'Live History'!$A$5:$A$3004,0),0),AH!$U$7+2847))</f>
        <v/>
      </c>
      <c r="L2852" s="15">
        <f>IF(ISNUMBER(A2852),TEXT(A2852,"dd-mmm-yy"),"")</f>
        <v/>
      </c>
    </row>
    <row r="2853">
      <c r="A2853" s="14">
        <f>IF(OR(AH!$U$4=0,2848+1&gt;AH!$U$6,AND(AH!$M$5="Bloomberg",AH!$U$5=0)),"",IFERROR(IF(AND(AH!$U$12=1,2848+1=AH!$U$6),TODAY(),IF(AH!$U$5=1,INDEX('Live History'!$A$5:$A$3004,AH!$U$7+2848),INDEX('AH History'!$A$5:$A$1380,AH!$U$7+2848))),""))</f>
        <v/>
      </c>
      <c r="B2853" s="33">
        <f>IFERROR(IF(AH!$U$11=1,NA(),$J2853/$E2853-1),NA())</f>
        <v/>
      </c>
      <c r="C2853" s="269">
        <f>IFERROR(100*$E2853/$E$5,NA())</f>
        <v/>
      </c>
      <c r="D2853" s="269">
        <f>IFERROR(100*$J2853/$J$5,NA())</f>
        <v/>
      </c>
      <c r="E2853" s="32">
        <f>IFERROR(IF(AND(ISNUMBER($A2853),N(IF(AND(AH!$U$12=1,2848+1=AH!$U$6),IF(AH!$U$4=0,"unavailable",INDEX('Market Data'!$AN$5:$AN$66,AH!$U$4)),IF(AH!$U$5=1,INDEX('Live History'!$B$5:$B$3004,$K2853),INDEX('AH History'!$D$5:$GG$1380,$K2853,AH!$U$10))))&gt;0),IF(AND(AH!$U$12=1,2848+1=AH!$U$6),IF(AH!$U$4=0,"unavailable",INDEX('Market Data'!$AN$5:$AN$66,AH!$U$4)),IF(AH!$U$5=1,INDEX('Live History'!$B$5:$B$3004,$K2853),INDEX('AH History'!$D$5:$GG$1380,$K2853,AH!$U$10))),NA()),NA())</f>
        <v/>
      </c>
      <c r="F2853" s="32">
        <f>IFERROR(IF(ISNUMBER($A2853),IF(AND(AH!$U$12=1,2848+1=AH!$U$6),IF(AH!$U$4=0,"unavailable",INDEX('Market Data'!$AO$5:$AO$66,AH!$U$4)),IF(AH!$U$5=1,INDEX('Live History'!$E$5:$E$3004,MATCH($A2853,'Live History'!$D$5:$D$3004,1)),INDEX('AH History'!$D$5:$GG$1380,$K2853,AH!$U$10+1))),NA()),NA())</f>
        <v/>
      </c>
      <c r="G2853" s="34">
        <f>IFERROR(IF(ISNUMBER($A2853),IF(AND(AH!$U$12=1,2848+1=AH!$U$6),IF(AH!$U$4=0,"unavailable",INDEX('Market Data'!$AK$5:$AK$66,AH!$U$4)),IF(AH!$U$5=1,INDEX('Live History'!$D$5:$D$3004,MATCH($A2853,'Live History'!$D$5:$D$3004,1)),INDEX('AH History'!$D$5:$GG$1380,$K2853,AH!$U$10+2))),NA()),NA())</f>
        <v/>
      </c>
      <c r="H2853" s="266">
        <f>IFERROR(IF(ISNUMBER($A2853),IF(AND(AH!$U$12=1,2848+1=AH!$U$6),IF(AH!$U$4=0,"unavailable",INDEX('Market Data'!$AP$5:$AP$66,AH!$U$4)),IF(AH!$U$5=1,INDEX('Live History'!$H$5:$H$3004,MATCH($A2853,'Live History'!$G$5:$G$3004,1)),INDEX('AH History'!$B$5:$B$1380,$K2853))),NA()),NA())</f>
        <v/>
      </c>
      <c r="I2853" s="34">
        <f>IFERROR(IF(ISNUMBER($A2853),IF(AND(AH!$U$12=1,2848+1=AH!$U$6),TODAY(),IF(AH!$U$5=1,INDEX('Live History'!$G$5:$G$3004,MATCH($A2853,'Live History'!$G$5:$G$3004,1)),INDEX('AH History'!$C$5:$C$1380,$K2853))),NA()),NA())</f>
        <v/>
      </c>
      <c r="J2853" s="32">
        <f>IFERROR(IF(AND($F2853&gt;0,$H2853&gt;0,$A2853-$G2853&lt;=10,$A2853-$I2853&lt;=5,$G2853&gt;0,$I2853&gt;0),$F2853*$H2853,NA()),NA())</f>
        <v/>
      </c>
      <c r="K2853" s="15">
        <f>IF($A2853="","",IF(AH!$U$5=1,IFERROR(MATCH($A2853,'Live History'!$A$5:$A$3004,0),0),AH!$U$7+2848))</f>
        <v/>
      </c>
      <c r="L2853" s="15">
        <f>IF(ISNUMBER(A2853),TEXT(A2853,"dd-mmm-yy"),"")</f>
        <v/>
      </c>
    </row>
    <row r="2854">
      <c r="A2854" s="14">
        <f>IF(OR(AH!$U$4=0,2849+1&gt;AH!$U$6,AND(AH!$M$5="Bloomberg",AH!$U$5=0)),"",IFERROR(IF(AND(AH!$U$12=1,2849+1=AH!$U$6),TODAY(),IF(AH!$U$5=1,INDEX('Live History'!$A$5:$A$3004,AH!$U$7+2849),INDEX('AH History'!$A$5:$A$1380,AH!$U$7+2849))),""))</f>
        <v/>
      </c>
      <c r="B2854" s="33">
        <f>IFERROR(IF(AH!$U$11=1,NA(),$J2854/$E2854-1),NA())</f>
        <v/>
      </c>
      <c r="C2854" s="269">
        <f>IFERROR(100*$E2854/$E$5,NA())</f>
        <v/>
      </c>
      <c r="D2854" s="269">
        <f>IFERROR(100*$J2854/$J$5,NA())</f>
        <v/>
      </c>
      <c r="E2854" s="32">
        <f>IFERROR(IF(AND(ISNUMBER($A2854),N(IF(AND(AH!$U$12=1,2849+1=AH!$U$6),IF(AH!$U$4=0,"unavailable",INDEX('Market Data'!$AN$5:$AN$66,AH!$U$4)),IF(AH!$U$5=1,INDEX('Live History'!$B$5:$B$3004,$K2854),INDEX('AH History'!$D$5:$GG$1380,$K2854,AH!$U$10))))&gt;0),IF(AND(AH!$U$12=1,2849+1=AH!$U$6),IF(AH!$U$4=0,"unavailable",INDEX('Market Data'!$AN$5:$AN$66,AH!$U$4)),IF(AH!$U$5=1,INDEX('Live History'!$B$5:$B$3004,$K2854),INDEX('AH History'!$D$5:$GG$1380,$K2854,AH!$U$10))),NA()),NA())</f>
        <v/>
      </c>
      <c r="F2854" s="32">
        <f>IFERROR(IF(ISNUMBER($A2854),IF(AND(AH!$U$12=1,2849+1=AH!$U$6),IF(AH!$U$4=0,"unavailable",INDEX('Market Data'!$AO$5:$AO$66,AH!$U$4)),IF(AH!$U$5=1,INDEX('Live History'!$E$5:$E$3004,MATCH($A2854,'Live History'!$D$5:$D$3004,1)),INDEX('AH History'!$D$5:$GG$1380,$K2854,AH!$U$10+1))),NA()),NA())</f>
        <v/>
      </c>
      <c r="G2854" s="34">
        <f>IFERROR(IF(ISNUMBER($A2854),IF(AND(AH!$U$12=1,2849+1=AH!$U$6),IF(AH!$U$4=0,"unavailable",INDEX('Market Data'!$AK$5:$AK$66,AH!$U$4)),IF(AH!$U$5=1,INDEX('Live History'!$D$5:$D$3004,MATCH($A2854,'Live History'!$D$5:$D$3004,1)),INDEX('AH History'!$D$5:$GG$1380,$K2854,AH!$U$10+2))),NA()),NA())</f>
        <v/>
      </c>
      <c r="H2854" s="266">
        <f>IFERROR(IF(ISNUMBER($A2854),IF(AND(AH!$U$12=1,2849+1=AH!$U$6),IF(AH!$U$4=0,"unavailable",INDEX('Market Data'!$AP$5:$AP$66,AH!$U$4)),IF(AH!$U$5=1,INDEX('Live History'!$H$5:$H$3004,MATCH($A2854,'Live History'!$G$5:$G$3004,1)),INDEX('AH History'!$B$5:$B$1380,$K2854))),NA()),NA())</f>
        <v/>
      </c>
      <c r="I2854" s="34">
        <f>IFERROR(IF(ISNUMBER($A2854),IF(AND(AH!$U$12=1,2849+1=AH!$U$6),TODAY(),IF(AH!$U$5=1,INDEX('Live History'!$G$5:$G$3004,MATCH($A2854,'Live History'!$G$5:$G$3004,1)),INDEX('AH History'!$C$5:$C$1380,$K2854))),NA()),NA())</f>
        <v/>
      </c>
      <c r="J2854" s="32">
        <f>IFERROR(IF(AND($F2854&gt;0,$H2854&gt;0,$A2854-$G2854&lt;=10,$A2854-$I2854&lt;=5,$G2854&gt;0,$I2854&gt;0),$F2854*$H2854,NA()),NA())</f>
        <v/>
      </c>
      <c r="K2854" s="15">
        <f>IF($A2854="","",IF(AH!$U$5=1,IFERROR(MATCH($A2854,'Live History'!$A$5:$A$3004,0),0),AH!$U$7+2849))</f>
        <v/>
      </c>
      <c r="L2854" s="15">
        <f>IF(ISNUMBER(A2854),TEXT(A2854,"dd-mmm-yy"),"")</f>
        <v/>
      </c>
    </row>
    <row r="2855">
      <c r="A2855" s="14">
        <f>IF(OR(AH!$U$4=0,2850+1&gt;AH!$U$6,AND(AH!$M$5="Bloomberg",AH!$U$5=0)),"",IFERROR(IF(AND(AH!$U$12=1,2850+1=AH!$U$6),TODAY(),IF(AH!$U$5=1,INDEX('Live History'!$A$5:$A$3004,AH!$U$7+2850),INDEX('AH History'!$A$5:$A$1380,AH!$U$7+2850))),""))</f>
        <v/>
      </c>
      <c r="B2855" s="33">
        <f>IFERROR(IF(AH!$U$11=1,NA(),$J2855/$E2855-1),NA())</f>
        <v/>
      </c>
      <c r="C2855" s="269">
        <f>IFERROR(100*$E2855/$E$5,NA())</f>
        <v/>
      </c>
      <c r="D2855" s="269">
        <f>IFERROR(100*$J2855/$J$5,NA())</f>
        <v/>
      </c>
      <c r="E2855" s="32">
        <f>IFERROR(IF(AND(ISNUMBER($A2855),N(IF(AND(AH!$U$12=1,2850+1=AH!$U$6),IF(AH!$U$4=0,"unavailable",INDEX('Market Data'!$AN$5:$AN$66,AH!$U$4)),IF(AH!$U$5=1,INDEX('Live History'!$B$5:$B$3004,$K2855),INDEX('AH History'!$D$5:$GG$1380,$K2855,AH!$U$10))))&gt;0),IF(AND(AH!$U$12=1,2850+1=AH!$U$6),IF(AH!$U$4=0,"unavailable",INDEX('Market Data'!$AN$5:$AN$66,AH!$U$4)),IF(AH!$U$5=1,INDEX('Live History'!$B$5:$B$3004,$K2855),INDEX('AH History'!$D$5:$GG$1380,$K2855,AH!$U$10))),NA()),NA())</f>
        <v/>
      </c>
      <c r="F2855" s="32">
        <f>IFERROR(IF(ISNUMBER($A2855),IF(AND(AH!$U$12=1,2850+1=AH!$U$6),IF(AH!$U$4=0,"unavailable",INDEX('Market Data'!$AO$5:$AO$66,AH!$U$4)),IF(AH!$U$5=1,INDEX('Live History'!$E$5:$E$3004,MATCH($A2855,'Live History'!$D$5:$D$3004,1)),INDEX('AH History'!$D$5:$GG$1380,$K2855,AH!$U$10+1))),NA()),NA())</f>
        <v/>
      </c>
      <c r="G2855" s="34">
        <f>IFERROR(IF(ISNUMBER($A2855),IF(AND(AH!$U$12=1,2850+1=AH!$U$6),IF(AH!$U$4=0,"unavailable",INDEX('Market Data'!$AK$5:$AK$66,AH!$U$4)),IF(AH!$U$5=1,INDEX('Live History'!$D$5:$D$3004,MATCH($A2855,'Live History'!$D$5:$D$3004,1)),INDEX('AH History'!$D$5:$GG$1380,$K2855,AH!$U$10+2))),NA()),NA())</f>
        <v/>
      </c>
      <c r="H2855" s="266">
        <f>IFERROR(IF(ISNUMBER($A2855),IF(AND(AH!$U$12=1,2850+1=AH!$U$6),IF(AH!$U$4=0,"unavailable",INDEX('Market Data'!$AP$5:$AP$66,AH!$U$4)),IF(AH!$U$5=1,INDEX('Live History'!$H$5:$H$3004,MATCH($A2855,'Live History'!$G$5:$G$3004,1)),INDEX('AH History'!$B$5:$B$1380,$K2855))),NA()),NA())</f>
        <v/>
      </c>
      <c r="I2855" s="34">
        <f>IFERROR(IF(ISNUMBER($A2855),IF(AND(AH!$U$12=1,2850+1=AH!$U$6),TODAY(),IF(AH!$U$5=1,INDEX('Live History'!$G$5:$G$3004,MATCH($A2855,'Live History'!$G$5:$G$3004,1)),INDEX('AH History'!$C$5:$C$1380,$K2855))),NA()),NA())</f>
        <v/>
      </c>
      <c r="J2855" s="32">
        <f>IFERROR(IF(AND($F2855&gt;0,$H2855&gt;0,$A2855-$G2855&lt;=10,$A2855-$I2855&lt;=5,$G2855&gt;0,$I2855&gt;0),$F2855*$H2855,NA()),NA())</f>
        <v/>
      </c>
      <c r="K2855" s="15">
        <f>IF($A2855="","",IF(AH!$U$5=1,IFERROR(MATCH($A2855,'Live History'!$A$5:$A$3004,0),0),AH!$U$7+2850))</f>
        <v/>
      </c>
      <c r="L2855" s="15">
        <f>IF(ISNUMBER(A2855),TEXT(A2855,"dd-mmm-yy"),"")</f>
        <v/>
      </c>
    </row>
    <row r="2856">
      <c r="A2856" s="14">
        <f>IF(OR(AH!$U$4=0,2851+1&gt;AH!$U$6,AND(AH!$M$5="Bloomberg",AH!$U$5=0)),"",IFERROR(IF(AND(AH!$U$12=1,2851+1=AH!$U$6),TODAY(),IF(AH!$U$5=1,INDEX('Live History'!$A$5:$A$3004,AH!$U$7+2851),INDEX('AH History'!$A$5:$A$1380,AH!$U$7+2851))),""))</f>
        <v/>
      </c>
      <c r="B2856" s="33">
        <f>IFERROR(IF(AH!$U$11=1,NA(),$J2856/$E2856-1),NA())</f>
        <v/>
      </c>
      <c r="C2856" s="269">
        <f>IFERROR(100*$E2856/$E$5,NA())</f>
        <v/>
      </c>
      <c r="D2856" s="269">
        <f>IFERROR(100*$J2856/$J$5,NA())</f>
        <v/>
      </c>
      <c r="E2856" s="32">
        <f>IFERROR(IF(AND(ISNUMBER($A2856),N(IF(AND(AH!$U$12=1,2851+1=AH!$U$6),IF(AH!$U$4=0,"unavailable",INDEX('Market Data'!$AN$5:$AN$66,AH!$U$4)),IF(AH!$U$5=1,INDEX('Live History'!$B$5:$B$3004,$K2856),INDEX('AH History'!$D$5:$GG$1380,$K2856,AH!$U$10))))&gt;0),IF(AND(AH!$U$12=1,2851+1=AH!$U$6),IF(AH!$U$4=0,"unavailable",INDEX('Market Data'!$AN$5:$AN$66,AH!$U$4)),IF(AH!$U$5=1,INDEX('Live History'!$B$5:$B$3004,$K2856),INDEX('AH History'!$D$5:$GG$1380,$K2856,AH!$U$10))),NA()),NA())</f>
        <v/>
      </c>
      <c r="F2856" s="32">
        <f>IFERROR(IF(ISNUMBER($A2856),IF(AND(AH!$U$12=1,2851+1=AH!$U$6),IF(AH!$U$4=0,"unavailable",INDEX('Market Data'!$AO$5:$AO$66,AH!$U$4)),IF(AH!$U$5=1,INDEX('Live History'!$E$5:$E$3004,MATCH($A2856,'Live History'!$D$5:$D$3004,1)),INDEX('AH History'!$D$5:$GG$1380,$K2856,AH!$U$10+1))),NA()),NA())</f>
        <v/>
      </c>
      <c r="G2856" s="34">
        <f>IFERROR(IF(ISNUMBER($A2856),IF(AND(AH!$U$12=1,2851+1=AH!$U$6),IF(AH!$U$4=0,"unavailable",INDEX('Market Data'!$AK$5:$AK$66,AH!$U$4)),IF(AH!$U$5=1,INDEX('Live History'!$D$5:$D$3004,MATCH($A2856,'Live History'!$D$5:$D$3004,1)),INDEX('AH History'!$D$5:$GG$1380,$K2856,AH!$U$10+2))),NA()),NA())</f>
        <v/>
      </c>
      <c r="H2856" s="266">
        <f>IFERROR(IF(ISNUMBER($A2856),IF(AND(AH!$U$12=1,2851+1=AH!$U$6),IF(AH!$U$4=0,"unavailable",INDEX('Market Data'!$AP$5:$AP$66,AH!$U$4)),IF(AH!$U$5=1,INDEX('Live History'!$H$5:$H$3004,MATCH($A2856,'Live History'!$G$5:$G$3004,1)),INDEX('AH History'!$B$5:$B$1380,$K2856))),NA()),NA())</f>
        <v/>
      </c>
      <c r="I2856" s="34">
        <f>IFERROR(IF(ISNUMBER($A2856),IF(AND(AH!$U$12=1,2851+1=AH!$U$6),TODAY(),IF(AH!$U$5=1,INDEX('Live History'!$G$5:$G$3004,MATCH($A2856,'Live History'!$G$5:$G$3004,1)),INDEX('AH History'!$C$5:$C$1380,$K2856))),NA()),NA())</f>
        <v/>
      </c>
      <c r="J2856" s="32">
        <f>IFERROR(IF(AND($F2856&gt;0,$H2856&gt;0,$A2856-$G2856&lt;=10,$A2856-$I2856&lt;=5,$G2856&gt;0,$I2856&gt;0),$F2856*$H2856,NA()),NA())</f>
        <v/>
      </c>
      <c r="K2856" s="15">
        <f>IF($A2856="","",IF(AH!$U$5=1,IFERROR(MATCH($A2856,'Live History'!$A$5:$A$3004,0),0),AH!$U$7+2851))</f>
        <v/>
      </c>
      <c r="L2856" s="15">
        <f>IF(ISNUMBER(A2856),TEXT(A2856,"dd-mmm-yy"),"")</f>
        <v/>
      </c>
    </row>
    <row r="2857">
      <c r="A2857" s="14">
        <f>IF(OR(AH!$U$4=0,2852+1&gt;AH!$U$6,AND(AH!$M$5="Bloomberg",AH!$U$5=0)),"",IFERROR(IF(AND(AH!$U$12=1,2852+1=AH!$U$6),TODAY(),IF(AH!$U$5=1,INDEX('Live History'!$A$5:$A$3004,AH!$U$7+2852),INDEX('AH History'!$A$5:$A$1380,AH!$U$7+2852))),""))</f>
        <v/>
      </c>
      <c r="B2857" s="33">
        <f>IFERROR(IF(AH!$U$11=1,NA(),$J2857/$E2857-1),NA())</f>
        <v/>
      </c>
      <c r="C2857" s="269">
        <f>IFERROR(100*$E2857/$E$5,NA())</f>
        <v/>
      </c>
      <c r="D2857" s="269">
        <f>IFERROR(100*$J2857/$J$5,NA())</f>
        <v/>
      </c>
      <c r="E2857" s="32">
        <f>IFERROR(IF(AND(ISNUMBER($A2857),N(IF(AND(AH!$U$12=1,2852+1=AH!$U$6),IF(AH!$U$4=0,"unavailable",INDEX('Market Data'!$AN$5:$AN$66,AH!$U$4)),IF(AH!$U$5=1,INDEX('Live History'!$B$5:$B$3004,$K2857),INDEX('AH History'!$D$5:$GG$1380,$K2857,AH!$U$10))))&gt;0),IF(AND(AH!$U$12=1,2852+1=AH!$U$6),IF(AH!$U$4=0,"unavailable",INDEX('Market Data'!$AN$5:$AN$66,AH!$U$4)),IF(AH!$U$5=1,INDEX('Live History'!$B$5:$B$3004,$K2857),INDEX('AH History'!$D$5:$GG$1380,$K2857,AH!$U$10))),NA()),NA())</f>
        <v/>
      </c>
      <c r="F2857" s="32">
        <f>IFERROR(IF(ISNUMBER($A2857),IF(AND(AH!$U$12=1,2852+1=AH!$U$6),IF(AH!$U$4=0,"unavailable",INDEX('Market Data'!$AO$5:$AO$66,AH!$U$4)),IF(AH!$U$5=1,INDEX('Live History'!$E$5:$E$3004,MATCH($A2857,'Live History'!$D$5:$D$3004,1)),INDEX('AH History'!$D$5:$GG$1380,$K2857,AH!$U$10+1))),NA()),NA())</f>
        <v/>
      </c>
      <c r="G2857" s="34">
        <f>IFERROR(IF(ISNUMBER($A2857),IF(AND(AH!$U$12=1,2852+1=AH!$U$6),IF(AH!$U$4=0,"unavailable",INDEX('Market Data'!$AK$5:$AK$66,AH!$U$4)),IF(AH!$U$5=1,INDEX('Live History'!$D$5:$D$3004,MATCH($A2857,'Live History'!$D$5:$D$3004,1)),INDEX('AH History'!$D$5:$GG$1380,$K2857,AH!$U$10+2))),NA()),NA())</f>
        <v/>
      </c>
      <c r="H2857" s="266">
        <f>IFERROR(IF(ISNUMBER($A2857),IF(AND(AH!$U$12=1,2852+1=AH!$U$6),IF(AH!$U$4=0,"unavailable",INDEX('Market Data'!$AP$5:$AP$66,AH!$U$4)),IF(AH!$U$5=1,INDEX('Live History'!$H$5:$H$3004,MATCH($A2857,'Live History'!$G$5:$G$3004,1)),INDEX('AH History'!$B$5:$B$1380,$K2857))),NA()),NA())</f>
        <v/>
      </c>
      <c r="I2857" s="34">
        <f>IFERROR(IF(ISNUMBER($A2857),IF(AND(AH!$U$12=1,2852+1=AH!$U$6),TODAY(),IF(AH!$U$5=1,INDEX('Live History'!$G$5:$G$3004,MATCH($A2857,'Live History'!$G$5:$G$3004,1)),INDEX('AH History'!$C$5:$C$1380,$K2857))),NA()),NA())</f>
        <v/>
      </c>
      <c r="J2857" s="32">
        <f>IFERROR(IF(AND($F2857&gt;0,$H2857&gt;0,$A2857-$G2857&lt;=10,$A2857-$I2857&lt;=5,$G2857&gt;0,$I2857&gt;0),$F2857*$H2857,NA()),NA())</f>
        <v/>
      </c>
      <c r="K2857" s="15">
        <f>IF($A2857="","",IF(AH!$U$5=1,IFERROR(MATCH($A2857,'Live History'!$A$5:$A$3004,0),0),AH!$U$7+2852))</f>
        <v/>
      </c>
      <c r="L2857" s="15">
        <f>IF(ISNUMBER(A2857),TEXT(A2857,"dd-mmm-yy"),"")</f>
        <v/>
      </c>
    </row>
    <row r="2858">
      <c r="A2858" s="14">
        <f>IF(OR(AH!$U$4=0,2853+1&gt;AH!$U$6,AND(AH!$M$5="Bloomberg",AH!$U$5=0)),"",IFERROR(IF(AND(AH!$U$12=1,2853+1=AH!$U$6),TODAY(),IF(AH!$U$5=1,INDEX('Live History'!$A$5:$A$3004,AH!$U$7+2853),INDEX('AH History'!$A$5:$A$1380,AH!$U$7+2853))),""))</f>
        <v/>
      </c>
      <c r="B2858" s="33">
        <f>IFERROR(IF(AH!$U$11=1,NA(),$J2858/$E2858-1),NA())</f>
        <v/>
      </c>
      <c r="C2858" s="269">
        <f>IFERROR(100*$E2858/$E$5,NA())</f>
        <v/>
      </c>
      <c r="D2858" s="269">
        <f>IFERROR(100*$J2858/$J$5,NA())</f>
        <v/>
      </c>
      <c r="E2858" s="32">
        <f>IFERROR(IF(AND(ISNUMBER($A2858),N(IF(AND(AH!$U$12=1,2853+1=AH!$U$6),IF(AH!$U$4=0,"unavailable",INDEX('Market Data'!$AN$5:$AN$66,AH!$U$4)),IF(AH!$U$5=1,INDEX('Live History'!$B$5:$B$3004,$K2858),INDEX('AH History'!$D$5:$GG$1380,$K2858,AH!$U$10))))&gt;0),IF(AND(AH!$U$12=1,2853+1=AH!$U$6),IF(AH!$U$4=0,"unavailable",INDEX('Market Data'!$AN$5:$AN$66,AH!$U$4)),IF(AH!$U$5=1,INDEX('Live History'!$B$5:$B$3004,$K2858),INDEX('AH History'!$D$5:$GG$1380,$K2858,AH!$U$10))),NA()),NA())</f>
        <v/>
      </c>
      <c r="F2858" s="32">
        <f>IFERROR(IF(ISNUMBER($A2858),IF(AND(AH!$U$12=1,2853+1=AH!$U$6),IF(AH!$U$4=0,"unavailable",INDEX('Market Data'!$AO$5:$AO$66,AH!$U$4)),IF(AH!$U$5=1,INDEX('Live History'!$E$5:$E$3004,MATCH($A2858,'Live History'!$D$5:$D$3004,1)),INDEX('AH History'!$D$5:$GG$1380,$K2858,AH!$U$10+1))),NA()),NA())</f>
        <v/>
      </c>
      <c r="G2858" s="34">
        <f>IFERROR(IF(ISNUMBER($A2858),IF(AND(AH!$U$12=1,2853+1=AH!$U$6),IF(AH!$U$4=0,"unavailable",INDEX('Market Data'!$AK$5:$AK$66,AH!$U$4)),IF(AH!$U$5=1,INDEX('Live History'!$D$5:$D$3004,MATCH($A2858,'Live History'!$D$5:$D$3004,1)),INDEX('AH History'!$D$5:$GG$1380,$K2858,AH!$U$10+2))),NA()),NA())</f>
        <v/>
      </c>
      <c r="H2858" s="266">
        <f>IFERROR(IF(ISNUMBER($A2858),IF(AND(AH!$U$12=1,2853+1=AH!$U$6),IF(AH!$U$4=0,"unavailable",INDEX('Market Data'!$AP$5:$AP$66,AH!$U$4)),IF(AH!$U$5=1,INDEX('Live History'!$H$5:$H$3004,MATCH($A2858,'Live History'!$G$5:$G$3004,1)),INDEX('AH History'!$B$5:$B$1380,$K2858))),NA()),NA())</f>
        <v/>
      </c>
      <c r="I2858" s="34">
        <f>IFERROR(IF(ISNUMBER($A2858),IF(AND(AH!$U$12=1,2853+1=AH!$U$6),TODAY(),IF(AH!$U$5=1,INDEX('Live History'!$G$5:$G$3004,MATCH($A2858,'Live History'!$G$5:$G$3004,1)),INDEX('AH History'!$C$5:$C$1380,$K2858))),NA()),NA())</f>
        <v/>
      </c>
      <c r="J2858" s="32">
        <f>IFERROR(IF(AND($F2858&gt;0,$H2858&gt;0,$A2858-$G2858&lt;=10,$A2858-$I2858&lt;=5,$G2858&gt;0,$I2858&gt;0),$F2858*$H2858,NA()),NA())</f>
        <v/>
      </c>
      <c r="K2858" s="15">
        <f>IF($A2858="","",IF(AH!$U$5=1,IFERROR(MATCH($A2858,'Live History'!$A$5:$A$3004,0),0),AH!$U$7+2853))</f>
        <v/>
      </c>
      <c r="L2858" s="15">
        <f>IF(ISNUMBER(A2858),TEXT(A2858,"dd-mmm-yy"),"")</f>
        <v/>
      </c>
    </row>
    <row r="2859">
      <c r="A2859" s="14">
        <f>IF(OR(AH!$U$4=0,2854+1&gt;AH!$U$6,AND(AH!$M$5="Bloomberg",AH!$U$5=0)),"",IFERROR(IF(AND(AH!$U$12=1,2854+1=AH!$U$6),TODAY(),IF(AH!$U$5=1,INDEX('Live History'!$A$5:$A$3004,AH!$U$7+2854),INDEX('AH History'!$A$5:$A$1380,AH!$U$7+2854))),""))</f>
        <v/>
      </c>
      <c r="B2859" s="33">
        <f>IFERROR(IF(AH!$U$11=1,NA(),$J2859/$E2859-1),NA())</f>
        <v/>
      </c>
      <c r="C2859" s="269">
        <f>IFERROR(100*$E2859/$E$5,NA())</f>
        <v/>
      </c>
      <c r="D2859" s="269">
        <f>IFERROR(100*$J2859/$J$5,NA())</f>
        <v/>
      </c>
      <c r="E2859" s="32">
        <f>IFERROR(IF(AND(ISNUMBER($A2859),N(IF(AND(AH!$U$12=1,2854+1=AH!$U$6),IF(AH!$U$4=0,"unavailable",INDEX('Market Data'!$AN$5:$AN$66,AH!$U$4)),IF(AH!$U$5=1,INDEX('Live History'!$B$5:$B$3004,$K2859),INDEX('AH History'!$D$5:$GG$1380,$K2859,AH!$U$10))))&gt;0),IF(AND(AH!$U$12=1,2854+1=AH!$U$6),IF(AH!$U$4=0,"unavailable",INDEX('Market Data'!$AN$5:$AN$66,AH!$U$4)),IF(AH!$U$5=1,INDEX('Live History'!$B$5:$B$3004,$K2859),INDEX('AH History'!$D$5:$GG$1380,$K2859,AH!$U$10))),NA()),NA())</f>
        <v/>
      </c>
      <c r="F2859" s="32">
        <f>IFERROR(IF(ISNUMBER($A2859),IF(AND(AH!$U$12=1,2854+1=AH!$U$6),IF(AH!$U$4=0,"unavailable",INDEX('Market Data'!$AO$5:$AO$66,AH!$U$4)),IF(AH!$U$5=1,INDEX('Live History'!$E$5:$E$3004,MATCH($A2859,'Live History'!$D$5:$D$3004,1)),INDEX('AH History'!$D$5:$GG$1380,$K2859,AH!$U$10+1))),NA()),NA())</f>
        <v/>
      </c>
      <c r="G2859" s="34">
        <f>IFERROR(IF(ISNUMBER($A2859),IF(AND(AH!$U$12=1,2854+1=AH!$U$6),IF(AH!$U$4=0,"unavailable",INDEX('Market Data'!$AK$5:$AK$66,AH!$U$4)),IF(AH!$U$5=1,INDEX('Live History'!$D$5:$D$3004,MATCH($A2859,'Live History'!$D$5:$D$3004,1)),INDEX('AH History'!$D$5:$GG$1380,$K2859,AH!$U$10+2))),NA()),NA())</f>
        <v/>
      </c>
      <c r="H2859" s="266">
        <f>IFERROR(IF(ISNUMBER($A2859),IF(AND(AH!$U$12=1,2854+1=AH!$U$6),IF(AH!$U$4=0,"unavailable",INDEX('Market Data'!$AP$5:$AP$66,AH!$U$4)),IF(AH!$U$5=1,INDEX('Live History'!$H$5:$H$3004,MATCH($A2859,'Live History'!$G$5:$G$3004,1)),INDEX('AH History'!$B$5:$B$1380,$K2859))),NA()),NA())</f>
        <v/>
      </c>
      <c r="I2859" s="34">
        <f>IFERROR(IF(ISNUMBER($A2859),IF(AND(AH!$U$12=1,2854+1=AH!$U$6),TODAY(),IF(AH!$U$5=1,INDEX('Live History'!$G$5:$G$3004,MATCH($A2859,'Live History'!$G$5:$G$3004,1)),INDEX('AH History'!$C$5:$C$1380,$K2859))),NA()),NA())</f>
        <v/>
      </c>
      <c r="J2859" s="32">
        <f>IFERROR(IF(AND($F2859&gt;0,$H2859&gt;0,$A2859-$G2859&lt;=10,$A2859-$I2859&lt;=5,$G2859&gt;0,$I2859&gt;0),$F2859*$H2859,NA()),NA())</f>
        <v/>
      </c>
      <c r="K2859" s="15">
        <f>IF($A2859="","",IF(AH!$U$5=1,IFERROR(MATCH($A2859,'Live History'!$A$5:$A$3004,0),0),AH!$U$7+2854))</f>
        <v/>
      </c>
      <c r="L2859" s="15">
        <f>IF(ISNUMBER(A2859),TEXT(A2859,"dd-mmm-yy"),"")</f>
        <v/>
      </c>
    </row>
    <row r="2860">
      <c r="A2860" s="14">
        <f>IF(OR(AH!$U$4=0,2855+1&gt;AH!$U$6,AND(AH!$M$5="Bloomberg",AH!$U$5=0)),"",IFERROR(IF(AND(AH!$U$12=1,2855+1=AH!$U$6),TODAY(),IF(AH!$U$5=1,INDEX('Live History'!$A$5:$A$3004,AH!$U$7+2855),INDEX('AH History'!$A$5:$A$1380,AH!$U$7+2855))),""))</f>
        <v/>
      </c>
      <c r="B2860" s="33">
        <f>IFERROR(IF(AH!$U$11=1,NA(),$J2860/$E2860-1),NA())</f>
        <v/>
      </c>
      <c r="C2860" s="269">
        <f>IFERROR(100*$E2860/$E$5,NA())</f>
        <v/>
      </c>
      <c r="D2860" s="269">
        <f>IFERROR(100*$J2860/$J$5,NA())</f>
        <v/>
      </c>
      <c r="E2860" s="32">
        <f>IFERROR(IF(AND(ISNUMBER($A2860),N(IF(AND(AH!$U$12=1,2855+1=AH!$U$6),IF(AH!$U$4=0,"unavailable",INDEX('Market Data'!$AN$5:$AN$66,AH!$U$4)),IF(AH!$U$5=1,INDEX('Live History'!$B$5:$B$3004,$K2860),INDEX('AH History'!$D$5:$GG$1380,$K2860,AH!$U$10))))&gt;0),IF(AND(AH!$U$12=1,2855+1=AH!$U$6),IF(AH!$U$4=0,"unavailable",INDEX('Market Data'!$AN$5:$AN$66,AH!$U$4)),IF(AH!$U$5=1,INDEX('Live History'!$B$5:$B$3004,$K2860),INDEX('AH History'!$D$5:$GG$1380,$K2860,AH!$U$10))),NA()),NA())</f>
        <v/>
      </c>
      <c r="F2860" s="32">
        <f>IFERROR(IF(ISNUMBER($A2860),IF(AND(AH!$U$12=1,2855+1=AH!$U$6),IF(AH!$U$4=0,"unavailable",INDEX('Market Data'!$AO$5:$AO$66,AH!$U$4)),IF(AH!$U$5=1,INDEX('Live History'!$E$5:$E$3004,MATCH($A2860,'Live History'!$D$5:$D$3004,1)),INDEX('AH History'!$D$5:$GG$1380,$K2860,AH!$U$10+1))),NA()),NA())</f>
        <v/>
      </c>
      <c r="G2860" s="34">
        <f>IFERROR(IF(ISNUMBER($A2860),IF(AND(AH!$U$12=1,2855+1=AH!$U$6),IF(AH!$U$4=0,"unavailable",INDEX('Market Data'!$AK$5:$AK$66,AH!$U$4)),IF(AH!$U$5=1,INDEX('Live History'!$D$5:$D$3004,MATCH($A2860,'Live History'!$D$5:$D$3004,1)),INDEX('AH History'!$D$5:$GG$1380,$K2860,AH!$U$10+2))),NA()),NA())</f>
        <v/>
      </c>
      <c r="H2860" s="266">
        <f>IFERROR(IF(ISNUMBER($A2860),IF(AND(AH!$U$12=1,2855+1=AH!$U$6),IF(AH!$U$4=0,"unavailable",INDEX('Market Data'!$AP$5:$AP$66,AH!$U$4)),IF(AH!$U$5=1,INDEX('Live History'!$H$5:$H$3004,MATCH($A2860,'Live History'!$G$5:$G$3004,1)),INDEX('AH History'!$B$5:$B$1380,$K2860))),NA()),NA())</f>
        <v/>
      </c>
      <c r="I2860" s="34">
        <f>IFERROR(IF(ISNUMBER($A2860),IF(AND(AH!$U$12=1,2855+1=AH!$U$6),TODAY(),IF(AH!$U$5=1,INDEX('Live History'!$G$5:$G$3004,MATCH($A2860,'Live History'!$G$5:$G$3004,1)),INDEX('AH History'!$C$5:$C$1380,$K2860))),NA()),NA())</f>
        <v/>
      </c>
      <c r="J2860" s="32">
        <f>IFERROR(IF(AND($F2860&gt;0,$H2860&gt;0,$A2860-$G2860&lt;=10,$A2860-$I2860&lt;=5,$G2860&gt;0,$I2860&gt;0),$F2860*$H2860,NA()),NA())</f>
        <v/>
      </c>
      <c r="K2860" s="15">
        <f>IF($A2860="","",IF(AH!$U$5=1,IFERROR(MATCH($A2860,'Live History'!$A$5:$A$3004,0),0),AH!$U$7+2855))</f>
        <v/>
      </c>
      <c r="L2860" s="15">
        <f>IF(ISNUMBER(A2860),TEXT(A2860,"dd-mmm-yy"),"")</f>
        <v/>
      </c>
    </row>
    <row r="2861">
      <c r="A2861" s="14">
        <f>IF(OR(AH!$U$4=0,2856+1&gt;AH!$U$6,AND(AH!$M$5="Bloomberg",AH!$U$5=0)),"",IFERROR(IF(AND(AH!$U$12=1,2856+1=AH!$U$6),TODAY(),IF(AH!$U$5=1,INDEX('Live History'!$A$5:$A$3004,AH!$U$7+2856),INDEX('AH History'!$A$5:$A$1380,AH!$U$7+2856))),""))</f>
        <v/>
      </c>
      <c r="B2861" s="33">
        <f>IFERROR(IF(AH!$U$11=1,NA(),$J2861/$E2861-1),NA())</f>
        <v/>
      </c>
      <c r="C2861" s="269">
        <f>IFERROR(100*$E2861/$E$5,NA())</f>
        <v/>
      </c>
      <c r="D2861" s="269">
        <f>IFERROR(100*$J2861/$J$5,NA())</f>
        <v/>
      </c>
      <c r="E2861" s="32">
        <f>IFERROR(IF(AND(ISNUMBER($A2861),N(IF(AND(AH!$U$12=1,2856+1=AH!$U$6),IF(AH!$U$4=0,"unavailable",INDEX('Market Data'!$AN$5:$AN$66,AH!$U$4)),IF(AH!$U$5=1,INDEX('Live History'!$B$5:$B$3004,$K2861),INDEX('AH History'!$D$5:$GG$1380,$K2861,AH!$U$10))))&gt;0),IF(AND(AH!$U$12=1,2856+1=AH!$U$6),IF(AH!$U$4=0,"unavailable",INDEX('Market Data'!$AN$5:$AN$66,AH!$U$4)),IF(AH!$U$5=1,INDEX('Live History'!$B$5:$B$3004,$K2861),INDEX('AH History'!$D$5:$GG$1380,$K2861,AH!$U$10))),NA()),NA())</f>
        <v/>
      </c>
      <c r="F2861" s="32">
        <f>IFERROR(IF(ISNUMBER($A2861),IF(AND(AH!$U$12=1,2856+1=AH!$U$6),IF(AH!$U$4=0,"unavailable",INDEX('Market Data'!$AO$5:$AO$66,AH!$U$4)),IF(AH!$U$5=1,INDEX('Live History'!$E$5:$E$3004,MATCH($A2861,'Live History'!$D$5:$D$3004,1)),INDEX('AH History'!$D$5:$GG$1380,$K2861,AH!$U$10+1))),NA()),NA())</f>
        <v/>
      </c>
      <c r="G2861" s="34">
        <f>IFERROR(IF(ISNUMBER($A2861),IF(AND(AH!$U$12=1,2856+1=AH!$U$6),IF(AH!$U$4=0,"unavailable",INDEX('Market Data'!$AK$5:$AK$66,AH!$U$4)),IF(AH!$U$5=1,INDEX('Live History'!$D$5:$D$3004,MATCH($A2861,'Live History'!$D$5:$D$3004,1)),INDEX('AH History'!$D$5:$GG$1380,$K2861,AH!$U$10+2))),NA()),NA())</f>
        <v/>
      </c>
      <c r="H2861" s="266">
        <f>IFERROR(IF(ISNUMBER($A2861),IF(AND(AH!$U$12=1,2856+1=AH!$U$6),IF(AH!$U$4=0,"unavailable",INDEX('Market Data'!$AP$5:$AP$66,AH!$U$4)),IF(AH!$U$5=1,INDEX('Live History'!$H$5:$H$3004,MATCH($A2861,'Live History'!$G$5:$G$3004,1)),INDEX('AH History'!$B$5:$B$1380,$K2861))),NA()),NA())</f>
        <v/>
      </c>
      <c r="I2861" s="34">
        <f>IFERROR(IF(ISNUMBER($A2861),IF(AND(AH!$U$12=1,2856+1=AH!$U$6),TODAY(),IF(AH!$U$5=1,INDEX('Live History'!$G$5:$G$3004,MATCH($A2861,'Live History'!$G$5:$G$3004,1)),INDEX('AH History'!$C$5:$C$1380,$K2861))),NA()),NA())</f>
        <v/>
      </c>
      <c r="J2861" s="32">
        <f>IFERROR(IF(AND($F2861&gt;0,$H2861&gt;0,$A2861-$G2861&lt;=10,$A2861-$I2861&lt;=5,$G2861&gt;0,$I2861&gt;0),$F2861*$H2861,NA()),NA())</f>
        <v/>
      </c>
      <c r="K2861" s="15">
        <f>IF($A2861="","",IF(AH!$U$5=1,IFERROR(MATCH($A2861,'Live History'!$A$5:$A$3004,0),0),AH!$U$7+2856))</f>
        <v/>
      </c>
      <c r="L2861" s="15">
        <f>IF(ISNUMBER(A2861),TEXT(A2861,"dd-mmm-yy"),"")</f>
        <v/>
      </c>
    </row>
    <row r="2862">
      <c r="A2862" s="14">
        <f>IF(OR(AH!$U$4=0,2857+1&gt;AH!$U$6,AND(AH!$M$5="Bloomberg",AH!$U$5=0)),"",IFERROR(IF(AND(AH!$U$12=1,2857+1=AH!$U$6),TODAY(),IF(AH!$U$5=1,INDEX('Live History'!$A$5:$A$3004,AH!$U$7+2857),INDEX('AH History'!$A$5:$A$1380,AH!$U$7+2857))),""))</f>
        <v/>
      </c>
      <c r="B2862" s="33">
        <f>IFERROR(IF(AH!$U$11=1,NA(),$J2862/$E2862-1),NA())</f>
        <v/>
      </c>
      <c r="C2862" s="269">
        <f>IFERROR(100*$E2862/$E$5,NA())</f>
        <v/>
      </c>
      <c r="D2862" s="269">
        <f>IFERROR(100*$J2862/$J$5,NA())</f>
        <v/>
      </c>
      <c r="E2862" s="32">
        <f>IFERROR(IF(AND(ISNUMBER($A2862),N(IF(AND(AH!$U$12=1,2857+1=AH!$U$6),IF(AH!$U$4=0,"unavailable",INDEX('Market Data'!$AN$5:$AN$66,AH!$U$4)),IF(AH!$U$5=1,INDEX('Live History'!$B$5:$B$3004,$K2862),INDEX('AH History'!$D$5:$GG$1380,$K2862,AH!$U$10))))&gt;0),IF(AND(AH!$U$12=1,2857+1=AH!$U$6),IF(AH!$U$4=0,"unavailable",INDEX('Market Data'!$AN$5:$AN$66,AH!$U$4)),IF(AH!$U$5=1,INDEX('Live History'!$B$5:$B$3004,$K2862),INDEX('AH History'!$D$5:$GG$1380,$K2862,AH!$U$10))),NA()),NA())</f>
        <v/>
      </c>
      <c r="F2862" s="32">
        <f>IFERROR(IF(ISNUMBER($A2862),IF(AND(AH!$U$12=1,2857+1=AH!$U$6),IF(AH!$U$4=0,"unavailable",INDEX('Market Data'!$AO$5:$AO$66,AH!$U$4)),IF(AH!$U$5=1,INDEX('Live History'!$E$5:$E$3004,MATCH($A2862,'Live History'!$D$5:$D$3004,1)),INDEX('AH History'!$D$5:$GG$1380,$K2862,AH!$U$10+1))),NA()),NA())</f>
        <v/>
      </c>
      <c r="G2862" s="34">
        <f>IFERROR(IF(ISNUMBER($A2862),IF(AND(AH!$U$12=1,2857+1=AH!$U$6),IF(AH!$U$4=0,"unavailable",INDEX('Market Data'!$AK$5:$AK$66,AH!$U$4)),IF(AH!$U$5=1,INDEX('Live History'!$D$5:$D$3004,MATCH($A2862,'Live History'!$D$5:$D$3004,1)),INDEX('AH History'!$D$5:$GG$1380,$K2862,AH!$U$10+2))),NA()),NA())</f>
        <v/>
      </c>
      <c r="H2862" s="266">
        <f>IFERROR(IF(ISNUMBER($A2862),IF(AND(AH!$U$12=1,2857+1=AH!$U$6),IF(AH!$U$4=0,"unavailable",INDEX('Market Data'!$AP$5:$AP$66,AH!$U$4)),IF(AH!$U$5=1,INDEX('Live History'!$H$5:$H$3004,MATCH($A2862,'Live History'!$G$5:$G$3004,1)),INDEX('AH History'!$B$5:$B$1380,$K2862))),NA()),NA())</f>
        <v/>
      </c>
      <c r="I2862" s="34">
        <f>IFERROR(IF(ISNUMBER($A2862),IF(AND(AH!$U$12=1,2857+1=AH!$U$6),TODAY(),IF(AH!$U$5=1,INDEX('Live History'!$G$5:$G$3004,MATCH($A2862,'Live History'!$G$5:$G$3004,1)),INDEX('AH History'!$C$5:$C$1380,$K2862))),NA()),NA())</f>
        <v/>
      </c>
      <c r="J2862" s="32">
        <f>IFERROR(IF(AND($F2862&gt;0,$H2862&gt;0,$A2862-$G2862&lt;=10,$A2862-$I2862&lt;=5,$G2862&gt;0,$I2862&gt;0),$F2862*$H2862,NA()),NA())</f>
        <v/>
      </c>
      <c r="K2862" s="15">
        <f>IF($A2862="","",IF(AH!$U$5=1,IFERROR(MATCH($A2862,'Live History'!$A$5:$A$3004,0),0),AH!$U$7+2857))</f>
        <v/>
      </c>
      <c r="L2862" s="15">
        <f>IF(ISNUMBER(A2862),TEXT(A2862,"dd-mmm-yy"),"")</f>
        <v/>
      </c>
    </row>
    <row r="2863">
      <c r="A2863" s="14">
        <f>IF(OR(AH!$U$4=0,2858+1&gt;AH!$U$6,AND(AH!$M$5="Bloomberg",AH!$U$5=0)),"",IFERROR(IF(AND(AH!$U$12=1,2858+1=AH!$U$6),TODAY(),IF(AH!$U$5=1,INDEX('Live History'!$A$5:$A$3004,AH!$U$7+2858),INDEX('AH History'!$A$5:$A$1380,AH!$U$7+2858))),""))</f>
        <v/>
      </c>
      <c r="B2863" s="33">
        <f>IFERROR(IF(AH!$U$11=1,NA(),$J2863/$E2863-1),NA())</f>
        <v/>
      </c>
      <c r="C2863" s="269">
        <f>IFERROR(100*$E2863/$E$5,NA())</f>
        <v/>
      </c>
      <c r="D2863" s="269">
        <f>IFERROR(100*$J2863/$J$5,NA())</f>
        <v/>
      </c>
      <c r="E2863" s="32">
        <f>IFERROR(IF(AND(ISNUMBER($A2863),N(IF(AND(AH!$U$12=1,2858+1=AH!$U$6),IF(AH!$U$4=0,"unavailable",INDEX('Market Data'!$AN$5:$AN$66,AH!$U$4)),IF(AH!$U$5=1,INDEX('Live History'!$B$5:$B$3004,$K2863),INDEX('AH History'!$D$5:$GG$1380,$K2863,AH!$U$10))))&gt;0),IF(AND(AH!$U$12=1,2858+1=AH!$U$6),IF(AH!$U$4=0,"unavailable",INDEX('Market Data'!$AN$5:$AN$66,AH!$U$4)),IF(AH!$U$5=1,INDEX('Live History'!$B$5:$B$3004,$K2863),INDEX('AH History'!$D$5:$GG$1380,$K2863,AH!$U$10))),NA()),NA())</f>
        <v/>
      </c>
      <c r="F2863" s="32">
        <f>IFERROR(IF(ISNUMBER($A2863),IF(AND(AH!$U$12=1,2858+1=AH!$U$6),IF(AH!$U$4=0,"unavailable",INDEX('Market Data'!$AO$5:$AO$66,AH!$U$4)),IF(AH!$U$5=1,INDEX('Live History'!$E$5:$E$3004,MATCH($A2863,'Live History'!$D$5:$D$3004,1)),INDEX('AH History'!$D$5:$GG$1380,$K2863,AH!$U$10+1))),NA()),NA())</f>
        <v/>
      </c>
      <c r="G2863" s="34">
        <f>IFERROR(IF(ISNUMBER($A2863),IF(AND(AH!$U$12=1,2858+1=AH!$U$6),IF(AH!$U$4=0,"unavailable",INDEX('Market Data'!$AK$5:$AK$66,AH!$U$4)),IF(AH!$U$5=1,INDEX('Live History'!$D$5:$D$3004,MATCH($A2863,'Live History'!$D$5:$D$3004,1)),INDEX('AH History'!$D$5:$GG$1380,$K2863,AH!$U$10+2))),NA()),NA())</f>
        <v/>
      </c>
      <c r="H2863" s="266">
        <f>IFERROR(IF(ISNUMBER($A2863),IF(AND(AH!$U$12=1,2858+1=AH!$U$6),IF(AH!$U$4=0,"unavailable",INDEX('Market Data'!$AP$5:$AP$66,AH!$U$4)),IF(AH!$U$5=1,INDEX('Live History'!$H$5:$H$3004,MATCH($A2863,'Live History'!$G$5:$G$3004,1)),INDEX('AH History'!$B$5:$B$1380,$K2863))),NA()),NA())</f>
        <v/>
      </c>
      <c r="I2863" s="34">
        <f>IFERROR(IF(ISNUMBER($A2863),IF(AND(AH!$U$12=1,2858+1=AH!$U$6),TODAY(),IF(AH!$U$5=1,INDEX('Live History'!$G$5:$G$3004,MATCH($A2863,'Live History'!$G$5:$G$3004,1)),INDEX('AH History'!$C$5:$C$1380,$K2863))),NA()),NA())</f>
        <v/>
      </c>
      <c r="J2863" s="32">
        <f>IFERROR(IF(AND($F2863&gt;0,$H2863&gt;0,$A2863-$G2863&lt;=10,$A2863-$I2863&lt;=5,$G2863&gt;0,$I2863&gt;0),$F2863*$H2863,NA()),NA())</f>
        <v/>
      </c>
      <c r="K2863" s="15">
        <f>IF($A2863="","",IF(AH!$U$5=1,IFERROR(MATCH($A2863,'Live History'!$A$5:$A$3004,0),0),AH!$U$7+2858))</f>
        <v/>
      </c>
      <c r="L2863" s="15">
        <f>IF(ISNUMBER(A2863),TEXT(A2863,"dd-mmm-yy"),"")</f>
        <v/>
      </c>
    </row>
    <row r="2864">
      <c r="A2864" s="14">
        <f>IF(OR(AH!$U$4=0,2859+1&gt;AH!$U$6,AND(AH!$M$5="Bloomberg",AH!$U$5=0)),"",IFERROR(IF(AND(AH!$U$12=1,2859+1=AH!$U$6),TODAY(),IF(AH!$U$5=1,INDEX('Live History'!$A$5:$A$3004,AH!$U$7+2859),INDEX('AH History'!$A$5:$A$1380,AH!$U$7+2859))),""))</f>
        <v/>
      </c>
      <c r="B2864" s="33">
        <f>IFERROR(IF(AH!$U$11=1,NA(),$J2864/$E2864-1),NA())</f>
        <v/>
      </c>
      <c r="C2864" s="269">
        <f>IFERROR(100*$E2864/$E$5,NA())</f>
        <v/>
      </c>
      <c r="D2864" s="269">
        <f>IFERROR(100*$J2864/$J$5,NA())</f>
        <v/>
      </c>
      <c r="E2864" s="32">
        <f>IFERROR(IF(AND(ISNUMBER($A2864),N(IF(AND(AH!$U$12=1,2859+1=AH!$U$6),IF(AH!$U$4=0,"unavailable",INDEX('Market Data'!$AN$5:$AN$66,AH!$U$4)),IF(AH!$U$5=1,INDEX('Live History'!$B$5:$B$3004,$K2864),INDEX('AH History'!$D$5:$GG$1380,$K2864,AH!$U$10))))&gt;0),IF(AND(AH!$U$12=1,2859+1=AH!$U$6),IF(AH!$U$4=0,"unavailable",INDEX('Market Data'!$AN$5:$AN$66,AH!$U$4)),IF(AH!$U$5=1,INDEX('Live History'!$B$5:$B$3004,$K2864),INDEX('AH History'!$D$5:$GG$1380,$K2864,AH!$U$10))),NA()),NA())</f>
        <v/>
      </c>
      <c r="F2864" s="32">
        <f>IFERROR(IF(ISNUMBER($A2864),IF(AND(AH!$U$12=1,2859+1=AH!$U$6),IF(AH!$U$4=0,"unavailable",INDEX('Market Data'!$AO$5:$AO$66,AH!$U$4)),IF(AH!$U$5=1,INDEX('Live History'!$E$5:$E$3004,MATCH($A2864,'Live History'!$D$5:$D$3004,1)),INDEX('AH History'!$D$5:$GG$1380,$K2864,AH!$U$10+1))),NA()),NA())</f>
        <v/>
      </c>
      <c r="G2864" s="34">
        <f>IFERROR(IF(ISNUMBER($A2864),IF(AND(AH!$U$12=1,2859+1=AH!$U$6),IF(AH!$U$4=0,"unavailable",INDEX('Market Data'!$AK$5:$AK$66,AH!$U$4)),IF(AH!$U$5=1,INDEX('Live History'!$D$5:$D$3004,MATCH($A2864,'Live History'!$D$5:$D$3004,1)),INDEX('AH History'!$D$5:$GG$1380,$K2864,AH!$U$10+2))),NA()),NA())</f>
        <v/>
      </c>
      <c r="H2864" s="266">
        <f>IFERROR(IF(ISNUMBER($A2864),IF(AND(AH!$U$12=1,2859+1=AH!$U$6),IF(AH!$U$4=0,"unavailable",INDEX('Market Data'!$AP$5:$AP$66,AH!$U$4)),IF(AH!$U$5=1,INDEX('Live History'!$H$5:$H$3004,MATCH($A2864,'Live History'!$G$5:$G$3004,1)),INDEX('AH History'!$B$5:$B$1380,$K2864))),NA()),NA())</f>
        <v/>
      </c>
      <c r="I2864" s="34">
        <f>IFERROR(IF(ISNUMBER($A2864),IF(AND(AH!$U$12=1,2859+1=AH!$U$6),TODAY(),IF(AH!$U$5=1,INDEX('Live History'!$G$5:$G$3004,MATCH($A2864,'Live History'!$G$5:$G$3004,1)),INDEX('AH History'!$C$5:$C$1380,$K2864))),NA()),NA())</f>
        <v/>
      </c>
      <c r="J2864" s="32">
        <f>IFERROR(IF(AND($F2864&gt;0,$H2864&gt;0,$A2864-$G2864&lt;=10,$A2864-$I2864&lt;=5,$G2864&gt;0,$I2864&gt;0),$F2864*$H2864,NA()),NA())</f>
        <v/>
      </c>
      <c r="K2864" s="15">
        <f>IF($A2864="","",IF(AH!$U$5=1,IFERROR(MATCH($A2864,'Live History'!$A$5:$A$3004,0),0),AH!$U$7+2859))</f>
        <v/>
      </c>
      <c r="L2864" s="15">
        <f>IF(ISNUMBER(A2864),TEXT(A2864,"dd-mmm-yy"),"")</f>
        <v/>
      </c>
    </row>
    <row r="2865">
      <c r="A2865" s="14">
        <f>IF(OR(AH!$U$4=0,2860+1&gt;AH!$U$6,AND(AH!$M$5="Bloomberg",AH!$U$5=0)),"",IFERROR(IF(AND(AH!$U$12=1,2860+1=AH!$U$6),TODAY(),IF(AH!$U$5=1,INDEX('Live History'!$A$5:$A$3004,AH!$U$7+2860),INDEX('AH History'!$A$5:$A$1380,AH!$U$7+2860))),""))</f>
        <v/>
      </c>
      <c r="B2865" s="33">
        <f>IFERROR(IF(AH!$U$11=1,NA(),$J2865/$E2865-1),NA())</f>
        <v/>
      </c>
      <c r="C2865" s="269">
        <f>IFERROR(100*$E2865/$E$5,NA())</f>
        <v/>
      </c>
      <c r="D2865" s="269">
        <f>IFERROR(100*$J2865/$J$5,NA())</f>
        <v/>
      </c>
      <c r="E2865" s="32">
        <f>IFERROR(IF(AND(ISNUMBER($A2865),N(IF(AND(AH!$U$12=1,2860+1=AH!$U$6),IF(AH!$U$4=0,"unavailable",INDEX('Market Data'!$AN$5:$AN$66,AH!$U$4)),IF(AH!$U$5=1,INDEX('Live History'!$B$5:$B$3004,$K2865),INDEX('AH History'!$D$5:$GG$1380,$K2865,AH!$U$10))))&gt;0),IF(AND(AH!$U$12=1,2860+1=AH!$U$6),IF(AH!$U$4=0,"unavailable",INDEX('Market Data'!$AN$5:$AN$66,AH!$U$4)),IF(AH!$U$5=1,INDEX('Live History'!$B$5:$B$3004,$K2865),INDEX('AH History'!$D$5:$GG$1380,$K2865,AH!$U$10))),NA()),NA())</f>
        <v/>
      </c>
      <c r="F2865" s="32">
        <f>IFERROR(IF(ISNUMBER($A2865),IF(AND(AH!$U$12=1,2860+1=AH!$U$6),IF(AH!$U$4=0,"unavailable",INDEX('Market Data'!$AO$5:$AO$66,AH!$U$4)),IF(AH!$U$5=1,INDEX('Live History'!$E$5:$E$3004,MATCH($A2865,'Live History'!$D$5:$D$3004,1)),INDEX('AH History'!$D$5:$GG$1380,$K2865,AH!$U$10+1))),NA()),NA())</f>
        <v/>
      </c>
      <c r="G2865" s="34">
        <f>IFERROR(IF(ISNUMBER($A2865),IF(AND(AH!$U$12=1,2860+1=AH!$U$6),IF(AH!$U$4=0,"unavailable",INDEX('Market Data'!$AK$5:$AK$66,AH!$U$4)),IF(AH!$U$5=1,INDEX('Live History'!$D$5:$D$3004,MATCH($A2865,'Live History'!$D$5:$D$3004,1)),INDEX('AH History'!$D$5:$GG$1380,$K2865,AH!$U$10+2))),NA()),NA())</f>
        <v/>
      </c>
      <c r="H2865" s="266">
        <f>IFERROR(IF(ISNUMBER($A2865),IF(AND(AH!$U$12=1,2860+1=AH!$U$6),IF(AH!$U$4=0,"unavailable",INDEX('Market Data'!$AP$5:$AP$66,AH!$U$4)),IF(AH!$U$5=1,INDEX('Live History'!$H$5:$H$3004,MATCH($A2865,'Live History'!$G$5:$G$3004,1)),INDEX('AH History'!$B$5:$B$1380,$K2865))),NA()),NA())</f>
        <v/>
      </c>
      <c r="I2865" s="34">
        <f>IFERROR(IF(ISNUMBER($A2865),IF(AND(AH!$U$12=1,2860+1=AH!$U$6),TODAY(),IF(AH!$U$5=1,INDEX('Live History'!$G$5:$G$3004,MATCH($A2865,'Live History'!$G$5:$G$3004,1)),INDEX('AH History'!$C$5:$C$1380,$K2865))),NA()),NA())</f>
        <v/>
      </c>
      <c r="J2865" s="32">
        <f>IFERROR(IF(AND($F2865&gt;0,$H2865&gt;0,$A2865-$G2865&lt;=10,$A2865-$I2865&lt;=5,$G2865&gt;0,$I2865&gt;0),$F2865*$H2865,NA()),NA())</f>
        <v/>
      </c>
      <c r="K2865" s="15">
        <f>IF($A2865="","",IF(AH!$U$5=1,IFERROR(MATCH($A2865,'Live History'!$A$5:$A$3004,0),0),AH!$U$7+2860))</f>
        <v/>
      </c>
      <c r="L2865" s="15">
        <f>IF(ISNUMBER(A2865),TEXT(A2865,"dd-mmm-yy"),"")</f>
        <v/>
      </c>
    </row>
    <row r="2866">
      <c r="A2866" s="14">
        <f>IF(OR(AH!$U$4=0,2861+1&gt;AH!$U$6,AND(AH!$M$5="Bloomberg",AH!$U$5=0)),"",IFERROR(IF(AND(AH!$U$12=1,2861+1=AH!$U$6),TODAY(),IF(AH!$U$5=1,INDEX('Live History'!$A$5:$A$3004,AH!$U$7+2861),INDEX('AH History'!$A$5:$A$1380,AH!$U$7+2861))),""))</f>
        <v/>
      </c>
      <c r="B2866" s="33">
        <f>IFERROR(IF(AH!$U$11=1,NA(),$J2866/$E2866-1),NA())</f>
        <v/>
      </c>
      <c r="C2866" s="269">
        <f>IFERROR(100*$E2866/$E$5,NA())</f>
        <v/>
      </c>
      <c r="D2866" s="269">
        <f>IFERROR(100*$J2866/$J$5,NA())</f>
        <v/>
      </c>
      <c r="E2866" s="32">
        <f>IFERROR(IF(AND(ISNUMBER($A2866),N(IF(AND(AH!$U$12=1,2861+1=AH!$U$6),IF(AH!$U$4=0,"unavailable",INDEX('Market Data'!$AN$5:$AN$66,AH!$U$4)),IF(AH!$U$5=1,INDEX('Live History'!$B$5:$B$3004,$K2866),INDEX('AH History'!$D$5:$GG$1380,$K2866,AH!$U$10))))&gt;0),IF(AND(AH!$U$12=1,2861+1=AH!$U$6),IF(AH!$U$4=0,"unavailable",INDEX('Market Data'!$AN$5:$AN$66,AH!$U$4)),IF(AH!$U$5=1,INDEX('Live History'!$B$5:$B$3004,$K2866),INDEX('AH History'!$D$5:$GG$1380,$K2866,AH!$U$10))),NA()),NA())</f>
        <v/>
      </c>
      <c r="F2866" s="32">
        <f>IFERROR(IF(ISNUMBER($A2866),IF(AND(AH!$U$12=1,2861+1=AH!$U$6),IF(AH!$U$4=0,"unavailable",INDEX('Market Data'!$AO$5:$AO$66,AH!$U$4)),IF(AH!$U$5=1,INDEX('Live History'!$E$5:$E$3004,MATCH($A2866,'Live History'!$D$5:$D$3004,1)),INDEX('AH History'!$D$5:$GG$1380,$K2866,AH!$U$10+1))),NA()),NA())</f>
        <v/>
      </c>
      <c r="G2866" s="34">
        <f>IFERROR(IF(ISNUMBER($A2866),IF(AND(AH!$U$12=1,2861+1=AH!$U$6),IF(AH!$U$4=0,"unavailable",INDEX('Market Data'!$AK$5:$AK$66,AH!$U$4)),IF(AH!$U$5=1,INDEX('Live History'!$D$5:$D$3004,MATCH($A2866,'Live History'!$D$5:$D$3004,1)),INDEX('AH History'!$D$5:$GG$1380,$K2866,AH!$U$10+2))),NA()),NA())</f>
        <v/>
      </c>
      <c r="H2866" s="266">
        <f>IFERROR(IF(ISNUMBER($A2866),IF(AND(AH!$U$12=1,2861+1=AH!$U$6),IF(AH!$U$4=0,"unavailable",INDEX('Market Data'!$AP$5:$AP$66,AH!$U$4)),IF(AH!$U$5=1,INDEX('Live History'!$H$5:$H$3004,MATCH($A2866,'Live History'!$G$5:$G$3004,1)),INDEX('AH History'!$B$5:$B$1380,$K2866))),NA()),NA())</f>
        <v/>
      </c>
      <c r="I2866" s="34">
        <f>IFERROR(IF(ISNUMBER($A2866),IF(AND(AH!$U$12=1,2861+1=AH!$U$6),TODAY(),IF(AH!$U$5=1,INDEX('Live History'!$G$5:$G$3004,MATCH($A2866,'Live History'!$G$5:$G$3004,1)),INDEX('AH History'!$C$5:$C$1380,$K2866))),NA()),NA())</f>
        <v/>
      </c>
      <c r="J2866" s="32">
        <f>IFERROR(IF(AND($F2866&gt;0,$H2866&gt;0,$A2866-$G2866&lt;=10,$A2866-$I2866&lt;=5,$G2866&gt;0,$I2866&gt;0),$F2866*$H2866,NA()),NA())</f>
        <v/>
      </c>
      <c r="K2866" s="15">
        <f>IF($A2866="","",IF(AH!$U$5=1,IFERROR(MATCH($A2866,'Live History'!$A$5:$A$3004,0),0),AH!$U$7+2861))</f>
        <v/>
      </c>
      <c r="L2866" s="15">
        <f>IF(ISNUMBER(A2866),TEXT(A2866,"dd-mmm-yy"),"")</f>
        <v/>
      </c>
    </row>
    <row r="2867">
      <c r="A2867" s="14">
        <f>IF(OR(AH!$U$4=0,2862+1&gt;AH!$U$6,AND(AH!$M$5="Bloomberg",AH!$U$5=0)),"",IFERROR(IF(AND(AH!$U$12=1,2862+1=AH!$U$6),TODAY(),IF(AH!$U$5=1,INDEX('Live History'!$A$5:$A$3004,AH!$U$7+2862),INDEX('AH History'!$A$5:$A$1380,AH!$U$7+2862))),""))</f>
        <v/>
      </c>
      <c r="B2867" s="33">
        <f>IFERROR(IF(AH!$U$11=1,NA(),$J2867/$E2867-1),NA())</f>
        <v/>
      </c>
      <c r="C2867" s="269">
        <f>IFERROR(100*$E2867/$E$5,NA())</f>
        <v/>
      </c>
      <c r="D2867" s="269">
        <f>IFERROR(100*$J2867/$J$5,NA())</f>
        <v/>
      </c>
      <c r="E2867" s="32">
        <f>IFERROR(IF(AND(ISNUMBER($A2867),N(IF(AND(AH!$U$12=1,2862+1=AH!$U$6),IF(AH!$U$4=0,"unavailable",INDEX('Market Data'!$AN$5:$AN$66,AH!$U$4)),IF(AH!$U$5=1,INDEX('Live History'!$B$5:$B$3004,$K2867),INDEX('AH History'!$D$5:$GG$1380,$K2867,AH!$U$10))))&gt;0),IF(AND(AH!$U$12=1,2862+1=AH!$U$6),IF(AH!$U$4=0,"unavailable",INDEX('Market Data'!$AN$5:$AN$66,AH!$U$4)),IF(AH!$U$5=1,INDEX('Live History'!$B$5:$B$3004,$K2867),INDEX('AH History'!$D$5:$GG$1380,$K2867,AH!$U$10))),NA()),NA())</f>
        <v/>
      </c>
      <c r="F2867" s="32">
        <f>IFERROR(IF(ISNUMBER($A2867),IF(AND(AH!$U$12=1,2862+1=AH!$U$6),IF(AH!$U$4=0,"unavailable",INDEX('Market Data'!$AO$5:$AO$66,AH!$U$4)),IF(AH!$U$5=1,INDEX('Live History'!$E$5:$E$3004,MATCH($A2867,'Live History'!$D$5:$D$3004,1)),INDEX('AH History'!$D$5:$GG$1380,$K2867,AH!$U$10+1))),NA()),NA())</f>
        <v/>
      </c>
      <c r="G2867" s="34">
        <f>IFERROR(IF(ISNUMBER($A2867),IF(AND(AH!$U$12=1,2862+1=AH!$U$6),IF(AH!$U$4=0,"unavailable",INDEX('Market Data'!$AK$5:$AK$66,AH!$U$4)),IF(AH!$U$5=1,INDEX('Live History'!$D$5:$D$3004,MATCH($A2867,'Live History'!$D$5:$D$3004,1)),INDEX('AH History'!$D$5:$GG$1380,$K2867,AH!$U$10+2))),NA()),NA())</f>
        <v/>
      </c>
      <c r="H2867" s="266">
        <f>IFERROR(IF(ISNUMBER($A2867),IF(AND(AH!$U$12=1,2862+1=AH!$U$6),IF(AH!$U$4=0,"unavailable",INDEX('Market Data'!$AP$5:$AP$66,AH!$U$4)),IF(AH!$U$5=1,INDEX('Live History'!$H$5:$H$3004,MATCH($A2867,'Live History'!$G$5:$G$3004,1)),INDEX('AH History'!$B$5:$B$1380,$K2867))),NA()),NA())</f>
        <v/>
      </c>
      <c r="I2867" s="34">
        <f>IFERROR(IF(ISNUMBER($A2867),IF(AND(AH!$U$12=1,2862+1=AH!$U$6),TODAY(),IF(AH!$U$5=1,INDEX('Live History'!$G$5:$G$3004,MATCH($A2867,'Live History'!$G$5:$G$3004,1)),INDEX('AH History'!$C$5:$C$1380,$K2867))),NA()),NA())</f>
        <v/>
      </c>
      <c r="J2867" s="32">
        <f>IFERROR(IF(AND($F2867&gt;0,$H2867&gt;0,$A2867-$G2867&lt;=10,$A2867-$I2867&lt;=5,$G2867&gt;0,$I2867&gt;0),$F2867*$H2867,NA()),NA())</f>
        <v/>
      </c>
      <c r="K2867" s="15">
        <f>IF($A2867="","",IF(AH!$U$5=1,IFERROR(MATCH($A2867,'Live History'!$A$5:$A$3004,0),0),AH!$U$7+2862))</f>
        <v/>
      </c>
      <c r="L2867" s="15">
        <f>IF(ISNUMBER(A2867),TEXT(A2867,"dd-mmm-yy"),"")</f>
        <v/>
      </c>
    </row>
    <row r="2868">
      <c r="A2868" s="14">
        <f>IF(OR(AH!$U$4=0,2863+1&gt;AH!$U$6,AND(AH!$M$5="Bloomberg",AH!$U$5=0)),"",IFERROR(IF(AND(AH!$U$12=1,2863+1=AH!$U$6),TODAY(),IF(AH!$U$5=1,INDEX('Live History'!$A$5:$A$3004,AH!$U$7+2863),INDEX('AH History'!$A$5:$A$1380,AH!$U$7+2863))),""))</f>
        <v/>
      </c>
      <c r="B2868" s="33">
        <f>IFERROR(IF(AH!$U$11=1,NA(),$J2868/$E2868-1),NA())</f>
        <v/>
      </c>
      <c r="C2868" s="269">
        <f>IFERROR(100*$E2868/$E$5,NA())</f>
        <v/>
      </c>
      <c r="D2868" s="269">
        <f>IFERROR(100*$J2868/$J$5,NA())</f>
        <v/>
      </c>
      <c r="E2868" s="32">
        <f>IFERROR(IF(AND(ISNUMBER($A2868),N(IF(AND(AH!$U$12=1,2863+1=AH!$U$6),IF(AH!$U$4=0,"unavailable",INDEX('Market Data'!$AN$5:$AN$66,AH!$U$4)),IF(AH!$U$5=1,INDEX('Live History'!$B$5:$B$3004,$K2868),INDEX('AH History'!$D$5:$GG$1380,$K2868,AH!$U$10))))&gt;0),IF(AND(AH!$U$12=1,2863+1=AH!$U$6),IF(AH!$U$4=0,"unavailable",INDEX('Market Data'!$AN$5:$AN$66,AH!$U$4)),IF(AH!$U$5=1,INDEX('Live History'!$B$5:$B$3004,$K2868),INDEX('AH History'!$D$5:$GG$1380,$K2868,AH!$U$10))),NA()),NA())</f>
        <v/>
      </c>
      <c r="F2868" s="32">
        <f>IFERROR(IF(ISNUMBER($A2868),IF(AND(AH!$U$12=1,2863+1=AH!$U$6),IF(AH!$U$4=0,"unavailable",INDEX('Market Data'!$AO$5:$AO$66,AH!$U$4)),IF(AH!$U$5=1,INDEX('Live History'!$E$5:$E$3004,MATCH($A2868,'Live History'!$D$5:$D$3004,1)),INDEX('AH History'!$D$5:$GG$1380,$K2868,AH!$U$10+1))),NA()),NA())</f>
        <v/>
      </c>
      <c r="G2868" s="34">
        <f>IFERROR(IF(ISNUMBER($A2868),IF(AND(AH!$U$12=1,2863+1=AH!$U$6),IF(AH!$U$4=0,"unavailable",INDEX('Market Data'!$AK$5:$AK$66,AH!$U$4)),IF(AH!$U$5=1,INDEX('Live History'!$D$5:$D$3004,MATCH($A2868,'Live History'!$D$5:$D$3004,1)),INDEX('AH History'!$D$5:$GG$1380,$K2868,AH!$U$10+2))),NA()),NA())</f>
        <v/>
      </c>
      <c r="H2868" s="266">
        <f>IFERROR(IF(ISNUMBER($A2868),IF(AND(AH!$U$12=1,2863+1=AH!$U$6),IF(AH!$U$4=0,"unavailable",INDEX('Market Data'!$AP$5:$AP$66,AH!$U$4)),IF(AH!$U$5=1,INDEX('Live History'!$H$5:$H$3004,MATCH($A2868,'Live History'!$G$5:$G$3004,1)),INDEX('AH History'!$B$5:$B$1380,$K2868))),NA()),NA())</f>
        <v/>
      </c>
      <c r="I2868" s="34">
        <f>IFERROR(IF(ISNUMBER($A2868),IF(AND(AH!$U$12=1,2863+1=AH!$U$6),TODAY(),IF(AH!$U$5=1,INDEX('Live History'!$G$5:$G$3004,MATCH($A2868,'Live History'!$G$5:$G$3004,1)),INDEX('AH History'!$C$5:$C$1380,$K2868))),NA()),NA())</f>
        <v/>
      </c>
      <c r="J2868" s="32">
        <f>IFERROR(IF(AND($F2868&gt;0,$H2868&gt;0,$A2868-$G2868&lt;=10,$A2868-$I2868&lt;=5,$G2868&gt;0,$I2868&gt;0),$F2868*$H2868,NA()),NA())</f>
        <v/>
      </c>
      <c r="K2868" s="15">
        <f>IF($A2868="","",IF(AH!$U$5=1,IFERROR(MATCH($A2868,'Live History'!$A$5:$A$3004,0),0),AH!$U$7+2863))</f>
        <v/>
      </c>
      <c r="L2868" s="15">
        <f>IF(ISNUMBER(A2868),TEXT(A2868,"dd-mmm-yy"),"")</f>
        <v/>
      </c>
    </row>
    <row r="2869">
      <c r="A2869" s="14">
        <f>IF(OR(AH!$U$4=0,2864+1&gt;AH!$U$6,AND(AH!$M$5="Bloomberg",AH!$U$5=0)),"",IFERROR(IF(AND(AH!$U$12=1,2864+1=AH!$U$6),TODAY(),IF(AH!$U$5=1,INDEX('Live History'!$A$5:$A$3004,AH!$U$7+2864),INDEX('AH History'!$A$5:$A$1380,AH!$U$7+2864))),""))</f>
        <v/>
      </c>
      <c r="B2869" s="33">
        <f>IFERROR(IF(AH!$U$11=1,NA(),$J2869/$E2869-1),NA())</f>
        <v/>
      </c>
      <c r="C2869" s="269">
        <f>IFERROR(100*$E2869/$E$5,NA())</f>
        <v/>
      </c>
      <c r="D2869" s="269">
        <f>IFERROR(100*$J2869/$J$5,NA())</f>
        <v/>
      </c>
      <c r="E2869" s="32">
        <f>IFERROR(IF(AND(ISNUMBER($A2869),N(IF(AND(AH!$U$12=1,2864+1=AH!$U$6),IF(AH!$U$4=0,"unavailable",INDEX('Market Data'!$AN$5:$AN$66,AH!$U$4)),IF(AH!$U$5=1,INDEX('Live History'!$B$5:$B$3004,$K2869),INDEX('AH History'!$D$5:$GG$1380,$K2869,AH!$U$10))))&gt;0),IF(AND(AH!$U$12=1,2864+1=AH!$U$6),IF(AH!$U$4=0,"unavailable",INDEX('Market Data'!$AN$5:$AN$66,AH!$U$4)),IF(AH!$U$5=1,INDEX('Live History'!$B$5:$B$3004,$K2869),INDEX('AH History'!$D$5:$GG$1380,$K2869,AH!$U$10))),NA()),NA())</f>
        <v/>
      </c>
      <c r="F2869" s="32">
        <f>IFERROR(IF(ISNUMBER($A2869),IF(AND(AH!$U$12=1,2864+1=AH!$U$6),IF(AH!$U$4=0,"unavailable",INDEX('Market Data'!$AO$5:$AO$66,AH!$U$4)),IF(AH!$U$5=1,INDEX('Live History'!$E$5:$E$3004,MATCH($A2869,'Live History'!$D$5:$D$3004,1)),INDEX('AH History'!$D$5:$GG$1380,$K2869,AH!$U$10+1))),NA()),NA())</f>
        <v/>
      </c>
      <c r="G2869" s="34">
        <f>IFERROR(IF(ISNUMBER($A2869),IF(AND(AH!$U$12=1,2864+1=AH!$U$6),IF(AH!$U$4=0,"unavailable",INDEX('Market Data'!$AK$5:$AK$66,AH!$U$4)),IF(AH!$U$5=1,INDEX('Live History'!$D$5:$D$3004,MATCH($A2869,'Live History'!$D$5:$D$3004,1)),INDEX('AH History'!$D$5:$GG$1380,$K2869,AH!$U$10+2))),NA()),NA())</f>
        <v/>
      </c>
      <c r="H2869" s="266">
        <f>IFERROR(IF(ISNUMBER($A2869),IF(AND(AH!$U$12=1,2864+1=AH!$U$6),IF(AH!$U$4=0,"unavailable",INDEX('Market Data'!$AP$5:$AP$66,AH!$U$4)),IF(AH!$U$5=1,INDEX('Live History'!$H$5:$H$3004,MATCH($A2869,'Live History'!$G$5:$G$3004,1)),INDEX('AH History'!$B$5:$B$1380,$K2869))),NA()),NA())</f>
        <v/>
      </c>
      <c r="I2869" s="34">
        <f>IFERROR(IF(ISNUMBER($A2869),IF(AND(AH!$U$12=1,2864+1=AH!$U$6),TODAY(),IF(AH!$U$5=1,INDEX('Live History'!$G$5:$G$3004,MATCH($A2869,'Live History'!$G$5:$G$3004,1)),INDEX('AH History'!$C$5:$C$1380,$K2869))),NA()),NA())</f>
        <v/>
      </c>
      <c r="J2869" s="32">
        <f>IFERROR(IF(AND($F2869&gt;0,$H2869&gt;0,$A2869-$G2869&lt;=10,$A2869-$I2869&lt;=5,$G2869&gt;0,$I2869&gt;0),$F2869*$H2869,NA()),NA())</f>
        <v/>
      </c>
      <c r="K2869" s="15">
        <f>IF($A2869="","",IF(AH!$U$5=1,IFERROR(MATCH($A2869,'Live History'!$A$5:$A$3004,0),0),AH!$U$7+2864))</f>
        <v/>
      </c>
      <c r="L2869" s="15">
        <f>IF(ISNUMBER(A2869),TEXT(A2869,"dd-mmm-yy"),"")</f>
        <v/>
      </c>
    </row>
    <row r="2870">
      <c r="A2870" s="14">
        <f>IF(OR(AH!$U$4=0,2865+1&gt;AH!$U$6,AND(AH!$M$5="Bloomberg",AH!$U$5=0)),"",IFERROR(IF(AND(AH!$U$12=1,2865+1=AH!$U$6),TODAY(),IF(AH!$U$5=1,INDEX('Live History'!$A$5:$A$3004,AH!$U$7+2865),INDEX('AH History'!$A$5:$A$1380,AH!$U$7+2865))),""))</f>
        <v/>
      </c>
      <c r="B2870" s="33">
        <f>IFERROR(IF(AH!$U$11=1,NA(),$J2870/$E2870-1),NA())</f>
        <v/>
      </c>
      <c r="C2870" s="269">
        <f>IFERROR(100*$E2870/$E$5,NA())</f>
        <v/>
      </c>
      <c r="D2870" s="269">
        <f>IFERROR(100*$J2870/$J$5,NA())</f>
        <v/>
      </c>
      <c r="E2870" s="32">
        <f>IFERROR(IF(AND(ISNUMBER($A2870),N(IF(AND(AH!$U$12=1,2865+1=AH!$U$6),IF(AH!$U$4=0,"unavailable",INDEX('Market Data'!$AN$5:$AN$66,AH!$U$4)),IF(AH!$U$5=1,INDEX('Live History'!$B$5:$B$3004,$K2870),INDEX('AH History'!$D$5:$GG$1380,$K2870,AH!$U$10))))&gt;0),IF(AND(AH!$U$12=1,2865+1=AH!$U$6),IF(AH!$U$4=0,"unavailable",INDEX('Market Data'!$AN$5:$AN$66,AH!$U$4)),IF(AH!$U$5=1,INDEX('Live History'!$B$5:$B$3004,$K2870),INDEX('AH History'!$D$5:$GG$1380,$K2870,AH!$U$10))),NA()),NA())</f>
        <v/>
      </c>
      <c r="F2870" s="32">
        <f>IFERROR(IF(ISNUMBER($A2870),IF(AND(AH!$U$12=1,2865+1=AH!$U$6),IF(AH!$U$4=0,"unavailable",INDEX('Market Data'!$AO$5:$AO$66,AH!$U$4)),IF(AH!$U$5=1,INDEX('Live History'!$E$5:$E$3004,MATCH($A2870,'Live History'!$D$5:$D$3004,1)),INDEX('AH History'!$D$5:$GG$1380,$K2870,AH!$U$10+1))),NA()),NA())</f>
        <v/>
      </c>
      <c r="G2870" s="34">
        <f>IFERROR(IF(ISNUMBER($A2870),IF(AND(AH!$U$12=1,2865+1=AH!$U$6),IF(AH!$U$4=0,"unavailable",INDEX('Market Data'!$AK$5:$AK$66,AH!$U$4)),IF(AH!$U$5=1,INDEX('Live History'!$D$5:$D$3004,MATCH($A2870,'Live History'!$D$5:$D$3004,1)),INDEX('AH History'!$D$5:$GG$1380,$K2870,AH!$U$10+2))),NA()),NA())</f>
        <v/>
      </c>
      <c r="H2870" s="266">
        <f>IFERROR(IF(ISNUMBER($A2870),IF(AND(AH!$U$12=1,2865+1=AH!$U$6),IF(AH!$U$4=0,"unavailable",INDEX('Market Data'!$AP$5:$AP$66,AH!$U$4)),IF(AH!$U$5=1,INDEX('Live History'!$H$5:$H$3004,MATCH($A2870,'Live History'!$G$5:$G$3004,1)),INDEX('AH History'!$B$5:$B$1380,$K2870))),NA()),NA())</f>
        <v/>
      </c>
      <c r="I2870" s="34">
        <f>IFERROR(IF(ISNUMBER($A2870),IF(AND(AH!$U$12=1,2865+1=AH!$U$6),TODAY(),IF(AH!$U$5=1,INDEX('Live History'!$G$5:$G$3004,MATCH($A2870,'Live History'!$G$5:$G$3004,1)),INDEX('AH History'!$C$5:$C$1380,$K2870))),NA()),NA())</f>
        <v/>
      </c>
      <c r="J2870" s="32">
        <f>IFERROR(IF(AND($F2870&gt;0,$H2870&gt;0,$A2870-$G2870&lt;=10,$A2870-$I2870&lt;=5,$G2870&gt;0,$I2870&gt;0),$F2870*$H2870,NA()),NA())</f>
        <v/>
      </c>
      <c r="K2870" s="15">
        <f>IF($A2870="","",IF(AH!$U$5=1,IFERROR(MATCH($A2870,'Live History'!$A$5:$A$3004,0),0),AH!$U$7+2865))</f>
        <v/>
      </c>
      <c r="L2870" s="15">
        <f>IF(ISNUMBER(A2870),TEXT(A2870,"dd-mmm-yy"),"")</f>
        <v/>
      </c>
    </row>
    <row r="2871">
      <c r="A2871" s="14">
        <f>IF(OR(AH!$U$4=0,2866+1&gt;AH!$U$6,AND(AH!$M$5="Bloomberg",AH!$U$5=0)),"",IFERROR(IF(AND(AH!$U$12=1,2866+1=AH!$U$6),TODAY(),IF(AH!$U$5=1,INDEX('Live History'!$A$5:$A$3004,AH!$U$7+2866),INDEX('AH History'!$A$5:$A$1380,AH!$U$7+2866))),""))</f>
        <v/>
      </c>
      <c r="B2871" s="33">
        <f>IFERROR(IF(AH!$U$11=1,NA(),$J2871/$E2871-1),NA())</f>
        <v/>
      </c>
      <c r="C2871" s="269">
        <f>IFERROR(100*$E2871/$E$5,NA())</f>
        <v/>
      </c>
      <c r="D2871" s="269">
        <f>IFERROR(100*$J2871/$J$5,NA())</f>
        <v/>
      </c>
      <c r="E2871" s="32">
        <f>IFERROR(IF(AND(ISNUMBER($A2871),N(IF(AND(AH!$U$12=1,2866+1=AH!$U$6),IF(AH!$U$4=0,"unavailable",INDEX('Market Data'!$AN$5:$AN$66,AH!$U$4)),IF(AH!$U$5=1,INDEX('Live History'!$B$5:$B$3004,$K2871),INDEX('AH History'!$D$5:$GG$1380,$K2871,AH!$U$10))))&gt;0),IF(AND(AH!$U$12=1,2866+1=AH!$U$6),IF(AH!$U$4=0,"unavailable",INDEX('Market Data'!$AN$5:$AN$66,AH!$U$4)),IF(AH!$U$5=1,INDEX('Live History'!$B$5:$B$3004,$K2871),INDEX('AH History'!$D$5:$GG$1380,$K2871,AH!$U$10))),NA()),NA())</f>
        <v/>
      </c>
      <c r="F2871" s="32">
        <f>IFERROR(IF(ISNUMBER($A2871),IF(AND(AH!$U$12=1,2866+1=AH!$U$6),IF(AH!$U$4=0,"unavailable",INDEX('Market Data'!$AO$5:$AO$66,AH!$U$4)),IF(AH!$U$5=1,INDEX('Live History'!$E$5:$E$3004,MATCH($A2871,'Live History'!$D$5:$D$3004,1)),INDEX('AH History'!$D$5:$GG$1380,$K2871,AH!$U$10+1))),NA()),NA())</f>
        <v/>
      </c>
      <c r="G2871" s="34">
        <f>IFERROR(IF(ISNUMBER($A2871),IF(AND(AH!$U$12=1,2866+1=AH!$U$6),IF(AH!$U$4=0,"unavailable",INDEX('Market Data'!$AK$5:$AK$66,AH!$U$4)),IF(AH!$U$5=1,INDEX('Live History'!$D$5:$D$3004,MATCH($A2871,'Live History'!$D$5:$D$3004,1)),INDEX('AH History'!$D$5:$GG$1380,$K2871,AH!$U$10+2))),NA()),NA())</f>
        <v/>
      </c>
      <c r="H2871" s="266">
        <f>IFERROR(IF(ISNUMBER($A2871),IF(AND(AH!$U$12=1,2866+1=AH!$U$6),IF(AH!$U$4=0,"unavailable",INDEX('Market Data'!$AP$5:$AP$66,AH!$U$4)),IF(AH!$U$5=1,INDEX('Live History'!$H$5:$H$3004,MATCH($A2871,'Live History'!$G$5:$G$3004,1)),INDEX('AH History'!$B$5:$B$1380,$K2871))),NA()),NA())</f>
        <v/>
      </c>
      <c r="I2871" s="34">
        <f>IFERROR(IF(ISNUMBER($A2871),IF(AND(AH!$U$12=1,2866+1=AH!$U$6),TODAY(),IF(AH!$U$5=1,INDEX('Live History'!$G$5:$G$3004,MATCH($A2871,'Live History'!$G$5:$G$3004,1)),INDEX('AH History'!$C$5:$C$1380,$K2871))),NA()),NA())</f>
        <v/>
      </c>
      <c r="J2871" s="32">
        <f>IFERROR(IF(AND($F2871&gt;0,$H2871&gt;0,$A2871-$G2871&lt;=10,$A2871-$I2871&lt;=5,$G2871&gt;0,$I2871&gt;0),$F2871*$H2871,NA()),NA())</f>
        <v/>
      </c>
      <c r="K2871" s="15">
        <f>IF($A2871="","",IF(AH!$U$5=1,IFERROR(MATCH($A2871,'Live History'!$A$5:$A$3004,0),0),AH!$U$7+2866))</f>
        <v/>
      </c>
      <c r="L2871" s="15">
        <f>IF(ISNUMBER(A2871),TEXT(A2871,"dd-mmm-yy"),"")</f>
        <v/>
      </c>
    </row>
    <row r="2872">
      <c r="A2872" s="14">
        <f>IF(OR(AH!$U$4=0,2867+1&gt;AH!$U$6,AND(AH!$M$5="Bloomberg",AH!$U$5=0)),"",IFERROR(IF(AND(AH!$U$12=1,2867+1=AH!$U$6),TODAY(),IF(AH!$U$5=1,INDEX('Live History'!$A$5:$A$3004,AH!$U$7+2867),INDEX('AH History'!$A$5:$A$1380,AH!$U$7+2867))),""))</f>
        <v/>
      </c>
      <c r="B2872" s="33">
        <f>IFERROR(IF(AH!$U$11=1,NA(),$J2872/$E2872-1),NA())</f>
        <v/>
      </c>
      <c r="C2872" s="269">
        <f>IFERROR(100*$E2872/$E$5,NA())</f>
        <v/>
      </c>
      <c r="D2872" s="269">
        <f>IFERROR(100*$J2872/$J$5,NA())</f>
        <v/>
      </c>
      <c r="E2872" s="32">
        <f>IFERROR(IF(AND(ISNUMBER($A2872),N(IF(AND(AH!$U$12=1,2867+1=AH!$U$6),IF(AH!$U$4=0,"unavailable",INDEX('Market Data'!$AN$5:$AN$66,AH!$U$4)),IF(AH!$U$5=1,INDEX('Live History'!$B$5:$B$3004,$K2872),INDEX('AH History'!$D$5:$GG$1380,$K2872,AH!$U$10))))&gt;0),IF(AND(AH!$U$12=1,2867+1=AH!$U$6),IF(AH!$U$4=0,"unavailable",INDEX('Market Data'!$AN$5:$AN$66,AH!$U$4)),IF(AH!$U$5=1,INDEX('Live History'!$B$5:$B$3004,$K2872),INDEX('AH History'!$D$5:$GG$1380,$K2872,AH!$U$10))),NA()),NA())</f>
        <v/>
      </c>
      <c r="F2872" s="32">
        <f>IFERROR(IF(ISNUMBER($A2872),IF(AND(AH!$U$12=1,2867+1=AH!$U$6),IF(AH!$U$4=0,"unavailable",INDEX('Market Data'!$AO$5:$AO$66,AH!$U$4)),IF(AH!$U$5=1,INDEX('Live History'!$E$5:$E$3004,MATCH($A2872,'Live History'!$D$5:$D$3004,1)),INDEX('AH History'!$D$5:$GG$1380,$K2872,AH!$U$10+1))),NA()),NA())</f>
        <v/>
      </c>
      <c r="G2872" s="34">
        <f>IFERROR(IF(ISNUMBER($A2872),IF(AND(AH!$U$12=1,2867+1=AH!$U$6),IF(AH!$U$4=0,"unavailable",INDEX('Market Data'!$AK$5:$AK$66,AH!$U$4)),IF(AH!$U$5=1,INDEX('Live History'!$D$5:$D$3004,MATCH($A2872,'Live History'!$D$5:$D$3004,1)),INDEX('AH History'!$D$5:$GG$1380,$K2872,AH!$U$10+2))),NA()),NA())</f>
        <v/>
      </c>
      <c r="H2872" s="266">
        <f>IFERROR(IF(ISNUMBER($A2872),IF(AND(AH!$U$12=1,2867+1=AH!$U$6),IF(AH!$U$4=0,"unavailable",INDEX('Market Data'!$AP$5:$AP$66,AH!$U$4)),IF(AH!$U$5=1,INDEX('Live History'!$H$5:$H$3004,MATCH($A2872,'Live History'!$G$5:$G$3004,1)),INDEX('AH History'!$B$5:$B$1380,$K2872))),NA()),NA())</f>
        <v/>
      </c>
      <c r="I2872" s="34">
        <f>IFERROR(IF(ISNUMBER($A2872),IF(AND(AH!$U$12=1,2867+1=AH!$U$6),TODAY(),IF(AH!$U$5=1,INDEX('Live History'!$G$5:$G$3004,MATCH($A2872,'Live History'!$G$5:$G$3004,1)),INDEX('AH History'!$C$5:$C$1380,$K2872))),NA()),NA())</f>
        <v/>
      </c>
      <c r="J2872" s="32">
        <f>IFERROR(IF(AND($F2872&gt;0,$H2872&gt;0,$A2872-$G2872&lt;=10,$A2872-$I2872&lt;=5,$G2872&gt;0,$I2872&gt;0),$F2872*$H2872,NA()),NA())</f>
        <v/>
      </c>
      <c r="K2872" s="15">
        <f>IF($A2872="","",IF(AH!$U$5=1,IFERROR(MATCH($A2872,'Live History'!$A$5:$A$3004,0),0),AH!$U$7+2867))</f>
        <v/>
      </c>
      <c r="L2872" s="15">
        <f>IF(ISNUMBER(A2872),TEXT(A2872,"dd-mmm-yy"),"")</f>
        <v/>
      </c>
    </row>
    <row r="2873">
      <c r="A2873" s="14">
        <f>IF(OR(AH!$U$4=0,2868+1&gt;AH!$U$6,AND(AH!$M$5="Bloomberg",AH!$U$5=0)),"",IFERROR(IF(AND(AH!$U$12=1,2868+1=AH!$U$6),TODAY(),IF(AH!$U$5=1,INDEX('Live History'!$A$5:$A$3004,AH!$U$7+2868),INDEX('AH History'!$A$5:$A$1380,AH!$U$7+2868))),""))</f>
        <v/>
      </c>
      <c r="B2873" s="33">
        <f>IFERROR(IF(AH!$U$11=1,NA(),$J2873/$E2873-1),NA())</f>
        <v/>
      </c>
      <c r="C2873" s="269">
        <f>IFERROR(100*$E2873/$E$5,NA())</f>
        <v/>
      </c>
      <c r="D2873" s="269">
        <f>IFERROR(100*$J2873/$J$5,NA())</f>
        <v/>
      </c>
      <c r="E2873" s="32">
        <f>IFERROR(IF(AND(ISNUMBER($A2873),N(IF(AND(AH!$U$12=1,2868+1=AH!$U$6),IF(AH!$U$4=0,"unavailable",INDEX('Market Data'!$AN$5:$AN$66,AH!$U$4)),IF(AH!$U$5=1,INDEX('Live History'!$B$5:$B$3004,$K2873),INDEX('AH History'!$D$5:$GG$1380,$K2873,AH!$U$10))))&gt;0),IF(AND(AH!$U$12=1,2868+1=AH!$U$6),IF(AH!$U$4=0,"unavailable",INDEX('Market Data'!$AN$5:$AN$66,AH!$U$4)),IF(AH!$U$5=1,INDEX('Live History'!$B$5:$B$3004,$K2873),INDEX('AH History'!$D$5:$GG$1380,$K2873,AH!$U$10))),NA()),NA())</f>
        <v/>
      </c>
      <c r="F2873" s="32">
        <f>IFERROR(IF(ISNUMBER($A2873),IF(AND(AH!$U$12=1,2868+1=AH!$U$6),IF(AH!$U$4=0,"unavailable",INDEX('Market Data'!$AO$5:$AO$66,AH!$U$4)),IF(AH!$U$5=1,INDEX('Live History'!$E$5:$E$3004,MATCH($A2873,'Live History'!$D$5:$D$3004,1)),INDEX('AH History'!$D$5:$GG$1380,$K2873,AH!$U$10+1))),NA()),NA())</f>
        <v/>
      </c>
      <c r="G2873" s="34">
        <f>IFERROR(IF(ISNUMBER($A2873),IF(AND(AH!$U$12=1,2868+1=AH!$U$6),IF(AH!$U$4=0,"unavailable",INDEX('Market Data'!$AK$5:$AK$66,AH!$U$4)),IF(AH!$U$5=1,INDEX('Live History'!$D$5:$D$3004,MATCH($A2873,'Live History'!$D$5:$D$3004,1)),INDEX('AH History'!$D$5:$GG$1380,$K2873,AH!$U$10+2))),NA()),NA())</f>
        <v/>
      </c>
      <c r="H2873" s="266">
        <f>IFERROR(IF(ISNUMBER($A2873),IF(AND(AH!$U$12=1,2868+1=AH!$U$6),IF(AH!$U$4=0,"unavailable",INDEX('Market Data'!$AP$5:$AP$66,AH!$U$4)),IF(AH!$U$5=1,INDEX('Live History'!$H$5:$H$3004,MATCH($A2873,'Live History'!$G$5:$G$3004,1)),INDEX('AH History'!$B$5:$B$1380,$K2873))),NA()),NA())</f>
        <v/>
      </c>
      <c r="I2873" s="34">
        <f>IFERROR(IF(ISNUMBER($A2873),IF(AND(AH!$U$12=1,2868+1=AH!$U$6),TODAY(),IF(AH!$U$5=1,INDEX('Live History'!$G$5:$G$3004,MATCH($A2873,'Live History'!$G$5:$G$3004,1)),INDEX('AH History'!$C$5:$C$1380,$K2873))),NA()),NA())</f>
        <v/>
      </c>
      <c r="J2873" s="32">
        <f>IFERROR(IF(AND($F2873&gt;0,$H2873&gt;0,$A2873-$G2873&lt;=10,$A2873-$I2873&lt;=5,$G2873&gt;0,$I2873&gt;0),$F2873*$H2873,NA()),NA())</f>
        <v/>
      </c>
      <c r="K2873" s="15">
        <f>IF($A2873="","",IF(AH!$U$5=1,IFERROR(MATCH($A2873,'Live History'!$A$5:$A$3004,0),0),AH!$U$7+2868))</f>
        <v/>
      </c>
      <c r="L2873" s="15">
        <f>IF(ISNUMBER(A2873),TEXT(A2873,"dd-mmm-yy"),"")</f>
        <v/>
      </c>
    </row>
    <row r="2874">
      <c r="A2874" s="14">
        <f>IF(OR(AH!$U$4=0,2869+1&gt;AH!$U$6,AND(AH!$M$5="Bloomberg",AH!$U$5=0)),"",IFERROR(IF(AND(AH!$U$12=1,2869+1=AH!$U$6),TODAY(),IF(AH!$U$5=1,INDEX('Live History'!$A$5:$A$3004,AH!$U$7+2869),INDEX('AH History'!$A$5:$A$1380,AH!$U$7+2869))),""))</f>
        <v/>
      </c>
      <c r="B2874" s="33">
        <f>IFERROR(IF(AH!$U$11=1,NA(),$J2874/$E2874-1),NA())</f>
        <v/>
      </c>
      <c r="C2874" s="269">
        <f>IFERROR(100*$E2874/$E$5,NA())</f>
        <v/>
      </c>
      <c r="D2874" s="269">
        <f>IFERROR(100*$J2874/$J$5,NA())</f>
        <v/>
      </c>
      <c r="E2874" s="32">
        <f>IFERROR(IF(AND(ISNUMBER($A2874),N(IF(AND(AH!$U$12=1,2869+1=AH!$U$6),IF(AH!$U$4=0,"unavailable",INDEX('Market Data'!$AN$5:$AN$66,AH!$U$4)),IF(AH!$U$5=1,INDEX('Live History'!$B$5:$B$3004,$K2874),INDEX('AH History'!$D$5:$GG$1380,$K2874,AH!$U$10))))&gt;0),IF(AND(AH!$U$12=1,2869+1=AH!$U$6),IF(AH!$U$4=0,"unavailable",INDEX('Market Data'!$AN$5:$AN$66,AH!$U$4)),IF(AH!$U$5=1,INDEX('Live History'!$B$5:$B$3004,$K2874),INDEX('AH History'!$D$5:$GG$1380,$K2874,AH!$U$10))),NA()),NA())</f>
        <v/>
      </c>
      <c r="F2874" s="32">
        <f>IFERROR(IF(ISNUMBER($A2874),IF(AND(AH!$U$12=1,2869+1=AH!$U$6),IF(AH!$U$4=0,"unavailable",INDEX('Market Data'!$AO$5:$AO$66,AH!$U$4)),IF(AH!$U$5=1,INDEX('Live History'!$E$5:$E$3004,MATCH($A2874,'Live History'!$D$5:$D$3004,1)),INDEX('AH History'!$D$5:$GG$1380,$K2874,AH!$U$10+1))),NA()),NA())</f>
        <v/>
      </c>
      <c r="G2874" s="34">
        <f>IFERROR(IF(ISNUMBER($A2874),IF(AND(AH!$U$12=1,2869+1=AH!$U$6),IF(AH!$U$4=0,"unavailable",INDEX('Market Data'!$AK$5:$AK$66,AH!$U$4)),IF(AH!$U$5=1,INDEX('Live History'!$D$5:$D$3004,MATCH($A2874,'Live History'!$D$5:$D$3004,1)),INDEX('AH History'!$D$5:$GG$1380,$K2874,AH!$U$10+2))),NA()),NA())</f>
        <v/>
      </c>
      <c r="H2874" s="266">
        <f>IFERROR(IF(ISNUMBER($A2874),IF(AND(AH!$U$12=1,2869+1=AH!$U$6),IF(AH!$U$4=0,"unavailable",INDEX('Market Data'!$AP$5:$AP$66,AH!$U$4)),IF(AH!$U$5=1,INDEX('Live History'!$H$5:$H$3004,MATCH($A2874,'Live History'!$G$5:$G$3004,1)),INDEX('AH History'!$B$5:$B$1380,$K2874))),NA()),NA())</f>
        <v/>
      </c>
      <c r="I2874" s="34">
        <f>IFERROR(IF(ISNUMBER($A2874),IF(AND(AH!$U$12=1,2869+1=AH!$U$6),TODAY(),IF(AH!$U$5=1,INDEX('Live History'!$G$5:$G$3004,MATCH($A2874,'Live History'!$G$5:$G$3004,1)),INDEX('AH History'!$C$5:$C$1380,$K2874))),NA()),NA())</f>
        <v/>
      </c>
      <c r="J2874" s="32">
        <f>IFERROR(IF(AND($F2874&gt;0,$H2874&gt;0,$A2874-$G2874&lt;=10,$A2874-$I2874&lt;=5,$G2874&gt;0,$I2874&gt;0),$F2874*$H2874,NA()),NA())</f>
        <v/>
      </c>
      <c r="K2874" s="15">
        <f>IF($A2874="","",IF(AH!$U$5=1,IFERROR(MATCH($A2874,'Live History'!$A$5:$A$3004,0),0),AH!$U$7+2869))</f>
        <v/>
      </c>
      <c r="L2874" s="15">
        <f>IF(ISNUMBER(A2874),TEXT(A2874,"dd-mmm-yy"),"")</f>
        <v/>
      </c>
    </row>
    <row r="2875">
      <c r="A2875" s="14">
        <f>IF(OR(AH!$U$4=0,2870+1&gt;AH!$U$6,AND(AH!$M$5="Bloomberg",AH!$U$5=0)),"",IFERROR(IF(AND(AH!$U$12=1,2870+1=AH!$U$6),TODAY(),IF(AH!$U$5=1,INDEX('Live History'!$A$5:$A$3004,AH!$U$7+2870),INDEX('AH History'!$A$5:$A$1380,AH!$U$7+2870))),""))</f>
        <v/>
      </c>
      <c r="B2875" s="33">
        <f>IFERROR(IF(AH!$U$11=1,NA(),$J2875/$E2875-1),NA())</f>
        <v/>
      </c>
      <c r="C2875" s="269">
        <f>IFERROR(100*$E2875/$E$5,NA())</f>
        <v/>
      </c>
      <c r="D2875" s="269">
        <f>IFERROR(100*$J2875/$J$5,NA())</f>
        <v/>
      </c>
      <c r="E2875" s="32">
        <f>IFERROR(IF(AND(ISNUMBER($A2875),N(IF(AND(AH!$U$12=1,2870+1=AH!$U$6),IF(AH!$U$4=0,"unavailable",INDEX('Market Data'!$AN$5:$AN$66,AH!$U$4)),IF(AH!$U$5=1,INDEX('Live History'!$B$5:$B$3004,$K2875),INDEX('AH History'!$D$5:$GG$1380,$K2875,AH!$U$10))))&gt;0),IF(AND(AH!$U$12=1,2870+1=AH!$U$6),IF(AH!$U$4=0,"unavailable",INDEX('Market Data'!$AN$5:$AN$66,AH!$U$4)),IF(AH!$U$5=1,INDEX('Live History'!$B$5:$B$3004,$K2875),INDEX('AH History'!$D$5:$GG$1380,$K2875,AH!$U$10))),NA()),NA())</f>
        <v/>
      </c>
      <c r="F2875" s="32">
        <f>IFERROR(IF(ISNUMBER($A2875),IF(AND(AH!$U$12=1,2870+1=AH!$U$6),IF(AH!$U$4=0,"unavailable",INDEX('Market Data'!$AO$5:$AO$66,AH!$U$4)),IF(AH!$U$5=1,INDEX('Live History'!$E$5:$E$3004,MATCH($A2875,'Live History'!$D$5:$D$3004,1)),INDEX('AH History'!$D$5:$GG$1380,$K2875,AH!$U$10+1))),NA()),NA())</f>
        <v/>
      </c>
      <c r="G2875" s="34">
        <f>IFERROR(IF(ISNUMBER($A2875),IF(AND(AH!$U$12=1,2870+1=AH!$U$6),IF(AH!$U$4=0,"unavailable",INDEX('Market Data'!$AK$5:$AK$66,AH!$U$4)),IF(AH!$U$5=1,INDEX('Live History'!$D$5:$D$3004,MATCH($A2875,'Live History'!$D$5:$D$3004,1)),INDEX('AH History'!$D$5:$GG$1380,$K2875,AH!$U$10+2))),NA()),NA())</f>
        <v/>
      </c>
      <c r="H2875" s="266">
        <f>IFERROR(IF(ISNUMBER($A2875),IF(AND(AH!$U$12=1,2870+1=AH!$U$6),IF(AH!$U$4=0,"unavailable",INDEX('Market Data'!$AP$5:$AP$66,AH!$U$4)),IF(AH!$U$5=1,INDEX('Live History'!$H$5:$H$3004,MATCH($A2875,'Live History'!$G$5:$G$3004,1)),INDEX('AH History'!$B$5:$B$1380,$K2875))),NA()),NA())</f>
        <v/>
      </c>
      <c r="I2875" s="34">
        <f>IFERROR(IF(ISNUMBER($A2875),IF(AND(AH!$U$12=1,2870+1=AH!$U$6),TODAY(),IF(AH!$U$5=1,INDEX('Live History'!$G$5:$G$3004,MATCH($A2875,'Live History'!$G$5:$G$3004,1)),INDEX('AH History'!$C$5:$C$1380,$K2875))),NA()),NA())</f>
        <v/>
      </c>
      <c r="J2875" s="32">
        <f>IFERROR(IF(AND($F2875&gt;0,$H2875&gt;0,$A2875-$G2875&lt;=10,$A2875-$I2875&lt;=5,$G2875&gt;0,$I2875&gt;0),$F2875*$H2875,NA()),NA())</f>
        <v/>
      </c>
      <c r="K2875" s="15">
        <f>IF($A2875="","",IF(AH!$U$5=1,IFERROR(MATCH($A2875,'Live History'!$A$5:$A$3004,0),0),AH!$U$7+2870))</f>
        <v/>
      </c>
      <c r="L2875" s="15">
        <f>IF(ISNUMBER(A2875),TEXT(A2875,"dd-mmm-yy"),"")</f>
        <v/>
      </c>
    </row>
    <row r="2876">
      <c r="A2876" s="14">
        <f>IF(OR(AH!$U$4=0,2871+1&gt;AH!$U$6,AND(AH!$M$5="Bloomberg",AH!$U$5=0)),"",IFERROR(IF(AND(AH!$U$12=1,2871+1=AH!$U$6),TODAY(),IF(AH!$U$5=1,INDEX('Live History'!$A$5:$A$3004,AH!$U$7+2871),INDEX('AH History'!$A$5:$A$1380,AH!$U$7+2871))),""))</f>
        <v/>
      </c>
      <c r="B2876" s="33">
        <f>IFERROR(IF(AH!$U$11=1,NA(),$J2876/$E2876-1),NA())</f>
        <v/>
      </c>
      <c r="C2876" s="269">
        <f>IFERROR(100*$E2876/$E$5,NA())</f>
        <v/>
      </c>
      <c r="D2876" s="269">
        <f>IFERROR(100*$J2876/$J$5,NA())</f>
        <v/>
      </c>
      <c r="E2876" s="32">
        <f>IFERROR(IF(AND(ISNUMBER($A2876),N(IF(AND(AH!$U$12=1,2871+1=AH!$U$6),IF(AH!$U$4=0,"unavailable",INDEX('Market Data'!$AN$5:$AN$66,AH!$U$4)),IF(AH!$U$5=1,INDEX('Live History'!$B$5:$B$3004,$K2876),INDEX('AH History'!$D$5:$GG$1380,$K2876,AH!$U$10))))&gt;0),IF(AND(AH!$U$12=1,2871+1=AH!$U$6),IF(AH!$U$4=0,"unavailable",INDEX('Market Data'!$AN$5:$AN$66,AH!$U$4)),IF(AH!$U$5=1,INDEX('Live History'!$B$5:$B$3004,$K2876),INDEX('AH History'!$D$5:$GG$1380,$K2876,AH!$U$10))),NA()),NA())</f>
        <v/>
      </c>
      <c r="F2876" s="32">
        <f>IFERROR(IF(ISNUMBER($A2876),IF(AND(AH!$U$12=1,2871+1=AH!$U$6),IF(AH!$U$4=0,"unavailable",INDEX('Market Data'!$AO$5:$AO$66,AH!$U$4)),IF(AH!$U$5=1,INDEX('Live History'!$E$5:$E$3004,MATCH($A2876,'Live History'!$D$5:$D$3004,1)),INDEX('AH History'!$D$5:$GG$1380,$K2876,AH!$U$10+1))),NA()),NA())</f>
        <v/>
      </c>
      <c r="G2876" s="34">
        <f>IFERROR(IF(ISNUMBER($A2876),IF(AND(AH!$U$12=1,2871+1=AH!$U$6),IF(AH!$U$4=0,"unavailable",INDEX('Market Data'!$AK$5:$AK$66,AH!$U$4)),IF(AH!$U$5=1,INDEX('Live History'!$D$5:$D$3004,MATCH($A2876,'Live History'!$D$5:$D$3004,1)),INDEX('AH History'!$D$5:$GG$1380,$K2876,AH!$U$10+2))),NA()),NA())</f>
        <v/>
      </c>
      <c r="H2876" s="266">
        <f>IFERROR(IF(ISNUMBER($A2876),IF(AND(AH!$U$12=1,2871+1=AH!$U$6),IF(AH!$U$4=0,"unavailable",INDEX('Market Data'!$AP$5:$AP$66,AH!$U$4)),IF(AH!$U$5=1,INDEX('Live History'!$H$5:$H$3004,MATCH($A2876,'Live History'!$G$5:$G$3004,1)),INDEX('AH History'!$B$5:$B$1380,$K2876))),NA()),NA())</f>
        <v/>
      </c>
      <c r="I2876" s="34">
        <f>IFERROR(IF(ISNUMBER($A2876),IF(AND(AH!$U$12=1,2871+1=AH!$U$6),TODAY(),IF(AH!$U$5=1,INDEX('Live History'!$G$5:$G$3004,MATCH($A2876,'Live History'!$G$5:$G$3004,1)),INDEX('AH History'!$C$5:$C$1380,$K2876))),NA()),NA())</f>
        <v/>
      </c>
      <c r="J2876" s="32">
        <f>IFERROR(IF(AND($F2876&gt;0,$H2876&gt;0,$A2876-$G2876&lt;=10,$A2876-$I2876&lt;=5,$G2876&gt;0,$I2876&gt;0),$F2876*$H2876,NA()),NA())</f>
        <v/>
      </c>
      <c r="K2876" s="15">
        <f>IF($A2876="","",IF(AH!$U$5=1,IFERROR(MATCH($A2876,'Live History'!$A$5:$A$3004,0),0),AH!$U$7+2871))</f>
        <v/>
      </c>
      <c r="L2876" s="15">
        <f>IF(ISNUMBER(A2876),TEXT(A2876,"dd-mmm-yy"),"")</f>
        <v/>
      </c>
    </row>
    <row r="2877">
      <c r="A2877" s="14">
        <f>IF(OR(AH!$U$4=0,2872+1&gt;AH!$U$6,AND(AH!$M$5="Bloomberg",AH!$U$5=0)),"",IFERROR(IF(AND(AH!$U$12=1,2872+1=AH!$U$6),TODAY(),IF(AH!$U$5=1,INDEX('Live History'!$A$5:$A$3004,AH!$U$7+2872),INDEX('AH History'!$A$5:$A$1380,AH!$U$7+2872))),""))</f>
        <v/>
      </c>
      <c r="B2877" s="33">
        <f>IFERROR(IF(AH!$U$11=1,NA(),$J2877/$E2877-1),NA())</f>
        <v/>
      </c>
      <c r="C2877" s="269">
        <f>IFERROR(100*$E2877/$E$5,NA())</f>
        <v/>
      </c>
      <c r="D2877" s="269">
        <f>IFERROR(100*$J2877/$J$5,NA())</f>
        <v/>
      </c>
      <c r="E2877" s="32">
        <f>IFERROR(IF(AND(ISNUMBER($A2877),N(IF(AND(AH!$U$12=1,2872+1=AH!$U$6),IF(AH!$U$4=0,"unavailable",INDEX('Market Data'!$AN$5:$AN$66,AH!$U$4)),IF(AH!$U$5=1,INDEX('Live History'!$B$5:$B$3004,$K2877),INDEX('AH History'!$D$5:$GG$1380,$K2877,AH!$U$10))))&gt;0),IF(AND(AH!$U$12=1,2872+1=AH!$U$6),IF(AH!$U$4=0,"unavailable",INDEX('Market Data'!$AN$5:$AN$66,AH!$U$4)),IF(AH!$U$5=1,INDEX('Live History'!$B$5:$B$3004,$K2877),INDEX('AH History'!$D$5:$GG$1380,$K2877,AH!$U$10))),NA()),NA())</f>
        <v/>
      </c>
      <c r="F2877" s="32">
        <f>IFERROR(IF(ISNUMBER($A2877),IF(AND(AH!$U$12=1,2872+1=AH!$U$6),IF(AH!$U$4=0,"unavailable",INDEX('Market Data'!$AO$5:$AO$66,AH!$U$4)),IF(AH!$U$5=1,INDEX('Live History'!$E$5:$E$3004,MATCH($A2877,'Live History'!$D$5:$D$3004,1)),INDEX('AH History'!$D$5:$GG$1380,$K2877,AH!$U$10+1))),NA()),NA())</f>
        <v/>
      </c>
      <c r="G2877" s="34">
        <f>IFERROR(IF(ISNUMBER($A2877),IF(AND(AH!$U$12=1,2872+1=AH!$U$6),IF(AH!$U$4=0,"unavailable",INDEX('Market Data'!$AK$5:$AK$66,AH!$U$4)),IF(AH!$U$5=1,INDEX('Live History'!$D$5:$D$3004,MATCH($A2877,'Live History'!$D$5:$D$3004,1)),INDEX('AH History'!$D$5:$GG$1380,$K2877,AH!$U$10+2))),NA()),NA())</f>
        <v/>
      </c>
      <c r="H2877" s="266">
        <f>IFERROR(IF(ISNUMBER($A2877),IF(AND(AH!$U$12=1,2872+1=AH!$U$6),IF(AH!$U$4=0,"unavailable",INDEX('Market Data'!$AP$5:$AP$66,AH!$U$4)),IF(AH!$U$5=1,INDEX('Live History'!$H$5:$H$3004,MATCH($A2877,'Live History'!$G$5:$G$3004,1)),INDEX('AH History'!$B$5:$B$1380,$K2877))),NA()),NA())</f>
        <v/>
      </c>
      <c r="I2877" s="34">
        <f>IFERROR(IF(ISNUMBER($A2877),IF(AND(AH!$U$12=1,2872+1=AH!$U$6),TODAY(),IF(AH!$U$5=1,INDEX('Live History'!$G$5:$G$3004,MATCH($A2877,'Live History'!$G$5:$G$3004,1)),INDEX('AH History'!$C$5:$C$1380,$K2877))),NA()),NA())</f>
        <v/>
      </c>
      <c r="J2877" s="32">
        <f>IFERROR(IF(AND($F2877&gt;0,$H2877&gt;0,$A2877-$G2877&lt;=10,$A2877-$I2877&lt;=5,$G2877&gt;0,$I2877&gt;0),$F2877*$H2877,NA()),NA())</f>
        <v/>
      </c>
      <c r="K2877" s="15">
        <f>IF($A2877="","",IF(AH!$U$5=1,IFERROR(MATCH($A2877,'Live History'!$A$5:$A$3004,0),0),AH!$U$7+2872))</f>
        <v/>
      </c>
      <c r="L2877" s="15">
        <f>IF(ISNUMBER(A2877),TEXT(A2877,"dd-mmm-yy"),"")</f>
        <v/>
      </c>
    </row>
    <row r="2878">
      <c r="A2878" s="14">
        <f>IF(OR(AH!$U$4=0,2873+1&gt;AH!$U$6,AND(AH!$M$5="Bloomberg",AH!$U$5=0)),"",IFERROR(IF(AND(AH!$U$12=1,2873+1=AH!$U$6),TODAY(),IF(AH!$U$5=1,INDEX('Live History'!$A$5:$A$3004,AH!$U$7+2873),INDEX('AH History'!$A$5:$A$1380,AH!$U$7+2873))),""))</f>
        <v/>
      </c>
      <c r="B2878" s="33">
        <f>IFERROR(IF(AH!$U$11=1,NA(),$J2878/$E2878-1),NA())</f>
        <v/>
      </c>
      <c r="C2878" s="269">
        <f>IFERROR(100*$E2878/$E$5,NA())</f>
        <v/>
      </c>
      <c r="D2878" s="269">
        <f>IFERROR(100*$J2878/$J$5,NA())</f>
        <v/>
      </c>
      <c r="E2878" s="32">
        <f>IFERROR(IF(AND(ISNUMBER($A2878),N(IF(AND(AH!$U$12=1,2873+1=AH!$U$6),IF(AH!$U$4=0,"unavailable",INDEX('Market Data'!$AN$5:$AN$66,AH!$U$4)),IF(AH!$U$5=1,INDEX('Live History'!$B$5:$B$3004,$K2878),INDEX('AH History'!$D$5:$GG$1380,$K2878,AH!$U$10))))&gt;0),IF(AND(AH!$U$12=1,2873+1=AH!$U$6),IF(AH!$U$4=0,"unavailable",INDEX('Market Data'!$AN$5:$AN$66,AH!$U$4)),IF(AH!$U$5=1,INDEX('Live History'!$B$5:$B$3004,$K2878),INDEX('AH History'!$D$5:$GG$1380,$K2878,AH!$U$10))),NA()),NA())</f>
        <v/>
      </c>
      <c r="F2878" s="32">
        <f>IFERROR(IF(ISNUMBER($A2878),IF(AND(AH!$U$12=1,2873+1=AH!$U$6),IF(AH!$U$4=0,"unavailable",INDEX('Market Data'!$AO$5:$AO$66,AH!$U$4)),IF(AH!$U$5=1,INDEX('Live History'!$E$5:$E$3004,MATCH($A2878,'Live History'!$D$5:$D$3004,1)),INDEX('AH History'!$D$5:$GG$1380,$K2878,AH!$U$10+1))),NA()),NA())</f>
        <v/>
      </c>
      <c r="G2878" s="34">
        <f>IFERROR(IF(ISNUMBER($A2878),IF(AND(AH!$U$12=1,2873+1=AH!$U$6),IF(AH!$U$4=0,"unavailable",INDEX('Market Data'!$AK$5:$AK$66,AH!$U$4)),IF(AH!$U$5=1,INDEX('Live History'!$D$5:$D$3004,MATCH($A2878,'Live History'!$D$5:$D$3004,1)),INDEX('AH History'!$D$5:$GG$1380,$K2878,AH!$U$10+2))),NA()),NA())</f>
        <v/>
      </c>
      <c r="H2878" s="266">
        <f>IFERROR(IF(ISNUMBER($A2878),IF(AND(AH!$U$12=1,2873+1=AH!$U$6),IF(AH!$U$4=0,"unavailable",INDEX('Market Data'!$AP$5:$AP$66,AH!$U$4)),IF(AH!$U$5=1,INDEX('Live History'!$H$5:$H$3004,MATCH($A2878,'Live History'!$G$5:$G$3004,1)),INDEX('AH History'!$B$5:$B$1380,$K2878))),NA()),NA())</f>
        <v/>
      </c>
      <c r="I2878" s="34">
        <f>IFERROR(IF(ISNUMBER($A2878),IF(AND(AH!$U$12=1,2873+1=AH!$U$6),TODAY(),IF(AH!$U$5=1,INDEX('Live History'!$G$5:$G$3004,MATCH($A2878,'Live History'!$G$5:$G$3004,1)),INDEX('AH History'!$C$5:$C$1380,$K2878))),NA()),NA())</f>
        <v/>
      </c>
      <c r="J2878" s="32">
        <f>IFERROR(IF(AND($F2878&gt;0,$H2878&gt;0,$A2878-$G2878&lt;=10,$A2878-$I2878&lt;=5,$G2878&gt;0,$I2878&gt;0),$F2878*$H2878,NA()),NA())</f>
        <v/>
      </c>
      <c r="K2878" s="15">
        <f>IF($A2878="","",IF(AH!$U$5=1,IFERROR(MATCH($A2878,'Live History'!$A$5:$A$3004,0),0),AH!$U$7+2873))</f>
        <v/>
      </c>
      <c r="L2878" s="15">
        <f>IF(ISNUMBER(A2878),TEXT(A2878,"dd-mmm-yy"),"")</f>
        <v/>
      </c>
    </row>
    <row r="2879">
      <c r="A2879" s="14">
        <f>IF(OR(AH!$U$4=0,2874+1&gt;AH!$U$6,AND(AH!$M$5="Bloomberg",AH!$U$5=0)),"",IFERROR(IF(AND(AH!$U$12=1,2874+1=AH!$U$6),TODAY(),IF(AH!$U$5=1,INDEX('Live History'!$A$5:$A$3004,AH!$U$7+2874),INDEX('AH History'!$A$5:$A$1380,AH!$U$7+2874))),""))</f>
        <v/>
      </c>
      <c r="B2879" s="33">
        <f>IFERROR(IF(AH!$U$11=1,NA(),$J2879/$E2879-1),NA())</f>
        <v/>
      </c>
      <c r="C2879" s="269">
        <f>IFERROR(100*$E2879/$E$5,NA())</f>
        <v/>
      </c>
      <c r="D2879" s="269">
        <f>IFERROR(100*$J2879/$J$5,NA())</f>
        <v/>
      </c>
      <c r="E2879" s="32">
        <f>IFERROR(IF(AND(ISNUMBER($A2879),N(IF(AND(AH!$U$12=1,2874+1=AH!$U$6),IF(AH!$U$4=0,"unavailable",INDEX('Market Data'!$AN$5:$AN$66,AH!$U$4)),IF(AH!$U$5=1,INDEX('Live History'!$B$5:$B$3004,$K2879),INDEX('AH History'!$D$5:$GG$1380,$K2879,AH!$U$10))))&gt;0),IF(AND(AH!$U$12=1,2874+1=AH!$U$6),IF(AH!$U$4=0,"unavailable",INDEX('Market Data'!$AN$5:$AN$66,AH!$U$4)),IF(AH!$U$5=1,INDEX('Live History'!$B$5:$B$3004,$K2879),INDEX('AH History'!$D$5:$GG$1380,$K2879,AH!$U$10))),NA()),NA())</f>
        <v/>
      </c>
      <c r="F2879" s="32">
        <f>IFERROR(IF(ISNUMBER($A2879),IF(AND(AH!$U$12=1,2874+1=AH!$U$6),IF(AH!$U$4=0,"unavailable",INDEX('Market Data'!$AO$5:$AO$66,AH!$U$4)),IF(AH!$U$5=1,INDEX('Live History'!$E$5:$E$3004,MATCH($A2879,'Live History'!$D$5:$D$3004,1)),INDEX('AH History'!$D$5:$GG$1380,$K2879,AH!$U$10+1))),NA()),NA())</f>
        <v/>
      </c>
      <c r="G2879" s="34">
        <f>IFERROR(IF(ISNUMBER($A2879),IF(AND(AH!$U$12=1,2874+1=AH!$U$6),IF(AH!$U$4=0,"unavailable",INDEX('Market Data'!$AK$5:$AK$66,AH!$U$4)),IF(AH!$U$5=1,INDEX('Live History'!$D$5:$D$3004,MATCH($A2879,'Live History'!$D$5:$D$3004,1)),INDEX('AH History'!$D$5:$GG$1380,$K2879,AH!$U$10+2))),NA()),NA())</f>
        <v/>
      </c>
      <c r="H2879" s="266">
        <f>IFERROR(IF(ISNUMBER($A2879),IF(AND(AH!$U$12=1,2874+1=AH!$U$6),IF(AH!$U$4=0,"unavailable",INDEX('Market Data'!$AP$5:$AP$66,AH!$U$4)),IF(AH!$U$5=1,INDEX('Live History'!$H$5:$H$3004,MATCH($A2879,'Live History'!$G$5:$G$3004,1)),INDEX('AH History'!$B$5:$B$1380,$K2879))),NA()),NA())</f>
        <v/>
      </c>
      <c r="I2879" s="34">
        <f>IFERROR(IF(ISNUMBER($A2879),IF(AND(AH!$U$12=1,2874+1=AH!$U$6),TODAY(),IF(AH!$U$5=1,INDEX('Live History'!$G$5:$G$3004,MATCH($A2879,'Live History'!$G$5:$G$3004,1)),INDEX('AH History'!$C$5:$C$1380,$K2879))),NA()),NA())</f>
        <v/>
      </c>
      <c r="J2879" s="32">
        <f>IFERROR(IF(AND($F2879&gt;0,$H2879&gt;0,$A2879-$G2879&lt;=10,$A2879-$I2879&lt;=5,$G2879&gt;0,$I2879&gt;0),$F2879*$H2879,NA()),NA())</f>
        <v/>
      </c>
      <c r="K2879" s="15">
        <f>IF($A2879="","",IF(AH!$U$5=1,IFERROR(MATCH($A2879,'Live History'!$A$5:$A$3004,0),0),AH!$U$7+2874))</f>
        <v/>
      </c>
      <c r="L2879" s="15">
        <f>IF(ISNUMBER(A2879),TEXT(A2879,"dd-mmm-yy"),"")</f>
        <v/>
      </c>
    </row>
    <row r="2880">
      <c r="A2880" s="14">
        <f>IF(OR(AH!$U$4=0,2875+1&gt;AH!$U$6,AND(AH!$M$5="Bloomberg",AH!$U$5=0)),"",IFERROR(IF(AND(AH!$U$12=1,2875+1=AH!$U$6),TODAY(),IF(AH!$U$5=1,INDEX('Live History'!$A$5:$A$3004,AH!$U$7+2875),INDEX('AH History'!$A$5:$A$1380,AH!$U$7+2875))),""))</f>
        <v/>
      </c>
      <c r="B2880" s="33">
        <f>IFERROR(IF(AH!$U$11=1,NA(),$J2880/$E2880-1),NA())</f>
        <v/>
      </c>
      <c r="C2880" s="269">
        <f>IFERROR(100*$E2880/$E$5,NA())</f>
        <v/>
      </c>
      <c r="D2880" s="269">
        <f>IFERROR(100*$J2880/$J$5,NA())</f>
        <v/>
      </c>
      <c r="E2880" s="32">
        <f>IFERROR(IF(AND(ISNUMBER($A2880),N(IF(AND(AH!$U$12=1,2875+1=AH!$U$6),IF(AH!$U$4=0,"unavailable",INDEX('Market Data'!$AN$5:$AN$66,AH!$U$4)),IF(AH!$U$5=1,INDEX('Live History'!$B$5:$B$3004,$K2880),INDEX('AH History'!$D$5:$GG$1380,$K2880,AH!$U$10))))&gt;0),IF(AND(AH!$U$12=1,2875+1=AH!$U$6),IF(AH!$U$4=0,"unavailable",INDEX('Market Data'!$AN$5:$AN$66,AH!$U$4)),IF(AH!$U$5=1,INDEX('Live History'!$B$5:$B$3004,$K2880),INDEX('AH History'!$D$5:$GG$1380,$K2880,AH!$U$10))),NA()),NA())</f>
        <v/>
      </c>
      <c r="F2880" s="32">
        <f>IFERROR(IF(ISNUMBER($A2880),IF(AND(AH!$U$12=1,2875+1=AH!$U$6),IF(AH!$U$4=0,"unavailable",INDEX('Market Data'!$AO$5:$AO$66,AH!$U$4)),IF(AH!$U$5=1,INDEX('Live History'!$E$5:$E$3004,MATCH($A2880,'Live History'!$D$5:$D$3004,1)),INDEX('AH History'!$D$5:$GG$1380,$K2880,AH!$U$10+1))),NA()),NA())</f>
        <v/>
      </c>
      <c r="G2880" s="34">
        <f>IFERROR(IF(ISNUMBER($A2880),IF(AND(AH!$U$12=1,2875+1=AH!$U$6),IF(AH!$U$4=0,"unavailable",INDEX('Market Data'!$AK$5:$AK$66,AH!$U$4)),IF(AH!$U$5=1,INDEX('Live History'!$D$5:$D$3004,MATCH($A2880,'Live History'!$D$5:$D$3004,1)),INDEX('AH History'!$D$5:$GG$1380,$K2880,AH!$U$10+2))),NA()),NA())</f>
        <v/>
      </c>
      <c r="H2880" s="266">
        <f>IFERROR(IF(ISNUMBER($A2880),IF(AND(AH!$U$12=1,2875+1=AH!$U$6),IF(AH!$U$4=0,"unavailable",INDEX('Market Data'!$AP$5:$AP$66,AH!$U$4)),IF(AH!$U$5=1,INDEX('Live History'!$H$5:$H$3004,MATCH($A2880,'Live History'!$G$5:$G$3004,1)),INDEX('AH History'!$B$5:$B$1380,$K2880))),NA()),NA())</f>
        <v/>
      </c>
      <c r="I2880" s="34">
        <f>IFERROR(IF(ISNUMBER($A2880),IF(AND(AH!$U$12=1,2875+1=AH!$U$6),TODAY(),IF(AH!$U$5=1,INDEX('Live History'!$G$5:$G$3004,MATCH($A2880,'Live History'!$G$5:$G$3004,1)),INDEX('AH History'!$C$5:$C$1380,$K2880))),NA()),NA())</f>
        <v/>
      </c>
      <c r="J2880" s="32">
        <f>IFERROR(IF(AND($F2880&gt;0,$H2880&gt;0,$A2880-$G2880&lt;=10,$A2880-$I2880&lt;=5,$G2880&gt;0,$I2880&gt;0),$F2880*$H2880,NA()),NA())</f>
        <v/>
      </c>
      <c r="K2880" s="15">
        <f>IF($A2880="","",IF(AH!$U$5=1,IFERROR(MATCH($A2880,'Live History'!$A$5:$A$3004,0),0),AH!$U$7+2875))</f>
        <v/>
      </c>
      <c r="L2880" s="15">
        <f>IF(ISNUMBER(A2880),TEXT(A2880,"dd-mmm-yy"),"")</f>
        <v/>
      </c>
    </row>
    <row r="2881">
      <c r="A2881" s="14">
        <f>IF(OR(AH!$U$4=0,2876+1&gt;AH!$U$6,AND(AH!$M$5="Bloomberg",AH!$U$5=0)),"",IFERROR(IF(AND(AH!$U$12=1,2876+1=AH!$U$6),TODAY(),IF(AH!$U$5=1,INDEX('Live History'!$A$5:$A$3004,AH!$U$7+2876),INDEX('AH History'!$A$5:$A$1380,AH!$U$7+2876))),""))</f>
        <v/>
      </c>
      <c r="B2881" s="33">
        <f>IFERROR(IF(AH!$U$11=1,NA(),$J2881/$E2881-1),NA())</f>
        <v/>
      </c>
      <c r="C2881" s="269">
        <f>IFERROR(100*$E2881/$E$5,NA())</f>
        <v/>
      </c>
      <c r="D2881" s="269">
        <f>IFERROR(100*$J2881/$J$5,NA())</f>
        <v/>
      </c>
      <c r="E2881" s="32">
        <f>IFERROR(IF(AND(ISNUMBER($A2881),N(IF(AND(AH!$U$12=1,2876+1=AH!$U$6),IF(AH!$U$4=0,"unavailable",INDEX('Market Data'!$AN$5:$AN$66,AH!$U$4)),IF(AH!$U$5=1,INDEX('Live History'!$B$5:$B$3004,$K2881),INDEX('AH History'!$D$5:$GG$1380,$K2881,AH!$U$10))))&gt;0),IF(AND(AH!$U$12=1,2876+1=AH!$U$6),IF(AH!$U$4=0,"unavailable",INDEX('Market Data'!$AN$5:$AN$66,AH!$U$4)),IF(AH!$U$5=1,INDEX('Live History'!$B$5:$B$3004,$K2881),INDEX('AH History'!$D$5:$GG$1380,$K2881,AH!$U$10))),NA()),NA())</f>
        <v/>
      </c>
      <c r="F2881" s="32">
        <f>IFERROR(IF(ISNUMBER($A2881),IF(AND(AH!$U$12=1,2876+1=AH!$U$6),IF(AH!$U$4=0,"unavailable",INDEX('Market Data'!$AO$5:$AO$66,AH!$U$4)),IF(AH!$U$5=1,INDEX('Live History'!$E$5:$E$3004,MATCH($A2881,'Live History'!$D$5:$D$3004,1)),INDEX('AH History'!$D$5:$GG$1380,$K2881,AH!$U$10+1))),NA()),NA())</f>
        <v/>
      </c>
      <c r="G2881" s="34">
        <f>IFERROR(IF(ISNUMBER($A2881),IF(AND(AH!$U$12=1,2876+1=AH!$U$6),IF(AH!$U$4=0,"unavailable",INDEX('Market Data'!$AK$5:$AK$66,AH!$U$4)),IF(AH!$U$5=1,INDEX('Live History'!$D$5:$D$3004,MATCH($A2881,'Live History'!$D$5:$D$3004,1)),INDEX('AH History'!$D$5:$GG$1380,$K2881,AH!$U$10+2))),NA()),NA())</f>
        <v/>
      </c>
      <c r="H2881" s="266">
        <f>IFERROR(IF(ISNUMBER($A2881),IF(AND(AH!$U$12=1,2876+1=AH!$U$6),IF(AH!$U$4=0,"unavailable",INDEX('Market Data'!$AP$5:$AP$66,AH!$U$4)),IF(AH!$U$5=1,INDEX('Live History'!$H$5:$H$3004,MATCH($A2881,'Live History'!$G$5:$G$3004,1)),INDEX('AH History'!$B$5:$B$1380,$K2881))),NA()),NA())</f>
        <v/>
      </c>
      <c r="I2881" s="34">
        <f>IFERROR(IF(ISNUMBER($A2881),IF(AND(AH!$U$12=1,2876+1=AH!$U$6),TODAY(),IF(AH!$U$5=1,INDEX('Live History'!$G$5:$G$3004,MATCH($A2881,'Live History'!$G$5:$G$3004,1)),INDEX('AH History'!$C$5:$C$1380,$K2881))),NA()),NA())</f>
        <v/>
      </c>
      <c r="J2881" s="32">
        <f>IFERROR(IF(AND($F2881&gt;0,$H2881&gt;0,$A2881-$G2881&lt;=10,$A2881-$I2881&lt;=5,$G2881&gt;0,$I2881&gt;0),$F2881*$H2881,NA()),NA())</f>
        <v/>
      </c>
      <c r="K2881" s="15">
        <f>IF($A2881="","",IF(AH!$U$5=1,IFERROR(MATCH($A2881,'Live History'!$A$5:$A$3004,0),0),AH!$U$7+2876))</f>
        <v/>
      </c>
      <c r="L2881" s="15">
        <f>IF(ISNUMBER(A2881),TEXT(A2881,"dd-mmm-yy"),"")</f>
        <v/>
      </c>
    </row>
    <row r="2882">
      <c r="A2882" s="14">
        <f>IF(OR(AH!$U$4=0,2877+1&gt;AH!$U$6,AND(AH!$M$5="Bloomberg",AH!$U$5=0)),"",IFERROR(IF(AND(AH!$U$12=1,2877+1=AH!$U$6),TODAY(),IF(AH!$U$5=1,INDEX('Live History'!$A$5:$A$3004,AH!$U$7+2877),INDEX('AH History'!$A$5:$A$1380,AH!$U$7+2877))),""))</f>
        <v/>
      </c>
      <c r="B2882" s="33">
        <f>IFERROR(IF(AH!$U$11=1,NA(),$J2882/$E2882-1),NA())</f>
        <v/>
      </c>
      <c r="C2882" s="269">
        <f>IFERROR(100*$E2882/$E$5,NA())</f>
        <v/>
      </c>
      <c r="D2882" s="269">
        <f>IFERROR(100*$J2882/$J$5,NA())</f>
        <v/>
      </c>
      <c r="E2882" s="32">
        <f>IFERROR(IF(AND(ISNUMBER($A2882),N(IF(AND(AH!$U$12=1,2877+1=AH!$U$6),IF(AH!$U$4=0,"unavailable",INDEX('Market Data'!$AN$5:$AN$66,AH!$U$4)),IF(AH!$U$5=1,INDEX('Live History'!$B$5:$B$3004,$K2882),INDEX('AH History'!$D$5:$GG$1380,$K2882,AH!$U$10))))&gt;0),IF(AND(AH!$U$12=1,2877+1=AH!$U$6),IF(AH!$U$4=0,"unavailable",INDEX('Market Data'!$AN$5:$AN$66,AH!$U$4)),IF(AH!$U$5=1,INDEX('Live History'!$B$5:$B$3004,$K2882),INDEX('AH History'!$D$5:$GG$1380,$K2882,AH!$U$10))),NA()),NA())</f>
        <v/>
      </c>
      <c r="F2882" s="32">
        <f>IFERROR(IF(ISNUMBER($A2882),IF(AND(AH!$U$12=1,2877+1=AH!$U$6),IF(AH!$U$4=0,"unavailable",INDEX('Market Data'!$AO$5:$AO$66,AH!$U$4)),IF(AH!$U$5=1,INDEX('Live History'!$E$5:$E$3004,MATCH($A2882,'Live History'!$D$5:$D$3004,1)),INDEX('AH History'!$D$5:$GG$1380,$K2882,AH!$U$10+1))),NA()),NA())</f>
        <v/>
      </c>
      <c r="G2882" s="34">
        <f>IFERROR(IF(ISNUMBER($A2882),IF(AND(AH!$U$12=1,2877+1=AH!$U$6),IF(AH!$U$4=0,"unavailable",INDEX('Market Data'!$AK$5:$AK$66,AH!$U$4)),IF(AH!$U$5=1,INDEX('Live History'!$D$5:$D$3004,MATCH($A2882,'Live History'!$D$5:$D$3004,1)),INDEX('AH History'!$D$5:$GG$1380,$K2882,AH!$U$10+2))),NA()),NA())</f>
        <v/>
      </c>
      <c r="H2882" s="266">
        <f>IFERROR(IF(ISNUMBER($A2882),IF(AND(AH!$U$12=1,2877+1=AH!$U$6),IF(AH!$U$4=0,"unavailable",INDEX('Market Data'!$AP$5:$AP$66,AH!$U$4)),IF(AH!$U$5=1,INDEX('Live History'!$H$5:$H$3004,MATCH($A2882,'Live History'!$G$5:$G$3004,1)),INDEX('AH History'!$B$5:$B$1380,$K2882))),NA()),NA())</f>
        <v/>
      </c>
      <c r="I2882" s="34">
        <f>IFERROR(IF(ISNUMBER($A2882),IF(AND(AH!$U$12=1,2877+1=AH!$U$6),TODAY(),IF(AH!$U$5=1,INDEX('Live History'!$G$5:$G$3004,MATCH($A2882,'Live History'!$G$5:$G$3004,1)),INDEX('AH History'!$C$5:$C$1380,$K2882))),NA()),NA())</f>
        <v/>
      </c>
      <c r="J2882" s="32">
        <f>IFERROR(IF(AND($F2882&gt;0,$H2882&gt;0,$A2882-$G2882&lt;=10,$A2882-$I2882&lt;=5,$G2882&gt;0,$I2882&gt;0),$F2882*$H2882,NA()),NA())</f>
        <v/>
      </c>
      <c r="K2882" s="15">
        <f>IF($A2882="","",IF(AH!$U$5=1,IFERROR(MATCH($A2882,'Live History'!$A$5:$A$3004,0),0),AH!$U$7+2877))</f>
        <v/>
      </c>
      <c r="L2882" s="15">
        <f>IF(ISNUMBER(A2882),TEXT(A2882,"dd-mmm-yy"),"")</f>
        <v/>
      </c>
    </row>
    <row r="2883">
      <c r="A2883" s="14">
        <f>IF(OR(AH!$U$4=0,2878+1&gt;AH!$U$6,AND(AH!$M$5="Bloomberg",AH!$U$5=0)),"",IFERROR(IF(AND(AH!$U$12=1,2878+1=AH!$U$6),TODAY(),IF(AH!$U$5=1,INDEX('Live History'!$A$5:$A$3004,AH!$U$7+2878),INDEX('AH History'!$A$5:$A$1380,AH!$U$7+2878))),""))</f>
        <v/>
      </c>
      <c r="B2883" s="33">
        <f>IFERROR(IF(AH!$U$11=1,NA(),$J2883/$E2883-1),NA())</f>
        <v/>
      </c>
      <c r="C2883" s="269">
        <f>IFERROR(100*$E2883/$E$5,NA())</f>
        <v/>
      </c>
      <c r="D2883" s="269">
        <f>IFERROR(100*$J2883/$J$5,NA())</f>
        <v/>
      </c>
      <c r="E2883" s="32">
        <f>IFERROR(IF(AND(ISNUMBER($A2883),N(IF(AND(AH!$U$12=1,2878+1=AH!$U$6),IF(AH!$U$4=0,"unavailable",INDEX('Market Data'!$AN$5:$AN$66,AH!$U$4)),IF(AH!$U$5=1,INDEX('Live History'!$B$5:$B$3004,$K2883),INDEX('AH History'!$D$5:$GG$1380,$K2883,AH!$U$10))))&gt;0),IF(AND(AH!$U$12=1,2878+1=AH!$U$6),IF(AH!$U$4=0,"unavailable",INDEX('Market Data'!$AN$5:$AN$66,AH!$U$4)),IF(AH!$U$5=1,INDEX('Live History'!$B$5:$B$3004,$K2883),INDEX('AH History'!$D$5:$GG$1380,$K2883,AH!$U$10))),NA()),NA())</f>
        <v/>
      </c>
      <c r="F2883" s="32">
        <f>IFERROR(IF(ISNUMBER($A2883),IF(AND(AH!$U$12=1,2878+1=AH!$U$6),IF(AH!$U$4=0,"unavailable",INDEX('Market Data'!$AO$5:$AO$66,AH!$U$4)),IF(AH!$U$5=1,INDEX('Live History'!$E$5:$E$3004,MATCH($A2883,'Live History'!$D$5:$D$3004,1)),INDEX('AH History'!$D$5:$GG$1380,$K2883,AH!$U$10+1))),NA()),NA())</f>
        <v/>
      </c>
      <c r="G2883" s="34">
        <f>IFERROR(IF(ISNUMBER($A2883),IF(AND(AH!$U$12=1,2878+1=AH!$U$6),IF(AH!$U$4=0,"unavailable",INDEX('Market Data'!$AK$5:$AK$66,AH!$U$4)),IF(AH!$U$5=1,INDEX('Live History'!$D$5:$D$3004,MATCH($A2883,'Live History'!$D$5:$D$3004,1)),INDEX('AH History'!$D$5:$GG$1380,$K2883,AH!$U$10+2))),NA()),NA())</f>
        <v/>
      </c>
      <c r="H2883" s="266">
        <f>IFERROR(IF(ISNUMBER($A2883),IF(AND(AH!$U$12=1,2878+1=AH!$U$6),IF(AH!$U$4=0,"unavailable",INDEX('Market Data'!$AP$5:$AP$66,AH!$U$4)),IF(AH!$U$5=1,INDEX('Live History'!$H$5:$H$3004,MATCH($A2883,'Live History'!$G$5:$G$3004,1)),INDEX('AH History'!$B$5:$B$1380,$K2883))),NA()),NA())</f>
        <v/>
      </c>
      <c r="I2883" s="34">
        <f>IFERROR(IF(ISNUMBER($A2883),IF(AND(AH!$U$12=1,2878+1=AH!$U$6),TODAY(),IF(AH!$U$5=1,INDEX('Live History'!$G$5:$G$3004,MATCH($A2883,'Live History'!$G$5:$G$3004,1)),INDEX('AH History'!$C$5:$C$1380,$K2883))),NA()),NA())</f>
        <v/>
      </c>
      <c r="J2883" s="32">
        <f>IFERROR(IF(AND($F2883&gt;0,$H2883&gt;0,$A2883-$G2883&lt;=10,$A2883-$I2883&lt;=5,$G2883&gt;0,$I2883&gt;0),$F2883*$H2883,NA()),NA())</f>
        <v/>
      </c>
      <c r="K2883" s="15">
        <f>IF($A2883="","",IF(AH!$U$5=1,IFERROR(MATCH($A2883,'Live History'!$A$5:$A$3004,0),0),AH!$U$7+2878))</f>
        <v/>
      </c>
      <c r="L2883" s="15">
        <f>IF(ISNUMBER(A2883),TEXT(A2883,"dd-mmm-yy"),"")</f>
        <v/>
      </c>
    </row>
    <row r="2884">
      <c r="A2884" s="14">
        <f>IF(OR(AH!$U$4=0,2879+1&gt;AH!$U$6,AND(AH!$M$5="Bloomberg",AH!$U$5=0)),"",IFERROR(IF(AND(AH!$U$12=1,2879+1=AH!$U$6),TODAY(),IF(AH!$U$5=1,INDEX('Live History'!$A$5:$A$3004,AH!$U$7+2879),INDEX('AH History'!$A$5:$A$1380,AH!$U$7+2879))),""))</f>
        <v/>
      </c>
      <c r="B2884" s="33">
        <f>IFERROR(IF(AH!$U$11=1,NA(),$J2884/$E2884-1),NA())</f>
        <v/>
      </c>
      <c r="C2884" s="269">
        <f>IFERROR(100*$E2884/$E$5,NA())</f>
        <v/>
      </c>
      <c r="D2884" s="269">
        <f>IFERROR(100*$J2884/$J$5,NA())</f>
        <v/>
      </c>
      <c r="E2884" s="32">
        <f>IFERROR(IF(AND(ISNUMBER($A2884),N(IF(AND(AH!$U$12=1,2879+1=AH!$U$6),IF(AH!$U$4=0,"unavailable",INDEX('Market Data'!$AN$5:$AN$66,AH!$U$4)),IF(AH!$U$5=1,INDEX('Live History'!$B$5:$B$3004,$K2884),INDEX('AH History'!$D$5:$GG$1380,$K2884,AH!$U$10))))&gt;0),IF(AND(AH!$U$12=1,2879+1=AH!$U$6),IF(AH!$U$4=0,"unavailable",INDEX('Market Data'!$AN$5:$AN$66,AH!$U$4)),IF(AH!$U$5=1,INDEX('Live History'!$B$5:$B$3004,$K2884),INDEX('AH History'!$D$5:$GG$1380,$K2884,AH!$U$10))),NA()),NA())</f>
        <v/>
      </c>
      <c r="F2884" s="32">
        <f>IFERROR(IF(ISNUMBER($A2884),IF(AND(AH!$U$12=1,2879+1=AH!$U$6),IF(AH!$U$4=0,"unavailable",INDEX('Market Data'!$AO$5:$AO$66,AH!$U$4)),IF(AH!$U$5=1,INDEX('Live History'!$E$5:$E$3004,MATCH($A2884,'Live History'!$D$5:$D$3004,1)),INDEX('AH History'!$D$5:$GG$1380,$K2884,AH!$U$10+1))),NA()),NA())</f>
        <v/>
      </c>
      <c r="G2884" s="34">
        <f>IFERROR(IF(ISNUMBER($A2884),IF(AND(AH!$U$12=1,2879+1=AH!$U$6),IF(AH!$U$4=0,"unavailable",INDEX('Market Data'!$AK$5:$AK$66,AH!$U$4)),IF(AH!$U$5=1,INDEX('Live History'!$D$5:$D$3004,MATCH($A2884,'Live History'!$D$5:$D$3004,1)),INDEX('AH History'!$D$5:$GG$1380,$K2884,AH!$U$10+2))),NA()),NA())</f>
        <v/>
      </c>
      <c r="H2884" s="266">
        <f>IFERROR(IF(ISNUMBER($A2884),IF(AND(AH!$U$12=1,2879+1=AH!$U$6),IF(AH!$U$4=0,"unavailable",INDEX('Market Data'!$AP$5:$AP$66,AH!$U$4)),IF(AH!$U$5=1,INDEX('Live History'!$H$5:$H$3004,MATCH($A2884,'Live History'!$G$5:$G$3004,1)),INDEX('AH History'!$B$5:$B$1380,$K2884))),NA()),NA())</f>
        <v/>
      </c>
      <c r="I2884" s="34">
        <f>IFERROR(IF(ISNUMBER($A2884),IF(AND(AH!$U$12=1,2879+1=AH!$U$6),TODAY(),IF(AH!$U$5=1,INDEX('Live History'!$G$5:$G$3004,MATCH($A2884,'Live History'!$G$5:$G$3004,1)),INDEX('AH History'!$C$5:$C$1380,$K2884))),NA()),NA())</f>
        <v/>
      </c>
      <c r="J2884" s="32">
        <f>IFERROR(IF(AND($F2884&gt;0,$H2884&gt;0,$A2884-$G2884&lt;=10,$A2884-$I2884&lt;=5,$G2884&gt;0,$I2884&gt;0),$F2884*$H2884,NA()),NA())</f>
        <v/>
      </c>
      <c r="K2884" s="15">
        <f>IF($A2884="","",IF(AH!$U$5=1,IFERROR(MATCH($A2884,'Live History'!$A$5:$A$3004,0),0),AH!$U$7+2879))</f>
        <v/>
      </c>
      <c r="L2884" s="15">
        <f>IF(ISNUMBER(A2884),TEXT(A2884,"dd-mmm-yy"),"")</f>
        <v/>
      </c>
    </row>
    <row r="2885">
      <c r="A2885" s="14">
        <f>IF(OR(AH!$U$4=0,2880+1&gt;AH!$U$6,AND(AH!$M$5="Bloomberg",AH!$U$5=0)),"",IFERROR(IF(AND(AH!$U$12=1,2880+1=AH!$U$6),TODAY(),IF(AH!$U$5=1,INDEX('Live History'!$A$5:$A$3004,AH!$U$7+2880),INDEX('AH History'!$A$5:$A$1380,AH!$U$7+2880))),""))</f>
        <v/>
      </c>
      <c r="B2885" s="33">
        <f>IFERROR(IF(AH!$U$11=1,NA(),$J2885/$E2885-1),NA())</f>
        <v/>
      </c>
      <c r="C2885" s="269">
        <f>IFERROR(100*$E2885/$E$5,NA())</f>
        <v/>
      </c>
      <c r="D2885" s="269">
        <f>IFERROR(100*$J2885/$J$5,NA())</f>
        <v/>
      </c>
      <c r="E2885" s="32">
        <f>IFERROR(IF(AND(ISNUMBER($A2885),N(IF(AND(AH!$U$12=1,2880+1=AH!$U$6),IF(AH!$U$4=0,"unavailable",INDEX('Market Data'!$AN$5:$AN$66,AH!$U$4)),IF(AH!$U$5=1,INDEX('Live History'!$B$5:$B$3004,$K2885),INDEX('AH History'!$D$5:$GG$1380,$K2885,AH!$U$10))))&gt;0),IF(AND(AH!$U$12=1,2880+1=AH!$U$6),IF(AH!$U$4=0,"unavailable",INDEX('Market Data'!$AN$5:$AN$66,AH!$U$4)),IF(AH!$U$5=1,INDEX('Live History'!$B$5:$B$3004,$K2885),INDEX('AH History'!$D$5:$GG$1380,$K2885,AH!$U$10))),NA()),NA())</f>
        <v/>
      </c>
      <c r="F2885" s="32">
        <f>IFERROR(IF(ISNUMBER($A2885),IF(AND(AH!$U$12=1,2880+1=AH!$U$6),IF(AH!$U$4=0,"unavailable",INDEX('Market Data'!$AO$5:$AO$66,AH!$U$4)),IF(AH!$U$5=1,INDEX('Live History'!$E$5:$E$3004,MATCH($A2885,'Live History'!$D$5:$D$3004,1)),INDEX('AH History'!$D$5:$GG$1380,$K2885,AH!$U$10+1))),NA()),NA())</f>
        <v/>
      </c>
      <c r="G2885" s="34">
        <f>IFERROR(IF(ISNUMBER($A2885),IF(AND(AH!$U$12=1,2880+1=AH!$U$6),IF(AH!$U$4=0,"unavailable",INDEX('Market Data'!$AK$5:$AK$66,AH!$U$4)),IF(AH!$U$5=1,INDEX('Live History'!$D$5:$D$3004,MATCH($A2885,'Live History'!$D$5:$D$3004,1)),INDEX('AH History'!$D$5:$GG$1380,$K2885,AH!$U$10+2))),NA()),NA())</f>
        <v/>
      </c>
      <c r="H2885" s="266">
        <f>IFERROR(IF(ISNUMBER($A2885),IF(AND(AH!$U$12=1,2880+1=AH!$U$6),IF(AH!$U$4=0,"unavailable",INDEX('Market Data'!$AP$5:$AP$66,AH!$U$4)),IF(AH!$U$5=1,INDEX('Live History'!$H$5:$H$3004,MATCH($A2885,'Live History'!$G$5:$G$3004,1)),INDEX('AH History'!$B$5:$B$1380,$K2885))),NA()),NA())</f>
        <v/>
      </c>
      <c r="I2885" s="34">
        <f>IFERROR(IF(ISNUMBER($A2885),IF(AND(AH!$U$12=1,2880+1=AH!$U$6),TODAY(),IF(AH!$U$5=1,INDEX('Live History'!$G$5:$G$3004,MATCH($A2885,'Live History'!$G$5:$G$3004,1)),INDEX('AH History'!$C$5:$C$1380,$K2885))),NA()),NA())</f>
        <v/>
      </c>
      <c r="J2885" s="32">
        <f>IFERROR(IF(AND($F2885&gt;0,$H2885&gt;0,$A2885-$G2885&lt;=10,$A2885-$I2885&lt;=5,$G2885&gt;0,$I2885&gt;0),$F2885*$H2885,NA()),NA())</f>
        <v/>
      </c>
      <c r="K2885" s="15">
        <f>IF($A2885="","",IF(AH!$U$5=1,IFERROR(MATCH($A2885,'Live History'!$A$5:$A$3004,0),0),AH!$U$7+2880))</f>
        <v/>
      </c>
      <c r="L2885" s="15">
        <f>IF(ISNUMBER(A2885),TEXT(A2885,"dd-mmm-yy"),"")</f>
        <v/>
      </c>
    </row>
    <row r="2886">
      <c r="A2886" s="14">
        <f>IF(OR(AH!$U$4=0,2881+1&gt;AH!$U$6,AND(AH!$M$5="Bloomberg",AH!$U$5=0)),"",IFERROR(IF(AND(AH!$U$12=1,2881+1=AH!$U$6),TODAY(),IF(AH!$U$5=1,INDEX('Live History'!$A$5:$A$3004,AH!$U$7+2881),INDEX('AH History'!$A$5:$A$1380,AH!$U$7+2881))),""))</f>
        <v/>
      </c>
      <c r="B2886" s="33">
        <f>IFERROR(IF(AH!$U$11=1,NA(),$J2886/$E2886-1),NA())</f>
        <v/>
      </c>
      <c r="C2886" s="269">
        <f>IFERROR(100*$E2886/$E$5,NA())</f>
        <v/>
      </c>
      <c r="D2886" s="269">
        <f>IFERROR(100*$J2886/$J$5,NA())</f>
        <v/>
      </c>
      <c r="E2886" s="32">
        <f>IFERROR(IF(AND(ISNUMBER($A2886),N(IF(AND(AH!$U$12=1,2881+1=AH!$U$6),IF(AH!$U$4=0,"unavailable",INDEX('Market Data'!$AN$5:$AN$66,AH!$U$4)),IF(AH!$U$5=1,INDEX('Live History'!$B$5:$B$3004,$K2886),INDEX('AH History'!$D$5:$GG$1380,$K2886,AH!$U$10))))&gt;0),IF(AND(AH!$U$12=1,2881+1=AH!$U$6),IF(AH!$U$4=0,"unavailable",INDEX('Market Data'!$AN$5:$AN$66,AH!$U$4)),IF(AH!$U$5=1,INDEX('Live History'!$B$5:$B$3004,$K2886),INDEX('AH History'!$D$5:$GG$1380,$K2886,AH!$U$10))),NA()),NA())</f>
        <v/>
      </c>
      <c r="F2886" s="32">
        <f>IFERROR(IF(ISNUMBER($A2886),IF(AND(AH!$U$12=1,2881+1=AH!$U$6),IF(AH!$U$4=0,"unavailable",INDEX('Market Data'!$AO$5:$AO$66,AH!$U$4)),IF(AH!$U$5=1,INDEX('Live History'!$E$5:$E$3004,MATCH($A2886,'Live History'!$D$5:$D$3004,1)),INDEX('AH History'!$D$5:$GG$1380,$K2886,AH!$U$10+1))),NA()),NA())</f>
        <v/>
      </c>
      <c r="G2886" s="34">
        <f>IFERROR(IF(ISNUMBER($A2886),IF(AND(AH!$U$12=1,2881+1=AH!$U$6),IF(AH!$U$4=0,"unavailable",INDEX('Market Data'!$AK$5:$AK$66,AH!$U$4)),IF(AH!$U$5=1,INDEX('Live History'!$D$5:$D$3004,MATCH($A2886,'Live History'!$D$5:$D$3004,1)),INDEX('AH History'!$D$5:$GG$1380,$K2886,AH!$U$10+2))),NA()),NA())</f>
        <v/>
      </c>
      <c r="H2886" s="266">
        <f>IFERROR(IF(ISNUMBER($A2886),IF(AND(AH!$U$12=1,2881+1=AH!$U$6),IF(AH!$U$4=0,"unavailable",INDEX('Market Data'!$AP$5:$AP$66,AH!$U$4)),IF(AH!$U$5=1,INDEX('Live History'!$H$5:$H$3004,MATCH($A2886,'Live History'!$G$5:$G$3004,1)),INDEX('AH History'!$B$5:$B$1380,$K2886))),NA()),NA())</f>
        <v/>
      </c>
      <c r="I2886" s="34">
        <f>IFERROR(IF(ISNUMBER($A2886),IF(AND(AH!$U$12=1,2881+1=AH!$U$6),TODAY(),IF(AH!$U$5=1,INDEX('Live History'!$G$5:$G$3004,MATCH($A2886,'Live History'!$G$5:$G$3004,1)),INDEX('AH History'!$C$5:$C$1380,$K2886))),NA()),NA())</f>
        <v/>
      </c>
      <c r="J2886" s="32">
        <f>IFERROR(IF(AND($F2886&gt;0,$H2886&gt;0,$A2886-$G2886&lt;=10,$A2886-$I2886&lt;=5,$G2886&gt;0,$I2886&gt;0),$F2886*$H2886,NA()),NA())</f>
        <v/>
      </c>
      <c r="K2886" s="15">
        <f>IF($A2886="","",IF(AH!$U$5=1,IFERROR(MATCH($A2886,'Live History'!$A$5:$A$3004,0),0),AH!$U$7+2881))</f>
        <v/>
      </c>
      <c r="L2886" s="15">
        <f>IF(ISNUMBER(A2886),TEXT(A2886,"dd-mmm-yy"),"")</f>
        <v/>
      </c>
    </row>
    <row r="2887">
      <c r="A2887" s="14">
        <f>IF(OR(AH!$U$4=0,2882+1&gt;AH!$U$6,AND(AH!$M$5="Bloomberg",AH!$U$5=0)),"",IFERROR(IF(AND(AH!$U$12=1,2882+1=AH!$U$6),TODAY(),IF(AH!$U$5=1,INDEX('Live History'!$A$5:$A$3004,AH!$U$7+2882),INDEX('AH History'!$A$5:$A$1380,AH!$U$7+2882))),""))</f>
        <v/>
      </c>
      <c r="B2887" s="33">
        <f>IFERROR(IF(AH!$U$11=1,NA(),$J2887/$E2887-1),NA())</f>
        <v/>
      </c>
      <c r="C2887" s="269">
        <f>IFERROR(100*$E2887/$E$5,NA())</f>
        <v/>
      </c>
      <c r="D2887" s="269">
        <f>IFERROR(100*$J2887/$J$5,NA())</f>
        <v/>
      </c>
      <c r="E2887" s="32">
        <f>IFERROR(IF(AND(ISNUMBER($A2887),N(IF(AND(AH!$U$12=1,2882+1=AH!$U$6),IF(AH!$U$4=0,"unavailable",INDEX('Market Data'!$AN$5:$AN$66,AH!$U$4)),IF(AH!$U$5=1,INDEX('Live History'!$B$5:$B$3004,$K2887),INDEX('AH History'!$D$5:$GG$1380,$K2887,AH!$U$10))))&gt;0),IF(AND(AH!$U$12=1,2882+1=AH!$U$6),IF(AH!$U$4=0,"unavailable",INDEX('Market Data'!$AN$5:$AN$66,AH!$U$4)),IF(AH!$U$5=1,INDEX('Live History'!$B$5:$B$3004,$K2887),INDEX('AH History'!$D$5:$GG$1380,$K2887,AH!$U$10))),NA()),NA())</f>
        <v/>
      </c>
      <c r="F2887" s="32">
        <f>IFERROR(IF(ISNUMBER($A2887),IF(AND(AH!$U$12=1,2882+1=AH!$U$6),IF(AH!$U$4=0,"unavailable",INDEX('Market Data'!$AO$5:$AO$66,AH!$U$4)),IF(AH!$U$5=1,INDEX('Live History'!$E$5:$E$3004,MATCH($A2887,'Live History'!$D$5:$D$3004,1)),INDEX('AH History'!$D$5:$GG$1380,$K2887,AH!$U$10+1))),NA()),NA())</f>
        <v/>
      </c>
      <c r="G2887" s="34">
        <f>IFERROR(IF(ISNUMBER($A2887),IF(AND(AH!$U$12=1,2882+1=AH!$U$6),IF(AH!$U$4=0,"unavailable",INDEX('Market Data'!$AK$5:$AK$66,AH!$U$4)),IF(AH!$U$5=1,INDEX('Live History'!$D$5:$D$3004,MATCH($A2887,'Live History'!$D$5:$D$3004,1)),INDEX('AH History'!$D$5:$GG$1380,$K2887,AH!$U$10+2))),NA()),NA())</f>
        <v/>
      </c>
      <c r="H2887" s="266">
        <f>IFERROR(IF(ISNUMBER($A2887),IF(AND(AH!$U$12=1,2882+1=AH!$U$6),IF(AH!$U$4=0,"unavailable",INDEX('Market Data'!$AP$5:$AP$66,AH!$U$4)),IF(AH!$U$5=1,INDEX('Live History'!$H$5:$H$3004,MATCH($A2887,'Live History'!$G$5:$G$3004,1)),INDEX('AH History'!$B$5:$B$1380,$K2887))),NA()),NA())</f>
        <v/>
      </c>
      <c r="I2887" s="34">
        <f>IFERROR(IF(ISNUMBER($A2887),IF(AND(AH!$U$12=1,2882+1=AH!$U$6),TODAY(),IF(AH!$U$5=1,INDEX('Live History'!$G$5:$G$3004,MATCH($A2887,'Live History'!$G$5:$G$3004,1)),INDEX('AH History'!$C$5:$C$1380,$K2887))),NA()),NA())</f>
        <v/>
      </c>
      <c r="J2887" s="32">
        <f>IFERROR(IF(AND($F2887&gt;0,$H2887&gt;0,$A2887-$G2887&lt;=10,$A2887-$I2887&lt;=5,$G2887&gt;0,$I2887&gt;0),$F2887*$H2887,NA()),NA())</f>
        <v/>
      </c>
      <c r="K2887" s="15">
        <f>IF($A2887="","",IF(AH!$U$5=1,IFERROR(MATCH($A2887,'Live History'!$A$5:$A$3004,0),0),AH!$U$7+2882))</f>
        <v/>
      </c>
      <c r="L2887" s="15">
        <f>IF(ISNUMBER(A2887),TEXT(A2887,"dd-mmm-yy"),"")</f>
        <v/>
      </c>
    </row>
    <row r="2888">
      <c r="A2888" s="14">
        <f>IF(OR(AH!$U$4=0,2883+1&gt;AH!$U$6,AND(AH!$M$5="Bloomberg",AH!$U$5=0)),"",IFERROR(IF(AND(AH!$U$12=1,2883+1=AH!$U$6),TODAY(),IF(AH!$U$5=1,INDEX('Live History'!$A$5:$A$3004,AH!$U$7+2883),INDEX('AH History'!$A$5:$A$1380,AH!$U$7+2883))),""))</f>
        <v/>
      </c>
      <c r="B2888" s="33">
        <f>IFERROR(IF(AH!$U$11=1,NA(),$J2888/$E2888-1),NA())</f>
        <v/>
      </c>
      <c r="C2888" s="269">
        <f>IFERROR(100*$E2888/$E$5,NA())</f>
        <v/>
      </c>
      <c r="D2888" s="269">
        <f>IFERROR(100*$J2888/$J$5,NA())</f>
        <v/>
      </c>
      <c r="E2888" s="32">
        <f>IFERROR(IF(AND(ISNUMBER($A2888),N(IF(AND(AH!$U$12=1,2883+1=AH!$U$6),IF(AH!$U$4=0,"unavailable",INDEX('Market Data'!$AN$5:$AN$66,AH!$U$4)),IF(AH!$U$5=1,INDEX('Live History'!$B$5:$B$3004,$K2888),INDEX('AH History'!$D$5:$GG$1380,$K2888,AH!$U$10))))&gt;0),IF(AND(AH!$U$12=1,2883+1=AH!$U$6),IF(AH!$U$4=0,"unavailable",INDEX('Market Data'!$AN$5:$AN$66,AH!$U$4)),IF(AH!$U$5=1,INDEX('Live History'!$B$5:$B$3004,$K2888),INDEX('AH History'!$D$5:$GG$1380,$K2888,AH!$U$10))),NA()),NA())</f>
        <v/>
      </c>
      <c r="F2888" s="32">
        <f>IFERROR(IF(ISNUMBER($A2888),IF(AND(AH!$U$12=1,2883+1=AH!$U$6),IF(AH!$U$4=0,"unavailable",INDEX('Market Data'!$AO$5:$AO$66,AH!$U$4)),IF(AH!$U$5=1,INDEX('Live History'!$E$5:$E$3004,MATCH($A2888,'Live History'!$D$5:$D$3004,1)),INDEX('AH History'!$D$5:$GG$1380,$K2888,AH!$U$10+1))),NA()),NA())</f>
        <v/>
      </c>
      <c r="G2888" s="34">
        <f>IFERROR(IF(ISNUMBER($A2888),IF(AND(AH!$U$12=1,2883+1=AH!$U$6),IF(AH!$U$4=0,"unavailable",INDEX('Market Data'!$AK$5:$AK$66,AH!$U$4)),IF(AH!$U$5=1,INDEX('Live History'!$D$5:$D$3004,MATCH($A2888,'Live History'!$D$5:$D$3004,1)),INDEX('AH History'!$D$5:$GG$1380,$K2888,AH!$U$10+2))),NA()),NA())</f>
        <v/>
      </c>
      <c r="H2888" s="266">
        <f>IFERROR(IF(ISNUMBER($A2888),IF(AND(AH!$U$12=1,2883+1=AH!$U$6),IF(AH!$U$4=0,"unavailable",INDEX('Market Data'!$AP$5:$AP$66,AH!$U$4)),IF(AH!$U$5=1,INDEX('Live History'!$H$5:$H$3004,MATCH($A2888,'Live History'!$G$5:$G$3004,1)),INDEX('AH History'!$B$5:$B$1380,$K2888))),NA()),NA())</f>
        <v/>
      </c>
      <c r="I2888" s="34">
        <f>IFERROR(IF(ISNUMBER($A2888),IF(AND(AH!$U$12=1,2883+1=AH!$U$6),TODAY(),IF(AH!$U$5=1,INDEX('Live History'!$G$5:$G$3004,MATCH($A2888,'Live History'!$G$5:$G$3004,1)),INDEX('AH History'!$C$5:$C$1380,$K2888))),NA()),NA())</f>
        <v/>
      </c>
      <c r="J2888" s="32">
        <f>IFERROR(IF(AND($F2888&gt;0,$H2888&gt;0,$A2888-$G2888&lt;=10,$A2888-$I2888&lt;=5,$G2888&gt;0,$I2888&gt;0),$F2888*$H2888,NA()),NA())</f>
        <v/>
      </c>
      <c r="K2888" s="15">
        <f>IF($A2888="","",IF(AH!$U$5=1,IFERROR(MATCH($A2888,'Live History'!$A$5:$A$3004,0),0),AH!$U$7+2883))</f>
        <v/>
      </c>
      <c r="L2888" s="15">
        <f>IF(ISNUMBER(A2888),TEXT(A2888,"dd-mmm-yy"),"")</f>
        <v/>
      </c>
    </row>
    <row r="2889">
      <c r="A2889" s="14">
        <f>IF(OR(AH!$U$4=0,2884+1&gt;AH!$U$6,AND(AH!$M$5="Bloomberg",AH!$U$5=0)),"",IFERROR(IF(AND(AH!$U$12=1,2884+1=AH!$U$6),TODAY(),IF(AH!$U$5=1,INDEX('Live History'!$A$5:$A$3004,AH!$U$7+2884),INDEX('AH History'!$A$5:$A$1380,AH!$U$7+2884))),""))</f>
        <v/>
      </c>
      <c r="B2889" s="33">
        <f>IFERROR(IF(AH!$U$11=1,NA(),$J2889/$E2889-1),NA())</f>
        <v/>
      </c>
      <c r="C2889" s="269">
        <f>IFERROR(100*$E2889/$E$5,NA())</f>
        <v/>
      </c>
      <c r="D2889" s="269">
        <f>IFERROR(100*$J2889/$J$5,NA())</f>
        <v/>
      </c>
      <c r="E2889" s="32">
        <f>IFERROR(IF(AND(ISNUMBER($A2889),N(IF(AND(AH!$U$12=1,2884+1=AH!$U$6),IF(AH!$U$4=0,"unavailable",INDEX('Market Data'!$AN$5:$AN$66,AH!$U$4)),IF(AH!$U$5=1,INDEX('Live History'!$B$5:$B$3004,$K2889),INDEX('AH History'!$D$5:$GG$1380,$K2889,AH!$U$10))))&gt;0),IF(AND(AH!$U$12=1,2884+1=AH!$U$6),IF(AH!$U$4=0,"unavailable",INDEX('Market Data'!$AN$5:$AN$66,AH!$U$4)),IF(AH!$U$5=1,INDEX('Live History'!$B$5:$B$3004,$K2889),INDEX('AH History'!$D$5:$GG$1380,$K2889,AH!$U$10))),NA()),NA())</f>
        <v/>
      </c>
      <c r="F2889" s="32">
        <f>IFERROR(IF(ISNUMBER($A2889),IF(AND(AH!$U$12=1,2884+1=AH!$U$6),IF(AH!$U$4=0,"unavailable",INDEX('Market Data'!$AO$5:$AO$66,AH!$U$4)),IF(AH!$U$5=1,INDEX('Live History'!$E$5:$E$3004,MATCH($A2889,'Live History'!$D$5:$D$3004,1)),INDEX('AH History'!$D$5:$GG$1380,$K2889,AH!$U$10+1))),NA()),NA())</f>
        <v/>
      </c>
      <c r="G2889" s="34">
        <f>IFERROR(IF(ISNUMBER($A2889),IF(AND(AH!$U$12=1,2884+1=AH!$U$6),IF(AH!$U$4=0,"unavailable",INDEX('Market Data'!$AK$5:$AK$66,AH!$U$4)),IF(AH!$U$5=1,INDEX('Live History'!$D$5:$D$3004,MATCH($A2889,'Live History'!$D$5:$D$3004,1)),INDEX('AH History'!$D$5:$GG$1380,$K2889,AH!$U$10+2))),NA()),NA())</f>
        <v/>
      </c>
      <c r="H2889" s="266">
        <f>IFERROR(IF(ISNUMBER($A2889),IF(AND(AH!$U$12=1,2884+1=AH!$U$6),IF(AH!$U$4=0,"unavailable",INDEX('Market Data'!$AP$5:$AP$66,AH!$U$4)),IF(AH!$U$5=1,INDEX('Live History'!$H$5:$H$3004,MATCH($A2889,'Live History'!$G$5:$G$3004,1)),INDEX('AH History'!$B$5:$B$1380,$K2889))),NA()),NA())</f>
        <v/>
      </c>
      <c r="I2889" s="34">
        <f>IFERROR(IF(ISNUMBER($A2889),IF(AND(AH!$U$12=1,2884+1=AH!$U$6),TODAY(),IF(AH!$U$5=1,INDEX('Live History'!$G$5:$G$3004,MATCH($A2889,'Live History'!$G$5:$G$3004,1)),INDEX('AH History'!$C$5:$C$1380,$K2889))),NA()),NA())</f>
        <v/>
      </c>
      <c r="J2889" s="32">
        <f>IFERROR(IF(AND($F2889&gt;0,$H2889&gt;0,$A2889-$G2889&lt;=10,$A2889-$I2889&lt;=5,$G2889&gt;0,$I2889&gt;0),$F2889*$H2889,NA()),NA())</f>
        <v/>
      </c>
      <c r="K2889" s="15">
        <f>IF($A2889="","",IF(AH!$U$5=1,IFERROR(MATCH($A2889,'Live History'!$A$5:$A$3004,0),0),AH!$U$7+2884))</f>
        <v/>
      </c>
      <c r="L2889" s="15">
        <f>IF(ISNUMBER(A2889),TEXT(A2889,"dd-mmm-yy"),"")</f>
        <v/>
      </c>
    </row>
    <row r="2890">
      <c r="A2890" s="14">
        <f>IF(OR(AH!$U$4=0,2885+1&gt;AH!$U$6,AND(AH!$M$5="Bloomberg",AH!$U$5=0)),"",IFERROR(IF(AND(AH!$U$12=1,2885+1=AH!$U$6),TODAY(),IF(AH!$U$5=1,INDEX('Live History'!$A$5:$A$3004,AH!$U$7+2885),INDEX('AH History'!$A$5:$A$1380,AH!$U$7+2885))),""))</f>
        <v/>
      </c>
      <c r="B2890" s="33">
        <f>IFERROR(IF(AH!$U$11=1,NA(),$J2890/$E2890-1),NA())</f>
        <v/>
      </c>
      <c r="C2890" s="269">
        <f>IFERROR(100*$E2890/$E$5,NA())</f>
        <v/>
      </c>
      <c r="D2890" s="269">
        <f>IFERROR(100*$J2890/$J$5,NA())</f>
        <v/>
      </c>
      <c r="E2890" s="32">
        <f>IFERROR(IF(AND(ISNUMBER($A2890),N(IF(AND(AH!$U$12=1,2885+1=AH!$U$6),IF(AH!$U$4=0,"unavailable",INDEX('Market Data'!$AN$5:$AN$66,AH!$U$4)),IF(AH!$U$5=1,INDEX('Live History'!$B$5:$B$3004,$K2890),INDEX('AH History'!$D$5:$GG$1380,$K2890,AH!$U$10))))&gt;0),IF(AND(AH!$U$12=1,2885+1=AH!$U$6),IF(AH!$U$4=0,"unavailable",INDEX('Market Data'!$AN$5:$AN$66,AH!$U$4)),IF(AH!$U$5=1,INDEX('Live History'!$B$5:$B$3004,$K2890),INDEX('AH History'!$D$5:$GG$1380,$K2890,AH!$U$10))),NA()),NA())</f>
        <v/>
      </c>
      <c r="F2890" s="32">
        <f>IFERROR(IF(ISNUMBER($A2890),IF(AND(AH!$U$12=1,2885+1=AH!$U$6),IF(AH!$U$4=0,"unavailable",INDEX('Market Data'!$AO$5:$AO$66,AH!$U$4)),IF(AH!$U$5=1,INDEX('Live History'!$E$5:$E$3004,MATCH($A2890,'Live History'!$D$5:$D$3004,1)),INDEX('AH History'!$D$5:$GG$1380,$K2890,AH!$U$10+1))),NA()),NA())</f>
        <v/>
      </c>
      <c r="G2890" s="34">
        <f>IFERROR(IF(ISNUMBER($A2890),IF(AND(AH!$U$12=1,2885+1=AH!$U$6),IF(AH!$U$4=0,"unavailable",INDEX('Market Data'!$AK$5:$AK$66,AH!$U$4)),IF(AH!$U$5=1,INDEX('Live History'!$D$5:$D$3004,MATCH($A2890,'Live History'!$D$5:$D$3004,1)),INDEX('AH History'!$D$5:$GG$1380,$K2890,AH!$U$10+2))),NA()),NA())</f>
        <v/>
      </c>
      <c r="H2890" s="266">
        <f>IFERROR(IF(ISNUMBER($A2890),IF(AND(AH!$U$12=1,2885+1=AH!$U$6),IF(AH!$U$4=0,"unavailable",INDEX('Market Data'!$AP$5:$AP$66,AH!$U$4)),IF(AH!$U$5=1,INDEX('Live History'!$H$5:$H$3004,MATCH($A2890,'Live History'!$G$5:$G$3004,1)),INDEX('AH History'!$B$5:$B$1380,$K2890))),NA()),NA())</f>
        <v/>
      </c>
      <c r="I2890" s="34">
        <f>IFERROR(IF(ISNUMBER($A2890),IF(AND(AH!$U$12=1,2885+1=AH!$U$6),TODAY(),IF(AH!$U$5=1,INDEX('Live History'!$G$5:$G$3004,MATCH($A2890,'Live History'!$G$5:$G$3004,1)),INDEX('AH History'!$C$5:$C$1380,$K2890))),NA()),NA())</f>
        <v/>
      </c>
      <c r="J2890" s="32">
        <f>IFERROR(IF(AND($F2890&gt;0,$H2890&gt;0,$A2890-$G2890&lt;=10,$A2890-$I2890&lt;=5,$G2890&gt;0,$I2890&gt;0),$F2890*$H2890,NA()),NA())</f>
        <v/>
      </c>
      <c r="K2890" s="15">
        <f>IF($A2890="","",IF(AH!$U$5=1,IFERROR(MATCH($A2890,'Live History'!$A$5:$A$3004,0),0),AH!$U$7+2885))</f>
        <v/>
      </c>
      <c r="L2890" s="15">
        <f>IF(ISNUMBER(A2890),TEXT(A2890,"dd-mmm-yy"),"")</f>
        <v/>
      </c>
    </row>
    <row r="2891">
      <c r="A2891" s="14">
        <f>IF(OR(AH!$U$4=0,2886+1&gt;AH!$U$6,AND(AH!$M$5="Bloomberg",AH!$U$5=0)),"",IFERROR(IF(AND(AH!$U$12=1,2886+1=AH!$U$6),TODAY(),IF(AH!$U$5=1,INDEX('Live History'!$A$5:$A$3004,AH!$U$7+2886),INDEX('AH History'!$A$5:$A$1380,AH!$U$7+2886))),""))</f>
        <v/>
      </c>
      <c r="B2891" s="33">
        <f>IFERROR(IF(AH!$U$11=1,NA(),$J2891/$E2891-1),NA())</f>
        <v/>
      </c>
      <c r="C2891" s="269">
        <f>IFERROR(100*$E2891/$E$5,NA())</f>
        <v/>
      </c>
      <c r="D2891" s="269">
        <f>IFERROR(100*$J2891/$J$5,NA())</f>
        <v/>
      </c>
      <c r="E2891" s="32">
        <f>IFERROR(IF(AND(ISNUMBER($A2891),N(IF(AND(AH!$U$12=1,2886+1=AH!$U$6),IF(AH!$U$4=0,"unavailable",INDEX('Market Data'!$AN$5:$AN$66,AH!$U$4)),IF(AH!$U$5=1,INDEX('Live History'!$B$5:$B$3004,$K2891),INDEX('AH History'!$D$5:$GG$1380,$K2891,AH!$U$10))))&gt;0),IF(AND(AH!$U$12=1,2886+1=AH!$U$6),IF(AH!$U$4=0,"unavailable",INDEX('Market Data'!$AN$5:$AN$66,AH!$U$4)),IF(AH!$U$5=1,INDEX('Live History'!$B$5:$B$3004,$K2891),INDEX('AH History'!$D$5:$GG$1380,$K2891,AH!$U$10))),NA()),NA())</f>
        <v/>
      </c>
      <c r="F2891" s="32">
        <f>IFERROR(IF(ISNUMBER($A2891),IF(AND(AH!$U$12=1,2886+1=AH!$U$6),IF(AH!$U$4=0,"unavailable",INDEX('Market Data'!$AO$5:$AO$66,AH!$U$4)),IF(AH!$U$5=1,INDEX('Live History'!$E$5:$E$3004,MATCH($A2891,'Live History'!$D$5:$D$3004,1)),INDEX('AH History'!$D$5:$GG$1380,$K2891,AH!$U$10+1))),NA()),NA())</f>
        <v/>
      </c>
      <c r="G2891" s="34">
        <f>IFERROR(IF(ISNUMBER($A2891),IF(AND(AH!$U$12=1,2886+1=AH!$U$6),IF(AH!$U$4=0,"unavailable",INDEX('Market Data'!$AK$5:$AK$66,AH!$U$4)),IF(AH!$U$5=1,INDEX('Live History'!$D$5:$D$3004,MATCH($A2891,'Live History'!$D$5:$D$3004,1)),INDEX('AH History'!$D$5:$GG$1380,$K2891,AH!$U$10+2))),NA()),NA())</f>
        <v/>
      </c>
      <c r="H2891" s="266">
        <f>IFERROR(IF(ISNUMBER($A2891),IF(AND(AH!$U$12=1,2886+1=AH!$U$6),IF(AH!$U$4=0,"unavailable",INDEX('Market Data'!$AP$5:$AP$66,AH!$U$4)),IF(AH!$U$5=1,INDEX('Live History'!$H$5:$H$3004,MATCH($A2891,'Live History'!$G$5:$G$3004,1)),INDEX('AH History'!$B$5:$B$1380,$K2891))),NA()),NA())</f>
        <v/>
      </c>
      <c r="I2891" s="34">
        <f>IFERROR(IF(ISNUMBER($A2891),IF(AND(AH!$U$12=1,2886+1=AH!$U$6),TODAY(),IF(AH!$U$5=1,INDEX('Live History'!$G$5:$G$3004,MATCH($A2891,'Live History'!$G$5:$G$3004,1)),INDEX('AH History'!$C$5:$C$1380,$K2891))),NA()),NA())</f>
        <v/>
      </c>
      <c r="J2891" s="32">
        <f>IFERROR(IF(AND($F2891&gt;0,$H2891&gt;0,$A2891-$G2891&lt;=10,$A2891-$I2891&lt;=5,$G2891&gt;0,$I2891&gt;0),$F2891*$H2891,NA()),NA())</f>
        <v/>
      </c>
      <c r="K2891" s="15">
        <f>IF($A2891="","",IF(AH!$U$5=1,IFERROR(MATCH($A2891,'Live History'!$A$5:$A$3004,0),0),AH!$U$7+2886))</f>
        <v/>
      </c>
      <c r="L2891" s="15">
        <f>IF(ISNUMBER(A2891),TEXT(A2891,"dd-mmm-yy"),"")</f>
        <v/>
      </c>
    </row>
    <row r="2892">
      <c r="A2892" s="14">
        <f>IF(OR(AH!$U$4=0,2887+1&gt;AH!$U$6,AND(AH!$M$5="Bloomberg",AH!$U$5=0)),"",IFERROR(IF(AND(AH!$U$12=1,2887+1=AH!$U$6),TODAY(),IF(AH!$U$5=1,INDEX('Live History'!$A$5:$A$3004,AH!$U$7+2887),INDEX('AH History'!$A$5:$A$1380,AH!$U$7+2887))),""))</f>
        <v/>
      </c>
      <c r="B2892" s="33">
        <f>IFERROR(IF(AH!$U$11=1,NA(),$J2892/$E2892-1),NA())</f>
        <v/>
      </c>
      <c r="C2892" s="269">
        <f>IFERROR(100*$E2892/$E$5,NA())</f>
        <v/>
      </c>
      <c r="D2892" s="269">
        <f>IFERROR(100*$J2892/$J$5,NA())</f>
        <v/>
      </c>
      <c r="E2892" s="32">
        <f>IFERROR(IF(AND(ISNUMBER($A2892),N(IF(AND(AH!$U$12=1,2887+1=AH!$U$6),IF(AH!$U$4=0,"unavailable",INDEX('Market Data'!$AN$5:$AN$66,AH!$U$4)),IF(AH!$U$5=1,INDEX('Live History'!$B$5:$B$3004,$K2892),INDEX('AH History'!$D$5:$GG$1380,$K2892,AH!$U$10))))&gt;0),IF(AND(AH!$U$12=1,2887+1=AH!$U$6),IF(AH!$U$4=0,"unavailable",INDEX('Market Data'!$AN$5:$AN$66,AH!$U$4)),IF(AH!$U$5=1,INDEX('Live History'!$B$5:$B$3004,$K2892),INDEX('AH History'!$D$5:$GG$1380,$K2892,AH!$U$10))),NA()),NA())</f>
        <v/>
      </c>
      <c r="F2892" s="32">
        <f>IFERROR(IF(ISNUMBER($A2892),IF(AND(AH!$U$12=1,2887+1=AH!$U$6),IF(AH!$U$4=0,"unavailable",INDEX('Market Data'!$AO$5:$AO$66,AH!$U$4)),IF(AH!$U$5=1,INDEX('Live History'!$E$5:$E$3004,MATCH($A2892,'Live History'!$D$5:$D$3004,1)),INDEX('AH History'!$D$5:$GG$1380,$K2892,AH!$U$10+1))),NA()),NA())</f>
        <v/>
      </c>
      <c r="G2892" s="34">
        <f>IFERROR(IF(ISNUMBER($A2892),IF(AND(AH!$U$12=1,2887+1=AH!$U$6),IF(AH!$U$4=0,"unavailable",INDEX('Market Data'!$AK$5:$AK$66,AH!$U$4)),IF(AH!$U$5=1,INDEX('Live History'!$D$5:$D$3004,MATCH($A2892,'Live History'!$D$5:$D$3004,1)),INDEX('AH History'!$D$5:$GG$1380,$K2892,AH!$U$10+2))),NA()),NA())</f>
        <v/>
      </c>
      <c r="H2892" s="266">
        <f>IFERROR(IF(ISNUMBER($A2892),IF(AND(AH!$U$12=1,2887+1=AH!$U$6),IF(AH!$U$4=0,"unavailable",INDEX('Market Data'!$AP$5:$AP$66,AH!$U$4)),IF(AH!$U$5=1,INDEX('Live History'!$H$5:$H$3004,MATCH($A2892,'Live History'!$G$5:$G$3004,1)),INDEX('AH History'!$B$5:$B$1380,$K2892))),NA()),NA())</f>
        <v/>
      </c>
      <c r="I2892" s="34">
        <f>IFERROR(IF(ISNUMBER($A2892),IF(AND(AH!$U$12=1,2887+1=AH!$U$6),TODAY(),IF(AH!$U$5=1,INDEX('Live History'!$G$5:$G$3004,MATCH($A2892,'Live History'!$G$5:$G$3004,1)),INDEX('AH History'!$C$5:$C$1380,$K2892))),NA()),NA())</f>
        <v/>
      </c>
      <c r="J2892" s="32">
        <f>IFERROR(IF(AND($F2892&gt;0,$H2892&gt;0,$A2892-$G2892&lt;=10,$A2892-$I2892&lt;=5,$G2892&gt;0,$I2892&gt;0),$F2892*$H2892,NA()),NA())</f>
        <v/>
      </c>
      <c r="K2892" s="15">
        <f>IF($A2892="","",IF(AH!$U$5=1,IFERROR(MATCH($A2892,'Live History'!$A$5:$A$3004,0),0),AH!$U$7+2887))</f>
        <v/>
      </c>
      <c r="L2892" s="15">
        <f>IF(ISNUMBER(A2892),TEXT(A2892,"dd-mmm-yy"),"")</f>
        <v/>
      </c>
    </row>
    <row r="2893">
      <c r="A2893" s="14">
        <f>IF(OR(AH!$U$4=0,2888+1&gt;AH!$U$6,AND(AH!$M$5="Bloomberg",AH!$U$5=0)),"",IFERROR(IF(AND(AH!$U$12=1,2888+1=AH!$U$6),TODAY(),IF(AH!$U$5=1,INDEX('Live History'!$A$5:$A$3004,AH!$U$7+2888),INDEX('AH History'!$A$5:$A$1380,AH!$U$7+2888))),""))</f>
        <v/>
      </c>
      <c r="B2893" s="33">
        <f>IFERROR(IF(AH!$U$11=1,NA(),$J2893/$E2893-1),NA())</f>
        <v/>
      </c>
      <c r="C2893" s="269">
        <f>IFERROR(100*$E2893/$E$5,NA())</f>
        <v/>
      </c>
      <c r="D2893" s="269">
        <f>IFERROR(100*$J2893/$J$5,NA())</f>
        <v/>
      </c>
      <c r="E2893" s="32">
        <f>IFERROR(IF(AND(ISNUMBER($A2893),N(IF(AND(AH!$U$12=1,2888+1=AH!$U$6),IF(AH!$U$4=0,"unavailable",INDEX('Market Data'!$AN$5:$AN$66,AH!$U$4)),IF(AH!$U$5=1,INDEX('Live History'!$B$5:$B$3004,$K2893),INDEX('AH History'!$D$5:$GG$1380,$K2893,AH!$U$10))))&gt;0),IF(AND(AH!$U$12=1,2888+1=AH!$U$6),IF(AH!$U$4=0,"unavailable",INDEX('Market Data'!$AN$5:$AN$66,AH!$U$4)),IF(AH!$U$5=1,INDEX('Live History'!$B$5:$B$3004,$K2893),INDEX('AH History'!$D$5:$GG$1380,$K2893,AH!$U$10))),NA()),NA())</f>
        <v/>
      </c>
      <c r="F2893" s="32">
        <f>IFERROR(IF(ISNUMBER($A2893),IF(AND(AH!$U$12=1,2888+1=AH!$U$6),IF(AH!$U$4=0,"unavailable",INDEX('Market Data'!$AO$5:$AO$66,AH!$U$4)),IF(AH!$U$5=1,INDEX('Live History'!$E$5:$E$3004,MATCH($A2893,'Live History'!$D$5:$D$3004,1)),INDEX('AH History'!$D$5:$GG$1380,$K2893,AH!$U$10+1))),NA()),NA())</f>
        <v/>
      </c>
      <c r="G2893" s="34">
        <f>IFERROR(IF(ISNUMBER($A2893),IF(AND(AH!$U$12=1,2888+1=AH!$U$6),IF(AH!$U$4=0,"unavailable",INDEX('Market Data'!$AK$5:$AK$66,AH!$U$4)),IF(AH!$U$5=1,INDEX('Live History'!$D$5:$D$3004,MATCH($A2893,'Live History'!$D$5:$D$3004,1)),INDEX('AH History'!$D$5:$GG$1380,$K2893,AH!$U$10+2))),NA()),NA())</f>
        <v/>
      </c>
      <c r="H2893" s="266">
        <f>IFERROR(IF(ISNUMBER($A2893),IF(AND(AH!$U$12=1,2888+1=AH!$U$6),IF(AH!$U$4=0,"unavailable",INDEX('Market Data'!$AP$5:$AP$66,AH!$U$4)),IF(AH!$U$5=1,INDEX('Live History'!$H$5:$H$3004,MATCH($A2893,'Live History'!$G$5:$G$3004,1)),INDEX('AH History'!$B$5:$B$1380,$K2893))),NA()),NA())</f>
        <v/>
      </c>
      <c r="I2893" s="34">
        <f>IFERROR(IF(ISNUMBER($A2893),IF(AND(AH!$U$12=1,2888+1=AH!$U$6),TODAY(),IF(AH!$U$5=1,INDEX('Live History'!$G$5:$G$3004,MATCH($A2893,'Live History'!$G$5:$G$3004,1)),INDEX('AH History'!$C$5:$C$1380,$K2893))),NA()),NA())</f>
        <v/>
      </c>
      <c r="J2893" s="32">
        <f>IFERROR(IF(AND($F2893&gt;0,$H2893&gt;0,$A2893-$G2893&lt;=10,$A2893-$I2893&lt;=5,$G2893&gt;0,$I2893&gt;0),$F2893*$H2893,NA()),NA())</f>
        <v/>
      </c>
      <c r="K2893" s="15">
        <f>IF($A2893="","",IF(AH!$U$5=1,IFERROR(MATCH($A2893,'Live History'!$A$5:$A$3004,0),0),AH!$U$7+2888))</f>
        <v/>
      </c>
      <c r="L2893" s="15">
        <f>IF(ISNUMBER(A2893),TEXT(A2893,"dd-mmm-yy"),"")</f>
        <v/>
      </c>
    </row>
    <row r="2894">
      <c r="A2894" s="14">
        <f>IF(OR(AH!$U$4=0,2889+1&gt;AH!$U$6,AND(AH!$M$5="Bloomberg",AH!$U$5=0)),"",IFERROR(IF(AND(AH!$U$12=1,2889+1=AH!$U$6),TODAY(),IF(AH!$U$5=1,INDEX('Live History'!$A$5:$A$3004,AH!$U$7+2889),INDEX('AH History'!$A$5:$A$1380,AH!$U$7+2889))),""))</f>
        <v/>
      </c>
      <c r="B2894" s="33">
        <f>IFERROR(IF(AH!$U$11=1,NA(),$J2894/$E2894-1),NA())</f>
        <v/>
      </c>
      <c r="C2894" s="269">
        <f>IFERROR(100*$E2894/$E$5,NA())</f>
        <v/>
      </c>
      <c r="D2894" s="269">
        <f>IFERROR(100*$J2894/$J$5,NA())</f>
        <v/>
      </c>
      <c r="E2894" s="32">
        <f>IFERROR(IF(AND(ISNUMBER($A2894),N(IF(AND(AH!$U$12=1,2889+1=AH!$U$6),IF(AH!$U$4=0,"unavailable",INDEX('Market Data'!$AN$5:$AN$66,AH!$U$4)),IF(AH!$U$5=1,INDEX('Live History'!$B$5:$B$3004,$K2894),INDEX('AH History'!$D$5:$GG$1380,$K2894,AH!$U$10))))&gt;0),IF(AND(AH!$U$12=1,2889+1=AH!$U$6),IF(AH!$U$4=0,"unavailable",INDEX('Market Data'!$AN$5:$AN$66,AH!$U$4)),IF(AH!$U$5=1,INDEX('Live History'!$B$5:$B$3004,$K2894),INDEX('AH History'!$D$5:$GG$1380,$K2894,AH!$U$10))),NA()),NA())</f>
        <v/>
      </c>
      <c r="F2894" s="32">
        <f>IFERROR(IF(ISNUMBER($A2894),IF(AND(AH!$U$12=1,2889+1=AH!$U$6),IF(AH!$U$4=0,"unavailable",INDEX('Market Data'!$AO$5:$AO$66,AH!$U$4)),IF(AH!$U$5=1,INDEX('Live History'!$E$5:$E$3004,MATCH($A2894,'Live History'!$D$5:$D$3004,1)),INDEX('AH History'!$D$5:$GG$1380,$K2894,AH!$U$10+1))),NA()),NA())</f>
        <v/>
      </c>
      <c r="G2894" s="34">
        <f>IFERROR(IF(ISNUMBER($A2894),IF(AND(AH!$U$12=1,2889+1=AH!$U$6),IF(AH!$U$4=0,"unavailable",INDEX('Market Data'!$AK$5:$AK$66,AH!$U$4)),IF(AH!$U$5=1,INDEX('Live History'!$D$5:$D$3004,MATCH($A2894,'Live History'!$D$5:$D$3004,1)),INDEX('AH History'!$D$5:$GG$1380,$K2894,AH!$U$10+2))),NA()),NA())</f>
        <v/>
      </c>
      <c r="H2894" s="266">
        <f>IFERROR(IF(ISNUMBER($A2894),IF(AND(AH!$U$12=1,2889+1=AH!$U$6),IF(AH!$U$4=0,"unavailable",INDEX('Market Data'!$AP$5:$AP$66,AH!$U$4)),IF(AH!$U$5=1,INDEX('Live History'!$H$5:$H$3004,MATCH($A2894,'Live History'!$G$5:$G$3004,1)),INDEX('AH History'!$B$5:$B$1380,$K2894))),NA()),NA())</f>
        <v/>
      </c>
      <c r="I2894" s="34">
        <f>IFERROR(IF(ISNUMBER($A2894),IF(AND(AH!$U$12=1,2889+1=AH!$U$6),TODAY(),IF(AH!$U$5=1,INDEX('Live History'!$G$5:$G$3004,MATCH($A2894,'Live History'!$G$5:$G$3004,1)),INDEX('AH History'!$C$5:$C$1380,$K2894))),NA()),NA())</f>
        <v/>
      </c>
      <c r="J2894" s="32">
        <f>IFERROR(IF(AND($F2894&gt;0,$H2894&gt;0,$A2894-$G2894&lt;=10,$A2894-$I2894&lt;=5,$G2894&gt;0,$I2894&gt;0),$F2894*$H2894,NA()),NA())</f>
        <v/>
      </c>
      <c r="K2894" s="15">
        <f>IF($A2894="","",IF(AH!$U$5=1,IFERROR(MATCH($A2894,'Live History'!$A$5:$A$3004,0),0),AH!$U$7+2889))</f>
        <v/>
      </c>
      <c r="L2894" s="15">
        <f>IF(ISNUMBER(A2894),TEXT(A2894,"dd-mmm-yy"),"")</f>
        <v/>
      </c>
    </row>
    <row r="2895">
      <c r="A2895" s="14">
        <f>IF(OR(AH!$U$4=0,2890+1&gt;AH!$U$6,AND(AH!$M$5="Bloomberg",AH!$U$5=0)),"",IFERROR(IF(AND(AH!$U$12=1,2890+1=AH!$U$6),TODAY(),IF(AH!$U$5=1,INDEX('Live History'!$A$5:$A$3004,AH!$U$7+2890),INDEX('AH History'!$A$5:$A$1380,AH!$U$7+2890))),""))</f>
        <v/>
      </c>
      <c r="B2895" s="33">
        <f>IFERROR(IF(AH!$U$11=1,NA(),$J2895/$E2895-1),NA())</f>
        <v/>
      </c>
      <c r="C2895" s="269">
        <f>IFERROR(100*$E2895/$E$5,NA())</f>
        <v/>
      </c>
      <c r="D2895" s="269">
        <f>IFERROR(100*$J2895/$J$5,NA())</f>
        <v/>
      </c>
      <c r="E2895" s="32">
        <f>IFERROR(IF(AND(ISNUMBER($A2895),N(IF(AND(AH!$U$12=1,2890+1=AH!$U$6),IF(AH!$U$4=0,"unavailable",INDEX('Market Data'!$AN$5:$AN$66,AH!$U$4)),IF(AH!$U$5=1,INDEX('Live History'!$B$5:$B$3004,$K2895),INDEX('AH History'!$D$5:$GG$1380,$K2895,AH!$U$10))))&gt;0),IF(AND(AH!$U$12=1,2890+1=AH!$U$6),IF(AH!$U$4=0,"unavailable",INDEX('Market Data'!$AN$5:$AN$66,AH!$U$4)),IF(AH!$U$5=1,INDEX('Live History'!$B$5:$B$3004,$K2895),INDEX('AH History'!$D$5:$GG$1380,$K2895,AH!$U$10))),NA()),NA())</f>
        <v/>
      </c>
      <c r="F2895" s="32">
        <f>IFERROR(IF(ISNUMBER($A2895),IF(AND(AH!$U$12=1,2890+1=AH!$U$6),IF(AH!$U$4=0,"unavailable",INDEX('Market Data'!$AO$5:$AO$66,AH!$U$4)),IF(AH!$U$5=1,INDEX('Live History'!$E$5:$E$3004,MATCH($A2895,'Live History'!$D$5:$D$3004,1)),INDEX('AH History'!$D$5:$GG$1380,$K2895,AH!$U$10+1))),NA()),NA())</f>
        <v/>
      </c>
      <c r="G2895" s="34">
        <f>IFERROR(IF(ISNUMBER($A2895),IF(AND(AH!$U$12=1,2890+1=AH!$U$6),IF(AH!$U$4=0,"unavailable",INDEX('Market Data'!$AK$5:$AK$66,AH!$U$4)),IF(AH!$U$5=1,INDEX('Live History'!$D$5:$D$3004,MATCH($A2895,'Live History'!$D$5:$D$3004,1)),INDEX('AH History'!$D$5:$GG$1380,$K2895,AH!$U$10+2))),NA()),NA())</f>
        <v/>
      </c>
      <c r="H2895" s="266">
        <f>IFERROR(IF(ISNUMBER($A2895),IF(AND(AH!$U$12=1,2890+1=AH!$U$6),IF(AH!$U$4=0,"unavailable",INDEX('Market Data'!$AP$5:$AP$66,AH!$U$4)),IF(AH!$U$5=1,INDEX('Live History'!$H$5:$H$3004,MATCH($A2895,'Live History'!$G$5:$G$3004,1)),INDEX('AH History'!$B$5:$B$1380,$K2895))),NA()),NA())</f>
        <v/>
      </c>
      <c r="I2895" s="34">
        <f>IFERROR(IF(ISNUMBER($A2895),IF(AND(AH!$U$12=1,2890+1=AH!$U$6),TODAY(),IF(AH!$U$5=1,INDEX('Live History'!$G$5:$G$3004,MATCH($A2895,'Live History'!$G$5:$G$3004,1)),INDEX('AH History'!$C$5:$C$1380,$K2895))),NA()),NA())</f>
        <v/>
      </c>
      <c r="J2895" s="32">
        <f>IFERROR(IF(AND($F2895&gt;0,$H2895&gt;0,$A2895-$G2895&lt;=10,$A2895-$I2895&lt;=5,$G2895&gt;0,$I2895&gt;0),$F2895*$H2895,NA()),NA())</f>
        <v/>
      </c>
      <c r="K2895" s="15">
        <f>IF($A2895="","",IF(AH!$U$5=1,IFERROR(MATCH($A2895,'Live History'!$A$5:$A$3004,0),0),AH!$U$7+2890))</f>
        <v/>
      </c>
      <c r="L2895" s="15">
        <f>IF(ISNUMBER(A2895),TEXT(A2895,"dd-mmm-yy"),"")</f>
        <v/>
      </c>
    </row>
    <row r="2896">
      <c r="A2896" s="14">
        <f>IF(OR(AH!$U$4=0,2891+1&gt;AH!$U$6,AND(AH!$M$5="Bloomberg",AH!$U$5=0)),"",IFERROR(IF(AND(AH!$U$12=1,2891+1=AH!$U$6),TODAY(),IF(AH!$U$5=1,INDEX('Live History'!$A$5:$A$3004,AH!$U$7+2891),INDEX('AH History'!$A$5:$A$1380,AH!$U$7+2891))),""))</f>
        <v/>
      </c>
      <c r="B2896" s="33">
        <f>IFERROR(IF(AH!$U$11=1,NA(),$J2896/$E2896-1),NA())</f>
        <v/>
      </c>
      <c r="C2896" s="269">
        <f>IFERROR(100*$E2896/$E$5,NA())</f>
        <v/>
      </c>
      <c r="D2896" s="269">
        <f>IFERROR(100*$J2896/$J$5,NA())</f>
        <v/>
      </c>
      <c r="E2896" s="32">
        <f>IFERROR(IF(AND(ISNUMBER($A2896),N(IF(AND(AH!$U$12=1,2891+1=AH!$U$6),IF(AH!$U$4=0,"unavailable",INDEX('Market Data'!$AN$5:$AN$66,AH!$U$4)),IF(AH!$U$5=1,INDEX('Live History'!$B$5:$B$3004,$K2896),INDEX('AH History'!$D$5:$GG$1380,$K2896,AH!$U$10))))&gt;0),IF(AND(AH!$U$12=1,2891+1=AH!$U$6),IF(AH!$U$4=0,"unavailable",INDEX('Market Data'!$AN$5:$AN$66,AH!$U$4)),IF(AH!$U$5=1,INDEX('Live History'!$B$5:$B$3004,$K2896),INDEX('AH History'!$D$5:$GG$1380,$K2896,AH!$U$10))),NA()),NA())</f>
        <v/>
      </c>
      <c r="F2896" s="32">
        <f>IFERROR(IF(ISNUMBER($A2896),IF(AND(AH!$U$12=1,2891+1=AH!$U$6),IF(AH!$U$4=0,"unavailable",INDEX('Market Data'!$AO$5:$AO$66,AH!$U$4)),IF(AH!$U$5=1,INDEX('Live History'!$E$5:$E$3004,MATCH($A2896,'Live History'!$D$5:$D$3004,1)),INDEX('AH History'!$D$5:$GG$1380,$K2896,AH!$U$10+1))),NA()),NA())</f>
        <v/>
      </c>
      <c r="G2896" s="34">
        <f>IFERROR(IF(ISNUMBER($A2896),IF(AND(AH!$U$12=1,2891+1=AH!$U$6),IF(AH!$U$4=0,"unavailable",INDEX('Market Data'!$AK$5:$AK$66,AH!$U$4)),IF(AH!$U$5=1,INDEX('Live History'!$D$5:$D$3004,MATCH($A2896,'Live History'!$D$5:$D$3004,1)),INDEX('AH History'!$D$5:$GG$1380,$K2896,AH!$U$10+2))),NA()),NA())</f>
        <v/>
      </c>
      <c r="H2896" s="266">
        <f>IFERROR(IF(ISNUMBER($A2896),IF(AND(AH!$U$12=1,2891+1=AH!$U$6),IF(AH!$U$4=0,"unavailable",INDEX('Market Data'!$AP$5:$AP$66,AH!$U$4)),IF(AH!$U$5=1,INDEX('Live History'!$H$5:$H$3004,MATCH($A2896,'Live History'!$G$5:$G$3004,1)),INDEX('AH History'!$B$5:$B$1380,$K2896))),NA()),NA())</f>
        <v/>
      </c>
      <c r="I2896" s="34">
        <f>IFERROR(IF(ISNUMBER($A2896),IF(AND(AH!$U$12=1,2891+1=AH!$U$6),TODAY(),IF(AH!$U$5=1,INDEX('Live History'!$G$5:$G$3004,MATCH($A2896,'Live History'!$G$5:$G$3004,1)),INDEX('AH History'!$C$5:$C$1380,$K2896))),NA()),NA())</f>
        <v/>
      </c>
      <c r="J2896" s="32">
        <f>IFERROR(IF(AND($F2896&gt;0,$H2896&gt;0,$A2896-$G2896&lt;=10,$A2896-$I2896&lt;=5,$G2896&gt;0,$I2896&gt;0),$F2896*$H2896,NA()),NA())</f>
        <v/>
      </c>
      <c r="K2896" s="15">
        <f>IF($A2896="","",IF(AH!$U$5=1,IFERROR(MATCH($A2896,'Live History'!$A$5:$A$3004,0),0),AH!$U$7+2891))</f>
        <v/>
      </c>
      <c r="L2896" s="15">
        <f>IF(ISNUMBER(A2896),TEXT(A2896,"dd-mmm-yy"),"")</f>
        <v/>
      </c>
    </row>
    <row r="2897">
      <c r="A2897" s="14">
        <f>IF(OR(AH!$U$4=0,2892+1&gt;AH!$U$6,AND(AH!$M$5="Bloomberg",AH!$U$5=0)),"",IFERROR(IF(AND(AH!$U$12=1,2892+1=AH!$U$6),TODAY(),IF(AH!$U$5=1,INDEX('Live History'!$A$5:$A$3004,AH!$U$7+2892),INDEX('AH History'!$A$5:$A$1380,AH!$U$7+2892))),""))</f>
        <v/>
      </c>
      <c r="B2897" s="33">
        <f>IFERROR(IF(AH!$U$11=1,NA(),$J2897/$E2897-1),NA())</f>
        <v/>
      </c>
      <c r="C2897" s="269">
        <f>IFERROR(100*$E2897/$E$5,NA())</f>
        <v/>
      </c>
      <c r="D2897" s="269">
        <f>IFERROR(100*$J2897/$J$5,NA())</f>
        <v/>
      </c>
      <c r="E2897" s="32">
        <f>IFERROR(IF(AND(ISNUMBER($A2897),N(IF(AND(AH!$U$12=1,2892+1=AH!$U$6),IF(AH!$U$4=0,"unavailable",INDEX('Market Data'!$AN$5:$AN$66,AH!$U$4)),IF(AH!$U$5=1,INDEX('Live History'!$B$5:$B$3004,$K2897),INDEX('AH History'!$D$5:$GG$1380,$K2897,AH!$U$10))))&gt;0),IF(AND(AH!$U$12=1,2892+1=AH!$U$6),IF(AH!$U$4=0,"unavailable",INDEX('Market Data'!$AN$5:$AN$66,AH!$U$4)),IF(AH!$U$5=1,INDEX('Live History'!$B$5:$B$3004,$K2897),INDEX('AH History'!$D$5:$GG$1380,$K2897,AH!$U$10))),NA()),NA())</f>
        <v/>
      </c>
      <c r="F2897" s="32">
        <f>IFERROR(IF(ISNUMBER($A2897),IF(AND(AH!$U$12=1,2892+1=AH!$U$6),IF(AH!$U$4=0,"unavailable",INDEX('Market Data'!$AO$5:$AO$66,AH!$U$4)),IF(AH!$U$5=1,INDEX('Live History'!$E$5:$E$3004,MATCH($A2897,'Live History'!$D$5:$D$3004,1)),INDEX('AH History'!$D$5:$GG$1380,$K2897,AH!$U$10+1))),NA()),NA())</f>
        <v/>
      </c>
      <c r="G2897" s="34">
        <f>IFERROR(IF(ISNUMBER($A2897),IF(AND(AH!$U$12=1,2892+1=AH!$U$6),IF(AH!$U$4=0,"unavailable",INDEX('Market Data'!$AK$5:$AK$66,AH!$U$4)),IF(AH!$U$5=1,INDEX('Live History'!$D$5:$D$3004,MATCH($A2897,'Live History'!$D$5:$D$3004,1)),INDEX('AH History'!$D$5:$GG$1380,$K2897,AH!$U$10+2))),NA()),NA())</f>
        <v/>
      </c>
      <c r="H2897" s="266">
        <f>IFERROR(IF(ISNUMBER($A2897),IF(AND(AH!$U$12=1,2892+1=AH!$U$6),IF(AH!$U$4=0,"unavailable",INDEX('Market Data'!$AP$5:$AP$66,AH!$U$4)),IF(AH!$U$5=1,INDEX('Live History'!$H$5:$H$3004,MATCH($A2897,'Live History'!$G$5:$G$3004,1)),INDEX('AH History'!$B$5:$B$1380,$K2897))),NA()),NA())</f>
        <v/>
      </c>
      <c r="I2897" s="34">
        <f>IFERROR(IF(ISNUMBER($A2897),IF(AND(AH!$U$12=1,2892+1=AH!$U$6),TODAY(),IF(AH!$U$5=1,INDEX('Live History'!$G$5:$G$3004,MATCH($A2897,'Live History'!$G$5:$G$3004,1)),INDEX('AH History'!$C$5:$C$1380,$K2897))),NA()),NA())</f>
        <v/>
      </c>
      <c r="J2897" s="32">
        <f>IFERROR(IF(AND($F2897&gt;0,$H2897&gt;0,$A2897-$G2897&lt;=10,$A2897-$I2897&lt;=5,$G2897&gt;0,$I2897&gt;0),$F2897*$H2897,NA()),NA())</f>
        <v/>
      </c>
      <c r="K2897" s="15">
        <f>IF($A2897="","",IF(AH!$U$5=1,IFERROR(MATCH($A2897,'Live History'!$A$5:$A$3004,0),0),AH!$U$7+2892))</f>
        <v/>
      </c>
      <c r="L2897" s="15">
        <f>IF(ISNUMBER(A2897),TEXT(A2897,"dd-mmm-yy"),"")</f>
        <v/>
      </c>
    </row>
    <row r="2898">
      <c r="A2898" s="14">
        <f>IF(OR(AH!$U$4=0,2893+1&gt;AH!$U$6,AND(AH!$M$5="Bloomberg",AH!$U$5=0)),"",IFERROR(IF(AND(AH!$U$12=1,2893+1=AH!$U$6),TODAY(),IF(AH!$U$5=1,INDEX('Live History'!$A$5:$A$3004,AH!$U$7+2893),INDEX('AH History'!$A$5:$A$1380,AH!$U$7+2893))),""))</f>
        <v/>
      </c>
      <c r="B2898" s="33">
        <f>IFERROR(IF(AH!$U$11=1,NA(),$J2898/$E2898-1),NA())</f>
        <v/>
      </c>
      <c r="C2898" s="269">
        <f>IFERROR(100*$E2898/$E$5,NA())</f>
        <v/>
      </c>
      <c r="D2898" s="269">
        <f>IFERROR(100*$J2898/$J$5,NA())</f>
        <v/>
      </c>
      <c r="E2898" s="32">
        <f>IFERROR(IF(AND(ISNUMBER($A2898),N(IF(AND(AH!$U$12=1,2893+1=AH!$U$6),IF(AH!$U$4=0,"unavailable",INDEX('Market Data'!$AN$5:$AN$66,AH!$U$4)),IF(AH!$U$5=1,INDEX('Live History'!$B$5:$B$3004,$K2898),INDEX('AH History'!$D$5:$GG$1380,$K2898,AH!$U$10))))&gt;0),IF(AND(AH!$U$12=1,2893+1=AH!$U$6),IF(AH!$U$4=0,"unavailable",INDEX('Market Data'!$AN$5:$AN$66,AH!$U$4)),IF(AH!$U$5=1,INDEX('Live History'!$B$5:$B$3004,$K2898),INDEX('AH History'!$D$5:$GG$1380,$K2898,AH!$U$10))),NA()),NA())</f>
        <v/>
      </c>
      <c r="F2898" s="32">
        <f>IFERROR(IF(ISNUMBER($A2898),IF(AND(AH!$U$12=1,2893+1=AH!$U$6),IF(AH!$U$4=0,"unavailable",INDEX('Market Data'!$AO$5:$AO$66,AH!$U$4)),IF(AH!$U$5=1,INDEX('Live History'!$E$5:$E$3004,MATCH($A2898,'Live History'!$D$5:$D$3004,1)),INDEX('AH History'!$D$5:$GG$1380,$K2898,AH!$U$10+1))),NA()),NA())</f>
        <v/>
      </c>
      <c r="G2898" s="34">
        <f>IFERROR(IF(ISNUMBER($A2898),IF(AND(AH!$U$12=1,2893+1=AH!$U$6),IF(AH!$U$4=0,"unavailable",INDEX('Market Data'!$AK$5:$AK$66,AH!$U$4)),IF(AH!$U$5=1,INDEX('Live History'!$D$5:$D$3004,MATCH($A2898,'Live History'!$D$5:$D$3004,1)),INDEX('AH History'!$D$5:$GG$1380,$K2898,AH!$U$10+2))),NA()),NA())</f>
        <v/>
      </c>
      <c r="H2898" s="266">
        <f>IFERROR(IF(ISNUMBER($A2898),IF(AND(AH!$U$12=1,2893+1=AH!$U$6),IF(AH!$U$4=0,"unavailable",INDEX('Market Data'!$AP$5:$AP$66,AH!$U$4)),IF(AH!$U$5=1,INDEX('Live History'!$H$5:$H$3004,MATCH($A2898,'Live History'!$G$5:$G$3004,1)),INDEX('AH History'!$B$5:$B$1380,$K2898))),NA()),NA())</f>
        <v/>
      </c>
      <c r="I2898" s="34">
        <f>IFERROR(IF(ISNUMBER($A2898),IF(AND(AH!$U$12=1,2893+1=AH!$U$6),TODAY(),IF(AH!$U$5=1,INDEX('Live History'!$G$5:$G$3004,MATCH($A2898,'Live History'!$G$5:$G$3004,1)),INDEX('AH History'!$C$5:$C$1380,$K2898))),NA()),NA())</f>
        <v/>
      </c>
      <c r="J2898" s="32">
        <f>IFERROR(IF(AND($F2898&gt;0,$H2898&gt;0,$A2898-$G2898&lt;=10,$A2898-$I2898&lt;=5,$G2898&gt;0,$I2898&gt;0),$F2898*$H2898,NA()),NA())</f>
        <v/>
      </c>
      <c r="K2898" s="15">
        <f>IF($A2898="","",IF(AH!$U$5=1,IFERROR(MATCH($A2898,'Live History'!$A$5:$A$3004,0),0),AH!$U$7+2893))</f>
        <v/>
      </c>
      <c r="L2898" s="15">
        <f>IF(ISNUMBER(A2898),TEXT(A2898,"dd-mmm-yy"),"")</f>
        <v/>
      </c>
    </row>
    <row r="2899">
      <c r="A2899" s="14">
        <f>IF(OR(AH!$U$4=0,2894+1&gt;AH!$U$6,AND(AH!$M$5="Bloomberg",AH!$U$5=0)),"",IFERROR(IF(AND(AH!$U$12=1,2894+1=AH!$U$6),TODAY(),IF(AH!$U$5=1,INDEX('Live History'!$A$5:$A$3004,AH!$U$7+2894),INDEX('AH History'!$A$5:$A$1380,AH!$U$7+2894))),""))</f>
        <v/>
      </c>
      <c r="B2899" s="33">
        <f>IFERROR(IF(AH!$U$11=1,NA(),$J2899/$E2899-1),NA())</f>
        <v/>
      </c>
      <c r="C2899" s="269">
        <f>IFERROR(100*$E2899/$E$5,NA())</f>
        <v/>
      </c>
      <c r="D2899" s="269">
        <f>IFERROR(100*$J2899/$J$5,NA())</f>
        <v/>
      </c>
      <c r="E2899" s="32">
        <f>IFERROR(IF(AND(ISNUMBER($A2899),N(IF(AND(AH!$U$12=1,2894+1=AH!$U$6),IF(AH!$U$4=0,"unavailable",INDEX('Market Data'!$AN$5:$AN$66,AH!$U$4)),IF(AH!$U$5=1,INDEX('Live History'!$B$5:$B$3004,$K2899),INDEX('AH History'!$D$5:$GG$1380,$K2899,AH!$U$10))))&gt;0),IF(AND(AH!$U$12=1,2894+1=AH!$U$6),IF(AH!$U$4=0,"unavailable",INDEX('Market Data'!$AN$5:$AN$66,AH!$U$4)),IF(AH!$U$5=1,INDEX('Live History'!$B$5:$B$3004,$K2899),INDEX('AH History'!$D$5:$GG$1380,$K2899,AH!$U$10))),NA()),NA())</f>
        <v/>
      </c>
      <c r="F2899" s="32">
        <f>IFERROR(IF(ISNUMBER($A2899),IF(AND(AH!$U$12=1,2894+1=AH!$U$6),IF(AH!$U$4=0,"unavailable",INDEX('Market Data'!$AO$5:$AO$66,AH!$U$4)),IF(AH!$U$5=1,INDEX('Live History'!$E$5:$E$3004,MATCH($A2899,'Live History'!$D$5:$D$3004,1)),INDEX('AH History'!$D$5:$GG$1380,$K2899,AH!$U$10+1))),NA()),NA())</f>
        <v/>
      </c>
      <c r="G2899" s="34">
        <f>IFERROR(IF(ISNUMBER($A2899),IF(AND(AH!$U$12=1,2894+1=AH!$U$6),IF(AH!$U$4=0,"unavailable",INDEX('Market Data'!$AK$5:$AK$66,AH!$U$4)),IF(AH!$U$5=1,INDEX('Live History'!$D$5:$D$3004,MATCH($A2899,'Live History'!$D$5:$D$3004,1)),INDEX('AH History'!$D$5:$GG$1380,$K2899,AH!$U$10+2))),NA()),NA())</f>
        <v/>
      </c>
      <c r="H2899" s="266">
        <f>IFERROR(IF(ISNUMBER($A2899),IF(AND(AH!$U$12=1,2894+1=AH!$U$6),IF(AH!$U$4=0,"unavailable",INDEX('Market Data'!$AP$5:$AP$66,AH!$U$4)),IF(AH!$U$5=1,INDEX('Live History'!$H$5:$H$3004,MATCH($A2899,'Live History'!$G$5:$G$3004,1)),INDEX('AH History'!$B$5:$B$1380,$K2899))),NA()),NA())</f>
        <v/>
      </c>
      <c r="I2899" s="34">
        <f>IFERROR(IF(ISNUMBER($A2899),IF(AND(AH!$U$12=1,2894+1=AH!$U$6),TODAY(),IF(AH!$U$5=1,INDEX('Live History'!$G$5:$G$3004,MATCH($A2899,'Live History'!$G$5:$G$3004,1)),INDEX('AH History'!$C$5:$C$1380,$K2899))),NA()),NA())</f>
        <v/>
      </c>
      <c r="J2899" s="32">
        <f>IFERROR(IF(AND($F2899&gt;0,$H2899&gt;0,$A2899-$G2899&lt;=10,$A2899-$I2899&lt;=5,$G2899&gt;0,$I2899&gt;0),$F2899*$H2899,NA()),NA())</f>
        <v/>
      </c>
      <c r="K2899" s="15">
        <f>IF($A2899="","",IF(AH!$U$5=1,IFERROR(MATCH($A2899,'Live History'!$A$5:$A$3004,0),0),AH!$U$7+2894))</f>
        <v/>
      </c>
      <c r="L2899" s="15">
        <f>IF(ISNUMBER(A2899),TEXT(A2899,"dd-mmm-yy"),"")</f>
        <v/>
      </c>
    </row>
    <row r="2900">
      <c r="A2900" s="14">
        <f>IF(OR(AH!$U$4=0,2895+1&gt;AH!$U$6,AND(AH!$M$5="Bloomberg",AH!$U$5=0)),"",IFERROR(IF(AND(AH!$U$12=1,2895+1=AH!$U$6),TODAY(),IF(AH!$U$5=1,INDEX('Live History'!$A$5:$A$3004,AH!$U$7+2895),INDEX('AH History'!$A$5:$A$1380,AH!$U$7+2895))),""))</f>
        <v/>
      </c>
      <c r="B2900" s="33">
        <f>IFERROR(IF(AH!$U$11=1,NA(),$J2900/$E2900-1),NA())</f>
        <v/>
      </c>
      <c r="C2900" s="269">
        <f>IFERROR(100*$E2900/$E$5,NA())</f>
        <v/>
      </c>
      <c r="D2900" s="269">
        <f>IFERROR(100*$J2900/$J$5,NA())</f>
        <v/>
      </c>
      <c r="E2900" s="32">
        <f>IFERROR(IF(AND(ISNUMBER($A2900),N(IF(AND(AH!$U$12=1,2895+1=AH!$U$6),IF(AH!$U$4=0,"unavailable",INDEX('Market Data'!$AN$5:$AN$66,AH!$U$4)),IF(AH!$U$5=1,INDEX('Live History'!$B$5:$B$3004,$K2900),INDEX('AH History'!$D$5:$GG$1380,$K2900,AH!$U$10))))&gt;0),IF(AND(AH!$U$12=1,2895+1=AH!$U$6),IF(AH!$U$4=0,"unavailable",INDEX('Market Data'!$AN$5:$AN$66,AH!$U$4)),IF(AH!$U$5=1,INDEX('Live History'!$B$5:$B$3004,$K2900),INDEX('AH History'!$D$5:$GG$1380,$K2900,AH!$U$10))),NA()),NA())</f>
        <v/>
      </c>
      <c r="F2900" s="32">
        <f>IFERROR(IF(ISNUMBER($A2900),IF(AND(AH!$U$12=1,2895+1=AH!$U$6),IF(AH!$U$4=0,"unavailable",INDEX('Market Data'!$AO$5:$AO$66,AH!$U$4)),IF(AH!$U$5=1,INDEX('Live History'!$E$5:$E$3004,MATCH($A2900,'Live History'!$D$5:$D$3004,1)),INDEX('AH History'!$D$5:$GG$1380,$K2900,AH!$U$10+1))),NA()),NA())</f>
        <v/>
      </c>
      <c r="G2900" s="34">
        <f>IFERROR(IF(ISNUMBER($A2900),IF(AND(AH!$U$12=1,2895+1=AH!$U$6),IF(AH!$U$4=0,"unavailable",INDEX('Market Data'!$AK$5:$AK$66,AH!$U$4)),IF(AH!$U$5=1,INDEX('Live History'!$D$5:$D$3004,MATCH($A2900,'Live History'!$D$5:$D$3004,1)),INDEX('AH History'!$D$5:$GG$1380,$K2900,AH!$U$10+2))),NA()),NA())</f>
        <v/>
      </c>
      <c r="H2900" s="266">
        <f>IFERROR(IF(ISNUMBER($A2900),IF(AND(AH!$U$12=1,2895+1=AH!$U$6),IF(AH!$U$4=0,"unavailable",INDEX('Market Data'!$AP$5:$AP$66,AH!$U$4)),IF(AH!$U$5=1,INDEX('Live History'!$H$5:$H$3004,MATCH($A2900,'Live History'!$G$5:$G$3004,1)),INDEX('AH History'!$B$5:$B$1380,$K2900))),NA()),NA())</f>
        <v/>
      </c>
      <c r="I2900" s="34">
        <f>IFERROR(IF(ISNUMBER($A2900),IF(AND(AH!$U$12=1,2895+1=AH!$U$6),TODAY(),IF(AH!$U$5=1,INDEX('Live History'!$G$5:$G$3004,MATCH($A2900,'Live History'!$G$5:$G$3004,1)),INDEX('AH History'!$C$5:$C$1380,$K2900))),NA()),NA())</f>
        <v/>
      </c>
      <c r="J2900" s="32">
        <f>IFERROR(IF(AND($F2900&gt;0,$H2900&gt;0,$A2900-$G2900&lt;=10,$A2900-$I2900&lt;=5,$G2900&gt;0,$I2900&gt;0),$F2900*$H2900,NA()),NA())</f>
        <v/>
      </c>
      <c r="K2900" s="15">
        <f>IF($A2900="","",IF(AH!$U$5=1,IFERROR(MATCH($A2900,'Live History'!$A$5:$A$3004,0),0),AH!$U$7+2895))</f>
        <v/>
      </c>
      <c r="L2900" s="15">
        <f>IF(ISNUMBER(A2900),TEXT(A2900,"dd-mmm-yy"),"")</f>
        <v/>
      </c>
    </row>
    <row r="2901">
      <c r="A2901" s="14">
        <f>IF(OR(AH!$U$4=0,2896+1&gt;AH!$U$6,AND(AH!$M$5="Bloomberg",AH!$U$5=0)),"",IFERROR(IF(AND(AH!$U$12=1,2896+1=AH!$U$6),TODAY(),IF(AH!$U$5=1,INDEX('Live History'!$A$5:$A$3004,AH!$U$7+2896),INDEX('AH History'!$A$5:$A$1380,AH!$U$7+2896))),""))</f>
        <v/>
      </c>
      <c r="B2901" s="33">
        <f>IFERROR(IF(AH!$U$11=1,NA(),$J2901/$E2901-1),NA())</f>
        <v/>
      </c>
      <c r="C2901" s="269">
        <f>IFERROR(100*$E2901/$E$5,NA())</f>
        <v/>
      </c>
      <c r="D2901" s="269">
        <f>IFERROR(100*$J2901/$J$5,NA())</f>
        <v/>
      </c>
      <c r="E2901" s="32">
        <f>IFERROR(IF(AND(ISNUMBER($A2901),N(IF(AND(AH!$U$12=1,2896+1=AH!$U$6),IF(AH!$U$4=0,"unavailable",INDEX('Market Data'!$AN$5:$AN$66,AH!$U$4)),IF(AH!$U$5=1,INDEX('Live History'!$B$5:$B$3004,$K2901),INDEX('AH History'!$D$5:$GG$1380,$K2901,AH!$U$10))))&gt;0),IF(AND(AH!$U$12=1,2896+1=AH!$U$6),IF(AH!$U$4=0,"unavailable",INDEX('Market Data'!$AN$5:$AN$66,AH!$U$4)),IF(AH!$U$5=1,INDEX('Live History'!$B$5:$B$3004,$K2901),INDEX('AH History'!$D$5:$GG$1380,$K2901,AH!$U$10))),NA()),NA())</f>
        <v/>
      </c>
      <c r="F2901" s="32">
        <f>IFERROR(IF(ISNUMBER($A2901),IF(AND(AH!$U$12=1,2896+1=AH!$U$6),IF(AH!$U$4=0,"unavailable",INDEX('Market Data'!$AO$5:$AO$66,AH!$U$4)),IF(AH!$U$5=1,INDEX('Live History'!$E$5:$E$3004,MATCH($A2901,'Live History'!$D$5:$D$3004,1)),INDEX('AH History'!$D$5:$GG$1380,$K2901,AH!$U$10+1))),NA()),NA())</f>
        <v/>
      </c>
      <c r="G2901" s="34">
        <f>IFERROR(IF(ISNUMBER($A2901),IF(AND(AH!$U$12=1,2896+1=AH!$U$6),IF(AH!$U$4=0,"unavailable",INDEX('Market Data'!$AK$5:$AK$66,AH!$U$4)),IF(AH!$U$5=1,INDEX('Live History'!$D$5:$D$3004,MATCH($A2901,'Live History'!$D$5:$D$3004,1)),INDEX('AH History'!$D$5:$GG$1380,$K2901,AH!$U$10+2))),NA()),NA())</f>
        <v/>
      </c>
      <c r="H2901" s="266">
        <f>IFERROR(IF(ISNUMBER($A2901),IF(AND(AH!$U$12=1,2896+1=AH!$U$6),IF(AH!$U$4=0,"unavailable",INDEX('Market Data'!$AP$5:$AP$66,AH!$U$4)),IF(AH!$U$5=1,INDEX('Live History'!$H$5:$H$3004,MATCH($A2901,'Live History'!$G$5:$G$3004,1)),INDEX('AH History'!$B$5:$B$1380,$K2901))),NA()),NA())</f>
        <v/>
      </c>
      <c r="I2901" s="34">
        <f>IFERROR(IF(ISNUMBER($A2901),IF(AND(AH!$U$12=1,2896+1=AH!$U$6),TODAY(),IF(AH!$U$5=1,INDEX('Live History'!$G$5:$G$3004,MATCH($A2901,'Live History'!$G$5:$G$3004,1)),INDEX('AH History'!$C$5:$C$1380,$K2901))),NA()),NA())</f>
        <v/>
      </c>
      <c r="J2901" s="32">
        <f>IFERROR(IF(AND($F2901&gt;0,$H2901&gt;0,$A2901-$G2901&lt;=10,$A2901-$I2901&lt;=5,$G2901&gt;0,$I2901&gt;0),$F2901*$H2901,NA()),NA())</f>
        <v/>
      </c>
      <c r="K2901" s="15">
        <f>IF($A2901="","",IF(AH!$U$5=1,IFERROR(MATCH($A2901,'Live History'!$A$5:$A$3004,0),0),AH!$U$7+2896))</f>
        <v/>
      </c>
      <c r="L2901" s="15">
        <f>IF(ISNUMBER(A2901),TEXT(A2901,"dd-mmm-yy"),"")</f>
        <v/>
      </c>
    </row>
    <row r="2902">
      <c r="A2902" s="14">
        <f>IF(OR(AH!$U$4=0,2897+1&gt;AH!$U$6,AND(AH!$M$5="Bloomberg",AH!$U$5=0)),"",IFERROR(IF(AND(AH!$U$12=1,2897+1=AH!$U$6),TODAY(),IF(AH!$U$5=1,INDEX('Live History'!$A$5:$A$3004,AH!$U$7+2897),INDEX('AH History'!$A$5:$A$1380,AH!$U$7+2897))),""))</f>
        <v/>
      </c>
      <c r="B2902" s="33">
        <f>IFERROR(IF(AH!$U$11=1,NA(),$J2902/$E2902-1),NA())</f>
        <v/>
      </c>
      <c r="C2902" s="269">
        <f>IFERROR(100*$E2902/$E$5,NA())</f>
        <v/>
      </c>
      <c r="D2902" s="269">
        <f>IFERROR(100*$J2902/$J$5,NA())</f>
        <v/>
      </c>
      <c r="E2902" s="32">
        <f>IFERROR(IF(AND(ISNUMBER($A2902),N(IF(AND(AH!$U$12=1,2897+1=AH!$U$6),IF(AH!$U$4=0,"unavailable",INDEX('Market Data'!$AN$5:$AN$66,AH!$U$4)),IF(AH!$U$5=1,INDEX('Live History'!$B$5:$B$3004,$K2902),INDEX('AH History'!$D$5:$GG$1380,$K2902,AH!$U$10))))&gt;0),IF(AND(AH!$U$12=1,2897+1=AH!$U$6),IF(AH!$U$4=0,"unavailable",INDEX('Market Data'!$AN$5:$AN$66,AH!$U$4)),IF(AH!$U$5=1,INDEX('Live History'!$B$5:$B$3004,$K2902),INDEX('AH History'!$D$5:$GG$1380,$K2902,AH!$U$10))),NA()),NA())</f>
        <v/>
      </c>
      <c r="F2902" s="32">
        <f>IFERROR(IF(ISNUMBER($A2902),IF(AND(AH!$U$12=1,2897+1=AH!$U$6),IF(AH!$U$4=0,"unavailable",INDEX('Market Data'!$AO$5:$AO$66,AH!$U$4)),IF(AH!$U$5=1,INDEX('Live History'!$E$5:$E$3004,MATCH($A2902,'Live History'!$D$5:$D$3004,1)),INDEX('AH History'!$D$5:$GG$1380,$K2902,AH!$U$10+1))),NA()),NA())</f>
        <v/>
      </c>
      <c r="G2902" s="34">
        <f>IFERROR(IF(ISNUMBER($A2902),IF(AND(AH!$U$12=1,2897+1=AH!$U$6),IF(AH!$U$4=0,"unavailable",INDEX('Market Data'!$AK$5:$AK$66,AH!$U$4)),IF(AH!$U$5=1,INDEX('Live History'!$D$5:$D$3004,MATCH($A2902,'Live History'!$D$5:$D$3004,1)),INDEX('AH History'!$D$5:$GG$1380,$K2902,AH!$U$10+2))),NA()),NA())</f>
        <v/>
      </c>
      <c r="H2902" s="266">
        <f>IFERROR(IF(ISNUMBER($A2902),IF(AND(AH!$U$12=1,2897+1=AH!$U$6),IF(AH!$U$4=0,"unavailable",INDEX('Market Data'!$AP$5:$AP$66,AH!$U$4)),IF(AH!$U$5=1,INDEX('Live History'!$H$5:$H$3004,MATCH($A2902,'Live History'!$G$5:$G$3004,1)),INDEX('AH History'!$B$5:$B$1380,$K2902))),NA()),NA())</f>
        <v/>
      </c>
      <c r="I2902" s="34">
        <f>IFERROR(IF(ISNUMBER($A2902),IF(AND(AH!$U$12=1,2897+1=AH!$U$6),TODAY(),IF(AH!$U$5=1,INDEX('Live History'!$G$5:$G$3004,MATCH($A2902,'Live History'!$G$5:$G$3004,1)),INDEX('AH History'!$C$5:$C$1380,$K2902))),NA()),NA())</f>
        <v/>
      </c>
      <c r="J2902" s="32">
        <f>IFERROR(IF(AND($F2902&gt;0,$H2902&gt;0,$A2902-$G2902&lt;=10,$A2902-$I2902&lt;=5,$G2902&gt;0,$I2902&gt;0),$F2902*$H2902,NA()),NA())</f>
        <v/>
      </c>
      <c r="K2902" s="15">
        <f>IF($A2902="","",IF(AH!$U$5=1,IFERROR(MATCH($A2902,'Live History'!$A$5:$A$3004,0),0),AH!$U$7+2897))</f>
        <v/>
      </c>
      <c r="L2902" s="15">
        <f>IF(ISNUMBER(A2902),TEXT(A2902,"dd-mmm-yy"),"")</f>
        <v/>
      </c>
    </row>
    <row r="2903">
      <c r="A2903" s="14">
        <f>IF(OR(AH!$U$4=0,2898+1&gt;AH!$U$6,AND(AH!$M$5="Bloomberg",AH!$U$5=0)),"",IFERROR(IF(AND(AH!$U$12=1,2898+1=AH!$U$6),TODAY(),IF(AH!$U$5=1,INDEX('Live History'!$A$5:$A$3004,AH!$U$7+2898),INDEX('AH History'!$A$5:$A$1380,AH!$U$7+2898))),""))</f>
        <v/>
      </c>
      <c r="B2903" s="33">
        <f>IFERROR(IF(AH!$U$11=1,NA(),$J2903/$E2903-1),NA())</f>
        <v/>
      </c>
      <c r="C2903" s="269">
        <f>IFERROR(100*$E2903/$E$5,NA())</f>
        <v/>
      </c>
      <c r="D2903" s="269">
        <f>IFERROR(100*$J2903/$J$5,NA())</f>
        <v/>
      </c>
      <c r="E2903" s="32">
        <f>IFERROR(IF(AND(ISNUMBER($A2903),N(IF(AND(AH!$U$12=1,2898+1=AH!$U$6),IF(AH!$U$4=0,"unavailable",INDEX('Market Data'!$AN$5:$AN$66,AH!$U$4)),IF(AH!$U$5=1,INDEX('Live History'!$B$5:$B$3004,$K2903),INDEX('AH History'!$D$5:$GG$1380,$K2903,AH!$U$10))))&gt;0),IF(AND(AH!$U$12=1,2898+1=AH!$U$6),IF(AH!$U$4=0,"unavailable",INDEX('Market Data'!$AN$5:$AN$66,AH!$U$4)),IF(AH!$U$5=1,INDEX('Live History'!$B$5:$B$3004,$K2903),INDEX('AH History'!$D$5:$GG$1380,$K2903,AH!$U$10))),NA()),NA())</f>
        <v/>
      </c>
      <c r="F2903" s="32">
        <f>IFERROR(IF(ISNUMBER($A2903),IF(AND(AH!$U$12=1,2898+1=AH!$U$6),IF(AH!$U$4=0,"unavailable",INDEX('Market Data'!$AO$5:$AO$66,AH!$U$4)),IF(AH!$U$5=1,INDEX('Live History'!$E$5:$E$3004,MATCH($A2903,'Live History'!$D$5:$D$3004,1)),INDEX('AH History'!$D$5:$GG$1380,$K2903,AH!$U$10+1))),NA()),NA())</f>
        <v/>
      </c>
      <c r="G2903" s="34">
        <f>IFERROR(IF(ISNUMBER($A2903),IF(AND(AH!$U$12=1,2898+1=AH!$U$6),IF(AH!$U$4=0,"unavailable",INDEX('Market Data'!$AK$5:$AK$66,AH!$U$4)),IF(AH!$U$5=1,INDEX('Live History'!$D$5:$D$3004,MATCH($A2903,'Live History'!$D$5:$D$3004,1)),INDEX('AH History'!$D$5:$GG$1380,$K2903,AH!$U$10+2))),NA()),NA())</f>
        <v/>
      </c>
      <c r="H2903" s="266">
        <f>IFERROR(IF(ISNUMBER($A2903),IF(AND(AH!$U$12=1,2898+1=AH!$U$6),IF(AH!$U$4=0,"unavailable",INDEX('Market Data'!$AP$5:$AP$66,AH!$U$4)),IF(AH!$U$5=1,INDEX('Live History'!$H$5:$H$3004,MATCH($A2903,'Live History'!$G$5:$G$3004,1)),INDEX('AH History'!$B$5:$B$1380,$K2903))),NA()),NA())</f>
        <v/>
      </c>
      <c r="I2903" s="34">
        <f>IFERROR(IF(ISNUMBER($A2903),IF(AND(AH!$U$12=1,2898+1=AH!$U$6),TODAY(),IF(AH!$U$5=1,INDEX('Live History'!$G$5:$G$3004,MATCH($A2903,'Live History'!$G$5:$G$3004,1)),INDEX('AH History'!$C$5:$C$1380,$K2903))),NA()),NA())</f>
        <v/>
      </c>
      <c r="J2903" s="32">
        <f>IFERROR(IF(AND($F2903&gt;0,$H2903&gt;0,$A2903-$G2903&lt;=10,$A2903-$I2903&lt;=5,$G2903&gt;0,$I2903&gt;0),$F2903*$H2903,NA()),NA())</f>
        <v/>
      </c>
      <c r="K2903" s="15">
        <f>IF($A2903="","",IF(AH!$U$5=1,IFERROR(MATCH($A2903,'Live History'!$A$5:$A$3004,0),0),AH!$U$7+2898))</f>
        <v/>
      </c>
      <c r="L2903" s="15">
        <f>IF(ISNUMBER(A2903),TEXT(A2903,"dd-mmm-yy"),"")</f>
        <v/>
      </c>
    </row>
    <row r="2904">
      <c r="A2904" s="14">
        <f>IF(OR(AH!$U$4=0,2899+1&gt;AH!$U$6,AND(AH!$M$5="Bloomberg",AH!$U$5=0)),"",IFERROR(IF(AND(AH!$U$12=1,2899+1=AH!$U$6),TODAY(),IF(AH!$U$5=1,INDEX('Live History'!$A$5:$A$3004,AH!$U$7+2899),INDEX('AH History'!$A$5:$A$1380,AH!$U$7+2899))),""))</f>
        <v/>
      </c>
      <c r="B2904" s="33">
        <f>IFERROR(IF(AH!$U$11=1,NA(),$J2904/$E2904-1),NA())</f>
        <v/>
      </c>
      <c r="C2904" s="269">
        <f>IFERROR(100*$E2904/$E$5,NA())</f>
        <v/>
      </c>
      <c r="D2904" s="269">
        <f>IFERROR(100*$J2904/$J$5,NA())</f>
        <v/>
      </c>
      <c r="E2904" s="32">
        <f>IFERROR(IF(AND(ISNUMBER($A2904),N(IF(AND(AH!$U$12=1,2899+1=AH!$U$6),IF(AH!$U$4=0,"unavailable",INDEX('Market Data'!$AN$5:$AN$66,AH!$U$4)),IF(AH!$U$5=1,INDEX('Live History'!$B$5:$B$3004,$K2904),INDEX('AH History'!$D$5:$GG$1380,$K2904,AH!$U$10))))&gt;0),IF(AND(AH!$U$12=1,2899+1=AH!$U$6),IF(AH!$U$4=0,"unavailable",INDEX('Market Data'!$AN$5:$AN$66,AH!$U$4)),IF(AH!$U$5=1,INDEX('Live History'!$B$5:$B$3004,$K2904),INDEX('AH History'!$D$5:$GG$1380,$K2904,AH!$U$10))),NA()),NA())</f>
        <v/>
      </c>
      <c r="F2904" s="32">
        <f>IFERROR(IF(ISNUMBER($A2904),IF(AND(AH!$U$12=1,2899+1=AH!$U$6),IF(AH!$U$4=0,"unavailable",INDEX('Market Data'!$AO$5:$AO$66,AH!$U$4)),IF(AH!$U$5=1,INDEX('Live History'!$E$5:$E$3004,MATCH($A2904,'Live History'!$D$5:$D$3004,1)),INDEX('AH History'!$D$5:$GG$1380,$K2904,AH!$U$10+1))),NA()),NA())</f>
        <v/>
      </c>
      <c r="G2904" s="34">
        <f>IFERROR(IF(ISNUMBER($A2904),IF(AND(AH!$U$12=1,2899+1=AH!$U$6),IF(AH!$U$4=0,"unavailable",INDEX('Market Data'!$AK$5:$AK$66,AH!$U$4)),IF(AH!$U$5=1,INDEX('Live History'!$D$5:$D$3004,MATCH($A2904,'Live History'!$D$5:$D$3004,1)),INDEX('AH History'!$D$5:$GG$1380,$K2904,AH!$U$10+2))),NA()),NA())</f>
        <v/>
      </c>
      <c r="H2904" s="266">
        <f>IFERROR(IF(ISNUMBER($A2904),IF(AND(AH!$U$12=1,2899+1=AH!$U$6),IF(AH!$U$4=0,"unavailable",INDEX('Market Data'!$AP$5:$AP$66,AH!$U$4)),IF(AH!$U$5=1,INDEX('Live History'!$H$5:$H$3004,MATCH($A2904,'Live History'!$G$5:$G$3004,1)),INDEX('AH History'!$B$5:$B$1380,$K2904))),NA()),NA())</f>
        <v/>
      </c>
      <c r="I2904" s="34">
        <f>IFERROR(IF(ISNUMBER($A2904),IF(AND(AH!$U$12=1,2899+1=AH!$U$6),TODAY(),IF(AH!$U$5=1,INDEX('Live History'!$G$5:$G$3004,MATCH($A2904,'Live History'!$G$5:$G$3004,1)),INDEX('AH History'!$C$5:$C$1380,$K2904))),NA()),NA())</f>
        <v/>
      </c>
      <c r="J2904" s="32">
        <f>IFERROR(IF(AND($F2904&gt;0,$H2904&gt;0,$A2904-$G2904&lt;=10,$A2904-$I2904&lt;=5,$G2904&gt;0,$I2904&gt;0),$F2904*$H2904,NA()),NA())</f>
        <v/>
      </c>
      <c r="K2904" s="15">
        <f>IF($A2904="","",IF(AH!$U$5=1,IFERROR(MATCH($A2904,'Live History'!$A$5:$A$3004,0),0),AH!$U$7+2899))</f>
        <v/>
      </c>
      <c r="L2904" s="15">
        <f>IF(ISNUMBER(A2904),TEXT(A2904,"dd-mmm-yy"),"")</f>
        <v/>
      </c>
    </row>
    <row r="2905">
      <c r="A2905" s="14">
        <f>IF(OR(AH!$U$4=0,2900+1&gt;AH!$U$6,AND(AH!$M$5="Bloomberg",AH!$U$5=0)),"",IFERROR(IF(AND(AH!$U$12=1,2900+1=AH!$U$6),TODAY(),IF(AH!$U$5=1,INDEX('Live History'!$A$5:$A$3004,AH!$U$7+2900),INDEX('AH History'!$A$5:$A$1380,AH!$U$7+2900))),""))</f>
        <v/>
      </c>
      <c r="B2905" s="33">
        <f>IFERROR(IF(AH!$U$11=1,NA(),$J2905/$E2905-1),NA())</f>
        <v/>
      </c>
      <c r="C2905" s="269">
        <f>IFERROR(100*$E2905/$E$5,NA())</f>
        <v/>
      </c>
      <c r="D2905" s="269">
        <f>IFERROR(100*$J2905/$J$5,NA())</f>
        <v/>
      </c>
      <c r="E2905" s="32">
        <f>IFERROR(IF(AND(ISNUMBER($A2905),N(IF(AND(AH!$U$12=1,2900+1=AH!$U$6),IF(AH!$U$4=0,"unavailable",INDEX('Market Data'!$AN$5:$AN$66,AH!$U$4)),IF(AH!$U$5=1,INDEX('Live History'!$B$5:$B$3004,$K2905),INDEX('AH History'!$D$5:$GG$1380,$K2905,AH!$U$10))))&gt;0),IF(AND(AH!$U$12=1,2900+1=AH!$U$6),IF(AH!$U$4=0,"unavailable",INDEX('Market Data'!$AN$5:$AN$66,AH!$U$4)),IF(AH!$U$5=1,INDEX('Live History'!$B$5:$B$3004,$K2905),INDEX('AH History'!$D$5:$GG$1380,$K2905,AH!$U$10))),NA()),NA())</f>
        <v/>
      </c>
      <c r="F2905" s="32">
        <f>IFERROR(IF(ISNUMBER($A2905),IF(AND(AH!$U$12=1,2900+1=AH!$U$6),IF(AH!$U$4=0,"unavailable",INDEX('Market Data'!$AO$5:$AO$66,AH!$U$4)),IF(AH!$U$5=1,INDEX('Live History'!$E$5:$E$3004,MATCH($A2905,'Live History'!$D$5:$D$3004,1)),INDEX('AH History'!$D$5:$GG$1380,$K2905,AH!$U$10+1))),NA()),NA())</f>
        <v/>
      </c>
      <c r="G2905" s="34">
        <f>IFERROR(IF(ISNUMBER($A2905),IF(AND(AH!$U$12=1,2900+1=AH!$U$6),IF(AH!$U$4=0,"unavailable",INDEX('Market Data'!$AK$5:$AK$66,AH!$U$4)),IF(AH!$U$5=1,INDEX('Live History'!$D$5:$D$3004,MATCH($A2905,'Live History'!$D$5:$D$3004,1)),INDEX('AH History'!$D$5:$GG$1380,$K2905,AH!$U$10+2))),NA()),NA())</f>
        <v/>
      </c>
      <c r="H2905" s="266">
        <f>IFERROR(IF(ISNUMBER($A2905),IF(AND(AH!$U$12=1,2900+1=AH!$U$6),IF(AH!$U$4=0,"unavailable",INDEX('Market Data'!$AP$5:$AP$66,AH!$U$4)),IF(AH!$U$5=1,INDEX('Live History'!$H$5:$H$3004,MATCH($A2905,'Live History'!$G$5:$G$3004,1)),INDEX('AH History'!$B$5:$B$1380,$K2905))),NA()),NA())</f>
        <v/>
      </c>
      <c r="I2905" s="34">
        <f>IFERROR(IF(ISNUMBER($A2905),IF(AND(AH!$U$12=1,2900+1=AH!$U$6),TODAY(),IF(AH!$U$5=1,INDEX('Live History'!$G$5:$G$3004,MATCH($A2905,'Live History'!$G$5:$G$3004,1)),INDEX('AH History'!$C$5:$C$1380,$K2905))),NA()),NA())</f>
        <v/>
      </c>
      <c r="J2905" s="32">
        <f>IFERROR(IF(AND($F2905&gt;0,$H2905&gt;0,$A2905-$G2905&lt;=10,$A2905-$I2905&lt;=5,$G2905&gt;0,$I2905&gt;0),$F2905*$H2905,NA()),NA())</f>
        <v/>
      </c>
      <c r="K2905" s="15">
        <f>IF($A2905="","",IF(AH!$U$5=1,IFERROR(MATCH($A2905,'Live History'!$A$5:$A$3004,0),0),AH!$U$7+2900))</f>
        <v/>
      </c>
      <c r="L2905" s="15">
        <f>IF(ISNUMBER(A2905),TEXT(A2905,"dd-mmm-yy"),"")</f>
        <v/>
      </c>
    </row>
    <row r="2906">
      <c r="A2906" s="14">
        <f>IF(OR(AH!$U$4=0,2901+1&gt;AH!$U$6,AND(AH!$M$5="Bloomberg",AH!$U$5=0)),"",IFERROR(IF(AND(AH!$U$12=1,2901+1=AH!$U$6),TODAY(),IF(AH!$U$5=1,INDEX('Live History'!$A$5:$A$3004,AH!$U$7+2901),INDEX('AH History'!$A$5:$A$1380,AH!$U$7+2901))),""))</f>
        <v/>
      </c>
      <c r="B2906" s="33">
        <f>IFERROR(IF(AH!$U$11=1,NA(),$J2906/$E2906-1),NA())</f>
        <v/>
      </c>
      <c r="C2906" s="269">
        <f>IFERROR(100*$E2906/$E$5,NA())</f>
        <v/>
      </c>
      <c r="D2906" s="269">
        <f>IFERROR(100*$J2906/$J$5,NA())</f>
        <v/>
      </c>
      <c r="E2906" s="32">
        <f>IFERROR(IF(AND(ISNUMBER($A2906),N(IF(AND(AH!$U$12=1,2901+1=AH!$U$6),IF(AH!$U$4=0,"unavailable",INDEX('Market Data'!$AN$5:$AN$66,AH!$U$4)),IF(AH!$U$5=1,INDEX('Live History'!$B$5:$B$3004,$K2906),INDEX('AH History'!$D$5:$GG$1380,$K2906,AH!$U$10))))&gt;0),IF(AND(AH!$U$12=1,2901+1=AH!$U$6),IF(AH!$U$4=0,"unavailable",INDEX('Market Data'!$AN$5:$AN$66,AH!$U$4)),IF(AH!$U$5=1,INDEX('Live History'!$B$5:$B$3004,$K2906),INDEX('AH History'!$D$5:$GG$1380,$K2906,AH!$U$10))),NA()),NA())</f>
        <v/>
      </c>
      <c r="F2906" s="32">
        <f>IFERROR(IF(ISNUMBER($A2906),IF(AND(AH!$U$12=1,2901+1=AH!$U$6),IF(AH!$U$4=0,"unavailable",INDEX('Market Data'!$AO$5:$AO$66,AH!$U$4)),IF(AH!$U$5=1,INDEX('Live History'!$E$5:$E$3004,MATCH($A2906,'Live History'!$D$5:$D$3004,1)),INDEX('AH History'!$D$5:$GG$1380,$K2906,AH!$U$10+1))),NA()),NA())</f>
        <v/>
      </c>
      <c r="G2906" s="34">
        <f>IFERROR(IF(ISNUMBER($A2906),IF(AND(AH!$U$12=1,2901+1=AH!$U$6),IF(AH!$U$4=0,"unavailable",INDEX('Market Data'!$AK$5:$AK$66,AH!$U$4)),IF(AH!$U$5=1,INDEX('Live History'!$D$5:$D$3004,MATCH($A2906,'Live History'!$D$5:$D$3004,1)),INDEX('AH History'!$D$5:$GG$1380,$K2906,AH!$U$10+2))),NA()),NA())</f>
        <v/>
      </c>
      <c r="H2906" s="266">
        <f>IFERROR(IF(ISNUMBER($A2906),IF(AND(AH!$U$12=1,2901+1=AH!$U$6),IF(AH!$U$4=0,"unavailable",INDEX('Market Data'!$AP$5:$AP$66,AH!$U$4)),IF(AH!$U$5=1,INDEX('Live History'!$H$5:$H$3004,MATCH($A2906,'Live History'!$G$5:$G$3004,1)),INDEX('AH History'!$B$5:$B$1380,$K2906))),NA()),NA())</f>
        <v/>
      </c>
      <c r="I2906" s="34">
        <f>IFERROR(IF(ISNUMBER($A2906),IF(AND(AH!$U$12=1,2901+1=AH!$U$6),TODAY(),IF(AH!$U$5=1,INDEX('Live History'!$G$5:$G$3004,MATCH($A2906,'Live History'!$G$5:$G$3004,1)),INDEX('AH History'!$C$5:$C$1380,$K2906))),NA()),NA())</f>
        <v/>
      </c>
      <c r="J2906" s="32">
        <f>IFERROR(IF(AND($F2906&gt;0,$H2906&gt;0,$A2906-$G2906&lt;=10,$A2906-$I2906&lt;=5,$G2906&gt;0,$I2906&gt;0),$F2906*$H2906,NA()),NA())</f>
        <v/>
      </c>
      <c r="K2906" s="15">
        <f>IF($A2906="","",IF(AH!$U$5=1,IFERROR(MATCH($A2906,'Live History'!$A$5:$A$3004,0),0),AH!$U$7+2901))</f>
        <v/>
      </c>
      <c r="L2906" s="15">
        <f>IF(ISNUMBER(A2906),TEXT(A2906,"dd-mmm-yy"),"")</f>
        <v/>
      </c>
    </row>
    <row r="2907">
      <c r="A2907" s="14">
        <f>IF(OR(AH!$U$4=0,2902+1&gt;AH!$U$6,AND(AH!$M$5="Bloomberg",AH!$U$5=0)),"",IFERROR(IF(AND(AH!$U$12=1,2902+1=AH!$U$6),TODAY(),IF(AH!$U$5=1,INDEX('Live History'!$A$5:$A$3004,AH!$U$7+2902),INDEX('AH History'!$A$5:$A$1380,AH!$U$7+2902))),""))</f>
        <v/>
      </c>
      <c r="B2907" s="33">
        <f>IFERROR(IF(AH!$U$11=1,NA(),$J2907/$E2907-1),NA())</f>
        <v/>
      </c>
      <c r="C2907" s="269">
        <f>IFERROR(100*$E2907/$E$5,NA())</f>
        <v/>
      </c>
      <c r="D2907" s="269">
        <f>IFERROR(100*$J2907/$J$5,NA())</f>
        <v/>
      </c>
      <c r="E2907" s="32">
        <f>IFERROR(IF(AND(ISNUMBER($A2907),N(IF(AND(AH!$U$12=1,2902+1=AH!$U$6),IF(AH!$U$4=0,"unavailable",INDEX('Market Data'!$AN$5:$AN$66,AH!$U$4)),IF(AH!$U$5=1,INDEX('Live History'!$B$5:$B$3004,$K2907),INDEX('AH History'!$D$5:$GG$1380,$K2907,AH!$U$10))))&gt;0),IF(AND(AH!$U$12=1,2902+1=AH!$U$6),IF(AH!$U$4=0,"unavailable",INDEX('Market Data'!$AN$5:$AN$66,AH!$U$4)),IF(AH!$U$5=1,INDEX('Live History'!$B$5:$B$3004,$K2907),INDEX('AH History'!$D$5:$GG$1380,$K2907,AH!$U$10))),NA()),NA())</f>
        <v/>
      </c>
      <c r="F2907" s="32">
        <f>IFERROR(IF(ISNUMBER($A2907),IF(AND(AH!$U$12=1,2902+1=AH!$U$6),IF(AH!$U$4=0,"unavailable",INDEX('Market Data'!$AO$5:$AO$66,AH!$U$4)),IF(AH!$U$5=1,INDEX('Live History'!$E$5:$E$3004,MATCH($A2907,'Live History'!$D$5:$D$3004,1)),INDEX('AH History'!$D$5:$GG$1380,$K2907,AH!$U$10+1))),NA()),NA())</f>
        <v/>
      </c>
      <c r="G2907" s="34">
        <f>IFERROR(IF(ISNUMBER($A2907),IF(AND(AH!$U$12=1,2902+1=AH!$U$6),IF(AH!$U$4=0,"unavailable",INDEX('Market Data'!$AK$5:$AK$66,AH!$U$4)),IF(AH!$U$5=1,INDEX('Live History'!$D$5:$D$3004,MATCH($A2907,'Live History'!$D$5:$D$3004,1)),INDEX('AH History'!$D$5:$GG$1380,$K2907,AH!$U$10+2))),NA()),NA())</f>
        <v/>
      </c>
      <c r="H2907" s="266">
        <f>IFERROR(IF(ISNUMBER($A2907),IF(AND(AH!$U$12=1,2902+1=AH!$U$6),IF(AH!$U$4=0,"unavailable",INDEX('Market Data'!$AP$5:$AP$66,AH!$U$4)),IF(AH!$U$5=1,INDEX('Live History'!$H$5:$H$3004,MATCH($A2907,'Live History'!$G$5:$G$3004,1)),INDEX('AH History'!$B$5:$B$1380,$K2907))),NA()),NA())</f>
        <v/>
      </c>
      <c r="I2907" s="34">
        <f>IFERROR(IF(ISNUMBER($A2907),IF(AND(AH!$U$12=1,2902+1=AH!$U$6),TODAY(),IF(AH!$U$5=1,INDEX('Live History'!$G$5:$G$3004,MATCH($A2907,'Live History'!$G$5:$G$3004,1)),INDEX('AH History'!$C$5:$C$1380,$K2907))),NA()),NA())</f>
        <v/>
      </c>
      <c r="J2907" s="32">
        <f>IFERROR(IF(AND($F2907&gt;0,$H2907&gt;0,$A2907-$G2907&lt;=10,$A2907-$I2907&lt;=5,$G2907&gt;0,$I2907&gt;0),$F2907*$H2907,NA()),NA())</f>
        <v/>
      </c>
      <c r="K2907" s="15">
        <f>IF($A2907="","",IF(AH!$U$5=1,IFERROR(MATCH($A2907,'Live History'!$A$5:$A$3004,0),0),AH!$U$7+2902))</f>
        <v/>
      </c>
      <c r="L2907" s="15">
        <f>IF(ISNUMBER(A2907),TEXT(A2907,"dd-mmm-yy"),"")</f>
        <v/>
      </c>
    </row>
    <row r="2908">
      <c r="A2908" s="14">
        <f>IF(OR(AH!$U$4=0,2903+1&gt;AH!$U$6,AND(AH!$M$5="Bloomberg",AH!$U$5=0)),"",IFERROR(IF(AND(AH!$U$12=1,2903+1=AH!$U$6),TODAY(),IF(AH!$U$5=1,INDEX('Live History'!$A$5:$A$3004,AH!$U$7+2903),INDEX('AH History'!$A$5:$A$1380,AH!$U$7+2903))),""))</f>
        <v/>
      </c>
      <c r="B2908" s="33">
        <f>IFERROR(IF(AH!$U$11=1,NA(),$J2908/$E2908-1),NA())</f>
        <v/>
      </c>
      <c r="C2908" s="269">
        <f>IFERROR(100*$E2908/$E$5,NA())</f>
        <v/>
      </c>
      <c r="D2908" s="269">
        <f>IFERROR(100*$J2908/$J$5,NA())</f>
        <v/>
      </c>
      <c r="E2908" s="32">
        <f>IFERROR(IF(AND(ISNUMBER($A2908),N(IF(AND(AH!$U$12=1,2903+1=AH!$U$6),IF(AH!$U$4=0,"unavailable",INDEX('Market Data'!$AN$5:$AN$66,AH!$U$4)),IF(AH!$U$5=1,INDEX('Live History'!$B$5:$B$3004,$K2908),INDEX('AH History'!$D$5:$GG$1380,$K2908,AH!$U$10))))&gt;0),IF(AND(AH!$U$12=1,2903+1=AH!$U$6),IF(AH!$U$4=0,"unavailable",INDEX('Market Data'!$AN$5:$AN$66,AH!$U$4)),IF(AH!$U$5=1,INDEX('Live History'!$B$5:$B$3004,$K2908),INDEX('AH History'!$D$5:$GG$1380,$K2908,AH!$U$10))),NA()),NA())</f>
        <v/>
      </c>
      <c r="F2908" s="32">
        <f>IFERROR(IF(ISNUMBER($A2908),IF(AND(AH!$U$12=1,2903+1=AH!$U$6),IF(AH!$U$4=0,"unavailable",INDEX('Market Data'!$AO$5:$AO$66,AH!$U$4)),IF(AH!$U$5=1,INDEX('Live History'!$E$5:$E$3004,MATCH($A2908,'Live History'!$D$5:$D$3004,1)),INDEX('AH History'!$D$5:$GG$1380,$K2908,AH!$U$10+1))),NA()),NA())</f>
        <v/>
      </c>
      <c r="G2908" s="34">
        <f>IFERROR(IF(ISNUMBER($A2908),IF(AND(AH!$U$12=1,2903+1=AH!$U$6),IF(AH!$U$4=0,"unavailable",INDEX('Market Data'!$AK$5:$AK$66,AH!$U$4)),IF(AH!$U$5=1,INDEX('Live History'!$D$5:$D$3004,MATCH($A2908,'Live History'!$D$5:$D$3004,1)),INDEX('AH History'!$D$5:$GG$1380,$K2908,AH!$U$10+2))),NA()),NA())</f>
        <v/>
      </c>
      <c r="H2908" s="266">
        <f>IFERROR(IF(ISNUMBER($A2908),IF(AND(AH!$U$12=1,2903+1=AH!$U$6),IF(AH!$U$4=0,"unavailable",INDEX('Market Data'!$AP$5:$AP$66,AH!$U$4)),IF(AH!$U$5=1,INDEX('Live History'!$H$5:$H$3004,MATCH($A2908,'Live History'!$G$5:$G$3004,1)),INDEX('AH History'!$B$5:$B$1380,$K2908))),NA()),NA())</f>
        <v/>
      </c>
      <c r="I2908" s="34">
        <f>IFERROR(IF(ISNUMBER($A2908),IF(AND(AH!$U$12=1,2903+1=AH!$U$6),TODAY(),IF(AH!$U$5=1,INDEX('Live History'!$G$5:$G$3004,MATCH($A2908,'Live History'!$G$5:$G$3004,1)),INDEX('AH History'!$C$5:$C$1380,$K2908))),NA()),NA())</f>
        <v/>
      </c>
      <c r="J2908" s="32">
        <f>IFERROR(IF(AND($F2908&gt;0,$H2908&gt;0,$A2908-$G2908&lt;=10,$A2908-$I2908&lt;=5,$G2908&gt;0,$I2908&gt;0),$F2908*$H2908,NA()),NA())</f>
        <v/>
      </c>
      <c r="K2908" s="15">
        <f>IF($A2908="","",IF(AH!$U$5=1,IFERROR(MATCH($A2908,'Live History'!$A$5:$A$3004,0),0),AH!$U$7+2903))</f>
        <v/>
      </c>
      <c r="L2908" s="15">
        <f>IF(ISNUMBER(A2908),TEXT(A2908,"dd-mmm-yy"),"")</f>
        <v/>
      </c>
    </row>
    <row r="2909">
      <c r="A2909" s="14">
        <f>IF(OR(AH!$U$4=0,2904+1&gt;AH!$U$6,AND(AH!$M$5="Bloomberg",AH!$U$5=0)),"",IFERROR(IF(AND(AH!$U$12=1,2904+1=AH!$U$6),TODAY(),IF(AH!$U$5=1,INDEX('Live History'!$A$5:$A$3004,AH!$U$7+2904),INDEX('AH History'!$A$5:$A$1380,AH!$U$7+2904))),""))</f>
        <v/>
      </c>
      <c r="B2909" s="33">
        <f>IFERROR(IF(AH!$U$11=1,NA(),$J2909/$E2909-1),NA())</f>
        <v/>
      </c>
      <c r="C2909" s="269">
        <f>IFERROR(100*$E2909/$E$5,NA())</f>
        <v/>
      </c>
      <c r="D2909" s="269">
        <f>IFERROR(100*$J2909/$J$5,NA())</f>
        <v/>
      </c>
      <c r="E2909" s="32">
        <f>IFERROR(IF(AND(ISNUMBER($A2909),N(IF(AND(AH!$U$12=1,2904+1=AH!$U$6),IF(AH!$U$4=0,"unavailable",INDEX('Market Data'!$AN$5:$AN$66,AH!$U$4)),IF(AH!$U$5=1,INDEX('Live History'!$B$5:$B$3004,$K2909),INDEX('AH History'!$D$5:$GG$1380,$K2909,AH!$U$10))))&gt;0),IF(AND(AH!$U$12=1,2904+1=AH!$U$6),IF(AH!$U$4=0,"unavailable",INDEX('Market Data'!$AN$5:$AN$66,AH!$U$4)),IF(AH!$U$5=1,INDEX('Live History'!$B$5:$B$3004,$K2909),INDEX('AH History'!$D$5:$GG$1380,$K2909,AH!$U$10))),NA()),NA())</f>
        <v/>
      </c>
      <c r="F2909" s="32">
        <f>IFERROR(IF(ISNUMBER($A2909),IF(AND(AH!$U$12=1,2904+1=AH!$U$6),IF(AH!$U$4=0,"unavailable",INDEX('Market Data'!$AO$5:$AO$66,AH!$U$4)),IF(AH!$U$5=1,INDEX('Live History'!$E$5:$E$3004,MATCH($A2909,'Live History'!$D$5:$D$3004,1)),INDEX('AH History'!$D$5:$GG$1380,$K2909,AH!$U$10+1))),NA()),NA())</f>
        <v/>
      </c>
      <c r="G2909" s="34">
        <f>IFERROR(IF(ISNUMBER($A2909),IF(AND(AH!$U$12=1,2904+1=AH!$U$6),IF(AH!$U$4=0,"unavailable",INDEX('Market Data'!$AK$5:$AK$66,AH!$U$4)),IF(AH!$U$5=1,INDEX('Live History'!$D$5:$D$3004,MATCH($A2909,'Live History'!$D$5:$D$3004,1)),INDEX('AH History'!$D$5:$GG$1380,$K2909,AH!$U$10+2))),NA()),NA())</f>
        <v/>
      </c>
      <c r="H2909" s="266">
        <f>IFERROR(IF(ISNUMBER($A2909),IF(AND(AH!$U$12=1,2904+1=AH!$U$6),IF(AH!$U$4=0,"unavailable",INDEX('Market Data'!$AP$5:$AP$66,AH!$U$4)),IF(AH!$U$5=1,INDEX('Live History'!$H$5:$H$3004,MATCH($A2909,'Live History'!$G$5:$G$3004,1)),INDEX('AH History'!$B$5:$B$1380,$K2909))),NA()),NA())</f>
        <v/>
      </c>
      <c r="I2909" s="34">
        <f>IFERROR(IF(ISNUMBER($A2909),IF(AND(AH!$U$12=1,2904+1=AH!$U$6),TODAY(),IF(AH!$U$5=1,INDEX('Live History'!$G$5:$G$3004,MATCH($A2909,'Live History'!$G$5:$G$3004,1)),INDEX('AH History'!$C$5:$C$1380,$K2909))),NA()),NA())</f>
        <v/>
      </c>
      <c r="J2909" s="32">
        <f>IFERROR(IF(AND($F2909&gt;0,$H2909&gt;0,$A2909-$G2909&lt;=10,$A2909-$I2909&lt;=5,$G2909&gt;0,$I2909&gt;0),$F2909*$H2909,NA()),NA())</f>
        <v/>
      </c>
      <c r="K2909" s="15">
        <f>IF($A2909="","",IF(AH!$U$5=1,IFERROR(MATCH($A2909,'Live History'!$A$5:$A$3004,0),0),AH!$U$7+2904))</f>
        <v/>
      </c>
      <c r="L2909" s="15">
        <f>IF(ISNUMBER(A2909),TEXT(A2909,"dd-mmm-yy"),"")</f>
        <v/>
      </c>
    </row>
    <row r="2910">
      <c r="A2910" s="14">
        <f>IF(OR(AH!$U$4=0,2905+1&gt;AH!$U$6,AND(AH!$M$5="Bloomberg",AH!$U$5=0)),"",IFERROR(IF(AND(AH!$U$12=1,2905+1=AH!$U$6),TODAY(),IF(AH!$U$5=1,INDEX('Live History'!$A$5:$A$3004,AH!$U$7+2905),INDEX('AH History'!$A$5:$A$1380,AH!$U$7+2905))),""))</f>
        <v/>
      </c>
      <c r="B2910" s="33">
        <f>IFERROR(IF(AH!$U$11=1,NA(),$J2910/$E2910-1),NA())</f>
        <v/>
      </c>
      <c r="C2910" s="269">
        <f>IFERROR(100*$E2910/$E$5,NA())</f>
        <v/>
      </c>
      <c r="D2910" s="269">
        <f>IFERROR(100*$J2910/$J$5,NA())</f>
        <v/>
      </c>
      <c r="E2910" s="32">
        <f>IFERROR(IF(AND(ISNUMBER($A2910),N(IF(AND(AH!$U$12=1,2905+1=AH!$U$6),IF(AH!$U$4=0,"unavailable",INDEX('Market Data'!$AN$5:$AN$66,AH!$U$4)),IF(AH!$U$5=1,INDEX('Live History'!$B$5:$B$3004,$K2910),INDEX('AH History'!$D$5:$GG$1380,$K2910,AH!$U$10))))&gt;0),IF(AND(AH!$U$12=1,2905+1=AH!$U$6),IF(AH!$U$4=0,"unavailable",INDEX('Market Data'!$AN$5:$AN$66,AH!$U$4)),IF(AH!$U$5=1,INDEX('Live History'!$B$5:$B$3004,$K2910),INDEX('AH History'!$D$5:$GG$1380,$K2910,AH!$U$10))),NA()),NA())</f>
        <v/>
      </c>
      <c r="F2910" s="32">
        <f>IFERROR(IF(ISNUMBER($A2910),IF(AND(AH!$U$12=1,2905+1=AH!$U$6),IF(AH!$U$4=0,"unavailable",INDEX('Market Data'!$AO$5:$AO$66,AH!$U$4)),IF(AH!$U$5=1,INDEX('Live History'!$E$5:$E$3004,MATCH($A2910,'Live History'!$D$5:$D$3004,1)),INDEX('AH History'!$D$5:$GG$1380,$K2910,AH!$U$10+1))),NA()),NA())</f>
        <v/>
      </c>
      <c r="G2910" s="34">
        <f>IFERROR(IF(ISNUMBER($A2910),IF(AND(AH!$U$12=1,2905+1=AH!$U$6),IF(AH!$U$4=0,"unavailable",INDEX('Market Data'!$AK$5:$AK$66,AH!$U$4)),IF(AH!$U$5=1,INDEX('Live History'!$D$5:$D$3004,MATCH($A2910,'Live History'!$D$5:$D$3004,1)),INDEX('AH History'!$D$5:$GG$1380,$K2910,AH!$U$10+2))),NA()),NA())</f>
        <v/>
      </c>
      <c r="H2910" s="266">
        <f>IFERROR(IF(ISNUMBER($A2910),IF(AND(AH!$U$12=1,2905+1=AH!$U$6),IF(AH!$U$4=0,"unavailable",INDEX('Market Data'!$AP$5:$AP$66,AH!$U$4)),IF(AH!$U$5=1,INDEX('Live History'!$H$5:$H$3004,MATCH($A2910,'Live History'!$G$5:$G$3004,1)),INDEX('AH History'!$B$5:$B$1380,$K2910))),NA()),NA())</f>
        <v/>
      </c>
      <c r="I2910" s="34">
        <f>IFERROR(IF(ISNUMBER($A2910),IF(AND(AH!$U$12=1,2905+1=AH!$U$6),TODAY(),IF(AH!$U$5=1,INDEX('Live History'!$G$5:$G$3004,MATCH($A2910,'Live History'!$G$5:$G$3004,1)),INDEX('AH History'!$C$5:$C$1380,$K2910))),NA()),NA())</f>
        <v/>
      </c>
      <c r="J2910" s="32">
        <f>IFERROR(IF(AND($F2910&gt;0,$H2910&gt;0,$A2910-$G2910&lt;=10,$A2910-$I2910&lt;=5,$G2910&gt;0,$I2910&gt;0),$F2910*$H2910,NA()),NA())</f>
        <v/>
      </c>
      <c r="K2910" s="15">
        <f>IF($A2910="","",IF(AH!$U$5=1,IFERROR(MATCH($A2910,'Live History'!$A$5:$A$3004,0),0),AH!$U$7+2905))</f>
        <v/>
      </c>
      <c r="L2910" s="15">
        <f>IF(ISNUMBER(A2910),TEXT(A2910,"dd-mmm-yy"),"")</f>
        <v/>
      </c>
    </row>
    <row r="2911">
      <c r="A2911" s="14">
        <f>IF(OR(AH!$U$4=0,2906+1&gt;AH!$U$6,AND(AH!$M$5="Bloomberg",AH!$U$5=0)),"",IFERROR(IF(AND(AH!$U$12=1,2906+1=AH!$U$6),TODAY(),IF(AH!$U$5=1,INDEX('Live History'!$A$5:$A$3004,AH!$U$7+2906),INDEX('AH History'!$A$5:$A$1380,AH!$U$7+2906))),""))</f>
        <v/>
      </c>
      <c r="B2911" s="33">
        <f>IFERROR(IF(AH!$U$11=1,NA(),$J2911/$E2911-1),NA())</f>
        <v/>
      </c>
      <c r="C2911" s="269">
        <f>IFERROR(100*$E2911/$E$5,NA())</f>
        <v/>
      </c>
      <c r="D2911" s="269">
        <f>IFERROR(100*$J2911/$J$5,NA())</f>
        <v/>
      </c>
      <c r="E2911" s="32">
        <f>IFERROR(IF(AND(ISNUMBER($A2911),N(IF(AND(AH!$U$12=1,2906+1=AH!$U$6),IF(AH!$U$4=0,"unavailable",INDEX('Market Data'!$AN$5:$AN$66,AH!$U$4)),IF(AH!$U$5=1,INDEX('Live History'!$B$5:$B$3004,$K2911),INDEX('AH History'!$D$5:$GG$1380,$K2911,AH!$U$10))))&gt;0),IF(AND(AH!$U$12=1,2906+1=AH!$U$6),IF(AH!$U$4=0,"unavailable",INDEX('Market Data'!$AN$5:$AN$66,AH!$U$4)),IF(AH!$U$5=1,INDEX('Live History'!$B$5:$B$3004,$K2911),INDEX('AH History'!$D$5:$GG$1380,$K2911,AH!$U$10))),NA()),NA())</f>
        <v/>
      </c>
      <c r="F2911" s="32">
        <f>IFERROR(IF(ISNUMBER($A2911),IF(AND(AH!$U$12=1,2906+1=AH!$U$6),IF(AH!$U$4=0,"unavailable",INDEX('Market Data'!$AO$5:$AO$66,AH!$U$4)),IF(AH!$U$5=1,INDEX('Live History'!$E$5:$E$3004,MATCH($A2911,'Live History'!$D$5:$D$3004,1)),INDEX('AH History'!$D$5:$GG$1380,$K2911,AH!$U$10+1))),NA()),NA())</f>
        <v/>
      </c>
      <c r="G2911" s="34">
        <f>IFERROR(IF(ISNUMBER($A2911),IF(AND(AH!$U$12=1,2906+1=AH!$U$6),IF(AH!$U$4=0,"unavailable",INDEX('Market Data'!$AK$5:$AK$66,AH!$U$4)),IF(AH!$U$5=1,INDEX('Live History'!$D$5:$D$3004,MATCH($A2911,'Live History'!$D$5:$D$3004,1)),INDEX('AH History'!$D$5:$GG$1380,$K2911,AH!$U$10+2))),NA()),NA())</f>
        <v/>
      </c>
      <c r="H2911" s="266">
        <f>IFERROR(IF(ISNUMBER($A2911),IF(AND(AH!$U$12=1,2906+1=AH!$U$6),IF(AH!$U$4=0,"unavailable",INDEX('Market Data'!$AP$5:$AP$66,AH!$U$4)),IF(AH!$U$5=1,INDEX('Live History'!$H$5:$H$3004,MATCH($A2911,'Live History'!$G$5:$G$3004,1)),INDEX('AH History'!$B$5:$B$1380,$K2911))),NA()),NA())</f>
        <v/>
      </c>
      <c r="I2911" s="34">
        <f>IFERROR(IF(ISNUMBER($A2911),IF(AND(AH!$U$12=1,2906+1=AH!$U$6),TODAY(),IF(AH!$U$5=1,INDEX('Live History'!$G$5:$G$3004,MATCH($A2911,'Live History'!$G$5:$G$3004,1)),INDEX('AH History'!$C$5:$C$1380,$K2911))),NA()),NA())</f>
        <v/>
      </c>
      <c r="J2911" s="32">
        <f>IFERROR(IF(AND($F2911&gt;0,$H2911&gt;0,$A2911-$G2911&lt;=10,$A2911-$I2911&lt;=5,$G2911&gt;0,$I2911&gt;0),$F2911*$H2911,NA()),NA())</f>
        <v/>
      </c>
      <c r="K2911" s="15">
        <f>IF($A2911="","",IF(AH!$U$5=1,IFERROR(MATCH($A2911,'Live History'!$A$5:$A$3004,0),0),AH!$U$7+2906))</f>
        <v/>
      </c>
      <c r="L2911" s="15">
        <f>IF(ISNUMBER(A2911),TEXT(A2911,"dd-mmm-yy"),"")</f>
        <v/>
      </c>
    </row>
    <row r="2912">
      <c r="A2912" s="14">
        <f>IF(OR(AH!$U$4=0,2907+1&gt;AH!$U$6,AND(AH!$M$5="Bloomberg",AH!$U$5=0)),"",IFERROR(IF(AND(AH!$U$12=1,2907+1=AH!$U$6),TODAY(),IF(AH!$U$5=1,INDEX('Live History'!$A$5:$A$3004,AH!$U$7+2907),INDEX('AH History'!$A$5:$A$1380,AH!$U$7+2907))),""))</f>
        <v/>
      </c>
      <c r="B2912" s="33">
        <f>IFERROR(IF(AH!$U$11=1,NA(),$J2912/$E2912-1),NA())</f>
        <v/>
      </c>
      <c r="C2912" s="269">
        <f>IFERROR(100*$E2912/$E$5,NA())</f>
        <v/>
      </c>
      <c r="D2912" s="269">
        <f>IFERROR(100*$J2912/$J$5,NA())</f>
        <v/>
      </c>
      <c r="E2912" s="32">
        <f>IFERROR(IF(AND(ISNUMBER($A2912),N(IF(AND(AH!$U$12=1,2907+1=AH!$U$6),IF(AH!$U$4=0,"unavailable",INDEX('Market Data'!$AN$5:$AN$66,AH!$U$4)),IF(AH!$U$5=1,INDEX('Live History'!$B$5:$B$3004,$K2912),INDEX('AH History'!$D$5:$GG$1380,$K2912,AH!$U$10))))&gt;0),IF(AND(AH!$U$12=1,2907+1=AH!$U$6),IF(AH!$U$4=0,"unavailable",INDEX('Market Data'!$AN$5:$AN$66,AH!$U$4)),IF(AH!$U$5=1,INDEX('Live History'!$B$5:$B$3004,$K2912),INDEX('AH History'!$D$5:$GG$1380,$K2912,AH!$U$10))),NA()),NA())</f>
        <v/>
      </c>
      <c r="F2912" s="32">
        <f>IFERROR(IF(ISNUMBER($A2912),IF(AND(AH!$U$12=1,2907+1=AH!$U$6),IF(AH!$U$4=0,"unavailable",INDEX('Market Data'!$AO$5:$AO$66,AH!$U$4)),IF(AH!$U$5=1,INDEX('Live History'!$E$5:$E$3004,MATCH($A2912,'Live History'!$D$5:$D$3004,1)),INDEX('AH History'!$D$5:$GG$1380,$K2912,AH!$U$10+1))),NA()),NA())</f>
        <v/>
      </c>
      <c r="G2912" s="34">
        <f>IFERROR(IF(ISNUMBER($A2912),IF(AND(AH!$U$12=1,2907+1=AH!$U$6),IF(AH!$U$4=0,"unavailable",INDEX('Market Data'!$AK$5:$AK$66,AH!$U$4)),IF(AH!$U$5=1,INDEX('Live History'!$D$5:$D$3004,MATCH($A2912,'Live History'!$D$5:$D$3004,1)),INDEX('AH History'!$D$5:$GG$1380,$K2912,AH!$U$10+2))),NA()),NA())</f>
        <v/>
      </c>
      <c r="H2912" s="266">
        <f>IFERROR(IF(ISNUMBER($A2912),IF(AND(AH!$U$12=1,2907+1=AH!$U$6),IF(AH!$U$4=0,"unavailable",INDEX('Market Data'!$AP$5:$AP$66,AH!$U$4)),IF(AH!$U$5=1,INDEX('Live History'!$H$5:$H$3004,MATCH($A2912,'Live History'!$G$5:$G$3004,1)),INDEX('AH History'!$B$5:$B$1380,$K2912))),NA()),NA())</f>
        <v/>
      </c>
      <c r="I2912" s="34">
        <f>IFERROR(IF(ISNUMBER($A2912),IF(AND(AH!$U$12=1,2907+1=AH!$U$6),TODAY(),IF(AH!$U$5=1,INDEX('Live History'!$G$5:$G$3004,MATCH($A2912,'Live History'!$G$5:$G$3004,1)),INDEX('AH History'!$C$5:$C$1380,$K2912))),NA()),NA())</f>
        <v/>
      </c>
      <c r="J2912" s="32">
        <f>IFERROR(IF(AND($F2912&gt;0,$H2912&gt;0,$A2912-$G2912&lt;=10,$A2912-$I2912&lt;=5,$G2912&gt;0,$I2912&gt;0),$F2912*$H2912,NA()),NA())</f>
        <v/>
      </c>
      <c r="K2912" s="15">
        <f>IF($A2912="","",IF(AH!$U$5=1,IFERROR(MATCH($A2912,'Live History'!$A$5:$A$3004,0),0),AH!$U$7+2907))</f>
        <v/>
      </c>
      <c r="L2912" s="15">
        <f>IF(ISNUMBER(A2912),TEXT(A2912,"dd-mmm-yy"),"")</f>
        <v/>
      </c>
    </row>
    <row r="2913">
      <c r="A2913" s="14">
        <f>IF(OR(AH!$U$4=0,2908+1&gt;AH!$U$6,AND(AH!$M$5="Bloomberg",AH!$U$5=0)),"",IFERROR(IF(AND(AH!$U$12=1,2908+1=AH!$U$6),TODAY(),IF(AH!$U$5=1,INDEX('Live History'!$A$5:$A$3004,AH!$U$7+2908),INDEX('AH History'!$A$5:$A$1380,AH!$U$7+2908))),""))</f>
        <v/>
      </c>
      <c r="B2913" s="33">
        <f>IFERROR(IF(AH!$U$11=1,NA(),$J2913/$E2913-1),NA())</f>
        <v/>
      </c>
      <c r="C2913" s="269">
        <f>IFERROR(100*$E2913/$E$5,NA())</f>
        <v/>
      </c>
      <c r="D2913" s="269">
        <f>IFERROR(100*$J2913/$J$5,NA())</f>
        <v/>
      </c>
      <c r="E2913" s="32">
        <f>IFERROR(IF(AND(ISNUMBER($A2913),N(IF(AND(AH!$U$12=1,2908+1=AH!$U$6),IF(AH!$U$4=0,"unavailable",INDEX('Market Data'!$AN$5:$AN$66,AH!$U$4)),IF(AH!$U$5=1,INDEX('Live History'!$B$5:$B$3004,$K2913),INDEX('AH History'!$D$5:$GG$1380,$K2913,AH!$U$10))))&gt;0),IF(AND(AH!$U$12=1,2908+1=AH!$U$6),IF(AH!$U$4=0,"unavailable",INDEX('Market Data'!$AN$5:$AN$66,AH!$U$4)),IF(AH!$U$5=1,INDEX('Live History'!$B$5:$B$3004,$K2913),INDEX('AH History'!$D$5:$GG$1380,$K2913,AH!$U$10))),NA()),NA())</f>
        <v/>
      </c>
      <c r="F2913" s="32">
        <f>IFERROR(IF(ISNUMBER($A2913),IF(AND(AH!$U$12=1,2908+1=AH!$U$6),IF(AH!$U$4=0,"unavailable",INDEX('Market Data'!$AO$5:$AO$66,AH!$U$4)),IF(AH!$U$5=1,INDEX('Live History'!$E$5:$E$3004,MATCH($A2913,'Live History'!$D$5:$D$3004,1)),INDEX('AH History'!$D$5:$GG$1380,$K2913,AH!$U$10+1))),NA()),NA())</f>
        <v/>
      </c>
      <c r="G2913" s="34">
        <f>IFERROR(IF(ISNUMBER($A2913),IF(AND(AH!$U$12=1,2908+1=AH!$U$6),IF(AH!$U$4=0,"unavailable",INDEX('Market Data'!$AK$5:$AK$66,AH!$U$4)),IF(AH!$U$5=1,INDEX('Live History'!$D$5:$D$3004,MATCH($A2913,'Live History'!$D$5:$D$3004,1)),INDEX('AH History'!$D$5:$GG$1380,$K2913,AH!$U$10+2))),NA()),NA())</f>
        <v/>
      </c>
      <c r="H2913" s="266">
        <f>IFERROR(IF(ISNUMBER($A2913),IF(AND(AH!$U$12=1,2908+1=AH!$U$6),IF(AH!$U$4=0,"unavailable",INDEX('Market Data'!$AP$5:$AP$66,AH!$U$4)),IF(AH!$U$5=1,INDEX('Live History'!$H$5:$H$3004,MATCH($A2913,'Live History'!$G$5:$G$3004,1)),INDEX('AH History'!$B$5:$B$1380,$K2913))),NA()),NA())</f>
        <v/>
      </c>
      <c r="I2913" s="34">
        <f>IFERROR(IF(ISNUMBER($A2913),IF(AND(AH!$U$12=1,2908+1=AH!$U$6),TODAY(),IF(AH!$U$5=1,INDEX('Live History'!$G$5:$G$3004,MATCH($A2913,'Live History'!$G$5:$G$3004,1)),INDEX('AH History'!$C$5:$C$1380,$K2913))),NA()),NA())</f>
        <v/>
      </c>
      <c r="J2913" s="32">
        <f>IFERROR(IF(AND($F2913&gt;0,$H2913&gt;0,$A2913-$G2913&lt;=10,$A2913-$I2913&lt;=5,$G2913&gt;0,$I2913&gt;0),$F2913*$H2913,NA()),NA())</f>
        <v/>
      </c>
      <c r="K2913" s="15">
        <f>IF($A2913="","",IF(AH!$U$5=1,IFERROR(MATCH($A2913,'Live History'!$A$5:$A$3004,0),0),AH!$U$7+2908))</f>
        <v/>
      </c>
      <c r="L2913" s="15">
        <f>IF(ISNUMBER(A2913),TEXT(A2913,"dd-mmm-yy"),"")</f>
        <v/>
      </c>
    </row>
    <row r="2914">
      <c r="A2914" s="14">
        <f>IF(OR(AH!$U$4=0,2909+1&gt;AH!$U$6,AND(AH!$M$5="Bloomberg",AH!$U$5=0)),"",IFERROR(IF(AND(AH!$U$12=1,2909+1=AH!$U$6),TODAY(),IF(AH!$U$5=1,INDEX('Live History'!$A$5:$A$3004,AH!$U$7+2909),INDEX('AH History'!$A$5:$A$1380,AH!$U$7+2909))),""))</f>
        <v/>
      </c>
      <c r="B2914" s="33">
        <f>IFERROR(IF(AH!$U$11=1,NA(),$J2914/$E2914-1),NA())</f>
        <v/>
      </c>
      <c r="C2914" s="269">
        <f>IFERROR(100*$E2914/$E$5,NA())</f>
        <v/>
      </c>
      <c r="D2914" s="269">
        <f>IFERROR(100*$J2914/$J$5,NA())</f>
        <v/>
      </c>
      <c r="E2914" s="32">
        <f>IFERROR(IF(AND(ISNUMBER($A2914),N(IF(AND(AH!$U$12=1,2909+1=AH!$U$6),IF(AH!$U$4=0,"unavailable",INDEX('Market Data'!$AN$5:$AN$66,AH!$U$4)),IF(AH!$U$5=1,INDEX('Live History'!$B$5:$B$3004,$K2914),INDEX('AH History'!$D$5:$GG$1380,$K2914,AH!$U$10))))&gt;0),IF(AND(AH!$U$12=1,2909+1=AH!$U$6),IF(AH!$U$4=0,"unavailable",INDEX('Market Data'!$AN$5:$AN$66,AH!$U$4)),IF(AH!$U$5=1,INDEX('Live History'!$B$5:$B$3004,$K2914),INDEX('AH History'!$D$5:$GG$1380,$K2914,AH!$U$10))),NA()),NA())</f>
        <v/>
      </c>
      <c r="F2914" s="32">
        <f>IFERROR(IF(ISNUMBER($A2914),IF(AND(AH!$U$12=1,2909+1=AH!$U$6),IF(AH!$U$4=0,"unavailable",INDEX('Market Data'!$AO$5:$AO$66,AH!$U$4)),IF(AH!$U$5=1,INDEX('Live History'!$E$5:$E$3004,MATCH($A2914,'Live History'!$D$5:$D$3004,1)),INDEX('AH History'!$D$5:$GG$1380,$K2914,AH!$U$10+1))),NA()),NA())</f>
        <v/>
      </c>
      <c r="G2914" s="34">
        <f>IFERROR(IF(ISNUMBER($A2914),IF(AND(AH!$U$12=1,2909+1=AH!$U$6),IF(AH!$U$4=0,"unavailable",INDEX('Market Data'!$AK$5:$AK$66,AH!$U$4)),IF(AH!$U$5=1,INDEX('Live History'!$D$5:$D$3004,MATCH($A2914,'Live History'!$D$5:$D$3004,1)),INDEX('AH History'!$D$5:$GG$1380,$K2914,AH!$U$10+2))),NA()),NA())</f>
        <v/>
      </c>
      <c r="H2914" s="266">
        <f>IFERROR(IF(ISNUMBER($A2914),IF(AND(AH!$U$12=1,2909+1=AH!$U$6),IF(AH!$U$4=0,"unavailable",INDEX('Market Data'!$AP$5:$AP$66,AH!$U$4)),IF(AH!$U$5=1,INDEX('Live History'!$H$5:$H$3004,MATCH($A2914,'Live History'!$G$5:$G$3004,1)),INDEX('AH History'!$B$5:$B$1380,$K2914))),NA()),NA())</f>
        <v/>
      </c>
      <c r="I2914" s="34">
        <f>IFERROR(IF(ISNUMBER($A2914),IF(AND(AH!$U$12=1,2909+1=AH!$U$6),TODAY(),IF(AH!$U$5=1,INDEX('Live History'!$G$5:$G$3004,MATCH($A2914,'Live History'!$G$5:$G$3004,1)),INDEX('AH History'!$C$5:$C$1380,$K2914))),NA()),NA())</f>
        <v/>
      </c>
      <c r="J2914" s="32">
        <f>IFERROR(IF(AND($F2914&gt;0,$H2914&gt;0,$A2914-$G2914&lt;=10,$A2914-$I2914&lt;=5,$G2914&gt;0,$I2914&gt;0),$F2914*$H2914,NA()),NA())</f>
        <v/>
      </c>
      <c r="K2914" s="15">
        <f>IF($A2914="","",IF(AH!$U$5=1,IFERROR(MATCH($A2914,'Live History'!$A$5:$A$3004,0),0),AH!$U$7+2909))</f>
        <v/>
      </c>
      <c r="L2914" s="15">
        <f>IF(ISNUMBER(A2914),TEXT(A2914,"dd-mmm-yy"),"")</f>
        <v/>
      </c>
    </row>
    <row r="2915">
      <c r="A2915" s="14">
        <f>IF(OR(AH!$U$4=0,2910+1&gt;AH!$U$6,AND(AH!$M$5="Bloomberg",AH!$U$5=0)),"",IFERROR(IF(AND(AH!$U$12=1,2910+1=AH!$U$6),TODAY(),IF(AH!$U$5=1,INDEX('Live History'!$A$5:$A$3004,AH!$U$7+2910),INDEX('AH History'!$A$5:$A$1380,AH!$U$7+2910))),""))</f>
        <v/>
      </c>
      <c r="B2915" s="33">
        <f>IFERROR(IF(AH!$U$11=1,NA(),$J2915/$E2915-1),NA())</f>
        <v/>
      </c>
      <c r="C2915" s="269">
        <f>IFERROR(100*$E2915/$E$5,NA())</f>
        <v/>
      </c>
      <c r="D2915" s="269">
        <f>IFERROR(100*$J2915/$J$5,NA())</f>
        <v/>
      </c>
      <c r="E2915" s="32">
        <f>IFERROR(IF(AND(ISNUMBER($A2915),N(IF(AND(AH!$U$12=1,2910+1=AH!$U$6),IF(AH!$U$4=0,"unavailable",INDEX('Market Data'!$AN$5:$AN$66,AH!$U$4)),IF(AH!$U$5=1,INDEX('Live History'!$B$5:$B$3004,$K2915),INDEX('AH History'!$D$5:$GG$1380,$K2915,AH!$U$10))))&gt;0),IF(AND(AH!$U$12=1,2910+1=AH!$U$6),IF(AH!$U$4=0,"unavailable",INDEX('Market Data'!$AN$5:$AN$66,AH!$U$4)),IF(AH!$U$5=1,INDEX('Live History'!$B$5:$B$3004,$K2915),INDEX('AH History'!$D$5:$GG$1380,$K2915,AH!$U$10))),NA()),NA())</f>
        <v/>
      </c>
      <c r="F2915" s="32">
        <f>IFERROR(IF(ISNUMBER($A2915),IF(AND(AH!$U$12=1,2910+1=AH!$U$6),IF(AH!$U$4=0,"unavailable",INDEX('Market Data'!$AO$5:$AO$66,AH!$U$4)),IF(AH!$U$5=1,INDEX('Live History'!$E$5:$E$3004,MATCH($A2915,'Live History'!$D$5:$D$3004,1)),INDEX('AH History'!$D$5:$GG$1380,$K2915,AH!$U$10+1))),NA()),NA())</f>
        <v/>
      </c>
      <c r="G2915" s="34">
        <f>IFERROR(IF(ISNUMBER($A2915),IF(AND(AH!$U$12=1,2910+1=AH!$U$6),IF(AH!$U$4=0,"unavailable",INDEX('Market Data'!$AK$5:$AK$66,AH!$U$4)),IF(AH!$U$5=1,INDEX('Live History'!$D$5:$D$3004,MATCH($A2915,'Live History'!$D$5:$D$3004,1)),INDEX('AH History'!$D$5:$GG$1380,$K2915,AH!$U$10+2))),NA()),NA())</f>
        <v/>
      </c>
      <c r="H2915" s="266">
        <f>IFERROR(IF(ISNUMBER($A2915),IF(AND(AH!$U$12=1,2910+1=AH!$U$6),IF(AH!$U$4=0,"unavailable",INDEX('Market Data'!$AP$5:$AP$66,AH!$U$4)),IF(AH!$U$5=1,INDEX('Live History'!$H$5:$H$3004,MATCH($A2915,'Live History'!$G$5:$G$3004,1)),INDEX('AH History'!$B$5:$B$1380,$K2915))),NA()),NA())</f>
        <v/>
      </c>
      <c r="I2915" s="34">
        <f>IFERROR(IF(ISNUMBER($A2915),IF(AND(AH!$U$12=1,2910+1=AH!$U$6),TODAY(),IF(AH!$U$5=1,INDEX('Live History'!$G$5:$G$3004,MATCH($A2915,'Live History'!$G$5:$G$3004,1)),INDEX('AH History'!$C$5:$C$1380,$K2915))),NA()),NA())</f>
        <v/>
      </c>
      <c r="J2915" s="32">
        <f>IFERROR(IF(AND($F2915&gt;0,$H2915&gt;0,$A2915-$G2915&lt;=10,$A2915-$I2915&lt;=5,$G2915&gt;0,$I2915&gt;0),$F2915*$H2915,NA()),NA())</f>
        <v/>
      </c>
      <c r="K2915" s="15">
        <f>IF($A2915="","",IF(AH!$U$5=1,IFERROR(MATCH($A2915,'Live History'!$A$5:$A$3004,0),0),AH!$U$7+2910))</f>
        <v/>
      </c>
      <c r="L2915" s="15">
        <f>IF(ISNUMBER(A2915),TEXT(A2915,"dd-mmm-yy"),"")</f>
        <v/>
      </c>
    </row>
    <row r="2916">
      <c r="A2916" s="14">
        <f>IF(OR(AH!$U$4=0,2911+1&gt;AH!$U$6,AND(AH!$M$5="Bloomberg",AH!$U$5=0)),"",IFERROR(IF(AND(AH!$U$12=1,2911+1=AH!$U$6),TODAY(),IF(AH!$U$5=1,INDEX('Live History'!$A$5:$A$3004,AH!$U$7+2911),INDEX('AH History'!$A$5:$A$1380,AH!$U$7+2911))),""))</f>
        <v/>
      </c>
      <c r="B2916" s="33">
        <f>IFERROR(IF(AH!$U$11=1,NA(),$J2916/$E2916-1),NA())</f>
        <v/>
      </c>
      <c r="C2916" s="269">
        <f>IFERROR(100*$E2916/$E$5,NA())</f>
        <v/>
      </c>
      <c r="D2916" s="269">
        <f>IFERROR(100*$J2916/$J$5,NA())</f>
        <v/>
      </c>
      <c r="E2916" s="32">
        <f>IFERROR(IF(AND(ISNUMBER($A2916),N(IF(AND(AH!$U$12=1,2911+1=AH!$U$6),IF(AH!$U$4=0,"unavailable",INDEX('Market Data'!$AN$5:$AN$66,AH!$U$4)),IF(AH!$U$5=1,INDEX('Live History'!$B$5:$B$3004,$K2916),INDEX('AH History'!$D$5:$GG$1380,$K2916,AH!$U$10))))&gt;0),IF(AND(AH!$U$12=1,2911+1=AH!$U$6),IF(AH!$U$4=0,"unavailable",INDEX('Market Data'!$AN$5:$AN$66,AH!$U$4)),IF(AH!$U$5=1,INDEX('Live History'!$B$5:$B$3004,$K2916),INDEX('AH History'!$D$5:$GG$1380,$K2916,AH!$U$10))),NA()),NA())</f>
        <v/>
      </c>
      <c r="F2916" s="32">
        <f>IFERROR(IF(ISNUMBER($A2916),IF(AND(AH!$U$12=1,2911+1=AH!$U$6),IF(AH!$U$4=0,"unavailable",INDEX('Market Data'!$AO$5:$AO$66,AH!$U$4)),IF(AH!$U$5=1,INDEX('Live History'!$E$5:$E$3004,MATCH($A2916,'Live History'!$D$5:$D$3004,1)),INDEX('AH History'!$D$5:$GG$1380,$K2916,AH!$U$10+1))),NA()),NA())</f>
        <v/>
      </c>
      <c r="G2916" s="34">
        <f>IFERROR(IF(ISNUMBER($A2916),IF(AND(AH!$U$12=1,2911+1=AH!$U$6),IF(AH!$U$4=0,"unavailable",INDEX('Market Data'!$AK$5:$AK$66,AH!$U$4)),IF(AH!$U$5=1,INDEX('Live History'!$D$5:$D$3004,MATCH($A2916,'Live History'!$D$5:$D$3004,1)),INDEX('AH History'!$D$5:$GG$1380,$K2916,AH!$U$10+2))),NA()),NA())</f>
        <v/>
      </c>
      <c r="H2916" s="266">
        <f>IFERROR(IF(ISNUMBER($A2916),IF(AND(AH!$U$12=1,2911+1=AH!$U$6),IF(AH!$U$4=0,"unavailable",INDEX('Market Data'!$AP$5:$AP$66,AH!$U$4)),IF(AH!$U$5=1,INDEX('Live History'!$H$5:$H$3004,MATCH($A2916,'Live History'!$G$5:$G$3004,1)),INDEX('AH History'!$B$5:$B$1380,$K2916))),NA()),NA())</f>
        <v/>
      </c>
      <c r="I2916" s="34">
        <f>IFERROR(IF(ISNUMBER($A2916),IF(AND(AH!$U$12=1,2911+1=AH!$U$6),TODAY(),IF(AH!$U$5=1,INDEX('Live History'!$G$5:$G$3004,MATCH($A2916,'Live History'!$G$5:$G$3004,1)),INDEX('AH History'!$C$5:$C$1380,$K2916))),NA()),NA())</f>
        <v/>
      </c>
      <c r="J2916" s="32">
        <f>IFERROR(IF(AND($F2916&gt;0,$H2916&gt;0,$A2916-$G2916&lt;=10,$A2916-$I2916&lt;=5,$G2916&gt;0,$I2916&gt;0),$F2916*$H2916,NA()),NA())</f>
        <v/>
      </c>
      <c r="K2916" s="15">
        <f>IF($A2916="","",IF(AH!$U$5=1,IFERROR(MATCH($A2916,'Live History'!$A$5:$A$3004,0),0),AH!$U$7+2911))</f>
        <v/>
      </c>
      <c r="L2916" s="15">
        <f>IF(ISNUMBER(A2916),TEXT(A2916,"dd-mmm-yy"),"")</f>
        <v/>
      </c>
    </row>
    <row r="2917">
      <c r="A2917" s="14">
        <f>IF(OR(AH!$U$4=0,2912+1&gt;AH!$U$6,AND(AH!$M$5="Bloomberg",AH!$U$5=0)),"",IFERROR(IF(AND(AH!$U$12=1,2912+1=AH!$U$6),TODAY(),IF(AH!$U$5=1,INDEX('Live History'!$A$5:$A$3004,AH!$U$7+2912),INDEX('AH History'!$A$5:$A$1380,AH!$U$7+2912))),""))</f>
        <v/>
      </c>
      <c r="B2917" s="33">
        <f>IFERROR(IF(AH!$U$11=1,NA(),$J2917/$E2917-1),NA())</f>
        <v/>
      </c>
      <c r="C2917" s="269">
        <f>IFERROR(100*$E2917/$E$5,NA())</f>
        <v/>
      </c>
      <c r="D2917" s="269">
        <f>IFERROR(100*$J2917/$J$5,NA())</f>
        <v/>
      </c>
      <c r="E2917" s="32">
        <f>IFERROR(IF(AND(ISNUMBER($A2917),N(IF(AND(AH!$U$12=1,2912+1=AH!$U$6),IF(AH!$U$4=0,"unavailable",INDEX('Market Data'!$AN$5:$AN$66,AH!$U$4)),IF(AH!$U$5=1,INDEX('Live History'!$B$5:$B$3004,$K2917),INDEX('AH History'!$D$5:$GG$1380,$K2917,AH!$U$10))))&gt;0),IF(AND(AH!$U$12=1,2912+1=AH!$U$6),IF(AH!$U$4=0,"unavailable",INDEX('Market Data'!$AN$5:$AN$66,AH!$U$4)),IF(AH!$U$5=1,INDEX('Live History'!$B$5:$B$3004,$K2917),INDEX('AH History'!$D$5:$GG$1380,$K2917,AH!$U$10))),NA()),NA())</f>
        <v/>
      </c>
      <c r="F2917" s="32">
        <f>IFERROR(IF(ISNUMBER($A2917),IF(AND(AH!$U$12=1,2912+1=AH!$U$6),IF(AH!$U$4=0,"unavailable",INDEX('Market Data'!$AO$5:$AO$66,AH!$U$4)),IF(AH!$U$5=1,INDEX('Live History'!$E$5:$E$3004,MATCH($A2917,'Live History'!$D$5:$D$3004,1)),INDEX('AH History'!$D$5:$GG$1380,$K2917,AH!$U$10+1))),NA()),NA())</f>
        <v/>
      </c>
      <c r="G2917" s="34">
        <f>IFERROR(IF(ISNUMBER($A2917),IF(AND(AH!$U$12=1,2912+1=AH!$U$6),IF(AH!$U$4=0,"unavailable",INDEX('Market Data'!$AK$5:$AK$66,AH!$U$4)),IF(AH!$U$5=1,INDEX('Live History'!$D$5:$D$3004,MATCH($A2917,'Live History'!$D$5:$D$3004,1)),INDEX('AH History'!$D$5:$GG$1380,$K2917,AH!$U$10+2))),NA()),NA())</f>
        <v/>
      </c>
      <c r="H2917" s="266">
        <f>IFERROR(IF(ISNUMBER($A2917),IF(AND(AH!$U$12=1,2912+1=AH!$U$6),IF(AH!$U$4=0,"unavailable",INDEX('Market Data'!$AP$5:$AP$66,AH!$U$4)),IF(AH!$U$5=1,INDEX('Live History'!$H$5:$H$3004,MATCH($A2917,'Live History'!$G$5:$G$3004,1)),INDEX('AH History'!$B$5:$B$1380,$K2917))),NA()),NA())</f>
        <v/>
      </c>
      <c r="I2917" s="34">
        <f>IFERROR(IF(ISNUMBER($A2917),IF(AND(AH!$U$12=1,2912+1=AH!$U$6),TODAY(),IF(AH!$U$5=1,INDEX('Live History'!$G$5:$G$3004,MATCH($A2917,'Live History'!$G$5:$G$3004,1)),INDEX('AH History'!$C$5:$C$1380,$K2917))),NA()),NA())</f>
        <v/>
      </c>
      <c r="J2917" s="32">
        <f>IFERROR(IF(AND($F2917&gt;0,$H2917&gt;0,$A2917-$G2917&lt;=10,$A2917-$I2917&lt;=5,$G2917&gt;0,$I2917&gt;0),$F2917*$H2917,NA()),NA())</f>
        <v/>
      </c>
      <c r="K2917" s="15">
        <f>IF($A2917="","",IF(AH!$U$5=1,IFERROR(MATCH($A2917,'Live History'!$A$5:$A$3004,0),0),AH!$U$7+2912))</f>
        <v/>
      </c>
      <c r="L2917" s="15">
        <f>IF(ISNUMBER(A2917),TEXT(A2917,"dd-mmm-yy"),"")</f>
        <v/>
      </c>
    </row>
    <row r="2918">
      <c r="A2918" s="14">
        <f>IF(OR(AH!$U$4=0,2913+1&gt;AH!$U$6,AND(AH!$M$5="Bloomberg",AH!$U$5=0)),"",IFERROR(IF(AND(AH!$U$12=1,2913+1=AH!$U$6),TODAY(),IF(AH!$U$5=1,INDEX('Live History'!$A$5:$A$3004,AH!$U$7+2913),INDEX('AH History'!$A$5:$A$1380,AH!$U$7+2913))),""))</f>
        <v/>
      </c>
      <c r="B2918" s="33">
        <f>IFERROR(IF(AH!$U$11=1,NA(),$J2918/$E2918-1),NA())</f>
        <v/>
      </c>
      <c r="C2918" s="269">
        <f>IFERROR(100*$E2918/$E$5,NA())</f>
        <v/>
      </c>
      <c r="D2918" s="269">
        <f>IFERROR(100*$J2918/$J$5,NA())</f>
        <v/>
      </c>
      <c r="E2918" s="32">
        <f>IFERROR(IF(AND(ISNUMBER($A2918),N(IF(AND(AH!$U$12=1,2913+1=AH!$U$6),IF(AH!$U$4=0,"unavailable",INDEX('Market Data'!$AN$5:$AN$66,AH!$U$4)),IF(AH!$U$5=1,INDEX('Live History'!$B$5:$B$3004,$K2918),INDEX('AH History'!$D$5:$GG$1380,$K2918,AH!$U$10))))&gt;0),IF(AND(AH!$U$12=1,2913+1=AH!$U$6),IF(AH!$U$4=0,"unavailable",INDEX('Market Data'!$AN$5:$AN$66,AH!$U$4)),IF(AH!$U$5=1,INDEX('Live History'!$B$5:$B$3004,$K2918),INDEX('AH History'!$D$5:$GG$1380,$K2918,AH!$U$10))),NA()),NA())</f>
        <v/>
      </c>
      <c r="F2918" s="32">
        <f>IFERROR(IF(ISNUMBER($A2918),IF(AND(AH!$U$12=1,2913+1=AH!$U$6),IF(AH!$U$4=0,"unavailable",INDEX('Market Data'!$AO$5:$AO$66,AH!$U$4)),IF(AH!$U$5=1,INDEX('Live History'!$E$5:$E$3004,MATCH($A2918,'Live History'!$D$5:$D$3004,1)),INDEX('AH History'!$D$5:$GG$1380,$K2918,AH!$U$10+1))),NA()),NA())</f>
        <v/>
      </c>
      <c r="G2918" s="34">
        <f>IFERROR(IF(ISNUMBER($A2918),IF(AND(AH!$U$12=1,2913+1=AH!$U$6),IF(AH!$U$4=0,"unavailable",INDEX('Market Data'!$AK$5:$AK$66,AH!$U$4)),IF(AH!$U$5=1,INDEX('Live History'!$D$5:$D$3004,MATCH($A2918,'Live History'!$D$5:$D$3004,1)),INDEX('AH History'!$D$5:$GG$1380,$K2918,AH!$U$10+2))),NA()),NA())</f>
        <v/>
      </c>
      <c r="H2918" s="266">
        <f>IFERROR(IF(ISNUMBER($A2918),IF(AND(AH!$U$12=1,2913+1=AH!$U$6),IF(AH!$U$4=0,"unavailable",INDEX('Market Data'!$AP$5:$AP$66,AH!$U$4)),IF(AH!$U$5=1,INDEX('Live History'!$H$5:$H$3004,MATCH($A2918,'Live History'!$G$5:$G$3004,1)),INDEX('AH History'!$B$5:$B$1380,$K2918))),NA()),NA())</f>
        <v/>
      </c>
      <c r="I2918" s="34">
        <f>IFERROR(IF(ISNUMBER($A2918),IF(AND(AH!$U$12=1,2913+1=AH!$U$6),TODAY(),IF(AH!$U$5=1,INDEX('Live History'!$G$5:$G$3004,MATCH($A2918,'Live History'!$G$5:$G$3004,1)),INDEX('AH History'!$C$5:$C$1380,$K2918))),NA()),NA())</f>
        <v/>
      </c>
      <c r="J2918" s="32">
        <f>IFERROR(IF(AND($F2918&gt;0,$H2918&gt;0,$A2918-$G2918&lt;=10,$A2918-$I2918&lt;=5,$G2918&gt;0,$I2918&gt;0),$F2918*$H2918,NA()),NA())</f>
        <v/>
      </c>
      <c r="K2918" s="15">
        <f>IF($A2918="","",IF(AH!$U$5=1,IFERROR(MATCH($A2918,'Live History'!$A$5:$A$3004,0),0),AH!$U$7+2913))</f>
        <v/>
      </c>
      <c r="L2918" s="15">
        <f>IF(ISNUMBER(A2918),TEXT(A2918,"dd-mmm-yy"),"")</f>
        <v/>
      </c>
    </row>
    <row r="2919">
      <c r="A2919" s="14">
        <f>IF(OR(AH!$U$4=0,2914+1&gt;AH!$U$6,AND(AH!$M$5="Bloomberg",AH!$U$5=0)),"",IFERROR(IF(AND(AH!$U$12=1,2914+1=AH!$U$6),TODAY(),IF(AH!$U$5=1,INDEX('Live History'!$A$5:$A$3004,AH!$U$7+2914),INDEX('AH History'!$A$5:$A$1380,AH!$U$7+2914))),""))</f>
        <v/>
      </c>
      <c r="B2919" s="33">
        <f>IFERROR(IF(AH!$U$11=1,NA(),$J2919/$E2919-1),NA())</f>
        <v/>
      </c>
      <c r="C2919" s="269">
        <f>IFERROR(100*$E2919/$E$5,NA())</f>
        <v/>
      </c>
      <c r="D2919" s="269">
        <f>IFERROR(100*$J2919/$J$5,NA())</f>
        <v/>
      </c>
      <c r="E2919" s="32">
        <f>IFERROR(IF(AND(ISNUMBER($A2919),N(IF(AND(AH!$U$12=1,2914+1=AH!$U$6),IF(AH!$U$4=0,"unavailable",INDEX('Market Data'!$AN$5:$AN$66,AH!$U$4)),IF(AH!$U$5=1,INDEX('Live History'!$B$5:$B$3004,$K2919),INDEX('AH History'!$D$5:$GG$1380,$K2919,AH!$U$10))))&gt;0),IF(AND(AH!$U$12=1,2914+1=AH!$U$6),IF(AH!$U$4=0,"unavailable",INDEX('Market Data'!$AN$5:$AN$66,AH!$U$4)),IF(AH!$U$5=1,INDEX('Live History'!$B$5:$B$3004,$K2919),INDEX('AH History'!$D$5:$GG$1380,$K2919,AH!$U$10))),NA()),NA())</f>
        <v/>
      </c>
      <c r="F2919" s="32">
        <f>IFERROR(IF(ISNUMBER($A2919),IF(AND(AH!$U$12=1,2914+1=AH!$U$6),IF(AH!$U$4=0,"unavailable",INDEX('Market Data'!$AO$5:$AO$66,AH!$U$4)),IF(AH!$U$5=1,INDEX('Live History'!$E$5:$E$3004,MATCH($A2919,'Live History'!$D$5:$D$3004,1)),INDEX('AH History'!$D$5:$GG$1380,$K2919,AH!$U$10+1))),NA()),NA())</f>
        <v/>
      </c>
      <c r="G2919" s="34">
        <f>IFERROR(IF(ISNUMBER($A2919),IF(AND(AH!$U$12=1,2914+1=AH!$U$6),IF(AH!$U$4=0,"unavailable",INDEX('Market Data'!$AK$5:$AK$66,AH!$U$4)),IF(AH!$U$5=1,INDEX('Live History'!$D$5:$D$3004,MATCH($A2919,'Live History'!$D$5:$D$3004,1)),INDEX('AH History'!$D$5:$GG$1380,$K2919,AH!$U$10+2))),NA()),NA())</f>
        <v/>
      </c>
      <c r="H2919" s="266">
        <f>IFERROR(IF(ISNUMBER($A2919),IF(AND(AH!$U$12=1,2914+1=AH!$U$6),IF(AH!$U$4=0,"unavailable",INDEX('Market Data'!$AP$5:$AP$66,AH!$U$4)),IF(AH!$U$5=1,INDEX('Live History'!$H$5:$H$3004,MATCH($A2919,'Live History'!$G$5:$G$3004,1)),INDEX('AH History'!$B$5:$B$1380,$K2919))),NA()),NA())</f>
        <v/>
      </c>
      <c r="I2919" s="34">
        <f>IFERROR(IF(ISNUMBER($A2919),IF(AND(AH!$U$12=1,2914+1=AH!$U$6),TODAY(),IF(AH!$U$5=1,INDEX('Live History'!$G$5:$G$3004,MATCH($A2919,'Live History'!$G$5:$G$3004,1)),INDEX('AH History'!$C$5:$C$1380,$K2919))),NA()),NA())</f>
        <v/>
      </c>
      <c r="J2919" s="32">
        <f>IFERROR(IF(AND($F2919&gt;0,$H2919&gt;0,$A2919-$G2919&lt;=10,$A2919-$I2919&lt;=5,$G2919&gt;0,$I2919&gt;0),$F2919*$H2919,NA()),NA())</f>
        <v/>
      </c>
      <c r="K2919" s="15">
        <f>IF($A2919="","",IF(AH!$U$5=1,IFERROR(MATCH($A2919,'Live History'!$A$5:$A$3004,0),0),AH!$U$7+2914))</f>
        <v/>
      </c>
      <c r="L2919" s="15">
        <f>IF(ISNUMBER(A2919),TEXT(A2919,"dd-mmm-yy"),"")</f>
        <v/>
      </c>
    </row>
    <row r="2920">
      <c r="A2920" s="14">
        <f>IF(OR(AH!$U$4=0,2915+1&gt;AH!$U$6,AND(AH!$M$5="Bloomberg",AH!$U$5=0)),"",IFERROR(IF(AND(AH!$U$12=1,2915+1=AH!$U$6),TODAY(),IF(AH!$U$5=1,INDEX('Live History'!$A$5:$A$3004,AH!$U$7+2915),INDEX('AH History'!$A$5:$A$1380,AH!$U$7+2915))),""))</f>
        <v/>
      </c>
      <c r="B2920" s="33">
        <f>IFERROR(IF(AH!$U$11=1,NA(),$J2920/$E2920-1),NA())</f>
        <v/>
      </c>
      <c r="C2920" s="269">
        <f>IFERROR(100*$E2920/$E$5,NA())</f>
        <v/>
      </c>
      <c r="D2920" s="269">
        <f>IFERROR(100*$J2920/$J$5,NA())</f>
        <v/>
      </c>
      <c r="E2920" s="32">
        <f>IFERROR(IF(AND(ISNUMBER($A2920),N(IF(AND(AH!$U$12=1,2915+1=AH!$U$6),IF(AH!$U$4=0,"unavailable",INDEX('Market Data'!$AN$5:$AN$66,AH!$U$4)),IF(AH!$U$5=1,INDEX('Live History'!$B$5:$B$3004,$K2920),INDEX('AH History'!$D$5:$GG$1380,$K2920,AH!$U$10))))&gt;0),IF(AND(AH!$U$12=1,2915+1=AH!$U$6),IF(AH!$U$4=0,"unavailable",INDEX('Market Data'!$AN$5:$AN$66,AH!$U$4)),IF(AH!$U$5=1,INDEX('Live History'!$B$5:$B$3004,$K2920),INDEX('AH History'!$D$5:$GG$1380,$K2920,AH!$U$10))),NA()),NA())</f>
        <v/>
      </c>
      <c r="F2920" s="32">
        <f>IFERROR(IF(ISNUMBER($A2920),IF(AND(AH!$U$12=1,2915+1=AH!$U$6),IF(AH!$U$4=0,"unavailable",INDEX('Market Data'!$AO$5:$AO$66,AH!$U$4)),IF(AH!$U$5=1,INDEX('Live History'!$E$5:$E$3004,MATCH($A2920,'Live History'!$D$5:$D$3004,1)),INDEX('AH History'!$D$5:$GG$1380,$K2920,AH!$U$10+1))),NA()),NA())</f>
        <v/>
      </c>
      <c r="G2920" s="34">
        <f>IFERROR(IF(ISNUMBER($A2920),IF(AND(AH!$U$12=1,2915+1=AH!$U$6),IF(AH!$U$4=0,"unavailable",INDEX('Market Data'!$AK$5:$AK$66,AH!$U$4)),IF(AH!$U$5=1,INDEX('Live History'!$D$5:$D$3004,MATCH($A2920,'Live History'!$D$5:$D$3004,1)),INDEX('AH History'!$D$5:$GG$1380,$K2920,AH!$U$10+2))),NA()),NA())</f>
        <v/>
      </c>
      <c r="H2920" s="266">
        <f>IFERROR(IF(ISNUMBER($A2920),IF(AND(AH!$U$12=1,2915+1=AH!$U$6),IF(AH!$U$4=0,"unavailable",INDEX('Market Data'!$AP$5:$AP$66,AH!$U$4)),IF(AH!$U$5=1,INDEX('Live History'!$H$5:$H$3004,MATCH($A2920,'Live History'!$G$5:$G$3004,1)),INDEX('AH History'!$B$5:$B$1380,$K2920))),NA()),NA())</f>
        <v/>
      </c>
      <c r="I2920" s="34">
        <f>IFERROR(IF(ISNUMBER($A2920),IF(AND(AH!$U$12=1,2915+1=AH!$U$6),TODAY(),IF(AH!$U$5=1,INDEX('Live History'!$G$5:$G$3004,MATCH($A2920,'Live History'!$G$5:$G$3004,1)),INDEX('AH History'!$C$5:$C$1380,$K2920))),NA()),NA())</f>
        <v/>
      </c>
      <c r="J2920" s="32">
        <f>IFERROR(IF(AND($F2920&gt;0,$H2920&gt;0,$A2920-$G2920&lt;=10,$A2920-$I2920&lt;=5,$G2920&gt;0,$I2920&gt;0),$F2920*$H2920,NA()),NA())</f>
        <v/>
      </c>
      <c r="K2920" s="15">
        <f>IF($A2920="","",IF(AH!$U$5=1,IFERROR(MATCH($A2920,'Live History'!$A$5:$A$3004,0),0),AH!$U$7+2915))</f>
        <v/>
      </c>
      <c r="L2920" s="15">
        <f>IF(ISNUMBER(A2920),TEXT(A2920,"dd-mmm-yy"),"")</f>
        <v/>
      </c>
    </row>
    <row r="2921">
      <c r="A2921" s="14">
        <f>IF(OR(AH!$U$4=0,2916+1&gt;AH!$U$6,AND(AH!$M$5="Bloomberg",AH!$U$5=0)),"",IFERROR(IF(AND(AH!$U$12=1,2916+1=AH!$U$6),TODAY(),IF(AH!$U$5=1,INDEX('Live History'!$A$5:$A$3004,AH!$U$7+2916),INDEX('AH History'!$A$5:$A$1380,AH!$U$7+2916))),""))</f>
        <v/>
      </c>
      <c r="B2921" s="33">
        <f>IFERROR(IF(AH!$U$11=1,NA(),$J2921/$E2921-1),NA())</f>
        <v/>
      </c>
      <c r="C2921" s="269">
        <f>IFERROR(100*$E2921/$E$5,NA())</f>
        <v/>
      </c>
      <c r="D2921" s="269">
        <f>IFERROR(100*$J2921/$J$5,NA())</f>
        <v/>
      </c>
      <c r="E2921" s="32">
        <f>IFERROR(IF(AND(ISNUMBER($A2921),N(IF(AND(AH!$U$12=1,2916+1=AH!$U$6),IF(AH!$U$4=0,"unavailable",INDEX('Market Data'!$AN$5:$AN$66,AH!$U$4)),IF(AH!$U$5=1,INDEX('Live History'!$B$5:$B$3004,$K2921),INDEX('AH History'!$D$5:$GG$1380,$K2921,AH!$U$10))))&gt;0),IF(AND(AH!$U$12=1,2916+1=AH!$U$6),IF(AH!$U$4=0,"unavailable",INDEX('Market Data'!$AN$5:$AN$66,AH!$U$4)),IF(AH!$U$5=1,INDEX('Live History'!$B$5:$B$3004,$K2921),INDEX('AH History'!$D$5:$GG$1380,$K2921,AH!$U$10))),NA()),NA())</f>
        <v/>
      </c>
      <c r="F2921" s="32">
        <f>IFERROR(IF(ISNUMBER($A2921),IF(AND(AH!$U$12=1,2916+1=AH!$U$6),IF(AH!$U$4=0,"unavailable",INDEX('Market Data'!$AO$5:$AO$66,AH!$U$4)),IF(AH!$U$5=1,INDEX('Live History'!$E$5:$E$3004,MATCH($A2921,'Live History'!$D$5:$D$3004,1)),INDEX('AH History'!$D$5:$GG$1380,$K2921,AH!$U$10+1))),NA()),NA())</f>
        <v/>
      </c>
      <c r="G2921" s="34">
        <f>IFERROR(IF(ISNUMBER($A2921),IF(AND(AH!$U$12=1,2916+1=AH!$U$6),IF(AH!$U$4=0,"unavailable",INDEX('Market Data'!$AK$5:$AK$66,AH!$U$4)),IF(AH!$U$5=1,INDEX('Live History'!$D$5:$D$3004,MATCH($A2921,'Live History'!$D$5:$D$3004,1)),INDEX('AH History'!$D$5:$GG$1380,$K2921,AH!$U$10+2))),NA()),NA())</f>
        <v/>
      </c>
      <c r="H2921" s="266">
        <f>IFERROR(IF(ISNUMBER($A2921),IF(AND(AH!$U$12=1,2916+1=AH!$U$6),IF(AH!$U$4=0,"unavailable",INDEX('Market Data'!$AP$5:$AP$66,AH!$U$4)),IF(AH!$U$5=1,INDEX('Live History'!$H$5:$H$3004,MATCH($A2921,'Live History'!$G$5:$G$3004,1)),INDEX('AH History'!$B$5:$B$1380,$K2921))),NA()),NA())</f>
        <v/>
      </c>
      <c r="I2921" s="34">
        <f>IFERROR(IF(ISNUMBER($A2921),IF(AND(AH!$U$12=1,2916+1=AH!$U$6),TODAY(),IF(AH!$U$5=1,INDEX('Live History'!$G$5:$G$3004,MATCH($A2921,'Live History'!$G$5:$G$3004,1)),INDEX('AH History'!$C$5:$C$1380,$K2921))),NA()),NA())</f>
        <v/>
      </c>
      <c r="J2921" s="32">
        <f>IFERROR(IF(AND($F2921&gt;0,$H2921&gt;0,$A2921-$G2921&lt;=10,$A2921-$I2921&lt;=5,$G2921&gt;0,$I2921&gt;0),$F2921*$H2921,NA()),NA())</f>
        <v/>
      </c>
      <c r="K2921" s="15">
        <f>IF($A2921="","",IF(AH!$U$5=1,IFERROR(MATCH($A2921,'Live History'!$A$5:$A$3004,0),0),AH!$U$7+2916))</f>
        <v/>
      </c>
      <c r="L2921" s="15">
        <f>IF(ISNUMBER(A2921),TEXT(A2921,"dd-mmm-yy"),"")</f>
        <v/>
      </c>
    </row>
    <row r="2922">
      <c r="A2922" s="14">
        <f>IF(OR(AH!$U$4=0,2917+1&gt;AH!$U$6,AND(AH!$M$5="Bloomberg",AH!$U$5=0)),"",IFERROR(IF(AND(AH!$U$12=1,2917+1=AH!$U$6),TODAY(),IF(AH!$U$5=1,INDEX('Live History'!$A$5:$A$3004,AH!$U$7+2917),INDEX('AH History'!$A$5:$A$1380,AH!$U$7+2917))),""))</f>
        <v/>
      </c>
      <c r="B2922" s="33">
        <f>IFERROR(IF(AH!$U$11=1,NA(),$J2922/$E2922-1),NA())</f>
        <v/>
      </c>
      <c r="C2922" s="269">
        <f>IFERROR(100*$E2922/$E$5,NA())</f>
        <v/>
      </c>
      <c r="D2922" s="269">
        <f>IFERROR(100*$J2922/$J$5,NA())</f>
        <v/>
      </c>
      <c r="E2922" s="32">
        <f>IFERROR(IF(AND(ISNUMBER($A2922),N(IF(AND(AH!$U$12=1,2917+1=AH!$U$6),IF(AH!$U$4=0,"unavailable",INDEX('Market Data'!$AN$5:$AN$66,AH!$U$4)),IF(AH!$U$5=1,INDEX('Live History'!$B$5:$B$3004,$K2922),INDEX('AH History'!$D$5:$GG$1380,$K2922,AH!$U$10))))&gt;0),IF(AND(AH!$U$12=1,2917+1=AH!$U$6),IF(AH!$U$4=0,"unavailable",INDEX('Market Data'!$AN$5:$AN$66,AH!$U$4)),IF(AH!$U$5=1,INDEX('Live History'!$B$5:$B$3004,$K2922),INDEX('AH History'!$D$5:$GG$1380,$K2922,AH!$U$10))),NA()),NA())</f>
        <v/>
      </c>
      <c r="F2922" s="32">
        <f>IFERROR(IF(ISNUMBER($A2922),IF(AND(AH!$U$12=1,2917+1=AH!$U$6),IF(AH!$U$4=0,"unavailable",INDEX('Market Data'!$AO$5:$AO$66,AH!$U$4)),IF(AH!$U$5=1,INDEX('Live History'!$E$5:$E$3004,MATCH($A2922,'Live History'!$D$5:$D$3004,1)),INDEX('AH History'!$D$5:$GG$1380,$K2922,AH!$U$10+1))),NA()),NA())</f>
        <v/>
      </c>
      <c r="G2922" s="34">
        <f>IFERROR(IF(ISNUMBER($A2922),IF(AND(AH!$U$12=1,2917+1=AH!$U$6),IF(AH!$U$4=0,"unavailable",INDEX('Market Data'!$AK$5:$AK$66,AH!$U$4)),IF(AH!$U$5=1,INDEX('Live History'!$D$5:$D$3004,MATCH($A2922,'Live History'!$D$5:$D$3004,1)),INDEX('AH History'!$D$5:$GG$1380,$K2922,AH!$U$10+2))),NA()),NA())</f>
        <v/>
      </c>
      <c r="H2922" s="266">
        <f>IFERROR(IF(ISNUMBER($A2922),IF(AND(AH!$U$12=1,2917+1=AH!$U$6),IF(AH!$U$4=0,"unavailable",INDEX('Market Data'!$AP$5:$AP$66,AH!$U$4)),IF(AH!$U$5=1,INDEX('Live History'!$H$5:$H$3004,MATCH($A2922,'Live History'!$G$5:$G$3004,1)),INDEX('AH History'!$B$5:$B$1380,$K2922))),NA()),NA())</f>
        <v/>
      </c>
      <c r="I2922" s="34">
        <f>IFERROR(IF(ISNUMBER($A2922),IF(AND(AH!$U$12=1,2917+1=AH!$U$6),TODAY(),IF(AH!$U$5=1,INDEX('Live History'!$G$5:$G$3004,MATCH($A2922,'Live History'!$G$5:$G$3004,1)),INDEX('AH History'!$C$5:$C$1380,$K2922))),NA()),NA())</f>
        <v/>
      </c>
      <c r="J2922" s="32">
        <f>IFERROR(IF(AND($F2922&gt;0,$H2922&gt;0,$A2922-$G2922&lt;=10,$A2922-$I2922&lt;=5,$G2922&gt;0,$I2922&gt;0),$F2922*$H2922,NA()),NA())</f>
        <v/>
      </c>
      <c r="K2922" s="15">
        <f>IF($A2922="","",IF(AH!$U$5=1,IFERROR(MATCH($A2922,'Live History'!$A$5:$A$3004,0),0),AH!$U$7+2917))</f>
        <v/>
      </c>
      <c r="L2922" s="15">
        <f>IF(ISNUMBER(A2922),TEXT(A2922,"dd-mmm-yy"),"")</f>
        <v/>
      </c>
    </row>
    <row r="2923">
      <c r="A2923" s="14">
        <f>IF(OR(AH!$U$4=0,2918+1&gt;AH!$U$6,AND(AH!$M$5="Bloomberg",AH!$U$5=0)),"",IFERROR(IF(AND(AH!$U$12=1,2918+1=AH!$U$6),TODAY(),IF(AH!$U$5=1,INDEX('Live History'!$A$5:$A$3004,AH!$U$7+2918),INDEX('AH History'!$A$5:$A$1380,AH!$U$7+2918))),""))</f>
        <v/>
      </c>
      <c r="B2923" s="33">
        <f>IFERROR(IF(AH!$U$11=1,NA(),$J2923/$E2923-1),NA())</f>
        <v/>
      </c>
      <c r="C2923" s="269">
        <f>IFERROR(100*$E2923/$E$5,NA())</f>
        <v/>
      </c>
      <c r="D2923" s="269">
        <f>IFERROR(100*$J2923/$J$5,NA())</f>
        <v/>
      </c>
      <c r="E2923" s="32">
        <f>IFERROR(IF(AND(ISNUMBER($A2923),N(IF(AND(AH!$U$12=1,2918+1=AH!$U$6),IF(AH!$U$4=0,"unavailable",INDEX('Market Data'!$AN$5:$AN$66,AH!$U$4)),IF(AH!$U$5=1,INDEX('Live History'!$B$5:$B$3004,$K2923),INDEX('AH History'!$D$5:$GG$1380,$K2923,AH!$U$10))))&gt;0),IF(AND(AH!$U$12=1,2918+1=AH!$U$6),IF(AH!$U$4=0,"unavailable",INDEX('Market Data'!$AN$5:$AN$66,AH!$U$4)),IF(AH!$U$5=1,INDEX('Live History'!$B$5:$B$3004,$K2923),INDEX('AH History'!$D$5:$GG$1380,$K2923,AH!$U$10))),NA()),NA())</f>
        <v/>
      </c>
      <c r="F2923" s="32">
        <f>IFERROR(IF(ISNUMBER($A2923),IF(AND(AH!$U$12=1,2918+1=AH!$U$6),IF(AH!$U$4=0,"unavailable",INDEX('Market Data'!$AO$5:$AO$66,AH!$U$4)),IF(AH!$U$5=1,INDEX('Live History'!$E$5:$E$3004,MATCH($A2923,'Live History'!$D$5:$D$3004,1)),INDEX('AH History'!$D$5:$GG$1380,$K2923,AH!$U$10+1))),NA()),NA())</f>
        <v/>
      </c>
      <c r="G2923" s="34">
        <f>IFERROR(IF(ISNUMBER($A2923),IF(AND(AH!$U$12=1,2918+1=AH!$U$6),IF(AH!$U$4=0,"unavailable",INDEX('Market Data'!$AK$5:$AK$66,AH!$U$4)),IF(AH!$U$5=1,INDEX('Live History'!$D$5:$D$3004,MATCH($A2923,'Live History'!$D$5:$D$3004,1)),INDEX('AH History'!$D$5:$GG$1380,$K2923,AH!$U$10+2))),NA()),NA())</f>
        <v/>
      </c>
      <c r="H2923" s="266">
        <f>IFERROR(IF(ISNUMBER($A2923),IF(AND(AH!$U$12=1,2918+1=AH!$U$6),IF(AH!$U$4=0,"unavailable",INDEX('Market Data'!$AP$5:$AP$66,AH!$U$4)),IF(AH!$U$5=1,INDEX('Live History'!$H$5:$H$3004,MATCH($A2923,'Live History'!$G$5:$G$3004,1)),INDEX('AH History'!$B$5:$B$1380,$K2923))),NA()),NA())</f>
        <v/>
      </c>
      <c r="I2923" s="34">
        <f>IFERROR(IF(ISNUMBER($A2923),IF(AND(AH!$U$12=1,2918+1=AH!$U$6),TODAY(),IF(AH!$U$5=1,INDEX('Live History'!$G$5:$G$3004,MATCH($A2923,'Live History'!$G$5:$G$3004,1)),INDEX('AH History'!$C$5:$C$1380,$K2923))),NA()),NA())</f>
        <v/>
      </c>
      <c r="J2923" s="32">
        <f>IFERROR(IF(AND($F2923&gt;0,$H2923&gt;0,$A2923-$G2923&lt;=10,$A2923-$I2923&lt;=5,$G2923&gt;0,$I2923&gt;0),$F2923*$H2923,NA()),NA())</f>
        <v/>
      </c>
      <c r="K2923" s="15">
        <f>IF($A2923="","",IF(AH!$U$5=1,IFERROR(MATCH($A2923,'Live History'!$A$5:$A$3004,0),0),AH!$U$7+2918))</f>
        <v/>
      </c>
      <c r="L2923" s="15">
        <f>IF(ISNUMBER(A2923),TEXT(A2923,"dd-mmm-yy"),"")</f>
        <v/>
      </c>
    </row>
    <row r="2924">
      <c r="A2924" s="14">
        <f>IF(OR(AH!$U$4=0,2919+1&gt;AH!$U$6,AND(AH!$M$5="Bloomberg",AH!$U$5=0)),"",IFERROR(IF(AND(AH!$U$12=1,2919+1=AH!$U$6),TODAY(),IF(AH!$U$5=1,INDEX('Live History'!$A$5:$A$3004,AH!$U$7+2919),INDEX('AH History'!$A$5:$A$1380,AH!$U$7+2919))),""))</f>
        <v/>
      </c>
      <c r="B2924" s="33">
        <f>IFERROR(IF(AH!$U$11=1,NA(),$J2924/$E2924-1),NA())</f>
        <v/>
      </c>
      <c r="C2924" s="269">
        <f>IFERROR(100*$E2924/$E$5,NA())</f>
        <v/>
      </c>
      <c r="D2924" s="269">
        <f>IFERROR(100*$J2924/$J$5,NA())</f>
        <v/>
      </c>
      <c r="E2924" s="32">
        <f>IFERROR(IF(AND(ISNUMBER($A2924),N(IF(AND(AH!$U$12=1,2919+1=AH!$U$6),IF(AH!$U$4=0,"unavailable",INDEX('Market Data'!$AN$5:$AN$66,AH!$U$4)),IF(AH!$U$5=1,INDEX('Live History'!$B$5:$B$3004,$K2924),INDEX('AH History'!$D$5:$GG$1380,$K2924,AH!$U$10))))&gt;0),IF(AND(AH!$U$12=1,2919+1=AH!$U$6),IF(AH!$U$4=0,"unavailable",INDEX('Market Data'!$AN$5:$AN$66,AH!$U$4)),IF(AH!$U$5=1,INDEX('Live History'!$B$5:$B$3004,$K2924),INDEX('AH History'!$D$5:$GG$1380,$K2924,AH!$U$10))),NA()),NA())</f>
        <v/>
      </c>
      <c r="F2924" s="32">
        <f>IFERROR(IF(ISNUMBER($A2924),IF(AND(AH!$U$12=1,2919+1=AH!$U$6),IF(AH!$U$4=0,"unavailable",INDEX('Market Data'!$AO$5:$AO$66,AH!$U$4)),IF(AH!$U$5=1,INDEX('Live History'!$E$5:$E$3004,MATCH($A2924,'Live History'!$D$5:$D$3004,1)),INDEX('AH History'!$D$5:$GG$1380,$K2924,AH!$U$10+1))),NA()),NA())</f>
        <v/>
      </c>
      <c r="G2924" s="34">
        <f>IFERROR(IF(ISNUMBER($A2924),IF(AND(AH!$U$12=1,2919+1=AH!$U$6),IF(AH!$U$4=0,"unavailable",INDEX('Market Data'!$AK$5:$AK$66,AH!$U$4)),IF(AH!$U$5=1,INDEX('Live History'!$D$5:$D$3004,MATCH($A2924,'Live History'!$D$5:$D$3004,1)),INDEX('AH History'!$D$5:$GG$1380,$K2924,AH!$U$10+2))),NA()),NA())</f>
        <v/>
      </c>
      <c r="H2924" s="266">
        <f>IFERROR(IF(ISNUMBER($A2924),IF(AND(AH!$U$12=1,2919+1=AH!$U$6),IF(AH!$U$4=0,"unavailable",INDEX('Market Data'!$AP$5:$AP$66,AH!$U$4)),IF(AH!$U$5=1,INDEX('Live History'!$H$5:$H$3004,MATCH($A2924,'Live History'!$G$5:$G$3004,1)),INDEX('AH History'!$B$5:$B$1380,$K2924))),NA()),NA())</f>
        <v/>
      </c>
      <c r="I2924" s="34">
        <f>IFERROR(IF(ISNUMBER($A2924),IF(AND(AH!$U$12=1,2919+1=AH!$U$6),TODAY(),IF(AH!$U$5=1,INDEX('Live History'!$G$5:$G$3004,MATCH($A2924,'Live History'!$G$5:$G$3004,1)),INDEX('AH History'!$C$5:$C$1380,$K2924))),NA()),NA())</f>
        <v/>
      </c>
      <c r="J2924" s="32">
        <f>IFERROR(IF(AND($F2924&gt;0,$H2924&gt;0,$A2924-$G2924&lt;=10,$A2924-$I2924&lt;=5,$G2924&gt;0,$I2924&gt;0),$F2924*$H2924,NA()),NA())</f>
        <v/>
      </c>
      <c r="K2924" s="15">
        <f>IF($A2924="","",IF(AH!$U$5=1,IFERROR(MATCH($A2924,'Live History'!$A$5:$A$3004,0),0),AH!$U$7+2919))</f>
        <v/>
      </c>
      <c r="L2924" s="15">
        <f>IF(ISNUMBER(A2924),TEXT(A2924,"dd-mmm-yy"),"")</f>
        <v/>
      </c>
    </row>
    <row r="2925">
      <c r="A2925" s="14">
        <f>IF(OR(AH!$U$4=0,2920+1&gt;AH!$U$6,AND(AH!$M$5="Bloomberg",AH!$U$5=0)),"",IFERROR(IF(AND(AH!$U$12=1,2920+1=AH!$U$6),TODAY(),IF(AH!$U$5=1,INDEX('Live History'!$A$5:$A$3004,AH!$U$7+2920),INDEX('AH History'!$A$5:$A$1380,AH!$U$7+2920))),""))</f>
        <v/>
      </c>
      <c r="B2925" s="33">
        <f>IFERROR(IF(AH!$U$11=1,NA(),$J2925/$E2925-1),NA())</f>
        <v/>
      </c>
      <c r="C2925" s="269">
        <f>IFERROR(100*$E2925/$E$5,NA())</f>
        <v/>
      </c>
      <c r="D2925" s="269">
        <f>IFERROR(100*$J2925/$J$5,NA())</f>
        <v/>
      </c>
      <c r="E2925" s="32">
        <f>IFERROR(IF(AND(ISNUMBER($A2925),N(IF(AND(AH!$U$12=1,2920+1=AH!$U$6),IF(AH!$U$4=0,"unavailable",INDEX('Market Data'!$AN$5:$AN$66,AH!$U$4)),IF(AH!$U$5=1,INDEX('Live History'!$B$5:$B$3004,$K2925),INDEX('AH History'!$D$5:$GG$1380,$K2925,AH!$U$10))))&gt;0),IF(AND(AH!$U$12=1,2920+1=AH!$U$6),IF(AH!$U$4=0,"unavailable",INDEX('Market Data'!$AN$5:$AN$66,AH!$U$4)),IF(AH!$U$5=1,INDEX('Live History'!$B$5:$B$3004,$K2925),INDEX('AH History'!$D$5:$GG$1380,$K2925,AH!$U$10))),NA()),NA())</f>
        <v/>
      </c>
      <c r="F2925" s="32">
        <f>IFERROR(IF(ISNUMBER($A2925),IF(AND(AH!$U$12=1,2920+1=AH!$U$6),IF(AH!$U$4=0,"unavailable",INDEX('Market Data'!$AO$5:$AO$66,AH!$U$4)),IF(AH!$U$5=1,INDEX('Live History'!$E$5:$E$3004,MATCH($A2925,'Live History'!$D$5:$D$3004,1)),INDEX('AH History'!$D$5:$GG$1380,$K2925,AH!$U$10+1))),NA()),NA())</f>
        <v/>
      </c>
      <c r="G2925" s="34">
        <f>IFERROR(IF(ISNUMBER($A2925),IF(AND(AH!$U$12=1,2920+1=AH!$U$6),IF(AH!$U$4=0,"unavailable",INDEX('Market Data'!$AK$5:$AK$66,AH!$U$4)),IF(AH!$U$5=1,INDEX('Live History'!$D$5:$D$3004,MATCH($A2925,'Live History'!$D$5:$D$3004,1)),INDEX('AH History'!$D$5:$GG$1380,$K2925,AH!$U$10+2))),NA()),NA())</f>
        <v/>
      </c>
      <c r="H2925" s="266">
        <f>IFERROR(IF(ISNUMBER($A2925),IF(AND(AH!$U$12=1,2920+1=AH!$U$6),IF(AH!$U$4=0,"unavailable",INDEX('Market Data'!$AP$5:$AP$66,AH!$U$4)),IF(AH!$U$5=1,INDEX('Live History'!$H$5:$H$3004,MATCH($A2925,'Live History'!$G$5:$G$3004,1)),INDEX('AH History'!$B$5:$B$1380,$K2925))),NA()),NA())</f>
        <v/>
      </c>
      <c r="I2925" s="34">
        <f>IFERROR(IF(ISNUMBER($A2925),IF(AND(AH!$U$12=1,2920+1=AH!$U$6),TODAY(),IF(AH!$U$5=1,INDEX('Live History'!$G$5:$G$3004,MATCH($A2925,'Live History'!$G$5:$G$3004,1)),INDEX('AH History'!$C$5:$C$1380,$K2925))),NA()),NA())</f>
        <v/>
      </c>
      <c r="J2925" s="32">
        <f>IFERROR(IF(AND($F2925&gt;0,$H2925&gt;0,$A2925-$G2925&lt;=10,$A2925-$I2925&lt;=5,$G2925&gt;0,$I2925&gt;0),$F2925*$H2925,NA()),NA())</f>
        <v/>
      </c>
      <c r="K2925" s="15">
        <f>IF($A2925="","",IF(AH!$U$5=1,IFERROR(MATCH($A2925,'Live History'!$A$5:$A$3004,0),0),AH!$U$7+2920))</f>
        <v/>
      </c>
      <c r="L2925" s="15">
        <f>IF(ISNUMBER(A2925),TEXT(A2925,"dd-mmm-yy"),"")</f>
        <v/>
      </c>
    </row>
    <row r="2926">
      <c r="A2926" s="14">
        <f>IF(OR(AH!$U$4=0,2921+1&gt;AH!$U$6,AND(AH!$M$5="Bloomberg",AH!$U$5=0)),"",IFERROR(IF(AND(AH!$U$12=1,2921+1=AH!$U$6),TODAY(),IF(AH!$U$5=1,INDEX('Live History'!$A$5:$A$3004,AH!$U$7+2921),INDEX('AH History'!$A$5:$A$1380,AH!$U$7+2921))),""))</f>
        <v/>
      </c>
      <c r="B2926" s="33">
        <f>IFERROR(IF(AH!$U$11=1,NA(),$J2926/$E2926-1),NA())</f>
        <v/>
      </c>
      <c r="C2926" s="269">
        <f>IFERROR(100*$E2926/$E$5,NA())</f>
        <v/>
      </c>
      <c r="D2926" s="269">
        <f>IFERROR(100*$J2926/$J$5,NA())</f>
        <v/>
      </c>
      <c r="E2926" s="32">
        <f>IFERROR(IF(AND(ISNUMBER($A2926),N(IF(AND(AH!$U$12=1,2921+1=AH!$U$6),IF(AH!$U$4=0,"unavailable",INDEX('Market Data'!$AN$5:$AN$66,AH!$U$4)),IF(AH!$U$5=1,INDEX('Live History'!$B$5:$B$3004,$K2926),INDEX('AH History'!$D$5:$GG$1380,$K2926,AH!$U$10))))&gt;0),IF(AND(AH!$U$12=1,2921+1=AH!$U$6),IF(AH!$U$4=0,"unavailable",INDEX('Market Data'!$AN$5:$AN$66,AH!$U$4)),IF(AH!$U$5=1,INDEX('Live History'!$B$5:$B$3004,$K2926),INDEX('AH History'!$D$5:$GG$1380,$K2926,AH!$U$10))),NA()),NA())</f>
        <v/>
      </c>
      <c r="F2926" s="32">
        <f>IFERROR(IF(ISNUMBER($A2926),IF(AND(AH!$U$12=1,2921+1=AH!$U$6),IF(AH!$U$4=0,"unavailable",INDEX('Market Data'!$AO$5:$AO$66,AH!$U$4)),IF(AH!$U$5=1,INDEX('Live History'!$E$5:$E$3004,MATCH($A2926,'Live History'!$D$5:$D$3004,1)),INDEX('AH History'!$D$5:$GG$1380,$K2926,AH!$U$10+1))),NA()),NA())</f>
        <v/>
      </c>
      <c r="G2926" s="34">
        <f>IFERROR(IF(ISNUMBER($A2926),IF(AND(AH!$U$12=1,2921+1=AH!$U$6),IF(AH!$U$4=0,"unavailable",INDEX('Market Data'!$AK$5:$AK$66,AH!$U$4)),IF(AH!$U$5=1,INDEX('Live History'!$D$5:$D$3004,MATCH($A2926,'Live History'!$D$5:$D$3004,1)),INDEX('AH History'!$D$5:$GG$1380,$K2926,AH!$U$10+2))),NA()),NA())</f>
        <v/>
      </c>
      <c r="H2926" s="266">
        <f>IFERROR(IF(ISNUMBER($A2926),IF(AND(AH!$U$12=1,2921+1=AH!$U$6),IF(AH!$U$4=0,"unavailable",INDEX('Market Data'!$AP$5:$AP$66,AH!$U$4)),IF(AH!$U$5=1,INDEX('Live History'!$H$5:$H$3004,MATCH($A2926,'Live History'!$G$5:$G$3004,1)),INDEX('AH History'!$B$5:$B$1380,$K2926))),NA()),NA())</f>
        <v/>
      </c>
      <c r="I2926" s="34">
        <f>IFERROR(IF(ISNUMBER($A2926),IF(AND(AH!$U$12=1,2921+1=AH!$U$6),TODAY(),IF(AH!$U$5=1,INDEX('Live History'!$G$5:$G$3004,MATCH($A2926,'Live History'!$G$5:$G$3004,1)),INDEX('AH History'!$C$5:$C$1380,$K2926))),NA()),NA())</f>
        <v/>
      </c>
      <c r="J2926" s="32">
        <f>IFERROR(IF(AND($F2926&gt;0,$H2926&gt;0,$A2926-$G2926&lt;=10,$A2926-$I2926&lt;=5,$G2926&gt;0,$I2926&gt;0),$F2926*$H2926,NA()),NA())</f>
        <v/>
      </c>
      <c r="K2926" s="15">
        <f>IF($A2926="","",IF(AH!$U$5=1,IFERROR(MATCH($A2926,'Live History'!$A$5:$A$3004,0),0),AH!$U$7+2921))</f>
        <v/>
      </c>
      <c r="L2926" s="15">
        <f>IF(ISNUMBER(A2926),TEXT(A2926,"dd-mmm-yy"),"")</f>
        <v/>
      </c>
    </row>
    <row r="2927">
      <c r="A2927" s="14">
        <f>IF(OR(AH!$U$4=0,2922+1&gt;AH!$U$6,AND(AH!$M$5="Bloomberg",AH!$U$5=0)),"",IFERROR(IF(AND(AH!$U$12=1,2922+1=AH!$U$6),TODAY(),IF(AH!$U$5=1,INDEX('Live History'!$A$5:$A$3004,AH!$U$7+2922),INDEX('AH History'!$A$5:$A$1380,AH!$U$7+2922))),""))</f>
        <v/>
      </c>
      <c r="B2927" s="33">
        <f>IFERROR(IF(AH!$U$11=1,NA(),$J2927/$E2927-1),NA())</f>
        <v/>
      </c>
      <c r="C2927" s="269">
        <f>IFERROR(100*$E2927/$E$5,NA())</f>
        <v/>
      </c>
      <c r="D2927" s="269">
        <f>IFERROR(100*$J2927/$J$5,NA())</f>
        <v/>
      </c>
      <c r="E2927" s="32">
        <f>IFERROR(IF(AND(ISNUMBER($A2927),N(IF(AND(AH!$U$12=1,2922+1=AH!$U$6),IF(AH!$U$4=0,"unavailable",INDEX('Market Data'!$AN$5:$AN$66,AH!$U$4)),IF(AH!$U$5=1,INDEX('Live History'!$B$5:$B$3004,$K2927),INDEX('AH History'!$D$5:$GG$1380,$K2927,AH!$U$10))))&gt;0),IF(AND(AH!$U$12=1,2922+1=AH!$U$6),IF(AH!$U$4=0,"unavailable",INDEX('Market Data'!$AN$5:$AN$66,AH!$U$4)),IF(AH!$U$5=1,INDEX('Live History'!$B$5:$B$3004,$K2927),INDEX('AH History'!$D$5:$GG$1380,$K2927,AH!$U$10))),NA()),NA())</f>
        <v/>
      </c>
      <c r="F2927" s="32">
        <f>IFERROR(IF(ISNUMBER($A2927),IF(AND(AH!$U$12=1,2922+1=AH!$U$6),IF(AH!$U$4=0,"unavailable",INDEX('Market Data'!$AO$5:$AO$66,AH!$U$4)),IF(AH!$U$5=1,INDEX('Live History'!$E$5:$E$3004,MATCH($A2927,'Live History'!$D$5:$D$3004,1)),INDEX('AH History'!$D$5:$GG$1380,$K2927,AH!$U$10+1))),NA()),NA())</f>
        <v/>
      </c>
      <c r="G2927" s="34">
        <f>IFERROR(IF(ISNUMBER($A2927),IF(AND(AH!$U$12=1,2922+1=AH!$U$6),IF(AH!$U$4=0,"unavailable",INDEX('Market Data'!$AK$5:$AK$66,AH!$U$4)),IF(AH!$U$5=1,INDEX('Live History'!$D$5:$D$3004,MATCH($A2927,'Live History'!$D$5:$D$3004,1)),INDEX('AH History'!$D$5:$GG$1380,$K2927,AH!$U$10+2))),NA()),NA())</f>
        <v/>
      </c>
      <c r="H2927" s="266">
        <f>IFERROR(IF(ISNUMBER($A2927),IF(AND(AH!$U$12=1,2922+1=AH!$U$6),IF(AH!$U$4=0,"unavailable",INDEX('Market Data'!$AP$5:$AP$66,AH!$U$4)),IF(AH!$U$5=1,INDEX('Live History'!$H$5:$H$3004,MATCH($A2927,'Live History'!$G$5:$G$3004,1)),INDEX('AH History'!$B$5:$B$1380,$K2927))),NA()),NA())</f>
        <v/>
      </c>
      <c r="I2927" s="34">
        <f>IFERROR(IF(ISNUMBER($A2927),IF(AND(AH!$U$12=1,2922+1=AH!$U$6),TODAY(),IF(AH!$U$5=1,INDEX('Live History'!$G$5:$G$3004,MATCH($A2927,'Live History'!$G$5:$G$3004,1)),INDEX('AH History'!$C$5:$C$1380,$K2927))),NA()),NA())</f>
        <v/>
      </c>
      <c r="J2927" s="32">
        <f>IFERROR(IF(AND($F2927&gt;0,$H2927&gt;0,$A2927-$G2927&lt;=10,$A2927-$I2927&lt;=5,$G2927&gt;0,$I2927&gt;0),$F2927*$H2927,NA()),NA())</f>
        <v/>
      </c>
      <c r="K2927" s="15">
        <f>IF($A2927="","",IF(AH!$U$5=1,IFERROR(MATCH($A2927,'Live History'!$A$5:$A$3004,0),0),AH!$U$7+2922))</f>
        <v/>
      </c>
      <c r="L2927" s="15">
        <f>IF(ISNUMBER(A2927),TEXT(A2927,"dd-mmm-yy"),"")</f>
        <v/>
      </c>
    </row>
    <row r="2928">
      <c r="A2928" s="14">
        <f>IF(OR(AH!$U$4=0,2923+1&gt;AH!$U$6,AND(AH!$M$5="Bloomberg",AH!$U$5=0)),"",IFERROR(IF(AND(AH!$U$12=1,2923+1=AH!$U$6),TODAY(),IF(AH!$U$5=1,INDEX('Live History'!$A$5:$A$3004,AH!$U$7+2923),INDEX('AH History'!$A$5:$A$1380,AH!$U$7+2923))),""))</f>
        <v/>
      </c>
      <c r="B2928" s="33">
        <f>IFERROR(IF(AH!$U$11=1,NA(),$J2928/$E2928-1),NA())</f>
        <v/>
      </c>
      <c r="C2928" s="269">
        <f>IFERROR(100*$E2928/$E$5,NA())</f>
        <v/>
      </c>
      <c r="D2928" s="269">
        <f>IFERROR(100*$J2928/$J$5,NA())</f>
        <v/>
      </c>
      <c r="E2928" s="32">
        <f>IFERROR(IF(AND(ISNUMBER($A2928),N(IF(AND(AH!$U$12=1,2923+1=AH!$U$6),IF(AH!$U$4=0,"unavailable",INDEX('Market Data'!$AN$5:$AN$66,AH!$U$4)),IF(AH!$U$5=1,INDEX('Live History'!$B$5:$B$3004,$K2928),INDEX('AH History'!$D$5:$GG$1380,$K2928,AH!$U$10))))&gt;0),IF(AND(AH!$U$12=1,2923+1=AH!$U$6),IF(AH!$U$4=0,"unavailable",INDEX('Market Data'!$AN$5:$AN$66,AH!$U$4)),IF(AH!$U$5=1,INDEX('Live History'!$B$5:$B$3004,$K2928),INDEX('AH History'!$D$5:$GG$1380,$K2928,AH!$U$10))),NA()),NA())</f>
        <v/>
      </c>
      <c r="F2928" s="32">
        <f>IFERROR(IF(ISNUMBER($A2928),IF(AND(AH!$U$12=1,2923+1=AH!$U$6),IF(AH!$U$4=0,"unavailable",INDEX('Market Data'!$AO$5:$AO$66,AH!$U$4)),IF(AH!$U$5=1,INDEX('Live History'!$E$5:$E$3004,MATCH($A2928,'Live History'!$D$5:$D$3004,1)),INDEX('AH History'!$D$5:$GG$1380,$K2928,AH!$U$10+1))),NA()),NA())</f>
        <v/>
      </c>
      <c r="G2928" s="34">
        <f>IFERROR(IF(ISNUMBER($A2928),IF(AND(AH!$U$12=1,2923+1=AH!$U$6),IF(AH!$U$4=0,"unavailable",INDEX('Market Data'!$AK$5:$AK$66,AH!$U$4)),IF(AH!$U$5=1,INDEX('Live History'!$D$5:$D$3004,MATCH($A2928,'Live History'!$D$5:$D$3004,1)),INDEX('AH History'!$D$5:$GG$1380,$K2928,AH!$U$10+2))),NA()),NA())</f>
        <v/>
      </c>
      <c r="H2928" s="266">
        <f>IFERROR(IF(ISNUMBER($A2928),IF(AND(AH!$U$12=1,2923+1=AH!$U$6),IF(AH!$U$4=0,"unavailable",INDEX('Market Data'!$AP$5:$AP$66,AH!$U$4)),IF(AH!$U$5=1,INDEX('Live History'!$H$5:$H$3004,MATCH($A2928,'Live History'!$G$5:$G$3004,1)),INDEX('AH History'!$B$5:$B$1380,$K2928))),NA()),NA())</f>
        <v/>
      </c>
      <c r="I2928" s="34">
        <f>IFERROR(IF(ISNUMBER($A2928),IF(AND(AH!$U$12=1,2923+1=AH!$U$6),TODAY(),IF(AH!$U$5=1,INDEX('Live History'!$G$5:$G$3004,MATCH($A2928,'Live History'!$G$5:$G$3004,1)),INDEX('AH History'!$C$5:$C$1380,$K2928))),NA()),NA())</f>
        <v/>
      </c>
      <c r="J2928" s="32">
        <f>IFERROR(IF(AND($F2928&gt;0,$H2928&gt;0,$A2928-$G2928&lt;=10,$A2928-$I2928&lt;=5,$G2928&gt;0,$I2928&gt;0),$F2928*$H2928,NA()),NA())</f>
        <v/>
      </c>
      <c r="K2928" s="15">
        <f>IF($A2928="","",IF(AH!$U$5=1,IFERROR(MATCH($A2928,'Live History'!$A$5:$A$3004,0),0),AH!$U$7+2923))</f>
        <v/>
      </c>
      <c r="L2928" s="15">
        <f>IF(ISNUMBER(A2928),TEXT(A2928,"dd-mmm-yy"),"")</f>
        <v/>
      </c>
    </row>
    <row r="2929">
      <c r="A2929" s="14">
        <f>IF(OR(AH!$U$4=0,2924+1&gt;AH!$U$6,AND(AH!$M$5="Bloomberg",AH!$U$5=0)),"",IFERROR(IF(AND(AH!$U$12=1,2924+1=AH!$U$6),TODAY(),IF(AH!$U$5=1,INDEX('Live History'!$A$5:$A$3004,AH!$U$7+2924),INDEX('AH History'!$A$5:$A$1380,AH!$U$7+2924))),""))</f>
        <v/>
      </c>
      <c r="B2929" s="33">
        <f>IFERROR(IF(AH!$U$11=1,NA(),$J2929/$E2929-1),NA())</f>
        <v/>
      </c>
      <c r="C2929" s="269">
        <f>IFERROR(100*$E2929/$E$5,NA())</f>
        <v/>
      </c>
      <c r="D2929" s="269">
        <f>IFERROR(100*$J2929/$J$5,NA())</f>
        <v/>
      </c>
      <c r="E2929" s="32">
        <f>IFERROR(IF(AND(ISNUMBER($A2929),N(IF(AND(AH!$U$12=1,2924+1=AH!$U$6),IF(AH!$U$4=0,"unavailable",INDEX('Market Data'!$AN$5:$AN$66,AH!$U$4)),IF(AH!$U$5=1,INDEX('Live History'!$B$5:$B$3004,$K2929),INDEX('AH History'!$D$5:$GG$1380,$K2929,AH!$U$10))))&gt;0),IF(AND(AH!$U$12=1,2924+1=AH!$U$6),IF(AH!$U$4=0,"unavailable",INDEX('Market Data'!$AN$5:$AN$66,AH!$U$4)),IF(AH!$U$5=1,INDEX('Live History'!$B$5:$B$3004,$K2929),INDEX('AH History'!$D$5:$GG$1380,$K2929,AH!$U$10))),NA()),NA())</f>
        <v/>
      </c>
      <c r="F2929" s="32">
        <f>IFERROR(IF(ISNUMBER($A2929),IF(AND(AH!$U$12=1,2924+1=AH!$U$6),IF(AH!$U$4=0,"unavailable",INDEX('Market Data'!$AO$5:$AO$66,AH!$U$4)),IF(AH!$U$5=1,INDEX('Live History'!$E$5:$E$3004,MATCH($A2929,'Live History'!$D$5:$D$3004,1)),INDEX('AH History'!$D$5:$GG$1380,$K2929,AH!$U$10+1))),NA()),NA())</f>
        <v/>
      </c>
      <c r="G2929" s="34">
        <f>IFERROR(IF(ISNUMBER($A2929),IF(AND(AH!$U$12=1,2924+1=AH!$U$6),IF(AH!$U$4=0,"unavailable",INDEX('Market Data'!$AK$5:$AK$66,AH!$U$4)),IF(AH!$U$5=1,INDEX('Live History'!$D$5:$D$3004,MATCH($A2929,'Live History'!$D$5:$D$3004,1)),INDEX('AH History'!$D$5:$GG$1380,$K2929,AH!$U$10+2))),NA()),NA())</f>
        <v/>
      </c>
      <c r="H2929" s="266">
        <f>IFERROR(IF(ISNUMBER($A2929),IF(AND(AH!$U$12=1,2924+1=AH!$U$6),IF(AH!$U$4=0,"unavailable",INDEX('Market Data'!$AP$5:$AP$66,AH!$U$4)),IF(AH!$U$5=1,INDEX('Live History'!$H$5:$H$3004,MATCH($A2929,'Live History'!$G$5:$G$3004,1)),INDEX('AH History'!$B$5:$B$1380,$K2929))),NA()),NA())</f>
        <v/>
      </c>
      <c r="I2929" s="34">
        <f>IFERROR(IF(ISNUMBER($A2929),IF(AND(AH!$U$12=1,2924+1=AH!$U$6),TODAY(),IF(AH!$U$5=1,INDEX('Live History'!$G$5:$G$3004,MATCH($A2929,'Live History'!$G$5:$G$3004,1)),INDEX('AH History'!$C$5:$C$1380,$K2929))),NA()),NA())</f>
        <v/>
      </c>
      <c r="J2929" s="32">
        <f>IFERROR(IF(AND($F2929&gt;0,$H2929&gt;0,$A2929-$G2929&lt;=10,$A2929-$I2929&lt;=5,$G2929&gt;0,$I2929&gt;0),$F2929*$H2929,NA()),NA())</f>
        <v/>
      </c>
      <c r="K2929" s="15">
        <f>IF($A2929="","",IF(AH!$U$5=1,IFERROR(MATCH($A2929,'Live History'!$A$5:$A$3004,0),0),AH!$U$7+2924))</f>
        <v/>
      </c>
      <c r="L2929" s="15">
        <f>IF(ISNUMBER(A2929),TEXT(A2929,"dd-mmm-yy"),"")</f>
        <v/>
      </c>
    </row>
    <row r="2930">
      <c r="A2930" s="14">
        <f>IF(OR(AH!$U$4=0,2925+1&gt;AH!$U$6,AND(AH!$M$5="Bloomberg",AH!$U$5=0)),"",IFERROR(IF(AND(AH!$U$12=1,2925+1=AH!$U$6),TODAY(),IF(AH!$U$5=1,INDEX('Live History'!$A$5:$A$3004,AH!$U$7+2925),INDEX('AH History'!$A$5:$A$1380,AH!$U$7+2925))),""))</f>
        <v/>
      </c>
      <c r="B2930" s="33">
        <f>IFERROR(IF(AH!$U$11=1,NA(),$J2930/$E2930-1),NA())</f>
        <v/>
      </c>
      <c r="C2930" s="269">
        <f>IFERROR(100*$E2930/$E$5,NA())</f>
        <v/>
      </c>
      <c r="D2930" s="269">
        <f>IFERROR(100*$J2930/$J$5,NA())</f>
        <v/>
      </c>
      <c r="E2930" s="32">
        <f>IFERROR(IF(AND(ISNUMBER($A2930),N(IF(AND(AH!$U$12=1,2925+1=AH!$U$6),IF(AH!$U$4=0,"unavailable",INDEX('Market Data'!$AN$5:$AN$66,AH!$U$4)),IF(AH!$U$5=1,INDEX('Live History'!$B$5:$B$3004,$K2930),INDEX('AH History'!$D$5:$GG$1380,$K2930,AH!$U$10))))&gt;0),IF(AND(AH!$U$12=1,2925+1=AH!$U$6),IF(AH!$U$4=0,"unavailable",INDEX('Market Data'!$AN$5:$AN$66,AH!$U$4)),IF(AH!$U$5=1,INDEX('Live History'!$B$5:$B$3004,$K2930),INDEX('AH History'!$D$5:$GG$1380,$K2930,AH!$U$10))),NA()),NA())</f>
        <v/>
      </c>
      <c r="F2930" s="32">
        <f>IFERROR(IF(ISNUMBER($A2930),IF(AND(AH!$U$12=1,2925+1=AH!$U$6),IF(AH!$U$4=0,"unavailable",INDEX('Market Data'!$AO$5:$AO$66,AH!$U$4)),IF(AH!$U$5=1,INDEX('Live History'!$E$5:$E$3004,MATCH($A2930,'Live History'!$D$5:$D$3004,1)),INDEX('AH History'!$D$5:$GG$1380,$K2930,AH!$U$10+1))),NA()),NA())</f>
        <v/>
      </c>
      <c r="G2930" s="34">
        <f>IFERROR(IF(ISNUMBER($A2930),IF(AND(AH!$U$12=1,2925+1=AH!$U$6),IF(AH!$U$4=0,"unavailable",INDEX('Market Data'!$AK$5:$AK$66,AH!$U$4)),IF(AH!$U$5=1,INDEX('Live History'!$D$5:$D$3004,MATCH($A2930,'Live History'!$D$5:$D$3004,1)),INDEX('AH History'!$D$5:$GG$1380,$K2930,AH!$U$10+2))),NA()),NA())</f>
        <v/>
      </c>
      <c r="H2930" s="266">
        <f>IFERROR(IF(ISNUMBER($A2930),IF(AND(AH!$U$12=1,2925+1=AH!$U$6),IF(AH!$U$4=0,"unavailable",INDEX('Market Data'!$AP$5:$AP$66,AH!$U$4)),IF(AH!$U$5=1,INDEX('Live History'!$H$5:$H$3004,MATCH($A2930,'Live History'!$G$5:$G$3004,1)),INDEX('AH History'!$B$5:$B$1380,$K2930))),NA()),NA())</f>
        <v/>
      </c>
      <c r="I2930" s="34">
        <f>IFERROR(IF(ISNUMBER($A2930),IF(AND(AH!$U$12=1,2925+1=AH!$U$6),TODAY(),IF(AH!$U$5=1,INDEX('Live History'!$G$5:$G$3004,MATCH($A2930,'Live History'!$G$5:$G$3004,1)),INDEX('AH History'!$C$5:$C$1380,$K2930))),NA()),NA())</f>
        <v/>
      </c>
      <c r="J2930" s="32">
        <f>IFERROR(IF(AND($F2930&gt;0,$H2930&gt;0,$A2930-$G2930&lt;=10,$A2930-$I2930&lt;=5,$G2930&gt;0,$I2930&gt;0),$F2930*$H2930,NA()),NA())</f>
        <v/>
      </c>
      <c r="K2930" s="15">
        <f>IF($A2930="","",IF(AH!$U$5=1,IFERROR(MATCH($A2930,'Live History'!$A$5:$A$3004,0),0),AH!$U$7+2925))</f>
        <v/>
      </c>
      <c r="L2930" s="15">
        <f>IF(ISNUMBER(A2930),TEXT(A2930,"dd-mmm-yy"),"")</f>
        <v/>
      </c>
    </row>
    <row r="2931">
      <c r="A2931" s="14">
        <f>IF(OR(AH!$U$4=0,2926+1&gt;AH!$U$6,AND(AH!$M$5="Bloomberg",AH!$U$5=0)),"",IFERROR(IF(AND(AH!$U$12=1,2926+1=AH!$U$6),TODAY(),IF(AH!$U$5=1,INDEX('Live History'!$A$5:$A$3004,AH!$U$7+2926),INDEX('AH History'!$A$5:$A$1380,AH!$U$7+2926))),""))</f>
        <v/>
      </c>
      <c r="B2931" s="33">
        <f>IFERROR(IF(AH!$U$11=1,NA(),$J2931/$E2931-1),NA())</f>
        <v/>
      </c>
      <c r="C2931" s="269">
        <f>IFERROR(100*$E2931/$E$5,NA())</f>
        <v/>
      </c>
      <c r="D2931" s="269">
        <f>IFERROR(100*$J2931/$J$5,NA())</f>
        <v/>
      </c>
      <c r="E2931" s="32">
        <f>IFERROR(IF(AND(ISNUMBER($A2931),N(IF(AND(AH!$U$12=1,2926+1=AH!$U$6),IF(AH!$U$4=0,"unavailable",INDEX('Market Data'!$AN$5:$AN$66,AH!$U$4)),IF(AH!$U$5=1,INDEX('Live History'!$B$5:$B$3004,$K2931),INDEX('AH History'!$D$5:$GG$1380,$K2931,AH!$U$10))))&gt;0),IF(AND(AH!$U$12=1,2926+1=AH!$U$6),IF(AH!$U$4=0,"unavailable",INDEX('Market Data'!$AN$5:$AN$66,AH!$U$4)),IF(AH!$U$5=1,INDEX('Live History'!$B$5:$B$3004,$K2931),INDEX('AH History'!$D$5:$GG$1380,$K2931,AH!$U$10))),NA()),NA())</f>
        <v/>
      </c>
      <c r="F2931" s="32">
        <f>IFERROR(IF(ISNUMBER($A2931),IF(AND(AH!$U$12=1,2926+1=AH!$U$6),IF(AH!$U$4=0,"unavailable",INDEX('Market Data'!$AO$5:$AO$66,AH!$U$4)),IF(AH!$U$5=1,INDEX('Live History'!$E$5:$E$3004,MATCH($A2931,'Live History'!$D$5:$D$3004,1)),INDEX('AH History'!$D$5:$GG$1380,$K2931,AH!$U$10+1))),NA()),NA())</f>
        <v/>
      </c>
      <c r="G2931" s="34">
        <f>IFERROR(IF(ISNUMBER($A2931),IF(AND(AH!$U$12=1,2926+1=AH!$U$6),IF(AH!$U$4=0,"unavailable",INDEX('Market Data'!$AK$5:$AK$66,AH!$U$4)),IF(AH!$U$5=1,INDEX('Live History'!$D$5:$D$3004,MATCH($A2931,'Live History'!$D$5:$D$3004,1)),INDEX('AH History'!$D$5:$GG$1380,$K2931,AH!$U$10+2))),NA()),NA())</f>
        <v/>
      </c>
      <c r="H2931" s="266">
        <f>IFERROR(IF(ISNUMBER($A2931),IF(AND(AH!$U$12=1,2926+1=AH!$U$6),IF(AH!$U$4=0,"unavailable",INDEX('Market Data'!$AP$5:$AP$66,AH!$U$4)),IF(AH!$U$5=1,INDEX('Live History'!$H$5:$H$3004,MATCH($A2931,'Live History'!$G$5:$G$3004,1)),INDEX('AH History'!$B$5:$B$1380,$K2931))),NA()),NA())</f>
        <v/>
      </c>
      <c r="I2931" s="34">
        <f>IFERROR(IF(ISNUMBER($A2931),IF(AND(AH!$U$12=1,2926+1=AH!$U$6),TODAY(),IF(AH!$U$5=1,INDEX('Live History'!$G$5:$G$3004,MATCH($A2931,'Live History'!$G$5:$G$3004,1)),INDEX('AH History'!$C$5:$C$1380,$K2931))),NA()),NA())</f>
        <v/>
      </c>
      <c r="J2931" s="32">
        <f>IFERROR(IF(AND($F2931&gt;0,$H2931&gt;0,$A2931-$G2931&lt;=10,$A2931-$I2931&lt;=5,$G2931&gt;0,$I2931&gt;0),$F2931*$H2931,NA()),NA())</f>
        <v/>
      </c>
      <c r="K2931" s="15">
        <f>IF($A2931="","",IF(AH!$U$5=1,IFERROR(MATCH($A2931,'Live History'!$A$5:$A$3004,0),0),AH!$U$7+2926))</f>
        <v/>
      </c>
      <c r="L2931" s="15">
        <f>IF(ISNUMBER(A2931),TEXT(A2931,"dd-mmm-yy"),"")</f>
        <v/>
      </c>
    </row>
    <row r="2932">
      <c r="A2932" s="14">
        <f>IF(OR(AH!$U$4=0,2927+1&gt;AH!$U$6,AND(AH!$M$5="Bloomberg",AH!$U$5=0)),"",IFERROR(IF(AND(AH!$U$12=1,2927+1=AH!$U$6),TODAY(),IF(AH!$U$5=1,INDEX('Live History'!$A$5:$A$3004,AH!$U$7+2927),INDEX('AH History'!$A$5:$A$1380,AH!$U$7+2927))),""))</f>
        <v/>
      </c>
      <c r="B2932" s="33">
        <f>IFERROR(IF(AH!$U$11=1,NA(),$J2932/$E2932-1),NA())</f>
        <v/>
      </c>
      <c r="C2932" s="269">
        <f>IFERROR(100*$E2932/$E$5,NA())</f>
        <v/>
      </c>
      <c r="D2932" s="269">
        <f>IFERROR(100*$J2932/$J$5,NA())</f>
        <v/>
      </c>
      <c r="E2932" s="32">
        <f>IFERROR(IF(AND(ISNUMBER($A2932),N(IF(AND(AH!$U$12=1,2927+1=AH!$U$6),IF(AH!$U$4=0,"unavailable",INDEX('Market Data'!$AN$5:$AN$66,AH!$U$4)),IF(AH!$U$5=1,INDEX('Live History'!$B$5:$B$3004,$K2932),INDEX('AH History'!$D$5:$GG$1380,$K2932,AH!$U$10))))&gt;0),IF(AND(AH!$U$12=1,2927+1=AH!$U$6),IF(AH!$U$4=0,"unavailable",INDEX('Market Data'!$AN$5:$AN$66,AH!$U$4)),IF(AH!$U$5=1,INDEX('Live History'!$B$5:$B$3004,$K2932),INDEX('AH History'!$D$5:$GG$1380,$K2932,AH!$U$10))),NA()),NA())</f>
        <v/>
      </c>
      <c r="F2932" s="32">
        <f>IFERROR(IF(ISNUMBER($A2932),IF(AND(AH!$U$12=1,2927+1=AH!$U$6),IF(AH!$U$4=0,"unavailable",INDEX('Market Data'!$AO$5:$AO$66,AH!$U$4)),IF(AH!$U$5=1,INDEX('Live History'!$E$5:$E$3004,MATCH($A2932,'Live History'!$D$5:$D$3004,1)),INDEX('AH History'!$D$5:$GG$1380,$K2932,AH!$U$10+1))),NA()),NA())</f>
        <v/>
      </c>
      <c r="G2932" s="34">
        <f>IFERROR(IF(ISNUMBER($A2932),IF(AND(AH!$U$12=1,2927+1=AH!$U$6),IF(AH!$U$4=0,"unavailable",INDEX('Market Data'!$AK$5:$AK$66,AH!$U$4)),IF(AH!$U$5=1,INDEX('Live History'!$D$5:$D$3004,MATCH($A2932,'Live History'!$D$5:$D$3004,1)),INDEX('AH History'!$D$5:$GG$1380,$K2932,AH!$U$10+2))),NA()),NA())</f>
        <v/>
      </c>
      <c r="H2932" s="266">
        <f>IFERROR(IF(ISNUMBER($A2932),IF(AND(AH!$U$12=1,2927+1=AH!$U$6),IF(AH!$U$4=0,"unavailable",INDEX('Market Data'!$AP$5:$AP$66,AH!$U$4)),IF(AH!$U$5=1,INDEX('Live History'!$H$5:$H$3004,MATCH($A2932,'Live History'!$G$5:$G$3004,1)),INDEX('AH History'!$B$5:$B$1380,$K2932))),NA()),NA())</f>
        <v/>
      </c>
      <c r="I2932" s="34">
        <f>IFERROR(IF(ISNUMBER($A2932),IF(AND(AH!$U$12=1,2927+1=AH!$U$6),TODAY(),IF(AH!$U$5=1,INDEX('Live History'!$G$5:$G$3004,MATCH($A2932,'Live History'!$G$5:$G$3004,1)),INDEX('AH History'!$C$5:$C$1380,$K2932))),NA()),NA())</f>
        <v/>
      </c>
      <c r="J2932" s="32">
        <f>IFERROR(IF(AND($F2932&gt;0,$H2932&gt;0,$A2932-$G2932&lt;=10,$A2932-$I2932&lt;=5,$G2932&gt;0,$I2932&gt;0),$F2932*$H2932,NA()),NA())</f>
        <v/>
      </c>
      <c r="K2932" s="15">
        <f>IF($A2932="","",IF(AH!$U$5=1,IFERROR(MATCH($A2932,'Live History'!$A$5:$A$3004,0),0),AH!$U$7+2927))</f>
        <v/>
      </c>
      <c r="L2932" s="15">
        <f>IF(ISNUMBER(A2932),TEXT(A2932,"dd-mmm-yy"),"")</f>
        <v/>
      </c>
    </row>
    <row r="2933">
      <c r="A2933" s="14">
        <f>IF(OR(AH!$U$4=0,2928+1&gt;AH!$U$6,AND(AH!$M$5="Bloomberg",AH!$U$5=0)),"",IFERROR(IF(AND(AH!$U$12=1,2928+1=AH!$U$6),TODAY(),IF(AH!$U$5=1,INDEX('Live History'!$A$5:$A$3004,AH!$U$7+2928),INDEX('AH History'!$A$5:$A$1380,AH!$U$7+2928))),""))</f>
        <v/>
      </c>
      <c r="B2933" s="33">
        <f>IFERROR(IF(AH!$U$11=1,NA(),$J2933/$E2933-1),NA())</f>
        <v/>
      </c>
      <c r="C2933" s="269">
        <f>IFERROR(100*$E2933/$E$5,NA())</f>
        <v/>
      </c>
      <c r="D2933" s="269">
        <f>IFERROR(100*$J2933/$J$5,NA())</f>
        <v/>
      </c>
      <c r="E2933" s="32">
        <f>IFERROR(IF(AND(ISNUMBER($A2933),N(IF(AND(AH!$U$12=1,2928+1=AH!$U$6),IF(AH!$U$4=0,"unavailable",INDEX('Market Data'!$AN$5:$AN$66,AH!$U$4)),IF(AH!$U$5=1,INDEX('Live History'!$B$5:$B$3004,$K2933),INDEX('AH History'!$D$5:$GG$1380,$K2933,AH!$U$10))))&gt;0),IF(AND(AH!$U$12=1,2928+1=AH!$U$6),IF(AH!$U$4=0,"unavailable",INDEX('Market Data'!$AN$5:$AN$66,AH!$U$4)),IF(AH!$U$5=1,INDEX('Live History'!$B$5:$B$3004,$K2933),INDEX('AH History'!$D$5:$GG$1380,$K2933,AH!$U$10))),NA()),NA())</f>
        <v/>
      </c>
      <c r="F2933" s="32">
        <f>IFERROR(IF(ISNUMBER($A2933),IF(AND(AH!$U$12=1,2928+1=AH!$U$6),IF(AH!$U$4=0,"unavailable",INDEX('Market Data'!$AO$5:$AO$66,AH!$U$4)),IF(AH!$U$5=1,INDEX('Live History'!$E$5:$E$3004,MATCH($A2933,'Live History'!$D$5:$D$3004,1)),INDEX('AH History'!$D$5:$GG$1380,$K2933,AH!$U$10+1))),NA()),NA())</f>
        <v/>
      </c>
      <c r="G2933" s="34">
        <f>IFERROR(IF(ISNUMBER($A2933),IF(AND(AH!$U$12=1,2928+1=AH!$U$6),IF(AH!$U$4=0,"unavailable",INDEX('Market Data'!$AK$5:$AK$66,AH!$U$4)),IF(AH!$U$5=1,INDEX('Live History'!$D$5:$D$3004,MATCH($A2933,'Live History'!$D$5:$D$3004,1)),INDEX('AH History'!$D$5:$GG$1380,$K2933,AH!$U$10+2))),NA()),NA())</f>
        <v/>
      </c>
      <c r="H2933" s="266">
        <f>IFERROR(IF(ISNUMBER($A2933),IF(AND(AH!$U$12=1,2928+1=AH!$U$6),IF(AH!$U$4=0,"unavailable",INDEX('Market Data'!$AP$5:$AP$66,AH!$U$4)),IF(AH!$U$5=1,INDEX('Live History'!$H$5:$H$3004,MATCH($A2933,'Live History'!$G$5:$G$3004,1)),INDEX('AH History'!$B$5:$B$1380,$K2933))),NA()),NA())</f>
        <v/>
      </c>
      <c r="I2933" s="34">
        <f>IFERROR(IF(ISNUMBER($A2933),IF(AND(AH!$U$12=1,2928+1=AH!$U$6),TODAY(),IF(AH!$U$5=1,INDEX('Live History'!$G$5:$G$3004,MATCH($A2933,'Live History'!$G$5:$G$3004,1)),INDEX('AH History'!$C$5:$C$1380,$K2933))),NA()),NA())</f>
        <v/>
      </c>
      <c r="J2933" s="32">
        <f>IFERROR(IF(AND($F2933&gt;0,$H2933&gt;0,$A2933-$G2933&lt;=10,$A2933-$I2933&lt;=5,$G2933&gt;0,$I2933&gt;0),$F2933*$H2933,NA()),NA())</f>
        <v/>
      </c>
      <c r="K2933" s="15">
        <f>IF($A2933="","",IF(AH!$U$5=1,IFERROR(MATCH($A2933,'Live History'!$A$5:$A$3004,0),0),AH!$U$7+2928))</f>
        <v/>
      </c>
      <c r="L2933" s="15">
        <f>IF(ISNUMBER(A2933),TEXT(A2933,"dd-mmm-yy"),"")</f>
        <v/>
      </c>
    </row>
    <row r="2934">
      <c r="A2934" s="14">
        <f>IF(OR(AH!$U$4=0,2929+1&gt;AH!$U$6,AND(AH!$M$5="Bloomberg",AH!$U$5=0)),"",IFERROR(IF(AND(AH!$U$12=1,2929+1=AH!$U$6),TODAY(),IF(AH!$U$5=1,INDEX('Live History'!$A$5:$A$3004,AH!$U$7+2929),INDEX('AH History'!$A$5:$A$1380,AH!$U$7+2929))),""))</f>
        <v/>
      </c>
      <c r="B2934" s="33">
        <f>IFERROR(IF(AH!$U$11=1,NA(),$J2934/$E2934-1),NA())</f>
        <v/>
      </c>
      <c r="C2934" s="269">
        <f>IFERROR(100*$E2934/$E$5,NA())</f>
        <v/>
      </c>
      <c r="D2934" s="269">
        <f>IFERROR(100*$J2934/$J$5,NA())</f>
        <v/>
      </c>
      <c r="E2934" s="32">
        <f>IFERROR(IF(AND(ISNUMBER($A2934),N(IF(AND(AH!$U$12=1,2929+1=AH!$U$6),IF(AH!$U$4=0,"unavailable",INDEX('Market Data'!$AN$5:$AN$66,AH!$U$4)),IF(AH!$U$5=1,INDEX('Live History'!$B$5:$B$3004,$K2934),INDEX('AH History'!$D$5:$GG$1380,$K2934,AH!$U$10))))&gt;0),IF(AND(AH!$U$12=1,2929+1=AH!$U$6),IF(AH!$U$4=0,"unavailable",INDEX('Market Data'!$AN$5:$AN$66,AH!$U$4)),IF(AH!$U$5=1,INDEX('Live History'!$B$5:$B$3004,$K2934),INDEX('AH History'!$D$5:$GG$1380,$K2934,AH!$U$10))),NA()),NA())</f>
        <v/>
      </c>
      <c r="F2934" s="32">
        <f>IFERROR(IF(ISNUMBER($A2934),IF(AND(AH!$U$12=1,2929+1=AH!$U$6),IF(AH!$U$4=0,"unavailable",INDEX('Market Data'!$AO$5:$AO$66,AH!$U$4)),IF(AH!$U$5=1,INDEX('Live History'!$E$5:$E$3004,MATCH($A2934,'Live History'!$D$5:$D$3004,1)),INDEX('AH History'!$D$5:$GG$1380,$K2934,AH!$U$10+1))),NA()),NA())</f>
        <v/>
      </c>
      <c r="G2934" s="34">
        <f>IFERROR(IF(ISNUMBER($A2934),IF(AND(AH!$U$12=1,2929+1=AH!$U$6),IF(AH!$U$4=0,"unavailable",INDEX('Market Data'!$AK$5:$AK$66,AH!$U$4)),IF(AH!$U$5=1,INDEX('Live History'!$D$5:$D$3004,MATCH($A2934,'Live History'!$D$5:$D$3004,1)),INDEX('AH History'!$D$5:$GG$1380,$K2934,AH!$U$10+2))),NA()),NA())</f>
        <v/>
      </c>
      <c r="H2934" s="266">
        <f>IFERROR(IF(ISNUMBER($A2934),IF(AND(AH!$U$12=1,2929+1=AH!$U$6),IF(AH!$U$4=0,"unavailable",INDEX('Market Data'!$AP$5:$AP$66,AH!$U$4)),IF(AH!$U$5=1,INDEX('Live History'!$H$5:$H$3004,MATCH($A2934,'Live History'!$G$5:$G$3004,1)),INDEX('AH History'!$B$5:$B$1380,$K2934))),NA()),NA())</f>
        <v/>
      </c>
      <c r="I2934" s="34">
        <f>IFERROR(IF(ISNUMBER($A2934),IF(AND(AH!$U$12=1,2929+1=AH!$U$6),TODAY(),IF(AH!$U$5=1,INDEX('Live History'!$G$5:$G$3004,MATCH($A2934,'Live History'!$G$5:$G$3004,1)),INDEX('AH History'!$C$5:$C$1380,$K2934))),NA()),NA())</f>
        <v/>
      </c>
      <c r="J2934" s="32">
        <f>IFERROR(IF(AND($F2934&gt;0,$H2934&gt;0,$A2934-$G2934&lt;=10,$A2934-$I2934&lt;=5,$G2934&gt;0,$I2934&gt;0),$F2934*$H2934,NA()),NA())</f>
        <v/>
      </c>
      <c r="K2934" s="15">
        <f>IF($A2934="","",IF(AH!$U$5=1,IFERROR(MATCH($A2934,'Live History'!$A$5:$A$3004,0),0),AH!$U$7+2929))</f>
        <v/>
      </c>
      <c r="L2934" s="15">
        <f>IF(ISNUMBER(A2934),TEXT(A2934,"dd-mmm-yy"),"")</f>
        <v/>
      </c>
    </row>
    <row r="2935">
      <c r="A2935" s="14">
        <f>IF(OR(AH!$U$4=0,2930+1&gt;AH!$U$6,AND(AH!$M$5="Bloomberg",AH!$U$5=0)),"",IFERROR(IF(AND(AH!$U$12=1,2930+1=AH!$U$6),TODAY(),IF(AH!$U$5=1,INDEX('Live History'!$A$5:$A$3004,AH!$U$7+2930),INDEX('AH History'!$A$5:$A$1380,AH!$U$7+2930))),""))</f>
        <v/>
      </c>
      <c r="B2935" s="33">
        <f>IFERROR(IF(AH!$U$11=1,NA(),$J2935/$E2935-1),NA())</f>
        <v/>
      </c>
      <c r="C2935" s="269">
        <f>IFERROR(100*$E2935/$E$5,NA())</f>
        <v/>
      </c>
      <c r="D2935" s="269">
        <f>IFERROR(100*$J2935/$J$5,NA())</f>
        <v/>
      </c>
      <c r="E2935" s="32">
        <f>IFERROR(IF(AND(ISNUMBER($A2935),N(IF(AND(AH!$U$12=1,2930+1=AH!$U$6),IF(AH!$U$4=0,"unavailable",INDEX('Market Data'!$AN$5:$AN$66,AH!$U$4)),IF(AH!$U$5=1,INDEX('Live History'!$B$5:$B$3004,$K2935),INDEX('AH History'!$D$5:$GG$1380,$K2935,AH!$U$10))))&gt;0),IF(AND(AH!$U$12=1,2930+1=AH!$U$6),IF(AH!$U$4=0,"unavailable",INDEX('Market Data'!$AN$5:$AN$66,AH!$U$4)),IF(AH!$U$5=1,INDEX('Live History'!$B$5:$B$3004,$K2935),INDEX('AH History'!$D$5:$GG$1380,$K2935,AH!$U$10))),NA()),NA())</f>
        <v/>
      </c>
      <c r="F2935" s="32">
        <f>IFERROR(IF(ISNUMBER($A2935),IF(AND(AH!$U$12=1,2930+1=AH!$U$6),IF(AH!$U$4=0,"unavailable",INDEX('Market Data'!$AO$5:$AO$66,AH!$U$4)),IF(AH!$U$5=1,INDEX('Live History'!$E$5:$E$3004,MATCH($A2935,'Live History'!$D$5:$D$3004,1)),INDEX('AH History'!$D$5:$GG$1380,$K2935,AH!$U$10+1))),NA()),NA())</f>
        <v/>
      </c>
      <c r="G2935" s="34">
        <f>IFERROR(IF(ISNUMBER($A2935),IF(AND(AH!$U$12=1,2930+1=AH!$U$6),IF(AH!$U$4=0,"unavailable",INDEX('Market Data'!$AK$5:$AK$66,AH!$U$4)),IF(AH!$U$5=1,INDEX('Live History'!$D$5:$D$3004,MATCH($A2935,'Live History'!$D$5:$D$3004,1)),INDEX('AH History'!$D$5:$GG$1380,$K2935,AH!$U$10+2))),NA()),NA())</f>
        <v/>
      </c>
      <c r="H2935" s="266">
        <f>IFERROR(IF(ISNUMBER($A2935),IF(AND(AH!$U$12=1,2930+1=AH!$U$6),IF(AH!$U$4=0,"unavailable",INDEX('Market Data'!$AP$5:$AP$66,AH!$U$4)),IF(AH!$U$5=1,INDEX('Live History'!$H$5:$H$3004,MATCH($A2935,'Live History'!$G$5:$G$3004,1)),INDEX('AH History'!$B$5:$B$1380,$K2935))),NA()),NA())</f>
        <v/>
      </c>
      <c r="I2935" s="34">
        <f>IFERROR(IF(ISNUMBER($A2935),IF(AND(AH!$U$12=1,2930+1=AH!$U$6),TODAY(),IF(AH!$U$5=1,INDEX('Live History'!$G$5:$G$3004,MATCH($A2935,'Live History'!$G$5:$G$3004,1)),INDEX('AH History'!$C$5:$C$1380,$K2935))),NA()),NA())</f>
        <v/>
      </c>
      <c r="J2935" s="32">
        <f>IFERROR(IF(AND($F2935&gt;0,$H2935&gt;0,$A2935-$G2935&lt;=10,$A2935-$I2935&lt;=5,$G2935&gt;0,$I2935&gt;0),$F2935*$H2935,NA()),NA())</f>
        <v/>
      </c>
      <c r="K2935" s="15">
        <f>IF($A2935="","",IF(AH!$U$5=1,IFERROR(MATCH($A2935,'Live History'!$A$5:$A$3004,0),0),AH!$U$7+2930))</f>
        <v/>
      </c>
      <c r="L2935" s="15">
        <f>IF(ISNUMBER(A2935),TEXT(A2935,"dd-mmm-yy"),"")</f>
        <v/>
      </c>
    </row>
    <row r="2936">
      <c r="A2936" s="14">
        <f>IF(OR(AH!$U$4=0,2931+1&gt;AH!$U$6,AND(AH!$M$5="Bloomberg",AH!$U$5=0)),"",IFERROR(IF(AND(AH!$U$12=1,2931+1=AH!$U$6),TODAY(),IF(AH!$U$5=1,INDEX('Live History'!$A$5:$A$3004,AH!$U$7+2931),INDEX('AH History'!$A$5:$A$1380,AH!$U$7+2931))),""))</f>
        <v/>
      </c>
      <c r="B2936" s="33">
        <f>IFERROR(IF(AH!$U$11=1,NA(),$J2936/$E2936-1),NA())</f>
        <v/>
      </c>
      <c r="C2936" s="269">
        <f>IFERROR(100*$E2936/$E$5,NA())</f>
        <v/>
      </c>
      <c r="D2936" s="269">
        <f>IFERROR(100*$J2936/$J$5,NA())</f>
        <v/>
      </c>
      <c r="E2936" s="32">
        <f>IFERROR(IF(AND(ISNUMBER($A2936),N(IF(AND(AH!$U$12=1,2931+1=AH!$U$6),IF(AH!$U$4=0,"unavailable",INDEX('Market Data'!$AN$5:$AN$66,AH!$U$4)),IF(AH!$U$5=1,INDEX('Live History'!$B$5:$B$3004,$K2936),INDEX('AH History'!$D$5:$GG$1380,$K2936,AH!$U$10))))&gt;0),IF(AND(AH!$U$12=1,2931+1=AH!$U$6),IF(AH!$U$4=0,"unavailable",INDEX('Market Data'!$AN$5:$AN$66,AH!$U$4)),IF(AH!$U$5=1,INDEX('Live History'!$B$5:$B$3004,$K2936),INDEX('AH History'!$D$5:$GG$1380,$K2936,AH!$U$10))),NA()),NA())</f>
        <v/>
      </c>
      <c r="F2936" s="32">
        <f>IFERROR(IF(ISNUMBER($A2936),IF(AND(AH!$U$12=1,2931+1=AH!$U$6),IF(AH!$U$4=0,"unavailable",INDEX('Market Data'!$AO$5:$AO$66,AH!$U$4)),IF(AH!$U$5=1,INDEX('Live History'!$E$5:$E$3004,MATCH($A2936,'Live History'!$D$5:$D$3004,1)),INDEX('AH History'!$D$5:$GG$1380,$K2936,AH!$U$10+1))),NA()),NA())</f>
        <v/>
      </c>
      <c r="G2936" s="34">
        <f>IFERROR(IF(ISNUMBER($A2936),IF(AND(AH!$U$12=1,2931+1=AH!$U$6),IF(AH!$U$4=0,"unavailable",INDEX('Market Data'!$AK$5:$AK$66,AH!$U$4)),IF(AH!$U$5=1,INDEX('Live History'!$D$5:$D$3004,MATCH($A2936,'Live History'!$D$5:$D$3004,1)),INDEX('AH History'!$D$5:$GG$1380,$K2936,AH!$U$10+2))),NA()),NA())</f>
        <v/>
      </c>
      <c r="H2936" s="266">
        <f>IFERROR(IF(ISNUMBER($A2936),IF(AND(AH!$U$12=1,2931+1=AH!$U$6),IF(AH!$U$4=0,"unavailable",INDEX('Market Data'!$AP$5:$AP$66,AH!$U$4)),IF(AH!$U$5=1,INDEX('Live History'!$H$5:$H$3004,MATCH($A2936,'Live History'!$G$5:$G$3004,1)),INDEX('AH History'!$B$5:$B$1380,$K2936))),NA()),NA())</f>
        <v/>
      </c>
      <c r="I2936" s="34">
        <f>IFERROR(IF(ISNUMBER($A2936),IF(AND(AH!$U$12=1,2931+1=AH!$U$6),TODAY(),IF(AH!$U$5=1,INDEX('Live History'!$G$5:$G$3004,MATCH($A2936,'Live History'!$G$5:$G$3004,1)),INDEX('AH History'!$C$5:$C$1380,$K2936))),NA()),NA())</f>
        <v/>
      </c>
      <c r="J2936" s="32">
        <f>IFERROR(IF(AND($F2936&gt;0,$H2936&gt;0,$A2936-$G2936&lt;=10,$A2936-$I2936&lt;=5,$G2936&gt;0,$I2936&gt;0),$F2936*$H2936,NA()),NA())</f>
        <v/>
      </c>
      <c r="K2936" s="15">
        <f>IF($A2936="","",IF(AH!$U$5=1,IFERROR(MATCH($A2936,'Live History'!$A$5:$A$3004,0),0),AH!$U$7+2931))</f>
        <v/>
      </c>
      <c r="L2936" s="15">
        <f>IF(ISNUMBER(A2936),TEXT(A2936,"dd-mmm-yy"),"")</f>
        <v/>
      </c>
    </row>
    <row r="2937">
      <c r="A2937" s="14">
        <f>IF(OR(AH!$U$4=0,2932+1&gt;AH!$U$6,AND(AH!$M$5="Bloomberg",AH!$U$5=0)),"",IFERROR(IF(AND(AH!$U$12=1,2932+1=AH!$U$6),TODAY(),IF(AH!$U$5=1,INDEX('Live History'!$A$5:$A$3004,AH!$U$7+2932),INDEX('AH History'!$A$5:$A$1380,AH!$U$7+2932))),""))</f>
        <v/>
      </c>
      <c r="B2937" s="33">
        <f>IFERROR(IF(AH!$U$11=1,NA(),$J2937/$E2937-1),NA())</f>
        <v/>
      </c>
      <c r="C2937" s="269">
        <f>IFERROR(100*$E2937/$E$5,NA())</f>
        <v/>
      </c>
      <c r="D2937" s="269">
        <f>IFERROR(100*$J2937/$J$5,NA())</f>
        <v/>
      </c>
      <c r="E2937" s="32">
        <f>IFERROR(IF(AND(ISNUMBER($A2937),N(IF(AND(AH!$U$12=1,2932+1=AH!$U$6),IF(AH!$U$4=0,"unavailable",INDEX('Market Data'!$AN$5:$AN$66,AH!$U$4)),IF(AH!$U$5=1,INDEX('Live History'!$B$5:$B$3004,$K2937),INDEX('AH History'!$D$5:$GG$1380,$K2937,AH!$U$10))))&gt;0),IF(AND(AH!$U$12=1,2932+1=AH!$U$6),IF(AH!$U$4=0,"unavailable",INDEX('Market Data'!$AN$5:$AN$66,AH!$U$4)),IF(AH!$U$5=1,INDEX('Live History'!$B$5:$B$3004,$K2937),INDEX('AH History'!$D$5:$GG$1380,$K2937,AH!$U$10))),NA()),NA())</f>
        <v/>
      </c>
      <c r="F2937" s="32">
        <f>IFERROR(IF(ISNUMBER($A2937),IF(AND(AH!$U$12=1,2932+1=AH!$U$6),IF(AH!$U$4=0,"unavailable",INDEX('Market Data'!$AO$5:$AO$66,AH!$U$4)),IF(AH!$U$5=1,INDEX('Live History'!$E$5:$E$3004,MATCH($A2937,'Live History'!$D$5:$D$3004,1)),INDEX('AH History'!$D$5:$GG$1380,$K2937,AH!$U$10+1))),NA()),NA())</f>
        <v/>
      </c>
      <c r="G2937" s="34">
        <f>IFERROR(IF(ISNUMBER($A2937),IF(AND(AH!$U$12=1,2932+1=AH!$U$6),IF(AH!$U$4=0,"unavailable",INDEX('Market Data'!$AK$5:$AK$66,AH!$U$4)),IF(AH!$U$5=1,INDEX('Live History'!$D$5:$D$3004,MATCH($A2937,'Live History'!$D$5:$D$3004,1)),INDEX('AH History'!$D$5:$GG$1380,$K2937,AH!$U$10+2))),NA()),NA())</f>
        <v/>
      </c>
      <c r="H2937" s="266">
        <f>IFERROR(IF(ISNUMBER($A2937),IF(AND(AH!$U$12=1,2932+1=AH!$U$6),IF(AH!$U$4=0,"unavailable",INDEX('Market Data'!$AP$5:$AP$66,AH!$U$4)),IF(AH!$U$5=1,INDEX('Live History'!$H$5:$H$3004,MATCH($A2937,'Live History'!$G$5:$G$3004,1)),INDEX('AH History'!$B$5:$B$1380,$K2937))),NA()),NA())</f>
        <v/>
      </c>
      <c r="I2937" s="34">
        <f>IFERROR(IF(ISNUMBER($A2937),IF(AND(AH!$U$12=1,2932+1=AH!$U$6),TODAY(),IF(AH!$U$5=1,INDEX('Live History'!$G$5:$G$3004,MATCH($A2937,'Live History'!$G$5:$G$3004,1)),INDEX('AH History'!$C$5:$C$1380,$K2937))),NA()),NA())</f>
        <v/>
      </c>
      <c r="J2937" s="32">
        <f>IFERROR(IF(AND($F2937&gt;0,$H2937&gt;0,$A2937-$G2937&lt;=10,$A2937-$I2937&lt;=5,$G2937&gt;0,$I2937&gt;0),$F2937*$H2937,NA()),NA())</f>
        <v/>
      </c>
      <c r="K2937" s="15">
        <f>IF($A2937="","",IF(AH!$U$5=1,IFERROR(MATCH($A2937,'Live History'!$A$5:$A$3004,0),0),AH!$U$7+2932))</f>
        <v/>
      </c>
      <c r="L2937" s="15">
        <f>IF(ISNUMBER(A2937),TEXT(A2937,"dd-mmm-yy"),"")</f>
        <v/>
      </c>
    </row>
    <row r="2938">
      <c r="A2938" s="14">
        <f>IF(OR(AH!$U$4=0,2933+1&gt;AH!$U$6,AND(AH!$M$5="Bloomberg",AH!$U$5=0)),"",IFERROR(IF(AND(AH!$U$12=1,2933+1=AH!$U$6),TODAY(),IF(AH!$U$5=1,INDEX('Live History'!$A$5:$A$3004,AH!$U$7+2933),INDEX('AH History'!$A$5:$A$1380,AH!$U$7+2933))),""))</f>
        <v/>
      </c>
      <c r="B2938" s="33">
        <f>IFERROR(IF(AH!$U$11=1,NA(),$J2938/$E2938-1),NA())</f>
        <v/>
      </c>
      <c r="C2938" s="269">
        <f>IFERROR(100*$E2938/$E$5,NA())</f>
        <v/>
      </c>
      <c r="D2938" s="269">
        <f>IFERROR(100*$J2938/$J$5,NA())</f>
        <v/>
      </c>
      <c r="E2938" s="32">
        <f>IFERROR(IF(AND(ISNUMBER($A2938),N(IF(AND(AH!$U$12=1,2933+1=AH!$U$6),IF(AH!$U$4=0,"unavailable",INDEX('Market Data'!$AN$5:$AN$66,AH!$U$4)),IF(AH!$U$5=1,INDEX('Live History'!$B$5:$B$3004,$K2938),INDEX('AH History'!$D$5:$GG$1380,$K2938,AH!$U$10))))&gt;0),IF(AND(AH!$U$12=1,2933+1=AH!$U$6),IF(AH!$U$4=0,"unavailable",INDEX('Market Data'!$AN$5:$AN$66,AH!$U$4)),IF(AH!$U$5=1,INDEX('Live History'!$B$5:$B$3004,$K2938),INDEX('AH History'!$D$5:$GG$1380,$K2938,AH!$U$10))),NA()),NA())</f>
        <v/>
      </c>
      <c r="F2938" s="32">
        <f>IFERROR(IF(ISNUMBER($A2938),IF(AND(AH!$U$12=1,2933+1=AH!$U$6),IF(AH!$U$4=0,"unavailable",INDEX('Market Data'!$AO$5:$AO$66,AH!$U$4)),IF(AH!$U$5=1,INDEX('Live History'!$E$5:$E$3004,MATCH($A2938,'Live History'!$D$5:$D$3004,1)),INDEX('AH History'!$D$5:$GG$1380,$K2938,AH!$U$10+1))),NA()),NA())</f>
        <v/>
      </c>
      <c r="G2938" s="34">
        <f>IFERROR(IF(ISNUMBER($A2938),IF(AND(AH!$U$12=1,2933+1=AH!$U$6),IF(AH!$U$4=0,"unavailable",INDEX('Market Data'!$AK$5:$AK$66,AH!$U$4)),IF(AH!$U$5=1,INDEX('Live History'!$D$5:$D$3004,MATCH($A2938,'Live History'!$D$5:$D$3004,1)),INDEX('AH History'!$D$5:$GG$1380,$K2938,AH!$U$10+2))),NA()),NA())</f>
        <v/>
      </c>
      <c r="H2938" s="266">
        <f>IFERROR(IF(ISNUMBER($A2938),IF(AND(AH!$U$12=1,2933+1=AH!$U$6),IF(AH!$U$4=0,"unavailable",INDEX('Market Data'!$AP$5:$AP$66,AH!$U$4)),IF(AH!$U$5=1,INDEX('Live History'!$H$5:$H$3004,MATCH($A2938,'Live History'!$G$5:$G$3004,1)),INDEX('AH History'!$B$5:$B$1380,$K2938))),NA()),NA())</f>
        <v/>
      </c>
      <c r="I2938" s="34">
        <f>IFERROR(IF(ISNUMBER($A2938),IF(AND(AH!$U$12=1,2933+1=AH!$U$6),TODAY(),IF(AH!$U$5=1,INDEX('Live History'!$G$5:$G$3004,MATCH($A2938,'Live History'!$G$5:$G$3004,1)),INDEX('AH History'!$C$5:$C$1380,$K2938))),NA()),NA())</f>
        <v/>
      </c>
      <c r="J2938" s="32">
        <f>IFERROR(IF(AND($F2938&gt;0,$H2938&gt;0,$A2938-$G2938&lt;=10,$A2938-$I2938&lt;=5,$G2938&gt;0,$I2938&gt;0),$F2938*$H2938,NA()),NA())</f>
        <v/>
      </c>
      <c r="K2938" s="15">
        <f>IF($A2938="","",IF(AH!$U$5=1,IFERROR(MATCH($A2938,'Live History'!$A$5:$A$3004,0),0),AH!$U$7+2933))</f>
        <v/>
      </c>
      <c r="L2938" s="15">
        <f>IF(ISNUMBER(A2938),TEXT(A2938,"dd-mmm-yy"),"")</f>
        <v/>
      </c>
    </row>
    <row r="2939">
      <c r="A2939" s="14">
        <f>IF(OR(AH!$U$4=0,2934+1&gt;AH!$U$6,AND(AH!$M$5="Bloomberg",AH!$U$5=0)),"",IFERROR(IF(AND(AH!$U$12=1,2934+1=AH!$U$6),TODAY(),IF(AH!$U$5=1,INDEX('Live History'!$A$5:$A$3004,AH!$U$7+2934),INDEX('AH History'!$A$5:$A$1380,AH!$U$7+2934))),""))</f>
        <v/>
      </c>
      <c r="B2939" s="33">
        <f>IFERROR(IF(AH!$U$11=1,NA(),$J2939/$E2939-1),NA())</f>
        <v/>
      </c>
      <c r="C2939" s="269">
        <f>IFERROR(100*$E2939/$E$5,NA())</f>
        <v/>
      </c>
      <c r="D2939" s="269">
        <f>IFERROR(100*$J2939/$J$5,NA())</f>
        <v/>
      </c>
      <c r="E2939" s="32">
        <f>IFERROR(IF(AND(ISNUMBER($A2939),N(IF(AND(AH!$U$12=1,2934+1=AH!$U$6),IF(AH!$U$4=0,"unavailable",INDEX('Market Data'!$AN$5:$AN$66,AH!$U$4)),IF(AH!$U$5=1,INDEX('Live History'!$B$5:$B$3004,$K2939),INDEX('AH History'!$D$5:$GG$1380,$K2939,AH!$U$10))))&gt;0),IF(AND(AH!$U$12=1,2934+1=AH!$U$6),IF(AH!$U$4=0,"unavailable",INDEX('Market Data'!$AN$5:$AN$66,AH!$U$4)),IF(AH!$U$5=1,INDEX('Live History'!$B$5:$B$3004,$K2939),INDEX('AH History'!$D$5:$GG$1380,$K2939,AH!$U$10))),NA()),NA())</f>
        <v/>
      </c>
      <c r="F2939" s="32">
        <f>IFERROR(IF(ISNUMBER($A2939),IF(AND(AH!$U$12=1,2934+1=AH!$U$6),IF(AH!$U$4=0,"unavailable",INDEX('Market Data'!$AO$5:$AO$66,AH!$U$4)),IF(AH!$U$5=1,INDEX('Live History'!$E$5:$E$3004,MATCH($A2939,'Live History'!$D$5:$D$3004,1)),INDEX('AH History'!$D$5:$GG$1380,$K2939,AH!$U$10+1))),NA()),NA())</f>
        <v/>
      </c>
      <c r="G2939" s="34">
        <f>IFERROR(IF(ISNUMBER($A2939),IF(AND(AH!$U$12=1,2934+1=AH!$U$6),IF(AH!$U$4=0,"unavailable",INDEX('Market Data'!$AK$5:$AK$66,AH!$U$4)),IF(AH!$U$5=1,INDEX('Live History'!$D$5:$D$3004,MATCH($A2939,'Live History'!$D$5:$D$3004,1)),INDEX('AH History'!$D$5:$GG$1380,$K2939,AH!$U$10+2))),NA()),NA())</f>
        <v/>
      </c>
      <c r="H2939" s="266">
        <f>IFERROR(IF(ISNUMBER($A2939),IF(AND(AH!$U$12=1,2934+1=AH!$U$6),IF(AH!$U$4=0,"unavailable",INDEX('Market Data'!$AP$5:$AP$66,AH!$U$4)),IF(AH!$U$5=1,INDEX('Live History'!$H$5:$H$3004,MATCH($A2939,'Live History'!$G$5:$G$3004,1)),INDEX('AH History'!$B$5:$B$1380,$K2939))),NA()),NA())</f>
        <v/>
      </c>
      <c r="I2939" s="34">
        <f>IFERROR(IF(ISNUMBER($A2939),IF(AND(AH!$U$12=1,2934+1=AH!$U$6),TODAY(),IF(AH!$U$5=1,INDEX('Live History'!$G$5:$G$3004,MATCH($A2939,'Live History'!$G$5:$G$3004,1)),INDEX('AH History'!$C$5:$C$1380,$K2939))),NA()),NA())</f>
        <v/>
      </c>
      <c r="J2939" s="32">
        <f>IFERROR(IF(AND($F2939&gt;0,$H2939&gt;0,$A2939-$G2939&lt;=10,$A2939-$I2939&lt;=5,$G2939&gt;0,$I2939&gt;0),$F2939*$H2939,NA()),NA())</f>
        <v/>
      </c>
      <c r="K2939" s="15">
        <f>IF($A2939="","",IF(AH!$U$5=1,IFERROR(MATCH($A2939,'Live History'!$A$5:$A$3004,0),0),AH!$U$7+2934))</f>
        <v/>
      </c>
      <c r="L2939" s="15">
        <f>IF(ISNUMBER(A2939),TEXT(A2939,"dd-mmm-yy"),"")</f>
        <v/>
      </c>
    </row>
    <row r="2940">
      <c r="A2940" s="14">
        <f>IF(OR(AH!$U$4=0,2935+1&gt;AH!$U$6,AND(AH!$M$5="Bloomberg",AH!$U$5=0)),"",IFERROR(IF(AND(AH!$U$12=1,2935+1=AH!$U$6),TODAY(),IF(AH!$U$5=1,INDEX('Live History'!$A$5:$A$3004,AH!$U$7+2935),INDEX('AH History'!$A$5:$A$1380,AH!$U$7+2935))),""))</f>
        <v/>
      </c>
      <c r="B2940" s="33">
        <f>IFERROR(IF(AH!$U$11=1,NA(),$J2940/$E2940-1),NA())</f>
        <v/>
      </c>
      <c r="C2940" s="269">
        <f>IFERROR(100*$E2940/$E$5,NA())</f>
        <v/>
      </c>
      <c r="D2940" s="269">
        <f>IFERROR(100*$J2940/$J$5,NA())</f>
        <v/>
      </c>
      <c r="E2940" s="32">
        <f>IFERROR(IF(AND(ISNUMBER($A2940),N(IF(AND(AH!$U$12=1,2935+1=AH!$U$6),IF(AH!$U$4=0,"unavailable",INDEX('Market Data'!$AN$5:$AN$66,AH!$U$4)),IF(AH!$U$5=1,INDEX('Live History'!$B$5:$B$3004,$K2940),INDEX('AH History'!$D$5:$GG$1380,$K2940,AH!$U$10))))&gt;0),IF(AND(AH!$U$12=1,2935+1=AH!$U$6),IF(AH!$U$4=0,"unavailable",INDEX('Market Data'!$AN$5:$AN$66,AH!$U$4)),IF(AH!$U$5=1,INDEX('Live History'!$B$5:$B$3004,$K2940),INDEX('AH History'!$D$5:$GG$1380,$K2940,AH!$U$10))),NA()),NA())</f>
        <v/>
      </c>
      <c r="F2940" s="32">
        <f>IFERROR(IF(ISNUMBER($A2940),IF(AND(AH!$U$12=1,2935+1=AH!$U$6),IF(AH!$U$4=0,"unavailable",INDEX('Market Data'!$AO$5:$AO$66,AH!$U$4)),IF(AH!$U$5=1,INDEX('Live History'!$E$5:$E$3004,MATCH($A2940,'Live History'!$D$5:$D$3004,1)),INDEX('AH History'!$D$5:$GG$1380,$K2940,AH!$U$10+1))),NA()),NA())</f>
        <v/>
      </c>
      <c r="G2940" s="34">
        <f>IFERROR(IF(ISNUMBER($A2940),IF(AND(AH!$U$12=1,2935+1=AH!$U$6),IF(AH!$U$4=0,"unavailable",INDEX('Market Data'!$AK$5:$AK$66,AH!$U$4)),IF(AH!$U$5=1,INDEX('Live History'!$D$5:$D$3004,MATCH($A2940,'Live History'!$D$5:$D$3004,1)),INDEX('AH History'!$D$5:$GG$1380,$K2940,AH!$U$10+2))),NA()),NA())</f>
        <v/>
      </c>
      <c r="H2940" s="266">
        <f>IFERROR(IF(ISNUMBER($A2940),IF(AND(AH!$U$12=1,2935+1=AH!$U$6),IF(AH!$U$4=0,"unavailable",INDEX('Market Data'!$AP$5:$AP$66,AH!$U$4)),IF(AH!$U$5=1,INDEX('Live History'!$H$5:$H$3004,MATCH($A2940,'Live History'!$G$5:$G$3004,1)),INDEX('AH History'!$B$5:$B$1380,$K2940))),NA()),NA())</f>
        <v/>
      </c>
      <c r="I2940" s="34">
        <f>IFERROR(IF(ISNUMBER($A2940),IF(AND(AH!$U$12=1,2935+1=AH!$U$6),TODAY(),IF(AH!$U$5=1,INDEX('Live History'!$G$5:$G$3004,MATCH($A2940,'Live History'!$G$5:$G$3004,1)),INDEX('AH History'!$C$5:$C$1380,$K2940))),NA()),NA())</f>
        <v/>
      </c>
      <c r="J2940" s="32">
        <f>IFERROR(IF(AND($F2940&gt;0,$H2940&gt;0,$A2940-$G2940&lt;=10,$A2940-$I2940&lt;=5,$G2940&gt;0,$I2940&gt;0),$F2940*$H2940,NA()),NA())</f>
        <v/>
      </c>
      <c r="K2940" s="15">
        <f>IF($A2940="","",IF(AH!$U$5=1,IFERROR(MATCH($A2940,'Live History'!$A$5:$A$3004,0),0),AH!$U$7+2935))</f>
        <v/>
      </c>
      <c r="L2940" s="15">
        <f>IF(ISNUMBER(A2940),TEXT(A2940,"dd-mmm-yy"),"")</f>
        <v/>
      </c>
    </row>
    <row r="2941">
      <c r="A2941" s="14">
        <f>IF(OR(AH!$U$4=0,2936+1&gt;AH!$U$6,AND(AH!$M$5="Bloomberg",AH!$U$5=0)),"",IFERROR(IF(AND(AH!$U$12=1,2936+1=AH!$U$6),TODAY(),IF(AH!$U$5=1,INDEX('Live History'!$A$5:$A$3004,AH!$U$7+2936),INDEX('AH History'!$A$5:$A$1380,AH!$U$7+2936))),""))</f>
        <v/>
      </c>
      <c r="B2941" s="33">
        <f>IFERROR(IF(AH!$U$11=1,NA(),$J2941/$E2941-1),NA())</f>
        <v/>
      </c>
      <c r="C2941" s="269">
        <f>IFERROR(100*$E2941/$E$5,NA())</f>
        <v/>
      </c>
      <c r="D2941" s="269">
        <f>IFERROR(100*$J2941/$J$5,NA())</f>
        <v/>
      </c>
      <c r="E2941" s="32">
        <f>IFERROR(IF(AND(ISNUMBER($A2941),N(IF(AND(AH!$U$12=1,2936+1=AH!$U$6),IF(AH!$U$4=0,"unavailable",INDEX('Market Data'!$AN$5:$AN$66,AH!$U$4)),IF(AH!$U$5=1,INDEX('Live History'!$B$5:$B$3004,$K2941),INDEX('AH History'!$D$5:$GG$1380,$K2941,AH!$U$10))))&gt;0),IF(AND(AH!$U$12=1,2936+1=AH!$U$6),IF(AH!$U$4=0,"unavailable",INDEX('Market Data'!$AN$5:$AN$66,AH!$U$4)),IF(AH!$U$5=1,INDEX('Live History'!$B$5:$B$3004,$K2941),INDEX('AH History'!$D$5:$GG$1380,$K2941,AH!$U$10))),NA()),NA())</f>
        <v/>
      </c>
      <c r="F2941" s="32">
        <f>IFERROR(IF(ISNUMBER($A2941),IF(AND(AH!$U$12=1,2936+1=AH!$U$6),IF(AH!$U$4=0,"unavailable",INDEX('Market Data'!$AO$5:$AO$66,AH!$U$4)),IF(AH!$U$5=1,INDEX('Live History'!$E$5:$E$3004,MATCH($A2941,'Live History'!$D$5:$D$3004,1)),INDEX('AH History'!$D$5:$GG$1380,$K2941,AH!$U$10+1))),NA()),NA())</f>
        <v/>
      </c>
      <c r="G2941" s="34">
        <f>IFERROR(IF(ISNUMBER($A2941),IF(AND(AH!$U$12=1,2936+1=AH!$U$6),IF(AH!$U$4=0,"unavailable",INDEX('Market Data'!$AK$5:$AK$66,AH!$U$4)),IF(AH!$U$5=1,INDEX('Live History'!$D$5:$D$3004,MATCH($A2941,'Live History'!$D$5:$D$3004,1)),INDEX('AH History'!$D$5:$GG$1380,$K2941,AH!$U$10+2))),NA()),NA())</f>
        <v/>
      </c>
      <c r="H2941" s="266">
        <f>IFERROR(IF(ISNUMBER($A2941),IF(AND(AH!$U$12=1,2936+1=AH!$U$6),IF(AH!$U$4=0,"unavailable",INDEX('Market Data'!$AP$5:$AP$66,AH!$U$4)),IF(AH!$U$5=1,INDEX('Live History'!$H$5:$H$3004,MATCH($A2941,'Live History'!$G$5:$G$3004,1)),INDEX('AH History'!$B$5:$B$1380,$K2941))),NA()),NA())</f>
        <v/>
      </c>
      <c r="I2941" s="34">
        <f>IFERROR(IF(ISNUMBER($A2941),IF(AND(AH!$U$12=1,2936+1=AH!$U$6),TODAY(),IF(AH!$U$5=1,INDEX('Live History'!$G$5:$G$3004,MATCH($A2941,'Live History'!$G$5:$G$3004,1)),INDEX('AH History'!$C$5:$C$1380,$K2941))),NA()),NA())</f>
        <v/>
      </c>
      <c r="J2941" s="32">
        <f>IFERROR(IF(AND($F2941&gt;0,$H2941&gt;0,$A2941-$G2941&lt;=10,$A2941-$I2941&lt;=5,$G2941&gt;0,$I2941&gt;0),$F2941*$H2941,NA()),NA())</f>
        <v/>
      </c>
      <c r="K2941" s="15">
        <f>IF($A2941="","",IF(AH!$U$5=1,IFERROR(MATCH($A2941,'Live History'!$A$5:$A$3004,0),0),AH!$U$7+2936))</f>
        <v/>
      </c>
      <c r="L2941" s="15">
        <f>IF(ISNUMBER(A2941),TEXT(A2941,"dd-mmm-yy"),"")</f>
        <v/>
      </c>
    </row>
    <row r="2942">
      <c r="A2942" s="14">
        <f>IF(OR(AH!$U$4=0,2937+1&gt;AH!$U$6,AND(AH!$M$5="Bloomberg",AH!$U$5=0)),"",IFERROR(IF(AND(AH!$U$12=1,2937+1=AH!$U$6),TODAY(),IF(AH!$U$5=1,INDEX('Live History'!$A$5:$A$3004,AH!$U$7+2937),INDEX('AH History'!$A$5:$A$1380,AH!$U$7+2937))),""))</f>
        <v/>
      </c>
      <c r="B2942" s="33">
        <f>IFERROR(IF(AH!$U$11=1,NA(),$J2942/$E2942-1),NA())</f>
        <v/>
      </c>
      <c r="C2942" s="269">
        <f>IFERROR(100*$E2942/$E$5,NA())</f>
        <v/>
      </c>
      <c r="D2942" s="269">
        <f>IFERROR(100*$J2942/$J$5,NA())</f>
        <v/>
      </c>
      <c r="E2942" s="32">
        <f>IFERROR(IF(AND(ISNUMBER($A2942),N(IF(AND(AH!$U$12=1,2937+1=AH!$U$6),IF(AH!$U$4=0,"unavailable",INDEX('Market Data'!$AN$5:$AN$66,AH!$U$4)),IF(AH!$U$5=1,INDEX('Live History'!$B$5:$B$3004,$K2942),INDEX('AH History'!$D$5:$GG$1380,$K2942,AH!$U$10))))&gt;0),IF(AND(AH!$U$12=1,2937+1=AH!$U$6),IF(AH!$U$4=0,"unavailable",INDEX('Market Data'!$AN$5:$AN$66,AH!$U$4)),IF(AH!$U$5=1,INDEX('Live History'!$B$5:$B$3004,$K2942),INDEX('AH History'!$D$5:$GG$1380,$K2942,AH!$U$10))),NA()),NA())</f>
        <v/>
      </c>
      <c r="F2942" s="32">
        <f>IFERROR(IF(ISNUMBER($A2942),IF(AND(AH!$U$12=1,2937+1=AH!$U$6),IF(AH!$U$4=0,"unavailable",INDEX('Market Data'!$AO$5:$AO$66,AH!$U$4)),IF(AH!$U$5=1,INDEX('Live History'!$E$5:$E$3004,MATCH($A2942,'Live History'!$D$5:$D$3004,1)),INDEX('AH History'!$D$5:$GG$1380,$K2942,AH!$U$10+1))),NA()),NA())</f>
        <v/>
      </c>
      <c r="G2942" s="34">
        <f>IFERROR(IF(ISNUMBER($A2942),IF(AND(AH!$U$12=1,2937+1=AH!$U$6),IF(AH!$U$4=0,"unavailable",INDEX('Market Data'!$AK$5:$AK$66,AH!$U$4)),IF(AH!$U$5=1,INDEX('Live History'!$D$5:$D$3004,MATCH($A2942,'Live History'!$D$5:$D$3004,1)),INDEX('AH History'!$D$5:$GG$1380,$K2942,AH!$U$10+2))),NA()),NA())</f>
        <v/>
      </c>
      <c r="H2942" s="266">
        <f>IFERROR(IF(ISNUMBER($A2942),IF(AND(AH!$U$12=1,2937+1=AH!$U$6),IF(AH!$U$4=0,"unavailable",INDEX('Market Data'!$AP$5:$AP$66,AH!$U$4)),IF(AH!$U$5=1,INDEX('Live History'!$H$5:$H$3004,MATCH($A2942,'Live History'!$G$5:$G$3004,1)),INDEX('AH History'!$B$5:$B$1380,$K2942))),NA()),NA())</f>
        <v/>
      </c>
      <c r="I2942" s="34">
        <f>IFERROR(IF(ISNUMBER($A2942),IF(AND(AH!$U$12=1,2937+1=AH!$U$6),TODAY(),IF(AH!$U$5=1,INDEX('Live History'!$G$5:$G$3004,MATCH($A2942,'Live History'!$G$5:$G$3004,1)),INDEX('AH History'!$C$5:$C$1380,$K2942))),NA()),NA())</f>
        <v/>
      </c>
      <c r="J2942" s="32">
        <f>IFERROR(IF(AND($F2942&gt;0,$H2942&gt;0,$A2942-$G2942&lt;=10,$A2942-$I2942&lt;=5,$G2942&gt;0,$I2942&gt;0),$F2942*$H2942,NA()),NA())</f>
        <v/>
      </c>
      <c r="K2942" s="15">
        <f>IF($A2942="","",IF(AH!$U$5=1,IFERROR(MATCH($A2942,'Live History'!$A$5:$A$3004,0),0),AH!$U$7+2937))</f>
        <v/>
      </c>
      <c r="L2942" s="15">
        <f>IF(ISNUMBER(A2942),TEXT(A2942,"dd-mmm-yy"),"")</f>
        <v/>
      </c>
    </row>
    <row r="2943">
      <c r="A2943" s="14">
        <f>IF(OR(AH!$U$4=0,2938+1&gt;AH!$U$6,AND(AH!$M$5="Bloomberg",AH!$U$5=0)),"",IFERROR(IF(AND(AH!$U$12=1,2938+1=AH!$U$6),TODAY(),IF(AH!$U$5=1,INDEX('Live History'!$A$5:$A$3004,AH!$U$7+2938),INDEX('AH History'!$A$5:$A$1380,AH!$U$7+2938))),""))</f>
        <v/>
      </c>
      <c r="B2943" s="33">
        <f>IFERROR(IF(AH!$U$11=1,NA(),$J2943/$E2943-1),NA())</f>
        <v/>
      </c>
      <c r="C2943" s="269">
        <f>IFERROR(100*$E2943/$E$5,NA())</f>
        <v/>
      </c>
      <c r="D2943" s="269">
        <f>IFERROR(100*$J2943/$J$5,NA())</f>
        <v/>
      </c>
      <c r="E2943" s="32">
        <f>IFERROR(IF(AND(ISNUMBER($A2943),N(IF(AND(AH!$U$12=1,2938+1=AH!$U$6),IF(AH!$U$4=0,"unavailable",INDEX('Market Data'!$AN$5:$AN$66,AH!$U$4)),IF(AH!$U$5=1,INDEX('Live History'!$B$5:$B$3004,$K2943),INDEX('AH History'!$D$5:$GG$1380,$K2943,AH!$U$10))))&gt;0),IF(AND(AH!$U$12=1,2938+1=AH!$U$6),IF(AH!$U$4=0,"unavailable",INDEX('Market Data'!$AN$5:$AN$66,AH!$U$4)),IF(AH!$U$5=1,INDEX('Live History'!$B$5:$B$3004,$K2943),INDEX('AH History'!$D$5:$GG$1380,$K2943,AH!$U$10))),NA()),NA())</f>
        <v/>
      </c>
      <c r="F2943" s="32">
        <f>IFERROR(IF(ISNUMBER($A2943),IF(AND(AH!$U$12=1,2938+1=AH!$U$6),IF(AH!$U$4=0,"unavailable",INDEX('Market Data'!$AO$5:$AO$66,AH!$U$4)),IF(AH!$U$5=1,INDEX('Live History'!$E$5:$E$3004,MATCH($A2943,'Live History'!$D$5:$D$3004,1)),INDEX('AH History'!$D$5:$GG$1380,$K2943,AH!$U$10+1))),NA()),NA())</f>
        <v/>
      </c>
      <c r="G2943" s="34">
        <f>IFERROR(IF(ISNUMBER($A2943),IF(AND(AH!$U$12=1,2938+1=AH!$U$6),IF(AH!$U$4=0,"unavailable",INDEX('Market Data'!$AK$5:$AK$66,AH!$U$4)),IF(AH!$U$5=1,INDEX('Live History'!$D$5:$D$3004,MATCH($A2943,'Live History'!$D$5:$D$3004,1)),INDEX('AH History'!$D$5:$GG$1380,$K2943,AH!$U$10+2))),NA()),NA())</f>
        <v/>
      </c>
      <c r="H2943" s="266">
        <f>IFERROR(IF(ISNUMBER($A2943),IF(AND(AH!$U$12=1,2938+1=AH!$U$6),IF(AH!$U$4=0,"unavailable",INDEX('Market Data'!$AP$5:$AP$66,AH!$U$4)),IF(AH!$U$5=1,INDEX('Live History'!$H$5:$H$3004,MATCH($A2943,'Live History'!$G$5:$G$3004,1)),INDEX('AH History'!$B$5:$B$1380,$K2943))),NA()),NA())</f>
        <v/>
      </c>
      <c r="I2943" s="34">
        <f>IFERROR(IF(ISNUMBER($A2943),IF(AND(AH!$U$12=1,2938+1=AH!$U$6),TODAY(),IF(AH!$U$5=1,INDEX('Live History'!$G$5:$G$3004,MATCH($A2943,'Live History'!$G$5:$G$3004,1)),INDEX('AH History'!$C$5:$C$1380,$K2943))),NA()),NA())</f>
        <v/>
      </c>
      <c r="J2943" s="32">
        <f>IFERROR(IF(AND($F2943&gt;0,$H2943&gt;0,$A2943-$G2943&lt;=10,$A2943-$I2943&lt;=5,$G2943&gt;0,$I2943&gt;0),$F2943*$H2943,NA()),NA())</f>
        <v/>
      </c>
      <c r="K2943" s="15">
        <f>IF($A2943="","",IF(AH!$U$5=1,IFERROR(MATCH($A2943,'Live History'!$A$5:$A$3004,0),0),AH!$U$7+2938))</f>
        <v/>
      </c>
      <c r="L2943" s="15">
        <f>IF(ISNUMBER(A2943),TEXT(A2943,"dd-mmm-yy"),"")</f>
        <v/>
      </c>
    </row>
    <row r="2944">
      <c r="A2944" s="14">
        <f>IF(OR(AH!$U$4=0,2939+1&gt;AH!$U$6,AND(AH!$M$5="Bloomberg",AH!$U$5=0)),"",IFERROR(IF(AND(AH!$U$12=1,2939+1=AH!$U$6),TODAY(),IF(AH!$U$5=1,INDEX('Live History'!$A$5:$A$3004,AH!$U$7+2939),INDEX('AH History'!$A$5:$A$1380,AH!$U$7+2939))),""))</f>
        <v/>
      </c>
      <c r="B2944" s="33">
        <f>IFERROR(IF(AH!$U$11=1,NA(),$J2944/$E2944-1),NA())</f>
        <v/>
      </c>
      <c r="C2944" s="269">
        <f>IFERROR(100*$E2944/$E$5,NA())</f>
        <v/>
      </c>
      <c r="D2944" s="269">
        <f>IFERROR(100*$J2944/$J$5,NA())</f>
        <v/>
      </c>
      <c r="E2944" s="32">
        <f>IFERROR(IF(AND(ISNUMBER($A2944),N(IF(AND(AH!$U$12=1,2939+1=AH!$U$6),IF(AH!$U$4=0,"unavailable",INDEX('Market Data'!$AN$5:$AN$66,AH!$U$4)),IF(AH!$U$5=1,INDEX('Live History'!$B$5:$B$3004,$K2944),INDEX('AH History'!$D$5:$GG$1380,$K2944,AH!$U$10))))&gt;0),IF(AND(AH!$U$12=1,2939+1=AH!$U$6),IF(AH!$U$4=0,"unavailable",INDEX('Market Data'!$AN$5:$AN$66,AH!$U$4)),IF(AH!$U$5=1,INDEX('Live History'!$B$5:$B$3004,$K2944),INDEX('AH History'!$D$5:$GG$1380,$K2944,AH!$U$10))),NA()),NA())</f>
        <v/>
      </c>
      <c r="F2944" s="32">
        <f>IFERROR(IF(ISNUMBER($A2944),IF(AND(AH!$U$12=1,2939+1=AH!$U$6),IF(AH!$U$4=0,"unavailable",INDEX('Market Data'!$AO$5:$AO$66,AH!$U$4)),IF(AH!$U$5=1,INDEX('Live History'!$E$5:$E$3004,MATCH($A2944,'Live History'!$D$5:$D$3004,1)),INDEX('AH History'!$D$5:$GG$1380,$K2944,AH!$U$10+1))),NA()),NA())</f>
        <v/>
      </c>
      <c r="G2944" s="34">
        <f>IFERROR(IF(ISNUMBER($A2944),IF(AND(AH!$U$12=1,2939+1=AH!$U$6),IF(AH!$U$4=0,"unavailable",INDEX('Market Data'!$AK$5:$AK$66,AH!$U$4)),IF(AH!$U$5=1,INDEX('Live History'!$D$5:$D$3004,MATCH($A2944,'Live History'!$D$5:$D$3004,1)),INDEX('AH History'!$D$5:$GG$1380,$K2944,AH!$U$10+2))),NA()),NA())</f>
        <v/>
      </c>
      <c r="H2944" s="266">
        <f>IFERROR(IF(ISNUMBER($A2944),IF(AND(AH!$U$12=1,2939+1=AH!$U$6),IF(AH!$U$4=0,"unavailable",INDEX('Market Data'!$AP$5:$AP$66,AH!$U$4)),IF(AH!$U$5=1,INDEX('Live History'!$H$5:$H$3004,MATCH($A2944,'Live History'!$G$5:$G$3004,1)),INDEX('AH History'!$B$5:$B$1380,$K2944))),NA()),NA())</f>
        <v/>
      </c>
      <c r="I2944" s="34">
        <f>IFERROR(IF(ISNUMBER($A2944),IF(AND(AH!$U$12=1,2939+1=AH!$U$6),TODAY(),IF(AH!$U$5=1,INDEX('Live History'!$G$5:$G$3004,MATCH($A2944,'Live History'!$G$5:$G$3004,1)),INDEX('AH History'!$C$5:$C$1380,$K2944))),NA()),NA())</f>
        <v/>
      </c>
      <c r="J2944" s="32">
        <f>IFERROR(IF(AND($F2944&gt;0,$H2944&gt;0,$A2944-$G2944&lt;=10,$A2944-$I2944&lt;=5,$G2944&gt;0,$I2944&gt;0),$F2944*$H2944,NA()),NA())</f>
        <v/>
      </c>
      <c r="K2944" s="15">
        <f>IF($A2944="","",IF(AH!$U$5=1,IFERROR(MATCH($A2944,'Live History'!$A$5:$A$3004,0),0),AH!$U$7+2939))</f>
        <v/>
      </c>
      <c r="L2944" s="15">
        <f>IF(ISNUMBER(A2944),TEXT(A2944,"dd-mmm-yy"),"")</f>
        <v/>
      </c>
    </row>
    <row r="2945">
      <c r="A2945" s="14">
        <f>IF(OR(AH!$U$4=0,2940+1&gt;AH!$U$6,AND(AH!$M$5="Bloomberg",AH!$U$5=0)),"",IFERROR(IF(AND(AH!$U$12=1,2940+1=AH!$U$6),TODAY(),IF(AH!$U$5=1,INDEX('Live History'!$A$5:$A$3004,AH!$U$7+2940),INDEX('AH History'!$A$5:$A$1380,AH!$U$7+2940))),""))</f>
        <v/>
      </c>
      <c r="B2945" s="33">
        <f>IFERROR(IF(AH!$U$11=1,NA(),$J2945/$E2945-1),NA())</f>
        <v/>
      </c>
      <c r="C2945" s="269">
        <f>IFERROR(100*$E2945/$E$5,NA())</f>
        <v/>
      </c>
      <c r="D2945" s="269">
        <f>IFERROR(100*$J2945/$J$5,NA())</f>
        <v/>
      </c>
      <c r="E2945" s="32">
        <f>IFERROR(IF(AND(ISNUMBER($A2945),N(IF(AND(AH!$U$12=1,2940+1=AH!$U$6),IF(AH!$U$4=0,"unavailable",INDEX('Market Data'!$AN$5:$AN$66,AH!$U$4)),IF(AH!$U$5=1,INDEX('Live History'!$B$5:$B$3004,$K2945),INDEX('AH History'!$D$5:$GG$1380,$K2945,AH!$U$10))))&gt;0),IF(AND(AH!$U$12=1,2940+1=AH!$U$6),IF(AH!$U$4=0,"unavailable",INDEX('Market Data'!$AN$5:$AN$66,AH!$U$4)),IF(AH!$U$5=1,INDEX('Live History'!$B$5:$B$3004,$K2945),INDEX('AH History'!$D$5:$GG$1380,$K2945,AH!$U$10))),NA()),NA())</f>
        <v/>
      </c>
      <c r="F2945" s="32">
        <f>IFERROR(IF(ISNUMBER($A2945),IF(AND(AH!$U$12=1,2940+1=AH!$U$6),IF(AH!$U$4=0,"unavailable",INDEX('Market Data'!$AO$5:$AO$66,AH!$U$4)),IF(AH!$U$5=1,INDEX('Live History'!$E$5:$E$3004,MATCH($A2945,'Live History'!$D$5:$D$3004,1)),INDEX('AH History'!$D$5:$GG$1380,$K2945,AH!$U$10+1))),NA()),NA())</f>
        <v/>
      </c>
      <c r="G2945" s="34">
        <f>IFERROR(IF(ISNUMBER($A2945),IF(AND(AH!$U$12=1,2940+1=AH!$U$6),IF(AH!$U$4=0,"unavailable",INDEX('Market Data'!$AK$5:$AK$66,AH!$U$4)),IF(AH!$U$5=1,INDEX('Live History'!$D$5:$D$3004,MATCH($A2945,'Live History'!$D$5:$D$3004,1)),INDEX('AH History'!$D$5:$GG$1380,$K2945,AH!$U$10+2))),NA()),NA())</f>
        <v/>
      </c>
      <c r="H2945" s="266">
        <f>IFERROR(IF(ISNUMBER($A2945),IF(AND(AH!$U$12=1,2940+1=AH!$U$6),IF(AH!$U$4=0,"unavailable",INDEX('Market Data'!$AP$5:$AP$66,AH!$U$4)),IF(AH!$U$5=1,INDEX('Live History'!$H$5:$H$3004,MATCH($A2945,'Live History'!$G$5:$G$3004,1)),INDEX('AH History'!$B$5:$B$1380,$K2945))),NA()),NA())</f>
        <v/>
      </c>
      <c r="I2945" s="34">
        <f>IFERROR(IF(ISNUMBER($A2945),IF(AND(AH!$U$12=1,2940+1=AH!$U$6),TODAY(),IF(AH!$U$5=1,INDEX('Live History'!$G$5:$G$3004,MATCH($A2945,'Live History'!$G$5:$G$3004,1)),INDEX('AH History'!$C$5:$C$1380,$K2945))),NA()),NA())</f>
        <v/>
      </c>
      <c r="J2945" s="32">
        <f>IFERROR(IF(AND($F2945&gt;0,$H2945&gt;0,$A2945-$G2945&lt;=10,$A2945-$I2945&lt;=5,$G2945&gt;0,$I2945&gt;0),$F2945*$H2945,NA()),NA())</f>
        <v/>
      </c>
      <c r="K2945" s="15">
        <f>IF($A2945="","",IF(AH!$U$5=1,IFERROR(MATCH($A2945,'Live History'!$A$5:$A$3004,0),0),AH!$U$7+2940))</f>
        <v/>
      </c>
      <c r="L2945" s="15">
        <f>IF(ISNUMBER(A2945),TEXT(A2945,"dd-mmm-yy"),"")</f>
        <v/>
      </c>
    </row>
    <row r="2946">
      <c r="A2946" s="14">
        <f>IF(OR(AH!$U$4=0,2941+1&gt;AH!$U$6,AND(AH!$M$5="Bloomberg",AH!$U$5=0)),"",IFERROR(IF(AND(AH!$U$12=1,2941+1=AH!$U$6),TODAY(),IF(AH!$U$5=1,INDEX('Live History'!$A$5:$A$3004,AH!$U$7+2941),INDEX('AH History'!$A$5:$A$1380,AH!$U$7+2941))),""))</f>
        <v/>
      </c>
      <c r="B2946" s="33">
        <f>IFERROR(IF(AH!$U$11=1,NA(),$J2946/$E2946-1),NA())</f>
        <v/>
      </c>
      <c r="C2946" s="269">
        <f>IFERROR(100*$E2946/$E$5,NA())</f>
        <v/>
      </c>
      <c r="D2946" s="269">
        <f>IFERROR(100*$J2946/$J$5,NA())</f>
        <v/>
      </c>
      <c r="E2946" s="32">
        <f>IFERROR(IF(AND(ISNUMBER($A2946),N(IF(AND(AH!$U$12=1,2941+1=AH!$U$6),IF(AH!$U$4=0,"unavailable",INDEX('Market Data'!$AN$5:$AN$66,AH!$U$4)),IF(AH!$U$5=1,INDEX('Live History'!$B$5:$B$3004,$K2946),INDEX('AH History'!$D$5:$GG$1380,$K2946,AH!$U$10))))&gt;0),IF(AND(AH!$U$12=1,2941+1=AH!$U$6),IF(AH!$U$4=0,"unavailable",INDEX('Market Data'!$AN$5:$AN$66,AH!$U$4)),IF(AH!$U$5=1,INDEX('Live History'!$B$5:$B$3004,$K2946),INDEX('AH History'!$D$5:$GG$1380,$K2946,AH!$U$10))),NA()),NA())</f>
        <v/>
      </c>
      <c r="F2946" s="32">
        <f>IFERROR(IF(ISNUMBER($A2946),IF(AND(AH!$U$12=1,2941+1=AH!$U$6),IF(AH!$U$4=0,"unavailable",INDEX('Market Data'!$AO$5:$AO$66,AH!$U$4)),IF(AH!$U$5=1,INDEX('Live History'!$E$5:$E$3004,MATCH($A2946,'Live History'!$D$5:$D$3004,1)),INDEX('AH History'!$D$5:$GG$1380,$K2946,AH!$U$10+1))),NA()),NA())</f>
        <v/>
      </c>
      <c r="G2946" s="34">
        <f>IFERROR(IF(ISNUMBER($A2946),IF(AND(AH!$U$12=1,2941+1=AH!$U$6),IF(AH!$U$4=0,"unavailable",INDEX('Market Data'!$AK$5:$AK$66,AH!$U$4)),IF(AH!$U$5=1,INDEX('Live History'!$D$5:$D$3004,MATCH($A2946,'Live History'!$D$5:$D$3004,1)),INDEX('AH History'!$D$5:$GG$1380,$K2946,AH!$U$10+2))),NA()),NA())</f>
        <v/>
      </c>
      <c r="H2946" s="266">
        <f>IFERROR(IF(ISNUMBER($A2946),IF(AND(AH!$U$12=1,2941+1=AH!$U$6),IF(AH!$U$4=0,"unavailable",INDEX('Market Data'!$AP$5:$AP$66,AH!$U$4)),IF(AH!$U$5=1,INDEX('Live History'!$H$5:$H$3004,MATCH($A2946,'Live History'!$G$5:$G$3004,1)),INDEX('AH History'!$B$5:$B$1380,$K2946))),NA()),NA())</f>
        <v/>
      </c>
      <c r="I2946" s="34">
        <f>IFERROR(IF(ISNUMBER($A2946),IF(AND(AH!$U$12=1,2941+1=AH!$U$6),TODAY(),IF(AH!$U$5=1,INDEX('Live History'!$G$5:$G$3004,MATCH($A2946,'Live History'!$G$5:$G$3004,1)),INDEX('AH History'!$C$5:$C$1380,$K2946))),NA()),NA())</f>
        <v/>
      </c>
      <c r="J2946" s="32">
        <f>IFERROR(IF(AND($F2946&gt;0,$H2946&gt;0,$A2946-$G2946&lt;=10,$A2946-$I2946&lt;=5,$G2946&gt;0,$I2946&gt;0),$F2946*$H2946,NA()),NA())</f>
        <v/>
      </c>
      <c r="K2946" s="15">
        <f>IF($A2946="","",IF(AH!$U$5=1,IFERROR(MATCH($A2946,'Live History'!$A$5:$A$3004,0),0),AH!$U$7+2941))</f>
        <v/>
      </c>
      <c r="L2946" s="15">
        <f>IF(ISNUMBER(A2946),TEXT(A2946,"dd-mmm-yy"),"")</f>
        <v/>
      </c>
    </row>
    <row r="2947">
      <c r="A2947" s="14">
        <f>IF(OR(AH!$U$4=0,2942+1&gt;AH!$U$6,AND(AH!$M$5="Bloomberg",AH!$U$5=0)),"",IFERROR(IF(AND(AH!$U$12=1,2942+1=AH!$U$6),TODAY(),IF(AH!$U$5=1,INDEX('Live History'!$A$5:$A$3004,AH!$U$7+2942),INDEX('AH History'!$A$5:$A$1380,AH!$U$7+2942))),""))</f>
        <v/>
      </c>
      <c r="B2947" s="33">
        <f>IFERROR(IF(AH!$U$11=1,NA(),$J2947/$E2947-1),NA())</f>
        <v/>
      </c>
      <c r="C2947" s="269">
        <f>IFERROR(100*$E2947/$E$5,NA())</f>
        <v/>
      </c>
      <c r="D2947" s="269">
        <f>IFERROR(100*$J2947/$J$5,NA())</f>
        <v/>
      </c>
      <c r="E2947" s="32">
        <f>IFERROR(IF(AND(ISNUMBER($A2947),N(IF(AND(AH!$U$12=1,2942+1=AH!$U$6),IF(AH!$U$4=0,"unavailable",INDEX('Market Data'!$AN$5:$AN$66,AH!$U$4)),IF(AH!$U$5=1,INDEX('Live History'!$B$5:$B$3004,$K2947),INDEX('AH History'!$D$5:$GG$1380,$K2947,AH!$U$10))))&gt;0),IF(AND(AH!$U$12=1,2942+1=AH!$U$6),IF(AH!$U$4=0,"unavailable",INDEX('Market Data'!$AN$5:$AN$66,AH!$U$4)),IF(AH!$U$5=1,INDEX('Live History'!$B$5:$B$3004,$K2947),INDEX('AH History'!$D$5:$GG$1380,$K2947,AH!$U$10))),NA()),NA())</f>
        <v/>
      </c>
      <c r="F2947" s="32">
        <f>IFERROR(IF(ISNUMBER($A2947),IF(AND(AH!$U$12=1,2942+1=AH!$U$6),IF(AH!$U$4=0,"unavailable",INDEX('Market Data'!$AO$5:$AO$66,AH!$U$4)),IF(AH!$U$5=1,INDEX('Live History'!$E$5:$E$3004,MATCH($A2947,'Live History'!$D$5:$D$3004,1)),INDEX('AH History'!$D$5:$GG$1380,$K2947,AH!$U$10+1))),NA()),NA())</f>
        <v/>
      </c>
      <c r="G2947" s="34">
        <f>IFERROR(IF(ISNUMBER($A2947),IF(AND(AH!$U$12=1,2942+1=AH!$U$6),IF(AH!$U$4=0,"unavailable",INDEX('Market Data'!$AK$5:$AK$66,AH!$U$4)),IF(AH!$U$5=1,INDEX('Live History'!$D$5:$D$3004,MATCH($A2947,'Live History'!$D$5:$D$3004,1)),INDEX('AH History'!$D$5:$GG$1380,$K2947,AH!$U$10+2))),NA()),NA())</f>
        <v/>
      </c>
      <c r="H2947" s="266">
        <f>IFERROR(IF(ISNUMBER($A2947),IF(AND(AH!$U$12=1,2942+1=AH!$U$6),IF(AH!$U$4=0,"unavailable",INDEX('Market Data'!$AP$5:$AP$66,AH!$U$4)),IF(AH!$U$5=1,INDEX('Live History'!$H$5:$H$3004,MATCH($A2947,'Live History'!$G$5:$G$3004,1)),INDEX('AH History'!$B$5:$B$1380,$K2947))),NA()),NA())</f>
        <v/>
      </c>
      <c r="I2947" s="34">
        <f>IFERROR(IF(ISNUMBER($A2947),IF(AND(AH!$U$12=1,2942+1=AH!$U$6),TODAY(),IF(AH!$U$5=1,INDEX('Live History'!$G$5:$G$3004,MATCH($A2947,'Live History'!$G$5:$G$3004,1)),INDEX('AH History'!$C$5:$C$1380,$K2947))),NA()),NA())</f>
        <v/>
      </c>
      <c r="J2947" s="32">
        <f>IFERROR(IF(AND($F2947&gt;0,$H2947&gt;0,$A2947-$G2947&lt;=10,$A2947-$I2947&lt;=5,$G2947&gt;0,$I2947&gt;0),$F2947*$H2947,NA()),NA())</f>
        <v/>
      </c>
      <c r="K2947" s="15">
        <f>IF($A2947="","",IF(AH!$U$5=1,IFERROR(MATCH($A2947,'Live History'!$A$5:$A$3004,0),0),AH!$U$7+2942))</f>
        <v/>
      </c>
      <c r="L2947" s="15">
        <f>IF(ISNUMBER(A2947),TEXT(A2947,"dd-mmm-yy"),"")</f>
        <v/>
      </c>
    </row>
    <row r="2948">
      <c r="A2948" s="14">
        <f>IF(OR(AH!$U$4=0,2943+1&gt;AH!$U$6,AND(AH!$M$5="Bloomberg",AH!$U$5=0)),"",IFERROR(IF(AND(AH!$U$12=1,2943+1=AH!$U$6),TODAY(),IF(AH!$U$5=1,INDEX('Live History'!$A$5:$A$3004,AH!$U$7+2943),INDEX('AH History'!$A$5:$A$1380,AH!$U$7+2943))),""))</f>
        <v/>
      </c>
      <c r="B2948" s="33">
        <f>IFERROR(IF(AH!$U$11=1,NA(),$J2948/$E2948-1),NA())</f>
        <v/>
      </c>
      <c r="C2948" s="269">
        <f>IFERROR(100*$E2948/$E$5,NA())</f>
        <v/>
      </c>
      <c r="D2948" s="269">
        <f>IFERROR(100*$J2948/$J$5,NA())</f>
        <v/>
      </c>
      <c r="E2948" s="32">
        <f>IFERROR(IF(AND(ISNUMBER($A2948),N(IF(AND(AH!$U$12=1,2943+1=AH!$U$6),IF(AH!$U$4=0,"unavailable",INDEX('Market Data'!$AN$5:$AN$66,AH!$U$4)),IF(AH!$U$5=1,INDEX('Live History'!$B$5:$B$3004,$K2948),INDEX('AH History'!$D$5:$GG$1380,$K2948,AH!$U$10))))&gt;0),IF(AND(AH!$U$12=1,2943+1=AH!$U$6),IF(AH!$U$4=0,"unavailable",INDEX('Market Data'!$AN$5:$AN$66,AH!$U$4)),IF(AH!$U$5=1,INDEX('Live History'!$B$5:$B$3004,$K2948),INDEX('AH History'!$D$5:$GG$1380,$K2948,AH!$U$10))),NA()),NA())</f>
        <v/>
      </c>
      <c r="F2948" s="32">
        <f>IFERROR(IF(ISNUMBER($A2948),IF(AND(AH!$U$12=1,2943+1=AH!$U$6),IF(AH!$U$4=0,"unavailable",INDEX('Market Data'!$AO$5:$AO$66,AH!$U$4)),IF(AH!$U$5=1,INDEX('Live History'!$E$5:$E$3004,MATCH($A2948,'Live History'!$D$5:$D$3004,1)),INDEX('AH History'!$D$5:$GG$1380,$K2948,AH!$U$10+1))),NA()),NA())</f>
        <v/>
      </c>
      <c r="G2948" s="34">
        <f>IFERROR(IF(ISNUMBER($A2948),IF(AND(AH!$U$12=1,2943+1=AH!$U$6),IF(AH!$U$4=0,"unavailable",INDEX('Market Data'!$AK$5:$AK$66,AH!$U$4)),IF(AH!$U$5=1,INDEX('Live History'!$D$5:$D$3004,MATCH($A2948,'Live History'!$D$5:$D$3004,1)),INDEX('AH History'!$D$5:$GG$1380,$K2948,AH!$U$10+2))),NA()),NA())</f>
        <v/>
      </c>
      <c r="H2948" s="266">
        <f>IFERROR(IF(ISNUMBER($A2948),IF(AND(AH!$U$12=1,2943+1=AH!$U$6),IF(AH!$U$4=0,"unavailable",INDEX('Market Data'!$AP$5:$AP$66,AH!$U$4)),IF(AH!$U$5=1,INDEX('Live History'!$H$5:$H$3004,MATCH($A2948,'Live History'!$G$5:$G$3004,1)),INDEX('AH History'!$B$5:$B$1380,$K2948))),NA()),NA())</f>
        <v/>
      </c>
      <c r="I2948" s="34">
        <f>IFERROR(IF(ISNUMBER($A2948),IF(AND(AH!$U$12=1,2943+1=AH!$U$6),TODAY(),IF(AH!$U$5=1,INDEX('Live History'!$G$5:$G$3004,MATCH($A2948,'Live History'!$G$5:$G$3004,1)),INDEX('AH History'!$C$5:$C$1380,$K2948))),NA()),NA())</f>
        <v/>
      </c>
      <c r="J2948" s="32">
        <f>IFERROR(IF(AND($F2948&gt;0,$H2948&gt;0,$A2948-$G2948&lt;=10,$A2948-$I2948&lt;=5,$G2948&gt;0,$I2948&gt;0),$F2948*$H2948,NA()),NA())</f>
        <v/>
      </c>
      <c r="K2948" s="15">
        <f>IF($A2948="","",IF(AH!$U$5=1,IFERROR(MATCH($A2948,'Live History'!$A$5:$A$3004,0),0),AH!$U$7+2943))</f>
        <v/>
      </c>
      <c r="L2948" s="15">
        <f>IF(ISNUMBER(A2948),TEXT(A2948,"dd-mmm-yy"),"")</f>
        <v/>
      </c>
    </row>
    <row r="2949">
      <c r="A2949" s="14">
        <f>IF(OR(AH!$U$4=0,2944+1&gt;AH!$U$6,AND(AH!$M$5="Bloomberg",AH!$U$5=0)),"",IFERROR(IF(AND(AH!$U$12=1,2944+1=AH!$U$6),TODAY(),IF(AH!$U$5=1,INDEX('Live History'!$A$5:$A$3004,AH!$U$7+2944),INDEX('AH History'!$A$5:$A$1380,AH!$U$7+2944))),""))</f>
        <v/>
      </c>
      <c r="B2949" s="33">
        <f>IFERROR(IF(AH!$U$11=1,NA(),$J2949/$E2949-1),NA())</f>
        <v/>
      </c>
      <c r="C2949" s="269">
        <f>IFERROR(100*$E2949/$E$5,NA())</f>
        <v/>
      </c>
      <c r="D2949" s="269">
        <f>IFERROR(100*$J2949/$J$5,NA())</f>
        <v/>
      </c>
      <c r="E2949" s="32">
        <f>IFERROR(IF(AND(ISNUMBER($A2949),N(IF(AND(AH!$U$12=1,2944+1=AH!$U$6),IF(AH!$U$4=0,"unavailable",INDEX('Market Data'!$AN$5:$AN$66,AH!$U$4)),IF(AH!$U$5=1,INDEX('Live History'!$B$5:$B$3004,$K2949),INDEX('AH History'!$D$5:$GG$1380,$K2949,AH!$U$10))))&gt;0),IF(AND(AH!$U$12=1,2944+1=AH!$U$6),IF(AH!$U$4=0,"unavailable",INDEX('Market Data'!$AN$5:$AN$66,AH!$U$4)),IF(AH!$U$5=1,INDEX('Live History'!$B$5:$B$3004,$K2949),INDEX('AH History'!$D$5:$GG$1380,$K2949,AH!$U$10))),NA()),NA())</f>
        <v/>
      </c>
      <c r="F2949" s="32">
        <f>IFERROR(IF(ISNUMBER($A2949),IF(AND(AH!$U$12=1,2944+1=AH!$U$6),IF(AH!$U$4=0,"unavailable",INDEX('Market Data'!$AO$5:$AO$66,AH!$U$4)),IF(AH!$U$5=1,INDEX('Live History'!$E$5:$E$3004,MATCH($A2949,'Live History'!$D$5:$D$3004,1)),INDEX('AH History'!$D$5:$GG$1380,$K2949,AH!$U$10+1))),NA()),NA())</f>
        <v/>
      </c>
      <c r="G2949" s="34">
        <f>IFERROR(IF(ISNUMBER($A2949),IF(AND(AH!$U$12=1,2944+1=AH!$U$6),IF(AH!$U$4=0,"unavailable",INDEX('Market Data'!$AK$5:$AK$66,AH!$U$4)),IF(AH!$U$5=1,INDEX('Live History'!$D$5:$D$3004,MATCH($A2949,'Live History'!$D$5:$D$3004,1)),INDEX('AH History'!$D$5:$GG$1380,$K2949,AH!$U$10+2))),NA()),NA())</f>
        <v/>
      </c>
      <c r="H2949" s="266">
        <f>IFERROR(IF(ISNUMBER($A2949),IF(AND(AH!$U$12=1,2944+1=AH!$U$6),IF(AH!$U$4=0,"unavailable",INDEX('Market Data'!$AP$5:$AP$66,AH!$U$4)),IF(AH!$U$5=1,INDEX('Live History'!$H$5:$H$3004,MATCH($A2949,'Live History'!$G$5:$G$3004,1)),INDEX('AH History'!$B$5:$B$1380,$K2949))),NA()),NA())</f>
        <v/>
      </c>
      <c r="I2949" s="34">
        <f>IFERROR(IF(ISNUMBER($A2949),IF(AND(AH!$U$12=1,2944+1=AH!$U$6),TODAY(),IF(AH!$U$5=1,INDEX('Live History'!$G$5:$G$3004,MATCH($A2949,'Live History'!$G$5:$G$3004,1)),INDEX('AH History'!$C$5:$C$1380,$K2949))),NA()),NA())</f>
        <v/>
      </c>
      <c r="J2949" s="32">
        <f>IFERROR(IF(AND($F2949&gt;0,$H2949&gt;0,$A2949-$G2949&lt;=10,$A2949-$I2949&lt;=5,$G2949&gt;0,$I2949&gt;0),$F2949*$H2949,NA()),NA())</f>
        <v/>
      </c>
      <c r="K2949" s="15">
        <f>IF($A2949="","",IF(AH!$U$5=1,IFERROR(MATCH($A2949,'Live History'!$A$5:$A$3004,0),0),AH!$U$7+2944))</f>
        <v/>
      </c>
      <c r="L2949" s="15">
        <f>IF(ISNUMBER(A2949),TEXT(A2949,"dd-mmm-yy"),"")</f>
        <v/>
      </c>
    </row>
    <row r="2950">
      <c r="A2950" s="14">
        <f>IF(OR(AH!$U$4=0,2945+1&gt;AH!$U$6,AND(AH!$M$5="Bloomberg",AH!$U$5=0)),"",IFERROR(IF(AND(AH!$U$12=1,2945+1=AH!$U$6),TODAY(),IF(AH!$U$5=1,INDEX('Live History'!$A$5:$A$3004,AH!$U$7+2945),INDEX('AH History'!$A$5:$A$1380,AH!$U$7+2945))),""))</f>
        <v/>
      </c>
      <c r="B2950" s="33">
        <f>IFERROR(IF(AH!$U$11=1,NA(),$J2950/$E2950-1),NA())</f>
        <v/>
      </c>
      <c r="C2950" s="269">
        <f>IFERROR(100*$E2950/$E$5,NA())</f>
        <v/>
      </c>
      <c r="D2950" s="269">
        <f>IFERROR(100*$J2950/$J$5,NA())</f>
        <v/>
      </c>
      <c r="E2950" s="32">
        <f>IFERROR(IF(AND(ISNUMBER($A2950),N(IF(AND(AH!$U$12=1,2945+1=AH!$U$6),IF(AH!$U$4=0,"unavailable",INDEX('Market Data'!$AN$5:$AN$66,AH!$U$4)),IF(AH!$U$5=1,INDEX('Live History'!$B$5:$B$3004,$K2950),INDEX('AH History'!$D$5:$GG$1380,$K2950,AH!$U$10))))&gt;0),IF(AND(AH!$U$12=1,2945+1=AH!$U$6),IF(AH!$U$4=0,"unavailable",INDEX('Market Data'!$AN$5:$AN$66,AH!$U$4)),IF(AH!$U$5=1,INDEX('Live History'!$B$5:$B$3004,$K2950),INDEX('AH History'!$D$5:$GG$1380,$K2950,AH!$U$10))),NA()),NA())</f>
        <v/>
      </c>
      <c r="F2950" s="32">
        <f>IFERROR(IF(ISNUMBER($A2950),IF(AND(AH!$U$12=1,2945+1=AH!$U$6),IF(AH!$U$4=0,"unavailable",INDEX('Market Data'!$AO$5:$AO$66,AH!$U$4)),IF(AH!$U$5=1,INDEX('Live History'!$E$5:$E$3004,MATCH($A2950,'Live History'!$D$5:$D$3004,1)),INDEX('AH History'!$D$5:$GG$1380,$K2950,AH!$U$10+1))),NA()),NA())</f>
        <v/>
      </c>
      <c r="G2950" s="34">
        <f>IFERROR(IF(ISNUMBER($A2950),IF(AND(AH!$U$12=1,2945+1=AH!$U$6),IF(AH!$U$4=0,"unavailable",INDEX('Market Data'!$AK$5:$AK$66,AH!$U$4)),IF(AH!$U$5=1,INDEX('Live History'!$D$5:$D$3004,MATCH($A2950,'Live History'!$D$5:$D$3004,1)),INDEX('AH History'!$D$5:$GG$1380,$K2950,AH!$U$10+2))),NA()),NA())</f>
        <v/>
      </c>
      <c r="H2950" s="266">
        <f>IFERROR(IF(ISNUMBER($A2950),IF(AND(AH!$U$12=1,2945+1=AH!$U$6),IF(AH!$U$4=0,"unavailable",INDEX('Market Data'!$AP$5:$AP$66,AH!$U$4)),IF(AH!$U$5=1,INDEX('Live History'!$H$5:$H$3004,MATCH($A2950,'Live History'!$G$5:$G$3004,1)),INDEX('AH History'!$B$5:$B$1380,$K2950))),NA()),NA())</f>
        <v/>
      </c>
      <c r="I2950" s="34">
        <f>IFERROR(IF(ISNUMBER($A2950),IF(AND(AH!$U$12=1,2945+1=AH!$U$6),TODAY(),IF(AH!$U$5=1,INDEX('Live History'!$G$5:$G$3004,MATCH($A2950,'Live History'!$G$5:$G$3004,1)),INDEX('AH History'!$C$5:$C$1380,$K2950))),NA()),NA())</f>
        <v/>
      </c>
      <c r="J2950" s="32">
        <f>IFERROR(IF(AND($F2950&gt;0,$H2950&gt;0,$A2950-$G2950&lt;=10,$A2950-$I2950&lt;=5,$G2950&gt;0,$I2950&gt;0),$F2950*$H2950,NA()),NA())</f>
        <v/>
      </c>
      <c r="K2950" s="15">
        <f>IF($A2950="","",IF(AH!$U$5=1,IFERROR(MATCH($A2950,'Live History'!$A$5:$A$3004,0),0),AH!$U$7+2945))</f>
        <v/>
      </c>
      <c r="L2950" s="15">
        <f>IF(ISNUMBER(A2950),TEXT(A2950,"dd-mmm-yy"),"")</f>
        <v/>
      </c>
    </row>
    <row r="2951">
      <c r="A2951" s="14">
        <f>IF(OR(AH!$U$4=0,2946+1&gt;AH!$U$6,AND(AH!$M$5="Bloomberg",AH!$U$5=0)),"",IFERROR(IF(AND(AH!$U$12=1,2946+1=AH!$U$6),TODAY(),IF(AH!$U$5=1,INDEX('Live History'!$A$5:$A$3004,AH!$U$7+2946),INDEX('AH History'!$A$5:$A$1380,AH!$U$7+2946))),""))</f>
        <v/>
      </c>
      <c r="B2951" s="33">
        <f>IFERROR(IF(AH!$U$11=1,NA(),$J2951/$E2951-1),NA())</f>
        <v/>
      </c>
      <c r="C2951" s="269">
        <f>IFERROR(100*$E2951/$E$5,NA())</f>
        <v/>
      </c>
      <c r="D2951" s="269">
        <f>IFERROR(100*$J2951/$J$5,NA())</f>
        <v/>
      </c>
      <c r="E2951" s="32">
        <f>IFERROR(IF(AND(ISNUMBER($A2951),N(IF(AND(AH!$U$12=1,2946+1=AH!$U$6),IF(AH!$U$4=0,"unavailable",INDEX('Market Data'!$AN$5:$AN$66,AH!$U$4)),IF(AH!$U$5=1,INDEX('Live History'!$B$5:$B$3004,$K2951),INDEX('AH History'!$D$5:$GG$1380,$K2951,AH!$U$10))))&gt;0),IF(AND(AH!$U$12=1,2946+1=AH!$U$6),IF(AH!$U$4=0,"unavailable",INDEX('Market Data'!$AN$5:$AN$66,AH!$U$4)),IF(AH!$U$5=1,INDEX('Live History'!$B$5:$B$3004,$K2951),INDEX('AH History'!$D$5:$GG$1380,$K2951,AH!$U$10))),NA()),NA())</f>
        <v/>
      </c>
      <c r="F2951" s="32">
        <f>IFERROR(IF(ISNUMBER($A2951),IF(AND(AH!$U$12=1,2946+1=AH!$U$6),IF(AH!$U$4=0,"unavailable",INDEX('Market Data'!$AO$5:$AO$66,AH!$U$4)),IF(AH!$U$5=1,INDEX('Live History'!$E$5:$E$3004,MATCH($A2951,'Live History'!$D$5:$D$3004,1)),INDEX('AH History'!$D$5:$GG$1380,$K2951,AH!$U$10+1))),NA()),NA())</f>
        <v/>
      </c>
      <c r="G2951" s="34">
        <f>IFERROR(IF(ISNUMBER($A2951),IF(AND(AH!$U$12=1,2946+1=AH!$U$6),IF(AH!$U$4=0,"unavailable",INDEX('Market Data'!$AK$5:$AK$66,AH!$U$4)),IF(AH!$U$5=1,INDEX('Live History'!$D$5:$D$3004,MATCH($A2951,'Live History'!$D$5:$D$3004,1)),INDEX('AH History'!$D$5:$GG$1380,$K2951,AH!$U$10+2))),NA()),NA())</f>
        <v/>
      </c>
      <c r="H2951" s="266">
        <f>IFERROR(IF(ISNUMBER($A2951),IF(AND(AH!$U$12=1,2946+1=AH!$U$6),IF(AH!$U$4=0,"unavailable",INDEX('Market Data'!$AP$5:$AP$66,AH!$U$4)),IF(AH!$U$5=1,INDEX('Live History'!$H$5:$H$3004,MATCH($A2951,'Live History'!$G$5:$G$3004,1)),INDEX('AH History'!$B$5:$B$1380,$K2951))),NA()),NA())</f>
        <v/>
      </c>
      <c r="I2951" s="34">
        <f>IFERROR(IF(ISNUMBER($A2951),IF(AND(AH!$U$12=1,2946+1=AH!$U$6),TODAY(),IF(AH!$U$5=1,INDEX('Live History'!$G$5:$G$3004,MATCH($A2951,'Live History'!$G$5:$G$3004,1)),INDEX('AH History'!$C$5:$C$1380,$K2951))),NA()),NA())</f>
        <v/>
      </c>
      <c r="J2951" s="32">
        <f>IFERROR(IF(AND($F2951&gt;0,$H2951&gt;0,$A2951-$G2951&lt;=10,$A2951-$I2951&lt;=5,$G2951&gt;0,$I2951&gt;0),$F2951*$H2951,NA()),NA())</f>
        <v/>
      </c>
      <c r="K2951" s="15">
        <f>IF($A2951="","",IF(AH!$U$5=1,IFERROR(MATCH($A2951,'Live History'!$A$5:$A$3004,0),0),AH!$U$7+2946))</f>
        <v/>
      </c>
      <c r="L2951" s="15">
        <f>IF(ISNUMBER(A2951),TEXT(A2951,"dd-mmm-yy"),"")</f>
        <v/>
      </c>
    </row>
    <row r="2952">
      <c r="A2952" s="14">
        <f>IF(OR(AH!$U$4=0,2947+1&gt;AH!$U$6,AND(AH!$M$5="Bloomberg",AH!$U$5=0)),"",IFERROR(IF(AND(AH!$U$12=1,2947+1=AH!$U$6),TODAY(),IF(AH!$U$5=1,INDEX('Live History'!$A$5:$A$3004,AH!$U$7+2947),INDEX('AH History'!$A$5:$A$1380,AH!$U$7+2947))),""))</f>
        <v/>
      </c>
      <c r="B2952" s="33">
        <f>IFERROR(IF(AH!$U$11=1,NA(),$J2952/$E2952-1),NA())</f>
        <v/>
      </c>
      <c r="C2952" s="269">
        <f>IFERROR(100*$E2952/$E$5,NA())</f>
        <v/>
      </c>
      <c r="D2952" s="269">
        <f>IFERROR(100*$J2952/$J$5,NA())</f>
        <v/>
      </c>
      <c r="E2952" s="32">
        <f>IFERROR(IF(AND(ISNUMBER($A2952),N(IF(AND(AH!$U$12=1,2947+1=AH!$U$6),IF(AH!$U$4=0,"unavailable",INDEX('Market Data'!$AN$5:$AN$66,AH!$U$4)),IF(AH!$U$5=1,INDEX('Live History'!$B$5:$B$3004,$K2952),INDEX('AH History'!$D$5:$GG$1380,$K2952,AH!$U$10))))&gt;0),IF(AND(AH!$U$12=1,2947+1=AH!$U$6),IF(AH!$U$4=0,"unavailable",INDEX('Market Data'!$AN$5:$AN$66,AH!$U$4)),IF(AH!$U$5=1,INDEX('Live History'!$B$5:$B$3004,$K2952),INDEX('AH History'!$D$5:$GG$1380,$K2952,AH!$U$10))),NA()),NA())</f>
        <v/>
      </c>
      <c r="F2952" s="32">
        <f>IFERROR(IF(ISNUMBER($A2952),IF(AND(AH!$U$12=1,2947+1=AH!$U$6),IF(AH!$U$4=0,"unavailable",INDEX('Market Data'!$AO$5:$AO$66,AH!$U$4)),IF(AH!$U$5=1,INDEX('Live History'!$E$5:$E$3004,MATCH($A2952,'Live History'!$D$5:$D$3004,1)),INDEX('AH History'!$D$5:$GG$1380,$K2952,AH!$U$10+1))),NA()),NA())</f>
        <v/>
      </c>
      <c r="G2952" s="34">
        <f>IFERROR(IF(ISNUMBER($A2952),IF(AND(AH!$U$12=1,2947+1=AH!$U$6),IF(AH!$U$4=0,"unavailable",INDEX('Market Data'!$AK$5:$AK$66,AH!$U$4)),IF(AH!$U$5=1,INDEX('Live History'!$D$5:$D$3004,MATCH($A2952,'Live History'!$D$5:$D$3004,1)),INDEX('AH History'!$D$5:$GG$1380,$K2952,AH!$U$10+2))),NA()),NA())</f>
        <v/>
      </c>
      <c r="H2952" s="266">
        <f>IFERROR(IF(ISNUMBER($A2952),IF(AND(AH!$U$12=1,2947+1=AH!$U$6),IF(AH!$U$4=0,"unavailable",INDEX('Market Data'!$AP$5:$AP$66,AH!$U$4)),IF(AH!$U$5=1,INDEX('Live History'!$H$5:$H$3004,MATCH($A2952,'Live History'!$G$5:$G$3004,1)),INDEX('AH History'!$B$5:$B$1380,$K2952))),NA()),NA())</f>
        <v/>
      </c>
      <c r="I2952" s="34">
        <f>IFERROR(IF(ISNUMBER($A2952),IF(AND(AH!$U$12=1,2947+1=AH!$U$6),TODAY(),IF(AH!$U$5=1,INDEX('Live History'!$G$5:$G$3004,MATCH($A2952,'Live History'!$G$5:$G$3004,1)),INDEX('AH History'!$C$5:$C$1380,$K2952))),NA()),NA())</f>
        <v/>
      </c>
      <c r="J2952" s="32">
        <f>IFERROR(IF(AND($F2952&gt;0,$H2952&gt;0,$A2952-$G2952&lt;=10,$A2952-$I2952&lt;=5,$G2952&gt;0,$I2952&gt;0),$F2952*$H2952,NA()),NA())</f>
        <v/>
      </c>
      <c r="K2952" s="15">
        <f>IF($A2952="","",IF(AH!$U$5=1,IFERROR(MATCH($A2952,'Live History'!$A$5:$A$3004,0),0),AH!$U$7+2947))</f>
        <v/>
      </c>
      <c r="L2952" s="15">
        <f>IF(ISNUMBER(A2952),TEXT(A2952,"dd-mmm-yy"),"")</f>
        <v/>
      </c>
    </row>
    <row r="2953">
      <c r="A2953" s="14">
        <f>IF(OR(AH!$U$4=0,2948+1&gt;AH!$U$6,AND(AH!$M$5="Bloomberg",AH!$U$5=0)),"",IFERROR(IF(AND(AH!$U$12=1,2948+1=AH!$U$6),TODAY(),IF(AH!$U$5=1,INDEX('Live History'!$A$5:$A$3004,AH!$U$7+2948),INDEX('AH History'!$A$5:$A$1380,AH!$U$7+2948))),""))</f>
        <v/>
      </c>
      <c r="B2953" s="33">
        <f>IFERROR(IF(AH!$U$11=1,NA(),$J2953/$E2953-1),NA())</f>
        <v/>
      </c>
      <c r="C2953" s="269">
        <f>IFERROR(100*$E2953/$E$5,NA())</f>
        <v/>
      </c>
      <c r="D2953" s="269">
        <f>IFERROR(100*$J2953/$J$5,NA())</f>
        <v/>
      </c>
      <c r="E2953" s="32">
        <f>IFERROR(IF(AND(ISNUMBER($A2953),N(IF(AND(AH!$U$12=1,2948+1=AH!$U$6),IF(AH!$U$4=0,"unavailable",INDEX('Market Data'!$AN$5:$AN$66,AH!$U$4)),IF(AH!$U$5=1,INDEX('Live History'!$B$5:$B$3004,$K2953),INDEX('AH History'!$D$5:$GG$1380,$K2953,AH!$U$10))))&gt;0),IF(AND(AH!$U$12=1,2948+1=AH!$U$6),IF(AH!$U$4=0,"unavailable",INDEX('Market Data'!$AN$5:$AN$66,AH!$U$4)),IF(AH!$U$5=1,INDEX('Live History'!$B$5:$B$3004,$K2953),INDEX('AH History'!$D$5:$GG$1380,$K2953,AH!$U$10))),NA()),NA())</f>
        <v/>
      </c>
      <c r="F2953" s="32">
        <f>IFERROR(IF(ISNUMBER($A2953),IF(AND(AH!$U$12=1,2948+1=AH!$U$6),IF(AH!$U$4=0,"unavailable",INDEX('Market Data'!$AO$5:$AO$66,AH!$U$4)),IF(AH!$U$5=1,INDEX('Live History'!$E$5:$E$3004,MATCH($A2953,'Live History'!$D$5:$D$3004,1)),INDEX('AH History'!$D$5:$GG$1380,$K2953,AH!$U$10+1))),NA()),NA())</f>
        <v/>
      </c>
      <c r="G2953" s="34">
        <f>IFERROR(IF(ISNUMBER($A2953),IF(AND(AH!$U$12=1,2948+1=AH!$U$6),IF(AH!$U$4=0,"unavailable",INDEX('Market Data'!$AK$5:$AK$66,AH!$U$4)),IF(AH!$U$5=1,INDEX('Live History'!$D$5:$D$3004,MATCH($A2953,'Live History'!$D$5:$D$3004,1)),INDEX('AH History'!$D$5:$GG$1380,$K2953,AH!$U$10+2))),NA()),NA())</f>
        <v/>
      </c>
      <c r="H2953" s="266">
        <f>IFERROR(IF(ISNUMBER($A2953),IF(AND(AH!$U$12=1,2948+1=AH!$U$6),IF(AH!$U$4=0,"unavailable",INDEX('Market Data'!$AP$5:$AP$66,AH!$U$4)),IF(AH!$U$5=1,INDEX('Live History'!$H$5:$H$3004,MATCH($A2953,'Live History'!$G$5:$G$3004,1)),INDEX('AH History'!$B$5:$B$1380,$K2953))),NA()),NA())</f>
        <v/>
      </c>
      <c r="I2953" s="34">
        <f>IFERROR(IF(ISNUMBER($A2953),IF(AND(AH!$U$12=1,2948+1=AH!$U$6),TODAY(),IF(AH!$U$5=1,INDEX('Live History'!$G$5:$G$3004,MATCH($A2953,'Live History'!$G$5:$G$3004,1)),INDEX('AH History'!$C$5:$C$1380,$K2953))),NA()),NA())</f>
        <v/>
      </c>
      <c r="J2953" s="32">
        <f>IFERROR(IF(AND($F2953&gt;0,$H2953&gt;0,$A2953-$G2953&lt;=10,$A2953-$I2953&lt;=5,$G2953&gt;0,$I2953&gt;0),$F2953*$H2953,NA()),NA())</f>
        <v/>
      </c>
      <c r="K2953" s="15">
        <f>IF($A2953="","",IF(AH!$U$5=1,IFERROR(MATCH($A2953,'Live History'!$A$5:$A$3004,0),0),AH!$U$7+2948))</f>
        <v/>
      </c>
      <c r="L2953" s="15">
        <f>IF(ISNUMBER(A2953),TEXT(A2953,"dd-mmm-yy"),"")</f>
        <v/>
      </c>
    </row>
    <row r="2954">
      <c r="A2954" s="14">
        <f>IF(OR(AH!$U$4=0,2949+1&gt;AH!$U$6,AND(AH!$M$5="Bloomberg",AH!$U$5=0)),"",IFERROR(IF(AND(AH!$U$12=1,2949+1=AH!$U$6),TODAY(),IF(AH!$U$5=1,INDEX('Live History'!$A$5:$A$3004,AH!$U$7+2949),INDEX('AH History'!$A$5:$A$1380,AH!$U$7+2949))),""))</f>
        <v/>
      </c>
      <c r="B2954" s="33">
        <f>IFERROR(IF(AH!$U$11=1,NA(),$J2954/$E2954-1),NA())</f>
        <v/>
      </c>
      <c r="C2954" s="269">
        <f>IFERROR(100*$E2954/$E$5,NA())</f>
        <v/>
      </c>
      <c r="D2954" s="269">
        <f>IFERROR(100*$J2954/$J$5,NA())</f>
        <v/>
      </c>
      <c r="E2954" s="32">
        <f>IFERROR(IF(AND(ISNUMBER($A2954),N(IF(AND(AH!$U$12=1,2949+1=AH!$U$6),IF(AH!$U$4=0,"unavailable",INDEX('Market Data'!$AN$5:$AN$66,AH!$U$4)),IF(AH!$U$5=1,INDEX('Live History'!$B$5:$B$3004,$K2954),INDEX('AH History'!$D$5:$GG$1380,$K2954,AH!$U$10))))&gt;0),IF(AND(AH!$U$12=1,2949+1=AH!$U$6),IF(AH!$U$4=0,"unavailable",INDEX('Market Data'!$AN$5:$AN$66,AH!$U$4)),IF(AH!$U$5=1,INDEX('Live History'!$B$5:$B$3004,$K2954),INDEX('AH History'!$D$5:$GG$1380,$K2954,AH!$U$10))),NA()),NA())</f>
        <v/>
      </c>
      <c r="F2954" s="32">
        <f>IFERROR(IF(ISNUMBER($A2954),IF(AND(AH!$U$12=1,2949+1=AH!$U$6),IF(AH!$U$4=0,"unavailable",INDEX('Market Data'!$AO$5:$AO$66,AH!$U$4)),IF(AH!$U$5=1,INDEX('Live History'!$E$5:$E$3004,MATCH($A2954,'Live History'!$D$5:$D$3004,1)),INDEX('AH History'!$D$5:$GG$1380,$K2954,AH!$U$10+1))),NA()),NA())</f>
        <v/>
      </c>
      <c r="G2954" s="34">
        <f>IFERROR(IF(ISNUMBER($A2954),IF(AND(AH!$U$12=1,2949+1=AH!$U$6),IF(AH!$U$4=0,"unavailable",INDEX('Market Data'!$AK$5:$AK$66,AH!$U$4)),IF(AH!$U$5=1,INDEX('Live History'!$D$5:$D$3004,MATCH($A2954,'Live History'!$D$5:$D$3004,1)),INDEX('AH History'!$D$5:$GG$1380,$K2954,AH!$U$10+2))),NA()),NA())</f>
        <v/>
      </c>
      <c r="H2954" s="266">
        <f>IFERROR(IF(ISNUMBER($A2954),IF(AND(AH!$U$12=1,2949+1=AH!$U$6),IF(AH!$U$4=0,"unavailable",INDEX('Market Data'!$AP$5:$AP$66,AH!$U$4)),IF(AH!$U$5=1,INDEX('Live History'!$H$5:$H$3004,MATCH($A2954,'Live History'!$G$5:$G$3004,1)),INDEX('AH History'!$B$5:$B$1380,$K2954))),NA()),NA())</f>
        <v/>
      </c>
      <c r="I2954" s="34">
        <f>IFERROR(IF(ISNUMBER($A2954),IF(AND(AH!$U$12=1,2949+1=AH!$U$6),TODAY(),IF(AH!$U$5=1,INDEX('Live History'!$G$5:$G$3004,MATCH($A2954,'Live History'!$G$5:$G$3004,1)),INDEX('AH History'!$C$5:$C$1380,$K2954))),NA()),NA())</f>
        <v/>
      </c>
      <c r="J2954" s="32">
        <f>IFERROR(IF(AND($F2954&gt;0,$H2954&gt;0,$A2954-$G2954&lt;=10,$A2954-$I2954&lt;=5,$G2954&gt;0,$I2954&gt;0),$F2954*$H2954,NA()),NA())</f>
        <v/>
      </c>
      <c r="K2954" s="15">
        <f>IF($A2954="","",IF(AH!$U$5=1,IFERROR(MATCH($A2954,'Live History'!$A$5:$A$3004,0),0),AH!$U$7+2949))</f>
        <v/>
      </c>
      <c r="L2954" s="15">
        <f>IF(ISNUMBER(A2954),TEXT(A2954,"dd-mmm-yy"),"")</f>
        <v/>
      </c>
    </row>
    <row r="2955">
      <c r="A2955" s="14">
        <f>IF(OR(AH!$U$4=0,2950+1&gt;AH!$U$6,AND(AH!$M$5="Bloomberg",AH!$U$5=0)),"",IFERROR(IF(AND(AH!$U$12=1,2950+1=AH!$U$6),TODAY(),IF(AH!$U$5=1,INDEX('Live History'!$A$5:$A$3004,AH!$U$7+2950),INDEX('AH History'!$A$5:$A$1380,AH!$U$7+2950))),""))</f>
        <v/>
      </c>
      <c r="B2955" s="33">
        <f>IFERROR(IF(AH!$U$11=1,NA(),$J2955/$E2955-1),NA())</f>
        <v/>
      </c>
      <c r="C2955" s="269">
        <f>IFERROR(100*$E2955/$E$5,NA())</f>
        <v/>
      </c>
      <c r="D2955" s="269">
        <f>IFERROR(100*$J2955/$J$5,NA())</f>
        <v/>
      </c>
      <c r="E2955" s="32">
        <f>IFERROR(IF(AND(ISNUMBER($A2955),N(IF(AND(AH!$U$12=1,2950+1=AH!$U$6),IF(AH!$U$4=0,"unavailable",INDEX('Market Data'!$AN$5:$AN$66,AH!$U$4)),IF(AH!$U$5=1,INDEX('Live History'!$B$5:$B$3004,$K2955),INDEX('AH History'!$D$5:$GG$1380,$K2955,AH!$U$10))))&gt;0),IF(AND(AH!$U$12=1,2950+1=AH!$U$6),IF(AH!$U$4=0,"unavailable",INDEX('Market Data'!$AN$5:$AN$66,AH!$U$4)),IF(AH!$U$5=1,INDEX('Live History'!$B$5:$B$3004,$K2955),INDEX('AH History'!$D$5:$GG$1380,$K2955,AH!$U$10))),NA()),NA())</f>
        <v/>
      </c>
      <c r="F2955" s="32">
        <f>IFERROR(IF(ISNUMBER($A2955),IF(AND(AH!$U$12=1,2950+1=AH!$U$6),IF(AH!$U$4=0,"unavailable",INDEX('Market Data'!$AO$5:$AO$66,AH!$U$4)),IF(AH!$U$5=1,INDEX('Live History'!$E$5:$E$3004,MATCH($A2955,'Live History'!$D$5:$D$3004,1)),INDEX('AH History'!$D$5:$GG$1380,$K2955,AH!$U$10+1))),NA()),NA())</f>
        <v/>
      </c>
      <c r="G2955" s="34">
        <f>IFERROR(IF(ISNUMBER($A2955),IF(AND(AH!$U$12=1,2950+1=AH!$U$6),IF(AH!$U$4=0,"unavailable",INDEX('Market Data'!$AK$5:$AK$66,AH!$U$4)),IF(AH!$U$5=1,INDEX('Live History'!$D$5:$D$3004,MATCH($A2955,'Live History'!$D$5:$D$3004,1)),INDEX('AH History'!$D$5:$GG$1380,$K2955,AH!$U$10+2))),NA()),NA())</f>
        <v/>
      </c>
      <c r="H2955" s="266">
        <f>IFERROR(IF(ISNUMBER($A2955),IF(AND(AH!$U$12=1,2950+1=AH!$U$6),IF(AH!$U$4=0,"unavailable",INDEX('Market Data'!$AP$5:$AP$66,AH!$U$4)),IF(AH!$U$5=1,INDEX('Live History'!$H$5:$H$3004,MATCH($A2955,'Live History'!$G$5:$G$3004,1)),INDEX('AH History'!$B$5:$B$1380,$K2955))),NA()),NA())</f>
        <v/>
      </c>
      <c r="I2955" s="34">
        <f>IFERROR(IF(ISNUMBER($A2955),IF(AND(AH!$U$12=1,2950+1=AH!$U$6),TODAY(),IF(AH!$U$5=1,INDEX('Live History'!$G$5:$G$3004,MATCH($A2955,'Live History'!$G$5:$G$3004,1)),INDEX('AH History'!$C$5:$C$1380,$K2955))),NA()),NA())</f>
        <v/>
      </c>
      <c r="J2955" s="32">
        <f>IFERROR(IF(AND($F2955&gt;0,$H2955&gt;0,$A2955-$G2955&lt;=10,$A2955-$I2955&lt;=5,$G2955&gt;0,$I2955&gt;0),$F2955*$H2955,NA()),NA())</f>
        <v/>
      </c>
      <c r="K2955" s="15">
        <f>IF($A2955="","",IF(AH!$U$5=1,IFERROR(MATCH($A2955,'Live History'!$A$5:$A$3004,0),0),AH!$U$7+2950))</f>
        <v/>
      </c>
      <c r="L2955" s="15">
        <f>IF(ISNUMBER(A2955),TEXT(A2955,"dd-mmm-yy"),"")</f>
        <v/>
      </c>
    </row>
    <row r="2956">
      <c r="A2956" s="14">
        <f>IF(OR(AH!$U$4=0,2951+1&gt;AH!$U$6,AND(AH!$M$5="Bloomberg",AH!$U$5=0)),"",IFERROR(IF(AND(AH!$U$12=1,2951+1=AH!$U$6),TODAY(),IF(AH!$U$5=1,INDEX('Live History'!$A$5:$A$3004,AH!$U$7+2951),INDEX('AH History'!$A$5:$A$1380,AH!$U$7+2951))),""))</f>
        <v/>
      </c>
      <c r="B2956" s="33">
        <f>IFERROR(IF(AH!$U$11=1,NA(),$J2956/$E2956-1),NA())</f>
        <v/>
      </c>
      <c r="C2956" s="269">
        <f>IFERROR(100*$E2956/$E$5,NA())</f>
        <v/>
      </c>
      <c r="D2956" s="269">
        <f>IFERROR(100*$J2956/$J$5,NA())</f>
        <v/>
      </c>
      <c r="E2956" s="32">
        <f>IFERROR(IF(AND(ISNUMBER($A2956),N(IF(AND(AH!$U$12=1,2951+1=AH!$U$6),IF(AH!$U$4=0,"unavailable",INDEX('Market Data'!$AN$5:$AN$66,AH!$U$4)),IF(AH!$U$5=1,INDEX('Live History'!$B$5:$B$3004,$K2956),INDEX('AH History'!$D$5:$GG$1380,$K2956,AH!$U$10))))&gt;0),IF(AND(AH!$U$12=1,2951+1=AH!$U$6),IF(AH!$U$4=0,"unavailable",INDEX('Market Data'!$AN$5:$AN$66,AH!$U$4)),IF(AH!$U$5=1,INDEX('Live History'!$B$5:$B$3004,$K2956),INDEX('AH History'!$D$5:$GG$1380,$K2956,AH!$U$10))),NA()),NA())</f>
        <v/>
      </c>
      <c r="F2956" s="32">
        <f>IFERROR(IF(ISNUMBER($A2956),IF(AND(AH!$U$12=1,2951+1=AH!$U$6),IF(AH!$U$4=0,"unavailable",INDEX('Market Data'!$AO$5:$AO$66,AH!$U$4)),IF(AH!$U$5=1,INDEX('Live History'!$E$5:$E$3004,MATCH($A2956,'Live History'!$D$5:$D$3004,1)),INDEX('AH History'!$D$5:$GG$1380,$K2956,AH!$U$10+1))),NA()),NA())</f>
        <v/>
      </c>
      <c r="G2956" s="34">
        <f>IFERROR(IF(ISNUMBER($A2956),IF(AND(AH!$U$12=1,2951+1=AH!$U$6),IF(AH!$U$4=0,"unavailable",INDEX('Market Data'!$AK$5:$AK$66,AH!$U$4)),IF(AH!$U$5=1,INDEX('Live History'!$D$5:$D$3004,MATCH($A2956,'Live History'!$D$5:$D$3004,1)),INDEX('AH History'!$D$5:$GG$1380,$K2956,AH!$U$10+2))),NA()),NA())</f>
        <v/>
      </c>
      <c r="H2956" s="266">
        <f>IFERROR(IF(ISNUMBER($A2956),IF(AND(AH!$U$12=1,2951+1=AH!$U$6),IF(AH!$U$4=0,"unavailable",INDEX('Market Data'!$AP$5:$AP$66,AH!$U$4)),IF(AH!$U$5=1,INDEX('Live History'!$H$5:$H$3004,MATCH($A2956,'Live History'!$G$5:$G$3004,1)),INDEX('AH History'!$B$5:$B$1380,$K2956))),NA()),NA())</f>
        <v/>
      </c>
      <c r="I2956" s="34">
        <f>IFERROR(IF(ISNUMBER($A2956),IF(AND(AH!$U$12=1,2951+1=AH!$U$6),TODAY(),IF(AH!$U$5=1,INDEX('Live History'!$G$5:$G$3004,MATCH($A2956,'Live History'!$G$5:$G$3004,1)),INDEX('AH History'!$C$5:$C$1380,$K2956))),NA()),NA())</f>
        <v/>
      </c>
      <c r="J2956" s="32">
        <f>IFERROR(IF(AND($F2956&gt;0,$H2956&gt;0,$A2956-$G2956&lt;=10,$A2956-$I2956&lt;=5,$G2956&gt;0,$I2956&gt;0),$F2956*$H2956,NA()),NA())</f>
        <v/>
      </c>
      <c r="K2956" s="15">
        <f>IF($A2956="","",IF(AH!$U$5=1,IFERROR(MATCH($A2956,'Live History'!$A$5:$A$3004,0),0),AH!$U$7+2951))</f>
        <v/>
      </c>
      <c r="L2956" s="15">
        <f>IF(ISNUMBER(A2956),TEXT(A2956,"dd-mmm-yy"),"")</f>
        <v/>
      </c>
    </row>
    <row r="2957">
      <c r="A2957" s="14">
        <f>IF(OR(AH!$U$4=0,2952+1&gt;AH!$U$6,AND(AH!$M$5="Bloomberg",AH!$U$5=0)),"",IFERROR(IF(AND(AH!$U$12=1,2952+1=AH!$U$6),TODAY(),IF(AH!$U$5=1,INDEX('Live History'!$A$5:$A$3004,AH!$U$7+2952),INDEX('AH History'!$A$5:$A$1380,AH!$U$7+2952))),""))</f>
        <v/>
      </c>
      <c r="B2957" s="33">
        <f>IFERROR(IF(AH!$U$11=1,NA(),$J2957/$E2957-1),NA())</f>
        <v/>
      </c>
      <c r="C2957" s="269">
        <f>IFERROR(100*$E2957/$E$5,NA())</f>
        <v/>
      </c>
      <c r="D2957" s="269">
        <f>IFERROR(100*$J2957/$J$5,NA())</f>
        <v/>
      </c>
      <c r="E2957" s="32">
        <f>IFERROR(IF(AND(ISNUMBER($A2957),N(IF(AND(AH!$U$12=1,2952+1=AH!$U$6),IF(AH!$U$4=0,"unavailable",INDEX('Market Data'!$AN$5:$AN$66,AH!$U$4)),IF(AH!$U$5=1,INDEX('Live History'!$B$5:$B$3004,$K2957),INDEX('AH History'!$D$5:$GG$1380,$K2957,AH!$U$10))))&gt;0),IF(AND(AH!$U$12=1,2952+1=AH!$U$6),IF(AH!$U$4=0,"unavailable",INDEX('Market Data'!$AN$5:$AN$66,AH!$U$4)),IF(AH!$U$5=1,INDEX('Live History'!$B$5:$B$3004,$K2957),INDEX('AH History'!$D$5:$GG$1380,$K2957,AH!$U$10))),NA()),NA())</f>
        <v/>
      </c>
      <c r="F2957" s="32">
        <f>IFERROR(IF(ISNUMBER($A2957),IF(AND(AH!$U$12=1,2952+1=AH!$U$6),IF(AH!$U$4=0,"unavailable",INDEX('Market Data'!$AO$5:$AO$66,AH!$U$4)),IF(AH!$U$5=1,INDEX('Live History'!$E$5:$E$3004,MATCH($A2957,'Live History'!$D$5:$D$3004,1)),INDEX('AH History'!$D$5:$GG$1380,$K2957,AH!$U$10+1))),NA()),NA())</f>
        <v/>
      </c>
      <c r="G2957" s="34">
        <f>IFERROR(IF(ISNUMBER($A2957),IF(AND(AH!$U$12=1,2952+1=AH!$U$6),IF(AH!$U$4=0,"unavailable",INDEX('Market Data'!$AK$5:$AK$66,AH!$U$4)),IF(AH!$U$5=1,INDEX('Live History'!$D$5:$D$3004,MATCH($A2957,'Live History'!$D$5:$D$3004,1)),INDEX('AH History'!$D$5:$GG$1380,$K2957,AH!$U$10+2))),NA()),NA())</f>
        <v/>
      </c>
      <c r="H2957" s="266">
        <f>IFERROR(IF(ISNUMBER($A2957),IF(AND(AH!$U$12=1,2952+1=AH!$U$6),IF(AH!$U$4=0,"unavailable",INDEX('Market Data'!$AP$5:$AP$66,AH!$U$4)),IF(AH!$U$5=1,INDEX('Live History'!$H$5:$H$3004,MATCH($A2957,'Live History'!$G$5:$G$3004,1)),INDEX('AH History'!$B$5:$B$1380,$K2957))),NA()),NA())</f>
        <v/>
      </c>
      <c r="I2957" s="34">
        <f>IFERROR(IF(ISNUMBER($A2957),IF(AND(AH!$U$12=1,2952+1=AH!$U$6),TODAY(),IF(AH!$U$5=1,INDEX('Live History'!$G$5:$G$3004,MATCH($A2957,'Live History'!$G$5:$G$3004,1)),INDEX('AH History'!$C$5:$C$1380,$K2957))),NA()),NA())</f>
        <v/>
      </c>
      <c r="J2957" s="32">
        <f>IFERROR(IF(AND($F2957&gt;0,$H2957&gt;0,$A2957-$G2957&lt;=10,$A2957-$I2957&lt;=5,$G2957&gt;0,$I2957&gt;0),$F2957*$H2957,NA()),NA())</f>
        <v/>
      </c>
      <c r="K2957" s="15">
        <f>IF($A2957="","",IF(AH!$U$5=1,IFERROR(MATCH($A2957,'Live History'!$A$5:$A$3004,0),0),AH!$U$7+2952))</f>
        <v/>
      </c>
      <c r="L2957" s="15">
        <f>IF(ISNUMBER(A2957),TEXT(A2957,"dd-mmm-yy"),"")</f>
        <v/>
      </c>
    </row>
    <row r="2958">
      <c r="A2958" s="14">
        <f>IF(OR(AH!$U$4=0,2953+1&gt;AH!$U$6,AND(AH!$M$5="Bloomberg",AH!$U$5=0)),"",IFERROR(IF(AND(AH!$U$12=1,2953+1=AH!$U$6),TODAY(),IF(AH!$U$5=1,INDEX('Live History'!$A$5:$A$3004,AH!$U$7+2953),INDEX('AH History'!$A$5:$A$1380,AH!$U$7+2953))),""))</f>
        <v/>
      </c>
      <c r="B2958" s="33">
        <f>IFERROR(IF(AH!$U$11=1,NA(),$J2958/$E2958-1),NA())</f>
        <v/>
      </c>
      <c r="C2958" s="269">
        <f>IFERROR(100*$E2958/$E$5,NA())</f>
        <v/>
      </c>
      <c r="D2958" s="269">
        <f>IFERROR(100*$J2958/$J$5,NA())</f>
        <v/>
      </c>
      <c r="E2958" s="32">
        <f>IFERROR(IF(AND(ISNUMBER($A2958),N(IF(AND(AH!$U$12=1,2953+1=AH!$U$6),IF(AH!$U$4=0,"unavailable",INDEX('Market Data'!$AN$5:$AN$66,AH!$U$4)),IF(AH!$U$5=1,INDEX('Live History'!$B$5:$B$3004,$K2958),INDEX('AH History'!$D$5:$GG$1380,$K2958,AH!$U$10))))&gt;0),IF(AND(AH!$U$12=1,2953+1=AH!$U$6),IF(AH!$U$4=0,"unavailable",INDEX('Market Data'!$AN$5:$AN$66,AH!$U$4)),IF(AH!$U$5=1,INDEX('Live History'!$B$5:$B$3004,$K2958),INDEX('AH History'!$D$5:$GG$1380,$K2958,AH!$U$10))),NA()),NA())</f>
        <v/>
      </c>
      <c r="F2958" s="32">
        <f>IFERROR(IF(ISNUMBER($A2958),IF(AND(AH!$U$12=1,2953+1=AH!$U$6),IF(AH!$U$4=0,"unavailable",INDEX('Market Data'!$AO$5:$AO$66,AH!$U$4)),IF(AH!$U$5=1,INDEX('Live History'!$E$5:$E$3004,MATCH($A2958,'Live History'!$D$5:$D$3004,1)),INDEX('AH History'!$D$5:$GG$1380,$K2958,AH!$U$10+1))),NA()),NA())</f>
        <v/>
      </c>
      <c r="G2958" s="34">
        <f>IFERROR(IF(ISNUMBER($A2958),IF(AND(AH!$U$12=1,2953+1=AH!$U$6),IF(AH!$U$4=0,"unavailable",INDEX('Market Data'!$AK$5:$AK$66,AH!$U$4)),IF(AH!$U$5=1,INDEX('Live History'!$D$5:$D$3004,MATCH($A2958,'Live History'!$D$5:$D$3004,1)),INDEX('AH History'!$D$5:$GG$1380,$K2958,AH!$U$10+2))),NA()),NA())</f>
        <v/>
      </c>
      <c r="H2958" s="266">
        <f>IFERROR(IF(ISNUMBER($A2958),IF(AND(AH!$U$12=1,2953+1=AH!$U$6),IF(AH!$U$4=0,"unavailable",INDEX('Market Data'!$AP$5:$AP$66,AH!$U$4)),IF(AH!$U$5=1,INDEX('Live History'!$H$5:$H$3004,MATCH($A2958,'Live History'!$G$5:$G$3004,1)),INDEX('AH History'!$B$5:$B$1380,$K2958))),NA()),NA())</f>
        <v/>
      </c>
      <c r="I2958" s="34">
        <f>IFERROR(IF(ISNUMBER($A2958),IF(AND(AH!$U$12=1,2953+1=AH!$U$6),TODAY(),IF(AH!$U$5=1,INDEX('Live History'!$G$5:$G$3004,MATCH($A2958,'Live History'!$G$5:$G$3004,1)),INDEX('AH History'!$C$5:$C$1380,$K2958))),NA()),NA())</f>
        <v/>
      </c>
      <c r="J2958" s="32">
        <f>IFERROR(IF(AND($F2958&gt;0,$H2958&gt;0,$A2958-$G2958&lt;=10,$A2958-$I2958&lt;=5,$G2958&gt;0,$I2958&gt;0),$F2958*$H2958,NA()),NA())</f>
        <v/>
      </c>
      <c r="K2958" s="15">
        <f>IF($A2958="","",IF(AH!$U$5=1,IFERROR(MATCH($A2958,'Live History'!$A$5:$A$3004,0),0),AH!$U$7+2953))</f>
        <v/>
      </c>
      <c r="L2958" s="15">
        <f>IF(ISNUMBER(A2958),TEXT(A2958,"dd-mmm-yy"),"")</f>
        <v/>
      </c>
    </row>
    <row r="2959">
      <c r="A2959" s="14">
        <f>IF(OR(AH!$U$4=0,2954+1&gt;AH!$U$6,AND(AH!$M$5="Bloomberg",AH!$U$5=0)),"",IFERROR(IF(AND(AH!$U$12=1,2954+1=AH!$U$6),TODAY(),IF(AH!$U$5=1,INDEX('Live History'!$A$5:$A$3004,AH!$U$7+2954),INDEX('AH History'!$A$5:$A$1380,AH!$U$7+2954))),""))</f>
        <v/>
      </c>
      <c r="B2959" s="33">
        <f>IFERROR(IF(AH!$U$11=1,NA(),$J2959/$E2959-1),NA())</f>
        <v/>
      </c>
      <c r="C2959" s="269">
        <f>IFERROR(100*$E2959/$E$5,NA())</f>
        <v/>
      </c>
      <c r="D2959" s="269">
        <f>IFERROR(100*$J2959/$J$5,NA())</f>
        <v/>
      </c>
      <c r="E2959" s="32">
        <f>IFERROR(IF(AND(ISNUMBER($A2959),N(IF(AND(AH!$U$12=1,2954+1=AH!$U$6),IF(AH!$U$4=0,"unavailable",INDEX('Market Data'!$AN$5:$AN$66,AH!$U$4)),IF(AH!$U$5=1,INDEX('Live History'!$B$5:$B$3004,$K2959),INDEX('AH History'!$D$5:$GG$1380,$K2959,AH!$U$10))))&gt;0),IF(AND(AH!$U$12=1,2954+1=AH!$U$6),IF(AH!$U$4=0,"unavailable",INDEX('Market Data'!$AN$5:$AN$66,AH!$U$4)),IF(AH!$U$5=1,INDEX('Live History'!$B$5:$B$3004,$K2959),INDEX('AH History'!$D$5:$GG$1380,$K2959,AH!$U$10))),NA()),NA())</f>
        <v/>
      </c>
      <c r="F2959" s="32">
        <f>IFERROR(IF(ISNUMBER($A2959),IF(AND(AH!$U$12=1,2954+1=AH!$U$6),IF(AH!$U$4=0,"unavailable",INDEX('Market Data'!$AO$5:$AO$66,AH!$U$4)),IF(AH!$U$5=1,INDEX('Live History'!$E$5:$E$3004,MATCH($A2959,'Live History'!$D$5:$D$3004,1)),INDEX('AH History'!$D$5:$GG$1380,$K2959,AH!$U$10+1))),NA()),NA())</f>
        <v/>
      </c>
      <c r="G2959" s="34">
        <f>IFERROR(IF(ISNUMBER($A2959),IF(AND(AH!$U$12=1,2954+1=AH!$U$6),IF(AH!$U$4=0,"unavailable",INDEX('Market Data'!$AK$5:$AK$66,AH!$U$4)),IF(AH!$U$5=1,INDEX('Live History'!$D$5:$D$3004,MATCH($A2959,'Live History'!$D$5:$D$3004,1)),INDEX('AH History'!$D$5:$GG$1380,$K2959,AH!$U$10+2))),NA()),NA())</f>
        <v/>
      </c>
      <c r="H2959" s="266">
        <f>IFERROR(IF(ISNUMBER($A2959),IF(AND(AH!$U$12=1,2954+1=AH!$U$6),IF(AH!$U$4=0,"unavailable",INDEX('Market Data'!$AP$5:$AP$66,AH!$U$4)),IF(AH!$U$5=1,INDEX('Live History'!$H$5:$H$3004,MATCH($A2959,'Live History'!$G$5:$G$3004,1)),INDEX('AH History'!$B$5:$B$1380,$K2959))),NA()),NA())</f>
        <v/>
      </c>
      <c r="I2959" s="34">
        <f>IFERROR(IF(ISNUMBER($A2959),IF(AND(AH!$U$12=1,2954+1=AH!$U$6),TODAY(),IF(AH!$U$5=1,INDEX('Live History'!$G$5:$G$3004,MATCH($A2959,'Live History'!$G$5:$G$3004,1)),INDEX('AH History'!$C$5:$C$1380,$K2959))),NA()),NA())</f>
        <v/>
      </c>
      <c r="J2959" s="32">
        <f>IFERROR(IF(AND($F2959&gt;0,$H2959&gt;0,$A2959-$G2959&lt;=10,$A2959-$I2959&lt;=5,$G2959&gt;0,$I2959&gt;0),$F2959*$H2959,NA()),NA())</f>
        <v/>
      </c>
      <c r="K2959" s="15">
        <f>IF($A2959="","",IF(AH!$U$5=1,IFERROR(MATCH($A2959,'Live History'!$A$5:$A$3004,0),0),AH!$U$7+2954))</f>
        <v/>
      </c>
      <c r="L2959" s="15">
        <f>IF(ISNUMBER(A2959),TEXT(A2959,"dd-mmm-yy"),"")</f>
        <v/>
      </c>
    </row>
    <row r="2960">
      <c r="A2960" s="14">
        <f>IF(OR(AH!$U$4=0,2955+1&gt;AH!$U$6,AND(AH!$M$5="Bloomberg",AH!$U$5=0)),"",IFERROR(IF(AND(AH!$U$12=1,2955+1=AH!$U$6),TODAY(),IF(AH!$U$5=1,INDEX('Live History'!$A$5:$A$3004,AH!$U$7+2955),INDEX('AH History'!$A$5:$A$1380,AH!$U$7+2955))),""))</f>
        <v/>
      </c>
      <c r="B2960" s="33">
        <f>IFERROR(IF(AH!$U$11=1,NA(),$J2960/$E2960-1),NA())</f>
        <v/>
      </c>
      <c r="C2960" s="269">
        <f>IFERROR(100*$E2960/$E$5,NA())</f>
        <v/>
      </c>
      <c r="D2960" s="269">
        <f>IFERROR(100*$J2960/$J$5,NA())</f>
        <v/>
      </c>
      <c r="E2960" s="32">
        <f>IFERROR(IF(AND(ISNUMBER($A2960),N(IF(AND(AH!$U$12=1,2955+1=AH!$U$6),IF(AH!$U$4=0,"unavailable",INDEX('Market Data'!$AN$5:$AN$66,AH!$U$4)),IF(AH!$U$5=1,INDEX('Live History'!$B$5:$B$3004,$K2960),INDEX('AH History'!$D$5:$GG$1380,$K2960,AH!$U$10))))&gt;0),IF(AND(AH!$U$12=1,2955+1=AH!$U$6),IF(AH!$U$4=0,"unavailable",INDEX('Market Data'!$AN$5:$AN$66,AH!$U$4)),IF(AH!$U$5=1,INDEX('Live History'!$B$5:$B$3004,$K2960),INDEX('AH History'!$D$5:$GG$1380,$K2960,AH!$U$10))),NA()),NA())</f>
        <v/>
      </c>
      <c r="F2960" s="32">
        <f>IFERROR(IF(ISNUMBER($A2960),IF(AND(AH!$U$12=1,2955+1=AH!$U$6),IF(AH!$U$4=0,"unavailable",INDEX('Market Data'!$AO$5:$AO$66,AH!$U$4)),IF(AH!$U$5=1,INDEX('Live History'!$E$5:$E$3004,MATCH($A2960,'Live History'!$D$5:$D$3004,1)),INDEX('AH History'!$D$5:$GG$1380,$K2960,AH!$U$10+1))),NA()),NA())</f>
        <v/>
      </c>
      <c r="G2960" s="34">
        <f>IFERROR(IF(ISNUMBER($A2960),IF(AND(AH!$U$12=1,2955+1=AH!$U$6),IF(AH!$U$4=0,"unavailable",INDEX('Market Data'!$AK$5:$AK$66,AH!$U$4)),IF(AH!$U$5=1,INDEX('Live History'!$D$5:$D$3004,MATCH($A2960,'Live History'!$D$5:$D$3004,1)),INDEX('AH History'!$D$5:$GG$1380,$K2960,AH!$U$10+2))),NA()),NA())</f>
        <v/>
      </c>
      <c r="H2960" s="266">
        <f>IFERROR(IF(ISNUMBER($A2960),IF(AND(AH!$U$12=1,2955+1=AH!$U$6),IF(AH!$U$4=0,"unavailable",INDEX('Market Data'!$AP$5:$AP$66,AH!$U$4)),IF(AH!$U$5=1,INDEX('Live History'!$H$5:$H$3004,MATCH($A2960,'Live History'!$G$5:$G$3004,1)),INDEX('AH History'!$B$5:$B$1380,$K2960))),NA()),NA())</f>
        <v/>
      </c>
      <c r="I2960" s="34">
        <f>IFERROR(IF(ISNUMBER($A2960),IF(AND(AH!$U$12=1,2955+1=AH!$U$6),TODAY(),IF(AH!$U$5=1,INDEX('Live History'!$G$5:$G$3004,MATCH($A2960,'Live History'!$G$5:$G$3004,1)),INDEX('AH History'!$C$5:$C$1380,$K2960))),NA()),NA())</f>
        <v/>
      </c>
      <c r="J2960" s="32">
        <f>IFERROR(IF(AND($F2960&gt;0,$H2960&gt;0,$A2960-$G2960&lt;=10,$A2960-$I2960&lt;=5,$G2960&gt;0,$I2960&gt;0),$F2960*$H2960,NA()),NA())</f>
        <v/>
      </c>
      <c r="K2960" s="15">
        <f>IF($A2960="","",IF(AH!$U$5=1,IFERROR(MATCH($A2960,'Live History'!$A$5:$A$3004,0),0),AH!$U$7+2955))</f>
        <v/>
      </c>
      <c r="L2960" s="15">
        <f>IF(ISNUMBER(A2960),TEXT(A2960,"dd-mmm-yy"),"")</f>
        <v/>
      </c>
    </row>
    <row r="2961">
      <c r="A2961" s="14">
        <f>IF(OR(AH!$U$4=0,2956+1&gt;AH!$U$6,AND(AH!$M$5="Bloomberg",AH!$U$5=0)),"",IFERROR(IF(AND(AH!$U$12=1,2956+1=AH!$U$6),TODAY(),IF(AH!$U$5=1,INDEX('Live History'!$A$5:$A$3004,AH!$U$7+2956),INDEX('AH History'!$A$5:$A$1380,AH!$U$7+2956))),""))</f>
        <v/>
      </c>
      <c r="B2961" s="33">
        <f>IFERROR(IF(AH!$U$11=1,NA(),$J2961/$E2961-1),NA())</f>
        <v/>
      </c>
      <c r="C2961" s="269">
        <f>IFERROR(100*$E2961/$E$5,NA())</f>
        <v/>
      </c>
      <c r="D2961" s="269">
        <f>IFERROR(100*$J2961/$J$5,NA())</f>
        <v/>
      </c>
      <c r="E2961" s="32">
        <f>IFERROR(IF(AND(ISNUMBER($A2961),N(IF(AND(AH!$U$12=1,2956+1=AH!$U$6),IF(AH!$U$4=0,"unavailable",INDEX('Market Data'!$AN$5:$AN$66,AH!$U$4)),IF(AH!$U$5=1,INDEX('Live History'!$B$5:$B$3004,$K2961),INDEX('AH History'!$D$5:$GG$1380,$K2961,AH!$U$10))))&gt;0),IF(AND(AH!$U$12=1,2956+1=AH!$U$6),IF(AH!$U$4=0,"unavailable",INDEX('Market Data'!$AN$5:$AN$66,AH!$U$4)),IF(AH!$U$5=1,INDEX('Live History'!$B$5:$B$3004,$K2961),INDEX('AH History'!$D$5:$GG$1380,$K2961,AH!$U$10))),NA()),NA())</f>
        <v/>
      </c>
      <c r="F2961" s="32">
        <f>IFERROR(IF(ISNUMBER($A2961),IF(AND(AH!$U$12=1,2956+1=AH!$U$6),IF(AH!$U$4=0,"unavailable",INDEX('Market Data'!$AO$5:$AO$66,AH!$U$4)),IF(AH!$U$5=1,INDEX('Live History'!$E$5:$E$3004,MATCH($A2961,'Live History'!$D$5:$D$3004,1)),INDEX('AH History'!$D$5:$GG$1380,$K2961,AH!$U$10+1))),NA()),NA())</f>
        <v/>
      </c>
      <c r="G2961" s="34">
        <f>IFERROR(IF(ISNUMBER($A2961),IF(AND(AH!$U$12=1,2956+1=AH!$U$6),IF(AH!$U$4=0,"unavailable",INDEX('Market Data'!$AK$5:$AK$66,AH!$U$4)),IF(AH!$U$5=1,INDEX('Live History'!$D$5:$D$3004,MATCH($A2961,'Live History'!$D$5:$D$3004,1)),INDEX('AH History'!$D$5:$GG$1380,$K2961,AH!$U$10+2))),NA()),NA())</f>
        <v/>
      </c>
      <c r="H2961" s="266">
        <f>IFERROR(IF(ISNUMBER($A2961),IF(AND(AH!$U$12=1,2956+1=AH!$U$6),IF(AH!$U$4=0,"unavailable",INDEX('Market Data'!$AP$5:$AP$66,AH!$U$4)),IF(AH!$U$5=1,INDEX('Live History'!$H$5:$H$3004,MATCH($A2961,'Live History'!$G$5:$G$3004,1)),INDEX('AH History'!$B$5:$B$1380,$K2961))),NA()),NA())</f>
        <v/>
      </c>
      <c r="I2961" s="34">
        <f>IFERROR(IF(ISNUMBER($A2961),IF(AND(AH!$U$12=1,2956+1=AH!$U$6),TODAY(),IF(AH!$U$5=1,INDEX('Live History'!$G$5:$G$3004,MATCH($A2961,'Live History'!$G$5:$G$3004,1)),INDEX('AH History'!$C$5:$C$1380,$K2961))),NA()),NA())</f>
        <v/>
      </c>
      <c r="J2961" s="32">
        <f>IFERROR(IF(AND($F2961&gt;0,$H2961&gt;0,$A2961-$G2961&lt;=10,$A2961-$I2961&lt;=5,$G2961&gt;0,$I2961&gt;0),$F2961*$H2961,NA()),NA())</f>
        <v/>
      </c>
      <c r="K2961" s="15">
        <f>IF($A2961="","",IF(AH!$U$5=1,IFERROR(MATCH($A2961,'Live History'!$A$5:$A$3004,0),0),AH!$U$7+2956))</f>
        <v/>
      </c>
      <c r="L2961" s="15">
        <f>IF(ISNUMBER(A2961),TEXT(A2961,"dd-mmm-yy"),"")</f>
        <v/>
      </c>
    </row>
    <row r="2962">
      <c r="A2962" s="14">
        <f>IF(OR(AH!$U$4=0,2957+1&gt;AH!$U$6,AND(AH!$M$5="Bloomberg",AH!$U$5=0)),"",IFERROR(IF(AND(AH!$U$12=1,2957+1=AH!$U$6),TODAY(),IF(AH!$U$5=1,INDEX('Live History'!$A$5:$A$3004,AH!$U$7+2957),INDEX('AH History'!$A$5:$A$1380,AH!$U$7+2957))),""))</f>
        <v/>
      </c>
      <c r="B2962" s="33">
        <f>IFERROR(IF(AH!$U$11=1,NA(),$J2962/$E2962-1),NA())</f>
        <v/>
      </c>
      <c r="C2962" s="269">
        <f>IFERROR(100*$E2962/$E$5,NA())</f>
        <v/>
      </c>
      <c r="D2962" s="269">
        <f>IFERROR(100*$J2962/$J$5,NA())</f>
        <v/>
      </c>
      <c r="E2962" s="32">
        <f>IFERROR(IF(AND(ISNUMBER($A2962),N(IF(AND(AH!$U$12=1,2957+1=AH!$U$6),IF(AH!$U$4=0,"unavailable",INDEX('Market Data'!$AN$5:$AN$66,AH!$U$4)),IF(AH!$U$5=1,INDEX('Live History'!$B$5:$B$3004,$K2962),INDEX('AH History'!$D$5:$GG$1380,$K2962,AH!$U$10))))&gt;0),IF(AND(AH!$U$12=1,2957+1=AH!$U$6),IF(AH!$U$4=0,"unavailable",INDEX('Market Data'!$AN$5:$AN$66,AH!$U$4)),IF(AH!$U$5=1,INDEX('Live History'!$B$5:$B$3004,$K2962),INDEX('AH History'!$D$5:$GG$1380,$K2962,AH!$U$10))),NA()),NA())</f>
        <v/>
      </c>
      <c r="F2962" s="32">
        <f>IFERROR(IF(ISNUMBER($A2962),IF(AND(AH!$U$12=1,2957+1=AH!$U$6),IF(AH!$U$4=0,"unavailable",INDEX('Market Data'!$AO$5:$AO$66,AH!$U$4)),IF(AH!$U$5=1,INDEX('Live History'!$E$5:$E$3004,MATCH($A2962,'Live History'!$D$5:$D$3004,1)),INDEX('AH History'!$D$5:$GG$1380,$K2962,AH!$U$10+1))),NA()),NA())</f>
        <v/>
      </c>
      <c r="G2962" s="34">
        <f>IFERROR(IF(ISNUMBER($A2962),IF(AND(AH!$U$12=1,2957+1=AH!$U$6),IF(AH!$U$4=0,"unavailable",INDEX('Market Data'!$AK$5:$AK$66,AH!$U$4)),IF(AH!$U$5=1,INDEX('Live History'!$D$5:$D$3004,MATCH($A2962,'Live History'!$D$5:$D$3004,1)),INDEX('AH History'!$D$5:$GG$1380,$K2962,AH!$U$10+2))),NA()),NA())</f>
        <v/>
      </c>
      <c r="H2962" s="266">
        <f>IFERROR(IF(ISNUMBER($A2962),IF(AND(AH!$U$12=1,2957+1=AH!$U$6),IF(AH!$U$4=0,"unavailable",INDEX('Market Data'!$AP$5:$AP$66,AH!$U$4)),IF(AH!$U$5=1,INDEX('Live History'!$H$5:$H$3004,MATCH($A2962,'Live History'!$G$5:$G$3004,1)),INDEX('AH History'!$B$5:$B$1380,$K2962))),NA()),NA())</f>
        <v/>
      </c>
      <c r="I2962" s="34">
        <f>IFERROR(IF(ISNUMBER($A2962),IF(AND(AH!$U$12=1,2957+1=AH!$U$6),TODAY(),IF(AH!$U$5=1,INDEX('Live History'!$G$5:$G$3004,MATCH($A2962,'Live History'!$G$5:$G$3004,1)),INDEX('AH History'!$C$5:$C$1380,$K2962))),NA()),NA())</f>
        <v/>
      </c>
      <c r="J2962" s="32">
        <f>IFERROR(IF(AND($F2962&gt;0,$H2962&gt;0,$A2962-$G2962&lt;=10,$A2962-$I2962&lt;=5,$G2962&gt;0,$I2962&gt;0),$F2962*$H2962,NA()),NA())</f>
        <v/>
      </c>
      <c r="K2962" s="15">
        <f>IF($A2962="","",IF(AH!$U$5=1,IFERROR(MATCH($A2962,'Live History'!$A$5:$A$3004,0),0),AH!$U$7+2957))</f>
        <v/>
      </c>
      <c r="L2962" s="15">
        <f>IF(ISNUMBER(A2962),TEXT(A2962,"dd-mmm-yy"),"")</f>
        <v/>
      </c>
    </row>
    <row r="2963">
      <c r="A2963" s="14">
        <f>IF(OR(AH!$U$4=0,2958+1&gt;AH!$U$6,AND(AH!$M$5="Bloomberg",AH!$U$5=0)),"",IFERROR(IF(AND(AH!$U$12=1,2958+1=AH!$U$6),TODAY(),IF(AH!$U$5=1,INDEX('Live History'!$A$5:$A$3004,AH!$U$7+2958),INDEX('AH History'!$A$5:$A$1380,AH!$U$7+2958))),""))</f>
        <v/>
      </c>
      <c r="B2963" s="33">
        <f>IFERROR(IF(AH!$U$11=1,NA(),$J2963/$E2963-1),NA())</f>
        <v/>
      </c>
      <c r="C2963" s="269">
        <f>IFERROR(100*$E2963/$E$5,NA())</f>
        <v/>
      </c>
      <c r="D2963" s="269">
        <f>IFERROR(100*$J2963/$J$5,NA())</f>
        <v/>
      </c>
      <c r="E2963" s="32">
        <f>IFERROR(IF(AND(ISNUMBER($A2963),N(IF(AND(AH!$U$12=1,2958+1=AH!$U$6),IF(AH!$U$4=0,"unavailable",INDEX('Market Data'!$AN$5:$AN$66,AH!$U$4)),IF(AH!$U$5=1,INDEX('Live History'!$B$5:$B$3004,$K2963),INDEX('AH History'!$D$5:$GG$1380,$K2963,AH!$U$10))))&gt;0),IF(AND(AH!$U$12=1,2958+1=AH!$U$6),IF(AH!$U$4=0,"unavailable",INDEX('Market Data'!$AN$5:$AN$66,AH!$U$4)),IF(AH!$U$5=1,INDEX('Live History'!$B$5:$B$3004,$K2963),INDEX('AH History'!$D$5:$GG$1380,$K2963,AH!$U$10))),NA()),NA())</f>
        <v/>
      </c>
      <c r="F2963" s="32">
        <f>IFERROR(IF(ISNUMBER($A2963),IF(AND(AH!$U$12=1,2958+1=AH!$U$6),IF(AH!$U$4=0,"unavailable",INDEX('Market Data'!$AO$5:$AO$66,AH!$U$4)),IF(AH!$U$5=1,INDEX('Live History'!$E$5:$E$3004,MATCH($A2963,'Live History'!$D$5:$D$3004,1)),INDEX('AH History'!$D$5:$GG$1380,$K2963,AH!$U$10+1))),NA()),NA())</f>
        <v/>
      </c>
      <c r="G2963" s="34">
        <f>IFERROR(IF(ISNUMBER($A2963),IF(AND(AH!$U$12=1,2958+1=AH!$U$6),IF(AH!$U$4=0,"unavailable",INDEX('Market Data'!$AK$5:$AK$66,AH!$U$4)),IF(AH!$U$5=1,INDEX('Live History'!$D$5:$D$3004,MATCH($A2963,'Live History'!$D$5:$D$3004,1)),INDEX('AH History'!$D$5:$GG$1380,$K2963,AH!$U$10+2))),NA()),NA())</f>
        <v/>
      </c>
      <c r="H2963" s="266">
        <f>IFERROR(IF(ISNUMBER($A2963),IF(AND(AH!$U$12=1,2958+1=AH!$U$6),IF(AH!$U$4=0,"unavailable",INDEX('Market Data'!$AP$5:$AP$66,AH!$U$4)),IF(AH!$U$5=1,INDEX('Live History'!$H$5:$H$3004,MATCH($A2963,'Live History'!$G$5:$G$3004,1)),INDEX('AH History'!$B$5:$B$1380,$K2963))),NA()),NA())</f>
        <v/>
      </c>
      <c r="I2963" s="34">
        <f>IFERROR(IF(ISNUMBER($A2963),IF(AND(AH!$U$12=1,2958+1=AH!$U$6),TODAY(),IF(AH!$U$5=1,INDEX('Live History'!$G$5:$G$3004,MATCH($A2963,'Live History'!$G$5:$G$3004,1)),INDEX('AH History'!$C$5:$C$1380,$K2963))),NA()),NA())</f>
        <v/>
      </c>
      <c r="J2963" s="32">
        <f>IFERROR(IF(AND($F2963&gt;0,$H2963&gt;0,$A2963-$G2963&lt;=10,$A2963-$I2963&lt;=5,$G2963&gt;0,$I2963&gt;0),$F2963*$H2963,NA()),NA())</f>
        <v/>
      </c>
      <c r="K2963" s="15">
        <f>IF($A2963="","",IF(AH!$U$5=1,IFERROR(MATCH($A2963,'Live History'!$A$5:$A$3004,0),0),AH!$U$7+2958))</f>
        <v/>
      </c>
      <c r="L2963" s="15">
        <f>IF(ISNUMBER(A2963),TEXT(A2963,"dd-mmm-yy"),"")</f>
        <v/>
      </c>
    </row>
    <row r="2964">
      <c r="A2964" s="14">
        <f>IF(OR(AH!$U$4=0,2959+1&gt;AH!$U$6,AND(AH!$M$5="Bloomberg",AH!$U$5=0)),"",IFERROR(IF(AND(AH!$U$12=1,2959+1=AH!$U$6),TODAY(),IF(AH!$U$5=1,INDEX('Live History'!$A$5:$A$3004,AH!$U$7+2959),INDEX('AH History'!$A$5:$A$1380,AH!$U$7+2959))),""))</f>
        <v/>
      </c>
      <c r="B2964" s="33">
        <f>IFERROR(IF(AH!$U$11=1,NA(),$J2964/$E2964-1),NA())</f>
        <v/>
      </c>
      <c r="C2964" s="269">
        <f>IFERROR(100*$E2964/$E$5,NA())</f>
        <v/>
      </c>
      <c r="D2964" s="269">
        <f>IFERROR(100*$J2964/$J$5,NA())</f>
        <v/>
      </c>
      <c r="E2964" s="32">
        <f>IFERROR(IF(AND(ISNUMBER($A2964),N(IF(AND(AH!$U$12=1,2959+1=AH!$U$6),IF(AH!$U$4=0,"unavailable",INDEX('Market Data'!$AN$5:$AN$66,AH!$U$4)),IF(AH!$U$5=1,INDEX('Live History'!$B$5:$B$3004,$K2964),INDEX('AH History'!$D$5:$GG$1380,$K2964,AH!$U$10))))&gt;0),IF(AND(AH!$U$12=1,2959+1=AH!$U$6),IF(AH!$U$4=0,"unavailable",INDEX('Market Data'!$AN$5:$AN$66,AH!$U$4)),IF(AH!$U$5=1,INDEX('Live History'!$B$5:$B$3004,$K2964),INDEX('AH History'!$D$5:$GG$1380,$K2964,AH!$U$10))),NA()),NA())</f>
        <v/>
      </c>
      <c r="F2964" s="32">
        <f>IFERROR(IF(ISNUMBER($A2964),IF(AND(AH!$U$12=1,2959+1=AH!$U$6),IF(AH!$U$4=0,"unavailable",INDEX('Market Data'!$AO$5:$AO$66,AH!$U$4)),IF(AH!$U$5=1,INDEX('Live History'!$E$5:$E$3004,MATCH($A2964,'Live History'!$D$5:$D$3004,1)),INDEX('AH History'!$D$5:$GG$1380,$K2964,AH!$U$10+1))),NA()),NA())</f>
        <v/>
      </c>
      <c r="G2964" s="34">
        <f>IFERROR(IF(ISNUMBER($A2964),IF(AND(AH!$U$12=1,2959+1=AH!$U$6),IF(AH!$U$4=0,"unavailable",INDEX('Market Data'!$AK$5:$AK$66,AH!$U$4)),IF(AH!$U$5=1,INDEX('Live History'!$D$5:$D$3004,MATCH($A2964,'Live History'!$D$5:$D$3004,1)),INDEX('AH History'!$D$5:$GG$1380,$K2964,AH!$U$10+2))),NA()),NA())</f>
        <v/>
      </c>
      <c r="H2964" s="266">
        <f>IFERROR(IF(ISNUMBER($A2964),IF(AND(AH!$U$12=1,2959+1=AH!$U$6),IF(AH!$U$4=0,"unavailable",INDEX('Market Data'!$AP$5:$AP$66,AH!$U$4)),IF(AH!$U$5=1,INDEX('Live History'!$H$5:$H$3004,MATCH($A2964,'Live History'!$G$5:$G$3004,1)),INDEX('AH History'!$B$5:$B$1380,$K2964))),NA()),NA())</f>
        <v/>
      </c>
      <c r="I2964" s="34">
        <f>IFERROR(IF(ISNUMBER($A2964),IF(AND(AH!$U$12=1,2959+1=AH!$U$6),TODAY(),IF(AH!$U$5=1,INDEX('Live History'!$G$5:$G$3004,MATCH($A2964,'Live History'!$G$5:$G$3004,1)),INDEX('AH History'!$C$5:$C$1380,$K2964))),NA()),NA())</f>
        <v/>
      </c>
      <c r="J2964" s="32">
        <f>IFERROR(IF(AND($F2964&gt;0,$H2964&gt;0,$A2964-$G2964&lt;=10,$A2964-$I2964&lt;=5,$G2964&gt;0,$I2964&gt;0),$F2964*$H2964,NA()),NA())</f>
        <v/>
      </c>
      <c r="K2964" s="15">
        <f>IF($A2964="","",IF(AH!$U$5=1,IFERROR(MATCH($A2964,'Live History'!$A$5:$A$3004,0),0),AH!$U$7+2959))</f>
        <v/>
      </c>
      <c r="L2964" s="15">
        <f>IF(ISNUMBER(A2964),TEXT(A2964,"dd-mmm-yy"),"")</f>
        <v/>
      </c>
    </row>
    <row r="2965">
      <c r="A2965" s="14">
        <f>IF(OR(AH!$U$4=0,2960+1&gt;AH!$U$6,AND(AH!$M$5="Bloomberg",AH!$U$5=0)),"",IFERROR(IF(AND(AH!$U$12=1,2960+1=AH!$U$6),TODAY(),IF(AH!$U$5=1,INDEX('Live History'!$A$5:$A$3004,AH!$U$7+2960),INDEX('AH History'!$A$5:$A$1380,AH!$U$7+2960))),""))</f>
        <v/>
      </c>
      <c r="B2965" s="33">
        <f>IFERROR(IF(AH!$U$11=1,NA(),$J2965/$E2965-1),NA())</f>
        <v/>
      </c>
      <c r="C2965" s="269">
        <f>IFERROR(100*$E2965/$E$5,NA())</f>
        <v/>
      </c>
      <c r="D2965" s="269">
        <f>IFERROR(100*$J2965/$J$5,NA())</f>
        <v/>
      </c>
      <c r="E2965" s="32">
        <f>IFERROR(IF(AND(ISNUMBER($A2965),N(IF(AND(AH!$U$12=1,2960+1=AH!$U$6),IF(AH!$U$4=0,"unavailable",INDEX('Market Data'!$AN$5:$AN$66,AH!$U$4)),IF(AH!$U$5=1,INDEX('Live History'!$B$5:$B$3004,$K2965),INDEX('AH History'!$D$5:$GG$1380,$K2965,AH!$U$10))))&gt;0),IF(AND(AH!$U$12=1,2960+1=AH!$U$6),IF(AH!$U$4=0,"unavailable",INDEX('Market Data'!$AN$5:$AN$66,AH!$U$4)),IF(AH!$U$5=1,INDEX('Live History'!$B$5:$B$3004,$K2965),INDEX('AH History'!$D$5:$GG$1380,$K2965,AH!$U$10))),NA()),NA())</f>
        <v/>
      </c>
      <c r="F2965" s="32">
        <f>IFERROR(IF(ISNUMBER($A2965),IF(AND(AH!$U$12=1,2960+1=AH!$U$6),IF(AH!$U$4=0,"unavailable",INDEX('Market Data'!$AO$5:$AO$66,AH!$U$4)),IF(AH!$U$5=1,INDEX('Live History'!$E$5:$E$3004,MATCH($A2965,'Live History'!$D$5:$D$3004,1)),INDEX('AH History'!$D$5:$GG$1380,$K2965,AH!$U$10+1))),NA()),NA())</f>
        <v/>
      </c>
      <c r="G2965" s="34">
        <f>IFERROR(IF(ISNUMBER($A2965),IF(AND(AH!$U$12=1,2960+1=AH!$U$6),IF(AH!$U$4=0,"unavailable",INDEX('Market Data'!$AK$5:$AK$66,AH!$U$4)),IF(AH!$U$5=1,INDEX('Live History'!$D$5:$D$3004,MATCH($A2965,'Live History'!$D$5:$D$3004,1)),INDEX('AH History'!$D$5:$GG$1380,$K2965,AH!$U$10+2))),NA()),NA())</f>
        <v/>
      </c>
      <c r="H2965" s="266">
        <f>IFERROR(IF(ISNUMBER($A2965),IF(AND(AH!$U$12=1,2960+1=AH!$U$6),IF(AH!$U$4=0,"unavailable",INDEX('Market Data'!$AP$5:$AP$66,AH!$U$4)),IF(AH!$U$5=1,INDEX('Live History'!$H$5:$H$3004,MATCH($A2965,'Live History'!$G$5:$G$3004,1)),INDEX('AH History'!$B$5:$B$1380,$K2965))),NA()),NA())</f>
        <v/>
      </c>
      <c r="I2965" s="34">
        <f>IFERROR(IF(ISNUMBER($A2965),IF(AND(AH!$U$12=1,2960+1=AH!$U$6),TODAY(),IF(AH!$U$5=1,INDEX('Live History'!$G$5:$G$3004,MATCH($A2965,'Live History'!$G$5:$G$3004,1)),INDEX('AH History'!$C$5:$C$1380,$K2965))),NA()),NA())</f>
        <v/>
      </c>
      <c r="J2965" s="32">
        <f>IFERROR(IF(AND($F2965&gt;0,$H2965&gt;0,$A2965-$G2965&lt;=10,$A2965-$I2965&lt;=5,$G2965&gt;0,$I2965&gt;0),$F2965*$H2965,NA()),NA())</f>
        <v/>
      </c>
      <c r="K2965" s="15">
        <f>IF($A2965="","",IF(AH!$U$5=1,IFERROR(MATCH($A2965,'Live History'!$A$5:$A$3004,0),0),AH!$U$7+2960))</f>
        <v/>
      </c>
      <c r="L2965" s="15">
        <f>IF(ISNUMBER(A2965),TEXT(A2965,"dd-mmm-yy"),"")</f>
        <v/>
      </c>
    </row>
    <row r="2966">
      <c r="A2966" s="14">
        <f>IF(OR(AH!$U$4=0,2961+1&gt;AH!$U$6,AND(AH!$M$5="Bloomberg",AH!$U$5=0)),"",IFERROR(IF(AND(AH!$U$12=1,2961+1=AH!$U$6),TODAY(),IF(AH!$U$5=1,INDEX('Live History'!$A$5:$A$3004,AH!$U$7+2961),INDEX('AH History'!$A$5:$A$1380,AH!$U$7+2961))),""))</f>
        <v/>
      </c>
      <c r="B2966" s="33">
        <f>IFERROR(IF(AH!$U$11=1,NA(),$J2966/$E2966-1),NA())</f>
        <v/>
      </c>
      <c r="C2966" s="269">
        <f>IFERROR(100*$E2966/$E$5,NA())</f>
        <v/>
      </c>
      <c r="D2966" s="269">
        <f>IFERROR(100*$J2966/$J$5,NA())</f>
        <v/>
      </c>
      <c r="E2966" s="32">
        <f>IFERROR(IF(AND(ISNUMBER($A2966),N(IF(AND(AH!$U$12=1,2961+1=AH!$U$6),IF(AH!$U$4=0,"unavailable",INDEX('Market Data'!$AN$5:$AN$66,AH!$U$4)),IF(AH!$U$5=1,INDEX('Live History'!$B$5:$B$3004,$K2966),INDEX('AH History'!$D$5:$GG$1380,$K2966,AH!$U$10))))&gt;0),IF(AND(AH!$U$12=1,2961+1=AH!$U$6),IF(AH!$U$4=0,"unavailable",INDEX('Market Data'!$AN$5:$AN$66,AH!$U$4)),IF(AH!$U$5=1,INDEX('Live History'!$B$5:$B$3004,$K2966),INDEX('AH History'!$D$5:$GG$1380,$K2966,AH!$U$10))),NA()),NA())</f>
        <v/>
      </c>
      <c r="F2966" s="32">
        <f>IFERROR(IF(ISNUMBER($A2966),IF(AND(AH!$U$12=1,2961+1=AH!$U$6),IF(AH!$U$4=0,"unavailable",INDEX('Market Data'!$AO$5:$AO$66,AH!$U$4)),IF(AH!$U$5=1,INDEX('Live History'!$E$5:$E$3004,MATCH($A2966,'Live History'!$D$5:$D$3004,1)),INDEX('AH History'!$D$5:$GG$1380,$K2966,AH!$U$10+1))),NA()),NA())</f>
        <v/>
      </c>
      <c r="G2966" s="34">
        <f>IFERROR(IF(ISNUMBER($A2966),IF(AND(AH!$U$12=1,2961+1=AH!$U$6),IF(AH!$U$4=0,"unavailable",INDEX('Market Data'!$AK$5:$AK$66,AH!$U$4)),IF(AH!$U$5=1,INDEX('Live History'!$D$5:$D$3004,MATCH($A2966,'Live History'!$D$5:$D$3004,1)),INDEX('AH History'!$D$5:$GG$1380,$K2966,AH!$U$10+2))),NA()),NA())</f>
        <v/>
      </c>
      <c r="H2966" s="266">
        <f>IFERROR(IF(ISNUMBER($A2966),IF(AND(AH!$U$12=1,2961+1=AH!$U$6),IF(AH!$U$4=0,"unavailable",INDEX('Market Data'!$AP$5:$AP$66,AH!$U$4)),IF(AH!$U$5=1,INDEX('Live History'!$H$5:$H$3004,MATCH($A2966,'Live History'!$G$5:$G$3004,1)),INDEX('AH History'!$B$5:$B$1380,$K2966))),NA()),NA())</f>
        <v/>
      </c>
      <c r="I2966" s="34">
        <f>IFERROR(IF(ISNUMBER($A2966),IF(AND(AH!$U$12=1,2961+1=AH!$U$6),TODAY(),IF(AH!$U$5=1,INDEX('Live History'!$G$5:$G$3004,MATCH($A2966,'Live History'!$G$5:$G$3004,1)),INDEX('AH History'!$C$5:$C$1380,$K2966))),NA()),NA())</f>
        <v/>
      </c>
      <c r="J2966" s="32">
        <f>IFERROR(IF(AND($F2966&gt;0,$H2966&gt;0,$A2966-$G2966&lt;=10,$A2966-$I2966&lt;=5,$G2966&gt;0,$I2966&gt;0),$F2966*$H2966,NA()),NA())</f>
        <v/>
      </c>
      <c r="K2966" s="15">
        <f>IF($A2966="","",IF(AH!$U$5=1,IFERROR(MATCH($A2966,'Live History'!$A$5:$A$3004,0),0),AH!$U$7+2961))</f>
        <v/>
      </c>
      <c r="L2966" s="15">
        <f>IF(ISNUMBER(A2966),TEXT(A2966,"dd-mmm-yy"),"")</f>
        <v/>
      </c>
    </row>
    <row r="2967">
      <c r="A2967" s="14">
        <f>IF(OR(AH!$U$4=0,2962+1&gt;AH!$U$6,AND(AH!$M$5="Bloomberg",AH!$U$5=0)),"",IFERROR(IF(AND(AH!$U$12=1,2962+1=AH!$U$6),TODAY(),IF(AH!$U$5=1,INDEX('Live History'!$A$5:$A$3004,AH!$U$7+2962),INDEX('AH History'!$A$5:$A$1380,AH!$U$7+2962))),""))</f>
        <v/>
      </c>
      <c r="B2967" s="33">
        <f>IFERROR(IF(AH!$U$11=1,NA(),$J2967/$E2967-1),NA())</f>
        <v/>
      </c>
      <c r="C2967" s="269">
        <f>IFERROR(100*$E2967/$E$5,NA())</f>
        <v/>
      </c>
      <c r="D2967" s="269">
        <f>IFERROR(100*$J2967/$J$5,NA())</f>
        <v/>
      </c>
      <c r="E2967" s="32">
        <f>IFERROR(IF(AND(ISNUMBER($A2967),N(IF(AND(AH!$U$12=1,2962+1=AH!$U$6),IF(AH!$U$4=0,"unavailable",INDEX('Market Data'!$AN$5:$AN$66,AH!$U$4)),IF(AH!$U$5=1,INDEX('Live History'!$B$5:$B$3004,$K2967),INDEX('AH History'!$D$5:$GG$1380,$K2967,AH!$U$10))))&gt;0),IF(AND(AH!$U$12=1,2962+1=AH!$U$6),IF(AH!$U$4=0,"unavailable",INDEX('Market Data'!$AN$5:$AN$66,AH!$U$4)),IF(AH!$U$5=1,INDEX('Live History'!$B$5:$B$3004,$K2967),INDEX('AH History'!$D$5:$GG$1380,$K2967,AH!$U$10))),NA()),NA())</f>
        <v/>
      </c>
      <c r="F2967" s="32">
        <f>IFERROR(IF(ISNUMBER($A2967),IF(AND(AH!$U$12=1,2962+1=AH!$U$6),IF(AH!$U$4=0,"unavailable",INDEX('Market Data'!$AO$5:$AO$66,AH!$U$4)),IF(AH!$U$5=1,INDEX('Live History'!$E$5:$E$3004,MATCH($A2967,'Live History'!$D$5:$D$3004,1)),INDEX('AH History'!$D$5:$GG$1380,$K2967,AH!$U$10+1))),NA()),NA())</f>
        <v/>
      </c>
      <c r="G2967" s="34">
        <f>IFERROR(IF(ISNUMBER($A2967),IF(AND(AH!$U$12=1,2962+1=AH!$U$6),IF(AH!$U$4=0,"unavailable",INDEX('Market Data'!$AK$5:$AK$66,AH!$U$4)),IF(AH!$U$5=1,INDEX('Live History'!$D$5:$D$3004,MATCH($A2967,'Live History'!$D$5:$D$3004,1)),INDEX('AH History'!$D$5:$GG$1380,$K2967,AH!$U$10+2))),NA()),NA())</f>
        <v/>
      </c>
      <c r="H2967" s="266">
        <f>IFERROR(IF(ISNUMBER($A2967),IF(AND(AH!$U$12=1,2962+1=AH!$U$6),IF(AH!$U$4=0,"unavailable",INDEX('Market Data'!$AP$5:$AP$66,AH!$U$4)),IF(AH!$U$5=1,INDEX('Live History'!$H$5:$H$3004,MATCH($A2967,'Live History'!$G$5:$G$3004,1)),INDEX('AH History'!$B$5:$B$1380,$K2967))),NA()),NA())</f>
        <v/>
      </c>
      <c r="I2967" s="34">
        <f>IFERROR(IF(ISNUMBER($A2967),IF(AND(AH!$U$12=1,2962+1=AH!$U$6),TODAY(),IF(AH!$U$5=1,INDEX('Live History'!$G$5:$G$3004,MATCH($A2967,'Live History'!$G$5:$G$3004,1)),INDEX('AH History'!$C$5:$C$1380,$K2967))),NA()),NA())</f>
        <v/>
      </c>
      <c r="J2967" s="32">
        <f>IFERROR(IF(AND($F2967&gt;0,$H2967&gt;0,$A2967-$G2967&lt;=10,$A2967-$I2967&lt;=5,$G2967&gt;0,$I2967&gt;0),$F2967*$H2967,NA()),NA())</f>
        <v/>
      </c>
      <c r="K2967" s="15">
        <f>IF($A2967="","",IF(AH!$U$5=1,IFERROR(MATCH($A2967,'Live History'!$A$5:$A$3004,0),0),AH!$U$7+2962))</f>
        <v/>
      </c>
      <c r="L2967" s="15">
        <f>IF(ISNUMBER(A2967),TEXT(A2967,"dd-mmm-yy"),"")</f>
        <v/>
      </c>
    </row>
    <row r="2968">
      <c r="A2968" s="14">
        <f>IF(OR(AH!$U$4=0,2963+1&gt;AH!$U$6,AND(AH!$M$5="Bloomberg",AH!$U$5=0)),"",IFERROR(IF(AND(AH!$U$12=1,2963+1=AH!$U$6),TODAY(),IF(AH!$U$5=1,INDEX('Live History'!$A$5:$A$3004,AH!$U$7+2963),INDEX('AH History'!$A$5:$A$1380,AH!$U$7+2963))),""))</f>
        <v/>
      </c>
      <c r="B2968" s="33">
        <f>IFERROR(IF(AH!$U$11=1,NA(),$J2968/$E2968-1),NA())</f>
        <v/>
      </c>
      <c r="C2968" s="269">
        <f>IFERROR(100*$E2968/$E$5,NA())</f>
        <v/>
      </c>
      <c r="D2968" s="269">
        <f>IFERROR(100*$J2968/$J$5,NA())</f>
        <v/>
      </c>
      <c r="E2968" s="32">
        <f>IFERROR(IF(AND(ISNUMBER($A2968),N(IF(AND(AH!$U$12=1,2963+1=AH!$U$6),IF(AH!$U$4=0,"unavailable",INDEX('Market Data'!$AN$5:$AN$66,AH!$U$4)),IF(AH!$U$5=1,INDEX('Live History'!$B$5:$B$3004,$K2968),INDEX('AH History'!$D$5:$GG$1380,$K2968,AH!$U$10))))&gt;0),IF(AND(AH!$U$12=1,2963+1=AH!$U$6),IF(AH!$U$4=0,"unavailable",INDEX('Market Data'!$AN$5:$AN$66,AH!$U$4)),IF(AH!$U$5=1,INDEX('Live History'!$B$5:$B$3004,$K2968),INDEX('AH History'!$D$5:$GG$1380,$K2968,AH!$U$10))),NA()),NA())</f>
        <v/>
      </c>
      <c r="F2968" s="32">
        <f>IFERROR(IF(ISNUMBER($A2968),IF(AND(AH!$U$12=1,2963+1=AH!$U$6),IF(AH!$U$4=0,"unavailable",INDEX('Market Data'!$AO$5:$AO$66,AH!$U$4)),IF(AH!$U$5=1,INDEX('Live History'!$E$5:$E$3004,MATCH($A2968,'Live History'!$D$5:$D$3004,1)),INDEX('AH History'!$D$5:$GG$1380,$K2968,AH!$U$10+1))),NA()),NA())</f>
        <v/>
      </c>
      <c r="G2968" s="34">
        <f>IFERROR(IF(ISNUMBER($A2968),IF(AND(AH!$U$12=1,2963+1=AH!$U$6),IF(AH!$U$4=0,"unavailable",INDEX('Market Data'!$AK$5:$AK$66,AH!$U$4)),IF(AH!$U$5=1,INDEX('Live History'!$D$5:$D$3004,MATCH($A2968,'Live History'!$D$5:$D$3004,1)),INDEX('AH History'!$D$5:$GG$1380,$K2968,AH!$U$10+2))),NA()),NA())</f>
        <v/>
      </c>
      <c r="H2968" s="266">
        <f>IFERROR(IF(ISNUMBER($A2968),IF(AND(AH!$U$12=1,2963+1=AH!$U$6),IF(AH!$U$4=0,"unavailable",INDEX('Market Data'!$AP$5:$AP$66,AH!$U$4)),IF(AH!$U$5=1,INDEX('Live History'!$H$5:$H$3004,MATCH($A2968,'Live History'!$G$5:$G$3004,1)),INDEX('AH History'!$B$5:$B$1380,$K2968))),NA()),NA())</f>
        <v/>
      </c>
      <c r="I2968" s="34">
        <f>IFERROR(IF(ISNUMBER($A2968),IF(AND(AH!$U$12=1,2963+1=AH!$U$6),TODAY(),IF(AH!$U$5=1,INDEX('Live History'!$G$5:$G$3004,MATCH($A2968,'Live History'!$G$5:$G$3004,1)),INDEX('AH History'!$C$5:$C$1380,$K2968))),NA()),NA())</f>
        <v/>
      </c>
      <c r="J2968" s="32">
        <f>IFERROR(IF(AND($F2968&gt;0,$H2968&gt;0,$A2968-$G2968&lt;=10,$A2968-$I2968&lt;=5,$G2968&gt;0,$I2968&gt;0),$F2968*$H2968,NA()),NA())</f>
        <v/>
      </c>
      <c r="K2968" s="15">
        <f>IF($A2968="","",IF(AH!$U$5=1,IFERROR(MATCH($A2968,'Live History'!$A$5:$A$3004,0),0),AH!$U$7+2963))</f>
        <v/>
      </c>
      <c r="L2968" s="15">
        <f>IF(ISNUMBER(A2968),TEXT(A2968,"dd-mmm-yy"),"")</f>
        <v/>
      </c>
    </row>
    <row r="2969">
      <c r="A2969" s="14">
        <f>IF(OR(AH!$U$4=0,2964+1&gt;AH!$U$6,AND(AH!$M$5="Bloomberg",AH!$U$5=0)),"",IFERROR(IF(AND(AH!$U$12=1,2964+1=AH!$U$6),TODAY(),IF(AH!$U$5=1,INDEX('Live History'!$A$5:$A$3004,AH!$U$7+2964),INDEX('AH History'!$A$5:$A$1380,AH!$U$7+2964))),""))</f>
        <v/>
      </c>
      <c r="B2969" s="33">
        <f>IFERROR(IF(AH!$U$11=1,NA(),$J2969/$E2969-1),NA())</f>
        <v/>
      </c>
      <c r="C2969" s="269">
        <f>IFERROR(100*$E2969/$E$5,NA())</f>
        <v/>
      </c>
      <c r="D2969" s="269">
        <f>IFERROR(100*$J2969/$J$5,NA())</f>
        <v/>
      </c>
      <c r="E2969" s="32">
        <f>IFERROR(IF(AND(ISNUMBER($A2969),N(IF(AND(AH!$U$12=1,2964+1=AH!$U$6),IF(AH!$U$4=0,"unavailable",INDEX('Market Data'!$AN$5:$AN$66,AH!$U$4)),IF(AH!$U$5=1,INDEX('Live History'!$B$5:$B$3004,$K2969),INDEX('AH History'!$D$5:$GG$1380,$K2969,AH!$U$10))))&gt;0),IF(AND(AH!$U$12=1,2964+1=AH!$U$6),IF(AH!$U$4=0,"unavailable",INDEX('Market Data'!$AN$5:$AN$66,AH!$U$4)),IF(AH!$U$5=1,INDEX('Live History'!$B$5:$B$3004,$K2969),INDEX('AH History'!$D$5:$GG$1380,$K2969,AH!$U$10))),NA()),NA())</f>
        <v/>
      </c>
      <c r="F2969" s="32">
        <f>IFERROR(IF(ISNUMBER($A2969),IF(AND(AH!$U$12=1,2964+1=AH!$U$6),IF(AH!$U$4=0,"unavailable",INDEX('Market Data'!$AO$5:$AO$66,AH!$U$4)),IF(AH!$U$5=1,INDEX('Live History'!$E$5:$E$3004,MATCH($A2969,'Live History'!$D$5:$D$3004,1)),INDEX('AH History'!$D$5:$GG$1380,$K2969,AH!$U$10+1))),NA()),NA())</f>
        <v/>
      </c>
      <c r="G2969" s="34">
        <f>IFERROR(IF(ISNUMBER($A2969),IF(AND(AH!$U$12=1,2964+1=AH!$U$6),IF(AH!$U$4=0,"unavailable",INDEX('Market Data'!$AK$5:$AK$66,AH!$U$4)),IF(AH!$U$5=1,INDEX('Live History'!$D$5:$D$3004,MATCH($A2969,'Live History'!$D$5:$D$3004,1)),INDEX('AH History'!$D$5:$GG$1380,$K2969,AH!$U$10+2))),NA()),NA())</f>
        <v/>
      </c>
      <c r="H2969" s="266">
        <f>IFERROR(IF(ISNUMBER($A2969),IF(AND(AH!$U$12=1,2964+1=AH!$U$6),IF(AH!$U$4=0,"unavailable",INDEX('Market Data'!$AP$5:$AP$66,AH!$U$4)),IF(AH!$U$5=1,INDEX('Live History'!$H$5:$H$3004,MATCH($A2969,'Live History'!$G$5:$G$3004,1)),INDEX('AH History'!$B$5:$B$1380,$K2969))),NA()),NA())</f>
        <v/>
      </c>
      <c r="I2969" s="34">
        <f>IFERROR(IF(ISNUMBER($A2969),IF(AND(AH!$U$12=1,2964+1=AH!$U$6),TODAY(),IF(AH!$U$5=1,INDEX('Live History'!$G$5:$G$3004,MATCH($A2969,'Live History'!$G$5:$G$3004,1)),INDEX('AH History'!$C$5:$C$1380,$K2969))),NA()),NA())</f>
        <v/>
      </c>
      <c r="J2969" s="32">
        <f>IFERROR(IF(AND($F2969&gt;0,$H2969&gt;0,$A2969-$G2969&lt;=10,$A2969-$I2969&lt;=5,$G2969&gt;0,$I2969&gt;0),$F2969*$H2969,NA()),NA())</f>
        <v/>
      </c>
      <c r="K2969" s="15">
        <f>IF($A2969="","",IF(AH!$U$5=1,IFERROR(MATCH($A2969,'Live History'!$A$5:$A$3004,0),0),AH!$U$7+2964))</f>
        <v/>
      </c>
      <c r="L2969" s="15">
        <f>IF(ISNUMBER(A2969),TEXT(A2969,"dd-mmm-yy"),"")</f>
        <v/>
      </c>
    </row>
    <row r="2970">
      <c r="A2970" s="14">
        <f>IF(OR(AH!$U$4=0,2965+1&gt;AH!$U$6,AND(AH!$M$5="Bloomberg",AH!$U$5=0)),"",IFERROR(IF(AND(AH!$U$12=1,2965+1=AH!$U$6),TODAY(),IF(AH!$U$5=1,INDEX('Live History'!$A$5:$A$3004,AH!$U$7+2965),INDEX('AH History'!$A$5:$A$1380,AH!$U$7+2965))),""))</f>
        <v/>
      </c>
      <c r="B2970" s="33">
        <f>IFERROR(IF(AH!$U$11=1,NA(),$J2970/$E2970-1),NA())</f>
        <v/>
      </c>
      <c r="C2970" s="269">
        <f>IFERROR(100*$E2970/$E$5,NA())</f>
        <v/>
      </c>
      <c r="D2970" s="269">
        <f>IFERROR(100*$J2970/$J$5,NA())</f>
        <v/>
      </c>
      <c r="E2970" s="32">
        <f>IFERROR(IF(AND(ISNUMBER($A2970),N(IF(AND(AH!$U$12=1,2965+1=AH!$U$6),IF(AH!$U$4=0,"unavailable",INDEX('Market Data'!$AN$5:$AN$66,AH!$U$4)),IF(AH!$U$5=1,INDEX('Live History'!$B$5:$B$3004,$K2970),INDEX('AH History'!$D$5:$GG$1380,$K2970,AH!$U$10))))&gt;0),IF(AND(AH!$U$12=1,2965+1=AH!$U$6),IF(AH!$U$4=0,"unavailable",INDEX('Market Data'!$AN$5:$AN$66,AH!$U$4)),IF(AH!$U$5=1,INDEX('Live History'!$B$5:$B$3004,$K2970),INDEX('AH History'!$D$5:$GG$1380,$K2970,AH!$U$10))),NA()),NA())</f>
        <v/>
      </c>
      <c r="F2970" s="32">
        <f>IFERROR(IF(ISNUMBER($A2970),IF(AND(AH!$U$12=1,2965+1=AH!$U$6),IF(AH!$U$4=0,"unavailable",INDEX('Market Data'!$AO$5:$AO$66,AH!$U$4)),IF(AH!$U$5=1,INDEX('Live History'!$E$5:$E$3004,MATCH($A2970,'Live History'!$D$5:$D$3004,1)),INDEX('AH History'!$D$5:$GG$1380,$K2970,AH!$U$10+1))),NA()),NA())</f>
        <v/>
      </c>
      <c r="G2970" s="34">
        <f>IFERROR(IF(ISNUMBER($A2970),IF(AND(AH!$U$12=1,2965+1=AH!$U$6),IF(AH!$U$4=0,"unavailable",INDEX('Market Data'!$AK$5:$AK$66,AH!$U$4)),IF(AH!$U$5=1,INDEX('Live History'!$D$5:$D$3004,MATCH($A2970,'Live History'!$D$5:$D$3004,1)),INDEX('AH History'!$D$5:$GG$1380,$K2970,AH!$U$10+2))),NA()),NA())</f>
        <v/>
      </c>
      <c r="H2970" s="266">
        <f>IFERROR(IF(ISNUMBER($A2970),IF(AND(AH!$U$12=1,2965+1=AH!$U$6),IF(AH!$U$4=0,"unavailable",INDEX('Market Data'!$AP$5:$AP$66,AH!$U$4)),IF(AH!$U$5=1,INDEX('Live History'!$H$5:$H$3004,MATCH($A2970,'Live History'!$G$5:$G$3004,1)),INDEX('AH History'!$B$5:$B$1380,$K2970))),NA()),NA())</f>
        <v/>
      </c>
      <c r="I2970" s="34">
        <f>IFERROR(IF(ISNUMBER($A2970),IF(AND(AH!$U$12=1,2965+1=AH!$U$6),TODAY(),IF(AH!$U$5=1,INDEX('Live History'!$G$5:$G$3004,MATCH($A2970,'Live History'!$G$5:$G$3004,1)),INDEX('AH History'!$C$5:$C$1380,$K2970))),NA()),NA())</f>
        <v/>
      </c>
      <c r="J2970" s="32">
        <f>IFERROR(IF(AND($F2970&gt;0,$H2970&gt;0,$A2970-$G2970&lt;=10,$A2970-$I2970&lt;=5,$G2970&gt;0,$I2970&gt;0),$F2970*$H2970,NA()),NA())</f>
        <v/>
      </c>
      <c r="K2970" s="15">
        <f>IF($A2970="","",IF(AH!$U$5=1,IFERROR(MATCH($A2970,'Live History'!$A$5:$A$3004,0),0),AH!$U$7+2965))</f>
        <v/>
      </c>
      <c r="L2970" s="15">
        <f>IF(ISNUMBER(A2970),TEXT(A2970,"dd-mmm-yy"),"")</f>
        <v/>
      </c>
    </row>
    <row r="2971">
      <c r="A2971" s="14">
        <f>IF(OR(AH!$U$4=0,2966+1&gt;AH!$U$6,AND(AH!$M$5="Bloomberg",AH!$U$5=0)),"",IFERROR(IF(AND(AH!$U$12=1,2966+1=AH!$U$6),TODAY(),IF(AH!$U$5=1,INDEX('Live History'!$A$5:$A$3004,AH!$U$7+2966),INDEX('AH History'!$A$5:$A$1380,AH!$U$7+2966))),""))</f>
        <v/>
      </c>
      <c r="B2971" s="33">
        <f>IFERROR(IF(AH!$U$11=1,NA(),$J2971/$E2971-1),NA())</f>
        <v/>
      </c>
      <c r="C2971" s="269">
        <f>IFERROR(100*$E2971/$E$5,NA())</f>
        <v/>
      </c>
      <c r="D2971" s="269">
        <f>IFERROR(100*$J2971/$J$5,NA())</f>
        <v/>
      </c>
      <c r="E2971" s="32">
        <f>IFERROR(IF(AND(ISNUMBER($A2971),N(IF(AND(AH!$U$12=1,2966+1=AH!$U$6),IF(AH!$U$4=0,"unavailable",INDEX('Market Data'!$AN$5:$AN$66,AH!$U$4)),IF(AH!$U$5=1,INDEX('Live History'!$B$5:$B$3004,$K2971),INDEX('AH History'!$D$5:$GG$1380,$K2971,AH!$U$10))))&gt;0),IF(AND(AH!$U$12=1,2966+1=AH!$U$6),IF(AH!$U$4=0,"unavailable",INDEX('Market Data'!$AN$5:$AN$66,AH!$U$4)),IF(AH!$U$5=1,INDEX('Live History'!$B$5:$B$3004,$K2971),INDEX('AH History'!$D$5:$GG$1380,$K2971,AH!$U$10))),NA()),NA())</f>
        <v/>
      </c>
      <c r="F2971" s="32">
        <f>IFERROR(IF(ISNUMBER($A2971),IF(AND(AH!$U$12=1,2966+1=AH!$U$6),IF(AH!$U$4=0,"unavailable",INDEX('Market Data'!$AO$5:$AO$66,AH!$U$4)),IF(AH!$U$5=1,INDEX('Live History'!$E$5:$E$3004,MATCH($A2971,'Live History'!$D$5:$D$3004,1)),INDEX('AH History'!$D$5:$GG$1380,$K2971,AH!$U$10+1))),NA()),NA())</f>
        <v/>
      </c>
      <c r="G2971" s="34">
        <f>IFERROR(IF(ISNUMBER($A2971),IF(AND(AH!$U$12=1,2966+1=AH!$U$6),IF(AH!$U$4=0,"unavailable",INDEX('Market Data'!$AK$5:$AK$66,AH!$U$4)),IF(AH!$U$5=1,INDEX('Live History'!$D$5:$D$3004,MATCH($A2971,'Live History'!$D$5:$D$3004,1)),INDEX('AH History'!$D$5:$GG$1380,$K2971,AH!$U$10+2))),NA()),NA())</f>
        <v/>
      </c>
      <c r="H2971" s="266">
        <f>IFERROR(IF(ISNUMBER($A2971),IF(AND(AH!$U$12=1,2966+1=AH!$U$6),IF(AH!$U$4=0,"unavailable",INDEX('Market Data'!$AP$5:$AP$66,AH!$U$4)),IF(AH!$U$5=1,INDEX('Live History'!$H$5:$H$3004,MATCH($A2971,'Live History'!$G$5:$G$3004,1)),INDEX('AH History'!$B$5:$B$1380,$K2971))),NA()),NA())</f>
        <v/>
      </c>
      <c r="I2971" s="34">
        <f>IFERROR(IF(ISNUMBER($A2971),IF(AND(AH!$U$12=1,2966+1=AH!$U$6),TODAY(),IF(AH!$U$5=1,INDEX('Live History'!$G$5:$G$3004,MATCH($A2971,'Live History'!$G$5:$G$3004,1)),INDEX('AH History'!$C$5:$C$1380,$K2971))),NA()),NA())</f>
        <v/>
      </c>
      <c r="J2971" s="32">
        <f>IFERROR(IF(AND($F2971&gt;0,$H2971&gt;0,$A2971-$G2971&lt;=10,$A2971-$I2971&lt;=5,$G2971&gt;0,$I2971&gt;0),$F2971*$H2971,NA()),NA())</f>
        <v/>
      </c>
      <c r="K2971" s="15">
        <f>IF($A2971="","",IF(AH!$U$5=1,IFERROR(MATCH($A2971,'Live History'!$A$5:$A$3004,0),0),AH!$U$7+2966))</f>
        <v/>
      </c>
      <c r="L2971" s="15">
        <f>IF(ISNUMBER(A2971),TEXT(A2971,"dd-mmm-yy"),"")</f>
        <v/>
      </c>
    </row>
    <row r="2972">
      <c r="A2972" s="14">
        <f>IF(OR(AH!$U$4=0,2967+1&gt;AH!$U$6,AND(AH!$M$5="Bloomberg",AH!$U$5=0)),"",IFERROR(IF(AND(AH!$U$12=1,2967+1=AH!$U$6),TODAY(),IF(AH!$U$5=1,INDEX('Live History'!$A$5:$A$3004,AH!$U$7+2967),INDEX('AH History'!$A$5:$A$1380,AH!$U$7+2967))),""))</f>
        <v/>
      </c>
      <c r="B2972" s="33">
        <f>IFERROR(IF(AH!$U$11=1,NA(),$J2972/$E2972-1),NA())</f>
        <v/>
      </c>
      <c r="C2972" s="269">
        <f>IFERROR(100*$E2972/$E$5,NA())</f>
        <v/>
      </c>
      <c r="D2972" s="269">
        <f>IFERROR(100*$J2972/$J$5,NA())</f>
        <v/>
      </c>
      <c r="E2972" s="32">
        <f>IFERROR(IF(AND(ISNUMBER($A2972),N(IF(AND(AH!$U$12=1,2967+1=AH!$U$6),IF(AH!$U$4=0,"unavailable",INDEX('Market Data'!$AN$5:$AN$66,AH!$U$4)),IF(AH!$U$5=1,INDEX('Live History'!$B$5:$B$3004,$K2972),INDEX('AH History'!$D$5:$GG$1380,$K2972,AH!$U$10))))&gt;0),IF(AND(AH!$U$12=1,2967+1=AH!$U$6),IF(AH!$U$4=0,"unavailable",INDEX('Market Data'!$AN$5:$AN$66,AH!$U$4)),IF(AH!$U$5=1,INDEX('Live History'!$B$5:$B$3004,$K2972),INDEX('AH History'!$D$5:$GG$1380,$K2972,AH!$U$10))),NA()),NA())</f>
        <v/>
      </c>
      <c r="F2972" s="32">
        <f>IFERROR(IF(ISNUMBER($A2972),IF(AND(AH!$U$12=1,2967+1=AH!$U$6),IF(AH!$U$4=0,"unavailable",INDEX('Market Data'!$AO$5:$AO$66,AH!$U$4)),IF(AH!$U$5=1,INDEX('Live History'!$E$5:$E$3004,MATCH($A2972,'Live History'!$D$5:$D$3004,1)),INDEX('AH History'!$D$5:$GG$1380,$K2972,AH!$U$10+1))),NA()),NA())</f>
        <v/>
      </c>
      <c r="G2972" s="34">
        <f>IFERROR(IF(ISNUMBER($A2972),IF(AND(AH!$U$12=1,2967+1=AH!$U$6),IF(AH!$U$4=0,"unavailable",INDEX('Market Data'!$AK$5:$AK$66,AH!$U$4)),IF(AH!$U$5=1,INDEX('Live History'!$D$5:$D$3004,MATCH($A2972,'Live History'!$D$5:$D$3004,1)),INDEX('AH History'!$D$5:$GG$1380,$K2972,AH!$U$10+2))),NA()),NA())</f>
        <v/>
      </c>
      <c r="H2972" s="266">
        <f>IFERROR(IF(ISNUMBER($A2972),IF(AND(AH!$U$12=1,2967+1=AH!$U$6),IF(AH!$U$4=0,"unavailable",INDEX('Market Data'!$AP$5:$AP$66,AH!$U$4)),IF(AH!$U$5=1,INDEX('Live History'!$H$5:$H$3004,MATCH($A2972,'Live History'!$G$5:$G$3004,1)),INDEX('AH History'!$B$5:$B$1380,$K2972))),NA()),NA())</f>
        <v/>
      </c>
      <c r="I2972" s="34">
        <f>IFERROR(IF(ISNUMBER($A2972),IF(AND(AH!$U$12=1,2967+1=AH!$U$6),TODAY(),IF(AH!$U$5=1,INDEX('Live History'!$G$5:$G$3004,MATCH($A2972,'Live History'!$G$5:$G$3004,1)),INDEX('AH History'!$C$5:$C$1380,$K2972))),NA()),NA())</f>
        <v/>
      </c>
      <c r="J2972" s="32">
        <f>IFERROR(IF(AND($F2972&gt;0,$H2972&gt;0,$A2972-$G2972&lt;=10,$A2972-$I2972&lt;=5,$G2972&gt;0,$I2972&gt;0),$F2972*$H2972,NA()),NA())</f>
        <v/>
      </c>
      <c r="K2972" s="15">
        <f>IF($A2972="","",IF(AH!$U$5=1,IFERROR(MATCH($A2972,'Live History'!$A$5:$A$3004,0),0),AH!$U$7+2967))</f>
        <v/>
      </c>
      <c r="L2972" s="15">
        <f>IF(ISNUMBER(A2972),TEXT(A2972,"dd-mmm-yy"),"")</f>
        <v/>
      </c>
    </row>
    <row r="2973">
      <c r="A2973" s="14">
        <f>IF(OR(AH!$U$4=0,2968+1&gt;AH!$U$6,AND(AH!$M$5="Bloomberg",AH!$U$5=0)),"",IFERROR(IF(AND(AH!$U$12=1,2968+1=AH!$U$6),TODAY(),IF(AH!$U$5=1,INDEX('Live History'!$A$5:$A$3004,AH!$U$7+2968),INDEX('AH History'!$A$5:$A$1380,AH!$U$7+2968))),""))</f>
        <v/>
      </c>
      <c r="B2973" s="33">
        <f>IFERROR(IF(AH!$U$11=1,NA(),$J2973/$E2973-1),NA())</f>
        <v/>
      </c>
      <c r="C2973" s="269">
        <f>IFERROR(100*$E2973/$E$5,NA())</f>
        <v/>
      </c>
      <c r="D2973" s="269">
        <f>IFERROR(100*$J2973/$J$5,NA())</f>
        <v/>
      </c>
      <c r="E2973" s="32">
        <f>IFERROR(IF(AND(ISNUMBER($A2973),N(IF(AND(AH!$U$12=1,2968+1=AH!$U$6),IF(AH!$U$4=0,"unavailable",INDEX('Market Data'!$AN$5:$AN$66,AH!$U$4)),IF(AH!$U$5=1,INDEX('Live History'!$B$5:$B$3004,$K2973),INDEX('AH History'!$D$5:$GG$1380,$K2973,AH!$U$10))))&gt;0),IF(AND(AH!$U$12=1,2968+1=AH!$U$6),IF(AH!$U$4=0,"unavailable",INDEX('Market Data'!$AN$5:$AN$66,AH!$U$4)),IF(AH!$U$5=1,INDEX('Live History'!$B$5:$B$3004,$K2973),INDEX('AH History'!$D$5:$GG$1380,$K2973,AH!$U$10))),NA()),NA())</f>
        <v/>
      </c>
      <c r="F2973" s="32">
        <f>IFERROR(IF(ISNUMBER($A2973),IF(AND(AH!$U$12=1,2968+1=AH!$U$6),IF(AH!$U$4=0,"unavailable",INDEX('Market Data'!$AO$5:$AO$66,AH!$U$4)),IF(AH!$U$5=1,INDEX('Live History'!$E$5:$E$3004,MATCH($A2973,'Live History'!$D$5:$D$3004,1)),INDEX('AH History'!$D$5:$GG$1380,$K2973,AH!$U$10+1))),NA()),NA())</f>
        <v/>
      </c>
      <c r="G2973" s="34">
        <f>IFERROR(IF(ISNUMBER($A2973),IF(AND(AH!$U$12=1,2968+1=AH!$U$6),IF(AH!$U$4=0,"unavailable",INDEX('Market Data'!$AK$5:$AK$66,AH!$U$4)),IF(AH!$U$5=1,INDEX('Live History'!$D$5:$D$3004,MATCH($A2973,'Live History'!$D$5:$D$3004,1)),INDEX('AH History'!$D$5:$GG$1380,$K2973,AH!$U$10+2))),NA()),NA())</f>
        <v/>
      </c>
      <c r="H2973" s="266">
        <f>IFERROR(IF(ISNUMBER($A2973),IF(AND(AH!$U$12=1,2968+1=AH!$U$6),IF(AH!$U$4=0,"unavailable",INDEX('Market Data'!$AP$5:$AP$66,AH!$U$4)),IF(AH!$U$5=1,INDEX('Live History'!$H$5:$H$3004,MATCH($A2973,'Live History'!$G$5:$G$3004,1)),INDEX('AH History'!$B$5:$B$1380,$K2973))),NA()),NA())</f>
        <v/>
      </c>
      <c r="I2973" s="34">
        <f>IFERROR(IF(ISNUMBER($A2973),IF(AND(AH!$U$12=1,2968+1=AH!$U$6),TODAY(),IF(AH!$U$5=1,INDEX('Live History'!$G$5:$G$3004,MATCH($A2973,'Live History'!$G$5:$G$3004,1)),INDEX('AH History'!$C$5:$C$1380,$K2973))),NA()),NA())</f>
        <v/>
      </c>
      <c r="J2973" s="32">
        <f>IFERROR(IF(AND($F2973&gt;0,$H2973&gt;0,$A2973-$G2973&lt;=10,$A2973-$I2973&lt;=5,$G2973&gt;0,$I2973&gt;0),$F2973*$H2973,NA()),NA())</f>
        <v/>
      </c>
      <c r="K2973" s="15">
        <f>IF($A2973="","",IF(AH!$U$5=1,IFERROR(MATCH($A2973,'Live History'!$A$5:$A$3004,0),0),AH!$U$7+2968))</f>
        <v/>
      </c>
      <c r="L2973" s="15">
        <f>IF(ISNUMBER(A2973),TEXT(A2973,"dd-mmm-yy"),"")</f>
        <v/>
      </c>
    </row>
    <row r="2974">
      <c r="A2974" s="14">
        <f>IF(OR(AH!$U$4=0,2969+1&gt;AH!$U$6,AND(AH!$M$5="Bloomberg",AH!$U$5=0)),"",IFERROR(IF(AND(AH!$U$12=1,2969+1=AH!$U$6),TODAY(),IF(AH!$U$5=1,INDEX('Live History'!$A$5:$A$3004,AH!$U$7+2969),INDEX('AH History'!$A$5:$A$1380,AH!$U$7+2969))),""))</f>
        <v/>
      </c>
      <c r="B2974" s="33">
        <f>IFERROR(IF(AH!$U$11=1,NA(),$J2974/$E2974-1),NA())</f>
        <v/>
      </c>
      <c r="C2974" s="269">
        <f>IFERROR(100*$E2974/$E$5,NA())</f>
        <v/>
      </c>
      <c r="D2974" s="269">
        <f>IFERROR(100*$J2974/$J$5,NA())</f>
        <v/>
      </c>
      <c r="E2974" s="32">
        <f>IFERROR(IF(AND(ISNUMBER($A2974),N(IF(AND(AH!$U$12=1,2969+1=AH!$U$6),IF(AH!$U$4=0,"unavailable",INDEX('Market Data'!$AN$5:$AN$66,AH!$U$4)),IF(AH!$U$5=1,INDEX('Live History'!$B$5:$B$3004,$K2974),INDEX('AH History'!$D$5:$GG$1380,$K2974,AH!$U$10))))&gt;0),IF(AND(AH!$U$12=1,2969+1=AH!$U$6),IF(AH!$U$4=0,"unavailable",INDEX('Market Data'!$AN$5:$AN$66,AH!$U$4)),IF(AH!$U$5=1,INDEX('Live History'!$B$5:$B$3004,$K2974),INDEX('AH History'!$D$5:$GG$1380,$K2974,AH!$U$10))),NA()),NA())</f>
        <v/>
      </c>
      <c r="F2974" s="32">
        <f>IFERROR(IF(ISNUMBER($A2974),IF(AND(AH!$U$12=1,2969+1=AH!$U$6),IF(AH!$U$4=0,"unavailable",INDEX('Market Data'!$AO$5:$AO$66,AH!$U$4)),IF(AH!$U$5=1,INDEX('Live History'!$E$5:$E$3004,MATCH($A2974,'Live History'!$D$5:$D$3004,1)),INDEX('AH History'!$D$5:$GG$1380,$K2974,AH!$U$10+1))),NA()),NA())</f>
        <v/>
      </c>
      <c r="G2974" s="34">
        <f>IFERROR(IF(ISNUMBER($A2974),IF(AND(AH!$U$12=1,2969+1=AH!$U$6),IF(AH!$U$4=0,"unavailable",INDEX('Market Data'!$AK$5:$AK$66,AH!$U$4)),IF(AH!$U$5=1,INDEX('Live History'!$D$5:$D$3004,MATCH($A2974,'Live History'!$D$5:$D$3004,1)),INDEX('AH History'!$D$5:$GG$1380,$K2974,AH!$U$10+2))),NA()),NA())</f>
        <v/>
      </c>
      <c r="H2974" s="266">
        <f>IFERROR(IF(ISNUMBER($A2974),IF(AND(AH!$U$12=1,2969+1=AH!$U$6),IF(AH!$U$4=0,"unavailable",INDEX('Market Data'!$AP$5:$AP$66,AH!$U$4)),IF(AH!$U$5=1,INDEX('Live History'!$H$5:$H$3004,MATCH($A2974,'Live History'!$G$5:$G$3004,1)),INDEX('AH History'!$B$5:$B$1380,$K2974))),NA()),NA())</f>
        <v/>
      </c>
      <c r="I2974" s="34">
        <f>IFERROR(IF(ISNUMBER($A2974),IF(AND(AH!$U$12=1,2969+1=AH!$U$6),TODAY(),IF(AH!$U$5=1,INDEX('Live History'!$G$5:$G$3004,MATCH($A2974,'Live History'!$G$5:$G$3004,1)),INDEX('AH History'!$C$5:$C$1380,$K2974))),NA()),NA())</f>
        <v/>
      </c>
      <c r="J2974" s="32">
        <f>IFERROR(IF(AND($F2974&gt;0,$H2974&gt;0,$A2974-$G2974&lt;=10,$A2974-$I2974&lt;=5,$G2974&gt;0,$I2974&gt;0),$F2974*$H2974,NA()),NA())</f>
        <v/>
      </c>
      <c r="K2974" s="15">
        <f>IF($A2974="","",IF(AH!$U$5=1,IFERROR(MATCH($A2974,'Live History'!$A$5:$A$3004,0),0),AH!$U$7+2969))</f>
        <v/>
      </c>
      <c r="L2974" s="15">
        <f>IF(ISNUMBER(A2974),TEXT(A2974,"dd-mmm-yy"),"")</f>
        <v/>
      </c>
    </row>
    <row r="2975">
      <c r="A2975" s="14">
        <f>IF(OR(AH!$U$4=0,2970+1&gt;AH!$U$6,AND(AH!$M$5="Bloomberg",AH!$U$5=0)),"",IFERROR(IF(AND(AH!$U$12=1,2970+1=AH!$U$6),TODAY(),IF(AH!$U$5=1,INDEX('Live History'!$A$5:$A$3004,AH!$U$7+2970),INDEX('AH History'!$A$5:$A$1380,AH!$U$7+2970))),""))</f>
        <v/>
      </c>
      <c r="B2975" s="33">
        <f>IFERROR(IF(AH!$U$11=1,NA(),$J2975/$E2975-1),NA())</f>
        <v/>
      </c>
      <c r="C2975" s="269">
        <f>IFERROR(100*$E2975/$E$5,NA())</f>
        <v/>
      </c>
      <c r="D2975" s="269">
        <f>IFERROR(100*$J2975/$J$5,NA())</f>
        <v/>
      </c>
      <c r="E2975" s="32">
        <f>IFERROR(IF(AND(ISNUMBER($A2975),N(IF(AND(AH!$U$12=1,2970+1=AH!$U$6),IF(AH!$U$4=0,"unavailable",INDEX('Market Data'!$AN$5:$AN$66,AH!$U$4)),IF(AH!$U$5=1,INDEX('Live History'!$B$5:$B$3004,$K2975),INDEX('AH History'!$D$5:$GG$1380,$K2975,AH!$U$10))))&gt;0),IF(AND(AH!$U$12=1,2970+1=AH!$U$6),IF(AH!$U$4=0,"unavailable",INDEX('Market Data'!$AN$5:$AN$66,AH!$U$4)),IF(AH!$U$5=1,INDEX('Live History'!$B$5:$B$3004,$K2975),INDEX('AH History'!$D$5:$GG$1380,$K2975,AH!$U$10))),NA()),NA())</f>
        <v/>
      </c>
      <c r="F2975" s="32">
        <f>IFERROR(IF(ISNUMBER($A2975),IF(AND(AH!$U$12=1,2970+1=AH!$U$6),IF(AH!$U$4=0,"unavailable",INDEX('Market Data'!$AO$5:$AO$66,AH!$U$4)),IF(AH!$U$5=1,INDEX('Live History'!$E$5:$E$3004,MATCH($A2975,'Live History'!$D$5:$D$3004,1)),INDEX('AH History'!$D$5:$GG$1380,$K2975,AH!$U$10+1))),NA()),NA())</f>
        <v/>
      </c>
      <c r="G2975" s="34">
        <f>IFERROR(IF(ISNUMBER($A2975),IF(AND(AH!$U$12=1,2970+1=AH!$U$6),IF(AH!$U$4=0,"unavailable",INDEX('Market Data'!$AK$5:$AK$66,AH!$U$4)),IF(AH!$U$5=1,INDEX('Live History'!$D$5:$D$3004,MATCH($A2975,'Live History'!$D$5:$D$3004,1)),INDEX('AH History'!$D$5:$GG$1380,$K2975,AH!$U$10+2))),NA()),NA())</f>
        <v/>
      </c>
      <c r="H2975" s="266">
        <f>IFERROR(IF(ISNUMBER($A2975),IF(AND(AH!$U$12=1,2970+1=AH!$U$6),IF(AH!$U$4=0,"unavailable",INDEX('Market Data'!$AP$5:$AP$66,AH!$U$4)),IF(AH!$U$5=1,INDEX('Live History'!$H$5:$H$3004,MATCH($A2975,'Live History'!$G$5:$G$3004,1)),INDEX('AH History'!$B$5:$B$1380,$K2975))),NA()),NA())</f>
        <v/>
      </c>
      <c r="I2975" s="34">
        <f>IFERROR(IF(ISNUMBER($A2975),IF(AND(AH!$U$12=1,2970+1=AH!$U$6),TODAY(),IF(AH!$U$5=1,INDEX('Live History'!$G$5:$G$3004,MATCH($A2975,'Live History'!$G$5:$G$3004,1)),INDEX('AH History'!$C$5:$C$1380,$K2975))),NA()),NA())</f>
        <v/>
      </c>
      <c r="J2975" s="32">
        <f>IFERROR(IF(AND($F2975&gt;0,$H2975&gt;0,$A2975-$G2975&lt;=10,$A2975-$I2975&lt;=5,$G2975&gt;0,$I2975&gt;0),$F2975*$H2975,NA()),NA())</f>
        <v/>
      </c>
      <c r="K2975" s="15">
        <f>IF($A2975="","",IF(AH!$U$5=1,IFERROR(MATCH($A2975,'Live History'!$A$5:$A$3004,0),0),AH!$U$7+2970))</f>
        <v/>
      </c>
      <c r="L2975" s="15">
        <f>IF(ISNUMBER(A2975),TEXT(A2975,"dd-mmm-yy"),"")</f>
        <v/>
      </c>
    </row>
    <row r="2976">
      <c r="A2976" s="14">
        <f>IF(OR(AH!$U$4=0,2971+1&gt;AH!$U$6,AND(AH!$M$5="Bloomberg",AH!$U$5=0)),"",IFERROR(IF(AND(AH!$U$12=1,2971+1=AH!$U$6),TODAY(),IF(AH!$U$5=1,INDEX('Live History'!$A$5:$A$3004,AH!$U$7+2971),INDEX('AH History'!$A$5:$A$1380,AH!$U$7+2971))),""))</f>
        <v/>
      </c>
      <c r="B2976" s="33">
        <f>IFERROR(IF(AH!$U$11=1,NA(),$J2976/$E2976-1),NA())</f>
        <v/>
      </c>
      <c r="C2976" s="269">
        <f>IFERROR(100*$E2976/$E$5,NA())</f>
        <v/>
      </c>
      <c r="D2976" s="269">
        <f>IFERROR(100*$J2976/$J$5,NA())</f>
        <v/>
      </c>
      <c r="E2976" s="32">
        <f>IFERROR(IF(AND(ISNUMBER($A2976),N(IF(AND(AH!$U$12=1,2971+1=AH!$U$6),IF(AH!$U$4=0,"unavailable",INDEX('Market Data'!$AN$5:$AN$66,AH!$U$4)),IF(AH!$U$5=1,INDEX('Live History'!$B$5:$B$3004,$K2976),INDEX('AH History'!$D$5:$GG$1380,$K2976,AH!$U$10))))&gt;0),IF(AND(AH!$U$12=1,2971+1=AH!$U$6),IF(AH!$U$4=0,"unavailable",INDEX('Market Data'!$AN$5:$AN$66,AH!$U$4)),IF(AH!$U$5=1,INDEX('Live History'!$B$5:$B$3004,$K2976),INDEX('AH History'!$D$5:$GG$1380,$K2976,AH!$U$10))),NA()),NA())</f>
        <v/>
      </c>
      <c r="F2976" s="32">
        <f>IFERROR(IF(ISNUMBER($A2976),IF(AND(AH!$U$12=1,2971+1=AH!$U$6),IF(AH!$U$4=0,"unavailable",INDEX('Market Data'!$AO$5:$AO$66,AH!$U$4)),IF(AH!$U$5=1,INDEX('Live History'!$E$5:$E$3004,MATCH($A2976,'Live History'!$D$5:$D$3004,1)),INDEX('AH History'!$D$5:$GG$1380,$K2976,AH!$U$10+1))),NA()),NA())</f>
        <v/>
      </c>
      <c r="G2976" s="34">
        <f>IFERROR(IF(ISNUMBER($A2976),IF(AND(AH!$U$12=1,2971+1=AH!$U$6),IF(AH!$U$4=0,"unavailable",INDEX('Market Data'!$AK$5:$AK$66,AH!$U$4)),IF(AH!$U$5=1,INDEX('Live History'!$D$5:$D$3004,MATCH($A2976,'Live History'!$D$5:$D$3004,1)),INDEX('AH History'!$D$5:$GG$1380,$K2976,AH!$U$10+2))),NA()),NA())</f>
        <v/>
      </c>
      <c r="H2976" s="266">
        <f>IFERROR(IF(ISNUMBER($A2976),IF(AND(AH!$U$12=1,2971+1=AH!$U$6),IF(AH!$U$4=0,"unavailable",INDEX('Market Data'!$AP$5:$AP$66,AH!$U$4)),IF(AH!$U$5=1,INDEX('Live History'!$H$5:$H$3004,MATCH($A2976,'Live History'!$G$5:$G$3004,1)),INDEX('AH History'!$B$5:$B$1380,$K2976))),NA()),NA())</f>
        <v/>
      </c>
      <c r="I2976" s="34">
        <f>IFERROR(IF(ISNUMBER($A2976),IF(AND(AH!$U$12=1,2971+1=AH!$U$6),TODAY(),IF(AH!$U$5=1,INDEX('Live History'!$G$5:$G$3004,MATCH($A2976,'Live History'!$G$5:$G$3004,1)),INDEX('AH History'!$C$5:$C$1380,$K2976))),NA()),NA())</f>
        <v/>
      </c>
      <c r="J2976" s="32">
        <f>IFERROR(IF(AND($F2976&gt;0,$H2976&gt;0,$A2976-$G2976&lt;=10,$A2976-$I2976&lt;=5,$G2976&gt;0,$I2976&gt;0),$F2976*$H2976,NA()),NA())</f>
        <v/>
      </c>
      <c r="K2976" s="15">
        <f>IF($A2976="","",IF(AH!$U$5=1,IFERROR(MATCH($A2976,'Live History'!$A$5:$A$3004,0),0),AH!$U$7+2971))</f>
        <v/>
      </c>
      <c r="L2976" s="15">
        <f>IF(ISNUMBER(A2976),TEXT(A2976,"dd-mmm-yy"),"")</f>
        <v/>
      </c>
    </row>
    <row r="2977">
      <c r="A2977" s="14">
        <f>IF(OR(AH!$U$4=0,2972+1&gt;AH!$U$6,AND(AH!$M$5="Bloomberg",AH!$U$5=0)),"",IFERROR(IF(AND(AH!$U$12=1,2972+1=AH!$U$6),TODAY(),IF(AH!$U$5=1,INDEX('Live History'!$A$5:$A$3004,AH!$U$7+2972),INDEX('AH History'!$A$5:$A$1380,AH!$U$7+2972))),""))</f>
        <v/>
      </c>
      <c r="B2977" s="33">
        <f>IFERROR(IF(AH!$U$11=1,NA(),$J2977/$E2977-1),NA())</f>
        <v/>
      </c>
      <c r="C2977" s="269">
        <f>IFERROR(100*$E2977/$E$5,NA())</f>
        <v/>
      </c>
      <c r="D2977" s="269">
        <f>IFERROR(100*$J2977/$J$5,NA())</f>
        <v/>
      </c>
      <c r="E2977" s="32">
        <f>IFERROR(IF(AND(ISNUMBER($A2977),N(IF(AND(AH!$U$12=1,2972+1=AH!$U$6),IF(AH!$U$4=0,"unavailable",INDEX('Market Data'!$AN$5:$AN$66,AH!$U$4)),IF(AH!$U$5=1,INDEX('Live History'!$B$5:$B$3004,$K2977),INDEX('AH History'!$D$5:$GG$1380,$K2977,AH!$U$10))))&gt;0),IF(AND(AH!$U$12=1,2972+1=AH!$U$6),IF(AH!$U$4=0,"unavailable",INDEX('Market Data'!$AN$5:$AN$66,AH!$U$4)),IF(AH!$U$5=1,INDEX('Live History'!$B$5:$B$3004,$K2977),INDEX('AH History'!$D$5:$GG$1380,$K2977,AH!$U$10))),NA()),NA())</f>
        <v/>
      </c>
      <c r="F2977" s="32">
        <f>IFERROR(IF(ISNUMBER($A2977),IF(AND(AH!$U$12=1,2972+1=AH!$U$6),IF(AH!$U$4=0,"unavailable",INDEX('Market Data'!$AO$5:$AO$66,AH!$U$4)),IF(AH!$U$5=1,INDEX('Live History'!$E$5:$E$3004,MATCH($A2977,'Live History'!$D$5:$D$3004,1)),INDEX('AH History'!$D$5:$GG$1380,$K2977,AH!$U$10+1))),NA()),NA())</f>
        <v/>
      </c>
      <c r="G2977" s="34">
        <f>IFERROR(IF(ISNUMBER($A2977),IF(AND(AH!$U$12=1,2972+1=AH!$U$6),IF(AH!$U$4=0,"unavailable",INDEX('Market Data'!$AK$5:$AK$66,AH!$U$4)),IF(AH!$U$5=1,INDEX('Live History'!$D$5:$D$3004,MATCH($A2977,'Live History'!$D$5:$D$3004,1)),INDEX('AH History'!$D$5:$GG$1380,$K2977,AH!$U$10+2))),NA()),NA())</f>
        <v/>
      </c>
      <c r="H2977" s="266">
        <f>IFERROR(IF(ISNUMBER($A2977),IF(AND(AH!$U$12=1,2972+1=AH!$U$6),IF(AH!$U$4=0,"unavailable",INDEX('Market Data'!$AP$5:$AP$66,AH!$U$4)),IF(AH!$U$5=1,INDEX('Live History'!$H$5:$H$3004,MATCH($A2977,'Live History'!$G$5:$G$3004,1)),INDEX('AH History'!$B$5:$B$1380,$K2977))),NA()),NA())</f>
        <v/>
      </c>
      <c r="I2977" s="34">
        <f>IFERROR(IF(ISNUMBER($A2977),IF(AND(AH!$U$12=1,2972+1=AH!$U$6),TODAY(),IF(AH!$U$5=1,INDEX('Live History'!$G$5:$G$3004,MATCH($A2977,'Live History'!$G$5:$G$3004,1)),INDEX('AH History'!$C$5:$C$1380,$K2977))),NA()),NA())</f>
        <v/>
      </c>
      <c r="J2977" s="32">
        <f>IFERROR(IF(AND($F2977&gt;0,$H2977&gt;0,$A2977-$G2977&lt;=10,$A2977-$I2977&lt;=5,$G2977&gt;0,$I2977&gt;0),$F2977*$H2977,NA()),NA())</f>
        <v/>
      </c>
      <c r="K2977" s="15">
        <f>IF($A2977="","",IF(AH!$U$5=1,IFERROR(MATCH($A2977,'Live History'!$A$5:$A$3004,0),0),AH!$U$7+2972))</f>
        <v/>
      </c>
      <c r="L2977" s="15">
        <f>IF(ISNUMBER(A2977),TEXT(A2977,"dd-mmm-yy"),"")</f>
        <v/>
      </c>
    </row>
    <row r="2978">
      <c r="A2978" s="14">
        <f>IF(OR(AH!$U$4=0,2973+1&gt;AH!$U$6,AND(AH!$M$5="Bloomberg",AH!$U$5=0)),"",IFERROR(IF(AND(AH!$U$12=1,2973+1=AH!$U$6),TODAY(),IF(AH!$U$5=1,INDEX('Live History'!$A$5:$A$3004,AH!$U$7+2973),INDEX('AH History'!$A$5:$A$1380,AH!$U$7+2973))),""))</f>
        <v/>
      </c>
      <c r="B2978" s="33">
        <f>IFERROR(IF(AH!$U$11=1,NA(),$J2978/$E2978-1),NA())</f>
        <v/>
      </c>
      <c r="C2978" s="269">
        <f>IFERROR(100*$E2978/$E$5,NA())</f>
        <v/>
      </c>
      <c r="D2978" s="269">
        <f>IFERROR(100*$J2978/$J$5,NA())</f>
        <v/>
      </c>
      <c r="E2978" s="32">
        <f>IFERROR(IF(AND(ISNUMBER($A2978),N(IF(AND(AH!$U$12=1,2973+1=AH!$U$6),IF(AH!$U$4=0,"unavailable",INDEX('Market Data'!$AN$5:$AN$66,AH!$U$4)),IF(AH!$U$5=1,INDEX('Live History'!$B$5:$B$3004,$K2978),INDEX('AH History'!$D$5:$GG$1380,$K2978,AH!$U$10))))&gt;0),IF(AND(AH!$U$12=1,2973+1=AH!$U$6),IF(AH!$U$4=0,"unavailable",INDEX('Market Data'!$AN$5:$AN$66,AH!$U$4)),IF(AH!$U$5=1,INDEX('Live History'!$B$5:$B$3004,$K2978),INDEX('AH History'!$D$5:$GG$1380,$K2978,AH!$U$10))),NA()),NA())</f>
        <v/>
      </c>
      <c r="F2978" s="32">
        <f>IFERROR(IF(ISNUMBER($A2978),IF(AND(AH!$U$12=1,2973+1=AH!$U$6),IF(AH!$U$4=0,"unavailable",INDEX('Market Data'!$AO$5:$AO$66,AH!$U$4)),IF(AH!$U$5=1,INDEX('Live History'!$E$5:$E$3004,MATCH($A2978,'Live History'!$D$5:$D$3004,1)),INDEX('AH History'!$D$5:$GG$1380,$K2978,AH!$U$10+1))),NA()),NA())</f>
        <v/>
      </c>
      <c r="G2978" s="34">
        <f>IFERROR(IF(ISNUMBER($A2978),IF(AND(AH!$U$12=1,2973+1=AH!$U$6),IF(AH!$U$4=0,"unavailable",INDEX('Market Data'!$AK$5:$AK$66,AH!$U$4)),IF(AH!$U$5=1,INDEX('Live History'!$D$5:$D$3004,MATCH($A2978,'Live History'!$D$5:$D$3004,1)),INDEX('AH History'!$D$5:$GG$1380,$K2978,AH!$U$10+2))),NA()),NA())</f>
        <v/>
      </c>
      <c r="H2978" s="266">
        <f>IFERROR(IF(ISNUMBER($A2978),IF(AND(AH!$U$12=1,2973+1=AH!$U$6),IF(AH!$U$4=0,"unavailable",INDEX('Market Data'!$AP$5:$AP$66,AH!$U$4)),IF(AH!$U$5=1,INDEX('Live History'!$H$5:$H$3004,MATCH($A2978,'Live History'!$G$5:$G$3004,1)),INDEX('AH History'!$B$5:$B$1380,$K2978))),NA()),NA())</f>
        <v/>
      </c>
      <c r="I2978" s="34">
        <f>IFERROR(IF(ISNUMBER($A2978),IF(AND(AH!$U$12=1,2973+1=AH!$U$6),TODAY(),IF(AH!$U$5=1,INDEX('Live History'!$G$5:$G$3004,MATCH($A2978,'Live History'!$G$5:$G$3004,1)),INDEX('AH History'!$C$5:$C$1380,$K2978))),NA()),NA())</f>
        <v/>
      </c>
      <c r="J2978" s="32">
        <f>IFERROR(IF(AND($F2978&gt;0,$H2978&gt;0,$A2978-$G2978&lt;=10,$A2978-$I2978&lt;=5,$G2978&gt;0,$I2978&gt;0),$F2978*$H2978,NA()),NA())</f>
        <v/>
      </c>
      <c r="K2978" s="15">
        <f>IF($A2978="","",IF(AH!$U$5=1,IFERROR(MATCH($A2978,'Live History'!$A$5:$A$3004,0),0),AH!$U$7+2973))</f>
        <v/>
      </c>
      <c r="L2978" s="15">
        <f>IF(ISNUMBER(A2978),TEXT(A2978,"dd-mmm-yy"),"")</f>
        <v/>
      </c>
    </row>
    <row r="2979">
      <c r="A2979" s="14">
        <f>IF(OR(AH!$U$4=0,2974+1&gt;AH!$U$6,AND(AH!$M$5="Bloomberg",AH!$U$5=0)),"",IFERROR(IF(AND(AH!$U$12=1,2974+1=AH!$U$6),TODAY(),IF(AH!$U$5=1,INDEX('Live History'!$A$5:$A$3004,AH!$U$7+2974),INDEX('AH History'!$A$5:$A$1380,AH!$U$7+2974))),""))</f>
        <v/>
      </c>
      <c r="B2979" s="33">
        <f>IFERROR(IF(AH!$U$11=1,NA(),$J2979/$E2979-1),NA())</f>
        <v/>
      </c>
      <c r="C2979" s="269">
        <f>IFERROR(100*$E2979/$E$5,NA())</f>
        <v/>
      </c>
      <c r="D2979" s="269">
        <f>IFERROR(100*$J2979/$J$5,NA())</f>
        <v/>
      </c>
      <c r="E2979" s="32">
        <f>IFERROR(IF(AND(ISNUMBER($A2979),N(IF(AND(AH!$U$12=1,2974+1=AH!$U$6),IF(AH!$U$4=0,"unavailable",INDEX('Market Data'!$AN$5:$AN$66,AH!$U$4)),IF(AH!$U$5=1,INDEX('Live History'!$B$5:$B$3004,$K2979),INDEX('AH History'!$D$5:$GG$1380,$K2979,AH!$U$10))))&gt;0),IF(AND(AH!$U$12=1,2974+1=AH!$U$6),IF(AH!$U$4=0,"unavailable",INDEX('Market Data'!$AN$5:$AN$66,AH!$U$4)),IF(AH!$U$5=1,INDEX('Live History'!$B$5:$B$3004,$K2979),INDEX('AH History'!$D$5:$GG$1380,$K2979,AH!$U$10))),NA()),NA())</f>
        <v/>
      </c>
      <c r="F2979" s="32">
        <f>IFERROR(IF(ISNUMBER($A2979),IF(AND(AH!$U$12=1,2974+1=AH!$U$6),IF(AH!$U$4=0,"unavailable",INDEX('Market Data'!$AO$5:$AO$66,AH!$U$4)),IF(AH!$U$5=1,INDEX('Live History'!$E$5:$E$3004,MATCH($A2979,'Live History'!$D$5:$D$3004,1)),INDEX('AH History'!$D$5:$GG$1380,$K2979,AH!$U$10+1))),NA()),NA())</f>
        <v/>
      </c>
      <c r="G2979" s="34">
        <f>IFERROR(IF(ISNUMBER($A2979),IF(AND(AH!$U$12=1,2974+1=AH!$U$6),IF(AH!$U$4=0,"unavailable",INDEX('Market Data'!$AK$5:$AK$66,AH!$U$4)),IF(AH!$U$5=1,INDEX('Live History'!$D$5:$D$3004,MATCH($A2979,'Live History'!$D$5:$D$3004,1)),INDEX('AH History'!$D$5:$GG$1380,$K2979,AH!$U$10+2))),NA()),NA())</f>
        <v/>
      </c>
      <c r="H2979" s="266">
        <f>IFERROR(IF(ISNUMBER($A2979),IF(AND(AH!$U$12=1,2974+1=AH!$U$6),IF(AH!$U$4=0,"unavailable",INDEX('Market Data'!$AP$5:$AP$66,AH!$U$4)),IF(AH!$U$5=1,INDEX('Live History'!$H$5:$H$3004,MATCH($A2979,'Live History'!$G$5:$G$3004,1)),INDEX('AH History'!$B$5:$B$1380,$K2979))),NA()),NA())</f>
        <v/>
      </c>
      <c r="I2979" s="34">
        <f>IFERROR(IF(ISNUMBER($A2979),IF(AND(AH!$U$12=1,2974+1=AH!$U$6),TODAY(),IF(AH!$U$5=1,INDEX('Live History'!$G$5:$G$3004,MATCH($A2979,'Live History'!$G$5:$G$3004,1)),INDEX('AH History'!$C$5:$C$1380,$K2979))),NA()),NA())</f>
        <v/>
      </c>
      <c r="J2979" s="32">
        <f>IFERROR(IF(AND($F2979&gt;0,$H2979&gt;0,$A2979-$G2979&lt;=10,$A2979-$I2979&lt;=5,$G2979&gt;0,$I2979&gt;0),$F2979*$H2979,NA()),NA())</f>
        <v/>
      </c>
      <c r="K2979" s="15">
        <f>IF($A2979="","",IF(AH!$U$5=1,IFERROR(MATCH($A2979,'Live History'!$A$5:$A$3004,0),0),AH!$U$7+2974))</f>
        <v/>
      </c>
      <c r="L2979" s="15">
        <f>IF(ISNUMBER(A2979),TEXT(A2979,"dd-mmm-yy"),"")</f>
        <v/>
      </c>
    </row>
    <row r="2980">
      <c r="A2980" s="14">
        <f>IF(OR(AH!$U$4=0,2975+1&gt;AH!$U$6,AND(AH!$M$5="Bloomberg",AH!$U$5=0)),"",IFERROR(IF(AND(AH!$U$12=1,2975+1=AH!$U$6),TODAY(),IF(AH!$U$5=1,INDEX('Live History'!$A$5:$A$3004,AH!$U$7+2975),INDEX('AH History'!$A$5:$A$1380,AH!$U$7+2975))),""))</f>
        <v/>
      </c>
      <c r="B2980" s="33">
        <f>IFERROR(IF(AH!$U$11=1,NA(),$J2980/$E2980-1),NA())</f>
        <v/>
      </c>
      <c r="C2980" s="269">
        <f>IFERROR(100*$E2980/$E$5,NA())</f>
        <v/>
      </c>
      <c r="D2980" s="269">
        <f>IFERROR(100*$J2980/$J$5,NA())</f>
        <v/>
      </c>
      <c r="E2980" s="32">
        <f>IFERROR(IF(AND(ISNUMBER($A2980),N(IF(AND(AH!$U$12=1,2975+1=AH!$U$6),IF(AH!$U$4=0,"unavailable",INDEX('Market Data'!$AN$5:$AN$66,AH!$U$4)),IF(AH!$U$5=1,INDEX('Live History'!$B$5:$B$3004,$K2980),INDEX('AH History'!$D$5:$GG$1380,$K2980,AH!$U$10))))&gt;0),IF(AND(AH!$U$12=1,2975+1=AH!$U$6),IF(AH!$U$4=0,"unavailable",INDEX('Market Data'!$AN$5:$AN$66,AH!$U$4)),IF(AH!$U$5=1,INDEX('Live History'!$B$5:$B$3004,$K2980),INDEX('AH History'!$D$5:$GG$1380,$K2980,AH!$U$10))),NA()),NA())</f>
        <v/>
      </c>
      <c r="F2980" s="32">
        <f>IFERROR(IF(ISNUMBER($A2980),IF(AND(AH!$U$12=1,2975+1=AH!$U$6),IF(AH!$U$4=0,"unavailable",INDEX('Market Data'!$AO$5:$AO$66,AH!$U$4)),IF(AH!$U$5=1,INDEX('Live History'!$E$5:$E$3004,MATCH($A2980,'Live History'!$D$5:$D$3004,1)),INDEX('AH History'!$D$5:$GG$1380,$K2980,AH!$U$10+1))),NA()),NA())</f>
        <v/>
      </c>
      <c r="G2980" s="34">
        <f>IFERROR(IF(ISNUMBER($A2980),IF(AND(AH!$U$12=1,2975+1=AH!$U$6),IF(AH!$U$4=0,"unavailable",INDEX('Market Data'!$AK$5:$AK$66,AH!$U$4)),IF(AH!$U$5=1,INDEX('Live History'!$D$5:$D$3004,MATCH($A2980,'Live History'!$D$5:$D$3004,1)),INDEX('AH History'!$D$5:$GG$1380,$K2980,AH!$U$10+2))),NA()),NA())</f>
        <v/>
      </c>
      <c r="H2980" s="266">
        <f>IFERROR(IF(ISNUMBER($A2980),IF(AND(AH!$U$12=1,2975+1=AH!$U$6),IF(AH!$U$4=0,"unavailable",INDEX('Market Data'!$AP$5:$AP$66,AH!$U$4)),IF(AH!$U$5=1,INDEX('Live History'!$H$5:$H$3004,MATCH($A2980,'Live History'!$G$5:$G$3004,1)),INDEX('AH History'!$B$5:$B$1380,$K2980))),NA()),NA())</f>
        <v/>
      </c>
      <c r="I2980" s="34">
        <f>IFERROR(IF(ISNUMBER($A2980),IF(AND(AH!$U$12=1,2975+1=AH!$U$6),TODAY(),IF(AH!$U$5=1,INDEX('Live History'!$G$5:$G$3004,MATCH($A2980,'Live History'!$G$5:$G$3004,1)),INDEX('AH History'!$C$5:$C$1380,$K2980))),NA()),NA())</f>
        <v/>
      </c>
      <c r="J2980" s="32">
        <f>IFERROR(IF(AND($F2980&gt;0,$H2980&gt;0,$A2980-$G2980&lt;=10,$A2980-$I2980&lt;=5,$G2980&gt;0,$I2980&gt;0),$F2980*$H2980,NA()),NA())</f>
        <v/>
      </c>
      <c r="K2980" s="15">
        <f>IF($A2980="","",IF(AH!$U$5=1,IFERROR(MATCH($A2980,'Live History'!$A$5:$A$3004,0),0),AH!$U$7+2975))</f>
        <v/>
      </c>
      <c r="L2980" s="15">
        <f>IF(ISNUMBER(A2980),TEXT(A2980,"dd-mmm-yy"),"")</f>
        <v/>
      </c>
    </row>
    <row r="2981">
      <c r="A2981" s="14">
        <f>IF(OR(AH!$U$4=0,2976+1&gt;AH!$U$6,AND(AH!$M$5="Bloomberg",AH!$U$5=0)),"",IFERROR(IF(AND(AH!$U$12=1,2976+1=AH!$U$6),TODAY(),IF(AH!$U$5=1,INDEX('Live History'!$A$5:$A$3004,AH!$U$7+2976),INDEX('AH History'!$A$5:$A$1380,AH!$U$7+2976))),""))</f>
        <v/>
      </c>
      <c r="B2981" s="33">
        <f>IFERROR(IF(AH!$U$11=1,NA(),$J2981/$E2981-1),NA())</f>
        <v/>
      </c>
      <c r="C2981" s="269">
        <f>IFERROR(100*$E2981/$E$5,NA())</f>
        <v/>
      </c>
      <c r="D2981" s="269">
        <f>IFERROR(100*$J2981/$J$5,NA())</f>
        <v/>
      </c>
      <c r="E2981" s="32">
        <f>IFERROR(IF(AND(ISNUMBER($A2981),N(IF(AND(AH!$U$12=1,2976+1=AH!$U$6),IF(AH!$U$4=0,"unavailable",INDEX('Market Data'!$AN$5:$AN$66,AH!$U$4)),IF(AH!$U$5=1,INDEX('Live History'!$B$5:$B$3004,$K2981),INDEX('AH History'!$D$5:$GG$1380,$K2981,AH!$U$10))))&gt;0),IF(AND(AH!$U$12=1,2976+1=AH!$U$6),IF(AH!$U$4=0,"unavailable",INDEX('Market Data'!$AN$5:$AN$66,AH!$U$4)),IF(AH!$U$5=1,INDEX('Live History'!$B$5:$B$3004,$K2981),INDEX('AH History'!$D$5:$GG$1380,$K2981,AH!$U$10))),NA()),NA())</f>
        <v/>
      </c>
      <c r="F2981" s="32">
        <f>IFERROR(IF(ISNUMBER($A2981),IF(AND(AH!$U$12=1,2976+1=AH!$U$6),IF(AH!$U$4=0,"unavailable",INDEX('Market Data'!$AO$5:$AO$66,AH!$U$4)),IF(AH!$U$5=1,INDEX('Live History'!$E$5:$E$3004,MATCH($A2981,'Live History'!$D$5:$D$3004,1)),INDEX('AH History'!$D$5:$GG$1380,$K2981,AH!$U$10+1))),NA()),NA())</f>
        <v/>
      </c>
      <c r="G2981" s="34">
        <f>IFERROR(IF(ISNUMBER($A2981),IF(AND(AH!$U$12=1,2976+1=AH!$U$6),IF(AH!$U$4=0,"unavailable",INDEX('Market Data'!$AK$5:$AK$66,AH!$U$4)),IF(AH!$U$5=1,INDEX('Live History'!$D$5:$D$3004,MATCH($A2981,'Live History'!$D$5:$D$3004,1)),INDEX('AH History'!$D$5:$GG$1380,$K2981,AH!$U$10+2))),NA()),NA())</f>
        <v/>
      </c>
      <c r="H2981" s="266">
        <f>IFERROR(IF(ISNUMBER($A2981),IF(AND(AH!$U$12=1,2976+1=AH!$U$6),IF(AH!$U$4=0,"unavailable",INDEX('Market Data'!$AP$5:$AP$66,AH!$U$4)),IF(AH!$U$5=1,INDEX('Live History'!$H$5:$H$3004,MATCH($A2981,'Live History'!$G$5:$G$3004,1)),INDEX('AH History'!$B$5:$B$1380,$K2981))),NA()),NA())</f>
        <v/>
      </c>
      <c r="I2981" s="34">
        <f>IFERROR(IF(ISNUMBER($A2981),IF(AND(AH!$U$12=1,2976+1=AH!$U$6),TODAY(),IF(AH!$U$5=1,INDEX('Live History'!$G$5:$G$3004,MATCH($A2981,'Live History'!$G$5:$G$3004,1)),INDEX('AH History'!$C$5:$C$1380,$K2981))),NA()),NA())</f>
        <v/>
      </c>
      <c r="J2981" s="32">
        <f>IFERROR(IF(AND($F2981&gt;0,$H2981&gt;0,$A2981-$G2981&lt;=10,$A2981-$I2981&lt;=5,$G2981&gt;0,$I2981&gt;0),$F2981*$H2981,NA()),NA())</f>
        <v/>
      </c>
      <c r="K2981" s="15">
        <f>IF($A2981="","",IF(AH!$U$5=1,IFERROR(MATCH($A2981,'Live History'!$A$5:$A$3004,0),0),AH!$U$7+2976))</f>
        <v/>
      </c>
      <c r="L2981" s="15">
        <f>IF(ISNUMBER(A2981),TEXT(A2981,"dd-mmm-yy"),"")</f>
        <v/>
      </c>
    </row>
    <row r="2982">
      <c r="A2982" s="14">
        <f>IF(OR(AH!$U$4=0,2977+1&gt;AH!$U$6,AND(AH!$M$5="Bloomberg",AH!$U$5=0)),"",IFERROR(IF(AND(AH!$U$12=1,2977+1=AH!$U$6),TODAY(),IF(AH!$U$5=1,INDEX('Live History'!$A$5:$A$3004,AH!$U$7+2977),INDEX('AH History'!$A$5:$A$1380,AH!$U$7+2977))),""))</f>
        <v/>
      </c>
      <c r="B2982" s="33">
        <f>IFERROR(IF(AH!$U$11=1,NA(),$J2982/$E2982-1),NA())</f>
        <v/>
      </c>
      <c r="C2982" s="269">
        <f>IFERROR(100*$E2982/$E$5,NA())</f>
        <v/>
      </c>
      <c r="D2982" s="269">
        <f>IFERROR(100*$J2982/$J$5,NA())</f>
        <v/>
      </c>
      <c r="E2982" s="32">
        <f>IFERROR(IF(AND(ISNUMBER($A2982),N(IF(AND(AH!$U$12=1,2977+1=AH!$U$6),IF(AH!$U$4=0,"unavailable",INDEX('Market Data'!$AN$5:$AN$66,AH!$U$4)),IF(AH!$U$5=1,INDEX('Live History'!$B$5:$B$3004,$K2982),INDEX('AH History'!$D$5:$GG$1380,$K2982,AH!$U$10))))&gt;0),IF(AND(AH!$U$12=1,2977+1=AH!$U$6),IF(AH!$U$4=0,"unavailable",INDEX('Market Data'!$AN$5:$AN$66,AH!$U$4)),IF(AH!$U$5=1,INDEX('Live History'!$B$5:$B$3004,$K2982),INDEX('AH History'!$D$5:$GG$1380,$K2982,AH!$U$10))),NA()),NA())</f>
        <v/>
      </c>
      <c r="F2982" s="32">
        <f>IFERROR(IF(ISNUMBER($A2982),IF(AND(AH!$U$12=1,2977+1=AH!$U$6),IF(AH!$U$4=0,"unavailable",INDEX('Market Data'!$AO$5:$AO$66,AH!$U$4)),IF(AH!$U$5=1,INDEX('Live History'!$E$5:$E$3004,MATCH($A2982,'Live History'!$D$5:$D$3004,1)),INDEX('AH History'!$D$5:$GG$1380,$K2982,AH!$U$10+1))),NA()),NA())</f>
        <v/>
      </c>
      <c r="G2982" s="34">
        <f>IFERROR(IF(ISNUMBER($A2982),IF(AND(AH!$U$12=1,2977+1=AH!$U$6),IF(AH!$U$4=0,"unavailable",INDEX('Market Data'!$AK$5:$AK$66,AH!$U$4)),IF(AH!$U$5=1,INDEX('Live History'!$D$5:$D$3004,MATCH($A2982,'Live History'!$D$5:$D$3004,1)),INDEX('AH History'!$D$5:$GG$1380,$K2982,AH!$U$10+2))),NA()),NA())</f>
        <v/>
      </c>
      <c r="H2982" s="266">
        <f>IFERROR(IF(ISNUMBER($A2982),IF(AND(AH!$U$12=1,2977+1=AH!$U$6),IF(AH!$U$4=0,"unavailable",INDEX('Market Data'!$AP$5:$AP$66,AH!$U$4)),IF(AH!$U$5=1,INDEX('Live History'!$H$5:$H$3004,MATCH($A2982,'Live History'!$G$5:$G$3004,1)),INDEX('AH History'!$B$5:$B$1380,$K2982))),NA()),NA())</f>
        <v/>
      </c>
      <c r="I2982" s="34">
        <f>IFERROR(IF(ISNUMBER($A2982),IF(AND(AH!$U$12=1,2977+1=AH!$U$6),TODAY(),IF(AH!$U$5=1,INDEX('Live History'!$G$5:$G$3004,MATCH($A2982,'Live History'!$G$5:$G$3004,1)),INDEX('AH History'!$C$5:$C$1380,$K2982))),NA()),NA())</f>
        <v/>
      </c>
      <c r="J2982" s="32">
        <f>IFERROR(IF(AND($F2982&gt;0,$H2982&gt;0,$A2982-$G2982&lt;=10,$A2982-$I2982&lt;=5,$G2982&gt;0,$I2982&gt;0),$F2982*$H2982,NA()),NA())</f>
        <v/>
      </c>
      <c r="K2982" s="15">
        <f>IF($A2982="","",IF(AH!$U$5=1,IFERROR(MATCH($A2982,'Live History'!$A$5:$A$3004,0),0),AH!$U$7+2977))</f>
        <v/>
      </c>
      <c r="L2982" s="15">
        <f>IF(ISNUMBER(A2982),TEXT(A2982,"dd-mmm-yy"),"")</f>
        <v/>
      </c>
    </row>
    <row r="2983">
      <c r="A2983" s="14">
        <f>IF(OR(AH!$U$4=0,2978+1&gt;AH!$U$6,AND(AH!$M$5="Bloomberg",AH!$U$5=0)),"",IFERROR(IF(AND(AH!$U$12=1,2978+1=AH!$U$6),TODAY(),IF(AH!$U$5=1,INDEX('Live History'!$A$5:$A$3004,AH!$U$7+2978),INDEX('AH History'!$A$5:$A$1380,AH!$U$7+2978))),""))</f>
        <v/>
      </c>
      <c r="B2983" s="33">
        <f>IFERROR(IF(AH!$U$11=1,NA(),$J2983/$E2983-1),NA())</f>
        <v/>
      </c>
      <c r="C2983" s="269">
        <f>IFERROR(100*$E2983/$E$5,NA())</f>
        <v/>
      </c>
      <c r="D2983" s="269">
        <f>IFERROR(100*$J2983/$J$5,NA())</f>
        <v/>
      </c>
      <c r="E2983" s="32">
        <f>IFERROR(IF(AND(ISNUMBER($A2983),N(IF(AND(AH!$U$12=1,2978+1=AH!$U$6),IF(AH!$U$4=0,"unavailable",INDEX('Market Data'!$AN$5:$AN$66,AH!$U$4)),IF(AH!$U$5=1,INDEX('Live History'!$B$5:$B$3004,$K2983),INDEX('AH History'!$D$5:$GG$1380,$K2983,AH!$U$10))))&gt;0),IF(AND(AH!$U$12=1,2978+1=AH!$U$6),IF(AH!$U$4=0,"unavailable",INDEX('Market Data'!$AN$5:$AN$66,AH!$U$4)),IF(AH!$U$5=1,INDEX('Live History'!$B$5:$B$3004,$K2983),INDEX('AH History'!$D$5:$GG$1380,$K2983,AH!$U$10))),NA()),NA())</f>
        <v/>
      </c>
      <c r="F2983" s="32">
        <f>IFERROR(IF(ISNUMBER($A2983),IF(AND(AH!$U$12=1,2978+1=AH!$U$6),IF(AH!$U$4=0,"unavailable",INDEX('Market Data'!$AO$5:$AO$66,AH!$U$4)),IF(AH!$U$5=1,INDEX('Live History'!$E$5:$E$3004,MATCH($A2983,'Live History'!$D$5:$D$3004,1)),INDEX('AH History'!$D$5:$GG$1380,$K2983,AH!$U$10+1))),NA()),NA())</f>
        <v/>
      </c>
      <c r="G2983" s="34">
        <f>IFERROR(IF(ISNUMBER($A2983),IF(AND(AH!$U$12=1,2978+1=AH!$U$6),IF(AH!$U$4=0,"unavailable",INDEX('Market Data'!$AK$5:$AK$66,AH!$U$4)),IF(AH!$U$5=1,INDEX('Live History'!$D$5:$D$3004,MATCH($A2983,'Live History'!$D$5:$D$3004,1)),INDEX('AH History'!$D$5:$GG$1380,$K2983,AH!$U$10+2))),NA()),NA())</f>
        <v/>
      </c>
      <c r="H2983" s="266">
        <f>IFERROR(IF(ISNUMBER($A2983),IF(AND(AH!$U$12=1,2978+1=AH!$U$6),IF(AH!$U$4=0,"unavailable",INDEX('Market Data'!$AP$5:$AP$66,AH!$U$4)),IF(AH!$U$5=1,INDEX('Live History'!$H$5:$H$3004,MATCH($A2983,'Live History'!$G$5:$G$3004,1)),INDEX('AH History'!$B$5:$B$1380,$K2983))),NA()),NA())</f>
        <v/>
      </c>
      <c r="I2983" s="34">
        <f>IFERROR(IF(ISNUMBER($A2983),IF(AND(AH!$U$12=1,2978+1=AH!$U$6),TODAY(),IF(AH!$U$5=1,INDEX('Live History'!$G$5:$G$3004,MATCH($A2983,'Live History'!$G$5:$G$3004,1)),INDEX('AH History'!$C$5:$C$1380,$K2983))),NA()),NA())</f>
        <v/>
      </c>
      <c r="J2983" s="32">
        <f>IFERROR(IF(AND($F2983&gt;0,$H2983&gt;0,$A2983-$G2983&lt;=10,$A2983-$I2983&lt;=5,$G2983&gt;0,$I2983&gt;0),$F2983*$H2983,NA()),NA())</f>
        <v/>
      </c>
      <c r="K2983" s="15">
        <f>IF($A2983="","",IF(AH!$U$5=1,IFERROR(MATCH($A2983,'Live History'!$A$5:$A$3004,0),0),AH!$U$7+2978))</f>
        <v/>
      </c>
      <c r="L2983" s="15">
        <f>IF(ISNUMBER(A2983),TEXT(A2983,"dd-mmm-yy"),"")</f>
        <v/>
      </c>
    </row>
    <row r="2984">
      <c r="A2984" s="14">
        <f>IF(OR(AH!$U$4=0,2979+1&gt;AH!$U$6,AND(AH!$M$5="Bloomberg",AH!$U$5=0)),"",IFERROR(IF(AND(AH!$U$12=1,2979+1=AH!$U$6),TODAY(),IF(AH!$U$5=1,INDEX('Live History'!$A$5:$A$3004,AH!$U$7+2979),INDEX('AH History'!$A$5:$A$1380,AH!$U$7+2979))),""))</f>
        <v/>
      </c>
      <c r="B2984" s="33">
        <f>IFERROR(IF(AH!$U$11=1,NA(),$J2984/$E2984-1),NA())</f>
        <v/>
      </c>
      <c r="C2984" s="269">
        <f>IFERROR(100*$E2984/$E$5,NA())</f>
        <v/>
      </c>
      <c r="D2984" s="269">
        <f>IFERROR(100*$J2984/$J$5,NA())</f>
        <v/>
      </c>
      <c r="E2984" s="32">
        <f>IFERROR(IF(AND(ISNUMBER($A2984),N(IF(AND(AH!$U$12=1,2979+1=AH!$U$6),IF(AH!$U$4=0,"unavailable",INDEX('Market Data'!$AN$5:$AN$66,AH!$U$4)),IF(AH!$U$5=1,INDEX('Live History'!$B$5:$B$3004,$K2984),INDEX('AH History'!$D$5:$GG$1380,$K2984,AH!$U$10))))&gt;0),IF(AND(AH!$U$12=1,2979+1=AH!$U$6),IF(AH!$U$4=0,"unavailable",INDEX('Market Data'!$AN$5:$AN$66,AH!$U$4)),IF(AH!$U$5=1,INDEX('Live History'!$B$5:$B$3004,$K2984),INDEX('AH History'!$D$5:$GG$1380,$K2984,AH!$U$10))),NA()),NA())</f>
        <v/>
      </c>
      <c r="F2984" s="32">
        <f>IFERROR(IF(ISNUMBER($A2984),IF(AND(AH!$U$12=1,2979+1=AH!$U$6),IF(AH!$U$4=0,"unavailable",INDEX('Market Data'!$AO$5:$AO$66,AH!$U$4)),IF(AH!$U$5=1,INDEX('Live History'!$E$5:$E$3004,MATCH($A2984,'Live History'!$D$5:$D$3004,1)),INDEX('AH History'!$D$5:$GG$1380,$K2984,AH!$U$10+1))),NA()),NA())</f>
        <v/>
      </c>
      <c r="G2984" s="34">
        <f>IFERROR(IF(ISNUMBER($A2984),IF(AND(AH!$U$12=1,2979+1=AH!$U$6),IF(AH!$U$4=0,"unavailable",INDEX('Market Data'!$AK$5:$AK$66,AH!$U$4)),IF(AH!$U$5=1,INDEX('Live History'!$D$5:$D$3004,MATCH($A2984,'Live History'!$D$5:$D$3004,1)),INDEX('AH History'!$D$5:$GG$1380,$K2984,AH!$U$10+2))),NA()),NA())</f>
        <v/>
      </c>
      <c r="H2984" s="266">
        <f>IFERROR(IF(ISNUMBER($A2984),IF(AND(AH!$U$12=1,2979+1=AH!$U$6),IF(AH!$U$4=0,"unavailable",INDEX('Market Data'!$AP$5:$AP$66,AH!$U$4)),IF(AH!$U$5=1,INDEX('Live History'!$H$5:$H$3004,MATCH($A2984,'Live History'!$G$5:$G$3004,1)),INDEX('AH History'!$B$5:$B$1380,$K2984))),NA()),NA())</f>
        <v/>
      </c>
      <c r="I2984" s="34">
        <f>IFERROR(IF(ISNUMBER($A2984),IF(AND(AH!$U$12=1,2979+1=AH!$U$6),TODAY(),IF(AH!$U$5=1,INDEX('Live History'!$G$5:$G$3004,MATCH($A2984,'Live History'!$G$5:$G$3004,1)),INDEX('AH History'!$C$5:$C$1380,$K2984))),NA()),NA())</f>
        <v/>
      </c>
      <c r="J2984" s="32">
        <f>IFERROR(IF(AND($F2984&gt;0,$H2984&gt;0,$A2984-$G2984&lt;=10,$A2984-$I2984&lt;=5,$G2984&gt;0,$I2984&gt;0),$F2984*$H2984,NA()),NA())</f>
        <v/>
      </c>
      <c r="K2984" s="15">
        <f>IF($A2984="","",IF(AH!$U$5=1,IFERROR(MATCH($A2984,'Live History'!$A$5:$A$3004,0),0),AH!$U$7+2979))</f>
        <v/>
      </c>
      <c r="L2984" s="15">
        <f>IF(ISNUMBER(A2984),TEXT(A2984,"dd-mmm-yy"),"")</f>
        <v/>
      </c>
    </row>
    <row r="2985">
      <c r="A2985" s="14">
        <f>IF(OR(AH!$U$4=0,2980+1&gt;AH!$U$6,AND(AH!$M$5="Bloomberg",AH!$U$5=0)),"",IFERROR(IF(AND(AH!$U$12=1,2980+1=AH!$U$6),TODAY(),IF(AH!$U$5=1,INDEX('Live History'!$A$5:$A$3004,AH!$U$7+2980),INDEX('AH History'!$A$5:$A$1380,AH!$U$7+2980))),""))</f>
        <v/>
      </c>
      <c r="B2985" s="33">
        <f>IFERROR(IF(AH!$U$11=1,NA(),$J2985/$E2985-1),NA())</f>
        <v/>
      </c>
      <c r="C2985" s="269">
        <f>IFERROR(100*$E2985/$E$5,NA())</f>
        <v/>
      </c>
      <c r="D2985" s="269">
        <f>IFERROR(100*$J2985/$J$5,NA())</f>
        <v/>
      </c>
      <c r="E2985" s="32">
        <f>IFERROR(IF(AND(ISNUMBER($A2985),N(IF(AND(AH!$U$12=1,2980+1=AH!$U$6),IF(AH!$U$4=0,"unavailable",INDEX('Market Data'!$AN$5:$AN$66,AH!$U$4)),IF(AH!$U$5=1,INDEX('Live History'!$B$5:$B$3004,$K2985),INDEX('AH History'!$D$5:$GG$1380,$K2985,AH!$U$10))))&gt;0),IF(AND(AH!$U$12=1,2980+1=AH!$U$6),IF(AH!$U$4=0,"unavailable",INDEX('Market Data'!$AN$5:$AN$66,AH!$U$4)),IF(AH!$U$5=1,INDEX('Live History'!$B$5:$B$3004,$K2985),INDEX('AH History'!$D$5:$GG$1380,$K2985,AH!$U$10))),NA()),NA())</f>
        <v/>
      </c>
      <c r="F2985" s="32">
        <f>IFERROR(IF(ISNUMBER($A2985),IF(AND(AH!$U$12=1,2980+1=AH!$U$6),IF(AH!$U$4=0,"unavailable",INDEX('Market Data'!$AO$5:$AO$66,AH!$U$4)),IF(AH!$U$5=1,INDEX('Live History'!$E$5:$E$3004,MATCH($A2985,'Live History'!$D$5:$D$3004,1)),INDEX('AH History'!$D$5:$GG$1380,$K2985,AH!$U$10+1))),NA()),NA())</f>
        <v/>
      </c>
      <c r="G2985" s="34">
        <f>IFERROR(IF(ISNUMBER($A2985),IF(AND(AH!$U$12=1,2980+1=AH!$U$6),IF(AH!$U$4=0,"unavailable",INDEX('Market Data'!$AK$5:$AK$66,AH!$U$4)),IF(AH!$U$5=1,INDEX('Live History'!$D$5:$D$3004,MATCH($A2985,'Live History'!$D$5:$D$3004,1)),INDEX('AH History'!$D$5:$GG$1380,$K2985,AH!$U$10+2))),NA()),NA())</f>
        <v/>
      </c>
      <c r="H2985" s="266">
        <f>IFERROR(IF(ISNUMBER($A2985),IF(AND(AH!$U$12=1,2980+1=AH!$U$6),IF(AH!$U$4=0,"unavailable",INDEX('Market Data'!$AP$5:$AP$66,AH!$U$4)),IF(AH!$U$5=1,INDEX('Live History'!$H$5:$H$3004,MATCH($A2985,'Live History'!$G$5:$G$3004,1)),INDEX('AH History'!$B$5:$B$1380,$K2985))),NA()),NA())</f>
        <v/>
      </c>
      <c r="I2985" s="34">
        <f>IFERROR(IF(ISNUMBER($A2985),IF(AND(AH!$U$12=1,2980+1=AH!$U$6),TODAY(),IF(AH!$U$5=1,INDEX('Live History'!$G$5:$G$3004,MATCH($A2985,'Live History'!$G$5:$G$3004,1)),INDEX('AH History'!$C$5:$C$1380,$K2985))),NA()),NA())</f>
        <v/>
      </c>
      <c r="J2985" s="32">
        <f>IFERROR(IF(AND($F2985&gt;0,$H2985&gt;0,$A2985-$G2985&lt;=10,$A2985-$I2985&lt;=5,$G2985&gt;0,$I2985&gt;0),$F2985*$H2985,NA()),NA())</f>
        <v/>
      </c>
      <c r="K2985" s="15">
        <f>IF($A2985="","",IF(AH!$U$5=1,IFERROR(MATCH($A2985,'Live History'!$A$5:$A$3004,0),0),AH!$U$7+2980))</f>
        <v/>
      </c>
      <c r="L2985" s="15">
        <f>IF(ISNUMBER(A2985),TEXT(A2985,"dd-mmm-yy"),"")</f>
        <v/>
      </c>
    </row>
    <row r="2986">
      <c r="A2986" s="14">
        <f>IF(OR(AH!$U$4=0,2981+1&gt;AH!$U$6,AND(AH!$M$5="Bloomberg",AH!$U$5=0)),"",IFERROR(IF(AND(AH!$U$12=1,2981+1=AH!$U$6),TODAY(),IF(AH!$U$5=1,INDEX('Live History'!$A$5:$A$3004,AH!$U$7+2981),INDEX('AH History'!$A$5:$A$1380,AH!$U$7+2981))),""))</f>
        <v/>
      </c>
      <c r="B2986" s="33">
        <f>IFERROR(IF(AH!$U$11=1,NA(),$J2986/$E2986-1),NA())</f>
        <v/>
      </c>
      <c r="C2986" s="269">
        <f>IFERROR(100*$E2986/$E$5,NA())</f>
        <v/>
      </c>
      <c r="D2986" s="269">
        <f>IFERROR(100*$J2986/$J$5,NA())</f>
        <v/>
      </c>
      <c r="E2986" s="32">
        <f>IFERROR(IF(AND(ISNUMBER($A2986),N(IF(AND(AH!$U$12=1,2981+1=AH!$U$6),IF(AH!$U$4=0,"unavailable",INDEX('Market Data'!$AN$5:$AN$66,AH!$U$4)),IF(AH!$U$5=1,INDEX('Live History'!$B$5:$B$3004,$K2986),INDEX('AH History'!$D$5:$GG$1380,$K2986,AH!$U$10))))&gt;0),IF(AND(AH!$U$12=1,2981+1=AH!$U$6),IF(AH!$U$4=0,"unavailable",INDEX('Market Data'!$AN$5:$AN$66,AH!$U$4)),IF(AH!$U$5=1,INDEX('Live History'!$B$5:$B$3004,$K2986),INDEX('AH History'!$D$5:$GG$1380,$K2986,AH!$U$10))),NA()),NA())</f>
        <v/>
      </c>
      <c r="F2986" s="32">
        <f>IFERROR(IF(ISNUMBER($A2986),IF(AND(AH!$U$12=1,2981+1=AH!$U$6),IF(AH!$U$4=0,"unavailable",INDEX('Market Data'!$AO$5:$AO$66,AH!$U$4)),IF(AH!$U$5=1,INDEX('Live History'!$E$5:$E$3004,MATCH($A2986,'Live History'!$D$5:$D$3004,1)),INDEX('AH History'!$D$5:$GG$1380,$K2986,AH!$U$10+1))),NA()),NA())</f>
        <v/>
      </c>
      <c r="G2986" s="34">
        <f>IFERROR(IF(ISNUMBER($A2986),IF(AND(AH!$U$12=1,2981+1=AH!$U$6),IF(AH!$U$4=0,"unavailable",INDEX('Market Data'!$AK$5:$AK$66,AH!$U$4)),IF(AH!$U$5=1,INDEX('Live History'!$D$5:$D$3004,MATCH($A2986,'Live History'!$D$5:$D$3004,1)),INDEX('AH History'!$D$5:$GG$1380,$K2986,AH!$U$10+2))),NA()),NA())</f>
        <v/>
      </c>
      <c r="H2986" s="266">
        <f>IFERROR(IF(ISNUMBER($A2986),IF(AND(AH!$U$12=1,2981+1=AH!$U$6),IF(AH!$U$4=0,"unavailable",INDEX('Market Data'!$AP$5:$AP$66,AH!$U$4)),IF(AH!$U$5=1,INDEX('Live History'!$H$5:$H$3004,MATCH($A2986,'Live History'!$G$5:$G$3004,1)),INDEX('AH History'!$B$5:$B$1380,$K2986))),NA()),NA())</f>
        <v/>
      </c>
      <c r="I2986" s="34">
        <f>IFERROR(IF(ISNUMBER($A2986),IF(AND(AH!$U$12=1,2981+1=AH!$U$6),TODAY(),IF(AH!$U$5=1,INDEX('Live History'!$G$5:$G$3004,MATCH($A2986,'Live History'!$G$5:$G$3004,1)),INDEX('AH History'!$C$5:$C$1380,$K2986))),NA()),NA())</f>
        <v/>
      </c>
      <c r="J2986" s="32">
        <f>IFERROR(IF(AND($F2986&gt;0,$H2986&gt;0,$A2986-$G2986&lt;=10,$A2986-$I2986&lt;=5,$G2986&gt;0,$I2986&gt;0),$F2986*$H2986,NA()),NA())</f>
        <v/>
      </c>
      <c r="K2986" s="15">
        <f>IF($A2986="","",IF(AH!$U$5=1,IFERROR(MATCH($A2986,'Live History'!$A$5:$A$3004,0),0),AH!$U$7+2981))</f>
        <v/>
      </c>
      <c r="L2986" s="15">
        <f>IF(ISNUMBER(A2986),TEXT(A2986,"dd-mmm-yy"),"")</f>
        <v/>
      </c>
    </row>
    <row r="2987">
      <c r="A2987" s="14">
        <f>IF(OR(AH!$U$4=0,2982+1&gt;AH!$U$6,AND(AH!$M$5="Bloomberg",AH!$U$5=0)),"",IFERROR(IF(AND(AH!$U$12=1,2982+1=AH!$U$6),TODAY(),IF(AH!$U$5=1,INDEX('Live History'!$A$5:$A$3004,AH!$U$7+2982),INDEX('AH History'!$A$5:$A$1380,AH!$U$7+2982))),""))</f>
        <v/>
      </c>
      <c r="B2987" s="33">
        <f>IFERROR(IF(AH!$U$11=1,NA(),$J2987/$E2987-1),NA())</f>
        <v/>
      </c>
      <c r="C2987" s="269">
        <f>IFERROR(100*$E2987/$E$5,NA())</f>
        <v/>
      </c>
      <c r="D2987" s="269">
        <f>IFERROR(100*$J2987/$J$5,NA())</f>
        <v/>
      </c>
      <c r="E2987" s="32">
        <f>IFERROR(IF(AND(ISNUMBER($A2987),N(IF(AND(AH!$U$12=1,2982+1=AH!$U$6),IF(AH!$U$4=0,"unavailable",INDEX('Market Data'!$AN$5:$AN$66,AH!$U$4)),IF(AH!$U$5=1,INDEX('Live History'!$B$5:$B$3004,$K2987),INDEX('AH History'!$D$5:$GG$1380,$K2987,AH!$U$10))))&gt;0),IF(AND(AH!$U$12=1,2982+1=AH!$U$6),IF(AH!$U$4=0,"unavailable",INDEX('Market Data'!$AN$5:$AN$66,AH!$U$4)),IF(AH!$U$5=1,INDEX('Live History'!$B$5:$B$3004,$K2987),INDEX('AH History'!$D$5:$GG$1380,$K2987,AH!$U$10))),NA()),NA())</f>
        <v/>
      </c>
      <c r="F2987" s="32">
        <f>IFERROR(IF(ISNUMBER($A2987),IF(AND(AH!$U$12=1,2982+1=AH!$U$6),IF(AH!$U$4=0,"unavailable",INDEX('Market Data'!$AO$5:$AO$66,AH!$U$4)),IF(AH!$U$5=1,INDEX('Live History'!$E$5:$E$3004,MATCH($A2987,'Live History'!$D$5:$D$3004,1)),INDEX('AH History'!$D$5:$GG$1380,$K2987,AH!$U$10+1))),NA()),NA())</f>
        <v/>
      </c>
      <c r="G2987" s="34">
        <f>IFERROR(IF(ISNUMBER($A2987),IF(AND(AH!$U$12=1,2982+1=AH!$U$6),IF(AH!$U$4=0,"unavailable",INDEX('Market Data'!$AK$5:$AK$66,AH!$U$4)),IF(AH!$U$5=1,INDEX('Live History'!$D$5:$D$3004,MATCH($A2987,'Live History'!$D$5:$D$3004,1)),INDEX('AH History'!$D$5:$GG$1380,$K2987,AH!$U$10+2))),NA()),NA())</f>
        <v/>
      </c>
      <c r="H2987" s="266">
        <f>IFERROR(IF(ISNUMBER($A2987),IF(AND(AH!$U$12=1,2982+1=AH!$U$6),IF(AH!$U$4=0,"unavailable",INDEX('Market Data'!$AP$5:$AP$66,AH!$U$4)),IF(AH!$U$5=1,INDEX('Live History'!$H$5:$H$3004,MATCH($A2987,'Live History'!$G$5:$G$3004,1)),INDEX('AH History'!$B$5:$B$1380,$K2987))),NA()),NA())</f>
        <v/>
      </c>
      <c r="I2987" s="34">
        <f>IFERROR(IF(ISNUMBER($A2987),IF(AND(AH!$U$12=1,2982+1=AH!$U$6),TODAY(),IF(AH!$U$5=1,INDEX('Live History'!$G$5:$G$3004,MATCH($A2987,'Live History'!$G$5:$G$3004,1)),INDEX('AH History'!$C$5:$C$1380,$K2987))),NA()),NA())</f>
        <v/>
      </c>
      <c r="J2987" s="32">
        <f>IFERROR(IF(AND($F2987&gt;0,$H2987&gt;0,$A2987-$G2987&lt;=10,$A2987-$I2987&lt;=5,$G2987&gt;0,$I2987&gt;0),$F2987*$H2987,NA()),NA())</f>
        <v/>
      </c>
      <c r="K2987" s="15">
        <f>IF($A2987="","",IF(AH!$U$5=1,IFERROR(MATCH($A2987,'Live History'!$A$5:$A$3004,0),0),AH!$U$7+2982))</f>
        <v/>
      </c>
      <c r="L2987" s="15">
        <f>IF(ISNUMBER(A2987),TEXT(A2987,"dd-mmm-yy"),"")</f>
        <v/>
      </c>
    </row>
    <row r="2988">
      <c r="A2988" s="14">
        <f>IF(OR(AH!$U$4=0,2983+1&gt;AH!$U$6,AND(AH!$M$5="Bloomberg",AH!$U$5=0)),"",IFERROR(IF(AND(AH!$U$12=1,2983+1=AH!$U$6),TODAY(),IF(AH!$U$5=1,INDEX('Live History'!$A$5:$A$3004,AH!$U$7+2983),INDEX('AH History'!$A$5:$A$1380,AH!$U$7+2983))),""))</f>
        <v/>
      </c>
      <c r="B2988" s="33">
        <f>IFERROR(IF(AH!$U$11=1,NA(),$J2988/$E2988-1),NA())</f>
        <v/>
      </c>
      <c r="C2988" s="269">
        <f>IFERROR(100*$E2988/$E$5,NA())</f>
        <v/>
      </c>
      <c r="D2988" s="269">
        <f>IFERROR(100*$J2988/$J$5,NA())</f>
        <v/>
      </c>
      <c r="E2988" s="32">
        <f>IFERROR(IF(AND(ISNUMBER($A2988),N(IF(AND(AH!$U$12=1,2983+1=AH!$U$6),IF(AH!$U$4=0,"unavailable",INDEX('Market Data'!$AN$5:$AN$66,AH!$U$4)),IF(AH!$U$5=1,INDEX('Live History'!$B$5:$B$3004,$K2988),INDEX('AH History'!$D$5:$GG$1380,$K2988,AH!$U$10))))&gt;0),IF(AND(AH!$U$12=1,2983+1=AH!$U$6),IF(AH!$U$4=0,"unavailable",INDEX('Market Data'!$AN$5:$AN$66,AH!$U$4)),IF(AH!$U$5=1,INDEX('Live History'!$B$5:$B$3004,$K2988),INDEX('AH History'!$D$5:$GG$1380,$K2988,AH!$U$10))),NA()),NA())</f>
        <v/>
      </c>
      <c r="F2988" s="32">
        <f>IFERROR(IF(ISNUMBER($A2988),IF(AND(AH!$U$12=1,2983+1=AH!$U$6),IF(AH!$U$4=0,"unavailable",INDEX('Market Data'!$AO$5:$AO$66,AH!$U$4)),IF(AH!$U$5=1,INDEX('Live History'!$E$5:$E$3004,MATCH($A2988,'Live History'!$D$5:$D$3004,1)),INDEX('AH History'!$D$5:$GG$1380,$K2988,AH!$U$10+1))),NA()),NA())</f>
        <v/>
      </c>
      <c r="G2988" s="34">
        <f>IFERROR(IF(ISNUMBER($A2988),IF(AND(AH!$U$12=1,2983+1=AH!$U$6),IF(AH!$U$4=0,"unavailable",INDEX('Market Data'!$AK$5:$AK$66,AH!$U$4)),IF(AH!$U$5=1,INDEX('Live History'!$D$5:$D$3004,MATCH($A2988,'Live History'!$D$5:$D$3004,1)),INDEX('AH History'!$D$5:$GG$1380,$K2988,AH!$U$10+2))),NA()),NA())</f>
        <v/>
      </c>
      <c r="H2988" s="266">
        <f>IFERROR(IF(ISNUMBER($A2988),IF(AND(AH!$U$12=1,2983+1=AH!$U$6),IF(AH!$U$4=0,"unavailable",INDEX('Market Data'!$AP$5:$AP$66,AH!$U$4)),IF(AH!$U$5=1,INDEX('Live History'!$H$5:$H$3004,MATCH($A2988,'Live History'!$G$5:$G$3004,1)),INDEX('AH History'!$B$5:$B$1380,$K2988))),NA()),NA())</f>
        <v/>
      </c>
      <c r="I2988" s="34">
        <f>IFERROR(IF(ISNUMBER($A2988),IF(AND(AH!$U$12=1,2983+1=AH!$U$6),TODAY(),IF(AH!$U$5=1,INDEX('Live History'!$G$5:$G$3004,MATCH($A2988,'Live History'!$G$5:$G$3004,1)),INDEX('AH History'!$C$5:$C$1380,$K2988))),NA()),NA())</f>
        <v/>
      </c>
      <c r="J2988" s="32">
        <f>IFERROR(IF(AND($F2988&gt;0,$H2988&gt;0,$A2988-$G2988&lt;=10,$A2988-$I2988&lt;=5,$G2988&gt;0,$I2988&gt;0),$F2988*$H2988,NA()),NA())</f>
        <v/>
      </c>
      <c r="K2988" s="15">
        <f>IF($A2988="","",IF(AH!$U$5=1,IFERROR(MATCH($A2988,'Live History'!$A$5:$A$3004,0),0),AH!$U$7+2983))</f>
        <v/>
      </c>
      <c r="L2988" s="15">
        <f>IF(ISNUMBER(A2988),TEXT(A2988,"dd-mmm-yy"),"")</f>
        <v/>
      </c>
    </row>
    <row r="2989">
      <c r="A2989" s="14">
        <f>IF(OR(AH!$U$4=0,2984+1&gt;AH!$U$6,AND(AH!$M$5="Bloomberg",AH!$U$5=0)),"",IFERROR(IF(AND(AH!$U$12=1,2984+1=AH!$U$6),TODAY(),IF(AH!$U$5=1,INDEX('Live History'!$A$5:$A$3004,AH!$U$7+2984),INDEX('AH History'!$A$5:$A$1380,AH!$U$7+2984))),""))</f>
        <v/>
      </c>
      <c r="B2989" s="33">
        <f>IFERROR(IF(AH!$U$11=1,NA(),$J2989/$E2989-1),NA())</f>
        <v/>
      </c>
      <c r="C2989" s="269">
        <f>IFERROR(100*$E2989/$E$5,NA())</f>
        <v/>
      </c>
      <c r="D2989" s="269">
        <f>IFERROR(100*$J2989/$J$5,NA())</f>
        <v/>
      </c>
      <c r="E2989" s="32">
        <f>IFERROR(IF(AND(ISNUMBER($A2989),N(IF(AND(AH!$U$12=1,2984+1=AH!$U$6),IF(AH!$U$4=0,"unavailable",INDEX('Market Data'!$AN$5:$AN$66,AH!$U$4)),IF(AH!$U$5=1,INDEX('Live History'!$B$5:$B$3004,$K2989),INDEX('AH History'!$D$5:$GG$1380,$K2989,AH!$U$10))))&gt;0),IF(AND(AH!$U$12=1,2984+1=AH!$U$6),IF(AH!$U$4=0,"unavailable",INDEX('Market Data'!$AN$5:$AN$66,AH!$U$4)),IF(AH!$U$5=1,INDEX('Live History'!$B$5:$B$3004,$K2989),INDEX('AH History'!$D$5:$GG$1380,$K2989,AH!$U$10))),NA()),NA())</f>
        <v/>
      </c>
      <c r="F2989" s="32">
        <f>IFERROR(IF(ISNUMBER($A2989),IF(AND(AH!$U$12=1,2984+1=AH!$U$6),IF(AH!$U$4=0,"unavailable",INDEX('Market Data'!$AO$5:$AO$66,AH!$U$4)),IF(AH!$U$5=1,INDEX('Live History'!$E$5:$E$3004,MATCH($A2989,'Live History'!$D$5:$D$3004,1)),INDEX('AH History'!$D$5:$GG$1380,$K2989,AH!$U$10+1))),NA()),NA())</f>
        <v/>
      </c>
      <c r="G2989" s="34">
        <f>IFERROR(IF(ISNUMBER($A2989),IF(AND(AH!$U$12=1,2984+1=AH!$U$6),IF(AH!$U$4=0,"unavailable",INDEX('Market Data'!$AK$5:$AK$66,AH!$U$4)),IF(AH!$U$5=1,INDEX('Live History'!$D$5:$D$3004,MATCH($A2989,'Live History'!$D$5:$D$3004,1)),INDEX('AH History'!$D$5:$GG$1380,$K2989,AH!$U$10+2))),NA()),NA())</f>
        <v/>
      </c>
      <c r="H2989" s="266">
        <f>IFERROR(IF(ISNUMBER($A2989),IF(AND(AH!$U$12=1,2984+1=AH!$U$6),IF(AH!$U$4=0,"unavailable",INDEX('Market Data'!$AP$5:$AP$66,AH!$U$4)),IF(AH!$U$5=1,INDEX('Live History'!$H$5:$H$3004,MATCH($A2989,'Live History'!$G$5:$G$3004,1)),INDEX('AH History'!$B$5:$B$1380,$K2989))),NA()),NA())</f>
        <v/>
      </c>
      <c r="I2989" s="34">
        <f>IFERROR(IF(ISNUMBER($A2989),IF(AND(AH!$U$12=1,2984+1=AH!$U$6),TODAY(),IF(AH!$U$5=1,INDEX('Live History'!$G$5:$G$3004,MATCH($A2989,'Live History'!$G$5:$G$3004,1)),INDEX('AH History'!$C$5:$C$1380,$K2989))),NA()),NA())</f>
        <v/>
      </c>
      <c r="J2989" s="32">
        <f>IFERROR(IF(AND($F2989&gt;0,$H2989&gt;0,$A2989-$G2989&lt;=10,$A2989-$I2989&lt;=5,$G2989&gt;0,$I2989&gt;0),$F2989*$H2989,NA()),NA())</f>
        <v/>
      </c>
      <c r="K2989" s="15">
        <f>IF($A2989="","",IF(AH!$U$5=1,IFERROR(MATCH($A2989,'Live History'!$A$5:$A$3004,0),0),AH!$U$7+2984))</f>
        <v/>
      </c>
      <c r="L2989" s="15">
        <f>IF(ISNUMBER(A2989),TEXT(A2989,"dd-mmm-yy"),"")</f>
        <v/>
      </c>
    </row>
    <row r="2990">
      <c r="A2990" s="14">
        <f>IF(OR(AH!$U$4=0,2985+1&gt;AH!$U$6,AND(AH!$M$5="Bloomberg",AH!$U$5=0)),"",IFERROR(IF(AND(AH!$U$12=1,2985+1=AH!$U$6),TODAY(),IF(AH!$U$5=1,INDEX('Live History'!$A$5:$A$3004,AH!$U$7+2985),INDEX('AH History'!$A$5:$A$1380,AH!$U$7+2985))),""))</f>
        <v/>
      </c>
      <c r="B2990" s="33">
        <f>IFERROR(IF(AH!$U$11=1,NA(),$J2990/$E2990-1),NA())</f>
        <v/>
      </c>
      <c r="C2990" s="269">
        <f>IFERROR(100*$E2990/$E$5,NA())</f>
        <v/>
      </c>
      <c r="D2990" s="269">
        <f>IFERROR(100*$J2990/$J$5,NA())</f>
        <v/>
      </c>
      <c r="E2990" s="32">
        <f>IFERROR(IF(AND(ISNUMBER($A2990),N(IF(AND(AH!$U$12=1,2985+1=AH!$U$6),IF(AH!$U$4=0,"unavailable",INDEX('Market Data'!$AN$5:$AN$66,AH!$U$4)),IF(AH!$U$5=1,INDEX('Live History'!$B$5:$B$3004,$K2990),INDEX('AH History'!$D$5:$GG$1380,$K2990,AH!$U$10))))&gt;0),IF(AND(AH!$U$12=1,2985+1=AH!$U$6),IF(AH!$U$4=0,"unavailable",INDEX('Market Data'!$AN$5:$AN$66,AH!$U$4)),IF(AH!$U$5=1,INDEX('Live History'!$B$5:$B$3004,$K2990),INDEX('AH History'!$D$5:$GG$1380,$K2990,AH!$U$10))),NA()),NA())</f>
        <v/>
      </c>
      <c r="F2990" s="32">
        <f>IFERROR(IF(ISNUMBER($A2990),IF(AND(AH!$U$12=1,2985+1=AH!$U$6),IF(AH!$U$4=0,"unavailable",INDEX('Market Data'!$AO$5:$AO$66,AH!$U$4)),IF(AH!$U$5=1,INDEX('Live History'!$E$5:$E$3004,MATCH($A2990,'Live History'!$D$5:$D$3004,1)),INDEX('AH History'!$D$5:$GG$1380,$K2990,AH!$U$10+1))),NA()),NA())</f>
        <v/>
      </c>
      <c r="G2990" s="34">
        <f>IFERROR(IF(ISNUMBER($A2990),IF(AND(AH!$U$12=1,2985+1=AH!$U$6),IF(AH!$U$4=0,"unavailable",INDEX('Market Data'!$AK$5:$AK$66,AH!$U$4)),IF(AH!$U$5=1,INDEX('Live History'!$D$5:$D$3004,MATCH($A2990,'Live History'!$D$5:$D$3004,1)),INDEX('AH History'!$D$5:$GG$1380,$K2990,AH!$U$10+2))),NA()),NA())</f>
        <v/>
      </c>
      <c r="H2990" s="266">
        <f>IFERROR(IF(ISNUMBER($A2990),IF(AND(AH!$U$12=1,2985+1=AH!$U$6),IF(AH!$U$4=0,"unavailable",INDEX('Market Data'!$AP$5:$AP$66,AH!$U$4)),IF(AH!$U$5=1,INDEX('Live History'!$H$5:$H$3004,MATCH($A2990,'Live History'!$G$5:$G$3004,1)),INDEX('AH History'!$B$5:$B$1380,$K2990))),NA()),NA())</f>
        <v/>
      </c>
      <c r="I2990" s="34">
        <f>IFERROR(IF(ISNUMBER($A2990),IF(AND(AH!$U$12=1,2985+1=AH!$U$6),TODAY(),IF(AH!$U$5=1,INDEX('Live History'!$G$5:$G$3004,MATCH($A2990,'Live History'!$G$5:$G$3004,1)),INDEX('AH History'!$C$5:$C$1380,$K2990))),NA()),NA())</f>
        <v/>
      </c>
      <c r="J2990" s="32">
        <f>IFERROR(IF(AND($F2990&gt;0,$H2990&gt;0,$A2990-$G2990&lt;=10,$A2990-$I2990&lt;=5,$G2990&gt;0,$I2990&gt;0),$F2990*$H2990,NA()),NA())</f>
        <v/>
      </c>
      <c r="K2990" s="15">
        <f>IF($A2990="","",IF(AH!$U$5=1,IFERROR(MATCH($A2990,'Live History'!$A$5:$A$3004,0),0),AH!$U$7+2985))</f>
        <v/>
      </c>
      <c r="L2990" s="15">
        <f>IF(ISNUMBER(A2990),TEXT(A2990,"dd-mmm-yy"),"")</f>
        <v/>
      </c>
    </row>
    <row r="2991">
      <c r="A2991" s="14">
        <f>IF(OR(AH!$U$4=0,2986+1&gt;AH!$U$6,AND(AH!$M$5="Bloomberg",AH!$U$5=0)),"",IFERROR(IF(AND(AH!$U$12=1,2986+1=AH!$U$6),TODAY(),IF(AH!$U$5=1,INDEX('Live History'!$A$5:$A$3004,AH!$U$7+2986),INDEX('AH History'!$A$5:$A$1380,AH!$U$7+2986))),""))</f>
        <v/>
      </c>
      <c r="B2991" s="33">
        <f>IFERROR(IF(AH!$U$11=1,NA(),$J2991/$E2991-1),NA())</f>
        <v/>
      </c>
      <c r="C2991" s="269">
        <f>IFERROR(100*$E2991/$E$5,NA())</f>
        <v/>
      </c>
      <c r="D2991" s="269">
        <f>IFERROR(100*$J2991/$J$5,NA())</f>
        <v/>
      </c>
      <c r="E2991" s="32">
        <f>IFERROR(IF(AND(ISNUMBER($A2991),N(IF(AND(AH!$U$12=1,2986+1=AH!$U$6),IF(AH!$U$4=0,"unavailable",INDEX('Market Data'!$AN$5:$AN$66,AH!$U$4)),IF(AH!$U$5=1,INDEX('Live History'!$B$5:$B$3004,$K2991),INDEX('AH History'!$D$5:$GG$1380,$K2991,AH!$U$10))))&gt;0),IF(AND(AH!$U$12=1,2986+1=AH!$U$6),IF(AH!$U$4=0,"unavailable",INDEX('Market Data'!$AN$5:$AN$66,AH!$U$4)),IF(AH!$U$5=1,INDEX('Live History'!$B$5:$B$3004,$K2991),INDEX('AH History'!$D$5:$GG$1380,$K2991,AH!$U$10))),NA()),NA())</f>
        <v/>
      </c>
      <c r="F2991" s="32">
        <f>IFERROR(IF(ISNUMBER($A2991),IF(AND(AH!$U$12=1,2986+1=AH!$U$6),IF(AH!$U$4=0,"unavailable",INDEX('Market Data'!$AO$5:$AO$66,AH!$U$4)),IF(AH!$U$5=1,INDEX('Live History'!$E$5:$E$3004,MATCH($A2991,'Live History'!$D$5:$D$3004,1)),INDEX('AH History'!$D$5:$GG$1380,$K2991,AH!$U$10+1))),NA()),NA())</f>
        <v/>
      </c>
      <c r="G2991" s="34">
        <f>IFERROR(IF(ISNUMBER($A2991),IF(AND(AH!$U$12=1,2986+1=AH!$U$6),IF(AH!$U$4=0,"unavailable",INDEX('Market Data'!$AK$5:$AK$66,AH!$U$4)),IF(AH!$U$5=1,INDEX('Live History'!$D$5:$D$3004,MATCH($A2991,'Live History'!$D$5:$D$3004,1)),INDEX('AH History'!$D$5:$GG$1380,$K2991,AH!$U$10+2))),NA()),NA())</f>
        <v/>
      </c>
      <c r="H2991" s="266">
        <f>IFERROR(IF(ISNUMBER($A2991),IF(AND(AH!$U$12=1,2986+1=AH!$U$6),IF(AH!$U$4=0,"unavailable",INDEX('Market Data'!$AP$5:$AP$66,AH!$U$4)),IF(AH!$U$5=1,INDEX('Live History'!$H$5:$H$3004,MATCH($A2991,'Live History'!$G$5:$G$3004,1)),INDEX('AH History'!$B$5:$B$1380,$K2991))),NA()),NA())</f>
        <v/>
      </c>
      <c r="I2991" s="34">
        <f>IFERROR(IF(ISNUMBER($A2991),IF(AND(AH!$U$12=1,2986+1=AH!$U$6),TODAY(),IF(AH!$U$5=1,INDEX('Live History'!$G$5:$G$3004,MATCH($A2991,'Live History'!$G$5:$G$3004,1)),INDEX('AH History'!$C$5:$C$1380,$K2991))),NA()),NA())</f>
        <v/>
      </c>
      <c r="J2991" s="32">
        <f>IFERROR(IF(AND($F2991&gt;0,$H2991&gt;0,$A2991-$G2991&lt;=10,$A2991-$I2991&lt;=5,$G2991&gt;0,$I2991&gt;0),$F2991*$H2991,NA()),NA())</f>
        <v/>
      </c>
      <c r="K2991" s="15">
        <f>IF($A2991="","",IF(AH!$U$5=1,IFERROR(MATCH($A2991,'Live History'!$A$5:$A$3004,0),0),AH!$U$7+2986))</f>
        <v/>
      </c>
      <c r="L2991" s="15">
        <f>IF(ISNUMBER(A2991),TEXT(A2991,"dd-mmm-yy"),"")</f>
        <v/>
      </c>
    </row>
    <row r="2992">
      <c r="A2992" s="14">
        <f>IF(OR(AH!$U$4=0,2987+1&gt;AH!$U$6,AND(AH!$M$5="Bloomberg",AH!$U$5=0)),"",IFERROR(IF(AND(AH!$U$12=1,2987+1=AH!$U$6),TODAY(),IF(AH!$U$5=1,INDEX('Live History'!$A$5:$A$3004,AH!$U$7+2987),INDEX('AH History'!$A$5:$A$1380,AH!$U$7+2987))),""))</f>
        <v/>
      </c>
      <c r="B2992" s="33">
        <f>IFERROR(IF(AH!$U$11=1,NA(),$J2992/$E2992-1),NA())</f>
        <v/>
      </c>
      <c r="C2992" s="269">
        <f>IFERROR(100*$E2992/$E$5,NA())</f>
        <v/>
      </c>
      <c r="D2992" s="269">
        <f>IFERROR(100*$J2992/$J$5,NA())</f>
        <v/>
      </c>
      <c r="E2992" s="32">
        <f>IFERROR(IF(AND(ISNUMBER($A2992),N(IF(AND(AH!$U$12=1,2987+1=AH!$U$6),IF(AH!$U$4=0,"unavailable",INDEX('Market Data'!$AN$5:$AN$66,AH!$U$4)),IF(AH!$U$5=1,INDEX('Live History'!$B$5:$B$3004,$K2992),INDEX('AH History'!$D$5:$GG$1380,$K2992,AH!$U$10))))&gt;0),IF(AND(AH!$U$12=1,2987+1=AH!$U$6),IF(AH!$U$4=0,"unavailable",INDEX('Market Data'!$AN$5:$AN$66,AH!$U$4)),IF(AH!$U$5=1,INDEX('Live History'!$B$5:$B$3004,$K2992),INDEX('AH History'!$D$5:$GG$1380,$K2992,AH!$U$10))),NA()),NA())</f>
        <v/>
      </c>
      <c r="F2992" s="32">
        <f>IFERROR(IF(ISNUMBER($A2992),IF(AND(AH!$U$12=1,2987+1=AH!$U$6),IF(AH!$U$4=0,"unavailable",INDEX('Market Data'!$AO$5:$AO$66,AH!$U$4)),IF(AH!$U$5=1,INDEX('Live History'!$E$5:$E$3004,MATCH($A2992,'Live History'!$D$5:$D$3004,1)),INDEX('AH History'!$D$5:$GG$1380,$K2992,AH!$U$10+1))),NA()),NA())</f>
        <v/>
      </c>
      <c r="G2992" s="34">
        <f>IFERROR(IF(ISNUMBER($A2992),IF(AND(AH!$U$12=1,2987+1=AH!$U$6),IF(AH!$U$4=0,"unavailable",INDEX('Market Data'!$AK$5:$AK$66,AH!$U$4)),IF(AH!$U$5=1,INDEX('Live History'!$D$5:$D$3004,MATCH($A2992,'Live History'!$D$5:$D$3004,1)),INDEX('AH History'!$D$5:$GG$1380,$K2992,AH!$U$10+2))),NA()),NA())</f>
        <v/>
      </c>
      <c r="H2992" s="266">
        <f>IFERROR(IF(ISNUMBER($A2992),IF(AND(AH!$U$12=1,2987+1=AH!$U$6),IF(AH!$U$4=0,"unavailable",INDEX('Market Data'!$AP$5:$AP$66,AH!$U$4)),IF(AH!$U$5=1,INDEX('Live History'!$H$5:$H$3004,MATCH($A2992,'Live History'!$G$5:$G$3004,1)),INDEX('AH History'!$B$5:$B$1380,$K2992))),NA()),NA())</f>
        <v/>
      </c>
      <c r="I2992" s="34">
        <f>IFERROR(IF(ISNUMBER($A2992),IF(AND(AH!$U$12=1,2987+1=AH!$U$6),TODAY(),IF(AH!$U$5=1,INDEX('Live History'!$G$5:$G$3004,MATCH($A2992,'Live History'!$G$5:$G$3004,1)),INDEX('AH History'!$C$5:$C$1380,$K2992))),NA()),NA())</f>
        <v/>
      </c>
      <c r="J2992" s="32">
        <f>IFERROR(IF(AND($F2992&gt;0,$H2992&gt;0,$A2992-$G2992&lt;=10,$A2992-$I2992&lt;=5,$G2992&gt;0,$I2992&gt;0),$F2992*$H2992,NA()),NA())</f>
        <v/>
      </c>
      <c r="K2992" s="15">
        <f>IF($A2992="","",IF(AH!$U$5=1,IFERROR(MATCH($A2992,'Live History'!$A$5:$A$3004,0),0),AH!$U$7+2987))</f>
        <v/>
      </c>
      <c r="L2992" s="15">
        <f>IF(ISNUMBER(A2992),TEXT(A2992,"dd-mmm-yy"),"")</f>
        <v/>
      </c>
    </row>
    <row r="2993">
      <c r="A2993" s="14">
        <f>IF(OR(AH!$U$4=0,2988+1&gt;AH!$U$6,AND(AH!$M$5="Bloomberg",AH!$U$5=0)),"",IFERROR(IF(AND(AH!$U$12=1,2988+1=AH!$U$6),TODAY(),IF(AH!$U$5=1,INDEX('Live History'!$A$5:$A$3004,AH!$U$7+2988),INDEX('AH History'!$A$5:$A$1380,AH!$U$7+2988))),""))</f>
        <v/>
      </c>
      <c r="B2993" s="33">
        <f>IFERROR(IF(AH!$U$11=1,NA(),$J2993/$E2993-1),NA())</f>
        <v/>
      </c>
      <c r="C2993" s="269">
        <f>IFERROR(100*$E2993/$E$5,NA())</f>
        <v/>
      </c>
      <c r="D2993" s="269">
        <f>IFERROR(100*$J2993/$J$5,NA())</f>
        <v/>
      </c>
      <c r="E2993" s="32">
        <f>IFERROR(IF(AND(ISNUMBER($A2993),N(IF(AND(AH!$U$12=1,2988+1=AH!$U$6),IF(AH!$U$4=0,"unavailable",INDEX('Market Data'!$AN$5:$AN$66,AH!$U$4)),IF(AH!$U$5=1,INDEX('Live History'!$B$5:$B$3004,$K2993),INDEX('AH History'!$D$5:$GG$1380,$K2993,AH!$U$10))))&gt;0),IF(AND(AH!$U$12=1,2988+1=AH!$U$6),IF(AH!$U$4=0,"unavailable",INDEX('Market Data'!$AN$5:$AN$66,AH!$U$4)),IF(AH!$U$5=1,INDEX('Live History'!$B$5:$B$3004,$K2993),INDEX('AH History'!$D$5:$GG$1380,$K2993,AH!$U$10))),NA()),NA())</f>
        <v/>
      </c>
      <c r="F2993" s="32">
        <f>IFERROR(IF(ISNUMBER($A2993),IF(AND(AH!$U$12=1,2988+1=AH!$U$6),IF(AH!$U$4=0,"unavailable",INDEX('Market Data'!$AO$5:$AO$66,AH!$U$4)),IF(AH!$U$5=1,INDEX('Live History'!$E$5:$E$3004,MATCH($A2993,'Live History'!$D$5:$D$3004,1)),INDEX('AH History'!$D$5:$GG$1380,$K2993,AH!$U$10+1))),NA()),NA())</f>
        <v/>
      </c>
      <c r="G2993" s="34">
        <f>IFERROR(IF(ISNUMBER($A2993),IF(AND(AH!$U$12=1,2988+1=AH!$U$6),IF(AH!$U$4=0,"unavailable",INDEX('Market Data'!$AK$5:$AK$66,AH!$U$4)),IF(AH!$U$5=1,INDEX('Live History'!$D$5:$D$3004,MATCH($A2993,'Live History'!$D$5:$D$3004,1)),INDEX('AH History'!$D$5:$GG$1380,$K2993,AH!$U$10+2))),NA()),NA())</f>
        <v/>
      </c>
      <c r="H2993" s="266">
        <f>IFERROR(IF(ISNUMBER($A2993),IF(AND(AH!$U$12=1,2988+1=AH!$U$6),IF(AH!$U$4=0,"unavailable",INDEX('Market Data'!$AP$5:$AP$66,AH!$U$4)),IF(AH!$U$5=1,INDEX('Live History'!$H$5:$H$3004,MATCH($A2993,'Live History'!$G$5:$G$3004,1)),INDEX('AH History'!$B$5:$B$1380,$K2993))),NA()),NA())</f>
        <v/>
      </c>
      <c r="I2993" s="34">
        <f>IFERROR(IF(ISNUMBER($A2993),IF(AND(AH!$U$12=1,2988+1=AH!$U$6),TODAY(),IF(AH!$U$5=1,INDEX('Live History'!$G$5:$G$3004,MATCH($A2993,'Live History'!$G$5:$G$3004,1)),INDEX('AH History'!$C$5:$C$1380,$K2993))),NA()),NA())</f>
        <v/>
      </c>
      <c r="J2993" s="32">
        <f>IFERROR(IF(AND($F2993&gt;0,$H2993&gt;0,$A2993-$G2993&lt;=10,$A2993-$I2993&lt;=5,$G2993&gt;0,$I2993&gt;0),$F2993*$H2993,NA()),NA())</f>
        <v/>
      </c>
      <c r="K2993" s="15">
        <f>IF($A2993="","",IF(AH!$U$5=1,IFERROR(MATCH($A2993,'Live History'!$A$5:$A$3004,0),0),AH!$U$7+2988))</f>
        <v/>
      </c>
      <c r="L2993" s="15">
        <f>IF(ISNUMBER(A2993),TEXT(A2993,"dd-mmm-yy"),"")</f>
        <v/>
      </c>
    </row>
    <row r="2994">
      <c r="A2994" s="14">
        <f>IF(OR(AH!$U$4=0,2989+1&gt;AH!$U$6,AND(AH!$M$5="Bloomberg",AH!$U$5=0)),"",IFERROR(IF(AND(AH!$U$12=1,2989+1=AH!$U$6),TODAY(),IF(AH!$U$5=1,INDEX('Live History'!$A$5:$A$3004,AH!$U$7+2989),INDEX('AH History'!$A$5:$A$1380,AH!$U$7+2989))),""))</f>
        <v/>
      </c>
      <c r="B2994" s="33">
        <f>IFERROR(IF(AH!$U$11=1,NA(),$J2994/$E2994-1),NA())</f>
        <v/>
      </c>
      <c r="C2994" s="269">
        <f>IFERROR(100*$E2994/$E$5,NA())</f>
        <v/>
      </c>
      <c r="D2994" s="269">
        <f>IFERROR(100*$J2994/$J$5,NA())</f>
        <v/>
      </c>
      <c r="E2994" s="32">
        <f>IFERROR(IF(AND(ISNUMBER($A2994),N(IF(AND(AH!$U$12=1,2989+1=AH!$U$6),IF(AH!$U$4=0,"unavailable",INDEX('Market Data'!$AN$5:$AN$66,AH!$U$4)),IF(AH!$U$5=1,INDEX('Live History'!$B$5:$B$3004,$K2994),INDEX('AH History'!$D$5:$GG$1380,$K2994,AH!$U$10))))&gt;0),IF(AND(AH!$U$12=1,2989+1=AH!$U$6),IF(AH!$U$4=0,"unavailable",INDEX('Market Data'!$AN$5:$AN$66,AH!$U$4)),IF(AH!$U$5=1,INDEX('Live History'!$B$5:$B$3004,$K2994),INDEX('AH History'!$D$5:$GG$1380,$K2994,AH!$U$10))),NA()),NA())</f>
        <v/>
      </c>
      <c r="F2994" s="32">
        <f>IFERROR(IF(ISNUMBER($A2994),IF(AND(AH!$U$12=1,2989+1=AH!$U$6),IF(AH!$U$4=0,"unavailable",INDEX('Market Data'!$AO$5:$AO$66,AH!$U$4)),IF(AH!$U$5=1,INDEX('Live History'!$E$5:$E$3004,MATCH($A2994,'Live History'!$D$5:$D$3004,1)),INDEX('AH History'!$D$5:$GG$1380,$K2994,AH!$U$10+1))),NA()),NA())</f>
        <v/>
      </c>
      <c r="G2994" s="34">
        <f>IFERROR(IF(ISNUMBER($A2994),IF(AND(AH!$U$12=1,2989+1=AH!$U$6),IF(AH!$U$4=0,"unavailable",INDEX('Market Data'!$AK$5:$AK$66,AH!$U$4)),IF(AH!$U$5=1,INDEX('Live History'!$D$5:$D$3004,MATCH($A2994,'Live History'!$D$5:$D$3004,1)),INDEX('AH History'!$D$5:$GG$1380,$K2994,AH!$U$10+2))),NA()),NA())</f>
        <v/>
      </c>
      <c r="H2994" s="266">
        <f>IFERROR(IF(ISNUMBER($A2994),IF(AND(AH!$U$12=1,2989+1=AH!$U$6),IF(AH!$U$4=0,"unavailable",INDEX('Market Data'!$AP$5:$AP$66,AH!$U$4)),IF(AH!$U$5=1,INDEX('Live History'!$H$5:$H$3004,MATCH($A2994,'Live History'!$G$5:$G$3004,1)),INDEX('AH History'!$B$5:$B$1380,$K2994))),NA()),NA())</f>
        <v/>
      </c>
      <c r="I2994" s="34">
        <f>IFERROR(IF(ISNUMBER($A2994),IF(AND(AH!$U$12=1,2989+1=AH!$U$6),TODAY(),IF(AH!$U$5=1,INDEX('Live History'!$G$5:$G$3004,MATCH($A2994,'Live History'!$G$5:$G$3004,1)),INDEX('AH History'!$C$5:$C$1380,$K2994))),NA()),NA())</f>
        <v/>
      </c>
      <c r="J2994" s="32">
        <f>IFERROR(IF(AND($F2994&gt;0,$H2994&gt;0,$A2994-$G2994&lt;=10,$A2994-$I2994&lt;=5,$G2994&gt;0,$I2994&gt;0),$F2994*$H2994,NA()),NA())</f>
        <v/>
      </c>
      <c r="K2994" s="15">
        <f>IF($A2994="","",IF(AH!$U$5=1,IFERROR(MATCH($A2994,'Live History'!$A$5:$A$3004,0),0),AH!$U$7+2989))</f>
        <v/>
      </c>
      <c r="L2994" s="15">
        <f>IF(ISNUMBER(A2994),TEXT(A2994,"dd-mmm-yy"),"")</f>
        <v/>
      </c>
    </row>
    <row r="2995">
      <c r="A2995" s="14">
        <f>IF(OR(AH!$U$4=0,2990+1&gt;AH!$U$6,AND(AH!$M$5="Bloomberg",AH!$U$5=0)),"",IFERROR(IF(AND(AH!$U$12=1,2990+1=AH!$U$6),TODAY(),IF(AH!$U$5=1,INDEX('Live History'!$A$5:$A$3004,AH!$U$7+2990),INDEX('AH History'!$A$5:$A$1380,AH!$U$7+2990))),""))</f>
        <v/>
      </c>
      <c r="B2995" s="33">
        <f>IFERROR(IF(AH!$U$11=1,NA(),$J2995/$E2995-1),NA())</f>
        <v/>
      </c>
      <c r="C2995" s="269">
        <f>IFERROR(100*$E2995/$E$5,NA())</f>
        <v/>
      </c>
      <c r="D2995" s="269">
        <f>IFERROR(100*$J2995/$J$5,NA())</f>
        <v/>
      </c>
      <c r="E2995" s="32">
        <f>IFERROR(IF(AND(ISNUMBER($A2995),N(IF(AND(AH!$U$12=1,2990+1=AH!$U$6),IF(AH!$U$4=0,"unavailable",INDEX('Market Data'!$AN$5:$AN$66,AH!$U$4)),IF(AH!$U$5=1,INDEX('Live History'!$B$5:$B$3004,$K2995),INDEX('AH History'!$D$5:$GG$1380,$K2995,AH!$U$10))))&gt;0),IF(AND(AH!$U$12=1,2990+1=AH!$U$6),IF(AH!$U$4=0,"unavailable",INDEX('Market Data'!$AN$5:$AN$66,AH!$U$4)),IF(AH!$U$5=1,INDEX('Live History'!$B$5:$B$3004,$K2995),INDEX('AH History'!$D$5:$GG$1380,$K2995,AH!$U$10))),NA()),NA())</f>
        <v/>
      </c>
      <c r="F2995" s="32">
        <f>IFERROR(IF(ISNUMBER($A2995),IF(AND(AH!$U$12=1,2990+1=AH!$U$6),IF(AH!$U$4=0,"unavailable",INDEX('Market Data'!$AO$5:$AO$66,AH!$U$4)),IF(AH!$U$5=1,INDEX('Live History'!$E$5:$E$3004,MATCH($A2995,'Live History'!$D$5:$D$3004,1)),INDEX('AH History'!$D$5:$GG$1380,$K2995,AH!$U$10+1))),NA()),NA())</f>
        <v/>
      </c>
      <c r="G2995" s="34">
        <f>IFERROR(IF(ISNUMBER($A2995),IF(AND(AH!$U$12=1,2990+1=AH!$U$6),IF(AH!$U$4=0,"unavailable",INDEX('Market Data'!$AK$5:$AK$66,AH!$U$4)),IF(AH!$U$5=1,INDEX('Live History'!$D$5:$D$3004,MATCH($A2995,'Live History'!$D$5:$D$3004,1)),INDEX('AH History'!$D$5:$GG$1380,$K2995,AH!$U$10+2))),NA()),NA())</f>
        <v/>
      </c>
      <c r="H2995" s="266">
        <f>IFERROR(IF(ISNUMBER($A2995),IF(AND(AH!$U$12=1,2990+1=AH!$U$6),IF(AH!$U$4=0,"unavailable",INDEX('Market Data'!$AP$5:$AP$66,AH!$U$4)),IF(AH!$U$5=1,INDEX('Live History'!$H$5:$H$3004,MATCH($A2995,'Live History'!$G$5:$G$3004,1)),INDEX('AH History'!$B$5:$B$1380,$K2995))),NA()),NA())</f>
        <v/>
      </c>
      <c r="I2995" s="34">
        <f>IFERROR(IF(ISNUMBER($A2995),IF(AND(AH!$U$12=1,2990+1=AH!$U$6),TODAY(),IF(AH!$U$5=1,INDEX('Live History'!$G$5:$G$3004,MATCH($A2995,'Live History'!$G$5:$G$3004,1)),INDEX('AH History'!$C$5:$C$1380,$K2995))),NA()),NA())</f>
        <v/>
      </c>
      <c r="J2995" s="32">
        <f>IFERROR(IF(AND($F2995&gt;0,$H2995&gt;0,$A2995-$G2995&lt;=10,$A2995-$I2995&lt;=5,$G2995&gt;0,$I2995&gt;0),$F2995*$H2995,NA()),NA())</f>
        <v/>
      </c>
      <c r="K2995" s="15">
        <f>IF($A2995="","",IF(AH!$U$5=1,IFERROR(MATCH($A2995,'Live History'!$A$5:$A$3004,0),0),AH!$U$7+2990))</f>
        <v/>
      </c>
      <c r="L2995" s="15">
        <f>IF(ISNUMBER(A2995),TEXT(A2995,"dd-mmm-yy"),"")</f>
        <v/>
      </c>
    </row>
    <row r="2996">
      <c r="A2996" s="14">
        <f>IF(OR(AH!$U$4=0,2991+1&gt;AH!$U$6,AND(AH!$M$5="Bloomberg",AH!$U$5=0)),"",IFERROR(IF(AND(AH!$U$12=1,2991+1=AH!$U$6),TODAY(),IF(AH!$U$5=1,INDEX('Live History'!$A$5:$A$3004,AH!$U$7+2991),INDEX('AH History'!$A$5:$A$1380,AH!$U$7+2991))),""))</f>
        <v/>
      </c>
      <c r="B2996" s="33">
        <f>IFERROR(IF(AH!$U$11=1,NA(),$J2996/$E2996-1),NA())</f>
        <v/>
      </c>
      <c r="C2996" s="269">
        <f>IFERROR(100*$E2996/$E$5,NA())</f>
        <v/>
      </c>
      <c r="D2996" s="269">
        <f>IFERROR(100*$J2996/$J$5,NA())</f>
        <v/>
      </c>
      <c r="E2996" s="32">
        <f>IFERROR(IF(AND(ISNUMBER($A2996),N(IF(AND(AH!$U$12=1,2991+1=AH!$U$6),IF(AH!$U$4=0,"unavailable",INDEX('Market Data'!$AN$5:$AN$66,AH!$U$4)),IF(AH!$U$5=1,INDEX('Live History'!$B$5:$B$3004,$K2996),INDEX('AH History'!$D$5:$GG$1380,$K2996,AH!$U$10))))&gt;0),IF(AND(AH!$U$12=1,2991+1=AH!$U$6),IF(AH!$U$4=0,"unavailable",INDEX('Market Data'!$AN$5:$AN$66,AH!$U$4)),IF(AH!$U$5=1,INDEX('Live History'!$B$5:$B$3004,$K2996),INDEX('AH History'!$D$5:$GG$1380,$K2996,AH!$U$10))),NA()),NA())</f>
        <v/>
      </c>
      <c r="F2996" s="32">
        <f>IFERROR(IF(ISNUMBER($A2996),IF(AND(AH!$U$12=1,2991+1=AH!$U$6),IF(AH!$U$4=0,"unavailable",INDEX('Market Data'!$AO$5:$AO$66,AH!$U$4)),IF(AH!$U$5=1,INDEX('Live History'!$E$5:$E$3004,MATCH($A2996,'Live History'!$D$5:$D$3004,1)),INDEX('AH History'!$D$5:$GG$1380,$K2996,AH!$U$10+1))),NA()),NA())</f>
        <v/>
      </c>
      <c r="G2996" s="34">
        <f>IFERROR(IF(ISNUMBER($A2996),IF(AND(AH!$U$12=1,2991+1=AH!$U$6),IF(AH!$U$4=0,"unavailable",INDEX('Market Data'!$AK$5:$AK$66,AH!$U$4)),IF(AH!$U$5=1,INDEX('Live History'!$D$5:$D$3004,MATCH($A2996,'Live History'!$D$5:$D$3004,1)),INDEX('AH History'!$D$5:$GG$1380,$K2996,AH!$U$10+2))),NA()),NA())</f>
        <v/>
      </c>
      <c r="H2996" s="266">
        <f>IFERROR(IF(ISNUMBER($A2996),IF(AND(AH!$U$12=1,2991+1=AH!$U$6),IF(AH!$U$4=0,"unavailable",INDEX('Market Data'!$AP$5:$AP$66,AH!$U$4)),IF(AH!$U$5=1,INDEX('Live History'!$H$5:$H$3004,MATCH($A2996,'Live History'!$G$5:$G$3004,1)),INDEX('AH History'!$B$5:$B$1380,$K2996))),NA()),NA())</f>
        <v/>
      </c>
      <c r="I2996" s="34">
        <f>IFERROR(IF(ISNUMBER($A2996),IF(AND(AH!$U$12=1,2991+1=AH!$U$6),TODAY(),IF(AH!$U$5=1,INDEX('Live History'!$G$5:$G$3004,MATCH($A2996,'Live History'!$G$5:$G$3004,1)),INDEX('AH History'!$C$5:$C$1380,$K2996))),NA()),NA())</f>
        <v/>
      </c>
      <c r="J2996" s="32">
        <f>IFERROR(IF(AND($F2996&gt;0,$H2996&gt;0,$A2996-$G2996&lt;=10,$A2996-$I2996&lt;=5,$G2996&gt;0,$I2996&gt;0),$F2996*$H2996,NA()),NA())</f>
        <v/>
      </c>
      <c r="K2996" s="15">
        <f>IF($A2996="","",IF(AH!$U$5=1,IFERROR(MATCH($A2996,'Live History'!$A$5:$A$3004,0),0),AH!$U$7+2991))</f>
        <v/>
      </c>
      <c r="L2996" s="15">
        <f>IF(ISNUMBER(A2996),TEXT(A2996,"dd-mmm-yy"),"")</f>
        <v/>
      </c>
    </row>
    <row r="2997">
      <c r="A2997" s="14">
        <f>IF(OR(AH!$U$4=0,2992+1&gt;AH!$U$6,AND(AH!$M$5="Bloomberg",AH!$U$5=0)),"",IFERROR(IF(AND(AH!$U$12=1,2992+1=AH!$U$6),TODAY(),IF(AH!$U$5=1,INDEX('Live History'!$A$5:$A$3004,AH!$U$7+2992),INDEX('AH History'!$A$5:$A$1380,AH!$U$7+2992))),""))</f>
        <v/>
      </c>
      <c r="B2997" s="33">
        <f>IFERROR(IF(AH!$U$11=1,NA(),$J2997/$E2997-1),NA())</f>
        <v/>
      </c>
      <c r="C2997" s="269">
        <f>IFERROR(100*$E2997/$E$5,NA())</f>
        <v/>
      </c>
      <c r="D2997" s="269">
        <f>IFERROR(100*$J2997/$J$5,NA())</f>
        <v/>
      </c>
      <c r="E2997" s="32">
        <f>IFERROR(IF(AND(ISNUMBER($A2997),N(IF(AND(AH!$U$12=1,2992+1=AH!$U$6),IF(AH!$U$4=0,"unavailable",INDEX('Market Data'!$AN$5:$AN$66,AH!$U$4)),IF(AH!$U$5=1,INDEX('Live History'!$B$5:$B$3004,$K2997),INDEX('AH History'!$D$5:$GG$1380,$K2997,AH!$U$10))))&gt;0),IF(AND(AH!$U$12=1,2992+1=AH!$U$6),IF(AH!$U$4=0,"unavailable",INDEX('Market Data'!$AN$5:$AN$66,AH!$U$4)),IF(AH!$U$5=1,INDEX('Live History'!$B$5:$B$3004,$K2997),INDEX('AH History'!$D$5:$GG$1380,$K2997,AH!$U$10))),NA()),NA())</f>
        <v/>
      </c>
      <c r="F2997" s="32">
        <f>IFERROR(IF(ISNUMBER($A2997),IF(AND(AH!$U$12=1,2992+1=AH!$U$6),IF(AH!$U$4=0,"unavailable",INDEX('Market Data'!$AO$5:$AO$66,AH!$U$4)),IF(AH!$U$5=1,INDEX('Live History'!$E$5:$E$3004,MATCH($A2997,'Live History'!$D$5:$D$3004,1)),INDEX('AH History'!$D$5:$GG$1380,$K2997,AH!$U$10+1))),NA()),NA())</f>
        <v/>
      </c>
      <c r="G2997" s="34">
        <f>IFERROR(IF(ISNUMBER($A2997),IF(AND(AH!$U$12=1,2992+1=AH!$U$6),IF(AH!$U$4=0,"unavailable",INDEX('Market Data'!$AK$5:$AK$66,AH!$U$4)),IF(AH!$U$5=1,INDEX('Live History'!$D$5:$D$3004,MATCH($A2997,'Live History'!$D$5:$D$3004,1)),INDEX('AH History'!$D$5:$GG$1380,$K2997,AH!$U$10+2))),NA()),NA())</f>
        <v/>
      </c>
      <c r="H2997" s="266">
        <f>IFERROR(IF(ISNUMBER($A2997),IF(AND(AH!$U$12=1,2992+1=AH!$U$6),IF(AH!$U$4=0,"unavailable",INDEX('Market Data'!$AP$5:$AP$66,AH!$U$4)),IF(AH!$U$5=1,INDEX('Live History'!$H$5:$H$3004,MATCH($A2997,'Live History'!$G$5:$G$3004,1)),INDEX('AH History'!$B$5:$B$1380,$K2997))),NA()),NA())</f>
        <v/>
      </c>
      <c r="I2997" s="34">
        <f>IFERROR(IF(ISNUMBER($A2997),IF(AND(AH!$U$12=1,2992+1=AH!$U$6),TODAY(),IF(AH!$U$5=1,INDEX('Live History'!$G$5:$G$3004,MATCH($A2997,'Live History'!$G$5:$G$3004,1)),INDEX('AH History'!$C$5:$C$1380,$K2997))),NA()),NA())</f>
        <v/>
      </c>
      <c r="J2997" s="32">
        <f>IFERROR(IF(AND($F2997&gt;0,$H2997&gt;0,$A2997-$G2997&lt;=10,$A2997-$I2997&lt;=5,$G2997&gt;0,$I2997&gt;0),$F2997*$H2997,NA()),NA())</f>
        <v/>
      </c>
      <c r="K2997" s="15">
        <f>IF($A2997="","",IF(AH!$U$5=1,IFERROR(MATCH($A2997,'Live History'!$A$5:$A$3004,0),0),AH!$U$7+2992))</f>
        <v/>
      </c>
      <c r="L2997" s="15">
        <f>IF(ISNUMBER(A2997),TEXT(A2997,"dd-mmm-yy"),"")</f>
        <v/>
      </c>
    </row>
    <row r="2998">
      <c r="A2998" s="14">
        <f>IF(OR(AH!$U$4=0,2993+1&gt;AH!$U$6,AND(AH!$M$5="Bloomberg",AH!$U$5=0)),"",IFERROR(IF(AND(AH!$U$12=1,2993+1=AH!$U$6),TODAY(),IF(AH!$U$5=1,INDEX('Live History'!$A$5:$A$3004,AH!$U$7+2993),INDEX('AH History'!$A$5:$A$1380,AH!$U$7+2993))),""))</f>
        <v/>
      </c>
      <c r="B2998" s="33">
        <f>IFERROR(IF(AH!$U$11=1,NA(),$J2998/$E2998-1),NA())</f>
        <v/>
      </c>
      <c r="C2998" s="269">
        <f>IFERROR(100*$E2998/$E$5,NA())</f>
        <v/>
      </c>
      <c r="D2998" s="269">
        <f>IFERROR(100*$J2998/$J$5,NA())</f>
        <v/>
      </c>
      <c r="E2998" s="32">
        <f>IFERROR(IF(AND(ISNUMBER($A2998),N(IF(AND(AH!$U$12=1,2993+1=AH!$U$6),IF(AH!$U$4=0,"unavailable",INDEX('Market Data'!$AN$5:$AN$66,AH!$U$4)),IF(AH!$U$5=1,INDEX('Live History'!$B$5:$B$3004,$K2998),INDEX('AH History'!$D$5:$GG$1380,$K2998,AH!$U$10))))&gt;0),IF(AND(AH!$U$12=1,2993+1=AH!$U$6),IF(AH!$U$4=0,"unavailable",INDEX('Market Data'!$AN$5:$AN$66,AH!$U$4)),IF(AH!$U$5=1,INDEX('Live History'!$B$5:$B$3004,$K2998),INDEX('AH History'!$D$5:$GG$1380,$K2998,AH!$U$10))),NA()),NA())</f>
        <v/>
      </c>
      <c r="F2998" s="32">
        <f>IFERROR(IF(ISNUMBER($A2998),IF(AND(AH!$U$12=1,2993+1=AH!$U$6),IF(AH!$U$4=0,"unavailable",INDEX('Market Data'!$AO$5:$AO$66,AH!$U$4)),IF(AH!$U$5=1,INDEX('Live History'!$E$5:$E$3004,MATCH($A2998,'Live History'!$D$5:$D$3004,1)),INDEX('AH History'!$D$5:$GG$1380,$K2998,AH!$U$10+1))),NA()),NA())</f>
        <v/>
      </c>
      <c r="G2998" s="34">
        <f>IFERROR(IF(ISNUMBER($A2998),IF(AND(AH!$U$12=1,2993+1=AH!$U$6),IF(AH!$U$4=0,"unavailable",INDEX('Market Data'!$AK$5:$AK$66,AH!$U$4)),IF(AH!$U$5=1,INDEX('Live History'!$D$5:$D$3004,MATCH($A2998,'Live History'!$D$5:$D$3004,1)),INDEX('AH History'!$D$5:$GG$1380,$K2998,AH!$U$10+2))),NA()),NA())</f>
        <v/>
      </c>
      <c r="H2998" s="266">
        <f>IFERROR(IF(ISNUMBER($A2998),IF(AND(AH!$U$12=1,2993+1=AH!$U$6),IF(AH!$U$4=0,"unavailable",INDEX('Market Data'!$AP$5:$AP$66,AH!$U$4)),IF(AH!$U$5=1,INDEX('Live History'!$H$5:$H$3004,MATCH($A2998,'Live History'!$G$5:$G$3004,1)),INDEX('AH History'!$B$5:$B$1380,$K2998))),NA()),NA())</f>
        <v/>
      </c>
      <c r="I2998" s="34">
        <f>IFERROR(IF(ISNUMBER($A2998),IF(AND(AH!$U$12=1,2993+1=AH!$U$6),TODAY(),IF(AH!$U$5=1,INDEX('Live History'!$G$5:$G$3004,MATCH($A2998,'Live History'!$G$5:$G$3004,1)),INDEX('AH History'!$C$5:$C$1380,$K2998))),NA()),NA())</f>
        <v/>
      </c>
      <c r="J2998" s="32">
        <f>IFERROR(IF(AND($F2998&gt;0,$H2998&gt;0,$A2998-$G2998&lt;=10,$A2998-$I2998&lt;=5,$G2998&gt;0,$I2998&gt;0),$F2998*$H2998,NA()),NA())</f>
        <v/>
      </c>
      <c r="K2998" s="15">
        <f>IF($A2998="","",IF(AH!$U$5=1,IFERROR(MATCH($A2998,'Live History'!$A$5:$A$3004,0),0),AH!$U$7+2993))</f>
        <v/>
      </c>
      <c r="L2998" s="15">
        <f>IF(ISNUMBER(A2998),TEXT(A2998,"dd-mmm-yy"),"")</f>
        <v/>
      </c>
    </row>
    <row r="2999">
      <c r="A2999" s="14">
        <f>IF(OR(AH!$U$4=0,2994+1&gt;AH!$U$6,AND(AH!$M$5="Bloomberg",AH!$U$5=0)),"",IFERROR(IF(AND(AH!$U$12=1,2994+1=AH!$U$6),TODAY(),IF(AH!$U$5=1,INDEX('Live History'!$A$5:$A$3004,AH!$U$7+2994),INDEX('AH History'!$A$5:$A$1380,AH!$U$7+2994))),""))</f>
        <v/>
      </c>
      <c r="B2999" s="33">
        <f>IFERROR(IF(AH!$U$11=1,NA(),$J2999/$E2999-1),NA())</f>
        <v/>
      </c>
      <c r="C2999" s="269">
        <f>IFERROR(100*$E2999/$E$5,NA())</f>
        <v/>
      </c>
      <c r="D2999" s="269">
        <f>IFERROR(100*$J2999/$J$5,NA())</f>
        <v/>
      </c>
      <c r="E2999" s="32">
        <f>IFERROR(IF(AND(ISNUMBER($A2999),N(IF(AND(AH!$U$12=1,2994+1=AH!$U$6),IF(AH!$U$4=0,"unavailable",INDEX('Market Data'!$AN$5:$AN$66,AH!$U$4)),IF(AH!$U$5=1,INDEX('Live History'!$B$5:$B$3004,$K2999),INDEX('AH History'!$D$5:$GG$1380,$K2999,AH!$U$10))))&gt;0),IF(AND(AH!$U$12=1,2994+1=AH!$U$6),IF(AH!$U$4=0,"unavailable",INDEX('Market Data'!$AN$5:$AN$66,AH!$U$4)),IF(AH!$U$5=1,INDEX('Live History'!$B$5:$B$3004,$K2999),INDEX('AH History'!$D$5:$GG$1380,$K2999,AH!$U$10))),NA()),NA())</f>
        <v/>
      </c>
      <c r="F2999" s="32">
        <f>IFERROR(IF(ISNUMBER($A2999),IF(AND(AH!$U$12=1,2994+1=AH!$U$6),IF(AH!$U$4=0,"unavailable",INDEX('Market Data'!$AO$5:$AO$66,AH!$U$4)),IF(AH!$U$5=1,INDEX('Live History'!$E$5:$E$3004,MATCH($A2999,'Live History'!$D$5:$D$3004,1)),INDEX('AH History'!$D$5:$GG$1380,$K2999,AH!$U$10+1))),NA()),NA())</f>
        <v/>
      </c>
      <c r="G2999" s="34">
        <f>IFERROR(IF(ISNUMBER($A2999),IF(AND(AH!$U$12=1,2994+1=AH!$U$6),IF(AH!$U$4=0,"unavailable",INDEX('Market Data'!$AK$5:$AK$66,AH!$U$4)),IF(AH!$U$5=1,INDEX('Live History'!$D$5:$D$3004,MATCH($A2999,'Live History'!$D$5:$D$3004,1)),INDEX('AH History'!$D$5:$GG$1380,$K2999,AH!$U$10+2))),NA()),NA())</f>
        <v/>
      </c>
      <c r="H2999" s="266">
        <f>IFERROR(IF(ISNUMBER($A2999),IF(AND(AH!$U$12=1,2994+1=AH!$U$6),IF(AH!$U$4=0,"unavailable",INDEX('Market Data'!$AP$5:$AP$66,AH!$U$4)),IF(AH!$U$5=1,INDEX('Live History'!$H$5:$H$3004,MATCH($A2999,'Live History'!$G$5:$G$3004,1)),INDEX('AH History'!$B$5:$B$1380,$K2999))),NA()),NA())</f>
        <v/>
      </c>
      <c r="I2999" s="34">
        <f>IFERROR(IF(ISNUMBER($A2999),IF(AND(AH!$U$12=1,2994+1=AH!$U$6),TODAY(),IF(AH!$U$5=1,INDEX('Live History'!$G$5:$G$3004,MATCH($A2999,'Live History'!$G$5:$G$3004,1)),INDEX('AH History'!$C$5:$C$1380,$K2999))),NA()),NA())</f>
        <v/>
      </c>
      <c r="J2999" s="32">
        <f>IFERROR(IF(AND($F2999&gt;0,$H2999&gt;0,$A2999-$G2999&lt;=10,$A2999-$I2999&lt;=5,$G2999&gt;0,$I2999&gt;0),$F2999*$H2999,NA()),NA())</f>
        <v/>
      </c>
      <c r="K2999" s="15">
        <f>IF($A2999="","",IF(AH!$U$5=1,IFERROR(MATCH($A2999,'Live History'!$A$5:$A$3004,0),0),AH!$U$7+2994))</f>
        <v/>
      </c>
      <c r="L2999" s="15">
        <f>IF(ISNUMBER(A2999),TEXT(A2999,"dd-mmm-yy"),"")</f>
        <v/>
      </c>
    </row>
    <row r="3000">
      <c r="A3000" s="14">
        <f>IF(OR(AH!$U$4=0,2995+1&gt;AH!$U$6,AND(AH!$M$5="Bloomberg",AH!$U$5=0)),"",IFERROR(IF(AND(AH!$U$12=1,2995+1=AH!$U$6),TODAY(),IF(AH!$U$5=1,INDEX('Live History'!$A$5:$A$3004,AH!$U$7+2995),INDEX('AH History'!$A$5:$A$1380,AH!$U$7+2995))),""))</f>
        <v/>
      </c>
      <c r="B3000" s="33">
        <f>IFERROR(IF(AH!$U$11=1,NA(),$J3000/$E3000-1),NA())</f>
        <v/>
      </c>
      <c r="C3000" s="269">
        <f>IFERROR(100*$E3000/$E$5,NA())</f>
        <v/>
      </c>
      <c r="D3000" s="269">
        <f>IFERROR(100*$J3000/$J$5,NA())</f>
        <v/>
      </c>
      <c r="E3000" s="32">
        <f>IFERROR(IF(AND(ISNUMBER($A3000),N(IF(AND(AH!$U$12=1,2995+1=AH!$U$6),IF(AH!$U$4=0,"unavailable",INDEX('Market Data'!$AN$5:$AN$66,AH!$U$4)),IF(AH!$U$5=1,INDEX('Live History'!$B$5:$B$3004,$K3000),INDEX('AH History'!$D$5:$GG$1380,$K3000,AH!$U$10))))&gt;0),IF(AND(AH!$U$12=1,2995+1=AH!$U$6),IF(AH!$U$4=0,"unavailable",INDEX('Market Data'!$AN$5:$AN$66,AH!$U$4)),IF(AH!$U$5=1,INDEX('Live History'!$B$5:$B$3004,$K3000),INDEX('AH History'!$D$5:$GG$1380,$K3000,AH!$U$10))),NA()),NA())</f>
        <v/>
      </c>
      <c r="F3000" s="32">
        <f>IFERROR(IF(ISNUMBER($A3000),IF(AND(AH!$U$12=1,2995+1=AH!$U$6),IF(AH!$U$4=0,"unavailable",INDEX('Market Data'!$AO$5:$AO$66,AH!$U$4)),IF(AH!$U$5=1,INDEX('Live History'!$E$5:$E$3004,MATCH($A3000,'Live History'!$D$5:$D$3004,1)),INDEX('AH History'!$D$5:$GG$1380,$K3000,AH!$U$10+1))),NA()),NA())</f>
        <v/>
      </c>
      <c r="G3000" s="34">
        <f>IFERROR(IF(ISNUMBER($A3000),IF(AND(AH!$U$12=1,2995+1=AH!$U$6),IF(AH!$U$4=0,"unavailable",INDEX('Market Data'!$AK$5:$AK$66,AH!$U$4)),IF(AH!$U$5=1,INDEX('Live History'!$D$5:$D$3004,MATCH($A3000,'Live History'!$D$5:$D$3004,1)),INDEX('AH History'!$D$5:$GG$1380,$K3000,AH!$U$10+2))),NA()),NA())</f>
        <v/>
      </c>
      <c r="H3000" s="266">
        <f>IFERROR(IF(ISNUMBER($A3000),IF(AND(AH!$U$12=1,2995+1=AH!$U$6),IF(AH!$U$4=0,"unavailable",INDEX('Market Data'!$AP$5:$AP$66,AH!$U$4)),IF(AH!$U$5=1,INDEX('Live History'!$H$5:$H$3004,MATCH($A3000,'Live History'!$G$5:$G$3004,1)),INDEX('AH History'!$B$5:$B$1380,$K3000))),NA()),NA())</f>
        <v/>
      </c>
      <c r="I3000" s="34">
        <f>IFERROR(IF(ISNUMBER($A3000),IF(AND(AH!$U$12=1,2995+1=AH!$U$6),TODAY(),IF(AH!$U$5=1,INDEX('Live History'!$G$5:$G$3004,MATCH($A3000,'Live History'!$G$5:$G$3004,1)),INDEX('AH History'!$C$5:$C$1380,$K3000))),NA()),NA())</f>
        <v/>
      </c>
      <c r="J3000" s="32">
        <f>IFERROR(IF(AND($F3000&gt;0,$H3000&gt;0,$A3000-$G3000&lt;=10,$A3000-$I3000&lt;=5,$G3000&gt;0,$I3000&gt;0),$F3000*$H3000,NA()),NA())</f>
        <v/>
      </c>
      <c r="K3000" s="15">
        <f>IF($A3000="","",IF(AH!$U$5=1,IFERROR(MATCH($A3000,'Live History'!$A$5:$A$3004,0),0),AH!$U$7+2995))</f>
        <v/>
      </c>
      <c r="L3000" s="15">
        <f>IF(ISNUMBER(A3000),TEXT(A3000,"dd-mmm-yy"),"")</f>
        <v/>
      </c>
    </row>
    <row r="3001">
      <c r="A3001" s="14">
        <f>IF(OR(AH!$U$4=0,2996+1&gt;AH!$U$6,AND(AH!$M$5="Bloomberg",AH!$U$5=0)),"",IFERROR(IF(AND(AH!$U$12=1,2996+1=AH!$U$6),TODAY(),IF(AH!$U$5=1,INDEX('Live History'!$A$5:$A$3004,AH!$U$7+2996),INDEX('AH History'!$A$5:$A$1380,AH!$U$7+2996))),""))</f>
        <v/>
      </c>
      <c r="B3001" s="33">
        <f>IFERROR(IF(AH!$U$11=1,NA(),$J3001/$E3001-1),NA())</f>
        <v/>
      </c>
      <c r="C3001" s="269">
        <f>IFERROR(100*$E3001/$E$5,NA())</f>
        <v/>
      </c>
      <c r="D3001" s="269">
        <f>IFERROR(100*$J3001/$J$5,NA())</f>
        <v/>
      </c>
      <c r="E3001" s="32">
        <f>IFERROR(IF(AND(ISNUMBER($A3001),N(IF(AND(AH!$U$12=1,2996+1=AH!$U$6),IF(AH!$U$4=0,"unavailable",INDEX('Market Data'!$AN$5:$AN$66,AH!$U$4)),IF(AH!$U$5=1,INDEX('Live History'!$B$5:$B$3004,$K3001),INDEX('AH History'!$D$5:$GG$1380,$K3001,AH!$U$10))))&gt;0),IF(AND(AH!$U$12=1,2996+1=AH!$U$6),IF(AH!$U$4=0,"unavailable",INDEX('Market Data'!$AN$5:$AN$66,AH!$U$4)),IF(AH!$U$5=1,INDEX('Live History'!$B$5:$B$3004,$K3001),INDEX('AH History'!$D$5:$GG$1380,$K3001,AH!$U$10))),NA()),NA())</f>
        <v/>
      </c>
      <c r="F3001" s="32">
        <f>IFERROR(IF(ISNUMBER($A3001),IF(AND(AH!$U$12=1,2996+1=AH!$U$6),IF(AH!$U$4=0,"unavailable",INDEX('Market Data'!$AO$5:$AO$66,AH!$U$4)),IF(AH!$U$5=1,INDEX('Live History'!$E$5:$E$3004,MATCH($A3001,'Live History'!$D$5:$D$3004,1)),INDEX('AH History'!$D$5:$GG$1380,$K3001,AH!$U$10+1))),NA()),NA())</f>
        <v/>
      </c>
      <c r="G3001" s="34">
        <f>IFERROR(IF(ISNUMBER($A3001),IF(AND(AH!$U$12=1,2996+1=AH!$U$6),IF(AH!$U$4=0,"unavailable",INDEX('Market Data'!$AK$5:$AK$66,AH!$U$4)),IF(AH!$U$5=1,INDEX('Live History'!$D$5:$D$3004,MATCH($A3001,'Live History'!$D$5:$D$3004,1)),INDEX('AH History'!$D$5:$GG$1380,$K3001,AH!$U$10+2))),NA()),NA())</f>
        <v/>
      </c>
      <c r="H3001" s="266">
        <f>IFERROR(IF(ISNUMBER($A3001),IF(AND(AH!$U$12=1,2996+1=AH!$U$6),IF(AH!$U$4=0,"unavailable",INDEX('Market Data'!$AP$5:$AP$66,AH!$U$4)),IF(AH!$U$5=1,INDEX('Live History'!$H$5:$H$3004,MATCH($A3001,'Live History'!$G$5:$G$3004,1)),INDEX('AH History'!$B$5:$B$1380,$K3001))),NA()),NA())</f>
        <v/>
      </c>
      <c r="I3001" s="34">
        <f>IFERROR(IF(ISNUMBER($A3001),IF(AND(AH!$U$12=1,2996+1=AH!$U$6),TODAY(),IF(AH!$U$5=1,INDEX('Live History'!$G$5:$G$3004,MATCH($A3001,'Live History'!$G$5:$G$3004,1)),INDEX('AH History'!$C$5:$C$1380,$K3001))),NA()),NA())</f>
        <v/>
      </c>
      <c r="J3001" s="32">
        <f>IFERROR(IF(AND($F3001&gt;0,$H3001&gt;0,$A3001-$G3001&lt;=10,$A3001-$I3001&lt;=5,$G3001&gt;0,$I3001&gt;0),$F3001*$H3001,NA()),NA())</f>
        <v/>
      </c>
      <c r="K3001" s="15">
        <f>IF($A3001="","",IF(AH!$U$5=1,IFERROR(MATCH($A3001,'Live History'!$A$5:$A$3004,0),0),AH!$U$7+2996))</f>
        <v/>
      </c>
      <c r="L3001" s="15">
        <f>IF(ISNUMBER(A3001),TEXT(A3001,"dd-mmm-yy"),"")</f>
        <v/>
      </c>
    </row>
    <row r="3002">
      <c r="A3002" s="14">
        <f>IF(OR(AH!$U$4=0,2997+1&gt;AH!$U$6,AND(AH!$M$5="Bloomberg",AH!$U$5=0)),"",IFERROR(IF(AND(AH!$U$12=1,2997+1=AH!$U$6),TODAY(),IF(AH!$U$5=1,INDEX('Live History'!$A$5:$A$3004,AH!$U$7+2997),INDEX('AH History'!$A$5:$A$1380,AH!$U$7+2997))),""))</f>
        <v/>
      </c>
      <c r="B3002" s="33">
        <f>IFERROR(IF(AH!$U$11=1,NA(),$J3002/$E3002-1),NA())</f>
        <v/>
      </c>
      <c r="C3002" s="269">
        <f>IFERROR(100*$E3002/$E$5,NA())</f>
        <v/>
      </c>
      <c r="D3002" s="269">
        <f>IFERROR(100*$J3002/$J$5,NA())</f>
        <v/>
      </c>
      <c r="E3002" s="32">
        <f>IFERROR(IF(AND(ISNUMBER($A3002),N(IF(AND(AH!$U$12=1,2997+1=AH!$U$6),IF(AH!$U$4=0,"unavailable",INDEX('Market Data'!$AN$5:$AN$66,AH!$U$4)),IF(AH!$U$5=1,INDEX('Live History'!$B$5:$B$3004,$K3002),INDEX('AH History'!$D$5:$GG$1380,$K3002,AH!$U$10))))&gt;0),IF(AND(AH!$U$12=1,2997+1=AH!$U$6),IF(AH!$U$4=0,"unavailable",INDEX('Market Data'!$AN$5:$AN$66,AH!$U$4)),IF(AH!$U$5=1,INDEX('Live History'!$B$5:$B$3004,$K3002),INDEX('AH History'!$D$5:$GG$1380,$K3002,AH!$U$10))),NA()),NA())</f>
        <v/>
      </c>
      <c r="F3002" s="32">
        <f>IFERROR(IF(ISNUMBER($A3002),IF(AND(AH!$U$12=1,2997+1=AH!$U$6),IF(AH!$U$4=0,"unavailable",INDEX('Market Data'!$AO$5:$AO$66,AH!$U$4)),IF(AH!$U$5=1,INDEX('Live History'!$E$5:$E$3004,MATCH($A3002,'Live History'!$D$5:$D$3004,1)),INDEX('AH History'!$D$5:$GG$1380,$K3002,AH!$U$10+1))),NA()),NA())</f>
        <v/>
      </c>
      <c r="G3002" s="34">
        <f>IFERROR(IF(ISNUMBER($A3002),IF(AND(AH!$U$12=1,2997+1=AH!$U$6),IF(AH!$U$4=0,"unavailable",INDEX('Market Data'!$AK$5:$AK$66,AH!$U$4)),IF(AH!$U$5=1,INDEX('Live History'!$D$5:$D$3004,MATCH($A3002,'Live History'!$D$5:$D$3004,1)),INDEX('AH History'!$D$5:$GG$1380,$K3002,AH!$U$10+2))),NA()),NA())</f>
        <v/>
      </c>
      <c r="H3002" s="266">
        <f>IFERROR(IF(ISNUMBER($A3002),IF(AND(AH!$U$12=1,2997+1=AH!$U$6),IF(AH!$U$4=0,"unavailable",INDEX('Market Data'!$AP$5:$AP$66,AH!$U$4)),IF(AH!$U$5=1,INDEX('Live History'!$H$5:$H$3004,MATCH($A3002,'Live History'!$G$5:$G$3004,1)),INDEX('AH History'!$B$5:$B$1380,$K3002))),NA()),NA())</f>
        <v/>
      </c>
      <c r="I3002" s="34">
        <f>IFERROR(IF(ISNUMBER($A3002),IF(AND(AH!$U$12=1,2997+1=AH!$U$6),TODAY(),IF(AH!$U$5=1,INDEX('Live History'!$G$5:$G$3004,MATCH($A3002,'Live History'!$G$5:$G$3004,1)),INDEX('AH History'!$C$5:$C$1380,$K3002))),NA()),NA())</f>
        <v/>
      </c>
      <c r="J3002" s="32">
        <f>IFERROR(IF(AND($F3002&gt;0,$H3002&gt;0,$A3002-$G3002&lt;=10,$A3002-$I3002&lt;=5,$G3002&gt;0,$I3002&gt;0),$F3002*$H3002,NA()),NA())</f>
        <v/>
      </c>
      <c r="K3002" s="15">
        <f>IF($A3002="","",IF(AH!$U$5=1,IFERROR(MATCH($A3002,'Live History'!$A$5:$A$3004,0),0),AH!$U$7+2997))</f>
        <v/>
      </c>
      <c r="L3002" s="15">
        <f>IF(ISNUMBER(A3002),TEXT(A3002,"dd-mmm-yy"),"")</f>
        <v/>
      </c>
    </row>
    <row r="3003">
      <c r="A3003" s="14">
        <f>IF(OR(AH!$U$4=0,2998+1&gt;AH!$U$6,AND(AH!$M$5="Bloomberg",AH!$U$5=0)),"",IFERROR(IF(AND(AH!$U$12=1,2998+1=AH!$U$6),TODAY(),IF(AH!$U$5=1,INDEX('Live History'!$A$5:$A$3004,AH!$U$7+2998),INDEX('AH History'!$A$5:$A$1380,AH!$U$7+2998))),""))</f>
        <v/>
      </c>
      <c r="B3003" s="33">
        <f>IFERROR(IF(AH!$U$11=1,NA(),$J3003/$E3003-1),NA())</f>
        <v/>
      </c>
      <c r="C3003" s="269">
        <f>IFERROR(100*$E3003/$E$5,NA())</f>
        <v/>
      </c>
      <c r="D3003" s="269">
        <f>IFERROR(100*$J3003/$J$5,NA())</f>
        <v/>
      </c>
      <c r="E3003" s="32">
        <f>IFERROR(IF(AND(ISNUMBER($A3003),N(IF(AND(AH!$U$12=1,2998+1=AH!$U$6),IF(AH!$U$4=0,"unavailable",INDEX('Market Data'!$AN$5:$AN$66,AH!$U$4)),IF(AH!$U$5=1,INDEX('Live History'!$B$5:$B$3004,$K3003),INDEX('AH History'!$D$5:$GG$1380,$K3003,AH!$U$10))))&gt;0),IF(AND(AH!$U$12=1,2998+1=AH!$U$6),IF(AH!$U$4=0,"unavailable",INDEX('Market Data'!$AN$5:$AN$66,AH!$U$4)),IF(AH!$U$5=1,INDEX('Live History'!$B$5:$B$3004,$K3003),INDEX('AH History'!$D$5:$GG$1380,$K3003,AH!$U$10))),NA()),NA())</f>
        <v/>
      </c>
      <c r="F3003" s="32">
        <f>IFERROR(IF(ISNUMBER($A3003),IF(AND(AH!$U$12=1,2998+1=AH!$U$6),IF(AH!$U$4=0,"unavailable",INDEX('Market Data'!$AO$5:$AO$66,AH!$U$4)),IF(AH!$U$5=1,INDEX('Live History'!$E$5:$E$3004,MATCH($A3003,'Live History'!$D$5:$D$3004,1)),INDEX('AH History'!$D$5:$GG$1380,$K3003,AH!$U$10+1))),NA()),NA())</f>
        <v/>
      </c>
      <c r="G3003" s="34">
        <f>IFERROR(IF(ISNUMBER($A3003),IF(AND(AH!$U$12=1,2998+1=AH!$U$6),IF(AH!$U$4=0,"unavailable",INDEX('Market Data'!$AK$5:$AK$66,AH!$U$4)),IF(AH!$U$5=1,INDEX('Live History'!$D$5:$D$3004,MATCH($A3003,'Live History'!$D$5:$D$3004,1)),INDEX('AH History'!$D$5:$GG$1380,$K3003,AH!$U$10+2))),NA()),NA())</f>
        <v/>
      </c>
      <c r="H3003" s="266">
        <f>IFERROR(IF(ISNUMBER($A3003),IF(AND(AH!$U$12=1,2998+1=AH!$U$6),IF(AH!$U$4=0,"unavailable",INDEX('Market Data'!$AP$5:$AP$66,AH!$U$4)),IF(AH!$U$5=1,INDEX('Live History'!$H$5:$H$3004,MATCH($A3003,'Live History'!$G$5:$G$3004,1)),INDEX('AH History'!$B$5:$B$1380,$K3003))),NA()),NA())</f>
        <v/>
      </c>
      <c r="I3003" s="34">
        <f>IFERROR(IF(ISNUMBER($A3003),IF(AND(AH!$U$12=1,2998+1=AH!$U$6),TODAY(),IF(AH!$U$5=1,INDEX('Live History'!$G$5:$G$3004,MATCH($A3003,'Live History'!$G$5:$G$3004,1)),INDEX('AH History'!$C$5:$C$1380,$K3003))),NA()),NA())</f>
        <v/>
      </c>
      <c r="J3003" s="32">
        <f>IFERROR(IF(AND($F3003&gt;0,$H3003&gt;0,$A3003-$G3003&lt;=10,$A3003-$I3003&lt;=5,$G3003&gt;0,$I3003&gt;0),$F3003*$H3003,NA()),NA())</f>
        <v/>
      </c>
      <c r="K3003" s="15">
        <f>IF($A3003="","",IF(AH!$U$5=1,IFERROR(MATCH($A3003,'Live History'!$A$5:$A$3004,0),0),AH!$U$7+2998))</f>
        <v/>
      </c>
      <c r="L3003" s="15">
        <f>IF(ISNUMBER(A3003),TEXT(A3003,"dd-mmm-yy"),"")</f>
        <v/>
      </c>
    </row>
    <row r="3004">
      <c r="A3004" s="14">
        <f>IF(OR(AH!$U$4=0,2999+1&gt;AH!$U$6,AND(AH!$M$5="Bloomberg",AH!$U$5=0)),"",IFERROR(IF(AND(AH!$U$12=1,2999+1=AH!$U$6),TODAY(),IF(AH!$U$5=1,INDEX('Live History'!$A$5:$A$3004,AH!$U$7+2999),INDEX('AH History'!$A$5:$A$1380,AH!$U$7+2999))),""))</f>
        <v/>
      </c>
      <c r="B3004" s="33">
        <f>IFERROR(IF(AH!$U$11=1,NA(),$J3004/$E3004-1),NA())</f>
        <v/>
      </c>
      <c r="C3004" s="269">
        <f>IFERROR(100*$E3004/$E$5,NA())</f>
        <v/>
      </c>
      <c r="D3004" s="269">
        <f>IFERROR(100*$J3004/$J$5,NA())</f>
        <v/>
      </c>
      <c r="E3004" s="32">
        <f>IFERROR(IF(AND(ISNUMBER($A3004),N(IF(AND(AH!$U$12=1,2999+1=AH!$U$6),IF(AH!$U$4=0,"unavailable",INDEX('Market Data'!$AN$5:$AN$66,AH!$U$4)),IF(AH!$U$5=1,INDEX('Live History'!$B$5:$B$3004,$K3004),INDEX('AH History'!$D$5:$GG$1380,$K3004,AH!$U$10))))&gt;0),IF(AND(AH!$U$12=1,2999+1=AH!$U$6),IF(AH!$U$4=0,"unavailable",INDEX('Market Data'!$AN$5:$AN$66,AH!$U$4)),IF(AH!$U$5=1,INDEX('Live History'!$B$5:$B$3004,$K3004),INDEX('AH History'!$D$5:$GG$1380,$K3004,AH!$U$10))),NA()),NA())</f>
        <v/>
      </c>
      <c r="F3004" s="32">
        <f>IFERROR(IF(ISNUMBER($A3004),IF(AND(AH!$U$12=1,2999+1=AH!$U$6),IF(AH!$U$4=0,"unavailable",INDEX('Market Data'!$AO$5:$AO$66,AH!$U$4)),IF(AH!$U$5=1,INDEX('Live History'!$E$5:$E$3004,MATCH($A3004,'Live History'!$D$5:$D$3004,1)),INDEX('AH History'!$D$5:$GG$1380,$K3004,AH!$U$10+1))),NA()),NA())</f>
        <v/>
      </c>
      <c r="G3004" s="34">
        <f>IFERROR(IF(ISNUMBER($A3004),IF(AND(AH!$U$12=1,2999+1=AH!$U$6),IF(AH!$U$4=0,"unavailable",INDEX('Market Data'!$AK$5:$AK$66,AH!$U$4)),IF(AH!$U$5=1,INDEX('Live History'!$D$5:$D$3004,MATCH($A3004,'Live History'!$D$5:$D$3004,1)),INDEX('AH History'!$D$5:$GG$1380,$K3004,AH!$U$10+2))),NA()),NA())</f>
        <v/>
      </c>
      <c r="H3004" s="266">
        <f>IFERROR(IF(ISNUMBER($A3004),IF(AND(AH!$U$12=1,2999+1=AH!$U$6),IF(AH!$U$4=0,"unavailable",INDEX('Market Data'!$AP$5:$AP$66,AH!$U$4)),IF(AH!$U$5=1,INDEX('Live History'!$H$5:$H$3004,MATCH($A3004,'Live History'!$G$5:$G$3004,1)),INDEX('AH History'!$B$5:$B$1380,$K3004))),NA()),NA())</f>
        <v/>
      </c>
      <c r="I3004" s="34">
        <f>IFERROR(IF(ISNUMBER($A3004),IF(AND(AH!$U$12=1,2999+1=AH!$U$6),TODAY(),IF(AH!$U$5=1,INDEX('Live History'!$G$5:$G$3004,MATCH($A3004,'Live History'!$G$5:$G$3004,1)),INDEX('AH History'!$C$5:$C$1380,$K3004))),NA()),NA())</f>
        <v/>
      </c>
      <c r="J3004" s="32">
        <f>IFERROR(IF(AND($F3004&gt;0,$H3004&gt;0,$A3004-$G3004&lt;=10,$A3004-$I3004&lt;=5,$G3004&gt;0,$I3004&gt;0),$F3004*$H3004,NA()),NA())</f>
        <v/>
      </c>
      <c r="K3004" s="15">
        <f>IF($A3004="","",IF(AH!$U$5=1,IFERROR(MATCH($A3004,'Live History'!$A$5:$A$3004,0),0),AH!$U$7+2999))</f>
        <v/>
      </c>
      <c r="L3004" s="15">
        <f>IF(ISNUMBER(A3004),TEXT(A3004,"dd-mmm-yy"),"")</f>
        <v/>
      </c>
    </row>
  </sheetData>
  <mergeCells count="1">
    <mergeCell ref="A1:L1"/>
  </mergeCells>
  <printOptions horizontalCentered="1"/>
  <pageMargins left="0.75" right="0.75" top="1" bottom="1" header="0.5" footer="0.5"/>
  <pageSetup orientation="landscape" paperSize="8" fitToHeight="0" fitToWidth="1"/>
</worksheet>
</file>

<file path=xl/worksheets/sheet19.xml><?xml version="1.0" encoding="utf-8"?>
<worksheet xmlns="http://schemas.openxmlformats.org/spreadsheetml/2006/main">
  <sheetPr>
    <tabColor rgb="00BFBFBF"/>
    <outlinePr summaryBelow="1" summaryRight="1"/>
    <pageSetUpPr fitToPage="1"/>
  </sheetPr>
  <dimension ref="A1:AH539"/>
  <sheetViews>
    <sheetView showGridLines="0" zoomScale="95"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ht="30" customHeight="1">
      <c r="A1" s="35" t="inlineStr">
        <is>
          <t>SCORING ENGINE</t>
        </is>
      </c>
      <c r="S1" s="105" t="inlineStr">
        <is>
          <t>target cornerstone split</t>
        </is>
      </c>
      <c r="T1" s="270">
        <f>IFERROR(INDEX(Database!$AC$5:$AC$528,MATCH(Screener!$B$5,Database!$B$5:$B$528,0))&amp;"","")</f>
        <v/>
      </c>
      <c r="U1" s="270">
        <f>TRIM(IFERROR(LEFT($T$1,FIND(";",$T$1&amp;";")-1),$T$1))</f>
        <v/>
      </c>
      <c r="V1" s="270">
        <f>TRIM(IFERROR(LEFT($T$2,FIND(";",$T$2&amp;";")-1),$T$2))</f>
        <v/>
      </c>
      <c r="W1" s="270">
        <f>TRIM(IFERROR(LEFT($T$3,FIND(";",$T$3&amp;";")-1),$T$3))</f>
        <v/>
      </c>
      <c r="X1" s="270">
        <f>TRIM(IFERROR(LEFT($T$4,FIND(";",$T$4&amp;";")-1),$T$4))</f>
        <v/>
      </c>
      <c r="Y1" s="270">
        <f>TRIM(IFERROR(LEFT($T$5,FIND(";",$T$5&amp;";")-1),$T$5))</f>
        <v/>
      </c>
    </row>
    <row r="2" ht="34" customHeight="1">
      <c r="A2" s="36" t="inlineStr">
        <is>
          <t>One row per Database deal. The Screener ranks on the SCORE column (K). Weights are named cells on the Notes tab.</t>
        </is>
      </c>
      <c r="T2" s="270">
        <f>IFERROR(MID($T$1,FIND(";",$T$1)+1,9999),"")</f>
        <v/>
      </c>
      <c r="AA2" s="105" t="inlineStr">
        <is>
          <t>name</t>
        </is>
      </c>
      <c r="AB2" s="105" t="inlineStr">
        <is>
          <t>sector</t>
        </is>
      </c>
      <c r="AC2" s="105" t="inlineStr">
        <is>
          <t>subsector</t>
        </is>
      </c>
      <c r="AD2" s="105" t="inlineStr">
        <is>
          <t>size HK$m</t>
        </is>
      </c>
      <c r="AE2" s="105" t="inlineStr">
        <is>
          <t>profitable</t>
        </is>
      </c>
      <c r="AF2" s="105" t="inlineStr">
        <is>
          <t>H-share</t>
        </is>
      </c>
      <c r="AG2" s="105" t="inlineStr">
        <is>
          <t>date</t>
        </is>
      </c>
    </row>
    <row r="3">
      <c r="T3" s="270">
        <f>IFERROR(MID($T$2,FIND(";",$T$2)+1,9999),"")</f>
        <v/>
      </c>
      <c r="AA3" s="270">
        <f>Pipeline!B6</f>
        <v/>
      </c>
      <c r="AB3" s="270">
        <f>Pipeline!F6</f>
        <v/>
      </c>
      <c r="AC3" s="270">
        <f>Pipeline!G6</f>
        <v/>
      </c>
      <c r="AD3" s="270">
        <f>Pipeline!H6</f>
        <v/>
      </c>
      <c r="AE3" s="270">
        <f>Pipeline!S6</f>
        <v/>
      </c>
      <c r="AF3" s="270">
        <f>Pipeline!T6</f>
        <v/>
      </c>
      <c r="AG3" s="270">
        <f>Pipeline!E6</f>
        <v/>
      </c>
      <c r="AH3" s="270">
        <f>Pipeline!M6</f>
        <v/>
      </c>
    </row>
    <row r="4" ht="30" customHeight="1">
      <c r="A4" s="45" t="inlineStr">
        <is>
          <t>Deal</t>
        </is>
      </c>
      <c r="B4" s="45" t="inlineStr">
        <is>
          <t>Subsector =</t>
        </is>
      </c>
      <c r="C4" s="45" t="inlineStr">
        <is>
          <t>Sector =</t>
        </is>
      </c>
      <c r="D4" s="45" t="inlineStr">
        <is>
          <t>Size pts</t>
        </is>
      </c>
      <c r="E4" s="45" t="inlineStr">
        <is>
          <t>Profit =</t>
        </is>
      </c>
      <c r="F4" s="45" t="inlineStr">
        <is>
          <t>A/H =</t>
        </is>
      </c>
      <c r="G4" s="45" t="inlineStr">
        <is>
          <t>Recency</t>
        </is>
      </c>
      <c r="H4" s="45" t="inlineStr">
        <is>
          <t>Cornerstone</t>
        </is>
      </c>
      <c r="I4" s="45" t="inlineStr">
        <is>
          <t>P/E prox</t>
        </is>
      </c>
      <c r="J4" s="45" t="inlineStr">
        <is>
          <t>Demand prox</t>
        </is>
      </c>
      <c r="K4" s="45" t="inlineStr">
        <is>
          <t>SCORE</t>
        </is>
      </c>
      <c r="T4" s="270">
        <f>IFERROR(MID($T$3,FIND(";",$T$3)+1,9999),"")</f>
        <v/>
      </c>
      <c r="AA4" s="270">
        <f>Pipeline!B7</f>
        <v/>
      </c>
      <c r="AB4" s="270">
        <f>Pipeline!F7</f>
        <v/>
      </c>
      <c r="AC4" s="270">
        <f>Pipeline!G7</f>
        <v/>
      </c>
      <c r="AD4" s="270">
        <f>Pipeline!H7</f>
        <v/>
      </c>
      <c r="AE4" s="270">
        <f>Pipeline!S7</f>
        <v/>
      </c>
      <c r="AF4" s="270">
        <f>Pipeline!T7</f>
        <v/>
      </c>
      <c r="AG4" s="270">
        <f>Pipeline!E7</f>
        <v/>
      </c>
      <c r="AH4" s="270">
        <f>Pipeline!M7</f>
        <v/>
      </c>
    </row>
    <row r="5">
      <c r="A5" s="270">
        <f>Database!B5</f>
        <v/>
      </c>
      <c r="B5" s="270">
        <f>IF(AND(Screener!$D$8&lt;&gt;"",Database!$E5=Screener!$D$8),1,0)</f>
        <v/>
      </c>
      <c r="C5" s="270">
        <f>IF(AND(Screener!$D$7&lt;&gt;"",Database!$D5=Screener!$D$7),1,0)</f>
        <v/>
      </c>
      <c r="D5" s="270">
        <f>IF(OR(N(Database!$I5)&lt;=0,N(Screener!$D$9)&lt;=0),0,MAX(0,1-ABS(LOG10(N(Database!$I5)/Screener!$D$9))/W_SIZEHW))</f>
        <v/>
      </c>
      <c r="E5" s="270">
        <f>IF(OR(Database!$BG5="",Screener!$D$10=""),0,IF(Database!$BG5=Screener!$D$10,1,0))</f>
        <v/>
      </c>
      <c r="F5" s="270">
        <f>IF(OR(Database!$BM5="",Screener!$D$11=""),0,IF(Database!$BM5=Screener!$D$11,1,0))</f>
        <v/>
      </c>
      <c r="G5" s="270">
        <f>IF(OR(Database!$H5="",N(Screener!$D$12)&lt;=0),0,MAX(0,1-(N(Screener!$D$12)-Database!$H5)/W_RECD))</f>
        <v/>
      </c>
      <c r="H5" s="270">
        <f>IF($U$1="",0,N(ISNUMBER(SEARCH($U$1,Database!$AC5&amp;""))))+IF($V$1="",0,N(ISNUMBER(SEARCH($V$1,Database!$AC5&amp;""))))+IF($W$1="",0,N(ISNUMBER(SEARCH($W$1,Database!$AC5&amp;""))))+IF($X$1="",0,N(ISNUMBER(SEARCH($X$1,Database!$AC5&amp;""))))+IF($Y$1="",0,N(ISNUMBER(SEARCH($Y$1,Database!$AC5&amp;""))))+IF(Screener!$B$17="",0,N(ISNUMBER(SEARCH(LOWER(Screener!$B$17),Database!$AC5&amp;""))))</f>
        <v/>
      </c>
      <c r="I5" s="270">
        <f>IF(OR(N(Database!$BH5)&lt;=0,N(Screener!$D$13)&lt;=0),0,MAX(0,1-ABS(LOG10(N(Database!$BH5)/Screener!$D$13))/W_PEHW))</f>
        <v/>
      </c>
      <c r="J5" s="270">
        <f>IF(OR(N(Database!$S5)&lt;=0,N(Screener!$D$14)&lt;=0),0,MAX(0,1-ABS(LOG10(Database!$S5/Screener!$D$14))/0.6))</f>
        <v/>
      </c>
      <c r="K5" s="270">
        <f>IF(Database!$B5=Screener!$B$5,-999999,IF(ISNUMBER(SEARCH(","&amp;Database!$A5&amp;",",","&amp;SUBSTITUTE(Screener!$D$17," ","")&amp;",")),2000000,IF(IF(OR(Screener!$B$18="All",AND(Screener!$B$18="With A-share",(Database!$BM5="Y")),AND(Screener!$B$18="Without A-share",NOT((Database!$BM5="Y")))),1,0)=0,-999999,IF(Screener!$B$16="cornerstone overlap first",H5*100000,IF(Screener!$B$16="demand-similar first",J5*100000,0))+W_SUB*B5+W_SEC*C5*(1-B5)+W_SIZE*D5+W_PROF*E5+W_AH*F5+W_REC*G5+W_CS*H5+W_PE*I5)))+ROW()/1000000</f>
        <v/>
      </c>
      <c r="T5" s="270">
        <f>IFERROR(MID($T$4,FIND(";",$T$4)+1,9999),"")</f>
        <v/>
      </c>
      <c r="AA5" s="270">
        <f>Pipeline!B8</f>
        <v/>
      </c>
      <c r="AB5" s="270">
        <f>Pipeline!F8</f>
        <v/>
      </c>
      <c r="AC5" s="270">
        <f>Pipeline!G8</f>
        <v/>
      </c>
      <c r="AD5" s="270">
        <f>Pipeline!H8</f>
        <v/>
      </c>
      <c r="AE5" s="270">
        <f>Pipeline!S8</f>
        <v/>
      </c>
      <c r="AF5" s="270">
        <f>Pipeline!T8</f>
        <v/>
      </c>
      <c r="AG5" s="270">
        <f>Pipeline!E8</f>
        <v/>
      </c>
      <c r="AH5" s="270">
        <f>Pipeline!M8</f>
        <v/>
      </c>
    </row>
    <row r="6">
      <c r="A6" s="270">
        <f>Database!B6</f>
        <v/>
      </c>
      <c r="B6" s="270">
        <f>IF(AND(Screener!$D$8&lt;&gt;"",Database!$E6=Screener!$D$8),1,0)</f>
        <v/>
      </c>
      <c r="C6" s="270">
        <f>IF(AND(Screener!$D$7&lt;&gt;"",Database!$D6=Screener!$D$7),1,0)</f>
        <v/>
      </c>
      <c r="D6" s="270">
        <f>IF(OR(N(Database!$I6)&lt;=0,N(Screener!$D$9)&lt;=0),0,MAX(0,1-ABS(LOG10(N(Database!$I6)/Screener!$D$9))/W_SIZEHW))</f>
        <v/>
      </c>
      <c r="E6" s="270">
        <f>IF(OR(Database!$BG6="",Screener!$D$10=""),0,IF(Database!$BG6=Screener!$D$10,1,0))</f>
        <v/>
      </c>
      <c r="F6" s="270">
        <f>IF(OR(Database!$BM6="",Screener!$D$11=""),0,IF(Database!$BM6=Screener!$D$11,1,0))</f>
        <v/>
      </c>
      <c r="G6" s="270">
        <f>IF(OR(Database!$H6="",N(Screener!$D$12)&lt;=0),0,MAX(0,1-(N(Screener!$D$12)-Database!$H6)/W_RECD))</f>
        <v/>
      </c>
      <c r="H6" s="270">
        <f>IF($U$1="",0,N(ISNUMBER(SEARCH($U$1,Database!$AC6&amp;""))))+IF($V$1="",0,N(ISNUMBER(SEARCH($V$1,Database!$AC6&amp;""))))+IF($W$1="",0,N(ISNUMBER(SEARCH($W$1,Database!$AC6&amp;""))))+IF($X$1="",0,N(ISNUMBER(SEARCH($X$1,Database!$AC6&amp;""))))+IF($Y$1="",0,N(ISNUMBER(SEARCH($Y$1,Database!$AC6&amp;""))))+IF(Screener!$B$17="",0,N(ISNUMBER(SEARCH(LOWER(Screener!$B$17),Database!$AC6&amp;""))))</f>
        <v/>
      </c>
      <c r="I6" s="270">
        <f>IF(OR(N(Database!$BH6)&lt;=0,N(Screener!$D$13)&lt;=0),0,MAX(0,1-ABS(LOG10(N(Database!$BH6)/Screener!$D$13))/W_PEHW))</f>
        <v/>
      </c>
      <c r="J6" s="270">
        <f>IF(OR(N(Database!$S6)&lt;=0,N(Screener!$D$14)&lt;=0),0,MAX(0,1-ABS(LOG10(Database!$S6/Screener!$D$14))/0.6))</f>
        <v/>
      </c>
      <c r="K6" s="270">
        <f>IF(Database!$B6=Screener!$B$5,-999999,IF(ISNUMBER(SEARCH(","&amp;Database!$A6&amp;",",","&amp;SUBSTITUTE(Screener!$D$17," ","")&amp;",")),2000000,IF(IF(OR(Screener!$B$18="All",AND(Screener!$B$18="With A-share",(Database!$BM6="Y")),AND(Screener!$B$18="Without A-share",NOT((Database!$BM6="Y")))),1,0)=0,-999999,IF(Screener!$B$16="cornerstone overlap first",H6*100000,IF(Screener!$B$16="demand-similar first",J6*100000,0))+W_SUB*B6+W_SEC*C6*(1-B6)+W_SIZE*D6+W_PROF*E6+W_AH*F6+W_REC*G6+W_CS*H6+W_PE*I6)))+ROW()/1000000</f>
        <v/>
      </c>
      <c r="AA6" s="270">
        <f>Pipeline!B9</f>
        <v/>
      </c>
      <c r="AB6" s="270">
        <f>Pipeline!F9</f>
        <v/>
      </c>
      <c r="AC6" s="270">
        <f>Pipeline!G9</f>
        <v/>
      </c>
      <c r="AD6" s="270">
        <f>Pipeline!H9</f>
        <v/>
      </c>
      <c r="AE6" s="270">
        <f>Pipeline!S9</f>
        <v/>
      </c>
      <c r="AF6" s="270">
        <f>Pipeline!T9</f>
        <v/>
      </c>
      <c r="AG6" s="270">
        <f>Pipeline!E9</f>
        <v/>
      </c>
      <c r="AH6" s="270">
        <f>Pipeline!M9</f>
        <v/>
      </c>
    </row>
    <row r="7">
      <c r="A7" s="270">
        <f>Database!B7</f>
        <v/>
      </c>
      <c r="B7" s="270">
        <f>IF(AND(Screener!$D$8&lt;&gt;"",Database!$E7=Screener!$D$8),1,0)</f>
        <v/>
      </c>
      <c r="C7" s="270">
        <f>IF(AND(Screener!$D$7&lt;&gt;"",Database!$D7=Screener!$D$7),1,0)</f>
        <v/>
      </c>
      <c r="D7" s="270">
        <f>IF(OR(N(Database!$I7)&lt;=0,N(Screener!$D$9)&lt;=0),0,MAX(0,1-ABS(LOG10(N(Database!$I7)/Screener!$D$9))/W_SIZEHW))</f>
        <v/>
      </c>
      <c r="E7" s="270">
        <f>IF(OR(Database!$BG7="",Screener!$D$10=""),0,IF(Database!$BG7=Screener!$D$10,1,0))</f>
        <v/>
      </c>
      <c r="F7" s="270">
        <f>IF(OR(Database!$BM7="",Screener!$D$11=""),0,IF(Database!$BM7=Screener!$D$11,1,0))</f>
        <v/>
      </c>
      <c r="G7" s="270">
        <f>IF(OR(Database!$H7="",N(Screener!$D$12)&lt;=0),0,MAX(0,1-(N(Screener!$D$12)-Database!$H7)/W_RECD))</f>
        <v/>
      </c>
      <c r="H7" s="270">
        <f>IF($U$1="",0,N(ISNUMBER(SEARCH($U$1,Database!$AC7&amp;""))))+IF($V$1="",0,N(ISNUMBER(SEARCH($V$1,Database!$AC7&amp;""))))+IF($W$1="",0,N(ISNUMBER(SEARCH($W$1,Database!$AC7&amp;""))))+IF($X$1="",0,N(ISNUMBER(SEARCH($X$1,Database!$AC7&amp;""))))+IF($Y$1="",0,N(ISNUMBER(SEARCH($Y$1,Database!$AC7&amp;""))))+IF(Screener!$B$17="",0,N(ISNUMBER(SEARCH(LOWER(Screener!$B$17),Database!$AC7&amp;""))))</f>
        <v/>
      </c>
      <c r="I7" s="270">
        <f>IF(OR(N(Database!$BH7)&lt;=0,N(Screener!$D$13)&lt;=0),0,MAX(0,1-ABS(LOG10(N(Database!$BH7)/Screener!$D$13))/W_PEHW))</f>
        <v/>
      </c>
      <c r="J7" s="270">
        <f>IF(OR(N(Database!$S7)&lt;=0,N(Screener!$D$14)&lt;=0),0,MAX(0,1-ABS(LOG10(Database!$S7/Screener!$D$14))/0.6))</f>
        <v/>
      </c>
      <c r="K7" s="270">
        <f>IF(Database!$B7=Screener!$B$5,-999999,IF(ISNUMBER(SEARCH(","&amp;Database!$A7&amp;",",","&amp;SUBSTITUTE(Screener!$D$17," ","")&amp;",")),2000000,IF(IF(OR(Screener!$B$18="All",AND(Screener!$B$18="With A-share",(Database!$BM7="Y")),AND(Screener!$B$18="Without A-share",NOT((Database!$BM7="Y")))),1,0)=0,-999999,IF(Screener!$B$16="cornerstone overlap first",H7*100000,IF(Screener!$B$16="demand-similar first",J7*100000,0))+W_SUB*B7+W_SEC*C7*(1-B7)+W_SIZE*D7+W_PROF*E7+W_AH*F7+W_REC*G7+W_CS*H7+W_PE*I7)))+ROW()/1000000</f>
        <v/>
      </c>
      <c r="AA7" s="270">
        <f>Pipeline!B10</f>
        <v/>
      </c>
      <c r="AB7" s="270">
        <f>Pipeline!F10</f>
        <v/>
      </c>
      <c r="AC7" s="270">
        <f>Pipeline!G10</f>
        <v/>
      </c>
      <c r="AD7" s="270">
        <f>Pipeline!H10</f>
        <v/>
      </c>
      <c r="AE7" s="270">
        <f>Pipeline!S10</f>
        <v/>
      </c>
      <c r="AF7" s="270">
        <f>Pipeline!T10</f>
        <v/>
      </c>
      <c r="AG7" s="270">
        <f>Pipeline!E10</f>
        <v/>
      </c>
      <c r="AH7" s="270">
        <f>Pipeline!M10</f>
        <v/>
      </c>
    </row>
    <row r="8">
      <c r="A8" s="270">
        <f>Database!B8</f>
        <v/>
      </c>
      <c r="B8" s="270">
        <f>IF(AND(Screener!$D$8&lt;&gt;"",Database!$E8=Screener!$D$8),1,0)</f>
        <v/>
      </c>
      <c r="C8" s="270">
        <f>IF(AND(Screener!$D$7&lt;&gt;"",Database!$D8=Screener!$D$7),1,0)</f>
        <v/>
      </c>
      <c r="D8" s="270">
        <f>IF(OR(N(Database!$I8)&lt;=0,N(Screener!$D$9)&lt;=0),0,MAX(0,1-ABS(LOG10(N(Database!$I8)/Screener!$D$9))/W_SIZEHW))</f>
        <v/>
      </c>
      <c r="E8" s="270">
        <f>IF(OR(Database!$BG8="",Screener!$D$10=""),0,IF(Database!$BG8=Screener!$D$10,1,0))</f>
        <v/>
      </c>
      <c r="F8" s="270">
        <f>IF(OR(Database!$BM8="",Screener!$D$11=""),0,IF(Database!$BM8=Screener!$D$11,1,0))</f>
        <v/>
      </c>
      <c r="G8" s="270">
        <f>IF(OR(Database!$H8="",N(Screener!$D$12)&lt;=0),0,MAX(0,1-(N(Screener!$D$12)-Database!$H8)/W_RECD))</f>
        <v/>
      </c>
      <c r="H8" s="270">
        <f>IF($U$1="",0,N(ISNUMBER(SEARCH($U$1,Database!$AC8&amp;""))))+IF($V$1="",0,N(ISNUMBER(SEARCH($V$1,Database!$AC8&amp;""))))+IF($W$1="",0,N(ISNUMBER(SEARCH($W$1,Database!$AC8&amp;""))))+IF($X$1="",0,N(ISNUMBER(SEARCH($X$1,Database!$AC8&amp;""))))+IF($Y$1="",0,N(ISNUMBER(SEARCH($Y$1,Database!$AC8&amp;""))))+IF(Screener!$B$17="",0,N(ISNUMBER(SEARCH(LOWER(Screener!$B$17),Database!$AC8&amp;""))))</f>
        <v/>
      </c>
      <c r="I8" s="270">
        <f>IF(OR(N(Database!$BH8)&lt;=0,N(Screener!$D$13)&lt;=0),0,MAX(0,1-ABS(LOG10(N(Database!$BH8)/Screener!$D$13))/W_PEHW))</f>
        <v/>
      </c>
      <c r="J8" s="270">
        <f>IF(OR(N(Database!$S8)&lt;=0,N(Screener!$D$14)&lt;=0),0,MAX(0,1-ABS(LOG10(Database!$S8/Screener!$D$14))/0.6))</f>
        <v/>
      </c>
      <c r="K8" s="270">
        <f>IF(Database!$B8=Screener!$B$5,-999999,IF(ISNUMBER(SEARCH(","&amp;Database!$A8&amp;",",","&amp;SUBSTITUTE(Screener!$D$17," ","")&amp;",")),2000000,IF(IF(OR(Screener!$B$18="All",AND(Screener!$B$18="With A-share",(Database!$BM8="Y")),AND(Screener!$B$18="Without A-share",NOT((Database!$BM8="Y")))),1,0)=0,-999999,IF(Screener!$B$16="cornerstone overlap first",H8*100000,IF(Screener!$B$16="demand-similar first",J8*100000,0))+W_SUB*B8+W_SEC*C8*(1-B8)+W_SIZE*D8+W_PROF*E8+W_AH*F8+W_REC*G8+W_CS*H8+W_PE*I8)))+ROW()/1000000</f>
        <v/>
      </c>
      <c r="AA8" s="270">
        <f>Pipeline!B11</f>
        <v/>
      </c>
      <c r="AB8" s="270">
        <f>Pipeline!F11</f>
        <v/>
      </c>
      <c r="AC8" s="270">
        <f>Pipeline!G11</f>
        <v/>
      </c>
      <c r="AD8" s="270">
        <f>Pipeline!H11</f>
        <v/>
      </c>
      <c r="AE8" s="270">
        <f>Pipeline!S11</f>
        <v/>
      </c>
      <c r="AF8" s="270">
        <f>Pipeline!T11</f>
        <v/>
      </c>
      <c r="AG8" s="270">
        <f>Pipeline!E11</f>
        <v/>
      </c>
      <c r="AH8" s="270">
        <f>Pipeline!M11</f>
        <v/>
      </c>
    </row>
    <row r="9">
      <c r="A9" s="270">
        <f>Database!B9</f>
        <v/>
      </c>
      <c r="B9" s="270">
        <f>IF(AND(Screener!$D$8&lt;&gt;"",Database!$E9=Screener!$D$8),1,0)</f>
        <v/>
      </c>
      <c r="C9" s="270">
        <f>IF(AND(Screener!$D$7&lt;&gt;"",Database!$D9=Screener!$D$7),1,0)</f>
        <v/>
      </c>
      <c r="D9" s="270">
        <f>IF(OR(N(Database!$I9)&lt;=0,N(Screener!$D$9)&lt;=0),0,MAX(0,1-ABS(LOG10(N(Database!$I9)/Screener!$D$9))/W_SIZEHW))</f>
        <v/>
      </c>
      <c r="E9" s="270">
        <f>IF(OR(Database!$BG9="",Screener!$D$10=""),0,IF(Database!$BG9=Screener!$D$10,1,0))</f>
        <v/>
      </c>
      <c r="F9" s="270">
        <f>IF(OR(Database!$BM9="",Screener!$D$11=""),0,IF(Database!$BM9=Screener!$D$11,1,0))</f>
        <v/>
      </c>
      <c r="G9" s="270">
        <f>IF(OR(Database!$H9="",N(Screener!$D$12)&lt;=0),0,MAX(0,1-(N(Screener!$D$12)-Database!$H9)/W_RECD))</f>
        <v/>
      </c>
      <c r="H9" s="270">
        <f>IF($U$1="",0,N(ISNUMBER(SEARCH($U$1,Database!$AC9&amp;""))))+IF($V$1="",0,N(ISNUMBER(SEARCH($V$1,Database!$AC9&amp;""))))+IF($W$1="",0,N(ISNUMBER(SEARCH($W$1,Database!$AC9&amp;""))))+IF($X$1="",0,N(ISNUMBER(SEARCH($X$1,Database!$AC9&amp;""))))+IF($Y$1="",0,N(ISNUMBER(SEARCH($Y$1,Database!$AC9&amp;""))))+IF(Screener!$B$17="",0,N(ISNUMBER(SEARCH(LOWER(Screener!$B$17),Database!$AC9&amp;""))))</f>
        <v/>
      </c>
      <c r="I9" s="270">
        <f>IF(OR(N(Database!$BH9)&lt;=0,N(Screener!$D$13)&lt;=0),0,MAX(0,1-ABS(LOG10(N(Database!$BH9)/Screener!$D$13))/W_PEHW))</f>
        <v/>
      </c>
      <c r="J9" s="270">
        <f>IF(OR(N(Database!$S9)&lt;=0,N(Screener!$D$14)&lt;=0),0,MAX(0,1-ABS(LOG10(Database!$S9/Screener!$D$14))/0.6))</f>
        <v/>
      </c>
      <c r="K9" s="270">
        <f>IF(Database!$B9=Screener!$B$5,-999999,IF(ISNUMBER(SEARCH(","&amp;Database!$A9&amp;",",","&amp;SUBSTITUTE(Screener!$D$17," ","")&amp;",")),2000000,IF(IF(OR(Screener!$B$18="All",AND(Screener!$B$18="With A-share",(Database!$BM9="Y")),AND(Screener!$B$18="Without A-share",NOT((Database!$BM9="Y")))),1,0)=0,-999999,IF(Screener!$B$16="cornerstone overlap first",H9*100000,IF(Screener!$B$16="demand-similar first",J9*100000,0))+W_SUB*B9+W_SEC*C9*(1-B9)+W_SIZE*D9+W_PROF*E9+W_AH*F9+W_REC*G9+W_CS*H9+W_PE*I9)))+ROW()/1000000</f>
        <v/>
      </c>
      <c r="AA9" s="270">
        <f>Pipeline!B12</f>
        <v/>
      </c>
      <c r="AB9" s="270">
        <f>Pipeline!F12</f>
        <v/>
      </c>
      <c r="AC9" s="270">
        <f>Pipeline!G12</f>
        <v/>
      </c>
      <c r="AD9" s="270">
        <f>Pipeline!H12</f>
        <v/>
      </c>
      <c r="AE9" s="270">
        <f>Pipeline!S12</f>
        <v/>
      </c>
      <c r="AF9" s="270">
        <f>Pipeline!T12</f>
        <v/>
      </c>
      <c r="AG9" s="270">
        <f>Pipeline!E12</f>
        <v/>
      </c>
      <c r="AH9" s="270">
        <f>Pipeline!M12</f>
        <v/>
      </c>
    </row>
    <row r="10">
      <c r="A10" s="270">
        <f>Database!B10</f>
        <v/>
      </c>
      <c r="B10" s="270">
        <f>IF(AND(Screener!$D$8&lt;&gt;"",Database!$E10=Screener!$D$8),1,0)</f>
        <v/>
      </c>
      <c r="C10" s="270">
        <f>IF(AND(Screener!$D$7&lt;&gt;"",Database!$D10=Screener!$D$7),1,0)</f>
        <v/>
      </c>
      <c r="D10" s="270">
        <f>IF(OR(N(Database!$I10)&lt;=0,N(Screener!$D$9)&lt;=0),0,MAX(0,1-ABS(LOG10(N(Database!$I10)/Screener!$D$9))/W_SIZEHW))</f>
        <v/>
      </c>
      <c r="E10" s="270">
        <f>IF(OR(Database!$BG10="",Screener!$D$10=""),0,IF(Database!$BG10=Screener!$D$10,1,0))</f>
        <v/>
      </c>
      <c r="F10" s="270">
        <f>IF(OR(Database!$BM10="",Screener!$D$11=""),0,IF(Database!$BM10=Screener!$D$11,1,0))</f>
        <v/>
      </c>
      <c r="G10" s="270">
        <f>IF(OR(Database!$H10="",N(Screener!$D$12)&lt;=0),0,MAX(0,1-(N(Screener!$D$12)-Database!$H10)/W_RECD))</f>
        <v/>
      </c>
      <c r="H10" s="270">
        <f>IF($U$1="",0,N(ISNUMBER(SEARCH($U$1,Database!$AC10&amp;""))))+IF($V$1="",0,N(ISNUMBER(SEARCH($V$1,Database!$AC10&amp;""))))+IF($W$1="",0,N(ISNUMBER(SEARCH($W$1,Database!$AC10&amp;""))))+IF($X$1="",0,N(ISNUMBER(SEARCH($X$1,Database!$AC10&amp;""))))+IF($Y$1="",0,N(ISNUMBER(SEARCH($Y$1,Database!$AC10&amp;""))))+IF(Screener!$B$17="",0,N(ISNUMBER(SEARCH(LOWER(Screener!$B$17),Database!$AC10&amp;""))))</f>
        <v/>
      </c>
      <c r="I10" s="270">
        <f>IF(OR(N(Database!$BH10)&lt;=0,N(Screener!$D$13)&lt;=0),0,MAX(0,1-ABS(LOG10(N(Database!$BH10)/Screener!$D$13))/W_PEHW))</f>
        <v/>
      </c>
      <c r="J10" s="270">
        <f>IF(OR(N(Database!$S10)&lt;=0,N(Screener!$D$14)&lt;=0),0,MAX(0,1-ABS(LOG10(Database!$S10/Screener!$D$14))/0.6))</f>
        <v/>
      </c>
      <c r="K10" s="270">
        <f>IF(Database!$B10=Screener!$B$5,-999999,IF(ISNUMBER(SEARCH(","&amp;Database!$A10&amp;",",","&amp;SUBSTITUTE(Screener!$D$17," ","")&amp;",")),2000000,IF(IF(OR(Screener!$B$18="All",AND(Screener!$B$18="With A-share",(Database!$BM10="Y")),AND(Screener!$B$18="Without A-share",NOT((Database!$BM10="Y")))),1,0)=0,-999999,IF(Screener!$B$16="cornerstone overlap first",H10*100000,IF(Screener!$B$16="demand-similar first",J10*100000,0))+W_SUB*B10+W_SEC*C10*(1-B10)+W_SIZE*D10+W_PROF*E10+W_AH*F10+W_REC*G10+W_CS*H10+W_PE*I10)))+ROW()/1000000</f>
        <v/>
      </c>
      <c r="AA10" s="270">
        <f>Pipeline!B13</f>
        <v/>
      </c>
      <c r="AB10" s="270">
        <f>Pipeline!F13</f>
        <v/>
      </c>
      <c r="AC10" s="270">
        <f>Pipeline!G13</f>
        <v/>
      </c>
      <c r="AD10" s="270">
        <f>Pipeline!H13</f>
        <v/>
      </c>
      <c r="AE10" s="270">
        <f>Pipeline!S13</f>
        <v/>
      </c>
      <c r="AF10" s="270">
        <f>Pipeline!T13</f>
        <v/>
      </c>
      <c r="AG10" s="270">
        <f>Pipeline!E13</f>
        <v/>
      </c>
      <c r="AH10" s="270">
        <f>Pipeline!M13</f>
        <v/>
      </c>
    </row>
    <row r="11">
      <c r="A11" s="270">
        <f>Database!B11</f>
        <v/>
      </c>
      <c r="B11" s="270">
        <f>IF(AND(Screener!$D$8&lt;&gt;"",Database!$E11=Screener!$D$8),1,0)</f>
        <v/>
      </c>
      <c r="C11" s="270">
        <f>IF(AND(Screener!$D$7&lt;&gt;"",Database!$D11=Screener!$D$7),1,0)</f>
        <v/>
      </c>
      <c r="D11" s="270">
        <f>IF(OR(N(Database!$I11)&lt;=0,N(Screener!$D$9)&lt;=0),0,MAX(0,1-ABS(LOG10(N(Database!$I11)/Screener!$D$9))/W_SIZEHW))</f>
        <v/>
      </c>
      <c r="E11" s="270">
        <f>IF(OR(Database!$BG11="",Screener!$D$10=""),0,IF(Database!$BG11=Screener!$D$10,1,0))</f>
        <v/>
      </c>
      <c r="F11" s="270">
        <f>IF(OR(Database!$BM11="",Screener!$D$11=""),0,IF(Database!$BM11=Screener!$D$11,1,0))</f>
        <v/>
      </c>
      <c r="G11" s="270">
        <f>IF(OR(Database!$H11="",N(Screener!$D$12)&lt;=0),0,MAX(0,1-(N(Screener!$D$12)-Database!$H11)/W_RECD))</f>
        <v/>
      </c>
      <c r="H11" s="270">
        <f>IF($U$1="",0,N(ISNUMBER(SEARCH($U$1,Database!$AC11&amp;""))))+IF($V$1="",0,N(ISNUMBER(SEARCH($V$1,Database!$AC11&amp;""))))+IF($W$1="",0,N(ISNUMBER(SEARCH($W$1,Database!$AC11&amp;""))))+IF($X$1="",0,N(ISNUMBER(SEARCH($X$1,Database!$AC11&amp;""))))+IF($Y$1="",0,N(ISNUMBER(SEARCH($Y$1,Database!$AC11&amp;""))))+IF(Screener!$B$17="",0,N(ISNUMBER(SEARCH(LOWER(Screener!$B$17),Database!$AC11&amp;""))))</f>
        <v/>
      </c>
      <c r="I11" s="270">
        <f>IF(OR(N(Database!$BH11)&lt;=0,N(Screener!$D$13)&lt;=0),0,MAX(0,1-ABS(LOG10(N(Database!$BH11)/Screener!$D$13))/W_PEHW))</f>
        <v/>
      </c>
      <c r="J11" s="270">
        <f>IF(OR(N(Database!$S11)&lt;=0,N(Screener!$D$14)&lt;=0),0,MAX(0,1-ABS(LOG10(Database!$S11/Screener!$D$14))/0.6))</f>
        <v/>
      </c>
      <c r="K11" s="270">
        <f>IF(Database!$B11=Screener!$B$5,-999999,IF(ISNUMBER(SEARCH(","&amp;Database!$A11&amp;",",","&amp;SUBSTITUTE(Screener!$D$17," ","")&amp;",")),2000000,IF(IF(OR(Screener!$B$18="All",AND(Screener!$B$18="With A-share",(Database!$BM11="Y")),AND(Screener!$B$18="Without A-share",NOT((Database!$BM11="Y")))),1,0)=0,-999999,IF(Screener!$B$16="cornerstone overlap first",H11*100000,IF(Screener!$B$16="demand-similar first",J11*100000,0))+W_SUB*B11+W_SEC*C11*(1-B11)+W_SIZE*D11+W_PROF*E11+W_AH*F11+W_REC*G11+W_CS*H11+W_PE*I11)))+ROW()/1000000</f>
        <v/>
      </c>
      <c r="AA11" s="270">
        <f>Pipeline!B14</f>
        <v/>
      </c>
      <c r="AB11" s="270">
        <f>Pipeline!F14</f>
        <v/>
      </c>
      <c r="AC11" s="270">
        <f>Pipeline!G14</f>
        <v/>
      </c>
      <c r="AD11" s="270">
        <f>Pipeline!H14</f>
        <v/>
      </c>
      <c r="AE11" s="270">
        <f>Pipeline!S14</f>
        <v/>
      </c>
      <c r="AF11" s="270">
        <f>Pipeline!T14</f>
        <v/>
      </c>
      <c r="AG11" s="270">
        <f>Pipeline!E14</f>
        <v/>
      </c>
      <c r="AH11" s="270">
        <f>Pipeline!M14</f>
        <v/>
      </c>
    </row>
    <row r="12">
      <c r="A12" s="270">
        <f>Database!B12</f>
        <v/>
      </c>
      <c r="B12" s="270">
        <f>IF(AND(Screener!$D$8&lt;&gt;"",Database!$E12=Screener!$D$8),1,0)</f>
        <v/>
      </c>
      <c r="C12" s="270">
        <f>IF(AND(Screener!$D$7&lt;&gt;"",Database!$D12=Screener!$D$7),1,0)</f>
        <v/>
      </c>
      <c r="D12" s="270">
        <f>IF(OR(N(Database!$I12)&lt;=0,N(Screener!$D$9)&lt;=0),0,MAX(0,1-ABS(LOG10(N(Database!$I12)/Screener!$D$9))/W_SIZEHW))</f>
        <v/>
      </c>
      <c r="E12" s="270">
        <f>IF(OR(Database!$BG12="",Screener!$D$10=""),0,IF(Database!$BG12=Screener!$D$10,1,0))</f>
        <v/>
      </c>
      <c r="F12" s="270">
        <f>IF(OR(Database!$BM12="",Screener!$D$11=""),0,IF(Database!$BM12=Screener!$D$11,1,0))</f>
        <v/>
      </c>
      <c r="G12" s="270">
        <f>IF(OR(Database!$H12="",N(Screener!$D$12)&lt;=0),0,MAX(0,1-(N(Screener!$D$12)-Database!$H12)/W_RECD))</f>
        <v/>
      </c>
      <c r="H12" s="270">
        <f>IF($U$1="",0,N(ISNUMBER(SEARCH($U$1,Database!$AC12&amp;""))))+IF($V$1="",0,N(ISNUMBER(SEARCH($V$1,Database!$AC12&amp;""))))+IF($W$1="",0,N(ISNUMBER(SEARCH($W$1,Database!$AC12&amp;""))))+IF($X$1="",0,N(ISNUMBER(SEARCH($X$1,Database!$AC12&amp;""))))+IF($Y$1="",0,N(ISNUMBER(SEARCH($Y$1,Database!$AC12&amp;""))))+IF(Screener!$B$17="",0,N(ISNUMBER(SEARCH(LOWER(Screener!$B$17),Database!$AC12&amp;""))))</f>
        <v/>
      </c>
      <c r="I12" s="270">
        <f>IF(OR(N(Database!$BH12)&lt;=0,N(Screener!$D$13)&lt;=0),0,MAX(0,1-ABS(LOG10(N(Database!$BH12)/Screener!$D$13))/W_PEHW))</f>
        <v/>
      </c>
      <c r="J12" s="270">
        <f>IF(OR(N(Database!$S12)&lt;=0,N(Screener!$D$14)&lt;=0),0,MAX(0,1-ABS(LOG10(Database!$S12/Screener!$D$14))/0.6))</f>
        <v/>
      </c>
      <c r="K12" s="270">
        <f>IF(Database!$B12=Screener!$B$5,-999999,IF(ISNUMBER(SEARCH(","&amp;Database!$A12&amp;",",","&amp;SUBSTITUTE(Screener!$D$17," ","")&amp;",")),2000000,IF(IF(OR(Screener!$B$18="All",AND(Screener!$B$18="With A-share",(Database!$BM12="Y")),AND(Screener!$B$18="Without A-share",NOT((Database!$BM12="Y")))),1,0)=0,-999999,IF(Screener!$B$16="cornerstone overlap first",H12*100000,IF(Screener!$B$16="demand-similar first",J12*100000,0))+W_SUB*B12+W_SEC*C12*(1-B12)+W_SIZE*D12+W_PROF*E12+W_AH*F12+W_REC*G12+W_CS*H12+W_PE*I12)))+ROW()/1000000</f>
        <v/>
      </c>
      <c r="AA12" s="270">
        <f>Pipeline!B15</f>
        <v/>
      </c>
      <c r="AB12" s="270">
        <f>Pipeline!F15</f>
        <v/>
      </c>
      <c r="AC12" s="270">
        <f>Pipeline!G15</f>
        <v/>
      </c>
      <c r="AD12" s="270">
        <f>Pipeline!H15</f>
        <v/>
      </c>
      <c r="AE12" s="270">
        <f>Pipeline!S15</f>
        <v/>
      </c>
      <c r="AF12" s="270">
        <f>Pipeline!T15</f>
        <v/>
      </c>
      <c r="AG12" s="270">
        <f>Pipeline!E15</f>
        <v/>
      </c>
      <c r="AH12" s="270">
        <f>Pipeline!M15</f>
        <v/>
      </c>
    </row>
    <row r="13">
      <c r="A13" s="270">
        <f>Database!B13</f>
        <v/>
      </c>
      <c r="B13" s="270">
        <f>IF(AND(Screener!$D$8&lt;&gt;"",Database!$E13=Screener!$D$8),1,0)</f>
        <v/>
      </c>
      <c r="C13" s="270">
        <f>IF(AND(Screener!$D$7&lt;&gt;"",Database!$D13=Screener!$D$7),1,0)</f>
        <v/>
      </c>
      <c r="D13" s="270">
        <f>IF(OR(N(Database!$I13)&lt;=0,N(Screener!$D$9)&lt;=0),0,MAX(0,1-ABS(LOG10(N(Database!$I13)/Screener!$D$9))/W_SIZEHW))</f>
        <v/>
      </c>
      <c r="E13" s="270">
        <f>IF(OR(Database!$BG13="",Screener!$D$10=""),0,IF(Database!$BG13=Screener!$D$10,1,0))</f>
        <v/>
      </c>
      <c r="F13" s="270">
        <f>IF(OR(Database!$BM13="",Screener!$D$11=""),0,IF(Database!$BM13=Screener!$D$11,1,0))</f>
        <v/>
      </c>
      <c r="G13" s="270">
        <f>IF(OR(Database!$H13="",N(Screener!$D$12)&lt;=0),0,MAX(0,1-(N(Screener!$D$12)-Database!$H13)/W_RECD))</f>
        <v/>
      </c>
      <c r="H13" s="270">
        <f>IF($U$1="",0,N(ISNUMBER(SEARCH($U$1,Database!$AC13&amp;""))))+IF($V$1="",0,N(ISNUMBER(SEARCH($V$1,Database!$AC13&amp;""))))+IF($W$1="",0,N(ISNUMBER(SEARCH($W$1,Database!$AC13&amp;""))))+IF($X$1="",0,N(ISNUMBER(SEARCH($X$1,Database!$AC13&amp;""))))+IF($Y$1="",0,N(ISNUMBER(SEARCH($Y$1,Database!$AC13&amp;""))))+IF(Screener!$B$17="",0,N(ISNUMBER(SEARCH(LOWER(Screener!$B$17),Database!$AC13&amp;""))))</f>
        <v/>
      </c>
      <c r="I13" s="270">
        <f>IF(OR(N(Database!$BH13)&lt;=0,N(Screener!$D$13)&lt;=0),0,MAX(0,1-ABS(LOG10(N(Database!$BH13)/Screener!$D$13))/W_PEHW))</f>
        <v/>
      </c>
      <c r="J13" s="270">
        <f>IF(OR(N(Database!$S13)&lt;=0,N(Screener!$D$14)&lt;=0),0,MAX(0,1-ABS(LOG10(Database!$S13/Screener!$D$14))/0.6))</f>
        <v/>
      </c>
      <c r="K13" s="270">
        <f>IF(Database!$B13=Screener!$B$5,-999999,IF(ISNUMBER(SEARCH(","&amp;Database!$A13&amp;",",","&amp;SUBSTITUTE(Screener!$D$17," ","")&amp;",")),2000000,IF(IF(OR(Screener!$B$18="All",AND(Screener!$B$18="With A-share",(Database!$BM13="Y")),AND(Screener!$B$18="Without A-share",NOT((Database!$BM13="Y")))),1,0)=0,-999999,IF(Screener!$B$16="cornerstone overlap first",H13*100000,IF(Screener!$B$16="demand-similar first",J13*100000,0))+W_SUB*B13+W_SEC*C13*(1-B13)+W_SIZE*D13+W_PROF*E13+W_AH*F13+W_REC*G13+W_CS*H13+W_PE*I13)))+ROW()/1000000</f>
        <v/>
      </c>
      <c r="AA13" s="270">
        <f>Pipeline!B16</f>
        <v/>
      </c>
      <c r="AB13" s="270">
        <f>Pipeline!F16</f>
        <v/>
      </c>
      <c r="AC13" s="270">
        <f>Pipeline!G16</f>
        <v/>
      </c>
      <c r="AD13" s="270">
        <f>Pipeline!H16</f>
        <v/>
      </c>
      <c r="AE13" s="270">
        <f>Pipeline!S16</f>
        <v/>
      </c>
      <c r="AF13" s="270">
        <f>Pipeline!T16</f>
        <v/>
      </c>
      <c r="AG13" s="270">
        <f>Pipeline!E16</f>
        <v/>
      </c>
      <c r="AH13" s="270">
        <f>Pipeline!M16</f>
        <v/>
      </c>
    </row>
    <row r="14">
      <c r="A14" s="270">
        <f>Database!B14</f>
        <v/>
      </c>
      <c r="B14" s="270">
        <f>IF(AND(Screener!$D$8&lt;&gt;"",Database!$E14=Screener!$D$8),1,0)</f>
        <v/>
      </c>
      <c r="C14" s="270">
        <f>IF(AND(Screener!$D$7&lt;&gt;"",Database!$D14=Screener!$D$7),1,0)</f>
        <v/>
      </c>
      <c r="D14" s="270">
        <f>IF(OR(N(Database!$I14)&lt;=0,N(Screener!$D$9)&lt;=0),0,MAX(0,1-ABS(LOG10(N(Database!$I14)/Screener!$D$9))/W_SIZEHW))</f>
        <v/>
      </c>
      <c r="E14" s="270">
        <f>IF(OR(Database!$BG14="",Screener!$D$10=""),0,IF(Database!$BG14=Screener!$D$10,1,0))</f>
        <v/>
      </c>
      <c r="F14" s="270">
        <f>IF(OR(Database!$BM14="",Screener!$D$11=""),0,IF(Database!$BM14=Screener!$D$11,1,0))</f>
        <v/>
      </c>
      <c r="G14" s="270">
        <f>IF(OR(Database!$H14="",N(Screener!$D$12)&lt;=0),0,MAX(0,1-(N(Screener!$D$12)-Database!$H14)/W_RECD))</f>
        <v/>
      </c>
      <c r="H14" s="270">
        <f>IF($U$1="",0,N(ISNUMBER(SEARCH($U$1,Database!$AC14&amp;""))))+IF($V$1="",0,N(ISNUMBER(SEARCH($V$1,Database!$AC14&amp;""))))+IF($W$1="",0,N(ISNUMBER(SEARCH($W$1,Database!$AC14&amp;""))))+IF($X$1="",0,N(ISNUMBER(SEARCH($X$1,Database!$AC14&amp;""))))+IF($Y$1="",0,N(ISNUMBER(SEARCH($Y$1,Database!$AC14&amp;""))))+IF(Screener!$B$17="",0,N(ISNUMBER(SEARCH(LOWER(Screener!$B$17),Database!$AC14&amp;""))))</f>
        <v/>
      </c>
      <c r="I14" s="270">
        <f>IF(OR(N(Database!$BH14)&lt;=0,N(Screener!$D$13)&lt;=0),0,MAX(0,1-ABS(LOG10(N(Database!$BH14)/Screener!$D$13))/W_PEHW))</f>
        <v/>
      </c>
      <c r="J14" s="270">
        <f>IF(OR(N(Database!$S14)&lt;=0,N(Screener!$D$14)&lt;=0),0,MAX(0,1-ABS(LOG10(Database!$S14/Screener!$D$14))/0.6))</f>
        <v/>
      </c>
      <c r="K14" s="270">
        <f>IF(Database!$B14=Screener!$B$5,-999999,IF(ISNUMBER(SEARCH(","&amp;Database!$A14&amp;",",","&amp;SUBSTITUTE(Screener!$D$17," ","")&amp;",")),2000000,IF(IF(OR(Screener!$B$18="All",AND(Screener!$B$18="With A-share",(Database!$BM14="Y")),AND(Screener!$B$18="Without A-share",NOT((Database!$BM14="Y")))),1,0)=0,-999999,IF(Screener!$B$16="cornerstone overlap first",H14*100000,IF(Screener!$B$16="demand-similar first",J14*100000,0))+W_SUB*B14+W_SEC*C14*(1-B14)+W_SIZE*D14+W_PROF*E14+W_AH*F14+W_REC*G14+W_CS*H14+W_PE*I14)))+ROW()/1000000</f>
        <v/>
      </c>
      <c r="AA14" s="270">
        <f>Pipeline!B17</f>
        <v/>
      </c>
      <c r="AB14" s="270">
        <f>Pipeline!F17</f>
        <v/>
      </c>
      <c r="AC14" s="270">
        <f>Pipeline!G17</f>
        <v/>
      </c>
      <c r="AD14" s="270">
        <f>Pipeline!H17</f>
        <v/>
      </c>
      <c r="AE14" s="270">
        <f>Pipeline!S17</f>
        <v/>
      </c>
      <c r="AF14" s="270">
        <f>Pipeline!T17</f>
        <v/>
      </c>
      <c r="AG14" s="270">
        <f>Pipeline!E17</f>
        <v/>
      </c>
      <c r="AH14" s="270">
        <f>Pipeline!M17</f>
        <v/>
      </c>
    </row>
    <row r="15">
      <c r="A15" s="270">
        <f>Database!B15</f>
        <v/>
      </c>
      <c r="B15" s="270">
        <f>IF(AND(Screener!$D$8&lt;&gt;"",Database!$E15=Screener!$D$8),1,0)</f>
        <v/>
      </c>
      <c r="C15" s="270">
        <f>IF(AND(Screener!$D$7&lt;&gt;"",Database!$D15=Screener!$D$7),1,0)</f>
        <v/>
      </c>
      <c r="D15" s="270">
        <f>IF(OR(N(Database!$I15)&lt;=0,N(Screener!$D$9)&lt;=0),0,MAX(0,1-ABS(LOG10(N(Database!$I15)/Screener!$D$9))/W_SIZEHW))</f>
        <v/>
      </c>
      <c r="E15" s="270">
        <f>IF(OR(Database!$BG15="",Screener!$D$10=""),0,IF(Database!$BG15=Screener!$D$10,1,0))</f>
        <v/>
      </c>
      <c r="F15" s="270">
        <f>IF(OR(Database!$BM15="",Screener!$D$11=""),0,IF(Database!$BM15=Screener!$D$11,1,0))</f>
        <v/>
      </c>
      <c r="G15" s="270">
        <f>IF(OR(Database!$H15="",N(Screener!$D$12)&lt;=0),0,MAX(0,1-(N(Screener!$D$12)-Database!$H15)/W_RECD))</f>
        <v/>
      </c>
      <c r="H15" s="270">
        <f>IF($U$1="",0,N(ISNUMBER(SEARCH($U$1,Database!$AC15&amp;""))))+IF($V$1="",0,N(ISNUMBER(SEARCH($V$1,Database!$AC15&amp;""))))+IF($W$1="",0,N(ISNUMBER(SEARCH($W$1,Database!$AC15&amp;""))))+IF($X$1="",0,N(ISNUMBER(SEARCH($X$1,Database!$AC15&amp;""))))+IF($Y$1="",0,N(ISNUMBER(SEARCH($Y$1,Database!$AC15&amp;""))))+IF(Screener!$B$17="",0,N(ISNUMBER(SEARCH(LOWER(Screener!$B$17),Database!$AC15&amp;""))))</f>
        <v/>
      </c>
      <c r="I15" s="270">
        <f>IF(OR(N(Database!$BH15)&lt;=0,N(Screener!$D$13)&lt;=0),0,MAX(0,1-ABS(LOG10(N(Database!$BH15)/Screener!$D$13))/W_PEHW))</f>
        <v/>
      </c>
      <c r="J15" s="270">
        <f>IF(OR(N(Database!$S15)&lt;=0,N(Screener!$D$14)&lt;=0),0,MAX(0,1-ABS(LOG10(Database!$S15/Screener!$D$14))/0.6))</f>
        <v/>
      </c>
      <c r="K15" s="270">
        <f>IF(Database!$B15=Screener!$B$5,-999999,IF(ISNUMBER(SEARCH(","&amp;Database!$A15&amp;",",","&amp;SUBSTITUTE(Screener!$D$17," ","")&amp;",")),2000000,IF(IF(OR(Screener!$B$18="All",AND(Screener!$B$18="With A-share",(Database!$BM15="Y")),AND(Screener!$B$18="Without A-share",NOT((Database!$BM15="Y")))),1,0)=0,-999999,IF(Screener!$B$16="cornerstone overlap first",H15*100000,IF(Screener!$B$16="demand-similar first",J15*100000,0))+W_SUB*B15+W_SEC*C15*(1-B15)+W_SIZE*D15+W_PROF*E15+W_AH*F15+W_REC*G15+W_CS*H15+W_PE*I15)))+ROW()/1000000</f>
        <v/>
      </c>
      <c r="AA15" s="270">
        <f>Pipeline!B18</f>
        <v/>
      </c>
      <c r="AB15" s="270">
        <f>Pipeline!F18</f>
        <v/>
      </c>
      <c r="AC15" s="270">
        <f>Pipeline!G18</f>
        <v/>
      </c>
      <c r="AD15" s="270">
        <f>Pipeline!H18</f>
        <v/>
      </c>
      <c r="AE15" s="270">
        <f>Pipeline!S18</f>
        <v/>
      </c>
      <c r="AF15" s="270">
        <f>Pipeline!T18</f>
        <v/>
      </c>
      <c r="AG15" s="270">
        <f>Pipeline!E18</f>
        <v/>
      </c>
      <c r="AH15" s="270">
        <f>Pipeline!M18</f>
        <v/>
      </c>
    </row>
    <row r="16">
      <c r="A16" s="270">
        <f>Database!B16</f>
        <v/>
      </c>
      <c r="B16" s="270">
        <f>IF(AND(Screener!$D$8&lt;&gt;"",Database!$E16=Screener!$D$8),1,0)</f>
        <v/>
      </c>
      <c r="C16" s="270">
        <f>IF(AND(Screener!$D$7&lt;&gt;"",Database!$D16=Screener!$D$7),1,0)</f>
        <v/>
      </c>
      <c r="D16" s="270">
        <f>IF(OR(N(Database!$I16)&lt;=0,N(Screener!$D$9)&lt;=0),0,MAX(0,1-ABS(LOG10(N(Database!$I16)/Screener!$D$9))/W_SIZEHW))</f>
        <v/>
      </c>
      <c r="E16" s="270">
        <f>IF(OR(Database!$BG16="",Screener!$D$10=""),0,IF(Database!$BG16=Screener!$D$10,1,0))</f>
        <v/>
      </c>
      <c r="F16" s="270">
        <f>IF(OR(Database!$BM16="",Screener!$D$11=""),0,IF(Database!$BM16=Screener!$D$11,1,0))</f>
        <v/>
      </c>
      <c r="G16" s="270">
        <f>IF(OR(Database!$H16="",N(Screener!$D$12)&lt;=0),0,MAX(0,1-(N(Screener!$D$12)-Database!$H16)/W_RECD))</f>
        <v/>
      </c>
      <c r="H16" s="270">
        <f>IF($U$1="",0,N(ISNUMBER(SEARCH($U$1,Database!$AC16&amp;""))))+IF($V$1="",0,N(ISNUMBER(SEARCH($V$1,Database!$AC16&amp;""))))+IF($W$1="",0,N(ISNUMBER(SEARCH($W$1,Database!$AC16&amp;""))))+IF($X$1="",0,N(ISNUMBER(SEARCH($X$1,Database!$AC16&amp;""))))+IF($Y$1="",0,N(ISNUMBER(SEARCH($Y$1,Database!$AC16&amp;""))))+IF(Screener!$B$17="",0,N(ISNUMBER(SEARCH(LOWER(Screener!$B$17),Database!$AC16&amp;""))))</f>
        <v/>
      </c>
      <c r="I16" s="270">
        <f>IF(OR(N(Database!$BH16)&lt;=0,N(Screener!$D$13)&lt;=0),0,MAX(0,1-ABS(LOG10(N(Database!$BH16)/Screener!$D$13))/W_PEHW))</f>
        <v/>
      </c>
      <c r="J16" s="270">
        <f>IF(OR(N(Database!$S16)&lt;=0,N(Screener!$D$14)&lt;=0),0,MAX(0,1-ABS(LOG10(Database!$S16/Screener!$D$14))/0.6))</f>
        <v/>
      </c>
      <c r="K16" s="270">
        <f>IF(Database!$B16=Screener!$B$5,-999999,IF(ISNUMBER(SEARCH(","&amp;Database!$A16&amp;",",","&amp;SUBSTITUTE(Screener!$D$17," ","")&amp;",")),2000000,IF(IF(OR(Screener!$B$18="All",AND(Screener!$B$18="With A-share",(Database!$BM16="Y")),AND(Screener!$B$18="Without A-share",NOT((Database!$BM16="Y")))),1,0)=0,-999999,IF(Screener!$B$16="cornerstone overlap first",H16*100000,IF(Screener!$B$16="demand-similar first",J16*100000,0))+W_SUB*B16+W_SEC*C16*(1-B16)+W_SIZE*D16+W_PROF*E16+W_AH*F16+W_REC*G16+W_CS*H16+W_PE*I16)))+ROW()/1000000</f>
        <v/>
      </c>
      <c r="AA16" s="270">
        <f>Database!B5</f>
        <v/>
      </c>
      <c r="AB16" s="270">
        <f>Database!D5</f>
        <v/>
      </c>
      <c r="AC16" s="270">
        <f>Database!E5</f>
        <v/>
      </c>
      <c r="AD16" s="270">
        <f>Database!I5</f>
        <v/>
      </c>
      <c r="AE16" s="270">
        <f>Database!BG5</f>
        <v/>
      </c>
      <c r="AF16" s="270">
        <f>Database!BM5</f>
        <v/>
      </c>
      <c r="AG16" s="270">
        <f>Database!H5</f>
        <v/>
      </c>
      <c r="AH16" s="270">
        <f>Database!BH5</f>
        <v/>
      </c>
    </row>
    <row r="17">
      <c r="A17" s="270">
        <f>Database!B17</f>
        <v/>
      </c>
      <c r="B17" s="270">
        <f>IF(AND(Screener!$D$8&lt;&gt;"",Database!$E17=Screener!$D$8),1,0)</f>
        <v/>
      </c>
      <c r="C17" s="270">
        <f>IF(AND(Screener!$D$7&lt;&gt;"",Database!$D17=Screener!$D$7),1,0)</f>
        <v/>
      </c>
      <c r="D17" s="270">
        <f>IF(OR(N(Database!$I17)&lt;=0,N(Screener!$D$9)&lt;=0),0,MAX(0,1-ABS(LOG10(N(Database!$I17)/Screener!$D$9))/W_SIZEHW))</f>
        <v/>
      </c>
      <c r="E17" s="270">
        <f>IF(OR(Database!$BG17="",Screener!$D$10=""),0,IF(Database!$BG17=Screener!$D$10,1,0))</f>
        <v/>
      </c>
      <c r="F17" s="270">
        <f>IF(OR(Database!$BM17="",Screener!$D$11=""),0,IF(Database!$BM17=Screener!$D$11,1,0))</f>
        <v/>
      </c>
      <c r="G17" s="270">
        <f>IF(OR(Database!$H17="",N(Screener!$D$12)&lt;=0),0,MAX(0,1-(N(Screener!$D$12)-Database!$H17)/W_RECD))</f>
        <v/>
      </c>
      <c r="H17" s="270">
        <f>IF($U$1="",0,N(ISNUMBER(SEARCH($U$1,Database!$AC17&amp;""))))+IF($V$1="",0,N(ISNUMBER(SEARCH($V$1,Database!$AC17&amp;""))))+IF($W$1="",0,N(ISNUMBER(SEARCH($W$1,Database!$AC17&amp;""))))+IF($X$1="",0,N(ISNUMBER(SEARCH($X$1,Database!$AC17&amp;""))))+IF($Y$1="",0,N(ISNUMBER(SEARCH($Y$1,Database!$AC17&amp;""))))+IF(Screener!$B$17="",0,N(ISNUMBER(SEARCH(LOWER(Screener!$B$17),Database!$AC17&amp;""))))</f>
        <v/>
      </c>
      <c r="I17" s="270">
        <f>IF(OR(N(Database!$BH17)&lt;=0,N(Screener!$D$13)&lt;=0),0,MAX(0,1-ABS(LOG10(N(Database!$BH17)/Screener!$D$13))/W_PEHW))</f>
        <v/>
      </c>
      <c r="J17" s="270">
        <f>IF(OR(N(Database!$S17)&lt;=0,N(Screener!$D$14)&lt;=0),0,MAX(0,1-ABS(LOG10(Database!$S17/Screener!$D$14))/0.6))</f>
        <v/>
      </c>
      <c r="K17" s="270">
        <f>IF(Database!$B17=Screener!$B$5,-999999,IF(ISNUMBER(SEARCH(","&amp;Database!$A17&amp;",",","&amp;SUBSTITUTE(Screener!$D$17," ","")&amp;",")),2000000,IF(IF(OR(Screener!$B$18="All",AND(Screener!$B$18="With A-share",(Database!$BM17="Y")),AND(Screener!$B$18="Without A-share",NOT((Database!$BM17="Y")))),1,0)=0,-999999,IF(Screener!$B$16="cornerstone overlap first",H17*100000,IF(Screener!$B$16="demand-similar first",J17*100000,0))+W_SUB*B17+W_SEC*C17*(1-B17)+W_SIZE*D17+W_PROF*E17+W_AH*F17+W_REC*G17+W_CS*H17+W_PE*I17)))+ROW()/1000000</f>
        <v/>
      </c>
      <c r="AA17" s="270">
        <f>Database!B6</f>
        <v/>
      </c>
      <c r="AB17" s="270">
        <f>Database!D6</f>
        <v/>
      </c>
      <c r="AC17" s="270">
        <f>Database!E6</f>
        <v/>
      </c>
      <c r="AD17" s="270">
        <f>Database!I6</f>
        <v/>
      </c>
      <c r="AE17" s="270">
        <f>Database!BG6</f>
        <v/>
      </c>
      <c r="AF17" s="270">
        <f>Database!BM6</f>
        <v/>
      </c>
      <c r="AG17" s="270">
        <f>Database!H6</f>
        <v/>
      </c>
      <c r="AH17" s="270">
        <f>Database!BH6</f>
        <v/>
      </c>
    </row>
    <row r="18">
      <c r="A18" s="270">
        <f>Database!B18</f>
        <v/>
      </c>
      <c r="B18" s="270">
        <f>IF(AND(Screener!$D$8&lt;&gt;"",Database!$E18=Screener!$D$8),1,0)</f>
        <v/>
      </c>
      <c r="C18" s="270">
        <f>IF(AND(Screener!$D$7&lt;&gt;"",Database!$D18=Screener!$D$7),1,0)</f>
        <v/>
      </c>
      <c r="D18" s="270">
        <f>IF(OR(N(Database!$I18)&lt;=0,N(Screener!$D$9)&lt;=0),0,MAX(0,1-ABS(LOG10(N(Database!$I18)/Screener!$D$9))/W_SIZEHW))</f>
        <v/>
      </c>
      <c r="E18" s="270">
        <f>IF(OR(Database!$BG18="",Screener!$D$10=""),0,IF(Database!$BG18=Screener!$D$10,1,0))</f>
        <v/>
      </c>
      <c r="F18" s="270">
        <f>IF(OR(Database!$BM18="",Screener!$D$11=""),0,IF(Database!$BM18=Screener!$D$11,1,0))</f>
        <v/>
      </c>
      <c r="G18" s="270">
        <f>IF(OR(Database!$H18="",N(Screener!$D$12)&lt;=0),0,MAX(0,1-(N(Screener!$D$12)-Database!$H18)/W_RECD))</f>
        <v/>
      </c>
      <c r="H18" s="270">
        <f>IF($U$1="",0,N(ISNUMBER(SEARCH($U$1,Database!$AC18&amp;""))))+IF($V$1="",0,N(ISNUMBER(SEARCH($V$1,Database!$AC18&amp;""))))+IF($W$1="",0,N(ISNUMBER(SEARCH($W$1,Database!$AC18&amp;""))))+IF($X$1="",0,N(ISNUMBER(SEARCH($X$1,Database!$AC18&amp;""))))+IF($Y$1="",0,N(ISNUMBER(SEARCH($Y$1,Database!$AC18&amp;""))))+IF(Screener!$B$17="",0,N(ISNUMBER(SEARCH(LOWER(Screener!$B$17),Database!$AC18&amp;""))))</f>
        <v/>
      </c>
      <c r="I18" s="270">
        <f>IF(OR(N(Database!$BH18)&lt;=0,N(Screener!$D$13)&lt;=0),0,MAX(0,1-ABS(LOG10(N(Database!$BH18)/Screener!$D$13))/W_PEHW))</f>
        <v/>
      </c>
      <c r="J18" s="270">
        <f>IF(OR(N(Database!$S18)&lt;=0,N(Screener!$D$14)&lt;=0),0,MAX(0,1-ABS(LOG10(Database!$S18/Screener!$D$14))/0.6))</f>
        <v/>
      </c>
      <c r="K18" s="270">
        <f>IF(Database!$B18=Screener!$B$5,-999999,IF(ISNUMBER(SEARCH(","&amp;Database!$A18&amp;",",","&amp;SUBSTITUTE(Screener!$D$17," ","")&amp;",")),2000000,IF(IF(OR(Screener!$B$18="All",AND(Screener!$B$18="With A-share",(Database!$BM18="Y")),AND(Screener!$B$18="Without A-share",NOT((Database!$BM18="Y")))),1,0)=0,-999999,IF(Screener!$B$16="cornerstone overlap first",H18*100000,IF(Screener!$B$16="demand-similar first",J18*100000,0))+W_SUB*B18+W_SEC*C18*(1-B18)+W_SIZE*D18+W_PROF*E18+W_AH*F18+W_REC*G18+W_CS*H18+W_PE*I18)))+ROW()/1000000</f>
        <v/>
      </c>
      <c r="AA18" s="270">
        <f>Database!B7</f>
        <v/>
      </c>
      <c r="AB18" s="270">
        <f>Database!D7</f>
        <v/>
      </c>
      <c r="AC18" s="270">
        <f>Database!E7</f>
        <v/>
      </c>
      <c r="AD18" s="270">
        <f>Database!I7</f>
        <v/>
      </c>
      <c r="AE18" s="270">
        <f>Database!BG7</f>
        <v/>
      </c>
      <c r="AF18" s="270">
        <f>Database!BM7</f>
        <v/>
      </c>
      <c r="AG18" s="270">
        <f>Database!H7</f>
        <v/>
      </c>
      <c r="AH18" s="270">
        <f>Database!BH7</f>
        <v/>
      </c>
    </row>
    <row r="19">
      <c r="A19" s="270">
        <f>Database!B19</f>
        <v/>
      </c>
      <c r="B19" s="270">
        <f>IF(AND(Screener!$D$8&lt;&gt;"",Database!$E19=Screener!$D$8),1,0)</f>
        <v/>
      </c>
      <c r="C19" s="270">
        <f>IF(AND(Screener!$D$7&lt;&gt;"",Database!$D19=Screener!$D$7),1,0)</f>
        <v/>
      </c>
      <c r="D19" s="270">
        <f>IF(OR(N(Database!$I19)&lt;=0,N(Screener!$D$9)&lt;=0),0,MAX(0,1-ABS(LOG10(N(Database!$I19)/Screener!$D$9))/W_SIZEHW))</f>
        <v/>
      </c>
      <c r="E19" s="270">
        <f>IF(OR(Database!$BG19="",Screener!$D$10=""),0,IF(Database!$BG19=Screener!$D$10,1,0))</f>
        <v/>
      </c>
      <c r="F19" s="270">
        <f>IF(OR(Database!$BM19="",Screener!$D$11=""),0,IF(Database!$BM19=Screener!$D$11,1,0))</f>
        <v/>
      </c>
      <c r="G19" s="270">
        <f>IF(OR(Database!$H19="",N(Screener!$D$12)&lt;=0),0,MAX(0,1-(N(Screener!$D$12)-Database!$H19)/W_RECD))</f>
        <v/>
      </c>
      <c r="H19" s="270">
        <f>IF($U$1="",0,N(ISNUMBER(SEARCH($U$1,Database!$AC19&amp;""))))+IF($V$1="",0,N(ISNUMBER(SEARCH($V$1,Database!$AC19&amp;""))))+IF($W$1="",0,N(ISNUMBER(SEARCH($W$1,Database!$AC19&amp;""))))+IF($X$1="",0,N(ISNUMBER(SEARCH($X$1,Database!$AC19&amp;""))))+IF($Y$1="",0,N(ISNUMBER(SEARCH($Y$1,Database!$AC19&amp;""))))+IF(Screener!$B$17="",0,N(ISNUMBER(SEARCH(LOWER(Screener!$B$17),Database!$AC19&amp;""))))</f>
        <v/>
      </c>
      <c r="I19" s="270">
        <f>IF(OR(N(Database!$BH19)&lt;=0,N(Screener!$D$13)&lt;=0),0,MAX(0,1-ABS(LOG10(N(Database!$BH19)/Screener!$D$13))/W_PEHW))</f>
        <v/>
      </c>
      <c r="J19" s="270">
        <f>IF(OR(N(Database!$S19)&lt;=0,N(Screener!$D$14)&lt;=0),0,MAX(0,1-ABS(LOG10(Database!$S19/Screener!$D$14))/0.6))</f>
        <v/>
      </c>
      <c r="K19" s="270">
        <f>IF(Database!$B19=Screener!$B$5,-999999,IF(ISNUMBER(SEARCH(","&amp;Database!$A19&amp;",",","&amp;SUBSTITUTE(Screener!$D$17," ","")&amp;",")),2000000,IF(IF(OR(Screener!$B$18="All",AND(Screener!$B$18="With A-share",(Database!$BM19="Y")),AND(Screener!$B$18="Without A-share",NOT((Database!$BM19="Y")))),1,0)=0,-999999,IF(Screener!$B$16="cornerstone overlap first",H19*100000,IF(Screener!$B$16="demand-similar first",J19*100000,0))+W_SUB*B19+W_SEC*C19*(1-B19)+W_SIZE*D19+W_PROF*E19+W_AH*F19+W_REC*G19+W_CS*H19+W_PE*I19)))+ROW()/1000000</f>
        <v/>
      </c>
      <c r="AA19" s="270">
        <f>Database!B8</f>
        <v/>
      </c>
      <c r="AB19" s="270">
        <f>Database!D8</f>
        <v/>
      </c>
      <c r="AC19" s="270">
        <f>Database!E8</f>
        <v/>
      </c>
      <c r="AD19" s="270">
        <f>Database!I8</f>
        <v/>
      </c>
      <c r="AE19" s="270">
        <f>Database!BG8</f>
        <v/>
      </c>
      <c r="AF19" s="270">
        <f>Database!BM8</f>
        <v/>
      </c>
      <c r="AG19" s="270">
        <f>Database!H8</f>
        <v/>
      </c>
      <c r="AH19" s="270">
        <f>Database!BH8</f>
        <v/>
      </c>
    </row>
    <row r="20">
      <c r="A20" s="270">
        <f>Database!B20</f>
        <v/>
      </c>
      <c r="B20" s="270">
        <f>IF(AND(Screener!$D$8&lt;&gt;"",Database!$E20=Screener!$D$8),1,0)</f>
        <v/>
      </c>
      <c r="C20" s="270">
        <f>IF(AND(Screener!$D$7&lt;&gt;"",Database!$D20=Screener!$D$7),1,0)</f>
        <v/>
      </c>
      <c r="D20" s="270">
        <f>IF(OR(N(Database!$I20)&lt;=0,N(Screener!$D$9)&lt;=0),0,MAX(0,1-ABS(LOG10(N(Database!$I20)/Screener!$D$9))/W_SIZEHW))</f>
        <v/>
      </c>
      <c r="E20" s="270">
        <f>IF(OR(Database!$BG20="",Screener!$D$10=""),0,IF(Database!$BG20=Screener!$D$10,1,0))</f>
        <v/>
      </c>
      <c r="F20" s="270">
        <f>IF(OR(Database!$BM20="",Screener!$D$11=""),0,IF(Database!$BM20=Screener!$D$11,1,0))</f>
        <v/>
      </c>
      <c r="G20" s="270">
        <f>IF(OR(Database!$H20="",N(Screener!$D$12)&lt;=0),0,MAX(0,1-(N(Screener!$D$12)-Database!$H20)/W_RECD))</f>
        <v/>
      </c>
      <c r="H20" s="270">
        <f>IF($U$1="",0,N(ISNUMBER(SEARCH($U$1,Database!$AC20&amp;""))))+IF($V$1="",0,N(ISNUMBER(SEARCH($V$1,Database!$AC20&amp;""))))+IF($W$1="",0,N(ISNUMBER(SEARCH($W$1,Database!$AC20&amp;""))))+IF($X$1="",0,N(ISNUMBER(SEARCH($X$1,Database!$AC20&amp;""))))+IF($Y$1="",0,N(ISNUMBER(SEARCH($Y$1,Database!$AC20&amp;""))))+IF(Screener!$B$17="",0,N(ISNUMBER(SEARCH(LOWER(Screener!$B$17),Database!$AC20&amp;""))))</f>
        <v/>
      </c>
      <c r="I20" s="270">
        <f>IF(OR(N(Database!$BH20)&lt;=0,N(Screener!$D$13)&lt;=0),0,MAX(0,1-ABS(LOG10(N(Database!$BH20)/Screener!$D$13))/W_PEHW))</f>
        <v/>
      </c>
      <c r="J20" s="270">
        <f>IF(OR(N(Database!$S20)&lt;=0,N(Screener!$D$14)&lt;=0),0,MAX(0,1-ABS(LOG10(Database!$S20/Screener!$D$14))/0.6))</f>
        <v/>
      </c>
      <c r="K20" s="270">
        <f>IF(Database!$B20=Screener!$B$5,-999999,IF(ISNUMBER(SEARCH(","&amp;Database!$A20&amp;",",","&amp;SUBSTITUTE(Screener!$D$17," ","")&amp;",")),2000000,IF(IF(OR(Screener!$B$18="All",AND(Screener!$B$18="With A-share",(Database!$BM20="Y")),AND(Screener!$B$18="Without A-share",NOT((Database!$BM20="Y")))),1,0)=0,-999999,IF(Screener!$B$16="cornerstone overlap first",H20*100000,IF(Screener!$B$16="demand-similar first",J20*100000,0))+W_SUB*B20+W_SEC*C20*(1-B20)+W_SIZE*D20+W_PROF*E20+W_AH*F20+W_REC*G20+W_CS*H20+W_PE*I20)))+ROW()/1000000</f>
        <v/>
      </c>
      <c r="AA20" s="270">
        <f>Database!B9</f>
        <v/>
      </c>
      <c r="AB20" s="270">
        <f>Database!D9</f>
        <v/>
      </c>
      <c r="AC20" s="270">
        <f>Database!E9</f>
        <v/>
      </c>
      <c r="AD20" s="270">
        <f>Database!I9</f>
        <v/>
      </c>
      <c r="AE20" s="270">
        <f>Database!BG9</f>
        <v/>
      </c>
      <c r="AF20" s="270">
        <f>Database!BM9</f>
        <v/>
      </c>
      <c r="AG20" s="270">
        <f>Database!H9</f>
        <v/>
      </c>
      <c r="AH20" s="270">
        <f>Database!BH9</f>
        <v/>
      </c>
    </row>
    <row r="21">
      <c r="A21" s="270">
        <f>Database!B21</f>
        <v/>
      </c>
      <c r="B21" s="270">
        <f>IF(AND(Screener!$D$8&lt;&gt;"",Database!$E21=Screener!$D$8),1,0)</f>
        <v/>
      </c>
      <c r="C21" s="270">
        <f>IF(AND(Screener!$D$7&lt;&gt;"",Database!$D21=Screener!$D$7),1,0)</f>
        <v/>
      </c>
      <c r="D21" s="270">
        <f>IF(OR(N(Database!$I21)&lt;=0,N(Screener!$D$9)&lt;=0),0,MAX(0,1-ABS(LOG10(N(Database!$I21)/Screener!$D$9))/W_SIZEHW))</f>
        <v/>
      </c>
      <c r="E21" s="270">
        <f>IF(OR(Database!$BG21="",Screener!$D$10=""),0,IF(Database!$BG21=Screener!$D$10,1,0))</f>
        <v/>
      </c>
      <c r="F21" s="270">
        <f>IF(OR(Database!$BM21="",Screener!$D$11=""),0,IF(Database!$BM21=Screener!$D$11,1,0))</f>
        <v/>
      </c>
      <c r="G21" s="270">
        <f>IF(OR(Database!$H21="",N(Screener!$D$12)&lt;=0),0,MAX(0,1-(N(Screener!$D$12)-Database!$H21)/W_RECD))</f>
        <v/>
      </c>
      <c r="H21" s="270">
        <f>IF($U$1="",0,N(ISNUMBER(SEARCH($U$1,Database!$AC21&amp;""))))+IF($V$1="",0,N(ISNUMBER(SEARCH($V$1,Database!$AC21&amp;""))))+IF($W$1="",0,N(ISNUMBER(SEARCH($W$1,Database!$AC21&amp;""))))+IF($X$1="",0,N(ISNUMBER(SEARCH($X$1,Database!$AC21&amp;""))))+IF($Y$1="",0,N(ISNUMBER(SEARCH($Y$1,Database!$AC21&amp;""))))+IF(Screener!$B$17="",0,N(ISNUMBER(SEARCH(LOWER(Screener!$B$17),Database!$AC21&amp;""))))</f>
        <v/>
      </c>
      <c r="I21" s="270">
        <f>IF(OR(N(Database!$BH21)&lt;=0,N(Screener!$D$13)&lt;=0),0,MAX(0,1-ABS(LOG10(N(Database!$BH21)/Screener!$D$13))/W_PEHW))</f>
        <v/>
      </c>
      <c r="J21" s="270">
        <f>IF(OR(N(Database!$S21)&lt;=0,N(Screener!$D$14)&lt;=0),0,MAX(0,1-ABS(LOG10(Database!$S21/Screener!$D$14))/0.6))</f>
        <v/>
      </c>
      <c r="K21" s="270">
        <f>IF(Database!$B21=Screener!$B$5,-999999,IF(ISNUMBER(SEARCH(","&amp;Database!$A21&amp;",",","&amp;SUBSTITUTE(Screener!$D$17," ","")&amp;",")),2000000,IF(IF(OR(Screener!$B$18="All",AND(Screener!$B$18="With A-share",(Database!$BM21="Y")),AND(Screener!$B$18="Without A-share",NOT((Database!$BM21="Y")))),1,0)=0,-999999,IF(Screener!$B$16="cornerstone overlap first",H21*100000,IF(Screener!$B$16="demand-similar first",J21*100000,0))+W_SUB*B21+W_SEC*C21*(1-B21)+W_SIZE*D21+W_PROF*E21+W_AH*F21+W_REC*G21+W_CS*H21+W_PE*I21)))+ROW()/1000000</f>
        <v/>
      </c>
      <c r="AA21" s="270">
        <f>Database!B10</f>
        <v/>
      </c>
      <c r="AB21" s="270">
        <f>Database!D10</f>
        <v/>
      </c>
      <c r="AC21" s="270">
        <f>Database!E10</f>
        <v/>
      </c>
      <c r="AD21" s="270">
        <f>Database!I10</f>
        <v/>
      </c>
      <c r="AE21" s="270">
        <f>Database!BG10</f>
        <v/>
      </c>
      <c r="AF21" s="270">
        <f>Database!BM10</f>
        <v/>
      </c>
      <c r="AG21" s="270">
        <f>Database!H10</f>
        <v/>
      </c>
      <c r="AH21" s="270">
        <f>Database!BH10</f>
        <v/>
      </c>
    </row>
    <row r="22">
      <c r="A22" s="270">
        <f>Database!B22</f>
        <v/>
      </c>
      <c r="B22" s="270">
        <f>IF(AND(Screener!$D$8&lt;&gt;"",Database!$E22=Screener!$D$8),1,0)</f>
        <v/>
      </c>
      <c r="C22" s="270">
        <f>IF(AND(Screener!$D$7&lt;&gt;"",Database!$D22=Screener!$D$7),1,0)</f>
        <v/>
      </c>
      <c r="D22" s="270">
        <f>IF(OR(N(Database!$I22)&lt;=0,N(Screener!$D$9)&lt;=0),0,MAX(0,1-ABS(LOG10(N(Database!$I22)/Screener!$D$9))/W_SIZEHW))</f>
        <v/>
      </c>
      <c r="E22" s="270">
        <f>IF(OR(Database!$BG22="",Screener!$D$10=""),0,IF(Database!$BG22=Screener!$D$10,1,0))</f>
        <v/>
      </c>
      <c r="F22" s="270">
        <f>IF(OR(Database!$BM22="",Screener!$D$11=""),0,IF(Database!$BM22=Screener!$D$11,1,0))</f>
        <v/>
      </c>
      <c r="G22" s="270">
        <f>IF(OR(Database!$H22="",N(Screener!$D$12)&lt;=0),0,MAX(0,1-(N(Screener!$D$12)-Database!$H22)/W_RECD))</f>
        <v/>
      </c>
      <c r="H22" s="270">
        <f>IF($U$1="",0,N(ISNUMBER(SEARCH($U$1,Database!$AC22&amp;""))))+IF($V$1="",0,N(ISNUMBER(SEARCH($V$1,Database!$AC22&amp;""))))+IF($W$1="",0,N(ISNUMBER(SEARCH($W$1,Database!$AC22&amp;""))))+IF($X$1="",0,N(ISNUMBER(SEARCH($X$1,Database!$AC22&amp;""))))+IF($Y$1="",0,N(ISNUMBER(SEARCH($Y$1,Database!$AC22&amp;""))))+IF(Screener!$B$17="",0,N(ISNUMBER(SEARCH(LOWER(Screener!$B$17),Database!$AC22&amp;""))))</f>
        <v/>
      </c>
      <c r="I22" s="270">
        <f>IF(OR(N(Database!$BH22)&lt;=0,N(Screener!$D$13)&lt;=0),0,MAX(0,1-ABS(LOG10(N(Database!$BH22)/Screener!$D$13))/W_PEHW))</f>
        <v/>
      </c>
      <c r="J22" s="270">
        <f>IF(OR(N(Database!$S22)&lt;=0,N(Screener!$D$14)&lt;=0),0,MAX(0,1-ABS(LOG10(Database!$S22/Screener!$D$14))/0.6))</f>
        <v/>
      </c>
      <c r="K22" s="270">
        <f>IF(Database!$B22=Screener!$B$5,-999999,IF(ISNUMBER(SEARCH(","&amp;Database!$A22&amp;",",","&amp;SUBSTITUTE(Screener!$D$17," ","")&amp;",")),2000000,IF(IF(OR(Screener!$B$18="All",AND(Screener!$B$18="With A-share",(Database!$BM22="Y")),AND(Screener!$B$18="Without A-share",NOT((Database!$BM22="Y")))),1,0)=0,-999999,IF(Screener!$B$16="cornerstone overlap first",H22*100000,IF(Screener!$B$16="demand-similar first",J22*100000,0))+W_SUB*B22+W_SEC*C22*(1-B22)+W_SIZE*D22+W_PROF*E22+W_AH*F22+W_REC*G22+W_CS*H22+W_PE*I22)))+ROW()/1000000</f>
        <v/>
      </c>
      <c r="AA22" s="270">
        <f>Database!B11</f>
        <v/>
      </c>
      <c r="AB22" s="270">
        <f>Database!D11</f>
        <v/>
      </c>
      <c r="AC22" s="270">
        <f>Database!E11</f>
        <v/>
      </c>
      <c r="AD22" s="270">
        <f>Database!I11</f>
        <v/>
      </c>
      <c r="AE22" s="270">
        <f>Database!BG11</f>
        <v/>
      </c>
      <c r="AF22" s="270">
        <f>Database!BM11</f>
        <v/>
      </c>
      <c r="AG22" s="270">
        <f>Database!H11</f>
        <v/>
      </c>
      <c r="AH22" s="270">
        <f>Database!BH11</f>
        <v/>
      </c>
    </row>
    <row r="23">
      <c r="A23" s="270">
        <f>Database!B23</f>
        <v/>
      </c>
      <c r="B23" s="270">
        <f>IF(AND(Screener!$D$8&lt;&gt;"",Database!$E23=Screener!$D$8),1,0)</f>
        <v/>
      </c>
      <c r="C23" s="270">
        <f>IF(AND(Screener!$D$7&lt;&gt;"",Database!$D23=Screener!$D$7),1,0)</f>
        <v/>
      </c>
      <c r="D23" s="270">
        <f>IF(OR(N(Database!$I23)&lt;=0,N(Screener!$D$9)&lt;=0),0,MAX(0,1-ABS(LOG10(N(Database!$I23)/Screener!$D$9))/W_SIZEHW))</f>
        <v/>
      </c>
      <c r="E23" s="270">
        <f>IF(OR(Database!$BG23="",Screener!$D$10=""),0,IF(Database!$BG23=Screener!$D$10,1,0))</f>
        <v/>
      </c>
      <c r="F23" s="270">
        <f>IF(OR(Database!$BM23="",Screener!$D$11=""),0,IF(Database!$BM23=Screener!$D$11,1,0))</f>
        <v/>
      </c>
      <c r="G23" s="270">
        <f>IF(OR(Database!$H23="",N(Screener!$D$12)&lt;=0),0,MAX(0,1-(N(Screener!$D$12)-Database!$H23)/W_RECD))</f>
        <v/>
      </c>
      <c r="H23" s="270">
        <f>IF($U$1="",0,N(ISNUMBER(SEARCH($U$1,Database!$AC23&amp;""))))+IF($V$1="",0,N(ISNUMBER(SEARCH($V$1,Database!$AC23&amp;""))))+IF($W$1="",0,N(ISNUMBER(SEARCH($W$1,Database!$AC23&amp;""))))+IF($X$1="",0,N(ISNUMBER(SEARCH($X$1,Database!$AC23&amp;""))))+IF($Y$1="",0,N(ISNUMBER(SEARCH($Y$1,Database!$AC23&amp;""))))+IF(Screener!$B$17="",0,N(ISNUMBER(SEARCH(LOWER(Screener!$B$17),Database!$AC23&amp;""))))</f>
        <v/>
      </c>
      <c r="I23" s="270">
        <f>IF(OR(N(Database!$BH23)&lt;=0,N(Screener!$D$13)&lt;=0),0,MAX(0,1-ABS(LOG10(N(Database!$BH23)/Screener!$D$13))/W_PEHW))</f>
        <v/>
      </c>
      <c r="J23" s="270">
        <f>IF(OR(N(Database!$S23)&lt;=0,N(Screener!$D$14)&lt;=0),0,MAX(0,1-ABS(LOG10(Database!$S23/Screener!$D$14))/0.6))</f>
        <v/>
      </c>
      <c r="K23" s="270">
        <f>IF(Database!$B23=Screener!$B$5,-999999,IF(ISNUMBER(SEARCH(","&amp;Database!$A23&amp;",",","&amp;SUBSTITUTE(Screener!$D$17," ","")&amp;",")),2000000,IF(IF(OR(Screener!$B$18="All",AND(Screener!$B$18="With A-share",(Database!$BM23="Y")),AND(Screener!$B$18="Without A-share",NOT((Database!$BM23="Y")))),1,0)=0,-999999,IF(Screener!$B$16="cornerstone overlap first",H23*100000,IF(Screener!$B$16="demand-similar first",J23*100000,0))+W_SUB*B23+W_SEC*C23*(1-B23)+W_SIZE*D23+W_PROF*E23+W_AH*F23+W_REC*G23+W_CS*H23+W_PE*I23)))+ROW()/1000000</f>
        <v/>
      </c>
      <c r="AA23" s="270">
        <f>Database!B12</f>
        <v/>
      </c>
      <c r="AB23" s="270">
        <f>Database!D12</f>
        <v/>
      </c>
      <c r="AC23" s="270">
        <f>Database!E12</f>
        <v/>
      </c>
      <c r="AD23" s="270">
        <f>Database!I12</f>
        <v/>
      </c>
      <c r="AE23" s="270">
        <f>Database!BG12</f>
        <v/>
      </c>
      <c r="AF23" s="270">
        <f>Database!BM12</f>
        <v/>
      </c>
      <c r="AG23" s="270">
        <f>Database!H12</f>
        <v/>
      </c>
      <c r="AH23" s="270">
        <f>Database!BH12</f>
        <v/>
      </c>
    </row>
    <row r="24">
      <c r="A24" s="270">
        <f>Database!B24</f>
        <v/>
      </c>
      <c r="B24" s="270">
        <f>IF(AND(Screener!$D$8&lt;&gt;"",Database!$E24=Screener!$D$8),1,0)</f>
        <v/>
      </c>
      <c r="C24" s="270">
        <f>IF(AND(Screener!$D$7&lt;&gt;"",Database!$D24=Screener!$D$7),1,0)</f>
        <v/>
      </c>
      <c r="D24" s="270">
        <f>IF(OR(N(Database!$I24)&lt;=0,N(Screener!$D$9)&lt;=0),0,MAX(0,1-ABS(LOG10(N(Database!$I24)/Screener!$D$9))/W_SIZEHW))</f>
        <v/>
      </c>
      <c r="E24" s="270">
        <f>IF(OR(Database!$BG24="",Screener!$D$10=""),0,IF(Database!$BG24=Screener!$D$10,1,0))</f>
        <v/>
      </c>
      <c r="F24" s="270">
        <f>IF(OR(Database!$BM24="",Screener!$D$11=""),0,IF(Database!$BM24=Screener!$D$11,1,0))</f>
        <v/>
      </c>
      <c r="G24" s="270">
        <f>IF(OR(Database!$H24="",N(Screener!$D$12)&lt;=0),0,MAX(0,1-(N(Screener!$D$12)-Database!$H24)/W_RECD))</f>
        <v/>
      </c>
      <c r="H24" s="270">
        <f>IF($U$1="",0,N(ISNUMBER(SEARCH($U$1,Database!$AC24&amp;""))))+IF($V$1="",0,N(ISNUMBER(SEARCH($V$1,Database!$AC24&amp;""))))+IF($W$1="",0,N(ISNUMBER(SEARCH($W$1,Database!$AC24&amp;""))))+IF($X$1="",0,N(ISNUMBER(SEARCH($X$1,Database!$AC24&amp;""))))+IF($Y$1="",0,N(ISNUMBER(SEARCH($Y$1,Database!$AC24&amp;""))))+IF(Screener!$B$17="",0,N(ISNUMBER(SEARCH(LOWER(Screener!$B$17),Database!$AC24&amp;""))))</f>
        <v/>
      </c>
      <c r="I24" s="270">
        <f>IF(OR(N(Database!$BH24)&lt;=0,N(Screener!$D$13)&lt;=0),0,MAX(0,1-ABS(LOG10(N(Database!$BH24)/Screener!$D$13))/W_PEHW))</f>
        <v/>
      </c>
      <c r="J24" s="270">
        <f>IF(OR(N(Database!$S24)&lt;=0,N(Screener!$D$14)&lt;=0),0,MAX(0,1-ABS(LOG10(Database!$S24/Screener!$D$14))/0.6))</f>
        <v/>
      </c>
      <c r="K24" s="270">
        <f>IF(Database!$B24=Screener!$B$5,-999999,IF(ISNUMBER(SEARCH(","&amp;Database!$A24&amp;",",","&amp;SUBSTITUTE(Screener!$D$17," ","")&amp;",")),2000000,IF(IF(OR(Screener!$B$18="All",AND(Screener!$B$18="With A-share",(Database!$BM24="Y")),AND(Screener!$B$18="Without A-share",NOT((Database!$BM24="Y")))),1,0)=0,-999999,IF(Screener!$B$16="cornerstone overlap first",H24*100000,IF(Screener!$B$16="demand-similar first",J24*100000,0))+W_SUB*B24+W_SEC*C24*(1-B24)+W_SIZE*D24+W_PROF*E24+W_AH*F24+W_REC*G24+W_CS*H24+W_PE*I24)))+ROW()/1000000</f>
        <v/>
      </c>
      <c r="AA24" s="270">
        <f>Database!B13</f>
        <v/>
      </c>
      <c r="AB24" s="270">
        <f>Database!D13</f>
        <v/>
      </c>
      <c r="AC24" s="270">
        <f>Database!E13</f>
        <v/>
      </c>
      <c r="AD24" s="270">
        <f>Database!I13</f>
        <v/>
      </c>
      <c r="AE24" s="270">
        <f>Database!BG13</f>
        <v/>
      </c>
      <c r="AF24" s="270">
        <f>Database!BM13</f>
        <v/>
      </c>
      <c r="AG24" s="270">
        <f>Database!H13</f>
        <v/>
      </c>
      <c r="AH24" s="270">
        <f>Database!BH13</f>
        <v/>
      </c>
    </row>
    <row r="25">
      <c r="A25" s="270">
        <f>Database!B25</f>
        <v/>
      </c>
      <c r="B25" s="270">
        <f>IF(AND(Screener!$D$8&lt;&gt;"",Database!$E25=Screener!$D$8),1,0)</f>
        <v/>
      </c>
      <c r="C25" s="270">
        <f>IF(AND(Screener!$D$7&lt;&gt;"",Database!$D25=Screener!$D$7),1,0)</f>
        <v/>
      </c>
      <c r="D25" s="270">
        <f>IF(OR(N(Database!$I25)&lt;=0,N(Screener!$D$9)&lt;=0),0,MAX(0,1-ABS(LOG10(N(Database!$I25)/Screener!$D$9))/W_SIZEHW))</f>
        <v/>
      </c>
      <c r="E25" s="270">
        <f>IF(OR(Database!$BG25="",Screener!$D$10=""),0,IF(Database!$BG25=Screener!$D$10,1,0))</f>
        <v/>
      </c>
      <c r="F25" s="270">
        <f>IF(OR(Database!$BM25="",Screener!$D$11=""),0,IF(Database!$BM25=Screener!$D$11,1,0))</f>
        <v/>
      </c>
      <c r="G25" s="270">
        <f>IF(OR(Database!$H25="",N(Screener!$D$12)&lt;=0),0,MAX(0,1-(N(Screener!$D$12)-Database!$H25)/W_RECD))</f>
        <v/>
      </c>
      <c r="H25" s="270">
        <f>IF($U$1="",0,N(ISNUMBER(SEARCH($U$1,Database!$AC25&amp;""))))+IF($V$1="",0,N(ISNUMBER(SEARCH($V$1,Database!$AC25&amp;""))))+IF($W$1="",0,N(ISNUMBER(SEARCH($W$1,Database!$AC25&amp;""))))+IF($X$1="",0,N(ISNUMBER(SEARCH($X$1,Database!$AC25&amp;""))))+IF($Y$1="",0,N(ISNUMBER(SEARCH($Y$1,Database!$AC25&amp;""))))+IF(Screener!$B$17="",0,N(ISNUMBER(SEARCH(LOWER(Screener!$B$17),Database!$AC25&amp;""))))</f>
        <v/>
      </c>
      <c r="I25" s="270">
        <f>IF(OR(N(Database!$BH25)&lt;=0,N(Screener!$D$13)&lt;=0),0,MAX(0,1-ABS(LOG10(N(Database!$BH25)/Screener!$D$13))/W_PEHW))</f>
        <v/>
      </c>
      <c r="J25" s="270">
        <f>IF(OR(N(Database!$S25)&lt;=0,N(Screener!$D$14)&lt;=0),0,MAX(0,1-ABS(LOG10(Database!$S25/Screener!$D$14))/0.6))</f>
        <v/>
      </c>
      <c r="K25" s="270">
        <f>IF(Database!$B25=Screener!$B$5,-999999,IF(ISNUMBER(SEARCH(","&amp;Database!$A25&amp;",",","&amp;SUBSTITUTE(Screener!$D$17," ","")&amp;",")),2000000,IF(IF(OR(Screener!$B$18="All",AND(Screener!$B$18="With A-share",(Database!$BM25="Y")),AND(Screener!$B$18="Without A-share",NOT((Database!$BM25="Y")))),1,0)=0,-999999,IF(Screener!$B$16="cornerstone overlap first",H25*100000,IF(Screener!$B$16="demand-similar first",J25*100000,0))+W_SUB*B25+W_SEC*C25*(1-B25)+W_SIZE*D25+W_PROF*E25+W_AH*F25+W_REC*G25+W_CS*H25+W_PE*I25)))+ROW()/1000000</f>
        <v/>
      </c>
      <c r="AA25" s="270">
        <f>Database!B14</f>
        <v/>
      </c>
      <c r="AB25" s="270">
        <f>Database!D14</f>
        <v/>
      </c>
      <c r="AC25" s="270">
        <f>Database!E14</f>
        <v/>
      </c>
      <c r="AD25" s="270">
        <f>Database!I14</f>
        <v/>
      </c>
      <c r="AE25" s="270">
        <f>Database!BG14</f>
        <v/>
      </c>
      <c r="AF25" s="270">
        <f>Database!BM14</f>
        <v/>
      </c>
      <c r="AG25" s="270">
        <f>Database!H14</f>
        <v/>
      </c>
      <c r="AH25" s="270">
        <f>Database!BH14</f>
        <v/>
      </c>
    </row>
    <row r="26">
      <c r="A26" s="270">
        <f>Database!B26</f>
        <v/>
      </c>
      <c r="B26" s="270">
        <f>IF(AND(Screener!$D$8&lt;&gt;"",Database!$E26=Screener!$D$8),1,0)</f>
        <v/>
      </c>
      <c r="C26" s="270">
        <f>IF(AND(Screener!$D$7&lt;&gt;"",Database!$D26=Screener!$D$7),1,0)</f>
        <v/>
      </c>
      <c r="D26" s="270">
        <f>IF(OR(N(Database!$I26)&lt;=0,N(Screener!$D$9)&lt;=0),0,MAX(0,1-ABS(LOG10(N(Database!$I26)/Screener!$D$9))/W_SIZEHW))</f>
        <v/>
      </c>
      <c r="E26" s="270">
        <f>IF(OR(Database!$BG26="",Screener!$D$10=""),0,IF(Database!$BG26=Screener!$D$10,1,0))</f>
        <v/>
      </c>
      <c r="F26" s="270">
        <f>IF(OR(Database!$BM26="",Screener!$D$11=""),0,IF(Database!$BM26=Screener!$D$11,1,0))</f>
        <v/>
      </c>
      <c r="G26" s="270">
        <f>IF(OR(Database!$H26="",N(Screener!$D$12)&lt;=0),0,MAX(0,1-(N(Screener!$D$12)-Database!$H26)/W_RECD))</f>
        <v/>
      </c>
      <c r="H26" s="270">
        <f>IF($U$1="",0,N(ISNUMBER(SEARCH($U$1,Database!$AC26&amp;""))))+IF($V$1="",0,N(ISNUMBER(SEARCH($V$1,Database!$AC26&amp;""))))+IF($W$1="",0,N(ISNUMBER(SEARCH($W$1,Database!$AC26&amp;""))))+IF($X$1="",0,N(ISNUMBER(SEARCH($X$1,Database!$AC26&amp;""))))+IF($Y$1="",0,N(ISNUMBER(SEARCH($Y$1,Database!$AC26&amp;""))))+IF(Screener!$B$17="",0,N(ISNUMBER(SEARCH(LOWER(Screener!$B$17),Database!$AC26&amp;""))))</f>
        <v/>
      </c>
      <c r="I26" s="270">
        <f>IF(OR(N(Database!$BH26)&lt;=0,N(Screener!$D$13)&lt;=0),0,MAX(0,1-ABS(LOG10(N(Database!$BH26)/Screener!$D$13))/W_PEHW))</f>
        <v/>
      </c>
      <c r="J26" s="270">
        <f>IF(OR(N(Database!$S26)&lt;=0,N(Screener!$D$14)&lt;=0),0,MAX(0,1-ABS(LOG10(Database!$S26/Screener!$D$14))/0.6))</f>
        <v/>
      </c>
      <c r="K26" s="270">
        <f>IF(Database!$B26=Screener!$B$5,-999999,IF(ISNUMBER(SEARCH(","&amp;Database!$A26&amp;",",","&amp;SUBSTITUTE(Screener!$D$17," ","")&amp;",")),2000000,IF(IF(OR(Screener!$B$18="All",AND(Screener!$B$18="With A-share",(Database!$BM26="Y")),AND(Screener!$B$18="Without A-share",NOT((Database!$BM26="Y")))),1,0)=0,-999999,IF(Screener!$B$16="cornerstone overlap first",H26*100000,IF(Screener!$B$16="demand-similar first",J26*100000,0))+W_SUB*B26+W_SEC*C26*(1-B26)+W_SIZE*D26+W_PROF*E26+W_AH*F26+W_REC*G26+W_CS*H26+W_PE*I26)))+ROW()/1000000</f>
        <v/>
      </c>
      <c r="AA26" s="270">
        <f>Database!B15</f>
        <v/>
      </c>
      <c r="AB26" s="270">
        <f>Database!D15</f>
        <v/>
      </c>
      <c r="AC26" s="270">
        <f>Database!E15</f>
        <v/>
      </c>
      <c r="AD26" s="270">
        <f>Database!I15</f>
        <v/>
      </c>
      <c r="AE26" s="270">
        <f>Database!BG15</f>
        <v/>
      </c>
      <c r="AF26" s="270">
        <f>Database!BM15</f>
        <v/>
      </c>
      <c r="AG26" s="270">
        <f>Database!H15</f>
        <v/>
      </c>
      <c r="AH26" s="270">
        <f>Database!BH15</f>
        <v/>
      </c>
    </row>
    <row r="27">
      <c r="A27" s="270">
        <f>Database!B27</f>
        <v/>
      </c>
      <c r="B27" s="270">
        <f>IF(AND(Screener!$D$8&lt;&gt;"",Database!$E27=Screener!$D$8),1,0)</f>
        <v/>
      </c>
      <c r="C27" s="270">
        <f>IF(AND(Screener!$D$7&lt;&gt;"",Database!$D27=Screener!$D$7),1,0)</f>
        <v/>
      </c>
      <c r="D27" s="270">
        <f>IF(OR(N(Database!$I27)&lt;=0,N(Screener!$D$9)&lt;=0),0,MAX(0,1-ABS(LOG10(N(Database!$I27)/Screener!$D$9))/W_SIZEHW))</f>
        <v/>
      </c>
      <c r="E27" s="270">
        <f>IF(OR(Database!$BG27="",Screener!$D$10=""),0,IF(Database!$BG27=Screener!$D$10,1,0))</f>
        <v/>
      </c>
      <c r="F27" s="270">
        <f>IF(OR(Database!$BM27="",Screener!$D$11=""),0,IF(Database!$BM27=Screener!$D$11,1,0))</f>
        <v/>
      </c>
      <c r="G27" s="270">
        <f>IF(OR(Database!$H27="",N(Screener!$D$12)&lt;=0),0,MAX(0,1-(N(Screener!$D$12)-Database!$H27)/W_RECD))</f>
        <v/>
      </c>
      <c r="H27" s="270">
        <f>IF($U$1="",0,N(ISNUMBER(SEARCH($U$1,Database!$AC27&amp;""))))+IF($V$1="",0,N(ISNUMBER(SEARCH($V$1,Database!$AC27&amp;""))))+IF($W$1="",0,N(ISNUMBER(SEARCH($W$1,Database!$AC27&amp;""))))+IF($X$1="",0,N(ISNUMBER(SEARCH($X$1,Database!$AC27&amp;""))))+IF($Y$1="",0,N(ISNUMBER(SEARCH($Y$1,Database!$AC27&amp;""))))+IF(Screener!$B$17="",0,N(ISNUMBER(SEARCH(LOWER(Screener!$B$17),Database!$AC27&amp;""))))</f>
        <v/>
      </c>
      <c r="I27" s="270">
        <f>IF(OR(N(Database!$BH27)&lt;=0,N(Screener!$D$13)&lt;=0),0,MAX(0,1-ABS(LOG10(N(Database!$BH27)/Screener!$D$13))/W_PEHW))</f>
        <v/>
      </c>
      <c r="J27" s="270">
        <f>IF(OR(N(Database!$S27)&lt;=0,N(Screener!$D$14)&lt;=0),0,MAX(0,1-ABS(LOG10(Database!$S27/Screener!$D$14))/0.6))</f>
        <v/>
      </c>
      <c r="K27" s="270">
        <f>IF(Database!$B27=Screener!$B$5,-999999,IF(ISNUMBER(SEARCH(","&amp;Database!$A27&amp;",",","&amp;SUBSTITUTE(Screener!$D$17," ","")&amp;",")),2000000,IF(IF(OR(Screener!$B$18="All",AND(Screener!$B$18="With A-share",(Database!$BM27="Y")),AND(Screener!$B$18="Without A-share",NOT((Database!$BM27="Y")))),1,0)=0,-999999,IF(Screener!$B$16="cornerstone overlap first",H27*100000,IF(Screener!$B$16="demand-similar first",J27*100000,0))+W_SUB*B27+W_SEC*C27*(1-B27)+W_SIZE*D27+W_PROF*E27+W_AH*F27+W_REC*G27+W_CS*H27+W_PE*I27)))+ROW()/1000000</f>
        <v/>
      </c>
      <c r="AA27" s="270">
        <f>Database!B16</f>
        <v/>
      </c>
      <c r="AB27" s="270">
        <f>Database!D16</f>
        <v/>
      </c>
      <c r="AC27" s="270">
        <f>Database!E16</f>
        <v/>
      </c>
      <c r="AD27" s="270">
        <f>Database!I16</f>
        <v/>
      </c>
      <c r="AE27" s="270">
        <f>Database!BG16</f>
        <v/>
      </c>
      <c r="AF27" s="270">
        <f>Database!BM16</f>
        <v/>
      </c>
      <c r="AG27" s="270">
        <f>Database!H16</f>
        <v/>
      </c>
      <c r="AH27" s="270">
        <f>Database!BH16</f>
        <v/>
      </c>
    </row>
    <row r="28">
      <c r="A28" s="270">
        <f>Database!B28</f>
        <v/>
      </c>
      <c r="B28" s="270">
        <f>IF(AND(Screener!$D$8&lt;&gt;"",Database!$E28=Screener!$D$8),1,0)</f>
        <v/>
      </c>
      <c r="C28" s="270">
        <f>IF(AND(Screener!$D$7&lt;&gt;"",Database!$D28=Screener!$D$7),1,0)</f>
        <v/>
      </c>
      <c r="D28" s="270">
        <f>IF(OR(N(Database!$I28)&lt;=0,N(Screener!$D$9)&lt;=0),0,MAX(0,1-ABS(LOG10(N(Database!$I28)/Screener!$D$9))/W_SIZEHW))</f>
        <v/>
      </c>
      <c r="E28" s="270">
        <f>IF(OR(Database!$BG28="",Screener!$D$10=""),0,IF(Database!$BG28=Screener!$D$10,1,0))</f>
        <v/>
      </c>
      <c r="F28" s="270">
        <f>IF(OR(Database!$BM28="",Screener!$D$11=""),0,IF(Database!$BM28=Screener!$D$11,1,0))</f>
        <v/>
      </c>
      <c r="G28" s="270">
        <f>IF(OR(Database!$H28="",N(Screener!$D$12)&lt;=0),0,MAX(0,1-(N(Screener!$D$12)-Database!$H28)/W_RECD))</f>
        <v/>
      </c>
      <c r="H28" s="270">
        <f>IF($U$1="",0,N(ISNUMBER(SEARCH($U$1,Database!$AC28&amp;""))))+IF($V$1="",0,N(ISNUMBER(SEARCH($V$1,Database!$AC28&amp;""))))+IF($W$1="",0,N(ISNUMBER(SEARCH($W$1,Database!$AC28&amp;""))))+IF($X$1="",0,N(ISNUMBER(SEARCH($X$1,Database!$AC28&amp;""))))+IF($Y$1="",0,N(ISNUMBER(SEARCH($Y$1,Database!$AC28&amp;""))))+IF(Screener!$B$17="",0,N(ISNUMBER(SEARCH(LOWER(Screener!$B$17),Database!$AC28&amp;""))))</f>
        <v/>
      </c>
      <c r="I28" s="270">
        <f>IF(OR(N(Database!$BH28)&lt;=0,N(Screener!$D$13)&lt;=0),0,MAX(0,1-ABS(LOG10(N(Database!$BH28)/Screener!$D$13))/W_PEHW))</f>
        <v/>
      </c>
      <c r="J28" s="270">
        <f>IF(OR(N(Database!$S28)&lt;=0,N(Screener!$D$14)&lt;=0),0,MAX(0,1-ABS(LOG10(Database!$S28/Screener!$D$14))/0.6))</f>
        <v/>
      </c>
      <c r="K28" s="270">
        <f>IF(Database!$B28=Screener!$B$5,-999999,IF(ISNUMBER(SEARCH(","&amp;Database!$A28&amp;",",","&amp;SUBSTITUTE(Screener!$D$17," ","")&amp;",")),2000000,IF(IF(OR(Screener!$B$18="All",AND(Screener!$B$18="With A-share",(Database!$BM28="Y")),AND(Screener!$B$18="Without A-share",NOT((Database!$BM28="Y")))),1,0)=0,-999999,IF(Screener!$B$16="cornerstone overlap first",H28*100000,IF(Screener!$B$16="demand-similar first",J28*100000,0))+W_SUB*B28+W_SEC*C28*(1-B28)+W_SIZE*D28+W_PROF*E28+W_AH*F28+W_REC*G28+W_CS*H28+W_PE*I28)))+ROW()/1000000</f>
        <v/>
      </c>
      <c r="AA28" s="270">
        <f>Database!B17</f>
        <v/>
      </c>
      <c r="AB28" s="270">
        <f>Database!D17</f>
        <v/>
      </c>
      <c r="AC28" s="270">
        <f>Database!E17</f>
        <v/>
      </c>
      <c r="AD28" s="270">
        <f>Database!I17</f>
        <v/>
      </c>
      <c r="AE28" s="270">
        <f>Database!BG17</f>
        <v/>
      </c>
      <c r="AF28" s="270">
        <f>Database!BM17</f>
        <v/>
      </c>
      <c r="AG28" s="270">
        <f>Database!H17</f>
        <v/>
      </c>
      <c r="AH28" s="270">
        <f>Database!BH17</f>
        <v/>
      </c>
    </row>
    <row r="29">
      <c r="A29" s="270">
        <f>Database!B29</f>
        <v/>
      </c>
      <c r="B29" s="270">
        <f>IF(AND(Screener!$D$8&lt;&gt;"",Database!$E29=Screener!$D$8),1,0)</f>
        <v/>
      </c>
      <c r="C29" s="270">
        <f>IF(AND(Screener!$D$7&lt;&gt;"",Database!$D29=Screener!$D$7),1,0)</f>
        <v/>
      </c>
      <c r="D29" s="270">
        <f>IF(OR(N(Database!$I29)&lt;=0,N(Screener!$D$9)&lt;=0),0,MAX(0,1-ABS(LOG10(N(Database!$I29)/Screener!$D$9))/W_SIZEHW))</f>
        <v/>
      </c>
      <c r="E29" s="270">
        <f>IF(OR(Database!$BG29="",Screener!$D$10=""),0,IF(Database!$BG29=Screener!$D$10,1,0))</f>
        <v/>
      </c>
      <c r="F29" s="270">
        <f>IF(OR(Database!$BM29="",Screener!$D$11=""),0,IF(Database!$BM29=Screener!$D$11,1,0))</f>
        <v/>
      </c>
      <c r="G29" s="270">
        <f>IF(OR(Database!$H29="",N(Screener!$D$12)&lt;=0),0,MAX(0,1-(N(Screener!$D$12)-Database!$H29)/W_RECD))</f>
        <v/>
      </c>
      <c r="H29" s="270">
        <f>IF($U$1="",0,N(ISNUMBER(SEARCH($U$1,Database!$AC29&amp;""))))+IF($V$1="",0,N(ISNUMBER(SEARCH($V$1,Database!$AC29&amp;""))))+IF($W$1="",0,N(ISNUMBER(SEARCH($W$1,Database!$AC29&amp;""))))+IF($X$1="",0,N(ISNUMBER(SEARCH($X$1,Database!$AC29&amp;""))))+IF($Y$1="",0,N(ISNUMBER(SEARCH($Y$1,Database!$AC29&amp;""))))+IF(Screener!$B$17="",0,N(ISNUMBER(SEARCH(LOWER(Screener!$B$17),Database!$AC29&amp;""))))</f>
        <v/>
      </c>
      <c r="I29" s="270">
        <f>IF(OR(N(Database!$BH29)&lt;=0,N(Screener!$D$13)&lt;=0),0,MAX(0,1-ABS(LOG10(N(Database!$BH29)/Screener!$D$13))/W_PEHW))</f>
        <v/>
      </c>
      <c r="J29" s="270">
        <f>IF(OR(N(Database!$S29)&lt;=0,N(Screener!$D$14)&lt;=0),0,MAX(0,1-ABS(LOG10(Database!$S29/Screener!$D$14))/0.6))</f>
        <v/>
      </c>
      <c r="K29" s="270">
        <f>IF(Database!$B29=Screener!$B$5,-999999,IF(ISNUMBER(SEARCH(","&amp;Database!$A29&amp;",",","&amp;SUBSTITUTE(Screener!$D$17," ","")&amp;",")),2000000,IF(IF(OR(Screener!$B$18="All",AND(Screener!$B$18="With A-share",(Database!$BM29="Y")),AND(Screener!$B$18="Without A-share",NOT((Database!$BM29="Y")))),1,0)=0,-999999,IF(Screener!$B$16="cornerstone overlap first",H29*100000,IF(Screener!$B$16="demand-similar first",J29*100000,0))+W_SUB*B29+W_SEC*C29*(1-B29)+W_SIZE*D29+W_PROF*E29+W_AH*F29+W_REC*G29+W_CS*H29+W_PE*I29)))+ROW()/1000000</f>
        <v/>
      </c>
      <c r="AA29" s="270">
        <f>Database!B18</f>
        <v/>
      </c>
      <c r="AB29" s="270">
        <f>Database!D18</f>
        <v/>
      </c>
      <c r="AC29" s="270">
        <f>Database!E18</f>
        <v/>
      </c>
      <c r="AD29" s="270">
        <f>Database!I18</f>
        <v/>
      </c>
      <c r="AE29" s="270">
        <f>Database!BG18</f>
        <v/>
      </c>
      <c r="AF29" s="270">
        <f>Database!BM18</f>
        <v/>
      </c>
      <c r="AG29" s="270">
        <f>Database!H18</f>
        <v/>
      </c>
      <c r="AH29" s="270">
        <f>Database!BH18</f>
        <v/>
      </c>
    </row>
    <row r="30">
      <c r="A30" s="270">
        <f>Database!B30</f>
        <v/>
      </c>
      <c r="B30" s="270">
        <f>IF(AND(Screener!$D$8&lt;&gt;"",Database!$E30=Screener!$D$8),1,0)</f>
        <v/>
      </c>
      <c r="C30" s="270">
        <f>IF(AND(Screener!$D$7&lt;&gt;"",Database!$D30=Screener!$D$7),1,0)</f>
        <v/>
      </c>
      <c r="D30" s="270">
        <f>IF(OR(N(Database!$I30)&lt;=0,N(Screener!$D$9)&lt;=0),0,MAX(0,1-ABS(LOG10(N(Database!$I30)/Screener!$D$9))/W_SIZEHW))</f>
        <v/>
      </c>
      <c r="E30" s="270">
        <f>IF(OR(Database!$BG30="",Screener!$D$10=""),0,IF(Database!$BG30=Screener!$D$10,1,0))</f>
        <v/>
      </c>
      <c r="F30" s="270">
        <f>IF(OR(Database!$BM30="",Screener!$D$11=""),0,IF(Database!$BM30=Screener!$D$11,1,0))</f>
        <v/>
      </c>
      <c r="G30" s="270">
        <f>IF(OR(Database!$H30="",N(Screener!$D$12)&lt;=0),0,MAX(0,1-(N(Screener!$D$12)-Database!$H30)/W_RECD))</f>
        <v/>
      </c>
      <c r="H30" s="270">
        <f>IF($U$1="",0,N(ISNUMBER(SEARCH($U$1,Database!$AC30&amp;""))))+IF($V$1="",0,N(ISNUMBER(SEARCH($V$1,Database!$AC30&amp;""))))+IF($W$1="",0,N(ISNUMBER(SEARCH($W$1,Database!$AC30&amp;""))))+IF($X$1="",0,N(ISNUMBER(SEARCH($X$1,Database!$AC30&amp;""))))+IF($Y$1="",0,N(ISNUMBER(SEARCH($Y$1,Database!$AC30&amp;""))))+IF(Screener!$B$17="",0,N(ISNUMBER(SEARCH(LOWER(Screener!$B$17),Database!$AC30&amp;""))))</f>
        <v/>
      </c>
      <c r="I30" s="270">
        <f>IF(OR(N(Database!$BH30)&lt;=0,N(Screener!$D$13)&lt;=0),0,MAX(0,1-ABS(LOG10(N(Database!$BH30)/Screener!$D$13))/W_PEHW))</f>
        <v/>
      </c>
      <c r="J30" s="270">
        <f>IF(OR(N(Database!$S30)&lt;=0,N(Screener!$D$14)&lt;=0),0,MAX(0,1-ABS(LOG10(Database!$S30/Screener!$D$14))/0.6))</f>
        <v/>
      </c>
      <c r="K30" s="270">
        <f>IF(Database!$B30=Screener!$B$5,-999999,IF(ISNUMBER(SEARCH(","&amp;Database!$A30&amp;",",","&amp;SUBSTITUTE(Screener!$D$17," ","")&amp;",")),2000000,IF(IF(OR(Screener!$B$18="All",AND(Screener!$B$18="With A-share",(Database!$BM30="Y")),AND(Screener!$B$18="Without A-share",NOT((Database!$BM30="Y")))),1,0)=0,-999999,IF(Screener!$B$16="cornerstone overlap first",H30*100000,IF(Screener!$B$16="demand-similar first",J30*100000,0))+W_SUB*B30+W_SEC*C30*(1-B30)+W_SIZE*D30+W_PROF*E30+W_AH*F30+W_REC*G30+W_CS*H30+W_PE*I30)))+ROW()/1000000</f>
        <v/>
      </c>
      <c r="AA30" s="270">
        <f>Database!B19</f>
        <v/>
      </c>
      <c r="AB30" s="270">
        <f>Database!D19</f>
        <v/>
      </c>
      <c r="AC30" s="270">
        <f>Database!E19</f>
        <v/>
      </c>
      <c r="AD30" s="270">
        <f>Database!I19</f>
        <v/>
      </c>
      <c r="AE30" s="270">
        <f>Database!BG19</f>
        <v/>
      </c>
      <c r="AF30" s="270">
        <f>Database!BM19</f>
        <v/>
      </c>
      <c r="AG30" s="270">
        <f>Database!H19</f>
        <v/>
      </c>
      <c r="AH30" s="270">
        <f>Database!BH19</f>
        <v/>
      </c>
    </row>
    <row r="31">
      <c r="A31" s="270">
        <f>Database!B31</f>
        <v/>
      </c>
      <c r="B31" s="270">
        <f>IF(AND(Screener!$D$8&lt;&gt;"",Database!$E31=Screener!$D$8),1,0)</f>
        <v/>
      </c>
      <c r="C31" s="270">
        <f>IF(AND(Screener!$D$7&lt;&gt;"",Database!$D31=Screener!$D$7),1,0)</f>
        <v/>
      </c>
      <c r="D31" s="270">
        <f>IF(OR(N(Database!$I31)&lt;=0,N(Screener!$D$9)&lt;=0),0,MAX(0,1-ABS(LOG10(N(Database!$I31)/Screener!$D$9))/W_SIZEHW))</f>
        <v/>
      </c>
      <c r="E31" s="270">
        <f>IF(OR(Database!$BG31="",Screener!$D$10=""),0,IF(Database!$BG31=Screener!$D$10,1,0))</f>
        <v/>
      </c>
      <c r="F31" s="270">
        <f>IF(OR(Database!$BM31="",Screener!$D$11=""),0,IF(Database!$BM31=Screener!$D$11,1,0))</f>
        <v/>
      </c>
      <c r="G31" s="270">
        <f>IF(OR(Database!$H31="",N(Screener!$D$12)&lt;=0),0,MAX(0,1-(N(Screener!$D$12)-Database!$H31)/W_RECD))</f>
        <v/>
      </c>
      <c r="H31" s="270">
        <f>IF($U$1="",0,N(ISNUMBER(SEARCH($U$1,Database!$AC31&amp;""))))+IF($V$1="",0,N(ISNUMBER(SEARCH($V$1,Database!$AC31&amp;""))))+IF($W$1="",0,N(ISNUMBER(SEARCH($W$1,Database!$AC31&amp;""))))+IF($X$1="",0,N(ISNUMBER(SEARCH($X$1,Database!$AC31&amp;""))))+IF($Y$1="",0,N(ISNUMBER(SEARCH($Y$1,Database!$AC31&amp;""))))+IF(Screener!$B$17="",0,N(ISNUMBER(SEARCH(LOWER(Screener!$B$17),Database!$AC31&amp;""))))</f>
        <v/>
      </c>
      <c r="I31" s="270">
        <f>IF(OR(N(Database!$BH31)&lt;=0,N(Screener!$D$13)&lt;=0),0,MAX(0,1-ABS(LOG10(N(Database!$BH31)/Screener!$D$13))/W_PEHW))</f>
        <v/>
      </c>
      <c r="J31" s="270">
        <f>IF(OR(N(Database!$S31)&lt;=0,N(Screener!$D$14)&lt;=0),0,MAX(0,1-ABS(LOG10(Database!$S31/Screener!$D$14))/0.6))</f>
        <v/>
      </c>
      <c r="K31" s="270">
        <f>IF(Database!$B31=Screener!$B$5,-999999,IF(ISNUMBER(SEARCH(","&amp;Database!$A31&amp;",",","&amp;SUBSTITUTE(Screener!$D$17," ","")&amp;",")),2000000,IF(IF(OR(Screener!$B$18="All",AND(Screener!$B$18="With A-share",(Database!$BM31="Y")),AND(Screener!$B$18="Without A-share",NOT((Database!$BM31="Y")))),1,0)=0,-999999,IF(Screener!$B$16="cornerstone overlap first",H31*100000,IF(Screener!$B$16="demand-similar first",J31*100000,0))+W_SUB*B31+W_SEC*C31*(1-B31)+W_SIZE*D31+W_PROF*E31+W_AH*F31+W_REC*G31+W_CS*H31+W_PE*I31)))+ROW()/1000000</f>
        <v/>
      </c>
      <c r="AA31" s="270">
        <f>Database!B20</f>
        <v/>
      </c>
      <c r="AB31" s="270">
        <f>Database!D20</f>
        <v/>
      </c>
      <c r="AC31" s="270">
        <f>Database!E20</f>
        <v/>
      </c>
      <c r="AD31" s="270">
        <f>Database!I20</f>
        <v/>
      </c>
      <c r="AE31" s="270">
        <f>Database!BG20</f>
        <v/>
      </c>
      <c r="AF31" s="270">
        <f>Database!BM20</f>
        <v/>
      </c>
      <c r="AG31" s="270">
        <f>Database!H20</f>
        <v/>
      </c>
      <c r="AH31" s="270">
        <f>Database!BH20</f>
        <v/>
      </c>
    </row>
    <row r="32">
      <c r="A32" s="270">
        <f>Database!B32</f>
        <v/>
      </c>
      <c r="B32" s="270">
        <f>IF(AND(Screener!$D$8&lt;&gt;"",Database!$E32=Screener!$D$8),1,0)</f>
        <v/>
      </c>
      <c r="C32" s="270">
        <f>IF(AND(Screener!$D$7&lt;&gt;"",Database!$D32=Screener!$D$7),1,0)</f>
        <v/>
      </c>
      <c r="D32" s="270">
        <f>IF(OR(N(Database!$I32)&lt;=0,N(Screener!$D$9)&lt;=0),0,MAX(0,1-ABS(LOG10(N(Database!$I32)/Screener!$D$9))/W_SIZEHW))</f>
        <v/>
      </c>
      <c r="E32" s="270">
        <f>IF(OR(Database!$BG32="",Screener!$D$10=""),0,IF(Database!$BG32=Screener!$D$10,1,0))</f>
        <v/>
      </c>
      <c r="F32" s="270">
        <f>IF(OR(Database!$BM32="",Screener!$D$11=""),0,IF(Database!$BM32=Screener!$D$11,1,0))</f>
        <v/>
      </c>
      <c r="G32" s="270">
        <f>IF(OR(Database!$H32="",N(Screener!$D$12)&lt;=0),0,MAX(0,1-(N(Screener!$D$12)-Database!$H32)/W_RECD))</f>
        <v/>
      </c>
      <c r="H32" s="270">
        <f>IF($U$1="",0,N(ISNUMBER(SEARCH($U$1,Database!$AC32&amp;""))))+IF($V$1="",0,N(ISNUMBER(SEARCH($V$1,Database!$AC32&amp;""))))+IF($W$1="",0,N(ISNUMBER(SEARCH($W$1,Database!$AC32&amp;""))))+IF($X$1="",0,N(ISNUMBER(SEARCH($X$1,Database!$AC32&amp;""))))+IF($Y$1="",0,N(ISNUMBER(SEARCH($Y$1,Database!$AC32&amp;""))))+IF(Screener!$B$17="",0,N(ISNUMBER(SEARCH(LOWER(Screener!$B$17),Database!$AC32&amp;""))))</f>
        <v/>
      </c>
      <c r="I32" s="270">
        <f>IF(OR(N(Database!$BH32)&lt;=0,N(Screener!$D$13)&lt;=0),0,MAX(0,1-ABS(LOG10(N(Database!$BH32)/Screener!$D$13))/W_PEHW))</f>
        <v/>
      </c>
      <c r="J32" s="270">
        <f>IF(OR(N(Database!$S32)&lt;=0,N(Screener!$D$14)&lt;=0),0,MAX(0,1-ABS(LOG10(Database!$S32/Screener!$D$14))/0.6))</f>
        <v/>
      </c>
      <c r="K32" s="270">
        <f>IF(Database!$B32=Screener!$B$5,-999999,IF(ISNUMBER(SEARCH(","&amp;Database!$A32&amp;",",","&amp;SUBSTITUTE(Screener!$D$17," ","")&amp;",")),2000000,IF(IF(OR(Screener!$B$18="All",AND(Screener!$B$18="With A-share",(Database!$BM32="Y")),AND(Screener!$B$18="Without A-share",NOT((Database!$BM32="Y")))),1,0)=0,-999999,IF(Screener!$B$16="cornerstone overlap first",H32*100000,IF(Screener!$B$16="demand-similar first",J32*100000,0))+W_SUB*B32+W_SEC*C32*(1-B32)+W_SIZE*D32+W_PROF*E32+W_AH*F32+W_REC*G32+W_CS*H32+W_PE*I32)))+ROW()/1000000</f>
        <v/>
      </c>
      <c r="AA32" s="270">
        <f>Database!B21</f>
        <v/>
      </c>
      <c r="AB32" s="270">
        <f>Database!D21</f>
        <v/>
      </c>
      <c r="AC32" s="270">
        <f>Database!E21</f>
        <v/>
      </c>
      <c r="AD32" s="270">
        <f>Database!I21</f>
        <v/>
      </c>
      <c r="AE32" s="270">
        <f>Database!BG21</f>
        <v/>
      </c>
      <c r="AF32" s="270">
        <f>Database!BM21</f>
        <v/>
      </c>
      <c r="AG32" s="270">
        <f>Database!H21</f>
        <v/>
      </c>
      <c r="AH32" s="270">
        <f>Database!BH21</f>
        <v/>
      </c>
    </row>
    <row r="33">
      <c r="A33" s="270">
        <f>Database!B33</f>
        <v/>
      </c>
      <c r="B33" s="270">
        <f>IF(AND(Screener!$D$8&lt;&gt;"",Database!$E33=Screener!$D$8),1,0)</f>
        <v/>
      </c>
      <c r="C33" s="270">
        <f>IF(AND(Screener!$D$7&lt;&gt;"",Database!$D33=Screener!$D$7),1,0)</f>
        <v/>
      </c>
      <c r="D33" s="270">
        <f>IF(OR(N(Database!$I33)&lt;=0,N(Screener!$D$9)&lt;=0),0,MAX(0,1-ABS(LOG10(N(Database!$I33)/Screener!$D$9))/W_SIZEHW))</f>
        <v/>
      </c>
      <c r="E33" s="270">
        <f>IF(OR(Database!$BG33="",Screener!$D$10=""),0,IF(Database!$BG33=Screener!$D$10,1,0))</f>
        <v/>
      </c>
      <c r="F33" s="270">
        <f>IF(OR(Database!$BM33="",Screener!$D$11=""),0,IF(Database!$BM33=Screener!$D$11,1,0))</f>
        <v/>
      </c>
      <c r="G33" s="270">
        <f>IF(OR(Database!$H33="",N(Screener!$D$12)&lt;=0),0,MAX(0,1-(N(Screener!$D$12)-Database!$H33)/W_RECD))</f>
        <v/>
      </c>
      <c r="H33" s="270">
        <f>IF($U$1="",0,N(ISNUMBER(SEARCH($U$1,Database!$AC33&amp;""))))+IF($V$1="",0,N(ISNUMBER(SEARCH($V$1,Database!$AC33&amp;""))))+IF($W$1="",0,N(ISNUMBER(SEARCH($W$1,Database!$AC33&amp;""))))+IF($X$1="",0,N(ISNUMBER(SEARCH($X$1,Database!$AC33&amp;""))))+IF($Y$1="",0,N(ISNUMBER(SEARCH($Y$1,Database!$AC33&amp;""))))+IF(Screener!$B$17="",0,N(ISNUMBER(SEARCH(LOWER(Screener!$B$17),Database!$AC33&amp;""))))</f>
        <v/>
      </c>
      <c r="I33" s="270">
        <f>IF(OR(N(Database!$BH33)&lt;=0,N(Screener!$D$13)&lt;=0),0,MAX(0,1-ABS(LOG10(N(Database!$BH33)/Screener!$D$13))/W_PEHW))</f>
        <v/>
      </c>
      <c r="J33" s="270">
        <f>IF(OR(N(Database!$S33)&lt;=0,N(Screener!$D$14)&lt;=0),0,MAX(0,1-ABS(LOG10(Database!$S33/Screener!$D$14))/0.6))</f>
        <v/>
      </c>
      <c r="K33" s="270">
        <f>IF(Database!$B33=Screener!$B$5,-999999,IF(ISNUMBER(SEARCH(","&amp;Database!$A33&amp;",",","&amp;SUBSTITUTE(Screener!$D$17," ","")&amp;",")),2000000,IF(IF(OR(Screener!$B$18="All",AND(Screener!$B$18="With A-share",(Database!$BM33="Y")),AND(Screener!$B$18="Without A-share",NOT((Database!$BM33="Y")))),1,0)=0,-999999,IF(Screener!$B$16="cornerstone overlap first",H33*100000,IF(Screener!$B$16="demand-similar first",J33*100000,0))+W_SUB*B33+W_SEC*C33*(1-B33)+W_SIZE*D33+W_PROF*E33+W_AH*F33+W_REC*G33+W_CS*H33+W_PE*I33)))+ROW()/1000000</f>
        <v/>
      </c>
      <c r="AA33" s="270">
        <f>Database!B22</f>
        <v/>
      </c>
      <c r="AB33" s="270">
        <f>Database!D22</f>
        <v/>
      </c>
      <c r="AC33" s="270">
        <f>Database!E22</f>
        <v/>
      </c>
      <c r="AD33" s="270">
        <f>Database!I22</f>
        <v/>
      </c>
      <c r="AE33" s="270">
        <f>Database!BG22</f>
        <v/>
      </c>
      <c r="AF33" s="270">
        <f>Database!BM22</f>
        <v/>
      </c>
      <c r="AG33" s="270">
        <f>Database!H22</f>
        <v/>
      </c>
      <c r="AH33" s="270">
        <f>Database!BH22</f>
        <v/>
      </c>
    </row>
    <row r="34">
      <c r="A34" s="270">
        <f>Database!B34</f>
        <v/>
      </c>
      <c r="B34" s="270">
        <f>IF(AND(Screener!$D$8&lt;&gt;"",Database!$E34=Screener!$D$8),1,0)</f>
        <v/>
      </c>
      <c r="C34" s="270">
        <f>IF(AND(Screener!$D$7&lt;&gt;"",Database!$D34=Screener!$D$7),1,0)</f>
        <v/>
      </c>
      <c r="D34" s="270">
        <f>IF(OR(N(Database!$I34)&lt;=0,N(Screener!$D$9)&lt;=0),0,MAX(0,1-ABS(LOG10(N(Database!$I34)/Screener!$D$9))/W_SIZEHW))</f>
        <v/>
      </c>
      <c r="E34" s="270">
        <f>IF(OR(Database!$BG34="",Screener!$D$10=""),0,IF(Database!$BG34=Screener!$D$10,1,0))</f>
        <v/>
      </c>
      <c r="F34" s="270">
        <f>IF(OR(Database!$BM34="",Screener!$D$11=""),0,IF(Database!$BM34=Screener!$D$11,1,0))</f>
        <v/>
      </c>
      <c r="G34" s="270">
        <f>IF(OR(Database!$H34="",N(Screener!$D$12)&lt;=0),0,MAX(0,1-(N(Screener!$D$12)-Database!$H34)/W_RECD))</f>
        <v/>
      </c>
      <c r="H34" s="270">
        <f>IF($U$1="",0,N(ISNUMBER(SEARCH($U$1,Database!$AC34&amp;""))))+IF($V$1="",0,N(ISNUMBER(SEARCH($V$1,Database!$AC34&amp;""))))+IF($W$1="",0,N(ISNUMBER(SEARCH($W$1,Database!$AC34&amp;""))))+IF($X$1="",0,N(ISNUMBER(SEARCH($X$1,Database!$AC34&amp;""))))+IF($Y$1="",0,N(ISNUMBER(SEARCH($Y$1,Database!$AC34&amp;""))))+IF(Screener!$B$17="",0,N(ISNUMBER(SEARCH(LOWER(Screener!$B$17),Database!$AC34&amp;""))))</f>
        <v/>
      </c>
      <c r="I34" s="270">
        <f>IF(OR(N(Database!$BH34)&lt;=0,N(Screener!$D$13)&lt;=0),0,MAX(0,1-ABS(LOG10(N(Database!$BH34)/Screener!$D$13))/W_PEHW))</f>
        <v/>
      </c>
      <c r="J34" s="270">
        <f>IF(OR(N(Database!$S34)&lt;=0,N(Screener!$D$14)&lt;=0),0,MAX(0,1-ABS(LOG10(Database!$S34/Screener!$D$14))/0.6))</f>
        <v/>
      </c>
      <c r="K34" s="270">
        <f>IF(Database!$B34=Screener!$B$5,-999999,IF(ISNUMBER(SEARCH(","&amp;Database!$A34&amp;",",","&amp;SUBSTITUTE(Screener!$D$17," ","")&amp;",")),2000000,IF(IF(OR(Screener!$B$18="All",AND(Screener!$B$18="With A-share",(Database!$BM34="Y")),AND(Screener!$B$18="Without A-share",NOT((Database!$BM34="Y")))),1,0)=0,-999999,IF(Screener!$B$16="cornerstone overlap first",H34*100000,IF(Screener!$B$16="demand-similar first",J34*100000,0))+W_SUB*B34+W_SEC*C34*(1-B34)+W_SIZE*D34+W_PROF*E34+W_AH*F34+W_REC*G34+W_CS*H34+W_PE*I34)))+ROW()/1000000</f>
        <v/>
      </c>
      <c r="AA34" s="270">
        <f>Database!B23</f>
        <v/>
      </c>
      <c r="AB34" s="270">
        <f>Database!D23</f>
        <v/>
      </c>
      <c r="AC34" s="270">
        <f>Database!E23</f>
        <v/>
      </c>
      <c r="AD34" s="270">
        <f>Database!I23</f>
        <v/>
      </c>
      <c r="AE34" s="270">
        <f>Database!BG23</f>
        <v/>
      </c>
      <c r="AF34" s="270">
        <f>Database!BM23</f>
        <v/>
      </c>
      <c r="AG34" s="270">
        <f>Database!H23</f>
        <v/>
      </c>
      <c r="AH34" s="270">
        <f>Database!BH23</f>
        <v/>
      </c>
    </row>
    <row r="35">
      <c r="A35" s="270">
        <f>Database!B35</f>
        <v/>
      </c>
      <c r="B35" s="270">
        <f>IF(AND(Screener!$D$8&lt;&gt;"",Database!$E35=Screener!$D$8),1,0)</f>
        <v/>
      </c>
      <c r="C35" s="270">
        <f>IF(AND(Screener!$D$7&lt;&gt;"",Database!$D35=Screener!$D$7),1,0)</f>
        <v/>
      </c>
      <c r="D35" s="270">
        <f>IF(OR(N(Database!$I35)&lt;=0,N(Screener!$D$9)&lt;=0),0,MAX(0,1-ABS(LOG10(N(Database!$I35)/Screener!$D$9))/W_SIZEHW))</f>
        <v/>
      </c>
      <c r="E35" s="270">
        <f>IF(OR(Database!$BG35="",Screener!$D$10=""),0,IF(Database!$BG35=Screener!$D$10,1,0))</f>
        <v/>
      </c>
      <c r="F35" s="270">
        <f>IF(OR(Database!$BM35="",Screener!$D$11=""),0,IF(Database!$BM35=Screener!$D$11,1,0))</f>
        <v/>
      </c>
      <c r="G35" s="270">
        <f>IF(OR(Database!$H35="",N(Screener!$D$12)&lt;=0),0,MAX(0,1-(N(Screener!$D$12)-Database!$H35)/W_RECD))</f>
        <v/>
      </c>
      <c r="H35" s="270">
        <f>IF($U$1="",0,N(ISNUMBER(SEARCH($U$1,Database!$AC35&amp;""))))+IF($V$1="",0,N(ISNUMBER(SEARCH($V$1,Database!$AC35&amp;""))))+IF($W$1="",0,N(ISNUMBER(SEARCH($W$1,Database!$AC35&amp;""))))+IF($X$1="",0,N(ISNUMBER(SEARCH($X$1,Database!$AC35&amp;""))))+IF($Y$1="",0,N(ISNUMBER(SEARCH($Y$1,Database!$AC35&amp;""))))+IF(Screener!$B$17="",0,N(ISNUMBER(SEARCH(LOWER(Screener!$B$17),Database!$AC35&amp;""))))</f>
        <v/>
      </c>
      <c r="I35" s="270">
        <f>IF(OR(N(Database!$BH35)&lt;=0,N(Screener!$D$13)&lt;=0),0,MAX(0,1-ABS(LOG10(N(Database!$BH35)/Screener!$D$13))/W_PEHW))</f>
        <v/>
      </c>
      <c r="J35" s="270">
        <f>IF(OR(N(Database!$S35)&lt;=0,N(Screener!$D$14)&lt;=0),0,MAX(0,1-ABS(LOG10(Database!$S35/Screener!$D$14))/0.6))</f>
        <v/>
      </c>
      <c r="K35" s="270">
        <f>IF(Database!$B35=Screener!$B$5,-999999,IF(ISNUMBER(SEARCH(","&amp;Database!$A35&amp;",",","&amp;SUBSTITUTE(Screener!$D$17," ","")&amp;",")),2000000,IF(IF(OR(Screener!$B$18="All",AND(Screener!$B$18="With A-share",(Database!$BM35="Y")),AND(Screener!$B$18="Without A-share",NOT((Database!$BM35="Y")))),1,0)=0,-999999,IF(Screener!$B$16="cornerstone overlap first",H35*100000,IF(Screener!$B$16="demand-similar first",J35*100000,0))+W_SUB*B35+W_SEC*C35*(1-B35)+W_SIZE*D35+W_PROF*E35+W_AH*F35+W_REC*G35+W_CS*H35+W_PE*I35)))+ROW()/1000000</f>
        <v/>
      </c>
      <c r="AA35" s="270">
        <f>Database!B24</f>
        <v/>
      </c>
      <c r="AB35" s="270">
        <f>Database!D24</f>
        <v/>
      </c>
      <c r="AC35" s="270">
        <f>Database!E24</f>
        <v/>
      </c>
      <c r="AD35" s="270">
        <f>Database!I24</f>
        <v/>
      </c>
      <c r="AE35" s="270">
        <f>Database!BG24</f>
        <v/>
      </c>
      <c r="AF35" s="270">
        <f>Database!BM24</f>
        <v/>
      </c>
      <c r="AG35" s="270">
        <f>Database!H24</f>
        <v/>
      </c>
      <c r="AH35" s="270">
        <f>Database!BH24</f>
        <v/>
      </c>
    </row>
    <row r="36">
      <c r="A36" s="270">
        <f>Database!B36</f>
        <v/>
      </c>
      <c r="B36" s="270">
        <f>IF(AND(Screener!$D$8&lt;&gt;"",Database!$E36=Screener!$D$8),1,0)</f>
        <v/>
      </c>
      <c r="C36" s="270">
        <f>IF(AND(Screener!$D$7&lt;&gt;"",Database!$D36=Screener!$D$7),1,0)</f>
        <v/>
      </c>
      <c r="D36" s="270">
        <f>IF(OR(N(Database!$I36)&lt;=0,N(Screener!$D$9)&lt;=0),0,MAX(0,1-ABS(LOG10(N(Database!$I36)/Screener!$D$9))/W_SIZEHW))</f>
        <v/>
      </c>
      <c r="E36" s="270">
        <f>IF(OR(Database!$BG36="",Screener!$D$10=""),0,IF(Database!$BG36=Screener!$D$10,1,0))</f>
        <v/>
      </c>
      <c r="F36" s="270">
        <f>IF(OR(Database!$BM36="",Screener!$D$11=""),0,IF(Database!$BM36=Screener!$D$11,1,0))</f>
        <v/>
      </c>
      <c r="G36" s="270">
        <f>IF(OR(Database!$H36="",N(Screener!$D$12)&lt;=0),0,MAX(0,1-(N(Screener!$D$12)-Database!$H36)/W_RECD))</f>
        <v/>
      </c>
      <c r="H36" s="270">
        <f>IF($U$1="",0,N(ISNUMBER(SEARCH($U$1,Database!$AC36&amp;""))))+IF($V$1="",0,N(ISNUMBER(SEARCH($V$1,Database!$AC36&amp;""))))+IF($W$1="",0,N(ISNUMBER(SEARCH($W$1,Database!$AC36&amp;""))))+IF($X$1="",0,N(ISNUMBER(SEARCH($X$1,Database!$AC36&amp;""))))+IF($Y$1="",0,N(ISNUMBER(SEARCH($Y$1,Database!$AC36&amp;""))))+IF(Screener!$B$17="",0,N(ISNUMBER(SEARCH(LOWER(Screener!$B$17),Database!$AC36&amp;""))))</f>
        <v/>
      </c>
      <c r="I36" s="270">
        <f>IF(OR(N(Database!$BH36)&lt;=0,N(Screener!$D$13)&lt;=0),0,MAX(0,1-ABS(LOG10(N(Database!$BH36)/Screener!$D$13))/W_PEHW))</f>
        <v/>
      </c>
      <c r="J36" s="270">
        <f>IF(OR(N(Database!$S36)&lt;=0,N(Screener!$D$14)&lt;=0),0,MAX(0,1-ABS(LOG10(Database!$S36/Screener!$D$14))/0.6))</f>
        <v/>
      </c>
      <c r="K36" s="270">
        <f>IF(Database!$B36=Screener!$B$5,-999999,IF(ISNUMBER(SEARCH(","&amp;Database!$A36&amp;",",","&amp;SUBSTITUTE(Screener!$D$17," ","")&amp;",")),2000000,IF(IF(OR(Screener!$B$18="All",AND(Screener!$B$18="With A-share",(Database!$BM36="Y")),AND(Screener!$B$18="Without A-share",NOT((Database!$BM36="Y")))),1,0)=0,-999999,IF(Screener!$B$16="cornerstone overlap first",H36*100000,IF(Screener!$B$16="demand-similar first",J36*100000,0))+W_SUB*B36+W_SEC*C36*(1-B36)+W_SIZE*D36+W_PROF*E36+W_AH*F36+W_REC*G36+W_CS*H36+W_PE*I36)))+ROW()/1000000</f>
        <v/>
      </c>
      <c r="AA36" s="270">
        <f>Database!B25</f>
        <v/>
      </c>
      <c r="AB36" s="270">
        <f>Database!D25</f>
        <v/>
      </c>
      <c r="AC36" s="270">
        <f>Database!E25</f>
        <v/>
      </c>
      <c r="AD36" s="270">
        <f>Database!I25</f>
        <v/>
      </c>
      <c r="AE36" s="270">
        <f>Database!BG25</f>
        <v/>
      </c>
      <c r="AF36" s="270">
        <f>Database!BM25</f>
        <v/>
      </c>
      <c r="AG36" s="270">
        <f>Database!H25</f>
        <v/>
      </c>
      <c r="AH36" s="270">
        <f>Database!BH25</f>
        <v/>
      </c>
    </row>
    <row r="37">
      <c r="A37" s="270">
        <f>Database!B37</f>
        <v/>
      </c>
      <c r="B37" s="270">
        <f>IF(AND(Screener!$D$8&lt;&gt;"",Database!$E37=Screener!$D$8),1,0)</f>
        <v/>
      </c>
      <c r="C37" s="270">
        <f>IF(AND(Screener!$D$7&lt;&gt;"",Database!$D37=Screener!$D$7),1,0)</f>
        <v/>
      </c>
      <c r="D37" s="270">
        <f>IF(OR(N(Database!$I37)&lt;=0,N(Screener!$D$9)&lt;=0),0,MAX(0,1-ABS(LOG10(N(Database!$I37)/Screener!$D$9))/W_SIZEHW))</f>
        <v/>
      </c>
      <c r="E37" s="270">
        <f>IF(OR(Database!$BG37="",Screener!$D$10=""),0,IF(Database!$BG37=Screener!$D$10,1,0))</f>
        <v/>
      </c>
      <c r="F37" s="270">
        <f>IF(OR(Database!$BM37="",Screener!$D$11=""),0,IF(Database!$BM37=Screener!$D$11,1,0))</f>
        <v/>
      </c>
      <c r="G37" s="270">
        <f>IF(OR(Database!$H37="",N(Screener!$D$12)&lt;=0),0,MAX(0,1-(N(Screener!$D$12)-Database!$H37)/W_RECD))</f>
        <v/>
      </c>
      <c r="H37" s="270">
        <f>IF($U$1="",0,N(ISNUMBER(SEARCH($U$1,Database!$AC37&amp;""))))+IF($V$1="",0,N(ISNUMBER(SEARCH($V$1,Database!$AC37&amp;""))))+IF($W$1="",0,N(ISNUMBER(SEARCH($W$1,Database!$AC37&amp;""))))+IF($X$1="",0,N(ISNUMBER(SEARCH($X$1,Database!$AC37&amp;""))))+IF($Y$1="",0,N(ISNUMBER(SEARCH($Y$1,Database!$AC37&amp;""))))+IF(Screener!$B$17="",0,N(ISNUMBER(SEARCH(LOWER(Screener!$B$17),Database!$AC37&amp;""))))</f>
        <v/>
      </c>
      <c r="I37" s="270">
        <f>IF(OR(N(Database!$BH37)&lt;=0,N(Screener!$D$13)&lt;=0),0,MAX(0,1-ABS(LOG10(N(Database!$BH37)/Screener!$D$13))/W_PEHW))</f>
        <v/>
      </c>
      <c r="J37" s="270">
        <f>IF(OR(N(Database!$S37)&lt;=0,N(Screener!$D$14)&lt;=0),0,MAX(0,1-ABS(LOG10(Database!$S37/Screener!$D$14))/0.6))</f>
        <v/>
      </c>
      <c r="K37" s="270">
        <f>IF(Database!$B37=Screener!$B$5,-999999,IF(ISNUMBER(SEARCH(","&amp;Database!$A37&amp;",",","&amp;SUBSTITUTE(Screener!$D$17," ","")&amp;",")),2000000,IF(IF(OR(Screener!$B$18="All",AND(Screener!$B$18="With A-share",(Database!$BM37="Y")),AND(Screener!$B$18="Without A-share",NOT((Database!$BM37="Y")))),1,0)=0,-999999,IF(Screener!$B$16="cornerstone overlap first",H37*100000,IF(Screener!$B$16="demand-similar first",J37*100000,0))+W_SUB*B37+W_SEC*C37*(1-B37)+W_SIZE*D37+W_PROF*E37+W_AH*F37+W_REC*G37+W_CS*H37+W_PE*I37)))+ROW()/1000000</f>
        <v/>
      </c>
      <c r="AA37" s="270">
        <f>Database!B26</f>
        <v/>
      </c>
      <c r="AB37" s="270">
        <f>Database!D26</f>
        <v/>
      </c>
      <c r="AC37" s="270">
        <f>Database!E26</f>
        <v/>
      </c>
      <c r="AD37" s="270">
        <f>Database!I26</f>
        <v/>
      </c>
      <c r="AE37" s="270">
        <f>Database!BG26</f>
        <v/>
      </c>
      <c r="AF37" s="270">
        <f>Database!BM26</f>
        <v/>
      </c>
      <c r="AG37" s="270">
        <f>Database!H26</f>
        <v/>
      </c>
      <c r="AH37" s="270">
        <f>Database!BH26</f>
        <v/>
      </c>
    </row>
    <row r="38">
      <c r="A38" s="270">
        <f>Database!B38</f>
        <v/>
      </c>
      <c r="B38" s="270">
        <f>IF(AND(Screener!$D$8&lt;&gt;"",Database!$E38=Screener!$D$8),1,0)</f>
        <v/>
      </c>
      <c r="C38" s="270">
        <f>IF(AND(Screener!$D$7&lt;&gt;"",Database!$D38=Screener!$D$7),1,0)</f>
        <v/>
      </c>
      <c r="D38" s="270">
        <f>IF(OR(N(Database!$I38)&lt;=0,N(Screener!$D$9)&lt;=0),0,MAX(0,1-ABS(LOG10(N(Database!$I38)/Screener!$D$9))/W_SIZEHW))</f>
        <v/>
      </c>
      <c r="E38" s="270">
        <f>IF(OR(Database!$BG38="",Screener!$D$10=""),0,IF(Database!$BG38=Screener!$D$10,1,0))</f>
        <v/>
      </c>
      <c r="F38" s="270">
        <f>IF(OR(Database!$BM38="",Screener!$D$11=""),0,IF(Database!$BM38=Screener!$D$11,1,0))</f>
        <v/>
      </c>
      <c r="G38" s="270">
        <f>IF(OR(Database!$H38="",N(Screener!$D$12)&lt;=0),0,MAX(0,1-(N(Screener!$D$12)-Database!$H38)/W_RECD))</f>
        <v/>
      </c>
      <c r="H38" s="270">
        <f>IF($U$1="",0,N(ISNUMBER(SEARCH($U$1,Database!$AC38&amp;""))))+IF($V$1="",0,N(ISNUMBER(SEARCH($V$1,Database!$AC38&amp;""))))+IF($W$1="",0,N(ISNUMBER(SEARCH($W$1,Database!$AC38&amp;""))))+IF($X$1="",0,N(ISNUMBER(SEARCH($X$1,Database!$AC38&amp;""))))+IF($Y$1="",0,N(ISNUMBER(SEARCH($Y$1,Database!$AC38&amp;""))))+IF(Screener!$B$17="",0,N(ISNUMBER(SEARCH(LOWER(Screener!$B$17),Database!$AC38&amp;""))))</f>
        <v/>
      </c>
      <c r="I38" s="270">
        <f>IF(OR(N(Database!$BH38)&lt;=0,N(Screener!$D$13)&lt;=0),0,MAX(0,1-ABS(LOG10(N(Database!$BH38)/Screener!$D$13))/W_PEHW))</f>
        <v/>
      </c>
      <c r="J38" s="270">
        <f>IF(OR(N(Database!$S38)&lt;=0,N(Screener!$D$14)&lt;=0),0,MAX(0,1-ABS(LOG10(Database!$S38/Screener!$D$14))/0.6))</f>
        <v/>
      </c>
      <c r="K38" s="270">
        <f>IF(Database!$B38=Screener!$B$5,-999999,IF(ISNUMBER(SEARCH(","&amp;Database!$A38&amp;",",","&amp;SUBSTITUTE(Screener!$D$17," ","")&amp;",")),2000000,IF(IF(OR(Screener!$B$18="All",AND(Screener!$B$18="With A-share",(Database!$BM38="Y")),AND(Screener!$B$18="Without A-share",NOT((Database!$BM38="Y")))),1,0)=0,-999999,IF(Screener!$B$16="cornerstone overlap first",H38*100000,IF(Screener!$B$16="demand-similar first",J38*100000,0))+W_SUB*B38+W_SEC*C38*(1-B38)+W_SIZE*D38+W_PROF*E38+W_AH*F38+W_REC*G38+W_CS*H38+W_PE*I38)))+ROW()/1000000</f>
        <v/>
      </c>
      <c r="AA38" s="270">
        <f>Database!B27</f>
        <v/>
      </c>
      <c r="AB38" s="270">
        <f>Database!D27</f>
        <v/>
      </c>
      <c r="AC38" s="270">
        <f>Database!E27</f>
        <v/>
      </c>
      <c r="AD38" s="270">
        <f>Database!I27</f>
        <v/>
      </c>
      <c r="AE38" s="270">
        <f>Database!BG27</f>
        <v/>
      </c>
      <c r="AF38" s="270">
        <f>Database!BM27</f>
        <v/>
      </c>
      <c r="AG38" s="270">
        <f>Database!H27</f>
        <v/>
      </c>
      <c r="AH38" s="270">
        <f>Database!BH27</f>
        <v/>
      </c>
    </row>
    <row r="39">
      <c r="A39" s="270">
        <f>Database!B39</f>
        <v/>
      </c>
      <c r="B39" s="270">
        <f>IF(AND(Screener!$D$8&lt;&gt;"",Database!$E39=Screener!$D$8),1,0)</f>
        <v/>
      </c>
      <c r="C39" s="270">
        <f>IF(AND(Screener!$D$7&lt;&gt;"",Database!$D39=Screener!$D$7),1,0)</f>
        <v/>
      </c>
      <c r="D39" s="270">
        <f>IF(OR(N(Database!$I39)&lt;=0,N(Screener!$D$9)&lt;=0),0,MAX(0,1-ABS(LOG10(N(Database!$I39)/Screener!$D$9))/W_SIZEHW))</f>
        <v/>
      </c>
      <c r="E39" s="270">
        <f>IF(OR(Database!$BG39="",Screener!$D$10=""),0,IF(Database!$BG39=Screener!$D$10,1,0))</f>
        <v/>
      </c>
      <c r="F39" s="270">
        <f>IF(OR(Database!$BM39="",Screener!$D$11=""),0,IF(Database!$BM39=Screener!$D$11,1,0))</f>
        <v/>
      </c>
      <c r="G39" s="270">
        <f>IF(OR(Database!$H39="",N(Screener!$D$12)&lt;=0),0,MAX(0,1-(N(Screener!$D$12)-Database!$H39)/W_RECD))</f>
        <v/>
      </c>
      <c r="H39" s="270">
        <f>IF($U$1="",0,N(ISNUMBER(SEARCH($U$1,Database!$AC39&amp;""))))+IF($V$1="",0,N(ISNUMBER(SEARCH($V$1,Database!$AC39&amp;""))))+IF($W$1="",0,N(ISNUMBER(SEARCH($W$1,Database!$AC39&amp;""))))+IF($X$1="",0,N(ISNUMBER(SEARCH($X$1,Database!$AC39&amp;""))))+IF($Y$1="",0,N(ISNUMBER(SEARCH($Y$1,Database!$AC39&amp;""))))+IF(Screener!$B$17="",0,N(ISNUMBER(SEARCH(LOWER(Screener!$B$17),Database!$AC39&amp;""))))</f>
        <v/>
      </c>
      <c r="I39" s="270">
        <f>IF(OR(N(Database!$BH39)&lt;=0,N(Screener!$D$13)&lt;=0),0,MAX(0,1-ABS(LOG10(N(Database!$BH39)/Screener!$D$13))/W_PEHW))</f>
        <v/>
      </c>
      <c r="J39" s="270">
        <f>IF(OR(N(Database!$S39)&lt;=0,N(Screener!$D$14)&lt;=0),0,MAX(0,1-ABS(LOG10(Database!$S39/Screener!$D$14))/0.6))</f>
        <v/>
      </c>
      <c r="K39" s="270">
        <f>IF(Database!$B39=Screener!$B$5,-999999,IF(ISNUMBER(SEARCH(","&amp;Database!$A39&amp;",",","&amp;SUBSTITUTE(Screener!$D$17," ","")&amp;",")),2000000,IF(IF(OR(Screener!$B$18="All",AND(Screener!$B$18="With A-share",(Database!$BM39="Y")),AND(Screener!$B$18="Without A-share",NOT((Database!$BM39="Y")))),1,0)=0,-999999,IF(Screener!$B$16="cornerstone overlap first",H39*100000,IF(Screener!$B$16="demand-similar first",J39*100000,0))+W_SUB*B39+W_SEC*C39*(1-B39)+W_SIZE*D39+W_PROF*E39+W_AH*F39+W_REC*G39+W_CS*H39+W_PE*I39)))+ROW()/1000000</f>
        <v/>
      </c>
      <c r="AA39" s="270">
        <f>Database!B28</f>
        <v/>
      </c>
      <c r="AB39" s="270">
        <f>Database!D28</f>
        <v/>
      </c>
      <c r="AC39" s="270">
        <f>Database!E28</f>
        <v/>
      </c>
      <c r="AD39" s="270">
        <f>Database!I28</f>
        <v/>
      </c>
      <c r="AE39" s="270">
        <f>Database!BG28</f>
        <v/>
      </c>
      <c r="AF39" s="270">
        <f>Database!BM28</f>
        <v/>
      </c>
      <c r="AG39" s="270">
        <f>Database!H28</f>
        <v/>
      </c>
      <c r="AH39" s="270">
        <f>Database!BH28</f>
        <v/>
      </c>
    </row>
    <row r="40">
      <c r="A40" s="270">
        <f>Database!B40</f>
        <v/>
      </c>
      <c r="B40" s="270">
        <f>IF(AND(Screener!$D$8&lt;&gt;"",Database!$E40=Screener!$D$8),1,0)</f>
        <v/>
      </c>
      <c r="C40" s="270">
        <f>IF(AND(Screener!$D$7&lt;&gt;"",Database!$D40=Screener!$D$7),1,0)</f>
        <v/>
      </c>
      <c r="D40" s="270">
        <f>IF(OR(N(Database!$I40)&lt;=0,N(Screener!$D$9)&lt;=0),0,MAX(0,1-ABS(LOG10(N(Database!$I40)/Screener!$D$9))/W_SIZEHW))</f>
        <v/>
      </c>
      <c r="E40" s="270">
        <f>IF(OR(Database!$BG40="",Screener!$D$10=""),0,IF(Database!$BG40=Screener!$D$10,1,0))</f>
        <v/>
      </c>
      <c r="F40" s="270">
        <f>IF(OR(Database!$BM40="",Screener!$D$11=""),0,IF(Database!$BM40=Screener!$D$11,1,0))</f>
        <v/>
      </c>
      <c r="G40" s="270">
        <f>IF(OR(Database!$H40="",N(Screener!$D$12)&lt;=0),0,MAX(0,1-(N(Screener!$D$12)-Database!$H40)/W_RECD))</f>
        <v/>
      </c>
      <c r="H40" s="270">
        <f>IF($U$1="",0,N(ISNUMBER(SEARCH($U$1,Database!$AC40&amp;""))))+IF($V$1="",0,N(ISNUMBER(SEARCH($V$1,Database!$AC40&amp;""))))+IF($W$1="",0,N(ISNUMBER(SEARCH($W$1,Database!$AC40&amp;""))))+IF($X$1="",0,N(ISNUMBER(SEARCH($X$1,Database!$AC40&amp;""))))+IF($Y$1="",0,N(ISNUMBER(SEARCH($Y$1,Database!$AC40&amp;""))))+IF(Screener!$B$17="",0,N(ISNUMBER(SEARCH(LOWER(Screener!$B$17),Database!$AC40&amp;""))))</f>
        <v/>
      </c>
      <c r="I40" s="270">
        <f>IF(OR(N(Database!$BH40)&lt;=0,N(Screener!$D$13)&lt;=0),0,MAX(0,1-ABS(LOG10(N(Database!$BH40)/Screener!$D$13))/W_PEHW))</f>
        <v/>
      </c>
      <c r="J40" s="270">
        <f>IF(OR(N(Database!$S40)&lt;=0,N(Screener!$D$14)&lt;=0),0,MAX(0,1-ABS(LOG10(Database!$S40/Screener!$D$14))/0.6))</f>
        <v/>
      </c>
      <c r="K40" s="270">
        <f>IF(Database!$B40=Screener!$B$5,-999999,IF(ISNUMBER(SEARCH(","&amp;Database!$A40&amp;",",","&amp;SUBSTITUTE(Screener!$D$17," ","")&amp;",")),2000000,IF(IF(OR(Screener!$B$18="All",AND(Screener!$B$18="With A-share",(Database!$BM40="Y")),AND(Screener!$B$18="Without A-share",NOT((Database!$BM40="Y")))),1,0)=0,-999999,IF(Screener!$B$16="cornerstone overlap first",H40*100000,IF(Screener!$B$16="demand-similar first",J40*100000,0))+W_SUB*B40+W_SEC*C40*(1-B40)+W_SIZE*D40+W_PROF*E40+W_AH*F40+W_REC*G40+W_CS*H40+W_PE*I40)))+ROW()/1000000</f>
        <v/>
      </c>
      <c r="AA40" s="270">
        <f>Database!B29</f>
        <v/>
      </c>
      <c r="AB40" s="270">
        <f>Database!D29</f>
        <v/>
      </c>
      <c r="AC40" s="270">
        <f>Database!E29</f>
        <v/>
      </c>
      <c r="AD40" s="270">
        <f>Database!I29</f>
        <v/>
      </c>
      <c r="AE40" s="270">
        <f>Database!BG29</f>
        <v/>
      </c>
      <c r="AF40" s="270">
        <f>Database!BM29</f>
        <v/>
      </c>
      <c r="AG40" s="270">
        <f>Database!H29</f>
        <v/>
      </c>
      <c r="AH40" s="270">
        <f>Database!BH29</f>
        <v/>
      </c>
    </row>
    <row r="41">
      <c r="A41" s="270">
        <f>Database!B41</f>
        <v/>
      </c>
      <c r="B41" s="270">
        <f>IF(AND(Screener!$D$8&lt;&gt;"",Database!$E41=Screener!$D$8),1,0)</f>
        <v/>
      </c>
      <c r="C41" s="270">
        <f>IF(AND(Screener!$D$7&lt;&gt;"",Database!$D41=Screener!$D$7),1,0)</f>
        <v/>
      </c>
      <c r="D41" s="270">
        <f>IF(OR(N(Database!$I41)&lt;=0,N(Screener!$D$9)&lt;=0),0,MAX(0,1-ABS(LOG10(N(Database!$I41)/Screener!$D$9))/W_SIZEHW))</f>
        <v/>
      </c>
      <c r="E41" s="270">
        <f>IF(OR(Database!$BG41="",Screener!$D$10=""),0,IF(Database!$BG41=Screener!$D$10,1,0))</f>
        <v/>
      </c>
      <c r="F41" s="270">
        <f>IF(OR(Database!$BM41="",Screener!$D$11=""),0,IF(Database!$BM41=Screener!$D$11,1,0))</f>
        <v/>
      </c>
      <c r="G41" s="270">
        <f>IF(OR(Database!$H41="",N(Screener!$D$12)&lt;=0),0,MAX(0,1-(N(Screener!$D$12)-Database!$H41)/W_RECD))</f>
        <v/>
      </c>
      <c r="H41" s="270">
        <f>IF($U$1="",0,N(ISNUMBER(SEARCH($U$1,Database!$AC41&amp;""))))+IF($V$1="",0,N(ISNUMBER(SEARCH($V$1,Database!$AC41&amp;""))))+IF($W$1="",0,N(ISNUMBER(SEARCH($W$1,Database!$AC41&amp;""))))+IF($X$1="",0,N(ISNUMBER(SEARCH($X$1,Database!$AC41&amp;""))))+IF($Y$1="",0,N(ISNUMBER(SEARCH($Y$1,Database!$AC41&amp;""))))+IF(Screener!$B$17="",0,N(ISNUMBER(SEARCH(LOWER(Screener!$B$17),Database!$AC41&amp;""))))</f>
        <v/>
      </c>
      <c r="I41" s="270">
        <f>IF(OR(N(Database!$BH41)&lt;=0,N(Screener!$D$13)&lt;=0),0,MAX(0,1-ABS(LOG10(N(Database!$BH41)/Screener!$D$13))/W_PEHW))</f>
        <v/>
      </c>
      <c r="J41" s="270">
        <f>IF(OR(N(Database!$S41)&lt;=0,N(Screener!$D$14)&lt;=0),0,MAX(0,1-ABS(LOG10(Database!$S41/Screener!$D$14))/0.6))</f>
        <v/>
      </c>
      <c r="K41" s="270">
        <f>IF(Database!$B41=Screener!$B$5,-999999,IF(ISNUMBER(SEARCH(","&amp;Database!$A41&amp;",",","&amp;SUBSTITUTE(Screener!$D$17," ","")&amp;",")),2000000,IF(IF(OR(Screener!$B$18="All",AND(Screener!$B$18="With A-share",(Database!$BM41="Y")),AND(Screener!$B$18="Without A-share",NOT((Database!$BM41="Y")))),1,0)=0,-999999,IF(Screener!$B$16="cornerstone overlap first",H41*100000,IF(Screener!$B$16="demand-similar first",J41*100000,0))+W_SUB*B41+W_SEC*C41*(1-B41)+W_SIZE*D41+W_PROF*E41+W_AH*F41+W_REC*G41+W_CS*H41+W_PE*I41)))+ROW()/1000000</f>
        <v/>
      </c>
      <c r="AA41" s="270">
        <f>Database!B30</f>
        <v/>
      </c>
      <c r="AB41" s="270">
        <f>Database!D30</f>
        <v/>
      </c>
      <c r="AC41" s="270">
        <f>Database!E30</f>
        <v/>
      </c>
      <c r="AD41" s="270">
        <f>Database!I30</f>
        <v/>
      </c>
      <c r="AE41" s="270">
        <f>Database!BG30</f>
        <v/>
      </c>
      <c r="AF41" s="270">
        <f>Database!BM30</f>
        <v/>
      </c>
      <c r="AG41" s="270">
        <f>Database!H30</f>
        <v/>
      </c>
      <c r="AH41" s="270">
        <f>Database!BH30</f>
        <v/>
      </c>
    </row>
    <row r="42">
      <c r="A42" s="270">
        <f>Database!B42</f>
        <v/>
      </c>
      <c r="B42" s="270">
        <f>IF(AND(Screener!$D$8&lt;&gt;"",Database!$E42=Screener!$D$8),1,0)</f>
        <v/>
      </c>
      <c r="C42" s="270">
        <f>IF(AND(Screener!$D$7&lt;&gt;"",Database!$D42=Screener!$D$7),1,0)</f>
        <v/>
      </c>
      <c r="D42" s="270">
        <f>IF(OR(N(Database!$I42)&lt;=0,N(Screener!$D$9)&lt;=0),0,MAX(0,1-ABS(LOG10(N(Database!$I42)/Screener!$D$9))/W_SIZEHW))</f>
        <v/>
      </c>
      <c r="E42" s="270">
        <f>IF(OR(Database!$BG42="",Screener!$D$10=""),0,IF(Database!$BG42=Screener!$D$10,1,0))</f>
        <v/>
      </c>
      <c r="F42" s="270">
        <f>IF(OR(Database!$BM42="",Screener!$D$11=""),0,IF(Database!$BM42=Screener!$D$11,1,0))</f>
        <v/>
      </c>
      <c r="G42" s="270">
        <f>IF(OR(Database!$H42="",N(Screener!$D$12)&lt;=0),0,MAX(0,1-(N(Screener!$D$12)-Database!$H42)/W_RECD))</f>
        <v/>
      </c>
      <c r="H42" s="270">
        <f>IF($U$1="",0,N(ISNUMBER(SEARCH($U$1,Database!$AC42&amp;""))))+IF($V$1="",0,N(ISNUMBER(SEARCH($V$1,Database!$AC42&amp;""))))+IF($W$1="",0,N(ISNUMBER(SEARCH($W$1,Database!$AC42&amp;""))))+IF($X$1="",0,N(ISNUMBER(SEARCH($X$1,Database!$AC42&amp;""))))+IF($Y$1="",0,N(ISNUMBER(SEARCH($Y$1,Database!$AC42&amp;""))))+IF(Screener!$B$17="",0,N(ISNUMBER(SEARCH(LOWER(Screener!$B$17),Database!$AC42&amp;""))))</f>
        <v/>
      </c>
      <c r="I42" s="270">
        <f>IF(OR(N(Database!$BH42)&lt;=0,N(Screener!$D$13)&lt;=0),0,MAX(0,1-ABS(LOG10(N(Database!$BH42)/Screener!$D$13))/W_PEHW))</f>
        <v/>
      </c>
      <c r="J42" s="270">
        <f>IF(OR(N(Database!$S42)&lt;=0,N(Screener!$D$14)&lt;=0),0,MAX(0,1-ABS(LOG10(Database!$S42/Screener!$D$14))/0.6))</f>
        <v/>
      </c>
      <c r="K42" s="270">
        <f>IF(Database!$B42=Screener!$B$5,-999999,IF(ISNUMBER(SEARCH(","&amp;Database!$A42&amp;",",","&amp;SUBSTITUTE(Screener!$D$17," ","")&amp;",")),2000000,IF(IF(OR(Screener!$B$18="All",AND(Screener!$B$18="With A-share",(Database!$BM42="Y")),AND(Screener!$B$18="Without A-share",NOT((Database!$BM42="Y")))),1,0)=0,-999999,IF(Screener!$B$16="cornerstone overlap first",H42*100000,IF(Screener!$B$16="demand-similar first",J42*100000,0))+W_SUB*B42+W_SEC*C42*(1-B42)+W_SIZE*D42+W_PROF*E42+W_AH*F42+W_REC*G42+W_CS*H42+W_PE*I42)))+ROW()/1000000</f>
        <v/>
      </c>
      <c r="AA42" s="270">
        <f>Database!B31</f>
        <v/>
      </c>
      <c r="AB42" s="270">
        <f>Database!D31</f>
        <v/>
      </c>
      <c r="AC42" s="270">
        <f>Database!E31</f>
        <v/>
      </c>
      <c r="AD42" s="270">
        <f>Database!I31</f>
        <v/>
      </c>
      <c r="AE42" s="270">
        <f>Database!BG31</f>
        <v/>
      </c>
      <c r="AF42" s="270">
        <f>Database!BM31</f>
        <v/>
      </c>
      <c r="AG42" s="270">
        <f>Database!H31</f>
        <v/>
      </c>
      <c r="AH42" s="270">
        <f>Database!BH31</f>
        <v/>
      </c>
    </row>
    <row r="43">
      <c r="A43" s="270">
        <f>Database!B43</f>
        <v/>
      </c>
      <c r="B43" s="270">
        <f>IF(AND(Screener!$D$8&lt;&gt;"",Database!$E43=Screener!$D$8),1,0)</f>
        <v/>
      </c>
      <c r="C43" s="270">
        <f>IF(AND(Screener!$D$7&lt;&gt;"",Database!$D43=Screener!$D$7),1,0)</f>
        <v/>
      </c>
      <c r="D43" s="270">
        <f>IF(OR(N(Database!$I43)&lt;=0,N(Screener!$D$9)&lt;=0),0,MAX(0,1-ABS(LOG10(N(Database!$I43)/Screener!$D$9))/W_SIZEHW))</f>
        <v/>
      </c>
      <c r="E43" s="270">
        <f>IF(OR(Database!$BG43="",Screener!$D$10=""),0,IF(Database!$BG43=Screener!$D$10,1,0))</f>
        <v/>
      </c>
      <c r="F43" s="270">
        <f>IF(OR(Database!$BM43="",Screener!$D$11=""),0,IF(Database!$BM43=Screener!$D$11,1,0))</f>
        <v/>
      </c>
      <c r="G43" s="270">
        <f>IF(OR(Database!$H43="",N(Screener!$D$12)&lt;=0),0,MAX(0,1-(N(Screener!$D$12)-Database!$H43)/W_RECD))</f>
        <v/>
      </c>
      <c r="H43" s="270">
        <f>IF($U$1="",0,N(ISNUMBER(SEARCH($U$1,Database!$AC43&amp;""))))+IF($V$1="",0,N(ISNUMBER(SEARCH($V$1,Database!$AC43&amp;""))))+IF($W$1="",0,N(ISNUMBER(SEARCH($W$1,Database!$AC43&amp;""))))+IF($X$1="",0,N(ISNUMBER(SEARCH($X$1,Database!$AC43&amp;""))))+IF($Y$1="",0,N(ISNUMBER(SEARCH($Y$1,Database!$AC43&amp;""))))+IF(Screener!$B$17="",0,N(ISNUMBER(SEARCH(LOWER(Screener!$B$17),Database!$AC43&amp;""))))</f>
        <v/>
      </c>
      <c r="I43" s="270">
        <f>IF(OR(N(Database!$BH43)&lt;=0,N(Screener!$D$13)&lt;=0),0,MAX(0,1-ABS(LOG10(N(Database!$BH43)/Screener!$D$13))/W_PEHW))</f>
        <v/>
      </c>
      <c r="J43" s="270">
        <f>IF(OR(N(Database!$S43)&lt;=0,N(Screener!$D$14)&lt;=0),0,MAX(0,1-ABS(LOG10(Database!$S43/Screener!$D$14))/0.6))</f>
        <v/>
      </c>
      <c r="K43" s="270">
        <f>IF(Database!$B43=Screener!$B$5,-999999,IF(ISNUMBER(SEARCH(","&amp;Database!$A43&amp;",",","&amp;SUBSTITUTE(Screener!$D$17," ","")&amp;",")),2000000,IF(IF(OR(Screener!$B$18="All",AND(Screener!$B$18="With A-share",(Database!$BM43="Y")),AND(Screener!$B$18="Without A-share",NOT((Database!$BM43="Y")))),1,0)=0,-999999,IF(Screener!$B$16="cornerstone overlap first",H43*100000,IF(Screener!$B$16="demand-similar first",J43*100000,0))+W_SUB*B43+W_SEC*C43*(1-B43)+W_SIZE*D43+W_PROF*E43+W_AH*F43+W_REC*G43+W_CS*H43+W_PE*I43)))+ROW()/1000000</f>
        <v/>
      </c>
      <c r="AA43" s="270">
        <f>Database!B32</f>
        <v/>
      </c>
      <c r="AB43" s="270">
        <f>Database!D32</f>
        <v/>
      </c>
      <c r="AC43" s="270">
        <f>Database!E32</f>
        <v/>
      </c>
      <c r="AD43" s="270">
        <f>Database!I32</f>
        <v/>
      </c>
      <c r="AE43" s="270">
        <f>Database!BG32</f>
        <v/>
      </c>
      <c r="AF43" s="270">
        <f>Database!BM32</f>
        <v/>
      </c>
      <c r="AG43" s="270">
        <f>Database!H32</f>
        <v/>
      </c>
      <c r="AH43" s="270">
        <f>Database!BH32</f>
        <v/>
      </c>
    </row>
    <row r="44">
      <c r="A44" s="270">
        <f>Database!B44</f>
        <v/>
      </c>
      <c r="B44" s="270">
        <f>IF(AND(Screener!$D$8&lt;&gt;"",Database!$E44=Screener!$D$8),1,0)</f>
        <v/>
      </c>
      <c r="C44" s="270">
        <f>IF(AND(Screener!$D$7&lt;&gt;"",Database!$D44=Screener!$D$7),1,0)</f>
        <v/>
      </c>
      <c r="D44" s="270">
        <f>IF(OR(N(Database!$I44)&lt;=0,N(Screener!$D$9)&lt;=0),0,MAX(0,1-ABS(LOG10(N(Database!$I44)/Screener!$D$9))/W_SIZEHW))</f>
        <v/>
      </c>
      <c r="E44" s="270">
        <f>IF(OR(Database!$BG44="",Screener!$D$10=""),0,IF(Database!$BG44=Screener!$D$10,1,0))</f>
        <v/>
      </c>
      <c r="F44" s="270">
        <f>IF(OR(Database!$BM44="",Screener!$D$11=""),0,IF(Database!$BM44=Screener!$D$11,1,0))</f>
        <v/>
      </c>
      <c r="G44" s="270">
        <f>IF(OR(Database!$H44="",N(Screener!$D$12)&lt;=0),0,MAX(0,1-(N(Screener!$D$12)-Database!$H44)/W_RECD))</f>
        <v/>
      </c>
      <c r="H44" s="270">
        <f>IF($U$1="",0,N(ISNUMBER(SEARCH($U$1,Database!$AC44&amp;""))))+IF($V$1="",0,N(ISNUMBER(SEARCH($V$1,Database!$AC44&amp;""))))+IF($W$1="",0,N(ISNUMBER(SEARCH($W$1,Database!$AC44&amp;""))))+IF($X$1="",0,N(ISNUMBER(SEARCH($X$1,Database!$AC44&amp;""))))+IF($Y$1="",0,N(ISNUMBER(SEARCH($Y$1,Database!$AC44&amp;""))))+IF(Screener!$B$17="",0,N(ISNUMBER(SEARCH(LOWER(Screener!$B$17),Database!$AC44&amp;""))))</f>
        <v/>
      </c>
      <c r="I44" s="270">
        <f>IF(OR(N(Database!$BH44)&lt;=0,N(Screener!$D$13)&lt;=0),0,MAX(0,1-ABS(LOG10(N(Database!$BH44)/Screener!$D$13))/W_PEHW))</f>
        <v/>
      </c>
      <c r="J44" s="270">
        <f>IF(OR(N(Database!$S44)&lt;=0,N(Screener!$D$14)&lt;=0),0,MAX(0,1-ABS(LOG10(Database!$S44/Screener!$D$14))/0.6))</f>
        <v/>
      </c>
      <c r="K44" s="270">
        <f>IF(Database!$B44=Screener!$B$5,-999999,IF(ISNUMBER(SEARCH(","&amp;Database!$A44&amp;",",","&amp;SUBSTITUTE(Screener!$D$17," ","")&amp;",")),2000000,IF(IF(OR(Screener!$B$18="All",AND(Screener!$B$18="With A-share",(Database!$BM44="Y")),AND(Screener!$B$18="Without A-share",NOT((Database!$BM44="Y")))),1,0)=0,-999999,IF(Screener!$B$16="cornerstone overlap first",H44*100000,IF(Screener!$B$16="demand-similar first",J44*100000,0))+W_SUB*B44+W_SEC*C44*(1-B44)+W_SIZE*D44+W_PROF*E44+W_AH*F44+W_REC*G44+W_CS*H44+W_PE*I44)))+ROW()/1000000</f>
        <v/>
      </c>
      <c r="AA44" s="270">
        <f>Database!B33</f>
        <v/>
      </c>
      <c r="AB44" s="270">
        <f>Database!D33</f>
        <v/>
      </c>
      <c r="AC44" s="270">
        <f>Database!E33</f>
        <v/>
      </c>
      <c r="AD44" s="270">
        <f>Database!I33</f>
        <v/>
      </c>
      <c r="AE44" s="270">
        <f>Database!BG33</f>
        <v/>
      </c>
      <c r="AF44" s="270">
        <f>Database!BM33</f>
        <v/>
      </c>
      <c r="AG44" s="270">
        <f>Database!H33</f>
        <v/>
      </c>
      <c r="AH44" s="270">
        <f>Database!BH33</f>
        <v/>
      </c>
    </row>
    <row r="45">
      <c r="A45" s="270">
        <f>Database!B45</f>
        <v/>
      </c>
      <c r="B45" s="270">
        <f>IF(AND(Screener!$D$8&lt;&gt;"",Database!$E45=Screener!$D$8),1,0)</f>
        <v/>
      </c>
      <c r="C45" s="270">
        <f>IF(AND(Screener!$D$7&lt;&gt;"",Database!$D45=Screener!$D$7),1,0)</f>
        <v/>
      </c>
      <c r="D45" s="270">
        <f>IF(OR(N(Database!$I45)&lt;=0,N(Screener!$D$9)&lt;=0),0,MAX(0,1-ABS(LOG10(N(Database!$I45)/Screener!$D$9))/W_SIZEHW))</f>
        <v/>
      </c>
      <c r="E45" s="270">
        <f>IF(OR(Database!$BG45="",Screener!$D$10=""),0,IF(Database!$BG45=Screener!$D$10,1,0))</f>
        <v/>
      </c>
      <c r="F45" s="270">
        <f>IF(OR(Database!$BM45="",Screener!$D$11=""),0,IF(Database!$BM45=Screener!$D$11,1,0))</f>
        <v/>
      </c>
      <c r="G45" s="270">
        <f>IF(OR(Database!$H45="",N(Screener!$D$12)&lt;=0),0,MAX(0,1-(N(Screener!$D$12)-Database!$H45)/W_RECD))</f>
        <v/>
      </c>
      <c r="H45" s="270">
        <f>IF($U$1="",0,N(ISNUMBER(SEARCH($U$1,Database!$AC45&amp;""))))+IF($V$1="",0,N(ISNUMBER(SEARCH($V$1,Database!$AC45&amp;""))))+IF($W$1="",0,N(ISNUMBER(SEARCH($W$1,Database!$AC45&amp;""))))+IF($X$1="",0,N(ISNUMBER(SEARCH($X$1,Database!$AC45&amp;""))))+IF($Y$1="",0,N(ISNUMBER(SEARCH($Y$1,Database!$AC45&amp;""))))+IF(Screener!$B$17="",0,N(ISNUMBER(SEARCH(LOWER(Screener!$B$17),Database!$AC45&amp;""))))</f>
        <v/>
      </c>
      <c r="I45" s="270">
        <f>IF(OR(N(Database!$BH45)&lt;=0,N(Screener!$D$13)&lt;=0),0,MAX(0,1-ABS(LOG10(N(Database!$BH45)/Screener!$D$13))/W_PEHW))</f>
        <v/>
      </c>
      <c r="J45" s="270">
        <f>IF(OR(N(Database!$S45)&lt;=0,N(Screener!$D$14)&lt;=0),0,MAX(0,1-ABS(LOG10(Database!$S45/Screener!$D$14))/0.6))</f>
        <v/>
      </c>
      <c r="K45" s="270">
        <f>IF(Database!$B45=Screener!$B$5,-999999,IF(ISNUMBER(SEARCH(","&amp;Database!$A45&amp;",",","&amp;SUBSTITUTE(Screener!$D$17," ","")&amp;",")),2000000,IF(IF(OR(Screener!$B$18="All",AND(Screener!$B$18="With A-share",(Database!$BM45="Y")),AND(Screener!$B$18="Without A-share",NOT((Database!$BM45="Y")))),1,0)=0,-999999,IF(Screener!$B$16="cornerstone overlap first",H45*100000,IF(Screener!$B$16="demand-similar first",J45*100000,0))+W_SUB*B45+W_SEC*C45*(1-B45)+W_SIZE*D45+W_PROF*E45+W_AH*F45+W_REC*G45+W_CS*H45+W_PE*I45)))+ROW()/1000000</f>
        <v/>
      </c>
      <c r="AA45" s="270">
        <f>Database!B34</f>
        <v/>
      </c>
      <c r="AB45" s="270">
        <f>Database!D34</f>
        <v/>
      </c>
      <c r="AC45" s="270">
        <f>Database!E34</f>
        <v/>
      </c>
      <c r="AD45" s="270">
        <f>Database!I34</f>
        <v/>
      </c>
      <c r="AE45" s="270">
        <f>Database!BG34</f>
        <v/>
      </c>
      <c r="AF45" s="270">
        <f>Database!BM34</f>
        <v/>
      </c>
      <c r="AG45" s="270">
        <f>Database!H34</f>
        <v/>
      </c>
      <c r="AH45" s="270">
        <f>Database!BH34</f>
        <v/>
      </c>
    </row>
    <row r="46">
      <c r="A46" s="270">
        <f>Database!B46</f>
        <v/>
      </c>
      <c r="B46" s="270">
        <f>IF(AND(Screener!$D$8&lt;&gt;"",Database!$E46=Screener!$D$8),1,0)</f>
        <v/>
      </c>
      <c r="C46" s="270">
        <f>IF(AND(Screener!$D$7&lt;&gt;"",Database!$D46=Screener!$D$7),1,0)</f>
        <v/>
      </c>
      <c r="D46" s="270">
        <f>IF(OR(N(Database!$I46)&lt;=0,N(Screener!$D$9)&lt;=0),0,MAX(0,1-ABS(LOG10(N(Database!$I46)/Screener!$D$9))/W_SIZEHW))</f>
        <v/>
      </c>
      <c r="E46" s="270">
        <f>IF(OR(Database!$BG46="",Screener!$D$10=""),0,IF(Database!$BG46=Screener!$D$10,1,0))</f>
        <v/>
      </c>
      <c r="F46" s="270">
        <f>IF(OR(Database!$BM46="",Screener!$D$11=""),0,IF(Database!$BM46=Screener!$D$11,1,0))</f>
        <v/>
      </c>
      <c r="G46" s="270">
        <f>IF(OR(Database!$H46="",N(Screener!$D$12)&lt;=0),0,MAX(0,1-(N(Screener!$D$12)-Database!$H46)/W_RECD))</f>
        <v/>
      </c>
      <c r="H46" s="270">
        <f>IF($U$1="",0,N(ISNUMBER(SEARCH($U$1,Database!$AC46&amp;""))))+IF($V$1="",0,N(ISNUMBER(SEARCH($V$1,Database!$AC46&amp;""))))+IF($W$1="",0,N(ISNUMBER(SEARCH($W$1,Database!$AC46&amp;""))))+IF($X$1="",0,N(ISNUMBER(SEARCH($X$1,Database!$AC46&amp;""))))+IF($Y$1="",0,N(ISNUMBER(SEARCH($Y$1,Database!$AC46&amp;""))))+IF(Screener!$B$17="",0,N(ISNUMBER(SEARCH(LOWER(Screener!$B$17),Database!$AC46&amp;""))))</f>
        <v/>
      </c>
      <c r="I46" s="270">
        <f>IF(OR(N(Database!$BH46)&lt;=0,N(Screener!$D$13)&lt;=0),0,MAX(0,1-ABS(LOG10(N(Database!$BH46)/Screener!$D$13))/W_PEHW))</f>
        <v/>
      </c>
      <c r="J46" s="270">
        <f>IF(OR(N(Database!$S46)&lt;=0,N(Screener!$D$14)&lt;=0),0,MAX(0,1-ABS(LOG10(Database!$S46/Screener!$D$14))/0.6))</f>
        <v/>
      </c>
      <c r="K46" s="270">
        <f>IF(Database!$B46=Screener!$B$5,-999999,IF(ISNUMBER(SEARCH(","&amp;Database!$A46&amp;",",","&amp;SUBSTITUTE(Screener!$D$17," ","")&amp;",")),2000000,IF(IF(OR(Screener!$B$18="All",AND(Screener!$B$18="With A-share",(Database!$BM46="Y")),AND(Screener!$B$18="Without A-share",NOT((Database!$BM46="Y")))),1,0)=0,-999999,IF(Screener!$B$16="cornerstone overlap first",H46*100000,IF(Screener!$B$16="demand-similar first",J46*100000,0))+W_SUB*B46+W_SEC*C46*(1-B46)+W_SIZE*D46+W_PROF*E46+W_AH*F46+W_REC*G46+W_CS*H46+W_PE*I46)))+ROW()/1000000</f>
        <v/>
      </c>
      <c r="AA46" s="270">
        <f>Database!B35</f>
        <v/>
      </c>
      <c r="AB46" s="270">
        <f>Database!D35</f>
        <v/>
      </c>
      <c r="AC46" s="270">
        <f>Database!E35</f>
        <v/>
      </c>
      <c r="AD46" s="270">
        <f>Database!I35</f>
        <v/>
      </c>
      <c r="AE46" s="270">
        <f>Database!BG35</f>
        <v/>
      </c>
      <c r="AF46" s="270">
        <f>Database!BM35</f>
        <v/>
      </c>
      <c r="AG46" s="270">
        <f>Database!H35</f>
        <v/>
      </c>
      <c r="AH46" s="270">
        <f>Database!BH35</f>
        <v/>
      </c>
    </row>
    <row r="47">
      <c r="A47" s="270">
        <f>Database!B47</f>
        <v/>
      </c>
      <c r="B47" s="270">
        <f>IF(AND(Screener!$D$8&lt;&gt;"",Database!$E47=Screener!$D$8),1,0)</f>
        <v/>
      </c>
      <c r="C47" s="270">
        <f>IF(AND(Screener!$D$7&lt;&gt;"",Database!$D47=Screener!$D$7),1,0)</f>
        <v/>
      </c>
      <c r="D47" s="270">
        <f>IF(OR(N(Database!$I47)&lt;=0,N(Screener!$D$9)&lt;=0),0,MAX(0,1-ABS(LOG10(N(Database!$I47)/Screener!$D$9))/W_SIZEHW))</f>
        <v/>
      </c>
      <c r="E47" s="270">
        <f>IF(OR(Database!$BG47="",Screener!$D$10=""),0,IF(Database!$BG47=Screener!$D$10,1,0))</f>
        <v/>
      </c>
      <c r="F47" s="270">
        <f>IF(OR(Database!$BM47="",Screener!$D$11=""),0,IF(Database!$BM47=Screener!$D$11,1,0))</f>
        <v/>
      </c>
      <c r="G47" s="270">
        <f>IF(OR(Database!$H47="",N(Screener!$D$12)&lt;=0),0,MAX(0,1-(N(Screener!$D$12)-Database!$H47)/W_RECD))</f>
        <v/>
      </c>
      <c r="H47" s="270">
        <f>IF($U$1="",0,N(ISNUMBER(SEARCH($U$1,Database!$AC47&amp;""))))+IF($V$1="",0,N(ISNUMBER(SEARCH($V$1,Database!$AC47&amp;""))))+IF($W$1="",0,N(ISNUMBER(SEARCH($W$1,Database!$AC47&amp;""))))+IF($X$1="",0,N(ISNUMBER(SEARCH($X$1,Database!$AC47&amp;""))))+IF($Y$1="",0,N(ISNUMBER(SEARCH($Y$1,Database!$AC47&amp;""))))+IF(Screener!$B$17="",0,N(ISNUMBER(SEARCH(LOWER(Screener!$B$17),Database!$AC47&amp;""))))</f>
        <v/>
      </c>
      <c r="I47" s="270">
        <f>IF(OR(N(Database!$BH47)&lt;=0,N(Screener!$D$13)&lt;=0),0,MAX(0,1-ABS(LOG10(N(Database!$BH47)/Screener!$D$13))/W_PEHW))</f>
        <v/>
      </c>
      <c r="J47" s="270">
        <f>IF(OR(N(Database!$S47)&lt;=0,N(Screener!$D$14)&lt;=0),0,MAX(0,1-ABS(LOG10(Database!$S47/Screener!$D$14))/0.6))</f>
        <v/>
      </c>
      <c r="K47" s="270">
        <f>IF(Database!$B47=Screener!$B$5,-999999,IF(ISNUMBER(SEARCH(","&amp;Database!$A47&amp;",",","&amp;SUBSTITUTE(Screener!$D$17," ","")&amp;",")),2000000,IF(IF(OR(Screener!$B$18="All",AND(Screener!$B$18="With A-share",(Database!$BM47="Y")),AND(Screener!$B$18="Without A-share",NOT((Database!$BM47="Y")))),1,0)=0,-999999,IF(Screener!$B$16="cornerstone overlap first",H47*100000,IF(Screener!$B$16="demand-similar first",J47*100000,0))+W_SUB*B47+W_SEC*C47*(1-B47)+W_SIZE*D47+W_PROF*E47+W_AH*F47+W_REC*G47+W_CS*H47+W_PE*I47)))+ROW()/1000000</f>
        <v/>
      </c>
      <c r="AA47" s="270">
        <f>Database!B36</f>
        <v/>
      </c>
      <c r="AB47" s="270">
        <f>Database!D36</f>
        <v/>
      </c>
      <c r="AC47" s="270">
        <f>Database!E36</f>
        <v/>
      </c>
      <c r="AD47" s="270">
        <f>Database!I36</f>
        <v/>
      </c>
      <c r="AE47" s="270">
        <f>Database!BG36</f>
        <v/>
      </c>
      <c r="AF47" s="270">
        <f>Database!BM36</f>
        <v/>
      </c>
      <c r="AG47" s="270">
        <f>Database!H36</f>
        <v/>
      </c>
      <c r="AH47" s="270">
        <f>Database!BH36</f>
        <v/>
      </c>
    </row>
    <row r="48">
      <c r="A48" s="270">
        <f>Database!B48</f>
        <v/>
      </c>
      <c r="B48" s="270">
        <f>IF(AND(Screener!$D$8&lt;&gt;"",Database!$E48=Screener!$D$8),1,0)</f>
        <v/>
      </c>
      <c r="C48" s="270">
        <f>IF(AND(Screener!$D$7&lt;&gt;"",Database!$D48=Screener!$D$7),1,0)</f>
        <v/>
      </c>
      <c r="D48" s="270">
        <f>IF(OR(N(Database!$I48)&lt;=0,N(Screener!$D$9)&lt;=0),0,MAX(0,1-ABS(LOG10(N(Database!$I48)/Screener!$D$9))/W_SIZEHW))</f>
        <v/>
      </c>
      <c r="E48" s="270">
        <f>IF(OR(Database!$BG48="",Screener!$D$10=""),0,IF(Database!$BG48=Screener!$D$10,1,0))</f>
        <v/>
      </c>
      <c r="F48" s="270">
        <f>IF(OR(Database!$BM48="",Screener!$D$11=""),0,IF(Database!$BM48=Screener!$D$11,1,0))</f>
        <v/>
      </c>
      <c r="G48" s="270">
        <f>IF(OR(Database!$H48="",N(Screener!$D$12)&lt;=0),0,MAX(0,1-(N(Screener!$D$12)-Database!$H48)/W_RECD))</f>
        <v/>
      </c>
      <c r="H48" s="270">
        <f>IF($U$1="",0,N(ISNUMBER(SEARCH($U$1,Database!$AC48&amp;""))))+IF($V$1="",0,N(ISNUMBER(SEARCH($V$1,Database!$AC48&amp;""))))+IF($W$1="",0,N(ISNUMBER(SEARCH($W$1,Database!$AC48&amp;""))))+IF($X$1="",0,N(ISNUMBER(SEARCH($X$1,Database!$AC48&amp;""))))+IF($Y$1="",0,N(ISNUMBER(SEARCH($Y$1,Database!$AC48&amp;""))))+IF(Screener!$B$17="",0,N(ISNUMBER(SEARCH(LOWER(Screener!$B$17),Database!$AC48&amp;""))))</f>
        <v/>
      </c>
      <c r="I48" s="270">
        <f>IF(OR(N(Database!$BH48)&lt;=0,N(Screener!$D$13)&lt;=0),0,MAX(0,1-ABS(LOG10(N(Database!$BH48)/Screener!$D$13))/W_PEHW))</f>
        <v/>
      </c>
      <c r="J48" s="270">
        <f>IF(OR(N(Database!$S48)&lt;=0,N(Screener!$D$14)&lt;=0),0,MAX(0,1-ABS(LOG10(Database!$S48/Screener!$D$14))/0.6))</f>
        <v/>
      </c>
      <c r="K48" s="270">
        <f>IF(Database!$B48=Screener!$B$5,-999999,IF(ISNUMBER(SEARCH(","&amp;Database!$A48&amp;",",","&amp;SUBSTITUTE(Screener!$D$17," ","")&amp;",")),2000000,IF(IF(OR(Screener!$B$18="All",AND(Screener!$B$18="With A-share",(Database!$BM48="Y")),AND(Screener!$B$18="Without A-share",NOT((Database!$BM48="Y")))),1,0)=0,-999999,IF(Screener!$B$16="cornerstone overlap first",H48*100000,IF(Screener!$B$16="demand-similar first",J48*100000,0))+W_SUB*B48+W_SEC*C48*(1-B48)+W_SIZE*D48+W_PROF*E48+W_AH*F48+W_REC*G48+W_CS*H48+W_PE*I48)))+ROW()/1000000</f>
        <v/>
      </c>
      <c r="AA48" s="270">
        <f>Database!B37</f>
        <v/>
      </c>
      <c r="AB48" s="270">
        <f>Database!D37</f>
        <v/>
      </c>
      <c r="AC48" s="270">
        <f>Database!E37</f>
        <v/>
      </c>
      <c r="AD48" s="270">
        <f>Database!I37</f>
        <v/>
      </c>
      <c r="AE48" s="270">
        <f>Database!BG37</f>
        <v/>
      </c>
      <c r="AF48" s="270">
        <f>Database!BM37</f>
        <v/>
      </c>
      <c r="AG48" s="270">
        <f>Database!H37</f>
        <v/>
      </c>
      <c r="AH48" s="270">
        <f>Database!BH37</f>
        <v/>
      </c>
    </row>
    <row r="49">
      <c r="A49" s="270">
        <f>Database!B49</f>
        <v/>
      </c>
      <c r="B49" s="270">
        <f>IF(AND(Screener!$D$8&lt;&gt;"",Database!$E49=Screener!$D$8),1,0)</f>
        <v/>
      </c>
      <c r="C49" s="270">
        <f>IF(AND(Screener!$D$7&lt;&gt;"",Database!$D49=Screener!$D$7),1,0)</f>
        <v/>
      </c>
      <c r="D49" s="270">
        <f>IF(OR(N(Database!$I49)&lt;=0,N(Screener!$D$9)&lt;=0),0,MAX(0,1-ABS(LOG10(N(Database!$I49)/Screener!$D$9))/W_SIZEHW))</f>
        <v/>
      </c>
      <c r="E49" s="270">
        <f>IF(OR(Database!$BG49="",Screener!$D$10=""),0,IF(Database!$BG49=Screener!$D$10,1,0))</f>
        <v/>
      </c>
      <c r="F49" s="270">
        <f>IF(OR(Database!$BM49="",Screener!$D$11=""),0,IF(Database!$BM49=Screener!$D$11,1,0))</f>
        <v/>
      </c>
      <c r="G49" s="270">
        <f>IF(OR(Database!$H49="",N(Screener!$D$12)&lt;=0),0,MAX(0,1-(N(Screener!$D$12)-Database!$H49)/W_RECD))</f>
        <v/>
      </c>
      <c r="H49" s="270">
        <f>IF($U$1="",0,N(ISNUMBER(SEARCH($U$1,Database!$AC49&amp;""))))+IF($V$1="",0,N(ISNUMBER(SEARCH($V$1,Database!$AC49&amp;""))))+IF($W$1="",0,N(ISNUMBER(SEARCH($W$1,Database!$AC49&amp;""))))+IF($X$1="",0,N(ISNUMBER(SEARCH($X$1,Database!$AC49&amp;""))))+IF($Y$1="",0,N(ISNUMBER(SEARCH($Y$1,Database!$AC49&amp;""))))+IF(Screener!$B$17="",0,N(ISNUMBER(SEARCH(LOWER(Screener!$B$17),Database!$AC49&amp;""))))</f>
        <v/>
      </c>
      <c r="I49" s="270">
        <f>IF(OR(N(Database!$BH49)&lt;=0,N(Screener!$D$13)&lt;=0),0,MAX(0,1-ABS(LOG10(N(Database!$BH49)/Screener!$D$13))/W_PEHW))</f>
        <v/>
      </c>
      <c r="J49" s="270">
        <f>IF(OR(N(Database!$S49)&lt;=0,N(Screener!$D$14)&lt;=0),0,MAX(0,1-ABS(LOG10(Database!$S49/Screener!$D$14))/0.6))</f>
        <v/>
      </c>
      <c r="K49" s="270">
        <f>IF(Database!$B49=Screener!$B$5,-999999,IF(ISNUMBER(SEARCH(","&amp;Database!$A49&amp;",",","&amp;SUBSTITUTE(Screener!$D$17," ","")&amp;",")),2000000,IF(IF(OR(Screener!$B$18="All",AND(Screener!$B$18="With A-share",(Database!$BM49="Y")),AND(Screener!$B$18="Without A-share",NOT((Database!$BM49="Y")))),1,0)=0,-999999,IF(Screener!$B$16="cornerstone overlap first",H49*100000,IF(Screener!$B$16="demand-similar first",J49*100000,0))+W_SUB*B49+W_SEC*C49*(1-B49)+W_SIZE*D49+W_PROF*E49+W_AH*F49+W_REC*G49+W_CS*H49+W_PE*I49)))+ROW()/1000000</f>
        <v/>
      </c>
      <c r="AA49" s="270">
        <f>Database!B38</f>
        <v/>
      </c>
      <c r="AB49" s="270">
        <f>Database!D38</f>
        <v/>
      </c>
      <c r="AC49" s="270">
        <f>Database!E38</f>
        <v/>
      </c>
      <c r="AD49" s="270">
        <f>Database!I38</f>
        <v/>
      </c>
      <c r="AE49" s="270">
        <f>Database!BG38</f>
        <v/>
      </c>
      <c r="AF49" s="270">
        <f>Database!BM38</f>
        <v/>
      </c>
      <c r="AG49" s="270">
        <f>Database!H38</f>
        <v/>
      </c>
      <c r="AH49" s="270">
        <f>Database!BH38</f>
        <v/>
      </c>
    </row>
    <row r="50">
      <c r="A50" s="270">
        <f>Database!B50</f>
        <v/>
      </c>
      <c r="B50" s="270">
        <f>IF(AND(Screener!$D$8&lt;&gt;"",Database!$E50=Screener!$D$8),1,0)</f>
        <v/>
      </c>
      <c r="C50" s="270">
        <f>IF(AND(Screener!$D$7&lt;&gt;"",Database!$D50=Screener!$D$7),1,0)</f>
        <v/>
      </c>
      <c r="D50" s="270">
        <f>IF(OR(N(Database!$I50)&lt;=0,N(Screener!$D$9)&lt;=0),0,MAX(0,1-ABS(LOG10(N(Database!$I50)/Screener!$D$9))/W_SIZEHW))</f>
        <v/>
      </c>
      <c r="E50" s="270">
        <f>IF(OR(Database!$BG50="",Screener!$D$10=""),0,IF(Database!$BG50=Screener!$D$10,1,0))</f>
        <v/>
      </c>
      <c r="F50" s="270">
        <f>IF(OR(Database!$BM50="",Screener!$D$11=""),0,IF(Database!$BM50=Screener!$D$11,1,0))</f>
        <v/>
      </c>
      <c r="G50" s="270">
        <f>IF(OR(Database!$H50="",N(Screener!$D$12)&lt;=0),0,MAX(0,1-(N(Screener!$D$12)-Database!$H50)/W_RECD))</f>
        <v/>
      </c>
      <c r="H50" s="270">
        <f>IF($U$1="",0,N(ISNUMBER(SEARCH($U$1,Database!$AC50&amp;""))))+IF($V$1="",0,N(ISNUMBER(SEARCH($V$1,Database!$AC50&amp;""))))+IF($W$1="",0,N(ISNUMBER(SEARCH($W$1,Database!$AC50&amp;""))))+IF($X$1="",0,N(ISNUMBER(SEARCH($X$1,Database!$AC50&amp;""))))+IF($Y$1="",0,N(ISNUMBER(SEARCH($Y$1,Database!$AC50&amp;""))))+IF(Screener!$B$17="",0,N(ISNUMBER(SEARCH(LOWER(Screener!$B$17),Database!$AC50&amp;""))))</f>
        <v/>
      </c>
      <c r="I50" s="270">
        <f>IF(OR(N(Database!$BH50)&lt;=0,N(Screener!$D$13)&lt;=0),0,MAX(0,1-ABS(LOG10(N(Database!$BH50)/Screener!$D$13))/W_PEHW))</f>
        <v/>
      </c>
      <c r="J50" s="270">
        <f>IF(OR(N(Database!$S50)&lt;=0,N(Screener!$D$14)&lt;=0),0,MAX(0,1-ABS(LOG10(Database!$S50/Screener!$D$14))/0.6))</f>
        <v/>
      </c>
      <c r="K50" s="270">
        <f>IF(Database!$B50=Screener!$B$5,-999999,IF(ISNUMBER(SEARCH(","&amp;Database!$A50&amp;",",","&amp;SUBSTITUTE(Screener!$D$17," ","")&amp;",")),2000000,IF(IF(OR(Screener!$B$18="All",AND(Screener!$B$18="With A-share",(Database!$BM50="Y")),AND(Screener!$B$18="Without A-share",NOT((Database!$BM50="Y")))),1,0)=0,-999999,IF(Screener!$B$16="cornerstone overlap first",H50*100000,IF(Screener!$B$16="demand-similar first",J50*100000,0))+W_SUB*B50+W_SEC*C50*(1-B50)+W_SIZE*D50+W_PROF*E50+W_AH*F50+W_REC*G50+W_CS*H50+W_PE*I50)))+ROW()/1000000</f>
        <v/>
      </c>
      <c r="AA50" s="270">
        <f>Database!B39</f>
        <v/>
      </c>
      <c r="AB50" s="270">
        <f>Database!D39</f>
        <v/>
      </c>
      <c r="AC50" s="270">
        <f>Database!E39</f>
        <v/>
      </c>
      <c r="AD50" s="270">
        <f>Database!I39</f>
        <v/>
      </c>
      <c r="AE50" s="270">
        <f>Database!BG39</f>
        <v/>
      </c>
      <c r="AF50" s="270">
        <f>Database!BM39</f>
        <v/>
      </c>
      <c r="AG50" s="270">
        <f>Database!H39</f>
        <v/>
      </c>
      <c r="AH50" s="270">
        <f>Database!BH39</f>
        <v/>
      </c>
    </row>
    <row r="51">
      <c r="A51" s="270">
        <f>Database!B51</f>
        <v/>
      </c>
      <c r="B51" s="270">
        <f>IF(AND(Screener!$D$8&lt;&gt;"",Database!$E51=Screener!$D$8),1,0)</f>
        <v/>
      </c>
      <c r="C51" s="270">
        <f>IF(AND(Screener!$D$7&lt;&gt;"",Database!$D51=Screener!$D$7),1,0)</f>
        <v/>
      </c>
      <c r="D51" s="270">
        <f>IF(OR(N(Database!$I51)&lt;=0,N(Screener!$D$9)&lt;=0),0,MAX(0,1-ABS(LOG10(N(Database!$I51)/Screener!$D$9))/W_SIZEHW))</f>
        <v/>
      </c>
      <c r="E51" s="270">
        <f>IF(OR(Database!$BG51="",Screener!$D$10=""),0,IF(Database!$BG51=Screener!$D$10,1,0))</f>
        <v/>
      </c>
      <c r="F51" s="270">
        <f>IF(OR(Database!$BM51="",Screener!$D$11=""),0,IF(Database!$BM51=Screener!$D$11,1,0))</f>
        <v/>
      </c>
      <c r="G51" s="270">
        <f>IF(OR(Database!$H51="",N(Screener!$D$12)&lt;=0),0,MAX(0,1-(N(Screener!$D$12)-Database!$H51)/W_RECD))</f>
        <v/>
      </c>
      <c r="H51" s="270">
        <f>IF($U$1="",0,N(ISNUMBER(SEARCH($U$1,Database!$AC51&amp;""))))+IF($V$1="",0,N(ISNUMBER(SEARCH($V$1,Database!$AC51&amp;""))))+IF($W$1="",0,N(ISNUMBER(SEARCH($W$1,Database!$AC51&amp;""))))+IF($X$1="",0,N(ISNUMBER(SEARCH($X$1,Database!$AC51&amp;""))))+IF($Y$1="",0,N(ISNUMBER(SEARCH($Y$1,Database!$AC51&amp;""))))+IF(Screener!$B$17="",0,N(ISNUMBER(SEARCH(LOWER(Screener!$B$17),Database!$AC51&amp;""))))</f>
        <v/>
      </c>
      <c r="I51" s="270">
        <f>IF(OR(N(Database!$BH51)&lt;=0,N(Screener!$D$13)&lt;=0),0,MAX(0,1-ABS(LOG10(N(Database!$BH51)/Screener!$D$13))/W_PEHW))</f>
        <v/>
      </c>
      <c r="J51" s="270">
        <f>IF(OR(N(Database!$S51)&lt;=0,N(Screener!$D$14)&lt;=0),0,MAX(0,1-ABS(LOG10(Database!$S51/Screener!$D$14))/0.6))</f>
        <v/>
      </c>
      <c r="K51" s="270">
        <f>IF(Database!$B51=Screener!$B$5,-999999,IF(ISNUMBER(SEARCH(","&amp;Database!$A51&amp;",",","&amp;SUBSTITUTE(Screener!$D$17," ","")&amp;",")),2000000,IF(IF(OR(Screener!$B$18="All",AND(Screener!$B$18="With A-share",(Database!$BM51="Y")),AND(Screener!$B$18="Without A-share",NOT((Database!$BM51="Y")))),1,0)=0,-999999,IF(Screener!$B$16="cornerstone overlap first",H51*100000,IF(Screener!$B$16="demand-similar first",J51*100000,0))+W_SUB*B51+W_SEC*C51*(1-B51)+W_SIZE*D51+W_PROF*E51+W_AH*F51+W_REC*G51+W_CS*H51+W_PE*I51)))+ROW()/1000000</f>
        <v/>
      </c>
      <c r="AA51" s="270">
        <f>Database!B40</f>
        <v/>
      </c>
      <c r="AB51" s="270">
        <f>Database!D40</f>
        <v/>
      </c>
      <c r="AC51" s="270">
        <f>Database!E40</f>
        <v/>
      </c>
      <c r="AD51" s="270">
        <f>Database!I40</f>
        <v/>
      </c>
      <c r="AE51" s="270">
        <f>Database!BG40</f>
        <v/>
      </c>
      <c r="AF51" s="270">
        <f>Database!BM40</f>
        <v/>
      </c>
      <c r="AG51" s="270">
        <f>Database!H40</f>
        <v/>
      </c>
      <c r="AH51" s="270">
        <f>Database!BH40</f>
        <v/>
      </c>
    </row>
    <row r="52">
      <c r="A52" s="270">
        <f>Database!B52</f>
        <v/>
      </c>
      <c r="B52" s="270">
        <f>IF(AND(Screener!$D$8&lt;&gt;"",Database!$E52=Screener!$D$8),1,0)</f>
        <v/>
      </c>
      <c r="C52" s="270">
        <f>IF(AND(Screener!$D$7&lt;&gt;"",Database!$D52=Screener!$D$7),1,0)</f>
        <v/>
      </c>
      <c r="D52" s="270">
        <f>IF(OR(N(Database!$I52)&lt;=0,N(Screener!$D$9)&lt;=0),0,MAX(0,1-ABS(LOG10(N(Database!$I52)/Screener!$D$9))/W_SIZEHW))</f>
        <v/>
      </c>
      <c r="E52" s="270">
        <f>IF(OR(Database!$BG52="",Screener!$D$10=""),0,IF(Database!$BG52=Screener!$D$10,1,0))</f>
        <v/>
      </c>
      <c r="F52" s="270">
        <f>IF(OR(Database!$BM52="",Screener!$D$11=""),0,IF(Database!$BM52=Screener!$D$11,1,0))</f>
        <v/>
      </c>
      <c r="G52" s="270">
        <f>IF(OR(Database!$H52="",N(Screener!$D$12)&lt;=0),0,MAX(0,1-(N(Screener!$D$12)-Database!$H52)/W_RECD))</f>
        <v/>
      </c>
      <c r="H52" s="270">
        <f>IF($U$1="",0,N(ISNUMBER(SEARCH($U$1,Database!$AC52&amp;""))))+IF($V$1="",0,N(ISNUMBER(SEARCH($V$1,Database!$AC52&amp;""))))+IF($W$1="",0,N(ISNUMBER(SEARCH($W$1,Database!$AC52&amp;""))))+IF($X$1="",0,N(ISNUMBER(SEARCH($X$1,Database!$AC52&amp;""))))+IF($Y$1="",0,N(ISNUMBER(SEARCH($Y$1,Database!$AC52&amp;""))))+IF(Screener!$B$17="",0,N(ISNUMBER(SEARCH(LOWER(Screener!$B$17),Database!$AC52&amp;""))))</f>
        <v/>
      </c>
      <c r="I52" s="270">
        <f>IF(OR(N(Database!$BH52)&lt;=0,N(Screener!$D$13)&lt;=0),0,MAX(0,1-ABS(LOG10(N(Database!$BH52)/Screener!$D$13))/W_PEHW))</f>
        <v/>
      </c>
      <c r="J52" s="270">
        <f>IF(OR(N(Database!$S52)&lt;=0,N(Screener!$D$14)&lt;=0),0,MAX(0,1-ABS(LOG10(Database!$S52/Screener!$D$14))/0.6))</f>
        <v/>
      </c>
      <c r="K52" s="270">
        <f>IF(Database!$B52=Screener!$B$5,-999999,IF(ISNUMBER(SEARCH(","&amp;Database!$A52&amp;",",","&amp;SUBSTITUTE(Screener!$D$17," ","")&amp;",")),2000000,IF(IF(OR(Screener!$B$18="All",AND(Screener!$B$18="With A-share",(Database!$BM52="Y")),AND(Screener!$B$18="Without A-share",NOT((Database!$BM52="Y")))),1,0)=0,-999999,IF(Screener!$B$16="cornerstone overlap first",H52*100000,IF(Screener!$B$16="demand-similar first",J52*100000,0))+W_SUB*B52+W_SEC*C52*(1-B52)+W_SIZE*D52+W_PROF*E52+W_AH*F52+W_REC*G52+W_CS*H52+W_PE*I52)))+ROW()/1000000</f>
        <v/>
      </c>
      <c r="AA52" s="270">
        <f>Database!B41</f>
        <v/>
      </c>
      <c r="AB52" s="270">
        <f>Database!D41</f>
        <v/>
      </c>
      <c r="AC52" s="270">
        <f>Database!E41</f>
        <v/>
      </c>
      <c r="AD52" s="270">
        <f>Database!I41</f>
        <v/>
      </c>
      <c r="AE52" s="270">
        <f>Database!BG41</f>
        <v/>
      </c>
      <c r="AF52" s="270">
        <f>Database!BM41</f>
        <v/>
      </c>
      <c r="AG52" s="270">
        <f>Database!H41</f>
        <v/>
      </c>
      <c r="AH52" s="270">
        <f>Database!BH41</f>
        <v/>
      </c>
    </row>
    <row r="53">
      <c r="A53" s="270">
        <f>Database!B53</f>
        <v/>
      </c>
      <c r="B53" s="270">
        <f>IF(AND(Screener!$D$8&lt;&gt;"",Database!$E53=Screener!$D$8),1,0)</f>
        <v/>
      </c>
      <c r="C53" s="270">
        <f>IF(AND(Screener!$D$7&lt;&gt;"",Database!$D53=Screener!$D$7),1,0)</f>
        <v/>
      </c>
      <c r="D53" s="270">
        <f>IF(OR(N(Database!$I53)&lt;=0,N(Screener!$D$9)&lt;=0),0,MAX(0,1-ABS(LOG10(N(Database!$I53)/Screener!$D$9))/W_SIZEHW))</f>
        <v/>
      </c>
      <c r="E53" s="270">
        <f>IF(OR(Database!$BG53="",Screener!$D$10=""),0,IF(Database!$BG53=Screener!$D$10,1,0))</f>
        <v/>
      </c>
      <c r="F53" s="270">
        <f>IF(OR(Database!$BM53="",Screener!$D$11=""),0,IF(Database!$BM53=Screener!$D$11,1,0))</f>
        <v/>
      </c>
      <c r="G53" s="270">
        <f>IF(OR(Database!$H53="",N(Screener!$D$12)&lt;=0),0,MAX(0,1-(N(Screener!$D$12)-Database!$H53)/W_RECD))</f>
        <v/>
      </c>
      <c r="H53" s="270">
        <f>IF($U$1="",0,N(ISNUMBER(SEARCH($U$1,Database!$AC53&amp;""))))+IF($V$1="",0,N(ISNUMBER(SEARCH($V$1,Database!$AC53&amp;""))))+IF($W$1="",0,N(ISNUMBER(SEARCH($W$1,Database!$AC53&amp;""))))+IF($X$1="",0,N(ISNUMBER(SEARCH($X$1,Database!$AC53&amp;""))))+IF($Y$1="",0,N(ISNUMBER(SEARCH($Y$1,Database!$AC53&amp;""))))+IF(Screener!$B$17="",0,N(ISNUMBER(SEARCH(LOWER(Screener!$B$17),Database!$AC53&amp;""))))</f>
        <v/>
      </c>
      <c r="I53" s="270">
        <f>IF(OR(N(Database!$BH53)&lt;=0,N(Screener!$D$13)&lt;=0),0,MAX(0,1-ABS(LOG10(N(Database!$BH53)/Screener!$D$13))/W_PEHW))</f>
        <v/>
      </c>
      <c r="J53" s="270">
        <f>IF(OR(N(Database!$S53)&lt;=0,N(Screener!$D$14)&lt;=0),0,MAX(0,1-ABS(LOG10(Database!$S53/Screener!$D$14))/0.6))</f>
        <v/>
      </c>
      <c r="K53" s="270">
        <f>IF(Database!$B53=Screener!$B$5,-999999,IF(ISNUMBER(SEARCH(","&amp;Database!$A53&amp;",",","&amp;SUBSTITUTE(Screener!$D$17," ","")&amp;",")),2000000,IF(IF(OR(Screener!$B$18="All",AND(Screener!$B$18="With A-share",(Database!$BM53="Y")),AND(Screener!$B$18="Without A-share",NOT((Database!$BM53="Y")))),1,0)=0,-999999,IF(Screener!$B$16="cornerstone overlap first",H53*100000,IF(Screener!$B$16="demand-similar first",J53*100000,0))+W_SUB*B53+W_SEC*C53*(1-B53)+W_SIZE*D53+W_PROF*E53+W_AH*F53+W_REC*G53+W_CS*H53+W_PE*I53)))+ROW()/1000000</f>
        <v/>
      </c>
      <c r="AA53" s="270">
        <f>Database!B42</f>
        <v/>
      </c>
      <c r="AB53" s="270">
        <f>Database!D42</f>
        <v/>
      </c>
      <c r="AC53" s="270">
        <f>Database!E42</f>
        <v/>
      </c>
      <c r="AD53" s="270">
        <f>Database!I42</f>
        <v/>
      </c>
      <c r="AE53" s="270">
        <f>Database!BG42</f>
        <v/>
      </c>
      <c r="AF53" s="270">
        <f>Database!BM42</f>
        <v/>
      </c>
      <c r="AG53" s="270">
        <f>Database!H42</f>
        <v/>
      </c>
      <c r="AH53" s="270">
        <f>Database!BH42</f>
        <v/>
      </c>
    </row>
    <row r="54">
      <c r="A54" s="270">
        <f>Database!B54</f>
        <v/>
      </c>
      <c r="B54" s="270">
        <f>IF(AND(Screener!$D$8&lt;&gt;"",Database!$E54=Screener!$D$8),1,0)</f>
        <v/>
      </c>
      <c r="C54" s="270">
        <f>IF(AND(Screener!$D$7&lt;&gt;"",Database!$D54=Screener!$D$7),1,0)</f>
        <v/>
      </c>
      <c r="D54" s="270">
        <f>IF(OR(N(Database!$I54)&lt;=0,N(Screener!$D$9)&lt;=0),0,MAX(0,1-ABS(LOG10(N(Database!$I54)/Screener!$D$9))/W_SIZEHW))</f>
        <v/>
      </c>
      <c r="E54" s="270">
        <f>IF(OR(Database!$BG54="",Screener!$D$10=""),0,IF(Database!$BG54=Screener!$D$10,1,0))</f>
        <v/>
      </c>
      <c r="F54" s="270">
        <f>IF(OR(Database!$BM54="",Screener!$D$11=""),0,IF(Database!$BM54=Screener!$D$11,1,0))</f>
        <v/>
      </c>
      <c r="G54" s="270">
        <f>IF(OR(Database!$H54="",N(Screener!$D$12)&lt;=0),0,MAX(0,1-(N(Screener!$D$12)-Database!$H54)/W_RECD))</f>
        <v/>
      </c>
      <c r="H54" s="270">
        <f>IF($U$1="",0,N(ISNUMBER(SEARCH($U$1,Database!$AC54&amp;""))))+IF($V$1="",0,N(ISNUMBER(SEARCH($V$1,Database!$AC54&amp;""))))+IF($W$1="",0,N(ISNUMBER(SEARCH($W$1,Database!$AC54&amp;""))))+IF($X$1="",0,N(ISNUMBER(SEARCH($X$1,Database!$AC54&amp;""))))+IF($Y$1="",0,N(ISNUMBER(SEARCH($Y$1,Database!$AC54&amp;""))))+IF(Screener!$B$17="",0,N(ISNUMBER(SEARCH(LOWER(Screener!$B$17),Database!$AC54&amp;""))))</f>
        <v/>
      </c>
      <c r="I54" s="270">
        <f>IF(OR(N(Database!$BH54)&lt;=0,N(Screener!$D$13)&lt;=0),0,MAX(0,1-ABS(LOG10(N(Database!$BH54)/Screener!$D$13))/W_PEHW))</f>
        <v/>
      </c>
      <c r="J54" s="270">
        <f>IF(OR(N(Database!$S54)&lt;=0,N(Screener!$D$14)&lt;=0),0,MAX(0,1-ABS(LOG10(Database!$S54/Screener!$D$14))/0.6))</f>
        <v/>
      </c>
      <c r="K54" s="270">
        <f>IF(Database!$B54=Screener!$B$5,-999999,IF(ISNUMBER(SEARCH(","&amp;Database!$A54&amp;",",","&amp;SUBSTITUTE(Screener!$D$17," ","")&amp;",")),2000000,IF(IF(OR(Screener!$B$18="All",AND(Screener!$B$18="With A-share",(Database!$BM54="Y")),AND(Screener!$B$18="Without A-share",NOT((Database!$BM54="Y")))),1,0)=0,-999999,IF(Screener!$B$16="cornerstone overlap first",H54*100000,IF(Screener!$B$16="demand-similar first",J54*100000,0))+W_SUB*B54+W_SEC*C54*(1-B54)+W_SIZE*D54+W_PROF*E54+W_AH*F54+W_REC*G54+W_CS*H54+W_PE*I54)))+ROW()/1000000</f>
        <v/>
      </c>
      <c r="AA54" s="270">
        <f>Database!B43</f>
        <v/>
      </c>
      <c r="AB54" s="270">
        <f>Database!D43</f>
        <v/>
      </c>
      <c r="AC54" s="270">
        <f>Database!E43</f>
        <v/>
      </c>
      <c r="AD54" s="270">
        <f>Database!I43</f>
        <v/>
      </c>
      <c r="AE54" s="270">
        <f>Database!BG43</f>
        <v/>
      </c>
      <c r="AF54" s="270">
        <f>Database!BM43</f>
        <v/>
      </c>
      <c r="AG54" s="270">
        <f>Database!H43</f>
        <v/>
      </c>
      <c r="AH54" s="270">
        <f>Database!BH43</f>
        <v/>
      </c>
    </row>
    <row r="55">
      <c r="A55" s="270">
        <f>Database!B55</f>
        <v/>
      </c>
      <c r="B55" s="270">
        <f>IF(AND(Screener!$D$8&lt;&gt;"",Database!$E55=Screener!$D$8),1,0)</f>
        <v/>
      </c>
      <c r="C55" s="270">
        <f>IF(AND(Screener!$D$7&lt;&gt;"",Database!$D55=Screener!$D$7),1,0)</f>
        <v/>
      </c>
      <c r="D55" s="270">
        <f>IF(OR(N(Database!$I55)&lt;=0,N(Screener!$D$9)&lt;=0),0,MAX(0,1-ABS(LOG10(N(Database!$I55)/Screener!$D$9))/W_SIZEHW))</f>
        <v/>
      </c>
      <c r="E55" s="270">
        <f>IF(OR(Database!$BG55="",Screener!$D$10=""),0,IF(Database!$BG55=Screener!$D$10,1,0))</f>
        <v/>
      </c>
      <c r="F55" s="270">
        <f>IF(OR(Database!$BM55="",Screener!$D$11=""),0,IF(Database!$BM55=Screener!$D$11,1,0))</f>
        <v/>
      </c>
      <c r="G55" s="270">
        <f>IF(OR(Database!$H55="",N(Screener!$D$12)&lt;=0),0,MAX(0,1-(N(Screener!$D$12)-Database!$H55)/W_RECD))</f>
        <v/>
      </c>
      <c r="H55" s="270">
        <f>IF($U$1="",0,N(ISNUMBER(SEARCH($U$1,Database!$AC55&amp;""))))+IF($V$1="",0,N(ISNUMBER(SEARCH($V$1,Database!$AC55&amp;""))))+IF($W$1="",0,N(ISNUMBER(SEARCH($W$1,Database!$AC55&amp;""))))+IF($X$1="",0,N(ISNUMBER(SEARCH($X$1,Database!$AC55&amp;""))))+IF($Y$1="",0,N(ISNUMBER(SEARCH($Y$1,Database!$AC55&amp;""))))+IF(Screener!$B$17="",0,N(ISNUMBER(SEARCH(LOWER(Screener!$B$17),Database!$AC55&amp;""))))</f>
        <v/>
      </c>
      <c r="I55" s="270">
        <f>IF(OR(N(Database!$BH55)&lt;=0,N(Screener!$D$13)&lt;=0),0,MAX(0,1-ABS(LOG10(N(Database!$BH55)/Screener!$D$13))/W_PEHW))</f>
        <v/>
      </c>
      <c r="J55" s="270">
        <f>IF(OR(N(Database!$S55)&lt;=0,N(Screener!$D$14)&lt;=0),0,MAX(0,1-ABS(LOG10(Database!$S55/Screener!$D$14))/0.6))</f>
        <v/>
      </c>
      <c r="K55" s="270">
        <f>IF(Database!$B55=Screener!$B$5,-999999,IF(ISNUMBER(SEARCH(","&amp;Database!$A55&amp;",",","&amp;SUBSTITUTE(Screener!$D$17," ","")&amp;",")),2000000,IF(IF(OR(Screener!$B$18="All",AND(Screener!$B$18="With A-share",(Database!$BM55="Y")),AND(Screener!$B$18="Without A-share",NOT((Database!$BM55="Y")))),1,0)=0,-999999,IF(Screener!$B$16="cornerstone overlap first",H55*100000,IF(Screener!$B$16="demand-similar first",J55*100000,0))+W_SUB*B55+W_SEC*C55*(1-B55)+W_SIZE*D55+W_PROF*E55+W_AH*F55+W_REC*G55+W_CS*H55+W_PE*I55)))+ROW()/1000000</f>
        <v/>
      </c>
      <c r="AA55" s="270">
        <f>Database!B44</f>
        <v/>
      </c>
      <c r="AB55" s="270">
        <f>Database!D44</f>
        <v/>
      </c>
      <c r="AC55" s="270">
        <f>Database!E44</f>
        <v/>
      </c>
      <c r="AD55" s="270">
        <f>Database!I44</f>
        <v/>
      </c>
      <c r="AE55" s="270">
        <f>Database!BG44</f>
        <v/>
      </c>
      <c r="AF55" s="270">
        <f>Database!BM44</f>
        <v/>
      </c>
      <c r="AG55" s="270">
        <f>Database!H44</f>
        <v/>
      </c>
      <c r="AH55" s="270">
        <f>Database!BH44</f>
        <v/>
      </c>
    </row>
    <row r="56">
      <c r="A56" s="270">
        <f>Database!B56</f>
        <v/>
      </c>
      <c r="B56" s="270">
        <f>IF(AND(Screener!$D$8&lt;&gt;"",Database!$E56=Screener!$D$8),1,0)</f>
        <v/>
      </c>
      <c r="C56" s="270">
        <f>IF(AND(Screener!$D$7&lt;&gt;"",Database!$D56=Screener!$D$7),1,0)</f>
        <v/>
      </c>
      <c r="D56" s="270">
        <f>IF(OR(N(Database!$I56)&lt;=0,N(Screener!$D$9)&lt;=0),0,MAX(0,1-ABS(LOG10(N(Database!$I56)/Screener!$D$9))/W_SIZEHW))</f>
        <v/>
      </c>
      <c r="E56" s="270">
        <f>IF(OR(Database!$BG56="",Screener!$D$10=""),0,IF(Database!$BG56=Screener!$D$10,1,0))</f>
        <v/>
      </c>
      <c r="F56" s="270">
        <f>IF(OR(Database!$BM56="",Screener!$D$11=""),0,IF(Database!$BM56=Screener!$D$11,1,0))</f>
        <v/>
      </c>
      <c r="G56" s="270">
        <f>IF(OR(Database!$H56="",N(Screener!$D$12)&lt;=0),0,MAX(0,1-(N(Screener!$D$12)-Database!$H56)/W_RECD))</f>
        <v/>
      </c>
      <c r="H56" s="270">
        <f>IF($U$1="",0,N(ISNUMBER(SEARCH($U$1,Database!$AC56&amp;""))))+IF($V$1="",0,N(ISNUMBER(SEARCH($V$1,Database!$AC56&amp;""))))+IF($W$1="",0,N(ISNUMBER(SEARCH($W$1,Database!$AC56&amp;""))))+IF($X$1="",0,N(ISNUMBER(SEARCH($X$1,Database!$AC56&amp;""))))+IF($Y$1="",0,N(ISNUMBER(SEARCH($Y$1,Database!$AC56&amp;""))))+IF(Screener!$B$17="",0,N(ISNUMBER(SEARCH(LOWER(Screener!$B$17),Database!$AC56&amp;""))))</f>
        <v/>
      </c>
      <c r="I56" s="270">
        <f>IF(OR(N(Database!$BH56)&lt;=0,N(Screener!$D$13)&lt;=0),0,MAX(0,1-ABS(LOG10(N(Database!$BH56)/Screener!$D$13))/W_PEHW))</f>
        <v/>
      </c>
      <c r="J56" s="270">
        <f>IF(OR(N(Database!$S56)&lt;=0,N(Screener!$D$14)&lt;=0),0,MAX(0,1-ABS(LOG10(Database!$S56/Screener!$D$14))/0.6))</f>
        <v/>
      </c>
      <c r="K56" s="270">
        <f>IF(Database!$B56=Screener!$B$5,-999999,IF(ISNUMBER(SEARCH(","&amp;Database!$A56&amp;",",","&amp;SUBSTITUTE(Screener!$D$17," ","")&amp;",")),2000000,IF(IF(OR(Screener!$B$18="All",AND(Screener!$B$18="With A-share",(Database!$BM56="Y")),AND(Screener!$B$18="Without A-share",NOT((Database!$BM56="Y")))),1,0)=0,-999999,IF(Screener!$B$16="cornerstone overlap first",H56*100000,IF(Screener!$B$16="demand-similar first",J56*100000,0))+W_SUB*B56+W_SEC*C56*(1-B56)+W_SIZE*D56+W_PROF*E56+W_AH*F56+W_REC*G56+W_CS*H56+W_PE*I56)))+ROW()/1000000</f>
        <v/>
      </c>
      <c r="AA56" s="270">
        <f>Database!B45</f>
        <v/>
      </c>
      <c r="AB56" s="270">
        <f>Database!D45</f>
        <v/>
      </c>
      <c r="AC56" s="270">
        <f>Database!E45</f>
        <v/>
      </c>
      <c r="AD56" s="270">
        <f>Database!I45</f>
        <v/>
      </c>
      <c r="AE56" s="270">
        <f>Database!BG45</f>
        <v/>
      </c>
      <c r="AF56" s="270">
        <f>Database!BM45</f>
        <v/>
      </c>
      <c r="AG56" s="270">
        <f>Database!H45</f>
        <v/>
      </c>
      <c r="AH56" s="270">
        <f>Database!BH45</f>
        <v/>
      </c>
    </row>
    <row r="57">
      <c r="A57" s="270">
        <f>Database!B57</f>
        <v/>
      </c>
      <c r="B57" s="270">
        <f>IF(AND(Screener!$D$8&lt;&gt;"",Database!$E57=Screener!$D$8),1,0)</f>
        <v/>
      </c>
      <c r="C57" s="270">
        <f>IF(AND(Screener!$D$7&lt;&gt;"",Database!$D57=Screener!$D$7),1,0)</f>
        <v/>
      </c>
      <c r="D57" s="270">
        <f>IF(OR(N(Database!$I57)&lt;=0,N(Screener!$D$9)&lt;=0),0,MAX(0,1-ABS(LOG10(N(Database!$I57)/Screener!$D$9))/W_SIZEHW))</f>
        <v/>
      </c>
      <c r="E57" s="270">
        <f>IF(OR(Database!$BG57="",Screener!$D$10=""),0,IF(Database!$BG57=Screener!$D$10,1,0))</f>
        <v/>
      </c>
      <c r="F57" s="270">
        <f>IF(OR(Database!$BM57="",Screener!$D$11=""),0,IF(Database!$BM57=Screener!$D$11,1,0))</f>
        <v/>
      </c>
      <c r="G57" s="270">
        <f>IF(OR(Database!$H57="",N(Screener!$D$12)&lt;=0),0,MAX(0,1-(N(Screener!$D$12)-Database!$H57)/W_RECD))</f>
        <v/>
      </c>
      <c r="H57" s="270">
        <f>IF($U$1="",0,N(ISNUMBER(SEARCH($U$1,Database!$AC57&amp;""))))+IF($V$1="",0,N(ISNUMBER(SEARCH($V$1,Database!$AC57&amp;""))))+IF($W$1="",0,N(ISNUMBER(SEARCH($W$1,Database!$AC57&amp;""))))+IF($X$1="",0,N(ISNUMBER(SEARCH($X$1,Database!$AC57&amp;""))))+IF($Y$1="",0,N(ISNUMBER(SEARCH($Y$1,Database!$AC57&amp;""))))+IF(Screener!$B$17="",0,N(ISNUMBER(SEARCH(LOWER(Screener!$B$17),Database!$AC57&amp;""))))</f>
        <v/>
      </c>
      <c r="I57" s="270">
        <f>IF(OR(N(Database!$BH57)&lt;=0,N(Screener!$D$13)&lt;=0),0,MAX(0,1-ABS(LOG10(N(Database!$BH57)/Screener!$D$13))/W_PEHW))</f>
        <v/>
      </c>
      <c r="J57" s="270">
        <f>IF(OR(N(Database!$S57)&lt;=0,N(Screener!$D$14)&lt;=0),0,MAX(0,1-ABS(LOG10(Database!$S57/Screener!$D$14))/0.6))</f>
        <v/>
      </c>
      <c r="K57" s="270">
        <f>IF(Database!$B57=Screener!$B$5,-999999,IF(ISNUMBER(SEARCH(","&amp;Database!$A57&amp;",",","&amp;SUBSTITUTE(Screener!$D$17," ","")&amp;",")),2000000,IF(IF(OR(Screener!$B$18="All",AND(Screener!$B$18="With A-share",(Database!$BM57="Y")),AND(Screener!$B$18="Without A-share",NOT((Database!$BM57="Y")))),1,0)=0,-999999,IF(Screener!$B$16="cornerstone overlap first",H57*100000,IF(Screener!$B$16="demand-similar first",J57*100000,0))+W_SUB*B57+W_SEC*C57*(1-B57)+W_SIZE*D57+W_PROF*E57+W_AH*F57+W_REC*G57+W_CS*H57+W_PE*I57)))+ROW()/1000000</f>
        <v/>
      </c>
      <c r="AA57" s="270">
        <f>Database!B46</f>
        <v/>
      </c>
      <c r="AB57" s="270">
        <f>Database!D46</f>
        <v/>
      </c>
      <c r="AC57" s="270">
        <f>Database!E46</f>
        <v/>
      </c>
      <c r="AD57" s="270">
        <f>Database!I46</f>
        <v/>
      </c>
      <c r="AE57" s="270">
        <f>Database!BG46</f>
        <v/>
      </c>
      <c r="AF57" s="270">
        <f>Database!BM46</f>
        <v/>
      </c>
      <c r="AG57" s="270">
        <f>Database!H46</f>
        <v/>
      </c>
      <c r="AH57" s="270">
        <f>Database!BH46</f>
        <v/>
      </c>
    </row>
    <row r="58">
      <c r="A58" s="270">
        <f>Database!B58</f>
        <v/>
      </c>
      <c r="B58" s="270">
        <f>IF(AND(Screener!$D$8&lt;&gt;"",Database!$E58=Screener!$D$8),1,0)</f>
        <v/>
      </c>
      <c r="C58" s="270">
        <f>IF(AND(Screener!$D$7&lt;&gt;"",Database!$D58=Screener!$D$7),1,0)</f>
        <v/>
      </c>
      <c r="D58" s="270">
        <f>IF(OR(N(Database!$I58)&lt;=0,N(Screener!$D$9)&lt;=0),0,MAX(0,1-ABS(LOG10(N(Database!$I58)/Screener!$D$9))/W_SIZEHW))</f>
        <v/>
      </c>
      <c r="E58" s="270">
        <f>IF(OR(Database!$BG58="",Screener!$D$10=""),0,IF(Database!$BG58=Screener!$D$10,1,0))</f>
        <v/>
      </c>
      <c r="F58" s="270">
        <f>IF(OR(Database!$BM58="",Screener!$D$11=""),0,IF(Database!$BM58=Screener!$D$11,1,0))</f>
        <v/>
      </c>
      <c r="G58" s="270">
        <f>IF(OR(Database!$H58="",N(Screener!$D$12)&lt;=0),0,MAX(0,1-(N(Screener!$D$12)-Database!$H58)/W_RECD))</f>
        <v/>
      </c>
      <c r="H58" s="270">
        <f>IF($U$1="",0,N(ISNUMBER(SEARCH($U$1,Database!$AC58&amp;""))))+IF($V$1="",0,N(ISNUMBER(SEARCH($V$1,Database!$AC58&amp;""))))+IF($W$1="",0,N(ISNUMBER(SEARCH($W$1,Database!$AC58&amp;""))))+IF($X$1="",0,N(ISNUMBER(SEARCH($X$1,Database!$AC58&amp;""))))+IF($Y$1="",0,N(ISNUMBER(SEARCH($Y$1,Database!$AC58&amp;""))))+IF(Screener!$B$17="",0,N(ISNUMBER(SEARCH(LOWER(Screener!$B$17),Database!$AC58&amp;""))))</f>
        <v/>
      </c>
      <c r="I58" s="270">
        <f>IF(OR(N(Database!$BH58)&lt;=0,N(Screener!$D$13)&lt;=0),0,MAX(0,1-ABS(LOG10(N(Database!$BH58)/Screener!$D$13))/W_PEHW))</f>
        <v/>
      </c>
      <c r="J58" s="270">
        <f>IF(OR(N(Database!$S58)&lt;=0,N(Screener!$D$14)&lt;=0),0,MAX(0,1-ABS(LOG10(Database!$S58/Screener!$D$14))/0.6))</f>
        <v/>
      </c>
      <c r="K58" s="270">
        <f>IF(Database!$B58=Screener!$B$5,-999999,IF(ISNUMBER(SEARCH(","&amp;Database!$A58&amp;",",","&amp;SUBSTITUTE(Screener!$D$17," ","")&amp;",")),2000000,IF(IF(OR(Screener!$B$18="All",AND(Screener!$B$18="With A-share",(Database!$BM58="Y")),AND(Screener!$B$18="Without A-share",NOT((Database!$BM58="Y")))),1,0)=0,-999999,IF(Screener!$B$16="cornerstone overlap first",H58*100000,IF(Screener!$B$16="demand-similar first",J58*100000,0))+W_SUB*B58+W_SEC*C58*(1-B58)+W_SIZE*D58+W_PROF*E58+W_AH*F58+W_REC*G58+W_CS*H58+W_PE*I58)))+ROW()/1000000</f>
        <v/>
      </c>
      <c r="AA58" s="270">
        <f>Database!B47</f>
        <v/>
      </c>
      <c r="AB58" s="270">
        <f>Database!D47</f>
        <v/>
      </c>
      <c r="AC58" s="270">
        <f>Database!E47</f>
        <v/>
      </c>
      <c r="AD58" s="270">
        <f>Database!I47</f>
        <v/>
      </c>
      <c r="AE58" s="270">
        <f>Database!BG47</f>
        <v/>
      </c>
      <c r="AF58" s="270">
        <f>Database!BM47</f>
        <v/>
      </c>
      <c r="AG58" s="270">
        <f>Database!H47</f>
        <v/>
      </c>
      <c r="AH58" s="270">
        <f>Database!BH47</f>
        <v/>
      </c>
    </row>
    <row r="59">
      <c r="A59" s="270">
        <f>Database!B59</f>
        <v/>
      </c>
      <c r="B59" s="270">
        <f>IF(AND(Screener!$D$8&lt;&gt;"",Database!$E59=Screener!$D$8),1,0)</f>
        <v/>
      </c>
      <c r="C59" s="270">
        <f>IF(AND(Screener!$D$7&lt;&gt;"",Database!$D59=Screener!$D$7),1,0)</f>
        <v/>
      </c>
      <c r="D59" s="270">
        <f>IF(OR(N(Database!$I59)&lt;=0,N(Screener!$D$9)&lt;=0),0,MAX(0,1-ABS(LOG10(N(Database!$I59)/Screener!$D$9))/W_SIZEHW))</f>
        <v/>
      </c>
      <c r="E59" s="270">
        <f>IF(OR(Database!$BG59="",Screener!$D$10=""),0,IF(Database!$BG59=Screener!$D$10,1,0))</f>
        <v/>
      </c>
      <c r="F59" s="270">
        <f>IF(OR(Database!$BM59="",Screener!$D$11=""),0,IF(Database!$BM59=Screener!$D$11,1,0))</f>
        <v/>
      </c>
      <c r="G59" s="270">
        <f>IF(OR(Database!$H59="",N(Screener!$D$12)&lt;=0),0,MAX(0,1-(N(Screener!$D$12)-Database!$H59)/W_RECD))</f>
        <v/>
      </c>
      <c r="H59" s="270">
        <f>IF($U$1="",0,N(ISNUMBER(SEARCH($U$1,Database!$AC59&amp;""))))+IF($V$1="",0,N(ISNUMBER(SEARCH($V$1,Database!$AC59&amp;""))))+IF($W$1="",0,N(ISNUMBER(SEARCH($W$1,Database!$AC59&amp;""))))+IF($X$1="",0,N(ISNUMBER(SEARCH($X$1,Database!$AC59&amp;""))))+IF($Y$1="",0,N(ISNUMBER(SEARCH($Y$1,Database!$AC59&amp;""))))+IF(Screener!$B$17="",0,N(ISNUMBER(SEARCH(LOWER(Screener!$B$17),Database!$AC59&amp;""))))</f>
        <v/>
      </c>
      <c r="I59" s="270">
        <f>IF(OR(N(Database!$BH59)&lt;=0,N(Screener!$D$13)&lt;=0),0,MAX(0,1-ABS(LOG10(N(Database!$BH59)/Screener!$D$13))/W_PEHW))</f>
        <v/>
      </c>
      <c r="J59" s="270">
        <f>IF(OR(N(Database!$S59)&lt;=0,N(Screener!$D$14)&lt;=0),0,MAX(0,1-ABS(LOG10(Database!$S59/Screener!$D$14))/0.6))</f>
        <v/>
      </c>
      <c r="K59" s="270">
        <f>IF(Database!$B59=Screener!$B$5,-999999,IF(ISNUMBER(SEARCH(","&amp;Database!$A59&amp;",",","&amp;SUBSTITUTE(Screener!$D$17," ","")&amp;",")),2000000,IF(IF(OR(Screener!$B$18="All",AND(Screener!$B$18="With A-share",(Database!$BM59="Y")),AND(Screener!$B$18="Without A-share",NOT((Database!$BM59="Y")))),1,0)=0,-999999,IF(Screener!$B$16="cornerstone overlap first",H59*100000,IF(Screener!$B$16="demand-similar first",J59*100000,0))+W_SUB*B59+W_SEC*C59*(1-B59)+W_SIZE*D59+W_PROF*E59+W_AH*F59+W_REC*G59+W_CS*H59+W_PE*I59)))+ROW()/1000000</f>
        <v/>
      </c>
      <c r="AA59" s="270">
        <f>Database!B48</f>
        <v/>
      </c>
      <c r="AB59" s="270">
        <f>Database!D48</f>
        <v/>
      </c>
      <c r="AC59" s="270">
        <f>Database!E48</f>
        <v/>
      </c>
      <c r="AD59" s="270">
        <f>Database!I48</f>
        <v/>
      </c>
      <c r="AE59" s="270">
        <f>Database!BG48</f>
        <v/>
      </c>
      <c r="AF59" s="270">
        <f>Database!BM48</f>
        <v/>
      </c>
      <c r="AG59" s="270">
        <f>Database!H48</f>
        <v/>
      </c>
      <c r="AH59" s="270">
        <f>Database!BH48</f>
        <v/>
      </c>
    </row>
    <row r="60">
      <c r="A60" s="270">
        <f>Database!B60</f>
        <v/>
      </c>
      <c r="B60" s="270">
        <f>IF(AND(Screener!$D$8&lt;&gt;"",Database!$E60=Screener!$D$8),1,0)</f>
        <v/>
      </c>
      <c r="C60" s="270">
        <f>IF(AND(Screener!$D$7&lt;&gt;"",Database!$D60=Screener!$D$7),1,0)</f>
        <v/>
      </c>
      <c r="D60" s="270">
        <f>IF(OR(N(Database!$I60)&lt;=0,N(Screener!$D$9)&lt;=0),0,MAX(0,1-ABS(LOG10(N(Database!$I60)/Screener!$D$9))/W_SIZEHW))</f>
        <v/>
      </c>
      <c r="E60" s="270">
        <f>IF(OR(Database!$BG60="",Screener!$D$10=""),0,IF(Database!$BG60=Screener!$D$10,1,0))</f>
        <v/>
      </c>
      <c r="F60" s="270">
        <f>IF(OR(Database!$BM60="",Screener!$D$11=""),0,IF(Database!$BM60=Screener!$D$11,1,0))</f>
        <v/>
      </c>
      <c r="G60" s="270">
        <f>IF(OR(Database!$H60="",N(Screener!$D$12)&lt;=0),0,MAX(0,1-(N(Screener!$D$12)-Database!$H60)/W_RECD))</f>
        <v/>
      </c>
      <c r="H60" s="270">
        <f>IF($U$1="",0,N(ISNUMBER(SEARCH($U$1,Database!$AC60&amp;""))))+IF($V$1="",0,N(ISNUMBER(SEARCH($V$1,Database!$AC60&amp;""))))+IF($W$1="",0,N(ISNUMBER(SEARCH($W$1,Database!$AC60&amp;""))))+IF($X$1="",0,N(ISNUMBER(SEARCH($X$1,Database!$AC60&amp;""))))+IF($Y$1="",0,N(ISNUMBER(SEARCH($Y$1,Database!$AC60&amp;""))))+IF(Screener!$B$17="",0,N(ISNUMBER(SEARCH(LOWER(Screener!$B$17),Database!$AC60&amp;""))))</f>
        <v/>
      </c>
      <c r="I60" s="270">
        <f>IF(OR(N(Database!$BH60)&lt;=0,N(Screener!$D$13)&lt;=0),0,MAX(0,1-ABS(LOG10(N(Database!$BH60)/Screener!$D$13))/W_PEHW))</f>
        <v/>
      </c>
      <c r="J60" s="270">
        <f>IF(OR(N(Database!$S60)&lt;=0,N(Screener!$D$14)&lt;=0),0,MAX(0,1-ABS(LOG10(Database!$S60/Screener!$D$14))/0.6))</f>
        <v/>
      </c>
      <c r="K60" s="270">
        <f>IF(Database!$B60=Screener!$B$5,-999999,IF(ISNUMBER(SEARCH(","&amp;Database!$A60&amp;",",","&amp;SUBSTITUTE(Screener!$D$17," ","")&amp;",")),2000000,IF(IF(OR(Screener!$B$18="All",AND(Screener!$B$18="With A-share",(Database!$BM60="Y")),AND(Screener!$B$18="Without A-share",NOT((Database!$BM60="Y")))),1,0)=0,-999999,IF(Screener!$B$16="cornerstone overlap first",H60*100000,IF(Screener!$B$16="demand-similar first",J60*100000,0))+W_SUB*B60+W_SEC*C60*(1-B60)+W_SIZE*D60+W_PROF*E60+W_AH*F60+W_REC*G60+W_CS*H60+W_PE*I60)))+ROW()/1000000</f>
        <v/>
      </c>
      <c r="AA60" s="270">
        <f>Database!B49</f>
        <v/>
      </c>
      <c r="AB60" s="270">
        <f>Database!D49</f>
        <v/>
      </c>
      <c r="AC60" s="270">
        <f>Database!E49</f>
        <v/>
      </c>
      <c r="AD60" s="270">
        <f>Database!I49</f>
        <v/>
      </c>
      <c r="AE60" s="270">
        <f>Database!BG49</f>
        <v/>
      </c>
      <c r="AF60" s="270">
        <f>Database!BM49</f>
        <v/>
      </c>
      <c r="AG60" s="270">
        <f>Database!H49</f>
        <v/>
      </c>
      <c r="AH60" s="270">
        <f>Database!BH49</f>
        <v/>
      </c>
    </row>
    <row r="61">
      <c r="A61" s="270">
        <f>Database!B61</f>
        <v/>
      </c>
      <c r="B61" s="270">
        <f>IF(AND(Screener!$D$8&lt;&gt;"",Database!$E61=Screener!$D$8),1,0)</f>
        <v/>
      </c>
      <c r="C61" s="270">
        <f>IF(AND(Screener!$D$7&lt;&gt;"",Database!$D61=Screener!$D$7),1,0)</f>
        <v/>
      </c>
      <c r="D61" s="270">
        <f>IF(OR(N(Database!$I61)&lt;=0,N(Screener!$D$9)&lt;=0),0,MAX(0,1-ABS(LOG10(N(Database!$I61)/Screener!$D$9))/W_SIZEHW))</f>
        <v/>
      </c>
      <c r="E61" s="270">
        <f>IF(OR(Database!$BG61="",Screener!$D$10=""),0,IF(Database!$BG61=Screener!$D$10,1,0))</f>
        <v/>
      </c>
      <c r="F61" s="270">
        <f>IF(OR(Database!$BM61="",Screener!$D$11=""),0,IF(Database!$BM61=Screener!$D$11,1,0))</f>
        <v/>
      </c>
      <c r="G61" s="270">
        <f>IF(OR(Database!$H61="",N(Screener!$D$12)&lt;=0),0,MAX(0,1-(N(Screener!$D$12)-Database!$H61)/W_RECD))</f>
        <v/>
      </c>
      <c r="H61" s="270">
        <f>IF($U$1="",0,N(ISNUMBER(SEARCH($U$1,Database!$AC61&amp;""))))+IF($V$1="",0,N(ISNUMBER(SEARCH($V$1,Database!$AC61&amp;""))))+IF($W$1="",0,N(ISNUMBER(SEARCH($W$1,Database!$AC61&amp;""))))+IF($X$1="",0,N(ISNUMBER(SEARCH($X$1,Database!$AC61&amp;""))))+IF($Y$1="",0,N(ISNUMBER(SEARCH($Y$1,Database!$AC61&amp;""))))+IF(Screener!$B$17="",0,N(ISNUMBER(SEARCH(LOWER(Screener!$B$17),Database!$AC61&amp;""))))</f>
        <v/>
      </c>
      <c r="I61" s="270">
        <f>IF(OR(N(Database!$BH61)&lt;=0,N(Screener!$D$13)&lt;=0),0,MAX(0,1-ABS(LOG10(N(Database!$BH61)/Screener!$D$13))/W_PEHW))</f>
        <v/>
      </c>
      <c r="J61" s="270">
        <f>IF(OR(N(Database!$S61)&lt;=0,N(Screener!$D$14)&lt;=0),0,MAX(0,1-ABS(LOG10(Database!$S61/Screener!$D$14))/0.6))</f>
        <v/>
      </c>
      <c r="K61" s="270">
        <f>IF(Database!$B61=Screener!$B$5,-999999,IF(ISNUMBER(SEARCH(","&amp;Database!$A61&amp;",",","&amp;SUBSTITUTE(Screener!$D$17," ","")&amp;",")),2000000,IF(IF(OR(Screener!$B$18="All",AND(Screener!$B$18="With A-share",(Database!$BM61="Y")),AND(Screener!$B$18="Without A-share",NOT((Database!$BM61="Y")))),1,0)=0,-999999,IF(Screener!$B$16="cornerstone overlap first",H61*100000,IF(Screener!$B$16="demand-similar first",J61*100000,0))+W_SUB*B61+W_SEC*C61*(1-B61)+W_SIZE*D61+W_PROF*E61+W_AH*F61+W_REC*G61+W_CS*H61+W_PE*I61)))+ROW()/1000000</f>
        <v/>
      </c>
      <c r="AA61" s="270">
        <f>Database!B50</f>
        <v/>
      </c>
      <c r="AB61" s="270">
        <f>Database!D50</f>
        <v/>
      </c>
      <c r="AC61" s="270">
        <f>Database!E50</f>
        <v/>
      </c>
      <c r="AD61" s="270">
        <f>Database!I50</f>
        <v/>
      </c>
      <c r="AE61" s="270">
        <f>Database!BG50</f>
        <v/>
      </c>
      <c r="AF61" s="270">
        <f>Database!BM50</f>
        <v/>
      </c>
      <c r="AG61" s="270">
        <f>Database!H50</f>
        <v/>
      </c>
      <c r="AH61" s="270">
        <f>Database!BH50</f>
        <v/>
      </c>
    </row>
    <row r="62">
      <c r="A62" s="270">
        <f>Database!B62</f>
        <v/>
      </c>
      <c r="B62" s="270">
        <f>IF(AND(Screener!$D$8&lt;&gt;"",Database!$E62=Screener!$D$8),1,0)</f>
        <v/>
      </c>
      <c r="C62" s="270">
        <f>IF(AND(Screener!$D$7&lt;&gt;"",Database!$D62=Screener!$D$7),1,0)</f>
        <v/>
      </c>
      <c r="D62" s="270">
        <f>IF(OR(N(Database!$I62)&lt;=0,N(Screener!$D$9)&lt;=0),0,MAX(0,1-ABS(LOG10(N(Database!$I62)/Screener!$D$9))/W_SIZEHW))</f>
        <v/>
      </c>
      <c r="E62" s="270">
        <f>IF(OR(Database!$BG62="",Screener!$D$10=""),0,IF(Database!$BG62=Screener!$D$10,1,0))</f>
        <v/>
      </c>
      <c r="F62" s="270">
        <f>IF(OR(Database!$BM62="",Screener!$D$11=""),0,IF(Database!$BM62=Screener!$D$11,1,0))</f>
        <v/>
      </c>
      <c r="G62" s="270">
        <f>IF(OR(Database!$H62="",N(Screener!$D$12)&lt;=0),0,MAX(0,1-(N(Screener!$D$12)-Database!$H62)/W_RECD))</f>
        <v/>
      </c>
      <c r="H62" s="270">
        <f>IF($U$1="",0,N(ISNUMBER(SEARCH($U$1,Database!$AC62&amp;""))))+IF($V$1="",0,N(ISNUMBER(SEARCH($V$1,Database!$AC62&amp;""))))+IF($W$1="",0,N(ISNUMBER(SEARCH($W$1,Database!$AC62&amp;""))))+IF($X$1="",0,N(ISNUMBER(SEARCH($X$1,Database!$AC62&amp;""))))+IF($Y$1="",0,N(ISNUMBER(SEARCH($Y$1,Database!$AC62&amp;""))))+IF(Screener!$B$17="",0,N(ISNUMBER(SEARCH(LOWER(Screener!$B$17),Database!$AC62&amp;""))))</f>
        <v/>
      </c>
      <c r="I62" s="270">
        <f>IF(OR(N(Database!$BH62)&lt;=0,N(Screener!$D$13)&lt;=0),0,MAX(0,1-ABS(LOG10(N(Database!$BH62)/Screener!$D$13))/W_PEHW))</f>
        <v/>
      </c>
      <c r="J62" s="270">
        <f>IF(OR(N(Database!$S62)&lt;=0,N(Screener!$D$14)&lt;=0),0,MAX(0,1-ABS(LOG10(Database!$S62/Screener!$D$14))/0.6))</f>
        <v/>
      </c>
      <c r="K62" s="270">
        <f>IF(Database!$B62=Screener!$B$5,-999999,IF(ISNUMBER(SEARCH(","&amp;Database!$A62&amp;",",","&amp;SUBSTITUTE(Screener!$D$17," ","")&amp;",")),2000000,IF(IF(OR(Screener!$B$18="All",AND(Screener!$B$18="With A-share",(Database!$BM62="Y")),AND(Screener!$B$18="Without A-share",NOT((Database!$BM62="Y")))),1,0)=0,-999999,IF(Screener!$B$16="cornerstone overlap first",H62*100000,IF(Screener!$B$16="demand-similar first",J62*100000,0))+W_SUB*B62+W_SEC*C62*(1-B62)+W_SIZE*D62+W_PROF*E62+W_AH*F62+W_REC*G62+W_CS*H62+W_PE*I62)))+ROW()/1000000</f>
        <v/>
      </c>
      <c r="AA62" s="270">
        <f>Database!B51</f>
        <v/>
      </c>
      <c r="AB62" s="270">
        <f>Database!D51</f>
        <v/>
      </c>
      <c r="AC62" s="270">
        <f>Database!E51</f>
        <v/>
      </c>
      <c r="AD62" s="270">
        <f>Database!I51</f>
        <v/>
      </c>
      <c r="AE62" s="270">
        <f>Database!BG51</f>
        <v/>
      </c>
      <c r="AF62" s="270">
        <f>Database!BM51</f>
        <v/>
      </c>
      <c r="AG62" s="270">
        <f>Database!H51</f>
        <v/>
      </c>
      <c r="AH62" s="270">
        <f>Database!BH51</f>
        <v/>
      </c>
    </row>
    <row r="63">
      <c r="A63" s="270">
        <f>Database!B63</f>
        <v/>
      </c>
      <c r="B63" s="270">
        <f>IF(AND(Screener!$D$8&lt;&gt;"",Database!$E63=Screener!$D$8),1,0)</f>
        <v/>
      </c>
      <c r="C63" s="270">
        <f>IF(AND(Screener!$D$7&lt;&gt;"",Database!$D63=Screener!$D$7),1,0)</f>
        <v/>
      </c>
      <c r="D63" s="270">
        <f>IF(OR(N(Database!$I63)&lt;=0,N(Screener!$D$9)&lt;=0),0,MAX(0,1-ABS(LOG10(N(Database!$I63)/Screener!$D$9))/W_SIZEHW))</f>
        <v/>
      </c>
      <c r="E63" s="270">
        <f>IF(OR(Database!$BG63="",Screener!$D$10=""),0,IF(Database!$BG63=Screener!$D$10,1,0))</f>
        <v/>
      </c>
      <c r="F63" s="270">
        <f>IF(OR(Database!$BM63="",Screener!$D$11=""),0,IF(Database!$BM63=Screener!$D$11,1,0))</f>
        <v/>
      </c>
      <c r="G63" s="270">
        <f>IF(OR(Database!$H63="",N(Screener!$D$12)&lt;=0),0,MAX(0,1-(N(Screener!$D$12)-Database!$H63)/W_RECD))</f>
        <v/>
      </c>
      <c r="H63" s="270">
        <f>IF($U$1="",0,N(ISNUMBER(SEARCH($U$1,Database!$AC63&amp;""))))+IF($V$1="",0,N(ISNUMBER(SEARCH($V$1,Database!$AC63&amp;""))))+IF($W$1="",0,N(ISNUMBER(SEARCH($W$1,Database!$AC63&amp;""))))+IF($X$1="",0,N(ISNUMBER(SEARCH($X$1,Database!$AC63&amp;""))))+IF($Y$1="",0,N(ISNUMBER(SEARCH($Y$1,Database!$AC63&amp;""))))+IF(Screener!$B$17="",0,N(ISNUMBER(SEARCH(LOWER(Screener!$B$17),Database!$AC63&amp;""))))</f>
        <v/>
      </c>
      <c r="I63" s="270">
        <f>IF(OR(N(Database!$BH63)&lt;=0,N(Screener!$D$13)&lt;=0),0,MAX(0,1-ABS(LOG10(N(Database!$BH63)/Screener!$D$13))/W_PEHW))</f>
        <v/>
      </c>
      <c r="J63" s="270">
        <f>IF(OR(N(Database!$S63)&lt;=0,N(Screener!$D$14)&lt;=0),0,MAX(0,1-ABS(LOG10(Database!$S63/Screener!$D$14))/0.6))</f>
        <v/>
      </c>
      <c r="K63" s="270">
        <f>IF(Database!$B63=Screener!$B$5,-999999,IF(ISNUMBER(SEARCH(","&amp;Database!$A63&amp;",",","&amp;SUBSTITUTE(Screener!$D$17," ","")&amp;",")),2000000,IF(IF(OR(Screener!$B$18="All",AND(Screener!$B$18="With A-share",(Database!$BM63="Y")),AND(Screener!$B$18="Without A-share",NOT((Database!$BM63="Y")))),1,0)=0,-999999,IF(Screener!$B$16="cornerstone overlap first",H63*100000,IF(Screener!$B$16="demand-similar first",J63*100000,0))+W_SUB*B63+W_SEC*C63*(1-B63)+W_SIZE*D63+W_PROF*E63+W_AH*F63+W_REC*G63+W_CS*H63+W_PE*I63)))+ROW()/1000000</f>
        <v/>
      </c>
      <c r="AA63" s="270">
        <f>Database!B52</f>
        <v/>
      </c>
      <c r="AB63" s="270">
        <f>Database!D52</f>
        <v/>
      </c>
      <c r="AC63" s="270">
        <f>Database!E52</f>
        <v/>
      </c>
      <c r="AD63" s="270">
        <f>Database!I52</f>
        <v/>
      </c>
      <c r="AE63" s="270">
        <f>Database!BG52</f>
        <v/>
      </c>
      <c r="AF63" s="270">
        <f>Database!BM52</f>
        <v/>
      </c>
      <c r="AG63" s="270">
        <f>Database!H52</f>
        <v/>
      </c>
      <c r="AH63" s="270">
        <f>Database!BH52</f>
        <v/>
      </c>
    </row>
    <row r="64">
      <c r="A64" s="270">
        <f>Database!B64</f>
        <v/>
      </c>
      <c r="B64" s="270">
        <f>IF(AND(Screener!$D$8&lt;&gt;"",Database!$E64=Screener!$D$8),1,0)</f>
        <v/>
      </c>
      <c r="C64" s="270">
        <f>IF(AND(Screener!$D$7&lt;&gt;"",Database!$D64=Screener!$D$7),1,0)</f>
        <v/>
      </c>
      <c r="D64" s="270">
        <f>IF(OR(N(Database!$I64)&lt;=0,N(Screener!$D$9)&lt;=0),0,MAX(0,1-ABS(LOG10(N(Database!$I64)/Screener!$D$9))/W_SIZEHW))</f>
        <v/>
      </c>
      <c r="E64" s="270">
        <f>IF(OR(Database!$BG64="",Screener!$D$10=""),0,IF(Database!$BG64=Screener!$D$10,1,0))</f>
        <v/>
      </c>
      <c r="F64" s="270">
        <f>IF(OR(Database!$BM64="",Screener!$D$11=""),0,IF(Database!$BM64=Screener!$D$11,1,0))</f>
        <v/>
      </c>
      <c r="G64" s="270">
        <f>IF(OR(Database!$H64="",N(Screener!$D$12)&lt;=0),0,MAX(0,1-(N(Screener!$D$12)-Database!$H64)/W_RECD))</f>
        <v/>
      </c>
      <c r="H64" s="270">
        <f>IF($U$1="",0,N(ISNUMBER(SEARCH($U$1,Database!$AC64&amp;""))))+IF($V$1="",0,N(ISNUMBER(SEARCH($V$1,Database!$AC64&amp;""))))+IF($W$1="",0,N(ISNUMBER(SEARCH($W$1,Database!$AC64&amp;""))))+IF($X$1="",0,N(ISNUMBER(SEARCH($X$1,Database!$AC64&amp;""))))+IF($Y$1="",0,N(ISNUMBER(SEARCH($Y$1,Database!$AC64&amp;""))))+IF(Screener!$B$17="",0,N(ISNUMBER(SEARCH(LOWER(Screener!$B$17),Database!$AC64&amp;""))))</f>
        <v/>
      </c>
      <c r="I64" s="270">
        <f>IF(OR(N(Database!$BH64)&lt;=0,N(Screener!$D$13)&lt;=0),0,MAX(0,1-ABS(LOG10(N(Database!$BH64)/Screener!$D$13))/W_PEHW))</f>
        <v/>
      </c>
      <c r="J64" s="270">
        <f>IF(OR(N(Database!$S64)&lt;=0,N(Screener!$D$14)&lt;=0),0,MAX(0,1-ABS(LOG10(Database!$S64/Screener!$D$14))/0.6))</f>
        <v/>
      </c>
      <c r="K64" s="270">
        <f>IF(Database!$B64=Screener!$B$5,-999999,IF(ISNUMBER(SEARCH(","&amp;Database!$A64&amp;",",","&amp;SUBSTITUTE(Screener!$D$17," ","")&amp;",")),2000000,IF(IF(OR(Screener!$B$18="All",AND(Screener!$B$18="With A-share",(Database!$BM64="Y")),AND(Screener!$B$18="Without A-share",NOT((Database!$BM64="Y")))),1,0)=0,-999999,IF(Screener!$B$16="cornerstone overlap first",H64*100000,IF(Screener!$B$16="demand-similar first",J64*100000,0))+W_SUB*B64+W_SEC*C64*(1-B64)+W_SIZE*D64+W_PROF*E64+W_AH*F64+W_REC*G64+W_CS*H64+W_PE*I64)))+ROW()/1000000</f>
        <v/>
      </c>
      <c r="AA64" s="270">
        <f>Database!B53</f>
        <v/>
      </c>
      <c r="AB64" s="270">
        <f>Database!D53</f>
        <v/>
      </c>
      <c r="AC64" s="270">
        <f>Database!E53</f>
        <v/>
      </c>
      <c r="AD64" s="270">
        <f>Database!I53</f>
        <v/>
      </c>
      <c r="AE64" s="270">
        <f>Database!BG53</f>
        <v/>
      </c>
      <c r="AF64" s="270">
        <f>Database!BM53</f>
        <v/>
      </c>
      <c r="AG64" s="270">
        <f>Database!H53</f>
        <v/>
      </c>
      <c r="AH64" s="270">
        <f>Database!BH53</f>
        <v/>
      </c>
    </row>
    <row r="65">
      <c r="A65" s="270">
        <f>Database!B65</f>
        <v/>
      </c>
      <c r="B65" s="270">
        <f>IF(AND(Screener!$D$8&lt;&gt;"",Database!$E65=Screener!$D$8),1,0)</f>
        <v/>
      </c>
      <c r="C65" s="270">
        <f>IF(AND(Screener!$D$7&lt;&gt;"",Database!$D65=Screener!$D$7),1,0)</f>
        <v/>
      </c>
      <c r="D65" s="270">
        <f>IF(OR(N(Database!$I65)&lt;=0,N(Screener!$D$9)&lt;=0),0,MAX(0,1-ABS(LOG10(N(Database!$I65)/Screener!$D$9))/W_SIZEHW))</f>
        <v/>
      </c>
      <c r="E65" s="270">
        <f>IF(OR(Database!$BG65="",Screener!$D$10=""),0,IF(Database!$BG65=Screener!$D$10,1,0))</f>
        <v/>
      </c>
      <c r="F65" s="270">
        <f>IF(OR(Database!$BM65="",Screener!$D$11=""),0,IF(Database!$BM65=Screener!$D$11,1,0))</f>
        <v/>
      </c>
      <c r="G65" s="270">
        <f>IF(OR(Database!$H65="",N(Screener!$D$12)&lt;=0),0,MAX(0,1-(N(Screener!$D$12)-Database!$H65)/W_RECD))</f>
        <v/>
      </c>
      <c r="H65" s="270">
        <f>IF($U$1="",0,N(ISNUMBER(SEARCH($U$1,Database!$AC65&amp;""))))+IF($V$1="",0,N(ISNUMBER(SEARCH($V$1,Database!$AC65&amp;""))))+IF($W$1="",0,N(ISNUMBER(SEARCH($W$1,Database!$AC65&amp;""))))+IF($X$1="",0,N(ISNUMBER(SEARCH($X$1,Database!$AC65&amp;""))))+IF($Y$1="",0,N(ISNUMBER(SEARCH($Y$1,Database!$AC65&amp;""))))+IF(Screener!$B$17="",0,N(ISNUMBER(SEARCH(LOWER(Screener!$B$17),Database!$AC65&amp;""))))</f>
        <v/>
      </c>
      <c r="I65" s="270">
        <f>IF(OR(N(Database!$BH65)&lt;=0,N(Screener!$D$13)&lt;=0),0,MAX(0,1-ABS(LOG10(N(Database!$BH65)/Screener!$D$13))/W_PEHW))</f>
        <v/>
      </c>
      <c r="J65" s="270">
        <f>IF(OR(N(Database!$S65)&lt;=0,N(Screener!$D$14)&lt;=0),0,MAX(0,1-ABS(LOG10(Database!$S65/Screener!$D$14))/0.6))</f>
        <v/>
      </c>
      <c r="K65" s="270">
        <f>IF(Database!$B65=Screener!$B$5,-999999,IF(ISNUMBER(SEARCH(","&amp;Database!$A65&amp;",",","&amp;SUBSTITUTE(Screener!$D$17," ","")&amp;",")),2000000,IF(IF(OR(Screener!$B$18="All",AND(Screener!$B$18="With A-share",(Database!$BM65="Y")),AND(Screener!$B$18="Without A-share",NOT((Database!$BM65="Y")))),1,0)=0,-999999,IF(Screener!$B$16="cornerstone overlap first",H65*100000,IF(Screener!$B$16="demand-similar first",J65*100000,0))+W_SUB*B65+W_SEC*C65*(1-B65)+W_SIZE*D65+W_PROF*E65+W_AH*F65+W_REC*G65+W_CS*H65+W_PE*I65)))+ROW()/1000000</f>
        <v/>
      </c>
      <c r="AA65" s="270">
        <f>Database!B54</f>
        <v/>
      </c>
      <c r="AB65" s="270">
        <f>Database!D54</f>
        <v/>
      </c>
      <c r="AC65" s="270">
        <f>Database!E54</f>
        <v/>
      </c>
      <c r="AD65" s="270">
        <f>Database!I54</f>
        <v/>
      </c>
      <c r="AE65" s="270">
        <f>Database!BG54</f>
        <v/>
      </c>
      <c r="AF65" s="270">
        <f>Database!BM54</f>
        <v/>
      </c>
      <c r="AG65" s="270">
        <f>Database!H54</f>
        <v/>
      </c>
      <c r="AH65" s="270">
        <f>Database!BH54</f>
        <v/>
      </c>
    </row>
    <row r="66">
      <c r="A66" s="270">
        <f>Database!B66</f>
        <v/>
      </c>
      <c r="B66" s="270">
        <f>IF(AND(Screener!$D$8&lt;&gt;"",Database!$E66=Screener!$D$8),1,0)</f>
        <v/>
      </c>
      <c r="C66" s="270">
        <f>IF(AND(Screener!$D$7&lt;&gt;"",Database!$D66=Screener!$D$7),1,0)</f>
        <v/>
      </c>
      <c r="D66" s="270">
        <f>IF(OR(N(Database!$I66)&lt;=0,N(Screener!$D$9)&lt;=0),0,MAX(0,1-ABS(LOG10(N(Database!$I66)/Screener!$D$9))/W_SIZEHW))</f>
        <v/>
      </c>
      <c r="E66" s="270">
        <f>IF(OR(Database!$BG66="",Screener!$D$10=""),0,IF(Database!$BG66=Screener!$D$10,1,0))</f>
        <v/>
      </c>
      <c r="F66" s="270">
        <f>IF(OR(Database!$BM66="",Screener!$D$11=""),0,IF(Database!$BM66=Screener!$D$11,1,0))</f>
        <v/>
      </c>
      <c r="G66" s="270">
        <f>IF(OR(Database!$H66="",N(Screener!$D$12)&lt;=0),0,MAX(0,1-(N(Screener!$D$12)-Database!$H66)/W_RECD))</f>
        <v/>
      </c>
      <c r="H66" s="270">
        <f>IF($U$1="",0,N(ISNUMBER(SEARCH($U$1,Database!$AC66&amp;""))))+IF($V$1="",0,N(ISNUMBER(SEARCH($V$1,Database!$AC66&amp;""))))+IF($W$1="",0,N(ISNUMBER(SEARCH($W$1,Database!$AC66&amp;""))))+IF($X$1="",0,N(ISNUMBER(SEARCH($X$1,Database!$AC66&amp;""))))+IF($Y$1="",0,N(ISNUMBER(SEARCH($Y$1,Database!$AC66&amp;""))))+IF(Screener!$B$17="",0,N(ISNUMBER(SEARCH(LOWER(Screener!$B$17),Database!$AC66&amp;""))))</f>
        <v/>
      </c>
      <c r="I66" s="270">
        <f>IF(OR(N(Database!$BH66)&lt;=0,N(Screener!$D$13)&lt;=0),0,MAX(0,1-ABS(LOG10(N(Database!$BH66)/Screener!$D$13))/W_PEHW))</f>
        <v/>
      </c>
      <c r="J66" s="270">
        <f>IF(OR(N(Database!$S66)&lt;=0,N(Screener!$D$14)&lt;=0),0,MAX(0,1-ABS(LOG10(Database!$S66/Screener!$D$14))/0.6))</f>
        <v/>
      </c>
      <c r="K66" s="270">
        <f>IF(Database!$B66=Screener!$B$5,-999999,IF(ISNUMBER(SEARCH(","&amp;Database!$A66&amp;",",","&amp;SUBSTITUTE(Screener!$D$17," ","")&amp;",")),2000000,IF(IF(OR(Screener!$B$18="All",AND(Screener!$B$18="With A-share",(Database!$BM66="Y")),AND(Screener!$B$18="Without A-share",NOT((Database!$BM66="Y")))),1,0)=0,-999999,IF(Screener!$B$16="cornerstone overlap first",H66*100000,IF(Screener!$B$16="demand-similar first",J66*100000,0))+W_SUB*B66+W_SEC*C66*(1-B66)+W_SIZE*D66+W_PROF*E66+W_AH*F66+W_REC*G66+W_CS*H66+W_PE*I66)))+ROW()/1000000</f>
        <v/>
      </c>
      <c r="AA66" s="270">
        <f>Database!B55</f>
        <v/>
      </c>
      <c r="AB66" s="270">
        <f>Database!D55</f>
        <v/>
      </c>
      <c r="AC66" s="270">
        <f>Database!E55</f>
        <v/>
      </c>
      <c r="AD66" s="270">
        <f>Database!I55</f>
        <v/>
      </c>
      <c r="AE66" s="270">
        <f>Database!BG55</f>
        <v/>
      </c>
      <c r="AF66" s="270">
        <f>Database!BM55</f>
        <v/>
      </c>
      <c r="AG66" s="270">
        <f>Database!H55</f>
        <v/>
      </c>
      <c r="AH66" s="270">
        <f>Database!BH55</f>
        <v/>
      </c>
    </row>
    <row r="67">
      <c r="A67" s="270">
        <f>Database!B67</f>
        <v/>
      </c>
      <c r="B67" s="270">
        <f>IF(AND(Screener!$D$8&lt;&gt;"",Database!$E67=Screener!$D$8),1,0)</f>
        <v/>
      </c>
      <c r="C67" s="270">
        <f>IF(AND(Screener!$D$7&lt;&gt;"",Database!$D67=Screener!$D$7),1,0)</f>
        <v/>
      </c>
      <c r="D67" s="270">
        <f>IF(OR(N(Database!$I67)&lt;=0,N(Screener!$D$9)&lt;=0),0,MAX(0,1-ABS(LOG10(N(Database!$I67)/Screener!$D$9))/W_SIZEHW))</f>
        <v/>
      </c>
      <c r="E67" s="270">
        <f>IF(OR(Database!$BG67="",Screener!$D$10=""),0,IF(Database!$BG67=Screener!$D$10,1,0))</f>
        <v/>
      </c>
      <c r="F67" s="270">
        <f>IF(OR(Database!$BM67="",Screener!$D$11=""),0,IF(Database!$BM67=Screener!$D$11,1,0))</f>
        <v/>
      </c>
      <c r="G67" s="270">
        <f>IF(OR(Database!$H67="",N(Screener!$D$12)&lt;=0),0,MAX(0,1-(N(Screener!$D$12)-Database!$H67)/W_RECD))</f>
        <v/>
      </c>
      <c r="H67" s="270">
        <f>IF($U$1="",0,N(ISNUMBER(SEARCH($U$1,Database!$AC67&amp;""))))+IF($V$1="",0,N(ISNUMBER(SEARCH($V$1,Database!$AC67&amp;""))))+IF($W$1="",0,N(ISNUMBER(SEARCH($W$1,Database!$AC67&amp;""))))+IF($X$1="",0,N(ISNUMBER(SEARCH($X$1,Database!$AC67&amp;""))))+IF($Y$1="",0,N(ISNUMBER(SEARCH($Y$1,Database!$AC67&amp;""))))+IF(Screener!$B$17="",0,N(ISNUMBER(SEARCH(LOWER(Screener!$B$17),Database!$AC67&amp;""))))</f>
        <v/>
      </c>
      <c r="I67" s="270">
        <f>IF(OR(N(Database!$BH67)&lt;=0,N(Screener!$D$13)&lt;=0),0,MAX(0,1-ABS(LOG10(N(Database!$BH67)/Screener!$D$13))/W_PEHW))</f>
        <v/>
      </c>
      <c r="J67" s="270">
        <f>IF(OR(N(Database!$S67)&lt;=0,N(Screener!$D$14)&lt;=0),0,MAX(0,1-ABS(LOG10(Database!$S67/Screener!$D$14))/0.6))</f>
        <v/>
      </c>
      <c r="K67" s="270">
        <f>IF(Database!$B67=Screener!$B$5,-999999,IF(ISNUMBER(SEARCH(","&amp;Database!$A67&amp;",",","&amp;SUBSTITUTE(Screener!$D$17," ","")&amp;",")),2000000,IF(IF(OR(Screener!$B$18="All",AND(Screener!$B$18="With A-share",(Database!$BM67="Y")),AND(Screener!$B$18="Without A-share",NOT((Database!$BM67="Y")))),1,0)=0,-999999,IF(Screener!$B$16="cornerstone overlap first",H67*100000,IF(Screener!$B$16="demand-similar first",J67*100000,0))+W_SUB*B67+W_SEC*C67*(1-B67)+W_SIZE*D67+W_PROF*E67+W_AH*F67+W_REC*G67+W_CS*H67+W_PE*I67)))+ROW()/1000000</f>
        <v/>
      </c>
      <c r="AA67" s="270">
        <f>Database!B56</f>
        <v/>
      </c>
      <c r="AB67" s="270">
        <f>Database!D56</f>
        <v/>
      </c>
      <c r="AC67" s="270">
        <f>Database!E56</f>
        <v/>
      </c>
      <c r="AD67" s="270">
        <f>Database!I56</f>
        <v/>
      </c>
      <c r="AE67" s="270">
        <f>Database!BG56</f>
        <v/>
      </c>
      <c r="AF67" s="270">
        <f>Database!BM56</f>
        <v/>
      </c>
      <c r="AG67" s="270">
        <f>Database!H56</f>
        <v/>
      </c>
      <c r="AH67" s="270">
        <f>Database!BH56</f>
        <v/>
      </c>
    </row>
    <row r="68">
      <c r="A68" s="270">
        <f>Database!B68</f>
        <v/>
      </c>
      <c r="B68" s="270">
        <f>IF(AND(Screener!$D$8&lt;&gt;"",Database!$E68=Screener!$D$8),1,0)</f>
        <v/>
      </c>
      <c r="C68" s="270">
        <f>IF(AND(Screener!$D$7&lt;&gt;"",Database!$D68=Screener!$D$7),1,0)</f>
        <v/>
      </c>
      <c r="D68" s="270">
        <f>IF(OR(N(Database!$I68)&lt;=0,N(Screener!$D$9)&lt;=0),0,MAX(0,1-ABS(LOG10(N(Database!$I68)/Screener!$D$9))/W_SIZEHW))</f>
        <v/>
      </c>
      <c r="E68" s="270">
        <f>IF(OR(Database!$BG68="",Screener!$D$10=""),0,IF(Database!$BG68=Screener!$D$10,1,0))</f>
        <v/>
      </c>
      <c r="F68" s="270">
        <f>IF(OR(Database!$BM68="",Screener!$D$11=""),0,IF(Database!$BM68=Screener!$D$11,1,0))</f>
        <v/>
      </c>
      <c r="G68" s="270">
        <f>IF(OR(Database!$H68="",N(Screener!$D$12)&lt;=0),0,MAX(0,1-(N(Screener!$D$12)-Database!$H68)/W_RECD))</f>
        <v/>
      </c>
      <c r="H68" s="270">
        <f>IF($U$1="",0,N(ISNUMBER(SEARCH($U$1,Database!$AC68&amp;""))))+IF($V$1="",0,N(ISNUMBER(SEARCH($V$1,Database!$AC68&amp;""))))+IF($W$1="",0,N(ISNUMBER(SEARCH($W$1,Database!$AC68&amp;""))))+IF($X$1="",0,N(ISNUMBER(SEARCH($X$1,Database!$AC68&amp;""))))+IF($Y$1="",0,N(ISNUMBER(SEARCH($Y$1,Database!$AC68&amp;""))))+IF(Screener!$B$17="",0,N(ISNUMBER(SEARCH(LOWER(Screener!$B$17),Database!$AC68&amp;""))))</f>
        <v/>
      </c>
      <c r="I68" s="270">
        <f>IF(OR(N(Database!$BH68)&lt;=0,N(Screener!$D$13)&lt;=0),0,MAX(0,1-ABS(LOG10(N(Database!$BH68)/Screener!$D$13))/W_PEHW))</f>
        <v/>
      </c>
      <c r="J68" s="270">
        <f>IF(OR(N(Database!$S68)&lt;=0,N(Screener!$D$14)&lt;=0),0,MAX(0,1-ABS(LOG10(Database!$S68/Screener!$D$14))/0.6))</f>
        <v/>
      </c>
      <c r="K68" s="270">
        <f>IF(Database!$B68=Screener!$B$5,-999999,IF(ISNUMBER(SEARCH(","&amp;Database!$A68&amp;",",","&amp;SUBSTITUTE(Screener!$D$17," ","")&amp;",")),2000000,IF(IF(OR(Screener!$B$18="All",AND(Screener!$B$18="With A-share",(Database!$BM68="Y")),AND(Screener!$B$18="Without A-share",NOT((Database!$BM68="Y")))),1,0)=0,-999999,IF(Screener!$B$16="cornerstone overlap first",H68*100000,IF(Screener!$B$16="demand-similar first",J68*100000,0))+W_SUB*B68+W_SEC*C68*(1-B68)+W_SIZE*D68+W_PROF*E68+W_AH*F68+W_REC*G68+W_CS*H68+W_PE*I68)))+ROW()/1000000</f>
        <v/>
      </c>
      <c r="AA68" s="270">
        <f>Database!B57</f>
        <v/>
      </c>
      <c r="AB68" s="270">
        <f>Database!D57</f>
        <v/>
      </c>
      <c r="AC68" s="270">
        <f>Database!E57</f>
        <v/>
      </c>
      <c r="AD68" s="270">
        <f>Database!I57</f>
        <v/>
      </c>
      <c r="AE68" s="270">
        <f>Database!BG57</f>
        <v/>
      </c>
      <c r="AF68" s="270">
        <f>Database!BM57</f>
        <v/>
      </c>
      <c r="AG68" s="270">
        <f>Database!H57</f>
        <v/>
      </c>
      <c r="AH68" s="270">
        <f>Database!BH57</f>
        <v/>
      </c>
    </row>
    <row r="69">
      <c r="A69" s="270">
        <f>Database!B69</f>
        <v/>
      </c>
      <c r="B69" s="270">
        <f>IF(AND(Screener!$D$8&lt;&gt;"",Database!$E69=Screener!$D$8),1,0)</f>
        <v/>
      </c>
      <c r="C69" s="270">
        <f>IF(AND(Screener!$D$7&lt;&gt;"",Database!$D69=Screener!$D$7),1,0)</f>
        <v/>
      </c>
      <c r="D69" s="270">
        <f>IF(OR(N(Database!$I69)&lt;=0,N(Screener!$D$9)&lt;=0),0,MAX(0,1-ABS(LOG10(N(Database!$I69)/Screener!$D$9))/W_SIZEHW))</f>
        <v/>
      </c>
      <c r="E69" s="270">
        <f>IF(OR(Database!$BG69="",Screener!$D$10=""),0,IF(Database!$BG69=Screener!$D$10,1,0))</f>
        <v/>
      </c>
      <c r="F69" s="270">
        <f>IF(OR(Database!$BM69="",Screener!$D$11=""),0,IF(Database!$BM69=Screener!$D$11,1,0))</f>
        <v/>
      </c>
      <c r="G69" s="270">
        <f>IF(OR(Database!$H69="",N(Screener!$D$12)&lt;=0),0,MAX(0,1-(N(Screener!$D$12)-Database!$H69)/W_RECD))</f>
        <v/>
      </c>
      <c r="H69" s="270">
        <f>IF($U$1="",0,N(ISNUMBER(SEARCH($U$1,Database!$AC69&amp;""))))+IF($V$1="",0,N(ISNUMBER(SEARCH($V$1,Database!$AC69&amp;""))))+IF($W$1="",0,N(ISNUMBER(SEARCH($W$1,Database!$AC69&amp;""))))+IF($X$1="",0,N(ISNUMBER(SEARCH($X$1,Database!$AC69&amp;""))))+IF($Y$1="",0,N(ISNUMBER(SEARCH($Y$1,Database!$AC69&amp;""))))+IF(Screener!$B$17="",0,N(ISNUMBER(SEARCH(LOWER(Screener!$B$17),Database!$AC69&amp;""))))</f>
        <v/>
      </c>
      <c r="I69" s="270">
        <f>IF(OR(N(Database!$BH69)&lt;=0,N(Screener!$D$13)&lt;=0),0,MAX(0,1-ABS(LOG10(N(Database!$BH69)/Screener!$D$13))/W_PEHW))</f>
        <v/>
      </c>
      <c r="J69" s="270">
        <f>IF(OR(N(Database!$S69)&lt;=0,N(Screener!$D$14)&lt;=0),0,MAX(0,1-ABS(LOG10(Database!$S69/Screener!$D$14))/0.6))</f>
        <v/>
      </c>
      <c r="K69" s="270">
        <f>IF(Database!$B69=Screener!$B$5,-999999,IF(ISNUMBER(SEARCH(","&amp;Database!$A69&amp;",",","&amp;SUBSTITUTE(Screener!$D$17," ","")&amp;",")),2000000,IF(IF(OR(Screener!$B$18="All",AND(Screener!$B$18="With A-share",(Database!$BM69="Y")),AND(Screener!$B$18="Without A-share",NOT((Database!$BM69="Y")))),1,0)=0,-999999,IF(Screener!$B$16="cornerstone overlap first",H69*100000,IF(Screener!$B$16="demand-similar first",J69*100000,0))+W_SUB*B69+W_SEC*C69*(1-B69)+W_SIZE*D69+W_PROF*E69+W_AH*F69+W_REC*G69+W_CS*H69+W_PE*I69)))+ROW()/1000000</f>
        <v/>
      </c>
      <c r="AA69" s="270">
        <f>Database!B58</f>
        <v/>
      </c>
      <c r="AB69" s="270">
        <f>Database!D58</f>
        <v/>
      </c>
      <c r="AC69" s="270">
        <f>Database!E58</f>
        <v/>
      </c>
      <c r="AD69" s="270">
        <f>Database!I58</f>
        <v/>
      </c>
      <c r="AE69" s="270">
        <f>Database!BG58</f>
        <v/>
      </c>
      <c r="AF69" s="270">
        <f>Database!BM58</f>
        <v/>
      </c>
      <c r="AG69" s="270">
        <f>Database!H58</f>
        <v/>
      </c>
      <c r="AH69" s="270">
        <f>Database!BH58</f>
        <v/>
      </c>
    </row>
    <row r="70">
      <c r="A70" s="270">
        <f>Database!B70</f>
        <v/>
      </c>
      <c r="B70" s="270">
        <f>IF(AND(Screener!$D$8&lt;&gt;"",Database!$E70=Screener!$D$8),1,0)</f>
        <v/>
      </c>
      <c r="C70" s="270">
        <f>IF(AND(Screener!$D$7&lt;&gt;"",Database!$D70=Screener!$D$7),1,0)</f>
        <v/>
      </c>
      <c r="D70" s="270">
        <f>IF(OR(N(Database!$I70)&lt;=0,N(Screener!$D$9)&lt;=0),0,MAX(0,1-ABS(LOG10(N(Database!$I70)/Screener!$D$9))/W_SIZEHW))</f>
        <v/>
      </c>
      <c r="E70" s="270">
        <f>IF(OR(Database!$BG70="",Screener!$D$10=""),0,IF(Database!$BG70=Screener!$D$10,1,0))</f>
        <v/>
      </c>
      <c r="F70" s="270">
        <f>IF(OR(Database!$BM70="",Screener!$D$11=""),0,IF(Database!$BM70=Screener!$D$11,1,0))</f>
        <v/>
      </c>
      <c r="G70" s="270">
        <f>IF(OR(Database!$H70="",N(Screener!$D$12)&lt;=0),0,MAX(0,1-(N(Screener!$D$12)-Database!$H70)/W_RECD))</f>
        <v/>
      </c>
      <c r="H70" s="270">
        <f>IF($U$1="",0,N(ISNUMBER(SEARCH($U$1,Database!$AC70&amp;""))))+IF($V$1="",0,N(ISNUMBER(SEARCH($V$1,Database!$AC70&amp;""))))+IF($W$1="",0,N(ISNUMBER(SEARCH($W$1,Database!$AC70&amp;""))))+IF($X$1="",0,N(ISNUMBER(SEARCH($X$1,Database!$AC70&amp;""))))+IF($Y$1="",0,N(ISNUMBER(SEARCH($Y$1,Database!$AC70&amp;""))))+IF(Screener!$B$17="",0,N(ISNUMBER(SEARCH(LOWER(Screener!$B$17),Database!$AC70&amp;""))))</f>
        <v/>
      </c>
      <c r="I70" s="270">
        <f>IF(OR(N(Database!$BH70)&lt;=0,N(Screener!$D$13)&lt;=0),0,MAX(0,1-ABS(LOG10(N(Database!$BH70)/Screener!$D$13))/W_PEHW))</f>
        <v/>
      </c>
      <c r="J70" s="270">
        <f>IF(OR(N(Database!$S70)&lt;=0,N(Screener!$D$14)&lt;=0),0,MAX(0,1-ABS(LOG10(Database!$S70/Screener!$D$14))/0.6))</f>
        <v/>
      </c>
      <c r="K70" s="270">
        <f>IF(Database!$B70=Screener!$B$5,-999999,IF(ISNUMBER(SEARCH(","&amp;Database!$A70&amp;",",","&amp;SUBSTITUTE(Screener!$D$17," ","")&amp;",")),2000000,IF(IF(OR(Screener!$B$18="All",AND(Screener!$B$18="With A-share",(Database!$BM70="Y")),AND(Screener!$B$18="Without A-share",NOT((Database!$BM70="Y")))),1,0)=0,-999999,IF(Screener!$B$16="cornerstone overlap first",H70*100000,IF(Screener!$B$16="demand-similar first",J70*100000,0))+W_SUB*B70+W_SEC*C70*(1-B70)+W_SIZE*D70+W_PROF*E70+W_AH*F70+W_REC*G70+W_CS*H70+W_PE*I70)))+ROW()/1000000</f>
        <v/>
      </c>
      <c r="AA70" s="270">
        <f>Database!B59</f>
        <v/>
      </c>
      <c r="AB70" s="270">
        <f>Database!D59</f>
        <v/>
      </c>
      <c r="AC70" s="270">
        <f>Database!E59</f>
        <v/>
      </c>
      <c r="AD70" s="270">
        <f>Database!I59</f>
        <v/>
      </c>
      <c r="AE70" s="270">
        <f>Database!BG59</f>
        <v/>
      </c>
      <c r="AF70" s="270">
        <f>Database!BM59</f>
        <v/>
      </c>
      <c r="AG70" s="270">
        <f>Database!H59</f>
        <v/>
      </c>
      <c r="AH70" s="270">
        <f>Database!BH59</f>
        <v/>
      </c>
    </row>
    <row r="71">
      <c r="A71" s="270">
        <f>Database!B71</f>
        <v/>
      </c>
      <c r="B71" s="270">
        <f>IF(AND(Screener!$D$8&lt;&gt;"",Database!$E71=Screener!$D$8),1,0)</f>
        <v/>
      </c>
      <c r="C71" s="270">
        <f>IF(AND(Screener!$D$7&lt;&gt;"",Database!$D71=Screener!$D$7),1,0)</f>
        <v/>
      </c>
      <c r="D71" s="270">
        <f>IF(OR(N(Database!$I71)&lt;=0,N(Screener!$D$9)&lt;=0),0,MAX(0,1-ABS(LOG10(N(Database!$I71)/Screener!$D$9))/W_SIZEHW))</f>
        <v/>
      </c>
      <c r="E71" s="270">
        <f>IF(OR(Database!$BG71="",Screener!$D$10=""),0,IF(Database!$BG71=Screener!$D$10,1,0))</f>
        <v/>
      </c>
      <c r="F71" s="270">
        <f>IF(OR(Database!$BM71="",Screener!$D$11=""),0,IF(Database!$BM71=Screener!$D$11,1,0))</f>
        <v/>
      </c>
      <c r="G71" s="270">
        <f>IF(OR(Database!$H71="",N(Screener!$D$12)&lt;=0),0,MAX(0,1-(N(Screener!$D$12)-Database!$H71)/W_RECD))</f>
        <v/>
      </c>
      <c r="H71" s="270">
        <f>IF($U$1="",0,N(ISNUMBER(SEARCH($U$1,Database!$AC71&amp;""))))+IF($V$1="",0,N(ISNUMBER(SEARCH($V$1,Database!$AC71&amp;""))))+IF($W$1="",0,N(ISNUMBER(SEARCH($W$1,Database!$AC71&amp;""))))+IF($X$1="",0,N(ISNUMBER(SEARCH($X$1,Database!$AC71&amp;""))))+IF($Y$1="",0,N(ISNUMBER(SEARCH($Y$1,Database!$AC71&amp;""))))+IF(Screener!$B$17="",0,N(ISNUMBER(SEARCH(LOWER(Screener!$B$17),Database!$AC71&amp;""))))</f>
        <v/>
      </c>
      <c r="I71" s="270">
        <f>IF(OR(N(Database!$BH71)&lt;=0,N(Screener!$D$13)&lt;=0),0,MAX(0,1-ABS(LOG10(N(Database!$BH71)/Screener!$D$13))/W_PEHW))</f>
        <v/>
      </c>
      <c r="J71" s="270">
        <f>IF(OR(N(Database!$S71)&lt;=0,N(Screener!$D$14)&lt;=0),0,MAX(0,1-ABS(LOG10(Database!$S71/Screener!$D$14))/0.6))</f>
        <v/>
      </c>
      <c r="K71" s="270">
        <f>IF(Database!$B71=Screener!$B$5,-999999,IF(ISNUMBER(SEARCH(","&amp;Database!$A71&amp;",",","&amp;SUBSTITUTE(Screener!$D$17," ","")&amp;",")),2000000,IF(IF(OR(Screener!$B$18="All",AND(Screener!$B$18="With A-share",(Database!$BM71="Y")),AND(Screener!$B$18="Without A-share",NOT((Database!$BM71="Y")))),1,0)=0,-999999,IF(Screener!$B$16="cornerstone overlap first",H71*100000,IF(Screener!$B$16="demand-similar first",J71*100000,0))+W_SUB*B71+W_SEC*C71*(1-B71)+W_SIZE*D71+W_PROF*E71+W_AH*F71+W_REC*G71+W_CS*H71+W_PE*I71)))+ROW()/1000000</f>
        <v/>
      </c>
      <c r="AA71" s="270">
        <f>Database!B60</f>
        <v/>
      </c>
      <c r="AB71" s="270">
        <f>Database!D60</f>
        <v/>
      </c>
      <c r="AC71" s="270">
        <f>Database!E60</f>
        <v/>
      </c>
      <c r="AD71" s="270">
        <f>Database!I60</f>
        <v/>
      </c>
      <c r="AE71" s="270">
        <f>Database!BG60</f>
        <v/>
      </c>
      <c r="AF71" s="270">
        <f>Database!BM60</f>
        <v/>
      </c>
      <c r="AG71" s="270">
        <f>Database!H60</f>
        <v/>
      </c>
      <c r="AH71" s="270">
        <f>Database!BH60</f>
        <v/>
      </c>
    </row>
    <row r="72">
      <c r="A72" s="270">
        <f>Database!B72</f>
        <v/>
      </c>
      <c r="B72" s="270">
        <f>IF(AND(Screener!$D$8&lt;&gt;"",Database!$E72=Screener!$D$8),1,0)</f>
        <v/>
      </c>
      <c r="C72" s="270">
        <f>IF(AND(Screener!$D$7&lt;&gt;"",Database!$D72=Screener!$D$7),1,0)</f>
        <v/>
      </c>
      <c r="D72" s="270">
        <f>IF(OR(N(Database!$I72)&lt;=0,N(Screener!$D$9)&lt;=0),0,MAX(0,1-ABS(LOG10(N(Database!$I72)/Screener!$D$9))/W_SIZEHW))</f>
        <v/>
      </c>
      <c r="E72" s="270">
        <f>IF(OR(Database!$BG72="",Screener!$D$10=""),0,IF(Database!$BG72=Screener!$D$10,1,0))</f>
        <v/>
      </c>
      <c r="F72" s="270">
        <f>IF(OR(Database!$BM72="",Screener!$D$11=""),0,IF(Database!$BM72=Screener!$D$11,1,0))</f>
        <v/>
      </c>
      <c r="G72" s="270">
        <f>IF(OR(Database!$H72="",N(Screener!$D$12)&lt;=0),0,MAX(0,1-(N(Screener!$D$12)-Database!$H72)/W_RECD))</f>
        <v/>
      </c>
      <c r="H72" s="270">
        <f>IF($U$1="",0,N(ISNUMBER(SEARCH($U$1,Database!$AC72&amp;""))))+IF($V$1="",0,N(ISNUMBER(SEARCH($V$1,Database!$AC72&amp;""))))+IF($W$1="",0,N(ISNUMBER(SEARCH($W$1,Database!$AC72&amp;""))))+IF($X$1="",0,N(ISNUMBER(SEARCH($X$1,Database!$AC72&amp;""))))+IF($Y$1="",0,N(ISNUMBER(SEARCH($Y$1,Database!$AC72&amp;""))))+IF(Screener!$B$17="",0,N(ISNUMBER(SEARCH(LOWER(Screener!$B$17),Database!$AC72&amp;""))))</f>
        <v/>
      </c>
      <c r="I72" s="270">
        <f>IF(OR(N(Database!$BH72)&lt;=0,N(Screener!$D$13)&lt;=0),0,MAX(0,1-ABS(LOG10(N(Database!$BH72)/Screener!$D$13))/W_PEHW))</f>
        <v/>
      </c>
      <c r="J72" s="270">
        <f>IF(OR(N(Database!$S72)&lt;=0,N(Screener!$D$14)&lt;=0),0,MAX(0,1-ABS(LOG10(Database!$S72/Screener!$D$14))/0.6))</f>
        <v/>
      </c>
      <c r="K72" s="270">
        <f>IF(Database!$B72=Screener!$B$5,-999999,IF(ISNUMBER(SEARCH(","&amp;Database!$A72&amp;",",","&amp;SUBSTITUTE(Screener!$D$17," ","")&amp;",")),2000000,IF(IF(OR(Screener!$B$18="All",AND(Screener!$B$18="With A-share",(Database!$BM72="Y")),AND(Screener!$B$18="Without A-share",NOT((Database!$BM72="Y")))),1,0)=0,-999999,IF(Screener!$B$16="cornerstone overlap first",H72*100000,IF(Screener!$B$16="demand-similar first",J72*100000,0))+W_SUB*B72+W_SEC*C72*(1-B72)+W_SIZE*D72+W_PROF*E72+W_AH*F72+W_REC*G72+W_CS*H72+W_PE*I72)))+ROW()/1000000</f>
        <v/>
      </c>
      <c r="AA72" s="270">
        <f>Database!B61</f>
        <v/>
      </c>
      <c r="AB72" s="270">
        <f>Database!D61</f>
        <v/>
      </c>
      <c r="AC72" s="270">
        <f>Database!E61</f>
        <v/>
      </c>
      <c r="AD72" s="270">
        <f>Database!I61</f>
        <v/>
      </c>
      <c r="AE72" s="270">
        <f>Database!BG61</f>
        <v/>
      </c>
      <c r="AF72" s="270">
        <f>Database!BM61</f>
        <v/>
      </c>
      <c r="AG72" s="270">
        <f>Database!H61</f>
        <v/>
      </c>
      <c r="AH72" s="270">
        <f>Database!BH61</f>
        <v/>
      </c>
    </row>
    <row r="73">
      <c r="A73" s="270">
        <f>Database!B73</f>
        <v/>
      </c>
      <c r="B73" s="270">
        <f>IF(AND(Screener!$D$8&lt;&gt;"",Database!$E73=Screener!$D$8),1,0)</f>
        <v/>
      </c>
      <c r="C73" s="270">
        <f>IF(AND(Screener!$D$7&lt;&gt;"",Database!$D73=Screener!$D$7),1,0)</f>
        <v/>
      </c>
      <c r="D73" s="270">
        <f>IF(OR(N(Database!$I73)&lt;=0,N(Screener!$D$9)&lt;=0),0,MAX(0,1-ABS(LOG10(N(Database!$I73)/Screener!$D$9))/W_SIZEHW))</f>
        <v/>
      </c>
      <c r="E73" s="270">
        <f>IF(OR(Database!$BG73="",Screener!$D$10=""),0,IF(Database!$BG73=Screener!$D$10,1,0))</f>
        <v/>
      </c>
      <c r="F73" s="270">
        <f>IF(OR(Database!$BM73="",Screener!$D$11=""),0,IF(Database!$BM73=Screener!$D$11,1,0))</f>
        <v/>
      </c>
      <c r="G73" s="270">
        <f>IF(OR(Database!$H73="",N(Screener!$D$12)&lt;=0),0,MAX(0,1-(N(Screener!$D$12)-Database!$H73)/W_RECD))</f>
        <v/>
      </c>
      <c r="H73" s="270">
        <f>IF($U$1="",0,N(ISNUMBER(SEARCH($U$1,Database!$AC73&amp;""))))+IF($V$1="",0,N(ISNUMBER(SEARCH($V$1,Database!$AC73&amp;""))))+IF($W$1="",0,N(ISNUMBER(SEARCH($W$1,Database!$AC73&amp;""))))+IF($X$1="",0,N(ISNUMBER(SEARCH($X$1,Database!$AC73&amp;""))))+IF($Y$1="",0,N(ISNUMBER(SEARCH($Y$1,Database!$AC73&amp;""))))+IF(Screener!$B$17="",0,N(ISNUMBER(SEARCH(LOWER(Screener!$B$17),Database!$AC73&amp;""))))</f>
        <v/>
      </c>
      <c r="I73" s="270">
        <f>IF(OR(N(Database!$BH73)&lt;=0,N(Screener!$D$13)&lt;=0),0,MAX(0,1-ABS(LOG10(N(Database!$BH73)/Screener!$D$13))/W_PEHW))</f>
        <v/>
      </c>
      <c r="J73" s="270">
        <f>IF(OR(N(Database!$S73)&lt;=0,N(Screener!$D$14)&lt;=0),0,MAX(0,1-ABS(LOG10(Database!$S73/Screener!$D$14))/0.6))</f>
        <v/>
      </c>
      <c r="K73" s="270">
        <f>IF(Database!$B73=Screener!$B$5,-999999,IF(ISNUMBER(SEARCH(","&amp;Database!$A73&amp;",",","&amp;SUBSTITUTE(Screener!$D$17," ","")&amp;",")),2000000,IF(IF(OR(Screener!$B$18="All",AND(Screener!$B$18="With A-share",(Database!$BM73="Y")),AND(Screener!$B$18="Without A-share",NOT((Database!$BM73="Y")))),1,0)=0,-999999,IF(Screener!$B$16="cornerstone overlap first",H73*100000,IF(Screener!$B$16="demand-similar first",J73*100000,0))+W_SUB*B73+W_SEC*C73*(1-B73)+W_SIZE*D73+W_PROF*E73+W_AH*F73+W_REC*G73+W_CS*H73+W_PE*I73)))+ROW()/1000000</f>
        <v/>
      </c>
      <c r="AA73" s="270">
        <f>Database!B62</f>
        <v/>
      </c>
      <c r="AB73" s="270">
        <f>Database!D62</f>
        <v/>
      </c>
      <c r="AC73" s="270">
        <f>Database!E62</f>
        <v/>
      </c>
      <c r="AD73" s="270">
        <f>Database!I62</f>
        <v/>
      </c>
      <c r="AE73" s="270">
        <f>Database!BG62</f>
        <v/>
      </c>
      <c r="AF73" s="270">
        <f>Database!BM62</f>
        <v/>
      </c>
      <c r="AG73" s="270">
        <f>Database!H62</f>
        <v/>
      </c>
      <c r="AH73" s="270">
        <f>Database!BH62</f>
        <v/>
      </c>
    </row>
    <row r="74">
      <c r="A74" s="270">
        <f>Database!B74</f>
        <v/>
      </c>
      <c r="B74" s="270">
        <f>IF(AND(Screener!$D$8&lt;&gt;"",Database!$E74=Screener!$D$8),1,0)</f>
        <v/>
      </c>
      <c r="C74" s="270">
        <f>IF(AND(Screener!$D$7&lt;&gt;"",Database!$D74=Screener!$D$7),1,0)</f>
        <v/>
      </c>
      <c r="D74" s="270">
        <f>IF(OR(N(Database!$I74)&lt;=0,N(Screener!$D$9)&lt;=0),0,MAX(0,1-ABS(LOG10(N(Database!$I74)/Screener!$D$9))/W_SIZEHW))</f>
        <v/>
      </c>
      <c r="E74" s="270">
        <f>IF(OR(Database!$BG74="",Screener!$D$10=""),0,IF(Database!$BG74=Screener!$D$10,1,0))</f>
        <v/>
      </c>
      <c r="F74" s="270">
        <f>IF(OR(Database!$BM74="",Screener!$D$11=""),0,IF(Database!$BM74=Screener!$D$11,1,0))</f>
        <v/>
      </c>
      <c r="G74" s="270">
        <f>IF(OR(Database!$H74="",N(Screener!$D$12)&lt;=0),0,MAX(0,1-(N(Screener!$D$12)-Database!$H74)/W_RECD))</f>
        <v/>
      </c>
      <c r="H74" s="270">
        <f>IF($U$1="",0,N(ISNUMBER(SEARCH($U$1,Database!$AC74&amp;""))))+IF($V$1="",0,N(ISNUMBER(SEARCH($V$1,Database!$AC74&amp;""))))+IF($W$1="",0,N(ISNUMBER(SEARCH($W$1,Database!$AC74&amp;""))))+IF($X$1="",0,N(ISNUMBER(SEARCH($X$1,Database!$AC74&amp;""))))+IF($Y$1="",0,N(ISNUMBER(SEARCH($Y$1,Database!$AC74&amp;""))))+IF(Screener!$B$17="",0,N(ISNUMBER(SEARCH(LOWER(Screener!$B$17),Database!$AC74&amp;""))))</f>
        <v/>
      </c>
      <c r="I74" s="270">
        <f>IF(OR(N(Database!$BH74)&lt;=0,N(Screener!$D$13)&lt;=0),0,MAX(0,1-ABS(LOG10(N(Database!$BH74)/Screener!$D$13))/W_PEHW))</f>
        <v/>
      </c>
      <c r="J74" s="270">
        <f>IF(OR(N(Database!$S74)&lt;=0,N(Screener!$D$14)&lt;=0),0,MAX(0,1-ABS(LOG10(Database!$S74/Screener!$D$14))/0.6))</f>
        <v/>
      </c>
      <c r="K74" s="270">
        <f>IF(Database!$B74=Screener!$B$5,-999999,IF(ISNUMBER(SEARCH(","&amp;Database!$A74&amp;",",","&amp;SUBSTITUTE(Screener!$D$17," ","")&amp;",")),2000000,IF(IF(OR(Screener!$B$18="All",AND(Screener!$B$18="With A-share",(Database!$BM74="Y")),AND(Screener!$B$18="Without A-share",NOT((Database!$BM74="Y")))),1,0)=0,-999999,IF(Screener!$B$16="cornerstone overlap first",H74*100000,IF(Screener!$B$16="demand-similar first",J74*100000,0))+W_SUB*B74+W_SEC*C74*(1-B74)+W_SIZE*D74+W_PROF*E74+W_AH*F74+W_REC*G74+W_CS*H74+W_PE*I74)))+ROW()/1000000</f>
        <v/>
      </c>
      <c r="AA74" s="270">
        <f>Database!B63</f>
        <v/>
      </c>
      <c r="AB74" s="270">
        <f>Database!D63</f>
        <v/>
      </c>
      <c r="AC74" s="270">
        <f>Database!E63</f>
        <v/>
      </c>
      <c r="AD74" s="270">
        <f>Database!I63</f>
        <v/>
      </c>
      <c r="AE74" s="270">
        <f>Database!BG63</f>
        <v/>
      </c>
      <c r="AF74" s="270">
        <f>Database!BM63</f>
        <v/>
      </c>
      <c r="AG74" s="270">
        <f>Database!H63</f>
        <v/>
      </c>
      <c r="AH74" s="270">
        <f>Database!BH63</f>
        <v/>
      </c>
    </row>
    <row r="75">
      <c r="A75" s="270">
        <f>Database!B75</f>
        <v/>
      </c>
      <c r="B75" s="270">
        <f>IF(AND(Screener!$D$8&lt;&gt;"",Database!$E75=Screener!$D$8),1,0)</f>
        <v/>
      </c>
      <c r="C75" s="270">
        <f>IF(AND(Screener!$D$7&lt;&gt;"",Database!$D75=Screener!$D$7),1,0)</f>
        <v/>
      </c>
      <c r="D75" s="270">
        <f>IF(OR(N(Database!$I75)&lt;=0,N(Screener!$D$9)&lt;=0),0,MAX(0,1-ABS(LOG10(N(Database!$I75)/Screener!$D$9))/W_SIZEHW))</f>
        <v/>
      </c>
      <c r="E75" s="270">
        <f>IF(OR(Database!$BG75="",Screener!$D$10=""),0,IF(Database!$BG75=Screener!$D$10,1,0))</f>
        <v/>
      </c>
      <c r="F75" s="270">
        <f>IF(OR(Database!$BM75="",Screener!$D$11=""),0,IF(Database!$BM75=Screener!$D$11,1,0))</f>
        <v/>
      </c>
      <c r="G75" s="270">
        <f>IF(OR(Database!$H75="",N(Screener!$D$12)&lt;=0),0,MAX(0,1-(N(Screener!$D$12)-Database!$H75)/W_RECD))</f>
        <v/>
      </c>
      <c r="H75" s="270">
        <f>IF($U$1="",0,N(ISNUMBER(SEARCH($U$1,Database!$AC75&amp;""))))+IF($V$1="",0,N(ISNUMBER(SEARCH($V$1,Database!$AC75&amp;""))))+IF($W$1="",0,N(ISNUMBER(SEARCH($W$1,Database!$AC75&amp;""))))+IF($X$1="",0,N(ISNUMBER(SEARCH($X$1,Database!$AC75&amp;""))))+IF($Y$1="",0,N(ISNUMBER(SEARCH($Y$1,Database!$AC75&amp;""))))+IF(Screener!$B$17="",0,N(ISNUMBER(SEARCH(LOWER(Screener!$B$17),Database!$AC75&amp;""))))</f>
        <v/>
      </c>
      <c r="I75" s="270">
        <f>IF(OR(N(Database!$BH75)&lt;=0,N(Screener!$D$13)&lt;=0),0,MAX(0,1-ABS(LOG10(N(Database!$BH75)/Screener!$D$13))/W_PEHW))</f>
        <v/>
      </c>
      <c r="J75" s="270">
        <f>IF(OR(N(Database!$S75)&lt;=0,N(Screener!$D$14)&lt;=0),0,MAX(0,1-ABS(LOG10(Database!$S75/Screener!$D$14))/0.6))</f>
        <v/>
      </c>
      <c r="K75" s="270">
        <f>IF(Database!$B75=Screener!$B$5,-999999,IF(ISNUMBER(SEARCH(","&amp;Database!$A75&amp;",",","&amp;SUBSTITUTE(Screener!$D$17," ","")&amp;",")),2000000,IF(IF(OR(Screener!$B$18="All",AND(Screener!$B$18="With A-share",(Database!$BM75="Y")),AND(Screener!$B$18="Without A-share",NOT((Database!$BM75="Y")))),1,0)=0,-999999,IF(Screener!$B$16="cornerstone overlap first",H75*100000,IF(Screener!$B$16="demand-similar first",J75*100000,0))+W_SUB*B75+W_SEC*C75*(1-B75)+W_SIZE*D75+W_PROF*E75+W_AH*F75+W_REC*G75+W_CS*H75+W_PE*I75)))+ROW()/1000000</f>
        <v/>
      </c>
      <c r="AA75" s="270">
        <f>Database!B64</f>
        <v/>
      </c>
      <c r="AB75" s="270">
        <f>Database!D64</f>
        <v/>
      </c>
      <c r="AC75" s="270">
        <f>Database!E64</f>
        <v/>
      </c>
      <c r="AD75" s="270">
        <f>Database!I64</f>
        <v/>
      </c>
      <c r="AE75" s="270">
        <f>Database!BG64</f>
        <v/>
      </c>
      <c r="AF75" s="270">
        <f>Database!BM64</f>
        <v/>
      </c>
      <c r="AG75" s="270">
        <f>Database!H64</f>
        <v/>
      </c>
      <c r="AH75" s="270">
        <f>Database!BH64</f>
        <v/>
      </c>
    </row>
    <row r="76">
      <c r="A76" s="270">
        <f>Database!B76</f>
        <v/>
      </c>
      <c r="B76" s="270">
        <f>IF(AND(Screener!$D$8&lt;&gt;"",Database!$E76=Screener!$D$8),1,0)</f>
        <v/>
      </c>
      <c r="C76" s="270">
        <f>IF(AND(Screener!$D$7&lt;&gt;"",Database!$D76=Screener!$D$7),1,0)</f>
        <v/>
      </c>
      <c r="D76" s="270">
        <f>IF(OR(N(Database!$I76)&lt;=0,N(Screener!$D$9)&lt;=0),0,MAX(0,1-ABS(LOG10(N(Database!$I76)/Screener!$D$9))/W_SIZEHW))</f>
        <v/>
      </c>
      <c r="E76" s="270">
        <f>IF(OR(Database!$BG76="",Screener!$D$10=""),0,IF(Database!$BG76=Screener!$D$10,1,0))</f>
        <v/>
      </c>
      <c r="F76" s="270">
        <f>IF(OR(Database!$BM76="",Screener!$D$11=""),0,IF(Database!$BM76=Screener!$D$11,1,0))</f>
        <v/>
      </c>
      <c r="G76" s="270">
        <f>IF(OR(Database!$H76="",N(Screener!$D$12)&lt;=0),0,MAX(0,1-(N(Screener!$D$12)-Database!$H76)/W_RECD))</f>
        <v/>
      </c>
      <c r="H76" s="270">
        <f>IF($U$1="",0,N(ISNUMBER(SEARCH($U$1,Database!$AC76&amp;""))))+IF($V$1="",0,N(ISNUMBER(SEARCH($V$1,Database!$AC76&amp;""))))+IF($W$1="",0,N(ISNUMBER(SEARCH($W$1,Database!$AC76&amp;""))))+IF($X$1="",0,N(ISNUMBER(SEARCH($X$1,Database!$AC76&amp;""))))+IF($Y$1="",0,N(ISNUMBER(SEARCH($Y$1,Database!$AC76&amp;""))))+IF(Screener!$B$17="",0,N(ISNUMBER(SEARCH(LOWER(Screener!$B$17),Database!$AC76&amp;""))))</f>
        <v/>
      </c>
      <c r="I76" s="270">
        <f>IF(OR(N(Database!$BH76)&lt;=0,N(Screener!$D$13)&lt;=0),0,MAX(0,1-ABS(LOG10(N(Database!$BH76)/Screener!$D$13))/W_PEHW))</f>
        <v/>
      </c>
      <c r="J76" s="270">
        <f>IF(OR(N(Database!$S76)&lt;=0,N(Screener!$D$14)&lt;=0),0,MAX(0,1-ABS(LOG10(Database!$S76/Screener!$D$14))/0.6))</f>
        <v/>
      </c>
      <c r="K76" s="270">
        <f>IF(Database!$B76=Screener!$B$5,-999999,IF(ISNUMBER(SEARCH(","&amp;Database!$A76&amp;",",","&amp;SUBSTITUTE(Screener!$D$17," ","")&amp;",")),2000000,IF(IF(OR(Screener!$B$18="All",AND(Screener!$B$18="With A-share",(Database!$BM76="Y")),AND(Screener!$B$18="Without A-share",NOT((Database!$BM76="Y")))),1,0)=0,-999999,IF(Screener!$B$16="cornerstone overlap first",H76*100000,IF(Screener!$B$16="demand-similar first",J76*100000,0))+W_SUB*B76+W_SEC*C76*(1-B76)+W_SIZE*D76+W_PROF*E76+W_AH*F76+W_REC*G76+W_CS*H76+W_PE*I76)))+ROW()/1000000</f>
        <v/>
      </c>
      <c r="AA76" s="270">
        <f>Database!B65</f>
        <v/>
      </c>
      <c r="AB76" s="270">
        <f>Database!D65</f>
        <v/>
      </c>
      <c r="AC76" s="270">
        <f>Database!E65</f>
        <v/>
      </c>
      <c r="AD76" s="270">
        <f>Database!I65</f>
        <v/>
      </c>
      <c r="AE76" s="270">
        <f>Database!BG65</f>
        <v/>
      </c>
      <c r="AF76" s="270">
        <f>Database!BM65</f>
        <v/>
      </c>
      <c r="AG76" s="270">
        <f>Database!H65</f>
        <v/>
      </c>
      <c r="AH76" s="270">
        <f>Database!BH65</f>
        <v/>
      </c>
    </row>
    <row r="77">
      <c r="A77" s="270">
        <f>Database!B77</f>
        <v/>
      </c>
      <c r="B77" s="270">
        <f>IF(AND(Screener!$D$8&lt;&gt;"",Database!$E77=Screener!$D$8),1,0)</f>
        <v/>
      </c>
      <c r="C77" s="270">
        <f>IF(AND(Screener!$D$7&lt;&gt;"",Database!$D77=Screener!$D$7),1,0)</f>
        <v/>
      </c>
      <c r="D77" s="270">
        <f>IF(OR(N(Database!$I77)&lt;=0,N(Screener!$D$9)&lt;=0),0,MAX(0,1-ABS(LOG10(N(Database!$I77)/Screener!$D$9))/W_SIZEHW))</f>
        <v/>
      </c>
      <c r="E77" s="270">
        <f>IF(OR(Database!$BG77="",Screener!$D$10=""),0,IF(Database!$BG77=Screener!$D$10,1,0))</f>
        <v/>
      </c>
      <c r="F77" s="270">
        <f>IF(OR(Database!$BM77="",Screener!$D$11=""),0,IF(Database!$BM77=Screener!$D$11,1,0))</f>
        <v/>
      </c>
      <c r="G77" s="270">
        <f>IF(OR(Database!$H77="",N(Screener!$D$12)&lt;=0),0,MAX(0,1-(N(Screener!$D$12)-Database!$H77)/W_RECD))</f>
        <v/>
      </c>
      <c r="H77" s="270">
        <f>IF($U$1="",0,N(ISNUMBER(SEARCH($U$1,Database!$AC77&amp;""))))+IF($V$1="",0,N(ISNUMBER(SEARCH($V$1,Database!$AC77&amp;""))))+IF($W$1="",0,N(ISNUMBER(SEARCH($W$1,Database!$AC77&amp;""))))+IF($X$1="",0,N(ISNUMBER(SEARCH($X$1,Database!$AC77&amp;""))))+IF($Y$1="",0,N(ISNUMBER(SEARCH($Y$1,Database!$AC77&amp;""))))+IF(Screener!$B$17="",0,N(ISNUMBER(SEARCH(LOWER(Screener!$B$17),Database!$AC77&amp;""))))</f>
        <v/>
      </c>
      <c r="I77" s="270">
        <f>IF(OR(N(Database!$BH77)&lt;=0,N(Screener!$D$13)&lt;=0),0,MAX(0,1-ABS(LOG10(N(Database!$BH77)/Screener!$D$13))/W_PEHW))</f>
        <v/>
      </c>
      <c r="J77" s="270">
        <f>IF(OR(N(Database!$S77)&lt;=0,N(Screener!$D$14)&lt;=0),0,MAX(0,1-ABS(LOG10(Database!$S77/Screener!$D$14))/0.6))</f>
        <v/>
      </c>
      <c r="K77" s="270">
        <f>IF(Database!$B77=Screener!$B$5,-999999,IF(ISNUMBER(SEARCH(","&amp;Database!$A77&amp;",",","&amp;SUBSTITUTE(Screener!$D$17," ","")&amp;",")),2000000,IF(IF(OR(Screener!$B$18="All",AND(Screener!$B$18="With A-share",(Database!$BM77="Y")),AND(Screener!$B$18="Without A-share",NOT((Database!$BM77="Y")))),1,0)=0,-999999,IF(Screener!$B$16="cornerstone overlap first",H77*100000,IF(Screener!$B$16="demand-similar first",J77*100000,0))+W_SUB*B77+W_SEC*C77*(1-B77)+W_SIZE*D77+W_PROF*E77+W_AH*F77+W_REC*G77+W_CS*H77+W_PE*I77)))+ROW()/1000000</f>
        <v/>
      </c>
      <c r="AA77" s="270">
        <f>Database!B66</f>
        <v/>
      </c>
      <c r="AB77" s="270">
        <f>Database!D66</f>
        <v/>
      </c>
      <c r="AC77" s="270">
        <f>Database!E66</f>
        <v/>
      </c>
      <c r="AD77" s="270">
        <f>Database!I66</f>
        <v/>
      </c>
      <c r="AE77" s="270">
        <f>Database!BG66</f>
        <v/>
      </c>
      <c r="AF77" s="270">
        <f>Database!BM66</f>
        <v/>
      </c>
      <c r="AG77" s="270">
        <f>Database!H66</f>
        <v/>
      </c>
      <c r="AH77" s="270">
        <f>Database!BH66</f>
        <v/>
      </c>
    </row>
    <row r="78">
      <c r="A78" s="270">
        <f>Database!B78</f>
        <v/>
      </c>
      <c r="B78" s="270">
        <f>IF(AND(Screener!$D$8&lt;&gt;"",Database!$E78=Screener!$D$8),1,0)</f>
        <v/>
      </c>
      <c r="C78" s="270">
        <f>IF(AND(Screener!$D$7&lt;&gt;"",Database!$D78=Screener!$D$7),1,0)</f>
        <v/>
      </c>
      <c r="D78" s="270">
        <f>IF(OR(N(Database!$I78)&lt;=0,N(Screener!$D$9)&lt;=0),0,MAX(0,1-ABS(LOG10(N(Database!$I78)/Screener!$D$9))/W_SIZEHW))</f>
        <v/>
      </c>
      <c r="E78" s="270">
        <f>IF(OR(Database!$BG78="",Screener!$D$10=""),0,IF(Database!$BG78=Screener!$D$10,1,0))</f>
        <v/>
      </c>
      <c r="F78" s="270">
        <f>IF(OR(Database!$BM78="",Screener!$D$11=""),0,IF(Database!$BM78=Screener!$D$11,1,0))</f>
        <v/>
      </c>
      <c r="G78" s="270">
        <f>IF(OR(Database!$H78="",N(Screener!$D$12)&lt;=0),0,MAX(0,1-(N(Screener!$D$12)-Database!$H78)/W_RECD))</f>
        <v/>
      </c>
      <c r="H78" s="270">
        <f>IF($U$1="",0,N(ISNUMBER(SEARCH($U$1,Database!$AC78&amp;""))))+IF($V$1="",0,N(ISNUMBER(SEARCH($V$1,Database!$AC78&amp;""))))+IF($W$1="",0,N(ISNUMBER(SEARCH($W$1,Database!$AC78&amp;""))))+IF($X$1="",0,N(ISNUMBER(SEARCH($X$1,Database!$AC78&amp;""))))+IF($Y$1="",0,N(ISNUMBER(SEARCH($Y$1,Database!$AC78&amp;""))))+IF(Screener!$B$17="",0,N(ISNUMBER(SEARCH(LOWER(Screener!$B$17),Database!$AC78&amp;""))))</f>
        <v/>
      </c>
      <c r="I78" s="270">
        <f>IF(OR(N(Database!$BH78)&lt;=0,N(Screener!$D$13)&lt;=0),0,MAX(0,1-ABS(LOG10(N(Database!$BH78)/Screener!$D$13))/W_PEHW))</f>
        <v/>
      </c>
      <c r="J78" s="270">
        <f>IF(OR(N(Database!$S78)&lt;=0,N(Screener!$D$14)&lt;=0),0,MAX(0,1-ABS(LOG10(Database!$S78/Screener!$D$14))/0.6))</f>
        <v/>
      </c>
      <c r="K78" s="270">
        <f>IF(Database!$B78=Screener!$B$5,-999999,IF(ISNUMBER(SEARCH(","&amp;Database!$A78&amp;",",","&amp;SUBSTITUTE(Screener!$D$17," ","")&amp;",")),2000000,IF(IF(OR(Screener!$B$18="All",AND(Screener!$B$18="With A-share",(Database!$BM78="Y")),AND(Screener!$B$18="Without A-share",NOT((Database!$BM78="Y")))),1,0)=0,-999999,IF(Screener!$B$16="cornerstone overlap first",H78*100000,IF(Screener!$B$16="demand-similar first",J78*100000,0))+W_SUB*B78+W_SEC*C78*(1-B78)+W_SIZE*D78+W_PROF*E78+W_AH*F78+W_REC*G78+W_CS*H78+W_PE*I78)))+ROW()/1000000</f>
        <v/>
      </c>
      <c r="AA78" s="270">
        <f>Database!B67</f>
        <v/>
      </c>
      <c r="AB78" s="270">
        <f>Database!D67</f>
        <v/>
      </c>
      <c r="AC78" s="270">
        <f>Database!E67</f>
        <v/>
      </c>
      <c r="AD78" s="270">
        <f>Database!I67</f>
        <v/>
      </c>
      <c r="AE78" s="270">
        <f>Database!BG67</f>
        <v/>
      </c>
      <c r="AF78" s="270">
        <f>Database!BM67</f>
        <v/>
      </c>
      <c r="AG78" s="270">
        <f>Database!H67</f>
        <v/>
      </c>
      <c r="AH78" s="270">
        <f>Database!BH67</f>
        <v/>
      </c>
    </row>
    <row r="79">
      <c r="A79" s="270">
        <f>Database!B79</f>
        <v/>
      </c>
      <c r="B79" s="270">
        <f>IF(AND(Screener!$D$8&lt;&gt;"",Database!$E79=Screener!$D$8),1,0)</f>
        <v/>
      </c>
      <c r="C79" s="270">
        <f>IF(AND(Screener!$D$7&lt;&gt;"",Database!$D79=Screener!$D$7),1,0)</f>
        <v/>
      </c>
      <c r="D79" s="270">
        <f>IF(OR(N(Database!$I79)&lt;=0,N(Screener!$D$9)&lt;=0),0,MAX(0,1-ABS(LOG10(N(Database!$I79)/Screener!$D$9))/W_SIZEHW))</f>
        <v/>
      </c>
      <c r="E79" s="270">
        <f>IF(OR(Database!$BG79="",Screener!$D$10=""),0,IF(Database!$BG79=Screener!$D$10,1,0))</f>
        <v/>
      </c>
      <c r="F79" s="270">
        <f>IF(OR(Database!$BM79="",Screener!$D$11=""),0,IF(Database!$BM79=Screener!$D$11,1,0))</f>
        <v/>
      </c>
      <c r="G79" s="270">
        <f>IF(OR(Database!$H79="",N(Screener!$D$12)&lt;=0),0,MAX(0,1-(N(Screener!$D$12)-Database!$H79)/W_RECD))</f>
        <v/>
      </c>
      <c r="H79" s="270">
        <f>IF($U$1="",0,N(ISNUMBER(SEARCH($U$1,Database!$AC79&amp;""))))+IF($V$1="",0,N(ISNUMBER(SEARCH($V$1,Database!$AC79&amp;""))))+IF($W$1="",0,N(ISNUMBER(SEARCH($W$1,Database!$AC79&amp;""))))+IF($X$1="",0,N(ISNUMBER(SEARCH($X$1,Database!$AC79&amp;""))))+IF($Y$1="",0,N(ISNUMBER(SEARCH($Y$1,Database!$AC79&amp;""))))+IF(Screener!$B$17="",0,N(ISNUMBER(SEARCH(LOWER(Screener!$B$17),Database!$AC79&amp;""))))</f>
        <v/>
      </c>
      <c r="I79" s="270">
        <f>IF(OR(N(Database!$BH79)&lt;=0,N(Screener!$D$13)&lt;=0),0,MAX(0,1-ABS(LOG10(N(Database!$BH79)/Screener!$D$13))/W_PEHW))</f>
        <v/>
      </c>
      <c r="J79" s="270">
        <f>IF(OR(N(Database!$S79)&lt;=0,N(Screener!$D$14)&lt;=0),0,MAX(0,1-ABS(LOG10(Database!$S79/Screener!$D$14))/0.6))</f>
        <v/>
      </c>
      <c r="K79" s="270">
        <f>IF(Database!$B79=Screener!$B$5,-999999,IF(ISNUMBER(SEARCH(","&amp;Database!$A79&amp;",",","&amp;SUBSTITUTE(Screener!$D$17," ","")&amp;",")),2000000,IF(IF(OR(Screener!$B$18="All",AND(Screener!$B$18="With A-share",(Database!$BM79="Y")),AND(Screener!$B$18="Without A-share",NOT((Database!$BM79="Y")))),1,0)=0,-999999,IF(Screener!$B$16="cornerstone overlap first",H79*100000,IF(Screener!$B$16="demand-similar first",J79*100000,0))+W_SUB*B79+W_SEC*C79*(1-B79)+W_SIZE*D79+W_PROF*E79+W_AH*F79+W_REC*G79+W_CS*H79+W_PE*I79)))+ROW()/1000000</f>
        <v/>
      </c>
      <c r="AA79" s="270">
        <f>Database!B68</f>
        <v/>
      </c>
      <c r="AB79" s="270">
        <f>Database!D68</f>
        <v/>
      </c>
      <c r="AC79" s="270">
        <f>Database!E68</f>
        <v/>
      </c>
      <c r="AD79" s="270">
        <f>Database!I68</f>
        <v/>
      </c>
      <c r="AE79" s="270">
        <f>Database!BG68</f>
        <v/>
      </c>
      <c r="AF79" s="270">
        <f>Database!BM68</f>
        <v/>
      </c>
      <c r="AG79" s="270">
        <f>Database!H68</f>
        <v/>
      </c>
      <c r="AH79" s="270">
        <f>Database!BH68</f>
        <v/>
      </c>
    </row>
    <row r="80">
      <c r="A80" s="270">
        <f>Database!B80</f>
        <v/>
      </c>
      <c r="B80" s="270">
        <f>IF(AND(Screener!$D$8&lt;&gt;"",Database!$E80=Screener!$D$8),1,0)</f>
        <v/>
      </c>
      <c r="C80" s="270">
        <f>IF(AND(Screener!$D$7&lt;&gt;"",Database!$D80=Screener!$D$7),1,0)</f>
        <v/>
      </c>
      <c r="D80" s="270">
        <f>IF(OR(N(Database!$I80)&lt;=0,N(Screener!$D$9)&lt;=0),0,MAX(0,1-ABS(LOG10(N(Database!$I80)/Screener!$D$9))/W_SIZEHW))</f>
        <v/>
      </c>
      <c r="E80" s="270">
        <f>IF(OR(Database!$BG80="",Screener!$D$10=""),0,IF(Database!$BG80=Screener!$D$10,1,0))</f>
        <v/>
      </c>
      <c r="F80" s="270">
        <f>IF(OR(Database!$BM80="",Screener!$D$11=""),0,IF(Database!$BM80=Screener!$D$11,1,0))</f>
        <v/>
      </c>
      <c r="G80" s="270">
        <f>IF(OR(Database!$H80="",N(Screener!$D$12)&lt;=0),0,MAX(0,1-(N(Screener!$D$12)-Database!$H80)/W_RECD))</f>
        <v/>
      </c>
      <c r="H80" s="270">
        <f>IF($U$1="",0,N(ISNUMBER(SEARCH($U$1,Database!$AC80&amp;""))))+IF($V$1="",0,N(ISNUMBER(SEARCH($V$1,Database!$AC80&amp;""))))+IF($W$1="",0,N(ISNUMBER(SEARCH($W$1,Database!$AC80&amp;""))))+IF($X$1="",0,N(ISNUMBER(SEARCH($X$1,Database!$AC80&amp;""))))+IF($Y$1="",0,N(ISNUMBER(SEARCH($Y$1,Database!$AC80&amp;""))))+IF(Screener!$B$17="",0,N(ISNUMBER(SEARCH(LOWER(Screener!$B$17),Database!$AC80&amp;""))))</f>
        <v/>
      </c>
      <c r="I80" s="270">
        <f>IF(OR(N(Database!$BH80)&lt;=0,N(Screener!$D$13)&lt;=0),0,MAX(0,1-ABS(LOG10(N(Database!$BH80)/Screener!$D$13))/W_PEHW))</f>
        <v/>
      </c>
      <c r="J80" s="270">
        <f>IF(OR(N(Database!$S80)&lt;=0,N(Screener!$D$14)&lt;=0),0,MAX(0,1-ABS(LOG10(Database!$S80/Screener!$D$14))/0.6))</f>
        <v/>
      </c>
      <c r="K80" s="270">
        <f>IF(Database!$B80=Screener!$B$5,-999999,IF(ISNUMBER(SEARCH(","&amp;Database!$A80&amp;",",","&amp;SUBSTITUTE(Screener!$D$17," ","")&amp;",")),2000000,IF(IF(OR(Screener!$B$18="All",AND(Screener!$B$18="With A-share",(Database!$BM80="Y")),AND(Screener!$B$18="Without A-share",NOT((Database!$BM80="Y")))),1,0)=0,-999999,IF(Screener!$B$16="cornerstone overlap first",H80*100000,IF(Screener!$B$16="demand-similar first",J80*100000,0))+W_SUB*B80+W_SEC*C80*(1-B80)+W_SIZE*D80+W_PROF*E80+W_AH*F80+W_REC*G80+W_CS*H80+W_PE*I80)))+ROW()/1000000</f>
        <v/>
      </c>
      <c r="AA80" s="270">
        <f>Database!B69</f>
        <v/>
      </c>
      <c r="AB80" s="270">
        <f>Database!D69</f>
        <v/>
      </c>
      <c r="AC80" s="270">
        <f>Database!E69</f>
        <v/>
      </c>
      <c r="AD80" s="270">
        <f>Database!I69</f>
        <v/>
      </c>
      <c r="AE80" s="270">
        <f>Database!BG69</f>
        <v/>
      </c>
      <c r="AF80" s="270">
        <f>Database!BM69</f>
        <v/>
      </c>
      <c r="AG80" s="270">
        <f>Database!H69</f>
        <v/>
      </c>
      <c r="AH80" s="270">
        <f>Database!BH69</f>
        <v/>
      </c>
    </row>
    <row r="81">
      <c r="A81" s="270">
        <f>Database!B81</f>
        <v/>
      </c>
      <c r="B81" s="270">
        <f>IF(AND(Screener!$D$8&lt;&gt;"",Database!$E81=Screener!$D$8),1,0)</f>
        <v/>
      </c>
      <c r="C81" s="270">
        <f>IF(AND(Screener!$D$7&lt;&gt;"",Database!$D81=Screener!$D$7),1,0)</f>
        <v/>
      </c>
      <c r="D81" s="270">
        <f>IF(OR(N(Database!$I81)&lt;=0,N(Screener!$D$9)&lt;=0),0,MAX(0,1-ABS(LOG10(N(Database!$I81)/Screener!$D$9))/W_SIZEHW))</f>
        <v/>
      </c>
      <c r="E81" s="270">
        <f>IF(OR(Database!$BG81="",Screener!$D$10=""),0,IF(Database!$BG81=Screener!$D$10,1,0))</f>
        <v/>
      </c>
      <c r="F81" s="270">
        <f>IF(OR(Database!$BM81="",Screener!$D$11=""),0,IF(Database!$BM81=Screener!$D$11,1,0))</f>
        <v/>
      </c>
      <c r="G81" s="270">
        <f>IF(OR(Database!$H81="",N(Screener!$D$12)&lt;=0),0,MAX(0,1-(N(Screener!$D$12)-Database!$H81)/W_RECD))</f>
        <v/>
      </c>
      <c r="H81" s="270">
        <f>IF($U$1="",0,N(ISNUMBER(SEARCH($U$1,Database!$AC81&amp;""))))+IF($V$1="",0,N(ISNUMBER(SEARCH($V$1,Database!$AC81&amp;""))))+IF($W$1="",0,N(ISNUMBER(SEARCH($W$1,Database!$AC81&amp;""))))+IF($X$1="",0,N(ISNUMBER(SEARCH($X$1,Database!$AC81&amp;""))))+IF($Y$1="",0,N(ISNUMBER(SEARCH($Y$1,Database!$AC81&amp;""))))+IF(Screener!$B$17="",0,N(ISNUMBER(SEARCH(LOWER(Screener!$B$17),Database!$AC81&amp;""))))</f>
        <v/>
      </c>
      <c r="I81" s="270">
        <f>IF(OR(N(Database!$BH81)&lt;=0,N(Screener!$D$13)&lt;=0),0,MAX(0,1-ABS(LOG10(N(Database!$BH81)/Screener!$D$13))/W_PEHW))</f>
        <v/>
      </c>
      <c r="J81" s="270">
        <f>IF(OR(N(Database!$S81)&lt;=0,N(Screener!$D$14)&lt;=0),0,MAX(0,1-ABS(LOG10(Database!$S81/Screener!$D$14))/0.6))</f>
        <v/>
      </c>
      <c r="K81" s="270">
        <f>IF(Database!$B81=Screener!$B$5,-999999,IF(ISNUMBER(SEARCH(","&amp;Database!$A81&amp;",",","&amp;SUBSTITUTE(Screener!$D$17," ","")&amp;",")),2000000,IF(IF(OR(Screener!$B$18="All",AND(Screener!$B$18="With A-share",(Database!$BM81="Y")),AND(Screener!$B$18="Without A-share",NOT((Database!$BM81="Y")))),1,0)=0,-999999,IF(Screener!$B$16="cornerstone overlap first",H81*100000,IF(Screener!$B$16="demand-similar first",J81*100000,0))+W_SUB*B81+W_SEC*C81*(1-B81)+W_SIZE*D81+W_PROF*E81+W_AH*F81+W_REC*G81+W_CS*H81+W_PE*I81)))+ROW()/1000000</f>
        <v/>
      </c>
      <c r="AA81" s="270">
        <f>Database!B70</f>
        <v/>
      </c>
      <c r="AB81" s="270">
        <f>Database!D70</f>
        <v/>
      </c>
      <c r="AC81" s="270">
        <f>Database!E70</f>
        <v/>
      </c>
      <c r="AD81" s="270">
        <f>Database!I70</f>
        <v/>
      </c>
      <c r="AE81" s="270">
        <f>Database!BG70</f>
        <v/>
      </c>
      <c r="AF81" s="270">
        <f>Database!BM70</f>
        <v/>
      </c>
      <c r="AG81" s="270">
        <f>Database!H70</f>
        <v/>
      </c>
      <c r="AH81" s="270">
        <f>Database!BH70</f>
        <v/>
      </c>
    </row>
    <row r="82">
      <c r="A82" s="270">
        <f>Database!B82</f>
        <v/>
      </c>
      <c r="B82" s="270">
        <f>IF(AND(Screener!$D$8&lt;&gt;"",Database!$E82=Screener!$D$8),1,0)</f>
        <v/>
      </c>
      <c r="C82" s="270">
        <f>IF(AND(Screener!$D$7&lt;&gt;"",Database!$D82=Screener!$D$7),1,0)</f>
        <v/>
      </c>
      <c r="D82" s="270">
        <f>IF(OR(N(Database!$I82)&lt;=0,N(Screener!$D$9)&lt;=0),0,MAX(0,1-ABS(LOG10(N(Database!$I82)/Screener!$D$9))/W_SIZEHW))</f>
        <v/>
      </c>
      <c r="E82" s="270">
        <f>IF(OR(Database!$BG82="",Screener!$D$10=""),0,IF(Database!$BG82=Screener!$D$10,1,0))</f>
        <v/>
      </c>
      <c r="F82" s="270">
        <f>IF(OR(Database!$BM82="",Screener!$D$11=""),0,IF(Database!$BM82=Screener!$D$11,1,0))</f>
        <v/>
      </c>
      <c r="G82" s="270">
        <f>IF(OR(Database!$H82="",N(Screener!$D$12)&lt;=0),0,MAX(0,1-(N(Screener!$D$12)-Database!$H82)/W_RECD))</f>
        <v/>
      </c>
      <c r="H82" s="270">
        <f>IF($U$1="",0,N(ISNUMBER(SEARCH($U$1,Database!$AC82&amp;""))))+IF($V$1="",0,N(ISNUMBER(SEARCH($V$1,Database!$AC82&amp;""))))+IF($W$1="",0,N(ISNUMBER(SEARCH($W$1,Database!$AC82&amp;""))))+IF($X$1="",0,N(ISNUMBER(SEARCH($X$1,Database!$AC82&amp;""))))+IF($Y$1="",0,N(ISNUMBER(SEARCH($Y$1,Database!$AC82&amp;""))))+IF(Screener!$B$17="",0,N(ISNUMBER(SEARCH(LOWER(Screener!$B$17),Database!$AC82&amp;""))))</f>
        <v/>
      </c>
      <c r="I82" s="270">
        <f>IF(OR(N(Database!$BH82)&lt;=0,N(Screener!$D$13)&lt;=0),0,MAX(0,1-ABS(LOG10(N(Database!$BH82)/Screener!$D$13))/W_PEHW))</f>
        <v/>
      </c>
      <c r="J82" s="270">
        <f>IF(OR(N(Database!$S82)&lt;=0,N(Screener!$D$14)&lt;=0),0,MAX(0,1-ABS(LOG10(Database!$S82/Screener!$D$14))/0.6))</f>
        <v/>
      </c>
      <c r="K82" s="270">
        <f>IF(Database!$B82=Screener!$B$5,-999999,IF(ISNUMBER(SEARCH(","&amp;Database!$A82&amp;",",","&amp;SUBSTITUTE(Screener!$D$17," ","")&amp;",")),2000000,IF(IF(OR(Screener!$B$18="All",AND(Screener!$B$18="With A-share",(Database!$BM82="Y")),AND(Screener!$B$18="Without A-share",NOT((Database!$BM82="Y")))),1,0)=0,-999999,IF(Screener!$B$16="cornerstone overlap first",H82*100000,IF(Screener!$B$16="demand-similar first",J82*100000,0))+W_SUB*B82+W_SEC*C82*(1-B82)+W_SIZE*D82+W_PROF*E82+W_AH*F82+W_REC*G82+W_CS*H82+W_PE*I82)))+ROW()/1000000</f>
        <v/>
      </c>
      <c r="AA82" s="270">
        <f>Database!B71</f>
        <v/>
      </c>
      <c r="AB82" s="270">
        <f>Database!D71</f>
        <v/>
      </c>
      <c r="AC82" s="270">
        <f>Database!E71</f>
        <v/>
      </c>
      <c r="AD82" s="270">
        <f>Database!I71</f>
        <v/>
      </c>
      <c r="AE82" s="270">
        <f>Database!BG71</f>
        <v/>
      </c>
      <c r="AF82" s="270">
        <f>Database!BM71</f>
        <v/>
      </c>
      <c r="AG82" s="270">
        <f>Database!H71</f>
        <v/>
      </c>
      <c r="AH82" s="270">
        <f>Database!BH71</f>
        <v/>
      </c>
    </row>
    <row r="83">
      <c r="A83" s="270">
        <f>Database!B83</f>
        <v/>
      </c>
      <c r="B83" s="270">
        <f>IF(AND(Screener!$D$8&lt;&gt;"",Database!$E83=Screener!$D$8),1,0)</f>
        <v/>
      </c>
      <c r="C83" s="270">
        <f>IF(AND(Screener!$D$7&lt;&gt;"",Database!$D83=Screener!$D$7),1,0)</f>
        <v/>
      </c>
      <c r="D83" s="270">
        <f>IF(OR(N(Database!$I83)&lt;=0,N(Screener!$D$9)&lt;=0),0,MAX(0,1-ABS(LOG10(N(Database!$I83)/Screener!$D$9))/W_SIZEHW))</f>
        <v/>
      </c>
      <c r="E83" s="270">
        <f>IF(OR(Database!$BG83="",Screener!$D$10=""),0,IF(Database!$BG83=Screener!$D$10,1,0))</f>
        <v/>
      </c>
      <c r="F83" s="270">
        <f>IF(OR(Database!$BM83="",Screener!$D$11=""),0,IF(Database!$BM83=Screener!$D$11,1,0))</f>
        <v/>
      </c>
      <c r="G83" s="270">
        <f>IF(OR(Database!$H83="",N(Screener!$D$12)&lt;=0),0,MAX(0,1-(N(Screener!$D$12)-Database!$H83)/W_RECD))</f>
        <v/>
      </c>
      <c r="H83" s="270">
        <f>IF($U$1="",0,N(ISNUMBER(SEARCH($U$1,Database!$AC83&amp;""))))+IF($V$1="",0,N(ISNUMBER(SEARCH($V$1,Database!$AC83&amp;""))))+IF($W$1="",0,N(ISNUMBER(SEARCH($W$1,Database!$AC83&amp;""))))+IF($X$1="",0,N(ISNUMBER(SEARCH($X$1,Database!$AC83&amp;""))))+IF($Y$1="",0,N(ISNUMBER(SEARCH($Y$1,Database!$AC83&amp;""))))+IF(Screener!$B$17="",0,N(ISNUMBER(SEARCH(LOWER(Screener!$B$17),Database!$AC83&amp;""))))</f>
        <v/>
      </c>
      <c r="I83" s="270">
        <f>IF(OR(N(Database!$BH83)&lt;=0,N(Screener!$D$13)&lt;=0),0,MAX(0,1-ABS(LOG10(N(Database!$BH83)/Screener!$D$13))/W_PEHW))</f>
        <v/>
      </c>
      <c r="J83" s="270">
        <f>IF(OR(N(Database!$S83)&lt;=0,N(Screener!$D$14)&lt;=0),0,MAX(0,1-ABS(LOG10(Database!$S83/Screener!$D$14))/0.6))</f>
        <v/>
      </c>
      <c r="K83" s="270">
        <f>IF(Database!$B83=Screener!$B$5,-999999,IF(ISNUMBER(SEARCH(","&amp;Database!$A83&amp;",",","&amp;SUBSTITUTE(Screener!$D$17," ","")&amp;",")),2000000,IF(IF(OR(Screener!$B$18="All",AND(Screener!$B$18="With A-share",(Database!$BM83="Y")),AND(Screener!$B$18="Without A-share",NOT((Database!$BM83="Y")))),1,0)=0,-999999,IF(Screener!$B$16="cornerstone overlap first",H83*100000,IF(Screener!$B$16="demand-similar first",J83*100000,0))+W_SUB*B83+W_SEC*C83*(1-B83)+W_SIZE*D83+W_PROF*E83+W_AH*F83+W_REC*G83+W_CS*H83+W_PE*I83)))+ROW()/1000000</f>
        <v/>
      </c>
      <c r="AA83" s="270">
        <f>Database!B72</f>
        <v/>
      </c>
      <c r="AB83" s="270">
        <f>Database!D72</f>
        <v/>
      </c>
      <c r="AC83" s="270">
        <f>Database!E72</f>
        <v/>
      </c>
      <c r="AD83" s="270">
        <f>Database!I72</f>
        <v/>
      </c>
      <c r="AE83" s="270">
        <f>Database!BG72</f>
        <v/>
      </c>
      <c r="AF83" s="270">
        <f>Database!BM72</f>
        <v/>
      </c>
      <c r="AG83" s="270">
        <f>Database!H72</f>
        <v/>
      </c>
      <c r="AH83" s="270">
        <f>Database!BH72</f>
        <v/>
      </c>
    </row>
    <row r="84">
      <c r="A84" s="270">
        <f>Database!B84</f>
        <v/>
      </c>
      <c r="B84" s="270">
        <f>IF(AND(Screener!$D$8&lt;&gt;"",Database!$E84=Screener!$D$8),1,0)</f>
        <v/>
      </c>
      <c r="C84" s="270">
        <f>IF(AND(Screener!$D$7&lt;&gt;"",Database!$D84=Screener!$D$7),1,0)</f>
        <v/>
      </c>
      <c r="D84" s="270">
        <f>IF(OR(N(Database!$I84)&lt;=0,N(Screener!$D$9)&lt;=0),0,MAX(0,1-ABS(LOG10(N(Database!$I84)/Screener!$D$9))/W_SIZEHW))</f>
        <v/>
      </c>
      <c r="E84" s="270">
        <f>IF(OR(Database!$BG84="",Screener!$D$10=""),0,IF(Database!$BG84=Screener!$D$10,1,0))</f>
        <v/>
      </c>
      <c r="F84" s="270">
        <f>IF(OR(Database!$BM84="",Screener!$D$11=""),0,IF(Database!$BM84=Screener!$D$11,1,0))</f>
        <v/>
      </c>
      <c r="G84" s="270">
        <f>IF(OR(Database!$H84="",N(Screener!$D$12)&lt;=0),0,MAX(0,1-(N(Screener!$D$12)-Database!$H84)/W_RECD))</f>
        <v/>
      </c>
      <c r="H84" s="270">
        <f>IF($U$1="",0,N(ISNUMBER(SEARCH($U$1,Database!$AC84&amp;""))))+IF($V$1="",0,N(ISNUMBER(SEARCH($V$1,Database!$AC84&amp;""))))+IF($W$1="",0,N(ISNUMBER(SEARCH($W$1,Database!$AC84&amp;""))))+IF($X$1="",0,N(ISNUMBER(SEARCH($X$1,Database!$AC84&amp;""))))+IF($Y$1="",0,N(ISNUMBER(SEARCH($Y$1,Database!$AC84&amp;""))))+IF(Screener!$B$17="",0,N(ISNUMBER(SEARCH(LOWER(Screener!$B$17),Database!$AC84&amp;""))))</f>
        <v/>
      </c>
      <c r="I84" s="270">
        <f>IF(OR(N(Database!$BH84)&lt;=0,N(Screener!$D$13)&lt;=0),0,MAX(0,1-ABS(LOG10(N(Database!$BH84)/Screener!$D$13))/W_PEHW))</f>
        <v/>
      </c>
      <c r="J84" s="270">
        <f>IF(OR(N(Database!$S84)&lt;=0,N(Screener!$D$14)&lt;=0),0,MAX(0,1-ABS(LOG10(Database!$S84/Screener!$D$14))/0.6))</f>
        <v/>
      </c>
      <c r="K84" s="270">
        <f>IF(Database!$B84=Screener!$B$5,-999999,IF(ISNUMBER(SEARCH(","&amp;Database!$A84&amp;",",","&amp;SUBSTITUTE(Screener!$D$17," ","")&amp;",")),2000000,IF(IF(OR(Screener!$B$18="All",AND(Screener!$B$18="With A-share",(Database!$BM84="Y")),AND(Screener!$B$18="Without A-share",NOT((Database!$BM84="Y")))),1,0)=0,-999999,IF(Screener!$B$16="cornerstone overlap first",H84*100000,IF(Screener!$B$16="demand-similar first",J84*100000,0))+W_SUB*B84+W_SEC*C84*(1-B84)+W_SIZE*D84+W_PROF*E84+W_AH*F84+W_REC*G84+W_CS*H84+W_PE*I84)))+ROW()/1000000</f>
        <v/>
      </c>
      <c r="AA84" s="270">
        <f>Database!B73</f>
        <v/>
      </c>
      <c r="AB84" s="270">
        <f>Database!D73</f>
        <v/>
      </c>
      <c r="AC84" s="270">
        <f>Database!E73</f>
        <v/>
      </c>
      <c r="AD84" s="270">
        <f>Database!I73</f>
        <v/>
      </c>
      <c r="AE84" s="270">
        <f>Database!BG73</f>
        <v/>
      </c>
      <c r="AF84" s="270">
        <f>Database!BM73</f>
        <v/>
      </c>
      <c r="AG84" s="270">
        <f>Database!H73</f>
        <v/>
      </c>
      <c r="AH84" s="270">
        <f>Database!BH73</f>
        <v/>
      </c>
    </row>
    <row r="85">
      <c r="A85" s="270">
        <f>Database!B85</f>
        <v/>
      </c>
      <c r="B85" s="270">
        <f>IF(AND(Screener!$D$8&lt;&gt;"",Database!$E85=Screener!$D$8),1,0)</f>
        <v/>
      </c>
      <c r="C85" s="270">
        <f>IF(AND(Screener!$D$7&lt;&gt;"",Database!$D85=Screener!$D$7),1,0)</f>
        <v/>
      </c>
      <c r="D85" s="270">
        <f>IF(OR(N(Database!$I85)&lt;=0,N(Screener!$D$9)&lt;=0),0,MAX(0,1-ABS(LOG10(N(Database!$I85)/Screener!$D$9))/W_SIZEHW))</f>
        <v/>
      </c>
      <c r="E85" s="270">
        <f>IF(OR(Database!$BG85="",Screener!$D$10=""),0,IF(Database!$BG85=Screener!$D$10,1,0))</f>
        <v/>
      </c>
      <c r="F85" s="270">
        <f>IF(OR(Database!$BM85="",Screener!$D$11=""),0,IF(Database!$BM85=Screener!$D$11,1,0))</f>
        <v/>
      </c>
      <c r="G85" s="270">
        <f>IF(OR(Database!$H85="",N(Screener!$D$12)&lt;=0),0,MAX(0,1-(N(Screener!$D$12)-Database!$H85)/W_RECD))</f>
        <v/>
      </c>
      <c r="H85" s="270">
        <f>IF($U$1="",0,N(ISNUMBER(SEARCH($U$1,Database!$AC85&amp;""))))+IF($V$1="",0,N(ISNUMBER(SEARCH($V$1,Database!$AC85&amp;""))))+IF($W$1="",0,N(ISNUMBER(SEARCH($W$1,Database!$AC85&amp;""))))+IF($X$1="",0,N(ISNUMBER(SEARCH($X$1,Database!$AC85&amp;""))))+IF($Y$1="",0,N(ISNUMBER(SEARCH($Y$1,Database!$AC85&amp;""))))+IF(Screener!$B$17="",0,N(ISNUMBER(SEARCH(LOWER(Screener!$B$17),Database!$AC85&amp;""))))</f>
        <v/>
      </c>
      <c r="I85" s="270">
        <f>IF(OR(N(Database!$BH85)&lt;=0,N(Screener!$D$13)&lt;=0),0,MAX(0,1-ABS(LOG10(N(Database!$BH85)/Screener!$D$13))/W_PEHW))</f>
        <v/>
      </c>
      <c r="J85" s="270">
        <f>IF(OR(N(Database!$S85)&lt;=0,N(Screener!$D$14)&lt;=0),0,MAX(0,1-ABS(LOG10(Database!$S85/Screener!$D$14))/0.6))</f>
        <v/>
      </c>
      <c r="K85" s="270">
        <f>IF(Database!$B85=Screener!$B$5,-999999,IF(ISNUMBER(SEARCH(","&amp;Database!$A85&amp;",",","&amp;SUBSTITUTE(Screener!$D$17," ","")&amp;",")),2000000,IF(IF(OR(Screener!$B$18="All",AND(Screener!$B$18="With A-share",(Database!$BM85="Y")),AND(Screener!$B$18="Without A-share",NOT((Database!$BM85="Y")))),1,0)=0,-999999,IF(Screener!$B$16="cornerstone overlap first",H85*100000,IF(Screener!$B$16="demand-similar first",J85*100000,0))+W_SUB*B85+W_SEC*C85*(1-B85)+W_SIZE*D85+W_PROF*E85+W_AH*F85+W_REC*G85+W_CS*H85+W_PE*I85)))+ROW()/1000000</f>
        <v/>
      </c>
      <c r="AA85" s="270">
        <f>Database!B74</f>
        <v/>
      </c>
      <c r="AB85" s="270">
        <f>Database!D74</f>
        <v/>
      </c>
      <c r="AC85" s="270">
        <f>Database!E74</f>
        <v/>
      </c>
      <c r="AD85" s="270">
        <f>Database!I74</f>
        <v/>
      </c>
      <c r="AE85" s="270">
        <f>Database!BG74</f>
        <v/>
      </c>
      <c r="AF85" s="270">
        <f>Database!BM74</f>
        <v/>
      </c>
      <c r="AG85" s="270">
        <f>Database!H74</f>
        <v/>
      </c>
      <c r="AH85" s="270">
        <f>Database!BH74</f>
        <v/>
      </c>
    </row>
    <row r="86">
      <c r="A86" s="270">
        <f>Database!B86</f>
        <v/>
      </c>
      <c r="B86" s="270">
        <f>IF(AND(Screener!$D$8&lt;&gt;"",Database!$E86=Screener!$D$8),1,0)</f>
        <v/>
      </c>
      <c r="C86" s="270">
        <f>IF(AND(Screener!$D$7&lt;&gt;"",Database!$D86=Screener!$D$7),1,0)</f>
        <v/>
      </c>
      <c r="D86" s="270">
        <f>IF(OR(N(Database!$I86)&lt;=0,N(Screener!$D$9)&lt;=0),0,MAX(0,1-ABS(LOG10(N(Database!$I86)/Screener!$D$9))/W_SIZEHW))</f>
        <v/>
      </c>
      <c r="E86" s="270">
        <f>IF(OR(Database!$BG86="",Screener!$D$10=""),0,IF(Database!$BG86=Screener!$D$10,1,0))</f>
        <v/>
      </c>
      <c r="F86" s="270">
        <f>IF(OR(Database!$BM86="",Screener!$D$11=""),0,IF(Database!$BM86=Screener!$D$11,1,0))</f>
        <v/>
      </c>
      <c r="G86" s="270">
        <f>IF(OR(Database!$H86="",N(Screener!$D$12)&lt;=0),0,MAX(0,1-(N(Screener!$D$12)-Database!$H86)/W_RECD))</f>
        <v/>
      </c>
      <c r="H86" s="270">
        <f>IF($U$1="",0,N(ISNUMBER(SEARCH($U$1,Database!$AC86&amp;""))))+IF($V$1="",0,N(ISNUMBER(SEARCH($V$1,Database!$AC86&amp;""))))+IF($W$1="",0,N(ISNUMBER(SEARCH($W$1,Database!$AC86&amp;""))))+IF($X$1="",0,N(ISNUMBER(SEARCH($X$1,Database!$AC86&amp;""))))+IF($Y$1="",0,N(ISNUMBER(SEARCH($Y$1,Database!$AC86&amp;""))))+IF(Screener!$B$17="",0,N(ISNUMBER(SEARCH(LOWER(Screener!$B$17),Database!$AC86&amp;""))))</f>
        <v/>
      </c>
      <c r="I86" s="270">
        <f>IF(OR(N(Database!$BH86)&lt;=0,N(Screener!$D$13)&lt;=0),0,MAX(0,1-ABS(LOG10(N(Database!$BH86)/Screener!$D$13))/W_PEHW))</f>
        <v/>
      </c>
      <c r="J86" s="270">
        <f>IF(OR(N(Database!$S86)&lt;=0,N(Screener!$D$14)&lt;=0),0,MAX(0,1-ABS(LOG10(Database!$S86/Screener!$D$14))/0.6))</f>
        <v/>
      </c>
      <c r="K86" s="270">
        <f>IF(Database!$B86=Screener!$B$5,-999999,IF(ISNUMBER(SEARCH(","&amp;Database!$A86&amp;",",","&amp;SUBSTITUTE(Screener!$D$17," ","")&amp;",")),2000000,IF(IF(OR(Screener!$B$18="All",AND(Screener!$B$18="With A-share",(Database!$BM86="Y")),AND(Screener!$B$18="Without A-share",NOT((Database!$BM86="Y")))),1,0)=0,-999999,IF(Screener!$B$16="cornerstone overlap first",H86*100000,IF(Screener!$B$16="demand-similar first",J86*100000,0))+W_SUB*B86+W_SEC*C86*(1-B86)+W_SIZE*D86+W_PROF*E86+W_AH*F86+W_REC*G86+W_CS*H86+W_PE*I86)))+ROW()/1000000</f>
        <v/>
      </c>
      <c r="AA86" s="270">
        <f>Database!B75</f>
        <v/>
      </c>
      <c r="AB86" s="270">
        <f>Database!D75</f>
        <v/>
      </c>
      <c r="AC86" s="270">
        <f>Database!E75</f>
        <v/>
      </c>
      <c r="AD86" s="270">
        <f>Database!I75</f>
        <v/>
      </c>
      <c r="AE86" s="270">
        <f>Database!BG75</f>
        <v/>
      </c>
      <c r="AF86" s="270">
        <f>Database!BM75</f>
        <v/>
      </c>
      <c r="AG86" s="270">
        <f>Database!H75</f>
        <v/>
      </c>
      <c r="AH86" s="270">
        <f>Database!BH75</f>
        <v/>
      </c>
    </row>
    <row r="87">
      <c r="A87" s="270">
        <f>Database!B87</f>
        <v/>
      </c>
      <c r="B87" s="270">
        <f>IF(AND(Screener!$D$8&lt;&gt;"",Database!$E87=Screener!$D$8),1,0)</f>
        <v/>
      </c>
      <c r="C87" s="270">
        <f>IF(AND(Screener!$D$7&lt;&gt;"",Database!$D87=Screener!$D$7),1,0)</f>
        <v/>
      </c>
      <c r="D87" s="270">
        <f>IF(OR(N(Database!$I87)&lt;=0,N(Screener!$D$9)&lt;=0),0,MAX(0,1-ABS(LOG10(N(Database!$I87)/Screener!$D$9))/W_SIZEHW))</f>
        <v/>
      </c>
      <c r="E87" s="270">
        <f>IF(OR(Database!$BG87="",Screener!$D$10=""),0,IF(Database!$BG87=Screener!$D$10,1,0))</f>
        <v/>
      </c>
      <c r="F87" s="270">
        <f>IF(OR(Database!$BM87="",Screener!$D$11=""),0,IF(Database!$BM87=Screener!$D$11,1,0))</f>
        <v/>
      </c>
      <c r="G87" s="270">
        <f>IF(OR(Database!$H87="",N(Screener!$D$12)&lt;=0),0,MAX(0,1-(N(Screener!$D$12)-Database!$H87)/W_RECD))</f>
        <v/>
      </c>
      <c r="H87" s="270">
        <f>IF($U$1="",0,N(ISNUMBER(SEARCH($U$1,Database!$AC87&amp;""))))+IF($V$1="",0,N(ISNUMBER(SEARCH($V$1,Database!$AC87&amp;""))))+IF($W$1="",0,N(ISNUMBER(SEARCH($W$1,Database!$AC87&amp;""))))+IF($X$1="",0,N(ISNUMBER(SEARCH($X$1,Database!$AC87&amp;""))))+IF($Y$1="",0,N(ISNUMBER(SEARCH($Y$1,Database!$AC87&amp;""))))+IF(Screener!$B$17="",0,N(ISNUMBER(SEARCH(LOWER(Screener!$B$17),Database!$AC87&amp;""))))</f>
        <v/>
      </c>
      <c r="I87" s="270">
        <f>IF(OR(N(Database!$BH87)&lt;=0,N(Screener!$D$13)&lt;=0),0,MAX(0,1-ABS(LOG10(N(Database!$BH87)/Screener!$D$13))/W_PEHW))</f>
        <v/>
      </c>
      <c r="J87" s="270">
        <f>IF(OR(N(Database!$S87)&lt;=0,N(Screener!$D$14)&lt;=0),0,MAX(0,1-ABS(LOG10(Database!$S87/Screener!$D$14))/0.6))</f>
        <v/>
      </c>
      <c r="K87" s="270">
        <f>IF(Database!$B87=Screener!$B$5,-999999,IF(ISNUMBER(SEARCH(","&amp;Database!$A87&amp;",",","&amp;SUBSTITUTE(Screener!$D$17," ","")&amp;",")),2000000,IF(IF(OR(Screener!$B$18="All",AND(Screener!$B$18="With A-share",(Database!$BM87="Y")),AND(Screener!$B$18="Without A-share",NOT((Database!$BM87="Y")))),1,0)=0,-999999,IF(Screener!$B$16="cornerstone overlap first",H87*100000,IF(Screener!$B$16="demand-similar first",J87*100000,0))+W_SUB*B87+W_SEC*C87*(1-B87)+W_SIZE*D87+W_PROF*E87+W_AH*F87+W_REC*G87+W_CS*H87+W_PE*I87)))+ROW()/1000000</f>
        <v/>
      </c>
      <c r="AA87" s="270">
        <f>Database!B76</f>
        <v/>
      </c>
      <c r="AB87" s="270">
        <f>Database!D76</f>
        <v/>
      </c>
      <c r="AC87" s="270">
        <f>Database!E76</f>
        <v/>
      </c>
      <c r="AD87" s="270">
        <f>Database!I76</f>
        <v/>
      </c>
      <c r="AE87" s="270">
        <f>Database!BG76</f>
        <v/>
      </c>
      <c r="AF87" s="270">
        <f>Database!BM76</f>
        <v/>
      </c>
      <c r="AG87" s="270">
        <f>Database!H76</f>
        <v/>
      </c>
      <c r="AH87" s="270">
        <f>Database!BH76</f>
        <v/>
      </c>
    </row>
    <row r="88">
      <c r="A88" s="270">
        <f>Database!B88</f>
        <v/>
      </c>
      <c r="B88" s="270">
        <f>IF(AND(Screener!$D$8&lt;&gt;"",Database!$E88=Screener!$D$8),1,0)</f>
        <v/>
      </c>
      <c r="C88" s="270">
        <f>IF(AND(Screener!$D$7&lt;&gt;"",Database!$D88=Screener!$D$7),1,0)</f>
        <v/>
      </c>
      <c r="D88" s="270">
        <f>IF(OR(N(Database!$I88)&lt;=0,N(Screener!$D$9)&lt;=0),0,MAX(0,1-ABS(LOG10(N(Database!$I88)/Screener!$D$9))/W_SIZEHW))</f>
        <v/>
      </c>
      <c r="E88" s="270">
        <f>IF(OR(Database!$BG88="",Screener!$D$10=""),0,IF(Database!$BG88=Screener!$D$10,1,0))</f>
        <v/>
      </c>
      <c r="F88" s="270">
        <f>IF(OR(Database!$BM88="",Screener!$D$11=""),0,IF(Database!$BM88=Screener!$D$11,1,0))</f>
        <v/>
      </c>
      <c r="G88" s="270">
        <f>IF(OR(Database!$H88="",N(Screener!$D$12)&lt;=0),0,MAX(0,1-(N(Screener!$D$12)-Database!$H88)/W_RECD))</f>
        <v/>
      </c>
      <c r="H88" s="270">
        <f>IF($U$1="",0,N(ISNUMBER(SEARCH($U$1,Database!$AC88&amp;""))))+IF($V$1="",0,N(ISNUMBER(SEARCH($V$1,Database!$AC88&amp;""))))+IF($W$1="",0,N(ISNUMBER(SEARCH($W$1,Database!$AC88&amp;""))))+IF($X$1="",0,N(ISNUMBER(SEARCH($X$1,Database!$AC88&amp;""))))+IF($Y$1="",0,N(ISNUMBER(SEARCH($Y$1,Database!$AC88&amp;""))))+IF(Screener!$B$17="",0,N(ISNUMBER(SEARCH(LOWER(Screener!$B$17),Database!$AC88&amp;""))))</f>
        <v/>
      </c>
      <c r="I88" s="270">
        <f>IF(OR(N(Database!$BH88)&lt;=0,N(Screener!$D$13)&lt;=0),0,MAX(0,1-ABS(LOG10(N(Database!$BH88)/Screener!$D$13))/W_PEHW))</f>
        <v/>
      </c>
      <c r="J88" s="270">
        <f>IF(OR(N(Database!$S88)&lt;=0,N(Screener!$D$14)&lt;=0),0,MAX(0,1-ABS(LOG10(Database!$S88/Screener!$D$14))/0.6))</f>
        <v/>
      </c>
      <c r="K88" s="270">
        <f>IF(Database!$B88=Screener!$B$5,-999999,IF(ISNUMBER(SEARCH(","&amp;Database!$A88&amp;",",","&amp;SUBSTITUTE(Screener!$D$17," ","")&amp;",")),2000000,IF(IF(OR(Screener!$B$18="All",AND(Screener!$B$18="With A-share",(Database!$BM88="Y")),AND(Screener!$B$18="Without A-share",NOT((Database!$BM88="Y")))),1,0)=0,-999999,IF(Screener!$B$16="cornerstone overlap first",H88*100000,IF(Screener!$B$16="demand-similar first",J88*100000,0))+W_SUB*B88+W_SEC*C88*(1-B88)+W_SIZE*D88+W_PROF*E88+W_AH*F88+W_REC*G88+W_CS*H88+W_PE*I88)))+ROW()/1000000</f>
        <v/>
      </c>
      <c r="AA88" s="270">
        <f>Database!B77</f>
        <v/>
      </c>
      <c r="AB88" s="270">
        <f>Database!D77</f>
        <v/>
      </c>
      <c r="AC88" s="270">
        <f>Database!E77</f>
        <v/>
      </c>
      <c r="AD88" s="270">
        <f>Database!I77</f>
        <v/>
      </c>
      <c r="AE88" s="270">
        <f>Database!BG77</f>
        <v/>
      </c>
      <c r="AF88" s="270">
        <f>Database!BM77</f>
        <v/>
      </c>
      <c r="AG88" s="270">
        <f>Database!H77</f>
        <v/>
      </c>
      <c r="AH88" s="270">
        <f>Database!BH77</f>
        <v/>
      </c>
    </row>
    <row r="89">
      <c r="A89" s="270">
        <f>Database!B89</f>
        <v/>
      </c>
      <c r="B89" s="270">
        <f>IF(AND(Screener!$D$8&lt;&gt;"",Database!$E89=Screener!$D$8),1,0)</f>
        <v/>
      </c>
      <c r="C89" s="270">
        <f>IF(AND(Screener!$D$7&lt;&gt;"",Database!$D89=Screener!$D$7),1,0)</f>
        <v/>
      </c>
      <c r="D89" s="270">
        <f>IF(OR(N(Database!$I89)&lt;=0,N(Screener!$D$9)&lt;=0),0,MAX(0,1-ABS(LOG10(N(Database!$I89)/Screener!$D$9))/W_SIZEHW))</f>
        <v/>
      </c>
      <c r="E89" s="270">
        <f>IF(OR(Database!$BG89="",Screener!$D$10=""),0,IF(Database!$BG89=Screener!$D$10,1,0))</f>
        <v/>
      </c>
      <c r="F89" s="270">
        <f>IF(OR(Database!$BM89="",Screener!$D$11=""),0,IF(Database!$BM89=Screener!$D$11,1,0))</f>
        <v/>
      </c>
      <c r="G89" s="270">
        <f>IF(OR(Database!$H89="",N(Screener!$D$12)&lt;=0),0,MAX(0,1-(N(Screener!$D$12)-Database!$H89)/W_RECD))</f>
        <v/>
      </c>
      <c r="H89" s="270">
        <f>IF($U$1="",0,N(ISNUMBER(SEARCH($U$1,Database!$AC89&amp;""))))+IF($V$1="",0,N(ISNUMBER(SEARCH($V$1,Database!$AC89&amp;""))))+IF($W$1="",0,N(ISNUMBER(SEARCH($W$1,Database!$AC89&amp;""))))+IF($X$1="",0,N(ISNUMBER(SEARCH($X$1,Database!$AC89&amp;""))))+IF($Y$1="",0,N(ISNUMBER(SEARCH($Y$1,Database!$AC89&amp;""))))+IF(Screener!$B$17="",0,N(ISNUMBER(SEARCH(LOWER(Screener!$B$17),Database!$AC89&amp;""))))</f>
        <v/>
      </c>
      <c r="I89" s="270">
        <f>IF(OR(N(Database!$BH89)&lt;=0,N(Screener!$D$13)&lt;=0),0,MAX(0,1-ABS(LOG10(N(Database!$BH89)/Screener!$D$13))/W_PEHW))</f>
        <v/>
      </c>
      <c r="J89" s="270">
        <f>IF(OR(N(Database!$S89)&lt;=0,N(Screener!$D$14)&lt;=0),0,MAX(0,1-ABS(LOG10(Database!$S89/Screener!$D$14))/0.6))</f>
        <v/>
      </c>
      <c r="K89" s="270">
        <f>IF(Database!$B89=Screener!$B$5,-999999,IF(ISNUMBER(SEARCH(","&amp;Database!$A89&amp;",",","&amp;SUBSTITUTE(Screener!$D$17," ","")&amp;",")),2000000,IF(IF(OR(Screener!$B$18="All",AND(Screener!$B$18="With A-share",(Database!$BM89="Y")),AND(Screener!$B$18="Without A-share",NOT((Database!$BM89="Y")))),1,0)=0,-999999,IF(Screener!$B$16="cornerstone overlap first",H89*100000,IF(Screener!$B$16="demand-similar first",J89*100000,0))+W_SUB*B89+W_SEC*C89*(1-B89)+W_SIZE*D89+W_PROF*E89+W_AH*F89+W_REC*G89+W_CS*H89+W_PE*I89)))+ROW()/1000000</f>
        <v/>
      </c>
      <c r="AA89" s="270">
        <f>Database!B78</f>
        <v/>
      </c>
      <c r="AB89" s="270">
        <f>Database!D78</f>
        <v/>
      </c>
      <c r="AC89" s="270">
        <f>Database!E78</f>
        <v/>
      </c>
      <c r="AD89" s="270">
        <f>Database!I78</f>
        <v/>
      </c>
      <c r="AE89" s="270">
        <f>Database!BG78</f>
        <v/>
      </c>
      <c r="AF89" s="270">
        <f>Database!BM78</f>
        <v/>
      </c>
      <c r="AG89" s="270">
        <f>Database!H78</f>
        <v/>
      </c>
      <c r="AH89" s="270">
        <f>Database!BH78</f>
        <v/>
      </c>
    </row>
    <row r="90">
      <c r="A90" s="270">
        <f>Database!B90</f>
        <v/>
      </c>
      <c r="B90" s="270">
        <f>IF(AND(Screener!$D$8&lt;&gt;"",Database!$E90=Screener!$D$8),1,0)</f>
        <v/>
      </c>
      <c r="C90" s="270">
        <f>IF(AND(Screener!$D$7&lt;&gt;"",Database!$D90=Screener!$D$7),1,0)</f>
        <v/>
      </c>
      <c r="D90" s="270">
        <f>IF(OR(N(Database!$I90)&lt;=0,N(Screener!$D$9)&lt;=0),0,MAX(0,1-ABS(LOG10(N(Database!$I90)/Screener!$D$9))/W_SIZEHW))</f>
        <v/>
      </c>
      <c r="E90" s="270">
        <f>IF(OR(Database!$BG90="",Screener!$D$10=""),0,IF(Database!$BG90=Screener!$D$10,1,0))</f>
        <v/>
      </c>
      <c r="F90" s="270">
        <f>IF(OR(Database!$BM90="",Screener!$D$11=""),0,IF(Database!$BM90=Screener!$D$11,1,0))</f>
        <v/>
      </c>
      <c r="G90" s="270">
        <f>IF(OR(Database!$H90="",N(Screener!$D$12)&lt;=0),0,MAX(0,1-(N(Screener!$D$12)-Database!$H90)/W_RECD))</f>
        <v/>
      </c>
      <c r="H90" s="270">
        <f>IF($U$1="",0,N(ISNUMBER(SEARCH($U$1,Database!$AC90&amp;""))))+IF($V$1="",0,N(ISNUMBER(SEARCH($V$1,Database!$AC90&amp;""))))+IF($W$1="",0,N(ISNUMBER(SEARCH($W$1,Database!$AC90&amp;""))))+IF($X$1="",0,N(ISNUMBER(SEARCH($X$1,Database!$AC90&amp;""))))+IF($Y$1="",0,N(ISNUMBER(SEARCH($Y$1,Database!$AC90&amp;""))))+IF(Screener!$B$17="",0,N(ISNUMBER(SEARCH(LOWER(Screener!$B$17),Database!$AC90&amp;""))))</f>
        <v/>
      </c>
      <c r="I90" s="270">
        <f>IF(OR(N(Database!$BH90)&lt;=0,N(Screener!$D$13)&lt;=0),0,MAX(0,1-ABS(LOG10(N(Database!$BH90)/Screener!$D$13))/W_PEHW))</f>
        <v/>
      </c>
      <c r="J90" s="270">
        <f>IF(OR(N(Database!$S90)&lt;=0,N(Screener!$D$14)&lt;=0),0,MAX(0,1-ABS(LOG10(Database!$S90/Screener!$D$14))/0.6))</f>
        <v/>
      </c>
      <c r="K90" s="270">
        <f>IF(Database!$B90=Screener!$B$5,-999999,IF(ISNUMBER(SEARCH(","&amp;Database!$A90&amp;",",","&amp;SUBSTITUTE(Screener!$D$17," ","")&amp;",")),2000000,IF(IF(OR(Screener!$B$18="All",AND(Screener!$B$18="With A-share",(Database!$BM90="Y")),AND(Screener!$B$18="Without A-share",NOT((Database!$BM90="Y")))),1,0)=0,-999999,IF(Screener!$B$16="cornerstone overlap first",H90*100000,IF(Screener!$B$16="demand-similar first",J90*100000,0))+W_SUB*B90+W_SEC*C90*(1-B90)+W_SIZE*D90+W_PROF*E90+W_AH*F90+W_REC*G90+W_CS*H90+W_PE*I90)))+ROW()/1000000</f>
        <v/>
      </c>
      <c r="AA90" s="270">
        <f>Database!B79</f>
        <v/>
      </c>
      <c r="AB90" s="270">
        <f>Database!D79</f>
        <v/>
      </c>
      <c r="AC90" s="270">
        <f>Database!E79</f>
        <v/>
      </c>
      <c r="AD90" s="270">
        <f>Database!I79</f>
        <v/>
      </c>
      <c r="AE90" s="270">
        <f>Database!BG79</f>
        <v/>
      </c>
      <c r="AF90" s="270">
        <f>Database!BM79</f>
        <v/>
      </c>
      <c r="AG90" s="270">
        <f>Database!H79</f>
        <v/>
      </c>
      <c r="AH90" s="270">
        <f>Database!BH79</f>
        <v/>
      </c>
    </row>
    <row r="91">
      <c r="A91" s="270">
        <f>Database!B91</f>
        <v/>
      </c>
      <c r="B91" s="270">
        <f>IF(AND(Screener!$D$8&lt;&gt;"",Database!$E91=Screener!$D$8),1,0)</f>
        <v/>
      </c>
      <c r="C91" s="270">
        <f>IF(AND(Screener!$D$7&lt;&gt;"",Database!$D91=Screener!$D$7),1,0)</f>
        <v/>
      </c>
      <c r="D91" s="270">
        <f>IF(OR(N(Database!$I91)&lt;=0,N(Screener!$D$9)&lt;=0),0,MAX(0,1-ABS(LOG10(N(Database!$I91)/Screener!$D$9))/W_SIZEHW))</f>
        <v/>
      </c>
      <c r="E91" s="270">
        <f>IF(OR(Database!$BG91="",Screener!$D$10=""),0,IF(Database!$BG91=Screener!$D$10,1,0))</f>
        <v/>
      </c>
      <c r="F91" s="270">
        <f>IF(OR(Database!$BM91="",Screener!$D$11=""),0,IF(Database!$BM91=Screener!$D$11,1,0))</f>
        <v/>
      </c>
      <c r="G91" s="270">
        <f>IF(OR(Database!$H91="",N(Screener!$D$12)&lt;=0),0,MAX(0,1-(N(Screener!$D$12)-Database!$H91)/W_RECD))</f>
        <v/>
      </c>
      <c r="H91" s="270">
        <f>IF($U$1="",0,N(ISNUMBER(SEARCH($U$1,Database!$AC91&amp;""))))+IF($V$1="",0,N(ISNUMBER(SEARCH($V$1,Database!$AC91&amp;""))))+IF($W$1="",0,N(ISNUMBER(SEARCH($W$1,Database!$AC91&amp;""))))+IF($X$1="",0,N(ISNUMBER(SEARCH($X$1,Database!$AC91&amp;""))))+IF($Y$1="",0,N(ISNUMBER(SEARCH($Y$1,Database!$AC91&amp;""))))+IF(Screener!$B$17="",0,N(ISNUMBER(SEARCH(LOWER(Screener!$B$17),Database!$AC91&amp;""))))</f>
        <v/>
      </c>
      <c r="I91" s="270">
        <f>IF(OR(N(Database!$BH91)&lt;=0,N(Screener!$D$13)&lt;=0),0,MAX(0,1-ABS(LOG10(N(Database!$BH91)/Screener!$D$13))/W_PEHW))</f>
        <v/>
      </c>
      <c r="J91" s="270">
        <f>IF(OR(N(Database!$S91)&lt;=0,N(Screener!$D$14)&lt;=0),0,MAX(0,1-ABS(LOG10(Database!$S91/Screener!$D$14))/0.6))</f>
        <v/>
      </c>
      <c r="K91" s="270">
        <f>IF(Database!$B91=Screener!$B$5,-999999,IF(ISNUMBER(SEARCH(","&amp;Database!$A91&amp;",",","&amp;SUBSTITUTE(Screener!$D$17," ","")&amp;",")),2000000,IF(IF(OR(Screener!$B$18="All",AND(Screener!$B$18="With A-share",(Database!$BM91="Y")),AND(Screener!$B$18="Without A-share",NOT((Database!$BM91="Y")))),1,0)=0,-999999,IF(Screener!$B$16="cornerstone overlap first",H91*100000,IF(Screener!$B$16="demand-similar first",J91*100000,0))+W_SUB*B91+W_SEC*C91*(1-B91)+W_SIZE*D91+W_PROF*E91+W_AH*F91+W_REC*G91+W_CS*H91+W_PE*I91)))+ROW()/1000000</f>
        <v/>
      </c>
      <c r="AA91" s="270">
        <f>Database!B80</f>
        <v/>
      </c>
      <c r="AB91" s="270">
        <f>Database!D80</f>
        <v/>
      </c>
      <c r="AC91" s="270">
        <f>Database!E80</f>
        <v/>
      </c>
      <c r="AD91" s="270">
        <f>Database!I80</f>
        <v/>
      </c>
      <c r="AE91" s="270">
        <f>Database!BG80</f>
        <v/>
      </c>
      <c r="AF91" s="270">
        <f>Database!BM80</f>
        <v/>
      </c>
      <c r="AG91" s="270">
        <f>Database!H80</f>
        <v/>
      </c>
      <c r="AH91" s="270">
        <f>Database!BH80</f>
        <v/>
      </c>
    </row>
    <row r="92">
      <c r="A92" s="270">
        <f>Database!B92</f>
        <v/>
      </c>
      <c r="B92" s="270">
        <f>IF(AND(Screener!$D$8&lt;&gt;"",Database!$E92=Screener!$D$8),1,0)</f>
        <v/>
      </c>
      <c r="C92" s="270">
        <f>IF(AND(Screener!$D$7&lt;&gt;"",Database!$D92=Screener!$D$7),1,0)</f>
        <v/>
      </c>
      <c r="D92" s="270">
        <f>IF(OR(N(Database!$I92)&lt;=0,N(Screener!$D$9)&lt;=0),0,MAX(0,1-ABS(LOG10(N(Database!$I92)/Screener!$D$9))/W_SIZEHW))</f>
        <v/>
      </c>
      <c r="E92" s="270">
        <f>IF(OR(Database!$BG92="",Screener!$D$10=""),0,IF(Database!$BG92=Screener!$D$10,1,0))</f>
        <v/>
      </c>
      <c r="F92" s="270">
        <f>IF(OR(Database!$BM92="",Screener!$D$11=""),0,IF(Database!$BM92=Screener!$D$11,1,0))</f>
        <v/>
      </c>
      <c r="G92" s="270">
        <f>IF(OR(Database!$H92="",N(Screener!$D$12)&lt;=0),0,MAX(0,1-(N(Screener!$D$12)-Database!$H92)/W_RECD))</f>
        <v/>
      </c>
      <c r="H92" s="270">
        <f>IF($U$1="",0,N(ISNUMBER(SEARCH($U$1,Database!$AC92&amp;""))))+IF($V$1="",0,N(ISNUMBER(SEARCH($V$1,Database!$AC92&amp;""))))+IF($W$1="",0,N(ISNUMBER(SEARCH($W$1,Database!$AC92&amp;""))))+IF($X$1="",0,N(ISNUMBER(SEARCH($X$1,Database!$AC92&amp;""))))+IF($Y$1="",0,N(ISNUMBER(SEARCH($Y$1,Database!$AC92&amp;""))))+IF(Screener!$B$17="",0,N(ISNUMBER(SEARCH(LOWER(Screener!$B$17),Database!$AC92&amp;""))))</f>
        <v/>
      </c>
      <c r="I92" s="270">
        <f>IF(OR(N(Database!$BH92)&lt;=0,N(Screener!$D$13)&lt;=0),0,MAX(0,1-ABS(LOG10(N(Database!$BH92)/Screener!$D$13))/W_PEHW))</f>
        <v/>
      </c>
      <c r="J92" s="270">
        <f>IF(OR(N(Database!$S92)&lt;=0,N(Screener!$D$14)&lt;=0),0,MAX(0,1-ABS(LOG10(Database!$S92/Screener!$D$14))/0.6))</f>
        <v/>
      </c>
      <c r="K92" s="270">
        <f>IF(Database!$B92=Screener!$B$5,-999999,IF(ISNUMBER(SEARCH(","&amp;Database!$A92&amp;",",","&amp;SUBSTITUTE(Screener!$D$17," ","")&amp;",")),2000000,IF(IF(OR(Screener!$B$18="All",AND(Screener!$B$18="With A-share",(Database!$BM92="Y")),AND(Screener!$B$18="Without A-share",NOT((Database!$BM92="Y")))),1,0)=0,-999999,IF(Screener!$B$16="cornerstone overlap first",H92*100000,IF(Screener!$B$16="demand-similar first",J92*100000,0))+W_SUB*B92+W_SEC*C92*(1-B92)+W_SIZE*D92+W_PROF*E92+W_AH*F92+W_REC*G92+W_CS*H92+W_PE*I92)))+ROW()/1000000</f>
        <v/>
      </c>
      <c r="AA92" s="270">
        <f>Database!B81</f>
        <v/>
      </c>
      <c r="AB92" s="270">
        <f>Database!D81</f>
        <v/>
      </c>
      <c r="AC92" s="270">
        <f>Database!E81</f>
        <v/>
      </c>
      <c r="AD92" s="270">
        <f>Database!I81</f>
        <v/>
      </c>
      <c r="AE92" s="270">
        <f>Database!BG81</f>
        <v/>
      </c>
      <c r="AF92" s="270">
        <f>Database!BM81</f>
        <v/>
      </c>
      <c r="AG92" s="270">
        <f>Database!H81</f>
        <v/>
      </c>
      <c r="AH92" s="270">
        <f>Database!BH81</f>
        <v/>
      </c>
    </row>
    <row r="93">
      <c r="A93" s="270">
        <f>Database!B93</f>
        <v/>
      </c>
      <c r="B93" s="270">
        <f>IF(AND(Screener!$D$8&lt;&gt;"",Database!$E93=Screener!$D$8),1,0)</f>
        <v/>
      </c>
      <c r="C93" s="270">
        <f>IF(AND(Screener!$D$7&lt;&gt;"",Database!$D93=Screener!$D$7),1,0)</f>
        <v/>
      </c>
      <c r="D93" s="270">
        <f>IF(OR(N(Database!$I93)&lt;=0,N(Screener!$D$9)&lt;=0),0,MAX(0,1-ABS(LOG10(N(Database!$I93)/Screener!$D$9))/W_SIZEHW))</f>
        <v/>
      </c>
      <c r="E93" s="270">
        <f>IF(OR(Database!$BG93="",Screener!$D$10=""),0,IF(Database!$BG93=Screener!$D$10,1,0))</f>
        <v/>
      </c>
      <c r="F93" s="270">
        <f>IF(OR(Database!$BM93="",Screener!$D$11=""),0,IF(Database!$BM93=Screener!$D$11,1,0))</f>
        <v/>
      </c>
      <c r="G93" s="270">
        <f>IF(OR(Database!$H93="",N(Screener!$D$12)&lt;=0),0,MAX(0,1-(N(Screener!$D$12)-Database!$H93)/W_RECD))</f>
        <v/>
      </c>
      <c r="H93" s="270">
        <f>IF($U$1="",0,N(ISNUMBER(SEARCH($U$1,Database!$AC93&amp;""))))+IF($V$1="",0,N(ISNUMBER(SEARCH($V$1,Database!$AC93&amp;""))))+IF($W$1="",0,N(ISNUMBER(SEARCH($W$1,Database!$AC93&amp;""))))+IF($X$1="",0,N(ISNUMBER(SEARCH($X$1,Database!$AC93&amp;""))))+IF($Y$1="",0,N(ISNUMBER(SEARCH($Y$1,Database!$AC93&amp;""))))+IF(Screener!$B$17="",0,N(ISNUMBER(SEARCH(LOWER(Screener!$B$17),Database!$AC93&amp;""))))</f>
        <v/>
      </c>
      <c r="I93" s="270">
        <f>IF(OR(N(Database!$BH93)&lt;=0,N(Screener!$D$13)&lt;=0),0,MAX(0,1-ABS(LOG10(N(Database!$BH93)/Screener!$D$13))/W_PEHW))</f>
        <v/>
      </c>
      <c r="J93" s="270">
        <f>IF(OR(N(Database!$S93)&lt;=0,N(Screener!$D$14)&lt;=0),0,MAX(0,1-ABS(LOG10(Database!$S93/Screener!$D$14))/0.6))</f>
        <v/>
      </c>
      <c r="K93" s="270">
        <f>IF(Database!$B93=Screener!$B$5,-999999,IF(ISNUMBER(SEARCH(","&amp;Database!$A93&amp;",",","&amp;SUBSTITUTE(Screener!$D$17," ","")&amp;",")),2000000,IF(IF(OR(Screener!$B$18="All",AND(Screener!$B$18="With A-share",(Database!$BM93="Y")),AND(Screener!$B$18="Without A-share",NOT((Database!$BM93="Y")))),1,0)=0,-999999,IF(Screener!$B$16="cornerstone overlap first",H93*100000,IF(Screener!$B$16="demand-similar first",J93*100000,0))+W_SUB*B93+W_SEC*C93*(1-B93)+W_SIZE*D93+W_PROF*E93+W_AH*F93+W_REC*G93+W_CS*H93+W_PE*I93)))+ROW()/1000000</f>
        <v/>
      </c>
      <c r="AA93" s="270">
        <f>Database!B82</f>
        <v/>
      </c>
      <c r="AB93" s="270">
        <f>Database!D82</f>
        <v/>
      </c>
      <c r="AC93" s="270">
        <f>Database!E82</f>
        <v/>
      </c>
      <c r="AD93" s="270">
        <f>Database!I82</f>
        <v/>
      </c>
      <c r="AE93" s="270">
        <f>Database!BG82</f>
        <v/>
      </c>
      <c r="AF93" s="270">
        <f>Database!BM82</f>
        <v/>
      </c>
      <c r="AG93" s="270">
        <f>Database!H82</f>
        <v/>
      </c>
      <c r="AH93" s="270">
        <f>Database!BH82</f>
        <v/>
      </c>
    </row>
    <row r="94">
      <c r="A94" s="270">
        <f>Database!B94</f>
        <v/>
      </c>
      <c r="B94" s="270">
        <f>IF(AND(Screener!$D$8&lt;&gt;"",Database!$E94=Screener!$D$8),1,0)</f>
        <v/>
      </c>
      <c r="C94" s="270">
        <f>IF(AND(Screener!$D$7&lt;&gt;"",Database!$D94=Screener!$D$7),1,0)</f>
        <v/>
      </c>
      <c r="D94" s="270">
        <f>IF(OR(N(Database!$I94)&lt;=0,N(Screener!$D$9)&lt;=0),0,MAX(0,1-ABS(LOG10(N(Database!$I94)/Screener!$D$9))/W_SIZEHW))</f>
        <v/>
      </c>
      <c r="E94" s="270">
        <f>IF(OR(Database!$BG94="",Screener!$D$10=""),0,IF(Database!$BG94=Screener!$D$10,1,0))</f>
        <v/>
      </c>
      <c r="F94" s="270">
        <f>IF(OR(Database!$BM94="",Screener!$D$11=""),0,IF(Database!$BM94=Screener!$D$11,1,0))</f>
        <v/>
      </c>
      <c r="G94" s="270">
        <f>IF(OR(Database!$H94="",N(Screener!$D$12)&lt;=0),0,MAX(0,1-(N(Screener!$D$12)-Database!$H94)/W_RECD))</f>
        <v/>
      </c>
      <c r="H94" s="270">
        <f>IF($U$1="",0,N(ISNUMBER(SEARCH($U$1,Database!$AC94&amp;""))))+IF($V$1="",0,N(ISNUMBER(SEARCH($V$1,Database!$AC94&amp;""))))+IF($W$1="",0,N(ISNUMBER(SEARCH($W$1,Database!$AC94&amp;""))))+IF($X$1="",0,N(ISNUMBER(SEARCH($X$1,Database!$AC94&amp;""))))+IF($Y$1="",0,N(ISNUMBER(SEARCH($Y$1,Database!$AC94&amp;""))))+IF(Screener!$B$17="",0,N(ISNUMBER(SEARCH(LOWER(Screener!$B$17),Database!$AC94&amp;""))))</f>
        <v/>
      </c>
      <c r="I94" s="270">
        <f>IF(OR(N(Database!$BH94)&lt;=0,N(Screener!$D$13)&lt;=0),0,MAX(0,1-ABS(LOG10(N(Database!$BH94)/Screener!$D$13))/W_PEHW))</f>
        <v/>
      </c>
      <c r="J94" s="270">
        <f>IF(OR(N(Database!$S94)&lt;=0,N(Screener!$D$14)&lt;=0),0,MAX(0,1-ABS(LOG10(Database!$S94/Screener!$D$14))/0.6))</f>
        <v/>
      </c>
      <c r="K94" s="270">
        <f>IF(Database!$B94=Screener!$B$5,-999999,IF(ISNUMBER(SEARCH(","&amp;Database!$A94&amp;",",","&amp;SUBSTITUTE(Screener!$D$17," ","")&amp;",")),2000000,IF(IF(OR(Screener!$B$18="All",AND(Screener!$B$18="With A-share",(Database!$BM94="Y")),AND(Screener!$B$18="Without A-share",NOT((Database!$BM94="Y")))),1,0)=0,-999999,IF(Screener!$B$16="cornerstone overlap first",H94*100000,IF(Screener!$B$16="demand-similar first",J94*100000,0))+W_SUB*B94+W_SEC*C94*(1-B94)+W_SIZE*D94+W_PROF*E94+W_AH*F94+W_REC*G94+W_CS*H94+W_PE*I94)))+ROW()/1000000</f>
        <v/>
      </c>
      <c r="AA94" s="270">
        <f>Database!B83</f>
        <v/>
      </c>
      <c r="AB94" s="270">
        <f>Database!D83</f>
        <v/>
      </c>
      <c r="AC94" s="270">
        <f>Database!E83</f>
        <v/>
      </c>
      <c r="AD94" s="270">
        <f>Database!I83</f>
        <v/>
      </c>
      <c r="AE94" s="270">
        <f>Database!BG83</f>
        <v/>
      </c>
      <c r="AF94" s="270">
        <f>Database!BM83</f>
        <v/>
      </c>
      <c r="AG94" s="270">
        <f>Database!H83</f>
        <v/>
      </c>
      <c r="AH94" s="270">
        <f>Database!BH83</f>
        <v/>
      </c>
    </row>
    <row r="95">
      <c r="A95" s="270">
        <f>Database!B95</f>
        <v/>
      </c>
      <c r="B95" s="270">
        <f>IF(AND(Screener!$D$8&lt;&gt;"",Database!$E95=Screener!$D$8),1,0)</f>
        <v/>
      </c>
      <c r="C95" s="270">
        <f>IF(AND(Screener!$D$7&lt;&gt;"",Database!$D95=Screener!$D$7),1,0)</f>
        <v/>
      </c>
      <c r="D95" s="270">
        <f>IF(OR(N(Database!$I95)&lt;=0,N(Screener!$D$9)&lt;=0),0,MAX(0,1-ABS(LOG10(N(Database!$I95)/Screener!$D$9))/W_SIZEHW))</f>
        <v/>
      </c>
      <c r="E95" s="270">
        <f>IF(OR(Database!$BG95="",Screener!$D$10=""),0,IF(Database!$BG95=Screener!$D$10,1,0))</f>
        <v/>
      </c>
      <c r="F95" s="270">
        <f>IF(OR(Database!$BM95="",Screener!$D$11=""),0,IF(Database!$BM95=Screener!$D$11,1,0))</f>
        <v/>
      </c>
      <c r="G95" s="270">
        <f>IF(OR(Database!$H95="",N(Screener!$D$12)&lt;=0),0,MAX(0,1-(N(Screener!$D$12)-Database!$H95)/W_RECD))</f>
        <v/>
      </c>
      <c r="H95" s="270">
        <f>IF($U$1="",0,N(ISNUMBER(SEARCH($U$1,Database!$AC95&amp;""))))+IF($V$1="",0,N(ISNUMBER(SEARCH($V$1,Database!$AC95&amp;""))))+IF($W$1="",0,N(ISNUMBER(SEARCH($W$1,Database!$AC95&amp;""))))+IF($X$1="",0,N(ISNUMBER(SEARCH($X$1,Database!$AC95&amp;""))))+IF($Y$1="",0,N(ISNUMBER(SEARCH($Y$1,Database!$AC95&amp;""))))+IF(Screener!$B$17="",0,N(ISNUMBER(SEARCH(LOWER(Screener!$B$17),Database!$AC95&amp;""))))</f>
        <v/>
      </c>
      <c r="I95" s="270">
        <f>IF(OR(N(Database!$BH95)&lt;=0,N(Screener!$D$13)&lt;=0),0,MAX(0,1-ABS(LOG10(N(Database!$BH95)/Screener!$D$13))/W_PEHW))</f>
        <v/>
      </c>
      <c r="J95" s="270">
        <f>IF(OR(N(Database!$S95)&lt;=0,N(Screener!$D$14)&lt;=0),0,MAX(0,1-ABS(LOG10(Database!$S95/Screener!$D$14))/0.6))</f>
        <v/>
      </c>
      <c r="K95" s="270">
        <f>IF(Database!$B95=Screener!$B$5,-999999,IF(ISNUMBER(SEARCH(","&amp;Database!$A95&amp;",",","&amp;SUBSTITUTE(Screener!$D$17," ","")&amp;",")),2000000,IF(IF(OR(Screener!$B$18="All",AND(Screener!$B$18="With A-share",(Database!$BM95="Y")),AND(Screener!$B$18="Without A-share",NOT((Database!$BM95="Y")))),1,0)=0,-999999,IF(Screener!$B$16="cornerstone overlap first",H95*100000,IF(Screener!$B$16="demand-similar first",J95*100000,0))+W_SUB*B95+W_SEC*C95*(1-B95)+W_SIZE*D95+W_PROF*E95+W_AH*F95+W_REC*G95+W_CS*H95+W_PE*I95)))+ROW()/1000000</f>
        <v/>
      </c>
      <c r="AA95" s="270">
        <f>Database!B84</f>
        <v/>
      </c>
      <c r="AB95" s="270">
        <f>Database!D84</f>
        <v/>
      </c>
      <c r="AC95" s="270">
        <f>Database!E84</f>
        <v/>
      </c>
      <c r="AD95" s="270">
        <f>Database!I84</f>
        <v/>
      </c>
      <c r="AE95" s="270">
        <f>Database!BG84</f>
        <v/>
      </c>
      <c r="AF95" s="270">
        <f>Database!BM84</f>
        <v/>
      </c>
      <c r="AG95" s="270">
        <f>Database!H84</f>
        <v/>
      </c>
      <c r="AH95" s="270">
        <f>Database!BH84</f>
        <v/>
      </c>
    </row>
    <row r="96">
      <c r="A96" s="270">
        <f>Database!B96</f>
        <v/>
      </c>
      <c r="B96" s="270">
        <f>IF(AND(Screener!$D$8&lt;&gt;"",Database!$E96=Screener!$D$8),1,0)</f>
        <v/>
      </c>
      <c r="C96" s="270">
        <f>IF(AND(Screener!$D$7&lt;&gt;"",Database!$D96=Screener!$D$7),1,0)</f>
        <v/>
      </c>
      <c r="D96" s="270">
        <f>IF(OR(N(Database!$I96)&lt;=0,N(Screener!$D$9)&lt;=0),0,MAX(0,1-ABS(LOG10(N(Database!$I96)/Screener!$D$9))/W_SIZEHW))</f>
        <v/>
      </c>
      <c r="E96" s="270">
        <f>IF(OR(Database!$BG96="",Screener!$D$10=""),0,IF(Database!$BG96=Screener!$D$10,1,0))</f>
        <v/>
      </c>
      <c r="F96" s="270">
        <f>IF(OR(Database!$BM96="",Screener!$D$11=""),0,IF(Database!$BM96=Screener!$D$11,1,0))</f>
        <v/>
      </c>
      <c r="G96" s="270">
        <f>IF(OR(Database!$H96="",N(Screener!$D$12)&lt;=0),0,MAX(0,1-(N(Screener!$D$12)-Database!$H96)/W_RECD))</f>
        <v/>
      </c>
      <c r="H96" s="270">
        <f>IF($U$1="",0,N(ISNUMBER(SEARCH($U$1,Database!$AC96&amp;""))))+IF($V$1="",0,N(ISNUMBER(SEARCH($V$1,Database!$AC96&amp;""))))+IF($W$1="",0,N(ISNUMBER(SEARCH($W$1,Database!$AC96&amp;""))))+IF($X$1="",0,N(ISNUMBER(SEARCH($X$1,Database!$AC96&amp;""))))+IF($Y$1="",0,N(ISNUMBER(SEARCH($Y$1,Database!$AC96&amp;""))))+IF(Screener!$B$17="",0,N(ISNUMBER(SEARCH(LOWER(Screener!$B$17),Database!$AC96&amp;""))))</f>
        <v/>
      </c>
      <c r="I96" s="270">
        <f>IF(OR(N(Database!$BH96)&lt;=0,N(Screener!$D$13)&lt;=0),0,MAX(0,1-ABS(LOG10(N(Database!$BH96)/Screener!$D$13))/W_PEHW))</f>
        <v/>
      </c>
      <c r="J96" s="270">
        <f>IF(OR(N(Database!$S96)&lt;=0,N(Screener!$D$14)&lt;=0),0,MAX(0,1-ABS(LOG10(Database!$S96/Screener!$D$14))/0.6))</f>
        <v/>
      </c>
      <c r="K96" s="270">
        <f>IF(Database!$B96=Screener!$B$5,-999999,IF(ISNUMBER(SEARCH(","&amp;Database!$A96&amp;",",","&amp;SUBSTITUTE(Screener!$D$17," ","")&amp;",")),2000000,IF(IF(OR(Screener!$B$18="All",AND(Screener!$B$18="With A-share",(Database!$BM96="Y")),AND(Screener!$B$18="Without A-share",NOT((Database!$BM96="Y")))),1,0)=0,-999999,IF(Screener!$B$16="cornerstone overlap first",H96*100000,IF(Screener!$B$16="demand-similar first",J96*100000,0))+W_SUB*B96+W_SEC*C96*(1-B96)+W_SIZE*D96+W_PROF*E96+W_AH*F96+W_REC*G96+W_CS*H96+W_PE*I96)))+ROW()/1000000</f>
        <v/>
      </c>
      <c r="AA96" s="270">
        <f>Database!B85</f>
        <v/>
      </c>
      <c r="AB96" s="270">
        <f>Database!D85</f>
        <v/>
      </c>
      <c r="AC96" s="270">
        <f>Database!E85</f>
        <v/>
      </c>
      <c r="AD96" s="270">
        <f>Database!I85</f>
        <v/>
      </c>
      <c r="AE96" s="270">
        <f>Database!BG85</f>
        <v/>
      </c>
      <c r="AF96" s="270">
        <f>Database!BM85</f>
        <v/>
      </c>
      <c r="AG96" s="270">
        <f>Database!H85</f>
        <v/>
      </c>
      <c r="AH96" s="270">
        <f>Database!BH85</f>
        <v/>
      </c>
    </row>
    <row r="97">
      <c r="A97" s="270">
        <f>Database!B97</f>
        <v/>
      </c>
      <c r="B97" s="270">
        <f>IF(AND(Screener!$D$8&lt;&gt;"",Database!$E97=Screener!$D$8),1,0)</f>
        <v/>
      </c>
      <c r="C97" s="270">
        <f>IF(AND(Screener!$D$7&lt;&gt;"",Database!$D97=Screener!$D$7),1,0)</f>
        <v/>
      </c>
      <c r="D97" s="270">
        <f>IF(OR(N(Database!$I97)&lt;=0,N(Screener!$D$9)&lt;=0),0,MAX(0,1-ABS(LOG10(N(Database!$I97)/Screener!$D$9))/W_SIZEHW))</f>
        <v/>
      </c>
      <c r="E97" s="270">
        <f>IF(OR(Database!$BG97="",Screener!$D$10=""),0,IF(Database!$BG97=Screener!$D$10,1,0))</f>
        <v/>
      </c>
      <c r="F97" s="270">
        <f>IF(OR(Database!$BM97="",Screener!$D$11=""),0,IF(Database!$BM97=Screener!$D$11,1,0))</f>
        <v/>
      </c>
      <c r="G97" s="270">
        <f>IF(OR(Database!$H97="",N(Screener!$D$12)&lt;=0),0,MAX(0,1-(N(Screener!$D$12)-Database!$H97)/W_RECD))</f>
        <v/>
      </c>
      <c r="H97" s="270">
        <f>IF($U$1="",0,N(ISNUMBER(SEARCH($U$1,Database!$AC97&amp;""))))+IF($V$1="",0,N(ISNUMBER(SEARCH($V$1,Database!$AC97&amp;""))))+IF($W$1="",0,N(ISNUMBER(SEARCH($W$1,Database!$AC97&amp;""))))+IF($X$1="",0,N(ISNUMBER(SEARCH($X$1,Database!$AC97&amp;""))))+IF($Y$1="",0,N(ISNUMBER(SEARCH($Y$1,Database!$AC97&amp;""))))+IF(Screener!$B$17="",0,N(ISNUMBER(SEARCH(LOWER(Screener!$B$17),Database!$AC97&amp;""))))</f>
        <v/>
      </c>
      <c r="I97" s="270">
        <f>IF(OR(N(Database!$BH97)&lt;=0,N(Screener!$D$13)&lt;=0),0,MAX(0,1-ABS(LOG10(N(Database!$BH97)/Screener!$D$13))/W_PEHW))</f>
        <v/>
      </c>
      <c r="J97" s="270">
        <f>IF(OR(N(Database!$S97)&lt;=0,N(Screener!$D$14)&lt;=0),0,MAX(0,1-ABS(LOG10(Database!$S97/Screener!$D$14))/0.6))</f>
        <v/>
      </c>
      <c r="K97" s="270">
        <f>IF(Database!$B97=Screener!$B$5,-999999,IF(ISNUMBER(SEARCH(","&amp;Database!$A97&amp;",",","&amp;SUBSTITUTE(Screener!$D$17," ","")&amp;",")),2000000,IF(IF(OR(Screener!$B$18="All",AND(Screener!$B$18="With A-share",(Database!$BM97="Y")),AND(Screener!$B$18="Without A-share",NOT((Database!$BM97="Y")))),1,0)=0,-999999,IF(Screener!$B$16="cornerstone overlap first",H97*100000,IF(Screener!$B$16="demand-similar first",J97*100000,0))+W_SUB*B97+W_SEC*C97*(1-B97)+W_SIZE*D97+W_PROF*E97+W_AH*F97+W_REC*G97+W_CS*H97+W_PE*I97)))+ROW()/1000000</f>
        <v/>
      </c>
      <c r="AA97" s="270">
        <f>Database!B86</f>
        <v/>
      </c>
      <c r="AB97" s="270">
        <f>Database!D86</f>
        <v/>
      </c>
      <c r="AC97" s="270">
        <f>Database!E86</f>
        <v/>
      </c>
      <c r="AD97" s="270">
        <f>Database!I86</f>
        <v/>
      </c>
      <c r="AE97" s="270">
        <f>Database!BG86</f>
        <v/>
      </c>
      <c r="AF97" s="270">
        <f>Database!BM86</f>
        <v/>
      </c>
      <c r="AG97" s="270">
        <f>Database!H86</f>
        <v/>
      </c>
      <c r="AH97" s="270">
        <f>Database!BH86</f>
        <v/>
      </c>
    </row>
    <row r="98">
      <c r="A98" s="270">
        <f>Database!B98</f>
        <v/>
      </c>
      <c r="B98" s="270">
        <f>IF(AND(Screener!$D$8&lt;&gt;"",Database!$E98=Screener!$D$8),1,0)</f>
        <v/>
      </c>
      <c r="C98" s="270">
        <f>IF(AND(Screener!$D$7&lt;&gt;"",Database!$D98=Screener!$D$7),1,0)</f>
        <v/>
      </c>
      <c r="D98" s="270">
        <f>IF(OR(N(Database!$I98)&lt;=0,N(Screener!$D$9)&lt;=0),0,MAX(0,1-ABS(LOG10(N(Database!$I98)/Screener!$D$9))/W_SIZEHW))</f>
        <v/>
      </c>
      <c r="E98" s="270">
        <f>IF(OR(Database!$BG98="",Screener!$D$10=""),0,IF(Database!$BG98=Screener!$D$10,1,0))</f>
        <v/>
      </c>
      <c r="F98" s="270">
        <f>IF(OR(Database!$BM98="",Screener!$D$11=""),0,IF(Database!$BM98=Screener!$D$11,1,0))</f>
        <v/>
      </c>
      <c r="G98" s="270">
        <f>IF(OR(Database!$H98="",N(Screener!$D$12)&lt;=0),0,MAX(0,1-(N(Screener!$D$12)-Database!$H98)/W_RECD))</f>
        <v/>
      </c>
      <c r="H98" s="270">
        <f>IF($U$1="",0,N(ISNUMBER(SEARCH($U$1,Database!$AC98&amp;""))))+IF($V$1="",0,N(ISNUMBER(SEARCH($V$1,Database!$AC98&amp;""))))+IF($W$1="",0,N(ISNUMBER(SEARCH($W$1,Database!$AC98&amp;""))))+IF($X$1="",0,N(ISNUMBER(SEARCH($X$1,Database!$AC98&amp;""))))+IF($Y$1="",0,N(ISNUMBER(SEARCH($Y$1,Database!$AC98&amp;""))))+IF(Screener!$B$17="",0,N(ISNUMBER(SEARCH(LOWER(Screener!$B$17),Database!$AC98&amp;""))))</f>
        <v/>
      </c>
      <c r="I98" s="270">
        <f>IF(OR(N(Database!$BH98)&lt;=0,N(Screener!$D$13)&lt;=0),0,MAX(0,1-ABS(LOG10(N(Database!$BH98)/Screener!$D$13))/W_PEHW))</f>
        <v/>
      </c>
      <c r="J98" s="270">
        <f>IF(OR(N(Database!$S98)&lt;=0,N(Screener!$D$14)&lt;=0),0,MAX(0,1-ABS(LOG10(Database!$S98/Screener!$D$14))/0.6))</f>
        <v/>
      </c>
      <c r="K98" s="270">
        <f>IF(Database!$B98=Screener!$B$5,-999999,IF(ISNUMBER(SEARCH(","&amp;Database!$A98&amp;",",","&amp;SUBSTITUTE(Screener!$D$17," ","")&amp;",")),2000000,IF(IF(OR(Screener!$B$18="All",AND(Screener!$B$18="With A-share",(Database!$BM98="Y")),AND(Screener!$B$18="Without A-share",NOT((Database!$BM98="Y")))),1,0)=0,-999999,IF(Screener!$B$16="cornerstone overlap first",H98*100000,IF(Screener!$B$16="demand-similar first",J98*100000,0))+W_SUB*B98+W_SEC*C98*(1-B98)+W_SIZE*D98+W_PROF*E98+W_AH*F98+W_REC*G98+W_CS*H98+W_PE*I98)))+ROW()/1000000</f>
        <v/>
      </c>
      <c r="AA98" s="270">
        <f>Database!B87</f>
        <v/>
      </c>
      <c r="AB98" s="270">
        <f>Database!D87</f>
        <v/>
      </c>
      <c r="AC98" s="270">
        <f>Database!E87</f>
        <v/>
      </c>
      <c r="AD98" s="270">
        <f>Database!I87</f>
        <v/>
      </c>
      <c r="AE98" s="270">
        <f>Database!BG87</f>
        <v/>
      </c>
      <c r="AF98" s="270">
        <f>Database!BM87</f>
        <v/>
      </c>
      <c r="AG98" s="270">
        <f>Database!H87</f>
        <v/>
      </c>
      <c r="AH98" s="270">
        <f>Database!BH87</f>
        <v/>
      </c>
    </row>
    <row r="99">
      <c r="A99" s="270">
        <f>Database!B99</f>
        <v/>
      </c>
      <c r="B99" s="270">
        <f>IF(AND(Screener!$D$8&lt;&gt;"",Database!$E99=Screener!$D$8),1,0)</f>
        <v/>
      </c>
      <c r="C99" s="270">
        <f>IF(AND(Screener!$D$7&lt;&gt;"",Database!$D99=Screener!$D$7),1,0)</f>
        <v/>
      </c>
      <c r="D99" s="270">
        <f>IF(OR(N(Database!$I99)&lt;=0,N(Screener!$D$9)&lt;=0),0,MAX(0,1-ABS(LOG10(N(Database!$I99)/Screener!$D$9))/W_SIZEHW))</f>
        <v/>
      </c>
      <c r="E99" s="270">
        <f>IF(OR(Database!$BG99="",Screener!$D$10=""),0,IF(Database!$BG99=Screener!$D$10,1,0))</f>
        <v/>
      </c>
      <c r="F99" s="270">
        <f>IF(OR(Database!$BM99="",Screener!$D$11=""),0,IF(Database!$BM99=Screener!$D$11,1,0))</f>
        <v/>
      </c>
      <c r="G99" s="270">
        <f>IF(OR(Database!$H99="",N(Screener!$D$12)&lt;=0),0,MAX(0,1-(N(Screener!$D$12)-Database!$H99)/W_RECD))</f>
        <v/>
      </c>
      <c r="H99" s="270">
        <f>IF($U$1="",0,N(ISNUMBER(SEARCH($U$1,Database!$AC99&amp;""))))+IF($V$1="",0,N(ISNUMBER(SEARCH($V$1,Database!$AC99&amp;""))))+IF($W$1="",0,N(ISNUMBER(SEARCH($W$1,Database!$AC99&amp;""))))+IF($X$1="",0,N(ISNUMBER(SEARCH($X$1,Database!$AC99&amp;""))))+IF($Y$1="",0,N(ISNUMBER(SEARCH($Y$1,Database!$AC99&amp;""))))+IF(Screener!$B$17="",0,N(ISNUMBER(SEARCH(LOWER(Screener!$B$17),Database!$AC99&amp;""))))</f>
        <v/>
      </c>
      <c r="I99" s="270">
        <f>IF(OR(N(Database!$BH99)&lt;=0,N(Screener!$D$13)&lt;=0),0,MAX(0,1-ABS(LOG10(N(Database!$BH99)/Screener!$D$13))/W_PEHW))</f>
        <v/>
      </c>
      <c r="J99" s="270">
        <f>IF(OR(N(Database!$S99)&lt;=0,N(Screener!$D$14)&lt;=0),0,MAX(0,1-ABS(LOG10(Database!$S99/Screener!$D$14))/0.6))</f>
        <v/>
      </c>
      <c r="K99" s="270">
        <f>IF(Database!$B99=Screener!$B$5,-999999,IF(ISNUMBER(SEARCH(","&amp;Database!$A99&amp;",",","&amp;SUBSTITUTE(Screener!$D$17," ","")&amp;",")),2000000,IF(IF(OR(Screener!$B$18="All",AND(Screener!$B$18="With A-share",(Database!$BM99="Y")),AND(Screener!$B$18="Without A-share",NOT((Database!$BM99="Y")))),1,0)=0,-999999,IF(Screener!$B$16="cornerstone overlap first",H99*100000,IF(Screener!$B$16="demand-similar first",J99*100000,0))+W_SUB*B99+W_SEC*C99*(1-B99)+W_SIZE*D99+W_PROF*E99+W_AH*F99+W_REC*G99+W_CS*H99+W_PE*I99)))+ROW()/1000000</f>
        <v/>
      </c>
      <c r="AA99" s="270">
        <f>Database!B88</f>
        <v/>
      </c>
      <c r="AB99" s="270">
        <f>Database!D88</f>
        <v/>
      </c>
      <c r="AC99" s="270">
        <f>Database!E88</f>
        <v/>
      </c>
      <c r="AD99" s="270">
        <f>Database!I88</f>
        <v/>
      </c>
      <c r="AE99" s="270">
        <f>Database!BG88</f>
        <v/>
      </c>
      <c r="AF99" s="270">
        <f>Database!BM88</f>
        <v/>
      </c>
      <c r="AG99" s="270">
        <f>Database!H88</f>
        <v/>
      </c>
      <c r="AH99" s="270">
        <f>Database!BH88</f>
        <v/>
      </c>
    </row>
    <row r="100">
      <c r="A100" s="270">
        <f>Database!B100</f>
        <v/>
      </c>
      <c r="B100" s="270">
        <f>IF(AND(Screener!$D$8&lt;&gt;"",Database!$E100=Screener!$D$8),1,0)</f>
        <v/>
      </c>
      <c r="C100" s="270">
        <f>IF(AND(Screener!$D$7&lt;&gt;"",Database!$D100=Screener!$D$7),1,0)</f>
        <v/>
      </c>
      <c r="D100" s="270">
        <f>IF(OR(N(Database!$I100)&lt;=0,N(Screener!$D$9)&lt;=0),0,MAX(0,1-ABS(LOG10(N(Database!$I100)/Screener!$D$9))/W_SIZEHW))</f>
        <v/>
      </c>
      <c r="E100" s="270">
        <f>IF(OR(Database!$BG100="",Screener!$D$10=""),0,IF(Database!$BG100=Screener!$D$10,1,0))</f>
        <v/>
      </c>
      <c r="F100" s="270">
        <f>IF(OR(Database!$BM100="",Screener!$D$11=""),0,IF(Database!$BM100=Screener!$D$11,1,0))</f>
        <v/>
      </c>
      <c r="G100" s="270">
        <f>IF(OR(Database!$H100="",N(Screener!$D$12)&lt;=0),0,MAX(0,1-(N(Screener!$D$12)-Database!$H100)/W_RECD))</f>
        <v/>
      </c>
      <c r="H100" s="270">
        <f>IF($U$1="",0,N(ISNUMBER(SEARCH($U$1,Database!$AC100&amp;""))))+IF($V$1="",0,N(ISNUMBER(SEARCH($V$1,Database!$AC100&amp;""))))+IF($W$1="",0,N(ISNUMBER(SEARCH($W$1,Database!$AC100&amp;""))))+IF($X$1="",0,N(ISNUMBER(SEARCH($X$1,Database!$AC100&amp;""))))+IF($Y$1="",0,N(ISNUMBER(SEARCH($Y$1,Database!$AC100&amp;""))))+IF(Screener!$B$17="",0,N(ISNUMBER(SEARCH(LOWER(Screener!$B$17),Database!$AC100&amp;""))))</f>
        <v/>
      </c>
      <c r="I100" s="270">
        <f>IF(OR(N(Database!$BH100)&lt;=0,N(Screener!$D$13)&lt;=0),0,MAX(0,1-ABS(LOG10(N(Database!$BH100)/Screener!$D$13))/W_PEHW))</f>
        <v/>
      </c>
      <c r="J100" s="270">
        <f>IF(OR(N(Database!$S100)&lt;=0,N(Screener!$D$14)&lt;=0),0,MAX(0,1-ABS(LOG10(Database!$S100/Screener!$D$14))/0.6))</f>
        <v/>
      </c>
      <c r="K100" s="270">
        <f>IF(Database!$B100=Screener!$B$5,-999999,IF(ISNUMBER(SEARCH(","&amp;Database!$A100&amp;",",","&amp;SUBSTITUTE(Screener!$D$17," ","")&amp;",")),2000000,IF(IF(OR(Screener!$B$18="All",AND(Screener!$B$18="With A-share",(Database!$BM100="Y")),AND(Screener!$B$18="Without A-share",NOT((Database!$BM100="Y")))),1,0)=0,-999999,IF(Screener!$B$16="cornerstone overlap first",H100*100000,IF(Screener!$B$16="demand-similar first",J100*100000,0))+W_SUB*B100+W_SEC*C100*(1-B100)+W_SIZE*D100+W_PROF*E100+W_AH*F100+W_REC*G100+W_CS*H100+W_PE*I100)))+ROW()/1000000</f>
        <v/>
      </c>
      <c r="AA100" s="270">
        <f>Database!B89</f>
        <v/>
      </c>
      <c r="AB100" s="270">
        <f>Database!D89</f>
        <v/>
      </c>
      <c r="AC100" s="270">
        <f>Database!E89</f>
        <v/>
      </c>
      <c r="AD100" s="270">
        <f>Database!I89</f>
        <v/>
      </c>
      <c r="AE100" s="270">
        <f>Database!BG89</f>
        <v/>
      </c>
      <c r="AF100" s="270">
        <f>Database!BM89</f>
        <v/>
      </c>
      <c r="AG100" s="270">
        <f>Database!H89</f>
        <v/>
      </c>
      <c r="AH100" s="270">
        <f>Database!BH89</f>
        <v/>
      </c>
    </row>
    <row r="101">
      <c r="A101" s="270">
        <f>Database!B101</f>
        <v/>
      </c>
      <c r="B101" s="270">
        <f>IF(AND(Screener!$D$8&lt;&gt;"",Database!$E101=Screener!$D$8),1,0)</f>
        <v/>
      </c>
      <c r="C101" s="270">
        <f>IF(AND(Screener!$D$7&lt;&gt;"",Database!$D101=Screener!$D$7),1,0)</f>
        <v/>
      </c>
      <c r="D101" s="270">
        <f>IF(OR(N(Database!$I101)&lt;=0,N(Screener!$D$9)&lt;=0),0,MAX(0,1-ABS(LOG10(N(Database!$I101)/Screener!$D$9))/W_SIZEHW))</f>
        <v/>
      </c>
      <c r="E101" s="270">
        <f>IF(OR(Database!$BG101="",Screener!$D$10=""),0,IF(Database!$BG101=Screener!$D$10,1,0))</f>
        <v/>
      </c>
      <c r="F101" s="270">
        <f>IF(OR(Database!$BM101="",Screener!$D$11=""),0,IF(Database!$BM101=Screener!$D$11,1,0))</f>
        <v/>
      </c>
      <c r="G101" s="270">
        <f>IF(OR(Database!$H101="",N(Screener!$D$12)&lt;=0),0,MAX(0,1-(N(Screener!$D$12)-Database!$H101)/W_RECD))</f>
        <v/>
      </c>
      <c r="H101" s="270">
        <f>IF($U$1="",0,N(ISNUMBER(SEARCH($U$1,Database!$AC101&amp;""))))+IF($V$1="",0,N(ISNUMBER(SEARCH($V$1,Database!$AC101&amp;""))))+IF($W$1="",0,N(ISNUMBER(SEARCH($W$1,Database!$AC101&amp;""))))+IF($X$1="",0,N(ISNUMBER(SEARCH($X$1,Database!$AC101&amp;""))))+IF($Y$1="",0,N(ISNUMBER(SEARCH($Y$1,Database!$AC101&amp;""))))+IF(Screener!$B$17="",0,N(ISNUMBER(SEARCH(LOWER(Screener!$B$17),Database!$AC101&amp;""))))</f>
        <v/>
      </c>
      <c r="I101" s="270">
        <f>IF(OR(N(Database!$BH101)&lt;=0,N(Screener!$D$13)&lt;=0),0,MAX(0,1-ABS(LOG10(N(Database!$BH101)/Screener!$D$13))/W_PEHW))</f>
        <v/>
      </c>
      <c r="J101" s="270">
        <f>IF(OR(N(Database!$S101)&lt;=0,N(Screener!$D$14)&lt;=0),0,MAX(0,1-ABS(LOG10(Database!$S101/Screener!$D$14))/0.6))</f>
        <v/>
      </c>
      <c r="K101" s="270">
        <f>IF(Database!$B101=Screener!$B$5,-999999,IF(ISNUMBER(SEARCH(","&amp;Database!$A101&amp;",",","&amp;SUBSTITUTE(Screener!$D$17," ","")&amp;",")),2000000,IF(IF(OR(Screener!$B$18="All",AND(Screener!$B$18="With A-share",(Database!$BM101="Y")),AND(Screener!$B$18="Without A-share",NOT((Database!$BM101="Y")))),1,0)=0,-999999,IF(Screener!$B$16="cornerstone overlap first",H101*100000,IF(Screener!$B$16="demand-similar first",J101*100000,0))+W_SUB*B101+W_SEC*C101*(1-B101)+W_SIZE*D101+W_PROF*E101+W_AH*F101+W_REC*G101+W_CS*H101+W_PE*I101)))+ROW()/1000000</f>
        <v/>
      </c>
      <c r="AA101" s="270">
        <f>Database!B90</f>
        <v/>
      </c>
      <c r="AB101" s="270">
        <f>Database!D90</f>
        <v/>
      </c>
      <c r="AC101" s="270">
        <f>Database!E90</f>
        <v/>
      </c>
      <c r="AD101" s="270">
        <f>Database!I90</f>
        <v/>
      </c>
      <c r="AE101" s="270">
        <f>Database!BG90</f>
        <v/>
      </c>
      <c r="AF101" s="270">
        <f>Database!BM90</f>
        <v/>
      </c>
      <c r="AG101" s="270">
        <f>Database!H90</f>
        <v/>
      </c>
      <c r="AH101" s="270">
        <f>Database!BH90</f>
        <v/>
      </c>
    </row>
    <row r="102">
      <c r="A102" s="270">
        <f>Database!B102</f>
        <v/>
      </c>
      <c r="B102" s="270">
        <f>IF(AND(Screener!$D$8&lt;&gt;"",Database!$E102=Screener!$D$8),1,0)</f>
        <v/>
      </c>
      <c r="C102" s="270">
        <f>IF(AND(Screener!$D$7&lt;&gt;"",Database!$D102=Screener!$D$7),1,0)</f>
        <v/>
      </c>
      <c r="D102" s="270">
        <f>IF(OR(N(Database!$I102)&lt;=0,N(Screener!$D$9)&lt;=0),0,MAX(0,1-ABS(LOG10(N(Database!$I102)/Screener!$D$9))/W_SIZEHW))</f>
        <v/>
      </c>
      <c r="E102" s="270">
        <f>IF(OR(Database!$BG102="",Screener!$D$10=""),0,IF(Database!$BG102=Screener!$D$10,1,0))</f>
        <v/>
      </c>
      <c r="F102" s="270">
        <f>IF(OR(Database!$BM102="",Screener!$D$11=""),0,IF(Database!$BM102=Screener!$D$11,1,0))</f>
        <v/>
      </c>
      <c r="G102" s="270">
        <f>IF(OR(Database!$H102="",N(Screener!$D$12)&lt;=0),0,MAX(0,1-(N(Screener!$D$12)-Database!$H102)/W_RECD))</f>
        <v/>
      </c>
      <c r="H102" s="270">
        <f>IF($U$1="",0,N(ISNUMBER(SEARCH($U$1,Database!$AC102&amp;""))))+IF($V$1="",0,N(ISNUMBER(SEARCH($V$1,Database!$AC102&amp;""))))+IF($W$1="",0,N(ISNUMBER(SEARCH($W$1,Database!$AC102&amp;""))))+IF($X$1="",0,N(ISNUMBER(SEARCH($X$1,Database!$AC102&amp;""))))+IF($Y$1="",0,N(ISNUMBER(SEARCH($Y$1,Database!$AC102&amp;""))))+IF(Screener!$B$17="",0,N(ISNUMBER(SEARCH(LOWER(Screener!$B$17),Database!$AC102&amp;""))))</f>
        <v/>
      </c>
      <c r="I102" s="270">
        <f>IF(OR(N(Database!$BH102)&lt;=0,N(Screener!$D$13)&lt;=0),0,MAX(0,1-ABS(LOG10(N(Database!$BH102)/Screener!$D$13))/W_PEHW))</f>
        <v/>
      </c>
      <c r="J102" s="270">
        <f>IF(OR(N(Database!$S102)&lt;=0,N(Screener!$D$14)&lt;=0),0,MAX(0,1-ABS(LOG10(Database!$S102/Screener!$D$14))/0.6))</f>
        <v/>
      </c>
      <c r="K102" s="270">
        <f>IF(Database!$B102=Screener!$B$5,-999999,IF(ISNUMBER(SEARCH(","&amp;Database!$A102&amp;",",","&amp;SUBSTITUTE(Screener!$D$17," ","")&amp;",")),2000000,IF(IF(OR(Screener!$B$18="All",AND(Screener!$B$18="With A-share",(Database!$BM102="Y")),AND(Screener!$B$18="Without A-share",NOT((Database!$BM102="Y")))),1,0)=0,-999999,IF(Screener!$B$16="cornerstone overlap first",H102*100000,IF(Screener!$B$16="demand-similar first",J102*100000,0))+W_SUB*B102+W_SEC*C102*(1-B102)+W_SIZE*D102+W_PROF*E102+W_AH*F102+W_REC*G102+W_CS*H102+W_PE*I102)))+ROW()/1000000</f>
        <v/>
      </c>
      <c r="AA102" s="270">
        <f>Database!B91</f>
        <v/>
      </c>
      <c r="AB102" s="270">
        <f>Database!D91</f>
        <v/>
      </c>
      <c r="AC102" s="270">
        <f>Database!E91</f>
        <v/>
      </c>
      <c r="AD102" s="270">
        <f>Database!I91</f>
        <v/>
      </c>
      <c r="AE102" s="270">
        <f>Database!BG91</f>
        <v/>
      </c>
      <c r="AF102" s="270">
        <f>Database!BM91</f>
        <v/>
      </c>
      <c r="AG102" s="270">
        <f>Database!H91</f>
        <v/>
      </c>
      <c r="AH102" s="270">
        <f>Database!BH91</f>
        <v/>
      </c>
    </row>
    <row r="103">
      <c r="A103" s="270">
        <f>Database!B103</f>
        <v/>
      </c>
      <c r="B103" s="270">
        <f>IF(AND(Screener!$D$8&lt;&gt;"",Database!$E103=Screener!$D$8),1,0)</f>
        <v/>
      </c>
      <c r="C103" s="270">
        <f>IF(AND(Screener!$D$7&lt;&gt;"",Database!$D103=Screener!$D$7),1,0)</f>
        <v/>
      </c>
      <c r="D103" s="270">
        <f>IF(OR(N(Database!$I103)&lt;=0,N(Screener!$D$9)&lt;=0),0,MAX(0,1-ABS(LOG10(N(Database!$I103)/Screener!$D$9))/W_SIZEHW))</f>
        <v/>
      </c>
      <c r="E103" s="270">
        <f>IF(OR(Database!$BG103="",Screener!$D$10=""),0,IF(Database!$BG103=Screener!$D$10,1,0))</f>
        <v/>
      </c>
      <c r="F103" s="270">
        <f>IF(OR(Database!$BM103="",Screener!$D$11=""),0,IF(Database!$BM103=Screener!$D$11,1,0))</f>
        <v/>
      </c>
      <c r="G103" s="270">
        <f>IF(OR(Database!$H103="",N(Screener!$D$12)&lt;=0),0,MAX(0,1-(N(Screener!$D$12)-Database!$H103)/W_RECD))</f>
        <v/>
      </c>
      <c r="H103" s="270">
        <f>IF($U$1="",0,N(ISNUMBER(SEARCH($U$1,Database!$AC103&amp;""))))+IF($V$1="",0,N(ISNUMBER(SEARCH($V$1,Database!$AC103&amp;""))))+IF($W$1="",0,N(ISNUMBER(SEARCH($W$1,Database!$AC103&amp;""))))+IF($X$1="",0,N(ISNUMBER(SEARCH($X$1,Database!$AC103&amp;""))))+IF($Y$1="",0,N(ISNUMBER(SEARCH($Y$1,Database!$AC103&amp;""))))+IF(Screener!$B$17="",0,N(ISNUMBER(SEARCH(LOWER(Screener!$B$17),Database!$AC103&amp;""))))</f>
        <v/>
      </c>
      <c r="I103" s="270">
        <f>IF(OR(N(Database!$BH103)&lt;=0,N(Screener!$D$13)&lt;=0),0,MAX(0,1-ABS(LOG10(N(Database!$BH103)/Screener!$D$13))/W_PEHW))</f>
        <v/>
      </c>
      <c r="J103" s="270">
        <f>IF(OR(N(Database!$S103)&lt;=0,N(Screener!$D$14)&lt;=0),0,MAX(0,1-ABS(LOG10(Database!$S103/Screener!$D$14))/0.6))</f>
        <v/>
      </c>
      <c r="K103" s="270">
        <f>IF(Database!$B103=Screener!$B$5,-999999,IF(ISNUMBER(SEARCH(","&amp;Database!$A103&amp;",",","&amp;SUBSTITUTE(Screener!$D$17," ","")&amp;",")),2000000,IF(IF(OR(Screener!$B$18="All",AND(Screener!$B$18="With A-share",(Database!$BM103="Y")),AND(Screener!$B$18="Without A-share",NOT((Database!$BM103="Y")))),1,0)=0,-999999,IF(Screener!$B$16="cornerstone overlap first",H103*100000,IF(Screener!$B$16="demand-similar first",J103*100000,0))+W_SUB*B103+W_SEC*C103*(1-B103)+W_SIZE*D103+W_PROF*E103+W_AH*F103+W_REC*G103+W_CS*H103+W_PE*I103)))+ROW()/1000000</f>
        <v/>
      </c>
      <c r="AA103" s="270">
        <f>Database!B92</f>
        <v/>
      </c>
      <c r="AB103" s="270">
        <f>Database!D92</f>
        <v/>
      </c>
      <c r="AC103" s="270">
        <f>Database!E92</f>
        <v/>
      </c>
      <c r="AD103" s="270">
        <f>Database!I92</f>
        <v/>
      </c>
      <c r="AE103" s="270">
        <f>Database!BG92</f>
        <v/>
      </c>
      <c r="AF103" s="270">
        <f>Database!BM92</f>
        <v/>
      </c>
      <c r="AG103" s="270">
        <f>Database!H92</f>
        <v/>
      </c>
      <c r="AH103" s="270">
        <f>Database!BH92</f>
        <v/>
      </c>
    </row>
    <row r="104">
      <c r="A104" s="270">
        <f>Database!B104</f>
        <v/>
      </c>
      <c r="B104" s="270">
        <f>IF(AND(Screener!$D$8&lt;&gt;"",Database!$E104=Screener!$D$8),1,0)</f>
        <v/>
      </c>
      <c r="C104" s="270">
        <f>IF(AND(Screener!$D$7&lt;&gt;"",Database!$D104=Screener!$D$7),1,0)</f>
        <v/>
      </c>
      <c r="D104" s="270">
        <f>IF(OR(N(Database!$I104)&lt;=0,N(Screener!$D$9)&lt;=0),0,MAX(0,1-ABS(LOG10(N(Database!$I104)/Screener!$D$9))/W_SIZEHW))</f>
        <v/>
      </c>
      <c r="E104" s="270">
        <f>IF(OR(Database!$BG104="",Screener!$D$10=""),0,IF(Database!$BG104=Screener!$D$10,1,0))</f>
        <v/>
      </c>
      <c r="F104" s="270">
        <f>IF(OR(Database!$BM104="",Screener!$D$11=""),0,IF(Database!$BM104=Screener!$D$11,1,0))</f>
        <v/>
      </c>
      <c r="G104" s="270">
        <f>IF(OR(Database!$H104="",N(Screener!$D$12)&lt;=0),0,MAX(0,1-(N(Screener!$D$12)-Database!$H104)/W_RECD))</f>
        <v/>
      </c>
      <c r="H104" s="270">
        <f>IF($U$1="",0,N(ISNUMBER(SEARCH($U$1,Database!$AC104&amp;""))))+IF($V$1="",0,N(ISNUMBER(SEARCH($V$1,Database!$AC104&amp;""))))+IF($W$1="",0,N(ISNUMBER(SEARCH($W$1,Database!$AC104&amp;""))))+IF($X$1="",0,N(ISNUMBER(SEARCH($X$1,Database!$AC104&amp;""))))+IF($Y$1="",0,N(ISNUMBER(SEARCH($Y$1,Database!$AC104&amp;""))))+IF(Screener!$B$17="",0,N(ISNUMBER(SEARCH(LOWER(Screener!$B$17),Database!$AC104&amp;""))))</f>
        <v/>
      </c>
      <c r="I104" s="270">
        <f>IF(OR(N(Database!$BH104)&lt;=0,N(Screener!$D$13)&lt;=0),0,MAX(0,1-ABS(LOG10(N(Database!$BH104)/Screener!$D$13))/W_PEHW))</f>
        <v/>
      </c>
      <c r="J104" s="270">
        <f>IF(OR(N(Database!$S104)&lt;=0,N(Screener!$D$14)&lt;=0),0,MAX(0,1-ABS(LOG10(Database!$S104/Screener!$D$14))/0.6))</f>
        <v/>
      </c>
      <c r="K104" s="270">
        <f>IF(Database!$B104=Screener!$B$5,-999999,IF(ISNUMBER(SEARCH(","&amp;Database!$A104&amp;",",","&amp;SUBSTITUTE(Screener!$D$17," ","")&amp;",")),2000000,IF(IF(OR(Screener!$B$18="All",AND(Screener!$B$18="With A-share",(Database!$BM104="Y")),AND(Screener!$B$18="Without A-share",NOT((Database!$BM104="Y")))),1,0)=0,-999999,IF(Screener!$B$16="cornerstone overlap first",H104*100000,IF(Screener!$B$16="demand-similar first",J104*100000,0))+W_SUB*B104+W_SEC*C104*(1-B104)+W_SIZE*D104+W_PROF*E104+W_AH*F104+W_REC*G104+W_CS*H104+W_PE*I104)))+ROW()/1000000</f>
        <v/>
      </c>
      <c r="AA104" s="270">
        <f>Database!B93</f>
        <v/>
      </c>
      <c r="AB104" s="270">
        <f>Database!D93</f>
        <v/>
      </c>
      <c r="AC104" s="270">
        <f>Database!E93</f>
        <v/>
      </c>
      <c r="AD104" s="270">
        <f>Database!I93</f>
        <v/>
      </c>
      <c r="AE104" s="270">
        <f>Database!BG93</f>
        <v/>
      </c>
      <c r="AF104" s="270">
        <f>Database!BM93</f>
        <v/>
      </c>
      <c r="AG104" s="270">
        <f>Database!H93</f>
        <v/>
      </c>
      <c r="AH104" s="270">
        <f>Database!BH93</f>
        <v/>
      </c>
    </row>
    <row r="105">
      <c r="A105" s="270">
        <f>Database!B105</f>
        <v/>
      </c>
      <c r="B105" s="270">
        <f>IF(AND(Screener!$D$8&lt;&gt;"",Database!$E105=Screener!$D$8),1,0)</f>
        <v/>
      </c>
      <c r="C105" s="270">
        <f>IF(AND(Screener!$D$7&lt;&gt;"",Database!$D105=Screener!$D$7),1,0)</f>
        <v/>
      </c>
      <c r="D105" s="270">
        <f>IF(OR(N(Database!$I105)&lt;=0,N(Screener!$D$9)&lt;=0),0,MAX(0,1-ABS(LOG10(N(Database!$I105)/Screener!$D$9))/W_SIZEHW))</f>
        <v/>
      </c>
      <c r="E105" s="270">
        <f>IF(OR(Database!$BG105="",Screener!$D$10=""),0,IF(Database!$BG105=Screener!$D$10,1,0))</f>
        <v/>
      </c>
      <c r="F105" s="270">
        <f>IF(OR(Database!$BM105="",Screener!$D$11=""),0,IF(Database!$BM105=Screener!$D$11,1,0))</f>
        <v/>
      </c>
      <c r="G105" s="270">
        <f>IF(OR(Database!$H105="",N(Screener!$D$12)&lt;=0),0,MAX(0,1-(N(Screener!$D$12)-Database!$H105)/W_RECD))</f>
        <v/>
      </c>
      <c r="H105" s="270">
        <f>IF($U$1="",0,N(ISNUMBER(SEARCH($U$1,Database!$AC105&amp;""))))+IF($V$1="",0,N(ISNUMBER(SEARCH($V$1,Database!$AC105&amp;""))))+IF($W$1="",0,N(ISNUMBER(SEARCH($W$1,Database!$AC105&amp;""))))+IF($X$1="",0,N(ISNUMBER(SEARCH($X$1,Database!$AC105&amp;""))))+IF($Y$1="",0,N(ISNUMBER(SEARCH($Y$1,Database!$AC105&amp;""))))+IF(Screener!$B$17="",0,N(ISNUMBER(SEARCH(LOWER(Screener!$B$17),Database!$AC105&amp;""))))</f>
        <v/>
      </c>
      <c r="I105" s="270">
        <f>IF(OR(N(Database!$BH105)&lt;=0,N(Screener!$D$13)&lt;=0),0,MAX(0,1-ABS(LOG10(N(Database!$BH105)/Screener!$D$13))/W_PEHW))</f>
        <v/>
      </c>
      <c r="J105" s="270">
        <f>IF(OR(N(Database!$S105)&lt;=0,N(Screener!$D$14)&lt;=0),0,MAX(0,1-ABS(LOG10(Database!$S105/Screener!$D$14))/0.6))</f>
        <v/>
      </c>
      <c r="K105" s="270">
        <f>IF(Database!$B105=Screener!$B$5,-999999,IF(ISNUMBER(SEARCH(","&amp;Database!$A105&amp;",",","&amp;SUBSTITUTE(Screener!$D$17," ","")&amp;",")),2000000,IF(IF(OR(Screener!$B$18="All",AND(Screener!$B$18="With A-share",(Database!$BM105="Y")),AND(Screener!$B$18="Without A-share",NOT((Database!$BM105="Y")))),1,0)=0,-999999,IF(Screener!$B$16="cornerstone overlap first",H105*100000,IF(Screener!$B$16="demand-similar first",J105*100000,0))+W_SUB*B105+W_SEC*C105*(1-B105)+W_SIZE*D105+W_PROF*E105+W_AH*F105+W_REC*G105+W_CS*H105+W_PE*I105)))+ROW()/1000000</f>
        <v/>
      </c>
      <c r="AA105" s="270">
        <f>Database!B94</f>
        <v/>
      </c>
      <c r="AB105" s="270">
        <f>Database!D94</f>
        <v/>
      </c>
      <c r="AC105" s="270">
        <f>Database!E94</f>
        <v/>
      </c>
      <c r="AD105" s="270">
        <f>Database!I94</f>
        <v/>
      </c>
      <c r="AE105" s="270">
        <f>Database!BG94</f>
        <v/>
      </c>
      <c r="AF105" s="270">
        <f>Database!BM94</f>
        <v/>
      </c>
      <c r="AG105" s="270">
        <f>Database!H94</f>
        <v/>
      </c>
      <c r="AH105" s="270">
        <f>Database!BH94</f>
        <v/>
      </c>
    </row>
    <row r="106">
      <c r="A106" s="270">
        <f>Database!B106</f>
        <v/>
      </c>
      <c r="B106" s="270">
        <f>IF(AND(Screener!$D$8&lt;&gt;"",Database!$E106=Screener!$D$8),1,0)</f>
        <v/>
      </c>
      <c r="C106" s="270">
        <f>IF(AND(Screener!$D$7&lt;&gt;"",Database!$D106=Screener!$D$7),1,0)</f>
        <v/>
      </c>
      <c r="D106" s="270">
        <f>IF(OR(N(Database!$I106)&lt;=0,N(Screener!$D$9)&lt;=0),0,MAX(0,1-ABS(LOG10(N(Database!$I106)/Screener!$D$9))/W_SIZEHW))</f>
        <v/>
      </c>
      <c r="E106" s="270">
        <f>IF(OR(Database!$BG106="",Screener!$D$10=""),0,IF(Database!$BG106=Screener!$D$10,1,0))</f>
        <v/>
      </c>
      <c r="F106" s="270">
        <f>IF(OR(Database!$BM106="",Screener!$D$11=""),0,IF(Database!$BM106=Screener!$D$11,1,0))</f>
        <v/>
      </c>
      <c r="G106" s="270">
        <f>IF(OR(Database!$H106="",N(Screener!$D$12)&lt;=0),0,MAX(0,1-(N(Screener!$D$12)-Database!$H106)/W_RECD))</f>
        <v/>
      </c>
      <c r="H106" s="270">
        <f>IF($U$1="",0,N(ISNUMBER(SEARCH($U$1,Database!$AC106&amp;""))))+IF($V$1="",0,N(ISNUMBER(SEARCH($V$1,Database!$AC106&amp;""))))+IF($W$1="",0,N(ISNUMBER(SEARCH($W$1,Database!$AC106&amp;""))))+IF($X$1="",0,N(ISNUMBER(SEARCH($X$1,Database!$AC106&amp;""))))+IF($Y$1="",0,N(ISNUMBER(SEARCH($Y$1,Database!$AC106&amp;""))))+IF(Screener!$B$17="",0,N(ISNUMBER(SEARCH(LOWER(Screener!$B$17),Database!$AC106&amp;""))))</f>
        <v/>
      </c>
      <c r="I106" s="270">
        <f>IF(OR(N(Database!$BH106)&lt;=0,N(Screener!$D$13)&lt;=0),0,MAX(0,1-ABS(LOG10(N(Database!$BH106)/Screener!$D$13))/W_PEHW))</f>
        <v/>
      </c>
      <c r="J106" s="270">
        <f>IF(OR(N(Database!$S106)&lt;=0,N(Screener!$D$14)&lt;=0),0,MAX(0,1-ABS(LOG10(Database!$S106/Screener!$D$14))/0.6))</f>
        <v/>
      </c>
      <c r="K106" s="270">
        <f>IF(Database!$B106=Screener!$B$5,-999999,IF(ISNUMBER(SEARCH(","&amp;Database!$A106&amp;",",","&amp;SUBSTITUTE(Screener!$D$17," ","")&amp;",")),2000000,IF(IF(OR(Screener!$B$18="All",AND(Screener!$B$18="With A-share",(Database!$BM106="Y")),AND(Screener!$B$18="Without A-share",NOT((Database!$BM106="Y")))),1,0)=0,-999999,IF(Screener!$B$16="cornerstone overlap first",H106*100000,IF(Screener!$B$16="demand-similar first",J106*100000,0))+W_SUB*B106+W_SEC*C106*(1-B106)+W_SIZE*D106+W_PROF*E106+W_AH*F106+W_REC*G106+W_CS*H106+W_PE*I106)))+ROW()/1000000</f>
        <v/>
      </c>
      <c r="AA106" s="270">
        <f>Database!B95</f>
        <v/>
      </c>
      <c r="AB106" s="270">
        <f>Database!D95</f>
        <v/>
      </c>
      <c r="AC106" s="270">
        <f>Database!E95</f>
        <v/>
      </c>
      <c r="AD106" s="270">
        <f>Database!I95</f>
        <v/>
      </c>
      <c r="AE106" s="270">
        <f>Database!BG95</f>
        <v/>
      </c>
      <c r="AF106" s="270">
        <f>Database!BM95</f>
        <v/>
      </c>
      <c r="AG106" s="270">
        <f>Database!H95</f>
        <v/>
      </c>
      <c r="AH106" s="270">
        <f>Database!BH95</f>
        <v/>
      </c>
    </row>
    <row r="107">
      <c r="A107" s="270">
        <f>Database!B107</f>
        <v/>
      </c>
      <c r="B107" s="270">
        <f>IF(AND(Screener!$D$8&lt;&gt;"",Database!$E107=Screener!$D$8),1,0)</f>
        <v/>
      </c>
      <c r="C107" s="270">
        <f>IF(AND(Screener!$D$7&lt;&gt;"",Database!$D107=Screener!$D$7),1,0)</f>
        <v/>
      </c>
      <c r="D107" s="270">
        <f>IF(OR(N(Database!$I107)&lt;=0,N(Screener!$D$9)&lt;=0),0,MAX(0,1-ABS(LOG10(N(Database!$I107)/Screener!$D$9))/W_SIZEHW))</f>
        <v/>
      </c>
      <c r="E107" s="270">
        <f>IF(OR(Database!$BG107="",Screener!$D$10=""),0,IF(Database!$BG107=Screener!$D$10,1,0))</f>
        <v/>
      </c>
      <c r="F107" s="270">
        <f>IF(OR(Database!$BM107="",Screener!$D$11=""),0,IF(Database!$BM107=Screener!$D$11,1,0))</f>
        <v/>
      </c>
      <c r="G107" s="270">
        <f>IF(OR(Database!$H107="",N(Screener!$D$12)&lt;=0),0,MAX(0,1-(N(Screener!$D$12)-Database!$H107)/W_RECD))</f>
        <v/>
      </c>
      <c r="H107" s="270">
        <f>IF($U$1="",0,N(ISNUMBER(SEARCH($U$1,Database!$AC107&amp;""))))+IF($V$1="",0,N(ISNUMBER(SEARCH($V$1,Database!$AC107&amp;""))))+IF($W$1="",0,N(ISNUMBER(SEARCH($W$1,Database!$AC107&amp;""))))+IF($X$1="",0,N(ISNUMBER(SEARCH($X$1,Database!$AC107&amp;""))))+IF($Y$1="",0,N(ISNUMBER(SEARCH($Y$1,Database!$AC107&amp;""))))+IF(Screener!$B$17="",0,N(ISNUMBER(SEARCH(LOWER(Screener!$B$17),Database!$AC107&amp;""))))</f>
        <v/>
      </c>
      <c r="I107" s="270">
        <f>IF(OR(N(Database!$BH107)&lt;=0,N(Screener!$D$13)&lt;=0),0,MAX(0,1-ABS(LOG10(N(Database!$BH107)/Screener!$D$13))/W_PEHW))</f>
        <v/>
      </c>
      <c r="J107" s="270">
        <f>IF(OR(N(Database!$S107)&lt;=0,N(Screener!$D$14)&lt;=0),0,MAX(0,1-ABS(LOG10(Database!$S107/Screener!$D$14))/0.6))</f>
        <v/>
      </c>
      <c r="K107" s="270">
        <f>IF(Database!$B107=Screener!$B$5,-999999,IF(ISNUMBER(SEARCH(","&amp;Database!$A107&amp;",",","&amp;SUBSTITUTE(Screener!$D$17," ","")&amp;",")),2000000,IF(IF(OR(Screener!$B$18="All",AND(Screener!$B$18="With A-share",(Database!$BM107="Y")),AND(Screener!$B$18="Without A-share",NOT((Database!$BM107="Y")))),1,0)=0,-999999,IF(Screener!$B$16="cornerstone overlap first",H107*100000,IF(Screener!$B$16="demand-similar first",J107*100000,0))+W_SUB*B107+W_SEC*C107*(1-B107)+W_SIZE*D107+W_PROF*E107+W_AH*F107+W_REC*G107+W_CS*H107+W_PE*I107)))+ROW()/1000000</f>
        <v/>
      </c>
      <c r="AA107" s="270">
        <f>Database!B96</f>
        <v/>
      </c>
      <c r="AB107" s="270">
        <f>Database!D96</f>
        <v/>
      </c>
      <c r="AC107" s="270">
        <f>Database!E96</f>
        <v/>
      </c>
      <c r="AD107" s="270">
        <f>Database!I96</f>
        <v/>
      </c>
      <c r="AE107" s="270">
        <f>Database!BG96</f>
        <v/>
      </c>
      <c r="AF107" s="270">
        <f>Database!BM96</f>
        <v/>
      </c>
      <c r="AG107" s="270">
        <f>Database!H96</f>
        <v/>
      </c>
      <c r="AH107" s="270">
        <f>Database!BH96</f>
        <v/>
      </c>
    </row>
    <row r="108">
      <c r="A108" s="270">
        <f>Database!B108</f>
        <v/>
      </c>
      <c r="B108" s="270">
        <f>IF(AND(Screener!$D$8&lt;&gt;"",Database!$E108=Screener!$D$8),1,0)</f>
        <v/>
      </c>
      <c r="C108" s="270">
        <f>IF(AND(Screener!$D$7&lt;&gt;"",Database!$D108=Screener!$D$7),1,0)</f>
        <v/>
      </c>
      <c r="D108" s="270">
        <f>IF(OR(N(Database!$I108)&lt;=0,N(Screener!$D$9)&lt;=0),0,MAX(0,1-ABS(LOG10(N(Database!$I108)/Screener!$D$9))/W_SIZEHW))</f>
        <v/>
      </c>
      <c r="E108" s="270">
        <f>IF(OR(Database!$BG108="",Screener!$D$10=""),0,IF(Database!$BG108=Screener!$D$10,1,0))</f>
        <v/>
      </c>
      <c r="F108" s="270">
        <f>IF(OR(Database!$BM108="",Screener!$D$11=""),0,IF(Database!$BM108=Screener!$D$11,1,0))</f>
        <v/>
      </c>
      <c r="G108" s="270">
        <f>IF(OR(Database!$H108="",N(Screener!$D$12)&lt;=0),0,MAX(0,1-(N(Screener!$D$12)-Database!$H108)/W_RECD))</f>
        <v/>
      </c>
      <c r="H108" s="270">
        <f>IF($U$1="",0,N(ISNUMBER(SEARCH($U$1,Database!$AC108&amp;""))))+IF($V$1="",0,N(ISNUMBER(SEARCH($V$1,Database!$AC108&amp;""))))+IF($W$1="",0,N(ISNUMBER(SEARCH($W$1,Database!$AC108&amp;""))))+IF($X$1="",0,N(ISNUMBER(SEARCH($X$1,Database!$AC108&amp;""))))+IF($Y$1="",0,N(ISNUMBER(SEARCH($Y$1,Database!$AC108&amp;""))))+IF(Screener!$B$17="",0,N(ISNUMBER(SEARCH(LOWER(Screener!$B$17),Database!$AC108&amp;""))))</f>
        <v/>
      </c>
      <c r="I108" s="270">
        <f>IF(OR(N(Database!$BH108)&lt;=0,N(Screener!$D$13)&lt;=0),0,MAX(0,1-ABS(LOG10(N(Database!$BH108)/Screener!$D$13))/W_PEHW))</f>
        <v/>
      </c>
      <c r="J108" s="270">
        <f>IF(OR(N(Database!$S108)&lt;=0,N(Screener!$D$14)&lt;=0),0,MAX(0,1-ABS(LOG10(Database!$S108/Screener!$D$14))/0.6))</f>
        <v/>
      </c>
      <c r="K108" s="270">
        <f>IF(Database!$B108=Screener!$B$5,-999999,IF(ISNUMBER(SEARCH(","&amp;Database!$A108&amp;",",","&amp;SUBSTITUTE(Screener!$D$17," ","")&amp;",")),2000000,IF(IF(OR(Screener!$B$18="All",AND(Screener!$B$18="With A-share",(Database!$BM108="Y")),AND(Screener!$B$18="Without A-share",NOT((Database!$BM108="Y")))),1,0)=0,-999999,IF(Screener!$B$16="cornerstone overlap first",H108*100000,IF(Screener!$B$16="demand-similar first",J108*100000,0))+W_SUB*B108+W_SEC*C108*(1-B108)+W_SIZE*D108+W_PROF*E108+W_AH*F108+W_REC*G108+W_CS*H108+W_PE*I108)))+ROW()/1000000</f>
        <v/>
      </c>
      <c r="AA108" s="270">
        <f>Database!B97</f>
        <v/>
      </c>
      <c r="AB108" s="270">
        <f>Database!D97</f>
        <v/>
      </c>
      <c r="AC108" s="270">
        <f>Database!E97</f>
        <v/>
      </c>
      <c r="AD108" s="270">
        <f>Database!I97</f>
        <v/>
      </c>
      <c r="AE108" s="270">
        <f>Database!BG97</f>
        <v/>
      </c>
      <c r="AF108" s="270">
        <f>Database!BM97</f>
        <v/>
      </c>
      <c r="AG108" s="270">
        <f>Database!H97</f>
        <v/>
      </c>
      <c r="AH108" s="270">
        <f>Database!BH97</f>
        <v/>
      </c>
    </row>
    <row r="109">
      <c r="A109" s="270">
        <f>Database!B109</f>
        <v/>
      </c>
      <c r="B109" s="270">
        <f>IF(AND(Screener!$D$8&lt;&gt;"",Database!$E109=Screener!$D$8),1,0)</f>
        <v/>
      </c>
      <c r="C109" s="270">
        <f>IF(AND(Screener!$D$7&lt;&gt;"",Database!$D109=Screener!$D$7),1,0)</f>
        <v/>
      </c>
      <c r="D109" s="270">
        <f>IF(OR(N(Database!$I109)&lt;=0,N(Screener!$D$9)&lt;=0),0,MAX(0,1-ABS(LOG10(N(Database!$I109)/Screener!$D$9))/W_SIZEHW))</f>
        <v/>
      </c>
      <c r="E109" s="270">
        <f>IF(OR(Database!$BG109="",Screener!$D$10=""),0,IF(Database!$BG109=Screener!$D$10,1,0))</f>
        <v/>
      </c>
      <c r="F109" s="270">
        <f>IF(OR(Database!$BM109="",Screener!$D$11=""),0,IF(Database!$BM109=Screener!$D$11,1,0))</f>
        <v/>
      </c>
      <c r="G109" s="270">
        <f>IF(OR(Database!$H109="",N(Screener!$D$12)&lt;=0),0,MAX(0,1-(N(Screener!$D$12)-Database!$H109)/W_RECD))</f>
        <v/>
      </c>
      <c r="H109" s="270">
        <f>IF($U$1="",0,N(ISNUMBER(SEARCH($U$1,Database!$AC109&amp;""))))+IF($V$1="",0,N(ISNUMBER(SEARCH($V$1,Database!$AC109&amp;""))))+IF($W$1="",0,N(ISNUMBER(SEARCH($W$1,Database!$AC109&amp;""))))+IF($X$1="",0,N(ISNUMBER(SEARCH($X$1,Database!$AC109&amp;""))))+IF($Y$1="",0,N(ISNUMBER(SEARCH($Y$1,Database!$AC109&amp;""))))+IF(Screener!$B$17="",0,N(ISNUMBER(SEARCH(LOWER(Screener!$B$17),Database!$AC109&amp;""))))</f>
        <v/>
      </c>
      <c r="I109" s="270">
        <f>IF(OR(N(Database!$BH109)&lt;=0,N(Screener!$D$13)&lt;=0),0,MAX(0,1-ABS(LOG10(N(Database!$BH109)/Screener!$D$13))/W_PEHW))</f>
        <v/>
      </c>
      <c r="J109" s="270">
        <f>IF(OR(N(Database!$S109)&lt;=0,N(Screener!$D$14)&lt;=0),0,MAX(0,1-ABS(LOG10(Database!$S109/Screener!$D$14))/0.6))</f>
        <v/>
      </c>
      <c r="K109" s="270">
        <f>IF(Database!$B109=Screener!$B$5,-999999,IF(ISNUMBER(SEARCH(","&amp;Database!$A109&amp;",",","&amp;SUBSTITUTE(Screener!$D$17," ","")&amp;",")),2000000,IF(IF(OR(Screener!$B$18="All",AND(Screener!$B$18="With A-share",(Database!$BM109="Y")),AND(Screener!$B$18="Without A-share",NOT((Database!$BM109="Y")))),1,0)=0,-999999,IF(Screener!$B$16="cornerstone overlap first",H109*100000,IF(Screener!$B$16="demand-similar first",J109*100000,0))+W_SUB*B109+W_SEC*C109*(1-B109)+W_SIZE*D109+W_PROF*E109+W_AH*F109+W_REC*G109+W_CS*H109+W_PE*I109)))+ROW()/1000000</f>
        <v/>
      </c>
      <c r="AA109" s="270">
        <f>Database!B98</f>
        <v/>
      </c>
      <c r="AB109" s="270">
        <f>Database!D98</f>
        <v/>
      </c>
      <c r="AC109" s="270">
        <f>Database!E98</f>
        <v/>
      </c>
      <c r="AD109" s="270">
        <f>Database!I98</f>
        <v/>
      </c>
      <c r="AE109" s="270">
        <f>Database!BG98</f>
        <v/>
      </c>
      <c r="AF109" s="270">
        <f>Database!BM98</f>
        <v/>
      </c>
      <c r="AG109" s="270">
        <f>Database!H98</f>
        <v/>
      </c>
      <c r="AH109" s="270">
        <f>Database!BH98</f>
        <v/>
      </c>
    </row>
    <row r="110">
      <c r="A110" s="270">
        <f>Database!B110</f>
        <v/>
      </c>
      <c r="B110" s="270">
        <f>IF(AND(Screener!$D$8&lt;&gt;"",Database!$E110=Screener!$D$8),1,0)</f>
        <v/>
      </c>
      <c r="C110" s="270">
        <f>IF(AND(Screener!$D$7&lt;&gt;"",Database!$D110=Screener!$D$7),1,0)</f>
        <v/>
      </c>
      <c r="D110" s="270">
        <f>IF(OR(N(Database!$I110)&lt;=0,N(Screener!$D$9)&lt;=0),0,MAX(0,1-ABS(LOG10(N(Database!$I110)/Screener!$D$9))/W_SIZEHW))</f>
        <v/>
      </c>
      <c r="E110" s="270">
        <f>IF(OR(Database!$BG110="",Screener!$D$10=""),0,IF(Database!$BG110=Screener!$D$10,1,0))</f>
        <v/>
      </c>
      <c r="F110" s="270">
        <f>IF(OR(Database!$BM110="",Screener!$D$11=""),0,IF(Database!$BM110=Screener!$D$11,1,0))</f>
        <v/>
      </c>
      <c r="G110" s="270">
        <f>IF(OR(Database!$H110="",N(Screener!$D$12)&lt;=0),0,MAX(0,1-(N(Screener!$D$12)-Database!$H110)/W_RECD))</f>
        <v/>
      </c>
      <c r="H110" s="270">
        <f>IF($U$1="",0,N(ISNUMBER(SEARCH($U$1,Database!$AC110&amp;""))))+IF($V$1="",0,N(ISNUMBER(SEARCH($V$1,Database!$AC110&amp;""))))+IF($W$1="",0,N(ISNUMBER(SEARCH($W$1,Database!$AC110&amp;""))))+IF($X$1="",0,N(ISNUMBER(SEARCH($X$1,Database!$AC110&amp;""))))+IF($Y$1="",0,N(ISNUMBER(SEARCH($Y$1,Database!$AC110&amp;""))))+IF(Screener!$B$17="",0,N(ISNUMBER(SEARCH(LOWER(Screener!$B$17),Database!$AC110&amp;""))))</f>
        <v/>
      </c>
      <c r="I110" s="270">
        <f>IF(OR(N(Database!$BH110)&lt;=0,N(Screener!$D$13)&lt;=0),0,MAX(0,1-ABS(LOG10(N(Database!$BH110)/Screener!$D$13))/W_PEHW))</f>
        <v/>
      </c>
      <c r="J110" s="270">
        <f>IF(OR(N(Database!$S110)&lt;=0,N(Screener!$D$14)&lt;=0),0,MAX(0,1-ABS(LOG10(Database!$S110/Screener!$D$14))/0.6))</f>
        <v/>
      </c>
      <c r="K110" s="270">
        <f>IF(Database!$B110=Screener!$B$5,-999999,IF(ISNUMBER(SEARCH(","&amp;Database!$A110&amp;",",","&amp;SUBSTITUTE(Screener!$D$17," ","")&amp;",")),2000000,IF(IF(OR(Screener!$B$18="All",AND(Screener!$B$18="With A-share",(Database!$BM110="Y")),AND(Screener!$B$18="Without A-share",NOT((Database!$BM110="Y")))),1,0)=0,-999999,IF(Screener!$B$16="cornerstone overlap first",H110*100000,IF(Screener!$B$16="demand-similar first",J110*100000,0))+W_SUB*B110+W_SEC*C110*(1-B110)+W_SIZE*D110+W_PROF*E110+W_AH*F110+W_REC*G110+W_CS*H110+W_PE*I110)))+ROW()/1000000</f>
        <v/>
      </c>
      <c r="AA110" s="270">
        <f>Database!B99</f>
        <v/>
      </c>
      <c r="AB110" s="270">
        <f>Database!D99</f>
        <v/>
      </c>
      <c r="AC110" s="270">
        <f>Database!E99</f>
        <v/>
      </c>
      <c r="AD110" s="270">
        <f>Database!I99</f>
        <v/>
      </c>
      <c r="AE110" s="270">
        <f>Database!BG99</f>
        <v/>
      </c>
      <c r="AF110" s="270">
        <f>Database!BM99</f>
        <v/>
      </c>
      <c r="AG110" s="270">
        <f>Database!H99</f>
        <v/>
      </c>
      <c r="AH110" s="270">
        <f>Database!BH99</f>
        <v/>
      </c>
    </row>
    <row r="111">
      <c r="A111" s="270">
        <f>Database!B111</f>
        <v/>
      </c>
      <c r="B111" s="270">
        <f>IF(AND(Screener!$D$8&lt;&gt;"",Database!$E111=Screener!$D$8),1,0)</f>
        <v/>
      </c>
      <c r="C111" s="270">
        <f>IF(AND(Screener!$D$7&lt;&gt;"",Database!$D111=Screener!$D$7),1,0)</f>
        <v/>
      </c>
      <c r="D111" s="270">
        <f>IF(OR(N(Database!$I111)&lt;=0,N(Screener!$D$9)&lt;=0),0,MAX(0,1-ABS(LOG10(N(Database!$I111)/Screener!$D$9))/W_SIZEHW))</f>
        <v/>
      </c>
      <c r="E111" s="270">
        <f>IF(OR(Database!$BG111="",Screener!$D$10=""),0,IF(Database!$BG111=Screener!$D$10,1,0))</f>
        <v/>
      </c>
      <c r="F111" s="270">
        <f>IF(OR(Database!$BM111="",Screener!$D$11=""),0,IF(Database!$BM111=Screener!$D$11,1,0))</f>
        <v/>
      </c>
      <c r="G111" s="270">
        <f>IF(OR(Database!$H111="",N(Screener!$D$12)&lt;=0),0,MAX(0,1-(N(Screener!$D$12)-Database!$H111)/W_RECD))</f>
        <v/>
      </c>
      <c r="H111" s="270">
        <f>IF($U$1="",0,N(ISNUMBER(SEARCH($U$1,Database!$AC111&amp;""))))+IF($V$1="",0,N(ISNUMBER(SEARCH($V$1,Database!$AC111&amp;""))))+IF($W$1="",0,N(ISNUMBER(SEARCH($W$1,Database!$AC111&amp;""))))+IF($X$1="",0,N(ISNUMBER(SEARCH($X$1,Database!$AC111&amp;""))))+IF($Y$1="",0,N(ISNUMBER(SEARCH($Y$1,Database!$AC111&amp;""))))+IF(Screener!$B$17="",0,N(ISNUMBER(SEARCH(LOWER(Screener!$B$17),Database!$AC111&amp;""))))</f>
        <v/>
      </c>
      <c r="I111" s="270">
        <f>IF(OR(N(Database!$BH111)&lt;=0,N(Screener!$D$13)&lt;=0),0,MAX(0,1-ABS(LOG10(N(Database!$BH111)/Screener!$D$13))/W_PEHW))</f>
        <v/>
      </c>
      <c r="J111" s="270">
        <f>IF(OR(N(Database!$S111)&lt;=0,N(Screener!$D$14)&lt;=0),0,MAX(0,1-ABS(LOG10(Database!$S111/Screener!$D$14))/0.6))</f>
        <v/>
      </c>
      <c r="K111" s="270">
        <f>IF(Database!$B111=Screener!$B$5,-999999,IF(ISNUMBER(SEARCH(","&amp;Database!$A111&amp;",",","&amp;SUBSTITUTE(Screener!$D$17," ","")&amp;",")),2000000,IF(IF(OR(Screener!$B$18="All",AND(Screener!$B$18="With A-share",(Database!$BM111="Y")),AND(Screener!$B$18="Without A-share",NOT((Database!$BM111="Y")))),1,0)=0,-999999,IF(Screener!$B$16="cornerstone overlap first",H111*100000,IF(Screener!$B$16="demand-similar first",J111*100000,0))+W_SUB*B111+W_SEC*C111*(1-B111)+W_SIZE*D111+W_PROF*E111+W_AH*F111+W_REC*G111+W_CS*H111+W_PE*I111)))+ROW()/1000000</f>
        <v/>
      </c>
      <c r="AA111" s="270">
        <f>Database!B100</f>
        <v/>
      </c>
      <c r="AB111" s="270">
        <f>Database!D100</f>
        <v/>
      </c>
      <c r="AC111" s="270">
        <f>Database!E100</f>
        <v/>
      </c>
      <c r="AD111" s="270">
        <f>Database!I100</f>
        <v/>
      </c>
      <c r="AE111" s="270">
        <f>Database!BG100</f>
        <v/>
      </c>
      <c r="AF111" s="270">
        <f>Database!BM100</f>
        <v/>
      </c>
      <c r="AG111" s="270">
        <f>Database!H100</f>
        <v/>
      </c>
      <c r="AH111" s="270">
        <f>Database!BH100</f>
        <v/>
      </c>
    </row>
    <row r="112">
      <c r="A112" s="270">
        <f>Database!B112</f>
        <v/>
      </c>
      <c r="B112" s="270">
        <f>IF(AND(Screener!$D$8&lt;&gt;"",Database!$E112=Screener!$D$8),1,0)</f>
        <v/>
      </c>
      <c r="C112" s="270">
        <f>IF(AND(Screener!$D$7&lt;&gt;"",Database!$D112=Screener!$D$7),1,0)</f>
        <v/>
      </c>
      <c r="D112" s="270">
        <f>IF(OR(N(Database!$I112)&lt;=0,N(Screener!$D$9)&lt;=0),0,MAX(0,1-ABS(LOG10(N(Database!$I112)/Screener!$D$9))/W_SIZEHW))</f>
        <v/>
      </c>
      <c r="E112" s="270">
        <f>IF(OR(Database!$BG112="",Screener!$D$10=""),0,IF(Database!$BG112=Screener!$D$10,1,0))</f>
        <v/>
      </c>
      <c r="F112" s="270">
        <f>IF(OR(Database!$BM112="",Screener!$D$11=""),0,IF(Database!$BM112=Screener!$D$11,1,0))</f>
        <v/>
      </c>
      <c r="G112" s="270">
        <f>IF(OR(Database!$H112="",N(Screener!$D$12)&lt;=0),0,MAX(0,1-(N(Screener!$D$12)-Database!$H112)/W_RECD))</f>
        <v/>
      </c>
      <c r="H112" s="270">
        <f>IF($U$1="",0,N(ISNUMBER(SEARCH($U$1,Database!$AC112&amp;""))))+IF($V$1="",0,N(ISNUMBER(SEARCH($V$1,Database!$AC112&amp;""))))+IF($W$1="",0,N(ISNUMBER(SEARCH($W$1,Database!$AC112&amp;""))))+IF($X$1="",0,N(ISNUMBER(SEARCH($X$1,Database!$AC112&amp;""))))+IF($Y$1="",0,N(ISNUMBER(SEARCH($Y$1,Database!$AC112&amp;""))))+IF(Screener!$B$17="",0,N(ISNUMBER(SEARCH(LOWER(Screener!$B$17),Database!$AC112&amp;""))))</f>
        <v/>
      </c>
      <c r="I112" s="270">
        <f>IF(OR(N(Database!$BH112)&lt;=0,N(Screener!$D$13)&lt;=0),0,MAX(0,1-ABS(LOG10(N(Database!$BH112)/Screener!$D$13))/W_PEHW))</f>
        <v/>
      </c>
      <c r="J112" s="270">
        <f>IF(OR(N(Database!$S112)&lt;=0,N(Screener!$D$14)&lt;=0),0,MAX(0,1-ABS(LOG10(Database!$S112/Screener!$D$14))/0.6))</f>
        <v/>
      </c>
      <c r="K112" s="270">
        <f>IF(Database!$B112=Screener!$B$5,-999999,IF(ISNUMBER(SEARCH(","&amp;Database!$A112&amp;",",","&amp;SUBSTITUTE(Screener!$D$17," ","")&amp;",")),2000000,IF(IF(OR(Screener!$B$18="All",AND(Screener!$B$18="With A-share",(Database!$BM112="Y")),AND(Screener!$B$18="Without A-share",NOT((Database!$BM112="Y")))),1,0)=0,-999999,IF(Screener!$B$16="cornerstone overlap first",H112*100000,IF(Screener!$B$16="demand-similar first",J112*100000,0))+W_SUB*B112+W_SEC*C112*(1-B112)+W_SIZE*D112+W_PROF*E112+W_AH*F112+W_REC*G112+W_CS*H112+W_PE*I112)))+ROW()/1000000</f>
        <v/>
      </c>
      <c r="AA112" s="270">
        <f>Database!B101</f>
        <v/>
      </c>
      <c r="AB112" s="270">
        <f>Database!D101</f>
        <v/>
      </c>
      <c r="AC112" s="270">
        <f>Database!E101</f>
        <v/>
      </c>
      <c r="AD112" s="270">
        <f>Database!I101</f>
        <v/>
      </c>
      <c r="AE112" s="270">
        <f>Database!BG101</f>
        <v/>
      </c>
      <c r="AF112" s="270">
        <f>Database!BM101</f>
        <v/>
      </c>
      <c r="AG112" s="270">
        <f>Database!H101</f>
        <v/>
      </c>
      <c r="AH112" s="270">
        <f>Database!BH101</f>
        <v/>
      </c>
    </row>
    <row r="113">
      <c r="A113" s="270">
        <f>Database!B113</f>
        <v/>
      </c>
      <c r="B113" s="270">
        <f>IF(AND(Screener!$D$8&lt;&gt;"",Database!$E113=Screener!$D$8),1,0)</f>
        <v/>
      </c>
      <c r="C113" s="270">
        <f>IF(AND(Screener!$D$7&lt;&gt;"",Database!$D113=Screener!$D$7),1,0)</f>
        <v/>
      </c>
      <c r="D113" s="270">
        <f>IF(OR(N(Database!$I113)&lt;=0,N(Screener!$D$9)&lt;=0),0,MAX(0,1-ABS(LOG10(N(Database!$I113)/Screener!$D$9))/W_SIZEHW))</f>
        <v/>
      </c>
      <c r="E113" s="270">
        <f>IF(OR(Database!$BG113="",Screener!$D$10=""),0,IF(Database!$BG113=Screener!$D$10,1,0))</f>
        <v/>
      </c>
      <c r="F113" s="270">
        <f>IF(OR(Database!$BM113="",Screener!$D$11=""),0,IF(Database!$BM113=Screener!$D$11,1,0))</f>
        <v/>
      </c>
      <c r="G113" s="270">
        <f>IF(OR(Database!$H113="",N(Screener!$D$12)&lt;=0),0,MAX(0,1-(N(Screener!$D$12)-Database!$H113)/W_RECD))</f>
        <v/>
      </c>
      <c r="H113" s="270">
        <f>IF($U$1="",0,N(ISNUMBER(SEARCH($U$1,Database!$AC113&amp;""))))+IF($V$1="",0,N(ISNUMBER(SEARCH($V$1,Database!$AC113&amp;""))))+IF($W$1="",0,N(ISNUMBER(SEARCH($W$1,Database!$AC113&amp;""))))+IF($X$1="",0,N(ISNUMBER(SEARCH($X$1,Database!$AC113&amp;""))))+IF($Y$1="",0,N(ISNUMBER(SEARCH($Y$1,Database!$AC113&amp;""))))+IF(Screener!$B$17="",0,N(ISNUMBER(SEARCH(LOWER(Screener!$B$17),Database!$AC113&amp;""))))</f>
        <v/>
      </c>
      <c r="I113" s="270">
        <f>IF(OR(N(Database!$BH113)&lt;=0,N(Screener!$D$13)&lt;=0),0,MAX(0,1-ABS(LOG10(N(Database!$BH113)/Screener!$D$13))/W_PEHW))</f>
        <v/>
      </c>
      <c r="J113" s="270">
        <f>IF(OR(N(Database!$S113)&lt;=0,N(Screener!$D$14)&lt;=0),0,MAX(0,1-ABS(LOG10(Database!$S113/Screener!$D$14))/0.6))</f>
        <v/>
      </c>
      <c r="K113" s="270">
        <f>IF(Database!$B113=Screener!$B$5,-999999,IF(ISNUMBER(SEARCH(","&amp;Database!$A113&amp;",",","&amp;SUBSTITUTE(Screener!$D$17," ","")&amp;",")),2000000,IF(IF(OR(Screener!$B$18="All",AND(Screener!$B$18="With A-share",(Database!$BM113="Y")),AND(Screener!$B$18="Without A-share",NOT((Database!$BM113="Y")))),1,0)=0,-999999,IF(Screener!$B$16="cornerstone overlap first",H113*100000,IF(Screener!$B$16="demand-similar first",J113*100000,0))+W_SUB*B113+W_SEC*C113*(1-B113)+W_SIZE*D113+W_PROF*E113+W_AH*F113+W_REC*G113+W_CS*H113+W_PE*I113)))+ROW()/1000000</f>
        <v/>
      </c>
      <c r="AA113" s="270">
        <f>Database!B102</f>
        <v/>
      </c>
      <c r="AB113" s="270">
        <f>Database!D102</f>
        <v/>
      </c>
      <c r="AC113" s="270">
        <f>Database!E102</f>
        <v/>
      </c>
      <c r="AD113" s="270">
        <f>Database!I102</f>
        <v/>
      </c>
      <c r="AE113" s="270">
        <f>Database!BG102</f>
        <v/>
      </c>
      <c r="AF113" s="270">
        <f>Database!BM102</f>
        <v/>
      </c>
      <c r="AG113" s="270">
        <f>Database!H102</f>
        <v/>
      </c>
      <c r="AH113" s="270">
        <f>Database!BH102</f>
        <v/>
      </c>
    </row>
    <row r="114">
      <c r="A114" s="270">
        <f>Database!B114</f>
        <v/>
      </c>
      <c r="B114" s="270">
        <f>IF(AND(Screener!$D$8&lt;&gt;"",Database!$E114=Screener!$D$8),1,0)</f>
        <v/>
      </c>
      <c r="C114" s="270">
        <f>IF(AND(Screener!$D$7&lt;&gt;"",Database!$D114=Screener!$D$7),1,0)</f>
        <v/>
      </c>
      <c r="D114" s="270">
        <f>IF(OR(N(Database!$I114)&lt;=0,N(Screener!$D$9)&lt;=0),0,MAX(0,1-ABS(LOG10(N(Database!$I114)/Screener!$D$9))/W_SIZEHW))</f>
        <v/>
      </c>
      <c r="E114" s="270">
        <f>IF(OR(Database!$BG114="",Screener!$D$10=""),0,IF(Database!$BG114=Screener!$D$10,1,0))</f>
        <v/>
      </c>
      <c r="F114" s="270">
        <f>IF(OR(Database!$BM114="",Screener!$D$11=""),0,IF(Database!$BM114=Screener!$D$11,1,0))</f>
        <v/>
      </c>
      <c r="G114" s="270">
        <f>IF(OR(Database!$H114="",N(Screener!$D$12)&lt;=0),0,MAX(0,1-(N(Screener!$D$12)-Database!$H114)/W_RECD))</f>
        <v/>
      </c>
      <c r="H114" s="270">
        <f>IF($U$1="",0,N(ISNUMBER(SEARCH($U$1,Database!$AC114&amp;""))))+IF($V$1="",0,N(ISNUMBER(SEARCH($V$1,Database!$AC114&amp;""))))+IF($W$1="",0,N(ISNUMBER(SEARCH($W$1,Database!$AC114&amp;""))))+IF($X$1="",0,N(ISNUMBER(SEARCH($X$1,Database!$AC114&amp;""))))+IF($Y$1="",0,N(ISNUMBER(SEARCH($Y$1,Database!$AC114&amp;""))))+IF(Screener!$B$17="",0,N(ISNUMBER(SEARCH(LOWER(Screener!$B$17),Database!$AC114&amp;""))))</f>
        <v/>
      </c>
      <c r="I114" s="270">
        <f>IF(OR(N(Database!$BH114)&lt;=0,N(Screener!$D$13)&lt;=0),0,MAX(0,1-ABS(LOG10(N(Database!$BH114)/Screener!$D$13))/W_PEHW))</f>
        <v/>
      </c>
      <c r="J114" s="270">
        <f>IF(OR(N(Database!$S114)&lt;=0,N(Screener!$D$14)&lt;=0),0,MAX(0,1-ABS(LOG10(Database!$S114/Screener!$D$14))/0.6))</f>
        <v/>
      </c>
      <c r="K114" s="270">
        <f>IF(Database!$B114=Screener!$B$5,-999999,IF(ISNUMBER(SEARCH(","&amp;Database!$A114&amp;",",","&amp;SUBSTITUTE(Screener!$D$17," ","")&amp;",")),2000000,IF(IF(OR(Screener!$B$18="All",AND(Screener!$B$18="With A-share",(Database!$BM114="Y")),AND(Screener!$B$18="Without A-share",NOT((Database!$BM114="Y")))),1,0)=0,-999999,IF(Screener!$B$16="cornerstone overlap first",H114*100000,IF(Screener!$B$16="demand-similar first",J114*100000,0))+W_SUB*B114+W_SEC*C114*(1-B114)+W_SIZE*D114+W_PROF*E114+W_AH*F114+W_REC*G114+W_CS*H114+W_PE*I114)))+ROW()/1000000</f>
        <v/>
      </c>
      <c r="AA114" s="270">
        <f>Database!B103</f>
        <v/>
      </c>
      <c r="AB114" s="270">
        <f>Database!D103</f>
        <v/>
      </c>
      <c r="AC114" s="270">
        <f>Database!E103</f>
        <v/>
      </c>
      <c r="AD114" s="270">
        <f>Database!I103</f>
        <v/>
      </c>
      <c r="AE114" s="270">
        <f>Database!BG103</f>
        <v/>
      </c>
      <c r="AF114" s="270">
        <f>Database!BM103</f>
        <v/>
      </c>
      <c r="AG114" s="270">
        <f>Database!H103</f>
        <v/>
      </c>
      <c r="AH114" s="270">
        <f>Database!BH103</f>
        <v/>
      </c>
    </row>
    <row r="115">
      <c r="A115" s="270">
        <f>Database!B115</f>
        <v/>
      </c>
      <c r="B115" s="270">
        <f>IF(AND(Screener!$D$8&lt;&gt;"",Database!$E115=Screener!$D$8),1,0)</f>
        <v/>
      </c>
      <c r="C115" s="270">
        <f>IF(AND(Screener!$D$7&lt;&gt;"",Database!$D115=Screener!$D$7),1,0)</f>
        <v/>
      </c>
      <c r="D115" s="270">
        <f>IF(OR(N(Database!$I115)&lt;=0,N(Screener!$D$9)&lt;=0),0,MAX(0,1-ABS(LOG10(N(Database!$I115)/Screener!$D$9))/W_SIZEHW))</f>
        <v/>
      </c>
      <c r="E115" s="270">
        <f>IF(OR(Database!$BG115="",Screener!$D$10=""),0,IF(Database!$BG115=Screener!$D$10,1,0))</f>
        <v/>
      </c>
      <c r="F115" s="270">
        <f>IF(OR(Database!$BM115="",Screener!$D$11=""),0,IF(Database!$BM115=Screener!$D$11,1,0))</f>
        <v/>
      </c>
      <c r="G115" s="270">
        <f>IF(OR(Database!$H115="",N(Screener!$D$12)&lt;=0),0,MAX(0,1-(N(Screener!$D$12)-Database!$H115)/W_RECD))</f>
        <v/>
      </c>
      <c r="H115" s="270">
        <f>IF($U$1="",0,N(ISNUMBER(SEARCH($U$1,Database!$AC115&amp;""))))+IF($V$1="",0,N(ISNUMBER(SEARCH($V$1,Database!$AC115&amp;""))))+IF($W$1="",0,N(ISNUMBER(SEARCH($W$1,Database!$AC115&amp;""))))+IF($X$1="",0,N(ISNUMBER(SEARCH($X$1,Database!$AC115&amp;""))))+IF($Y$1="",0,N(ISNUMBER(SEARCH($Y$1,Database!$AC115&amp;""))))+IF(Screener!$B$17="",0,N(ISNUMBER(SEARCH(LOWER(Screener!$B$17),Database!$AC115&amp;""))))</f>
        <v/>
      </c>
      <c r="I115" s="270">
        <f>IF(OR(N(Database!$BH115)&lt;=0,N(Screener!$D$13)&lt;=0),0,MAX(0,1-ABS(LOG10(N(Database!$BH115)/Screener!$D$13))/W_PEHW))</f>
        <v/>
      </c>
      <c r="J115" s="270">
        <f>IF(OR(N(Database!$S115)&lt;=0,N(Screener!$D$14)&lt;=0),0,MAX(0,1-ABS(LOG10(Database!$S115/Screener!$D$14))/0.6))</f>
        <v/>
      </c>
      <c r="K115" s="270">
        <f>IF(Database!$B115=Screener!$B$5,-999999,IF(ISNUMBER(SEARCH(","&amp;Database!$A115&amp;",",","&amp;SUBSTITUTE(Screener!$D$17," ","")&amp;",")),2000000,IF(IF(OR(Screener!$B$18="All",AND(Screener!$B$18="With A-share",(Database!$BM115="Y")),AND(Screener!$B$18="Without A-share",NOT((Database!$BM115="Y")))),1,0)=0,-999999,IF(Screener!$B$16="cornerstone overlap first",H115*100000,IF(Screener!$B$16="demand-similar first",J115*100000,0))+W_SUB*B115+W_SEC*C115*(1-B115)+W_SIZE*D115+W_PROF*E115+W_AH*F115+W_REC*G115+W_CS*H115+W_PE*I115)))+ROW()/1000000</f>
        <v/>
      </c>
      <c r="AA115" s="270">
        <f>Database!B104</f>
        <v/>
      </c>
      <c r="AB115" s="270">
        <f>Database!D104</f>
        <v/>
      </c>
      <c r="AC115" s="270">
        <f>Database!E104</f>
        <v/>
      </c>
      <c r="AD115" s="270">
        <f>Database!I104</f>
        <v/>
      </c>
      <c r="AE115" s="270">
        <f>Database!BG104</f>
        <v/>
      </c>
      <c r="AF115" s="270">
        <f>Database!BM104</f>
        <v/>
      </c>
      <c r="AG115" s="270">
        <f>Database!H104</f>
        <v/>
      </c>
      <c r="AH115" s="270">
        <f>Database!BH104</f>
        <v/>
      </c>
    </row>
    <row r="116">
      <c r="A116" s="270">
        <f>Database!B116</f>
        <v/>
      </c>
      <c r="B116" s="270">
        <f>IF(AND(Screener!$D$8&lt;&gt;"",Database!$E116=Screener!$D$8),1,0)</f>
        <v/>
      </c>
      <c r="C116" s="270">
        <f>IF(AND(Screener!$D$7&lt;&gt;"",Database!$D116=Screener!$D$7),1,0)</f>
        <v/>
      </c>
      <c r="D116" s="270">
        <f>IF(OR(N(Database!$I116)&lt;=0,N(Screener!$D$9)&lt;=0),0,MAX(0,1-ABS(LOG10(N(Database!$I116)/Screener!$D$9))/W_SIZEHW))</f>
        <v/>
      </c>
      <c r="E116" s="270">
        <f>IF(OR(Database!$BG116="",Screener!$D$10=""),0,IF(Database!$BG116=Screener!$D$10,1,0))</f>
        <v/>
      </c>
      <c r="F116" s="270">
        <f>IF(OR(Database!$BM116="",Screener!$D$11=""),0,IF(Database!$BM116=Screener!$D$11,1,0))</f>
        <v/>
      </c>
      <c r="G116" s="270">
        <f>IF(OR(Database!$H116="",N(Screener!$D$12)&lt;=0),0,MAX(0,1-(N(Screener!$D$12)-Database!$H116)/W_RECD))</f>
        <v/>
      </c>
      <c r="H116" s="270">
        <f>IF($U$1="",0,N(ISNUMBER(SEARCH($U$1,Database!$AC116&amp;""))))+IF($V$1="",0,N(ISNUMBER(SEARCH($V$1,Database!$AC116&amp;""))))+IF($W$1="",0,N(ISNUMBER(SEARCH($W$1,Database!$AC116&amp;""))))+IF($X$1="",0,N(ISNUMBER(SEARCH($X$1,Database!$AC116&amp;""))))+IF($Y$1="",0,N(ISNUMBER(SEARCH($Y$1,Database!$AC116&amp;""))))+IF(Screener!$B$17="",0,N(ISNUMBER(SEARCH(LOWER(Screener!$B$17),Database!$AC116&amp;""))))</f>
        <v/>
      </c>
      <c r="I116" s="270">
        <f>IF(OR(N(Database!$BH116)&lt;=0,N(Screener!$D$13)&lt;=0),0,MAX(0,1-ABS(LOG10(N(Database!$BH116)/Screener!$D$13))/W_PEHW))</f>
        <v/>
      </c>
      <c r="J116" s="270">
        <f>IF(OR(N(Database!$S116)&lt;=0,N(Screener!$D$14)&lt;=0),0,MAX(0,1-ABS(LOG10(Database!$S116/Screener!$D$14))/0.6))</f>
        <v/>
      </c>
      <c r="K116" s="270">
        <f>IF(Database!$B116=Screener!$B$5,-999999,IF(ISNUMBER(SEARCH(","&amp;Database!$A116&amp;",",","&amp;SUBSTITUTE(Screener!$D$17," ","")&amp;",")),2000000,IF(IF(OR(Screener!$B$18="All",AND(Screener!$B$18="With A-share",(Database!$BM116="Y")),AND(Screener!$B$18="Without A-share",NOT((Database!$BM116="Y")))),1,0)=0,-999999,IF(Screener!$B$16="cornerstone overlap first",H116*100000,IF(Screener!$B$16="demand-similar first",J116*100000,0))+W_SUB*B116+W_SEC*C116*(1-B116)+W_SIZE*D116+W_PROF*E116+W_AH*F116+W_REC*G116+W_CS*H116+W_PE*I116)))+ROW()/1000000</f>
        <v/>
      </c>
      <c r="AA116" s="270">
        <f>Database!B105</f>
        <v/>
      </c>
      <c r="AB116" s="270">
        <f>Database!D105</f>
        <v/>
      </c>
      <c r="AC116" s="270">
        <f>Database!E105</f>
        <v/>
      </c>
      <c r="AD116" s="270">
        <f>Database!I105</f>
        <v/>
      </c>
      <c r="AE116" s="270">
        <f>Database!BG105</f>
        <v/>
      </c>
      <c r="AF116" s="270">
        <f>Database!BM105</f>
        <v/>
      </c>
      <c r="AG116" s="270">
        <f>Database!H105</f>
        <v/>
      </c>
      <c r="AH116" s="270">
        <f>Database!BH105</f>
        <v/>
      </c>
    </row>
    <row r="117">
      <c r="A117" s="270">
        <f>Database!B117</f>
        <v/>
      </c>
      <c r="B117" s="270">
        <f>IF(AND(Screener!$D$8&lt;&gt;"",Database!$E117=Screener!$D$8),1,0)</f>
        <v/>
      </c>
      <c r="C117" s="270">
        <f>IF(AND(Screener!$D$7&lt;&gt;"",Database!$D117=Screener!$D$7),1,0)</f>
        <v/>
      </c>
      <c r="D117" s="270">
        <f>IF(OR(N(Database!$I117)&lt;=0,N(Screener!$D$9)&lt;=0),0,MAX(0,1-ABS(LOG10(N(Database!$I117)/Screener!$D$9))/W_SIZEHW))</f>
        <v/>
      </c>
      <c r="E117" s="270">
        <f>IF(OR(Database!$BG117="",Screener!$D$10=""),0,IF(Database!$BG117=Screener!$D$10,1,0))</f>
        <v/>
      </c>
      <c r="F117" s="270">
        <f>IF(OR(Database!$BM117="",Screener!$D$11=""),0,IF(Database!$BM117=Screener!$D$11,1,0))</f>
        <v/>
      </c>
      <c r="G117" s="270">
        <f>IF(OR(Database!$H117="",N(Screener!$D$12)&lt;=0),0,MAX(0,1-(N(Screener!$D$12)-Database!$H117)/W_RECD))</f>
        <v/>
      </c>
      <c r="H117" s="270">
        <f>IF($U$1="",0,N(ISNUMBER(SEARCH($U$1,Database!$AC117&amp;""))))+IF($V$1="",0,N(ISNUMBER(SEARCH($V$1,Database!$AC117&amp;""))))+IF($W$1="",0,N(ISNUMBER(SEARCH($W$1,Database!$AC117&amp;""))))+IF($X$1="",0,N(ISNUMBER(SEARCH($X$1,Database!$AC117&amp;""))))+IF($Y$1="",0,N(ISNUMBER(SEARCH($Y$1,Database!$AC117&amp;""))))+IF(Screener!$B$17="",0,N(ISNUMBER(SEARCH(LOWER(Screener!$B$17),Database!$AC117&amp;""))))</f>
        <v/>
      </c>
      <c r="I117" s="270">
        <f>IF(OR(N(Database!$BH117)&lt;=0,N(Screener!$D$13)&lt;=0),0,MAX(0,1-ABS(LOG10(N(Database!$BH117)/Screener!$D$13))/W_PEHW))</f>
        <v/>
      </c>
      <c r="J117" s="270">
        <f>IF(OR(N(Database!$S117)&lt;=0,N(Screener!$D$14)&lt;=0),0,MAX(0,1-ABS(LOG10(Database!$S117/Screener!$D$14))/0.6))</f>
        <v/>
      </c>
      <c r="K117" s="270">
        <f>IF(Database!$B117=Screener!$B$5,-999999,IF(ISNUMBER(SEARCH(","&amp;Database!$A117&amp;",",","&amp;SUBSTITUTE(Screener!$D$17," ","")&amp;",")),2000000,IF(IF(OR(Screener!$B$18="All",AND(Screener!$B$18="With A-share",(Database!$BM117="Y")),AND(Screener!$B$18="Without A-share",NOT((Database!$BM117="Y")))),1,0)=0,-999999,IF(Screener!$B$16="cornerstone overlap first",H117*100000,IF(Screener!$B$16="demand-similar first",J117*100000,0))+W_SUB*B117+W_SEC*C117*(1-B117)+W_SIZE*D117+W_PROF*E117+W_AH*F117+W_REC*G117+W_CS*H117+W_PE*I117)))+ROW()/1000000</f>
        <v/>
      </c>
      <c r="AA117" s="270">
        <f>Database!B106</f>
        <v/>
      </c>
      <c r="AB117" s="270">
        <f>Database!D106</f>
        <v/>
      </c>
      <c r="AC117" s="270">
        <f>Database!E106</f>
        <v/>
      </c>
      <c r="AD117" s="270">
        <f>Database!I106</f>
        <v/>
      </c>
      <c r="AE117" s="270">
        <f>Database!BG106</f>
        <v/>
      </c>
      <c r="AF117" s="270">
        <f>Database!BM106</f>
        <v/>
      </c>
      <c r="AG117" s="270">
        <f>Database!H106</f>
        <v/>
      </c>
      <c r="AH117" s="270">
        <f>Database!BH106</f>
        <v/>
      </c>
    </row>
    <row r="118">
      <c r="A118" s="270">
        <f>Database!B118</f>
        <v/>
      </c>
      <c r="B118" s="270">
        <f>IF(AND(Screener!$D$8&lt;&gt;"",Database!$E118=Screener!$D$8),1,0)</f>
        <v/>
      </c>
      <c r="C118" s="270">
        <f>IF(AND(Screener!$D$7&lt;&gt;"",Database!$D118=Screener!$D$7),1,0)</f>
        <v/>
      </c>
      <c r="D118" s="270">
        <f>IF(OR(N(Database!$I118)&lt;=0,N(Screener!$D$9)&lt;=0),0,MAX(0,1-ABS(LOG10(N(Database!$I118)/Screener!$D$9))/W_SIZEHW))</f>
        <v/>
      </c>
      <c r="E118" s="270">
        <f>IF(OR(Database!$BG118="",Screener!$D$10=""),0,IF(Database!$BG118=Screener!$D$10,1,0))</f>
        <v/>
      </c>
      <c r="F118" s="270">
        <f>IF(OR(Database!$BM118="",Screener!$D$11=""),0,IF(Database!$BM118=Screener!$D$11,1,0))</f>
        <v/>
      </c>
      <c r="G118" s="270">
        <f>IF(OR(Database!$H118="",N(Screener!$D$12)&lt;=0),0,MAX(0,1-(N(Screener!$D$12)-Database!$H118)/W_RECD))</f>
        <v/>
      </c>
      <c r="H118" s="270">
        <f>IF($U$1="",0,N(ISNUMBER(SEARCH($U$1,Database!$AC118&amp;""))))+IF($V$1="",0,N(ISNUMBER(SEARCH($V$1,Database!$AC118&amp;""))))+IF($W$1="",0,N(ISNUMBER(SEARCH($W$1,Database!$AC118&amp;""))))+IF($X$1="",0,N(ISNUMBER(SEARCH($X$1,Database!$AC118&amp;""))))+IF($Y$1="",0,N(ISNUMBER(SEARCH($Y$1,Database!$AC118&amp;""))))+IF(Screener!$B$17="",0,N(ISNUMBER(SEARCH(LOWER(Screener!$B$17),Database!$AC118&amp;""))))</f>
        <v/>
      </c>
      <c r="I118" s="270">
        <f>IF(OR(N(Database!$BH118)&lt;=0,N(Screener!$D$13)&lt;=0),0,MAX(0,1-ABS(LOG10(N(Database!$BH118)/Screener!$D$13))/W_PEHW))</f>
        <v/>
      </c>
      <c r="J118" s="270">
        <f>IF(OR(N(Database!$S118)&lt;=0,N(Screener!$D$14)&lt;=0),0,MAX(0,1-ABS(LOG10(Database!$S118/Screener!$D$14))/0.6))</f>
        <v/>
      </c>
      <c r="K118" s="270">
        <f>IF(Database!$B118=Screener!$B$5,-999999,IF(ISNUMBER(SEARCH(","&amp;Database!$A118&amp;",",","&amp;SUBSTITUTE(Screener!$D$17," ","")&amp;",")),2000000,IF(IF(OR(Screener!$B$18="All",AND(Screener!$B$18="With A-share",(Database!$BM118="Y")),AND(Screener!$B$18="Without A-share",NOT((Database!$BM118="Y")))),1,0)=0,-999999,IF(Screener!$B$16="cornerstone overlap first",H118*100000,IF(Screener!$B$16="demand-similar first",J118*100000,0))+W_SUB*B118+W_SEC*C118*(1-B118)+W_SIZE*D118+W_PROF*E118+W_AH*F118+W_REC*G118+W_CS*H118+W_PE*I118)))+ROW()/1000000</f>
        <v/>
      </c>
      <c r="AA118" s="270">
        <f>Database!B107</f>
        <v/>
      </c>
      <c r="AB118" s="270">
        <f>Database!D107</f>
        <v/>
      </c>
      <c r="AC118" s="270">
        <f>Database!E107</f>
        <v/>
      </c>
      <c r="AD118" s="270">
        <f>Database!I107</f>
        <v/>
      </c>
      <c r="AE118" s="270">
        <f>Database!BG107</f>
        <v/>
      </c>
      <c r="AF118" s="270">
        <f>Database!BM107</f>
        <v/>
      </c>
      <c r="AG118" s="270">
        <f>Database!H107</f>
        <v/>
      </c>
      <c r="AH118" s="270">
        <f>Database!BH107</f>
        <v/>
      </c>
    </row>
    <row r="119">
      <c r="A119" s="270">
        <f>Database!B119</f>
        <v/>
      </c>
      <c r="B119" s="270">
        <f>IF(AND(Screener!$D$8&lt;&gt;"",Database!$E119=Screener!$D$8),1,0)</f>
        <v/>
      </c>
      <c r="C119" s="270">
        <f>IF(AND(Screener!$D$7&lt;&gt;"",Database!$D119=Screener!$D$7),1,0)</f>
        <v/>
      </c>
      <c r="D119" s="270">
        <f>IF(OR(N(Database!$I119)&lt;=0,N(Screener!$D$9)&lt;=0),0,MAX(0,1-ABS(LOG10(N(Database!$I119)/Screener!$D$9))/W_SIZEHW))</f>
        <v/>
      </c>
      <c r="E119" s="270">
        <f>IF(OR(Database!$BG119="",Screener!$D$10=""),0,IF(Database!$BG119=Screener!$D$10,1,0))</f>
        <v/>
      </c>
      <c r="F119" s="270">
        <f>IF(OR(Database!$BM119="",Screener!$D$11=""),0,IF(Database!$BM119=Screener!$D$11,1,0))</f>
        <v/>
      </c>
      <c r="G119" s="270">
        <f>IF(OR(Database!$H119="",N(Screener!$D$12)&lt;=0),0,MAX(0,1-(N(Screener!$D$12)-Database!$H119)/W_RECD))</f>
        <v/>
      </c>
      <c r="H119" s="270">
        <f>IF($U$1="",0,N(ISNUMBER(SEARCH($U$1,Database!$AC119&amp;""))))+IF($V$1="",0,N(ISNUMBER(SEARCH($V$1,Database!$AC119&amp;""))))+IF($W$1="",0,N(ISNUMBER(SEARCH($W$1,Database!$AC119&amp;""))))+IF($X$1="",0,N(ISNUMBER(SEARCH($X$1,Database!$AC119&amp;""))))+IF($Y$1="",0,N(ISNUMBER(SEARCH($Y$1,Database!$AC119&amp;""))))+IF(Screener!$B$17="",0,N(ISNUMBER(SEARCH(LOWER(Screener!$B$17),Database!$AC119&amp;""))))</f>
        <v/>
      </c>
      <c r="I119" s="270">
        <f>IF(OR(N(Database!$BH119)&lt;=0,N(Screener!$D$13)&lt;=0),0,MAX(0,1-ABS(LOG10(N(Database!$BH119)/Screener!$D$13))/W_PEHW))</f>
        <v/>
      </c>
      <c r="J119" s="270">
        <f>IF(OR(N(Database!$S119)&lt;=0,N(Screener!$D$14)&lt;=0),0,MAX(0,1-ABS(LOG10(Database!$S119/Screener!$D$14))/0.6))</f>
        <v/>
      </c>
      <c r="K119" s="270">
        <f>IF(Database!$B119=Screener!$B$5,-999999,IF(ISNUMBER(SEARCH(","&amp;Database!$A119&amp;",",","&amp;SUBSTITUTE(Screener!$D$17," ","")&amp;",")),2000000,IF(IF(OR(Screener!$B$18="All",AND(Screener!$B$18="With A-share",(Database!$BM119="Y")),AND(Screener!$B$18="Without A-share",NOT((Database!$BM119="Y")))),1,0)=0,-999999,IF(Screener!$B$16="cornerstone overlap first",H119*100000,IF(Screener!$B$16="demand-similar first",J119*100000,0))+W_SUB*B119+W_SEC*C119*(1-B119)+W_SIZE*D119+W_PROF*E119+W_AH*F119+W_REC*G119+W_CS*H119+W_PE*I119)))+ROW()/1000000</f>
        <v/>
      </c>
      <c r="AA119" s="270">
        <f>Database!B108</f>
        <v/>
      </c>
      <c r="AB119" s="270">
        <f>Database!D108</f>
        <v/>
      </c>
      <c r="AC119" s="270">
        <f>Database!E108</f>
        <v/>
      </c>
      <c r="AD119" s="270">
        <f>Database!I108</f>
        <v/>
      </c>
      <c r="AE119" s="270">
        <f>Database!BG108</f>
        <v/>
      </c>
      <c r="AF119" s="270">
        <f>Database!BM108</f>
        <v/>
      </c>
      <c r="AG119" s="270">
        <f>Database!H108</f>
        <v/>
      </c>
      <c r="AH119" s="270">
        <f>Database!BH108</f>
        <v/>
      </c>
    </row>
    <row r="120">
      <c r="A120" s="270">
        <f>Database!B120</f>
        <v/>
      </c>
      <c r="B120" s="270">
        <f>IF(AND(Screener!$D$8&lt;&gt;"",Database!$E120=Screener!$D$8),1,0)</f>
        <v/>
      </c>
      <c r="C120" s="270">
        <f>IF(AND(Screener!$D$7&lt;&gt;"",Database!$D120=Screener!$D$7),1,0)</f>
        <v/>
      </c>
      <c r="D120" s="270">
        <f>IF(OR(N(Database!$I120)&lt;=0,N(Screener!$D$9)&lt;=0),0,MAX(0,1-ABS(LOG10(N(Database!$I120)/Screener!$D$9))/W_SIZEHW))</f>
        <v/>
      </c>
      <c r="E120" s="270">
        <f>IF(OR(Database!$BG120="",Screener!$D$10=""),0,IF(Database!$BG120=Screener!$D$10,1,0))</f>
        <v/>
      </c>
      <c r="F120" s="270">
        <f>IF(OR(Database!$BM120="",Screener!$D$11=""),0,IF(Database!$BM120=Screener!$D$11,1,0))</f>
        <v/>
      </c>
      <c r="G120" s="270">
        <f>IF(OR(Database!$H120="",N(Screener!$D$12)&lt;=0),0,MAX(0,1-(N(Screener!$D$12)-Database!$H120)/W_RECD))</f>
        <v/>
      </c>
      <c r="H120" s="270">
        <f>IF($U$1="",0,N(ISNUMBER(SEARCH($U$1,Database!$AC120&amp;""))))+IF($V$1="",0,N(ISNUMBER(SEARCH($V$1,Database!$AC120&amp;""))))+IF($W$1="",0,N(ISNUMBER(SEARCH($W$1,Database!$AC120&amp;""))))+IF($X$1="",0,N(ISNUMBER(SEARCH($X$1,Database!$AC120&amp;""))))+IF($Y$1="",0,N(ISNUMBER(SEARCH($Y$1,Database!$AC120&amp;""))))+IF(Screener!$B$17="",0,N(ISNUMBER(SEARCH(LOWER(Screener!$B$17),Database!$AC120&amp;""))))</f>
        <v/>
      </c>
      <c r="I120" s="270">
        <f>IF(OR(N(Database!$BH120)&lt;=0,N(Screener!$D$13)&lt;=0),0,MAX(0,1-ABS(LOG10(N(Database!$BH120)/Screener!$D$13))/W_PEHW))</f>
        <v/>
      </c>
      <c r="J120" s="270">
        <f>IF(OR(N(Database!$S120)&lt;=0,N(Screener!$D$14)&lt;=0),0,MAX(0,1-ABS(LOG10(Database!$S120/Screener!$D$14))/0.6))</f>
        <v/>
      </c>
      <c r="K120" s="270">
        <f>IF(Database!$B120=Screener!$B$5,-999999,IF(ISNUMBER(SEARCH(","&amp;Database!$A120&amp;",",","&amp;SUBSTITUTE(Screener!$D$17," ","")&amp;",")),2000000,IF(IF(OR(Screener!$B$18="All",AND(Screener!$B$18="With A-share",(Database!$BM120="Y")),AND(Screener!$B$18="Without A-share",NOT((Database!$BM120="Y")))),1,0)=0,-999999,IF(Screener!$B$16="cornerstone overlap first",H120*100000,IF(Screener!$B$16="demand-similar first",J120*100000,0))+W_SUB*B120+W_SEC*C120*(1-B120)+W_SIZE*D120+W_PROF*E120+W_AH*F120+W_REC*G120+W_CS*H120+W_PE*I120)))+ROW()/1000000</f>
        <v/>
      </c>
      <c r="AA120" s="270">
        <f>Database!B109</f>
        <v/>
      </c>
      <c r="AB120" s="270">
        <f>Database!D109</f>
        <v/>
      </c>
      <c r="AC120" s="270">
        <f>Database!E109</f>
        <v/>
      </c>
      <c r="AD120" s="270">
        <f>Database!I109</f>
        <v/>
      </c>
      <c r="AE120" s="270">
        <f>Database!BG109</f>
        <v/>
      </c>
      <c r="AF120" s="270">
        <f>Database!BM109</f>
        <v/>
      </c>
      <c r="AG120" s="270">
        <f>Database!H109</f>
        <v/>
      </c>
      <c r="AH120" s="270">
        <f>Database!BH109</f>
        <v/>
      </c>
    </row>
    <row r="121">
      <c r="A121" s="270">
        <f>Database!B121</f>
        <v/>
      </c>
      <c r="B121" s="270">
        <f>IF(AND(Screener!$D$8&lt;&gt;"",Database!$E121=Screener!$D$8),1,0)</f>
        <v/>
      </c>
      <c r="C121" s="270">
        <f>IF(AND(Screener!$D$7&lt;&gt;"",Database!$D121=Screener!$D$7),1,0)</f>
        <v/>
      </c>
      <c r="D121" s="270">
        <f>IF(OR(N(Database!$I121)&lt;=0,N(Screener!$D$9)&lt;=0),0,MAX(0,1-ABS(LOG10(N(Database!$I121)/Screener!$D$9))/W_SIZEHW))</f>
        <v/>
      </c>
      <c r="E121" s="270">
        <f>IF(OR(Database!$BG121="",Screener!$D$10=""),0,IF(Database!$BG121=Screener!$D$10,1,0))</f>
        <v/>
      </c>
      <c r="F121" s="270">
        <f>IF(OR(Database!$BM121="",Screener!$D$11=""),0,IF(Database!$BM121=Screener!$D$11,1,0))</f>
        <v/>
      </c>
      <c r="G121" s="270">
        <f>IF(OR(Database!$H121="",N(Screener!$D$12)&lt;=0),0,MAX(0,1-(N(Screener!$D$12)-Database!$H121)/W_RECD))</f>
        <v/>
      </c>
      <c r="H121" s="270">
        <f>IF($U$1="",0,N(ISNUMBER(SEARCH($U$1,Database!$AC121&amp;""))))+IF($V$1="",0,N(ISNUMBER(SEARCH($V$1,Database!$AC121&amp;""))))+IF($W$1="",0,N(ISNUMBER(SEARCH($W$1,Database!$AC121&amp;""))))+IF($X$1="",0,N(ISNUMBER(SEARCH($X$1,Database!$AC121&amp;""))))+IF($Y$1="",0,N(ISNUMBER(SEARCH($Y$1,Database!$AC121&amp;""))))+IF(Screener!$B$17="",0,N(ISNUMBER(SEARCH(LOWER(Screener!$B$17),Database!$AC121&amp;""))))</f>
        <v/>
      </c>
      <c r="I121" s="270">
        <f>IF(OR(N(Database!$BH121)&lt;=0,N(Screener!$D$13)&lt;=0),0,MAX(0,1-ABS(LOG10(N(Database!$BH121)/Screener!$D$13))/W_PEHW))</f>
        <v/>
      </c>
      <c r="J121" s="270">
        <f>IF(OR(N(Database!$S121)&lt;=0,N(Screener!$D$14)&lt;=0),0,MAX(0,1-ABS(LOG10(Database!$S121/Screener!$D$14))/0.6))</f>
        <v/>
      </c>
      <c r="K121" s="270">
        <f>IF(Database!$B121=Screener!$B$5,-999999,IF(ISNUMBER(SEARCH(","&amp;Database!$A121&amp;",",","&amp;SUBSTITUTE(Screener!$D$17," ","")&amp;",")),2000000,IF(IF(OR(Screener!$B$18="All",AND(Screener!$B$18="With A-share",(Database!$BM121="Y")),AND(Screener!$B$18="Without A-share",NOT((Database!$BM121="Y")))),1,0)=0,-999999,IF(Screener!$B$16="cornerstone overlap first",H121*100000,IF(Screener!$B$16="demand-similar first",J121*100000,0))+W_SUB*B121+W_SEC*C121*(1-B121)+W_SIZE*D121+W_PROF*E121+W_AH*F121+W_REC*G121+W_CS*H121+W_PE*I121)))+ROW()/1000000</f>
        <v/>
      </c>
      <c r="AA121" s="270">
        <f>Database!B110</f>
        <v/>
      </c>
      <c r="AB121" s="270">
        <f>Database!D110</f>
        <v/>
      </c>
      <c r="AC121" s="270">
        <f>Database!E110</f>
        <v/>
      </c>
      <c r="AD121" s="270">
        <f>Database!I110</f>
        <v/>
      </c>
      <c r="AE121" s="270">
        <f>Database!BG110</f>
        <v/>
      </c>
      <c r="AF121" s="270">
        <f>Database!BM110</f>
        <v/>
      </c>
      <c r="AG121" s="270">
        <f>Database!H110</f>
        <v/>
      </c>
      <c r="AH121" s="270">
        <f>Database!BH110</f>
        <v/>
      </c>
    </row>
    <row r="122">
      <c r="A122" s="270">
        <f>Database!B122</f>
        <v/>
      </c>
      <c r="B122" s="270">
        <f>IF(AND(Screener!$D$8&lt;&gt;"",Database!$E122=Screener!$D$8),1,0)</f>
        <v/>
      </c>
      <c r="C122" s="270">
        <f>IF(AND(Screener!$D$7&lt;&gt;"",Database!$D122=Screener!$D$7),1,0)</f>
        <v/>
      </c>
      <c r="D122" s="270">
        <f>IF(OR(N(Database!$I122)&lt;=0,N(Screener!$D$9)&lt;=0),0,MAX(0,1-ABS(LOG10(N(Database!$I122)/Screener!$D$9))/W_SIZEHW))</f>
        <v/>
      </c>
      <c r="E122" s="270">
        <f>IF(OR(Database!$BG122="",Screener!$D$10=""),0,IF(Database!$BG122=Screener!$D$10,1,0))</f>
        <v/>
      </c>
      <c r="F122" s="270">
        <f>IF(OR(Database!$BM122="",Screener!$D$11=""),0,IF(Database!$BM122=Screener!$D$11,1,0))</f>
        <v/>
      </c>
      <c r="G122" s="270">
        <f>IF(OR(Database!$H122="",N(Screener!$D$12)&lt;=0),0,MAX(0,1-(N(Screener!$D$12)-Database!$H122)/W_RECD))</f>
        <v/>
      </c>
      <c r="H122" s="270">
        <f>IF($U$1="",0,N(ISNUMBER(SEARCH($U$1,Database!$AC122&amp;""))))+IF($V$1="",0,N(ISNUMBER(SEARCH($V$1,Database!$AC122&amp;""))))+IF($W$1="",0,N(ISNUMBER(SEARCH($W$1,Database!$AC122&amp;""))))+IF($X$1="",0,N(ISNUMBER(SEARCH($X$1,Database!$AC122&amp;""))))+IF($Y$1="",0,N(ISNUMBER(SEARCH($Y$1,Database!$AC122&amp;""))))+IF(Screener!$B$17="",0,N(ISNUMBER(SEARCH(LOWER(Screener!$B$17),Database!$AC122&amp;""))))</f>
        <v/>
      </c>
      <c r="I122" s="270">
        <f>IF(OR(N(Database!$BH122)&lt;=0,N(Screener!$D$13)&lt;=0),0,MAX(0,1-ABS(LOG10(N(Database!$BH122)/Screener!$D$13))/W_PEHW))</f>
        <v/>
      </c>
      <c r="J122" s="270">
        <f>IF(OR(N(Database!$S122)&lt;=0,N(Screener!$D$14)&lt;=0),0,MAX(0,1-ABS(LOG10(Database!$S122/Screener!$D$14))/0.6))</f>
        <v/>
      </c>
      <c r="K122" s="270">
        <f>IF(Database!$B122=Screener!$B$5,-999999,IF(ISNUMBER(SEARCH(","&amp;Database!$A122&amp;",",","&amp;SUBSTITUTE(Screener!$D$17," ","")&amp;",")),2000000,IF(IF(OR(Screener!$B$18="All",AND(Screener!$B$18="With A-share",(Database!$BM122="Y")),AND(Screener!$B$18="Without A-share",NOT((Database!$BM122="Y")))),1,0)=0,-999999,IF(Screener!$B$16="cornerstone overlap first",H122*100000,IF(Screener!$B$16="demand-similar first",J122*100000,0))+W_SUB*B122+W_SEC*C122*(1-B122)+W_SIZE*D122+W_PROF*E122+W_AH*F122+W_REC*G122+W_CS*H122+W_PE*I122)))+ROW()/1000000</f>
        <v/>
      </c>
      <c r="AA122" s="270">
        <f>Database!B111</f>
        <v/>
      </c>
      <c r="AB122" s="270">
        <f>Database!D111</f>
        <v/>
      </c>
      <c r="AC122" s="270">
        <f>Database!E111</f>
        <v/>
      </c>
      <c r="AD122" s="270">
        <f>Database!I111</f>
        <v/>
      </c>
      <c r="AE122" s="270">
        <f>Database!BG111</f>
        <v/>
      </c>
      <c r="AF122" s="270">
        <f>Database!BM111</f>
        <v/>
      </c>
      <c r="AG122" s="270">
        <f>Database!H111</f>
        <v/>
      </c>
      <c r="AH122" s="270">
        <f>Database!BH111</f>
        <v/>
      </c>
    </row>
    <row r="123">
      <c r="A123" s="270">
        <f>Database!B123</f>
        <v/>
      </c>
      <c r="B123" s="270">
        <f>IF(AND(Screener!$D$8&lt;&gt;"",Database!$E123=Screener!$D$8),1,0)</f>
        <v/>
      </c>
      <c r="C123" s="270">
        <f>IF(AND(Screener!$D$7&lt;&gt;"",Database!$D123=Screener!$D$7),1,0)</f>
        <v/>
      </c>
      <c r="D123" s="270">
        <f>IF(OR(N(Database!$I123)&lt;=0,N(Screener!$D$9)&lt;=0),0,MAX(0,1-ABS(LOG10(N(Database!$I123)/Screener!$D$9))/W_SIZEHW))</f>
        <v/>
      </c>
      <c r="E123" s="270">
        <f>IF(OR(Database!$BG123="",Screener!$D$10=""),0,IF(Database!$BG123=Screener!$D$10,1,0))</f>
        <v/>
      </c>
      <c r="F123" s="270">
        <f>IF(OR(Database!$BM123="",Screener!$D$11=""),0,IF(Database!$BM123=Screener!$D$11,1,0))</f>
        <v/>
      </c>
      <c r="G123" s="270">
        <f>IF(OR(Database!$H123="",N(Screener!$D$12)&lt;=0),0,MAX(0,1-(N(Screener!$D$12)-Database!$H123)/W_RECD))</f>
        <v/>
      </c>
      <c r="H123" s="270">
        <f>IF($U$1="",0,N(ISNUMBER(SEARCH($U$1,Database!$AC123&amp;""))))+IF($V$1="",0,N(ISNUMBER(SEARCH($V$1,Database!$AC123&amp;""))))+IF($W$1="",0,N(ISNUMBER(SEARCH($W$1,Database!$AC123&amp;""))))+IF($X$1="",0,N(ISNUMBER(SEARCH($X$1,Database!$AC123&amp;""))))+IF($Y$1="",0,N(ISNUMBER(SEARCH($Y$1,Database!$AC123&amp;""))))+IF(Screener!$B$17="",0,N(ISNUMBER(SEARCH(LOWER(Screener!$B$17),Database!$AC123&amp;""))))</f>
        <v/>
      </c>
      <c r="I123" s="270">
        <f>IF(OR(N(Database!$BH123)&lt;=0,N(Screener!$D$13)&lt;=0),0,MAX(0,1-ABS(LOG10(N(Database!$BH123)/Screener!$D$13))/W_PEHW))</f>
        <v/>
      </c>
      <c r="J123" s="270">
        <f>IF(OR(N(Database!$S123)&lt;=0,N(Screener!$D$14)&lt;=0),0,MAX(0,1-ABS(LOG10(Database!$S123/Screener!$D$14))/0.6))</f>
        <v/>
      </c>
      <c r="K123" s="270">
        <f>IF(Database!$B123=Screener!$B$5,-999999,IF(ISNUMBER(SEARCH(","&amp;Database!$A123&amp;",",","&amp;SUBSTITUTE(Screener!$D$17," ","")&amp;",")),2000000,IF(IF(OR(Screener!$B$18="All",AND(Screener!$B$18="With A-share",(Database!$BM123="Y")),AND(Screener!$B$18="Without A-share",NOT((Database!$BM123="Y")))),1,0)=0,-999999,IF(Screener!$B$16="cornerstone overlap first",H123*100000,IF(Screener!$B$16="demand-similar first",J123*100000,0))+W_SUB*B123+W_SEC*C123*(1-B123)+W_SIZE*D123+W_PROF*E123+W_AH*F123+W_REC*G123+W_CS*H123+W_PE*I123)))+ROW()/1000000</f>
        <v/>
      </c>
      <c r="AA123" s="270">
        <f>Database!B112</f>
        <v/>
      </c>
      <c r="AB123" s="270">
        <f>Database!D112</f>
        <v/>
      </c>
      <c r="AC123" s="270">
        <f>Database!E112</f>
        <v/>
      </c>
      <c r="AD123" s="270">
        <f>Database!I112</f>
        <v/>
      </c>
      <c r="AE123" s="270">
        <f>Database!BG112</f>
        <v/>
      </c>
      <c r="AF123" s="270">
        <f>Database!BM112</f>
        <v/>
      </c>
      <c r="AG123" s="270">
        <f>Database!H112</f>
        <v/>
      </c>
      <c r="AH123" s="270">
        <f>Database!BH112</f>
        <v/>
      </c>
    </row>
    <row r="124">
      <c r="A124" s="270">
        <f>Database!B124</f>
        <v/>
      </c>
      <c r="B124" s="270">
        <f>IF(AND(Screener!$D$8&lt;&gt;"",Database!$E124=Screener!$D$8),1,0)</f>
        <v/>
      </c>
      <c r="C124" s="270">
        <f>IF(AND(Screener!$D$7&lt;&gt;"",Database!$D124=Screener!$D$7),1,0)</f>
        <v/>
      </c>
      <c r="D124" s="270">
        <f>IF(OR(N(Database!$I124)&lt;=0,N(Screener!$D$9)&lt;=0),0,MAX(0,1-ABS(LOG10(N(Database!$I124)/Screener!$D$9))/W_SIZEHW))</f>
        <v/>
      </c>
      <c r="E124" s="270">
        <f>IF(OR(Database!$BG124="",Screener!$D$10=""),0,IF(Database!$BG124=Screener!$D$10,1,0))</f>
        <v/>
      </c>
      <c r="F124" s="270">
        <f>IF(OR(Database!$BM124="",Screener!$D$11=""),0,IF(Database!$BM124=Screener!$D$11,1,0))</f>
        <v/>
      </c>
      <c r="G124" s="270">
        <f>IF(OR(Database!$H124="",N(Screener!$D$12)&lt;=0),0,MAX(0,1-(N(Screener!$D$12)-Database!$H124)/W_RECD))</f>
        <v/>
      </c>
      <c r="H124" s="270">
        <f>IF($U$1="",0,N(ISNUMBER(SEARCH($U$1,Database!$AC124&amp;""))))+IF($V$1="",0,N(ISNUMBER(SEARCH($V$1,Database!$AC124&amp;""))))+IF($W$1="",0,N(ISNUMBER(SEARCH($W$1,Database!$AC124&amp;""))))+IF($X$1="",0,N(ISNUMBER(SEARCH($X$1,Database!$AC124&amp;""))))+IF($Y$1="",0,N(ISNUMBER(SEARCH($Y$1,Database!$AC124&amp;""))))+IF(Screener!$B$17="",0,N(ISNUMBER(SEARCH(LOWER(Screener!$B$17),Database!$AC124&amp;""))))</f>
        <v/>
      </c>
      <c r="I124" s="270">
        <f>IF(OR(N(Database!$BH124)&lt;=0,N(Screener!$D$13)&lt;=0),0,MAX(0,1-ABS(LOG10(N(Database!$BH124)/Screener!$D$13))/W_PEHW))</f>
        <v/>
      </c>
      <c r="J124" s="270">
        <f>IF(OR(N(Database!$S124)&lt;=0,N(Screener!$D$14)&lt;=0),0,MAX(0,1-ABS(LOG10(Database!$S124/Screener!$D$14))/0.6))</f>
        <v/>
      </c>
      <c r="K124" s="270">
        <f>IF(Database!$B124=Screener!$B$5,-999999,IF(ISNUMBER(SEARCH(","&amp;Database!$A124&amp;",",","&amp;SUBSTITUTE(Screener!$D$17," ","")&amp;",")),2000000,IF(IF(OR(Screener!$B$18="All",AND(Screener!$B$18="With A-share",(Database!$BM124="Y")),AND(Screener!$B$18="Without A-share",NOT((Database!$BM124="Y")))),1,0)=0,-999999,IF(Screener!$B$16="cornerstone overlap first",H124*100000,IF(Screener!$B$16="demand-similar first",J124*100000,0))+W_SUB*B124+W_SEC*C124*(1-B124)+W_SIZE*D124+W_PROF*E124+W_AH*F124+W_REC*G124+W_CS*H124+W_PE*I124)))+ROW()/1000000</f>
        <v/>
      </c>
      <c r="AA124" s="270">
        <f>Database!B113</f>
        <v/>
      </c>
      <c r="AB124" s="270">
        <f>Database!D113</f>
        <v/>
      </c>
      <c r="AC124" s="270">
        <f>Database!E113</f>
        <v/>
      </c>
      <c r="AD124" s="270">
        <f>Database!I113</f>
        <v/>
      </c>
      <c r="AE124" s="270">
        <f>Database!BG113</f>
        <v/>
      </c>
      <c r="AF124" s="270">
        <f>Database!BM113</f>
        <v/>
      </c>
      <c r="AG124" s="270">
        <f>Database!H113</f>
        <v/>
      </c>
      <c r="AH124" s="270">
        <f>Database!BH113</f>
        <v/>
      </c>
    </row>
    <row r="125">
      <c r="A125" s="270">
        <f>Database!B125</f>
        <v/>
      </c>
      <c r="B125" s="270">
        <f>IF(AND(Screener!$D$8&lt;&gt;"",Database!$E125=Screener!$D$8),1,0)</f>
        <v/>
      </c>
      <c r="C125" s="270">
        <f>IF(AND(Screener!$D$7&lt;&gt;"",Database!$D125=Screener!$D$7),1,0)</f>
        <v/>
      </c>
      <c r="D125" s="270">
        <f>IF(OR(N(Database!$I125)&lt;=0,N(Screener!$D$9)&lt;=0),0,MAX(0,1-ABS(LOG10(N(Database!$I125)/Screener!$D$9))/W_SIZEHW))</f>
        <v/>
      </c>
      <c r="E125" s="270">
        <f>IF(OR(Database!$BG125="",Screener!$D$10=""),0,IF(Database!$BG125=Screener!$D$10,1,0))</f>
        <v/>
      </c>
      <c r="F125" s="270">
        <f>IF(OR(Database!$BM125="",Screener!$D$11=""),0,IF(Database!$BM125=Screener!$D$11,1,0))</f>
        <v/>
      </c>
      <c r="G125" s="270">
        <f>IF(OR(Database!$H125="",N(Screener!$D$12)&lt;=0),0,MAX(0,1-(N(Screener!$D$12)-Database!$H125)/W_RECD))</f>
        <v/>
      </c>
      <c r="H125" s="270">
        <f>IF($U$1="",0,N(ISNUMBER(SEARCH($U$1,Database!$AC125&amp;""))))+IF($V$1="",0,N(ISNUMBER(SEARCH($V$1,Database!$AC125&amp;""))))+IF($W$1="",0,N(ISNUMBER(SEARCH($W$1,Database!$AC125&amp;""))))+IF($X$1="",0,N(ISNUMBER(SEARCH($X$1,Database!$AC125&amp;""))))+IF($Y$1="",0,N(ISNUMBER(SEARCH($Y$1,Database!$AC125&amp;""))))+IF(Screener!$B$17="",0,N(ISNUMBER(SEARCH(LOWER(Screener!$B$17),Database!$AC125&amp;""))))</f>
        <v/>
      </c>
      <c r="I125" s="270">
        <f>IF(OR(N(Database!$BH125)&lt;=0,N(Screener!$D$13)&lt;=0),0,MAX(0,1-ABS(LOG10(N(Database!$BH125)/Screener!$D$13))/W_PEHW))</f>
        <v/>
      </c>
      <c r="J125" s="270">
        <f>IF(OR(N(Database!$S125)&lt;=0,N(Screener!$D$14)&lt;=0),0,MAX(0,1-ABS(LOG10(Database!$S125/Screener!$D$14))/0.6))</f>
        <v/>
      </c>
      <c r="K125" s="270">
        <f>IF(Database!$B125=Screener!$B$5,-999999,IF(ISNUMBER(SEARCH(","&amp;Database!$A125&amp;",",","&amp;SUBSTITUTE(Screener!$D$17," ","")&amp;",")),2000000,IF(IF(OR(Screener!$B$18="All",AND(Screener!$B$18="With A-share",(Database!$BM125="Y")),AND(Screener!$B$18="Without A-share",NOT((Database!$BM125="Y")))),1,0)=0,-999999,IF(Screener!$B$16="cornerstone overlap first",H125*100000,IF(Screener!$B$16="demand-similar first",J125*100000,0))+W_SUB*B125+W_SEC*C125*(1-B125)+W_SIZE*D125+W_PROF*E125+W_AH*F125+W_REC*G125+W_CS*H125+W_PE*I125)))+ROW()/1000000</f>
        <v/>
      </c>
      <c r="AA125" s="270">
        <f>Database!B114</f>
        <v/>
      </c>
      <c r="AB125" s="270">
        <f>Database!D114</f>
        <v/>
      </c>
      <c r="AC125" s="270">
        <f>Database!E114</f>
        <v/>
      </c>
      <c r="AD125" s="270">
        <f>Database!I114</f>
        <v/>
      </c>
      <c r="AE125" s="270">
        <f>Database!BG114</f>
        <v/>
      </c>
      <c r="AF125" s="270">
        <f>Database!BM114</f>
        <v/>
      </c>
      <c r="AG125" s="270">
        <f>Database!H114</f>
        <v/>
      </c>
      <c r="AH125" s="270">
        <f>Database!BH114</f>
        <v/>
      </c>
    </row>
    <row r="126">
      <c r="A126" s="270">
        <f>Database!B126</f>
        <v/>
      </c>
      <c r="B126" s="270">
        <f>IF(AND(Screener!$D$8&lt;&gt;"",Database!$E126=Screener!$D$8),1,0)</f>
        <v/>
      </c>
      <c r="C126" s="270">
        <f>IF(AND(Screener!$D$7&lt;&gt;"",Database!$D126=Screener!$D$7),1,0)</f>
        <v/>
      </c>
      <c r="D126" s="270">
        <f>IF(OR(N(Database!$I126)&lt;=0,N(Screener!$D$9)&lt;=0),0,MAX(0,1-ABS(LOG10(N(Database!$I126)/Screener!$D$9))/W_SIZEHW))</f>
        <v/>
      </c>
      <c r="E126" s="270">
        <f>IF(OR(Database!$BG126="",Screener!$D$10=""),0,IF(Database!$BG126=Screener!$D$10,1,0))</f>
        <v/>
      </c>
      <c r="F126" s="270">
        <f>IF(OR(Database!$BM126="",Screener!$D$11=""),0,IF(Database!$BM126=Screener!$D$11,1,0))</f>
        <v/>
      </c>
      <c r="G126" s="270">
        <f>IF(OR(Database!$H126="",N(Screener!$D$12)&lt;=0),0,MAX(0,1-(N(Screener!$D$12)-Database!$H126)/W_RECD))</f>
        <v/>
      </c>
      <c r="H126" s="270">
        <f>IF($U$1="",0,N(ISNUMBER(SEARCH($U$1,Database!$AC126&amp;""))))+IF($V$1="",0,N(ISNUMBER(SEARCH($V$1,Database!$AC126&amp;""))))+IF($W$1="",0,N(ISNUMBER(SEARCH($W$1,Database!$AC126&amp;""))))+IF($X$1="",0,N(ISNUMBER(SEARCH($X$1,Database!$AC126&amp;""))))+IF($Y$1="",0,N(ISNUMBER(SEARCH($Y$1,Database!$AC126&amp;""))))+IF(Screener!$B$17="",0,N(ISNUMBER(SEARCH(LOWER(Screener!$B$17),Database!$AC126&amp;""))))</f>
        <v/>
      </c>
      <c r="I126" s="270">
        <f>IF(OR(N(Database!$BH126)&lt;=0,N(Screener!$D$13)&lt;=0),0,MAX(0,1-ABS(LOG10(N(Database!$BH126)/Screener!$D$13))/W_PEHW))</f>
        <v/>
      </c>
      <c r="J126" s="270">
        <f>IF(OR(N(Database!$S126)&lt;=0,N(Screener!$D$14)&lt;=0),0,MAX(0,1-ABS(LOG10(Database!$S126/Screener!$D$14))/0.6))</f>
        <v/>
      </c>
      <c r="K126" s="270">
        <f>IF(Database!$B126=Screener!$B$5,-999999,IF(ISNUMBER(SEARCH(","&amp;Database!$A126&amp;",",","&amp;SUBSTITUTE(Screener!$D$17," ","")&amp;",")),2000000,IF(IF(OR(Screener!$B$18="All",AND(Screener!$B$18="With A-share",(Database!$BM126="Y")),AND(Screener!$B$18="Without A-share",NOT((Database!$BM126="Y")))),1,0)=0,-999999,IF(Screener!$B$16="cornerstone overlap first",H126*100000,IF(Screener!$B$16="demand-similar first",J126*100000,0))+W_SUB*B126+W_SEC*C126*(1-B126)+W_SIZE*D126+W_PROF*E126+W_AH*F126+W_REC*G126+W_CS*H126+W_PE*I126)))+ROW()/1000000</f>
        <v/>
      </c>
      <c r="AA126" s="270">
        <f>Database!B115</f>
        <v/>
      </c>
      <c r="AB126" s="270">
        <f>Database!D115</f>
        <v/>
      </c>
      <c r="AC126" s="270">
        <f>Database!E115</f>
        <v/>
      </c>
      <c r="AD126" s="270">
        <f>Database!I115</f>
        <v/>
      </c>
      <c r="AE126" s="270">
        <f>Database!BG115</f>
        <v/>
      </c>
      <c r="AF126" s="270">
        <f>Database!BM115</f>
        <v/>
      </c>
      <c r="AG126" s="270">
        <f>Database!H115</f>
        <v/>
      </c>
      <c r="AH126" s="270">
        <f>Database!BH115</f>
        <v/>
      </c>
    </row>
    <row r="127">
      <c r="A127" s="270">
        <f>Database!B127</f>
        <v/>
      </c>
      <c r="B127" s="270">
        <f>IF(AND(Screener!$D$8&lt;&gt;"",Database!$E127=Screener!$D$8),1,0)</f>
        <v/>
      </c>
      <c r="C127" s="270">
        <f>IF(AND(Screener!$D$7&lt;&gt;"",Database!$D127=Screener!$D$7),1,0)</f>
        <v/>
      </c>
      <c r="D127" s="270">
        <f>IF(OR(N(Database!$I127)&lt;=0,N(Screener!$D$9)&lt;=0),0,MAX(0,1-ABS(LOG10(N(Database!$I127)/Screener!$D$9))/W_SIZEHW))</f>
        <v/>
      </c>
      <c r="E127" s="270">
        <f>IF(OR(Database!$BG127="",Screener!$D$10=""),0,IF(Database!$BG127=Screener!$D$10,1,0))</f>
        <v/>
      </c>
      <c r="F127" s="270">
        <f>IF(OR(Database!$BM127="",Screener!$D$11=""),0,IF(Database!$BM127=Screener!$D$11,1,0))</f>
        <v/>
      </c>
      <c r="G127" s="270">
        <f>IF(OR(Database!$H127="",N(Screener!$D$12)&lt;=0),0,MAX(0,1-(N(Screener!$D$12)-Database!$H127)/W_RECD))</f>
        <v/>
      </c>
      <c r="H127" s="270">
        <f>IF($U$1="",0,N(ISNUMBER(SEARCH($U$1,Database!$AC127&amp;""))))+IF($V$1="",0,N(ISNUMBER(SEARCH($V$1,Database!$AC127&amp;""))))+IF($W$1="",0,N(ISNUMBER(SEARCH($W$1,Database!$AC127&amp;""))))+IF($X$1="",0,N(ISNUMBER(SEARCH($X$1,Database!$AC127&amp;""))))+IF($Y$1="",0,N(ISNUMBER(SEARCH($Y$1,Database!$AC127&amp;""))))+IF(Screener!$B$17="",0,N(ISNUMBER(SEARCH(LOWER(Screener!$B$17),Database!$AC127&amp;""))))</f>
        <v/>
      </c>
      <c r="I127" s="270">
        <f>IF(OR(N(Database!$BH127)&lt;=0,N(Screener!$D$13)&lt;=0),0,MAX(0,1-ABS(LOG10(N(Database!$BH127)/Screener!$D$13))/W_PEHW))</f>
        <v/>
      </c>
      <c r="J127" s="270">
        <f>IF(OR(N(Database!$S127)&lt;=0,N(Screener!$D$14)&lt;=0),0,MAX(0,1-ABS(LOG10(Database!$S127/Screener!$D$14))/0.6))</f>
        <v/>
      </c>
      <c r="K127" s="270">
        <f>IF(Database!$B127=Screener!$B$5,-999999,IF(ISNUMBER(SEARCH(","&amp;Database!$A127&amp;",",","&amp;SUBSTITUTE(Screener!$D$17," ","")&amp;",")),2000000,IF(IF(OR(Screener!$B$18="All",AND(Screener!$B$18="With A-share",(Database!$BM127="Y")),AND(Screener!$B$18="Without A-share",NOT((Database!$BM127="Y")))),1,0)=0,-999999,IF(Screener!$B$16="cornerstone overlap first",H127*100000,IF(Screener!$B$16="demand-similar first",J127*100000,0))+W_SUB*B127+W_SEC*C127*(1-B127)+W_SIZE*D127+W_PROF*E127+W_AH*F127+W_REC*G127+W_CS*H127+W_PE*I127)))+ROW()/1000000</f>
        <v/>
      </c>
      <c r="AA127" s="270">
        <f>Database!B116</f>
        <v/>
      </c>
      <c r="AB127" s="270">
        <f>Database!D116</f>
        <v/>
      </c>
      <c r="AC127" s="270">
        <f>Database!E116</f>
        <v/>
      </c>
      <c r="AD127" s="270">
        <f>Database!I116</f>
        <v/>
      </c>
      <c r="AE127" s="270">
        <f>Database!BG116</f>
        <v/>
      </c>
      <c r="AF127" s="270">
        <f>Database!BM116</f>
        <v/>
      </c>
      <c r="AG127" s="270">
        <f>Database!H116</f>
        <v/>
      </c>
      <c r="AH127" s="270">
        <f>Database!BH116</f>
        <v/>
      </c>
    </row>
    <row r="128">
      <c r="A128" s="270">
        <f>Database!B128</f>
        <v/>
      </c>
      <c r="B128" s="270">
        <f>IF(AND(Screener!$D$8&lt;&gt;"",Database!$E128=Screener!$D$8),1,0)</f>
        <v/>
      </c>
      <c r="C128" s="270">
        <f>IF(AND(Screener!$D$7&lt;&gt;"",Database!$D128=Screener!$D$7),1,0)</f>
        <v/>
      </c>
      <c r="D128" s="270">
        <f>IF(OR(N(Database!$I128)&lt;=0,N(Screener!$D$9)&lt;=0),0,MAX(0,1-ABS(LOG10(N(Database!$I128)/Screener!$D$9))/W_SIZEHW))</f>
        <v/>
      </c>
      <c r="E128" s="270">
        <f>IF(OR(Database!$BG128="",Screener!$D$10=""),0,IF(Database!$BG128=Screener!$D$10,1,0))</f>
        <v/>
      </c>
      <c r="F128" s="270">
        <f>IF(OR(Database!$BM128="",Screener!$D$11=""),0,IF(Database!$BM128=Screener!$D$11,1,0))</f>
        <v/>
      </c>
      <c r="G128" s="270">
        <f>IF(OR(Database!$H128="",N(Screener!$D$12)&lt;=0),0,MAX(0,1-(N(Screener!$D$12)-Database!$H128)/W_RECD))</f>
        <v/>
      </c>
      <c r="H128" s="270">
        <f>IF($U$1="",0,N(ISNUMBER(SEARCH($U$1,Database!$AC128&amp;""))))+IF($V$1="",0,N(ISNUMBER(SEARCH($V$1,Database!$AC128&amp;""))))+IF($W$1="",0,N(ISNUMBER(SEARCH($W$1,Database!$AC128&amp;""))))+IF($X$1="",0,N(ISNUMBER(SEARCH($X$1,Database!$AC128&amp;""))))+IF($Y$1="",0,N(ISNUMBER(SEARCH($Y$1,Database!$AC128&amp;""))))+IF(Screener!$B$17="",0,N(ISNUMBER(SEARCH(LOWER(Screener!$B$17),Database!$AC128&amp;""))))</f>
        <v/>
      </c>
      <c r="I128" s="270">
        <f>IF(OR(N(Database!$BH128)&lt;=0,N(Screener!$D$13)&lt;=0),0,MAX(0,1-ABS(LOG10(N(Database!$BH128)/Screener!$D$13))/W_PEHW))</f>
        <v/>
      </c>
      <c r="J128" s="270">
        <f>IF(OR(N(Database!$S128)&lt;=0,N(Screener!$D$14)&lt;=0),0,MAX(0,1-ABS(LOG10(Database!$S128/Screener!$D$14))/0.6))</f>
        <v/>
      </c>
      <c r="K128" s="270">
        <f>IF(Database!$B128=Screener!$B$5,-999999,IF(ISNUMBER(SEARCH(","&amp;Database!$A128&amp;",",","&amp;SUBSTITUTE(Screener!$D$17," ","")&amp;",")),2000000,IF(IF(OR(Screener!$B$18="All",AND(Screener!$B$18="With A-share",(Database!$BM128="Y")),AND(Screener!$B$18="Without A-share",NOT((Database!$BM128="Y")))),1,0)=0,-999999,IF(Screener!$B$16="cornerstone overlap first",H128*100000,IF(Screener!$B$16="demand-similar first",J128*100000,0))+W_SUB*B128+W_SEC*C128*(1-B128)+W_SIZE*D128+W_PROF*E128+W_AH*F128+W_REC*G128+W_CS*H128+W_PE*I128)))+ROW()/1000000</f>
        <v/>
      </c>
      <c r="AA128" s="270">
        <f>Database!B117</f>
        <v/>
      </c>
      <c r="AB128" s="270">
        <f>Database!D117</f>
        <v/>
      </c>
      <c r="AC128" s="270">
        <f>Database!E117</f>
        <v/>
      </c>
      <c r="AD128" s="270">
        <f>Database!I117</f>
        <v/>
      </c>
      <c r="AE128" s="270">
        <f>Database!BG117</f>
        <v/>
      </c>
      <c r="AF128" s="270">
        <f>Database!BM117</f>
        <v/>
      </c>
      <c r="AG128" s="270">
        <f>Database!H117</f>
        <v/>
      </c>
      <c r="AH128" s="270">
        <f>Database!BH117</f>
        <v/>
      </c>
    </row>
    <row r="129">
      <c r="A129" s="270">
        <f>Database!B129</f>
        <v/>
      </c>
      <c r="B129" s="270">
        <f>IF(AND(Screener!$D$8&lt;&gt;"",Database!$E129=Screener!$D$8),1,0)</f>
        <v/>
      </c>
      <c r="C129" s="270">
        <f>IF(AND(Screener!$D$7&lt;&gt;"",Database!$D129=Screener!$D$7),1,0)</f>
        <v/>
      </c>
      <c r="D129" s="270">
        <f>IF(OR(N(Database!$I129)&lt;=0,N(Screener!$D$9)&lt;=0),0,MAX(0,1-ABS(LOG10(N(Database!$I129)/Screener!$D$9))/W_SIZEHW))</f>
        <v/>
      </c>
      <c r="E129" s="270">
        <f>IF(OR(Database!$BG129="",Screener!$D$10=""),0,IF(Database!$BG129=Screener!$D$10,1,0))</f>
        <v/>
      </c>
      <c r="F129" s="270">
        <f>IF(OR(Database!$BM129="",Screener!$D$11=""),0,IF(Database!$BM129=Screener!$D$11,1,0))</f>
        <v/>
      </c>
      <c r="G129" s="270">
        <f>IF(OR(Database!$H129="",N(Screener!$D$12)&lt;=0),0,MAX(0,1-(N(Screener!$D$12)-Database!$H129)/W_RECD))</f>
        <v/>
      </c>
      <c r="H129" s="270">
        <f>IF($U$1="",0,N(ISNUMBER(SEARCH($U$1,Database!$AC129&amp;""))))+IF($V$1="",0,N(ISNUMBER(SEARCH($V$1,Database!$AC129&amp;""))))+IF($W$1="",0,N(ISNUMBER(SEARCH($W$1,Database!$AC129&amp;""))))+IF($X$1="",0,N(ISNUMBER(SEARCH($X$1,Database!$AC129&amp;""))))+IF($Y$1="",0,N(ISNUMBER(SEARCH($Y$1,Database!$AC129&amp;""))))+IF(Screener!$B$17="",0,N(ISNUMBER(SEARCH(LOWER(Screener!$B$17),Database!$AC129&amp;""))))</f>
        <v/>
      </c>
      <c r="I129" s="270">
        <f>IF(OR(N(Database!$BH129)&lt;=0,N(Screener!$D$13)&lt;=0),0,MAX(0,1-ABS(LOG10(N(Database!$BH129)/Screener!$D$13))/W_PEHW))</f>
        <v/>
      </c>
      <c r="J129" s="270">
        <f>IF(OR(N(Database!$S129)&lt;=0,N(Screener!$D$14)&lt;=0),0,MAX(0,1-ABS(LOG10(Database!$S129/Screener!$D$14))/0.6))</f>
        <v/>
      </c>
      <c r="K129" s="270">
        <f>IF(Database!$B129=Screener!$B$5,-999999,IF(ISNUMBER(SEARCH(","&amp;Database!$A129&amp;",",","&amp;SUBSTITUTE(Screener!$D$17," ","")&amp;",")),2000000,IF(IF(OR(Screener!$B$18="All",AND(Screener!$B$18="With A-share",(Database!$BM129="Y")),AND(Screener!$B$18="Without A-share",NOT((Database!$BM129="Y")))),1,0)=0,-999999,IF(Screener!$B$16="cornerstone overlap first",H129*100000,IF(Screener!$B$16="demand-similar first",J129*100000,0))+W_SUB*B129+W_SEC*C129*(1-B129)+W_SIZE*D129+W_PROF*E129+W_AH*F129+W_REC*G129+W_CS*H129+W_PE*I129)))+ROW()/1000000</f>
        <v/>
      </c>
      <c r="AA129" s="270">
        <f>Database!B118</f>
        <v/>
      </c>
      <c r="AB129" s="270">
        <f>Database!D118</f>
        <v/>
      </c>
      <c r="AC129" s="270">
        <f>Database!E118</f>
        <v/>
      </c>
      <c r="AD129" s="270">
        <f>Database!I118</f>
        <v/>
      </c>
      <c r="AE129" s="270">
        <f>Database!BG118</f>
        <v/>
      </c>
      <c r="AF129" s="270">
        <f>Database!BM118</f>
        <v/>
      </c>
      <c r="AG129" s="270">
        <f>Database!H118</f>
        <v/>
      </c>
      <c r="AH129" s="270">
        <f>Database!BH118</f>
        <v/>
      </c>
    </row>
    <row r="130">
      <c r="A130" s="270">
        <f>Database!B130</f>
        <v/>
      </c>
      <c r="B130" s="270">
        <f>IF(AND(Screener!$D$8&lt;&gt;"",Database!$E130=Screener!$D$8),1,0)</f>
        <v/>
      </c>
      <c r="C130" s="270">
        <f>IF(AND(Screener!$D$7&lt;&gt;"",Database!$D130=Screener!$D$7),1,0)</f>
        <v/>
      </c>
      <c r="D130" s="270">
        <f>IF(OR(N(Database!$I130)&lt;=0,N(Screener!$D$9)&lt;=0),0,MAX(0,1-ABS(LOG10(N(Database!$I130)/Screener!$D$9))/W_SIZEHW))</f>
        <v/>
      </c>
      <c r="E130" s="270">
        <f>IF(OR(Database!$BG130="",Screener!$D$10=""),0,IF(Database!$BG130=Screener!$D$10,1,0))</f>
        <v/>
      </c>
      <c r="F130" s="270">
        <f>IF(OR(Database!$BM130="",Screener!$D$11=""),0,IF(Database!$BM130=Screener!$D$11,1,0))</f>
        <v/>
      </c>
      <c r="G130" s="270">
        <f>IF(OR(Database!$H130="",N(Screener!$D$12)&lt;=0),0,MAX(0,1-(N(Screener!$D$12)-Database!$H130)/W_RECD))</f>
        <v/>
      </c>
      <c r="H130" s="270">
        <f>IF($U$1="",0,N(ISNUMBER(SEARCH($U$1,Database!$AC130&amp;""))))+IF($V$1="",0,N(ISNUMBER(SEARCH($V$1,Database!$AC130&amp;""))))+IF($W$1="",0,N(ISNUMBER(SEARCH($W$1,Database!$AC130&amp;""))))+IF($X$1="",0,N(ISNUMBER(SEARCH($X$1,Database!$AC130&amp;""))))+IF($Y$1="",0,N(ISNUMBER(SEARCH($Y$1,Database!$AC130&amp;""))))+IF(Screener!$B$17="",0,N(ISNUMBER(SEARCH(LOWER(Screener!$B$17),Database!$AC130&amp;""))))</f>
        <v/>
      </c>
      <c r="I130" s="270">
        <f>IF(OR(N(Database!$BH130)&lt;=0,N(Screener!$D$13)&lt;=0),0,MAX(0,1-ABS(LOG10(N(Database!$BH130)/Screener!$D$13))/W_PEHW))</f>
        <v/>
      </c>
      <c r="J130" s="270">
        <f>IF(OR(N(Database!$S130)&lt;=0,N(Screener!$D$14)&lt;=0),0,MAX(0,1-ABS(LOG10(Database!$S130/Screener!$D$14))/0.6))</f>
        <v/>
      </c>
      <c r="K130" s="270">
        <f>IF(Database!$B130=Screener!$B$5,-999999,IF(ISNUMBER(SEARCH(","&amp;Database!$A130&amp;",",","&amp;SUBSTITUTE(Screener!$D$17," ","")&amp;",")),2000000,IF(IF(OR(Screener!$B$18="All",AND(Screener!$B$18="With A-share",(Database!$BM130="Y")),AND(Screener!$B$18="Without A-share",NOT((Database!$BM130="Y")))),1,0)=0,-999999,IF(Screener!$B$16="cornerstone overlap first",H130*100000,IF(Screener!$B$16="demand-similar first",J130*100000,0))+W_SUB*B130+W_SEC*C130*(1-B130)+W_SIZE*D130+W_PROF*E130+W_AH*F130+W_REC*G130+W_CS*H130+W_PE*I130)))+ROW()/1000000</f>
        <v/>
      </c>
      <c r="AA130" s="270">
        <f>Database!B119</f>
        <v/>
      </c>
      <c r="AB130" s="270">
        <f>Database!D119</f>
        <v/>
      </c>
      <c r="AC130" s="270">
        <f>Database!E119</f>
        <v/>
      </c>
      <c r="AD130" s="270">
        <f>Database!I119</f>
        <v/>
      </c>
      <c r="AE130" s="270">
        <f>Database!BG119</f>
        <v/>
      </c>
      <c r="AF130" s="270">
        <f>Database!BM119</f>
        <v/>
      </c>
      <c r="AG130" s="270">
        <f>Database!H119</f>
        <v/>
      </c>
      <c r="AH130" s="270">
        <f>Database!BH119</f>
        <v/>
      </c>
    </row>
    <row r="131">
      <c r="A131" s="270">
        <f>Database!B131</f>
        <v/>
      </c>
      <c r="B131" s="270">
        <f>IF(AND(Screener!$D$8&lt;&gt;"",Database!$E131=Screener!$D$8),1,0)</f>
        <v/>
      </c>
      <c r="C131" s="270">
        <f>IF(AND(Screener!$D$7&lt;&gt;"",Database!$D131=Screener!$D$7),1,0)</f>
        <v/>
      </c>
      <c r="D131" s="270">
        <f>IF(OR(N(Database!$I131)&lt;=0,N(Screener!$D$9)&lt;=0),0,MAX(0,1-ABS(LOG10(N(Database!$I131)/Screener!$D$9))/W_SIZEHW))</f>
        <v/>
      </c>
      <c r="E131" s="270">
        <f>IF(OR(Database!$BG131="",Screener!$D$10=""),0,IF(Database!$BG131=Screener!$D$10,1,0))</f>
        <v/>
      </c>
      <c r="F131" s="270">
        <f>IF(OR(Database!$BM131="",Screener!$D$11=""),0,IF(Database!$BM131=Screener!$D$11,1,0))</f>
        <v/>
      </c>
      <c r="G131" s="270">
        <f>IF(OR(Database!$H131="",N(Screener!$D$12)&lt;=0),0,MAX(0,1-(N(Screener!$D$12)-Database!$H131)/W_RECD))</f>
        <v/>
      </c>
      <c r="H131" s="270">
        <f>IF($U$1="",0,N(ISNUMBER(SEARCH($U$1,Database!$AC131&amp;""))))+IF($V$1="",0,N(ISNUMBER(SEARCH($V$1,Database!$AC131&amp;""))))+IF($W$1="",0,N(ISNUMBER(SEARCH($W$1,Database!$AC131&amp;""))))+IF($X$1="",0,N(ISNUMBER(SEARCH($X$1,Database!$AC131&amp;""))))+IF($Y$1="",0,N(ISNUMBER(SEARCH($Y$1,Database!$AC131&amp;""))))+IF(Screener!$B$17="",0,N(ISNUMBER(SEARCH(LOWER(Screener!$B$17),Database!$AC131&amp;""))))</f>
        <v/>
      </c>
      <c r="I131" s="270">
        <f>IF(OR(N(Database!$BH131)&lt;=0,N(Screener!$D$13)&lt;=0),0,MAX(0,1-ABS(LOG10(N(Database!$BH131)/Screener!$D$13))/W_PEHW))</f>
        <v/>
      </c>
      <c r="J131" s="270">
        <f>IF(OR(N(Database!$S131)&lt;=0,N(Screener!$D$14)&lt;=0),0,MAX(0,1-ABS(LOG10(Database!$S131/Screener!$D$14))/0.6))</f>
        <v/>
      </c>
      <c r="K131" s="270">
        <f>IF(Database!$B131=Screener!$B$5,-999999,IF(ISNUMBER(SEARCH(","&amp;Database!$A131&amp;",",","&amp;SUBSTITUTE(Screener!$D$17," ","")&amp;",")),2000000,IF(IF(OR(Screener!$B$18="All",AND(Screener!$B$18="With A-share",(Database!$BM131="Y")),AND(Screener!$B$18="Without A-share",NOT((Database!$BM131="Y")))),1,0)=0,-999999,IF(Screener!$B$16="cornerstone overlap first",H131*100000,IF(Screener!$B$16="demand-similar first",J131*100000,0))+W_SUB*B131+W_SEC*C131*(1-B131)+W_SIZE*D131+W_PROF*E131+W_AH*F131+W_REC*G131+W_CS*H131+W_PE*I131)))+ROW()/1000000</f>
        <v/>
      </c>
      <c r="AA131" s="270">
        <f>Database!B120</f>
        <v/>
      </c>
      <c r="AB131" s="270">
        <f>Database!D120</f>
        <v/>
      </c>
      <c r="AC131" s="270">
        <f>Database!E120</f>
        <v/>
      </c>
      <c r="AD131" s="270">
        <f>Database!I120</f>
        <v/>
      </c>
      <c r="AE131" s="270">
        <f>Database!BG120</f>
        <v/>
      </c>
      <c r="AF131" s="270">
        <f>Database!BM120</f>
        <v/>
      </c>
      <c r="AG131" s="270">
        <f>Database!H120</f>
        <v/>
      </c>
      <c r="AH131" s="270">
        <f>Database!BH120</f>
        <v/>
      </c>
    </row>
    <row r="132">
      <c r="A132" s="270">
        <f>Database!B132</f>
        <v/>
      </c>
      <c r="B132" s="270">
        <f>IF(AND(Screener!$D$8&lt;&gt;"",Database!$E132=Screener!$D$8),1,0)</f>
        <v/>
      </c>
      <c r="C132" s="270">
        <f>IF(AND(Screener!$D$7&lt;&gt;"",Database!$D132=Screener!$D$7),1,0)</f>
        <v/>
      </c>
      <c r="D132" s="270">
        <f>IF(OR(N(Database!$I132)&lt;=0,N(Screener!$D$9)&lt;=0),0,MAX(0,1-ABS(LOG10(N(Database!$I132)/Screener!$D$9))/W_SIZEHW))</f>
        <v/>
      </c>
      <c r="E132" s="270">
        <f>IF(OR(Database!$BG132="",Screener!$D$10=""),0,IF(Database!$BG132=Screener!$D$10,1,0))</f>
        <v/>
      </c>
      <c r="F132" s="270">
        <f>IF(OR(Database!$BM132="",Screener!$D$11=""),0,IF(Database!$BM132=Screener!$D$11,1,0))</f>
        <v/>
      </c>
      <c r="G132" s="270">
        <f>IF(OR(Database!$H132="",N(Screener!$D$12)&lt;=0),0,MAX(0,1-(N(Screener!$D$12)-Database!$H132)/W_RECD))</f>
        <v/>
      </c>
      <c r="H132" s="270">
        <f>IF($U$1="",0,N(ISNUMBER(SEARCH($U$1,Database!$AC132&amp;""))))+IF($V$1="",0,N(ISNUMBER(SEARCH($V$1,Database!$AC132&amp;""))))+IF($W$1="",0,N(ISNUMBER(SEARCH($W$1,Database!$AC132&amp;""))))+IF($X$1="",0,N(ISNUMBER(SEARCH($X$1,Database!$AC132&amp;""))))+IF($Y$1="",0,N(ISNUMBER(SEARCH($Y$1,Database!$AC132&amp;""))))+IF(Screener!$B$17="",0,N(ISNUMBER(SEARCH(LOWER(Screener!$B$17),Database!$AC132&amp;""))))</f>
        <v/>
      </c>
      <c r="I132" s="270">
        <f>IF(OR(N(Database!$BH132)&lt;=0,N(Screener!$D$13)&lt;=0),0,MAX(0,1-ABS(LOG10(N(Database!$BH132)/Screener!$D$13))/W_PEHW))</f>
        <v/>
      </c>
      <c r="J132" s="270">
        <f>IF(OR(N(Database!$S132)&lt;=0,N(Screener!$D$14)&lt;=0),0,MAX(0,1-ABS(LOG10(Database!$S132/Screener!$D$14))/0.6))</f>
        <v/>
      </c>
      <c r="K132" s="270">
        <f>IF(Database!$B132=Screener!$B$5,-999999,IF(ISNUMBER(SEARCH(","&amp;Database!$A132&amp;",",","&amp;SUBSTITUTE(Screener!$D$17," ","")&amp;",")),2000000,IF(IF(OR(Screener!$B$18="All",AND(Screener!$B$18="With A-share",(Database!$BM132="Y")),AND(Screener!$B$18="Without A-share",NOT((Database!$BM132="Y")))),1,0)=0,-999999,IF(Screener!$B$16="cornerstone overlap first",H132*100000,IF(Screener!$B$16="demand-similar first",J132*100000,0))+W_SUB*B132+W_SEC*C132*(1-B132)+W_SIZE*D132+W_PROF*E132+W_AH*F132+W_REC*G132+W_CS*H132+W_PE*I132)))+ROW()/1000000</f>
        <v/>
      </c>
      <c r="AA132" s="270">
        <f>Database!B121</f>
        <v/>
      </c>
      <c r="AB132" s="270">
        <f>Database!D121</f>
        <v/>
      </c>
      <c r="AC132" s="270">
        <f>Database!E121</f>
        <v/>
      </c>
      <c r="AD132" s="270">
        <f>Database!I121</f>
        <v/>
      </c>
      <c r="AE132" s="270">
        <f>Database!BG121</f>
        <v/>
      </c>
      <c r="AF132" s="270">
        <f>Database!BM121</f>
        <v/>
      </c>
      <c r="AG132" s="270">
        <f>Database!H121</f>
        <v/>
      </c>
      <c r="AH132" s="270">
        <f>Database!BH121</f>
        <v/>
      </c>
    </row>
    <row r="133">
      <c r="A133" s="270">
        <f>Database!B133</f>
        <v/>
      </c>
      <c r="B133" s="270">
        <f>IF(AND(Screener!$D$8&lt;&gt;"",Database!$E133=Screener!$D$8),1,0)</f>
        <v/>
      </c>
      <c r="C133" s="270">
        <f>IF(AND(Screener!$D$7&lt;&gt;"",Database!$D133=Screener!$D$7),1,0)</f>
        <v/>
      </c>
      <c r="D133" s="270">
        <f>IF(OR(N(Database!$I133)&lt;=0,N(Screener!$D$9)&lt;=0),0,MAX(0,1-ABS(LOG10(N(Database!$I133)/Screener!$D$9))/W_SIZEHW))</f>
        <v/>
      </c>
      <c r="E133" s="270">
        <f>IF(OR(Database!$BG133="",Screener!$D$10=""),0,IF(Database!$BG133=Screener!$D$10,1,0))</f>
        <v/>
      </c>
      <c r="F133" s="270">
        <f>IF(OR(Database!$BM133="",Screener!$D$11=""),0,IF(Database!$BM133=Screener!$D$11,1,0))</f>
        <v/>
      </c>
      <c r="G133" s="270">
        <f>IF(OR(Database!$H133="",N(Screener!$D$12)&lt;=0),0,MAX(0,1-(N(Screener!$D$12)-Database!$H133)/W_RECD))</f>
        <v/>
      </c>
      <c r="H133" s="270">
        <f>IF($U$1="",0,N(ISNUMBER(SEARCH($U$1,Database!$AC133&amp;""))))+IF($V$1="",0,N(ISNUMBER(SEARCH($V$1,Database!$AC133&amp;""))))+IF($W$1="",0,N(ISNUMBER(SEARCH($W$1,Database!$AC133&amp;""))))+IF($X$1="",0,N(ISNUMBER(SEARCH($X$1,Database!$AC133&amp;""))))+IF($Y$1="",0,N(ISNUMBER(SEARCH($Y$1,Database!$AC133&amp;""))))+IF(Screener!$B$17="",0,N(ISNUMBER(SEARCH(LOWER(Screener!$B$17),Database!$AC133&amp;""))))</f>
        <v/>
      </c>
      <c r="I133" s="270">
        <f>IF(OR(N(Database!$BH133)&lt;=0,N(Screener!$D$13)&lt;=0),0,MAX(0,1-ABS(LOG10(N(Database!$BH133)/Screener!$D$13))/W_PEHW))</f>
        <v/>
      </c>
      <c r="J133" s="270">
        <f>IF(OR(N(Database!$S133)&lt;=0,N(Screener!$D$14)&lt;=0),0,MAX(0,1-ABS(LOG10(Database!$S133/Screener!$D$14))/0.6))</f>
        <v/>
      </c>
      <c r="K133" s="270">
        <f>IF(Database!$B133=Screener!$B$5,-999999,IF(ISNUMBER(SEARCH(","&amp;Database!$A133&amp;",",","&amp;SUBSTITUTE(Screener!$D$17," ","")&amp;",")),2000000,IF(IF(OR(Screener!$B$18="All",AND(Screener!$B$18="With A-share",(Database!$BM133="Y")),AND(Screener!$B$18="Without A-share",NOT((Database!$BM133="Y")))),1,0)=0,-999999,IF(Screener!$B$16="cornerstone overlap first",H133*100000,IF(Screener!$B$16="demand-similar first",J133*100000,0))+W_SUB*B133+W_SEC*C133*(1-B133)+W_SIZE*D133+W_PROF*E133+W_AH*F133+W_REC*G133+W_CS*H133+W_PE*I133)))+ROW()/1000000</f>
        <v/>
      </c>
      <c r="AA133" s="270">
        <f>Database!B122</f>
        <v/>
      </c>
      <c r="AB133" s="270">
        <f>Database!D122</f>
        <v/>
      </c>
      <c r="AC133" s="270">
        <f>Database!E122</f>
        <v/>
      </c>
      <c r="AD133" s="270">
        <f>Database!I122</f>
        <v/>
      </c>
      <c r="AE133" s="270">
        <f>Database!BG122</f>
        <v/>
      </c>
      <c r="AF133" s="270">
        <f>Database!BM122</f>
        <v/>
      </c>
      <c r="AG133" s="270">
        <f>Database!H122</f>
        <v/>
      </c>
      <c r="AH133" s="270">
        <f>Database!BH122</f>
        <v/>
      </c>
    </row>
    <row r="134">
      <c r="A134" s="270">
        <f>Database!B134</f>
        <v/>
      </c>
      <c r="B134" s="270">
        <f>IF(AND(Screener!$D$8&lt;&gt;"",Database!$E134=Screener!$D$8),1,0)</f>
        <v/>
      </c>
      <c r="C134" s="270">
        <f>IF(AND(Screener!$D$7&lt;&gt;"",Database!$D134=Screener!$D$7),1,0)</f>
        <v/>
      </c>
      <c r="D134" s="270">
        <f>IF(OR(N(Database!$I134)&lt;=0,N(Screener!$D$9)&lt;=0),0,MAX(0,1-ABS(LOG10(N(Database!$I134)/Screener!$D$9))/W_SIZEHW))</f>
        <v/>
      </c>
      <c r="E134" s="270">
        <f>IF(OR(Database!$BG134="",Screener!$D$10=""),0,IF(Database!$BG134=Screener!$D$10,1,0))</f>
        <v/>
      </c>
      <c r="F134" s="270">
        <f>IF(OR(Database!$BM134="",Screener!$D$11=""),0,IF(Database!$BM134=Screener!$D$11,1,0))</f>
        <v/>
      </c>
      <c r="G134" s="270">
        <f>IF(OR(Database!$H134="",N(Screener!$D$12)&lt;=0),0,MAX(0,1-(N(Screener!$D$12)-Database!$H134)/W_RECD))</f>
        <v/>
      </c>
      <c r="H134" s="270">
        <f>IF($U$1="",0,N(ISNUMBER(SEARCH($U$1,Database!$AC134&amp;""))))+IF($V$1="",0,N(ISNUMBER(SEARCH($V$1,Database!$AC134&amp;""))))+IF($W$1="",0,N(ISNUMBER(SEARCH($W$1,Database!$AC134&amp;""))))+IF($X$1="",0,N(ISNUMBER(SEARCH($X$1,Database!$AC134&amp;""))))+IF($Y$1="",0,N(ISNUMBER(SEARCH($Y$1,Database!$AC134&amp;""))))+IF(Screener!$B$17="",0,N(ISNUMBER(SEARCH(LOWER(Screener!$B$17),Database!$AC134&amp;""))))</f>
        <v/>
      </c>
      <c r="I134" s="270">
        <f>IF(OR(N(Database!$BH134)&lt;=0,N(Screener!$D$13)&lt;=0),0,MAX(0,1-ABS(LOG10(N(Database!$BH134)/Screener!$D$13))/W_PEHW))</f>
        <v/>
      </c>
      <c r="J134" s="270">
        <f>IF(OR(N(Database!$S134)&lt;=0,N(Screener!$D$14)&lt;=0),0,MAX(0,1-ABS(LOG10(Database!$S134/Screener!$D$14))/0.6))</f>
        <v/>
      </c>
      <c r="K134" s="270">
        <f>IF(Database!$B134=Screener!$B$5,-999999,IF(ISNUMBER(SEARCH(","&amp;Database!$A134&amp;",",","&amp;SUBSTITUTE(Screener!$D$17," ","")&amp;",")),2000000,IF(IF(OR(Screener!$B$18="All",AND(Screener!$B$18="With A-share",(Database!$BM134="Y")),AND(Screener!$B$18="Without A-share",NOT((Database!$BM134="Y")))),1,0)=0,-999999,IF(Screener!$B$16="cornerstone overlap first",H134*100000,IF(Screener!$B$16="demand-similar first",J134*100000,0))+W_SUB*B134+W_SEC*C134*(1-B134)+W_SIZE*D134+W_PROF*E134+W_AH*F134+W_REC*G134+W_CS*H134+W_PE*I134)))+ROW()/1000000</f>
        <v/>
      </c>
      <c r="AA134" s="270">
        <f>Database!B123</f>
        <v/>
      </c>
      <c r="AB134" s="270">
        <f>Database!D123</f>
        <v/>
      </c>
      <c r="AC134" s="270">
        <f>Database!E123</f>
        <v/>
      </c>
      <c r="AD134" s="270">
        <f>Database!I123</f>
        <v/>
      </c>
      <c r="AE134" s="270">
        <f>Database!BG123</f>
        <v/>
      </c>
      <c r="AF134" s="270">
        <f>Database!BM123</f>
        <v/>
      </c>
      <c r="AG134" s="270">
        <f>Database!H123</f>
        <v/>
      </c>
      <c r="AH134" s="270">
        <f>Database!BH123</f>
        <v/>
      </c>
    </row>
    <row r="135">
      <c r="A135" s="270">
        <f>Database!B135</f>
        <v/>
      </c>
      <c r="B135" s="270">
        <f>IF(AND(Screener!$D$8&lt;&gt;"",Database!$E135=Screener!$D$8),1,0)</f>
        <v/>
      </c>
      <c r="C135" s="270">
        <f>IF(AND(Screener!$D$7&lt;&gt;"",Database!$D135=Screener!$D$7),1,0)</f>
        <v/>
      </c>
      <c r="D135" s="270">
        <f>IF(OR(N(Database!$I135)&lt;=0,N(Screener!$D$9)&lt;=0),0,MAX(0,1-ABS(LOG10(N(Database!$I135)/Screener!$D$9))/W_SIZEHW))</f>
        <v/>
      </c>
      <c r="E135" s="270">
        <f>IF(OR(Database!$BG135="",Screener!$D$10=""),0,IF(Database!$BG135=Screener!$D$10,1,0))</f>
        <v/>
      </c>
      <c r="F135" s="270">
        <f>IF(OR(Database!$BM135="",Screener!$D$11=""),0,IF(Database!$BM135=Screener!$D$11,1,0))</f>
        <v/>
      </c>
      <c r="G135" s="270">
        <f>IF(OR(Database!$H135="",N(Screener!$D$12)&lt;=0),0,MAX(0,1-(N(Screener!$D$12)-Database!$H135)/W_RECD))</f>
        <v/>
      </c>
      <c r="H135" s="270">
        <f>IF($U$1="",0,N(ISNUMBER(SEARCH($U$1,Database!$AC135&amp;""))))+IF($V$1="",0,N(ISNUMBER(SEARCH($V$1,Database!$AC135&amp;""))))+IF($W$1="",0,N(ISNUMBER(SEARCH($W$1,Database!$AC135&amp;""))))+IF($X$1="",0,N(ISNUMBER(SEARCH($X$1,Database!$AC135&amp;""))))+IF($Y$1="",0,N(ISNUMBER(SEARCH($Y$1,Database!$AC135&amp;""))))+IF(Screener!$B$17="",0,N(ISNUMBER(SEARCH(LOWER(Screener!$B$17),Database!$AC135&amp;""))))</f>
        <v/>
      </c>
      <c r="I135" s="270">
        <f>IF(OR(N(Database!$BH135)&lt;=0,N(Screener!$D$13)&lt;=0),0,MAX(0,1-ABS(LOG10(N(Database!$BH135)/Screener!$D$13))/W_PEHW))</f>
        <v/>
      </c>
      <c r="J135" s="270">
        <f>IF(OR(N(Database!$S135)&lt;=0,N(Screener!$D$14)&lt;=0),0,MAX(0,1-ABS(LOG10(Database!$S135/Screener!$D$14))/0.6))</f>
        <v/>
      </c>
      <c r="K135" s="270">
        <f>IF(Database!$B135=Screener!$B$5,-999999,IF(ISNUMBER(SEARCH(","&amp;Database!$A135&amp;",",","&amp;SUBSTITUTE(Screener!$D$17," ","")&amp;",")),2000000,IF(IF(OR(Screener!$B$18="All",AND(Screener!$B$18="With A-share",(Database!$BM135="Y")),AND(Screener!$B$18="Without A-share",NOT((Database!$BM135="Y")))),1,0)=0,-999999,IF(Screener!$B$16="cornerstone overlap first",H135*100000,IF(Screener!$B$16="demand-similar first",J135*100000,0))+W_SUB*B135+W_SEC*C135*(1-B135)+W_SIZE*D135+W_PROF*E135+W_AH*F135+W_REC*G135+W_CS*H135+W_PE*I135)))+ROW()/1000000</f>
        <v/>
      </c>
      <c r="AA135" s="270">
        <f>Database!B124</f>
        <v/>
      </c>
      <c r="AB135" s="270">
        <f>Database!D124</f>
        <v/>
      </c>
      <c r="AC135" s="270">
        <f>Database!E124</f>
        <v/>
      </c>
      <c r="AD135" s="270">
        <f>Database!I124</f>
        <v/>
      </c>
      <c r="AE135" s="270">
        <f>Database!BG124</f>
        <v/>
      </c>
      <c r="AF135" s="270">
        <f>Database!BM124</f>
        <v/>
      </c>
      <c r="AG135" s="270">
        <f>Database!H124</f>
        <v/>
      </c>
      <c r="AH135" s="270">
        <f>Database!BH124</f>
        <v/>
      </c>
    </row>
    <row r="136">
      <c r="A136" s="270">
        <f>Database!B136</f>
        <v/>
      </c>
      <c r="B136" s="270">
        <f>IF(AND(Screener!$D$8&lt;&gt;"",Database!$E136=Screener!$D$8),1,0)</f>
        <v/>
      </c>
      <c r="C136" s="270">
        <f>IF(AND(Screener!$D$7&lt;&gt;"",Database!$D136=Screener!$D$7),1,0)</f>
        <v/>
      </c>
      <c r="D136" s="270">
        <f>IF(OR(N(Database!$I136)&lt;=0,N(Screener!$D$9)&lt;=0),0,MAX(0,1-ABS(LOG10(N(Database!$I136)/Screener!$D$9))/W_SIZEHW))</f>
        <v/>
      </c>
      <c r="E136" s="270">
        <f>IF(OR(Database!$BG136="",Screener!$D$10=""),0,IF(Database!$BG136=Screener!$D$10,1,0))</f>
        <v/>
      </c>
      <c r="F136" s="270">
        <f>IF(OR(Database!$BM136="",Screener!$D$11=""),0,IF(Database!$BM136=Screener!$D$11,1,0))</f>
        <v/>
      </c>
      <c r="G136" s="270">
        <f>IF(OR(Database!$H136="",N(Screener!$D$12)&lt;=0),0,MAX(0,1-(N(Screener!$D$12)-Database!$H136)/W_RECD))</f>
        <v/>
      </c>
      <c r="H136" s="270">
        <f>IF($U$1="",0,N(ISNUMBER(SEARCH($U$1,Database!$AC136&amp;""))))+IF($V$1="",0,N(ISNUMBER(SEARCH($V$1,Database!$AC136&amp;""))))+IF($W$1="",0,N(ISNUMBER(SEARCH($W$1,Database!$AC136&amp;""))))+IF($X$1="",0,N(ISNUMBER(SEARCH($X$1,Database!$AC136&amp;""))))+IF($Y$1="",0,N(ISNUMBER(SEARCH($Y$1,Database!$AC136&amp;""))))+IF(Screener!$B$17="",0,N(ISNUMBER(SEARCH(LOWER(Screener!$B$17),Database!$AC136&amp;""))))</f>
        <v/>
      </c>
      <c r="I136" s="270">
        <f>IF(OR(N(Database!$BH136)&lt;=0,N(Screener!$D$13)&lt;=0),0,MAX(0,1-ABS(LOG10(N(Database!$BH136)/Screener!$D$13))/W_PEHW))</f>
        <v/>
      </c>
      <c r="J136" s="270">
        <f>IF(OR(N(Database!$S136)&lt;=0,N(Screener!$D$14)&lt;=0),0,MAX(0,1-ABS(LOG10(Database!$S136/Screener!$D$14))/0.6))</f>
        <v/>
      </c>
      <c r="K136" s="270">
        <f>IF(Database!$B136=Screener!$B$5,-999999,IF(ISNUMBER(SEARCH(","&amp;Database!$A136&amp;",",","&amp;SUBSTITUTE(Screener!$D$17," ","")&amp;",")),2000000,IF(IF(OR(Screener!$B$18="All",AND(Screener!$B$18="With A-share",(Database!$BM136="Y")),AND(Screener!$B$18="Without A-share",NOT((Database!$BM136="Y")))),1,0)=0,-999999,IF(Screener!$B$16="cornerstone overlap first",H136*100000,IF(Screener!$B$16="demand-similar first",J136*100000,0))+W_SUB*B136+W_SEC*C136*(1-B136)+W_SIZE*D136+W_PROF*E136+W_AH*F136+W_REC*G136+W_CS*H136+W_PE*I136)))+ROW()/1000000</f>
        <v/>
      </c>
      <c r="AA136" s="270">
        <f>Database!B125</f>
        <v/>
      </c>
      <c r="AB136" s="270">
        <f>Database!D125</f>
        <v/>
      </c>
      <c r="AC136" s="270">
        <f>Database!E125</f>
        <v/>
      </c>
      <c r="AD136" s="270">
        <f>Database!I125</f>
        <v/>
      </c>
      <c r="AE136" s="270">
        <f>Database!BG125</f>
        <v/>
      </c>
      <c r="AF136" s="270">
        <f>Database!BM125</f>
        <v/>
      </c>
      <c r="AG136" s="270">
        <f>Database!H125</f>
        <v/>
      </c>
      <c r="AH136" s="270">
        <f>Database!BH125</f>
        <v/>
      </c>
    </row>
    <row r="137">
      <c r="A137" s="270">
        <f>Database!B137</f>
        <v/>
      </c>
      <c r="B137" s="270">
        <f>IF(AND(Screener!$D$8&lt;&gt;"",Database!$E137=Screener!$D$8),1,0)</f>
        <v/>
      </c>
      <c r="C137" s="270">
        <f>IF(AND(Screener!$D$7&lt;&gt;"",Database!$D137=Screener!$D$7),1,0)</f>
        <v/>
      </c>
      <c r="D137" s="270">
        <f>IF(OR(N(Database!$I137)&lt;=0,N(Screener!$D$9)&lt;=0),0,MAX(0,1-ABS(LOG10(N(Database!$I137)/Screener!$D$9))/W_SIZEHW))</f>
        <v/>
      </c>
      <c r="E137" s="270">
        <f>IF(OR(Database!$BG137="",Screener!$D$10=""),0,IF(Database!$BG137=Screener!$D$10,1,0))</f>
        <v/>
      </c>
      <c r="F137" s="270">
        <f>IF(OR(Database!$BM137="",Screener!$D$11=""),0,IF(Database!$BM137=Screener!$D$11,1,0))</f>
        <v/>
      </c>
      <c r="G137" s="270">
        <f>IF(OR(Database!$H137="",N(Screener!$D$12)&lt;=0),0,MAX(0,1-(N(Screener!$D$12)-Database!$H137)/W_RECD))</f>
        <v/>
      </c>
      <c r="H137" s="270">
        <f>IF($U$1="",0,N(ISNUMBER(SEARCH($U$1,Database!$AC137&amp;""))))+IF($V$1="",0,N(ISNUMBER(SEARCH($V$1,Database!$AC137&amp;""))))+IF($W$1="",0,N(ISNUMBER(SEARCH($W$1,Database!$AC137&amp;""))))+IF($X$1="",0,N(ISNUMBER(SEARCH($X$1,Database!$AC137&amp;""))))+IF($Y$1="",0,N(ISNUMBER(SEARCH($Y$1,Database!$AC137&amp;""))))+IF(Screener!$B$17="",0,N(ISNUMBER(SEARCH(LOWER(Screener!$B$17),Database!$AC137&amp;""))))</f>
        <v/>
      </c>
      <c r="I137" s="270">
        <f>IF(OR(N(Database!$BH137)&lt;=0,N(Screener!$D$13)&lt;=0),0,MAX(0,1-ABS(LOG10(N(Database!$BH137)/Screener!$D$13))/W_PEHW))</f>
        <v/>
      </c>
      <c r="J137" s="270">
        <f>IF(OR(N(Database!$S137)&lt;=0,N(Screener!$D$14)&lt;=0),0,MAX(0,1-ABS(LOG10(Database!$S137/Screener!$D$14))/0.6))</f>
        <v/>
      </c>
      <c r="K137" s="270">
        <f>IF(Database!$B137=Screener!$B$5,-999999,IF(ISNUMBER(SEARCH(","&amp;Database!$A137&amp;",",","&amp;SUBSTITUTE(Screener!$D$17," ","")&amp;",")),2000000,IF(IF(OR(Screener!$B$18="All",AND(Screener!$B$18="With A-share",(Database!$BM137="Y")),AND(Screener!$B$18="Without A-share",NOT((Database!$BM137="Y")))),1,0)=0,-999999,IF(Screener!$B$16="cornerstone overlap first",H137*100000,IF(Screener!$B$16="demand-similar first",J137*100000,0))+W_SUB*B137+W_SEC*C137*(1-B137)+W_SIZE*D137+W_PROF*E137+W_AH*F137+W_REC*G137+W_CS*H137+W_PE*I137)))+ROW()/1000000</f>
        <v/>
      </c>
      <c r="AA137" s="270">
        <f>Database!B126</f>
        <v/>
      </c>
      <c r="AB137" s="270">
        <f>Database!D126</f>
        <v/>
      </c>
      <c r="AC137" s="270">
        <f>Database!E126</f>
        <v/>
      </c>
      <c r="AD137" s="270">
        <f>Database!I126</f>
        <v/>
      </c>
      <c r="AE137" s="270">
        <f>Database!BG126</f>
        <v/>
      </c>
      <c r="AF137" s="270">
        <f>Database!BM126</f>
        <v/>
      </c>
      <c r="AG137" s="270">
        <f>Database!H126</f>
        <v/>
      </c>
      <c r="AH137" s="270">
        <f>Database!BH126</f>
        <v/>
      </c>
    </row>
    <row r="138">
      <c r="A138" s="270">
        <f>Database!B138</f>
        <v/>
      </c>
      <c r="B138" s="270">
        <f>IF(AND(Screener!$D$8&lt;&gt;"",Database!$E138=Screener!$D$8),1,0)</f>
        <v/>
      </c>
      <c r="C138" s="270">
        <f>IF(AND(Screener!$D$7&lt;&gt;"",Database!$D138=Screener!$D$7),1,0)</f>
        <v/>
      </c>
      <c r="D138" s="270">
        <f>IF(OR(N(Database!$I138)&lt;=0,N(Screener!$D$9)&lt;=0),0,MAX(0,1-ABS(LOG10(N(Database!$I138)/Screener!$D$9))/W_SIZEHW))</f>
        <v/>
      </c>
      <c r="E138" s="270">
        <f>IF(OR(Database!$BG138="",Screener!$D$10=""),0,IF(Database!$BG138=Screener!$D$10,1,0))</f>
        <v/>
      </c>
      <c r="F138" s="270">
        <f>IF(OR(Database!$BM138="",Screener!$D$11=""),0,IF(Database!$BM138=Screener!$D$11,1,0))</f>
        <v/>
      </c>
      <c r="G138" s="270">
        <f>IF(OR(Database!$H138="",N(Screener!$D$12)&lt;=0),0,MAX(0,1-(N(Screener!$D$12)-Database!$H138)/W_RECD))</f>
        <v/>
      </c>
      <c r="H138" s="270">
        <f>IF($U$1="",0,N(ISNUMBER(SEARCH($U$1,Database!$AC138&amp;""))))+IF($V$1="",0,N(ISNUMBER(SEARCH($V$1,Database!$AC138&amp;""))))+IF($W$1="",0,N(ISNUMBER(SEARCH($W$1,Database!$AC138&amp;""))))+IF($X$1="",0,N(ISNUMBER(SEARCH($X$1,Database!$AC138&amp;""))))+IF($Y$1="",0,N(ISNUMBER(SEARCH($Y$1,Database!$AC138&amp;""))))+IF(Screener!$B$17="",0,N(ISNUMBER(SEARCH(LOWER(Screener!$B$17),Database!$AC138&amp;""))))</f>
        <v/>
      </c>
      <c r="I138" s="270">
        <f>IF(OR(N(Database!$BH138)&lt;=0,N(Screener!$D$13)&lt;=0),0,MAX(0,1-ABS(LOG10(N(Database!$BH138)/Screener!$D$13))/W_PEHW))</f>
        <v/>
      </c>
      <c r="J138" s="270">
        <f>IF(OR(N(Database!$S138)&lt;=0,N(Screener!$D$14)&lt;=0),0,MAX(0,1-ABS(LOG10(Database!$S138/Screener!$D$14))/0.6))</f>
        <v/>
      </c>
      <c r="K138" s="270">
        <f>IF(Database!$B138=Screener!$B$5,-999999,IF(ISNUMBER(SEARCH(","&amp;Database!$A138&amp;",",","&amp;SUBSTITUTE(Screener!$D$17," ","")&amp;",")),2000000,IF(IF(OR(Screener!$B$18="All",AND(Screener!$B$18="With A-share",(Database!$BM138="Y")),AND(Screener!$B$18="Without A-share",NOT((Database!$BM138="Y")))),1,0)=0,-999999,IF(Screener!$B$16="cornerstone overlap first",H138*100000,IF(Screener!$B$16="demand-similar first",J138*100000,0))+W_SUB*B138+W_SEC*C138*(1-B138)+W_SIZE*D138+W_PROF*E138+W_AH*F138+W_REC*G138+W_CS*H138+W_PE*I138)))+ROW()/1000000</f>
        <v/>
      </c>
      <c r="AA138" s="270">
        <f>Database!B127</f>
        <v/>
      </c>
      <c r="AB138" s="270">
        <f>Database!D127</f>
        <v/>
      </c>
      <c r="AC138" s="270">
        <f>Database!E127</f>
        <v/>
      </c>
      <c r="AD138" s="270">
        <f>Database!I127</f>
        <v/>
      </c>
      <c r="AE138" s="270">
        <f>Database!BG127</f>
        <v/>
      </c>
      <c r="AF138" s="270">
        <f>Database!BM127</f>
        <v/>
      </c>
      <c r="AG138" s="270">
        <f>Database!H127</f>
        <v/>
      </c>
      <c r="AH138" s="270">
        <f>Database!BH127</f>
        <v/>
      </c>
    </row>
    <row r="139">
      <c r="A139" s="270">
        <f>Database!B139</f>
        <v/>
      </c>
      <c r="B139" s="270">
        <f>IF(AND(Screener!$D$8&lt;&gt;"",Database!$E139=Screener!$D$8),1,0)</f>
        <v/>
      </c>
      <c r="C139" s="270">
        <f>IF(AND(Screener!$D$7&lt;&gt;"",Database!$D139=Screener!$D$7),1,0)</f>
        <v/>
      </c>
      <c r="D139" s="270">
        <f>IF(OR(N(Database!$I139)&lt;=0,N(Screener!$D$9)&lt;=0),0,MAX(0,1-ABS(LOG10(N(Database!$I139)/Screener!$D$9))/W_SIZEHW))</f>
        <v/>
      </c>
      <c r="E139" s="270">
        <f>IF(OR(Database!$BG139="",Screener!$D$10=""),0,IF(Database!$BG139=Screener!$D$10,1,0))</f>
        <v/>
      </c>
      <c r="F139" s="270">
        <f>IF(OR(Database!$BM139="",Screener!$D$11=""),0,IF(Database!$BM139=Screener!$D$11,1,0))</f>
        <v/>
      </c>
      <c r="G139" s="270">
        <f>IF(OR(Database!$H139="",N(Screener!$D$12)&lt;=0),0,MAX(0,1-(N(Screener!$D$12)-Database!$H139)/W_RECD))</f>
        <v/>
      </c>
      <c r="H139" s="270">
        <f>IF($U$1="",0,N(ISNUMBER(SEARCH($U$1,Database!$AC139&amp;""))))+IF($V$1="",0,N(ISNUMBER(SEARCH($V$1,Database!$AC139&amp;""))))+IF($W$1="",0,N(ISNUMBER(SEARCH($W$1,Database!$AC139&amp;""))))+IF($X$1="",0,N(ISNUMBER(SEARCH($X$1,Database!$AC139&amp;""))))+IF($Y$1="",0,N(ISNUMBER(SEARCH($Y$1,Database!$AC139&amp;""))))+IF(Screener!$B$17="",0,N(ISNUMBER(SEARCH(LOWER(Screener!$B$17),Database!$AC139&amp;""))))</f>
        <v/>
      </c>
      <c r="I139" s="270">
        <f>IF(OR(N(Database!$BH139)&lt;=0,N(Screener!$D$13)&lt;=0),0,MAX(0,1-ABS(LOG10(N(Database!$BH139)/Screener!$D$13))/W_PEHW))</f>
        <v/>
      </c>
      <c r="J139" s="270">
        <f>IF(OR(N(Database!$S139)&lt;=0,N(Screener!$D$14)&lt;=0),0,MAX(0,1-ABS(LOG10(Database!$S139/Screener!$D$14))/0.6))</f>
        <v/>
      </c>
      <c r="K139" s="270">
        <f>IF(Database!$B139=Screener!$B$5,-999999,IF(ISNUMBER(SEARCH(","&amp;Database!$A139&amp;",",","&amp;SUBSTITUTE(Screener!$D$17," ","")&amp;",")),2000000,IF(IF(OR(Screener!$B$18="All",AND(Screener!$B$18="With A-share",(Database!$BM139="Y")),AND(Screener!$B$18="Without A-share",NOT((Database!$BM139="Y")))),1,0)=0,-999999,IF(Screener!$B$16="cornerstone overlap first",H139*100000,IF(Screener!$B$16="demand-similar first",J139*100000,0))+W_SUB*B139+W_SEC*C139*(1-B139)+W_SIZE*D139+W_PROF*E139+W_AH*F139+W_REC*G139+W_CS*H139+W_PE*I139)))+ROW()/1000000</f>
        <v/>
      </c>
      <c r="AA139" s="270">
        <f>Database!B128</f>
        <v/>
      </c>
      <c r="AB139" s="270">
        <f>Database!D128</f>
        <v/>
      </c>
      <c r="AC139" s="270">
        <f>Database!E128</f>
        <v/>
      </c>
      <c r="AD139" s="270">
        <f>Database!I128</f>
        <v/>
      </c>
      <c r="AE139" s="270">
        <f>Database!BG128</f>
        <v/>
      </c>
      <c r="AF139" s="270">
        <f>Database!BM128</f>
        <v/>
      </c>
      <c r="AG139" s="270">
        <f>Database!H128</f>
        <v/>
      </c>
      <c r="AH139" s="270">
        <f>Database!BH128</f>
        <v/>
      </c>
    </row>
    <row r="140">
      <c r="A140" s="270">
        <f>Database!B140</f>
        <v/>
      </c>
      <c r="B140" s="270">
        <f>IF(AND(Screener!$D$8&lt;&gt;"",Database!$E140=Screener!$D$8),1,0)</f>
        <v/>
      </c>
      <c r="C140" s="270">
        <f>IF(AND(Screener!$D$7&lt;&gt;"",Database!$D140=Screener!$D$7),1,0)</f>
        <v/>
      </c>
      <c r="D140" s="270">
        <f>IF(OR(N(Database!$I140)&lt;=0,N(Screener!$D$9)&lt;=0),0,MAX(0,1-ABS(LOG10(N(Database!$I140)/Screener!$D$9))/W_SIZEHW))</f>
        <v/>
      </c>
      <c r="E140" s="270">
        <f>IF(OR(Database!$BG140="",Screener!$D$10=""),0,IF(Database!$BG140=Screener!$D$10,1,0))</f>
        <v/>
      </c>
      <c r="F140" s="270">
        <f>IF(OR(Database!$BM140="",Screener!$D$11=""),0,IF(Database!$BM140=Screener!$D$11,1,0))</f>
        <v/>
      </c>
      <c r="G140" s="270">
        <f>IF(OR(Database!$H140="",N(Screener!$D$12)&lt;=0),0,MAX(0,1-(N(Screener!$D$12)-Database!$H140)/W_RECD))</f>
        <v/>
      </c>
      <c r="H140" s="270">
        <f>IF($U$1="",0,N(ISNUMBER(SEARCH($U$1,Database!$AC140&amp;""))))+IF($V$1="",0,N(ISNUMBER(SEARCH($V$1,Database!$AC140&amp;""))))+IF($W$1="",0,N(ISNUMBER(SEARCH($W$1,Database!$AC140&amp;""))))+IF($X$1="",0,N(ISNUMBER(SEARCH($X$1,Database!$AC140&amp;""))))+IF($Y$1="",0,N(ISNUMBER(SEARCH($Y$1,Database!$AC140&amp;""))))+IF(Screener!$B$17="",0,N(ISNUMBER(SEARCH(LOWER(Screener!$B$17),Database!$AC140&amp;""))))</f>
        <v/>
      </c>
      <c r="I140" s="270">
        <f>IF(OR(N(Database!$BH140)&lt;=0,N(Screener!$D$13)&lt;=0),0,MAX(0,1-ABS(LOG10(N(Database!$BH140)/Screener!$D$13))/W_PEHW))</f>
        <v/>
      </c>
      <c r="J140" s="270">
        <f>IF(OR(N(Database!$S140)&lt;=0,N(Screener!$D$14)&lt;=0),0,MAX(0,1-ABS(LOG10(Database!$S140/Screener!$D$14))/0.6))</f>
        <v/>
      </c>
      <c r="K140" s="270">
        <f>IF(Database!$B140=Screener!$B$5,-999999,IF(ISNUMBER(SEARCH(","&amp;Database!$A140&amp;",",","&amp;SUBSTITUTE(Screener!$D$17," ","")&amp;",")),2000000,IF(IF(OR(Screener!$B$18="All",AND(Screener!$B$18="With A-share",(Database!$BM140="Y")),AND(Screener!$B$18="Without A-share",NOT((Database!$BM140="Y")))),1,0)=0,-999999,IF(Screener!$B$16="cornerstone overlap first",H140*100000,IF(Screener!$B$16="demand-similar first",J140*100000,0))+W_SUB*B140+W_SEC*C140*(1-B140)+W_SIZE*D140+W_PROF*E140+W_AH*F140+W_REC*G140+W_CS*H140+W_PE*I140)))+ROW()/1000000</f>
        <v/>
      </c>
      <c r="AA140" s="270">
        <f>Database!B129</f>
        <v/>
      </c>
      <c r="AB140" s="270">
        <f>Database!D129</f>
        <v/>
      </c>
      <c r="AC140" s="270">
        <f>Database!E129</f>
        <v/>
      </c>
      <c r="AD140" s="270">
        <f>Database!I129</f>
        <v/>
      </c>
      <c r="AE140" s="270">
        <f>Database!BG129</f>
        <v/>
      </c>
      <c r="AF140" s="270">
        <f>Database!BM129</f>
        <v/>
      </c>
      <c r="AG140" s="270">
        <f>Database!H129</f>
        <v/>
      </c>
      <c r="AH140" s="270">
        <f>Database!BH129</f>
        <v/>
      </c>
    </row>
    <row r="141">
      <c r="A141" s="270">
        <f>Database!B141</f>
        <v/>
      </c>
      <c r="B141" s="270">
        <f>IF(AND(Screener!$D$8&lt;&gt;"",Database!$E141=Screener!$D$8),1,0)</f>
        <v/>
      </c>
      <c r="C141" s="270">
        <f>IF(AND(Screener!$D$7&lt;&gt;"",Database!$D141=Screener!$D$7),1,0)</f>
        <v/>
      </c>
      <c r="D141" s="270">
        <f>IF(OR(N(Database!$I141)&lt;=0,N(Screener!$D$9)&lt;=0),0,MAX(0,1-ABS(LOG10(N(Database!$I141)/Screener!$D$9))/W_SIZEHW))</f>
        <v/>
      </c>
      <c r="E141" s="270">
        <f>IF(OR(Database!$BG141="",Screener!$D$10=""),0,IF(Database!$BG141=Screener!$D$10,1,0))</f>
        <v/>
      </c>
      <c r="F141" s="270">
        <f>IF(OR(Database!$BM141="",Screener!$D$11=""),0,IF(Database!$BM141=Screener!$D$11,1,0))</f>
        <v/>
      </c>
      <c r="G141" s="270">
        <f>IF(OR(Database!$H141="",N(Screener!$D$12)&lt;=0),0,MAX(0,1-(N(Screener!$D$12)-Database!$H141)/W_RECD))</f>
        <v/>
      </c>
      <c r="H141" s="270">
        <f>IF($U$1="",0,N(ISNUMBER(SEARCH($U$1,Database!$AC141&amp;""))))+IF($V$1="",0,N(ISNUMBER(SEARCH($V$1,Database!$AC141&amp;""))))+IF($W$1="",0,N(ISNUMBER(SEARCH($W$1,Database!$AC141&amp;""))))+IF($X$1="",0,N(ISNUMBER(SEARCH($X$1,Database!$AC141&amp;""))))+IF($Y$1="",0,N(ISNUMBER(SEARCH($Y$1,Database!$AC141&amp;""))))+IF(Screener!$B$17="",0,N(ISNUMBER(SEARCH(LOWER(Screener!$B$17),Database!$AC141&amp;""))))</f>
        <v/>
      </c>
      <c r="I141" s="270">
        <f>IF(OR(N(Database!$BH141)&lt;=0,N(Screener!$D$13)&lt;=0),0,MAX(0,1-ABS(LOG10(N(Database!$BH141)/Screener!$D$13))/W_PEHW))</f>
        <v/>
      </c>
      <c r="J141" s="270">
        <f>IF(OR(N(Database!$S141)&lt;=0,N(Screener!$D$14)&lt;=0),0,MAX(0,1-ABS(LOG10(Database!$S141/Screener!$D$14))/0.6))</f>
        <v/>
      </c>
      <c r="K141" s="270">
        <f>IF(Database!$B141=Screener!$B$5,-999999,IF(ISNUMBER(SEARCH(","&amp;Database!$A141&amp;",",","&amp;SUBSTITUTE(Screener!$D$17," ","")&amp;",")),2000000,IF(IF(OR(Screener!$B$18="All",AND(Screener!$B$18="With A-share",(Database!$BM141="Y")),AND(Screener!$B$18="Without A-share",NOT((Database!$BM141="Y")))),1,0)=0,-999999,IF(Screener!$B$16="cornerstone overlap first",H141*100000,IF(Screener!$B$16="demand-similar first",J141*100000,0))+W_SUB*B141+W_SEC*C141*(1-B141)+W_SIZE*D141+W_PROF*E141+W_AH*F141+W_REC*G141+W_CS*H141+W_PE*I141)))+ROW()/1000000</f>
        <v/>
      </c>
      <c r="AA141" s="270">
        <f>Database!B130</f>
        <v/>
      </c>
      <c r="AB141" s="270">
        <f>Database!D130</f>
        <v/>
      </c>
      <c r="AC141" s="270">
        <f>Database!E130</f>
        <v/>
      </c>
      <c r="AD141" s="270">
        <f>Database!I130</f>
        <v/>
      </c>
      <c r="AE141" s="270">
        <f>Database!BG130</f>
        <v/>
      </c>
      <c r="AF141" s="270">
        <f>Database!BM130</f>
        <v/>
      </c>
      <c r="AG141" s="270">
        <f>Database!H130</f>
        <v/>
      </c>
      <c r="AH141" s="270">
        <f>Database!BH130</f>
        <v/>
      </c>
    </row>
    <row r="142">
      <c r="A142" s="270">
        <f>Database!B142</f>
        <v/>
      </c>
      <c r="B142" s="270">
        <f>IF(AND(Screener!$D$8&lt;&gt;"",Database!$E142=Screener!$D$8),1,0)</f>
        <v/>
      </c>
      <c r="C142" s="270">
        <f>IF(AND(Screener!$D$7&lt;&gt;"",Database!$D142=Screener!$D$7),1,0)</f>
        <v/>
      </c>
      <c r="D142" s="270">
        <f>IF(OR(N(Database!$I142)&lt;=0,N(Screener!$D$9)&lt;=0),0,MAX(0,1-ABS(LOG10(N(Database!$I142)/Screener!$D$9))/W_SIZEHW))</f>
        <v/>
      </c>
      <c r="E142" s="270">
        <f>IF(OR(Database!$BG142="",Screener!$D$10=""),0,IF(Database!$BG142=Screener!$D$10,1,0))</f>
        <v/>
      </c>
      <c r="F142" s="270">
        <f>IF(OR(Database!$BM142="",Screener!$D$11=""),0,IF(Database!$BM142=Screener!$D$11,1,0))</f>
        <v/>
      </c>
      <c r="G142" s="270">
        <f>IF(OR(Database!$H142="",N(Screener!$D$12)&lt;=0),0,MAX(0,1-(N(Screener!$D$12)-Database!$H142)/W_RECD))</f>
        <v/>
      </c>
      <c r="H142" s="270">
        <f>IF($U$1="",0,N(ISNUMBER(SEARCH($U$1,Database!$AC142&amp;""))))+IF($V$1="",0,N(ISNUMBER(SEARCH($V$1,Database!$AC142&amp;""))))+IF($W$1="",0,N(ISNUMBER(SEARCH($W$1,Database!$AC142&amp;""))))+IF($X$1="",0,N(ISNUMBER(SEARCH($X$1,Database!$AC142&amp;""))))+IF($Y$1="",0,N(ISNUMBER(SEARCH($Y$1,Database!$AC142&amp;""))))+IF(Screener!$B$17="",0,N(ISNUMBER(SEARCH(LOWER(Screener!$B$17),Database!$AC142&amp;""))))</f>
        <v/>
      </c>
      <c r="I142" s="270">
        <f>IF(OR(N(Database!$BH142)&lt;=0,N(Screener!$D$13)&lt;=0),0,MAX(0,1-ABS(LOG10(N(Database!$BH142)/Screener!$D$13))/W_PEHW))</f>
        <v/>
      </c>
      <c r="J142" s="270">
        <f>IF(OR(N(Database!$S142)&lt;=0,N(Screener!$D$14)&lt;=0),0,MAX(0,1-ABS(LOG10(Database!$S142/Screener!$D$14))/0.6))</f>
        <v/>
      </c>
      <c r="K142" s="270">
        <f>IF(Database!$B142=Screener!$B$5,-999999,IF(ISNUMBER(SEARCH(","&amp;Database!$A142&amp;",",","&amp;SUBSTITUTE(Screener!$D$17," ","")&amp;",")),2000000,IF(IF(OR(Screener!$B$18="All",AND(Screener!$B$18="With A-share",(Database!$BM142="Y")),AND(Screener!$B$18="Without A-share",NOT((Database!$BM142="Y")))),1,0)=0,-999999,IF(Screener!$B$16="cornerstone overlap first",H142*100000,IF(Screener!$B$16="demand-similar first",J142*100000,0))+W_SUB*B142+W_SEC*C142*(1-B142)+W_SIZE*D142+W_PROF*E142+W_AH*F142+W_REC*G142+W_CS*H142+W_PE*I142)))+ROW()/1000000</f>
        <v/>
      </c>
      <c r="AA142" s="270">
        <f>Database!B131</f>
        <v/>
      </c>
      <c r="AB142" s="270">
        <f>Database!D131</f>
        <v/>
      </c>
      <c r="AC142" s="270">
        <f>Database!E131</f>
        <v/>
      </c>
      <c r="AD142" s="270">
        <f>Database!I131</f>
        <v/>
      </c>
      <c r="AE142" s="270">
        <f>Database!BG131</f>
        <v/>
      </c>
      <c r="AF142" s="270">
        <f>Database!BM131</f>
        <v/>
      </c>
      <c r="AG142" s="270">
        <f>Database!H131</f>
        <v/>
      </c>
      <c r="AH142" s="270">
        <f>Database!BH131</f>
        <v/>
      </c>
    </row>
    <row r="143">
      <c r="A143" s="270">
        <f>Database!B143</f>
        <v/>
      </c>
      <c r="B143" s="270">
        <f>IF(AND(Screener!$D$8&lt;&gt;"",Database!$E143=Screener!$D$8),1,0)</f>
        <v/>
      </c>
      <c r="C143" s="270">
        <f>IF(AND(Screener!$D$7&lt;&gt;"",Database!$D143=Screener!$D$7),1,0)</f>
        <v/>
      </c>
      <c r="D143" s="270">
        <f>IF(OR(N(Database!$I143)&lt;=0,N(Screener!$D$9)&lt;=0),0,MAX(0,1-ABS(LOG10(N(Database!$I143)/Screener!$D$9))/W_SIZEHW))</f>
        <v/>
      </c>
      <c r="E143" s="270">
        <f>IF(OR(Database!$BG143="",Screener!$D$10=""),0,IF(Database!$BG143=Screener!$D$10,1,0))</f>
        <v/>
      </c>
      <c r="F143" s="270">
        <f>IF(OR(Database!$BM143="",Screener!$D$11=""),0,IF(Database!$BM143=Screener!$D$11,1,0))</f>
        <v/>
      </c>
      <c r="G143" s="270">
        <f>IF(OR(Database!$H143="",N(Screener!$D$12)&lt;=0),0,MAX(0,1-(N(Screener!$D$12)-Database!$H143)/W_RECD))</f>
        <v/>
      </c>
      <c r="H143" s="270">
        <f>IF($U$1="",0,N(ISNUMBER(SEARCH($U$1,Database!$AC143&amp;""))))+IF($V$1="",0,N(ISNUMBER(SEARCH($V$1,Database!$AC143&amp;""))))+IF($W$1="",0,N(ISNUMBER(SEARCH($W$1,Database!$AC143&amp;""))))+IF($X$1="",0,N(ISNUMBER(SEARCH($X$1,Database!$AC143&amp;""))))+IF($Y$1="",0,N(ISNUMBER(SEARCH($Y$1,Database!$AC143&amp;""))))+IF(Screener!$B$17="",0,N(ISNUMBER(SEARCH(LOWER(Screener!$B$17),Database!$AC143&amp;""))))</f>
        <v/>
      </c>
      <c r="I143" s="270">
        <f>IF(OR(N(Database!$BH143)&lt;=0,N(Screener!$D$13)&lt;=0),0,MAX(0,1-ABS(LOG10(N(Database!$BH143)/Screener!$D$13))/W_PEHW))</f>
        <v/>
      </c>
      <c r="J143" s="270">
        <f>IF(OR(N(Database!$S143)&lt;=0,N(Screener!$D$14)&lt;=0),0,MAX(0,1-ABS(LOG10(Database!$S143/Screener!$D$14))/0.6))</f>
        <v/>
      </c>
      <c r="K143" s="270">
        <f>IF(Database!$B143=Screener!$B$5,-999999,IF(ISNUMBER(SEARCH(","&amp;Database!$A143&amp;",",","&amp;SUBSTITUTE(Screener!$D$17," ","")&amp;",")),2000000,IF(IF(OR(Screener!$B$18="All",AND(Screener!$B$18="With A-share",(Database!$BM143="Y")),AND(Screener!$B$18="Without A-share",NOT((Database!$BM143="Y")))),1,0)=0,-999999,IF(Screener!$B$16="cornerstone overlap first",H143*100000,IF(Screener!$B$16="demand-similar first",J143*100000,0))+W_SUB*B143+W_SEC*C143*(1-B143)+W_SIZE*D143+W_PROF*E143+W_AH*F143+W_REC*G143+W_CS*H143+W_PE*I143)))+ROW()/1000000</f>
        <v/>
      </c>
      <c r="AA143" s="270">
        <f>Database!B132</f>
        <v/>
      </c>
      <c r="AB143" s="270">
        <f>Database!D132</f>
        <v/>
      </c>
      <c r="AC143" s="270">
        <f>Database!E132</f>
        <v/>
      </c>
      <c r="AD143" s="270">
        <f>Database!I132</f>
        <v/>
      </c>
      <c r="AE143" s="270">
        <f>Database!BG132</f>
        <v/>
      </c>
      <c r="AF143" s="270">
        <f>Database!BM132</f>
        <v/>
      </c>
      <c r="AG143" s="270">
        <f>Database!H132</f>
        <v/>
      </c>
      <c r="AH143" s="270">
        <f>Database!BH132</f>
        <v/>
      </c>
    </row>
    <row r="144">
      <c r="A144" s="270">
        <f>Database!B144</f>
        <v/>
      </c>
      <c r="B144" s="270">
        <f>IF(AND(Screener!$D$8&lt;&gt;"",Database!$E144=Screener!$D$8),1,0)</f>
        <v/>
      </c>
      <c r="C144" s="270">
        <f>IF(AND(Screener!$D$7&lt;&gt;"",Database!$D144=Screener!$D$7),1,0)</f>
        <v/>
      </c>
      <c r="D144" s="270">
        <f>IF(OR(N(Database!$I144)&lt;=0,N(Screener!$D$9)&lt;=0),0,MAX(0,1-ABS(LOG10(N(Database!$I144)/Screener!$D$9))/W_SIZEHW))</f>
        <v/>
      </c>
      <c r="E144" s="270">
        <f>IF(OR(Database!$BG144="",Screener!$D$10=""),0,IF(Database!$BG144=Screener!$D$10,1,0))</f>
        <v/>
      </c>
      <c r="F144" s="270">
        <f>IF(OR(Database!$BM144="",Screener!$D$11=""),0,IF(Database!$BM144=Screener!$D$11,1,0))</f>
        <v/>
      </c>
      <c r="G144" s="270">
        <f>IF(OR(Database!$H144="",N(Screener!$D$12)&lt;=0),0,MAX(0,1-(N(Screener!$D$12)-Database!$H144)/W_RECD))</f>
        <v/>
      </c>
      <c r="H144" s="270">
        <f>IF($U$1="",0,N(ISNUMBER(SEARCH($U$1,Database!$AC144&amp;""))))+IF($V$1="",0,N(ISNUMBER(SEARCH($V$1,Database!$AC144&amp;""))))+IF($W$1="",0,N(ISNUMBER(SEARCH($W$1,Database!$AC144&amp;""))))+IF($X$1="",0,N(ISNUMBER(SEARCH($X$1,Database!$AC144&amp;""))))+IF($Y$1="",0,N(ISNUMBER(SEARCH($Y$1,Database!$AC144&amp;""))))+IF(Screener!$B$17="",0,N(ISNUMBER(SEARCH(LOWER(Screener!$B$17),Database!$AC144&amp;""))))</f>
        <v/>
      </c>
      <c r="I144" s="270">
        <f>IF(OR(N(Database!$BH144)&lt;=0,N(Screener!$D$13)&lt;=0),0,MAX(0,1-ABS(LOG10(N(Database!$BH144)/Screener!$D$13))/W_PEHW))</f>
        <v/>
      </c>
      <c r="J144" s="270">
        <f>IF(OR(N(Database!$S144)&lt;=0,N(Screener!$D$14)&lt;=0),0,MAX(0,1-ABS(LOG10(Database!$S144/Screener!$D$14))/0.6))</f>
        <v/>
      </c>
      <c r="K144" s="270">
        <f>IF(Database!$B144=Screener!$B$5,-999999,IF(ISNUMBER(SEARCH(","&amp;Database!$A144&amp;",",","&amp;SUBSTITUTE(Screener!$D$17," ","")&amp;",")),2000000,IF(IF(OR(Screener!$B$18="All",AND(Screener!$B$18="With A-share",(Database!$BM144="Y")),AND(Screener!$B$18="Without A-share",NOT((Database!$BM144="Y")))),1,0)=0,-999999,IF(Screener!$B$16="cornerstone overlap first",H144*100000,IF(Screener!$B$16="demand-similar first",J144*100000,0))+W_SUB*B144+W_SEC*C144*(1-B144)+W_SIZE*D144+W_PROF*E144+W_AH*F144+W_REC*G144+W_CS*H144+W_PE*I144)))+ROW()/1000000</f>
        <v/>
      </c>
      <c r="AA144" s="270">
        <f>Database!B133</f>
        <v/>
      </c>
      <c r="AB144" s="270">
        <f>Database!D133</f>
        <v/>
      </c>
      <c r="AC144" s="270">
        <f>Database!E133</f>
        <v/>
      </c>
      <c r="AD144" s="270">
        <f>Database!I133</f>
        <v/>
      </c>
      <c r="AE144" s="270">
        <f>Database!BG133</f>
        <v/>
      </c>
      <c r="AF144" s="270">
        <f>Database!BM133</f>
        <v/>
      </c>
      <c r="AG144" s="270">
        <f>Database!H133</f>
        <v/>
      </c>
      <c r="AH144" s="270">
        <f>Database!BH133</f>
        <v/>
      </c>
    </row>
    <row r="145">
      <c r="A145" s="270">
        <f>Database!B145</f>
        <v/>
      </c>
      <c r="B145" s="270">
        <f>IF(AND(Screener!$D$8&lt;&gt;"",Database!$E145=Screener!$D$8),1,0)</f>
        <v/>
      </c>
      <c r="C145" s="270">
        <f>IF(AND(Screener!$D$7&lt;&gt;"",Database!$D145=Screener!$D$7),1,0)</f>
        <v/>
      </c>
      <c r="D145" s="270">
        <f>IF(OR(N(Database!$I145)&lt;=0,N(Screener!$D$9)&lt;=0),0,MAX(0,1-ABS(LOG10(N(Database!$I145)/Screener!$D$9))/W_SIZEHW))</f>
        <v/>
      </c>
      <c r="E145" s="270">
        <f>IF(OR(Database!$BG145="",Screener!$D$10=""),0,IF(Database!$BG145=Screener!$D$10,1,0))</f>
        <v/>
      </c>
      <c r="F145" s="270">
        <f>IF(OR(Database!$BM145="",Screener!$D$11=""),0,IF(Database!$BM145=Screener!$D$11,1,0))</f>
        <v/>
      </c>
      <c r="G145" s="270">
        <f>IF(OR(Database!$H145="",N(Screener!$D$12)&lt;=0),0,MAX(0,1-(N(Screener!$D$12)-Database!$H145)/W_RECD))</f>
        <v/>
      </c>
      <c r="H145" s="270">
        <f>IF($U$1="",0,N(ISNUMBER(SEARCH($U$1,Database!$AC145&amp;""))))+IF($V$1="",0,N(ISNUMBER(SEARCH($V$1,Database!$AC145&amp;""))))+IF($W$1="",0,N(ISNUMBER(SEARCH($W$1,Database!$AC145&amp;""))))+IF($X$1="",0,N(ISNUMBER(SEARCH($X$1,Database!$AC145&amp;""))))+IF($Y$1="",0,N(ISNUMBER(SEARCH($Y$1,Database!$AC145&amp;""))))+IF(Screener!$B$17="",0,N(ISNUMBER(SEARCH(LOWER(Screener!$B$17),Database!$AC145&amp;""))))</f>
        <v/>
      </c>
      <c r="I145" s="270">
        <f>IF(OR(N(Database!$BH145)&lt;=0,N(Screener!$D$13)&lt;=0),0,MAX(0,1-ABS(LOG10(N(Database!$BH145)/Screener!$D$13))/W_PEHW))</f>
        <v/>
      </c>
      <c r="J145" s="270">
        <f>IF(OR(N(Database!$S145)&lt;=0,N(Screener!$D$14)&lt;=0),0,MAX(0,1-ABS(LOG10(Database!$S145/Screener!$D$14))/0.6))</f>
        <v/>
      </c>
      <c r="K145" s="270">
        <f>IF(Database!$B145=Screener!$B$5,-999999,IF(ISNUMBER(SEARCH(","&amp;Database!$A145&amp;",",","&amp;SUBSTITUTE(Screener!$D$17," ","")&amp;",")),2000000,IF(IF(OR(Screener!$B$18="All",AND(Screener!$B$18="With A-share",(Database!$BM145="Y")),AND(Screener!$B$18="Without A-share",NOT((Database!$BM145="Y")))),1,0)=0,-999999,IF(Screener!$B$16="cornerstone overlap first",H145*100000,IF(Screener!$B$16="demand-similar first",J145*100000,0))+W_SUB*B145+W_SEC*C145*(1-B145)+W_SIZE*D145+W_PROF*E145+W_AH*F145+W_REC*G145+W_CS*H145+W_PE*I145)))+ROW()/1000000</f>
        <v/>
      </c>
      <c r="AA145" s="270">
        <f>Database!B134</f>
        <v/>
      </c>
      <c r="AB145" s="270">
        <f>Database!D134</f>
        <v/>
      </c>
      <c r="AC145" s="270">
        <f>Database!E134</f>
        <v/>
      </c>
      <c r="AD145" s="270">
        <f>Database!I134</f>
        <v/>
      </c>
      <c r="AE145" s="270">
        <f>Database!BG134</f>
        <v/>
      </c>
      <c r="AF145" s="270">
        <f>Database!BM134</f>
        <v/>
      </c>
      <c r="AG145" s="270">
        <f>Database!H134</f>
        <v/>
      </c>
      <c r="AH145" s="270">
        <f>Database!BH134</f>
        <v/>
      </c>
    </row>
    <row r="146">
      <c r="A146" s="270">
        <f>Database!B146</f>
        <v/>
      </c>
      <c r="B146" s="270">
        <f>IF(AND(Screener!$D$8&lt;&gt;"",Database!$E146=Screener!$D$8),1,0)</f>
        <v/>
      </c>
      <c r="C146" s="270">
        <f>IF(AND(Screener!$D$7&lt;&gt;"",Database!$D146=Screener!$D$7),1,0)</f>
        <v/>
      </c>
      <c r="D146" s="270">
        <f>IF(OR(N(Database!$I146)&lt;=0,N(Screener!$D$9)&lt;=0),0,MAX(0,1-ABS(LOG10(N(Database!$I146)/Screener!$D$9))/W_SIZEHW))</f>
        <v/>
      </c>
      <c r="E146" s="270">
        <f>IF(OR(Database!$BG146="",Screener!$D$10=""),0,IF(Database!$BG146=Screener!$D$10,1,0))</f>
        <v/>
      </c>
      <c r="F146" s="270">
        <f>IF(OR(Database!$BM146="",Screener!$D$11=""),0,IF(Database!$BM146=Screener!$D$11,1,0))</f>
        <v/>
      </c>
      <c r="G146" s="270">
        <f>IF(OR(Database!$H146="",N(Screener!$D$12)&lt;=0),0,MAX(0,1-(N(Screener!$D$12)-Database!$H146)/W_RECD))</f>
        <v/>
      </c>
      <c r="H146" s="270">
        <f>IF($U$1="",0,N(ISNUMBER(SEARCH($U$1,Database!$AC146&amp;""))))+IF($V$1="",0,N(ISNUMBER(SEARCH($V$1,Database!$AC146&amp;""))))+IF($W$1="",0,N(ISNUMBER(SEARCH($W$1,Database!$AC146&amp;""))))+IF($X$1="",0,N(ISNUMBER(SEARCH($X$1,Database!$AC146&amp;""))))+IF($Y$1="",0,N(ISNUMBER(SEARCH($Y$1,Database!$AC146&amp;""))))+IF(Screener!$B$17="",0,N(ISNUMBER(SEARCH(LOWER(Screener!$B$17),Database!$AC146&amp;""))))</f>
        <v/>
      </c>
      <c r="I146" s="270">
        <f>IF(OR(N(Database!$BH146)&lt;=0,N(Screener!$D$13)&lt;=0),0,MAX(0,1-ABS(LOG10(N(Database!$BH146)/Screener!$D$13))/W_PEHW))</f>
        <v/>
      </c>
      <c r="J146" s="270">
        <f>IF(OR(N(Database!$S146)&lt;=0,N(Screener!$D$14)&lt;=0),0,MAX(0,1-ABS(LOG10(Database!$S146/Screener!$D$14))/0.6))</f>
        <v/>
      </c>
      <c r="K146" s="270">
        <f>IF(Database!$B146=Screener!$B$5,-999999,IF(ISNUMBER(SEARCH(","&amp;Database!$A146&amp;",",","&amp;SUBSTITUTE(Screener!$D$17," ","")&amp;",")),2000000,IF(IF(OR(Screener!$B$18="All",AND(Screener!$B$18="With A-share",(Database!$BM146="Y")),AND(Screener!$B$18="Without A-share",NOT((Database!$BM146="Y")))),1,0)=0,-999999,IF(Screener!$B$16="cornerstone overlap first",H146*100000,IF(Screener!$B$16="demand-similar first",J146*100000,0))+W_SUB*B146+W_SEC*C146*(1-B146)+W_SIZE*D146+W_PROF*E146+W_AH*F146+W_REC*G146+W_CS*H146+W_PE*I146)))+ROW()/1000000</f>
        <v/>
      </c>
      <c r="AA146" s="270">
        <f>Database!B135</f>
        <v/>
      </c>
      <c r="AB146" s="270">
        <f>Database!D135</f>
        <v/>
      </c>
      <c r="AC146" s="270">
        <f>Database!E135</f>
        <v/>
      </c>
      <c r="AD146" s="270">
        <f>Database!I135</f>
        <v/>
      </c>
      <c r="AE146" s="270">
        <f>Database!BG135</f>
        <v/>
      </c>
      <c r="AF146" s="270">
        <f>Database!BM135</f>
        <v/>
      </c>
      <c r="AG146" s="270">
        <f>Database!H135</f>
        <v/>
      </c>
      <c r="AH146" s="270">
        <f>Database!BH135</f>
        <v/>
      </c>
    </row>
    <row r="147">
      <c r="A147" s="270">
        <f>Database!B147</f>
        <v/>
      </c>
      <c r="B147" s="270">
        <f>IF(AND(Screener!$D$8&lt;&gt;"",Database!$E147=Screener!$D$8),1,0)</f>
        <v/>
      </c>
      <c r="C147" s="270">
        <f>IF(AND(Screener!$D$7&lt;&gt;"",Database!$D147=Screener!$D$7),1,0)</f>
        <v/>
      </c>
      <c r="D147" s="270">
        <f>IF(OR(N(Database!$I147)&lt;=0,N(Screener!$D$9)&lt;=0),0,MAX(0,1-ABS(LOG10(N(Database!$I147)/Screener!$D$9))/W_SIZEHW))</f>
        <v/>
      </c>
      <c r="E147" s="270">
        <f>IF(OR(Database!$BG147="",Screener!$D$10=""),0,IF(Database!$BG147=Screener!$D$10,1,0))</f>
        <v/>
      </c>
      <c r="F147" s="270">
        <f>IF(OR(Database!$BM147="",Screener!$D$11=""),0,IF(Database!$BM147=Screener!$D$11,1,0))</f>
        <v/>
      </c>
      <c r="G147" s="270">
        <f>IF(OR(Database!$H147="",N(Screener!$D$12)&lt;=0),0,MAX(0,1-(N(Screener!$D$12)-Database!$H147)/W_RECD))</f>
        <v/>
      </c>
      <c r="H147" s="270">
        <f>IF($U$1="",0,N(ISNUMBER(SEARCH($U$1,Database!$AC147&amp;""))))+IF($V$1="",0,N(ISNUMBER(SEARCH($V$1,Database!$AC147&amp;""))))+IF($W$1="",0,N(ISNUMBER(SEARCH($W$1,Database!$AC147&amp;""))))+IF($X$1="",0,N(ISNUMBER(SEARCH($X$1,Database!$AC147&amp;""))))+IF($Y$1="",0,N(ISNUMBER(SEARCH($Y$1,Database!$AC147&amp;""))))+IF(Screener!$B$17="",0,N(ISNUMBER(SEARCH(LOWER(Screener!$B$17),Database!$AC147&amp;""))))</f>
        <v/>
      </c>
      <c r="I147" s="270">
        <f>IF(OR(N(Database!$BH147)&lt;=0,N(Screener!$D$13)&lt;=0),0,MAX(0,1-ABS(LOG10(N(Database!$BH147)/Screener!$D$13))/W_PEHW))</f>
        <v/>
      </c>
      <c r="J147" s="270">
        <f>IF(OR(N(Database!$S147)&lt;=0,N(Screener!$D$14)&lt;=0),0,MAX(0,1-ABS(LOG10(Database!$S147/Screener!$D$14))/0.6))</f>
        <v/>
      </c>
      <c r="K147" s="270">
        <f>IF(Database!$B147=Screener!$B$5,-999999,IF(ISNUMBER(SEARCH(","&amp;Database!$A147&amp;",",","&amp;SUBSTITUTE(Screener!$D$17," ","")&amp;",")),2000000,IF(IF(OR(Screener!$B$18="All",AND(Screener!$B$18="With A-share",(Database!$BM147="Y")),AND(Screener!$B$18="Without A-share",NOT((Database!$BM147="Y")))),1,0)=0,-999999,IF(Screener!$B$16="cornerstone overlap first",H147*100000,IF(Screener!$B$16="demand-similar first",J147*100000,0))+W_SUB*B147+W_SEC*C147*(1-B147)+W_SIZE*D147+W_PROF*E147+W_AH*F147+W_REC*G147+W_CS*H147+W_PE*I147)))+ROW()/1000000</f>
        <v/>
      </c>
      <c r="AA147" s="270">
        <f>Database!B136</f>
        <v/>
      </c>
      <c r="AB147" s="270">
        <f>Database!D136</f>
        <v/>
      </c>
      <c r="AC147" s="270">
        <f>Database!E136</f>
        <v/>
      </c>
      <c r="AD147" s="270">
        <f>Database!I136</f>
        <v/>
      </c>
      <c r="AE147" s="270">
        <f>Database!BG136</f>
        <v/>
      </c>
      <c r="AF147" s="270">
        <f>Database!BM136</f>
        <v/>
      </c>
      <c r="AG147" s="270">
        <f>Database!H136</f>
        <v/>
      </c>
      <c r="AH147" s="270">
        <f>Database!BH136</f>
        <v/>
      </c>
    </row>
    <row r="148">
      <c r="A148" s="270">
        <f>Database!B148</f>
        <v/>
      </c>
      <c r="B148" s="270">
        <f>IF(AND(Screener!$D$8&lt;&gt;"",Database!$E148=Screener!$D$8),1,0)</f>
        <v/>
      </c>
      <c r="C148" s="270">
        <f>IF(AND(Screener!$D$7&lt;&gt;"",Database!$D148=Screener!$D$7),1,0)</f>
        <v/>
      </c>
      <c r="D148" s="270">
        <f>IF(OR(N(Database!$I148)&lt;=0,N(Screener!$D$9)&lt;=0),0,MAX(0,1-ABS(LOG10(N(Database!$I148)/Screener!$D$9))/W_SIZEHW))</f>
        <v/>
      </c>
      <c r="E148" s="270">
        <f>IF(OR(Database!$BG148="",Screener!$D$10=""),0,IF(Database!$BG148=Screener!$D$10,1,0))</f>
        <v/>
      </c>
      <c r="F148" s="270">
        <f>IF(OR(Database!$BM148="",Screener!$D$11=""),0,IF(Database!$BM148=Screener!$D$11,1,0))</f>
        <v/>
      </c>
      <c r="G148" s="270">
        <f>IF(OR(Database!$H148="",N(Screener!$D$12)&lt;=0),0,MAX(0,1-(N(Screener!$D$12)-Database!$H148)/W_RECD))</f>
        <v/>
      </c>
      <c r="H148" s="270">
        <f>IF($U$1="",0,N(ISNUMBER(SEARCH($U$1,Database!$AC148&amp;""))))+IF($V$1="",0,N(ISNUMBER(SEARCH($V$1,Database!$AC148&amp;""))))+IF($W$1="",0,N(ISNUMBER(SEARCH($W$1,Database!$AC148&amp;""))))+IF($X$1="",0,N(ISNUMBER(SEARCH($X$1,Database!$AC148&amp;""))))+IF($Y$1="",0,N(ISNUMBER(SEARCH($Y$1,Database!$AC148&amp;""))))+IF(Screener!$B$17="",0,N(ISNUMBER(SEARCH(LOWER(Screener!$B$17),Database!$AC148&amp;""))))</f>
        <v/>
      </c>
      <c r="I148" s="270">
        <f>IF(OR(N(Database!$BH148)&lt;=0,N(Screener!$D$13)&lt;=0),0,MAX(0,1-ABS(LOG10(N(Database!$BH148)/Screener!$D$13))/W_PEHW))</f>
        <v/>
      </c>
      <c r="J148" s="270">
        <f>IF(OR(N(Database!$S148)&lt;=0,N(Screener!$D$14)&lt;=0),0,MAX(0,1-ABS(LOG10(Database!$S148/Screener!$D$14))/0.6))</f>
        <v/>
      </c>
      <c r="K148" s="270">
        <f>IF(Database!$B148=Screener!$B$5,-999999,IF(ISNUMBER(SEARCH(","&amp;Database!$A148&amp;",",","&amp;SUBSTITUTE(Screener!$D$17," ","")&amp;",")),2000000,IF(IF(OR(Screener!$B$18="All",AND(Screener!$B$18="With A-share",(Database!$BM148="Y")),AND(Screener!$B$18="Without A-share",NOT((Database!$BM148="Y")))),1,0)=0,-999999,IF(Screener!$B$16="cornerstone overlap first",H148*100000,IF(Screener!$B$16="demand-similar first",J148*100000,0))+W_SUB*B148+W_SEC*C148*(1-B148)+W_SIZE*D148+W_PROF*E148+W_AH*F148+W_REC*G148+W_CS*H148+W_PE*I148)))+ROW()/1000000</f>
        <v/>
      </c>
      <c r="AA148" s="270">
        <f>Database!B137</f>
        <v/>
      </c>
      <c r="AB148" s="270">
        <f>Database!D137</f>
        <v/>
      </c>
      <c r="AC148" s="270">
        <f>Database!E137</f>
        <v/>
      </c>
      <c r="AD148" s="270">
        <f>Database!I137</f>
        <v/>
      </c>
      <c r="AE148" s="270">
        <f>Database!BG137</f>
        <v/>
      </c>
      <c r="AF148" s="270">
        <f>Database!BM137</f>
        <v/>
      </c>
      <c r="AG148" s="270">
        <f>Database!H137</f>
        <v/>
      </c>
      <c r="AH148" s="270">
        <f>Database!BH137</f>
        <v/>
      </c>
    </row>
    <row r="149">
      <c r="A149" s="270">
        <f>Database!B149</f>
        <v/>
      </c>
      <c r="B149" s="270">
        <f>IF(AND(Screener!$D$8&lt;&gt;"",Database!$E149=Screener!$D$8),1,0)</f>
        <v/>
      </c>
      <c r="C149" s="270">
        <f>IF(AND(Screener!$D$7&lt;&gt;"",Database!$D149=Screener!$D$7),1,0)</f>
        <v/>
      </c>
      <c r="D149" s="270">
        <f>IF(OR(N(Database!$I149)&lt;=0,N(Screener!$D$9)&lt;=0),0,MAX(0,1-ABS(LOG10(N(Database!$I149)/Screener!$D$9))/W_SIZEHW))</f>
        <v/>
      </c>
      <c r="E149" s="270">
        <f>IF(OR(Database!$BG149="",Screener!$D$10=""),0,IF(Database!$BG149=Screener!$D$10,1,0))</f>
        <v/>
      </c>
      <c r="F149" s="270">
        <f>IF(OR(Database!$BM149="",Screener!$D$11=""),0,IF(Database!$BM149=Screener!$D$11,1,0))</f>
        <v/>
      </c>
      <c r="G149" s="270">
        <f>IF(OR(Database!$H149="",N(Screener!$D$12)&lt;=0),0,MAX(0,1-(N(Screener!$D$12)-Database!$H149)/W_RECD))</f>
        <v/>
      </c>
      <c r="H149" s="270">
        <f>IF($U$1="",0,N(ISNUMBER(SEARCH($U$1,Database!$AC149&amp;""))))+IF($V$1="",0,N(ISNUMBER(SEARCH($V$1,Database!$AC149&amp;""))))+IF($W$1="",0,N(ISNUMBER(SEARCH($W$1,Database!$AC149&amp;""))))+IF($X$1="",0,N(ISNUMBER(SEARCH($X$1,Database!$AC149&amp;""))))+IF($Y$1="",0,N(ISNUMBER(SEARCH($Y$1,Database!$AC149&amp;""))))+IF(Screener!$B$17="",0,N(ISNUMBER(SEARCH(LOWER(Screener!$B$17),Database!$AC149&amp;""))))</f>
        <v/>
      </c>
      <c r="I149" s="270">
        <f>IF(OR(N(Database!$BH149)&lt;=0,N(Screener!$D$13)&lt;=0),0,MAX(0,1-ABS(LOG10(N(Database!$BH149)/Screener!$D$13))/W_PEHW))</f>
        <v/>
      </c>
      <c r="J149" s="270">
        <f>IF(OR(N(Database!$S149)&lt;=0,N(Screener!$D$14)&lt;=0),0,MAX(0,1-ABS(LOG10(Database!$S149/Screener!$D$14))/0.6))</f>
        <v/>
      </c>
      <c r="K149" s="270">
        <f>IF(Database!$B149=Screener!$B$5,-999999,IF(ISNUMBER(SEARCH(","&amp;Database!$A149&amp;",",","&amp;SUBSTITUTE(Screener!$D$17," ","")&amp;",")),2000000,IF(IF(OR(Screener!$B$18="All",AND(Screener!$B$18="With A-share",(Database!$BM149="Y")),AND(Screener!$B$18="Without A-share",NOT((Database!$BM149="Y")))),1,0)=0,-999999,IF(Screener!$B$16="cornerstone overlap first",H149*100000,IF(Screener!$B$16="demand-similar first",J149*100000,0))+W_SUB*B149+W_SEC*C149*(1-B149)+W_SIZE*D149+W_PROF*E149+W_AH*F149+W_REC*G149+W_CS*H149+W_PE*I149)))+ROW()/1000000</f>
        <v/>
      </c>
      <c r="AA149" s="270">
        <f>Database!B138</f>
        <v/>
      </c>
      <c r="AB149" s="270">
        <f>Database!D138</f>
        <v/>
      </c>
      <c r="AC149" s="270">
        <f>Database!E138</f>
        <v/>
      </c>
      <c r="AD149" s="270">
        <f>Database!I138</f>
        <v/>
      </c>
      <c r="AE149" s="270">
        <f>Database!BG138</f>
        <v/>
      </c>
      <c r="AF149" s="270">
        <f>Database!BM138</f>
        <v/>
      </c>
      <c r="AG149" s="270">
        <f>Database!H138</f>
        <v/>
      </c>
      <c r="AH149" s="270">
        <f>Database!BH138</f>
        <v/>
      </c>
    </row>
    <row r="150">
      <c r="A150" s="270">
        <f>Database!B150</f>
        <v/>
      </c>
      <c r="B150" s="270">
        <f>IF(AND(Screener!$D$8&lt;&gt;"",Database!$E150=Screener!$D$8),1,0)</f>
        <v/>
      </c>
      <c r="C150" s="270">
        <f>IF(AND(Screener!$D$7&lt;&gt;"",Database!$D150=Screener!$D$7),1,0)</f>
        <v/>
      </c>
      <c r="D150" s="270">
        <f>IF(OR(N(Database!$I150)&lt;=0,N(Screener!$D$9)&lt;=0),0,MAX(0,1-ABS(LOG10(N(Database!$I150)/Screener!$D$9))/W_SIZEHW))</f>
        <v/>
      </c>
      <c r="E150" s="270">
        <f>IF(OR(Database!$BG150="",Screener!$D$10=""),0,IF(Database!$BG150=Screener!$D$10,1,0))</f>
        <v/>
      </c>
      <c r="F150" s="270">
        <f>IF(OR(Database!$BM150="",Screener!$D$11=""),0,IF(Database!$BM150=Screener!$D$11,1,0))</f>
        <v/>
      </c>
      <c r="G150" s="270">
        <f>IF(OR(Database!$H150="",N(Screener!$D$12)&lt;=0),0,MAX(0,1-(N(Screener!$D$12)-Database!$H150)/W_RECD))</f>
        <v/>
      </c>
      <c r="H150" s="270">
        <f>IF($U$1="",0,N(ISNUMBER(SEARCH($U$1,Database!$AC150&amp;""))))+IF($V$1="",0,N(ISNUMBER(SEARCH($V$1,Database!$AC150&amp;""))))+IF($W$1="",0,N(ISNUMBER(SEARCH($W$1,Database!$AC150&amp;""))))+IF($X$1="",0,N(ISNUMBER(SEARCH($X$1,Database!$AC150&amp;""))))+IF($Y$1="",0,N(ISNUMBER(SEARCH($Y$1,Database!$AC150&amp;""))))+IF(Screener!$B$17="",0,N(ISNUMBER(SEARCH(LOWER(Screener!$B$17),Database!$AC150&amp;""))))</f>
        <v/>
      </c>
      <c r="I150" s="270">
        <f>IF(OR(N(Database!$BH150)&lt;=0,N(Screener!$D$13)&lt;=0),0,MAX(0,1-ABS(LOG10(N(Database!$BH150)/Screener!$D$13))/W_PEHW))</f>
        <v/>
      </c>
      <c r="J150" s="270">
        <f>IF(OR(N(Database!$S150)&lt;=0,N(Screener!$D$14)&lt;=0),0,MAX(0,1-ABS(LOG10(Database!$S150/Screener!$D$14))/0.6))</f>
        <v/>
      </c>
      <c r="K150" s="270">
        <f>IF(Database!$B150=Screener!$B$5,-999999,IF(ISNUMBER(SEARCH(","&amp;Database!$A150&amp;",",","&amp;SUBSTITUTE(Screener!$D$17," ","")&amp;",")),2000000,IF(IF(OR(Screener!$B$18="All",AND(Screener!$B$18="With A-share",(Database!$BM150="Y")),AND(Screener!$B$18="Without A-share",NOT((Database!$BM150="Y")))),1,0)=0,-999999,IF(Screener!$B$16="cornerstone overlap first",H150*100000,IF(Screener!$B$16="demand-similar first",J150*100000,0))+W_SUB*B150+W_SEC*C150*(1-B150)+W_SIZE*D150+W_PROF*E150+W_AH*F150+W_REC*G150+W_CS*H150+W_PE*I150)))+ROW()/1000000</f>
        <v/>
      </c>
      <c r="AA150" s="270">
        <f>Database!B139</f>
        <v/>
      </c>
      <c r="AB150" s="270">
        <f>Database!D139</f>
        <v/>
      </c>
      <c r="AC150" s="270">
        <f>Database!E139</f>
        <v/>
      </c>
      <c r="AD150" s="270">
        <f>Database!I139</f>
        <v/>
      </c>
      <c r="AE150" s="270">
        <f>Database!BG139</f>
        <v/>
      </c>
      <c r="AF150" s="270">
        <f>Database!BM139</f>
        <v/>
      </c>
      <c r="AG150" s="270">
        <f>Database!H139</f>
        <v/>
      </c>
      <c r="AH150" s="270">
        <f>Database!BH139</f>
        <v/>
      </c>
    </row>
    <row r="151">
      <c r="A151" s="270">
        <f>Database!B151</f>
        <v/>
      </c>
      <c r="B151" s="270">
        <f>IF(AND(Screener!$D$8&lt;&gt;"",Database!$E151=Screener!$D$8),1,0)</f>
        <v/>
      </c>
      <c r="C151" s="270">
        <f>IF(AND(Screener!$D$7&lt;&gt;"",Database!$D151=Screener!$D$7),1,0)</f>
        <v/>
      </c>
      <c r="D151" s="270">
        <f>IF(OR(N(Database!$I151)&lt;=0,N(Screener!$D$9)&lt;=0),0,MAX(0,1-ABS(LOG10(N(Database!$I151)/Screener!$D$9))/W_SIZEHW))</f>
        <v/>
      </c>
      <c r="E151" s="270">
        <f>IF(OR(Database!$BG151="",Screener!$D$10=""),0,IF(Database!$BG151=Screener!$D$10,1,0))</f>
        <v/>
      </c>
      <c r="F151" s="270">
        <f>IF(OR(Database!$BM151="",Screener!$D$11=""),0,IF(Database!$BM151=Screener!$D$11,1,0))</f>
        <v/>
      </c>
      <c r="G151" s="270">
        <f>IF(OR(Database!$H151="",N(Screener!$D$12)&lt;=0),0,MAX(0,1-(N(Screener!$D$12)-Database!$H151)/W_RECD))</f>
        <v/>
      </c>
      <c r="H151" s="270">
        <f>IF($U$1="",0,N(ISNUMBER(SEARCH($U$1,Database!$AC151&amp;""))))+IF($V$1="",0,N(ISNUMBER(SEARCH($V$1,Database!$AC151&amp;""))))+IF($W$1="",0,N(ISNUMBER(SEARCH($W$1,Database!$AC151&amp;""))))+IF($X$1="",0,N(ISNUMBER(SEARCH($X$1,Database!$AC151&amp;""))))+IF($Y$1="",0,N(ISNUMBER(SEARCH($Y$1,Database!$AC151&amp;""))))+IF(Screener!$B$17="",0,N(ISNUMBER(SEARCH(LOWER(Screener!$B$17),Database!$AC151&amp;""))))</f>
        <v/>
      </c>
      <c r="I151" s="270">
        <f>IF(OR(N(Database!$BH151)&lt;=0,N(Screener!$D$13)&lt;=0),0,MAX(0,1-ABS(LOG10(N(Database!$BH151)/Screener!$D$13))/W_PEHW))</f>
        <v/>
      </c>
      <c r="J151" s="270">
        <f>IF(OR(N(Database!$S151)&lt;=0,N(Screener!$D$14)&lt;=0),0,MAX(0,1-ABS(LOG10(Database!$S151/Screener!$D$14))/0.6))</f>
        <v/>
      </c>
      <c r="K151" s="270">
        <f>IF(Database!$B151=Screener!$B$5,-999999,IF(ISNUMBER(SEARCH(","&amp;Database!$A151&amp;",",","&amp;SUBSTITUTE(Screener!$D$17," ","")&amp;",")),2000000,IF(IF(OR(Screener!$B$18="All",AND(Screener!$B$18="With A-share",(Database!$BM151="Y")),AND(Screener!$B$18="Without A-share",NOT((Database!$BM151="Y")))),1,0)=0,-999999,IF(Screener!$B$16="cornerstone overlap first",H151*100000,IF(Screener!$B$16="demand-similar first",J151*100000,0))+W_SUB*B151+W_SEC*C151*(1-B151)+W_SIZE*D151+W_PROF*E151+W_AH*F151+W_REC*G151+W_CS*H151+W_PE*I151)))+ROW()/1000000</f>
        <v/>
      </c>
      <c r="AA151" s="270">
        <f>Database!B140</f>
        <v/>
      </c>
      <c r="AB151" s="270">
        <f>Database!D140</f>
        <v/>
      </c>
      <c r="AC151" s="270">
        <f>Database!E140</f>
        <v/>
      </c>
      <c r="AD151" s="270">
        <f>Database!I140</f>
        <v/>
      </c>
      <c r="AE151" s="270">
        <f>Database!BG140</f>
        <v/>
      </c>
      <c r="AF151" s="270">
        <f>Database!BM140</f>
        <v/>
      </c>
      <c r="AG151" s="270">
        <f>Database!H140</f>
        <v/>
      </c>
      <c r="AH151" s="270">
        <f>Database!BH140</f>
        <v/>
      </c>
    </row>
    <row r="152">
      <c r="A152" s="270">
        <f>Database!B152</f>
        <v/>
      </c>
      <c r="B152" s="270">
        <f>IF(AND(Screener!$D$8&lt;&gt;"",Database!$E152=Screener!$D$8),1,0)</f>
        <v/>
      </c>
      <c r="C152" s="270">
        <f>IF(AND(Screener!$D$7&lt;&gt;"",Database!$D152=Screener!$D$7),1,0)</f>
        <v/>
      </c>
      <c r="D152" s="270">
        <f>IF(OR(N(Database!$I152)&lt;=0,N(Screener!$D$9)&lt;=0),0,MAX(0,1-ABS(LOG10(N(Database!$I152)/Screener!$D$9))/W_SIZEHW))</f>
        <v/>
      </c>
      <c r="E152" s="270">
        <f>IF(OR(Database!$BG152="",Screener!$D$10=""),0,IF(Database!$BG152=Screener!$D$10,1,0))</f>
        <v/>
      </c>
      <c r="F152" s="270">
        <f>IF(OR(Database!$BM152="",Screener!$D$11=""),0,IF(Database!$BM152=Screener!$D$11,1,0))</f>
        <v/>
      </c>
      <c r="G152" s="270">
        <f>IF(OR(Database!$H152="",N(Screener!$D$12)&lt;=0),0,MAX(0,1-(N(Screener!$D$12)-Database!$H152)/W_RECD))</f>
        <v/>
      </c>
      <c r="H152" s="270">
        <f>IF($U$1="",0,N(ISNUMBER(SEARCH($U$1,Database!$AC152&amp;""))))+IF($V$1="",0,N(ISNUMBER(SEARCH($V$1,Database!$AC152&amp;""))))+IF($W$1="",0,N(ISNUMBER(SEARCH($W$1,Database!$AC152&amp;""))))+IF($X$1="",0,N(ISNUMBER(SEARCH($X$1,Database!$AC152&amp;""))))+IF($Y$1="",0,N(ISNUMBER(SEARCH($Y$1,Database!$AC152&amp;""))))+IF(Screener!$B$17="",0,N(ISNUMBER(SEARCH(LOWER(Screener!$B$17),Database!$AC152&amp;""))))</f>
        <v/>
      </c>
      <c r="I152" s="270">
        <f>IF(OR(N(Database!$BH152)&lt;=0,N(Screener!$D$13)&lt;=0),0,MAX(0,1-ABS(LOG10(N(Database!$BH152)/Screener!$D$13))/W_PEHW))</f>
        <v/>
      </c>
      <c r="J152" s="270">
        <f>IF(OR(N(Database!$S152)&lt;=0,N(Screener!$D$14)&lt;=0),0,MAX(0,1-ABS(LOG10(Database!$S152/Screener!$D$14))/0.6))</f>
        <v/>
      </c>
      <c r="K152" s="270">
        <f>IF(Database!$B152=Screener!$B$5,-999999,IF(ISNUMBER(SEARCH(","&amp;Database!$A152&amp;",",","&amp;SUBSTITUTE(Screener!$D$17," ","")&amp;",")),2000000,IF(IF(OR(Screener!$B$18="All",AND(Screener!$B$18="With A-share",(Database!$BM152="Y")),AND(Screener!$B$18="Without A-share",NOT((Database!$BM152="Y")))),1,0)=0,-999999,IF(Screener!$B$16="cornerstone overlap first",H152*100000,IF(Screener!$B$16="demand-similar first",J152*100000,0))+W_SUB*B152+W_SEC*C152*(1-B152)+W_SIZE*D152+W_PROF*E152+W_AH*F152+W_REC*G152+W_CS*H152+W_PE*I152)))+ROW()/1000000</f>
        <v/>
      </c>
      <c r="AA152" s="270">
        <f>Database!B141</f>
        <v/>
      </c>
      <c r="AB152" s="270">
        <f>Database!D141</f>
        <v/>
      </c>
      <c r="AC152" s="270">
        <f>Database!E141</f>
        <v/>
      </c>
      <c r="AD152" s="270">
        <f>Database!I141</f>
        <v/>
      </c>
      <c r="AE152" s="270">
        <f>Database!BG141</f>
        <v/>
      </c>
      <c r="AF152" s="270">
        <f>Database!BM141</f>
        <v/>
      </c>
      <c r="AG152" s="270">
        <f>Database!H141</f>
        <v/>
      </c>
      <c r="AH152" s="270">
        <f>Database!BH141</f>
        <v/>
      </c>
    </row>
    <row r="153">
      <c r="A153" s="270">
        <f>Database!B153</f>
        <v/>
      </c>
      <c r="B153" s="270">
        <f>IF(AND(Screener!$D$8&lt;&gt;"",Database!$E153=Screener!$D$8),1,0)</f>
        <v/>
      </c>
      <c r="C153" s="270">
        <f>IF(AND(Screener!$D$7&lt;&gt;"",Database!$D153=Screener!$D$7),1,0)</f>
        <v/>
      </c>
      <c r="D153" s="270">
        <f>IF(OR(N(Database!$I153)&lt;=0,N(Screener!$D$9)&lt;=0),0,MAX(0,1-ABS(LOG10(N(Database!$I153)/Screener!$D$9))/W_SIZEHW))</f>
        <v/>
      </c>
      <c r="E153" s="270">
        <f>IF(OR(Database!$BG153="",Screener!$D$10=""),0,IF(Database!$BG153=Screener!$D$10,1,0))</f>
        <v/>
      </c>
      <c r="F153" s="270">
        <f>IF(OR(Database!$BM153="",Screener!$D$11=""),0,IF(Database!$BM153=Screener!$D$11,1,0))</f>
        <v/>
      </c>
      <c r="G153" s="270">
        <f>IF(OR(Database!$H153="",N(Screener!$D$12)&lt;=0),0,MAX(0,1-(N(Screener!$D$12)-Database!$H153)/W_RECD))</f>
        <v/>
      </c>
      <c r="H153" s="270">
        <f>IF($U$1="",0,N(ISNUMBER(SEARCH($U$1,Database!$AC153&amp;""))))+IF($V$1="",0,N(ISNUMBER(SEARCH($V$1,Database!$AC153&amp;""))))+IF($W$1="",0,N(ISNUMBER(SEARCH($W$1,Database!$AC153&amp;""))))+IF($X$1="",0,N(ISNUMBER(SEARCH($X$1,Database!$AC153&amp;""))))+IF($Y$1="",0,N(ISNUMBER(SEARCH($Y$1,Database!$AC153&amp;""))))+IF(Screener!$B$17="",0,N(ISNUMBER(SEARCH(LOWER(Screener!$B$17),Database!$AC153&amp;""))))</f>
        <v/>
      </c>
      <c r="I153" s="270">
        <f>IF(OR(N(Database!$BH153)&lt;=0,N(Screener!$D$13)&lt;=0),0,MAX(0,1-ABS(LOG10(N(Database!$BH153)/Screener!$D$13))/W_PEHW))</f>
        <v/>
      </c>
      <c r="J153" s="270">
        <f>IF(OR(N(Database!$S153)&lt;=0,N(Screener!$D$14)&lt;=0),0,MAX(0,1-ABS(LOG10(Database!$S153/Screener!$D$14))/0.6))</f>
        <v/>
      </c>
      <c r="K153" s="270">
        <f>IF(Database!$B153=Screener!$B$5,-999999,IF(ISNUMBER(SEARCH(","&amp;Database!$A153&amp;",",","&amp;SUBSTITUTE(Screener!$D$17," ","")&amp;",")),2000000,IF(IF(OR(Screener!$B$18="All",AND(Screener!$B$18="With A-share",(Database!$BM153="Y")),AND(Screener!$B$18="Without A-share",NOT((Database!$BM153="Y")))),1,0)=0,-999999,IF(Screener!$B$16="cornerstone overlap first",H153*100000,IF(Screener!$B$16="demand-similar first",J153*100000,0))+W_SUB*B153+W_SEC*C153*(1-B153)+W_SIZE*D153+W_PROF*E153+W_AH*F153+W_REC*G153+W_CS*H153+W_PE*I153)))+ROW()/1000000</f>
        <v/>
      </c>
      <c r="AA153" s="270">
        <f>Database!B142</f>
        <v/>
      </c>
      <c r="AB153" s="270">
        <f>Database!D142</f>
        <v/>
      </c>
      <c r="AC153" s="270">
        <f>Database!E142</f>
        <v/>
      </c>
      <c r="AD153" s="270">
        <f>Database!I142</f>
        <v/>
      </c>
      <c r="AE153" s="270">
        <f>Database!BG142</f>
        <v/>
      </c>
      <c r="AF153" s="270">
        <f>Database!BM142</f>
        <v/>
      </c>
      <c r="AG153" s="270">
        <f>Database!H142</f>
        <v/>
      </c>
      <c r="AH153" s="270">
        <f>Database!BH142</f>
        <v/>
      </c>
    </row>
    <row r="154">
      <c r="A154" s="270">
        <f>Database!B154</f>
        <v/>
      </c>
      <c r="B154" s="270">
        <f>IF(AND(Screener!$D$8&lt;&gt;"",Database!$E154=Screener!$D$8),1,0)</f>
        <v/>
      </c>
      <c r="C154" s="270">
        <f>IF(AND(Screener!$D$7&lt;&gt;"",Database!$D154=Screener!$D$7),1,0)</f>
        <v/>
      </c>
      <c r="D154" s="270">
        <f>IF(OR(N(Database!$I154)&lt;=0,N(Screener!$D$9)&lt;=0),0,MAX(0,1-ABS(LOG10(N(Database!$I154)/Screener!$D$9))/W_SIZEHW))</f>
        <v/>
      </c>
      <c r="E154" s="270">
        <f>IF(OR(Database!$BG154="",Screener!$D$10=""),0,IF(Database!$BG154=Screener!$D$10,1,0))</f>
        <v/>
      </c>
      <c r="F154" s="270">
        <f>IF(OR(Database!$BM154="",Screener!$D$11=""),0,IF(Database!$BM154=Screener!$D$11,1,0))</f>
        <v/>
      </c>
      <c r="G154" s="270">
        <f>IF(OR(Database!$H154="",N(Screener!$D$12)&lt;=0),0,MAX(0,1-(N(Screener!$D$12)-Database!$H154)/W_RECD))</f>
        <v/>
      </c>
      <c r="H154" s="270">
        <f>IF($U$1="",0,N(ISNUMBER(SEARCH($U$1,Database!$AC154&amp;""))))+IF($V$1="",0,N(ISNUMBER(SEARCH($V$1,Database!$AC154&amp;""))))+IF($W$1="",0,N(ISNUMBER(SEARCH($W$1,Database!$AC154&amp;""))))+IF($X$1="",0,N(ISNUMBER(SEARCH($X$1,Database!$AC154&amp;""))))+IF($Y$1="",0,N(ISNUMBER(SEARCH($Y$1,Database!$AC154&amp;""))))+IF(Screener!$B$17="",0,N(ISNUMBER(SEARCH(LOWER(Screener!$B$17),Database!$AC154&amp;""))))</f>
        <v/>
      </c>
      <c r="I154" s="270">
        <f>IF(OR(N(Database!$BH154)&lt;=0,N(Screener!$D$13)&lt;=0),0,MAX(0,1-ABS(LOG10(N(Database!$BH154)/Screener!$D$13))/W_PEHW))</f>
        <v/>
      </c>
      <c r="J154" s="270">
        <f>IF(OR(N(Database!$S154)&lt;=0,N(Screener!$D$14)&lt;=0),0,MAX(0,1-ABS(LOG10(Database!$S154/Screener!$D$14))/0.6))</f>
        <v/>
      </c>
      <c r="K154" s="270">
        <f>IF(Database!$B154=Screener!$B$5,-999999,IF(ISNUMBER(SEARCH(","&amp;Database!$A154&amp;",",","&amp;SUBSTITUTE(Screener!$D$17," ","")&amp;",")),2000000,IF(IF(OR(Screener!$B$18="All",AND(Screener!$B$18="With A-share",(Database!$BM154="Y")),AND(Screener!$B$18="Without A-share",NOT((Database!$BM154="Y")))),1,0)=0,-999999,IF(Screener!$B$16="cornerstone overlap first",H154*100000,IF(Screener!$B$16="demand-similar first",J154*100000,0))+W_SUB*B154+W_SEC*C154*(1-B154)+W_SIZE*D154+W_PROF*E154+W_AH*F154+W_REC*G154+W_CS*H154+W_PE*I154)))+ROW()/1000000</f>
        <v/>
      </c>
      <c r="AA154" s="270">
        <f>Database!B143</f>
        <v/>
      </c>
      <c r="AB154" s="270">
        <f>Database!D143</f>
        <v/>
      </c>
      <c r="AC154" s="270">
        <f>Database!E143</f>
        <v/>
      </c>
      <c r="AD154" s="270">
        <f>Database!I143</f>
        <v/>
      </c>
      <c r="AE154" s="270">
        <f>Database!BG143</f>
        <v/>
      </c>
      <c r="AF154" s="270">
        <f>Database!BM143</f>
        <v/>
      </c>
      <c r="AG154" s="270">
        <f>Database!H143</f>
        <v/>
      </c>
      <c r="AH154" s="270">
        <f>Database!BH143</f>
        <v/>
      </c>
    </row>
    <row r="155">
      <c r="A155" s="270">
        <f>Database!B155</f>
        <v/>
      </c>
      <c r="B155" s="270">
        <f>IF(AND(Screener!$D$8&lt;&gt;"",Database!$E155=Screener!$D$8),1,0)</f>
        <v/>
      </c>
      <c r="C155" s="270">
        <f>IF(AND(Screener!$D$7&lt;&gt;"",Database!$D155=Screener!$D$7),1,0)</f>
        <v/>
      </c>
      <c r="D155" s="270">
        <f>IF(OR(N(Database!$I155)&lt;=0,N(Screener!$D$9)&lt;=0),0,MAX(0,1-ABS(LOG10(N(Database!$I155)/Screener!$D$9))/W_SIZEHW))</f>
        <v/>
      </c>
      <c r="E155" s="270">
        <f>IF(OR(Database!$BG155="",Screener!$D$10=""),0,IF(Database!$BG155=Screener!$D$10,1,0))</f>
        <v/>
      </c>
      <c r="F155" s="270">
        <f>IF(OR(Database!$BM155="",Screener!$D$11=""),0,IF(Database!$BM155=Screener!$D$11,1,0))</f>
        <v/>
      </c>
      <c r="G155" s="270">
        <f>IF(OR(Database!$H155="",N(Screener!$D$12)&lt;=0),0,MAX(0,1-(N(Screener!$D$12)-Database!$H155)/W_RECD))</f>
        <v/>
      </c>
      <c r="H155" s="270">
        <f>IF($U$1="",0,N(ISNUMBER(SEARCH($U$1,Database!$AC155&amp;""))))+IF($V$1="",0,N(ISNUMBER(SEARCH($V$1,Database!$AC155&amp;""))))+IF($W$1="",0,N(ISNUMBER(SEARCH($W$1,Database!$AC155&amp;""))))+IF($X$1="",0,N(ISNUMBER(SEARCH($X$1,Database!$AC155&amp;""))))+IF($Y$1="",0,N(ISNUMBER(SEARCH($Y$1,Database!$AC155&amp;""))))+IF(Screener!$B$17="",0,N(ISNUMBER(SEARCH(LOWER(Screener!$B$17),Database!$AC155&amp;""))))</f>
        <v/>
      </c>
      <c r="I155" s="270">
        <f>IF(OR(N(Database!$BH155)&lt;=0,N(Screener!$D$13)&lt;=0),0,MAX(0,1-ABS(LOG10(N(Database!$BH155)/Screener!$D$13))/W_PEHW))</f>
        <v/>
      </c>
      <c r="J155" s="270">
        <f>IF(OR(N(Database!$S155)&lt;=0,N(Screener!$D$14)&lt;=0),0,MAX(0,1-ABS(LOG10(Database!$S155/Screener!$D$14))/0.6))</f>
        <v/>
      </c>
      <c r="K155" s="270">
        <f>IF(Database!$B155=Screener!$B$5,-999999,IF(ISNUMBER(SEARCH(","&amp;Database!$A155&amp;",",","&amp;SUBSTITUTE(Screener!$D$17," ","")&amp;",")),2000000,IF(IF(OR(Screener!$B$18="All",AND(Screener!$B$18="With A-share",(Database!$BM155="Y")),AND(Screener!$B$18="Without A-share",NOT((Database!$BM155="Y")))),1,0)=0,-999999,IF(Screener!$B$16="cornerstone overlap first",H155*100000,IF(Screener!$B$16="demand-similar first",J155*100000,0))+W_SUB*B155+W_SEC*C155*(1-B155)+W_SIZE*D155+W_PROF*E155+W_AH*F155+W_REC*G155+W_CS*H155+W_PE*I155)))+ROW()/1000000</f>
        <v/>
      </c>
      <c r="AA155" s="270">
        <f>Database!B144</f>
        <v/>
      </c>
      <c r="AB155" s="270">
        <f>Database!D144</f>
        <v/>
      </c>
      <c r="AC155" s="270">
        <f>Database!E144</f>
        <v/>
      </c>
      <c r="AD155" s="270">
        <f>Database!I144</f>
        <v/>
      </c>
      <c r="AE155" s="270">
        <f>Database!BG144</f>
        <v/>
      </c>
      <c r="AF155" s="270">
        <f>Database!BM144</f>
        <v/>
      </c>
      <c r="AG155" s="270">
        <f>Database!H144</f>
        <v/>
      </c>
      <c r="AH155" s="270">
        <f>Database!BH144</f>
        <v/>
      </c>
    </row>
    <row r="156">
      <c r="A156" s="270">
        <f>Database!B156</f>
        <v/>
      </c>
      <c r="B156" s="270">
        <f>IF(AND(Screener!$D$8&lt;&gt;"",Database!$E156=Screener!$D$8),1,0)</f>
        <v/>
      </c>
      <c r="C156" s="270">
        <f>IF(AND(Screener!$D$7&lt;&gt;"",Database!$D156=Screener!$D$7),1,0)</f>
        <v/>
      </c>
      <c r="D156" s="270">
        <f>IF(OR(N(Database!$I156)&lt;=0,N(Screener!$D$9)&lt;=0),0,MAX(0,1-ABS(LOG10(N(Database!$I156)/Screener!$D$9))/W_SIZEHW))</f>
        <v/>
      </c>
      <c r="E156" s="270">
        <f>IF(OR(Database!$BG156="",Screener!$D$10=""),0,IF(Database!$BG156=Screener!$D$10,1,0))</f>
        <v/>
      </c>
      <c r="F156" s="270">
        <f>IF(OR(Database!$BM156="",Screener!$D$11=""),0,IF(Database!$BM156=Screener!$D$11,1,0))</f>
        <v/>
      </c>
      <c r="G156" s="270">
        <f>IF(OR(Database!$H156="",N(Screener!$D$12)&lt;=0),0,MAX(0,1-(N(Screener!$D$12)-Database!$H156)/W_RECD))</f>
        <v/>
      </c>
      <c r="H156" s="270">
        <f>IF($U$1="",0,N(ISNUMBER(SEARCH($U$1,Database!$AC156&amp;""))))+IF($V$1="",0,N(ISNUMBER(SEARCH($V$1,Database!$AC156&amp;""))))+IF($W$1="",0,N(ISNUMBER(SEARCH($W$1,Database!$AC156&amp;""))))+IF($X$1="",0,N(ISNUMBER(SEARCH($X$1,Database!$AC156&amp;""))))+IF($Y$1="",0,N(ISNUMBER(SEARCH($Y$1,Database!$AC156&amp;""))))+IF(Screener!$B$17="",0,N(ISNUMBER(SEARCH(LOWER(Screener!$B$17),Database!$AC156&amp;""))))</f>
        <v/>
      </c>
      <c r="I156" s="270">
        <f>IF(OR(N(Database!$BH156)&lt;=0,N(Screener!$D$13)&lt;=0),0,MAX(0,1-ABS(LOG10(N(Database!$BH156)/Screener!$D$13))/W_PEHW))</f>
        <v/>
      </c>
      <c r="J156" s="270">
        <f>IF(OR(N(Database!$S156)&lt;=0,N(Screener!$D$14)&lt;=0),0,MAX(0,1-ABS(LOG10(Database!$S156/Screener!$D$14))/0.6))</f>
        <v/>
      </c>
      <c r="K156" s="270">
        <f>IF(Database!$B156=Screener!$B$5,-999999,IF(ISNUMBER(SEARCH(","&amp;Database!$A156&amp;",",","&amp;SUBSTITUTE(Screener!$D$17," ","")&amp;",")),2000000,IF(IF(OR(Screener!$B$18="All",AND(Screener!$B$18="With A-share",(Database!$BM156="Y")),AND(Screener!$B$18="Without A-share",NOT((Database!$BM156="Y")))),1,0)=0,-999999,IF(Screener!$B$16="cornerstone overlap first",H156*100000,IF(Screener!$B$16="demand-similar first",J156*100000,0))+W_SUB*B156+W_SEC*C156*(1-B156)+W_SIZE*D156+W_PROF*E156+W_AH*F156+W_REC*G156+W_CS*H156+W_PE*I156)))+ROW()/1000000</f>
        <v/>
      </c>
      <c r="AA156" s="270">
        <f>Database!B145</f>
        <v/>
      </c>
      <c r="AB156" s="270">
        <f>Database!D145</f>
        <v/>
      </c>
      <c r="AC156" s="270">
        <f>Database!E145</f>
        <v/>
      </c>
      <c r="AD156" s="270">
        <f>Database!I145</f>
        <v/>
      </c>
      <c r="AE156" s="270">
        <f>Database!BG145</f>
        <v/>
      </c>
      <c r="AF156" s="270">
        <f>Database!BM145</f>
        <v/>
      </c>
      <c r="AG156" s="270">
        <f>Database!H145</f>
        <v/>
      </c>
      <c r="AH156" s="270">
        <f>Database!BH145</f>
        <v/>
      </c>
    </row>
    <row r="157">
      <c r="A157" s="270">
        <f>Database!B157</f>
        <v/>
      </c>
      <c r="B157" s="270">
        <f>IF(AND(Screener!$D$8&lt;&gt;"",Database!$E157=Screener!$D$8),1,0)</f>
        <v/>
      </c>
      <c r="C157" s="270">
        <f>IF(AND(Screener!$D$7&lt;&gt;"",Database!$D157=Screener!$D$7),1,0)</f>
        <v/>
      </c>
      <c r="D157" s="270">
        <f>IF(OR(N(Database!$I157)&lt;=0,N(Screener!$D$9)&lt;=0),0,MAX(0,1-ABS(LOG10(N(Database!$I157)/Screener!$D$9))/W_SIZEHW))</f>
        <v/>
      </c>
      <c r="E157" s="270">
        <f>IF(OR(Database!$BG157="",Screener!$D$10=""),0,IF(Database!$BG157=Screener!$D$10,1,0))</f>
        <v/>
      </c>
      <c r="F157" s="270">
        <f>IF(OR(Database!$BM157="",Screener!$D$11=""),0,IF(Database!$BM157=Screener!$D$11,1,0))</f>
        <v/>
      </c>
      <c r="G157" s="270">
        <f>IF(OR(Database!$H157="",N(Screener!$D$12)&lt;=0),0,MAX(0,1-(N(Screener!$D$12)-Database!$H157)/W_RECD))</f>
        <v/>
      </c>
      <c r="H157" s="270">
        <f>IF($U$1="",0,N(ISNUMBER(SEARCH($U$1,Database!$AC157&amp;""))))+IF($V$1="",0,N(ISNUMBER(SEARCH($V$1,Database!$AC157&amp;""))))+IF($W$1="",0,N(ISNUMBER(SEARCH($W$1,Database!$AC157&amp;""))))+IF($X$1="",0,N(ISNUMBER(SEARCH($X$1,Database!$AC157&amp;""))))+IF($Y$1="",0,N(ISNUMBER(SEARCH($Y$1,Database!$AC157&amp;""))))+IF(Screener!$B$17="",0,N(ISNUMBER(SEARCH(LOWER(Screener!$B$17),Database!$AC157&amp;""))))</f>
        <v/>
      </c>
      <c r="I157" s="270">
        <f>IF(OR(N(Database!$BH157)&lt;=0,N(Screener!$D$13)&lt;=0),0,MAX(0,1-ABS(LOG10(N(Database!$BH157)/Screener!$D$13))/W_PEHW))</f>
        <v/>
      </c>
      <c r="J157" s="270">
        <f>IF(OR(N(Database!$S157)&lt;=0,N(Screener!$D$14)&lt;=0),0,MAX(0,1-ABS(LOG10(Database!$S157/Screener!$D$14))/0.6))</f>
        <v/>
      </c>
      <c r="K157" s="270">
        <f>IF(Database!$B157=Screener!$B$5,-999999,IF(ISNUMBER(SEARCH(","&amp;Database!$A157&amp;",",","&amp;SUBSTITUTE(Screener!$D$17," ","")&amp;",")),2000000,IF(IF(OR(Screener!$B$18="All",AND(Screener!$B$18="With A-share",(Database!$BM157="Y")),AND(Screener!$B$18="Without A-share",NOT((Database!$BM157="Y")))),1,0)=0,-999999,IF(Screener!$B$16="cornerstone overlap first",H157*100000,IF(Screener!$B$16="demand-similar first",J157*100000,0))+W_SUB*B157+W_SEC*C157*(1-B157)+W_SIZE*D157+W_PROF*E157+W_AH*F157+W_REC*G157+W_CS*H157+W_PE*I157)))+ROW()/1000000</f>
        <v/>
      </c>
      <c r="AA157" s="270">
        <f>Database!B146</f>
        <v/>
      </c>
      <c r="AB157" s="270">
        <f>Database!D146</f>
        <v/>
      </c>
      <c r="AC157" s="270">
        <f>Database!E146</f>
        <v/>
      </c>
      <c r="AD157" s="270">
        <f>Database!I146</f>
        <v/>
      </c>
      <c r="AE157" s="270">
        <f>Database!BG146</f>
        <v/>
      </c>
      <c r="AF157" s="270">
        <f>Database!BM146</f>
        <v/>
      </c>
      <c r="AG157" s="270">
        <f>Database!H146</f>
        <v/>
      </c>
      <c r="AH157" s="270">
        <f>Database!BH146</f>
        <v/>
      </c>
    </row>
    <row r="158">
      <c r="A158" s="270">
        <f>Database!B158</f>
        <v/>
      </c>
      <c r="B158" s="270">
        <f>IF(AND(Screener!$D$8&lt;&gt;"",Database!$E158=Screener!$D$8),1,0)</f>
        <v/>
      </c>
      <c r="C158" s="270">
        <f>IF(AND(Screener!$D$7&lt;&gt;"",Database!$D158=Screener!$D$7),1,0)</f>
        <v/>
      </c>
      <c r="D158" s="270">
        <f>IF(OR(N(Database!$I158)&lt;=0,N(Screener!$D$9)&lt;=0),0,MAX(0,1-ABS(LOG10(N(Database!$I158)/Screener!$D$9))/W_SIZEHW))</f>
        <v/>
      </c>
      <c r="E158" s="270">
        <f>IF(OR(Database!$BG158="",Screener!$D$10=""),0,IF(Database!$BG158=Screener!$D$10,1,0))</f>
        <v/>
      </c>
      <c r="F158" s="270">
        <f>IF(OR(Database!$BM158="",Screener!$D$11=""),0,IF(Database!$BM158=Screener!$D$11,1,0))</f>
        <v/>
      </c>
      <c r="G158" s="270">
        <f>IF(OR(Database!$H158="",N(Screener!$D$12)&lt;=0),0,MAX(0,1-(N(Screener!$D$12)-Database!$H158)/W_RECD))</f>
        <v/>
      </c>
      <c r="H158" s="270">
        <f>IF($U$1="",0,N(ISNUMBER(SEARCH($U$1,Database!$AC158&amp;""))))+IF($V$1="",0,N(ISNUMBER(SEARCH($V$1,Database!$AC158&amp;""))))+IF($W$1="",0,N(ISNUMBER(SEARCH($W$1,Database!$AC158&amp;""))))+IF($X$1="",0,N(ISNUMBER(SEARCH($X$1,Database!$AC158&amp;""))))+IF($Y$1="",0,N(ISNUMBER(SEARCH($Y$1,Database!$AC158&amp;""))))+IF(Screener!$B$17="",0,N(ISNUMBER(SEARCH(LOWER(Screener!$B$17),Database!$AC158&amp;""))))</f>
        <v/>
      </c>
      <c r="I158" s="270">
        <f>IF(OR(N(Database!$BH158)&lt;=0,N(Screener!$D$13)&lt;=0),0,MAX(0,1-ABS(LOG10(N(Database!$BH158)/Screener!$D$13))/W_PEHW))</f>
        <v/>
      </c>
      <c r="J158" s="270">
        <f>IF(OR(N(Database!$S158)&lt;=0,N(Screener!$D$14)&lt;=0),0,MAX(0,1-ABS(LOG10(Database!$S158/Screener!$D$14))/0.6))</f>
        <v/>
      </c>
      <c r="K158" s="270">
        <f>IF(Database!$B158=Screener!$B$5,-999999,IF(ISNUMBER(SEARCH(","&amp;Database!$A158&amp;",",","&amp;SUBSTITUTE(Screener!$D$17," ","")&amp;",")),2000000,IF(IF(OR(Screener!$B$18="All",AND(Screener!$B$18="With A-share",(Database!$BM158="Y")),AND(Screener!$B$18="Without A-share",NOT((Database!$BM158="Y")))),1,0)=0,-999999,IF(Screener!$B$16="cornerstone overlap first",H158*100000,IF(Screener!$B$16="demand-similar first",J158*100000,0))+W_SUB*B158+W_SEC*C158*(1-B158)+W_SIZE*D158+W_PROF*E158+W_AH*F158+W_REC*G158+W_CS*H158+W_PE*I158)))+ROW()/1000000</f>
        <v/>
      </c>
      <c r="AA158" s="270">
        <f>Database!B147</f>
        <v/>
      </c>
      <c r="AB158" s="270">
        <f>Database!D147</f>
        <v/>
      </c>
      <c r="AC158" s="270">
        <f>Database!E147</f>
        <v/>
      </c>
      <c r="AD158" s="270">
        <f>Database!I147</f>
        <v/>
      </c>
      <c r="AE158" s="270">
        <f>Database!BG147</f>
        <v/>
      </c>
      <c r="AF158" s="270">
        <f>Database!BM147</f>
        <v/>
      </c>
      <c r="AG158" s="270">
        <f>Database!H147</f>
        <v/>
      </c>
      <c r="AH158" s="270">
        <f>Database!BH147</f>
        <v/>
      </c>
    </row>
    <row r="159">
      <c r="A159" s="270">
        <f>Database!B159</f>
        <v/>
      </c>
      <c r="B159" s="270">
        <f>IF(AND(Screener!$D$8&lt;&gt;"",Database!$E159=Screener!$D$8),1,0)</f>
        <v/>
      </c>
      <c r="C159" s="270">
        <f>IF(AND(Screener!$D$7&lt;&gt;"",Database!$D159=Screener!$D$7),1,0)</f>
        <v/>
      </c>
      <c r="D159" s="270">
        <f>IF(OR(N(Database!$I159)&lt;=0,N(Screener!$D$9)&lt;=0),0,MAX(0,1-ABS(LOG10(N(Database!$I159)/Screener!$D$9))/W_SIZEHW))</f>
        <v/>
      </c>
      <c r="E159" s="270">
        <f>IF(OR(Database!$BG159="",Screener!$D$10=""),0,IF(Database!$BG159=Screener!$D$10,1,0))</f>
        <v/>
      </c>
      <c r="F159" s="270">
        <f>IF(OR(Database!$BM159="",Screener!$D$11=""),0,IF(Database!$BM159=Screener!$D$11,1,0))</f>
        <v/>
      </c>
      <c r="G159" s="270">
        <f>IF(OR(Database!$H159="",N(Screener!$D$12)&lt;=0),0,MAX(0,1-(N(Screener!$D$12)-Database!$H159)/W_RECD))</f>
        <v/>
      </c>
      <c r="H159" s="270">
        <f>IF($U$1="",0,N(ISNUMBER(SEARCH($U$1,Database!$AC159&amp;""))))+IF($V$1="",0,N(ISNUMBER(SEARCH($V$1,Database!$AC159&amp;""))))+IF($W$1="",0,N(ISNUMBER(SEARCH($W$1,Database!$AC159&amp;""))))+IF($X$1="",0,N(ISNUMBER(SEARCH($X$1,Database!$AC159&amp;""))))+IF($Y$1="",0,N(ISNUMBER(SEARCH($Y$1,Database!$AC159&amp;""))))+IF(Screener!$B$17="",0,N(ISNUMBER(SEARCH(LOWER(Screener!$B$17),Database!$AC159&amp;""))))</f>
        <v/>
      </c>
      <c r="I159" s="270">
        <f>IF(OR(N(Database!$BH159)&lt;=0,N(Screener!$D$13)&lt;=0),0,MAX(0,1-ABS(LOG10(N(Database!$BH159)/Screener!$D$13))/W_PEHW))</f>
        <v/>
      </c>
      <c r="J159" s="270">
        <f>IF(OR(N(Database!$S159)&lt;=0,N(Screener!$D$14)&lt;=0),0,MAX(0,1-ABS(LOG10(Database!$S159/Screener!$D$14))/0.6))</f>
        <v/>
      </c>
      <c r="K159" s="270">
        <f>IF(Database!$B159=Screener!$B$5,-999999,IF(ISNUMBER(SEARCH(","&amp;Database!$A159&amp;",",","&amp;SUBSTITUTE(Screener!$D$17," ","")&amp;",")),2000000,IF(IF(OR(Screener!$B$18="All",AND(Screener!$B$18="With A-share",(Database!$BM159="Y")),AND(Screener!$B$18="Without A-share",NOT((Database!$BM159="Y")))),1,0)=0,-999999,IF(Screener!$B$16="cornerstone overlap first",H159*100000,IF(Screener!$B$16="demand-similar first",J159*100000,0))+W_SUB*B159+W_SEC*C159*(1-B159)+W_SIZE*D159+W_PROF*E159+W_AH*F159+W_REC*G159+W_CS*H159+W_PE*I159)))+ROW()/1000000</f>
        <v/>
      </c>
      <c r="AA159" s="270">
        <f>Database!B148</f>
        <v/>
      </c>
      <c r="AB159" s="270">
        <f>Database!D148</f>
        <v/>
      </c>
      <c r="AC159" s="270">
        <f>Database!E148</f>
        <v/>
      </c>
      <c r="AD159" s="270">
        <f>Database!I148</f>
        <v/>
      </c>
      <c r="AE159" s="270">
        <f>Database!BG148</f>
        <v/>
      </c>
      <c r="AF159" s="270">
        <f>Database!BM148</f>
        <v/>
      </c>
      <c r="AG159" s="270">
        <f>Database!H148</f>
        <v/>
      </c>
      <c r="AH159" s="270">
        <f>Database!BH148</f>
        <v/>
      </c>
    </row>
    <row r="160">
      <c r="A160" s="270">
        <f>Database!B160</f>
        <v/>
      </c>
      <c r="B160" s="270">
        <f>IF(AND(Screener!$D$8&lt;&gt;"",Database!$E160=Screener!$D$8),1,0)</f>
        <v/>
      </c>
      <c r="C160" s="270">
        <f>IF(AND(Screener!$D$7&lt;&gt;"",Database!$D160=Screener!$D$7),1,0)</f>
        <v/>
      </c>
      <c r="D160" s="270">
        <f>IF(OR(N(Database!$I160)&lt;=0,N(Screener!$D$9)&lt;=0),0,MAX(0,1-ABS(LOG10(N(Database!$I160)/Screener!$D$9))/W_SIZEHW))</f>
        <v/>
      </c>
      <c r="E160" s="270">
        <f>IF(OR(Database!$BG160="",Screener!$D$10=""),0,IF(Database!$BG160=Screener!$D$10,1,0))</f>
        <v/>
      </c>
      <c r="F160" s="270">
        <f>IF(OR(Database!$BM160="",Screener!$D$11=""),0,IF(Database!$BM160=Screener!$D$11,1,0))</f>
        <v/>
      </c>
      <c r="G160" s="270">
        <f>IF(OR(Database!$H160="",N(Screener!$D$12)&lt;=0),0,MAX(0,1-(N(Screener!$D$12)-Database!$H160)/W_RECD))</f>
        <v/>
      </c>
      <c r="H160" s="270">
        <f>IF($U$1="",0,N(ISNUMBER(SEARCH($U$1,Database!$AC160&amp;""))))+IF($V$1="",0,N(ISNUMBER(SEARCH($V$1,Database!$AC160&amp;""))))+IF($W$1="",0,N(ISNUMBER(SEARCH($W$1,Database!$AC160&amp;""))))+IF($X$1="",0,N(ISNUMBER(SEARCH($X$1,Database!$AC160&amp;""))))+IF($Y$1="",0,N(ISNUMBER(SEARCH($Y$1,Database!$AC160&amp;""))))+IF(Screener!$B$17="",0,N(ISNUMBER(SEARCH(LOWER(Screener!$B$17),Database!$AC160&amp;""))))</f>
        <v/>
      </c>
      <c r="I160" s="270">
        <f>IF(OR(N(Database!$BH160)&lt;=0,N(Screener!$D$13)&lt;=0),0,MAX(0,1-ABS(LOG10(N(Database!$BH160)/Screener!$D$13))/W_PEHW))</f>
        <v/>
      </c>
      <c r="J160" s="270">
        <f>IF(OR(N(Database!$S160)&lt;=0,N(Screener!$D$14)&lt;=0),0,MAX(0,1-ABS(LOG10(Database!$S160/Screener!$D$14))/0.6))</f>
        <v/>
      </c>
      <c r="K160" s="270">
        <f>IF(Database!$B160=Screener!$B$5,-999999,IF(ISNUMBER(SEARCH(","&amp;Database!$A160&amp;",",","&amp;SUBSTITUTE(Screener!$D$17," ","")&amp;",")),2000000,IF(IF(OR(Screener!$B$18="All",AND(Screener!$B$18="With A-share",(Database!$BM160="Y")),AND(Screener!$B$18="Without A-share",NOT((Database!$BM160="Y")))),1,0)=0,-999999,IF(Screener!$B$16="cornerstone overlap first",H160*100000,IF(Screener!$B$16="demand-similar first",J160*100000,0))+W_SUB*B160+W_SEC*C160*(1-B160)+W_SIZE*D160+W_PROF*E160+W_AH*F160+W_REC*G160+W_CS*H160+W_PE*I160)))+ROW()/1000000</f>
        <v/>
      </c>
      <c r="AA160" s="270">
        <f>Database!B149</f>
        <v/>
      </c>
      <c r="AB160" s="270">
        <f>Database!D149</f>
        <v/>
      </c>
      <c r="AC160" s="270">
        <f>Database!E149</f>
        <v/>
      </c>
      <c r="AD160" s="270">
        <f>Database!I149</f>
        <v/>
      </c>
      <c r="AE160" s="270">
        <f>Database!BG149</f>
        <v/>
      </c>
      <c r="AF160" s="270">
        <f>Database!BM149</f>
        <v/>
      </c>
      <c r="AG160" s="270">
        <f>Database!H149</f>
        <v/>
      </c>
      <c r="AH160" s="270">
        <f>Database!BH149</f>
        <v/>
      </c>
    </row>
    <row r="161">
      <c r="A161" s="270">
        <f>Database!B161</f>
        <v/>
      </c>
      <c r="B161" s="270">
        <f>IF(AND(Screener!$D$8&lt;&gt;"",Database!$E161=Screener!$D$8),1,0)</f>
        <v/>
      </c>
      <c r="C161" s="270">
        <f>IF(AND(Screener!$D$7&lt;&gt;"",Database!$D161=Screener!$D$7),1,0)</f>
        <v/>
      </c>
      <c r="D161" s="270">
        <f>IF(OR(N(Database!$I161)&lt;=0,N(Screener!$D$9)&lt;=0),0,MAX(0,1-ABS(LOG10(N(Database!$I161)/Screener!$D$9))/W_SIZEHW))</f>
        <v/>
      </c>
      <c r="E161" s="270">
        <f>IF(OR(Database!$BG161="",Screener!$D$10=""),0,IF(Database!$BG161=Screener!$D$10,1,0))</f>
        <v/>
      </c>
      <c r="F161" s="270">
        <f>IF(OR(Database!$BM161="",Screener!$D$11=""),0,IF(Database!$BM161=Screener!$D$11,1,0))</f>
        <v/>
      </c>
      <c r="G161" s="270">
        <f>IF(OR(Database!$H161="",N(Screener!$D$12)&lt;=0),0,MAX(0,1-(N(Screener!$D$12)-Database!$H161)/W_RECD))</f>
        <v/>
      </c>
      <c r="H161" s="270">
        <f>IF($U$1="",0,N(ISNUMBER(SEARCH($U$1,Database!$AC161&amp;""))))+IF($V$1="",0,N(ISNUMBER(SEARCH($V$1,Database!$AC161&amp;""))))+IF($W$1="",0,N(ISNUMBER(SEARCH($W$1,Database!$AC161&amp;""))))+IF($X$1="",0,N(ISNUMBER(SEARCH($X$1,Database!$AC161&amp;""))))+IF($Y$1="",0,N(ISNUMBER(SEARCH($Y$1,Database!$AC161&amp;""))))+IF(Screener!$B$17="",0,N(ISNUMBER(SEARCH(LOWER(Screener!$B$17),Database!$AC161&amp;""))))</f>
        <v/>
      </c>
      <c r="I161" s="270">
        <f>IF(OR(N(Database!$BH161)&lt;=0,N(Screener!$D$13)&lt;=0),0,MAX(0,1-ABS(LOG10(N(Database!$BH161)/Screener!$D$13))/W_PEHW))</f>
        <v/>
      </c>
      <c r="J161" s="270">
        <f>IF(OR(N(Database!$S161)&lt;=0,N(Screener!$D$14)&lt;=0),0,MAX(0,1-ABS(LOG10(Database!$S161/Screener!$D$14))/0.6))</f>
        <v/>
      </c>
      <c r="K161" s="270">
        <f>IF(Database!$B161=Screener!$B$5,-999999,IF(ISNUMBER(SEARCH(","&amp;Database!$A161&amp;",",","&amp;SUBSTITUTE(Screener!$D$17," ","")&amp;",")),2000000,IF(IF(OR(Screener!$B$18="All",AND(Screener!$B$18="With A-share",(Database!$BM161="Y")),AND(Screener!$B$18="Without A-share",NOT((Database!$BM161="Y")))),1,0)=0,-999999,IF(Screener!$B$16="cornerstone overlap first",H161*100000,IF(Screener!$B$16="demand-similar first",J161*100000,0))+W_SUB*B161+W_SEC*C161*(1-B161)+W_SIZE*D161+W_PROF*E161+W_AH*F161+W_REC*G161+W_CS*H161+W_PE*I161)))+ROW()/1000000</f>
        <v/>
      </c>
      <c r="AA161" s="270">
        <f>Database!B150</f>
        <v/>
      </c>
      <c r="AB161" s="270">
        <f>Database!D150</f>
        <v/>
      </c>
      <c r="AC161" s="270">
        <f>Database!E150</f>
        <v/>
      </c>
      <c r="AD161" s="270">
        <f>Database!I150</f>
        <v/>
      </c>
      <c r="AE161" s="270">
        <f>Database!BG150</f>
        <v/>
      </c>
      <c r="AF161" s="270">
        <f>Database!BM150</f>
        <v/>
      </c>
      <c r="AG161" s="270">
        <f>Database!H150</f>
        <v/>
      </c>
      <c r="AH161" s="270">
        <f>Database!BH150</f>
        <v/>
      </c>
    </row>
    <row r="162">
      <c r="A162" s="270">
        <f>Database!B162</f>
        <v/>
      </c>
      <c r="B162" s="270">
        <f>IF(AND(Screener!$D$8&lt;&gt;"",Database!$E162=Screener!$D$8),1,0)</f>
        <v/>
      </c>
      <c r="C162" s="270">
        <f>IF(AND(Screener!$D$7&lt;&gt;"",Database!$D162=Screener!$D$7),1,0)</f>
        <v/>
      </c>
      <c r="D162" s="270">
        <f>IF(OR(N(Database!$I162)&lt;=0,N(Screener!$D$9)&lt;=0),0,MAX(0,1-ABS(LOG10(N(Database!$I162)/Screener!$D$9))/W_SIZEHW))</f>
        <v/>
      </c>
      <c r="E162" s="270">
        <f>IF(OR(Database!$BG162="",Screener!$D$10=""),0,IF(Database!$BG162=Screener!$D$10,1,0))</f>
        <v/>
      </c>
      <c r="F162" s="270">
        <f>IF(OR(Database!$BM162="",Screener!$D$11=""),0,IF(Database!$BM162=Screener!$D$11,1,0))</f>
        <v/>
      </c>
      <c r="G162" s="270">
        <f>IF(OR(Database!$H162="",N(Screener!$D$12)&lt;=0),0,MAX(0,1-(N(Screener!$D$12)-Database!$H162)/W_RECD))</f>
        <v/>
      </c>
      <c r="H162" s="270">
        <f>IF($U$1="",0,N(ISNUMBER(SEARCH($U$1,Database!$AC162&amp;""))))+IF($V$1="",0,N(ISNUMBER(SEARCH($V$1,Database!$AC162&amp;""))))+IF($W$1="",0,N(ISNUMBER(SEARCH($W$1,Database!$AC162&amp;""))))+IF($X$1="",0,N(ISNUMBER(SEARCH($X$1,Database!$AC162&amp;""))))+IF($Y$1="",0,N(ISNUMBER(SEARCH($Y$1,Database!$AC162&amp;""))))+IF(Screener!$B$17="",0,N(ISNUMBER(SEARCH(LOWER(Screener!$B$17),Database!$AC162&amp;""))))</f>
        <v/>
      </c>
      <c r="I162" s="270">
        <f>IF(OR(N(Database!$BH162)&lt;=0,N(Screener!$D$13)&lt;=0),0,MAX(0,1-ABS(LOG10(N(Database!$BH162)/Screener!$D$13))/W_PEHW))</f>
        <v/>
      </c>
      <c r="J162" s="270">
        <f>IF(OR(N(Database!$S162)&lt;=0,N(Screener!$D$14)&lt;=0),0,MAX(0,1-ABS(LOG10(Database!$S162/Screener!$D$14))/0.6))</f>
        <v/>
      </c>
      <c r="K162" s="270">
        <f>IF(Database!$B162=Screener!$B$5,-999999,IF(ISNUMBER(SEARCH(","&amp;Database!$A162&amp;",",","&amp;SUBSTITUTE(Screener!$D$17," ","")&amp;",")),2000000,IF(IF(OR(Screener!$B$18="All",AND(Screener!$B$18="With A-share",(Database!$BM162="Y")),AND(Screener!$B$18="Without A-share",NOT((Database!$BM162="Y")))),1,0)=0,-999999,IF(Screener!$B$16="cornerstone overlap first",H162*100000,IF(Screener!$B$16="demand-similar first",J162*100000,0))+W_SUB*B162+W_SEC*C162*(1-B162)+W_SIZE*D162+W_PROF*E162+W_AH*F162+W_REC*G162+W_CS*H162+W_PE*I162)))+ROW()/1000000</f>
        <v/>
      </c>
      <c r="AA162" s="270">
        <f>Database!B151</f>
        <v/>
      </c>
      <c r="AB162" s="270">
        <f>Database!D151</f>
        <v/>
      </c>
      <c r="AC162" s="270">
        <f>Database!E151</f>
        <v/>
      </c>
      <c r="AD162" s="270">
        <f>Database!I151</f>
        <v/>
      </c>
      <c r="AE162" s="270">
        <f>Database!BG151</f>
        <v/>
      </c>
      <c r="AF162" s="270">
        <f>Database!BM151</f>
        <v/>
      </c>
      <c r="AG162" s="270">
        <f>Database!H151</f>
        <v/>
      </c>
      <c r="AH162" s="270">
        <f>Database!BH151</f>
        <v/>
      </c>
    </row>
    <row r="163">
      <c r="A163" s="270">
        <f>Database!B163</f>
        <v/>
      </c>
      <c r="B163" s="270">
        <f>IF(AND(Screener!$D$8&lt;&gt;"",Database!$E163=Screener!$D$8),1,0)</f>
        <v/>
      </c>
      <c r="C163" s="270">
        <f>IF(AND(Screener!$D$7&lt;&gt;"",Database!$D163=Screener!$D$7),1,0)</f>
        <v/>
      </c>
      <c r="D163" s="270">
        <f>IF(OR(N(Database!$I163)&lt;=0,N(Screener!$D$9)&lt;=0),0,MAX(0,1-ABS(LOG10(N(Database!$I163)/Screener!$D$9))/W_SIZEHW))</f>
        <v/>
      </c>
      <c r="E163" s="270">
        <f>IF(OR(Database!$BG163="",Screener!$D$10=""),0,IF(Database!$BG163=Screener!$D$10,1,0))</f>
        <v/>
      </c>
      <c r="F163" s="270">
        <f>IF(OR(Database!$BM163="",Screener!$D$11=""),0,IF(Database!$BM163=Screener!$D$11,1,0))</f>
        <v/>
      </c>
      <c r="G163" s="270">
        <f>IF(OR(Database!$H163="",N(Screener!$D$12)&lt;=0),0,MAX(0,1-(N(Screener!$D$12)-Database!$H163)/W_RECD))</f>
        <v/>
      </c>
      <c r="H163" s="270">
        <f>IF($U$1="",0,N(ISNUMBER(SEARCH($U$1,Database!$AC163&amp;""))))+IF($V$1="",0,N(ISNUMBER(SEARCH($V$1,Database!$AC163&amp;""))))+IF($W$1="",0,N(ISNUMBER(SEARCH($W$1,Database!$AC163&amp;""))))+IF($X$1="",0,N(ISNUMBER(SEARCH($X$1,Database!$AC163&amp;""))))+IF($Y$1="",0,N(ISNUMBER(SEARCH($Y$1,Database!$AC163&amp;""))))+IF(Screener!$B$17="",0,N(ISNUMBER(SEARCH(LOWER(Screener!$B$17),Database!$AC163&amp;""))))</f>
        <v/>
      </c>
      <c r="I163" s="270">
        <f>IF(OR(N(Database!$BH163)&lt;=0,N(Screener!$D$13)&lt;=0),0,MAX(0,1-ABS(LOG10(N(Database!$BH163)/Screener!$D$13))/W_PEHW))</f>
        <v/>
      </c>
      <c r="J163" s="270">
        <f>IF(OR(N(Database!$S163)&lt;=0,N(Screener!$D$14)&lt;=0),0,MAX(0,1-ABS(LOG10(Database!$S163/Screener!$D$14))/0.6))</f>
        <v/>
      </c>
      <c r="K163" s="270">
        <f>IF(Database!$B163=Screener!$B$5,-999999,IF(ISNUMBER(SEARCH(","&amp;Database!$A163&amp;",",","&amp;SUBSTITUTE(Screener!$D$17," ","")&amp;",")),2000000,IF(IF(OR(Screener!$B$18="All",AND(Screener!$B$18="With A-share",(Database!$BM163="Y")),AND(Screener!$B$18="Without A-share",NOT((Database!$BM163="Y")))),1,0)=0,-999999,IF(Screener!$B$16="cornerstone overlap first",H163*100000,IF(Screener!$B$16="demand-similar first",J163*100000,0))+W_SUB*B163+W_SEC*C163*(1-B163)+W_SIZE*D163+W_PROF*E163+W_AH*F163+W_REC*G163+W_CS*H163+W_PE*I163)))+ROW()/1000000</f>
        <v/>
      </c>
      <c r="AA163" s="270">
        <f>Database!B152</f>
        <v/>
      </c>
      <c r="AB163" s="270">
        <f>Database!D152</f>
        <v/>
      </c>
      <c r="AC163" s="270">
        <f>Database!E152</f>
        <v/>
      </c>
      <c r="AD163" s="270">
        <f>Database!I152</f>
        <v/>
      </c>
      <c r="AE163" s="270">
        <f>Database!BG152</f>
        <v/>
      </c>
      <c r="AF163" s="270">
        <f>Database!BM152</f>
        <v/>
      </c>
      <c r="AG163" s="270">
        <f>Database!H152</f>
        <v/>
      </c>
      <c r="AH163" s="270">
        <f>Database!BH152</f>
        <v/>
      </c>
    </row>
    <row r="164">
      <c r="A164" s="270">
        <f>Database!B164</f>
        <v/>
      </c>
      <c r="B164" s="270">
        <f>IF(AND(Screener!$D$8&lt;&gt;"",Database!$E164=Screener!$D$8),1,0)</f>
        <v/>
      </c>
      <c r="C164" s="270">
        <f>IF(AND(Screener!$D$7&lt;&gt;"",Database!$D164=Screener!$D$7),1,0)</f>
        <v/>
      </c>
      <c r="D164" s="270">
        <f>IF(OR(N(Database!$I164)&lt;=0,N(Screener!$D$9)&lt;=0),0,MAX(0,1-ABS(LOG10(N(Database!$I164)/Screener!$D$9))/W_SIZEHW))</f>
        <v/>
      </c>
      <c r="E164" s="270">
        <f>IF(OR(Database!$BG164="",Screener!$D$10=""),0,IF(Database!$BG164=Screener!$D$10,1,0))</f>
        <v/>
      </c>
      <c r="F164" s="270">
        <f>IF(OR(Database!$BM164="",Screener!$D$11=""),0,IF(Database!$BM164=Screener!$D$11,1,0))</f>
        <v/>
      </c>
      <c r="G164" s="270">
        <f>IF(OR(Database!$H164="",N(Screener!$D$12)&lt;=0),0,MAX(0,1-(N(Screener!$D$12)-Database!$H164)/W_RECD))</f>
        <v/>
      </c>
      <c r="H164" s="270">
        <f>IF($U$1="",0,N(ISNUMBER(SEARCH($U$1,Database!$AC164&amp;""))))+IF($V$1="",0,N(ISNUMBER(SEARCH($V$1,Database!$AC164&amp;""))))+IF($W$1="",0,N(ISNUMBER(SEARCH($W$1,Database!$AC164&amp;""))))+IF($X$1="",0,N(ISNUMBER(SEARCH($X$1,Database!$AC164&amp;""))))+IF($Y$1="",0,N(ISNUMBER(SEARCH($Y$1,Database!$AC164&amp;""))))+IF(Screener!$B$17="",0,N(ISNUMBER(SEARCH(LOWER(Screener!$B$17),Database!$AC164&amp;""))))</f>
        <v/>
      </c>
      <c r="I164" s="270">
        <f>IF(OR(N(Database!$BH164)&lt;=0,N(Screener!$D$13)&lt;=0),0,MAX(0,1-ABS(LOG10(N(Database!$BH164)/Screener!$D$13))/W_PEHW))</f>
        <v/>
      </c>
      <c r="J164" s="270">
        <f>IF(OR(N(Database!$S164)&lt;=0,N(Screener!$D$14)&lt;=0),0,MAX(0,1-ABS(LOG10(Database!$S164/Screener!$D$14))/0.6))</f>
        <v/>
      </c>
      <c r="K164" s="270">
        <f>IF(Database!$B164=Screener!$B$5,-999999,IF(ISNUMBER(SEARCH(","&amp;Database!$A164&amp;",",","&amp;SUBSTITUTE(Screener!$D$17," ","")&amp;",")),2000000,IF(IF(OR(Screener!$B$18="All",AND(Screener!$B$18="With A-share",(Database!$BM164="Y")),AND(Screener!$B$18="Without A-share",NOT((Database!$BM164="Y")))),1,0)=0,-999999,IF(Screener!$B$16="cornerstone overlap first",H164*100000,IF(Screener!$B$16="demand-similar first",J164*100000,0))+W_SUB*B164+W_SEC*C164*(1-B164)+W_SIZE*D164+W_PROF*E164+W_AH*F164+W_REC*G164+W_CS*H164+W_PE*I164)))+ROW()/1000000</f>
        <v/>
      </c>
      <c r="AA164" s="270">
        <f>Database!B153</f>
        <v/>
      </c>
      <c r="AB164" s="270">
        <f>Database!D153</f>
        <v/>
      </c>
      <c r="AC164" s="270">
        <f>Database!E153</f>
        <v/>
      </c>
      <c r="AD164" s="270">
        <f>Database!I153</f>
        <v/>
      </c>
      <c r="AE164" s="270">
        <f>Database!BG153</f>
        <v/>
      </c>
      <c r="AF164" s="270">
        <f>Database!BM153</f>
        <v/>
      </c>
      <c r="AG164" s="270">
        <f>Database!H153</f>
        <v/>
      </c>
      <c r="AH164" s="270">
        <f>Database!BH153</f>
        <v/>
      </c>
    </row>
    <row r="165">
      <c r="A165" s="270">
        <f>Database!B165</f>
        <v/>
      </c>
      <c r="B165" s="270">
        <f>IF(AND(Screener!$D$8&lt;&gt;"",Database!$E165=Screener!$D$8),1,0)</f>
        <v/>
      </c>
      <c r="C165" s="270">
        <f>IF(AND(Screener!$D$7&lt;&gt;"",Database!$D165=Screener!$D$7),1,0)</f>
        <v/>
      </c>
      <c r="D165" s="270">
        <f>IF(OR(N(Database!$I165)&lt;=0,N(Screener!$D$9)&lt;=0),0,MAX(0,1-ABS(LOG10(N(Database!$I165)/Screener!$D$9))/W_SIZEHW))</f>
        <v/>
      </c>
      <c r="E165" s="270">
        <f>IF(OR(Database!$BG165="",Screener!$D$10=""),0,IF(Database!$BG165=Screener!$D$10,1,0))</f>
        <v/>
      </c>
      <c r="F165" s="270">
        <f>IF(OR(Database!$BM165="",Screener!$D$11=""),0,IF(Database!$BM165=Screener!$D$11,1,0))</f>
        <v/>
      </c>
      <c r="G165" s="270">
        <f>IF(OR(Database!$H165="",N(Screener!$D$12)&lt;=0),0,MAX(0,1-(N(Screener!$D$12)-Database!$H165)/W_RECD))</f>
        <v/>
      </c>
      <c r="H165" s="270">
        <f>IF($U$1="",0,N(ISNUMBER(SEARCH($U$1,Database!$AC165&amp;""))))+IF($V$1="",0,N(ISNUMBER(SEARCH($V$1,Database!$AC165&amp;""))))+IF($W$1="",0,N(ISNUMBER(SEARCH($W$1,Database!$AC165&amp;""))))+IF($X$1="",0,N(ISNUMBER(SEARCH($X$1,Database!$AC165&amp;""))))+IF($Y$1="",0,N(ISNUMBER(SEARCH($Y$1,Database!$AC165&amp;""))))+IF(Screener!$B$17="",0,N(ISNUMBER(SEARCH(LOWER(Screener!$B$17),Database!$AC165&amp;""))))</f>
        <v/>
      </c>
      <c r="I165" s="270">
        <f>IF(OR(N(Database!$BH165)&lt;=0,N(Screener!$D$13)&lt;=0),0,MAX(0,1-ABS(LOG10(N(Database!$BH165)/Screener!$D$13))/W_PEHW))</f>
        <v/>
      </c>
      <c r="J165" s="270">
        <f>IF(OR(N(Database!$S165)&lt;=0,N(Screener!$D$14)&lt;=0),0,MAX(0,1-ABS(LOG10(Database!$S165/Screener!$D$14))/0.6))</f>
        <v/>
      </c>
      <c r="K165" s="270">
        <f>IF(Database!$B165=Screener!$B$5,-999999,IF(ISNUMBER(SEARCH(","&amp;Database!$A165&amp;",",","&amp;SUBSTITUTE(Screener!$D$17," ","")&amp;",")),2000000,IF(IF(OR(Screener!$B$18="All",AND(Screener!$B$18="With A-share",(Database!$BM165="Y")),AND(Screener!$B$18="Without A-share",NOT((Database!$BM165="Y")))),1,0)=0,-999999,IF(Screener!$B$16="cornerstone overlap first",H165*100000,IF(Screener!$B$16="demand-similar first",J165*100000,0))+W_SUB*B165+W_SEC*C165*(1-B165)+W_SIZE*D165+W_PROF*E165+W_AH*F165+W_REC*G165+W_CS*H165+W_PE*I165)))+ROW()/1000000</f>
        <v/>
      </c>
      <c r="AA165" s="270">
        <f>Database!B154</f>
        <v/>
      </c>
      <c r="AB165" s="270">
        <f>Database!D154</f>
        <v/>
      </c>
      <c r="AC165" s="270">
        <f>Database!E154</f>
        <v/>
      </c>
      <c r="AD165" s="270">
        <f>Database!I154</f>
        <v/>
      </c>
      <c r="AE165" s="270">
        <f>Database!BG154</f>
        <v/>
      </c>
      <c r="AF165" s="270">
        <f>Database!BM154</f>
        <v/>
      </c>
      <c r="AG165" s="270">
        <f>Database!H154</f>
        <v/>
      </c>
      <c r="AH165" s="270">
        <f>Database!BH154</f>
        <v/>
      </c>
    </row>
    <row r="166">
      <c r="A166" s="270">
        <f>Database!B166</f>
        <v/>
      </c>
      <c r="B166" s="270">
        <f>IF(AND(Screener!$D$8&lt;&gt;"",Database!$E166=Screener!$D$8),1,0)</f>
        <v/>
      </c>
      <c r="C166" s="270">
        <f>IF(AND(Screener!$D$7&lt;&gt;"",Database!$D166=Screener!$D$7),1,0)</f>
        <v/>
      </c>
      <c r="D166" s="270">
        <f>IF(OR(N(Database!$I166)&lt;=0,N(Screener!$D$9)&lt;=0),0,MAX(0,1-ABS(LOG10(N(Database!$I166)/Screener!$D$9))/W_SIZEHW))</f>
        <v/>
      </c>
      <c r="E166" s="270">
        <f>IF(OR(Database!$BG166="",Screener!$D$10=""),0,IF(Database!$BG166=Screener!$D$10,1,0))</f>
        <v/>
      </c>
      <c r="F166" s="270">
        <f>IF(OR(Database!$BM166="",Screener!$D$11=""),0,IF(Database!$BM166=Screener!$D$11,1,0))</f>
        <v/>
      </c>
      <c r="G166" s="270">
        <f>IF(OR(Database!$H166="",N(Screener!$D$12)&lt;=0),0,MAX(0,1-(N(Screener!$D$12)-Database!$H166)/W_RECD))</f>
        <v/>
      </c>
      <c r="H166" s="270">
        <f>IF($U$1="",0,N(ISNUMBER(SEARCH($U$1,Database!$AC166&amp;""))))+IF($V$1="",0,N(ISNUMBER(SEARCH($V$1,Database!$AC166&amp;""))))+IF($W$1="",0,N(ISNUMBER(SEARCH($W$1,Database!$AC166&amp;""))))+IF($X$1="",0,N(ISNUMBER(SEARCH($X$1,Database!$AC166&amp;""))))+IF($Y$1="",0,N(ISNUMBER(SEARCH($Y$1,Database!$AC166&amp;""))))+IF(Screener!$B$17="",0,N(ISNUMBER(SEARCH(LOWER(Screener!$B$17),Database!$AC166&amp;""))))</f>
        <v/>
      </c>
      <c r="I166" s="270">
        <f>IF(OR(N(Database!$BH166)&lt;=0,N(Screener!$D$13)&lt;=0),0,MAX(0,1-ABS(LOG10(N(Database!$BH166)/Screener!$D$13))/W_PEHW))</f>
        <v/>
      </c>
      <c r="J166" s="270">
        <f>IF(OR(N(Database!$S166)&lt;=0,N(Screener!$D$14)&lt;=0),0,MAX(0,1-ABS(LOG10(Database!$S166/Screener!$D$14))/0.6))</f>
        <v/>
      </c>
      <c r="K166" s="270">
        <f>IF(Database!$B166=Screener!$B$5,-999999,IF(ISNUMBER(SEARCH(","&amp;Database!$A166&amp;",",","&amp;SUBSTITUTE(Screener!$D$17," ","")&amp;",")),2000000,IF(IF(OR(Screener!$B$18="All",AND(Screener!$B$18="With A-share",(Database!$BM166="Y")),AND(Screener!$B$18="Without A-share",NOT((Database!$BM166="Y")))),1,0)=0,-999999,IF(Screener!$B$16="cornerstone overlap first",H166*100000,IF(Screener!$B$16="demand-similar first",J166*100000,0))+W_SUB*B166+W_SEC*C166*(1-B166)+W_SIZE*D166+W_PROF*E166+W_AH*F166+W_REC*G166+W_CS*H166+W_PE*I166)))+ROW()/1000000</f>
        <v/>
      </c>
      <c r="AA166" s="270">
        <f>Database!B155</f>
        <v/>
      </c>
      <c r="AB166" s="270">
        <f>Database!D155</f>
        <v/>
      </c>
      <c r="AC166" s="270">
        <f>Database!E155</f>
        <v/>
      </c>
      <c r="AD166" s="270">
        <f>Database!I155</f>
        <v/>
      </c>
      <c r="AE166" s="270">
        <f>Database!BG155</f>
        <v/>
      </c>
      <c r="AF166" s="270">
        <f>Database!BM155</f>
        <v/>
      </c>
      <c r="AG166" s="270">
        <f>Database!H155</f>
        <v/>
      </c>
      <c r="AH166" s="270">
        <f>Database!BH155</f>
        <v/>
      </c>
    </row>
    <row r="167">
      <c r="A167" s="270">
        <f>Database!B167</f>
        <v/>
      </c>
      <c r="B167" s="270">
        <f>IF(AND(Screener!$D$8&lt;&gt;"",Database!$E167=Screener!$D$8),1,0)</f>
        <v/>
      </c>
      <c r="C167" s="270">
        <f>IF(AND(Screener!$D$7&lt;&gt;"",Database!$D167=Screener!$D$7),1,0)</f>
        <v/>
      </c>
      <c r="D167" s="270">
        <f>IF(OR(N(Database!$I167)&lt;=0,N(Screener!$D$9)&lt;=0),0,MAX(0,1-ABS(LOG10(N(Database!$I167)/Screener!$D$9))/W_SIZEHW))</f>
        <v/>
      </c>
      <c r="E167" s="270">
        <f>IF(OR(Database!$BG167="",Screener!$D$10=""),0,IF(Database!$BG167=Screener!$D$10,1,0))</f>
        <v/>
      </c>
      <c r="F167" s="270">
        <f>IF(OR(Database!$BM167="",Screener!$D$11=""),0,IF(Database!$BM167=Screener!$D$11,1,0))</f>
        <v/>
      </c>
      <c r="G167" s="270">
        <f>IF(OR(Database!$H167="",N(Screener!$D$12)&lt;=0),0,MAX(0,1-(N(Screener!$D$12)-Database!$H167)/W_RECD))</f>
        <v/>
      </c>
      <c r="H167" s="270">
        <f>IF($U$1="",0,N(ISNUMBER(SEARCH($U$1,Database!$AC167&amp;""))))+IF($V$1="",0,N(ISNUMBER(SEARCH($V$1,Database!$AC167&amp;""))))+IF($W$1="",0,N(ISNUMBER(SEARCH($W$1,Database!$AC167&amp;""))))+IF($X$1="",0,N(ISNUMBER(SEARCH($X$1,Database!$AC167&amp;""))))+IF($Y$1="",0,N(ISNUMBER(SEARCH($Y$1,Database!$AC167&amp;""))))+IF(Screener!$B$17="",0,N(ISNUMBER(SEARCH(LOWER(Screener!$B$17),Database!$AC167&amp;""))))</f>
        <v/>
      </c>
      <c r="I167" s="270">
        <f>IF(OR(N(Database!$BH167)&lt;=0,N(Screener!$D$13)&lt;=0),0,MAX(0,1-ABS(LOG10(N(Database!$BH167)/Screener!$D$13))/W_PEHW))</f>
        <v/>
      </c>
      <c r="J167" s="270">
        <f>IF(OR(N(Database!$S167)&lt;=0,N(Screener!$D$14)&lt;=0),0,MAX(0,1-ABS(LOG10(Database!$S167/Screener!$D$14))/0.6))</f>
        <v/>
      </c>
      <c r="K167" s="270">
        <f>IF(Database!$B167=Screener!$B$5,-999999,IF(ISNUMBER(SEARCH(","&amp;Database!$A167&amp;",",","&amp;SUBSTITUTE(Screener!$D$17," ","")&amp;",")),2000000,IF(IF(OR(Screener!$B$18="All",AND(Screener!$B$18="With A-share",(Database!$BM167="Y")),AND(Screener!$B$18="Without A-share",NOT((Database!$BM167="Y")))),1,0)=0,-999999,IF(Screener!$B$16="cornerstone overlap first",H167*100000,IF(Screener!$B$16="demand-similar first",J167*100000,0))+W_SUB*B167+W_SEC*C167*(1-B167)+W_SIZE*D167+W_PROF*E167+W_AH*F167+W_REC*G167+W_CS*H167+W_PE*I167)))+ROW()/1000000</f>
        <v/>
      </c>
      <c r="AA167" s="270">
        <f>Database!B156</f>
        <v/>
      </c>
      <c r="AB167" s="270">
        <f>Database!D156</f>
        <v/>
      </c>
      <c r="AC167" s="270">
        <f>Database!E156</f>
        <v/>
      </c>
      <c r="AD167" s="270">
        <f>Database!I156</f>
        <v/>
      </c>
      <c r="AE167" s="270">
        <f>Database!BG156</f>
        <v/>
      </c>
      <c r="AF167" s="270">
        <f>Database!BM156</f>
        <v/>
      </c>
      <c r="AG167" s="270">
        <f>Database!H156</f>
        <v/>
      </c>
      <c r="AH167" s="270">
        <f>Database!BH156</f>
        <v/>
      </c>
    </row>
    <row r="168">
      <c r="A168" s="270">
        <f>Database!B168</f>
        <v/>
      </c>
      <c r="B168" s="270">
        <f>IF(AND(Screener!$D$8&lt;&gt;"",Database!$E168=Screener!$D$8),1,0)</f>
        <v/>
      </c>
      <c r="C168" s="270">
        <f>IF(AND(Screener!$D$7&lt;&gt;"",Database!$D168=Screener!$D$7),1,0)</f>
        <v/>
      </c>
      <c r="D168" s="270">
        <f>IF(OR(N(Database!$I168)&lt;=0,N(Screener!$D$9)&lt;=0),0,MAX(0,1-ABS(LOG10(N(Database!$I168)/Screener!$D$9))/W_SIZEHW))</f>
        <v/>
      </c>
      <c r="E168" s="270">
        <f>IF(OR(Database!$BG168="",Screener!$D$10=""),0,IF(Database!$BG168=Screener!$D$10,1,0))</f>
        <v/>
      </c>
      <c r="F168" s="270">
        <f>IF(OR(Database!$BM168="",Screener!$D$11=""),0,IF(Database!$BM168=Screener!$D$11,1,0))</f>
        <v/>
      </c>
      <c r="G168" s="270">
        <f>IF(OR(Database!$H168="",N(Screener!$D$12)&lt;=0),0,MAX(0,1-(N(Screener!$D$12)-Database!$H168)/W_RECD))</f>
        <v/>
      </c>
      <c r="H168" s="270">
        <f>IF($U$1="",0,N(ISNUMBER(SEARCH($U$1,Database!$AC168&amp;""))))+IF($V$1="",0,N(ISNUMBER(SEARCH($V$1,Database!$AC168&amp;""))))+IF($W$1="",0,N(ISNUMBER(SEARCH($W$1,Database!$AC168&amp;""))))+IF($X$1="",0,N(ISNUMBER(SEARCH($X$1,Database!$AC168&amp;""))))+IF($Y$1="",0,N(ISNUMBER(SEARCH($Y$1,Database!$AC168&amp;""))))+IF(Screener!$B$17="",0,N(ISNUMBER(SEARCH(LOWER(Screener!$B$17),Database!$AC168&amp;""))))</f>
        <v/>
      </c>
      <c r="I168" s="270">
        <f>IF(OR(N(Database!$BH168)&lt;=0,N(Screener!$D$13)&lt;=0),0,MAX(0,1-ABS(LOG10(N(Database!$BH168)/Screener!$D$13))/W_PEHW))</f>
        <v/>
      </c>
      <c r="J168" s="270">
        <f>IF(OR(N(Database!$S168)&lt;=0,N(Screener!$D$14)&lt;=0),0,MAX(0,1-ABS(LOG10(Database!$S168/Screener!$D$14))/0.6))</f>
        <v/>
      </c>
      <c r="K168" s="270">
        <f>IF(Database!$B168=Screener!$B$5,-999999,IF(ISNUMBER(SEARCH(","&amp;Database!$A168&amp;",",","&amp;SUBSTITUTE(Screener!$D$17," ","")&amp;",")),2000000,IF(IF(OR(Screener!$B$18="All",AND(Screener!$B$18="With A-share",(Database!$BM168="Y")),AND(Screener!$B$18="Without A-share",NOT((Database!$BM168="Y")))),1,0)=0,-999999,IF(Screener!$B$16="cornerstone overlap first",H168*100000,IF(Screener!$B$16="demand-similar first",J168*100000,0))+W_SUB*B168+W_SEC*C168*(1-B168)+W_SIZE*D168+W_PROF*E168+W_AH*F168+W_REC*G168+W_CS*H168+W_PE*I168)))+ROW()/1000000</f>
        <v/>
      </c>
      <c r="AA168" s="270">
        <f>Database!B157</f>
        <v/>
      </c>
      <c r="AB168" s="270">
        <f>Database!D157</f>
        <v/>
      </c>
      <c r="AC168" s="270">
        <f>Database!E157</f>
        <v/>
      </c>
      <c r="AD168" s="270">
        <f>Database!I157</f>
        <v/>
      </c>
      <c r="AE168" s="270">
        <f>Database!BG157</f>
        <v/>
      </c>
      <c r="AF168" s="270">
        <f>Database!BM157</f>
        <v/>
      </c>
      <c r="AG168" s="270">
        <f>Database!H157</f>
        <v/>
      </c>
      <c r="AH168" s="270">
        <f>Database!BH157</f>
        <v/>
      </c>
    </row>
    <row r="169">
      <c r="A169" s="270">
        <f>Database!B169</f>
        <v/>
      </c>
      <c r="B169" s="270">
        <f>IF(AND(Screener!$D$8&lt;&gt;"",Database!$E169=Screener!$D$8),1,0)</f>
        <v/>
      </c>
      <c r="C169" s="270">
        <f>IF(AND(Screener!$D$7&lt;&gt;"",Database!$D169=Screener!$D$7),1,0)</f>
        <v/>
      </c>
      <c r="D169" s="270">
        <f>IF(OR(N(Database!$I169)&lt;=0,N(Screener!$D$9)&lt;=0),0,MAX(0,1-ABS(LOG10(N(Database!$I169)/Screener!$D$9))/W_SIZEHW))</f>
        <v/>
      </c>
      <c r="E169" s="270">
        <f>IF(OR(Database!$BG169="",Screener!$D$10=""),0,IF(Database!$BG169=Screener!$D$10,1,0))</f>
        <v/>
      </c>
      <c r="F169" s="270">
        <f>IF(OR(Database!$BM169="",Screener!$D$11=""),0,IF(Database!$BM169=Screener!$D$11,1,0))</f>
        <v/>
      </c>
      <c r="G169" s="270">
        <f>IF(OR(Database!$H169="",N(Screener!$D$12)&lt;=0),0,MAX(0,1-(N(Screener!$D$12)-Database!$H169)/W_RECD))</f>
        <v/>
      </c>
      <c r="H169" s="270">
        <f>IF($U$1="",0,N(ISNUMBER(SEARCH($U$1,Database!$AC169&amp;""))))+IF($V$1="",0,N(ISNUMBER(SEARCH($V$1,Database!$AC169&amp;""))))+IF($W$1="",0,N(ISNUMBER(SEARCH($W$1,Database!$AC169&amp;""))))+IF($X$1="",0,N(ISNUMBER(SEARCH($X$1,Database!$AC169&amp;""))))+IF($Y$1="",0,N(ISNUMBER(SEARCH($Y$1,Database!$AC169&amp;""))))+IF(Screener!$B$17="",0,N(ISNUMBER(SEARCH(LOWER(Screener!$B$17),Database!$AC169&amp;""))))</f>
        <v/>
      </c>
      <c r="I169" s="270">
        <f>IF(OR(N(Database!$BH169)&lt;=0,N(Screener!$D$13)&lt;=0),0,MAX(0,1-ABS(LOG10(N(Database!$BH169)/Screener!$D$13))/W_PEHW))</f>
        <v/>
      </c>
      <c r="J169" s="270">
        <f>IF(OR(N(Database!$S169)&lt;=0,N(Screener!$D$14)&lt;=0),0,MAX(0,1-ABS(LOG10(Database!$S169/Screener!$D$14))/0.6))</f>
        <v/>
      </c>
      <c r="K169" s="270">
        <f>IF(Database!$B169=Screener!$B$5,-999999,IF(ISNUMBER(SEARCH(","&amp;Database!$A169&amp;",",","&amp;SUBSTITUTE(Screener!$D$17," ","")&amp;",")),2000000,IF(IF(OR(Screener!$B$18="All",AND(Screener!$B$18="With A-share",(Database!$BM169="Y")),AND(Screener!$B$18="Without A-share",NOT((Database!$BM169="Y")))),1,0)=0,-999999,IF(Screener!$B$16="cornerstone overlap first",H169*100000,IF(Screener!$B$16="demand-similar first",J169*100000,0))+W_SUB*B169+W_SEC*C169*(1-B169)+W_SIZE*D169+W_PROF*E169+W_AH*F169+W_REC*G169+W_CS*H169+W_PE*I169)))+ROW()/1000000</f>
        <v/>
      </c>
      <c r="AA169" s="270">
        <f>Database!B158</f>
        <v/>
      </c>
      <c r="AB169" s="270">
        <f>Database!D158</f>
        <v/>
      </c>
      <c r="AC169" s="270">
        <f>Database!E158</f>
        <v/>
      </c>
      <c r="AD169" s="270">
        <f>Database!I158</f>
        <v/>
      </c>
      <c r="AE169" s="270">
        <f>Database!BG158</f>
        <v/>
      </c>
      <c r="AF169" s="270">
        <f>Database!BM158</f>
        <v/>
      </c>
      <c r="AG169" s="270">
        <f>Database!H158</f>
        <v/>
      </c>
      <c r="AH169" s="270">
        <f>Database!BH158</f>
        <v/>
      </c>
    </row>
    <row r="170">
      <c r="A170" s="270">
        <f>Database!B170</f>
        <v/>
      </c>
      <c r="B170" s="270">
        <f>IF(AND(Screener!$D$8&lt;&gt;"",Database!$E170=Screener!$D$8),1,0)</f>
        <v/>
      </c>
      <c r="C170" s="270">
        <f>IF(AND(Screener!$D$7&lt;&gt;"",Database!$D170=Screener!$D$7),1,0)</f>
        <v/>
      </c>
      <c r="D170" s="270">
        <f>IF(OR(N(Database!$I170)&lt;=0,N(Screener!$D$9)&lt;=0),0,MAX(0,1-ABS(LOG10(N(Database!$I170)/Screener!$D$9))/W_SIZEHW))</f>
        <v/>
      </c>
      <c r="E170" s="270">
        <f>IF(OR(Database!$BG170="",Screener!$D$10=""),0,IF(Database!$BG170=Screener!$D$10,1,0))</f>
        <v/>
      </c>
      <c r="F170" s="270">
        <f>IF(OR(Database!$BM170="",Screener!$D$11=""),0,IF(Database!$BM170=Screener!$D$11,1,0))</f>
        <v/>
      </c>
      <c r="G170" s="270">
        <f>IF(OR(Database!$H170="",N(Screener!$D$12)&lt;=0),0,MAX(0,1-(N(Screener!$D$12)-Database!$H170)/W_RECD))</f>
        <v/>
      </c>
      <c r="H170" s="270">
        <f>IF($U$1="",0,N(ISNUMBER(SEARCH($U$1,Database!$AC170&amp;""))))+IF($V$1="",0,N(ISNUMBER(SEARCH($V$1,Database!$AC170&amp;""))))+IF($W$1="",0,N(ISNUMBER(SEARCH($W$1,Database!$AC170&amp;""))))+IF($X$1="",0,N(ISNUMBER(SEARCH($X$1,Database!$AC170&amp;""))))+IF($Y$1="",0,N(ISNUMBER(SEARCH($Y$1,Database!$AC170&amp;""))))+IF(Screener!$B$17="",0,N(ISNUMBER(SEARCH(LOWER(Screener!$B$17),Database!$AC170&amp;""))))</f>
        <v/>
      </c>
      <c r="I170" s="270">
        <f>IF(OR(N(Database!$BH170)&lt;=0,N(Screener!$D$13)&lt;=0),0,MAX(0,1-ABS(LOG10(N(Database!$BH170)/Screener!$D$13))/W_PEHW))</f>
        <v/>
      </c>
      <c r="J170" s="270">
        <f>IF(OR(N(Database!$S170)&lt;=0,N(Screener!$D$14)&lt;=0),0,MAX(0,1-ABS(LOG10(Database!$S170/Screener!$D$14))/0.6))</f>
        <v/>
      </c>
      <c r="K170" s="270">
        <f>IF(Database!$B170=Screener!$B$5,-999999,IF(ISNUMBER(SEARCH(","&amp;Database!$A170&amp;",",","&amp;SUBSTITUTE(Screener!$D$17," ","")&amp;",")),2000000,IF(IF(OR(Screener!$B$18="All",AND(Screener!$B$18="With A-share",(Database!$BM170="Y")),AND(Screener!$B$18="Without A-share",NOT((Database!$BM170="Y")))),1,0)=0,-999999,IF(Screener!$B$16="cornerstone overlap first",H170*100000,IF(Screener!$B$16="demand-similar first",J170*100000,0))+W_SUB*B170+W_SEC*C170*(1-B170)+W_SIZE*D170+W_PROF*E170+W_AH*F170+W_REC*G170+W_CS*H170+W_PE*I170)))+ROW()/1000000</f>
        <v/>
      </c>
      <c r="AA170" s="270">
        <f>Database!B159</f>
        <v/>
      </c>
      <c r="AB170" s="270">
        <f>Database!D159</f>
        <v/>
      </c>
      <c r="AC170" s="270">
        <f>Database!E159</f>
        <v/>
      </c>
      <c r="AD170" s="270">
        <f>Database!I159</f>
        <v/>
      </c>
      <c r="AE170" s="270">
        <f>Database!BG159</f>
        <v/>
      </c>
      <c r="AF170" s="270">
        <f>Database!BM159</f>
        <v/>
      </c>
      <c r="AG170" s="270">
        <f>Database!H159</f>
        <v/>
      </c>
      <c r="AH170" s="270">
        <f>Database!BH159</f>
        <v/>
      </c>
    </row>
    <row r="171">
      <c r="A171" s="270">
        <f>Database!B171</f>
        <v/>
      </c>
      <c r="B171" s="270">
        <f>IF(AND(Screener!$D$8&lt;&gt;"",Database!$E171=Screener!$D$8),1,0)</f>
        <v/>
      </c>
      <c r="C171" s="270">
        <f>IF(AND(Screener!$D$7&lt;&gt;"",Database!$D171=Screener!$D$7),1,0)</f>
        <v/>
      </c>
      <c r="D171" s="270">
        <f>IF(OR(N(Database!$I171)&lt;=0,N(Screener!$D$9)&lt;=0),0,MAX(0,1-ABS(LOG10(N(Database!$I171)/Screener!$D$9))/W_SIZEHW))</f>
        <v/>
      </c>
      <c r="E171" s="270">
        <f>IF(OR(Database!$BG171="",Screener!$D$10=""),0,IF(Database!$BG171=Screener!$D$10,1,0))</f>
        <v/>
      </c>
      <c r="F171" s="270">
        <f>IF(OR(Database!$BM171="",Screener!$D$11=""),0,IF(Database!$BM171=Screener!$D$11,1,0))</f>
        <v/>
      </c>
      <c r="G171" s="270">
        <f>IF(OR(Database!$H171="",N(Screener!$D$12)&lt;=0),0,MAX(0,1-(N(Screener!$D$12)-Database!$H171)/W_RECD))</f>
        <v/>
      </c>
      <c r="H171" s="270">
        <f>IF($U$1="",0,N(ISNUMBER(SEARCH($U$1,Database!$AC171&amp;""))))+IF($V$1="",0,N(ISNUMBER(SEARCH($V$1,Database!$AC171&amp;""))))+IF($W$1="",0,N(ISNUMBER(SEARCH($W$1,Database!$AC171&amp;""))))+IF($X$1="",0,N(ISNUMBER(SEARCH($X$1,Database!$AC171&amp;""))))+IF($Y$1="",0,N(ISNUMBER(SEARCH($Y$1,Database!$AC171&amp;""))))+IF(Screener!$B$17="",0,N(ISNUMBER(SEARCH(LOWER(Screener!$B$17),Database!$AC171&amp;""))))</f>
        <v/>
      </c>
      <c r="I171" s="270">
        <f>IF(OR(N(Database!$BH171)&lt;=0,N(Screener!$D$13)&lt;=0),0,MAX(0,1-ABS(LOG10(N(Database!$BH171)/Screener!$D$13))/W_PEHW))</f>
        <v/>
      </c>
      <c r="J171" s="270">
        <f>IF(OR(N(Database!$S171)&lt;=0,N(Screener!$D$14)&lt;=0),0,MAX(0,1-ABS(LOG10(Database!$S171/Screener!$D$14))/0.6))</f>
        <v/>
      </c>
      <c r="K171" s="270">
        <f>IF(Database!$B171=Screener!$B$5,-999999,IF(ISNUMBER(SEARCH(","&amp;Database!$A171&amp;",",","&amp;SUBSTITUTE(Screener!$D$17," ","")&amp;",")),2000000,IF(IF(OR(Screener!$B$18="All",AND(Screener!$B$18="With A-share",(Database!$BM171="Y")),AND(Screener!$B$18="Without A-share",NOT((Database!$BM171="Y")))),1,0)=0,-999999,IF(Screener!$B$16="cornerstone overlap first",H171*100000,IF(Screener!$B$16="demand-similar first",J171*100000,0))+W_SUB*B171+W_SEC*C171*(1-B171)+W_SIZE*D171+W_PROF*E171+W_AH*F171+W_REC*G171+W_CS*H171+W_PE*I171)))+ROW()/1000000</f>
        <v/>
      </c>
      <c r="AA171" s="270">
        <f>Database!B160</f>
        <v/>
      </c>
      <c r="AB171" s="270">
        <f>Database!D160</f>
        <v/>
      </c>
      <c r="AC171" s="270">
        <f>Database!E160</f>
        <v/>
      </c>
      <c r="AD171" s="270">
        <f>Database!I160</f>
        <v/>
      </c>
      <c r="AE171" s="270">
        <f>Database!BG160</f>
        <v/>
      </c>
      <c r="AF171" s="270">
        <f>Database!BM160</f>
        <v/>
      </c>
      <c r="AG171" s="270">
        <f>Database!H160</f>
        <v/>
      </c>
      <c r="AH171" s="270">
        <f>Database!BH160</f>
        <v/>
      </c>
    </row>
    <row r="172">
      <c r="A172" s="270">
        <f>Database!B172</f>
        <v/>
      </c>
      <c r="B172" s="270">
        <f>IF(AND(Screener!$D$8&lt;&gt;"",Database!$E172=Screener!$D$8),1,0)</f>
        <v/>
      </c>
      <c r="C172" s="270">
        <f>IF(AND(Screener!$D$7&lt;&gt;"",Database!$D172=Screener!$D$7),1,0)</f>
        <v/>
      </c>
      <c r="D172" s="270">
        <f>IF(OR(N(Database!$I172)&lt;=0,N(Screener!$D$9)&lt;=0),0,MAX(0,1-ABS(LOG10(N(Database!$I172)/Screener!$D$9))/W_SIZEHW))</f>
        <v/>
      </c>
      <c r="E172" s="270">
        <f>IF(OR(Database!$BG172="",Screener!$D$10=""),0,IF(Database!$BG172=Screener!$D$10,1,0))</f>
        <v/>
      </c>
      <c r="F172" s="270">
        <f>IF(OR(Database!$BM172="",Screener!$D$11=""),0,IF(Database!$BM172=Screener!$D$11,1,0))</f>
        <v/>
      </c>
      <c r="G172" s="270">
        <f>IF(OR(Database!$H172="",N(Screener!$D$12)&lt;=0),0,MAX(0,1-(N(Screener!$D$12)-Database!$H172)/W_RECD))</f>
        <v/>
      </c>
      <c r="H172" s="270">
        <f>IF($U$1="",0,N(ISNUMBER(SEARCH($U$1,Database!$AC172&amp;""))))+IF($V$1="",0,N(ISNUMBER(SEARCH($V$1,Database!$AC172&amp;""))))+IF($W$1="",0,N(ISNUMBER(SEARCH($W$1,Database!$AC172&amp;""))))+IF($X$1="",0,N(ISNUMBER(SEARCH($X$1,Database!$AC172&amp;""))))+IF($Y$1="",0,N(ISNUMBER(SEARCH($Y$1,Database!$AC172&amp;""))))+IF(Screener!$B$17="",0,N(ISNUMBER(SEARCH(LOWER(Screener!$B$17),Database!$AC172&amp;""))))</f>
        <v/>
      </c>
      <c r="I172" s="270">
        <f>IF(OR(N(Database!$BH172)&lt;=0,N(Screener!$D$13)&lt;=0),0,MAX(0,1-ABS(LOG10(N(Database!$BH172)/Screener!$D$13))/W_PEHW))</f>
        <v/>
      </c>
      <c r="J172" s="270">
        <f>IF(OR(N(Database!$S172)&lt;=0,N(Screener!$D$14)&lt;=0),0,MAX(0,1-ABS(LOG10(Database!$S172/Screener!$D$14))/0.6))</f>
        <v/>
      </c>
      <c r="K172" s="270">
        <f>IF(Database!$B172=Screener!$B$5,-999999,IF(ISNUMBER(SEARCH(","&amp;Database!$A172&amp;",",","&amp;SUBSTITUTE(Screener!$D$17," ","")&amp;",")),2000000,IF(IF(OR(Screener!$B$18="All",AND(Screener!$B$18="With A-share",(Database!$BM172="Y")),AND(Screener!$B$18="Without A-share",NOT((Database!$BM172="Y")))),1,0)=0,-999999,IF(Screener!$B$16="cornerstone overlap first",H172*100000,IF(Screener!$B$16="demand-similar first",J172*100000,0))+W_SUB*B172+W_SEC*C172*(1-B172)+W_SIZE*D172+W_PROF*E172+W_AH*F172+W_REC*G172+W_CS*H172+W_PE*I172)))+ROW()/1000000</f>
        <v/>
      </c>
      <c r="AA172" s="270">
        <f>Database!B161</f>
        <v/>
      </c>
      <c r="AB172" s="270">
        <f>Database!D161</f>
        <v/>
      </c>
      <c r="AC172" s="270">
        <f>Database!E161</f>
        <v/>
      </c>
      <c r="AD172" s="270">
        <f>Database!I161</f>
        <v/>
      </c>
      <c r="AE172" s="270">
        <f>Database!BG161</f>
        <v/>
      </c>
      <c r="AF172" s="270">
        <f>Database!BM161</f>
        <v/>
      </c>
      <c r="AG172" s="270">
        <f>Database!H161</f>
        <v/>
      </c>
      <c r="AH172" s="270">
        <f>Database!BH161</f>
        <v/>
      </c>
    </row>
    <row r="173">
      <c r="A173" s="270">
        <f>Database!B173</f>
        <v/>
      </c>
      <c r="B173" s="270">
        <f>IF(AND(Screener!$D$8&lt;&gt;"",Database!$E173=Screener!$D$8),1,0)</f>
        <v/>
      </c>
      <c r="C173" s="270">
        <f>IF(AND(Screener!$D$7&lt;&gt;"",Database!$D173=Screener!$D$7),1,0)</f>
        <v/>
      </c>
      <c r="D173" s="270">
        <f>IF(OR(N(Database!$I173)&lt;=0,N(Screener!$D$9)&lt;=0),0,MAX(0,1-ABS(LOG10(N(Database!$I173)/Screener!$D$9))/W_SIZEHW))</f>
        <v/>
      </c>
      <c r="E173" s="270">
        <f>IF(OR(Database!$BG173="",Screener!$D$10=""),0,IF(Database!$BG173=Screener!$D$10,1,0))</f>
        <v/>
      </c>
      <c r="F173" s="270">
        <f>IF(OR(Database!$BM173="",Screener!$D$11=""),0,IF(Database!$BM173=Screener!$D$11,1,0))</f>
        <v/>
      </c>
      <c r="G173" s="270">
        <f>IF(OR(Database!$H173="",N(Screener!$D$12)&lt;=0),0,MAX(0,1-(N(Screener!$D$12)-Database!$H173)/W_RECD))</f>
        <v/>
      </c>
      <c r="H173" s="270">
        <f>IF($U$1="",0,N(ISNUMBER(SEARCH($U$1,Database!$AC173&amp;""))))+IF($V$1="",0,N(ISNUMBER(SEARCH($V$1,Database!$AC173&amp;""))))+IF($W$1="",0,N(ISNUMBER(SEARCH($W$1,Database!$AC173&amp;""))))+IF($X$1="",0,N(ISNUMBER(SEARCH($X$1,Database!$AC173&amp;""))))+IF($Y$1="",0,N(ISNUMBER(SEARCH($Y$1,Database!$AC173&amp;""))))+IF(Screener!$B$17="",0,N(ISNUMBER(SEARCH(LOWER(Screener!$B$17),Database!$AC173&amp;""))))</f>
        <v/>
      </c>
      <c r="I173" s="270">
        <f>IF(OR(N(Database!$BH173)&lt;=0,N(Screener!$D$13)&lt;=0),0,MAX(0,1-ABS(LOG10(N(Database!$BH173)/Screener!$D$13))/W_PEHW))</f>
        <v/>
      </c>
      <c r="J173" s="270">
        <f>IF(OR(N(Database!$S173)&lt;=0,N(Screener!$D$14)&lt;=0),0,MAX(0,1-ABS(LOG10(Database!$S173/Screener!$D$14))/0.6))</f>
        <v/>
      </c>
      <c r="K173" s="270">
        <f>IF(Database!$B173=Screener!$B$5,-999999,IF(ISNUMBER(SEARCH(","&amp;Database!$A173&amp;",",","&amp;SUBSTITUTE(Screener!$D$17," ","")&amp;",")),2000000,IF(IF(OR(Screener!$B$18="All",AND(Screener!$B$18="With A-share",(Database!$BM173="Y")),AND(Screener!$B$18="Without A-share",NOT((Database!$BM173="Y")))),1,0)=0,-999999,IF(Screener!$B$16="cornerstone overlap first",H173*100000,IF(Screener!$B$16="demand-similar first",J173*100000,0))+W_SUB*B173+W_SEC*C173*(1-B173)+W_SIZE*D173+W_PROF*E173+W_AH*F173+W_REC*G173+W_CS*H173+W_PE*I173)))+ROW()/1000000</f>
        <v/>
      </c>
      <c r="AA173" s="270">
        <f>Database!B162</f>
        <v/>
      </c>
      <c r="AB173" s="270">
        <f>Database!D162</f>
        <v/>
      </c>
      <c r="AC173" s="270">
        <f>Database!E162</f>
        <v/>
      </c>
      <c r="AD173" s="270">
        <f>Database!I162</f>
        <v/>
      </c>
      <c r="AE173" s="270">
        <f>Database!BG162</f>
        <v/>
      </c>
      <c r="AF173" s="270">
        <f>Database!BM162</f>
        <v/>
      </c>
      <c r="AG173" s="270">
        <f>Database!H162</f>
        <v/>
      </c>
      <c r="AH173" s="270">
        <f>Database!BH162</f>
        <v/>
      </c>
    </row>
    <row r="174">
      <c r="A174" s="270">
        <f>Database!B174</f>
        <v/>
      </c>
      <c r="B174" s="270">
        <f>IF(AND(Screener!$D$8&lt;&gt;"",Database!$E174=Screener!$D$8),1,0)</f>
        <v/>
      </c>
      <c r="C174" s="270">
        <f>IF(AND(Screener!$D$7&lt;&gt;"",Database!$D174=Screener!$D$7),1,0)</f>
        <v/>
      </c>
      <c r="D174" s="270">
        <f>IF(OR(N(Database!$I174)&lt;=0,N(Screener!$D$9)&lt;=0),0,MAX(0,1-ABS(LOG10(N(Database!$I174)/Screener!$D$9))/W_SIZEHW))</f>
        <v/>
      </c>
      <c r="E174" s="270">
        <f>IF(OR(Database!$BG174="",Screener!$D$10=""),0,IF(Database!$BG174=Screener!$D$10,1,0))</f>
        <v/>
      </c>
      <c r="F174" s="270">
        <f>IF(OR(Database!$BM174="",Screener!$D$11=""),0,IF(Database!$BM174=Screener!$D$11,1,0))</f>
        <v/>
      </c>
      <c r="G174" s="270">
        <f>IF(OR(Database!$H174="",N(Screener!$D$12)&lt;=0),0,MAX(0,1-(N(Screener!$D$12)-Database!$H174)/W_RECD))</f>
        <v/>
      </c>
      <c r="H174" s="270">
        <f>IF($U$1="",0,N(ISNUMBER(SEARCH($U$1,Database!$AC174&amp;""))))+IF($V$1="",0,N(ISNUMBER(SEARCH($V$1,Database!$AC174&amp;""))))+IF($W$1="",0,N(ISNUMBER(SEARCH($W$1,Database!$AC174&amp;""))))+IF($X$1="",0,N(ISNUMBER(SEARCH($X$1,Database!$AC174&amp;""))))+IF($Y$1="",0,N(ISNUMBER(SEARCH($Y$1,Database!$AC174&amp;""))))+IF(Screener!$B$17="",0,N(ISNUMBER(SEARCH(LOWER(Screener!$B$17),Database!$AC174&amp;""))))</f>
        <v/>
      </c>
      <c r="I174" s="270">
        <f>IF(OR(N(Database!$BH174)&lt;=0,N(Screener!$D$13)&lt;=0),0,MAX(0,1-ABS(LOG10(N(Database!$BH174)/Screener!$D$13))/W_PEHW))</f>
        <v/>
      </c>
      <c r="J174" s="270">
        <f>IF(OR(N(Database!$S174)&lt;=0,N(Screener!$D$14)&lt;=0),0,MAX(0,1-ABS(LOG10(Database!$S174/Screener!$D$14))/0.6))</f>
        <v/>
      </c>
      <c r="K174" s="270">
        <f>IF(Database!$B174=Screener!$B$5,-999999,IF(ISNUMBER(SEARCH(","&amp;Database!$A174&amp;",",","&amp;SUBSTITUTE(Screener!$D$17," ","")&amp;",")),2000000,IF(IF(OR(Screener!$B$18="All",AND(Screener!$B$18="With A-share",(Database!$BM174="Y")),AND(Screener!$B$18="Without A-share",NOT((Database!$BM174="Y")))),1,0)=0,-999999,IF(Screener!$B$16="cornerstone overlap first",H174*100000,IF(Screener!$B$16="demand-similar first",J174*100000,0))+W_SUB*B174+W_SEC*C174*(1-B174)+W_SIZE*D174+W_PROF*E174+W_AH*F174+W_REC*G174+W_CS*H174+W_PE*I174)))+ROW()/1000000</f>
        <v/>
      </c>
      <c r="AA174" s="270">
        <f>Database!B163</f>
        <v/>
      </c>
      <c r="AB174" s="270">
        <f>Database!D163</f>
        <v/>
      </c>
      <c r="AC174" s="270">
        <f>Database!E163</f>
        <v/>
      </c>
      <c r="AD174" s="270">
        <f>Database!I163</f>
        <v/>
      </c>
      <c r="AE174" s="270">
        <f>Database!BG163</f>
        <v/>
      </c>
      <c r="AF174" s="270">
        <f>Database!BM163</f>
        <v/>
      </c>
      <c r="AG174" s="270">
        <f>Database!H163</f>
        <v/>
      </c>
      <c r="AH174" s="270">
        <f>Database!BH163</f>
        <v/>
      </c>
    </row>
    <row r="175">
      <c r="A175" s="270">
        <f>Database!B175</f>
        <v/>
      </c>
      <c r="B175" s="270">
        <f>IF(AND(Screener!$D$8&lt;&gt;"",Database!$E175=Screener!$D$8),1,0)</f>
        <v/>
      </c>
      <c r="C175" s="270">
        <f>IF(AND(Screener!$D$7&lt;&gt;"",Database!$D175=Screener!$D$7),1,0)</f>
        <v/>
      </c>
      <c r="D175" s="270">
        <f>IF(OR(N(Database!$I175)&lt;=0,N(Screener!$D$9)&lt;=0),0,MAX(0,1-ABS(LOG10(N(Database!$I175)/Screener!$D$9))/W_SIZEHW))</f>
        <v/>
      </c>
      <c r="E175" s="270">
        <f>IF(OR(Database!$BG175="",Screener!$D$10=""),0,IF(Database!$BG175=Screener!$D$10,1,0))</f>
        <v/>
      </c>
      <c r="F175" s="270">
        <f>IF(OR(Database!$BM175="",Screener!$D$11=""),0,IF(Database!$BM175=Screener!$D$11,1,0))</f>
        <v/>
      </c>
      <c r="G175" s="270">
        <f>IF(OR(Database!$H175="",N(Screener!$D$12)&lt;=0),0,MAX(0,1-(N(Screener!$D$12)-Database!$H175)/W_RECD))</f>
        <v/>
      </c>
      <c r="H175" s="270">
        <f>IF($U$1="",0,N(ISNUMBER(SEARCH($U$1,Database!$AC175&amp;""))))+IF($V$1="",0,N(ISNUMBER(SEARCH($V$1,Database!$AC175&amp;""))))+IF($W$1="",0,N(ISNUMBER(SEARCH($W$1,Database!$AC175&amp;""))))+IF($X$1="",0,N(ISNUMBER(SEARCH($X$1,Database!$AC175&amp;""))))+IF($Y$1="",0,N(ISNUMBER(SEARCH($Y$1,Database!$AC175&amp;""))))+IF(Screener!$B$17="",0,N(ISNUMBER(SEARCH(LOWER(Screener!$B$17),Database!$AC175&amp;""))))</f>
        <v/>
      </c>
      <c r="I175" s="270">
        <f>IF(OR(N(Database!$BH175)&lt;=0,N(Screener!$D$13)&lt;=0),0,MAX(0,1-ABS(LOG10(N(Database!$BH175)/Screener!$D$13))/W_PEHW))</f>
        <v/>
      </c>
      <c r="J175" s="270">
        <f>IF(OR(N(Database!$S175)&lt;=0,N(Screener!$D$14)&lt;=0),0,MAX(0,1-ABS(LOG10(Database!$S175/Screener!$D$14))/0.6))</f>
        <v/>
      </c>
      <c r="K175" s="270">
        <f>IF(Database!$B175=Screener!$B$5,-999999,IF(ISNUMBER(SEARCH(","&amp;Database!$A175&amp;",",","&amp;SUBSTITUTE(Screener!$D$17," ","")&amp;",")),2000000,IF(IF(OR(Screener!$B$18="All",AND(Screener!$B$18="With A-share",(Database!$BM175="Y")),AND(Screener!$B$18="Without A-share",NOT((Database!$BM175="Y")))),1,0)=0,-999999,IF(Screener!$B$16="cornerstone overlap first",H175*100000,IF(Screener!$B$16="demand-similar first",J175*100000,0))+W_SUB*B175+W_SEC*C175*(1-B175)+W_SIZE*D175+W_PROF*E175+W_AH*F175+W_REC*G175+W_CS*H175+W_PE*I175)))+ROW()/1000000</f>
        <v/>
      </c>
      <c r="AA175" s="270">
        <f>Database!B164</f>
        <v/>
      </c>
      <c r="AB175" s="270">
        <f>Database!D164</f>
        <v/>
      </c>
      <c r="AC175" s="270">
        <f>Database!E164</f>
        <v/>
      </c>
      <c r="AD175" s="270">
        <f>Database!I164</f>
        <v/>
      </c>
      <c r="AE175" s="270">
        <f>Database!BG164</f>
        <v/>
      </c>
      <c r="AF175" s="270">
        <f>Database!BM164</f>
        <v/>
      </c>
      <c r="AG175" s="270">
        <f>Database!H164</f>
        <v/>
      </c>
      <c r="AH175" s="270">
        <f>Database!BH164</f>
        <v/>
      </c>
    </row>
    <row r="176">
      <c r="A176" s="270">
        <f>Database!B176</f>
        <v/>
      </c>
      <c r="B176" s="270">
        <f>IF(AND(Screener!$D$8&lt;&gt;"",Database!$E176=Screener!$D$8),1,0)</f>
        <v/>
      </c>
      <c r="C176" s="270">
        <f>IF(AND(Screener!$D$7&lt;&gt;"",Database!$D176=Screener!$D$7),1,0)</f>
        <v/>
      </c>
      <c r="D176" s="270">
        <f>IF(OR(N(Database!$I176)&lt;=0,N(Screener!$D$9)&lt;=0),0,MAX(0,1-ABS(LOG10(N(Database!$I176)/Screener!$D$9))/W_SIZEHW))</f>
        <v/>
      </c>
      <c r="E176" s="270">
        <f>IF(OR(Database!$BG176="",Screener!$D$10=""),0,IF(Database!$BG176=Screener!$D$10,1,0))</f>
        <v/>
      </c>
      <c r="F176" s="270">
        <f>IF(OR(Database!$BM176="",Screener!$D$11=""),0,IF(Database!$BM176=Screener!$D$11,1,0))</f>
        <v/>
      </c>
      <c r="G176" s="270">
        <f>IF(OR(Database!$H176="",N(Screener!$D$12)&lt;=0),0,MAX(0,1-(N(Screener!$D$12)-Database!$H176)/W_RECD))</f>
        <v/>
      </c>
      <c r="H176" s="270">
        <f>IF($U$1="",0,N(ISNUMBER(SEARCH($U$1,Database!$AC176&amp;""))))+IF($V$1="",0,N(ISNUMBER(SEARCH($V$1,Database!$AC176&amp;""))))+IF($W$1="",0,N(ISNUMBER(SEARCH($W$1,Database!$AC176&amp;""))))+IF($X$1="",0,N(ISNUMBER(SEARCH($X$1,Database!$AC176&amp;""))))+IF($Y$1="",0,N(ISNUMBER(SEARCH($Y$1,Database!$AC176&amp;""))))+IF(Screener!$B$17="",0,N(ISNUMBER(SEARCH(LOWER(Screener!$B$17),Database!$AC176&amp;""))))</f>
        <v/>
      </c>
      <c r="I176" s="270">
        <f>IF(OR(N(Database!$BH176)&lt;=0,N(Screener!$D$13)&lt;=0),0,MAX(0,1-ABS(LOG10(N(Database!$BH176)/Screener!$D$13))/W_PEHW))</f>
        <v/>
      </c>
      <c r="J176" s="270">
        <f>IF(OR(N(Database!$S176)&lt;=0,N(Screener!$D$14)&lt;=0),0,MAX(0,1-ABS(LOG10(Database!$S176/Screener!$D$14))/0.6))</f>
        <v/>
      </c>
      <c r="K176" s="270">
        <f>IF(Database!$B176=Screener!$B$5,-999999,IF(ISNUMBER(SEARCH(","&amp;Database!$A176&amp;",",","&amp;SUBSTITUTE(Screener!$D$17," ","")&amp;",")),2000000,IF(IF(OR(Screener!$B$18="All",AND(Screener!$B$18="With A-share",(Database!$BM176="Y")),AND(Screener!$B$18="Without A-share",NOT((Database!$BM176="Y")))),1,0)=0,-999999,IF(Screener!$B$16="cornerstone overlap first",H176*100000,IF(Screener!$B$16="demand-similar first",J176*100000,0))+W_SUB*B176+W_SEC*C176*(1-B176)+W_SIZE*D176+W_PROF*E176+W_AH*F176+W_REC*G176+W_CS*H176+W_PE*I176)))+ROW()/1000000</f>
        <v/>
      </c>
      <c r="AA176" s="270">
        <f>Database!B165</f>
        <v/>
      </c>
      <c r="AB176" s="270">
        <f>Database!D165</f>
        <v/>
      </c>
      <c r="AC176" s="270">
        <f>Database!E165</f>
        <v/>
      </c>
      <c r="AD176" s="270">
        <f>Database!I165</f>
        <v/>
      </c>
      <c r="AE176" s="270">
        <f>Database!BG165</f>
        <v/>
      </c>
      <c r="AF176" s="270">
        <f>Database!BM165</f>
        <v/>
      </c>
      <c r="AG176" s="270">
        <f>Database!H165</f>
        <v/>
      </c>
      <c r="AH176" s="270">
        <f>Database!BH165</f>
        <v/>
      </c>
    </row>
    <row r="177">
      <c r="A177" s="270">
        <f>Database!B177</f>
        <v/>
      </c>
      <c r="B177" s="270">
        <f>IF(AND(Screener!$D$8&lt;&gt;"",Database!$E177=Screener!$D$8),1,0)</f>
        <v/>
      </c>
      <c r="C177" s="270">
        <f>IF(AND(Screener!$D$7&lt;&gt;"",Database!$D177=Screener!$D$7),1,0)</f>
        <v/>
      </c>
      <c r="D177" s="270">
        <f>IF(OR(N(Database!$I177)&lt;=0,N(Screener!$D$9)&lt;=0),0,MAX(0,1-ABS(LOG10(N(Database!$I177)/Screener!$D$9))/W_SIZEHW))</f>
        <v/>
      </c>
      <c r="E177" s="270">
        <f>IF(OR(Database!$BG177="",Screener!$D$10=""),0,IF(Database!$BG177=Screener!$D$10,1,0))</f>
        <v/>
      </c>
      <c r="F177" s="270">
        <f>IF(OR(Database!$BM177="",Screener!$D$11=""),0,IF(Database!$BM177=Screener!$D$11,1,0))</f>
        <v/>
      </c>
      <c r="G177" s="270">
        <f>IF(OR(Database!$H177="",N(Screener!$D$12)&lt;=0),0,MAX(0,1-(N(Screener!$D$12)-Database!$H177)/W_RECD))</f>
        <v/>
      </c>
      <c r="H177" s="270">
        <f>IF($U$1="",0,N(ISNUMBER(SEARCH($U$1,Database!$AC177&amp;""))))+IF($V$1="",0,N(ISNUMBER(SEARCH($V$1,Database!$AC177&amp;""))))+IF($W$1="",0,N(ISNUMBER(SEARCH($W$1,Database!$AC177&amp;""))))+IF($X$1="",0,N(ISNUMBER(SEARCH($X$1,Database!$AC177&amp;""))))+IF($Y$1="",0,N(ISNUMBER(SEARCH($Y$1,Database!$AC177&amp;""))))+IF(Screener!$B$17="",0,N(ISNUMBER(SEARCH(LOWER(Screener!$B$17),Database!$AC177&amp;""))))</f>
        <v/>
      </c>
      <c r="I177" s="270">
        <f>IF(OR(N(Database!$BH177)&lt;=0,N(Screener!$D$13)&lt;=0),0,MAX(0,1-ABS(LOG10(N(Database!$BH177)/Screener!$D$13))/W_PEHW))</f>
        <v/>
      </c>
      <c r="J177" s="270">
        <f>IF(OR(N(Database!$S177)&lt;=0,N(Screener!$D$14)&lt;=0),0,MAX(0,1-ABS(LOG10(Database!$S177/Screener!$D$14))/0.6))</f>
        <v/>
      </c>
      <c r="K177" s="270">
        <f>IF(Database!$B177=Screener!$B$5,-999999,IF(ISNUMBER(SEARCH(","&amp;Database!$A177&amp;",",","&amp;SUBSTITUTE(Screener!$D$17," ","")&amp;",")),2000000,IF(IF(OR(Screener!$B$18="All",AND(Screener!$B$18="With A-share",(Database!$BM177="Y")),AND(Screener!$B$18="Without A-share",NOT((Database!$BM177="Y")))),1,0)=0,-999999,IF(Screener!$B$16="cornerstone overlap first",H177*100000,IF(Screener!$B$16="demand-similar first",J177*100000,0))+W_SUB*B177+W_SEC*C177*(1-B177)+W_SIZE*D177+W_PROF*E177+W_AH*F177+W_REC*G177+W_CS*H177+W_PE*I177)))+ROW()/1000000</f>
        <v/>
      </c>
      <c r="AA177" s="270">
        <f>Database!B166</f>
        <v/>
      </c>
      <c r="AB177" s="270">
        <f>Database!D166</f>
        <v/>
      </c>
      <c r="AC177" s="270">
        <f>Database!E166</f>
        <v/>
      </c>
      <c r="AD177" s="270">
        <f>Database!I166</f>
        <v/>
      </c>
      <c r="AE177" s="270">
        <f>Database!BG166</f>
        <v/>
      </c>
      <c r="AF177" s="270">
        <f>Database!BM166</f>
        <v/>
      </c>
      <c r="AG177" s="270">
        <f>Database!H166</f>
        <v/>
      </c>
      <c r="AH177" s="270">
        <f>Database!BH166</f>
        <v/>
      </c>
    </row>
    <row r="178">
      <c r="A178" s="270">
        <f>Database!B178</f>
        <v/>
      </c>
      <c r="B178" s="270">
        <f>IF(AND(Screener!$D$8&lt;&gt;"",Database!$E178=Screener!$D$8),1,0)</f>
        <v/>
      </c>
      <c r="C178" s="270">
        <f>IF(AND(Screener!$D$7&lt;&gt;"",Database!$D178=Screener!$D$7),1,0)</f>
        <v/>
      </c>
      <c r="D178" s="270">
        <f>IF(OR(N(Database!$I178)&lt;=0,N(Screener!$D$9)&lt;=0),0,MAX(0,1-ABS(LOG10(N(Database!$I178)/Screener!$D$9))/W_SIZEHW))</f>
        <v/>
      </c>
      <c r="E178" s="270">
        <f>IF(OR(Database!$BG178="",Screener!$D$10=""),0,IF(Database!$BG178=Screener!$D$10,1,0))</f>
        <v/>
      </c>
      <c r="F178" s="270">
        <f>IF(OR(Database!$BM178="",Screener!$D$11=""),0,IF(Database!$BM178=Screener!$D$11,1,0))</f>
        <v/>
      </c>
      <c r="G178" s="270">
        <f>IF(OR(Database!$H178="",N(Screener!$D$12)&lt;=0),0,MAX(0,1-(N(Screener!$D$12)-Database!$H178)/W_RECD))</f>
        <v/>
      </c>
      <c r="H178" s="270">
        <f>IF($U$1="",0,N(ISNUMBER(SEARCH($U$1,Database!$AC178&amp;""))))+IF($V$1="",0,N(ISNUMBER(SEARCH($V$1,Database!$AC178&amp;""))))+IF($W$1="",0,N(ISNUMBER(SEARCH($W$1,Database!$AC178&amp;""))))+IF($X$1="",0,N(ISNUMBER(SEARCH($X$1,Database!$AC178&amp;""))))+IF($Y$1="",0,N(ISNUMBER(SEARCH($Y$1,Database!$AC178&amp;""))))+IF(Screener!$B$17="",0,N(ISNUMBER(SEARCH(LOWER(Screener!$B$17),Database!$AC178&amp;""))))</f>
        <v/>
      </c>
      <c r="I178" s="270">
        <f>IF(OR(N(Database!$BH178)&lt;=0,N(Screener!$D$13)&lt;=0),0,MAX(0,1-ABS(LOG10(N(Database!$BH178)/Screener!$D$13))/W_PEHW))</f>
        <v/>
      </c>
      <c r="J178" s="270">
        <f>IF(OR(N(Database!$S178)&lt;=0,N(Screener!$D$14)&lt;=0),0,MAX(0,1-ABS(LOG10(Database!$S178/Screener!$D$14))/0.6))</f>
        <v/>
      </c>
      <c r="K178" s="270">
        <f>IF(Database!$B178=Screener!$B$5,-999999,IF(ISNUMBER(SEARCH(","&amp;Database!$A178&amp;",",","&amp;SUBSTITUTE(Screener!$D$17," ","")&amp;",")),2000000,IF(IF(OR(Screener!$B$18="All",AND(Screener!$B$18="With A-share",(Database!$BM178="Y")),AND(Screener!$B$18="Without A-share",NOT((Database!$BM178="Y")))),1,0)=0,-999999,IF(Screener!$B$16="cornerstone overlap first",H178*100000,IF(Screener!$B$16="demand-similar first",J178*100000,0))+W_SUB*B178+W_SEC*C178*(1-B178)+W_SIZE*D178+W_PROF*E178+W_AH*F178+W_REC*G178+W_CS*H178+W_PE*I178)))+ROW()/1000000</f>
        <v/>
      </c>
      <c r="AA178" s="270">
        <f>Database!B167</f>
        <v/>
      </c>
      <c r="AB178" s="270">
        <f>Database!D167</f>
        <v/>
      </c>
      <c r="AC178" s="270">
        <f>Database!E167</f>
        <v/>
      </c>
      <c r="AD178" s="270">
        <f>Database!I167</f>
        <v/>
      </c>
      <c r="AE178" s="270">
        <f>Database!BG167</f>
        <v/>
      </c>
      <c r="AF178" s="270">
        <f>Database!BM167</f>
        <v/>
      </c>
      <c r="AG178" s="270">
        <f>Database!H167</f>
        <v/>
      </c>
      <c r="AH178" s="270">
        <f>Database!BH167</f>
        <v/>
      </c>
    </row>
    <row r="179">
      <c r="A179" s="270">
        <f>Database!B179</f>
        <v/>
      </c>
      <c r="B179" s="270">
        <f>IF(AND(Screener!$D$8&lt;&gt;"",Database!$E179=Screener!$D$8),1,0)</f>
        <v/>
      </c>
      <c r="C179" s="270">
        <f>IF(AND(Screener!$D$7&lt;&gt;"",Database!$D179=Screener!$D$7),1,0)</f>
        <v/>
      </c>
      <c r="D179" s="270">
        <f>IF(OR(N(Database!$I179)&lt;=0,N(Screener!$D$9)&lt;=0),0,MAX(0,1-ABS(LOG10(N(Database!$I179)/Screener!$D$9))/W_SIZEHW))</f>
        <v/>
      </c>
      <c r="E179" s="270">
        <f>IF(OR(Database!$BG179="",Screener!$D$10=""),0,IF(Database!$BG179=Screener!$D$10,1,0))</f>
        <v/>
      </c>
      <c r="F179" s="270">
        <f>IF(OR(Database!$BM179="",Screener!$D$11=""),0,IF(Database!$BM179=Screener!$D$11,1,0))</f>
        <v/>
      </c>
      <c r="G179" s="270">
        <f>IF(OR(Database!$H179="",N(Screener!$D$12)&lt;=0),0,MAX(0,1-(N(Screener!$D$12)-Database!$H179)/W_RECD))</f>
        <v/>
      </c>
      <c r="H179" s="270">
        <f>IF($U$1="",0,N(ISNUMBER(SEARCH($U$1,Database!$AC179&amp;""))))+IF($V$1="",0,N(ISNUMBER(SEARCH($V$1,Database!$AC179&amp;""))))+IF($W$1="",0,N(ISNUMBER(SEARCH($W$1,Database!$AC179&amp;""))))+IF($X$1="",0,N(ISNUMBER(SEARCH($X$1,Database!$AC179&amp;""))))+IF($Y$1="",0,N(ISNUMBER(SEARCH($Y$1,Database!$AC179&amp;""))))+IF(Screener!$B$17="",0,N(ISNUMBER(SEARCH(LOWER(Screener!$B$17),Database!$AC179&amp;""))))</f>
        <v/>
      </c>
      <c r="I179" s="270">
        <f>IF(OR(N(Database!$BH179)&lt;=0,N(Screener!$D$13)&lt;=0),0,MAX(0,1-ABS(LOG10(N(Database!$BH179)/Screener!$D$13))/W_PEHW))</f>
        <v/>
      </c>
      <c r="J179" s="270">
        <f>IF(OR(N(Database!$S179)&lt;=0,N(Screener!$D$14)&lt;=0),0,MAX(0,1-ABS(LOG10(Database!$S179/Screener!$D$14))/0.6))</f>
        <v/>
      </c>
      <c r="K179" s="270">
        <f>IF(Database!$B179=Screener!$B$5,-999999,IF(ISNUMBER(SEARCH(","&amp;Database!$A179&amp;",",","&amp;SUBSTITUTE(Screener!$D$17," ","")&amp;",")),2000000,IF(IF(OR(Screener!$B$18="All",AND(Screener!$B$18="With A-share",(Database!$BM179="Y")),AND(Screener!$B$18="Without A-share",NOT((Database!$BM179="Y")))),1,0)=0,-999999,IF(Screener!$B$16="cornerstone overlap first",H179*100000,IF(Screener!$B$16="demand-similar first",J179*100000,0))+W_SUB*B179+W_SEC*C179*(1-B179)+W_SIZE*D179+W_PROF*E179+W_AH*F179+W_REC*G179+W_CS*H179+W_PE*I179)))+ROW()/1000000</f>
        <v/>
      </c>
      <c r="AA179" s="270">
        <f>Database!B168</f>
        <v/>
      </c>
      <c r="AB179" s="270">
        <f>Database!D168</f>
        <v/>
      </c>
      <c r="AC179" s="270">
        <f>Database!E168</f>
        <v/>
      </c>
      <c r="AD179" s="270">
        <f>Database!I168</f>
        <v/>
      </c>
      <c r="AE179" s="270">
        <f>Database!BG168</f>
        <v/>
      </c>
      <c r="AF179" s="270">
        <f>Database!BM168</f>
        <v/>
      </c>
      <c r="AG179" s="270">
        <f>Database!H168</f>
        <v/>
      </c>
      <c r="AH179" s="270">
        <f>Database!BH168</f>
        <v/>
      </c>
    </row>
    <row r="180">
      <c r="A180" s="270">
        <f>Database!B180</f>
        <v/>
      </c>
      <c r="B180" s="270">
        <f>IF(AND(Screener!$D$8&lt;&gt;"",Database!$E180=Screener!$D$8),1,0)</f>
        <v/>
      </c>
      <c r="C180" s="270">
        <f>IF(AND(Screener!$D$7&lt;&gt;"",Database!$D180=Screener!$D$7),1,0)</f>
        <v/>
      </c>
      <c r="D180" s="270">
        <f>IF(OR(N(Database!$I180)&lt;=0,N(Screener!$D$9)&lt;=0),0,MAX(0,1-ABS(LOG10(N(Database!$I180)/Screener!$D$9))/W_SIZEHW))</f>
        <v/>
      </c>
      <c r="E180" s="270">
        <f>IF(OR(Database!$BG180="",Screener!$D$10=""),0,IF(Database!$BG180=Screener!$D$10,1,0))</f>
        <v/>
      </c>
      <c r="F180" s="270">
        <f>IF(OR(Database!$BM180="",Screener!$D$11=""),0,IF(Database!$BM180=Screener!$D$11,1,0))</f>
        <v/>
      </c>
      <c r="G180" s="270">
        <f>IF(OR(Database!$H180="",N(Screener!$D$12)&lt;=0),0,MAX(0,1-(N(Screener!$D$12)-Database!$H180)/W_RECD))</f>
        <v/>
      </c>
      <c r="H180" s="270">
        <f>IF($U$1="",0,N(ISNUMBER(SEARCH($U$1,Database!$AC180&amp;""))))+IF($V$1="",0,N(ISNUMBER(SEARCH($V$1,Database!$AC180&amp;""))))+IF($W$1="",0,N(ISNUMBER(SEARCH($W$1,Database!$AC180&amp;""))))+IF($X$1="",0,N(ISNUMBER(SEARCH($X$1,Database!$AC180&amp;""))))+IF($Y$1="",0,N(ISNUMBER(SEARCH($Y$1,Database!$AC180&amp;""))))+IF(Screener!$B$17="",0,N(ISNUMBER(SEARCH(LOWER(Screener!$B$17),Database!$AC180&amp;""))))</f>
        <v/>
      </c>
      <c r="I180" s="270">
        <f>IF(OR(N(Database!$BH180)&lt;=0,N(Screener!$D$13)&lt;=0),0,MAX(0,1-ABS(LOG10(N(Database!$BH180)/Screener!$D$13))/W_PEHW))</f>
        <v/>
      </c>
      <c r="J180" s="270">
        <f>IF(OR(N(Database!$S180)&lt;=0,N(Screener!$D$14)&lt;=0),0,MAX(0,1-ABS(LOG10(Database!$S180/Screener!$D$14))/0.6))</f>
        <v/>
      </c>
      <c r="K180" s="270">
        <f>IF(Database!$B180=Screener!$B$5,-999999,IF(ISNUMBER(SEARCH(","&amp;Database!$A180&amp;",",","&amp;SUBSTITUTE(Screener!$D$17," ","")&amp;",")),2000000,IF(IF(OR(Screener!$B$18="All",AND(Screener!$B$18="With A-share",(Database!$BM180="Y")),AND(Screener!$B$18="Without A-share",NOT((Database!$BM180="Y")))),1,0)=0,-999999,IF(Screener!$B$16="cornerstone overlap first",H180*100000,IF(Screener!$B$16="demand-similar first",J180*100000,0))+W_SUB*B180+W_SEC*C180*(1-B180)+W_SIZE*D180+W_PROF*E180+W_AH*F180+W_REC*G180+W_CS*H180+W_PE*I180)))+ROW()/1000000</f>
        <v/>
      </c>
      <c r="AA180" s="270">
        <f>Database!B169</f>
        <v/>
      </c>
      <c r="AB180" s="270">
        <f>Database!D169</f>
        <v/>
      </c>
      <c r="AC180" s="270">
        <f>Database!E169</f>
        <v/>
      </c>
      <c r="AD180" s="270">
        <f>Database!I169</f>
        <v/>
      </c>
      <c r="AE180" s="270">
        <f>Database!BG169</f>
        <v/>
      </c>
      <c r="AF180" s="270">
        <f>Database!BM169</f>
        <v/>
      </c>
      <c r="AG180" s="270">
        <f>Database!H169</f>
        <v/>
      </c>
      <c r="AH180" s="270">
        <f>Database!BH169</f>
        <v/>
      </c>
    </row>
    <row r="181">
      <c r="A181" s="270">
        <f>Database!B181</f>
        <v/>
      </c>
      <c r="B181" s="270">
        <f>IF(AND(Screener!$D$8&lt;&gt;"",Database!$E181=Screener!$D$8),1,0)</f>
        <v/>
      </c>
      <c r="C181" s="270">
        <f>IF(AND(Screener!$D$7&lt;&gt;"",Database!$D181=Screener!$D$7),1,0)</f>
        <v/>
      </c>
      <c r="D181" s="270">
        <f>IF(OR(N(Database!$I181)&lt;=0,N(Screener!$D$9)&lt;=0),0,MAX(0,1-ABS(LOG10(N(Database!$I181)/Screener!$D$9))/W_SIZEHW))</f>
        <v/>
      </c>
      <c r="E181" s="270">
        <f>IF(OR(Database!$BG181="",Screener!$D$10=""),0,IF(Database!$BG181=Screener!$D$10,1,0))</f>
        <v/>
      </c>
      <c r="F181" s="270">
        <f>IF(OR(Database!$BM181="",Screener!$D$11=""),0,IF(Database!$BM181=Screener!$D$11,1,0))</f>
        <v/>
      </c>
      <c r="G181" s="270">
        <f>IF(OR(Database!$H181="",N(Screener!$D$12)&lt;=0),0,MAX(0,1-(N(Screener!$D$12)-Database!$H181)/W_RECD))</f>
        <v/>
      </c>
      <c r="H181" s="270">
        <f>IF($U$1="",0,N(ISNUMBER(SEARCH($U$1,Database!$AC181&amp;""))))+IF($V$1="",0,N(ISNUMBER(SEARCH($V$1,Database!$AC181&amp;""))))+IF($W$1="",0,N(ISNUMBER(SEARCH($W$1,Database!$AC181&amp;""))))+IF($X$1="",0,N(ISNUMBER(SEARCH($X$1,Database!$AC181&amp;""))))+IF($Y$1="",0,N(ISNUMBER(SEARCH($Y$1,Database!$AC181&amp;""))))+IF(Screener!$B$17="",0,N(ISNUMBER(SEARCH(LOWER(Screener!$B$17),Database!$AC181&amp;""))))</f>
        <v/>
      </c>
      <c r="I181" s="270">
        <f>IF(OR(N(Database!$BH181)&lt;=0,N(Screener!$D$13)&lt;=0),0,MAX(0,1-ABS(LOG10(N(Database!$BH181)/Screener!$D$13))/W_PEHW))</f>
        <v/>
      </c>
      <c r="J181" s="270">
        <f>IF(OR(N(Database!$S181)&lt;=0,N(Screener!$D$14)&lt;=0),0,MAX(0,1-ABS(LOG10(Database!$S181/Screener!$D$14))/0.6))</f>
        <v/>
      </c>
      <c r="K181" s="270">
        <f>IF(Database!$B181=Screener!$B$5,-999999,IF(ISNUMBER(SEARCH(","&amp;Database!$A181&amp;",",","&amp;SUBSTITUTE(Screener!$D$17," ","")&amp;",")),2000000,IF(IF(OR(Screener!$B$18="All",AND(Screener!$B$18="With A-share",(Database!$BM181="Y")),AND(Screener!$B$18="Without A-share",NOT((Database!$BM181="Y")))),1,0)=0,-999999,IF(Screener!$B$16="cornerstone overlap first",H181*100000,IF(Screener!$B$16="demand-similar first",J181*100000,0))+W_SUB*B181+W_SEC*C181*(1-B181)+W_SIZE*D181+W_PROF*E181+W_AH*F181+W_REC*G181+W_CS*H181+W_PE*I181)))+ROW()/1000000</f>
        <v/>
      </c>
      <c r="AA181" s="270">
        <f>Database!B170</f>
        <v/>
      </c>
      <c r="AB181" s="270">
        <f>Database!D170</f>
        <v/>
      </c>
      <c r="AC181" s="270">
        <f>Database!E170</f>
        <v/>
      </c>
      <c r="AD181" s="270">
        <f>Database!I170</f>
        <v/>
      </c>
      <c r="AE181" s="270">
        <f>Database!BG170</f>
        <v/>
      </c>
      <c r="AF181" s="270">
        <f>Database!BM170</f>
        <v/>
      </c>
      <c r="AG181" s="270">
        <f>Database!H170</f>
        <v/>
      </c>
      <c r="AH181" s="270">
        <f>Database!BH170</f>
        <v/>
      </c>
    </row>
    <row r="182">
      <c r="A182" s="270">
        <f>Database!B182</f>
        <v/>
      </c>
      <c r="B182" s="270">
        <f>IF(AND(Screener!$D$8&lt;&gt;"",Database!$E182=Screener!$D$8),1,0)</f>
        <v/>
      </c>
      <c r="C182" s="270">
        <f>IF(AND(Screener!$D$7&lt;&gt;"",Database!$D182=Screener!$D$7),1,0)</f>
        <v/>
      </c>
      <c r="D182" s="270">
        <f>IF(OR(N(Database!$I182)&lt;=0,N(Screener!$D$9)&lt;=0),0,MAX(0,1-ABS(LOG10(N(Database!$I182)/Screener!$D$9))/W_SIZEHW))</f>
        <v/>
      </c>
      <c r="E182" s="270">
        <f>IF(OR(Database!$BG182="",Screener!$D$10=""),0,IF(Database!$BG182=Screener!$D$10,1,0))</f>
        <v/>
      </c>
      <c r="F182" s="270">
        <f>IF(OR(Database!$BM182="",Screener!$D$11=""),0,IF(Database!$BM182=Screener!$D$11,1,0))</f>
        <v/>
      </c>
      <c r="G182" s="270">
        <f>IF(OR(Database!$H182="",N(Screener!$D$12)&lt;=0),0,MAX(0,1-(N(Screener!$D$12)-Database!$H182)/W_RECD))</f>
        <v/>
      </c>
      <c r="H182" s="270">
        <f>IF($U$1="",0,N(ISNUMBER(SEARCH($U$1,Database!$AC182&amp;""))))+IF($V$1="",0,N(ISNUMBER(SEARCH($V$1,Database!$AC182&amp;""))))+IF($W$1="",0,N(ISNUMBER(SEARCH($W$1,Database!$AC182&amp;""))))+IF($X$1="",0,N(ISNUMBER(SEARCH($X$1,Database!$AC182&amp;""))))+IF($Y$1="",0,N(ISNUMBER(SEARCH($Y$1,Database!$AC182&amp;""))))+IF(Screener!$B$17="",0,N(ISNUMBER(SEARCH(LOWER(Screener!$B$17),Database!$AC182&amp;""))))</f>
        <v/>
      </c>
      <c r="I182" s="270">
        <f>IF(OR(N(Database!$BH182)&lt;=0,N(Screener!$D$13)&lt;=0),0,MAX(0,1-ABS(LOG10(N(Database!$BH182)/Screener!$D$13))/W_PEHW))</f>
        <v/>
      </c>
      <c r="J182" s="270">
        <f>IF(OR(N(Database!$S182)&lt;=0,N(Screener!$D$14)&lt;=0),0,MAX(0,1-ABS(LOG10(Database!$S182/Screener!$D$14))/0.6))</f>
        <v/>
      </c>
      <c r="K182" s="270">
        <f>IF(Database!$B182=Screener!$B$5,-999999,IF(ISNUMBER(SEARCH(","&amp;Database!$A182&amp;",",","&amp;SUBSTITUTE(Screener!$D$17," ","")&amp;",")),2000000,IF(IF(OR(Screener!$B$18="All",AND(Screener!$B$18="With A-share",(Database!$BM182="Y")),AND(Screener!$B$18="Without A-share",NOT((Database!$BM182="Y")))),1,0)=0,-999999,IF(Screener!$B$16="cornerstone overlap first",H182*100000,IF(Screener!$B$16="demand-similar first",J182*100000,0))+W_SUB*B182+W_SEC*C182*(1-B182)+W_SIZE*D182+W_PROF*E182+W_AH*F182+W_REC*G182+W_CS*H182+W_PE*I182)))+ROW()/1000000</f>
        <v/>
      </c>
      <c r="AA182" s="270">
        <f>Database!B171</f>
        <v/>
      </c>
      <c r="AB182" s="270">
        <f>Database!D171</f>
        <v/>
      </c>
      <c r="AC182" s="270">
        <f>Database!E171</f>
        <v/>
      </c>
      <c r="AD182" s="270">
        <f>Database!I171</f>
        <v/>
      </c>
      <c r="AE182" s="270">
        <f>Database!BG171</f>
        <v/>
      </c>
      <c r="AF182" s="270">
        <f>Database!BM171</f>
        <v/>
      </c>
      <c r="AG182" s="270">
        <f>Database!H171</f>
        <v/>
      </c>
      <c r="AH182" s="270">
        <f>Database!BH171</f>
        <v/>
      </c>
    </row>
    <row r="183">
      <c r="A183" s="270">
        <f>Database!B183</f>
        <v/>
      </c>
      <c r="B183" s="270">
        <f>IF(AND(Screener!$D$8&lt;&gt;"",Database!$E183=Screener!$D$8),1,0)</f>
        <v/>
      </c>
      <c r="C183" s="270">
        <f>IF(AND(Screener!$D$7&lt;&gt;"",Database!$D183=Screener!$D$7),1,0)</f>
        <v/>
      </c>
      <c r="D183" s="270">
        <f>IF(OR(N(Database!$I183)&lt;=0,N(Screener!$D$9)&lt;=0),0,MAX(0,1-ABS(LOG10(N(Database!$I183)/Screener!$D$9))/W_SIZEHW))</f>
        <v/>
      </c>
      <c r="E183" s="270">
        <f>IF(OR(Database!$BG183="",Screener!$D$10=""),0,IF(Database!$BG183=Screener!$D$10,1,0))</f>
        <v/>
      </c>
      <c r="F183" s="270">
        <f>IF(OR(Database!$BM183="",Screener!$D$11=""),0,IF(Database!$BM183=Screener!$D$11,1,0))</f>
        <v/>
      </c>
      <c r="G183" s="270">
        <f>IF(OR(Database!$H183="",N(Screener!$D$12)&lt;=0),0,MAX(0,1-(N(Screener!$D$12)-Database!$H183)/W_RECD))</f>
        <v/>
      </c>
      <c r="H183" s="270">
        <f>IF($U$1="",0,N(ISNUMBER(SEARCH($U$1,Database!$AC183&amp;""))))+IF($V$1="",0,N(ISNUMBER(SEARCH($V$1,Database!$AC183&amp;""))))+IF($W$1="",0,N(ISNUMBER(SEARCH($W$1,Database!$AC183&amp;""))))+IF($X$1="",0,N(ISNUMBER(SEARCH($X$1,Database!$AC183&amp;""))))+IF($Y$1="",0,N(ISNUMBER(SEARCH($Y$1,Database!$AC183&amp;""))))+IF(Screener!$B$17="",0,N(ISNUMBER(SEARCH(LOWER(Screener!$B$17),Database!$AC183&amp;""))))</f>
        <v/>
      </c>
      <c r="I183" s="270">
        <f>IF(OR(N(Database!$BH183)&lt;=0,N(Screener!$D$13)&lt;=0),0,MAX(0,1-ABS(LOG10(N(Database!$BH183)/Screener!$D$13))/W_PEHW))</f>
        <v/>
      </c>
      <c r="J183" s="270">
        <f>IF(OR(N(Database!$S183)&lt;=0,N(Screener!$D$14)&lt;=0),0,MAX(0,1-ABS(LOG10(Database!$S183/Screener!$D$14))/0.6))</f>
        <v/>
      </c>
      <c r="K183" s="270">
        <f>IF(Database!$B183=Screener!$B$5,-999999,IF(ISNUMBER(SEARCH(","&amp;Database!$A183&amp;",",","&amp;SUBSTITUTE(Screener!$D$17," ","")&amp;",")),2000000,IF(IF(OR(Screener!$B$18="All",AND(Screener!$B$18="With A-share",(Database!$BM183="Y")),AND(Screener!$B$18="Without A-share",NOT((Database!$BM183="Y")))),1,0)=0,-999999,IF(Screener!$B$16="cornerstone overlap first",H183*100000,IF(Screener!$B$16="demand-similar first",J183*100000,0))+W_SUB*B183+W_SEC*C183*(1-B183)+W_SIZE*D183+W_PROF*E183+W_AH*F183+W_REC*G183+W_CS*H183+W_PE*I183)))+ROW()/1000000</f>
        <v/>
      </c>
      <c r="AA183" s="270">
        <f>Database!B172</f>
        <v/>
      </c>
      <c r="AB183" s="270">
        <f>Database!D172</f>
        <v/>
      </c>
      <c r="AC183" s="270">
        <f>Database!E172</f>
        <v/>
      </c>
      <c r="AD183" s="270">
        <f>Database!I172</f>
        <v/>
      </c>
      <c r="AE183" s="270">
        <f>Database!BG172</f>
        <v/>
      </c>
      <c r="AF183" s="270">
        <f>Database!BM172</f>
        <v/>
      </c>
      <c r="AG183" s="270">
        <f>Database!H172</f>
        <v/>
      </c>
      <c r="AH183" s="270">
        <f>Database!BH172</f>
        <v/>
      </c>
    </row>
    <row r="184">
      <c r="A184" s="270">
        <f>Database!B184</f>
        <v/>
      </c>
      <c r="B184" s="270">
        <f>IF(AND(Screener!$D$8&lt;&gt;"",Database!$E184=Screener!$D$8),1,0)</f>
        <v/>
      </c>
      <c r="C184" s="270">
        <f>IF(AND(Screener!$D$7&lt;&gt;"",Database!$D184=Screener!$D$7),1,0)</f>
        <v/>
      </c>
      <c r="D184" s="270">
        <f>IF(OR(N(Database!$I184)&lt;=0,N(Screener!$D$9)&lt;=0),0,MAX(0,1-ABS(LOG10(N(Database!$I184)/Screener!$D$9))/W_SIZEHW))</f>
        <v/>
      </c>
      <c r="E184" s="270">
        <f>IF(OR(Database!$BG184="",Screener!$D$10=""),0,IF(Database!$BG184=Screener!$D$10,1,0))</f>
        <v/>
      </c>
      <c r="F184" s="270">
        <f>IF(OR(Database!$BM184="",Screener!$D$11=""),0,IF(Database!$BM184=Screener!$D$11,1,0))</f>
        <v/>
      </c>
      <c r="G184" s="270">
        <f>IF(OR(Database!$H184="",N(Screener!$D$12)&lt;=0),0,MAX(0,1-(N(Screener!$D$12)-Database!$H184)/W_RECD))</f>
        <v/>
      </c>
      <c r="H184" s="270">
        <f>IF($U$1="",0,N(ISNUMBER(SEARCH($U$1,Database!$AC184&amp;""))))+IF($V$1="",0,N(ISNUMBER(SEARCH($V$1,Database!$AC184&amp;""))))+IF($W$1="",0,N(ISNUMBER(SEARCH($W$1,Database!$AC184&amp;""))))+IF($X$1="",0,N(ISNUMBER(SEARCH($X$1,Database!$AC184&amp;""))))+IF($Y$1="",0,N(ISNUMBER(SEARCH($Y$1,Database!$AC184&amp;""))))+IF(Screener!$B$17="",0,N(ISNUMBER(SEARCH(LOWER(Screener!$B$17),Database!$AC184&amp;""))))</f>
        <v/>
      </c>
      <c r="I184" s="270">
        <f>IF(OR(N(Database!$BH184)&lt;=0,N(Screener!$D$13)&lt;=0),0,MAX(0,1-ABS(LOG10(N(Database!$BH184)/Screener!$D$13))/W_PEHW))</f>
        <v/>
      </c>
      <c r="J184" s="270">
        <f>IF(OR(N(Database!$S184)&lt;=0,N(Screener!$D$14)&lt;=0),0,MAX(0,1-ABS(LOG10(Database!$S184/Screener!$D$14))/0.6))</f>
        <v/>
      </c>
      <c r="K184" s="270">
        <f>IF(Database!$B184=Screener!$B$5,-999999,IF(ISNUMBER(SEARCH(","&amp;Database!$A184&amp;",",","&amp;SUBSTITUTE(Screener!$D$17," ","")&amp;",")),2000000,IF(IF(OR(Screener!$B$18="All",AND(Screener!$B$18="With A-share",(Database!$BM184="Y")),AND(Screener!$B$18="Without A-share",NOT((Database!$BM184="Y")))),1,0)=0,-999999,IF(Screener!$B$16="cornerstone overlap first",H184*100000,IF(Screener!$B$16="demand-similar first",J184*100000,0))+W_SUB*B184+W_SEC*C184*(1-B184)+W_SIZE*D184+W_PROF*E184+W_AH*F184+W_REC*G184+W_CS*H184+W_PE*I184)))+ROW()/1000000</f>
        <v/>
      </c>
      <c r="AA184" s="270">
        <f>Database!B173</f>
        <v/>
      </c>
      <c r="AB184" s="270">
        <f>Database!D173</f>
        <v/>
      </c>
      <c r="AC184" s="270">
        <f>Database!E173</f>
        <v/>
      </c>
      <c r="AD184" s="270">
        <f>Database!I173</f>
        <v/>
      </c>
      <c r="AE184" s="270">
        <f>Database!BG173</f>
        <v/>
      </c>
      <c r="AF184" s="270">
        <f>Database!BM173</f>
        <v/>
      </c>
      <c r="AG184" s="270">
        <f>Database!H173</f>
        <v/>
      </c>
      <c r="AH184" s="270">
        <f>Database!BH173</f>
        <v/>
      </c>
    </row>
    <row r="185">
      <c r="A185" s="270">
        <f>Database!B185</f>
        <v/>
      </c>
      <c r="B185" s="270">
        <f>IF(AND(Screener!$D$8&lt;&gt;"",Database!$E185=Screener!$D$8),1,0)</f>
        <v/>
      </c>
      <c r="C185" s="270">
        <f>IF(AND(Screener!$D$7&lt;&gt;"",Database!$D185=Screener!$D$7),1,0)</f>
        <v/>
      </c>
      <c r="D185" s="270">
        <f>IF(OR(N(Database!$I185)&lt;=0,N(Screener!$D$9)&lt;=0),0,MAX(0,1-ABS(LOG10(N(Database!$I185)/Screener!$D$9))/W_SIZEHW))</f>
        <v/>
      </c>
      <c r="E185" s="270">
        <f>IF(OR(Database!$BG185="",Screener!$D$10=""),0,IF(Database!$BG185=Screener!$D$10,1,0))</f>
        <v/>
      </c>
      <c r="F185" s="270">
        <f>IF(OR(Database!$BM185="",Screener!$D$11=""),0,IF(Database!$BM185=Screener!$D$11,1,0))</f>
        <v/>
      </c>
      <c r="G185" s="270">
        <f>IF(OR(Database!$H185="",N(Screener!$D$12)&lt;=0),0,MAX(0,1-(N(Screener!$D$12)-Database!$H185)/W_RECD))</f>
        <v/>
      </c>
      <c r="H185" s="270">
        <f>IF($U$1="",0,N(ISNUMBER(SEARCH($U$1,Database!$AC185&amp;""))))+IF($V$1="",0,N(ISNUMBER(SEARCH($V$1,Database!$AC185&amp;""))))+IF($W$1="",0,N(ISNUMBER(SEARCH($W$1,Database!$AC185&amp;""))))+IF($X$1="",0,N(ISNUMBER(SEARCH($X$1,Database!$AC185&amp;""))))+IF($Y$1="",0,N(ISNUMBER(SEARCH($Y$1,Database!$AC185&amp;""))))+IF(Screener!$B$17="",0,N(ISNUMBER(SEARCH(LOWER(Screener!$B$17),Database!$AC185&amp;""))))</f>
        <v/>
      </c>
      <c r="I185" s="270">
        <f>IF(OR(N(Database!$BH185)&lt;=0,N(Screener!$D$13)&lt;=0),0,MAX(0,1-ABS(LOG10(N(Database!$BH185)/Screener!$D$13))/W_PEHW))</f>
        <v/>
      </c>
      <c r="J185" s="270">
        <f>IF(OR(N(Database!$S185)&lt;=0,N(Screener!$D$14)&lt;=0),0,MAX(0,1-ABS(LOG10(Database!$S185/Screener!$D$14))/0.6))</f>
        <v/>
      </c>
      <c r="K185" s="270">
        <f>IF(Database!$B185=Screener!$B$5,-999999,IF(ISNUMBER(SEARCH(","&amp;Database!$A185&amp;",",","&amp;SUBSTITUTE(Screener!$D$17," ","")&amp;",")),2000000,IF(IF(OR(Screener!$B$18="All",AND(Screener!$B$18="With A-share",(Database!$BM185="Y")),AND(Screener!$B$18="Without A-share",NOT((Database!$BM185="Y")))),1,0)=0,-999999,IF(Screener!$B$16="cornerstone overlap first",H185*100000,IF(Screener!$B$16="demand-similar first",J185*100000,0))+W_SUB*B185+W_SEC*C185*(1-B185)+W_SIZE*D185+W_PROF*E185+W_AH*F185+W_REC*G185+W_CS*H185+W_PE*I185)))+ROW()/1000000</f>
        <v/>
      </c>
      <c r="AA185" s="270">
        <f>Database!B174</f>
        <v/>
      </c>
      <c r="AB185" s="270">
        <f>Database!D174</f>
        <v/>
      </c>
      <c r="AC185" s="270">
        <f>Database!E174</f>
        <v/>
      </c>
      <c r="AD185" s="270">
        <f>Database!I174</f>
        <v/>
      </c>
      <c r="AE185" s="270">
        <f>Database!BG174</f>
        <v/>
      </c>
      <c r="AF185" s="270">
        <f>Database!BM174</f>
        <v/>
      </c>
      <c r="AG185" s="270">
        <f>Database!H174</f>
        <v/>
      </c>
      <c r="AH185" s="270">
        <f>Database!BH174</f>
        <v/>
      </c>
    </row>
    <row r="186">
      <c r="A186" s="270">
        <f>Database!B186</f>
        <v/>
      </c>
      <c r="B186" s="270">
        <f>IF(AND(Screener!$D$8&lt;&gt;"",Database!$E186=Screener!$D$8),1,0)</f>
        <v/>
      </c>
      <c r="C186" s="270">
        <f>IF(AND(Screener!$D$7&lt;&gt;"",Database!$D186=Screener!$D$7),1,0)</f>
        <v/>
      </c>
      <c r="D186" s="270">
        <f>IF(OR(N(Database!$I186)&lt;=0,N(Screener!$D$9)&lt;=0),0,MAX(0,1-ABS(LOG10(N(Database!$I186)/Screener!$D$9))/W_SIZEHW))</f>
        <v/>
      </c>
      <c r="E186" s="270">
        <f>IF(OR(Database!$BG186="",Screener!$D$10=""),0,IF(Database!$BG186=Screener!$D$10,1,0))</f>
        <v/>
      </c>
      <c r="F186" s="270">
        <f>IF(OR(Database!$BM186="",Screener!$D$11=""),0,IF(Database!$BM186=Screener!$D$11,1,0))</f>
        <v/>
      </c>
      <c r="G186" s="270">
        <f>IF(OR(Database!$H186="",N(Screener!$D$12)&lt;=0),0,MAX(0,1-(N(Screener!$D$12)-Database!$H186)/W_RECD))</f>
        <v/>
      </c>
      <c r="H186" s="270">
        <f>IF($U$1="",0,N(ISNUMBER(SEARCH($U$1,Database!$AC186&amp;""))))+IF($V$1="",0,N(ISNUMBER(SEARCH($V$1,Database!$AC186&amp;""))))+IF($W$1="",0,N(ISNUMBER(SEARCH($W$1,Database!$AC186&amp;""))))+IF($X$1="",0,N(ISNUMBER(SEARCH($X$1,Database!$AC186&amp;""))))+IF($Y$1="",0,N(ISNUMBER(SEARCH($Y$1,Database!$AC186&amp;""))))+IF(Screener!$B$17="",0,N(ISNUMBER(SEARCH(LOWER(Screener!$B$17),Database!$AC186&amp;""))))</f>
        <v/>
      </c>
      <c r="I186" s="270">
        <f>IF(OR(N(Database!$BH186)&lt;=0,N(Screener!$D$13)&lt;=0),0,MAX(0,1-ABS(LOG10(N(Database!$BH186)/Screener!$D$13))/W_PEHW))</f>
        <v/>
      </c>
      <c r="J186" s="270">
        <f>IF(OR(N(Database!$S186)&lt;=0,N(Screener!$D$14)&lt;=0),0,MAX(0,1-ABS(LOG10(Database!$S186/Screener!$D$14))/0.6))</f>
        <v/>
      </c>
      <c r="K186" s="270">
        <f>IF(Database!$B186=Screener!$B$5,-999999,IF(ISNUMBER(SEARCH(","&amp;Database!$A186&amp;",",","&amp;SUBSTITUTE(Screener!$D$17," ","")&amp;",")),2000000,IF(IF(OR(Screener!$B$18="All",AND(Screener!$B$18="With A-share",(Database!$BM186="Y")),AND(Screener!$B$18="Without A-share",NOT((Database!$BM186="Y")))),1,0)=0,-999999,IF(Screener!$B$16="cornerstone overlap first",H186*100000,IF(Screener!$B$16="demand-similar first",J186*100000,0))+W_SUB*B186+W_SEC*C186*(1-B186)+W_SIZE*D186+W_PROF*E186+W_AH*F186+W_REC*G186+W_CS*H186+W_PE*I186)))+ROW()/1000000</f>
        <v/>
      </c>
      <c r="AA186" s="270">
        <f>Database!B175</f>
        <v/>
      </c>
      <c r="AB186" s="270">
        <f>Database!D175</f>
        <v/>
      </c>
      <c r="AC186" s="270">
        <f>Database!E175</f>
        <v/>
      </c>
      <c r="AD186" s="270">
        <f>Database!I175</f>
        <v/>
      </c>
      <c r="AE186" s="270">
        <f>Database!BG175</f>
        <v/>
      </c>
      <c r="AF186" s="270">
        <f>Database!BM175</f>
        <v/>
      </c>
      <c r="AG186" s="270">
        <f>Database!H175</f>
        <v/>
      </c>
      <c r="AH186" s="270">
        <f>Database!BH175</f>
        <v/>
      </c>
    </row>
    <row r="187">
      <c r="A187" s="270">
        <f>Database!B187</f>
        <v/>
      </c>
      <c r="B187" s="270">
        <f>IF(AND(Screener!$D$8&lt;&gt;"",Database!$E187=Screener!$D$8),1,0)</f>
        <v/>
      </c>
      <c r="C187" s="270">
        <f>IF(AND(Screener!$D$7&lt;&gt;"",Database!$D187=Screener!$D$7),1,0)</f>
        <v/>
      </c>
      <c r="D187" s="270">
        <f>IF(OR(N(Database!$I187)&lt;=0,N(Screener!$D$9)&lt;=0),0,MAX(0,1-ABS(LOG10(N(Database!$I187)/Screener!$D$9))/W_SIZEHW))</f>
        <v/>
      </c>
      <c r="E187" s="270">
        <f>IF(OR(Database!$BG187="",Screener!$D$10=""),0,IF(Database!$BG187=Screener!$D$10,1,0))</f>
        <v/>
      </c>
      <c r="F187" s="270">
        <f>IF(OR(Database!$BM187="",Screener!$D$11=""),0,IF(Database!$BM187=Screener!$D$11,1,0))</f>
        <v/>
      </c>
      <c r="G187" s="270">
        <f>IF(OR(Database!$H187="",N(Screener!$D$12)&lt;=0),0,MAX(0,1-(N(Screener!$D$12)-Database!$H187)/W_RECD))</f>
        <v/>
      </c>
      <c r="H187" s="270">
        <f>IF($U$1="",0,N(ISNUMBER(SEARCH($U$1,Database!$AC187&amp;""))))+IF($V$1="",0,N(ISNUMBER(SEARCH($V$1,Database!$AC187&amp;""))))+IF($W$1="",0,N(ISNUMBER(SEARCH($W$1,Database!$AC187&amp;""))))+IF($X$1="",0,N(ISNUMBER(SEARCH($X$1,Database!$AC187&amp;""))))+IF($Y$1="",0,N(ISNUMBER(SEARCH($Y$1,Database!$AC187&amp;""))))+IF(Screener!$B$17="",0,N(ISNUMBER(SEARCH(LOWER(Screener!$B$17),Database!$AC187&amp;""))))</f>
        <v/>
      </c>
      <c r="I187" s="270">
        <f>IF(OR(N(Database!$BH187)&lt;=0,N(Screener!$D$13)&lt;=0),0,MAX(0,1-ABS(LOG10(N(Database!$BH187)/Screener!$D$13))/W_PEHW))</f>
        <v/>
      </c>
      <c r="J187" s="270">
        <f>IF(OR(N(Database!$S187)&lt;=0,N(Screener!$D$14)&lt;=0),0,MAX(0,1-ABS(LOG10(Database!$S187/Screener!$D$14))/0.6))</f>
        <v/>
      </c>
      <c r="K187" s="270">
        <f>IF(Database!$B187=Screener!$B$5,-999999,IF(ISNUMBER(SEARCH(","&amp;Database!$A187&amp;",",","&amp;SUBSTITUTE(Screener!$D$17," ","")&amp;",")),2000000,IF(IF(OR(Screener!$B$18="All",AND(Screener!$B$18="With A-share",(Database!$BM187="Y")),AND(Screener!$B$18="Without A-share",NOT((Database!$BM187="Y")))),1,0)=0,-999999,IF(Screener!$B$16="cornerstone overlap first",H187*100000,IF(Screener!$B$16="demand-similar first",J187*100000,0))+W_SUB*B187+W_SEC*C187*(1-B187)+W_SIZE*D187+W_PROF*E187+W_AH*F187+W_REC*G187+W_CS*H187+W_PE*I187)))+ROW()/1000000</f>
        <v/>
      </c>
      <c r="AA187" s="270">
        <f>Database!B176</f>
        <v/>
      </c>
      <c r="AB187" s="270">
        <f>Database!D176</f>
        <v/>
      </c>
      <c r="AC187" s="270">
        <f>Database!E176</f>
        <v/>
      </c>
      <c r="AD187" s="270">
        <f>Database!I176</f>
        <v/>
      </c>
      <c r="AE187" s="270">
        <f>Database!BG176</f>
        <v/>
      </c>
      <c r="AF187" s="270">
        <f>Database!BM176</f>
        <v/>
      </c>
      <c r="AG187" s="270">
        <f>Database!H176</f>
        <v/>
      </c>
      <c r="AH187" s="270">
        <f>Database!BH176</f>
        <v/>
      </c>
    </row>
    <row r="188">
      <c r="A188" s="270">
        <f>Database!B188</f>
        <v/>
      </c>
      <c r="B188" s="270">
        <f>IF(AND(Screener!$D$8&lt;&gt;"",Database!$E188=Screener!$D$8),1,0)</f>
        <v/>
      </c>
      <c r="C188" s="270">
        <f>IF(AND(Screener!$D$7&lt;&gt;"",Database!$D188=Screener!$D$7),1,0)</f>
        <v/>
      </c>
      <c r="D188" s="270">
        <f>IF(OR(N(Database!$I188)&lt;=0,N(Screener!$D$9)&lt;=0),0,MAX(0,1-ABS(LOG10(N(Database!$I188)/Screener!$D$9))/W_SIZEHW))</f>
        <v/>
      </c>
      <c r="E188" s="270">
        <f>IF(OR(Database!$BG188="",Screener!$D$10=""),0,IF(Database!$BG188=Screener!$D$10,1,0))</f>
        <v/>
      </c>
      <c r="F188" s="270">
        <f>IF(OR(Database!$BM188="",Screener!$D$11=""),0,IF(Database!$BM188=Screener!$D$11,1,0))</f>
        <v/>
      </c>
      <c r="G188" s="270">
        <f>IF(OR(Database!$H188="",N(Screener!$D$12)&lt;=0),0,MAX(0,1-(N(Screener!$D$12)-Database!$H188)/W_RECD))</f>
        <v/>
      </c>
      <c r="H188" s="270">
        <f>IF($U$1="",0,N(ISNUMBER(SEARCH($U$1,Database!$AC188&amp;""))))+IF($V$1="",0,N(ISNUMBER(SEARCH($V$1,Database!$AC188&amp;""))))+IF($W$1="",0,N(ISNUMBER(SEARCH($W$1,Database!$AC188&amp;""))))+IF($X$1="",0,N(ISNUMBER(SEARCH($X$1,Database!$AC188&amp;""))))+IF($Y$1="",0,N(ISNUMBER(SEARCH($Y$1,Database!$AC188&amp;""))))+IF(Screener!$B$17="",0,N(ISNUMBER(SEARCH(LOWER(Screener!$B$17),Database!$AC188&amp;""))))</f>
        <v/>
      </c>
      <c r="I188" s="270">
        <f>IF(OR(N(Database!$BH188)&lt;=0,N(Screener!$D$13)&lt;=0),0,MAX(0,1-ABS(LOG10(N(Database!$BH188)/Screener!$D$13))/W_PEHW))</f>
        <v/>
      </c>
      <c r="J188" s="270">
        <f>IF(OR(N(Database!$S188)&lt;=0,N(Screener!$D$14)&lt;=0),0,MAX(0,1-ABS(LOG10(Database!$S188/Screener!$D$14))/0.6))</f>
        <v/>
      </c>
      <c r="K188" s="270">
        <f>IF(Database!$B188=Screener!$B$5,-999999,IF(ISNUMBER(SEARCH(","&amp;Database!$A188&amp;",",","&amp;SUBSTITUTE(Screener!$D$17," ","")&amp;",")),2000000,IF(IF(OR(Screener!$B$18="All",AND(Screener!$B$18="With A-share",(Database!$BM188="Y")),AND(Screener!$B$18="Without A-share",NOT((Database!$BM188="Y")))),1,0)=0,-999999,IF(Screener!$B$16="cornerstone overlap first",H188*100000,IF(Screener!$B$16="demand-similar first",J188*100000,0))+W_SUB*B188+W_SEC*C188*(1-B188)+W_SIZE*D188+W_PROF*E188+W_AH*F188+W_REC*G188+W_CS*H188+W_PE*I188)))+ROW()/1000000</f>
        <v/>
      </c>
      <c r="AA188" s="270">
        <f>Database!B177</f>
        <v/>
      </c>
      <c r="AB188" s="270">
        <f>Database!D177</f>
        <v/>
      </c>
      <c r="AC188" s="270">
        <f>Database!E177</f>
        <v/>
      </c>
      <c r="AD188" s="270">
        <f>Database!I177</f>
        <v/>
      </c>
      <c r="AE188" s="270">
        <f>Database!BG177</f>
        <v/>
      </c>
      <c r="AF188" s="270">
        <f>Database!BM177</f>
        <v/>
      </c>
      <c r="AG188" s="270">
        <f>Database!H177</f>
        <v/>
      </c>
      <c r="AH188" s="270">
        <f>Database!BH177</f>
        <v/>
      </c>
    </row>
    <row r="189">
      <c r="A189" s="270">
        <f>Database!B189</f>
        <v/>
      </c>
      <c r="B189" s="270">
        <f>IF(AND(Screener!$D$8&lt;&gt;"",Database!$E189=Screener!$D$8),1,0)</f>
        <v/>
      </c>
      <c r="C189" s="270">
        <f>IF(AND(Screener!$D$7&lt;&gt;"",Database!$D189=Screener!$D$7),1,0)</f>
        <v/>
      </c>
      <c r="D189" s="270">
        <f>IF(OR(N(Database!$I189)&lt;=0,N(Screener!$D$9)&lt;=0),0,MAX(0,1-ABS(LOG10(N(Database!$I189)/Screener!$D$9))/W_SIZEHW))</f>
        <v/>
      </c>
      <c r="E189" s="270">
        <f>IF(OR(Database!$BG189="",Screener!$D$10=""),0,IF(Database!$BG189=Screener!$D$10,1,0))</f>
        <v/>
      </c>
      <c r="F189" s="270">
        <f>IF(OR(Database!$BM189="",Screener!$D$11=""),0,IF(Database!$BM189=Screener!$D$11,1,0))</f>
        <v/>
      </c>
      <c r="G189" s="270">
        <f>IF(OR(Database!$H189="",N(Screener!$D$12)&lt;=0),0,MAX(0,1-(N(Screener!$D$12)-Database!$H189)/W_RECD))</f>
        <v/>
      </c>
      <c r="H189" s="270">
        <f>IF($U$1="",0,N(ISNUMBER(SEARCH($U$1,Database!$AC189&amp;""))))+IF($V$1="",0,N(ISNUMBER(SEARCH($V$1,Database!$AC189&amp;""))))+IF($W$1="",0,N(ISNUMBER(SEARCH($W$1,Database!$AC189&amp;""))))+IF($X$1="",0,N(ISNUMBER(SEARCH($X$1,Database!$AC189&amp;""))))+IF($Y$1="",0,N(ISNUMBER(SEARCH($Y$1,Database!$AC189&amp;""))))+IF(Screener!$B$17="",0,N(ISNUMBER(SEARCH(LOWER(Screener!$B$17),Database!$AC189&amp;""))))</f>
        <v/>
      </c>
      <c r="I189" s="270">
        <f>IF(OR(N(Database!$BH189)&lt;=0,N(Screener!$D$13)&lt;=0),0,MAX(0,1-ABS(LOG10(N(Database!$BH189)/Screener!$D$13))/W_PEHW))</f>
        <v/>
      </c>
      <c r="J189" s="270">
        <f>IF(OR(N(Database!$S189)&lt;=0,N(Screener!$D$14)&lt;=0),0,MAX(0,1-ABS(LOG10(Database!$S189/Screener!$D$14))/0.6))</f>
        <v/>
      </c>
      <c r="K189" s="270">
        <f>IF(Database!$B189=Screener!$B$5,-999999,IF(ISNUMBER(SEARCH(","&amp;Database!$A189&amp;",",","&amp;SUBSTITUTE(Screener!$D$17," ","")&amp;",")),2000000,IF(IF(OR(Screener!$B$18="All",AND(Screener!$B$18="With A-share",(Database!$BM189="Y")),AND(Screener!$B$18="Without A-share",NOT((Database!$BM189="Y")))),1,0)=0,-999999,IF(Screener!$B$16="cornerstone overlap first",H189*100000,IF(Screener!$B$16="demand-similar first",J189*100000,0))+W_SUB*B189+W_SEC*C189*(1-B189)+W_SIZE*D189+W_PROF*E189+W_AH*F189+W_REC*G189+W_CS*H189+W_PE*I189)))+ROW()/1000000</f>
        <v/>
      </c>
      <c r="AA189" s="270">
        <f>Database!B178</f>
        <v/>
      </c>
      <c r="AB189" s="270">
        <f>Database!D178</f>
        <v/>
      </c>
      <c r="AC189" s="270">
        <f>Database!E178</f>
        <v/>
      </c>
      <c r="AD189" s="270">
        <f>Database!I178</f>
        <v/>
      </c>
      <c r="AE189" s="270">
        <f>Database!BG178</f>
        <v/>
      </c>
      <c r="AF189" s="270">
        <f>Database!BM178</f>
        <v/>
      </c>
      <c r="AG189" s="270">
        <f>Database!H178</f>
        <v/>
      </c>
      <c r="AH189" s="270">
        <f>Database!BH178</f>
        <v/>
      </c>
    </row>
    <row r="190">
      <c r="A190" s="270">
        <f>Database!B190</f>
        <v/>
      </c>
      <c r="B190" s="270">
        <f>IF(AND(Screener!$D$8&lt;&gt;"",Database!$E190=Screener!$D$8),1,0)</f>
        <v/>
      </c>
      <c r="C190" s="270">
        <f>IF(AND(Screener!$D$7&lt;&gt;"",Database!$D190=Screener!$D$7),1,0)</f>
        <v/>
      </c>
      <c r="D190" s="270">
        <f>IF(OR(N(Database!$I190)&lt;=0,N(Screener!$D$9)&lt;=0),0,MAX(0,1-ABS(LOG10(N(Database!$I190)/Screener!$D$9))/W_SIZEHW))</f>
        <v/>
      </c>
      <c r="E190" s="270">
        <f>IF(OR(Database!$BG190="",Screener!$D$10=""),0,IF(Database!$BG190=Screener!$D$10,1,0))</f>
        <v/>
      </c>
      <c r="F190" s="270">
        <f>IF(OR(Database!$BM190="",Screener!$D$11=""),0,IF(Database!$BM190=Screener!$D$11,1,0))</f>
        <v/>
      </c>
      <c r="G190" s="270">
        <f>IF(OR(Database!$H190="",N(Screener!$D$12)&lt;=0),0,MAX(0,1-(N(Screener!$D$12)-Database!$H190)/W_RECD))</f>
        <v/>
      </c>
      <c r="H190" s="270">
        <f>IF($U$1="",0,N(ISNUMBER(SEARCH($U$1,Database!$AC190&amp;""))))+IF($V$1="",0,N(ISNUMBER(SEARCH($V$1,Database!$AC190&amp;""))))+IF($W$1="",0,N(ISNUMBER(SEARCH($W$1,Database!$AC190&amp;""))))+IF($X$1="",0,N(ISNUMBER(SEARCH($X$1,Database!$AC190&amp;""))))+IF($Y$1="",0,N(ISNUMBER(SEARCH($Y$1,Database!$AC190&amp;""))))+IF(Screener!$B$17="",0,N(ISNUMBER(SEARCH(LOWER(Screener!$B$17),Database!$AC190&amp;""))))</f>
        <v/>
      </c>
      <c r="I190" s="270">
        <f>IF(OR(N(Database!$BH190)&lt;=0,N(Screener!$D$13)&lt;=0),0,MAX(0,1-ABS(LOG10(N(Database!$BH190)/Screener!$D$13))/W_PEHW))</f>
        <v/>
      </c>
      <c r="J190" s="270">
        <f>IF(OR(N(Database!$S190)&lt;=0,N(Screener!$D$14)&lt;=0),0,MAX(0,1-ABS(LOG10(Database!$S190/Screener!$D$14))/0.6))</f>
        <v/>
      </c>
      <c r="K190" s="270">
        <f>IF(Database!$B190=Screener!$B$5,-999999,IF(ISNUMBER(SEARCH(","&amp;Database!$A190&amp;",",","&amp;SUBSTITUTE(Screener!$D$17," ","")&amp;",")),2000000,IF(IF(OR(Screener!$B$18="All",AND(Screener!$B$18="With A-share",(Database!$BM190="Y")),AND(Screener!$B$18="Without A-share",NOT((Database!$BM190="Y")))),1,0)=0,-999999,IF(Screener!$B$16="cornerstone overlap first",H190*100000,IF(Screener!$B$16="demand-similar first",J190*100000,0))+W_SUB*B190+W_SEC*C190*(1-B190)+W_SIZE*D190+W_PROF*E190+W_AH*F190+W_REC*G190+W_CS*H190+W_PE*I190)))+ROW()/1000000</f>
        <v/>
      </c>
      <c r="AA190" s="270">
        <f>Database!B179</f>
        <v/>
      </c>
      <c r="AB190" s="270">
        <f>Database!D179</f>
        <v/>
      </c>
      <c r="AC190" s="270">
        <f>Database!E179</f>
        <v/>
      </c>
      <c r="AD190" s="270">
        <f>Database!I179</f>
        <v/>
      </c>
      <c r="AE190" s="270">
        <f>Database!BG179</f>
        <v/>
      </c>
      <c r="AF190" s="270">
        <f>Database!BM179</f>
        <v/>
      </c>
      <c r="AG190" s="270">
        <f>Database!H179</f>
        <v/>
      </c>
      <c r="AH190" s="270">
        <f>Database!BH179</f>
        <v/>
      </c>
    </row>
    <row r="191">
      <c r="A191" s="270">
        <f>Database!B191</f>
        <v/>
      </c>
      <c r="B191" s="270">
        <f>IF(AND(Screener!$D$8&lt;&gt;"",Database!$E191=Screener!$D$8),1,0)</f>
        <v/>
      </c>
      <c r="C191" s="270">
        <f>IF(AND(Screener!$D$7&lt;&gt;"",Database!$D191=Screener!$D$7),1,0)</f>
        <v/>
      </c>
      <c r="D191" s="270">
        <f>IF(OR(N(Database!$I191)&lt;=0,N(Screener!$D$9)&lt;=0),0,MAX(0,1-ABS(LOG10(N(Database!$I191)/Screener!$D$9))/W_SIZEHW))</f>
        <v/>
      </c>
      <c r="E191" s="270">
        <f>IF(OR(Database!$BG191="",Screener!$D$10=""),0,IF(Database!$BG191=Screener!$D$10,1,0))</f>
        <v/>
      </c>
      <c r="F191" s="270">
        <f>IF(OR(Database!$BM191="",Screener!$D$11=""),0,IF(Database!$BM191=Screener!$D$11,1,0))</f>
        <v/>
      </c>
      <c r="G191" s="270">
        <f>IF(OR(Database!$H191="",N(Screener!$D$12)&lt;=0),0,MAX(0,1-(N(Screener!$D$12)-Database!$H191)/W_RECD))</f>
        <v/>
      </c>
      <c r="H191" s="270">
        <f>IF($U$1="",0,N(ISNUMBER(SEARCH($U$1,Database!$AC191&amp;""))))+IF($V$1="",0,N(ISNUMBER(SEARCH($V$1,Database!$AC191&amp;""))))+IF($W$1="",0,N(ISNUMBER(SEARCH($W$1,Database!$AC191&amp;""))))+IF($X$1="",0,N(ISNUMBER(SEARCH($X$1,Database!$AC191&amp;""))))+IF($Y$1="",0,N(ISNUMBER(SEARCH($Y$1,Database!$AC191&amp;""))))+IF(Screener!$B$17="",0,N(ISNUMBER(SEARCH(LOWER(Screener!$B$17),Database!$AC191&amp;""))))</f>
        <v/>
      </c>
      <c r="I191" s="270">
        <f>IF(OR(N(Database!$BH191)&lt;=0,N(Screener!$D$13)&lt;=0),0,MAX(0,1-ABS(LOG10(N(Database!$BH191)/Screener!$D$13))/W_PEHW))</f>
        <v/>
      </c>
      <c r="J191" s="270">
        <f>IF(OR(N(Database!$S191)&lt;=0,N(Screener!$D$14)&lt;=0),0,MAX(0,1-ABS(LOG10(Database!$S191/Screener!$D$14))/0.6))</f>
        <v/>
      </c>
      <c r="K191" s="270">
        <f>IF(Database!$B191=Screener!$B$5,-999999,IF(ISNUMBER(SEARCH(","&amp;Database!$A191&amp;",",","&amp;SUBSTITUTE(Screener!$D$17," ","")&amp;",")),2000000,IF(IF(OR(Screener!$B$18="All",AND(Screener!$B$18="With A-share",(Database!$BM191="Y")),AND(Screener!$B$18="Without A-share",NOT((Database!$BM191="Y")))),1,0)=0,-999999,IF(Screener!$B$16="cornerstone overlap first",H191*100000,IF(Screener!$B$16="demand-similar first",J191*100000,0))+W_SUB*B191+W_SEC*C191*(1-B191)+W_SIZE*D191+W_PROF*E191+W_AH*F191+W_REC*G191+W_CS*H191+W_PE*I191)))+ROW()/1000000</f>
        <v/>
      </c>
      <c r="AA191" s="270">
        <f>Database!B180</f>
        <v/>
      </c>
      <c r="AB191" s="270">
        <f>Database!D180</f>
        <v/>
      </c>
      <c r="AC191" s="270">
        <f>Database!E180</f>
        <v/>
      </c>
      <c r="AD191" s="270">
        <f>Database!I180</f>
        <v/>
      </c>
      <c r="AE191" s="270">
        <f>Database!BG180</f>
        <v/>
      </c>
      <c r="AF191" s="270">
        <f>Database!BM180</f>
        <v/>
      </c>
      <c r="AG191" s="270">
        <f>Database!H180</f>
        <v/>
      </c>
      <c r="AH191" s="270">
        <f>Database!BH180</f>
        <v/>
      </c>
    </row>
    <row r="192">
      <c r="A192" s="270">
        <f>Database!B192</f>
        <v/>
      </c>
      <c r="B192" s="270">
        <f>IF(AND(Screener!$D$8&lt;&gt;"",Database!$E192=Screener!$D$8),1,0)</f>
        <v/>
      </c>
      <c r="C192" s="270">
        <f>IF(AND(Screener!$D$7&lt;&gt;"",Database!$D192=Screener!$D$7),1,0)</f>
        <v/>
      </c>
      <c r="D192" s="270">
        <f>IF(OR(N(Database!$I192)&lt;=0,N(Screener!$D$9)&lt;=0),0,MAX(0,1-ABS(LOG10(N(Database!$I192)/Screener!$D$9))/W_SIZEHW))</f>
        <v/>
      </c>
      <c r="E192" s="270">
        <f>IF(OR(Database!$BG192="",Screener!$D$10=""),0,IF(Database!$BG192=Screener!$D$10,1,0))</f>
        <v/>
      </c>
      <c r="F192" s="270">
        <f>IF(OR(Database!$BM192="",Screener!$D$11=""),0,IF(Database!$BM192=Screener!$D$11,1,0))</f>
        <v/>
      </c>
      <c r="G192" s="270">
        <f>IF(OR(Database!$H192="",N(Screener!$D$12)&lt;=0),0,MAX(0,1-(N(Screener!$D$12)-Database!$H192)/W_RECD))</f>
        <v/>
      </c>
      <c r="H192" s="270">
        <f>IF($U$1="",0,N(ISNUMBER(SEARCH($U$1,Database!$AC192&amp;""))))+IF($V$1="",0,N(ISNUMBER(SEARCH($V$1,Database!$AC192&amp;""))))+IF($W$1="",0,N(ISNUMBER(SEARCH($W$1,Database!$AC192&amp;""))))+IF($X$1="",0,N(ISNUMBER(SEARCH($X$1,Database!$AC192&amp;""))))+IF($Y$1="",0,N(ISNUMBER(SEARCH($Y$1,Database!$AC192&amp;""))))+IF(Screener!$B$17="",0,N(ISNUMBER(SEARCH(LOWER(Screener!$B$17),Database!$AC192&amp;""))))</f>
        <v/>
      </c>
      <c r="I192" s="270">
        <f>IF(OR(N(Database!$BH192)&lt;=0,N(Screener!$D$13)&lt;=0),0,MAX(0,1-ABS(LOG10(N(Database!$BH192)/Screener!$D$13))/W_PEHW))</f>
        <v/>
      </c>
      <c r="J192" s="270">
        <f>IF(OR(N(Database!$S192)&lt;=0,N(Screener!$D$14)&lt;=0),0,MAX(0,1-ABS(LOG10(Database!$S192/Screener!$D$14))/0.6))</f>
        <v/>
      </c>
      <c r="K192" s="270">
        <f>IF(Database!$B192=Screener!$B$5,-999999,IF(ISNUMBER(SEARCH(","&amp;Database!$A192&amp;",",","&amp;SUBSTITUTE(Screener!$D$17," ","")&amp;",")),2000000,IF(IF(OR(Screener!$B$18="All",AND(Screener!$B$18="With A-share",(Database!$BM192="Y")),AND(Screener!$B$18="Without A-share",NOT((Database!$BM192="Y")))),1,0)=0,-999999,IF(Screener!$B$16="cornerstone overlap first",H192*100000,IF(Screener!$B$16="demand-similar first",J192*100000,0))+W_SUB*B192+W_SEC*C192*(1-B192)+W_SIZE*D192+W_PROF*E192+W_AH*F192+W_REC*G192+W_CS*H192+W_PE*I192)))+ROW()/1000000</f>
        <v/>
      </c>
      <c r="AA192" s="270">
        <f>Database!B181</f>
        <v/>
      </c>
      <c r="AB192" s="270">
        <f>Database!D181</f>
        <v/>
      </c>
      <c r="AC192" s="270">
        <f>Database!E181</f>
        <v/>
      </c>
      <c r="AD192" s="270">
        <f>Database!I181</f>
        <v/>
      </c>
      <c r="AE192" s="270">
        <f>Database!BG181</f>
        <v/>
      </c>
      <c r="AF192" s="270">
        <f>Database!BM181</f>
        <v/>
      </c>
      <c r="AG192" s="270">
        <f>Database!H181</f>
        <v/>
      </c>
      <c r="AH192" s="270">
        <f>Database!BH181</f>
        <v/>
      </c>
    </row>
    <row r="193">
      <c r="A193" s="270">
        <f>Database!B193</f>
        <v/>
      </c>
      <c r="B193" s="270">
        <f>IF(AND(Screener!$D$8&lt;&gt;"",Database!$E193=Screener!$D$8),1,0)</f>
        <v/>
      </c>
      <c r="C193" s="270">
        <f>IF(AND(Screener!$D$7&lt;&gt;"",Database!$D193=Screener!$D$7),1,0)</f>
        <v/>
      </c>
      <c r="D193" s="270">
        <f>IF(OR(N(Database!$I193)&lt;=0,N(Screener!$D$9)&lt;=0),0,MAX(0,1-ABS(LOG10(N(Database!$I193)/Screener!$D$9))/W_SIZEHW))</f>
        <v/>
      </c>
      <c r="E193" s="270">
        <f>IF(OR(Database!$BG193="",Screener!$D$10=""),0,IF(Database!$BG193=Screener!$D$10,1,0))</f>
        <v/>
      </c>
      <c r="F193" s="270">
        <f>IF(OR(Database!$BM193="",Screener!$D$11=""),0,IF(Database!$BM193=Screener!$D$11,1,0))</f>
        <v/>
      </c>
      <c r="G193" s="270">
        <f>IF(OR(Database!$H193="",N(Screener!$D$12)&lt;=0),0,MAX(0,1-(N(Screener!$D$12)-Database!$H193)/W_RECD))</f>
        <v/>
      </c>
      <c r="H193" s="270">
        <f>IF($U$1="",0,N(ISNUMBER(SEARCH($U$1,Database!$AC193&amp;""))))+IF($V$1="",0,N(ISNUMBER(SEARCH($V$1,Database!$AC193&amp;""))))+IF($W$1="",0,N(ISNUMBER(SEARCH($W$1,Database!$AC193&amp;""))))+IF($X$1="",0,N(ISNUMBER(SEARCH($X$1,Database!$AC193&amp;""))))+IF($Y$1="",0,N(ISNUMBER(SEARCH($Y$1,Database!$AC193&amp;""))))+IF(Screener!$B$17="",0,N(ISNUMBER(SEARCH(LOWER(Screener!$B$17),Database!$AC193&amp;""))))</f>
        <v/>
      </c>
      <c r="I193" s="270">
        <f>IF(OR(N(Database!$BH193)&lt;=0,N(Screener!$D$13)&lt;=0),0,MAX(0,1-ABS(LOG10(N(Database!$BH193)/Screener!$D$13))/W_PEHW))</f>
        <v/>
      </c>
      <c r="J193" s="270">
        <f>IF(OR(N(Database!$S193)&lt;=0,N(Screener!$D$14)&lt;=0),0,MAX(0,1-ABS(LOG10(Database!$S193/Screener!$D$14))/0.6))</f>
        <v/>
      </c>
      <c r="K193" s="270">
        <f>IF(Database!$B193=Screener!$B$5,-999999,IF(ISNUMBER(SEARCH(","&amp;Database!$A193&amp;",",","&amp;SUBSTITUTE(Screener!$D$17," ","")&amp;",")),2000000,IF(IF(OR(Screener!$B$18="All",AND(Screener!$B$18="With A-share",(Database!$BM193="Y")),AND(Screener!$B$18="Without A-share",NOT((Database!$BM193="Y")))),1,0)=0,-999999,IF(Screener!$B$16="cornerstone overlap first",H193*100000,IF(Screener!$B$16="demand-similar first",J193*100000,0))+W_SUB*B193+W_SEC*C193*(1-B193)+W_SIZE*D193+W_PROF*E193+W_AH*F193+W_REC*G193+W_CS*H193+W_PE*I193)))+ROW()/1000000</f>
        <v/>
      </c>
      <c r="AA193" s="270">
        <f>Database!B182</f>
        <v/>
      </c>
      <c r="AB193" s="270">
        <f>Database!D182</f>
        <v/>
      </c>
      <c r="AC193" s="270">
        <f>Database!E182</f>
        <v/>
      </c>
      <c r="AD193" s="270">
        <f>Database!I182</f>
        <v/>
      </c>
      <c r="AE193" s="270">
        <f>Database!BG182</f>
        <v/>
      </c>
      <c r="AF193" s="270">
        <f>Database!BM182</f>
        <v/>
      </c>
      <c r="AG193" s="270">
        <f>Database!H182</f>
        <v/>
      </c>
      <c r="AH193" s="270">
        <f>Database!BH182</f>
        <v/>
      </c>
    </row>
    <row r="194">
      <c r="A194" s="270">
        <f>Database!B194</f>
        <v/>
      </c>
      <c r="B194" s="270">
        <f>IF(AND(Screener!$D$8&lt;&gt;"",Database!$E194=Screener!$D$8),1,0)</f>
        <v/>
      </c>
      <c r="C194" s="270">
        <f>IF(AND(Screener!$D$7&lt;&gt;"",Database!$D194=Screener!$D$7),1,0)</f>
        <v/>
      </c>
      <c r="D194" s="270">
        <f>IF(OR(N(Database!$I194)&lt;=0,N(Screener!$D$9)&lt;=0),0,MAX(0,1-ABS(LOG10(N(Database!$I194)/Screener!$D$9))/W_SIZEHW))</f>
        <v/>
      </c>
      <c r="E194" s="270">
        <f>IF(OR(Database!$BG194="",Screener!$D$10=""),0,IF(Database!$BG194=Screener!$D$10,1,0))</f>
        <v/>
      </c>
      <c r="F194" s="270">
        <f>IF(OR(Database!$BM194="",Screener!$D$11=""),0,IF(Database!$BM194=Screener!$D$11,1,0))</f>
        <v/>
      </c>
      <c r="G194" s="270">
        <f>IF(OR(Database!$H194="",N(Screener!$D$12)&lt;=0),0,MAX(0,1-(N(Screener!$D$12)-Database!$H194)/W_RECD))</f>
        <v/>
      </c>
      <c r="H194" s="270">
        <f>IF($U$1="",0,N(ISNUMBER(SEARCH($U$1,Database!$AC194&amp;""))))+IF($V$1="",0,N(ISNUMBER(SEARCH($V$1,Database!$AC194&amp;""))))+IF($W$1="",0,N(ISNUMBER(SEARCH($W$1,Database!$AC194&amp;""))))+IF($X$1="",0,N(ISNUMBER(SEARCH($X$1,Database!$AC194&amp;""))))+IF($Y$1="",0,N(ISNUMBER(SEARCH($Y$1,Database!$AC194&amp;""))))+IF(Screener!$B$17="",0,N(ISNUMBER(SEARCH(LOWER(Screener!$B$17),Database!$AC194&amp;""))))</f>
        <v/>
      </c>
      <c r="I194" s="270">
        <f>IF(OR(N(Database!$BH194)&lt;=0,N(Screener!$D$13)&lt;=0),0,MAX(0,1-ABS(LOG10(N(Database!$BH194)/Screener!$D$13))/W_PEHW))</f>
        <v/>
      </c>
      <c r="J194" s="270">
        <f>IF(OR(N(Database!$S194)&lt;=0,N(Screener!$D$14)&lt;=0),0,MAX(0,1-ABS(LOG10(Database!$S194/Screener!$D$14))/0.6))</f>
        <v/>
      </c>
      <c r="K194" s="270">
        <f>IF(Database!$B194=Screener!$B$5,-999999,IF(ISNUMBER(SEARCH(","&amp;Database!$A194&amp;",",","&amp;SUBSTITUTE(Screener!$D$17," ","")&amp;",")),2000000,IF(IF(OR(Screener!$B$18="All",AND(Screener!$B$18="With A-share",(Database!$BM194="Y")),AND(Screener!$B$18="Without A-share",NOT((Database!$BM194="Y")))),1,0)=0,-999999,IF(Screener!$B$16="cornerstone overlap first",H194*100000,IF(Screener!$B$16="demand-similar first",J194*100000,0))+W_SUB*B194+W_SEC*C194*(1-B194)+W_SIZE*D194+W_PROF*E194+W_AH*F194+W_REC*G194+W_CS*H194+W_PE*I194)))+ROW()/1000000</f>
        <v/>
      </c>
      <c r="AA194" s="270">
        <f>Database!B183</f>
        <v/>
      </c>
      <c r="AB194" s="270">
        <f>Database!D183</f>
        <v/>
      </c>
      <c r="AC194" s="270">
        <f>Database!E183</f>
        <v/>
      </c>
      <c r="AD194" s="270">
        <f>Database!I183</f>
        <v/>
      </c>
      <c r="AE194" s="270">
        <f>Database!BG183</f>
        <v/>
      </c>
      <c r="AF194" s="270">
        <f>Database!BM183</f>
        <v/>
      </c>
      <c r="AG194" s="270">
        <f>Database!H183</f>
        <v/>
      </c>
      <c r="AH194" s="270">
        <f>Database!BH183</f>
        <v/>
      </c>
    </row>
    <row r="195">
      <c r="A195" s="270">
        <f>Database!B195</f>
        <v/>
      </c>
      <c r="B195" s="270">
        <f>IF(AND(Screener!$D$8&lt;&gt;"",Database!$E195=Screener!$D$8),1,0)</f>
        <v/>
      </c>
      <c r="C195" s="270">
        <f>IF(AND(Screener!$D$7&lt;&gt;"",Database!$D195=Screener!$D$7),1,0)</f>
        <v/>
      </c>
      <c r="D195" s="270">
        <f>IF(OR(N(Database!$I195)&lt;=0,N(Screener!$D$9)&lt;=0),0,MAX(0,1-ABS(LOG10(N(Database!$I195)/Screener!$D$9))/W_SIZEHW))</f>
        <v/>
      </c>
      <c r="E195" s="270">
        <f>IF(OR(Database!$BG195="",Screener!$D$10=""),0,IF(Database!$BG195=Screener!$D$10,1,0))</f>
        <v/>
      </c>
      <c r="F195" s="270">
        <f>IF(OR(Database!$BM195="",Screener!$D$11=""),0,IF(Database!$BM195=Screener!$D$11,1,0))</f>
        <v/>
      </c>
      <c r="G195" s="270">
        <f>IF(OR(Database!$H195="",N(Screener!$D$12)&lt;=0),0,MAX(0,1-(N(Screener!$D$12)-Database!$H195)/W_RECD))</f>
        <v/>
      </c>
      <c r="H195" s="270">
        <f>IF($U$1="",0,N(ISNUMBER(SEARCH($U$1,Database!$AC195&amp;""))))+IF($V$1="",0,N(ISNUMBER(SEARCH($V$1,Database!$AC195&amp;""))))+IF($W$1="",0,N(ISNUMBER(SEARCH($W$1,Database!$AC195&amp;""))))+IF($X$1="",0,N(ISNUMBER(SEARCH($X$1,Database!$AC195&amp;""))))+IF($Y$1="",0,N(ISNUMBER(SEARCH($Y$1,Database!$AC195&amp;""))))+IF(Screener!$B$17="",0,N(ISNUMBER(SEARCH(LOWER(Screener!$B$17),Database!$AC195&amp;""))))</f>
        <v/>
      </c>
      <c r="I195" s="270">
        <f>IF(OR(N(Database!$BH195)&lt;=0,N(Screener!$D$13)&lt;=0),0,MAX(0,1-ABS(LOG10(N(Database!$BH195)/Screener!$D$13))/W_PEHW))</f>
        <v/>
      </c>
      <c r="J195" s="270">
        <f>IF(OR(N(Database!$S195)&lt;=0,N(Screener!$D$14)&lt;=0),0,MAX(0,1-ABS(LOG10(Database!$S195/Screener!$D$14))/0.6))</f>
        <v/>
      </c>
      <c r="K195" s="270">
        <f>IF(Database!$B195=Screener!$B$5,-999999,IF(ISNUMBER(SEARCH(","&amp;Database!$A195&amp;",",","&amp;SUBSTITUTE(Screener!$D$17," ","")&amp;",")),2000000,IF(IF(OR(Screener!$B$18="All",AND(Screener!$B$18="With A-share",(Database!$BM195="Y")),AND(Screener!$B$18="Without A-share",NOT((Database!$BM195="Y")))),1,0)=0,-999999,IF(Screener!$B$16="cornerstone overlap first",H195*100000,IF(Screener!$B$16="demand-similar first",J195*100000,0))+W_SUB*B195+W_SEC*C195*(1-B195)+W_SIZE*D195+W_PROF*E195+W_AH*F195+W_REC*G195+W_CS*H195+W_PE*I195)))+ROW()/1000000</f>
        <v/>
      </c>
      <c r="AA195" s="270">
        <f>Database!B184</f>
        <v/>
      </c>
      <c r="AB195" s="270">
        <f>Database!D184</f>
        <v/>
      </c>
      <c r="AC195" s="270">
        <f>Database!E184</f>
        <v/>
      </c>
      <c r="AD195" s="270">
        <f>Database!I184</f>
        <v/>
      </c>
      <c r="AE195" s="270">
        <f>Database!BG184</f>
        <v/>
      </c>
      <c r="AF195" s="270">
        <f>Database!BM184</f>
        <v/>
      </c>
      <c r="AG195" s="270">
        <f>Database!H184</f>
        <v/>
      </c>
      <c r="AH195" s="270">
        <f>Database!BH184</f>
        <v/>
      </c>
    </row>
    <row r="196">
      <c r="A196" s="270">
        <f>Database!B196</f>
        <v/>
      </c>
      <c r="B196" s="270">
        <f>IF(AND(Screener!$D$8&lt;&gt;"",Database!$E196=Screener!$D$8),1,0)</f>
        <v/>
      </c>
      <c r="C196" s="270">
        <f>IF(AND(Screener!$D$7&lt;&gt;"",Database!$D196=Screener!$D$7),1,0)</f>
        <v/>
      </c>
      <c r="D196" s="270">
        <f>IF(OR(N(Database!$I196)&lt;=0,N(Screener!$D$9)&lt;=0),0,MAX(0,1-ABS(LOG10(N(Database!$I196)/Screener!$D$9))/W_SIZEHW))</f>
        <v/>
      </c>
      <c r="E196" s="270">
        <f>IF(OR(Database!$BG196="",Screener!$D$10=""),0,IF(Database!$BG196=Screener!$D$10,1,0))</f>
        <v/>
      </c>
      <c r="F196" s="270">
        <f>IF(OR(Database!$BM196="",Screener!$D$11=""),0,IF(Database!$BM196=Screener!$D$11,1,0))</f>
        <v/>
      </c>
      <c r="G196" s="270">
        <f>IF(OR(Database!$H196="",N(Screener!$D$12)&lt;=0),0,MAX(0,1-(N(Screener!$D$12)-Database!$H196)/W_RECD))</f>
        <v/>
      </c>
      <c r="H196" s="270">
        <f>IF($U$1="",0,N(ISNUMBER(SEARCH($U$1,Database!$AC196&amp;""))))+IF($V$1="",0,N(ISNUMBER(SEARCH($V$1,Database!$AC196&amp;""))))+IF($W$1="",0,N(ISNUMBER(SEARCH($W$1,Database!$AC196&amp;""))))+IF($X$1="",0,N(ISNUMBER(SEARCH($X$1,Database!$AC196&amp;""))))+IF($Y$1="",0,N(ISNUMBER(SEARCH($Y$1,Database!$AC196&amp;""))))+IF(Screener!$B$17="",0,N(ISNUMBER(SEARCH(LOWER(Screener!$B$17),Database!$AC196&amp;""))))</f>
        <v/>
      </c>
      <c r="I196" s="270">
        <f>IF(OR(N(Database!$BH196)&lt;=0,N(Screener!$D$13)&lt;=0),0,MAX(0,1-ABS(LOG10(N(Database!$BH196)/Screener!$D$13))/W_PEHW))</f>
        <v/>
      </c>
      <c r="J196" s="270">
        <f>IF(OR(N(Database!$S196)&lt;=0,N(Screener!$D$14)&lt;=0),0,MAX(0,1-ABS(LOG10(Database!$S196/Screener!$D$14))/0.6))</f>
        <v/>
      </c>
      <c r="K196" s="270">
        <f>IF(Database!$B196=Screener!$B$5,-999999,IF(ISNUMBER(SEARCH(","&amp;Database!$A196&amp;",",","&amp;SUBSTITUTE(Screener!$D$17," ","")&amp;",")),2000000,IF(IF(OR(Screener!$B$18="All",AND(Screener!$B$18="With A-share",(Database!$BM196="Y")),AND(Screener!$B$18="Without A-share",NOT((Database!$BM196="Y")))),1,0)=0,-999999,IF(Screener!$B$16="cornerstone overlap first",H196*100000,IF(Screener!$B$16="demand-similar first",J196*100000,0))+W_SUB*B196+W_SEC*C196*(1-B196)+W_SIZE*D196+W_PROF*E196+W_AH*F196+W_REC*G196+W_CS*H196+W_PE*I196)))+ROW()/1000000</f>
        <v/>
      </c>
      <c r="AA196" s="270">
        <f>Database!B185</f>
        <v/>
      </c>
      <c r="AB196" s="270">
        <f>Database!D185</f>
        <v/>
      </c>
      <c r="AC196" s="270">
        <f>Database!E185</f>
        <v/>
      </c>
      <c r="AD196" s="270">
        <f>Database!I185</f>
        <v/>
      </c>
      <c r="AE196" s="270">
        <f>Database!BG185</f>
        <v/>
      </c>
      <c r="AF196" s="270">
        <f>Database!BM185</f>
        <v/>
      </c>
      <c r="AG196" s="270">
        <f>Database!H185</f>
        <v/>
      </c>
      <c r="AH196" s="270">
        <f>Database!BH185</f>
        <v/>
      </c>
    </row>
    <row r="197">
      <c r="A197" s="270">
        <f>Database!B197</f>
        <v/>
      </c>
      <c r="B197" s="270">
        <f>IF(AND(Screener!$D$8&lt;&gt;"",Database!$E197=Screener!$D$8),1,0)</f>
        <v/>
      </c>
      <c r="C197" s="270">
        <f>IF(AND(Screener!$D$7&lt;&gt;"",Database!$D197=Screener!$D$7),1,0)</f>
        <v/>
      </c>
      <c r="D197" s="270">
        <f>IF(OR(N(Database!$I197)&lt;=0,N(Screener!$D$9)&lt;=0),0,MAX(0,1-ABS(LOG10(N(Database!$I197)/Screener!$D$9))/W_SIZEHW))</f>
        <v/>
      </c>
      <c r="E197" s="270">
        <f>IF(OR(Database!$BG197="",Screener!$D$10=""),0,IF(Database!$BG197=Screener!$D$10,1,0))</f>
        <v/>
      </c>
      <c r="F197" s="270">
        <f>IF(OR(Database!$BM197="",Screener!$D$11=""),0,IF(Database!$BM197=Screener!$D$11,1,0))</f>
        <v/>
      </c>
      <c r="G197" s="270">
        <f>IF(OR(Database!$H197="",N(Screener!$D$12)&lt;=0),0,MAX(0,1-(N(Screener!$D$12)-Database!$H197)/W_RECD))</f>
        <v/>
      </c>
      <c r="H197" s="270">
        <f>IF($U$1="",0,N(ISNUMBER(SEARCH($U$1,Database!$AC197&amp;""))))+IF($V$1="",0,N(ISNUMBER(SEARCH($V$1,Database!$AC197&amp;""))))+IF($W$1="",0,N(ISNUMBER(SEARCH($W$1,Database!$AC197&amp;""))))+IF($X$1="",0,N(ISNUMBER(SEARCH($X$1,Database!$AC197&amp;""))))+IF($Y$1="",0,N(ISNUMBER(SEARCH($Y$1,Database!$AC197&amp;""))))+IF(Screener!$B$17="",0,N(ISNUMBER(SEARCH(LOWER(Screener!$B$17),Database!$AC197&amp;""))))</f>
        <v/>
      </c>
      <c r="I197" s="270">
        <f>IF(OR(N(Database!$BH197)&lt;=0,N(Screener!$D$13)&lt;=0),0,MAX(0,1-ABS(LOG10(N(Database!$BH197)/Screener!$D$13))/W_PEHW))</f>
        <v/>
      </c>
      <c r="J197" s="270">
        <f>IF(OR(N(Database!$S197)&lt;=0,N(Screener!$D$14)&lt;=0),0,MAX(0,1-ABS(LOG10(Database!$S197/Screener!$D$14))/0.6))</f>
        <v/>
      </c>
      <c r="K197" s="270">
        <f>IF(Database!$B197=Screener!$B$5,-999999,IF(ISNUMBER(SEARCH(","&amp;Database!$A197&amp;",",","&amp;SUBSTITUTE(Screener!$D$17," ","")&amp;",")),2000000,IF(IF(OR(Screener!$B$18="All",AND(Screener!$B$18="With A-share",(Database!$BM197="Y")),AND(Screener!$B$18="Without A-share",NOT((Database!$BM197="Y")))),1,0)=0,-999999,IF(Screener!$B$16="cornerstone overlap first",H197*100000,IF(Screener!$B$16="demand-similar first",J197*100000,0))+W_SUB*B197+W_SEC*C197*(1-B197)+W_SIZE*D197+W_PROF*E197+W_AH*F197+W_REC*G197+W_CS*H197+W_PE*I197)))+ROW()/1000000</f>
        <v/>
      </c>
      <c r="AA197" s="270">
        <f>Database!B186</f>
        <v/>
      </c>
      <c r="AB197" s="270">
        <f>Database!D186</f>
        <v/>
      </c>
      <c r="AC197" s="270">
        <f>Database!E186</f>
        <v/>
      </c>
      <c r="AD197" s="270">
        <f>Database!I186</f>
        <v/>
      </c>
      <c r="AE197" s="270">
        <f>Database!BG186</f>
        <v/>
      </c>
      <c r="AF197" s="270">
        <f>Database!BM186</f>
        <v/>
      </c>
      <c r="AG197" s="270">
        <f>Database!H186</f>
        <v/>
      </c>
      <c r="AH197" s="270">
        <f>Database!BH186</f>
        <v/>
      </c>
    </row>
    <row r="198">
      <c r="A198" s="270">
        <f>Database!B198</f>
        <v/>
      </c>
      <c r="B198" s="270">
        <f>IF(AND(Screener!$D$8&lt;&gt;"",Database!$E198=Screener!$D$8),1,0)</f>
        <v/>
      </c>
      <c r="C198" s="270">
        <f>IF(AND(Screener!$D$7&lt;&gt;"",Database!$D198=Screener!$D$7),1,0)</f>
        <v/>
      </c>
      <c r="D198" s="270">
        <f>IF(OR(N(Database!$I198)&lt;=0,N(Screener!$D$9)&lt;=0),0,MAX(0,1-ABS(LOG10(N(Database!$I198)/Screener!$D$9))/W_SIZEHW))</f>
        <v/>
      </c>
      <c r="E198" s="270">
        <f>IF(OR(Database!$BG198="",Screener!$D$10=""),0,IF(Database!$BG198=Screener!$D$10,1,0))</f>
        <v/>
      </c>
      <c r="F198" s="270">
        <f>IF(OR(Database!$BM198="",Screener!$D$11=""),0,IF(Database!$BM198=Screener!$D$11,1,0))</f>
        <v/>
      </c>
      <c r="G198" s="270">
        <f>IF(OR(Database!$H198="",N(Screener!$D$12)&lt;=0),0,MAX(0,1-(N(Screener!$D$12)-Database!$H198)/W_RECD))</f>
        <v/>
      </c>
      <c r="H198" s="270">
        <f>IF($U$1="",0,N(ISNUMBER(SEARCH($U$1,Database!$AC198&amp;""))))+IF($V$1="",0,N(ISNUMBER(SEARCH($V$1,Database!$AC198&amp;""))))+IF($W$1="",0,N(ISNUMBER(SEARCH($W$1,Database!$AC198&amp;""))))+IF($X$1="",0,N(ISNUMBER(SEARCH($X$1,Database!$AC198&amp;""))))+IF($Y$1="",0,N(ISNUMBER(SEARCH($Y$1,Database!$AC198&amp;""))))+IF(Screener!$B$17="",0,N(ISNUMBER(SEARCH(LOWER(Screener!$B$17),Database!$AC198&amp;""))))</f>
        <v/>
      </c>
      <c r="I198" s="270">
        <f>IF(OR(N(Database!$BH198)&lt;=0,N(Screener!$D$13)&lt;=0),0,MAX(0,1-ABS(LOG10(N(Database!$BH198)/Screener!$D$13))/W_PEHW))</f>
        <v/>
      </c>
      <c r="J198" s="270">
        <f>IF(OR(N(Database!$S198)&lt;=0,N(Screener!$D$14)&lt;=0),0,MAX(0,1-ABS(LOG10(Database!$S198/Screener!$D$14))/0.6))</f>
        <v/>
      </c>
      <c r="K198" s="270">
        <f>IF(Database!$B198=Screener!$B$5,-999999,IF(ISNUMBER(SEARCH(","&amp;Database!$A198&amp;",",","&amp;SUBSTITUTE(Screener!$D$17," ","")&amp;",")),2000000,IF(IF(OR(Screener!$B$18="All",AND(Screener!$B$18="With A-share",(Database!$BM198="Y")),AND(Screener!$B$18="Without A-share",NOT((Database!$BM198="Y")))),1,0)=0,-999999,IF(Screener!$B$16="cornerstone overlap first",H198*100000,IF(Screener!$B$16="demand-similar first",J198*100000,0))+W_SUB*B198+W_SEC*C198*(1-B198)+W_SIZE*D198+W_PROF*E198+W_AH*F198+W_REC*G198+W_CS*H198+W_PE*I198)))+ROW()/1000000</f>
        <v/>
      </c>
      <c r="AA198" s="270">
        <f>Database!B187</f>
        <v/>
      </c>
      <c r="AB198" s="270">
        <f>Database!D187</f>
        <v/>
      </c>
      <c r="AC198" s="270">
        <f>Database!E187</f>
        <v/>
      </c>
      <c r="AD198" s="270">
        <f>Database!I187</f>
        <v/>
      </c>
      <c r="AE198" s="270">
        <f>Database!BG187</f>
        <v/>
      </c>
      <c r="AF198" s="270">
        <f>Database!BM187</f>
        <v/>
      </c>
      <c r="AG198" s="270">
        <f>Database!H187</f>
        <v/>
      </c>
      <c r="AH198" s="270">
        <f>Database!BH187</f>
        <v/>
      </c>
    </row>
    <row r="199">
      <c r="A199" s="270">
        <f>Database!B199</f>
        <v/>
      </c>
      <c r="B199" s="270">
        <f>IF(AND(Screener!$D$8&lt;&gt;"",Database!$E199=Screener!$D$8),1,0)</f>
        <v/>
      </c>
      <c r="C199" s="270">
        <f>IF(AND(Screener!$D$7&lt;&gt;"",Database!$D199=Screener!$D$7),1,0)</f>
        <v/>
      </c>
      <c r="D199" s="270">
        <f>IF(OR(N(Database!$I199)&lt;=0,N(Screener!$D$9)&lt;=0),0,MAX(0,1-ABS(LOG10(N(Database!$I199)/Screener!$D$9))/W_SIZEHW))</f>
        <v/>
      </c>
      <c r="E199" s="270">
        <f>IF(OR(Database!$BG199="",Screener!$D$10=""),0,IF(Database!$BG199=Screener!$D$10,1,0))</f>
        <v/>
      </c>
      <c r="F199" s="270">
        <f>IF(OR(Database!$BM199="",Screener!$D$11=""),0,IF(Database!$BM199=Screener!$D$11,1,0))</f>
        <v/>
      </c>
      <c r="G199" s="270">
        <f>IF(OR(Database!$H199="",N(Screener!$D$12)&lt;=0),0,MAX(0,1-(N(Screener!$D$12)-Database!$H199)/W_RECD))</f>
        <v/>
      </c>
      <c r="H199" s="270">
        <f>IF($U$1="",0,N(ISNUMBER(SEARCH($U$1,Database!$AC199&amp;""))))+IF($V$1="",0,N(ISNUMBER(SEARCH($V$1,Database!$AC199&amp;""))))+IF($W$1="",0,N(ISNUMBER(SEARCH($W$1,Database!$AC199&amp;""))))+IF($X$1="",0,N(ISNUMBER(SEARCH($X$1,Database!$AC199&amp;""))))+IF($Y$1="",0,N(ISNUMBER(SEARCH($Y$1,Database!$AC199&amp;""))))+IF(Screener!$B$17="",0,N(ISNUMBER(SEARCH(LOWER(Screener!$B$17),Database!$AC199&amp;""))))</f>
        <v/>
      </c>
      <c r="I199" s="270">
        <f>IF(OR(N(Database!$BH199)&lt;=0,N(Screener!$D$13)&lt;=0),0,MAX(0,1-ABS(LOG10(N(Database!$BH199)/Screener!$D$13))/W_PEHW))</f>
        <v/>
      </c>
      <c r="J199" s="270">
        <f>IF(OR(N(Database!$S199)&lt;=0,N(Screener!$D$14)&lt;=0),0,MAX(0,1-ABS(LOG10(Database!$S199/Screener!$D$14))/0.6))</f>
        <v/>
      </c>
      <c r="K199" s="270">
        <f>IF(Database!$B199=Screener!$B$5,-999999,IF(ISNUMBER(SEARCH(","&amp;Database!$A199&amp;",",","&amp;SUBSTITUTE(Screener!$D$17," ","")&amp;",")),2000000,IF(IF(OR(Screener!$B$18="All",AND(Screener!$B$18="With A-share",(Database!$BM199="Y")),AND(Screener!$B$18="Without A-share",NOT((Database!$BM199="Y")))),1,0)=0,-999999,IF(Screener!$B$16="cornerstone overlap first",H199*100000,IF(Screener!$B$16="demand-similar first",J199*100000,0))+W_SUB*B199+W_SEC*C199*(1-B199)+W_SIZE*D199+W_PROF*E199+W_AH*F199+W_REC*G199+W_CS*H199+W_PE*I199)))+ROW()/1000000</f>
        <v/>
      </c>
      <c r="AA199" s="270">
        <f>Database!B188</f>
        <v/>
      </c>
      <c r="AB199" s="270">
        <f>Database!D188</f>
        <v/>
      </c>
      <c r="AC199" s="270">
        <f>Database!E188</f>
        <v/>
      </c>
      <c r="AD199" s="270">
        <f>Database!I188</f>
        <v/>
      </c>
      <c r="AE199" s="270">
        <f>Database!BG188</f>
        <v/>
      </c>
      <c r="AF199" s="270">
        <f>Database!BM188</f>
        <v/>
      </c>
      <c r="AG199" s="270">
        <f>Database!H188</f>
        <v/>
      </c>
      <c r="AH199" s="270">
        <f>Database!BH188</f>
        <v/>
      </c>
    </row>
    <row r="200">
      <c r="A200" s="270">
        <f>Database!B200</f>
        <v/>
      </c>
      <c r="B200" s="270">
        <f>IF(AND(Screener!$D$8&lt;&gt;"",Database!$E200=Screener!$D$8),1,0)</f>
        <v/>
      </c>
      <c r="C200" s="270">
        <f>IF(AND(Screener!$D$7&lt;&gt;"",Database!$D200=Screener!$D$7),1,0)</f>
        <v/>
      </c>
      <c r="D200" s="270">
        <f>IF(OR(N(Database!$I200)&lt;=0,N(Screener!$D$9)&lt;=0),0,MAX(0,1-ABS(LOG10(N(Database!$I200)/Screener!$D$9))/W_SIZEHW))</f>
        <v/>
      </c>
      <c r="E200" s="270">
        <f>IF(OR(Database!$BG200="",Screener!$D$10=""),0,IF(Database!$BG200=Screener!$D$10,1,0))</f>
        <v/>
      </c>
      <c r="F200" s="270">
        <f>IF(OR(Database!$BM200="",Screener!$D$11=""),0,IF(Database!$BM200=Screener!$D$11,1,0))</f>
        <v/>
      </c>
      <c r="G200" s="270">
        <f>IF(OR(Database!$H200="",N(Screener!$D$12)&lt;=0),0,MAX(0,1-(N(Screener!$D$12)-Database!$H200)/W_RECD))</f>
        <v/>
      </c>
      <c r="H200" s="270">
        <f>IF($U$1="",0,N(ISNUMBER(SEARCH($U$1,Database!$AC200&amp;""))))+IF($V$1="",0,N(ISNUMBER(SEARCH($V$1,Database!$AC200&amp;""))))+IF($W$1="",0,N(ISNUMBER(SEARCH($W$1,Database!$AC200&amp;""))))+IF($X$1="",0,N(ISNUMBER(SEARCH($X$1,Database!$AC200&amp;""))))+IF($Y$1="",0,N(ISNUMBER(SEARCH($Y$1,Database!$AC200&amp;""))))+IF(Screener!$B$17="",0,N(ISNUMBER(SEARCH(LOWER(Screener!$B$17),Database!$AC200&amp;""))))</f>
        <v/>
      </c>
      <c r="I200" s="270">
        <f>IF(OR(N(Database!$BH200)&lt;=0,N(Screener!$D$13)&lt;=0),0,MAX(0,1-ABS(LOG10(N(Database!$BH200)/Screener!$D$13))/W_PEHW))</f>
        <v/>
      </c>
      <c r="J200" s="270">
        <f>IF(OR(N(Database!$S200)&lt;=0,N(Screener!$D$14)&lt;=0),0,MAX(0,1-ABS(LOG10(Database!$S200/Screener!$D$14))/0.6))</f>
        <v/>
      </c>
      <c r="K200" s="270">
        <f>IF(Database!$B200=Screener!$B$5,-999999,IF(ISNUMBER(SEARCH(","&amp;Database!$A200&amp;",",","&amp;SUBSTITUTE(Screener!$D$17," ","")&amp;",")),2000000,IF(IF(OR(Screener!$B$18="All",AND(Screener!$B$18="With A-share",(Database!$BM200="Y")),AND(Screener!$B$18="Without A-share",NOT((Database!$BM200="Y")))),1,0)=0,-999999,IF(Screener!$B$16="cornerstone overlap first",H200*100000,IF(Screener!$B$16="demand-similar first",J200*100000,0))+W_SUB*B200+W_SEC*C200*(1-B200)+W_SIZE*D200+W_PROF*E200+W_AH*F200+W_REC*G200+W_CS*H200+W_PE*I200)))+ROW()/1000000</f>
        <v/>
      </c>
      <c r="AA200" s="270">
        <f>Database!B189</f>
        <v/>
      </c>
      <c r="AB200" s="270">
        <f>Database!D189</f>
        <v/>
      </c>
      <c r="AC200" s="270">
        <f>Database!E189</f>
        <v/>
      </c>
      <c r="AD200" s="270">
        <f>Database!I189</f>
        <v/>
      </c>
      <c r="AE200" s="270">
        <f>Database!BG189</f>
        <v/>
      </c>
      <c r="AF200" s="270">
        <f>Database!BM189</f>
        <v/>
      </c>
      <c r="AG200" s="270">
        <f>Database!H189</f>
        <v/>
      </c>
      <c r="AH200" s="270">
        <f>Database!BH189</f>
        <v/>
      </c>
    </row>
    <row r="201">
      <c r="A201" s="270">
        <f>Database!B201</f>
        <v/>
      </c>
      <c r="B201" s="270">
        <f>IF(AND(Screener!$D$8&lt;&gt;"",Database!$E201=Screener!$D$8),1,0)</f>
        <v/>
      </c>
      <c r="C201" s="270">
        <f>IF(AND(Screener!$D$7&lt;&gt;"",Database!$D201=Screener!$D$7),1,0)</f>
        <v/>
      </c>
      <c r="D201" s="270">
        <f>IF(OR(N(Database!$I201)&lt;=0,N(Screener!$D$9)&lt;=0),0,MAX(0,1-ABS(LOG10(N(Database!$I201)/Screener!$D$9))/W_SIZEHW))</f>
        <v/>
      </c>
      <c r="E201" s="270">
        <f>IF(OR(Database!$BG201="",Screener!$D$10=""),0,IF(Database!$BG201=Screener!$D$10,1,0))</f>
        <v/>
      </c>
      <c r="F201" s="270">
        <f>IF(OR(Database!$BM201="",Screener!$D$11=""),0,IF(Database!$BM201=Screener!$D$11,1,0))</f>
        <v/>
      </c>
      <c r="G201" s="270">
        <f>IF(OR(Database!$H201="",N(Screener!$D$12)&lt;=0),0,MAX(0,1-(N(Screener!$D$12)-Database!$H201)/W_RECD))</f>
        <v/>
      </c>
      <c r="H201" s="270">
        <f>IF($U$1="",0,N(ISNUMBER(SEARCH($U$1,Database!$AC201&amp;""))))+IF($V$1="",0,N(ISNUMBER(SEARCH($V$1,Database!$AC201&amp;""))))+IF($W$1="",0,N(ISNUMBER(SEARCH($W$1,Database!$AC201&amp;""))))+IF($X$1="",0,N(ISNUMBER(SEARCH($X$1,Database!$AC201&amp;""))))+IF($Y$1="",0,N(ISNUMBER(SEARCH($Y$1,Database!$AC201&amp;""))))+IF(Screener!$B$17="",0,N(ISNUMBER(SEARCH(LOWER(Screener!$B$17),Database!$AC201&amp;""))))</f>
        <v/>
      </c>
      <c r="I201" s="270">
        <f>IF(OR(N(Database!$BH201)&lt;=0,N(Screener!$D$13)&lt;=0),0,MAX(0,1-ABS(LOG10(N(Database!$BH201)/Screener!$D$13))/W_PEHW))</f>
        <v/>
      </c>
      <c r="J201" s="270">
        <f>IF(OR(N(Database!$S201)&lt;=0,N(Screener!$D$14)&lt;=0),0,MAX(0,1-ABS(LOG10(Database!$S201/Screener!$D$14))/0.6))</f>
        <v/>
      </c>
      <c r="K201" s="270">
        <f>IF(Database!$B201=Screener!$B$5,-999999,IF(ISNUMBER(SEARCH(","&amp;Database!$A201&amp;",",","&amp;SUBSTITUTE(Screener!$D$17," ","")&amp;",")),2000000,IF(IF(OR(Screener!$B$18="All",AND(Screener!$B$18="With A-share",(Database!$BM201="Y")),AND(Screener!$B$18="Without A-share",NOT((Database!$BM201="Y")))),1,0)=0,-999999,IF(Screener!$B$16="cornerstone overlap first",H201*100000,IF(Screener!$B$16="demand-similar first",J201*100000,0))+W_SUB*B201+W_SEC*C201*(1-B201)+W_SIZE*D201+W_PROF*E201+W_AH*F201+W_REC*G201+W_CS*H201+W_PE*I201)))+ROW()/1000000</f>
        <v/>
      </c>
      <c r="AA201" s="270">
        <f>Database!B190</f>
        <v/>
      </c>
      <c r="AB201" s="270">
        <f>Database!D190</f>
        <v/>
      </c>
      <c r="AC201" s="270">
        <f>Database!E190</f>
        <v/>
      </c>
      <c r="AD201" s="270">
        <f>Database!I190</f>
        <v/>
      </c>
      <c r="AE201" s="270">
        <f>Database!BG190</f>
        <v/>
      </c>
      <c r="AF201" s="270">
        <f>Database!BM190</f>
        <v/>
      </c>
      <c r="AG201" s="270">
        <f>Database!H190</f>
        <v/>
      </c>
      <c r="AH201" s="270">
        <f>Database!BH190</f>
        <v/>
      </c>
    </row>
    <row r="202">
      <c r="A202" s="270">
        <f>Database!B202</f>
        <v/>
      </c>
      <c r="B202" s="270">
        <f>IF(AND(Screener!$D$8&lt;&gt;"",Database!$E202=Screener!$D$8),1,0)</f>
        <v/>
      </c>
      <c r="C202" s="270">
        <f>IF(AND(Screener!$D$7&lt;&gt;"",Database!$D202=Screener!$D$7),1,0)</f>
        <v/>
      </c>
      <c r="D202" s="270">
        <f>IF(OR(N(Database!$I202)&lt;=0,N(Screener!$D$9)&lt;=0),0,MAX(0,1-ABS(LOG10(N(Database!$I202)/Screener!$D$9))/W_SIZEHW))</f>
        <v/>
      </c>
      <c r="E202" s="270">
        <f>IF(OR(Database!$BG202="",Screener!$D$10=""),0,IF(Database!$BG202=Screener!$D$10,1,0))</f>
        <v/>
      </c>
      <c r="F202" s="270">
        <f>IF(OR(Database!$BM202="",Screener!$D$11=""),0,IF(Database!$BM202=Screener!$D$11,1,0))</f>
        <v/>
      </c>
      <c r="G202" s="270">
        <f>IF(OR(Database!$H202="",N(Screener!$D$12)&lt;=0),0,MAX(0,1-(N(Screener!$D$12)-Database!$H202)/W_RECD))</f>
        <v/>
      </c>
      <c r="H202" s="270">
        <f>IF($U$1="",0,N(ISNUMBER(SEARCH($U$1,Database!$AC202&amp;""))))+IF($V$1="",0,N(ISNUMBER(SEARCH($V$1,Database!$AC202&amp;""))))+IF($W$1="",0,N(ISNUMBER(SEARCH($W$1,Database!$AC202&amp;""))))+IF($X$1="",0,N(ISNUMBER(SEARCH($X$1,Database!$AC202&amp;""))))+IF($Y$1="",0,N(ISNUMBER(SEARCH($Y$1,Database!$AC202&amp;""))))+IF(Screener!$B$17="",0,N(ISNUMBER(SEARCH(LOWER(Screener!$B$17),Database!$AC202&amp;""))))</f>
        <v/>
      </c>
      <c r="I202" s="270">
        <f>IF(OR(N(Database!$BH202)&lt;=0,N(Screener!$D$13)&lt;=0),0,MAX(0,1-ABS(LOG10(N(Database!$BH202)/Screener!$D$13))/W_PEHW))</f>
        <v/>
      </c>
      <c r="J202" s="270">
        <f>IF(OR(N(Database!$S202)&lt;=0,N(Screener!$D$14)&lt;=0),0,MAX(0,1-ABS(LOG10(Database!$S202/Screener!$D$14))/0.6))</f>
        <v/>
      </c>
      <c r="K202" s="270">
        <f>IF(Database!$B202=Screener!$B$5,-999999,IF(ISNUMBER(SEARCH(","&amp;Database!$A202&amp;",",","&amp;SUBSTITUTE(Screener!$D$17," ","")&amp;",")),2000000,IF(IF(OR(Screener!$B$18="All",AND(Screener!$B$18="With A-share",(Database!$BM202="Y")),AND(Screener!$B$18="Without A-share",NOT((Database!$BM202="Y")))),1,0)=0,-999999,IF(Screener!$B$16="cornerstone overlap first",H202*100000,IF(Screener!$B$16="demand-similar first",J202*100000,0))+W_SUB*B202+W_SEC*C202*(1-B202)+W_SIZE*D202+W_PROF*E202+W_AH*F202+W_REC*G202+W_CS*H202+W_PE*I202)))+ROW()/1000000</f>
        <v/>
      </c>
      <c r="AA202" s="270">
        <f>Database!B191</f>
        <v/>
      </c>
      <c r="AB202" s="270">
        <f>Database!D191</f>
        <v/>
      </c>
      <c r="AC202" s="270">
        <f>Database!E191</f>
        <v/>
      </c>
      <c r="AD202" s="270">
        <f>Database!I191</f>
        <v/>
      </c>
      <c r="AE202" s="270">
        <f>Database!BG191</f>
        <v/>
      </c>
      <c r="AF202" s="270">
        <f>Database!BM191</f>
        <v/>
      </c>
      <c r="AG202" s="270">
        <f>Database!H191</f>
        <v/>
      </c>
      <c r="AH202" s="270">
        <f>Database!BH191</f>
        <v/>
      </c>
    </row>
    <row r="203">
      <c r="A203" s="270">
        <f>Database!B203</f>
        <v/>
      </c>
      <c r="B203" s="270">
        <f>IF(AND(Screener!$D$8&lt;&gt;"",Database!$E203=Screener!$D$8),1,0)</f>
        <v/>
      </c>
      <c r="C203" s="270">
        <f>IF(AND(Screener!$D$7&lt;&gt;"",Database!$D203=Screener!$D$7),1,0)</f>
        <v/>
      </c>
      <c r="D203" s="270">
        <f>IF(OR(N(Database!$I203)&lt;=0,N(Screener!$D$9)&lt;=0),0,MAX(0,1-ABS(LOG10(N(Database!$I203)/Screener!$D$9))/W_SIZEHW))</f>
        <v/>
      </c>
      <c r="E203" s="270">
        <f>IF(OR(Database!$BG203="",Screener!$D$10=""),0,IF(Database!$BG203=Screener!$D$10,1,0))</f>
        <v/>
      </c>
      <c r="F203" s="270">
        <f>IF(OR(Database!$BM203="",Screener!$D$11=""),0,IF(Database!$BM203=Screener!$D$11,1,0))</f>
        <v/>
      </c>
      <c r="G203" s="270">
        <f>IF(OR(Database!$H203="",N(Screener!$D$12)&lt;=0),0,MAX(0,1-(N(Screener!$D$12)-Database!$H203)/W_RECD))</f>
        <v/>
      </c>
      <c r="H203" s="270">
        <f>IF($U$1="",0,N(ISNUMBER(SEARCH($U$1,Database!$AC203&amp;""))))+IF($V$1="",0,N(ISNUMBER(SEARCH($V$1,Database!$AC203&amp;""))))+IF($W$1="",0,N(ISNUMBER(SEARCH($W$1,Database!$AC203&amp;""))))+IF($X$1="",0,N(ISNUMBER(SEARCH($X$1,Database!$AC203&amp;""))))+IF($Y$1="",0,N(ISNUMBER(SEARCH($Y$1,Database!$AC203&amp;""))))+IF(Screener!$B$17="",0,N(ISNUMBER(SEARCH(LOWER(Screener!$B$17),Database!$AC203&amp;""))))</f>
        <v/>
      </c>
      <c r="I203" s="270">
        <f>IF(OR(N(Database!$BH203)&lt;=0,N(Screener!$D$13)&lt;=0),0,MAX(0,1-ABS(LOG10(N(Database!$BH203)/Screener!$D$13))/W_PEHW))</f>
        <v/>
      </c>
      <c r="J203" s="270">
        <f>IF(OR(N(Database!$S203)&lt;=0,N(Screener!$D$14)&lt;=0),0,MAX(0,1-ABS(LOG10(Database!$S203/Screener!$D$14))/0.6))</f>
        <v/>
      </c>
      <c r="K203" s="270">
        <f>IF(Database!$B203=Screener!$B$5,-999999,IF(ISNUMBER(SEARCH(","&amp;Database!$A203&amp;",",","&amp;SUBSTITUTE(Screener!$D$17," ","")&amp;",")),2000000,IF(IF(OR(Screener!$B$18="All",AND(Screener!$B$18="With A-share",(Database!$BM203="Y")),AND(Screener!$B$18="Without A-share",NOT((Database!$BM203="Y")))),1,0)=0,-999999,IF(Screener!$B$16="cornerstone overlap first",H203*100000,IF(Screener!$B$16="demand-similar first",J203*100000,0))+W_SUB*B203+W_SEC*C203*(1-B203)+W_SIZE*D203+W_PROF*E203+W_AH*F203+W_REC*G203+W_CS*H203+W_PE*I203)))+ROW()/1000000</f>
        <v/>
      </c>
      <c r="AA203" s="270">
        <f>Database!B192</f>
        <v/>
      </c>
      <c r="AB203" s="270">
        <f>Database!D192</f>
        <v/>
      </c>
      <c r="AC203" s="270">
        <f>Database!E192</f>
        <v/>
      </c>
      <c r="AD203" s="270">
        <f>Database!I192</f>
        <v/>
      </c>
      <c r="AE203" s="270">
        <f>Database!BG192</f>
        <v/>
      </c>
      <c r="AF203" s="270">
        <f>Database!BM192</f>
        <v/>
      </c>
      <c r="AG203" s="270">
        <f>Database!H192</f>
        <v/>
      </c>
      <c r="AH203" s="270">
        <f>Database!BH192</f>
        <v/>
      </c>
    </row>
    <row r="204">
      <c r="A204" s="270">
        <f>Database!B204</f>
        <v/>
      </c>
      <c r="B204" s="270">
        <f>IF(AND(Screener!$D$8&lt;&gt;"",Database!$E204=Screener!$D$8),1,0)</f>
        <v/>
      </c>
      <c r="C204" s="270">
        <f>IF(AND(Screener!$D$7&lt;&gt;"",Database!$D204=Screener!$D$7),1,0)</f>
        <v/>
      </c>
      <c r="D204" s="270">
        <f>IF(OR(N(Database!$I204)&lt;=0,N(Screener!$D$9)&lt;=0),0,MAX(0,1-ABS(LOG10(N(Database!$I204)/Screener!$D$9))/W_SIZEHW))</f>
        <v/>
      </c>
      <c r="E204" s="270">
        <f>IF(OR(Database!$BG204="",Screener!$D$10=""),0,IF(Database!$BG204=Screener!$D$10,1,0))</f>
        <v/>
      </c>
      <c r="F204" s="270">
        <f>IF(OR(Database!$BM204="",Screener!$D$11=""),0,IF(Database!$BM204=Screener!$D$11,1,0))</f>
        <v/>
      </c>
      <c r="G204" s="270">
        <f>IF(OR(Database!$H204="",N(Screener!$D$12)&lt;=0),0,MAX(0,1-(N(Screener!$D$12)-Database!$H204)/W_RECD))</f>
        <v/>
      </c>
      <c r="H204" s="270">
        <f>IF($U$1="",0,N(ISNUMBER(SEARCH($U$1,Database!$AC204&amp;""))))+IF($V$1="",0,N(ISNUMBER(SEARCH($V$1,Database!$AC204&amp;""))))+IF($W$1="",0,N(ISNUMBER(SEARCH($W$1,Database!$AC204&amp;""))))+IF($X$1="",0,N(ISNUMBER(SEARCH($X$1,Database!$AC204&amp;""))))+IF($Y$1="",0,N(ISNUMBER(SEARCH($Y$1,Database!$AC204&amp;""))))+IF(Screener!$B$17="",0,N(ISNUMBER(SEARCH(LOWER(Screener!$B$17),Database!$AC204&amp;""))))</f>
        <v/>
      </c>
      <c r="I204" s="270">
        <f>IF(OR(N(Database!$BH204)&lt;=0,N(Screener!$D$13)&lt;=0),0,MAX(0,1-ABS(LOG10(N(Database!$BH204)/Screener!$D$13))/W_PEHW))</f>
        <v/>
      </c>
      <c r="J204" s="270">
        <f>IF(OR(N(Database!$S204)&lt;=0,N(Screener!$D$14)&lt;=0),0,MAX(0,1-ABS(LOG10(Database!$S204/Screener!$D$14))/0.6))</f>
        <v/>
      </c>
      <c r="K204" s="270">
        <f>IF(Database!$B204=Screener!$B$5,-999999,IF(ISNUMBER(SEARCH(","&amp;Database!$A204&amp;",",","&amp;SUBSTITUTE(Screener!$D$17," ","")&amp;",")),2000000,IF(IF(OR(Screener!$B$18="All",AND(Screener!$B$18="With A-share",(Database!$BM204="Y")),AND(Screener!$B$18="Without A-share",NOT((Database!$BM204="Y")))),1,0)=0,-999999,IF(Screener!$B$16="cornerstone overlap first",H204*100000,IF(Screener!$B$16="demand-similar first",J204*100000,0))+W_SUB*B204+W_SEC*C204*(1-B204)+W_SIZE*D204+W_PROF*E204+W_AH*F204+W_REC*G204+W_CS*H204+W_PE*I204)))+ROW()/1000000</f>
        <v/>
      </c>
      <c r="AA204" s="270">
        <f>Database!B193</f>
        <v/>
      </c>
      <c r="AB204" s="270">
        <f>Database!D193</f>
        <v/>
      </c>
      <c r="AC204" s="270">
        <f>Database!E193</f>
        <v/>
      </c>
      <c r="AD204" s="270">
        <f>Database!I193</f>
        <v/>
      </c>
      <c r="AE204" s="270">
        <f>Database!BG193</f>
        <v/>
      </c>
      <c r="AF204" s="270">
        <f>Database!BM193</f>
        <v/>
      </c>
      <c r="AG204" s="270">
        <f>Database!H193</f>
        <v/>
      </c>
      <c r="AH204" s="270">
        <f>Database!BH193</f>
        <v/>
      </c>
    </row>
    <row r="205">
      <c r="A205" s="270">
        <f>Database!B205</f>
        <v/>
      </c>
      <c r="B205" s="270">
        <f>IF(AND(Screener!$D$8&lt;&gt;"",Database!$E205=Screener!$D$8),1,0)</f>
        <v/>
      </c>
      <c r="C205" s="270">
        <f>IF(AND(Screener!$D$7&lt;&gt;"",Database!$D205=Screener!$D$7),1,0)</f>
        <v/>
      </c>
      <c r="D205" s="270">
        <f>IF(OR(N(Database!$I205)&lt;=0,N(Screener!$D$9)&lt;=0),0,MAX(0,1-ABS(LOG10(N(Database!$I205)/Screener!$D$9))/W_SIZEHW))</f>
        <v/>
      </c>
      <c r="E205" s="270">
        <f>IF(OR(Database!$BG205="",Screener!$D$10=""),0,IF(Database!$BG205=Screener!$D$10,1,0))</f>
        <v/>
      </c>
      <c r="F205" s="270">
        <f>IF(OR(Database!$BM205="",Screener!$D$11=""),0,IF(Database!$BM205=Screener!$D$11,1,0))</f>
        <v/>
      </c>
      <c r="G205" s="270">
        <f>IF(OR(Database!$H205="",N(Screener!$D$12)&lt;=0),0,MAX(0,1-(N(Screener!$D$12)-Database!$H205)/W_RECD))</f>
        <v/>
      </c>
      <c r="H205" s="270">
        <f>IF($U$1="",0,N(ISNUMBER(SEARCH($U$1,Database!$AC205&amp;""))))+IF($V$1="",0,N(ISNUMBER(SEARCH($V$1,Database!$AC205&amp;""))))+IF($W$1="",0,N(ISNUMBER(SEARCH($W$1,Database!$AC205&amp;""))))+IF($X$1="",0,N(ISNUMBER(SEARCH($X$1,Database!$AC205&amp;""))))+IF($Y$1="",0,N(ISNUMBER(SEARCH($Y$1,Database!$AC205&amp;""))))+IF(Screener!$B$17="",0,N(ISNUMBER(SEARCH(LOWER(Screener!$B$17),Database!$AC205&amp;""))))</f>
        <v/>
      </c>
      <c r="I205" s="270">
        <f>IF(OR(N(Database!$BH205)&lt;=0,N(Screener!$D$13)&lt;=0),0,MAX(0,1-ABS(LOG10(N(Database!$BH205)/Screener!$D$13))/W_PEHW))</f>
        <v/>
      </c>
      <c r="J205" s="270">
        <f>IF(OR(N(Database!$S205)&lt;=0,N(Screener!$D$14)&lt;=0),0,MAX(0,1-ABS(LOG10(Database!$S205/Screener!$D$14))/0.6))</f>
        <v/>
      </c>
      <c r="K205" s="270">
        <f>IF(Database!$B205=Screener!$B$5,-999999,IF(ISNUMBER(SEARCH(","&amp;Database!$A205&amp;",",","&amp;SUBSTITUTE(Screener!$D$17," ","")&amp;",")),2000000,IF(IF(OR(Screener!$B$18="All",AND(Screener!$B$18="With A-share",(Database!$BM205="Y")),AND(Screener!$B$18="Without A-share",NOT((Database!$BM205="Y")))),1,0)=0,-999999,IF(Screener!$B$16="cornerstone overlap first",H205*100000,IF(Screener!$B$16="demand-similar first",J205*100000,0))+W_SUB*B205+W_SEC*C205*(1-B205)+W_SIZE*D205+W_PROF*E205+W_AH*F205+W_REC*G205+W_CS*H205+W_PE*I205)))+ROW()/1000000</f>
        <v/>
      </c>
      <c r="AA205" s="270">
        <f>Database!B194</f>
        <v/>
      </c>
      <c r="AB205" s="270">
        <f>Database!D194</f>
        <v/>
      </c>
      <c r="AC205" s="270">
        <f>Database!E194</f>
        <v/>
      </c>
      <c r="AD205" s="270">
        <f>Database!I194</f>
        <v/>
      </c>
      <c r="AE205" s="270">
        <f>Database!BG194</f>
        <v/>
      </c>
      <c r="AF205" s="270">
        <f>Database!BM194</f>
        <v/>
      </c>
      <c r="AG205" s="270">
        <f>Database!H194</f>
        <v/>
      </c>
      <c r="AH205" s="270">
        <f>Database!BH194</f>
        <v/>
      </c>
    </row>
    <row r="206">
      <c r="A206" s="270">
        <f>Database!B206</f>
        <v/>
      </c>
      <c r="B206" s="270">
        <f>IF(AND(Screener!$D$8&lt;&gt;"",Database!$E206=Screener!$D$8),1,0)</f>
        <v/>
      </c>
      <c r="C206" s="270">
        <f>IF(AND(Screener!$D$7&lt;&gt;"",Database!$D206=Screener!$D$7),1,0)</f>
        <v/>
      </c>
      <c r="D206" s="270">
        <f>IF(OR(N(Database!$I206)&lt;=0,N(Screener!$D$9)&lt;=0),0,MAX(0,1-ABS(LOG10(N(Database!$I206)/Screener!$D$9))/W_SIZEHW))</f>
        <v/>
      </c>
      <c r="E206" s="270">
        <f>IF(OR(Database!$BG206="",Screener!$D$10=""),0,IF(Database!$BG206=Screener!$D$10,1,0))</f>
        <v/>
      </c>
      <c r="F206" s="270">
        <f>IF(OR(Database!$BM206="",Screener!$D$11=""),0,IF(Database!$BM206=Screener!$D$11,1,0))</f>
        <v/>
      </c>
      <c r="G206" s="270">
        <f>IF(OR(Database!$H206="",N(Screener!$D$12)&lt;=0),0,MAX(0,1-(N(Screener!$D$12)-Database!$H206)/W_RECD))</f>
        <v/>
      </c>
      <c r="H206" s="270">
        <f>IF($U$1="",0,N(ISNUMBER(SEARCH($U$1,Database!$AC206&amp;""))))+IF($V$1="",0,N(ISNUMBER(SEARCH($V$1,Database!$AC206&amp;""))))+IF($W$1="",0,N(ISNUMBER(SEARCH($W$1,Database!$AC206&amp;""))))+IF($X$1="",0,N(ISNUMBER(SEARCH($X$1,Database!$AC206&amp;""))))+IF($Y$1="",0,N(ISNUMBER(SEARCH($Y$1,Database!$AC206&amp;""))))+IF(Screener!$B$17="",0,N(ISNUMBER(SEARCH(LOWER(Screener!$B$17),Database!$AC206&amp;""))))</f>
        <v/>
      </c>
      <c r="I206" s="270">
        <f>IF(OR(N(Database!$BH206)&lt;=0,N(Screener!$D$13)&lt;=0),0,MAX(0,1-ABS(LOG10(N(Database!$BH206)/Screener!$D$13))/W_PEHW))</f>
        <v/>
      </c>
      <c r="J206" s="270">
        <f>IF(OR(N(Database!$S206)&lt;=0,N(Screener!$D$14)&lt;=0),0,MAX(0,1-ABS(LOG10(Database!$S206/Screener!$D$14))/0.6))</f>
        <v/>
      </c>
      <c r="K206" s="270">
        <f>IF(Database!$B206=Screener!$B$5,-999999,IF(ISNUMBER(SEARCH(","&amp;Database!$A206&amp;",",","&amp;SUBSTITUTE(Screener!$D$17," ","")&amp;",")),2000000,IF(IF(OR(Screener!$B$18="All",AND(Screener!$B$18="With A-share",(Database!$BM206="Y")),AND(Screener!$B$18="Without A-share",NOT((Database!$BM206="Y")))),1,0)=0,-999999,IF(Screener!$B$16="cornerstone overlap first",H206*100000,IF(Screener!$B$16="demand-similar first",J206*100000,0))+W_SUB*B206+W_SEC*C206*(1-B206)+W_SIZE*D206+W_PROF*E206+W_AH*F206+W_REC*G206+W_CS*H206+W_PE*I206)))+ROW()/1000000</f>
        <v/>
      </c>
      <c r="AA206" s="270">
        <f>Database!B195</f>
        <v/>
      </c>
      <c r="AB206" s="270">
        <f>Database!D195</f>
        <v/>
      </c>
      <c r="AC206" s="270">
        <f>Database!E195</f>
        <v/>
      </c>
      <c r="AD206" s="270">
        <f>Database!I195</f>
        <v/>
      </c>
      <c r="AE206" s="270">
        <f>Database!BG195</f>
        <v/>
      </c>
      <c r="AF206" s="270">
        <f>Database!BM195</f>
        <v/>
      </c>
      <c r="AG206" s="270">
        <f>Database!H195</f>
        <v/>
      </c>
      <c r="AH206" s="270">
        <f>Database!BH195</f>
        <v/>
      </c>
    </row>
    <row r="207">
      <c r="A207" s="270">
        <f>Database!B207</f>
        <v/>
      </c>
      <c r="B207" s="270">
        <f>IF(AND(Screener!$D$8&lt;&gt;"",Database!$E207=Screener!$D$8),1,0)</f>
        <v/>
      </c>
      <c r="C207" s="270">
        <f>IF(AND(Screener!$D$7&lt;&gt;"",Database!$D207=Screener!$D$7),1,0)</f>
        <v/>
      </c>
      <c r="D207" s="270">
        <f>IF(OR(N(Database!$I207)&lt;=0,N(Screener!$D$9)&lt;=0),0,MAX(0,1-ABS(LOG10(N(Database!$I207)/Screener!$D$9))/W_SIZEHW))</f>
        <v/>
      </c>
      <c r="E207" s="270">
        <f>IF(OR(Database!$BG207="",Screener!$D$10=""),0,IF(Database!$BG207=Screener!$D$10,1,0))</f>
        <v/>
      </c>
      <c r="F207" s="270">
        <f>IF(OR(Database!$BM207="",Screener!$D$11=""),0,IF(Database!$BM207=Screener!$D$11,1,0))</f>
        <v/>
      </c>
      <c r="G207" s="270">
        <f>IF(OR(Database!$H207="",N(Screener!$D$12)&lt;=0),0,MAX(0,1-(N(Screener!$D$12)-Database!$H207)/W_RECD))</f>
        <v/>
      </c>
      <c r="H207" s="270">
        <f>IF($U$1="",0,N(ISNUMBER(SEARCH($U$1,Database!$AC207&amp;""))))+IF($V$1="",0,N(ISNUMBER(SEARCH($V$1,Database!$AC207&amp;""))))+IF($W$1="",0,N(ISNUMBER(SEARCH($W$1,Database!$AC207&amp;""))))+IF($X$1="",0,N(ISNUMBER(SEARCH($X$1,Database!$AC207&amp;""))))+IF($Y$1="",0,N(ISNUMBER(SEARCH($Y$1,Database!$AC207&amp;""))))+IF(Screener!$B$17="",0,N(ISNUMBER(SEARCH(LOWER(Screener!$B$17),Database!$AC207&amp;""))))</f>
        <v/>
      </c>
      <c r="I207" s="270">
        <f>IF(OR(N(Database!$BH207)&lt;=0,N(Screener!$D$13)&lt;=0),0,MAX(0,1-ABS(LOG10(N(Database!$BH207)/Screener!$D$13))/W_PEHW))</f>
        <v/>
      </c>
      <c r="J207" s="270">
        <f>IF(OR(N(Database!$S207)&lt;=0,N(Screener!$D$14)&lt;=0),0,MAX(0,1-ABS(LOG10(Database!$S207/Screener!$D$14))/0.6))</f>
        <v/>
      </c>
      <c r="K207" s="270">
        <f>IF(Database!$B207=Screener!$B$5,-999999,IF(ISNUMBER(SEARCH(","&amp;Database!$A207&amp;",",","&amp;SUBSTITUTE(Screener!$D$17," ","")&amp;",")),2000000,IF(IF(OR(Screener!$B$18="All",AND(Screener!$B$18="With A-share",(Database!$BM207="Y")),AND(Screener!$B$18="Without A-share",NOT((Database!$BM207="Y")))),1,0)=0,-999999,IF(Screener!$B$16="cornerstone overlap first",H207*100000,IF(Screener!$B$16="demand-similar first",J207*100000,0))+W_SUB*B207+W_SEC*C207*(1-B207)+W_SIZE*D207+W_PROF*E207+W_AH*F207+W_REC*G207+W_CS*H207+W_PE*I207)))+ROW()/1000000</f>
        <v/>
      </c>
      <c r="AA207" s="270">
        <f>Database!B196</f>
        <v/>
      </c>
      <c r="AB207" s="270">
        <f>Database!D196</f>
        <v/>
      </c>
      <c r="AC207" s="270">
        <f>Database!E196</f>
        <v/>
      </c>
      <c r="AD207" s="270">
        <f>Database!I196</f>
        <v/>
      </c>
      <c r="AE207" s="270">
        <f>Database!BG196</f>
        <v/>
      </c>
      <c r="AF207" s="270">
        <f>Database!BM196</f>
        <v/>
      </c>
      <c r="AG207" s="270">
        <f>Database!H196</f>
        <v/>
      </c>
      <c r="AH207" s="270">
        <f>Database!BH196</f>
        <v/>
      </c>
    </row>
    <row r="208">
      <c r="A208" s="270">
        <f>Database!B208</f>
        <v/>
      </c>
      <c r="B208" s="270">
        <f>IF(AND(Screener!$D$8&lt;&gt;"",Database!$E208=Screener!$D$8),1,0)</f>
        <v/>
      </c>
      <c r="C208" s="270">
        <f>IF(AND(Screener!$D$7&lt;&gt;"",Database!$D208=Screener!$D$7),1,0)</f>
        <v/>
      </c>
      <c r="D208" s="270">
        <f>IF(OR(N(Database!$I208)&lt;=0,N(Screener!$D$9)&lt;=0),0,MAX(0,1-ABS(LOG10(N(Database!$I208)/Screener!$D$9))/W_SIZEHW))</f>
        <v/>
      </c>
      <c r="E208" s="270">
        <f>IF(OR(Database!$BG208="",Screener!$D$10=""),0,IF(Database!$BG208=Screener!$D$10,1,0))</f>
        <v/>
      </c>
      <c r="F208" s="270">
        <f>IF(OR(Database!$BM208="",Screener!$D$11=""),0,IF(Database!$BM208=Screener!$D$11,1,0))</f>
        <v/>
      </c>
      <c r="G208" s="270">
        <f>IF(OR(Database!$H208="",N(Screener!$D$12)&lt;=0),0,MAX(0,1-(N(Screener!$D$12)-Database!$H208)/W_RECD))</f>
        <v/>
      </c>
      <c r="H208" s="270">
        <f>IF($U$1="",0,N(ISNUMBER(SEARCH($U$1,Database!$AC208&amp;""))))+IF($V$1="",0,N(ISNUMBER(SEARCH($V$1,Database!$AC208&amp;""))))+IF($W$1="",0,N(ISNUMBER(SEARCH($W$1,Database!$AC208&amp;""))))+IF($X$1="",0,N(ISNUMBER(SEARCH($X$1,Database!$AC208&amp;""))))+IF($Y$1="",0,N(ISNUMBER(SEARCH($Y$1,Database!$AC208&amp;""))))+IF(Screener!$B$17="",0,N(ISNUMBER(SEARCH(LOWER(Screener!$B$17),Database!$AC208&amp;""))))</f>
        <v/>
      </c>
      <c r="I208" s="270">
        <f>IF(OR(N(Database!$BH208)&lt;=0,N(Screener!$D$13)&lt;=0),0,MAX(0,1-ABS(LOG10(N(Database!$BH208)/Screener!$D$13))/W_PEHW))</f>
        <v/>
      </c>
      <c r="J208" s="270">
        <f>IF(OR(N(Database!$S208)&lt;=0,N(Screener!$D$14)&lt;=0),0,MAX(0,1-ABS(LOG10(Database!$S208/Screener!$D$14))/0.6))</f>
        <v/>
      </c>
      <c r="K208" s="270">
        <f>IF(Database!$B208=Screener!$B$5,-999999,IF(ISNUMBER(SEARCH(","&amp;Database!$A208&amp;",",","&amp;SUBSTITUTE(Screener!$D$17," ","")&amp;",")),2000000,IF(IF(OR(Screener!$B$18="All",AND(Screener!$B$18="With A-share",(Database!$BM208="Y")),AND(Screener!$B$18="Without A-share",NOT((Database!$BM208="Y")))),1,0)=0,-999999,IF(Screener!$B$16="cornerstone overlap first",H208*100000,IF(Screener!$B$16="demand-similar first",J208*100000,0))+W_SUB*B208+W_SEC*C208*(1-B208)+W_SIZE*D208+W_PROF*E208+W_AH*F208+W_REC*G208+W_CS*H208+W_PE*I208)))+ROW()/1000000</f>
        <v/>
      </c>
      <c r="AA208" s="270">
        <f>Database!B197</f>
        <v/>
      </c>
      <c r="AB208" s="270">
        <f>Database!D197</f>
        <v/>
      </c>
      <c r="AC208" s="270">
        <f>Database!E197</f>
        <v/>
      </c>
      <c r="AD208" s="270">
        <f>Database!I197</f>
        <v/>
      </c>
      <c r="AE208" s="270">
        <f>Database!BG197</f>
        <v/>
      </c>
      <c r="AF208" s="270">
        <f>Database!BM197</f>
        <v/>
      </c>
      <c r="AG208" s="270">
        <f>Database!H197</f>
        <v/>
      </c>
      <c r="AH208" s="270">
        <f>Database!BH197</f>
        <v/>
      </c>
    </row>
    <row r="209">
      <c r="A209" s="270">
        <f>Database!B209</f>
        <v/>
      </c>
      <c r="B209" s="270">
        <f>IF(AND(Screener!$D$8&lt;&gt;"",Database!$E209=Screener!$D$8),1,0)</f>
        <v/>
      </c>
      <c r="C209" s="270">
        <f>IF(AND(Screener!$D$7&lt;&gt;"",Database!$D209=Screener!$D$7),1,0)</f>
        <v/>
      </c>
      <c r="D209" s="270">
        <f>IF(OR(N(Database!$I209)&lt;=0,N(Screener!$D$9)&lt;=0),0,MAX(0,1-ABS(LOG10(N(Database!$I209)/Screener!$D$9))/W_SIZEHW))</f>
        <v/>
      </c>
      <c r="E209" s="270">
        <f>IF(OR(Database!$BG209="",Screener!$D$10=""),0,IF(Database!$BG209=Screener!$D$10,1,0))</f>
        <v/>
      </c>
      <c r="F209" s="270">
        <f>IF(OR(Database!$BM209="",Screener!$D$11=""),0,IF(Database!$BM209=Screener!$D$11,1,0))</f>
        <v/>
      </c>
      <c r="G209" s="270">
        <f>IF(OR(Database!$H209="",N(Screener!$D$12)&lt;=0),0,MAX(0,1-(N(Screener!$D$12)-Database!$H209)/W_RECD))</f>
        <v/>
      </c>
      <c r="H209" s="270">
        <f>IF($U$1="",0,N(ISNUMBER(SEARCH($U$1,Database!$AC209&amp;""))))+IF($V$1="",0,N(ISNUMBER(SEARCH($V$1,Database!$AC209&amp;""))))+IF($W$1="",0,N(ISNUMBER(SEARCH($W$1,Database!$AC209&amp;""))))+IF($X$1="",0,N(ISNUMBER(SEARCH($X$1,Database!$AC209&amp;""))))+IF($Y$1="",0,N(ISNUMBER(SEARCH($Y$1,Database!$AC209&amp;""))))+IF(Screener!$B$17="",0,N(ISNUMBER(SEARCH(LOWER(Screener!$B$17),Database!$AC209&amp;""))))</f>
        <v/>
      </c>
      <c r="I209" s="270">
        <f>IF(OR(N(Database!$BH209)&lt;=0,N(Screener!$D$13)&lt;=0),0,MAX(0,1-ABS(LOG10(N(Database!$BH209)/Screener!$D$13))/W_PEHW))</f>
        <v/>
      </c>
      <c r="J209" s="270">
        <f>IF(OR(N(Database!$S209)&lt;=0,N(Screener!$D$14)&lt;=0),0,MAX(0,1-ABS(LOG10(Database!$S209/Screener!$D$14))/0.6))</f>
        <v/>
      </c>
      <c r="K209" s="270">
        <f>IF(Database!$B209=Screener!$B$5,-999999,IF(ISNUMBER(SEARCH(","&amp;Database!$A209&amp;",",","&amp;SUBSTITUTE(Screener!$D$17," ","")&amp;",")),2000000,IF(IF(OR(Screener!$B$18="All",AND(Screener!$B$18="With A-share",(Database!$BM209="Y")),AND(Screener!$B$18="Without A-share",NOT((Database!$BM209="Y")))),1,0)=0,-999999,IF(Screener!$B$16="cornerstone overlap first",H209*100000,IF(Screener!$B$16="demand-similar first",J209*100000,0))+W_SUB*B209+W_SEC*C209*(1-B209)+W_SIZE*D209+W_PROF*E209+W_AH*F209+W_REC*G209+W_CS*H209+W_PE*I209)))+ROW()/1000000</f>
        <v/>
      </c>
      <c r="AA209" s="270">
        <f>Database!B198</f>
        <v/>
      </c>
      <c r="AB209" s="270">
        <f>Database!D198</f>
        <v/>
      </c>
      <c r="AC209" s="270">
        <f>Database!E198</f>
        <v/>
      </c>
      <c r="AD209" s="270">
        <f>Database!I198</f>
        <v/>
      </c>
      <c r="AE209" s="270">
        <f>Database!BG198</f>
        <v/>
      </c>
      <c r="AF209" s="270">
        <f>Database!BM198</f>
        <v/>
      </c>
      <c r="AG209" s="270">
        <f>Database!H198</f>
        <v/>
      </c>
      <c r="AH209" s="270">
        <f>Database!BH198</f>
        <v/>
      </c>
    </row>
    <row r="210">
      <c r="A210" s="270">
        <f>Database!B210</f>
        <v/>
      </c>
      <c r="B210" s="270">
        <f>IF(AND(Screener!$D$8&lt;&gt;"",Database!$E210=Screener!$D$8),1,0)</f>
        <v/>
      </c>
      <c r="C210" s="270">
        <f>IF(AND(Screener!$D$7&lt;&gt;"",Database!$D210=Screener!$D$7),1,0)</f>
        <v/>
      </c>
      <c r="D210" s="270">
        <f>IF(OR(N(Database!$I210)&lt;=0,N(Screener!$D$9)&lt;=0),0,MAX(0,1-ABS(LOG10(N(Database!$I210)/Screener!$D$9))/W_SIZEHW))</f>
        <v/>
      </c>
      <c r="E210" s="270">
        <f>IF(OR(Database!$BG210="",Screener!$D$10=""),0,IF(Database!$BG210=Screener!$D$10,1,0))</f>
        <v/>
      </c>
      <c r="F210" s="270">
        <f>IF(OR(Database!$BM210="",Screener!$D$11=""),0,IF(Database!$BM210=Screener!$D$11,1,0))</f>
        <v/>
      </c>
      <c r="G210" s="270">
        <f>IF(OR(Database!$H210="",N(Screener!$D$12)&lt;=0),0,MAX(0,1-(N(Screener!$D$12)-Database!$H210)/W_RECD))</f>
        <v/>
      </c>
      <c r="H210" s="270">
        <f>IF($U$1="",0,N(ISNUMBER(SEARCH($U$1,Database!$AC210&amp;""))))+IF($V$1="",0,N(ISNUMBER(SEARCH($V$1,Database!$AC210&amp;""))))+IF($W$1="",0,N(ISNUMBER(SEARCH($W$1,Database!$AC210&amp;""))))+IF($X$1="",0,N(ISNUMBER(SEARCH($X$1,Database!$AC210&amp;""))))+IF($Y$1="",0,N(ISNUMBER(SEARCH($Y$1,Database!$AC210&amp;""))))+IF(Screener!$B$17="",0,N(ISNUMBER(SEARCH(LOWER(Screener!$B$17),Database!$AC210&amp;""))))</f>
        <v/>
      </c>
      <c r="I210" s="270">
        <f>IF(OR(N(Database!$BH210)&lt;=0,N(Screener!$D$13)&lt;=0),0,MAX(0,1-ABS(LOG10(N(Database!$BH210)/Screener!$D$13))/W_PEHW))</f>
        <v/>
      </c>
      <c r="J210" s="270">
        <f>IF(OR(N(Database!$S210)&lt;=0,N(Screener!$D$14)&lt;=0),0,MAX(0,1-ABS(LOG10(Database!$S210/Screener!$D$14))/0.6))</f>
        <v/>
      </c>
      <c r="K210" s="270">
        <f>IF(Database!$B210=Screener!$B$5,-999999,IF(ISNUMBER(SEARCH(","&amp;Database!$A210&amp;",",","&amp;SUBSTITUTE(Screener!$D$17," ","")&amp;",")),2000000,IF(IF(OR(Screener!$B$18="All",AND(Screener!$B$18="With A-share",(Database!$BM210="Y")),AND(Screener!$B$18="Without A-share",NOT((Database!$BM210="Y")))),1,0)=0,-999999,IF(Screener!$B$16="cornerstone overlap first",H210*100000,IF(Screener!$B$16="demand-similar first",J210*100000,0))+W_SUB*B210+W_SEC*C210*(1-B210)+W_SIZE*D210+W_PROF*E210+W_AH*F210+W_REC*G210+W_CS*H210+W_PE*I210)))+ROW()/1000000</f>
        <v/>
      </c>
      <c r="AA210" s="270">
        <f>Database!B199</f>
        <v/>
      </c>
      <c r="AB210" s="270">
        <f>Database!D199</f>
        <v/>
      </c>
      <c r="AC210" s="270">
        <f>Database!E199</f>
        <v/>
      </c>
      <c r="AD210" s="270">
        <f>Database!I199</f>
        <v/>
      </c>
      <c r="AE210" s="270">
        <f>Database!BG199</f>
        <v/>
      </c>
      <c r="AF210" s="270">
        <f>Database!BM199</f>
        <v/>
      </c>
      <c r="AG210" s="270">
        <f>Database!H199</f>
        <v/>
      </c>
      <c r="AH210" s="270">
        <f>Database!BH199</f>
        <v/>
      </c>
    </row>
    <row r="211">
      <c r="A211" s="270">
        <f>Database!B211</f>
        <v/>
      </c>
      <c r="B211" s="270">
        <f>IF(AND(Screener!$D$8&lt;&gt;"",Database!$E211=Screener!$D$8),1,0)</f>
        <v/>
      </c>
      <c r="C211" s="270">
        <f>IF(AND(Screener!$D$7&lt;&gt;"",Database!$D211=Screener!$D$7),1,0)</f>
        <v/>
      </c>
      <c r="D211" s="270">
        <f>IF(OR(N(Database!$I211)&lt;=0,N(Screener!$D$9)&lt;=0),0,MAX(0,1-ABS(LOG10(N(Database!$I211)/Screener!$D$9))/W_SIZEHW))</f>
        <v/>
      </c>
      <c r="E211" s="270">
        <f>IF(OR(Database!$BG211="",Screener!$D$10=""),0,IF(Database!$BG211=Screener!$D$10,1,0))</f>
        <v/>
      </c>
      <c r="F211" s="270">
        <f>IF(OR(Database!$BM211="",Screener!$D$11=""),0,IF(Database!$BM211=Screener!$D$11,1,0))</f>
        <v/>
      </c>
      <c r="G211" s="270">
        <f>IF(OR(Database!$H211="",N(Screener!$D$12)&lt;=0),0,MAX(0,1-(N(Screener!$D$12)-Database!$H211)/W_RECD))</f>
        <v/>
      </c>
      <c r="H211" s="270">
        <f>IF($U$1="",0,N(ISNUMBER(SEARCH($U$1,Database!$AC211&amp;""))))+IF($V$1="",0,N(ISNUMBER(SEARCH($V$1,Database!$AC211&amp;""))))+IF($W$1="",0,N(ISNUMBER(SEARCH($W$1,Database!$AC211&amp;""))))+IF($X$1="",0,N(ISNUMBER(SEARCH($X$1,Database!$AC211&amp;""))))+IF($Y$1="",0,N(ISNUMBER(SEARCH($Y$1,Database!$AC211&amp;""))))+IF(Screener!$B$17="",0,N(ISNUMBER(SEARCH(LOWER(Screener!$B$17),Database!$AC211&amp;""))))</f>
        <v/>
      </c>
      <c r="I211" s="270">
        <f>IF(OR(N(Database!$BH211)&lt;=0,N(Screener!$D$13)&lt;=0),0,MAX(0,1-ABS(LOG10(N(Database!$BH211)/Screener!$D$13))/W_PEHW))</f>
        <v/>
      </c>
      <c r="J211" s="270">
        <f>IF(OR(N(Database!$S211)&lt;=0,N(Screener!$D$14)&lt;=0),0,MAX(0,1-ABS(LOG10(Database!$S211/Screener!$D$14))/0.6))</f>
        <v/>
      </c>
      <c r="K211" s="270">
        <f>IF(Database!$B211=Screener!$B$5,-999999,IF(ISNUMBER(SEARCH(","&amp;Database!$A211&amp;",",","&amp;SUBSTITUTE(Screener!$D$17," ","")&amp;",")),2000000,IF(IF(OR(Screener!$B$18="All",AND(Screener!$B$18="With A-share",(Database!$BM211="Y")),AND(Screener!$B$18="Without A-share",NOT((Database!$BM211="Y")))),1,0)=0,-999999,IF(Screener!$B$16="cornerstone overlap first",H211*100000,IF(Screener!$B$16="demand-similar first",J211*100000,0))+W_SUB*B211+W_SEC*C211*(1-B211)+W_SIZE*D211+W_PROF*E211+W_AH*F211+W_REC*G211+W_CS*H211+W_PE*I211)))+ROW()/1000000</f>
        <v/>
      </c>
      <c r="AA211" s="270">
        <f>Database!B200</f>
        <v/>
      </c>
      <c r="AB211" s="270">
        <f>Database!D200</f>
        <v/>
      </c>
      <c r="AC211" s="270">
        <f>Database!E200</f>
        <v/>
      </c>
      <c r="AD211" s="270">
        <f>Database!I200</f>
        <v/>
      </c>
      <c r="AE211" s="270">
        <f>Database!BG200</f>
        <v/>
      </c>
      <c r="AF211" s="270">
        <f>Database!BM200</f>
        <v/>
      </c>
      <c r="AG211" s="270">
        <f>Database!H200</f>
        <v/>
      </c>
      <c r="AH211" s="270">
        <f>Database!BH200</f>
        <v/>
      </c>
    </row>
    <row r="212">
      <c r="A212" s="270">
        <f>Database!B212</f>
        <v/>
      </c>
      <c r="B212" s="270">
        <f>IF(AND(Screener!$D$8&lt;&gt;"",Database!$E212=Screener!$D$8),1,0)</f>
        <v/>
      </c>
      <c r="C212" s="270">
        <f>IF(AND(Screener!$D$7&lt;&gt;"",Database!$D212=Screener!$D$7),1,0)</f>
        <v/>
      </c>
      <c r="D212" s="270">
        <f>IF(OR(N(Database!$I212)&lt;=0,N(Screener!$D$9)&lt;=0),0,MAX(0,1-ABS(LOG10(N(Database!$I212)/Screener!$D$9))/W_SIZEHW))</f>
        <v/>
      </c>
      <c r="E212" s="270">
        <f>IF(OR(Database!$BG212="",Screener!$D$10=""),0,IF(Database!$BG212=Screener!$D$10,1,0))</f>
        <v/>
      </c>
      <c r="F212" s="270">
        <f>IF(OR(Database!$BM212="",Screener!$D$11=""),0,IF(Database!$BM212=Screener!$D$11,1,0))</f>
        <v/>
      </c>
      <c r="G212" s="270">
        <f>IF(OR(Database!$H212="",N(Screener!$D$12)&lt;=0),0,MAX(0,1-(N(Screener!$D$12)-Database!$H212)/W_RECD))</f>
        <v/>
      </c>
      <c r="H212" s="270">
        <f>IF($U$1="",0,N(ISNUMBER(SEARCH($U$1,Database!$AC212&amp;""))))+IF($V$1="",0,N(ISNUMBER(SEARCH($V$1,Database!$AC212&amp;""))))+IF($W$1="",0,N(ISNUMBER(SEARCH($W$1,Database!$AC212&amp;""))))+IF($X$1="",0,N(ISNUMBER(SEARCH($X$1,Database!$AC212&amp;""))))+IF($Y$1="",0,N(ISNUMBER(SEARCH($Y$1,Database!$AC212&amp;""))))+IF(Screener!$B$17="",0,N(ISNUMBER(SEARCH(LOWER(Screener!$B$17),Database!$AC212&amp;""))))</f>
        <v/>
      </c>
      <c r="I212" s="270">
        <f>IF(OR(N(Database!$BH212)&lt;=0,N(Screener!$D$13)&lt;=0),0,MAX(0,1-ABS(LOG10(N(Database!$BH212)/Screener!$D$13))/W_PEHW))</f>
        <v/>
      </c>
      <c r="J212" s="270">
        <f>IF(OR(N(Database!$S212)&lt;=0,N(Screener!$D$14)&lt;=0),0,MAX(0,1-ABS(LOG10(Database!$S212/Screener!$D$14))/0.6))</f>
        <v/>
      </c>
      <c r="K212" s="270">
        <f>IF(Database!$B212=Screener!$B$5,-999999,IF(ISNUMBER(SEARCH(","&amp;Database!$A212&amp;",",","&amp;SUBSTITUTE(Screener!$D$17," ","")&amp;",")),2000000,IF(IF(OR(Screener!$B$18="All",AND(Screener!$B$18="With A-share",(Database!$BM212="Y")),AND(Screener!$B$18="Without A-share",NOT((Database!$BM212="Y")))),1,0)=0,-999999,IF(Screener!$B$16="cornerstone overlap first",H212*100000,IF(Screener!$B$16="demand-similar first",J212*100000,0))+W_SUB*B212+W_SEC*C212*(1-B212)+W_SIZE*D212+W_PROF*E212+W_AH*F212+W_REC*G212+W_CS*H212+W_PE*I212)))+ROW()/1000000</f>
        <v/>
      </c>
      <c r="AA212" s="270">
        <f>Database!B201</f>
        <v/>
      </c>
      <c r="AB212" s="270">
        <f>Database!D201</f>
        <v/>
      </c>
      <c r="AC212" s="270">
        <f>Database!E201</f>
        <v/>
      </c>
      <c r="AD212" s="270">
        <f>Database!I201</f>
        <v/>
      </c>
      <c r="AE212" s="270">
        <f>Database!BG201</f>
        <v/>
      </c>
      <c r="AF212" s="270">
        <f>Database!BM201</f>
        <v/>
      </c>
      <c r="AG212" s="270">
        <f>Database!H201</f>
        <v/>
      </c>
      <c r="AH212" s="270">
        <f>Database!BH201</f>
        <v/>
      </c>
    </row>
    <row r="213">
      <c r="A213" s="270">
        <f>Database!B213</f>
        <v/>
      </c>
      <c r="B213" s="270">
        <f>IF(AND(Screener!$D$8&lt;&gt;"",Database!$E213=Screener!$D$8),1,0)</f>
        <v/>
      </c>
      <c r="C213" s="270">
        <f>IF(AND(Screener!$D$7&lt;&gt;"",Database!$D213=Screener!$D$7),1,0)</f>
        <v/>
      </c>
      <c r="D213" s="270">
        <f>IF(OR(N(Database!$I213)&lt;=0,N(Screener!$D$9)&lt;=0),0,MAX(0,1-ABS(LOG10(N(Database!$I213)/Screener!$D$9))/W_SIZEHW))</f>
        <v/>
      </c>
      <c r="E213" s="270">
        <f>IF(OR(Database!$BG213="",Screener!$D$10=""),0,IF(Database!$BG213=Screener!$D$10,1,0))</f>
        <v/>
      </c>
      <c r="F213" s="270">
        <f>IF(OR(Database!$BM213="",Screener!$D$11=""),0,IF(Database!$BM213=Screener!$D$11,1,0))</f>
        <v/>
      </c>
      <c r="G213" s="270">
        <f>IF(OR(Database!$H213="",N(Screener!$D$12)&lt;=0),0,MAX(0,1-(N(Screener!$D$12)-Database!$H213)/W_RECD))</f>
        <v/>
      </c>
      <c r="H213" s="270">
        <f>IF($U$1="",0,N(ISNUMBER(SEARCH($U$1,Database!$AC213&amp;""))))+IF($V$1="",0,N(ISNUMBER(SEARCH($V$1,Database!$AC213&amp;""))))+IF($W$1="",0,N(ISNUMBER(SEARCH($W$1,Database!$AC213&amp;""))))+IF($X$1="",0,N(ISNUMBER(SEARCH($X$1,Database!$AC213&amp;""))))+IF($Y$1="",0,N(ISNUMBER(SEARCH($Y$1,Database!$AC213&amp;""))))+IF(Screener!$B$17="",0,N(ISNUMBER(SEARCH(LOWER(Screener!$B$17),Database!$AC213&amp;""))))</f>
        <v/>
      </c>
      <c r="I213" s="270">
        <f>IF(OR(N(Database!$BH213)&lt;=0,N(Screener!$D$13)&lt;=0),0,MAX(0,1-ABS(LOG10(N(Database!$BH213)/Screener!$D$13))/W_PEHW))</f>
        <v/>
      </c>
      <c r="J213" s="270">
        <f>IF(OR(N(Database!$S213)&lt;=0,N(Screener!$D$14)&lt;=0),0,MAX(0,1-ABS(LOG10(Database!$S213/Screener!$D$14))/0.6))</f>
        <v/>
      </c>
      <c r="K213" s="270">
        <f>IF(Database!$B213=Screener!$B$5,-999999,IF(ISNUMBER(SEARCH(","&amp;Database!$A213&amp;",",","&amp;SUBSTITUTE(Screener!$D$17," ","")&amp;",")),2000000,IF(IF(OR(Screener!$B$18="All",AND(Screener!$B$18="With A-share",(Database!$BM213="Y")),AND(Screener!$B$18="Without A-share",NOT((Database!$BM213="Y")))),1,0)=0,-999999,IF(Screener!$B$16="cornerstone overlap first",H213*100000,IF(Screener!$B$16="demand-similar first",J213*100000,0))+W_SUB*B213+W_SEC*C213*(1-B213)+W_SIZE*D213+W_PROF*E213+W_AH*F213+W_REC*G213+W_CS*H213+W_PE*I213)))+ROW()/1000000</f>
        <v/>
      </c>
      <c r="AA213" s="270">
        <f>Database!B202</f>
        <v/>
      </c>
      <c r="AB213" s="270">
        <f>Database!D202</f>
        <v/>
      </c>
      <c r="AC213" s="270">
        <f>Database!E202</f>
        <v/>
      </c>
      <c r="AD213" s="270">
        <f>Database!I202</f>
        <v/>
      </c>
      <c r="AE213" s="270">
        <f>Database!BG202</f>
        <v/>
      </c>
      <c r="AF213" s="270">
        <f>Database!BM202</f>
        <v/>
      </c>
      <c r="AG213" s="270">
        <f>Database!H202</f>
        <v/>
      </c>
      <c r="AH213" s="270">
        <f>Database!BH202</f>
        <v/>
      </c>
    </row>
    <row r="214">
      <c r="A214" s="270">
        <f>Database!B214</f>
        <v/>
      </c>
      <c r="B214" s="270">
        <f>IF(AND(Screener!$D$8&lt;&gt;"",Database!$E214=Screener!$D$8),1,0)</f>
        <v/>
      </c>
      <c r="C214" s="270">
        <f>IF(AND(Screener!$D$7&lt;&gt;"",Database!$D214=Screener!$D$7),1,0)</f>
        <v/>
      </c>
      <c r="D214" s="270">
        <f>IF(OR(N(Database!$I214)&lt;=0,N(Screener!$D$9)&lt;=0),0,MAX(0,1-ABS(LOG10(N(Database!$I214)/Screener!$D$9))/W_SIZEHW))</f>
        <v/>
      </c>
      <c r="E214" s="270">
        <f>IF(OR(Database!$BG214="",Screener!$D$10=""),0,IF(Database!$BG214=Screener!$D$10,1,0))</f>
        <v/>
      </c>
      <c r="F214" s="270">
        <f>IF(OR(Database!$BM214="",Screener!$D$11=""),0,IF(Database!$BM214=Screener!$D$11,1,0))</f>
        <v/>
      </c>
      <c r="G214" s="270">
        <f>IF(OR(Database!$H214="",N(Screener!$D$12)&lt;=0),0,MAX(0,1-(N(Screener!$D$12)-Database!$H214)/W_RECD))</f>
        <v/>
      </c>
      <c r="H214" s="270">
        <f>IF($U$1="",0,N(ISNUMBER(SEARCH($U$1,Database!$AC214&amp;""))))+IF($V$1="",0,N(ISNUMBER(SEARCH($V$1,Database!$AC214&amp;""))))+IF($W$1="",0,N(ISNUMBER(SEARCH($W$1,Database!$AC214&amp;""))))+IF($X$1="",0,N(ISNUMBER(SEARCH($X$1,Database!$AC214&amp;""))))+IF($Y$1="",0,N(ISNUMBER(SEARCH($Y$1,Database!$AC214&amp;""))))+IF(Screener!$B$17="",0,N(ISNUMBER(SEARCH(LOWER(Screener!$B$17),Database!$AC214&amp;""))))</f>
        <v/>
      </c>
      <c r="I214" s="270">
        <f>IF(OR(N(Database!$BH214)&lt;=0,N(Screener!$D$13)&lt;=0),0,MAX(0,1-ABS(LOG10(N(Database!$BH214)/Screener!$D$13))/W_PEHW))</f>
        <v/>
      </c>
      <c r="J214" s="270">
        <f>IF(OR(N(Database!$S214)&lt;=0,N(Screener!$D$14)&lt;=0),0,MAX(0,1-ABS(LOG10(Database!$S214/Screener!$D$14))/0.6))</f>
        <v/>
      </c>
      <c r="K214" s="270">
        <f>IF(Database!$B214=Screener!$B$5,-999999,IF(ISNUMBER(SEARCH(","&amp;Database!$A214&amp;",",","&amp;SUBSTITUTE(Screener!$D$17," ","")&amp;",")),2000000,IF(IF(OR(Screener!$B$18="All",AND(Screener!$B$18="With A-share",(Database!$BM214="Y")),AND(Screener!$B$18="Without A-share",NOT((Database!$BM214="Y")))),1,0)=0,-999999,IF(Screener!$B$16="cornerstone overlap first",H214*100000,IF(Screener!$B$16="demand-similar first",J214*100000,0))+W_SUB*B214+W_SEC*C214*(1-B214)+W_SIZE*D214+W_PROF*E214+W_AH*F214+W_REC*G214+W_CS*H214+W_PE*I214)))+ROW()/1000000</f>
        <v/>
      </c>
      <c r="AA214" s="270">
        <f>Database!B203</f>
        <v/>
      </c>
      <c r="AB214" s="270">
        <f>Database!D203</f>
        <v/>
      </c>
      <c r="AC214" s="270">
        <f>Database!E203</f>
        <v/>
      </c>
      <c r="AD214" s="270">
        <f>Database!I203</f>
        <v/>
      </c>
      <c r="AE214" s="270">
        <f>Database!BG203</f>
        <v/>
      </c>
      <c r="AF214" s="270">
        <f>Database!BM203</f>
        <v/>
      </c>
      <c r="AG214" s="270">
        <f>Database!H203</f>
        <v/>
      </c>
      <c r="AH214" s="270">
        <f>Database!BH203</f>
        <v/>
      </c>
    </row>
    <row r="215">
      <c r="A215" s="270">
        <f>Database!B215</f>
        <v/>
      </c>
      <c r="B215" s="270">
        <f>IF(AND(Screener!$D$8&lt;&gt;"",Database!$E215=Screener!$D$8),1,0)</f>
        <v/>
      </c>
      <c r="C215" s="270">
        <f>IF(AND(Screener!$D$7&lt;&gt;"",Database!$D215=Screener!$D$7),1,0)</f>
        <v/>
      </c>
      <c r="D215" s="270">
        <f>IF(OR(N(Database!$I215)&lt;=0,N(Screener!$D$9)&lt;=0),0,MAX(0,1-ABS(LOG10(N(Database!$I215)/Screener!$D$9))/W_SIZEHW))</f>
        <v/>
      </c>
      <c r="E215" s="270">
        <f>IF(OR(Database!$BG215="",Screener!$D$10=""),0,IF(Database!$BG215=Screener!$D$10,1,0))</f>
        <v/>
      </c>
      <c r="F215" s="270">
        <f>IF(OR(Database!$BM215="",Screener!$D$11=""),0,IF(Database!$BM215=Screener!$D$11,1,0))</f>
        <v/>
      </c>
      <c r="G215" s="270">
        <f>IF(OR(Database!$H215="",N(Screener!$D$12)&lt;=0),0,MAX(0,1-(N(Screener!$D$12)-Database!$H215)/W_RECD))</f>
        <v/>
      </c>
      <c r="H215" s="270">
        <f>IF($U$1="",0,N(ISNUMBER(SEARCH($U$1,Database!$AC215&amp;""))))+IF($V$1="",0,N(ISNUMBER(SEARCH($V$1,Database!$AC215&amp;""))))+IF($W$1="",0,N(ISNUMBER(SEARCH($W$1,Database!$AC215&amp;""))))+IF($X$1="",0,N(ISNUMBER(SEARCH($X$1,Database!$AC215&amp;""))))+IF($Y$1="",0,N(ISNUMBER(SEARCH($Y$1,Database!$AC215&amp;""))))+IF(Screener!$B$17="",0,N(ISNUMBER(SEARCH(LOWER(Screener!$B$17),Database!$AC215&amp;""))))</f>
        <v/>
      </c>
      <c r="I215" s="270">
        <f>IF(OR(N(Database!$BH215)&lt;=0,N(Screener!$D$13)&lt;=0),0,MAX(0,1-ABS(LOG10(N(Database!$BH215)/Screener!$D$13))/W_PEHW))</f>
        <v/>
      </c>
      <c r="J215" s="270">
        <f>IF(OR(N(Database!$S215)&lt;=0,N(Screener!$D$14)&lt;=0),0,MAX(0,1-ABS(LOG10(Database!$S215/Screener!$D$14))/0.6))</f>
        <v/>
      </c>
      <c r="K215" s="270">
        <f>IF(Database!$B215=Screener!$B$5,-999999,IF(ISNUMBER(SEARCH(","&amp;Database!$A215&amp;",",","&amp;SUBSTITUTE(Screener!$D$17," ","")&amp;",")),2000000,IF(IF(OR(Screener!$B$18="All",AND(Screener!$B$18="With A-share",(Database!$BM215="Y")),AND(Screener!$B$18="Without A-share",NOT((Database!$BM215="Y")))),1,0)=0,-999999,IF(Screener!$B$16="cornerstone overlap first",H215*100000,IF(Screener!$B$16="demand-similar first",J215*100000,0))+W_SUB*B215+W_SEC*C215*(1-B215)+W_SIZE*D215+W_PROF*E215+W_AH*F215+W_REC*G215+W_CS*H215+W_PE*I215)))+ROW()/1000000</f>
        <v/>
      </c>
      <c r="AA215" s="270">
        <f>Database!B204</f>
        <v/>
      </c>
      <c r="AB215" s="270">
        <f>Database!D204</f>
        <v/>
      </c>
      <c r="AC215" s="270">
        <f>Database!E204</f>
        <v/>
      </c>
      <c r="AD215" s="270">
        <f>Database!I204</f>
        <v/>
      </c>
      <c r="AE215" s="270">
        <f>Database!BG204</f>
        <v/>
      </c>
      <c r="AF215" s="270">
        <f>Database!BM204</f>
        <v/>
      </c>
      <c r="AG215" s="270">
        <f>Database!H204</f>
        <v/>
      </c>
      <c r="AH215" s="270">
        <f>Database!BH204</f>
        <v/>
      </c>
    </row>
    <row r="216">
      <c r="A216" s="270">
        <f>Database!B216</f>
        <v/>
      </c>
      <c r="B216" s="270">
        <f>IF(AND(Screener!$D$8&lt;&gt;"",Database!$E216=Screener!$D$8),1,0)</f>
        <v/>
      </c>
      <c r="C216" s="270">
        <f>IF(AND(Screener!$D$7&lt;&gt;"",Database!$D216=Screener!$D$7),1,0)</f>
        <v/>
      </c>
      <c r="D216" s="270">
        <f>IF(OR(N(Database!$I216)&lt;=0,N(Screener!$D$9)&lt;=0),0,MAX(0,1-ABS(LOG10(N(Database!$I216)/Screener!$D$9))/W_SIZEHW))</f>
        <v/>
      </c>
      <c r="E216" s="270">
        <f>IF(OR(Database!$BG216="",Screener!$D$10=""),0,IF(Database!$BG216=Screener!$D$10,1,0))</f>
        <v/>
      </c>
      <c r="F216" s="270">
        <f>IF(OR(Database!$BM216="",Screener!$D$11=""),0,IF(Database!$BM216=Screener!$D$11,1,0))</f>
        <v/>
      </c>
      <c r="G216" s="270">
        <f>IF(OR(Database!$H216="",N(Screener!$D$12)&lt;=0),0,MAX(0,1-(N(Screener!$D$12)-Database!$H216)/W_RECD))</f>
        <v/>
      </c>
      <c r="H216" s="270">
        <f>IF($U$1="",0,N(ISNUMBER(SEARCH($U$1,Database!$AC216&amp;""))))+IF($V$1="",0,N(ISNUMBER(SEARCH($V$1,Database!$AC216&amp;""))))+IF($W$1="",0,N(ISNUMBER(SEARCH($W$1,Database!$AC216&amp;""))))+IF($X$1="",0,N(ISNUMBER(SEARCH($X$1,Database!$AC216&amp;""))))+IF($Y$1="",0,N(ISNUMBER(SEARCH($Y$1,Database!$AC216&amp;""))))+IF(Screener!$B$17="",0,N(ISNUMBER(SEARCH(LOWER(Screener!$B$17),Database!$AC216&amp;""))))</f>
        <v/>
      </c>
      <c r="I216" s="270">
        <f>IF(OR(N(Database!$BH216)&lt;=0,N(Screener!$D$13)&lt;=0),0,MAX(0,1-ABS(LOG10(N(Database!$BH216)/Screener!$D$13))/W_PEHW))</f>
        <v/>
      </c>
      <c r="J216" s="270">
        <f>IF(OR(N(Database!$S216)&lt;=0,N(Screener!$D$14)&lt;=0),0,MAX(0,1-ABS(LOG10(Database!$S216/Screener!$D$14))/0.6))</f>
        <v/>
      </c>
      <c r="K216" s="270">
        <f>IF(Database!$B216=Screener!$B$5,-999999,IF(ISNUMBER(SEARCH(","&amp;Database!$A216&amp;",",","&amp;SUBSTITUTE(Screener!$D$17," ","")&amp;",")),2000000,IF(IF(OR(Screener!$B$18="All",AND(Screener!$B$18="With A-share",(Database!$BM216="Y")),AND(Screener!$B$18="Without A-share",NOT((Database!$BM216="Y")))),1,0)=0,-999999,IF(Screener!$B$16="cornerstone overlap first",H216*100000,IF(Screener!$B$16="demand-similar first",J216*100000,0))+W_SUB*B216+W_SEC*C216*(1-B216)+W_SIZE*D216+W_PROF*E216+W_AH*F216+W_REC*G216+W_CS*H216+W_PE*I216)))+ROW()/1000000</f>
        <v/>
      </c>
      <c r="AA216" s="270">
        <f>Database!B205</f>
        <v/>
      </c>
      <c r="AB216" s="270">
        <f>Database!D205</f>
        <v/>
      </c>
      <c r="AC216" s="270">
        <f>Database!E205</f>
        <v/>
      </c>
      <c r="AD216" s="270">
        <f>Database!I205</f>
        <v/>
      </c>
      <c r="AE216" s="270">
        <f>Database!BG205</f>
        <v/>
      </c>
      <c r="AF216" s="270">
        <f>Database!BM205</f>
        <v/>
      </c>
      <c r="AG216" s="270">
        <f>Database!H205</f>
        <v/>
      </c>
      <c r="AH216" s="270">
        <f>Database!BH205</f>
        <v/>
      </c>
    </row>
    <row r="217">
      <c r="A217" s="270">
        <f>Database!B217</f>
        <v/>
      </c>
      <c r="B217" s="270">
        <f>IF(AND(Screener!$D$8&lt;&gt;"",Database!$E217=Screener!$D$8),1,0)</f>
        <v/>
      </c>
      <c r="C217" s="270">
        <f>IF(AND(Screener!$D$7&lt;&gt;"",Database!$D217=Screener!$D$7),1,0)</f>
        <v/>
      </c>
      <c r="D217" s="270">
        <f>IF(OR(N(Database!$I217)&lt;=0,N(Screener!$D$9)&lt;=0),0,MAX(0,1-ABS(LOG10(N(Database!$I217)/Screener!$D$9))/W_SIZEHW))</f>
        <v/>
      </c>
      <c r="E217" s="270">
        <f>IF(OR(Database!$BG217="",Screener!$D$10=""),0,IF(Database!$BG217=Screener!$D$10,1,0))</f>
        <v/>
      </c>
      <c r="F217" s="270">
        <f>IF(OR(Database!$BM217="",Screener!$D$11=""),0,IF(Database!$BM217=Screener!$D$11,1,0))</f>
        <v/>
      </c>
      <c r="G217" s="270">
        <f>IF(OR(Database!$H217="",N(Screener!$D$12)&lt;=0),0,MAX(0,1-(N(Screener!$D$12)-Database!$H217)/W_RECD))</f>
        <v/>
      </c>
      <c r="H217" s="270">
        <f>IF($U$1="",0,N(ISNUMBER(SEARCH($U$1,Database!$AC217&amp;""))))+IF($V$1="",0,N(ISNUMBER(SEARCH($V$1,Database!$AC217&amp;""))))+IF($W$1="",0,N(ISNUMBER(SEARCH($W$1,Database!$AC217&amp;""))))+IF($X$1="",0,N(ISNUMBER(SEARCH($X$1,Database!$AC217&amp;""))))+IF($Y$1="",0,N(ISNUMBER(SEARCH($Y$1,Database!$AC217&amp;""))))+IF(Screener!$B$17="",0,N(ISNUMBER(SEARCH(LOWER(Screener!$B$17),Database!$AC217&amp;""))))</f>
        <v/>
      </c>
      <c r="I217" s="270">
        <f>IF(OR(N(Database!$BH217)&lt;=0,N(Screener!$D$13)&lt;=0),0,MAX(0,1-ABS(LOG10(N(Database!$BH217)/Screener!$D$13))/W_PEHW))</f>
        <v/>
      </c>
      <c r="J217" s="270">
        <f>IF(OR(N(Database!$S217)&lt;=0,N(Screener!$D$14)&lt;=0),0,MAX(0,1-ABS(LOG10(Database!$S217/Screener!$D$14))/0.6))</f>
        <v/>
      </c>
      <c r="K217" s="270">
        <f>IF(Database!$B217=Screener!$B$5,-999999,IF(ISNUMBER(SEARCH(","&amp;Database!$A217&amp;",",","&amp;SUBSTITUTE(Screener!$D$17," ","")&amp;",")),2000000,IF(IF(OR(Screener!$B$18="All",AND(Screener!$B$18="With A-share",(Database!$BM217="Y")),AND(Screener!$B$18="Without A-share",NOT((Database!$BM217="Y")))),1,0)=0,-999999,IF(Screener!$B$16="cornerstone overlap first",H217*100000,IF(Screener!$B$16="demand-similar first",J217*100000,0))+W_SUB*B217+W_SEC*C217*(1-B217)+W_SIZE*D217+W_PROF*E217+W_AH*F217+W_REC*G217+W_CS*H217+W_PE*I217)))+ROW()/1000000</f>
        <v/>
      </c>
      <c r="AA217" s="270">
        <f>Database!B206</f>
        <v/>
      </c>
      <c r="AB217" s="270">
        <f>Database!D206</f>
        <v/>
      </c>
      <c r="AC217" s="270">
        <f>Database!E206</f>
        <v/>
      </c>
      <c r="AD217" s="270">
        <f>Database!I206</f>
        <v/>
      </c>
      <c r="AE217" s="270">
        <f>Database!BG206</f>
        <v/>
      </c>
      <c r="AF217" s="270">
        <f>Database!BM206</f>
        <v/>
      </c>
      <c r="AG217" s="270">
        <f>Database!H206</f>
        <v/>
      </c>
      <c r="AH217" s="270">
        <f>Database!BH206</f>
        <v/>
      </c>
    </row>
    <row r="218">
      <c r="A218" s="270">
        <f>Database!B218</f>
        <v/>
      </c>
      <c r="B218" s="270">
        <f>IF(AND(Screener!$D$8&lt;&gt;"",Database!$E218=Screener!$D$8),1,0)</f>
        <v/>
      </c>
      <c r="C218" s="270">
        <f>IF(AND(Screener!$D$7&lt;&gt;"",Database!$D218=Screener!$D$7),1,0)</f>
        <v/>
      </c>
      <c r="D218" s="270">
        <f>IF(OR(N(Database!$I218)&lt;=0,N(Screener!$D$9)&lt;=0),0,MAX(0,1-ABS(LOG10(N(Database!$I218)/Screener!$D$9))/W_SIZEHW))</f>
        <v/>
      </c>
      <c r="E218" s="270">
        <f>IF(OR(Database!$BG218="",Screener!$D$10=""),0,IF(Database!$BG218=Screener!$D$10,1,0))</f>
        <v/>
      </c>
      <c r="F218" s="270">
        <f>IF(OR(Database!$BM218="",Screener!$D$11=""),0,IF(Database!$BM218=Screener!$D$11,1,0))</f>
        <v/>
      </c>
      <c r="G218" s="270">
        <f>IF(OR(Database!$H218="",N(Screener!$D$12)&lt;=0),0,MAX(0,1-(N(Screener!$D$12)-Database!$H218)/W_RECD))</f>
        <v/>
      </c>
      <c r="H218" s="270">
        <f>IF($U$1="",0,N(ISNUMBER(SEARCH($U$1,Database!$AC218&amp;""))))+IF($V$1="",0,N(ISNUMBER(SEARCH($V$1,Database!$AC218&amp;""))))+IF($W$1="",0,N(ISNUMBER(SEARCH($W$1,Database!$AC218&amp;""))))+IF($X$1="",0,N(ISNUMBER(SEARCH($X$1,Database!$AC218&amp;""))))+IF($Y$1="",0,N(ISNUMBER(SEARCH($Y$1,Database!$AC218&amp;""))))+IF(Screener!$B$17="",0,N(ISNUMBER(SEARCH(LOWER(Screener!$B$17),Database!$AC218&amp;""))))</f>
        <v/>
      </c>
      <c r="I218" s="270">
        <f>IF(OR(N(Database!$BH218)&lt;=0,N(Screener!$D$13)&lt;=0),0,MAX(0,1-ABS(LOG10(N(Database!$BH218)/Screener!$D$13))/W_PEHW))</f>
        <v/>
      </c>
      <c r="J218" s="270">
        <f>IF(OR(N(Database!$S218)&lt;=0,N(Screener!$D$14)&lt;=0),0,MAX(0,1-ABS(LOG10(Database!$S218/Screener!$D$14))/0.6))</f>
        <v/>
      </c>
      <c r="K218" s="270">
        <f>IF(Database!$B218=Screener!$B$5,-999999,IF(ISNUMBER(SEARCH(","&amp;Database!$A218&amp;",",","&amp;SUBSTITUTE(Screener!$D$17," ","")&amp;",")),2000000,IF(IF(OR(Screener!$B$18="All",AND(Screener!$B$18="With A-share",(Database!$BM218="Y")),AND(Screener!$B$18="Without A-share",NOT((Database!$BM218="Y")))),1,0)=0,-999999,IF(Screener!$B$16="cornerstone overlap first",H218*100000,IF(Screener!$B$16="demand-similar first",J218*100000,0))+W_SUB*B218+W_SEC*C218*(1-B218)+W_SIZE*D218+W_PROF*E218+W_AH*F218+W_REC*G218+W_CS*H218+W_PE*I218)))+ROW()/1000000</f>
        <v/>
      </c>
      <c r="AA218" s="270">
        <f>Database!B207</f>
        <v/>
      </c>
      <c r="AB218" s="270">
        <f>Database!D207</f>
        <v/>
      </c>
      <c r="AC218" s="270">
        <f>Database!E207</f>
        <v/>
      </c>
      <c r="AD218" s="270">
        <f>Database!I207</f>
        <v/>
      </c>
      <c r="AE218" s="270">
        <f>Database!BG207</f>
        <v/>
      </c>
      <c r="AF218" s="270">
        <f>Database!BM207</f>
        <v/>
      </c>
      <c r="AG218" s="270">
        <f>Database!H207</f>
        <v/>
      </c>
      <c r="AH218" s="270">
        <f>Database!BH207</f>
        <v/>
      </c>
    </row>
    <row r="219">
      <c r="A219" s="270">
        <f>Database!B219</f>
        <v/>
      </c>
      <c r="B219" s="270">
        <f>IF(AND(Screener!$D$8&lt;&gt;"",Database!$E219=Screener!$D$8),1,0)</f>
        <v/>
      </c>
      <c r="C219" s="270">
        <f>IF(AND(Screener!$D$7&lt;&gt;"",Database!$D219=Screener!$D$7),1,0)</f>
        <v/>
      </c>
      <c r="D219" s="270">
        <f>IF(OR(N(Database!$I219)&lt;=0,N(Screener!$D$9)&lt;=0),0,MAX(0,1-ABS(LOG10(N(Database!$I219)/Screener!$D$9))/W_SIZEHW))</f>
        <v/>
      </c>
      <c r="E219" s="270">
        <f>IF(OR(Database!$BG219="",Screener!$D$10=""),0,IF(Database!$BG219=Screener!$D$10,1,0))</f>
        <v/>
      </c>
      <c r="F219" s="270">
        <f>IF(OR(Database!$BM219="",Screener!$D$11=""),0,IF(Database!$BM219=Screener!$D$11,1,0))</f>
        <v/>
      </c>
      <c r="G219" s="270">
        <f>IF(OR(Database!$H219="",N(Screener!$D$12)&lt;=0),0,MAX(0,1-(N(Screener!$D$12)-Database!$H219)/W_RECD))</f>
        <v/>
      </c>
      <c r="H219" s="270">
        <f>IF($U$1="",0,N(ISNUMBER(SEARCH($U$1,Database!$AC219&amp;""))))+IF($V$1="",0,N(ISNUMBER(SEARCH($V$1,Database!$AC219&amp;""))))+IF($W$1="",0,N(ISNUMBER(SEARCH($W$1,Database!$AC219&amp;""))))+IF($X$1="",0,N(ISNUMBER(SEARCH($X$1,Database!$AC219&amp;""))))+IF($Y$1="",0,N(ISNUMBER(SEARCH($Y$1,Database!$AC219&amp;""))))+IF(Screener!$B$17="",0,N(ISNUMBER(SEARCH(LOWER(Screener!$B$17),Database!$AC219&amp;""))))</f>
        <v/>
      </c>
      <c r="I219" s="270">
        <f>IF(OR(N(Database!$BH219)&lt;=0,N(Screener!$D$13)&lt;=0),0,MAX(0,1-ABS(LOG10(N(Database!$BH219)/Screener!$D$13))/W_PEHW))</f>
        <v/>
      </c>
      <c r="J219" s="270">
        <f>IF(OR(N(Database!$S219)&lt;=0,N(Screener!$D$14)&lt;=0),0,MAX(0,1-ABS(LOG10(Database!$S219/Screener!$D$14))/0.6))</f>
        <v/>
      </c>
      <c r="K219" s="270">
        <f>IF(Database!$B219=Screener!$B$5,-999999,IF(ISNUMBER(SEARCH(","&amp;Database!$A219&amp;",",","&amp;SUBSTITUTE(Screener!$D$17," ","")&amp;",")),2000000,IF(IF(OR(Screener!$B$18="All",AND(Screener!$B$18="With A-share",(Database!$BM219="Y")),AND(Screener!$B$18="Without A-share",NOT((Database!$BM219="Y")))),1,0)=0,-999999,IF(Screener!$B$16="cornerstone overlap first",H219*100000,IF(Screener!$B$16="demand-similar first",J219*100000,0))+W_SUB*B219+W_SEC*C219*(1-B219)+W_SIZE*D219+W_PROF*E219+W_AH*F219+W_REC*G219+W_CS*H219+W_PE*I219)))+ROW()/1000000</f>
        <v/>
      </c>
      <c r="AA219" s="270">
        <f>Database!B208</f>
        <v/>
      </c>
      <c r="AB219" s="270">
        <f>Database!D208</f>
        <v/>
      </c>
      <c r="AC219" s="270">
        <f>Database!E208</f>
        <v/>
      </c>
      <c r="AD219" s="270">
        <f>Database!I208</f>
        <v/>
      </c>
      <c r="AE219" s="270">
        <f>Database!BG208</f>
        <v/>
      </c>
      <c r="AF219" s="270">
        <f>Database!BM208</f>
        <v/>
      </c>
      <c r="AG219" s="270">
        <f>Database!H208</f>
        <v/>
      </c>
      <c r="AH219" s="270">
        <f>Database!BH208</f>
        <v/>
      </c>
    </row>
    <row r="220">
      <c r="A220" s="270">
        <f>Database!B220</f>
        <v/>
      </c>
      <c r="B220" s="270">
        <f>IF(AND(Screener!$D$8&lt;&gt;"",Database!$E220=Screener!$D$8),1,0)</f>
        <v/>
      </c>
      <c r="C220" s="270">
        <f>IF(AND(Screener!$D$7&lt;&gt;"",Database!$D220=Screener!$D$7),1,0)</f>
        <v/>
      </c>
      <c r="D220" s="270">
        <f>IF(OR(N(Database!$I220)&lt;=0,N(Screener!$D$9)&lt;=0),0,MAX(0,1-ABS(LOG10(N(Database!$I220)/Screener!$D$9))/W_SIZEHW))</f>
        <v/>
      </c>
      <c r="E220" s="270">
        <f>IF(OR(Database!$BG220="",Screener!$D$10=""),0,IF(Database!$BG220=Screener!$D$10,1,0))</f>
        <v/>
      </c>
      <c r="F220" s="270">
        <f>IF(OR(Database!$BM220="",Screener!$D$11=""),0,IF(Database!$BM220=Screener!$D$11,1,0))</f>
        <v/>
      </c>
      <c r="G220" s="270">
        <f>IF(OR(Database!$H220="",N(Screener!$D$12)&lt;=0),0,MAX(0,1-(N(Screener!$D$12)-Database!$H220)/W_RECD))</f>
        <v/>
      </c>
      <c r="H220" s="270">
        <f>IF($U$1="",0,N(ISNUMBER(SEARCH($U$1,Database!$AC220&amp;""))))+IF($V$1="",0,N(ISNUMBER(SEARCH($V$1,Database!$AC220&amp;""))))+IF($W$1="",0,N(ISNUMBER(SEARCH($W$1,Database!$AC220&amp;""))))+IF($X$1="",0,N(ISNUMBER(SEARCH($X$1,Database!$AC220&amp;""))))+IF($Y$1="",0,N(ISNUMBER(SEARCH($Y$1,Database!$AC220&amp;""))))+IF(Screener!$B$17="",0,N(ISNUMBER(SEARCH(LOWER(Screener!$B$17),Database!$AC220&amp;""))))</f>
        <v/>
      </c>
      <c r="I220" s="270">
        <f>IF(OR(N(Database!$BH220)&lt;=0,N(Screener!$D$13)&lt;=0),0,MAX(0,1-ABS(LOG10(N(Database!$BH220)/Screener!$D$13))/W_PEHW))</f>
        <v/>
      </c>
      <c r="J220" s="270">
        <f>IF(OR(N(Database!$S220)&lt;=0,N(Screener!$D$14)&lt;=0),0,MAX(0,1-ABS(LOG10(Database!$S220/Screener!$D$14))/0.6))</f>
        <v/>
      </c>
      <c r="K220" s="270">
        <f>IF(Database!$B220=Screener!$B$5,-999999,IF(ISNUMBER(SEARCH(","&amp;Database!$A220&amp;",",","&amp;SUBSTITUTE(Screener!$D$17," ","")&amp;",")),2000000,IF(IF(OR(Screener!$B$18="All",AND(Screener!$B$18="With A-share",(Database!$BM220="Y")),AND(Screener!$B$18="Without A-share",NOT((Database!$BM220="Y")))),1,0)=0,-999999,IF(Screener!$B$16="cornerstone overlap first",H220*100000,IF(Screener!$B$16="demand-similar first",J220*100000,0))+W_SUB*B220+W_SEC*C220*(1-B220)+W_SIZE*D220+W_PROF*E220+W_AH*F220+W_REC*G220+W_CS*H220+W_PE*I220)))+ROW()/1000000</f>
        <v/>
      </c>
      <c r="AA220" s="270">
        <f>Database!B209</f>
        <v/>
      </c>
      <c r="AB220" s="270">
        <f>Database!D209</f>
        <v/>
      </c>
      <c r="AC220" s="270">
        <f>Database!E209</f>
        <v/>
      </c>
      <c r="AD220" s="270">
        <f>Database!I209</f>
        <v/>
      </c>
      <c r="AE220" s="270">
        <f>Database!BG209</f>
        <v/>
      </c>
      <c r="AF220" s="270">
        <f>Database!BM209</f>
        <v/>
      </c>
      <c r="AG220" s="270">
        <f>Database!H209</f>
        <v/>
      </c>
      <c r="AH220" s="270">
        <f>Database!BH209</f>
        <v/>
      </c>
    </row>
    <row r="221">
      <c r="A221" s="270">
        <f>Database!B221</f>
        <v/>
      </c>
      <c r="B221" s="270">
        <f>IF(AND(Screener!$D$8&lt;&gt;"",Database!$E221=Screener!$D$8),1,0)</f>
        <v/>
      </c>
      <c r="C221" s="270">
        <f>IF(AND(Screener!$D$7&lt;&gt;"",Database!$D221=Screener!$D$7),1,0)</f>
        <v/>
      </c>
      <c r="D221" s="270">
        <f>IF(OR(N(Database!$I221)&lt;=0,N(Screener!$D$9)&lt;=0),0,MAX(0,1-ABS(LOG10(N(Database!$I221)/Screener!$D$9))/W_SIZEHW))</f>
        <v/>
      </c>
      <c r="E221" s="270">
        <f>IF(OR(Database!$BG221="",Screener!$D$10=""),0,IF(Database!$BG221=Screener!$D$10,1,0))</f>
        <v/>
      </c>
      <c r="F221" s="270">
        <f>IF(OR(Database!$BM221="",Screener!$D$11=""),0,IF(Database!$BM221=Screener!$D$11,1,0))</f>
        <v/>
      </c>
      <c r="G221" s="270">
        <f>IF(OR(Database!$H221="",N(Screener!$D$12)&lt;=0),0,MAX(0,1-(N(Screener!$D$12)-Database!$H221)/W_RECD))</f>
        <v/>
      </c>
      <c r="H221" s="270">
        <f>IF($U$1="",0,N(ISNUMBER(SEARCH($U$1,Database!$AC221&amp;""))))+IF($V$1="",0,N(ISNUMBER(SEARCH($V$1,Database!$AC221&amp;""))))+IF($W$1="",0,N(ISNUMBER(SEARCH($W$1,Database!$AC221&amp;""))))+IF($X$1="",0,N(ISNUMBER(SEARCH($X$1,Database!$AC221&amp;""))))+IF($Y$1="",0,N(ISNUMBER(SEARCH($Y$1,Database!$AC221&amp;""))))+IF(Screener!$B$17="",0,N(ISNUMBER(SEARCH(LOWER(Screener!$B$17),Database!$AC221&amp;""))))</f>
        <v/>
      </c>
      <c r="I221" s="270">
        <f>IF(OR(N(Database!$BH221)&lt;=0,N(Screener!$D$13)&lt;=0),0,MAX(0,1-ABS(LOG10(N(Database!$BH221)/Screener!$D$13))/W_PEHW))</f>
        <v/>
      </c>
      <c r="J221" s="270">
        <f>IF(OR(N(Database!$S221)&lt;=0,N(Screener!$D$14)&lt;=0),0,MAX(0,1-ABS(LOG10(Database!$S221/Screener!$D$14))/0.6))</f>
        <v/>
      </c>
      <c r="K221" s="270">
        <f>IF(Database!$B221=Screener!$B$5,-999999,IF(ISNUMBER(SEARCH(","&amp;Database!$A221&amp;",",","&amp;SUBSTITUTE(Screener!$D$17," ","")&amp;",")),2000000,IF(IF(OR(Screener!$B$18="All",AND(Screener!$B$18="With A-share",(Database!$BM221="Y")),AND(Screener!$B$18="Without A-share",NOT((Database!$BM221="Y")))),1,0)=0,-999999,IF(Screener!$B$16="cornerstone overlap first",H221*100000,IF(Screener!$B$16="demand-similar first",J221*100000,0))+W_SUB*B221+W_SEC*C221*(1-B221)+W_SIZE*D221+W_PROF*E221+W_AH*F221+W_REC*G221+W_CS*H221+W_PE*I221)))+ROW()/1000000</f>
        <v/>
      </c>
      <c r="AA221" s="270">
        <f>Database!B210</f>
        <v/>
      </c>
      <c r="AB221" s="270">
        <f>Database!D210</f>
        <v/>
      </c>
      <c r="AC221" s="270">
        <f>Database!E210</f>
        <v/>
      </c>
      <c r="AD221" s="270">
        <f>Database!I210</f>
        <v/>
      </c>
      <c r="AE221" s="270">
        <f>Database!BG210</f>
        <v/>
      </c>
      <c r="AF221" s="270">
        <f>Database!BM210</f>
        <v/>
      </c>
      <c r="AG221" s="270">
        <f>Database!H210</f>
        <v/>
      </c>
      <c r="AH221" s="270">
        <f>Database!BH210</f>
        <v/>
      </c>
    </row>
    <row r="222">
      <c r="A222" s="270">
        <f>Database!B222</f>
        <v/>
      </c>
      <c r="B222" s="270">
        <f>IF(AND(Screener!$D$8&lt;&gt;"",Database!$E222=Screener!$D$8),1,0)</f>
        <v/>
      </c>
      <c r="C222" s="270">
        <f>IF(AND(Screener!$D$7&lt;&gt;"",Database!$D222=Screener!$D$7),1,0)</f>
        <v/>
      </c>
      <c r="D222" s="270">
        <f>IF(OR(N(Database!$I222)&lt;=0,N(Screener!$D$9)&lt;=0),0,MAX(0,1-ABS(LOG10(N(Database!$I222)/Screener!$D$9))/W_SIZEHW))</f>
        <v/>
      </c>
      <c r="E222" s="270">
        <f>IF(OR(Database!$BG222="",Screener!$D$10=""),0,IF(Database!$BG222=Screener!$D$10,1,0))</f>
        <v/>
      </c>
      <c r="F222" s="270">
        <f>IF(OR(Database!$BM222="",Screener!$D$11=""),0,IF(Database!$BM222=Screener!$D$11,1,0))</f>
        <v/>
      </c>
      <c r="G222" s="270">
        <f>IF(OR(Database!$H222="",N(Screener!$D$12)&lt;=0),0,MAX(0,1-(N(Screener!$D$12)-Database!$H222)/W_RECD))</f>
        <v/>
      </c>
      <c r="H222" s="270">
        <f>IF($U$1="",0,N(ISNUMBER(SEARCH($U$1,Database!$AC222&amp;""))))+IF($V$1="",0,N(ISNUMBER(SEARCH($V$1,Database!$AC222&amp;""))))+IF($W$1="",0,N(ISNUMBER(SEARCH($W$1,Database!$AC222&amp;""))))+IF($X$1="",0,N(ISNUMBER(SEARCH($X$1,Database!$AC222&amp;""))))+IF($Y$1="",0,N(ISNUMBER(SEARCH($Y$1,Database!$AC222&amp;""))))+IF(Screener!$B$17="",0,N(ISNUMBER(SEARCH(LOWER(Screener!$B$17),Database!$AC222&amp;""))))</f>
        <v/>
      </c>
      <c r="I222" s="270">
        <f>IF(OR(N(Database!$BH222)&lt;=0,N(Screener!$D$13)&lt;=0),0,MAX(0,1-ABS(LOG10(N(Database!$BH222)/Screener!$D$13))/W_PEHW))</f>
        <v/>
      </c>
      <c r="J222" s="270">
        <f>IF(OR(N(Database!$S222)&lt;=0,N(Screener!$D$14)&lt;=0),0,MAX(0,1-ABS(LOG10(Database!$S222/Screener!$D$14))/0.6))</f>
        <v/>
      </c>
      <c r="K222" s="270">
        <f>IF(Database!$B222=Screener!$B$5,-999999,IF(ISNUMBER(SEARCH(","&amp;Database!$A222&amp;",",","&amp;SUBSTITUTE(Screener!$D$17," ","")&amp;",")),2000000,IF(IF(OR(Screener!$B$18="All",AND(Screener!$B$18="With A-share",(Database!$BM222="Y")),AND(Screener!$B$18="Without A-share",NOT((Database!$BM222="Y")))),1,0)=0,-999999,IF(Screener!$B$16="cornerstone overlap first",H222*100000,IF(Screener!$B$16="demand-similar first",J222*100000,0))+W_SUB*B222+W_SEC*C222*(1-B222)+W_SIZE*D222+W_PROF*E222+W_AH*F222+W_REC*G222+W_CS*H222+W_PE*I222)))+ROW()/1000000</f>
        <v/>
      </c>
      <c r="AA222" s="270">
        <f>Database!B211</f>
        <v/>
      </c>
      <c r="AB222" s="270">
        <f>Database!D211</f>
        <v/>
      </c>
      <c r="AC222" s="270">
        <f>Database!E211</f>
        <v/>
      </c>
      <c r="AD222" s="270">
        <f>Database!I211</f>
        <v/>
      </c>
      <c r="AE222" s="270">
        <f>Database!BG211</f>
        <v/>
      </c>
      <c r="AF222" s="270">
        <f>Database!BM211</f>
        <v/>
      </c>
      <c r="AG222" s="270">
        <f>Database!H211</f>
        <v/>
      </c>
      <c r="AH222" s="270">
        <f>Database!BH211</f>
        <v/>
      </c>
    </row>
    <row r="223">
      <c r="A223" s="270">
        <f>Database!B223</f>
        <v/>
      </c>
      <c r="B223" s="270">
        <f>IF(AND(Screener!$D$8&lt;&gt;"",Database!$E223=Screener!$D$8),1,0)</f>
        <v/>
      </c>
      <c r="C223" s="270">
        <f>IF(AND(Screener!$D$7&lt;&gt;"",Database!$D223=Screener!$D$7),1,0)</f>
        <v/>
      </c>
      <c r="D223" s="270">
        <f>IF(OR(N(Database!$I223)&lt;=0,N(Screener!$D$9)&lt;=0),0,MAX(0,1-ABS(LOG10(N(Database!$I223)/Screener!$D$9))/W_SIZEHW))</f>
        <v/>
      </c>
      <c r="E223" s="270">
        <f>IF(OR(Database!$BG223="",Screener!$D$10=""),0,IF(Database!$BG223=Screener!$D$10,1,0))</f>
        <v/>
      </c>
      <c r="F223" s="270">
        <f>IF(OR(Database!$BM223="",Screener!$D$11=""),0,IF(Database!$BM223=Screener!$D$11,1,0))</f>
        <v/>
      </c>
      <c r="G223" s="270">
        <f>IF(OR(Database!$H223="",N(Screener!$D$12)&lt;=0),0,MAX(0,1-(N(Screener!$D$12)-Database!$H223)/W_RECD))</f>
        <v/>
      </c>
      <c r="H223" s="270">
        <f>IF($U$1="",0,N(ISNUMBER(SEARCH($U$1,Database!$AC223&amp;""))))+IF($V$1="",0,N(ISNUMBER(SEARCH($V$1,Database!$AC223&amp;""))))+IF($W$1="",0,N(ISNUMBER(SEARCH($W$1,Database!$AC223&amp;""))))+IF($X$1="",0,N(ISNUMBER(SEARCH($X$1,Database!$AC223&amp;""))))+IF($Y$1="",0,N(ISNUMBER(SEARCH($Y$1,Database!$AC223&amp;""))))+IF(Screener!$B$17="",0,N(ISNUMBER(SEARCH(LOWER(Screener!$B$17),Database!$AC223&amp;""))))</f>
        <v/>
      </c>
      <c r="I223" s="270">
        <f>IF(OR(N(Database!$BH223)&lt;=0,N(Screener!$D$13)&lt;=0),0,MAX(0,1-ABS(LOG10(N(Database!$BH223)/Screener!$D$13))/W_PEHW))</f>
        <v/>
      </c>
      <c r="J223" s="270">
        <f>IF(OR(N(Database!$S223)&lt;=0,N(Screener!$D$14)&lt;=0),0,MAX(0,1-ABS(LOG10(Database!$S223/Screener!$D$14))/0.6))</f>
        <v/>
      </c>
      <c r="K223" s="270">
        <f>IF(Database!$B223=Screener!$B$5,-999999,IF(ISNUMBER(SEARCH(","&amp;Database!$A223&amp;",",","&amp;SUBSTITUTE(Screener!$D$17," ","")&amp;",")),2000000,IF(IF(OR(Screener!$B$18="All",AND(Screener!$B$18="With A-share",(Database!$BM223="Y")),AND(Screener!$B$18="Without A-share",NOT((Database!$BM223="Y")))),1,0)=0,-999999,IF(Screener!$B$16="cornerstone overlap first",H223*100000,IF(Screener!$B$16="demand-similar first",J223*100000,0))+W_SUB*B223+W_SEC*C223*(1-B223)+W_SIZE*D223+W_PROF*E223+W_AH*F223+W_REC*G223+W_CS*H223+W_PE*I223)))+ROW()/1000000</f>
        <v/>
      </c>
      <c r="AA223" s="270">
        <f>Database!B212</f>
        <v/>
      </c>
      <c r="AB223" s="270">
        <f>Database!D212</f>
        <v/>
      </c>
      <c r="AC223" s="270">
        <f>Database!E212</f>
        <v/>
      </c>
      <c r="AD223" s="270">
        <f>Database!I212</f>
        <v/>
      </c>
      <c r="AE223" s="270">
        <f>Database!BG212</f>
        <v/>
      </c>
      <c r="AF223" s="270">
        <f>Database!BM212</f>
        <v/>
      </c>
      <c r="AG223" s="270">
        <f>Database!H212</f>
        <v/>
      </c>
      <c r="AH223" s="270">
        <f>Database!BH212</f>
        <v/>
      </c>
    </row>
    <row r="224">
      <c r="A224" s="270">
        <f>Database!B224</f>
        <v/>
      </c>
      <c r="B224" s="270">
        <f>IF(AND(Screener!$D$8&lt;&gt;"",Database!$E224=Screener!$D$8),1,0)</f>
        <v/>
      </c>
      <c r="C224" s="270">
        <f>IF(AND(Screener!$D$7&lt;&gt;"",Database!$D224=Screener!$D$7),1,0)</f>
        <v/>
      </c>
      <c r="D224" s="270">
        <f>IF(OR(N(Database!$I224)&lt;=0,N(Screener!$D$9)&lt;=0),0,MAX(0,1-ABS(LOG10(N(Database!$I224)/Screener!$D$9))/W_SIZEHW))</f>
        <v/>
      </c>
      <c r="E224" s="270">
        <f>IF(OR(Database!$BG224="",Screener!$D$10=""),0,IF(Database!$BG224=Screener!$D$10,1,0))</f>
        <v/>
      </c>
      <c r="F224" s="270">
        <f>IF(OR(Database!$BM224="",Screener!$D$11=""),0,IF(Database!$BM224=Screener!$D$11,1,0))</f>
        <v/>
      </c>
      <c r="G224" s="270">
        <f>IF(OR(Database!$H224="",N(Screener!$D$12)&lt;=0),0,MAX(0,1-(N(Screener!$D$12)-Database!$H224)/W_RECD))</f>
        <v/>
      </c>
      <c r="H224" s="270">
        <f>IF($U$1="",0,N(ISNUMBER(SEARCH($U$1,Database!$AC224&amp;""))))+IF($V$1="",0,N(ISNUMBER(SEARCH($V$1,Database!$AC224&amp;""))))+IF($W$1="",0,N(ISNUMBER(SEARCH($W$1,Database!$AC224&amp;""))))+IF($X$1="",0,N(ISNUMBER(SEARCH($X$1,Database!$AC224&amp;""))))+IF($Y$1="",0,N(ISNUMBER(SEARCH($Y$1,Database!$AC224&amp;""))))+IF(Screener!$B$17="",0,N(ISNUMBER(SEARCH(LOWER(Screener!$B$17),Database!$AC224&amp;""))))</f>
        <v/>
      </c>
      <c r="I224" s="270">
        <f>IF(OR(N(Database!$BH224)&lt;=0,N(Screener!$D$13)&lt;=0),0,MAX(0,1-ABS(LOG10(N(Database!$BH224)/Screener!$D$13))/W_PEHW))</f>
        <v/>
      </c>
      <c r="J224" s="270">
        <f>IF(OR(N(Database!$S224)&lt;=0,N(Screener!$D$14)&lt;=0),0,MAX(0,1-ABS(LOG10(Database!$S224/Screener!$D$14))/0.6))</f>
        <v/>
      </c>
      <c r="K224" s="270">
        <f>IF(Database!$B224=Screener!$B$5,-999999,IF(ISNUMBER(SEARCH(","&amp;Database!$A224&amp;",",","&amp;SUBSTITUTE(Screener!$D$17," ","")&amp;",")),2000000,IF(IF(OR(Screener!$B$18="All",AND(Screener!$B$18="With A-share",(Database!$BM224="Y")),AND(Screener!$B$18="Without A-share",NOT((Database!$BM224="Y")))),1,0)=0,-999999,IF(Screener!$B$16="cornerstone overlap first",H224*100000,IF(Screener!$B$16="demand-similar first",J224*100000,0))+W_SUB*B224+W_SEC*C224*(1-B224)+W_SIZE*D224+W_PROF*E224+W_AH*F224+W_REC*G224+W_CS*H224+W_PE*I224)))+ROW()/1000000</f>
        <v/>
      </c>
      <c r="AA224" s="270">
        <f>Database!B213</f>
        <v/>
      </c>
      <c r="AB224" s="270">
        <f>Database!D213</f>
        <v/>
      </c>
      <c r="AC224" s="270">
        <f>Database!E213</f>
        <v/>
      </c>
      <c r="AD224" s="270">
        <f>Database!I213</f>
        <v/>
      </c>
      <c r="AE224" s="270">
        <f>Database!BG213</f>
        <v/>
      </c>
      <c r="AF224" s="270">
        <f>Database!BM213</f>
        <v/>
      </c>
      <c r="AG224" s="270">
        <f>Database!H213</f>
        <v/>
      </c>
      <c r="AH224" s="270">
        <f>Database!BH213</f>
        <v/>
      </c>
    </row>
    <row r="225">
      <c r="A225" s="270">
        <f>Database!B225</f>
        <v/>
      </c>
      <c r="B225" s="270">
        <f>IF(AND(Screener!$D$8&lt;&gt;"",Database!$E225=Screener!$D$8),1,0)</f>
        <v/>
      </c>
      <c r="C225" s="270">
        <f>IF(AND(Screener!$D$7&lt;&gt;"",Database!$D225=Screener!$D$7),1,0)</f>
        <v/>
      </c>
      <c r="D225" s="270">
        <f>IF(OR(N(Database!$I225)&lt;=0,N(Screener!$D$9)&lt;=0),0,MAX(0,1-ABS(LOG10(N(Database!$I225)/Screener!$D$9))/W_SIZEHW))</f>
        <v/>
      </c>
      <c r="E225" s="270">
        <f>IF(OR(Database!$BG225="",Screener!$D$10=""),0,IF(Database!$BG225=Screener!$D$10,1,0))</f>
        <v/>
      </c>
      <c r="F225" s="270">
        <f>IF(OR(Database!$BM225="",Screener!$D$11=""),0,IF(Database!$BM225=Screener!$D$11,1,0))</f>
        <v/>
      </c>
      <c r="G225" s="270">
        <f>IF(OR(Database!$H225="",N(Screener!$D$12)&lt;=0),0,MAX(0,1-(N(Screener!$D$12)-Database!$H225)/W_RECD))</f>
        <v/>
      </c>
      <c r="H225" s="270">
        <f>IF($U$1="",0,N(ISNUMBER(SEARCH($U$1,Database!$AC225&amp;""))))+IF($V$1="",0,N(ISNUMBER(SEARCH($V$1,Database!$AC225&amp;""))))+IF($W$1="",0,N(ISNUMBER(SEARCH($W$1,Database!$AC225&amp;""))))+IF($X$1="",0,N(ISNUMBER(SEARCH($X$1,Database!$AC225&amp;""))))+IF($Y$1="",0,N(ISNUMBER(SEARCH($Y$1,Database!$AC225&amp;""))))+IF(Screener!$B$17="",0,N(ISNUMBER(SEARCH(LOWER(Screener!$B$17),Database!$AC225&amp;""))))</f>
        <v/>
      </c>
      <c r="I225" s="270">
        <f>IF(OR(N(Database!$BH225)&lt;=0,N(Screener!$D$13)&lt;=0),0,MAX(0,1-ABS(LOG10(N(Database!$BH225)/Screener!$D$13))/W_PEHW))</f>
        <v/>
      </c>
      <c r="J225" s="270">
        <f>IF(OR(N(Database!$S225)&lt;=0,N(Screener!$D$14)&lt;=0),0,MAX(0,1-ABS(LOG10(Database!$S225/Screener!$D$14))/0.6))</f>
        <v/>
      </c>
      <c r="K225" s="270">
        <f>IF(Database!$B225=Screener!$B$5,-999999,IF(ISNUMBER(SEARCH(","&amp;Database!$A225&amp;",",","&amp;SUBSTITUTE(Screener!$D$17," ","")&amp;",")),2000000,IF(IF(OR(Screener!$B$18="All",AND(Screener!$B$18="With A-share",(Database!$BM225="Y")),AND(Screener!$B$18="Without A-share",NOT((Database!$BM225="Y")))),1,0)=0,-999999,IF(Screener!$B$16="cornerstone overlap first",H225*100000,IF(Screener!$B$16="demand-similar first",J225*100000,0))+W_SUB*B225+W_SEC*C225*(1-B225)+W_SIZE*D225+W_PROF*E225+W_AH*F225+W_REC*G225+W_CS*H225+W_PE*I225)))+ROW()/1000000</f>
        <v/>
      </c>
      <c r="AA225" s="270">
        <f>Database!B214</f>
        <v/>
      </c>
      <c r="AB225" s="270">
        <f>Database!D214</f>
        <v/>
      </c>
      <c r="AC225" s="270">
        <f>Database!E214</f>
        <v/>
      </c>
      <c r="AD225" s="270">
        <f>Database!I214</f>
        <v/>
      </c>
      <c r="AE225" s="270">
        <f>Database!BG214</f>
        <v/>
      </c>
      <c r="AF225" s="270">
        <f>Database!BM214</f>
        <v/>
      </c>
      <c r="AG225" s="270">
        <f>Database!H214</f>
        <v/>
      </c>
      <c r="AH225" s="270">
        <f>Database!BH214</f>
        <v/>
      </c>
    </row>
    <row r="226">
      <c r="A226" s="270">
        <f>Database!B226</f>
        <v/>
      </c>
      <c r="B226" s="270">
        <f>IF(AND(Screener!$D$8&lt;&gt;"",Database!$E226=Screener!$D$8),1,0)</f>
        <v/>
      </c>
      <c r="C226" s="270">
        <f>IF(AND(Screener!$D$7&lt;&gt;"",Database!$D226=Screener!$D$7),1,0)</f>
        <v/>
      </c>
      <c r="D226" s="270">
        <f>IF(OR(N(Database!$I226)&lt;=0,N(Screener!$D$9)&lt;=0),0,MAX(0,1-ABS(LOG10(N(Database!$I226)/Screener!$D$9))/W_SIZEHW))</f>
        <v/>
      </c>
      <c r="E226" s="270">
        <f>IF(OR(Database!$BG226="",Screener!$D$10=""),0,IF(Database!$BG226=Screener!$D$10,1,0))</f>
        <v/>
      </c>
      <c r="F226" s="270">
        <f>IF(OR(Database!$BM226="",Screener!$D$11=""),0,IF(Database!$BM226=Screener!$D$11,1,0))</f>
        <v/>
      </c>
      <c r="G226" s="270">
        <f>IF(OR(Database!$H226="",N(Screener!$D$12)&lt;=0),0,MAX(0,1-(N(Screener!$D$12)-Database!$H226)/W_RECD))</f>
        <v/>
      </c>
      <c r="H226" s="270">
        <f>IF($U$1="",0,N(ISNUMBER(SEARCH($U$1,Database!$AC226&amp;""))))+IF($V$1="",0,N(ISNUMBER(SEARCH($V$1,Database!$AC226&amp;""))))+IF($W$1="",0,N(ISNUMBER(SEARCH($W$1,Database!$AC226&amp;""))))+IF($X$1="",0,N(ISNUMBER(SEARCH($X$1,Database!$AC226&amp;""))))+IF($Y$1="",0,N(ISNUMBER(SEARCH($Y$1,Database!$AC226&amp;""))))+IF(Screener!$B$17="",0,N(ISNUMBER(SEARCH(LOWER(Screener!$B$17),Database!$AC226&amp;""))))</f>
        <v/>
      </c>
      <c r="I226" s="270">
        <f>IF(OR(N(Database!$BH226)&lt;=0,N(Screener!$D$13)&lt;=0),0,MAX(0,1-ABS(LOG10(N(Database!$BH226)/Screener!$D$13))/W_PEHW))</f>
        <v/>
      </c>
      <c r="J226" s="270">
        <f>IF(OR(N(Database!$S226)&lt;=0,N(Screener!$D$14)&lt;=0),0,MAX(0,1-ABS(LOG10(Database!$S226/Screener!$D$14))/0.6))</f>
        <v/>
      </c>
      <c r="K226" s="270">
        <f>IF(Database!$B226=Screener!$B$5,-999999,IF(ISNUMBER(SEARCH(","&amp;Database!$A226&amp;",",","&amp;SUBSTITUTE(Screener!$D$17," ","")&amp;",")),2000000,IF(IF(OR(Screener!$B$18="All",AND(Screener!$B$18="With A-share",(Database!$BM226="Y")),AND(Screener!$B$18="Without A-share",NOT((Database!$BM226="Y")))),1,0)=0,-999999,IF(Screener!$B$16="cornerstone overlap first",H226*100000,IF(Screener!$B$16="demand-similar first",J226*100000,0))+W_SUB*B226+W_SEC*C226*(1-B226)+W_SIZE*D226+W_PROF*E226+W_AH*F226+W_REC*G226+W_CS*H226+W_PE*I226)))+ROW()/1000000</f>
        <v/>
      </c>
      <c r="AA226" s="270">
        <f>Database!B215</f>
        <v/>
      </c>
      <c r="AB226" s="270">
        <f>Database!D215</f>
        <v/>
      </c>
      <c r="AC226" s="270">
        <f>Database!E215</f>
        <v/>
      </c>
      <c r="AD226" s="270">
        <f>Database!I215</f>
        <v/>
      </c>
      <c r="AE226" s="270">
        <f>Database!BG215</f>
        <v/>
      </c>
      <c r="AF226" s="270">
        <f>Database!BM215</f>
        <v/>
      </c>
      <c r="AG226" s="270">
        <f>Database!H215</f>
        <v/>
      </c>
      <c r="AH226" s="270">
        <f>Database!BH215</f>
        <v/>
      </c>
    </row>
    <row r="227">
      <c r="A227" s="270">
        <f>Database!B227</f>
        <v/>
      </c>
      <c r="B227" s="270">
        <f>IF(AND(Screener!$D$8&lt;&gt;"",Database!$E227=Screener!$D$8),1,0)</f>
        <v/>
      </c>
      <c r="C227" s="270">
        <f>IF(AND(Screener!$D$7&lt;&gt;"",Database!$D227=Screener!$D$7),1,0)</f>
        <v/>
      </c>
      <c r="D227" s="270">
        <f>IF(OR(N(Database!$I227)&lt;=0,N(Screener!$D$9)&lt;=0),0,MAX(0,1-ABS(LOG10(N(Database!$I227)/Screener!$D$9))/W_SIZEHW))</f>
        <v/>
      </c>
      <c r="E227" s="270">
        <f>IF(OR(Database!$BG227="",Screener!$D$10=""),0,IF(Database!$BG227=Screener!$D$10,1,0))</f>
        <v/>
      </c>
      <c r="F227" s="270">
        <f>IF(OR(Database!$BM227="",Screener!$D$11=""),0,IF(Database!$BM227=Screener!$D$11,1,0))</f>
        <v/>
      </c>
      <c r="G227" s="270">
        <f>IF(OR(Database!$H227="",N(Screener!$D$12)&lt;=0),0,MAX(0,1-(N(Screener!$D$12)-Database!$H227)/W_RECD))</f>
        <v/>
      </c>
      <c r="H227" s="270">
        <f>IF($U$1="",0,N(ISNUMBER(SEARCH($U$1,Database!$AC227&amp;""))))+IF($V$1="",0,N(ISNUMBER(SEARCH($V$1,Database!$AC227&amp;""))))+IF($W$1="",0,N(ISNUMBER(SEARCH($W$1,Database!$AC227&amp;""))))+IF($X$1="",0,N(ISNUMBER(SEARCH($X$1,Database!$AC227&amp;""))))+IF($Y$1="",0,N(ISNUMBER(SEARCH($Y$1,Database!$AC227&amp;""))))+IF(Screener!$B$17="",0,N(ISNUMBER(SEARCH(LOWER(Screener!$B$17),Database!$AC227&amp;""))))</f>
        <v/>
      </c>
      <c r="I227" s="270">
        <f>IF(OR(N(Database!$BH227)&lt;=0,N(Screener!$D$13)&lt;=0),0,MAX(0,1-ABS(LOG10(N(Database!$BH227)/Screener!$D$13))/W_PEHW))</f>
        <v/>
      </c>
      <c r="J227" s="270">
        <f>IF(OR(N(Database!$S227)&lt;=0,N(Screener!$D$14)&lt;=0),0,MAX(0,1-ABS(LOG10(Database!$S227/Screener!$D$14))/0.6))</f>
        <v/>
      </c>
      <c r="K227" s="270">
        <f>IF(Database!$B227=Screener!$B$5,-999999,IF(ISNUMBER(SEARCH(","&amp;Database!$A227&amp;",",","&amp;SUBSTITUTE(Screener!$D$17," ","")&amp;",")),2000000,IF(IF(OR(Screener!$B$18="All",AND(Screener!$B$18="With A-share",(Database!$BM227="Y")),AND(Screener!$B$18="Without A-share",NOT((Database!$BM227="Y")))),1,0)=0,-999999,IF(Screener!$B$16="cornerstone overlap first",H227*100000,IF(Screener!$B$16="demand-similar first",J227*100000,0))+W_SUB*B227+W_SEC*C227*(1-B227)+W_SIZE*D227+W_PROF*E227+W_AH*F227+W_REC*G227+W_CS*H227+W_PE*I227)))+ROW()/1000000</f>
        <v/>
      </c>
      <c r="AA227" s="270">
        <f>Database!B216</f>
        <v/>
      </c>
      <c r="AB227" s="270">
        <f>Database!D216</f>
        <v/>
      </c>
      <c r="AC227" s="270">
        <f>Database!E216</f>
        <v/>
      </c>
      <c r="AD227" s="270">
        <f>Database!I216</f>
        <v/>
      </c>
      <c r="AE227" s="270">
        <f>Database!BG216</f>
        <v/>
      </c>
      <c r="AF227" s="270">
        <f>Database!BM216</f>
        <v/>
      </c>
      <c r="AG227" s="270">
        <f>Database!H216</f>
        <v/>
      </c>
      <c r="AH227" s="270">
        <f>Database!BH216</f>
        <v/>
      </c>
    </row>
    <row r="228">
      <c r="A228" s="270">
        <f>Database!B228</f>
        <v/>
      </c>
      <c r="B228" s="270">
        <f>IF(AND(Screener!$D$8&lt;&gt;"",Database!$E228=Screener!$D$8),1,0)</f>
        <v/>
      </c>
      <c r="C228" s="270">
        <f>IF(AND(Screener!$D$7&lt;&gt;"",Database!$D228=Screener!$D$7),1,0)</f>
        <v/>
      </c>
      <c r="D228" s="270">
        <f>IF(OR(N(Database!$I228)&lt;=0,N(Screener!$D$9)&lt;=0),0,MAX(0,1-ABS(LOG10(N(Database!$I228)/Screener!$D$9))/W_SIZEHW))</f>
        <v/>
      </c>
      <c r="E228" s="270">
        <f>IF(OR(Database!$BG228="",Screener!$D$10=""),0,IF(Database!$BG228=Screener!$D$10,1,0))</f>
        <v/>
      </c>
      <c r="F228" s="270">
        <f>IF(OR(Database!$BM228="",Screener!$D$11=""),0,IF(Database!$BM228=Screener!$D$11,1,0))</f>
        <v/>
      </c>
      <c r="G228" s="270">
        <f>IF(OR(Database!$H228="",N(Screener!$D$12)&lt;=0),0,MAX(0,1-(N(Screener!$D$12)-Database!$H228)/W_RECD))</f>
        <v/>
      </c>
      <c r="H228" s="270">
        <f>IF($U$1="",0,N(ISNUMBER(SEARCH($U$1,Database!$AC228&amp;""))))+IF($V$1="",0,N(ISNUMBER(SEARCH($V$1,Database!$AC228&amp;""))))+IF($W$1="",0,N(ISNUMBER(SEARCH($W$1,Database!$AC228&amp;""))))+IF($X$1="",0,N(ISNUMBER(SEARCH($X$1,Database!$AC228&amp;""))))+IF($Y$1="",0,N(ISNUMBER(SEARCH($Y$1,Database!$AC228&amp;""))))+IF(Screener!$B$17="",0,N(ISNUMBER(SEARCH(LOWER(Screener!$B$17),Database!$AC228&amp;""))))</f>
        <v/>
      </c>
      <c r="I228" s="270">
        <f>IF(OR(N(Database!$BH228)&lt;=0,N(Screener!$D$13)&lt;=0),0,MAX(0,1-ABS(LOG10(N(Database!$BH228)/Screener!$D$13))/W_PEHW))</f>
        <v/>
      </c>
      <c r="J228" s="270">
        <f>IF(OR(N(Database!$S228)&lt;=0,N(Screener!$D$14)&lt;=0),0,MAX(0,1-ABS(LOG10(Database!$S228/Screener!$D$14))/0.6))</f>
        <v/>
      </c>
      <c r="K228" s="270">
        <f>IF(Database!$B228=Screener!$B$5,-999999,IF(ISNUMBER(SEARCH(","&amp;Database!$A228&amp;",",","&amp;SUBSTITUTE(Screener!$D$17," ","")&amp;",")),2000000,IF(IF(OR(Screener!$B$18="All",AND(Screener!$B$18="With A-share",(Database!$BM228="Y")),AND(Screener!$B$18="Without A-share",NOT((Database!$BM228="Y")))),1,0)=0,-999999,IF(Screener!$B$16="cornerstone overlap first",H228*100000,IF(Screener!$B$16="demand-similar first",J228*100000,0))+W_SUB*B228+W_SEC*C228*(1-B228)+W_SIZE*D228+W_PROF*E228+W_AH*F228+W_REC*G228+W_CS*H228+W_PE*I228)))+ROW()/1000000</f>
        <v/>
      </c>
      <c r="AA228" s="270">
        <f>Database!B217</f>
        <v/>
      </c>
      <c r="AB228" s="270">
        <f>Database!D217</f>
        <v/>
      </c>
      <c r="AC228" s="270">
        <f>Database!E217</f>
        <v/>
      </c>
      <c r="AD228" s="270">
        <f>Database!I217</f>
        <v/>
      </c>
      <c r="AE228" s="270">
        <f>Database!BG217</f>
        <v/>
      </c>
      <c r="AF228" s="270">
        <f>Database!BM217</f>
        <v/>
      </c>
      <c r="AG228" s="270">
        <f>Database!H217</f>
        <v/>
      </c>
      <c r="AH228" s="270">
        <f>Database!BH217</f>
        <v/>
      </c>
    </row>
    <row r="229">
      <c r="A229" s="270">
        <f>Database!B229</f>
        <v/>
      </c>
      <c r="B229" s="270">
        <f>IF(AND(Screener!$D$8&lt;&gt;"",Database!$E229=Screener!$D$8),1,0)</f>
        <v/>
      </c>
      <c r="C229" s="270">
        <f>IF(AND(Screener!$D$7&lt;&gt;"",Database!$D229=Screener!$D$7),1,0)</f>
        <v/>
      </c>
      <c r="D229" s="270">
        <f>IF(OR(N(Database!$I229)&lt;=0,N(Screener!$D$9)&lt;=0),0,MAX(0,1-ABS(LOG10(N(Database!$I229)/Screener!$D$9))/W_SIZEHW))</f>
        <v/>
      </c>
      <c r="E229" s="270">
        <f>IF(OR(Database!$BG229="",Screener!$D$10=""),0,IF(Database!$BG229=Screener!$D$10,1,0))</f>
        <v/>
      </c>
      <c r="F229" s="270">
        <f>IF(OR(Database!$BM229="",Screener!$D$11=""),0,IF(Database!$BM229=Screener!$D$11,1,0))</f>
        <v/>
      </c>
      <c r="G229" s="270">
        <f>IF(OR(Database!$H229="",N(Screener!$D$12)&lt;=0),0,MAX(0,1-(N(Screener!$D$12)-Database!$H229)/W_RECD))</f>
        <v/>
      </c>
      <c r="H229" s="270">
        <f>IF($U$1="",0,N(ISNUMBER(SEARCH($U$1,Database!$AC229&amp;""))))+IF($V$1="",0,N(ISNUMBER(SEARCH($V$1,Database!$AC229&amp;""))))+IF($W$1="",0,N(ISNUMBER(SEARCH($W$1,Database!$AC229&amp;""))))+IF($X$1="",0,N(ISNUMBER(SEARCH($X$1,Database!$AC229&amp;""))))+IF($Y$1="",0,N(ISNUMBER(SEARCH($Y$1,Database!$AC229&amp;""))))+IF(Screener!$B$17="",0,N(ISNUMBER(SEARCH(LOWER(Screener!$B$17),Database!$AC229&amp;""))))</f>
        <v/>
      </c>
      <c r="I229" s="270">
        <f>IF(OR(N(Database!$BH229)&lt;=0,N(Screener!$D$13)&lt;=0),0,MAX(0,1-ABS(LOG10(N(Database!$BH229)/Screener!$D$13))/W_PEHW))</f>
        <v/>
      </c>
      <c r="J229" s="270">
        <f>IF(OR(N(Database!$S229)&lt;=0,N(Screener!$D$14)&lt;=0),0,MAX(0,1-ABS(LOG10(Database!$S229/Screener!$D$14))/0.6))</f>
        <v/>
      </c>
      <c r="K229" s="270">
        <f>IF(Database!$B229=Screener!$B$5,-999999,IF(ISNUMBER(SEARCH(","&amp;Database!$A229&amp;",",","&amp;SUBSTITUTE(Screener!$D$17," ","")&amp;",")),2000000,IF(IF(OR(Screener!$B$18="All",AND(Screener!$B$18="With A-share",(Database!$BM229="Y")),AND(Screener!$B$18="Without A-share",NOT((Database!$BM229="Y")))),1,0)=0,-999999,IF(Screener!$B$16="cornerstone overlap first",H229*100000,IF(Screener!$B$16="demand-similar first",J229*100000,0))+W_SUB*B229+W_SEC*C229*(1-B229)+W_SIZE*D229+W_PROF*E229+W_AH*F229+W_REC*G229+W_CS*H229+W_PE*I229)))+ROW()/1000000</f>
        <v/>
      </c>
      <c r="AA229" s="270">
        <f>Database!B218</f>
        <v/>
      </c>
      <c r="AB229" s="270">
        <f>Database!D218</f>
        <v/>
      </c>
      <c r="AC229" s="270">
        <f>Database!E218</f>
        <v/>
      </c>
      <c r="AD229" s="270">
        <f>Database!I218</f>
        <v/>
      </c>
      <c r="AE229" s="270">
        <f>Database!BG218</f>
        <v/>
      </c>
      <c r="AF229" s="270">
        <f>Database!BM218</f>
        <v/>
      </c>
      <c r="AG229" s="270">
        <f>Database!H218</f>
        <v/>
      </c>
      <c r="AH229" s="270">
        <f>Database!BH218</f>
        <v/>
      </c>
    </row>
    <row r="230">
      <c r="A230" s="270">
        <f>Database!B230</f>
        <v/>
      </c>
      <c r="B230" s="270">
        <f>IF(AND(Screener!$D$8&lt;&gt;"",Database!$E230=Screener!$D$8),1,0)</f>
        <v/>
      </c>
      <c r="C230" s="270">
        <f>IF(AND(Screener!$D$7&lt;&gt;"",Database!$D230=Screener!$D$7),1,0)</f>
        <v/>
      </c>
      <c r="D230" s="270">
        <f>IF(OR(N(Database!$I230)&lt;=0,N(Screener!$D$9)&lt;=0),0,MAX(0,1-ABS(LOG10(N(Database!$I230)/Screener!$D$9))/W_SIZEHW))</f>
        <v/>
      </c>
      <c r="E230" s="270">
        <f>IF(OR(Database!$BG230="",Screener!$D$10=""),0,IF(Database!$BG230=Screener!$D$10,1,0))</f>
        <v/>
      </c>
      <c r="F230" s="270">
        <f>IF(OR(Database!$BM230="",Screener!$D$11=""),0,IF(Database!$BM230=Screener!$D$11,1,0))</f>
        <v/>
      </c>
      <c r="G230" s="270">
        <f>IF(OR(Database!$H230="",N(Screener!$D$12)&lt;=0),0,MAX(0,1-(N(Screener!$D$12)-Database!$H230)/W_RECD))</f>
        <v/>
      </c>
      <c r="H230" s="270">
        <f>IF($U$1="",0,N(ISNUMBER(SEARCH($U$1,Database!$AC230&amp;""))))+IF($V$1="",0,N(ISNUMBER(SEARCH($V$1,Database!$AC230&amp;""))))+IF($W$1="",0,N(ISNUMBER(SEARCH($W$1,Database!$AC230&amp;""))))+IF($X$1="",0,N(ISNUMBER(SEARCH($X$1,Database!$AC230&amp;""))))+IF($Y$1="",0,N(ISNUMBER(SEARCH($Y$1,Database!$AC230&amp;""))))+IF(Screener!$B$17="",0,N(ISNUMBER(SEARCH(LOWER(Screener!$B$17),Database!$AC230&amp;""))))</f>
        <v/>
      </c>
      <c r="I230" s="270">
        <f>IF(OR(N(Database!$BH230)&lt;=0,N(Screener!$D$13)&lt;=0),0,MAX(0,1-ABS(LOG10(N(Database!$BH230)/Screener!$D$13))/W_PEHW))</f>
        <v/>
      </c>
      <c r="J230" s="270">
        <f>IF(OR(N(Database!$S230)&lt;=0,N(Screener!$D$14)&lt;=0),0,MAX(0,1-ABS(LOG10(Database!$S230/Screener!$D$14))/0.6))</f>
        <v/>
      </c>
      <c r="K230" s="270">
        <f>IF(Database!$B230=Screener!$B$5,-999999,IF(ISNUMBER(SEARCH(","&amp;Database!$A230&amp;",",","&amp;SUBSTITUTE(Screener!$D$17," ","")&amp;",")),2000000,IF(IF(OR(Screener!$B$18="All",AND(Screener!$B$18="With A-share",(Database!$BM230="Y")),AND(Screener!$B$18="Without A-share",NOT((Database!$BM230="Y")))),1,0)=0,-999999,IF(Screener!$B$16="cornerstone overlap first",H230*100000,IF(Screener!$B$16="demand-similar first",J230*100000,0))+W_SUB*B230+W_SEC*C230*(1-B230)+W_SIZE*D230+W_PROF*E230+W_AH*F230+W_REC*G230+W_CS*H230+W_PE*I230)))+ROW()/1000000</f>
        <v/>
      </c>
      <c r="AA230" s="270">
        <f>Database!B219</f>
        <v/>
      </c>
      <c r="AB230" s="270">
        <f>Database!D219</f>
        <v/>
      </c>
      <c r="AC230" s="270">
        <f>Database!E219</f>
        <v/>
      </c>
      <c r="AD230" s="270">
        <f>Database!I219</f>
        <v/>
      </c>
      <c r="AE230" s="270">
        <f>Database!BG219</f>
        <v/>
      </c>
      <c r="AF230" s="270">
        <f>Database!BM219</f>
        <v/>
      </c>
      <c r="AG230" s="270">
        <f>Database!H219</f>
        <v/>
      </c>
      <c r="AH230" s="270">
        <f>Database!BH219</f>
        <v/>
      </c>
    </row>
    <row r="231">
      <c r="A231" s="270">
        <f>Database!B231</f>
        <v/>
      </c>
      <c r="B231" s="270">
        <f>IF(AND(Screener!$D$8&lt;&gt;"",Database!$E231=Screener!$D$8),1,0)</f>
        <v/>
      </c>
      <c r="C231" s="270">
        <f>IF(AND(Screener!$D$7&lt;&gt;"",Database!$D231=Screener!$D$7),1,0)</f>
        <v/>
      </c>
      <c r="D231" s="270">
        <f>IF(OR(N(Database!$I231)&lt;=0,N(Screener!$D$9)&lt;=0),0,MAX(0,1-ABS(LOG10(N(Database!$I231)/Screener!$D$9))/W_SIZEHW))</f>
        <v/>
      </c>
      <c r="E231" s="270">
        <f>IF(OR(Database!$BG231="",Screener!$D$10=""),0,IF(Database!$BG231=Screener!$D$10,1,0))</f>
        <v/>
      </c>
      <c r="F231" s="270">
        <f>IF(OR(Database!$BM231="",Screener!$D$11=""),0,IF(Database!$BM231=Screener!$D$11,1,0))</f>
        <v/>
      </c>
      <c r="G231" s="270">
        <f>IF(OR(Database!$H231="",N(Screener!$D$12)&lt;=0),0,MAX(0,1-(N(Screener!$D$12)-Database!$H231)/W_RECD))</f>
        <v/>
      </c>
      <c r="H231" s="270">
        <f>IF($U$1="",0,N(ISNUMBER(SEARCH($U$1,Database!$AC231&amp;""))))+IF($V$1="",0,N(ISNUMBER(SEARCH($V$1,Database!$AC231&amp;""))))+IF($W$1="",0,N(ISNUMBER(SEARCH($W$1,Database!$AC231&amp;""))))+IF($X$1="",0,N(ISNUMBER(SEARCH($X$1,Database!$AC231&amp;""))))+IF($Y$1="",0,N(ISNUMBER(SEARCH($Y$1,Database!$AC231&amp;""))))+IF(Screener!$B$17="",0,N(ISNUMBER(SEARCH(LOWER(Screener!$B$17),Database!$AC231&amp;""))))</f>
        <v/>
      </c>
      <c r="I231" s="270">
        <f>IF(OR(N(Database!$BH231)&lt;=0,N(Screener!$D$13)&lt;=0),0,MAX(0,1-ABS(LOG10(N(Database!$BH231)/Screener!$D$13))/W_PEHW))</f>
        <v/>
      </c>
      <c r="J231" s="270">
        <f>IF(OR(N(Database!$S231)&lt;=0,N(Screener!$D$14)&lt;=0),0,MAX(0,1-ABS(LOG10(Database!$S231/Screener!$D$14))/0.6))</f>
        <v/>
      </c>
      <c r="K231" s="270">
        <f>IF(Database!$B231=Screener!$B$5,-999999,IF(ISNUMBER(SEARCH(","&amp;Database!$A231&amp;",",","&amp;SUBSTITUTE(Screener!$D$17," ","")&amp;",")),2000000,IF(IF(OR(Screener!$B$18="All",AND(Screener!$B$18="With A-share",(Database!$BM231="Y")),AND(Screener!$B$18="Without A-share",NOT((Database!$BM231="Y")))),1,0)=0,-999999,IF(Screener!$B$16="cornerstone overlap first",H231*100000,IF(Screener!$B$16="demand-similar first",J231*100000,0))+W_SUB*B231+W_SEC*C231*(1-B231)+W_SIZE*D231+W_PROF*E231+W_AH*F231+W_REC*G231+W_CS*H231+W_PE*I231)))+ROW()/1000000</f>
        <v/>
      </c>
      <c r="AA231" s="270">
        <f>Database!B220</f>
        <v/>
      </c>
      <c r="AB231" s="270">
        <f>Database!D220</f>
        <v/>
      </c>
      <c r="AC231" s="270">
        <f>Database!E220</f>
        <v/>
      </c>
      <c r="AD231" s="270">
        <f>Database!I220</f>
        <v/>
      </c>
      <c r="AE231" s="270">
        <f>Database!BG220</f>
        <v/>
      </c>
      <c r="AF231" s="270">
        <f>Database!BM220</f>
        <v/>
      </c>
      <c r="AG231" s="270">
        <f>Database!H220</f>
        <v/>
      </c>
      <c r="AH231" s="270">
        <f>Database!BH220</f>
        <v/>
      </c>
    </row>
    <row r="232">
      <c r="A232" s="270">
        <f>Database!B232</f>
        <v/>
      </c>
      <c r="B232" s="270">
        <f>IF(AND(Screener!$D$8&lt;&gt;"",Database!$E232=Screener!$D$8),1,0)</f>
        <v/>
      </c>
      <c r="C232" s="270">
        <f>IF(AND(Screener!$D$7&lt;&gt;"",Database!$D232=Screener!$D$7),1,0)</f>
        <v/>
      </c>
      <c r="D232" s="270">
        <f>IF(OR(N(Database!$I232)&lt;=0,N(Screener!$D$9)&lt;=0),0,MAX(0,1-ABS(LOG10(N(Database!$I232)/Screener!$D$9))/W_SIZEHW))</f>
        <v/>
      </c>
      <c r="E232" s="270">
        <f>IF(OR(Database!$BG232="",Screener!$D$10=""),0,IF(Database!$BG232=Screener!$D$10,1,0))</f>
        <v/>
      </c>
      <c r="F232" s="270">
        <f>IF(OR(Database!$BM232="",Screener!$D$11=""),0,IF(Database!$BM232=Screener!$D$11,1,0))</f>
        <v/>
      </c>
      <c r="G232" s="270">
        <f>IF(OR(Database!$H232="",N(Screener!$D$12)&lt;=0),0,MAX(0,1-(N(Screener!$D$12)-Database!$H232)/W_RECD))</f>
        <v/>
      </c>
      <c r="H232" s="270">
        <f>IF($U$1="",0,N(ISNUMBER(SEARCH($U$1,Database!$AC232&amp;""))))+IF($V$1="",0,N(ISNUMBER(SEARCH($V$1,Database!$AC232&amp;""))))+IF($W$1="",0,N(ISNUMBER(SEARCH($W$1,Database!$AC232&amp;""))))+IF($X$1="",0,N(ISNUMBER(SEARCH($X$1,Database!$AC232&amp;""))))+IF($Y$1="",0,N(ISNUMBER(SEARCH($Y$1,Database!$AC232&amp;""))))+IF(Screener!$B$17="",0,N(ISNUMBER(SEARCH(LOWER(Screener!$B$17),Database!$AC232&amp;""))))</f>
        <v/>
      </c>
      <c r="I232" s="270">
        <f>IF(OR(N(Database!$BH232)&lt;=0,N(Screener!$D$13)&lt;=0),0,MAX(0,1-ABS(LOG10(N(Database!$BH232)/Screener!$D$13))/W_PEHW))</f>
        <v/>
      </c>
      <c r="J232" s="270">
        <f>IF(OR(N(Database!$S232)&lt;=0,N(Screener!$D$14)&lt;=0),0,MAX(0,1-ABS(LOG10(Database!$S232/Screener!$D$14))/0.6))</f>
        <v/>
      </c>
      <c r="K232" s="270">
        <f>IF(Database!$B232=Screener!$B$5,-999999,IF(ISNUMBER(SEARCH(","&amp;Database!$A232&amp;",",","&amp;SUBSTITUTE(Screener!$D$17," ","")&amp;",")),2000000,IF(IF(OR(Screener!$B$18="All",AND(Screener!$B$18="With A-share",(Database!$BM232="Y")),AND(Screener!$B$18="Without A-share",NOT((Database!$BM232="Y")))),1,0)=0,-999999,IF(Screener!$B$16="cornerstone overlap first",H232*100000,IF(Screener!$B$16="demand-similar first",J232*100000,0))+W_SUB*B232+W_SEC*C232*(1-B232)+W_SIZE*D232+W_PROF*E232+W_AH*F232+W_REC*G232+W_CS*H232+W_PE*I232)))+ROW()/1000000</f>
        <v/>
      </c>
      <c r="AA232" s="270">
        <f>Database!B221</f>
        <v/>
      </c>
      <c r="AB232" s="270">
        <f>Database!D221</f>
        <v/>
      </c>
      <c r="AC232" s="270">
        <f>Database!E221</f>
        <v/>
      </c>
      <c r="AD232" s="270">
        <f>Database!I221</f>
        <v/>
      </c>
      <c r="AE232" s="270">
        <f>Database!BG221</f>
        <v/>
      </c>
      <c r="AF232" s="270">
        <f>Database!BM221</f>
        <v/>
      </c>
      <c r="AG232" s="270">
        <f>Database!H221</f>
        <v/>
      </c>
      <c r="AH232" s="270">
        <f>Database!BH221</f>
        <v/>
      </c>
    </row>
    <row r="233">
      <c r="A233" s="270">
        <f>Database!B233</f>
        <v/>
      </c>
      <c r="B233" s="270">
        <f>IF(AND(Screener!$D$8&lt;&gt;"",Database!$E233=Screener!$D$8),1,0)</f>
        <v/>
      </c>
      <c r="C233" s="270">
        <f>IF(AND(Screener!$D$7&lt;&gt;"",Database!$D233=Screener!$D$7),1,0)</f>
        <v/>
      </c>
      <c r="D233" s="270">
        <f>IF(OR(N(Database!$I233)&lt;=0,N(Screener!$D$9)&lt;=0),0,MAX(0,1-ABS(LOG10(N(Database!$I233)/Screener!$D$9))/W_SIZEHW))</f>
        <v/>
      </c>
      <c r="E233" s="270">
        <f>IF(OR(Database!$BG233="",Screener!$D$10=""),0,IF(Database!$BG233=Screener!$D$10,1,0))</f>
        <v/>
      </c>
      <c r="F233" s="270">
        <f>IF(OR(Database!$BM233="",Screener!$D$11=""),0,IF(Database!$BM233=Screener!$D$11,1,0))</f>
        <v/>
      </c>
      <c r="G233" s="270">
        <f>IF(OR(Database!$H233="",N(Screener!$D$12)&lt;=0),0,MAX(0,1-(N(Screener!$D$12)-Database!$H233)/W_RECD))</f>
        <v/>
      </c>
      <c r="H233" s="270">
        <f>IF($U$1="",0,N(ISNUMBER(SEARCH($U$1,Database!$AC233&amp;""))))+IF($V$1="",0,N(ISNUMBER(SEARCH($V$1,Database!$AC233&amp;""))))+IF($W$1="",0,N(ISNUMBER(SEARCH($W$1,Database!$AC233&amp;""))))+IF($X$1="",0,N(ISNUMBER(SEARCH($X$1,Database!$AC233&amp;""))))+IF($Y$1="",0,N(ISNUMBER(SEARCH($Y$1,Database!$AC233&amp;""))))+IF(Screener!$B$17="",0,N(ISNUMBER(SEARCH(LOWER(Screener!$B$17),Database!$AC233&amp;""))))</f>
        <v/>
      </c>
      <c r="I233" s="270">
        <f>IF(OR(N(Database!$BH233)&lt;=0,N(Screener!$D$13)&lt;=0),0,MAX(0,1-ABS(LOG10(N(Database!$BH233)/Screener!$D$13))/W_PEHW))</f>
        <v/>
      </c>
      <c r="J233" s="270">
        <f>IF(OR(N(Database!$S233)&lt;=0,N(Screener!$D$14)&lt;=0),0,MAX(0,1-ABS(LOG10(Database!$S233/Screener!$D$14))/0.6))</f>
        <v/>
      </c>
      <c r="K233" s="270">
        <f>IF(Database!$B233=Screener!$B$5,-999999,IF(ISNUMBER(SEARCH(","&amp;Database!$A233&amp;",",","&amp;SUBSTITUTE(Screener!$D$17," ","")&amp;",")),2000000,IF(IF(OR(Screener!$B$18="All",AND(Screener!$B$18="With A-share",(Database!$BM233="Y")),AND(Screener!$B$18="Without A-share",NOT((Database!$BM233="Y")))),1,0)=0,-999999,IF(Screener!$B$16="cornerstone overlap first",H233*100000,IF(Screener!$B$16="demand-similar first",J233*100000,0))+W_SUB*B233+W_SEC*C233*(1-B233)+W_SIZE*D233+W_PROF*E233+W_AH*F233+W_REC*G233+W_CS*H233+W_PE*I233)))+ROW()/1000000</f>
        <v/>
      </c>
      <c r="AA233" s="270">
        <f>Database!B222</f>
        <v/>
      </c>
      <c r="AB233" s="270">
        <f>Database!D222</f>
        <v/>
      </c>
      <c r="AC233" s="270">
        <f>Database!E222</f>
        <v/>
      </c>
      <c r="AD233" s="270">
        <f>Database!I222</f>
        <v/>
      </c>
      <c r="AE233" s="270">
        <f>Database!BG222</f>
        <v/>
      </c>
      <c r="AF233" s="270">
        <f>Database!BM222</f>
        <v/>
      </c>
      <c r="AG233" s="270">
        <f>Database!H222</f>
        <v/>
      </c>
      <c r="AH233" s="270">
        <f>Database!BH222</f>
        <v/>
      </c>
    </row>
    <row r="234">
      <c r="A234" s="270">
        <f>Database!B234</f>
        <v/>
      </c>
      <c r="B234" s="270">
        <f>IF(AND(Screener!$D$8&lt;&gt;"",Database!$E234=Screener!$D$8),1,0)</f>
        <v/>
      </c>
      <c r="C234" s="270">
        <f>IF(AND(Screener!$D$7&lt;&gt;"",Database!$D234=Screener!$D$7),1,0)</f>
        <v/>
      </c>
      <c r="D234" s="270">
        <f>IF(OR(N(Database!$I234)&lt;=0,N(Screener!$D$9)&lt;=0),0,MAX(0,1-ABS(LOG10(N(Database!$I234)/Screener!$D$9))/W_SIZEHW))</f>
        <v/>
      </c>
      <c r="E234" s="270">
        <f>IF(OR(Database!$BG234="",Screener!$D$10=""),0,IF(Database!$BG234=Screener!$D$10,1,0))</f>
        <v/>
      </c>
      <c r="F234" s="270">
        <f>IF(OR(Database!$BM234="",Screener!$D$11=""),0,IF(Database!$BM234=Screener!$D$11,1,0))</f>
        <v/>
      </c>
      <c r="G234" s="270">
        <f>IF(OR(Database!$H234="",N(Screener!$D$12)&lt;=0),0,MAX(0,1-(N(Screener!$D$12)-Database!$H234)/W_RECD))</f>
        <v/>
      </c>
      <c r="H234" s="270">
        <f>IF($U$1="",0,N(ISNUMBER(SEARCH($U$1,Database!$AC234&amp;""))))+IF($V$1="",0,N(ISNUMBER(SEARCH($V$1,Database!$AC234&amp;""))))+IF($W$1="",0,N(ISNUMBER(SEARCH($W$1,Database!$AC234&amp;""))))+IF($X$1="",0,N(ISNUMBER(SEARCH($X$1,Database!$AC234&amp;""))))+IF($Y$1="",0,N(ISNUMBER(SEARCH($Y$1,Database!$AC234&amp;""))))+IF(Screener!$B$17="",0,N(ISNUMBER(SEARCH(LOWER(Screener!$B$17),Database!$AC234&amp;""))))</f>
        <v/>
      </c>
      <c r="I234" s="270">
        <f>IF(OR(N(Database!$BH234)&lt;=0,N(Screener!$D$13)&lt;=0),0,MAX(0,1-ABS(LOG10(N(Database!$BH234)/Screener!$D$13))/W_PEHW))</f>
        <v/>
      </c>
      <c r="J234" s="270">
        <f>IF(OR(N(Database!$S234)&lt;=0,N(Screener!$D$14)&lt;=0),0,MAX(0,1-ABS(LOG10(Database!$S234/Screener!$D$14))/0.6))</f>
        <v/>
      </c>
      <c r="K234" s="270">
        <f>IF(Database!$B234=Screener!$B$5,-999999,IF(ISNUMBER(SEARCH(","&amp;Database!$A234&amp;",",","&amp;SUBSTITUTE(Screener!$D$17," ","")&amp;",")),2000000,IF(IF(OR(Screener!$B$18="All",AND(Screener!$B$18="With A-share",(Database!$BM234="Y")),AND(Screener!$B$18="Without A-share",NOT((Database!$BM234="Y")))),1,0)=0,-999999,IF(Screener!$B$16="cornerstone overlap first",H234*100000,IF(Screener!$B$16="demand-similar first",J234*100000,0))+W_SUB*B234+W_SEC*C234*(1-B234)+W_SIZE*D234+W_PROF*E234+W_AH*F234+W_REC*G234+W_CS*H234+W_PE*I234)))+ROW()/1000000</f>
        <v/>
      </c>
      <c r="AA234" s="270">
        <f>Database!B223</f>
        <v/>
      </c>
      <c r="AB234" s="270">
        <f>Database!D223</f>
        <v/>
      </c>
      <c r="AC234" s="270">
        <f>Database!E223</f>
        <v/>
      </c>
      <c r="AD234" s="270">
        <f>Database!I223</f>
        <v/>
      </c>
      <c r="AE234" s="270">
        <f>Database!BG223</f>
        <v/>
      </c>
      <c r="AF234" s="270">
        <f>Database!BM223</f>
        <v/>
      </c>
      <c r="AG234" s="270">
        <f>Database!H223</f>
        <v/>
      </c>
      <c r="AH234" s="270">
        <f>Database!BH223</f>
        <v/>
      </c>
    </row>
    <row r="235">
      <c r="A235" s="270">
        <f>Database!B235</f>
        <v/>
      </c>
      <c r="B235" s="270">
        <f>IF(AND(Screener!$D$8&lt;&gt;"",Database!$E235=Screener!$D$8),1,0)</f>
        <v/>
      </c>
      <c r="C235" s="270">
        <f>IF(AND(Screener!$D$7&lt;&gt;"",Database!$D235=Screener!$D$7),1,0)</f>
        <v/>
      </c>
      <c r="D235" s="270">
        <f>IF(OR(N(Database!$I235)&lt;=0,N(Screener!$D$9)&lt;=0),0,MAX(0,1-ABS(LOG10(N(Database!$I235)/Screener!$D$9))/W_SIZEHW))</f>
        <v/>
      </c>
      <c r="E235" s="270">
        <f>IF(OR(Database!$BG235="",Screener!$D$10=""),0,IF(Database!$BG235=Screener!$D$10,1,0))</f>
        <v/>
      </c>
      <c r="F235" s="270">
        <f>IF(OR(Database!$BM235="",Screener!$D$11=""),0,IF(Database!$BM235=Screener!$D$11,1,0))</f>
        <v/>
      </c>
      <c r="G235" s="270">
        <f>IF(OR(Database!$H235="",N(Screener!$D$12)&lt;=0),0,MAX(0,1-(N(Screener!$D$12)-Database!$H235)/W_RECD))</f>
        <v/>
      </c>
      <c r="H235" s="270">
        <f>IF($U$1="",0,N(ISNUMBER(SEARCH($U$1,Database!$AC235&amp;""))))+IF($V$1="",0,N(ISNUMBER(SEARCH($V$1,Database!$AC235&amp;""))))+IF($W$1="",0,N(ISNUMBER(SEARCH($W$1,Database!$AC235&amp;""))))+IF($X$1="",0,N(ISNUMBER(SEARCH($X$1,Database!$AC235&amp;""))))+IF($Y$1="",0,N(ISNUMBER(SEARCH($Y$1,Database!$AC235&amp;""))))+IF(Screener!$B$17="",0,N(ISNUMBER(SEARCH(LOWER(Screener!$B$17),Database!$AC235&amp;""))))</f>
        <v/>
      </c>
      <c r="I235" s="270">
        <f>IF(OR(N(Database!$BH235)&lt;=0,N(Screener!$D$13)&lt;=0),0,MAX(0,1-ABS(LOG10(N(Database!$BH235)/Screener!$D$13))/W_PEHW))</f>
        <v/>
      </c>
      <c r="J235" s="270">
        <f>IF(OR(N(Database!$S235)&lt;=0,N(Screener!$D$14)&lt;=0),0,MAX(0,1-ABS(LOG10(Database!$S235/Screener!$D$14))/0.6))</f>
        <v/>
      </c>
      <c r="K235" s="270">
        <f>IF(Database!$B235=Screener!$B$5,-999999,IF(ISNUMBER(SEARCH(","&amp;Database!$A235&amp;",",","&amp;SUBSTITUTE(Screener!$D$17," ","")&amp;",")),2000000,IF(IF(OR(Screener!$B$18="All",AND(Screener!$B$18="With A-share",(Database!$BM235="Y")),AND(Screener!$B$18="Without A-share",NOT((Database!$BM235="Y")))),1,0)=0,-999999,IF(Screener!$B$16="cornerstone overlap first",H235*100000,IF(Screener!$B$16="demand-similar first",J235*100000,0))+W_SUB*B235+W_SEC*C235*(1-B235)+W_SIZE*D235+W_PROF*E235+W_AH*F235+W_REC*G235+W_CS*H235+W_PE*I235)))+ROW()/1000000</f>
        <v/>
      </c>
      <c r="AA235" s="270">
        <f>Database!B224</f>
        <v/>
      </c>
      <c r="AB235" s="270">
        <f>Database!D224</f>
        <v/>
      </c>
      <c r="AC235" s="270">
        <f>Database!E224</f>
        <v/>
      </c>
      <c r="AD235" s="270">
        <f>Database!I224</f>
        <v/>
      </c>
      <c r="AE235" s="270">
        <f>Database!BG224</f>
        <v/>
      </c>
      <c r="AF235" s="270">
        <f>Database!BM224</f>
        <v/>
      </c>
      <c r="AG235" s="270">
        <f>Database!H224</f>
        <v/>
      </c>
      <c r="AH235" s="270">
        <f>Database!BH224</f>
        <v/>
      </c>
    </row>
    <row r="236">
      <c r="A236" s="270">
        <f>Database!B236</f>
        <v/>
      </c>
      <c r="B236" s="270">
        <f>IF(AND(Screener!$D$8&lt;&gt;"",Database!$E236=Screener!$D$8),1,0)</f>
        <v/>
      </c>
      <c r="C236" s="270">
        <f>IF(AND(Screener!$D$7&lt;&gt;"",Database!$D236=Screener!$D$7),1,0)</f>
        <v/>
      </c>
      <c r="D236" s="270">
        <f>IF(OR(N(Database!$I236)&lt;=0,N(Screener!$D$9)&lt;=0),0,MAX(0,1-ABS(LOG10(N(Database!$I236)/Screener!$D$9))/W_SIZEHW))</f>
        <v/>
      </c>
      <c r="E236" s="270">
        <f>IF(OR(Database!$BG236="",Screener!$D$10=""),0,IF(Database!$BG236=Screener!$D$10,1,0))</f>
        <v/>
      </c>
      <c r="F236" s="270">
        <f>IF(OR(Database!$BM236="",Screener!$D$11=""),0,IF(Database!$BM236=Screener!$D$11,1,0))</f>
        <v/>
      </c>
      <c r="G236" s="270">
        <f>IF(OR(Database!$H236="",N(Screener!$D$12)&lt;=0),0,MAX(0,1-(N(Screener!$D$12)-Database!$H236)/W_RECD))</f>
        <v/>
      </c>
      <c r="H236" s="270">
        <f>IF($U$1="",0,N(ISNUMBER(SEARCH($U$1,Database!$AC236&amp;""))))+IF($V$1="",0,N(ISNUMBER(SEARCH($V$1,Database!$AC236&amp;""))))+IF($W$1="",0,N(ISNUMBER(SEARCH($W$1,Database!$AC236&amp;""))))+IF($X$1="",0,N(ISNUMBER(SEARCH($X$1,Database!$AC236&amp;""))))+IF($Y$1="",0,N(ISNUMBER(SEARCH($Y$1,Database!$AC236&amp;""))))+IF(Screener!$B$17="",0,N(ISNUMBER(SEARCH(LOWER(Screener!$B$17),Database!$AC236&amp;""))))</f>
        <v/>
      </c>
      <c r="I236" s="270">
        <f>IF(OR(N(Database!$BH236)&lt;=0,N(Screener!$D$13)&lt;=0),0,MAX(0,1-ABS(LOG10(N(Database!$BH236)/Screener!$D$13))/W_PEHW))</f>
        <v/>
      </c>
      <c r="J236" s="270">
        <f>IF(OR(N(Database!$S236)&lt;=0,N(Screener!$D$14)&lt;=0),0,MAX(0,1-ABS(LOG10(Database!$S236/Screener!$D$14))/0.6))</f>
        <v/>
      </c>
      <c r="K236" s="270">
        <f>IF(Database!$B236=Screener!$B$5,-999999,IF(ISNUMBER(SEARCH(","&amp;Database!$A236&amp;",",","&amp;SUBSTITUTE(Screener!$D$17," ","")&amp;",")),2000000,IF(IF(OR(Screener!$B$18="All",AND(Screener!$B$18="With A-share",(Database!$BM236="Y")),AND(Screener!$B$18="Without A-share",NOT((Database!$BM236="Y")))),1,0)=0,-999999,IF(Screener!$B$16="cornerstone overlap first",H236*100000,IF(Screener!$B$16="demand-similar first",J236*100000,0))+W_SUB*B236+W_SEC*C236*(1-B236)+W_SIZE*D236+W_PROF*E236+W_AH*F236+W_REC*G236+W_CS*H236+W_PE*I236)))+ROW()/1000000</f>
        <v/>
      </c>
      <c r="AA236" s="270">
        <f>Database!B225</f>
        <v/>
      </c>
      <c r="AB236" s="270">
        <f>Database!D225</f>
        <v/>
      </c>
      <c r="AC236" s="270">
        <f>Database!E225</f>
        <v/>
      </c>
      <c r="AD236" s="270">
        <f>Database!I225</f>
        <v/>
      </c>
      <c r="AE236" s="270">
        <f>Database!BG225</f>
        <v/>
      </c>
      <c r="AF236" s="270">
        <f>Database!BM225</f>
        <v/>
      </c>
      <c r="AG236" s="270">
        <f>Database!H225</f>
        <v/>
      </c>
      <c r="AH236" s="270">
        <f>Database!BH225</f>
        <v/>
      </c>
    </row>
    <row r="237">
      <c r="A237" s="270">
        <f>Database!B237</f>
        <v/>
      </c>
      <c r="B237" s="270">
        <f>IF(AND(Screener!$D$8&lt;&gt;"",Database!$E237=Screener!$D$8),1,0)</f>
        <v/>
      </c>
      <c r="C237" s="270">
        <f>IF(AND(Screener!$D$7&lt;&gt;"",Database!$D237=Screener!$D$7),1,0)</f>
        <v/>
      </c>
      <c r="D237" s="270">
        <f>IF(OR(N(Database!$I237)&lt;=0,N(Screener!$D$9)&lt;=0),0,MAX(0,1-ABS(LOG10(N(Database!$I237)/Screener!$D$9))/W_SIZEHW))</f>
        <v/>
      </c>
      <c r="E237" s="270">
        <f>IF(OR(Database!$BG237="",Screener!$D$10=""),0,IF(Database!$BG237=Screener!$D$10,1,0))</f>
        <v/>
      </c>
      <c r="F237" s="270">
        <f>IF(OR(Database!$BM237="",Screener!$D$11=""),0,IF(Database!$BM237=Screener!$D$11,1,0))</f>
        <v/>
      </c>
      <c r="G237" s="270">
        <f>IF(OR(Database!$H237="",N(Screener!$D$12)&lt;=0),0,MAX(0,1-(N(Screener!$D$12)-Database!$H237)/W_RECD))</f>
        <v/>
      </c>
      <c r="H237" s="270">
        <f>IF($U$1="",0,N(ISNUMBER(SEARCH($U$1,Database!$AC237&amp;""))))+IF($V$1="",0,N(ISNUMBER(SEARCH($V$1,Database!$AC237&amp;""))))+IF($W$1="",0,N(ISNUMBER(SEARCH($W$1,Database!$AC237&amp;""))))+IF($X$1="",0,N(ISNUMBER(SEARCH($X$1,Database!$AC237&amp;""))))+IF($Y$1="",0,N(ISNUMBER(SEARCH($Y$1,Database!$AC237&amp;""))))+IF(Screener!$B$17="",0,N(ISNUMBER(SEARCH(LOWER(Screener!$B$17),Database!$AC237&amp;""))))</f>
        <v/>
      </c>
      <c r="I237" s="270">
        <f>IF(OR(N(Database!$BH237)&lt;=0,N(Screener!$D$13)&lt;=0),0,MAX(0,1-ABS(LOG10(N(Database!$BH237)/Screener!$D$13))/W_PEHW))</f>
        <v/>
      </c>
      <c r="J237" s="270">
        <f>IF(OR(N(Database!$S237)&lt;=0,N(Screener!$D$14)&lt;=0),0,MAX(0,1-ABS(LOG10(Database!$S237/Screener!$D$14))/0.6))</f>
        <v/>
      </c>
      <c r="K237" s="270">
        <f>IF(Database!$B237=Screener!$B$5,-999999,IF(ISNUMBER(SEARCH(","&amp;Database!$A237&amp;",",","&amp;SUBSTITUTE(Screener!$D$17," ","")&amp;",")),2000000,IF(IF(OR(Screener!$B$18="All",AND(Screener!$B$18="With A-share",(Database!$BM237="Y")),AND(Screener!$B$18="Without A-share",NOT((Database!$BM237="Y")))),1,0)=0,-999999,IF(Screener!$B$16="cornerstone overlap first",H237*100000,IF(Screener!$B$16="demand-similar first",J237*100000,0))+W_SUB*B237+W_SEC*C237*(1-B237)+W_SIZE*D237+W_PROF*E237+W_AH*F237+W_REC*G237+W_CS*H237+W_PE*I237)))+ROW()/1000000</f>
        <v/>
      </c>
      <c r="AA237" s="270">
        <f>Database!B226</f>
        <v/>
      </c>
      <c r="AB237" s="270">
        <f>Database!D226</f>
        <v/>
      </c>
      <c r="AC237" s="270">
        <f>Database!E226</f>
        <v/>
      </c>
      <c r="AD237" s="270">
        <f>Database!I226</f>
        <v/>
      </c>
      <c r="AE237" s="270">
        <f>Database!BG226</f>
        <v/>
      </c>
      <c r="AF237" s="270">
        <f>Database!BM226</f>
        <v/>
      </c>
      <c r="AG237" s="270">
        <f>Database!H226</f>
        <v/>
      </c>
      <c r="AH237" s="270">
        <f>Database!BH226</f>
        <v/>
      </c>
    </row>
    <row r="238">
      <c r="A238" s="270">
        <f>Database!B238</f>
        <v/>
      </c>
      <c r="B238" s="270">
        <f>IF(AND(Screener!$D$8&lt;&gt;"",Database!$E238=Screener!$D$8),1,0)</f>
        <v/>
      </c>
      <c r="C238" s="270">
        <f>IF(AND(Screener!$D$7&lt;&gt;"",Database!$D238=Screener!$D$7),1,0)</f>
        <v/>
      </c>
      <c r="D238" s="270">
        <f>IF(OR(N(Database!$I238)&lt;=0,N(Screener!$D$9)&lt;=0),0,MAX(0,1-ABS(LOG10(N(Database!$I238)/Screener!$D$9))/W_SIZEHW))</f>
        <v/>
      </c>
      <c r="E238" s="270">
        <f>IF(OR(Database!$BG238="",Screener!$D$10=""),0,IF(Database!$BG238=Screener!$D$10,1,0))</f>
        <v/>
      </c>
      <c r="F238" s="270">
        <f>IF(OR(Database!$BM238="",Screener!$D$11=""),0,IF(Database!$BM238=Screener!$D$11,1,0))</f>
        <v/>
      </c>
      <c r="G238" s="270">
        <f>IF(OR(Database!$H238="",N(Screener!$D$12)&lt;=0),0,MAX(0,1-(N(Screener!$D$12)-Database!$H238)/W_RECD))</f>
        <v/>
      </c>
      <c r="H238" s="270">
        <f>IF($U$1="",0,N(ISNUMBER(SEARCH($U$1,Database!$AC238&amp;""))))+IF($V$1="",0,N(ISNUMBER(SEARCH($V$1,Database!$AC238&amp;""))))+IF($W$1="",0,N(ISNUMBER(SEARCH($W$1,Database!$AC238&amp;""))))+IF($X$1="",0,N(ISNUMBER(SEARCH($X$1,Database!$AC238&amp;""))))+IF($Y$1="",0,N(ISNUMBER(SEARCH($Y$1,Database!$AC238&amp;""))))+IF(Screener!$B$17="",0,N(ISNUMBER(SEARCH(LOWER(Screener!$B$17),Database!$AC238&amp;""))))</f>
        <v/>
      </c>
      <c r="I238" s="270">
        <f>IF(OR(N(Database!$BH238)&lt;=0,N(Screener!$D$13)&lt;=0),0,MAX(0,1-ABS(LOG10(N(Database!$BH238)/Screener!$D$13))/W_PEHW))</f>
        <v/>
      </c>
      <c r="J238" s="270">
        <f>IF(OR(N(Database!$S238)&lt;=0,N(Screener!$D$14)&lt;=0),0,MAX(0,1-ABS(LOG10(Database!$S238/Screener!$D$14))/0.6))</f>
        <v/>
      </c>
      <c r="K238" s="270">
        <f>IF(Database!$B238=Screener!$B$5,-999999,IF(ISNUMBER(SEARCH(","&amp;Database!$A238&amp;",",","&amp;SUBSTITUTE(Screener!$D$17," ","")&amp;",")),2000000,IF(IF(OR(Screener!$B$18="All",AND(Screener!$B$18="With A-share",(Database!$BM238="Y")),AND(Screener!$B$18="Without A-share",NOT((Database!$BM238="Y")))),1,0)=0,-999999,IF(Screener!$B$16="cornerstone overlap first",H238*100000,IF(Screener!$B$16="demand-similar first",J238*100000,0))+W_SUB*B238+W_SEC*C238*(1-B238)+W_SIZE*D238+W_PROF*E238+W_AH*F238+W_REC*G238+W_CS*H238+W_PE*I238)))+ROW()/1000000</f>
        <v/>
      </c>
      <c r="AA238" s="270">
        <f>Database!B227</f>
        <v/>
      </c>
      <c r="AB238" s="270">
        <f>Database!D227</f>
        <v/>
      </c>
      <c r="AC238" s="270">
        <f>Database!E227</f>
        <v/>
      </c>
      <c r="AD238" s="270">
        <f>Database!I227</f>
        <v/>
      </c>
      <c r="AE238" s="270">
        <f>Database!BG227</f>
        <v/>
      </c>
      <c r="AF238" s="270">
        <f>Database!BM227</f>
        <v/>
      </c>
      <c r="AG238" s="270">
        <f>Database!H227</f>
        <v/>
      </c>
      <c r="AH238" s="270">
        <f>Database!BH227</f>
        <v/>
      </c>
    </row>
    <row r="239">
      <c r="A239" s="270">
        <f>Database!B239</f>
        <v/>
      </c>
      <c r="B239" s="270">
        <f>IF(AND(Screener!$D$8&lt;&gt;"",Database!$E239=Screener!$D$8),1,0)</f>
        <v/>
      </c>
      <c r="C239" s="270">
        <f>IF(AND(Screener!$D$7&lt;&gt;"",Database!$D239=Screener!$D$7),1,0)</f>
        <v/>
      </c>
      <c r="D239" s="270">
        <f>IF(OR(N(Database!$I239)&lt;=0,N(Screener!$D$9)&lt;=0),0,MAX(0,1-ABS(LOG10(N(Database!$I239)/Screener!$D$9))/W_SIZEHW))</f>
        <v/>
      </c>
      <c r="E239" s="270">
        <f>IF(OR(Database!$BG239="",Screener!$D$10=""),0,IF(Database!$BG239=Screener!$D$10,1,0))</f>
        <v/>
      </c>
      <c r="F239" s="270">
        <f>IF(OR(Database!$BM239="",Screener!$D$11=""),0,IF(Database!$BM239=Screener!$D$11,1,0))</f>
        <v/>
      </c>
      <c r="G239" s="270">
        <f>IF(OR(Database!$H239="",N(Screener!$D$12)&lt;=0),0,MAX(0,1-(N(Screener!$D$12)-Database!$H239)/W_RECD))</f>
        <v/>
      </c>
      <c r="H239" s="270">
        <f>IF($U$1="",0,N(ISNUMBER(SEARCH($U$1,Database!$AC239&amp;""))))+IF($V$1="",0,N(ISNUMBER(SEARCH($V$1,Database!$AC239&amp;""))))+IF($W$1="",0,N(ISNUMBER(SEARCH($W$1,Database!$AC239&amp;""))))+IF($X$1="",0,N(ISNUMBER(SEARCH($X$1,Database!$AC239&amp;""))))+IF($Y$1="",0,N(ISNUMBER(SEARCH($Y$1,Database!$AC239&amp;""))))+IF(Screener!$B$17="",0,N(ISNUMBER(SEARCH(LOWER(Screener!$B$17),Database!$AC239&amp;""))))</f>
        <v/>
      </c>
      <c r="I239" s="270">
        <f>IF(OR(N(Database!$BH239)&lt;=0,N(Screener!$D$13)&lt;=0),0,MAX(0,1-ABS(LOG10(N(Database!$BH239)/Screener!$D$13))/W_PEHW))</f>
        <v/>
      </c>
      <c r="J239" s="270">
        <f>IF(OR(N(Database!$S239)&lt;=0,N(Screener!$D$14)&lt;=0),0,MAX(0,1-ABS(LOG10(Database!$S239/Screener!$D$14))/0.6))</f>
        <v/>
      </c>
      <c r="K239" s="270">
        <f>IF(Database!$B239=Screener!$B$5,-999999,IF(ISNUMBER(SEARCH(","&amp;Database!$A239&amp;",",","&amp;SUBSTITUTE(Screener!$D$17," ","")&amp;",")),2000000,IF(IF(OR(Screener!$B$18="All",AND(Screener!$B$18="With A-share",(Database!$BM239="Y")),AND(Screener!$B$18="Without A-share",NOT((Database!$BM239="Y")))),1,0)=0,-999999,IF(Screener!$B$16="cornerstone overlap first",H239*100000,IF(Screener!$B$16="demand-similar first",J239*100000,0))+W_SUB*B239+W_SEC*C239*(1-B239)+W_SIZE*D239+W_PROF*E239+W_AH*F239+W_REC*G239+W_CS*H239+W_PE*I239)))+ROW()/1000000</f>
        <v/>
      </c>
      <c r="AA239" s="270">
        <f>Database!B228</f>
        <v/>
      </c>
      <c r="AB239" s="270">
        <f>Database!D228</f>
        <v/>
      </c>
      <c r="AC239" s="270">
        <f>Database!E228</f>
        <v/>
      </c>
      <c r="AD239" s="270">
        <f>Database!I228</f>
        <v/>
      </c>
      <c r="AE239" s="270">
        <f>Database!BG228</f>
        <v/>
      </c>
      <c r="AF239" s="270">
        <f>Database!BM228</f>
        <v/>
      </c>
      <c r="AG239" s="270">
        <f>Database!H228</f>
        <v/>
      </c>
      <c r="AH239" s="270">
        <f>Database!BH228</f>
        <v/>
      </c>
    </row>
    <row r="240">
      <c r="A240" s="270">
        <f>Database!B240</f>
        <v/>
      </c>
      <c r="B240" s="270">
        <f>IF(AND(Screener!$D$8&lt;&gt;"",Database!$E240=Screener!$D$8),1,0)</f>
        <v/>
      </c>
      <c r="C240" s="270">
        <f>IF(AND(Screener!$D$7&lt;&gt;"",Database!$D240=Screener!$D$7),1,0)</f>
        <v/>
      </c>
      <c r="D240" s="270">
        <f>IF(OR(N(Database!$I240)&lt;=0,N(Screener!$D$9)&lt;=0),0,MAX(0,1-ABS(LOG10(N(Database!$I240)/Screener!$D$9))/W_SIZEHW))</f>
        <v/>
      </c>
      <c r="E240" s="270">
        <f>IF(OR(Database!$BG240="",Screener!$D$10=""),0,IF(Database!$BG240=Screener!$D$10,1,0))</f>
        <v/>
      </c>
      <c r="F240" s="270">
        <f>IF(OR(Database!$BM240="",Screener!$D$11=""),0,IF(Database!$BM240=Screener!$D$11,1,0))</f>
        <v/>
      </c>
      <c r="G240" s="270">
        <f>IF(OR(Database!$H240="",N(Screener!$D$12)&lt;=0),0,MAX(0,1-(N(Screener!$D$12)-Database!$H240)/W_RECD))</f>
        <v/>
      </c>
      <c r="H240" s="270">
        <f>IF($U$1="",0,N(ISNUMBER(SEARCH($U$1,Database!$AC240&amp;""))))+IF($V$1="",0,N(ISNUMBER(SEARCH($V$1,Database!$AC240&amp;""))))+IF($W$1="",0,N(ISNUMBER(SEARCH($W$1,Database!$AC240&amp;""))))+IF($X$1="",0,N(ISNUMBER(SEARCH($X$1,Database!$AC240&amp;""))))+IF($Y$1="",0,N(ISNUMBER(SEARCH($Y$1,Database!$AC240&amp;""))))+IF(Screener!$B$17="",0,N(ISNUMBER(SEARCH(LOWER(Screener!$B$17),Database!$AC240&amp;""))))</f>
        <v/>
      </c>
      <c r="I240" s="270">
        <f>IF(OR(N(Database!$BH240)&lt;=0,N(Screener!$D$13)&lt;=0),0,MAX(0,1-ABS(LOG10(N(Database!$BH240)/Screener!$D$13))/W_PEHW))</f>
        <v/>
      </c>
      <c r="J240" s="270">
        <f>IF(OR(N(Database!$S240)&lt;=0,N(Screener!$D$14)&lt;=0),0,MAX(0,1-ABS(LOG10(Database!$S240/Screener!$D$14))/0.6))</f>
        <v/>
      </c>
      <c r="K240" s="270">
        <f>IF(Database!$B240=Screener!$B$5,-999999,IF(ISNUMBER(SEARCH(","&amp;Database!$A240&amp;",",","&amp;SUBSTITUTE(Screener!$D$17," ","")&amp;",")),2000000,IF(IF(OR(Screener!$B$18="All",AND(Screener!$B$18="With A-share",(Database!$BM240="Y")),AND(Screener!$B$18="Without A-share",NOT((Database!$BM240="Y")))),1,0)=0,-999999,IF(Screener!$B$16="cornerstone overlap first",H240*100000,IF(Screener!$B$16="demand-similar first",J240*100000,0))+W_SUB*B240+W_SEC*C240*(1-B240)+W_SIZE*D240+W_PROF*E240+W_AH*F240+W_REC*G240+W_CS*H240+W_PE*I240)))+ROW()/1000000</f>
        <v/>
      </c>
      <c r="AA240" s="270">
        <f>Database!B229</f>
        <v/>
      </c>
      <c r="AB240" s="270">
        <f>Database!D229</f>
        <v/>
      </c>
      <c r="AC240" s="270">
        <f>Database!E229</f>
        <v/>
      </c>
      <c r="AD240" s="270">
        <f>Database!I229</f>
        <v/>
      </c>
      <c r="AE240" s="270">
        <f>Database!BG229</f>
        <v/>
      </c>
      <c r="AF240" s="270">
        <f>Database!BM229</f>
        <v/>
      </c>
      <c r="AG240" s="270">
        <f>Database!H229</f>
        <v/>
      </c>
      <c r="AH240" s="270">
        <f>Database!BH229</f>
        <v/>
      </c>
    </row>
    <row r="241">
      <c r="A241" s="270">
        <f>Database!B241</f>
        <v/>
      </c>
      <c r="B241" s="270">
        <f>IF(AND(Screener!$D$8&lt;&gt;"",Database!$E241=Screener!$D$8),1,0)</f>
        <v/>
      </c>
      <c r="C241" s="270">
        <f>IF(AND(Screener!$D$7&lt;&gt;"",Database!$D241=Screener!$D$7),1,0)</f>
        <v/>
      </c>
      <c r="D241" s="270">
        <f>IF(OR(N(Database!$I241)&lt;=0,N(Screener!$D$9)&lt;=0),0,MAX(0,1-ABS(LOG10(N(Database!$I241)/Screener!$D$9))/W_SIZEHW))</f>
        <v/>
      </c>
      <c r="E241" s="270">
        <f>IF(OR(Database!$BG241="",Screener!$D$10=""),0,IF(Database!$BG241=Screener!$D$10,1,0))</f>
        <v/>
      </c>
      <c r="F241" s="270">
        <f>IF(OR(Database!$BM241="",Screener!$D$11=""),0,IF(Database!$BM241=Screener!$D$11,1,0))</f>
        <v/>
      </c>
      <c r="G241" s="270">
        <f>IF(OR(Database!$H241="",N(Screener!$D$12)&lt;=0),0,MAX(0,1-(N(Screener!$D$12)-Database!$H241)/W_RECD))</f>
        <v/>
      </c>
      <c r="H241" s="270">
        <f>IF($U$1="",0,N(ISNUMBER(SEARCH($U$1,Database!$AC241&amp;""))))+IF($V$1="",0,N(ISNUMBER(SEARCH($V$1,Database!$AC241&amp;""))))+IF($W$1="",0,N(ISNUMBER(SEARCH($W$1,Database!$AC241&amp;""))))+IF($X$1="",0,N(ISNUMBER(SEARCH($X$1,Database!$AC241&amp;""))))+IF($Y$1="",0,N(ISNUMBER(SEARCH($Y$1,Database!$AC241&amp;""))))+IF(Screener!$B$17="",0,N(ISNUMBER(SEARCH(LOWER(Screener!$B$17),Database!$AC241&amp;""))))</f>
        <v/>
      </c>
      <c r="I241" s="270">
        <f>IF(OR(N(Database!$BH241)&lt;=0,N(Screener!$D$13)&lt;=0),0,MAX(0,1-ABS(LOG10(N(Database!$BH241)/Screener!$D$13))/W_PEHW))</f>
        <v/>
      </c>
      <c r="J241" s="270">
        <f>IF(OR(N(Database!$S241)&lt;=0,N(Screener!$D$14)&lt;=0),0,MAX(0,1-ABS(LOG10(Database!$S241/Screener!$D$14))/0.6))</f>
        <v/>
      </c>
      <c r="K241" s="270">
        <f>IF(Database!$B241=Screener!$B$5,-999999,IF(ISNUMBER(SEARCH(","&amp;Database!$A241&amp;",",","&amp;SUBSTITUTE(Screener!$D$17," ","")&amp;",")),2000000,IF(IF(OR(Screener!$B$18="All",AND(Screener!$B$18="With A-share",(Database!$BM241="Y")),AND(Screener!$B$18="Without A-share",NOT((Database!$BM241="Y")))),1,0)=0,-999999,IF(Screener!$B$16="cornerstone overlap first",H241*100000,IF(Screener!$B$16="demand-similar first",J241*100000,0))+W_SUB*B241+W_SEC*C241*(1-B241)+W_SIZE*D241+W_PROF*E241+W_AH*F241+W_REC*G241+W_CS*H241+W_PE*I241)))+ROW()/1000000</f>
        <v/>
      </c>
      <c r="AA241" s="270">
        <f>Database!B230</f>
        <v/>
      </c>
      <c r="AB241" s="270">
        <f>Database!D230</f>
        <v/>
      </c>
      <c r="AC241" s="270">
        <f>Database!E230</f>
        <v/>
      </c>
      <c r="AD241" s="270">
        <f>Database!I230</f>
        <v/>
      </c>
      <c r="AE241" s="270">
        <f>Database!BG230</f>
        <v/>
      </c>
      <c r="AF241" s="270">
        <f>Database!BM230</f>
        <v/>
      </c>
      <c r="AG241" s="270">
        <f>Database!H230</f>
        <v/>
      </c>
      <c r="AH241" s="270">
        <f>Database!BH230</f>
        <v/>
      </c>
    </row>
    <row r="242">
      <c r="A242" s="270">
        <f>Database!B242</f>
        <v/>
      </c>
      <c r="B242" s="270">
        <f>IF(AND(Screener!$D$8&lt;&gt;"",Database!$E242=Screener!$D$8),1,0)</f>
        <v/>
      </c>
      <c r="C242" s="270">
        <f>IF(AND(Screener!$D$7&lt;&gt;"",Database!$D242=Screener!$D$7),1,0)</f>
        <v/>
      </c>
      <c r="D242" s="270">
        <f>IF(OR(N(Database!$I242)&lt;=0,N(Screener!$D$9)&lt;=0),0,MAX(0,1-ABS(LOG10(N(Database!$I242)/Screener!$D$9))/W_SIZEHW))</f>
        <v/>
      </c>
      <c r="E242" s="270">
        <f>IF(OR(Database!$BG242="",Screener!$D$10=""),0,IF(Database!$BG242=Screener!$D$10,1,0))</f>
        <v/>
      </c>
      <c r="F242" s="270">
        <f>IF(OR(Database!$BM242="",Screener!$D$11=""),0,IF(Database!$BM242=Screener!$D$11,1,0))</f>
        <v/>
      </c>
      <c r="G242" s="270">
        <f>IF(OR(Database!$H242="",N(Screener!$D$12)&lt;=0),0,MAX(0,1-(N(Screener!$D$12)-Database!$H242)/W_RECD))</f>
        <v/>
      </c>
      <c r="H242" s="270">
        <f>IF($U$1="",0,N(ISNUMBER(SEARCH($U$1,Database!$AC242&amp;""))))+IF($V$1="",0,N(ISNUMBER(SEARCH($V$1,Database!$AC242&amp;""))))+IF($W$1="",0,N(ISNUMBER(SEARCH($W$1,Database!$AC242&amp;""))))+IF($X$1="",0,N(ISNUMBER(SEARCH($X$1,Database!$AC242&amp;""))))+IF($Y$1="",0,N(ISNUMBER(SEARCH($Y$1,Database!$AC242&amp;""))))+IF(Screener!$B$17="",0,N(ISNUMBER(SEARCH(LOWER(Screener!$B$17),Database!$AC242&amp;""))))</f>
        <v/>
      </c>
      <c r="I242" s="270">
        <f>IF(OR(N(Database!$BH242)&lt;=0,N(Screener!$D$13)&lt;=0),0,MAX(0,1-ABS(LOG10(N(Database!$BH242)/Screener!$D$13))/W_PEHW))</f>
        <v/>
      </c>
      <c r="J242" s="270">
        <f>IF(OR(N(Database!$S242)&lt;=0,N(Screener!$D$14)&lt;=0),0,MAX(0,1-ABS(LOG10(Database!$S242/Screener!$D$14))/0.6))</f>
        <v/>
      </c>
      <c r="K242" s="270">
        <f>IF(Database!$B242=Screener!$B$5,-999999,IF(ISNUMBER(SEARCH(","&amp;Database!$A242&amp;",",","&amp;SUBSTITUTE(Screener!$D$17," ","")&amp;",")),2000000,IF(IF(OR(Screener!$B$18="All",AND(Screener!$B$18="With A-share",(Database!$BM242="Y")),AND(Screener!$B$18="Without A-share",NOT((Database!$BM242="Y")))),1,0)=0,-999999,IF(Screener!$B$16="cornerstone overlap first",H242*100000,IF(Screener!$B$16="demand-similar first",J242*100000,0))+W_SUB*B242+W_SEC*C242*(1-B242)+W_SIZE*D242+W_PROF*E242+W_AH*F242+W_REC*G242+W_CS*H242+W_PE*I242)))+ROW()/1000000</f>
        <v/>
      </c>
      <c r="AA242" s="270">
        <f>Database!B231</f>
        <v/>
      </c>
      <c r="AB242" s="270">
        <f>Database!D231</f>
        <v/>
      </c>
      <c r="AC242" s="270">
        <f>Database!E231</f>
        <v/>
      </c>
      <c r="AD242" s="270">
        <f>Database!I231</f>
        <v/>
      </c>
      <c r="AE242" s="270">
        <f>Database!BG231</f>
        <v/>
      </c>
      <c r="AF242" s="270">
        <f>Database!BM231</f>
        <v/>
      </c>
      <c r="AG242" s="270">
        <f>Database!H231</f>
        <v/>
      </c>
      <c r="AH242" s="270">
        <f>Database!BH231</f>
        <v/>
      </c>
    </row>
    <row r="243">
      <c r="A243" s="270">
        <f>Database!B243</f>
        <v/>
      </c>
      <c r="B243" s="270">
        <f>IF(AND(Screener!$D$8&lt;&gt;"",Database!$E243=Screener!$D$8),1,0)</f>
        <v/>
      </c>
      <c r="C243" s="270">
        <f>IF(AND(Screener!$D$7&lt;&gt;"",Database!$D243=Screener!$D$7),1,0)</f>
        <v/>
      </c>
      <c r="D243" s="270">
        <f>IF(OR(N(Database!$I243)&lt;=0,N(Screener!$D$9)&lt;=0),0,MAX(0,1-ABS(LOG10(N(Database!$I243)/Screener!$D$9))/W_SIZEHW))</f>
        <v/>
      </c>
      <c r="E243" s="270">
        <f>IF(OR(Database!$BG243="",Screener!$D$10=""),0,IF(Database!$BG243=Screener!$D$10,1,0))</f>
        <v/>
      </c>
      <c r="F243" s="270">
        <f>IF(OR(Database!$BM243="",Screener!$D$11=""),0,IF(Database!$BM243=Screener!$D$11,1,0))</f>
        <v/>
      </c>
      <c r="G243" s="270">
        <f>IF(OR(Database!$H243="",N(Screener!$D$12)&lt;=0),0,MAX(0,1-(N(Screener!$D$12)-Database!$H243)/W_RECD))</f>
        <v/>
      </c>
      <c r="H243" s="270">
        <f>IF($U$1="",0,N(ISNUMBER(SEARCH($U$1,Database!$AC243&amp;""))))+IF($V$1="",0,N(ISNUMBER(SEARCH($V$1,Database!$AC243&amp;""))))+IF($W$1="",0,N(ISNUMBER(SEARCH($W$1,Database!$AC243&amp;""))))+IF($X$1="",0,N(ISNUMBER(SEARCH($X$1,Database!$AC243&amp;""))))+IF($Y$1="",0,N(ISNUMBER(SEARCH($Y$1,Database!$AC243&amp;""))))+IF(Screener!$B$17="",0,N(ISNUMBER(SEARCH(LOWER(Screener!$B$17),Database!$AC243&amp;""))))</f>
        <v/>
      </c>
      <c r="I243" s="270">
        <f>IF(OR(N(Database!$BH243)&lt;=0,N(Screener!$D$13)&lt;=0),0,MAX(0,1-ABS(LOG10(N(Database!$BH243)/Screener!$D$13))/W_PEHW))</f>
        <v/>
      </c>
      <c r="J243" s="270">
        <f>IF(OR(N(Database!$S243)&lt;=0,N(Screener!$D$14)&lt;=0),0,MAX(0,1-ABS(LOG10(Database!$S243/Screener!$D$14))/0.6))</f>
        <v/>
      </c>
      <c r="K243" s="270">
        <f>IF(Database!$B243=Screener!$B$5,-999999,IF(ISNUMBER(SEARCH(","&amp;Database!$A243&amp;",",","&amp;SUBSTITUTE(Screener!$D$17," ","")&amp;",")),2000000,IF(IF(OR(Screener!$B$18="All",AND(Screener!$B$18="With A-share",(Database!$BM243="Y")),AND(Screener!$B$18="Without A-share",NOT((Database!$BM243="Y")))),1,0)=0,-999999,IF(Screener!$B$16="cornerstone overlap first",H243*100000,IF(Screener!$B$16="demand-similar first",J243*100000,0))+W_SUB*B243+W_SEC*C243*(1-B243)+W_SIZE*D243+W_PROF*E243+W_AH*F243+W_REC*G243+W_CS*H243+W_PE*I243)))+ROW()/1000000</f>
        <v/>
      </c>
      <c r="AA243" s="270">
        <f>Database!B232</f>
        <v/>
      </c>
      <c r="AB243" s="270">
        <f>Database!D232</f>
        <v/>
      </c>
      <c r="AC243" s="270">
        <f>Database!E232</f>
        <v/>
      </c>
      <c r="AD243" s="270">
        <f>Database!I232</f>
        <v/>
      </c>
      <c r="AE243" s="270">
        <f>Database!BG232</f>
        <v/>
      </c>
      <c r="AF243" s="270">
        <f>Database!BM232</f>
        <v/>
      </c>
      <c r="AG243" s="270">
        <f>Database!H232</f>
        <v/>
      </c>
      <c r="AH243" s="270">
        <f>Database!BH232</f>
        <v/>
      </c>
    </row>
    <row r="244">
      <c r="A244" s="270">
        <f>Database!B244</f>
        <v/>
      </c>
      <c r="B244" s="270">
        <f>IF(AND(Screener!$D$8&lt;&gt;"",Database!$E244=Screener!$D$8),1,0)</f>
        <v/>
      </c>
      <c r="C244" s="270">
        <f>IF(AND(Screener!$D$7&lt;&gt;"",Database!$D244=Screener!$D$7),1,0)</f>
        <v/>
      </c>
      <c r="D244" s="270">
        <f>IF(OR(N(Database!$I244)&lt;=0,N(Screener!$D$9)&lt;=0),0,MAX(0,1-ABS(LOG10(N(Database!$I244)/Screener!$D$9))/W_SIZEHW))</f>
        <v/>
      </c>
      <c r="E244" s="270">
        <f>IF(OR(Database!$BG244="",Screener!$D$10=""),0,IF(Database!$BG244=Screener!$D$10,1,0))</f>
        <v/>
      </c>
      <c r="F244" s="270">
        <f>IF(OR(Database!$BM244="",Screener!$D$11=""),0,IF(Database!$BM244=Screener!$D$11,1,0))</f>
        <v/>
      </c>
      <c r="G244" s="270">
        <f>IF(OR(Database!$H244="",N(Screener!$D$12)&lt;=0),0,MAX(0,1-(N(Screener!$D$12)-Database!$H244)/W_RECD))</f>
        <v/>
      </c>
      <c r="H244" s="270">
        <f>IF($U$1="",0,N(ISNUMBER(SEARCH($U$1,Database!$AC244&amp;""))))+IF($V$1="",0,N(ISNUMBER(SEARCH($V$1,Database!$AC244&amp;""))))+IF($W$1="",0,N(ISNUMBER(SEARCH($W$1,Database!$AC244&amp;""))))+IF($X$1="",0,N(ISNUMBER(SEARCH($X$1,Database!$AC244&amp;""))))+IF($Y$1="",0,N(ISNUMBER(SEARCH($Y$1,Database!$AC244&amp;""))))+IF(Screener!$B$17="",0,N(ISNUMBER(SEARCH(LOWER(Screener!$B$17),Database!$AC244&amp;""))))</f>
        <v/>
      </c>
      <c r="I244" s="270">
        <f>IF(OR(N(Database!$BH244)&lt;=0,N(Screener!$D$13)&lt;=0),0,MAX(0,1-ABS(LOG10(N(Database!$BH244)/Screener!$D$13))/W_PEHW))</f>
        <v/>
      </c>
      <c r="J244" s="270">
        <f>IF(OR(N(Database!$S244)&lt;=0,N(Screener!$D$14)&lt;=0),0,MAX(0,1-ABS(LOG10(Database!$S244/Screener!$D$14))/0.6))</f>
        <v/>
      </c>
      <c r="K244" s="270">
        <f>IF(Database!$B244=Screener!$B$5,-999999,IF(ISNUMBER(SEARCH(","&amp;Database!$A244&amp;",",","&amp;SUBSTITUTE(Screener!$D$17," ","")&amp;",")),2000000,IF(IF(OR(Screener!$B$18="All",AND(Screener!$B$18="With A-share",(Database!$BM244="Y")),AND(Screener!$B$18="Without A-share",NOT((Database!$BM244="Y")))),1,0)=0,-999999,IF(Screener!$B$16="cornerstone overlap first",H244*100000,IF(Screener!$B$16="demand-similar first",J244*100000,0))+W_SUB*B244+W_SEC*C244*(1-B244)+W_SIZE*D244+W_PROF*E244+W_AH*F244+W_REC*G244+W_CS*H244+W_PE*I244)))+ROW()/1000000</f>
        <v/>
      </c>
      <c r="AA244" s="270">
        <f>Database!B233</f>
        <v/>
      </c>
      <c r="AB244" s="270">
        <f>Database!D233</f>
        <v/>
      </c>
      <c r="AC244" s="270">
        <f>Database!E233</f>
        <v/>
      </c>
      <c r="AD244" s="270">
        <f>Database!I233</f>
        <v/>
      </c>
      <c r="AE244" s="270">
        <f>Database!BG233</f>
        <v/>
      </c>
      <c r="AF244" s="270">
        <f>Database!BM233</f>
        <v/>
      </c>
      <c r="AG244" s="270">
        <f>Database!H233</f>
        <v/>
      </c>
      <c r="AH244" s="270">
        <f>Database!BH233</f>
        <v/>
      </c>
    </row>
    <row r="245">
      <c r="A245" s="270">
        <f>Database!B245</f>
        <v/>
      </c>
      <c r="B245" s="270">
        <f>IF(AND(Screener!$D$8&lt;&gt;"",Database!$E245=Screener!$D$8),1,0)</f>
        <v/>
      </c>
      <c r="C245" s="270">
        <f>IF(AND(Screener!$D$7&lt;&gt;"",Database!$D245=Screener!$D$7),1,0)</f>
        <v/>
      </c>
      <c r="D245" s="270">
        <f>IF(OR(N(Database!$I245)&lt;=0,N(Screener!$D$9)&lt;=0),0,MAX(0,1-ABS(LOG10(N(Database!$I245)/Screener!$D$9))/W_SIZEHW))</f>
        <v/>
      </c>
      <c r="E245" s="270">
        <f>IF(OR(Database!$BG245="",Screener!$D$10=""),0,IF(Database!$BG245=Screener!$D$10,1,0))</f>
        <v/>
      </c>
      <c r="F245" s="270">
        <f>IF(OR(Database!$BM245="",Screener!$D$11=""),0,IF(Database!$BM245=Screener!$D$11,1,0))</f>
        <v/>
      </c>
      <c r="G245" s="270">
        <f>IF(OR(Database!$H245="",N(Screener!$D$12)&lt;=0),0,MAX(0,1-(N(Screener!$D$12)-Database!$H245)/W_RECD))</f>
        <v/>
      </c>
      <c r="H245" s="270">
        <f>IF($U$1="",0,N(ISNUMBER(SEARCH($U$1,Database!$AC245&amp;""))))+IF($V$1="",0,N(ISNUMBER(SEARCH($V$1,Database!$AC245&amp;""))))+IF($W$1="",0,N(ISNUMBER(SEARCH($W$1,Database!$AC245&amp;""))))+IF($X$1="",0,N(ISNUMBER(SEARCH($X$1,Database!$AC245&amp;""))))+IF($Y$1="",0,N(ISNUMBER(SEARCH($Y$1,Database!$AC245&amp;""))))+IF(Screener!$B$17="",0,N(ISNUMBER(SEARCH(LOWER(Screener!$B$17),Database!$AC245&amp;""))))</f>
        <v/>
      </c>
      <c r="I245" s="270">
        <f>IF(OR(N(Database!$BH245)&lt;=0,N(Screener!$D$13)&lt;=0),0,MAX(0,1-ABS(LOG10(N(Database!$BH245)/Screener!$D$13))/W_PEHW))</f>
        <v/>
      </c>
      <c r="J245" s="270">
        <f>IF(OR(N(Database!$S245)&lt;=0,N(Screener!$D$14)&lt;=0),0,MAX(0,1-ABS(LOG10(Database!$S245/Screener!$D$14))/0.6))</f>
        <v/>
      </c>
      <c r="K245" s="270">
        <f>IF(Database!$B245=Screener!$B$5,-999999,IF(ISNUMBER(SEARCH(","&amp;Database!$A245&amp;",",","&amp;SUBSTITUTE(Screener!$D$17," ","")&amp;",")),2000000,IF(IF(OR(Screener!$B$18="All",AND(Screener!$B$18="With A-share",(Database!$BM245="Y")),AND(Screener!$B$18="Without A-share",NOT((Database!$BM245="Y")))),1,0)=0,-999999,IF(Screener!$B$16="cornerstone overlap first",H245*100000,IF(Screener!$B$16="demand-similar first",J245*100000,0))+W_SUB*B245+W_SEC*C245*(1-B245)+W_SIZE*D245+W_PROF*E245+W_AH*F245+W_REC*G245+W_CS*H245+W_PE*I245)))+ROW()/1000000</f>
        <v/>
      </c>
      <c r="AA245" s="270">
        <f>Database!B234</f>
        <v/>
      </c>
      <c r="AB245" s="270">
        <f>Database!D234</f>
        <v/>
      </c>
      <c r="AC245" s="270">
        <f>Database!E234</f>
        <v/>
      </c>
      <c r="AD245" s="270">
        <f>Database!I234</f>
        <v/>
      </c>
      <c r="AE245" s="270">
        <f>Database!BG234</f>
        <v/>
      </c>
      <c r="AF245" s="270">
        <f>Database!BM234</f>
        <v/>
      </c>
      <c r="AG245" s="270">
        <f>Database!H234</f>
        <v/>
      </c>
      <c r="AH245" s="270">
        <f>Database!BH234</f>
        <v/>
      </c>
    </row>
    <row r="246">
      <c r="A246" s="270">
        <f>Database!B246</f>
        <v/>
      </c>
      <c r="B246" s="270">
        <f>IF(AND(Screener!$D$8&lt;&gt;"",Database!$E246=Screener!$D$8),1,0)</f>
        <v/>
      </c>
      <c r="C246" s="270">
        <f>IF(AND(Screener!$D$7&lt;&gt;"",Database!$D246=Screener!$D$7),1,0)</f>
        <v/>
      </c>
      <c r="D246" s="270">
        <f>IF(OR(N(Database!$I246)&lt;=0,N(Screener!$D$9)&lt;=0),0,MAX(0,1-ABS(LOG10(N(Database!$I246)/Screener!$D$9))/W_SIZEHW))</f>
        <v/>
      </c>
      <c r="E246" s="270">
        <f>IF(OR(Database!$BG246="",Screener!$D$10=""),0,IF(Database!$BG246=Screener!$D$10,1,0))</f>
        <v/>
      </c>
      <c r="F246" s="270">
        <f>IF(OR(Database!$BM246="",Screener!$D$11=""),0,IF(Database!$BM246=Screener!$D$11,1,0))</f>
        <v/>
      </c>
      <c r="G246" s="270">
        <f>IF(OR(Database!$H246="",N(Screener!$D$12)&lt;=0),0,MAX(0,1-(N(Screener!$D$12)-Database!$H246)/W_RECD))</f>
        <v/>
      </c>
      <c r="H246" s="270">
        <f>IF($U$1="",0,N(ISNUMBER(SEARCH($U$1,Database!$AC246&amp;""))))+IF($V$1="",0,N(ISNUMBER(SEARCH($V$1,Database!$AC246&amp;""))))+IF($W$1="",0,N(ISNUMBER(SEARCH($W$1,Database!$AC246&amp;""))))+IF($X$1="",0,N(ISNUMBER(SEARCH($X$1,Database!$AC246&amp;""))))+IF($Y$1="",0,N(ISNUMBER(SEARCH($Y$1,Database!$AC246&amp;""))))+IF(Screener!$B$17="",0,N(ISNUMBER(SEARCH(LOWER(Screener!$B$17),Database!$AC246&amp;""))))</f>
        <v/>
      </c>
      <c r="I246" s="270">
        <f>IF(OR(N(Database!$BH246)&lt;=0,N(Screener!$D$13)&lt;=0),0,MAX(0,1-ABS(LOG10(N(Database!$BH246)/Screener!$D$13))/W_PEHW))</f>
        <v/>
      </c>
      <c r="J246" s="270">
        <f>IF(OR(N(Database!$S246)&lt;=0,N(Screener!$D$14)&lt;=0),0,MAX(0,1-ABS(LOG10(Database!$S246/Screener!$D$14))/0.6))</f>
        <v/>
      </c>
      <c r="K246" s="270">
        <f>IF(Database!$B246=Screener!$B$5,-999999,IF(ISNUMBER(SEARCH(","&amp;Database!$A246&amp;",",","&amp;SUBSTITUTE(Screener!$D$17," ","")&amp;",")),2000000,IF(IF(OR(Screener!$B$18="All",AND(Screener!$B$18="With A-share",(Database!$BM246="Y")),AND(Screener!$B$18="Without A-share",NOT((Database!$BM246="Y")))),1,0)=0,-999999,IF(Screener!$B$16="cornerstone overlap first",H246*100000,IF(Screener!$B$16="demand-similar first",J246*100000,0))+W_SUB*B246+W_SEC*C246*(1-B246)+W_SIZE*D246+W_PROF*E246+W_AH*F246+W_REC*G246+W_CS*H246+W_PE*I246)))+ROW()/1000000</f>
        <v/>
      </c>
      <c r="AA246" s="270">
        <f>Database!B235</f>
        <v/>
      </c>
      <c r="AB246" s="270">
        <f>Database!D235</f>
        <v/>
      </c>
      <c r="AC246" s="270">
        <f>Database!E235</f>
        <v/>
      </c>
      <c r="AD246" s="270">
        <f>Database!I235</f>
        <v/>
      </c>
      <c r="AE246" s="270">
        <f>Database!BG235</f>
        <v/>
      </c>
      <c r="AF246" s="270">
        <f>Database!BM235</f>
        <v/>
      </c>
      <c r="AG246" s="270">
        <f>Database!H235</f>
        <v/>
      </c>
      <c r="AH246" s="270">
        <f>Database!BH235</f>
        <v/>
      </c>
    </row>
    <row r="247">
      <c r="A247" s="270">
        <f>Database!B247</f>
        <v/>
      </c>
      <c r="B247" s="270">
        <f>IF(AND(Screener!$D$8&lt;&gt;"",Database!$E247=Screener!$D$8),1,0)</f>
        <v/>
      </c>
      <c r="C247" s="270">
        <f>IF(AND(Screener!$D$7&lt;&gt;"",Database!$D247=Screener!$D$7),1,0)</f>
        <v/>
      </c>
      <c r="D247" s="270">
        <f>IF(OR(N(Database!$I247)&lt;=0,N(Screener!$D$9)&lt;=0),0,MAX(0,1-ABS(LOG10(N(Database!$I247)/Screener!$D$9))/W_SIZEHW))</f>
        <v/>
      </c>
      <c r="E247" s="270">
        <f>IF(OR(Database!$BG247="",Screener!$D$10=""),0,IF(Database!$BG247=Screener!$D$10,1,0))</f>
        <v/>
      </c>
      <c r="F247" s="270">
        <f>IF(OR(Database!$BM247="",Screener!$D$11=""),0,IF(Database!$BM247=Screener!$D$11,1,0))</f>
        <v/>
      </c>
      <c r="G247" s="270">
        <f>IF(OR(Database!$H247="",N(Screener!$D$12)&lt;=0),0,MAX(0,1-(N(Screener!$D$12)-Database!$H247)/W_RECD))</f>
        <v/>
      </c>
      <c r="H247" s="270">
        <f>IF($U$1="",0,N(ISNUMBER(SEARCH($U$1,Database!$AC247&amp;""))))+IF($V$1="",0,N(ISNUMBER(SEARCH($V$1,Database!$AC247&amp;""))))+IF($W$1="",0,N(ISNUMBER(SEARCH($W$1,Database!$AC247&amp;""))))+IF($X$1="",0,N(ISNUMBER(SEARCH($X$1,Database!$AC247&amp;""))))+IF($Y$1="",0,N(ISNUMBER(SEARCH($Y$1,Database!$AC247&amp;""))))+IF(Screener!$B$17="",0,N(ISNUMBER(SEARCH(LOWER(Screener!$B$17),Database!$AC247&amp;""))))</f>
        <v/>
      </c>
      <c r="I247" s="270">
        <f>IF(OR(N(Database!$BH247)&lt;=0,N(Screener!$D$13)&lt;=0),0,MAX(0,1-ABS(LOG10(N(Database!$BH247)/Screener!$D$13))/W_PEHW))</f>
        <v/>
      </c>
      <c r="J247" s="270">
        <f>IF(OR(N(Database!$S247)&lt;=0,N(Screener!$D$14)&lt;=0),0,MAX(0,1-ABS(LOG10(Database!$S247/Screener!$D$14))/0.6))</f>
        <v/>
      </c>
      <c r="K247" s="270">
        <f>IF(Database!$B247=Screener!$B$5,-999999,IF(ISNUMBER(SEARCH(","&amp;Database!$A247&amp;",",","&amp;SUBSTITUTE(Screener!$D$17," ","")&amp;",")),2000000,IF(IF(OR(Screener!$B$18="All",AND(Screener!$B$18="With A-share",(Database!$BM247="Y")),AND(Screener!$B$18="Without A-share",NOT((Database!$BM247="Y")))),1,0)=0,-999999,IF(Screener!$B$16="cornerstone overlap first",H247*100000,IF(Screener!$B$16="demand-similar first",J247*100000,0))+W_SUB*B247+W_SEC*C247*(1-B247)+W_SIZE*D247+W_PROF*E247+W_AH*F247+W_REC*G247+W_CS*H247+W_PE*I247)))+ROW()/1000000</f>
        <v/>
      </c>
      <c r="AA247" s="270">
        <f>Database!B236</f>
        <v/>
      </c>
      <c r="AB247" s="270">
        <f>Database!D236</f>
        <v/>
      </c>
      <c r="AC247" s="270">
        <f>Database!E236</f>
        <v/>
      </c>
      <c r="AD247" s="270">
        <f>Database!I236</f>
        <v/>
      </c>
      <c r="AE247" s="270">
        <f>Database!BG236</f>
        <v/>
      </c>
      <c r="AF247" s="270">
        <f>Database!BM236</f>
        <v/>
      </c>
      <c r="AG247" s="270">
        <f>Database!H236</f>
        <v/>
      </c>
      <c r="AH247" s="270">
        <f>Database!BH236</f>
        <v/>
      </c>
    </row>
    <row r="248">
      <c r="A248" s="270">
        <f>Database!B248</f>
        <v/>
      </c>
      <c r="B248" s="270">
        <f>IF(AND(Screener!$D$8&lt;&gt;"",Database!$E248=Screener!$D$8),1,0)</f>
        <v/>
      </c>
      <c r="C248" s="270">
        <f>IF(AND(Screener!$D$7&lt;&gt;"",Database!$D248=Screener!$D$7),1,0)</f>
        <v/>
      </c>
      <c r="D248" s="270">
        <f>IF(OR(N(Database!$I248)&lt;=0,N(Screener!$D$9)&lt;=0),0,MAX(0,1-ABS(LOG10(N(Database!$I248)/Screener!$D$9))/W_SIZEHW))</f>
        <v/>
      </c>
      <c r="E248" s="270">
        <f>IF(OR(Database!$BG248="",Screener!$D$10=""),0,IF(Database!$BG248=Screener!$D$10,1,0))</f>
        <v/>
      </c>
      <c r="F248" s="270">
        <f>IF(OR(Database!$BM248="",Screener!$D$11=""),0,IF(Database!$BM248=Screener!$D$11,1,0))</f>
        <v/>
      </c>
      <c r="G248" s="270">
        <f>IF(OR(Database!$H248="",N(Screener!$D$12)&lt;=0),0,MAX(0,1-(N(Screener!$D$12)-Database!$H248)/W_RECD))</f>
        <v/>
      </c>
      <c r="H248" s="270">
        <f>IF($U$1="",0,N(ISNUMBER(SEARCH($U$1,Database!$AC248&amp;""))))+IF($V$1="",0,N(ISNUMBER(SEARCH($V$1,Database!$AC248&amp;""))))+IF($W$1="",0,N(ISNUMBER(SEARCH($W$1,Database!$AC248&amp;""))))+IF($X$1="",0,N(ISNUMBER(SEARCH($X$1,Database!$AC248&amp;""))))+IF($Y$1="",0,N(ISNUMBER(SEARCH($Y$1,Database!$AC248&amp;""))))+IF(Screener!$B$17="",0,N(ISNUMBER(SEARCH(LOWER(Screener!$B$17),Database!$AC248&amp;""))))</f>
        <v/>
      </c>
      <c r="I248" s="270">
        <f>IF(OR(N(Database!$BH248)&lt;=0,N(Screener!$D$13)&lt;=0),0,MAX(0,1-ABS(LOG10(N(Database!$BH248)/Screener!$D$13))/W_PEHW))</f>
        <v/>
      </c>
      <c r="J248" s="270">
        <f>IF(OR(N(Database!$S248)&lt;=0,N(Screener!$D$14)&lt;=0),0,MAX(0,1-ABS(LOG10(Database!$S248/Screener!$D$14))/0.6))</f>
        <v/>
      </c>
      <c r="K248" s="270">
        <f>IF(Database!$B248=Screener!$B$5,-999999,IF(ISNUMBER(SEARCH(","&amp;Database!$A248&amp;",",","&amp;SUBSTITUTE(Screener!$D$17," ","")&amp;",")),2000000,IF(IF(OR(Screener!$B$18="All",AND(Screener!$B$18="With A-share",(Database!$BM248="Y")),AND(Screener!$B$18="Without A-share",NOT((Database!$BM248="Y")))),1,0)=0,-999999,IF(Screener!$B$16="cornerstone overlap first",H248*100000,IF(Screener!$B$16="demand-similar first",J248*100000,0))+W_SUB*B248+W_SEC*C248*(1-B248)+W_SIZE*D248+W_PROF*E248+W_AH*F248+W_REC*G248+W_CS*H248+W_PE*I248)))+ROW()/1000000</f>
        <v/>
      </c>
      <c r="AA248" s="270">
        <f>Database!B237</f>
        <v/>
      </c>
      <c r="AB248" s="270">
        <f>Database!D237</f>
        <v/>
      </c>
      <c r="AC248" s="270">
        <f>Database!E237</f>
        <v/>
      </c>
      <c r="AD248" s="270">
        <f>Database!I237</f>
        <v/>
      </c>
      <c r="AE248" s="270">
        <f>Database!BG237</f>
        <v/>
      </c>
      <c r="AF248" s="270">
        <f>Database!BM237</f>
        <v/>
      </c>
      <c r="AG248" s="270">
        <f>Database!H237</f>
        <v/>
      </c>
      <c r="AH248" s="270">
        <f>Database!BH237</f>
        <v/>
      </c>
    </row>
    <row r="249">
      <c r="A249" s="270">
        <f>Database!B249</f>
        <v/>
      </c>
      <c r="B249" s="270">
        <f>IF(AND(Screener!$D$8&lt;&gt;"",Database!$E249=Screener!$D$8),1,0)</f>
        <v/>
      </c>
      <c r="C249" s="270">
        <f>IF(AND(Screener!$D$7&lt;&gt;"",Database!$D249=Screener!$D$7),1,0)</f>
        <v/>
      </c>
      <c r="D249" s="270">
        <f>IF(OR(N(Database!$I249)&lt;=0,N(Screener!$D$9)&lt;=0),0,MAX(0,1-ABS(LOG10(N(Database!$I249)/Screener!$D$9))/W_SIZEHW))</f>
        <v/>
      </c>
      <c r="E249" s="270">
        <f>IF(OR(Database!$BG249="",Screener!$D$10=""),0,IF(Database!$BG249=Screener!$D$10,1,0))</f>
        <v/>
      </c>
      <c r="F249" s="270">
        <f>IF(OR(Database!$BM249="",Screener!$D$11=""),0,IF(Database!$BM249=Screener!$D$11,1,0))</f>
        <v/>
      </c>
      <c r="G249" s="270">
        <f>IF(OR(Database!$H249="",N(Screener!$D$12)&lt;=0),0,MAX(0,1-(N(Screener!$D$12)-Database!$H249)/W_RECD))</f>
        <v/>
      </c>
      <c r="H249" s="270">
        <f>IF($U$1="",0,N(ISNUMBER(SEARCH($U$1,Database!$AC249&amp;""))))+IF($V$1="",0,N(ISNUMBER(SEARCH($V$1,Database!$AC249&amp;""))))+IF($W$1="",0,N(ISNUMBER(SEARCH($W$1,Database!$AC249&amp;""))))+IF($X$1="",0,N(ISNUMBER(SEARCH($X$1,Database!$AC249&amp;""))))+IF($Y$1="",0,N(ISNUMBER(SEARCH($Y$1,Database!$AC249&amp;""))))+IF(Screener!$B$17="",0,N(ISNUMBER(SEARCH(LOWER(Screener!$B$17),Database!$AC249&amp;""))))</f>
        <v/>
      </c>
      <c r="I249" s="270">
        <f>IF(OR(N(Database!$BH249)&lt;=0,N(Screener!$D$13)&lt;=0),0,MAX(0,1-ABS(LOG10(N(Database!$BH249)/Screener!$D$13))/W_PEHW))</f>
        <v/>
      </c>
      <c r="J249" s="270">
        <f>IF(OR(N(Database!$S249)&lt;=0,N(Screener!$D$14)&lt;=0),0,MAX(0,1-ABS(LOG10(Database!$S249/Screener!$D$14))/0.6))</f>
        <v/>
      </c>
      <c r="K249" s="270">
        <f>IF(Database!$B249=Screener!$B$5,-999999,IF(ISNUMBER(SEARCH(","&amp;Database!$A249&amp;",",","&amp;SUBSTITUTE(Screener!$D$17," ","")&amp;",")),2000000,IF(IF(OR(Screener!$B$18="All",AND(Screener!$B$18="With A-share",(Database!$BM249="Y")),AND(Screener!$B$18="Without A-share",NOT((Database!$BM249="Y")))),1,0)=0,-999999,IF(Screener!$B$16="cornerstone overlap first",H249*100000,IF(Screener!$B$16="demand-similar first",J249*100000,0))+W_SUB*B249+W_SEC*C249*(1-B249)+W_SIZE*D249+W_PROF*E249+W_AH*F249+W_REC*G249+W_CS*H249+W_PE*I249)))+ROW()/1000000</f>
        <v/>
      </c>
      <c r="AA249" s="270">
        <f>Database!B238</f>
        <v/>
      </c>
      <c r="AB249" s="270">
        <f>Database!D238</f>
        <v/>
      </c>
      <c r="AC249" s="270">
        <f>Database!E238</f>
        <v/>
      </c>
      <c r="AD249" s="270">
        <f>Database!I238</f>
        <v/>
      </c>
      <c r="AE249" s="270">
        <f>Database!BG238</f>
        <v/>
      </c>
      <c r="AF249" s="270">
        <f>Database!BM238</f>
        <v/>
      </c>
      <c r="AG249" s="270">
        <f>Database!H238</f>
        <v/>
      </c>
      <c r="AH249" s="270">
        <f>Database!BH238</f>
        <v/>
      </c>
    </row>
    <row r="250">
      <c r="A250" s="270">
        <f>Database!B250</f>
        <v/>
      </c>
      <c r="B250" s="270">
        <f>IF(AND(Screener!$D$8&lt;&gt;"",Database!$E250=Screener!$D$8),1,0)</f>
        <v/>
      </c>
      <c r="C250" s="270">
        <f>IF(AND(Screener!$D$7&lt;&gt;"",Database!$D250=Screener!$D$7),1,0)</f>
        <v/>
      </c>
      <c r="D250" s="270">
        <f>IF(OR(N(Database!$I250)&lt;=0,N(Screener!$D$9)&lt;=0),0,MAX(0,1-ABS(LOG10(N(Database!$I250)/Screener!$D$9))/W_SIZEHW))</f>
        <v/>
      </c>
      <c r="E250" s="270">
        <f>IF(OR(Database!$BG250="",Screener!$D$10=""),0,IF(Database!$BG250=Screener!$D$10,1,0))</f>
        <v/>
      </c>
      <c r="F250" s="270">
        <f>IF(OR(Database!$BM250="",Screener!$D$11=""),0,IF(Database!$BM250=Screener!$D$11,1,0))</f>
        <v/>
      </c>
      <c r="G250" s="270">
        <f>IF(OR(Database!$H250="",N(Screener!$D$12)&lt;=0),0,MAX(0,1-(N(Screener!$D$12)-Database!$H250)/W_RECD))</f>
        <v/>
      </c>
      <c r="H250" s="270">
        <f>IF($U$1="",0,N(ISNUMBER(SEARCH($U$1,Database!$AC250&amp;""))))+IF($V$1="",0,N(ISNUMBER(SEARCH($V$1,Database!$AC250&amp;""))))+IF($W$1="",0,N(ISNUMBER(SEARCH($W$1,Database!$AC250&amp;""))))+IF($X$1="",0,N(ISNUMBER(SEARCH($X$1,Database!$AC250&amp;""))))+IF($Y$1="",0,N(ISNUMBER(SEARCH($Y$1,Database!$AC250&amp;""))))+IF(Screener!$B$17="",0,N(ISNUMBER(SEARCH(LOWER(Screener!$B$17),Database!$AC250&amp;""))))</f>
        <v/>
      </c>
      <c r="I250" s="270">
        <f>IF(OR(N(Database!$BH250)&lt;=0,N(Screener!$D$13)&lt;=0),0,MAX(0,1-ABS(LOG10(N(Database!$BH250)/Screener!$D$13))/W_PEHW))</f>
        <v/>
      </c>
      <c r="J250" s="270">
        <f>IF(OR(N(Database!$S250)&lt;=0,N(Screener!$D$14)&lt;=0),0,MAX(0,1-ABS(LOG10(Database!$S250/Screener!$D$14))/0.6))</f>
        <v/>
      </c>
      <c r="K250" s="270">
        <f>IF(Database!$B250=Screener!$B$5,-999999,IF(ISNUMBER(SEARCH(","&amp;Database!$A250&amp;",",","&amp;SUBSTITUTE(Screener!$D$17," ","")&amp;",")),2000000,IF(IF(OR(Screener!$B$18="All",AND(Screener!$B$18="With A-share",(Database!$BM250="Y")),AND(Screener!$B$18="Without A-share",NOT((Database!$BM250="Y")))),1,0)=0,-999999,IF(Screener!$B$16="cornerstone overlap first",H250*100000,IF(Screener!$B$16="demand-similar first",J250*100000,0))+W_SUB*B250+W_SEC*C250*(1-B250)+W_SIZE*D250+W_PROF*E250+W_AH*F250+W_REC*G250+W_CS*H250+W_PE*I250)))+ROW()/1000000</f>
        <v/>
      </c>
      <c r="AA250" s="270">
        <f>Database!B239</f>
        <v/>
      </c>
      <c r="AB250" s="270">
        <f>Database!D239</f>
        <v/>
      </c>
      <c r="AC250" s="270">
        <f>Database!E239</f>
        <v/>
      </c>
      <c r="AD250" s="270">
        <f>Database!I239</f>
        <v/>
      </c>
      <c r="AE250" s="270">
        <f>Database!BG239</f>
        <v/>
      </c>
      <c r="AF250" s="270">
        <f>Database!BM239</f>
        <v/>
      </c>
      <c r="AG250" s="270">
        <f>Database!H239</f>
        <v/>
      </c>
      <c r="AH250" s="270">
        <f>Database!BH239</f>
        <v/>
      </c>
    </row>
    <row r="251">
      <c r="A251" s="270">
        <f>Database!B251</f>
        <v/>
      </c>
      <c r="B251" s="270">
        <f>IF(AND(Screener!$D$8&lt;&gt;"",Database!$E251=Screener!$D$8),1,0)</f>
        <v/>
      </c>
      <c r="C251" s="270">
        <f>IF(AND(Screener!$D$7&lt;&gt;"",Database!$D251=Screener!$D$7),1,0)</f>
        <v/>
      </c>
      <c r="D251" s="270">
        <f>IF(OR(N(Database!$I251)&lt;=0,N(Screener!$D$9)&lt;=0),0,MAX(0,1-ABS(LOG10(N(Database!$I251)/Screener!$D$9))/W_SIZEHW))</f>
        <v/>
      </c>
      <c r="E251" s="270">
        <f>IF(OR(Database!$BG251="",Screener!$D$10=""),0,IF(Database!$BG251=Screener!$D$10,1,0))</f>
        <v/>
      </c>
      <c r="F251" s="270">
        <f>IF(OR(Database!$BM251="",Screener!$D$11=""),0,IF(Database!$BM251=Screener!$D$11,1,0))</f>
        <v/>
      </c>
      <c r="G251" s="270">
        <f>IF(OR(Database!$H251="",N(Screener!$D$12)&lt;=0),0,MAX(0,1-(N(Screener!$D$12)-Database!$H251)/W_RECD))</f>
        <v/>
      </c>
      <c r="H251" s="270">
        <f>IF($U$1="",0,N(ISNUMBER(SEARCH($U$1,Database!$AC251&amp;""))))+IF($V$1="",0,N(ISNUMBER(SEARCH($V$1,Database!$AC251&amp;""))))+IF($W$1="",0,N(ISNUMBER(SEARCH($W$1,Database!$AC251&amp;""))))+IF($X$1="",0,N(ISNUMBER(SEARCH($X$1,Database!$AC251&amp;""))))+IF($Y$1="",0,N(ISNUMBER(SEARCH($Y$1,Database!$AC251&amp;""))))+IF(Screener!$B$17="",0,N(ISNUMBER(SEARCH(LOWER(Screener!$B$17),Database!$AC251&amp;""))))</f>
        <v/>
      </c>
      <c r="I251" s="270">
        <f>IF(OR(N(Database!$BH251)&lt;=0,N(Screener!$D$13)&lt;=0),0,MAX(0,1-ABS(LOG10(N(Database!$BH251)/Screener!$D$13))/W_PEHW))</f>
        <v/>
      </c>
      <c r="J251" s="270">
        <f>IF(OR(N(Database!$S251)&lt;=0,N(Screener!$D$14)&lt;=0),0,MAX(0,1-ABS(LOG10(Database!$S251/Screener!$D$14))/0.6))</f>
        <v/>
      </c>
      <c r="K251" s="270">
        <f>IF(Database!$B251=Screener!$B$5,-999999,IF(ISNUMBER(SEARCH(","&amp;Database!$A251&amp;",",","&amp;SUBSTITUTE(Screener!$D$17," ","")&amp;",")),2000000,IF(IF(OR(Screener!$B$18="All",AND(Screener!$B$18="With A-share",(Database!$BM251="Y")),AND(Screener!$B$18="Without A-share",NOT((Database!$BM251="Y")))),1,0)=0,-999999,IF(Screener!$B$16="cornerstone overlap first",H251*100000,IF(Screener!$B$16="demand-similar first",J251*100000,0))+W_SUB*B251+W_SEC*C251*(1-B251)+W_SIZE*D251+W_PROF*E251+W_AH*F251+W_REC*G251+W_CS*H251+W_PE*I251)))+ROW()/1000000</f>
        <v/>
      </c>
      <c r="AA251" s="270">
        <f>Database!B240</f>
        <v/>
      </c>
      <c r="AB251" s="270">
        <f>Database!D240</f>
        <v/>
      </c>
      <c r="AC251" s="270">
        <f>Database!E240</f>
        <v/>
      </c>
      <c r="AD251" s="270">
        <f>Database!I240</f>
        <v/>
      </c>
      <c r="AE251" s="270">
        <f>Database!BG240</f>
        <v/>
      </c>
      <c r="AF251" s="270">
        <f>Database!BM240</f>
        <v/>
      </c>
      <c r="AG251" s="270">
        <f>Database!H240</f>
        <v/>
      </c>
      <c r="AH251" s="270">
        <f>Database!BH240</f>
        <v/>
      </c>
    </row>
    <row r="252">
      <c r="A252" s="270">
        <f>Database!B252</f>
        <v/>
      </c>
      <c r="B252" s="270">
        <f>IF(AND(Screener!$D$8&lt;&gt;"",Database!$E252=Screener!$D$8),1,0)</f>
        <v/>
      </c>
      <c r="C252" s="270">
        <f>IF(AND(Screener!$D$7&lt;&gt;"",Database!$D252=Screener!$D$7),1,0)</f>
        <v/>
      </c>
      <c r="D252" s="270">
        <f>IF(OR(N(Database!$I252)&lt;=0,N(Screener!$D$9)&lt;=0),0,MAX(0,1-ABS(LOG10(N(Database!$I252)/Screener!$D$9))/W_SIZEHW))</f>
        <v/>
      </c>
      <c r="E252" s="270">
        <f>IF(OR(Database!$BG252="",Screener!$D$10=""),0,IF(Database!$BG252=Screener!$D$10,1,0))</f>
        <v/>
      </c>
      <c r="F252" s="270">
        <f>IF(OR(Database!$BM252="",Screener!$D$11=""),0,IF(Database!$BM252=Screener!$D$11,1,0))</f>
        <v/>
      </c>
      <c r="G252" s="270">
        <f>IF(OR(Database!$H252="",N(Screener!$D$12)&lt;=0),0,MAX(0,1-(N(Screener!$D$12)-Database!$H252)/W_RECD))</f>
        <v/>
      </c>
      <c r="H252" s="270">
        <f>IF($U$1="",0,N(ISNUMBER(SEARCH($U$1,Database!$AC252&amp;""))))+IF($V$1="",0,N(ISNUMBER(SEARCH($V$1,Database!$AC252&amp;""))))+IF($W$1="",0,N(ISNUMBER(SEARCH($W$1,Database!$AC252&amp;""))))+IF($X$1="",0,N(ISNUMBER(SEARCH($X$1,Database!$AC252&amp;""))))+IF($Y$1="",0,N(ISNUMBER(SEARCH($Y$1,Database!$AC252&amp;""))))+IF(Screener!$B$17="",0,N(ISNUMBER(SEARCH(LOWER(Screener!$B$17),Database!$AC252&amp;""))))</f>
        <v/>
      </c>
      <c r="I252" s="270">
        <f>IF(OR(N(Database!$BH252)&lt;=0,N(Screener!$D$13)&lt;=0),0,MAX(0,1-ABS(LOG10(N(Database!$BH252)/Screener!$D$13))/W_PEHW))</f>
        <v/>
      </c>
      <c r="J252" s="270">
        <f>IF(OR(N(Database!$S252)&lt;=0,N(Screener!$D$14)&lt;=0),0,MAX(0,1-ABS(LOG10(Database!$S252/Screener!$D$14))/0.6))</f>
        <v/>
      </c>
      <c r="K252" s="270">
        <f>IF(Database!$B252=Screener!$B$5,-999999,IF(ISNUMBER(SEARCH(","&amp;Database!$A252&amp;",",","&amp;SUBSTITUTE(Screener!$D$17," ","")&amp;",")),2000000,IF(IF(OR(Screener!$B$18="All",AND(Screener!$B$18="With A-share",(Database!$BM252="Y")),AND(Screener!$B$18="Without A-share",NOT((Database!$BM252="Y")))),1,0)=0,-999999,IF(Screener!$B$16="cornerstone overlap first",H252*100000,IF(Screener!$B$16="demand-similar first",J252*100000,0))+W_SUB*B252+W_SEC*C252*(1-B252)+W_SIZE*D252+W_PROF*E252+W_AH*F252+W_REC*G252+W_CS*H252+W_PE*I252)))+ROW()/1000000</f>
        <v/>
      </c>
      <c r="AA252" s="270">
        <f>Database!B241</f>
        <v/>
      </c>
      <c r="AB252" s="270">
        <f>Database!D241</f>
        <v/>
      </c>
      <c r="AC252" s="270">
        <f>Database!E241</f>
        <v/>
      </c>
      <c r="AD252" s="270">
        <f>Database!I241</f>
        <v/>
      </c>
      <c r="AE252" s="270">
        <f>Database!BG241</f>
        <v/>
      </c>
      <c r="AF252" s="270">
        <f>Database!BM241</f>
        <v/>
      </c>
      <c r="AG252" s="270">
        <f>Database!H241</f>
        <v/>
      </c>
      <c r="AH252" s="270">
        <f>Database!BH241</f>
        <v/>
      </c>
    </row>
    <row r="253">
      <c r="A253" s="270">
        <f>Database!B253</f>
        <v/>
      </c>
      <c r="B253" s="270">
        <f>IF(AND(Screener!$D$8&lt;&gt;"",Database!$E253=Screener!$D$8),1,0)</f>
        <v/>
      </c>
      <c r="C253" s="270">
        <f>IF(AND(Screener!$D$7&lt;&gt;"",Database!$D253=Screener!$D$7),1,0)</f>
        <v/>
      </c>
      <c r="D253" s="270">
        <f>IF(OR(N(Database!$I253)&lt;=0,N(Screener!$D$9)&lt;=0),0,MAX(0,1-ABS(LOG10(N(Database!$I253)/Screener!$D$9))/W_SIZEHW))</f>
        <v/>
      </c>
      <c r="E253" s="270">
        <f>IF(OR(Database!$BG253="",Screener!$D$10=""),0,IF(Database!$BG253=Screener!$D$10,1,0))</f>
        <v/>
      </c>
      <c r="F253" s="270">
        <f>IF(OR(Database!$BM253="",Screener!$D$11=""),0,IF(Database!$BM253=Screener!$D$11,1,0))</f>
        <v/>
      </c>
      <c r="G253" s="270">
        <f>IF(OR(Database!$H253="",N(Screener!$D$12)&lt;=0),0,MAX(0,1-(N(Screener!$D$12)-Database!$H253)/W_RECD))</f>
        <v/>
      </c>
      <c r="H253" s="270">
        <f>IF($U$1="",0,N(ISNUMBER(SEARCH($U$1,Database!$AC253&amp;""))))+IF($V$1="",0,N(ISNUMBER(SEARCH($V$1,Database!$AC253&amp;""))))+IF($W$1="",0,N(ISNUMBER(SEARCH($W$1,Database!$AC253&amp;""))))+IF($X$1="",0,N(ISNUMBER(SEARCH($X$1,Database!$AC253&amp;""))))+IF($Y$1="",0,N(ISNUMBER(SEARCH($Y$1,Database!$AC253&amp;""))))+IF(Screener!$B$17="",0,N(ISNUMBER(SEARCH(LOWER(Screener!$B$17),Database!$AC253&amp;""))))</f>
        <v/>
      </c>
      <c r="I253" s="270">
        <f>IF(OR(N(Database!$BH253)&lt;=0,N(Screener!$D$13)&lt;=0),0,MAX(0,1-ABS(LOG10(N(Database!$BH253)/Screener!$D$13))/W_PEHW))</f>
        <v/>
      </c>
      <c r="J253" s="270">
        <f>IF(OR(N(Database!$S253)&lt;=0,N(Screener!$D$14)&lt;=0),0,MAX(0,1-ABS(LOG10(Database!$S253/Screener!$D$14))/0.6))</f>
        <v/>
      </c>
      <c r="K253" s="270">
        <f>IF(Database!$B253=Screener!$B$5,-999999,IF(ISNUMBER(SEARCH(","&amp;Database!$A253&amp;",",","&amp;SUBSTITUTE(Screener!$D$17," ","")&amp;",")),2000000,IF(IF(OR(Screener!$B$18="All",AND(Screener!$B$18="With A-share",(Database!$BM253="Y")),AND(Screener!$B$18="Without A-share",NOT((Database!$BM253="Y")))),1,0)=0,-999999,IF(Screener!$B$16="cornerstone overlap first",H253*100000,IF(Screener!$B$16="demand-similar first",J253*100000,0))+W_SUB*B253+W_SEC*C253*(1-B253)+W_SIZE*D253+W_PROF*E253+W_AH*F253+W_REC*G253+W_CS*H253+W_PE*I253)))+ROW()/1000000</f>
        <v/>
      </c>
      <c r="AA253" s="270">
        <f>Database!B242</f>
        <v/>
      </c>
      <c r="AB253" s="270">
        <f>Database!D242</f>
        <v/>
      </c>
      <c r="AC253" s="270">
        <f>Database!E242</f>
        <v/>
      </c>
      <c r="AD253" s="270">
        <f>Database!I242</f>
        <v/>
      </c>
      <c r="AE253" s="270">
        <f>Database!BG242</f>
        <v/>
      </c>
      <c r="AF253" s="270">
        <f>Database!BM242</f>
        <v/>
      </c>
      <c r="AG253" s="270">
        <f>Database!H242</f>
        <v/>
      </c>
      <c r="AH253" s="270">
        <f>Database!BH242</f>
        <v/>
      </c>
    </row>
    <row r="254">
      <c r="A254" s="270">
        <f>Database!B254</f>
        <v/>
      </c>
      <c r="B254" s="270">
        <f>IF(AND(Screener!$D$8&lt;&gt;"",Database!$E254=Screener!$D$8),1,0)</f>
        <v/>
      </c>
      <c r="C254" s="270">
        <f>IF(AND(Screener!$D$7&lt;&gt;"",Database!$D254=Screener!$D$7),1,0)</f>
        <v/>
      </c>
      <c r="D254" s="270">
        <f>IF(OR(N(Database!$I254)&lt;=0,N(Screener!$D$9)&lt;=0),0,MAX(0,1-ABS(LOG10(N(Database!$I254)/Screener!$D$9))/W_SIZEHW))</f>
        <v/>
      </c>
      <c r="E254" s="270">
        <f>IF(OR(Database!$BG254="",Screener!$D$10=""),0,IF(Database!$BG254=Screener!$D$10,1,0))</f>
        <v/>
      </c>
      <c r="F254" s="270">
        <f>IF(OR(Database!$BM254="",Screener!$D$11=""),0,IF(Database!$BM254=Screener!$D$11,1,0))</f>
        <v/>
      </c>
      <c r="G254" s="270">
        <f>IF(OR(Database!$H254="",N(Screener!$D$12)&lt;=0),0,MAX(0,1-(N(Screener!$D$12)-Database!$H254)/W_RECD))</f>
        <v/>
      </c>
      <c r="H254" s="270">
        <f>IF($U$1="",0,N(ISNUMBER(SEARCH($U$1,Database!$AC254&amp;""))))+IF($V$1="",0,N(ISNUMBER(SEARCH($V$1,Database!$AC254&amp;""))))+IF($W$1="",0,N(ISNUMBER(SEARCH($W$1,Database!$AC254&amp;""))))+IF($X$1="",0,N(ISNUMBER(SEARCH($X$1,Database!$AC254&amp;""))))+IF($Y$1="",0,N(ISNUMBER(SEARCH($Y$1,Database!$AC254&amp;""))))+IF(Screener!$B$17="",0,N(ISNUMBER(SEARCH(LOWER(Screener!$B$17),Database!$AC254&amp;""))))</f>
        <v/>
      </c>
      <c r="I254" s="270">
        <f>IF(OR(N(Database!$BH254)&lt;=0,N(Screener!$D$13)&lt;=0),0,MAX(0,1-ABS(LOG10(N(Database!$BH254)/Screener!$D$13))/W_PEHW))</f>
        <v/>
      </c>
      <c r="J254" s="270">
        <f>IF(OR(N(Database!$S254)&lt;=0,N(Screener!$D$14)&lt;=0),0,MAX(0,1-ABS(LOG10(Database!$S254/Screener!$D$14))/0.6))</f>
        <v/>
      </c>
      <c r="K254" s="270">
        <f>IF(Database!$B254=Screener!$B$5,-999999,IF(ISNUMBER(SEARCH(","&amp;Database!$A254&amp;",",","&amp;SUBSTITUTE(Screener!$D$17," ","")&amp;",")),2000000,IF(IF(OR(Screener!$B$18="All",AND(Screener!$B$18="With A-share",(Database!$BM254="Y")),AND(Screener!$B$18="Without A-share",NOT((Database!$BM254="Y")))),1,0)=0,-999999,IF(Screener!$B$16="cornerstone overlap first",H254*100000,IF(Screener!$B$16="demand-similar first",J254*100000,0))+W_SUB*B254+W_SEC*C254*(1-B254)+W_SIZE*D254+W_PROF*E254+W_AH*F254+W_REC*G254+W_CS*H254+W_PE*I254)))+ROW()/1000000</f>
        <v/>
      </c>
      <c r="AA254" s="270">
        <f>Database!B243</f>
        <v/>
      </c>
      <c r="AB254" s="270">
        <f>Database!D243</f>
        <v/>
      </c>
      <c r="AC254" s="270">
        <f>Database!E243</f>
        <v/>
      </c>
      <c r="AD254" s="270">
        <f>Database!I243</f>
        <v/>
      </c>
      <c r="AE254" s="270">
        <f>Database!BG243</f>
        <v/>
      </c>
      <c r="AF254" s="270">
        <f>Database!BM243</f>
        <v/>
      </c>
      <c r="AG254" s="270">
        <f>Database!H243</f>
        <v/>
      </c>
      <c r="AH254" s="270">
        <f>Database!BH243</f>
        <v/>
      </c>
    </row>
    <row r="255">
      <c r="A255" s="270">
        <f>Database!B255</f>
        <v/>
      </c>
      <c r="B255" s="270">
        <f>IF(AND(Screener!$D$8&lt;&gt;"",Database!$E255=Screener!$D$8),1,0)</f>
        <v/>
      </c>
      <c r="C255" s="270">
        <f>IF(AND(Screener!$D$7&lt;&gt;"",Database!$D255=Screener!$D$7),1,0)</f>
        <v/>
      </c>
      <c r="D255" s="270">
        <f>IF(OR(N(Database!$I255)&lt;=0,N(Screener!$D$9)&lt;=0),0,MAX(0,1-ABS(LOG10(N(Database!$I255)/Screener!$D$9))/W_SIZEHW))</f>
        <v/>
      </c>
      <c r="E255" s="270">
        <f>IF(OR(Database!$BG255="",Screener!$D$10=""),0,IF(Database!$BG255=Screener!$D$10,1,0))</f>
        <v/>
      </c>
      <c r="F255" s="270">
        <f>IF(OR(Database!$BM255="",Screener!$D$11=""),0,IF(Database!$BM255=Screener!$D$11,1,0))</f>
        <v/>
      </c>
      <c r="G255" s="270">
        <f>IF(OR(Database!$H255="",N(Screener!$D$12)&lt;=0),0,MAX(0,1-(N(Screener!$D$12)-Database!$H255)/W_RECD))</f>
        <v/>
      </c>
      <c r="H255" s="270">
        <f>IF($U$1="",0,N(ISNUMBER(SEARCH($U$1,Database!$AC255&amp;""))))+IF($V$1="",0,N(ISNUMBER(SEARCH($V$1,Database!$AC255&amp;""))))+IF($W$1="",0,N(ISNUMBER(SEARCH($W$1,Database!$AC255&amp;""))))+IF($X$1="",0,N(ISNUMBER(SEARCH($X$1,Database!$AC255&amp;""))))+IF($Y$1="",0,N(ISNUMBER(SEARCH($Y$1,Database!$AC255&amp;""))))+IF(Screener!$B$17="",0,N(ISNUMBER(SEARCH(LOWER(Screener!$B$17),Database!$AC255&amp;""))))</f>
        <v/>
      </c>
      <c r="I255" s="270">
        <f>IF(OR(N(Database!$BH255)&lt;=0,N(Screener!$D$13)&lt;=0),0,MAX(0,1-ABS(LOG10(N(Database!$BH255)/Screener!$D$13))/W_PEHW))</f>
        <v/>
      </c>
      <c r="J255" s="270">
        <f>IF(OR(N(Database!$S255)&lt;=0,N(Screener!$D$14)&lt;=0),0,MAX(0,1-ABS(LOG10(Database!$S255/Screener!$D$14))/0.6))</f>
        <v/>
      </c>
      <c r="K255" s="270">
        <f>IF(Database!$B255=Screener!$B$5,-999999,IF(ISNUMBER(SEARCH(","&amp;Database!$A255&amp;",",","&amp;SUBSTITUTE(Screener!$D$17," ","")&amp;",")),2000000,IF(IF(OR(Screener!$B$18="All",AND(Screener!$B$18="With A-share",(Database!$BM255="Y")),AND(Screener!$B$18="Without A-share",NOT((Database!$BM255="Y")))),1,0)=0,-999999,IF(Screener!$B$16="cornerstone overlap first",H255*100000,IF(Screener!$B$16="demand-similar first",J255*100000,0))+W_SUB*B255+W_SEC*C255*(1-B255)+W_SIZE*D255+W_PROF*E255+W_AH*F255+W_REC*G255+W_CS*H255+W_PE*I255)))+ROW()/1000000</f>
        <v/>
      </c>
      <c r="AA255" s="270">
        <f>Database!B244</f>
        <v/>
      </c>
      <c r="AB255" s="270">
        <f>Database!D244</f>
        <v/>
      </c>
      <c r="AC255" s="270">
        <f>Database!E244</f>
        <v/>
      </c>
      <c r="AD255" s="270">
        <f>Database!I244</f>
        <v/>
      </c>
      <c r="AE255" s="270">
        <f>Database!BG244</f>
        <v/>
      </c>
      <c r="AF255" s="270">
        <f>Database!BM244</f>
        <v/>
      </c>
      <c r="AG255" s="270">
        <f>Database!H244</f>
        <v/>
      </c>
      <c r="AH255" s="270">
        <f>Database!BH244</f>
        <v/>
      </c>
    </row>
    <row r="256">
      <c r="A256" s="270">
        <f>Database!B256</f>
        <v/>
      </c>
      <c r="B256" s="270">
        <f>IF(AND(Screener!$D$8&lt;&gt;"",Database!$E256=Screener!$D$8),1,0)</f>
        <v/>
      </c>
      <c r="C256" s="270">
        <f>IF(AND(Screener!$D$7&lt;&gt;"",Database!$D256=Screener!$D$7),1,0)</f>
        <v/>
      </c>
      <c r="D256" s="270">
        <f>IF(OR(N(Database!$I256)&lt;=0,N(Screener!$D$9)&lt;=0),0,MAX(0,1-ABS(LOG10(N(Database!$I256)/Screener!$D$9))/W_SIZEHW))</f>
        <v/>
      </c>
      <c r="E256" s="270">
        <f>IF(OR(Database!$BG256="",Screener!$D$10=""),0,IF(Database!$BG256=Screener!$D$10,1,0))</f>
        <v/>
      </c>
      <c r="F256" s="270">
        <f>IF(OR(Database!$BM256="",Screener!$D$11=""),0,IF(Database!$BM256=Screener!$D$11,1,0))</f>
        <v/>
      </c>
      <c r="G256" s="270">
        <f>IF(OR(Database!$H256="",N(Screener!$D$12)&lt;=0),0,MAX(0,1-(N(Screener!$D$12)-Database!$H256)/W_RECD))</f>
        <v/>
      </c>
      <c r="H256" s="270">
        <f>IF($U$1="",0,N(ISNUMBER(SEARCH($U$1,Database!$AC256&amp;""))))+IF($V$1="",0,N(ISNUMBER(SEARCH($V$1,Database!$AC256&amp;""))))+IF($W$1="",0,N(ISNUMBER(SEARCH($W$1,Database!$AC256&amp;""))))+IF($X$1="",0,N(ISNUMBER(SEARCH($X$1,Database!$AC256&amp;""))))+IF($Y$1="",0,N(ISNUMBER(SEARCH($Y$1,Database!$AC256&amp;""))))+IF(Screener!$B$17="",0,N(ISNUMBER(SEARCH(LOWER(Screener!$B$17),Database!$AC256&amp;""))))</f>
        <v/>
      </c>
      <c r="I256" s="270">
        <f>IF(OR(N(Database!$BH256)&lt;=0,N(Screener!$D$13)&lt;=0),0,MAX(0,1-ABS(LOG10(N(Database!$BH256)/Screener!$D$13))/W_PEHW))</f>
        <v/>
      </c>
      <c r="J256" s="270">
        <f>IF(OR(N(Database!$S256)&lt;=0,N(Screener!$D$14)&lt;=0),0,MAX(0,1-ABS(LOG10(Database!$S256/Screener!$D$14))/0.6))</f>
        <v/>
      </c>
      <c r="K256" s="270">
        <f>IF(Database!$B256=Screener!$B$5,-999999,IF(ISNUMBER(SEARCH(","&amp;Database!$A256&amp;",",","&amp;SUBSTITUTE(Screener!$D$17," ","")&amp;",")),2000000,IF(IF(OR(Screener!$B$18="All",AND(Screener!$B$18="With A-share",(Database!$BM256="Y")),AND(Screener!$B$18="Without A-share",NOT((Database!$BM256="Y")))),1,0)=0,-999999,IF(Screener!$B$16="cornerstone overlap first",H256*100000,IF(Screener!$B$16="demand-similar first",J256*100000,0))+W_SUB*B256+W_SEC*C256*(1-B256)+W_SIZE*D256+W_PROF*E256+W_AH*F256+W_REC*G256+W_CS*H256+W_PE*I256)))+ROW()/1000000</f>
        <v/>
      </c>
      <c r="AA256" s="270">
        <f>Database!B245</f>
        <v/>
      </c>
      <c r="AB256" s="270">
        <f>Database!D245</f>
        <v/>
      </c>
      <c r="AC256" s="270">
        <f>Database!E245</f>
        <v/>
      </c>
      <c r="AD256" s="270">
        <f>Database!I245</f>
        <v/>
      </c>
      <c r="AE256" s="270">
        <f>Database!BG245</f>
        <v/>
      </c>
      <c r="AF256" s="270">
        <f>Database!BM245</f>
        <v/>
      </c>
      <c r="AG256" s="270">
        <f>Database!H245</f>
        <v/>
      </c>
      <c r="AH256" s="270">
        <f>Database!BH245</f>
        <v/>
      </c>
    </row>
    <row r="257">
      <c r="A257" s="270">
        <f>Database!B257</f>
        <v/>
      </c>
      <c r="B257" s="270">
        <f>IF(AND(Screener!$D$8&lt;&gt;"",Database!$E257=Screener!$D$8),1,0)</f>
        <v/>
      </c>
      <c r="C257" s="270">
        <f>IF(AND(Screener!$D$7&lt;&gt;"",Database!$D257=Screener!$D$7),1,0)</f>
        <v/>
      </c>
      <c r="D257" s="270">
        <f>IF(OR(N(Database!$I257)&lt;=0,N(Screener!$D$9)&lt;=0),0,MAX(0,1-ABS(LOG10(N(Database!$I257)/Screener!$D$9))/W_SIZEHW))</f>
        <v/>
      </c>
      <c r="E257" s="270">
        <f>IF(OR(Database!$BG257="",Screener!$D$10=""),0,IF(Database!$BG257=Screener!$D$10,1,0))</f>
        <v/>
      </c>
      <c r="F257" s="270">
        <f>IF(OR(Database!$BM257="",Screener!$D$11=""),0,IF(Database!$BM257=Screener!$D$11,1,0))</f>
        <v/>
      </c>
      <c r="G257" s="270">
        <f>IF(OR(Database!$H257="",N(Screener!$D$12)&lt;=0),0,MAX(0,1-(N(Screener!$D$12)-Database!$H257)/W_RECD))</f>
        <v/>
      </c>
      <c r="H257" s="270">
        <f>IF($U$1="",0,N(ISNUMBER(SEARCH($U$1,Database!$AC257&amp;""))))+IF($V$1="",0,N(ISNUMBER(SEARCH($V$1,Database!$AC257&amp;""))))+IF($W$1="",0,N(ISNUMBER(SEARCH($W$1,Database!$AC257&amp;""))))+IF($X$1="",0,N(ISNUMBER(SEARCH($X$1,Database!$AC257&amp;""))))+IF($Y$1="",0,N(ISNUMBER(SEARCH($Y$1,Database!$AC257&amp;""))))+IF(Screener!$B$17="",0,N(ISNUMBER(SEARCH(LOWER(Screener!$B$17),Database!$AC257&amp;""))))</f>
        <v/>
      </c>
      <c r="I257" s="270">
        <f>IF(OR(N(Database!$BH257)&lt;=0,N(Screener!$D$13)&lt;=0),0,MAX(0,1-ABS(LOG10(N(Database!$BH257)/Screener!$D$13))/W_PEHW))</f>
        <v/>
      </c>
      <c r="J257" s="270">
        <f>IF(OR(N(Database!$S257)&lt;=0,N(Screener!$D$14)&lt;=0),0,MAX(0,1-ABS(LOG10(Database!$S257/Screener!$D$14))/0.6))</f>
        <v/>
      </c>
      <c r="K257" s="270">
        <f>IF(Database!$B257=Screener!$B$5,-999999,IF(ISNUMBER(SEARCH(","&amp;Database!$A257&amp;",",","&amp;SUBSTITUTE(Screener!$D$17," ","")&amp;",")),2000000,IF(IF(OR(Screener!$B$18="All",AND(Screener!$B$18="With A-share",(Database!$BM257="Y")),AND(Screener!$B$18="Without A-share",NOT((Database!$BM257="Y")))),1,0)=0,-999999,IF(Screener!$B$16="cornerstone overlap first",H257*100000,IF(Screener!$B$16="demand-similar first",J257*100000,0))+W_SUB*B257+W_SEC*C257*(1-B257)+W_SIZE*D257+W_PROF*E257+W_AH*F257+W_REC*G257+W_CS*H257+W_PE*I257)))+ROW()/1000000</f>
        <v/>
      </c>
      <c r="AA257" s="270">
        <f>Database!B246</f>
        <v/>
      </c>
      <c r="AB257" s="270">
        <f>Database!D246</f>
        <v/>
      </c>
      <c r="AC257" s="270">
        <f>Database!E246</f>
        <v/>
      </c>
      <c r="AD257" s="270">
        <f>Database!I246</f>
        <v/>
      </c>
      <c r="AE257" s="270">
        <f>Database!BG246</f>
        <v/>
      </c>
      <c r="AF257" s="270">
        <f>Database!BM246</f>
        <v/>
      </c>
      <c r="AG257" s="270">
        <f>Database!H246</f>
        <v/>
      </c>
      <c r="AH257" s="270">
        <f>Database!BH246</f>
        <v/>
      </c>
    </row>
    <row r="258">
      <c r="A258" s="270">
        <f>Database!B258</f>
        <v/>
      </c>
      <c r="B258" s="270">
        <f>IF(AND(Screener!$D$8&lt;&gt;"",Database!$E258=Screener!$D$8),1,0)</f>
        <v/>
      </c>
      <c r="C258" s="270">
        <f>IF(AND(Screener!$D$7&lt;&gt;"",Database!$D258=Screener!$D$7),1,0)</f>
        <v/>
      </c>
      <c r="D258" s="270">
        <f>IF(OR(N(Database!$I258)&lt;=0,N(Screener!$D$9)&lt;=0),0,MAX(0,1-ABS(LOG10(N(Database!$I258)/Screener!$D$9))/W_SIZEHW))</f>
        <v/>
      </c>
      <c r="E258" s="270">
        <f>IF(OR(Database!$BG258="",Screener!$D$10=""),0,IF(Database!$BG258=Screener!$D$10,1,0))</f>
        <v/>
      </c>
      <c r="F258" s="270">
        <f>IF(OR(Database!$BM258="",Screener!$D$11=""),0,IF(Database!$BM258=Screener!$D$11,1,0))</f>
        <v/>
      </c>
      <c r="G258" s="270">
        <f>IF(OR(Database!$H258="",N(Screener!$D$12)&lt;=0),0,MAX(0,1-(N(Screener!$D$12)-Database!$H258)/W_RECD))</f>
        <v/>
      </c>
      <c r="H258" s="270">
        <f>IF($U$1="",0,N(ISNUMBER(SEARCH($U$1,Database!$AC258&amp;""))))+IF($V$1="",0,N(ISNUMBER(SEARCH($V$1,Database!$AC258&amp;""))))+IF($W$1="",0,N(ISNUMBER(SEARCH($W$1,Database!$AC258&amp;""))))+IF($X$1="",0,N(ISNUMBER(SEARCH($X$1,Database!$AC258&amp;""))))+IF($Y$1="",0,N(ISNUMBER(SEARCH($Y$1,Database!$AC258&amp;""))))+IF(Screener!$B$17="",0,N(ISNUMBER(SEARCH(LOWER(Screener!$B$17),Database!$AC258&amp;""))))</f>
        <v/>
      </c>
      <c r="I258" s="270">
        <f>IF(OR(N(Database!$BH258)&lt;=0,N(Screener!$D$13)&lt;=0),0,MAX(0,1-ABS(LOG10(N(Database!$BH258)/Screener!$D$13))/W_PEHW))</f>
        <v/>
      </c>
      <c r="J258" s="270">
        <f>IF(OR(N(Database!$S258)&lt;=0,N(Screener!$D$14)&lt;=0),0,MAX(0,1-ABS(LOG10(Database!$S258/Screener!$D$14))/0.6))</f>
        <v/>
      </c>
      <c r="K258" s="270">
        <f>IF(Database!$B258=Screener!$B$5,-999999,IF(ISNUMBER(SEARCH(","&amp;Database!$A258&amp;",",","&amp;SUBSTITUTE(Screener!$D$17," ","")&amp;",")),2000000,IF(IF(OR(Screener!$B$18="All",AND(Screener!$B$18="With A-share",(Database!$BM258="Y")),AND(Screener!$B$18="Without A-share",NOT((Database!$BM258="Y")))),1,0)=0,-999999,IF(Screener!$B$16="cornerstone overlap first",H258*100000,IF(Screener!$B$16="demand-similar first",J258*100000,0))+W_SUB*B258+W_SEC*C258*(1-B258)+W_SIZE*D258+W_PROF*E258+W_AH*F258+W_REC*G258+W_CS*H258+W_PE*I258)))+ROW()/1000000</f>
        <v/>
      </c>
      <c r="AA258" s="270">
        <f>Database!B247</f>
        <v/>
      </c>
      <c r="AB258" s="270">
        <f>Database!D247</f>
        <v/>
      </c>
      <c r="AC258" s="270">
        <f>Database!E247</f>
        <v/>
      </c>
      <c r="AD258" s="270">
        <f>Database!I247</f>
        <v/>
      </c>
      <c r="AE258" s="270">
        <f>Database!BG247</f>
        <v/>
      </c>
      <c r="AF258" s="270">
        <f>Database!BM247</f>
        <v/>
      </c>
      <c r="AG258" s="270">
        <f>Database!H247</f>
        <v/>
      </c>
      <c r="AH258" s="270">
        <f>Database!BH247</f>
        <v/>
      </c>
    </row>
    <row r="259">
      <c r="A259" s="270">
        <f>Database!B259</f>
        <v/>
      </c>
      <c r="B259" s="270">
        <f>IF(AND(Screener!$D$8&lt;&gt;"",Database!$E259=Screener!$D$8),1,0)</f>
        <v/>
      </c>
      <c r="C259" s="270">
        <f>IF(AND(Screener!$D$7&lt;&gt;"",Database!$D259=Screener!$D$7),1,0)</f>
        <v/>
      </c>
      <c r="D259" s="270">
        <f>IF(OR(N(Database!$I259)&lt;=0,N(Screener!$D$9)&lt;=0),0,MAX(0,1-ABS(LOG10(N(Database!$I259)/Screener!$D$9))/W_SIZEHW))</f>
        <v/>
      </c>
      <c r="E259" s="270">
        <f>IF(OR(Database!$BG259="",Screener!$D$10=""),0,IF(Database!$BG259=Screener!$D$10,1,0))</f>
        <v/>
      </c>
      <c r="F259" s="270">
        <f>IF(OR(Database!$BM259="",Screener!$D$11=""),0,IF(Database!$BM259=Screener!$D$11,1,0))</f>
        <v/>
      </c>
      <c r="G259" s="270">
        <f>IF(OR(Database!$H259="",N(Screener!$D$12)&lt;=0),0,MAX(0,1-(N(Screener!$D$12)-Database!$H259)/W_RECD))</f>
        <v/>
      </c>
      <c r="H259" s="270">
        <f>IF($U$1="",0,N(ISNUMBER(SEARCH($U$1,Database!$AC259&amp;""))))+IF($V$1="",0,N(ISNUMBER(SEARCH($V$1,Database!$AC259&amp;""))))+IF($W$1="",0,N(ISNUMBER(SEARCH($W$1,Database!$AC259&amp;""))))+IF($X$1="",0,N(ISNUMBER(SEARCH($X$1,Database!$AC259&amp;""))))+IF($Y$1="",0,N(ISNUMBER(SEARCH($Y$1,Database!$AC259&amp;""))))+IF(Screener!$B$17="",0,N(ISNUMBER(SEARCH(LOWER(Screener!$B$17),Database!$AC259&amp;""))))</f>
        <v/>
      </c>
      <c r="I259" s="270">
        <f>IF(OR(N(Database!$BH259)&lt;=0,N(Screener!$D$13)&lt;=0),0,MAX(0,1-ABS(LOG10(N(Database!$BH259)/Screener!$D$13))/W_PEHW))</f>
        <v/>
      </c>
      <c r="J259" s="270">
        <f>IF(OR(N(Database!$S259)&lt;=0,N(Screener!$D$14)&lt;=0),0,MAX(0,1-ABS(LOG10(Database!$S259/Screener!$D$14))/0.6))</f>
        <v/>
      </c>
      <c r="K259" s="270">
        <f>IF(Database!$B259=Screener!$B$5,-999999,IF(ISNUMBER(SEARCH(","&amp;Database!$A259&amp;",",","&amp;SUBSTITUTE(Screener!$D$17," ","")&amp;",")),2000000,IF(IF(OR(Screener!$B$18="All",AND(Screener!$B$18="With A-share",(Database!$BM259="Y")),AND(Screener!$B$18="Without A-share",NOT((Database!$BM259="Y")))),1,0)=0,-999999,IF(Screener!$B$16="cornerstone overlap first",H259*100000,IF(Screener!$B$16="demand-similar first",J259*100000,0))+W_SUB*B259+W_SEC*C259*(1-B259)+W_SIZE*D259+W_PROF*E259+W_AH*F259+W_REC*G259+W_CS*H259+W_PE*I259)))+ROW()/1000000</f>
        <v/>
      </c>
      <c r="AA259" s="270">
        <f>Database!B248</f>
        <v/>
      </c>
      <c r="AB259" s="270">
        <f>Database!D248</f>
        <v/>
      </c>
      <c r="AC259" s="270">
        <f>Database!E248</f>
        <v/>
      </c>
      <c r="AD259" s="270">
        <f>Database!I248</f>
        <v/>
      </c>
      <c r="AE259" s="270">
        <f>Database!BG248</f>
        <v/>
      </c>
      <c r="AF259" s="270">
        <f>Database!BM248</f>
        <v/>
      </c>
      <c r="AG259" s="270">
        <f>Database!H248</f>
        <v/>
      </c>
      <c r="AH259" s="270">
        <f>Database!BH248</f>
        <v/>
      </c>
    </row>
    <row r="260">
      <c r="A260" s="270">
        <f>Database!B260</f>
        <v/>
      </c>
      <c r="B260" s="270">
        <f>IF(AND(Screener!$D$8&lt;&gt;"",Database!$E260=Screener!$D$8),1,0)</f>
        <v/>
      </c>
      <c r="C260" s="270">
        <f>IF(AND(Screener!$D$7&lt;&gt;"",Database!$D260=Screener!$D$7),1,0)</f>
        <v/>
      </c>
      <c r="D260" s="270">
        <f>IF(OR(N(Database!$I260)&lt;=0,N(Screener!$D$9)&lt;=0),0,MAX(0,1-ABS(LOG10(N(Database!$I260)/Screener!$D$9))/W_SIZEHW))</f>
        <v/>
      </c>
      <c r="E260" s="270">
        <f>IF(OR(Database!$BG260="",Screener!$D$10=""),0,IF(Database!$BG260=Screener!$D$10,1,0))</f>
        <v/>
      </c>
      <c r="F260" s="270">
        <f>IF(OR(Database!$BM260="",Screener!$D$11=""),0,IF(Database!$BM260=Screener!$D$11,1,0))</f>
        <v/>
      </c>
      <c r="G260" s="270">
        <f>IF(OR(Database!$H260="",N(Screener!$D$12)&lt;=0),0,MAX(0,1-(N(Screener!$D$12)-Database!$H260)/W_RECD))</f>
        <v/>
      </c>
      <c r="H260" s="270">
        <f>IF($U$1="",0,N(ISNUMBER(SEARCH($U$1,Database!$AC260&amp;""))))+IF($V$1="",0,N(ISNUMBER(SEARCH($V$1,Database!$AC260&amp;""))))+IF($W$1="",0,N(ISNUMBER(SEARCH($W$1,Database!$AC260&amp;""))))+IF($X$1="",0,N(ISNUMBER(SEARCH($X$1,Database!$AC260&amp;""))))+IF($Y$1="",0,N(ISNUMBER(SEARCH($Y$1,Database!$AC260&amp;""))))+IF(Screener!$B$17="",0,N(ISNUMBER(SEARCH(LOWER(Screener!$B$17),Database!$AC260&amp;""))))</f>
        <v/>
      </c>
      <c r="I260" s="270">
        <f>IF(OR(N(Database!$BH260)&lt;=0,N(Screener!$D$13)&lt;=0),0,MAX(0,1-ABS(LOG10(N(Database!$BH260)/Screener!$D$13))/W_PEHW))</f>
        <v/>
      </c>
      <c r="J260" s="270">
        <f>IF(OR(N(Database!$S260)&lt;=0,N(Screener!$D$14)&lt;=0),0,MAX(0,1-ABS(LOG10(Database!$S260/Screener!$D$14))/0.6))</f>
        <v/>
      </c>
      <c r="K260" s="270">
        <f>IF(Database!$B260=Screener!$B$5,-999999,IF(ISNUMBER(SEARCH(","&amp;Database!$A260&amp;",",","&amp;SUBSTITUTE(Screener!$D$17," ","")&amp;",")),2000000,IF(IF(OR(Screener!$B$18="All",AND(Screener!$B$18="With A-share",(Database!$BM260="Y")),AND(Screener!$B$18="Without A-share",NOT((Database!$BM260="Y")))),1,0)=0,-999999,IF(Screener!$B$16="cornerstone overlap first",H260*100000,IF(Screener!$B$16="demand-similar first",J260*100000,0))+W_SUB*B260+W_SEC*C260*(1-B260)+W_SIZE*D260+W_PROF*E260+W_AH*F260+W_REC*G260+W_CS*H260+W_PE*I260)))+ROW()/1000000</f>
        <v/>
      </c>
      <c r="AA260" s="270">
        <f>Database!B249</f>
        <v/>
      </c>
      <c r="AB260" s="270">
        <f>Database!D249</f>
        <v/>
      </c>
      <c r="AC260" s="270">
        <f>Database!E249</f>
        <v/>
      </c>
      <c r="AD260" s="270">
        <f>Database!I249</f>
        <v/>
      </c>
      <c r="AE260" s="270">
        <f>Database!BG249</f>
        <v/>
      </c>
      <c r="AF260" s="270">
        <f>Database!BM249</f>
        <v/>
      </c>
      <c r="AG260" s="270">
        <f>Database!H249</f>
        <v/>
      </c>
      <c r="AH260" s="270">
        <f>Database!BH249</f>
        <v/>
      </c>
    </row>
    <row r="261">
      <c r="A261" s="270">
        <f>Database!B261</f>
        <v/>
      </c>
      <c r="B261" s="270">
        <f>IF(AND(Screener!$D$8&lt;&gt;"",Database!$E261=Screener!$D$8),1,0)</f>
        <v/>
      </c>
      <c r="C261" s="270">
        <f>IF(AND(Screener!$D$7&lt;&gt;"",Database!$D261=Screener!$D$7),1,0)</f>
        <v/>
      </c>
      <c r="D261" s="270">
        <f>IF(OR(N(Database!$I261)&lt;=0,N(Screener!$D$9)&lt;=0),0,MAX(0,1-ABS(LOG10(N(Database!$I261)/Screener!$D$9))/W_SIZEHW))</f>
        <v/>
      </c>
      <c r="E261" s="270">
        <f>IF(OR(Database!$BG261="",Screener!$D$10=""),0,IF(Database!$BG261=Screener!$D$10,1,0))</f>
        <v/>
      </c>
      <c r="F261" s="270">
        <f>IF(OR(Database!$BM261="",Screener!$D$11=""),0,IF(Database!$BM261=Screener!$D$11,1,0))</f>
        <v/>
      </c>
      <c r="G261" s="270">
        <f>IF(OR(Database!$H261="",N(Screener!$D$12)&lt;=0),0,MAX(0,1-(N(Screener!$D$12)-Database!$H261)/W_RECD))</f>
        <v/>
      </c>
      <c r="H261" s="270">
        <f>IF($U$1="",0,N(ISNUMBER(SEARCH($U$1,Database!$AC261&amp;""))))+IF($V$1="",0,N(ISNUMBER(SEARCH($V$1,Database!$AC261&amp;""))))+IF($W$1="",0,N(ISNUMBER(SEARCH($W$1,Database!$AC261&amp;""))))+IF($X$1="",0,N(ISNUMBER(SEARCH($X$1,Database!$AC261&amp;""))))+IF($Y$1="",0,N(ISNUMBER(SEARCH($Y$1,Database!$AC261&amp;""))))+IF(Screener!$B$17="",0,N(ISNUMBER(SEARCH(LOWER(Screener!$B$17),Database!$AC261&amp;""))))</f>
        <v/>
      </c>
      <c r="I261" s="270">
        <f>IF(OR(N(Database!$BH261)&lt;=0,N(Screener!$D$13)&lt;=0),0,MAX(0,1-ABS(LOG10(N(Database!$BH261)/Screener!$D$13))/W_PEHW))</f>
        <v/>
      </c>
      <c r="J261" s="270">
        <f>IF(OR(N(Database!$S261)&lt;=0,N(Screener!$D$14)&lt;=0),0,MAX(0,1-ABS(LOG10(Database!$S261/Screener!$D$14))/0.6))</f>
        <v/>
      </c>
      <c r="K261" s="270">
        <f>IF(Database!$B261=Screener!$B$5,-999999,IF(ISNUMBER(SEARCH(","&amp;Database!$A261&amp;",",","&amp;SUBSTITUTE(Screener!$D$17," ","")&amp;",")),2000000,IF(IF(OR(Screener!$B$18="All",AND(Screener!$B$18="With A-share",(Database!$BM261="Y")),AND(Screener!$B$18="Without A-share",NOT((Database!$BM261="Y")))),1,0)=0,-999999,IF(Screener!$B$16="cornerstone overlap first",H261*100000,IF(Screener!$B$16="demand-similar first",J261*100000,0))+W_SUB*B261+W_SEC*C261*(1-B261)+W_SIZE*D261+W_PROF*E261+W_AH*F261+W_REC*G261+W_CS*H261+W_PE*I261)))+ROW()/1000000</f>
        <v/>
      </c>
      <c r="AA261" s="270">
        <f>Database!B250</f>
        <v/>
      </c>
      <c r="AB261" s="270">
        <f>Database!D250</f>
        <v/>
      </c>
      <c r="AC261" s="270">
        <f>Database!E250</f>
        <v/>
      </c>
      <c r="AD261" s="270">
        <f>Database!I250</f>
        <v/>
      </c>
      <c r="AE261" s="270">
        <f>Database!BG250</f>
        <v/>
      </c>
      <c r="AF261" s="270">
        <f>Database!BM250</f>
        <v/>
      </c>
      <c r="AG261" s="270">
        <f>Database!H250</f>
        <v/>
      </c>
      <c r="AH261" s="270">
        <f>Database!BH250</f>
        <v/>
      </c>
    </row>
    <row r="262">
      <c r="A262" s="270">
        <f>Database!B262</f>
        <v/>
      </c>
      <c r="B262" s="270">
        <f>IF(AND(Screener!$D$8&lt;&gt;"",Database!$E262=Screener!$D$8),1,0)</f>
        <v/>
      </c>
      <c r="C262" s="270">
        <f>IF(AND(Screener!$D$7&lt;&gt;"",Database!$D262=Screener!$D$7),1,0)</f>
        <v/>
      </c>
      <c r="D262" s="270">
        <f>IF(OR(N(Database!$I262)&lt;=0,N(Screener!$D$9)&lt;=0),0,MAX(0,1-ABS(LOG10(N(Database!$I262)/Screener!$D$9))/W_SIZEHW))</f>
        <v/>
      </c>
      <c r="E262" s="270">
        <f>IF(OR(Database!$BG262="",Screener!$D$10=""),0,IF(Database!$BG262=Screener!$D$10,1,0))</f>
        <v/>
      </c>
      <c r="F262" s="270">
        <f>IF(OR(Database!$BM262="",Screener!$D$11=""),0,IF(Database!$BM262=Screener!$D$11,1,0))</f>
        <v/>
      </c>
      <c r="G262" s="270">
        <f>IF(OR(Database!$H262="",N(Screener!$D$12)&lt;=0),0,MAX(0,1-(N(Screener!$D$12)-Database!$H262)/W_RECD))</f>
        <v/>
      </c>
      <c r="H262" s="270">
        <f>IF($U$1="",0,N(ISNUMBER(SEARCH($U$1,Database!$AC262&amp;""))))+IF($V$1="",0,N(ISNUMBER(SEARCH($V$1,Database!$AC262&amp;""))))+IF($W$1="",0,N(ISNUMBER(SEARCH($W$1,Database!$AC262&amp;""))))+IF($X$1="",0,N(ISNUMBER(SEARCH($X$1,Database!$AC262&amp;""))))+IF($Y$1="",0,N(ISNUMBER(SEARCH($Y$1,Database!$AC262&amp;""))))+IF(Screener!$B$17="",0,N(ISNUMBER(SEARCH(LOWER(Screener!$B$17),Database!$AC262&amp;""))))</f>
        <v/>
      </c>
      <c r="I262" s="270">
        <f>IF(OR(N(Database!$BH262)&lt;=0,N(Screener!$D$13)&lt;=0),0,MAX(0,1-ABS(LOG10(N(Database!$BH262)/Screener!$D$13))/W_PEHW))</f>
        <v/>
      </c>
      <c r="J262" s="270">
        <f>IF(OR(N(Database!$S262)&lt;=0,N(Screener!$D$14)&lt;=0),0,MAX(0,1-ABS(LOG10(Database!$S262/Screener!$D$14))/0.6))</f>
        <v/>
      </c>
      <c r="K262" s="270">
        <f>IF(Database!$B262=Screener!$B$5,-999999,IF(ISNUMBER(SEARCH(","&amp;Database!$A262&amp;",",","&amp;SUBSTITUTE(Screener!$D$17," ","")&amp;",")),2000000,IF(IF(OR(Screener!$B$18="All",AND(Screener!$B$18="With A-share",(Database!$BM262="Y")),AND(Screener!$B$18="Without A-share",NOT((Database!$BM262="Y")))),1,0)=0,-999999,IF(Screener!$B$16="cornerstone overlap first",H262*100000,IF(Screener!$B$16="demand-similar first",J262*100000,0))+W_SUB*B262+W_SEC*C262*(1-B262)+W_SIZE*D262+W_PROF*E262+W_AH*F262+W_REC*G262+W_CS*H262+W_PE*I262)))+ROW()/1000000</f>
        <v/>
      </c>
      <c r="AA262" s="270">
        <f>Database!B251</f>
        <v/>
      </c>
      <c r="AB262" s="270">
        <f>Database!D251</f>
        <v/>
      </c>
      <c r="AC262" s="270">
        <f>Database!E251</f>
        <v/>
      </c>
      <c r="AD262" s="270">
        <f>Database!I251</f>
        <v/>
      </c>
      <c r="AE262" s="270">
        <f>Database!BG251</f>
        <v/>
      </c>
      <c r="AF262" s="270">
        <f>Database!BM251</f>
        <v/>
      </c>
      <c r="AG262" s="270">
        <f>Database!H251</f>
        <v/>
      </c>
      <c r="AH262" s="270">
        <f>Database!BH251</f>
        <v/>
      </c>
    </row>
    <row r="263">
      <c r="A263" s="270">
        <f>Database!B263</f>
        <v/>
      </c>
      <c r="B263" s="270">
        <f>IF(AND(Screener!$D$8&lt;&gt;"",Database!$E263=Screener!$D$8),1,0)</f>
        <v/>
      </c>
      <c r="C263" s="270">
        <f>IF(AND(Screener!$D$7&lt;&gt;"",Database!$D263=Screener!$D$7),1,0)</f>
        <v/>
      </c>
      <c r="D263" s="270">
        <f>IF(OR(N(Database!$I263)&lt;=0,N(Screener!$D$9)&lt;=0),0,MAX(0,1-ABS(LOG10(N(Database!$I263)/Screener!$D$9))/W_SIZEHW))</f>
        <v/>
      </c>
      <c r="E263" s="270">
        <f>IF(OR(Database!$BG263="",Screener!$D$10=""),0,IF(Database!$BG263=Screener!$D$10,1,0))</f>
        <v/>
      </c>
      <c r="F263" s="270">
        <f>IF(OR(Database!$BM263="",Screener!$D$11=""),0,IF(Database!$BM263=Screener!$D$11,1,0))</f>
        <v/>
      </c>
      <c r="G263" s="270">
        <f>IF(OR(Database!$H263="",N(Screener!$D$12)&lt;=0),0,MAX(0,1-(N(Screener!$D$12)-Database!$H263)/W_RECD))</f>
        <v/>
      </c>
      <c r="H263" s="270">
        <f>IF($U$1="",0,N(ISNUMBER(SEARCH($U$1,Database!$AC263&amp;""))))+IF($V$1="",0,N(ISNUMBER(SEARCH($V$1,Database!$AC263&amp;""))))+IF($W$1="",0,N(ISNUMBER(SEARCH($W$1,Database!$AC263&amp;""))))+IF($X$1="",0,N(ISNUMBER(SEARCH($X$1,Database!$AC263&amp;""))))+IF($Y$1="",0,N(ISNUMBER(SEARCH($Y$1,Database!$AC263&amp;""))))+IF(Screener!$B$17="",0,N(ISNUMBER(SEARCH(LOWER(Screener!$B$17),Database!$AC263&amp;""))))</f>
        <v/>
      </c>
      <c r="I263" s="270">
        <f>IF(OR(N(Database!$BH263)&lt;=0,N(Screener!$D$13)&lt;=0),0,MAX(0,1-ABS(LOG10(N(Database!$BH263)/Screener!$D$13))/W_PEHW))</f>
        <v/>
      </c>
      <c r="J263" s="270">
        <f>IF(OR(N(Database!$S263)&lt;=0,N(Screener!$D$14)&lt;=0),0,MAX(0,1-ABS(LOG10(Database!$S263/Screener!$D$14))/0.6))</f>
        <v/>
      </c>
      <c r="K263" s="270">
        <f>IF(Database!$B263=Screener!$B$5,-999999,IF(ISNUMBER(SEARCH(","&amp;Database!$A263&amp;",",","&amp;SUBSTITUTE(Screener!$D$17," ","")&amp;",")),2000000,IF(IF(OR(Screener!$B$18="All",AND(Screener!$B$18="With A-share",(Database!$BM263="Y")),AND(Screener!$B$18="Without A-share",NOT((Database!$BM263="Y")))),1,0)=0,-999999,IF(Screener!$B$16="cornerstone overlap first",H263*100000,IF(Screener!$B$16="demand-similar first",J263*100000,0))+W_SUB*B263+W_SEC*C263*(1-B263)+W_SIZE*D263+W_PROF*E263+W_AH*F263+W_REC*G263+W_CS*H263+W_PE*I263)))+ROW()/1000000</f>
        <v/>
      </c>
      <c r="AA263" s="270">
        <f>Database!B252</f>
        <v/>
      </c>
      <c r="AB263" s="270">
        <f>Database!D252</f>
        <v/>
      </c>
      <c r="AC263" s="270">
        <f>Database!E252</f>
        <v/>
      </c>
      <c r="AD263" s="270">
        <f>Database!I252</f>
        <v/>
      </c>
      <c r="AE263" s="270">
        <f>Database!BG252</f>
        <v/>
      </c>
      <c r="AF263" s="270">
        <f>Database!BM252</f>
        <v/>
      </c>
      <c r="AG263" s="270">
        <f>Database!H252</f>
        <v/>
      </c>
      <c r="AH263" s="270">
        <f>Database!BH252</f>
        <v/>
      </c>
    </row>
    <row r="264">
      <c r="A264" s="270">
        <f>Database!B264</f>
        <v/>
      </c>
      <c r="B264" s="270">
        <f>IF(AND(Screener!$D$8&lt;&gt;"",Database!$E264=Screener!$D$8),1,0)</f>
        <v/>
      </c>
      <c r="C264" s="270">
        <f>IF(AND(Screener!$D$7&lt;&gt;"",Database!$D264=Screener!$D$7),1,0)</f>
        <v/>
      </c>
      <c r="D264" s="270">
        <f>IF(OR(N(Database!$I264)&lt;=0,N(Screener!$D$9)&lt;=0),0,MAX(0,1-ABS(LOG10(N(Database!$I264)/Screener!$D$9))/W_SIZEHW))</f>
        <v/>
      </c>
      <c r="E264" s="270">
        <f>IF(OR(Database!$BG264="",Screener!$D$10=""),0,IF(Database!$BG264=Screener!$D$10,1,0))</f>
        <v/>
      </c>
      <c r="F264" s="270">
        <f>IF(OR(Database!$BM264="",Screener!$D$11=""),0,IF(Database!$BM264=Screener!$D$11,1,0))</f>
        <v/>
      </c>
      <c r="G264" s="270">
        <f>IF(OR(Database!$H264="",N(Screener!$D$12)&lt;=0),0,MAX(0,1-(N(Screener!$D$12)-Database!$H264)/W_RECD))</f>
        <v/>
      </c>
      <c r="H264" s="270">
        <f>IF($U$1="",0,N(ISNUMBER(SEARCH($U$1,Database!$AC264&amp;""))))+IF($V$1="",0,N(ISNUMBER(SEARCH($V$1,Database!$AC264&amp;""))))+IF($W$1="",0,N(ISNUMBER(SEARCH($W$1,Database!$AC264&amp;""))))+IF($X$1="",0,N(ISNUMBER(SEARCH($X$1,Database!$AC264&amp;""))))+IF($Y$1="",0,N(ISNUMBER(SEARCH($Y$1,Database!$AC264&amp;""))))+IF(Screener!$B$17="",0,N(ISNUMBER(SEARCH(LOWER(Screener!$B$17),Database!$AC264&amp;""))))</f>
        <v/>
      </c>
      <c r="I264" s="270">
        <f>IF(OR(N(Database!$BH264)&lt;=0,N(Screener!$D$13)&lt;=0),0,MAX(0,1-ABS(LOG10(N(Database!$BH264)/Screener!$D$13))/W_PEHW))</f>
        <v/>
      </c>
      <c r="J264" s="270">
        <f>IF(OR(N(Database!$S264)&lt;=0,N(Screener!$D$14)&lt;=0),0,MAX(0,1-ABS(LOG10(Database!$S264/Screener!$D$14))/0.6))</f>
        <v/>
      </c>
      <c r="K264" s="270">
        <f>IF(Database!$B264=Screener!$B$5,-999999,IF(ISNUMBER(SEARCH(","&amp;Database!$A264&amp;",",","&amp;SUBSTITUTE(Screener!$D$17," ","")&amp;",")),2000000,IF(IF(OR(Screener!$B$18="All",AND(Screener!$B$18="With A-share",(Database!$BM264="Y")),AND(Screener!$B$18="Without A-share",NOT((Database!$BM264="Y")))),1,0)=0,-999999,IF(Screener!$B$16="cornerstone overlap first",H264*100000,IF(Screener!$B$16="demand-similar first",J264*100000,0))+W_SUB*B264+W_SEC*C264*(1-B264)+W_SIZE*D264+W_PROF*E264+W_AH*F264+W_REC*G264+W_CS*H264+W_PE*I264)))+ROW()/1000000</f>
        <v/>
      </c>
      <c r="AA264" s="270">
        <f>Database!B253</f>
        <v/>
      </c>
      <c r="AB264" s="270">
        <f>Database!D253</f>
        <v/>
      </c>
      <c r="AC264" s="270">
        <f>Database!E253</f>
        <v/>
      </c>
      <c r="AD264" s="270">
        <f>Database!I253</f>
        <v/>
      </c>
      <c r="AE264" s="270">
        <f>Database!BG253</f>
        <v/>
      </c>
      <c r="AF264" s="270">
        <f>Database!BM253</f>
        <v/>
      </c>
      <c r="AG264" s="270">
        <f>Database!H253</f>
        <v/>
      </c>
      <c r="AH264" s="270">
        <f>Database!BH253</f>
        <v/>
      </c>
    </row>
    <row r="265">
      <c r="A265" s="270">
        <f>Database!B265</f>
        <v/>
      </c>
      <c r="B265" s="270">
        <f>IF(AND(Screener!$D$8&lt;&gt;"",Database!$E265=Screener!$D$8),1,0)</f>
        <v/>
      </c>
      <c r="C265" s="270">
        <f>IF(AND(Screener!$D$7&lt;&gt;"",Database!$D265=Screener!$D$7),1,0)</f>
        <v/>
      </c>
      <c r="D265" s="270">
        <f>IF(OR(N(Database!$I265)&lt;=0,N(Screener!$D$9)&lt;=0),0,MAX(0,1-ABS(LOG10(N(Database!$I265)/Screener!$D$9))/W_SIZEHW))</f>
        <v/>
      </c>
      <c r="E265" s="270">
        <f>IF(OR(Database!$BG265="",Screener!$D$10=""),0,IF(Database!$BG265=Screener!$D$10,1,0))</f>
        <v/>
      </c>
      <c r="F265" s="270">
        <f>IF(OR(Database!$BM265="",Screener!$D$11=""),0,IF(Database!$BM265=Screener!$D$11,1,0))</f>
        <v/>
      </c>
      <c r="G265" s="270">
        <f>IF(OR(Database!$H265="",N(Screener!$D$12)&lt;=0),0,MAX(0,1-(N(Screener!$D$12)-Database!$H265)/W_RECD))</f>
        <v/>
      </c>
      <c r="H265" s="270">
        <f>IF($U$1="",0,N(ISNUMBER(SEARCH($U$1,Database!$AC265&amp;""))))+IF($V$1="",0,N(ISNUMBER(SEARCH($V$1,Database!$AC265&amp;""))))+IF($W$1="",0,N(ISNUMBER(SEARCH($W$1,Database!$AC265&amp;""))))+IF($X$1="",0,N(ISNUMBER(SEARCH($X$1,Database!$AC265&amp;""))))+IF($Y$1="",0,N(ISNUMBER(SEARCH($Y$1,Database!$AC265&amp;""))))+IF(Screener!$B$17="",0,N(ISNUMBER(SEARCH(LOWER(Screener!$B$17),Database!$AC265&amp;""))))</f>
        <v/>
      </c>
      <c r="I265" s="270">
        <f>IF(OR(N(Database!$BH265)&lt;=0,N(Screener!$D$13)&lt;=0),0,MAX(0,1-ABS(LOG10(N(Database!$BH265)/Screener!$D$13))/W_PEHW))</f>
        <v/>
      </c>
      <c r="J265" s="270">
        <f>IF(OR(N(Database!$S265)&lt;=0,N(Screener!$D$14)&lt;=0),0,MAX(0,1-ABS(LOG10(Database!$S265/Screener!$D$14))/0.6))</f>
        <v/>
      </c>
      <c r="K265" s="270">
        <f>IF(Database!$B265=Screener!$B$5,-999999,IF(ISNUMBER(SEARCH(","&amp;Database!$A265&amp;",",","&amp;SUBSTITUTE(Screener!$D$17," ","")&amp;",")),2000000,IF(IF(OR(Screener!$B$18="All",AND(Screener!$B$18="With A-share",(Database!$BM265="Y")),AND(Screener!$B$18="Without A-share",NOT((Database!$BM265="Y")))),1,0)=0,-999999,IF(Screener!$B$16="cornerstone overlap first",H265*100000,IF(Screener!$B$16="demand-similar first",J265*100000,0))+W_SUB*B265+W_SEC*C265*(1-B265)+W_SIZE*D265+W_PROF*E265+W_AH*F265+W_REC*G265+W_CS*H265+W_PE*I265)))+ROW()/1000000</f>
        <v/>
      </c>
      <c r="AA265" s="270">
        <f>Database!B254</f>
        <v/>
      </c>
      <c r="AB265" s="270">
        <f>Database!D254</f>
        <v/>
      </c>
      <c r="AC265" s="270">
        <f>Database!E254</f>
        <v/>
      </c>
      <c r="AD265" s="270">
        <f>Database!I254</f>
        <v/>
      </c>
      <c r="AE265" s="270">
        <f>Database!BG254</f>
        <v/>
      </c>
      <c r="AF265" s="270">
        <f>Database!BM254</f>
        <v/>
      </c>
      <c r="AG265" s="270">
        <f>Database!H254</f>
        <v/>
      </c>
      <c r="AH265" s="270">
        <f>Database!BH254</f>
        <v/>
      </c>
    </row>
    <row r="266">
      <c r="A266" s="270">
        <f>Database!B266</f>
        <v/>
      </c>
      <c r="B266" s="270">
        <f>IF(AND(Screener!$D$8&lt;&gt;"",Database!$E266=Screener!$D$8),1,0)</f>
        <v/>
      </c>
      <c r="C266" s="270">
        <f>IF(AND(Screener!$D$7&lt;&gt;"",Database!$D266=Screener!$D$7),1,0)</f>
        <v/>
      </c>
      <c r="D266" s="270">
        <f>IF(OR(N(Database!$I266)&lt;=0,N(Screener!$D$9)&lt;=0),0,MAX(0,1-ABS(LOG10(N(Database!$I266)/Screener!$D$9))/W_SIZEHW))</f>
        <v/>
      </c>
      <c r="E266" s="270">
        <f>IF(OR(Database!$BG266="",Screener!$D$10=""),0,IF(Database!$BG266=Screener!$D$10,1,0))</f>
        <v/>
      </c>
      <c r="F266" s="270">
        <f>IF(OR(Database!$BM266="",Screener!$D$11=""),0,IF(Database!$BM266=Screener!$D$11,1,0))</f>
        <v/>
      </c>
      <c r="G266" s="270">
        <f>IF(OR(Database!$H266="",N(Screener!$D$12)&lt;=0),0,MAX(0,1-(N(Screener!$D$12)-Database!$H266)/W_RECD))</f>
        <v/>
      </c>
      <c r="H266" s="270">
        <f>IF($U$1="",0,N(ISNUMBER(SEARCH($U$1,Database!$AC266&amp;""))))+IF($V$1="",0,N(ISNUMBER(SEARCH($V$1,Database!$AC266&amp;""))))+IF($W$1="",0,N(ISNUMBER(SEARCH($W$1,Database!$AC266&amp;""))))+IF($X$1="",0,N(ISNUMBER(SEARCH($X$1,Database!$AC266&amp;""))))+IF($Y$1="",0,N(ISNUMBER(SEARCH($Y$1,Database!$AC266&amp;""))))+IF(Screener!$B$17="",0,N(ISNUMBER(SEARCH(LOWER(Screener!$B$17),Database!$AC266&amp;""))))</f>
        <v/>
      </c>
      <c r="I266" s="270">
        <f>IF(OR(N(Database!$BH266)&lt;=0,N(Screener!$D$13)&lt;=0),0,MAX(0,1-ABS(LOG10(N(Database!$BH266)/Screener!$D$13))/W_PEHW))</f>
        <v/>
      </c>
      <c r="J266" s="270">
        <f>IF(OR(N(Database!$S266)&lt;=0,N(Screener!$D$14)&lt;=0),0,MAX(0,1-ABS(LOG10(Database!$S266/Screener!$D$14))/0.6))</f>
        <v/>
      </c>
      <c r="K266" s="270">
        <f>IF(Database!$B266=Screener!$B$5,-999999,IF(ISNUMBER(SEARCH(","&amp;Database!$A266&amp;",",","&amp;SUBSTITUTE(Screener!$D$17," ","")&amp;",")),2000000,IF(IF(OR(Screener!$B$18="All",AND(Screener!$B$18="With A-share",(Database!$BM266="Y")),AND(Screener!$B$18="Without A-share",NOT((Database!$BM266="Y")))),1,0)=0,-999999,IF(Screener!$B$16="cornerstone overlap first",H266*100000,IF(Screener!$B$16="demand-similar first",J266*100000,0))+W_SUB*B266+W_SEC*C266*(1-B266)+W_SIZE*D266+W_PROF*E266+W_AH*F266+W_REC*G266+W_CS*H266+W_PE*I266)))+ROW()/1000000</f>
        <v/>
      </c>
      <c r="AA266" s="270">
        <f>Database!B255</f>
        <v/>
      </c>
      <c r="AB266" s="270">
        <f>Database!D255</f>
        <v/>
      </c>
      <c r="AC266" s="270">
        <f>Database!E255</f>
        <v/>
      </c>
      <c r="AD266" s="270">
        <f>Database!I255</f>
        <v/>
      </c>
      <c r="AE266" s="270">
        <f>Database!BG255</f>
        <v/>
      </c>
      <c r="AF266" s="270">
        <f>Database!BM255</f>
        <v/>
      </c>
      <c r="AG266" s="270">
        <f>Database!H255</f>
        <v/>
      </c>
      <c r="AH266" s="270">
        <f>Database!BH255</f>
        <v/>
      </c>
    </row>
    <row r="267">
      <c r="A267" s="270">
        <f>Database!B267</f>
        <v/>
      </c>
      <c r="B267" s="270">
        <f>IF(AND(Screener!$D$8&lt;&gt;"",Database!$E267=Screener!$D$8),1,0)</f>
        <v/>
      </c>
      <c r="C267" s="270">
        <f>IF(AND(Screener!$D$7&lt;&gt;"",Database!$D267=Screener!$D$7),1,0)</f>
        <v/>
      </c>
      <c r="D267" s="270">
        <f>IF(OR(N(Database!$I267)&lt;=0,N(Screener!$D$9)&lt;=0),0,MAX(0,1-ABS(LOG10(N(Database!$I267)/Screener!$D$9))/W_SIZEHW))</f>
        <v/>
      </c>
      <c r="E267" s="270">
        <f>IF(OR(Database!$BG267="",Screener!$D$10=""),0,IF(Database!$BG267=Screener!$D$10,1,0))</f>
        <v/>
      </c>
      <c r="F267" s="270">
        <f>IF(OR(Database!$BM267="",Screener!$D$11=""),0,IF(Database!$BM267=Screener!$D$11,1,0))</f>
        <v/>
      </c>
      <c r="G267" s="270">
        <f>IF(OR(Database!$H267="",N(Screener!$D$12)&lt;=0),0,MAX(0,1-(N(Screener!$D$12)-Database!$H267)/W_RECD))</f>
        <v/>
      </c>
      <c r="H267" s="270">
        <f>IF($U$1="",0,N(ISNUMBER(SEARCH($U$1,Database!$AC267&amp;""))))+IF($V$1="",0,N(ISNUMBER(SEARCH($V$1,Database!$AC267&amp;""))))+IF($W$1="",0,N(ISNUMBER(SEARCH($W$1,Database!$AC267&amp;""))))+IF($X$1="",0,N(ISNUMBER(SEARCH($X$1,Database!$AC267&amp;""))))+IF($Y$1="",0,N(ISNUMBER(SEARCH($Y$1,Database!$AC267&amp;""))))+IF(Screener!$B$17="",0,N(ISNUMBER(SEARCH(LOWER(Screener!$B$17),Database!$AC267&amp;""))))</f>
        <v/>
      </c>
      <c r="I267" s="270">
        <f>IF(OR(N(Database!$BH267)&lt;=0,N(Screener!$D$13)&lt;=0),0,MAX(0,1-ABS(LOG10(N(Database!$BH267)/Screener!$D$13))/W_PEHW))</f>
        <v/>
      </c>
      <c r="J267" s="270">
        <f>IF(OR(N(Database!$S267)&lt;=0,N(Screener!$D$14)&lt;=0),0,MAX(0,1-ABS(LOG10(Database!$S267/Screener!$D$14))/0.6))</f>
        <v/>
      </c>
      <c r="K267" s="270">
        <f>IF(Database!$B267=Screener!$B$5,-999999,IF(ISNUMBER(SEARCH(","&amp;Database!$A267&amp;",",","&amp;SUBSTITUTE(Screener!$D$17," ","")&amp;",")),2000000,IF(IF(OR(Screener!$B$18="All",AND(Screener!$B$18="With A-share",(Database!$BM267="Y")),AND(Screener!$B$18="Without A-share",NOT((Database!$BM267="Y")))),1,0)=0,-999999,IF(Screener!$B$16="cornerstone overlap first",H267*100000,IF(Screener!$B$16="demand-similar first",J267*100000,0))+W_SUB*B267+W_SEC*C267*(1-B267)+W_SIZE*D267+W_PROF*E267+W_AH*F267+W_REC*G267+W_CS*H267+W_PE*I267)))+ROW()/1000000</f>
        <v/>
      </c>
      <c r="AA267" s="270">
        <f>Database!B256</f>
        <v/>
      </c>
      <c r="AB267" s="270">
        <f>Database!D256</f>
        <v/>
      </c>
      <c r="AC267" s="270">
        <f>Database!E256</f>
        <v/>
      </c>
      <c r="AD267" s="270">
        <f>Database!I256</f>
        <v/>
      </c>
      <c r="AE267" s="270">
        <f>Database!BG256</f>
        <v/>
      </c>
      <c r="AF267" s="270">
        <f>Database!BM256</f>
        <v/>
      </c>
      <c r="AG267" s="270">
        <f>Database!H256</f>
        <v/>
      </c>
      <c r="AH267" s="270">
        <f>Database!BH256</f>
        <v/>
      </c>
    </row>
    <row r="268">
      <c r="A268" s="270">
        <f>Database!B268</f>
        <v/>
      </c>
      <c r="B268" s="270">
        <f>IF(AND(Screener!$D$8&lt;&gt;"",Database!$E268=Screener!$D$8),1,0)</f>
        <v/>
      </c>
      <c r="C268" s="270">
        <f>IF(AND(Screener!$D$7&lt;&gt;"",Database!$D268=Screener!$D$7),1,0)</f>
        <v/>
      </c>
      <c r="D268" s="270">
        <f>IF(OR(N(Database!$I268)&lt;=0,N(Screener!$D$9)&lt;=0),0,MAX(0,1-ABS(LOG10(N(Database!$I268)/Screener!$D$9))/W_SIZEHW))</f>
        <v/>
      </c>
      <c r="E268" s="270">
        <f>IF(OR(Database!$BG268="",Screener!$D$10=""),0,IF(Database!$BG268=Screener!$D$10,1,0))</f>
        <v/>
      </c>
      <c r="F268" s="270">
        <f>IF(OR(Database!$BM268="",Screener!$D$11=""),0,IF(Database!$BM268=Screener!$D$11,1,0))</f>
        <v/>
      </c>
      <c r="G268" s="270">
        <f>IF(OR(Database!$H268="",N(Screener!$D$12)&lt;=0),0,MAX(0,1-(N(Screener!$D$12)-Database!$H268)/W_RECD))</f>
        <v/>
      </c>
      <c r="H268" s="270">
        <f>IF($U$1="",0,N(ISNUMBER(SEARCH($U$1,Database!$AC268&amp;""))))+IF($V$1="",0,N(ISNUMBER(SEARCH($V$1,Database!$AC268&amp;""))))+IF($W$1="",0,N(ISNUMBER(SEARCH($W$1,Database!$AC268&amp;""))))+IF($X$1="",0,N(ISNUMBER(SEARCH($X$1,Database!$AC268&amp;""))))+IF($Y$1="",0,N(ISNUMBER(SEARCH($Y$1,Database!$AC268&amp;""))))+IF(Screener!$B$17="",0,N(ISNUMBER(SEARCH(LOWER(Screener!$B$17),Database!$AC268&amp;""))))</f>
        <v/>
      </c>
      <c r="I268" s="270">
        <f>IF(OR(N(Database!$BH268)&lt;=0,N(Screener!$D$13)&lt;=0),0,MAX(0,1-ABS(LOG10(N(Database!$BH268)/Screener!$D$13))/W_PEHW))</f>
        <v/>
      </c>
      <c r="J268" s="270">
        <f>IF(OR(N(Database!$S268)&lt;=0,N(Screener!$D$14)&lt;=0),0,MAX(0,1-ABS(LOG10(Database!$S268/Screener!$D$14))/0.6))</f>
        <v/>
      </c>
      <c r="K268" s="270">
        <f>IF(Database!$B268=Screener!$B$5,-999999,IF(ISNUMBER(SEARCH(","&amp;Database!$A268&amp;",",","&amp;SUBSTITUTE(Screener!$D$17," ","")&amp;",")),2000000,IF(IF(OR(Screener!$B$18="All",AND(Screener!$B$18="With A-share",(Database!$BM268="Y")),AND(Screener!$B$18="Without A-share",NOT((Database!$BM268="Y")))),1,0)=0,-999999,IF(Screener!$B$16="cornerstone overlap first",H268*100000,IF(Screener!$B$16="demand-similar first",J268*100000,0))+W_SUB*B268+W_SEC*C268*(1-B268)+W_SIZE*D268+W_PROF*E268+W_AH*F268+W_REC*G268+W_CS*H268+W_PE*I268)))+ROW()/1000000</f>
        <v/>
      </c>
      <c r="AA268" s="270">
        <f>Database!B257</f>
        <v/>
      </c>
      <c r="AB268" s="270">
        <f>Database!D257</f>
        <v/>
      </c>
      <c r="AC268" s="270">
        <f>Database!E257</f>
        <v/>
      </c>
      <c r="AD268" s="270">
        <f>Database!I257</f>
        <v/>
      </c>
      <c r="AE268" s="270">
        <f>Database!BG257</f>
        <v/>
      </c>
      <c r="AF268" s="270">
        <f>Database!BM257</f>
        <v/>
      </c>
      <c r="AG268" s="270">
        <f>Database!H257</f>
        <v/>
      </c>
      <c r="AH268" s="270">
        <f>Database!BH257</f>
        <v/>
      </c>
    </row>
    <row r="269">
      <c r="A269" s="270">
        <f>Database!B269</f>
        <v/>
      </c>
      <c r="B269" s="270">
        <f>IF(AND(Screener!$D$8&lt;&gt;"",Database!$E269=Screener!$D$8),1,0)</f>
        <v/>
      </c>
      <c r="C269" s="270">
        <f>IF(AND(Screener!$D$7&lt;&gt;"",Database!$D269=Screener!$D$7),1,0)</f>
        <v/>
      </c>
      <c r="D269" s="270">
        <f>IF(OR(N(Database!$I269)&lt;=0,N(Screener!$D$9)&lt;=0),0,MAX(0,1-ABS(LOG10(N(Database!$I269)/Screener!$D$9))/W_SIZEHW))</f>
        <v/>
      </c>
      <c r="E269" s="270">
        <f>IF(OR(Database!$BG269="",Screener!$D$10=""),0,IF(Database!$BG269=Screener!$D$10,1,0))</f>
        <v/>
      </c>
      <c r="F269" s="270">
        <f>IF(OR(Database!$BM269="",Screener!$D$11=""),0,IF(Database!$BM269=Screener!$D$11,1,0))</f>
        <v/>
      </c>
      <c r="G269" s="270">
        <f>IF(OR(Database!$H269="",N(Screener!$D$12)&lt;=0),0,MAX(0,1-(N(Screener!$D$12)-Database!$H269)/W_RECD))</f>
        <v/>
      </c>
      <c r="H269" s="270">
        <f>IF($U$1="",0,N(ISNUMBER(SEARCH($U$1,Database!$AC269&amp;""))))+IF($V$1="",0,N(ISNUMBER(SEARCH($V$1,Database!$AC269&amp;""))))+IF($W$1="",0,N(ISNUMBER(SEARCH($W$1,Database!$AC269&amp;""))))+IF($X$1="",0,N(ISNUMBER(SEARCH($X$1,Database!$AC269&amp;""))))+IF($Y$1="",0,N(ISNUMBER(SEARCH($Y$1,Database!$AC269&amp;""))))+IF(Screener!$B$17="",0,N(ISNUMBER(SEARCH(LOWER(Screener!$B$17),Database!$AC269&amp;""))))</f>
        <v/>
      </c>
      <c r="I269" s="270">
        <f>IF(OR(N(Database!$BH269)&lt;=0,N(Screener!$D$13)&lt;=0),0,MAX(0,1-ABS(LOG10(N(Database!$BH269)/Screener!$D$13))/W_PEHW))</f>
        <v/>
      </c>
      <c r="J269" s="270">
        <f>IF(OR(N(Database!$S269)&lt;=0,N(Screener!$D$14)&lt;=0),0,MAX(0,1-ABS(LOG10(Database!$S269/Screener!$D$14))/0.6))</f>
        <v/>
      </c>
      <c r="K269" s="270">
        <f>IF(Database!$B269=Screener!$B$5,-999999,IF(ISNUMBER(SEARCH(","&amp;Database!$A269&amp;",",","&amp;SUBSTITUTE(Screener!$D$17," ","")&amp;",")),2000000,IF(IF(OR(Screener!$B$18="All",AND(Screener!$B$18="With A-share",(Database!$BM269="Y")),AND(Screener!$B$18="Without A-share",NOT((Database!$BM269="Y")))),1,0)=0,-999999,IF(Screener!$B$16="cornerstone overlap first",H269*100000,IF(Screener!$B$16="demand-similar first",J269*100000,0))+W_SUB*B269+W_SEC*C269*(1-B269)+W_SIZE*D269+W_PROF*E269+W_AH*F269+W_REC*G269+W_CS*H269+W_PE*I269)))+ROW()/1000000</f>
        <v/>
      </c>
      <c r="AA269" s="270">
        <f>Database!B258</f>
        <v/>
      </c>
      <c r="AB269" s="270">
        <f>Database!D258</f>
        <v/>
      </c>
      <c r="AC269" s="270">
        <f>Database!E258</f>
        <v/>
      </c>
      <c r="AD269" s="270">
        <f>Database!I258</f>
        <v/>
      </c>
      <c r="AE269" s="270">
        <f>Database!BG258</f>
        <v/>
      </c>
      <c r="AF269" s="270">
        <f>Database!BM258</f>
        <v/>
      </c>
      <c r="AG269" s="270">
        <f>Database!H258</f>
        <v/>
      </c>
      <c r="AH269" s="270">
        <f>Database!BH258</f>
        <v/>
      </c>
    </row>
    <row r="270">
      <c r="A270" s="270">
        <f>Database!B270</f>
        <v/>
      </c>
      <c r="B270" s="270">
        <f>IF(AND(Screener!$D$8&lt;&gt;"",Database!$E270=Screener!$D$8),1,0)</f>
        <v/>
      </c>
      <c r="C270" s="270">
        <f>IF(AND(Screener!$D$7&lt;&gt;"",Database!$D270=Screener!$D$7),1,0)</f>
        <v/>
      </c>
      <c r="D270" s="270">
        <f>IF(OR(N(Database!$I270)&lt;=0,N(Screener!$D$9)&lt;=0),0,MAX(0,1-ABS(LOG10(N(Database!$I270)/Screener!$D$9))/W_SIZEHW))</f>
        <v/>
      </c>
      <c r="E270" s="270">
        <f>IF(OR(Database!$BG270="",Screener!$D$10=""),0,IF(Database!$BG270=Screener!$D$10,1,0))</f>
        <v/>
      </c>
      <c r="F270" s="270">
        <f>IF(OR(Database!$BM270="",Screener!$D$11=""),0,IF(Database!$BM270=Screener!$D$11,1,0))</f>
        <v/>
      </c>
      <c r="G270" s="270">
        <f>IF(OR(Database!$H270="",N(Screener!$D$12)&lt;=0),0,MAX(0,1-(N(Screener!$D$12)-Database!$H270)/W_RECD))</f>
        <v/>
      </c>
      <c r="H270" s="270">
        <f>IF($U$1="",0,N(ISNUMBER(SEARCH($U$1,Database!$AC270&amp;""))))+IF($V$1="",0,N(ISNUMBER(SEARCH($V$1,Database!$AC270&amp;""))))+IF($W$1="",0,N(ISNUMBER(SEARCH($W$1,Database!$AC270&amp;""))))+IF($X$1="",0,N(ISNUMBER(SEARCH($X$1,Database!$AC270&amp;""))))+IF($Y$1="",0,N(ISNUMBER(SEARCH($Y$1,Database!$AC270&amp;""))))+IF(Screener!$B$17="",0,N(ISNUMBER(SEARCH(LOWER(Screener!$B$17),Database!$AC270&amp;""))))</f>
        <v/>
      </c>
      <c r="I270" s="270">
        <f>IF(OR(N(Database!$BH270)&lt;=0,N(Screener!$D$13)&lt;=0),0,MAX(0,1-ABS(LOG10(N(Database!$BH270)/Screener!$D$13))/W_PEHW))</f>
        <v/>
      </c>
      <c r="J270" s="270">
        <f>IF(OR(N(Database!$S270)&lt;=0,N(Screener!$D$14)&lt;=0),0,MAX(0,1-ABS(LOG10(Database!$S270/Screener!$D$14))/0.6))</f>
        <v/>
      </c>
      <c r="K270" s="270">
        <f>IF(Database!$B270=Screener!$B$5,-999999,IF(ISNUMBER(SEARCH(","&amp;Database!$A270&amp;",",","&amp;SUBSTITUTE(Screener!$D$17," ","")&amp;",")),2000000,IF(IF(OR(Screener!$B$18="All",AND(Screener!$B$18="With A-share",(Database!$BM270="Y")),AND(Screener!$B$18="Without A-share",NOT((Database!$BM270="Y")))),1,0)=0,-999999,IF(Screener!$B$16="cornerstone overlap first",H270*100000,IF(Screener!$B$16="demand-similar first",J270*100000,0))+W_SUB*B270+W_SEC*C270*(1-B270)+W_SIZE*D270+W_PROF*E270+W_AH*F270+W_REC*G270+W_CS*H270+W_PE*I270)))+ROW()/1000000</f>
        <v/>
      </c>
      <c r="AA270" s="270">
        <f>Database!B259</f>
        <v/>
      </c>
      <c r="AB270" s="270">
        <f>Database!D259</f>
        <v/>
      </c>
      <c r="AC270" s="270">
        <f>Database!E259</f>
        <v/>
      </c>
      <c r="AD270" s="270">
        <f>Database!I259</f>
        <v/>
      </c>
      <c r="AE270" s="270">
        <f>Database!BG259</f>
        <v/>
      </c>
      <c r="AF270" s="270">
        <f>Database!BM259</f>
        <v/>
      </c>
      <c r="AG270" s="270">
        <f>Database!H259</f>
        <v/>
      </c>
      <c r="AH270" s="270">
        <f>Database!BH259</f>
        <v/>
      </c>
    </row>
    <row r="271">
      <c r="A271" s="270">
        <f>Database!B271</f>
        <v/>
      </c>
      <c r="B271" s="270">
        <f>IF(AND(Screener!$D$8&lt;&gt;"",Database!$E271=Screener!$D$8),1,0)</f>
        <v/>
      </c>
      <c r="C271" s="270">
        <f>IF(AND(Screener!$D$7&lt;&gt;"",Database!$D271=Screener!$D$7),1,0)</f>
        <v/>
      </c>
      <c r="D271" s="270">
        <f>IF(OR(N(Database!$I271)&lt;=0,N(Screener!$D$9)&lt;=0),0,MAX(0,1-ABS(LOG10(N(Database!$I271)/Screener!$D$9))/W_SIZEHW))</f>
        <v/>
      </c>
      <c r="E271" s="270">
        <f>IF(OR(Database!$BG271="",Screener!$D$10=""),0,IF(Database!$BG271=Screener!$D$10,1,0))</f>
        <v/>
      </c>
      <c r="F271" s="270">
        <f>IF(OR(Database!$BM271="",Screener!$D$11=""),0,IF(Database!$BM271=Screener!$D$11,1,0))</f>
        <v/>
      </c>
      <c r="G271" s="270">
        <f>IF(OR(Database!$H271="",N(Screener!$D$12)&lt;=0),0,MAX(0,1-(N(Screener!$D$12)-Database!$H271)/W_RECD))</f>
        <v/>
      </c>
      <c r="H271" s="270">
        <f>IF($U$1="",0,N(ISNUMBER(SEARCH($U$1,Database!$AC271&amp;""))))+IF($V$1="",0,N(ISNUMBER(SEARCH($V$1,Database!$AC271&amp;""))))+IF($W$1="",0,N(ISNUMBER(SEARCH($W$1,Database!$AC271&amp;""))))+IF($X$1="",0,N(ISNUMBER(SEARCH($X$1,Database!$AC271&amp;""))))+IF($Y$1="",0,N(ISNUMBER(SEARCH($Y$1,Database!$AC271&amp;""))))+IF(Screener!$B$17="",0,N(ISNUMBER(SEARCH(LOWER(Screener!$B$17),Database!$AC271&amp;""))))</f>
        <v/>
      </c>
      <c r="I271" s="270">
        <f>IF(OR(N(Database!$BH271)&lt;=0,N(Screener!$D$13)&lt;=0),0,MAX(0,1-ABS(LOG10(N(Database!$BH271)/Screener!$D$13))/W_PEHW))</f>
        <v/>
      </c>
      <c r="J271" s="270">
        <f>IF(OR(N(Database!$S271)&lt;=0,N(Screener!$D$14)&lt;=0),0,MAX(0,1-ABS(LOG10(Database!$S271/Screener!$D$14))/0.6))</f>
        <v/>
      </c>
      <c r="K271" s="270">
        <f>IF(Database!$B271=Screener!$B$5,-999999,IF(ISNUMBER(SEARCH(","&amp;Database!$A271&amp;",",","&amp;SUBSTITUTE(Screener!$D$17," ","")&amp;",")),2000000,IF(IF(OR(Screener!$B$18="All",AND(Screener!$B$18="With A-share",(Database!$BM271="Y")),AND(Screener!$B$18="Without A-share",NOT((Database!$BM271="Y")))),1,0)=0,-999999,IF(Screener!$B$16="cornerstone overlap first",H271*100000,IF(Screener!$B$16="demand-similar first",J271*100000,0))+W_SUB*B271+W_SEC*C271*(1-B271)+W_SIZE*D271+W_PROF*E271+W_AH*F271+W_REC*G271+W_CS*H271+W_PE*I271)))+ROW()/1000000</f>
        <v/>
      </c>
      <c r="AA271" s="270">
        <f>Database!B260</f>
        <v/>
      </c>
      <c r="AB271" s="270">
        <f>Database!D260</f>
        <v/>
      </c>
      <c r="AC271" s="270">
        <f>Database!E260</f>
        <v/>
      </c>
      <c r="AD271" s="270">
        <f>Database!I260</f>
        <v/>
      </c>
      <c r="AE271" s="270">
        <f>Database!BG260</f>
        <v/>
      </c>
      <c r="AF271" s="270">
        <f>Database!BM260</f>
        <v/>
      </c>
      <c r="AG271" s="270">
        <f>Database!H260</f>
        <v/>
      </c>
      <c r="AH271" s="270">
        <f>Database!BH260</f>
        <v/>
      </c>
    </row>
    <row r="272">
      <c r="A272" s="270">
        <f>Database!B272</f>
        <v/>
      </c>
      <c r="B272" s="270">
        <f>IF(AND(Screener!$D$8&lt;&gt;"",Database!$E272=Screener!$D$8),1,0)</f>
        <v/>
      </c>
      <c r="C272" s="270">
        <f>IF(AND(Screener!$D$7&lt;&gt;"",Database!$D272=Screener!$D$7),1,0)</f>
        <v/>
      </c>
      <c r="D272" s="270">
        <f>IF(OR(N(Database!$I272)&lt;=0,N(Screener!$D$9)&lt;=0),0,MAX(0,1-ABS(LOG10(N(Database!$I272)/Screener!$D$9))/W_SIZEHW))</f>
        <v/>
      </c>
      <c r="E272" s="270">
        <f>IF(OR(Database!$BG272="",Screener!$D$10=""),0,IF(Database!$BG272=Screener!$D$10,1,0))</f>
        <v/>
      </c>
      <c r="F272" s="270">
        <f>IF(OR(Database!$BM272="",Screener!$D$11=""),0,IF(Database!$BM272=Screener!$D$11,1,0))</f>
        <v/>
      </c>
      <c r="G272" s="270">
        <f>IF(OR(Database!$H272="",N(Screener!$D$12)&lt;=0),0,MAX(0,1-(N(Screener!$D$12)-Database!$H272)/W_RECD))</f>
        <v/>
      </c>
      <c r="H272" s="270">
        <f>IF($U$1="",0,N(ISNUMBER(SEARCH($U$1,Database!$AC272&amp;""))))+IF($V$1="",0,N(ISNUMBER(SEARCH($V$1,Database!$AC272&amp;""))))+IF($W$1="",0,N(ISNUMBER(SEARCH($W$1,Database!$AC272&amp;""))))+IF($X$1="",0,N(ISNUMBER(SEARCH($X$1,Database!$AC272&amp;""))))+IF($Y$1="",0,N(ISNUMBER(SEARCH($Y$1,Database!$AC272&amp;""))))+IF(Screener!$B$17="",0,N(ISNUMBER(SEARCH(LOWER(Screener!$B$17),Database!$AC272&amp;""))))</f>
        <v/>
      </c>
      <c r="I272" s="270">
        <f>IF(OR(N(Database!$BH272)&lt;=0,N(Screener!$D$13)&lt;=0),0,MAX(0,1-ABS(LOG10(N(Database!$BH272)/Screener!$D$13))/W_PEHW))</f>
        <v/>
      </c>
      <c r="J272" s="270">
        <f>IF(OR(N(Database!$S272)&lt;=0,N(Screener!$D$14)&lt;=0),0,MAX(0,1-ABS(LOG10(Database!$S272/Screener!$D$14))/0.6))</f>
        <v/>
      </c>
      <c r="K272" s="270">
        <f>IF(Database!$B272=Screener!$B$5,-999999,IF(ISNUMBER(SEARCH(","&amp;Database!$A272&amp;",",","&amp;SUBSTITUTE(Screener!$D$17," ","")&amp;",")),2000000,IF(IF(OR(Screener!$B$18="All",AND(Screener!$B$18="With A-share",(Database!$BM272="Y")),AND(Screener!$B$18="Without A-share",NOT((Database!$BM272="Y")))),1,0)=0,-999999,IF(Screener!$B$16="cornerstone overlap first",H272*100000,IF(Screener!$B$16="demand-similar first",J272*100000,0))+W_SUB*B272+W_SEC*C272*(1-B272)+W_SIZE*D272+W_PROF*E272+W_AH*F272+W_REC*G272+W_CS*H272+W_PE*I272)))+ROW()/1000000</f>
        <v/>
      </c>
      <c r="AA272" s="270">
        <f>Database!B261</f>
        <v/>
      </c>
      <c r="AB272" s="270">
        <f>Database!D261</f>
        <v/>
      </c>
      <c r="AC272" s="270">
        <f>Database!E261</f>
        <v/>
      </c>
      <c r="AD272" s="270">
        <f>Database!I261</f>
        <v/>
      </c>
      <c r="AE272" s="270">
        <f>Database!BG261</f>
        <v/>
      </c>
      <c r="AF272" s="270">
        <f>Database!BM261</f>
        <v/>
      </c>
      <c r="AG272" s="270">
        <f>Database!H261</f>
        <v/>
      </c>
      <c r="AH272" s="270">
        <f>Database!BH261</f>
        <v/>
      </c>
    </row>
    <row r="273">
      <c r="A273" s="270">
        <f>Database!B273</f>
        <v/>
      </c>
      <c r="B273" s="270">
        <f>IF(AND(Screener!$D$8&lt;&gt;"",Database!$E273=Screener!$D$8),1,0)</f>
        <v/>
      </c>
      <c r="C273" s="270">
        <f>IF(AND(Screener!$D$7&lt;&gt;"",Database!$D273=Screener!$D$7),1,0)</f>
        <v/>
      </c>
      <c r="D273" s="270">
        <f>IF(OR(N(Database!$I273)&lt;=0,N(Screener!$D$9)&lt;=0),0,MAX(0,1-ABS(LOG10(N(Database!$I273)/Screener!$D$9))/W_SIZEHW))</f>
        <v/>
      </c>
      <c r="E273" s="270">
        <f>IF(OR(Database!$BG273="",Screener!$D$10=""),0,IF(Database!$BG273=Screener!$D$10,1,0))</f>
        <v/>
      </c>
      <c r="F273" s="270">
        <f>IF(OR(Database!$BM273="",Screener!$D$11=""),0,IF(Database!$BM273=Screener!$D$11,1,0))</f>
        <v/>
      </c>
      <c r="G273" s="270">
        <f>IF(OR(Database!$H273="",N(Screener!$D$12)&lt;=0),0,MAX(0,1-(N(Screener!$D$12)-Database!$H273)/W_RECD))</f>
        <v/>
      </c>
      <c r="H273" s="270">
        <f>IF($U$1="",0,N(ISNUMBER(SEARCH($U$1,Database!$AC273&amp;""))))+IF($V$1="",0,N(ISNUMBER(SEARCH($V$1,Database!$AC273&amp;""))))+IF($W$1="",0,N(ISNUMBER(SEARCH($W$1,Database!$AC273&amp;""))))+IF($X$1="",0,N(ISNUMBER(SEARCH($X$1,Database!$AC273&amp;""))))+IF($Y$1="",0,N(ISNUMBER(SEARCH($Y$1,Database!$AC273&amp;""))))+IF(Screener!$B$17="",0,N(ISNUMBER(SEARCH(LOWER(Screener!$B$17),Database!$AC273&amp;""))))</f>
        <v/>
      </c>
      <c r="I273" s="270">
        <f>IF(OR(N(Database!$BH273)&lt;=0,N(Screener!$D$13)&lt;=0),0,MAX(0,1-ABS(LOG10(N(Database!$BH273)/Screener!$D$13))/W_PEHW))</f>
        <v/>
      </c>
      <c r="J273" s="270">
        <f>IF(OR(N(Database!$S273)&lt;=0,N(Screener!$D$14)&lt;=0),0,MAX(0,1-ABS(LOG10(Database!$S273/Screener!$D$14))/0.6))</f>
        <v/>
      </c>
      <c r="K273" s="270">
        <f>IF(Database!$B273=Screener!$B$5,-999999,IF(ISNUMBER(SEARCH(","&amp;Database!$A273&amp;",",","&amp;SUBSTITUTE(Screener!$D$17," ","")&amp;",")),2000000,IF(IF(OR(Screener!$B$18="All",AND(Screener!$B$18="With A-share",(Database!$BM273="Y")),AND(Screener!$B$18="Without A-share",NOT((Database!$BM273="Y")))),1,0)=0,-999999,IF(Screener!$B$16="cornerstone overlap first",H273*100000,IF(Screener!$B$16="demand-similar first",J273*100000,0))+W_SUB*B273+W_SEC*C273*(1-B273)+W_SIZE*D273+W_PROF*E273+W_AH*F273+W_REC*G273+W_CS*H273+W_PE*I273)))+ROW()/1000000</f>
        <v/>
      </c>
      <c r="AA273" s="270">
        <f>Database!B262</f>
        <v/>
      </c>
      <c r="AB273" s="270">
        <f>Database!D262</f>
        <v/>
      </c>
      <c r="AC273" s="270">
        <f>Database!E262</f>
        <v/>
      </c>
      <c r="AD273" s="270">
        <f>Database!I262</f>
        <v/>
      </c>
      <c r="AE273" s="270">
        <f>Database!BG262</f>
        <v/>
      </c>
      <c r="AF273" s="270">
        <f>Database!BM262</f>
        <v/>
      </c>
      <c r="AG273" s="270">
        <f>Database!H262</f>
        <v/>
      </c>
      <c r="AH273" s="270">
        <f>Database!BH262</f>
        <v/>
      </c>
    </row>
    <row r="274">
      <c r="A274" s="270">
        <f>Database!B274</f>
        <v/>
      </c>
      <c r="B274" s="270">
        <f>IF(AND(Screener!$D$8&lt;&gt;"",Database!$E274=Screener!$D$8),1,0)</f>
        <v/>
      </c>
      <c r="C274" s="270">
        <f>IF(AND(Screener!$D$7&lt;&gt;"",Database!$D274=Screener!$D$7),1,0)</f>
        <v/>
      </c>
      <c r="D274" s="270">
        <f>IF(OR(N(Database!$I274)&lt;=0,N(Screener!$D$9)&lt;=0),0,MAX(0,1-ABS(LOG10(N(Database!$I274)/Screener!$D$9))/W_SIZEHW))</f>
        <v/>
      </c>
      <c r="E274" s="270">
        <f>IF(OR(Database!$BG274="",Screener!$D$10=""),0,IF(Database!$BG274=Screener!$D$10,1,0))</f>
        <v/>
      </c>
      <c r="F274" s="270">
        <f>IF(OR(Database!$BM274="",Screener!$D$11=""),0,IF(Database!$BM274=Screener!$D$11,1,0))</f>
        <v/>
      </c>
      <c r="G274" s="270">
        <f>IF(OR(Database!$H274="",N(Screener!$D$12)&lt;=0),0,MAX(0,1-(N(Screener!$D$12)-Database!$H274)/W_RECD))</f>
        <v/>
      </c>
      <c r="H274" s="270">
        <f>IF($U$1="",0,N(ISNUMBER(SEARCH($U$1,Database!$AC274&amp;""))))+IF($V$1="",0,N(ISNUMBER(SEARCH($V$1,Database!$AC274&amp;""))))+IF($W$1="",0,N(ISNUMBER(SEARCH($W$1,Database!$AC274&amp;""))))+IF($X$1="",0,N(ISNUMBER(SEARCH($X$1,Database!$AC274&amp;""))))+IF($Y$1="",0,N(ISNUMBER(SEARCH($Y$1,Database!$AC274&amp;""))))+IF(Screener!$B$17="",0,N(ISNUMBER(SEARCH(LOWER(Screener!$B$17),Database!$AC274&amp;""))))</f>
        <v/>
      </c>
      <c r="I274" s="270">
        <f>IF(OR(N(Database!$BH274)&lt;=0,N(Screener!$D$13)&lt;=0),0,MAX(0,1-ABS(LOG10(N(Database!$BH274)/Screener!$D$13))/W_PEHW))</f>
        <v/>
      </c>
      <c r="J274" s="270">
        <f>IF(OR(N(Database!$S274)&lt;=0,N(Screener!$D$14)&lt;=0),0,MAX(0,1-ABS(LOG10(Database!$S274/Screener!$D$14))/0.6))</f>
        <v/>
      </c>
      <c r="K274" s="270">
        <f>IF(Database!$B274=Screener!$B$5,-999999,IF(ISNUMBER(SEARCH(","&amp;Database!$A274&amp;",",","&amp;SUBSTITUTE(Screener!$D$17," ","")&amp;",")),2000000,IF(IF(OR(Screener!$B$18="All",AND(Screener!$B$18="With A-share",(Database!$BM274="Y")),AND(Screener!$B$18="Without A-share",NOT((Database!$BM274="Y")))),1,0)=0,-999999,IF(Screener!$B$16="cornerstone overlap first",H274*100000,IF(Screener!$B$16="demand-similar first",J274*100000,0))+W_SUB*B274+W_SEC*C274*(1-B274)+W_SIZE*D274+W_PROF*E274+W_AH*F274+W_REC*G274+W_CS*H274+W_PE*I274)))+ROW()/1000000</f>
        <v/>
      </c>
      <c r="AA274" s="270">
        <f>Database!B263</f>
        <v/>
      </c>
      <c r="AB274" s="270">
        <f>Database!D263</f>
        <v/>
      </c>
      <c r="AC274" s="270">
        <f>Database!E263</f>
        <v/>
      </c>
      <c r="AD274" s="270">
        <f>Database!I263</f>
        <v/>
      </c>
      <c r="AE274" s="270">
        <f>Database!BG263</f>
        <v/>
      </c>
      <c r="AF274" s="270">
        <f>Database!BM263</f>
        <v/>
      </c>
      <c r="AG274" s="270">
        <f>Database!H263</f>
        <v/>
      </c>
      <c r="AH274" s="270">
        <f>Database!BH263</f>
        <v/>
      </c>
    </row>
    <row r="275">
      <c r="A275" s="270">
        <f>Database!B275</f>
        <v/>
      </c>
      <c r="B275" s="270">
        <f>IF(AND(Screener!$D$8&lt;&gt;"",Database!$E275=Screener!$D$8),1,0)</f>
        <v/>
      </c>
      <c r="C275" s="270">
        <f>IF(AND(Screener!$D$7&lt;&gt;"",Database!$D275=Screener!$D$7),1,0)</f>
        <v/>
      </c>
      <c r="D275" s="270">
        <f>IF(OR(N(Database!$I275)&lt;=0,N(Screener!$D$9)&lt;=0),0,MAX(0,1-ABS(LOG10(N(Database!$I275)/Screener!$D$9))/W_SIZEHW))</f>
        <v/>
      </c>
      <c r="E275" s="270">
        <f>IF(OR(Database!$BG275="",Screener!$D$10=""),0,IF(Database!$BG275=Screener!$D$10,1,0))</f>
        <v/>
      </c>
      <c r="F275" s="270">
        <f>IF(OR(Database!$BM275="",Screener!$D$11=""),0,IF(Database!$BM275=Screener!$D$11,1,0))</f>
        <v/>
      </c>
      <c r="G275" s="270">
        <f>IF(OR(Database!$H275="",N(Screener!$D$12)&lt;=0),0,MAX(0,1-(N(Screener!$D$12)-Database!$H275)/W_RECD))</f>
        <v/>
      </c>
      <c r="H275" s="270">
        <f>IF($U$1="",0,N(ISNUMBER(SEARCH($U$1,Database!$AC275&amp;""))))+IF($V$1="",0,N(ISNUMBER(SEARCH($V$1,Database!$AC275&amp;""))))+IF($W$1="",0,N(ISNUMBER(SEARCH($W$1,Database!$AC275&amp;""))))+IF($X$1="",0,N(ISNUMBER(SEARCH($X$1,Database!$AC275&amp;""))))+IF($Y$1="",0,N(ISNUMBER(SEARCH($Y$1,Database!$AC275&amp;""))))+IF(Screener!$B$17="",0,N(ISNUMBER(SEARCH(LOWER(Screener!$B$17),Database!$AC275&amp;""))))</f>
        <v/>
      </c>
      <c r="I275" s="270">
        <f>IF(OR(N(Database!$BH275)&lt;=0,N(Screener!$D$13)&lt;=0),0,MAX(0,1-ABS(LOG10(N(Database!$BH275)/Screener!$D$13))/W_PEHW))</f>
        <v/>
      </c>
      <c r="J275" s="270">
        <f>IF(OR(N(Database!$S275)&lt;=0,N(Screener!$D$14)&lt;=0),0,MAX(0,1-ABS(LOG10(Database!$S275/Screener!$D$14))/0.6))</f>
        <v/>
      </c>
      <c r="K275" s="270">
        <f>IF(Database!$B275=Screener!$B$5,-999999,IF(ISNUMBER(SEARCH(","&amp;Database!$A275&amp;",",","&amp;SUBSTITUTE(Screener!$D$17," ","")&amp;",")),2000000,IF(IF(OR(Screener!$B$18="All",AND(Screener!$B$18="With A-share",(Database!$BM275="Y")),AND(Screener!$B$18="Without A-share",NOT((Database!$BM275="Y")))),1,0)=0,-999999,IF(Screener!$B$16="cornerstone overlap first",H275*100000,IF(Screener!$B$16="demand-similar first",J275*100000,0))+W_SUB*B275+W_SEC*C275*(1-B275)+W_SIZE*D275+W_PROF*E275+W_AH*F275+W_REC*G275+W_CS*H275+W_PE*I275)))+ROW()/1000000</f>
        <v/>
      </c>
      <c r="AA275" s="270">
        <f>Database!B264</f>
        <v/>
      </c>
      <c r="AB275" s="270">
        <f>Database!D264</f>
        <v/>
      </c>
      <c r="AC275" s="270">
        <f>Database!E264</f>
        <v/>
      </c>
      <c r="AD275" s="270">
        <f>Database!I264</f>
        <v/>
      </c>
      <c r="AE275" s="270">
        <f>Database!BG264</f>
        <v/>
      </c>
      <c r="AF275" s="270">
        <f>Database!BM264</f>
        <v/>
      </c>
      <c r="AG275" s="270">
        <f>Database!H264</f>
        <v/>
      </c>
      <c r="AH275" s="270">
        <f>Database!BH264</f>
        <v/>
      </c>
    </row>
    <row r="276">
      <c r="A276" s="270">
        <f>Database!B276</f>
        <v/>
      </c>
      <c r="B276" s="270">
        <f>IF(AND(Screener!$D$8&lt;&gt;"",Database!$E276=Screener!$D$8),1,0)</f>
        <v/>
      </c>
      <c r="C276" s="270">
        <f>IF(AND(Screener!$D$7&lt;&gt;"",Database!$D276=Screener!$D$7),1,0)</f>
        <v/>
      </c>
      <c r="D276" s="270">
        <f>IF(OR(N(Database!$I276)&lt;=0,N(Screener!$D$9)&lt;=0),0,MAX(0,1-ABS(LOG10(N(Database!$I276)/Screener!$D$9))/W_SIZEHW))</f>
        <v/>
      </c>
      <c r="E276" s="270">
        <f>IF(OR(Database!$BG276="",Screener!$D$10=""),0,IF(Database!$BG276=Screener!$D$10,1,0))</f>
        <v/>
      </c>
      <c r="F276" s="270">
        <f>IF(OR(Database!$BM276="",Screener!$D$11=""),0,IF(Database!$BM276=Screener!$D$11,1,0))</f>
        <v/>
      </c>
      <c r="G276" s="270">
        <f>IF(OR(Database!$H276="",N(Screener!$D$12)&lt;=0),0,MAX(0,1-(N(Screener!$D$12)-Database!$H276)/W_RECD))</f>
        <v/>
      </c>
      <c r="H276" s="270">
        <f>IF($U$1="",0,N(ISNUMBER(SEARCH($U$1,Database!$AC276&amp;""))))+IF($V$1="",0,N(ISNUMBER(SEARCH($V$1,Database!$AC276&amp;""))))+IF($W$1="",0,N(ISNUMBER(SEARCH($W$1,Database!$AC276&amp;""))))+IF($X$1="",0,N(ISNUMBER(SEARCH($X$1,Database!$AC276&amp;""))))+IF($Y$1="",0,N(ISNUMBER(SEARCH($Y$1,Database!$AC276&amp;""))))+IF(Screener!$B$17="",0,N(ISNUMBER(SEARCH(LOWER(Screener!$B$17),Database!$AC276&amp;""))))</f>
        <v/>
      </c>
      <c r="I276" s="270">
        <f>IF(OR(N(Database!$BH276)&lt;=0,N(Screener!$D$13)&lt;=0),0,MAX(0,1-ABS(LOG10(N(Database!$BH276)/Screener!$D$13))/W_PEHW))</f>
        <v/>
      </c>
      <c r="J276" s="270">
        <f>IF(OR(N(Database!$S276)&lt;=0,N(Screener!$D$14)&lt;=0),0,MAX(0,1-ABS(LOG10(Database!$S276/Screener!$D$14))/0.6))</f>
        <v/>
      </c>
      <c r="K276" s="270">
        <f>IF(Database!$B276=Screener!$B$5,-999999,IF(ISNUMBER(SEARCH(","&amp;Database!$A276&amp;",",","&amp;SUBSTITUTE(Screener!$D$17," ","")&amp;",")),2000000,IF(IF(OR(Screener!$B$18="All",AND(Screener!$B$18="With A-share",(Database!$BM276="Y")),AND(Screener!$B$18="Without A-share",NOT((Database!$BM276="Y")))),1,0)=0,-999999,IF(Screener!$B$16="cornerstone overlap first",H276*100000,IF(Screener!$B$16="demand-similar first",J276*100000,0))+W_SUB*B276+W_SEC*C276*(1-B276)+W_SIZE*D276+W_PROF*E276+W_AH*F276+W_REC*G276+W_CS*H276+W_PE*I276)))+ROW()/1000000</f>
        <v/>
      </c>
      <c r="AA276" s="270">
        <f>Database!B265</f>
        <v/>
      </c>
      <c r="AB276" s="270">
        <f>Database!D265</f>
        <v/>
      </c>
      <c r="AC276" s="270">
        <f>Database!E265</f>
        <v/>
      </c>
      <c r="AD276" s="270">
        <f>Database!I265</f>
        <v/>
      </c>
      <c r="AE276" s="270">
        <f>Database!BG265</f>
        <v/>
      </c>
      <c r="AF276" s="270">
        <f>Database!BM265</f>
        <v/>
      </c>
      <c r="AG276" s="270">
        <f>Database!H265</f>
        <v/>
      </c>
      <c r="AH276" s="270">
        <f>Database!BH265</f>
        <v/>
      </c>
    </row>
    <row r="277">
      <c r="A277" s="270">
        <f>Database!B277</f>
        <v/>
      </c>
      <c r="B277" s="270">
        <f>IF(AND(Screener!$D$8&lt;&gt;"",Database!$E277=Screener!$D$8),1,0)</f>
        <v/>
      </c>
      <c r="C277" s="270">
        <f>IF(AND(Screener!$D$7&lt;&gt;"",Database!$D277=Screener!$D$7),1,0)</f>
        <v/>
      </c>
      <c r="D277" s="270">
        <f>IF(OR(N(Database!$I277)&lt;=0,N(Screener!$D$9)&lt;=0),0,MAX(0,1-ABS(LOG10(N(Database!$I277)/Screener!$D$9))/W_SIZEHW))</f>
        <v/>
      </c>
      <c r="E277" s="270">
        <f>IF(OR(Database!$BG277="",Screener!$D$10=""),0,IF(Database!$BG277=Screener!$D$10,1,0))</f>
        <v/>
      </c>
      <c r="F277" s="270">
        <f>IF(OR(Database!$BM277="",Screener!$D$11=""),0,IF(Database!$BM277=Screener!$D$11,1,0))</f>
        <v/>
      </c>
      <c r="G277" s="270">
        <f>IF(OR(Database!$H277="",N(Screener!$D$12)&lt;=0),0,MAX(0,1-(N(Screener!$D$12)-Database!$H277)/W_RECD))</f>
        <v/>
      </c>
      <c r="H277" s="270">
        <f>IF($U$1="",0,N(ISNUMBER(SEARCH($U$1,Database!$AC277&amp;""))))+IF($V$1="",0,N(ISNUMBER(SEARCH($V$1,Database!$AC277&amp;""))))+IF($W$1="",0,N(ISNUMBER(SEARCH($W$1,Database!$AC277&amp;""))))+IF($X$1="",0,N(ISNUMBER(SEARCH($X$1,Database!$AC277&amp;""))))+IF($Y$1="",0,N(ISNUMBER(SEARCH($Y$1,Database!$AC277&amp;""))))+IF(Screener!$B$17="",0,N(ISNUMBER(SEARCH(LOWER(Screener!$B$17),Database!$AC277&amp;""))))</f>
        <v/>
      </c>
      <c r="I277" s="270">
        <f>IF(OR(N(Database!$BH277)&lt;=0,N(Screener!$D$13)&lt;=0),0,MAX(0,1-ABS(LOG10(N(Database!$BH277)/Screener!$D$13))/W_PEHW))</f>
        <v/>
      </c>
      <c r="J277" s="270">
        <f>IF(OR(N(Database!$S277)&lt;=0,N(Screener!$D$14)&lt;=0),0,MAX(0,1-ABS(LOG10(Database!$S277/Screener!$D$14))/0.6))</f>
        <v/>
      </c>
      <c r="K277" s="270">
        <f>IF(Database!$B277=Screener!$B$5,-999999,IF(ISNUMBER(SEARCH(","&amp;Database!$A277&amp;",",","&amp;SUBSTITUTE(Screener!$D$17," ","")&amp;",")),2000000,IF(IF(OR(Screener!$B$18="All",AND(Screener!$B$18="With A-share",(Database!$BM277="Y")),AND(Screener!$B$18="Without A-share",NOT((Database!$BM277="Y")))),1,0)=0,-999999,IF(Screener!$B$16="cornerstone overlap first",H277*100000,IF(Screener!$B$16="demand-similar first",J277*100000,0))+W_SUB*B277+W_SEC*C277*(1-B277)+W_SIZE*D277+W_PROF*E277+W_AH*F277+W_REC*G277+W_CS*H277+W_PE*I277)))+ROW()/1000000</f>
        <v/>
      </c>
      <c r="AA277" s="270">
        <f>Database!B266</f>
        <v/>
      </c>
      <c r="AB277" s="270">
        <f>Database!D266</f>
        <v/>
      </c>
      <c r="AC277" s="270">
        <f>Database!E266</f>
        <v/>
      </c>
      <c r="AD277" s="270">
        <f>Database!I266</f>
        <v/>
      </c>
      <c r="AE277" s="270">
        <f>Database!BG266</f>
        <v/>
      </c>
      <c r="AF277" s="270">
        <f>Database!BM266</f>
        <v/>
      </c>
      <c r="AG277" s="270">
        <f>Database!H266</f>
        <v/>
      </c>
      <c r="AH277" s="270">
        <f>Database!BH266</f>
        <v/>
      </c>
    </row>
    <row r="278">
      <c r="A278" s="270">
        <f>Database!B278</f>
        <v/>
      </c>
      <c r="B278" s="270">
        <f>IF(AND(Screener!$D$8&lt;&gt;"",Database!$E278=Screener!$D$8),1,0)</f>
        <v/>
      </c>
      <c r="C278" s="270">
        <f>IF(AND(Screener!$D$7&lt;&gt;"",Database!$D278=Screener!$D$7),1,0)</f>
        <v/>
      </c>
      <c r="D278" s="270">
        <f>IF(OR(N(Database!$I278)&lt;=0,N(Screener!$D$9)&lt;=0),0,MAX(0,1-ABS(LOG10(N(Database!$I278)/Screener!$D$9))/W_SIZEHW))</f>
        <v/>
      </c>
      <c r="E278" s="270">
        <f>IF(OR(Database!$BG278="",Screener!$D$10=""),0,IF(Database!$BG278=Screener!$D$10,1,0))</f>
        <v/>
      </c>
      <c r="F278" s="270">
        <f>IF(OR(Database!$BM278="",Screener!$D$11=""),0,IF(Database!$BM278=Screener!$D$11,1,0))</f>
        <v/>
      </c>
      <c r="G278" s="270">
        <f>IF(OR(Database!$H278="",N(Screener!$D$12)&lt;=0),0,MAX(0,1-(N(Screener!$D$12)-Database!$H278)/W_RECD))</f>
        <v/>
      </c>
      <c r="H278" s="270">
        <f>IF($U$1="",0,N(ISNUMBER(SEARCH($U$1,Database!$AC278&amp;""))))+IF($V$1="",0,N(ISNUMBER(SEARCH($V$1,Database!$AC278&amp;""))))+IF($W$1="",0,N(ISNUMBER(SEARCH($W$1,Database!$AC278&amp;""))))+IF($X$1="",0,N(ISNUMBER(SEARCH($X$1,Database!$AC278&amp;""))))+IF($Y$1="",0,N(ISNUMBER(SEARCH($Y$1,Database!$AC278&amp;""))))+IF(Screener!$B$17="",0,N(ISNUMBER(SEARCH(LOWER(Screener!$B$17),Database!$AC278&amp;""))))</f>
        <v/>
      </c>
      <c r="I278" s="270">
        <f>IF(OR(N(Database!$BH278)&lt;=0,N(Screener!$D$13)&lt;=0),0,MAX(0,1-ABS(LOG10(N(Database!$BH278)/Screener!$D$13))/W_PEHW))</f>
        <v/>
      </c>
      <c r="J278" s="270">
        <f>IF(OR(N(Database!$S278)&lt;=0,N(Screener!$D$14)&lt;=0),0,MAX(0,1-ABS(LOG10(Database!$S278/Screener!$D$14))/0.6))</f>
        <v/>
      </c>
      <c r="K278" s="270">
        <f>IF(Database!$B278=Screener!$B$5,-999999,IF(ISNUMBER(SEARCH(","&amp;Database!$A278&amp;",",","&amp;SUBSTITUTE(Screener!$D$17," ","")&amp;",")),2000000,IF(IF(OR(Screener!$B$18="All",AND(Screener!$B$18="With A-share",(Database!$BM278="Y")),AND(Screener!$B$18="Without A-share",NOT((Database!$BM278="Y")))),1,0)=0,-999999,IF(Screener!$B$16="cornerstone overlap first",H278*100000,IF(Screener!$B$16="demand-similar first",J278*100000,0))+W_SUB*B278+W_SEC*C278*(1-B278)+W_SIZE*D278+W_PROF*E278+W_AH*F278+W_REC*G278+W_CS*H278+W_PE*I278)))+ROW()/1000000</f>
        <v/>
      </c>
      <c r="AA278" s="270">
        <f>Database!B267</f>
        <v/>
      </c>
      <c r="AB278" s="270">
        <f>Database!D267</f>
        <v/>
      </c>
      <c r="AC278" s="270">
        <f>Database!E267</f>
        <v/>
      </c>
      <c r="AD278" s="270">
        <f>Database!I267</f>
        <v/>
      </c>
      <c r="AE278" s="270">
        <f>Database!BG267</f>
        <v/>
      </c>
      <c r="AF278" s="270">
        <f>Database!BM267</f>
        <v/>
      </c>
      <c r="AG278" s="270">
        <f>Database!H267</f>
        <v/>
      </c>
      <c r="AH278" s="270">
        <f>Database!BH267</f>
        <v/>
      </c>
    </row>
    <row r="279">
      <c r="A279" s="270">
        <f>Database!B279</f>
        <v/>
      </c>
      <c r="B279" s="270">
        <f>IF(AND(Screener!$D$8&lt;&gt;"",Database!$E279=Screener!$D$8),1,0)</f>
        <v/>
      </c>
      <c r="C279" s="270">
        <f>IF(AND(Screener!$D$7&lt;&gt;"",Database!$D279=Screener!$D$7),1,0)</f>
        <v/>
      </c>
      <c r="D279" s="270">
        <f>IF(OR(N(Database!$I279)&lt;=0,N(Screener!$D$9)&lt;=0),0,MAX(0,1-ABS(LOG10(N(Database!$I279)/Screener!$D$9))/W_SIZEHW))</f>
        <v/>
      </c>
      <c r="E279" s="270">
        <f>IF(OR(Database!$BG279="",Screener!$D$10=""),0,IF(Database!$BG279=Screener!$D$10,1,0))</f>
        <v/>
      </c>
      <c r="F279" s="270">
        <f>IF(OR(Database!$BM279="",Screener!$D$11=""),0,IF(Database!$BM279=Screener!$D$11,1,0))</f>
        <v/>
      </c>
      <c r="G279" s="270">
        <f>IF(OR(Database!$H279="",N(Screener!$D$12)&lt;=0),0,MAX(0,1-(N(Screener!$D$12)-Database!$H279)/W_RECD))</f>
        <v/>
      </c>
      <c r="H279" s="270">
        <f>IF($U$1="",0,N(ISNUMBER(SEARCH($U$1,Database!$AC279&amp;""))))+IF($V$1="",0,N(ISNUMBER(SEARCH($V$1,Database!$AC279&amp;""))))+IF($W$1="",0,N(ISNUMBER(SEARCH($W$1,Database!$AC279&amp;""))))+IF($X$1="",0,N(ISNUMBER(SEARCH($X$1,Database!$AC279&amp;""))))+IF($Y$1="",0,N(ISNUMBER(SEARCH($Y$1,Database!$AC279&amp;""))))+IF(Screener!$B$17="",0,N(ISNUMBER(SEARCH(LOWER(Screener!$B$17),Database!$AC279&amp;""))))</f>
        <v/>
      </c>
      <c r="I279" s="270">
        <f>IF(OR(N(Database!$BH279)&lt;=0,N(Screener!$D$13)&lt;=0),0,MAX(0,1-ABS(LOG10(N(Database!$BH279)/Screener!$D$13))/W_PEHW))</f>
        <v/>
      </c>
      <c r="J279" s="270">
        <f>IF(OR(N(Database!$S279)&lt;=0,N(Screener!$D$14)&lt;=0),0,MAX(0,1-ABS(LOG10(Database!$S279/Screener!$D$14))/0.6))</f>
        <v/>
      </c>
      <c r="K279" s="270">
        <f>IF(Database!$B279=Screener!$B$5,-999999,IF(ISNUMBER(SEARCH(","&amp;Database!$A279&amp;",",","&amp;SUBSTITUTE(Screener!$D$17," ","")&amp;",")),2000000,IF(IF(OR(Screener!$B$18="All",AND(Screener!$B$18="With A-share",(Database!$BM279="Y")),AND(Screener!$B$18="Without A-share",NOT((Database!$BM279="Y")))),1,0)=0,-999999,IF(Screener!$B$16="cornerstone overlap first",H279*100000,IF(Screener!$B$16="demand-similar first",J279*100000,0))+W_SUB*B279+W_SEC*C279*(1-B279)+W_SIZE*D279+W_PROF*E279+W_AH*F279+W_REC*G279+W_CS*H279+W_PE*I279)))+ROW()/1000000</f>
        <v/>
      </c>
      <c r="AA279" s="270">
        <f>Database!B268</f>
        <v/>
      </c>
      <c r="AB279" s="270">
        <f>Database!D268</f>
        <v/>
      </c>
      <c r="AC279" s="270">
        <f>Database!E268</f>
        <v/>
      </c>
      <c r="AD279" s="270">
        <f>Database!I268</f>
        <v/>
      </c>
      <c r="AE279" s="270">
        <f>Database!BG268</f>
        <v/>
      </c>
      <c r="AF279" s="270">
        <f>Database!BM268</f>
        <v/>
      </c>
      <c r="AG279" s="270">
        <f>Database!H268</f>
        <v/>
      </c>
      <c r="AH279" s="270">
        <f>Database!BH268</f>
        <v/>
      </c>
    </row>
    <row r="280">
      <c r="A280" s="270">
        <f>Database!B280</f>
        <v/>
      </c>
      <c r="B280" s="270">
        <f>IF(AND(Screener!$D$8&lt;&gt;"",Database!$E280=Screener!$D$8),1,0)</f>
        <v/>
      </c>
      <c r="C280" s="270">
        <f>IF(AND(Screener!$D$7&lt;&gt;"",Database!$D280=Screener!$D$7),1,0)</f>
        <v/>
      </c>
      <c r="D280" s="270">
        <f>IF(OR(N(Database!$I280)&lt;=0,N(Screener!$D$9)&lt;=0),0,MAX(0,1-ABS(LOG10(N(Database!$I280)/Screener!$D$9))/W_SIZEHW))</f>
        <v/>
      </c>
      <c r="E280" s="270">
        <f>IF(OR(Database!$BG280="",Screener!$D$10=""),0,IF(Database!$BG280=Screener!$D$10,1,0))</f>
        <v/>
      </c>
      <c r="F280" s="270">
        <f>IF(OR(Database!$BM280="",Screener!$D$11=""),0,IF(Database!$BM280=Screener!$D$11,1,0))</f>
        <v/>
      </c>
      <c r="G280" s="270">
        <f>IF(OR(Database!$H280="",N(Screener!$D$12)&lt;=0),0,MAX(0,1-(N(Screener!$D$12)-Database!$H280)/W_RECD))</f>
        <v/>
      </c>
      <c r="H280" s="270">
        <f>IF($U$1="",0,N(ISNUMBER(SEARCH($U$1,Database!$AC280&amp;""))))+IF($V$1="",0,N(ISNUMBER(SEARCH($V$1,Database!$AC280&amp;""))))+IF($W$1="",0,N(ISNUMBER(SEARCH($W$1,Database!$AC280&amp;""))))+IF($X$1="",0,N(ISNUMBER(SEARCH($X$1,Database!$AC280&amp;""))))+IF($Y$1="",0,N(ISNUMBER(SEARCH($Y$1,Database!$AC280&amp;""))))+IF(Screener!$B$17="",0,N(ISNUMBER(SEARCH(LOWER(Screener!$B$17),Database!$AC280&amp;""))))</f>
        <v/>
      </c>
      <c r="I280" s="270">
        <f>IF(OR(N(Database!$BH280)&lt;=0,N(Screener!$D$13)&lt;=0),0,MAX(0,1-ABS(LOG10(N(Database!$BH280)/Screener!$D$13))/W_PEHW))</f>
        <v/>
      </c>
      <c r="J280" s="270">
        <f>IF(OR(N(Database!$S280)&lt;=0,N(Screener!$D$14)&lt;=0),0,MAX(0,1-ABS(LOG10(Database!$S280/Screener!$D$14))/0.6))</f>
        <v/>
      </c>
      <c r="K280" s="270">
        <f>IF(Database!$B280=Screener!$B$5,-999999,IF(ISNUMBER(SEARCH(","&amp;Database!$A280&amp;",",","&amp;SUBSTITUTE(Screener!$D$17," ","")&amp;",")),2000000,IF(IF(OR(Screener!$B$18="All",AND(Screener!$B$18="With A-share",(Database!$BM280="Y")),AND(Screener!$B$18="Without A-share",NOT((Database!$BM280="Y")))),1,0)=0,-999999,IF(Screener!$B$16="cornerstone overlap first",H280*100000,IF(Screener!$B$16="demand-similar first",J280*100000,0))+W_SUB*B280+W_SEC*C280*(1-B280)+W_SIZE*D280+W_PROF*E280+W_AH*F280+W_REC*G280+W_CS*H280+W_PE*I280)))+ROW()/1000000</f>
        <v/>
      </c>
      <c r="AA280" s="270">
        <f>Database!B269</f>
        <v/>
      </c>
      <c r="AB280" s="270">
        <f>Database!D269</f>
        <v/>
      </c>
      <c r="AC280" s="270">
        <f>Database!E269</f>
        <v/>
      </c>
      <c r="AD280" s="270">
        <f>Database!I269</f>
        <v/>
      </c>
      <c r="AE280" s="270">
        <f>Database!BG269</f>
        <v/>
      </c>
      <c r="AF280" s="270">
        <f>Database!BM269</f>
        <v/>
      </c>
      <c r="AG280" s="270">
        <f>Database!H269</f>
        <v/>
      </c>
      <c r="AH280" s="270">
        <f>Database!BH269</f>
        <v/>
      </c>
    </row>
    <row r="281">
      <c r="A281" s="270">
        <f>Database!B281</f>
        <v/>
      </c>
      <c r="B281" s="270">
        <f>IF(AND(Screener!$D$8&lt;&gt;"",Database!$E281=Screener!$D$8),1,0)</f>
        <v/>
      </c>
      <c r="C281" s="270">
        <f>IF(AND(Screener!$D$7&lt;&gt;"",Database!$D281=Screener!$D$7),1,0)</f>
        <v/>
      </c>
      <c r="D281" s="270">
        <f>IF(OR(N(Database!$I281)&lt;=0,N(Screener!$D$9)&lt;=0),0,MAX(0,1-ABS(LOG10(N(Database!$I281)/Screener!$D$9))/W_SIZEHW))</f>
        <v/>
      </c>
      <c r="E281" s="270">
        <f>IF(OR(Database!$BG281="",Screener!$D$10=""),0,IF(Database!$BG281=Screener!$D$10,1,0))</f>
        <v/>
      </c>
      <c r="F281" s="270">
        <f>IF(OR(Database!$BM281="",Screener!$D$11=""),0,IF(Database!$BM281=Screener!$D$11,1,0))</f>
        <v/>
      </c>
      <c r="G281" s="270">
        <f>IF(OR(Database!$H281="",N(Screener!$D$12)&lt;=0),0,MAX(0,1-(N(Screener!$D$12)-Database!$H281)/W_RECD))</f>
        <v/>
      </c>
      <c r="H281" s="270">
        <f>IF($U$1="",0,N(ISNUMBER(SEARCH($U$1,Database!$AC281&amp;""))))+IF($V$1="",0,N(ISNUMBER(SEARCH($V$1,Database!$AC281&amp;""))))+IF($W$1="",0,N(ISNUMBER(SEARCH($W$1,Database!$AC281&amp;""))))+IF($X$1="",0,N(ISNUMBER(SEARCH($X$1,Database!$AC281&amp;""))))+IF($Y$1="",0,N(ISNUMBER(SEARCH($Y$1,Database!$AC281&amp;""))))+IF(Screener!$B$17="",0,N(ISNUMBER(SEARCH(LOWER(Screener!$B$17),Database!$AC281&amp;""))))</f>
        <v/>
      </c>
      <c r="I281" s="270">
        <f>IF(OR(N(Database!$BH281)&lt;=0,N(Screener!$D$13)&lt;=0),0,MAX(0,1-ABS(LOG10(N(Database!$BH281)/Screener!$D$13))/W_PEHW))</f>
        <v/>
      </c>
      <c r="J281" s="270">
        <f>IF(OR(N(Database!$S281)&lt;=0,N(Screener!$D$14)&lt;=0),0,MAX(0,1-ABS(LOG10(Database!$S281/Screener!$D$14))/0.6))</f>
        <v/>
      </c>
      <c r="K281" s="270">
        <f>IF(Database!$B281=Screener!$B$5,-999999,IF(ISNUMBER(SEARCH(","&amp;Database!$A281&amp;",",","&amp;SUBSTITUTE(Screener!$D$17," ","")&amp;",")),2000000,IF(IF(OR(Screener!$B$18="All",AND(Screener!$B$18="With A-share",(Database!$BM281="Y")),AND(Screener!$B$18="Without A-share",NOT((Database!$BM281="Y")))),1,0)=0,-999999,IF(Screener!$B$16="cornerstone overlap first",H281*100000,IF(Screener!$B$16="demand-similar first",J281*100000,0))+W_SUB*B281+W_SEC*C281*(1-B281)+W_SIZE*D281+W_PROF*E281+W_AH*F281+W_REC*G281+W_CS*H281+W_PE*I281)))+ROW()/1000000</f>
        <v/>
      </c>
      <c r="AA281" s="270">
        <f>Database!B270</f>
        <v/>
      </c>
      <c r="AB281" s="270">
        <f>Database!D270</f>
        <v/>
      </c>
      <c r="AC281" s="270">
        <f>Database!E270</f>
        <v/>
      </c>
      <c r="AD281" s="270">
        <f>Database!I270</f>
        <v/>
      </c>
      <c r="AE281" s="270">
        <f>Database!BG270</f>
        <v/>
      </c>
      <c r="AF281" s="270">
        <f>Database!BM270</f>
        <v/>
      </c>
      <c r="AG281" s="270">
        <f>Database!H270</f>
        <v/>
      </c>
      <c r="AH281" s="270">
        <f>Database!BH270</f>
        <v/>
      </c>
    </row>
    <row r="282">
      <c r="A282" s="270">
        <f>Database!B282</f>
        <v/>
      </c>
      <c r="B282" s="270">
        <f>IF(AND(Screener!$D$8&lt;&gt;"",Database!$E282=Screener!$D$8),1,0)</f>
        <v/>
      </c>
      <c r="C282" s="270">
        <f>IF(AND(Screener!$D$7&lt;&gt;"",Database!$D282=Screener!$D$7),1,0)</f>
        <v/>
      </c>
      <c r="D282" s="270">
        <f>IF(OR(N(Database!$I282)&lt;=0,N(Screener!$D$9)&lt;=0),0,MAX(0,1-ABS(LOG10(N(Database!$I282)/Screener!$D$9))/W_SIZEHW))</f>
        <v/>
      </c>
      <c r="E282" s="270">
        <f>IF(OR(Database!$BG282="",Screener!$D$10=""),0,IF(Database!$BG282=Screener!$D$10,1,0))</f>
        <v/>
      </c>
      <c r="F282" s="270">
        <f>IF(OR(Database!$BM282="",Screener!$D$11=""),0,IF(Database!$BM282=Screener!$D$11,1,0))</f>
        <v/>
      </c>
      <c r="G282" s="270">
        <f>IF(OR(Database!$H282="",N(Screener!$D$12)&lt;=0),0,MAX(0,1-(N(Screener!$D$12)-Database!$H282)/W_RECD))</f>
        <v/>
      </c>
      <c r="H282" s="270">
        <f>IF($U$1="",0,N(ISNUMBER(SEARCH($U$1,Database!$AC282&amp;""))))+IF($V$1="",0,N(ISNUMBER(SEARCH($V$1,Database!$AC282&amp;""))))+IF($W$1="",0,N(ISNUMBER(SEARCH($W$1,Database!$AC282&amp;""))))+IF($X$1="",0,N(ISNUMBER(SEARCH($X$1,Database!$AC282&amp;""))))+IF($Y$1="",0,N(ISNUMBER(SEARCH($Y$1,Database!$AC282&amp;""))))+IF(Screener!$B$17="",0,N(ISNUMBER(SEARCH(LOWER(Screener!$B$17),Database!$AC282&amp;""))))</f>
        <v/>
      </c>
      <c r="I282" s="270">
        <f>IF(OR(N(Database!$BH282)&lt;=0,N(Screener!$D$13)&lt;=0),0,MAX(0,1-ABS(LOG10(N(Database!$BH282)/Screener!$D$13))/W_PEHW))</f>
        <v/>
      </c>
      <c r="J282" s="270">
        <f>IF(OR(N(Database!$S282)&lt;=0,N(Screener!$D$14)&lt;=0),0,MAX(0,1-ABS(LOG10(Database!$S282/Screener!$D$14))/0.6))</f>
        <v/>
      </c>
      <c r="K282" s="270">
        <f>IF(Database!$B282=Screener!$B$5,-999999,IF(ISNUMBER(SEARCH(","&amp;Database!$A282&amp;",",","&amp;SUBSTITUTE(Screener!$D$17," ","")&amp;",")),2000000,IF(IF(OR(Screener!$B$18="All",AND(Screener!$B$18="With A-share",(Database!$BM282="Y")),AND(Screener!$B$18="Without A-share",NOT((Database!$BM282="Y")))),1,0)=0,-999999,IF(Screener!$B$16="cornerstone overlap first",H282*100000,IF(Screener!$B$16="demand-similar first",J282*100000,0))+W_SUB*B282+W_SEC*C282*(1-B282)+W_SIZE*D282+W_PROF*E282+W_AH*F282+W_REC*G282+W_CS*H282+W_PE*I282)))+ROW()/1000000</f>
        <v/>
      </c>
      <c r="AA282" s="270">
        <f>Database!B271</f>
        <v/>
      </c>
      <c r="AB282" s="270">
        <f>Database!D271</f>
        <v/>
      </c>
      <c r="AC282" s="270">
        <f>Database!E271</f>
        <v/>
      </c>
      <c r="AD282" s="270">
        <f>Database!I271</f>
        <v/>
      </c>
      <c r="AE282" s="270">
        <f>Database!BG271</f>
        <v/>
      </c>
      <c r="AF282" s="270">
        <f>Database!BM271</f>
        <v/>
      </c>
      <c r="AG282" s="270">
        <f>Database!H271</f>
        <v/>
      </c>
      <c r="AH282" s="270">
        <f>Database!BH271</f>
        <v/>
      </c>
    </row>
    <row r="283">
      <c r="A283" s="270">
        <f>Database!B283</f>
        <v/>
      </c>
      <c r="B283" s="270">
        <f>IF(AND(Screener!$D$8&lt;&gt;"",Database!$E283=Screener!$D$8),1,0)</f>
        <v/>
      </c>
      <c r="C283" s="270">
        <f>IF(AND(Screener!$D$7&lt;&gt;"",Database!$D283=Screener!$D$7),1,0)</f>
        <v/>
      </c>
      <c r="D283" s="270">
        <f>IF(OR(N(Database!$I283)&lt;=0,N(Screener!$D$9)&lt;=0),0,MAX(0,1-ABS(LOG10(N(Database!$I283)/Screener!$D$9))/W_SIZEHW))</f>
        <v/>
      </c>
      <c r="E283" s="270">
        <f>IF(OR(Database!$BG283="",Screener!$D$10=""),0,IF(Database!$BG283=Screener!$D$10,1,0))</f>
        <v/>
      </c>
      <c r="F283" s="270">
        <f>IF(OR(Database!$BM283="",Screener!$D$11=""),0,IF(Database!$BM283=Screener!$D$11,1,0))</f>
        <v/>
      </c>
      <c r="G283" s="270">
        <f>IF(OR(Database!$H283="",N(Screener!$D$12)&lt;=0),0,MAX(0,1-(N(Screener!$D$12)-Database!$H283)/W_RECD))</f>
        <v/>
      </c>
      <c r="H283" s="270">
        <f>IF($U$1="",0,N(ISNUMBER(SEARCH($U$1,Database!$AC283&amp;""))))+IF($V$1="",0,N(ISNUMBER(SEARCH($V$1,Database!$AC283&amp;""))))+IF($W$1="",0,N(ISNUMBER(SEARCH($W$1,Database!$AC283&amp;""))))+IF($X$1="",0,N(ISNUMBER(SEARCH($X$1,Database!$AC283&amp;""))))+IF($Y$1="",0,N(ISNUMBER(SEARCH($Y$1,Database!$AC283&amp;""))))+IF(Screener!$B$17="",0,N(ISNUMBER(SEARCH(LOWER(Screener!$B$17),Database!$AC283&amp;""))))</f>
        <v/>
      </c>
      <c r="I283" s="270">
        <f>IF(OR(N(Database!$BH283)&lt;=0,N(Screener!$D$13)&lt;=0),0,MAX(0,1-ABS(LOG10(N(Database!$BH283)/Screener!$D$13))/W_PEHW))</f>
        <v/>
      </c>
      <c r="J283" s="270">
        <f>IF(OR(N(Database!$S283)&lt;=0,N(Screener!$D$14)&lt;=0),0,MAX(0,1-ABS(LOG10(Database!$S283/Screener!$D$14))/0.6))</f>
        <v/>
      </c>
      <c r="K283" s="270">
        <f>IF(Database!$B283=Screener!$B$5,-999999,IF(ISNUMBER(SEARCH(","&amp;Database!$A283&amp;",",","&amp;SUBSTITUTE(Screener!$D$17," ","")&amp;",")),2000000,IF(IF(OR(Screener!$B$18="All",AND(Screener!$B$18="With A-share",(Database!$BM283="Y")),AND(Screener!$B$18="Without A-share",NOT((Database!$BM283="Y")))),1,0)=0,-999999,IF(Screener!$B$16="cornerstone overlap first",H283*100000,IF(Screener!$B$16="demand-similar first",J283*100000,0))+W_SUB*B283+W_SEC*C283*(1-B283)+W_SIZE*D283+W_PROF*E283+W_AH*F283+W_REC*G283+W_CS*H283+W_PE*I283)))+ROW()/1000000</f>
        <v/>
      </c>
      <c r="AA283" s="270">
        <f>Database!B272</f>
        <v/>
      </c>
      <c r="AB283" s="270">
        <f>Database!D272</f>
        <v/>
      </c>
      <c r="AC283" s="270">
        <f>Database!E272</f>
        <v/>
      </c>
      <c r="AD283" s="270">
        <f>Database!I272</f>
        <v/>
      </c>
      <c r="AE283" s="270">
        <f>Database!BG272</f>
        <v/>
      </c>
      <c r="AF283" s="270">
        <f>Database!BM272</f>
        <v/>
      </c>
      <c r="AG283" s="270">
        <f>Database!H272</f>
        <v/>
      </c>
      <c r="AH283" s="270">
        <f>Database!BH272</f>
        <v/>
      </c>
    </row>
    <row r="284">
      <c r="A284" s="270">
        <f>Database!B284</f>
        <v/>
      </c>
      <c r="B284" s="270">
        <f>IF(AND(Screener!$D$8&lt;&gt;"",Database!$E284=Screener!$D$8),1,0)</f>
        <v/>
      </c>
      <c r="C284" s="270">
        <f>IF(AND(Screener!$D$7&lt;&gt;"",Database!$D284=Screener!$D$7),1,0)</f>
        <v/>
      </c>
      <c r="D284" s="270">
        <f>IF(OR(N(Database!$I284)&lt;=0,N(Screener!$D$9)&lt;=0),0,MAX(0,1-ABS(LOG10(N(Database!$I284)/Screener!$D$9))/W_SIZEHW))</f>
        <v/>
      </c>
      <c r="E284" s="270">
        <f>IF(OR(Database!$BG284="",Screener!$D$10=""),0,IF(Database!$BG284=Screener!$D$10,1,0))</f>
        <v/>
      </c>
      <c r="F284" s="270">
        <f>IF(OR(Database!$BM284="",Screener!$D$11=""),0,IF(Database!$BM284=Screener!$D$11,1,0))</f>
        <v/>
      </c>
      <c r="G284" s="270">
        <f>IF(OR(Database!$H284="",N(Screener!$D$12)&lt;=0),0,MAX(0,1-(N(Screener!$D$12)-Database!$H284)/W_RECD))</f>
        <v/>
      </c>
      <c r="H284" s="270">
        <f>IF($U$1="",0,N(ISNUMBER(SEARCH($U$1,Database!$AC284&amp;""))))+IF($V$1="",0,N(ISNUMBER(SEARCH($V$1,Database!$AC284&amp;""))))+IF($W$1="",0,N(ISNUMBER(SEARCH($W$1,Database!$AC284&amp;""))))+IF($X$1="",0,N(ISNUMBER(SEARCH($X$1,Database!$AC284&amp;""))))+IF($Y$1="",0,N(ISNUMBER(SEARCH($Y$1,Database!$AC284&amp;""))))+IF(Screener!$B$17="",0,N(ISNUMBER(SEARCH(LOWER(Screener!$B$17),Database!$AC284&amp;""))))</f>
        <v/>
      </c>
      <c r="I284" s="270">
        <f>IF(OR(N(Database!$BH284)&lt;=0,N(Screener!$D$13)&lt;=0),0,MAX(0,1-ABS(LOG10(N(Database!$BH284)/Screener!$D$13))/W_PEHW))</f>
        <v/>
      </c>
      <c r="J284" s="270">
        <f>IF(OR(N(Database!$S284)&lt;=0,N(Screener!$D$14)&lt;=0),0,MAX(0,1-ABS(LOG10(Database!$S284/Screener!$D$14))/0.6))</f>
        <v/>
      </c>
      <c r="K284" s="270">
        <f>IF(Database!$B284=Screener!$B$5,-999999,IF(ISNUMBER(SEARCH(","&amp;Database!$A284&amp;",",","&amp;SUBSTITUTE(Screener!$D$17," ","")&amp;",")),2000000,IF(IF(OR(Screener!$B$18="All",AND(Screener!$B$18="With A-share",(Database!$BM284="Y")),AND(Screener!$B$18="Without A-share",NOT((Database!$BM284="Y")))),1,0)=0,-999999,IF(Screener!$B$16="cornerstone overlap first",H284*100000,IF(Screener!$B$16="demand-similar first",J284*100000,0))+W_SUB*B284+W_SEC*C284*(1-B284)+W_SIZE*D284+W_PROF*E284+W_AH*F284+W_REC*G284+W_CS*H284+W_PE*I284)))+ROW()/1000000</f>
        <v/>
      </c>
      <c r="AA284" s="270">
        <f>Database!B273</f>
        <v/>
      </c>
      <c r="AB284" s="270">
        <f>Database!D273</f>
        <v/>
      </c>
      <c r="AC284" s="270">
        <f>Database!E273</f>
        <v/>
      </c>
      <c r="AD284" s="270">
        <f>Database!I273</f>
        <v/>
      </c>
      <c r="AE284" s="270">
        <f>Database!BG273</f>
        <v/>
      </c>
      <c r="AF284" s="270">
        <f>Database!BM273</f>
        <v/>
      </c>
      <c r="AG284" s="270">
        <f>Database!H273</f>
        <v/>
      </c>
      <c r="AH284" s="270">
        <f>Database!BH273</f>
        <v/>
      </c>
    </row>
    <row r="285">
      <c r="A285" s="270">
        <f>Database!B285</f>
        <v/>
      </c>
      <c r="B285" s="270">
        <f>IF(AND(Screener!$D$8&lt;&gt;"",Database!$E285=Screener!$D$8),1,0)</f>
        <v/>
      </c>
      <c r="C285" s="270">
        <f>IF(AND(Screener!$D$7&lt;&gt;"",Database!$D285=Screener!$D$7),1,0)</f>
        <v/>
      </c>
      <c r="D285" s="270">
        <f>IF(OR(N(Database!$I285)&lt;=0,N(Screener!$D$9)&lt;=0),0,MAX(0,1-ABS(LOG10(N(Database!$I285)/Screener!$D$9))/W_SIZEHW))</f>
        <v/>
      </c>
      <c r="E285" s="270">
        <f>IF(OR(Database!$BG285="",Screener!$D$10=""),0,IF(Database!$BG285=Screener!$D$10,1,0))</f>
        <v/>
      </c>
      <c r="F285" s="270">
        <f>IF(OR(Database!$BM285="",Screener!$D$11=""),0,IF(Database!$BM285=Screener!$D$11,1,0))</f>
        <v/>
      </c>
      <c r="G285" s="270">
        <f>IF(OR(Database!$H285="",N(Screener!$D$12)&lt;=0),0,MAX(0,1-(N(Screener!$D$12)-Database!$H285)/W_RECD))</f>
        <v/>
      </c>
      <c r="H285" s="270">
        <f>IF($U$1="",0,N(ISNUMBER(SEARCH($U$1,Database!$AC285&amp;""))))+IF($V$1="",0,N(ISNUMBER(SEARCH($V$1,Database!$AC285&amp;""))))+IF($W$1="",0,N(ISNUMBER(SEARCH($W$1,Database!$AC285&amp;""))))+IF($X$1="",0,N(ISNUMBER(SEARCH($X$1,Database!$AC285&amp;""))))+IF($Y$1="",0,N(ISNUMBER(SEARCH($Y$1,Database!$AC285&amp;""))))+IF(Screener!$B$17="",0,N(ISNUMBER(SEARCH(LOWER(Screener!$B$17),Database!$AC285&amp;""))))</f>
        <v/>
      </c>
      <c r="I285" s="270">
        <f>IF(OR(N(Database!$BH285)&lt;=0,N(Screener!$D$13)&lt;=0),0,MAX(0,1-ABS(LOG10(N(Database!$BH285)/Screener!$D$13))/W_PEHW))</f>
        <v/>
      </c>
      <c r="J285" s="270">
        <f>IF(OR(N(Database!$S285)&lt;=0,N(Screener!$D$14)&lt;=0),0,MAX(0,1-ABS(LOG10(Database!$S285/Screener!$D$14))/0.6))</f>
        <v/>
      </c>
      <c r="K285" s="270">
        <f>IF(Database!$B285=Screener!$B$5,-999999,IF(ISNUMBER(SEARCH(","&amp;Database!$A285&amp;",",","&amp;SUBSTITUTE(Screener!$D$17," ","")&amp;",")),2000000,IF(IF(OR(Screener!$B$18="All",AND(Screener!$B$18="With A-share",(Database!$BM285="Y")),AND(Screener!$B$18="Without A-share",NOT((Database!$BM285="Y")))),1,0)=0,-999999,IF(Screener!$B$16="cornerstone overlap first",H285*100000,IF(Screener!$B$16="demand-similar first",J285*100000,0))+W_SUB*B285+W_SEC*C285*(1-B285)+W_SIZE*D285+W_PROF*E285+W_AH*F285+W_REC*G285+W_CS*H285+W_PE*I285)))+ROW()/1000000</f>
        <v/>
      </c>
      <c r="AA285" s="270">
        <f>Database!B274</f>
        <v/>
      </c>
      <c r="AB285" s="270">
        <f>Database!D274</f>
        <v/>
      </c>
      <c r="AC285" s="270">
        <f>Database!E274</f>
        <v/>
      </c>
      <c r="AD285" s="270">
        <f>Database!I274</f>
        <v/>
      </c>
      <c r="AE285" s="270">
        <f>Database!BG274</f>
        <v/>
      </c>
      <c r="AF285" s="270">
        <f>Database!BM274</f>
        <v/>
      </c>
      <c r="AG285" s="270">
        <f>Database!H274</f>
        <v/>
      </c>
      <c r="AH285" s="270">
        <f>Database!BH274</f>
        <v/>
      </c>
    </row>
    <row r="286">
      <c r="A286" s="270">
        <f>Database!B286</f>
        <v/>
      </c>
      <c r="B286" s="270">
        <f>IF(AND(Screener!$D$8&lt;&gt;"",Database!$E286=Screener!$D$8),1,0)</f>
        <v/>
      </c>
      <c r="C286" s="270">
        <f>IF(AND(Screener!$D$7&lt;&gt;"",Database!$D286=Screener!$D$7),1,0)</f>
        <v/>
      </c>
      <c r="D286" s="270">
        <f>IF(OR(N(Database!$I286)&lt;=0,N(Screener!$D$9)&lt;=0),0,MAX(0,1-ABS(LOG10(N(Database!$I286)/Screener!$D$9))/W_SIZEHW))</f>
        <v/>
      </c>
      <c r="E286" s="270">
        <f>IF(OR(Database!$BG286="",Screener!$D$10=""),0,IF(Database!$BG286=Screener!$D$10,1,0))</f>
        <v/>
      </c>
      <c r="F286" s="270">
        <f>IF(OR(Database!$BM286="",Screener!$D$11=""),0,IF(Database!$BM286=Screener!$D$11,1,0))</f>
        <v/>
      </c>
      <c r="G286" s="270">
        <f>IF(OR(Database!$H286="",N(Screener!$D$12)&lt;=0),0,MAX(0,1-(N(Screener!$D$12)-Database!$H286)/W_RECD))</f>
        <v/>
      </c>
      <c r="H286" s="270">
        <f>IF($U$1="",0,N(ISNUMBER(SEARCH($U$1,Database!$AC286&amp;""))))+IF($V$1="",0,N(ISNUMBER(SEARCH($V$1,Database!$AC286&amp;""))))+IF($W$1="",0,N(ISNUMBER(SEARCH($W$1,Database!$AC286&amp;""))))+IF($X$1="",0,N(ISNUMBER(SEARCH($X$1,Database!$AC286&amp;""))))+IF($Y$1="",0,N(ISNUMBER(SEARCH($Y$1,Database!$AC286&amp;""))))+IF(Screener!$B$17="",0,N(ISNUMBER(SEARCH(LOWER(Screener!$B$17),Database!$AC286&amp;""))))</f>
        <v/>
      </c>
      <c r="I286" s="270">
        <f>IF(OR(N(Database!$BH286)&lt;=0,N(Screener!$D$13)&lt;=0),0,MAX(0,1-ABS(LOG10(N(Database!$BH286)/Screener!$D$13))/W_PEHW))</f>
        <v/>
      </c>
      <c r="J286" s="270">
        <f>IF(OR(N(Database!$S286)&lt;=0,N(Screener!$D$14)&lt;=0),0,MAX(0,1-ABS(LOG10(Database!$S286/Screener!$D$14))/0.6))</f>
        <v/>
      </c>
      <c r="K286" s="270">
        <f>IF(Database!$B286=Screener!$B$5,-999999,IF(ISNUMBER(SEARCH(","&amp;Database!$A286&amp;",",","&amp;SUBSTITUTE(Screener!$D$17," ","")&amp;",")),2000000,IF(IF(OR(Screener!$B$18="All",AND(Screener!$B$18="With A-share",(Database!$BM286="Y")),AND(Screener!$B$18="Without A-share",NOT((Database!$BM286="Y")))),1,0)=0,-999999,IF(Screener!$B$16="cornerstone overlap first",H286*100000,IF(Screener!$B$16="demand-similar first",J286*100000,0))+W_SUB*B286+W_SEC*C286*(1-B286)+W_SIZE*D286+W_PROF*E286+W_AH*F286+W_REC*G286+W_CS*H286+W_PE*I286)))+ROW()/1000000</f>
        <v/>
      </c>
      <c r="AA286" s="270">
        <f>Database!B275</f>
        <v/>
      </c>
      <c r="AB286" s="270">
        <f>Database!D275</f>
        <v/>
      </c>
      <c r="AC286" s="270">
        <f>Database!E275</f>
        <v/>
      </c>
      <c r="AD286" s="270">
        <f>Database!I275</f>
        <v/>
      </c>
      <c r="AE286" s="270">
        <f>Database!BG275</f>
        <v/>
      </c>
      <c r="AF286" s="270">
        <f>Database!BM275</f>
        <v/>
      </c>
      <c r="AG286" s="270">
        <f>Database!H275</f>
        <v/>
      </c>
      <c r="AH286" s="270">
        <f>Database!BH275</f>
        <v/>
      </c>
    </row>
    <row r="287">
      <c r="A287" s="270">
        <f>Database!B287</f>
        <v/>
      </c>
      <c r="B287" s="270">
        <f>IF(AND(Screener!$D$8&lt;&gt;"",Database!$E287=Screener!$D$8),1,0)</f>
        <v/>
      </c>
      <c r="C287" s="270">
        <f>IF(AND(Screener!$D$7&lt;&gt;"",Database!$D287=Screener!$D$7),1,0)</f>
        <v/>
      </c>
      <c r="D287" s="270">
        <f>IF(OR(N(Database!$I287)&lt;=0,N(Screener!$D$9)&lt;=0),0,MAX(0,1-ABS(LOG10(N(Database!$I287)/Screener!$D$9))/W_SIZEHW))</f>
        <v/>
      </c>
      <c r="E287" s="270">
        <f>IF(OR(Database!$BG287="",Screener!$D$10=""),0,IF(Database!$BG287=Screener!$D$10,1,0))</f>
        <v/>
      </c>
      <c r="F287" s="270">
        <f>IF(OR(Database!$BM287="",Screener!$D$11=""),0,IF(Database!$BM287=Screener!$D$11,1,0))</f>
        <v/>
      </c>
      <c r="G287" s="270">
        <f>IF(OR(Database!$H287="",N(Screener!$D$12)&lt;=0),0,MAX(0,1-(N(Screener!$D$12)-Database!$H287)/W_RECD))</f>
        <v/>
      </c>
      <c r="H287" s="270">
        <f>IF($U$1="",0,N(ISNUMBER(SEARCH($U$1,Database!$AC287&amp;""))))+IF($V$1="",0,N(ISNUMBER(SEARCH($V$1,Database!$AC287&amp;""))))+IF($W$1="",0,N(ISNUMBER(SEARCH($W$1,Database!$AC287&amp;""))))+IF($X$1="",0,N(ISNUMBER(SEARCH($X$1,Database!$AC287&amp;""))))+IF($Y$1="",0,N(ISNUMBER(SEARCH($Y$1,Database!$AC287&amp;""))))+IF(Screener!$B$17="",0,N(ISNUMBER(SEARCH(LOWER(Screener!$B$17),Database!$AC287&amp;""))))</f>
        <v/>
      </c>
      <c r="I287" s="270">
        <f>IF(OR(N(Database!$BH287)&lt;=0,N(Screener!$D$13)&lt;=0),0,MAX(0,1-ABS(LOG10(N(Database!$BH287)/Screener!$D$13))/W_PEHW))</f>
        <v/>
      </c>
      <c r="J287" s="270">
        <f>IF(OR(N(Database!$S287)&lt;=0,N(Screener!$D$14)&lt;=0),0,MAX(0,1-ABS(LOG10(Database!$S287/Screener!$D$14))/0.6))</f>
        <v/>
      </c>
      <c r="K287" s="270">
        <f>IF(Database!$B287=Screener!$B$5,-999999,IF(ISNUMBER(SEARCH(","&amp;Database!$A287&amp;",",","&amp;SUBSTITUTE(Screener!$D$17," ","")&amp;",")),2000000,IF(IF(OR(Screener!$B$18="All",AND(Screener!$B$18="With A-share",(Database!$BM287="Y")),AND(Screener!$B$18="Without A-share",NOT((Database!$BM287="Y")))),1,0)=0,-999999,IF(Screener!$B$16="cornerstone overlap first",H287*100000,IF(Screener!$B$16="demand-similar first",J287*100000,0))+W_SUB*B287+W_SEC*C287*(1-B287)+W_SIZE*D287+W_PROF*E287+W_AH*F287+W_REC*G287+W_CS*H287+W_PE*I287)))+ROW()/1000000</f>
        <v/>
      </c>
      <c r="AA287" s="270">
        <f>Database!B276</f>
        <v/>
      </c>
      <c r="AB287" s="270">
        <f>Database!D276</f>
        <v/>
      </c>
      <c r="AC287" s="270">
        <f>Database!E276</f>
        <v/>
      </c>
      <c r="AD287" s="270">
        <f>Database!I276</f>
        <v/>
      </c>
      <c r="AE287" s="270">
        <f>Database!BG276</f>
        <v/>
      </c>
      <c r="AF287" s="270">
        <f>Database!BM276</f>
        <v/>
      </c>
      <c r="AG287" s="270">
        <f>Database!H276</f>
        <v/>
      </c>
      <c r="AH287" s="270">
        <f>Database!BH276</f>
        <v/>
      </c>
    </row>
    <row r="288">
      <c r="A288" s="270">
        <f>Database!B288</f>
        <v/>
      </c>
      <c r="B288" s="270">
        <f>IF(AND(Screener!$D$8&lt;&gt;"",Database!$E288=Screener!$D$8),1,0)</f>
        <v/>
      </c>
      <c r="C288" s="270">
        <f>IF(AND(Screener!$D$7&lt;&gt;"",Database!$D288=Screener!$D$7),1,0)</f>
        <v/>
      </c>
      <c r="D288" s="270">
        <f>IF(OR(N(Database!$I288)&lt;=0,N(Screener!$D$9)&lt;=0),0,MAX(0,1-ABS(LOG10(N(Database!$I288)/Screener!$D$9))/W_SIZEHW))</f>
        <v/>
      </c>
      <c r="E288" s="270">
        <f>IF(OR(Database!$BG288="",Screener!$D$10=""),0,IF(Database!$BG288=Screener!$D$10,1,0))</f>
        <v/>
      </c>
      <c r="F288" s="270">
        <f>IF(OR(Database!$BM288="",Screener!$D$11=""),0,IF(Database!$BM288=Screener!$D$11,1,0))</f>
        <v/>
      </c>
      <c r="G288" s="270">
        <f>IF(OR(Database!$H288="",N(Screener!$D$12)&lt;=0),0,MAX(0,1-(N(Screener!$D$12)-Database!$H288)/W_RECD))</f>
        <v/>
      </c>
      <c r="H288" s="270">
        <f>IF($U$1="",0,N(ISNUMBER(SEARCH($U$1,Database!$AC288&amp;""))))+IF($V$1="",0,N(ISNUMBER(SEARCH($V$1,Database!$AC288&amp;""))))+IF($W$1="",0,N(ISNUMBER(SEARCH($W$1,Database!$AC288&amp;""))))+IF($X$1="",0,N(ISNUMBER(SEARCH($X$1,Database!$AC288&amp;""))))+IF($Y$1="",0,N(ISNUMBER(SEARCH($Y$1,Database!$AC288&amp;""))))+IF(Screener!$B$17="",0,N(ISNUMBER(SEARCH(LOWER(Screener!$B$17),Database!$AC288&amp;""))))</f>
        <v/>
      </c>
      <c r="I288" s="270">
        <f>IF(OR(N(Database!$BH288)&lt;=0,N(Screener!$D$13)&lt;=0),0,MAX(0,1-ABS(LOG10(N(Database!$BH288)/Screener!$D$13))/W_PEHW))</f>
        <v/>
      </c>
      <c r="J288" s="270">
        <f>IF(OR(N(Database!$S288)&lt;=0,N(Screener!$D$14)&lt;=0),0,MAX(0,1-ABS(LOG10(Database!$S288/Screener!$D$14))/0.6))</f>
        <v/>
      </c>
      <c r="K288" s="270">
        <f>IF(Database!$B288=Screener!$B$5,-999999,IF(ISNUMBER(SEARCH(","&amp;Database!$A288&amp;",",","&amp;SUBSTITUTE(Screener!$D$17," ","")&amp;",")),2000000,IF(IF(OR(Screener!$B$18="All",AND(Screener!$B$18="With A-share",(Database!$BM288="Y")),AND(Screener!$B$18="Without A-share",NOT((Database!$BM288="Y")))),1,0)=0,-999999,IF(Screener!$B$16="cornerstone overlap first",H288*100000,IF(Screener!$B$16="demand-similar first",J288*100000,0))+W_SUB*B288+W_SEC*C288*(1-B288)+W_SIZE*D288+W_PROF*E288+W_AH*F288+W_REC*G288+W_CS*H288+W_PE*I288)))+ROW()/1000000</f>
        <v/>
      </c>
      <c r="AA288" s="270">
        <f>Database!B277</f>
        <v/>
      </c>
      <c r="AB288" s="270">
        <f>Database!D277</f>
        <v/>
      </c>
      <c r="AC288" s="270">
        <f>Database!E277</f>
        <v/>
      </c>
      <c r="AD288" s="270">
        <f>Database!I277</f>
        <v/>
      </c>
      <c r="AE288" s="270">
        <f>Database!BG277</f>
        <v/>
      </c>
      <c r="AF288" s="270">
        <f>Database!BM277</f>
        <v/>
      </c>
      <c r="AG288" s="270">
        <f>Database!H277</f>
        <v/>
      </c>
      <c r="AH288" s="270">
        <f>Database!BH277</f>
        <v/>
      </c>
    </row>
    <row r="289">
      <c r="A289" s="270">
        <f>Database!B289</f>
        <v/>
      </c>
      <c r="B289" s="270">
        <f>IF(AND(Screener!$D$8&lt;&gt;"",Database!$E289=Screener!$D$8),1,0)</f>
        <v/>
      </c>
      <c r="C289" s="270">
        <f>IF(AND(Screener!$D$7&lt;&gt;"",Database!$D289=Screener!$D$7),1,0)</f>
        <v/>
      </c>
      <c r="D289" s="270">
        <f>IF(OR(N(Database!$I289)&lt;=0,N(Screener!$D$9)&lt;=0),0,MAX(0,1-ABS(LOG10(N(Database!$I289)/Screener!$D$9))/W_SIZEHW))</f>
        <v/>
      </c>
      <c r="E289" s="270">
        <f>IF(OR(Database!$BG289="",Screener!$D$10=""),0,IF(Database!$BG289=Screener!$D$10,1,0))</f>
        <v/>
      </c>
      <c r="F289" s="270">
        <f>IF(OR(Database!$BM289="",Screener!$D$11=""),0,IF(Database!$BM289=Screener!$D$11,1,0))</f>
        <v/>
      </c>
      <c r="G289" s="270">
        <f>IF(OR(Database!$H289="",N(Screener!$D$12)&lt;=0),0,MAX(0,1-(N(Screener!$D$12)-Database!$H289)/W_RECD))</f>
        <v/>
      </c>
      <c r="H289" s="270">
        <f>IF($U$1="",0,N(ISNUMBER(SEARCH($U$1,Database!$AC289&amp;""))))+IF($V$1="",0,N(ISNUMBER(SEARCH($V$1,Database!$AC289&amp;""))))+IF($W$1="",0,N(ISNUMBER(SEARCH($W$1,Database!$AC289&amp;""))))+IF($X$1="",0,N(ISNUMBER(SEARCH($X$1,Database!$AC289&amp;""))))+IF($Y$1="",0,N(ISNUMBER(SEARCH($Y$1,Database!$AC289&amp;""))))+IF(Screener!$B$17="",0,N(ISNUMBER(SEARCH(LOWER(Screener!$B$17),Database!$AC289&amp;""))))</f>
        <v/>
      </c>
      <c r="I289" s="270">
        <f>IF(OR(N(Database!$BH289)&lt;=0,N(Screener!$D$13)&lt;=0),0,MAX(0,1-ABS(LOG10(N(Database!$BH289)/Screener!$D$13))/W_PEHW))</f>
        <v/>
      </c>
      <c r="J289" s="270">
        <f>IF(OR(N(Database!$S289)&lt;=0,N(Screener!$D$14)&lt;=0),0,MAX(0,1-ABS(LOG10(Database!$S289/Screener!$D$14))/0.6))</f>
        <v/>
      </c>
      <c r="K289" s="270">
        <f>IF(Database!$B289=Screener!$B$5,-999999,IF(ISNUMBER(SEARCH(","&amp;Database!$A289&amp;",",","&amp;SUBSTITUTE(Screener!$D$17," ","")&amp;",")),2000000,IF(IF(OR(Screener!$B$18="All",AND(Screener!$B$18="With A-share",(Database!$BM289="Y")),AND(Screener!$B$18="Without A-share",NOT((Database!$BM289="Y")))),1,0)=0,-999999,IF(Screener!$B$16="cornerstone overlap first",H289*100000,IF(Screener!$B$16="demand-similar first",J289*100000,0))+W_SUB*B289+W_SEC*C289*(1-B289)+W_SIZE*D289+W_PROF*E289+W_AH*F289+W_REC*G289+W_CS*H289+W_PE*I289)))+ROW()/1000000</f>
        <v/>
      </c>
      <c r="AA289" s="270">
        <f>Database!B278</f>
        <v/>
      </c>
      <c r="AB289" s="270">
        <f>Database!D278</f>
        <v/>
      </c>
      <c r="AC289" s="270">
        <f>Database!E278</f>
        <v/>
      </c>
      <c r="AD289" s="270">
        <f>Database!I278</f>
        <v/>
      </c>
      <c r="AE289" s="270">
        <f>Database!BG278</f>
        <v/>
      </c>
      <c r="AF289" s="270">
        <f>Database!BM278</f>
        <v/>
      </c>
      <c r="AG289" s="270">
        <f>Database!H278</f>
        <v/>
      </c>
      <c r="AH289" s="270">
        <f>Database!BH278</f>
        <v/>
      </c>
    </row>
    <row r="290">
      <c r="A290" s="270">
        <f>Database!B290</f>
        <v/>
      </c>
      <c r="B290" s="270">
        <f>IF(AND(Screener!$D$8&lt;&gt;"",Database!$E290=Screener!$D$8),1,0)</f>
        <v/>
      </c>
      <c r="C290" s="270">
        <f>IF(AND(Screener!$D$7&lt;&gt;"",Database!$D290=Screener!$D$7),1,0)</f>
        <v/>
      </c>
      <c r="D290" s="270">
        <f>IF(OR(N(Database!$I290)&lt;=0,N(Screener!$D$9)&lt;=0),0,MAX(0,1-ABS(LOG10(N(Database!$I290)/Screener!$D$9))/W_SIZEHW))</f>
        <v/>
      </c>
      <c r="E290" s="270">
        <f>IF(OR(Database!$BG290="",Screener!$D$10=""),0,IF(Database!$BG290=Screener!$D$10,1,0))</f>
        <v/>
      </c>
      <c r="F290" s="270">
        <f>IF(OR(Database!$BM290="",Screener!$D$11=""),0,IF(Database!$BM290=Screener!$D$11,1,0))</f>
        <v/>
      </c>
      <c r="G290" s="270">
        <f>IF(OR(Database!$H290="",N(Screener!$D$12)&lt;=0),0,MAX(0,1-(N(Screener!$D$12)-Database!$H290)/W_RECD))</f>
        <v/>
      </c>
      <c r="H290" s="270">
        <f>IF($U$1="",0,N(ISNUMBER(SEARCH($U$1,Database!$AC290&amp;""))))+IF($V$1="",0,N(ISNUMBER(SEARCH($V$1,Database!$AC290&amp;""))))+IF($W$1="",0,N(ISNUMBER(SEARCH($W$1,Database!$AC290&amp;""))))+IF($X$1="",0,N(ISNUMBER(SEARCH($X$1,Database!$AC290&amp;""))))+IF($Y$1="",0,N(ISNUMBER(SEARCH($Y$1,Database!$AC290&amp;""))))+IF(Screener!$B$17="",0,N(ISNUMBER(SEARCH(LOWER(Screener!$B$17),Database!$AC290&amp;""))))</f>
        <v/>
      </c>
      <c r="I290" s="270">
        <f>IF(OR(N(Database!$BH290)&lt;=0,N(Screener!$D$13)&lt;=0),0,MAX(0,1-ABS(LOG10(N(Database!$BH290)/Screener!$D$13))/W_PEHW))</f>
        <v/>
      </c>
      <c r="J290" s="270">
        <f>IF(OR(N(Database!$S290)&lt;=0,N(Screener!$D$14)&lt;=0),0,MAX(0,1-ABS(LOG10(Database!$S290/Screener!$D$14))/0.6))</f>
        <v/>
      </c>
      <c r="K290" s="270">
        <f>IF(Database!$B290=Screener!$B$5,-999999,IF(ISNUMBER(SEARCH(","&amp;Database!$A290&amp;",",","&amp;SUBSTITUTE(Screener!$D$17," ","")&amp;",")),2000000,IF(IF(OR(Screener!$B$18="All",AND(Screener!$B$18="With A-share",(Database!$BM290="Y")),AND(Screener!$B$18="Without A-share",NOT((Database!$BM290="Y")))),1,0)=0,-999999,IF(Screener!$B$16="cornerstone overlap first",H290*100000,IF(Screener!$B$16="demand-similar first",J290*100000,0))+W_SUB*B290+W_SEC*C290*(1-B290)+W_SIZE*D290+W_PROF*E290+W_AH*F290+W_REC*G290+W_CS*H290+W_PE*I290)))+ROW()/1000000</f>
        <v/>
      </c>
      <c r="AA290" s="270">
        <f>Database!B279</f>
        <v/>
      </c>
      <c r="AB290" s="270">
        <f>Database!D279</f>
        <v/>
      </c>
      <c r="AC290" s="270">
        <f>Database!E279</f>
        <v/>
      </c>
      <c r="AD290" s="270">
        <f>Database!I279</f>
        <v/>
      </c>
      <c r="AE290" s="270">
        <f>Database!BG279</f>
        <v/>
      </c>
      <c r="AF290" s="270">
        <f>Database!BM279</f>
        <v/>
      </c>
      <c r="AG290" s="270">
        <f>Database!H279</f>
        <v/>
      </c>
      <c r="AH290" s="270">
        <f>Database!BH279</f>
        <v/>
      </c>
    </row>
    <row r="291">
      <c r="A291" s="270">
        <f>Database!B291</f>
        <v/>
      </c>
      <c r="B291" s="270">
        <f>IF(AND(Screener!$D$8&lt;&gt;"",Database!$E291=Screener!$D$8),1,0)</f>
        <v/>
      </c>
      <c r="C291" s="270">
        <f>IF(AND(Screener!$D$7&lt;&gt;"",Database!$D291=Screener!$D$7),1,0)</f>
        <v/>
      </c>
      <c r="D291" s="270">
        <f>IF(OR(N(Database!$I291)&lt;=0,N(Screener!$D$9)&lt;=0),0,MAX(0,1-ABS(LOG10(N(Database!$I291)/Screener!$D$9))/W_SIZEHW))</f>
        <v/>
      </c>
      <c r="E291" s="270">
        <f>IF(OR(Database!$BG291="",Screener!$D$10=""),0,IF(Database!$BG291=Screener!$D$10,1,0))</f>
        <v/>
      </c>
      <c r="F291" s="270">
        <f>IF(OR(Database!$BM291="",Screener!$D$11=""),0,IF(Database!$BM291=Screener!$D$11,1,0))</f>
        <v/>
      </c>
      <c r="G291" s="270">
        <f>IF(OR(Database!$H291="",N(Screener!$D$12)&lt;=0),0,MAX(0,1-(N(Screener!$D$12)-Database!$H291)/W_RECD))</f>
        <v/>
      </c>
      <c r="H291" s="270">
        <f>IF($U$1="",0,N(ISNUMBER(SEARCH($U$1,Database!$AC291&amp;""))))+IF($V$1="",0,N(ISNUMBER(SEARCH($V$1,Database!$AC291&amp;""))))+IF($W$1="",0,N(ISNUMBER(SEARCH($W$1,Database!$AC291&amp;""))))+IF($X$1="",0,N(ISNUMBER(SEARCH($X$1,Database!$AC291&amp;""))))+IF($Y$1="",0,N(ISNUMBER(SEARCH($Y$1,Database!$AC291&amp;""))))+IF(Screener!$B$17="",0,N(ISNUMBER(SEARCH(LOWER(Screener!$B$17),Database!$AC291&amp;""))))</f>
        <v/>
      </c>
      <c r="I291" s="270">
        <f>IF(OR(N(Database!$BH291)&lt;=0,N(Screener!$D$13)&lt;=0),0,MAX(0,1-ABS(LOG10(N(Database!$BH291)/Screener!$D$13))/W_PEHW))</f>
        <v/>
      </c>
      <c r="J291" s="270">
        <f>IF(OR(N(Database!$S291)&lt;=0,N(Screener!$D$14)&lt;=0),0,MAX(0,1-ABS(LOG10(Database!$S291/Screener!$D$14))/0.6))</f>
        <v/>
      </c>
      <c r="K291" s="270">
        <f>IF(Database!$B291=Screener!$B$5,-999999,IF(ISNUMBER(SEARCH(","&amp;Database!$A291&amp;",",","&amp;SUBSTITUTE(Screener!$D$17," ","")&amp;",")),2000000,IF(IF(OR(Screener!$B$18="All",AND(Screener!$B$18="With A-share",(Database!$BM291="Y")),AND(Screener!$B$18="Without A-share",NOT((Database!$BM291="Y")))),1,0)=0,-999999,IF(Screener!$B$16="cornerstone overlap first",H291*100000,IF(Screener!$B$16="demand-similar first",J291*100000,0))+W_SUB*B291+W_SEC*C291*(1-B291)+W_SIZE*D291+W_PROF*E291+W_AH*F291+W_REC*G291+W_CS*H291+W_PE*I291)))+ROW()/1000000</f>
        <v/>
      </c>
      <c r="AA291" s="270">
        <f>Database!B280</f>
        <v/>
      </c>
      <c r="AB291" s="270">
        <f>Database!D280</f>
        <v/>
      </c>
      <c r="AC291" s="270">
        <f>Database!E280</f>
        <v/>
      </c>
      <c r="AD291" s="270">
        <f>Database!I280</f>
        <v/>
      </c>
      <c r="AE291" s="270">
        <f>Database!BG280</f>
        <v/>
      </c>
      <c r="AF291" s="270">
        <f>Database!BM280</f>
        <v/>
      </c>
      <c r="AG291" s="270">
        <f>Database!H280</f>
        <v/>
      </c>
      <c r="AH291" s="270">
        <f>Database!BH280</f>
        <v/>
      </c>
    </row>
    <row r="292">
      <c r="A292" s="270">
        <f>Database!B292</f>
        <v/>
      </c>
      <c r="B292" s="270">
        <f>IF(AND(Screener!$D$8&lt;&gt;"",Database!$E292=Screener!$D$8),1,0)</f>
        <v/>
      </c>
      <c r="C292" s="270">
        <f>IF(AND(Screener!$D$7&lt;&gt;"",Database!$D292=Screener!$D$7),1,0)</f>
        <v/>
      </c>
      <c r="D292" s="270">
        <f>IF(OR(N(Database!$I292)&lt;=0,N(Screener!$D$9)&lt;=0),0,MAX(0,1-ABS(LOG10(N(Database!$I292)/Screener!$D$9))/W_SIZEHW))</f>
        <v/>
      </c>
      <c r="E292" s="270">
        <f>IF(OR(Database!$BG292="",Screener!$D$10=""),0,IF(Database!$BG292=Screener!$D$10,1,0))</f>
        <v/>
      </c>
      <c r="F292" s="270">
        <f>IF(OR(Database!$BM292="",Screener!$D$11=""),0,IF(Database!$BM292=Screener!$D$11,1,0))</f>
        <v/>
      </c>
      <c r="G292" s="270">
        <f>IF(OR(Database!$H292="",N(Screener!$D$12)&lt;=0),0,MAX(0,1-(N(Screener!$D$12)-Database!$H292)/W_RECD))</f>
        <v/>
      </c>
      <c r="H292" s="270">
        <f>IF($U$1="",0,N(ISNUMBER(SEARCH($U$1,Database!$AC292&amp;""))))+IF($V$1="",0,N(ISNUMBER(SEARCH($V$1,Database!$AC292&amp;""))))+IF($W$1="",0,N(ISNUMBER(SEARCH($W$1,Database!$AC292&amp;""))))+IF($X$1="",0,N(ISNUMBER(SEARCH($X$1,Database!$AC292&amp;""))))+IF($Y$1="",0,N(ISNUMBER(SEARCH($Y$1,Database!$AC292&amp;""))))+IF(Screener!$B$17="",0,N(ISNUMBER(SEARCH(LOWER(Screener!$B$17),Database!$AC292&amp;""))))</f>
        <v/>
      </c>
      <c r="I292" s="270">
        <f>IF(OR(N(Database!$BH292)&lt;=0,N(Screener!$D$13)&lt;=0),0,MAX(0,1-ABS(LOG10(N(Database!$BH292)/Screener!$D$13))/W_PEHW))</f>
        <v/>
      </c>
      <c r="J292" s="270">
        <f>IF(OR(N(Database!$S292)&lt;=0,N(Screener!$D$14)&lt;=0),0,MAX(0,1-ABS(LOG10(Database!$S292/Screener!$D$14))/0.6))</f>
        <v/>
      </c>
      <c r="K292" s="270">
        <f>IF(Database!$B292=Screener!$B$5,-999999,IF(ISNUMBER(SEARCH(","&amp;Database!$A292&amp;",",","&amp;SUBSTITUTE(Screener!$D$17," ","")&amp;",")),2000000,IF(IF(OR(Screener!$B$18="All",AND(Screener!$B$18="With A-share",(Database!$BM292="Y")),AND(Screener!$B$18="Without A-share",NOT((Database!$BM292="Y")))),1,0)=0,-999999,IF(Screener!$B$16="cornerstone overlap first",H292*100000,IF(Screener!$B$16="demand-similar first",J292*100000,0))+W_SUB*B292+W_SEC*C292*(1-B292)+W_SIZE*D292+W_PROF*E292+W_AH*F292+W_REC*G292+W_CS*H292+W_PE*I292)))+ROW()/1000000</f>
        <v/>
      </c>
      <c r="AA292" s="270">
        <f>Database!B281</f>
        <v/>
      </c>
      <c r="AB292" s="270">
        <f>Database!D281</f>
        <v/>
      </c>
      <c r="AC292" s="270">
        <f>Database!E281</f>
        <v/>
      </c>
      <c r="AD292" s="270">
        <f>Database!I281</f>
        <v/>
      </c>
      <c r="AE292" s="270">
        <f>Database!BG281</f>
        <v/>
      </c>
      <c r="AF292" s="270">
        <f>Database!BM281</f>
        <v/>
      </c>
      <c r="AG292" s="270">
        <f>Database!H281</f>
        <v/>
      </c>
      <c r="AH292" s="270">
        <f>Database!BH281</f>
        <v/>
      </c>
    </row>
    <row r="293">
      <c r="A293" s="270">
        <f>Database!B293</f>
        <v/>
      </c>
      <c r="B293" s="270">
        <f>IF(AND(Screener!$D$8&lt;&gt;"",Database!$E293=Screener!$D$8),1,0)</f>
        <v/>
      </c>
      <c r="C293" s="270">
        <f>IF(AND(Screener!$D$7&lt;&gt;"",Database!$D293=Screener!$D$7),1,0)</f>
        <v/>
      </c>
      <c r="D293" s="270">
        <f>IF(OR(N(Database!$I293)&lt;=0,N(Screener!$D$9)&lt;=0),0,MAX(0,1-ABS(LOG10(N(Database!$I293)/Screener!$D$9))/W_SIZEHW))</f>
        <v/>
      </c>
      <c r="E293" s="270">
        <f>IF(OR(Database!$BG293="",Screener!$D$10=""),0,IF(Database!$BG293=Screener!$D$10,1,0))</f>
        <v/>
      </c>
      <c r="F293" s="270">
        <f>IF(OR(Database!$BM293="",Screener!$D$11=""),0,IF(Database!$BM293=Screener!$D$11,1,0))</f>
        <v/>
      </c>
      <c r="G293" s="270">
        <f>IF(OR(Database!$H293="",N(Screener!$D$12)&lt;=0),0,MAX(0,1-(N(Screener!$D$12)-Database!$H293)/W_RECD))</f>
        <v/>
      </c>
      <c r="H293" s="270">
        <f>IF($U$1="",0,N(ISNUMBER(SEARCH($U$1,Database!$AC293&amp;""))))+IF($V$1="",0,N(ISNUMBER(SEARCH($V$1,Database!$AC293&amp;""))))+IF($W$1="",0,N(ISNUMBER(SEARCH($W$1,Database!$AC293&amp;""))))+IF($X$1="",0,N(ISNUMBER(SEARCH($X$1,Database!$AC293&amp;""))))+IF($Y$1="",0,N(ISNUMBER(SEARCH($Y$1,Database!$AC293&amp;""))))+IF(Screener!$B$17="",0,N(ISNUMBER(SEARCH(LOWER(Screener!$B$17),Database!$AC293&amp;""))))</f>
        <v/>
      </c>
      <c r="I293" s="270">
        <f>IF(OR(N(Database!$BH293)&lt;=0,N(Screener!$D$13)&lt;=0),0,MAX(0,1-ABS(LOG10(N(Database!$BH293)/Screener!$D$13))/W_PEHW))</f>
        <v/>
      </c>
      <c r="J293" s="270">
        <f>IF(OR(N(Database!$S293)&lt;=0,N(Screener!$D$14)&lt;=0),0,MAX(0,1-ABS(LOG10(Database!$S293/Screener!$D$14))/0.6))</f>
        <v/>
      </c>
      <c r="K293" s="270">
        <f>IF(Database!$B293=Screener!$B$5,-999999,IF(ISNUMBER(SEARCH(","&amp;Database!$A293&amp;",",","&amp;SUBSTITUTE(Screener!$D$17," ","")&amp;",")),2000000,IF(IF(OR(Screener!$B$18="All",AND(Screener!$B$18="With A-share",(Database!$BM293="Y")),AND(Screener!$B$18="Without A-share",NOT((Database!$BM293="Y")))),1,0)=0,-999999,IF(Screener!$B$16="cornerstone overlap first",H293*100000,IF(Screener!$B$16="demand-similar first",J293*100000,0))+W_SUB*B293+W_SEC*C293*(1-B293)+W_SIZE*D293+W_PROF*E293+W_AH*F293+W_REC*G293+W_CS*H293+W_PE*I293)))+ROW()/1000000</f>
        <v/>
      </c>
      <c r="AA293" s="270">
        <f>Database!B282</f>
        <v/>
      </c>
      <c r="AB293" s="270">
        <f>Database!D282</f>
        <v/>
      </c>
      <c r="AC293" s="270">
        <f>Database!E282</f>
        <v/>
      </c>
      <c r="AD293" s="270">
        <f>Database!I282</f>
        <v/>
      </c>
      <c r="AE293" s="270">
        <f>Database!BG282</f>
        <v/>
      </c>
      <c r="AF293" s="270">
        <f>Database!BM282</f>
        <v/>
      </c>
      <c r="AG293" s="270">
        <f>Database!H282</f>
        <v/>
      </c>
      <c r="AH293" s="270">
        <f>Database!BH282</f>
        <v/>
      </c>
    </row>
    <row r="294">
      <c r="A294" s="270">
        <f>Database!B294</f>
        <v/>
      </c>
      <c r="B294" s="270">
        <f>IF(AND(Screener!$D$8&lt;&gt;"",Database!$E294=Screener!$D$8),1,0)</f>
        <v/>
      </c>
      <c r="C294" s="270">
        <f>IF(AND(Screener!$D$7&lt;&gt;"",Database!$D294=Screener!$D$7),1,0)</f>
        <v/>
      </c>
      <c r="D294" s="270">
        <f>IF(OR(N(Database!$I294)&lt;=0,N(Screener!$D$9)&lt;=0),0,MAX(0,1-ABS(LOG10(N(Database!$I294)/Screener!$D$9))/W_SIZEHW))</f>
        <v/>
      </c>
      <c r="E294" s="270">
        <f>IF(OR(Database!$BG294="",Screener!$D$10=""),0,IF(Database!$BG294=Screener!$D$10,1,0))</f>
        <v/>
      </c>
      <c r="F294" s="270">
        <f>IF(OR(Database!$BM294="",Screener!$D$11=""),0,IF(Database!$BM294=Screener!$D$11,1,0))</f>
        <v/>
      </c>
      <c r="G294" s="270">
        <f>IF(OR(Database!$H294="",N(Screener!$D$12)&lt;=0),0,MAX(0,1-(N(Screener!$D$12)-Database!$H294)/W_RECD))</f>
        <v/>
      </c>
      <c r="H294" s="270">
        <f>IF($U$1="",0,N(ISNUMBER(SEARCH($U$1,Database!$AC294&amp;""))))+IF($V$1="",0,N(ISNUMBER(SEARCH($V$1,Database!$AC294&amp;""))))+IF($W$1="",0,N(ISNUMBER(SEARCH($W$1,Database!$AC294&amp;""))))+IF($X$1="",0,N(ISNUMBER(SEARCH($X$1,Database!$AC294&amp;""))))+IF($Y$1="",0,N(ISNUMBER(SEARCH($Y$1,Database!$AC294&amp;""))))+IF(Screener!$B$17="",0,N(ISNUMBER(SEARCH(LOWER(Screener!$B$17),Database!$AC294&amp;""))))</f>
        <v/>
      </c>
      <c r="I294" s="270">
        <f>IF(OR(N(Database!$BH294)&lt;=0,N(Screener!$D$13)&lt;=0),0,MAX(0,1-ABS(LOG10(N(Database!$BH294)/Screener!$D$13))/W_PEHW))</f>
        <v/>
      </c>
      <c r="J294" s="270">
        <f>IF(OR(N(Database!$S294)&lt;=0,N(Screener!$D$14)&lt;=0),0,MAX(0,1-ABS(LOG10(Database!$S294/Screener!$D$14))/0.6))</f>
        <v/>
      </c>
      <c r="K294" s="270">
        <f>IF(Database!$B294=Screener!$B$5,-999999,IF(ISNUMBER(SEARCH(","&amp;Database!$A294&amp;",",","&amp;SUBSTITUTE(Screener!$D$17," ","")&amp;",")),2000000,IF(IF(OR(Screener!$B$18="All",AND(Screener!$B$18="With A-share",(Database!$BM294="Y")),AND(Screener!$B$18="Without A-share",NOT((Database!$BM294="Y")))),1,0)=0,-999999,IF(Screener!$B$16="cornerstone overlap first",H294*100000,IF(Screener!$B$16="demand-similar first",J294*100000,0))+W_SUB*B294+W_SEC*C294*(1-B294)+W_SIZE*D294+W_PROF*E294+W_AH*F294+W_REC*G294+W_CS*H294+W_PE*I294)))+ROW()/1000000</f>
        <v/>
      </c>
      <c r="AA294" s="270">
        <f>Database!B283</f>
        <v/>
      </c>
      <c r="AB294" s="270">
        <f>Database!D283</f>
        <v/>
      </c>
      <c r="AC294" s="270">
        <f>Database!E283</f>
        <v/>
      </c>
      <c r="AD294" s="270">
        <f>Database!I283</f>
        <v/>
      </c>
      <c r="AE294" s="270">
        <f>Database!BG283</f>
        <v/>
      </c>
      <c r="AF294" s="270">
        <f>Database!BM283</f>
        <v/>
      </c>
      <c r="AG294" s="270">
        <f>Database!H283</f>
        <v/>
      </c>
      <c r="AH294" s="270">
        <f>Database!BH283</f>
        <v/>
      </c>
    </row>
    <row r="295">
      <c r="A295" s="270">
        <f>Database!B295</f>
        <v/>
      </c>
      <c r="B295" s="270">
        <f>IF(AND(Screener!$D$8&lt;&gt;"",Database!$E295=Screener!$D$8),1,0)</f>
        <v/>
      </c>
      <c r="C295" s="270">
        <f>IF(AND(Screener!$D$7&lt;&gt;"",Database!$D295=Screener!$D$7),1,0)</f>
        <v/>
      </c>
      <c r="D295" s="270">
        <f>IF(OR(N(Database!$I295)&lt;=0,N(Screener!$D$9)&lt;=0),0,MAX(0,1-ABS(LOG10(N(Database!$I295)/Screener!$D$9))/W_SIZEHW))</f>
        <v/>
      </c>
      <c r="E295" s="270">
        <f>IF(OR(Database!$BG295="",Screener!$D$10=""),0,IF(Database!$BG295=Screener!$D$10,1,0))</f>
        <v/>
      </c>
      <c r="F295" s="270">
        <f>IF(OR(Database!$BM295="",Screener!$D$11=""),0,IF(Database!$BM295=Screener!$D$11,1,0))</f>
        <v/>
      </c>
      <c r="G295" s="270">
        <f>IF(OR(Database!$H295="",N(Screener!$D$12)&lt;=0),0,MAX(0,1-(N(Screener!$D$12)-Database!$H295)/W_RECD))</f>
        <v/>
      </c>
      <c r="H295" s="270">
        <f>IF($U$1="",0,N(ISNUMBER(SEARCH($U$1,Database!$AC295&amp;""))))+IF($V$1="",0,N(ISNUMBER(SEARCH($V$1,Database!$AC295&amp;""))))+IF($W$1="",0,N(ISNUMBER(SEARCH($W$1,Database!$AC295&amp;""))))+IF($X$1="",0,N(ISNUMBER(SEARCH($X$1,Database!$AC295&amp;""))))+IF($Y$1="",0,N(ISNUMBER(SEARCH($Y$1,Database!$AC295&amp;""))))+IF(Screener!$B$17="",0,N(ISNUMBER(SEARCH(LOWER(Screener!$B$17),Database!$AC295&amp;""))))</f>
        <v/>
      </c>
      <c r="I295" s="270">
        <f>IF(OR(N(Database!$BH295)&lt;=0,N(Screener!$D$13)&lt;=0),0,MAX(0,1-ABS(LOG10(N(Database!$BH295)/Screener!$D$13))/W_PEHW))</f>
        <v/>
      </c>
      <c r="J295" s="270">
        <f>IF(OR(N(Database!$S295)&lt;=0,N(Screener!$D$14)&lt;=0),0,MAX(0,1-ABS(LOG10(Database!$S295/Screener!$D$14))/0.6))</f>
        <v/>
      </c>
      <c r="K295" s="270">
        <f>IF(Database!$B295=Screener!$B$5,-999999,IF(ISNUMBER(SEARCH(","&amp;Database!$A295&amp;",",","&amp;SUBSTITUTE(Screener!$D$17," ","")&amp;",")),2000000,IF(IF(OR(Screener!$B$18="All",AND(Screener!$B$18="With A-share",(Database!$BM295="Y")),AND(Screener!$B$18="Without A-share",NOT((Database!$BM295="Y")))),1,0)=0,-999999,IF(Screener!$B$16="cornerstone overlap first",H295*100000,IF(Screener!$B$16="demand-similar first",J295*100000,0))+W_SUB*B295+W_SEC*C295*(1-B295)+W_SIZE*D295+W_PROF*E295+W_AH*F295+W_REC*G295+W_CS*H295+W_PE*I295)))+ROW()/1000000</f>
        <v/>
      </c>
      <c r="AA295" s="270">
        <f>Database!B284</f>
        <v/>
      </c>
      <c r="AB295" s="270">
        <f>Database!D284</f>
        <v/>
      </c>
      <c r="AC295" s="270">
        <f>Database!E284</f>
        <v/>
      </c>
      <c r="AD295" s="270">
        <f>Database!I284</f>
        <v/>
      </c>
      <c r="AE295" s="270">
        <f>Database!BG284</f>
        <v/>
      </c>
      <c r="AF295" s="270">
        <f>Database!BM284</f>
        <v/>
      </c>
      <c r="AG295" s="270">
        <f>Database!H284</f>
        <v/>
      </c>
      <c r="AH295" s="270">
        <f>Database!BH284</f>
        <v/>
      </c>
    </row>
    <row r="296">
      <c r="A296" s="270">
        <f>Database!B296</f>
        <v/>
      </c>
      <c r="B296" s="270">
        <f>IF(AND(Screener!$D$8&lt;&gt;"",Database!$E296=Screener!$D$8),1,0)</f>
        <v/>
      </c>
      <c r="C296" s="270">
        <f>IF(AND(Screener!$D$7&lt;&gt;"",Database!$D296=Screener!$D$7),1,0)</f>
        <v/>
      </c>
      <c r="D296" s="270">
        <f>IF(OR(N(Database!$I296)&lt;=0,N(Screener!$D$9)&lt;=0),0,MAX(0,1-ABS(LOG10(N(Database!$I296)/Screener!$D$9))/W_SIZEHW))</f>
        <v/>
      </c>
      <c r="E296" s="270">
        <f>IF(OR(Database!$BG296="",Screener!$D$10=""),0,IF(Database!$BG296=Screener!$D$10,1,0))</f>
        <v/>
      </c>
      <c r="F296" s="270">
        <f>IF(OR(Database!$BM296="",Screener!$D$11=""),0,IF(Database!$BM296=Screener!$D$11,1,0))</f>
        <v/>
      </c>
      <c r="G296" s="270">
        <f>IF(OR(Database!$H296="",N(Screener!$D$12)&lt;=0),0,MAX(0,1-(N(Screener!$D$12)-Database!$H296)/W_RECD))</f>
        <v/>
      </c>
      <c r="H296" s="270">
        <f>IF($U$1="",0,N(ISNUMBER(SEARCH($U$1,Database!$AC296&amp;""))))+IF($V$1="",0,N(ISNUMBER(SEARCH($V$1,Database!$AC296&amp;""))))+IF($W$1="",0,N(ISNUMBER(SEARCH($W$1,Database!$AC296&amp;""))))+IF($X$1="",0,N(ISNUMBER(SEARCH($X$1,Database!$AC296&amp;""))))+IF($Y$1="",0,N(ISNUMBER(SEARCH($Y$1,Database!$AC296&amp;""))))+IF(Screener!$B$17="",0,N(ISNUMBER(SEARCH(LOWER(Screener!$B$17),Database!$AC296&amp;""))))</f>
        <v/>
      </c>
      <c r="I296" s="270">
        <f>IF(OR(N(Database!$BH296)&lt;=0,N(Screener!$D$13)&lt;=0),0,MAX(0,1-ABS(LOG10(N(Database!$BH296)/Screener!$D$13))/W_PEHW))</f>
        <v/>
      </c>
      <c r="J296" s="270">
        <f>IF(OR(N(Database!$S296)&lt;=0,N(Screener!$D$14)&lt;=0),0,MAX(0,1-ABS(LOG10(Database!$S296/Screener!$D$14))/0.6))</f>
        <v/>
      </c>
      <c r="K296" s="270">
        <f>IF(Database!$B296=Screener!$B$5,-999999,IF(ISNUMBER(SEARCH(","&amp;Database!$A296&amp;",",","&amp;SUBSTITUTE(Screener!$D$17," ","")&amp;",")),2000000,IF(IF(OR(Screener!$B$18="All",AND(Screener!$B$18="With A-share",(Database!$BM296="Y")),AND(Screener!$B$18="Without A-share",NOT((Database!$BM296="Y")))),1,0)=0,-999999,IF(Screener!$B$16="cornerstone overlap first",H296*100000,IF(Screener!$B$16="demand-similar first",J296*100000,0))+W_SUB*B296+W_SEC*C296*(1-B296)+W_SIZE*D296+W_PROF*E296+W_AH*F296+W_REC*G296+W_CS*H296+W_PE*I296)))+ROW()/1000000</f>
        <v/>
      </c>
      <c r="AA296" s="270">
        <f>Database!B285</f>
        <v/>
      </c>
      <c r="AB296" s="270">
        <f>Database!D285</f>
        <v/>
      </c>
      <c r="AC296" s="270">
        <f>Database!E285</f>
        <v/>
      </c>
      <c r="AD296" s="270">
        <f>Database!I285</f>
        <v/>
      </c>
      <c r="AE296" s="270">
        <f>Database!BG285</f>
        <v/>
      </c>
      <c r="AF296" s="270">
        <f>Database!BM285</f>
        <v/>
      </c>
      <c r="AG296" s="270">
        <f>Database!H285</f>
        <v/>
      </c>
      <c r="AH296" s="270">
        <f>Database!BH285</f>
        <v/>
      </c>
    </row>
    <row r="297">
      <c r="A297" s="270">
        <f>Database!B297</f>
        <v/>
      </c>
      <c r="B297" s="270">
        <f>IF(AND(Screener!$D$8&lt;&gt;"",Database!$E297=Screener!$D$8),1,0)</f>
        <v/>
      </c>
      <c r="C297" s="270">
        <f>IF(AND(Screener!$D$7&lt;&gt;"",Database!$D297=Screener!$D$7),1,0)</f>
        <v/>
      </c>
      <c r="D297" s="270">
        <f>IF(OR(N(Database!$I297)&lt;=0,N(Screener!$D$9)&lt;=0),0,MAX(0,1-ABS(LOG10(N(Database!$I297)/Screener!$D$9))/W_SIZEHW))</f>
        <v/>
      </c>
      <c r="E297" s="270">
        <f>IF(OR(Database!$BG297="",Screener!$D$10=""),0,IF(Database!$BG297=Screener!$D$10,1,0))</f>
        <v/>
      </c>
      <c r="F297" s="270">
        <f>IF(OR(Database!$BM297="",Screener!$D$11=""),0,IF(Database!$BM297=Screener!$D$11,1,0))</f>
        <v/>
      </c>
      <c r="G297" s="270">
        <f>IF(OR(Database!$H297="",N(Screener!$D$12)&lt;=0),0,MAX(0,1-(N(Screener!$D$12)-Database!$H297)/W_RECD))</f>
        <v/>
      </c>
      <c r="H297" s="270">
        <f>IF($U$1="",0,N(ISNUMBER(SEARCH($U$1,Database!$AC297&amp;""))))+IF($V$1="",0,N(ISNUMBER(SEARCH($V$1,Database!$AC297&amp;""))))+IF($W$1="",0,N(ISNUMBER(SEARCH($W$1,Database!$AC297&amp;""))))+IF($X$1="",0,N(ISNUMBER(SEARCH($X$1,Database!$AC297&amp;""))))+IF($Y$1="",0,N(ISNUMBER(SEARCH($Y$1,Database!$AC297&amp;""))))+IF(Screener!$B$17="",0,N(ISNUMBER(SEARCH(LOWER(Screener!$B$17),Database!$AC297&amp;""))))</f>
        <v/>
      </c>
      <c r="I297" s="270">
        <f>IF(OR(N(Database!$BH297)&lt;=0,N(Screener!$D$13)&lt;=0),0,MAX(0,1-ABS(LOG10(N(Database!$BH297)/Screener!$D$13))/W_PEHW))</f>
        <v/>
      </c>
      <c r="J297" s="270">
        <f>IF(OR(N(Database!$S297)&lt;=0,N(Screener!$D$14)&lt;=0),0,MAX(0,1-ABS(LOG10(Database!$S297/Screener!$D$14))/0.6))</f>
        <v/>
      </c>
      <c r="K297" s="270">
        <f>IF(Database!$B297=Screener!$B$5,-999999,IF(ISNUMBER(SEARCH(","&amp;Database!$A297&amp;",",","&amp;SUBSTITUTE(Screener!$D$17," ","")&amp;",")),2000000,IF(IF(OR(Screener!$B$18="All",AND(Screener!$B$18="With A-share",(Database!$BM297="Y")),AND(Screener!$B$18="Without A-share",NOT((Database!$BM297="Y")))),1,0)=0,-999999,IF(Screener!$B$16="cornerstone overlap first",H297*100000,IF(Screener!$B$16="demand-similar first",J297*100000,0))+W_SUB*B297+W_SEC*C297*(1-B297)+W_SIZE*D297+W_PROF*E297+W_AH*F297+W_REC*G297+W_CS*H297+W_PE*I297)))+ROW()/1000000</f>
        <v/>
      </c>
      <c r="AA297" s="270">
        <f>Database!B286</f>
        <v/>
      </c>
      <c r="AB297" s="270">
        <f>Database!D286</f>
        <v/>
      </c>
      <c r="AC297" s="270">
        <f>Database!E286</f>
        <v/>
      </c>
      <c r="AD297" s="270">
        <f>Database!I286</f>
        <v/>
      </c>
      <c r="AE297" s="270">
        <f>Database!BG286</f>
        <v/>
      </c>
      <c r="AF297" s="270">
        <f>Database!BM286</f>
        <v/>
      </c>
      <c r="AG297" s="270">
        <f>Database!H286</f>
        <v/>
      </c>
      <c r="AH297" s="270">
        <f>Database!BH286</f>
        <v/>
      </c>
    </row>
    <row r="298">
      <c r="A298" s="270">
        <f>Database!B298</f>
        <v/>
      </c>
      <c r="B298" s="270">
        <f>IF(AND(Screener!$D$8&lt;&gt;"",Database!$E298=Screener!$D$8),1,0)</f>
        <v/>
      </c>
      <c r="C298" s="270">
        <f>IF(AND(Screener!$D$7&lt;&gt;"",Database!$D298=Screener!$D$7),1,0)</f>
        <v/>
      </c>
      <c r="D298" s="270">
        <f>IF(OR(N(Database!$I298)&lt;=0,N(Screener!$D$9)&lt;=0),0,MAX(0,1-ABS(LOG10(N(Database!$I298)/Screener!$D$9))/W_SIZEHW))</f>
        <v/>
      </c>
      <c r="E298" s="270">
        <f>IF(OR(Database!$BG298="",Screener!$D$10=""),0,IF(Database!$BG298=Screener!$D$10,1,0))</f>
        <v/>
      </c>
      <c r="F298" s="270">
        <f>IF(OR(Database!$BM298="",Screener!$D$11=""),0,IF(Database!$BM298=Screener!$D$11,1,0))</f>
        <v/>
      </c>
      <c r="G298" s="270">
        <f>IF(OR(Database!$H298="",N(Screener!$D$12)&lt;=0),0,MAX(0,1-(N(Screener!$D$12)-Database!$H298)/W_RECD))</f>
        <v/>
      </c>
      <c r="H298" s="270">
        <f>IF($U$1="",0,N(ISNUMBER(SEARCH($U$1,Database!$AC298&amp;""))))+IF($V$1="",0,N(ISNUMBER(SEARCH($V$1,Database!$AC298&amp;""))))+IF($W$1="",0,N(ISNUMBER(SEARCH($W$1,Database!$AC298&amp;""))))+IF($X$1="",0,N(ISNUMBER(SEARCH($X$1,Database!$AC298&amp;""))))+IF($Y$1="",0,N(ISNUMBER(SEARCH($Y$1,Database!$AC298&amp;""))))+IF(Screener!$B$17="",0,N(ISNUMBER(SEARCH(LOWER(Screener!$B$17),Database!$AC298&amp;""))))</f>
        <v/>
      </c>
      <c r="I298" s="270">
        <f>IF(OR(N(Database!$BH298)&lt;=0,N(Screener!$D$13)&lt;=0),0,MAX(0,1-ABS(LOG10(N(Database!$BH298)/Screener!$D$13))/W_PEHW))</f>
        <v/>
      </c>
      <c r="J298" s="270">
        <f>IF(OR(N(Database!$S298)&lt;=0,N(Screener!$D$14)&lt;=0),0,MAX(0,1-ABS(LOG10(Database!$S298/Screener!$D$14))/0.6))</f>
        <v/>
      </c>
      <c r="K298" s="270">
        <f>IF(Database!$B298=Screener!$B$5,-999999,IF(ISNUMBER(SEARCH(","&amp;Database!$A298&amp;",",","&amp;SUBSTITUTE(Screener!$D$17," ","")&amp;",")),2000000,IF(IF(OR(Screener!$B$18="All",AND(Screener!$B$18="With A-share",(Database!$BM298="Y")),AND(Screener!$B$18="Without A-share",NOT((Database!$BM298="Y")))),1,0)=0,-999999,IF(Screener!$B$16="cornerstone overlap first",H298*100000,IF(Screener!$B$16="demand-similar first",J298*100000,0))+W_SUB*B298+W_SEC*C298*(1-B298)+W_SIZE*D298+W_PROF*E298+W_AH*F298+W_REC*G298+W_CS*H298+W_PE*I298)))+ROW()/1000000</f>
        <v/>
      </c>
      <c r="AA298" s="270">
        <f>Database!B287</f>
        <v/>
      </c>
      <c r="AB298" s="270">
        <f>Database!D287</f>
        <v/>
      </c>
      <c r="AC298" s="270">
        <f>Database!E287</f>
        <v/>
      </c>
      <c r="AD298" s="270">
        <f>Database!I287</f>
        <v/>
      </c>
      <c r="AE298" s="270">
        <f>Database!BG287</f>
        <v/>
      </c>
      <c r="AF298" s="270">
        <f>Database!BM287</f>
        <v/>
      </c>
      <c r="AG298" s="270">
        <f>Database!H287</f>
        <v/>
      </c>
      <c r="AH298" s="270">
        <f>Database!BH287</f>
        <v/>
      </c>
    </row>
    <row r="299">
      <c r="A299" s="270">
        <f>Database!B299</f>
        <v/>
      </c>
      <c r="B299" s="270">
        <f>IF(AND(Screener!$D$8&lt;&gt;"",Database!$E299=Screener!$D$8),1,0)</f>
        <v/>
      </c>
      <c r="C299" s="270">
        <f>IF(AND(Screener!$D$7&lt;&gt;"",Database!$D299=Screener!$D$7),1,0)</f>
        <v/>
      </c>
      <c r="D299" s="270">
        <f>IF(OR(N(Database!$I299)&lt;=0,N(Screener!$D$9)&lt;=0),0,MAX(0,1-ABS(LOG10(N(Database!$I299)/Screener!$D$9))/W_SIZEHW))</f>
        <v/>
      </c>
      <c r="E299" s="270">
        <f>IF(OR(Database!$BG299="",Screener!$D$10=""),0,IF(Database!$BG299=Screener!$D$10,1,0))</f>
        <v/>
      </c>
      <c r="F299" s="270">
        <f>IF(OR(Database!$BM299="",Screener!$D$11=""),0,IF(Database!$BM299=Screener!$D$11,1,0))</f>
        <v/>
      </c>
      <c r="G299" s="270">
        <f>IF(OR(Database!$H299="",N(Screener!$D$12)&lt;=0),0,MAX(0,1-(N(Screener!$D$12)-Database!$H299)/W_RECD))</f>
        <v/>
      </c>
      <c r="H299" s="270">
        <f>IF($U$1="",0,N(ISNUMBER(SEARCH($U$1,Database!$AC299&amp;""))))+IF($V$1="",0,N(ISNUMBER(SEARCH($V$1,Database!$AC299&amp;""))))+IF($W$1="",0,N(ISNUMBER(SEARCH($W$1,Database!$AC299&amp;""))))+IF($X$1="",0,N(ISNUMBER(SEARCH($X$1,Database!$AC299&amp;""))))+IF($Y$1="",0,N(ISNUMBER(SEARCH($Y$1,Database!$AC299&amp;""))))+IF(Screener!$B$17="",0,N(ISNUMBER(SEARCH(LOWER(Screener!$B$17),Database!$AC299&amp;""))))</f>
        <v/>
      </c>
      <c r="I299" s="270">
        <f>IF(OR(N(Database!$BH299)&lt;=0,N(Screener!$D$13)&lt;=0),0,MAX(0,1-ABS(LOG10(N(Database!$BH299)/Screener!$D$13))/W_PEHW))</f>
        <v/>
      </c>
      <c r="J299" s="270">
        <f>IF(OR(N(Database!$S299)&lt;=0,N(Screener!$D$14)&lt;=0),0,MAX(0,1-ABS(LOG10(Database!$S299/Screener!$D$14))/0.6))</f>
        <v/>
      </c>
      <c r="K299" s="270">
        <f>IF(Database!$B299=Screener!$B$5,-999999,IF(ISNUMBER(SEARCH(","&amp;Database!$A299&amp;",",","&amp;SUBSTITUTE(Screener!$D$17," ","")&amp;",")),2000000,IF(IF(OR(Screener!$B$18="All",AND(Screener!$B$18="With A-share",(Database!$BM299="Y")),AND(Screener!$B$18="Without A-share",NOT((Database!$BM299="Y")))),1,0)=0,-999999,IF(Screener!$B$16="cornerstone overlap first",H299*100000,IF(Screener!$B$16="demand-similar first",J299*100000,0))+W_SUB*B299+W_SEC*C299*(1-B299)+W_SIZE*D299+W_PROF*E299+W_AH*F299+W_REC*G299+W_CS*H299+W_PE*I299)))+ROW()/1000000</f>
        <v/>
      </c>
      <c r="AA299" s="270">
        <f>Database!B288</f>
        <v/>
      </c>
      <c r="AB299" s="270">
        <f>Database!D288</f>
        <v/>
      </c>
      <c r="AC299" s="270">
        <f>Database!E288</f>
        <v/>
      </c>
      <c r="AD299" s="270">
        <f>Database!I288</f>
        <v/>
      </c>
      <c r="AE299" s="270">
        <f>Database!BG288</f>
        <v/>
      </c>
      <c r="AF299" s="270">
        <f>Database!BM288</f>
        <v/>
      </c>
      <c r="AG299" s="270">
        <f>Database!H288</f>
        <v/>
      </c>
      <c r="AH299" s="270">
        <f>Database!BH288</f>
        <v/>
      </c>
    </row>
    <row r="300">
      <c r="A300" s="270">
        <f>Database!B300</f>
        <v/>
      </c>
      <c r="B300" s="270">
        <f>IF(AND(Screener!$D$8&lt;&gt;"",Database!$E300=Screener!$D$8),1,0)</f>
        <v/>
      </c>
      <c r="C300" s="270">
        <f>IF(AND(Screener!$D$7&lt;&gt;"",Database!$D300=Screener!$D$7),1,0)</f>
        <v/>
      </c>
      <c r="D300" s="270">
        <f>IF(OR(N(Database!$I300)&lt;=0,N(Screener!$D$9)&lt;=0),0,MAX(0,1-ABS(LOG10(N(Database!$I300)/Screener!$D$9))/W_SIZEHW))</f>
        <v/>
      </c>
      <c r="E300" s="270">
        <f>IF(OR(Database!$BG300="",Screener!$D$10=""),0,IF(Database!$BG300=Screener!$D$10,1,0))</f>
        <v/>
      </c>
      <c r="F300" s="270">
        <f>IF(OR(Database!$BM300="",Screener!$D$11=""),0,IF(Database!$BM300=Screener!$D$11,1,0))</f>
        <v/>
      </c>
      <c r="G300" s="270">
        <f>IF(OR(Database!$H300="",N(Screener!$D$12)&lt;=0),0,MAX(0,1-(N(Screener!$D$12)-Database!$H300)/W_RECD))</f>
        <v/>
      </c>
      <c r="H300" s="270">
        <f>IF($U$1="",0,N(ISNUMBER(SEARCH($U$1,Database!$AC300&amp;""))))+IF($V$1="",0,N(ISNUMBER(SEARCH($V$1,Database!$AC300&amp;""))))+IF($W$1="",0,N(ISNUMBER(SEARCH($W$1,Database!$AC300&amp;""))))+IF($X$1="",0,N(ISNUMBER(SEARCH($X$1,Database!$AC300&amp;""))))+IF($Y$1="",0,N(ISNUMBER(SEARCH($Y$1,Database!$AC300&amp;""))))+IF(Screener!$B$17="",0,N(ISNUMBER(SEARCH(LOWER(Screener!$B$17),Database!$AC300&amp;""))))</f>
        <v/>
      </c>
      <c r="I300" s="270">
        <f>IF(OR(N(Database!$BH300)&lt;=0,N(Screener!$D$13)&lt;=0),0,MAX(0,1-ABS(LOG10(N(Database!$BH300)/Screener!$D$13))/W_PEHW))</f>
        <v/>
      </c>
      <c r="J300" s="270">
        <f>IF(OR(N(Database!$S300)&lt;=0,N(Screener!$D$14)&lt;=0),0,MAX(0,1-ABS(LOG10(Database!$S300/Screener!$D$14))/0.6))</f>
        <v/>
      </c>
      <c r="K300" s="270">
        <f>IF(Database!$B300=Screener!$B$5,-999999,IF(ISNUMBER(SEARCH(","&amp;Database!$A300&amp;",",","&amp;SUBSTITUTE(Screener!$D$17," ","")&amp;",")),2000000,IF(IF(OR(Screener!$B$18="All",AND(Screener!$B$18="With A-share",(Database!$BM300="Y")),AND(Screener!$B$18="Without A-share",NOT((Database!$BM300="Y")))),1,0)=0,-999999,IF(Screener!$B$16="cornerstone overlap first",H300*100000,IF(Screener!$B$16="demand-similar first",J300*100000,0))+W_SUB*B300+W_SEC*C300*(1-B300)+W_SIZE*D300+W_PROF*E300+W_AH*F300+W_REC*G300+W_CS*H300+W_PE*I300)))+ROW()/1000000</f>
        <v/>
      </c>
      <c r="AA300" s="270">
        <f>Database!B289</f>
        <v/>
      </c>
      <c r="AB300" s="270">
        <f>Database!D289</f>
        <v/>
      </c>
      <c r="AC300" s="270">
        <f>Database!E289</f>
        <v/>
      </c>
      <c r="AD300" s="270">
        <f>Database!I289</f>
        <v/>
      </c>
      <c r="AE300" s="270">
        <f>Database!BG289</f>
        <v/>
      </c>
      <c r="AF300" s="270">
        <f>Database!BM289</f>
        <v/>
      </c>
      <c r="AG300" s="270">
        <f>Database!H289</f>
        <v/>
      </c>
      <c r="AH300" s="270">
        <f>Database!BH289</f>
        <v/>
      </c>
    </row>
    <row r="301">
      <c r="A301" s="270">
        <f>Database!B301</f>
        <v/>
      </c>
      <c r="B301" s="270">
        <f>IF(AND(Screener!$D$8&lt;&gt;"",Database!$E301=Screener!$D$8),1,0)</f>
        <v/>
      </c>
      <c r="C301" s="270">
        <f>IF(AND(Screener!$D$7&lt;&gt;"",Database!$D301=Screener!$D$7),1,0)</f>
        <v/>
      </c>
      <c r="D301" s="270">
        <f>IF(OR(N(Database!$I301)&lt;=0,N(Screener!$D$9)&lt;=0),0,MAX(0,1-ABS(LOG10(N(Database!$I301)/Screener!$D$9))/W_SIZEHW))</f>
        <v/>
      </c>
      <c r="E301" s="270">
        <f>IF(OR(Database!$BG301="",Screener!$D$10=""),0,IF(Database!$BG301=Screener!$D$10,1,0))</f>
        <v/>
      </c>
      <c r="F301" s="270">
        <f>IF(OR(Database!$BM301="",Screener!$D$11=""),0,IF(Database!$BM301=Screener!$D$11,1,0))</f>
        <v/>
      </c>
      <c r="G301" s="270">
        <f>IF(OR(Database!$H301="",N(Screener!$D$12)&lt;=0),0,MAX(0,1-(N(Screener!$D$12)-Database!$H301)/W_RECD))</f>
        <v/>
      </c>
      <c r="H301" s="270">
        <f>IF($U$1="",0,N(ISNUMBER(SEARCH($U$1,Database!$AC301&amp;""))))+IF($V$1="",0,N(ISNUMBER(SEARCH($V$1,Database!$AC301&amp;""))))+IF($W$1="",0,N(ISNUMBER(SEARCH($W$1,Database!$AC301&amp;""))))+IF($X$1="",0,N(ISNUMBER(SEARCH($X$1,Database!$AC301&amp;""))))+IF($Y$1="",0,N(ISNUMBER(SEARCH($Y$1,Database!$AC301&amp;""))))+IF(Screener!$B$17="",0,N(ISNUMBER(SEARCH(LOWER(Screener!$B$17),Database!$AC301&amp;""))))</f>
        <v/>
      </c>
      <c r="I301" s="270">
        <f>IF(OR(N(Database!$BH301)&lt;=0,N(Screener!$D$13)&lt;=0),0,MAX(0,1-ABS(LOG10(N(Database!$BH301)/Screener!$D$13))/W_PEHW))</f>
        <v/>
      </c>
      <c r="J301" s="270">
        <f>IF(OR(N(Database!$S301)&lt;=0,N(Screener!$D$14)&lt;=0),0,MAX(0,1-ABS(LOG10(Database!$S301/Screener!$D$14))/0.6))</f>
        <v/>
      </c>
      <c r="K301" s="270">
        <f>IF(Database!$B301=Screener!$B$5,-999999,IF(ISNUMBER(SEARCH(","&amp;Database!$A301&amp;",",","&amp;SUBSTITUTE(Screener!$D$17," ","")&amp;",")),2000000,IF(IF(OR(Screener!$B$18="All",AND(Screener!$B$18="With A-share",(Database!$BM301="Y")),AND(Screener!$B$18="Without A-share",NOT((Database!$BM301="Y")))),1,0)=0,-999999,IF(Screener!$B$16="cornerstone overlap first",H301*100000,IF(Screener!$B$16="demand-similar first",J301*100000,0))+W_SUB*B301+W_SEC*C301*(1-B301)+W_SIZE*D301+W_PROF*E301+W_AH*F301+W_REC*G301+W_CS*H301+W_PE*I301)))+ROW()/1000000</f>
        <v/>
      </c>
      <c r="AA301" s="270">
        <f>Database!B290</f>
        <v/>
      </c>
      <c r="AB301" s="270">
        <f>Database!D290</f>
        <v/>
      </c>
      <c r="AC301" s="270">
        <f>Database!E290</f>
        <v/>
      </c>
      <c r="AD301" s="270">
        <f>Database!I290</f>
        <v/>
      </c>
      <c r="AE301" s="270">
        <f>Database!BG290</f>
        <v/>
      </c>
      <c r="AF301" s="270">
        <f>Database!BM290</f>
        <v/>
      </c>
      <c r="AG301" s="270">
        <f>Database!H290</f>
        <v/>
      </c>
      <c r="AH301" s="270">
        <f>Database!BH290</f>
        <v/>
      </c>
    </row>
    <row r="302">
      <c r="A302" s="270">
        <f>Database!B302</f>
        <v/>
      </c>
      <c r="B302" s="270">
        <f>IF(AND(Screener!$D$8&lt;&gt;"",Database!$E302=Screener!$D$8),1,0)</f>
        <v/>
      </c>
      <c r="C302" s="270">
        <f>IF(AND(Screener!$D$7&lt;&gt;"",Database!$D302=Screener!$D$7),1,0)</f>
        <v/>
      </c>
      <c r="D302" s="270">
        <f>IF(OR(N(Database!$I302)&lt;=0,N(Screener!$D$9)&lt;=0),0,MAX(0,1-ABS(LOG10(N(Database!$I302)/Screener!$D$9))/W_SIZEHW))</f>
        <v/>
      </c>
      <c r="E302" s="270">
        <f>IF(OR(Database!$BG302="",Screener!$D$10=""),0,IF(Database!$BG302=Screener!$D$10,1,0))</f>
        <v/>
      </c>
      <c r="F302" s="270">
        <f>IF(OR(Database!$BM302="",Screener!$D$11=""),0,IF(Database!$BM302=Screener!$D$11,1,0))</f>
        <v/>
      </c>
      <c r="G302" s="270">
        <f>IF(OR(Database!$H302="",N(Screener!$D$12)&lt;=0),0,MAX(0,1-(N(Screener!$D$12)-Database!$H302)/W_RECD))</f>
        <v/>
      </c>
      <c r="H302" s="270">
        <f>IF($U$1="",0,N(ISNUMBER(SEARCH($U$1,Database!$AC302&amp;""))))+IF($V$1="",0,N(ISNUMBER(SEARCH($V$1,Database!$AC302&amp;""))))+IF($W$1="",0,N(ISNUMBER(SEARCH($W$1,Database!$AC302&amp;""))))+IF($X$1="",0,N(ISNUMBER(SEARCH($X$1,Database!$AC302&amp;""))))+IF($Y$1="",0,N(ISNUMBER(SEARCH($Y$1,Database!$AC302&amp;""))))+IF(Screener!$B$17="",0,N(ISNUMBER(SEARCH(LOWER(Screener!$B$17),Database!$AC302&amp;""))))</f>
        <v/>
      </c>
      <c r="I302" s="270">
        <f>IF(OR(N(Database!$BH302)&lt;=0,N(Screener!$D$13)&lt;=0),0,MAX(0,1-ABS(LOG10(N(Database!$BH302)/Screener!$D$13))/W_PEHW))</f>
        <v/>
      </c>
      <c r="J302" s="270">
        <f>IF(OR(N(Database!$S302)&lt;=0,N(Screener!$D$14)&lt;=0),0,MAX(0,1-ABS(LOG10(Database!$S302/Screener!$D$14))/0.6))</f>
        <v/>
      </c>
      <c r="K302" s="270">
        <f>IF(Database!$B302=Screener!$B$5,-999999,IF(ISNUMBER(SEARCH(","&amp;Database!$A302&amp;",",","&amp;SUBSTITUTE(Screener!$D$17," ","")&amp;",")),2000000,IF(IF(OR(Screener!$B$18="All",AND(Screener!$B$18="With A-share",(Database!$BM302="Y")),AND(Screener!$B$18="Without A-share",NOT((Database!$BM302="Y")))),1,0)=0,-999999,IF(Screener!$B$16="cornerstone overlap first",H302*100000,IF(Screener!$B$16="demand-similar first",J302*100000,0))+W_SUB*B302+W_SEC*C302*(1-B302)+W_SIZE*D302+W_PROF*E302+W_AH*F302+W_REC*G302+W_CS*H302+W_PE*I302)))+ROW()/1000000</f>
        <v/>
      </c>
      <c r="AA302" s="270">
        <f>Database!B291</f>
        <v/>
      </c>
      <c r="AB302" s="270">
        <f>Database!D291</f>
        <v/>
      </c>
      <c r="AC302" s="270">
        <f>Database!E291</f>
        <v/>
      </c>
      <c r="AD302" s="270">
        <f>Database!I291</f>
        <v/>
      </c>
      <c r="AE302" s="270">
        <f>Database!BG291</f>
        <v/>
      </c>
      <c r="AF302" s="270">
        <f>Database!BM291</f>
        <v/>
      </c>
      <c r="AG302" s="270">
        <f>Database!H291</f>
        <v/>
      </c>
      <c r="AH302" s="270">
        <f>Database!BH291</f>
        <v/>
      </c>
    </row>
    <row r="303">
      <c r="A303" s="270">
        <f>Database!B303</f>
        <v/>
      </c>
      <c r="B303" s="270">
        <f>IF(AND(Screener!$D$8&lt;&gt;"",Database!$E303=Screener!$D$8),1,0)</f>
        <v/>
      </c>
      <c r="C303" s="270">
        <f>IF(AND(Screener!$D$7&lt;&gt;"",Database!$D303=Screener!$D$7),1,0)</f>
        <v/>
      </c>
      <c r="D303" s="270">
        <f>IF(OR(N(Database!$I303)&lt;=0,N(Screener!$D$9)&lt;=0),0,MAX(0,1-ABS(LOG10(N(Database!$I303)/Screener!$D$9))/W_SIZEHW))</f>
        <v/>
      </c>
      <c r="E303" s="270">
        <f>IF(OR(Database!$BG303="",Screener!$D$10=""),0,IF(Database!$BG303=Screener!$D$10,1,0))</f>
        <v/>
      </c>
      <c r="F303" s="270">
        <f>IF(OR(Database!$BM303="",Screener!$D$11=""),0,IF(Database!$BM303=Screener!$D$11,1,0))</f>
        <v/>
      </c>
      <c r="G303" s="270">
        <f>IF(OR(Database!$H303="",N(Screener!$D$12)&lt;=0),0,MAX(0,1-(N(Screener!$D$12)-Database!$H303)/W_RECD))</f>
        <v/>
      </c>
      <c r="H303" s="270">
        <f>IF($U$1="",0,N(ISNUMBER(SEARCH($U$1,Database!$AC303&amp;""))))+IF($V$1="",0,N(ISNUMBER(SEARCH($V$1,Database!$AC303&amp;""))))+IF($W$1="",0,N(ISNUMBER(SEARCH($W$1,Database!$AC303&amp;""))))+IF($X$1="",0,N(ISNUMBER(SEARCH($X$1,Database!$AC303&amp;""))))+IF($Y$1="",0,N(ISNUMBER(SEARCH($Y$1,Database!$AC303&amp;""))))+IF(Screener!$B$17="",0,N(ISNUMBER(SEARCH(LOWER(Screener!$B$17),Database!$AC303&amp;""))))</f>
        <v/>
      </c>
      <c r="I303" s="270">
        <f>IF(OR(N(Database!$BH303)&lt;=0,N(Screener!$D$13)&lt;=0),0,MAX(0,1-ABS(LOG10(N(Database!$BH303)/Screener!$D$13))/W_PEHW))</f>
        <v/>
      </c>
      <c r="J303" s="270">
        <f>IF(OR(N(Database!$S303)&lt;=0,N(Screener!$D$14)&lt;=0),0,MAX(0,1-ABS(LOG10(Database!$S303/Screener!$D$14))/0.6))</f>
        <v/>
      </c>
      <c r="K303" s="270">
        <f>IF(Database!$B303=Screener!$B$5,-999999,IF(ISNUMBER(SEARCH(","&amp;Database!$A303&amp;",",","&amp;SUBSTITUTE(Screener!$D$17," ","")&amp;",")),2000000,IF(IF(OR(Screener!$B$18="All",AND(Screener!$B$18="With A-share",(Database!$BM303="Y")),AND(Screener!$B$18="Without A-share",NOT((Database!$BM303="Y")))),1,0)=0,-999999,IF(Screener!$B$16="cornerstone overlap first",H303*100000,IF(Screener!$B$16="demand-similar first",J303*100000,0))+W_SUB*B303+W_SEC*C303*(1-B303)+W_SIZE*D303+W_PROF*E303+W_AH*F303+W_REC*G303+W_CS*H303+W_PE*I303)))+ROW()/1000000</f>
        <v/>
      </c>
      <c r="AA303" s="270">
        <f>Database!B292</f>
        <v/>
      </c>
      <c r="AB303" s="270">
        <f>Database!D292</f>
        <v/>
      </c>
      <c r="AC303" s="270">
        <f>Database!E292</f>
        <v/>
      </c>
      <c r="AD303" s="270">
        <f>Database!I292</f>
        <v/>
      </c>
      <c r="AE303" s="270">
        <f>Database!BG292</f>
        <v/>
      </c>
      <c r="AF303" s="270">
        <f>Database!BM292</f>
        <v/>
      </c>
      <c r="AG303" s="270">
        <f>Database!H292</f>
        <v/>
      </c>
      <c r="AH303" s="270">
        <f>Database!BH292</f>
        <v/>
      </c>
    </row>
    <row r="304">
      <c r="A304" s="270">
        <f>Database!B304</f>
        <v/>
      </c>
      <c r="B304" s="270">
        <f>IF(AND(Screener!$D$8&lt;&gt;"",Database!$E304=Screener!$D$8),1,0)</f>
        <v/>
      </c>
      <c r="C304" s="270">
        <f>IF(AND(Screener!$D$7&lt;&gt;"",Database!$D304=Screener!$D$7),1,0)</f>
        <v/>
      </c>
      <c r="D304" s="270">
        <f>IF(OR(N(Database!$I304)&lt;=0,N(Screener!$D$9)&lt;=0),0,MAX(0,1-ABS(LOG10(N(Database!$I304)/Screener!$D$9))/W_SIZEHW))</f>
        <v/>
      </c>
      <c r="E304" s="270">
        <f>IF(OR(Database!$BG304="",Screener!$D$10=""),0,IF(Database!$BG304=Screener!$D$10,1,0))</f>
        <v/>
      </c>
      <c r="F304" s="270">
        <f>IF(OR(Database!$BM304="",Screener!$D$11=""),0,IF(Database!$BM304=Screener!$D$11,1,0))</f>
        <v/>
      </c>
      <c r="G304" s="270">
        <f>IF(OR(Database!$H304="",N(Screener!$D$12)&lt;=0),0,MAX(0,1-(N(Screener!$D$12)-Database!$H304)/W_RECD))</f>
        <v/>
      </c>
      <c r="H304" s="270">
        <f>IF($U$1="",0,N(ISNUMBER(SEARCH($U$1,Database!$AC304&amp;""))))+IF($V$1="",0,N(ISNUMBER(SEARCH($V$1,Database!$AC304&amp;""))))+IF($W$1="",0,N(ISNUMBER(SEARCH($W$1,Database!$AC304&amp;""))))+IF($X$1="",0,N(ISNUMBER(SEARCH($X$1,Database!$AC304&amp;""))))+IF($Y$1="",0,N(ISNUMBER(SEARCH($Y$1,Database!$AC304&amp;""))))+IF(Screener!$B$17="",0,N(ISNUMBER(SEARCH(LOWER(Screener!$B$17),Database!$AC304&amp;""))))</f>
        <v/>
      </c>
      <c r="I304" s="270">
        <f>IF(OR(N(Database!$BH304)&lt;=0,N(Screener!$D$13)&lt;=0),0,MAX(0,1-ABS(LOG10(N(Database!$BH304)/Screener!$D$13))/W_PEHW))</f>
        <v/>
      </c>
      <c r="J304" s="270">
        <f>IF(OR(N(Database!$S304)&lt;=0,N(Screener!$D$14)&lt;=0),0,MAX(0,1-ABS(LOG10(Database!$S304/Screener!$D$14))/0.6))</f>
        <v/>
      </c>
      <c r="K304" s="270">
        <f>IF(Database!$B304=Screener!$B$5,-999999,IF(ISNUMBER(SEARCH(","&amp;Database!$A304&amp;",",","&amp;SUBSTITUTE(Screener!$D$17," ","")&amp;",")),2000000,IF(IF(OR(Screener!$B$18="All",AND(Screener!$B$18="With A-share",(Database!$BM304="Y")),AND(Screener!$B$18="Without A-share",NOT((Database!$BM304="Y")))),1,0)=0,-999999,IF(Screener!$B$16="cornerstone overlap first",H304*100000,IF(Screener!$B$16="demand-similar first",J304*100000,0))+W_SUB*B304+W_SEC*C304*(1-B304)+W_SIZE*D304+W_PROF*E304+W_AH*F304+W_REC*G304+W_CS*H304+W_PE*I304)))+ROW()/1000000</f>
        <v/>
      </c>
      <c r="AA304" s="270">
        <f>Database!B293</f>
        <v/>
      </c>
      <c r="AB304" s="270">
        <f>Database!D293</f>
        <v/>
      </c>
      <c r="AC304" s="270">
        <f>Database!E293</f>
        <v/>
      </c>
      <c r="AD304" s="270">
        <f>Database!I293</f>
        <v/>
      </c>
      <c r="AE304" s="270">
        <f>Database!BG293</f>
        <v/>
      </c>
      <c r="AF304" s="270">
        <f>Database!BM293</f>
        <v/>
      </c>
      <c r="AG304" s="270">
        <f>Database!H293</f>
        <v/>
      </c>
      <c r="AH304" s="270">
        <f>Database!BH293</f>
        <v/>
      </c>
    </row>
    <row r="305">
      <c r="A305" s="270">
        <f>Database!B305</f>
        <v/>
      </c>
      <c r="B305" s="270">
        <f>IF(AND(Screener!$D$8&lt;&gt;"",Database!$E305=Screener!$D$8),1,0)</f>
        <v/>
      </c>
      <c r="C305" s="270">
        <f>IF(AND(Screener!$D$7&lt;&gt;"",Database!$D305=Screener!$D$7),1,0)</f>
        <v/>
      </c>
      <c r="D305" s="270">
        <f>IF(OR(N(Database!$I305)&lt;=0,N(Screener!$D$9)&lt;=0),0,MAX(0,1-ABS(LOG10(N(Database!$I305)/Screener!$D$9))/W_SIZEHW))</f>
        <v/>
      </c>
      <c r="E305" s="270">
        <f>IF(OR(Database!$BG305="",Screener!$D$10=""),0,IF(Database!$BG305=Screener!$D$10,1,0))</f>
        <v/>
      </c>
      <c r="F305" s="270">
        <f>IF(OR(Database!$BM305="",Screener!$D$11=""),0,IF(Database!$BM305=Screener!$D$11,1,0))</f>
        <v/>
      </c>
      <c r="G305" s="270">
        <f>IF(OR(Database!$H305="",N(Screener!$D$12)&lt;=0),0,MAX(0,1-(N(Screener!$D$12)-Database!$H305)/W_RECD))</f>
        <v/>
      </c>
      <c r="H305" s="270">
        <f>IF($U$1="",0,N(ISNUMBER(SEARCH($U$1,Database!$AC305&amp;""))))+IF($V$1="",0,N(ISNUMBER(SEARCH($V$1,Database!$AC305&amp;""))))+IF($W$1="",0,N(ISNUMBER(SEARCH($W$1,Database!$AC305&amp;""))))+IF($X$1="",0,N(ISNUMBER(SEARCH($X$1,Database!$AC305&amp;""))))+IF($Y$1="",0,N(ISNUMBER(SEARCH($Y$1,Database!$AC305&amp;""))))+IF(Screener!$B$17="",0,N(ISNUMBER(SEARCH(LOWER(Screener!$B$17),Database!$AC305&amp;""))))</f>
        <v/>
      </c>
      <c r="I305" s="270">
        <f>IF(OR(N(Database!$BH305)&lt;=0,N(Screener!$D$13)&lt;=0),0,MAX(0,1-ABS(LOG10(N(Database!$BH305)/Screener!$D$13))/W_PEHW))</f>
        <v/>
      </c>
      <c r="J305" s="270">
        <f>IF(OR(N(Database!$S305)&lt;=0,N(Screener!$D$14)&lt;=0),0,MAX(0,1-ABS(LOG10(Database!$S305/Screener!$D$14))/0.6))</f>
        <v/>
      </c>
      <c r="K305" s="270">
        <f>IF(Database!$B305=Screener!$B$5,-999999,IF(ISNUMBER(SEARCH(","&amp;Database!$A305&amp;",",","&amp;SUBSTITUTE(Screener!$D$17," ","")&amp;",")),2000000,IF(IF(OR(Screener!$B$18="All",AND(Screener!$B$18="With A-share",(Database!$BM305="Y")),AND(Screener!$B$18="Without A-share",NOT((Database!$BM305="Y")))),1,0)=0,-999999,IF(Screener!$B$16="cornerstone overlap first",H305*100000,IF(Screener!$B$16="demand-similar first",J305*100000,0))+W_SUB*B305+W_SEC*C305*(1-B305)+W_SIZE*D305+W_PROF*E305+W_AH*F305+W_REC*G305+W_CS*H305+W_PE*I305)))+ROW()/1000000</f>
        <v/>
      </c>
      <c r="AA305" s="270">
        <f>Database!B294</f>
        <v/>
      </c>
      <c r="AB305" s="270">
        <f>Database!D294</f>
        <v/>
      </c>
      <c r="AC305" s="270">
        <f>Database!E294</f>
        <v/>
      </c>
      <c r="AD305" s="270">
        <f>Database!I294</f>
        <v/>
      </c>
      <c r="AE305" s="270">
        <f>Database!BG294</f>
        <v/>
      </c>
      <c r="AF305" s="270">
        <f>Database!BM294</f>
        <v/>
      </c>
      <c r="AG305" s="270">
        <f>Database!H294</f>
        <v/>
      </c>
      <c r="AH305" s="270">
        <f>Database!BH294</f>
        <v/>
      </c>
    </row>
    <row r="306">
      <c r="A306" s="270">
        <f>Database!B306</f>
        <v/>
      </c>
      <c r="B306" s="270">
        <f>IF(AND(Screener!$D$8&lt;&gt;"",Database!$E306=Screener!$D$8),1,0)</f>
        <v/>
      </c>
      <c r="C306" s="270">
        <f>IF(AND(Screener!$D$7&lt;&gt;"",Database!$D306=Screener!$D$7),1,0)</f>
        <v/>
      </c>
      <c r="D306" s="270">
        <f>IF(OR(N(Database!$I306)&lt;=0,N(Screener!$D$9)&lt;=0),0,MAX(0,1-ABS(LOG10(N(Database!$I306)/Screener!$D$9))/W_SIZEHW))</f>
        <v/>
      </c>
      <c r="E306" s="270">
        <f>IF(OR(Database!$BG306="",Screener!$D$10=""),0,IF(Database!$BG306=Screener!$D$10,1,0))</f>
        <v/>
      </c>
      <c r="F306" s="270">
        <f>IF(OR(Database!$BM306="",Screener!$D$11=""),0,IF(Database!$BM306=Screener!$D$11,1,0))</f>
        <v/>
      </c>
      <c r="G306" s="270">
        <f>IF(OR(Database!$H306="",N(Screener!$D$12)&lt;=0),0,MAX(0,1-(N(Screener!$D$12)-Database!$H306)/W_RECD))</f>
        <v/>
      </c>
      <c r="H306" s="270">
        <f>IF($U$1="",0,N(ISNUMBER(SEARCH($U$1,Database!$AC306&amp;""))))+IF($V$1="",0,N(ISNUMBER(SEARCH($V$1,Database!$AC306&amp;""))))+IF($W$1="",0,N(ISNUMBER(SEARCH($W$1,Database!$AC306&amp;""))))+IF($X$1="",0,N(ISNUMBER(SEARCH($X$1,Database!$AC306&amp;""))))+IF($Y$1="",0,N(ISNUMBER(SEARCH($Y$1,Database!$AC306&amp;""))))+IF(Screener!$B$17="",0,N(ISNUMBER(SEARCH(LOWER(Screener!$B$17),Database!$AC306&amp;""))))</f>
        <v/>
      </c>
      <c r="I306" s="270">
        <f>IF(OR(N(Database!$BH306)&lt;=0,N(Screener!$D$13)&lt;=0),0,MAX(0,1-ABS(LOG10(N(Database!$BH306)/Screener!$D$13))/W_PEHW))</f>
        <v/>
      </c>
      <c r="J306" s="270">
        <f>IF(OR(N(Database!$S306)&lt;=0,N(Screener!$D$14)&lt;=0),0,MAX(0,1-ABS(LOG10(Database!$S306/Screener!$D$14))/0.6))</f>
        <v/>
      </c>
      <c r="K306" s="270">
        <f>IF(Database!$B306=Screener!$B$5,-999999,IF(ISNUMBER(SEARCH(","&amp;Database!$A306&amp;",",","&amp;SUBSTITUTE(Screener!$D$17," ","")&amp;",")),2000000,IF(IF(OR(Screener!$B$18="All",AND(Screener!$B$18="With A-share",(Database!$BM306="Y")),AND(Screener!$B$18="Without A-share",NOT((Database!$BM306="Y")))),1,0)=0,-999999,IF(Screener!$B$16="cornerstone overlap first",H306*100000,IF(Screener!$B$16="demand-similar first",J306*100000,0))+W_SUB*B306+W_SEC*C306*(1-B306)+W_SIZE*D306+W_PROF*E306+W_AH*F306+W_REC*G306+W_CS*H306+W_PE*I306)))+ROW()/1000000</f>
        <v/>
      </c>
      <c r="AA306" s="270">
        <f>Database!B295</f>
        <v/>
      </c>
      <c r="AB306" s="270">
        <f>Database!D295</f>
        <v/>
      </c>
      <c r="AC306" s="270">
        <f>Database!E295</f>
        <v/>
      </c>
      <c r="AD306" s="270">
        <f>Database!I295</f>
        <v/>
      </c>
      <c r="AE306" s="270">
        <f>Database!BG295</f>
        <v/>
      </c>
      <c r="AF306" s="270">
        <f>Database!BM295</f>
        <v/>
      </c>
      <c r="AG306" s="270">
        <f>Database!H295</f>
        <v/>
      </c>
      <c r="AH306" s="270">
        <f>Database!BH295</f>
        <v/>
      </c>
    </row>
    <row r="307">
      <c r="A307" s="270">
        <f>Database!B307</f>
        <v/>
      </c>
      <c r="B307" s="270">
        <f>IF(AND(Screener!$D$8&lt;&gt;"",Database!$E307=Screener!$D$8),1,0)</f>
        <v/>
      </c>
      <c r="C307" s="270">
        <f>IF(AND(Screener!$D$7&lt;&gt;"",Database!$D307=Screener!$D$7),1,0)</f>
        <v/>
      </c>
      <c r="D307" s="270">
        <f>IF(OR(N(Database!$I307)&lt;=0,N(Screener!$D$9)&lt;=0),0,MAX(0,1-ABS(LOG10(N(Database!$I307)/Screener!$D$9))/W_SIZEHW))</f>
        <v/>
      </c>
      <c r="E307" s="270">
        <f>IF(OR(Database!$BG307="",Screener!$D$10=""),0,IF(Database!$BG307=Screener!$D$10,1,0))</f>
        <v/>
      </c>
      <c r="F307" s="270">
        <f>IF(OR(Database!$BM307="",Screener!$D$11=""),0,IF(Database!$BM307=Screener!$D$11,1,0))</f>
        <v/>
      </c>
      <c r="G307" s="270">
        <f>IF(OR(Database!$H307="",N(Screener!$D$12)&lt;=0),0,MAX(0,1-(N(Screener!$D$12)-Database!$H307)/W_RECD))</f>
        <v/>
      </c>
      <c r="H307" s="270">
        <f>IF($U$1="",0,N(ISNUMBER(SEARCH($U$1,Database!$AC307&amp;""))))+IF($V$1="",0,N(ISNUMBER(SEARCH($V$1,Database!$AC307&amp;""))))+IF($W$1="",0,N(ISNUMBER(SEARCH($W$1,Database!$AC307&amp;""))))+IF($X$1="",0,N(ISNUMBER(SEARCH($X$1,Database!$AC307&amp;""))))+IF($Y$1="",0,N(ISNUMBER(SEARCH($Y$1,Database!$AC307&amp;""))))+IF(Screener!$B$17="",0,N(ISNUMBER(SEARCH(LOWER(Screener!$B$17),Database!$AC307&amp;""))))</f>
        <v/>
      </c>
      <c r="I307" s="270">
        <f>IF(OR(N(Database!$BH307)&lt;=0,N(Screener!$D$13)&lt;=0),0,MAX(0,1-ABS(LOG10(N(Database!$BH307)/Screener!$D$13))/W_PEHW))</f>
        <v/>
      </c>
      <c r="J307" s="270">
        <f>IF(OR(N(Database!$S307)&lt;=0,N(Screener!$D$14)&lt;=0),0,MAX(0,1-ABS(LOG10(Database!$S307/Screener!$D$14))/0.6))</f>
        <v/>
      </c>
      <c r="K307" s="270">
        <f>IF(Database!$B307=Screener!$B$5,-999999,IF(ISNUMBER(SEARCH(","&amp;Database!$A307&amp;",",","&amp;SUBSTITUTE(Screener!$D$17," ","")&amp;",")),2000000,IF(IF(OR(Screener!$B$18="All",AND(Screener!$B$18="With A-share",(Database!$BM307="Y")),AND(Screener!$B$18="Without A-share",NOT((Database!$BM307="Y")))),1,0)=0,-999999,IF(Screener!$B$16="cornerstone overlap first",H307*100000,IF(Screener!$B$16="demand-similar first",J307*100000,0))+W_SUB*B307+W_SEC*C307*(1-B307)+W_SIZE*D307+W_PROF*E307+W_AH*F307+W_REC*G307+W_CS*H307+W_PE*I307)))+ROW()/1000000</f>
        <v/>
      </c>
      <c r="AA307" s="270">
        <f>Database!B296</f>
        <v/>
      </c>
      <c r="AB307" s="270">
        <f>Database!D296</f>
        <v/>
      </c>
      <c r="AC307" s="270">
        <f>Database!E296</f>
        <v/>
      </c>
      <c r="AD307" s="270">
        <f>Database!I296</f>
        <v/>
      </c>
      <c r="AE307" s="270">
        <f>Database!BG296</f>
        <v/>
      </c>
      <c r="AF307" s="270">
        <f>Database!BM296</f>
        <v/>
      </c>
      <c r="AG307" s="270">
        <f>Database!H296</f>
        <v/>
      </c>
      <c r="AH307" s="270">
        <f>Database!BH296</f>
        <v/>
      </c>
    </row>
    <row r="308">
      <c r="A308" s="270">
        <f>Database!B308</f>
        <v/>
      </c>
      <c r="B308" s="270">
        <f>IF(AND(Screener!$D$8&lt;&gt;"",Database!$E308=Screener!$D$8),1,0)</f>
        <v/>
      </c>
      <c r="C308" s="270">
        <f>IF(AND(Screener!$D$7&lt;&gt;"",Database!$D308=Screener!$D$7),1,0)</f>
        <v/>
      </c>
      <c r="D308" s="270">
        <f>IF(OR(N(Database!$I308)&lt;=0,N(Screener!$D$9)&lt;=0),0,MAX(0,1-ABS(LOG10(N(Database!$I308)/Screener!$D$9))/W_SIZEHW))</f>
        <v/>
      </c>
      <c r="E308" s="270">
        <f>IF(OR(Database!$BG308="",Screener!$D$10=""),0,IF(Database!$BG308=Screener!$D$10,1,0))</f>
        <v/>
      </c>
      <c r="F308" s="270">
        <f>IF(OR(Database!$BM308="",Screener!$D$11=""),0,IF(Database!$BM308=Screener!$D$11,1,0))</f>
        <v/>
      </c>
      <c r="G308" s="270">
        <f>IF(OR(Database!$H308="",N(Screener!$D$12)&lt;=0),0,MAX(0,1-(N(Screener!$D$12)-Database!$H308)/W_RECD))</f>
        <v/>
      </c>
      <c r="H308" s="270">
        <f>IF($U$1="",0,N(ISNUMBER(SEARCH($U$1,Database!$AC308&amp;""))))+IF($V$1="",0,N(ISNUMBER(SEARCH($V$1,Database!$AC308&amp;""))))+IF($W$1="",0,N(ISNUMBER(SEARCH($W$1,Database!$AC308&amp;""))))+IF($X$1="",0,N(ISNUMBER(SEARCH($X$1,Database!$AC308&amp;""))))+IF($Y$1="",0,N(ISNUMBER(SEARCH($Y$1,Database!$AC308&amp;""))))+IF(Screener!$B$17="",0,N(ISNUMBER(SEARCH(LOWER(Screener!$B$17),Database!$AC308&amp;""))))</f>
        <v/>
      </c>
      <c r="I308" s="270">
        <f>IF(OR(N(Database!$BH308)&lt;=0,N(Screener!$D$13)&lt;=0),0,MAX(0,1-ABS(LOG10(N(Database!$BH308)/Screener!$D$13))/W_PEHW))</f>
        <v/>
      </c>
      <c r="J308" s="270">
        <f>IF(OR(N(Database!$S308)&lt;=0,N(Screener!$D$14)&lt;=0),0,MAX(0,1-ABS(LOG10(Database!$S308/Screener!$D$14))/0.6))</f>
        <v/>
      </c>
      <c r="K308" s="270">
        <f>IF(Database!$B308=Screener!$B$5,-999999,IF(ISNUMBER(SEARCH(","&amp;Database!$A308&amp;",",","&amp;SUBSTITUTE(Screener!$D$17," ","")&amp;",")),2000000,IF(IF(OR(Screener!$B$18="All",AND(Screener!$B$18="With A-share",(Database!$BM308="Y")),AND(Screener!$B$18="Without A-share",NOT((Database!$BM308="Y")))),1,0)=0,-999999,IF(Screener!$B$16="cornerstone overlap first",H308*100000,IF(Screener!$B$16="demand-similar first",J308*100000,0))+W_SUB*B308+W_SEC*C308*(1-B308)+W_SIZE*D308+W_PROF*E308+W_AH*F308+W_REC*G308+W_CS*H308+W_PE*I308)))+ROW()/1000000</f>
        <v/>
      </c>
      <c r="AA308" s="270">
        <f>Database!B297</f>
        <v/>
      </c>
      <c r="AB308" s="270">
        <f>Database!D297</f>
        <v/>
      </c>
      <c r="AC308" s="270">
        <f>Database!E297</f>
        <v/>
      </c>
      <c r="AD308" s="270">
        <f>Database!I297</f>
        <v/>
      </c>
      <c r="AE308" s="270">
        <f>Database!BG297</f>
        <v/>
      </c>
      <c r="AF308" s="270">
        <f>Database!BM297</f>
        <v/>
      </c>
      <c r="AG308" s="270">
        <f>Database!H297</f>
        <v/>
      </c>
      <c r="AH308" s="270">
        <f>Database!BH297</f>
        <v/>
      </c>
    </row>
    <row r="309">
      <c r="A309" s="270">
        <f>Database!B309</f>
        <v/>
      </c>
      <c r="B309" s="270">
        <f>IF(AND(Screener!$D$8&lt;&gt;"",Database!$E309=Screener!$D$8),1,0)</f>
        <v/>
      </c>
      <c r="C309" s="270">
        <f>IF(AND(Screener!$D$7&lt;&gt;"",Database!$D309=Screener!$D$7),1,0)</f>
        <v/>
      </c>
      <c r="D309" s="270">
        <f>IF(OR(N(Database!$I309)&lt;=0,N(Screener!$D$9)&lt;=0),0,MAX(0,1-ABS(LOG10(N(Database!$I309)/Screener!$D$9))/W_SIZEHW))</f>
        <v/>
      </c>
      <c r="E309" s="270">
        <f>IF(OR(Database!$BG309="",Screener!$D$10=""),0,IF(Database!$BG309=Screener!$D$10,1,0))</f>
        <v/>
      </c>
      <c r="F309" s="270">
        <f>IF(OR(Database!$BM309="",Screener!$D$11=""),0,IF(Database!$BM309=Screener!$D$11,1,0))</f>
        <v/>
      </c>
      <c r="G309" s="270">
        <f>IF(OR(Database!$H309="",N(Screener!$D$12)&lt;=0),0,MAX(0,1-(N(Screener!$D$12)-Database!$H309)/W_RECD))</f>
        <v/>
      </c>
      <c r="H309" s="270">
        <f>IF($U$1="",0,N(ISNUMBER(SEARCH($U$1,Database!$AC309&amp;""))))+IF($V$1="",0,N(ISNUMBER(SEARCH($V$1,Database!$AC309&amp;""))))+IF($W$1="",0,N(ISNUMBER(SEARCH($W$1,Database!$AC309&amp;""))))+IF($X$1="",0,N(ISNUMBER(SEARCH($X$1,Database!$AC309&amp;""))))+IF($Y$1="",0,N(ISNUMBER(SEARCH($Y$1,Database!$AC309&amp;""))))+IF(Screener!$B$17="",0,N(ISNUMBER(SEARCH(LOWER(Screener!$B$17),Database!$AC309&amp;""))))</f>
        <v/>
      </c>
      <c r="I309" s="270">
        <f>IF(OR(N(Database!$BH309)&lt;=0,N(Screener!$D$13)&lt;=0),0,MAX(0,1-ABS(LOG10(N(Database!$BH309)/Screener!$D$13))/W_PEHW))</f>
        <v/>
      </c>
      <c r="J309" s="270">
        <f>IF(OR(N(Database!$S309)&lt;=0,N(Screener!$D$14)&lt;=0),0,MAX(0,1-ABS(LOG10(Database!$S309/Screener!$D$14))/0.6))</f>
        <v/>
      </c>
      <c r="K309" s="270">
        <f>IF(Database!$B309=Screener!$B$5,-999999,IF(ISNUMBER(SEARCH(","&amp;Database!$A309&amp;",",","&amp;SUBSTITUTE(Screener!$D$17," ","")&amp;",")),2000000,IF(IF(OR(Screener!$B$18="All",AND(Screener!$B$18="With A-share",(Database!$BM309="Y")),AND(Screener!$B$18="Without A-share",NOT((Database!$BM309="Y")))),1,0)=0,-999999,IF(Screener!$B$16="cornerstone overlap first",H309*100000,IF(Screener!$B$16="demand-similar first",J309*100000,0))+W_SUB*B309+W_SEC*C309*(1-B309)+W_SIZE*D309+W_PROF*E309+W_AH*F309+W_REC*G309+W_CS*H309+W_PE*I309)))+ROW()/1000000</f>
        <v/>
      </c>
      <c r="AA309" s="270">
        <f>Database!B298</f>
        <v/>
      </c>
      <c r="AB309" s="270">
        <f>Database!D298</f>
        <v/>
      </c>
      <c r="AC309" s="270">
        <f>Database!E298</f>
        <v/>
      </c>
      <c r="AD309" s="270">
        <f>Database!I298</f>
        <v/>
      </c>
      <c r="AE309" s="270">
        <f>Database!BG298</f>
        <v/>
      </c>
      <c r="AF309" s="270">
        <f>Database!BM298</f>
        <v/>
      </c>
      <c r="AG309" s="270">
        <f>Database!H298</f>
        <v/>
      </c>
      <c r="AH309" s="270">
        <f>Database!BH298</f>
        <v/>
      </c>
    </row>
    <row r="310">
      <c r="A310" s="270">
        <f>Database!B310</f>
        <v/>
      </c>
      <c r="B310" s="270">
        <f>IF(AND(Screener!$D$8&lt;&gt;"",Database!$E310=Screener!$D$8),1,0)</f>
        <v/>
      </c>
      <c r="C310" s="270">
        <f>IF(AND(Screener!$D$7&lt;&gt;"",Database!$D310=Screener!$D$7),1,0)</f>
        <v/>
      </c>
      <c r="D310" s="270">
        <f>IF(OR(N(Database!$I310)&lt;=0,N(Screener!$D$9)&lt;=0),0,MAX(0,1-ABS(LOG10(N(Database!$I310)/Screener!$D$9))/W_SIZEHW))</f>
        <v/>
      </c>
      <c r="E310" s="270">
        <f>IF(OR(Database!$BG310="",Screener!$D$10=""),0,IF(Database!$BG310=Screener!$D$10,1,0))</f>
        <v/>
      </c>
      <c r="F310" s="270">
        <f>IF(OR(Database!$BM310="",Screener!$D$11=""),0,IF(Database!$BM310=Screener!$D$11,1,0))</f>
        <v/>
      </c>
      <c r="G310" s="270">
        <f>IF(OR(Database!$H310="",N(Screener!$D$12)&lt;=0),0,MAX(0,1-(N(Screener!$D$12)-Database!$H310)/W_RECD))</f>
        <v/>
      </c>
      <c r="H310" s="270">
        <f>IF($U$1="",0,N(ISNUMBER(SEARCH($U$1,Database!$AC310&amp;""))))+IF($V$1="",0,N(ISNUMBER(SEARCH($V$1,Database!$AC310&amp;""))))+IF($W$1="",0,N(ISNUMBER(SEARCH($W$1,Database!$AC310&amp;""))))+IF($X$1="",0,N(ISNUMBER(SEARCH($X$1,Database!$AC310&amp;""))))+IF($Y$1="",0,N(ISNUMBER(SEARCH($Y$1,Database!$AC310&amp;""))))+IF(Screener!$B$17="",0,N(ISNUMBER(SEARCH(LOWER(Screener!$B$17),Database!$AC310&amp;""))))</f>
        <v/>
      </c>
      <c r="I310" s="270">
        <f>IF(OR(N(Database!$BH310)&lt;=0,N(Screener!$D$13)&lt;=0),0,MAX(0,1-ABS(LOG10(N(Database!$BH310)/Screener!$D$13))/W_PEHW))</f>
        <v/>
      </c>
      <c r="J310" s="270">
        <f>IF(OR(N(Database!$S310)&lt;=0,N(Screener!$D$14)&lt;=0),0,MAX(0,1-ABS(LOG10(Database!$S310/Screener!$D$14))/0.6))</f>
        <v/>
      </c>
      <c r="K310" s="270">
        <f>IF(Database!$B310=Screener!$B$5,-999999,IF(ISNUMBER(SEARCH(","&amp;Database!$A310&amp;",",","&amp;SUBSTITUTE(Screener!$D$17," ","")&amp;",")),2000000,IF(IF(OR(Screener!$B$18="All",AND(Screener!$B$18="With A-share",(Database!$BM310="Y")),AND(Screener!$B$18="Without A-share",NOT((Database!$BM310="Y")))),1,0)=0,-999999,IF(Screener!$B$16="cornerstone overlap first",H310*100000,IF(Screener!$B$16="demand-similar first",J310*100000,0))+W_SUB*B310+W_SEC*C310*(1-B310)+W_SIZE*D310+W_PROF*E310+W_AH*F310+W_REC*G310+W_CS*H310+W_PE*I310)))+ROW()/1000000</f>
        <v/>
      </c>
      <c r="AA310" s="270">
        <f>Database!B299</f>
        <v/>
      </c>
      <c r="AB310" s="270">
        <f>Database!D299</f>
        <v/>
      </c>
      <c r="AC310" s="270">
        <f>Database!E299</f>
        <v/>
      </c>
      <c r="AD310" s="270">
        <f>Database!I299</f>
        <v/>
      </c>
      <c r="AE310" s="270">
        <f>Database!BG299</f>
        <v/>
      </c>
      <c r="AF310" s="270">
        <f>Database!BM299</f>
        <v/>
      </c>
      <c r="AG310" s="270">
        <f>Database!H299</f>
        <v/>
      </c>
      <c r="AH310" s="270">
        <f>Database!BH299</f>
        <v/>
      </c>
    </row>
    <row r="311">
      <c r="A311" s="270">
        <f>Database!B311</f>
        <v/>
      </c>
      <c r="B311" s="270">
        <f>IF(AND(Screener!$D$8&lt;&gt;"",Database!$E311=Screener!$D$8),1,0)</f>
        <v/>
      </c>
      <c r="C311" s="270">
        <f>IF(AND(Screener!$D$7&lt;&gt;"",Database!$D311=Screener!$D$7),1,0)</f>
        <v/>
      </c>
      <c r="D311" s="270">
        <f>IF(OR(N(Database!$I311)&lt;=0,N(Screener!$D$9)&lt;=0),0,MAX(0,1-ABS(LOG10(N(Database!$I311)/Screener!$D$9))/W_SIZEHW))</f>
        <v/>
      </c>
      <c r="E311" s="270">
        <f>IF(OR(Database!$BG311="",Screener!$D$10=""),0,IF(Database!$BG311=Screener!$D$10,1,0))</f>
        <v/>
      </c>
      <c r="F311" s="270">
        <f>IF(OR(Database!$BM311="",Screener!$D$11=""),0,IF(Database!$BM311=Screener!$D$11,1,0))</f>
        <v/>
      </c>
      <c r="G311" s="270">
        <f>IF(OR(Database!$H311="",N(Screener!$D$12)&lt;=0),0,MAX(0,1-(N(Screener!$D$12)-Database!$H311)/W_RECD))</f>
        <v/>
      </c>
      <c r="H311" s="270">
        <f>IF($U$1="",0,N(ISNUMBER(SEARCH($U$1,Database!$AC311&amp;""))))+IF($V$1="",0,N(ISNUMBER(SEARCH($V$1,Database!$AC311&amp;""))))+IF($W$1="",0,N(ISNUMBER(SEARCH($W$1,Database!$AC311&amp;""))))+IF($X$1="",0,N(ISNUMBER(SEARCH($X$1,Database!$AC311&amp;""))))+IF($Y$1="",0,N(ISNUMBER(SEARCH($Y$1,Database!$AC311&amp;""))))+IF(Screener!$B$17="",0,N(ISNUMBER(SEARCH(LOWER(Screener!$B$17),Database!$AC311&amp;""))))</f>
        <v/>
      </c>
      <c r="I311" s="270">
        <f>IF(OR(N(Database!$BH311)&lt;=0,N(Screener!$D$13)&lt;=0),0,MAX(0,1-ABS(LOG10(N(Database!$BH311)/Screener!$D$13))/W_PEHW))</f>
        <v/>
      </c>
      <c r="J311" s="270">
        <f>IF(OR(N(Database!$S311)&lt;=0,N(Screener!$D$14)&lt;=0),0,MAX(0,1-ABS(LOG10(Database!$S311/Screener!$D$14))/0.6))</f>
        <v/>
      </c>
      <c r="K311" s="270">
        <f>IF(Database!$B311=Screener!$B$5,-999999,IF(ISNUMBER(SEARCH(","&amp;Database!$A311&amp;",",","&amp;SUBSTITUTE(Screener!$D$17," ","")&amp;",")),2000000,IF(IF(OR(Screener!$B$18="All",AND(Screener!$B$18="With A-share",(Database!$BM311="Y")),AND(Screener!$B$18="Without A-share",NOT((Database!$BM311="Y")))),1,0)=0,-999999,IF(Screener!$B$16="cornerstone overlap first",H311*100000,IF(Screener!$B$16="demand-similar first",J311*100000,0))+W_SUB*B311+W_SEC*C311*(1-B311)+W_SIZE*D311+W_PROF*E311+W_AH*F311+W_REC*G311+W_CS*H311+W_PE*I311)))+ROW()/1000000</f>
        <v/>
      </c>
      <c r="AA311" s="270">
        <f>Database!B300</f>
        <v/>
      </c>
      <c r="AB311" s="270">
        <f>Database!D300</f>
        <v/>
      </c>
      <c r="AC311" s="270">
        <f>Database!E300</f>
        <v/>
      </c>
      <c r="AD311" s="270">
        <f>Database!I300</f>
        <v/>
      </c>
      <c r="AE311" s="270">
        <f>Database!BG300</f>
        <v/>
      </c>
      <c r="AF311" s="270">
        <f>Database!BM300</f>
        <v/>
      </c>
      <c r="AG311" s="270">
        <f>Database!H300</f>
        <v/>
      </c>
      <c r="AH311" s="270">
        <f>Database!BH300</f>
        <v/>
      </c>
    </row>
    <row r="312">
      <c r="A312" s="270">
        <f>Database!B312</f>
        <v/>
      </c>
      <c r="B312" s="270">
        <f>IF(AND(Screener!$D$8&lt;&gt;"",Database!$E312=Screener!$D$8),1,0)</f>
        <v/>
      </c>
      <c r="C312" s="270">
        <f>IF(AND(Screener!$D$7&lt;&gt;"",Database!$D312=Screener!$D$7),1,0)</f>
        <v/>
      </c>
      <c r="D312" s="270">
        <f>IF(OR(N(Database!$I312)&lt;=0,N(Screener!$D$9)&lt;=0),0,MAX(0,1-ABS(LOG10(N(Database!$I312)/Screener!$D$9))/W_SIZEHW))</f>
        <v/>
      </c>
      <c r="E312" s="270">
        <f>IF(OR(Database!$BG312="",Screener!$D$10=""),0,IF(Database!$BG312=Screener!$D$10,1,0))</f>
        <v/>
      </c>
      <c r="F312" s="270">
        <f>IF(OR(Database!$BM312="",Screener!$D$11=""),0,IF(Database!$BM312=Screener!$D$11,1,0))</f>
        <v/>
      </c>
      <c r="G312" s="270">
        <f>IF(OR(Database!$H312="",N(Screener!$D$12)&lt;=0),0,MAX(0,1-(N(Screener!$D$12)-Database!$H312)/W_RECD))</f>
        <v/>
      </c>
      <c r="H312" s="270">
        <f>IF($U$1="",0,N(ISNUMBER(SEARCH($U$1,Database!$AC312&amp;""))))+IF($V$1="",0,N(ISNUMBER(SEARCH($V$1,Database!$AC312&amp;""))))+IF($W$1="",0,N(ISNUMBER(SEARCH($W$1,Database!$AC312&amp;""))))+IF($X$1="",0,N(ISNUMBER(SEARCH($X$1,Database!$AC312&amp;""))))+IF($Y$1="",0,N(ISNUMBER(SEARCH($Y$1,Database!$AC312&amp;""))))+IF(Screener!$B$17="",0,N(ISNUMBER(SEARCH(LOWER(Screener!$B$17),Database!$AC312&amp;""))))</f>
        <v/>
      </c>
      <c r="I312" s="270">
        <f>IF(OR(N(Database!$BH312)&lt;=0,N(Screener!$D$13)&lt;=0),0,MAX(0,1-ABS(LOG10(N(Database!$BH312)/Screener!$D$13))/W_PEHW))</f>
        <v/>
      </c>
      <c r="J312" s="270">
        <f>IF(OR(N(Database!$S312)&lt;=0,N(Screener!$D$14)&lt;=0),0,MAX(0,1-ABS(LOG10(Database!$S312/Screener!$D$14))/0.6))</f>
        <v/>
      </c>
      <c r="K312" s="270">
        <f>IF(Database!$B312=Screener!$B$5,-999999,IF(ISNUMBER(SEARCH(","&amp;Database!$A312&amp;",",","&amp;SUBSTITUTE(Screener!$D$17," ","")&amp;",")),2000000,IF(IF(OR(Screener!$B$18="All",AND(Screener!$B$18="With A-share",(Database!$BM312="Y")),AND(Screener!$B$18="Without A-share",NOT((Database!$BM312="Y")))),1,0)=0,-999999,IF(Screener!$B$16="cornerstone overlap first",H312*100000,IF(Screener!$B$16="demand-similar first",J312*100000,0))+W_SUB*B312+W_SEC*C312*(1-B312)+W_SIZE*D312+W_PROF*E312+W_AH*F312+W_REC*G312+W_CS*H312+W_PE*I312)))+ROW()/1000000</f>
        <v/>
      </c>
      <c r="AA312" s="270">
        <f>Database!B301</f>
        <v/>
      </c>
      <c r="AB312" s="270">
        <f>Database!D301</f>
        <v/>
      </c>
      <c r="AC312" s="270">
        <f>Database!E301</f>
        <v/>
      </c>
      <c r="AD312" s="270">
        <f>Database!I301</f>
        <v/>
      </c>
      <c r="AE312" s="270">
        <f>Database!BG301</f>
        <v/>
      </c>
      <c r="AF312" s="270">
        <f>Database!BM301</f>
        <v/>
      </c>
      <c r="AG312" s="270">
        <f>Database!H301</f>
        <v/>
      </c>
      <c r="AH312" s="270">
        <f>Database!BH301</f>
        <v/>
      </c>
    </row>
    <row r="313">
      <c r="A313" s="270">
        <f>Database!B313</f>
        <v/>
      </c>
      <c r="B313" s="270">
        <f>IF(AND(Screener!$D$8&lt;&gt;"",Database!$E313=Screener!$D$8),1,0)</f>
        <v/>
      </c>
      <c r="C313" s="270">
        <f>IF(AND(Screener!$D$7&lt;&gt;"",Database!$D313=Screener!$D$7),1,0)</f>
        <v/>
      </c>
      <c r="D313" s="270">
        <f>IF(OR(N(Database!$I313)&lt;=0,N(Screener!$D$9)&lt;=0),0,MAX(0,1-ABS(LOG10(N(Database!$I313)/Screener!$D$9))/W_SIZEHW))</f>
        <v/>
      </c>
      <c r="E313" s="270">
        <f>IF(OR(Database!$BG313="",Screener!$D$10=""),0,IF(Database!$BG313=Screener!$D$10,1,0))</f>
        <v/>
      </c>
      <c r="F313" s="270">
        <f>IF(OR(Database!$BM313="",Screener!$D$11=""),0,IF(Database!$BM313=Screener!$D$11,1,0))</f>
        <v/>
      </c>
      <c r="G313" s="270">
        <f>IF(OR(Database!$H313="",N(Screener!$D$12)&lt;=0),0,MAX(0,1-(N(Screener!$D$12)-Database!$H313)/W_RECD))</f>
        <v/>
      </c>
      <c r="H313" s="270">
        <f>IF($U$1="",0,N(ISNUMBER(SEARCH($U$1,Database!$AC313&amp;""))))+IF($V$1="",0,N(ISNUMBER(SEARCH($V$1,Database!$AC313&amp;""))))+IF($W$1="",0,N(ISNUMBER(SEARCH($W$1,Database!$AC313&amp;""))))+IF($X$1="",0,N(ISNUMBER(SEARCH($X$1,Database!$AC313&amp;""))))+IF($Y$1="",0,N(ISNUMBER(SEARCH($Y$1,Database!$AC313&amp;""))))+IF(Screener!$B$17="",0,N(ISNUMBER(SEARCH(LOWER(Screener!$B$17),Database!$AC313&amp;""))))</f>
        <v/>
      </c>
      <c r="I313" s="270">
        <f>IF(OR(N(Database!$BH313)&lt;=0,N(Screener!$D$13)&lt;=0),0,MAX(0,1-ABS(LOG10(N(Database!$BH313)/Screener!$D$13))/W_PEHW))</f>
        <v/>
      </c>
      <c r="J313" s="270">
        <f>IF(OR(N(Database!$S313)&lt;=0,N(Screener!$D$14)&lt;=0),0,MAX(0,1-ABS(LOG10(Database!$S313/Screener!$D$14))/0.6))</f>
        <v/>
      </c>
      <c r="K313" s="270">
        <f>IF(Database!$B313=Screener!$B$5,-999999,IF(ISNUMBER(SEARCH(","&amp;Database!$A313&amp;",",","&amp;SUBSTITUTE(Screener!$D$17," ","")&amp;",")),2000000,IF(IF(OR(Screener!$B$18="All",AND(Screener!$B$18="With A-share",(Database!$BM313="Y")),AND(Screener!$B$18="Without A-share",NOT((Database!$BM313="Y")))),1,0)=0,-999999,IF(Screener!$B$16="cornerstone overlap first",H313*100000,IF(Screener!$B$16="demand-similar first",J313*100000,0))+W_SUB*B313+W_SEC*C313*(1-B313)+W_SIZE*D313+W_PROF*E313+W_AH*F313+W_REC*G313+W_CS*H313+W_PE*I313)))+ROW()/1000000</f>
        <v/>
      </c>
      <c r="AA313" s="270">
        <f>Database!B302</f>
        <v/>
      </c>
      <c r="AB313" s="270">
        <f>Database!D302</f>
        <v/>
      </c>
      <c r="AC313" s="270">
        <f>Database!E302</f>
        <v/>
      </c>
      <c r="AD313" s="270">
        <f>Database!I302</f>
        <v/>
      </c>
      <c r="AE313" s="270">
        <f>Database!BG302</f>
        <v/>
      </c>
      <c r="AF313" s="270">
        <f>Database!BM302</f>
        <v/>
      </c>
      <c r="AG313" s="270">
        <f>Database!H302</f>
        <v/>
      </c>
      <c r="AH313" s="270">
        <f>Database!BH302</f>
        <v/>
      </c>
    </row>
    <row r="314">
      <c r="A314" s="270">
        <f>Database!B314</f>
        <v/>
      </c>
      <c r="B314" s="270">
        <f>IF(AND(Screener!$D$8&lt;&gt;"",Database!$E314=Screener!$D$8),1,0)</f>
        <v/>
      </c>
      <c r="C314" s="270">
        <f>IF(AND(Screener!$D$7&lt;&gt;"",Database!$D314=Screener!$D$7),1,0)</f>
        <v/>
      </c>
      <c r="D314" s="270">
        <f>IF(OR(N(Database!$I314)&lt;=0,N(Screener!$D$9)&lt;=0),0,MAX(0,1-ABS(LOG10(N(Database!$I314)/Screener!$D$9))/W_SIZEHW))</f>
        <v/>
      </c>
      <c r="E314" s="270">
        <f>IF(OR(Database!$BG314="",Screener!$D$10=""),0,IF(Database!$BG314=Screener!$D$10,1,0))</f>
        <v/>
      </c>
      <c r="F314" s="270">
        <f>IF(OR(Database!$BM314="",Screener!$D$11=""),0,IF(Database!$BM314=Screener!$D$11,1,0))</f>
        <v/>
      </c>
      <c r="G314" s="270">
        <f>IF(OR(Database!$H314="",N(Screener!$D$12)&lt;=0),0,MAX(0,1-(N(Screener!$D$12)-Database!$H314)/W_RECD))</f>
        <v/>
      </c>
      <c r="H314" s="270">
        <f>IF($U$1="",0,N(ISNUMBER(SEARCH($U$1,Database!$AC314&amp;""))))+IF($V$1="",0,N(ISNUMBER(SEARCH($V$1,Database!$AC314&amp;""))))+IF($W$1="",0,N(ISNUMBER(SEARCH($W$1,Database!$AC314&amp;""))))+IF($X$1="",0,N(ISNUMBER(SEARCH($X$1,Database!$AC314&amp;""))))+IF($Y$1="",0,N(ISNUMBER(SEARCH($Y$1,Database!$AC314&amp;""))))+IF(Screener!$B$17="",0,N(ISNUMBER(SEARCH(LOWER(Screener!$B$17),Database!$AC314&amp;""))))</f>
        <v/>
      </c>
      <c r="I314" s="270">
        <f>IF(OR(N(Database!$BH314)&lt;=0,N(Screener!$D$13)&lt;=0),0,MAX(0,1-ABS(LOG10(N(Database!$BH314)/Screener!$D$13))/W_PEHW))</f>
        <v/>
      </c>
      <c r="J314" s="270">
        <f>IF(OR(N(Database!$S314)&lt;=0,N(Screener!$D$14)&lt;=0),0,MAX(0,1-ABS(LOG10(Database!$S314/Screener!$D$14))/0.6))</f>
        <v/>
      </c>
      <c r="K314" s="270">
        <f>IF(Database!$B314=Screener!$B$5,-999999,IF(ISNUMBER(SEARCH(","&amp;Database!$A314&amp;",",","&amp;SUBSTITUTE(Screener!$D$17," ","")&amp;",")),2000000,IF(IF(OR(Screener!$B$18="All",AND(Screener!$B$18="With A-share",(Database!$BM314="Y")),AND(Screener!$B$18="Without A-share",NOT((Database!$BM314="Y")))),1,0)=0,-999999,IF(Screener!$B$16="cornerstone overlap first",H314*100000,IF(Screener!$B$16="demand-similar first",J314*100000,0))+W_SUB*B314+W_SEC*C314*(1-B314)+W_SIZE*D314+W_PROF*E314+W_AH*F314+W_REC*G314+W_CS*H314+W_PE*I314)))+ROW()/1000000</f>
        <v/>
      </c>
      <c r="AA314" s="270">
        <f>Database!B303</f>
        <v/>
      </c>
      <c r="AB314" s="270">
        <f>Database!D303</f>
        <v/>
      </c>
      <c r="AC314" s="270">
        <f>Database!E303</f>
        <v/>
      </c>
      <c r="AD314" s="270">
        <f>Database!I303</f>
        <v/>
      </c>
      <c r="AE314" s="270">
        <f>Database!BG303</f>
        <v/>
      </c>
      <c r="AF314" s="270">
        <f>Database!BM303</f>
        <v/>
      </c>
      <c r="AG314" s="270">
        <f>Database!H303</f>
        <v/>
      </c>
      <c r="AH314" s="270">
        <f>Database!BH303</f>
        <v/>
      </c>
    </row>
    <row r="315">
      <c r="A315" s="270">
        <f>Database!B315</f>
        <v/>
      </c>
      <c r="B315" s="270">
        <f>IF(AND(Screener!$D$8&lt;&gt;"",Database!$E315=Screener!$D$8),1,0)</f>
        <v/>
      </c>
      <c r="C315" s="270">
        <f>IF(AND(Screener!$D$7&lt;&gt;"",Database!$D315=Screener!$D$7),1,0)</f>
        <v/>
      </c>
      <c r="D315" s="270">
        <f>IF(OR(N(Database!$I315)&lt;=0,N(Screener!$D$9)&lt;=0),0,MAX(0,1-ABS(LOG10(N(Database!$I315)/Screener!$D$9))/W_SIZEHW))</f>
        <v/>
      </c>
      <c r="E315" s="270">
        <f>IF(OR(Database!$BG315="",Screener!$D$10=""),0,IF(Database!$BG315=Screener!$D$10,1,0))</f>
        <v/>
      </c>
      <c r="F315" s="270">
        <f>IF(OR(Database!$BM315="",Screener!$D$11=""),0,IF(Database!$BM315=Screener!$D$11,1,0))</f>
        <v/>
      </c>
      <c r="G315" s="270">
        <f>IF(OR(Database!$H315="",N(Screener!$D$12)&lt;=0),0,MAX(0,1-(N(Screener!$D$12)-Database!$H315)/W_RECD))</f>
        <v/>
      </c>
      <c r="H315" s="270">
        <f>IF($U$1="",0,N(ISNUMBER(SEARCH($U$1,Database!$AC315&amp;""))))+IF($V$1="",0,N(ISNUMBER(SEARCH($V$1,Database!$AC315&amp;""))))+IF($W$1="",0,N(ISNUMBER(SEARCH($W$1,Database!$AC315&amp;""))))+IF($X$1="",0,N(ISNUMBER(SEARCH($X$1,Database!$AC315&amp;""))))+IF($Y$1="",0,N(ISNUMBER(SEARCH($Y$1,Database!$AC315&amp;""))))+IF(Screener!$B$17="",0,N(ISNUMBER(SEARCH(LOWER(Screener!$B$17),Database!$AC315&amp;""))))</f>
        <v/>
      </c>
      <c r="I315" s="270">
        <f>IF(OR(N(Database!$BH315)&lt;=0,N(Screener!$D$13)&lt;=0),0,MAX(0,1-ABS(LOG10(N(Database!$BH315)/Screener!$D$13))/W_PEHW))</f>
        <v/>
      </c>
      <c r="J315" s="270">
        <f>IF(OR(N(Database!$S315)&lt;=0,N(Screener!$D$14)&lt;=0),0,MAX(0,1-ABS(LOG10(Database!$S315/Screener!$D$14))/0.6))</f>
        <v/>
      </c>
      <c r="K315" s="270">
        <f>IF(Database!$B315=Screener!$B$5,-999999,IF(ISNUMBER(SEARCH(","&amp;Database!$A315&amp;",",","&amp;SUBSTITUTE(Screener!$D$17," ","")&amp;",")),2000000,IF(IF(OR(Screener!$B$18="All",AND(Screener!$B$18="With A-share",(Database!$BM315="Y")),AND(Screener!$B$18="Without A-share",NOT((Database!$BM315="Y")))),1,0)=0,-999999,IF(Screener!$B$16="cornerstone overlap first",H315*100000,IF(Screener!$B$16="demand-similar first",J315*100000,0))+W_SUB*B315+W_SEC*C315*(1-B315)+W_SIZE*D315+W_PROF*E315+W_AH*F315+W_REC*G315+W_CS*H315+W_PE*I315)))+ROW()/1000000</f>
        <v/>
      </c>
      <c r="AA315" s="270">
        <f>Database!B304</f>
        <v/>
      </c>
      <c r="AB315" s="270">
        <f>Database!D304</f>
        <v/>
      </c>
      <c r="AC315" s="270">
        <f>Database!E304</f>
        <v/>
      </c>
      <c r="AD315" s="270">
        <f>Database!I304</f>
        <v/>
      </c>
      <c r="AE315" s="270">
        <f>Database!BG304</f>
        <v/>
      </c>
      <c r="AF315" s="270">
        <f>Database!BM304</f>
        <v/>
      </c>
      <c r="AG315" s="270">
        <f>Database!H304</f>
        <v/>
      </c>
      <c r="AH315" s="270">
        <f>Database!BH304</f>
        <v/>
      </c>
    </row>
    <row r="316">
      <c r="A316" s="270">
        <f>Database!B316</f>
        <v/>
      </c>
      <c r="B316" s="270">
        <f>IF(AND(Screener!$D$8&lt;&gt;"",Database!$E316=Screener!$D$8),1,0)</f>
        <v/>
      </c>
      <c r="C316" s="270">
        <f>IF(AND(Screener!$D$7&lt;&gt;"",Database!$D316=Screener!$D$7),1,0)</f>
        <v/>
      </c>
      <c r="D316" s="270">
        <f>IF(OR(N(Database!$I316)&lt;=0,N(Screener!$D$9)&lt;=0),0,MAX(0,1-ABS(LOG10(N(Database!$I316)/Screener!$D$9))/W_SIZEHW))</f>
        <v/>
      </c>
      <c r="E316" s="270">
        <f>IF(OR(Database!$BG316="",Screener!$D$10=""),0,IF(Database!$BG316=Screener!$D$10,1,0))</f>
        <v/>
      </c>
      <c r="F316" s="270">
        <f>IF(OR(Database!$BM316="",Screener!$D$11=""),0,IF(Database!$BM316=Screener!$D$11,1,0))</f>
        <v/>
      </c>
      <c r="G316" s="270">
        <f>IF(OR(Database!$H316="",N(Screener!$D$12)&lt;=0),0,MAX(0,1-(N(Screener!$D$12)-Database!$H316)/W_RECD))</f>
        <v/>
      </c>
      <c r="H316" s="270">
        <f>IF($U$1="",0,N(ISNUMBER(SEARCH($U$1,Database!$AC316&amp;""))))+IF($V$1="",0,N(ISNUMBER(SEARCH($V$1,Database!$AC316&amp;""))))+IF($W$1="",0,N(ISNUMBER(SEARCH($W$1,Database!$AC316&amp;""))))+IF($X$1="",0,N(ISNUMBER(SEARCH($X$1,Database!$AC316&amp;""))))+IF($Y$1="",0,N(ISNUMBER(SEARCH($Y$1,Database!$AC316&amp;""))))+IF(Screener!$B$17="",0,N(ISNUMBER(SEARCH(LOWER(Screener!$B$17),Database!$AC316&amp;""))))</f>
        <v/>
      </c>
      <c r="I316" s="270">
        <f>IF(OR(N(Database!$BH316)&lt;=0,N(Screener!$D$13)&lt;=0),0,MAX(0,1-ABS(LOG10(N(Database!$BH316)/Screener!$D$13))/W_PEHW))</f>
        <v/>
      </c>
      <c r="J316" s="270">
        <f>IF(OR(N(Database!$S316)&lt;=0,N(Screener!$D$14)&lt;=0),0,MAX(0,1-ABS(LOG10(Database!$S316/Screener!$D$14))/0.6))</f>
        <v/>
      </c>
      <c r="K316" s="270">
        <f>IF(Database!$B316=Screener!$B$5,-999999,IF(ISNUMBER(SEARCH(","&amp;Database!$A316&amp;",",","&amp;SUBSTITUTE(Screener!$D$17," ","")&amp;",")),2000000,IF(IF(OR(Screener!$B$18="All",AND(Screener!$B$18="With A-share",(Database!$BM316="Y")),AND(Screener!$B$18="Without A-share",NOT((Database!$BM316="Y")))),1,0)=0,-999999,IF(Screener!$B$16="cornerstone overlap first",H316*100000,IF(Screener!$B$16="demand-similar first",J316*100000,0))+W_SUB*B316+W_SEC*C316*(1-B316)+W_SIZE*D316+W_PROF*E316+W_AH*F316+W_REC*G316+W_CS*H316+W_PE*I316)))+ROW()/1000000</f>
        <v/>
      </c>
      <c r="AA316" s="270">
        <f>Database!B305</f>
        <v/>
      </c>
      <c r="AB316" s="270">
        <f>Database!D305</f>
        <v/>
      </c>
      <c r="AC316" s="270">
        <f>Database!E305</f>
        <v/>
      </c>
      <c r="AD316" s="270">
        <f>Database!I305</f>
        <v/>
      </c>
      <c r="AE316" s="270">
        <f>Database!BG305</f>
        <v/>
      </c>
      <c r="AF316" s="270">
        <f>Database!BM305</f>
        <v/>
      </c>
      <c r="AG316" s="270">
        <f>Database!H305</f>
        <v/>
      </c>
      <c r="AH316" s="270">
        <f>Database!BH305</f>
        <v/>
      </c>
    </row>
    <row r="317">
      <c r="A317" s="270">
        <f>Database!B317</f>
        <v/>
      </c>
      <c r="B317" s="270">
        <f>IF(AND(Screener!$D$8&lt;&gt;"",Database!$E317=Screener!$D$8),1,0)</f>
        <v/>
      </c>
      <c r="C317" s="270">
        <f>IF(AND(Screener!$D$7&lt;&gt;"",Database!$D317=Screener!$D$7),1,0)</f>
        <v/>
      </c>
      <c r="D317" s="270">
        <f>IF(OR(N(Database!$I317)&lt;=0,N(Screener!$D$9)&lt;=0),0,MAX(0,1-ABS(LOG10(N(Database!$I317)/Screener!$D$9))/W_SIZEHW))</f>
        <v/>
      </c>
      <c r="E317" s="270">
        <f>IF(OR(Database!$BG317="",Screener!$D$10=""),0,IF(Database!$BG317=Screener!$D$10,1,0))</f>
        <v/>
      </c>
      <c r="F317" s="270">
        <f>IF(OR(Database!$BM317="",Screener!$D$11=""),0,IF(Database!$BM317=Screener!$D$11,1,0))</f>
        <v/>
      </c>
      <c r="G317" s="270">
        <f>IF(OR(Database!$H317="",N(Screener!$D$12)&lt;=0),0,MAX(0,1-(N(Screener!$D$12)-Database!$H317)/W_RECD))</f>
        <v/>
      </c>
      <c r="H317" s="270">
        <f>IF($U$1="",0,N(ISNUMBER(SEARCH($U$1,Database!$AC317&amp;""))))+IF($V$1="",0,N(ISNUMBER(SEARCH($V$1,Database!$AC317&amp;""))))+IF($W$1="",0,N(ISNUMBER(SEARCH($W$1,Database!$AC317&amp;""))))+IF($X$1="",0,N(ISNUMBER(SEARCH($X$1,Database!$AC317&amp;""))))+IF($Y$1="",0,N(ISNUMBER(SEARCH($Y$1,Database!$AC317&amp;""))))+IF(Screener!$B$17="",0,N(ISNUMBER(SEARCH(LOWER(Screener!$B$17),Database!$AC317&amp;""))))</f>
        <v/>
      </c>
      <c r="I317" s="270">
        <f>IF(OR(N(Database!$BH317)&lt;=0,N(Screener!$D$13)&lt;=0),0,MAX(0,1-ABS(LOG10(N(Database!$BH317)/Screener!$D$13))/W_PEHW))</f>
        <v/>
      </c>
      <c r="J317" s="270">
        <f>IF(OR(N(Database!$S317)&lt;=0,N(Screener!$D$14)&lt;=0),0,MAX(0,1-ABS(LOG10(Database!$S317/Screener!$D$14))/0.6))</f>
        <v/>
      </c>
      <c r="K317" s="270">
        <f>IF(Database!$B317=Screener!$B$5,-999999,IF(ISNUMBER(SEARCH(","&amp;Database!$A317&amp;",",","&amp;SUBSTITUTE(Screener!$D$17," ","")&amp;",")),2000000,IF(IF(OR(Screener!$B$18="All",AND(Screener!$B$18="With A-share",(Database!$BM317="Y")),AND(Screener!$B$18="Without A-share",NOT((Database!$BM317="Y")))),1,0)=0,-999999,IF(Screener!$B$16="cornerstone overlap first",H317*100000,IF(Screener!$B$16="demand-similar first",J317*100000,0))+W_SUB*B317+W_SEC*C317*(1-B317)+W_SIZE*D317+W_PROF*E317+W_AH*F317+W_REC*G317+W_CS*H317+W_PE*I317)))+ROW()/1000000</f>
        <v/>
      </c>
      <c r="AA317" s="270">
        <f>Database!B306</f>
        <v/>
      </c>
      <c r="AB317" s="270">
        <f>Database!D306</f>
        <v/>
      </c>
      <c r="AC317" s="270">
        <f>Database!E306</f>
        <v/>
      </c>
      <c r="AD317" s="270">
        <f>Database!I306</f>
        <v/>
      </c>
      <c r="AE317" s="270">
        <f>Database!BG306</f>
        <v/>
      </c>
      <c r="AF317" s="270">
        <f>Database!BM306</f>
        <v/>
      </c>
      <c r="AG317" s="270">
        <f>Database!H306</f>
        <v/>
      </c>
      <c r="AH317" s="270">
        <f>Database!BH306</f>
        <v/>
      </c>
    </row>
    <row r="318">
      <c r="A318" s="270">
        <f>Database!B318</f>
        <v/>
      </c>
      <c r="B318" s="270">
        <f>IF(AND(Screener!$D$8&lt;&gt;"",Database!$E318=Screener!$D$8),1,0)</f>
        <v/>
      </c>
      <c r="C318" s="270">
        <f>IF(AND(Screener!$D$7&lt;&gt;"",Database!$D318=Screener!$D$7),1,0)</f>
        <v/>
      </c>
      <c r="D318" s="270">
        <f>IF(OR(N(Database!$I318)&lt;=0,N(Screener!$D$9)&lt;=0),0,MAX(0,1-ABS(LOG10(N(Database!$I318)/Screener!$D$9))/W_SIZEHW))</f>
        <v/>
      </c>
      <c r="E318" s="270">
        <f>IF(OR(Database!$BG318="",Screener!$D$10=""),0,IF(Database!$BG318=Screener!$D$10,1,0))</f>
        <v/>
      </c>
      <c r="F318" s="270">
        <f>IF(OR(Database!$BM318="",Screener!$D$11=""),0,IF(Database!$BM318=Screener!$D$11,1,0))</f>
        <v/>
      </c>
      <c r="G318" s="270">
        <f>IF(OR(Database!$H318="",N(Screener!$D$12)&lt;=0),0,MAX(0,1-(N(Screener!$D$12)-Database!$H318)/W_RECD))</f>
        <v/>
      </c>
      <c r="H318" s="270">
        <f>IF($U$1="",0,N(ISNUMBER(SEARCH($U$1,Database!$AC318&amp;""))))+IF($V$1="",0,N(ISNUMBER(SEARCH($V$1,Database!$AC318&amp;""))))+IF($W$1="",0,N(ISNUMBER(SEARCH($W$1,Database!$AC318&amp;""))))+IF($X$1="",0,N(ISNUMBER(SEARCH($X$1,Database!$AC318&amp;""))))+IF($Y$1="",0,N(ISNUMBER(SEARCH($Y$1,Database!$AC318&amp;""))))+IF(Screener!$B$17="",0,N(ISNUMBER(SEARCH(LOWER(Screener!$B$17),Database!$AC318&amp;""))))</f>
        <v/>
      </c>
      <c r="I318" s="270">
        <f>IF(OR(N(Database!$BH318)&lt;=0,N(Screener!$D$13)&lt;=0),0,MAX(0,1-ABS(LOG10(N(Database!$BH318)/Screener!$D$13))/W_PEHW))</f>
        <v/>
      </c>
      <c r="J318" s="270">
        <f>IF(OR(N(Database!$S318)&lt;=0,N(Screener!$D$14)&lt;=0),0,MAX(0,1-ABS(LOG10(Database!$S318/Screener!$D$14))/0.6))</f>
        <v/>
      </c>
      <c r="K318" s="270">
        <f>IF(Database!$B318=Screener!$B$5,-999999,IF(ISNUMBER(SEARCH(","&amp;Database!$A318&amp;",",","&amp;SUBSTITUTE(Screener!$D$17," ","")&amp;",")),2000000,IF(IF(OR(Screener!$B$18="All",AND(Screener!$B$18="With A-share",(Database!$BM318="Y")),AND(Screener!$B$18="Without A-share",NOT((Database!$BM318="Y")))),1,0)=0,-999999,IF(Screener!$B$16="cornerstone overlap first",H318*100000,IF(Screener!$B$16="demand-similar first",J318*100000,0))+W_SUB*B318+W_SEC*C318*(1-B318)+W_SIZE*D318+W_PROF*E318+W_AH*F318+W_REC*G318+W_CS*H318+W_PE*I318)))+ROW()/1000000</f>
        <v/>
      </c>
      <c r="AA318" s="270">
        <f>Database!B307</f>
        <v/>
      </c>
      <c r="AB318" s="270">
        <f>Database!D307</f>
        <v/>
      </c>
      <c r="AC318" s="270">
        <f>Database!E307</f>
        <v/>
      </c>
      <c r="AD318" s="270">
        <f>Database!I307</f>
        <v/>
      </c>
      <c r="AE318" s="270">
        <f>Database!BG307</f>
        <v/>
      </c>
      <c r="AF318" s="270">
        <f>Database!BM307</f>
        <v/>
      </c>
      <c r="AG318" s="270">
        <f>Database!H307</f>
        <v/>
      </c>
      <c r="AH318" s="270">
        <f>Database!BH307</f>
        <v/>
      </c>
    </row>
    <row r="319">
      <c r="A319" s="270">
        <f>Database!B319</f>
        <v/>
      </c>
      <c r="B319" s="270">
        <f>IF(AND(Screener!$D$8&lt;&gt;"",Database!$E319=Screener!$D$8),1,0)</f>
        <v/>
      </c>
      <c r="C319" s="270">
        <f>IF(AND(Screener!$D$7&lt;&gt;"",Database!$D319=Screener!$D$7),1,0)</f>
        <v/>
      </c>
      <c r="D319" s="270">
        <f>IF(OR(N(Database!$I319)&lt;=0,N(Screener!$D$9)&lt;=0),0,MAX(0,1-ABS(LOG10(N(Database!$I319)/Screener!$D$9))/W_SIZEHW))</f>
        <v/>
      </c>
      <c r="E319" s="270">
        <f>IF(OR(Database!$BG319="",Screener!$D$10=""),0,IF(Database!$BG319=Screener!$D$10,1,0))</f>
        <v/>
      </c>
      <c r="F319" s="270">
        <f>IF(OR(Database!$BM319="",Screener!$D$11=""),0,IF(Database!$BM319=Screener!$D$11,1,0))</f>
        <v/>
      </c>
      <c r="G319" s="270">
        <f>IF(OR(Database!$H319="",N(Screener!$D$12)&lt;=0),0,MAX(0,1-(N(Screener!$D$12)-Database!$H319)/W_RECD))</f>
        <v/>
      </c>
      <c r="H319" s="270">
        <f>IF($U$1="",0,N(ISNUMBER(SEARCH($U$1,Database!$AC319&amp;""))))+IF($V$1="",0,N(ISNUMBER(SEARCH($V$1,Database!$AC319&amp;""))))+IF($W$1="",0,N(ISNUMBER(SEARCH($W$1,Database!$AC319&amp;""))))+IF($X$1="",0,N(ISNUMBER(SEARCH($X$1,Database!$AC319&amp;""))))+IF($Y$1="",0,N(ISNUMBER(SEARCH($Y$1,Database!$AC319&amp;""))))+IF(Screener!$B$17="",0,N(ISNUMBER(SEARCH(LOWER(Screener!$B$17),Database!$AC319&amp;""))))</f>
        <v/>
      </c>
      <c r="I319" s="270">
        <f>IF(OR(N(Database!$BH319)&lt;=0,N(Screener!$D$13)&lt;=0),0,MAX(0,1-ABS(LOG10(N(Database!$BH319)/Screener!$D$13))/W_PEHW))</f>
        <v/>
      </c>
      <c r="J319" s="270">
        <f>IF(OR(N(Database!$S319)&lt;=0,N(Screener!$D$14)&lt;=0),0,MAX(0,1-ABS(LOG10(Database!$S319/Screener!$D$14))/0.6))</f>
        <v/>
      </c>
      <c r="K319" s="270">
        <f>IF(Database!$B319=Screener!$B$5,-999999,IF(ISNUMBER(SEARCH(","&amp;Database!$A319&amp;",",","&amp;SUBSTITUTE(Screener!$D$17," ","")&amp;",")),2000000,IF(IF(OR(Screener!$B$18="All",AND(Screener!$B$18="With A-share",(Database!$BM319="Y")),AND(Screener!$B$18="Without A-share",NOT((Database!$BM319="Y")))),1,0)=0,-999999,IF(Screener!$B$16="cornerstone overlap first",H319*100000,IF(Screener!$B$16="demand-similar first",J319*100000,0))+W_SUB*B319+W_SEC*C319*(1-B319)+W_SIZE*D319+W_PROF*E319+W_AH*F319+W_REC*G319+W_CS*H319+W_PE*I319)))+ROW()/1000000</f>
        <v/>
      </c>
      <c r="AA319" s="270">
        <f>Database!B308</f>
        <v/>
      </c>
      <c r="AB319" s="270">
        <f>Database!D308</f>
        <v/>
      </c>
      <c r="AC319" s="270">
        <f>Database!E308</f>
        <v/>
      </c>
      <c r="AD319" s="270">
        <f>Database!I308</f>
        <v/>
      </c>
      <c r="AE319" s="270">
        <f>Database!BG308</f>
        <v/>
      </c>
      <c r="AF319" s="270">
        <f>Database!BM308</f>
        <v/>
      </c>
      <c r="AG319" s="270">
        <f>Database!H308</f>
        <v/>
      </c>
      <c r="AH319" s="270">
        <f>Database!BH308</f>
        <v/>
      </c>
    </row>
    <row r="320">
      <c r="A320" s="270">
        <f>Database!B320</f>
        <v/>
      </c>
      <c r="B320" s="270">
        <f>IF(AND(Screener!$D$8&lt;&gt;"",Database!$E320=Screener!$D$8),1,0)</f>
        <v/>
      </c>
      <c r="C320" s="270">
        <f>IF(AND(Screener!$D$7&lt;&gt;"",Database!$D320=Screener!$D$7),1,0)</f>
        <v/>
      </c>
      <c r="D320" s="270">
        <f>IF(OR(N(Database!$I320)&lt;=0,N(Screener!$D$9)&lt;=0),0,MAX(0,1-ABS(LOG10(N(Database!$I320)/Screener!$D$9))/W_SIZEHW))</f>
        <v/>
      </c>
      <c r="E320" s="270">
        <f>IF(OR(Database!$BG320="",Screener!$D$10=""),0,IF(Database!$BG320=Screener!$D$10,1,0))</f>
        <v/>
      </c>
      <c r="F320" s="270">
        <f>IF(OR(Database!$BM320="",Screener!$D$11=""),0,IF(Database!$BM320=Screener!$D$11,1,0))</f>
        <v/>
      </c>
      <c r="G320" s="270">
        <f>IF(OR(Database!$H320="",N(Screener!$D$12)&lt;=0),0,MAX(0,1-(N(Screener!$D$12)-Database!$H320)/W_RECD))</f>
        <v/>
      </c>
      <c r="H320" s="270">
        <f>IF($U$1="",0,N(ISNUMBER(SEARCH($U$1,Database!$AC320&amp;""))))+IF($V$1="",0,N(ISNUMBER(SEARCH($V$1,Database!$AC320&amp;""))))+IF($W$1="",0,N(ISNUMBER(SEARCH($W$1,Database!$AC320&amp;""))))+IF($X$1="",0,N(ISNUMBER(SEARCH($X$1,Database!$AC320&amp;""))))+IF($Y$1="",0,N(ISNUMBER(SEARCH($Y$1,Database!$AC320&amp;""))))+IF(Screener!$B$17="",0,N(ISNUMBER(SEARCH(LOWER(Screener!$B$17),Database!$AC320&amp;""))))</f>
        <v/>
      </c>
      <c r="I320" s="270">
        <f>IF(OR(N(Database!$BH320)&lt;=0,N(Screener!$D$13)&lt;=0),0,MAX(0,1-ABS(LOG10(N(Database!$BH320)/Screener!$D$13))/W_PEHW))</f>
        <v/>
      </c>
      <c r="J320" s="270">
        <f>IF(OR(N(Database!$S320)&lt;=0,N(Screener!$D$14)&lt;=0),0,MAX(0,1-ABS(LOG10(Database!$S320/Screener!$D$14))/0.6))</f>
        <v/>
      </c>
      <c r="K320" s="270">
        <f>IF(Database!$B320=Screener!$B$5,-999999,IF(ISNUMBER(SEARCH(","&amp;Database!$A320&amp;",",","&amp;SUBSTITUTE(Screener!$D$17," ","")&amp;",")),2000000,IF(IF(OR(Screener!$B$18="All",AND(Screener!$B$18="With A-share",(Database!$BM320="Y")),AND(Screener!$B$18="Without A-share",NOT((Database!$BM320="Y")))),1,0)=0,-999999,IF(Screener!$B$16="cornerstone overlap first",H320*100000,IF(Screener!$B$16="demand-similar first",J320*100000,0))+W_SUB*B320+W_SEC*C320*(1-B320)+W_SIZE*D320+W_PROF*E320+W_AH*F320+W_REC*G320+W_CS*H320+W_PE*I320)))+ROW()/1000000</f>
        <v/>
      </c>
      <c r="AA320" s="270">
        <f>Database!B309</f>
        <v/>
      </c>
      <c r="AB320" s="270">
        <f>Database!D309</f>
        <v/>
      </c>
      <c r="AC320" s="270">
        <f>Database!E309</f>
        <v/>
      </c>
      <c r="AD320" s="270">
        <f>Database!I309</f>
        <v/>
      </c>
      <c r="AE320" s="270">
        <f>Database!BG309</f>
        <v/>
      </c>
      <c r="AF320" s="270">
        <f>Database!BM309</f>
        <v/>
      </c>
      <c r="AG320" s="270">
        <f>Database!H309</f>
        <v/>
      </c>
      <c r="AH320" s="270">
        <f>Database!BH309</f>
        <v/>
      </c>
    </row>
    <row r="321">
      <c r="A321" s="270">
        <f>Database!B321</f>
        <v/>
      </c>
      <c r="B321" s="270">
        <f>IF(AND(Screener!$D$8&lt;&gt;"",Database!$E321=Screener!$D$8),1,0)</f>
        <v/>
      </c>
      <c r="C321" s="270">
        <f>IF(AND(Screener!$D$7&lt;&gt;"",Database!$D321=Screener!$D$7),1,0)</f>
        <v/>
      </c>
      <c r="D321" s="270">
        <f>IF(OR(N(Database!$I321)&lt;=0,N(Screener!$D$9)&lt;=0),0,MAX(0,1-ABS(LOG10(N(Database!$I321)/Screener!$D$9))/W_SIZEHW))</f>
        <v/>
      </c>
      <c r="E321" s="270">
        <f>IF(OR(Database!$BG321="",Screener!$D$10=""),0,IF(Database!$BG321=Screener!$D$10,1,0))</f>
        <v/>
      </c>
      <c r="F321" s="270">
        <f>IF(OR(Database!$BM321="",Screener!$D$11=""),0,IF(Database!$BM321=Screener!$D$11,1,0))</f>
        <v/>
      </c>
      <c r="G321" s="270">
        <f>IF(OR(Database!$H321="",N(Screener!$D$12)&lt;=0),0,MAX(0,1-(N(Screener!$D$12)-Database!$H321)/W_RECD))</f>
        <v/>
      </c>
      <c r="H321" s="270">
        <f>IF($U$1="",0,N(ISNUMBER(SEARCH($U$1,Database!$AC321&amp;""))))+IF($V$1="",0,N(ISNUMBER(SEARCH($V$1,Database!$AC321&amp;""))))+IF($W$1="",0,N(ISNUMBER(SEARCH($W$1,Database!$AC321&amp;""))))+IF($X$1="",0,N(ISNUMBER(SEARCH($X$1,Database!$AC321&amp;""))))+IF($Y$1="",0,N(ISNUMBER(SEARCH($Y$1,Database!$AC321&amp;""))))+IF(Screener!$B$17="",0,N(ISNUMBER(SEARCH(LOWER(Screener!$B$17),Database!$AC321&amp;""))))</f>
        <v/>
      </c>
      <c r="I321" s="270">
        <f>IF(OR(N(Database!$BH321)&lt;=0,N(Screener!$D$13)&lt;=0),0,MAX(0,1-ABS(LOG10(N(Database!$BH321)/Screener!$D$13))/W_PEHW))</f>
        <v/>
      </c>
      <c r="J321" s="270">
        <f>IF(OR(N(Database!$S321)&lt;=0,N(Screener!$D$14)&lt;=0),0,MAX(0,1-ABS(LOG10(Database!$S321/Screener!$D$14))/0.6))</f>
        <v/>
      </c>
      <c r="K321" s="270">
        <f>IF(Database!$B321=Screener!$B$5,-999999,IF(ISNUMBER(SEARCH(","&amp;Database!$A321&amp;",",","&amp;SUBSTITUTE(Screener!$D$17," ","")&amp;",")),2000000,IF(IF(OR(Screener!$B$18="All",AND(Screener!$B$18="With A-share",(Database!$BM321="Y")),AND(Screener!$B$18="Without A-share",NOT((Database!$BM321="Y")))),1,0)=0,-999999,IF(Screener!$B$16="cornerstone overlap first",H321*100000,IF(Screener!$B$16="demand-similar first",J321*100000,0))+W_SUB*B321+W_SEC*C321*(1-B321)+W_SIZE*D321+W_PROF*E321+W_AH*F321+W_REC*G321+W_CS*H321+W_PE*I321)))+ROW()/1000000</f>
        <v/>
      </c>
      <c r="AA321" s="270">
        <f>Database!B310</f>
        <v/>
      </c>
      <c r="AB321" s="270">
        <f>Database!D310</f>
        <v/>
      </c>
      <c r="AC321" s="270">
        <f>Database!E310</f>
        <v/>
      </c>
      <c r="AD321" s="270">
        <f>Database!I310</f>
        <v/>
      </c>
      <c r="AE321" s="270">
        <f>Database!BG310</f>
        <v/>
      </c>
      <c r="AF321" s="270">
        <f>Database!BM310</f>
        <v/>
      </c>
      <c r="AG321" s="270">
        <f>Database!H310</f>
        <v/>
      </c>
      <c r="AH321" s="270">
        <f>Database!BH310</f>
        <v/>
      </c>
    </row>
    <row r="322">
      <c r="A322" s="270">
        <f>Database!B322</f>
        <v/>
      </c>
      <c r="B322" s="270">
        <f>IF(AND(Screener!$D$8&lt;&gt;"",Database!$E322=Screener!$D$8),1,0)</f>
        <v/>
      </c>
      <c r="C322" s="270">
        <f>IF(AND(Screener!$D$7&lt;&gt;"",Database!$D322=Screener!$D$7),1,0)</f>
        <v/>
      </c>
      <c r="D322" s="270">
        <f>IF(OR(N(Database!$I322)&lt;=0,N(Screener!$D$9)&lt;=0),0,MAX(0,1-ABS(LOG10(N(Database!$I322)/Screener!$D$9))/W_SIZEHW))</f>
        <v/>
      </c>
      <c r="E322" s="270">
        <f>IF(OR(Database!$BG322="",Screener!$D$10=""),0,IF(Database!$BG322=Screener!$D$10,1,0))</f>
        <v/>
      </c>
      <c r="F322" s="270">
        <f>IF(OR(Database!$BM322="",Screener!$D$11=""),0,IF(Database!$BM322=Screener!$D$11,1,0))</f>
        <v/>
      </c>
      <c r="G322" s="270">
        <f>IF(OR(Database!$H322="",N(Screener!$D$12)&lt;=0),0,MAX(0,1-(N(Screener!$D$12)-Database!$H322)/W_RECD))</f>
        <v/>
      </c>
      <c r="H322" s="270">
        <f>IF($U$1="",0,N(ISNUMBER(SEARCH($U$1,Database!$AC322&amp;""))))+IF($V$1="",0,N(ISNUMBER(SEARCH($V$1,Database!$AC322&amp;""))))+IF($W$1="",0,N(ISNUMBER(SEARCH($W$1,Database!$AC322&amp;""))))+IF($X$1="",0,N(ISNUMBER(SEARCH($X$1,Database!$AC322&amp;""))))+IF($Y$1="",0,N(ISNUMBER(SEARCH($Y$1,Database!$AC322&amp;""))))+IF(Screener!$B$17="",0,N(ISNUMBER(SEARCH(LOWER(Screener!$B$17),Database!$AC322&amp;""))))</f>
        <v/>
      </c>
      <c r="I322" s="270">
        <f>IF(OR(N(Database!$BH322)&lt;=0,N(Screener!$D$13)&lt;=0),0,MAX(0,1-ABS(LOG10(N(Database!$BH322)/Screener!$D$13))/W_PEHW))</f>
        <v/>
      </c>
      <c r="J322" s="270">
        <f>IF(OR(N(Database!$S322)&lt;=0,N(Screener!$D$14)&lt;=0),0,MAX(0,1-ABS(LOG10(Database!$S322/Screener!$D$14))/0.6))</f>
        <v/>
      </c>
      <c r="K322" s="270">
        <f>IF(Database!$B322=Screener!$B$5,-999999,IF(ISNUMBER(SEARCH(","&amp;Database!$A322&amp;",",","&amp;SUBSTITUTE(Screener!$D$17," ","")&amp;",")),2000000,IF(IF(OR(Screener!$B$18="All",AND(Screener!$B$18="With A-share",(Database!$BM322="Y")),AND(Screener!$B$18="Without A-share",NOT((Database!$BM322="Y")))),1,0)=0,-999999,IF(Screener!$B$16="cornerstone overlap first",H322*100000,IF(Screener!$B$16="demand-similar first",J322*100000,0))+W_SUB*B322+W_SEC*C322*(1-B322)+W_SIZE*D322+W_PROF*E322+W_AH*F322+W_REC*G322+W_CS*H322+W_PE*I322)))+ROW()/1000000</f>
        <v/>
      </c>
      <c r="AA322" s="270">
        <f>Database!B311</f>
        <v/>
      </c>
      <c r="AB322" s="270">
        <f>Database!D311</f>
        <v/>
      </c>
      <c r="AC322" s="270">
        <f>Database!E311</f>
        <v/>
      </c>
      <c r="AD322" s="270">
        <f>Database!I311</f>
        <v/>
      </c>
      <c r="AE322" s="270">
        <f>Database!BG311</f>
        <v/>
      </c>
      <c r="AF322" s="270">
        <f>Database!BM311</f>
        <v/>
      </c>
      <c r="AG322" s="270">
        <f>Database!H311</f>
        <v/>
      </c>
      <c r="AH322" s="270">
        <f>Database!BH311</f>
        <v/>
      </c>
    </row>
    <row r="323">
      <c r="A323" s="270">
        <f>Database!B323</f>
        <v/>
      </c>
      <c r="B323" s="270">
        <f>IF(AND(Screener!$D$8&lt;&gt;"",Database!$E323=Screener!$D$8),1,0)</f>
        <v/>
      </c>
      <c r="C323" s="270">
        <f>IF(AND(Screener!$D$7&lt;&gt;"",Database!$D323=Screener!$D$7),1,0)</f>
        <v/>
      </c>
      <c r="D323" s="270">
        <f>IF(OR(N(Database!$I323)&lt;=0,N(Screener!$D$9)&lt;=0),0,MAX(0,1-ABS(LOG10(N(Database!$I323)/Screener!$D$9))/W_SIZEHW))</f>
        <v/>
      </c>
      <c r="E323" s="270">
        <f>IF(OR(Database!$BG323="",Screener!$D$10=""),0,IF(Database!$BG323=Screener!$D$10,1,0))</f>
        <v/>
      </c>
      <c r="F323" s="270">
        <f>IF(OR(Database!$BM323="",Screener!$D$11=""),0,IF(Database!$BM323=Screener!$D$11,1,0))</f>
        <v/>
      </c>
      <c r="G323" s="270">
        <f>IF(OR(Database!$H323="",N(Screener!$D$12)&lt;=0),0,MAX(0,1-(N(Screener!$D$12)-Database!$H323)/W_RECD))</f>
        <v/>
      </c>
      <c r="H323" s="270">
        <f>IF($U$1="",0,N(ISNUMBER(SEARCH($U$1,Database!$AC323&amp;""))))+IF($V$1="",0,N(ISNUMBER(SEARCH($V$1,Database!$AC323&amp;""))))+IF($W$1="",0,N(ISNUMBER(SEARCH($W$1,Database!$AC323&amp;""))))+IF($X$1="",0,N(ISNUMBER(SEARCH($X$1,Database!$AC323&amp;""))))+IF($Y$1="",0,N(ISNUMBER(SEARCH($Y$1,Database!$AC323&amp;""))))+IF(Screener!$B$17="",0,N(ISNUMBER(SEARCH(LOWER(Screener!$B$17),Database!$AC323&amp;""))))</f>
        <v/>
      </c>
      <c r="I323" s="270">
        <f>IF(OR(N(Database!$BH323)&lt;=0,N(Screener!$D$13)&lt;=0),0,MAX(0,1-ABS(LOG10(N(Database!$BH323)/Screener!$D$13))/W_PEHW))</f>
        <v/>
      </c>
      <c r="J323" s="270">
        <f>IF(OR(N(Database!$S323)&lt;=0,N(Screener!$D$14)&lt;=0),0,MAX(0,1-ABS(LOG10(Database!$S323/Screener!$D$14))/0.6))</f>
        <v/>
      </c>
      <c r="K323" s="270">
        <f>IF(Database!$B323=Screener!$B$5,-999999,IF(ISNUMBER(SEARCH(","&amp;Database!$A323&amp;",",","&amp;SUBSTITUTE(Screener!$D$17," ","")&amp;",")),2000000,IF(IF(OR(Screener!$B$18="All",AND(Screener!$B$18="With A-share",(Database!$BM323="Y")),AND(Screener!$B$18="Without A-share",NOT((Database!$BM323="Y")))),1,0)=0,-999999,IF(Screener!$B$16="cornerstone overlap first",H323*100000,IF(Screener!$B$16="demand-similar first",J323*100000,0))+W_SUB*B323+W_SEC*C323*(1-B323)+W_SIZE*D323+W_PROF*E323+W_AH*F323+W_REC*G323+W_CS*H323+W_PE*I323)))+ROW()/1000000</f>
        <v/>
      </c>
      <c r="AA323" s="270">
        <f>Database!B312</f>
        <v/>
      </c>
      <c r="AB323" s="270">
        <f>Database!D312</f>
        <v/>
      </c>
      <c r="AC323" s="270">
        <f>Database!E312</f>
        <v/>
      </c>
      <c r="AD323" s="270">
        <f>Database!I312</f>
        <v/>
      </c>
      <c r="AE323" s="270">
        <f>Database!BG312</f>
        <v/>
      </c>
      <c r="AF323" s="270">
        <f>Database!BM312</f>
        <v/>
      </c>
      <c r="AG323" s="270">
        <f>Database!H312</f>
        <v/>
      </c>
      <c r="AH323" s="270">
        <f>Database!BH312</f>
        <v/>
      </c>
    </row>
    <row r="324">
      <c r="A324" s="270">
        <f>Database!B324</f>
        <v/>
      </c>
      <c r="B324" s="270">
        <f>IF(AND(Screener!$D$8&lt;&gt;"",Database!$E324=Screener!$D$8),1,0)</f>
        <v/>
      </c>
      <c r="C324" s="270">
        <f>IF(AND(Screener!$D$7&lt;&gt;"",Database!$D324=Screener!$D$7),1,0)</f>
        <v/>
      </c>
      <c r="D324" s="270">
        <f>IF(OR(N(Database!$I324)&lt;=0,N(Screener!$D$9)&lt;=0),0,MAX(0,1-ABS(LOG10(N(Database!$I324)/Screener!$D$9))/W_SIZEHW))</f>
        <v/>
      </c>
      <c r="E324" s="270">
        <f>IF(OR(Database!$BG324="",Screener!$D$10=""),0,IF(Database!$BG324=Screener!$D$10,1,0))</f>
        <v/>
      </c>
      <c r="F324" s="270">
        <f>IF(OR(Database!$BM324="",Screener!$D$11=""),0,IF(Database!$BM324=Screener!$D$11,1,0))</f>
        <v/>
      </c>
      <c r="G324" s="270">
        <f>IF(OR(Database!$H324="",N(Screener!$D$12)&lt;=0),0,MAX(0,1-(N(Screener!$D$12)-Database!$H324)/W_RECD))</f>
        <v/>
      </c>
      <c r="H324" s="270">
        <f>IF($U$1="",0,N(ISNUMBER(SEARCH($U$1,Database!$AC324&amp;""))))+IF($V$1="",0,N(ISNUMBER(SEARCH($V$1,Database!$AC324&amp;""))))+IF($W$1="",0,N(ISNUMBER(SEARCH($W$1,Database!$AC324&amp;""))))+IF($X$1="",0,N(ISNUMBER(SEARCH($X$1,Database!$AC324&amp;""))))+IF($Y$1="",0,N(ISNUMBER(SEARCH($Y$1,Database!$AC324&amp;""))))+IF(Screener!$B$17="",0,N(ISNUMBER(SEARCH(LOWER(Screener!$B$17),Database!$AC324&amp;""))))</f>
        <v/>
      </c>
      <c r="I324" s="270">
        <f>IF(OR(N(Database!$BH324)&lt;=0,N(Screener!$D$13)&lt;=0),0,MAX(0,1-ABS(LOG10(N(Database!$BH324)/Screener!$D$13))/W_PEHW))</f>
        <v/>
      </c>
      <c r="J324" s="270">
        <f>IF(OR(N(Database!$S324)&lt;=0,N(Screener!$D$14)&lt;=0),0,MAX(0,1-ABS(LOG10(Database!$S324/Screener!$D$14))/0.6))</f>
        <v/>
      </c>
      <c r="K324" s="270">
        <f>IF(Database!$B324=Screener!$B$5,-999999,IF(ISNUMBER(SEARCH(","&amp;Database!$A324&amp;",",","&amp;SUBSTITUTE(Screener!$D$17," ","")&amp;",")),2000000,IF(IF(OR(Screener!$B$18="All",AND(Screener!$B$18="With A-share",(Database!$BM324="Y")),AND(Screener!$B$18="Without A-share",NOT((Database!$BM324="Y")))),1,0)=0,-999999,IF(Screener!$B$16="cornerstone overlap first",H324*100000,IF(Screener!$B$16="demand-similar first",J324*100000,0))+W_SUB*B324+W_SEC*C324*(1-B324)+W_SIZE*D324+W_PROF*E324+W_AH*F324+W_REC*G324+W_CS*H324+W_PE*I324)))+ROW()/1000000</f>
        <v/>
      </c>
      <c r="AA324" s="270">
        <f>Database!B313</f>
        <v/>
      </c>
      <c r="AB324" s="270">
        <f>Database!D313</f>
        <v/>
      </c>
      <c r="AC324" s="270">
        <f>Database!E313</f>
        <v/>
      </c>
      <c r="AD324" s="270">
        <f>Database!I313</f>
        <v/>
      </c>
      <c r="AE324" s="270">
        <f>Database!BG313</f>
        <v/>
      </c>
      <c r="AF324" s="270">
        <f>Database!BM313</f>
        <v/>
      </c>
      <c r="AG324" s="270">
        <f>Database!H313</f>
        <v/>
      </c>
      <c r="AH324" s="270">
        <f>Database!BH313</f>
        <v/>
      </c>
    </row>
    <row r="325">
      <c r="A325" s="270">
        <f>Database!B325</f>
        <v/>
      </c>
      <c r="B325" s="270">
        <f>IF(AND(Screener!$D$8&lt;&gt;"",Database!$E325=Screener!$D$8),1,0)</f>
        <v/>
      </c>
      <c r="C325" s="270">
        <f>IF(AND(Screener!$D$7&lt;&gt;"",Database!$D325=Screener!$D$7),1,0)</f>
        <v/>
      </c>
      <c r="D325" s="270">
        <f>IF(OR(N(Database!$I325)&lt;=0,N(Screener!$D$9)&lt;=0),0,MAX(0,1-ABS(LOG10(N(Database!$I325)/Screener!$D$9))/W_SIZEHW))</f>
        <v/>
      </c>
      <c r="E325" s="270">
        <f>IF(OR(Database!$BG325="",Screener!$D$10=""),0,IF(Database!$BG325=Screener!$D$10,1,0))</f>
        <v/>
      </c>
      <c r="F325" s="270">
        <f>IF(OR(Database!$BM325="",Screener!$D$11=""),0,IF(Database!$BM325=Screener!$D$11,1,0))</f>
        <v/>
      </c>
      <c r="G325" s="270">
        <f>IF(OR(Database!$H325="",N(Screener!$D$12)&lt;=0),0,MAX(0,1-(N(Screener!$D$12)-Database!$H325)/W_RECD))</f>
        <v/>
      </c>
      <c r="H325" s="270">
        <f>IF($U$1="",0,N(ISNUMBER(SEARCH($U$1,Database!$AC325&amp;""))))+IF($V$1="",0,N(ISNUMBER(SEARCH($V$1,Database!$AC325&amp;""))))+IF($W$1="",0,N(ISNUMBER(SEARCH($W$1,Database!$AC325&amp;""))))+IF($X$1="",0,N(ISNUMBER(SEARCH($X$1,Database!$AC325&amp;""))))+IF($Y$1="",0,N(ISNUMBER(SEARCH($Y$1,Database!$AC325&amp;""))))+IF(Screener!$B$17="",0,N(ISNUMBER(SEARCH(LOWER(Screener!$B$17),Database!$AC325&amp;""))))</f>
        <v/>
      </c>
      <c r="I325" s="270">
        <f>IF(OR(N(Database!$BH325)&lt;=0,N(Screener!$D$13)&lt;=0),0,MAX(0,1-ABS(LOG10(N(Database!$BH325)/Screener!$D$13))/W_PEHW))</f>
        <v/>
      </c>
      <c r="J325" s="270">
        <f>IF(OR(N(Database!$S325)&lt;=0,N(Screener!$D$14)&lt;=0),0,MAX(0,1-ABS(LOG10(Database!$S325/Screener!$D$14))/0.6))</f>
        <v/>
      </c>
      <c r="K325" s="270">
        <f>IF(Database!$B325=Screener!$B$5,-999999,IF(ISNUMBER(SEARCH(","&amp;Database!$A325&amp;",",","&amp;SUBSTITUTE(Screener!$D$17," ","")&amp;",")),2000000,IF(IF(OR(Screener!$B$18="All",AND(Screener!$B$18="With A-share",(Database!$BM325="Y")),AND(Screener!$B$18="Without A-share",NOT((Database!$BM325="Y")))),1,0)=0,-999999,IF(Screener!$B$16="cornerstone overlap first",H325*100000,IF(Screener!$B$16="demand-similar first",J325*100000,0))+W_SUB*B325+W_SEC*C325*(1-B325)+W_SIZE*D325+W_PROF*E325+W_AH*F325+W_REC*G325+W_CS*H325+W_PE*I325)))+ROW()/1000000</f>
        <v/>
      </c>
      <c r="AA325" s="270">
        <f>Database!B314</f>
        <v/>
      </c>
      <c r="AB325" s="270">
        <f>Database!D314</f>
        <v/>
      </c>
      <c r="AC325" s="270">
        <f>Database!E314</f>
        <v/>
      </c>
      <c r="AD325" s="270">
        <f>Database!I314</f>
        <v/>
      </c>
      <c r="AE325" s="270">
        <f>Database!BG314</f>
        <v/>
      </c>
      <c r="AF325" s="270">
        <f>Database!BM314</f>
        <v/>
      </c>
      <c r="AG325" s="270">
        <f>Database!H314</f>
        <v/>
      </c>
      <c r="AH325" s="270">
        <f>Database!BH314</f>
        <v/>
      </c>
    </row>
    <row r="326">
      <c r="A326" s="270">
        <f>Database!B326</f>
        <v/>
      </c>
      <c r="B326" s="270">
        <f>IF(AND(Screener!$D$8&lt;&gt;"",Database!$E326=Screener!$D$8),1,0)</f>
        <v/>
      </c>
      <c r="C326" s="270">
        <f>IF(AND(Screener!$D$7&lt;&gt;"",Database!$D326=Screener!$D$7),1,0)</f>
        <v/>
      </c>
      <c r="D326" s="270">
        <f>IF(OR(N(Database!$I326)&lt;=0,N(Screener!$D$9)&lt;=0),0,MAX(0,1-ABS(LOG10(N(Database!$I326)/Screener!$D$9))/W_SIZEHW))</f>
        <v/>
      </c>
      <c r="E326" s="270">
        <f>IF(OR(Database!$BG326="",Screener!$D$10=""),0,IF(Database!$BG326=Screener!$D$10,1,0))</f>
        <v/>
      </c>
      <c r="F326" s="270">
        <f>IF(OR(Database!$BM326="",Screener!$D$11=""),0,IF(Database!$BM326=Screener!$D$11,1,0))</f>
        <v/>
      </c>
      <c r="G326" s="270">
        <f>IF(OR(Database!$H326="",N(Screener!$D$12)&lt;=0),0,MAX(0,1-(N(Screener!$D$12)-Database!$H326)/W_RECD))</f>
        <v/>
      </c>
      <c r="H326" s="270">
        <f>IF($U$1="",0,N(ISNUMBER(SEARCH($U$1,Database!$AC326&amp;""))))+IF($V$1="",0,N(ISNUMBER(SEARCH($V$1,Database!$AC326&amp;""))))+IF($W$1="",0,N(ISNUMBER(SEARCH($W$1,Database!$AC326&amp;""))))+IF($X$1="",0,N(ISNUMBER(SEARCH($X$1,Database!$AC326&amp;""))))+IF($Y$1="",0,N(ISNUMBER(SEARCH($Y$1,Database!$AC326&amp;""))))+IF(Screener!$B$17="",0,N(ISNUMBER(SEARCH(LOWER(Screener!$B$17),Database!$AC326&amp;""))))</f>
        <v/>
      </c>
      <c r="I326" s="270">
        <f>IF(OR(N(Database!$BH326)&lt;=0,N(Screener!$D$13)&lt;=0),0,MAX(0,1-ABS(LOG10(N(Database!$BH326)/Screener!$D$13))/W_PEHW))</f>
        <v/>
      </c>
      <c r="J326" s="270">
        <f>IF(OR(N(Database!$S326)&lt;=0,N(Screener!$D$14)&lt;=0),0,MAX(0,1-ABS(LOG10(Database!$S326/Screener!$D$14))/0.6))</f>
        <v/>
      </c>
      <c r="K326" s="270">
        <f>IF(Database!$B326=Screener!$B$5,-999999,IF(ISNUMBER(SEARCH(","&amp;Database!$A326&amp;",",","&amp;SUBSTITUTE(Screener!$D$17," ","")&amp;",")),2000000,IF(IF(OR(Screener!$B$18="All",AND(Screener!$B$18="With A-share",(Database!$BM326="Y")),AND(Screener!$B$18="Without A-share",NOT((Database!$BM326="Y")))),1,0)=0,-999999,IF(Screener!$B$16="cornerstone overlap first",H326*100000,IF(Screener!$B$16="demand-similar first",J326*100000,0))+W_SUB*B326+W_SEC*C326*(1-B326)+W_SIZE*D326+W_PROF*E326+W_AH*F326+W_REC*G326+W_CS*H326+W_PE*I326)))+ROW()/1000000</f>
        <v/>
      </c>
      <c r="AA326" s="270">
        <f>Database!B315</f>
        <v/>
      </c>
      <c r="AB326" s="270">
        <f>Database!D315</f>
        <v/>
      </c>
      <c r="AC326" s="270">
        <f>Database!E315</f>
        <v/>
      </c>
      <c r="AD326" s="270">
        <f>Database!I315</f>
        <v/>
      </c>
      <c r="AE326" s="270">
        <f>Database!BG315</f>
        <v/>
      </c>
      <c r="AF326" s="270">
        <f>Database!BM315</f>
        <v/>
      </c>
      <c r="AG326" s="270">
        <f>Database!H315</f>
        <v/>
      </c>
      <c r="AH326" s="270">
        <f>Database!BH315</f>
        <v/>
      </c>
    </row>
    <row r="327">
      <c r="A327" s="270">
        <f>Database!B327</f>
        <v/>
      </c>
      <c r="B327" s="270">
        <f>IF(AND(Screener!$D$8&lt;&gt;"",Database!$E327=Screener!$D$8),1,0)</f>
        <v/>
      </c>
      <c r="C327" s="270">
        <f>IF(AND(Screener!$D$7&lt;&gt;"",Database!$D327=Screener!$D$7),1,0)</f>
        <v/>
      </c>
      <c r="D327" s="270">
        <f>IF(OR(N(Database!$I327)&lt;=0,N(Screener!$D$9)&lt;=0),0,MAX(0,1-ABS(LOG10(N(Database!$I327)/Screener!$D$9))/W_SIZEHW))</f>
        <v/>
      </c>
      <c r="E327" s="270">
        <f>IF(OR(Database!$BG327="",Screener!$D$10=""),0,IF(Database!$BG327=Screener!$D$10,1,0))</f>
        <v/>
      </c>
      <c r="F327" s="270">
        <f>IF(OR(Database!$BM327="",Screener!$D$11=""),0,IF(Database!$BM327=Screener!$D$11,1,0))</f>
        <v/>
      </c>
      <c r="G327" s="270">
        <f>IF(OR(Database!$H327="",N(Screener!$D$12)&lt;=0),0,MAX(0,1-(N(Screener!$D$12)-Database!$H327)/W_RECD))</f>
        <v/>
      </c>
      <c r="H327" s="270">
        <f>IF($U$1="",0,N(ISNUMBER(SEARCH($U$1,Database!$AC327&amp;""))))+IF($V$1="",0,N(ISNUMBER(SEARCH($V$1,Database!$AC327&amp;""))))+IF($W$1="",0,N(ISNUMBER(SEARCH($W$1,Database!$AC327&amp;""))))+IF($X$1="",0,N(ISNUMBER(SEARCH($X$1,Database!$AC327&amp;""))))+IF($Y$1="",0,N(ISNUMBER(SEARCH($Y$1,Database!$AC327&amp;""))))+IF(Screener!$B$17="",0,N(ISNUMBER(SEARCH(LOWER(Screener!$B$17),Database!$AC327&amp;""))))</f>
        <v/>
      </c>
      <c r="I327" s="270">
        <f>IF(OR(N(Database!$BH327)&lt;=0,N(Screener!$D$13)&lt;=0),0,MAX(0,1-ABS(LOG10(N(Database!$BH327)/Screener!$D$13))/W_PEHW))</f>
        <v/>
      </c>
      <c r="J327" s="270">
        <f>IF(OR(N(Database!$S327)&lt;=0,N(Screener!$D$14)&lt;=0),0,MAX(0,1-ABS(LOG10(Database!$S327/Screener!$D$14))/0.6))</f>
        <v/>
      </c>
      <c r="K327" s="270">
        <f>IF(Database!$B327=Screener!$B$5,-999999,IF(ISNUMBER(SEARCH(","&amp;Database!$A327&amp;",",","&amp;SUBSTITUTE(Screener!$D$17," ","")&amp;",")),2000000,IF(IF(OR(Screener!$B$18="All",AND(Screener!$B$18="With A-share",(Database!$BM327="Y")),AND(Screener!$B$18="Without A-share",NOT((Database!$BM327="Y")))),1,0)=0,-999999,IF(Screener!$B$16="cornerstone overlap first",H327*100000,IF(Screener!$B$16="demand-similar first",J327*100000,0))+W_SUB*B327+W_SEC*C327*(1-B327)+W_SIZE*D327+W_PROF*E327+W_AH*F327+W_REC*G327+W_CS*H327+W_PE*I327)))+ROW()/1000000</f>
        <v/>
      </c>
      <c r="AA327" s="270">
        <f>Database!B316</f>
        <v/>
      </c>
      <c r="AB327" s="270">
        <f>Database!D316</f>
        <v/>
      </c>
      <c r="AC327" s="270">
        <f>Database!E316</f>
        <v/>
      </c>
      <c r="AD327" s="270">
        <f>Database!I316</f>
        <v/>
      </c>
      <c r="AE327" s="270">
        <f>Database!BG316</f>
        <v/>
      </c>
      <c r="AF327" s="270">
        <f>Database!BM316</f>
        <v/>
      </c>
      <c r="AG327" s="270">
        <f>Database!H316</f>
        <v/>
      </c>
      <c r="AH327" s="270">
        <f>Database!BH316</f>
        <v/>
      </c>
    </row>
    <row r="328">
      <c r="A328" s="270">
        <f>Database!B328</f>
        <v/>
      </c>
      <c r="B328" s="270">
        <f>IF(AND(Screener!$D$8&lt;&gt;"",Database!$E328=Screener!$D$8),1,0)</f>
        <v/>
      </c>
      <c r="C328" s="270">
        <f>IF(AND(Screener!$D$7&lt;&gt;"",Database!$D328=Screener!$D$7),1,0)</f>
        <v/>
      </c>
      <c r="D328" s="270">
        <f>IF(OR(N(Database!$I328)&lt;=0,N(Screener!$D$9)&lt;=0),0,MAX(0,1-ABS(LOG10(N(Database!$I328)/Screener!$D$9))/W_SIZEHW))</f>
        <v/>
      </c>
      <c r="E328" s="270">
        <f>IF(OR(Database!$BG328="",Screener!$D$10=""),0,IF(Database!$BG328=Screener!$D$10,1,0))</f>
        <v/>
      </c>
      <c r="F328" s="270">
        <f>IF(OR(Database!$BM328="",Screener!$D$11=""),0,IF(Database!$BM328=Screener!$D$11,1,0))</f>
        <v/>
      </c>
      <c r="G328" s="270">
        <f>IF(OR(Database!$H328="",N(Screener!$D$12)&lt;=0),0,MAX(0,1-(N(Screener!$D$12)-Database!$H328)/W_RECD))</f>
        <v/>
      </c>
      <c r="H328" s="270">
        <f>IF($U$1="",0,N(ISNUMBER(SEARCH($U$1,Database!$AC328&amp;""))))+IF($V$1="",0,N(ISNUMBER(SEARCH($V$1,Database!$AC328&amp;""))))+IF($W$1="",0,N(ISNUMBER(SEARCH($W$1,Database!$AC328&amp;""))))+IF($X$1="",0,N(ISNUMBER(SEARCH($X$1,Database!$AC328&amp;""))))+IF($Y$1="",0,N(ISNUMBER(SEARCH($Y$1,Database!$AC328&amp;""))))+IF(Screener!$B$17="",0,N(ISNUMBER(SEARCH(LOWER(Screener!$B$17),Database!$AC328&amp;""))))</f>
        <v/>
      </c>
      <c r="I328" s="270">
        <f>IF(OR(N(Database!$BH328)&lt;=0,N(Screener!$D$13)&lt;=0),0,MAX(0,1-ABS(LOG10(N(Database!$BH328)/Screener!$D$13))/W_PEHW))</f>
        <v/>
      </c>
      <c r="J328" s="270">
        <f>IF(OR(N(Database!$S328)&lt;=0,N(Screener!$D$14)&lt;=0),0,MAX(0,1-ABS(LOG10(Database!$S328/Screener!$D$14))/0.6))</f>
        <v/>
      </c>
      <c r="K328" s="270">
        <f>IF(Database!$B328=Screener!$B$5,-999999,IF(ISNUMBER(SEARCH(","&amp;Database!$A328&amp;",",","&amp;SUBSTITUTE(Screener!$D$17," ","")&amp;",")),2000000,IF(IF(OR(Screener!$B$18="All",AND(Screener!$B$18="With A-share",(Database!$BM328="Y")),AND(Screener!$B$18="Without A-share",NOT((Database!$BM328="Y")))),1,0)=0,-999999,IF(Screener!$B$16="cornerstone overlap first",H328*100000,IF(Screener!$B$16="demand-similar first",J328*100000,0))+W_SUB*B328+W_SEC*C328*(1-B328)+W_SIZE*D328+W_PROF*E328+W_AH*F328+W_REC*G328+W_CS*H328+W_PE*I328)))+ROW()/1000000</f>
        <v/>
      </c>
      <c r="AA328" s="270">
        <f>Database!B317</f>
        <v/>
      </c>
      <c r="AB328" s="270">
        <f>Database!D317</f>
        <v/>
      </c>
      <c r="AC328" s="270">
        <f>Database!E317</f>
        <v/>
      </c>
      <c r="AD328" s="270">
        <f>Database!I317</f>
        <v/>
      </c>
      <c r="AE328" s="270">
        <f>Database!BG317</f>
        <v/>
      </c>
      <c r="AF328" s="270">
        <f>Database!BM317</f>
        <v/>
      </c>
      <c r="AG328" s="270">
        <f>Database!H317</f>
        <v/>
      </c>
      <c r="AH328" s="270">
        <f>Database!BH317</f>
        <v/>
      </c>
    </row>
    <row r="329">
      <c r="A329" s="270">
        <f>Database!B329</f>
        <v/>
      </c>
      <c r="B329" s="270">
        <f>IF(AND(Screener!$D$8&lt;&gt;"",Database!$E329=Screener!$D$8),1,0)</f>
        <v/>
      </c>
      <c r="C329" s="270">
        <f>IF(AND(Screener!$D$7&lt;&gt;"",Database!$D329=Screener!$D$7),1,0)</f>
        <v/>
      </c>
      <c r="D329" s="270">
        <f>IF(OR(N(Database!$I329)&lt;=0,N(Screener!$D$9)&lt;=0),0,MAX(0,1-ABS(LOG10(N(Database!$I329)/Screener!$D$9))/W_SIZEHW))</f>
        <v/>
      </c>
      <c r="E329" s="270">
        <f>IF(OR(Database!$BG329="",Screener!$D$10=""),0,IF(Database!$BG329=Screener!$D$10,1,0))</f>
        <v/>
      </c>
      <c r="F329" s="270">
        <f>IF(OR(Database!$BM329="",Screener!$D$11=""),0,IF(Database!$BM329=Screener!$D$11,1,0))</f>
        <v/>
      </c>
      <c r="G329" s="270">
        <f>IF(OR(Database!$H329="",N(Screener!$D$12)&lt;=0),0,MAX(0,1-(N(Screener!$D$12)-Database!$H329)/W_RECD))</f>
        <v/>
      </c>
      <c r="H329" s="270">
        <f>IF($U$1="",0,N(ISNUMBER(SEARCH($U$1,Database!$AC329&amp;""))))+IF($V$1="",0,N(ISNUMBER(SEARCH($V$1,Database!$AC329&amp;""))))+IF($W$1="",0,N(ISNUMBER(SEARCH($W$1,Database!$AC329&amp;""))))+IF($X$1="",0,N(ISNUMBER(SEARCH($X$1,Database!$AC329&amp;""))))+IF($Y$1="",0,N(ISNUMBER(SEARCH($Y$1,Database!$AC329&amp;""))))+IF(Screener!$B$17="",0,N(ISNUMBER(SEARCH(LOWER(Screener!$B$17),Database!$AC329&amp;""))))</f>
        <v/>
      </c>
      <c r="I329" s="270">
        <f>IF(OR(N(Database!$BH329)&lt;=0,N(Screener!$D$13)&lt;=0),0,MAX(0,1-ABS(LOG10(N(Database!$BH329)/Screener!$D$13))/W_PEHW))</f>
        <v/>
      </c>
      <c r="J329" s="270">
        <f>IF(OR(N(Database!$S329)&lt;=0,N(Screener!$D$14)&lt;=0),0,MAX(0,1-ABS(LOG10(Database!$S329/Screener!$D$14))/0.6))</f>
        <v/>
      </c>
      <c r="K329" s="270">
        <f>IF(Database!$B329=Screener!$B$5,-999999,IF(ISNUMBER(SEARCH(","&amp;Database!$A329&amp;",",","&amp;SUBSTITUTE(Screener!$D$17," ","")&amp;",")),2000000,IF(IF(OR(Screener!$B$18="All",AND(Screener!$B$18="With A-share",(Database!$BM329="Y")),AND(Screener!$B$18="Without A-share",NOT((Database!$BM329="Y")))),1,0)=0,-999999,IF(Screener!$B$16="cornerstone overlap first",H329*100000,IF(Screener!$B$16="demand-similar first",J329*100000,0))+W_SUB*B329+W_SEC*C329*(1-B329)+W_SIZE*D329+W_PROF*E329+W_AH*F329+W_REC*G329+W_CS*H329+W_PE*I329)))+ROW()/1000000</f>
        <v/>
      </c>
      <c r="AA329" s="270">
        <f>Database!B318</f>
        <v/>
      </c>
      <c r="AB329" s="270">
        <f>Database!D318</f>
        <v/>
      </c>
      <c r="AC329" s="270">
        <f>Database!E318</f>
        <v/>
      </c>
      <c r="AD329" s="270">
        <f>Database!I318</f>
        <v/>
      </c>
      <c r="AE329" s="270">
        <f>Database!BG318</f>
        <v/>
      </c>
      <c r="AF329" s="270">
        <f>Database!BM318</f>
        <v/>
      </c>
      <c r="AG329" s="270">
        <f>Database!H318</f>
        <v/>
      </c>
      <c r="AH329" s="270">
        <f>Database!BH318</f>
        <v/>
      </c>
    </row>
    <row r="330">
      <c r="A330" s="270">
        <f>Database!B330</f>
        <v/>
      </c>
      <c r="B330" s="270">
        <f>IF(AND(Screener!$D$8&lt;&gt;"",Database!$E330=Screener!$D$8),1,0)</f>
        <v/>
      </c>
      <c r="C330" s="270">
        <f>IF(AND(Screener!$D$7&lt;&gt;"",Database!$D330=Screener!$D$7),1,0)</f>
        <v/>
      </c>
      <c r="D330" s="270">
        <f>IF(OR(N(Database!$I330)&lt;=0,N(Screener!$D$9)&lt;=0),0,MAX(0,1-ABS(LOG10(N(Database!$I330)/Screener!$D$9))/W_SIZEHW))</f>
        <v/>
      </c>
      <c r="E330" s="270">
        <f>IF(OR(Database!$BG330="",Screener!$D$10=""),0,IF(Database!$BG330=Screener!$D$10,1,0))</f>
        <v/>
      </c>
      <c r="F330" s="270">
        <f>IF(OR(Database!$BM330="",Screener!$D$11=""),0,IF(Database!$BM330=Screener!$D$11,1,0))</f>
        <v/>
      </c>
      <c r="G330" s="270">
        <f>IF(OR(Database!$H330="",N(Screener!$D$12)&lt;=0),0,MAX(0,1-(N(Screener!$D$12)-Database!$H330)/W_RECD))</f>
        <v/>
      </c>
      <c r="H330" s="270">
        <f>IF($U$1="",0,N(ISNUMBER(SEARCH($U$1,Database!$AC330&amp;""))))+IF($V$1="",0,N(ISNUMBER(SEARCH($V$1,Database!$AC330&amp;""))))+IF($W$1="",0,N(ISNUMBER(SEARCH($W$1,Database!$AC330&amp;""))))+IF($X$1="",0,N(ISNUMBER(SEARCH($X$1,Database!$AC330&amp;""))))+IF($Y$1="",0,N(ISNUMBER(SEARCH($Y$1,Database!$AC330&amp;""))))+IF(Screener!$B$17="",0,N(ISNUMBER(SEARCH(LOWER(Screener!$B$17),Database!$AC330&amp;""))))</f>
        <v/>
      </c>
      <c r="I330" s="270">
        <f>IF(OR(N(Database!$BH330)&lt;=0,N(Screener!$D$13)&lt;=0),0,MAX(0,1-ABS(LOG10(N(Database!$BH330)/Screener!$D$13))/W_PEHW))</f>
        <v/>
      </c>
      <c r="J330" s="270">
        <f>IF(OR(N(Database!$S330)&lt;=0,N(Screener!$D$14)&lt;=0),0,MAX(0,1-ABS(LOG10(Database!$S330/Screener!$D$14))/0.6))</f>
        <v/>
      </c>
      <c r="K330" s="270">
        <f>IF(Database!$B330=Screener!$B$5,-999999,IF(ISNUMBER(SEARCH(","&amp;Database!$A330&amp;",",","&amp;SUBSTITUTE(Screener!$D$17," ","")&amp;",")),2000000,IF(IF(OR(Screener!$B$18="All",AND(Screener!$B$18="With A-share",(Database!$BM330="Y")),AND(Screener!$B$18="Without A-share",NOT((Database!$BM330="Y")))),1,0)=0,-999999,IF(Screener!$B$16="cornerstone overlap first",H330*100000,IF(Screener!$B$16="demand-similar first",J330*100000,0))+W_SUB*B330+W_SEC*C330*(1-B330)+W_SIZE*D330+W_PROF*E330+W_AH*F330+W_REC*G330+W_CS*H330+W_PE*I330)))+ROW()/1000000</f>
        <v/>
      </c>
      <c r="AA330" s="270">
        <f>Database!B319</f>
        <v/>
      </c>
      <c r="AB330" s="270">
        <f>Database!D319</f>
        <v/>
      </c>
      <c r="AC330" s="270">
        <f>Database!E319</f>
        <v/>
      </c>
      <c r="AD330" s="270">
        <f>Database!I319</f>
        <v/>
      </c>
      <c r="AE330" s="270">
        <f>Database!BG319</f>
        <v/>
      </c>
      <c r="AF330" s="270">
        <f>Database!BM319</f>
        <v/>
      </c>
      <c r="AG330" s="270">
        <f>Database!H319</f>
        <v/>
      </c>
      <c r="AH330" s="270">
        <f>Database!BH319</f>
        <v/>
      </c>
    </row>
    <row r="331">
      <c r="A331" s="270">
        <f>Database!B331</f>
        <v/>
      </c>
      <c r="B331" s="270">
        <f>IF(AND(Screener!$D$8&lt;&gt;"",Database!$E331=Screener!$D$8),1,0)</f>
        <v/>
      </c>
      <c r="C331" s="270">
        <f>IF(AND(Screener!$D$7&lt;&gt;"",Database!$D331=Screener!$D$7),1,0)</f>
        <v/>
      </c>
      <c r="D331" s="270">
        <f>IF(OR(N(Database!$I331)&lt;=0,N(Screener!$D$9)&lt;=0),0,MAX(0,1-ABS(LOG10(N(Database!$I331)/Screener!$D$9))/W_SIZEHW))</f>
        <v/>
      </c>
      <c r="E331" s="270">
        <f>IF(OR(Database!$BG331="",Screener!$D$10=""),0,IF(Database!$BG331=Screener!$D$10,1,0))</f>
        <v/>
      </c>
      <c r="F331" s="270">
        <f>IF(OR(Database!$BM331="",Screener!$D$11=""),0,IF(Database!$BM331=Screener!$D$11,1,0))</f>
        <v/>
      </c>
      <c r="G331" s="270">
        <f>IF(OR(Database!$H331="",N(Screener!$D$12)&lt;=0),0,MAX(0,1-(N(Screener!$D$12)-Database!$H331)/W_RECD))</f>
        <v/>
      </c>
      <c r="H331" s="270">
        <f>IF($U$1="",0,N(ISNUMBER(SEARCH($U$1,Database!$AC331&amp;""))))+IF($V$1="",0,N(ISNUMBER(SEARCH($V$1,Database!$AC331&amp;""))))+IF($W$1="",0,N(ISNUMBER(SEARCH($W$1,Database!$AC331&amp;""))))+IF($X$1="",0,N(ISNUMBER(SEARCH($X$1,Database!$AC331&amp;""))))+IF($Y$1="",0,N(ISNUMBER(SEARCH($Y$1,Database!$AC331&amp;""))))+IF(Screener!$B$17="",0,N(ISNUMBER(SEARCH(LOWER(Screener!$B$17),Database!$AC331&amp;""))))</f>
        <v/>
      </c>
      <c r="I331" s="270">
        <f>IF(OR(N(Database!$BH331)&lt;=0,N(Screener!$D$13)&lt;=0),0,MAX(0,1-ABS(LOG10(N(Database!$BH331)/Screener!$D$13))/W_PEHW))</f>
        <v/>
      </c>
      <c r="J331" s="270">
        <f>IF(OR(N(Database!$S331)&lt;=0,N(Screener!$D$14)&lt;=0),0,MAX(0,1-ABS(LOG10(Database!$S331/Screener!$D$14))/0.6))</f>
        <v/>
      </c>
      <c r="K331" s="270">
        <f>IF(Database!$B331=Screener!$B$5,-999999,IF(ISNUMBER(SEARCH(","&amp;Database!$A331&amp;",",","&amp;SUBSTITUTE(Screener!$D$17," ","")&amp;",")),2000000,IF(IF(OR(Screener!$B$18="All",AND(Screener!$B$18="With A-share",(Database!$BM331="Y")),AND(Screener!$B$18="Without A-share",NOT((Database!$BM331="Y")))),1,0)=0,-999999,IF(Screener!$B$16="cornerstone overlap first",H331*100000,IF(Screener!$B$16="demand-similar first",J331*100000,0))+W_SUB*B331+W_SEC*C331*(1-B331)+W_SIZE*D331+W_PROF*E331+W_AH*F331+W_REC*G331+W_CS*H331+W_PE*I331)))+ROW()/1000000</f>
        <v/>
      </c>
      <c r="AA331" s="270">
        <f>Database!B320</f>
        <v/>
      </c>
      <c r="AB331" s="270">
        <f>Database!D320</f>
        <v/>
      </c>
      <c r="AC331" s="270">
        <f>Database!E320</f>
        <v/>
      </c>
      <c r="AD331" s="270">
        <f>Database!I320</f>
        <v/>
      </c>
      <c r="AE331" s="270">
        <f>Database!BG320</f>
        <v/>
      </c>
      <c r="AF331" s="270">
        <f>Database!BM320</f>
        <v/>
      </c>
      <c r="AG331" s="270">
        <f>Database!H320</f>
        <v/>
      </c>
      <c r="AH331" s="270">
        <f>Database!BH320</f>
        <v/>
      </c>
    </row>
    <row r="332">
      <c r="A332" s="270">
        <f>Database!B332</f>
        <v/>
      </c>
      <c r="B332" s="270">
        <f>IF(AND(Screener!$D$8&lt;&gt;"",Database!$E332=Screener!$D$8),1,0)</f>
        <v/>
      </c>
      <c r="C332" s="270">
        <f>IF(AND(Screener!$D$7&lt;&gt;"",Database!$D332=Screener!$D$7),1,0)</f>
        <v/>
      </c>
      <c r="D332" s="270">
        <f>IF(OR(N(Database!$I332)&lt;=0,N(Screener!$D$9)&lt;=0),0,MAX(0,1-ABS(LOG10(N(Database!$I332)/Screener!$D$9))/W_SIZEHW))</f>
        <v/>
      </c>
      <c r="E332" s="270">
        <f>IF(OR(Database!$BG332="",Screener!$D$10=""),0,IF(Database!$BG332=Screener!$D$10,1,0))</f>
        <v/>
      </c>
      <c r="F332" s="270">
        <f>IF(OR(Database!$BM332="",Screener!$D$11=""),0,IF(Database!$BM332=Screener!$D$11,1,0))</f>
        <v/>
      </c>
      <c r="G332" s="270">
        <f>IF(OR(Database!$H332="",N(Screener!$D$12)&lt;=0),0,MAX(0,1-(N(Screener!$D$12)-Database!$H332)/W_RECD))</f>
        <v/>
      </c>
      <c r="H332" s="270">
        <f>IF($U$1="",0,N(ISNUMBER(SEARCH($U$1,Database!$AC332&amp;""))))+IF($V$1="",0,N(ISNUMBER(SEARCH($V$1,Database!$AC332&amp;""))))+IF($W$1="",0,N(ISNUMBER(SEARCH($W$1,Database!$AC332&amp;""))))+IF($X$1="",0,N(ISNUMBER(SEARCH($X$1,Database!$AC332&amp;""))))+IF($Y$1="",0,N(ISNUMBER(SEARCH($Y$1,Database!$AC332&amp;""))))+IF(Screener!$B$17="",0,N(ISNUMBER(SEARCH(LOWER(Screener!$B$17),Database!$AC332&amp;""))))</f>
        <v/>
      </c>
      <c r="I332" s="270">
        <f>IF(OR(N(Database!$BH332)&lt;=0,N(Screener!$D$13)&lt;=0),0,MAX(0,1-ABS(LOG10(N(Database!$BH332)/Screener!$D$13))/W_PEHW))</f>
        <v/>
      </c>
      <c r="J332" s="270">
        <f>IF(OR(N(Database!$S332)&lt;=0,N(Screener!$D$14)&lt;=0),0,MAX(0,1-ABS(LOG10(Database!$S332/Screener!$D$14))/0.6))</f>
        <v/>
      </c>
      <c r="K332" s="270">
        <f>IF(Database!$B332=Screener!$B$5,-999999,IF(ISNUMBER(SEARCH(","&amp;Database!$A332&amp;",",","&amp;SUBSTITUTE(Screener!$D$17," ","")&amp;",")),2000000,IF(IF(OR(Screener!$B$18="All",AND(Screener!$B$18="With A-share",(Database!$BM332="Y")),AND(Screener!$B$18="Without A-share",NOT((Database!$BM332="Y")))),1,0)=0,-999999,IF(Screener!$B$16="cornerstone overlap first",H332*100000,IF(Screener!$B$16="demand-similar first",J332*100000,0))+W_SUB*B332+W_SEC*C332*(1-B332)+W_SIZE*D332+W_PROF*E332+W_AH*F332+W_REC*G332+W_CS*H332+W_PE*I332)))+ROW()/1000000</f>
        <v/>
      </c>
      <c r="AA332" s="270">
        <f>Database!B321</f>
        <v/>
      </c>
      <c r="AB332" s="270">
        <f>Database!D321</f>
        <v/>
      </c>
      <c r="AC332" s="270">
        <f>Database!E321</f>
        <v/>
      </c>
      <c r="AD332" s="270">
        <f>Database!I321</f>
        <v/>
      </c>
      <c r="AE332" s="270">
        <f>Database!BG321</f>
        <v/>
      </c>
      <c r="AF332" s="270">
        <f>Database!BM321</f>
        <v/>
      </c>
      <c r="AG332" s="270">
        <f>Database!H321</f>
        <v/>
      </c>
      <c r="AH332" s="270">
        <f>Database!BH321</f>
        <v/>
      </c>
    </row>
    <row r="333">
      <c r="A333" s="270">
        <f>Database!B333</f>
        <v/>
      </c>
      <c r="B333" s="270">
        <f>IF(AND(Screener!$D$8&lt;&gt;"",Database!$E333=Screener!$D$8),1,0)</f>
        <v/>
      </c>
      <c r="C333" s="270">
        <f>IF(AND(Screener!$D$7&lt;&gt;"",Database!$D333=Screener!$D$7),1,0)</f>
        <v/>
      </c>
      <c r="D333" s="270">
        <f>IF(OR(N(Database!$I333)&lt;=0,N(Screener!$D$9)&lt;=0),0,MAX(0,1-ABS(LOG10(N(Database!$I333)/Screener!$D$9))/W_SIZEHW))</f>
        <v/>
      </c>
      <c r="E333" s="270">
        <f>IF(OR(Database!$BG333="",Screener!$D$10=""),0,IF(Database!$BG333=Screener!$D$10,1,0))</f>
        <v/>
      </c>
      <c r="F333" s="270">
        <f>IF(OR(Database!$BM333="",Screener!$D$11=""),0,IF(Database!$BM333=Screener!$D$11,1,0))</f>
        <v/>
      </c>
      <c r="G333" s="270">
        <f>IF(OR(Database!$H333="",N(Screener!$D$12)&lt;=0),0,MAX(0,1-(N(Screener!$D$12)-Database!$H333)/W_RECD))</f>
        <v/>
      </c>
      <c r="H333" s="270">
        <f>IF($U$1="",0,N(ISNUMBER(SEARCH($U$1,Database!$AC333&amp;""))))+IF($V$1="",0,N(ISNUMBER(SEARCH($V$1,Database!$AC333&amp;""))))+IF($W$1="",0,N(ISNUMBER(SEARCH($W$1,Database!$AC333&amp;""))))+IF($X$1="",0,N(ISNUMBER(SEARCH($X$1,Database!$AC333&amp;""))))+IF($Y$1="",0,N(ISNUMBER(SEARCH($Y$1,Database!$AC333&amp;""))))+IF(Screener!$B$17="",0,N(ISNUMBER(SEARCH(LOWER(Screener!$B$17),Database!$AC333&amp;""))))</f>
        <v/>
      </c>
      <c r="I333" s="270">
        <f>IF(OR(N(Database!$BH333)&lt;=0,N(Screener!$D$13)&lt;=0),0,MAX(0,1-ABS(LOG10(N(Database!$BH333)/Screener!$D$13))/W_PEHW))</f>
        <v/>
      </c>
      <c r="J333" s="270">
        <f>IF(OR(N(Database!$S333)&lt;=0,N(Screener!$D$14)&lt;=0),0,MAX(0,1-ABS(LOG10(Database!$S333/Screener!$D$14))/0.6))</f>
        <v/>
      </c>
      <c r="K333" s="270">
        <f>IF(Database!$B333=Screener!$B$5,-999999,IF(ISNUMBER(SEARCH(","&amp;Database!$A333&amp;",",","&amp;SUBSTITUTE(Screener!$D$17," ","")&amp;",")),2000000,IF(IF(OR(Screener!$B$18="All",AND(Screener!$B$18="With A-share",(Database!$BM333="Y")),AND(Screener!$B$18="Without A-share",NOT((Database!$BM333="Y")))),1,0)=0,-999999,IF(Screener!$B$16="cornerstone overlap first",H333*100000,IF(Screener!$B$16="demand-similar first",J333*100000,0))+W_SUB*B333+W_SEC*C333*(1-B333)+W_SIZE*D333+W_PROF*E333+W_AH*F333+W_REC*G333+W_CS*H333+W_PE*I333)))+ROW()/1000000</f>
        <v/>
      </c>
      <c r="AA333" s="270">
        <f>Database!B322</f>
        <v/>
      </c>
      <c r="AB333" s="270">
        <f>Database!D322</f>
        <v/>
      </c>
      <c r="AC333" s="270">
        <f>Database!E322</f>
        <v/>
      </c>
      <c r="AD333" s="270">
        <f>Database!I322</f>
        <v/>
      </c>
      <c r="AE333" s="270">
        <f>Database!BG322</f>
        <v/>
      </c>
      <c r="AF333" s="270">
        <f>Database!BM322</f>
        <v/>
      </c>
      <c r="AG333" s="270">
        <f>Database!H322</f>
        <v/>
      </c>
      <c r="AH333" s="270">
        <f>Database!BH322</f>
        <v/>
      </c>
    </row>
    <row r="334">
      <c r="A334" s="270">
        <f>Database!B334</f>
        <v/>
      </c>
      <c r="B334" s="270">
        <f>IF(AND(Screener!$D$8&lt;&gt;"",Database!$E334=Screener!$D$8),1,0)</f>
        <v/>
      </c>
      <c r="C334" s="270">
        <f>IF(AND(Screener!$D$7&lt;&gt;"",Database!$D334=Screener!$D$7),1,0)</f>
        <v/>
      </c>
      <c r="D334" s="270">
        <f>IF(OR(N(Database!$I334)&lt;=0,N(Screener!$D$9)&lt;=0),0,MAX(0,1-ABS(LOG10(N(Database!$I334)/Screener!$D$9))/W_SIZEHW))</f>
        <v/>
      </c>
      <c r="E334" s="270">
        <f>IF(OR(Database!$BG334="",Screener!$D$10=""),0,IF(Database!$BG334=Screener!$D$10,1,0))</f>
        <v/>
      </c>
      <c r="F334" s="270">
        <f>IF(OR(Database!$BM334="",Screener!$D$11=""),0,IF(Database!$BM334=Screener!$D$11,1,0))</f>
        <v/>
      </c>
      <c r="G334" s="270">
        <f>IF(OR(Database!$H334="",N(Screener!$D$12)&lt;=0),0,MAX(0,1-(N(Screener!$D$12)-Database!$H334)/W_RECD))</f>
        <v/>
      </c>
      <c r="H334" s="270">
        <f>IF($U$1="",0,N(ISNUMBER(SEARCH($U$1,Database!$AC334&amp;""))))+IF($V$1="",0,N(ISNUMBER(SEARCH($V$1,Database!$AC334&amp;""))))+IF($W$1="",0,N(ISNUMBER(SEARCH($W$1,Database!$AC334&amp;""))))+IF($X$1="",0,N(ISNUMBER(SEARCH($X$1,Database!$AC334&amp;""))))+IF($Y$1="",0,N(ISNUMBER(SEARCH($Y$1,Database!$AC334&amp;""))))+IF(Screener!$B$17="",0,N(ISNUMBER(SEARCH(LOWER(Screener!$B$17),Database!$AC334&amp;""))))</f>
        <v/>
      </c>
      <c r="I334" s="270">
        <f>IF(OR(N(Database!$BH334)&lt;=0,N(Screener!$D$13)&lt;=0),0,MAX(0,1-ABS(LOG10(N(Database!$BH334)/Screener!$D$13))/W_PEHW))</f>
        <v/>
      </c>
      <c r="J334" s="270">
        <f>IF(OR(N(Database!$S334)&lt;=0,N(Screener!$D$14)&lt;=0),0,MAX(0,1-ABS(LOG10(Database!$S334/Screener!$D$14))/0.6))</f>
        <v/>
      </c>
      <c r="K334" s="270">
        <f>IF(Database!$B334=Screener!$B$5,-999999,IF(ISNUMBER(SEARCH(","&amp;Database!$A334&amp;",",","&amp;SUBSTITUTE(Screener!$D$17," ","")&amp;",")),2000000,IF(IF(OR(Screener!$B$18="All",AND(Screener!$B$18="With A-share",(Database!$BM334="Y")),AND(Screener!$B$18="Without A-share",NOT((Database!$BM334="Y")))),1,0)=0,-999999,IF(Screener!$B$16="cornerstone overlap first",H334*100000,IF(Screener!$B$16="demand-similar first",J334*100000,0))+W_SUB*B334+W_SEC*C334*(1-B334)+W_SIZE*D334+W_PROF*E334+W_AH*F334+W_REC*G334+W_CS*H334+W_PE*I334)))+ROW()/1000000</f>
        <v/>
      </c>
      <c r="AA334" s="270">
        <f>Database!B323</f>
        <v/>
      </c>
      <c r="AB334" s="270">
        <f>Database!D323</f>
        <v/>
      </c>
      <c r="AC334" s="270">
        <f>Database!E323</f>
        <v/>
      </c>
      <c r="AD334" s="270">
        <f>Database!I323</f>
        <v/>
      </c>
      <c r="AE334" s="270">
        <f>Database!BG323</f>
        <v/>
      </c>
      <c r="AF334" s="270">
        <f>Database!BM323</f>
        <v/>
      </c>
      <c r="AG334" s="270">
        <f>Database!H323</f>
        <v/>
      </c>
      <c r="AH334" s="270">
        <f>Database!BH323</f>
        <v/>
      </c>
    </row>
    <row r="335">
      <c r="A335" s="270">
        <f>Database!B335</f>
        <v/>
      </c>
      <c r="B335" s="270">
        <f>IF(AND(Screener!$D$8&lt;&gt;"",Database!$E335=Screener!$D$8),1,0)</f>
        <v/>
      </c>
      <c r="C335" s="270">
        <f>IF(AND(Screener!$D$7&lt;&gt;"",Database!$D335=Screener!$D$7),1,0)</f>
        <v/>
      </c>
      <c r="D335" s="270">
        <f>IF(OR(N(Database!$I335)&lt;=0,N(Screener!$D$9)&lt;=0),0,MAX(0,1-ABS(LOG10(N(Database!$I335)/Screener!$D$9))/W_SIZEHW))</f>
        <v/>
      </c>
      <c r="E335" s="270">
        <f>IF(OR(Database!$BG335="",Screener!$D$10=""),0,IF(Database!$BG335=Screener!$D$10,1,0))</f>
        <v/>
      </c>
      <c r="F335" s="270">
        <f>IF(OR(Database!$BM335="",Screener!$D$11=""),0,IF(Database!$BM335=Screener!$D$11,1,0))</f>
        <v/>
      </c>
      <c r="G335" s="270">
        <f>IF(OR(Database!$H335="",N(Screener!$D$12)&lt;=0),0,MAX(0,1-(N(Screener!$D$12)-Database!$H335)/W_RECD))</f>
        <v/>
      </c>
      <c r="H335" s="270">
        <f>IF($U$1="",0,N(ISNUMBER(SEARCH($U$1,Database!$AC335&amp;""))))+IF($V$1="",0,N(ISNUMBER(SEARCH($V$1,Database!$AC335&amp;""))))+IF($W$1="",0,N(ISNUMBER(SEARCH($W$1,Database!$AC335&amp;""))))+IF($X$1="",0,N(ISNUMBER(SEARCH($X$1,Database!$AC335&amp;""))))+IF($Y$1="",0,N(ISNUMBER(SEARCH($Y$1,Database!$AC335&amp;""))))+IF(Screener!$B$17="",0,N(ISNUMBER(SEARCH(LOWER(Screener!$B$17),Database!$AC335&amp;""))))</f>
        <v/>
      </c>
      <c r="I335" s="270">
        <f>IF(OR(N(Database!$BH335)&lt;=0,N(Screener!$D$13)&lt;=0),0,MAX(0,1-ABS(LOG10(N(Database!$BH335)/Screener!$D$13))/W_PEHW))</f>
        <v/>
      </c>
      <c r="J335" s="270">
        <f>IF(OR(N(Database!$S335)&lt;=0,N(Screener!$D$14)&lt;=0),0,MAX(0,1-ABS(LOG10(Database!$S335/Screener!$D$14))/0.6))</f>
        <v/>
      </c>
      <c r="K335" s="270">
        <f>IF(Database!$B335=Screener!$B$5,-999999,IF(ISNUMBER(SEARCH(","&amp;Database!$A335&amp;",",","&amp;SUBSTITUTE(Screener!$D$17," ","")&amp;",")),2000000,IF(IF(OR(Screener!$B$18="All",AND(Screener!$B$18="With A-share",(Database!$BM335="Y")),AND(Screener!$B$18="Without A-share",NOT((Database!$BM335="Y")))),1,0)=0,-999999,IF(Screener!$B$16="cornerstone overlap first",H335*100000,IF(Screener!$B$16="demand-similar first",J335*100000,0))+W_SUB*B335+W_SEC*C335*(1-B335)+W_SIZE*D335+W_PROF*E335+W_AH*F335+W_REC*G335+W_CS*H335+W_PE*I335)))+ROW()/1000000</f>
        <v/>
      </c>
      <c r="AA335" s="270">
        <f>Database!B324</f>
        <v/>
      </c>
      <c r="AB335" s="270">
        <f>Database!D324</f>
        <v/>
      </c>
      <c r="AC335" s="270">
        <f>Database!E324</f>
        <v/>
      </c>
      <c r="AD335" s="270">
        <f>Database!I324</f>
        <v/>
      </c>
      <c r="AE335" s="270">
        <f>Database!BG324</f>
        <v/>
      </c>
      <c r="AF335" s="270">
        <f>Database!BM324</f>
        <v/>
      </c>
      <c r="AG335" s="270">
        <f>Database!H324</f>
        <v/>
      </c>
      <c r="AH335" s="270">
        <f>Database!BH324</f>
        <v/>
      </c>
    </row>
    <row r="336">
      <c r="A336" s="270">
        <f>Database!B336</f>
        <v/>
      </c>
      <c r="B336" s="270">
        <f>IF(AND(Screener!$D$8&lt;&gt;"",Database!$E336=Screener!$D$8),1,0)</f>
        <v/>
      </c>
      <c r="C336" s="270">
        <f>IF(AND(Screener!$D$7&lt;&gt;"",Database!$D336=Screener!$D$7),1,0)</f>
        <v/>
      </c>
      <c r="D336" s="270">
        <f>IF(OR(N(Database!$I336)&lt;=0,N(Screener!$D$9)&lt;=0),0,MAX(0,1-ABS(LOG10(N(Database!$I336)/Screener!$D$9))/W_SIZEHW))</f>
        <v/>
      </c>
      <c r="E336" s="270">
        <f>IF(OR(Database!$BG336="",Screener!$D$10=""),0,IF(Database!$BG336=Screener!$D$10,1,0))</f>
        <v/>
      </c>
      <c r="F336" s="270">
        <f>IF(OR(Database!$BM336="",Screener!$D$11=""),0,IF(Database!$BM336=Screener!$D$11,1,0))</f>
        <v/>
      </c>
      <c r="G336" s="270">
        <f>IF(OR(Database!$H336="",N(Screener!$D$12)&lt;=0),0,MAX(0,1-(N(Screener!$D$12)-Database!$H336)/W_RECD))</f>
        <v/>
      </c>
      <c r="H336" s="270">
        <f>IF($U$1="",0,N(ISNUMBER(SEARCH($U$1,Database!$AC336&amp;""))))+IF($V$1="",0,N(ISNUMBER(SEARCH($V$1,Database!$AC336&amp;""))))+IF($W$1="",0,N(ISNUMBER(SEARCH($W$1,Database!$AC336&amp;""))))+IF($X$1="",0,N(ISNUMBER(SEARCH($X$1,Database!$AC336&amp;""))))+IF($Y$1="",0,N(ISNUMBER(SEARCH($Y$1,Database!$AC336&amp;""))))+IF(Screener!$B$17="",0,N(ISNUMBER(SEARCH(LOWER(Screener!$B$17),Database!$AC336&amp;""))))</f>
        <v/>
      </c>
      <c r="I336" s="270">
        <f>IF(OR(N(Database!$BH336)&lt;=0,N(Screener!$D$13)&lt;=0),0,MAX(0,1-ABS(LOG10(N(Database!$BH336)/Screener!$D$13))/W_PEHW))</f>
        <v/>
      </c>
      <c r="J336" s="270">
        <f>IF(OR(N(Database!$S336)&lt;=0,N(Screener!$D$14)&lt;=0),0,MAX(0,1-ABS(LOG10(Database!$S336/Screener!$D$14))/0.6))</f>
        <v/>
      </c>
      <c r="K336" s="270">
        <f>IF(Database!$B336=Screener!$B$5,-999999,IF(ISNUMBER(SEARCH(","&amp;Database!$A336&amp;",",","&amp;SUBSTITUTE(Screener!$D$17," ","")&amp;",")),2000000,IF(IF(OR(Screener!$B$18="All",AND(Screener!$B$18="With A-share",(Database!$BM336="Y")),AND(Screener!$B$18="Without A-share",NOT((Database!$BM336="Y")))),1,0)=0,-999999,IF(Screener!$B$16="cornerstone overlap first",H336*100000,IF(Screener!$B$16="demand-similar first",J336*100000,0))+W_SUB*B336+W_SEC*C336*(1-B336)+W_SIZE*D336+W_PROF*E336+W_AH*F336+W_REC*G336+W_CS*H336+W_PE*I336)))+ROW()/1000000</f>
        <v/>
      </c>
      <c r="AA336" s="270">
        <f>Database!B325</f>
        <v/>
      </c>
      <c r="AB336" s="270">
        <f>Database!D325</f>
        <v/>
      </c>
      <c r="AC336" s="270">
        <f>Database!E325</f>
        <v/>
      </c>
      <c r="AD336" s="270">
        <f>Database!I325</f>
        <v/>
      </c>
      <c r="AE336" s="270">
        <f>Database!BG325</f>
        <v/>
      </c>
      <c r="AF336" s="270">
        <f>Database!BM325</f>
        <v/>
      </c>
      <c r="AG336" s="270">
        <f>Database!H325</f>
        <v/>
      </c>
      <c r="AH336" s="270">
        <f>Database!BH325</f>
        <v/>
      </c>
    </row>
    <row r="337">
      <c r="A337" s="270">
        <f>Database!B337</f>
        <v/>
      </c>
      <c r="B337" s="270">
        <f>IF(AND(Screener!$D$8&lt;&gt;"",Database!$E337=Screener!$D$8),1,0)</f>
        <v/>
      </c>
      <c r="C337" s="270">
        <f>IF(AND(Screener!$D$7&lt;&gt;"",Database!$D337=Screener!$D$7),1,0)</f>
        <v/>
      </c>
      <c r="D337" s="270">
        <f>IF(OR(N(Database!$I337)&lt;=0,N(Screener!$D$9)&lt;=0),0,MAX(0,1-ABS(LOG10(N(Database!$I337)/Screener!$D$9))/W_SIZEHW))</f>
        <v/>
      </c>
      <c r="E337" s="270">
        <f>IF(OR(Database!$BG337="",Screener!$D$10=""),0,IF(Database!$BG337=Screener!$D$10,1,0))</f>
        <v/>
      </c>
      <c r="F337" s="270">
        <f>IF(OR(Database!$BM337="",Screener!$D$11=""),0,IF(Database!$BM337=Screener!$D$11,1,0))</f>
        <v/>
      </c>
      <c r="G337" s="270">
        <f>IF(OR(Database!$H337="",N(Screener!$D$12)&lt;=0),0,MAX(0,1-(N(Screener!$D$12)-Database!$H337)/W_RECD))</f>
        <v/>
      </c>
      <c r="H337" s="270">
        <f>IF($U$1="",0,N(ISNUMBER(SEARCH($U$1,Database!$AC337&amp;""))))+IF($V$1="",0,N(ISNUMBER(SEARCH($V$1,Database!$AC337&amp;""))))+IF($W$1="",0,N(ISNUMBER(SEARCH($W$1,Database!$AC337&amp;""))))+IF($X$1="",0,N(ISNUMBER(SEARCH($X$1,Database!$AC337&amp;""))))+IF($Y$1="",0,N(ISNUMBER(SEARCH($Y$1,Database!$AC337&amp;""))))+IF(Screener!$B$17="",0,N(ISNUMBER(SEARCH(LOWER(Screener!$B$17),Database!$AC337&amp;""))))</f>
        <v/>
      </c>
      <c r="I337" s="270">
        <f>IF(OR(N(Database!$BH337)&lt;=0,N(Screener!$D$13)&lt;=0),0,MAX(0,1-ABS(LOG10(N(Database!$BH337)/Screener!$D$13))/W_PEHW))</f>
        <v/>
      </c>
      <c r="J337" s="270">
        <f>IF(OR(N(Database!$S337)&lt;=0,N(Screener!$D$14)&lt;=0),0,MAX(0,1-ABS(LOG10(Database!$S337/Screener!$D$14))/0.6))</f>
        <v/>
      </c>
      <c r="K337" s="270">
        <f>IF(Database!$B337=Screener!$B$5,-999999,IF(ISNUMBER(SEARCH(","&amp;Database!$A337&amp;",",","&amp;SUBSTITUTE(Screener!$D$17," ","")&amp;",")),2000000,IF(IF(OR(Screener!$B$18="All",AND(Screener!$B$18="With A-share",(Database!$BM337="Y")),AND(Screener!$B$18="Without A-share",NOT((Database!$BM337="Y")))),1,0)=0,-999999,IF(Screener!$B$16="cornerstone overlap first",H337*100000,IF(Screener!$B$16="demand-similar first",J337*100000,0))+W_SUB*B337+W_SEC*C337*(1-B337)+W_SIZE*D337+W_PROF*E337+W_AH*F337+W_REC*G337+W_CS*H337+W_PE*I337)))+ROW()/1000000</f>
        <v/>
      </c>
      <c r="AA337" s="270">
        <f>Database!B326</f>
        <v/>
      </c>
      <c r="AB337" s="270">
        <f>Database!D326</f>
        <v/>
      </c>
      <c r="AC337" s="270">
        <f>Database!E326</f>
        <v/>
      </c>
      <c r="AD337" s="270">
        <f>Database!I326</f>
        <v/>
      </c>
      <c r="AE337" s="270">
        <f>Database!BG326</f>
        <v/>
      </c>
      <c r="AF337" s="270">
        <f>Database!BM326</f>
        <v/>
      </c>
      <c r="AG337" s="270">
        <f>Database!H326</f>
        <v/>
      </c>
      <c r="AH337" s="270">
        <f>Database!BH326</f>
        <v/>
      </c>
    </row>
    <row r="338">
      <c r="A338" s="270">
        <f>Database!B338</f>
        <v/>
      </c>
      <c r="B338" s="270">
        <f>IF(AND(Screener!$D$8&lt;&gt;"",Database!$E338=Screener!$D$8),1,0)</f>
        <v/>
      </c>
      <c r="C338" s="270">
        <f>IF(AND(Screener!$D$7&lt;&gt;"",Database!$D338=Screener!$D$7),1,0)</f>
        <v/>
      </c>
      <c r="D338" s="270">
        <f>IF(OR(N(Database!$I338)&lt;=0,N(Screener!$D$9)&lt;=0),0,MAX(0,1-ABS(LOG10(N(Database!$I338)/Screener!$D$9))/W_SIZEHW))</f>
        <v/>
      </c>
      <c r="E338" s="270">
        <f>IF(OR(Database!$BG338="",Screener!$D$10=""),0,IF(Database!$BG338=Screener!$D$10,1,0))</f>
        <v/>
      </c>
      <c r="F338" s="270">
        <f>IF(OR(Database!$BM338="",Screener!$D$11=""),0,IF(Database!$BM338=Screener!$D$11,1,0))</f>
        <v/>
      </c>
      <c r="G338" s="270">
        <f>IF(OR(Database!$H338="",N(Screener!$D$12)&lt;=0),0,MAX(0,1-(N(Screener!$D$12)-Database!$H338)/W_RECD))</f>
        <v/>
      </c>
      <c r="H338" s="270">
        <f>IF($U$1="",0,N(ISNUMBER(SEARCH($U$1,Database!$AC338&amp;""))))+IF($V$1="",0,N(ISNUMBER(SEARCH($V$1,Database!$AC338&amp;""))))+IF($W$1="",0,N(ISNUMBER(SEARCH($W$1,Database!$AC338&amp;""))))+IF($X$1="",0,N(ISNUMBER(SEARCH($X$1,Database!$AC338&amp;""))))+IF($Y$1="",0,N(ISNUMBER(SEARCH($Y$1,Database!$AC338&amp;""))))+IF(Screener!$B$17="",0,N(ISNUMBER(SEARCH(LOWER(Screener!$B$17),Database!$AC338&amp;""))))</f>
        <v/>
      </c>
      <c r="I338" s="270">
        <f>IF(OR(N(Database!$BH338)&lt;=0,N(Screener!$D$13)&lt;=0),0,MAX(0,1-ABS(LOG10(N(Database!$BH338)/Screener!$D$13))/W_PEHW))</f>
        <v/>
      </c>
      <c r="J338" s="270">
        <f>IF(OR(N(Database!$S338)&lt;=0,N(Screener!$D$14)&lt;=0),0,MAX(0,1-ABS(LOG10(Database!$S338/Screener!$D$14))/0.6))</f>
        <v/>
      </c>
      <c r="K338" s="270">
        <f>IF(Database!$B338=Screener!$B$5,-999999,IF(ISNUMBER(SEARCH(","&amp;Database!$A338&amp;",",","&amp;SUBSTITUTE(Screener!$D$17," ","")&amp;",")),2000000,IF(IF(OR(Screener!$B$18="All",AND(Screener!$B$18="With A-share",(Database!$BM338="Y")),AND(Screener!$B$18="Without A-share",NOT((Database!$BM338="Y")))),1,0)=0,-999999,IF(Screener!$B$16="cornerstone overlap first",H338*100000,IF(Screener!$B$16="demand-similar first",J338*100000,0))+W_SUB*B338+W_SEC*C338*(1-B338)+W_SIZE*D338+W_PROF*E338+W_AH*F338+W_REC*G338+W_CS*H338+W_PE*I338)))+ROW()/1000000</f>
        <v/>
      </c>
      <c r="AA338" s="270">
        <f>Database!B327</f>
        <v/>
      </c>
      <c r="AB338" s="270">
        <f>Database!D327</f>
        <v/>
      </c>
      <c r="AC338" s="270">
        <f>Database!E327</f>
        <v/>
      </c>
      <c r="AD338" s="270">
        <f>Database!I327</f>
        <v/>
      </c>
      <c r="AE338" s="270">
        <f>Database!BG327</f>
        <v/>
      </c>
      <c r="AF338" s="270">
        <f>Database!BM327</f>
        <v/>
      </c>
      <c r="AG338" s="270">
        <f>Database!H327</f>
        <v/>
      </c>
      <c r="AH338" s="270">
        <f>Database!BH327</f>
        <v/>
      </c>
    </row>
    <row r="339">
      <c r="A339" s="270">
        <f>Database!B339</f>
        <v/>
      </c>
      <c r="B339" s="270">
        <f>IF(AND(Screener!$D$8&lt;&gt;"",Database!$E339=Screener!$D$8),1,0)</f>
        <v/>
      </c>
      <c r="C339" s="270">
        <f>IF(AND(Screener!$D$7&lt;&gt;"",Database!$D339=Screener!$D$7),1,0)</f>
        <v/>
      </c>
      <c r="D339" s="270">
        <f>IF(OR(N(Database!$I339)&lt;=0,N(Screener!$D$9)&lt;=0),0,MAX(0,1-ABS(LOG10(N(Database!$I339)/Screener!$D$9))/W_SIZEHW))</f>
        <v/>
      </c>
      <c r="E339" s="270">
        <f>IF(OR(Database!$BG339="",Screener!$D$10=""),0,IF(Database!$BG339=Screener!$D$10,1,0))</f>
        <v/>
      </c>
      <c r="F339" s="270">
        <f>IF(OR(Database!$BM339="",Screener!$D$11=""),0,IF(Database!$BM339=Screener!$D$11,1,0))</f>
        <v/>
      </c>
      <c r="G339" s="270">
        <f>IF(OR(Database!$H339="",N(Screener!$D$12)&lt;=0),0,MAX(0,1-(N(Screener!$D$12)-Database!$H339)/W_RECD))</f>
        <v/>
      </c>
      <c r="H339" s="270">
        <f>IF($U$1="",0,N(ISNUMBER(SEARCH($U$1,Database!$AC339&amp;""))))+IF($V$1="",0,N(ISNUMBER(SEARCH($V$1,Database!$AC339&amp;""))))+IF($W$1="",0,N(ISNUMBER(SEARCH($W$1,Database!$AC339&amp;""))))+IF($X$1="",0,N(ISNUMBER(SEARCH($X$1,Database!$AC339&amp;""))))+IF($Y$1="",0,N(ISNUMBER(SEARCH($Y$1,Database!$AC339&amp;""))))+IF(Screener!$B$17="",0,N(ISNUMBER(SEARCH(LOWER(Screener!$B$17),Database!$AC339&amp;""))))</f>
        <v/>
      </c>
      <c r="I339" s="270">
        <f>IF(OR(N(Database!$BH339)&lt;=0,N(Screener!$D$13)&lt;=0),0,MAX(0,1-ABS(LOG10(N(Database!$BH339)/Screener!$D$13))/W_PEHW))</f>
        <v/>
      </c>
      <c r="J339" s="270">
        <f>IF(OR(N(Database!$S339)&lt;=0,N(Screener!$D$14)&lt;=0),0,MAX(0,1-ABS(LOG10(Database!$S339/Screener!$D$14))/0.6))</f>
        <v/>
      </c>
      <c r="K339" s="270">
        <f>IF(Database!$B339=Screener!$B$5,-999999,IF(ISNUMBER(SEARCH(","&amp;Database!$A339&amp;",",","&amp;SUBSTITUTE(Screener!$D$17," ","")&amp;",")),2000000,IF(IF(OR(Screener!$B$18="All",AND(Screener!$B$18="With A-share",(Database!$BM339="Y")),AND(Screener!$B$18="Without A-share",NOT((Database!$BM339="Y")))),1,0)=0,-999999,IF(Screener!$B$16="cornerstone overlap first",H339*100000,IF(Screener!$B$16="demand-similar first",J339*100000,0))+W_SUB*B339+W_SEC*C339*(1-B339)+W_SIZE*D339+W_PROF*E339+W_AH*F339+W_REC*G339+W_CS*H339+W_PE*I339)))+ROW()/1000000</f>
        <v/>
      </c>
      <c r="AA339" s="270">
        <f>Database!B328</f>
        <v/>
      </c>
      <c r="AB339" s="270">
        <f>Database!D328</f>
        <v/>
      </c>
      <c r="AC339" s="270">
        <f>Database!E328</f>
        <v/>
      </c>
      <c r="AD339" s="270">
        <f>Database!I328</f>
        <v/>
      </c>
      <c r="AE339" s="270">
        <f>Database!BG328</f>
        <v/>
      </c>
      <c r="AF339" s="270">
        <f>Database!BM328</f>
        <v/>
      </c>
      <c r="AG339" s="270">
        <f>Database!H328</f>
        <v/>
      </c>
      <c r="AH339" s="270">
        <f>Database!BH328</f>
        <v/>
      </c>
    </row>
    <row r="340">
      <c r="A340" s="270">
        <f>Database!B340</f>
        <v/>
      </c>
      <c r="B340" s="270">
        <f>IF(AND(Screener!$D$8&lt;&gt;"",Database!$E340=Screener!$D$8),1,0)</f>
        <v/>
      </c>
      <c r="C340" s="270">
        <f>IF(AND(Screener!$D$7&lt;&gt;"",Database!$D340=Screener!$D$7),1,0)</f>
        <v/>
      </c>
      <c r="D340" s="270">
        <f>IF(OR(N(Database!$I340)&lt;=0,N(Screener!$D$9)&lt;=0),0,MAX(0,1-ABS(LOG10(N(Database!$I340)/Screener!$D$9))/W_SIZEHW))</f>
        <v/>
      </c>
      <c r="E340" s="270">
        <f>IF(OR(Database!$BG340="",Screener!$D$10=""),0,IF(Database!$BG340=Screener!$D$10,1,0))</f>
        <v/>
      </c>
      <c r="F340" s="270">
        <f>IF(OR(Database!$BM340="",Screener!$D$11=""),0,IF(Database!$BM340=Screener!$D$11,1,0))</f>
        <v/>
      </c>
      <c r="G340" s="270">
        <f>IF(OR(Database!$H340="",N(Screener!$D$12)&lt;=0),0,MAX(0,1-(N(Screener!$D$12)-Database!$H340)/W_RECD))</f>
        <v/>
      </c>
      <c r="H340" s="270">
        <f>IF($U$1="",0,N(ISNUMBER(SEARCH($U$1,Database!$AC340&amp;""))))+IF($V$1="",0,N(ISNUMBER(SEARCH($V$1,Database!$AC340&amp;""))))+IF($W$1="",0,N(ISNUMBER(SEARCH($W$1,Database!$AC340&amp;""))))+IF($X$1="",0,N(ISNUMBER(SEARCH($X$1,Database!$AC340&amp;""))))+IF($Y$1="",0,N(ISNUMBER(SEARCH($Y$1,Database!$AC340&amp;""))))+IF(Screener!$B$17="",0,N(ISNUMBER(SEARCH(LOWER(Screener!$B$17),Database!$AC340&amp;""))))</f>
        <v/>
      </c>
      <c r="I340" s="270">
        <f>IF(OR(N(Database!$BH340)&lt;=0,N(Screener!$D$13)&lt;=0),0,MAX(0,1-ABS(LOG10(N(Database!$BH340)/Screener!$D$13))/W_PEHW))</f>
        <v/>
      </c>
      <c r="J340" s="270">
        <f>IF(OR(N(Database!$S340)&lt;=0,N(Screener!$D$14)&lt;=0),0,MAX(0,1-ABS(LOG10(Database!$S340/Screener!$D$14))/0.6))</f>
        <v/>
      </c>
      <c r="K340" s="270">
        <f>IF(Database!$B340=Screener!$B$5,-999999,IF(ISNUMBER(SEARCH(","&amp;Database!$A340&amp;",",","&amp;SUBSTITUTE(Screener!$D$17," ","")&amp;",")),2000000,IF(IF(OR(Screener!$B$18="All",AND(Screener!$B$18="With A-share",(Database!$BM340="Y")),AND(Screener!$B$18="Without A-share",NOT((Database!$BM340="Y")))),1,0)=0,-999999,IF(Screener!$B$16="cornerstone overlap first",H340*100000,IF(Screener!$B$16="demand-similar first",J340*100000,0))+W_SUB*B340+W_SEC*C340*(1-B340)+W_SIZE*D340+W_PROF*E340+W_AH*F340+W_REC*G340+W_CS*H340+W_PE*I340)))+ROW()/1000000</f>
        <v/>
      </c>
      <c r="AA340" s="270">
        <f>Database!B329</f>
        <v/>
      </c>
      <c r="AB340" s="270">
        <f>Database!D329</f>
        <v/>
      </c>
      <c r="AC340" s="270">
        <f>Database!E329</f>
        <v/>
      </c>
      <c r="AD340" s="270">
        <f>Database!I329</f>
        <v/>
      </c>
      <c r="AE340" s="270">
        <f>Database!BG329</f>
        <v/>
      </c>
      <c r="AF340" s="270">
        <f>Database!BM329</f>
        <v/>
      </c>
      <c r="AG340" s="270">
        <f>Database!H329</f>
        <v/>
      </c>
      <c r="AH340" s="270">
        <f>Database!BH329</f>
        <v/>
      </c>
    </row>
    <row r="341">
      <c r="A341" s="270">
        <f>Database!B341</f>
        <v/>
      </c>
      <c r="B341" s="270">
        <f>IF(AND(Screener!$D$8&lt;&gt;"",Database!$E341=Screener!$D$8),1,0)</f>
        <v/>
      </c>
      <c r="C341" s="270">
        <f>IF(AND(Screener!$D$7&lt;&gt;"",Database!$D341=Screener!$D$7),1,0)</f>
        <v/>
      </c>
      <c r="D341" s="270">
        <f>IF(OR(N(Database!$I341)&lt;=0,N(Screener!$D$9)&lt;=0),0,MAX(0,1-ABS(LOG10(N(Database!$I341)/Screener!$D$9))/W_SIZEHW))</f>
        <v/>
      </c>
      <c r="E341" s="270">
        <f>IF(OR(Database!$BG341="",Screener!$D$10=""),0,IF(Database!$BG341=Screener!$D$10,1,0))</f>
        <v/>
      </c>
      <c r="F341" s="270">
        <f>IF(OR(Database!$BM341="",Screener!$D$11=""),0,IF(Database!$BM341=Screener!$D$11,1,0))</f>
        <v/>
      </c>
      <c r="G341" s="270">
        <f>IF(OR(Database!$H341="",N(Screener!$D$12)&lt;=0),0,MAX(0,1-(N(Screener!$D$12)-Database!$H341)/W_RECD))</f>
        <v/>
      </c>
      <c r="H341" s="270">
        <f>IF($U$1="",0,N(ISNUMBER(SEARCH($U$1,Database!$AC341&amp;""))))+IF($V$1="",0,N(ISNUMBER(SEARCH($V$1,Database!$AC341&amp;""))))+IF($W$1="",0,N(ISNUMBER(SEARCH($W$1,Database!$AC341&amp;""))))+IF($X$1="",0,N(ISNUMBER(SEARCH($X$1,Database!$AC341&amp;""))))+IF($Y$1="",0,N(ISNUMBER(SEARCH($Y$1,Database!$AC341&amp;""))))+IF(Screener!$B$17="",0,N(ISNUMBER(SEARCH(LOWER(Screener!$B$17),Database!$AC341&amp;""))))</f>
        <v/>
      </c>
      <c r="I341" s="270">
        <f>IF(OR(N(Database!$BH341)&lt;=0,N(Screener!$D$13)&lt;=0),0,MAX(0,1-ABS(LOG10(N(Database!$BH341)/Screener!$D$13))/W_PEHW))</f>
        <v/>
      </c>
      <c r="J341" s="270">
        <f>IF(OR(N(Database!$S341)&lt;=0,N(Screener!$D$14)&lt;=0),0,MAX(0,1-ABS(LOG10(Database!$S341/Screener!$D$14))/0.6))</f>
        <v/>
      </c>
      <c r="K341" s="270">
        <f>IF(Database!$B341=Screener!$B$5,-999999,IF(ISNUMBER(SEARCH(","&amp;Database!$A341&amp;",",","&amp;SUBSTITUTE(Screener!$D$17," ","")&amp;",")),2000000,IF(IF(OR(Screener!$B$18="All",AND(Screener!$B$18="With A-share",(Database!$BM341="Y")),AND(Screener!$B$18="Without A-share",NOT((Database!$BM341="Y")))),1,0)=0,-999999,IF(Screener!$B$16="cornerstone overlap first",H341*100000,IF(Screener!$B$16="demand-similar first",J341*100000,0))+W_SUB*B341+W_SEC*C341*(1-B341)+W_SIZE*D341+W_PROF*E341+W_AH*F341+W_REC*G341+W_CS*H341+W_PE*I341)))+ROW()/1000000</f>
        <v/>
      </c>
      <c r="AA341" s="270">
        <f>Database!B330</f>
        <v/>
      </c>
      <c r="AB341" s="270">
        <f>Database!D330</f>
        <v/>
      </c>
      <c r="AC341" s="270">
        <f>Database!E330</f>
        <v/>
      </c>
      <c r="AD341" s="270">
        <f>Database!I330</f>
        <v/>
      </c>
      <c r="AE341" s="270">
        <f>Database!BG330</f>
        <v/>
      </c>
      <c r="AF341" s="270">
        <f>Database!BM330</f>
        <v/>
      </c>
      <c r="AG341" s="270">
        <f>Database!H330</f>
        <v/>
      </c>
      <c r="AH341" s="270">
        <f>Database!BH330</f>
        <v/>
      </c>
    </row>
    <row r="342">
      <c r="A342" s="270">
        <f>Database!B342</f>
        <v/>
      </c>
      <c r="B342" s="270">
        <f>IF(AND(Screener!$D$8&lt;&gt;"",Database!$E342=Screener!$D$8),1,0)</f>
        <v/>
      </c>
      <c r="C342" s="270">
        <f>IF(AND(Screener!$D$7&lt;&gt;"",Database!$D342=Screener!$D$7),1,0)</f>
        <v/>
      </c>
      <c r="D342" s="270">
        <f>IF(OR(N(Database!$I342)&lt;=0,N(Screener!$D$9)&lt;=0),0,MAX(0,1-ABS(LOG10(N(Database!$I342)/Screener!$D$9))/W_SIZEHW))</f>
        <v/>
      </c>
      <c r="E342" s="270">
        <f>IF(OR(Database!$BG342="",Screener!$D$10=""),0,IF(Database!$BG342=Screener!$D$10,1,0))</f>
        <v/>
      </c>
      <c r="F342" s="270">
        <f>IF(OR(Database!$BM342="",Screener!$D$11=""),0,IF(Database!$BM342=Screener!$D$11,1,0))</f>
        <v/>
      </c>
      <c r="G342" s="270">
        <f>IF(OR(Database!$H342="",N(Screener!$D$12)&lt;=0),0,MAX(0,1-(N(Screener!$D$12)-Database!$H342)/W_RECD))</f>
        <v/>
      </c>
      <c r="H342" s="270">
        <f>IF($U$1="",0,N(ISNUMBER(SEARCH($U$1,Database!$AC342&amp;""))))+IF($V$1="",0,N(ISNUMBER(SEARCH($V$1,Database!$AC342&amp;""))))+IF($W$1="",0,N(ISNUMBER(SEARCH($W$1,Database!$AC342&amp;""))))+IF($X$1="",0,N(ISNUMBER(SEARCH($X$1,Database!$AC342&amp;""))))+IF($Y$1="",0,N(ISNUMBER(SEARCH($Y$1,Database!$AC342&amp;""))))+IF(Screener!$B$17="",0,N(ISNUMBER(SEARCH(LOWER(Screener!$B$17),Database!$AC342&amp;""))))</f>
        <v/>
      </c>
      <c r="I342" s="270">
        <f>IF(OR(N(Database!$BH342)&lt;=0,N(Screener!$D$13)&lt;=0),0,MAX(0,1-ABS(LOG10(N(Database!$BH342)/Screener!$D$13))/W_PEHW))</f>
        <v/>
      </c>
      <c r="J342" s="270">
        <f>IF(OR(N(Database!$S342)&lt;=0,N(Screener!$D$14)&lt;=0),0,MAX(0,1-ABS(LOG10(Database!$S342/Screener!$D$14))/0.6))</f>
        <v/>
      </c>
      <c r="K342" s="270">
        <f>IF(Database!$B342=Screener!$B$5,-999999,IF(ISNUMBER(SEARCH(","&amp;Database!$A342&amp;",",","&amp;SUBSTITUTE(Screener!$D$17," ","")&amp;",")),2000000,IF(IF(OR(Screener!$B$18="All",AND(Screener!$B$18="With A-share",(Database!$BM342="Y")),AND(Screener!$B$18="Without A-share",NOT((Database!$BM342="Y")))),1,0)=0,-999999,IF(Screener!$B$16="cornerstone overlap first",H342*100000,IF(Screener!$B$16="demand-similar first",J342*100000,0))+W_SUB*B342+W_SEC*C342*(1-B342)+W_SIZE*D342+W_PROF*E342+W_AH*F342+W_REC*G342+W_CS*H342+W_PE*I342)))+ROW()/1000000</f>
        <v/>
      </c>
      <c r="AA342" s="270">
        <f>Database!B331</f>
        <v/>
      </c>
      <c r="AB342" s="270">
        <f>Database!D331</f>
        <v/>
      </c>
      <c r="AC342" s="270">
        <f>Database!E331</f>
        <v/>
      </c>
      <c r="AD342" s="270">
        <f>Database!I331</f>
        <v/>
      </c>
      <c r="AE342" s="270">
        <f>Database!BG331</f>
        <v/>
      </c>
      <c r="AF342" s="270">
        <f>Database!BM331</f>
        <v/>
      </c>
      <c r="AG342" s="270">
        <f>Database!H331</f>
        <v/>
      </c>
      <c r="AH342" s="270">
        <f>Database!BH331</f>
        <v/>
      </c>
    </row>
    <row r="343">
      <c r="A343" s="270">
        <f>Database!B343</f>
        <v/>
      </c>
      <c r="B343" s="270">
        <f>IF(AND(Screener!$D$8&lt;&gt;"",Database!$E343=Screener!$D$8),1,0)</f>
        <v/>
      </c>
      <c r="C343" s="270">
        <f>IF(AND(Screener!$D$7&lt;&gt;"",Database!$D343=Screener!$D$7),1,0)</f>
        <v/>
      </c>
      <c r="D343" s="270">
        <f>IF(OR(N(Database!$I343)&lt;=0,N(Screener!$D$9)&lt;=0),0,MAX(0,1-ABS(LOG10(N(Database!$I343)/Screener!$D$9))/W_SIZEHW))</f>
        <v/>
      </c>
      <c r="E343" s="270">
        <f>IF(OR(Database!$BG343="",Screener!$D$10=""),0,IF(Database!$BG343=Screener!$D$10,1,0))</f>
        <v/>
      </c>
      <c r="F343" s="270">
        <f>IF(OR(Database!$BM343="",Screener!$D$11=""),0,IF(Database!$BM343=Screener!$D$11,1,0))</f>
        <v/>
      </c>
      <c r="G343" s="270">
        <f>IF(OR(Database!$H343="",N(Screener!$D$12)&lt;=0),0,MAX(0,1-(N(Screener!$D$12)-Database!$H343)/W_RECD))</f>
        <v/>
      </c>
      <c r="H343" s="270">
        <f>IF($U$1="",0,N(ISNUMBER(SEARCH($U$1,Database!$AC343&amp;""))))+IF($V$1="",0,N(ISNUMBER(SEARCH($V$1,Database!$AC343&amp;""))))+IF($W$1="",0,N(ISNUMBER(SEARCH($W$1,Database!$AC343&amp;""))))+IF($X$1="",0,N(ISNUMBER(SEARCH($X$1,Database!$AC343&amp;""))))+IF($Y$1="",0,N(ISNUMBER(SEARCH($Y$1,Database!$AC343&amp;""))))+IF(Screener!$B$17="",0,N(ISNUMBER(SEARCH(LOWER(Screener!$B$17),Database!$AC343&amp;""))))</f>
        <v/>
      </c>
      <c r="I343" s="270">
        <f>IF(OR(N(Database!$BH343)&lt;=0,N(Screener!$D$13)&lt;=0),0,MAX(0,1-ABS(LOG10(N(Database!$BH343)/Screener!$D$13))/W_PEHW))</f>
        <v/>
      </c>
      <c r="J343" s="270">
        <f>IF(OR(N(Database!$S343)&lt;=0,N(Screener!$D$14)&lt;=0),0,MAX(0,1-ABS(LOG10(Database!$S343/Screener!$D$14))/0.6))</f>
        <v/>
      </c>
      <c r="K343" s="270">
        <f>IF(Database!$B343=Screener!$B$5,-999999,IF(ISNUMBER(SEARCH(","&amp;Database!$A343&amp;",",","&amp;SUBSTITUTE(Screener!$D$17," ","")&amp;",")),2000000,IF(IF(OR(Screener!$B$18="All",AND(Screener!$B$18="With A-share",(Database!$BM343="Y")),AND(Screener!$B$18="Without A-share",NOT((Database!$BM343="Y")))),1,0)=0,-999999,IF(Screener!$B$16="cornerstone overlap first",H343*100000,IF(Screener!$B$16="demand-similar first",J343*100000,0))+W_SUB*B343+W_SEC*C343*(1-B343)+W_SIZE*D343+W_PROF*E343+W_AH*F343+W_REC*G343+W_CS*H343+W_PE*I343)))+ROW()/1000000</f>
        <v/>
      </c>
      <c r="AA343" s="270">
        <f>Database!B332</f>
        <v/>
      </c>
      <c r="AB343" s="270">
        <f>Database!D332</f>
        <v/>
      </c>
      <c r="AC343" s="270">
        <f>Database!E332</f>
        <v/>
      </c>
      <c r="AD343" s="270">
        <f>Database!I332</f>
        <v/>
      </c>
      <c r="AE343" s="270">
        <f>Database!BG332</f>
        <v/>
      </c>
      <c r="AF343" s="270">
        <f>Database!BM332</f>
        <v/>
      </c>
      <c r="AG343" s="270">
        <f>Database!H332</f>
        <v/>
      </c>
      <c r="AH343" s="270">
        <f>Database!BH332</f>
        <v/>
      </c>
    </row>
    <row r="344">
      <c r="A344" s="270">
        <f>Database!B344</f>
        <v/>
      </c>
      <c r="B344" s="270">
        <f>IF(AND(Screener!$D$8&lt;&gt;"",Database!$E344=Screener!$D$8),1,0)</f>
        <v/>
      </c>
      <c r="C344" s="270">
        <f>IF(AND(Screener!$D$7&lt;&gt;"",Database!$D344=Screener!$D$7),1,0)</f>
        <v/>
      </c>
      <c r="D344" s="270">
        <f>IF(OR(N(Database!$I344)&lt;=0,N(Screener!$D$9)&lt;=0),0,MAX(0,1-ABS(LOG10(N(Database!$I344)/Screener!$D$9))/W_SIZEHW))</f>
        <v/>
      </c>
      <c r="E344" s="270">
        <f>IF(OR(Database!$BG344="",Screener!$D$10=""),0,IF(Database!$BG344=Screener!$D$10,1,0))</f>
        <v/>
      </c>
      <c r="F344" s="270">
        <f>IF(OR(Database!$BM344="",Screener!$D$11=""),0,IF(Database!$BM344=Screener!$D$11,1,0))</f>
        <v/>
      </c>
      <c r="G344" s="270">
        <f>IF(OR(Database!$H344="",N(Screener!$D$12)&lt;=0),0,MAX(0,1-(N(Screener!$D$12)-Database!$H344)/W_RECD))</f>
        <v/>
      </c>
      <c r="H344" s="270">
        <f>IF($U$1="",0,N(ISNUMBER(SEARCH($U$1,Database!$AC344&amp;""))))+IF($V$1="",0,N(ISNUMBER(SEARCH($V$1,Database!$AC344&amp;""))))+IF($W$1="",0,N(ISNUMBER(SEARCH($W$1,Database!$AC344&amp;""))))+IF($X$1="",0,N(ISNUMBER(SEARCH($X$1,Database!$AC344&amp;""))))+IF($Y$1="",0,N(ISNUMBER(SEARCH($Y$1,Database!$AC344&amp;""))))+IF(Screener!$B$17="",0,N(ISNUMBER(SEARCH(LOWER(Screener!$B$17),Database!$AC344&amp;""))))</f>
        <v/>
      </c>
      <c r="I344" s="270">
        <f>IF(OR(N(Database!$BH344)&lt;=0,N(Screener!$D$13)&lt;=0),0,MAX(0,1-ABS(LOG10(N(Database!$BH344)/Screener!$D$13))/W_PEHW))</f>
        <v/>
      </c>
      <c r="J344" s="270">
        <f>IF(OR(N(Database!$S344)&lt;=0,N(Screener!$D$14)&lt;=0),0,MAX(0,1-ABS(LOG10(Database!$S344/Screener!$D$14))/0.6))</f>
        <v/>
      </c>
      <c r="K344" s="270">
        <f>IF(Database!$B344=Screener!$B$5,-999999,IF(ISNUMBER(SEARCH(","&amp;Database!$A344&amp;",",","&amp;SUBSTITUTE(Screener!$D$17," ","")&amp;",")),2000000,IF(IF(OR(Screener!$B$18="All",AND(Screener!$B$18="With A-share",(Database!$BM344="Y")),AND(Screener!$B$18="Without A-share",NOT((Database!$BM344="Y")))),1,0)=0,-999999,IF(Screener!$B$16="cornerstone overlap first",H344*100000,IF(Screener!$B$16="demand-similar first",J344*100000,0))+W_SUB*B344+W_SEC*C344*(1-B344)+W_SIZE*D344+W_PROF*E344+W_AH*F344+W_REC*G344+W_CS*H344+W_PE*I344)))+ROW()/1000000</f>
        <v/>
      </c>
      <c r="AA344" s="270">
        <f>Database!B333</f>
        <v/>
      </c>
      <c r="AB344" s="270">
        <f>Database!D333</f>
        <v/>
      </c>
      <c r="AC344" s="270">
        <f>Database!E333</f>
        <v/>
      </c>
      <c r="AD344" s="270">
        <f>Database!I333</f>
        <v/>
      </c>
      <c r="AE344" s="270">
        <f>Database!BG333</f>
        <v/>
      </c>
      <c r="AF344" s="270">
        <f>Database!BM333</f>
        <v/>
      </c>
      <c r="AG344" s="270">
        <f>Database!H333</f>
        <v/>
      </c>
      <c r="AH344" s="270">
        <f>Database!BH333</f>
        <v/>
      </c>
    </row>
    <row r="345">
      <c r="A345" s="270">
        <f>Database!B345</f>
        <v/>
      </c>
      <c r="B345" s="270">
        <f>IF(AND(Screener!$D$8&lt;&gt;"",Database!$E345=Screener!$D$8),1,0)</f>
        <v/>
      </c>
      <c r="C345" s="270">
        <f>IF(AND(Screener!$D$7&lt;&gt;"",Database!$D345=Screener!$D$7),1,0)</f>
        <v/>
      </c>
      <c r="D345" s="270">
        <f>IF(OR(N(Database!$I345)&lt;=0,N(Screener!$D$9)&lt;=0),0,MAX(0,1-ABS(LOG10(N(Database!$I345)/Screener!$D$9))/W_SIZEHW))</f>
        <v/>
      </c>
      <c r="E345" s="270">
        <f>IF(OR(Database!$BG345="",Screener!$D$10=""),0,IF(Database!$BG345=Screener!$D$10,1,0))</f>
        <v/>
      </c>
      <c r="F345" s="270">
        <f>IF(OR(Database!$BM345="",Screener!$D$11=""),0,IF(Database!$BM345=Screener!$D$11,1,0))</f>
        <v/>
      </c>
      <c r="G345" s="270">
        <f>IF(OR(Database!$H345="",N(Screener!$D$12)&lt;=0),0,MAX(0,1-(N(Screener!$D$12)-Database!$H345)/W_RECD))</f>
        <v/>
      </c>
      <c r="H345" s="270">
        <f>IF($U$1="",0,N(ISNUMBER(SEARCH($U$1,Database!$AC345&amp;""))))+IF($V$1="",0,N(ISNUMBER(SEARCH($V$1,Database!$AC345&amp;""))))+IF($W$1="",0,N(ISNUMBER(SEARCH($W$1,Database!$AC345&amp;""))))+IF($X$1="",0,N(ISNUMBER(SEARCH($X$1,Database!$AC345&amp;""))))+IF($Y$1="",0,N(ISNUMBER(SEARCH($Y$1,Database!$AC345&amp;""))))+IF(Screener!$B$17="",0,N(ISNUMBER(SEARCH(LOWER(Screener!$B$17),Database!$AC345&amp;""))))</f>
        <v/>
      </c>
      <c r="I345" s="270">
        <f>IF(OR(N(Database!$BH345)&lt;=0,N(Screener!$D$13)&lt;=0),0,MAX(0,1-ABS(LOG10(N(Database!$BH345)/Screener!$D$13))/W_PEHW))</f>
        <v/>
      </c>
      <c r="J345" s="270">
        <f>IF(OR(N(Database!$S345)&lt;=0,N(Screener!$D$14)&lt;=0),0,MAX(0,1-ABS(LOG10(Database!$S345/Screener!$D$14))/0.6))</f>
        <v/>
      </c>
      <c r="K345" s="270">
        <f>IF(Database!$B345=Screener!$B$5,-999999,IF(ISNUMBER(SEARCH(","&amp;Database!$A345&amp;",",","&amp;SUBSTITUTE(Screener!$D$17," ","")&amp;",")),2000000,IF(IF(OR(Screener!$B$18="All",AND(Screener!$B$18="With A-share",(Database!$BM345="Y")),AND(Screener!$B$18="Without A-share",NOT((Database!$BM345="Y")))),1,0)=0,-999999,IF(Screener!$B$16="cornerstone overlap first",H345*100000,IF(Screener!$B$16="demand-similar first",J345*100000,0))+W_SUB*B345+W_SEC*C345*(1-B345)+W_SIZE*D345+W_PROF*E345+W_AH*F345+W_REC*G345+W_CS*H345+W_PE*I345)))+ROW()/1000000</f>
        <v/>
      </c>
      <c r="AA345" s="270">
        <f>Database!B334</f>
        <v/>
      </c>
      <c r="AB345" s="270">
        <f>Database!D334</f>
        <v/>
      </c>
      <c r="AC345" s="270">
        <f>Database!E334</f>
        <v/>
      </c>
      <c r="AD345" s="270">
        <f>Database!I334</f>
        <v/>
      </c>
      <c r="AE345" s="270">
        <f>Database!BG334</f>
        <v/>
      </c>
      <c r="AF345" s="270">
        <f>Database!BM334</f>
        <v/>
      </c>
      <c r="AG345" s="270">
        <f>Database!H334</f>
        <v/>
      </c>
      <c r="AH345" s="270">
        <f>Database!BH334</f>
        <v/>
      </c>
    </row>
    <row r="346">
      <c r="A346" s="270">
        <f>Database!B346</f>
        <v/>
      </c>
      <c r="B346" s="270">
        <f>IF(AND(Screener!$D$8&lt;&gt;"",Database!$E346=Screener!$D$8),1,0)</f>
        <v/>
      </c>
      <c r="C346" s="270">
        <f>IF(AND(Screener!$D$7&lt;&gt;"",Database!$D346=Screener!$D$7),1,0)</f>
        <v/>
      </c>
      <c r="D346" s="270">
        <f>IF(OR(N(Database!$I346)&lt;=0,N(Screener!$D$9)&lt;=0),0,MAX(0,1-ABS(LOG10(N(Database!$I346)/Screener!$D$9))/W_SIZEHW))</f>
        <v/>
      </c>
      <c r="E346" s="270">
        <f>IF(OR(Database!$BG346="",Screener!$D$10=""),0,IF(Database!$BG346=Screener!$D$10,1,0))</f>
        <v/>
      </c>
      <c r="F346" s="270">
        <f>IF(OR(Database!$BM346="",Screener!$D$11=""),0,IF(Database!$BM346=Screener!$D$11,1,0))</f>
        <v/>
      </c>
      <c r="G346" s="270">
        <f>IF(OR(Database!$H346="",N(Screener!$D$12)&lt;=0),0,MAX(0,1-(N(Screener!$D$12)-Database!$H346)/W_RECD))</f>
        <v/>
      </c>
      <c r="H346" s="270">
        <f>IF($U$1="",0,N(ISNUMBER(SEARCH($U$1,Database!$AC346&amp;""))))+IF($V$1="",0,N(ISNUMBER(SEARCH($V$1,Database!$AC346&amp;""))))+IF($W$1="",0,N(ISNUMBER(SEARCH($W$1,Database!$AC346&amp;""))))+IF($X$1="",0,N(ISNUMBER(SEARCH($X$1,Database!$AC346&amp;""))))+IF($Y$1="",0,N(ISNUMBER(SEARCH($Y$1,Database!$AC346&amp;""))))+IF(Screener!$B$17="",0,N(ISNUMBER(SEARCH(LOWER(Screener!$B$17),Database!$AC346&amp;""))))</f>
        <v/>
      </c>
      <c r="I346" s="270">
        <f>IF(OR(N(Database!$BH346)&lt;=0,N(Screener!$D$13)&lt;=0),0,MAX(0,1-ABS(LOG10(N(Database!$BH346)/Screener!$D$13))/W_PEHW))</f>
        <v/>
      </c>
      <c r="J346" s="270">
        <f>IF(OR(N(Database!$S346)&lt;=0,N(Screener!$D$14)&lt;=0),0,MAX(0,1-ABS(LOG10(Database!$S346/Screener!$D$14))/0.6))</f>
        <v/>
      </c>
      <c r="K346" s="270">
        <f>IF(Database!$B346=Screener!$B$5,-999999,IF(ISNUMBER(SEARCH(","&amp;Database!$A346&amp;",",","&amp;SUBSTITUTE(Screener!$D$17," ","")&amp;",")),2000000,IF(IF(OR(Screener!$B$18="All",AND(Screener!$B$18="With A-share",(Database!$BM346="Y")),AND(Screener!$B$18="Without A-share",NOT((Database!$BM346="Y")))),1,0)=0,-999999,IF(Screener!$B$16="cornerstone overlap first",H346*100000,IF(Screener!$B$16="demand-similar first",J346*100000,0))+W_SUB*B346+W_SEC*C346*(1-B346)+W_SIZE*D346+W_PROF*E346+W_AH*F346+W_REC*G346+W_CS*H346+W_PE*I346)))+ROW()/1000000</f>
        <v/>
      </c>
      <c r="AA346" s="270">
        <f>Database!B335</f>
        <v/>
      </c>
      <c r="AB346" s="270">
        <f>Database!D335</f>
        <v/>
      </c>
      <c r="AC346" s="270">
        <f>Database!E335</f>
        <v/>
      </c>
      <c r="AD346" s="270">
        <f>Database!I335</f>
        <v/>
      </c>
      <c r="AE346" s="270">
        <f>Database!BG335</f>
        <v/>
      </c>
      <c r="AF346" s="270">
        <f>Database!BM335</f>
        <v/>
      </c>
      <c r="AG346" s="270">
        <f>Database!H335</f>
        <v/>
      </c>
      <c r="AH346" s="270">
        <f>Database!BH335</f>
        <v/>
      </c>
    </row>
    <row r="347">
      <c r="A347" s="270">
        <f>Database!B347</f>
        <v/>
      </c>
      <c r="B347" s="270">
        <f>IF(AND(Screener!$D$8&lt;&gt;"",Database!$E347=Screener!$D$8),1,0)</f>
        <v/>
      </c>
      <c r="C347" s="270">
        <f>IF(AND(Screener!$D$7&lt;&gt;"",Database!$D347=Screener!$D$7),1,0)</f>
        <v/>
      </c>
      <c r="D347" s="270">
        <f>IF(OR(N(Database!$I347)&lt;=0,N(Screener!$D$9)&lt;=0),0,MAX(0,1-ABS(LOG10(N(Database!$I347)/Screener!$D$9))/W_SIZEHW))</f>
        <v/>
      </c>
      <c r="E347" s="270">
        <f>IF(OR(Database!$BG347="",Screener!$D$10=""),0,IF(Database!$BG347=Screener!$D$10,1,0))</f>
        <v/>
      </c>
      <c r="F347" s="270">
        <f>IF(OR(Database!$BM347="",Screener!$D$11=""),0,IF(Database!$BM347=Screener!$D$11,1,0))</f>
        <v/>
      </c>
      <c r="G347" s="270">
        <f>IF(OR(Database!$H347="",N(Screener!$D$12)&lt;=0),0,MAX(0,1-(N(Screener!$D$12)-Database!$H347)/W_RECD))</f>
        <v/>
      </c>
      <c r="H347" s="270">
        <f>IF($U$1="",0,N(ISNUMBER(SEARCH($U$1,Database!$AC347&amp;""))))+IF($V$1="",0,N(ISNUMBER(SEARCH($V$1,Database!$AC347&amp;""))))+IF($W$1="",0,N(ISNUMBER(SEARCH($W$1,Database!$AC347&amp;""))))+IF($X$1="",0,N(ISNUMBER(SEARCH($X$1,Database!$AC347&amp;""))))+IF($Y$1="",0,N(ISNUMBER(SEARCH($Y$1,Database!$AC347&amp;""))))+IF(Screener!$B$17="",0,N(ISNUMBER(SEARCH(LOWER(Screener!$B$17),Database!$AC347&amp;""))))</f>
        <v/>
      </c>
      <c r="I347" s="270">
        <f>IF(OR(N(Database!$BH347)&lt;=0,N(Screener!$D$13)&lt;=0),0,MAX(0,1-ABS(LOG10(N(Database!$BH347)/Screener!$D$13))/W_PEHW))</f>
        <v/>
      </c>
      <c r="J347" s="270">
        <f>IF(OR(N(Database!$S347)&lt;=0,N(Screener!$D$14)&lt;=0),0,MAX(0,1-ABS(LOG10(Database!$S347/Screener!$D$14))/0.6))</f>
        <v/>
      </c>
      <c r="K347" s="270">
        <f>IF(Database!$B347=Screener!$B$5,-999999,IF(ISNUMBER(SEARCH(","&amp;Database!$A347&amp;",",","&amp;SUBSTITUTE(Screener!$D$17," ","")&amp;",")),2000000,IF(IF(OR(Screener!$B$18="All",AND(Screener!$B$18="With A-share",(Database!$BM347="Y")),AND(Screener!$B$18="Without A-share",NOT((Database!$BM347="Y")))),1,0)=0,-999999,IF(Screener!$B$16="cornerstone overlap first",H347*100000,IF(Screener!$B$16="demand-similar first",J347*100000,0))+W_SUB*B347+W_SEC*C347*(1-B347)+W_SIZE*D347+W_PROF*E347+W_AH*F347+W_REC*G347+W_CS*H347+W_PE*I347)))+ROW()/1000000</f>
        <v/>
      </c>
      <c r="AA347" s="270">
        <f>Database!B336</f>
        <v/>
      </c>
      <c r="AB347" s="270">
        <f>Database!D336</f>
        <v/>
      </c>
      <c r="AC347" s="270">
        <f>Database!E336</f>
        <v/>
      </c>
      <c r="AD347" s="270">
        <f>Database!I336</f>
        <v/>
      </c>
      <c r="AE347" s="270">
        <f>Database!BG336</f>
        <v/>
      </c>
      <c r="AF347" s="270">
        <f>Database!BM336</f>
        <v/>
      </c>
      <c r="AG347" s="270">
        <f>Database!H336</f>
        <v/>
      </c>
      <c r="AH347" s="270">
        <f>Database!BH336</f>
        <v/>
      </c>
    </row>
    <row r="348">
      <c r="A348" s="270">
        <f>Database!B348</f>
        <v/>
      </c>
      <c r="B348" s="270">
        <f>IF(AND(Screener!$D$8&lt;&gt;"",Database!$E348=Screener!$D$8),1,0)</f>
        <v/>
      </c>
      <c r="C348" s="270">
        <f>IF(AND(Screener!$D$7&lt;&gt;"",Database!$D348=Screener!$D$7),1,0)</f>
        <v/>
      </c>
      <c r="D348" s="270">
        <f>IF(OR(N(Database!$I348)&lt;=0,N(Screener!$D$9)&lt;=0),0,MAX(0,1-ABS(LOG10(N(Database!$I348)/Screener!$D$9))/W_SIZEHW))</f>
        <v/>
      </c>
      <c r="E348" s="270">
        <f>IF(OR(Database!$BG348="",Screener!$D$10=""),0,IF(Database!$BG348=Screener!$D$10,1,0))</f>
        <v/>
      </c>
      <c r="F348" s="270">
        <f>IF(OR(Database!$BM348="",Screener!$D$11=""),0,IF(Database!$BM348=Screener!$D$11,1,0))</f>
        <v/>
      </c>
      <c r="G348" s="270">
        <f>IF(OR(Database!$H348="",N(Screener!$D$12)&lt;=0),0,MAX(0,1-(N(Screener!$D$12)-Database!$H348)/W_RECD))</f>
        <v/>
      </c>
      <c r="H348" s="270">
        <f>IF($U$1="",0,N(ISNUMBER(SEARCH($U$1,Database!$AC348&amp;""))))+IF($V$1="",0,N(ISNUMBER(SEARCH($V$1,Database!$AC348&amp;""))))+IF($W$1="",0,N(ISNUMBER(SEARCH($W$1,Database!$AC348&amp;""))))+IF($X$1="",0,N(ISNUMBER(SEARCH($X$1,Database!$AC348&amp;""))))+IF($Y$1="",0,N(ISNUMBER(SEARCH($Y$1,Database!$AC348&amp;""))))+IF(Screener!$B$17="",0,N(ISNUMBER(SEARCH(LOWER(Screener!$B$17),Database!$AC348&amp;""))))</f>
        <v/>
      </c>
      <c r="I348" s="270">
        <f>IF(OR(N(Database!$BH348)&lt;=0,N(Screener!$D$13)&lt;=0),0,MAX(0,1-ABS(LOG10(N(Database!$BH348)/Screener!$D$13))/W_PEHW))</f>
        <v/>
      </c>
      <c r="J348" s="270">
        <f>IF(OR(N(Database!$S348)&lt;=0,N(Screener!$D$14)&lt;=0),0,MAX(0,1-ABS(LOG10(Database!$S348/Screener!$D$14))/0.6))</f>
        <v/>
      </c>
      <c r="K348" s="270">
        <f>IF(Database!$B348=Screener!$B$5,-999999,IF(ISNUMBER(SEARCH(","&amp;Database!$A348&amp;",",","&amp;SUBSTITUTE(Screener!$D$17," ","")&amp;",")),2000000,IF(IF(OR(Screener!$B$18="All",AND(Screener!$B$18="With A-share",(Database!$BM348="Y")),AND(Screener!$B$18="Without A-share",NOT((Database!$BM348="Y")))),1,0)=0,-999999,IF(Screener!$B$16="cornerstone overlap first",H348*100000,IF(Screener!$B$16="demand-similar first",J348*100000,0))+W_SUB*B348+W_SEC*C348*(1-B348)+W_SIZE*D348+W_PROF*E348+W_AH*F348+W_REC*G348+W_CS*H348+W_PE*I348)))+ROW()/1000000</f>
        <v/>
      </c>
      <c r="AA348" s="270">
        <f>Database!B337</f>
        <v/>
      </c>
      <c r="AB348" s="270">
        <f>Database!D337</f>
        <v/>
      </c>
      <c r="AC348" s="270">
        <f>Database!E337</f>
        <v/>
      </c>
      <c r="AD348" s="270">
        <f>Database!I337</f>
        <v/>
      </c>
      <c r="AE348" s="270">
        <f>Database!BG337</f>
        <v/>
      </c>
      <c r="AF348" s="270">
        <f>Database!BM337</f>
        <v/>
      </c>
      <c r="AG348" s="270">
        <f>Database!H337</f>
        <v/>
      </c>
      <c r="AH348" s="270">
        <f>Database!BH337</f>
        <v/>
      </c>
    </row>
    <row r="349">
      <c r="A349" s="270">
        <f>Database!B349</f>
        <v/>
      </c>
      <c r="B349" s="270">
        <f>IF(AND(Screener!$D$8&lt;&gt;"",Database!$E349=Screener!$D$8),1,0)</f>
        <v/>
      </c>
      <c r="C349" s="270">
        <f>IF(AND(Screener!$D$7&lt;&gt;"",Database!$D349=Screener!$D$7),1,0)</f>
        <v/>
      </c>
      <c r="D349" s="270">
        <f>IF(OR(N(Database!$I349)&lt;=0,N(Screener!$D$9)&lt;=0),0,MAX(0,1-ABS(LOG10(N(Database!$I349)/Screener!$D$9))/W_SIZEHW))</f>
        <v/>
      </c>
      <c r="E349" s="270">
        <f>IF(OR(Database!$BG349="",Screener!$D$10=""),0,IF(Database!$BG349=Screener!$D$10,1,0))</f>
        <v/>
      </c>
      <c r="F349" s="270">
        <f>IF(OR(Database!$BM349="",Screener!$D$11=""),0,IF(Database!$BM349=Screener!$D$11,1,0))</f>
        <v/>
      </c>
      <c r="G349" s="270">
        <f>IF(OR(Database!$H349="",N(Screener!$D$12)&lt;=0),0,MAX(0,1-(N(Screener!$D$12)-Database!$H349)/W_RECD))</f>
        <v/>
      </c>
      <c r="H349" s="270">
        <f>IF($U$1="",0,N(ISNUMBER(SEARCH($U$1,Database!$AC349&amp;""))))+IF($V$1="",0,N(ISNUMBER(SEARCH($V$1,Database!$AC349&amp;""))))+IF($W$1="",0,N(ISNUMBER(SEARCH($W$1,Database!$AC349&amp;""))))+IF($X$1="",0,N(ISNUMBER(SEARCH($X$1,Database!$AC349&amp;""))))+IF($Y$1="",0,N(ISNUMBER(SEARCH($Y$1,Database!$AC349&amp;""))))+IF(Screener!$B$17="",0,N(ISNUMBER(SEARCH(LOWER(Screener!$B$17),Database!$AC349&amp;""))))</f>
        <v/>
      </c>
      <c r="I349" s="270">
        <f>IF(OR(N(Database!$BH349)&lt;=0,N(Screener!$D$13)&lt;=0),0,MAX(0,1-ABS(LOG10(N(Database!$BH349)/Screener!$D$13))/W_PEHW))</f>
        <v/>
      </c>
      <c r="J349" s="270">
        <f>IF(OR(N(Database!$S349)&lt;=0,N(Screener!$D$14)&lt;=0),0,MAX(0,1-ABS(LOG10(Database!$S349/Screener!$D$14))/0.6))</f>
        <v/>
      </c>
      <c r="K349" s="270">
        <f>IF(Database!$B349=Screener!$B$5,-999999,IF(ISNUMBER(SEARCH(","&amp;Database!$A349&amp;",",","&amp;SUBSTITUTE(Screener!$D$17," ","")&amp;",")),2000000,IF(IF(OR(Screener!$B$18="All",AND(Screener!$B$18="With A-share",(Database!$BM349="Y")),AND(Screener!$B$18="Without A-share",NOT((Database!$BM349="Y")))),1,0)=0,-999999,IF(Screener!$B$16="cornerstone overlap first",H349*100000,IF(Screener!$B$16="demand-similar first",J349*100000,0))+W_SUB*B349+W_SEC*C349*(1-B349)+W_SIZE*D349+W_PROF*E349+W_AH*F349+W_REC*G349+W_CS*H349+W_PE*I349)))+ROW()/1000000</f>
        <v/>
      </c>
      <c r="AA349" s="270">
        <f>Database!B338</f>
        <v/>
      </c>
      <c r="AB349" s="270">
        <f>Database!D338</f>
        <v/>
      </c>
      <c r="AC349" s="270">
        <f>Database!E338</f>
        <v/>
      </c>
      <c r="AD349" s="270">
        <f>Database!I338</f>
        <v/>
      </c>
      <c r="AE349" s="270">
        <f>Database!BG338</f>
        <v/>
      </c>
      <c r="AF349" s="270">
        <f>Database!BM338</f>
        <v/>
      </c>
      <c r="AG349" s="270">
        <f>Database!H338</f>
        <v/>
      </c>
      <c r="AH349" s="270">
        <f>Database!BH338</f>
        <v/>
      </c>
    </row>
    <row r="350">
      <c r="A350" s="270">
        <f>Database!B350</f>
        <v/>
      </c>
      <c r="B350" s="270">
        <f>IF(AND(Screener!$D$8&lt;&gt;"",Database!$E350=Screener!$D$8),1,0)</f>
        <v/>
      </c>
      <c r="C350" s="270">
        <f>IF(AND(Screener!$D$7&lt;&gt;"",Database!$D350=Screener!$D$7),1,0)</f>
        <v/>
      </c>
      <c r="D350" s="270">
        <f>IF(OR(N(Database!$I350)&lt;=0,N(Screener!$D$9)&lt;=0),0,MAX(0,1-ABS(LOG10(N(Database!$I350)/Screener!$D$9))/W_SIZEHW))</f>
        <v/>
      </c>
      <c r="E350" s="270">
        <f>IF(OR(Database!$BG350="",Screener!$D$10=""),0,IF(Database!$BG350=Screener!$D$10,1,0))</f>
        <v/>
      </c>
      <c r="F350" s="270">
        <f>IF(OR(Database!$BM350="",Screener!$D$11=""),0,IF(Database!$BM350=Screener!$D$11,1,0))</f>
        <v/>
      </c>
      <c r="G350" s="270">
        <f>IF(OR(Database!$H350="",N(Screener!$D$12)&lt;=0),0,MAX(0,1-(N(Screener!$D$12)-Database!$H350)/W_RECD))</f>
        <v/>
      </c>
      <c r="H350" s="270">
        <f>IF($U$1="",0,N(ISNUMBER(SEARCH($U$1,Database!$AC350&amp;""))))+IF($V$1="",0,N(ISNUMBER(SEARCH($V$1,Database!$AC350&amp;""))))+IF($W$1="",0,N(ISNUMBER(SEARCH($W$1,Database!$AC350&amp;""))))+IF($X$1="",0,N(ISNUMBER(SEARCH($X$1,Database!$AC350&amp;""))))+IF($Y$1="",0,N(ISNUMBER(SEARCH($Y$1,Database!$AC350&amp;""))))+IF(Screener!$B$17="",0,N(ISNUMBER(SEARCH(LOWER(Screener!$B$17),Database!$AC350&amp;""))))</f>
        <v/>
      </c>
      <c r="I350" s="270">
        <f>IF(OR(N(Database!$BH350)&lt;=0,N(Screener!$D$13)&lt;=0),0,MAX(0,1-ABS(LOG10(N(Database!$BH350)/Screener!$D$13))/W_PEHW))</f>
        <v/>
      </c>
      <c r="J350" s="270">
        <f>IF(OR(N(Database!$S350)&lt;=0,N(Screener!$D$14)&lt;=0),0,MAX(0,1-ABS(LOG10(Database!$S350/Screener!$D$14))/0.6))</f>
        <v/>
      </c>
      <c r="K350" s="270">
        <f>IF(Database!$B350=Screener!$B$5,-999999,IF(ISNUMBER(SEARCH(","&amp;Database!$A350&amp;",",","&amp;SUBSTITUTE(Screener!$D$17," ","")&amp;",")),2000000,IF(IF(OR(Screener!$B$18="All",AND(Screener!$B$18="With A-share",(Database!$BM350="Y")),AND(Screener!$B$18="Without A-share",NOT((Database!$BM350="Y")))),1,0)=0,-999999,IF(Screener!$B$16="cornerstone overlap first",H350*100000,IF(Screener!$B$16="demand-similar first",J350*100000,0))+W_SUB*B350+W_SEC*C350*(1-B350)+W_SIZE*D350+W_PROF*E350+W_AH*F350+W_REC*G350+W_CS*H350+W_PE*I350)))+ROW()/1000000</f>
        <v/>
      </c>
      <c r="AA350" s="270">
        <f>Database!B339</f>
        <v/>
      </c>
      <c r="AB350" s="270">
        <f>Database!D339</f>
        <v/>
      </c>
      <c r="AC350" s="270">
        <f>Database!E339</f>
        <v/>
      </c>
      <c r="AD350" s="270">
        <f>Database!I339</f>
        <v/>
      </c>
      <c r="AE350" s="270">
        <f>Database!BG339</f>
        <v/>
      </c>
      <c r="AF350" s="270">
        <f>Database!BM339</f>
        <v/>
      </c>
      <c r="AG350" s="270">
        <f>Database!H339</f>
        <v/>
      </c>
      <c r="AH350" s="270">
        <f>Database!BH339</f>
        <v/>
      </c>
    </row>
    <row r="351">
      <c r="A351" s="270">
        <f>Database!B351</f>
        <v/>
      </c>
      <c r="B351" s="270">
        <f>IF(AND(Screener!$D$8&lt;&gt;"",Database!$E351=Screener!$D$8),1,0)</f>
        <v/>
      </c>
      <c r="C351" s="270">
        <f>IF(AND(Screener!$D$7&lt;&gt;"",Database!$D351=Screener!$D$7),1,0)</f>
        <v/>
      </c>
      <c r="D351" s="270">
        <f>IF(OR(N(Database!$I351)&lt;=0,N(Screener!$D$9)&lt;=0),0,MAX(0,1-ABS(LOG10(N(Database!$I351)/Screener!$D$9))/W_SIZEHW))</f>
        <v/>
      </c>
      <c r="E351" s="270">
        <f>IF(OR(Database!$BG351="",Screener!$D$10=""),0,IF(Database!$BG351=Screener!$D$10,1,0))</f>
        <v/>
      </c>
      <c r="F351" s="270">
        <f>IF(OR(Database!$BM351="",Screener!$D$11=""),0,IF(Database!$BM351=Screener!$D$11,1,0))</f>
        <v/>
      </c>
      <c r="G351" s="270">
        <f>IF(OR(Database!$H351="",N(Screener!$D$12)&lt;=0),0,MAX(0,1-(N(Screener!$D$12)-Database!$H351)/W_RECD))</f>
        <v/>
      </c>
      <c r="H351" s="270">
        <f>IF($U$1="",0,N(ISNUMBER(SEARCH($U$1,Database!$AC351&amp;""))))+IF($V$1="",0,N(ISNUMBER(SEARCH($V$1,Database!$AC351&amp;""))))+IF($W$1="",0,N(ISNUMBER(SEARCH($W$1,Database!$AC351&amp;""))))+IF($X$1="",0,N(ISNUMBER(SEARCH($X$1,Database!$AC351&amp;""))))+IF($Y$1="",0,N(ISNUMBER(SEARCH($Y$1,Database!$AC351&amp;""))))+IF(Screener!$B$17="",0,N(ISNUMBER(SEARCH(LOWER(Screener!$B$17),Database!$AC351&amp;""))))</f>
        <v/>
      </c>
      <c r="I351" s="270">
        <f>IF(OR(N(Database!$BH351)&lt;=0,N(Screener!$D$13)&lt;=0),0,MAX(0,1-ABS(LOG10(N(Database!$BH351)/Screener!$D$13))/W_PEHW))</f>
        <v/>
      </c>
      <c r="J351" s="270">
        <f>IF(OR(N(Database!$S351)&lt;=0,N(Screener!$D$14)&lt;=0),0,MAX(0,1-ABS(LOG10(Database!$S351/Screener!$D$14))/0.6))</f>
        <v/>
      </c>
      <c r="K351" s="270">
        <f>IF(Database!$B351=Screener!$B$5,-999999,IF(ISNUMBER(SEARCH(","&amp;Database!$A351&amp;",",","&amp;SUBSTITUTE(Screener!$D$17," ","")&amp;",")),2000000,IF(IF(OR(Screener!$B$18="All",AND(Screener!$B$18="With A-share",(Database!$BM351="Y")),AND(Screener!$B$18="Without A-share",NOT((Database!$BM351="Y")))),1,0)=0,-999999,IF(Screener!$B$16="cornerstone overlap first",H351*100000,IF(Screener!$B$16="demand-similar first",J351*100000,0))+W_SUB*B351+W_SEC*C351*(1-B351)+W_SIZE*D351+W_PROF*E351+W_AH*F351+W_REC*G351+W_CS*H351+W_PE*I351)))+ROW()/1000000</f>
        <v/>
      </c>
      <c r="AA351" s="270">
        <f>Database!B340</f>
        <v/>
      </c>
      <c r="AB351" s="270">
        <f>Database!D340</f>
        <v/>
      </c>
      <c r="AC351" s="270">
        <f>Database!E340</f>
        <v/>
      </c>
      <c r="AD351" s="270">
        <f>Database!I340</f>
        <v/>
      </c>
      <c r="AE351" s="270">
        <f>Database!BG340</f>
        <v/>
      </c>
      <c r="AF351" s="270">
        <f>Database!BM340</f>
        <v/>
      </c>
      <c r="AG351" s="270">
        <f>Database!H340</f>
        <v/>
      </c>
      <c r="AH351" s="270">
        <f>Database!BH340</f>
        <v/>
      </c>
    </row>
    <row r="352">
      <c r="A352" s="270">
        <f>Database!B352</f>
        <v/>
      </c>
      <c r="B352" s="270">
        <f>IF(AND(Screener!$D$8&lt;&gt;"",Database!$E352=Screener!$D$8),1,0)</f>
        <v/>
      </c>
      <c r="C352" s="270">
        <f>IF(AND(Screener!$D$7&lt;&gt;"",Database!$D352=Screener!$D$7),1,0)</f>
        <v/>
      </c>
      <c r="D352" s="270">
        <f>IF(OR(N(Database!$I352)&lt;=0,N(Screener!$D$9)&lt;=0),0,MAX(0,1-ABS(LOG10(N(Database!$I352)/Screener!$D$9))/W_SIZEHW))</f>
        <v/>
      </c>
      <c r="E352" s="270">
        <f>IF(OR(Database!$BG352="",Screener!$D$10=""),0,IF(Database!$BG352=Screener!$D$10,1,0))</f>
        <v/>
      </c>
      <c r="F352" s="270">
        <f>IF(OR(Database!$BM352="",Screener!$D$11=""),0,IF(Database!$BM352=Screener!$D$11,1,0))</f>
        <v/>
      </c>
      <c r="G352" s="270">
        <f>IF(OR(Database!$H352="",N(Screener!$D$12)&lt;=0),0,MAX(0,1-(N(Screener!$D$12)-Database!$H352)/W_RECD))</f>
        <v/>
      </c>
      <c r="H352" s="270">
        <f>IF($U$1="",0,N(ISNUMBER(SEARCH($U$1,Database!$AC352&amp;""))))+IF($V$1="",0,N(ISNUMBER(SEARCH($V$1,Database!$AC352&amp;""))))+IF($W$1="",0,N(ISNUMBER(SEARCH($W$1,Database!$AC352&amp;""))))+IF($X$1="",0,N(ISNUMBER(SEARCH($X$1,Database!$AC352&amp;""))))+IF($Y$1="",0,N(ISNUMBER(SEARCH($Y$1,Database!$AC352&amp;""))))+IF(Screener!$B$17="",0,N(ISNUMBER(SEARCH(LOWER(Screener!$B$17),Database!$AC352&amp;""))))</f>
        <v/>
      </c>
      <c r="I352" s="270">
        <f>IF(OR(N(Database!$BH352)&lt;=0,N(Screener!$D$13)&lt;=0),0,MAX(0,1-ABS(LOG10(N(Database!$BH352)/Screener!$D$13))/W_PEHW))</f>
        <v/>
      </c>
      <c r="J352" s="270">
        <f>IF(OR(N(Database!$S352)&lt;=0,N(Screener!$D$14)&lt;=0),0,MAX(0,1-ABS(LOG10(Database!$S352/Screener!$D$14))/0.6))</f>
        <v/>
      </c>
      <c r="K352" s="270">
        <f>IF(Database!$B352=Screener!$B$5,-999999,IF(ISNUMBER(SEARCH(","&amp;Database!$A352&amp;",",","&amp;SUBSTITUTE(Screener!$D$17," ","")&amp;",")),2000000,IF(IF(OR(Screener!$B$18="All",AND(Screener!$B$18="With A-share",(Database!$BM352="Y")),AND(Screener!$B$18="Without A-share",NOT((Database!$BM352="Y")))),1,0)=0,-999999,IF(Screener!$B$16="cornerstone overlap first",H352*100000,IF(Screener!$B$16="demand-similar first",J352*100000,0))+W_SUB*B352+W_SEC*C352*(1-B352)+W_SIZE*D352+W_PROF*E352+W_AH*F352+W_REC*G352+W_CS*H352+W_PE*I352)))+ROW()/1000000</f>
        <v/>
      </c>
      <c r="AA352" s="270">
        <f>Database!B341</f>
        <v/>
      </c>
      <c r="AB352" s="270">
        <f>Database!D341</f>
        <v/>
      </c>
      <c r="AC352" s="270">
        <f>Database!E341</f>
        <v/>
      </c>
      <c r="AD352" s="270">
        <f>Database!I341</f>
        <v/>
      </c>
      <c r="AE352" s="270">
        <f>Database!BG341</f>
        <v/>
      </c>
      <c r="AF352" s="270">
        <f>Database!BM341</f>
        <v/>
      </c>
      <c r="AG352" s="270">
        <f>Database!H341</f>
        <v/>
      </c>
      <c r="AH352" s="270">
        <f>Database!BH341</f>
        <v/>
      </c>
    </row>
    <row r="353">
      <c r="A353" s="270">
        <f>Database!B353</f>
        <v/>
      </c>
      <c r="B353" s="270">
        <f>IF(AND(Screener!$D$8&lt;&gt;"",Database!$E353=Screener!$D$8),1,0)</f>
        <v/>
      </c>
      <c r="C353" s="270">
        <f>IF(AND(Screener!$D$7&lt;&gt;"",Database!$D353=Screener!$D$7),1,0)</f>
        <v/>
      </c>
      <c r="D353" s="270">
        <f>IF(OR(N(Database!$I353)&lt;=0,N(Screener!$D$9)&lt;=0),0,MAX(0,1-ABS(LOG10(N(Database!$I353)/Screener!$D$9))/W_SIZEHW))</f>
        <v/>
      </c>
      <c r="E353" s="270">
        <f>IF(OR(Database!$BG353="",Screener!$D$10=""),0,IF(Database!$BG353=Screener!$D$10,1,0))</f>
        <v/>
      </c>
      <c r="F353" s="270">
        <f>IF(OR(Database!$BM353="",Screener!$D$11=""),0,IF(Database!$BM353=Screener!$D$11,1,0))</f>
        <v/>
      </c>
      <c r="G353" s="270">
        <f>IF(OR(Database!$H353="",N(Screener!$D$12)&lt;=0),0,MAX(0,1-(N(Screener!$D$12)-Database!$H353)/W_RECD))</f>
        <v/>
      </c>
      <c r="H353" s="270">
        <f>IF($U$1="",0,N(ISNUMBER(SEARCH($U$1,Database!$AC353&amp;""))))+IF($V$1="",0,N(ISNUMBER(SEARCH($V$1,Database!$AC353&amp;""))))+IF($W$1="",0,N(ISNUMBER(SEARCH($W$1,Database!$AC353&amp;""))))+IF($X$1="",0,N(ISNUMBER(SEARCH($X$1,Database!$AC353&amp;""))))+IF($Y$1="",0,N(ISNUMBER(SEARCH($Y$1,Database!$AC353&amp;""))))+IF(Screener!$B$17="",0,N(ISNUMBER(SEARCH(LOWER(Screener!$B$17),Database!$AC353&amp;""))))</f>
        <v/>
      </c>
      <c r="I353" s="270">
        <f>IF(OR(N(Database!$BH353)&lt;=0,N(Screener!$D$13)&lt;=0),0,MAX(0,1-ABS(LOG10(N(Database!$BH353)/Screener!$D$13))/W_PEHW))</f>
        <v/>
      </c>
      <c r="J353" s="270">
        <f>IF(OR(N(Database!$S353)&lt;=0,N(Screener!$D$14)&lt;=0),0,MAX(0,1-ABS(LOG10(Database!$S353/Screener!$D$14))/0.6))</f>
        <v/>
      </c>
      <c r="K353" s="270">
        <f>IF(Database!$B353=Screener!$B$5,-999999,IF(ISNUMBER(SEARCH(","&amp;Database!$A353&amp;",",","&amp;SUBSTITUTE(Screener!$D$17," ","")&amp;",")),2000000,IF(IF(OR(Screener!$B$18="All",AND(Screener!$B$18="With A-share",(Database!$BM353="Y")),AND(Screener!$B$18="Without A-share",NOT((Database!$BM353="Y")))),1,0)=0,-999999,IF(Screener!$B$16="cornerstone overlap first",H353*100000,IF(Screener!$B$16="demand-similar first",J353*100000,0))+W_SUB*B353+W_SEC*C353*(1-B353)+W_SIZE*D353+W_PROF*E353+W_AH*F353+W_REC*G353+W_CS*H353+W_PE*I353)))+ROW()/1000000</f>
        <v/>
      </c>
      <c r="AA353" s="270">
        <f>Database!B342</f>
        <v/>
      </c>
      <c r="AB353" s="270">
        <f>Database!D342</f>
        <v/>
      </c>
      <c r="AC353" s="270">
        <f>Database!E342</f>
        <v/>
      </c>
      <c r="AD353" s="270">
        <f>Database!I342</f>
        <v/>
      </c>
      <c r="AE353" s="270">
        <f>Database!BG342</f>
        <v/>
      </c>
      <c r="AF353" s="270">
        <f>Database!BM342</f>
        <v/>
      </c>
      <c r="AG353" s="270">
        <f>Database!H342</f>
        <v/>
      </c>
      <c r="AH353" s="270">
        <f>Database!BH342</f>
        <v/>
      </c>
    </row>
    <row r="354">
      <c r="A354" s="270">
        <f>Database!B354</f>
        <v/>
      </c>
      <c r="B354" s="270">
        <f>IF(AND(Screener!$D$8&lt;&gt;"",Database!$E354=Screener!$D$8),1,0)</f>
        <v/>
      </c>
      <c r="C354" s="270">
        <f>IF(AND(Screener!$D$7&lt;&gt;"",Database!$D354=Screener!$D$7),1,0)</f>
        <v/>
      </c>
      <c r="D354" s="270">
        <f>IF(OR(N(Database!$I354)&lt;=0,N(Screener!$D$9)&lt;=0),0,MAX(0,1-ABS(LOG10(N(Database!$I354)/Screener!$D$9))/W_SIZEHW))</f>
        <v/>
      </c>
      <c r="E354" s="270">
        <f>IF(OR(Database!$BG354="",Screener!$D$10=""),0,IF(Database!$BG354=Screener!$D$10,1,0))</f>
        <v/>
      </c>
      <c r="F354" s="270">
        <f>IF(OR(Database!$BM354="",Screener!$D$11=""),0,IF(Database!$BM354=Screener!$D$11,1,0))</f>
        <v/>
      </c>
      <c r="G354" s="270">
        <f>IF(OR(Database!$H354="",N(Screener!$D$12)&lt;=0),0,MAX(0,1-(N(Screener!$D$12)-Database!$H354)/W_RECD))</f>
        <v/>
      </c>
      <c r="H354" s="270">
        <f>IF($U$1="",0,N(ISNUMBER(SEARCH($U$1,Database!$AC354&amp;""))))+IF($V$1="",0,N(ISNUMBER(SEARCH($V$1,Database!$AC354&amp;""))))+IF($W$1="",0,N(ISNUMBER(SEARCH($W$1,Database!$AC354&amp;""))))+IF($X$1="",0,N(ISNUMBER(SEARCH($X$1,Database!$AC354&amp;""))))+IF($Y$1="",0,N(ISNUMBER(SEARCH($Y$1,Database!$AC354&amp;""))))+IF(Screener!$B$17="",0,N(ISNUMBER(SEARCH(LOWER(Screener!$B$17),Database!$AC354&amp;""))))</f>
        <v/>
      </c>
      <c r="I354" s="270">
        <f>IF(OR(N(Database!$BH354)&lt;=0,N(Screener!$D$13)&lt;=0),0,MAX(0,1-ABS(LOG10(N(Database!$BH354)/Screener!$D$13))/W_PEHW))</f>
        <v/>
      </c>
      <c r="J354" s="270">
        <f>IF(OR(N(Database!$S354)&lt;=0,N(Screener!$D$14)&lt;=0),0,MAX(0,1-ABS(LOG10(Database!$S354/Screener!$D$14))/0.6))</f>
        <v/>
      </c>
      <c r="K354" s="270">
        <f>IF(Database!$B354=Screener!$B$5,-999999,IF(ISNUMBER(SEARCH(","&amp;Database!$A354&amp;",",","&amp;SUBSTITUTE(Screener!$D$17," ","")&amp;",")),2000000,IF(IF(OR(Screener!$B$18="All",AND(Screener!$B$18="With A-share",(Database!$BM354="Y")),AND(Screener!$B$18="Without A-share",NOT((Database!$BM354="Y")))),1,0)=0,-999999,IF(Screener!$B$16="cornerstone overlap first",H354*100000,IF(Screener!$B$16="demand-similar first",J354*100000,0))+W_SUB*B354+W_SEC*C354*(1-B354)+W_SIZE*D354+W_PROF*E354+W_AH*F354+W_REC*G354+W_CS*H354+W_PE*I354)))+ROW()/1000000</f>
        <v/>
      </c>
      <c r="AA354" s="270">
        <f>Database!B343</f>
        <v/>
      </c>
      <c r="AB354" s="270">
        <f>Database!D343</f>
        <v/>
      </c>
      <c r="AC354" s="270">
        <f>Database!E343</f>
        <v/>
      </c>
      <c r="AD354" s="270">
        <f>Database!I343</f>
        <v/>
      </c>
      <c r="AE354" s="270">
        <f>Database!BG343</f>
        <v/>
      </c>
      <c r="AF354" s="270">
        <f>Database!BM343</f>
        <v/>
      </c>
      <c r="AG354" s="270">
        <f>Database!H343</f>
        <v/>
      </c>
      <c r="AH354" s="270">
        <f>Database!BH343</f>
        <v/>
      </c>
    </row>
    <row r="355">
      <c r="A355" s="270">
        <f>Database!B355</f>
        <v/>
      </c>
      <c r="B355" s="270">
        <f>IF(AND(Screener!$D$8&lt;&gt;"",Database!$E355=Screener!$D$8),1,0)</f>
        <v/>
      </c>
      <c r="C355" s="270">
        <f>IF(AND(Screener!$D$7&lt;&gt;"",Database!$D355=Screener!$D$7),1,0)</f>
        <v/>
      </c>
      <c r="D355" s="270">
        <f>IF(OR(N(Database!$I355)&lt;=0,N(Screener!$D$9)&lt;=0),0,MAX(0,1-ABS(LOG10(N(Database!$I355)/Screener!$D$9))/W_SIZEHW))</f>
        <v/>
      </c>
      <c r="E355" s="270">
        <f>IF(OR(Database!$BG355="",Screener!$D$10=""),0,IF(Database!$BG355=Screener!$D$10,1,0))</f>
        <v/>
      </c>
      <c r="F355" s="270">
        <f>IF(OR(Database!$BM355="",Screener!$D$11=""),0,IF(Database!$BM355=Screener!$D$11,1,0))</f>
        <v/>
      </c>
      <c r="G355" s="270">
        <f>IF(OR(Database!$H355="",N(Screener!$D$12)&lt;=0),0,MAX(0,1-(N(Screener!$D$12)-Database!$H355)/W_RECD))</f>
        <v/>
      </c>
      <c r="H355" s="270">
        <f>IF($U$1="",0,N(ISNUMBER(SEARCH($U$1,Database!$AC355&amp;""))))+IF($V$1="",0,N(ISNUMBER(SEARCH($V$1,Database!$AC355&amp;""))))+IF($W$1="",0,N(ISNUMBER(SEARCH($W$1,Database!$AC355&amp;""))))+IF($X$1="",0,N(ISNUMBER(SEARCH($X$1,Database!$AC355&amp;""))))+IF($Y$1="",0,N(ISNUMBER(SEARCH($Y$1,Database!$AC355&amp;""))))+IF(Screener!$B$17="",0,N(ISNUMBER(SEARCH(LOWER(Screener!$B$17),Database!$AC355&amp;""))))</f>
        <v/>
      </c>
      <c r="I355" s="270">
        <f>IF(OR(N(Database!$BH355)&lt;=0,N(Screener!$D$13)&lt;=0),0,MAX(0,1-ABS(LOG10(N(Database!$BH355)/Screener!$D$13))/W_PEHW))</f>
        <v/>
      </c>
      <c r="J355" s="270">
        <f>IF(OR(N(Database!$S355)&lt;=0,N(Screener!$D$14)&lt;=0),0,MAX(0,1-ABS(LOG10(Database!$S355/Screener!$D$14))/0.6))</f>
        <v/>
      </c>
      <c r="K355" s="270">
        <f>IF(Database!$B355=Screener!$B$5,-999999,IF(ISNUMBER(SEARCH(","&amp;Database!$A355&amp;",",","&amp;SUBSTITUTE(Screener!$D$17," ","")&amp;",")),2000000,IF(IF(OR(Screener!$B$18="All",AND(Screener!$B$18="With A-share",(Database!$BM355="Y")),AND(Screener!$B$18="Without A-share",NOT((Database!$BM355="Y")))),1,0)=0,-999999,IF(Screener!$B$16="cornerstone overlap first",H355*100000,IF(Screener!$B$16="demand-similar first",J355*100000,0))+W_SUB*B355+W_SEC*C355*(1-B355)+W_SIZE*D355+W_PROF*E355+W_AH*F355+W_REC*G355+W_CS*H355+W_PE*I355)))+ROW()/1000000</f>
        <v/>
      </c>
      <c r="AA355" s="270">
        <f>Database!B344</f>
        <v/>
      </c>
      <c r="AB355" s="270">
        <f>Database!D344</f>
        <v/>
      </c>
      <c r="AC355" s="270">
        <f>Database!E344</f>
        <v/>
      </c>
      <c r="AD355" s="270">
        <f>Database!I344</f>
        <v/>
      </c>
      <c r="AE355" s="270">
        <f>Database!BG344</f>
        <v/>
      </c>
      <c r="AF355" s="270">
        <f>Database!BM344</f>
        <v/>
      </c>
      <c r="AG355" s="270">
        <f>Database!H344</f>
        <v/>
      </c>
      <c r="AH355" s="270">
        <f>Database!BH344</f>
        <v/>
      </c>
    </row>
    <row r="356">
      <c r="A356" s="270">
        <f>Database!B356</f>
        <v/>
      </c>
      <c r="B356" s="270">
        <f>IF(AND(Screener!$D$8&lt;&gt;"",Database!$E356=Screener!$D$8),1,0)</f>
        <v/>
      </c>
      <c r="C356" s="270">
        <f>IF(AND(Screener!$D$7&lt;&gt;"",Database!$D356=Screener!$D$7),1,0)</f>
        <v/>
      </c>
      <c r="D356" s="270">
        <f>IF(OR(N(Database!$I356)&lt;=0,N(Screener!$D$9)&lt;=0),0,MAX(0,1-ABS(LOG10(N(Database!$I356)/Screener!$D$9))/W_SIZEHW))</f>
        <v/>
      </c>
      <c r="E356" s="270">
        <f>IF(OR(Database!$BG356="",Screener!$D$10=""),0,IF(Database!$BG356=Screener!$D$10,1,0))</f>
        <v/>
      </c>
      <c r="F356" s="270">
        <f>IF(OR(Database!$BM356="",Screener!$D$11=""),0,IF(Database!$BM356=Screener!$D$11,1,0))</f>
        <v/>
      </c>
      <c r="G356" s="270">
        <f>IF(OR(Database!$H356="",N(Screener!$D$12)&lt;=0),0,MAX(0,1-(N(Screener!$D$12)-Database!$H356)/W_RECD))</f>
        <v/>
      </c>
      <c r="H356" s="270">
        <f>IF($U$1="",0,N(ISNUMBER(SEARCH($U$1,Database!$AC356&amp;""))))+IF($V$1="",0,N(ISNUMBER(SEARCH($V$1,Database!$AC356&amp;""))))+IF($W$1="",0,N(ISNUMBER(SEARCH($W$1,Database!$AC356&amp;""))))+IF($X$1="",0,N(ISNUMBER(SEARCH($X$1,Database!$AC356&amp;""))))+IF($Y$1="",0,N(ISNUMBER(SEARCH($Y$1,Database!$AC356&amp;""))))+IF(Screener!$B$17="",0,N(ISNUMBER(SEARCH(LOWER(Screener!$B$17),Database!$AC356&amp;""))))</f>
        <v/>
      </c>
      <c r="I356" s="270">
        <f>IF(OR(N(Database!$BH356)&lt;=0,N(Screener!$D$13)&lt;=0),0,MAX(0,1-ABS(LOG10(N(Database!$BH356)/Screener!$D$13))/W_PEHW))</f>
        <v/>
      </c>
      <c r="J356" s="270">
        <f>IF(OR(N(Database!$S356)&lt;=0,N(Screener!$D$14)&lt;=0),0,MAX(0,1-ABS(LOG10(Database!$S356/Screener!$D$14))/0.6))</f>
        <v/>
      </c>
      <c r="K356" s="270">
        <f>IF(Database!$B356=Screener!$B$5,-999999,IF(ISNUMBER(SEARCH(","&amp;Database!$A356&amp;",",","&amp;SUBSTITUTE(Screener!$D$17," ","")&amp;",")),2000000,IF(IF(OR(Screener!$B$18="All",AND(Screener!$B$18="With A-share",(Database!$BM356="Y")),AND(Screener!$B$18="Without A-share",NOT((Database!$BM356="Y")))),1,0)=0,-999999,IF(Screener!$B$16="cornerstone overlap first",H356*100000,IF(Screener!$B$16="demand-similar first",J356*100000,0))+W_SUB*B356+W_SEC*C356*(1-B356)+W_SIZE*D356+W_PROF*E356+W_AH*F356+W_REC*G356+W_CS*H356+W_PE*I356)))+ROW()/1000000</f>
        <v/>
      </c>
      <c r="AA356" s="270">
        <f>Database!B345</f>
        <v/>
      </c>
      <c r="AB356" s="270">
        <f>Database!D345</f>
        <v/>
      </c>
      <c r="AC356" s="270">
        <f>Database!E345</f>
        <v/>
      </c>
      <c r="AD356" s="270">
        <f>Database!I345</f>
        <v/>
      </c>
      <c r="AE356" s="270">
        <f>Database!BG345</f>
        <v/>
      </c>
      <c r="AF356" s="270">
        <f>Database!BM345</f>
        <v/>
      </c>
      <c r="AG356" s="270">
        <f>Database!H345</f>
        <v/>
      </c>
      <c r="AH356" s="270">
        <f>Database!BH345</f>
        <v/>
      </c>
    </row>
    <row r="357">
      <c r="A357" s="270">
        <f>Database!B357</f>
        <v/>
      </c>
      <c r="B357" s="270">
        <f>IF(AND(Screener!$D$8&lt;&gt;"",Database!$E357=Screener!$D$8),1,0)</f>
        <v/>
      </c>
      <c r="C357" s="270">
        <f>IF(AND(Screener!$D$7&lt;&gt;"",Database!$D357=Screener!$D$7),1,0)</f>
        <v/>
      </c>
      <c r="D357" s="270">
        <f>IF(OR(N(Database!$I357)&lt;=0,N(Screener!$D$9)&lt;=0),0,MAX(0,1-ABS(LOG10(N(Database!$I357)/Screener!$D$9))/W_SIZEHW))</f>
        <v/>
      </c>
      <c r="E357" s="270">
        <f>IF(OR(Database!$BG357="",Screener!$D$10=""),0,IF(Database!$BG357=Screener!$D$10,1,0))</f>
        <v/>
      </c>
      <c r="F357" s="270">
        <f>IF(OR(Database!$BM357="",Screener!$D$11=""),0,IF(Database!$BM357=Screener!$D$11,1,0))</f>
        <v/>
      </c>
      <c r="G357" s="270">
        <f>IF(OR(Database!$H357="",N(Screener!$D$12)&lt;=0),0,MAX(0,1-(N(Screener!$D$12)-Database!$H357)/W_RECD))</f>
        <v/>
      </c>
      <c r="H357" s="270">
        <f>IF($U$1="",0,N(ISNUMBER(SEARCH($U$1,Database!$AC357&amp;""))))+IF($V$1="",0,N(ISNUMBER(SEARCH($V$1,Database!$AC357&amp;""))))+IF($W$1="",0,N(ISNUMBER(SEARCH($W$1,Database!$AC357&amp;""))))+IF($X$1="",0,N(ISNUMBER(SEARCH($X$1,Database!$AC357&amp;""))))+IF($Y$1="",0,N(ISNUMBER(SEARCH($Y$1,Database!$AC357&amp;""))))+IF(Screener!$B$17="",0,N(ISNUMBER(SEARCH(LOWER(Screener!$B$17),Database!$AC357&amp;""))))</f>
        <v/>
      </c>
      <c r="I357" s="270">
        <f>IF(OR(N(Database!$BH357)&lt;=0,N(Screener!$D$13)&lt;=0),0,MAX(0,1-ABS(LOG10(N(Database!$BH357)/Screener!$D$13))/W_PEHW))</f>
        <v/>
      </c>
      <c r="J357" s="270">
        <f>IF(OR(N(Database!$S357)&lt;=0,N(Screener!$D$14)&lt;=0),0,MAX(0,1-ABS(LOG10(Database!$S357/Screener!$D$14))/0.6))</f>
        <v/>
      </c>
      <c r="K357" s="270">
        <f>IF(Database!$B357=Screener!$B$5,-999999,IF(ISNUMBER(SEARCH(","&amp;Database!$A357&amp;",",","&amp;SUBSTITUTE(Screener!$D$17," ","")&amp;",")),2000000,IF(IF(OR(Screener!$B$18="All",AND(Screener!$B$18="With A-share",(Database!$BM357="Y")),AND(Screener!$B$18="Without A-share",NOT((Database!$BM357="Y")))),1,0)=0,-999999,IF(Screener!$B$16="cornerstone overlap first",H357*100000,IF(Screener!$B$16="demand-similar first",J357*100000,0))+W_SUB*B357+W_SEC*C357*(1-B357)+W_SIZE*D357+W_PROF*E357+W_AH*F357+W_REC*G357+W_CS*H357+W_PE*I357)))+ROW()/1000000</f>
        <v/>
      </c>
      <c r="AA357" s="270">
        <f>Database!B346</f>
        <v/>
      </c>
      <c r="AB357" s="270">
        <f>Database!D346</f>
        <v/>
      </c>
      <c r="AC357" s="270">
        <f>Database!E346</f>
        <v/>
      </c>
      <c r="AD357" s="270">
        <f>Database!I346</f>
        <v/>
      </c>
      <c r="AE357" s="270">
        <f>Database!BG346</f>
        <v/>
      </c>
      <c r="AF357" s="270">
        <f>Database!BM346</f>
        <v/>
      </c>
      <c r="AG357" s="270">
        <f>Database!H346</f>
        <v/>
      </c>
      <c r="AH357" s="270">
        <f>Database!BH346</f>
        <v/>
      </c>
    </row>
    <row r="358">
      <c r="A358" s="270">
        <f>Database!B358</f>
        <v/>
      </c>
      <c r="B358" s="270">
        <f>IF(AND(Screener!$D$8&lt;&gt;"",Database!$E358=Screener!$D$8),1,0)</f>
        <v/>
      </c>
      <c r="C358" s="270">
        <f>IF(AND(Screener!$D$7&lt;&gt;"",Database!$D358=Screener!$D$7),1,0)</f>
        <v/>
      </c>
      <c r="D358" s="270">
        <f>IF(OR(N(Database!$I358)&lt;=0,N(Screener!$D$9)&lt;=0),0,MAX(0,1-ABS(LOG10(N(Database!$I358)/Screener!$D$9))/W_SIZEHW))</f>
        <v/>
      </c>
      <c r="E358" s="270">
        <f>IF(OR(Database!$BG358="",Screener!$D$10=""),0,IF(Database!$BG358=Screener!$D$10,1,0))</f>
        <v/>
      </c>
      <c r="F358" s="270">
        <f>IF(OR(Database!$BM358="",Screener!$D$11=""),0,IF(Database!$BM358=Screener!$D$11,1,0))</f>
        <v/>
      </c>
      <c r="G358" s="270">
        <f>IF(OR(Database!$H358="",N(Screener!$D$12)&lt;=0),0,MAX(0,1-(N(Screener!$D$12)-Database!$H358)/W_RECD))</f>
        <v/>
      </c>
      <c r="H358" s="270">
        <f>IF($U$1="",0,N(ISNUMBER(SEARCH($U$1,Database!$AC358&amp;""))))+IF($V$1="",0,N(ISNUMBER(SEARCH($V$1,Database!$AC358&amp;""))))+IF($W$1="",0,N(ISNUMBER(SEARCH($W$1,Database!$AC358&amp;""))))+IF($X$1="",0,N(ISNUMBER(SEARCH($X$1,Database!$AC358&amp;""))))+IF($Y$1="",0,N(ISNUMBER(SEARCH($Y$1,Database!$AC358&amp;""))))+IF(Screener!$B$17="",0,N(ISNUMBER(SEARCH(LOWER(Screener!$B$17),Database!$AC358&amp;""))))</f>
        <v/>
      </c>
      <c r="I358" s="270">
        <f>IF(OR(N(Database!$BH358)&lt;=0,N(Screener!$D$13)&lt;=0),0,MAX(0,1-ABS(LOG10(N(Database!$BH358)/Screener!$D$13))/W_PEHW))</f>
        <v/>
      </c>
      <c r="J358" s="270">
        <f>IF(OR(N(Database!$S358)&lt;=0,N(Screener!$D$14)&lt;=0),0,MAX(0,1-ABS(LOG10(Database!$S358/Screener!$D$14))/0.6))</f>
        <v/>
      </c>
      <c r="K358" s="270">
        <f>IF(Database!$B358=Screener!$B$5,-999999,IF(ISNUMBER(SEARCH(","&amp;Database!$A358&amp;",",","&amp;SUBSTITUTE(Screener!$D$17," ","")&amp;",")),2000000,IF(IF(OR(Screener!$B$18="All",AND(Screener!$B$18="With A-share",(Database!$BM358="Y")),AND(Screener!$B$18="Without A-share",NOT((Database!$BM358="Y")))),1,0)=0,-999999,IF(Screener!$B$16="cornerstone overlap first",H358*100000,IF(Screener!$B$16="demand-similar first",J358*100000,0))+W_SUB*B358+W_SEC*C358*(1-B358)+W_SIZE*D358+W_PROF*E358+W_AH*F358+W_REC*G358+W_CS*H358+W_PE*I358)))+ROW()/1000000</f>
        <v/>
      </c>
      <c r="AA358" s="270">
        <f>Database!B347</f>
        <v/>
      </c>
      <c r="AB358" s="270">
        <f>Database!D347</f>
        <v/>
      </c>
      <c r="AC358" s="270">
        <f>Database!E347</f>
        <v/>
      </c>
      <c r="AD358" s="270">
        <f>Database!I347</f>
        <v/>
      </c>
      <c r="AE358" s="270">
        <f>Database!BG347</f>
        <v/>
      </c>
      <c r="AF358" s="270">
        <f>Database!BM347</f>
        <v/>
      </c>
      <c r="AG358" s="270">
        <f>Database!H347</f>
        <v/>
      </c>
      <c r="AH358" s="270">
        <f>Database!BH347</f>
        <v/>
      </c>
    </row>
    <row r="359">
      <c r="A359" s="270">
        <f>Database!B359</f>
        <v/>
      </c>
      <c r="B359" s="270">
        <f>IF(AND(Screener!$D$8&lt;&gt;"",Database!$E359=Screener!$D$8),1,0)</f>
        <v/>
      </c>
      <c r="C359" s="270">
        <f>IF(AND(Screener!$D$7&lt;&gt;"",Database!$D359=Screener!$D$7),1,0)</f>
        <v/>
      </c>
      <c r="D359" s="270">
        <f>IF(OR(N(Database!$I359)&lt;=0,N(Screener!$D$9)&lt;=0),0,MAX(0,1-ABS(LOG10(N(Database!$I359)/Screener!$D$9))/W_SIZEHW))</f>
        <v/>
      </c>
      <c r="E359" s="270">
        <f>IF(OR(Database!$BG359="",Screener!$D$10=""),0,IF(Database!$BG359=Screener!$D$10,1,0))</f>
        <v/>
      </c>
      <c r="F359" s="270">
        <f>IF(OR(Database!$BM359="",Screener!$D$11=""),0,IF(Database!$BM359=Screener!$D$11,1,0))</f>
        <v/>
      </c>
      <c r="G359" s="270">
        <f>IF(OR(Database!$H359="",N(Screener!$D$12)&lt;=0),0,MAX(0,1-(N(Screener!$D$12)-Database!$H359)/W_RECD))</f>
        <v/>
      </c>
      <c r="H359" s="270">
        <f>IF($U$1="",0,N(ISNUMBER(SEARCH($U$1,Database!$AC359&amp;""))))+IF($V$1="",0,N(ISNUMBER(SEARCH($V$1,Database!$AC359&amp;""))))+IF($W$1="",0,N(ISNUMBER(SEARCH($W$1,Database!$AC359&amp;""))))+IF($X$1="",0,N(ISNUMBER(SEARCH($X$1,Database!$AC359&amp;""))))+IF($Y$1="",0,N(ISNUMBER(SEARCH($Y$1,Database!$AC359&amp;""))))+IF(Screener!$B$17="",0,N(ISNUMBER(SEARCH(LOWER(Screener!$B$17),Database!$AC359&amp;""))))</f>
        <v/>
      </c>
      <c r="I359" s="270">
        <f>IF(OR(N(Database!$BH359)&lt;=0,N(Screener!$D$13)&lt;=0),0,MAX(0,1-ABS(LOG10(N(Database!$BH359)/Screener!$D$13))/W_PEHW))</f>
        <v/>
      </c>
      <c r="J359" s="270">
        <f>IF(OR(N(Database!$S359)&lt;=0,N(Screener!$D$14)&lt;=0),0,MAX(0,1-ABS(LOG10(Database!$S359/Screener!$D$14))/0.6))</f>
        <v/>
      </c>
      <c r="K359" s="270">
        <f>IF(Database!$B359=Screener!$B$5,-999999,IF(ISNUMBER(SEARCH(","&amp;Database!$A359&amp;",",","&amp;SUBSTITUTE(Screener!$D$17," ","")&amp;",")),2000000,IF(IF(OR(Screener!$B$18="All",AND(Screener!$B$18="With A-share",(Database!$BM359="Y")),AND(Screener!$B$18="Without A-share",NOT((Database!$BM359="Y")))),1,0)=0,-999999,IF(Screener!$B$16="cornerstone overlap first",H359*100000,IF(Screener!$B$16="demand-similar first",J359*100000,0))+W_SUB*B359+W_SEC*C359*(1-B359)+W_SIZE*D359+W_PROF*E359+W_AH*F359+W_REC*G359+W_CS*H359+W_PE*I359)))+ROW()/1000000</f>
        <v/>
      </c>
      <c r="AA359" s="270">
        <f>Database!B348</f>
        <v/>
      </c>
      <c r="AB359" s="270">
        <f>Database!D348</f>
        <v/>
      </c>
      <c r="AC359" s="270">
        <f>Database!E348</f>
        <v/>
      </c>
      <c r="AD359" s="270">
        <f>Database!I348</f>
        <v/>
      </c>
      <c r="AE359" s="270">
        <f>Database!BG348</f>
        <v/>
      </c>
      <c r="AF359" s="270">
        <f>Database!BM348</f>
        <v/>
      </c>
      <c r="AG359" s="270">
        <f>Database!H348</f>
        <v/>
      </c>
      <c r="AH359" s="270">
        <f>Database!BH348</f>
        <v/>
      </c>
    </row>
    <row r="360">
      <c r="A360" s="270">
        <f>Database!B360</f>
        <v/>
      </c>
      <c r="B360" s="270">
        <f>IF(AND(Screener!$D$8&lt;&gt;"",Database!$E360=Screener!$D$8),1,0)</f>
        <v/>
      </c>
      <c r="C360" s="270">
        <f>IF(AND(Screener!$D$7&lt;&gt;"",Database!$D360=Screener!$D$7),1,0)</f>
        <v/>
      </c>
      <c r="D360" s="270">
        <f>IF(OR(N(Database!$I360)&lt;=0,N(Screener!$D$9)&lt;=0),0,MAX(0,1-ABS(LOG10(N(Database!$I360)/Screener!$D$9))/W_SIZEHW))</f>
        <v/>
      </c>
      <c r="E360" s="270">
        <f>IF(OR(Database!$BG360="",Screener!$D$10=""),0,IF(Database!$BG360=Screener!$D$10,1,0))</f>
        <v/>
      </c>
      <c r="F360" s="270">
        <f>IF(OR(Database!$BM360="",Screener!$D$11=""),0,IF(Database!$BM360=Screener!$D$11,1,0))</f>
        <v/>
      </c>
      <c r="G360" s="270">
        <f>IF(OR(Database!$H360="",N(Screener!$D$12)&lt;=0),0,MAX(0,1-(N(Screener!$D$12)-Database!$H360)/W_RECD))</f>
        <v/>
      </c>
      <c r="H360" s="270">
        <f>IF($U$1="",0,N(ISNUMBER(SEARCH($U$1,Database!$AC360&amp;""))))+IF($V$1="",0,N(ISNUMBER(SEARCH($V$1,Database!$AC360&amp;""))))+IF($W$1="",0,N(ISNUMBER(SEARCH($W$1,Database!$AC360&amp;""))))+IF($X$1="",0,N(ISNUMBER(SEARCH($X$1,Database!$AC360&amp;""))))+IF($Y$1="",0,N(ISNUMBER(SEARCH($Y$1,Database!$AC360&amp;""))))+IF(Screener!$B$17="",0,N(ISNUMBER(SEARCH(LOWER(Screener!$B$17),Database!$AC360&amp;""))))</f>
        <v/>
      </c>
      <c r="I360" s="270">
        <f>IF(OR(N(Database!$BH360)&lt;=0,N(Screener!$D$13)&lt;=0),0,MAX(0,1-ABS(LOG10(N(Database!$BH360)/Screener!$D$13))/W_PEHW))</f>
        <v/>
      </c>
      <c r="J360" s="270">
        <f>IF(OR(N(Database!$S360)&lt;=0,N(Screener!$D$14)&lt;=0),0,MAX(0,1-ABS(LOG10(Database!$S360/Screener!$D$14))/0.6))</f>
        <v/>
      </c>
      <c r="K360" s="270">
        <f>IF(Database!$B360=Screener!$B$5,-999999,IF(ISNUMBER(SEARCH(","&amp;Database!$A360&amp;",",","&amp;SUBSTITUTE(Screener!$D$17," ","")&amp;",")),2000000,IF(IF(OR(Screener!$B$18="All",AND(Screener!$B$18="With A-share",(Database!$BM360="Y")),AND(Screener!$B$18="Without A-share",NOT((Database!$BM360="Y")))),1,0)=0,-999999,IF(Screener!$B$16="cornerstone overlap first",H360*100000,IF(Screener!$B$16="demand-similar first",J360*100000,0))+W_SUB*B360+W_SEC*C360*(1-B360)+W_SIZE*D360+W_PROF*E360+W_AH*F360+W_REC*G360+W_CS*H360+W_PE*I360)))+ROW()/1000000</f>
        <v/>
      </c>
      <c r="AA360" s="270">
        <f>Database!B349</f>
        <v/>
      </c>
      <c r="AB360" s="270">
        <f>Database!D349</f>
        <v/>
      </c>
      <c r="AC360" s="270">
        <f>Database!E349</f>
        <v/>
      </c>
      <c r="AD360" s="270">
        <f>Database!I349</f>
        <v/>
      </c>
      <c r="AE360" s="270">
        <f>Database!BG349</f>
        <v/>
      </c>
      <c r="AF360" s="270">
        <f>Database!BM349</f>
        <v/>
      </c>
      <c r="AG360" s="270">
        <f>Database!H349</f>
        <v/>
      </c>
      <c r="AH360" s="270">
        <f>Database!BH349</f>
        <v/>
      </c>
    </row>
    <row r="361">
      <c r="A361" s="270">
        <f>Database!B361</f>
        <v/>
      </c>
      <c r="B361" s="270">
        <f>IF(AND(Screener!$D$8&lt;&gt;"",Database!$E361=Screener!$D$8),1,0)</f>
        <v/>
      </c>
      <c r="C361" s="270">
        <f>IF(AND(Screener!$D$7&lt;&gt;"",Database!$D361=Screener!$D$7),1,0)</f>
        <v/>
      </c>
      <c r="D361" s="270">
        <f>IF(OR(N(Database!$I361)&lt;=0,N(Screener!$D$9)&lt;=0),0,MAX(0,1-ABS(LOG10(N(Database!$I361)/Screener!$D$9))/W_SIZEHW))</f>
        <v/>
      </c>
      <c r="E361" s="270">
        <f>IF(OR(Database!$BG361="",Screener!$D$10=""),0,IF(Database!$BG361=Screener!$D$10,1,0))</f>
        <v/>
      </c>
      <c r="F361" s="270">
        <f>IF(OR(Database!$BM361="",Screener!$D$11=""),0,IF(Database!$BM361=Screener!$D$11,1,0))</f>
        <v/>
      </c>
      <c r="G361" s="270">
        <f>IF(OR(Database!$H361="",N(Screener!$D$12)&lt;=0),0,MAX(0,1-(N(Screener!$D$12)-Database!$H361)/W_RECD))</f>
        <v/>
      </c>
      <c r="H361" s="270">
        <f>IF($U$1="",0,N(ISNUMBER(SEARCH($U$1,Database!$AC361&amp;""))))+IF($V$1="",0,N(ISNUMBER(SEARCH($V$1,Database!$AC361&amp;""))))+IF($W$1="",0,N(ISNUMBER(SEARCH($W$1,Database!$AC361&amp;""))))+IF($X$1="",0,N(ISNUMBER(SEARCH($X$1,Database!$AC361&amp;""))))+IF($Y$1="",0,N(ISNUMBER(SEARCH($Y$1,Database!$AC361&amp;""))))+IF(Screener!$B$17="",0,N(ISNUMBER(SEARCH(LOWER(Screener!$B$17),Database!$AC361&amp;""))))</f>
        <v/>
      </c>
      <c r="I361" s="270">
        <f>IF(OR(N(Database!$BH361)&lt;=0,N(Screener!$D$13)&lt;=0),0,MAX(0,1-ABS(LOG10(N(Database!$BH361)/Screener!$D$13))/W_PEHW))</f>
        <v/>
      </c>
      <c r="J361" s="270">
        <f>IF(OR(N(Database!$S361)&lt;=0,N(Screener!$D$14)&lt;=0),0,MAX(0,1-ABS(LOG10(Database!$S361/Screener!$D$14))/0.6))</f>
        <v/>
      </c>
      <c r="K361" s="270">
        <f>IF(Database!$B361=Screener!$B$5,-999999,IF(ISNUMBER(SEARCH(","&amp;Database!$A361&amp;",",","&amp;SUBSTITUTE(Screener!$D$17," ","")&amp;",")),2000000,IF(IF(OR(Screener!$B$18="All",AND(Screener!$B$18="With A-share",(Database!$BM361="Y")),AND(Screener!$B$18="Without A-share",NOT((Database!$BM361="Y")))),1,0)=0,-999999,IF(Screener!$B$16="cornerstone overlap first",H361*100000,IF(Screener!$B$16="demand-similar first",J361*100000,0))+W_SUB*B361+W_SEC*C361*(1-B361)+W_SIZE*D361+W_PROF*E361+W_AH*F361+W_REC*G361+W_CS*H361+W_PE*I361)))+ROW()/1000000</f>
        <v/>
      </c>
      <c r="AA361" s="270">
        <f>Database!B350</f>
        <v/>
      </c>
      <c r="AB361" s="270">
        <f>Database!D350</f>
        <v/>
      </c>
      <c r="AC361" s="270">
        <f>Database!E350</f>
        <v/>
      </c>
      <c r="AD361" s="270">
        <f>Database!I350</f>
        <v/>
      </c>
      <c r="AE361" s="270">
        <f>Database!BG350</f>
        <v/>
      </c>
      <c r="AF361" s="270">
        <f>Database!BM350</f>
        <v/>
      </c>
      <c r="AG361" s="270">
        <f>Database!H350</f>
        <v/>
      </c>
      <c r="AH361" s="270">
        <f>Database!BH350</f>
        <v/>
      </c>
    </row>
    <row r="362">
      <c r="A362" s="270">
        <f>Database!B362</f>
        <v/>
      </c>
      <c r="B362" s="270">
        <f>IF(AND(Screener!$D$8&lt;&gt;"",Database!$E362=Screener!$D$8),1,0)</f>
        <v/>
      </c>
      <c r="C362" s="270">
        <f>IF(AND(Screener!$D$7&lt;&gt;"",Database!$D362=Screener!$D$7),1,0)</f>
        <v/>
      </c>
      <c r="D362" s="270">
        <f>IF(OR(N(Database!$I362)&lt;=0,N(Screener!$D$9)&lt;=0),0,MAX(0,1-ABS(LOG10(N(Database!$I362)/Screener!$D$9))/W_SIZEHW))</f>
        <v/>
      </c>
      <c r="E362" s="270">
        <f>IF(OR(Database!$BG362="",Screener!$D$10=""),0,IF(Database!$BG362=Screener!$D$10,1,0))</f>
        <v/>
      </c>
      <c r="F362" s="270">
        <f>IF(OR(Database!$BM362="",Screener!$D$11=""),0,IF(Database!$BM362=Screener!$D$11,1,0))</f>
        <v/>
      </c>
      <c r="G362" s="270">
        <f>IF(OR(Database!$H362="",N(Screener!$D$12)&lt;=0),0,MAX(0,1-(N(Screener!$D$12)-Database!$H362)/W_RECD))</f>
        <v/>
      </c>
      <c r="H362" s="270">
        <f>IF($U$1="",0,N(ISNUMBER(SEARCH($U$1,Database!$AC362&amp;""))))+IF($V$1="",0,N(ISNUMBER(SEARCH($V$1,Database!$AC362&amp;""))))+IF($W$1="",0,N(ISNUMBER(SEARCH($W$1,Database!$AC362&amp;""))))+IF($X$1="",0,N(ISNUMBER(SEARCH($X$1,Database!$AC362&amp;""))))+IF($Y$1="",0,N(ISNUMBER(SEARCH($Y$1,Database!$AC362&amp;""))))+IF(Screener!$B$17="",0,N(ISNUMBER(SEARCH(LOWER(Screener!$B$17),Database!$AC362&amp;""))))</f>
        <v/>
      </c>
      <c r="I362" s="270">
        <f>IF(OR(N(Database!$BH362)&lt;=0,N(Screener!$D$13)&lt;=0),0,MAX(0,1-ABS(LOG10(N(Database!$BH362)/Screener!$D$13))/W_PEHW))</f>
        <v/>
      </c>
      <c r="J362" s="270">
        <f>IF(OR(N(Database!$S362)&lt;=0,N(Screener!$D$14)&lt;=0),0,MAX(0,1-ABS(LOG10(Database!$S362/Screener!$D$14))/0.6))</f>
        <v/>
      </c>
      <c r="K362" s="270">
        <f>IF(Database!$B362=Screener!$B$5,-999999,IF(ISNUMBER(SEARCH(","&amp;Database!$A362&amp;",",","&amp;SUBSTITUTE(Screener!$D$17," ","")&amp;",")),2000000,IF(IF(OR(Screener!$B$18="All",AND(Screener!$B$18="With A-share",(Database!$BM362="Y")),AND(Screener!$B$18="Without A-share",NOT((Database!$BM362="Y")))),1,0)=0,-999999,IF(Screener!$B$16="cornerstone overlap first",H362*100000,IF(Screener!$B$16="demand-similar first",J362*100000,0))+W_SUB*B362+W_SEC*C362*(1-B362)+W_SIZE*D362+W_PROF*E362+W_AH*F362+W_REC*G362+W_CS*H362+W_PE*I362)))+ROW()/1000000</f>
        <v/>
      </c>
      <c r="AA362" s="270">
        <f>Database!B351</f>
        <v/>
      </c>
      <c r="AB362" s="270">
        <f>Database!D351</f>
        <v/>
      </c>
      <c r="AC362" s="270">
        <f>Database!E351</f>
        <v/>
      </c>
      <c r="AD362" s="270">
        <f>Database!I351</f>
        <v/>
      </c>
      <c r="AE362" s="270">
        <f>Database!BG351</f>
        <v/>
      </c>
      <c r="AF362" s="270">
        <f>Database!BM351</f>
        <v/>
      </c>
      <c r="AG362" s="270">
        <f>Database!H351</f>
        <v/>
      </c>
      <c r="AH362" s="270">
        <f>Database!BH351</f>
        <v/>
      </c>
    </row>
    <row r="363">
      <c r="A363" s="270">
        <f>Database!B363</f>
        <v/>
      </c>
      <c r="B363" s="270">
        <f>IF(AND(Screener!$D$8&lt;&gt;"",Database!$E363=Screener!$D$8),1,0)</f>
        <v/>
      </c>
      <c r="C363" s="270">
        <f>IF(AND(Screener!$D$7&lt;&gt;"",Database!$D363=Screener!$D$7),1,0)</f>
        <v/>
      </c>
      <c r="D363" s="270">
        <f>IF(OR(N(Database!$I363)&lt;=0,N(Screener!$D$9)&lt;=0),0,MAX(0,1-ABS(LOG10(N(Database!$I363)/Screener!$D$9))/W_SIZEHW))</f>
        <v/>
      </c>
      <c r="E363" s="270">
        <f>IF(OR(Database!$BG363="",Screener!$D$10=""),0,IF(Database!$BG363=Screener!$D$10,1,0))</f>
        <v/>
      </c>
      <c r="F363" s="270">
        <f>IF(OR(Database!$BM363="",Screener!$D$11=""),0,IF(Database!$BM363=Screener!$D$11,1,0))</f>
        <v/>
      </c>
      <c r="G363" s="270">
        <f>IF(OR(Database!$H363="",N(Screener!$D$12)&lt;=0),0,MAX(0,1-(N(Screener!$D$12)-Database!$H363)/W_RECD))</f>
        <v/>
      </c>
      <c r="H363" s="270">
        <f>IF($U$1="",0,N(ISNUMBER(SEARCH($U$1,Database!$AC363&amp;""))))+IF($V$1="",0,N(ISNUMBER(SEARCH($V$1,Database!$AC363&amp;""))))+IF($W$1="",0,N(ISNUMBER(SEARCH($W$1,Database!$AC363&amp;""))))+IF($X$1="",0,N(ISNUMBER(SEARCH($X$1,Database!$AC363&amp;""))))+IF($Y$1="",0,N(ISNUMBER(SEARCH($Y$1,Database!$AC363&amp;""))))+IF(Screener!$B$17="",0,N(ISNUMBER(SEARCH(LOWER(Screener!$B$17),Database!$AC363&amp;""))))</f>
        <v/>
      </c>
      <c r="I363" s="270">
        <f>IF(OR(N(Database!$BH363)&lt;=0,N(Screener!$D$13)&lt;=0),0,MAX(0,1-ABS(LOG10(N(Database!$BH363)/Screener!$D$13))/W_PEHW))</f>
        <v/>
      </c>
      <c r="J363" s="270">
        <f>IF(OR(N(Database!$S363)&lt;=0,N(Screener!$D$14)&lt;=0),0,MAX(0,1-ABS(LOG10(Database!$S363/Screener!$D$14))/0.6))</f>
        <v/>
      </c>
      <c r="K363" s="270">
        <f>IF(Database!$B363=Screener!$B$5,-999999,IF(ISNUMBER(SEARCH(","&amp;Database!$A363&amp;",",","&amp;SUBSTITUTE(Screener!$D$17," ","")&amp;",")),2000000,IF(IF(OR(Screener!$B$18="All",AND(Screener!$B$18="With A-share",(Database!$BM363="Y")),AND(Screener!$B$18="Without A-share",NOT((Database!$BM363="Y")))),1,0)=0,-999999,IF(Screener!$B$16="cornerstone overlap first",H363*100000,IF(Screener!$B$16="demand-similar first",J363*100000,0))+W_SUB*B363+W_SEC*C363*(1-B363)+W_SIZE*D363+W_PROF*E363+W_AH*F363+W_REC*G363+W_CS*H363+W_PE*I363)))+ROW()/1000000</f>
        <v/>
      </c>
      <c r="AA363" s="270">
        <f>Database!B352</f>
        <v/>
      </c>
      <c r="AB363" s="270">
        <f>Database!D352</f>
        <v/>
      </c>
      <c r="AC363" s="270">
        <f>Database!E352</f>
        <v/>
      </c>
      <c r="AD363" s="270">
        <f>Database!I352</f>
        <v/>
      </c>
      <c r="AE363" s="270">
        <f>Database!BG352</f>
        <v/>
      </c>
      <c r="AF363" s="270">
        <f>Database!BM352</f>
        <v/>
      </c>
      <c r="AG363" s="270">
        <f>Database!H352</f>
        <v/>
      </c>
      <c r="AH363" s="270">
        <f>Database!BH352</f>
        <v/>
      </c>
    </row>
    <row r="364">
      <c r="A364" s="270">
        <f>Database!B364</f>
        <v/>
      </c>
      <c r="B364" s="270">
        <f>IF(AND(Screener!$D$8&lt;&gt;"",Database!$E364=Screener!$D$8),1,0)</f>
        <v/>
      </c>
      <c r="C364" s="270">
        <f>IF(AND(Screener!$D$7&lt;&gt;"",Database!$D364=Screener!$D$7),1,0)</f>
        <v/>
      </c>
      <c r="D364" s="270">
        <f>IF(OR(N(Database!$I364)&lt;=0,N(Screener!$D$9)&lt;=0),0,MAX(0,1-ABS(LOG10(N(Database!$I364)/Screener!$D$9))/W_SIZEHW))</f>
        <v/>
      </c>
      <c r="E364" s="270">
        <f>IF(OR(Database!$BG364="",Screener!$D$10=""),0,IF(Database!$BG364=Screener!$D$10,1,0))</f>
        <v/>
      </c>
      <c r="F364" s="270">
        <f>IF(OR(Database!$BM364="",Screener!$D$11=""),0,IF(Database!$BM364=Screener!$D$11,1,0))</f>
        <v/>
      </c>
      <c r="G364" s="270">
        <f>IF(OR(Database!$H364="",N(Screener!$D$12)&lt;=0),0,MAX(0,1-(N(Screener!$D$12)-Database!$H364)/W_RECD))</f>
        <v/>
      </c>
      <c r="H364" s="270">
        <f>IF($U$1="",0,N(ISNUMBER(SEARCH($U$1,Database!$AC364&amp;""))))+IF($V$1="",0,N(ISNUMBER(SEARCH($V$1,Database!$AC364&amp;""))))+IF($W$1="",0,N(ISNUMBER(SEARCH($W$1,Database!$AC364&amp;""))))+IF($X$1="",0,N(ISNUMBER(SEARCH($X$1,Database!$AC364&amp;""))))+IF($Y$1="",0,N(ISNUMBER(SEARCH($Y$1,Database!$AC364&amp;""))))+IF(Screener!$B$17="",0,N(ISNUMBER(SEARCH(LOWER(Screener!$B$17),Database!$AC364&amp;""))))</f>
        <v/>
      </c>
      <c r="I364" s="270">
        <f>IF(OR(N(Database!$BH364)&lt;=0,N(Screener!$D$13)&lt;=0),0,MAX(0,1-ABS(LOG10(N(Database!$BH364)/Screener!$D$13))/W_PEHW))</f>
        <v/>
      </c>
      <c r="J364" s="270">
        <f>IF(OR(N(Database!$S364)&lt;=0,N(Screener!$D$14)&lt;=0),0,MAX(0,1-ABS(LOG10(Database!$S364/Screener!$D$14))/0.6))</f>
        <v/>
      </c>
      <c r="K364" s="270">
        <f>IF(Database!$B364=Screener!$B$5,-999999,IF(ISNUMBER(SEARCH(","&amp;Database!$A364&amp;",",","&amp;SUBSTITUTE(Screener!$D$17," ","")&amp;",")),2000000,IF(IF(OR(Screener!$B$18="All",AND(Screener!$B$18="With A-share",(Database!$BM364="Y")),AND(Screener!$B$18="Without A-share",NOT((Database!$BM364="Y")))),1,0)=0,-999999,IF(Screener!$B$16="cornerstone overlap first",H364*100000,IF(Screener!$B$16="demand-similar first",J364*100000,0))+W_SUB*B364+W_SEC*C364*(1-B364)+W_SIZE*D364+W_PROF*E364+W_AH*F364+W_REC*G364+W_CS*H364+W_PE*I364)))+ROW()/1000000</f>
        <v/>
      </c>
      <c r="AA364" s="270">
        <f>Database!B353</f>
        <v/>
      </c>
      <c r="AB364" s="270">
        <f>Database!D353</f>
        <v/>
      </c>
      <c r="AC364" s="270">
        <f>Database!E353</f>
        <v/>
      </c>
      <c r="AD364" s="270">
        <f>Database!I353</f>
        <v/>
      </c>
      <c r="AE364" s="270">
        <f>Database!BG353</f>
        <v/>
      </c>
      <c r="AF364" s="270">
        <f>Database!BM353</f>
        <v/>
      </c>
      <c r="AG364" s="270">
        <f>Database!H353</f>
        <v/>
      </c>
      <c r="AH364" s="270">
        <f>Database!BH353</f>
        <v/>
      </c>
    </row>
    <row r="365">
      <c r="A365" s="270">
        <f>Database!B365</f>
        <v/>
      </c>
      <c r="B365" s="270">
        <f>IF(AND(Screener!$D$8&lt;&gt;"",Database!$E365=Screener!$D$8),1,0)</f>
        <v/>
      </c>
      <c r="C365" s="270">
        <f>IF(AND(Screener!$D$7&lt;&gt;"",Database!$D365=Screener!$D$7),1,0)</f>
        <v/>
      </c>
      <c r="D365" s="270">
        <f>IF(OR(N(Database!$I365)&lt;=0,N(Screener!$D$9)&lt;=0),0,MAX(0,1-ABS(LOG10(N(Database!$I365)/Screener!$D$9))/W_SIZEHW))</f>
        <v/>
      </c>
      <c r="E365" s="270">
        <f>IF(OR(Database!$BG365="",Screener!$D$10=""),0,IF(Database!$BG365=Screener!$D$10,1,0))</f>
        <v/>
      </c>
      <c r="F365" s="270">
        <f>IF(OR(Database!$BM365="",Screener!$D$11=""),0,IF(Database!$BM365=Screener!$D$11,1,0))</f>
        <v/>
      </c>
      <c r="G365" s="270">
        <f>IF(OR(Database!$H365="",N(Screener!$D$12)&lt;=0),0,MAX(0,1-(N(Screener!$D$12)-Database!$H365)/W_RECD))</f>
        <v/>
      </c>
      <c r="H365" s="270">
        <f>IF($U$1="",0,N(ISNUMBER(SEARCH($U$1,Database!$AC365&amp;""))))+IF($V$1="",0,N(ISNUMBER(SEARCH($V$1,Database!$AC365&amp;""))))+IF($W$1="",0,N(ISNUMBER(SEARCH($W$1,Database!$AC365&amp;""))))+IF($X$1="",0,N(ISNUMBER(SEARCH($X$1,Database!$AC365&amp;""))))+IF($Y$1="",0,N(ISNUMBER(SEARCH($Y$1,Database!$AC365&amp;""))))+IF(Screener!$B$17="",0,N(ISNUMBER(SEARCH(LOWER(Screener!$B$17),Database!$AC365&amp;""))))</f>
        <v/>
      </c>
      <c r="I365" s="270">
        <f>IF(OR(N(Database!$BH365)&lt;=0,N(Screener!$D$13)&lt;=0),0,MAX(0,1-ABS(LOG10(N(Database!$BH365)/Screener!$D$13))/W_PEHW))</f>
        <v/>
      </c>
      <c r="J365" s="270">
        <f>IF(OR(N(Database!$S365)&lt;=0,N(Screener!$D$14)&lt;=0),0,MAX(0,1-ABS(LOG10(Database!$S365/Screener!$D$14))/0.6))</f>
        <v/>
      </c>
      <c r="K365" s="270">
        <f>IF(Database!$B365=Screener!$B$5,-999999,IF(ISNUMBER(SEARCH(","&amp;Database!$A365&amp;",",","&amp;SUBSTITUTE(Screener!$D$17," ","")&amp;",")),2000000,IF(IF(OR(Screener!$B$18="All",AND(Screener!$B$18="With A-share",(Database!$BM365="Y")),AND(Screener!$B$18="Without A-share",NOT((Database!$BM365="Y")))),1,0)=0,-999999,IF(Screener!$B$16="cornerstone overlap first",H365*100000,IF(Screener!$B$16="demand-similar first",J365*100000,0))+W_SUB*B365+W_SEC*C365*(1-B365)+W_SIZE*D365+W_PROF*E365+W_AH*F365+W_REC*G365+W_CS*H365+W_PE*I365)))+ROW()/1000000</f>
        <v/>
      </c>
      <c r="AA365" s="270">
        <f>Database!B354</f>
        <v/>
      </c>
      <c r="AB365" s="270">
        <f>Database!D354</f>
        <v/>
      </c>
      <c r="AC365" s="270">
        <f>Database!E354</f>
        <v/>
      </c>
      <c r="AD365" s="270">
        <f>Database!I354</f>
        <v/>
      </c>
      <c r="AE365" s="270">
        <f>Database!BG354</f>
        <v/>
      </c>
      <c r="AF365" s="270">
        <f>Database!BM354</f>
        <v/>
      </c>
      <c r="AG365" s="270">
        <f>Database!H354</f>
        <v/>
      </c>
      <c r="AH365" s="270">
        <f>Database!BH354</f>
        <v/>
      </c>
    </row>
    <row r="366">
      <c r="A366" s="270">
        <f>Database!B366</f>
        <v/>
      </c>
      <c r="B366" s="270">
        <f>IF(AND(Screener!$D$8&lt;&gt;"",Database!$E366=Screener!$D$8),1,0)</f>
        <v/>
      </c>
      <c r="C366" s="270">
        <f>IF(AND(Screener!$D$7&lt;&gt;"",Database!$D366=Screener!$D$7),1,0)</f>
        <v/>
      </c>
      <c r="D366" s="270">
        <f>IF(OR(N(Database!$I366)&lt;=0,N(Screener!$D$9)&lt;=0),0,MAX(0,1-ABS(LOG10(N(Database!$I366)/Screener!$D$9))/W_SIZEHW))</f>
        <v/>
      </c>
      <c r="E366" s="270">
        <f>IF(OR(Database!$BG366="",Screener!$D$10=""),0,IF(Database!$BG366=Screener!$D$10,1,0))</f>
        <v/>
      </c>
      <c r="F366" s="270">
        <f>IF(OR(Database!$BM366="",Screener!$D$11=""),0,IF(Database!$BM366=Screener!$D$11,1,0))</f>
        <v/>
      </c>
      <c r="G366" s="270">
        <f>IF(OR(Database!$H366="",N(Screener!$D$12)&lt;=0),0,MAX(0,1-(N(Screener!$D$12)-Database!$H366)/W_RECD))</f>
        <v/>
      </c>
      <c r="H366" s="270">
        <f>IF($U$1="",0,N(ISNUMBER(SEARCH($U$1,Database!$AC366&amp;""))))+IF($V$1="",0,N(ISNUMBER(SEARCH($V$1,Database!$AC366&amp;""))))+IF($W$1="",0,N(ISNUMBER(SEARCH($W$1,Database!$AC366&amp;""))))+IF($X$1="",0,N(ISNUMBER(SEARCH($X$1,Database!$AC366&amp;""))))+IF($Y$1="",0,N(ISNUMBER(SEARCH($Y$1,Database!$AC366&amp;""))))+IF(Screener!$B$17="",0,N(ISNUMBER(SEARCH(LOWER(Screener!$B$17),Database!$AC366&amp;""))))</f>
        <v/>
      </c>
      <c r="I366" s="270">
        <f>IF(OR(N(Database!$BH366)&lt;=0,N(Screener!$D$13)&lt;=0),0,MAX(0,1-ABS(LOG10(N(Database!$BH366)/Screener!$D$13))/W_PEHW))</f>
        <v/>
      </c>
      <c r="J366" s="270">
        <f>IF(OR(N(Database!$S366)&lt;=0,N(Screener!$D$14)&lt;=0),0,MAX(0,1-ABS(LOG10(Database!$S366/Screener!$D$14))/0.6))</f>
        <v/>
      </c>
      <c r="K366" s="270">
        <f>IF(Database!$B366=Screener!$B$5,-999999,IF(ISNUMBER(SEARCH(","&amp;Database!$A366&amp;",",","&amp;SUBSTITUTE(Screener!$D$17," ","")&amp;",")),2000000,IF(IF(OR(Screener!$B$18="All",AND(Screener!$B$18="With A-share",(Database!$BM366="Y")),AND(Screener!$B$18="Without A-share",NOT((Database!$BM366="Y")))),1,0)=0,-999999,IF(Screener!$B$16="cornerstone overlap first",H366*100000,IF(Screener!$B$16="demand-similar first",J366*100000,0))+W_SUB*B366+W_SEC*C366*(1-B366)+W_SIZE*D366+W_PROF*E366+W_AH*F366+W_REC*G366+W_CS*H366+W_PE*I366)))+ROW()/1000000</f>
        <v/>
      </c>
      <c r="AA366" s="270">
        <f>Database!B355</f>
        <v/>
      </c>
      <c r="AB366" s="270">
        <f>Database!D355</f>
        <v/>
      </c>
      <c r="AC366" s="270">
        <f>Database!E355</f>
        <v/>
      </c>
      <c r="AD366" s="270">
        <f>Database!I355</f>
        <v/>
      </c>
      <c r="AE366" s="270">
        <f>Database!BG355</f>
        <v/>
      </c>
      <c r="AF366" s="270">
        <f>Database!BM355</f>
        <v/>
      </c>
      <c r="AG366" s="270">
        <f>Database!H355</f>
        <v/>
      </c>
      <c r="AH366" s="270">
        <f>Database!BH355</f>
        <v/>
      </c>
    </row>
    <row r="367">
      <c r="A367" s="270">
        <f>Database!B367</f>
        <v/>
      </c>
      <c r="B367" s="270">
        <f>IF(AND(Screener!$D$8&lt;&gt;"",Database!$E367=Screener!$D$8),1,0)</f>
        <v/>
      </c>
      <c r="C367" s="270">
        <f>IF(AND(Screener!$D$7&lt;&gt;"",Database!$D367=Screener!$D$7),1,0)</f>
        <v/>
      </c>
      <c r="D367" s="270">
        <f>IF(OR(N(Database!$I367)&lt;=0,N(Screener!$D$9)&lt;=0),0,MAX(0,1-ABS(LOG10(N(Database!$I367)/Screener!$D$9))/W_SIZEHW))</f>
        <v/>
      </c>
      <c r="E367" s="270">
        <f>IF(OR(Database!$BG367="",Screener!$D$10=""),0,IF(Database!$BG367=Screener!$D$10,1,0))</f>
        <v/>
      </c>
      <c r="F367" s="270">
        <f>IF(OR(Database!$BM367="",Screener!$D$11=""),0,IF(Database!$BM367=Screener!$D$11,1,0))</f>
        <v/>
      </c>
      <c r="G367" s="270">
        <f>IF(OR(Database!$H367="",N(Screener!$D$12)&lt;=0),0,MAX(0,1-(N(Screener!$D$12)-Database!$H367)/W_RECD))</f>
        <v/>
      </c>
      <c r="H367" s="270">
        <f>IF($U$1="",0,N(ISNUMBER(SEARCH($U$1,Database!$AC367&amp;""))))+IF($V$1="",0,N(ISNUMBER(SEARCH($V$1,Database!$AC367&amp;""))))+IF($W$1="",0,N(ISNUMBER(SEARCH($W$1,Database!$AC367&amp;""))))+IF($X$1="",0,N(ISNUMBER(SEARCH($X$1,Database!$AC367&amp;""))))+IF($Y$1="",0,N(ISNUMBER(SEARCH($Y$1,Database!$AC367&amp;""))))+IF(Screener!$B$17="",0,N(ISNUMBER(SEARCH(LOWER(Screener!$B$17),Database!$AC367&amp;""))))</f>
        <v/>
      </c>
      <c r="I367" s="270">
        <f>IF(OR(N(Database!$BH367)&lt;=0,N(Screener!$D$13)&lt;=0),0,MAX(0,1-ABS(LOG10(N(Database!$BH367)/Screener!$D$13))/W_PEHW))</f>
        <v/>
      </c>
      <c r="J367" s="270">
        <f>IF(OR(N(Database!$S367)&lt;=0,N(Screener!$D$14)&lt;=0),0,MAX(0,1-ABS(LOG10(Database!$S367/Screener!$D$14))/0.6))</f>
        <v/>
      </c>
      <c r="K367" s="270">
        <f>IF(Database!$B367=Screener!$B$5,-999999,IF(ISNUMBER(SEARCH(","&amp;Database!$A367&amp;",",","&amp;SUBSTITUTE(Screener!$D$17," ","")&amp;",")),2000000,IF(IF(OR(Screener!$B$18="All",AND(Screener!$B$18="With A-share",(Database!$BM367="Y")),AND(Screener!$B$18="Without A-share",NOT((Database!$BM367="Y")))),1,0)=0,-999999,IF(Screener!$B$16="cornerstone overlap first",H367*100000,IF(Screener!$B$16="demand-similar first",J367*100000,0))+W_SUB*B367+W_SEC*C367*(1-B367)+W_SIZE*D367+W_PROF*E367+W_AH*F367+W_REC*G367+W_CS*H367+W_PE*I367)))+ROW()/1000000</f>
        <v/>
      </c>
      <c r="AA367" s="270">
        <f>Database!B356</f>
        <v/>
      </c>
      <c r="AB367" s="270">
        <f>Database!D356</f>
        <v/>
      </c>
      <c r="AC367" s="270">
        <f>Database!E356</f>
        <v/>
      </c>
      <c r="AD367" s="270">
        <f>Database!I356</f>
        <v/>
      </c>
      <c r="AE367" s="270">
        <f>Database!BG356</f>
        <v/>
      </c>
      <c r="AF367" s="270">
        <f>Database!BM356</f>
        <v/>
      </c>
      <c r="AG367" s="270">
        <f>Database!H356</f>
        <v/>
      </c>
      <c r="AH367" s="270">
        <f>Database!BH356</f>
        <v/>
      </c>
    </row>
    <row r="368">
      <c r="A368" s="270">
        <f>Database!B368</f>
        <v/>
      </c>
      <c r="B368" s="270">
        <f>IF(AND(Screener!$D$8&lt;&gt;"",Database!$E368=Screener!$D$8),1,0)</f>
        <v/>
      </c>
      <c r="C368" s="270">
        <f>IF(AND(Screener!$D$7&lt;&gt;"",Database!$D368=Screener!$D$7),1,0)</f>
        <v/>
      </c>
      <c r="D368" s="270">
        <f>IF(OR(N(Database!$I368)&lt;=0,N(Screener!$D$9)&lt;=0),0,MAX(0,1-ABS(LOG10(N(Database!$I368)/Screener!$D$9))/W_SIZEHW))</f>
        <v/>
      </c>
      <c r="E368" s="270">
        <f>IF(OR(Database!$BG368="",Screener!$D$10=""),0,IF(Database!$BG368=Screener!$D$10,1,0))</f>
        <v/>
      </c>
      <c r="F368" s="270">
        <f>IF(OR(Database!$BM368="",Screener!$D$11=""),0,IF(Database!$BM368=Screener!$D$11,1,0))</f>
        <v/>
      </c>
      <c r="G368" s="270">
        <f>IF(OR(Database!$H368="",N(Screener!$D$12)&lt;=0),0,MAX(0,1-(N(Screener!$D$12)-Database!$H368)/W_RECD))</f>
        <v/>
      </c>
      <c r="H368" s="270">
        <f>IF($U$1="",0,N(ISNUMBER(SEARCH($U$1,Database!$AC368&amp;""))))+IF($V$1="",0,N(ISNUMBER(SEARCH($V$1,Database!$AC368&amp;""))))+IF($W$1="",0,N(ISNUMBER(SEARCH($W$1,Database!$AC368&amp;""))))+IF($X$1="",0,N(ISNUMBER(SEARCH($X$1,Database!$AC368&amp;""))))+IF($Y$1="",0,N(ISNUMBER(SEARCH($Y$1,Database!$AC368&amp;""))))+IF(Screener!$B$17="",0,N(ISNUMBER(SEARCH(LOWER(Screener!$B$17),Database!$AC368&amp;""))))</f>
        <v/>
      </c>
      <c r="I368" s="270">
        <f>IF(OR(N(Database!$BH368)&lt;=0,N(Screener!$D$13)&lt;=0),0,MAX(0,1-ABS(LOG10(N(Database!$BH368)/Screener!$D$13))/W_PEHW))</f>
        <v/>
      </c>
      <c r="J368" s="270">
        <f>IF(OR(N(Database!$S368)&lt;=0,N(Screener!$D$14)&lt;=0),0,MAX(0,1-ABS(LOG10(Database!$S368/Screener!$D$14))/0.6))</f>
        <v/>
      </c>
      <c r="K368" s="270">
        <f>IF(Database!$B368=Screener!$B$5,-999999,IF(ISNUMBER(SEARCH(","&amp;Database!$A368&amp;",",","&amp;SUBSTITUTE(Screener!$D$17," ","")&amp;",")),2000000,IF(IF(OR(Screener!$B$18="All",AND(Screener!$B$18="With A-share",(Database!$BM368="Y")),AND(Screener!$B$18="Without A-share",NOT((Database!$BM368="Y")))),1,0)=0,-999999,IF(Screener!$B$16="cornerstone overlap first",H368*100000,IF(Screener!$B$16="demand-similar first",J368*100000,0))+W_SUB*B368+W_SEC*C368*(1-B368)+W_SIZE*D368+W_PROF*E368+W_AH*F368+W_REC*G368+W_CS*H368+W_PE*I368)))+ROW()/1000000</f>
        <v/>
      </c>
      <c r="AA368" s="270">
        <f>Database!B357</f>
        <v/>
      </c>
      <c r="AB368" s="270">
        <f>Database!D357</f>
        <v/>
      </c>
      <c r="AC368" s="270">
        <f>Database!E357</f>
        <v/>
      </c>
      <c r="AD368" s="270">
        <f>Database!I357</f>
        <v/>
      </c>
      <c r="AE368" s="270">
        <f>Database!BG357</f>
        <v/>
      </c>
      <c r="AF368" s="270">
        <f>Database!BM357</f>
        <v/>
      </c>
      <c r="AG368" s="270">
        <f>Database!H357</f>
        <v/>
      </c>
      <c r="AH368" s="270">
        <f>Database!BH357</f>
        <v/>
      </c>
    </row>
    <row r="369">
      <c r="A369" s="270">
        <f>Database!B369</f>
        <v/>
      </c>
      <c r="B369" s="270">
        <f>IF(AND(Screener!$D$8&lt;&gt;"",Database!$E369=Screener!$D$8),1,0)</f>
        <v/>
      </c>
      <c r="C369" s="270">
        <f>IF(AND(Screener!$D$7&lt;&gt;"",Database!$D369=Screener!$D$7),1,0)</f>
        <v/>
      </c>
      <c r="D369" s="270">
        <f>IF(OR(N(Database!$I369)&lt;=0,N(Screener!$D$9)&lt;=0),0,MAX(0,1-ABS(LOG10(N(Database!$I369)/Screener!$D$9))/W_SIZEHW))</f>
        <v/>
      </c>
      <c r="E369" s="270">
        <f>IF(OR(Database!$BG369="",Screener!$D$10=""),0,IF(Database!$BG369=Screener!$D$10,1,0))</f>
        <v/>
      </c>
      <c r="F369" s="270">
        <f>IF(OR(Database!$BM369="",Screener!$D$11=""),0,IF(Database!$BM369=Screener!$D$11,1,0))</f>
        <v/>
      </c>
      <c r="G369" s="270">
        <f>IF(OR(Database!$H369="",N(Screener!$D$12)&lt;=0),0,MAX(0,1-(N(Screener!$D$12)-Database!$H369)/W_RECD))</f>
        <v/>
      </c>
      <c r="H369" s="270">
        <f>IF($U$1="",0,N(ISNUMBER(SEARCH($U$1,Database!$AC369&amp;""))))+IF($V$1="",0,N(ISNUMBER(SEARCH($V$1,Database!$AC369&amp;""))))+IF($W$1="",0,N(ISNUMBER(SEARCH($W$1,Database!$AC369&amp;""))))+IF($X$1="",0,N(ISNUMBER(SEARCH($X$1,Database!$AC369&amp;""))))+IF($Y$1="",0,N(ISNUMBER(SEARCH($Y$1,Database!$AC369&amp;""))))+IF(Screener!$B$17="",0,N(ISNUMBER(SEARCH(LOWER(Screener!$B$17),Database!$AC369&amp;""))))</f>
        <v/>
      </c>
      <c r="I369" s="270">
        <f>IF(OR(N(Database!$BH369)&lt;=0,N(Screener!$D$13)&lt;=0),0,MAX(0,1-ABS(LOG10(N(Database!$BH369)/Screener!$D$13))/W_PEHW))</f>
        <v/>
      </c>
      <c r="J369" s="270">
        <f>IF(OR(N(Database!$S369)&lt;=0,N(Screener!$D$14)&lt;=0),0,MAX(0,1-ABS(LOG10(Database!$S369/Screener!$D$14))/0.6))</f>
        <v/>
      </c>
      <c r="K369" s="270">
        <f>IF(Database!$B369=Screener!$B$5,-999999,IF(ISNUMBER(SEARCH(","&amp;Database!$A369&amp;",",","&amp;SUBSTITUTE(Screener!$D$17," ","")&amp;",")),2000000,IF(IF(OR(Screener!$B$18="All",AND(Screener!$B$18="With A-share",(Database!$BM369="Y")),AND(Screener!$B$18="Without A-share",NOT((Database!$BM369="Y")))),1,0)=0,-999999,IF(Screener!$B$16="cornerstone overlap first",H369*100000,IF(Screener!$B$16="demand-similar first",J369*100000,0))+W_SUB*B369+W_SEC*C369*(1-B369)+W_SIZE*D369+W_PROF*E369+W_AH*F369+W_REC*G369+W_CS*H369+W_PE*I369)))+ROW()/1000000</f>
        <v/>
      </c>
      <c r="AA369" s="270">
        <f>Database!B358</f>
        <v/>
      </c>
      <c r="AB369" s="270">
        <f>Database!D358</f>
        <v/>
      </c>
      <c r="AC369" s="270">
        <f>Database!E358</f>
        <v/>
      </c>
      <c r="AD369" s="270">
        <f>Database!I358</f>
        <v/>
      </c>
      <c r="AE369" s="270">
        <f>Database!BG358</f>
        <v/>
      </c>
      <c r="AF369" s="270">
        <f>Database!BM358</f>
        <v/>
      </c>
      <c r="AG369" s="270">
        <f>Database!H358</f>
        <v/>
      </c>
      <c r="AH369" s="270">
        <f>Database!BH358</f>
        <v/>
      </c>
    </row>
    <row r="370">
      <c r="A370" s="270">
        <f>Database!B370</f>
        <v/>
      </c>
      <c r="B370" s="270">
        <f>IF(AND(Screener!$D$8&lt;&gt;"",Database!$E370=Screener!$D$8),1,0)</f>
        <v/>
      </c>
      <c r="C370" s="270">
        <f>IF(AND(Screener!$D$7&lt;&gt;"",Database!$D370=Screener!$D$7),1,0)</f>
        <v/>
      </c>
      <c r="D370" s="270">
        <f>IF(OR(N(Database!$I370)&lt;=0,N(Screener!$D$9)&lt;=0),0,MAX(0,1-ABS(LOG10(N(Database!$I370)/Screener!$D$9))/W_SIZEHW))</f>
        <v/>
      </c>
      <c r="E370" s="270">
        <f>IF(OR(Database!$BG370="",Screener!$D$10=""),0,IF(Database!$BG370=Screener!$D$10,1,0))</f>
        <v/>
      </c>
      <c r="F370" s="270">
        <f>IF(OR(Database!$BM370="",Screener!$D$11=""),0,IF(Database!$BM370=Screener!$D$11,1,0))</f>
        <v/>
      </c>
      <c r="G370" s="270">
        <f>IF(OR(Database!$H370="",N(Screener!$D$12)&lt;=0),0,MAX(0,1-(N(Screener!$D$12)-Database!$H370)/W_RECD))</f>
        <v/>
      </c>
      <c r="H370" s="270">
        <f>IF($U$1="",0,N(ISNUMBER(SEARCH($U$1,Database!$AC370&amp;""))))+IF($V$1="",0,N(ISNUMBER(SEARCH($V$1,Database!$AC370&amp;""))))+IF($W$1="",0,N(ISNUMBER(SEARCH($W$1,Database!$AC370&amp;""))))+IF($X$1="",0,N(ISNUMBER(SEARCH($X$1,Database!$AC370&amp;""))))+IF($Y$1="",0,N(ISNUMBER(SEARCH($Y$1,Database!$AC370&amp;""))))+IF(Screener!$B$17="",0,N(ISNUMBER(SEARCH(LOWER(Screener!$B$17),Database!$AC370&amp;""))))</f>
        <v/>
      </c>
      <c r="I370" s="270">
        <f>IF(OR(N(Database!$BH370)&lt;=0,N(Screener!$D$13)&lt;=0),0,MAX(0,1-ABS(LOG10(N(Database!$BH370)/Screener!$D$13))/W_PEHW))</f>
        <v/>
      </c>
      <c r="J370" s="270">
        <f>IF(OR(N(Database!$S370)&lt;=0,N(Screener!$D$14)&lt;=0),0,MAX(0,1-ABS(LOG10(Database!$S370/Screener!$D$14))/0.6))</f>
        <v/>
      </c>
      <c r="K370" s="270">
        <f>IF(Database!$B370=Screener!$B$5,-999999,IF(ISNUMBER(SEARCH(","&amp;Database!$A370&amp;",",","&amp;SUBSTITUTE(Screener!$D$17," ","")&amp;",")),2000000,IF(IF(OR(Screener!$B$18="All",AND(Screener!$B$18="With A-share",(Database!$BM370="Y")),AND(Screener!$B$18="Without A-share",NOT((Database!$BM370="Y")))),1,0)=0,-999999,IF(Screener!$B$16="cornerstone overlap first",H370*100000,IF(Screener!$B$16="demand-similar first",J370*100000,0))+W_SUB*B370+W_SEC*C370*(1-B370)+W_SIZE*D370+W_PROF*E370+W_AH*F370+W_REC*G370+W_CS*H370+W_PE*I370)))+ROW()/1000000</f>
        <v/>
      </c>
      <c r="AA370" s="270">
        <f>Database!B359</f>
        <v/>
      </c>
      <c r="AB370" s="270">
        <f>Database!D359</f>
        <v/>
      </c>
      <c r="AC370" s="270">
        <f>Database!E359</f>
        <v/>
      </c>
      <c r="AD370" s="270">
        <f>Database!I359</f>
        <v/>
      </c>
      <c r="AE370" s="270">
        <f>Database!BG359</f>
        <v/>
      </c>
      <c r="AF370" s="270">
        <f>Database!BM359</f>
        <v/>
      </c>
      <c r="AG370" s="270">
        <f>Database!H359</f>
        <v/>
      </c>
      <c r="AH370" s="270">
        <f>Database!BH359</f>
        <v/>
      </c>
    </row>
    <row r="371">
      <c r="A371" s="270">
        <f>Database!B371</f>
        <v/>
      </c>
      <c r="B371" s="270">
        <f>IF(AND(Screener!$D$8&lt;&gt;"",Database!$E371=Screener!$D$8),1,0)</f>
        <v/>
      </c>
      <c r="C371" s="270">
        <f>IF(AND(Screener!$D$7&lt;&gt;"",Database!$D371=Screener!$D$7),1,0)</f>
        <v/>
      </c>
      <c r="D371" s="270">
        <f>IF(OR(N(Database!$I371)&lt;=0,N(Screener!$D$9)&lt;=0),0,MAX(0,1-ABS(LOG10(N(Database!$I371)/Screener!$D$9))/W_SIZEHW))</f>
        <v/>
      </c>
      <c r="E371" s="270">
        <f>IF(OR(Database!$BG371="",Screener!$D$10=""),0,IF(Database!$BG371=Screener!$D$10,1,0))</f>
        <v/>
      </c>
      <c r="F371" s="270">
        <f>IF(OR(Database!$BM371="",Screener!$D$11=""),0,IF(Database!$BM371=Screener!$D$11,1,0))</f>
        <v/>
      </c>
      <c r="G371" s="270">
        <f>IF(OR(Database!$H371="",N(Screener!$D$12)&lt;=0),0,MAX(0,1-(N(Screener!$D$12)-Database!$H371)/W_RECD))</f>
        <v/>
      </c>
      <c r="H371" s="270">
        <f>IF($U$1="",0,N(ISNUMBER(SEARCH($U$1,Database!$AC371&amp;""))))+IF($V$1="",0,N(ISNUMBER(SEARCH($V$1,Database!$AC371&amp;""))))+IF($W$1="",0,N(ISNUMBER(SEARCH($W$1,Database!$AC371&amp;""))))+IF($X$1="",0,N(ISNUMBER(SEARCH($X$1,Database!$AC371&amp;""))))+IF($Y$1="",0,N(ISNUMBER(SEARCH($Y$1,Database!$AC371&amp;""))))+IF(Screener!$B$17="",0,N(ISNUMBER(SEARCH(LOWER(Screener!$B$17),Database!$AC371&amp;""))))</f>
        <v/>
      </c>
      <c r="I371" s="270">
        <f>IF(OR(N(Database!$BH371)&lt;=0,N(Screener!$D$13)&lt;=0),0,MAX(0,1-ABS(LOG10(N(Database!$BH371)/Screener!$D$13))/W_PEHW))</f>
        <v/>
      </c>
      <c r="J371" s="270">
        <f>IF(OR(N(Database!$S371)&lt;=0,N(Screener!$D$14)&lt;=0),0,MAX(0,1-ABS(LOG10(Database!$S371/Screener!$D$14))/0.6))</f>
        <v/>
      </c>
      <c r="K371" s="270">
        <f>IF(Database!$B371=Screener!$B$5,-999999,IF(ISNUMBER(SEARCH(","&amp;Database!$A371&amp;",",","&amp;SUBSTITUTE(Screener!$D$17," ","")&amp;",")),2000000,IF(IF(OR(Screener!$B$18="All",AND(Screener!$B$18="With A-share",(Database!$BM371="Y")),AND(Screener!$B$18="Without A-share",NOT((Database!$BM371="Y")))),1,0)=0,-999999,IF(Screener!$B$16="cornerstone overlap first",H371*100000,IF(Screener!$B$16="demand-similar first",J371*100000,0))+W_SUB*B371+W_SEC*C371*(1-B371)+W_SIZE*D371+W_PROF*E371+W_AH*F371+W_REC*G371+W_CS*H371+W_PE*I371)))+ROW()/1000000</f>
        <v/>
      </c>
      <c r="AA371" s="270">
        <f>Database!B360</f>
        <v/>
      </c>
      <c r="AB371" s="270">
        <f>Database!D360</f>
        <v/>
      </c>
      <c r="AC371" s="270">
        <f>Database!E360</f>
        <v/>
      </c>
      <c r="AD371" s="270">
        <f>Database!I360</f>
        <v/>
      </c>
      <c r="AE371" s="270">
        <f>Database!BG360</f>
        <v/>
      </c>
      <c r="AF371" s="270">
        <f>Database!BM360</f>
        <v/>
      </c>
      <c r="AG371" s="270">
        <f>Database!H360</f>
        <v/>
      </c>
      <c r="AH371" s="270">
        <f>Database!BH360</f>
        <v/>
      </c>
    </row>
    <row r="372">
      <c r="A372" s="270">
        <f>Database!B372</f>
        <v/>
      </c>
      <c r="B372" s="270">
        <f>IF(AND(Screener!$D$8&lt;&gt;"",Database!$E372=Screener!$D$8),1,0)</f>
        <v/>
      </c>
      <c r="C372" s="270">
        <f>IF(AND(Screener!$D$7&lt;&gt;"",Database!$D372=Screener!$D$7),1,0)</f>
        <v/>
      </c>
      <c r="D372" s="270">
        <f>IF(OR(N(Database!$I372)&lt;=0,N(Screener!$D$9)&lt;=0),0,MAX(0,1-ABS(LOG10(N(Database!$I372)/Screener!$D$9))/W_SIZEHW))</f>
        <v/>
      </c>
      <c r="E372" s="270">
        <f>IF(OR(Database!$BG372="",Screener!$D$10=""),0,IF(Database!$BG372=Screener!$D$10,1,0))</f>
        <v/>
      </c>
      <c r="F372" s="270">
        <f>IF(OR(Database!$BM372="",Screener!$D$11=""),0,IF(Database!$BM372=Screener!$D$11,1,0))</f>
        <v/>
      </c>
      <c r="G372" s="270">
        <f>IF(OR(Database!$H372="",N(Screener!$D$12)&lt;=0),0,MAX(0,1-(N(Screener!$D$12)-Database!$H372)/W_RECD))</f>
        <v/>
      </c>
      <c r="H372" s="270">
        <f>IF($U$1="",0,N(ISNUMBER(SEARCH($U$1,Database!$AC372&amp;""))))+IF($V$1="",0,N(ISNUMBER(SEARCH($V$1,Database!$AC372&amp;""))))+IF($W$1="",0,N(ISNUMBER(SEARCH($W$1,Database!$AC372&amp;""))))+IF($X$1="",0,N(ISNUMBER(SEARCH($X$1,Database!$AC372&amp;""))))+IF($Y$1="",0,N(ISNUMBER(SEARCH($Y$1,Database!$AC372&amp;""))))+IF(Screener!$B$17="",0,N(ISNUMBER(SEARCH(LOWER(Screener!$B$17),Database!$AC372&amp;""))))</f>
        <v/>
      </c>
      <c r="I372" s="270">
        <f>IF(OR(N(Database!$BH372)&lt;=0,N(Screener!$D$13)&lt;=0),0,MAX(0,1-ABS(LOG10(N(Database!$BH372)/Screener!$D$13))/W_PEHW))</f>
        <v/>
      </c>
      <c r="J372" s="270">
        <f>IF(OR(N(Database!$S372)&lt;=0,N(Screener!$D$14)&lt;=0),0,MAX(0,1-ABS(LOG10(Database!$S372/Screener!$D$14))/0.6))</f>
        <v/>
      </c>
      <c r="K372" s="270">
        <f>IF(Database!$B372=Screener!$B$5,-999999,IF(ISNUMBER(SEARCH(","&amp;Database!$A372&amp;",",","&amp;SUBSTITUTE(Screener!$D$17," ","")&amp;",")),2000000,IF(IF(OR(Screener!$B$18="All",AND(Screener!$B$18="With A-share",(Database!$BM372="Y")),AND(Screener!$B$18="Without A-share",NOT((Database!$BM372="Y")))),1,0)=0,-999999,IF(Screener!$B$16="cornerstone overlap first",H372*100000,IF(Screener!$B$16="demand-similar first",J372*100000,0))+W_SUB*B372+W_SEC*C372*(1-B372)+W_SIZE*D372+W_PROF*E372+W_AH*F372+W_REC*G372+W_CS*H372+W_PE*I372)))+ROW()/1000000</f>
        <v/>
      </c>
      <c r="AA372" s="270">
        <f>Database!B361</f>
        <v/>
      </c>
      <c r="AB372" s="270">
        <f>Database!D361</f>
        <v/>
      </c>
      <c r="AC372" s="270">
        <f>Database!E361</f>
        <v/>
      </c>
      <c r="AD372" s="270">
        <f>Database!I361</f>
        <v/>
      </c>
      <c r="AE372" s="270">
        <f>Database!BG361</f>
        <v/>
      </c>
      <c r="AF372" s="270">
        <f>Database!BM361</f>
        <v/>
      </c>
      <c r="AG372" s="270">
        <f>Database!H361</f>
        <v/>
      </c>
      <c r="AH372" s="270">
        <f>Database!BH361</f>
        <v/>
      </c>
    </row>
    <row r="373">
      <c r="A373" s="270">
        <f>Database!B373</f>
        <v/>
      </c>
      <c r="B373" s="270">
        <f>IF(AND(Screener!$D$8&lt;&gt;"",Database!$E373=Screener!$D$8),1,0)</f>
        <v/>
      </c>
      <c r="C373" s="270">
        <f>IF(AND(Screener!$D$7&lt;&gt;"",Database!$D373=Screener!$D$7),1,0)</f>
        <v/>
      </c>
      <c r="D373" s="270">
        <f>IF(OR(N(Database!$I373)&lt;=0,N(Screener!$D$9)&lt;=0),0,MAX(0,1-ABS(LOG10(N(Database!$I373)/Screener!$D$9))/W_SIZEHW))</f>
        <v/>
      </c>
      <c r="E373" s="270">
        <f>IF(OR(Database!$BG373="",Screener!$D$10=""),0,IF(Database!$BG373=Screener!$D$10,1,0))</f>
        <v/>
      </c>
      <c r="F373" s="270">
        <f>IF(OR(Database!$BM373="",Screener!$D$11=""),0,IF(Database!$BM373=Screener!$D$11,1,0))</f>
        <v/>
      </c>
      <c r="G373" s="270">
        <f>IF(OR(Database!$H373="",N(Screener!$D$12)&lt;=0),0,MAX(0,1-(N(Screener!$D$12)-Database!$H373)/W_RECD))</f>
        <v/>
      </c>
      <c r="H373" s="270">
        <f>IF($U$1="",0,N(ISNUMBER(SEARCH($U$1,Database!$AC373&amp;""))))+IF($V$1="",0,N(ISNUMBER(SEARCH($V$1,Database!$AC373&amp;""))))+IF($W$1="",0,N(ISNUMBER(SEARCH($W$1,Database!$AC373&amp;""))))+IF($X$1="",0,N(ISNUMBER(SEARCH($X$1,Database!$AC373&amp;""))))+IF($Y$1="",0,N(ISNUMBER(SEARCH($Y$1,Database!$AC373&amp;""))))+IF(Screener!$B$17="",0,N(ISNUMBER(SEARCH(LOWER(Screener!$B$17),Database!$AC373&amp;""))))</f>
        <v/>
      </c>
      <c r="I373" s="270">
        <f>IF(OR(N(Database!$BH373)&lt;=0,N(Screener!$D$13)&lt;=0),0,MAX(0,1-ABS(LOG10(N(Database!$BH373)/Screener!$D$13))/W_PEHW))</f>
        <v/>
      </c>
      <c r="J373" s="270">
        <f>IF(OR(N(Database!$S373)&lt;=0,N(Screener!$D$14)&lt;=0),0,MAX(0,1-ABS(LOG10(Database!$S373/Screener!$D$14))/0.6))</f>
        <v/>
      </c>
      <c r="K373" s="270">
        <f>IF(Database!$B373=Screener!$B$5,-999999,IF(ISNUMBER(SEARCH(","&amp;Database!$A373&amp;",",","&amp;SUBSTITUTE(Screener!$D$17," ","")&amp;",")),2000000,IF(IF(OR(Screener!$B$18="All",AND(Screener!$B$18="With A-share",(Database!$BM373="Y")),AND(Screener!$B$18="Without A-share",NOT((Database!$BM373="Y")))),1,0)=0,-999999,IF(Screener!$B$16="cornerstone overlap first",H373*100000,IF(Screener!$B$16="demand-similar first",J373*100000,0))+W_SUB*B373+W_SEC*C373*(1-B373)+W_SIZE*D373+W_PROF*E373+W_AH*F373+W_REC*G373+W_CS*H373+W_PE*I373)))+ROW()/1000000</f>
        <v/>
      </c>
      <c r="AA373" s="270">
        <f>Database!B362</f>
        <v/>
      </c>
      <c r="AB373" s="270">
        <f>Database!D362</f>
        <v/>
      </c>
      <c r="AC373" s="270">
        <f>Database!E362</f>
        <v/>
      </c>
      <c r="AD373" s="270">
        <f>Database!I362</f>
        <v/>
      </c>
      <c r="AE373" s="270">
        <f>Database!BG362</f>
        <v/>
      </c>
      <c r="AF373" s="270">
        <f>Database!BM362</f>
        <v/>
      </c>
      <c r="AG373" s="270">
        <f>Database!H362</f>
        <v/>
      </c>
      <c r="AH373" s="270">
        <f>Database!BH362</f>
        <v/>
      </c>
    </row>
    <row r="374">
      <c r="A374" s="270">
        <f>Database!B374</f>
        <v/>
      </c>
      <c r="B374" s="270">
        <f>IF(AND(Screener!$D$8&lt;&gt;"",Database!$E374=Screener!$D$8),1,0)</f>
        <v/>
      </c>
      <c r="C374" s="270">
        <f>IF(AND(Screener!$D$7&lt;&gt;"",Database!$D374=Screener!$D$7),1,0)</f>
        <v/>
      </c>
      <c r="D374" s="270">
        <f>IF(OR(N(Database!$I374)&lt;=0,N(Screener!$D$9)&lt;=0),0,MAX(0,1-ABS(LOG10(N(Database!$I374)/Screener!$D$9))/W_SIZEHW))</f>
        <v/>
      </c>
      <c r="E374" s="270">
        <f>IF(OR(Database!$BG374="",Screener!$D$10=""),0,IF(Database!$BG374=Screener!$D$10,1,0))</f>
        <v/>
      </c>
      <c r="F374" s="270">
        <f>IF(OR(Database!$BM374="",Screener!$D$11=""),0,IF(Database!$BM374=Screener!$D$11,1,0))</f>
        <v/>
      </c>
      <c r="G374" s="270">
        <f>IF(OR(Database!$H374="",N(Screener!$D$12)&lt;=0),0,MAX(0,1-(N(Screener!$D$12)-Database!$H374)/W_RECD))</f>
        <v/>
      </c>
      <c r="H374" s="270">
        <f>IF($U$1="",0,N(ISNUMBER(SEARCH($U$1,Database!$AC374&amp;""))))+IF($V$1="",0,N(ISNUMBER(SEARCH($V$1,Database!$AC374&amp;""))))+IF($W$1="",0,N(ISNUMBER(SEARCH($W$1,Database!$AC374&amp;""))))+IF($X$1="",0,N(ISNUMBER(SEARCH($X$1,Database!$AC374&amp;""))))+IF($Y$1="",0,N(ISNUMBER(SEARCH($Y$1,Database!$AC374&amp;""))))+IF(Screener!$B$17="",0,N(ISNUMBER(SEARCH(LOWER(Screener!$B$17),Database!$AC374&amp;""))))</f>
        <v/>
      </c>
      <c r="I374" s="270">
        <f>IF(OR(N(Database!$BH374)&lt;=0,N(Screener!$D$13)&lt;=0),0,MAX(0,1-ABS(LOG10(N(Database!$BH374)/Screener!$D$13))/W_PEHW))</f>
        <v/>
      </c>
      <c r="J374" s="270">
        <f>IF(OR(N(Database!$S374)&lt;=0,N(Screener!$D$14)&lt;=0),0,MAX(0,1-ABS(LOG10(Database!$S374/Screener!$D$14))/0.6))</f>
        <v/>
      </c>
      <c r="K374" s="270">
        <f>IF(Database!$B374=Screener!$B$5,-999999,IF(ISNUMBER(SEARCH(","&amp;Database!$A374&amp;",",","&amp;SUBSTITUTE(Screener!$D$17," ","")&amp;",")),2000000,IF(IF(OR(Screener!$B$18="All",AND(Screener!$B$18="With A-share",(Database!$BM374="Y")),AND(Screener!$B$18="Without A-share",NOT((Database!$BM374="Y")))),1,0)=0,-999999,IF(Screener!$B$16="cornerstone overlap first",H374*100000,IF(Screener!$B$16="demand-similar first",J374*100000,0))+W_SUB*B374+W_SEC*C374*(1-B374)+W_SIZE*D374+W_PROF*E374+W_AH*F374+W_REC*G374+W_CS*H374+W_PE*I374)))+ROW()/1000000</f>
        <v/>
      </c>
      <c r="AA374" s="270">
        <f>Database!B363</f>
        <v/>
      </c>
      <c r="AB374" s="270">
        <f>Database!D363</f>
        <v/>
      </c>
      <c r="AC374" s="270">
        <f>Database!E363</f>
        <v/>
      </c>
      <c r="AD374" s="270">
        <f>Database!I363</f>
        <v/>
      </c>
      <c r="AE374" s="270">
        <f>Database!BG363</f>
        <v/>
      </c>
      <c r="AF374" s="270">
        <f>Database!BM363</f>
        <v/>
      </c>
      <c r="AG374" s="270">
        <f>Database!H363</f>
        <v/>
      </c>
      <c r="AH374" s="270">
        <f>Database!BH363</f>
        <v/>
      </c>
    </row>
    <row r="375">
      <c r="A375" s="270">
        <f>Database!B375</f>
        <v/>
      </c>
      <c r="B375" s="270">
        <f>IF(AND(Screener!$D$8&lt;&gt;"",Database!$E375=Screener!$D$8),1,0)</f>
        <v/>
      </c>
      <c r="C375" s="270">
        <f>IF(AND(Screener!$D$7&lt;&gt;"",Database!$D375=Screener!$D$7),1,0)</f>
        <v/>
      </c>
      <c r="D375" s="270">
        <f>IF(OR(N(Database!$I375)&lt;=0,N(Screener!$D$9)&lt;=0),0,MAX(0,1-ABS(LOG10(N(Database!$I375)/Screener!$D$9))/W_SIZEHW))</f>
        <v/>
      </c>
      <c r="E375" s="270">
        <f>IF(OR(Database!$BG375="",Screener!$D$10=""),0,IF(Database!$BG375=Screener!$D$10,1,0))</f>
        <v/>
      </c>
      <c r="F375" s="270">
        <f>IF(OR(Database!$BM375="",Screener!$D$11=""),0,IF(Database!$BM375=Screener!$D$11,1,0))</f>
        <v/>
      </c>
      <c r="G375" s="270">
        <f>IF(OR(Database!$H375="",N(Screener!$D$12)&lt;=0),0,MAX(0,1-(N(Screener!$D$12)-Database!$H375)/W_RECD))</f>
        <v/>
      </c>
      <c r="H375" s="270">
        <f>IF($U$1="",0,N(ISNUMBER(SEARCH($U$1,Database!$AC375&amp;""))))+IF($V$1="",0,N(ISNUMBER(SEARCH($V$1,Database!$AC375&amp;""))))+IF($W$1="",0,N(ISNUMBER(SEARCH($W$1,Database!$AC375&amp;""))))+IF($X$1="",0,N(ISNUMBER(SEARCH($X$1,Database!$AC375&amp;""))))+IF($Y$1="",0,N(ISNUMBER(SEARCH($Y$1,Database!$AC375&amp;""))))+IF(Screener!$B$17="",0,N(ISNUMBER(SEARCH(LOWER(Screener!$B$17),Database!$AC375&amp;""))))</f>
        <v/>
      </c>
      <c r="I375" s="270">
        <f>IF(OR(N(Database!$BH375)&lt;=0,N(Screener!$D$13)&lt;=0),0,MAX(0,1-ABS(LOG10(N(Database!$BH375)/Screener!$D$13))/W_PEHW))</f>
        <v/>
      </c>
      <c r="J375" s="270">
        <f>IF(OR(N(Database!$S375)&lt;=0,N(Screener!$D$14)&lt;=0),0,MAX(0,1-ABS(LOG10(Database!$S375/Screener!$D$14))/0.6))</f>
        <v/>
      </c>
      <c r="K375" s="270">
        <f>IF(Database!$B375=Screener!$B$5,-999999,IF(ISNUMBER(SEARCH(","&amp;Database!$A375&amp;",",","&amp;SUBSTITUTE(Screener!$D$17," ","")&amp;",")),2000000,IF(IF(OR(Screener!$B$18="All",AND(Screener!$B$18="With A-share",(Database!$BM375="Y")),AND(Screener!$B$18="Without A-share",NOT((Database!$BM375="Y")))),1,0)=0,-999999,IF(Screener!$B$16="cornerstone overlap first",H375*100000,IF(Screener!$B$16="demand-similar first",J375*100000,0))+W_SUB*B375+W_SEC*C375*(1-B375)+W_SIZE*D375+W_PROF*E375+W_AH*F375+W_REC*G375+W_CS*H375+W_PE*I375)))+ROW()/1000000</f>
        <v/>
      </c>
      <c r="AA375" s="270">
        <f>Database!B364</f>
        <v/>
      </c>
      <c r="AB375" s="270">
        <f>Database!D364</f>
        <v/>
      </c>
      <c r="AC375" s="270">
        <f>Database!E364</f>
        <v/>
      </c>
      <c r="AD375" s="270">
        <f>Database!I364</f>
        <v/>
      </c>
      <c r="AE375" s="270">
        <f>Database!BG364</f>
        <v/>
      </c>
      <c r="AF375" s="270">
        <f>Database!BM364</f>
        <v/>
      </c>
      <c r="AG375" s="270">
        <f>Database!H364</f>
        <v/>
      </c>
      <c r="AH375" s="270">
        <f>Database!BH364</f>
        <v/>
      </c>
    </row>
    <row r="376">
      <c r="A376" s="270">
        <f>Database!B376</f>
        <v/>
      </c>
      <c r="B376" s="270">
        <f>IF(AND(Screener!$D$8&lt;&gt;"",Database!$E376=Screener!$D$8),1,0)</f>
        <v/>
      </c>
      <c r="C376" s="270">
        <f>IF(AND(Screener!$D$7&lt;&gt;"",Database!$D376=Screener!$D$7),1,0)</f>
        <v/>
      </c>
      <c r="D376" s="270">
        <f>IF(OR(N(Database!$I376)&lt;=0,N(Screener!$D$9)&lt;=0),0,MAX(0,1-ABS(LOG10(N(Database!$I376)/Screener!$D$9))/W_SIZEHW))</f>
        <v/>
      </c>
      <c r="E376" s="270">
        <f>IF(OR(Database!$BG376="",Screener!$D$10=""),0,IF(Database!$BG376=Screener!$D$10,1,0))</f>
        <v/>
      </c>
      <c r="F376" s="270">
        <f>IF(OR(Database!$BM376="",Screener!$D$11=""),0,IF(Database!$BM376=Screener!$D$11,1,0))</f>
        <v/>
      </c>
      <c r="G376" s="270">
        <f>IF(OR(Database!$H376="",N(Screener!$D$12)&lt;=0),0,MAX(0,1-(N(Screener!$D$12)-Database!$H376)/W_RECD))</f>
        <v/>
      </c>
      <c r="H376" s="270">
        <f>IF($U$1="",0,N(ISNUMBER(SEARCH($U$1,Database!$AC376&amp;""))))+IF($V$1="",0,N(ISNUMBER(SEARCH($V$1,Database!$AC376&amp;""))))+IF($W$1="",0,N(ISNUMBER(SEARCH($W$1,Database!$AC376&amp;""))))+IF($X$1="",0,N(ISNUMBER(SEARCH($X$1,Database!$AC376&amp;""))))+IF($Y$1="",0,N(ISNUMBER(SEARCH($Y$1,Database!$AC376&amp;""))))+IF(Screener!$B$17="",0,N(ISNUMBER(SEARCH(LOWER(Screener!$B$17),Database!$AC376&amp;""))))</f>
        <v/>
      </c>
      <c r="I376" s="270">
        <f>IF(OR(N(Database!$BH376)&lt;=0,N(Screener!$D$13)&lt;=0),0,MAX(0,1-ABS(LOG10(N(Database!$BH376)/Screener!$D$13))/W_PEHW))</f>
        <v/>
      </c>
      <c r="J376" s="270">
        <f>IF(OR(N(Database!$S376)&lt;=0,N(Screener!$D$14)&lt;=0),0,MAX(0,1-ABS(LOG10(Database!$S376/Screener!$D$14))/0.6))</f>
        <v/>
      </c>
      <c r="K376" s="270">
        <f>IF(Database!$B376=Screener!$B$5,-999999,IF(ISNUMBER(SEARCH(","&amp;Database!$A376&amp;",",","&amp;SUBSTITUTE(Screener!$D$17," ","")&amp;",")),2000000,IF(IF(OR(Screener!$B$18="All",AND(Screener!$B$18="With A-share",(Database!$BM376="Y")),AND(Screener!$B$18="Without A-share",NOT((Database!$BM376="Y")))),1,0)=0,-999999,IF(Screener!$B$16="cornerstone overlap first",H376*100000,IF(Screener!$B$16="demand-similar first",J376*100000,0))+W_SUB*B376+W_SEC*C376*(1-B376)+W_SIZE*D376+W_PROF*E376+W_AH*F376+W_REC*G376+W_CS*H376+W_PE*I376)))+ROW()/1000000</f>
        <v/>
      </c>
      <c r="AA376" s="270">
        <f>Database!B365</f>
        <v/>
      </c>
      <c r="AB376" s="270">
        <f>Database!D365</f>
        <v/>
      </c>
      <c r="AC376" s="270">
        <f>Database!E365</f>
        <v/>
      </c>
      <c r="AD376" s="270">
        <f>Database!I365</f>
        <v/>
      </c>
      <c r="AE376" s="270">
        <f>Database!BG365</f>
        <v/>
      </c>
      <c r="AF376" s="270">
        <f>Database!BM365</f>
        <v/>
      </c>
      <c r="AG376" s="270">
        <f>Database!H365</f>
        <v/>
      </c>
      <c r="AH376" s="270">
        <f>Database!BH365</f>
        <v/>
      </c>
    </row>
    <row r="377">
      <c r="A377" s="270">
        <f>Database!B377</f>
        <v/>
      </c>
      <c r="B377" s="270">
        <f>IF(AND(Screener!$D$8&lt;&gt;"",Database!$E377=Screener!$D$8),1,0)</f>
        <v/>
      </c>
      <c r="C377" s="270">
        <f>IF(AND(Screener!$D$7&lt;&gt;"",Database!$D377=Screener!$D$7),1,0)</f>
        <v/>
      </c>
      <c r="D377" s="270">
        <f>IF(OR(N(Database!$I377)&lt;=0,N(Screener!$D$9)&lt;=0),0,MAX(0,1-ABS(LOG10(N(Database!$I377)/Screener!$D$9))/W_SIZEHW))</f>
        <v/>
      </c>
      <c r="E377" s="270">
        <f>IF(OR(Database!$BG377="",Screener!$D$10=""),0,IF(Database!$BG377=Screener!$D$10,1,0))</f>
        <v/>
      </c>
      <c r="F377" s="270">
        <f>IF(OR(Database!$BM377="",Screener!$D$11=""),0,IF(Database!$BM377=Screener!$D$11,1,0))</f>
        <v/>
      </c>
      <c r="G377" s="270">
        <f>IF(OR(Database!$H377="",N(Screener!$D$12)&lt;=0),0,MAX(0,1-(N(Screener!$D$12)-Database!$H377)/W_RECD))</f>
        <v/>
      </c>
      <c r="H377" s="270">
        <f>IF($U$1="",0,N(ISNUMBER(SEARCH($U$1,Database!$AC377&amp;""))))+IF($V$1="",0,N(ISNUMBER(SEARCH($V$1,Database!$AC377&amp;""))))+IF($W$1="",0,N(ISNUMBER(SEARCH($W$1,Database!$AC377&amp;""))))+IF($X$1="",0,N(ISNUMBER(SEARCH($X$1,Database!$AC377&amp;""))))+IF($Y$1="",0,N(ISNUMBER(SEARCH($Y$1,Database!$AC377&amp;""))))+IF(Screener!$B$17="",0,N(ISNUMBER(SEARCH(LOWER(Screener!$B$17),Database!$AC377&amp;""))))</f>
        <v/>
      </c>
      <c r="I377" s="270">
        <f>IF(OR(N(Database!$BH377)&lt;=0,N(Screener!$D$13)&lt;=0),0,MAX(0,1-ABS(LOG10(N(Database!$BH377)/Screener!$D$13))/W_PEHW))</f>
        <v/>
      </c>
      <c r="J377" s="270">
        <f>IF(OR(N(Database!$S377)&lt;=0,N(Screener!$D$14)&lt;=0),0,MAX(0,1-ABS(LOG10(Database!$S377/Screener!$D$14))/0.6))</f>
        <v/>
      </c>
      <c r="K377" s="270">
        <f>IF(Database!$B377=Screener!$B$5,-999999,IF(ISNUMBER(SEARCH(","&amp;Database!$A377&amp;",",","&amp;SUBSTITUTE(Screener!$D$17," ","")&amp;",")),2000000,IF(IF(OR(Screener!$B$18="All",AND(Screener!$B$18="With A-share",(Database!$BM377="Y")),AND(Screener!$B$18="Without A-share",NOT((Database!$BM377="Y")))),1,0)=0,-999999,IF(Screener!$B$16="cornerstone overlap first",H377*100000,IF(Screener!$B$16="demand-similar first",J377*100000,0))+W_SUB*B377+W_SEC*C377*(1-B377)+W_SIZE*D377+W_PROF*E377+W_AH*F377+W_REC*G377+W_CS*H377+W_PE*I377)))+ROW()/1000000</f>
        <v/>
      </c>
      <c r="AA377" s="270">
        <f>Database!B366</f>
        <v/>
      </c>
      <c r="AB377" s="270">
        <f>Database!D366</f>
        <v/>
      </c>
      <c r="AC377" s="270">
        <f>Database!E366</f>
        <v/>
      </c>
      <c r="AD377" s="270">
        <f>Database!I366</f>
        <v/>
      </c>
      <c r="AE377" s="270">
        <f>Database!BG366</f>
        <v/>
      </c>
      <c r="AF377" s="270">
        <f>Database!BM366</f>
        <v/>
      </c>
      <c r="AG377" s="270">
        <f>Database!H366</f>
        <v/>
      </c>
      <c r="AH377" s="270">
        <f>Database!BH366</f>
        <v/>
      </c>
    </row>
    <row r="378">
      <c r="A378" s="270">
        <f>Database!B378</f>
        <v/>
      </c>
      <c r="B378" s="270">
        <f>IF(AND(Screener!$D$8&lt;&gt;"",Database!$E378=Screener!$D$8),1,0)</f>
        <v/>
      </c>
      <c r="C378" s="270">
        <f>IF(AND(Screener!$D$7&lt;&gt;"",Database!$D378=Screener!$D$7),1,0)</f>
        <v/>
      </c>
      <c r="D378" s="270">
        <f>IF(OR(N(Database!$I378)&lt;=0,N(Screener!$D$9)&lt;=0),0,MAX(0,1-ABS(LOG10(N(Database!$I378)/Screener!$D$9))/W_SIZEHW))</f>
        <v/>
      </c>
      <c r="E378" s="270">
        <f>IF(OR(Database!$BG378="",Screener!$D$10=""),0,IF(Database!$BG378=Screener!$D$10,1,0))</f>
        <v/>
      </c>
      <c r="F378" s="270">
        <f>IF(OR(Database!$BM378="",Screener!$D$11=""),0,IF(Database!$BM378=Screener!$D$11,1,0))</f>
        <v/>
      </c>
      <c r="G378" s="270">
        <f>IF(OR(Database!$H378="",N(Screener!$D$12)&lt;=0),0,MAX(0,1-(N(Screener!$D$12)-Database!$H378)/W_RECD))</f>
        <v/>
      </c>
      <c r="H378" s="270">
        <f>IF($U$1="",0,N(ISNUMBER(SEARCH($U$1,Database!$AC378&amp;""))))+IF($V$1="",0,N(ISNUMBER(SEARCH($V$1,Database!$AC378&amp;""))))+IF($W$1="",0,N(ISNUMBER(SEARCH($W$1,Database!$AC378&amp;""))))+IF($X$1="",0,N(ISNUMBER(SEARCH($X$1,Database!$AC378&amp;""))))+IF($Y$1="",0,N(ISNUMBER(SEARCH($Y$1,Database!$AC378&amp;""))))+IF(Screener!$B$17="",0,N(ISNUMBER(SEARCH(LOWER(Screener!$B$17),Database!$AC378&amp;""))))</f>
        <v/>
      </c>
      <c r="I378" s="270">
        <f>IF(OR(N(Database!$BH378)&lt;=0,N(Screener!$D$13)&lt;=0),0,MAX(0,1-ABS(LOG10(N(Database!$BH378)/Screener!$D$13))/W_PEHW))</f>
        <v/>
      </c>
      <c r="J378" s="270">
        <f>IF(OR(N(Database!$S378)&lt;=0,N(Screener!$D$14)&lt;=0),0,MAX(0,1-ABS(LOG10(Database!$S378/Screener!$D$14))/0.6))</f>
        <v/>
      </c>
      <c r="K378" s="270">
        <f>IF(Database!$B378=Screener!$B$5,-999999,IF(ISNUMBER(SEARCH(","&amp;Database!$A378&amp;",",","&amp;SUBSTITUTE(Screener!$D$17," ","")&amp;",")),2000000,IF(IF(OR(Screener!$B$18="All",AND(Screener!$B$18="With A-share",(Database!$BM378="Y")),AND(Screener!$B$18="Without A-share",NOT((Database!$BM378="Y")))),1,0)=0,-999999,IF(Screener!$B$16="cornerstone overlap first",H378*100000,IF(Screener!$B$16="demand-similar first",J378*100000,0))+W_SUB*B378+W_SEC*C378*(1-B378)+W_SIZE*D378+W_PROF*E378+W_AH*F378+W_REC*G378+W_CS*H378+W_PE*I378)))+ROW()/1000000</f>
        <v/>
      </c>
      <c r="AA378" s="270">
        <f>Database!B367</f>
        <v/>
      </c>
      <c r="AB378" s="270">
        <f>Database!D367</f>
        <v/>
      </c>
      <c r="AC378" s="270">
        <f>Database!E367</f>
        <v/>
      </c>
      <c r="AD378" s="270">
        <f>Database!I367</f>
        <v/>
      </c>
      <c r="AE378" s="270">
        <f>Database!BG367</f>
        <v/>
      </c>
      <c r="AF378" s="270">
        <f>Database!BM367</f>
        <v/>
      </c>
      <c r="AG378" s="270">
        <f>Database!H367</f>
        <v/>
      </c>
      <c r="AH378" s="270">
        <f>Database!BH367</f>
        <v/>
      </c>
    </row>
    <row r="379">
      <c r="A379" s="270">
        <f>Database!B379</f>
        <v/>
      </c>
      <c r="B379" s="270">
        <f>IF(AND(Screener!$D$8&lt;&gt;"",Database!$E379=Screener!$D$8),1,0)</f>
        <v/>
      </c>
      <c r="C379" s="270">
        <f>IF(AND(Screener!$D$7&lt;&gt;"",Database!$D379=Screener!$D$7),1,0)</f>
        <v/>
      </c>
      <c r="D379" s="270">
        <f>IF(OR(N(Database!$I379)&lt;=0,N(Screener!$D$9)&lt;=0),0,MAX(0,1-ABS(LOG10(N(Database!$I379)/Screener!$D$9))/W_SIZEHW))</f>
        <v/>
      </c>
      <c r="E379" s="270">
        <f>IF(OR(Database!$BG379="",Screener!$D$10=""),0,IF(Database!$BG379=Screener!$D$10,1,0))</f>
        <v/>
      </c>
      <c r="F379" s="270">
        <f>IF(OR(Database!$BM379="",Screener!$D$11=""),0,IF(Database!$BM379=Screener!$D$11,1,0))</f>
        <v/>
      </c>
      <c r="G379" s="270">
        <f>IF(OR(Database!$H379="",N(Screener!$D$12)&lt;=0),0,MAX(0,1-(N(Screener!$D$12)-Database!$H379)/W_RECD))</f>
        <v/>
      </c>
      <c r="H379" s="270">
        <f>IF($U$1="",0,N(ISNUMBER(SEARCH($U$1,Database!$AC379&amp;""))))+IF($V$1="",0,N(ISNUMBER(SEARCH($V$1,Database!$AC379&amp;""))))+IF($W$1="",0,N(ISNUMBER(SEARCH($W$1,Database!$AC379&amp;""))))+IF($X$1="",0,N(ISNUMBER(SEARCH($X$1,Database!$AC379&amp;""))))+IF($Y$1="",0,N(ISNUMBER(SEARCH($Y$1,Database!$AC379&amp;""))))+IF(Screener!$B$17="",0,N(ISNUMBER(SEARCH(LOWER(Screener!$B$17),Database!$AC379&amp;""))))</f>
        <v/>
      </c>
      <c r="I379" s="270">
        <f>IF(OR(N(Database!$BH379)&lt;=0,N(Screener!$D$13)&lt;=0),0,MAX(0,1-ABS(LOG10(N(Database!$BH379)/Screener!$D$13))/W_PEHW))</f>
        <v/>
      </c>
      <c r="J379" s="270">
        <f>IF(OR(N(Database!$S379)&lt;=0,N(Screener!$D$14)&lt;=0),0,MAX(0,1-ABS(LOG10(Database!$S379/Screener!$D$14))/0.6))</f>
        <v/>
      </c>
      <c r="K379" s="270">
        <f>IF(Database!$B379=Screener!$B$5,-999999,IF(ISNUMBER(SEARCH(","&amp;Database!$A379&amp;",",","&amp;SUBSTITUTE(Screener!$D$17," ","")&amp;",")),2000000,IF(IF(OR(Screener!$B$18="All",AND(Screener!$B$18="With A-share",(Database!$BM379="Y")),AND(Screener!$B$18="Without A-share",NOT((Database!$BM379="Y")))),1,0)=0,-999999,IF(Screener!$B$16="cornerstone overlap first",H379*100000,IF(Screener!$B$16="demand-similar first",J379*100000,0))+W_SUB*B379+W_SEC*C379*(1-B379)+W_SIZE*D379+W_PROF*E379+W_AH*F379+W_REC*G379+W_CS*H379+W_PE*I379)))+ROW()/1000000</f>
        <v/>
      </c>
      <c r="AA379" s="270">
        <f>Database!B368</f>
        <v/>
      </c>
      <c r="AB379" s="270">
        <f>Database!D368</f>
        <v/>
      </c>
      <c r="AC379" s="270">
        <f>Database!E368</f>
        <v/>
      </c>
      <c r="AD379" s="270">
        <f>Database!I368</f>
        <v/>
      </c>
      <c r="AE379" s="270">
        <f>Database!BG368</f>
        <v/>
      </c>
      <c r="AF379" s="270">
        <f>Database!BM368</f>
        <v/>
      </c>
      <c r="AG379" s="270">
        <f>Database!H368</f>
        <v/>
      </c>
      <c r="AH379" s="270">
        <f>Database!BH368</f>
        <v/>
      </c>
    </row>
    <row r="380">
      <c r="A380" s="270">
        <f>Database!B380</f>
        <v/>
      </c>
      <c r="B380" s="270">
        <f>IF(AND(Screener!$D$8&lt;&gt;"",Database!$E380=Screener!$D$8),1,0)</f>
        <v/>
      </c>
      <c r="C380" s="270">
        <f>IF(AND(Screener!$D$7&lt;&gt;"",Database!$D380=Screener!$D$7),1,0)</f>
        <v/>
      </c>
      <c r="D380" s="270">
        <f>IF(OR(N(Database!$I380)&lt;=0,N(Screener!$D$9)&lt;=0),0,MAX(0,1-ABS(LOG10(N(Database!$I380)/Screener!$D$9))/W_SIZEHW))</f>
        <v/>
      </c>
      <c r="E380" s="270">
        <f>IF(OR(Database!$BG380="",Screener!$D$10=""),0,IF(Database!$BG380=Screener!$D$10,1,0))</f>
        <v/>
      </c>
      <c r="F380" s="270">
        <f>IF(OR(Database!$BM380="",Screener!$D$11=""),0,IF(Database!$BM380=Screener!$D$11,1,0))</f>
        <v/>
      </c>
      <c r="G380" s="270">
        <f>IF(OR(Database!$H380="",N(Screener!$D$12)&lt;=0),0,MAX(0,1-(N(Screener!$D$12)-Database!$H380)/W_RECD))</f>
        <v/>
      </c>
      <c r="H380" s="270">
        <f>IF($U$1="",0,N(ISNUMBER(SEARCH($U$1,Database!$AC380&amp;""))))+IF($V$1="",0,N(ISNUMBER(SEARCH($V$1,Database!$AC380&amp;""))))+IF($W$1="",0,N(ISNUMBER(SEARCH($W$1,Database!$AC380&amp;""))))+IF($X$1="",0,N(ISNUMBER(SEARCH($X$1,Database!$AC380&amp;""))))+IF($Y$1="",0,N(ISNUMBER(SEARCH($Y$1,Database!$AC380&amp;""))))+IF(Screener!$B$17="",0,N(ISNUMBER(SEARCH(LOWER(Screener!$B$17),Database!$AC380&amp;""))))</f>
        <v/>
      </c>
      <c r="I380" s="270">
        <f>IF(OR(N(Database!$BH380)&lt;=0,N(Screener!$D$13)&lt;=0),0,MAX(0,1-ABS(LOG10(N(Database!$BH380)/Screener!$D$13))/W_PEHW))</f>
        <v/>
      </c>
      <c r="J380" s="270">
        <f>IF(OR(N(Database!$S380)&lt;=0,N(Screener!$D$14)&lt;=0),0,MAX(0,1-ABS(LOG10(Database!$S380/Screener!$D$14))/0.6))</f>
        <v/>
      </c>
      <c r="K380" s="270">
        <f>IF(Database!$B380=Screener!$B$5,-999999,IF(ISNUMBER(SEARCH(","&amp;Database!$A380&amp;",",","&amp;SUBSTITUTE(Screener!$D$17," ","")&amp;",")),2000000,IF(IF(OR(Screener!$B$18="All",AND(Screener!$B$18="With A-share",(Database!$BM380="Y")),AND(Screener!$B$18="Without A-share",NOT((Database!$BM380="Y")))),1,0)=0,-999999,IF(Screener!$B$16="cornerstone overlap first",H380*100000,IF(Screener!$B$16="demand-similar first",J380*100000,0))+W_SUB*B380+W_SEC*C380*(1-B380)+W_SIZE*D380+W_PROF*E380+W_AH*F380+W_REC*G380+W_CS*H380+W_PE*I380)))+ROW()/1000000</f>
        <v/>
      </c>
      <c r="AA380" s="270">
        <f>Database!B369</f>
        <v/>
      </c>
      <c r="AB380" s="270">
        <f>Database!D369</f>
        <v/>
      </c>
      <c r="AC380" s="270">
        <f>Database!E369</f>
        <v/>
      </c>
      <c r="AD380" s="270">
        <f>Database!I369</f>
        <v/>
      </c>
      <c r="AE380" s="270">
        <f>Database!BG369</f>
        <v/>
      </c>
      <c r="AF380" s="270">
        <f>Database!BM369</f>
        <v/>
      </c>
      <c r="AG380" s="270">
        <f>Database!H369</f>
        <v/>
      </c>
      <c r="AH380" s="270">
        <f>Database!BH369</f>
        <v/>
      </c>
    </row>
    <row r="381">
      <c r="A381" s="270">
        <f>Database!B381</f>
        <v/>
      </c>
      <c r="B381" s="270">
        <f>IF(AND(Screener!$D$8&lt;&gt;"",Database!$E381=Screener!$D$8),1,0)</f>
        <v/>
      </c>
      <c r="C381" s="270">
        <f>IF(AND(Screener!$D$7&lt;&gt;"",Database!$D381=Screener!$D$7),1,0)</f>
        <v/>
      </c>
      <c r="D381" s="270">
        <f>IF(OR(N(Database!$I381)&lt;=0,N(Screener!$D$9)&lt;=0),0,MAX(0,1-ABS(LOG10(N(Database!$I381)/Screener!$D$9))/W_SIZEHW))</f>
        <v/>
      </c>
      <c r="E381" s="270">
        <f>IF(OR(Database!$BG381="",Screener!$D$10=""),0,IF(Database!$BG381=Screener!$D$10,1,0))</f>
        <v/>
      </c>
      <c r="F381" s="270">
        <f>IF(OR(Database!$BM381="",Screener!$D$11=""),0,IF(Database!$BM381=Screener!$D$11,1,0))</f>
        <v/>
      </c>
      <c r="G381" s="270">
        <f>IF(OR(Database!$H381="",N(Screener!$D$12)&lt;=0),0,MAX(0,1-(N(Screener!$D$12)-Database!$H381)/W_RECD))</f>
        <v/>
      </c>
      <c r="H381" s="270">
        <f>IF($U$1="",0,N(ISNUMBER(SEARCH($U$1,Database!$AC381&amp;""))))+IF($V$1="",0,N(ISNUMBER(SEARCH($V$1,Database!$AC381&amp;""))))+IF($W$1="",0,N(ISNUMBER(SEARCH($W$1,Database!$AC381&amp;""))))+IF($X$1="",0,N(ISNUMBER(SEARCH($X$1,Database!$AC381&amp;""))))+IF($Y$1="",0,N(ISNUMBER(SEARCH($Y$1,Database!$AC381&amp;""))))+IF(Screener!$B$17="",0,N(ISNUMBER(SEARCH(LOWER(Screener!$B$17),Database!$AC381&amp;""))))</f>
        <v/>
      </c>
      <c r="I381" s="270">
        <f>IF(OR(N(Database!$BH381)&lt;=0,N(Screener!$D$13)&lt;=0),0,MAX(0,1-ABS(LOG10(N(Database!$BH381)/Screener!$D$13))/W_PEHW))</f>
        <v/>
      </c>
      <c r="J381" s="270">
        <f>IF(OR(N(Database!$S381)&lt;=0,N(Screener!$D$14)&lt;=0),0,MAX(0,1-ABS(LOG10(Database!$S381/Screener!$D$14))/0.6))</f>
        <v/>
      </c>
      <c r="K381" s="270">
        <f>IF(Database!$B381=Screener!$B$5,-999999,IF(ISNUMBER(SEARCH(","&amp;Database!$A381&amp;",",","&amp;SUBSTITUTE(Screener!$D$17," ","")&amp;",")),2000000,IF(IF(OR(Screener!$B$18="All",AND(Screener!$B$18="With A-share",(Database!$BM381="Y")),AND(Screener!$B$18="Without A-share",NOT((Database!$BM381="Y")))),1,0)=0,-999999,IF(Screener!$B$16="cornerstone overlap first",H381*100000,IF(Screener!$B$16="demand-similar first",J381*100000,0))+W_SUB*B381+W_SEC*C381*(1-B381)+W_SIZE*D381+W_PROF*E381+W_AH*F381+W_REC*G381+W_CS*H381+W_PE*I381)))+ROW()/1000000</f>
        <v/>
      </c>
      <c r="AA381" s="270">
        <f>Database!B370</f>
        <v/>
      </c>
      <c r="AB381" s="270">
        <f>Database!D370</f>
        <v/>
      </c>
      <c r="AC381" s="270">
        <f>Database!E370</f>
        <v/>
      </c>
      <c r="AD381" s="270">
        <f>Database!I370</f>
        <v/>
      </c>
      <c r="AE381" s="270">
        <f>Database!BG370</f>
        <v/>
      </c>
      <c r="AF381" s="270">
        <f>Database!BM370</f>
        <v/>
      </c>
      <c r="AG381" s="270">
        <f>Database!H370</f>
        <v/>
      </c>
      <c r="AH381" s="270">
        <f>Database!BH370</f>
        <v/>
      </c>
    </row>
    <row r="382">
      <c r="A382" s="270">
        <f>Database!B382</f>
        <v/>
      </c>
      <c r="B382" s="270">
        <f>IF(AND(Screener!$D$8&lt;&gt;"",Database!$E382=Screener!$D$8),1,0)</f>
        <v/>
      </c>
      <c r="C382" s="270">
        <f>IF(AND(Screener!$D$7&lt;&gt;"",Database!$D382=Screener!$D$7),1,0)</f>
        <v/>
      </c>
      <c r="D382" s="270">
        <f>IF(OR(N(Database!$I382)&lt;=0,N(Screener!$D$9)&lt;=0),0,MAX(0,1-ABS(LOG10(N(Database!$I382)/Screener!$D$9))/W_SIZEHW))</f>
        <v/>
      </c>
      <c r="E382" s="270">
        <f>IF(OR(Database!$BG382="",Screener!$D$10=""),0,IF(Database!$BG382=Screener!$D$10,1,0))</f>
        <v/>
      </c>
      <c r="F382" s="270">
        <f>IF(OR(Database!$BM382="",Screener!$D$11=""),0,IF(Database!$BM382=Screener!$D$11,1,0))</f>
        <v/>
      </c>
      <c r="G382" s="270">
        <f>IF(OR(Database!$H382="",N(Screener!$D$12)&lt;=0),0,MAX(0,1-(N(Screener!$D$12)-Database!$H382)/W_RECD))</f>
        <v/>
      </c>
      <c r="H382" s="270">
        <f>IF($U$1="",0,N(ISNUMBER(SEARCH($U$1,Database!$AC382&amp;""))))+IF($V$1="",0,N(ISNUMBER(SEARCH($V$1,Database!$AC382&amp;""))))+IF($W$1="",0,N(ISNUMBER(SEARCH($W$1,Database!$AC382&amp;""))))+IF($X$1="",0,N(ISNUMBER(SEARCH($X$1,Database!$AC382&amp;""))))+IF($Y$1="",0,N(ISNUMBER(SEARCH($Y$1,Database!$AC382&amp;""))))+IF(Screener!$B$17="",0,N(ISNUMBER(SEARCH(LOWER(Screener!$B$17),Database!$AC382&amp;""))))</f>
        <v/>
      </c>
      <c r="I382" s="270">
        <f>IF(OR(N(Database!$BH382)&lt;=0,N(Screener!$D$13)&lt;=0),0,MAX(0,1-ABS(LOG10(N(Database!$BH382)/Screener!$D$13))/W_PEHW))</f>
        <v/>
      </c>
      <c r="J382" s="270">
        <f>IF(OR(N(Database!$S382)&lt;=0,N(Screener!$D$14)&lt;=0),0,MAX(0,1-ABS(LOG10(Database!$S382/Screener!$D$14))/0.6))</f>
        <v/>
      </c>
      <c r="K382" s="270">
        <f>IF(Database!$B382=Screener!$B$5,-999999,IF(ISNUMBER(SEARCH(","&amp;Database!$A382&amp;",",","&amp;SUBSTITUTE(Screener!$D$17," ","")&amp;",")),2000000,IF(IF(OR(Screener!$B$18="All",AND(Screener!$B$18="With A-share",(Database!$BM382="Y")),AND(Screener!$B$18="Without A-share",NOT((Database!$BM382="Y")))),1,0)=0,-999999,IF(Screener!$B$16="cornerstone overlap first",H382*100000,IF(Screener!$B$16="demand-similar first",J382*100000,0))+W_SUB*B382+W_SEC*C382*(1-B382)+W_SIZE*D382+W_PROF*E382+W_AH*F382+W_REC*G382+W_CS*H382+W_PE*I382)))+ROW()/1000000</f>
        <v/>
      </c>
      <c r="AA382" s="270">
        <f>Database!B371</f>
        <v/>
      </c>
      <c r="AB382" s="270">
        <f>Database!D371</f>
        <v/>
      </c>
      <c r="AC382" s="270">
        <f>Database!E371</f>
        <v/>
      </c>
      <c r="AD382" s="270">
        <f>Database!I371</f>
        <v/>
      </c>
      <c r="AE382" s="270">
        <f>Database!BG371</f>
        <v/>
      </c>
      <c r="AF382" s="270">
        <f>Database!BM371</f>
        <v/>
      </c>
      <c r="AG382" s="270">
        <f>Database!H371</f>
        <v/>
      </c>
      <c r="AH382" s="270">
        <f>Database!BH371</f>
        <v/>
      </c>
    </row>
    <row r="383">
      <c r="A383" s="270">
        <f>Database!B383</f>
        <v/>
      </c>
      <c r="B383" s="270">
        <f>IF(AND(Screener!$D$8&lt;&gt;"",Database!$E383=Screener!$D$8),1,0)</f>
        <v/>
      </c>
      <c r="C383" s="270">
        <f>IF(AND(Screener!$D$7&lt;&gt;"",Database!$D383=Screener!$D$7),1,0)</f>
        <v/>
      </c>
      <c r="D383" s="270">
        <f>IF(OR(N(Database!$I383)&lt;=0,N(Screener!$D$9)&lt;=0),0,MAX(0,1-ABS(LOG10(N(Database!$I383)/Screener!$D$9))/W_SIZEHW))</f>
        <v/>
      </c>
      <c r="E383" s="270">
        <f>IF(OR(Database!$BG383="",Screener!$D$10=""),0,IF(Database!$BG383=Screener!$D$10,1,0))</f>
        <v/>
      </c>
      <c r="F383" s="270">
        <f>IF(OR(Database!$BM383="",Screener!$D$11=""),0,IF(Database!$BM383=Screener!$D$11,1,0))</f>
        <v/>
      </c>
      <c r="G383" s="270">
        <f>IF(OR(Database!$H383="",N(Screener!$D$12)&lt;=0),0,MAX(0,1-(N(Screener!$D$12)-Database!$H383)/W_RECD))</f>
        <v/>
      </c>
      <c r="H383" s="270">
        <f>IF($U$1="",0,N(ISNUMBER(SEARCH($U$1,Database!$AC383&amp;""))))+IF($V$1="",0,N(ISNUMBER(SEARCH($V$1,Database!$AC383&amp;""))))+IF($W$1="",0,N(ISNUMBER(SEARCH($W$1,Database!$AC383&amp;""))))+IF($X$1="",0,N(ISNUMBER(SEARCH($X$1,Database!$AC383&amp;""))))+IF($Y$1="",0,N(ISNUMBER(SEARCH($Y$1,Database!$AC383&amp;""))))+IF(Screener!$B$17="",0,N(ISNUMBER(SEARCH(LOWER(Screener!$B$17),Database!$AC383&amp;""))))</f>
        <v/>
      </c>
      <c r="I383" s="270">
        <f>IF(OR(N(Database!$BH383)&lt;=0,N(Screener!$D$13)&lt;=0),0,MAX(0,1-ABS(LOG10(N(Database!$BH383)/Screener!$D$13))/W_PEHW))</f>
        <v/>
      </c>
      <c r="J383" s="270">
        <f>IF(OR(N(Database!$S383)&lt;=0,N(Screener!$D$14)&lt;=0),0,MAX(0,1-ABS(LOG10(Database!$S383/Screener!$D$14))/0.6))</f>
        <v/>
      </c>
      <c r="K383" s="270">
        <f>IF(Database!$B383=Screener!$B$5,-999999,IF(ISNUMBER(SEARCH(","&amp;Database!$A383&amp;",",","&amp;SUBSTITUTE(Screener!$D$17," ","")&amp;",")),2000000,IF(IF(OR(Screener!$B$18="All",AND(Screener!$B$18="With A-share",(Database!$BM383="Y")),AND(Screener!$B$18="Without A-share",NOT((Database!$BM383="Y")))),1,0)=0,-999999,IF(Screener!$B$16="cornerstone overlap first",H383*100000,IF(Screener!$B$16="demand-similar first",J383*100000,0))+W_SUB*B383+W_SEC*C383*(1-B383)+W_SIZE*D383+W_PROF*E383+W_AH*F383+W_REC*G383+W_CS*H383+W_PE*I383)))+ROW()/1000000</f>
        <v/>
      </c>
      <c r="AA383" s="270">
        <f>Database!B372</f>
        <v/>
      </c>
      <c r="AB383" s="270">
        <f>Database!D372</f>
        <v/>
      </c>
      <c r="AC383" s="270">
        <f>Database!E372</f>
        <v/>
      </c>
      <c r="AD383" s="270">
        <f>Database!I372</f>
        <v/>
      </c>
      <c r="AE383" s="270">
        <f>Database!BG372</f>
        <v/>
      </c>
      <c r="AF383" s="270">
        <f>Database!BM372</f>
        <v/>
      </c>
      <c r="AG383" s="270">
        <f>Database!H372</f>
        <v/>
      </c>
      <c r="AH383" s="270">
        <f>Database!BH372</f>
        <v/>
      </c>
    </row>
    <row r="384">
      <c r="A384" s="270">
        <f>Database!B384</f>
        <v/>
      </c>
      <c r="B384" s="270">
        <f>IF(AND(Screener!$D$8&lt;&gt;"",Database!$E384=Screener!$D$8),1,0)</f>
        <v/>
      </c>
      <c r="C384" s="270">
        <f>IF(AND(Screener!$D$7&lt;&gt;"",Database!$D384=Screener!$D$7),1,0)</f>
        <v/>
      </c>
      <c r="D384" s="270">
        <f>IF(OR(N(Database!$I384)&lt;=0,N(Screener!$D$9)&lt;=0),0,MAX(0,1-ABS(LOG10(N(Database!$I384)/Screener!$D$9))/W_SIZEHW))</f>
        <v/>
      </c>
      <c r="E384" s="270">
        <f>IF(OR(Database!$BG384="",Screener!$D$10=""),0,IF(Database!$BG384=Screener!$D$10,1,0))</f>
        <v/>
      </c>
      <c r="F384" s="270">
        <f>IF(OR(Database!$BM384="",Screener!$D$11=""),0,IF(Database!$BM384=Screener!$D$11,1,0))</f>
        <v/>
      </c>
      <c r="G384" s="270">
        <f>IF(OR(Database!$H384="",N(Screener!$D$12)&lt;=0),0,MAX(0,1-(N(Screener!$D$12)-Database!$H384)/W_RECD))</f>
        <v/>
      </c>
      <c r="H384" s="270">
        <f>IF($U$1="",0,N(ISNUMBER(SEARCH($U$1,Database!$AC384&amp;""))))+IF($V$1="",0,N(ISNUMBER(SEARCH($V$1,Database!$AC384&amp;""))))+IF($W$1="",0,N(ISNUMBER(SEARCH($W$1,Database!$AC384&amp;""))))+IF($X$1="",0,N(ISNUMBER(SEARCH($X$1,Database!$AC384&amp;""))))+IF($Y$1="",0,N(ISNUMBER(SEARCH($Y$1,Database!$AC384&amp;""))))+IF(Screener!$B$17="",0,N(ISNUMBER(SEARCH(LOWER(Screener!$B$17),Database!$AC384&amp;""))))</f>
        <v/>
      </c>
      <c r="I384" s="270">
        <f>IF(OR(N(Database!$BH384)&lt;=0,N(Screener!$D$13)&lt;=0),0,MAX(0,1-ABS(LOG10(N(Database!$BH384)/Screener!$D$13))/W_PEHW))</f>
        <v/>
      </c>
      <c r="J384" s="270">
        <f>IF(OR(N(Database!$S384)&lt;=0,N(Screener!$D$14)&lt;=0),0,MAX(0,1-ABS(LOG10(Database!$S384/Screener!$D$14))/0.6))</f>
        <v/>
      </c>
      <c r="K384" s="270">
        <f>IF(Database!$B384=Screener!$B$5,-999999,IF(ISNUMBER(SEARCH(","&amp;Database!$A384&amp;",",","&amp;SUBSTITUTE(Screener!$D$17," ","")&amp;",")),2000000,IF(IF(OR(Screener!$B$18="All",AND(Screener!$B$18="With A-share",(Database!$BM384="Y")),AND(Screener!$B$18="Without A-share",NOT((Database!$BM384="Y")))),1,0)=0,-999999,IF(Screener!$B$16="cornerstone overlap first",H384*100000,IF(Screener!$B$16="demand-similar first",J384*100000,0))+W_SUB*B384+W_SEC*C384*(1-B384)+W_SIZE*D384+W_PROF*E384+W_AH*F384+W_REC*G384+W_CS*H384+W_PE*I384)))+ROW()/1000000</f>
        <v/>
      </c>
      <c r="AA384" s="270">
        <f>Database!B373</f>
        <v/>
      </c>
      <c r="AB384" s="270">
        <f>Database!D373</f>
        <v/>
      </c>
      <c r="AC384" s="270">
        <f>Database!E373</f>
        <v/>
      </c>
      <c r="AD384" s="270">
        <f>Database!I373</f>
        <v/>
      </c>
      <c r="AE384" s="270">
        <f>Database!BG373</f>
        <v/>
      </c>
      <c r="AF384" s="270">
        <f>Database!BM373</f>
        <v/>
      </c>
      <c r="AG384" s="270">
        <f>Database!H373</f>
        <v/>
      </c>
      <c r="AH384" s="270">
        <f>Database!BH373</f>
        <v/>
      </c>
    </row>
    <row r="385">
      <c r="A385" s="270">
        <f>Database!B385</f>
        <v/>
      </c>
      <c r="B385" s="270">
        <f>IF(AND(Screener!$D$8&lt;&gt;"",Database!$E385=Screener!$D$8),1,0)</f>
        <v/>
      </c>
      <c r="C385" s="270">
        <f>IF(AND(Screener!$D$7&lt;&gt;"",Database!$D385=Screener!$D$7),1,0)</f>
        <v/>
      </c>
      <c r="D385" s="270">
        <f>IF(OR(N(Database!$I385)&lt;=0,N(Screener!$D$9)&lt;=0),0,MAX(0,1-ABS(LOG10(N(Database!$I385)/Screener!$D$9))/W_SIZEHW))</f>
        <v/>
      </c>
      <c r="E385" s="270">
        <f>IF(OR(Database!$BG385="",Screener!$D$10=""),0,IF(Database!$BG385=Screener!$D$10,1,0))</f>
        <v/>
      </c>
      <c r="F385" s="270">
        <f>IF(OR(Database!$BM385="",Screener!$D$11=""),0,IF(Database!$BM385=Screener!$D$11,1,0))</f>
        <v/>
      </c>
      <c r="G385" s="270">
        <f>IF(OR(Database!$H385="",N(Screener!$D$12)&lt;=0),0,MAX(0,1-(N(Screener!$D$12)-Database!$H385)/W_RECD))</f>
        <v/>
      </c>
      <c r="H385" s="270">
        <f>IF($U$1="",0,N(ISNUMBER(SEARCH($U$1,Database!$AC385&amp;""))))+IF($V$1="",0,N(ISNUMBER(SEARCH($V$1,Database!$AC385&amp;""))))+IF($W$1="",0,N(ISNUMBER(SEARCH($W$1,Database!$AC385&amp;""))))+IF($X$1="",0,N(ISNUMBER(SEARCH($X$1,Database!$AC385&amp;""))))+IF($Y$1="",0,N(ISNUMBER(SEARCH($Y$1,Database!$AC385&amp;""))))+IF(Screener!$B$17="",0,N(ISNUMBER(SEARCH(LOWER(Screener!$B$17),Database!$AC385&amp;""))))</f>
        <v/>
      </c>
      <c r="I385" s="270">
        <f>IF(OR(N(Database!$BH385)&lt;=0,N(Screener!$D$13)&lt;=0),0,MAX(0,1-ABS(LOG10(N(Database!$BH385)/Screener!$D$13))/W_PEHW))</f>
        <v/>
      </c>
      <c r="J385" s="270">
        <f>IF(OR(N(Database!$S385)&lt;=0,N(Screener!$D$14)&lt;=0),0,MAX(0,1-ABS(LOG10(Database!$S385/Screener!$D$14))/0.6))</f>
        <v/>
      </c>
      <c r="K385" s="270">
        <f>IF(Database!$B385=Screener!$B$5,-999999,IF(ISNUMBER(SEARCH(","&amp;Database!$A385&amp;",",","&amp;SUBSTITUTE(Screener!$D$17," ","")&amp;",")),2000000,IF(IF(OR(Screener!$B$18="All",AND(Screener!$B$18="With A-share",(Database!$BM385="Y")),AND(Screener!$B$18="Without A-share",NOT((Database!$BM385="Y")))),1,0)=0,-999999,IF(Screener!$B$16="cornerstone overlap first",H385*100000,IF(Screener!$B$16="demand-similar first",J385*100000,0))+W_SUB*B385+W_SEC*C385*(1-B385)+W_SIZE*D385+W_PROF*E385+W_AH*F385+W_REC*G385+W_CS*H385+W_PE*I385)))+ROW()/1000000</f>
        <v/>
      </c>
      <c r="AA385" s="270">
        <f>Database!B374</f>
        <v/>
      </c>
      <c r="AB385" s="270">
        <f>Database!D374</f>
        <v/>
      </c>
      <c r="AC385" s="270">
        <f>Database!E374</f>
        <v/>
      </c>
      <c r="AD385" s="270">
        <f>Database!I374</f>
        <v/>
      </c>
      <c r="AE385" s="270">
        <f>Database!BG374</f>
        <v/>
      </c>
      <c r="AF385" s="270">
        <f>Database!BM374</f>
        <v/>
      </c>
      <c r="AG385" s="270">
        <f>Database!H374</f>
        <v/>
      </c>
      <c r="AH385" s="270">
        <f>Database!BH374</f>
        <v/>
      </c>
    </row>
    <row r="386">
      <c r="A386" s="270">
        <f>Database!B386</f>
        <v/>
      </c>
      <c r="B386" s="270">
        <f>IF(AND(Screener!$D$8&lt;&gt;"",Database!$E386=Screener!$D$8),1,0)</f>
        <v/>
      </c>
      <c r="C386" s="270">
        <f>IF(AND(Screener!$D$7&lt;&gt;"",Database!$D386=Screener!$D$7),1,0)</f>
        <v/>
      </c>
      <c r="D386" s="270">
        <f>IF(OR(N(Database!$I386)&lt;=0,N(Screener!$D$9)&lt;=0),0,MAX(0,1-ABS(LOG10(N(Database!$I386)/Screener!$D$9))/W_SIZEHW))</f>
        <v/>
      </c>
      <c r="E386" s="270">
        <f>IF(OR(Database!$BG386="",Screener!$D$10=""),0,IF(Database!$BG386=Screener!$D$10,1,0))</f>
        <v/>
      </c>
      <c r="F386" s="270">
        <f>IF(OR(Database!$BM386="",Screener!$D$11=""),0,IF(Database!$BM386=Screener!$D$11,1,0))</f>
        <v/>
      </c>
      <c r="G386" s="270">
        <f>IF(OR(Database!$H386="",N(Screener!$D$12)&lt;=0),0,MAX(0,1-(N(Screener!$D$12)-Database!$H386)/W_RECD))</f>
        <v/>
      </c>
      <c r="H386" s="270">
        <f>IF($U$1="",0,N(ISNUMBER(SEARCH($U$1,Database!$AC386&amp;""))))+IF($V$1="",0,N(ISNUMBER(SEARCH($V$1,Database!$AC386&amp;""))))+IF($W$1="",0,N(ISNUMBER(SEARCH($W$1,Database!$AC386&amp;""))))+IF($X$1="",0,N(ISNUMBER(SEARCH($X$1,Database!$AC386&amp;""))))+IF($Y$1="",0,N(ISNUMBER(SEARCH($Y$1,Database!$AC386&amp;""))))+IF(Screener!$B$17="",0,N(ISNUMBER(SEARCH(LOWER(Screener!$B$17),Database!$AC386&amp;""))))</f>
        <v/>
      </c>
      <c r="I386" s="270">
        <f>IF(OR(N(Database!$BH386)&lt;=0,N(Screener!$D$13)&lt;=0),0,MAX(0,1-ABS(LOG10(N(Database!$BH386)/Screener!$D$13))/W_PEHW))</f>
        <v/>
      </c>
      <c r="J386" s="270">
        <f>IF(OR(N(Database!$S386)&lt;=0,N(Screener!$D$14)&lt;=0),0,MAX(0,1-ABS(LOG10(Database!$S386/Screener!$D$14))/0.6))</f>
        <v/>
      </c>
      <c r="K386" s="270">
        <f>IF(Database!$B386=Screener!$B$5,-999999,IF(ISNUMBER(SEARCH(","&amp;Database!$A386&amp;",",","&amp;SUBSTITUTE(Screener!$D$17," ","")&amp;",")),2000000,IF(IF(OR(Screener!$B$18="All",AND(Screener!$B$18="With A-share",(Database!$BM386="Y")),AND(Screener!$B$18="Without A-share",NOT((Database!$BM386="Y")))),1,0)=0,-999999,IF(Screener!$B$16="cornerstone overlap first",H386*100000,IF(Screener!$B$16="demand-similar first",J386*100000,0))+W_SUB*B386+W_SEC*C386*(1-B386)+W_SIZE*D386+W_PROF*E386+W_AH*F386+W_REC*G386+W_CS*H386+W_PE*I386)))+ROW()/1000000</f>
        <v/>
      </c>
      <c r="AA386" s="270">
        <f>Database!B375</f>
        <v/>
      </c>
      <c r="AB386" s="270">
        <f>Database!D375</f>
        <v/>
      </c>
      <c r="AC386" s="270">
        <f>Database!E375</f>
        <v/>
      </c>
      <c r="AD386" s="270">
        <f>Database!I375</f>
        <v/>
      </c>
      <c r="AE386" s="270">
        <f>Database!BG375</f>
        <v/>
      </c>
      <c r="AF386" s="270">
        <f>Database!BM375</f>
        <v/>
      </c>
      <c r="AG386" s="270">
        <f>Database!H375</f>
        <v/>
      </c>
      <c r="AH386" s="270">
        <f>Database!BH375</f>
        <v/>
      </c>
    </row>
    <row r="387">
      <c r="A387" s="270">
        <f>Database!B387</f>
        <v/>
      </c>
      <c r="B387" s="270">
        <f>IF(AND(Screener!$D$8&lt;&gt;"",Database!$E387=Screener!$D$8),1,0)</f>
        <v/>
      </c>
      <c r="C387" s="270">
        <f>IF(AND(Screener!$D$7&lt;&gt;"",Database!$D387=Screener!$D$7),1,0)</f>
        <v/>
      </c>
      <c r="D387" s="270">
        <f>IF(OR(N(Database!$I387)&lt;=0,N(Screener!$D$9)&lt;=0),0,MAX(0,1-ABS(LOG10(N(Database!$I387)/Screener!$D$9))/W_SIZEHW))</f>
        <v/>
      </c>
      <c r="E387" s="270">
        <f>IF(OR(Database!$BG387="",Screener!$D$10=""),0,IF(Database!$BG387=Screener!$D$10,1,0))</f>
        <v/>
      </c>
      <c r="F387" s="270">
        <f>IF(OR(Database!$BM387="",Screener!$D$11=""),0,IF(Database!$BM387=Screener!$D$11,1,0))</f>
        <v/>
      </c>
      <c r="G387" s="270">
        <f>IF(OR(Database!$H387="",N(Screener!$D$12)&lt;=0),0,MAX(0,1-(N(Screener!$D$12)-Database!$H387)/W_RECD))</f>
        <v/>
      </c>
      <c r="H387" s="270">
        <f>IF($U$1="",0,N(ISNUMBER(SEARCH($U$1,Database!$AC387&amp;""))))+IF($V$1="",0,N(ISNUMBER(SEARCH($V$1,Database!$AC387&amp;""))))+IF($W$1="",0,N(ISNUMBER(SEARCH($W$1,Database!$AC387&amp;""))))+IF($X$1="",0,N(ISNUMBER(SEARCH($X$1,Database!$AC387&amp;""))))+IF($Y$1="",0,N(ISNUMBER(SEARCH($Y$1,Database!$AC387&amp;""))))+IF(Screener!$B$17="",0,N(ISNUMBER(SEARCH(LOWER(Screener!$B$17),Database!$AC387&amp;""))))</f>
        <v/>
      </c>
      <c r="I387" s="270">
        <f>IF(OR(N(Database!$BH387)&lt;=0,N(Screener!$D$13)&lt;=0),0,MAX(0,1-ABS(LOG10(N(Database!$BH387)/Screener!$D$13))/W_PEHW))</f>
        <v/>
      </c>
      <c r="J387" s="270">
        <f>IF(OR(N(Database!$S387)&lt;=0,N(Screener!$D$14)&lt;=0),0,MAX(0,1-ABS(LOG10(Database!$S387/Screener!$D$14))/0.6))</f>
        <v/>
      </c>
      <c r="K387" s="270">
        <f>IF(Database!$B387=Screener!$B$5,-999999,IF(ISNUMBER(SEARCH(","&amp;Database!$A387&amp;",",","&amp;SUBSTITUTE(Screener!$D$17," ","")&amp;",")),2000000,IF(IF(OR(Screener!$B$18="All",AND(Screener!$B$18="With A-share",(Database!$BM387="Y")),AND(Screener!$B$18="Without A-share",NOT((Database!$BM387="Y")))),1,0)=0,-999999,IF(Screener!$B$16="cornerstone overlap first",H387*100000,IF(Screener!$B$16="demand-similar first",J387*100000,0))+W_SUB*B387+W_SEC*C387*(1-B387)+W_SIZE*D387+W_PROF*E387+W_AH*F387+W_REC*G387+W_CS*H387+W_PE*I387)))+ROW()/1000000</f>
        <v/>
      </c>
      <c r="AA387" s="270">
        <f>Database!B376</f>
        <v/>
      </c>
      <c r="AB387" s="270">
        <f>Database!D376</f>
        <v/>
      </c>
      <c r="AC387" s="270">
        <f>Database!E376</f>
        <v/>
      </c>
      <c r="AD387" s="270">
        <f>Database!I376</f>
        <v/>
      </c>
      <c r="AE387" s="270">
        <f>Database!BG376</f>
        <v/>
      </c>
      <c r="AF387" s="270">
        <f>Database!BM376</f>
        <v/>
      </c>
      <c r="AG387" s="270">
        <f>Database!H376</f>
        <v/>
      </c>
      <c r="AH387" s="270">
        <f>Database!BH376</f>
        <v/>
      </c>
    </row>
    <row r="388">
      <c r="A388" s="270">
        <f>Database!B388</f>
        <v/>
      </c>
      <c r="B388" s="270">
        <f>IF(AND(Screener!$D$8&lt;&gt;"",Database!$E388=Screener!$D$8),1,0)</f>
        <v/>
      </c>
      <c r="C388" s="270">
        <f>IF(AND(Screener!$D$7&lt;&gt;"",Database!$D388=Screener!$D$7),1,0)</f>
        <v/>
      </c>
      <c r="D388" s="270">
        <f>IF(OR(N(Database!$I388)&lt;=0,N(Screener!$D$9)&lt;=0),0,MAX(0,1-ABS(LOG10(N(Database!$I388)/Screener!$D$9))/W_SIZEHW))</f>
        <v/>
      </c>
      <c r="E388" s="270">
        <f>IF(OR(Database!$BG388="",Screener!$D$10=""),0,IF(Database!$BG388=Screener!$D$10,1,0))</f>
        <v/>
      </c>
      <c r="F388" s="270">
        <f>IF(OR(Database!$BM388="",Screener!$D$11=""),0,IF(Database!$BM388=Screener!$D$11,1,0))</f>
        <v/>
      </c>
      <c r="G388" s="270">
        <f>IF(OR(Database!$H388="",N(Screener!$D$12)&lt;=0),0,MAX(0,1-(N(Screener!$D$12)-Database!$H388)/W_RECD))</f>
        <v/>
      </c>
      <c r="H388" s="270">
        <f>IF($U$1="",0,N(ISNUMBER(SEARCH($U$1,Database!$AC388&amp;""))))+IF($V$1="",0,N(ISNUMBER(SEARCH($V$1,Database!$AC388&amp;""))))+IF($W$1="",0,N(ISNUMBER(SEARCH($W$1,Database!$AC388&amp;""))))+IF($X$1="",0,N(ISNUMBER(SEARCH($X$1,Database!$AC388&amp;""))))+IF($Y$1="",0,N(ISNUMBER(SEARCH($Y$1,Database!$AC388&amp;""))))+IF(Screener!$B$17="",0,N(ISNUMBER(SEARCH(LOWER(Screener!$B$17),Database!$AC388&amp;""))))</f>
        <v/>
      </c>
      <c r="I388" s="270">
        <f>IF(OR(N(Database!$BH388)&lt;=0,N(Screener!$D$13)&lt;=0),0,MAX(0,1-ABS(LOG10(N(Database!$BH388)/Screener!$D$13))/W_PEHW))</f>
        <v/>
      </c>
      <c r="J388" s="270">
        <f>IF(OR(N(Database!$S388)&lt;=0,N(Screener!$D$14)&lt;=0),0,MAX(0,1-ABS(LOG10(Database!$S388/Screener!$D$14))/0.6))</f>
        <v/>
      </c>
      <c r="K388" s="270">
        <f>IF(Database!$B388=Screener!$B$5,-999999,IF(ISNUMBER(SEARCH(","&amp;Database!$A388&amp;",",","&amp;SUBSTITUTE(Screener!$D$17," ","")&amp;",")),2000000,IF(IF(OR(Screener!$B$18="All",AND(Screener!$B$18="With A-share",(Database!$BM388="Y")),AND(Screener!$B$18="Without A-share",NOT((Database!$BM388="Y")))),1,0)=0,-999999,IF(Screener!$B$16="cornerstone overlap first",H388*100000,IF(Screener!$B$16="demand-similar first",J388*100000,0))+W_SUB*B388+W_SEC*C388*(1-B388)+W_SIZE*D388+W_PROF*E388+W_AH*F388+W_REC*G388+W_CS*H388+W_PE*I388)))+ROW()/1000000</f>
        <v/>
      </c>
      <c r="AA388" s="270">
        <f>Database!B377</f>
        <v/>
      </c>
      <c r="AB388" s="270">
        <f>Database!D377</f>
        <v/>
      </c>
      <c r="AC388" s="270">
        <f>Database!E377</f>
        <v/>
      </c>
      <c r="AD388" s="270">
        <f>Database!I377</f>
        <v/>
      </c>
      <c r="AE388" s="270">
        <f>Database!BG377</f>
        <v/>
      </c>
      <c r="AF388" s="270">
        <f>Database!BM377</f>
        <v/>
      </c>
      <c r="AG388" s="270">
        <f>Database!H377</f>
        <v/>
      </c>
      <c r="AH388" s="270">
        <f>Database!BH377</f>
        <v/>
      </c>
    </row>
    <row r="389">
      <c r="A389" s="270">
        <f>Database!B389</f>
        <v/>
      </c>
      <c r="B389" s="270">
        <f>IF(AND(Screener!$D$8&lt;&gt;"",Database!$E389=Screener!$D$8),1,0)</f>
        <v/>
      </c>
      <c r="C389" s="270">
        <f>IF(AND(Screener!$D$7&lt;&gt;"",Database!$D389=Screener!$D$7),1,0)</f>
        <v/>
      </c>
      <c r="D389" s="270">
        <f>IF(OR(N(Database!$I389)&lt;=0,N(Screener!$D$9)&lt;=0),0,MAX(0,1-ABS(LOG10(N(Database!$I389)/Screener!$D$9))/W_SIZEHW))</f>
        <v/>
      </c>
      <c r="E389" s="270">
        <f>IF(OR(Database!$BG389="",Screener!$D$10=""),0,IF(Database!$BG389=Screener!$D$10,1,0))</f>
        <v/>
      </c>
      <c r="F389" s="270">
        <f>IF(OR(Database!$BM389="",Screener!$D$11=""),0,IF(Database!$BM389=Screener!$D$11,1,0))</f>
        <v/>
      </c>
      <c r="G389" s="270">
        <f>IF(OR(Database!$H389="",N(Screener!$D$12)&lt;=0),0,MAX(0,1-(N(Screener!$D$12)-Database!$H389)/W_RECD))</f>
        <v/>
      </c>
      <c r="H389" s="270">
        <f>IF($U$1="",0,N(ISNUMBER(SEARCH($U$1,Database!$AC389&amp;""))))+IF($V$1="",0,N(ISNUMBER(SEARCH($V$1,Database!$AC389&amp;""))))+IF($W$1="",0,N(ISNUMBER(SEARCH($W$1,Database!$AC389&amp;""))))+IF($X$1="",0,N(ISNUMBER(SEARCH($X$1,Database!$AC389&amp;""))))+IF($Y$1="",0,N(ISNUMBER(SEARCH($Y$1,Database!$AC389&amp;""))))+IF(Screener!$B$17="",0,N(ISNUMBER(SEARCH(LOWER(Screener!$B$17),Database!$AC389&amp;""))))</f>
        <v/>
      </c>
      <c r="I389" s="270">
        <f>IF(OR(N(Database!$BH389)&lt;=0,N(Screener!$D$13)&lt;=0),0,MAX(0,1-ABS(LOG10(N(Database!$BH389)/Screener!$D$13))/W_PEHW))</f>
        <v/>
      </c>
      <c r="J389" s="270">
        <f>IF(OR(N(Database!$S389)&lt;=0,N(Screener!$D$14)&lt;=0),0,MAX(0,1-ABS(LOG10(Database!$S389/Screener!$D$14))/0.6))</f>
        <v/>
      </c>
      <c r="K389" s="270">
        <f>IF(Database!$B389=Screener!$B$5,-999999,IF(ISNUMBER(SEARCH(","&amp;Database!$A389&amp;",",","&amp;SUBSTITUTE(Screener!$D$17," ","")&amp;",")),2000000,IF(IF(OR(Screener!$B$18="All",AND(Screener!$B$18="With A-share",(Database!$BM389="Y")),AND(Screener!$B$18="Without A-share",NOT((Database!$BM389="Y")))),1,0)=0,-999999,IF(Screener!$B$16="cornerstone overlap first",H389*100000,IF(Screener!$B$16="demand-similar first",J389*100000,0))+W_SUB*B389+W_SEC*C389*(1-B389)+W_SIZE*D389+W_PROF*E389+W_AH*F389+W_REC*G389+W_CS*H389+W_PE*I389)))+ROW()/1000000</f>
        <v/>
      </c>
      <c r="AA389" s="270">
        <f>Database!B378</f>
        <v/>
      </c>
      <c r="AB389" s="270">
        <f>Database!D378</f>
        <v/>
      </c>
      <c r="AC389" s="270">
        <f>Database!E378</f>
        <v/>
      </c>
      <c r="AD389" s="270">
        <f>Database!I378</f>
        <v/>
      </c>
      <c r="AE389" s="270">
        <f>Database!BG378</f>
        <v/>
      </c>
      <c r="AF389" s="270">
        <f>Database!BM378</f>
        <v/>
      </c>
      <c r="AG389" s="270">
        <f>Database!H378</f>
        <v/>
      </c>
      <c r="AH389" s="270">
        <f>Database!BH378</f>
        <v/>
      </c>
    </row>
    <row r="390">
      <c r="A390" s="270">
        <f>Database!B390</f>
        <v/>
      </c>
      <c r="B390" s="270">
        <f>IF(AND(Screener!$D$8&lt;&gt;"",Database!$E390=Screener!$D$8),1,0)</f>
        <v/>
      </c>
      <c r="C390" s="270">
        <f>IF(AND(Screener!$D$7&lt;&gt;"",Database!$D390=Screener!$D$7),1,0)</f>
        <v/>
      </c>
      <c r="D390" s="270">
        <f>IF(OR(N(Database!$I390)&lt;=0,N(Screener!$D$9)&lt;=0),0,MAX(0,1-ABS(LOG10(N(Database!$I390)/Screener!$D$9))/W_SIZEHW))</f>
        <v/>
      </c>
      <c r="E390" s="270">
        <f>IF(OR(Database!$BG390="",Screener!$D$10=""),0,IF(Database!$BG390=Screener!$D$10,1,0))</f>
        <v/>
      </c>
      <c r="F390" s="270">
        <f>IF(OR(Database!$BM390="",Screener!$D$11=""),0,IF(Database!$BM390=Screener!$D$11,1,0))</f>
        <v/>
      </c>
      <c r="G390" s="270">
        <f>IF(OR(Database!$H390="",N(Screener!$D$12)&lt;=0),0,MAX(0,1-(N(Screener!$D$12)-Database!$H390)/W_RECD))</f>
        <v/>
      </c>
      <c r="H390" s="270">
        <f>IF($U$1="",0,N(ISNUMBER(SEARCH($U$1,Database!$AC390&amp;""))))+IF($V$1="",0,N(ISNUMBER(SEARCH($V$1,Database!$AC390&amp;""))))+IF($W$1="",0,N(ISNUMBER(SEARCH($W$1,Database!$AC390&amp;""))))+IF($X$1="",0,N(ISNUMBER(SEARCH($X$1,Database!$AC390&amp;""))))+IF($Y$1="",0,N(ISNUMBER(SEARCH($Y$1,Database!$AC390&amp;""))))+IF(Screener!$B$17="",0,N(ISNUMBER(SEARCH(LOWER(Screener!$B$17),Database!$AC390&amp;""))))</f>
        <v/>
      </c>
      <c r="I390" s="270">
        <f>IF(OR(N(Database!$BH390)&lt;=0,N(Screener!$D$13)&lt;=0),0,MAX(0,1-ABS(LOG10(N(Database!$BH390)/Screener!$D$13))/W_PEHW))</f>
        <v/>
      </c>
      <c r="J390" s="270">
        <f>IF(OR(N(Database!$S390)&lt;=0,N(Screener!$D$14)&lt;=0),0,MAX(0,1-ABS(LOG10(Database!$S390/Screener!$D$14))/0.6))</f>
        <v/>
      </c>
      <c r="K390" s="270">
        <f>IF(Database!$B390=Screener!$B$5,-999999,IF(ISNUMBER(SEARCH(","&amp;Database!$A390&amp;",",","&amp;SUBSTITUTE(Screener!$D$17," ","")&amp;",")),2000000,IF(IF(OR(Screener!$B$18="All",AND(Screener!$B$18="With A-share",(Database!$BM390="Y")),AND(Screener!$B$18="Without A-share",NOT((Database!$BM390="Y")))),1,0)=0,-999999,IF(Screener!$B$16="cornerstone overlap first",H390*100000,IF(Screener!$B$16="demand-similar first",J390*100000,0))+W_SUB*B390+W_SEC*C390*(1-B390)+W_SIZE*D390+W_PROF*E390+W_AH*F390+W_REC*G390+W_CS*H390+W_PE*I390)))+ROW()/1000000</f>
        <v/>
      </c>
      <c r="AA390" s="270">
        <f>Database!B379</f>
        <v/>
      </c>
      <c r="AB390" s="270">
        <f>Database!D379</f>
        <v/>
      </c>
      <c r="AC390" s="270">
        <f>Database!E379</f>
        <v/>
      </c>
      <c r="AD390" s="270">
        <f>Database!I379</f>
        <v/>
      </c>
      <c r="AE390" s="270">
        <f>Database!BG379</f>
        <v/>
      </c>
      <c r="AF390" s="270">
        <f>Database!BM379</f>
        <v/>
      </c>
      <c r="AG390" s="270">
        <f>Database!H379</f>
        <v/>
      </c>
      <c r="AH390" s="270">
        <f>Database!BH379</f>
        <v/>
      </c>
    </row>
    <row r="391">
      <c r="A391" s="270">
        <f>Database!B391</f>
        <v/>
      </c>
      <c r="B391" s="270">
        <f>IF(AND(Screener!$D$8&lt;&gt;"",Database!$E391=Screener!$D$8),1,0)</f>
        <v/>
      </c>
      <c r="C391" s="270">
        <f>IF(AND(Screener!$D$7&lt;&gt;"",Database!$D391=Screener!$D$7),1,0)</f>
        <v/>
      </c>
      <c r="D391" s="270">
        <f>IF(OR(N(Database!$I391)&lt;=0,N(Screener!$D$9)&lt;=0),0,MAX(0,1-ABS(LOG10(N(Database!$I391)/Screener!$D$9))/W_SIZEHW))</f>
        <v/>
      </c>
      <c r="E391" s="270">
        <f>IF(OR(Database!$BG391="",Screener!$D$10=""),0,IF(Database!$BG391=Screener!$D$10,1,0))</f>
        <v/>
      </c>
      <c r="F391" s="270">
        <f>IF(OR(Database!$BM391="",Screener!$D$11=""),0,IF(Database!$BM391=Screener!$D$11,1,0))</f>
        <v/>
      </c>
      <c r="G391" s="270">
        <f>IF(OR(Database!$H391="",N(Screener!$D$12)&lt;=0),0,MAX(0,1-(N(Screener!$D$12)-Database!$H391)/W_RECD))</f>
        <v/>
      </c>
      <c r="H391" s="270">
        <f>IF($U$1="",0,N(ISNUMBER(SEARCH($U$1,Database!$AC391&amp;""))))+IF($V$1="",0,N(ISNUMBER(SEARCH($V$1,Database!$AC391&amp;""))))+IF($W$1="",0,N(ISNUMBER(SEARCH($W$1,Database!$AC391&amp;""))))+IF($X$1="",0,N(ISNUMBER(SEARCH($X$1,Database!$AC391&amp;""))))+IF($Y$1="",0,N(ISNUMBER(SEARCH($Y$1,Database!$AC391&amp;""))))+IF(Screener!$B$17="",0,N(ISNUMBER(SEARCH(LOWER(Screener!$B$17),Database!$AC391&amp;""))))</f>
        <v/>
      </c>
      <c r="I391" s="270">
        <f>IF(OR(N(Database!$BH391)&lt;=0,N(Screener!$D$13)&lt;=0),0,MAX(0,1-ABS(LOG10(N(Database!$BH391)/Screener!$D$13))/W_PEHW))</f>
        <v/>
      </c>
      <c r="J391" s="270">
        <f>IF(OR(N(Database!$S391)&lt;=0,N(Screener!$D$14)&lt;=0),0,MAX(0,1-ABS(LOG10(Database!$S391/Screener!$D$14))/0.6))</f>
        <v/>
      </c>
      <c r="K391" s="270">
        <f>IF(Database!$B391=Screener!$B$5,-999999,IF(ISNUMBER(SEARCH(","&amp;Database!$A391&amp;",",","&amp;SUBSTITUTE(Screener!$D$17," ","")&amp;",")),2000000,IF(IF(OR(Screener!$B$18="All",AND(Screener!$B$18="With A-share",(Database!$BM391="Y")),AND(Screener!$B$18="Without A-share",NOT((Database!$BM391="Y")))),1,0)=0,-999999,IF(Screener!$B$16="cornerstone overlap first",H391*100000,IF(Screener!$B$16="demand-similar first",J391*100000,0))+W_SUB*B391+W_SEC*C391*(1-B391)+W_SIZE*D391+W_PROF*E391+W_AH*F391+W_REC*G391+W_CS*H391+W_PE*I391)))+ROW()/1000000</f>
        <v/>
      </c>
      <c r="AA391" s="270">
        <f>Database!B380</f>
        <v/>
      </c>
      <c r="AB391" s="270">
        <f>Database!D380</f>
        <v/>
      </c>
      <c r="AC391" s="270">
        <f>Database!E380</f>
        <v/>
      </c>
      <c r="AD391" s="270">
        <f>Database!I380</f>
        <v/>
      </c>
      <c r="AE391" s="270">
        <f>Database!BG380</f>
        <v/>
      </c>
      <c r="AF391" s="270">
        <f>Database!BM380</f>
        <v/>
      </c>
      <c r="AG391" s="270">
        <f>Database!H380</f>
        <v/>
      </c>
      <c r="AH391" s="270">
        <f>Database!BH380</f>
        <v/>
      </c>
    </row>
    <row r="392">
      <c r="A392" s="270">
        <f>Database!B392</f>
        <v/>
      </c>
      <c r="B392" s="270">
        <f>IF(AND(Screener!$D$8&lt;&gt;"",Database!$E392=Screener!$D$8),1,0)</f>
        <v/>
      </c>
      <c r="C392" s="270">
        <f>IF(AND(Screener!$D$7&lt;&gt;"",Database!$D392=Screener!$D$7),1,0)</f>
        <v/>
      </c>
      <c r="D392" s="270">
        <f>IF(OR(N(Database!$I392)&lt;=0,N(Screener!$D$9)&lt;=0),0,MAX(0,1-ABS(LOG10(N(Database!$I392)/Screener!$D$9))/W_SIZEHW))</f>
        <v/>
      </c>
      <c r="E392" s="270">
        <f>IF(OR(Database!$BG392="",Screener!$D$10=""),0,IF(Database!$BG392=Screener!$D$10,1,0))</f>
        <v/>
      </c>
      <c r="F392" s="270">
        <f>IF(OR(Database!$BM392="",Screener!$D$11=""),0,IF(Database!$BM392=Screener!$D$11,1,0))</f>
        <v/>
      </c>
      <c r="G392" s="270">
        <f>IF(OR(Database!$H392="",N(Screener!$D$12)&lt;=0),0,MAX(0,1-(N(Screener!$D$12)-Database!$H392)/W_RECD))</f>
        <v/>
      </c>
      <c r="H392" s="270">
        <f>IF($U$1="",0,N(ISNUMBER(SEARCH($U$1,Database!$AC392&amp;""))))+IF($V$1="",0,N(ISNUMBER(SEARCH($V$1,Database!$AC392&amp;""))))+IF($W$1="",0,N(ISNUMBER(SEARCH($W$1,Database!$AC392&amp;""))))+IF($X$1="",0,N(ISNUMBER(SEARCH($X$1,Database!$AC392&amp;""))))+IF($Y$1="",0,N(ISNUMBER(SEARCH($Y$1,Database!$AC392&amp;""))))+IF(Screener!$B$17="",0,N(ISNUMBER(SEARCH(LOWER(Screener!$B$17),Database!$AC392&amp;""))))</f>
        <v/>
      </c>
      <c r="I392" s="270">
        <f>IF(OR(N(Database!$BH392)&lt;=0,N(Screener!$D$13)&lt;=0),0,MAX(0,1-ABS(LOG10(N(Database!$BH392)/Screener!$D$13))/W_PEHW))</f>
        <v/>
      </c>
      <c r="J392" s="270">
        <f>IF(OR(N(Database!$S392)&lt;=0,N(Screener!$D$14)&lt;=0),0,MAX(0,1-ABS(LOG10(Database!$S392/Screener!$D$14))/0.6))</f>
        <v/>
      </c>
      <c r="K392" s="270">
        <f>IF(Database!$B392=Screener!$B$5,-999999,IF(ISNUMBER(SEARCH(","&amp;Database!$A392&amp;",",","&amp;SUBSTITUTE(Screener!$D$17," ","")&amp;",")),2000000,IF(IF(OR(Screener!$B$18="All",AND(Screener!$B$18="With A-share",(Database!$BM392="Y")),AND(Screener!$B$18="Without A-share",NOT((Database!$BM392="Y")))),1,0)=0,-999999,IF(Screener!$B$16="cornerstone overlap first",H392*100000,IF(Screener!$B$16="demand-similar first",J392*100000,0))+W_SUB*B392+W_SEC*C392*(1-B392)+W_SIZE*D392+W_PROF*E392+W_AH*F392+W_REC*G392+W_CS*H392+W_PE*I392)))+ROW()/1000000</f>
        <v/>
      </c>
      <c r="AA392" s="270">
        <f>Database!B381</f>
        <v/>
      </c>
      <c r="AB392" s="270">
        <f>Database!D381</f>
        <v/>
      </c>
      <c r="AC392" s="270">
        <f>Database!E381</f>
        <v/>
      </c>
      <c r="AD392" s="270">
        <f>Database!I381</f>
        <v/>
      </c>
      <c r="AE392" s="270">
        <f>Database!BG381</f>
        <v/>
      </c>
      <c r="AF392" s="270">
        <f>Database!BM381</f>
        <v/>
      </c>
      <c r="AG392" s="270">
        <f>Database!H381</f>
        <v/>
      </c>
      <c r="AH392" s="270">
        <f>Database!BH381</f>
        <v/>
      </c>
    </row>
    <row r="393">
      <c r="A393" s="270">
        <f>Database!B393</f>
        <v/>
      </c>
      <c r="B393" s="270">
        <f>IF(AND(Screener!$D$8&lt;&gt;"",Database!$E393=Screener!$D$8),1,0)</f>
        <v/>
      </c>
      <c r="C393" s="270">
        <f>IF(AND(Screener!$D$7&lt;&gt;"",Database!$D393=Screener!$D$7),1,0)</f>
        <v/>
      </c>
      <c r="D393" s="270">
        <f>IF(OR(N(Database!$I393)&lt;=0,N(Screener!$D$9)&lt;=0),0,MAX(0,1-ABS(LOG10(N(Database!$I393)/Screener!$D$9))/W_SIZEHW))</f>
        <v/>
      </c>
      <c r="E393" s="270">
        <f>IF(OR(Database!$BG393="",Screener!$D$10=""),0,IF(Database!$BG393=Screener!$D$10,1,0))</f>
        <v/>
      </c>
      <c r="F393" s="270">
        <f>IF(OR(Database!$BM393="",Screener!$D$11=""),0,IF(Database!$BM393=Screener!$D$11,1,0))</f>
        <v/>
      </c>
      <c r="G393" s="270">
        <f>IF(OR(Database!$H393="",N(Screener!$D$12)&lt;=0),0,MAX(0,1-(N(Screener!$D$12)-Database!$H393)/W_RECD))</f>
        <v/>
      </c>
      <c r="H393" s="270">
        <f>IF($U$1="",0,N(ISNUMBER(SEARCH($U$1,Database!$AC393&amp;""))))+IF($V$1="",0,N(ISNUMBER(SEARCH($V$1,Database!$AC393&amp;""))))+IF($W$1="",0,N(ISNUMBER(SEARCH($W$1,Database!$AC393&amp;""))))+IF($X$1="",0,N(ISNUMBER(SEARCH($X$1,Database!$AC393&amp;""))))+IF($Y$1="",0,N(ISNUMBER(SEARCH($Y$1,Database!$AC393&amp;""))))+IF(Screener!$B$17="",0,N(ISNUMBER(SEARCH(LOWER(Screener!$B$17),Database!$AC393&amp;""))))</f>
        <v/>
      </c>
      <c r="I393" s="270">
        <f>IF(OR(N(Database!$BH393)&lt;=0,N(Screener!$D$13)&lt;=0),0,MAX(0,1-ABS(LOG10(N(Database!$BH393)/Screener!$D$13))/W_PEHW))</f>
        <v/>
      </c>
      <c r="J393" s="270">
        <f>IF(OR(N(Database!$S393)&lt;=0,N(Screener!$D$14)&lt;=0),0,MAX(0,1-ABS(LOG10(Database!$S393/Screener!$D$14))/0.6))</f>
        <v/>
      </c>
      <c r="K393" s="270">
        <f>IF(Database!$B393=Screener!$B$5,-999999,IF(ISNUMBER(SEARCH(","&amp;Database!$A393&amp;",",","&amp;SUBSTITUTE(Screener!$D$17," ","")&amp;",")),2000000,IF(IF(OR(Screener!$B$18="All",AND(Screener!$B$18="With A-share",(Database!$BM393="Y")),AND(Screener!$B$18="Without A-share",NOT((Database!$BM393="Y")))),1,0)=0,-999999,IF(Screener!$B$16="cornerstone overlap first",H393*100000,IF(Screener!$B$16="demand-similar first",J393*100000,0))+W_SUB*B393+W_SEC*C393*(1-B393)+W_SIZE*D393+W_PROF*E393+W_AH*F393+W_REC*G393+W_CS*H393+W_PE*I393)))+ROW()/1000000</f>
        <v/>
      </c>
      <c r="AA393" s="270">
        <f>Database!B382</f>
        <v/>
      </c>
      <c r="AB393" s="270">
        <f>Database!D382</f>
        <v/>
      </c>
      <c r="AC393" s="270">
        <f>Database!E382</f>
        <v/>
      </c>
      <c r="AD393" s="270">
        <f>Database!I382</f>
        <v/>
      </c>
      <c r="AE393" s="270">
        <f>Database!BG382</f>
        <v/>
      </c>
      <c r="AF393" s="270">
        <f>Database!BM382</f>
        <v/>
      </c>
      <c r="AG393" s="270">
        <f>Database!H382</f>
        <v/>
      </c>
      <c r="AH393" s="270">
        <f>Database!BH382</f>
        <v/>
      </c>
    </row>
    <row r="394">
      <c r="A394" s="270">
        <f>Database!B394</f>
        <v/>
      </c>
      <c r="B394" s="270">
        <f>IF(AND(Screener!$D$8&lt;&gt;"",Database!$E394=Screener!$D$8),1,0)</f>
        <v/>
      </c>
      <c r="C394" s="270">
        <f>IF(AND(Screener!$D$7&lt;&gt;"",Database!$D394=Screener!$D$7),1,0)</f>
        <v/>
      </c>
      <c r="D394" s="270">
        <f>IF(OR(N(Database!$I394)&lt;=0,N(Screener!$D$9)&lt;=0),0,MAX(0,1-ABS(LOG10(N(Database!$I394)/Screener!$D$9))/W_SIZEHW))</f>
        <v/>
      </c>
      <c r="E394" s="270">
        <f>IF(OR(Database!$BG394="",Screener!$D$10=""),0,IF(Database!$BG394=Screener!$D$10,1,0))</f>
        <v/>
      </c>
      <c r="F394" s="270">
        <f>IF(OR(Database!$BM394="",Screener!$D$11=""),0,IF(Database!$BM394=Screener!$D$11,1,0))</f>
        <v/>
      </c>
      <c r="G394" s="270">
        <f>IF(OR(Database!$H394="",N(Screener!$D$12)&lt;=0),0,MAX(0,1-(N(Screener!$D$12)-Database!$H394)/W_RECD))</f>
        <v/>
      </c>
      <c r="H394" s="270">
        <f>IF($U$1="",0,N(ISNUMBER(SEARCH($U$1,Database!$AC394&amp;""))))+IF($V$1="",0,N(ISNUMBER(SEARCH($V$1,Database!$AC394&amp;""))))+IF($W$1="",0,N(ISNUMBER(SEARCH($W$1,Database!$AC394&amp;""))))+IF($X$1="",0,N(ISNUMBER(SEARCH($X$1,Database!$AC394&amp;""))))+IF($Y$1="",0,N(ISNUMBER(SEARCH($Y$1,Database!$AC394&amp;""))))+IF(Screener!$B$17="",0,N(ISNUMBER(SEARCH(LOWER(Screener!$B$17),Database!$AC394&amp;""))))</f>
        <v/>
      </c>
      <c r="I394" s="270">
        <f>IF(OR(N(Database!$BH394)&lt;=0,N(Screener!$D$13)&lt;=0),0,MAX(0,1-ABS(LOG10(N(Database!$BH394)/Screener!$D$13))/W_PEHW))</f>
        <v/>
      </c>
      <c r="J394" s="270">
        <f>IF(OR(N(Database!$S394)&lt;=0,N(Screener!$D$14)&lt;=0),0,MAX(0,1-ABS(LOG10(Database!$S394/Screener!$D$14))/0.6))</f>
        <v/>
      </c>
      <c r="K394" s="270">
        <f>IF(Database!$B394=Screener!$B$5,-999999,IF(ISNUMBER(SEARCH(","&amp;Database!$A394&amp;",",","&amp;SUBSTITUTE(Screener!$D$17," ","")&amp;",")),2000000,IF(IF(OR(Screener!$B$18="All",AND(Screener!$B$18="With A-share",(Database!$BM394="Y")),AND(Screener!$B$18="Without A-share",NOT((Database!$BM394="Y")))),1,0)=0,-999999,IF(Screener!$B$16="cornerstone overlap first",H394*100000,IF(Screener!$B$16="demand-similar first",J394*100000,0))+W_SUB*B394+W_SEC*C394*(1-B394)+W_SIZE*D394+W_PROF*E394+W_AH*F394+W_REC*G394+W_CS*H394+W_PE*I394)))+ROW()/1000000</f>
        <v/>
      </c>
      <c r="AA394" s="270">
        <f>Database!B383</f>
        <v/>
      </c>
      <c r="AB394" s="270">
        <f>Database!D383</f>
        <v/>
      </c>
      <c r="AC394" s="270">
        <f>Database!E383</f>
        <v/>
      </c>
      <c r="AD394" s="270">
        <f>Database!I383</f>
        <v/>
      </c>
      <c r="AE394" s="270">
        <f>Database!BG383</f>
        <v/>
      </c>
      <c r="AF394" s="270">
        <f>Database!BM383</f>
        <v/>
      </c>
      <c r="AG394" s="270">
        <f>Database!H383</f>
        <v/>
      </c>
      <c r="AH394" s="270">
        <f>Database!BH383</f>
        <v/>
      </c>
    </row>
    <row r="395">
      <c r="A395" s="270">
        <f>Database!B395</f>
        <v/>
      </c>
      <c r="B395" s="270">
        <f>IF(AND(Screener!$D$8&lt;&gt;"",Database!$E395=Screener!$D$8),1,0)</f>
        <v/>
      </c>
      <c r="C395" s="270">
        <f>IF(AND(Screener!$D$7&lt;&gt;"",Database!$D395=Screener!$D$7),1,0)</f>
        <v/>
      </c>
      <c r="D395" s="270">
        <f>IF(OR(N(Database!$I395)&lt;=0,N(Screener!$D$9)&lt;=0),0,MAX(0,1-ABS(LOG10(N(Database!$I395)/Screener!$D$9))/W_SIZEHW))</f>
        <v/>
      </c>
      <c r="E395" s="270">
        <f>IF(OR(Database!$BG395="",Screener!$D$10=""),0,IF(Database!$BG395=Screener!$D$10,1,0))</f>
        <v/>
      </c>
      <c r="F395" s="270">
        <f>IF(OR(Database!$BM395="",Screener!$D$11=""),0,IF(Database!$BM395=Screener!$D$11,1,0))</f>
        <v/>
      </c>
      <c r="G395" s="270">
        <f>IF(OR(Database!$H395="",N(Screener!$D$12)&lt;=0),0,MAX(0,1-(N(Screener!$D$12)-Database!$H395)/W_RECD))</f>
        <v/>
      </c>
      <c r="H395" s="270">
        <f>IF($U$1="",0,N(ISNUMBER(SEARCH($U$1,Database!$AC395&amp;""))))+IF($V$1="",0,N(ISNUMBER(SEARCH($V$1,Database!$AC395&amp;""))))+IF($W$1="",0,N(ISNUMBER(SEARCH($W$1,Database!$AC395&amp;""))))+IF($X$1="",0,N(ISNUMBER(SEARCH($X$1,Database!$AC395&amp;""))))+IF($Y$1="",0,N(ISNUMBER(SEARCH($Y$1,Database!$AC395&amp;""))))+IF(Screener!$B$17="",0,N(ISNUMBER(SEARCH(LOWER(Screener!$B$17),Database!$AC395&amp;""))))</f>
        <v/>
      </c>
      <c r="I395" s="270">
        <f>IF(OR(N(Database!$BH395)&lt;=0,N(Screener!$D$13)&lt;=0),0,MAX(0,1-ABS(LOG10(N(Database!$BH395)/Screener!$D$13))/W_PEHW))</f>
        <v/>
      </c>
      <c r="J395" s="270">
        <f>IF(OR(N(Database!$S395)&lt;=0,N(Screener!$D$14)&lt;=0),0,MAX(0,1-ABS(LOG10(Database!$S395/Screener!$D$14))/0.6))</f>
        <v/>
      </c>
      <c r="K395" s="270">
        <f>IF(Database!$B395=Screener!$B$5,-999999,IF(ISNUMBER(SEARCH(","&amp;Database!$A395&amp;",",","&amp;SUBSTITUTE(Screener!$D$17," ","")&amp;",")),2000000,IF(IF(OR(Screener!$B$18="All",AND(Screener!$B$18="With A-share",(Database!$BM395="Y")),AND(Screener!$B$18="Without A-share",NOT((Database!$BM395="Y")))),1,0)=0,-999999,IF(Screener!$B$16="cornerstone overlap first",H395*100000,IF(Screener!$B$16="demand-similar first",J395*100000,0))+W_SUB*B395+W_SEC*C395*(1-B395)+W_SIZE*D395+W_PROF*E395+W_AH*F395+W_REC*G395+W_CS*H395+W_PE*I395)))+ROW()/1000000</f>
        <v/>
      </c>
      <c r="AA395" s="270">
        <f>Database!B384</f>
        <v/>
      </c>
      <c r="AB395" s="270">
        <f>Database!D384</f>
        <v/>
      </c>
      <c r="AC395" s="270">
        <f>Database!E384</f>
        <v/>
      </c>
      <c r="AD395" s="270">
        <f>Database!I384</f>
        <v/>
      </c>
      <c r="AE395" s="270">
        <f>Database!BG384</f>
        <v/>
      </c>
      <c r="AF395" s="270">
        <f>Database!BM384</f>
        <v/>
      </c>
      <c r="AG395" s="270">
        <f>Database!H384</f>
        <v/>
      </c>
      <c r="AH395" s="270">
        <f>Database!BH384</f>
        <v/>
      </c>
    </row>
    <row r="396">
      <c r="A396" s="270">
        <f>Database!B396</f>
        <v/>
      </c>
      <c r="B396" s="270">
        <f>IF(AND(Screener!$D$8&lt;&gt;"",Database!$E396=Screener!$D$8),1,0)</f>
        <v/>
      </c>
      <c r="C396" s="270">
        <f>IF(AND(Screener!$D$7&lt;&gt;"",Database!$D396=Screener!$D$7),1,0)</f>
        <v/>
      </c>
      <c r="D396" s="270">
        <f>IF(OR(N(Database!$I396)&lt;=0,N(Screener!$D$9)&lt;=0),0,MAX(0,1-ABS(LOG10(N(Database!$I396)/Screener!$D$9))/W_SIZEHW))</f>
        <v/>
      </c>
      <c r="E396" s="270">
        <f>IF(OR(Database!$BG396="",Screener!$D$10=""),0,IF(Database!$BG396=Screener!$D$10,1,0))</f>
        <v/>
      </c>
      <c r="F396" s="270">
        <f>IF(OR(Database!$BM396="",Screener!$D$11=""),0,IF(Database!$BM396=Screener!$D$11,1,0))</f>
        <v/>
      </c>
      <c r="G396" s="270">
        <f>IF(OR(Database!$H396="",N(Screener!$D$12)&lt;=0),0,MAX(0,1-(N(Screener!$D$12)-Database!$H396)/W_RECD))</f>
        <v/>
      </c>
      <c r="H396" s="270">
        <f>IF($U$1="",0,N(ISNUMBER(SEARCH($U$1,Database!$AC396&amp;""))))+IF($V$1="",0,N(ISNUMBER(SEARCH($V$1,Database!$AC396&amp;""))))+IF($W$1="",0,N(ISNUMBER(SEARCH($W$1,Database!$AC396&amp;""))))+IF($X$1="",0,N(ISNUMBER(SEARCH($X$1,Database!$AC396&amp;""))))+IF($Y$1="",0,N(ISNUMBER(SEARCH($Y$1,Database!$AC396&amp;""))))+IF(Screener!$B$17="",0,N(ISNUMBER(SEARCH(LOWER(Screener!$B$17),Database!$AC396&amp;""))))</f>
        <v/>
      </c>
      <c r="I396" s="270">
        <f>IF(OR(N(Database!$BH396)&lt;=0,N(Screener!$D$13)&lt;=0),0,MAX(0,1-ABS(LOG10(N(Database!$BH396)/Screener!$D$13))/W_PEHW))</f>
        <v/>
      </c>
      <c r="J396" s="270">
        <f>IF(OR(N(Database!$S396)&lt;=0,N(Screener!$D$14)&lt;=0),0,MAX(0,1-ABS(LOG10(Database!$S396/Screener!$D$14))/0.6))</f>
        <v/>
      </c>
      <c r="K396" s="270">
        <f>IF(Database!$B396=Screener!$B$5,-999999,IF(ISNUMBER(SEARCH(","&amp;Database!$A396&amp;",",","&amp;SUBSTITUTE(Screener!$D$17," ","")&amp;",")),2000000,IF(IF(OR(Screener!$B$18="All",AND(Screener!$B$18="With A-share",(Database!$BM396="Y")),AND(Screener!$B$18="Without A-share",NOT((Database!$BM396="Y")))),1,0)=0,-999999,IF(Screener!$B$16="cornerstone overlap first",H396*100000,IF(Screener!$B$16="demand-similar first",J396*100000,0))+W_SUB*B396+W_SEC*C396*(1-B396)+W_SIZE*D396+W_PROF*E396+W_AH*F396+W_REC*G396+W_CS*H396+W_PE*I396)))+ROW()/1000000</f>
        <v/>
      </c>
      <c r="AA396" s="270">
        <f>Database!B385</f>
        <v/>
      </c>
      <c r="AB396" s="270">
        <f>Database!D385</f>
        <v/>
      </c>
      <c r="AC396" s="270">
        <f>Database!E385</f>
        <v/>
      </c>
      <c r="AD396" s="270">
        <f>Database!I385</f>
        <v/>
      </c>
      <c r="AE396" s="270">
        <f>Database!BG385</f>
        <v/>
      </c>
      <c r="AF396" s="270">
        <f>Database!BM385</f>
        <v/>
      </c>
      <c r="AG396" s="270">
        <f>Database!H385</f>
        <v/>
      </c>
      <c r="AH396" s="270">
        <f>Database!BH385</f>
        <v/>
      </c>
    </row>
    <row r="397">
      <c r="A397" s="270">
        <f>Database!B397</f>
        <v/>
      </c>
      <c r="B397" s="270">
        <f>IF(AND(Screener!$D$8&lt;&gt;"",Database!$E397=Screener!$D$8),1,0)</f>
        <v/>
      </c>
      <c r="C397" s="270">
        <f>IF(AND(Screener!$D$7&lt;&gt;"",Database!$D397=Screener!$D$7),1,0)</f>
        <v/>
      </c>
      <c r="D397" s="270">
        <f>IF(OR(N(Database!$I397)&lt;=0,N(Screener!$D$9)&lt;=0),0,MAX(0,1-ABS(LOG10(N(Database!$I397)/Screener!$D$9))/W_SIZEHW))</f>
        <v/>
      </c>
      <c r="E397" s="270">
        <f>IF(OR(Database!$BG397="",Screener!$D$10=""),0,IF(Database!$BG397=Screener!$D$10,1,0))</f>
        <v/>
      </c>
      <c r="F397" s="270">
        <f>IF(OR(Database!$BM397="",Screener!$D$11=""),0,IF(Database!$BM397=Screener!$D$11,1,0))</f>
        <v/>
      </c>
      <c r="G397" s="270">
        <f>IF(OR(Database!$H397="",N(Screener!$D$12)&lt;=0),0,MAX(0,1-(N(Screener!$D$12)-Database!$H397)/W_RECD))</f>
        <v/>
      </c>
      <c r="H397" s="270">
        <f>IF($U$1="",0,N(ISNUMBER(SEARCH($U$1,Database!$AC397&amp;""))))+IF($V$1="",0,N(ISNUMBER(SEARCH($V$1,Database!$AC397&amp;""))))+IF($W$1="",0,N(ISNUMBER(SEARCH($W$1,Database!$AC397&amp;""))))+IF($X$1="",0,N(ISNUMBER(SEARCH($X$1,Database!$AC397&amp;""))))+IF($Y$1="",0,N(ISNUMBER(SEARCH($Y$1,Database!$AC397&amp;""))))+IF(Screener!$B$17="",0,N(ISNUMBER(SEARCH(LOWER(Screener!$B$17),Database!$AC397&amp;""))))</f>
        <v/>
      </c>
      <c r="I397" s="270">
        <f>IF(OR(N(Database!$BH397)&lt;=0,N(Screener!$D$13)&lt;=0),0,MAX(0,1-ABS(LOG10(N(Database!$BH397)/Screener!$D$13))/W_PEHW))</f>
        <v/>
      </c>
      <c r="J397" s="270">
        <f>IF(OR(N(Database!$S397)&lt;=0,N(Screener!$D$14)&lt;=0),0,MAX(0,1-ABS(LOG10(Database!$S397/Screener!$D$14))/0.6))</f>
        <v/>
      </c>
      <c r="K397" s="270">
        <f>IF(Database!$B397=Screener!$B$5,-999999,IF(ISNUMBER(SEARCH(","&amp;Database!$A397&amp;",",","&amp;SUBSTITUTE(Screener!$D$17," ","")&amp;",")),2000000,IF(IF(OR(Screener!$B$18="All",AND(Screener!$B$18="With A-share",(Database!$BM397="Y")),AND(Screener!$B$18="Without A-share",NOT((Database!$BM397="Y")))),1,0)=0,-999999,IF(Screener!$B$16="cornerstone overlap first",H397*100000,IF(Screener!$B$16="demand-similar first",J397*100000,0))+W_SUB*B397+W_SEC*C397*(1-B397)+W_SIZE*D397+W_PROF*E397+W_AH*F397+W_REC*G397+W_CS*H397+W_PE*I397)))+ROW()/1000000</f>
        <v/>
      </c>
      <c r="AA397" s="270">
        <f>Database!B386</f>
        <v/>
      </c>
      <c r="AB397" s="270">
        <f>Database!D386</f>
        <v/>
      </c>
      <c r="AC397" s="270">
        <f>Database!E386</f>
        <v/>
      </c>
      <c r="AD397" s="270">
        <f>Database!I386</f>
        <v/>
      </c>
      <c r="AE397" s="270">
        <f>Database!BG386</f>
        <v/>
      </c>
      <c r="AF397" s="270">
        <f>Database!BM386</f>
        <v/>
      </c>
      <c r="AG397" s="270">
        <f>Database!H386</f>
        <v/>
      </c>
      <c r="AH397" s="270">
        <f>Database!BH386</f>
        <v/>
      </c>
    </row>
    <row r="398">
      <c r="A398" s="270">
        <f>Database!B398</f>
        <v/>
      </c>
      <c r="B398" s="270">
        <f>IF(AND(Screener!$D$8&lt;&gt;"",Database!$E398=Screener!$D$8),1,0)</f>
        <v/>
      </c>
      <c r="C398" s="270">
        <f>IF(AND(Screener!$D$7&lt;&gt;"",Database!$D398=Screener!$D$7),1,0)</f>
        <v/>
      </c>
      <c r="D398" s="270">
        <f>IF(OR(N(Database!$I398)&lt;=0,N(Screener!$D$9)&lt;=0),0,MAX(0,1-ABS(LOG10(N(Database!$I398)/Screener!$D$9))/W_SIZEHW))</f>
        <v/>
      </c>
      <c r="E398" s="270">
        <f>IF(OR(Database!$BG398="",Screener!$D$10=""),0,IF(Database!$BG398=Screener!$D$10,1,0))</f>
        <v/>
      </c>
      <c r="F398" s="270">
        <f>IF(OR(Database!$BM398="",Screener!$D$11=""),0,IF(Database!$BM398=Screener!$D$11,1,0))</f>
        <v/>
      </c>
      <c r="G398" s="270">
        <f>IF(OR(Database!$H398="",N(Screener!$D$12)&lt;=0),0,MAX(0,1-(N(Screener!$D$12)-Database!$H398)/W_RECD))</f>
        <v/>
      </c>
      <c r="H398" s="270">
        <f>IF($U$1="",0,N(ISNUMBER(SEARCH($U$1,Database!$AC398&amp;""))))+IF($V$1="",0,N(ISNUMBER(SEARCH($V$1,Database!$AC398&amp;""))))+IF($W$1="",0,N(ISNUMBER(SEARCH($W$1,Database!$AC398&amp;""))))+IF($X$1="",0,N(ISNUMBER(SEARCH($X$1,Database!$AC398&amp;""))))+IF($Y$1="",0,N(ISNUMBER(SEARCH($Y$1,Database!$AC398&amp;""))))+IF(Screener!$B$17="",0,N(ISNUMBER(SEARCH(LOWER(Screener!$B$17),Database!$AC398&amp;""))))</f>
        <v/>
      </c>
      <c r="I398" s="270">
        <f>IF(OR(N(Database!$BH398)&lt;=0,N(Screener!$D$13)&lt;=0),0,MAX(0,1-ABS(LOG10(N(Database!$BH398)/Screener!$D$13))/W_PEHW))</f>
        <v/>
      </c>
      <c r="J398" s="270">
        <f>IF(OR(N(Database!$S398)&lt;=0,N(Screener!$D$14)&lt;=0),0,MAX(0,1-ABS(LOG10(Database!$S398/Screener!$D$14))/0.6))</f>
        <v/>
      </c>
      <c r="K398" s="270">
        <f>IF(Database!$B398=Screener!$B$5,-999999,IF(ISNUMBER(SEARCH(","&amp;Database!$A398&amp;",",","&amp;SUBSTITUTE(Screener!$D$17," ","")&amp;",")),2000000,IF(IF(OR(Screener!$B$18="All",AND(Screener!$B$18="With A-share",(Database!$BM398="Y")),AND(Screener!$B$18="Without A-share",NOT((Database!$BM398="Y")))),1,0)=0,-999999,IF(Screener!$B$16="cornerstone overlap first",H398*100000,IF(Screener!$B$16="demand-similar first",J398*100000,0))+W_SUB*B398+W_SEC*C398*(1-B398)+W_SIZE*D398+W_PROF*E398+W_AH*F398+W_REC*G398+W_CS*H398+W_PE*I398)))+ROW()/1000000</f>
        <v/>
      </c>
      <c r="AA398" s="270">
        <f>Database!B387</f>
        <v/>
      </c>
      <c r="AB398" s="270">
        <f>Database!D387</f>
        <v/>
      </c>
      <c r="AC398" s="270">
        <f>Database!E387</f>
        <v/>
      </c>
      <c r="AD398" s="270">
        <f>Database!I387</f>
        <v/>
      </c>
      <c r="AE398" s="270">
        <f>Database!BG387</f>
        <v/>
      </c>
      <c r="AF398" s="270">
        <f>Database!BM387</f>
        <v/>
      </c>
      <c r="AG398" s="270">
        <f>Database!H387</f>
        <v/>
      </c>
      <c r="AH398" s="270">
        <f>Database!BH387</f>
        <v/>
      </c>
    </row>
    <row r="399">
      <c r="A399" s="270">
        <f>Database!B399</f>
        <v/>
      </c>
      <c r="B399" s="270">
        <f>IF(AND(Screener!$D$8&lt;&gt;"",Database!$E399=Screener!$D$8),1,0)</f>
        <v/>
      </c>
      <c r="C399" s="270">
        <f>IF(AND(Screener!$D$7&lt;&gt;"",Database!$D399=Screener!$D$7),1,0)</f>
        <v/>
      </c>
      <c r="D399" s="270">
        <f>IF(OR(N(Database!$I399)&lt;=0,N(Screener!$D$9)&lt;=0),0,MAX(0,1-ABS(LOG10(N(Database!$I399)/Screener!$D$9))/W_SIZEHW))</f>
        <v/>
      </c>
      <c r="E399" s="270">
        <f>IF(OR(Database!$BG399="",Screener!$D$10=""),0,IF(Database!$BG399=Screener!$D$10,1,0))</f>
        <v/>
      </c>
      <c r="F399" s="270">
        <f>IF(OR(Database!$BM399="",Screener!$D$11=""),0,IF(Database!$BM399=Screener!$D$11,1,0))</f>
        <v/>
      </c>
      <c r="G399" s="270">
        <f>IF(OR(Database!$H399="",N(Screener!$D$12)&lt;=0),0,MAX(0,1-(N(Screener!$D$12)-Database!$H399)/W_RECD))</f>
        <v/>
      </c>
      <c r="H399" s="270">
        <f>IF($U$1="",0,N(ISNUMBER(SEARCH($U$1,Database!$AC399&amp;""))))+IF($V$1="",0,N(ISNUMBER(SEARCH($V$1,Database!$AC399&amp;""))))+IF($W$1="",0,N(ISNUMBER(SEARCH($W$1,Database!$AC399&amp;""))))+IF($X$1="",0,N(ISNUMBER(SEARCH($X$1,Database!$AC399&amp;""))))+IF($Y$1="",0,N(ISNUMBER(SEARCH($Y$1,Database!$AC399&amp;""))))+IF(Screener!$B$17="",0,N(ISNUMBER(SEARCH(LOWER(Screener!$B$17),Database!$AC399&amp;""))))</f>
        <v/>
      </c>
      <c r="I399" s="270">
        <f>IF(OR(N(Database!$BH399)&lt;=0,N(Screener!$D$13)&lt;=0),0,MAX(0,1-ABS(LOG10(N(Database!$BH399)/Screener!$D$13))/W_PEHW))</f>
        <v/>
      </c>
      <c r="J399" s="270">
        <f>IF(OR(N(Database!$S399)&lt;=0,N(Screener!$D$14)&lt;=0),0,MAX(0,1-ABS(LOG10(Database!$S399/Screener!$D$14))/0.6))</f>
        <v/>
      </c>
      <c r="K399" s="270">
        <f>IF(Database!$B399=Screener!$B$5,-999999,IF(ISNUMBER(SEARCH(","&amp;Database!$A399&amp;",",","&amp;SUBSTITUTE(Screener!$D$17," ","")&amp;",")),2000000,IF(IF(OR(Screener!$B$18="All",AND(Screener!$B$18="With A-share",(Database!$BM399="Y")),AND(Screener!$B$18="Without A-share",NOT((Database!$BM399="Y")))),1,0)=0,-999999,IF(Screener!$B$16="cornerstone overlap first",H399*100000,IF(Screener!$B$16="demand-similar first",J399*100000,0))+W_SUB*B399+W_SEC*C399*(1-B399)+W_SIZE*D399+W_PROF*E399+W_AH*F399+W_REC*G399+W_CS*H399+W_PE*I399)))+ROW()/1000000</f>
        <v/>
      </c>
      <c r="AA399" s="270">
        <f>Database!B388</f>
        <v/>
      </c>
      <c r="AB399" s="270">
        <f>Database!D388</f>
        <v/>
      </c>
      <c r="AC399" s="270">
        <f>Database!E388</f>
        <v/>
      </c>
      <c r="AD399" s="270">
        <f>Database!I388</f>
        <v/>
      </c>
      <c r="AE399" s="270">
        <f>Database!BG388</f>
        <v/>
      </c>
      <c r="AF399" s="270">
        <f>Database!BM388</f>
        <v/>
      </c>
      <c r="AG399" s="270">
        <f>Database!H388</f>
        <v/>
      </c>
      <c r="AH399" s="270">
        <f>Database!BH388</f>
        <v/>
      </c>
    </row>
    <row r="400">
      <c r="A400" s="270">
        <f>Database!B400</f>
        <v/>
      </c>
      <c r="B400" s="270">
        <f>IF(AND(Screener!$D$8&lt;&gt;"",Database!$E400=Screener!$D$8),1,0)</f>
        <v/>
      </c>
      <c r="C400" s="270">
        <f>IF(AND(Screener!$D$7&lt;&gt;"",Database!$D400=Screener!$D$7),1,0)</f>
        <v/>
      </c>
      <c r="D400" s="270">
        <f>IF(OR(N(Database!$I400)&lt;=0,N(Screener!$D$9)&lt;=0),0,MAX(0,1-ABS(LOG10(N(Database!$I400)/Screener!$D$9))/W_SIZEHW))</f>
        <v/>
      </c>
      <c r="E400" s="270">
        <f>IF(OR(Database!$BG400="",Screener!$D$10=""),0,IF(Database!$BG400=Screener!$D$10,1,0))</f>
        <v/>
      </c>
      <c r="F400" s="270">
        <f>IF(OR(Database!$BM400="",Screener!$D$11=""),0,IF(Database!$BM400=Screener!$D$11,1,0))</f>
        <v/>
      </c>
      <c r="G400" s="270">
        <f>IF(OR(Database!$H400="",N(Screener!$D$12)&lt;=0),0,MAX(0,1-(N(Screener!$D$12)-Database!$H400)/W_RECD))</f>
        <v/>
      </c>
      <c r="H400" s="270">
        <f>IF($U$1="",0,N(ISNUMBER(SEARCH($U$1,Database!$AC400&amp;""))))+IF($V$1="",0,N(ISNUMBER(SEARCH($V$1,Database!$AC400&amp;""))))+IF($W$1="",0,N(ISNUMBER(SEARCH($W$1,Database!$AC400&amp;""))))+IF($X$1="",0,N(ISNUMBER(SEARCH($X$1,Database!$AC400&amp;""))))+IF($Y$1="",0,N(ISNUMBER(SEARCH($Y$1,Database!$AC400&amp;""))))+IF(Screener!$B$17="",0,N(ISNUMBER(SEARCH(LOWER(Screener!$B$17),Database!$AC400&amp;""))))</f>
        <v/>
      </c>
      <c r="I400" s="270">
        <f>IF(OR(N(Database!$BH400)&lt;=0,N(Screener!$D$13)&lt;=0),0,MAX(0,1-ABS(LOG10(N(Database!$BH400)/Screener!$D$13))/W_PEHW))</f>
        <v/>
      </c>
      <c r="J400" s="270">
        <f>IF(OR(N(Database!$S400)&lt;=0,N(Screener!$D$14)&lt;=0),0,MAX(0,1-ABS(LOG10(Database!$S400/Screener!$D$14))/0.6))</f>
        <v/>
      </c>
      <c r="K400" s="270">
        <f>IF(Database!$B400=Screener!$B$5,-999999,IF(ISNUMBER(SEARCH(","&amp;Database!$A400&amp;",",","&amp;SUBSTITUTE(Screener!$D$17," ","")&amp;",")),2000000,IF(IF(OR(Screener!$B$18="All",AND(Screener!$B$18="With A-share",(Database!$BM400="Y")),AND(Screener!$B$18="Without A-share",NOT((Database!$BM400="Y")))),1,0)=0,-999999,IF(Screener!$B$16="cornerstone overlap first",H400*100000,IF(Screener!$B$16="demand-similar first",J400*100000,0))+W_SUB*B400+W_SEC*C400*(1-B400)+W_SIZE*D400+W_PROF*E400+W_AH*F400+W_REC*G400+W_CS*H400+W_PE*I400)))+ROW()/1000000</f>
        <v/>
      </c>
      <c r="AA400" s="270">
        <f>Database!B389</f>
        <v/>
      </c>
      <c r="AB400" s="270">
        <f>Database!D389</f>
        <v/>
      </c>
      <c r="AC400" s="270">
        <f>Database!E389</f>
        <v/>
      </c>
      <c r="AD400" s="270">
        <f>Database!I389</f>
        <v/>
      </c>
      <c r="AE400" s="270">
        <f>Database!BG389</f>
        <v/>
      </c>
      <c r="AF400" s="270">
        <f>Database!BM389</f>
        <v/>
      </c>
      <c r="AG400" s="270">
        <f>Database!H389</f>
        <v/>
      </c>
      <c r="AH400" s="270">
        <f>Database!BH389</f>
        <v/>
      </c>
    </row>
    <row r="401">
      <c r="A401" s="270">
        <f>Database!B401</f>
        <v/>
      </c>
      <c r="B401" s="270">
        <f>IF(AND(Screener!$D$8&lt;&gt;"",Database!$E401=Screener!$D$8),1,0)</f>
        <v/>
      </c>
      <c r="C401" s="270">
        <f>IF(AND(Screener!$D$7&lt;&gt;"",Database!$D401=Screener!$D$7),1,0)</f>
        <v/>
      </c>
      <c r="D401" s="270">
        <f>IF(OR(N(Database!$I401)&lt;=0,N(Screener!$D$9)&lt;=0),0,MAX(0,1-ABS(LOG10(N(Database!$I401)/Screener!$D$9))/W_SIZEHW))</f>
        <v/>
      </c>
      <c r="E401" s="270">
        <f>IF(OR(Database!$BG401="",Screener!$D$10=""),0,IF(Database!$BG401=Screener!$D$10,1,0))</f>
        <v/>
      </c>
      <c r="F401" s="270">
        <f>IF(OR(Database!$BM401="",Screener!$D$11=""),0,IF(Database!$BM401=Screener!$D$11,1,0))</f>
        <v/>
      </c>
      <c r="G401" s="270">
        <f>IF(OR(Database!$H401="",N(Screener!$D$12)&lt;=0),0,MAX(0,1-(N(Screener!$D$12)-Database!$H401)/W_RECD))</f>
        <v/>
      </c>
      <c r="H401" s="270">
        <f>IF($U$1="",0,N(ISNUMBER(SEARCH($U$1,Database!$AC401&amp;""))))+IF($V$1="",0,N(ISNUMBER(SEARCH($V$1,Database!$AC401&amp;""))))+IF($W$1="",0,N(ISNUMBER(SEARCH($W$1,Database!$AC401&amp;""))))+IF($X$1="",0,N(ISNUMBER(SEARCH($X$1,Database!$AC401&amp;""))))+IF($Y$1="",0,N(ISNUMBER(SEARCH($Y$1,Database!$AC401&amp;""))))+IF(Screener!$B$17="",0,N(ISNUMBER(SEARCH(LOWER(Screener!$B$17),Database!$AC401&amp;""))))</f>
        <v/>
      </c>
      <c r="I401" s="270">
        <f>IF(OR(N(Database!$BH401)&lt;=0,N(Screener!$D$13)&lt;=0),0,MAX(0,1-ABS(LOG10(N(Database!$BH401)/Screener!$D$13))/W_PEHW))</f>
        <v/>
      </c>
      <c r="J401" s="270">
        <f>IF(OR(N(Database!$S401)&lt;=0,N(Screener!$D$14)&lt;=0),0,MAX(0,1-ABS(LOG10(Database!$S401/Screener!$D$14))/0.6))</f>
        <v/>
      </c>
      <c r="K401" s="270">
        <f>IF(Database!$B401=Screener!$B$5,-999999,IF(ISNUMBER(SEARCH(","&amp;Database!$A401&amp;",",","&amp;SUBSTITUTE(Screener!$D$17," ","")&amp;",")),2000000,IF(IF(OR(Screener!$B$18="All",AND(Screener!$B$18="With A-share",(Database!$BM401="Y")),AND(Screener!$B$18="Without A-share",NOT((Database!$BM401="Y")))),1,0)=0,-999999,IF(Screener!$B$16="cornerstone overlap first",H401*100000,IF(Screener!$B$16="demand-similar first",J401*100000,0))+W_SUB*B401+W_SEC*C401*(1-B401)+W_SIZE*D401+W_PROF*E401+W_AH*F401+W_REC*G401+W_CS*H401+W_PE*I401)))+ROW()/1000000</f>
        <v/>
      </c>
      <c r="AA401" s="270">
        <f>Database!B390</f>
        <v/>
      </c>
      <c r="AB401" s="270">
        <f>Database!D390</f>
        <v/>
      </c>
      <c r="AC401" s="270">
        <f>Database!E390</f>
        <v/>
      </c>
      <c r="AD401" s="270">
        <f>Database!I390</f>
        <v/>
      </c>
      <c r="AE401" s="270">
        <f>Database!BG390</f>
        <v/>
      </c>
      <c r="AF401" s="270">
        <f>Database!BM390</f>
        <v/>
      </c>
      <c r="AG401" s="270">
        <f>Database!H390</f>
        <v/>
      </c>
      <c r="AH401" s="270">
        <f>Database!BH390</f>
        <v/>
      </c>
    </row>
    <row r="402">
      <c r="A402" s="270">
        <f>Database!B402</f>
        <v/>
      </c>
      <c r="B402" s="270">
        <f>IF(AND(Screener!$D$8&lt;&gt;"",Database!$E402=Screener!$D$8),1,0)</f>
        <v/>
      </c>
      <c r="C402" s="270">
        <f>IF(AND(Screener!$D$7&lt;&gt;"",Database!$D402=Screener!$D$7),1,0)</f>
        <v/>
      </c>
      <c r="D402" s="270">
        <f>IF(OR(N(Database!$I402)&lt;=0,N(Screener!$D$9)&lt;=0),0,MAX(0,1-ABS(LOG10(N(Database!$I402)/Screener!$D$9))/W_SIZEHW))</f>
        <v/>
      </c>
      <c r="E402" s="270">
        <f>IF(OR(Database!$BG402="",Screener!$D$10=""),0,IF(Database!$BG402=Screener!$D$10,1,0))</f>
        <v/>
      </c>
      <c r="F402" s="270">
        <f>IF(OR(Database!$BM402="",Screener!$D$11=""),0,IF(Database!$BM402=Screener!$D$11,1,0))</f>
        <v/>
      </c>
      <c r="G402" s="270">
        <f>IF(OR(Database!$H402="",N(Screener!$D$12)&lt;=0),0,MAX(0,1-(N(Screener!$D$12)-Database!$H402)/W_RECD))</f>
        <v/>
      </c>
      <c r="H402" s="270">
        <f>IF($U$1="",0,N(ISNUMBER(SEARCH($U$1,Database!$AC402&amp;""))))+IF($V$1="",0,N(ISNUMBER(SEARCH($V$1,Database!$AC402&amp;""))))+IF($W$1="",0,N(ISNUMBER(SEARCH($W$1,Database!$AC402&amp;""))))+IF($X$1="",0,N(ISNUMBER(SEARCH($X$1,Database!$AC402&amp;""))))+IF($Y$1="",0,N(ISNUMBER(SEARCH($Y$1,Database!$AC402&amp;""))))+IF(Screener!$B$17="",0,N(ISNUMBER(SEARCH(LOWER(Screener!$B$17),Database!$AC402&amp;""))))</f>
        <v/>
      </c>
      <c r="I402" s="270">
        <f>IF(OR(N(Database!$BH402)&lt;=0,N(Screener!$D$13)&lt;=0),0,MAX(0,1-ABS(LOG10(N(Database!$BH402)/Screener!$D$13))/W_PEHW))</f>
        <v/>
      </c>
      <c r="J402" s="270">
        <f>IF(OR(N(Database!$S402)&lt;=0,N(Screener!$D$14)&lt;=0),0,MAX(0,1-ABS(LOG10(Database!$S402/Screener!$D$14))/0.6))</f>
        <v/>
      </c>
      <c r="K402" s="270">
        <f>IF(Database!$B402=Screener!$B$5,-999999,IF(ISNUMBER(SEARCH(","&amp;Database!$A402&amp;",",","&amp;SUBSTITUTE(Screener!$D$17," ","")&amp;",")),2000000,IF(IF(OR(Screener!$B$18="All",AND(Screener!$B$18="With A-share",(Database!$BM402="Y")),AND(Screener!$B$18="Without A-share",NOT((Database!$BM402="Y")))),1,0)=0,-999999,IF(Screener!$B$16="cornerstone overlap first",H402*100000,IF(Screener!$B$16="demand-similar first",J402*100000,0))+W_SUB*B402+W_SEC*C402*(1-B402)+W_SIZE*D402+W_PROF*E402+W_AH*F402+W_REC*G402+W_CS*H402+W_PE*I402)))+ROW()/1000000</f>
        <v/>
      </c>
      <c r="AA402" s="270">
        <f>Database!B391</f>
        <v/>
      </c>
      <c r="AB402" s="270">
        <f>Database!D391</f>
        <v/>
      </c>
      <c r="AC402" s="270">
        <f>Database!E391</f>
        <v/>
      </c>
      <c r="AD402" s="270">
        <f>Database!I391</f>
        <v/>
      </c>
      <c r="AE402" s="270">
        <f>Database!BG391</f>
        <v/>
      </c>
      <c r="AF402" s="270">
        <f>Database!BM391</f>
        <v/>
      </c>
      <c r="AG402" s="270">
        <f>Database!H391</f>
        <v/>
      </c>
      <c r="AH402" s="270">
        <f>Database!BH391</f>
        <v/>
      </c>
    </row>
    <row r="403">
      <c r="A403" s="270">
        <f>Database!B403</f>
        <v/>
      </c>
      <c r="B403" s="270">
        <f>IF(AND(Screener!$D$8&lt;&gt;"",Database!$E403=Screener!$D$8),1,0)</f>
        <v/>
      </c>
      <c r="C403" s="270">
        <f>IF(AND(Screener!$D$7&lt;&gt;"",Database!$D403=Screener!$D$7),1,0)</f>
        <v/>
      </c>
      <c r="D403" s="270">
        <f>IF(OR(N(Database!$I403)&lt;=0,N(Screener!$D$9)&lt;=0),0,MAX(0,1-ABS(LOG10(N(Database!$I403)/Screener!$D$9))/W_SIZEHW))</f>
        <v/>
      </c>
      <c r="E403" s="270">
        <f>IF(OR(Database!$BG403="",Screener!$D$10=""),0,IF(Database!$BG403=Screener!$D$10,1,0))</f>
        <v/>
      </c>
      <c r="F403" s="270">
        <f>IF(OR(Database!$BM403="",Screener!$D$11=""),0,IF(Database!$BM403=Screener!$D$11,1,0))</f>
        <v/>
      </c>
      <c r="G403" s="270">
        <f>IF(OR(Database!$H403="",N(Screener!$D$12)&lt;=0),0,MAX(0,1-(N(Screener!$D$12)-Database!$H403)/W_RECD))</f>
        <v/>
      </c>
      <c r="H403" s="270">
        <f>IF($U$1="",0,N(ISNUMBER(SEARCH($U$1,Database!$AC403&amp;""))))+IF($V$1="",0,N(ISNUMBER(SEARCH($V$1,Database!$AC403&amp;""))))+IF($W$1="",0,N(ISNUMBER(SEARCH($W$1,Database!$AC403&amp;""))))+IF($X$1="",0,N(ISNUMBER(SEARCH($X$1,Database!$AC403&amp;""))))+IF($Y$1="",0,N(ISNUMBER(SEARCH($Y$1,Database!$AC403&amp;""))))+IF(Screener!$B$17="",0,N(ISNUMBER(SEARCH(LOWER(Screener!$B$17),Database!$AC403&amp;""))))</f>
        <v/>
      </c>
      <c r="I403" s="270">
        <f>IF(OR(N(Database!$BH403)&lt;=0,N(Screener!$D$13)&lt;=0),0,MAX(0,1-ABS(LOG10(N(Database!$BH403)/Screener!$D$13))/W_PEHW))</f>
        <v/>
      </c>
      <c r="J403" s="270">
        <f>IF(OR(N(Database!$S403)&lt;=0,N(Screener!$D$14)&lt;=0),0,MAX(0,1-ABS(LOG10(Database!$S403/Screener!$D$14))/0.6))</f>
        <v/>
      </c>
      <c r="K403" s="270">
        <f>IF(Database!$B403=Screener!$B$5,-999999,IF(ISNUMBER(SEARCH(","&amp;Database!$A403&amp;",",","&amp;SUBSTITUTE(Screener!$D$17," ","")&amp;",")),2000000,IF(IF(OR(Screener!$B$18="All",AND(Screener!$B$18="With A-share",(Database!$BM403="Y")),AND(Screener!$B$18="Without A-share",NOT((Database!$BM403="Y")))),1,0)=0,-999999,IF(Screener!$B$16="cornerstone overlap first",H403*100000,IF(Screener!$B$16="demand-similar first",J403*100000,0))+W_SUB*B403+W_SEC*C403*(1-B403)+W_SIZE*D403+W_PROF*E403+W_AH*F403+W_REC*G403+W_CS*H403+W_PE*I403)))+ROW()/1000000</f>
        <v/>
      </c>
      <c r="AA403" s="270">
        <f>Database!B392</f>
        <v/>
      </c>
      <c r="AB403" s="270">
        <f>Database!D392</f>
        <v/>
      </c>
      <c r="AC403" s="270">
        <f>Database!E392</f>
        <v/>
      </c>
      <c r="AD403" s="270">
        <f>Database!I392</f>
        <v/>
      </c>
      <c r="AE403" s="270">
        <f>Database!BG392</f>
        <v/>
      </c>
      <c r="AF403" s="270">
        <f>Database!BM392</f>
        <v/>
      </c>
      <c r="AG403" s="270">
        <f>Database!H392</f>
        <v/>
      </c>
      <c r="AH403" s="270">
        <f>Database!BH392</f>
        <v/>
      </c>
    </row>
    <row r="404">
      <c r="A404" s="270">
        <f>Database!B404</f>
        <v/>
      </c>
      <c r="B404" s="270">
        <f>IF(AND(Screener!$D$8&lt;&gt;"",Database!$E404=Screener!$D$8),1,0)</f>
        <v/>
      </c>
      <c r="C404" s="270">
        <f>IF(AND(Screener!$D$7&lt;&gt;"",Database!$D404=Screener!$D$7),1,0)</f>
        <v/>
      </c>
      <c r="D404" s="270">
        <f>IF(OR(N(Database!$I404)&lt;=0,N(Screener!$D$9)&lt;=0),0,MAX(0,1-ABS(LOG10(N(Database!$I404)/Screener!$D$9))/W_SIZEHW))</f>
        <v/>
      </c>
      <c r="E404" s="270">
        <f>IF(OR(Database!$BG404="",Screener!$D$10=""),0,IF(Database!$BG404=Screener!$D$10,1,0))</f>
        <v/>
      </c>
      <c r="F404" s="270">
        <f>IF(OR(Database!$BM404="",Screener!$D$11=""),0,IF(Database!$BM404=Screener!$D$11,1,0))</f>
        <v/>
      </c>
      <c r="G404" s="270">
        <f>IF(OR(Database!$H404="",N(Screener!$D$12)&lt;=0),0,MAX(0,1-(N(Screener!$D$12)-Database!$H404)/W_RECD))</f>
        <v/>
      </c>
      <c r="H404" s="270">
        <f>IF($U$1="",0,N(ISNUMBER(SEARCH($U$1,Database!$AC404&amp;""))))+IF($V$1="",0,N(ISNUMBER(SEARCH($V$1,Database!$AC404&amp;""))))+IF($W$1="",0,N(ISNUMBER(SEARCH($W$1,Database!$AC404&amp;""))))+IF($X$1="",0,N(ISNUMBER(SEARCH($X$1,Database!$AC404&amp;""))))+IF($Y$1="",0,N(ISNUMBER(SEARCH($Y$1,Database!$AC404&amp;""))))+IF(Screener!$B$17="",0,N(ISNUMBER(SEARCH(LOWER(Screener!$B$17),Database!$AC404&amp;""))))</f>
        <v/>
      </c>
      <c r="I404" s="270">
        <f>IF(OR(N(Database!$BH404)&lt;=0,N(Screener!$D$13)&lt;=0),0,MAX(0,1-ABS(LOG10(N(Database!$BH404)/Screener!$D$13))/W_PEHW))</f>
        <v/>
      </c>
      <c r="J404" s="270">
        <f>IF(OR(N(Database!$S404)&lt;=0,N(Screener!$D$14)&lt;=0),0,MAX(0,1-ABS(LOG10(Database!$S404/Screener!$D$14))/0.6))</f>
        <v/>
      </c>
      <c r="K404" s="270">
        <f>IF(Database!$B404=Screener!$B$5,-999999,IF(ISNUMBER(SEARCH(","&amp;Database!$A404&amp;",",","&amp;SUBSTITUTE(Screener!$D$17," ","")&amp;",")),2000000,IF(IF(OR(Screener!$B$18="All",AND(Screener!$B$18="With A-share",(Database!$BM404="Y")),AND(Screener!$B$18="Without A-share",NOT((Database!$BM404="Y")))),1,0)=0,-999999,IF(Screener!$B$16="cornerstone overlap first",H404*100000,IF(Screener!$B$16="demand-similar first",J404*100000,0))+W_SUB*B404+W_SEC*C404*(1-B404)+W_SIZE*D404+W_PROF*E404+W_AH*F404+W_REC*G404+W_CS*H404+W_PE*I404)))+ROW()/1000000</f>
        <v/>
      </c>
      <c r="AA404" s="270">
        <f>Database!B393</f>
        <v/>
      </c>
      <c r="AB404" s="270">
        <f>Database!D393</f>
        <v/>
      </c>
      <c r="AC404" s="270">
        <f>Database!E393</f>
        <v/>
      </c>
      <c r="AD404" s="270">
        <f>Database!I393</f>
        <v/>
      </c>
      <c r="AE404" s="270">
        <f>Database!BG393</f>
        <v/>
      </c>
      <c r="AF404" s="270">
        <f>Database!BM393</f>
        <v/>
      </c>
      <c r="AG404" s="270">
        <f>Database!H393</f>
        <v/>
      </c>
      <c r="AH404" s="270">
        <f>Database!BH393</f>
        <v/>
      </c>
    </row>
    <row r="405">
      <c r="A405" s="270">
        <f>Database!B405</f>
        <v/>
      </c>
      <c r="B405" s="270">
        <f>IF(AND(Screener!$D$8&lt;&gt;"",Database!$E405=Screener!$D$8),1,0)</f>
        <v/>
      </c>
      <c r="C405" s="270">
        <f>IF(AND(Screener!$D$7&lt;&gt;"",Database!$D405=Screener!$D$7),1,0)</f>
        <v/>
      </c>
      <c r="D405" s="270">
        <f>IF(OR(N(Database!$I405)&lt;=0,N(Screener!$D$9)&lt;=0),0,MAX(0,1-ABS(LOG10(N(Database!$I405)/Screener!$D$9))/W_SIZEHW))</f>
        <v/>
      </c>
      <c r="E405" s="270">
        <f>IF(OR(Database!$BG405="",Screener!$D$10=""),0,IF(Database!$BG405=Screener!$D$10,1,0))</f>
        <v/>
      </c>
      <c r="F405" s="270">
        <f>IF(OR(Database!$BM405="",Screener!$D$11=""),0,IF(Database!$BM405=Screener!$D$11,1,0))</f>
        <v/>
      </c>
      <c r="G405" s="270">
        <f>IF(OR(Database!$H405="",N(Screener!$D$12)&lt;=0),0,MAX(0,1-(N(Screener!$D$12)-Database!$H405)/W_RECD))</f>
        <v/>
      </c>
      <c r="H405" s="270">
        <f>IF($U$1="",0,N(ISNUMBER(SEARCH($U$1,Database!$AC405&amp;""))))+IF($V$1="",0,N(ISNUMBER(SEARCH($V$1,Database!$AC405&amp;""))))+IF($W$1="",0,N(ISNUMBER(SEARCH($W$1,Database!$AC405&amp;""))))+IF($X$1="",0,N(ISNUMBER(SEARCH($X$1,Database!$AC405&amp;""))))+IF($Y$1="",0,N(ISNUMBER(SEARCH($Y$1,Database!$AC405&amp;""))))+IF(Screener!$B$17="",0,N(ISNUMBER(SEARCH(LOWER(Screener!$B$17),Database!$AC405&amp;""))))</f>
        <v/>
      </c>
      <c r="I405" s="270">
        <f>IF(OR(N(Database!$BH405)&lt;=0,N(Screener!$D$13)&lt;=0),0,MAX(0,1-ABS(LOG10(N(Database!$BH405)/Screener!$D$13))/W_PEHW))</f>
        <v/>
      </c>
      <c r="J405" s="270">
        <f>IF(OR(N(Database!$S405)&lt;=0,N(Screener!$D$14)&lt;=0),0,MAX(0,1-ABS(LOG10(Database!$S405/Screener!$D$14))/0.6))</f>
        <v/>
      </c>
      <c r="K405" s="270">
        <f>IF(Database!$B405=Screener!$B$5,-999999,IF(ISNUMBER(SEARCH(","&amp;Database!$A405&amp;",",","&amp;SUBSTITUTE(Screener!$D$17," ","")&amp;",")),2000000,IF(IF(OR(Screener!$B$18="All",AND(Screener!$B$18="With A-share",(Database!$BM405="Y")),AND(Screener!$B$18="Without A-share",NOT((Database!$BM405="Y")))),1,0)=0,-999999,IF(Screener!$B$16="cornerstone overlap first",H405*100000,IF(Screener!$B$16="demand-similar first",J405*100000,0))+W_SUB*B405+W_SEC*C405*(1-B405)+W_SIZE*D405+W_PROF*E405+W_AH*F405+W_REC*G405+W_CS*H405+W_PE*I405)))+ROW()/1000000</f>
        <v/>
      </c>
      <c r="AA405" s="270">
        <f>Database!B394</f>
        <v/>
      </c>
      <c r="AB405" s="270">
        <f>Database!D394</f>
        <v/>
      </c>
      <c r="AC405" s="270">
        <f>Database!E394</f>
        <v/>
      </c>
      <c r="AD405" s="270">
        <f>Database!I394</f>
        <v/>
      </c>
      <c r="AE405" s="270">
        <f>Database!BG394</f>
        <v/>
      </c>
      <c r="AF405" s="270">
        <f>Database!BM394</f>
        <v/>
      </c>
      <c r="AG405" s="270">
        <f>Database!H394</f>
        <v/>
      </c>
      <c r="AH405" s="270">
        <f>Database!BH394</f>
        <v/>
      </c>
    </row>
    <row r="406">
      <c r="A406" s="270">
        <f>Database!B406</f>
        <v/>
      </c>
      <c r="B406" s="270">
        <f>IF(AND(Screener!$D$8&lt;&gt;"",Database!$E406=Screener!$D$8),1,0)</f>
        <v/>
      </c>
      <c r="C406" s="270">
        <f>IF(AND(Screener!$D$7&lt;&gt;"",Database!$D406=Screener!$D$7),1,0)</f>
        <v/>
      </c>
      <c r="D406" s="270">
        <f>IF(OR(N(Database!$I406)&lt;=0,N(Screener!$D$9)&lt;=0),0,MAX(0,1-ABS(LOG10(N(Database!$I406)/Screener!$D$9))/W_SIZEHW))</f>
        <v/>
      </c>
      <c r="E406" s="270">
        <f>IF(OR(Database!$BG406="",Screener!$D$10=""),0,IF(Database!$BG406=Screener!$D$10,1,0))</f>
        <v/>
      </c>
      <c r="F406" s="270">
        <f>IF(OR(Database!$BM406="",Screener!$D$11=""),0,IF(Database!$BM406=Screener!$D$11,1,0))</f>
        <v/>
      </c>
      <c r="G406" s="270">
        <f>IF(OR(Database!$H406="",N(Screener!$D$12)&lt;=0),0,MAX(0,1-(N(Screener!$D$12)-Database!$H406)/W_RECD))</f>
        <v/>
      </c>
      <c r="H406" s="270">
        <f>IF($U$1="",0,N(ISNUMBER(SEARCH($U$1,Database!$AC406&amp;""))))+IF($V$1="",0,N(ISNUMBER(SEARCH($V$1,Database!$AC406&amp;""))))+IF($W$1="",0,N(ISNUMBER(SEARCH($W$1,Database!$AC406&amp;""))))+IF($X$1="",0,N(ISNUMBER(SEARCH($X$1,Database!$AC406&amp;""))))+IF($Y$1="",0,N(ISNUMBER(SEARCH($Y$1,Database!$AC406&amp;""))))+IF(Screener!$B$17="",0,N(ISNUMBER(SEARCH(LOWER(Screener!$B$17),Database!$AC406&amp;""))))</f>
        <v/>
      </c>
      <c r="I406" s="270">
        <f>IF(OR(N(Database!$BH406)&lt;=0,N(Screener!$D$13)&lt;=0),0,MAX(0,1-ABS(LOG10(N(Database!$BH406)/Screener!$D$13))/W_PEHW))</f>
        <v/>
      </c>
      <c r="J406" s="270">
        <f>IF(OR(N(Database!$S406)&lt;=0,N(Screener!$D$14)&lt;=0),0,MAX(0,1-ABS(LOG10(Database!$S406/Screener!$D$14))/0.6))</f>
        <v/>
      </c>
      <c r="K406" s="270">
        <f>IF(Database!$B406=Screener!$B$5,-999999,IF(ISNUMBER(SEARCH(","&amp;Database!$A406&amp;",",","&amp;SUBSTITUTE(Screener!$D$17," ","")&amp;",")),2000000,IF(IF(OR(Screener!$B$18="All",AND(Screener!$B$18="With A-share",(Database!$BM406="Y")),AND(Screener!$B$18="Without A-share",NOT((Database!$BM406="Y")))),1,0)=0,-999999,IF(Screener!$B$16="cornerstone overlap first",H406*100000,IF(Screener!$B$16="demand-similar first",J406*100000,0))+W_SUB*B406+W_SEC*C406*(1-B406)+W_SIZE*D406+W_PROF*E406+W_AH*F406+W_REC*G406+W_CS*H406+W_PE*I406)))+ROW()/1000000</f>
        <v/>
      </c>
      <c r="AA406" s="270">
        <f>Database!B395</f>
        <v/>
      </c>
      <c r="AB406" s="270">
        <f>Database!D395</f>
        <v/>
      </c>
      <c r="AC406" s="270">
        <f>Database!E395</f>
        <v/>
      </c>
      <c r="AD406" s="270">
        <f>Database!I395</f>
        <v/>
      </c>
      <c r="AE406" s="270">
        <f>Database!BG395</f>
        <v/>
      </c>
      <c r="AF406" s="270">
        <f>Database!BM395</f>
        <v/>
      </c>
      <c r="AG406" s="270">
        <f>Database!H395</f>
        <v/>
      </c>
      <c r="AH406" s="270">
        <f>Database!BH395</f>
        <v/>
      </c>
    </row>
    <row r="407">
      <c r="A407" s="270">
        <f>Database!B407</f>
        <v/>
      </c>
      <c r="B407" s="270">
        <f>IF(AND(Screener!$D$8&lt;&gt;"",Database!$E407=Screener!$D$8),1,0)</f>
        <v/>
      </c>
      <c r="C407" s="270">
        <f>IF(AND(Screener!$D$7&lt;&gt;"",Database!$D407=Screener!$D$7),1,0)</f>
        <v/>
      </c>
      <c r="D407" s="270">
        <f>IF(OR(N(Database!$I407)&lt;=0,N(Screener!$D$9)&lt;=0),0,MAX(0,1-ABS(LOG10(N(Database!$I407)/Screener!$D$9))/W_SIZEHW))</f>
        <v/>
      </c>
      <c r="E407" s="270">
        <f>IF(OR(Database!$BG407="",Screener!$D$10=""),0,IF(Database!$BG407=Screener!$D$10,1,0))</f>
        <v/>
      </c>
      <c r="F407" s="270">
        <f>IF(OR(Database!$BM407="",Screener!$D$11=""),0,IF(Database!$BM407=Screener!$D$11,1,0))</f>
        <v/>
      </c>
      <c r="G407" s="270">
        <f>IF(OR(Database!$H407="",N(Screener!$D$12)&lt;=0),0,MAX(0,1-(N(Screener!$D$12)-Database!$H407)/W_RECD))</f>
        <v/>
      </c>
      <c r="H407" s="270">
        <f>IF($U$1="",0,N(ISNUMBER(SEARCH($U$1,Database!$AC407&amp;""))))+IF($V$1="",0,N(ISNUMBER(SEARCH($V$1,Database!$AC407&amp;""))))+IF($W$1="",0,N(ISNUMBER(SEARCH($W$1,Database!$AC407&amp;""))))+IF($X$1="",0,N(ISNUMBER(SEARCH($X$1,Database!$AC407&amp;""))))+IF($Y$1="",0,N(ISNUMBER(SEARCH($Y$1,Database!$AC407&amp;""))))+IF(Screener!$B$17="",0,N(ISNUMBER(SEARCH(LOWER(Screener!$B$17),Database!$AC407&amp;""))))</f>
        <v/>
      </c>
      <c r="I407" s="270">
        <f>IF(OR(N(Database!$BH407)&lt;=0,N(Screener!$D$13)&lt;=0),0,MAX(0,1-ABS(LOG10(N(Database!$BH407)/Screener!$D$13))/W_PEHW))</f>
        <v/>
      </c>
      <c r="J407" s="270">
        <f>IF(OR(N(Database!$S407)&lt;=0,N(Screener!$D$14)&lt;=0),0,MAX(0,1-ABS(LOG10(Database!$S407/Screener!$D$14))/0.6))</f>
        <v/>
      </c>
      <c r="K407" s="270">
        <f>IF(Database!$B407=Screener!$B$5,-999999,IF(ISNUMBER(SEARCH(","&amp;Database!$A407&amp;",",","&amp;SUBSTITUTE(Screener!$D$17," ","")&amp;",")),2000000,IF(IF(OR(Screener!$B$18="All",AND(Screener!$B$18="With A-share",(Database!$BM407="Y")),AND(Screener!$B$18="Without A-share",NOT((Database!$BM407="Y")))),1,0)=0,-999999,IF(Screener!$B$16="cornerstone overlap first",H407*100000,IF(Screener!$B$16="demand-similar first",J407*100000,0))+W_SUB*B407+W_SEC*C407*(1-B407)+W_SIZE*D407+W_PROF*E407+W_AH*F407+W_REC*G407+W_CS*H407+W_PE*I407)))+ROW()/1000000</f>
        <v/>
      </c>
      <c r="AA407" s="270">
        <f>Database!B396</f>
        <v/>
      </c>
      <c r="AB407" s="270">
        <f>Database!D396</f>
        <v/>
      </c>
      <c r="AC407" s="270">
        <f>Database!E396</f>
        <v/>
      </c>
      <c r="AD407" s="270">
        <f>Database!I396</f>
        <v/>
      </c>
      <c r="AE407" s="270">
        <f>Database!BG396</f>
        <v/>
      </c>
      <c r="AF407" s="270">
        <f>Database!BM396</f>
        <v/>
      </c>
      <c r="AG407" s="270">
        <f>Database!H396</f>
        <v/>
      </c>
      <c r="AH407" s="270">
        <f>Database!BH396</f>
        <v/>
      </c>
    </row>
    <row r="408">
      <c r="A408" s="270">
        <f>Database!B408</f>
        <v/>
      </c>
      <c r="B408" s="270">
        <f>IF(AND(Screener!$D$8&lt;&gt;"",Database!$E408=Screener!$D$8),1,0)</f>
        <v/>
      </c>
      <c r="C408" s="270">
        <f>IF(AND(Screener!$D$7&lt;&gt;"",Database!$D408=Screener!$D$7),1,0)</f>
        <v/>
      </c>
      <c r="D408" s="270">
        <f>IF(OR(N(Database!$I408)&lt;=0,N(Screener!$D$9)&lt;=0),0,MAX(0,1-ABS(LOG10(N(Database!$I408)/Screener!$D$9))/W_SIZEHW))</f>
        <v/>
      </c>
      <c r="E408" s="270">
        <f>IF(OR(Database!$BG408="",Screener!$D$10=""),0,IF(Database!$BG408=Screener!$D$10,1,0))</f>
        <v/>
      </c>
      <c r="F408" s="270">
        <f>IF(OR(Database!$BM408="",Screener!$D$11=""),0,IF(Database!$BM408=Screener!$D$11,1,0))</f>
        <v/>
      </c>
      <c r="G408" s="270">
        <f>IF(OR(Database!$H408="",N(Screener!$D$12)&lt;=0),0,MAX(0,1-(N(Screener!$D$12)-Database!$H408)/W_RECD))</f>
        <v/>
      </c>
      <c r="H408" s="270">
        <f>IF($U$1="",0,N(ISNUMBER(SEARCH($U$1,Database!$AC408&amp;""))))+IF($V$1="",0,N(ISNUMBER(SEARCH($V$1,Database!$AC408&amp;""))))+IF($W$1="",0,N(ISNUMBER(SEARCH($W$1,Database!$AC408&amp;""))))+IF($X$1="",0,N(ISNUMBER(SEARCH($X$1,Database!$AC408&amp;""))))+IF($Y$1="",0,N(ISNUMBER(SEARCH($Y$1,Database!$AC408&amp;""))))+IF(Screener!$B$17="",0,N(ISNUMBER(SEARCH(LOWER(Screener!$B$17),Database!$AC408&amp;""))))</f>
        <v/>
      </c>
      <c r="I408" s="270">
        <f>IF(OR(N(Database!$BH408)&lt;=0,N(Screener!$D$13)&lt;=0),0,MAX(0,1-ABS(LOG10(N(Database!$BH408)/Screener!$D$13))/W_PEHW))</f>
        <v/>
      </c>
      <c r="J408" s="270">
        <f>IF(OR(N(Database!$S408)&lt;=0,N(Screener!$D$14)&lt;=0),0,MAX(0,1-ABS(LOG10(Database!$S408/Screener!$D$14))/0.6))</f>
        <v/>
      </c>
      <c r="K408" s="270">
        <f>IF(Database!$B408=Screener!$B$5,-999999,IF(ISNUMBER(SEARCH(","&amp;Database!$A408&amp;",",","&amp;SUBSTITUTE(Screener!$D$17," ","")&amp;",")),2000000,IF(IF(OR(Screener!$B$18="All",AND(Screener!$B$18="With A-share",(Database!$BM408="Y")),AND(Screener!$B$18="Without A-share",NOT((Database!$BM408="Y")))),1,0)=0,-999999,IF(Screener!$B$16="cornerstone overlap first",H408*100000,IF(Screener!$B$16="demand-similar first",J408*100000,0))+W_SUB*B408+W_SEC*C408*(1-B408)+W_SIZE*D408+W_PROF*E408+W_AH*F408+W_REC*G408+W_CS*H408+W_PE*I408)))+ROW()/1000000</f>
        <v/>
      </c>
      <c r="AA408" s="270">
        <f>Database!B397</f>
        <v/>
      </c>
      <c r="AB408" s="270">
        <f>Database!D397</f>
        <v/>
      </c>
      <c r="AC408" s="270">
        <f>Database!E397</f>
        <v/>
      </c>
      <c r="AD408" s="270">
        <f>Database!I397</f>
        <v/>
      </c>
      <c r="AE408" s="270">
        <f>Database!BG397</f>
        <v/>
      </c>
      <c r="AF408" s="270">
        <f>Database!BM397</f>
        <v/>
      </c>
      <c r="AG408" s="270">
        <f>Database!H397</f>
        <v/>
      </c>
      <c r="AH408" s="270">
        <f>Database!BH397</f>
        <v/>
      </c>
    </row>
    <row r="409">
      <c r="A409" s="270">
        <f>Database!B409</f>
        <v/>
      </c>
      <c r="B409" s="270">
        <f>IF(AND(Screener!$D$8&lt;&gt;"",Database!$E409=Screener!$D$8),1,0)</f>
        <v/>
      </c>
      <c r="C409" s="270">
        <f>IF(AND(Screener!$D$7&lt;&gt;"",Database!$D409=Screener!$D$7),1,0)</f>
        <v/>
      </c>
      <c r="D409" s="270">
        <f>IF(OR(N(Database!$I409)&lt;=0,N(Screener!$D$9)&lt;=0),0,MAX(0,1-ABS(LOG10(N(Database!$I409)/Screener!$D$9))/W_SIZEHW))</f>
        <v/>
      </c>
      <c r="E409" s="270">
        <f>IF(OR(Database!$BG409="",Screener!$D$10=""),0,IF(Database!$BG409=Screener!$D$10,1,0))</f>
        <v/>
      </c>
      <c r="F409" s="270">
        <f>IF(OR(Database!$BM409="",Screener!$D$11=""),0,IF(Database!$BM409=Screener!$D$11,1,0))</f>
        <v/>
      </c>
      <c r="G409" s="270">
        <f>IF(OR(Database!$H409="",N(Screener!$D$12)&lt;=0),0,MAX(0,1-(N(Screener!$D$12)-Database!$H409)/W_RECD))</f>
        <v/>
      </c>
      <c r="H409" s="270">
        <f>IF($U$1="",0,N(ISNUMBER(SEARCH($U$1,Database!$AC409&amp;""))))+IF($V$1="",0,N(ISNUMBER(SEARCH($V$1,Database!$AC409&amp;""))))+IF($W$1="",0,N(ISNUMBER(SEARCH($W$1,Database!$AC409&amp;""))))+IF($X$1="",0,N(ISNUMBER(SEARCH($X$1,Database!$AC409&amp;""))))+IF($Y$1="",0,N(ISNUMBER(SEARCH($Y$1,Database!$AC409&amp;""))))+IF(Screener!$B$17="",0,N(ISNUMBER(SEARCH(LOWER(Screener!$B$17),Database!$AC409&amp;""))))</f>
        <v/>
      </c>
      <c r="I409" s="270">
        <f>IF(OR(N(Database!$BH409)&lt;=0,N(Screener!$D$13)&lt;=0),0,MAX(0,1-ABS(LOG10(N(Database!$BH409)/Screener!$D$13))/W_PEHW))</f>
        <v/>
      </c>
      <c r="J409" s="270">
        <f>IF(OR(N(Database!$S409)&lt;=0,N(Screener!$D$14)&lt;=0),0,MAX(0,1-ABS(LOG10(Database!$S409/Screener!$D$14))/0.6))</f>
        <v/>
      </c>
      <c r="K409" s="270">
        <f>IF(Database!$B409=Screener!$B$5,-999999,IF(ISNUMBER(SEARCH(","&amp;Database!$A409&amp;",",","&amp;SUBSTITUTE(Screener!$D$17," ","")&amp;",")),2000000,IF(IF(OR(Screener!$B$18="All",AND(Screener!$B$18="With A-share",(Database!$BM409="Y")),AND(Screener!$B$18="Without A-share",NOT((Database!$BM409="Y")))),1,0)=0,-999999,IF(Screener!$B$16="cornerstone overlap first",H409*100000,IF(Screener!$B$16="demand-similar first",J409*100000,0))+W_SUB*B409+W_SEC*C409*(1-B409)+W_SIZE*D409+W_PROF*E409+W_AH*F409+W_REC*G409+W_CS*H409+W_PE*I409)))+ROW()/1000000</f>
        <v/>
      </c>
      <c r="AA409" s="270">
        <f>Database!B398</f>
        <v/>
      </c>
      <c r="AB409" s="270">
        <f>Database!D398</f>
        <v/>
      </c>
      <c r="AC409" s="270">
        <f>Database!E398</f>
        <v/>
      </c>
      <c r="AD409" s="270">
        <f>Database!I398</f>
        <v/>
      </c>
      <c r="AE409" s="270">
        <f>Database!BG398</f>
        <v/>
      </c>
      <c r="AF409" s="270">
        <f>Database!BM398</f>
        <v/>
      </c>
      <c r="AG409" s="270">
        <f>Database!H398</f>
        <v/>
      </c>
      <c r="AH409" s="270">
        <f>Database!BH398</f>
        <v/>
      </c>
    </row>
    <row r="410">
      <c r="A410" s="270">
        <f>Database!B410</f>
        <v/>
      </c>
      <c r="B410" s="270">
        <f>IF(AND(Screener!$D$8&lt;&gt;"",Database!$E410=Screener!$D$8),1,0)</f>
        <v/>
      </c>
      <c r="C410" s="270">
        <f>IF(AND(Screener!$D$7&lt;&gt;"",Database!$D410=Screener!$D$7),1,0)</f>
        <v/>
      </c>
      <c r="D410" s="270">
        <f>IF(OR(N(Database!$I410)&lt;=0,N(Screener!$D$9)&lt;=0),0,MAX(0,1-ABS(LOG10(N(Database!$I410)/Screener!$D$9))/W_SIZEHW))</f>
        <v/>
      </c>
      <c r="E410" s="270">
        <f>IF(OR(Database!$BG410="",Screener!$D$10=""),0,IF(Database!$BG410=Screener!$D$10,1,0))</f>
        <v/>
      </c>
      <c r="F410" s="270">
        <f>IF(OR(Database!$BM410="",Screener!$D$11=""),0,IF(Database!$BM410=Screener!$D$11,1,0))</f>
        <v/>
      </c>
      <c r="G410" s="270">
        <f>IF(OR(Database!$H410="",N(Screener!$D$12)&lt;=0),0,MAX(0,1-(N(Screener!$D$12)-Database!$H410)/W_RECD))</f>
        <v/>
      </c>
      <c r="H410" s="270">
        <f>IF($U$1="",0,N(ISNUMBER(SEARCH($U$1,Database!$AC410&amp;""))))+IF($V$1="",0,N(ISNUMBER(SEARCH($V$1,Database!$AC410&amp;""))))+IF($W$1="",0,N(ISNUMBER(SEARCH($W$1,Database!$AC410&amp;""))))+IF($X$1="",0,N(ISNUMBER(SEARCH($X$1,Database!$AC410&amp;""))))+IF($Y$1="",0,N(ISNUMBER(SEARCH($Y$1,Database!$AC410&amp;""))))+IF(Screener!$B$17="",0,N(ISNUMBER(SEARCH(LOWER(Screener!$B$17),Database!$AC410&amp;""))))</f>
        <v/>
      </c>
      <c r="I410" s="270">
        <f>IF(OR(N(Database!$BH410)&lt;=0,N(Screener!$D$13)&lt;=0),0,MAX(0,1-ABS(LOG10(N(Database!$BH410)/Screener!$D$13))/W_PEHW))</f>
        <v/>
      </c>
      <c r="J410" s="270">
        <f>IF(OR(N(Database!$S410)&lt;=0,N(Screener!$D$14)&lt;=0),0,MAX(0,1-ABS(LOG10(Database!$S410/Screener!$D$14))/0.6))</f>
        <v/>
      </c>
      <c r="K410" s="270">
        <f>IF(Database!$B410=Screener!$B$5,-999999,IF(ISNUMBER(SEARCH(","&amp;Database!$A410&amp;",",","&amp;SUBSTITUTE(Screener!$D$17," ","")&amp;",")),2000000,IF(IF(OR(Screener!$B$18="All",AND(Screener!$B$18="With A-share",(Database!$BM410="Y")),AND(Screener!$B$18="Without A-share",NOT((Database!$BM410="Y")))),1,0)=0,-999999,IF(Screener!$B$16="cornerstone overlap first",H410*100000,IF(Screener!$B$16="demand-similar first",J410*100000,0))+W_SUB*B410+W_SEC*C410*(1-B410)+W_SIZE*D410+W_PROF*E410+W_AH*F410+W_REC*G410+W_CS*H410+W_PE*I410)))+ROW()/1000000</f>
        <v/>
      </c>
      <c r="AA410" s="270">
        <f>Database!B399</f>
        <v/>
      </c>
      <c r="AB410" s="270">
        <f>Database!D399</f>
        <v/>
      </c>
      <c r="AC410" s="270">
        <f>Database!E399</f>
        <v/>
      </c>
      <c r="AD410" s="270">
        <f>Database!I399</f>
        <v/>
      </c>
      <c r="AE410" s="270">
        <f>Database!BG399</f>
        <v/>
      </c>
      <c r="AF410" s="270">
        <f>Database!BM399</f>
        <v/>
      </c>
      <c r="AG410" s="270">
        <f>Database!H399</f>
        <v/>
      </c>
      <c r="AH410" s="270">
        <f>Database!BH399</f>
        <v/>
      </c>
    </row>
    <row r="411">
      <c r="A411" s="270">
        <f>Database!B411</f>
        <v/>
      </c>
      <c r="B411" s="270">
        <f>IF(AND(Screener!$D$8&lt;&gt;"",Database!$E411=Screener!$D$8),1,0)</f>
        <v/>
      </c>
      <c r="C411" s="270">
        <f>IF(AND(Screener!$D$7&lt;&gt;"",Database!$D411=Screener!$D$7),1,0)</f>
        <v/>
      </c>
      <c r="D411" s="270">
        <f>IF(OR(N(Database!$I411)&lt;=0,N(Screener!$D$9)&lt;=0),0,MAX(0,1-ABS(LOG10(N(Database!$I411)/Screener!$D$9))/W_SIZEHW))</f>
        <v/>
      </c>
      <c r="E411" s="270">
        <f>IF(OR(Database!$BG411="",Screener!$D$10=""),0,IF(Database!$BG411=Screener!$D$10,1,0))</f>
        <v/>
      </c>
      <c r="F411" s="270">
        <f>IF(OR(Database!$BM411="",Screener!$D$11=""),0,IF(Database!$BM411=Screener!$D$11,1,0))</f>
        <v/>
      </c>
      <c r="G411" s="270">
        <f>IF(OR(Database!$H411="",N(Screener!$D$12)&lt;=0),0,MAX(0,1-(N(Screener!$D$12)-Database!$H411)/W_RECD))</f>
        <v/>
      </c>
      <c r="H411" s="270">
        <f>IF($U$1="",0,N(ISNUMBER(SEARCH($U$1,Database!$AC411&amp;""))))+IF($V$1="",0,N(ISNUMBER(SEARCH($V$1,Database!$AC411&amp;""))))+IF($W$1="",0,N(ISNUMBER(SEARCH($W$1,Database!$AC411&amp;""))))+IF($X$1="",0,N(ISNUMBER(SEARCH($X$1,Database!$AC411&amp;""))))+IF($Y$1="",0,N(ISNUMBER(SEARCH($Y$1,Database!$AC411&amp;""))))+IF(Screener!$B$17="",0,N(ISNUMBER(SEARCH(LOWER(Screener!$B$17),Database!$AC411&amp;""))))</f>
        <v/>
      </c>
      <c r="I411" s="270">
        <f>IF(OR(N(Database!$BH411)&lt;=0,N(Screener!$D$13)&lt;=0),0,MAX(0,1-ABS(LOG10(N(Database!$BH411)/Screener!$D$13))/W_PEHW))</f>
        <v/>
      </c>
      <c r="J411" s="270">
        <f>IF(OR(N(Database!$S411)&lt;=0,N(Screener!$D$14)&lt;=0),0,MAX(0,1-ABS(LOG10(Database!$S411/Screener!$D$14))/0.6))</f>
        <v/>
      </c>
      <c r="K411" s="270">
        <f>IF(Database!$B411=Screener!$B$5,-999999,IF(ISNUMBER(SEARCH(","&amp;Database!$A411&amp;",",","&amp;SUBSTITUTE(Screener!$D$17," ","")&amp;",")),2000000,IF(IF(OR(Screener!$B$18="All",AND(Screener!$B$18="With A-share",(Database!$BM411="Y")),AND(Screener!$B$18="Without A-share",NOT((Database!$BM411="Y")))),1,0)=0,-999999,IF(Screener!$B$16="cornerstone overlap first",H411*100000,IF(Screener!$B$16="demand-similar first",J411*100000,0))+W_SUB*B411+W_SEC*C411*(1-B411)+W_SIZE*D411+W_PROF*E411+W_AH*F411+W_REC*G411+W_CS*H411+W_PE*I411)))+ROW()/1000000</f>
        <v/>
      </c>
      <c r="AA411" s="270">
        <f>Database!B400</f>
        <v/>
      </c>
      <c r="AB411" s="270">
        <f>Database!D400</f>
        <v/>
      </c>
      <c r="AC411" s="270">
        <f>Database!E400</f>
        <v/>
      </c>
      <c r="AD411" s="270">
        <f>Database!I400</f>
        <v/>
      </c>
      <c r="AE411" s="270">
        <f>Database!BG400</f>
        <v/>
      </c>
      <c r="AF411" s="270">
        <f>Database!BM400</f>
        <v/>
      </c>
      <c r="AG411" s="270">
        <f>Database!H400</f>
        <v/>
      </c>
      <c r="AH411" s="270">
        <f>Database!BH400</f>
        <v/>
      </c>
    </row>
    <row r="412">
      <c r="A412" s="270">
        <f>Database!B412</f>
        <v/>
      </c>
      <c r="B412" s="270">
        <f>IF(AND(Screener!$D$8&lt;&gt;"",Database!$E412=Screener!$D$8),1,0)</f>
        <v/>
      </c>
      <c r="C412" s="270">
        <f>IF(AND(Screener!$D$7&lt;&gt;"",Database!$D412=Screener!$D$7),1,0)</f>
        <v/>
      </c>
      <c r="D412" s="270">
        <f>IF(OR(N(Database!$I412)&lt;=0,N(Screener!$D$9)&lt;=0),0,MAX(0,1-ABS(LOG10(N(Database!$I412)/Screener!$D$9))/W_SIZEHW))</f>
        <v/>
      </c>
      <c r="E412" s="270">
        <f>IF(OR(Database!$BG412="",Screener!$D$10=""),0,IF(Database!$BG412=Screener!$D$10,1,0))</f>
        <v/>
      </c>
      <c r="F412" s="270">
        <f>IF(OR(Database!$BM412="",Screener!$D$11=""),0,IF(Database!$BM412=Screener!$D$11,1,0))</f>
        <v/>
      </c>
      <c r="G412" s="270">
        <f>IF(OR(Database!$H412="",N(Screener!$D$12)&lt;=0),0,MAX(0,1-(N(Screener!$D$12)-Database!$H412)/W_RECD))</f>
        <v/>
      </c>
      <c r="H412" s="270">
        <f>IF($U$1="",0,N(ISNUMBER(SEARCH($U$1,Database!$AC412&amp;""))))+IF($V$1="",0,N(ISNUMBER(SEARCH($V$1,Database!$AC412&amp;""))))+IF($W$1="",0,N(ISNUMBER(SEARCH($W$1,Database!$AC412&amp;""))))+IF($X$1="",0,N(ISNUMBER(SEARCH($X$1,Database!$AC412&amp;""))))+IF($Y$1="",0,N(ISNUMBER(SEARCH($Y$1,Database!$AC412&amp;""))))+IF(Screener!$B$17="",0,N(ISNUMBER(SEARCH(LOWER(Screener!$B$17),Database!$AC412&amp;""))))</f>
        <v/>
      </c>
      <c r="I412" s="270">
        <f>IF(OR(N(Database!$BH412)&lt;=0,N(Screener!$D$13)&lt;=0),0,MAX(0,1-ABS(LOG10(N(Database!$BH412)/Screener!$D$13))/W_PEHW))</f>
        <v/>
      </c>
      <c r="J412" s="270">
        <f>IF(OR(N(Database!$S412)&lt;=0,N(Screener!$D$14)&lt;=0),0,MAX(0,1-ABS(LOG10(Database!$S412/Screener!$D$14))/0.6))</f>
        <v/>
      </c>
      <c r="K412" s="270">
        <f>IF(Database!$B412=Screener!$B$5,-999999,IF(ISNUMBER(SEARCH(","&amp;Database!$A412&amp;",",","&amp;SUBSTITUTE(Screener!$D$17," ","")&amp;",")),2000000,IF(IF(OR(Screener!$B$18="All",AND(Screener!$B$18="With A-share",(Database!$BM412="Y")),AND(Screener!$B$18="Without A-share",NOT((Database!$BM412="Y")))),1,0)=0,-999999,IF(Screener!$B$16="cornerstone overlap first",H412*100000,IF(Screener!$B$16="demand-similar first",J412*100000,0))+W_SUB*B412+W_SEC*C412*(1-B412)+W_SIZE*D412+W_PROF*E412+W_AH*F412+W_REC*G412+W_CS*H412+W_PE*I412)))+ROW()/1000000</f>
        <v/>
      </c>
      <c r="AA412" s="270">
        <f>Database!B401</f>
        <v/>
      </c>
      <c r="AB412" s="270">
        <f>Database!D401</f>
        <v/>
      </c>
      <c r="AC412" s="270">
        <f>Database!E401</f>
        <v/>
      </c>
      <c r="AD412" s="270">
        <f>Database!I401</f>
        <v/>
      </c>
      <c r="AE412" s="270">
        <f>Database!BG401</f>
        <v/>
      </c>
      <c r="AF412" s="270">
        <f>Database!BM401</f>
        <v/>
      </c>
      <c r="AG412" s="270">
        <f>Database!H401</f>
        <v/>
      </c>
      <c r="AH412" s="270">
        <f>Database!BH401</f>
        <v/>
      </c>
    </row>
    <row r="413">
      <c r="A413" s="270">
        <f>Database!B413</f>
        <v/>
      </c>
      <c r="B413" s="270">
        <f>IF(AND(Screener!$D$8&lt;&gt;"",Database!$E413=Screener!$D$8),1,0)</f>
        <v/>
      </c>
      <c r="C413" s="270">
        <f>IF(AND(Screener!$D$7&lt;&gt;"",Database!$D413=Screener!$D$7),1,0)</f>
        <v/>
      </c>
      <c r="D413" s="270">
        <f>IF(OR(N(Database!$I413)&lt;=0,N(Screener!$D$9)&lt;=0),0,MAX(0,1-ABS(LOG10(N(Database!$I413)/Screener!$D$9))/W_SIZEHW))</f>
        <v/>
      </c>
      <c r="E413" s="270">
        <f>IF(OR(Database!$BG413="",Screener!$D$10=""),0,IF(Database!$BG413=Screener!$D$10,1,0))</f>
        <v/>
      </c>
      <c r="F413" s="270">
        <f>IF(OR(Database!$BM413="",Screener!$D$11=""),0,IF(Database!$BM413=Screener!$D$11,1,0))</f>
        <v/>
      </c>
      <c r="G413" s="270">
        <f>IF(OR(Database!$H413="",N(Screener!$D$12)&lt;=0),0,MAX(0,1-(N(Screener!$D$12)-Database!$H413)/W_RECD))</f>
        <v/>
      </c>
      <c r="H413" s="270">
        <f>IF($U$1="",0,N(ISNUMBER(SEARCH($U$1,Database!$AC413&amp;""))))+IF($V$1="",0,N(ISNUMBER(SEARCH($V$1,Database!$AC413&amp;""))))+IF($W$1="",0,N(ISNUMBER(SEARCH($W$1,Database!$AC413&amp;""))))+IF($X$1="",0,N(ISNUMBER(SEARCH($X$1,Database!$AC413&amp;""))))+IF($Y$1="",0,N(ISNUMBER(SEARCH($Y$1,Database!$AC413&amp;""))))+IF(Screener!$B$17="",0,N(ISNUMBER(SEARCH(LOWER(Screener!$B$17),Database!$AC413&amp;""))))</f>
        <v/>
      </c>
      <c r="I413" s="270">
        <f>IF(OR(N(Database!$BH413)&lt;=0,N(Screener!$D$13)&lt;=0),0,MAX(0,1-ABS(LOG10(N(Database!$BH413)/Screener!$D$13))/W_PEHW))</f>
        <v/>
      </c>
      <c r="J413" s="270">
        <f>IF(OR(N(Database!$S413)&lt;=0,N(Screener!$D$14)&lt;=0),0,MAX(0,1-ABS(LOG10(Database!$S413/Screener!$D$14))/0.6))</f>
        <v/>
      </c>
      <c r="K413" s="270">
        <f>IF(Database!$B413=Screener!$B$5,-999999,IF(ISNUMBER(SEARCH(","&amp;Database!$A413&amp;",",","&amp;SUBSTITUTE(Screener!$D$17," ","")&amp;",")),2000000,IF(IF(OR(Screener!$B$18="All",AND(Screener!$B$18="With A-share",(Database!$BM413="Y")),AND(Screener!$B$18="Without A-share",NOT((Database!$BM413="Y")))),1,0)=0,-999999,IF(Screener!$B$16="cornerstone overlap first",H413*100000,IF(Screener!$B$16="demand-similar first",J413*100000,0))+W_SUB*B413+W_SEC*C413*(1-B413)+W_SIZE*D413+W_PROF*E413+W_AH*F413+W_REC*G413+W_CS*H413+W_PE*I413)))+ROW()/1000000</f>
        <v/>
      </c>
      <c r="AA413" s="270">
        <f>Database!B402</f>
        <v/>
      </c>
      <c r="AB413" s="270">
        <f>Database!D402</f>
        <v/>
      </c>
      <c r="AC413" s="270">
        <f>Database!E402</f>
        <v/>
      </c>
      <c r="AD413" s="270">
        <f>Database!I402</f>
        <v/>
      </c>
      <c r="AE413" s="270">
        <f>Database!BG402</f>
        <v/>
      </c>
      <c r="AF413" s="270">
        <f>Database!BM402</f>
        <v/>
      </c>
      <c r="AG413" s="270">
        <f>Database!H402</f>
        <v/>
      </c>
      <c r="AH413" s="270">
        <f>Database!BH402</f>
        <v/>
      </c>
    </row>
    <row r="414">
      <c r="A414" s="270">
        <f>Database!B414</f>
        <v/>
      </c>
      <c r="B414" s="270">
        <f>IF(AND(Screener!$D$8&lt;&gt;"",Database!$E414=Screener!$D$8),1,0)</f>
        <v/>
      </c>
      <c r="C414" s="270">
        <f>IF(AND(Screener!$D$7&lt;&gt;"",Database!$D414=Screener!$D$7),1,0)</f>
        <v/>
      </c>
      <c r="D414" s="270">
        <f>IF(OR(N(Database!$I414)&lt;=0,N(Screener!$D$9)&lt;=0),0,MAX(0,1-ABS(LOG10(N(Database!$I414)/Screener!$D$9))/W_SIZEHW))</f>
        <v/>
      </c>
      <c r="E414" s="270">
        <f>IF(OR(Database!$BG414="",Screener!$D$10=""),0,IF(Database!$BG414=Screener!$D$10,1,0))</f>
        <v/>
      </c>
      <c r="F414" s="270">
        <f>IF(OR(Database!$BM414="",Screener!$D$11=""),0,IF(Database!$BM414=Screener!$D$11,1,0))</f>
        <v/>
      </c>
      <c r="G414" s="270">
        <f>IF(OR(Database!$H414="",N(Screener!$D$12)&lt;=0),0,MAX(0,1-(N(Screener!$D$12)-Database!$H414)/W_RECD))</f>
        <v/>
      </c>
      <c r="H414" s="270">
        <f>IF($U$1="",0,N(ISNUMBER(SEARCH($U$1,Database!$AC414&amp;""))))+IF($V$1="",0,N(ISNUMBER(SEARCH($V$1,Database!$AC414&amp;""))))+IF($W$1="",0,N(ISNUMBER(SEARCH($W$1,Database!$AC414&amp;""))))+IF($X$1="",0,N(ISNUMBER(SEARCH($X$1,Database!$AC414&amp;""))))+IF($Y$1="",0,N(ISNUMBER(SEARCH($Y$1,Database!$AC414&amp;""))))+IF(Screener!$B$17="",0,N(ISNUMBER(SEARCH(LOWER(Screener!$B$17),Database!$AC414&amp;""))))</f>
        <v/>
      </c>
      <c r="I414" s="270">
        <f>IF(OR(N(Database!$BH414)&lt;=0,N(Screener!$D$13)&lt;=0),0,MAX(0,1-ABS(LOG10(N(Database!$BH414)/Screener!$D$13))/W_PEHW))</f>
        <v/>
      </c>
      <c r="J414" s="270">
        <f>IF(OR(N(Database!$S414)&lt;=0,N(Screener!$D$14)&lt;=0),0,MAX(0,1-ABS(LOG10(Database!$S414/Screener!$D$14))/0.6))</f>
        <v/>
      </c>
      <c r="K414" s="270">
        <f>IF(Database!$B414=Screener!$B$5,-999999,IF(ISNUMBER(SEARCH(","&amp;Database!$A414&amp;",",","&amp;SUBSTITUTE(Screener!$D$17," ","")&amp;",")),2000000,IF(IF(OR(Screener!$B$18="All",AND(Screener!$B$18="With A-share",(Database!$BM414="Y")),AND(Screener!$B$18="Without A-share",NOT((Database!$BM414="Y")))),1,0)=0,-999999,IF(Screener!$B$16="cornerstone overlap first",H414*100000,IF(Screener!$B$16="demand-similar first",J414*100000,0))+W_SUB*B414+W_SEC*C414*(1-B414)+W_SIZE*D414+W_PROF*E414+W_AH*F414+W_REC*G414+W_CS*H414+W_PE*I414)))+ROW()/1000000</f>
        <v/>
      </c>
      <c r="AA414" s="270">
        <f>Database!B403</f>
        <v/>
      </c>
      <c r="AB414" s="270">
        <f>Database!D403</f>
        <v/>
      </c>
      <c r="AC414" s="270">
        <f>Database!E403</f>
        <v/>
      </c>
      <c r="AD414" s="270">
        <f>Database!I403</f>
        <v/>
      </c>
      <c r="AE414" s="270">
        <f>Database!BG403</f>
        <v/>
      </c>
      <c r="AF414" s="270">
        <f>Database!BM403</f>
        <v/>
      </c>
      <c r="AG414" s="270">
        <f>Database!H403</f>
        <v/>
      </c>
      <c r="AH414" s="270">
        <f>Database!BH403</f>
        <v/>
      </c>
    </row>
    <row r="415">
      <c r="A415" s="270">
        <f>Database!B415</f>
        <v/>
      </c>
      <c r="B415" s="270">
        <f>IF(AND(Screener!$D$8&lt;&gt;"",Database!$E415=Screener!$D$8),1,0)</f>
        <v/>
      </c>
      <c r="C415" s="270">
        <f>IF(AND(Screener!$D$7&lt;&gt;"",Database!$D415=Screener!$D$7),1,0)</f>
        <v/>
      </c>
      <c r="D415" s="270">
        <f>IF(OR(N(Database!$I415)&lt;=0,N(Screener!$D$9)&lt;=0),0,MAX(0,1-ABS(LOG10(N(Database!$I415)/Screener!$D$9))/W_SIZEHW))</f>
        <v/>
      </c>
      <c r="E415" s="270">
        <f>IF(OR(Database!$BG415="",Screener!$D$10=""),0,IF(Database!$BG415=Screener!$D$10,1,0))</f>
        <v/>
      </c>
      <c r="F415" s="270">
        <f>IF(OR(Database!$BM415="",Screener!$D$11=""),0,IF(Database!$BM415=Screener!$D$11,1,0))</f>
        <v/>
      </c>
      <c r="G415" s="270">
        <f>IF(OR(Database!$H415="",N(Screener!$D$12)&lt;=0),0,MAX(0,1-(N(Screener!$D$12)-Database!$H415)/W_RECD))</f>
        <v/>
      </c>
      <c r="H415" s="270">
        <f>IF($U$1="",0,N(ISNUMBER(SEARCH($U$1,Database!$AC415&amp;""))))+IF($V$1="",0,N(ISNUMBER(SEARCH($V$1,Database!$AC415&amp;""))))+IF($W$1="",0,N(ISNUMBER(SEARCH($W$1,Database!$AC415&amp;""))))+IF($X$1="",0,N(ISNUMBER(SEARCH($X$1,Database!$AC415&amp;""))))+IF($Y$1="",0,N(ISNUMBER(SEARCH($Y$1,Database!$AC415&amp;""))))+IF(Screener!$B$17="",0,N(ISNUMBER(SEARCH(LOWER(Screener!$B$17),Database!$AC415&amp;""))))</f>
        <v/>
      </c>
      <c r="I415" s="270">
        <f>IF(OR(N(Database!$BH415)&lt;=0,N(Screener!$D$13)&lt;=0),0,MAX(0,1-ABS(LOG10(N(Database!$BH415)/Screener!$D$13))/W_PEHW))</f>
        <v/>
      </c>
      <c r="J415" s="270">
        <f>IF(OR(N(Database!$S415)&lt;=0,N(Screener!$D$14)&lt;=0),0,MAX(0,1-ABS(LOG10(Database!$S415/Screener!$D$14))/0.6))</f>
        <v/>
      </c>
      <c r="K415" s="270">
        <f>IF(Database!$B415=Screener!$B$5,-999999,IF(ISNUMBER(SEARCH(","&amp;Database!$A415&amp;",",","&amp;SUBSTITUTE(Screener!$D$17," ","")&amp;",")),2000000,IF(IF(OR(Screener!$B$18="All",AND(Screener!$B$18="With A-share",(Database!$BM415="Y")),AND(Screener!$B$18="Without A-share",NOT((Database!$BM415="Y")))),1,0)=0,-999999,IF(Screener!$B$16="cornerstone overlap first",H415*100000,IF(Screener!$B$16="demand-similar first",J415*100000,0))+W_SUB*B415+W_SEC*C415*(1-B415)+W_SIZE*D415+W_PROF*E415+W_AH*F415+W_REC*G415+W_CS*H415+W_PE*I415)))+ROW()/1000000</f>
        <v/>
      </c>
      <c r="AA415" s="270">
        <f>Database!B404</f>
        <v/>
      </c>
      <c r="AB415" s="270">
        <f>Database!D404</f>
        <v/>
      </c>
      <c r="AC415" s="270">
        <f>Database!E404</f>
        <v/>
      </c>
      <c r="AD415" s="270">
        <f>Database!I404</f>
        <v/>
      </c>
      <c r="AE415" s="270">
        <f>Database!BG404</f>
        <v/>
      </c>
      <c r="AF415" s="270">
        <f>Database!BM404</f>
        <v/>
      </c>
      <c r="AG415" s="270">
        <f>Database!H404</f>
        <v/>
      </c>
      <c r="AH415" s="270">
        <f>Database!BH404</f>
        <v/>
      </c>
    </row>
    <row r="416">
      <c r="A416" s="270">
        <f>Database!B416</f>
        <v/>
      </c>
      <c r="B416" s="270">
        <f>IF(AND(Screener!$D$8&lt;&gt;"",Database!$E416=Screener!$D$8),1,0)</f>
        <v/>
      </c>
      <c r="C416" s="270">
        <f>IF(AND(Screener!$D$7&lt;&gt;"",Database!$D416=Screener!$D$7),1,0)</f>
        <v/>
      </c>
      <c r="D416" s="270">
        <f>IF(OR(N(Database!$I416)&lt;=0,N(Screener!$D$9)&lt;=0),0,MAX(0,1-ABS(LOG10(N(Database!$I416)/Screener!$D$9))/W_SIZEHW))</f>
        <v/>
      </c>
      <c r="E416" s="270">
        <f>IF(OR(Database!$BG416="",Screener!$D$10=""),0,IF(Database!$BG416=Screener!$D$10,1,0))</f>
        <v/>
      </c>
      <c r="F416" s="270">
        <f>IF(OR(Database!$BM416="",Screener!$D$11=""),0,IF(Database!$BM416=Screener!$D$11,1,0))</f>
        <v/>
      </c>
      <c r="G416" s="270">
        <f>IF(OR(Database!$H416="",N(Screener!$D$12)&lt;=0),0,MAX(0,1-(N(Screener!$D$12)-Database!$H416)/W_RECD))</f>
        <v/>
      </c>
      <c r="H416" s="270">
        <f>IF($U$1="",0,N(ISNUMBER(SEARCH($U$1,Database!$AC416&amp;""))))+IF($V$1="",0,N(ISNUMBER(SEARCH($V$1,Database!$AC416&amp;""))))+IF($W$1="",0,N(ISNUMBER(SEARCH($W$1,Database!$AC416&amp;""))))+IF($X$1="",0,N(ISNUMBER(SEARCH($X$1,Database!$AC416&amp;""))))+IF($Y$1="",0,N(ISNUMBER(SEARCH($Y$1,Database!$AC416&amp;""))))+IF(Screener!$B$17="",0,N(ISNUMBER(SEARCH(LOWER(Screener!$B$17),Database!$AC416&amp;""))))</f>
        <v/>
      </c>
      <c r="I416" s="270">
        <f>IF(OR(N(Database!$BH416)&lt;=0,N(Screener!$D$13)&lt;=0),0,MAX(0,1-ABS(LOG10(N(Database!$BH416)/Screener!$D$13))/W_PEHW))</f>
        <v/>
      </c>
      <c r="J416" s="270">
        <f>IF(OR(N(Database!$S416)&lt;=0,N(Screener!$D$14)&lt;=0),0,MAX(0,1-ABS(LOG10(Database!$S416/Screener!$D$14))/0.6))</f>
        <v/>
      </c>
      <c r="K416" s="270">
        <f>IF(Database!$B416=Screener!$B$5,-999999,IF(ISNUMBER(SEARCH(","&amp;Database!$A416&amp;",",","&amp;SUBSTITUTE(Screener!$D$17," ","")&amp;",")),2000000,IF(IF(OR(Screener!$B$18="All",AND(Screener!$B$18="With A-share",(Database!$BM416="Y")),AND(Screener!$B$18="Without A-share",NOT((Database!$BM416="Y")))),1,0)=0,-999999,IF(Screener!$B$16="cornerstone overlap first",H416*100000,IF(Screener!$B$16="demand-similar first",J416*100000,0))+W_SUB*B416+W_SEC*C416*(1-B416)+W_SIZE*D416+W_PROF*E416+W_AH*F416+W_REC*G416+W_CS*H416+W_PE*I416)))+ROW()/1000000</f>
        <v/>
      </c>
      <c r="AA416" s="270">
        <f>Database!B405</f>
        <v/>
      </c>
      <c r="AB416" s="270">
        <f>Database!D405</f>
        <v/>
      </c>
      <c r="AC416" s="270">
        <f>Database!E405</f>
        <v/>
      </c>
      <c r="AD416" s="270">
        <f>Database!I405</f>
        <v/>
      </c>
      <c r="AE416" s="270">
        <f>Database!BG405</f>
        <v/>
      </c>
      <c r="AF416" s="270">
        <f>Database!BM405</f>
        <v/>
      </c>
      <c r="AG416" s="270">
        <f>Database!H405</f>
        <v/>
      </c>
      <c r="AH416" s="270">
        <f>Database!BH405</f>
        <v/>
      </c>
    </row>
    <row r="417">
      <c r="A417" s="270">
        <f>Database!B417</f>
        <v/>
      </c>
      <c r="B417" s="270">
        <f>IF(AND(Screener!$D$8&lt;&gt;"",Database!$E417=Screener!$D$8),1,0)</f>
        <v/>
      </c>
      <c r="C417" s="270">
        <f>IF(AND(Screener!$D$7&lt;&gt;"",Database!$D417=Screener!$D$7),1,0)</f>
        <v/>
      </c>
      <c r="D417" s="270">
        <f>IF(OR(N(Database!$I417)&lt;=0,N(Screener!$D$9)&lt;=0),0,MAX(0,1-ABS(LOG10(N(Database!$I417)/Screener!$D$9))/W_SIZEHW))</f>
        <v/>
      </c>
      <c r="E417" s="270">
        <f>IF(OR(Database!$BG417="",Screener!$D$10=""),0,IF(Database!$BG417=Screener!$D$10,1,0))</f>
        <v/>
      </c>
      <c r="F417" s="270">
        <f>IF(OR(Database!$BM417="",Screener!$D$11=""),0,IF(Database!$BM417=Screener!$D$11,1,0))</f>
        <v/>
      </c>
      <c r="G417" s="270">
        <f>IF(OR(Database!$H417="",N(Screener!$D$12)&lt;=0),0,MAX(0,1-(N(Screener!$D$12)-Database!$H417)/W_RECD))</f>
        <v/>
      </c>
      <c r="H417" s="270">
        <f>IF($U$1="",0,N(ISNUMBER(SEARCH($U$1,Database!$AC417&amp;""))))+IF($V$1="",0,N(ISNUMBER(SEARCH($V$1,Database!$AC417&amp;""))))+IF($W$1="",0,N(ISNUMBER(SEARCH($W$1,Database!$AC417&amp;""))))+IF($X$1="",0,N(ISNUMBER(SEARCH($X$1,Database!$AC417&amp;""))))+IF($Y$1="",0,N(ISNUMBER(SEARCH($Y$1,Database!$AC417&amp;""))))+IF(Screener!$B$17="",0,N(ISNUMBER(SEARCH(LOWER(Screener!$B$17),Database!$AC417&amp;""))))</f>
        <v/>
      </c>
      <c r="I417" s="270">
        <f>IF(OR(N(Database!$BH417)&lt;=0,N(Screener!$D$13)&lt;=0),0,MAX(0,1-ABS(LOG10(N(Database!$BH417)/Screener!$D$13))/W_PEHW))</f>
        <v/>
      </c>
      <c r="J417" s="270">
        <f>IF(OR(N(Database!$S417)&lt;=0,N(Screener!$D$14)&lt;=0),0,MAX(0,1-ABS(LOG10(Database!$S417/Screener!$D$14))/0.6))</f>
        <v/>
      </c>
      <c r="K417" s="270">
        <f>IF(Database!$B417=Screener!$B$5,-999999,IF(ISNUMBER(SEARCH(","&amp;Database!$A417&amp;",",","&amp;SUBSTITUTE(Screener!$D$17," ","")&amp;",")),2000000,IF(IF(OR(Screener!$B$18="All",AND(Screener!$B$18="With A-share",(Database!$BM417="Y")),AND(Screener!$B$18="Without A-share",NOT((Database!$BM417="Y")))),1,0)=0,-999999,IF(Screener!$B$16="cornerstone overlap first",H417*100000,IF(Screener!$B$16="demand-similar first",J417*100000,0))+W_SUB*B417+W_SEC*C417*(1-B417)+W_SIZE*D417+W_PROF*E417+W_AH*F417+W_REC*G417+W_CS*H417+W_PE*I417)))+ROW()/1000000</f>
        <v/>
      </c>
      <c r="AA417" s="270">
        <f>Database!B406</f>
        <v/>
      </c>
      <c r="AB417" s="270">
        <f>Database!D406</f>
        <v/>
      </c>
      <c r="AC417" s="270">
        <f>Database!E406</f>
        <v/>
      </c>
      <c r="AD417" s="270">
        <f>Database!I406</f>
        <v/>
      </c>
      <c r="AE417" s="270">
        <f>Database!BG406</f>
        <v/>
      </c>
      <c r="AF417" s="270">
        <f>Database!BM406</f>
        <v/>
      </c>
      <c r="AG417" s="270">
        <f>Database!H406</f>
        <v/>
      </c>
      <c r="AH417" s="270">
        <f>Database!BH406</f>
        <v/>
      </c>
    </row>
    <row r="418">
      <c r="A418" s="270">
        <f>Database!B418</f>
        <v/>
      </c>
      <c r="B418" s="270">
        <f>IF(AND(Screener!$D$8&lt;&gt;"",Database!$E418=Screener!$D$8),1,0)</f>
        <v/>
      </c>
      <c r="C418" s="270">
        <f>IF(AND(Screener!$D$7&lt;&gt;"",Database!$D418=Screener!$D$7),1,0)</f>
        <v/>
      </c>
      <c r="D418" s="270">
        <f>IF(OR(N(Database!$I418)&lt;=0,N(Screener!$D$9)&lt;=0),0,MAX(0,1-ABS(LOG10(N(Database!$I418)/Screener!$D$9))/W_SIZEHW))</f>
        <v/>
      </c>
      <c r="E418" s="270">
        <f>IF(OR(Database!$BG418="",Screener!$D$10=""),0,IF(Database!$BG418=Screener!$D$10,1,0))</f>
        <v/>
      </c>
      <c r="F418" s="270">
        <f>IF(OR(Database!$BM418="",Screener!$D$11=""),0,IF(Database!$BM418=Screener!$D$11,1,0))</f>
        <v/>
      </c>
      <c r="G418" s="270">
        <f>IF(OR(Database!$H418="",N(Screener!$D$12)&lt;=0),0,MAX(0,1-(N(Screener!$D$12)-Database!$H418)/W_RECD))</f>
        <v/>
      </c>
      <c r="H418" s="270">
        <f>IF($U$1="",0,N(ISNUMBER(SEARCH($U$1,Database!$AC418&amp;""))))+IF($V$1="",0,N(ISNUMBER(SEARCH($V$1,Database!$AC418&amp;""))))+IF($W$1="",0,N(ISNUMBER(SEARCH($W$1,Database!$AC418&amp;""))))+IF($X$1="",0,N(ISNUMBER(SEARCH($X$1,Database!$AC418&amp;""))))+IF($Y$1="",0,N(ISNUMBER(SEARCH($Y$1,Database!$AC418&amp;""))))+IF(Screener!$B$17="",0,N(ISNUMBER(SEARCH(LOWER(Screener!$B$17),Database!$AC418&amp;""))))</f>
        <v/>
      </c>
      <c r="I418" s="270">
        <f>IF(OR(N(Database!$BH418)&lt;=0,N(Screener!$D$13)&lt;=0),0,MAX(0,1-ABS(LOG10(N(Database!$BH418)/Screener!$D$13))/W_PEHW))</f>
        <v/>
      </c>
      <c r="J418" s="270">
        <f>IF(OR(N(Database!$S418)&lt;=0,N(Screener!$D$14)&lt;=0),0,MAX(0,1-ABS(LOG10(Database!$S418/Screener!$D$14))/0.6))</f>
        <v/>
      </c>
      <c r="K418" s="270">
        <f>IF(Database!$B418=Screener!$B$5,-999999,IF(ISNUMBER(SEARCH(","&amp;Database!$A418&amp;",",","&amp;SUBSTITUTE(Screener!$D$17," ","")&amp;",")),2000000,IF(IF(OR(Screener!$B$18="All",AND(Screener!$B$18="With A-share",(Database!$BM418="Y")),AND(Screener!$B$18="Without A-share",NOT((Database!$BM418="Y")))),1,0)=0,-999999,IF(Screener!$B$16="cornerstone overlap first",H418*100000,IF(Screener!$B$16="demand-similar first",J418*100000,0))+W_SUB*B418+W_SEC*C418*(1-B418)+W_SIZE*D418+W_PROF*E418+W_AH*F418+W_REC*G418+W_CS*H418+W_PE*I418)))+ROW()/1000000</f>
        <v/>
      </c>
      <c r="AA418" s="270">
        <f>Database!B407</f>
        <v/>
      </c>
      <c r="AB418" s="270">
        <f>Database!D407</f>
        <v/>
      </c>
      <c r="AC418" s="270">
        <f>Database!E407</f>
        <v/>
      </c>
      <c r="AD418" s="270">
        <f>Database!I407</f>
        <v/>
      </c>
      <c r="AE418" s="270">
        <f>Database!BG407</f>
        <v/>
      </c>
      <c r="AF418" s="270">
        <f>Database!BM407</f>
        <v/>
      </c>
      <c r="AG418" s="270">
        <f>Database!H407</f>
        <v/>
      </c>
      <c r="AH418" s="270">
        <f>Database!BH407</f>
        <v/>
      </c>
    </row>
    <row r="419">
      <c r="A419" s="270">
        <f>Database!B419</f>
        <v/>
      </c>
      <c r="B419" s="270">
        <f>IF(AND(Screener!$D$8&lt;&gt;"",Database!$E419=Screener!$D$8),1,0)</f>
        <v/>
      </c>
      <c r="C419" s="270">
        <f>IF(AND(Screener!$D$7&lt;&gt;"",Database!$D419=Screener!$D$7),1,0)</f>
        <v/>
      </c>
      <c r="D419" s="270">
        <f>IF(OR(N(Database!$I419)&lt;=0,N(Screener!$D$9)&lt;=0),0,MAX(0,1-ABS(LOG10(N(Database!$I419)/Screener!$D$9))/W_SIZEHW))</f>
        <v/>
      </c>
      <c r="E419" s="270">
        <f>IF(OR(Database!$BG419="",Screener!$D$10=""),0,IF(Database!$BG419=Screener!$D$10,1,0))</f>
        <v/>
      </c>
      <c r="F419" s="270">
        <f>IF(OR(Database!$BM419="",Screener!$D$11=""),0,IF(Database!$BM419=Screener!$D$11,1,0))</f>
        <v/>
      </c>
      <c r="G419" s="270">
        <f>IF(OR(Database!$H419="",N(Screener!$D$12)&lt;=0),0,MAX(0,1-(N(Screener!$D$12)-Database!$H419)/W_RECD))</f>
        <v/>
      </c>
      <c r="H419" s="270">
        <f>IF($U$1="",0,N(ISNUMBER(SEARCH($U$1,Database!$AC419&amp;""))))+IF($V$1="",0,N(ISNUMBER(SEARCH($V$1,Database!$AC419&amp;""))))+IF($W$1="",0,N(ISNUMBER(SEARCH($W$1,Database!$AC419&amp;""))))+IF($X$1="",0,N(ISNUMBER(SEARCH($X$1,Database!$AC419&amp;""))))+IF($Y$1="",0,N(ISNUMBER(SEARCH($Y$1,Database!$AC419&amp;""))))+IF(Screener!$B$17="",0,N(ISNUMBER(SEARCH(LOWER(Screener!$B$17),Database!$AC419&amp;""))))</f>
        <v/>
      </c>
      <c r="I419" s="270">
        <f>IF(OR(N(Database!$BH419)&lt;=0,N(Screener!$D$13)&lt;=0),0,MAX(0,1-ABS(LOG10(N(Database!$BH419)/Screener!$D$13))/W_PEHW))</f>
        <v/>
      </c>
      <c r="J419" s="270">
        <f>IF(OR(N(Database!$S419)&lt;=0,N(Screener!$D$14)&lt;=0),0,MAX(0,1-ABS(LOG10(Database!$S419/Screener!$D$14))/0.6))</f>
        <v/>
      </c>
      <c r="K419" s="270">
        <f>IF(Database!$B419=Screener!$B$5,-999999,IF(ISNUMBER(SEARCH(","&amp;Database!$A419&amp;",",","&amp;SUBSTITUTE(Screener!$D$17," ","")&amp;",")),2000000,IF(IF(OR(Screener!$B$18="All",AND(Screener!$B$18="With A-share",(Database!$BM419="Y")),AND(Screener!$B$18="Without A-share",NOT((Database!$BM419="Y")))),1,0)=0,-999999,IF(Screener!$B$16="cornerstone overlap first",H419*100000,IF(Screener!$B$16="demand-similar first",J419*100000,0))+W_SUB*B419+W_SEC*C419*(1-B419)+W_SIZE*D419+W_PROF*E419+W_AH*F419+W_REC*G419+W_CS*H419+W_PE*I419)))+ROW()/1000000</f>
        <v/>
      </c>
      <c r="AA419" s="270">
        <f>Database!B408</f>
        <v/>
      </c>
      <c r="AB419" s="270">
        <f>Database!D408</f>
        <v/>
      </c>
      <c r="AC419" s="270">
        <f>Database!E408</f>
        <v/>
      </c>
      <c r="AD419" s="270">
        <f>Database!I408</f>
        <v/>
      </c>
      <c r="AE419" s="270">
        <f>Database!BG408</f>
        <v/>
      </c>
      <c r="AF419" s="270">
        <f>Database!BM408</f>
        <v/>
      </c>
      <c r="AG419" s="270">
        <f>Database!H408</f>
        <v/>
      </c>
      <c r="AH419" s="270">
        <f>Database!BH408</f>
        <v/>
      </c>
    </row>
    <row r="420">
      <c r="A420" s="270">
        <f>Database!B420</f>
        <v/>
      </c>
      <c r="B420" s="270">
        <f>IF(AND(Screener!$D$8&lt;&gt;"",Database!$E420=Screener!$D$8),1,0)</f>
        <v/>
      </c>
      <c r="C420" s="270">
        <f>IF(AND(Screener!$D$7&lt;&gt;"",Database!$D420=Screener!$D$7),1,0)</f>
        <v/>
      </c>
      <c r="D420" s="270">
        <f>IF(OR(N(Database!$I420)&lt;=0,N(Screener!$D$9)&lt;=0),0,MAX(0,1-ABS(LOG10(N(Database!$I420)/Screener!$D$9))/W_SIZEHW))</f>
        <v/>
      </c>
      <c r="E420" s="270">
        <f>IF(OR(Database!$BG420="",Screener!$D$10=""),0,IF(Database!$BG420=Screener!$D$10,1,0))</f>
        <v/>
      </c>
      <c r="F420" s="270">
        <f>IF(OR(Database!$BM420="",Screener!$D$11=""),0,IF(Database!$BM420=Screener!$D$11,1,0))</f>
        <v/>
      </c>
      <c r="G420" s="270">
        <f>IF(OR(Database!$H420="",N(Screener!$D$12)&lt;=0),0,MAX(0,1-(N(Screener!$D$12)-Database!$H420)/W_RECD))</f>
        <v/>
      </c>
      <c r="H420" s="270">
        <f>IF($U$1="",0,N(ISNUMBER(SEARCH($U$1,Database!$AC420&amp;""))))+IF($V$1="",0,N(ISNUMBER(SEARCH($V$1,Database!$AC420&amp;""))))+IF($W$1="",0,N(ISNUMBER(SEARCH($W$1,Database!$AC420&amp;""))))+IF($X$1="",0,N(ISNUMBER(SEARCH($X$1,Database!$AC420&amp;""))))+IF($Y$1="",0,N(ISNUMBER(SEARCH($Y$1,Database!$AC420&amp;""))))+IF(Screener!$B$17="",0,N(ISNUMBER(SEARCH(LOWER(Screener!$B$17),Database!$AC420&amp;""))))</f>
        <v/>
      </c>
      <c r="I420" s="270">
        <f>IF(OR(N(Database!$BH420)&lt;=0,N(Screener!$D$13)&lt;=0),0,MAX(0,1-ABS(LOG10(N(Database!$BH420)/Screener!$D$13))/W_PEHW))</f>
        <v/>
      </c>
      <c r="J420" s="270">
        <f>IF(OR(N(Database!$S420)&lt;=0,N(Screener!$D$14)&lt;=0),0,MAX(0,1-ABS(LOG10(Database!$S420/Screener!$D$14))/0.6))</f>
        <v/>
      </c>
      <c r="K420" s="270">
        <f>IF(Database!$B420=Screener!$B$5,-999999,IF(ISNUMBER(SEARCH(","&amp;Database!$A420&amp;",",","&amp;SUBSTITUTE(Screener!$D$17," ","")&amp;",")),2000000,IF(IF(OR(Screener!$B$18="All",AND(Screener!$B$18="With A-share",(Database!$BM420="Y")),AND(Screener!$B$18="Without A-share",NOT((Database!$BM420="Y")))),1,0)=0,-999999,IF(Screener!$B$16="cornerstone overlap first",H420*100000,IF(Screener!$B$16="demand-similar first",J420*100000,0))+W_SUB*B420+W_SEC*C420*(1-B420)+W_SIZE*D420+W_PROF*E420+W_AH*F420+W_REC*G420+W_CS*H420+W_PE*I420)))+ROW()/1000000</f>
        <v/>
      </c>
      <c r="AA420" s="270">
        <f>Database!B409</f>
        <v/>
      </c>
      <c r="AB420" s="270">
        <f>Database!D409</f>
        <v/>
      </c>
      <c r="AC420" s="270">
        <f>Database!E409</f>
        <v/>
      </c>
      <c r="AD420" s="270">
        <f>Database!I409</f>
        <v/>
      </c>
      <c r="AE420" s="270">
        <f>Database!BG409</f>
        <v/>
      </c>
      <c r="AF420" s="270">
        <f>Database!BM409</f>
        <v/>
      </c>
      <c r="AG420" s="270">
        <f>Database!H409</f>
        <v/>
      </c>
      <c r="AH420" s="270">
        <f>Database!BH409</f>
        <v/>
      </c>
    </row>
    <row r="421">
      <c r="A421" s="270">
        <f>Database!B421</f>
        <v/>
      </c>
      <c r="B421" s="270">
        <f>IF(AND(Screener!$D$8&lt;&gt;"",Database!$E421=Screener!$D$8),1,0)</f>
        <v/>
      </c>
      <c r="C421" s="270">
        <f>IF(AND(Screener!$D$7&lt;&gt;"",Database!$D421=Screener!$D$7),1,0)</f>
        <v/>
      </c>
      <c r="D421" s="270">
        <f>IF(OR(N(Database!$I421)&lt;=0,N(Screener!$D$9)&lt;=0),0,MAX(0,1-ABS(LOG10(N(Database!$I421)/Screener!$D$9))/W_SIZEHW))</f>
        <v/>
      </c>
      <c r="E421" s="270">
        <f>IF(OR(Database!$BG421="",Screener!$D$10=""),0,IF(Database!$BG421=Screener!$D$10,1,0))</f>
        <v/>
      </c>
      <c r="F421" s="270">
        <f>IF(OR(Database!$BM421="",Screener!$D$11=""),0,IF(Database!$BM421=Screener!$D$11,1,0))</f>
        <v/>
      </c>
      <c r="G421" s="270">
        <f>IF(OR(Database!$H421="",N(Screener!$D$12)&lt;=0),0,MAX(0,1-(N(Screener!$D$12)-Database!$H421)/W_RECD))</f>
        <v/>
      </c>
      <c r="H421" s="270">
        <f>IF($U$1="",0,N(ISNUMBER(SEARCH($U$1,Database!$AC421&amp;""))))+IF($V$1="",0,N(ISNUMBER(SEARCH($V$1,Database!$AC421&amp;""))))+IF($W$1="",0,N(ISNUMBER(SEARCH($W$1,Database!$AC421&amp;""))))+IF($X$1="",0,N(ISNUMBER(SEARCH($X$1,Database!$AC421&amp;""))))+IF($Y$1="",0,N(ISNUMBER(SEARCH($Y$1,Database!$AC421&amp;""))))+IF(Screener!$B$17="",0,N(ISNUMBER(SEARCH(LOWER(Screener!$B$17),Database!$AC421&amp;""))))</f>
        <v/>
      </c>
      <c r="I421" s="270">
        <f>IF(OR(N(Database!$BH421)&lt;=0,N(Screener!$D$13)&lt;=0),0,MAX(0,1-ABS(LOG10(N(Database!$BH421)/Screener!$D$13))/W_PEHW))</f>
        <v/>
      </c>
      <c r="J421" s="270">
        <f>IF(OR(N(Database!$S421)&lt;=0,N(Screener!$D$14)&lt;=0),0,MAX(0,1-ABS(LOG10(Database!$S421/Screener!$D$14))/0.6))</f>
        <v/>
      </c>
      <c r="K421" s="270">
        <f>IF(Database!$B421=Screener!$B$5,-999999,IF(ISNUMBER(SEARCH(","&amp;Database!$A421&amp;",",","&amp;SUBSTITUTE(Screener!$D$17," ","")&amp;",")),2000000,IF(IF(OR(Screener!$B$18="All",AND(Screener!$B$18="With A-share",(Database!$BM421="Y")),AND(Screener!$B$18="Without A-share",NOT((Database!$BM421="Y")))),1,0)=0,-999999,IF(Screener!$B$16="cornerstone overlap first",H421*100000,IF(Screener!$B$16="demand-similar first",J421*100000,0))+W_SUB*B421+W_SEC*C421*(1-B421)+W_SIZE*D421+W_PROF*E421+W_AH*F421+W_REC*G421+W_CS*H421+W_PE*I421)))+ROW()/1000000</f>
        <v/>
      </c>
      <c r="AA421" s="270">
        <f>Database!B410</f>
        <v/>
      </c>
      <c r="AB421" s="270">
        <f>Database!D410</f>
        <v/>
      </c>
      <c r="AC421" s="270">
        <f>Database!E410</f>
        <v/>
      </c>
      <c r="AD421" s="270">
        <f>Database!I410</f>
        <v/>
      </c>
      <c r="AE421" s="270">
        <f>Database!BG410</f>
        <v/>
      </c>
      <c r="AF421" s="270">
        <f>Database!BM410</f>
        <v/>
      </c>
      <c r="AG421" s="270">
        <f>Database!H410</f>
        <v/>
      </c>
      <c r="AH421" s="270">
        <f>Database!BH410</f>
        <v/>
      </c>
    </row>
    <row r="422">
      <c r="A422" s="270">
        <f>Database!B422</f>
        <v/>
      </c>
      <c r="B422" s="270">
        <f>IF(AND(Screener!$D$8&lt;&gt;"",Database!$E422=Screener!$D$8),1,0)</f>
        <v/>
      </c>
      <c r="C422" s="270">
        <f>IF(AND(Screener!$D$7&lt;&gt;"",Database!$D422=Screener!$D$7),1,0)</f>
        <v/>
      </c>
      <c r="D422" s="270">
        <f>IF(OR(N(Database!$I422)&lt;=0,N(Screener!$D$9)&lt;=0),0,MAX(0,1-ABS(LOG10(N(Database!$I422)/Screener!$D$9))/W_SIZEHW))</f>
        <v/>
      </c>
      <c r="E422" s="270">
        <f>IF(OR(Database!$BG422="",Screener!$D$10=""),0,IF(Database!$BG422=Screener!$D$10,1,0))</f>
        <v/>
      </c>
      <c r="F422" s="270">
        <f>IF(OR(Database!$BM422="",Screener!$D$11=""),0,IF(Database!$BM422=Screener!$D$11,1,0))</f>
        <v/>
      </c>
      <c r="G422" s="270">
        <f>IF(OR(Database!$H422="",N(Screener!$D$12)&lt;=0),0,MAX(0,1-(N(Screener!$D$12)-Database!$H422)/W_RECD))</f>
        <v/>
      </c>
      <c r="H422" s="270">
        <f>IF($U$1="",0,N(ISNUMBER(SEARCH($U$1,Database!$AC422&amp;""))))+IF($V$1="",0,N(ISNUMBER(SEARCH($V$1,Database!$AC422&amp;""))))+IF($W$1="",0,N(ISNUMBER(SEARCH($W$1,Database!$AC422&amp;""))))+IF($X$1="",0,N(ISNUMBER(SEARCH($X$1,Database!$AC422&amp;""))))+IF($Y$1="",0,N(ISNUMBER(SEARCH($Y$1,Database!$AC422&amp;""))))+IF(Screener!$B$17="",0,N(ISNUMBER(SEARCH(LOWER(Screener!$B$17),Database!$AC422&amp;""))))</f>
        <v/>
      </c>
      <c r="I422" s="270">
        <f>IF(OR(N(Database!$BH422)&lt;=0,N(Screener!$D$13)&lt;=0),0,MAX(0,1-ABS(LOG10(N(Database!$BH422)/Screener!$D$13))/W_PEHW))</f>
        <v/>
      </c>
      <c r="J422" s="270">
        <f>IF(OR(N(Database!$S422)&lt;=0,N(Screener!$D$14)&lt;=0),0,MAX(0,1-ABS(LOG10(Database!$S422/Screener!$D$14))/0.6))</f>
        <v/>
      </c>
      <c r="K422" s="270">
        <f>IF(Database!$B422=Screener!$B$5,-999999,IF(ISNUMBER(SEARCH(","&amp;Database!$A422&amp;",",","&amp;SUBSTITUTE(Screener!$D$17," ","")&amp;",")),2000000,IF(IF(OR(Screener!$B$18="All",AND(Screener!$B$18="With A-share",(Database!$BM422="Y")),AND(Screener!$B$18="Without A-share",NOT((Database!$BM422="Y")))),1,0)=0,-999999,IF(Screener!$B$16="cornerstone overlap first",H422*100000,IF(Screener!$B$16="demand-similar first",J422*100000,0))+W_SUB*B422+W_SEC*C422*(1-B422)+W_SIZE*D422+W_PROF*E422+W_AH*F422+W_REC*G422+W_CS*H422+W_PE*I422)))+ROW()/1000000</f>
        <v/>
      </c>
      <c r="AA422" s="270">
        <f>Database!B411</f>
        <v/>
      </c>
      <c r="AB422" s="270">
        <f>Database!D411</f>
        <v/>
      </c>
      <c r="AC422" s="270">
        <f>Database!E411</f>
        <v/>
      </c>
      <c r="AD422" s="270">
        <f>Database!I411</f>
        <v/>
      </c>
      <c r="AE422" s="270">
        <f>Database!BG411</f>
        <v/>
      </c>
      <c r="AF422" s="270">
        <f>Database!BM411</f>
        <v/>
      </c>
      <c r="AG422" s="270">
        <f>Database!H411</f>
        <v/>
      </c>
      <c r="AH422" s="270">
        <f>Database!BH411</f>
        <v/>
      </c>
    </row>
    <row r="423">
      <c r="A423" s="270">
        <f>Database!B423</f>
        <v/>
      </c>
      <c r="B423" s="270">
        <f>IF(AND(Screener!$D$8&lt;&gt;"",Database!$E423=Screener!$D$8),1,0)</f>
        <v/>
      </c>
      <c r="C423" s="270">
        <f>IF(AND(Screener!$D$7&lt;&gt;"",Database!$D423=Screener!$D$7),1,0)</f>
        <v/>
      </c>
      <c r="D423" s="270">
        <f>IF(OR(N(Database!$I423)&lt;=0,N(Screener!$D$9)&lt;=0),0,MAX(0,1-ABS(LOG10(N(Database!$I423)/Screener!$D$9))/W_SIZEHW))</f>
        <v/>
      </c>
      <c r="E423" s="270">
        <f>IF(OR(Database!$BG423="",Screener!$D$10=""),0,IF(Database!$BG423=Screener!$D$10,1,0))</f>
        <v/>
      </c>
      <c r="F423" s="270">
        <f>IF(OR(Database!$BM423="",Screener!$D$11=""),0,IF(Database!$BM423=Screener!$D$11,1,0))</f>
        <v/>
      </c>
      <c r="G423" s="270">
        <f>IF(OR(Database!$H423="",N(Screener!$D$12)&lt;=0),0,MAX(0,1-(N(Screener!$D$12)-Database!$H423)/W_RECD))</f>
        <v/>
      </c>
      <c r="H423" s="270">
        <f>IF($U$1="",0,N(ISNUMBER(SEARCH($U$1,Database!$AC423&amp;""))))+IF($V$1="",0,N(ISNUMBER(SEARCH($V$1,Database!$AC423&amp;""))))+IF($W$1="",0,N(ISNUMBER(SEARCH($W$1,Database!$AC423&amp;""))))+IF($X$1="",0,N(ISNUMBER(SEARCH($X$1,Database!$AC423&amp;""))))+IF($Y$1="",0,N(ISNUMBER(SEARCH($Y$1,Database!$AC423&amp;""))))+IF(Screener!$B$17="",0,N(ISNUMBER(SEARCH(LOWER(Screener!$B$17),Database!$AC423&amp;""))))</f>
        <v/>
      </c>
      <c r="I423" s="270">
        <f>IF(OR(N(Database!$BH423)&lt;=0,N(Screener!$D$13)&lt;=0),0,MAX(0,1-ABS(LOG10(N(Database!$BH423)/Screener!$D$13))/W_PEHW))</f>
        <v/>
      </c>
      <c r="J423" s="270">
        <f>IF(OR(N(Database!$S423)&lt;=0,N(Screener!$D$14)&lt;=0),0,MAX(0,1-ABS(LOG10(Database!$S423/Screener!$D$14))/0.6))</f>
        <v/>
      </c>
      <c r="K423" s="270">
        <f>IF(Database!$B423=Screener!$B$5,-999999,IF(ISNUMBER(SEARCH(","&amp;Database!$A423&amp;",",","&amp;SUBSTITUTE(Screener!$D$17," ","")&amp;",")),2000000,IF(IF(OR(Screener!$B$18="All",AND(Screener!$B$18="With A-share",(Database!$BM423="Y")),AND(Screener!$B$18="Without A-share",NOT((Database!$BM423="Y")))),1,0)=0,-999999,IF(Screener!$B$16="cornerstone overlap first",H423*100000,IF(Screener!$B$16="demand-similar first",J423*100000,0))+W_SUB*B423+W_SEC*C423*(1-B423)+W_SIZE*D423+W_PROF*E423+W_AH*F423+W_REC*G423+W_CS*H423+W_PE*I423)))+ROW()/1000000</f>
        <v/>
      </c>
      <c r="AA423" s="270">
        <f>Database!B412</f>
        <v/>
      </c>
      <c r="AB423" s="270">
        <f>Database!D412</f>
        <v/>
      </c>
      <c r="AC423" s="270">
        <f>Database!E412</f>
        <v/>
      </c>
      <c r="AD423" s="270">
        <f>Database!I412</f>
        <v/>
      </c>
      <c r="AE423" s="270">
        <f>Database!BG412</f>
        <v/>
      </c>
      <c r="AF423" s="270">
        <f>Database!BM412</f>
        <v/>
      </c>
      <c r="AG423" s="270">
        <f>Database!H412</f>
        <v/>
      </c>
      <c r="AH423" s="270">
        <f>Database!BH412</f>
        <v/>
      </c>
    </row>
    <row r="424">
      <c r="A424" s="270">
        <f>Database!B424</f>
        <v/>
      </c>
      <c r="B424" s="270">
        <f>IF(AND(Screener!$D$8&lt;&gt;"",Database!$E424=Screener!$D$8),1,0)</f>
        <v/>
      </c>
      <c r="C424" s="270">
        <f>IF(AND(Screener!$D$7&lt;&gt;"",Database!$D424=Screener!$D$7),1,0)</f>
        <v/>
      </c>
      <c r="D424" s="270">
        <f>IF(OR(N(Database!$I424)&lt;=0,N(Screener!$D$9)&lt;=0),0,MAX(0,1-ABS(LOG10(N(Database!$I424)/Screener!$D$9))/W_SIZEHW))</f>
        <v/>
      </c>
      <c r="E424" s="270">
        <f>IF(OR(Database!$BG424="",Screener!$D$10=""),0,IF(Database!$BG424=Screener!$D$10,1,0))</f>
        <v/>
      </c>
      <c r="F424" s="270">
        <f>IF(OR(Database!$BM424="",Screener!$D$11=""),0,IF(Database!$BM424=Screener!$D$11,1,0))</f>
        <v/>
      </c>
      <c r="G424" s="270">
        <f>IF(OR(Database!$H424="",N(Screener!$D$12)&lt;=0),0,MAX(0,1-(N(Screener!$D$12)-Database!$H424)/W_RECD))</f>
        <v/>
      </c>
      <c r="H424" s="270">
        <f>IF($U$1="",0,N(ISNUMBER(SEARCH($U$1,Database!$AC424&amp;""))))+IF($V$1="",0,N(ISNUMBER(SEARCH($V$1,Database!$AC424&amp;""))))+IF($W$1="",0,N(ISNUMBER(SEARCH($W$1,Database!$AC424&amp;""))))+IF($X$1="",0,N(ISNUMBER(SEARCH($X$1,Database!$AC424&amp;""))))+IF($Y$1="",0,N(ISNUMBER(SEARCH($Y$1,Database!$AC424&amp;""))))+IF(Screener!$B$17="",0,N(ISNUMBER(SEARCH(LOWER(Screener!$B$17),Database!$AC424&amp;""))))</f>
        <v/>
      </c>
      <c r="I424" s="270">
        <f>IF(OR(N(Database!$BH424)&lt;=0,N(Screener!$D$13)&lt;=0),0,MAX(0,1-ABS(LOG10(N(Database!$BH424)/Screener!$D$13))/W_PEHW))</f>
        <v/>
      </c>
      <c r="J424" s="270">
        <f>IF(OR(N(Database!$S424)&lt;=0,N(Screener!$D$14)&lt;=0),0,MAX(0,1-ABS(LOG10(Database!$S424/Screener!$D$14))/0.6))</f>
        <v/>
      </c>
      <c r="K424" s="270">
        <f>IF(Database!$B424=Screener!$B$5,-999999,IF(ISNUMBER(SEARCH(","&amp;Database!$A424&amp;",",","&amp;SUBSTITUTE(Screener!$D$17," ","")&amp;",")),2000000,IF(IF(OR(Screener!$B$18="All",AND(Screener!$B$18="With A-share",(Database!$BM424="Y")),AND(Screener!$B$18="Without A-share",NOT((Database!$BM424="Y")))),1,0)=0,-999999,IF(Screener!$B$16="cornerstone overlap first",H424*100000,IF(Screener!$B$16="demand-similar first",J424*100000,0))+W_SUB*B424+W_SEC*C424*(1-B424)+W_SIZE*D424+W_PROF*E424+W_AH*F424+W_REC*G424+W_CS*H424+W_PE*I424)))+ROW()/1000000</f>
        <v/>
      </c>
      <c r="AA424" s="270">
        <f>Database!B413</f>
        <v/>
      </c>
      <c r="AB424" s="270">
        <f>Database!D413</f>
        <v/>
      </c>
      <c r="AC424" s="270">
        <f>Database!E413</f>
        <v/>
      </c>
      <c r="AD424" s="270">
        <f>Database!I413</f>
        <v/>
      </c>
      <c r="AE424" s="270">
        <f>Database!BG413</f>
        <v/>
      </c>
      <c r="AF424" s="270">
        <f>Database!BM413</f>
        <v/>
      </c>
      <c r="AG424" s="270">
        <f>Database!H413</f>
        <v/>
      </c>
      <c r="AH424" s="270">
        <f>Database!BH413</f>
        <v/>
      </c>
    </row>
    <row r="425">
      <c r="A425" s="270">
        <f>Database!B425</f>
        <v/>
      </c>
      <c r="B425" s="270">
        <f>IF(AND(Screener!$D$8&lt;&gt;"",Database!$E425=Screener!$D$8),1,0)</f>
        <v/>
      </c>
      <c r="C425" s="270">
        <f>IF(AND(Screener!$D$7&lt;&gt;"",Database!$D425=Screener!$D$7),1,0)</f>
        <v/>
      </c>
      <c r="D425" s="270">
        <f>IF(OR(N(Database!$I425)&lt;=0,N(Screener!$D$9)&lt;=0),0,MAX(0,1-ABS(LOG10(N(Database!$I425)/Screener!$D$9))/W_SIZEHW))</f>
        <v/>
      </c>
      <c r="E425" s="270">
        <f>IF(OR(Database!$BG425="",Screener!$D$10=""),0,IF(Database!$BG425=Screener!$D$10,1,0))</f>
        <v/>
      </c>
      <c r="F425" s="270">
        <f>IF(OR(Database!$BM425="",Screener!$D$11=""),0,IF(Database!$BM425=Screener!$D$11,1,0))</f>
        <v/>
      </c>
      <c r="G425" s="270">
        <f>IF(OR(Database!$H425="",N(Screener!$D$12)&lt;=0),0,MAX(0,1-(N(Screener!$D$12)-Database!$H425)/W_RECD))</f>
        <v/>
      </c>
      <c r="H425" s="270">
        <f>IF($U$1="",0,N(ISNUMBER(SEARCH($U$1,Database!$AC425&amp;""))))+IF($V$1="",0,N(ISNUMBER(SEARCH($V$1,Database!$AC425&amp;""))))+IF($W$1="",0,N(ISNUMBER(SEARCH($W$1,Database!$AC425&amp;""))))+IF($X$1="",0,N(ISNUMBER(SEARCH($X$1,Database!$AC425&amp;""))))+IF($Y$1="",0,N(ISNUMBER(SEARCH($Y$1,Database!$AC425&amp;""))))+IF(Screener!$B$17="",0,N(ISNUMBER(SEARCH(LOWER(Screener!$B$17),Database!$AC425&amp;""))))</f>
        <v/>
      </c>
      <c r="I425" s="270">
        <f>IF(OR(N(Database!$BH425)&lt;=0,N(Screener!$D$13)&lt;=0),0,MAX(0,1-ABS(LOG10(N(Database!$BH425)/Screener!$D$13))/W_PEHW))</f>
        <v/>
      </c>
      <c r="J425" s="270">
        <f>IF(OR(N(Database!$S425)&lt;=0,N(Screener!$D$14)&lt;=0),0,MAX(0,1-ABS(LOG10(Database!$S425/Screener!$D$14))/0.6))</f>
        <v/>
      </c>
      <c r="K425" s="270">
        <f>IF(Database!$B425=Screener!$B$5,-999999,IF(ISNUMBER(SEARCH(","&amp;Database!$A425&amp;",",","&amp;SUBSTITUTE(Screener!$D$17," ","")&amp;",")),2000000,IF(IF(OR(Screener!$B$18="All",AND(Screener!$B$18="With A-share",(Database!$BM425="Y")),AND(Screener!$B$18="Without A-share",NOT((Database!$BM425="Y")))),1,0)=0,-999999,IF(Screener!$B$16="cornerstone overlap first",H425*100000,IF(Screener!$B$16="demand-similar first",J425*100000,0))+W_SUB*B425+W_SEC*C425*(1-B425)+W_SIZE*D425+W_PROF*E425+W_AH*F425+W_REC*G425+W_CS*H425+W_PE*I425)))+ROW()/1000000</f>
        <v/>
      </c>
      <c r="AA425" s="270">
        <f>Database!B414</f>
        <v/>
      </c>
      <c r="AB425" s="270">
        <f>Database!D414</f>
        <v/>
      </c>
      <c r="AC425" s="270">
        <f>Database!E414</f>
        <v/>
      </c>
      <c r="AD425" s="270">
        <f>Database!I414</f>
        <v/>
      </c>
      <c r="AE425" s="270">
        <f>Database!BG414</f>
        <v/>
      </c>
      <c r="AF425" s="270">
        <f>Database!BM414</f>
        <v/>
      </c>
      <c r="AG425" s="270">
        <f>Database!H414</f>
        <v/>
      </c>
      <c r="AH425" s="270">
        <f>Database!BH414</f>
        <v/>
      </c>
    </row>
    <row r="426">
      <c r="A426" s="270">
        <f>Database!B426</f>
        <v/>
      </c>
      <c r="B426" s="270">
        <f>IF(AND(Screener!$D$8&lt;&gt;"",Database!$E426=Screener!$D$8),1,0)</f>
        <v/>
      </c>
      <c r="C426" s="270">
        <f>IF(AND(Screener!$D$7&lt;&gt;"",Database!$D426=Screener!$D$7),1,0)</f>
        <v/>
      </c>
      <c r="D426" s="270">
        <f>IF(OR(N(Database!$I426)&lt;=0,N(Screener!$D$9)&lt;=0),0,MAX(0,1-ABS(LOG10(N(Database!$I426)/Screener!$D$9))/W_SIZEHW))</f>
        <v/>
      </c>
      <c r="E426" s="270">
        <f>IF(OR(Database!$BG426="",Screener!$D$10=""),0,IF(Database!$BG426=Screener!$D$10,1,0))</f>
        <v/>
      </c>
      <c r="F426" s="270">
        <f>IF(OR(Database!$BM426="",Screener!$D$11=""),0,IF(Database!$BM426=Screener!$D$11,1,0))</f>
        <v/>
      </c>
      <c r="G426" s="270">
        <f>IF(OR(Database!$H426="",N(Screener!$D$12)&lt;=0),0,MAX(0,1-(N(Screener!$D$12)-Database!$H426)/W_RECD))</f>
        <v/>
      </c>
      <c r="H426" s="270">
        <f>IF($U$1="",0,N(ISNUMBER(SEARCH($U$1,Database!$AC426&amp;""))))+IF($V$1="",0,N(ISNUMBER(SEARCH($V$1,Database!$AC426&amp;""))))+IF($W$1="",0,N(ISNUMBER(SEARCH($W$1,Database!$AC426&amp;""))))+IF($X$1="",0,N(ISNUMBER(SEARCH($X$1,Database!$AC426&amp;""))))+IF($Y$1="",0,N(ISNUMBER(SEARCH($Y$1,Database!$AC426&amp;""))))+IF(Screener!$B$17="",0,N(ISNUMBER(SEARCH(LOWER(Screener!$B$17),Database!$AC426&amp;""))))</f>
        <v/>
      </c>
      <c r="I426" s="270">
        <f>IF(OR(N(Database!$BH426)&lt;=0,N(Screener!$D$13)&lt;=0),0,MAX(0,1-ABS(LOG10(N(Database!$BH426)/Screener!$D$13))/W_PEHW))</f>
        <v/>
      </c>
      <c r="J426" s="270">
        <f>IF(OR(N(Database!$S426)&lt;=0,N(Screener!$D$14)&lt;=0),0,MAX(0,1-ABS(LOG10(Database!$S426/Screener!$D$14))/0.6))</f>
        <v/>
      </c>
      <c r="K426" s="270">
        <f>IF(Database!$B426=Screener!$B$5,-999999,IF(ISNUMBER(SEARCH(","&amp;Database!$A426&amp;",",","&amp;SUBSTITUTE(Screener!$D$17," ","")&amp;",")),2000000,IF(IF(OR(Screener!$B$18="All",AND(Screener!$B$18="With A-share",(Database!$BM426="Y")),AND(Screener!$B$18="Without A-share",NOT((Database!$BM426="Y")))),1,0)=0,-999999,IF(Screener!$B$16="cornerstone overlap first",H426*100000,IF(Screener!$B$16="demand-similar first",J426*100000,0))+W_SUB*B426+W_SEC*C426*(1-B426)+W_SIZE*D426+W_PROF*E426+W_AH*F426+W_REC*G426+W_CS*H426+W_PE*I426)))+ROW()/1000000</f>
        <v/>
      </c>
      <c r="AA426" s="270">
        <f>Database!B415</f>
        <v/>
      </c>
      <c r="AB426" s="270">
        <f>Database!D415</f>
        <v/>
      </c>
      <c r="AC426" s="270">
        <f>Database!E415</f>
        <v/>
      </c>
      <c r="AD426" s="270">
        <f>Database!I415</f>
        <v/>
      </c>
      <c r="AE426" s="270">
        <f>Database!BG415</f>
        <v/>
      </c>
      <c r="AF426" s="270">
        <f>Database!BM415</f>
        <v/>
      </c>
      <c r="AG426" s="270">
        <f>Database!H415</f>
        <v/>
      </c>
      <c r="AH426" s="270">
        <f>Database!BH415</f>
        <v/>
      </c>
    </row>
    <row r="427">
      <c r="A427" s="270">
        <f>Database!B427</f>
        <v/>
      </c>
      <c r="B427" s="270">
        <f>IF(AND(Screener!$D$8&lt;&gt;"",Database!$E427=Screener!$D$8),1,0)</f>
        <v/>
      </c>
      <c r="C427" s="270">
        <f>IF(AND(Screener!$D$7&lt;&gt;"",Database!$D427=Screener!$D$7),1,0)</f>
        <v/>
      </c>
      <c r="D427" s="270">
        <f>IF(OR(N(Database!$I427)&lt;=0,N(Screener!$D$9)&lt;=0),0,MAX(0,1-ABS(LOG10(N(Database!$I427)/Screener!$D$9))/W_SIZEHW))</f>
        <v/>
      </c>
      <c r="E427" s="270">
        <f>IF(OR(Database!$BG427="",Screener!$D$10=""),0,IF(Database!$BG427=Screener!$D$10,1,0))</f>
        <v/>
      </c>
      <c r="F427" s="270">
        <f>IF(OR(Database!$BM427="",Screener!$D$11=""),0,IF(Database!$BM427=Screener!$D$11,1,0))</f>
        <v/>
      </c>
      <c r="G427" s="270">
        <f>IF(OR(Database!$H427="",N(Screener!$D$12)&lt;=0),0,MAX(0,1-(N(Screener!$D$12)-Database!$H427)/W_RECD))</f>
        <v/>
      </c>
      <c r="H427" s="270">
        <f>IF($U$1="",0,N(ISNUMBER(SEARCH($U$1,Database!$AC427&amp;""))))+IF($V$1="",0,N(ISNUMBER(SEARCH($V$1,Database!$AC427&amp;""))))+IF($W$1="",0,N(ISNUMBER(SEARCH($W$1,Database!$AC427&amp;""))))+IF($X$1="",0,N(ISNUMBER(SEARCH($X$1,Database!$AC427&amp;""))))+IF($Y$1="",0,N(ISNUMBER(SEARCH($Y$1,Database!$AC427&amp;""))))+IF(Screener!$B$17="",0,N(ISNUMBER(SEARCH(LOWER(Screener!$B$17),Database!$AC427&amp;""))))</f>
        <v/>
      </c>
      <c r="I427" s="270">
        <f>IF(OR(N(Database!$BH427)&lt;=0,N(Screener!$D$13)&lt;=0),0,MAX(0,1-ABS(LOG10(N(Database!$BH427)/Screener!$D$13))/W_PEHW))</f>
        <v/>
      </c>
      <c r="J427" s="270">
        <f>IF(OR(N(Database!$S427)&lt;=0,N(Screener!$D$14)&lt;=0),0,MAX(0,1-ABS(LOG10(Database!$S427/Screener!$D$14))/0.6))</f>
        <v/>
      </c>
      <c r="K427" s="270">
        <f>IF(Database!$B427=Screener!$B$5,-999999,IF(ISNUMBER(SEARCH(","&amp;Database!$A427&amp;",",","&amp;SUBSTITUTE(Screener!$D$17," ","")&amp;",")),2000000,IF(IF(OR(Screener!$B$18="All",AND(Screener!$B$18="With A-share",(Database!$BM427="Y")),AND(Screener!$B$18="Without A-share",NOT((Database!$BM427="Y")))),1,0)=0,-999999,IF(Screener!$B$16="cornerstone overlap first",H427*100000,IF(Screener!$B$16="demand-similar first",J427*100000,0))+W_SUB*B427+W_SEC*C427*(1-B427)+W_SIZE*D427+W_PROF*E427+W_AH*F427+W_REC*G427+W_CS*H427+W_PE*I427)))+ROW()/1000000</f>
        <v/>
      </c>
      <c r="AA427" s="270">
        <f>Database!B416</f>
        <v/>
      </c>
      <c r="AB427" s="270">
        <f>Database!D416</f>
        <v/>
      </c>
      <c r="AC427" s="270">
        <f>Database!E416</f>
        <v/>
      </c>
      <c r="AD427" s="270">
        <f>Database!I416</f>
        <v/>
      </c>
      <c r="AE427" s="270">
        <f>Database!BG416</f>
        <v/>
      </c>
      <c r="AF427" s="270">
        <f>Database!BM416</f>
        <v/>
      </c>
      <c r="AG427" s="270">
        <f>Database!H416</f>
        <v/>
      </c>
      <c r="AH427" s="270">
        <f>Database!BH416</f>
        <v/>
      </c>
    </row>
    <row r="428">
      <c r="A428" s="270">
        <f>Database!B428</f>
        <v/>
      </c>
      <c r="B428" s="270">
        <f>IF(AND(Screener!$D$8&lt;&gt;"",Database!$E428=Screener!$D$8),1,0)</f>
        <v/>
      </c>
      <c r="C428" s="270">
        <f>IF(AND(Screener!$D$7&lt;&gt;"",Database!$D428=Screener!$D$7),1,0)</f>
        <v/>
      </c>
      <c r="D428" s="270">
        <f>IF(OR(N(Database!$I428)&lt;=0,N(Screener!$D$9)&lt;=0),0,MAX(0,1-ABS(LOG10(N(Database!$I428)/Screener!$D$9))/W_SIZEHW))</f>
        <v/>
      </c>
      <c r="E428" s="270">
        <f>IF(OR(Database!$BG428="",Screener!$D$10=""),0,IF(Database!$BG428=Screener!$D$10,1,0))</f>
        <v/>
      </c>
      <c r="F428" s="270">
        <f>IF(OR(Database!$BM428="",Screener!$D$11=""),0,IF(Database!$BM428=Screener!$D$11,1,0))</f>
        <v/>
      </c>
      <c r="G428" s="270">
        <f>IF(OR(Database!$H428="",N(Screener!$D$12)&lt;=0),0,MAX(0,1-(N(Screener!$D$12)-Database!$H428)/W_RECD))</f>
        <v/>
      </c>
      <c r="H428" s="270">
        <f>IF($U$1="",0,N(ISNUMBER(SEARCH($U$1,Database!$AC428&amp;""))))+IF($V$1="",0,N(ISNUMBER(SEARCH($V$1,Database!$AC428&amp;""))))+IF($W$1="",0,N(ISNUMBER(SEARCH($W$1,Database!$AC428&amp;""))))+IF($X$1="",0,N(ISNUMBER(SEARCH($X$1,Database!$AC428&amp;""))))+IF($Y$1="",0,N(ISNUMBER(SEARCH($Y$1,Database!$AC428&amp;""))))+IF(Screener!$B$17="",0,N(ISNUMBER(SEARCH(LOWER(Screener!$B$17),Database!$AC428&amp;""))))</f>
        <v/>
      </c>
      <c r="I428" s="270">
        <f>IF(OR(N(Database!$BH428)&lt;=0,N(Screener!$D$13)&lt;=0),0,MAX(0,1-ABS(LOG10(N(Database!$BH428)/Screener!$D$13))/W_PEHW))</f>
        <v/>
      </c>
      <c r="J428" s="270">
        <f>IF(OR(N(Database!$S428)&lt;=0,N(Screener!$D$14)&lt;=0),0,MAX(0,1-ABS(LOG10(Database!$S428/Screener!$D$14))/0.6))</f>
        <v/>
      </c>
      <c r="K428" s="270">
        <f>IF(Database!$B428=Screener!$B$5,-999999,IF(ISNUMBER(SEARCH(","&amp;Database!$A428&amp;",",","&amp;SUBSTITUTE(Screener!$D$17," ","")&amp;",")),2000000,IF(IF(OR(Screener!$B$18="All",AND(Screener!$B$18="With A-share",(Database!$BM428="Y")),AND(Screener!$B$18="Without A-share",NOT((Database!$BM428="Y")))),1,0)=0,-999999,IF(Screener!$B$16="cornerstone overlap first",H428*100000,IF(Screener!$B$16="demand-similar first",J428*100000,0))+W_SUB*B428+W_SEC*C428*(1-B428)+W_SIZE*D428+W_PROF*E428+W_AH*F428+W_REC*G428+W_CS*H428+W_PE*I428)))+ROW()/1000000</f>
        <v/>
      </c>
      <c r="AA428" s="270">
        <f>Database!B417</f>
        <v/>
      </c>
      <c r="AB428" s="270">
        <f>Database!D417</f>
        <v/>
      </c>
      <c r="AC428" s="270">
        <f>Database!E417</f>
        <v/>
      </c>
      <c r="AD428" s="270">
        <f>Database!I417</f>
        <v/>
      </c>
      <c r="AE428" s="270">
        <f>Database!BG417</f>
        <v/>
      </c>
      <c r="AF428" s="270">
        <f>Database!BM417</f>
        <v/>
      </c>
      <c r="AG428" s="270">
        <f>Database!H417</f>
        <v/>
      </c>
      <c r="AH428" s="270">
        <f>Database!BH417</f>
        <v/>
      </c>
    </row>
    <row r="429">
      <c r="A429" s="270">
        <f>Database!B429</f>
        <v/>
      </c>
      <c r="B429" s="270">
        <f>IF(AND(Screener!$D$8&lt;&gt;"",Database!$E429=Screener!$D$8),1,0)</f>
        <v/>
      </c>
      <c r="C429" s="270">
        <f>IF(AND(Screener!$D$7&lt;&gt;"",Database!$D429=Screener!$D$7),1,0)</f>
        <v/>
      </c>
      <c r="D429" s="270">
        <f>IF(OR(N(Database!$I429)&lt;=0,N(Screener!$D$9)&lt;=0),0,MAX(0,1-ABS(LOG10(N(Database!$I429)/Screener!$D$9))/W_SIZEHW))</f>
        <v/>
      </c>
      <c r="E429" s="270">
        <f>IF(OR(Database!$BG429="",Screener!$D$10=""),0,IF(Database!$BG429=Screener!$D$10,1,0))</f>
        <v/>
      </c>
      <c r="F429" s="270">
        <f>IF(OR(Database!$BM429="",Screener!$D$11=""),0,IF(Database!$BM429=Screener!$D$11,1,0))</f>
        <v/>
      </c>
      <c r="G429" s="270">
        <f>IF(OR(Database!$H429="",N(Screener!$D$12)&lt;=0),0,MAX(0,1-(N(Screener!$D$12)-Database!$H429)/W_RECD))</f>
        <v/>
      </c>
      <c r="H429" s="270">
        <f>IF($U$1="",0,N(ISNUMBER(SEARCH($U$1,Database!$AC429&amp;""))))+IF($V$1="",0,N(ISNUMBER(SEARCH($V$1,Database!$AC429&amp;""))))+IF($W$1="",0,N(ISNUMBER(SEARCH($W$1,Database!$AC429&amp;""))))+IF($X$1="",0,N(ISNUMBER(SEARCH($X$1,Database!$AC429&amp;""))))+IF($Y$1="",0,N(ISNUMBER(SEARCH($Y$1,Database!$AC429&amp;""))))+IF(Screener!$B$17="",0,N(ISNUMBER(SEARCH(LOWER(Screener!$B$17),Database!$AC429&amp;""))))</f>
        <v/>
      </c>
      <c r="I429" s="270">
        <f>IF(OR(N(Database!$BH429)&lt;=0,N(Screener!$D$13)&lt;=0),0,MAX(0,1-ABS(LOG10(N(Database!$BH429)/Screener!$D$13))/W_PEHW))</f>
        <v/>
      </c>
      <c r="J429" s="270">
        <f>IF(OR(N(Database!$S429)&lt;=0,N(Screener!$D$14)&lt;=0),0,MAX(0,1-ABS(LOG10(Database!$S429/Screener!$D$14))/0.6))</f>
        <v/>
      </c>
      <c r="K429" s="270">
        <f>IF(Database!$B429=Screener!$B$5,-999999,IF(ISNUMBER(SEARCH(","&amp;Database!$A429&amp;",",","&amp;SUBSTITUTE(Screener!$D$17," ","")&amp;",")),2000000,IF(IF(OR(Screener!$B$18="All",AND(Screener!$B$18="With A-share",(Database!$BM429="Y")),AND(Screener!$B$18="Without A-share",NOT((Database!$BM429="Y")))),1,0)=0,-999999,IF(Screener!$B$16="cornerstone overlap first",H429*100000,IF(Screener!$B$16="demand-similar first",J429*100000,0))+W_SUB*B429+W_SEC*C429*(1-B429)+W_SIZE*D429+W_PROF*E429+W_AH*F429+W_REC*G429+W_CS*H429+W_PE*I429)))+ROW()/1000000</f>
        <v/>
      </c>
      <c r="AA429" s="270">
        <f>Database!B418</f>
        <v/>
      </c>
      <c r="AB429" s="270">
        <f>Database!D418</f>
        <v/>
      </c>
      <c r="AC429" s="270">
        <f>Database!E418</f>
        <v/>
      </c>
      <c r="AD429" s="270">
        <f>Database!I418</f>
        <v/>
      </c>
      <c r="AE429" s="270">
        <f>Database!BG418</f>
        <v/>
      </c>
      <c r="AF429" s="270">
        <f>Database!BM418</f>
        <v/>
      </c>
      <c r="AG429" s="270">
        <f>Database!H418</f>
        <v/>
      </c>
      <c r="AH429" s="270">
        <f>Database!BH418</f>
        <v/>
      </c>
    </row>
    <row r="430">
      <c r="A430" s="270">
        <f>Database!B430</f>
        <v/>
      </c>
      <c r="B430" s="270">
        <f>IF(AND(Screener!$D$8&lt;&gt;"",Database!$E430=Screener!$D$8),1,0)</f>
        <v/>
      </c>
      <c r="C430" s="270">
        <f>IF(AND(Screener!$D$7&lt;&gt;"",Database!$D430=Screener!$D$7),1,0)</f>
        <v/>
      </c>
      <c r="D430" s="270">
        <f>IF(OR(N(Database!$I430)&lt;=0,N(Screener!$D$9)&lt;=0),0,MAX(0,1-ABS(LOG10(N(Database!$I430)/Screener!$D$9))/W_SIZEHW))</f>
        <v/>
      </c>
      <c r="E430" s="270">
        <f>IF(OR(Database!$BG430="",Screener!$D$10=""),0,IF(Database!$BG430=Screener!$D$10,1,0))</f>
        <v/>
      </c>
      <c r="F430" s="270">
        <f>IF(OR(Database!$BM430="",Screener!$D$11=""),0,IF(Database!$BM430=Screener!$D$11,1,0))</f>
        <v/>
      </c>
      <c r="G430" s="270">
        <f>IF(OR(Database!$H430="",N(Screener!$D$12)&lt;=0),0,MAX(0,1-(N(Screener!$D$12)-Database!$H430)/W_RECD))</f>
        <v/>
      </c>
      <c r="H430" s="270">
        <f>IF($U$1="",0,N(ISNUMBER(SEARCH($U$1,Database!$AC430&amp;""))))+IF($V$1="",0,N(ISNUMBER(SEARCH($V$1,Database!$AC430&amp;""))))+IF($W$1="",0,N(ISNUMBER(SEARCH($W$1,Database!$AC430&amp;""))))+IF($X$1="",0,N(ISNUMBER(SEARCH($X$1,Database!$AC430&amp;""))))+IF($Y$1="",0,N(ISNUMBER(SEARCH($Y$1,Database!$AC430&amp;""))))+IF(Screener!$B$17="",0,N(ISNUMBER(SEARCH(LOWER(Screener!$B$17),Database!$AC430&amp;""))))</f>
        <v/>
      </c>
      <c r="I430" s="270">
        <f>IF(OR(N(Database!$BH430)&lt;=0,N(Screener!$D$13)&lt;=0),0,MAX(0,1-ABS(LOG10(N(Database!$BH430)/Screener!$D$13))/W_PEHW))</f>
        <v/>
      </c>
      <c r="J430" s="270">
        <f>IF(OR(N(Database!$S430)&lt;=0,N(Screener!$D$14)&lt;=0),0,MAX(0,1-ABS(LOG10(Database!$S430/Screener!$D$14))/0.6))</f>
        <v/>
      </c>
      <c r="K430" s="270">
        <f>IF(Database!$B430=Screener!$B$5,-999999,IF(ISNUMBER(SEARCH(","&amp;Database!$A430&amp;",",","&amp;SUBSTITUTE(Screener!$D$17," ","")&amp;",")),2000000,IF(IF(OR(Screener!$B$18="All",AND(Screener!$B$18="With A-share",(Database!$BM430="Y")),AND(Screener!$B$18="Without A-share",NOT((Database!$BM430="Y")))),1,0)=0,-999999,IF(Screener!$B$16="cornerstone overlap first",H430*100000,IF(Screener!$B$16="demand-similar first",J430*100000,0))+W_SUB*B430+W_SEC*C430*(1-B430)+W_SIZE*D430+W_PROF*E430+W_AH*F430+W_REC*G430+W_CS*H430+W_PE*I430)))+ROW()/1000000</f>
        <v/>
      </c>
      <c r="AA430" s="270">
        <f>Database!B419</f>
        <v/>
      </c>
      <c r="AB430" s="270">
        <f>Database!D419</f>
        <v/>
      </c>
      <c r="AC430" s="270">
        <f>Database!E419</f>
        <v/>
      </c>
      <c r="AD430" s="270">
        <f>Database!I419</f>
        <v/>
      </c>
      <c r="AE430" s="270">
        <f>Database!BG419</f>
        <v/>
      </c>
      <c r="AF430" s="270">
        <f>Database!BM419</f>
        <v/>
      </c>
      <c r="AG430" s="270">
        <f>Database!H419</f>
        <v/>
      </c>
      <c r="AH430" s="270">
        <f>Database!BH419</f>
        <v/>
      </c>
    </row>
    <row r="431">
      <c r="A431" s="270">
        <f>Database!B431</f>
        <v/>
      </c>
      <c r="B431" s="270">
        <f>IF(AND(Screener!$D$8&lt;&gt;"",Database!$E431=Screener!$D$8),1,0)</f>
        <v/>
      </c>
      <c r="C431" s="270">
        <f>IF(AND(Screener!$D$7&lt;&gt;"",Database!$D431=Screener!$D$7),1,0)</f>
        <v/>
      </c>
      <c r="D431" s="270">
        <f>IF(OR(N(Database!$I431)&lt;=0,N(Screener!$D$9)&lt;=0),0,MAX(0,1-ABS(LOG10(N(Database!$I431)/Screener!$D$9))/W_SIZEHW))</f>
        <v/>
      </c>
      <c r="E431" s="270">
        <f>IF(OR(Database!$BG431="",Screener!$D$10=""),0,IF(Database!$BG431=Screener!$D$10,1,0))</f>
        <v/>
      </c>
      <c r="F431" s="270">
        <f>IF(OR(Database!$BM431="",Screener!$D$11=""),0,IF(Database!$BM431=Screener!$D$11,1,0))</f>
        <v/>
      </c>
      <c r="G431" s="270">
        <f>IF(OR(Database!$H431="",N(Screener!$D$12)&lt;=0),0,MAX(0,1-(N(Screener!$D$12)-Database!$H431)/W_RECD))</f>
        <v/>
      </c>
      <c r="H431" s="270">
        <f>IF($U$1="",0,N(ISNUMBER(SEARCH($U$1,Database!$AC431&amp;""))))+IF($V$1="",0,N(ISNUMBER(SEARCH($V$1,Database!$AC431&amp;""))))+IF($W$1="",0,N(ISNUMBER(SEARCH($W$1,Database!$AC431&amp;""))))+IF($X$1="",0,N(ISNUMBER(SEARCH($X$1,Database!$AC431&amp;""))))+IF($Y$1="",0,N(ISNUMBER(SEARCH($Y$1,Database!$AC431&amp;""))))+IF(Screener!$B$17="",0,N(ISNUMBER(SEARCH(LOWER(Screener!$B$17),Database!$AC431&amp;""))))</f>
        <v/>
      </c>
      <c r="I431" s="270">
        <f>IF(OR(N(Database!$BH431)&lt;=0,N(Screener!$D$13)&lt;=0),0,MAX(0,1-ABS(LOG10(N(Database!$BH431)/Screener!$D$13))/W_PEHW))</f>
        <v/>
      </c>
      <c r="J431" s="270">
        <f>IF(OR(N(Database!$S431)&lt;=0,N(Screener!$D$14)&lt;=0),0,MAX(0,1-ABS(LOG10(Database!$S431/Screener!$D$14))/0.6))</f>
        <v/>
      </c>
      <c r="K431" s="270">
        <f>IF(Database!$B431=Screener!$B$5,-999999,IF(ISNUMBER(SEARCH(","&amp;Database!$A431&amp;",",","&amp;SUBSTITUTE(Screener!$D$17," ","")&amp;",")),2000000,IF(IF(OR(Screener!$B$18="All",AND(Screener!$B$18="With A-share",(Database!$BM431="Y")),AND(Screener!$B$18="Without A-share",NOT((Database!$BM431="Y")))),1,0)=0,-999999,IF(Screener!$B$16="cornerstone overlap first",H431*100000,IF(Screener!$B$16="demand-similar first",J431*100000,0))+W_SUB*B431+W_SEC*C431*(1-B431)+W_SIZE*D431+W_PROF*E431+W_AH*F431+W_REC*G431+W_CS*H431+W_PE*I431)))+ROW()/1000000</f>
        <v/>
      </c>
      <c r="AA431" s="270">
        <f>Database!B420</f>
        <v/>
      </c>
      <c r="AB431" s="270">
        <f>Database!D420</f>
        <v/>
      </c>
      <c r="AC431" s="270">
        <f>Database!E420</f>
        <v/>
      </c>
      <c r="AD431" s="270">
        <f>Database!I420</f>
        <v/>
      </c>
      <c r="AE431" s="270">
        <f>Database!BG420</f>
        <v/>
      </c>
      <c r="AF431" s="270">
        <f>Database!BM420</f>
        <v/>
      </c>
      <c r="AG431" s="270">
        <f>Database!H420</f>
        <v/>
      </c>
      <c r="AH431" s="270">
        <f>Database!BH420</f>
        <v/>
      </c>
    </row>
    <row r="432">
      <c r="A432" s="270">
        <f>Database!B432</f>
        <v/>
      </c>
      <c r="B432" s="270">
        <f>IF(AND(Screener!$D$8&lt;&gt;"",Database!$E432=Screener!$D$8),1,0)</f>
        <v/>
      </c>
      <c r="C432" s="270">
        <f>IF(AND(Screener!$D$7&lt;&gt;"",Database!$D432=Screener!$D$7),1,0)</f>
        <v/>
      </c>
      <c r="D432" s="270">
        <f>IF(OR(N(Database!$I432)&lt;=0,N(Screener!$D$9)&lt;=0),0,MAX(0,1-ABS(LOG10(N(Database!$I432)/Screener!$D$9))/W_SIZEHW))</f>
        <v/>
      </c>
      <c r="E432" s="270">
        <f>IF(OR(Database!$BG432="",Screener!$D$10=""),0,IF(Database!$BG432=Screener!$D$10,1,0))</f>
        <v/>
      </c>
      <c r="F432" s="270">
        <f>IF(OR(Database!$BM432="",Screener!$D$11=""),0,IF(Database!$BM432=Screener!$D$11,1,0))</f>
        <v/>
      </c>
      <c r="G432" s="270">
        <f>IF(OR(Database!$H432="",N(Screener!$D$12)&lt;=0),0,MAX(0,1-(N(Screener!$D$12)-Database!$H432)/W_RECD))</f>
        <v/>
      </c>
      <c r="H432" s="270">
        <f>IF($U$1="",0,N(ISNUMBER(SEARCH($U$1,Database!$AC432&amp;""))))+IF($V$1="",0,N(ISNUMBER(SEARCH($V$1,Database!$AC432&amp;""))))+IF($W$1="",0,N(ISNUMBER(SEARCH($W$1,Database!$AC432&amp;""))))+IF($X$1="",0,N(ISNUMBER(SEARCH($X$1,Database!$AC432&amp;""))))+IF($Y$1="",0,N(ISNUMBER(SEARCH($Y$1,Database!$AC432&amp;""))))+IF(Screener!$B$17="",0,N(ISNUMBER(SEARCH(LOWER(Screener!$B$17),Database!$AC432&amp;""))))</f>
        <v/>
      </c>
      <c r="I432" s="270">
        <f>IF(OR(N(Database!$BH432)&lt;=0,N(Screener!$D$13)&lt;=0),0,MAX(0,1-ABS(LOG10(N(Database!$BH432)/Screener!$D$13))/W_PEHW))</f>
        <v/>
      </c>
      <c r="J432" s="270">
        <f>IF(OR(N(Database!$S432)&lt;=0,N(Screener!$D$14)&lt;=0),0,MAX(0,1-ABS(LOG10(Database!$S432/Screener!$D$14))/0.6))</f>
        <v/>
      </c>
      <c r="K432" s="270">
        <f>IF(Database!$B432=Screener!$B$5,-999999,IF(ISNUMBER(SEARCH(","&amp;Database!$A432&amp;",",","&amp;SUBSTITUTE(Screener!$D$17," ","")&amp;",")),2000000,IF(IF(OR(Screener!$B$18="All",AND(Screener!$B$18="With A-share",(Database!$BM432="Y")),AND(Screener!$B$18="Without A-share",NOT((Database!$BM432="Y")))),1,0)=0,-999999,IF(Screener!$B$16="cornerstone overlap first",H432*100000,IF(Screener!$B$16="demand-similar first",J432*100000,0))+W_SUB*B432+W_SEC*C432*(1-B432)+W_SIZE*D432+W_PROF*E432+W_AH*F432+W_REC*G432+W_CS*H432+W_PE*I432)))+ROW()/1000000</f>
        <v/>
      </c>
      <c r="AA432" s="270">
        <f>Database!B421</f>
        <v/>
      </c>
      <c r="AB432" s="270">
        <f>Database!D421</f>
        <v/>
      </c>
      <c r="AC432" s="270">
        <f>Database!E421</f>
        <v/>
      </c>
      <c r="AD432" s="270">
        <f>Database!I421</f>
        <v/>
      </c>
      <c r="AE432" s="270">
        <f>Database!BG421</f>
        <v/>
      </c>
      <c r="AF432" s="270">
        <f>Database!BM421</f>
        <v/>
      </c>
      <c r="AG432" s="270">
        <f>Database!H421</f>
        <v/>
      </c>
      <c r="AH432" s="270">
        <f>Database!BH421</f>
        <v/>
      </c>
    </row>
    <row r="433">
      <c r="A433" s="270">
        <f>Database!B433</f>
        <v/>
      </c>
      <c r="B433" s="270">
        <f>IF(AND(Screener!$D$8&lt;&gt;"",Database!$E433=Screener!$D$8),1,0)</f>
        <v/>
      </c>
      <c r="C433" s="270">
        <f>IF(AND(Screener!$D$7&lt;&gt;"",Database!$D433=Screener!$D$7),1,0)</f>
        <v/>
      </c>
      <c r="D433" s="270">
        <f>IF(OR(N(Database!$I433)&lt;=0,N(Screener!$D$9)&lt;=0),0,MAX(0,1-ABS(LOG10(N(Database!$I433)/Screener!$D$9))/W_SIZEHW))</f>
        <v/>
      </c>
      <c r="E433" s="270">
        <f>IF(OR(Database!$BG433="",Screener!$D$10=""),0,IF(Database!$BG433=Screener!$D$10,1,0))</f>
        <v/>
      </c>
      <c r="F433" s="270">
        <f>IF(OR(Database!$BM433="",Screener!$D$11=""),0,IF(Database!$BM433=Screener!$D$11,1,0))</f>
        <v/>
      </c>
      <c r="G433" s="270">
        <f>IF(OR(Database!$H433="",N(Screener!$D$12)&lt;=0),0,MAX(0,1-(N(Screener!$D$12)-Database!$H433)/W_RECD))</f>
        <v/>
      </c>
      <c r="H433" s="270">
        <f>IF($U$1="",0,N(ISNUMBER(SEARCH($U$1,Database!$AC433&amp;""))))+IF($V$1="",0,N(ISNUMBER(SEARCH($V$1,Database!$AC433&amp;""))))+IF($W$1="",0,N(ISNUMBER(SEARCH($W$1,Database!$AC433&amp;""))))+IF($X$1="",0,N(ISNUMBER(SEARCH($X$1,Database!$AC433&amp;""))))+IF($Y$1="",0,N(ISNUMBER(SEARCH($Y$1,Database!$AC433&amp;""))))+IF(Screener!$B$17="",0,N(ISNUMBER(SEARCH(LOWER(Screener!$B$17),Database!$AC433&amp;""))))</f>
        <v/>
      </c>
      <c r="I433" s="270">
        <f>IF(OR(N(Database!$BH433)&lt;=0,N(Screener!$D$13)&lt;=0),0,MAX(0,1-ABS(LOG10(N(Database!$BH433)/Screener!$D$13))/W_PEHW))</f>
        <v/>
      </c>
      <c r="J433" s="270">
        <f>IF(OR(N(Database!$S433)&lt;=0,N(Screener!$D$14)&lt;=0),0,MAX(0,1-ABS(LOG10(Database!$S433/Screener!$D$14))/0.6))</f>
        <v/>
      </c>
      <c r="K433" s="270">
        <f>IF(Database!$B433=Screener!$B$5,-999999,IF(ISNUMBER(SEARCH(","&amp;Database!$A433&amp;",",","&amp;SUBSTITUTE(Screener!$D$17," ","")&amp;",")),2000000,IF(IF(OR(Screener!$B$18="All",AND(Screener!$B$18="With A-share",(Database!$BM433="Y")),AND(Screener!$B$18="Without A-share",NOT((Database!$BM433="Y")))),1,0)=0,-999999,IF(Screener!$B$16="cornerstone overlap first",H433*100000,IF(Screener!$B$16="demand-similar first",J433*100000,0))+W_SUB*B433+W_SEC*C433*(1-B433)+W_SIZE*D433+W_PROF*E433+W_AH*F433+W_REC*G433+W_CS*H433+W_PE*I433)))+ROW()/1000000</f>
        <v/>
      </c>
      <c r="AA433" s="270">
        <f>Database!B422</f>
        <v/>
      </c>
      <c r="AB433" s="270">
        <f>Database!D422</f>
        <v/>
      </c>
      <c r="AC433" s="270">
        <f>Database!E422</f>
        <v/>
      </c>
      <c r="AD433" s="270">
        <f>Database!I422</f>
        <v/>
      </c>
      <c r="AE433" s="270">
        <f>Database!BG422</f>
        <v/>
      </c>
      <c r="AF433" s="270">
        <f>Database!BM422</f>
        <v/>
      </c>
      <c r="AG433" s="270">
        <f>Database!H422</f>
        <v/>
      </c>
      <c r="AH433" s="270">
        <f>Database!BH422</f>
        <v/>
      </c>
    </row>
    <row r="434">
      <c r="A434" s="270">
        <f>Database!B434</f>
        <v/>
      </c>
      <c r="B434" s="270">
        <f>IF(AND(Screener!$D$8&lt;&gt;"",Database!$E434=Screener!$D$8),1,0)</f>
        <v/>
      </c>
      <c r="C434" s="270">
        <f>IF(AND(Screener!$D$7&lt;&gt;"",Database!$D434=Screener!$D$7),1,0)</f>
        <v/>
      </c>
      <c r="D434" s="270">
        <f>IF(OR(N(Database!$I434)&lt;=0,N(Screener!$D$9)&lt;=0),0,MAX(0,1-ABS(LOG10(N(Database!$I434)/Screener!$D$9))/W_SIZEHW))</f>
        <v/>
      </c>
      <c r="E434" s="270">
        <f>IF(OR(Database!$BG434="",Screener!$D$10=""),0,IF(Database!$BG434=Screener!$D$10,1,0))</f>
        <v/>
      </c>
      <c r="F434" s="270">
        <f>IF(OR(Database!$BM434="",Screener!$D$11=""),0,IF(Database!$BM434=Screener!$D$11,1,0))</f>
        <v/>
      </c>
      <c r="G434" s="270">
        <f>IF(OR(Database!$H434="",N(Screener!$D$12)&lt;=0),0,MAX(0,1-(N(Screener!$D$12)-Database!$H434)/W_RECD))</f>
        <v/>
      </c>
      <c r="H434" s="270">
        <f>IF($U$1="",0,N(ISNUMBER(SEARCH($U$1,Database!$AC434&amp;""))))+IF($V$1="",0,N(ISNUMBER(SEARCH($V$1,Database!$AC434&amp;""))))+IF($W$1="",0,N(ISNUMBER(SEARCH($W$1,Database!$AC434&amp;""))))+IF($X$1="",0,N(ISNUMBER(SEARCH($X$1,Database!$AC434&amp;""))))+IF($Y$1="",0,N(ISNUMBER(SEARCH($Y$1,Database!$AC434&amp;""))))+IF(Screener!$B$17="",0,N(ISNUMBER(SEARCH(LOWER(Screener!$B$17),Database!$AC434&amp;""))))</f>
        <v/>
      </c>
      <c r="I434" s="270">
        <f>IF(OR(N(Database!$BH434)&lt;=0,N(Screener!$D$13)&lt;=0),0,MAX(0,1-ABS(LOG10(N(Database!$BH434)/Screener!$D$13))/W_PEHW))</f>
        <v/>
      </c>
      <c r="J434" s="270">
        <f>IF(OR(N(Database!$S434)&lt;=0,N(Screener!$D$14)&lt;=0),0,MAX(0,1-ABS(LOG10(Database!$S434/Screener!$D$14))/0.6))</f>
        <v/>
      </c>
      <c r="K434" s="270">
        <f>IF(Database!$B434=Screener!$B$5,-999999,IF(ISNUMBER(SEARCH(","&amp;Database!$A434&amp;",",","&amp;SUBSTITUTE(Screener!$D$17," ","")&amp;",")),2000000,IF(IF(OR(Screener!$B$18="All",AND(Screener!$B$18="With A-share",(Database!$BM434="Y")),AND(Screener!$B$18="Without A-share",NOT((Database!$BM434="Y")))),1,0)=0,-999999,IF(Screener!$B$16="cornerstone overlap first",H434*100000,IF(Screener!$B$16="demand-similar first",J434*100000,0))+W_SUB*B434+W_SEC*C434*(1-B434)+W_SIZE*D434+W_PROF*E434+W_AH*F434+W_REC*G434+W_CS*H434+W_PE*I434)))+ROW()/1000000</f>
        <v/>
      </c>
      <c r="AA434" s="270">
        <f>Database!B423</f>
        <v/>
      </c>
      <c r="AB434" s="270">
        <f>Database!D423</f>
        <v/>
      </c>
      <c r="AC434" s="270">
        <f>Database!E423</f>
        <v/>
      </c>
      <c r="AD434" s="270">
        <f>Database!I423</f>
        <v/>
      </c>
      <c r="AE434" s="270">
        <f>Database!BG423</f>
        <v/>
      </c>
      <c r="AF434" s="270">
        <f>Database!BM423</f>
        <v/>
      </c>
      <c r="AG434" s="270">
        <f>Database!H423</f>
        <v/>
      </c>
      <c r="AH434" s="270">
        <f>Database!BH423</f>
        <v/>
      </c>
    </row>
    <row r="435">
      <c r="A435" s="270">
        <f>Database!B435</f>
        <v/>
      </c>
      <c r="B435" s="270">
        <f>IF(AND(Screener!$D$8&lt;&gt;"",Database!$E435=Screener!$D$8),1,0)</f>
        <v/>
      </c>
      <c r="C435" s="270">
        <f>IF(AND(Screener!$D$7&lt;&gt;"",Database!$D435=Screener!$D$7),1,0)</f>
        <v/>
      </c>
      <c r="D435" s="270">
        <f>IF(OR(N(Database!$I435)&lt;=0,N(Screener!$D$9)&lt;=0),0,MAX(0,1-ABS(LOG10(N(Database!$I435)/Screener!$D$9))/W_SIZEHW))</f>
        <v/>
      </c>
      <c r="E435" s="270">
        <f>IF(OR(Database!$BG435="",Screener!$D$10=""),0,IF(Database!$BG435=Screener!$D$10,1,0))</f>
        <v/>
      </c>
      <c r="F435" s="270">
        <f>IF(OR(Database!$BM435="",Screener!$D$11=""),0,IF(Database!$BM435=Screener!$D$11,1,0))</f>
        <v/>
      </c>
      <c r="G435" s="270">
        <f>IF(OR(Database!$H435="",N(Screener!$D$12)&lt;=0),0,MAX(0,1-(N(Screener!$D$12)-Database!$H435)/W_RECD))</f>
        <v/>
      </c>
      <c r="H435" s="270">
        <f>IF($U$1="",0,N(ISNUMBER(SEARCH($U$1,Database!$AC435&amp;""))))+IF($V$1="",0,N(ISNUMBER(SEARCH($V$1,Database!$AC435&amp;""))))+IF($W$1="",0,N(ISNUMBER(SEARCH($W$1,Database!$AC435&amp;""))))+IF($X$1="",0,N(ISNUMBER(SEARCH($X$1,Database!$AC435&amp;""))))+IF($Y$1="",0,N(ISNUMBER(SEARCH($Y$1,Database!$AC435&amp;""))))+IF(Screener!$B$17="",0,N(ISNUMBER(SEARCH(LOWER(Screener!$B$17),Database!$AC435&amp;""))))</f>
        <v/>
      </c>
      <c r="I435" s="270">
        <f>IF(OR(N(Database!$BH435)&lt;=0,N(Screener!$D$13)&lt;=0),0,MAX(0,1-ABS(LOG10(N(Database!$BH435)/Screener!$D$13))/W_PEHW))</f>
        <v/>
      </c>
      <c r="J435" s="270">
        <f>IF(OR(N(Database!$S435)&lt;=0,N(Screener!$D$14)&lt;=0),0,MAX(0,1-ABS(LOG10(Database!$S435/Screener!$D$14))/0.6))</f>
        <v/>
      </c>
      <c r="K435" s="270">
        <f>IF(Database!$B435=Screener!$B$5,-999999,IF(ISNUMBER(SEARCH(","&amp;Database!$A435&amp;",",","&amp;SUBSTITUTE(Screener!$D$17," ","")&amp;",")),2000000,IF(IF(OR(Screener!$B$18="All",AND(Screener!$B$18="With A-share",(Database!$BM435="Y")),AND(Screener!$B$18="Without A-share",NOT((Database!$BM435="Y")))),1,0)=0,-999999,IF(Screener!$B$16="cornerstone overlap first",H435*100000,IF(Screener!$B$16="demand-similar first",J435*100000,0))+W_SUB*B435+W_SEC*C435*(1-B435)+W_SIZE*D435+W_PROF*E435+W_AH*F435+W_REC*G435+W_CS*H435+W_PE*I435)))+ROW()/1000000</f>
        <v/>
      </c>
      <c r="AA435" s="270">
        <f>Database!B424</f>
        <v/>
      </c>
      <c r="AB435" s="270">
        <f>Database!D424</f>
        <v/>
      </c>
      <c r="AC435" s="270">
        <f>Database!E424</f>
        <v/>
      </c>
      <c r="AD435" s="270">
        <f>Database!I424</f>
        <v/>
      </c>
      <c r="AE435" s="270">
        <f>Database!BG424</f>
        <v/>
      </c>
      <c r="AF435" s="270">
        <f>Database!BM424</f>
        <v/>
      </c>
      <c r="AG435" s="270">
        <f>Database!H424</f>
        <v/>
      </c>
      <c r="AH435" s="270">
        <f>Database!BH424</f>
        <v/>
      </c>
    </row>
    <row r="436">
      <c r="A436" s="270">
        <f>Database!B436</f>
        <v/>
      </c>
      <c r="B436" s="270">
        <f>IF(AND(Screener!$D$8&lt;&gt;"",Database!$E436=Screener!$D$8),1,0)</f>
        <v/>
      </c>
      <c r="C436" s="270">
        <f>IF(AND(Screener!$D$7&lt;&gt;"",Database!$D436=Screener!$D$7),1,0)</f>
        <v/>
      </c>
      <c r="D436" s="270">
        <f>IF(OR(N(Database!$I436)&lt;=0,N(Screener!$D$9)&lt;=0),0,MAX(0,1-ABS(LOG10(N(Database!$I436)/Screener!$D$9))/W_SIZEHW))</f>
        <v/>
      </c>
      <c r="E436" s="270">
        <f>IF(OR(Database!$BG436="",Screener!$D$10=""),0,IF(Database!$BG436=Screener!$D$10,1,0))</f>
        <v/>
      </c>
      <c r="F436" s="270">
        <f>IF(OR(Database!$BM436="",Screener!$D$11=""),0,IF(Database!$BM436=Screener!$D$11,1,0))</f>
        <v/>
      </c>
      <c r="G436" s="270">
        <f>IF(OR(Database!$H436="",N(Screener!$D$12)&lt;=0),0,MAX(0,1-(N(Screener!$D$12)-Database!$H436)/W_RECD))</f>
        <v/>
      </c>
      <c r="H436" s="270">
        <f>IF($U$1="",0,N(ISNUMBER(SEARCH($U$1,Database!$AC436&amp;""))))+IF($V$1="",0,N(ISNUMBER(SEARCH($V$1,Database!$AC436&amp;""))))+IF($W$1="",0,N(ISNUMBER(SEARCH($W$1,Database!$AC436&amp;""))))+IF($X$1="",0,N(ISNUMBER(SEARCH($X$1,Database!$AC436&amp;""))))+IF($Y$1="",0,N(ISNUMBER(SEARCH($Y$1,Database!$AC436&amp;""))))+IF(Screener!$B$17="",0,N(ISNUMBER(SEARCH(LOWER(Screener!$B$17),Database!$AC436&amp;""))))</f>
        <v/>
      </c>
      <c r="I436" s="270">
        <f>IF(OR(N(Database!$BH436)&lt;=0,N(Screener!$D$13)&lt;=0),0,MAX(0,1-ABS(LOG10(N(Database!$BH436)/Screener!$D$13))/W_PEHW))</f>
        <v/>
      </c>
      <c r="J436" s="270">
        <f>IF(OR(N(Database!$S436)&lt;=0,N(Screener!$D$14)&lt;=0),0,MAX(0,1-ABS(LOG10(Database!$S436/Screener!$D$14))/0.6))</f>
        <v/>
      </c>
      <c r="K436" s="270">
        <f>IF(Database!$B436=Screener!$B$5,-999999,IF(ISNUMBER(SEARCH(","&amp;Database!$A436&amp;",",","&amp;SUBSTITUTE(Screener!$D$17," ","")&amp;",")),2000000,IF(IF(OR(Screener!$B$18="All",AND(Screener!$B$18="With A-share",(Database!$BM436="Y")),AND(Screener!$B$18="Without A-share",NOT((Database!$BM436="Y")))),1,0)=0,-999999,IF(Screener!$B$16="cornerstone overlap first",H436*100000,IF(Screener!$B$16="demand-similar first",J436*100000,0))+W_SUB*B436+W_SEC*C436*(1-B436)+W_SIZE*D436+W_PROF*E436+W_AH*F436+W_REC*G436+W_CS*H436+W_PE*I436)))+ROW()/1000000</f>
        <v/>
      </c>
      <c r="AA436" s="270">
        <f>Database!B425</f>
        <v/>
      </c>
      <c r="AB436" s="270">
        <f>Database!D425</f>
        <v/>
      </c>
      <c r="AC436" s="270">
        <f>Database!E425</f>
        <v/>
      </c>
      <c r="AD436" s="270">
        <f>Database!I425</f>
        <v/>
      </c>
      <c r="AE436" s="270">
        <f>Database!BG425</f>
        <v/>
      </c>
      <c r="AF436" s="270">
        <f>Database!BM425</f>
        <v/>
      </c>
      <c r="AG436" s="270">
        <f>Database!H425</f>
        <v/>
      </c>
      <c r="AH436" s="270">
        <f>Database!BH425</f>
        <v/>
      </c>
    </row>
    <row r="437">
      <c r="A437" s="270">
        <f>Database!B437</f>
        <v/>
      </c>
      <c r="B437" s="270">
        <f>IF(AND(Screener!$D$8&lt;&gt;"",Database!$E437=Screener!$D$8),1,0)</f>
        <v/>
      </c>
      <c r="C437" s="270">
        <f>IF(AND(Screener!$D$7&lt;&gt;"",Database!$D437=Screener!$D$7),1,0)</f>
        <v/>
      </c>
      <c r="D437" s="270">
        <f>IF(OR(N(Database!$I437)&lt;=0,N(Screener!$D$9)&lt;=0),0,MAX(0,1-ABS(LOG10(N(Database!$I437)/Screener!$D$9))/W_SIZEHW))</f>
        <v/>
      </c>
      <c r="E437" s="270">
        <f>IF(OR(Database!$BG437="",Screener!$D$10=""),0,IF(Database!$BG437=Screener!$D$10,1,0))</f>
        <v/>
      </c>
      <c r="F437" s="270">
        <f>IF(OR(Database!$BM437="",Screener!$D$11=""),0,IF(Database!$BM437=Screener!$D$11,1,0))</f>
        <v/>
      </c>
      <c r="G437" s="270">
        <f>IF(OR(Database!$H437="",N(Screener!$D$12)&lt;=0),0,MAX(0,1-(N(Screener!$D$12)-Database!$H437)/W_RECD))</f>
        <v/>
      </c>
      <c r="H437" s="270">
        <f>IF($U$1="",0,N(ISNUMBER(SEARCH($U$1,Database!$AC437&amp;""))))+IF($V$1="",0,N(ISNUMBER(SEARCH($V$1,Database!$AC437&amp;""))))+IF($W$1="",0,N(ISNUMBER(SEARCH($W$1,Database!$AC437&amp;""))))+IF($X$1="",0,N(ISNUMBER(SEARCH($X$1,Database!$AC437&amp;""))))+IF($Y$1="",0,N(ISNUMBER(SEARCH($Y$1,Database!$AC437&amp;""))))+IF(Screener!$B$17="",0,N(ISNUMBER(SEARCH(LOWER(Screener!$B$17),Database!$AC437&amp;""))))</f>
        <v/>
      </c>
      <c r="I437" s="270">
        <f>IF(OR(N(Database!$BH437)&lt;=0,N(Screener!$D$13)&lt;=0),0,MAX(0,1-ABS(LOG10(N(Database!$BH437)/Screener!$D$13))/W_PEHW))</f>
        <v/>
      </c>
      <c r="J437" s="270">
        <f>IF(OR(N(Database!$S437)&lt;=0,N(Screener!$D$14)&lt;=0),0,MAX(0,1-ABS(LOG10(Database!$S437/Screener!$D$14))/0.6))</f>
        <v/>
      </c>
      <c r="K437" s="270">
        <f>IF(Database!$B437=Screener!$B$5,-999999,IF(ISNUMBER(SEARCH(","&amp;Database!$A437&amp;",",","&amp;SUBSTITUTE(Screener!$D$17," ","")&amp;",")),2000000,IF(IF(OR(Screener!$B$18="All",AND(Screener!$B$18="With A-share",(Database!$BM437="Y")),AND(Screener!$B$18="Without A-share",NOT((Database!$BM437="Y")))),1,0)=0,-999999,IF(Screener!$B$16="cornerstone overlap first",H437*100000,IF(Screener!$B$16="demand-similar first",J437*100000,0))+W_SUB*B437+W_SEC*C437*(1-B437)+W_SIZE*D437+W_PROF*E437+W_AH*F437+W_REC*G437+W_CS*H437+W_PE*I437)))+ROW()/1000000</f>
        <v/>
      </c>
      <c r="AA437" s="270">
        <f>Database!B426</f>
        <v/>
      </c>
      <c r="AB437" s="270">
        <f>Database!D426</f>
        <v/>
      </c>
      <c r="AC437" s="270">
        <f>Database!E426</f>
        <v/>
      </c>
      <c r="AD437" s="270">
        <f>Database!I426</f>
        <v/>
      </c>
      <c r="AE437" s="270">
        <f>Database!BG426</f>
        <v/>
      </c>
      <c r="AF437" s="270">
        <f>Database!BM426</f>
        <v/>
      </c>
      <c r="AG437" s="270">
        <f>Database!H426</f>
        <v/>
      </c>
      <c r="AH437" s="270">
        <f>Database!BH426</f>
        <v/>
      </c>
    </row>
    <row r="438">
      <c r="A438" s="270">
        <f>Database!B438</f>
        <v/>
      </c>
      <c r="B438" s="270">
        <f>IF(AND(Screener!$D$8&lt;&gt;"",Database!$E438=Screener!$D$8),1,0)</f>
        <v/>
      </c>
      <c r="C438" s="270">
        <f>IF(AND(Screener!$D$7&lt;&gt;"",Database!$D438=Screener!$D$7),1,0)</f>
        <v/>
      </c>
      <c r="D438" s="270">
        <f>IF(OR(N(Database!$I438)&lt;=0,N(Screener!$D$9)&lt;=0),0,MAX(0,1-ABS(LOG10(N(Database!$I438)/Screener!$D$9))/W_SIZEHW))</f>
        <v/>
      </c>
      <c r="E438" s="270">
        <f>IF(OR(Database!$BG438="",Screener!$D$10=""),0,IF(Database!$BG438=Screener!$D$10,1,0))</f>
        <v/>
      </c>
      <c r="F438" s="270">
        <f>IF(OR(Database!$BM438="",Screener!$D$11=""),0,IF(Database!$BM438=Screener!$D$11,1,0))</f>
        <v/>
      </c>
      <c r="G438" s="270">
        <f>IF(OR(Database!$H438="",N(Screener!$D$12)&lt;=0),0,MAX(0,1-(N(Screener!$D$12)-Database!$H438)/W_RECD))</f>
        <v/>
      </c>
      <c r="H438" s="270">
        <f>IF($U$1="",0,N(ISNUMBER(SEARCH($U$1,Database!$AC438&amp;""))))+IF($V$1="",0,N(ISNUMBER(SEARCH($V$1,Database!$AC438&amp;""))))+IF($W$1="",0,N(ISNUMBER(SEARCH($W$1,Database!$AC438&amp;""))))+IF($X$1="",0,N(ISNUMBER(SEARCH($X$1,Database!$AC438&amp;""))))+IF($Y$1="",0,N(ISNUMBER(SEARCH($Y$1,Database!$AC438&amp;""))))+IF(Screener!$B$17="",0,N(ISNUMBER(SEARCH(LOWER(Screener!$B$17),Database!$AC438&amp;""))))</f>
        <v/>
      </c>
      <c r="I438" s="270">
        <f>IF(OR(N(Database!$BH438)&lt;=0,N(Screener!$D$13)&lt;=0),0,MAX(0,1-ABS(LOG10(N(Database!$BH438)/Screener!$D$13))/W_PEHW))</f>
        <v/>
      </c>
      <c r="J438" s="270">
        <f>IF(OR(N(Database!$S438)&lt;=0,N(Screener!$D$14)&lt;=0),0,MAX(0,1-ABS(LOG10(Database!$S438/Screener!$D$14))/0.6))</f>
        <v/>
      </c>
      <c r="K438" s="270">
        <f>IF(Database!$B438=Screener!$B$5,-999999,IF(ISNUMBER(SEARCH(","&amp;Database!$A438&amp;",",","&amp;SUBSTITUTE(Screener!$D$17," ","")&amp;",")),2000000,IF(IF(OR(Screener!$B$18="All",AND(Screener!$B$18="With A-share",(Database!$BM438="Y")),AND(Screener!$B$18="Without A-share",NOT((Database!$BM438="Y")))),1,0)=0,-999999,IF(Screener!$B$16="cornerstone overlap first",H438*100000,IF(Screener!$B$16="demand-similar first",J438*100000,0))+W_SUB*B438+W_SEC*C438*(1-B438)+W_SIZE*D438+W_PROF*E438+W_AH*F438+W_REC*G438+W_CS*H438+W_PE*I438)))+ROW()/1000000</f>
        <v/>
      </c>
      <c r="AA438" s="270">
        <f>Database!B427</f>
        <v/>
      </c>
      <c r="AB438" s="270">
        <f>Database!D427</f>
        <v/>
      </c>
      <c r="AC438" s="270">
        <f>Database!E427</f>
        <v/>
      </c>
      <c r="AD438" s="270">
        <f>Database!I427</f>
        <v/>
      </c>
      <c r="AE438" s="270">
        <f>Database!BG427</f>
        <v/>
      </c>
      <c r="AF438" s="270">
        <f>Database!BM427</f>
        <v/>
      </c>
      <c r="AG438" s="270">
        <f>Database!H427</f>
        <v/>
      </c>
      <c r="AH438" s="270">
        <f>Database!BH427</f>
        <v/>
      </c>
    </row>
    <row r="439">
      <c r="A439" s="270">
        <f>Database!B439</f>
        <v/>
      </c>
      <c r="B439" s="270">
        <f>IF(AND(Screener!$D$8&lt;&gt;"",Database!$E439=Screener!$D$8),1,0)</f>
        <v/>
      </c>
      <c r="C439" s="270">
        <f>IF(AND(Screener!$D$7&lt;&gt;"",Database!$D439=Screener!$D$7),1,0)</f>
        <v/>
      </c>
      <c r="D439" s="270">
        <f>IF(OR(N(Database!$I439)&lt;=0,N(Screener!$D$9)&lt;=0),0,MAX(0,1-ABS(LOG10(N(Database!$I439)/Screener!$D$9))/W_SIZEHW))</f>
        <v/>
      </c>
      <c r="E439" s="270">
        <f>IF(OR(Database!$BG439="",Screener!$D$10=""),0,IF(Database!$BG439=Screener!$D$10,1,0))</f>
        <v/>
      </c>
      <c r="F439" s="270">
        <f>IF(OR(Database!$BM439="",Screener!$D$11=""),0,IF(Database!$BM439=Screener!$D$11,1,0))</f>
        <v/>
      </c>
      <c r="G439" s="270">
        <f>IF(OR(Database!$H439="",N(Screener!$D$12)&lt;=0),0,MAX(0,1-(N(Screener!$D$12)-Database!$H439)/W_RECD))</f>
        <v/>
      </c>
      <c r="H439" s="270">
        <f>IF($U$1="",0,N(ISNUMBER(SEARCH($U$1,Database!$AC439&amp;""))))+IF($V$1="",0,N(ISNUMBER(SEARCH($V$1,Database!$AC439&amp;""))))+IF($W$1="",0,N(ISNUMBER(SEARCH($W$1,Database!$AC439&amp;""))))+IF($X$1="",0,N(ISNUMBER(SEARCH($X$1,Database!$AC439&amp;""))))+IF($Y$1="",0,N(ISNUMBER(SEARCH($Y$1,Database!$AC439&amp;""))))+IF(Screener!$B$17="",0,N(ISNUMBER(SEARCH(LOWER(Screener!$B$17),Database!$AC439&amp;""))))</f>
        <v/>
      </c>
      <c r="I439" s="270">
        <f>IF(OR(N(Database!$BH439)&lt;=0,N(Screener!$D$13)&lt;=0),0,MAX(0,1-ABS(LOG10(N(Database!$BH439)/Screener!$D$13))/W_PEHW))</f>
        <v/>
      </c>
      <c r="J439" s="270">
        <f>IF(OR(N(Database!$S439)&lt;=0,N(Screener!$D$14)&lt;=0),0,MAX(0,1-ABS(LOG10(Database!$S439/Screener!$D$14))/0.6))</f>
        <v/>
      </c>
      <c r="K439" s="270">
        <f>IF(Database!$B439=Screener!$B$5,-999999,IF(ISNUMBER(SEARCH(","&amp;Database!$A439&amp;",",","&amp;SUBSTITUTE(Screener!$D$17," ","")&amp;",")),2000000,IF(IF(OR(Screener!$B$18="All",AND(Screener!$B$18="With A-share",(Database!$BM439="Y")),AND(Screener!$B$18="Without A-share",NOT((Database!$BM439="Y")))),1,0)=0,-999999,IF(Screener!$B$16="cornerstone overlap first",H439*100000,IF(Screener!$B$16="demand-similar first",J439*100000,0))+W_SUB*B439+W_SEC*C439*(1-B439)+W_SIZE*D439+W_PROF*E439+W_AH*F439+W_REC*G439+W_CS*H439+W_PE*I439)))+ROW()/1000000</f>
        <v/>
      </c>
      <c r="AA439" s="270">
        <f>Database!B428</f>
        <v/>
      </c>
      <c r="AB439" s="270">
        <f>Database!D428</f>
        <v/>
      </c>
      <c r="AC439" s="270">
        <f>Database!E428</f>
        <v/>
      </c>
      <c r="AD439" s="270">
        <f>Database!I428</f>
        <v/>
      </c>
      <c r="AE439" s="270">
        <f>Database!BG428</f>
        <v/>
      </c>
      <c r="AF439" s="270">
        <f>Database!BM428</f>
        <v/>
      </c>
      <c r="AG439" s="270">
        <f>Database!H428</f>
        <v/>
      </c>
      <c r="AH439" s="270">
        <f>Database!BH428</f>
        <v/>
      </c>
    </row>
    <row r="440">
      <c r="A440" s="270">
        <f>Database!B440</f>
        <v/>
      </c>
      <c r="B440" s="270">
        <f>IF(AND(Screener!$D$8&lt;&gt;"",Database!$E440=Screener!$D$8),1,0)</f>
        <v/>
      </c>
      <c r="C440" s="270">
        <f>IF(AND(Screener!$D$7&lt;&gt;"",Database!$D440=Screener!$D$7),1,0)</f>
        <v/>
      </c>
      <c r="D440" s="270">
        <f>IF(OR(N(Database!$I440)&lt;=0,N(Screener!$D$9)&lt;=0),0,MAX(0,1-ABS(LOG10(N(Database!$I440)/Screener!$D$9))/W_SIZEHW))</f>
        <v/>
      </c>
      <c r="E440" s="270">
        <f>IF(OR(Database!$BG440="",Screener!$D$10=""),0,IF(Database!$BG440=Screener!$D$10,1,0))</f>
        <v/>
      </c>
      <c r="F440" s="270">
        <f>IF(OR(Database!$BM440="",Screener!$D$11=""),0,IF(Database!$BM440=Screener!$D$11,1,0))</f>
        <v/>
      </c>
      <c r="G440" s="270">
        <f>IF(OR(Database!$H440="",N(Screener!$D$12)&lt;=0),0,MAX(0,1-(N(Screener!$D$12)-Database!$H440)/W_RECD))</f>
        <v/>
      </c>
      <c r="H440" s="270">
        <f>IF($U$1="",0,N(ISNUMBER(SEARCH($U$1,Database!$AC440&amp;""))))+IF($V$1="",0,N(ISNUMBER(SEARCH($V$1,Database!$AC440&amp;""))))+IF($W$1="",0,N(ISNUMBER(SEARCH($W$1,Database!$AC440&amp;""))))+IF($X$1="",0,N(ISNUMBER(SEARCH($X$1,Database!$AC440&amp;""))))+IF($Y$1="",0,N(ISNUMBER(SEARCH($Y$1,Database!$AC440&amp;""))))+IF(Screener!$B$17="",0,N(ISNUMBER(SEARCH(LOWER(Screener!$B$17),Database!$AC440&amp;""))))</f>
        <v/>
      </c>
      <c r="I440" s="270">
        <f>IF(OR(N(Database!$BH440)&lt;=0,N(Screener!$D$13)&lt;=0),0,MAX(0,1-ABS(LOG10(N(Database!$BH440)/Screener!$D$13))/W_PEHW))</f>
        <v/>
      </c>
      <c r="J440" s="270">
        <f>IF(OR(N(Database!$S440)&lt;=0,N(Screener!$D$14)&lt;=0),0,MAX(0,1-ABS(LOG10(Database!$S440/Screener!$D$14))/0.6))</f>
        <v/>
      </c>
      <c r="K440" s="270">
        <f>IF(Database!$B440=Screener!$B$5,-999999,IF(ISNUMBER(SEARCH(","&amp;Database!$A440&amp;",",","&amp;SUBSTITUTE(Screener!$D$17," ","")&amp;",")),2000000,IF(IF(OR(Screener!$B$18="All",AND(Screener!$B$18="With A-share",(Database!$BM440="Y")),AND(Screener!$B$18="Without A-share",NOT((Database!$BM440="Y")))),1,0)=0,-999999,IF(Screener!$B$16="cornerstone overlap first",H440*100000,IF(Screener!$B$16="demand-similar first",J440*100000,0))+W_SUB*B440+W_SEC*C440*(1-B440)+W_SIZE*D440+W_PROF*E440+W_AH*F440+W_REC*G440+W_CS*H440+W_PE*I440)))+ROW()/1000000</f>
        <v/>
      </c>
      <c r="AA440" s="270">
        <f>Database!B429</f>
        <v/>
      </c>
      <c r="AB440" s="270">
        <f>Database!D429</f>
        <v/>
      </c>
      <c r="AC440" s="270">
        <f>Database!E429</f>
        <v/>
      </c>
      <c r="AD440" s="270">
        <f>Database!I429</f>
        <v/>
      </c>
      <c r="AE440" s="270">
        <f>Database!BG429</f>
        <v/>
      </c>
      <c r="AF440" s="270">
        <f>Database!BM429</f>
        <v/>
      </c>
      <c r="AG440" s="270">
        <f>Database!H429</f>
        <v/>
      </c>
      <c r="AH440" s="270">
        <f>Database!BH429</f>
        <v/>
      </c>
    </row>
    <row r="441">
      <c r="A441" s="270">
        <f>Database!B441</f>
        <v/>
      </c>
      <c r="B441" s="270">
        <f>IF(AND(Screener!$D$8&lt;&gt;"",Database!$E441=Screener!$D$8),1,0)</f>
        <v/>
      </c>
      <c r="C441" s="270">
        <f>IF(AND(Screener!$D$7&lt;&gt;"",Database!$D441=Screener!$D$7),1,0)</f>
        <v/>
      </c>
      <c r="D441" s="270">
        <f>IF(OR(N(Database!$I441)&lt;=0,N(Screener!$D$9)&lt;=0),0,MAX(0,1-ABS(LOG10(N(Database!$I441)/Screener!$D$9))/W_SIZEHW))</f>
        <v/>
      </c>
      <c r="E441" s="270">
        <f>IF(OR(Database!$BG441="",Screener!$D$10=""),0,IF(Database!$BG441=Screener!$D$10,1,0))</f>
        <v/>
      </c>
      <c r="F441" s="270">
        <f>IF(OR(Database!$BM441="",Screener!$D$11=""),0,IF(Database!$BM441=Screener!$D$11,1,0))</f>
        <v/>
      </c>
      <c r="G441" s="270">
        <f>IF(OR(Database!$H441="",N(Screener!$D$12)&lt;=0),0,MAX(0,1-(N(Screener!$D$12)-Database!$H441)/W_RECD))</f>
        <v/>
      </c>
      <c r="H441" s="270">
        <f>IF($U$1="",0,N(ISNUMBER(SEARCH($U$1,Database!$AC441&amp;""))))+IF($V$1="",0,N(ISNUMBER(SEARCH($V$1,Database!$AC441&amp;""))))+IF($W$1="",0,N(ISNUMBER(SEARCH($W$1,Database!$AC441&amp;""))))+IF($X$1="",0,N(ISNUMBER(SEARCH($X$1,Database!$AC441&amp;""))))+IF($Y$1="",0,N(ISNUMBER(SEARCH($Y$1,Database!$AC441&amp;""))))+IF(Screener!$B$17="",0,N(ISNUMBER(SEARCH(LOWER(Screener!$B$17),Database!$AC441&amp;""))))</f>
        <v/>
      </c>
      <c r="I441" s="270">
        <f>IF(OR(N(Database!$BH441)&lt;=0,N(Screener!$D$13)&lt;=0),0,MAX(0,1-ABS(LOG10(N(Database!$BH441)/Screener!$D$13))/W_PEHW))</f>
        <v/>
      </c>
      <c r="J441" s="270">
        <f>IF(OR(N(Database!$S441)&lt;=0,N(Screener!$D$14)&lt;=0),0,MAX(0,1-ABS(LOG10(Database!$S441/Screener!$D$14))/0.6))</f>
        <v/>
      </c>
      <c r="K441" s="270">
        <f>IF(Database!$B441=Screener!$B$5,-999999,IF(ISNUMBER(SEARCH(","&amp;Database!$A441&amp;",",","&amp;SUBSTITUTE(Screener!$D$17," ","")&amp;",")),2000000,IF(IF(OR(Screener!$B$18="All",AND(Screener!$B$18="With A-share",(Database!$BM441="Y")),AND(Screener!$B$18="Without A-share",NOT((Database!$BM441="Y")))),1,0)=0,-999999,IF(Screener!$B$16="cornerstone overlap first",H441*100000,IF(Screener!$B$16="demand-similar first",J441*100000,0))+W_SUB*B441+W_SEC*C441*(1-B441)+W_SIZE*D441+W_PROF*E441+W_AH*F441+W_REC*G441+W_CS*H441+W_PE*I441)))+ROW()/1000000</f>
        <v/>
      </c>
      <c r="AA441" s="270">
        <f>Database!B430</f>
        <v/>
      </c>
      <c r="AB441" s="270">
        <f>Database!D430</f>
        <v/>
      </c>
      <c r="AC441" s="270">
        <f>Database!E430</f>
        <v/>
      </c>
      <c r="AD441" s="270">
        <f>Database!I430</f>
        <v/>
      </c>
      <c r="AE441" s="270">
        <f>Database!BG430</f>
        <v/>
      </c>
      <c r="AF441" s="270">
        <f>Database!BM430</f>
        <v/>
      </c>
      <c r="AG441" s="270">
        <f>Database!H430</f>
        <v/>
      </c>
      <c r="AH441" s="270">
        <f>Database!BH430</f>
        <v/>
      </c>
    </row>
    <row r="442">
      <c r="A442" s="270">
        <f>Database!B442</f>
        <v/>
      </c>
      <c r="B442" s="270">
        <f>IF(AND(Screener!$D$8&lt;&gt;"",Database!$E442=Screener!$D$8),1,0)</f>
        <v/>
      </c>
      <c r="C442" s="270">
        <f>IF(AND(Screener!$D$7&lt;&gt;"",Database!$D442=Screener!$D$7),1,0)</f>
        <v/>
      </c>
      <c r="D442" s="270">
        <f>IF(OR(N(Database!$I442)&lt;=0,N(Screener!$D$9)&lt;=0),0,MAX(0,1-ABS(LOG10(N(Database!$I442)/Screener!$D$9))/W_SIZEHW))</f>
        <v/>
      </c>
      <c r="E442" s="270">
        <f>IF(OR(Database!$BG442="",Screener!$D$10=""),0,IF(Database!$BG442=Screener!$D$10,1,0))</f>
        <v/>
      </c>
      <c r="F442" s="270">
        <f>IF(OR(Database!$BM442="",Screener!$D$11=""),0,IF(Database!$BM442=Screener!$D$11,1,0))</f>
        <v/>
      </c>
      <c r="G442" s="270">
        <f>IF(OR(Database!$H442="",N(Screener!$D$12)&lt;=0),0,MAX(0,1-(N(Screener!$D$12)-Database!$H442)/W_RECD))</f>
        <v/>
      </c>
      <c r="H442" s="270">
        <f>IF($U$1="",0,N(ISNUMBER(SEARCH($U$1,Database!$AC442&amp;""))))+IF($V$1="",0,N(ISNUMBER(SEARCH($V$1,Database!$AC442&amp;""))))+IF($W$1="",0,N(ISNUMBER(SEARCH($W$1,Database!$AC442&amp;""))))+IF($X$1="",0,N(ISNUMBER(SEARCH($X$1,Database!$AC442&amp;""))))+IF($Y$1="",0,N(ISNUMBER(SEARCH($Y$1,Database!$AC442&amp;""))))+IF(Screener!$B$17="",0,N(ISNUMBER(SEARCH(LOWER(Screener!$B$17),Database!$AC442&amp;""))))</f>
        <v/>
      </c>
      <c r="I442" s="270">
        <f>IF(OR(N(Database!$BH442)&lt;=0,N(Screener!$D$13)&lt;=0),0,MAX(0,1-ABS(LOG10(N(Database!$BH442)/Screener!$D$13))/W_PEHW))</f>
        <v/>
      </c>
      <c r="J442" s="270">
        <f>IF(OR(N(Database!$S442)&lt;=0,N(Screener!$D$14)&lt;=0),0,MAX(0,1-ABS(LOG10(Database!$S442/Screener!$D$14))/0.6))</f>
        <v/>
      </c>
      <c r="K442" s="270">
        <f>IF(Database!$B442=Screener!$B$5,-999999,IF(ISNUMBER(SEARCH(","&amp;Database!$A442&amp;",",","&amp;SUBSTITUTE(Screener!$D$17," ","")&amp;",")),2000000,IF(IF(OR(Screener!$B$18="All",AND(Screener!$B$18="With A-share",(Database!$BM442="Y")),AND(Screener!$B$18="Without A-share",NOT((Database!$BM442="Y")))),1,0)=0,-999999,IF(Screener!$B$16="cornerstone overlap first",H442*100000,IF(Screener!$B$16="demand-similar first",J442*100000,0))+W_SUB*B442+W_SEC*C442*(1-B442)+W_SIZE*D442+W_PROF*E442+W_AH*F442+W_REC*G442+W_CS*H442+W_PE*I442)))+ROW()/1000000</f>
        <v/>
      </c>
      <c r="AA442" s="270">
        <f>Database!B431</f>
        <v/>
      </c>
      <c r="AB442" s="270">
        <f>Database!D431</f>
        <v/>
      </c>
      <c r="AC442" s="270">
        <f>Database!E431</f>
        <v/>
      </c>
      <c r="AD442" s="270">
        <f>Database!I431</f>
        <v/>
      </c>
      <c r="AE442" s="270">
        <f>Database!BG431</f>
        <v/>
      </c>
      <c r="AF442" s="270">
        <f>Database!BM431</f>
        <v/>
      </c>
      <c r="AG442" s="270">
        <f>Database!H431</f>
        <v/>
      </c>
      <c r="AH442" s="270">
        <f>Database!BH431</f>
        <v/>
      </c>
    </row>
    <row r="443">
      <c r="A443" s="270">
        <f>Database!B443</f>
        <v/>
      </c>
      <c r="B443" s="270">
        <f>IF(AND(Screener!$D$8&lt;&gt;"",Database!$E443=Screener!$D$8),1,0)</f>
        <v/>
      </c>
      <c r="C443" s="270">
        <f>IF(AND(Screener!$D$7&lt;&gt;"",Database!$D443=Screener!$D$7),1,0)</f>
        <v/>
      </c>
      <c r="D443" s="270">
        <f>IF(OR(N(Database!$I443)&lt;=0,N(Screener!$D$9)&lt;=0),0,MAX(0,1-ABS(LOG10(N(Database!$I443)/Screener!$D$9))/W_SIZEHW))</f>
        <v/>
      </c>
      <c r="E443" s="270">
        <f>IF(OR(Database!$BG443="",Screener!$D$10=""),0,IF(Database!$BG443=Screener!$D$10,1,0))</f>
        <v/>
      </c>
      <c r="F443" s="270">
        <f>IF(OR(Database!$BM443="",Screener!$D$11=""),0,IF(Database!$BM443=Screener!$D$11,1,0))</f>
        <v/>
      </c>
      <c r="G443" s="270">
        <f>IF(OR(Database!$H443="",N(Screener!$D$12)&lt;=0),0,MAX(0,1-(N(Screener!$D$12)-Database!$H443)/W_RECD))</f>
        <v/>
      </c>
      <c r="H443" s="270">
        <f>IF($U$1="",0,N(ISNUMBER(SEARCH($U$1,Database!$AC443&amp;""))))+IF($V$1="",0,N(ISNUMBER(SEARCH($V$1,Database!$AC443&amp;""))))+IF($W$1="",0,N(ISNUMBER(SEARCH($W$1,Database!$AC443&amp;""))))+IF($X$1="",0,N(ISNUMBER(SEARCH($X$1,Database!$AC443&amp;""))))+IF($Y$1="",0,N(ISNUMBER(SEARCH($Y$1,Database!$AC443&amp;""))))+IF(Screener!$B$17="",0,N(ISNUMBER(SEARCH(LOWER(Screener!$B$17),Database!$AC443&amp;""))))</f>
        <v/>
      </c>
      <c r="I443" s="270">
        <f>IF(OR(N(Database!$BH443)&lt;=0,N(Screener!$D$13)&lt;=0),0,MAX(0,1-ABS(LOG10(N(Database!$BH443)/Screener!$D$13))/W_PEHW))</f>
        <v/>
      </c>
      <c r="J443" s="270">
        <f>IF(OR(N(Database!$S443)&lt;=0,N(Screener!$D$14)&lt;=0),0,MAX(0,1-ABS(LOG10(Database!$S443/Screener!$D$14))/0.6))</f>
        <v/>
      </c>
      <c r="K443" s="270">
        <f>IF(Database!$B443=Screener!$B$5,-999999,IF(ISNUMBER(SEARCH(","&amp;Database!$A443&amp;",",","&amp;SUBSTITUTE(Screener!$D$17," ","")&amp;",")),2000000,IF(IF(OR(Screener!$B$18="All",AND(Screener!$B$18="With A-share",(Database!$BM443="Y")),AND(Screener!$B$18="Without A-share",NOT((Database!$BM443="Y")))),1,0)=0,-999999,IF(Screener!$B$16="cornerstone overlap first",H443*100000,IF(Screener!$B$16="demand-similar first",J443*100000,0))+W_SUB*B443+W_SEC*C443*(1-B443)+W_SIZE*D443+W_PROF*E443+W_AH*F443+W_REC*G443+W_CS*H443+W_PE*I443)))+ROW()/1000000</f>
        <v/>
      </c>
      <c r="AA443" s="270">
        <f>Database!B432</f>
        <v/>
      </c>
      <c r="AB443" s="270">
        <f>Database!D432</f>
        <v/>
      </c>
      <c r="AC443" s="270">
        <f>Database!E432</f>
        <v/>
      </c>
      <c r="AD443" s="270">
        <f>Database!I432</f>
        <v/>
      </c>
      <c r="AE443" s="270">
        <f>Database!BG432</f>
        <v/>
      </c>
      <c r="AF443" s="270">
        <f>Database!BM432</f>
        <v/>
      </c>
      <c r="AG443" s="270">
        <f>Database!H432</f>
        <v/>
      </c>
      <c r="AH443" s="270">
        <f>Database!BH432</f>
        <v/>
      </c>
    </row>
    <row r="444">
      <c r="A444" s="270">
        <f>Database!B444</f>
        <v/>
      </c>
      <c r="B444" s="270">
        <f>IF(AND(Screener!$D$8&lt;&gt;"",Database!$E444=Screener!$D$8),1,0)</f>
        <v/>
      </c>
      <c r="C444" s="270">
        <f>IF(AND(Screener!$D$7&lt;&gt;"",Database!$D444=Screener!$D$7),1,0)</f>
        <v/>
      </c>
      <c r="D444" s="270">
        <f>IF(OR(N(Database!$I444)&lt;=0,N(Screener!$D$9)&lt;=0),0,MAX(0,1-ABS(LOG10(N(Database!$I444)/Screener!$D$9))/W_SIZEHW))</f>
        <v/>
      </c>
      <c r="E444" s="270">
        <f>IF(OR(Database!$BG444="",Screener!$D$10=""),0,IF(Database!$BG444=Screener!$D$10,1,0))</f>
        <v/>
      </c>
      <c r="F444" s="270">
        <f>IF(OR(Database!$BM444="",Screener!$D$11=""),0,IF(Database!$BM444=Screener!$D$11,1,0))</f>
        <v/>
      </c>
      <c r="G444" s="270">
        <f>IF(OR(Database!$H444="",N(Screener!$D$12)&lt;=0),0,MAX(0,1-(N(Screener!$D$12)-Database!$H444)/W_RECD))</f>
        <v/>
      </c>
      <c r="H444" s="270">
        <f>IF($U$1="",0,N(ISNUMBER(SEARCH($U$1,Database!$AC444&amp;""))))+IF($V$1="",0,N(ISNUMBER(SEARCH($V$1,Database!$AC444&amp;""))))+IF($W$1="",0,N(ISNUMBER(SEARCH($W$1,Database!$AC444&amp;""))))+IF($X$1="",0,N(ISNUMBER(SEARCH($X$1,Database!$AC444&amp;""))))+IF($Y$1="",0,N(ISNUMBER(SEARCH($Y$1,Database!$AC444&amp;""))))+IF(Screener!$B$17="",0,N(ISNUMBER(SEARCH(LOWER(Screener!$B$17),Database!$AC444&amp;""))))</f>
        <v/>
      </c>
      <c r="I444" s="270">
        <f>IF(OR(N(Database!$BH444)&lt;=0,N(Screener!$D$13)&lt;=0),0,MAX(0,1-ABS(LOG10(N(Database!$BH444)/Screener!$D$13))/W_PEHW))</f>
        <v/>
      </c>
      <c r="J444" s="270">
        <f>IF(OR(N(Database!$S444)&lt;=0,N(Screener!$D$14)&lt;=0),0,MAX(0,1-ABS(LOG10(Database!$S444/Screener!$D$14))/0.6))</f>
        <v/>
      </c>
      <c r="K444" s="270">
        <f>IF(Database!$B444=Screener!$B$5,-999999,IF(ISNUMBER(SEARCH(","&amp;Database!$A444&amp;",",","&amp;SUBSTITUTE(Screener!$D$17," ","")&amp;",")),2000000,IF(IF(OR(Screener!$B$18="All",AND(Screener!$B$18="With A-share",(Database!$BM444="Y")),AND(Screener!$B$18="Without A-share",NOT((Database!$BM444="Y")))),1,0)=0,-999999,IF(Screener!$B$16="cornerstone overlap first",H444*100000,IF(Screener!$B$16="demand-similar first",J444*100000,0))+W_SUB*B444+W_SEC*C444*(1-B444)+W_SIZE*D444+W_PROF*E444+W_AH*F444+W_REC*G444+W_CS*H444+W_PE*I444)))+ROW()/1000000</f>
        <v/>
      </c>
      <c r="AA444" s="270">
        <f>Database!B433</f>
        <v/>
      </c>
      <c r="AB444" s="270">
        <f>Database!D433</f>
        <v/>
      </c>
      <c r="AC444" s="270">
        <f>Database!E433</f>
        <v/>
      </c>
      <c r="AD444" s="270">
        <f>Database!I433</f>
        <v/>
      </c>
      <c r="AE444" s="270">
        <f>Database!BG433</f>
        <v/>
      </c>
      <c r="AF444" s="270">
        <f>Database!BM433</f>
        <v/>
      </c>
      <c r="AG444" s="270">
        <f>Database!H433</f>
        <v/>
      </c>
      <c r="AH444" s="270">
        <f>Database!BH433</f>
        <v/>
      </c>
    </row>
    <row r="445">
      <c r="A445" s="270">
        <f>Database!B445</f>
        <v/>
      </c>
      <c r="B445" s="270">
        <f>IF(AND(Screener!$D$8&lt;&gt;"",Database!$E445=Screener!$D$8),1,0)</f>
        <v/>
      </c>
      <c r="C445" s="270">
        <f>IF(AND(Screener!$D$7&lt;&gt;"",Database!$D445=Screener!$D$7),1,0)</f>
        <v/>
      </c>
      <c r="D445" s="270">
        <f>IF(OR(N(Database!$I445)&lt;=0,N(Screener!$D$9)&lt;=0),0,MAX(0,1-ABS(LOG10(N(Database!$I445)/Screener!$D$9))/W_SIZEHW))</f>
        <v/>
      </c>
      <c r="E445" s="270">
        <f>IF(OR(Database!$BG445="",Screener!$D$10=""),0,IF(Database!$BG445=Screener!$D$10,1,0))</f>
        <v/>
      </c>
      <c r="F445" s="270">
        <f>IF(OR(Database!$BM445="",Screener!$D$11=""),0,IF(Database!$BM445=Screener!$D$11,1,0))</f>
        <v/>
      </c>
      <c r="G445" s="270">
        <f>IF(OR(Database!$H445="",N(Screener!$D$12)&lt;=0),0,MAX(0,1-(N(Screener!$D$12)-Database!$H445)/W_RECD))</f>
        <v/>
      </c>
      <c r="H445" s="270">
        <f>IF($U$1="",0,N(ISNUMBER(SEARCH($U$1,Database!$AC445&amp;""))))+IF($V$1="",0,N(ISNUMBER(SEARCH($V$1,Database!$AC445&amp;""))))+IF($W$1="",0,N(ISNUMBER(SEARCH($W$1,Database!$AC445&amp;""))))+IF($X$1="",0,N(ISNUMBER(SEARCH($X$1,Database!$AC445&amp;""))))+IF($Y$1="",0,N(ISNUMBER(SEARCH($Y$1,Database!$AC445&amp;""))))+IF(Screener!$B$17="",0,N(ISNUMBER(SEARCH(LOWER(Screener!$B$17),Database!$AC445&amp;""))))</f>
        <v/>
      </c>
      <c r="I445" s="270">
        <f>IF(OR(N(Database!$BH445)&lt;=0,N(Screener!$D$13)&lt;=0),0,MAX(0,1-ABS(LOG10(N(Database!$BH445)/Screener!$D$13))/W_PEHW))</f>
        <v/>
      </c>
      <c r="J445" s="270">
        <f>IF(OR(N(Database!$S445)&lt;=0,N(Screener!$D$14)&lt;=0),0,MAX(0,1-ABS(LOG10(Database!$S445/Screener!$D$14))/0.6))</f>
        <v/>
      </c>
      <c r="K445" s="270">
        <f>IF(Database!$B445=Screener!$B$5,-999999,IF(ISNUMBER(SEARCH(","&amp;Database!$A445&amp;",",","&amp;SUBSTITUTE(Screener!$D$17," ","")&amp;",")),2000000,IF(IF(OR(Screener!$B$18="All",AND(Screener!$B$18="With A-share",(Database!$BM445="Y")),AND(Screener!$B$18="Without A-share",NOT((Database!$BM445="Y")))),1,0)=0,-999999,IF(Screener!$B$16="cornerstone overlap first",H445*100000,IF(Screener!$B$16="demand-similar first",J445*100000,0))+W_SUB*B445+W_SEC*C445*(1-B445)+W_SIZE*D445+W_PROF*E445+W_AH*F445+W_REC*G445+W_CS*H445+W_PE*I445)))+ROW()/1000000</f>
        <v/>
      </c>
      <c r="AA445" s="270">
        <f>Database!B434</f>
        <v/>
      </c>
      <c r="AB445" s="270">
        <f>Database!D434</f>
        <v/>
      </c>
      <c r="AC445" s="270">
        <f>Database!E434</f>
        <v/>
      </c>
      <c r="AD445" s="270">
        <f>Database!I434</f>
        <v/>
      </c>
      <c r="AE445" s="270">
        <f>Database!BG434</f>
        <v/>
      </c>
      <c r="AF445" s="270">
        <f>Database!BM434</f>
        <v/>
      </c>
      <c r="AG445" s="270">
        <f>Database!H434</f>
        <v/>
      </c>
      <c r="AH445" s="270">
        <f>Database!BH434</f>
        <v/>
      </c>
    </row>
    <row r="446">
      <c r="A446" s="270">
        <f>Database!B446</f>
        <v/>
      </c>
      <c r="B446" s="270">
        <f>IF(AND(Screener!$D$8&lt;&gt;"",Database!$E446=Screener!$D$8),1,0)</f>
        <v/>
      </c>
      <c r="C446" s="270">
        <f>IF(AND(Screener!$D$7&lt;&gt;"",Database!$D446=Screener!$D$7),1,0)</f>
        <v/>
      </c>
      <c r="D446" s="270">
        <f>IF(OR(N(Database!$I446)&lt;=0,N(Screener!$D$9)&lt;=0),0,MAX(0,1-ABS(LOG10(N(Database!$I446)/Screener!$D$9))/W_SIZEHW))</f>
        <v/>
      </c>
      <c r="E446" s="270">
        <f>IF(OR(Database!$BG446="",Screener!$D$10=""),0,IF(Database!$BG446=Screener!$D$10,1,0))</f>
        <v/>
      </c>
      <c r="F446" s="270">
        <f>IF(OR(Database!$BM446="",Screener!$D$11=""),0,IF(Database!$BM446=Screener!$D$11,1,0))</f>
        <v/>
      </c>
      <c r="G446" s="270">
        <f>IF(OR(Database!$H446="",N(Screener!$D$12)&lt;=0),0,MAX(0,1-(N(Screener!$D$12)-Database!$H446)/W_RECD))</f>
        <v/>
      </c>
      <c r="H446" s="270">
        <f>IF($U$1="",0,N(ISNUMBER(SEARCH($U$1,Database!$AC446&amp;""))))+IF($V$1="",0,N(ISNUMBER(SEARCH($V$1,Database!$AC446&amp;""))))+IF($W$1="",0,N(ISNUMBER(SEARCH($W$1,Database!$AC446&amp;""))))+IF($X$1="",0,N(ISNUMBER(SEARCH($X$1,Database!$AC446&amp;""))))+IF($Y$1="",0,N(ISNUMBER(SEARCH($Y$1,Database!$AC446&amp;""))))+IF(Screener!$B$17="",0,N(ISNUMBER(SEARCH(LOWER(Screener!$B$17),Database!$AC446&amp;""))))</f>
        <v/>
      </c>
      <c r="I446" s="270">
        <f>IF(OR(N(Database!$BH446)&lt;=0,N(Screener!$D$13)&lt;=0),0,MAX(0,1-ABS(LOG10(N(Database!$BH446)/Screener!$D$13))/W_PEHW))</f>
        <v/>
      </c>
      <c r="J446" s="270">
        <f>IF(OR(N(Database!$S446)&lt;=0,N(Screener!$D$14)&lt;=0),0,MAX(0,1-ABS(LOG10(Database!$S446/Screener!$D$14))/0.6))</f>
        <v/>
      </c>
      <c r="K446" s="270">
        <f>IF(Database!$B446=Screener!$B$5,-999999,IF(ISNUMBER(SEARCH(","&amp;Database!$A446&amp;",",","&amp;SUBSTITUTE(Screener!$D$17," ","")&amp;",")),2000000,IF(IF(OR(Screener!$B$18="All",AND(Screener!$B$18="With A-share",(Database!$BM446="Y")),AND(Screener!$B$18="Without A-share",NOT((Database!$BM446="Y")))),1,0)=0,-999999,IF(Screener!$B$16="cornerstone overlap first",H446*100000,IF(Screener!$B$16="demand-similar first",J446*100000,0))+W_SUB*B446+W_SEC*C446*(1-B446)+W_SIZE*D446+W_PROF*E446+W_AH*F446+W_REC*G446+W_CS*H446+W_PE*I446)))+ROW()/1000000</f>
        <v/>
      </c>
      <c r="AA446" s="270">
        <f>Database!B435</f>
        <v/>
      </c>
      <c r="AB446" s="270">
        <f>Database!D435</f>
        <v/>
      </c>
      <c r="AC446" s="270">
        <f>Database!E435</f>
        <v/>
      </c>
      <c r="AD446" s="270">
        <f>Database!I435</f>
        <v/>
      </c>
      <c r="AE446" s="270">
        <f>Database!BG435</f>
        <v/>
      </c>
      <c r="AF446" s="270">
        <f>Database!BM435</f>
        <v/>
      </c>
      <c r="AG446" s="270">
        <f>Database!H435</f>
        <v/>
      </c>
      <c r="AH446" s="270">
        <f>Database!BH435</f>
        <v/>
      </c>
    </row>
    <row r="447">
      <c r="A447" s="270">
        <f>Database!B447</f>
        <v/>
      </c>
      <c r="B447" s="270">
        <f>IF(AND(Screener!$D$8&lt;&gt;"",Database!$E447=Screener!$D$8),1,0)</f>
        <v/>
      </c>
      <c r="C447" s="270">
        <f>IF(AND(Screener!$D$7&lt;&gt;"",Database!$D447=Screener!$D$7),1,0)</f>
        <v/>
      </c>
      <c r="D447" s="270">
        <f>IF(OR(N(Database!$I447)&lt;=0,N(Screener!$D$9)&lt;=0),0,MAX(0,1-ABS(LOG10(N(Database!$I447)/Screener!$D$9))/W_SIZEHW))</f>
        <v/>
      </c>
      <c r="E447" s="270">
        <f>IF(OR(Database!$BG447="",Screener!$D$10=""),0,IF(Database!$BG447=Screener!$D$10,1,0))</f>
        <v/>
      </c>
      <c r="F447" s="270">
        <f>IF(OR(Database!$BM447="",Screener!$D$11=""),0,IF(Database!$BM447=Screener!$D$11,1,0))</f>
        <v/>
      </c>
      <c r="G447" s="270">
        <f>IF(OR(Database!$H447="",N(Screener!$D$12)&lt;=0),0,MAX(0,1-(N(Screener!$D$12)-Database!$H447)/W_RECD))</f>
        <v/>
      </c>
      <c r="H447" s="270">
        <f>IF($U$1="",0,N(ISNUMBER(SEARCH($U$1,Database!$AC447&amp;""))))+IF($V$1="",0,N(ISNUMBER(SEARCH($V$1,Database!$AC447&amp;""))))+IF($W$1="",0,N(ISNUMBER(SEARCH($W$1,Database!$AC447&amp;""))))+IF($X$1="",0,N(ISNUMBER(SEARCH($X$1,Database!$AC447&amp;""))))+IF($Y$1="",0,N(ISNUMBER(SEARCH($Y$1,Database!$AC447&amp;""))))+IF(Screener!$B$17="",0,N(ISNUMBER(SEARCH(LOWER(Screener!$B$17),Database!$AC447&amp;""))))</f>
        <v/>
      </c>
      <c r="I447" s="270">
        <f>IF(OR(N(Database!$BH447)&lt;=0,N(Screener!$D$13)&lt;=0),0,MAX(0,1-ABS(LOG10(N(Database!$BH447)/Screener!$D$13))/W_PEHW))</f>
        <v/>
      </c>
      <c r="J447" s="270">
        <f>IF(OR(N(Database!$S447)&lt;=0,N(Screener!$D$14)&lt;=0),0,MAX(0,1-ABS(LOG10(Database!$S447/Screener!$D$14))/0.6))</f>
        <v/>
      </c>
      <c r="K447" s="270">
        <f>IF(Database!$B447=Screener!$B$5,-999999,IF(ISNUMBER(SEARCH(","&amp;Database!$A447&amp;",",","&amp;SUBSTITUTE(Screener!$D$17," ","")&amp;",")),2000000,IF(IF(OR(Screener!$B$18="All",AND(Screener!$B$18="With A-share",(Database!$BM447="Y")),AND(Screener!$B$18="Without A-share",NOT((Database!$BM447="Y")))),1,0)=0,-999999,IF(Screener!$B$16="cornerstone overlap first",H447*100000,IF(Screener!$B$16="demand-similar first",J447*100000,0))+W_SUB*B447+W_SEC*C447*(1-B447)+W_SIZE*D447+W_PROF*E447+W_AH*F447+W_REC*G447+W_CS*H447+W_PE*I447)))+ROW()/1000000</f>
        <v/>
      </c>
      <c r="AA447" s="270">
        <f>Database!B436</f>
        <v/>
      </c>
      <c r="AB447" s="270">
        <f>Database!D436</f>
        <v/>
      </c>
      <c r="AC447" s="270">
        <f>Database!E436</f>
        <v/>
      </c>
      <c r="AD447" s="270">
        <f>Database!I436</f>
        <v/>
      </c>
      <c r="AE447" s="270">
        <f>Database!BG436</f>
        <v/>
      </c>
      <c r="AF447" s="270">
        <f>Database!BM436</f>
        <v/>
      </c>
      <c r="AG447" s="270">
        <f>Database!H436</f>
        <v/>
      </c>
      <c r="AH447" s="270">
        <f>Database!BH436</f>
        <v/>
      </c>
    </row>
    <row r="448">
      <c r="A448" s="270">
        <f>Database!B448</f>
        <v/>
      </c>
      <c r="B448" s="270">
        <f>IF(AND(Screener!$D$8&lt;&gt;"",Database!$E448=Screener!$D$8),1,0)</f>
        <v/>
      </c>
      <c r="C448" s="270">
        <f>IF(AND(Screener!$D$7&lt;&gt;"",Database!$D448=Screener!$D$7),1,0)</f>
        <v/>
      </c>
      <c r="D448" s="270">
        <f>IF(OR(N(Database!$I448)&lt;=0,N(Screener!$D$9)&lt;=0),0,MAX(0,1-ABS(LOG10(N(Database!$I448)/Screener!$D$9))/W_SIZEHW))</f>
        <v/>
      </c>
      <c r="E448" s="270">
        <f>IF(OR(Database!$BG448="",Screener!$D$10=""),0,IF(Database!$BG448=Screener!$D$10,1,0))</f>
        <v/>
      </c>
      <c r="F448" s="270">
        <f>IF(OR(Database!$BM448="",Screener!$D$11=""),0,IF(Database!$BM448=Screener!$D$11,1,0))</f>
        <v/>
      </c>
      <c r="G448" s="270">
        <f>IF(OR(Database!$H448="",N(Screener!$D$12)&lt;=0),0,MAX(0,1-(N(Screener!$D$12)-Database!$H448)/W_RECD))</f>
        <v/>
      </c>
      <c r="H448" s="270">
        <f>IF($U$1="",0,N(ISNUMBER(SEARCH($U$1,Database!$AC448&amp;""))))+IF($V$1="",0,N(ISNUMBER(SEARCH($V$1,Database!$AC448&amp;""))))+IF($W$1="",0,N(ISNUMBER(SEARCH($W$1,Database!$AC448&amp;""))))+IF($X$1="",0,N(ISNUMBER(SEARCH($X$1,Database!$AC448&amp;""))))+IF($Y$1="",0,N(ISNUMBER(SEARCH($Y$1,Database!$AC448&amp;""))))+IF(Screener!$B$17="",0,N(ISNUMBER(SEARCH(LOWER(Screener!$B$17),Database!$AC448&amp;""))))</f>
        <v/>
      </c>
      <c r="I448" s="270">
        <f>IF(OR(N(Database!$BH448)&lt;=0,N(Screener!$D$13)&lt;=0),0,MAX(0,1-ABS(LOG10(N(Database!$BH448)/Screener!$D$13))/W_PEHW))</f>
        <v/>
      </c>
      <c r="J448" s="270">
        <f>IF(OR(N(Database!$S448)&lt;=0,N(Screener!$D$14)&lt;=0),0,MAX(0,1-ABS(LOG10(Database!$S448/Screener!$D$14))/0.6))</f>
        <v/>
      </c>
      <c r="K448" s="270">
        <f>IF(Database!$B448=Screener!$B$5,-999999,IF(ISNUMBER(SEARCH(","&amp;Database!$A448&amp;",",","&amp;SUBSTITUTE(Screener!$D$17," ","")&amp;",")),2000000,IF(IF(OR(Screener!$B$18="All",AND(Screener!$B$18="With A-share",(Database!$BM448="Y")),AND(Screener!$B$18="Without A-share",NOT((Database!$BM448="Y")))),1,0)=0,-999999,IF(Screener!$B$16="cornerstone overlap first",H448*100000,IF(Screener!$B$16="demand-similar first",J448*100000,0))+W_SUB*B448+W_SEC*C448*(1-B448)+W_SIZE*D448+W_PROF*E448+W_AH*F448+W_REC*G448+W_CS*H448+W_PE*I448)))+ROW()/1000000</f>
        <v/>
      </c>
      <c r="AA448" s="270">
        <f>Database!B437</f>
        <v/>
      </c>
      <c r="AB448" s="270">
        <f>Database!D437</f>
        <v/>
      </c>
      <c r="AC448" s="270">
        <f>Database!E437</f>
        <v/>
      </c>
      <c r="AD448" s="270">
        <f>Database!I437</f>
        <v/>
      </c>
      <c r="AE448" s="270">
        <f>Database!BG437</f>
        <v/>
      </c>
      <c r="AF448" s="270">
        <f>Database!BM437</f>
        <v/>
      </c>
      <c r="AG448" s="270">
        <f>Database!H437</f>
        <v/>
      </c>
      <c r="AH448" s="270">
        <f>Database!BH437</f>
        <v/>
      </c>
    </row>
    <row r="449">
      <c r="A449" s="270">
        <f>Database!B449</f>
        <v/>
      </c>
      <c r="B449" s="270">
        <f>IF(AND(Screener!$D$8&lt;&gt;"",Database!$E449=Screener!$D$8),1,0)</f>
        <v/>
      </c>
      <c r="C449" s="270">
        <f>IF(AND(Screener!$D$7&lt;&gt;"",Database!$D449=Screener!$D$7),1,0)</f>
        <v/>
      </c>
      <c r="D449" s="270">
        <f>IF(OR(N(Database!$I449)&lt;=0,N(Screener!$D$9)&lt;=0),0,MAX(0,1-ABS(LOG10(N(Database!$I449)/Screener!$D$9))/W_SIZEHW))</f>
        <v/>
      </c>
      <c r="E449" s="270">
        <f>IF(OR(Database!$BG449="",Screener!$D$10=""),0,IF(Database!$BG449=Screener!$D$10,1,0))</f>
        <v/>
      </c>
      <c r="F449" s="270">
        <f>IF(OR(Database!$BM449="",Screener!$D$11=""),0,IF(Database!$BM449=Screener!$D$11,1,0))</f>
        <v/>
      </c>
      <c r="G449" s="270">
        <f>IF(OR(Database!$H449="",N(Screener!$D$12)&lt;=0),0,MAX(0,1-(N(Screener!$D$12)-Database!$H449)/W_RECD))</f>
        <v/>
      </c>
      <c r="H449" s="270">
        <f>IF($U$1="",0,N(ISNUMBER(SEARCH($U$1,Database!$AC449&amp;""))))+IF($V$1="",0,N(ISNUMBER(SEARCH($V$1,Database!$AC449&amp;""))))+IF($W$1="",0,N(ISNUMBER(SEARCH($W$1,Database!$AC449&amp;""))))+IF($X$1="",0,N(ISNUMBER(SEARCH($X$1,Database!$AC449&amp;""))))+IF($Y$1="",0,N(ISNUMBER(SEARCH($Y$1,Database!$AC449&amp;""))))+IF(Screener!$B$17="",0,N(ISNUMBER(SEARCH(LOWER(Screener!$B$17),Database!$AC449&amp;""))))</f>
        <v/>
      </c>
      <c r="I449" s="270">
        <f>IF(OR(N(Database!$BH449)&lt;=0,N(Screener!$D$13)&lt;=0),0,MAX(0,1-ABS(LOG10(N(Database!$BH449)/Screener!$D$13))/W_PEHW))</f>
        <v/>
      </c>
      <c r="J449" s="270">
        <f>IF(OR(N(Database!$S449)&lt;=0,N(Screener!$D$14)&lt;=0),0,MAX(0,1-ABS(LOG10(Database!$S449/Screener!$D$14))/0.6))</f>
        <v/>
      </c>
      <c r="K449" s="270">
        <f>IF(Database!$B449=Screener!$B$5,-999999,IF(ISNUMBER(SEARCH(","&amp;Database!$A449&amp;",",","&amp;SUBSTITUTE(Screener!$D$17," ","")&amp;",")),2000000,IF(IF(OR(Screener!$B$18="All",AND(Screener!$B$18="With A-share",(Database!$BM449="Y")),AND(Screener!$B$18="Without A-share",NOT((Database!$BM449="Y")))),1,0)=0,-999999,IF(Screener!$B$16="cornerstone overlap first",H449*100000,IF(Screener!$B$16="demand-similar first",J449*100000,0))+W_SUB*B449+W_SEC*C449*(1-B449)+W_SIZE*D449+W_PROF*E449+W_AH*F449+W_REC*G449+W_CS*H449+W_PE*I449)))+ROW()/1000000</f>
        <v/>
      </c>
      <c r="AA449" s="270">
        <f>Database!B438</f>
        <v/>
      </c>
      <c r="AB449" s="270">
        <f>Database!D438</f>
        <v/>
      </c>
      <c r="AC449" s="270">
        <f>Database!E438</f>
        <v/>
      </c>
      <c r="AD449" s="270">
        <f>Database!I438</f>
        <v/>
      </c>
      <c r="AE449" s="270">
        <f>Database!BG438</f>
        <v/>
      </c>
      <c r="AF449" s="270">
        <f>Database!BM438</f>
        <v/>
      </c>
      <c r="AG449" s="270">
        <f>Database!H438</f>
        <v/>
      </c>
      <c r="AH449" s="270">
        <f>Database!BH438</f>
        <v/>
      </c>
    </row>
    <row r="450">
      <c r="A450" s="270">
        <f>Database!B450</f>
        <v/>
      </c>
      <c r="B450" s="270">
        <f>IF(AND(Screener!$D$8&lt;&gt;"",Database!$E450=Screener!$D$8),1,0)</f>
        <v/>
      </c>
      <c r="C450" s="270">
        <f>IF(AND(Screener!$D$7&lt;&gt;"",Database!$D450=Screener!$D$7),1,0)</f>
        <v/>
      </c>
      <c r="D450" s="270">
        <f>IF(OR(N(Database!$I450)&lt;=0,N(Screener!$D$9)&lt;=0),0,MAX(0,1-ABS(LOG10(N(Database!$I450)/Screener!$D$9))/W_SIZEHW))</f>
        <v/>
      </c>
      <c r="E450" s="270">
        <f>IF(OR(Database!$BG450="",Screener!$D$10=""),0,IF(Database!$BG450=Screener!$D$10,1,0))</f>
        <v/>
      </c>
      <c r="F450" s="270">
        <f>IF(OR(Database!$BM450="",Screener!$D$11=""),0,IF(Database!$BM450=Screener!$D$11,1,0))</f>
        <v/>
      </c>
      <c r="G450" s="270">
        <f>IF(OR(Database!$H450="",N(Screener!$D$12)&lt;=0),0,MAX(0,1-(N(Screener!$D$12)-Database!$H450)/W_RECD))</f>
        <v/>
      </c>
      <c r="H450" s="270">
        <f>IF($U$1="",0,N(ISNUMBER(SEARCH($U$1,Database!$AC450&amp;""))))+IF($V$1="",0,N(ISNUMBER(SEARCH($V$1,Database!$AC450&amp;""))))+IF($W$1="",0,N(ISNUMBER(SEARCH($W$1,Database!$AC450&amp;""))))+IF($X$1="",0,N(ISNUMBER(SEARCH($X$1,Database!$AC450&amp;""))))+IF($Y$1="",0,N(ISNUMBER(SEARCH($Y$1,Database!$AC450&amp;""))))+IF(Screener!$B$17="",0,N(ISNUMBER(SEARCH(LOWER(Screener!$B$17),Database!$AC450&amp;""))))</f>
        <v/>
      </c>
      <c r="I450" s="270">
        <f>IF(OR(N(Database!$BH450)&lt;=0,N(Screener!$D$13)&lt;=0),0,MAX(0,1-ABS(LOG10(N(Database!$BH450)/Screener!$D$13))/W_PEHW))</f>
        <v/>
      </c>
      <c r="J450" s="270">
        <f>IF(OR(N(Database!$S450)&lt;=0,N(Screener!$D$14)&lt;=0),0,MAX(0,1-ABS(LOG10(Database!$S450/Screener!$D$14))/0.6))</f>
        <v/>
      </c>
      <c r="K450" s="270">
        <f>IF(Database!$B450=Screener!$B$5,-999999,IF(ISNUMBER(SEARCH(","&amp;Database!$A450&amp;",",","&amp;SUBSTITUTE(Screener!$D$17," ","")&amp;",")),2000000,IF(IF(OR(Screener!$B$18="All",AND(Screener!$B$18="With A-share",(Database!$BM450="Y")),AND(Screener!$B$18="Without A-share",NOT((Database!$BM450="Y")))),1,0)=0,-999999,IF(Screener!$B$16="cornerstone overlap first",H450*100000,IF(Screener!$B$16="demand-similar first",J450*100000,0))+W_SUB*B450+W_SEC*C450*(1-B450)+W_SIZE*D450+W_PROF*E450+W_AH*F450+W_REC*G450+W_CS*H450+W_PE*I450)))+ROW()/1000000</f>
        <v/>
      </c>
      <c r="AA450" s="270">
        <f>Database!B439</f>
        <v/>
      </c>
      <c r="AB450" s="270">
        <f>Database!D439</f>
        <v/>
      </c>
      <c r="AC450" s="270">
        <f>Database!E439</f>
        <v/>
      </c>
      <c r="AD450" s="270">
        <f>Database!I439</f>
        <v/>
      </c>
      <c r="AE450" s="270">
        <f>Database!BG439</f>
        <v/>
      </c>
      <c r="AF450" s="270">
        <f>Database!BM439</f>
        <v/>
      </c>
      <c r="AG450" s="270">
        <f>Database!H439</f>
        <v/>
      </c>
      <c r="AH450" s="270">
        <f>Database!BH439</f>
        <v/>
      </c>
    </row>
    <row r="451">
      <c r="A451" s="270">
        <f>Database!B451</f>
        <v/>
      </c>
      <c r="B451" s="270">
        <f>IF(AND(Screener!$D$8&lt;&gt;"",Database!$E451=Screener!$D$8),1,0)</f>
        <v/>
      </c>
      <c r="C451" s="270">
        <f>IF(AND(Screener!$D$7&lt;&gt;"",Database!$D451=Screener!$D$7),1,0)</f>
        <v/>
      </c>
      <c r="D451" s="270">
        <f>IF(OR(N(Database!$I451)&lt;=0,N(Screener!$D$9)&lt;=0),0,MAX(0,1-ABS(LOG10(N(Database!$I451)/Screener!$D$9))/W_SIZEHW))</f>
        <v/>
      </c>
      <c r="E451" s="270">
        <f>IF(OR(Database!$BG451="",Screener!$D$10=""),0,IF(Database!$BG451=Screener!$D$10,1,0))</f>
        <v/>
      </c>
      <c r="F451" s="270">
        <f>IF(OR(Database!$BM451="",Screener!$D$11=""),0,IF(Database!$BM451=Screener!$D$11,1,0))</f>
        <v/>
      </c>
      <c r="G451" s="270">
        <f>IF(OR(Database!$H451="",N(Screener!$D$12)&lt;=0),0,MAX(0,1-(N(Screener!$D$12)-Database!$H451)/W_RECD))</f>
        <v/>
      </c>
      <c r="H451" s="270">
        <f>IF($U$1="",0,N(ISNUMBER(SEARCH($U$1,Database!$AC451&amp;""))))+IF($V$1="",0,N(ISNUMBER(SEARCH($V$1,Database!$AC451&amp;""))))+IF($W$1="",0,N(ISNUMBER(SEARCH($W$1,Database!$AC451&amp;""))))+IF($X$1="",0,N(ISNUMBER(SEARCH($X$1,Database!$AC451&amp;""))))+IF($Y$1="",0,N(ISNUMBER(SEARCH($Y$1,Database!$AC451&amp;""))))+IF(Screener!$B$17="",0,N(ISNUMBER(SEARCH(LOWER(Screener!$B$17),Database!$AC451&amp;""))))</f>
        <v/>
      </c>
      <c r="I451" s="270">
        <f>IF(OR(N(Database!$BH451)&lt;=0,N(Screener!$D$13)&lt;=0),0,MAX(0,1-ABS(LOG10(N(Database!$BH451)/Screener!$D$13))/W_PEHW))</f>
        <v/>
      </c>
      <c r="J451" s="270">
        <f>IF(OR(N(Database!$S451)&lt;=0,N(Screener!$D$14)&lt;=0),0,MAX(0,1-ABS(LOG10(Database!$S451/Screener!$D$14))/0.6))</f>
        <v/>
      </c>
      <c r="K451" s="270">
        <f>IF(Database!$B451=Screener!$B$5,-999999,IF(ISNUMBER(SEARCH(","&amp;Database!$A451&amp;",",","&amp;SUBSTITUTE(Screener!$D$17," ","")&amp;",")),2000000,IF(IF(OR(Screener!$B$18="All",AND(Screener!$B$18="With A-share",(Database!$BM451="Y")),AND(Screener!$B$18="Without A-share",NOT((Database!$BM451="Y")))),1,0)=0,-999999,IF(Screener!$B$16="cornerstone overlap first",H451*100000,IF(Screener!$B$16="demand-similar first",J451*100000,0))+W_SUB*B451+W_SEC*C451*(1-B451)+W_SIZE*D451+W_PROF*E451+W_AH*F451+W_REC*G451+W_CS*H451+W_PE*I451)))+ROW()/1000000</f>
        <v/>
      </c>
      <c r="AA451" s="270">
        <f>Database!B440</f>
        <v/>
      </c>
      <c r="AB451" s="270">
        <f>Database!D440</f>
        <v/>
      </c>
      <c r="AC451" s="270">
        <f>Database!E440</f>
        <v/>
      </c>
      <c r="AD451" s="270">
        <f>Database!I440</f>
        <v/>
      </c>
      <c r="AE451" s="270">
        <f>Database!BG440</f>
        <v/>
      </c>
      <c r="AF451" s="270">
        <f>Database!BM440</f>
        <v/>
      </c>
      <c r="AG451" s="270">
        <f>Database!H440</f>
        <v/>
      </c>
      <c r="AH451" s="270">
        <f>Database!BH440</f>
        <v/>
      </c>
    </row>
    <row r="452">
      <c r="A452" s="270">
        <f>Database!B452</f>
        <v/>
      </c>
      <c r="B452" s="270">
        <f>IF(AND(Screener!$D$8&lt;&gt;"",Database!$E452=Screener!$D$8),1,0)</f>
        <v/>
      </c>
      <c r="C452" s="270">
        <f>IF(AND(Screener!$D$7&lt;&gt;"",Database!$D452=Screener!$D$7),1,0)</f>
        <v/>
      </c>
      <c r="D452" s="270">
        <f>IF(OR(N(Database!$I452)&lt;=0,N(Screener!$D$9)&lt;=0),0,MAX(0,1-ABS(LOG10(N(Database!$I452)/Screener!$D$9))/W_SIZEHW))</f>
        <v/>
      </c>
      <c r="E452" s="270">
        <f>IF(OR(Database!$BG452="",Screener!$D$10=""),0,IF(Database!$BG452=Screener!$D$10,1,0))</f>
        <v/>
      </c>
      <c r="F452" s="270">
        <f>IF(OR(Database!$BM452="",Screener!$D$11=""),0,IF(Database!$BM452=Screener!$D$11,1,0))</f>
        <v/>
      </c>
      <c r="G452" s="270">
        <f>IF(OR(Database!$H452="",N(Screener!$D$12)&lt;=0),0,MAX(0,1-(N(Screener!$D$12)-Database!$H452)/W_RECD))</f>
        <v/>
      </c>
      <c r="H452" s="270">
        <f>IF($U$1="",0,N(ISNUMBER(SEARCH($U$1,Database!$AC452&amp;""))))+IF($V$1="",0,N(ISNUMBER(SEARCH($V$1,Database!$AC452&amp;""))))+IF($W$1="",0,N(ISNUMBER(SEARCH($W$1,Database!$AC452&amp;""))))+IF($X$1="",0,N(ISNUMBER(SEARCH($X$1,Database!$AC452&amp;""))))+IF($Y$1="",0,N(ISNUMBER(SEARCH($Y$1,Database!$AC452&amp;""))))+IF(Screener!$B$17="",0,N(ISNUMBER(SEARCH(LOWER(Screener!$B$17),Database!$AC452&amp;""))))</f>
        <v/>
      </c>
      <c r="I452" s="270">
        <f>IF(OR(N(Database!$BH452)&lt;=0,N(Screener!$D$13)&lt;=0),0,MAX(0,1-ABS(LOG10(N(Database!$BH452)/Screener!$D$13))/W_PEHW))</f>
        <v/>
      </c>
      <c r="J452" s="270">
        <f>IF(OR(N(Database!$S452)&lt;=0,N(Screener!$D$14)&lt;=0),0,MAX(0,1-ABS(LOG10(Database!$S452/Screener!$D$14))/0.6))</f>
        <v/>
      </c>
      <c r="K452" s="270">
        <f>IF(Database!$B452=Screener!$B$5,-999999,IF(ISNUMBER(SEARCH(","&amp;Database!$A452&amp;",",","&amp;SUBSTITUTE(Screener!$D$17," ","")&amp;",")),2000000,IF(IF(OR(Screener!$B$18="All",AND(Screener!$B$18="With A-share",(Database!$BM452="Y")),AND(Screener!$B$18="Without A-share",NOT((Database!$BM452="Y")))),1,0)=0,-999999,IF(Screener!$B$16="cornerstone overlap first",H452*100000,IF(Screener!$B$16="demand-similar first",J452*100000,0))+W_SUB*B452+W_SEC*C452*(1-B452)+W_SIZE*D452+W_PROF*E452+W_AH*F452+W_REC*G452+W_CS*H452+W_PE*I452)))+ROW()/1000000</f>
        <v/>
      </c>
      <c r="AA452" s="270">
        <f>Database!B441</f>
        <v/>
      </c>
      <c r="AB452" s="270">
        <f>Database!D441</f>
        <v/>
      </c>
      <c r="AC452" s="270">
        <f>Database!E441</f>
        <v/>
      </c>
      <c r="AD452" s="270">
        <f>Database!I441</f>
        <v/>
      </c>
      <c r="AE452" s="270">
        <f>Database!BG441</f>
        <v/>
      </c>
      <c r="AF452" s="270">
        <f>Database!BM441</f>
        <v/>
      </c>
      <c r="AG452" s="270">
        <f>Database!H441</f>
        <v/>
      </c>
      <c r="AH452" s="270">
        <f>Database!BH441</f>
        <v/>
      </c>
    </row>
    <row r="453">
      <c r="A453" s="270">
        <f>Database!B453</f>
        <v/>
      </c>
      <c r="B453" s="270">
        <f>IF(AND(Screener!$D$8&lt;&gt;"",Database!$E453=Screener!$D$8),1,0)</f>
        <v/>
      </c>
      <c r="C453" s="270">
        <f>IF(AND(Screener!$D$7&lt;&gt;"",Database!$D453=Screener!$D$7),1,0)</f>
        <v/>
      </c>
      <c r="D453" s="270">
        <f>IF(OR(N(Database!$I453)&lt;=0,N(Screener!$D$9)&lt;=0),0,MAX(0,1-ABS(LOG10(N(Database!$I453)/Screener!$D$9))/W_SIZEHW))</f>
        <v/>
      </c>
      <c r="E453" s="270">
        <f>IF(OR(Database!$BG453="",Screener!$D$10=""),0,IF(Database!$BG453=Screener!$D$10,1,0))</f>
        <v/>
      </c>
      <c r="F453" s="270">
        <f>IF(OR(Database!$BM453="",Screener!$D$11=""),0,IF(Database!$BM453=Screener!$D$11,1,0))</f>
        <v/>
      </c>
      <c r="G453" s="270">
        <f>IF(OR(Database!$H453="",N(Screener!$D$12)&lt;=0),0,MAX(0,1-(N(Screener!$D$12)-Database!$H453)/W_RECD))</f>
        <v/>
      </c>
      <c r="H453" s="270">
        <f>IF($U$1="",0,N(ISNUMBER(SEARCH($U$1,Database!$AC453&amp;""))))+IF($V$1="",0,N(ISNUMBER(SEARCH($V$1,Database!$AC453&amp;""))))+IF($W$1="",0,N(ISNUMBER(SEARCH($W$1,Database!$AC453&amp;""))))+IF($X$1="",0,N(ISNUMBER(SEARCH($X$1,Database!$AC453&amp;""))))+IF($Y$1="",0,N(ISNUMBER(SEARCH($Y$1,Database!$AC453&amp;""))))+IF(Screener!$B$17="",0,N(ISNUMBER(SEARCH(LOWER(Screener!$B$17),Database!$AC453&amp;""))))</f>
        <v/>
      </c>
      <c r="I453" s="270">
        <f>IF(OR(N(Database!$BH453)&lt;=0,N(Screener!$D$13)&lt;=0),0,MAX(0,1-ABS(LOG10(N(Database!$BH453)/Screener!$D$13))/W_PEHW))</f>
        <v/>
      </c>
      <c r="J453" s="270">
        <f>IF(OR(N(Database!$S453)&lt;=0,N(Screener!$D$14)&lt;=0),0,MAX(0,1-ABS(LOG10(Database!$S453/Screener!$D$14))/0.6))</f>
        <v/>
      </c>
      <c r="K453" s="270">
        <f>IF(Database!$B453=Screener!$B$5,-999999,IF(ISNUMBER(SEARCH(","&amp;Database!$A453&amp;",",","&amp;SUBSTITUTE(Screener!$D$17," ","")&amp;",")),2000000,IF(IF(OR(Screener!$B$18="All",AND(Screener!$B$18="With A-share",(Database!$BM453="Y")),AND(Screener!$B$18="Without A-share",NOT((Database!$BM453="Y")))),1,0)=0,-999999,IF(Screener!$B$16="cornerstone overlap first",H453*100000,IF(Screener!$B$16="demand-similar first",J453*100000,0))+W_SUB*B453+W_SEC*C453*(1-B453)+W_SIZE*D453+W_PROF*E453+W_AH*F453+W_REC*G453+W_CS*H453+W_PE*I453)))+ROW()/1000000</f>
        <v/>
      </c>
      <c r="AA453" s="270">
        <f>Database!B442</f>
        <v/>
      </c>
      <c r="AB453" s="270">
        <f>Database!D442</f>
        <v/>
      </c>
      <c r="AC453" s="270">
        <f>Database!E442</f>
        <v/>
      </c>
      <c r="AD453" s="270">
        <f>Database!I442</f>
        <v/>
      </c>
      <c r="AE453" s="270">
        <f>Database!BG442</f>
        <v/>
      </c>
      <c r="AF453" s="270">
        <f>Database!BM442</f>
        <v/>
      </c>
      <c r="AG453" s="270">
        <f>Database!H442</f>
        <v/>
      </c>
      <c r="AH453" s="270">
        <f>Database!BH442</f>
        <v/>
      </c>
    </row>
    <row r="454">
      <c r="A454" s="270">
        <f>Database!B454</f>
        <v/>
      </c>
      <c r="B454" s="270">
        <f>IF(AND(Screener!$D$8&lt;&gt;"",Database!$E454=Screener!$D$8),1,0)</f>
        <v/>
      </c>
      <c r="C454" s="270">
        <f>IF(AND(Screener!$D$7&lt;&gt;"",Database!$D454=Screener!$D$7),1,0)</f>
        <v/>
      </c>
      <c r="D454" s="270">
        <f>IF(OR(N(Database!$I454)&lt;=0,N(Screener!$D$9)&lt;=0),0,MAX(0,1-ABS(LOG10(N(Database!$I454)/Screener!$D$9))/W_SIZEHW))</f>
        <v/>
      </c>
      <c r="E454" s="270">
        <f>IF(OR(Database!$BG454="",Screener!$D$10=""),0,IF(Database!$BG454=Screener!$D$10,1,0))</f>
        <v/>
      </c>
      <c r="F454" s="270">
        <f>IF(OR(Database!$BM454="",Screener!$D$11=""),0,IF(Database!$BM454=Screener!$D$11,1,0))</f>
        <v/>
      </c>
      <c r="G454" s="270">
        <f>IF(OR(Database!$H454="",N(Screener!$D$12)&lt;=0),0,MAX(0,1-(N(Screener!$D$12)-Database!$H454)/W_RECD))</f>
        <v/>
      </c>
      <c r="H454" s="270">
        <f>IF($U$1="",0,N(ISNUMBER(SEARCH($U$1,Database!$AC454&amp;""))))+IF($V$1="",0,N(ISNUMBER(SEARCH($V$1,Database!$AC454&amp;""))))+IF($W$1="",0,N(ISNUMBER(SEARCH($W$1,Database!$AC454&amp;""))))+IF($X$1="",0,N(ISNUMBER(SEARCH($X$1,Database!$AC454&amp;""))))+IF($Y$1="",0,N(ISNUMBER(SEARCH($Y$1,Database!$AC454&amp;""))))+IF(Screener!$B$17="",0,N(ISNUMBER(SEARCH(LOWER(Screener!$B$17),Database!$AC454&amp;""))))</f>
        <v/>
      </c>
      <c r="I454" s="270">
        <f>IF(OR(N(Database!$BH454)&lt;=0,N(Screener!$D$13)&lt;=0),0,MAX(0,1-ABS(LOG10(N(Database!$BH454)/Screener!$D$13))/W_PEHW))</f>
        <v/>
      </c>
      <c r="J454" s="270">
        <f>IF(OR(N(Database!$S454)&lt;=0,N(Screener!$D$14)&lt;=0),0,MAX(0,1-ABS(LOG10(Database!$S454/Screener!$D$14))/0.6))</f>
        <v/>
      </c>
      <c r="K454" s="270">
        <f>IF(Database!$B454=Screener!$B$5,-999999,IF(ISNUMBER(SEARCH(","&amp;Database!$A454&amp;",",","&amp;SUBSTITUTE(Screener!$D$17," ","")&amp;",")),2000000,IF(IF(OR(Screener!$B$18="All",AND(Screener!$B$18="With A-share",(Database!$BM454="Y")),AND(Screener!$B$18="Without A-share",NOT((Database!$BM454="Y")))),1,0)=0,-999999,IF(Screener!$B$16="cornerstone overlap first",H454*100000,IF(Screener!$B$16="demand-similar first",J454*100000,0))+W_SUB*B454+W_SEC*C454*(1-B454)+W_SIZE*D454+W_PROF*E454+W_AH*F454+W_REC*G454+W_CS*H454+W_PE*I454)))+ROW()/1000000</f>
        <v/>
      </c>
      <c r="AA454" s="270">
        <f>Database!B443</f>
        <v/>
      </c>
      <c r="AB454" s="270">
        <f>Database!D443</f>
        <v/>
      </c>
      <c r="AC454" s="270">
        <f>Database!E443</f>
        <v/>
      </c>
      <c r="AD454" s="270">
        <f>Database!I443</f>
        <v/>
      </c>
      <c r="AE454" s="270">
        <f>Database!BG443</f>
        <v/>
      </c>
      <c r="AF454" s="270">
        <f>Database!BM443</f>
        <v/>
      </c>
      <c r="AG454" s="270">
        <f>Database!H443</f>
        <v/>
      </c>
      <c r="AH454" s="270">
        <f>Database!BH443</f>
        <v/>
      </c>
    </row>
    <row r="455">
      <c r="A455" s="270">
        <f>Database!B455</f>
        <v/>
      </c>
      <c r="B455" s="270">
        <f>IF(AND(Screener!$D$8&lt;&gt;"",Database!$E455=Screener!$D$8),1,0)</f>
        <v/>
      </c>
      <c r="C455" s="270">
        <f>IF(AND(Screener!$D$7&lt;&gt;"",Database!$D455=Screener!$D$7),1,0)</f>
        <v/>
      </c>
      <c r="D455" s="270">
        <f>IF(OR(N(Database!$I455)&lt;=0,N(Screener!$D$9)&lt;=0),0,MAX(0,1-ABS(LOG10(N(Database!$I455)/Screener!$D$9))/W_SIZEHW))</f>
        <v/>
      </c>
      <c r="E455" s="270">
        <f>IF(OR(Database!$BG455="",Screener!$D$10=""),0,IF(Database!$BG455=Screener!$D$10,1,0))</f>
        <v/>
      </c>
      <c r="F455" s="270">
        <f>IF(OR(Database!$BM455="",Screener!$D$11=""),0,IF(Database!$BM455=Screener!$D$11,1,0))</f>
        <v/>
      </c>
      <c r="G455" s="270">
        <f>IF(OR(Database!$H455="",N(Screener!$D$12)&lt;=0),0,MAX(0,1-(N(Screener!$D$12)-Database!$H455)/W_RECD))</f>
        <v/>
      </c>
      <c r="H455" s="270">
        <f>IF($U$1="",0,N(ISNUMBER(SEARCH($U$1,Database!$AC455&amp;""))))+IF($V$1="",0,N(ISNUMBER(SEARCH($V$1,Database!$AC455&amp;""))))+IF($W$1="",0,N(ISNUMBER(SEARCH($W$1,Database!$AC455&amp;""))))+IF($X$1="",0,N(ISNUMBER(SEARCH($X$1,Database!$AC455&amp;""))))+IF($Y$1="",0,N(ISNUMBER(SEARCH($Y$1,Database!$AC455&amp;""))))+IF(Screener!$B$17="",0,N(ISNUMBER(SEARCH(LOWER(Screener!$B$17),Database!$AC455&amp;""))))</f>
        <v/>
      </c>
      <c r="I455" s="270">
        <f>IF(OR(N(Database!$BH455)&lt;=0,N(Screener!$D$13)&lt;=0),0,MAX(0,1-ABS(LOG10(N(Database!$BH455)/Screener!$D$13))/W_PEHW))</f>
        <v/>
      </c>
      <c r="J455" s="270">
        <f>IF(OR(N(Database!$S455)&lt;=0,N(Screener!$D$14)&lt;=0),0,MAX(0,1-ABS(LOG10(Database!$S455/Screener!$D$14))/0.6))</f>
        <v/>
      </c>
      <c r="K455" s="270">
        <f>IF(Database!$B455=Screener!$B$5,-999999,IF(ISNUMBER(SEARCH(","&amp;Database!$A455&amp;",",","&amp;SUBSTITUTE(Screener!$D$17," ","")&amp;",")),2000000,IF(IF(OR(Screener!$B$18="All",AND(Screener!$B$18="With A-share",(Database!$BM455="Y")),AND(Screener!$B$18="Without A-share",NOT((Database!$BM455="Y")))),1,0)=0,-999999,IF(Screener!$B$16="cornerstone overlap first",H455*100000,IF(Screener!$B$16="demand-similar first",J455*100000,0))+W_SUB*B455+W_SEC*C455*(1-B455)+W_SIZE*D455+W_PROF*E455+W_AH*F455+W_REC*G455+W_CS*H455+W_PE*I455)))+ROW()/1000000</f>
        <v/>
      </c>
      <c r="AA455" s="270">
        <f>Database!B444</f>
        <v/>
      </c>
      <c r="AB455" s="270">
        <f>Database!D444</f>
        <v/>
      </c>
      <c r="AC455" s="270">
        <f>Database!E444</f>
        <v/>
      </c>
      <c r="AD455" s="270">
        <f>Database!I444</f>
        <v/>
      </c>
      <c r="AE455" s="270">
        <f>Database!BG444</f>
        <v/>
      </c>
      <c r="AF455" s="270">
        <f>Database!BM444</f>
        <v/>
      </c>
      <c r="AG455" s="270">
        <f>Database!H444</f>
        <v/>
      </c>
      <c r="AH455" s="270">
        <f>Database!BH444</f>
        <v/>
      </c>
    </row>
    <row r="456">
      <c r="A456" s="270">
        <f>Database!B456</f>
        <v/>
      </c>
      <c r="B456" s="270">
        <f>IF(AND(Screener!$D$8&lt;&gt;"",Database!$E456=Screener!$D$8),1,0)</f>
        <v/>
      </c>
      <c r="C456" s="270">
        <f>IF(AND(Screener!$D$7&lt;&gt;"",Database!$D456=Screener!$D$7),1,0)</f>
        <v/>
      </c>
      <c r="D456" s="270">
        <f>IF(OR(N(Database!$I456)&lt;=0,N(Screener!$D$9)&lt;=0),0,MAX(0,1-ABS(LOG10(N(Database!$I456)/Screener!$D$9))/W_SIZEHW))</f>
        <v/>
      </c>
      <c r="E456" s="270">
        <f>IF(OR(Database!$BG456="",Screener!$D$10=""),0,IF(Database!$BG456=Screener!$D$10,1,0))</f>
        <v/>
      </c>
      <c r="F456" s="270">
        <f>IF(OR(Database!$BM456="",Screener!$D$11=""),0,IF(Database!$BM456=Screener!$D$11,1,0))</f>
        <v/>
      </c>
      <c r="G456" s="270">
        <f>IF(OR(Database!$H456="",N(Screener!$D$12)&lt;=0),0,MAX(0,1-(N(Screener!$D$12)-Database!$H456)/W_RECD))</f>
        <v/>
      </c>
      <c r="H456" s="270">
        <f>IF($U$1="",0,N(ISNUMBER(SEARCH($U$1,Database!$AC456&amp;""))))+IF($V$1="",0,N(ISNUMBER(SEARCH($V$1,Database!$AC456&amp;""))))+IF($W$1="",0,N(ISNUMBER(SEARCH($W$1,Database!$AC456&amp;""))))+IF($X$1="",0,N(ISNUMBER(SEARCH($X$1,Database!$AC456&amp;""))))+IF($Y$1="",0,N(ISNUMBER(SEARCH($Y$1,Database!$AC456&amp;""))))+IF(Screener!$B$17="",0,N(ISNUMBER(SEARCH(LOWER(Screener!$B$17),Database!$AC456&amp;""))))</f>
        <v/>
      </c>
      <c r="I456" s="270">
        <f>IF(OR(N(Database!$BH456)&lt;=0,N(Screener!$D$13)&lt;=0),0,MAX(0,1-ABS(LOG10(N(Database!$BH456)/Screener!$D$13))/W_PEHW))</f>
        <v/>
      </c>
      <c r="J456" s="270">
        <f>IF(OR(N(Database!$S456)&lt;=0,N(Screener!$D$14)&lt;=0),0,MAX(0,1-ABS(LOG10(Database!$S456/Screener!$D$14))/0.6))</f>
        <v/>
      </c>
      <c r="K456" s="270">
        <f>IF(Database!$B456=Screener!$B$5,-999999,IF(ISNUMBER(SEARCH(","&amp;Database!$A456&amp;",",","&amp;SUBSTITUTE(Screener!$D$17," ","")&amp;",")),2000000,IF(IF(OR(Screener!$B$18="All",AND(Screener!$B$18="With A-share",(Database!$BM456="Y")),AND(Screener!$B$18="Without A-share",NOT((Database!$BM456="Y")))),1,0)=0,-999999,IF(Screener!$B$16="cornerstone overlap first",H456*100000,IF(Screener!$B$16="demand-similar first",J456*100000,0))+W_SUB*B456+W_SEC*C456*(1-B456)+W_SIZE*D456+W_PROF*E456+W_AH*F456+W_REC*G456+W_CS*H456+W_PE*I456)))+ROW()/1000000</f>
        <v/>
      </c>
      <c r="AA456" s="270">
        <f>Database!B445</f>
        <v/>
      </c>
      <c r="AB456" s="270">
        <f>Database!D445</f>
        <v/>
      </c>
      <c r="AC456" s="270">
        <f>Database!E445</f>
        <v/>
      </c>
      <c r="AD456" s="270">
        <f>Database!I445</f>
        <v/>
      </c>
      <c r="AE456" s="270">
        <f>Database!BG445</f>
        <v/>
      </c>
      <c r="AF456" s="270">
        <f>Database!BM445</f>
        <v/>
      </c>
      <c r="AG456" s="270">
        <f>Database!H445</f>
        <v/>
      </c>
      <c r="AH456" s="270">
        <f>Database!BH445</f>
        <v/>
      </c>
    </row>
    <row r="457">
      <c r="A457" s="270">
        <f>Database!B457</f>
        <v/>
      </c>
      <c r="B457" s="270">
        <f>IF(AND(Screener!$D$8&lt;&gt;"",Database!$E457=Screener!$D$8),1,0)</f>
        <v/>
      </c>
      <c r="C457" s="270">
        <f>IF(AND(Screener!$D$7&lt;&gt;"",Database!$D457=Screener!$D$7),1,0)</f>
        <v/>
      </c>
      <c r="D457" s="270">
        <f>IF(OR(N(Database!$I457)&lt;=0,N(Screener!$D$9)&lt;=0),0,MAX(0,1-ABS(LOG10(N(Database!$I457)/Screener!$D$9))/W_SIZEHW))</f>
        <v/>
      </c>
      <c r="E457" s="270">
        <f>IF(OR(Database!$BG457="",Screener!$D$10=""),0,IF(Database!$BG457=Screener!$D$10,1,0))</f>
        <v/>
      </c>
      <c r="F457" s="270">
        <f>IF(OR(Database!$BM457="",Screener!$D$11=""),0,IF(Database!$BM457=Screener!$D$11,1,0))</f>
        <v/>
      </c>
      <c r="G457" s="270">
        <f>IF(OR(Database!$H457="",N(Screener!$D$12)&lt;=0),0,MAX(0,1-(N(Screener!$D$12)-Database!$H457)/W_RECD))</f>
        <v/>
      </c>
      <c r="H457" s="270">
        <f>IF($U$1="",0,N(ISNUMBER(SEARCH($U$1,Database!$AC457&amp;""))))+IF($V$1="",0,N(ISNUMBER(SEARCH($V$1,Database!$AC457&amp;""))))+IF($W$1="",0,N(ISNUMBER(SEARCH($W$1,Database!$AC457&amp;""))))+IF($X$1="",0,N(ISNUMBER(SEARCH($X$1,Database!$AC457&amp;""))))+IF($Y$1="",0,N(ISNUMBER(SEARCH($Y$1,Database!$AC457&amp;""))))+IF(Screener!$B$17="",0,N(ISNUMBER(SEARCH(LOWER(Screener!$B$17),Database!$AC457&amp;""))))</f>
        <v/>
      </c>
      <c r="I457" s="270">
        <f>IF(OR(N(Database!$BH457)&lt;=0,N(Screener!$D$13)&lt;=0),0,MAX(0,1-ABS(LOG10(N(Database!$BH457)/Screener!$D$13))/W_PEHW))</f>
        <v/>
      </c>
      <c r="J457" s="270">
        <f>IF(OR(N(Database!$S457)&lt;=0,N(Screener!$D$14)&lt;=0),0,MAX(0,1-ABS(LOG10(Database!$S457/Screener!$D$14))/0.6))</f>
        <v/>
      </c>
      <c r="K457" s="270">
        <f>IF(Database!$B457=Screener!$B$5,-999999,IF(ISNUMBER(SEARCH(","&amp;Database!$A457&amp;",",","&amp;SUBSTITUTE(Screener!$D$17," ","")&amp;",")),2000000,IF(IF(OR(Screener!$B$18="All",AND(Screener!$B$18="With A-share",(Database!$BM457="Y")),AND(Screener!$B$18="Without A-share",NOT((Database!$BM457="Y")))),1,0)=0,-999999,IF(Screener!$B$16="cornerstone overlap first",H457*100000,IF(Screener!$B$16="demand-similar first",J457*100000,0))+W_SUB*B457+W_SEC*C457*(1-B457)+W_SIZE*D457+W_PROF*E457+W_AH*F457+W_REC*G457+W_CS*H457+W_PE*I457)))+ROW()/1000000</f>
        <v/>
      </c>
      <c r="AA457" s="270">
        <f>Database!B446</f>
        <v/>
      </c>
      <c r="AB457" s="270">
        <f>Database!D446</f>
        <v/>
      </c>
      <c r="AC457" s="270">
        <f>Database!E446</f>
        <v/>
      </c>
      <c r="AD457" s="270">
        <f>Database!I446</f>
        <v/>
      </c>
      <c r="AE457" s="270">
        <f>Database!BG446</f>
        <v/>
      </c>
      <c r="AF457" s="270">
        <f>Database!BM446</f>
        <v/>
      </c>
      <c r="AG457" s="270">
        <f>Database!H446</f>
        <v/>
      </c>
      <c r="AH457" s="270">
        <f>Database!BH446</f>
        <v/>
      </c>
    </row>
    <row r="458">
      <c r="A458" s="270">
        <f>Database!B458</f>
        <v/>
      </c>
      <c r="B458" s="270">
        <f>IF(AND(Screener!$D$8&lt;&gt;"",Database!$E458=Screener!$D$8),1,0)</f>
        <v/>
      </c>
      <c r="C458" s="270">
        <f>IF(AND(Screener!$D$7&lt;&gt;"",Database!$D458=Screener!$D$7),1,0)</f>
        <v/>
      </c>
      <c r="D458" s="270">
        <f>IF(OR(N(Database!$I458)&lt;=0,N(Screener!$D$9)&lt;=0),0,MAX(0,1-ABS(LOG10(N(Database!$I458)/Screener!$D$9))/W_SIZEHW))</f>
        <v/>
      </c>
      <c r="E458" s="270">
        <f>IF(OR(Database!$BG458="",Screener!$D$10=""),0,IF(Database!$BG458=Screener!$D$10,1,0))</f>
        <v/>
      </c>
      <c r="F458" s="270">
        <f>IF(OR(Database!$BM458="",Screener!$D$11=""),0,IF(Database!$BM458=Screener!$D$11,1,0))</f>
        <v/>
      </c>
      <c r="G458" s="270">
        <f>IF(OR(Database!$H458="",N(Screener!$D$12)&lt;=0),0,MAX(0,1-(N(Screener!$D$12)-Database!$H458)/W_RECD))</f>
        <v/>
      </c>
      <c r="H458" s="270">
        <f>IF($U$1="",0,N(ISNUMBER(SEARCH($U$1,Database!$AC458&amp;""))))+IF($V$1="",0,N(ISNUMBER(SEARCH($V$1,Database!$AC458&amp;""))))+IF($W$1="",0,N(ISNUMBER(SEARCH($W$1,Database!$AC458&amp;""))))+IF($X$1="",0,N(ISNUMBER(SEARCH($X$1,Database!$AC458&amp;""))))+IF($Y$1="",0,N(ISNUMBER(SEARCH($Y$1,Database!$AC458&amp;""))))+IF(Screener!$B$17="",0,N(ISNUMBER(SEARCH(LOWER(Screener!$B$17),Database!$AC458&amp;""))))</f>
        <v/>
      </c>
      <c r="I458" s="270">
        <f>IF(OR(N(Database!$BH458)&lt;=0,N(Screener!$D$13)&lt;=0),0,MAX(0,1-ABS(LOG10(N(Database!$BH458)/Screener!$D$13))/W_PEHW))</f>
        <v/>
      </c>
      <c r="J458" s="270">
        <f>IF(OR(N(Database!$S458)&lt;=0,N(Screener!$D$14)&lt;=0),0,MAX(0,1-ABS(LOG10(Database!$S458/Screener!$D$14))/0.6))</f>
        <v/>
      </c>
      <c r="K458" s="270">
        <f>IF(Database!$B458=Screener!$B$5,-999999,IF(ISNUMBER(SEARCH(","&amp;Database!$A458&amp;",",","&amp;SUBSTITUTE(Screener!$D$17," ","")&amp;",")),2000000,IF(IF(OR(Screener!$B$18="All",AND(Screener!$B$18="With A-share",(Database!$BM458="Y")),AND(Screener!$B$18="Without A-share",NOT((Database!$BM458="Y")))),1,0)=0,-999999,IF(Screener!$B$16="cornerstone overlap first",H458*100000,IF(Screener!$B$16="demand-similar first",J458*100000,0))+W_SUB*B458+W_SEC*C458*(1-B458)+W_SIZE*D458+W_PROF*E458+W_AH*F458+W_REC*G458+W_CS*H458+W_PE*I458)))+ROW()/1000000</f>
        <v/>
      </c>
      <c r="AA458" s="270">
        <f>Database!B447</f>
        <v/>
      </c>
      <c r="AB458" s="270">
        <f>Database!D447</f>
        <v/>
      </c>
      <c r="AC458" s="270">
        <f>Database!E447</f>
        <v/>
      </c>
      <c r="AD458" s="270">
        <f>Database!I447</f>
        <v/>
      </c>
      <c r="AE458" s="270">
        <f>Database!BG447</f>
        <v/>
      </c>
      <c r="AF458" s="270">
        <f>Database!BM447</f>
        <v/>
      </c>
      <c r="AG458" s="270">
        <f>Database!H447</f>
        <v/>
      </c>
      <c r="AH458" s="270">
        <f>Database!BH447</f>
        <v/>
      </c>
    </row>
    <row r="459">
      <c r="A459" s="270">
        <f>Database!B459</f>
        <v/>
      </c>
      <c r="B459" s="270">
        <f>IF(AND(Screener!$D$8&lt;&gt;"",Database!$E459=Screener!$D$8),1,0)</f>
        <v/>
      </c>
      <c r="C459" s="270">
        <f>IF(AND(Screener!$D$7&lt;&gt;"",Database!$D459=Screener!$D$7),1,0)</f>
        <v/>
      </c>
      <c r="D459" s="270">
        <f>IF(OR(N(Database!$I459)&lt;=0,N(Screener!$D$9)&lt;=0),0,MAX(0,1-ABS(LOG10(N(Database!$I459)/Screener!$D$9))/W_SIZEHW))</f>
        <v/>
      </c>
      <c r="E459" s="270">
        <f>IF(OR(Database!$BG459="",Screener!$D$10=""),0,IF(Database!$BG459=Screener!$D$10,1,0))</f>
        <v/>
      </c>
      <c r="F459" s="270">
        <f>IF(OR(Database!$BM459="",Screener!$D$11=""),0,IF(Database!$BM459=Screener!$D$11,1,0))</f>
        <v/>
      </c>
      <c r="G459" s="270">
        <f>IF(OR(Database!$H459="",N(Screener!$D$12)&lt;=0),0,MAX(0,1-(N(Screener!$D$12)-Database!$H459)/W_RECD))</f>
        <v/>
      </c>
      <c r="H459" s="270">
        <f>IF($U$1="",0,N(ISNUMBER(SEARCH($U$1,Database!$AC459&amp;""))))+IF($V$1="",0,N(ISNUMBER(SEARCH($V$1,Database!$AC459&amp;""))))+IF($W$1="",0,N(ISNUMBER(SEARCH($W$1,Database!$AC459&amp;""))))+IF($X$1="",0,N(ISNUMBER(SEARCH($X$1,Database!$AC459&amp;""))))+IF($Y$1="",0,N(ISNUMBER(SEARCH($Y$1,Database!$AC459&amp;""))))+IF(Screener!$B$17="",0,N(ISNUMBER(SEARCH(LOWER(Screener!$B$17),Database!$AC459&amp;""))))</f>
        <v/>
      </c>
      <c r="I459" s="270">
        <f>IF(OR(N(Database!$BH459)&lt;=0,N(Screener!$D$13)&lt;=0),0,MAX(0,1-ABS(LOG10(N(Database!$BH459)/Screener!$D$13))/W_PEHW))</f>
        <v/>
      </c>
      <c r="J459" s="270">
        <f>IF(OR(N(Database!$S459)&lt;=0,N(Screener!$D$14)&lt;=0),0,MAX(0,1-ABS(LOG10(Database!$S459/Screener!$D$14))/0.6))</f>
        <v/>
      </c>
      <c r="K459" s="270">
        <f>IF(Database!$B459=Screener!$B$5,-999999,IF(ISNUMBER(SEARCH(","&amp;Database!$A459&amp;",",","&amp;SUBSTITUTE(Screener!$D$17," ","")&amp;",")),2000000,IF(IF(OR(Screener!$B$18="All",AND(Screener!$B$18="With A-share",(Database!$BM459="Y")),AND(Screener!$B$18="Without A-share",NOT((Database!$BM459="Y")))),1,0)=0,-999999,IF(Screener!$B$16="cornerstone overlap first",H459*100000,IF(Screener!$B$16="demand-similar first",J459*100000,0))+W_SUB*B459+W_SEC*C459*(1-B459)+W_SIZE*D459+W_PROF*E459+W_AH*F459+W_REC*G459+W_CS*H459+W_PE*I459)))+ROW()/1000000</f>
        <v/>
      </c>
      <c r="AA459" s="270">
        <f>Database!B448</f>
        <v/>
      </c>
      <c r="AB459" s="270">
        <f>Database!D448</f>
        <v/>
      </c>
      <c r="AC459" s="270">
        <f>Database!E448</f>
        <v/>
      </c>
      <c r="AD459" s="270">
        <f>Database!I448</f>
        <v/>
      </c>
      <c r="AE459" s="270">
        <f>Database!BG448</f>
        <v/>
      </c>
      <c r="AF459" s="270">
        <f>Database!BM448</f>
        <v/>
      </c>
      <c r="AG459" s="270">
        <f>Database!H448</f>
        <v/>
      </c>
      <c r="AH459" s="270">
        <f>Database!BH448</f>
        <v/>
      </c>
    </row>
    <row r="460">
      <c r="A460" s="270">
        <f>Database!B460</f>
        <v/>
      </c>
      <c r="B460" s="270">
        <f>IF(AND(Screener!$D$8&lt;&gt;"",Database!$E460=Screener!$D$8),1,0)</f>
        <v/>
      </c>
      <c r="C460" s="270">
        <f>IF(AND(Screener!$D$7&lt;&gt;"",Database!$D460=Screener!$D$7),1,0)</f>
        <v/>
      </c>
      <c r="D460" s="270">
        <f>IF(OR(N(Database!$I460)&lt;=0,N(Screener!$D$9)&lt;=0),0,MAX(0,1-ABS(LOG10(N(Database!$I460)/Screener!$D$9))/W_SIZEHW))</f>
        <v/>
      </c>
      <c r="E460" s="270">
        <f>IF(OR(Database!$BG460="",Screener!$D$10=""),0,IF(Database!$BG460=Screener!$D$10,1,0))</f>
        <v/>
      </c>
      <c r="F460" s="270">
        <f>IF(OR(Database!$BM460="",Screener!$D$11=""),0,IF(Database!$BM460=Screener!$D$11,1,0))</f>
        <v/>
      </c>
      <c r="G460" s="270">
        <f>IF(OR(Database!$H460="",N(Screener!$D$12)&lt;=0),0,MAX(0,1-(N(Screener!$D$12)-Database!$H460)/W_RECD))</f>
        <v/>
      </c>
      <c r="H460" s="270">
        <f>IF($U$1="",0,N(ISNUMBER(SEARCH($U$1,Database!$AC460&amp;""))))+IF($V$1="",0,N(ISNUMBER(SEARCH($V$1,Database!$AC460&amp;""))))+IF($W$1="",0,N(ISNUMBER(SEARCH($W$1,Database!$AC460&amp;""))))+IF($X$1="",0,N(ISNUMBER(SEARCH($X$1,Database!$AC460&amp;""))))+IF($Y$1="",0,N(ISNUMBER(SEARCH($Y$1,Database!$AC460&amp;""))))+IF(Screener!$B$17="",0,N(ISNUMBER(SEARCH(LOWER(Screener!$B$17),Database!$AC460&amp;""))))</f>
        <v/>
      </c>
      <c r="I460" s="270">
        <f>IF(OR(N(Database!$BH460)&lt;=0,N(Screener!$D$13)&lt;=0),0,MAX(0,1-ABS(LOG10(N(Database!$BH460)/Screener!$D$13))/W_PEHW))</f>
        <v/>
      </c>
      <c r="J460" s="270">
        <f>IF(OR(N(Database!$S460)&lt;=0,N(Screener!$D$14)&lt;=0),0,MAX(0,1-ABS(LOG10(Database!$S460/Screener!$D$14))/0.6))</f>
        <v/>
      </c>
      <c r="K460" s="270">
        <f>IF(Database!$B460=Screener!$B$5,-999999,IF(ISNUMBER(SEARCH(","&amp;Database!$A460&amp;",",","&amp;SUBSTITUTE(Screener!$D$17," ","")&amp;",")),2000000,IF(IF(OR(Screener!$B$18="All",AND(Screener!$B$18="With A-share",(Database!$BM460="Y")),AND(Screener!$B$18="Without A-share",NOT((Database!$BM460="Y")))),1,0)=0,-999999,IF(Screener!$B$16="cornerstone overlap first",H460*100000,IF(Screener!$B$16="demand-similar first",J460*100000,0))+W_SUB*B460+W_SEC*C460*(1-B460)+W_SIZE*D460+W_PROF*E460+W_AH*F460+W_REC*G460+W_CS*H460+W_PE*I460)))+ROW()/1000000</f>
        <v/>
      </c>
      <c r="AA460" s="270">
        <f>Database!B449</f>
        <v/>
      </c>
      <c r="AB460" s="270">
        <f>Database!D449</f>
        <v/>
      </c>
      <c r="AC460" s="270">
        <f>Database!E449</f>
        <v/>
      </c>
      <c r="AD460" s="270">
        <f>Database!I449</f>
        <v/>
      </c>
      <c r="AE460" s="270">
        <f>Database!BG449</f>
        <v/>
      </c>
      <c r="AF460" s="270">
        <f>Database!BM449</f>
        <v/>
      </c>
      <c r="AG460" s="270">
        <f>Database!H449</f>
        <v/>
      </c>
      <c r="AH460" s="270">
        <f>Database!BH449</f>
        <v/>
      </c>
    </row>
    <row r="461">
      <c r="A461" s="270">
        <f>Database!B461</f>
        <v/>
      </c>
      <c r="B461" s="270">
        <f>IF(AND(Screener!$D$8&lt;&gt;"",Database!$E461=Screener!$D$8),1,0)</f>
        <v/>
      </c>
      <c r="C461" s="270">
        <f>IF(AND(Screener!$D$7&lt;&gt;"",Database!$D461=Screener!$D$7),1,0)</f>
        <v/>
      </c>
      <c r="D461" s="270">
        <f>IF(OR(N(Database!$I461)&lt;=0,N(Screener!$D$9)&lt;=0),0,MAX(0,1-ABS(LOG10(N(Database!$I461)/Screener!$D$9))/W_SIZEHW))</f>
        <v/>
      </c>
      <c r="E461" s="270">
        <f>IF(OR(Database!$BG461="",Screener!$D$10=""),0,IF(Database!$BG461=Screener!$D$10,1,0))</f>
        <v/>
      </c>
      <c r="F461" s="270">
        <f>IF(OR(Database!$BM461="",Screener!$D$11=""),0,IF(Database!$BM461=Screener!$D$11,1,0))</f>
        <v/>
      </c>
      <c r="G461" s="270">
        <f>IF(OR(Database!$H461="",N(Screener!$D$12)&lt;=0),0,MAX(0,1-(N(Screener!$D$12)-Database!$H461)/W_RECD))</f>
        <v/>
      </c>
      <c r="H461" s="270">
        <f>IF($U$1="",0,N(ISNUMBER(SEARCH($U$1,Database!$AC461&amp;""))))+IF($V$1="",0,N(ISNUMBER(SEARCH($V$1,Database!$AC461&amp;""))))+IF($W$1="",0,N(ISNUMBER(SEARCH($W$1,Database!$AC461&amp;""))))+IF($X$1="",0,N(ISNUMBER(SEARCH($X$1,Database!$AC461&amp;""))))+IF($Y$1="",0,N(ISNUMBER(SEARCH($Y$1,Database!$AC461&amp;""))))+IF(Screener!$B$17="",0,N(ISNUMBER(SEARCH(LOWER(Screener!$B$17),Database!$AC461&amp;""))))</f>
        <v/>
      </c>
      <c r="I461" s="270">
        <f>IF(OR(N(Database!$BH461)&lt;=0,N(Screener!$D$13)&lt;=0),0,MAX(0,1-ABS(LOG10(N(Database!$BH461)/Screener!$D$13))/W_PEHW))</f>
        <v/>
      </c>
      <c r="J461" s="270">
        <f>IF(OR(N(Database!$S461)&lt;=0,N(Screener!$D$14)&lt;=0),0,MAX(0,1-ABS(LOG10(Database!$S461/Screener!$D$14))/0.6))</f>
        <v/>
      </c>
      <c r="K461" s="270">
        <f>IF(Database!$B461=Screener!$B$5,-999999,IF(ISNUMBER(SEARCH(","&amp;Database!$A461&amp;",",","&amp;SUBSTITUTE(Screener!$D$17," ","")&amp;",")),2000000,IF(IF(OR(Screener!$B$18="All",AND(Screener!$B$18="With A-share",(Database!$BM461="Y")),AND(Screener!$B$18="Without A-share",NOT((Database!$BM461="Y")))),1,0)=0,-999999,IF(Screener!$B$16="cornerstone overlap first",H461*100000,IF(Screener!$B$16="demand-similar first",J461*100000,0))+W_SUB*B461+W_SEC*C461*(1-B461)+W_SIZE*D461+W_PROF*E461+W_AH*F461+W_REC*G461+W_CS*H461+W_PE*I461)))+ROW()/1000000</f>
        <v/>
      </c>
      <c r="AA461" s="270">
        <f>Database!B450</f>
        <v/>
      </c>
      <c r="AB461" s="270">
        <f>Database!D450</f>
        <v/>
      </c>
      <c r="AC461" s="270">
        <f>Database!E450</f>
        <v/>
      </c>
      <c r="AD461" s="270">
        <f>Database!I450</f>
        <v/>
      </c>
      <c r="AE461" s="270">
        <f>Database!BG450</f>
        <v/>
      </c>
      <c r="AF461" s="270">
        <f>Database!BM450</f>
        <v/>
      </c>
      <c r="AG461" s="270">
        <f>Database!H450</f>
        <v/>
      </c>
      <c r="AH461" s="270">
        <f>Database!BH450</f>
        <v/>
      </c>
    </row>
    <row r="462">
      <c r="A462" s="270">
        <f>Database!B462</f>
        <v/>
      </c>
      <c r="B462" s="270">
        <f>IF(AND(Screener!$D$8&lt;&gt;"",Database!$E462=Screener!$D$8),1,0)</f>
        <v/>
      </c>
      <c r="C462" s="270">
        <f>IF(AND(Screener!$D$7&lt;&gt;"",Database!$D462=Screener!$D$7),1,0)</f>
        <v/>
      </c>
      <c r="D462" s="270">
        <f>IF(OR(N(Database!$I462)&lt;=0,N(Screener!$D$9)&lt;=0),0,MAX(0,1-ABS(LOG10(N(Database!$I462)/Screener!$D$9))/W_SIZEHW))</f>
        <v/>
      </c>
      <c r="E462" s="270">
        <f>IF(OR(Database!$BG462="",Screener!$D$10=""),0,IF(Database!$BG462=Screener!$D$10,1,0))</f>
        <v/>
      </c>
      <c r="F462" s="270">
        <f>IF(OR(Database!$BM462="",Screener!$D$11=""),0,IF(Database!$BM462=Screener!$D$11,1,0))</f>
        <v/>
      </c>
      <c r="G462" s="270">
        <f>IF(OR(Database!$H462="",N(Screener!$D$12)&lt;=0),0,MAX(0,1-(N(Screener!$D$12)-Database!$H462)/W_RECD))</f>
        <v/>
      </c>
      <c r="H462" s="270">
        <f>IF($U$1="",0,N(ISNUMBER(SEARCH($U$1,Database!$AC462&amp;""))))+IF($V$1="",0,N(ISNUMBER(SEARCH($V$1,Database!$AC462&amp;""))))+IF($W$1="",0,N(ISNUMBER(SEARCH($W$1,Database!$AC462&amp;""))))+IF($X$1="",0,N(ISNUMBER(SEARCH($X$1,Database!$AC462&amp;""))))+IF($Y$1="",0,N(ISNUMBER(SEARCH($Y$1,Database!$AC462&amp;""))))+IF(Screener!$B$17="",0,N(ISNUMBER(SEARCH(LOWER(Screener!$B$17),Database!$AC462&amp;""))))</f>
        <v/>
      </c>
      <c r="I462" s="270">
        <f>IF(OR(N(Database!$BH462)&lt;=0,N(Screener!$D$13)&lt;=0),0,MAX(0,1-ABS(LOG10(N(Database!$BH462)/Screener!$D$13))/W_PEHW))</f>
        <v/>
      </c>
      <c r="J462" s="270">
        <f>IF(OR(N(Database!$S462)&lt;=0,N(Screener!$D$14)&lt;=0),0,MAX(0,1-ABS(LOG10(Database!$S462/Screener!$D$14))/0.6))</f>
        <v/>
      </c>
      <c r="K462" s="270">
        <f>IF(Database!$B462=Screener!$B$5,-999999,IF(ISNUMBER(SEARCH(","&amp;Database!$A462&amp;",",","&amp;SUBSTITUTE(Screener!$D$17," ","")&amp;",")),2000000,IF(IF(OR(Screener!$B$18="All",AND(Screener!$B$18="With A-share",(Database!$BM462="Y")),AND(Screener!$B$18="Without A-share",NOT((Database!$BM462="Y")))),1,0)=0,-999999,IF(Screener!$B$16="cornerstone overlap first",H462*100000,IF(Screener!$B$16="demand-similar first",J462*100000,0))+W_SUB*B462+W_SEC*C462*(1-B462)+W_SIZE*D462+W_PROF*E462+W_AH*F462+W_REC*G462+W_CS*H462+W_PE*I462)))+ROW()/1000000</f>
        <v/>
      </c>
      <c r="AA462" s="270">
        <f>Database!B451</f>
        <v/>
      </c>
      <c r="AB462" s="270">
        <f>Database!D451</f>
        <v/>
      </c>
      <c r="AC462" s="270">
        <f>Database!E451</f>
        <v/>
      </c>
      <c r="AD462" s="270">
        <f>Database!I451</f>
        <v/>
      </c>
      <c r="AE462" s="270">
        <f>Database!BG451</f>
        <v/>
      </c>
      <c r="AF462" s="270">
        <f>Database!BM451</f>
        <v/>
      </c>
      <c r="AG462" s="270">
        <f>Database!H451</f>
        <v/>
      </c>
      <c r="AH462" s="270">
        <f>Database!BH451</f>
        <v/>
      </c>
    </row>
    <row r="463">
      <c r="A463" s="270">
        <f>Database!B463</f>
        <v/>
      </c>
      <c r="B463" s="270">
        <f>IF(AND(Screener!$D$8&lt;&gt;"",Database!$E463=Screener!$D$8),1,0)</f>
        <v/>
      </c>
      <c r="C463" s="270">
        <f>IF(AND(Screener!$D$7&lt;&gt;"",Database!$D463=Screener!$D$7),1,0)</f>
        <v/>
      </c>
      <c r="D463" s="270">
        <f>IF(OR(N(Database!$I463)&lt;=0,N(Screener!$D$9)&lt;=0),0,MAX(0,1-ABS(LOG10(N(Database!$I463)/Screener!$D$9))/W_SIZEHW))</f>
        <v/>
      </c>
      <c r="E463" s="270">
        <f>IF(OR(Database!$BG463="",Screener!$D$10=""),0,IF(Database!$BG463=Screener!$D$10,1,0))</f>
        <v/>
      </c>
      <c r="F463" s="270">
        <f>IF(OR(Database!$BM463="",Screener!$D$11=""),0,IF(Database!$BM463=Screener!$D$11,1,0))</f>
        <v/>
      </c>
      <c r="G463" s="270">
        <f>IF(OR(Database!$H463="",N(Screener!$D$12)&lt;=0),0,MAX(0,1-(N(Screener!$D$12)-Database!$H463)/W_RECD))</f>
        <v/>
      </c>
      <c r="H463" s="270">
        <f>IF($U$1="",0,N(ISNUMBER(SEARCH($U$1,Database!$AC463&amp;""))))+IF($V$1="",0,N(ISNUMBER(SEARCH($V$1,Database!$AC463&amp;""))))+IF($W$1="",0,N(ISNUMBER(SEARCH($W$1,Database!$AC463&amp;""))))+IF($X$1="",0,N(ISNUMBER(SEARCH($X$1,Database!$AC463&amp;""))))+IF($Y$1="",0,N(ISNUMBER(SEARCH($Y$1,Database!$AC463&amp;""))))+IF(Screener!$B$17="",0,N(ISNUMBER(SEARCH(LOWER(Screener!$B$17),Database!$AC463&amp;""))))</f>
        <v/>
      </c>
      <c r="I463" s="270">
        <f>IF(OR(N(Database!$BH463)&lt;=0,N(Screener!$D$13)&lt;=0),0,MAX(0,1-ABS(LOG10(N(Database!$BH463)/Screener!$D$13))/W_PEHW))</f>
        <v/>
      </c>
      <c r="J463" s="270">
        <f>IF(OR(N(Database!$S463)&lt;=0,N(Screener!$D$14)&lt;=0),0,MAX(0,1-ABS(LOG10(Database!$S463/Screener!$D$14))/0.6))</f>
        <v/>
      </c>
      <c r="K463" s="270">
        <f>IF(Database!$B463=Screener!$B$5,-999999,IF(ISNUMBER(SEARCH(","&amp;Database!$A463&amp;",",","&amp;SUBSTITUTE(Screener!$D$17," ","")&amp;",")),2000000,IF(IF(OR(Screener!$B$18="All",AND(Screener!$B$18="With A-share",(Database!$BM463="Y")),AND(Screener!$B$18="Without A-share",NOT((Database!$BM463="Y")))),1,0)=0,-999999,IF(Screener!$B$16="cornerstone overlap first",H463*100000,IF(Screener!$B$16="demand-similar first",J463*100000,0))+W_SUB*B463+W_SEC*C463*(1-B463)+W_SIZE*D463+W_PROF*E463+W_AH*F463+W_REC*G463+W_CS*H463+W_PE*I463)))+ROW()/1000000</f>
        <v/>
      </c>
      <c r="AA463" s="270">
        <f>Database!B452</f>
        <v/>
      </c>
      <c r="AB463" s="270">
        <f>Database!D452</f>
        <v/>
      </c>
      <c r="AC463" s="270">
        <f>Database!E452</f>
        <v/>
      </c>
      <c r="AD463" s="270">
        <f>Database!I452</f>
        <v/>
      </c>
      <c r="AE463" s="270">
        <f>Database!BG452</f>
        <v/>
      </c>
      <c r="AF463" s="270">
        <f>Database!BM452</f>
        <v/>
      </c>
      <c r="AG463" s="270">
        <f>Database!H452</f>
        <v/>
      </c>
      <c r="AH463" s="270">
        <f>Database!BH452</f>
        <v/>
      </c>
    </row>
    <row r="464">
      <c r="A464" s="270">
        <f>Database!B464</f>
        <v/>
      </c>
      <c r="B464" s="270">
        <f>IF(AND(Screener!$D$8&lt;&gt;"",Database!$E464=Screener!$D$8),1,0)</f>
        <v/>
      </c>
      <c r="C464" s="270">
        <f>IF(AND(Screener!$D$7&lt;&gt;"",Database!$D464=Screener!$D$7),1,0)</f>
        <v/>
      </c>
      <c r="D464" s="270">
        <f>IF(OR(N(Database!$I464)&lt;=0,N(Screener!$D$9)&lt;=0),0,MAX(0,1-ABS(LOG10(N(Database!$I464)/Screener!$D$9))/W_SIZEHW))</f>
        <v/>
      </c>
      <c r="E464" s="270">
        <f>IF(OR(Database!$BG464="",Screener!$D$10=""),0,IF(Database!$BG464=Screener!$D$10,1,0))</f>
        <v/>
      </c>
      <c r="F464" s="270">
        <f>IF(OR(Database!$BM464="",Screener!$D$11=""),0,IF(Database!$BM464=Screener!$D$11,1,0))</f>
        <v/>
      </c>
      <c r="G464" s="270">
        <f>IF(OR(Database!$H464="",N(Screener!$D$12)&lt;=0),0,MAX(0,1-(N(Screener!$D$12)-Database!$H464)/W_RECD))</f>
        <v/>
      </c>
      <c r="H464" s="270">
        <f>IF($U$1="",0,N(ISNUMBER(SEARCH($U$1,Database!$AC464&amp;""))))+IF($V$1="",0,N(ISNUMBER(SEARCH($V$1,Database!$AC464&amp;""))))+IF($W$1="",0,N(ISNUMBER(SEARCH($W$1,Database!$AC464&amp;""))))+IF($X$1="",0,N(ISNUMBER(SEARCH($X$1,Database!$AC464&amp;""))))+IF($Y$1="",0,N(ISNUMBER(SEARCH($Y$1,Database!$AC464&amp;""))))+IF(Screener!$B$17="",0,N(ISNUMBER(SEARCH(LOWER(Screener!$B$17),Database!$AC464&amp;""))))</f>
        <v/>
      </c>
      <c r="I464" s="270">
        <f>IF(OR(N(Database!$BH464)&lt;=0,N(Screener!$D$13)&lt;=0),0,MAX(0,1-ABS(LOG10(N(Database!$BH464)/Screener!$D$13))/W_PEHW))</f>
        <v/>
      </c>
      <c r="J464" s="270">
        <f>IF(OR(N(Database!$S464)&lt;=0,N(Screener!$D$14)&lt;=0),0,MAX(0,1-ABS(LOG10(Database!$S464/Screener!$D$14))/0.6))</f>
        <v/>
      </c>
      <c r="K464" s="270">
        <f>IF(Database!$B464=Screener!$B$5,-999999,IF(ISNUMBER(SEARCH(","&amp;Database!$A464&amp;",",","&amp;SUBSTITUTE(Screener!$D$17," ","")&amp;",")),2000000,IF(IF(OR(Screener!$B$18="All",AND(Screener!$B$18="With A-share",(Database!$BM464="Y")),AND(Screener!$B$18="Without A-share",NOT((Database!$BM464="Y")))),1,0)=0,-999999,IF(Screener!$B$16="cornerstone overlap first",H464*100000,IF(Screener!$B$16="demand-similar first",J464*100000,0))+W_SUB*B464+W_SEC*C464*(1-B464)+W_SIZE*D464+W_PROF*E464+W_AH*F464+W_REC*G464+W_CS*H464+W_PE*I464)))+ROW()/1000000</f>
        <v/>
      </c>
      <c r="AA464" s="270">
        <f>Database!B453</f>
        <v/>
      </c>
      <c r="AB464" s="270">
        <f>Database!D453</f>
        <v/>
      </c>
      <c r="AC464" s="270">
        <f>Database!E453</f>
        <v/>
      </c>
      <c r="AD464" s="270">
        <f>Database!I453</f>
        <v/>
      </c>
      <c r="AE464" s="270">
        <f>Database!BG453</f>
        <v/>
      </c>
      <c r="AF464" s="270">
        <f>Database!BM453</f>
        <v/>
      </c>
      <c r="AG464" s="270">
        <f>Database!H453</f>
        <v/>
      </c>
      <c r="AH464" s="270">
        <f>Database!BH453</f>
        <v/>
      </c>
    </row>
    <row r="465">
      <c r="A465" s="270">
        <f>Database!B465</f>
        <v/>
      </c>
      <c r="B465" s="270">
        <f>IF(AND(Screener!$D$8&lt;&gt;"",Database!$E465=Screener!$D$8),1,0)</f>
        <v/>
      </c>
      <c r="C465" s="270">
        <f>IF(AND(Screener!$D$7&lt;&gt;"",Database!$D465=Screener!$D$7),1,0)</f>
        <v/>
      </c>
      <c r="D465" s="270">
        <f>IF(OR(N(Database!$I465)&lt;=0,N(Screener!$D$9)&lt;=0),0,MAX(0,1-ABS(LOG10(N(Database!$I465)/Screener!$D$9))/W_SIZEHW))</f>
        <v/>
      </c>
      <c r="E465" s="270">
        <f>IF(OR(Database!$BG465="",Screener!$D$10=""),0,IF(Database!$BG465=Screener!$D$10,1,0))</f>
        <v/>
      </c>
      <c r="F465" s="270">
        <f>IF(OR(Database!$BM465="",Screener!$D$11=""),0,IF(Database!$BM465=Screener!$D$11,1,0))</f>
        <v/>
      </c>
      <c r="G465" s="270">
        <f>IF(OR(Database!$H465="",N(Screener!$D$12)&lt;=0),0,MAX(0,1-(N(Screener!$D$12)-Database!$H465)/W_RECD))</f>
        <v/>
      </c>
      <c r="H465" s="270">
        <f>IF($U$1="",0,N(ISNUMBER(SEARCH($U$1,Database!$AC465&amp;""))))+IF($V$1="",0,N(ISNUMBER(SEARCH($V$1,Database!$AC465&amp;""))))+IF($W$1="",0,N(ISNUMBER(SEARCH($W$1,Database!$AC465&amp;""))))+IF($X$1="",0,N(ISNUMBER(SEARCH($X$1,Database!$AC465&amp;""))))+IF($Y$1="",0,N(ISNUMBER(SEARCH($Y$1,Database!$AC465&amp;""))))+IF(Screener!$B$17="",0,N(ISNUMBER(SEARCH(LOWER(Screener!$B$17),Database!$AC465&amp;""))))</f>
        <v/>
      </c>
      <c r="I465" s="270">
        <f>IF(OR(N(Database!$BH465)&lt;=0,N(Screener!$D$13)&lt;=0),0,MAX(0,1-ABS(LOG10(N(Database!$BH465)/Screener!$D$13))/W_PEHW))</f>
        <v/>
      </c>
      <c r="J465" s="270">
        <f>IF(OR(N(Database!$S465)&lt;=0,N(Screener!$D$14)&lt;=0),0,MAX(0,1-ABS(LOG10(Database!$S465/Screener!$D$14))/0.6))</f>
        <v/>
      </c>
      <c r="K465" s="270">
        <f>IF(Database!$B465=Screener!$B$5,-999999,IF(ISNUMBER(SEARCH(","&amp;Database!$A465&amp;",",","&amp;SUBSTITUTE(Screener!$D$17," ","")&amp;",")),2000000,IF(IF(OR(Screener!$B$18="All",AND(Screener!$B$18="With A-share",(Database!$BM465="Y")),AND(Screener!$B$18="Without A-share",NOT((Database!$BM465="Y")))),1,0)=0,-999999,IF(Screener!$B$16="cornerstone overlap first",H465*100000,IF(Screener!$B$16="demand-similar first",J465*100000,0))+W_SUB*B465+W_SEC*C465*(1-B465)+W_SIZE*D465+W_PROF*E465+W_AH*F465+W_REC*G465+W_CS*H465+W_PE*I465)))+ROW()/1000000</f>
        <v/>
      </c>
      <c r="AA465" s="270">
        <f>Database!B454</f>
        <v/>
      </c>
      <c r="AB465" s="270">
        <f>Database!D454</f>
        <v/>
      </c>
      <c r="AC465" s="270">
        <f>Database!E454</f>
        <v/>
      </c>
      <c r="AD465" s="270">
        <f>Database!I454</f>
        <v/>
      </c>
      <c r="AE465" s="270">
        <f>Database!BG454</f>
        <v/>
      </c>
      <c r="AF465" s="270">
        <f>Database!BM454</f>
        <v/>
      </c>
      <c r="AG465" s="270">
        <f>Database!H454</f>
        <v/>
      </c>
      <c r="AH465" s="270">
        <f>Database!BH454</f>
        <v/>
      </c>
    </row>
    <row r="466">
      <c r="A466" s="270">
        <f>Database!B466</f>
        <v/>
      </c>
      <c r="B466" s="270">
        <f>IF(AND(Screener!$D$8&lt;&gt;"",Database!$E466=Screener!$D$8),1,0)</f>
        <v/>
      </c>
      <c r="C466" s="270">
        <f>IF(AND(Screener!$D$7&lt;&gt;"",Database!$D466=Screener!$D$7),1,0)</f>
        <v/>
      </c>
      <c r="D466" s="270">
        <f>IF(OR(N(Database!$I466)&lt;=0,N(Screener!$D$9)&lt;=0),0,MAX(0,1-ABS(LOG10(N(Database!$I466)/Screener!$D$9))/W_SIZEHW))</f>
        <v/>
      </c>
      <c r="E466" s="270">
        <f>IF(OR(Database!$BG466="",Screener!$D$10=""),0,IF(Database!$BG466=Screener!$D$10,1,0))</f>
        <v/>
      </c>
      <c r="F466" s="270">
        <f>IF(OR(Database!$BM466="",Screener!$D$11=""),0,IF(Database!$BM466=Screener!$D$11,1,0))</f>
        <v/>
      </c>
      <c r="G466" s="270">
        <f>IF(OR(Database!$H466="",N(Screener!$D$12)&lt;=0),0,MAX(0,1-(N(Screener!$D$12)-Database!$H466)/W_RECD))</f>
        <v/>
      </c>
      <c r="H466" s="270">
        <f>IF($U$1="",0,N(ISNUMBER(SEARCH($U$1,Database!$AC466&amp;""))))+IF($V$1="",0,N(ISNUMBER(SEARCH($V$1,Database!$AC466&amp;""))))+IF($W$1="",0,N(ISNUMBER(SEARCH($W$1,Database!$AC466&amp;""))))+IF($X$1="",0,N(ISNUMBER(SEARCH($X$1,Database!$AC466&amp;""))))+IF($Y$1="",0,N(ISNUMBER(SEARCH($Y$1,Database!$AC466&amp;""))))+IF(Screener!$B$17="",0,N(ISNUMBER(SEARCH(LOWER(Screener!$B$17),Database!$AC466&amp;""))))</f>
        <v/>
      </c>
      <c r="I466" s="270">
        <f>IF(OR(N(Database!$BH466)&lt;=0,N(Screener!$D$13)&lt;=0),0,MAX(0,1-ABS(LOG10(N(Database!$BH466)/Screener!$D$13))/W_PEHW))</f>
        <v/>
      </c>
      <c r="J466" s="270">
        <f>IF(OR(N(Database!$S466)&lt;=0,N(Screener!$D$14)&lt;=0),0,MAX(0,1-ABS(LOG10(Database!$S466/Screener!$D$14))/0.6))</f>
        <v/>
      </c>
      <c r="K466" s="270">
        <f>IF(Database!$B466=Screener!$B$5,-999999,IF(ISNUMBER(SEARCH(","&amp;Database!$A466&amp;",",","&amp;SUBSTITUTE(Screener!$D$17," ","")&amp;",")),2000000,IF(IF(OR(Screener!$B$18="All",AND(Screener!$B$18="With A-share",(Database!$BM466="Y")),AND(Screener!$B$18="Without A-share",NOT((Database!$BM466="Y")))),1,0)=0,-999999,IF(Screener!$B$16="cornerstone overlap first",H466*100000,IF(Screener!$B$16="demand-similar first",J466*100000,0))+W_SUB*B466+W_SEC*C466*(1-B466)+W_SIZE*D466+W_PROF*E466+W_AH*F466+W_REC*G466+W_CS*H466+W_PE*I466)))+ROW()/1000000</f>
        <v/>
      </c>
      <c r="AA466" s="270">
        <f>Database!B455</f>
        <v/>
      </c>
      <c r="AB466" s="270">
        <f>Database!D455</f>
        <v/>
      </c>
      <c r="AC466" s="270">
        <f>Database!E455</f>
        <v/>
      </c>
      <c r="AD466" s="270">
        <f>Database!I455</f>
        <v/>
      </c>
      <c r="AE466" s="270">
        <f>Database!BG455</f>
        <v/>
      </c>
      <c r="AF466" s="270">
        <f>Database!BM455</f>
        <v/>
      </c>
      <c r="AG466" s="270">
        <f>Database!H455</f>
        <v/>
      </c>
      <c r="AH466" s="270">
        <f>Database!BH455</f>
        <v/>
      </c>
    </row>
    <row r="467">
      <c r="A467" s="270">
        <f>Database!B467</f>
        <v/>
      </c>
      <c r="B467" s="270">
        <f>IF(AND(Screener!$D$8&lt;&gt;"",Database!$E467=Screener!$D$8),1,0)</f>
        <v/>
      </c>
      <c r="C467" s="270">
        <f>IF(AND(Screener!$D$7&lt;&gt;"",Database!$D467=Screener!$D$7),1,0)</f>
        <v/>
      </c>
      <c r="D467" s="270">
        <f>IF(OR(N(Database!$I467)&lt;=0,N(Screener!$D$9)&lt;=0),0,MAX(0,1-ABS(LOG10(N(Database!$I467)/Screener!$D$9))/W_SIZEHW))</f>
        <v/>
      </c>
      <c r="E467" s="270">
        <f>IF(OR(Database!$BG467="",Screener!$D$10=""),0,IF(Database!$BG467=Screener!$D$10,1,0))</f>
        <v/>
      </c>
      <c r="F467" s="270">
        <f>IF(OR(Database!$BM467="",Screener!$D$11=""),0,IF(Database!$BM467=Screener!$D$11,1,0))</f>
        <v/>
      </c>
      <c r="G467" s="270">
        <f>IF(OR(Database!$H467="",N(Screener!$D$12)&lt;=0),0,MAX(0,1-(N(Screener!$D$12)-Database!$H467)/W_RECD))</f>
        <v/>
      </c>
      <c r="H467" s="270">
        <f>IF($U$1="",0,N(ISNUMBER(SEARCH($U$1,Database!$AC467&amp;""))))+IF($V$1="",0,N(ISNUMBER(SEARCH($V$1,Database!$AC467&amp;""))))+IF($W$1="",0,N(ISNUMBER(SEARCH($W$1,Database!$AC467&amp;""))))+IF($X$1="",0,N(ISNUMBER(SEARCH($X$1,Database!$AC467&amp;""))))+IF($Y$1="",0,N(ISNUMBER(SEARCH($Y$1,Database!$AC467&amp;""))))+IF(Screener!$B$17="",0,N(ISNUMBER(SEARCH(LOWER(Screener!$B$17),Database!$AC467&amp;""))))</f>
        <v/>
      </c>
      <c r="I467" s="270">
        <f>IF(OR(N(Database!$BH467)&lt;=0,N(Screener!$D$13)&lt;=0),0,MAX(0,1-ABS(LOG10(N(Database!$BH467)/Screener!$D$13))/W_PEHW))</f>
        <v/>
      </c>
      <c r="J467" s="270">
        <f>IF(OR(N(Database!$S467)&lt;=0,N(Screener!$D$14)&lt;=0),0,MAX(0,1-ABS(LOG10(Database!$S467/Screener!$D$14))/0.6))</f>
        <v/>
      </c>
      <c r="K467" s="270">
        <f>IF(Database!$B467=Screener!$B$5,-999999,IF(ISNUMBER(SEARCH(","&amp;Database!$A467&amp;",",","&amp;SUBSTITUTE(Screener!$D$17," ","")&amp;",")),2000000,IF(IF(OR(Screener!$B$18="All",AND(Screener!$B$18="With A-share",(Database!$BM467="Y")),AND(Screener!$B$18="Without A-share",NOT((Database!$BM467="Y")))),1,0)=0,-999999,IF(Screener!$B$16="cornerstone overlap first",H467*100000,IF(Screener!$B$16="demand-similar first",J467*100000,0))+W_SUB*B467+W_SEC*C467*(1-B467)+W_SIZE*D467+W_PROF*E467+W_AH*F467+W_REC*G467+W_CS*H467+W_PE*I467)))+ROW()/1000000</f>
        <v/>
      </c>
      <c r="AA467" s="270">
        <f>Database!B456</f>
        <v/>
      </c>
      <c r="AB467" s="270">
        <f>Database!D456</f>
        <v/>
      </c>
      <c r="AC467" s="270">
        <f>Database!E456</f>
        <v/>
      </c>
      <c r="AD467" s="270">
        <f>Database!I456</f>
        <v/>
      </c>
      <c r="AE467" s="270">
        <f>Database!BG456</f>
        <v/>
      </c>
      <c r="AF467" s="270">
        <f>Database!BM456</f>
        <v/>
      </c>
      <c r="AG467" s="270">
        <f>Database!H456</f>
        <v/>
      </c>
      <c r="AH467" s="270">
        <f>Database!BH456</f>
        <v/>
      </c>
    </row>
    <row r="468">
      <c r="A468" s="270">
        <f>Database!B468</f>
        <v/>
      </c>
      <c r="B468" s="270">
        <f>IF(AND(Screener!$D$8&lt;&gt;"",Database!$E468=Screener!$D$8),1,0)</f>
        <v/>
      </c>
      <c r="C468" s="270">
        <f>IF(AND(Screener!$D$7&lt;&gt;"",Database!$D468=Screener!$D$7),1,0)</f>
        <v/>
      </c>
      <c r="D468" s="270">
        <f>IF(OR(N(Database!$I468)&lt;=0,N(Screener!$D$9)&lt;=0),0,MAX(0,1-ABS(LOG10(N(Database!$I468)/Screener!$D$9))/W_SIZEHW))</f>
        <v/>
      </c>
      <c r="E468" s="270">
        <f>IF(OR(Database!$BG468="",Screener!$D$10=""),0,IF(Database!$BG468=Screener!$D$10,1,0))</f>
        <v/>
      </c>
      <c r="F468" s="270">
        <f>IF(OR(Database!$BM468="",Screener!$D$11=""),0,IF(Database!$BM468=Screener!$D$11,1,0))</f>
        <v/>
      </c>
      <c r="G468" s="270">
        <f>IF(OR(Database!$H468="",N(Screener!$D$12)&lt;=0),0,MAX(0,1-(N(Screener!$D$12)-Database!$H468)/W_RECD))</f>
        <v/>
      </c>
      <c r="H468" s="270">
        <f>IF($U$1="",0,N(ISNUMBER(SEARCH($U$1,Database!$AC468&amp;""))))+IF($V$1="",0,N(ISNUMBER(SEARCH($V$1,Database!$AC468&amp;""))))+IF($W$1="",0,N(ISNUMBER(SEARCH($W$1,Database!$AC468&amp;""))))+IF($X$1="",0,N(ISNUMBER(SEARCH($X$1,Database!$AC468&amp;""))))+IF($Y$1="",0,N(ISNUMBER(SEARCH($Y$1,Database!$AC468&amp;""))))+IF(Screener!$B$17="",0,N(ISNUMBER(SEARCH(LOWER(Screener!$B$17),Database!$AC468&amp;""))))</f>
        <v/>
      </c>
      <c r="I468" s="270">
        <f>IF(OR(N(Database!$BH468)&lt;=0,N(Screener!$D$13)&lt;=0),0,MAX(0,1-ABS(LOG10(N(Database!$BH468)/Screener!$D$13))/W_PEHW))</f>
        <v/>
      </c>
      <c r="J468" s="270">
        <f>IF(OR(N(Database!$S468)&lt;=0,N(Screener!$D$14)&lt;=0),0,MAX(0,1-ABS(LOG10(Database!$S468/Screener!$D$14))/0.6))</f>
        <v/>
      </c>
      <c r="K468" s="270">
        <f>IF(Database!$B468=Screener!$B$5,-999999,IF(ISNUMBER(SEARCH(","&amp;Database!$A468&amp;",",","&amp;SUBSTITUTE(Screener!$D$17," ","")&amp;",")),2000000,IF(IF(OR(Screener!$B$18="All",AND(Screener!$B$18="With A-share",(Database!$BM468="Y")),AND(Screener!$B$18="Without A-share",NOT((Database!$BM468="Y")))),1,0)=0,-999999,IF(Screener!$B$16="cornerstone overlap first",H468*100000,IF(Screener!$B$16="demand-similar first",J468*100000,0))+W_SUB*B468+W_SEC*C468*(1-B468)+W_SIZE*D468+W_PROF*E468+W_AH*F468+W_REC*G468+W_CS*H468+W_PE*I468)))+ROW()/1000000</f>
        <v/>
      </c>
      <c r="AA468" s="270">
        <f>Database!B457</f>
        <v/>
      </c>
      <c r="AB468" s="270">
        <f>Database!D457</f>
        <v/>
      </c>
      <c r="AC468" s="270">
        <f>Database!E457</f>
        <v/>
      </c>
      <c r="AD468" s="270">
        <f>Database!I457</f>
        <v/>
      </c>
      <c r="AE468" s="270">
        <f>Database!BG457</f>
        <v/>
      </c>
      <c r="AF468" s="270">
        <f>Database!BM457</f>
        <v/>
      </c>
      <c r="AG468" s="270">
        <f>Database!H457</f>
        <v/>
      </c>
      <c r="AH468" s="270">
        <f>Database!BH457</f>
        <v/>
      </c>
    </row>
    <row r="469">
      <c r="A469" s="270">
        <f>Database!B469</f>
        <v/>
      </c>
      <c r="B469" s="270">
        <f>IF(AND(Screener!$D$8&lt;&gt;"",Database!$E469=Screener!$D$8),1,0)</f>
        <v/>
      </c>
      <c r="C469" s="270">
        <f>IF(AND(Screener!$D$7&lt;&gt;"",Database!$D469=Screener!$D$7),1,0)</f>
        <v/>
      </c>
      <c r="D469" s="270">
        <f>IF(OR(N(Database!$I469)&lt;=0,N(Screener!$D$9)&lt;=0),0,MAX(0,1-ABS(LOG10(N(Database!$I469)/Screener!$D$9))/W_SIZEHW))</f>
        <v/>
      </c>
      <c r="E469" s="270">
        <f>IF(OR(Database!$BG469="",Screener!$D$10=""),0,IF(Database!$BG469=Screener!$D$10,1,0))</f>
        <v/>
      </c>
      <c r="F469" s="270">
        <f>IF(OR(Database!$BM469="",Screener!$D$11=""),0,IF(Database!$BM469=Screener!$D$11,1,0))</f>
        <v/>
      </c>
      <c r="G469" s="270">
        <f>IF(OR(Database!$H469="",N(Screener!$D$12)&lt;=0),0,MAX(0,1-(N(Screener!$D$12)-Database!$H469)/W_RECD))</f>
        <v/>
      </c>
      <c r="H469" s="270">
        <f>IF($U$1="",0,N(ISNUMBER(SEARCH($U$1,Database!$AC469&amp;""))))+IF($V$1="",0,N(ISNUMBER(SEARCH($V$1,Database!$AC469&amp;""))))+IF($W$1="",0,N(ISNUMBER(SEARCH($W$1,Database!$AC469&amp;""))))+IF($X$1="",0,N(ISNUMBER(SEARCH($X$1,Database!$AC469&amp;""))))+IF($Y$1="",0,N(ISNUMBER(SEARCH($Y$1,Database!$AC469&amp;""))))+IF(Screener!$B$17="",0,N(ISNUMBER(SEARCH(LOWER(Screener!$B$17),Database!$AC469&amp;""))))</f>
        <v/>
      </c>
      <c r="I469" s="270">
        <f>IF(OR(N(Database!$BH469)&lt;=0,N(Screener!$D$13)&lt;=0),0,MAX(0,1-ABS(LOG10(N(Database!$BH469)/Screener!$D$13))/W_PEHW))</f>
        <v/>
      </c>
      <c r="J469" s="270">
        <f>IF(OR(N(Database!$S469)&lt;=0,N(Screener!$D$14)&lt;=0),0,MAX(0,1-ABS(LOG10(Database!$S469/Screener!$D$14))/0.6))</f>
        <v/>
      </c>
      <c r="K469" s="270">
        <f>IF(Database!$B469=Screener!$B$5,-999999,IF(ISNUMBER(SEARCH(","&amp;Database!$A469&amp;",",","&amp;SUBSTITUTE(Screener!$D$17," ","")&amp;",")),2000000,IF(IF(OR(Screener!$B$18="All",AND(Screener!$B$18="With A-share",(Database!$BM469="Y")),AND(Screener!$B$18="Without A-share",NOT((Database!$BM469="Y")))),1,0)=0,-999999,IF(Screener!$B$16="cornerstone overlap first",H469*100000,IF(Screener!$B$16="demand-similar first",J469*100000,0))+W_SUB*B469+W_SEC*C469*(1-B469)+W_SIZE*D469+W_PROF*E469+W_AH*F469+W_REC*G469+W_CS*H469+W_PE*I469)))+ROW()/1000000</f>
        <v/>
      </c>
      <c r="AA469" s="270">
        <f>Database!B458</f>
        <v/>
      </c>
      <c r="AB469" s="270">
        <f>Database!D458</f>
        <v/>
      </c>
      <c r="AC469" s="270">
        <f>Database!E458</f>
        <v/>
      </c>
      <c r="AD469" s="270">
        <f>Database!I458</f>
        <v/>
      </c>
      <c r="AE469" s="270">
        <f>Database!BG458</f>
        <v/>
      </c>
      <c r="AF469" s="270">
        <f>Database!BM458</f>
        <v/>
      </c>
      <c r="AG469" s="270">
        <f>Database!H458</f>
        <v/>
      </c>
      <c r="AH469" s="270">
        <f>Database!BH458</f>
        <v/>
      </c>
    </row>
    <row r="470">
      <c r="A470" s="270">
        <f>Database!B470</f>
        <v/>
      </c>
      <c r="B470" s="270">
        <f>IF(AND(Screener!$D$8&lt;&gt;"",Database!$E470=Screener!$D$8),1,0)</f>
        <v/>
      </c>
      <c r="C470" s="270">
        <f>IF(AND(Screener!$D$7&lt;&gt;"",Database!$D470=Screener!$D$7),1,0)</f>
        <v/>
      </c>
      <c r="D470" s="270">
        <f>IF(OR(N(Database!$I470)&lt;=0,N(Screener!$D$9)&lt;=0),0,MAX(0,1-ABS(LOG10(N(Database!$I470)/Screener!$D$9))/W_SIZEHW))</f>
        <v/>
      </c>
      <c r="E470" s="270">
        <f>IF(OR(Database!$BG470="",Screener!$D$10=""),0,IF(Database!$BG470=Screener!$D$10,1,0))</f>
        <v/>
      </c>
      <c r="F470" s="270">
        <f>IF(OR(Database!$BM470="",Screener!$D$11=""),0,IF(Database!$BM470=Screener!$D$11,1,0))</f>
        <v/>
      </c>
      <c r="G470" s="270">
        <f>IF(OR(Database!$H470="",N(Screener!$D$12)&lt;=0),0,MAX(0,1-(N(Screener!$D$12)-Database!$H470)/W_RECD))</f>
        <v/>
      </c>
      <c r="H470" s="270">
        <f>IF($U$1="",0,N(ISNUMBER(SEARCH($U$1,Database!$AC470&amp;""))))+IF($V$1="",0,N(ISNUMBER(SEARCH($V$1,Database!$AC470&amp;""))))+IF($W$1="",0,N(ISNUMBER(SEARCH($W$1,Database!$AC470&amp;""))))+IF($X$1="",0,N(ISNUMBER(SEARCH($X$1,Database!$AC470&amp;""))))+IF($Y$1="",0,N(ISNUMBER(SEARCH($Y$1,Database!$AC470&amp;""))))+IF(Screener!$B$17="",0,N(ISNUMBER(SEARCH(LOWER(Screener!$B$17),Database!$AC470&amp;""))))</f>
        <v/>
      </c>
      <c r="I470" s="270">
        <f>IF(OR(N(Database!$BH470)&lt;=0,N(Screener!$D$13)&lt;=0),0,MAX(0,1-ABS(LOG10(N(Database!$BH470)/Screener!$D$13))/W_PEHW))</f>
        <v/>
      </c>
      <c r="J470" s="270">
        <f>IF(OR(N(Database!$S470)&lt;=0,N(Screener!$D$14)&lt;=0),0,MAX(0,1-ABS(LOG10(Database!$S470/Screener!$D$14))/0.6))</f>
        <v/>
      </c>
      <c r="K470" s="270">
        <f>IF(Database!$B470=Screener!$B$5,-999999,IF(ISNUMBER(SEARCH(","&amp;Database!$A470&amp;",",","&amp;SUBSTITUTE(Screener!$D$17," ","")&amp;",")),2000000,IF(IF(OR(Screener!$B$18="All",AND(Screener!$B$18="With A-share",(Database!$BM470="Y")),AND(Screener!$B$18="Without A-share",NOT((Database!$BM470="Y")))),1,0)=0,-999999,IF(Screener!$B$16="cornerstone overlap first",H470*100000,IF(Screener!$B$16="demand-similar first",J470*100000,0))+W_SUB*B470+W_SEC*C470*(1-B470)+W_SIZE*D470+W_PROF*E470+W_AH*F470+W_REC*G470+W_CS*H470+W_PE*I470)))+ROW()/1000000</f>
        <v/>
      </c>
      <c r="AA470" s="270">
        <f>Database!B459</f>
        <v/>
      </c>
      <c r="AB470" s="270">
        <f>Database!D459</f>
        <v/>
      </c>
      <c r="AC470" s="270">
        <f>Database!E459</f>
        <v/>
      </c>
      <c r="AD470" s="270">
        <f>Database!I459</f>
        <v/>
      </c>
      <c r="AE470" s="270">
        <f>Database!BG459</f>
        <v/>
      </c>
      <c r="AF470" s="270">
        <f>Database!BM459</f>
        <v/>
      </c>
      <c r="AG470" s="270">
        <f>Database!H459</f>
        <v/>
      </c>
      <c r="AH470" s="270">
        <f>Database!BH459</f>
        <v/>
      </c>
    </row>
    <row r="471">
      <c r="A471" s="270">
        <f>Database!B471</f>
        <v/>
      </c>
      <c r="B471" s="270">
        <f>IF(AND(Screener!$D$8&lt;&gt;"",Database!$E471=Screener!$D$8),1,0)</f>
        <v/>
      </c>
      <c r="C471" s="270">
        <f>IF(AND(Screener!$D$7&lt;&gt;"",Database!$D471=Screener!$D$7),1,0)</f>
        <v/>
      </c>
      <c r="D471" s="270">
        <f>IF(OR(N(Database!$I471)&lt;=0,N(Screener!$D$9)&lt;=0),0,MAX(0,1-ABS(LOG10(N(Database!$I471)/Screener!$D$9))/W_SIZEHW))</f>
        <v/>
      </c>
      <c r="E471" s="270">
        <f>IF(OR(Database!$BG471="",Screener!$D$10=""),0,IF(Database!$BG471=Screener!$D$10,1,0))</f>
        <v/>
      </c>
      <c r="F471" s="270">
        <f>IF(OR(Database!$BM471="",Screener!$D$11=""),0,IF(Database!$BM471=Screener!$D$11,1,0))</f>
        <v/>
      </c>
      <c r="G471" s="270">
        <f>IF(OR(Database!$H471="",N(Screener!$D$12)&lt;=0),0,MAX(0,1-(N(Screener!$D$12)-Database!$H471)/W_RECD))</f>
        <v/>
      </c>
      <c r="H471" s="270">
        <f>IF($U$1="",0,N(ISNUMBER(SEARCH($U$1,Database!$AC471&amp;""))))+IF($V$1="",0,N(ISNUMBER(SEARCH($V$1,Database!$AC471&amp;""))))+IF($W$1="",0,N(ISNUMBER(SEARCH($W$1,Database!$AC471&amp;""))))+IF($X$1="",0,N(ISNUMBER(SEARCH($X$1,Database!$AC471&amp;""))))+IF($Y$1="",0,N(ISNUMBER(SEARCH($Y$1,Database!$AC471&amp;""))))+IF(Screener!$B$17="",0,N(ISNUMBER(SEARCH(LOWER(Screener!$B$17),Database!$AC471&amp;""))))</f>
        <v/>
      </c>
      <c r="I471" s="270">
        <f>IF(OR(N(Database!$BH471)&lt;=0,N(Screener!$D$13)&lt;=0),0,MAX(0,1-ABS(LOG10(N(Database!$BH471)/Screener!$D$13))/W_PEHW))</f>
        <v/>
      </c>
      <c r="J471" s="270">
        <f>IF(OR(N(Database!$S471)&lt;=0,N(Screener!$D$14)&lt;=0),0,MAX(0,1-ABS(LOG10(Database!$S471/Screener!$D$14))/0.6))</f>
        <v/>
      </c>
      <c r="K471" s="270">
        <f>IF(Database!$B471=Screener!$B$5,-999999,IF(ISNUMBER(SEARCH(","&amp;Database!$A471&amp;",",","&amp;SUBSTITUTE(Screener!$D$17," ","")&amp;",")),2000000,IF(IF(OR(Screener!$B$18="All",AND(Screener!$B$18="With A-share",(Database!$BM471="Y")),AND(Screener!$B$18="Without A-share",NOT((Database!$BM471="Y")))),1,0)=0,-999999,IF(Screener!$B$16="cornerstone overlap first",H471*100000,IF(Screener!$B$16="demand-similar first",J471*100000,0))+W_SUB*B471+W_SEC*C471*(1-B471)+W_SIZE*D471+W_PROF*E471+W_AH*F471+W_REC*G471+W_CS*H471+W_PE*I471)))+ROW()/1000000</f>
        <v/>
      </c>
      <c r="AA471" s="270">
        <f>Database!B460</f>
        <v/>
      </c>
      <c r="AB471" s="270">
        <f>Database!D460</f>
        <v/>
      </c>
      <c r="AC471" s="270">
        <f>Database!E460</f>
        <v/>
      </c>
      <c r="AD471" s="270">
        <f>Database!I460</f>
        <v/>
      </c>
      <c r="AE471" s="270">
        <f>Database!BG460</f>
        <v/>
      </c>
      <c r="AF471" s="270">
        <f>Database!BM460</f>
        <v/>
      </c>
      <c r="AG471" s="270">
        <f>Database!H460</f>
        <v/>
      </c>
      <c r="AH471" s="270">
        <f>Database!BH460</f>
        <v/>
      </c>
    </row>
    <row r="472">
      <c r="A472" s="270">
        <f>Database!B472</f>
        <v/>
      </c>
      <c r="B472" s="270">
        <f>IF(AND(Screener!$D$8&lt;&gt;"",Database!$E472=Screener!$D$8),1,0)</f>
        <v/>
      </c>
      <c r="C472" s="270">
        <f>IF(AND(Screener!$D$7&lt;&gt;"",Database!$D472=Screener!$D$7),1,0)</f>
        <v/>
      </c>
      <c r="D472" s="270">
        <f>IF(OR(N(Database!$I472)&lt;=0,N(Screener!$D$9)&lt;=0),0,MAX(0,1-ABS(LOG10(N(Database!$I472)/Screener!$D$9))/W_SIZEHW))</f>
        <v/>
      </c>
      <c r="E472" s="270">
        <f>IF(OR(Database!$BG472="",Screener!$D$10=""),0,IF(Database!$BG472=Screener!$D$10,1,0))</f>
        <v/>
      </c>
      <c r="F472" s="270">
        <f>IF(OR(Database!$BM472="",Screener!$D$11=""),0,IF(Database!$BM472=Screener!$D$11,1,0))</f>
        <v/>
      </c>
      <c r="G472" s="270">
        <f>IF(OR(Database!$H472="",N(Screener!$D$12)&lt;=0),0,MAX(0,1-(N(Screener!$D$12)-Database!$H472)/W_RECD))</f>
        <v/>
      </c>
      <c r="H472" s="270">
        <f>IF($U$1="",0,N(ISNUMBER(SEARCH($U$1,Database!$AC472&amp;""))))+IF($V$1="",0,N(ISNUMBER(SEARCH($V$1,Database!$AC472&amp;""))))+IF($W$1="",0,N(ISNUMBER(SEARCH($W$1,Database!$AC472&amp;""))))+IF($X$1="",0,N(ISNUMBER(SEARCH($X$1,Database!$AC472&amp;""))))+IF($Y$1="",0,N(ISNUMBER(SEARCH($Y$1,Database!$AC472&amp;""))))+IF(Screener!$B$17="",0,N(ISNUMBER(SEARCH(LOWER(Screener!$B$17),Database!$AC472&amp;""))))</f>
        <v/>
      </c>
      <c r="I472" s="270">
        <f>IF(OR(N(Database!$BH472)&lt;=0,N(Screener!$D$13)&lt;=0),0,MAX(0,1-ABS(LOG10(N(Database!$BH472)/Screener!$D$13))/W_PEHW))</f>
        <v/>
      </c>
      <c r="J472" s="270">
        <f>IF(OR(N(Database!$S472)&lt;=0,N(Screener!$D$14)&lt;=0),0,MAX(0,1-ABS(LOG10(Database!$S472/Screener!$D$14))/0.6))</f>
        <v/>
      </c>
      <c r="K472" s="270">
        <f>IF(Database!$B472=Screener!$B$5,-999999,IF(ISNUMBER(SEARCH(","&amp;Database!$A472&amp;",",","&amp;SUBSTITUTE(Screener!$D$17," ","")&amp;",")),2000000,IF(IF(OR(Screener!$B$18="All",AND(Screener!$B$18="With A-share",(Database!$BM472="Y")),AND(Screener!$B$18="Without A-share",NOT((Database!$BM472="Y")))),1,0)=0,-999999,IF(Screener!$B$16="cornerstone overlap first",H472*100000,IF(Screener!$B$16="demand-similar first",J472*100000,0))+W_SUB*B472+W_SEC*C472*(1-B472)+W_SIZE*D472+W_PROF*E472+W_AH*F472+W_REC*G472+W_CS*H472+W_PE*I472)))+ROW()/1000000</f>
        <v/>
      </c>
      <c r="AA472" s="270">
        <f>Database!B461</f>
        <v/>
      </c>
      <c r="AB472" s="270">
        <f>Database!D461</f>
        <v/>
      </c>
      <c r="AC472" s="270">
        <f>Database!E461</f>
        <v/>
      </c>
      <c r="AD472" s="270">
        <f>Database!I461</f>
        <v/>
      </c>
      <c r="AE472" s="270">
        <f>Database!BG461</f>
        <v/>
      </c>
      <c r="AF472" s="270">
        <f>Database!BM461</f>
        <v/>
      </c>
      <c r="AG472" s="270">
        <f>Database!H461</f>
        <v/>
      </c>
      <c r="AH472" s="270">
        <f>Database!BH461</f>
        <v/>
      </c>
    </row>
    <row r="473">
      <c r="A473" s="270">
        <f>Database!B473</f>
        <v/>
      </c>
      <c r="B473" s="270">
        <f>IF(AND(Screener!$D$8&lt;&gt;"",Database!$E473=Screener!$D$8),1,0)</f>
        <v/>
      </c>
      <c r="C473" s="270">
        <f>IF(AND(Screener!$D$7&lt;&gt;"",Database!$D473=Screener!$D$7),1,0)</f>
        <v/>
      </c>
      <c r="D473" s="270">
        <f>IF(OR(N(Database!$I473)&lt;=0,N(Screener!$D$9)&lt;=0),0,MAX(0,1-ABS(LOG10(N(Database!$I473)/Screener!$D$9))/W_SIZEHW))</f>
        <v/>
      </c>
      <c r="E473" s="270">
        <f>IF(OR(Database!$BG473="",Screener!$D$10=""),0,IF(Database!$BG473=Screener!$D$10,1,0))</f>
        <v/>
      </c>
      <c r="F473" s="270">
        <f>IF(OR(Database!$BM473="",Screener!$D$11=""),0,IF(Database!$BM473=Screener!$D$11,1,0))</f>
        <v/>
      </c>
      <c r="G473" s="270">
        <f>IF(OR(Database!$H473="",N(Screener!$D$12)&lt;=0),0,MAX(0,1-(N(Screener!$D$12)-Database!$H473)/W_RECD))</f>
        <v/>
      </c>
      <c r="H473" s="270">
        <f>IF($U$1="",0,N(ISNUMBER(SEARCH($U$1,Database!$AC473&amp;""))))+IF($V$1="",0,N(ISNUMBER(SEARCH($V$1,Database!$AC473&amp;""))))+IF($W$1="",0,N(ISNUMBER(SEARCH($W$1,Database!$AC473&amp;""))))+IF($X$1="",0,N(ISNUMBER(SEARCH($X$1,Database!$AC473&amp;""))))+IF($Y$1="",0,N(ISNUMBER(SEARCH($Y$1,Database!$AC473&amp;""))))+IF(Screener!$B$17="",0,N(ISNUMBER(SEARCH(LOWER(Screener!$B$17),Database!$AC473&amp;""))))</f>
        <v/>
      </c>
      <c r="I473" s="270">
        <f>IF(OR(N(Database!$BH473)&lt;=0,N(Screener!$D$13)&lt;=0),0,MAX(0,1-ABS(LOG10(N(Database!$BH473)/Screener!$D$13))/W_PEHW))</f>
        <v/>
      </c>
      <c r="J473" s="270">
        <f>IF(OR(N(Database!$S473)&lt;=0,N(Screener!$D$14)&lt;=0),0,MAX(0,1-ABS(LOG10(Database!$S473/Screener!$D$14))/0.6))</f>
        <v/>
      </c>
      <c r="K473" s="270">
        <f>IF(Database!$B473=Screener!$B$5,-999999,IF(ISNUMBER(SEARCH(","&amp;Database!$A473&amp;",",","&amp;SUBSTITUTE(Screener!$D$17," ","")&amp;",")),2000000,IF(IF(OR(Screener!$B$18="All",AND(Screener!$B$18="With A-share",(Database!$BM473="Y")),AND(Screener!$B$18="Without A-share",NOT((Database!$BM473="Y")))),1,0)=0,-999999,IF(Screener!$B$16="cornerstone overlap first",H473*100000,IF(Screener!$B$16="demand-similar first",J473*100000,0))+W_SUB*B473+W_SEC*C473*(1-B473)+W_SIZE*D473+W_PROF*E473+W_AH*F473+W_REC*G473+W_CS*H473+W_PE*I473)))+ROW()/1000000</f>
        <v/>
      </c>
      <c r="AA473" s="270">
        <f>Database!B462</f>
        <v/>
      </c>
      <c r="AB473" s="270">
        <f>Database!D462</f>
        <v/>
      </c>
      <c r="AC473" s="270">
        <f>Database!E462</f>
        <v/>
      </c>
      <c r="AD473" s="270">
        <f>Database!I462</f>
        <v/>
      </c>
      <c r="AE473" s="270">
        <f>Database!BG462</f>
        <v/>
      </c>
      <c r="AF473" s="270">
        <f>Database!BM462</f>
        <v/>
      </c>
      <c r="AG473" s="270">
        <f>Database!H462</f>
        <v/>
      </c>
      <c r="AH473" s="270">
        <f>Database!BH462</f>
        <v/>
      </c>
    </row>
    <row r="474">
      <c r="A474" s="270">
        <f>Database!B474</f>
        <v/>
      </c>
      <c r="B474" s="270">
        <f>IF(AND(Screener!$D$8&lt;&gt;"",Database!$E474=Screener!$D$8),1,0)</f>
        <v/>
      </c>
      <c r="C474" s="270">
        <f>IF(AND(Screener!$D$7&lt;&gt;"",Database!$D474=Screener!$D$7),1,0)</f>
        <v/>
      </c>
      <c r="D474" s="270">
        <f>IF(OR(N(Database!$I474)&lt;=0,N(Screener!$D$9)&lt;=0),0,MAX(0,1-ABS(LOG10(N(Database!$I474)/Screener!$D$9))/W_SIZEHW))</f>
        <v/>
      </c>
      <c r="E474" s="270">
        <f>IF(OR(Database!$BG474="",Screener!$D$10=""),0,IF(Database!$BG474=Screener!$D$10,1,0))</f>
        <v/>
      </c>
      <c r="F474" s="270">
        <f>IF(OR(Database!$BM474="",Screener!$D$11=""),0,IF(Database!$BM474=Screener!$D$11,1,0))</f>
        <v/>
      </c>
      <c r="G474" s="270">
        <f>IF(OR(Database!$H474="",N(Screener!$D$12)&lt;=0),0,MAX(0,1-(N(Screener!$D$12)-Database!$H474)/W_RECD))</f>
        <v/>
      </c>
      <c r="H474" s="270">
        <f>IF($U$1="",0,N(ISNUMBER(SEARCH($U$1,Database!$AC474&amp;""))))+IF($V$1="",0,N(ISNUMBER(SEARCH($V$1,Database!$AC474&amp;""))))+IF($W$1="",0,N(ISNUMBER(SEARCH($W$1,Database!$AC474&amp;""))))+IF($X$1="",0,N(ISNUMBER(SEARCH($X$1,Database!$AC474&amp;""))))+IF($Y$1="",0,N(ISNUMBER(SEARCH($Y$1,Database!$AC474&amp;""))))+IF(Screener!$B$17="",0,N(ISNUMBER(SEARCH(LOWER(Screener!$B$17),Database!$AC474&amp;""))))</f>
        <v/>
      </c>
      <c r="I474" s="270">
        <f>IF(OR(N(Database!$BH474)&lt;=0,N(Screener!$D$13)&lt;=0),0,MAX(0,1-ABS(LOG10(N(Database!$BH474)/Screener!$D$13))/W_PEHW))</f>
        <v/>
      </c>
      <c r="J474" s="270">
        <f>IF(OR(N(Database!$S474)&lt;=0,N(Screener!$D$14)&lt;=0),0,MAX(0,1-ABS(LOG10(Database!$S474/Screener!$D$14))/0.6))</f>
        <v/>
      </c>
      <c r="K474" s="270">
        <f>IF(Database!$B474=Screener!$B$5,-999999,IF(ISNUMBER(SEARCH(","&amp;Database!$A474&amp;",",","&amp;SUBSTITUTE(Screener!$D$17," ","")&amp;",")),2000000,IF(IF(OR(Screener!$B$18="All",AND(Screener!$B$18="With A-share",(Database!$BM474="Y")),AND(Screener!$B$18="Without A-share",NOT((Database!$BM474="Y")))),1,0)=0,-999999,IF(Screener!$B$16="cornerstone overlap first",H474*100000,IF(Screener!$B$16="demand-similar first",J474*100000,0))+W_SUB*B474+W_SEC*C474*(1-B474)+W_SIZE*D474+W_PROF*E474+W_AH*F474+W_REC*G474+W_CS*H474+W_PE*I474)))+ROW()/1000000</f>
        <v/>
      </c>
      <c r="AA474" s="270">
        <f>Database!B463</f>
        <v/>
      </c>
      <c r="AB474" s="270">
        <f>Database!D463</f>
        <v/>
      </c>
      <c r="AC474" s="270">
        <f>Database!E463</f>
        <v/>
      </c>
      <c r="AD474" s="270">
        <f>Database!I463</f>
        <v/>
      </c>
      <c r="AE474" s="270">
        <f>Database!BG463</f>
        <v/>
      </c>
      <c r="AF474" s="270">
        <f>Database!BM463</f>
        <v/>
      </c>
      <c r="AG474" s="270">
        <f>Database!H463</f>
        <v/>
      </c>
      <c r="AH474" s="270">
        <f>Database!BH463</f>
        <v/>
      </c>
    </row>
    <row r="475">
      <c r="A475" s="270">
        <f>Database!B475</f>
        <v/>
      </c>
      <c r="B475" s="270">
        <f>IF(AND(Screener!$D$8&lt;&gt;"",Database!$E475=Screener!$D$8),1,0)</f>
        <v/>
      </c>
      <c r="C475" s="270">
        <f>IF(AND(Screener!$D$7&lt;&gt;"",Database!$D475=Screener!$D$7),1,0)</f>
        <v/>
      </c>
      <c r="D475" s="270">
        <f>IF(OR(N(Database!$I475)&lt;=0,N(Screener!$D$9)&lt;=0),0,MAX(0,1-ABS(LOG10(N(Database!$I475)/Screener!$D$9))/W_SIZEHW))</f>
        <v/>
      </c>
      <c r="E475" s="270">
        <f>IF(OR(Database!$BG475="",Screener!$D$10=""),0,IF(Database!$BG475=Screener!$D$10,1,0))</f>
        <v/>
      </c>
      <c r="F475" s="270">
        <f>IF(OR(Database!$BM475="",Screener!$D$11=""),0,IF(Database!$BM475=Screener!$D$11,1,0))</f>
        <v/>
      </c>
      <c r="G475" s="270">
        <f>IF(OR(Database!$H475="",N(Screener!$D$12)&lt;=0),0,MAX(0,1-(N(Screener!$D$12)-Database!$H475)/W_RECD))</f>
        <v/>
      </c>
      <c r="H475" s="270">
        <f>IF($U$1="",0,N(ISNUMBER(SEARCH($U$1,Database!$AC475&amp;""))))+IF($V$1="",0,N(ISNUMBER(SEARCH($V$1,Database!$AC475&amp;""))))+IF($W$1="",0,N(ISNUMBER(SEARCH($W$1,Database!$AC475&amp;""))))+IF($X$1="",0,N(ISNUMBER(SEARCH($X$1,Database!$AC475&amp;""))))+IF($Y$1="",0,N(ISNUMBER(SEARCH($Y$1,Database!$AC475&amp;""))))+IF(Screener!$B$17="",0,N(ISNUMBER(SEARCH(LOWER(Screener!$B$17),Database!$AC475&amp;""))))</f>
        <v/>
      </c>
      <c r="I475" s="270">
        <f>IF(OR(N(Database!$BH475)&lt;=0,N(Screener!$D$13)&lt;=0),0,MAX(0,1-ABS(LOG10(N(Database!$BH475)/Screener!$D$13))/W_PEHW))</f>
        <v/>
      </c>
      <c r="J475" s="270">
        <f>IF(OR(N(Database!$S475)&lt;=0,N(Screener!$D$14)&lt;=0),0,MAX(0,1-ABS(LOG10(Database!$S475/Screener!$D$14))/0.6))</f>
        <v/>
      </c>
      <c r="K475" s="270">
        <f>IF(Database!$B475=Screener!$B$5,-999999,IF(ISNUMBER(SEARCH(","&amp;Database!$A475&amp;",",","&amp;SUBSTITUTE(Screener!$D$17," ","")&amp;",")),2000000,IF(IF(OR(Screener!$B$18="All",AND(Screener!$B$18="With A-share",(Database!$BM475="Y")),AND(Screener!$B$18="Without A-share",NOT((Database!$BM475="Y")))),1,0)=0,-999999,IF(Screener!$B$16="cornerstone overlap first",H475*100000,IF(Screener!$B$16="demand-similar first",J475*100000,0))+W_SUB*B475+W_SEC*C475*(1-B475)+W_SIZE*D475+W_PROF*E475+W_AH*F475+W_REC*G475+W_CS*H475+W_PE*I475)))+ROW()/1000000</f>
        <v/>
      </c>
      <c r="AA475" s="270">
        <f>Database!B464</f>
        <v/>
      </c>
      <c r="AB475" s="270">
        <f>Database!D464</f>
        <v/>
      </c>
      <c r="AC475" s="270">
        <f>Database!E464</f>
        <v/>
      </c>
      <c r="AD475" s="270">
        <f>Database!I464</f>
        <v/>
      </c>
      <c r="AE475" s="270">
        <f>Database!BG464</f>
        <v/>
      </c>
      <c r="AF475" s="270">
        <f>Database!BM464</f>
        <v/>
      </c>
      <c r="AG475" s="270">
        <f>Database!H464</f>
        <v/>
      </c>
      <c r="AH475" s="270">
        <f>Database!BH464</f>
        <v/>
      </c>
    </row>
    <row r="476">
      <c r="A476" s="270">
        <f>Database!B476</f>
        <v/>
      </c>
      <c r="B476" s="270">
        <f>IF(AND(Screener!$D$8&lt;&gt;"",Database!$E476=Screener!$D$8),1,0)</f>
        <v/>
      </c>
      <c r="C476" s="270">
        <f>IF(AND(Screener!$D$7&lt;&gt;"",Database!$D476=Screener!$D$7),1,0)</f>
        <v/>
      </c>
      <c r="D476" s="270">
        <f>IF(OR(N(Database!$I476)&lt;=0,N(Screener!$D$9)&lt;=0),0,MAX(0,1-ABS(LOG10(N(Database!$I476)/Screener!$D$9))/W_SIZEHW))</f>
        <v/>
      </c>
      <c r="E476" s="270">
        <f>IF(OR(Database!$BG476="",Screener!$D$10=""),0,IF(Database!$BG476=Screener!$D$10,1,0))</f>
        <v/>
      </c>
      <c r="F476" s="270">
        <f>IF(OR(Database!$BM476="",Screener!$D$11=""),0,IF(Database!$BM476=Screener!$D$11,1,0))</f>
        <v/>
      </c>
      <c r="G476" s="270">
        <f>IF(OR(Database!$H476="",N(Screener!$D$12)&lt;=0),0,MAX(0,1-(N(Screener!$D$12)-Database!$H476)/W_RECD))</f>
        <v/>
      </c>
      <c r="H476" s="270">
        <f>IF($U$1="",0,N(ISNUMBER(SEARCH($U$1,Database!$AC476&amp;""))))+IF($V$1="",0,N(ISNUMBER(SEARCH($V$1,Database!$AC476&amp;""))))+IF($W$1="",0,N(ISNUMBER(SEARCH($W$1,Database!$AC476&amp;""))))+IF($X$1="",0,N(ISNUMBER(SEARCH($X$1,Database!$AC476&amp;""))))+IF($Y$1="",0,N(ISNUMBER(SEARCH($Y$1,Database!$AC476&amp;""))))+IF(Screener!$B$17="",0,N(ISNUMBER(SEARCH(LOWER(Screener!$B$17),Database!$AC476&amp;""))))</f>
        <v/>
      </c>
      <c r="I476" s="270">
        <f>IF(OR(N(Database!$BH476)&lt;=0,N(Screener!$D$13)&lt;=0),0,MAX(0,1-ABS(LOG10(N(Database!$BH476)/Screener!$D$13))/W_PEHW))</f>
        <v/>
      </c>
      <c r="J476" s="270">
        <f>IF(OR(N(Database!$S476)&lt;=0,N(Screener!$D$14)&lt;=0),0,MAX(0,1-ABS(LOG10(Database!$S476/Screener!$D$14))/0.6))</f>
        <v/>
      </c>
      <c r="K476" s="270">
        <f>IF(Database!$B476=Screener!$B$5,-999999,IF(ISNUMBER(SEARCH(","&amp;Database!$A476&amp;",",","&amp;SUBSTITUTE(Screener!$D$17," ","")&amp;",")),2000000,IF(IF(OR(Screener!$B$18="All",AND(Screener!$B$18="With A-share",(Database!$BM476="Y")),AND(Screener!$B$18="Without A-share",NOT((Database!$BM476="Y")))),1,0)=0,-999999,IF(Screener!$B$16="cornerstone overlap first",H476*100000,IF(Screener!$B$16="demand-similar first",J476*100000,0))+W_SUB*B476+W_SEC*C476*(1-B476)+W_SIZE*D476+W_PROF*E476+W_AH*F476+W_REC*G476+W_CS*H476+W_PE*I476)))+ROW()/1000000</f>
        <v/>
      </c>
      <c r="AA476" s="270">
        <f>Database!B465</f>
        <v/>
      </c>
      <c r="AB476" s="270">
        <f>Database!D465</f>
        <v/>
      </c>
      <c r="AC476" s="270">
        <f>Database!E465</f>
        <v/>
      </c>
      <c r="AD476" s="270">
        <f>Database!I465</f>
        <v/>
      </c>
      <c r="AE476" s="270">
        <f>Database!BG465</f>
        <v/>
      </c>
      <c r="AF476" s="270">
        <f>Database!BM465</f>
        <v/>
      </c>
      <c r="AG476" s="270">
        <f>Database!H465</f>
        <v/>
      </c>
      <c r="AH476" s="270">
        <f>Database!BH465</f>
        <v/>
      </c>
    </row>
    <row r="477">
      <c r="A477" s="270">
        <f>Database!B477</f>
        <v/>
      </c>
      <c r="B477" s="270">
        <f>IF(AND(Screener!$D$8&lt;&gt;"",Database!$E477=Screener!$D$8),1,0)</f>
        <v/>
      </c>
      <c r="C477" s="270">
        <f>IF(AND(Screener!$D$7&lt;&gt;"",Database!$D477=Screener!$D$7),1,0)</f>
        <v/>
      </c>
      <c r="D477" s="270">
        <f>IF(OR(N(Database!$I477)&lt;=0,N(Screener!$D$9)&lt;=0),0,MAX(0,1-ABS(LOG10(N(Database!$I477)/Screener!$D$9))/W_SIZEHW))</f>
        <v/>
      </c>
      <c r="E477" s="270">
        <f>IF(OR(Database!$BG477="",Screener!$D$10=""),0,IF(Database!$BG477=Screener!$D$10,1,0))</f>
        <v/>
      </c>
      <c r="F477" s="270">
        <f>IF(OR(Database!$BM477="",Screener!$D$11=""),0,IF(Database!$BM477=Screener!$D$11,1,0))</f>
        <v/>
      </c>
      <c r="G477" s="270">
        <f>IF(OR(Database!$H477="",N(Screener!$D$12)&lt;=0),0,MAX(0,1-(N(Screener!$D$12)-Database!$H477)/W_RECD))</f>
        <v/>
      </c>
      <c r="H477" s="270">
        <f>IF($U$1="",0,N(ISNUMBER(SEARCH($U$1,Database!$AC477&amp;""))))+IF($V$1="",0,N(ISNUMBER(SEARCH($V$1,Database!$AC477&amp;""))))+IF($W$1="",0,N(ISNUMBER(SEARCH($W$1,Database!$AC477&amp;""))))+IF($X$1="",0,N(ISNUMBER(SEARCH($X$1,Database!$AC477&amp;""))))+IF($Y$1="",0,N(ISNUMBER(SEARCH($Y$1,Database!$AC477&amp;""))))+IF(Screener!$B$17="",0,N(ISNUMBER(SEARCH(LOWER(Screener!$B$17),Database!$AC477&amp;""))))</f>
        <v/>
      </c>
      <c r="I477" s="270">
        <f>IF(OR(N(Database!$BH477)&lt;=0,N(Screener!$D$13)&lt;=0),0,MAX(0,1-ABS(LOG10(N(Database!$BH477)/Screener!$D$13))/W_PEHW))</f>
        <v/>
      </c>
      <c r="J477" s="270">
        <f>IF(OR(N(Database!$S477)&lt;=0,N(Screener!$D$14)&lt;=0),0,MAX(0,1-ABS(LOG10(Database!$S477/Screener!$D$14))/0.6))</f>
        <v/>
      </c>
      <c r="K477" s="270">
        <f>IF(Database!$B477=Screener!$B$5,-999999,IF(ISNUMBER(SEARCH(","&amp;Database!$A477&amp;",",","&amp;SUBSTITUTE(Screener!$D$17," ","")&amp;",")),2000000,IF(IF(OR(Screener!$B$18="All",AND(Screener!$B$18="With A-share",(Database!$BM477="Y")),AND(Screener!$B$18="Without A-share",NOT((Database!$BM477="Y")))),1,0)=0,-999999,IF(Screener!$B$16="cornerstone overlap first",H477*100000,IF(Screener!$B$16="demand-similar first",J477*100000,0))+W_SUB*B477+W_SEC*C477*(1-B477)+W_SIZE*D477+W_PROF*E477+W_AH*F477+W_REC*G477+W_CS*H477+W_PE*I477)))+ROW()/1000000</f>
        <v/>
      </c>
      <c r="AA477" s="270">
        <f>Database!B466</f>
        <v/>
      </c>
      <c r="AB477" s="270">
        <f>Database!D466</f>
        <v/>
      </c>
      <c r="AC477" s="270">
        <f>Database!E466</f>
        <v/>
      </c>
      <c r="AD477" s="270">
        <f>Database!I466</f>
        <v/>
      </c>
      <c r="AE477" s="270">
        <f>Database!BG466</f>
        <v/>
      </c>
      <c r="AF477" s="270">
        <f>Database!BM466</f>
        <v/>
      </c>
      <c r="AG477" s="270">
        <f>Database!H466</f>
        <v/>
      </c>
      <c r="AH477" s="270">
        <f>Database!BH466</f>
        <v/>
      </c>
    </row>
    <row r="478">
      <c r="A478" s="270">
        <f>Database!B478</f>
        <v/>
      </c>
      <c r="B478" s="270">
        <f>IF(AND(Screener!$D$8&lt;&gt;"",Database!$E478=Screener!$D$8),1,0)</f>
        <v/>
      </c>
      <c r="C478" s="270">
        <f>IF(AND(Screener!$D$7&lt;&gt;"",Database!$D478=Screener!$D$7),1,0)</f>
        <v/>
      </c>
      <c r="D478" s="270">
        <f>IF(OR(N(Database!$I478)&lt;=0,N(Screener!$D$9)&lt;=0),0,MAX(0,1-ABS(LOG10(N(Database!$I478)/Screener!$D$9))/W_SIZEHW))</f>
        <v/>
      </c>
      <c r="E478" s="270">
        <f>IF(OR(Database!$BG478="",Screener!$D$10=""),0,IF(Database!$BG478=Screener!$D$10,1,0))</f>
        <v/>
      </c>
      <c r="F478" s="270">
        <f>IF(OR(Database!$BM478="",Screener!$D$11=""),0,IF(Database!$BM478=Screener!$D$11,1,0))</f>
        <v/>
      </c>
      <c r="G478" s="270">
        <f>IF(OR(Database!$H478="",N(Screener!$D$12)&lt;=0),0,MAX(0,1-(N(Screener!$D$12)-Database!$H478)/W_RECD))</f>
        <v/>
      </c>
      <c r="H478" s="270">
        <f>IF($U$1="",0,N(ISNUMBER(SEARCH($U$1,Database!$AC478&amp;""))))+IF($V$1="",0,N(ISNUMBER(SEARCH($V$1,Database!$AC478&amp;""))))+IF($W$1="",0,N(ISNUMBER(SEARCH($W$1,Database!$AC478&amp;""))))+IF($X$1="",0,N(ISNUMBER(SEARCH($X$1,Database!$AC478&amp;""))))+IF($Y$1="",0,N(ISNUMBER(SEARCH($Y$1,Database!$AC478&amp;""))))+IF(Screener!$B$17="",0,N(ISNUMBER(SEARCH(LOWER(Screener!$B$17),Database!$AC478&amp;""))))</f>
        <v/>
      </c>
      <c r="I478" s="270">
        <f>IF(OR(N(Database!$BH478)&lt;=0,N(Screener!$D$13)&lt;=0),0,MAX(0,1-ABS(LOG10(N(Database!$BH478)/Screener!$D$13))/W_PEHW))</f>
        <v/>
      </c>
      <c r="J478" s="270">
        <f>IF(OR(N(Database!$S478)&lt;=0,N(Screener!$D$14)&lt;=0),0,MAX(0,1-ABS(LOG10(Database!$S478/Screener!$D$14))/0.6))</f>
        <v/>
      </c>
      <c r="K478" s="270">
        <f>IF(Database!$B478=Screener!$B$5,-999999,IF(ISNUMBER(SEARCH(","&amp;Database!$A478&amp;",",","&amp;SUBSTITUTE(Screener!$D$17," ","")&amp;",")),2000000,IF(IF(OR(Screener!$B$18="All",AND(Screener!$B$18="With A-share",(Database!$BM478="Y")),AND(Screener!$B$18="Without A-share",NOT((Database!$BM478="Y")))),1,0)=0,-999999,IF(Screener!$B$16="cornerstone overlap first",H478*100000,IF(Screener!$B$16="demand-similar first",J478*100000,0))+W_SUB*B478+W_SEC*C478*(1-B478)+W_SIZE*D478+W_PROF*E478+W_AH*F478+W_REC*G478+W_CS*H478+W_PE*I478)))+ROW()/1000000</f>
        <v/>
      </c>
      <c r="AA478" s="270">
        <f>Database!B467</f>
        <v/>
      </c>
      <c r="AB478" s="270">
        <f>Database!D467</f>
        <v/>
      </c>
      <c r="AC478" s="270">
        <f>Database!E467</f>
        <v/>
      </c>
      <c r="AD478" s="270">
        <f>Database!I467</f>
        <v/>
      </c>
      <c r="AE478" s="270">
        <f>Database!BG467</f>
        <v/>
      </c>
      <c r="AF478" s="270">
        <f>Database!BM467</f>
        <v/>
      </c>
      <c r="AG478" s="270">
        <f>Database!H467</f>
        <v/>
      </c>
      <c r="AH478" s="270">
        <f>Database!BH467</f>
        <v/>
      </c>
    </row>
    <row r="479">
      <c r="A479" s="270">
        <f>Database!B479</f>
        <v/>
      </c>
      <c r="B479" s="270">
        <f>IF(AND(Screener!$D$8&lt;&gt;"",Database!$E479=Screener!$D$8),1,0)</f>
        <v/>
      </c>
      <c r="C479" s="270">
        <f>IF(AND(Screener!$D$7&lt;&gt;"",Database!$D479=Screener!$D$7),1,0)</f>
        <v/>
      </c>
      <c r="D479" s="270">
        <f>IF(OR(N(Database!$I479)&lt;=0,N(Screener!$D$9)&lt;=0),0,MAX(0,1-ABS(LOG10(N(Database!$I479)/Screener!$D$9))/W_SIZEHW))</f>
        <v/>
      </c>
      <c r="E479" s="270">
        <f>IF(OR(Database!$BG479="",Screener!$D$10=""),0,IF(Database!$BG479=Screener!$D$10,1,0))</f>
        <v/>
      </c>
      <c r="F479" s="270">
        <f>IF(OR(Database!$BM479="",Screener!$D$11=""),0,IF(Database!$BM479=Screener!$D$11,1,0))</f>
        <v/>
      </c>
      <c r="G479" s="270">
        <f>IF(OR(Database!$H479="",N(Screener!$D$12)&lt;=0),0,MAX(0,1-(N(Screener!$D$12)-Database!$H479)/W_RECD))</f>
        <v/>
      </c>
      <c r="H479" s="270">
        <f>IF($U$1="",0,N(ISNUMBER(SEARCH($U$1,Database!$AC479&amp;""))))+IF($V$1="",0,N(ISNUMBER(SEARCH($V$1,Database!$AC479&amp;""))))+IF($W$1="",0,N(ISNUMBER(SEARCH($W$1,Database!$AC479&amp;""))))+IF($X$1="",0,N(ISNUMBER(SEARCH($X$1,Database!$AC479&amp;""))))+IF($Y$1="",0,N(ISNUMBER(SEARCH($Y$1,Database!$AC479&amp;""))))+IF(Screener!$B$17="",0,N(ISNUMBER(SEARCH(LOWER(Screener!$B$17),Database!$AC479&amp;""))))</f>
        <v/>
      </c>
      <c r="I479" s="270">
        <f>IF(OR(N(Database!$BH479)&lt;=0,N(Screener!$D$13)&lt;=0),0,MAX(0,1-ABS(LOG10(N(Database!$BH479)/Screener!$D$13))/W_PEHW))</f>
        <v/>
      </c>
      <c r="J479" s="270">
        <f>IF(OR(N(Database!$S479)&lt;=0,N(Screener!$D$14)&lt;=0),0,MAX(0,1-ABS(LOG10(Database!$S479/Screener!$D$14))/0.6))</f>
        <v/>
      </c>
      <c r="K479" s="270">
        <f>IF(Database!$B479=Screener!$B$5,-999999,IF(ISNUMBER(SEARCH(","&amp;Database!$A479&amp;",",","&amp;SUBSTITUTE(Screener!$D$17," ","")&amp;",")),2000000,IF(IF(OR(Screener!$B$18="All",AND(Screener!$B$18="With A-share",(Database!$BM479="Y")),AND(Screener!$B$18="Without A-share",NOT((Database!$BM479="Y")))),1,0)=0,-999999,IF(Screener!$B$16="cornerstone overlap first",H479*100000,IF(Screener!$B$16="demand-similar first",J479*100000,0))+W_SUB*B479+W_SEC*C479*(1-B479)+W_SIZE*D479+W_PROF*E479+W_AH*F479+W_REC*G479+W_CS*H479+W_PE*I479)))+ROW()/1000000</f>
        <v/>
      </c>
      <c r="AA479" s="270">
        <f>Database!B468</f>
        <v/>
      </c>
      <c r="AB479" s="270">
        <f>Database!D468</f>
        <v/>
      </c>
      <c r="AC479" s="270">
        <f>Database!E468</f>
        <v/>
      </c>
      <c r="AD479" s="270">
        <f>Database!I468</f>
        <v/>
      </c>
      <c r="AE479" s="270">
        <f>Database!BG468</f>
        <v/>
      </c>
      <c r="AF479" s="270">
        <f>Database!BM468</f>
        <v/>
      </c>
      <c r="AG479" s="270">
        <f>Database!H468</f>
        <v/>
      </c>
      <c r="AH479" s="270">
        <f>Database!BH468</f>
        <v/>
      </c>
    </row>
    <row r="480">
      <c r="A480" s="270">
        <f>Database!B480</f>
        <v/>
      </c>
      <c r="B480" s="270">
        <f>IF(AND(Screener!$D$8&lt;&gt;"",Database!$E480=Screener!$D$8),1,0)</f>
        <v/>
      </c>
      <c r="C480" s="270">
        <f>IF(AND(Screener!$D$7&lt;&gt;"",Database!$D480=Screener!$D$7),1,0)</f>
        <v/>
      </c>
      <c r="D480" s="270">
        <f>IF(OR(N(Database!$I480)&lt;=0,N(Screener!$D$9)&lt;=0),0,MAX(0,1-ABS(LOG10(N(Database!$I480)/Screener!$D$9))/W_SIZEHW))</f>
        <v/>
      </c>
      <c r="E480" s="270">
        <f>IF(OR(Database!$BG480="",Screener!$D$10=""),0,IF(Database!$BG480=Screener!$D$10,1,0))</f>
        <v/>
      </c>
      <c r="F480" s="270">
        <f>IF(OR(Database!$BM480="",Screener!$D$11=""),0,IF(Database!$BM480=Screener!$D$11,1,0))</f>
        <v/>
      </c>
      <c r="G480" s="270">
        <f>IF(OR(Database!$H480="",N(Screener!$D$12)&lt;=0),0,MAX(0,1-(N(Screener!$D$12)-Database!$H480)/W_RECD))</f>
        <v/>
      </c>
      <c r="H480" s="270">
        <f>IF($U$1="",0,N(ISNUMBER(SEARCH($U$1,Database!$AC480&amp;""))))+IF($V$1="",0,N(ISNUMBER(SEARCH($V$1,Database!$AC480&amp;""))))+IF($W$1="",0,N(ISNUMBER(SEARCH($W$1,Database!$AC480&amp;""))))+IF($X$1="",0,N(ISNUMBER(SEARCH($X$1,Database!$AC480&amp;""))))+IF($Y$1="",0,N(ISNUMBER(SEARCH($Y$1,Database!$AC480&amp;""))))+IF(Screener!$B$17="",0,N(ISNUMBER(SEARCH(LOWER(Screener!$B$17),Database!$AC480&amp;""))))</f>
        <v/>
      </c>
      <c r="I480" s="270">
        <f>IF(OR(N(Database!$BH480)&lt;=0,N(Screener!$D$13)&lt;=0),0,MAX(0,1-ABS(LOG10(N(Database!$BH480)/Screener!$D$13))/W_PEHW))</f>
        <v/>
      </c>
      <c r="J480" s="270">
        <f>IF(OR(N(Database!$S480)&lt;=0,N(Screener!$D$14)&lt;=0),0,MAX(0,1-ABS(LOG10(Database!$S480/Screener!$D$14))/0.6))</f>
        <v/>
      </c>
      <c r="K480" s="270">
        <f>IF(Database!$B480=Screener!$B$5,-999999,IF(ISNUMBER(SEARCH(","&amp;Database!$A480&amp;",",","&amp;SUBSTITUTE(Screener!$D$17," ","")&amp;",")),2000000,IF(IF(OR(Screener!$B$18="All",AND(Screener!$B$18="With A-share",(Database!$BM480="Y")),AND(Screener!$B$18="Without A-share",NOT((Database!$BM480="Y")))),1,0)=0,-999999,IF(Screener!$B$16="cornerstone overlap first",H480*100000,IF(Screener!$B$16="demand-similar first",J480*100000,0))+W_SUB*B480+W_SEC*C480*(1-B480)+W_SIZE*D480+W_PROF*E480+W_AH*F480+W_REC*G480+W_CS*H480+W_PE*I480)))+ROW()/1000000</f>
        <v/>
      </c>
      <c r="AA480" s="270">
        <f>Database!B469</f>
        <v/>
      </c>
      <c r="AB480" s="270">
        <f>Database!D469</f>
        <v/>
      </c>
      <c r="AC480" s="270">
        <f>Database!E469</f>
        <v/>
      </c>
      <c r="AD480" s="270">
        <f>Database!I469</f>
        <v/>
      </c>
      <c r="AE480" s="270">
        <f>Database!BG469</f>
        <v/>
      </c>
      <c r="AF480" s="270">
        <f>Database!BM469</f>
        <v/>
      </c>
      <c r="AG480" s="270">
        <f>Database!H469</f>
        <v/>
      </c>
      <c r="AH480" s="270">
        <f>Database!BH469</f>
        <v/>
      </c>
    </row>
    <row r="481">
      <c r="A481" s="270">
        <f>Database!B481</f>
        <v/>
      </c>
      <c r="B481" s="270">
        <f>IF(AND(Screener!$D$8&lt;&gt;"",Database!$E481=Screener!$D$8),1,0)</f>
        <v/>
      </c>
      <c r="C481" s="270">
        <f>IF(AND(Screener!$D$7&lt;&gt;"",Database!$D481=Screener!$D$7),1,0)</f>
        <v/>
      </c>
      <c r="D481" s="270">
        <f>IF(OR(N(Database!$I481)&lt;=0,N(Screener!$D$9)&lt;=0),0,MAX(0,1-ABS(LOG10(N(Database!$I481)/Screener!$D$9))/W_SIZEHW))</f>
        <v/>
      </c>
      <c r="E481" s="270">
        <f>IF(OR(Database!$BG481="",Screener!$D$10=""),0,IF(Database!$BG481=Screener!$D$10,1,0))</f>
        <v/>
      </c>
      <c r="F481" s="270">
        <f>IF(OR(Database!$BM481="",Screener!$D$11=""),0,IF(Database!$BM481=Screener!$D$11,1,0))</f>
        <v/>
      </c>
      <c r="G481" s="270">
        <f>IF(OR(Database!$H481="",N(Screener!$D$12)&lt;=0),0,MAX(0,1-(N(Screener!$D$12)-Database!$H481)/W_RECD))</f>
        <v/>
      </c>
      <c r="H481" s="270">
        <f>IF($U$1="",0,N(ISNUMBER(SEARCH($U$1,Database!$AC481&amp;""))))+IF($V$1="",0,N(ISNUMBER(SEARCH($V$1,Database!$AC481&amp;""))))+IF($W$1="",0,N(ISNUMBER(SEARCH($W$1,Database!$AC481&amp;""))))+IF($X$1="",0,N(ISNUMBER(SEARCH($X$1,Database!$AC481&amp;""))))+IF($Y$1="",0,N(ISNUMBER(SEARCH($Y$1,Database!$AC481&amp;""))))+IF(Screener!$B$17="",0,N(ISNUMBER(SEARCH(LOWER(Screener!$B$17),Database!$AC481&amp;""))))</f>
        <v/>
      </c>
      <c r="I481" s="270">
        <f>IF(OR(N(Database!$BH481)&lt;=0,N(Screener!$D$13)&lt;=0),0,MAX(0,1-ABS(LOG10(N(Database!$BH481)/Screener!$D$13))/W_PEHW))</f>
        <v/>
      </c>
      <c r="J481" s="270">
        <f>IF(OR(N(Database!$S481)&lt;=0,N(Screener!$D$14)&lt;=0),0,MAX(0,1-ABS(LOG10(Database!$S481/Screener!$D$14))/0.6))</f>
        <v/>
      </c>
      <c r="K481" s="270">
        <f>IF(Database!$B481=Screener!$B$5,-999999,IF(ISNUMBER(SEARCH(","&amp;Database!$A481&amp;",",","&amp;SUBSTITUTE(Screener!$D$17," ","")&amp;",")),2000000,IF(IF(OR(Screener!$B$18="All",AND(Screener!$B$18="With A-share",(Database!$BM481="Y")),AND(Screener!$B$18="Without A-share",NOT((Database!$BM481="Y")))),1,0)=0,-999999,IF(Screener!$B$16="cornerstone overlap first",H481*100000,IF(Screener!$B$16="demand-similar first",J481*100000,0))+W_SUB*B481+W_SEC*C481*(1-B481)+W_SIZE*D481+W_PROF*E481+W_AH*F481+W_REC*G481+W_CS*H481+W_PE*I481)))+ROW()/1000000</f>
        <v/>
      </c>
      <c r="AA481" s="270">
        <f>Database!B470</f>
        <v/>
      </c>
      <c r="AB481" s="270">
        <f>Database!D470</f>
        <v/>
      </c>
      <c r="AC481" s="270">
        <f>Database!E470</f>
        <v/>
      </c>
      <c r="AD481" s="270">
        <f>Database!I470</f>
        <v/>
      </c>
      <c r="AE481" s="270">
        <f>Database!BG470</f>
        <v/>
      </c>
      <c r="AF481" s="270">
        <f>Database!BM470</f>
        <v/>
      </c>
      <c r="AG481" s="270">
        <f>Database!H470</f>
        <v/>
      </c>
      <c r="AH481" s="270">
        <f>Database!BH470</f>
        <v/>
      </c>
    </row>
    <row r="482">
      <c r="A482" s="270">
        <f>Database!B482</f>
        <v/>
      </c>
      <c r="B482" s="270">
        <f>IF(AND(Screener!$D$8&lt;&gt;"",Database!$E482=Screener!$D$8),1,0)</f>
        <v/>
      </c>
      <c r="C482" s="270">
        <f>IF(AND(Screener!$D$7&lt;&gt;"",Database!$D482=Screener!$D$7),1,0)</f>
        <v/>
      </c>
      <c r="D482" s="270">
        <f>IF(OR(N(Database!$I482)&lt;=0,N(Screener!$D$9)&lt;=0),0,MAX(0,1-ABS(LOG10(N(Database!$I482)/Screener!$D$9))/W_SIZEHW))</f>
        <v/>
      </c>
      <c r="E482" s="270">
        <f>IF(OR(Database!$BG482="",Screener!$D$10=""),0,IF(Database!$BG482=Screener!$D$10,1,0))</f>
        <v/>
      </c>
      <c r="F482" s="270">
        <f>IF(OR(Database!$BM482="",Screener!$D$11=""),0,IF(Database!$BM482=Screener!$D$11,1,0))</f>
        <v/>
      </c>
      <c r="G482" s="270">
        <f>IF(OR(Database!$H482="",N(Screener!$D$12)&lt;=0),0,MAX(0,1-(N(Screener!$D$12)-Database!$H482)/W_RECD))</f>
        <v/>
      </c>
      <c r="H482" s="270">
        <f>IF($U$1="",0,N(ISNUMBER(SEARCH($U$1,Database!$AC482&amp;""))))+IF($V$1="",0,N(ISNUMBER(SEARCH($V$1,Database!$AC482&amp;""))))+IF($W$1="",0,N(ISNUMBER(SEARCH($W$1,Database!$AC482&amp;""))))+IF($X$1="",0,N(ISNUMBER(SEARCH($X$1,Database!$AC482&amp;""))))+IF($Y$1="",0,N(ISNUMBER(SEARCH($Y$1,Database!$AC482&amp;""))))+IF(Screener!$B$17="",0,N(ISNUMBER(SEARCH(LOWER(Screener!$B$17),Database!$AC482&amp;""))))</f>
        <v/>
      </c>
      <c r="I482" s="270">
        <f>IF(OR(N(Database!$BH482)&lt;=0,N(Screener!$D$13)&lt;=0),0,MAX(0,1-ABS(LOG10(N(Database!$BH482)/Screener!$D$13))/W_PEHW))</f>
        <v/>
      </c>
      <c r="J482" s="270">
        <f>IF(OR(N(Database!$S482)&lt;=0,N(Screener!$D$14)&lt;=0),0,MAX(0,1-ABS(LOG10(Database!$S482/Screener!$D$14))/0.6))</f>
        <v/>
      </c>
      <c r="K482" s="270">
        <f>IF(Database!$B482=Screener!$B$5,-999999,IF(ISNUMBER(SEARCH(","&amp;Database!$A482&amp;",",","&amp;SUBSTITUTE(Screener!$D$17," ","")&amp;",")),2000000,IF(IF(OR(Screener!$B$18="All",AND(Screener!$B$18="With A-share",(Database!$BM482="Y")),AND(Screener!$B$18="Without A-share",NOT((Database!$BM482="Y")))),1,0)=0,-999999,IF(Screener!$B$16="cornerstone overlap first",H482*100000,IF(Screener!$B$16="demand-similar first",J482*100000,0))+W_SUB*B482+W_SEC*C482*(1-B482)+W_SIZE*D482+W_PROF*E482+W_AH*F482+W_REC*G482+W_CS*H482+W_PE*I482)))+ROW()/1000000</f>
        <v/>
      </c>
      <c r="AA482" s="270">
        <f>Database!B471</f>
        <v/>
      </c>
      <c r="AB482" s="270">
        <f>Database!D471</f>
        <v/>
      </c>
      <c r="AC482" s="270">
        <f>Database!E471</f>
        <v/>
      </c>
      <c r="AD482" s="270">
        <f>Database!I471</f>
        <v/>
      </c>
      <c r="AE482" s="270">
        <f>Database!BG471</f>
        <v/>
      </c>
      <c r="AF482" s="270">
        <f>Database!BM471</f>
        <v/>
      </c>
      <c r="AG482" s="270">
        <f>Database!H471</f>
        <v/>
      </c>
      <c r="AH482" s="270">
        <f>Database!BH471</f>
        <v/>
      </c>
    </row>
    <row r="483">
      <c r="A483" s="270">
        <f>Database!B483</f>
        <v/>
      </c>
      <c r="B483" s="270">
        <f>IF(AND(Screener!$D$8&lt;&gt;"",Database!$E483=Screener!$D$8),1,0)</f>
        <v/>
      </c>
      <c r="C483" s="270">
        <f>IF(AND(Screener!$D$7&lt;&gt;"",Database!$D483=Screener!$D$7),1,0)</f>
        <v/>
      </c>
      <c r="D483" s="270">
        <f>IF(OR(N(Database!$I483)&lt;=0,N(Screener!$D$9)&lt;=0),0,MAX(0,1-ABS(LOG10(N(Database!$I483)/Screener!$D$9))/W_SIZEHW))</f>
        <v/>
      </c>
      <c r="E483" s="270">
        <f>IF(OR(Database!$BG483="",Screener!$D$10=""),0,IF(Database!$BG483=Screener!$D$10,1,0))</f>
        <v/>
      </c>
      <c r="F483" s="270">
        <f>IF(OR(Database!$BM483="",Screener!$D$11=""),0,IF(Database!$BM483=Screener!$D$11,1,0))</f>
        <v/>
      </c>
      <c r="G483" s="270">
        <f>IF(OR(Database!$H483="",N(Screener!$D$12)&lt;=0),0,MAX(0,1-(N(Screener!$D$12)-Database!$H483)/W_RECD))</f>
        <v/>
      </c>
      <c r="H483" s="270">
        <f>IF($U$1="",0,N(ISNUMBER(SEARCH($U$1,Database!$AC483&amp;""))))+IF($V$1="",0,N(ISNUMBER(SEARCH($V$1,Database!$AC483&amp;""))))+IF($W$1="",0,N(ISNUMBER(SEARCH($W$1,Database!$AC483&amp;""))))+IF($X$1="",0,N(ISNUMBER(SEARCH($X$1,Database!$AC483&amp;""))))+IF($Y$1="",0,N(ISNUMBER(SEARCH($Y$1,Database!$AC483&amp;""))))+IF(Screener!$B$17="",0,N(ISNUMBER(SEARCH(LOWER(Screener!$B$17),Database!$AC483&amp;""))))</f>
        <v/>
      </c>
      <c r="I483" s="270">
        <f>IF(OR(N(Database!$BH483)&lt;=0,N(Screener!$D$13)&lt;=0),0,MAX(0,1-ABS(LOG10(N(Database!$BH483)/Screener!$D$13))/W_PEHW))</f>
        <v/>
      </c>
      <c r="J483" s="270">
        <f>IF(OR(N(Database!$S483)&lt;=0,N(Screener!$D$14)&lt;=0),0,MAX(0,1-ABS(LOG10(Database!$S483/Screener!$D$14))/0.6))</f>
        <v/>
      </c>
      <c r="K483" s="270">
        <f>IF(Database!$B483=Screener!$B$5,-999999,IF(ISNUMBER(SEARCH(","&amp;Database!$A483&amp;",",","&amp;SUBSTITUTE(Screener!$D$17," ","")&amp;",")),2000000,IF(IF(OR(Screener!$B$18="All",AND(Screener!$B$18="With A-share",(Database!$BM483="Y")),AND(Screener!$B$18="Without A-share",NOT((Database!$BM483="Y")))),1,0)=0,-999999,IF(Screener!$B$16="cornerstone overlap first",H483*100000,IF(Screener!$B$16="demand-similar first",J483*100000,0))+W_SUB*B483+W_SEC*C483*(1-B483)+W_SIZE*D483+W_PROF*E483+W_AH*F483+W_REC*G483+W_CS*H483+W_PE*I483)))+ROW()/1000000</f>
        <v/>
      </c>
      <c r="AA483" s="270">
        <f>Database!B472</f>
        <v/>
      </c>
      <c r="AB483" s="270">
        <f>Database!D472</f>
        <v/>
      </c>
      <c r="AC483" s="270">
        <f>Database!E472</f>
        <v/>
      </c>
      <c r="AD483" s="270">
        <f>Database!I472</f>
        <v/>
      </c>
      <c r="AE483" s="270">
        <f>Database!BG472</f>
        <v/>
      </c>
      <c r="AF483" s="270">
        <f>Database!BM472</f>
        <v/>
      </c>
      <c r="AG483" s="270">
        <f>Database!H472</f>
        <v/>
      </c>
      <c r="AH483" s="270">
        <f>Database!BH472</f>
        <v/>
      </c>
    </row>
    <row r="484">
      <c r="A484" s="270">
        <f>Database!B484</f>
        <v/>
      </c>
      <c r="B484" s="270">
        <f>IF(AND(Screener!$D$8&lt;&gt;"",Database!$E484=Screener!$D$8),1,0)</f>
        <v/>
      </c>
      <c r="C484" s="270">
        <f>IF(AND(Screener!$D$7&lt;&gt;"",Database!$D484=Screener!$D$7),1,0)</f>
        <v/>
      </c>
      <c r="D484" s="270">
        <f>IF(OR(N(Database!$I484)&lt;=0,N(Screener!$D$9)&lt;=0),0,MAX(0,1-ABS(LOG10(N(Database!$I484)/Screener!$D$9))/W_SIZEHW))</f>
        <v/>
      </c>
      <c r="E484" s="270">
        <f>IF(OR(Database!$BG484="",Screener!$D$10=""),0,IF(Database!$BG484=Screener!$D$10,1,0))</f>
        <v/>
      </c>
      <c r="F484" s="270">
        <f>IF(OR(Database!$BM484="",Screener!$D$11=""),0,IF(Database!$BM484=Screener!$D$11,1,0))</f>
        <v/>
      </c>
      <c r="G484" s="270">
        <f>IF(OR(Database!$H484="",N(Screener!$D$12)&lt;=0),0,MAX(0,1-(N(Screener!$D$12)-Database!$H484)/W_RECD))</f>
        <v/>
      </c>
      <c r="H484" s="270">
        <f>IF($U$1="",0,N(ISNUMBER(SEARCH($U$1,Database!$AC484&amp;""))))+IF($V$1="",0,N(ISNUMBER(SEARCH($V$1,Database!$AC484&amp;""))))+IF($W$1="",0,N(ISNUMBER(SEARCH($W$1,Database!$AC484&amp;""))))+IF($X$1="",0,N(ISNUMBER(SEARCH($X$1,Database!$AC484&amp;""))))+IF($Y$1="",0,N(ISNUMBER(SEARCH($Y$1,Database!$AC484&amp;""))))+IF(Screener!$B$17="",0,N(ISNUMBER(SEARCH(LOWER(Screener!$B$17),Database!$AC484&amp;""))))</f>
        <v/>
      </c>
      <c r="I484" s="270">
        <f>IF(OR(N(Database!$BH484)&lt;=0,N(Screener!$D$13)&lt;=0),0,MAX(0,1-ABS(LOG10(N(Database!$BH484)/Screener!$D$13))/W_PEHW))</f>
        <v/>
      </c>
      <c r="J484" s="270">
        <f>IF(OR(N(Database!$S484)&lt;=0,N(Screener!$D$14)&lt;=0),0,MAX(0,1-ABS(LOG10(Database!$S484/Screener!$D$14))/0.6))</f>
        <v/>
      </c>
      <c r="K484" s="270">
        <f>IF(Database!$B484=Screener!$B$5,-999999,IF(ISNUMBER(SEARCH(","&amp;Database!$A484&amp;",",","&amp;SUBSTITUTE(Screener!$D$17," ","")&amp;",")),2000000,IF(IF(OR(Screener!$B$18="All",AND(Screener!$B$18="With A-share",(Database!$BM484="Y")),AND(Screener!$B$18="Without A-share",NOT((Database!$BM484="Y")))),1,0)=0,-999999,IF(Screener!$B$16="cornerstone overlap first",H484*100000,IF(Screener!$B$16="demand-similar first",J484*100000,0))+W_SUB*B484+W_SEC*C484*(1-B484)+W_SIZE*D484+W_PROF*E484+W_AH*F484+W_REC*G484+W_CS*H484+W_PE*I484)))+ROW()/1000000</f>
        <v/>
      </c>
      <c r="AA484" s="270">
        <f>Database!B473</f>
        <v/>
      </c>
      <c r="AB484" s="270">
        <f>Database!D473</f>
        <v/>
      </c>
      <c r="AC484" s="270">
        <f>Database!E473</f>
        <v/>
      </c>
      <c r="AD484" s="270">
        <f>Database!I473</f>
        <v/>
      </c>
      <c r="AE484" s="270">
        <f>Database!BG473</f>
        <v/>
      </c>
      <c r="AF484" s="270">
        <f>Database!BM473</f>
        <v/>
      </c>
      <c r="AG484" s="270">
        <f>Database!H473</f>
        <v/>
      </c>
      <c r="AH484" s="270">
        <f>Database!BH473</f>
        <v/>
      </c>
    </row>
    <row r="485">
      <c r="A485" s="270">
        <f>Database!B485</f>
        <v/>
      </c>
      <c r="B485" s="270">
        <f>IF(AND(Screener!$D$8&lt;&gt;"",Database!$E485=Screener!$D$8),1,0)</f>
        <v/>
      </c>
      <c r="C485" s="270">
        <f>IF(AND(Screener!$D$7&lt;&gt;"",Database!$D485=Screener!$D$7),1,0)</f>
        <v/>
      </c>
      <c r="D485" s="270">
        <f>IF(OR(N(Database!$I485)&lt;=0,N(Screener!$D$9)&lt;=0),0,MAX(0,1-ABS(LOG10(N(Database!$I485)/Screener!$D$9))/W_SIZEHW))</f>
        <v/>
      </c>
      <c r="E485" s="270">
        <f>IF(OR(Database!$BG485="",Screener!$D$10=""),0,IF(Database!$BG485=Screener!$D$10,1,0))</f>
        <v/>
      </c>
      <c r="F485" s="270">
        <f>IF(OR(Database!$BM485="",Screener!$D$11=""),0,IF(Database!$BM485=Screener!$D$11,1,0))</f>
        <v/>
      </c>
      <c r="G485" s="270">
        <f>IF(OR(Database!$H485="",N(Screener!$D$12)&lt;=0),0,MAX(0,1-(N(Screener!$D$12)-Database!$H485)/W_RECD))</f>
        <v/>
      </c>
      <c r="H485" s="270">
        <f>IF($U$1="",0,N(ISNUMBER(SEARCH($U$1,Database!$AC485&amp;""))))+IF($V$1="",0,N(ISNUMBER(SEARCH($V$1,Database!$AC485&amp;""))))+IF($W$1="",0,N(ISNUMBER(SEARCH($W$1,Database!$AC485&amp;""))))+IF($X$1="",0,N(ISNUMBER(SEARCH($X$1,Database!$AC485&amp;""))))+IF($Y$1="",0,N(ISNUMBER(SEARCH($Y$1,Database!$AC485&amp;""))))+IF(Screener!$B$17="",0,N(ISNUMBER(SEARCH(LOWER(Screener!$B$17),Database!$AC485&amp;""))))</f>
        <v/>
      </c>
      <c r="I485" s="270">
        <f>IF(OR(N(Database!$BH485)&lt;=0,N(Screener!$D$13)&lt;=0),0,MAX(0,1-ABS(LOG10(N(Database!$BH485)/Screener!$D$13))/W_PEHW))</f>
        <v/>
      </c>
      <c r="J485" s="270">
        <f>IF(OR(N(Database!$S485)&lt;=0,N(Screener!$D$14)&lt;=0),0,MAX(0,1-ABS(LOG10(Database!$S485/Screener!$D$14))/0.6))</f>
        <v/>
      </c>
      <c r="K485" s="270">
        <f>IF(Database!$B485=Screener!$B$5,-999999,IF(ISNUMBER(SEARCH(","&amp;Database!$A485&amp;",",","&amp;SUBSTITUTE(Screener!$D$17," ","")&amp;",")),2000000,IF(IF(OR(Screener!$B$18="All",AND(Screener!$B$18="With A-share",(Database!$BM485="Y")),AND(Screener!$B$18="Without A-share",NOT((Database!$BM485="Y")))),1,0)=0,-999999,IF(Screener!$B$16="cornerstone overlap first",H485*100000,IF(Screener!$B$16="demand-similar first",J485*100000,0))+W_SUB*B485+W_SEC*C485*(1-B485)+W_SIZE*D485+W_PROF*E485+W_AH*F485+W_REC*G485+W_CS*H485+W_PE*I485)))+ROW()/1000000</f>
        <v/>
      </c>
      <c r="AA485" s="270">
        <f>Database!B474</f>
        <v/>
      </c>
      <c r="AB485" s="270">
        <f>Database!D474</f>
        <v/>
      </c>
      <c r="AC485" s="270">
        <f>Database!E474</f>
        <v/>
      </c>
      <c r="AD485" s="270">
        <f>Database!I474</f>
        <v/>
      </c>
      <c r="AE485" s="270">
        <f>Database!BG474</f>
        <v/>
      </c>
      <c r="AF485" s="270">
        <f>Database!BM474</f>
        <v/>
      </c>
      <c r="AG485" s="270">
        <f>Database!H474</f>
        <v/>
      </c>
      <c r="AH485" s="270">
        <f>Database!BH474</f>
        <v/>
      </c>
    </row>
    <row r="486">
      <c r="A486" s="270">
        <f>Database!B486</f>
        <v/>
      </c>
      <c r="B486" s="270">
        <f>IF(AND(Screener!$D$8&lt;&gt;"",Database!$E486=Screener!$D$8),1,0)</f>
        <v/>
      </c>
      <c r="C486" s="270">
        <f>IF(AND(Screener!$D$7&lt;&gt;"",Database!$D486=Screener!$D$7),1,0)</f>
        <v/>
      </c>
      <c r="D486" s="270">
        <f>IF(OR(N(Database!$I486)&lt;=0,N(Screener!$D$9)&lt;=0),0,MAX(0,1-ABS(LOG10(N(Database!$I486)/Screener!$D$9))/W_SIZEHW))</f>
        <v/>
      </c>
      <c r="E486" s="270">
        <f>IF(OR(Database!$BG486="",Screener!$D$10=""),0,IF(Database!$BG486=Screener!$D$10,1,0))</f>
        <v/>
      </c>
      <c r="F486" s="270">
        <f>IF(OR(Database!$BM486="",Screener!$D$11=""),0,IF(Database!$BM486=Screener!$D$11,1,0))</f>
        <v/>
      </c>
      <c r="G486" s="270">
        <f>IF(OR(Database!$H486="",N(Screener!$D$12)&lt;=0),0,MAX(0,1-(N(Screener!$D$12)-Database!$H486)/W_RECD))</f>
        <v/>
      </c>
      <c r="H486" s="270">
        <f>IF($U$1="",0,N(ISNUMBER(SEARCH($U$1,Database!$AC486&amp;""))))+IF($V$1="",0,N(ISNUMBER(SEARCH($V$1,Database!$AC486&amp;""))))+IF($W$1="",0,N(ISNUMBER(SEARCH($W$1,Database!$AC486&amp;""))))+IF($X$1="",0,N(ISNUMBER(SEARCH($X$1,Database!$AC486&amp;""))))+IF($Y$1="",0,N(ISNUMBER(SEARCH($Y$1,Database!$AC486&amp;""))))+IF(Screener!$B$17="",0,N(ISNUMBER(SEARCH(LOWER(Screener!$B$17),Database!$AC486&amp;""))))</f>
        <v/>
      </c>
      <c r="I486" s="270">
        <f>IF(OR(N(Database!$BH486)&lt;=0,N(Screener!$D$13)&lt;=0),0,MAX(0,1-ABS(LOG10(N(Database!$BH486)/Screener!$D$13))/W_PEHW))</f>
        <v/>
      </c>
      <c r="J486" s="270">
        <f>IF(OR(N(Database!$S486)&lt;=0,N(Screener!$D$14)&lt;=0),0,MAX(0,1-ABS(LOG10(Database!$S486/Screener!$D$14))/0.6))</f>
        <v/>
      </c>
      <c r="K486" s="270">
        <f>IF(Database!$B486=Screener!$B$5,-999999,IF(ISNUMBER(SEARCH(","&amp;Database!$A486&amp;",",","&amp;SUBSTITUTE(Screener!$D$17," ","")&amp;",")),2000000,IF(IF(OR(Screener!$B$18="All",AND(Screener!$B$18="With A-share",(Database!$BM486="Y")),AND(Screener!$B$18="Without A-share",NOT((Database!$BM486="Y")))),1,0)=0,-999999,IF(Screener!$B$16="cornerstone overlap first",H486*100000,IF(Screener!$B$16="demand-similar first",J486*100000,0))+W_SUB*B486+W_SEC*C486*(1-B486)+W_SIZE*D486+W_PROF*E486+W_AH*F486+W_REC*G486+W_CS*H486+W_PE*I486)))+ROW()/1000000</f>
        <v/>
      </c>
      <c r="AA486" s="270">
        <f>Database!B475</f>
        <v/>
      </c>
      <c r="AB486" s="270">
        <f>Database!D475</f>
        <v/>
      </c>
      <c r="AC486" s="270">
        <f>Database!E475</f>
        <v/>
      </c>
      <c r="AD486" s="270">
        <f>Database!I475</f>
        <v/>
      </c>
      <c r="AE486" s="270">
        <f>Database!BG475</f>
        <v/>
      </c>
      <c r="AF486" s="270">
        <f>Database!BM475</f>
        <v/>
      </c>
      <c r="AG486" s="270">
        <f>Database!H475</f>
        <v/>
      </c>
      <c r="AH486" s="270">
        <f>Database!BH475</f>
        <v/>
      </c>
    </row>
    <row r="487">
      <c r="A487" s="270">
        <f>Database!B487</f>
        <v/>
      </c>
      <c r="B487" s="270">
        <f>IF(AND(Screener!$D$8&lt;&gt;"",Database!$E487=Screener!$D$8),1,0)</f>
        <v/>
      </c>
      <c r="C487" s="270">
        <f>IF(AND(Screener!$D$7&lt;&gt;"",Database!$D487=Screener!$D$7),1,0)</f>
        <v/>
      </c>
      <c r="D487" s="270">
        <f>IF(OR(N(Database!$I487)&lt;=0,N(Screener!$D$9)&lt;=0),0,MAX(0,1-ABS(LOG10(N(Database!$I487)/Screener!$D$9))/W_SIZEHW))</f>
        <v/>
      </c>
      <c r="E487" s="270">
        <f>IF(OR(Database!$BG487="",Screener!$D$10=""),0,IF(Database!$BG487=Screener!$D$10,1,0))</f>
        <v/>
      </c>
      <c r="F487" s="270">
        <f>IF(OR(Database!$BM487="",Screener!$D$11=""),0,IF(Database!$BM487=Screener!$D$11,1,0))</f>
        <v/>
      </c>
      <c r="G487" s="270">
        <f>IF(OR(Database!$H487="",N(Screener!$D$12)&lt;=0),0,MAX(0,1-(N(Screener!$D$12)-Database!$H487)/W_RECD))</f>
        <v/>
      </c>
      <c r="H487" s="270">
        <f>IF($U$1="",0,N(ISNUMBER(SEARCH($U$1,Database!$AC487&amp;""))))+IF($V$1="",0,N(ISNUMBER(SEARCH($V$1,Database!$AC487&amp;""))))+IF($W$1="",0,N(ISNUMBER(SEARCH($W$1,Database!$AC487&amp;""))))+IF($X$1="",0,N(ISNUMBER(SEARCH($X$1,Database!$AC487&amp;""))))+IF($Y$1="",0,N(ISNUMBER(SEARCH($Y$1,Database!$AC487&amp;""))))+IF(Screener!$B$17="",0,N(ISNUMBER(SEARCH(LOWER(Screener!$B$17),Database!$AC487&amp;""))))</f>
        <v/>
      </c>
      <c r="I487" s="270">
        <f>IF(OR(N(Database!$BH487)&lt;=0,N(Screener!$D$13)&lt;=0),0,MAX(0,1-ABS(LOG10(N(Database!$BH487)/Screener!$D$13))/W_PEHW))</f>
        <v/>
      </c>
      <c r="J487" s="270">
        <f>IF(OR(N(Database!$S487)&lt;=0,N(Screener!$D$14)&lt;=0),0,MAX(0,1-ABS(LOG10(Database!$S487/Screener!$D$14))/0.6))</f>
        <v/>
      </c>
      <c r="K487" s="270">
        <f>IF(Database!$B487=Screener!$B$5,-999999,IF(ISNUMBER(SEARCH(","&amp;Database!$A487&amp;",",","&amp;SUBSTITUTE(Screener!$D$17," ","")&amp;",")),2000000,IF(IF(OR(Screener!$B$18="All",AND(Screener!$B$18="With A-share",(Database!$BM487="Y")),AND(Screener!$B$18="Without A-share",NOT((Database!$BM487="Y")))),1,0)=0,-999999,IF(Screener!$B$16="cornerstone overlap first",H487*100000,IF(Screener!$B$16="demand-similar first",J487*100000,0))+W_SUB*B487+W_SEC*C487*(1-B487)+W_SIZE*D487+W_PROF*E487+W_AH*F487+W_REC*G487+W_CS*H487+W_PE*I487)))+ROW()/1000000</f>
        <v/>
      </c>
      <c r="AA487" s="270">
        <f>Database!B476</f>
        <v/>
      </c>
      <c r="AB487" s="270">
        <f>Database!D476</f>
        <v/>
      </c>
      <c r="AC487" s="270">
        <f>Database!E476</f>
        <v/>
      </c>
      <c r="AD487" s="270">
        <f>Database!I476</f>
        <v/>
      </c>
      <c r="AE487" s="270">
        <f>Database!BG476</f>
        <v/>
      </c>
      <c r="AF487" s="270">
        <f>Database!BM476</f>
        <v/>
      </c>
      <c r="AG487" s="270">
        <f>Database!H476</f>
        <v/>
      </c>
      <c r="AH487" s="270">
        <f>Database!BH476</f>
        <v/>
      </c>
    </row>
    <row r="488">
      <c r="A488" s="270">
        <f>Database!B488</f>
        <v/>
      </c>
      <c r="B488" s="270">
        <f>IF(AND(Screener!$D$8&lt;&gt;"",Database!$E488=Screener!$D$8),1,0)</f>
        <v/>
      </c>
      <c r="C488" s="270">
        <f>IF(AND(Screener!$D$7&lt;&gt;"",Database!$D488=Screener!$D$7),1,0)</f>
        <v/>
      </c>
      <c r="D488" s="270">
        <f>IF(OR(N(Database!$I488)&lt;=0,N(Screener!$D$9)&lt;=0),0,MAX(0,1-ABS(LOG10(N(Database!$I488)/Screener!$D$9))/W_SIZEHW))</f>
        <v/>
      </c>
      <c r="E488" s="270">
        <f>IF(OR(Database!$BG488="",Screener!$D$10=""),0,IF(Database!$BG488=Screener!$D$10,1,0))</f>
        <v/>
      </c>
      <c r="F488" s="270">
        <f>IF(OR(Database!$BM488="",Screener!$D$11=""),0,IF(Database!$BM488=Screener!$D$11,1,0))</f>
        <v/>
      </c>
      <c r="G488" s="270">
        <f>IF(OR(Database!$H488="",N(Screener!$D$12)&lt;=0),0,MAX(0,1-(N(Screener!$D$12)-Database!$H488)/W_RECD))</f>
        <v/>
      </c>
      <c r="H488" s="270">
        <f>IF($U$1="",0,N(ISNUMBER(SEARCH($U$1,Database!$AC488&amp;""))))+IF($V$1="",0,N(ISNUMBER(SEARCH($V$1,Database!$AC488&amp;""))))+IF($W$1="",0,N(ISNUMBER(SEARCH($W$1,Database!$AC488&amp;""))))+IF($X$1="",0,N(ISNUMBER(SEARCH($X$1,Database!$AC488&amp;""))))+IF($Y$1="",0,N(ISNUMBER(SEARCH($Y$1,Database!$AC488&amp;""))))+IF(Screener!$B$17="",0,N(ISNUMBER(SEARCH(LOWER(Screener!$B$17),Database!$AC488&amp;""))))</f>
        <v/>
      </c>
      <c r="I488" s="270">
        <f>IF(OR(N(Database!$BH488)&lt;=0,N(Screener!$D$13)&lt;=0),0,MAX(0,1-ABS(LOG10(N(Database!$BH488)/Screener!$D$13))/W_PEHW))</f>
        <v/>
      </c>
      <c r="J488" s="270">
        <f>IF(OR(N(Database!$S488)&lt;=0,N(Screener!$D$14)&lt;=0),0,MAX(0,1-ABS(LOG10(Database!$S488/Screener!$D$14))/0.6))</f>
        <v/>
      </c>
      <c r="K488" s="270">
        <f>IF(Database!$B488=Screener!$B$5,-999999,IF(ISNUMBER(SEARCH(","&amp;Database!$A488&amp;",",","&amp;SUBSTITUTE(Screener!$D$17," ","")&amp;",")),2000000,IF(IF(OR(Screener!$B$18="All",AND(Screener!$B$18="With A-share",(Database!$BM488="Y")),AND(Screener!$B$18="Without A-share",NOT((Database!$BM488="Y")))),1,0)=0,-999999,IF(Screener!$B$16="cornerstone overlap first",H488*100000,IF(Screener!$B$16="demand-similar first",J488*100000,0))+W_SUB*B488+W_SEC*C488*(1-B488)+W_SIZE*D488+W_PROF*E488+W_AH*F488+W_REC*G488+W_CS*H488+W_PE*I488)))+ROW()/1000000</f>
        <v/>
      </c>
      <c r="AA488" s="270">
        <f>Database!B477</f>
        <v/>
      </c>
      <c r="AB488" s="270">
        <f>Database!D477</f>
        <v/>
      </c>
      <c r="AC488" s="270">
        <f>Database!E477</f>
        <v/>
      </c>
      <c r="AD488" s="270">
        <f>Database!I477</f>
        <v/>
      </c>
      <c r="AE488" s="270">
        <f>Database!BG477</f>
        <v/>
      </c>
      <c r="AF488" s="270">
        <f>Database!BM477</f>
        <v/>
      </c>
      <c r="AG488" s="270">
        <f>Database!H477</f>
        <v/>
      </c>
      <c r="AH488" s="270">
        <f>Database!BH477</f>
        <v/>
      </c>
    </row>
    <row r="489">
      <c r="A489" s="270">
        <f>Database!B489</f>
        <v/>
      </c>
      <c r="B489" s="270">
        <f>IF(AND(Screener!$D$8&lt;&gt;"",Database!$E489=Screener!$D$8),1,0)</f>
        <v/>
      </c>
      <c r="C489" s="270">
        <f>IF(AND(Screener!$D$7&lt;&gt;"",Database!$D489=Screener!$D$7),1,0)</f>
        <v/>
      </c>
      <c r="D489" s="270">
        <f>IF(OR(N(Database!$I489)&lt;=0,N(Screener!$D$9)&lt;=0),0,MAX(0,1-ABS(LOG10(N(Database!$I489)/Screener!$D$9))/W_SIZEHW))</f>
        <v/>
      </c>
      <c r="E489" s="270">
        <f>IF(OR(Database!$BG489="",Screener!$D$10=""),0,IF(Database!$BG489=Screener!$D$10,1,0))</f>
        <v/>
      </c>
      <c r="F489" s="270">
        <f>IF(OR(Database!$BM489="",Screener!$D$11=""),0,IF(Database!$BM489=Screener!$D$11,1,0))</f>
        <v/>
      </c>
      <c r="G489" s="270">
        <f>IF(OR(Database!$H489="",N(Screener!$D$12)&lt;=0),0,MAX(0,1-(N(Screener!$D$12)-Database!$H489)/W_RECD))</f>
        <v/>
      </c>
      <c r="H489" s="270">
        <f>IF($U$1="",0,N(ISNUMBER(SEARCH($U$1,Database!$AC489&amp;""))))+IF($V$1="",0,N(ISNUMBER(SEARCH($V$1,Database!$AC489&amp;""))))+IF($W$1="",0,N(ISNUMBER(SEARCH($W$1,Database!$AC489&amp;""))))+IF($X$1="",0,N(ISNUMBER(SEARCH($X$1,Database!$AC489&amp;""))))+IF($Y$1="",0,N(ISNUMBER(SEARCH($Y$1,Database!$AC489&amp;""))))+IF(Screener!$B$17="",0,N(ISNUMBER(SEARCH(LOWER(Screener!$B$17),Database!$AC489&amp;""))))</f>
        <v/>
      </c>
      <c r="I489" s="270">
        <f>IF(OR(N(Database!$BH489)&lt;=0,N(Screener!$D$13)&lt;=0),0,MAX(0,1-ABS(LOG10(N(Database!$BH489)/Screener!$D$13))/W_PEHW))</f>
        <v/>
      </c>
      <c r="J489" s="270">
        <f>IF(OR(N(Database!$S489)&lt;=0,N(Screener!$D$14)&lt;=0),0,MAX(0,1-ABS(LOG10(Database!$S489/Screener!$D$14))/0.6))</f>
        <v/>
      </c>
      <c r="K489" s="270">
        <f>IF(Database!$B489=Screener!$B$5,-999999,IF(ISNUMBER(SEARCH(","&amp;Database!$A489&amp;",",","&amp;SUBSTITUTE(Screener!$D$17," ","")&amp;",")),2000000,IF(IF(OR(Screener!$B$18="All",AND(Screener!$B$18="With A-share",(Database!$BM489="Y")),AND(Screener!$B$18="Without A-share",NOT((Database!$BM489="Y")))),1,0)=0,-999999,IF(Screener!$B$16="cornerstone overlap first",H489*100000,IF(Screener!$B$16="demand-similar first",J489*100000,0))+W_SUB*B489+W_SEC*C489*(1-B489)+W_SIZE*D489+W_PROF*E489+W_AH*F489+W_REC*G489+W_CS*H489+W_PE*I489)))+ROW()/1000000</f>
        <v/>
      </c>
      <c r="AA489" s="270">
        <f>Database!B478</f>
        <v/>
      </c>
      <c r="AB489" s="270">
        <f>Database!D478</f>
        <v/>
      </c>
      <c r="AC489" s="270">
        <f>Database!E478</f>
        <v/>
      </c>
      <c r="AD489" s="270">
        <f>Database!I478</f>
        <v/>
      </c>
      <c r="AE489" s="270">
        <f>Database!BG478</f>
        <v/>
      </c>
      <c r="AF489" s="270">
        <f>Database!BM478</f>
        <v/>
      </c>
      <c r="AG489" s="270">
        <f>Database!H478</f>
        <v/>
      </c>
      <c r="AH489" s="270">
        <f>Database!BH478</f>
        <v/>
      </c>
    </row>
    <row r="490">
      <c r="A490" s="270">
        <f>Database!B490</f>
        <v/>
      </c>
      <c r="B490" s="270">
        <f>IF(AND(Screener!$D$8&lt;&gt;"",Database!$E490=Screener!$D$8),1,0)</f>
        <v/>
      </c>
      <c r="C490" s="270">
        <f>IF(AND(Screener!$D$7&lt;&gt;"",Database!$D490=Screener!$D$7),1,0)</f>
        <v/>
      </c>
      <c r="D490" s="270">
        <f>IF(OR(N(Database!$I490)&lt;=0,N(Screener!$D$9)&lt;=0),0,MAX(0,1-ABS(LOG10(N(Database!$I490)/Screener!$D$9))/W_SIZEHW))</f>
        <v/>
      </c>
      <c r="E490" s="270">
        <f>IF(OR(Database!$BG490="",Screener!$D$10=""),0,IF(Database!$BG490=Screener!$D$10,1,0))</f>
        <v/>
      </c>
      <c r="F490" s="270">
        <f>IF(OR(Database!$BM490="",Screener!$D$11=""),0,IF(Database!$BM490=Screener!$D$11,1,0))</f>
        <v/>
      </c>
      <c r="G490" s="270">
        <f>IF(OR(Database!$H490="",N(Screener!$D$12)&lt;=0),0,MAX(0,1-(N(Screener!$D$12)-Database!$H490)/W_RECD))</f>
        <v/>
      </c>
      <c r="H490" s="270">
        <f>IF($U$1="",0,N(ISNUMBER(SEARCH($U$1,Database!$AC490&amp;""))))+IF($V$1="",0,N(ISNUMBER(SEARCH($V$1,Database!$AC490&amp;""))))+IF($W$1="",0,N(ISNUMBER(SEARCH($W$1,Database!$AC490&amp;""))))+IF($X$1="",0,N(ISNUMBER(SEARCH($X$1,Database!$AC490&amp;""))))+IF($Y$1="",0,N(ISNUMBER(SEARCH($Y$1,Database!$AC490&amp;""))))+IF(Screener!$B$17="",0,N(ISNUMBER(SEARCH(LOWER(Screener!$B$17),Database!$AC490&amp;""))))</f>
        <v/>
      </c>
      <c r="I490" s="270">
        <f>IF(OR(N(Database!$BH490)&lt;=0,N(Screener!$D$13)&lt;=0),0,MAX(0,1-ABS(LOG10(N(Database!$BH490)/Screener!$D$13))/W_PEHW))</f>
        <v/>
      </c>
      <c r="J490" s="270">
        <f>IF(OR(N(Database!$S490)&lt;=0,N(Screener!$D$14)&lt;=0),0,MAX(0,1-ABS(LOG10(Database!$S490/Screener!$D$14))/0.6))</f>
        <v/>
      </c>
      <c r="K490" s="270">
        <f>IF(Database!$B490=Screener!$B$5,-999999,IF(ISNUMBER(SEARCH(","&amp;Database!$A490&amp;",",","&amp;SUBSTITUTE(Screener!$D$17," ","")&amp;",")),2000000,IF(IF(OR(Screener!$B$18="All",AND(Screener!$B$18="With A-share",(Database!$BM490="Y")),AND(Screener!$B$18="Without A-share",NOT((Database!$BM490="Y")))),1,0)=0,-999999,IF(Screener!$B$16="cornerstone overlap first",H490*100000,IF(Screener!$B$16="demand-similar first",J490*100000,0))+W_SUB*B490+W_SEC*C490*(1-B490)+W_SIZE*D490+W_PROF*E490+W_AH*F490+W_REC*G490+W_CS*H490+W_PE*I490)))+ROW()/1000000</f>
        <v/>
      </c>
      <c r="AA490" s="270">
        <f>Database!B479</f>
        <v/>
      </c>
      <c r="AB490" s="270">
        <f>Database!D479</f>
        <v/>
      </c>
      <c r="AC490" s="270">
        <f>Database!E479</f>
        <v/>
      </c>
      <c r="AD490" s="270">
        <f>Database!I479</f>
        <v/>
      </c>
      <c r="AE490" s="270">
        <f>Database!BG479</f>
        <v/>
      </c>
      <c r="AF490" s="270">
        <f>Database!BM479</f>
        <v/>
      </c>
      <c r="AG490" s="270">
        <f>Database!H479</f>
        <v/>
      </c>
      <c r="AH490" s="270">
        <f>Database!BH479</f>
        <v/>
      </c>
    </row>
    <row r="491">
      <c r="A491" s="270">
        <f>Database!B491</f>
        <v/>
      </c>
      <c r="B491" s="270">
        <f>IF(AND(Screener!$D$8&lt;&gt;"",Database!$E491=Screener!$D$8),1,0)</f>
        <v/>
      </c>
      <c r="C491" s="270">
        <f>IF(AND(Screener!$D$7&lt;&gt;"",Database!$D491=Screener!$D$7),1,0)</f>
        <v/>
      </c>
      <c r="D491" s="270">
        <f>IF(OR(N(Database!$I491)&lt;=0,N(Screener!$D$9)&lt;=0),0,MAX(0,1-ABS(LOG10(N(Database!$I491)/Screener!$D$9))/W_SIZEHW))</f>
        <v/>
      </c>
      <c r="E491" s="270">
        <f>IF(OR(Database!$BG491="",Screener!$D$10=""),0,IF(Database!$BG491=Screener!$D$10,1,0))</f>
        <v/>
      </c>
      <c r="F491" s="270">
        <f>IF(OR(Database!$BM491="",Screener!$D$11=""),0,IF(Database!$BM491=Screener!$D$11,1,0))</f>
        <v/>
      </c>
      <c r="G491" s="270">
        <f>IF(OR(Database!$H491="",N(Screener!$D$12)&lt;=0),0,MAX(0,1-(N(Screener!$D$12)-Database!$H491)/W_RECD))</f>
        <v/>
      </c>
      <c r="H491" s="270">
        <f>IF($U$1="",0,N(ISNUMBER(SEARCH($U$1,Database!$AC491&amp;""))))+IF($V$1="",0,N(ISNUMBER(SEARCH($V$1,Database!$AC491&amp;""))))+IF($W$1="",0,N(ISNUMBER(SEARCH($W$1,Database!$AC491&amp;""))))+IF($X$1="",0,N(ISNUMBER(SEARCH($X$1,Database!$AC491&amp;""))))+IF($Y$1="",0,N(ISNUMBER(SEARCH($Y$1,Database!$AC491&amp;""))))+IF(Screener!$B$17="",0,N(ISNUMBER(SEARCH(LOWER(Screener!$B$17),Database!$AC491&amp;""))))</f>
        <v/>
      </c>
      <c r="I491" s="270">
        <f>IF(OR(N(Database!$BH491)&lt;=0,N(Screener!$D$13)&lt;=0),0,MAX(0,1-ABS(LOG10(N(Database!$BH491)/Screener!$D$13))/W_PEHW))</f>
        <v/>
      </c>
      <c r="J491" s="270">
        <f>IF(OR(N(Database!$S491)&lt;=0,N(Screener!$D$14)&lt;=0),0,MAX(0,1-ABS(LOG10(Database!$S491/Screener!$D$14))/0.6))</f>
        <v/>
      </c>
      <c r="K491" s="270">
        <f>IF(Database!$B491=Screener!$B$5,-999999,IF(ISNUMBER(SEARCH(","&amp;Database!$A491&amp;",",","&amp;SUBSTITUTE(Screener!$D$17," ","")&amp;",")),2000000,IF(IF(OR(Screener!$B$18="All",AND(Screener!$B$18="With A-share",(Database!$BM491="Y")),AND(Screener!$B$18="Without A-share",NOT((Database!$BM491="Y")))),1,0)=0,-999999,IF(Screener!$B$16="cornerstone overlap first",H491*100000,IF(Screener!$B$16="demand-similar first",J491*100000,0))+W_SUB*B491+W_SEC*C491*(1-B491)+W_SIZE*D491+W_PROF*E491+W_AH*F491+W_REC*G491+W_CS*H491+W_PE*I491)))+ROW()/1000000</f>
        <v/>
      </c>
      <c r="AA491" s="270">
        <f>Database!B480</f>
        <v/>
      </c>
      <c r="AB491" s="270">
        <f>Database!D480</f>
        <v/>
      </c>
      <c r="AC491" s="270">
        <f>Database!E480</f>
        <v/>
      </c>
      <c r="AD491" s="270">
        <f>Database!I480</f>
        <v/>
      </c>
      <c r="AE491" s="270">
        <f>Database!BG480</f>
        <v/>
      </c>
      <c r="AF491" s="270">
        <f>Database!BM480</f>
        <v/>
      </c>
      <c r="AG491" s="270">
        <f>Database!H480</f>
        <v/>
      </c>
      <c r="AH491" s="270">
        <f>Database!BH480</f>
        <v/>
      </c>
    </row>
    <row r="492">
      <c r="A492" s="270">
        <f>Database!B492</f>
        <v/>
      </c>
      <c r="B492" s="270">
        <f>IF(AND(Screener!$D$8&lt;&gt;"",Database!$E492=Screener!$D$8),1,0)</f>
        <v/>
      </c>
      <c r="C492" s="270">
        <f>IF(AND(Screener!$D$7&lt;&gt;"",Database!$D492=Screener!$D$7),1,0)</f>
        <v/>
      </c>
      <c r="D492" s="270">
        <f>IF(OR(N(Database!$I492)&lt;=0,N(Screener!$D$9)&lt;=0),0,MAX(0,1-ABS(LOG10(N(Database!$I492)/Screener!$D$9))/W_SIZEHW))</f>
        <v/>
      </c>
      <c r="E492" s="270">
        <f>IF(OR(Database!$BG492="",Screener!$D$10=""),0,IF(Database!$BG492=Screener!$D$10,1,0))</f>
        <v/>
      </c>
      <c r="F492" s="270">
        <f>IF(OR(Database!$BM492="",Screener!$D$11=""),0,IF(Database!$BM492=Screener!$D$11,1,0))</f>
        <v/>
      </c>
      <c r="G492" s="270">
        <f>IF(OR(Database!$H492="",N(Screener!$D$12)&lt;=0),0,MAX(0,1-(N(Screener!$D$12)-Database!$H492)/W_RECD))</f>
        <v/>
      </c>
      <c r="H492" s="270">
        <f>IF($U$1="",0,N(ISNUMBER(SEARCH($U$1,Database!$AC492&amp;""))))+IF($V$1="",0,N(ISNUMBER(SEARCH($V$1,Database!$AC492&amp;""))))+IF($W$1="",0,N(ISNUMBER(SEARCH($W$1,Database!$AC492&amp;""))))+IF($X$1="",0,N(ISNUMBER(SEARCH($X$1,Database!$AC492&amp;""))))+IF($Y$1="",0,N(ISNUMBER(SEARCH($Y$1,Database!$AC492&amp;""))))+IF(Screener!$B$17="",0,N(ISNUMBER(SEARCH(LOWER(Screener!$B$17),Database!$AC492&amp;""))))</f>
        <v/>
      </c>
      <c r="I492" s="270">
        <f>IF(OR(N(Database!$BH492)&lt;=0,N(Screener!$D$13)&lt;=0),0,MAX(0,1-ABS(LOG10(N(Database!$BH492)/Screener!$D$13))/W_PEHW))</f>
        <v/>
      </c>
      <c r="J492" s="270">
        <f>IF(OR(N(Database!$S492)&lt;=0,N(Screener!$D$14)&lt;=0),0,MAX(0,1-ABS(LOG10(Database!$S492/Screener!$D$14))/0.6))</f>
        <v/>
      </c>
      <c r="K492" s="270">
        <f>IF(Database!$B492=Screener!$B$5,-999999,IF(ISNUMBER(SEARCH(","&amp;Database!$A492&amp;",",","&amp;SUBSTITUTE(Screener!$D$17," ","")&amp;",")),2000000,IF(IF(OR(Screener!$B$18="All",AND(Screener!$B$18="With A-share",(Database!$BM492="Y")),AND(Screener!$B$18="Without A-share",NOT((Database!$BM492="Y")))),1,0)=0,-999999,IF(Screener!$B$16="cornerstone overlap first",H492*100000,IF(Screener!$B$16="demand-similar first",J492*100000,0))+W_SUB*B492+W_SEC*C492*(1-B492)+W_SIZE*D492+W_PROF*E492+W_AH*F492+W_REC*G492+W_CS*H492+W_PE*I492)))+ROW()/1000000</f>
        <v/>
      </c>
      <c r="AA492" s="270">
        <f>Database!B481</f>
        <v/>
      </c>
      <c r="AB492" s="270">
        <f>Database!D481</f>
        <v/>
      </c>
      <c r="AC492" s="270">
        <f>Database!E481</f>
        <v/>
      </c>
      <c r="AD492" s="270">
        <f>Database!I481</f>
        <v/>
      </c>
      <c r="AE492" s="270">
        <f>Database!BG481</f>
        <v/>
      </c>
      <c r="AF492" s="270">
        <f>Database!BM481</f>
        <v/>
      </c>
      <c r="AG492" s="270">
        <f>Database!H481</f>
        <v/>
      </c>
      <c r="AH492" s="270">
        <f>Database!BH481</f>
        <v/>
      </c>
    </row>
    <row r="493">
      <c r="A493" s="270">
        <f>Database!B493</f>
        <v/>
      </c>
      <c r="B493" s="270">
        <f>IF(AND(Screener!$D$8&lt;&gt;"",Database!$E493=Screener!$D$8),1,0)</f>
        <v/>
      </c>
      <c r="C493" s="270">
        <f>IF(AND(Screener!$D$7&lt;&gt;"",Database!$D493=Screener!$D$7),1,0)</f>
        <v/>
      </c>
      <c r="D493" s="270">
        <f>IF(OR(N(Database!$I493)&lt;=0,N(Screener!$D$9)&lt;=0),0,MAX(0,1-ABS(LOG10(N(Database!$I493)/Screener!$D$9))/W_SIZEHW))</f>
        <v/>
      </c>
      <c r="E493" s="270">
        <f>IF(OR(Database!$BG493="",Screener!$D$10=""),0,IF(Database!$BG493=Screener!$D$10,1,0))</f>
        <v/>
      </c>
      <c r="F493" s="270">
        <f>IF(OR(Database!$BM493="",Screener!$D$11=""),0,IF(Database!$BM493=Screener!$D$11,1,0))</f>
        <v/>
      </c>
      <c r="G493" s="270">
        <f>IF(OR(Database!$H493="",N(Screener!$D$12)&lt;=0),0,MAX(0,1-(N(Screener!$D$12)-Database!$H493)/W_RECD))</f>
        <v/>
      </c>
      <c r="H493" s="270">
        <f>IF($U$1="",0,N(ISNUMBER(SEARCH($U$1,Database!$AC493&amp;""))))+IF($V$1="",0,N(ISNUMBER(SEARCH($V$1,Database!$AC493&amp;""))))+IF($W$1="",0,N(ISNUMBER(SEARCH($W$1,Database!$AC493&amp;""))))+IF($X$1="",0,N(ISNUMBER(SEARCH($X$1,Database!$AC493&amp;""))))+IF($Y$1="",0,N(ISNUMBER(SEARCH($Y$1,Database!$AC493&amp;""))))+IF(Screener!$B$17="",0,N(ISNUMBER(SEARCH(LOWER(Screener!$B$17),Database!$AC493&amp;""))))</f>
        <v/>
      </c>
      <c r="I493" s="270">
        <f>IF(OR(N(Database!$BH493)&lt;=0,N(Screener!$D$13)&lt;=0),0,MAX(0,1-ABS(LOG10(N(Database!$BH493)/Screener!$D$13))/W_PEHW))</f>
        <v/>
      </c>
      <c r="J493" s="270">
        <f>IF(OR(N(Database!$S493)&lt;=0,N(Screener!$D$14)&lt;=0),0,MAX(0,1-ABS(LOG10(Database!$S493/Screener!$D$14))/0.6))</f>
        <v/>
      </c>
      <c r="K493" s="270">
        <f>IF(Database!$B493=Screener!$B$5,-999999,IF(ISNUMBER(SEARCH(","&amp;Database!$A493&amp;",",","&amp;SUBSTITUTE(Screener!$D$17," ","")&amp;",")),2000000,IF(IF(OR(Screener!$B$18="All",AND(Screener!$B$18="With A-share",(Database!$BM493="Y")),AND(Screener!$B$18="Without A-share",NOT((Database!$BM493="Y")))),1,0)=0,-999999,IF(Screener!$B$16="cornerstone overlap first",H493*100000,IF(Screener!$B$16="demand-similar first",J493*100000,0))+W_SUB*B493+W_SEC*C493*(1-B493)+W_SIZE*D493+W_PROF*E493+W_AH*F493+W_REC*G493+W_CS*H493+W_PE*I493)))+ROW()/1000000</f>
        <v/>
      </c>
      <c r="AA493" s="270">
        <f>Database!B482</f>
        <v/>
      </c>
      <c r="AB493" s="270">
        <f>Database!D482</f>
        <v/>
      </c>
      <c r="AC493" s="270">
        <f>Database!E482</f>
        <v/>
      </c>
      <c r="AD493" s="270">
        <f>Database!I482</f>
        <v/>
      </c>
      <c r="AE493" s="270">
        <f>Database!BG482</f>
        <v/>
      </c>
      <c r="AF493" s="270">
        <f>Database!BM482</f>
        <v/>
      </c>
      <c r="AG493" s="270">
        <f>Database!H482</f>
        <v/>
      </c>
      <c r="AH493" s="270">
        <f>Database!BH482</f>
        <v/>
      </c>
    </row>
    <row r="494">
      <c r="A494" s="270">
        <f>Database!B494</f>
        <v/>
      </c>
      <c r="B494" s="270">
        <f>IF(AND(Screener!$D$8&lt;&gt;"",Database!$E494=Screener!$D$8),1,0)</f>
        <v/>
      </c>
      <c r="C494" s="270">
        <f>IF(AND(Screener!$D$7&lt;&gt;"",Database!$D494=Screener!$D$7),1,0)</f>
        <v/>
      </c>
      <c r="D494" s="270">
        <f>IF(OR(N(Database!$I494)&lt;=0,N(Screener!$D$9)&lt;=0),0,MAX(0,1-ABS(LOG10(N(Database!$I494)/Screener!$D$9))/W_SIZEHW))</f>
        <v/>
      </c>
      <c r="E494" s="270">
        <f>IF(OR(Database!$BG494="",Screener!$D$10=""),0,IF(Database!$BG494=Screener!$D$10,1,0))</f>
        <v/>
      </c>
      <c r="F494" s="270">
        <f>IF(OR(Database!$BM494="",Screener!$D$11=""),0,IF(Database!$BM494=Screener!$D$11,1,0))</f>
        <v/>
      </c>
      <c r="G494" s="270">
        <f>IF(OR(Database!$H494="",N(Screener!$D$12)&lt;=0),0,MAX(0,1-(N(Screener!$D$12)-Database!$H494)/W_RECD))</f>
        <v/>
      </c>
      <c r="H494" s="270">
        <f>IF($U$1="",0,N(ISNUMBER(SEARCH($U$1,Database!$AC494&amp;""))))+IF($V$1="",0,N(ISNUMBER(SEARCH($V$1,Database!$AC494&amp;""))))+IF($W$1="",0,N(ISNUMBER(SEARCH($W$1,Database!$AC494&amp;""))))+IF($X$1="",0,N(ISNUMBER(SEARCH($X$1,Database!$AC494&amp;""))))+IF($Y$1="",0,N(ISNUMBER(SEARCH($Y$1,Database!$AC494&amp;""))))+IF(Screener!$B$17="",0,N(ISNUMBER(SEARCH(LOWER(Screener!$B$17),Database!$AC494&amp;""))))</f>
        <v/>
      </c>
      <c r="I494" s="270">
        <f>IF(OR(N(Database!$BH494)&lt;=0,N(Screener!$D$13)&lt;=0),0,MAX(0,1-ABS(LOG10(N(Database!$BH494)/Screener!$D$13))/W_PEHW))</f>
        <v/>
      </c>
      <c r="J494" s="270">
        <f>IF(OR(N(Database!$S494)&lt;=0,N(Screener!$D$14)&lt;=0),0,MAX(0,1-ABS(LOG10(Database!$S494/Screener!$D$14))/0.6))</f>
        <v/>
      </c>
      <c r="K494" s="270">
        <f>IF(Database!$B494=Screener!$B$5,-999999,IF(ISNUMBER(SEARCH(","&amp;Database!$A494&amp;",",","&amp;SUBSTITUTE(Screener!$D$17," ","")&amp;",")),2000000,IF(IF(OR(Screener!$B$18="All",AND(Screener!$B$18="With A-share",(Database!$BM494="Y")),AND(Screener!$B$18="Without A-share",NOT((Database!$BM494="Y")))),1,0)=0,-999999,IF(Screener!$B$16="cornerstone overlap first",H494*100000,IF(Screener!$B$16="demand-similar first",J494*100000,0))+W_SUB*B494+W_SEC*C494*(1-B494)+W_SIZE*D494+W_PROF*E494+W_AH*F494+W_REC*G494+W_CS*H494+W_PE*I494)))+ROW()/1000000</f>
        <v/>
      </c>
      <c r="AA494" s="270">
        <f>Database!B483</f>
        <v/>
      </c>
      <c r="AB494" s="270">
        <f>Database!D483</f>
        <v/>
      </c>
      <c r="AC494" s="270">
        <f>Database!E483</f>
        <v/>
      </c>
      <c r="AD494" s="270">
        <f>Database!I483</f>
        <v/>
      </c>
      <c r="AE494" s="270">
        <f>Database!BG483</f>
        <v/>
      </c>
      <c r="AF494" s="270">
        <f>Database!BM483</f>
        <v/>
      </c>
      <c r="AG494" s="270">
        <f>Database!H483</f>
        <v/>
      </c>
      <c r="AH494" s="270">
        <f>Database!BH483</f>
        <v/>
      </c>
    </row>
    <row r="495">
      <c r="A495" s="270">
        <f>Database!B495</f>
        <v/>
      </c>
      <c r="B495" s="270">
        <f>IF(AND(Screener!$D$8&lt;&gt;"",Database!$E495=Screener!$D$8),1,0)</f>
        <v/>
      </c>
      <c r="C495" s="270">
        <f>IF(AND(Screener!$D$7&lt;&gt;"",Database!$D495=Screener!$D$7),1,0)</f>
        <v/>
      </c>
      <c r="D495" s="270">
        <f>IF(OR(N(Database!$I495)&lt;=0,N(Screener!$D$9)&lt;=0),0,MAX(0,1-ABS(LOG10(N(Database!$I495)/Screener!$D$9))/W_SIZEHW))</f>
        <v/>
      </c>
      <c r="E495" s="270">
        <f>IF(OR(Database!$BG495="",Screener!$D$10=""),0,IF(Database!$BG495=Screener!$D$10,1,0))</f>
        <v/>
      </c>
      <c r="F495" s="270">
        <f>IF(OR(Database!$BM495="",Screener!$D$11=""),0,IF(Database!$BM495=Screener!$D$11,1,0))</f>
        <v/>
      </c>
      <c r="G495" s="270">
        <f>IF(OR(Database!$H495="",N(Screener!$D$12)&lt;=0),0,MAX(0,1-(N(Screener!$D$12)-Database!$H495)/W_RECD))</f>
        <v/>
      </c>
      <c r="H495" s="270">
        <f>IF($U$1="",0,N(ISNUMBER(SEARCH($U$1,Database!$AC495&amp;""))))+IF($V$1="",0,N(ISNUMBER(SEARCH($V$1,Database!$AC495&amp;""))))+IF($W$1="",0,N(ISNUMBER(SEARCH($W$1,Database!$AC495&amp;""))))+IF($X$1="",0,N(ISNUMBER(SEARCH($X$1,Database!$AC495&amp;""))))+IF($Y$1="",0,N(ISNUMBER(SEARCH($Y$1,Database!$AC495&amp;""))))+IF(Screener!$B$17="",0,N(ISNUMBER(SEARCH(LOWER(Screener!$B$17),Database!$AC495&amp;""))))</f>
        <v/>
      </c>
      <c r="I495" s="270">
        <f>IF(OR(N(Database!$BH495)&lt;=0,N(Screener!$D$13)&lt;=0),0,MAX(0,1-ABS(LOG10(N(Database!$BH495)/Screener!$D$13))/W_PEHW))</f>
        <v/>
      </c>
      <c r="J495" s="270">
        <f>IF(OR(N(Database!$S495)&lt;=0,N(Screener!$D$14)&lt;=0),0,MAX(0,1-ABS(LOG10(Database!$S495/Screener!$D$14))/0.6))</f>
        <v/>
      </c>
      <c r="K495" s="270">
        <f>IF(Database!$B495=Screener!$B$5,-999999,IF(ISNUMBER(SEARCH(","&amp;Database!$A495&amp;",",","&amp;SUBSTITUTE(Screener!$D$17," ","")&amp;",")),2000000,IF(IF(OR(Screener!$B$18="All",AND(Screener!$B$18="With A-share",(Database!$BM495="Y")),AND(Screener!$B$18="Without A-share",NOT((Database!$BM495="Y")))),1,0)=0,-999999,IF(Screener!$B$16="cornerstone overlap first",H495*100000,IF(Screener!$B$16="demand-similar first",J495*100000,0))+W_SUB*B495+W_SEC*C495*(1-B495)+W_SIZE*D495+W_PROF*E495+W_AH*F495+W_REC*G495+W_CS*H495+W_PE*I495)))+ROW()/1000000</f>
        <v/>
      </c>
      <c r="AA495" s="270">
        <f>Database!B484</f>
        <v/>
      </c>
      <c r="AB495" s="270">
        <f>Database!D484</f>
        <v/>
      </c>
      <c r="AC495" s="270">
        <f>Database!E484</f>
        <v/>
      </c>
      <c r="AD495" s="270">
        <f>Database!I484</f>
        <v/>
      </c>
      <c r="AE495" s="270">
        <f>Database!BG484</f>
        <v/>
      </c>
      <c r="AF495" s="270">
        <f>Database!BM484</f>
        <v/>
      </c>
      <c r="AG495" s="270">
        <f>Database!H484</f>
        <v/>
      </c>
      <c r="AH495" s="270">
        <f>Database!BH484</f>
        <v/>
      </c>
    </row>
    <row r="496">
      <c r="A496" s="270">
        <f>Database!B496</f>
        <v/>
      </c>
      <c r="B496" s="270">
        <f>IF(AND(Screener!$D$8&lt;&gt;"",Database!$E496=Screener!$D$8),1,0)</f>
        <v/>
      </c>
      <c r="C496" s="270">
        <f>IF(AND(Screener!$D$7&lt;&gt;"",Database!$D496=Screener!$D$7),1,0)</f>
        <v/>
      </c>
      <c r="D496" s="270">
        <f>IF(OR(N(Database!$I496)&lt;=0,N(Screener!$D$9)&lt;=0),0,MAX(0,1-ABS(LOG10(N(Database!$I496)/Screener!$D$9))/W_SIZEHW))</f>
        <v/>
      </c>
      <c r="E496" s="270">
        <f>IF(OR(Database!$BG496="",Screener!$D$10=""),0,IF(Database!$BG496=Screener!$D$10,1,0))</f>
        <v/>
      </c>
      <c r="F496" s="270">
        <f>IF(OR(Database!$BM496="",Screener!$D$11=""),0,IF(Database!$BM496=Screener!$D$11,1,0))</f>
        <v/>
      </c>
      <c r="G496" s="270">
        <f>IF(OR(Database!$H496="",N(Screener!$D$12)&lt;=0),0,MAX(0,1-(N(Screener!$D$12)-Database!$H496)/W_RECD))</f>
        <v/>
      </c>
      <c r="H496" s="270">
        <f>IF($U$1="",0,N(ISNUMBER(SEARCH($U$1,Database!$AC496&amp;""))))+IF($V$1="",0,N(ISNUMBER(SEARCH($V$1,Database!$AC496&amp;""))))+IF($W$1="",0,N(ISNUMBER(SEARCH($W$1,Database!$AC496&amp;""))))+IF($X$1="",0,N(ISNUMBER(SEARCH($X$1,Database!$AC496&amp;""))))+IF($Y$1="",0,N(ISNUMBER(SEARCH($Y$1,Database!$AC496&amp;""))))+IF(Screener!$B$17="",0,N(ISNUMBER(SEARCH(LOWER(Screener!$B$17),Database!$AC496&amp;""))))</f>
        <v/>
      </c>
      <c r="I496" s="270">
        <f>IF(OR(N(Database!$BH496)&lt;=0,N(Screener!$D$13)&lt;=0),0,MAX(0,1-ABS(LOG10(N(Database!$BH496)/Screener!$D$13))/W_PEHW))</f>
        <v/>
      </c>
      <c r="J496" s="270">
        <f>IF(OR(N(Database!$S496)&lt;=0,N(Screener!$D$14)&lt;=0),0,MAX(0,1-ABS(LOG10(Database!$S496/Screener!$D$14))/0.6))</f>
        <v/>
      </c>
      <c r="K496" s="270">
        <f>IF(Database!$B496=Screener!$B$5,-999999,IF(ISNUMBER(SEARCH(","&amp;Database!$A496&amp;",",","&amp;SUBSTITUTE(Screener!$D$17," ","")&amp;",")),2000000,IF(IF(OR(Screener!$B$18="All",AND(Screener!$B$18="With A-share",(Database!$BM496="Y")),AND(Screener!$B$18="Without A-share",NOT((Database!$BM496="Y")))),1,0)=0,-999999,IF(Screener!$B$16="cornerstone overlap first",H496*100000,IF(Screener!$B$16="demand-similar first",J496*100000,0))+W_SUB*B496+W_SEC*C496*(1-B496)+W_SIZE*D496+W_PROF*E496+W_AH*F496+W_REC*G496+W_CS*H496+W_PE*I496)))+ROW()/1000000</f>
        <v/>
      </c>
      <c r="AA496" s="270">
        <f>Database!B485</f>
        <v/>
      </c>
      <c r="AB496" s="270">
        <f>Database!D485</f>
        <v/>
      </c>
      <c r="AC496" s="270">
        <f>Database!E485</f>
        <v/>
      </c>
      <c r="AD496" s="270">
        <f>Database!I485</f>
        <v/>
      </c>
      <c r="AE496" s="270">
        <f>Database!BG485</f>
        <v/>
      </c>
      <c r="AF496" s="270">
        <f>Database!BM485</f>
        <v/>
      </c>
      <c r="AG496" s="270">
        <f>Database!H485</f>
        <v/>
      </c>
      <c r="AH496" s="270">
        <f>Database!BH485</f>
        <v/>
      </c>
    </row>
    <row r="497">
      <c r="A497" s="270">
        <f>Database!B497</f>
        <v/>
      </c>
      <c r="B497" s="270">
        <f>IF(AND(Screener!$D$8&lt;&gt;"",Database!$E497=Screener!$D$8),1,0)</f>
        <v/>
      </c>
      <c r="C497" s="270">
        <f>IF(AND(Screener!$D$7&lt;&gt;"",Database!$D497=Screener!$D$7),1,0)</f>
        <v/>
      </c>
      <c r="D497" s="270">
        <f>IF(OR(N(Database!$I497)&lt;=0,N(Screener!$D$9)&lt;=0),0,MAX(0,1-ABS(LOG10(N(Database!$I497)/Screener!$D$9))/W_SIZEHW))</f>
        <v/>
      </c>
      <c r="E497" s="270">
        <f>IF(OR(Database!$BG497="",Screener!$D$10=""),0,IF(Database!$BG497=Screener!$D$10,1,0))</f>
        <v/>
      </c>
      <c r="F497" s="270">
        <f>IF(OR(Database!$BM497="",Screener!$D$11=""),0,IF(Database!$BM497=Screener!$D$11,1,0))</f>
        <v/>
      </c>
      <c r="G497" s="270">
        <f>IF(OR(Database!$H497="",N(Screener!$D$12)&lt;=0),0,MAX(0,1-(N(Screener!$D$12)-Database!$H497)/W_RECD))</f>
        <v/>
      </c>
      <c r="H497" s="270">
        <f>IF($U$1="",0,N(ISNUMBER(SEARCH($U$1,Database!$AC497&amp;""))))+IF($V$1="",0,N(ISNUMBER(SEARCH($V$1,Database!$AC497&amp;""))))+IF($W$1="",0,N(ISNUMBER(SEARCH($W$1,Database!$AC497&amp;""))))+IF($X$1="",0,N(ISNUMBER(SEARCH($X$1,Database!$AC497&amp;""))))+IF($Y$1="",0,N(ISNUMBER(SEARCH($Y$1,Database!$AC497&amp;""))))+IF(Screener!$B$17="",0,N(ISNUMBER(SEARCH(LOWER(Screener!$B$17),Database!$AC497&amp;""))))</f>
        <v/>
      </c>
      <c r="I497" s="270">
        <f>IF(OR(N(Database!$BH497)&lt;=0,N(Screener!$D$13)&lt;=0),0,MAX(0,1-ABS(LOG10(N(Database!$BH497)/Screener!$D$13))/W_PEHW))</f>
        <v/>
      </c>
      <c r="J497" s="270">
        <f>IF(OR(N(Database!$S497)&lt;=0,N(Screener!$D$14)&lt;=0),0,MAX(0,1-ABS(LOG10(Database!$S497/Screener!$D$14))/0.6))</f>
        <v/>
      </c>
      <c r="K497" s="270">
        <f>IF(Database!$B497=Screener!$B$5,-999999,IF(ISNUMBER(SEARCH(","&amp;Database!$A497&amp;",",","&amp;SUBSTITUTE(Screener!$D$17," ","")&amp;",")),2000000,IF(IF(OR(Screener!$B$18="All",AND(Screener!$B$18="With A-share",(Database!$BM497="Y")),AND(Screener!$B$18="Without A-share",NOT((Database!$BM497="Y")))),1,0)=0,-999999,IF(Screener!$B$16="cornerstone overlap first",H497*100000,IF(Screener!$B$16="demand-similar first",J497*100000,0))+W_SUB*B497+W_SEC*C497*(1-B497)+W_SIZE*D497+W_PROF*E497+W_AH*F497+W_REC*G497+W_CS*H497+W_PE*I497)))+ROW()/1000000</f>
        <v/>
      </c>
      <c r="AA497" s="270">
        <f>Database!B486</f>
        <v/>
      </c>
      <c r="AB497" s="270">
        <f>Database!D486</f>
        <v/>
      </c>
      <c r="AC497" s="270">
        <f>Database!E486</f>
        <v/>
      </c>
      <c r="AD497" s="270">
        <f>Database!I486</f>
        <v/>
      </c>
      <c r="AE497" s="270">
        <f>Database!BG486</f>
        <v/>
      </c>
      <c r="AF497" s="270">
        <f>Database!BM486</f>
        <v/>
      </c>
      <c r="AG497" s="270">
        <f>Database!H486</f>
        <v/>
      </c>
      <c r="AH497" s="270">
        <f>Database!BH486</f>
        <v/>
      </c>
    </row>
    <row r="498">
      <c r="A498" s="270">
        <f>Database!B498</f>
        <v/>
      </c>
      <c r="B498" s="270">
        <f>IF(AND(Screener!$D$8&lt;&gt;"",Database!$E498=Screener!$D$8),1,0)</f>
        <v/>
      </c>
      <c r="C498" s="270">
        <f>IF(AND(Screener!$D$7&lt;&gt;"",Database!$D498=Screener!$D$7),1,0)</f>
        <v/>
      </c>
      <c r="D498" s="270">
        <f>IF(OR(N(Database!$I498)&lt;=0,N(Screener!$D$9)&lt;=0),0,MAX(0,1-ABS(LOG10(N(Database!$I498)/Screener!$D$9))/W_SIZEHW))</f>
        <v/>
      </c>
      <c r="E498" s="270">
        <f>IF(OR(Database!$BG498="",Screener!$D$10=""),0,IF(Database!$BG498=Screener!$D$10,1,0))</f>
        <v/>
      </c>
      <c r="F498" s="270">
        <f>IF(OR(Database!$BM498="",Screener!$D$11=""),0,IF(Database!$BM498=Screener!$D$11,1,0))</f>
        <v/>
      </c>
      <c r="G498" s="270">
        <f>IF(OR(Database!$H498="",N(Screener!$D$12)&lt;=0),0,MAX(0,1-(N(Screener!$D$12)-Database!$H498)/W_RECD))</f>
        <v/>
      </c>
      <c r="H498" s="270">
        <f>IF($U$1="",0,N(ISNUMBER(SEARCH($U$1,Database!$AC498&amp;""))))+IF($V$1="",0,N(ISNUMBER(SEARCH($V$1,Database!$AC498&amp;""))))+IF($W$1="",0,N(ISNUMBER(SEARCH($W$1,Database!$AC498&amp;""))))+IF($X$1="",0,N(ISNUMBER(SEARCH($X$1,Database!$AC498&amp;""))))+IF($Y$1="",0,N(ISNUMBER(SEARCH($Y$1,Database!$AC498&amp;""))))+IF(Screener!$B$17="",0,N(ISNUMBER(SEARCH(LOWER(Screener!$B$17),Database!$AC498&amp;""))))</f>
        <v/>
      </c>
      <c r="I498" s="270">
        <f>IF(OR(N(Database!$BH498)&lt;=0,N(Screener!$D$13)&lt;=0),0,MAX(0,1-ABS(LOG10(N(Database!$BH498)/Screener!$D$13))/W_PEHW))</f>
        <v/>
      </c>
      <c r="J498" s="270">
        <f>IF(OR(N(Database!$S498)&lt;=0,N(Screener!$D$14)&lt;=0),0,MAX(0,1-ABS(LOG10(Database!$S498/Screener!$D$14))/0.6))</f>
        <v/>
      </c>
      <c r="K498" s="270">
        <f>IF(Database!$B498=Screener!$B$5,-999999,IF(ISNUMBER(SEARCH(","&amp;Database!$A498&amp;",",","&amp;SUBSTITUTE(Screener!$D$17," ","")&amp;",")),2000000,IF(IF(OR(Screener!$B$18="All",AND(Screener!$B$18="With A-share",(Database!$BM498="Y")),AND(Screener!$B$18="Without A-share",NOT((Database!$BM498="Y")))),1,0)=0,-999999,IF(Screener!$B$16="cornerstone overlap first",H498*100000,IF(Screener!$B$16="demand-similar first",J498*100000,0))+W_SUB*B498+W_SEC*C498*(1-B498)+W_SIZE*D498+W_PROF*E498+W_AH*F498+W_REC*G498+W_CS*H498+W_PE*I498)))+ROW()/1000000</f>
        <v/>
      </c>
      <c r="AA498" s="270">
        <f>Database!B487</f>
        <v/>
      </c>
      <c r="AB498" s="270">
        <f>Database!D487</f>
        <v/>
      </c>
      <c r="AC498" s="270">
        <f>Database!E487</f>
        <v/>
      </c>
      <c r="AD498" s="270">
        <f>Database!I487</f>
        <v/>
      </c>
      <c r="AE498" s="270">
        <f>Database!BG487</f>
        <v/>
      </c>
      <c r="AF498" s="270">
        <f>Database!BM487</f>
        <v/>
      </c>
      <c r="AG498" s="270">
        <f>Database!H487</f>
        <v/>
      </c>
      <c r="AH498" s="270">
        <f>Database!BH487</f>
        <v/>
      </c>
    </row>
    <row r="499">
      <c r="A499" s="270">
        <f>Database!B499</f>
        <v/>
      </c>
      <c r="B499" s="270">
        <f>IF(AND(Screener!$D$8&lt;&gt;"",Database!$E499=Screener!$D$8),1,0)</f>
        <v/>
      </c>
      <c r="C499" s="270">
        <f>IF(AND(Screener!$D$7&lt;&gt;"",Database!$D499=Screener!$D$7),1,0)</f>
        <v/>
      </c>
      <c r="D499" s="270">
        <f>IF(OR(N(Database!$I499)&lt;=0,N(Screener!$D$9)&lt;=0),0,MAX(0,1-ABS(LOG10(N(Database!$I499)/Screener!$D$9))/W_SIZEHW))</f>
        <v/>
      </c>
      <c r="E499" s="270">
        <f>IF(OR(Database!$BG499="",Screener!$D$10=""),0,IF(Database!$BG499=Screener!$D$10,1,0))</f>
        <v/>
      </c>
      <c r="F499" s="270">
        <f>IF(OR(Database!$BM499="",Screener!$D$11=""),0,IF(Database!$BM499=Screener!$D$11,1,0))</f>
        <v/>
      </c>
      <c r="G499" s="270">
        <f>IF(OR(Database!$H499="",N(Screener!$D$12)&lt;=0),0,MAX(0,1-(N(Screener!$D$12)-Database!$H499)/W_RECD))</f>
        <v/>
      </c>
      <c r="H499" s="270">
        <f>IF($U$1="",0,N(ISNUMBER(SEARCH($U$1,Database!$AC499&amp;""))))+IF($V$1="",0,N(ISNUMBER(SEARCH($V$1,Database!$AC499&amp;""))))+IF($W$1="",0,N(ISNUMBER(SEARCH($W$1,Database!$AC499&amp;""))))+IF($X$1="",0,N(ISNUMBER(SEARCH($X$1,Database!$AC499&amp;""))))+IF($Y$1="",0,N(ISNUMBER(SEARCH($Y$1,Database!$AC499&amp;""))))+IF(Screener!$B$17="",0,N(ISNUMBER(SEARCH(LOWER(Screener!$B$17),Database!$AC499&amp;""))))</f>
        <v/>
      </c>
      <c r="I499" s="270">
        <f>IF(OR(N(Database!$BH499)&lt;=0,N(Screener!$D$13)&lt;=0),0,MAX(0,1-ABS(LOG10(N(Database!$BH499)/Screener!$D$13))/W_PEHW))</f>
        <v/>
      </c>
      <c r="J499" s="270">
        <f>IF(OR(N(Database!$S499)&lt;=0,N(Screener!$D$14)&lt;=0),0,MAX(0,1-ABS(LOG10(Database!$S499/Screener!$D$14))/0.6))</f>
        <v/>
      </c>
      <c r="K499" s="270">
        <f>IF(Database!$B499=Screener!$B$5,-999999,IF(ISNUMBER(SEARCH(","&amp;Database!$A499&amp;",",","&amp;SUBSTITUTE(Screener!$D$17," ","")&amp;",")),2000000,IF(IF(OR(Screener!$B$18="All",AND(Screener!$B$18="With A-share",(Database!$BM499="Y")),AND(Screener!$B$18="Without A-share",NOT((Database!$BM499="Y")))),1,0)=0,-999999,IF(Screener!$B$16="cornerstone overlap first",H499*100000,IF(Screener!$B$16="demand-similar first",J499*100000,0))+W_SUB*B499+W_SEC*C499*(1-B499)+W_SIZE*D499+W_PROF*E499+W_AH*F499+W_REC*G499+W_CS*H499+W_PE*I499)))+ROW()/1000000</f>
        <v/>
      </c>
      <c r="AA499" s="270">
        <f>Database!B488</f>
        <v/>
      </c>
      <c r="AB499" s="270">
        <f>Database!D488</f>
        <v/>
      </c>
      <c r="AC499" s="270">
        <f>Database!E488</f>
        <v/>
      </c>
      <c r="AD499" s="270">
        <f>Database!I488</f>
        <v/>
      </c>
      <c r="AE499" s="270">
        <f>Database!BG488</f>
        <v/>
      </c>
      <c r="AF499" s="270">
        <f>Database!BM488</f>
        <v/>
      </c>
      <c r="AG499" s="270">
        <f>Database!H488</f>
        <v/>
      </c>
      <c r="AH499" s="270">
        <f>Database!BH488</f>
        <v/>
      </c>
    </row>
    <row r="500">
      <c r="A500" s="270">
        <f>Database!B500</f>
        <v/>
      </c>
      <c r="B500" s="270">
        <f>IF(AND(Screener!$D$8&lt;&gt;"",Database!$E500=Screener!$D$8),1,0)</f>
        <v/>
      </c>
      <c r="C500" s="270">
        <f>IF(AND(Screener!$D$7&lt;&gt;"",Database!$D500=Screener!$D$7),1,0)</f>
        <v/>
      </c>
      <c r="D500" s="270">
        <f>IF(OR(N(Database!$I500)&lt;=0,N(Screener!$D$9)&lt;=0),0,MAX(0,1-ABS(LOG10(N(Database!$I500)/Screener!$D$9))/W_SIZEHW))</f>
        <v/>
      </c>
      <c r="E500" s="270">
        <f>IF(OR(Database!$BG500="",Screener!$D$10=""),0,IF(Database!$BG500=Screener!$D$10,1,0))</f>
        <v/>
      </c>
      <c r="F500" s="270">
        <f>IF(OR(Database!$BM500="",Screener!$D$11=""),0,IF(Database!$BM500=Screener!$D$11,1,0))</f>
        <v/>
      </c>
      <c r="G500" s="270">
        <f>IF(OR(Database!$H500="",N(Screener!$D$12)&lt;=0),0,MAX(0,1-(N(Screener!$D$12)-Database!$H500)/W_RECD))</f>
        <v/>
      </c>
      <c r="H500" s="270">
        <f>IF($U$1="",0,N(ISNUMBER(SEARCH($U$1,Database!$AC500&amp;""))))+IF($V$1="",0,N(ISNUMBER(SEARCH($V$1,Database!$AC500&amp;""))))+IF($W$1="",0,N(ISNUMBER(SEARCH($W$1,Database!$AC500&amp;""))))+IF($X$1="",0,N(ISNUMBER(SEARCH($X$1,Database!$AC500&amp;""))))+IF($Y$1="",0,N(ISNUMBER(SEARCH($Y$1,Database!$AC500&amp;""))))+IF(Screener!$B$17="",0,N(ISNUMBER(SEARCH(LOWER(Screener!$B$17),Database!$AC500&amp;""))))</f>
        <v/>
      </c>
      <c r="I500" s="270">
        <f>IF(OR(N(Database!$BH500)&lt;=0,N(Screener!$D$13)&lt;=0),0,MAX(0,1-ABS(LOG10(N(Database!$BH500)/Screener!$D$13))/W_PEHW))</f>
        <v/>
      </c>
      <c r="J500" s="270">
        <f>IF(OR(N(Database!$S500)&lt;=0,N(Screener!$D$14)&lt;=0),0,MAX(0,1-ABS(LOG10(Database!$S500/Screener!$D$14))/0.6))</f>
        <v/>
      </c>
      <c r="K500" s="270">
        <f>IF(Database!$B500=Screener!$B$5,-999999,IF(ISNUMBER(SEARCH(","&amp;Database!$A500&amp;",",","&amp;SUBSTITUTE(Screener!$D$17," ","")&amp;",")),2000000,IF(IF(OR(Screener!$B$18="All",AND(Screener!$B$18="With A-share",(Database!$BM500="Y")),AND(Screener!$B$18="Without A-share",NOT((Database!$BM500="Y")))),1,0)=0,-999999,IF(Screener!$B$16="cornerstone overlap first",H500*100000,IF(Screener!$B$16="demand-similar first",J500*100000,0))+W_SUB*B500+W_SEC*C500*(1-B500)+W_SIZE*D500+W_PROF*E500+W_AH*F500+W_REC*G500+W_CS*H500+W_PE*I500)))+ROW()/1000000</f>
        <v/>
      </c>
      <c r="AA500" s="270">
        <f>Database!B489</f>
        <v/>
      </c>
      <c r="AB500" s="270">
        <f>Database!D489</f>
        <v/>
      </c>
      <c r="AC500" s="270">
        <f>Database!E489</f>
        <v/>
      </c>
      <c r="AD500" s="270">
        <f>Database!I489</f>
        <v/>
      </c>
      <c r="AE500" s="270">
        <f>Database!BG489</f>
        <v/>
      </c>
      <c r="AF500" s="270">
        <f>Database!BM489</f>
        <v/>
      </c>
      <c r="AG500" s="270">
        <f>Database!H489</f>
        <v/>
      </c>
      <c r="AH500" s="270">
        <f>Database!BH489</f>
        <v/>
      </c>
    </row>
    <row r="501">
      <c r="A501" s="270">
        <f>Database!B501</f>
        <v/>
      </c>
      <c r="B501" s="270">
        <f>IF(AND(Screener!$D$8&lt;&gt;"",Database!$E501=Screener!$D$8),1,0)</f>
        <v/>
      </c>
      <c r="C501" s="270">
        <f>IF(AND(Screener!$D$7&lt;&gt;"",Database!$D501=Screener!$D$7),1,0)</f>
        <v/>
      </c>
      <c r="D501" s="270">
        <f>IF(OR(N(Database!$I501)&lt;=0,N(Screener!$D$9)&lt;=0),0,MAX(0,1-ABS(LOG10(N(Database!$I501)/Screener!$D$9))/W_SIZEHW))</f>
        <v/>
      </c>
      <c r="E501" s="270">
        <f>IF(OR(Database!$BG501="",Screener!$D$10=""),0,IF(Database!$BG501=Screener!$D$10,1,0))</f>
        <v/>
      </c>
      <c r="F501" s="270">
        <f>IF(OR(Database!$BM501="",Screener!$D$11=""),0,IF(Database!$BM501=Screener!$D$11,1,0))</f>
        <v/>
      </c>
      <c r="G501" s="270">
        <f>IF(OR(Database!$H501="",N(Screener!$D$12)&lt;=0),0,MAX(0,1-(N(Screener!$D$12)-Database!$H501)/W_RECD))</f>
        <v/>
      </c>
      <c r="H501" s="270">
        <f>IF($U$1="",0,N(ISNUMBER(SEARCH($U$1,Database!$AC501&amp;""))))+IF($V$1="",0,N(ISNUMBER(SEARCH($V$1,Database!$AC501&amp;""))))+IF($W$1="",0,N(ISNUMBER(SEARCH($W$1,Database!$AC501&amp;""))))+IF($X$1="",0,N(ISNUMBER(SEARCH($X$1,Database!$AC501&amp;""))))+IF($Y$1="",0,N(ISNUMBER(SEARCH($Y$1,Database!$AC501&amp;""))))+IF(Screener!$B$17="",0,N(ISNUMBER(SEARCH(LOWER(Screener!$B$17),Database!$AC501&amp;""))))</f>
        <v/>
      </c>
      <c r="I501" s="270">
        <f>IF(OR(N(Database!$BH501)&lt;=0,N(Screener!$D$13)&lt;=0),0,MAX(0,1-ABS(LOG10(N(Database!$BH501)/Screener!$D$13))/W_PEHW))</f>
        <v/>
      </c>
      <c r="J501" s="270">
        <f>IF(OR(N(Database!$S501)&lt;=0,N(Screener!$D$14)&lt;=0),0,MAX(0,1-ABS(LOG10(Database!$S501/Screener!$D$14))/0.6))</f>
        <v/>
      </c>
      <c r="K501" s="270">
        <f>IF(Database!$B501=Screener!$B$5,-999999,IF(ISNUMBER(SEARCH(","&amp;Database!$A501&amp;",",","&amp;SUBSTITUTE(Screener!$D$17," ","")&amp;",")),2000000,IF(IF(OR(Screener!$B$18="All",AND(Screener!$B$18="With A-share",(Database!$BM501="Y")),AND(Screener!$B$18="Without A-share",NOT((Database!$BM501="Y")))),1,0)=0,-999999,IF(Screener!$B$16="cornerstone overlap first",H501*100000,IF(Screener!$B$16="demand-similar first",J501*100000,0))+W_SUB*B501+W_SEC*C501*(1-B501)+W_SIZE*D501+W_PROF*E501+W_AH*F501+W_REC*G501+W_CS*H501+W_PE*I501)))+ROW()/1000000</f>
        <v/>
      </c>
      <c r="AA501" s="270">
        <f>Database!B490</f>
        <v/>
      </c>
      <c r="AB501" s="270">
        <f>Database!D490</f>
        <v/>
      </c>
      <c r="AC501" s="270">
        <f>Database!E490</f>
        <v/>
      </c>
      <c r="AD501" s="270">
        <f>Database!I490</f>
        <v/>
      </c>
      <c r="AE501" s="270">
        <f>Database!BG490</f>
        <v/>
      </c>
      <c r="AF501" s="270">
        <f>Database!BM490</f>
        <v/>
      </c>
      <c r="AG501" s="270">
        <f>Database!H490</f>
        <v/>
      </c>
      <c r="AH501" s="270">
        <f>Database!BH490</f>
        <v/>
      </c>
    </row>
    <row r="502">
      <c r="A502" s="270">
        <f>Database!B502</f>
        <v/>
      </c>
      <c r="B502" s="270">
        <f>IF(AND(Screener!$D$8&lt;&gt;"",Database!$E502=Screener!$D$8),1,0)</f>
        <v/>
      </c>
      <c r="C502" s="270">
        <f>IF(AND(Screener!$D$7&lt;&gt;"",Database!$D502=Screener!$D$7),1,0)</f>
        <v/>
      </c>
      <c r="D502" s="270">
        <f>IF(OR(N(Database!$I502)&lt;=0,N(Screener!$D$9)&lt;=0),0,MAX(0,1-ABS(LOG10(N(Database!$I502)/Screener!$D$9))/W_SIZEHW))</f>
        <v/>
      </c>
      <c r="E502" s="270">
        <f>IF(OR(Database!$BG502="",Screener!$D$10=""),0,IF(Database!$BG502=Screener!$D$10,1,0))</f>
        <v/>
      </c>
      <c r="F502" s="270">
        <f>IF(OR(Database!$BM502="",Screener!$D$11=""),0,IF(Database!$BM502=Screener!$D$11,1,0))</f>
        <v/>
      </c>
      <c r="G502" s="270">
        <f>IF(OR(Database!$H502="",N(Screener!$D$12)&lt;=0),0,MAX(0,1-(N(Screener!$D$12)-Database!$H502)/W_RECD))</f>
        <v/>
      </c>
      <c r="H502" s="270">
        <f>IF($U$1="",0,N(ISNUMBER(SEARCH($U$1,Database!$AC502&amp;""))))+IF($V$1="",0,N(ISNUMBER(SEARCH($V$1,Database!$AC502&amp;""))))+IF($W$1="",0,N(ISNUMBER(SEARCH($W$1,Database!$AC502&amp;""))))+IF($X$1="",0,N(ISNUMBER(SEARCH($X$1,Database!$AC502&amp;""))))+IF($Y$1="",0,N(ISNUMBER(SEARCH($Y$1,Database!$AC502&amp;""))))+IF(Screener!$B$17="",0,N(ISNUMBER(SEARCH(LOWER(Screener!$B$17),Database!$AC502&amp;""))))</f>
        <v/>
      </c>
      <c r="I502" s="270">
        <f>IF(OR(N(Database!$BH502)&lt;=0,N(Screener!$D$13)&lt;=0),0,MAX(0,1-ABS(LOG10(N(Database!$BH502)/Screener!$D$13))/W_PEHW))</f>
        <v/>
      </c>
      <c r="J502" s="270">
        <f>IF(OR(N(Database!$S502)&lt;=0,N(Screener!$D$14)&lt;=0),0,MAX(0,1-ABS(LOG10(Database!$S502/Screener!$D$14))/0.6))</f>
        <v/>
      </c>
      <c r="K502" s="270">
        <f>IF(Database!$B502=Screener!$B$5,-999999,IF(ISNUMBER(SEARCH(","&amp;Database!$A502&amp;",",","&amp;SUBSTITUTE(Screener!$D$17," ","")&amp;",")),2000000,IF(IF(OR(Screener!$B$18="All",AND(Screener!$B$18="With A-share",(Database!$BM502="Y")),AND(Screener!$B$18="Without A-share",NOT((Database!$BM502="Y")))),1,0)=0,-999999,IF(Screener!$B$16="cornerstone overlap first",H502*100000,IF(Screener!$B$16="demand-similar first",J502*100000,0))+W_SUB*B502+W_SEC*C502*(1-B502)+W_SIZE*D502+W_PROF*E502+W_AH*F502+W_REC*G502+W_CS*H502+W_PE*I502)))+ROW()/1000000</f>
        <v/>
      </c>
      <c r="AA502" s="270">
        <f>Database!B491</f>
        <v/>
      </c>
      <c r="AB502" s="270">
        <f>Database!D491</f>
        <v/>
      </c>
      <c r="AC502" s="270">
        <f>Database!E491</f>
        <v/>
      </c>
      <c r="AD502" s="270">
        <f>Database!I491</f>
        <v/>
      </c>
      <c r="AE502" s="270">
        <f>Database!BG491</f>
        <v/>
      </c>
      <c r="AF502" s="270">
        <f>Database!BM491</f>
        <v/>
      </c>
      <c r="AG502" s="270">
        <f>Database!H491</f>
        <v/>
      </c>
      <c r="AH502" s="270">
        <f>Database!BH491</f>
        <v/>
      </c>
    </row>
    <row r="503">
      <c r="A503" s="270">
        <f>Database!B503</f>
        <v/>
      </c>
      <c r="B503" s="270">
        <f>IF(AND(Screener!$D$8&lt;&gt;"",Database!$E503=Screener!$D$8),1,0)</f>
        <v/>
      </c>
      <c r="C503" s="270">
        <f>IF(AND(Screener!$D$7&lt;&gt;"",Database!$D503=Screener!$D$7),1,0)</f>
        <v/>
      </c>
      <c r="D503" s="270">
        <f>IF(OR(N(Database!$I503)&lt;=0,N(Screener!$D$9)&lt;=0),0,MAX(0,1-ABS(LOG10(N(Database!$I503)/Screener!$D$9))/W_SIZEHW))</f>
        <v/>
      </c>
      <c r="E503" s="270">
        <f>IF(OR(Database!$BG503="",Screener!$D$10=""),0,IF(Database!$BG503=Screener!$D$10,1,0))</f>
        <v/>
      </c>
      <c r="F503" s="270">
        <f>IF(OR(Database!$BM503="",Screener!$D$11=""),0,IF(Database!$BM503=Screener!$D$11,1,0))</f>
        <v/>
      </c>
      <c r="G503" s="270">
        <f>IF(OR(Database!$H503="",N(Screener!$D$12)&lt;=0),0,MAX(0,1-(N(Screener!$D$12)-Database!$H503)/W_RECD))</f>
        <v/>
      </c>
      <c r="H503" s="270">
        <f>IF($U$1="",0,N(ISNUMBER(SEARCH($U$1,Database!$AC503&amp;""))))+IF($V$1="",0,N(ISNUMBER(SEARCH($V$1,Database!$AC503&amp;""))))+IF($W$1="",0,N(ISNUMBER(SEARCH($W$1,Database!$AC503&amp;""))))+IF($X$1="",0,N(ISNUMBER(SEARCH($X$1,Database!$AC503&amp;""))))+IF($Y$1="",0,N(ISNUMBER(SEARCH($Y$1,Database!$AC503&amp;""))))+IF(Screener!$B$17="",0,N(ISNUMBER(SEARCH(LOWER(Screener!$B$17),Database!$AC503&amp;""))))</f>
        <v/>
      </c>
      <c r="I503" s="270">
        <f>IF(OR(N(Database!$BH503)&lt;=0,N(Screener!$D$13)&lt;=0),0,MAX(0,1-ABS(LOG10(N(Database!$BH503)/Screener!$D$13))/W_PEHW))</f>
        <v/>
      </c>
      <c r="J503" s="270">
        <f>IF(OR(N(Database!$S503)&lt;=0,N(Screener!$D$14)&lt;=0),0,MAX(0,1-ABS(LOG10(Database!$S503/Screener!$D$14))/0.6))</f>
        <v/>
      </c>
      <c r="K503" s="270">
        <f>IF(Database!$B503=Screener!$B$5,-999999,IF(ISNUMBER(SEARCH(","&amp;Database!$A503&amp;",",","&amp;SUBSTITUTE(Screener!$D$17," ","")&amp;",")),2000000,IF(IF(OR(Screener!$B$18="All",AND(Screener!$B$18="With A-share",(Database!$BM503="Y")),AND(Screener!$B$18="Without A-share",NOT((Database!$BM503="Y")))),1,0)=0,-999999,IF(Screener!$B$16="cornerstone overlap first",H503*100000,IF(Screener!$B$16="demand-similar first",J503*100000,0))+W_SUB*B503+W_SEC*C503*(1-B503)+W_SIZE*D503+W_PROF*E503+W_AH*F503+W_REC*G503+W_CS*H503+W_PE*I503)))+ROW()/1000000</f>
        <v/>
      </c>
      <c r="AA503" s="270">
        <f>Database!B492</f>
        <v/>
      </c>
      <c r="AB503" s="270">
        <f>Database!D492</f>
        <v/>
      </c>
      <c r="AC503" s="270">
        <f>Database!E492</f>
        <v/>
      </c>
      <c r="AD503" s="270">
        <f>Database!I492</f>
        <v/>
      </c>
      <c r="AE503" s="270">
        <f>Database!BG492</f>
        <v/>
      </c>
      <c r="AF503" s="270">
        <f>Database!BM492</f>
        <v/>
      </c>
      <c r="AG503" s="270">
        <f>Database!H492</f>
        <v/>
      </c>
      <c r="AH503" s="270">
        <f>Database!BH492</f>
        <v/>
      </c>
    </row>
    <row r="504">
      <c r="A504" s="270">
        <f>Database!B504</f>
        <v/>
      </c>
      <c r="B504" s="270">
        <f>IF(AND(Screener!$D$8&lt;&gt;"",Database!$E504=Screener!$D$8),1,0)</f>
        <v/>
      </c>
      <c r="C504" s="270">
        <f>IF(AND(Screener!$D$7&lt;&gt;"",Database!$D504=Screener!$D$7),1,0)</f>
        <v/>
      </c>
      <c r="D504" s="270">
        <f>IF(OR(N(Database!$I504)&lt;=0,N(Screener!$D$9)&lt;=0),0,MAX(0,1-ABS(LOG10(N(Database!$I504)/Screener!$D$9))/W_SIZEHW))</f>
        <v/>
      </c>
      <c r="E504" s="270">
        <f>IF(OR(Database!$BG504="",Screener!$D$10=""),0,IF(Database!$BG504=Screener!$D$10,1,0))</f>
        <v/>
      </c>
      <c r="F504" s="270">
        <f>IF(OR(Database!$BM504="",Screener!$D$11=""),0,IF(Database!$BM504=Screener!$D$11,1,0))</f>
        <v/>
      </c>
      <c r="G504" s="270">
        <f>IF(OR(Database!$H504="",N(Screener!$D$12)&lt;=0),0,MAX(0,1-(N(Screener!$D$12)-Database!$H504)/W_RECD))</f>
        <v/>
      </c>
      <c r="H504" s="270">
        <f>IF($U$1="",0,N(ISNUMBER(SEARCH($U$1,Database!$AC504&amp;""))))+IF($V$1="",0,N(ISNUMBER(SEARCH($V$1,Database!$AC504&amp;""))))+IF($W$1="",0,N(ISNUMBER(SEARCH($W$1,Database!$AC504&amp;""))))+IF($X$1="",0,N(ISNUMBER(SEARCH($X$1,Database!$AC504&amp;""))))+IF($Y$1="",0,N(ISNUMBER(SEARCH($Y$1,Database!$AC504&amp;""))))+IF(Screener!$B$17="",0,N(ISNUMBER(SEARCH(LOWER(Screener!$B$17),Database!$AC504&amp;""))))</f>
        <v/>
      </c>
      <c r="I504" s="270">
        <f>IF(OR(N(Database!$BH504)&lt;=0,N(Screener!$D$13)&lt;=0),0,MAX(0,1-ABS(LOG10(N(Database!$BH504)/Screener!$D$13))/W_PEHW))</f>
        <v/>
      </c>
      <c r="J504" s="270">
        <f>IF(OR(N(Database!$S504)&lt;=0,N(Screener!$D$14)&lt;=0),0,MAX(0,1-ABS(LOG10(Database!$S504/Screener!$D$14))/0.6))</f>
        <v/>
      </c>
      <c r="K504" s="270">
        <f>IF(Database!$B504=Screener!$B$5,-999999,IF(ISNUMBER(SEARCH(","&amp;Database!$A504&amp;",",","&amp;SUBSTITUTE(Screener!$D$17," ","")&amp;",")),2000000,IF(IF(OR(Screener!$B$18="All",AND(Screener!$B$18="With A-share",(Database!$BM504="Y")),AND(Screener!$B$18="Without A-share",NOT((Database!$BM504="Y")))),1,0)=0,-999999,IF(Screener!$B$16="cornerstone overlap first",H504*100000,IF(Screener!$B$16="demand-similar first",J504*100000,0))+W_SUB*B504+W_SEC*C504*(1-B504)+W_SIZE*D504+W_PROF*E504+W_AH*F504+W_REC*G504+W_CS*H504+W_PE*I504)))+ROW()/1000000</f>
        <v/>
      </c>
      <c r="AA504" s="270">
        <f>Database!B493</f>
        <v/>
      </c>
      <c r="AB504" s="270">
        <f>Database!D493</f>
        <v/>
      </c>
      <c r="AC504" s="270">
        <f>Database!E493</f>
        <v/>
      </c>
      <c r="AD504" s="270">
        <f>Database!I493</f>
        <v/>
      </c>
      <c r="AE504" s="270">
        <f>Database!BG493</f>
        <v/>
      </c>
      <c r="AF504" s="270">
        <f>Database!BM493</f>
        <v/>
      </c>
      <c r="AG504" s="270">
        <f>Database!H493</f>
        <v/>
      </c>
      <c r="AH504" s="270">
        <f>Database!BH493</f>
        <v/>
      </c>
    </row>
    <row r="505">
      <c r="A505" s="270">
        <f>Database!B505</f>
        <v/>
      </c>
      <c r="B505" s="270">
        <f>IF(AND(Screener!$D$8&lt;&gt;"",Database!$E505=Screener!$D$8),1,0)</f>
        <v/>
      </c>
      <c r="C505" s="270">
        <f>IF(AND(Screener!$D$7&lt;&gt;"",Database!$D505=Screener!$D$7),1,0)</f>
        <v/>
      </c>
      <c r="D505" s="270">
        <f>IF(OR(N(Database!$I505)&lt;=0,N(Screener!$D$9)&lt;=0),0,MAX(0,1-ABS(LOG10(N(Database!$I505)/Screener!$D$9))/W_SIZEHW))</f>
        <v/>
      </c>
      <c r="E505" s="270">
        <f>IF(OR(Database!$BG505="",Screener!$D$10=""),0,IF(Database!$BG505=Screener!$D$10,1,0))</f>
        <v/>
      </c>
      <c r="F505" s="270">
        <f>IF(OR(Database!$BM505="",Screener!$D$11=""),0,IF(Database!$BM505=Screener!$D$11,1,0))</f>
        <v/>
      </c>
      <c r="G505" s="270">
        <f>IF(OR(Database!$H505="",N(Screener!$D$12)&lt;=0),0,MAX(0,1-(N(Screener!$D$12)-Database!$H505)/W_RECD))</f>
        <v/>
      </c>
      <c r="H505" s="270">
        <f>IF($U$1="",0,N(ISNUMBER(SEARCH($U$1,Database!$AC505&amp;""))))+IF($V$1="",0,N(ISNUMBER(SEARCH($V$1,Database!$AC505&amp;""))))+IF($W$1="",0,N(ISNUMBER(SEARCH($W$1,Database!$AC505&amp;""))))+IF($X$1="",0,N(ISNUMBER(SEARCH($X$1,Database!$AC505&amp;""))))+IF($Y$1="",0,N(ISNUMBER(SEARCH($Y$1,Database!$AC505&amp;""))))+IF(Screener!$B$17="",0,N(ISNUMBER(SEARCH(LOWER(Screener!$B$17),Database!$AC505&amp;""))))</f>
        <v/>
      </c>
      <c r="I505" s="270">
        <f>IF(OR(N(Database!$BH505)&lt;=0,N(Screener!$D$13)&lt;=0),0,MAX(0,1-ABS(LOG10(N(Database!$BH505)/Screener!$D$13))/W_PEHW))</f>
        <v/>
      </c>
      <c r="J505" s="270">
        <f>IF(OR(N(Database!$S505)&lt;=0,N(Screener!$D$14)&lt;=0),0,MAX(0,1-ABS(LOG10(Database!$S505/Screener!$D$14))/0.6))</f>
        <v/>
      </c>
      <c r="K505" s="270">
        <f>IF(Database!$B505=Screener!$B$5,-999999,IF(ISNUMBER(SEARCH(","&amp;Database!$A505&amp;",",","&amp;SUBSTITUTE(Screener!$D$17," ","")&amp;",")),2000000,IF(IF(OR(Screener!$B$18="All",AND(Screener!$B$18="With A-share",(Database!$BM505="Y")),AND(Screener!$B$18="Without A-share",NOT((Database!$BM505="Y")))),1,0)=0,-999999,IF(Screener!$B$16="cornerstone overlap first",H505*100000,IF(Screener!$B$16="demand-similar first",J505*100000,0))+W_SUB*B505+W_SEC*C505*(1-B505)+W_SIZE*D505+W_PROF*E505+W_AH*F505+W_REC*G505+W_CS*H505+W_PE*I505)))+ROW()/1000000</f>
        <v/>
      </c>
      <c r="AA505" s="270">
        <f>Database!B494</f>
        <v/>
      </c>
      <c r="AB505" s="270">
        <f>Database!D494</f>
        <v/>
      </c>
      <c r="AC505" s="270">
        <f>Database!E494</f>
        <v/>
      </c>
      <c r="AD505" s="270">
        <f>Database!I494</f>
        <v/>
      </c>
      <c r="AE505" s="270">
        <f>Database!BG494</f>
        <v/>
      </c>
      <c r="AF505" s="270">
        <f>Database!BM494</f>
        <v/>
      </c>
      <c r="AG505" s="270">
        <f>Database!H494</f>
        <v/>
      </c>
      <c r="AH505" s="270">
        <f>Database!BH494</f>
        <v/>
      </c>
    </row>
    <row r="506">
      <c r="A506" s="270">
        <f>Database!B506</f>
        <v/>
      </c>
      <c r="B506" s="270">
        <f>IF(AND(Screener!$D$8&lt;&gt;"",Database!$E506=Screener!$D$8),1,0)</f>
        <v/>
      </c>
      <c r="C506" s="270">
        <f>IF(AND(Screener!$D$7&lt;&gt;"",Database!$D506=Screener!$D$7),1,0)</f>
        <v/>
      </c>
      <c r="D506" s="270">
        <f>IF(OR(N(Database!$I506)&lt;=0,N(Screener!$D$9)&lt;=0),0,MAX(0,1-ABS(LOG10(N(Database!$I506)/Screener!$D$9))/W_SIZEHW))</f>
        <v/>
      </c>
      <c r="E506" s="270">
        <f>IF(OR(Database!$BG506="",Screener!$D$10=""),0,IF(Database!$BG506=Screener!$D$10,1,0))</f>
        <v/>
      </c>
      <c r="F506" s="270">
        <f>IF(OR(Database!$BM506="",Screener!$D$11=""),0,IF(Database!$BM506=Screener!$D$11,1,0))</f>
        <v/>
      </c>
      <c r="G506" s="270">
        <f>IF(OR(Database!$H506="",N(Screener!$D$12)&lt;=0),0,MAX(0,1-(N(Screener!$D$12)-Database!$H506)/W_RECD))</f>
        <v/>
      </c>
      <c r="H506" s="270">
        <f>IF($U$1="",0,N(ISNUMBER(SEARCH($U$1,Database!$AC506&amp;""))))+IF($V$1="",0,N(ISNUMBER(SEARCH($V$1,Database!$AC506&amp;""))))+IF($W$1="",0,N(ISNUMBER(SEARCH($W$1,Database!$AC506&amp;""))))+IF($X$1="",0,N(ISNUMBER(SEARCH($X$1,Database!$AC506&amp;""))))+IF($Y$1="",0,N(ISNUMBER(SEARCH($Y$1,Database!$AC506&amp;""))))+IF(Screener!$B$17="",0,N(ISNUMBER(SEARCH(LOWER(Screener!$B$17),Database!$AC506&amp;""))))</f>
        <v/>
      </c>
      <c r="I506" s="270">
        <f>IF(OR(N(Database!$BH506)&lt;=0,N(Screener!$D$13)&lt;=0),0,MAX(0,1-ABS(LOG10(N(Database!$BH506)/Screener!$D$13))/W_PEHW))</f>
        <v/>
      </c>
      <c r="J506" s="270">
        <f>IF(OR(N(Database!$S506)&lt;=0,N(Screener!$D$14)&lt;=0),0,MAX(0,1-ABS(LOG10(Database!$S506/Screener!$D$14))/0.6))</f>
        <v/>
      </c>
      <c r="K506" s="270">
        <f>IF(Database!$B506=Screener!$B$5,-999999,IF(ISNUMBER(SEARCH(","&amp;Database!$A506&amp;",",","&amp;SUBSTITUTE(Screener!$D$17," ","")&amp;",")),2000000,IF(IF(OR(Screener!$B$18="All",AND(Screener!$B$18="With A-share",(Database!$BM506="Y")),AND(Screener!$B$18="Without A-share",NOT((Database!$BM506="Y")))),1,0)=0,-999999,IF(Screener!$B$16="cornerstone overlap first",H506*100000,IF(Screener!$B$16="demand-similar first",J506*100000,0))+W_SUB*B506+W_SEC*C506*(1-B506)+W_SIZE*D506+W_PROF*E506+W_AH*F506+W_REC*G506+W_CS*H506+W_PE*I506)))+ROW()/1000000</f>
        <v/>
      </c>
      <c r="AA506" s="270">
        <f>Database!B495</f>
        <v/>
      </c>
      <c r="AB506" s="270">
        <f>Database!D495</f>
        <v/>
      </c>
      <c r="AC506" s="270">
        <f>Database!E495</f>
        <v/>
      </c>
      <c r="AD506" s="270">
        <f>Database!I495</f>
        <v/>
      </c>
      <c r="AE506" s="270">
        <f>Database!BG495</f>
        <v/>
      </c>
      <c r="AF506" s="270">
        <f>Database!BM495</f>
        <v/>
      </c>
      <c r="AG506" s="270">
        <f>Database!H495</f>
        <v/>
      </c>
      <c r="AH506" s="270">
        <f>Database!BH495</f>
        <v/>
      </c>
    </row>
    <row r="507">
      <c r="A507" s="270">
        <f>Database!B507</f>
        <v/>
      </c>
      <c r="B507" s="270">
        <f>IF(AND(Screener!$D$8&lt;&gt;"",Database!$E507=Screener!$D$8),1,0)</f>
        <v/>
      </c>
      <c r="C507" s="270">
        <f>IF(AND(Screener!$D$7&lt;&gt;"",Database!$D507=Screener!$D$7),1,0)</f>
        <v/>
      </c>
      <c r="D507" s="270">
        <f>IF(OR(N(Database!$I507)&lt;=0,N(Screener!$D$9)&lt;=0),0,MAX(0,1-ABS(LOG10(N(Database!$I507)/Screener!$D$9))/W_SIZEHW))</f>
        <v/>
      </c>
      <c r="E507" s="270">
        <f>IF(OR(Database!$BG507="",Screener!$D$10=""),0,IF(Database!$BG507=Screener!$D$10,1,0))</f>
        <v/>
      </c>
      <c r="F507" s="270">
        <f>IF(OR(Database!$BM507="",Screener!$D$11=""),0,IF(Database!$BM507=Screener!$D$11,1,0))</f>
        <v/>
      </c>
      <c r="G507" s="270">
        <f>IF(OR(Database!$H507="",N(Screener!$D$12)&lt;=0),0,MAX(0,1-(N(Screener!$D$12)-Database!$H507)/W_RECD))</f>
        <v/>
      </c>
      <c r="H507" s="270">
        <f>IF($U$1="",0,N(ISNUMBER(SEARCH($U$1,Database!$AC507&amp;""))))+IF($V$1="",0,N(ISNUMBER(SEARCH($V$1,Database!$AC507&amp;""))))+IF($W$1="",0,N(ISNUMBER(SEARCH($W$1,Database!$AC507&amp;""))))+IF($X$1="",0,N(ISNUMBER(SEARCH($X$1,Database!$AC507&amp;""))))+IF($Y$1="",0,N(ISNUMBER(SEARCH($Y$1,Database!$AC507&amp;""))))+IF(Screener!$B$17="",0,N(ISNUMBER(SEARCH(LOWER(Screener!$B$17),Database!$AC507&amp;""))))</f>
        <v/>
      </c>
      <c r="I507" s="270">
        <f>IF(OR(N(Database!$BH507)&lt;=0,N(Screener!$D$13)&lt;=0),0,MAX(0,1-ABS(LOG10(N(Database!$BH507)/Screener!$D$13))/W_PEHW))</f>
        <v/>
      </c>
      <c r="J507" s="270">
        <f>IF(OR(N(Database!$S507)&lt;=0,N(Screener!$D$14)&lt;=0),0,MAX(0,1-ABS(LOG10(Database!$S507/Screener!$D$14))/0.6))</f>
        <v/>
      </c>
      <c r="K507" s="270">
        <f>IF(Database!$B507=Screener!$B$5,-999999,IF(ISNUMBER(SEARCH(","&amp;Database!$A507&amp;",",","&amp;SUBSTITUTE(Screener!$D$17," ","")&amp;",")),2000000,IF(IF(OR(Screener!$B$18="All",AND(Screener!$B$18="With A-share",(Database!$BM507="Y")),AND(Screener!$B$18="Without A-share",NOT((Database!$BM507="Y")))),1,0)=0,-999999,IF(Screener!$B$16="cornerstone overlap first",H507*100000,IF(Screener!$B$16="demand-similar first",J507*100000,0))+W_SUB*B507+W_SEC*C507*(1-B507)+W_SIZE*D507+W_PROF*E507+W_AH*F507+W_REC*G507+W_CS*H507+W_PE*I507)))+ROW()/1000000</f>
        <v/>
      </c>
      <c r="AA507" s="270">
        <f>Database!B496</f>
        <v/>
      </c>
      <c r="AB507" s="270">
        <f>Database!D496</f>
        <v/>
      </c>
      <c r="AC507" s="270">
        <f>Database!E496</f>
        <v/>
      </c>
      <c r="AD507" s="270">
        <f>Database!I496</f>
        <v/>
      </c>
      <c r="AE507" s="270">
        <f>Database!BG496</f>
        <v/>
      </c>
      <c r="AF507" s="270">
        <f>Database!BM496</f>
        <v/>
      </c>
      <c r="AG507" s="270">
        <f>Database!H496</f>
        <v/>
      </c>
      <c r="AH507" s="270">
        <f>Database!BH496</f>
        <v/>
      </c>
    </row>
    <row r="508">
      <c r="A508" s="270">
        <f>Database!B508</f>
        <v/>
      </c>
      <c r="B508" s="270">
        <f>IF(AND(Screener!$D$8&lt;&gt;"",Database!$E508=Screener!$D$8),1,0)</f>
        <v/>
      </c>
      <c r="C508" s="270">
        <f>IF(AND(Screener!$D$7&lt;&gt;"",Database!$D508=Screener!$D$7),1,0)</f>
        <v/>
      </c>
      <c r="D508" s="270">
        <f>IF(OR(N(Database!$I508)&lt;=0,N(Screener!$D$9)&lt;=0),0,MAX(0,1-ABS(LOG10(N(Database!$I508)/Screener!$D$9))/W_SIZEHW))</f>
        <v/>
      </c>
      <c r="E508" s="270">
        <f>IF(OR(Database!$BG508="",Screener!$D$10=""),0,IF(Database!$BG508=Screener!$D$10,1,0))</f>
        <v/>
      </c>
      <c r="F508" s="270">
        <f>IF(OR(Database!$BM508="",Screener!$D$11=""),0,IF(Database!$BM508=Screener!$D$11,1,0))</f>
        <v/>
      </c>
      <c r="G508" s="270">
        <f>IF(OR(Database!$H508="",N(Screener!$D$12)&lt;=0),0,MAX(0,1-(N(Screener!$D$12)-Database!$H508)/W_RECD))</f>
        <v/>
      </c>
      <c r="H508" s="270">
        <f>IF($U$1="",0,N(ISNUMBER(SEARCH($U$1,Database!$AC508&amp;""))))+IF($V$1="",0,N(ISNUMBER(SEARCH($V$1,Database!$AC508&amp;""))))+IF($W$1="",0,N(ISNUMBER(SEARCH($W$1,Database!$AC508&amp;""))))+IF($X$1="",0,N(ISNUMBER(SEARCH($X$1,Database!$AC508&amp;""))))+IF($Y$1="",0,N(ISNUMBER(SEARCH($Y$1,Database!$AC508&amp;""))))+IF(Screener!$B$17="",0,N(ISNUMBER(SEARCH(LOWER(Screener!$B$17),Database!$AC508&amp;""))))</f>
        <v/>
      </c>
      <c r="I508" s="270">
        <f>IF(OR(N(Database!$BH508)&lt;=0,N(Screener!$D$13)&lt;=0),0,MAX(0,1-ABS(LOG10(N(Database!$BH508)/Screener!$D$13))/W_PEHW))</f>
        <v/>
      </c>
      <c r="J508" s="270">
        <f>IF(OR(N(Database!$S508)&lt;=0,N(Screener!$D$14)&lt;=0),0,MAX(0,1-ABS(LOG10(Database!$S508/Screener!$D$14))/0.6))</f>
        <v/>
      </c>
      <c r="K508" s="270">
        <f>IF(Database!$B508=Screener!$B$5,-999999,IF(ISNUMBER(SEARCH(","&amp;Database!$A508&amp;",",","&amp;SUBSTITUTE(Screener!$D$17," ","")&amp;",")),2000000,IF(IF(OR(Screener!$B$18="All",AND(Screener!$B$18="With A-share",(Database!$BM508="Y")),AND(Screener!$B$18="Without A-share",NOT((Database!$BM508="Y")))),1,0)=0,-999999,IF(Screener!$B$16="cornerstone overlap first",H508*100000,IF(Screener!$B$16="demand-similar first",J508*100000,0))+W_SUB*B508+W_SEC*C508*(1-B508)+W_SIZE*D508+W_PROF*E508+W_AH*F508+W_REC*G508+W_CS*H508+W_PE*I508)))+ROW()/1000000</f>
        <v/>
      </c>
      <c r="AA508" s="270">
        <f>Database!B497</f>
        <v/>
      </c>
      <c r="AB508" s="270">
        <f>Database!D497</f>
        <v/>
      </c>
      <c r="AC508" s="270">
        <f>Database!E497</f>
        <v/>
      </c>
      <c r="AD508" s="270">
        <f>Database!I497</f>
        <v/>
      </c>
      <c r="AE508" s="270">
        <f>Database!BG497</f>
        <v/>
      </c>
      <c r="AF508" s="270">
        <f>Database!BM497</f>
        <v/>
      </c>
      <c r="AG508" s="270">
        <f>Database!H497</f>
        <v/>
      </c>
      <c r="AH508" s="270">
        <f>Database!BH497</f>
        <v/>
      </c>
    </row>
    <row r="509">
      <c r="A509" s="270">
        <f>Database!B509</f>
        <v/>
      </c>
      <c r="B509" s="270">
        <f>IF(AND(Screener!$D$8&lt;&gt;"",Database!$E509=Screener!$D$8),1,0)</f>
        <v/>
      </c>
      <c r="C509" s="270">
        <f>IF(AND(Screener!$D$7&lt;&gt;"",Database!$D509=Screener!$D$7),1,0)</f>
        <v/>
      </c>
      <c r="D509" s="270">
        <f>IF(OR(N(Database!$I509)&lt;=0,N(Screener!$D$9)&lt;=0),0,MAX(0,1-ABS(LOG10(N(Database!$I509)/Screener!$D$9))/W_SIZEHW))</f>
        <v/>
      </c>
      <c r="E509" s="270">
        <f>IF(OR(Database!$BG509="",Screener!$D$10=""),0,IF(Database!$BG509=Screener!$D$10,1,0))</f>
        <v/>
      </c>
      <c r="F509" s="270">
        <f>IF(OR(Database!$BM509="",Screener!$D$11=""),0,IF(Database!$BM509=Screener!$D$11,1,0))</f>
        <v/>
      </c>
      <c r="G509" s="270">
        <f>IF(OR(Database!$H509="",N(Screener!$D$12)&lt;=0),0,MAX(0,1-(N(Screener!$D$12)-Database!$H509)/W_RECD))</f>
        <v/>
      </c>
      <c r="H509" s="270">
        <f>IF($U$1="",0,N(ISNUMBER(SEARCH($U$1,Database!$AC509&amp;""))))+IF($V$1="",0,N(ISNUMBER(SEARCH($V$1,Database!$AC509&amp;""))))+IF($W$1="",0,N(ISNUMBER(SEARCH($W$1,Database!$AC509&amp;""))))+IF($X$1="",0,N(ISNUMBER(SEARCH($X$1,Database!$AC509&amp;""))))+IF($Y$1="",0,N(ISNUMBER(SEARCH($Y$1,Database!$AC509&amp;""))))+IF(Screener!$B$17="",0,N(ISNUMBER(SEARCH(LOWER(Screener!$B$17),Database!$AC509&amp;""))))</f>
        <v/>
      </c>
      <c r="I509" s="270">
        <f>IF(OR(N(Database!$BH509)&lt;=0,N(Screener!$D$13)&lt;=0),0,MAX(0,1-ABS(LOG10(N(Database!$BH509)/Screener!$D$13))/W_PEHW))</f>
        <v/>
      </c>
      <c r="J509" s="270">
        <f>IF(OR(N(Database!$S509)&lt;=0,N(Screener!$D$14)&lt;=0),0,MAX(0,1-ABS(LOG10(Database!$S509/Screener!$D$14))/0.6))</f>
        <v/>
      </c>
      <c r="K509" s="270">
        <f>IF(Database!$B509=Screener!$B$5,-999999,IF(ISNUMBER(SEARCH(","&amp;Database!$A509&amp;",",","&amp;SUBSTITUTE(Screener!$D$17," ","")&amp;",")),2000000,IF(IF(OR(Screener!$B$18="All",AND(Screener!$B$18="With A-share",(Database!$BM509="Y")),AND(Screener!$B$18="Without A-share",NOT((Database!$BM509="Y")))),1,0)=0,-999999,IF(Screener!$B$16="cornerstone overlap first",H509*100000,IF(Screener!$B$16="demand-similar first",J509*100000,0))+W_SUB*B509+W_SEC*C509*(1-B509)+W_SIZE*D509+W_PROF*E509+W_AH*F509+W_REC*G509+W_CS*H509+W_PE*I509)))+ROW()/1000000</f>
        <v/>
      </c>
      <c r="AA509" s="270">
        <f>Database!B498</f>
        <v/>
      </c>
      <c r="AB509" s="270">
        <f>Database!D498</f>
        <v/>
      </c>
      <c r="AC509" s="270">
        <f>Database!E498</f>
        <v/>
      </c>
      <c r="AD509" s="270">
        <f>Database!I498</f>
        <v/>
      </c>
      <c r="AE509" s="270">
        <f>Database!BG498</f>
        <v/>
      </c>
      <c r="AF509" s="270">
        <f>Database!BM498</f>
        <v/>
      </c>
      <c r="AG509" s="270">
        <f>Database!H498</f>
        <v/>
      </c>
      <c r="AH509" s="270">
        <f>Database!BH498</f>
        <v/>
      </c>
    </row>
    <row r="510">
      <c r="A510" s="270">
        <f>Database!B510</f>
        <v/>
      </c>
      <c r="B510" s="270">
        <f>IF(AND(Screener!$D$8&lt;&gt;"",Database!$E510=Screener!$D$8),1,0)</f>
        <v/>
      </c>
      <c r="C510" s="270">
        <f>IF(AND(Screener!$D$7&lt;&gt;"",Database!$D510=Screener!$D$7),1,0)</f>
        <v/>
      </c>
      <c r="D510" s="270">
        <f>IF(OR(N(Database!$I510)&lt;=0,N(Screener!$D$9)&lt;=0),0,MAX(0,1-ABS(LOG10(N(Database!$I510)/Screener!$D$9))/W_SIZEHW))</f>
        <v/>
      </c>
      <c r="E510" s="270">
        <f>IF(OR(Database!$BG510="",Screener!$D$10=""),0,IF(Database!$BG510=Screener!$D$10,1,0))</f>
        <v/>
      </c>
      <c r="F510" s="270">
        <f>IF(OR(Database!$BM510="",Screener!$D$11=""),0,IF(Database!$BM510=Screener!$D$11,1,0))</f>
        <v/>
      </c>
      <c r="G510" s="270">
        <f>IF(OR(Database!$H510="",N(Screener!$D$12)&lt;=0),0,MAX(0,1-(N(Screener!$D$12)-Database!$H510)/W_RECD))</f>
        <v/>
      </c>
      <c r="H510" s="270">
        <f>IF($U$1="",0,N(ISNUMBER(SEARCH($U$1,Database!$AC510&amp;""))))+IF($V$1="",0,N(ISNUMBER(SEARCH($V$1,Database!$AC510&amp;""))))+IF($W$1="",0,N(ISNUMBER(SEARCH($W$1,Database!$AC510&amp;""))))+IF($X$1="",0,N(ISNUMBER(SEARCH($X$1,Database!$AC510&amp;""))))+IF($Y$1="",0,N(ISNUMBER(SEARCH($Y$1,Database!$AC510&amp;""))))+IF(Screener!$B$17="",0,N(ISNUMBER(SEARCH(LOWER(Screener!$B$17),Database!$AC510&amp;""))))</f>
        <v/>
      </c>
      <c r="I510" s="270">
        <f>IF(OR(N(Database!$BH510)&lt;=0,N(Screener!$D$13)&lt;=0),0,MAX(0,1-ABS(LOG10(N(Database!$BH510)/Screener!$D$13))/W_PEHW))</f>
        <v/>
      </c>
      <c r="J510" s="270">
        <f>IF(OR(N(Database!$S510)&lt;=0,N(Screener!$D$14)&lt;=0),0,MAX(0,1-ABS(LOG10(Database!$S510/Screener!$D$14))/0.6))</f>
        <v/>
      </c>
      <c r="K510" s="270">
        <f>IF(Database!$B510=Screener!$B$5,-999999,IF(ISNUMBER(SEARCH(","&amp;Database!$A510&amp;",",","&amp;SUBSTITUTE(Screener!$D$17," ","")&amp;",")),2000000,IF(IF(OR(Screener!$B$18="All",AND(Screener!$B$18="With A-share",(Database!$BM510="Y")),AND(Screener!$B$18="Without A-share",NOT((Database!$BM510="Y")))),1,0)=0,-999999,IF(Screener!$B$16="cornerstone overlap first",H510*100000,IF(Screener!$B$16="demand-similar first",J510*100000,0))+W_SUB*B510+W_SEC*C510*(1-B510)+W_SIZE*D510+W_PROF*E510+W_AH*F510+W_REC*G510+W_CS*H510+W_PE*I510)))+ROW()/1000000</f>
        <v/>
      </c>
      <c r="AA510" s="270">
        <f>Database!B499</f>
        <v/>
      </c>
      <c r="AB510" s="270">
        <f>Database!D499</f>
        <v/>
      </c>
      <c r="AC510" s="270">
        <f>Database!E499</f>
        <v/>
      </c>
      <c r="AD510" s="270">
        <f>Database!I499</f>
        <v/>
      </c>
      <c r="AE510" s="270">
        <f>Database!BG499</f>
        <v/>
      </c>
      <c r="AF510" s="270">
        <f>Database!BM499</f>
        <v/>
      </c>
      <c r="AG510" s="270">
        <f>Database!H499</f>
        <v/>
      </c>
      <c r="AH510" s="270">
        <f>Database!BH499</f>
        <v/>
      </c>
    </row>
    <row r="511">
      <c r="A511" s="270">
        <f>Database!B511</f>
        <v/>
      </c>
      <c r="B511" s="270">
        <f>IF(AND(Screener!$D$8&lt;&gt;"",Database!$E511=Screener!$D$8),1,0)</f>
        <v/>
      </c>
      <c r="C511" s="270">
        <f>IF(AND(Screener!$D$7&lt;&gt;"",Database!$D511=Screener!$D$7),1,0)</f>
        <v/>
      </c>
      <c r="D511" s="270">
        <f>IF(OR(N(Database!$I511)&lt;=0,N(Screener!$D$9)&lt;=0),0,MAX(0,1-ABS(LOG10(N(Database!$I511)/Screener!$D$9))/W_SIZEHW))</f>
        <v/>
      </c>
      <c r="E511" s="270">
        <f>IF(OR(Database!$BG511="",Screener!$D$10=""),0,IF(Database!$BG511=Screener!$D$10,1,0))</f>
        <v/>
      </c>
      <c r="F511" s="270">
        <f>IF(OR(Database!$BM511="",Screener!$D$11=""),0,IF(Database!$BM511=Screener!$D$11,1,0))</f>
        <v/>
      </c>
      <c r="G511" s="270">
        <f>IF(OR(Database!$H511="",N(Screener!$D$12)&lt;=0),0,MAX(0,1-(N(Screener!$D$12)-Database!$H511)/W_RECD))</f>
        <v/>
      </c>
      <c r="H511" s="270">
        <f>IF($U$1="",0,N(ISNUMBER(SEARCH($U$1,Database!$AC511&amp;""))))+IF($V$1="",0,N(ISNUMBER(SEARCH($V$1,Database!$AC511&amp;""))))+IF($W$1="",0,N(ISNUMBER(SEARCH($W$1,Database!$AC511&amp;""))))+IF($X$1="",0,N(ISNUMBER(SEARCH($X$1,Database!$AC511&amp;""))))+IF($Y$1="",0,N(ISNUMBER(SEARCH($Y$1,Database!$AC511&amp;""))))+IF(Screener!$B$17="",0,N(ISNUMBER(SEARCH(LOWER(Screener!$B$17),Database!$AC511&amp;""))))</f>
        <v/>
      </c>
      <c r="I511" s="270">
        <f>IF(OR(N(Database!$BH511)&lt;=0,N(Screener!$D$13)&lt;=0),0,MAX(0,1-ABS(LOG10(N(Database!$BH511)/Screener!$D$13))/W_PEHW))</f>
        <v/>
      </c>
      <c r="J511" s="270">
        <f>IF(OR(N(Database!$S511)&lt;=0,N(Screener!$D$14)&lt;=0),0,MAX(0,1-ABS(LOG10(Database!$S511/Screener!$D$14))/0.6))</f>
        <v/>
      </c>
      <c r="K511" s="270">
        <f>IF(Database!$B511=Screener!$B$5,-999999,IF(ISNUMBER(SEARCH(","&amp;Database!$A511&amp;",",","&amp;SUBSTITUTE(Screener!$D$17," ","")&amp;",")),2000000,IF(IF(OR(Screener!$B$18="All",AND(Screener!$B$18="With A-share",(Database!$BM511="Y")),AND(Screener!$B$18="Without A-share",NOT((Database!$BM511="Y")))),1,0)=0,-999999,IF(Screener!$B$16="cornerstone overlap first",H511*100000,IF(Screener!$B$16="demand-similar first",J511*100000,0))+W_SUB*B511+W_SEC*C511*(1-B511)+W_SIZE*D511+W_PROF*E511+W_AH*F511+W_REC*G511+W_CS*H511+W_PE*I511)))+ROW()/1000000</f>
        <v/>
      </c>
      <c r="AA511" s="270">
        <f>Database!B500</f>
        <v/>
      </c>
      <c r="AB511" s="270">
        <f>Database!D500</f>
        <v/>
      </c>
      <c r="AC511" s="270">
        <f>Database!E500</f>
        <v/>
      </c>
      <c r="AD511" s="270">
        <f>Database!I500</f>
        <v/>
      </c>
      <c r="AE511" s="270">
        <f>Database!BG500</f>
        <v/>
      </c>
      <c r="AF511" s="270">
        <f>Database!BM500</f>
        <v/>
      </c>
      <c r="AG511" s="270">
        <f>Database!H500</f>
        <v/>
      </c>
      <c r="AH511" s="270">
        <f>Database!BH500</f>
        <v/>
      </c>
    </row>
    <row r="512">
      <c r="A512" s="270">
        <f>Database!B512</f>
        <v/>
      </c>
      <c r="B512" s="270">
        <f>IF(AND(Screener!$D$8&lt;&gt;"",Database!$E512=Screener!$D$8),1,0)</f>
        <v/>
      </c>
      <c r="C512" s="270">
        <f>IF(AND(Screener!$D$7&lt;&gt;"",Database!$D512=Screener!$D$7),1,0)</f>
        <v/>
      </c>
      <c r="D512" s="270">
        <f>IF(OR(N(Database!$I512)&lt;=0,N(Screener!$D$9)&lt;=0),0,MAX(0,1-ABS(LOG10(N(Database!$I512)/Screener!$D$9))/W_SIZEHW))</f>
        <v/>
      </c>
      <c r="E512" s="270">
        <f>IF(OR(Database!$BG512="",Screener!$D$10=""),0,IF(Database!$BG512=Screener!$D$10,1,0))</f>
        <v/>
      </c>
      <c r="F512" s="270">
        <f>IF(OR(Database!$BM512="",Screener!$D$11=""),0,IF(Database!$BM512=Screener!$D$11,1,0))</f>
        <v/>
      </c>
      <c r="G512" s="270">
        <f>IF(OR(Database!$H512="",N(Screener!$D$12)&lt;=0),0,MAX(0,1-(N(Screener!$D$12)-Database!$H512)/W_RECD))</f>
        <v/>
      </c>
      <c r="H512" s="270">
        <f>IF($U$1="",0,N(ISNUMBER(SEARCH($U$1,Database!$AC512&amp;""))))+IF($V$1="",0,N(ISNUMBER(SEARCH($V$1,Database!$AC512&amp;""))))+IF($W$1="",0,N(ISNUMBER(SEARCH($W$1,Database!$AC512&amp;""))))+IF($X$1="",0,N(ISNUMBER(SEARCH($X$1,Database!$AC512&amp;""))))+IF($Y$1="",0,N(ISNUMBER(SEARCH($Y$1,Database!$AC512&amp;""))))+IF(Screener!$B$17="",0,N(ISNUMBER(SEARCH(LOWER(Screener!$B$17),Database!$AC512&amp;""))))</f>
        <v/>
      </c>
      <c r="I512" s="270">
        <f>IF(OR(N(Database!$BH512)&lt;=0,N(Screener!$D$13)&lt;=0),0,MAX(0,1-ABS(LOG10(N(Database!$BH512)/Screener!$D$13))/W_PEHW))</f>
        <v/>
      </c>
      <c r="J512" s="270">
        <f>IF(OR(N(Database!$S512)&lt;=0,N(Screener!$D$14)&lt;=0),0,MAX(0,1-ABS(LOG10(Database!$S512/Screener!$D$14))/0.6))</f>
        <v/>
      </c>
      <c r="K512" s="270">
        <f>IF(Database!$B512=Screener!$B$5,-999999,IF(ISNUMBER(SEARCH(","&amp;Database!$A512&amp;",",","&amp;SUBSTITUTE(Screener!$D$17," ","")&amp;",")),2000000,IF(IF(OR(Screener!$B$18="All",AND(Screener!$B$18="With A-share",(Database!$BM512="Y")),AND(Screener!$B$18="Without A-share",NOT((Database!$BM512="Y")))),1,0)=0,-999999,IF(Screener!$B$16="cornerstone overlap first",H512*100000,IF(Screener!$B$16="demand-similar first",J512*100000,0))+W_SUB*B512+W_SEC*C512*(1-B512)+W_SIZE*D512+W_PROF*E512+W_AH*F512+W_REC*G512+W_CS*H512+W_PE*I512)))+ROW()/1000000</f>
        <v/>
      </c>
      <c r="AA512" s="270">
        <f>Database!B501</f>
        <v/>
      </c>
      <c r="AB512" s="270">
        <f>Database!D501</f>
        <v/>
      </c>
      <c r="AC512" s="270">
        <f>Database!E501</f>
        <v/>
      </c>
      <c r="AD512" s="270">
        <f>Database!I501</f>
        <v/>
      </c>
      <c r="AE512" s="270">
        <f>Database!BG501</f>
        <v/>
      </c>
      <c r="AF512" s="270">
        <f>Database!BM501</f>
        <v/>
      </c>
      <c r="AG512" s="270">
        <f>Database!H501</f>
        <v/>
      </c>
      <c r="AH512" s="270">
        <f>Database!BH501</f>
        <v/>
      </c>
    </row>
    <row r="513">
      <c r="A513" s="270">
        <f>Database!B513</f>
        <v/>
      </c>
      <c r="B513" s="270">
        <f>IF(AND(Screener!$D$8&lt;&gt;"",Database!$E513=Screener!$D$8),1,0)</f>
        <v/>
      </c>
      <c r="C513" s="270">
        <f>IF(AND(Screener!$D$7&lt;&gt;"",Database!$D513=Screener!$D$7),1,0)</f>
        <v/>
      </c>
      <c r="D513" s="270">
        <f>IF(OR(N(Database!$I513)&lt;=0,N(Screener!$D$9)&lt;=0),0,MAX(0,1-ABS(LOG10(N(Database!$I513)/Screener!$D$9))/W_SIZEHW))</f>
        <v/>
      </c>
      <c r="E513" s="270">
        <f>IF(OR(Database!$BG513="",Screener!$D$10=""),0,IF(Database!$BG513=Screener!$D$10,1,0))</f>
        <v/>
      </c>
      <c r="F513" s="270">
        <f>IF(OR(Database!$BM513="",Screener!$D$11=""),0,IF(Database!$BM513=Screener!$D$11,1,0))</f>
        <v/>
      </c>
      <c r="G513" s="270">
        <f>IF(OR(Database!$H513="",N(Screener!$D$12)&lt;=0),0,MAX(0,1-(N(Screener!$D$12)-Database!$H513)/W_RECD))</f>
        <v/>
      </c>
      <c r="H513" s="270">
        <f>IF($U$1="",0,N(ISNUMBER(SEARCH($U$1,Database!$AC513&amp;""))))+IF($V$1="",0,N(ISNUMBER(SEARCH($V$1,Database!$AC513&amp;""))))+IF($W$1="",0,N(ISNUMBER(SEARCH($W$1,Database!$AC513&amp;""))))+IF($X$1="",0,N(ISNUMBER(SEARCH($X$1,Database!$AC513&amp;""))))+IF($Y$1="",0,N(ISNUMBER(SEARCH($Y$1,Database!$AC513&amp;""))))+IF(Screener!$B$17="",0,N(ISNUMBER(SEARCH(LOWER(Screener!$B$17),Database!$AC513&amp;""))))</f>
        <v/>
      </c>
      <c r="I513" s="270">
        <f>IF(OR(N(Database!$BH513)&lt;=0,N(Screener!$D$13)&lt;=0),0,MAX(0,1-ABS(LOG10(N(Database!$BH513)/Screener!$D$13))/W_PEHW))</f>
        <v/>
      </c>
      <c r="J513" s="270">
        <f>IF(OR(N(Database!$S513)&lt;=0,N(Screener!$D$14)&lt;=0),0,MAX(0,1-ABS(LOG10(Database!$S513/Screener!$D$14))/0.6))</f>
        <v/>
      </c>
      <c r="K513" s="270">
        <f>IF(Database!$B513=Screener!$B$5,-999999,IF(ISNUMBER(SEARCH(","&amp;Database!$A513&amp;",",","&amp;SUBSTITUTE(Screener!$D$17," ","")&amp;",")),2000000,IF(IF(OR(Screener!$B$18="All",AND(Screener!$B$18="With A-share",(Database!$BM513="Y")),AND(Screener!$B$18="Without A-share",NOT((Database!$BM513="Y")))),1,0)=0,-999999,IF(Screener!$B$16="cornerstone overlap first",H513*100000,IF(Screener!$B$16="demand-similar first",J513*100000,0))+W_SUB*B513+W_SEC*C513*(1-B513)+W_SIZE*D513+W_PROF*E513+W_AH*F513+W_REC*G513+W_CS*H513+W_PE*I513)))+ROW()/1000000</f>
        <v/>
      </c>
      <c r="AA513" s="270">
        <f>Database!B502</f>
        <v/>
      </c>
      <c r="AB513" s="270">
        <f>Database!D502</f>
        <v/>
      </c>
      <c r="AC513" s="270">
        <f>Database!E502</f>
        <v/>
      </c>
      <c r="AD513" s="270">
        <f>Database!I502</f>
        <v/>
      </c>
      <c r="AE513" s="270">
        <f>Database!BG502</f>
        <v/>
      </c>
      <c r="AF513" s="270">
        <f>Database!BM502</f>
        <v/>
      </c>
      <c r="AG513" s="270">
        <f>Database!H502</f>
        <v/>
      </c>
      <c r="AH513" s="270">
        <f>Database!BH502</f>
        <v/>
      </c>
    </row>
    <row r="514">
      <c r="A514" s="270">
        <f>Database!B514</f>
        <v/>
      </c>
      <c r="B514" s="270">
        <f>IF(AND(Screener!$D$8&lt;&gt;"",Database!$E514=Screener!$D$8),1,0)</f>
        <v/>
      </c>
      <c r="C514" s="270">
        <f>IF(AND(Screener!$D$7&lt;&gt;"",Database!$D514=Screener!$D$7),1,0)</f>
        <v/>
      </c>
      <c r="D514" s="270">
        <f>IF(OR(N(Database!$I514)&lt;=0,N(Screener!$D$9)&lt;=0),0,MAX(0,1-ABS(LOG10(N(Database!$I514)/Screener!$D$9))/W_SIZEHW))</f>
        <v/>
      </c>
      <c r="E514" s="270">
        <f>IF(OR(Database!$BG514="",Screener!$D$10=""),0,IF(Database!$BG514=Screener!$D$10,1,0))</f>
        <v/>
      </c>
      <c r="F514" s="270">
        <f>IF(OR(Database!$BM514="",Screener!$D$11=""),0,IF(Database!$BM514=Screener!$D$11,1,0))</f>
        <v/>
      </c>
      <c r="G514" s="270">
        <f>IF(OR(Database!$H514="",N(Screener!$D$12)&lt;=0),0,MAX(0,1-(N(Screener!$D$12)-Database!$H514)/W_RECD))</f>
        <v/>
      </c>
      <c r="H514" s="270">
        <f>IF($U$1="",0,N(ISNUMBER(SEARCH($U$1,Database!$AC514&amp;""))))+IF($V$1="",0,N(ISNUMBER(SEARCH($V$1,Database!$AC514&amp;""))))+IF($W$1="",0,N(ISNUMBER(SEARCH($W$1,Database!$AC514&amp;""))))+IF($X$1="",0,N(ISNUMBER(SEARCH($X$1,Database!$AC514&amp;""))))+IF($Y$1="",0,N(ISNUMBER(SEARCH($Y$1,Database!$AC514&amp;""))))+IF(Screener!$B$17="",0,N(ISNUMBER(SEARCH(LOWER(Screener!$B$17),Database!$AC514&amp;""))))</f>
        <v/>
      </c>
      <c r="I514" s="270">
        <f>IF(OR(N(Database!$BH514)&lt;=0,N(Screener!$D$13)&lt;=0),0,MAX(0,1-ABS(LOG10(N(Database!$BH514)/Screener!$D$13))/W_PEHW))</f>
        <v/>
      </c>
      <c r="J514" s="270">
        <f>IF(OR(N(Database!$S514)&lt;=0,N(Screener!$D$14)&lt;=0),0,MAX(0,1-ABS(LOG10(Database!$S514/Screener!$D$14))/0.6))</f>
        <v/>
      </c>
      <c r="K514" s="270">
        <f>IF(Database!$B514=Screener!$B$5,-999999,IF(ISNUMBER(SEARCH(","&amp;Database!$A514&amp;",",","&amp;SUBSTITUTE(Screener!$D$17," ","")&amp;",")),2000000,IF(IF(OR(Screener!$B$18="All",AND(Screener!$B$18="With A-share",(Database!$BM514="Y")),AND(Screener!$B$18="Without A-share",NOT((Database!$BM514="Y")))),1,0)=0,-999999,IF(Screener!$B$16="cornerstone overlap first",H514*100000,IF(Screener!$B$16="demand-similar first",J514*100000,0))+W_SUB*B514+W_SEC*C514*(1-B514)+W_SIZE*D514+W_PROF*E514+W_AH*F514+W_REC*G514+W_CS*H514+W_PE*I514)))+ROW()/1000000</f>
        <v/>
      </c>
      <c r="AA514" s="270">
        <f>Database!B503</f>
        <v/>
      </c>
      <c r="AB514" s="270">
        <f>Database!D503</f>
        <v/>
      </c>
      <c r="AC514" s="270">
        <f>Database!E503</f>
        <v/>
      </c>
      <c r="AD514" s="270">
        <f>Database!I503</f>
        <v/>
      </c>
      <c r="AE514" s="270">
        <f>Database!BG503</f>
        <v/>
      </c>
      <c r="AF514" s="270">
        <f>Database!BM503</f>
        <v/>
      </c>
      <c r="AG514" s="270">
        <f>Database!H503</f>
        <v/>
      </c>
      <c r="AH514" s="270">
        <f>Database!BH503</f>
        <v/>
      </c>
    </row>
    <row r="515">
      <c r="A515" s="270">
        <f>Database!B515</f>
        <v/>
      </c>
      <c r="B515" s="270">
        <f>IF(AND(Screener!$D$8&lt;&gt;"",Database!$E515=Screener!$D$8),1,0)</f>
        <v/>
      </c>
      <c r="C515" s="270">
        <f>IF(AND(Screener!$D$7&lt;&gt;"",Database!$D515=Screener!$D$7),1,0)</f>
        <v/>
      </c>
      <c r="D515" s="270">
        <f>IF(OR(N(Database!$I515)&lt;=0,N(Screener!$D$9)&lt;=0),0,MAX(0,1-ABS(LOG10(N(Database!$I515)/Screener!$D$9))/W_SIZEHW))</f>
        <v/>
      </c>
      <c r="E515" s="270">
        <f>IF(OR(Database!$BG515="",Screener!$D$10=""),0,IF(Database!$BG515=Screener!$D$10,1,0))</f>
        <v/>
      </c>
      <c r="F515" s="270">
        <f>IF(OR(Database!$BM515="",Screener!$D$11=""),0,IF(Database!$BM515=Screener!$D$11,1,0))</f>
        <v/>
      </c>
      <c r="G515" s="270">
        <f>IF(OR(Database!$H515="",N(Screener!$D$12)&lt;=0),0,MAX(0,1-(N(Screener!$D$12)-Database!$H515)/W_RECD))</f>
        <v/>
      </c>
      <c r="H515" s="270">
        <f>IF($U$1="",0,N(ISNUMBER(SEARCH($U$1,Database!$AC515&amp;""))))+IF($V$1="",0,N(ISNUMBER(SEARCH($V$1,Database!$AC515&amp;""))))+IF($W$1="",0,N(ISNUMBER(SEARCH($W$1,Database!$AC515&amp;""))))+IF($X$1="",0,N(ISNUMBER(SEARCH($X$1,Database!$AC515&amp;""))))+IF($Y$1="",0,N(ISNUMBER(SEARCH($Y$1,Database!$AC515&amp;""))))+IF(Screener!$B$17="",0,N(ISNUMBER(SEARCH(LOWER(Screener!$B$17),Database!$AC515&amp;""))))</f>
        <v/>
      </c>
      <c r="I515" s="270">
        <f>IF(OR(N(Database!$BH515)&lt;=0,N(Screener!$D$13)&lt;=0),0,MAX(0,1-ABS(LOG10(N(Database!$BH515)/Screener!$D$13))/W_PEHW))</f>
        <v/>
      </c>
      <c r="J515" s="270">
        <f>IF(OR(N(Database!$S515)&lt;=0,N(Screener!$D$14)&lt;=0),0,MAX(0,1-ABS(LOG10(Database!$S515/Screener!$D$14))/0.6))</f>
        <v/>
      </c>
      <c r="K515" s="270">
        <f>IF(Database!$B515=Screener!$B$5,-999999,IF(ISNUMBER(SEARCH(","&amp;Database!$A515&amp;",",","&amp;SUBSTITUTE(Screener!$D$17," ","")&amp;",")),2000000,IF(IF(OR(Screener!$B$18="All",AND(Screener!$B$18="With A-share",(Database!$BM515="Y")),AND(Screener!$B$18="Without A-share",NOT((Database!$BM515="Y")))),1,0)=0,-999999,IF(Screener!$B$16="cornerstone overlap first",H515*100000,IF(Screener!$B$16="demand-similar first",J515*100000,0))+W_SUB*B515+W_SEC*C515*(1-B515)+W_SIZE*D515+W_PROF*E515+W_AH*F515+W_REC*G515+W_CS*H515+W_PE*I515)))+ROW()/1000000</f>
        <v/>
      </c>
      <c r="AA515" s="270">
        <f>Database!B504</f>
        <v/>
      </c>
      <c r="AB515" s="270">
        <f>Database!D504</f>
        <v/>
      </c>
      <c r="AC515" s="270">
        <f>Database!E504</f>
        <v/>
      </c>
      <c r="AD515" s="270">
        <f>Database!I504</f>
        <v/>
      </c>
      <c r="AE515" s="270">
        <f>Database!BG504</f>
        <v/>
      </c>
      <c r="AF515" s="270">
        <f>Database!BM504</f>
        <v/>
      </c>
      <c r="AG515" s="270">
        <f>Database!H504</f>
        <v/>
      </c>
      <c r="AH515" s="270">
        <f>Database!BH504</f>
        <v/>
      </c>
    </row>
    <row r="516">
      <c r="A516" s="270">
        <f>Database!B516</f>
        <v/>
      </c>
      <c r="B516" s="270">
        <f>IF(AND(Screener!$D$8&lt;&gt;"",Database!$E516=Screener!$D$8),1,0)</f>
        <v/>
      </c>
      <c r="C516" s="270">
        <f>IF(AND(Screener!$D$7&lt;&gt;"",Database!$D516=Screener!$D$7),1,0)</f>
        <v/>
      </c>
      <c r="D516" s="270">
        <f>IF(OR(N(Database!$I516)&lt;=0,N(Screener!$D$9)&lt;=0),0,MAX(0,1-ABS(LOG10(N(Database!$I516)/Screener!$D$9))/W_SIZEHW))</f>
        <v/>
      </c>
      <c r="E516" s="270">
        <f>IF(OR(Database!$BG516="",Screener!$D$10=""),0,IF(Database!$BG516=Screener!$D$10,1,0))</f>
        <v/>
      </c>
      <c r="F516" s="270">
        <f>IF(OR(Database!$BM516="",Screener!$D$11=""),0,IF(Database!$BM516=Screener!$D$11,1,0))</f>
        <v/>
      </c>
      <c r="G516" s="270">
        <f>IF(OR(Database!$H516="",N(Screener!$D$12)&lt;=0),0,MAX(0,1-(N(Screener!$D$12)-Database!$H516)/W_RECD))</f>
        <v/>
      </c>
      <c r="H516" s="270">
        <f>IF($U$1="",0,N(ISNUMBER(SEARCH($U$1,Database!$AC516&amp;""))))+IF($V$1="",0,N(ISNUMBER(SEARCH($V$1,Database!$AC516&amp;""))))+IF($W$1="",0,N(ISNUMBER(SEARCH($W$1,Database!$AC516&amp;""))))+IF($X$1="",0,N(ISNUMBER(SEARCH($X$1,Database!$AC516&amp;""))))+IF($Y$1="",0,N(ISNUMBER(SEARCH($Y$1,Database!$AC516&amp;""))))+IF(Screener!$B$17="",0,N(ISNUMBER(SEARCH(LOWER(Screener!$B$17),Database!$AC516&amp;""))))</f>
        <v/>
      </c>
      <c r="I516" s="270">
        <f>IF(OR(N(Database!$BH516)&lt;=0,N(Screener!$D$13)&lt;=0),0,MAX(0,1-ABS(LOG10(N(Database!$BH516)/Screener!$D$13))/W_PEHW))</f>
        <v/>
      </c>
      <c r="J516" s="270">
        <f>IF(OR(N(Database!$S516)&lt;=0,N(Screener!$D$14)&lt;=0),0,MAX(0,1-ABS(LOG10(Database!$S516/Screener!$D$14))/0.6))</f>
        <v/>
      </c>
      <c r="K516" s="270">
        <f>IF(Database!$B516=Screener!$B$5,-999999,IF(ISNUMBER(SEARCH(","&amp;Database!$A516&amp;",",","&amp;SUBSTITUTE(Screener!$D$17," ","")&amp;",")),2000000,IF(IF(OR(Screener!$B$18="All",AND(Screener!$B$18="With A-share",(Database!$BM516="Y")),AND(Screener!$B$18="Without A-share",NOT((Database!$BM516="Y")))),1,0)=0,-999999,IF(Screener!$B$16="cornerstone overlap first",H516*100000,IF(Screener!$B$16="demand-similar first",J516*100000,0))+W_SUB*B516+W_SEC*C516*(1-B516)+W_SIZE*D516+W_PROF*E516+W_AH*F516+W_REC*G516+W_CS*H516+W_PE*I516)))+ROW()/1000000</f>
        <v/>
      </c>
      <c r="AA516" s="270">
        <f>Database!B505</f>
        <v/>
      </c>
      <c r="AB516" s="270">
        <f>Database!D505</f>
        <v/>
      </c>
      <c r="AC516" s="270">
        <f>Database!E505</f>
        <v/>
      </c>
      <c r="AD516" s="270">
        <f>Database!I505</f>
        <v/>
      </c>
      <c r="AE516" s="270">
        <f>Database!BG505</f>
        <v/>
      </c>
      <c r="AF516" s="270">
        <f>Database!BM505</f>
        <v/>
      </c>
      <c r="AG516" s="270">
        <f>Database!H505</f>
        <v/>
      </c>
      <c r="AH516" s="270">
        <f>Database!BH505</f>
        <v/>
      </c>
    </row>
    <row r="517">
      <c r="A517" s="270">
        <f>Database!B517</f>
        <v/>
      </c>
      <c r="B517" s="270">
        <f>IF(AND(Screener!$D$8&lt;&gt;"",Database!$E517=Screener!$D$8),1,0)</f>
        <v/>
      </c>
      <c r="C517" s="270">
        <f>IF(AND(Screener!$D$7&lt;&gt;"",Database!$D517=Screener!$D$7),1,0)</f>
        <v/>
      </c>
      <c r="D517" s="270">
        <f>IF(OR(N(Database!$I517)&lt;=0,N(Screener!$D$9)&lt;=0),0,MAX(0,1-ABS(LOG10(N(Database!$I517)/Screener!$D$9))/W_SIZEHW))</f>
        <v/>
      </c>
      <c r="E517" s="270">
        <f>IF(OR(Database!$BG517="",Screener!$D$10=""),0,IF(Database!$BG517=Screener!$D$10,1,0))</f>
        <v/>
      </c>
      <c r="F517" s="270">
        <f>IF(OR(Database!$BM517="",Screener!$D$11=""),0,IF(Database!$BM517=Screener!$D$11,1,0))</f>
        <v/>
      </c>
      <c r="G517" s="270">
        <f>IF(OR(Database!$H517="",N(Screener!$D$12)&lt;=0),0,MAX(0,1-(N(Screener!$D$12)-Database!$H517)/W_RECD))</f>
        <v/>
      </c>
      <c r="H517" s="270">
        <f>IF($U$1="",0,N(ISNUMBER(SEARCH($U$1,Database!$AC517&amp;""))))+IF($V$1="",0,N(ISNUMBER(SEARCH($V$1,Database!$AC517&amp;""))))+IF($W$1="",0,N(ISNUMBER(SEARCH($W$1,Database!$AC517&amp;""))))+IF($X$1="",0,N(ISNUMBER(SEARCH($X$1,Database!$AC517&amp;""))))+IF($Y$1="",0,N(ISNUMBER(SEARCH($Y$1,Database!$AC517&amp;""))))+IF(Screener!$B$17="",0,N(ISNUMBER(SEARCH(LOWER(Screener!$B$17),Database!$AC517&amp;""))))</f>
        <v/>
      </c>
      <c r="I517" s="270">
        <f>IF(OR(N(Database!$BH517)&lt;=0,N(Screener!$D$13)&lt;=0),0,MAX(0,1-ABS(LOG10(N(Database!$BH517)/Screener!$D$13))/W_PEHW))</f>
        <v/>
      </c>
      <c r="J517" s="270">
        <f>IF(OR(N(Database!$S517)&lt;=0,N(Screener!$D$14)&lt;=0),0,MAX(0,1-ABS(LOG10(Database!$S517/Screener!$D$14))/0.6))</f>
        <v/>
      </c>
      <c r="K517" s="270">
        <f>IF(Database!$B517=Screener!$B$5,-999999,IF(ISNUMBER(SEARCH(","&amp;Database!$A517&amp;",",","&amp;SUBSTITUTE(Screener!$D$17," ","")&amp;",")),2000000,IF(IF(OR(Screener!$B$18="All",AND(Screener!$B$18="With A-share",(Database!$BM517="Y")),AND(Screener!$B$18="Without A-share",NOT((Database!$BM517="Y")))),1,0)=0,-999999,IF(Screener!$B$16="cornerstone overlap first",H517*100000,IF(Screener!$B$16="demand-similar first",J517*100000,0))+W_SUB*B517+W_SEC*C517*(1-B517)+W_SIZE*D517+W_PROF*E517+W_AH*F517+W_REC*G517+W_CS*H517+W_PE*I517)))+ROW()/1000000</f>
        <v/>
      </c>
      <c r="AA517" s="270">
        <f>Database!B506</f>
        <v/>
      </c>
      <c r="AB517" s="270">
        <f>Database!D506</f>
        <v/>
      </c>
      <c r="AC517" s="270">
        <f>Database!E506</f>
        <v/>
      </c>
      <c r="AD517" s="270">
        <f>Database!I506</f>
        <v/>
      </c>
      <c r="AE517" s="270">
        <f>Database!BG506</f>
        <v/>
      </c>
      <c r="AF517" s="270">
        <f>Database!BM506</f>
        <v/>
      </c>
      <c r="AG517" s="270">
        <f>Database!H506</f>
        <v/>
      </c>
      <c r="AH517" s="270">
        <f>Database!BH506</f>
        <v/>
      </c>
    </row>
    <row r="518">
      <c r="A518" s="270">
        <f>Database!B518</f>
        <v/>
      </c>
      <c r="B518" s="270">
        <f>IF(AND(Screener!$D$8&lt;&gt;"",Database!$E518=Screener!$D$8),1,0)</f>
        <v/>
      </c>
      <c r="C518" s="270">
        <f>IF(AND(Screener!$D$7&lt;&gt;"",Database!$D518=Screener!$D$7),1,0)</f>
        <v/>
      </c>
      <c r="D518" s="270">
        <f>IF(OR(N(Database!$I518)&lt;=0,N(Screener!$D$9)&lt;=0),0,MAX(0,1-ABS(LOG10(N(Database!$I518)/Screener!$D$9))/W_SIZEHW))</f>
        <v/>
      </c>
      <c r="E518" s="270">
        <f>IF(OR(Database!$BG518="",Screener!$D$10=""),0,IF(Database!$BG518=Screener!$D$10,1,0))</f>
        <v/>
      </c>
      <c r="F518" s="270">
        <f>IF(OR(Database!$BM518="",Screener!$D$11=""),0,IF(Database!$BM518=Screener!$D$11,1,0))</f>
        <v/>
      </c>
      <c r="G518" s="270">
        <f>IF(OR(Database!$H518="",N(Screener!$D$12)&lt;=0),0,MAX(0,1-(N(Screener!$D$12)-Database!$H518)/W_RECD))</f>
        <v/>
      </c>
      <c r="H518" s="270">
        <f>IF($U$1="",0,N(ISNUMBER(SEARCH($U$1,Database!$AC518&amp;""))))+IF($V$1="",0,N(ISNUMBER(SEARCH($V$1,Database!$AC518&amp;""))))+IF($W$1="",0,N(ISNUMBER(SEARCH($W$1,Database!$AC518&amp;""))))+IF($X$1="",0,N(ISNUMBER(SEARCH($X$1,Database!$AC518&amp;""))))+IF($Y$1="",0,N(ISNUMBER(SEARCH($Y$1,Database!$AC518&amp;""))))+IF(Screener!$B$17="",0,N(ISNUMBER(SEARCH(LOWER(Screener!$B$17),Database!$AC518&amp;""))))</f>
        <v/>
      </c>
      <c r="I518" s="270">
        <f>IF(OR(N(Database!$BH518)&lt;=0,N(Screener!$D$13)&lt;=0),0,MAX(0,1-ABS(LOG10(N(Database!$BH518)/Screener!$D$13))/W_PEHW))</f>
        <v/>
      </c>
      <c r="J518" s="270">
        <f>IF(OR(N(Database!$S518)&lt;=0,N(Screener!$D$14)&lt;=0),0,MAX(0,1-ABS(LOG10(Database!$S518/Screener!$D$14))/0.6))</f>
        <v/>
      </c>
      <c r="K518" s="270">
        <f>IF(Database!$B518=Screener!$B$5,-999999,IF(ISNUMBER(SEARCH(","&amp;Database!$A518&amp;",",","&amp;SUBSTITUTE(Screener!$D$17," ","")&amp;",")),2000000,IF(IF(OR(Screener!$B$18="All",AND(Screener!$B$18="With A-share",(Database!$BM518="Y")),AND(Screener!$B$18="Without A-share",NOT((Database!$BM518="Y")))),1,0)=0,-999999,IF(Screener!$B$16="cornerstone overlap first",H518*100000,IF(Screener!$B$16="demand-similar first",J518*100000,0))+W_SUB*B518+W_SEC*C518*(1-B518)+W_SIZE*D518+W_PROF*E518+W_AH*F518+W_REC*G518+W_CS*H518+W_PE*I518)))+ROW()/1000000</f>
        <v/>
      </c>
      <c r="AA518" s="270">
        <f>Database!B507</f>
        <v/>
      </c>
      <c r="AB518" s="270">
        <f>Database!D507</f>
        <v/>
      </c>
      <c r="AC518" s="270">
        <f>Database!E507</f>
        <v/>
      </c>
      <c r="AD518" s="270">
        <f>Database!I507</f>
        <v/>
      </c>
      <c r="AE518" s="270">
        <f>Database!BG507</f>
        <v/>
      </c>
      <c r="AF518" s="270">
        <f>Database!BM507</f>
        <v/>
      </c>
      <c r="AG518" s="270">
        <f>Database!H507</f>
        <v/>
      </c>
      <c r="AH518" s="270">
        <f>Database!BH507</f>
        <v/>
      </c>
    </row>
    <row r="519">
      <c r="A519" s="270">
        <f>Database!B519</f>
        <v/>
      </c>
      <c r="B519" s="270">
        <f>IF(AND(Screener!$D$8&lt;&gt;"",Database!$E519=Screener!$D$8),1,0)</f>
        <v/>
      </c>
      <c r="C519" s="270">
        <f>IF(AND(Screener!$D$7&lt;&gt;"",Database!$D519=Screener!$D$7),1,0)</f>
        <v/>
      </c>
      <c r="D519" s="270">
        <f>IF(OR(N(Database!$I519)&lt;=0,N(Screener!$D$9)&lt;=0),0,MAX(0,1-ABS(LOG10(N(Database!$I519)/Screener!$D$9))/W_SIZEHW))</f>
        <v/>
      </c>
      <c r="E519" s="270">
        <f>IF(OR(Database!$BG519="",Screener!$D$10=""),0,IF(Database!$BG519=Screener!$D$10,1,0))</f>
        <v/>
      </c>
      <c r="F519" s="270">
        <f>IF(OR(Database!$BM519="",Screener!$D$11=""),0,IF(Database!$BM519=Screener!$D$11,1,0))</f>
        <v/>
      </c>
      <c r="G519" s="270">
        <f>IF(OR(Database!$H519="",N(Screener!$D$12)&lt;=0),0,MAX(0,1-(N(Screener!$D$12)-Database!$H519)/W_RECD))</f>
        <v/>
      </c>
      <c r="H519" s="270">
        <f>IF($U$1="",0,N(ISNUMBER(SEARCH($U$1,Database!$AC519&amp;""))))+IF($V$1="",0,N(ISNUMBER(SEARCH($V$1,Database!$AC519&amp;""))))+IF($W$1="",0,N(ISNUMBER(SEARCH($W$1,Database!$AC519&amp;""))))+IF($X$1="",0,N(ISNUMBER(SEARCH($X$1,Database!$AC519&amp;""))))+IF($Y$1="",0,N(ISNUMBER(SEARCH($Y$1,Database!$AC519&amp;""))))+IF(Screener!$B$17="",0,N(ISNUMBER(SEARCH(LOWER(Screener!$B$17),Database!$AC519&amp;""))))</f>
        <v/>
      </c>
      <c r="I519" s="270">
        <f>IF(OR(N(Database!$BH519)&lt;=0,N(Screener!$D$13)&lt;=0),0,MAX(0,1-ABS(LOG10(N(Database!$BH519)/Screener!$D$13))/W_PEHW))</f>
        <v/>
      </c>
      <c r="J519" s="270">
        <f>IF(OR(N(Database!$S519)&lt;=0,N(Screener!$D$14)&lt;=0),0,MAX(0,1-ABS(LOG10(Database!$S519/Screener!$D$14))/0.6))</f>
        <v/>
      </c>
      <c r="K519" s="270">
        <f>IF(Database!$B519=Screener!$B$5,-999999,IF(ISNUMBER(SEARCH(","&amp;Database!$A519&amp;",",","&amp;SUBSTITUTE(Screener!$D$17," ","")&amp;",")),2000000,IF(IF(OR(Screener!$B$18="All",AND(Screener!$B$18="With A-share",(Database!$BM519="Y")),AND(Screener!$B$18="Without A-share",NOT((Database!$BM519="Y")))),1,0)=0,-999999,IF(Screener!$B$16="cornerstone overlap first",H519*100000,IF(Screener!$B$16="demand-similar first",J519*100000,0))+W_SUB*B519+W_SEC*C519*(1-B519)+W_SIZE*D519+W_PROF*E519+W_AH*F519+W_REC*G519+W_CS*H519+W_PE*I519)))+ROW()/1000000</f>
        <v/>
      </c>
      <c r="AA519" s="270">
        <f>Database!B508</f>
        <v/>
      </c>
      <c r="AB519" s="270">
        <f>Database!D508</f>
        <v/>
      </c>
      <c r="AC519" s="270">
        <f>Database!E508</f>
        <v/>
      </c>
      <c r="AD519" s="270">
        <f>Database!I508</f>
        <v/>
      </c>
      <c r="AE519" s="270">
        <f>Database!BG508</f>
        <v/>
      </c>
      <c r="AF519" s="270">
        <f>Database!BM508</f>
        <v/>
      </c>
      <c r="AG519" s="270">
        <f>Database!H508</f>
        <v/>
      </c>
      <c r="AH519" s="270">
        <f>Database!BH508</f>
        <v/>
      </c>
    </row>
    <row r="520">
      <c r="A520" s="270">
        <f>Database!B520</f>
        <v/>
      </c>
      <c r="B520" s="270">
        <f>IF(AND(Screener!$D$8&lt;&gt;"",Database!$E520=Screener!$D$8),1,0)</f>
        <v/>
      </c>
      <c r="C520" s="270">
        <f>IF(AND(Screener!$D$7&lt;&gt;"",Database!$D520=Screener!$D$7),1,0)</f>
        <v/>
      </c>
      <c r="D520" s="270">
        <f>IF(OR(N(Database!$I520)&lt;=0,N(Screener!$D$9)&lt;=0),0,MAX(0,1-ABS(LOG10(N(Database!$I520)/Screener!$D$9))/W_SIZEHW))</f>
        <v/>
      </c>
      <c r="E520" s="270">
        <f>IF(OR(Database!$BG520="",Screener!$D$10=""),0,IF(Database!$BG520=Screener!$D$10,1,0))</f>
        <v/>
      </c>
      <c r="F520" s="270">
        <f>IF(OR(Database!$BM520="",Screener!$D$11=""),0,IF(Database!$BM520=Screener!$D$11,1,0))</f>
        <v/>
      </c>
      <c r="G520" s="270">
        <f>IF(OR(Database!$H520="",N(Screener!$D$12)&lt;=0),0,MAX(0,1-(N(Screener!$D$12)-Database!$H520)/W_RECD))</f>
        <v/>
      </c>
      <c r="H520" s="270">
        <f>IF($U$1="",0,N(ISNUMBER(SEARCH($U$1,Database!$AC520&amp;""))))+IF($V$1="",0,N(ISNUMBER(SEARCH($V$1,Database!$AC520&amp;""))))+IF($W$1="",0,N(ISNUMBER(SEARCH($W$1,Database!$AC520&amp;""))))+IF($X$1="",0,N(ISNUMBER(SEARCH($X$1,Database!$AC520&amp;""))))+IF($Y$1="",0,N(ISNUMBER(SEARCH($Y$1,Database!$AC520&amp;""))))+IF(Screener!$B$17="",0,N(ISNUMBER(SEARCH(LOWER(Screener!$B$17),Database!$AC520&amp;""))))</f>
        <v/>
      </c>
      <c r="I520" s="270">
        <f>IF(OR(N(Database!$BH520)&lt;=0,N(Screener!$D$13)&lt;=0),0,MAX(0,1-ABS(LOG10(N(Database!$BH520)/Screener!$D$13))/W_PEHW))</f>
        <v/>
      </c>
      <c r="J520" s="270">
        <f>IF(OR(N(Database!$S520)&lt;=0,N(Screener!$D$14)&lt;=0),0,MAX(0,1-ABS(LOG10(Database!$S520/Screener!$D$14))/0.6))</f>
        <v/>
      </c>
      <c r="K520" s="270">
        <f>IF(Database!$B520=Screener!$B$5,-999999,IF(ISNUMBER(SEARCH(","&amp;Database!$A520&amp;",",","&amp;SUBSTITUTE(Screener!$D$17," ","")&amp;",")),2000000,IF(IF(OR(Screener!$B$18="All",AND(Screener!$B$18="With A-share",(Database!$BM520="Y")),AND(Screener!$B$18="Without A-share",NOT((Database!$BM520="Y")))),1,0)=0,-999999,IF(Screener!$B$16="cornerstone overlap first",H520*100000,IF(Screener!$B$16="demand-similar first",J520*100000,0))+W_SUB*B520+W_SEC*C520*(1-B520)+W_SIZE*D520+W_PROF*E520+W_AH*F520+W_REC*G520+W_CS*H520+W_PE*I520)))+ROW()/1000000</f>
        <v/>
      </c>
      <c r="AA520" s="270">
        <f>Database!B509</f>
        <v/>
      </c>
      <c r="AB520" s="270">
        <f>Database!D509</f>
        <v/>
      </c>
      <c r="AC520" s="270">
        <f>Database!E509</f>
        <v/>
      </c>
      <c r="AD520" s="270">
        <f>Database!I509</f>
        <v/>
      </c>
      <c r="AE520" s="270">
        <f>Database!BG509</f>
        <v/>
      </c>
      <c r="AF520" s="270">
        <f>Database!BM509</f>
        <v/>
      </c>
      <c r="AG520" s="270">
        <f>Database!H509</f>
        <v/>
      </c>
      <c r="AH520" s="270">
        <f>Database!BH509</f>
        <v/>
      </c>
    </row>
    <row r="521">
      <c r="A521" s="270">
        <f>Database!B521</f>
        <v/>
      </c>
      <c r="B521" s="270">
        <f>IF(AND(Screener!$D$8&lt;&gt;"",Database!$E521=Screener!$D$8),1,0)</f>
        <v/>
      </c>
      <c r="C521" s="270">
        <f>IF(AND(Screener!$D$7&lt;&gt;"",Database!$D521=Screener!$D$7),1,0)</f>
        <v/>
      </c>
      <c r="D521" s="270">
        <f>IF(OR(N(Database!$I521)&lt;=0,N(Screener!$D$9)&lt;=0),0,MAX(0,1-ABS(LOG10(N(Database!$I521)/Screener!$D$9))/W_SIZEHW))</f>
        <v/>
      </c>
      <c r="E521" s="270">
        <f>IF(OR(Database!$BG521="",Screener!$D$10=""),0,IF(Database!$BG521=Screener!$D$10,1,0))</f>
        <v/>
      </c>
      <c r="F521" s="270">
        <f>IF(OR(Database!$BM521="",Screener!$D$11=""),0,IF(Database!$BM521=Screener!$D$11,1,0))</f>
        <v/>
      </c>
      <c r="G521" s="270">
        <f>IF(OR(Database!$H521="",N(Screener!$D$12)&lt;=0),0,MAX(0,1-(N(Screener!$D$12)-Database!$H521)/W_RECD))</f>
        <v/>
      </c>
      <c r="H521" s="270">
        <f>IF($U$1="",0,N(ISNUMBER(SEARCH($U$1,Database!$AC521&amp;""))))+IF($V$1="",0,N(ISNUMBER(SEARCH($V$1,Database!$AC521&amp;""))))+IF($W$1="",0,N(ISNUMBER(SEARCH($W$1,Database!$AC521&amp;""))))+IF($X$1="",0,N(ISNUMBER(SEARCH($X$1,Database!$AC521&amp;""))))+IF($Y$1="",0,N(ISNUMBER(SEARCH($Y$1,Database!$AC521&amp;""))))+IF(Screener!$B$17="",0,N(ISNUMBER(SEARCH(LOWER(Screener!$B$17),Database!$AC521&amp;""))))</f>
        <v/>
      </c>
      <c r="I521" s="270">
        <f>IF(OR(N(Database!$BH521)&lt;=0,N(Screener!$D$13)&lt;=0),0,MAX(0,1-ABS(LOG10(N(Database!$BH521)/Screener!$D$13))/W_PEHW))</f>
        <v/>
      </c>
      <c r="J521" s="270">
        <f>IF(OR(N(Database!$S521)&lt;=0,N(Screener!$D$14)&lt;=0),0,MAX(0,1-ABS(LOG10(Database!$S521/Screener!$D$14))/0.6))</f>
        <v/>
      </c>
      <c r="K521" s="270">
        <f>IF(Database!$B521=Screener!$B$5,-999999,IF(ISNUMBER(SEARCH(","&amp;Database!$A521&amp;",",","&amp;SUBSTITUTE(Screener!$D$17," ","")&amp;",")),2000000,IF(IF(OR(Screener!$B$18="All",AND(Screener!$B$18="With A-share",(Database!$BM521="Y")),AND(Screener!$B$18="Without A-share",NOT((Database!$BM521="Y")))),1,0)=0,-999999,IF(Screener!$B$16="cornerstone overlap first",H521*100000,IF(Screener!$B$16="demand-similar first",J521*100000,0))+W_SUB*B521+W_SEC*C521*(1-B521)+W_SIZE*D521+W_PROF*E521+W_AH*F521+W_REC*G521+W_CS*H521+W_PE*I521)))+ROW()/1000000</f>
        <v/>
      </c>
      <c r="AA521" s="270">
        <f>Database!B510</f>
        <v/>
      </c>
      <c r="AB521" s="270">
        <f>Database!D510</f>
        <v/>
      </c>
      <c r="AC521" s="270">
        <f>Database!E510</f>
        <v/>
      </c>
      <c r="AD521" s="270">
        <f>Database!I510</f>
        <v/>
      </c>
      <c r="AE521" s="270">
        <f>Database!BG510</f>
        <v/>
      </c>
      <c r="AF521" s="270">
        <f>Database!BM510</f>
        <v/>
      </c>
      <c r="AG521" s="270">
        <f>Database!H510</f>
        <v/>
      </c>
      <c r="AH521" s="270">
        <f>Database!BH510</f>
        <v/>
      </c>
    </row>
    <row r="522">
      <c r="A522" s="270">
        <f>Database!B522</f>
        <v/>
      </c>
      <c r="B522" s="270">
        <f>IF(AND(Screener!$D$8&lt;&gt;"",Database!$E522=Screener!$D$8),1,0)</f>
        <v/>
      </c>
      <c r="C522" s="270">
        <f>IF(AND(Screener!$D$7&lt;&gt;"",Database!$D522=Screener!$D$7),1,0)</f>
        <v/>
      </c>
      <c r="D522" s="270">
        <f>IF(OR(N(Database!$I522)&lt;=0,N(Screener!$D$9)&lt;=0),0,MAX(0,1-ABS(LOG10(N(Database!$I522)/Screener!$D$9))/W_SIZEHW))</f>
        <v/>
      </c>
      <c r="E522" s="270">
        <f>IF(OR(Database!$BG522="",Screener!$D$10=""),0,IF(Database!$BG522=Screener!$D$10,1,0))</f>
        <v/>
      </c>
      <c r="F522" s="270">
        <f>IF(OR(Database!$BM522="",Screener!$D$11=""),0,IF(Database!$BM522=Screener!$D$11,1,0))</f>
        <v/>
      </c>
      <c r="G522" s="270">
        <f>IF(OR(Database!$H522="",N(Screener!$D$12)&lt;=0),0,MAX(0,1-(N(Screener!$D$12)-Database!$H522)/W_RECD))</f>
        <v/>
      </c>
      <c r="H522" s="270">
        <f>IF($U$1="",0,N(ISNUMBER(SEARCH($U$1,Database!$AC522&amp;""))))+IF($V$1="",0,N(ISNUMBER(SEARCH($V$1,Database!$AC522&amp;""))))+IF($W$1="",0,N(ISNUMBER(SEARCH($W$1,Database!$AC522&amp;""))))+IF($X$1="",0,N(ISNUMBER(SEARCH($X$1,Database!$AC522&amp;""))))+IF($Y$1="",0,N(ISNUMBER(SEARCH($Y$1,Database!$AC522&amp;""))))+IF(Screener!$B$17="",0,N(ISNUMBER(SEARCH(LOWER(Screener!$B$17),Database!$AC522&amp;""))))</f>
        <v/>
      </c>
      <c r="I522" s="270">
        <f>IF(OR(N(Database!$BH522)&lt;=0,N(Screener!$D$13)&lt;=0),0,MAX(0,1-ABS(LOG10(N(Database!$BH522)/Screener!$D$13))/W_PEHW))</f>
        <v/>
      </c>
      <c r="J522" s="270">
        <f>IF(OR(N(Database!$S522)&lt;=0,N(Screener!$D$14)&lt;=0),0,MAX(0,1-ABS(LOG10(Database!$S522/Screener!$D$14))/0.6))</f>
        <v/>
      </c>
      <c r="K522" s="270">
        <f>IF(Database!$B522=Screener!$B$5,-999999,IF(ISNUMBER(SEARCH(","&amp;Database!$A522&amp;",",","&amp;SUBSTITUTE(Screener!$D$17," ","")&amp;",")),2000000,IF(IF(OR(Screener!$B$18="All",AND(Screener!$B$18="With A-share",(Database!$BM522="Y")),AND(Screener!$B$18="Without A-share",NOT((Database!$BM522="Y")))),1,0)=0,-999999,IF(Screener!$B$16="cornerstone overlap first",H522*100000,IF(Screener!$B$16="demand-similar first",J522*100000,0))+W_SUB*B522+W_SEC*C522*(1-B522)+W_SIZE*D522+W_PROF*E522+W_AH*F522+W_REC*G522+W_CS*H522+W_PE*I522)))+ROW()/1000000</f>
        <v/>
      </c>
      <c r="AA522" s="270">
        <f>Database!B511</f>
        <v/>
      </c>
      <c r="AB522" s="270">
        <f>Database!D511</f>
        <v/>
      </c>
      <c r="AC522" s="270">
        <f>Database!E511</f>
        <v/>
      </c>
      <c r="AD522" s="270">
        <f>Database!I511</f>
        <v/>
      </c>
      <c r="AE522" s="270">
        <f>Database!BG511</f>
        <v/>
      </c>
      <c r="AF522" s="270">
        <f>Database!BM511</f>
        <v/>
      </c>
      <c r="AG522" s="270">
        <f>Database!H511</f>
        <v/>
      </c>
      <c r="AH522" s="270">
        <f>Database!BH511</f>
        <v/>
      </c>
    </row>
    <row r="523">
      <c r="A523" s="270">
        <f>Database!B523</f>
        <v/>
      </c>
      <c r="B523" s="270">
        <f>IF(AND(Screener!$D$8&lt;&gt;"",Database!$E523=Screener!$D$8),1,0)</f>
        <v/>
      </c>
      <c r="C523" s="270">
        <f>IF(AND(Screener!$D$7&lt;&gt;"",Database!$D523=Screener!$D$7),1,0)</f>
        <v/>
      </c>
      <c r="D523" s="270">
        <f>IF(OR(N(Database!$I523)&lt;=0,N(Screener!$D$9)&lt;=0),0,MAX(0,1-ABS(LOG10(N(Database!$I523)/Screener!$D$9))/W_SIZEHW))</f>
        <v/>
      </c>
      <c r="E523" s="270">
        <f>IF(OR(Database!$BG523="",Screener!$D$10=""),0,IF(Database!$BG523=Screener!$D$10,1,0))</f>
        <v/>
      </c>
      <c r="F523" s="270">
        <f>IF(OR(Database!$BM523="",Screener!$D$11=""),0,IF(Database!$BM523=Screener!$D$11,1,0))</f>
        <v/>
      </c>
      <c r="G523" s="270">
        <f>IF(OR(Database!$H523="",N(Screener!$D$12)&lt;=0),0,MAX(0,1-(N(Screener!$D$12)-Database!$H523)/W_RECD))</f>
        <v/>
      </c>
      <c r="H523" s="270">
        <f>IF($U$1="",0,N(ISNUMBER(SEARCH($U$1,Database!$AC523&amp;""))))+IF($V$1="",0,N(ISNUMBER(SEARCH($V$1,Database!$AC523&amp;""))))+IF($W$1="",0,N(ISNUMBER(SEARCH($W$1,Database!$AC523&amp;""))))+IF($X$1="",0,N(ISNUMBER(SEARCH($X$1,Database!$AC523&amp;""))))+IF($Y$1="",0,N(ISNUMBER(SEARCH($Y$1,Database!$AC523&amp;""))))+IF(Screener!$B$17="",0,N(ISNUMBER(SEARCH(LOWER(Screener!$B$17),Database!$AC523&amp;""))))</f>
        <v/>
      </c>
      <c r="I523" s="270">
        <f>IF(OR(N(Database!$BH523)&lt;=0,N(Screener!$D$13)&lt;=0),0,MAX(0,1-ABS(LOG10(N(Database!$BH523)/Screener!$D$13))/W_PEHW))</f>
        <v/>
      </c>
      <c r="J523" s="270">
        <f>IF(OR(N(Database!$S523)&lt;=0,N(Screener!$D$14)&lt;=0),0,MAX(0,1-ABS(LOG10(Database!$S523/Screener!$D$14))/0.6))</f>
        <v/>
      </c>
      <c r="K523" s="270">
        <f>IF(Database!$B523=Screener!$B$5,-999999,IF(ISNUMBER(SEARCH(","&amp;Database!$A523&amp;",",","&amp;SUBSTITUTE(Screener!$D$17," ","")&amp;",")),2000000,IF(IF(OR(Screener!$B$18="All",AND(Screener!$B$18="With A-share",(Database!$BM523="Y")),AND(Screener!$B$18="Without A-share",NOT((Database!$BM523="Y")))),1,0)=0,-999999,IF(Screener!$B$16="cornerstone overlap first",H523*100000,IF(Screener!$B$16="demand-similar first",J523*100000,0))+W_SUB*B523+W_SEC*C523*(1-B523)+W_SIZE*D523+W_PROF*E523+W_AH*F523+W_REC*G523+W_CS*H523+W_PE*I523)))+ROW()/1000000</f>
        <v/>
      </c>
      <c r="AA523" s="270">
        <f>Database!B512</f>
        <v/>
      </c>
      <c r="AB523" s="270">
        <f>Database!D512</f>
        <v/>
      </c>
      <c r="AC523" s="270">
        <f>Database!E512</f>
        <v/>
      </c>
      <c r="AD523" s="270">
        <f>Database!I512</f>
        <v/>
      </c>
      <c r="AE523" s="270">
        <f>Database!BG512</f>
        <v/>
      </c>
      <c r="AF523" s="270">
        <f>Database!BM512</f>
        <v/>
      </c>
      <c r="AG523" s="270">
        <f>Database!H512</f>
        <v/>
      </c>
      <c r="AH523" s="270">
        <f>Database!BH512</f>
        <v/>
      </c>
    </row>
    <row r="524">
      <c r="A524" s="270">
        <f>Database!B524</f>
        <v/>
      </c>
      <c r="B524" s="270">
        <f>IF(AND(Screener!$D$8&lt;&gt;"",Database!$E524=Screener!$D$8),1,0)</f>
        <v/>
      </c>
      <c r="C524" s="270">
        <f>IF(AND(Screener!$D$7&lt;&gt;"",Database!$D524=Screener!$D$7),1,0)</f>
        <v/>
      </c>
      <c r="D524" s="270">
        <f>IF(OR(N(Database!$I524)&lt;=0,N(Screener!$D$9)&lt;=0),0,MAX(0,1-ABS(LOG10(N(Database!$I524)/Screener!$D$9))/W_SIZEHW))</f>
        <v/>
      </c>
      <c r="E524" s="270">
        <f>IF(OR(Database!$BG524="",Screener!$D$10=""),0,IF(Database!$BG524=Screener!$D$10,1,0))</f>
        <v/>
      </c>
      <c r="F524" s="270">
        <f>IF(OR(Database!$BM524="",Screener!$D$11=""),0,IF(Database!$BM524=Screener!$D$11,1,0))</f>
        <v/>
      </c>
      <c r="G524" s="270">
        <f>IF(OR(Database!$H524="",N(Screener!$D$12)&lt;=0),0,MAX(0,1-(N(Screener!$D$12)-Database!$H524)/W_RECD))</f>
        <v/>
      </c>
      <c r="H524" s="270">
        <f>IF($U$1="",0,N(ISNUMBER(SEARCH($U$1,Database!$AC524&amp;""))))+IF($V$1="",0,N(ISNUMBER(SEARCH($V$1,Database!$AC524&amp;""))))+IF($W$1="",0,N(ISNUMBER(SEARCH($W$1,Database!$AC524&amp;""))))+IF($X$1="",0,N(ISNUMBER(SEARCH($X$1,Database!$AC524&amp;""))))+IF($Y$1="",0,N(ISNUMBER(SEARCH($Y$1,Database!$AC524&amp;""))))+IF(Screener!$B$17="",0,N(ISNUMBER(SEARCH(LOWER(Screener!$B$17),Database!$AC524&amp;""))))</f>
        <v/>
      </c>
      <c r="I524" s="270">
        <f>IF(OR(N(Database!$BH524)&lt;=0,N(Screener!$D$13)&lt;=0),0,MAX(0,1-ABS(LOG10(N(Database!$BH524)/Screener!$D$13))/W_PEHW))</f>
        <v/>
      </c>
      <c r="J524" s="270">
        <f>IF(OR(N(Database!$S524)&lt;=0,N(Screener!$D$14)&lt;=0),0,MAX(0,1-ABS(LOG10(Database!$S524/Screener!$D$14))/0.6))</f>
        <v/>
      </c>
      <c r="K524" s="270">
        <f>IF(Database!$B524=Screener!$B$5,-999999,IF(ISNUMBER(SEARCH(","&amp;Database!$A524&amp;",",","&amp;SUBSTITUTE(Screener!$D$17," ","")&amp;",")),2000000,IF(IF(OR(Screener!$B$18="All",AND(Screener!$B$18="With A-share",(Database!$BM524="Y")),AND(Screener!$B$18="Without A-share",NOT((Database!$BM524="Y")))),1,0)=0,-999999,IF(Screener!$B$16="cornerstone overlap first",H524*100000,IF(Screener!$B$16="demand-similar first",J524*100000,0))+W_SUB*B524+W_SEC*C524*(1-B524)+W_SIZE*D524+W_PROF*E524+W_AH*F524+W_REC*G524+W_CS*H524+W_PE*I524)))+ROW()/1000000</f>
        <v/>
      </c>
      <c r="AA524" s="270">
        <f>Database!B513</f>
        <v/>
      </c>
      <c r="AB524" s="270">
        <f>Database!D513</f>
        <v/>
      </c>
      <c r="AC524" s="270">
        <f>Database!E513</f>
        <v/>
      </c>
      <c r="AD524" s="270">
        <f>Database!I513</f>
        <v/>
      </c>
      <c r="AE524" s="270">
        <f>Database!BG513</f>
        <v/>
      </c>
      <c r="AF524" s="270">
        <f>Database!BM513</f>
        <v/>
      </c>
      <c r="AG524" s="270">
        <f>Database!H513</f>
        <v/>
      </c>
      <c r="AH524" s="270">
        <f>Database!BH513</f>
        <v/>
      </c>
    </row>
    <row r="525">
      <c r="A525" s="270">
        <f>Database!B525</f>
        <v/>
      </c>
      <c r="B525" s="270">
        <f>IF(AND(Screener!$D$8&lt;&gt;"",Database!$E525=Screener!$D$8),1,0)</f>
        <v/>
      </c>
      <c r="C525" s="270">
        <f>IF(AND(Screener!$D$7&lt;&gt;"",Database!$D525=Screener!$D$7),1,0)</f>
        <v/>
      </c>
      <c r="D525" s="270">
        <f>IF(OR(N(Database!$I525)&lt;=0,N(Screener!$D$9)&lt;=0),0,MAX(0,1-ABS(LOG10(N(Database!$I525)/Screener!$D$9))/W_SIZEHW))</f>
        <v/>
      </c>
      <c r="E525" s="270">
        <f>IF(OR(Database!$BG525="",Screener!$D$10=""),0,IF(Database!$BG525=Screener!$D$10,1,0))</f>
        <v/>
      </c>
      <c r="F525" s="270">
        <f>IF(OR(Database!$BM525="",Screener!$D$11=""),0,IF(Database!$BM525=Screener!$D$11,1,0))</f>
        <v/>
      </c>
      <c r="G525" s="270">
        <f>IF(OR(Database!$H525="",N(Screener!$D$12)&lt;=0),0,MAX(0,1-(N(Screener!$D$12)-Database!$H525)/W_RECD))</f>
        <v/>
      </c>
      <c r="H525" s="270">
        <f>IF($U$1="",0,N(ISNUMBER(SEARCH($U$1,Database!$AC525&amp;""))))+IF($V$1="",0,N(ISNUMBER(SEARCH($V$1,Database!$AC525&amp;""))))+IF($W$1="",0,N(ISNUMBER(SEARCH($W$1,Database!$AC525&amp;""))))+IF($X$1="",0,N(ISNUMBER(SEARCH($X$1,Database!$AC525&amp;""))))+IF($Y$1="",0,N(ISNUMBER(SEARCH($Y$1,Database!$AC525&amp;""))))+IF(Screener!$B$17="",0,N(ISNUMBER(SEARCH(LOWER(Screener!$B$17),Database!$AC525&amp;""))))</f>
        <v/>
      </c>
      <c r="I525" s="270">
        <f>IF(OR(N(Database!$BH525)&lt;=0,N(Screener!$D$13)&lt;=0),0,MAX(0,1-ABS(LOG10(N(Database!$BH525)/Screener!$D$13))/W_PEHW))</f>
        <v/>
      </c>
      <c r="J525" s="270">
        <f>IF(OR(N(Database!$S525)&lt;=0,N(Screener!$D$14)&lt;=0),0,MAX(0,1-ABS(LOG10(Database!$S525/Screener!$D$14))/0.6))</f>
        <v/>
      </c>
      <c r="K525" s="270">
        <f>IF(Database!$B525=Screener!$B$5,-999999,IF(ISNUMBER(SEARCH(","&amp;Database!$A525&amp;",",","&amp;SUBSTITUTE(Screener!$D$17," ","")&amp;",")),2000000,IF(IF(OR(Screener!$B$18="All",AND(Screener!$B$18="With A-share",(Database!$BM525="Y")),AND(Screener!$B$18="Without A-share",NOT((Database!$BM525="Y")))),1,0)=0,-999999,IF(Screener!$B$16="cornerstone overlap first",H525*100000,IF(Screener!$B$16="demand-similar first",J525*100000,0))+W_SUB*B525+W_SEC*C525*(1-B525)+W_SIZE*D525+W_PROF*E525+W_AH*F525+W_REC*G525+W_CS*H525+W_PE*I525)))+ROW()/1000000</f>
        <v/>
      </c>
      <c r="AA525" s="270">
        <f>Database!B514</f>
        <v/>
      </c>
      <c r="AB525" s="270">
        <f>Database!D514</f>
        <v/>
      </c>
      <c r="AC525" s="270">
        <f>Database!E514</f>
        <v/>
      </c>
      <c r="AD525" s="270">
        <f>Database!I514</f>
        <v/>
      </c>
      <c r="AE525" s="270">
        <f>Database!BG514</f>
        <v/>
      </c>
      <c r="AF525" s="270">
        <f>Database!BM514</f>
        <v/>
      </c>
      <c r="AG525" s="270">
        <f>Database!H514</f>
        <v/>
      </c>
      <c r="AH525" s="270">
        <f>Database!BH514</f>
        <v/>
      </c>
    </row>
    <row r="526">
      <c r="A526" s="270">
        <f>Database!B526</f>
        <v/>
      </c>
      <c r="B526" s="270">
        <f>IF(AND(Screener!$D$8&lt;&gt;"",Database!$E526=Screener!$D$8),1,0)</f>
        <v/>
      </c>
      <c r="C526" s="270">
        <f>IF(AND(Screener!$D$7&lt;&gt;"",Database!$D526=Screener!$D$7),1,0)</f>
        <v/>
      </c>
      <c r="D526" s="270">
        <f>IF(OR(N(Database!$I526)&lt;=0,N(Screener!$D$9)&lt;=0),0,MAX(0,1-ABS(LOG10(N(Database!$I526)/Screener!$D$9))/W_SIZEHW))</f>
        <v/>
      </c>
      <c r="E526" s="270">
        <f>IF(OR(Database!$BG526="",Screener!$D$10=""),0,IF(Database!$BG526=Screener!$D$10,1,0))</f>
        <v/>
      </c>
      <c r="F526" s="270">
        <f>IF(OR(Database!$BM526="",Screener!$D$11=""),0,IF(Database!$BM526=Screener!$D$11,1,0))</f>
        <v/>
      </c>
      <c r="G526" s="270">
        <f>IF(OR(Database!$H526="",N(Screener!$D$12)&lt;=0),0,MAX(0,1-(N(Screener!$D$12)-Database!$H526)/W_RECD))</f>
        <v/>
      </c>
      <c r="H526" s="270">
        <f>IF($U$1="",0,N(ISNUMBER(SEARCH($U$1,Database!$AC526&amp;""))))+IF($V$1="",0,N(ISNUMBER(SEARCH($V$1,Database!$AC526&amp;""))))+IF($W$1="",0,N(ISNUMBER(SEARCH($W$1,Database!$AC526&amp;""))))+IF($X$1="",0,N(ISNUMBER(SEARCH($X$1,Database!$AC526&amp;""))))+IF($Y$1="",0,N(ISNUMBER(SEARCH($Y$1,Database!$AC526&amp;""))))+IF(Screener!$B$17="",0,N(ISNUMBER(SEARCH(LOWER(Screener!$B$17),Database!$AC526&amp;""))))</f>
        <v/>
      </c>
      <c r="I526" s="270">
        <f>IF(OR(N(Database!$BH526)&lt;=0,N(Screener!$D$13)&lt;=0),0,MAX(0,1-ABS(LOG10(N(Database!$BH526)/Screener!$D$13))/W_PEHW))</f>
        <v/>
      </c>
      <c r="J526" s="270">
        <f>IF(OR(N(Database!$S526)&lt;=0,N(Screener!$D$14)&lt;=0),0,MAX(0,1-ABS(LOG10(Database!$S526/Screener!$D$14))/0.6))</f>
        <v/>
      </c>
      <c r="K526" s="270">
        <f>IF(Database!$B526=Screener!$B$5,-999999,IF(ISNUMBER(SEARCH(","&amp;Database!$A526&amp;",",","&amp;SUBSTITUTE(Screener!$D$17," ","")&amp;",")),2000000,IF(IF(OR(Screener!$B$18="All",AND(Screener!$B$18="With A-share",(Database!$BM526="Y")),AND(Screener!$B$18="Without A-share",NOT((Database!$BM526="Y")))),1,0)=0,-999999,IF(Screener!$B$16="cornerstone overlap first",H526*100000,IF(Screener!$B$16="demand-similar first",J526*100000,0))+W_SUB*B526+W_SEC*C526*(1-B526)+W_SIZE*D526+W_PROF*E526+W_AH*F526+W_REC*G526+W_CS*H526+W_PE*I526)))+ROW()/1000000</f>
        <v/>
      </c>
      <c r="AA526" s="270">
        <f>Database!B515</f>
        <v/>
      </c>
      <c r="AB526" s="270">
        <f>Database!D515</f>
        <v/>
      </c>
      <c r="AC526" s="270">
        <f>Database!E515</f>
        <v/>
      </c>
      <c r="AD526" s="270">
        <f>Database!I515</f>
        <v/>
      </c>
      <c r="AE526" s="270">
        <f>Database!BG515</f>
        <v/>
      </c>
      <c r="AF526" s="270">
        <f>Database!BM515</f>
        <v/>
      </c>
      <c r="AG526" s="270">
        <f>Database!H515</f>
        <v/>
      </c>
      <c r="AH526" s="270">
        <f>Database!BH515</f>
        <v/>
      </c>
    </row>
    <row r="527">
      <c r="A527" s="270">
        <f>Database!B527</f>
        <v/>
      </c>
      <c r="B527" s="270">
        <f>IF(AND(Screener!$D$8&lt;&gt;"",Database!$E527=Screener!$D$8),1,0)</f>
        <v/>
      </c>
      <c r="C527" s="270">
        <f>IF(AND(Screener!$D$7&lt;&gt;"",Database!$D527=Screener!$D$7),1,0)</f>
        <v/>
      </c>
      <c r="D527" s="270">
        <f>IF(OR(N(Database!$I527)&lt;=0,N(Screener!$D$9)&lt;=0),0,MAX(0,1-ABS(LOG10(N(Database!$I527)/Screener!$D$9))/W_SIZEHW))</f>
        <v/>
      </c>
      <c r="E527" s="270">
        <f>IF(OR(Database!$BG527="",Screener!$D$10=""),0,IF(Database!$BG527=Screener!$D$10,1,0))</f>
        <v/>
      </c>
      <c r="F527" s="270">
        <f>IF(OR(Database!$BM527="",Screener!$D$11=""),0,IF(Database!$BM527=Screener!$D$11,1,0))</f>
        <v/>
      </c>
      <c r="G527" s="270">
        <f>IF(OR(Database!$H527="",N(Screener!$D$12)&lt;=0),0,MAX(0,1-(N(Screener!$D$12)-Database!$H527)/W_RECD))</f>
        <v/>
      </c>
      <c r="H527" s="270">
        <f>IF($U$1="",0,N(ISNUMBER(SEARCH($U$1,Database!$AC527&amp;""))))+IF($V$1="",0,N(ISNUMBER(SEARCH($V$1,Database!$AC527&amp;""))))+IF($W$1="",0,N(ISNUMBER(SEARCH($W$1,Database!$AC527&amp;""))))+IF($X$1="",0,N(ISNUMBER(SEARCH($X$1,Database!$AC527&amp;""))))+IF($Y$1="",0,N(ISNUMBER(SEARCH($Y$1,Database!$AC527&amp;""))))+IF(Screener!$B$17="",0,N(ISNUMBER(SEARCH(LOWER(Screener!$B$17),Database!$AC527&amp;""))))</f>
        <v/>
      </c>
      <c r="I527" s="270">
        <f>IF(OR(N(Database!$BH527)&lt;=0,N(Screener!$D$13)&lt;=0),0,MAX(0,1-ABS(LOG10(N(Database!$BH527)/Screener!$D$13))/W_PEHW))</f>
        <v/>
      </c>
      <c r="J527" s="270">
        <f>IF(OR(N(Database!$S527)&lt;=0,N(Screener!$D$14)&lt;=0),0,MAX(0,1-ABS(LOG10(Database!$S527/Screener!$D$14))/0.6))</f>
        <v/>
      </c>
      <c r="K527" s="270">
        <f>IF(Database!$B527=Screener!$B$5,-999999,IF(ISNUMBER(SEARCH(","&amp;Database!$A527&amp;",",","&amp;SUBSTITUTE(Screener!$D$17," ","")&amp;",")),2000000,IF(IF(OR(Screener!$B$18="All",AND(Screener!$B$18="With A-share",(Database!$BM527="Y")),AND(Screener!$B$18="Without A-share",NOT((Database!$BM527="Y")))),1,0)=0,-999999,IF(Screener!$B$16="cornerstone overlap first",H527*100000,IF(Screener!$B$16="demand-similar first",J527*100000,0))+W_SUB*B527+W_SEC*C527*(1-B527)+W_SIZE*D527+W_PROF*E527+W_AH*F527+W_REC*G527+W_CS*H527+W_PE*I527)))+ROW()/1000000</f>
        <v/>
      </c>
      <c r="AA527" s="270">
        <f>Database!B516</f>
        <v/>
      </c>
      <c r="AB527" s="270">
        <f>Database!D516</f>
        <v/>
      </c>
      <c r="AC527" s="270">
        <f>Database!E516</f>
        <v/>
      </c>
      <c r="AD527" s="270">
        <f>Database!I516</f>
        <v/>
      </c>
      <c r="AE527" s="270">
        <f>Database!BG516</f>
        <v/>
      </c>
      <c r="AF527" s="270">
        <f>Database!BM516</f>
        <v/>
      </c>
      <c r="AG527" s="270">
        <f>Database!H516</f>
        <v/>
      </c>
      <c r="AH527" s="270">
        <f>Database!BH516</f>
        <v/>
      </c>
    </row>
    <row r="528">
      <c r="A528" s="270">
        <f>Database!B528</f>
        <v/>
      </c>
      <c r="B528" s="270">
        <f>IF(AND(Screener!$D$8&lt;&gt;"",Database!$E528=Screener!$D$8),1,0)</f>
        <v/>
      </c>
      <c r="C528" s="270">
        <f>IF(AND(Screener!$D$7&lt;&gt;"",Database!$D528=Screener!$D$7),1,0)</f>
        <v/>
      </c>
      <c r="D528" s="270">
        <f>IF(OR(N(Database!$I528)&lt;=0,N(Screener!$D$9)&lt;=0),0,MAX(0,1-ABS(LOG10(N(Database!$I528)/Screener!$D$9))/W_SIZEHW))</f>
        <v/>
      </c>
      <c r="E528" s="270">
        <f>IF(OR(Database!$BG528="",Screener!$D$10=""),0,IF(Database!$BG528=Screener!$D$10,1,0))</f>
        <v/>
      </c>
      <c r="F528" s="270">
        <f>IF(OR(Database!$BM528="",Screener!$D$11=""),0,IF(Database!$BM528=Screener!$D$11,1,0))</f>
        <v/>
      </c>
      <c r="G528" s="270">
        <f>IF(OR(Database!$H528="",N(Screener!$D$12)&lt;=0),0,MAX(0,1-(N(Screener!$D$12)-Database!$H528)/W_RECD))</f>
        <v/>
      </c>
      <c r="H528" s="270">
        <f>IF($U$1="",0,N(ISNUMBER(SEARCH($U$1,Database!$AC528&amp;""))))+IF($V$1="",0,N(ISNUMBER(SEARCH($V$1,Database!$AC528&amp;""))))+IF($W$1="",0,N(ISNUMBER(SEARCH($W$1,Database!$AC528&amp;""))))+IF($X$1="",0,N(ISNUMBER(SEARCH($X$1,Database!$AC528&amp;""))))+IF($Y$1="",0,N(ISNUMBER(SEARCH($Y$1,Database!$AC528&amp;""))))+IF(Screener!$B$17="",0,N(ISNUMBER(SEARCH(LOWER(Screener!$B$17),Database!$AC528&amp;""))))</f>
        <v/>
      </c>
      <c r="I528" s="270">
        <f>IF(OR(N(Database!$BH528)&lt;=0,N(Screener!$D$13)&lt;=0),0,MAX(0,1-ABS(LOG10(N(Database!$BH528)/Screener!$D$13))/W_PEHW))</f>
        <v/>
      </c>
      <c r="J528" s="270">
        <f>IF(OR(N(Database!$S528)&lt;=0,N(Screener!$D$14)&lt;=0),0,MAX(0,1-ABS(LOG10(Database!$S528/Screener!$D$14))/0.6))</f>
        <v/>
      </c>
      <c r="K528" s="270">
        <f>IF(Database!$B528=Screener!$B$5,-999999,IF(ISNUMBER(SEARCH(","&amp;Database!$A528&amp;",",","&amp;SUBSTITUTE(Screener!$D$17," ","")&amp;",")),2000000,IF(IF(OR(Screener!$B$18="All",AND(Screener!$B$18="With A-share",(Database!$BM528="Y")),AND(Screener!$B$18="Without A-share",NOT((Database!$BM528="Y")))),1,0)=0,-999999,IF(Screener!$B$16="cornerstone overlap first",H528*100000,IF(Screener!$B$16="demand-similar first",J528*100000,0))+W_SUB*B528+W_SEC*C528*(1-B528)+W_SIZE*D528+W_PROF*E528+W_AH*F528+W_REC*G528+W_CS*H528+W_PE*I528)))+ROW()/1000000</f>
        <v/>
      </c>
      <c r="AA528" s="270">
        <f>Database!B517</f>
        <v/>
      </c>
      <c r="AB528" s="270">
        <f>Database!D517</f>
        <v/>
      </c>
      <c r="AC528" s="270">
        <f>Database!E517</f>
        <v/>
      </c>
      <c r="AD528" s="270">
        <f>Database!I517</f>
        <v/>
      </c>
      <c r="AE528" s="270">
        <f>Database!BG517</f>
        <v/>
      </c>
      <c r="AF528" s="270">
        <f>Database!BM517</f>
        <v/>
      </c>
      <c r="AG528" s="270">
        <f>Database!H517</f>
        <v/>
      </c>
      <c r="AH528" s="270">
        <f>Database!BH517</f>
        <v/>
      </c>
    </row>
    <row r="529">
      <c r="AA529" s="270">
        <f>Database!B518</f>
        <v/>
      </c>
      <c r="AB529" s="270">
        <f>Database!D518</f>
        <v/>
      </c>
      <c r="AC529" s="270">
        <f>Database!E518</f>
        <v/>
      </c>
      <c r="AD529" s="270">
        <f>Database!I518</f>
        <v/>
      </c>
      <c r="AE529" s="270">
        <f>Database!BG518</f>
        <v/>
      </c>
      <c r="AF529" s="270">
        <f>Database!BM518</f>
        <v/>
      </c>
      <c r="AG529" s="270">
        <f>Database!H518</f>
        <v/>
      </c>
      <c r="AH529" s="270">
        <f>Database!BH518</f>
        <v/>
      </c>
    </row>
    <row r="530">
      <c r="AA530" s="270">
        <f>Database!B519</f>
        <v/>
      </c>
      <c r="AB530" s="270">
        <f>Database!D519</f>
        <v/>
      </c>
      <c r="AC530" s="270">
        <f>Database!E519</f>
        <v/>
      </c>
      <c r="AD530" s="270">
        <f>Database!I519</f>
        <v/>
      </c>
      <c r="AE530" s="270">
        <f>Database!BG519</f>
        <v/>
      </c>
      <c r="AF530" s="270">
        <f>Database!BM519</f>
        <v/>
      </c>
      <c r="AG530" s="270">
        <f>Database!H519</f>
        <v/>
      </c>
      <c r="AH530" s="270">
        <f>Database!BH519</f>
        <v/>
      </c>
    </row>
    <row r="531">
      <c r="AA531" s="270">
        <f>Database!B520</f>
        <v/>
      </c>
      <c r="AB531" s="270">
        <f>Database!D520</f>
        <v/>
      </c>
      <c r="AC531" s="270">
        <f>Database!E520</f>
        <v/>
      </c>
      <c r="AD531" s="270">
        <f>Database!I520</f>
        <v/>
      </c>
      <c r="AE531" s="270">
        <f>Database!BG520</f>
        <v/>
      </c>
      <c r="AF531" s="270">
        <f>Database!BM520</f>
        <v/>
      </c>
      <c r="AG531" s="270">
        <f>Database!H520</f>
        <v/>
      </c>
      <c r="AH531" s="270">
        <f>Database!BH520</f>
        <v/>
      </c>
    </row>
    <row r="532">
      <c r="AA532" s="270">
        <f>Database!B521</f>
        <v/>
      </c>
      <c r="AB532" s="270">
        <f>Database!D521</f>
        <v/>
      </c>
      <c r="AC532" s="270">
        <f>Database!E521</f>
        <v/>
      </c>
      <c r="AD532" s="270">
        <f>Database!I521</f>
        <v/>
      </c>
      <c r="AE532" s="270">
        <f>Database!BG521</f>
        <v/>
      </c>
      <c r="AF532" s="270">
        <f>Database!BM521</f>
        <v/>
      </c>
      <c r="AG532" s="270">
        <f>Database!H521</f>
        <v/>
      </c>
      <c r="AH532" s="270">
        <f>Database!BH521</f>
        <v/>
      </c>
    </row>
    <row r="533">
      <c r="AA533" s="270">
        <f>Database!B522</f>
        <v/>
      </c>
      <c r="AB533" s="270">
        <f>Database!D522</f>
        <v/>
      </c>
      <c r="AC533" s="270">
        <f>Database!E522</f>
        <v/>
      </c>
      <c r="AD533" s="270">
        <f>Database!I522</f>
        <v/>
      </c>
      <c r="AE533" s="270">
        <f>Database!BG522</f>
        <v/>
      </c>
      <c r="AF533" s="270">
        <f>Database!BM522</f>
        <v/>
      </c>
      <c r="AG533" s="270">
        <f>Database!H522</f>
        <v/>
      </c>
      <c r="AH533" s="270">
        <f>Database!BH522</f>
        <v/>
      </c>
    </row>
    <row r="534">
      <c r="AA534" s="270">
        <f>Database!B523</f>
        <v/>
      </c>
      <c r="AB534" s="270">
        <f>Database!D523</f>
        <v/>
      </c>
      <c r="AC534" s="270">
        <f>Database!E523</f>
        <v/>
      </c>
      <c r="AD534" s="270">
        <f>Database!I523</f>
        <v/>
      </c>
      <c r="AE534" s="270">
        <f>Database!BG523</f>
        <v/>
      </c>
      <c r="AF534" s="270">
        <f>Database!BM523</f>
        <v/>
      </c>
      <c r="AG534" s="270">
        <f>Database!H523</f>
        <v/>
      </c>
      <c r="AH534" s="270">
        <f>Database!BH523</f>
        <v/>
      </c>
    </row>
    <row r="535">
      <c r="AA535" s="270">
        <f>Database!B524</f>
        <v/>
      </c>
      <c r="AB535" s="270">
        <f>Database!D524</f>
        <v/>
      </c>
      <c r="AC535" s="270">
        <f>Database!E524</f>
        <v/>
      </c>
      <c r="AD535" s="270">
        <f>Database!I524</f>
        <v/>
      </c>
      <c r="AE535" s="270">
        <f>Database!BG524</f>
        <v/>
      </c>
      <c r="AF535" s="270">
        <f>Database!BM524</f>
        <v/>
      </c>
      <c r="AG535" s="270">
        <f>Database!H524</f>
        <v/>
      </c>
      <c r="AH535" s="270">
        <f>Database!BH524</f>
        <v/>
      </c>
    </row>
    <row r="536">
      <c r="AA536" s="270">
        <f>Database!B525</f>
        <v/>
      </c>
      <c r="AB536" s="270">
        <f>Database!D525</f>
        <v/>
      </c>
      <c r="AC536" s="270">
        <f>Database!E525</f>
        <v/>
      </c>
      <c r="AD536" s="270">
        <f>Database!I525</f>
        <v/>
      </c>
      <c r="AE536" s="270">
        <f>Database!BG525</f>
        <v/>
      </c>
      <c r="AF536" s="270">
        <f>Database!BM525</f>
        <v/>
      </c>
      <c r="AG536" s="270">
        <f>Database!H525</f>
        <v/>
      </c>
      <c r="AH536" s="270">
        <f>Database!BH525</f>
        <v/>
      </c>
    </row>
    <row r="537">
      <c r="AA537" s="270">
        <f>Database!B526</f>
        <v/>
      </c>
      <c r="AB537" s="270">
        <f>Database!D526</f>
        <v/>
      </c>
      <c r="AC537" s="270">
        <f>Database!E526</f>
        <v/>
      </c>
      <c r="AD537" s="270">
        <f>Database!I526</f>
        <v/>
      </c>
      <c r="AE537" s="270">
        <f>Database!BG526</f>
        <v/>
      </c>
      <c r="AF537" s="270">
        <f>Database!BM526</f>
        <v/>
      </c>
      <c r="AG537" s="270">
        <f>Database!H526</f>
        <v/>
      </c>
      <c r="AH537" s="270">
        <f>Database!BH526</f>
        <v/>
      </c>
    </row>
    <row r="538">
      <c r="AA538" s="270">
        <f>Database!B527</f>
        <v/>
      </c>
      <c r="AB538" s="270">
        <f>Database!D527</f>
        <v/>
      </c>
      <c r="AC538" s="270">
        <f>Database!E527</f>
        <v/>
      </c>
      <c r="AD538" s="270">
        <f>Database!I527</f>
        <v/>
      </c>
      <c r="AE538" s="270">
        <f>Database!BG527</f>
        <v/>
      </c>
      <c r="AF538" s="270">
        <f>Database!BM527</f>
        <v/>
      </c>
      <c r="AG538" s="270">
        <f>Database!H527</f>
        <v/>
      </c>
      <c r="AH538" s="270">
        <f>Database!BH527</f>
        <v/>
      </c>
    </row>
    <row r="539">
      <c r="AA539" s="270">
        <f>Database!B528</f>
        <v/>
      </c>
      <c r="AB539" s="270">
        <f>Database!D528</f>
        <v/>
      </c>
      <c r="AC539" s="270">
        <f>Database!E528</f>
        <v/>
      </c>
      <c r="AD539" s="270">
        <f>Database!I528</f>
        <v/>
      </c>
      <c r="AE539" s="270">
        <f>Database!BG528</f>
        <v/>
      </c>
      <c r="AF539" s="270">
        <f>Database!BM528</f>
        <v/>
      </c>
      <c r="AG539" s="270">
        <f>Database!H528</f>
        <v/>
      </c>
      <c r="AH539" s="270">
        <f>Database!BH528</f>
        <v/>
      </c>
    </row>
  </sheetData>
  <mergeCells count="1">
    <mergeCell ref="A2:L2"/>
  </mergeCells>
  <printOptions horizontalCentered="1"/>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2026-10-05T23:52:56Z</dcterms:created>
  <dcterms:modified xmlns:dcterms="http://purl.org/dc/terms/" xmlns:xsi="http://www.w3.org/2001/XMLSchema-instance" xsi:type="dcterms:W3CDTF">2026-10-05T23:53:02Z</dcterms:modified>
</cp:coreProperties>
</file>